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  <sheet name="My Rota" sheetId="6" state="visible" r:id="rId6"/>
    <sheet name="Year View" sheetId="7" state="visible" r:id="rId7"/>
    <sheet name="Setup" sheetId="8" state="visible" r:id="rId8"/>
    <sheet name="Guide" sheetId="9" state="visible" r:id="rId9"/>
    <sheet name="Engine" sheetId="10" state="hidden" r:id="rId10"/>
  </sheets>
  <definedNames>
    <definedName name="Initials">Setup!$B$6:$B$29</definedName>
    <definedName name="DutyNames">Setup!$K$6:$K$23</definedName>
    <definedName name="SQEP">Setup!$O$6:$AL$23</definedName>
    <definedName name="StatusCodes">Setup!$B$33:$B$40</definedName>
    <definedName name="ActiveYear">Engine!$B$11</definedName>
    <definedName name="ActiveWeek">Engine!$B$9</definedName>
    <definedName name="_xlnm.Print_Area" localSheetId="0">'Dashboard'!$A$1:$R$64</definedName>
    <definedName name="_xlnm.Print_Titles" localSheetId="1">'2027'!$1:$4</definedName>
    <definedName name="_xlnm.Print_Area" localSheetId="1">'2027'!$B$1:$AC$2653</definedName>
    <definedName name="_xlnm.Print_Titles" localSheetId="2">'2028'!$1:$4</definedName>
    <definedName name="_xlnm.Print_Area" localSheetId="2">'2028'!$B$1:$AC$2653</definedName>
    <definedName name="_xlnm.Print_Titles" localSheetId="3">'2029'!$1:$4</definedName>
    <definedName name="_xlnm.Print_Area" localSheetId="3">'2029'!$B$1:$AC$2653</definedName>
    <definedName name="_xlnm.Print_Titles" localSheetId="4">'2030'!$1:$4</definedName>
    <definedName name="_xlnm.Print_Area" localSheetId="4">'2030'!$B$1:$AC$2653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 mmm yyyy"/>
    <numFmt numFmtId="165" formatCode="ddd d mmm"/>
    <numFmt numFmtId="166" formatCode="d mmm yyyy"/>
    <numFmt numFmtId="167" formatCode="ddd d"/>
    <numFmt numFmtId="168" formatCode="0;-0;&quot;&quot;"/>
  </numFmts>
  <fonts count="6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9E1F2"/>
      <sz val="9"/>
    </font>
    <font>
      <name val="Arial"/>
      <b val="1"/>
      <color rgb="00D9E1F2"/>
      <sz val="9"/>
      <u val="single"/>
    </font>
    <font>
      <name val="Arial"/>
      <b val="1"/>
      <color rgb="001F3864"/>
      <sz val="11"/>
    </font>
    <font>
      <name val="Arial"/>
      <i val="1"/>
      <color rgb="007F7F7F"/>
      <sz val="8"/>
    </font>
    <font>
      <name val="Arial"/>
      <b val="1"/>
      <color rgb="00FFFFFF"/>
      <sz val="9"/>
    </font>
    <font>
      <name val="Arial"/>
      <color rgb="007F7F7F"/>
      <sz val="9"/>
    </font>
    <font>
      <name val="Arial"/>
      <b val="1"/>
      <color rgb="001F3864"/>
      <sz val="10"/>
    </font>
    <font>
      <name val="Arial"/>
      <color rgb="00222222"/>
      <sz val="10"/>
    </font>
    <font>
      <name val="Arial"/>
      <b val="1"/>
      <color rgb="00222222"/>
      <sz val="10"/>
    </font>
    <font>
      <name val="Arial"/>
      <color rgb="00222222"/>
      <sz val="9"/>
    </font>
    <font>
      <name val="Arial"/>
      <b val="1"/>
      <color rgb="00222222"/>
      <sz val="9"/>
    </font>
    <font>
      <name val="Arial"/>
      <b val="1"/>
      <color rgb="00C65911"/>
      <sz val="10"/>
    </font>
    <font>
      <name val="Arial"/>
      <color rgb="007F7F7F"/>
      <sz val="8"/>
    </font>
    <font>
      <name val="Arial"/>
      <b val="1"/>
      <color rgb="00548235"/>
      <sz val="10"/>
    </font>
    <font>
      <name val="Arial"/>
      <b val="1"/>
      <color rgb="002F5597"/>
      <sz val="10"/>
    </font>
    <font>
      <name val="Arial"/>
      <b val="1"/>
      <color rgb="00A61B29"/>
      <sz val="10"/>
    </font>
    <font>
      <name val="Arial"/>
      <b val="1"/>
      <color rgb="00595959"/>
      <sz val="10"/>
    </font>
    <font>
      <name val="Arial"/>
      <b val="1"/>
      <color rgb="007F6000"/>
      <sz val="10"/>
    </font>
    <font>
      <name val="Arial"/>
      <b val="1"/>
      <color rgb="005B2C86"/>
      <sz val="10"/>
    </font>
    <font>
      <name val="Arial"/>
      <b val="1"/>
      <color rgb="000B6E6E"/>
      <sz val="10"/>
    </font>
    <font>
      <name val="Arial"/>
      <b val="1"/>
      <color rgb="00222222"/>
      <sz val="8"/>
    </font>
    <font>
      <name val="Arial"/>
      <color rgb="00D9E1F2"/>
      <sz val="8"/>
    </font>
    <font>
      <name val="Arial"/>
      <b val="1"/>
      <color rgb="00F4B183"/>
      <sz val="9"/>
      <u val="single"/>
    </font>
    <font>
      <name val="Arial"/>
      <b val="1"/>
      <color rgb="00FFFFFF"/>
      <sz val="10"/>
    </font>
    <font>
      <name val="Arial"/>
      <b val="1"/>
      <color rgb="00D9E1F2"/>
      <sz val="8"/>
    </font>
    <font>
      <name val="Arial"/>
      <b val="1"/>
      <color rgb="00C65911"/>
      <sz val="8"/>
    </font>
    <font>
      <name val="Arial"/>
      <b val="1"/>
      <color rgb="00548235"/>
      <sz val="8"/>
    </font>
    <font>
      <name val="Arial"/>
      <b val="1"/>
      <color rgb="002F5597"/>
      <sz val="8"/>
    </font>
    <font>
      <name val="Arial"/>
      <b val="1"/>
      <color rgb="00A61B29"/>
      <sz val="8"/>
    </font>
    <font>
      <name val="Arial"/>
      <b val="1"/>
      <color rgb="00595959"/>
      <sz val="8"/>
    </font>
    <font>
      <name val="Arial"/>
      <b val="1"/>
      <color rgb="007F6000"/>
      <sz val="8"/>
    </font>
    <font>
      <name val="Arial"/>
      <b val="1"/>
      <color rgb="005B2C86"/>
      <sz val="8"/>
    </font>
    <font>
      <name val="Arial"/>
      <b val="1"/>
      <color rgb="000B6E6E"/>
      <sz val="8"/>
    </font>
    <font>
      <name val="Arial"/>
      <b val="1"/>
      <i val="1"/>
      <color rgb="007030A0"/>
      <sz val="8"/>
    </font>
    <font>
      <name val="Arial"/>
      <b val="1"/>
      <color rgb="009C5700"/>
      <sz val="8"/>
    </font>
    <font>
      <name val="Arial"/>
      <b val="1"/>
      <color rgb="009C0006"/>
      <sz val="8"/>
    </font>
    <font>
      <name val="Arial"/>
      <b val="1"/>
      <color rgb="00A6A6A6"/>
      <sz val="8"/>
    </font>
    <font>
      <name val="Arial"/>
      <b val="1"/>
      <color rgb="00FFFFFF"/>
      <sz val="12"/>
    </font>
    <font>
      <name val="Arial"/>
      <b val="1"/>
      <color rgb="00D9E1F2"/>
      <sz val="9"/>
    </font>
    <font>
      <name val="Arial"/>
      <i val="1"/>
      <color rgb="007F7F7F"/>
      <sz val="7"/>
    </font>
    <font>
      <name val="Arial"/>
      <b val="1"/>
      <color rgb="007F7F7F"/>
      <sz val="7"/>
    </font>
    <font>
      <name val="Arial"/>
      <b val="1"/>
      <color rgb="001F3864"/>
      <sz val="9"/>
    </font>
    <font>
      <name val="Arial"/>
      <b val="1"/>
      <color rgb="00006100"/>
      <sz val="8"/>
    </font>
    <font>
      <name val="Arial"/>
      <b val="1"/>
      <color rgb="00FFFFFF"/>
      <sz val="8"/>
    </font>
    <font>
      <name val="Arial"/>
      <b val="1"/>
      <color rgb="009C0006"/>
      <sz val="9"/>
    </font>
    <font>
      <name val="Arial"/>
      <b val="1"/>
      <color rgb="001F3864"/>
      <sz val="8"/>
    </font>
    <font>
      <name val="Arial"/>
      <b val="1"/>
      <color rgb="007F7F7F"/>
      <sz val="8"/>
    </font>
    <font>
      <name val="Arial"/>
      <b val="1"/>
      <color rgb="00FFFFFF"/>
      <sz val="20"/>
    </font>
    <font>
      <name val="Arial"/>
      <b val="1"/>
      <color rgb="00F4B183"/>
      <sz val="10"/>
    </font>
    <font>
      <name val="Arial"/>
      <b val="1"/>
      <color rgb="00FFFFFF"/>
      <sz val="10"/>
      <u val="single"/>
    </font>
    <font>
      <name val="Arial"/>
      <b val="1"/>
      <color rgb="00FFFFFF"/>
      <sz val="11"/>
    </font>
    <font>
      <name val="Arial"/>
      <b val="1"/>
      <color rgb="00FFFFFF"/>
      <sz val="11"/>
      <u val="single"/>
    </font>
    <font>
      <name val="Arial"/>
      <color rgb="00D9E1F2"/>
      <sz val="7"/>
    </font>
    <font>
      <name val="Arial"/>
      <b val="1"/>
      <color rgb="009C5700"/>
      <sz val="9"/>
    </font>
    <font>
      <name val="Arial"/>
      <b val="1"/>
      <color rgb="00006100"/>
      <sz val="9"/>
    </font>
    <font>
      <name val="Arial"/>
      <b val="1"/>
      <color rgb="00FFFFFF"/>
      <sz val="7"/>
      <u val="single"/>
    </font>
    <font>
      <name val="Arial"/>
      <color rgb="00222222"/>
      <sz val="8"/>
    </font>
    <font>
      <name val="Arial"/>
      <b val="1"/>
      <color rgb="00FFFFFF"/>
      <sz val="7"/>
    </font>
    <font>
      <name val="Arial"/>
      <b val="1"/>
      <color rgb="002E75B6"/>
      <sz val="9"/>
    </font>
    <font>
      <name val="Arial"/>
      <b val="1"/>
      <color rgb="00C65911"/>
      <sz val="9"/>
    </font>
    <font>
      <name val="Arial"/>
      <b val="1"/>
      <color rgb="00548235"/>
      <sz val="9"/>
    </font>
    <font>
      <name val="Arial"/>
      <b val="1"/>
      <color rgb="002F5597"/>
      <sz val="9"/>
    </font>
    <font>
      <name val="Arial"/>
      <b val="1"/>
      <color rgb="00A61B29"/>
      <sz val="9"/>
    </font>
    <font>
      <name val="Arial"/>
      <b val="1"/>
      <color rgb="00595959"/>
      <sz val="9"/>
    </font>
    <font>
      <name val="Arial"/>
      <b val="1"/>
      <color rgb="007F6000"/>
      <sz val="9"/>
    </font>
    <font>
      <name val="Arial"/>
      <b val="1"/>
      <color rgb="00A6A6A6"/>
      <sz val="9"/>
    </font>
    <font>
      <name val="Arial"/>
      <b val="1"/>
      <i val="1"/>
      <color rgb="007030A0"/>
      <sz val="9"/>
    </font>
  </fonts>
  <fills count="22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4A7D"/>
        <bgColor rgb="002E4A7D"/>
      </patternFill>
    </fill>
    <fill>
      <patternFill patternType="solid">
        <fgColor rgb="00FFFBE6"/>
        <bgColor rgb="00FFFBE6"/>
      </patternFill>
    </fill>
    <fill>
      <patternFill patternType="solid">
        <fgColor rgb="00FCE4D6"/>
        <bgColor rgb="00FCE4D6"/>
      </patternFill>
    </fill>
    <fill>
      <patternFill patternType="solid">
        <fgColor rgb="00C6E0B4"/>
        <bgColor rgb="00C6E0B4"/>
      </patternFill>
    </fill>
    <fill>
      <patternFill patternType="solid">
        <fgColor rgb="00DDEBF7"/>
        <bgColor rgb="00DDEBF7"/>
      </patternFill>
    </fill>
    <fill>
      <patternFill patternType="solid">
        <fgColor rgb="00F8D7DA"/>
        <bgColor rgb="00F8D7DA"/>
      </patternFill>
    </fill>
    <fill>
      <patternFill patternType="solid">
        <fgColor rgb="00E7E6E6"/>
        <bgColor rgb="00E7E6E6"/>
      </patternFill>
    </fill>
    <fill>
      <patternFill patternType="solid">
        <fgColor rgb="00FFF2CC"/>
        <bgColor rgb="00FFF2CC"/>
      </patternFill>
    </fill>
    <fill>
      <patternFill patternType="solid">
        <fgColor rgb="00E2D5F1"/>
        <bgColor rgb="00E2D5F1"/>
      </patternFill>
    </fill>
    <fill>
      <patternFill patternType="solid">
        <fgColor rgb="00D0F0F0"/>
        <bgColor rgb="00D0F0F0"/>
      </patternFill>
    </fill>
    <fill>
      <patternFill patternType="solid">
        <fgColor rgb="00FFFFFF"/>
        <bgColor rgb="00FFFFFF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FFF9DB"/>
        <bgColor rgb="00FFF9DB"/>
      </patternFill>
    </fill>
    <fill>
      <patternFill patternType="solid">
        <fgColor rgb="00EDEDED"/>
        <bgColor rgb="00EDEDED"/>
      </patternFill>
    </fill>
    <fill>
      <patternFill patternType="solid">
        <fgColor rgb="00E9EEF5"/>
        <bgColor rgb="00E9EEF5"/>
      </patternFill>
    </fill>
    <fill>
      <patternFill patternType="solid">
        <fgColor rgb="005B6B8C"/>
        <bgColor rgb="005B6B8C"/>
      </patternFill>
    </fill>
    <fill>
      <patternFill patternType="solid">
        <fgColor rgb="00F2F2F2"/>
        <bgColor rgb="00F2F2F2"/>
      </patternFill>
    </fill>
    <fill>
      <patternFill patternType="solid">
        <fgColor rgb="002E75B6"/>
        <bgColor rgb="002E75B6"/>
      </patternFill>
    </fill>
  </fills>
  <borders count="1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hair">
        <color rgb="00BFBFBF"/>
      </left>
      <right style="hair">
        <color rgb="00BFBFBF"/>
      </right>
      <top style="hair">
        <color rgb="00BFBFBF"/>
      </top>
      <bottom style="hair">
        <color rgb="00BFBFBF"/>
      </bottom>
    </border>
    <border>
      <left style="medium">
        <color rgb="001F3864"/>
      </left>
    </border>
    <border/>
    <border>
      <right style="medium">
        <color rgb="001F3864"/>
      </right>
    </border>
    <border>
      <left style="thin">
        <color rgb="00BFBFBF"/>
      </left>
      <top style="hair">
        <color rgb="00BFBFBF"/>
      </top>
      <bottom style="hair">
        <color rgb="00BFBFBF"/>
      </bottom>
    </border>
    <border>
      <top style="hair">
        <color rgb="00BFBFBF"/>
      </top>
      <bottom style="hair">
        <color rgb="00BFBFBF"/>
      </bottom>
    </border>
    <border>
      <right style="thin">
        <color rgb="00BFBFBF"/>
      </right>
      <top style="hair">
        <color rgb="00BFBFBF"/>
      </top>
      <bottom style="hair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hair">
        <color rgb="00BFBFBF"/>
      </top>
      <bottom/>
      <diagonal/>
    </border>
    <border>
      <left/>
      <right style="hair">
        <color rgb="00BFBFBF"/>
      </right>
      <top style="hair">
        <color rgb="00BFBFBF"/>
      </top>
      <bottom/>
      <diagonal/>
    </border>
    <border>
      <left/>
      <right style="hair">
        <color rgb="00BFBFBF"/>
      </right>
      <top style="hair">
        <color rgb="00BFBFBF"/>
      </top>
      <bottom style="hair">
        <color rgb="00BFBFBF"/>
      </bottom>
      <diagonal/>
    </border>
  </borders>
  <cellStyleXfs count="1">
    <xf numFmtId="0" fontId="0" fillId="0" borderId="0"/>
  </cellStyleXfs>
  <cellXfs count="181">
    <xf numFmtId="0" fontId="0" fillId="0" borderId="0" pivotButton="0" quotePrefix="0" xfId="0"/>
    <xf numFmtId="0" fontId="0" fillId="2" borderId="0" pivotButton="0" quotePrefix="0" xfId="0"/>
    <xf numFmtId="0" fontId="49" fillId="2" borderId="0" applyAlignment="1" pivotButton="0" quotePrefix="0" xfId="0">
      <alignment vertical="center"/>
    </xf>
    <xf numFmtId="0" fontId="50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vertical="center"/>
    </xf>
    <xf numFmtId="0" fontId="40" fillId="2" borderId="0" applyAlignment="1" pivotButton="0" quotePrefix="0" xfId="0">
      <alignment horizontal="right" vertical="center"/>
    </xf>
    <xf numFmtId="0" fontId="51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9" fillId="0" borderId="2" applyAlignment="1" pivotButton="0" quotePrefix="0" xfId="0">
      <alignment horizontal="left" vertical="center" indent="1"/>
    </xf>
    <xf numFmtId="0" fontId="0" fillId="0" borderId="2" pivotButton="0" quotePrefix="0" xfId="0"/>
    <xf numFmtId="0" fontId="4" fillId="4" borderId="1" applyAlignment="1" applyProtection="1" pivotButton="0" quotePrefix="0" xfId="0">
      <alignment horizontal="center" vertical="center"/>
      <protection locked="0" hidden="0"/>
    </xf>
    <xf numFmtId="0" fontId="5" fillId="0" borderId="0" pivotButton="0" quotePrefix="0" xfId="0"/>
    <xf numFmtId="0" fontId="52" fillId="21" borderId="0" applyAlignment="1" pivotButton="0" quotePrefix="0" xfId="0">
      <alignment vertical="center" indent="1"/>
    </xf>
    <xf numFmtId="0" fontId="53" fillId="2" borderId="0" applyAlignment="1" pivotButton="0" quotePrefix="0" xfId="0">
      <alignment horizontal="center" vertical="center"/>
    </xf>
    <xf numFmtId="0" fontId="26" fillId="3" borderId="0" applyAlignment="1" pivotButton="0" quotePrefix="0" xfId="0">
      <alignment horizontal="center" vertical="center"/>
    </xf>
    <xf numFmtId="9" fontId="1" fillId="3" borderId="0" applyAlignment="1" pivotButton="0" quotePrefix="0" xfId="0">
      <alignment horizontal="center" vertical="center"/>
    </xf>
    <xf numFmtId="1" fontId="1" fillId="3" borderId="0" applyAlignment="1" pivotButton="0" quotePrefix="0" xfId="0">
      <alignment horizontal="center" vertical="center"/>
    </xf>
    <xf numFmtId="49" fontId="1" fillId="3" borderId="0" applyAlignment="1" pivotButton="0" quotePrefix="0" xfId="0">
      <alignment horizontal="center" vertical="center"/>
    </xf>
    <xf numFmtId="0" fontId="54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indent="1"/>
    </xf>
    <xf numFmtId="167" fontId="6" fillId="2" borderId="1" applyAlignment="1" pivotButton="0" quotePrefix="0" xfId="0">
      <alignment horizontal="center" vertical="center"/>
    </xf>
    <xf numFmtId="167" fontId="6" fillId="19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 wrapText="1"/>
    </xf>
    <xf numFmtId="0" fontId="43" fillId="13" borderId="2" applyAlignment="1" pivotButton="0" quotePrefix="0" xfId="0">
      <alignment horizontal="left" vertical="center" indent="1"/>
    </xf>
    <xf numFmtId="0" fontId="12" fillId="13" borderId="2" applyAlignment="1" pivotButton="0" quotePrefix="0" xfId="0">
      <alignment horizontal="center" vertical="center"/>
    </xf>
    <xf numFmtId="0" fontId="11" fillId="13" borderId="2" applyAlignment="1" pivotButton="0" quotePrefix="0" xfId="0">
      <alignment horizontal="center" vertical="center"/>
    </xf>
    <xf numFmtId="0" fontId="55" fillId="13" borderId="2" applyAlignment="1" pivotButton="0" quotePrefix="0" xfId="0">
      <alignment horizontal="center" vertical="center"/>
    </xf>
    <xf numFmtId="0" fontId="56" fillId="13" borderId="2" applyAlignment="1" pivotButton="0" quotePrefix="0" xfId="0">
      <alignment horizontal="center" vertical="center"/>
    </xf>
    <xf numFmtId="0" fontId="43" fillId="20" borderId="2" applyAlignment="1" pivotButton="0" quotePrefix="0" xfId="0">
      <alignment horizontal="left" vertical="center" indent="1"/>
    </xf>
    <xf numFmtId="0" fontId="12" fillId="20" borderId="2" applyAlignment="1" pivotButton="0" quotePrefix="0" xfId="0">
      <alignment horizontal="center" vertical="center"/>
    </xf>
    <xf numFmtId="0" fontId="11" fillId="20" borderId="2" applyAlignment="1" pivotButton="0" quotePrefix="0" xfId="0">
      <alignment horizontal="center" vertical="center"/>
    </xf>
    <xf numFmtId="0" fontId="55" fillId="20" borderId="2" applyAlignment="1" pivotButton="0" quotePrefix="0" xfId="0">
      <alignment horizontal="center" vertical="center"/>
    </xf>
    <xf numFmtId="0" fontId="56" fillId="20" borderId="2" applyAlignment="1" pivotButton="0" quotePrefix="0" xfId="0">
      <alignment horizontal="center" vertical="center"/>
    </xf>
    <xf numFmtId="0" fontId="45" fillId="2" borderId="1" applyAlignment="1" pivotButton="0" quotePrefix="0" xfId="0">
      <alignment horizontal="center" vertical="center"/>
    </xf>
    <xf numFmtId="0" fontId="12" fillId="13" borderId="2" applyAlignment="1" pivotButton="0" quotePrefix="0" xfId="0">
      <alignment horizontal="left" vertical="center" indent="1"/>
    </xf>
    <xf numFmtId="0" fontId="46" fillId="13" borderId="2" applyAlignment="1" pivotButton="0" quotePrefix="0" xfId="0">
      <alignment horizontal="center" vertical="center"/>
    </xf>
    <xf numFmtId="0" fontId="12" fillId="20" borderId="2" applyAlignment="1" pivotButton="0" quotePrefix="0" xfId="0">
      <alignment horizontal="left" vertical="center" indent="1"/>
    </xf>
    <xf numFmtId="0" fontId="46" fillId="20" borderId="2" applyAlignment="1" pivotButton="0" quotePrefix="0" xfId="0">
      <alignment horizontal="center" vertical="center"/>
    </xf>
    <xf numFmtId="0" fontId="43" fillId="0" borderId="0" pivotButton="0" quotePrefix="0" xfId="0"/>
    <xf numFmtId="0" fontId="27" fillId="5" borderId="0" applyAlignment="1" pivotButton="0" quotePrefix="0" xfId="0">
      <alignment vertical="center" shrinkToFit="1"/>
    </xf>
    <xf numFmtId="0" fontId="28" fillId="6" borderId="0" applyAlignment="1" pivotButton="0" quotePrefix="0" xfId="0">
      <alignment vertical="center" shrinkToFit="1"/>
    </xf>
    <xf numFmtId="0" fontId="29" fillId="7" borderId="0" applyAlignment="1" pivotButton="0" quotePrefix="0" xfId="0">
      <alignment vertical="center" shrinkToFit="1"/>
    </xf>
    <xf numFmtId="0" fontId="30" fillId="8" borderId="0" applyAlignment="1" pivotButton="0" quotePrefix="0" xfId="0">
      <alignment vertical="center" shrinkToFit="1"/>
    </xf>
    <xf numFmtId="0" fontId="31" fillId="9" borderId="0" applyAlignment="1" pivotButton="0" quotePrefix="0" xfId="0">
      <alignment vertical="center" shrinkToFit="1"/>
    </xf>
    <xf numFmtId="0" fontId="32" fillId="10" borderId="0" applyAlignment="1" pivotButton="0" quotePrefix="0" xfId="0">
      <alignment vertical="center" shrinkToFit="1"/>
    </xf>
    <xf numFmtId="0" fontId="33" fillId="11" borderId="0" applyAlignment="1" pivotButton="0" quotePrefix="0" xfId="0">
      <alignment vertical="center" shrinkToFit="1"/>
    </xf>
    <xf numFmtId="0" fontId="34" fillId="12" borderId="0" applyAlignment="1" pivotButton="0" quotePrefix="0" xfId="0">
      <alignment vertical="center" shrinkToFit="1"/>
    </xf>
    <xf numFmtId="0" fontId="36" fillId="14" borderId="0" applyAlignment="1" pivotButton="0" quotePrefix="0" xfId="0">
      <alignment horizontal="center" vertical="center"/>
    </xf>
    <xf numFmtId="0" fontId="37" fillId="15" borderId="0" applyAlignment="1" pivotButton="0" quotePrefix="0" xfId="0">
      <alignment horizontal="center" vertical="center"/>
    </xf>
    <xf numFmtId="0" fontId="32" fillId="16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right" vertical="center"/>
    </xf>
    <xf numFmtId="0" fontId="8" fillId="4" borderId="0" applyAlignment="1" applyProtection="1" pivotButton="0" quotePrefix="0" xfId="0">
      <alignment horizontal="center" vertical="center"/>
      <protection locked="0" hidden="0"/>
    </xf>
    <xf numFmtId="0" fontId="23" fillId="2" borderId="0" applyAlignment="1" pivotButton="0" quotePrefix="0" xfId="0">
      <alignment horizontal="right" vertical="center"/>
    </xf>
    <xf numFmtId="0" fontId="25" fillId="2" borderId="0" applyAlignment="1" pivotButton="0" quotePrefix="0" xfId="0">
      <alignment horizontal="center" vertical="center"/>
    </xf>
    <xf numFmtId="0" fontId="23" fillId="2" borderId="0" applyAlignment="1" pivotButton="0" quotePrefix="0" xfId="0">
      <alignment vertical="center"/>
    </xf>
    <xf numFmtId="166" fontId="6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right" vertical="center"/>
    </xf>
    <xf numFmtId="0" fontId="27" fillId="5" borderId="0" applyAlignment="1" pivotButton="0" quotePrefix="0" xfId="0">
      <alignment horizontal="center" vertical="center"/>
    </xf>
    <xf numFmtId="0" fontId="28" fillId="6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 vertical="center"/>
    </xf>
    <xf numFmtId="0" fontId="30" fillId="8" borderId="0" applyAlignment="1" pivotButton="0" quotePrefix="0" xfId="0">
      <alignment horizontal="center" vertical="center"/>
    </xf>
    <xf numFmtId="0" fontId="31" fillId="9" borderId="0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33" fillId="11" borderId="0" applyAlignment="1" pivotButton="0" quotePrefix="0" xfId="0">
      <alignment horizontal="center" vertical="center"/>
    </xf>
    <xf numFmtId="0" fontId="34" fillId="12" borderId="0" applyAlignment="1" pivotButton="0" quotePrefix="0" xfId="0">
      <alignment horizontal="center" vertical="center"/>
    </xf>
    <xf numFmtId="0" fontId="35" fillId="13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39" fillId="3" borderId="0" applyAlignment="1" pivotButton="0" quotePrefix="0" xfId="0">
      <alignment vertical="center" indent="1"/>
    </xf>
    <xf numFmtId="0" fontId="40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 indent="1"/>
    </xf>
    <xf numFmtId="165" fontId="6" fillId="2" borderId="3" applyAlignment="1" pivotButton="0" quotePrefix="0" xfId="0">
      <alignment horizontal="centerContinuous" vertical="center"/>
    </xf>
    <xf numFmtId="165" fontId="6" fillId="2" borderId="4" applyAlignment="1" pivotButton="0" quotePrefix="0" xfId="0">
      <alignment horizontal="centerContinuous" vertical="center"/>
    </xf>
    <xf numFmtId="165" fontId="6" fillId="2" borderId="5" applyAlignment="1" pivotButton="0" quotePrefix="0" xfId="0">
      <alignment horizontal="centerContinuous" vertical="center"/>
    </xf>
    <xf numFmtId="165" fontId="6" fillId="19" borderId="3" applyAlignment="1" pivotButton="0" quotePrefix="0" xfId="0">
      <alignment horizontal="centerContinuous" vertical="center"/>
    </xf>
    <xf numFmtId="165" fontId="6" fillId="19" borderId="5" applyAlignment="1" pivotButton="0" quotePrefix="0" xfId="0">
      <alignment horizontal="centerContinuous" vertical="center"/>
    </xf>
    <xf numFmtId="0" fontId="41" fillId="0" borderId="2" applyAlignment="1" pivotButton="0" quotePrefix="0" xfId="0">
      <alignment horizontal="left" vertical="center" indent="1"/>
    </xf>
    <xf numFmtId="0" fontId="42" fillId="18" borderId="2" applyAlignment="1" pivotButton="0" quotePrefix="0" xfId="0">
      <alignment horizontal="center" vertical="center"/>
    </xf>
    <xf numFmtId="0" fontId="41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2" fillId="13" borderId="1" applyAlignment="1" applyProtection="1" pivotButton="0" quotePrefix="0" xfId="0">
      <alignment horizontal="center" vertical="center"/>
      <protection locked="0" hidden="0"/>
    </xf>
    <xf numFmtId="0" fontId="5" fillId="13" borderId="1" applyAlignment="1" applyProtection="1" pivotButton="0" quotePrefix="0" xfId="0">
      <alignment vertical="center" shrinkToFit="1"/>
      <protection locked="0" hidden="0"/>
    </xf>
    <xf numFmtId="0" fontId="44" fillId="13" borderId="2" applyAlignment="1" pivotButton="0" quotePrefix="0" xfId="0">
      <alignment horizontal="center" vertical="center"/>
    </xf>
    <xf numFmtId="0" fontId="44" fillId="20" borderId="2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Continuous" vertical="center"/>
    </xf>
    <xf numFmtId="0" fontId="6" fillId="2" borderId="4" applyAlignment="1" pivotButton="0" quotePrefix="0" xfId="0">
      <alignment horizontal="centerContinuous" vertical="center"/>
    </xf>
    <xf numFmtId="0" fontId="6" fillId="2" borderId="5" applyAlignment="1" pivotButton="0" quotePrefix="0" xfId="0">
      <alignment horizontal="centerContinuous" vertical="center"/>
    </xf>
    <xf numFmtId="0" fontId="6" fillId="19" borderId="3" applyAlignment="1" pivotButton="0" quotePrefix="0" xfId="0">
      <alignment horizontal="centerContinuous" vertical="center"/>
    </xf>
    <xf numFmtId="0" fontId="6" fillId="19" borderId="5" applyAlignment="1" pivotButton="0" quotePrefix="0" xfId="0">
      <alignment horizontal="centerContinuous" vertical="center"/>
    </xf>
    <xf numFmtId="0" fontId="45" fillId="2" borderId="0" applyAlignment="1" pivotButton="0" quotePrefix="0" xfId="0">
      <alignment horizontal="center" vertical="center"/>
    </xf>
    <xf numFmtId="0" fontId="12" fillId="13" borderId="6" applyAlignment="1" applyProtection="1" pivotButton="0" quotePrefix="0" xfId="0">
      <alignment horizontal="centerContinuous" vertical="center"/>
      <protection locked="0" hidden="0"/>
    </xf>
    <xf numFmtId="0" fontId="12" fillId="13" borderId="7" applyAlignment="1" pivotButton="0" quotePrefix="0" xfId="0">
      <alignment horizontal="centerContinuous" vertical="center"/>
    </xf>
    <xf numFmtId="0" fontId="12" fillId="13" borderId="8" applyAlignment="1" pivotButton="0" quotePrefix="0" xfId="0">
      <alignment horizontal="centerContinuous" vertical="center"/>
    </xf>
    <xf numFmtId="0" fontId="7" fillId="13" borderId="2" applyAlignment="1" pivotButton="0" quotePrefix="0" xfId="0">
      <alignment horizontal="center" vertical="center"/>
    </xf>
    <xf numFmtId="0" fontId="12" fillId="20" borderId="6" applyAlignment="1" applyProtection="1" pivotButton="0" quotePrefix="0" xfId="0">
      <alignment horizontal="centerContinuous" vertical="center"/>
      <protection locked="0" hidden="0"/>
    </xf>
    <xf numFmtId="0" fontId="12" fillId="20" borderId="7" applyAlignment="1" pivotButton="0" quotePrefix="0" xfId="0">
      <alignment horizontal="centerContinuous" vertical="center"/>
    </xf>
    <xf numFmtId="0" fontId="12" fillId="20" borderId="8" applyAlignment="1" pivotButton="0" quotePrefix="0" xfId="0">
      <alignment horizontal="centerContinuous" vertical="center"/>
    </xf>
    <xf numFmtId="0" fontId="7" fillId="20" borderId="2" applyAlignment="1" pivotButton="0" quotePrefix="0" xfId="0">
      <alignment horizontal="center" vertical="center"/>
    </xf>
    <xf numFmtId="0" fontId="47" fillId="18" borderId="2" applyAlignment="1" pivotButton="0" quotePrefix="0" xfId="0">
      <alignment horizontal="left" vertical="center" indent="1"/>
    </xf>
    <xf numFmtId="0" fontId="47" fillId="18" borderId="2" applyAlignment="1" pivotButton="0" quotePrefix="0" xfId="0">
      <alignment horizontal="centerContinuous" vertical="center"/>
    </xf>
    <xf numFmtId="0" fontId="47" fillId="18" borderId="2" applyAlignment="1" pivotButton="0" quotePrefix="0" xfId="0">
      <alignment horizontal="center" vertical="center"/>
    </xf>
    <xf numFmtId="0" fontId="37" fillId="18" borderId="2" applyAlignment="1" pivotButton="0" quotePrefix="0" xfId="0">
      <alignment horizontal="center" vertical="center"/>
    </xf>
    <xf numFmtId="0" fontId="48" fillId="0" borderId="0" applyAlignment="1" pivotButton="0" quotePrefix="0" xfId="0">
      <alignment horizontal="left" vertical="top" indent="1"/>
    </xf>
    <xf numFmtId="0" fontId="11" fillId="13" borderId="1" applyAlignment="1" applyProtection="1" pivotButton="0" quotePrefix="0" xfId="0">
      <alignment horizontal="left" vertical="top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8" fillId="0" borderId="0" pivotButton="0" quotePrefix="0" xfId="0"/>
    <xf numFmtId="0" fontId="6" fillId="19" borderId="1" applyAlignment="1" pivotButton="0" quotePrefix="0" xfId="0">
      <alignment horizontal="center" vertical="center"/>
    </xf>
    <xf numFmtId="0" fontId="43" fillId="18" borderId="1" applyAlignment="1" pivotButton="0" quotePrefix="0" xfId="0">
      <alignment horizontal="center" vertical="center" wrapText="1"/>
    </xf>
    <xf numFmtId="0" fontId="0" fillId="18" borderId="1" pivotButton="0" quotePrefix="0" xfId="0"/>
    <xf numFmtId="0" fontId="12" fillId="0" borderId="1" applyAlignment="1" pivotButton="0" quotePrefix="0" xfId="0">
      <alignment horizontal="center" vertical="center" wrapText="1"/>
    </xf>
    <xf numFmtId="0" fontId="8" fillId="18" borderId="1" applyAlignment="1" pivotButton="0" quotePrefix="0" xfId="0">
      <alignment horizontal="center" vertical="center"/>
    </xf>
    <xf numFmtId="0" fontId="0" fillId="0" borderId="15" pivotButton="0" quotePrefix="0" xfId="0"/>
    <xf numFmtId="0" fontId="10" fillId="13" borderId="2" applyAlignment="1" pivotButton="0" quotePrefix="0" xfId="0">
      <alignment horizontal="center" vertical="center"/>
    </xf>
    <xf numFmtId="9" fontId="7" fillId="13" borderId="2" applyAlignment="1" pivotButton="0" quotePrefix="0" xfId="0">
      <alignment horizontal="center" vertical="center"/>
    </xf>
    <xf numFmtId="0" fontId="10" fillId="20" borderId="2" applyAlignment="1" pivotButton="0" quotePrefix="0" xfId="0">
      <alignment horizontal="center" vertical="center"/>
    </xf>
    <xf numFmtId="9" fontId="7" fillId="20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1"/>
    </xf>
    <xf numFmtId="0" fontId="57" fillId="2" borderId="0" applyAlignment="1" pivotButton="0" quotePrefix="0" xfId="0">
      <alignment horizontal="center" vertical="center"/>
    </xf>
    <xf numFmtId="0" fontId="43" fillId="0" borderId="2" applyAlignment="1" pivotButton="0" quotePrefix="0" xfId="0">
      <alignment horizontal="left" vertical="center" indent="1"/>
    </xf>
    <xf numFmtId="0" fontId="58" fillId="0" borderId="2" applyAlignment="1" pivotButton="0" quotePrefix="0" xfId="0">
      <alignment horizontal="center" vertical="center"/>
    </xf>
    <xf numFmtId="0" fontId="43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43" fillId="18" borderId="2" applyAlignment="1" pivotButton="0" quotePrefix="0" xfId="0">
      <alignment horizontal="left" vertical="center" indent="1"/>
    </xf>
    <xf numFmtId="0" fontId="47" fillId="18" borderId="0" applyAlignment="1" pivotButton="0" quotePrefix="0" xfId="0">
      <alignment horizontal="center" vertical="center"/>
    </xf>
    <xf numFmtId="0" fontId="43" fillId="18" borderId="0" applyAlignment="1" pivotButton="0" quotePrefix="0" xfId="0">
      <alignment horizontal="center" vertical="center"/>
    </xf>
    <xf numFmtId="0" fontId="44" fillId="18" borderId="0" applyAlignment="1" pivotButton="0" quotePrefix="0" xfId="0">
      <alignment horizontal="center" vertical="center"/>
    </xf>
    <xf numFmtId="0" fontId="59" fillId="2" borderId="0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 indent="1"/>
    </xf>
    <xf numFmtId="168" fontId="58" fillId="0" borderId="2" applyAlignment="1" pivotButton="0" quotePrefix="0" xfId="0">
      <alignment horizontal="center" vertical="center"/>
    </xf>
    <xf numFmtId="168" fontId="47" fillId="18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/>
    </xf>
    <xf numFmtId="0" fontId="8" fillId="4" borderId="1" applyAlignment="1" applyProtection="1" pivotButton="0" quotePrefix="0" xfId="0">
      <alignment horizontal="center" vertical="center"/>
      <protection locked="0" hidden="0"/>
    </xf>
    <xf numFmtId="0" fontId="9" fillId="4" borderId="1" applyAlignment="1" applyProtection="1" pivotButton="0" quotePrefix="0" xfId="0">
      <alignment horizontal="left" vertical="center" indent="1"/>
      <protection locked="0" hidden="0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10" fillId="4" borderId="1" applyAlignment="1" applyProtection="1" pivotButton="0" quotePrefix="0" xfId="0">
      <alignment horizontal="center" vertical="center"/>
      <protection locked="0" hidden="0"/>
    </xf>
    <xf numFmtId="0" fontId="11" fillId="4" borderId="1" applyAlignment="1" applyProtection="1" pivotButton="0" quotePrefix="0" xfId="0">
      <alignment horizontal="left" vertical="center" indent="1"/>
      <protection locked="0" hidden="0"/>
    </xf>
    <xf numFmtId="0" fontId="8" fillId="4" borderId="1" applyAlignment="1" applyProtection="1" pivotButton="0" quotePrefix="0" xfId="0">
      <alignment horizontal="left" vertical="center" indent="1"/>
      <protection locked="0" hidden="0"/>
    </xf>
    <xf numFmtId="0" fontId="12" fillId="4" borderId="2" applyAlignment="1" applyProtection="1" pivotButton="0" quotePrefix="0" xfId="0">
      <alignment horizontal="center" vertical="center"/>
      <protection locked="0" hidden="0"/>
    </xf>
    <xf numFmtId="0" fontId="13" fillId="5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20" fillId="11" borderId="1" applyAlignment="1" pivotButton="0" quotePrefix="0" xfId="0">
      <alignment horizontal="center" vertical="center"/>
    </xf>
    <xf numFmtId="0" fontId="21" fillId="12" borderId="1" applyAlignment="1" pivotButton="0" quotePrefix="0" xfId="0">
      <alignment horizontal="center" vertical="center"/>
    </xf>
    <xf numFmtId="0" fontId="11" fillId="0" borderId="0" pivotButton="0" quotePrefix="0" xfId="0"/>
    <xf numFmtId="0" fontId="60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left" vertical="top" wrapText="1"/>
    </xf>
    <xf numFmtId="0" fontId="61" fillId="5" borderId="0" applyAlignment="1" pivotButton="0" quotePrefix="0" xfId="0">
      <alignment horizontal="center" vertical="center"/>
    </xf>
    <xf numFmtId="0" fontId="62" fillId="6" borderId="0" applyAlignment="1" pivotButton="0" quotePrefix="0" xfId="0">
      <alignment horizontal="center" vertical="center"/>
    </xf>
    <xf numFmtId="0" fontId="63" fillId="7" borderId="0" applyAlignment="1" pivotButton="0" quotePrefix="0" xfId="0">
      <alignment horizontal="center" vertical="center"/>
    </xf>
    <xf numFmtId="0" fontId="64" fillId="8" borderId="0" applyAlignment="1" pivotButton="0" quotePrefix="0" xfId="0">
      <alignment horizontal="center" vertical="center"/>
    </xf>
    <xf numFmtId="0" fontId="65" fillId="9" borderId="0" applyAlignment="1" pivotButton="0" quotePrefix="0" xfId="0">
      <alignment horizontal="center" vertical="center"/>
    </xf>
    <xf numFmtId="0" fontId="66" fillId="10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46" fillId="15" borderId="0" applyAlignment="1" pivotButton="0" quotePrefix="0" xfId="0">
      <alignment horizontal="center" vertical="center"/>
    </xf>
    <xf numFmtId="0" fontId="66" fillId="16" borderId="0" applyAlignment="1" pivotButton="0" quotePrefix="0" xfId="0">
      <alignment horizontal="center" vertical="center"/>
    </xf>
    <xf numFmtId="0" fontId="67" fillId="17" borderId="0" applyAlignment="1" pivotButton="0" quotePrefix="0" xfId="0">
      <alignment horizontal="center" vertical="center"/>
    </xf>
    <xf numFmtId="0" fontId="68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7" fillId="0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2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8">
    <dxf>
      <fill>
        <patternFill patternType="solid">
          <fgColor rgb="00006100"/>
          <bgColor rgb="00006100"/>
        </patternFill>
      </fill>
    </dxf>
    <dxf>
      <fill>
        <patternFill patternType="solid">
          <fgColor rgb="00C00000"/>
          <bgColor rgb="00C00000"/>
        </patternFill>
      </fill>
    </dxf>
    <dxf>
      <font>
        <color rgb="00F2F2F2"/>
      </font>
      <fill>
        <patternFill patternType="solid">
          <fgColor rgb="00F2F2F2"/>
          <bgColor rgb="00F2F2F2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color rgb="00A6A6A6"/>
      </font>
      <fill>
        <patternFill patternType="solid">
          <fgColor rgb="00EDEDED"/>
          <bgColor rgb="00EDEDED"/>
        </patternFill>
      </fill>
    </dxf>
    <dxf>
      <fill>
        <patternFill patternType="solid">
          <fgColor rgb="00FFF9DB"/>
          <bgColor rgb="00FFF9DB"/>
        </patternFill>
      </fill>
    </dxf>
    <dxf>
      <font>
        <b val="1"/>
        <color rgb="001F3864"/>
      </font>
      <fill>
        <patternFill patternType="solid">
          <fgColor rgb="00F4B183"/>
          <bgColor rgb="00F4B183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i val="1"/>
        <color rgb="007030A0"/>
      </font>
    </dxf>
    <dxf>
      <font>
        <b val="1"/>
        <color rgb="00C65911"/>
      </font>
      <fill>
        <patternFill patternType="solid">
          <fgColor rgb="00FCE4D6"/>
          <bgColor rgb="00FCE4D6"/>
        </patternFill>
      </fill>
    </dxf>
    <dxf>
      <font>
        <b val="1"/>
        <color rgb="00548235"/>
      </font>
      <fill>
        <patternFill patternType="solid">
          <fgColor rgb="00C6E0B4"/>
          <bgColor rgb="00C6E0B4"/>
        </patternFill>
      </fill>
    </dxf>
    <dxf>
      <font>
        <b val="1"/>
        <color rgb="002F5597"/>
      </font>
      <fill>
        <patternFill patternType="solid">
          <fgColor rgb="00DDEBF7"/>
          <bgColor rgb="00DDEBF7"/>
        </patternFill>
      </fill>
    </dxf>
    <dxf>
      <font>
        <b val="1"/>
        <color rgb="00A61B29"/>
      </font>
      <fill>
        <patternFill patternType="solid">
          <fgColor rgb="00F8D7DA"/>
          <bgColor rgb="00F8D7DA"/>
        </patternFill>
      </fill>
    </dxf>
    <dxf>
      <font>
        <b val="1"/>
        <color rgb="00595959"/>
      </font>
      <fill>
        <patternFill patternType="solid">
          <fgColor rgb="00E7E6E6"/>
          <bgColor rgb="00E7E6E6"/>
        </patternFill>
      </fill>
    </dxf>
    <dxf>
      <font>
        <b val="1"/>
        <color rgb="007F6000"/>
      </font>
      <fill>
        <patternFill patternType="solid">
          <fgColor rgb="00FFF2CC"/>
          <bgColor rgb="00FFF2CC"/>
        </patternFill>
      </fill>
    </dxf>
    <dxf>
      <font>
        <b val="1"/>
        <color rgb="005B2C86"/>
      </font>
      <fill>
        <patternFill patternType="solid">
          <fgColor rgb="00E2D5F1"/>
          <bgColor rgb="00E2D5F1"/>
        </patternFill>
      </fill>
    </dxf>
    <dxf>
      <font>
        <b val="1"/>
        <color rgb="000B6E6E"/>
      </font>
      <fill>
        <patternFill patternType="solid">
          <fgColor rgb="00D0F0F0"/>
          <bgColor rgb="00D0F0F0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  <dxf>
      <font>
        <i val="1"/>
        <color rgb="007F7F7F"/>
      </font>
    </dxf>
    <dxf>
      <font>
        <color rgb="00D0D0D0"/>
      </font>
    </dxf>
    <dxf>
      <font>
        <b val="1"/>
        <color rgb="00FFFFFF"/>
      </font>
      <fill>
        <patternFill patternType="solid">
          <fgColor rgb="00006100"/>
          <bgColor rgb="00006100"/>
        </patternFill>
      </fill>
    </dxf>
    <dxf>
      <font>
        <color rgb="009DAAC4"/>
      </font>
    </dxf>
    <dxf>
      <fill>
        <patternFill patternType="solid">
          <fgColor rgb="002E75B6"/>
          <bgColor rgb="002E75B6"/>
        </patternFill>
      </fill>
    </dxf>
    <dxf>
      <font>
        <color rgb="00C8C8C8"/>
      </font>
    </dxf>
    <dxf>
      <font>
        <b val="1"/>
        <color rgb="007030A0"/>
      </font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7030A0"/>
      </font>
      <fill>
        <patternFill patternType="solid">
          <fgColor rgb="00E2D5F1"/>
          <bgColor rgb="00E2D5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Planner</author>
  </authors>
  <commentList>
    <comment ref="C6" authorId="0" shapeId="0">
      <text>
        <t>Full names were not in the original planner. Fill them in here; they appear on My Rota and the Dashboard.</t>
      </text>
    </comment>
    <comment ref="L6" authorId="0" shapeId="0">
      <text>
        <t>Minimum people needed on this duty each weekday. The planner flags a gap when fewer are rostered. Set 0 for duties that are ad-hoc.</t>
      </text>
    </comment>
    <comment ref="M6" authorId="0" shapeId="0">
      <text>
        <t>Y = one person must be rostered on Saturday and Sunday. Duties set to N are greyed out at the weekend.</t>
      </text>
    </comment>
    <comment ref="B33" authorId="0" shapeId="0">
      <text>
        <t>Codes are what you type (or pick) in the availability grid of each week. 'Unavailable? = Y' removes the person from that day's duty dropdowns and flags a conflict if they are rostered anyway. Row 3 (T) is also counted as training days on the Year View. Colours are fixed per row.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etup'!A1" TargetMode="External" Id="rId1" /><Relationship Type="http://schemas.openxmlformats.org/officeDocument/2006/relationships/hyperlink" Target="#'2027'!A1" TargetMode="External" Id="rId2" /><Relationship Type="http://schemas.openxmlformats.org/officeDocument/2006/relationships/hyperlink" Target="#'2028'!A1" TargetMode="External" Id="rId3" /><Relationship Type="http://schemas.openxmlformats.org/officeDocument/2006/relationships/hyperlink" Target="#'2029'!A1" TargetMode="External" Id="rId4" /><Relationship Type="http://schemas.openxmlformats.org/officeDocument/2006/relationships/hyperlink" Target="#'2030'!A1" TargetMode="External" Id="rId5" /><Relationship Type="http://schemas.openxmlformats.org/officeDocument/2006/relationships/hyperlink" Target="#'My Rota'!A1" TargetMode="External" Id="rId6" /><Relationship Type="http://schemas.openxmlformats.org/officeDocument/2006/relationships/hyperlink" Target="#'Year View'!A1" TargetMode="External" Id="rId7" /><Relationship Type="http://schemas.openxmlformats.org/officeDocument/2006/relationships/hyperlink" Target="#'Guide'!A1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2027'!A1" TargetMode="External" Id="rId2" /><Relationship Type="http://schemas.openxmlformats.org/officeDocument/2006/relationships/hyperlink" Target="#'2027'!B55" TargetMode="External" Id="rId3" /><Relationship Type="http://schemas.openxmlformats.org/officeDocument/2006/relationships/hyperlink" Target="#'2027'!B5" TargetMode="External" Id="rId4" /><Relationship Type="http://schemas.openxmlformats.org/officeDocument/2006/relationships/hyperlink" Target="#'2027'!B105" TargetMode="External" Id="rId5" /><Relationship Type="http://schemas.openxmlformats.org/officeDocument/2006/relationships/hyperlink" Target="#'2027'!B55" TargetMode="External" Id="rId6" /><Relationship Type="http://schemas.openxmlformats.org/officeDocument/2006/relationships/hyperlink" Target="#'2027'!B155" TargetMode="External" Id="rId7" /><Relationship Type="http://schemas.openxmlformats.org/officeDocument/2006/relationships/hyperlink" Target="#'2027'!B105" TargetMode="External" Id="rId8" /><Relationship Type="http://schemas.openxmlformats.org/officeDocument/2006/relationships/hyperlink" Target="#'2027'!B205" TargetMode="External" Id="rId9" /><Relationship Type="http://schemas.openxmlformats.org/officeDocument/2006/relationships/hyperlink" Target="#'2027'!B155" TargetMode="External" Id="rId10" /><Relationship Type="http://schemas.openxmlformats.org/officeDocument/2006/relationships/hyperlink" Target="#'2027'!B255" TargetMode="External" Id="rId11" /><Relationship Type="http://schemas.openxmlformats.org/officeDocument/2006/relationships/hyperlink" Target="#'2027'!B205" TargetMode="External" Id="rId12" /><Relationship Type="http://schemas.openxmlformats.org/officeDocument/2006/relationships/hyperlink" Target="#'2027'!B305" TargetMode="External" Id="rId13" /><Relationship Type="http://schemas.openxmlformats.org/officeDocument/2006/relationships/hyperlink" Target="#'2027'!B255" TargetMode="External" Id="rId14" /><Relationship Type="http://schemas.openxmlformats.org/officeDocument/2006/relationships/hyperlink" Target="#'2027'!B355" TargetMode="External" Id="rId15" /><Relationship Type="http://schemas.openxmlformats.org/officeDocument/2006/relationships/hyperlink" Target="#'2027'!B305" TargetMode="External" Id="rId16" /><Relationship Type="http://schemas.openxmlformats.org/officeDocument/2006/relationships/hyperlink" Target="#'2027'!B405" TargetMode="External" Id="rId17" /><Relationship Type="http://schemas.openxmlformats.org/officeDocument/2006/relationships/hyperlink" Target="#'2027'!B355" TargetMode="External" Id="rId18" /><Relationship Type="http://schemas.openxmlformats.org/officeDocument/2006/relationships/hyperlink" Target="#'2027'!B455" TargetMode="External" Id="rId19" /><Relationship Type="http://schemas.openxmlformats.org/officeDocument/2006/relationships/hyperlink" Target="#'2027'!B405" TargetMode="External" Id="rId20" /><Relationship Type="http://schemas.openxmlformats.org/officeDocument/2006/relationships/hyperlink" Target="#'2027'!B505" TargetMode="External" Id="rId21" /><Relationship Type="http://schemas.openxmlformats.org/officeDocument/2006/relationships/hyperlink" Target="#'2027'!B455" TargetMode="External" Id="rId22" /><Relationship Type="http://schemas.openxmlformats.org/officeDocument/2006/relationships/hyperlink" Target="#'2027'!B555" TargetMode="External" Id="rId23" /><Relationship Type="http://schemas.openxmlformats.org/officeDocument/2006/relationships/hyperlink" Target="#'2027'!B505" TargetMode="External" Id="rId24" /><Relationship Type="http://schemas.openxmlformats.org/officeDocument/2006/relationships/hyperlink" Target="#'2027'!B605" TargetMode="External" Id="rId25" /><Relationship Type="http://schemas.openxmlformats.org/officeDocument/2006/relationships/hyperlink" Target="#'2027'!B555" TargetMode="External" Id="rId26" /><Relationship Type="http://schemas.openxmlformats.org/officeDocument/2006/relationships/hyperlink" Target="#'2027'!B655" TargetMode="External" Id="rId27" /><Relationship Type="http://schemas.openxmlformats.org/officeDocument/2006/relationships/hyperlink" Target="#'2027'!B605" TargetMode="External" Id="rId28" /><Relationship Type="http://schemas.openxmlformats.org/officeDocument/2006/relationships/hyperlink" Target="#'2027'!B705" TargetMode="External" Id="rId29" /><Relationship Type="http://schemas.openxmlformats.org/officeDocument/2006/relationships/hyperlink" Target="#'2027'!B655" TargetMode="External" Id="rId30" /><Relationship Type="http://schemas.openxmlformats.org/officeDocument/2006/relationships/hyperlink" Target="#'2027'!B755" TargetMode="External" Id="rId31" /><Relationship Type="http://schemas.openxmlformats.org/officeDocument/2006/relationships/hyperlink" Target="#'2027'!B705" TargetMode="External" Id="rId32" /><Relationship Type="http://schemas.openxmlformats.org/officeDocument/2006/relationships/hyperlink" Target="#'2027'!B805" TargetMode="External" Id="rId33" /><Relationship Type="http://schemas.openxmlformats.org/officeDocument/2006/relationships/hyperlink" Target="#'2027'!B755" TargetMode="External" Id="rId34" /><Relationship Type="http://schemas.openxmlformats.org/officeDocument/2006/relationships/hyperlink" Target="#'2027'!B855" TargetMode="External" Id="rId35" /><Relationship Type="http://schemas.openxmlformats.org/officeDocument/2006/relationships/hyperlink" Target="#'2027'!B805" TargetMode="External" Id="rId36" /><Relationship Type="http://schemas.openxmlformats.org/officeDocument/2006/relationships/hyperlink" Target="#'2027'!B905" TargetMode="External" Id="rId37" /><Relationship Type="http://schemas.openxmlformats.org/officeDocument/2006/relationships/hyperlink" Target="#'2027'!B855" TargetMode="External" Id="rId38" /><Relationship Type="http://schemas.openxmlformats.org/officeDocument/2006/relationships/hyperlink" Target="#'2027'!B955" TargetMode="External" Id="rId39" /><Relationship Type="http://schemas.openxmlformats.org/officeDocument/2006/relationships/hyperlink" Target="#'2027'!B905" TargetMode="External" Id="rId40" /><Relationship Type="http://schemas.openxmlformats.org/officeDocument/2006/relationships/hyperlink" Target="#'2027'!B1005" TargetMode="External" Id="rId41" /><Relationship Type="http://schemas.openxmlformats.org/officeDocument/2006/relationships/hyperlink" Target="#'2027'!B955" TargetMode="External" Id="rId42" /><Relationship Type="http://schemas.openxmlformats.org/officeDocument/2006/relationships/hyperlink" Target="#'2027'!B1055" TargetMode="External" Id="rId43" /><Relationship Type="http://schemas.openxmlformats.org/officeDocument/2006/relationships/hyperlink" Target="#'2027'!B1005" TargetMode="External" Id="rId44" /><Relationship Type="http://schemas.openxmlformats.org/officeDocument/2006/relationships/hyperlink" Target="#'2027'!B1105" TargetMode="External" Id="rId45" /><Relationship Type="http://schemas.openxmlformats.org/officeDocument/2006/relationships/hyperlink" Target="#'2027'!B1055" TargetMode="External" Id="rId46" /><Relationship Type="http://schemas.openxmlformats.org/officeDocument/2006/relationships/hyperlink" Target="#'2027'!B1155" TargetMode="External" Id="rId47" /><Relationship Type="http://schemas.openxmlformats.org/officeDocument/2006/relationships/hyperlink" Target="#'2027'!B1105" TargetMode="External" Id="rId48" /><Relationship Type="http://schemas.openxmlformats.org/officeDocument/2006/relationships/hyperlink" Target="#'2027'!B1205" TargetMode="External" Id="rId49" /><Relationship Type="http://schemas.openxmlformats.org/officeDocument/2006/relationships/hyperlink" Target="#'2027'!B1155" TargetMode="External" Id="rId50" /><Relationship Type="http://schemas.openxmlformats.org/officeDocument/2006/relationships/hyperlink" Target="#'2027'!B1255" TargetMode="External" Id="rId51" /><Relationship Type="http://schemas.openxmlformats.org/officeDocument/2006/relationships/hyperlink" Target="#'2027'!B1205" TargetMode="External" Id="rId52" /><Relationship Type="http://schemas.openxmlformats.org/officeDocument/2006/relationships/hyperlink" Target="#'2027'!B1305" TargetMode="External" Id="rId53" /><Relationship Type="http://schemas.openxmlformats.org/officeDocument/2006/relationships/hyperlink" Target="#'2027'!B1255" TargetMode="External" Id="rId54" /><Relationship Type="http://schemas.openxmlformats.org/officeDocument/2006/relationships/hyperlink" Target="#'2027'!B1355" TargetMode="External" Id="rId55" /><Relationship Type="http://schemas.openxmlformats.org/officeDocument/2006/relationships/hyperlink" Target="#'2027'!B1305" TargetMode="External" Id="rId56" /><Relationship Type="http://schemas.openxmlformats.org/officeDocument/2006/relationships/hyperlink" Target="#'2027'!B1405" TargetMode="External" Id="rId57" /><Relationship Type="http://schemas.openxmlformats.org/officeDocument/2006/relationships/hyperlink" Target="#'2027'!B1355" TargetMode="External" Id="rId58" /><Relationship Type="http://schemas.openxmlformats.org/officeDocument/2006/relationships/hyperlink" Target="#'2027'!B1455" TargetMode="External" Id="rId59" /><Relationship Type="http://schemas.openxmlformats.org/officeDocument/2006/relationships/hyperlink" Target="#'2027'!B1405" TargetMode="External" Id="rId60" /><Relationship Type="http://schemas.openxmlformats.org/officeDocument/2006/relationships/hyperlink" Target="#'2027'!B1505" TargetMode="External" Id="rId61" /><Relationship Type="http://schemas.openxmlformats.org/officeDocument/2006/relationships/hyperlink" Target="#'2027'!B1455" TargetMode="External" Id="rId62" /><Relationship Type="http://schemas.openxmlformats.org/officeDocument/2006/relationships/hyperlink" Target="#'2027'!B1555" TargetMode="External" Id="rId63" /><Relationship Type="http://schemas.openxmlformats.org/officeDocument/2006/relationships/hyperlink" Target="#'2027'!B1505" TargetMode="External" Id="rId64" /><Relationship Type="http://schemas.openxmlformats.org/officeDocument/2006/relationships/hyperlink" Target="#'2027'!B1605" TargetMode="External" Id="rId65" /><Relationship Type="http://schemas.openxmlformats.org/officeDocument/2006/relationships/hyperlink" Target="#'2027'!B1555" TargetMode="External" Id="rId66" /><Relationship Type="http://schemas.openxmlformats.org/officeDocument/2006/relationships/hyperlink" Target="#'2027'!B1655" TargetMode="External" Id="rId67" /><Relationship Type="http://schemas.openxmlformats.org/officeDocument/2006/relationships/hyperlink" Target="#'2027'!B1605" TargetMode="External" Id="rId68" /><Relationship Type="http://schemas.openxmlformats.org/officeDocument/2006/relationships/hyperlink" Target="#'2027'!B1705" TargetMode="External" Id="rId69" /><Relationship Type="http://schemas.openxmlformats.org/officeDocument/2006/relationships/hyperlink" Target="#'2027'!B1655" TargetMode="External" Id="rId70" /><Relationship Type="http://schemas.openxmlformats.org/officeDocument/2006/relationships/hyperlink" Target="#'2027'!B1755" TargetMode="External" Id="rId71" /><Relationship Type="http://schemas.openxmlformats.org/officeDocument/2006/relationships/hyperlink" Target="#'2027'!B1705" TargetMode="External" Id="rId72" /><Relationship Type="http://schemas.openxmlformats.org/officeDocument/2006/relationships/hyperlink" Target="#'2027'!B1805" TargetMode="External" Id="rId73" /><Relationship Type="http://schemas.openxmlformats.org/officeDocument/2006/relationships/hyperlink" Target="#'2027'!B1755" TargetMode="External" Id="rId74" /><Relationship Type="http://schemas.openxmlformats.org/officeDocument/2006/relationships/hyperlink" Target="#'2027'!B1855" TargetMode="External" Id="rId75" /><Relationship Type="http://schemas.openxmlformats.org/officeDocument/2006/relationships/hyperlink" Target="#'2027'!B1805" TargetMode="External" Id="rId76" /><Relationship Type="http://schemas.openxmlformats.org/officeDocument/2006/relationships/hyperlink" Target="#'2027'!B1905" TargetMode="External" Id="rId77" /><Relationship Type="http://schemas.openxmlformats.org/officeDocument/2006/relationships/hyperlink" Target="#'2027'!B1855" TargetMode="External" Id="rId78" /><Relationship Type="http://schemas.openxmlformats.org/officeDocument/2006/relationships/hyperlink" Target="#'2027'!B1955" TargetMode="External" Id="rId79" /><Relationship Type="http://schemas.openxmlformats.org/officeDocument/2006/relationships/hyperlink" Target="#'2027'!B1905" TargetMode="External" Id="rId80" /><Relationship Type="http://schemas.openxmlformats.org/officeDocument/2006/relationships/hyperlink" Target="#'2027'!B2005" TargetMode="External" Id="rId81" /><Relationship Type="http://schemas.openxmlformats.org/officeDocument/2006/relationships/hyperlink" Target="#'2027'!B1955" TargetMode="External" Id="rId82" /><Relationship Type="http://schemas.openxmlformats.org/officeDocument/2006/relationships/hyperlink" Target="#'2027'!B2055" TargetMode="External" Id="rId83" /><Relationship Type="http://schemas.openxmlformats.org/officeDocument/2006/relationships/hyperlink" Target="#'2027'!B2005" TargetMode="External" Id="rId84" /><Relationship Type="http://schemas.openxmlformats.org/officeDocument/2006/relationships/hyperlink" Target="#'2027'!B2105" TargetMode="External" Id="rId85" /><Relationship Type="http://schemas.openxmlformats.org/officeDocument/2006/relationships/hyperlink" Target="#'2027'!B2055" TargetMode="External" Id="rId86" /><Relationship Type="http://schemas.openxmlformats.org/officeDocument/2006/relationships/hyperlink" Target="#'2027'!B2155" TargetMode="External" Id="rId87" /><Relationship Type="http://schemas.openxmlformats.org/officeDocument/2006/relationships/hyperlink" Target="#'2027'!B2105" TargetMode="External" Id="rId88" /><Relationship Type="http://schemas.openxmlformats.org/officeDocument/2006/relationships/hyperlink" Target="#'2027'!B2205" TargetMode="External" Id="rId89" /><Relationship Type="http://schemas.openxmlformats.org/officeDocument/2006/relationships/hyperlink" Target="#'2027'!B2155" TargetMode="External" Id="rId90" /><Relationship Type="http://schemas.openxmlformats.org/officeDocument/2006/relationships/hyperlink" Target="#'2027'!B2255" TargetMode="External" Id="rId91" /><Relationship Type="http://schemas.openxmlformats.org/officeDocument/2006/relationships/hyperlink" Target="#'2027'!B2205" TargetMode="External" Id="rId92" /><Relationship Type="http://schemas.openxmlformats.org/officeDocument/2006/relationships/hyperlink" Target="#'2027'!B2305" TargetMode="External" Id="rId93" /><Relationship Type="http://schemas.openxmlformats.org/officeDocument/2006/relationships/hyperlink" Target="#'2027'!B2255" TargetMode="External" Id="rId94" /><Relationship Type="http://schemas.openxmlformats.org/officeDocument/2006/relationships/hyperlink" Target="#'2027'!B2355" TargetMode="External" Id="rId95" /><Relationship Type="http://schemas.openxmlformats.org/officeDocument/2006/relationships/hyperlink" Target="#'2027'!B2305" TargetMode="External" Id="rId96" /><Relationship Type="http://schemas.openxmlformats.org/officeDocument/2006/relationships/hyperlink" Target="#'2027'!B2405" TargetMode="External" Id="rId97" /><Relationship Type="http://schemas.openxmlformats.org/officeDocument/2006/relationships/hyperlink" Target="#'2027'!B2355" TargetMode="External" Id="rId98" /><Relationship Type="http://schemas.openxmlformats.org/officeDocument/2006/relationships/hyperlink" Target="#'2027'!B2455" TargetMode="External" Id="rId99" /><Relationship Type="http://schemas.openxmlformats.org/officeDocument/2006/relationships/hyperlink" Target="#'2027'!B2405" TargetMode="External" Id="rId100" /><Relationship Type="http://schemas.openxmlformats.org/officeDocument/2006/relationships/hyperlink" Target="#'2027'!B2505" TargetMode="External" Id="rId101" /><Relationship Type="http://schemas.openxmlformats.org/officeDocument/2006/relationships/hyperlink" Target="#'2027'!B2455" TargetMode="External" Id="rId102" /><Relationship Type="http://schemas.openxmlformats.org/officeDocument/2006/relationships/hyperlink" Target="#'2027'!B2555" TargetMode="External" Id="rId103" /><Relationship Type="http://schemas.openxmlformats.org/officeDocument/2006/relationships/hyperlink" Target="#'2027'!B2505" TargetMode="External" Id="rId104" /><Relationship Type="http://schemas.openxmlformats.org/officeDocument/2006/relationships/hyperlink" Target="#'2027'!B2605" TargetMode="External" Id="rId105" /><Relationship Type="http://schemas.openxmlformats.org/officeDocument/2006/relationships/hyperlink" Target="#'2027'!B2555" TargetMode="External" Id="rId106" /><Relationship Type="http://schemas.openxmlformats.org/officeDocument/2006/relationships/hyperlink" Target="#'2027'!A1" TargetMode="External" Id="rId107" /></Relationships>
</file>

<file path=xl/worksheets/_rels/sheet3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2028'!A1" TargetMode="External" Id="rId2" /><Relationship Type="http://schemas.openxmlformats.org/officeDocument/2006/relationships/hyperlink" Target="#'2028'!B55" TargetMode="External" Id="rId3" /><Relationship Type="http://schemas.openxmlformats.org/officeDocument/2006/relationships/hyperlink" Target="#'2028'!B5" TargetMode="External" Id="rId4" /><Relationship Type="http://schemas.openxmlformats.org/officeDocument/2006/relationships/hyperlink" Target="#'2028'!B105" TargetMode="External" Id="rId5" /><Relationship Type="http://schemas.openxmlformats.org/officeDocument/2006/relationships/hyperlink" Target="#'2028'!B55" TargetMode="External" Id="rId6" /><Relationship Type="http://schemas.openxmlformats.org/officeDocument/2006/relationships/hyperlink" Target="#'2028'!B155" TargetMode="External" Id="rId7" /><Relationship Type="http://schemas.openxmlformats.org/officeDocument/2006/relationships/hyperlink" Target="#'2028'!B105" TargetMode="External" Id="rId8" /><Relationship Type="http://schemas.openxmlformats.org/officeDocument/2006/relationships/hyperlink" Target="#'2028'!B205" TargetMode="External" Id="rId9" /><Relationship Type="http://schemas.openxmlformats.org/officeDocument/2006/relationships/hyperlink" Target="#'2028'!B155" TargetMode="External" Id="rId10" /><Relationship Type="http://schemas.openxmlformats.org/officeDocument/2006/relationships/hyperlink" Target="#'2028'!B255" TargetMode="External" Id="rId11" /><Relationship Type="http://schemas.openxmlformats.org/officeDocument/2006/relationships/hyperlink" Target="#'2028'!B205" TargetMode="External" Id="rId12" /><Relationship Type="http://schemas.openxmlformats.org/officeDocument/2006/relationships/hyperlink" Target="#'2028'!B305" TargetMode="External" Id="rId13" /><Relationship Type="http://schemas.openxmlformats.org/officeDocument/2006/relationships/hyperlink" Target="#'2028'!B255" TargetMode="External" Id="rId14" /><Relationship Type="http://schemas.openxmlformats.org/officeDocument/2006/relationships/hyperlink" Target="#'2028'!B355" TargetMode="External" Id="rId15" /><Relationship Type="http://schemas.openxmlformats.org/officeDocument/2006/relationships/hyperlink" Target="#'2028'!B305" TargetMode="External" Id="rId16" /><Relationship Type="http://schemas.openxmlformats.org/officeDocument/2006/relationships/hyperlink" Target="#'2028'!B405" TargetMode="External" Id="rId17" /><Relationship Type="http://schemas.openxmlformats.org/officeDocument/2006/relationships/hyperlink" Target="#'2028'!B355" TargetMode="External" Id="rId18" /><Relationship Type="http://schemas.openxmlformats.org/officeDocument/2006/relationships/hyperlink" Target="#'2028'!B455" TargetMode="External" Id="rId19" /><Relationship Type="http://schemas.openxmlformats.org/officeDocument/2006/relationships/hyperlink" Target="#'2028'!B405" TargetMode="External" Id="rId20" /><Relationship Type="http://schemas.openxmlformats.org/officeDocument/2006/relationships/hyperlink" Target="#'2028'!B505" TargetMode="External" Id="rId21" /><Relationship Type="http://schemas.openxmlformats.org/officeDocument/2006/relationships/hyperlink" Target="#'2028'!B455" TargetMode="External" Id="rId22" /><Relationship Type="http://schemas.openxmlformats.org/officeDocument/2006/relationships/hyperlink" Target="#'2028'!B555" TargetMode="External" Id="rId23" /><Relationship Type="http://schemas.openxmlformats.org/officeDocument/2006/relationships/hyperlink" Target="#'2028'!B505" TargetMode="External" Id="rId24" /><Relationship Type="http://schemas.openxmlformats.org/officeDocument/2006/relationships/hyperlink" Target="#'2028'!B605" TargetMode="External" Id="rId25" /><Relationship Type="http://schemas.openxmlformats.org/officeDocument/2006/relationships/hyperlink" Target="#'2028'!B555" TargetMode="External" Id="rId26" /><Relationship Type="http://schemas.openxmlformats.org/officeDocument/2006/relationships/hyperlink" Target="#'2028'!B655" TargetMode="External" Id="rId27" /><Relationship Type="http://schemas.openxmlformats.org/officeDocument/2006/relationships/hyperlink" Target="#'2028'!B605" TargetMode="External" Id="rId28" /><Relationship Type="http://schemas.openxmlformats.org/officeDocument/2006/relationships/hyperlink" Target="#'2028'!B705" TargetMode="External" Id="rId29" /><Relationship Type="http://schemas.openxmlformats.org/officeDocument/2006/relationships/hyperlink" Target="#'2028'!B655" TargetMode="External" Id="rId30" /><Relationship Type="http://schemas.openxmlformats.org/officeDocument/2006/relationships/hyperlink" Target="#'2028'!B755" TargetMode="External" Id="rId31" /><Relationship Type="http://schemas.openxmlformats.org/officeDocument/2006/relationships/hyperlink" Target="#'2028'!B705" TargetMode="External" Id="rId32" /><Relationship Type="http://schemas.openxmlformats.org/officeDocument/2006/relationships/hyperlink" Target="#'2028'!B805" TargetMode="External" Id="rId33" /><Relationship Type="http://schemas.openxmlformats.org/officeDocument/2006/relationships/hyperlink" Target="#'2028'!B755" TargetMode="External" Id="rId34" /><Relationship Type="http://schemas.openxmlformats.org/officeDocument/2006/relationships/hyperlink" Target="#'2028'!B855" TargetMode="External" Id="rId35" /><Relationship Type="http://schemas.openxmlformats.org/officeDocument/2006/relationships/hyperlink" Target="#'2028'!B805" TargetMode="External" Id="rId36" /><Relationship Type="http://schemas.openxmlformats.org/officeDocument/2006/relationships/hyperlink" Target="#'2028'!B905" TargetMode="External" Id="rId37" /><Relationship Type="http://schemas.openxmlformats.org/officeDocument/2006/relationships/hyperlink" Target="#'2028'!B855" TargetMode="External" Id="rId38" /><Relationship Type="http://schemas.openxmlformats.org/officeDocument/2006/relationships/hyperlink" Target="#'2028'!B955" TargetMode="External" Id="rId39" /><Relationship Type="http://schemas.openxmlformats.org/officeDocument/2006/relationships/hyperlink" Target="#'2028'!B905" TargetMode="External" Id="rId40" /><Relationship Type="http://schemas.openxmlformats.org/officeDocument/2006/relationships/hyperlink" Target="#'2028'!B1005" TargetMode="External" Id="rId41" /><Relationship Type="http://schemas.openxmlformats.org/officeDocument/2006/relationships/hyperlink" Target="#'2028'!B955" TargetMode="External" Id="rId42" /><Relationship Type="http://schemas.openxmlformats.org/officeDocument/2006/relationships/hyperlink" Target="#'2028'!B1055" TargetMode="External" Id="rId43" /><Relationship Type="http://schemas.openxmlformats.org/officeDocument/2006/relationships/hyperlink" Target="#'2028'!B1005" TargetMode="External" Id="rId44" /><Relationship Type="http://schemas.openxmlformats.org/officeDocument/2006/relationships/hyperlink" Target="#'2028'!B1105" TargetMode="External" Id="rId45" /><Relationship Type="http://schemas.openxmlformats.org/officeDocument/2006/relationships/hyperlink" Target="#'2028'!B1055" TargetMode="External" Id="rId46" /><Relationship Type="http://schemas.openxmlformats.org/officeDocument/2006/relationships/hyperlink" Target="#'2028'!B1155" TargetMode="External" Id="rId47" /><Relationship Type="http://schemas.openxmlformats.org/officeDocument/2006/relationships/hyperlink" Target="#'2028'!B1105" TargetMode="External" Id="rId48" /><Relationship Type="http://schemas.openxmlformats.org/officeDocument/2006/relationships/hyperlink" Target="#'2028'!B1205" TargetMode="External" Id="rId49" /><Relationship Type="http://schemas.openxmlformats.org/officeDocument/2006/relationships/hyperlink" Target="#'2028'!B1155" TargetMode="External" Id="rId50" /><Relationship Type="http://schemas.openxmlformats.org/officeDocument/2006/relationships/hyperlink" Target="#'2028'!B1255" TargetMode="External" Id="rId51" /><Relationship Type="http://schemas.openxmlformats.org/officeDocument/2006/relationships/hyperlink" Target="#'2028'!B1205" TargetMode="External" Id="rId52" /><Relationship Type="http://schemas.openxmlformats.org/officeDocument/2006/relationships/hyperlink" Target="#'2028'!B1305" TargetMode="External" Id="rId53" /><Relationship Type="http://schemas.openxmlformats.org/officeDocument/2006/relationships/hyperlink" Target="#'2028'!B1255" TargetMode="External" Id="rId54" /><Relationship Type="http://schemas.openxmlformats.org/officeDocument/2006/relationships/hyperlink" Target="#'2028'!B1355" TargetMode="External" Id="rId55" /><Relationship Type="http://schemas.openxmlformats.org/officeDocument/2006/relationships/hyperlink" Target="#'2028'!B1305" TargetMode="External" Id="rId56" /><Relationship Type="http://schemas.openxmlformats.org/officeDocument/2006/relationships/hyperlink" Target="#'2028'!B1405" TargetMode="External" Id="rId57" /><Relationship Type="http://schemas.openxmlformats.org/officeDocument/2006/relationships/hyperlink" Target="#'2028'!B1355" TargetMode="External" Id="rId58" /><Relationship Type="http://schemas.openxmlformats.org/officeDocument/2006/relationships/hyperlink" Target="#'2028'!B1455" TargetMode="External" Id="rId59" /><Relationship Type="http://schemas.openxmlformats.org/officeDocument/2006/relationships/hyperlink" Target="#'2028'!B1405" TargetMode="External" Id="rId60" /><Relationship Type="http://schemas.openxmlformats.org/officeDocument/2006/relationships/hyperlink" Target="#'2028'!B1505" TargetMode="External" Id="rId61" /><Relationship Type="http://schemas.openxmlformats.org/officeDocument/2006/relationships/hyperlink" Target="#'2028'!B1455" TargetMode="External" Id="rId62" /><Relationship Type="http://schemas.openxmlformats.org/officeDocument/2006/relationships/hyperlink" Target="#'2028'!B1555" TargetMode="External" Id="rId63" /><Relationship Type="http://schemas.openxmlformats.org/officeDocument/2006/relationships/hyperlink" Target="#'2028'!B1505" TargetMode="External" Id="rId64" /><Relationship Type="http://schemas.openxmlformats.org/officeDocument/2006/relationships/hyperlink" Target="#'2028'!B1605" TargetMode="External" Id="rId65" /><Relationship Type="http://schemas.openxmlformats.org/officeDocument/2006/relationships/hyperlink" Target="#'2028'!B1555" TargetMode="External" Id="rId66" /><Relationship Type="http://schemas.openxmlformats.org/officeDocument/2006/relationships/hyperlink" Target="#'2028'!B1655" TargetMode="External" Id="rId67" /><Relationship Type="http://schemas.openxmlformats.org/officeDocument/2006/relationships/hyperlink" Target="#'2028'!B1605" TargetMode="External" Id="rId68" /><Relationship Type="http://schemas.openxmlformats.org/officeDocument/2006/relationships/hyperlink" Target="#'2028'!B1705" TargetMode="External" Id="rId69" /><Relationship Type="http://schemas.openxmlformats.org/officeDocument/2006/relationships/hyperlink" Target="#'2028'!B1655" TargetMode="External" Id="rId70" /><Relationship Type="http://schemas.openxmlformats.org/officeDocument/2006/relationships/hyperlink" Target="#'2028'!B1755" TargetMode="External" Id="rId71" /><Relationship Type="http://schemas.openxmlformats.org/officeDocument/2006/relationships/hyperlink" Target="#'2028'!B1705" TargetMode="External" Id="rId72" /><Relationship Type="http://schemas.openxmlformats.org/officeDocument/2006/relationships/hyperlink" Target="#'2028'!B1805" TargetMode="External" Id="rId73" /><Relationship Type="http://schemas.openxmlformats.org/officeDocument/2006/relationships/hyperlink" Target="#'2028'!B1755" TargetMode="External" Id="rId74" /><Relationship Type="http://schemas.openxmlformats.org/officeDocument/2006/relationships/hyperlink" Target="#'2028'!B1855" TargetMode="External" Id="rId75" /><Relationship Type="http://schemas.openxmlformats.org/officeDocument/2006/relationships/hyperlink" Target="#'2028'!B1805" TargetMode="External" Id="rId76" /><Relationship Type="http://schemas.openxmlformats.org/officeDocument/2006/relationships/hyperlink" Target="#'2028'!B1905" TargetMode="External" Id="rId77" /><Relationship Type="http://schemas.openxmlformats.org/officeDocument/2006/relationships/hyperlink" Target="#'2028'!B1855" TargetMode="External" Id="rId78" /><Relationship Type="http://schemas.openxmlformats.org/officeDocument/2006/relationships/hyperlink" Target="#'2028'!B1955" TargetMode="External" Id="rId79" /><Relationship Type="http://schemas.openxmlformats.org/officeDocument/2006/relationships/hyperlink" Target="#'2028'!B1905" TargetMode="External" Id="rId80" /><Relationship Type="http://schemas.openxmlformats.org/officeDocument/2006/relationships/hyperlink" Target="#'2028'!B2005" TargetMode="External" Id="rId81" /><Relationship Type="http://schemas.openxmlformats.org/officeDocument/2006/relationships/hyperlink" Target="#'2028'!B1955" TargetMode="External" Id="rId82" /><Relationship Type="http://schemas.openxmlformats.org/officeDocument/2006/relationships/hyperlink" Target="#'2028'!B2055" TargetMode="External" Id="rId83" /><Relationship Type="http://schemas.openxmlformats.org/officeDocument/2006/relationships/hyperlink" Target="#'2028'!B2005" TargetMode="External" Id="rId84" /><Relationship Type="http://schemas.openxmlformats.org/officeDocument/2006/relationships/hyperlink" Target="#'2028'!B2105" TargetMode="External" Id="rId85" /><Relationship Type="http://schemas.openxmlformats.org/officeDocument/2006/relationships/hyperlink" Target="#'2028'!B2055" TargetMode="External" Id="rId86" /><Relationship Type="http://schemas.openxmlformats.org/officeDocument/2006/relationships/hyperlink" Target="#'2028'!B2155" TargetMode="External" Id="rId87" /><Relationship Type="http://schemas.openxmlformats.org/officeDocument/2006/relationships/hyperlink" Target="#'2028'!B2105" TargetMode="External" Id="rId88" /><Relationship Type="http://schemas.openxmlformats.org/officeDocument/2006/relationships/hyperlink" Target="#'2028'!B2205" TargetMode="External" Id="rId89" /><Relationship Type="http://schemas.openxmlformats.org/officeDocument/2006/relationships/hyperlink" Target="#'2028'!B2155" TargetMode="External" Id="rId90" /><Relationship Type="http://schemas.openxmlformats.org/officeDocument/2006/relationships/hyperlink" Target="#'2028'!B2255" TargetMode="External" Id="rId91" /><Relationship Type="http://schemas.openxmlformats.org/officeDocument/2006/relationships/hyperlink" Target="#'2028'!B2205" TargetMode="External" Id="rId92" /><Relationship Type="http://schemas.openxmlformats.org/officeDocument/2006/relationships/hyperlink" Target="#'2028'!B2305" TargetMode="External" Id="rId93" /><Relationship Type="http://schemas.openxmlformats.org/officeDocument/2006/relationships/hyperlink" Target="#'2028'!B2255" TargetMode="External" Id="rId94" /><Relationship Type="http://schemas.openxmlformats.org/officeDocument/2006/relationships/hyperlink" Target="#'2028'!B2355" TargetMode="External" Id="rId95" /><Relationship Type="http://schemas.openxmlformats.org/officeDocument/2006/relationships/hyperlink" Target="#'2028'!B2305" TargetMode="External" Id="rId96" /><Relationship Type="http://schemas.openxmlformats.org/officeDocument/2006/relationships/hyperlink" Target="#'2028'!B2405" TargetMode="External" Id="rId97" /><Relationship Type="http://schemas.openxmlformats.org/officeDocument/2006/relationships/hyperlink" Target="#'2028'!B2355" TargetMode="External" Id="rId98" /><Relationship Type="http://schemas.openxmlformats.org/officeDocument/2006/relationships/hyperlink" Target="#'2028'!B2455" TargetMode="External" Id="rId99" /><Relationship Type="http://schemas.openxmlformats.org/officeDocument/2006/relationships/hyperlink" Target="#'2028'!B2405" TargetMode="External" Id="rId100" /><Relationship Type="http://schemas.openxmlformats.org/officeDocument/2006/relationships/hyperlink" Target="#'2028'!B2505" TargetMode="External" Id="rId101" /><Relationship Type="http://schemas.openxmlformats.org/officeDocument/2006/relationships/hyperlink" Target="#'2028'!B2455" TargetMode="External" Id="rId102" /><Relationship Type="http://schemas.openxmlformats.org/officeDocument/2006/relationships/hyperlink" Target="#'2028'!B2555" TargetMode="External" Id="rId103" /><Relationship Type="http://schemas.openxmlformats.org/officeDocument/2006/relationships/hyperlink" Target="#'2028'!B2505" TargetMode="External" Id="rId104" /><Relationship Type="http://schemas.openxmlformats.org/officeDocument/2006/relationships/hyperlink" Target="#'2028'!B2605" TargetMode="External" Id="rId105" /><Relationship Type="http://schemas.openxmlformats.org/officeDocument/2006/relationships/hyperlink" Target="#'2028'!B2555" TargetMode="External" Id="rId106" /><Relationship Type="http://schemas.openxmlformats.org/officeDocument/2006/relationships/hyperlink" Target="#'2028'!A1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2029'!A1" TargetMode="External" Id="rId2" /><Relationship Type="http://schemas.openxmlformats.org/officeDocument/2006/relationships/hyperlink" Target="#'2029'!B55" TargetMode="External" Id="rId3" /><Relationship Type="http://schemas.openxmlformats.org/officeDocument/2006/relationships/hyperlink" Target="#'2029'!B5" TargetMode="External" Id="rId4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argetMode="External" Id="rId6" /><Relationship Type="http://schemas.openxmlformats.org/officeDocument/2006/relationships/hyperlink" Target="#'2029'!B155" TargetMode="External" Id="rId7" /><Relationship Type="http://schemas.openxmlformats.org/officeDocument/2006/relationships/hyperlink" Target="#'2029'!B105" TargetMode="External" Id="rId8" /><Relationship Type="http://schemas.openxmlformats.org/officeDocument/2006/relationships/hyperlink" Target="#'2029'!B205" TargetMode="External" Id="rId9" /><Relationship Type="http://schemas.openxmlformats.org/officeDocument/2006/relationships/hyperlink" Target="#'2029'!B155" TargetMode="External" Id="rId10" /><Relationship Type="http://schemas.openxmlformats.org/officeDocument/2006/relationships/hyperlink" Target="#'2029'!B255" TargetMode="External" Id="rId11" /><Relationship Type="http://schemas.openxmlformats.org/officeDocument/2006/relationships/hyperlink" Target="#'2029'!B205" TargetMode="External" Id="rId12" /><Relationship Type="http://schemas.openxmlformats.org/officeDocument/2006/relationships/hyperlink" Target="#'2029'!B305" TargetMode="External" Id="rId13" /><Relationship Type="http://schemas.openxmlformats.org/officeDocument/2006/relationships/hyperlink" Target="#'2029'!B255" TargetMode="External" Id="rId14" /><Relationship Type="http://schemas.openxmlformats.org/officeDocument/2006/relationships/hyperlink" Target="#'2029'!B355" TargetMode="External" Id="rId15" /><Relationship Type="http://schemas.openxmlformats.org/officeDocument/2006/relationships/hyperlink" Target="#'2029'!B305" TargetMode="External" Id="rId16" /><Relationship Type="http://schemas.openxmlformats.org/officeDocument/2006/relationships/hyperlink" Target="#'2029'!B405" TargetMode="External" Id="rId17" /><Relationship Type="http://schemas.openxmlformats.org/officeDocument/2006/relationships/hyperlink" Target="#'2029'!B355" TargetMode="External" Id="rId18" /><Relationship Type="http://schemas.openxmlformats.org/officeDocument/2006/relationships/hyperlink" Target="#'2029'!B455" TargetMode="External" Id="rId19" /><Relationship Type="http://schemas.openxmlformats.org/officeDocument/2006/relationships/hyperlink" Target="#'2029'!B405" TargetMode="External" Id="rId20" /><Relationship Type="http://schemas.openxmlformats.org/officeDocument/2006/relationships/hyperlink" Target="#'2029'!B505" TargetMode="External" Id="rId21" /><Relationship Type="http://schemas.openxmlformats.org/officeDocument/2006/relationships/hyperlink" Target="#'2029'!B455" TargetMode="External" Id="rId22" /><Relationship Type="http://schemas.openxmlformats.org/officeDocument/2006/relationships/hyperlink" Target="#'2029'!B555" TargetMode="External" Id="rId23" /><Relationship Type="http://schemas.openxmlformats.org/officeDocument/2006/relationships/hyperlink" Target="#'2029'!B505" TargetMode="External" Id="rId24" /><Relationship Type="http://schemas.openxmlformats.org/officeDocument/2006/relationships/hyperlink" Target="#'2029'!B605" TargetMode="External" Id="rId25" /><Relationship Type="http://schemas.openxmlformats.org/officeDocument/2006/relationships/hyperlink" Target="#'2029'!B555" TargetMode="External" Id="rId26" /><Relationship Type="http://schemas.openxmlformats.org/officeDocument/2006/relationships/hyperlink" Target="#'2029'!B655" TargetMode="External" Id="rId27" /><Relationship Type="http://schemas.openxmlformats.org/officeDocument/2006/relationships/hyperlink" Target="#'2029'!B605" TargetMode="External" Id="rId28" /><Relationship Type="http://schemas.openxmlformats.org/officeDocument/2006/relationships/hyperlink" Target="#'2029'!B705" TargetMode="External" Id="rId29" /><Relationship Type="http://schemas.openxmlformats.org/officeDocument/2006/relationships/hyperlink" Target="#'2029'!B655" TargetMode="External" Id="rId30" /><Relationship Type="http://schemas.openxmlformats.org/officeDocument/2006/relationships/hyperlink" Target="#'2029'!B755" TargetMode="External" Id="rId31" /><Relationship Type="http://schemas.openxmlformats.org/officeDocument/2006/relationships/hyperlink" Target="#'2029'!B705" TargetMode="External" Id="rId32" /><Relationship Type="http://schemas.openxmlformats.org/officeDocument/2006/relationships/hyperlink" Target="#'2029'!B805" TargetMode="External" Id="rId33" /><Relationship Type="http://schemas.openxmlformats.org/officeDocument/2006/relationships/hyperlink" Target="#'2029'!B755" TargetMode="External" Id="rId34" /><Relationship Type="http://schemas.openxmlformats.org/officeDocument/2006/relationships/hyperlink" Target="#'2029'!B855" TargetMode="External" Id="rId35" /><Relationship Type="http://schemas.openxmlformats.org/officeDocument/2006/relationships/hyperlink" Target="#'2029'!B805" TargetMode="External" Id="rId36" /><Relationship Type="http://schemas.openxmlformats.org/officeDocument/2006/relationships/hyperlink" Target="#'2029'!B905" TargetMode="External" Id="rId37" /><Relationship Type="http://schemas.openxmlformats.org/officeDocument/2006/relationships/hyperlink" Target="#'2029'!B855" TargetMode="External" Id="rId38" /><Relationship Type="http://schemas.openxmlformats.org/officeDocument/2006/relationships/hyperlink" Target="#'2029'!B955" TargetMode="External" Id="rId39" /><Relationship Type="http://schemas.openxmlformats.org/officeDocument/2006/relationships/hyperlink" Target="#'2029'!B905" TargetMode="External" Id="rId40" /><Relationship Type="http://schemas.openxmlformats.org/officeDocument/2006/relationships/hyperlink" Target="#'2029'!B1005" TargetMode="External" Id="rId41" /><Relationship Type="http://schemas.openxmlformats.org/officeDocument/2006/relationships/hyperlink" Target="#'2029'!B955" TargetMode="External" Id="rId42" /><Relationship Type="http://schemas.openxmlformats.org/officeDocument/2006/relationships/hyperlink" Target="#'2029'!B1055" TargetMode="External" Id="rId43" /><Relationship Type="http://schemas.openxmlformats.org/officeDocument/2006/relationships/hyperlink" Target="#'2029'!B1005" TargetMode="External" Id="rId44" /><Relationship Type="http://schemas.openxmlformats.org/officeDocument/2006/relationships/hyperlink" Target="#'2029'!B1105" TargetMode="External" Id="rId45" /><Relationship Type="http://schemas.openxmlformats.org/officeDocument/2006/relationships/hyperlink" Target="#'2029'!B1055" TargetMode="External" Id="rId46" /><Relationship Type="http://schemas.openxmlformats.org/officeDocument/2006/relationships/hyperlink" Target="#'2029'!B1155" TargetMode="External" Id="rId47" /><Relationship Type="http://schemas.openxmlformats.org/officeDocument/2006/relationships/hyperlink" Target="#'2029'!B1105" TargetMode="External" Id="rId48" /><Relationship Type="http://schemas.openxmlformats.org/officeDocument/2006/relationships/hyperlink" Target="#'2029'!B1205" TargetMode="External" Id="rId49" /><Relationship Type="http://schemas.openxmlformats.org/officeDocument/2006/relationships/hyperlink" Target="#'2029'!B1155" TargetMode="External" Id="rId50" /><Relationship Type="http://schemas.openxmlformats.org/officeDocument/2006/relationships/hyperlink" Target="#'2029'!B1255" TargetMode="External" Id="rId51" /><Relationship Type="http://schemas.openxmlformats.org/officeDocument/2006/relationships/hyperlink" Target="#'2029'!B1205" TargetMode="External" Id="rId52" /><Relationship Type="http://schemas.openxmlformats.org/officeDocument/2006/relationships/hyperlink" Target="#'2029'!B1305" TargetMode="External" Id="rId53" /><Relationship Type="http://schemas.openxmlformats.org/officeDocument/2006/relationships/hyperlink" Target="#'2029'!B1255" TargetMode="External" Id="rId54" /><Relationship Type="http://schemas.openxmlformats.org/officeDocument/2006/relationships/hyperlink" Target="#'2029'!B1355" TargetMode="External" Id="rId55" /><Relationship Type="http://schemas.openxmlformats.org/officeDocument/2006/relationships/hyperlink" Target="#'2029'!B1305" TargetMode="External" Id="rId56" /><Relationship Type="http://schemas.openxmlformats.org/officeDocument/2006/relationships/hyperlink" Target="#'2029'!B1405" TargetMode="External" Id="rId57" /><Relationship Type="http://schemas.openxmlformats.org/officeDocument/2006/relationships/hyperlink" Target="#'2029'!B1355" TargetMode="External" Id="rId58" /><Relationship Type="http://schemas.openxmlformats.org/officeDocument/2006/relationships/hyperlink" Target="#'2029'!B1455" TargetMode="External" Id="rId59" /><Relationship Type="http://schemas.openxmlformats.org/officeDocument/2006/relationships/hyperlink" Target="#'2029'!B1405" TargetMode="External" Id="rId60" /><Relationship Type="http://schemas.openxmlformats.org/officeDocument/2006/relationships/hyperlink" Target="#'2029'!B1505" TargetMode="External" Id="rId61" /><Relationship Type="http://schemas.openxmlformats.org/officeDocument/2006/relationships/hyperlink" Target="#'2029'!B1455" TargetMode="External" Id="rId62" /><Relationship Type="http://schemas.openxmlformats.org/officeDocument/2006/relationships/hyperlink" Target="#'2029'!B1555" TargetMode="External" Id="rId63" /><Relationship Type="http://schemas.openxmlformats.org/officeDocument/2006/relationships/hyperlink" Target="#'2029'!B1505" TargetMode="External" Id="rId64" /><Relationship Type="http://schemas.openxmlformats.org/officeDocument/2006/relationships/hyperlink" Target="#'2029'!B1605" TargetMode="External" Id="rId65" /><Relationship Type="http://schemas.openxmlformats.org/officeDocument/2006/relationships/hyperlink" Target="#'2029'!B1555" TargetMode="External" Id="rId66" /><Relationship Type="http://schemas.openxmlformats.org/officeDocument/2006/relationships/hyperlink" Target="#'2029'!B1655" TargetMode="External" Id="rId67" /><Relationship Type="http://schemas.openxmlformats.org/officeDocument/2006/relationships/hyperlink" Target="#'2029'!B1605" TargetMode="External" Id="rId68" /><Relationship Type="http://schemas.openxmlformats.org/officeDocument/2006/relationships/hyperlink" Target="#'2029'!B1705" TargetMode="External" Id="rId69" /><Relationship Type="http://schemas.openxmlformats.org/officeDocument/2006/relationships/hyperlink" Target="#'2029'!B1655" TargetMode="External" Id="rId70" /><Relationship Type="http://schemas.openxmlformats.org/officeDocument/2006/relationships/hyperlink" Target="#'2029'!B1755" TargetMode="External" Id="rId71" /><Relationship Type="http://schemas.openxmlformats.org/officeDocument/2006/relationships/hyperlink" Target="#'2029'!B1705" TargetMode="External" Id="rId72" /><Relationship Type="http://schemas.openxmlformats.org/officeDocument/2006/relationships/hyperlink" Target="#'2029'!B1805" TargetMode="External" Id="rId73" /><Relationship Type="http://schemas.openxmlformats.org/officeDocument/2006/relationships/hyperlink" Target="#'2029'!B1755" TargetMode="External" Id="rId74" /><Relationship Type="http://schemas.openxmlformats.org/officeDocument/2006/relationships/hyperlink" Target="#'2029'!B1855" TargetMode="External" Id="rId75" /><Relationship Type="http://schemas.openxmlformats.org/officeDocument/2006/relationships/hyperlink" Target="#'2029'!B1805" TargetMode="External" Id="rId76" /><Relationship Type="http://schemas.openxmlformats.org/officeDocument/2006/relationships/hyperlink" Target="#'2029'!B1905" TargetMode="External" Id="rId77" /><Relationship Type="http://schemas.openxmlformats.org/officeDocument/2006/relationships/hyperlink" Target="#'2029'!B1855" TargetMode="External" Id="rId78" /><Relationship Type="http://schemas.openxmlformats.org/officeDocument/2006/relationships/hyperlink" Target="#'2029'!B1955" TargetMode="External" Id="rId79" /><Relationship Type="http://schemas.openxmlformats.org/officeDocument/2006/relationships/hyperlink" Target="#'2029'!B1905" TargetMode="External" Id="rId80" /><Relationship Type="http://schemas.openxmlformats.org/officeDocument/2006/relationships/hyperlink" Target="#'2029'!B2005" TargetMode="External" Id="rId81" /><Relationship Type="http://schemas.openxmlformats.org/officeDocument/2006/relationships/hyperlink" Target="#'2029'!B1955" TargetMode="External" Id="rId82" /><Relationship Type="http://schemas.openxmlformats.org/officeDocument/2006/relationships/hyperlink" Target="#'2029'!B2055" TargetMode="External" Id="rId83" /><Relationship Type="http://schemas.openxmlformats.org/officeDocument/2006/relationships/hyperlink" Target="#'2029'!B2005" TargetMode="External" Id="rId84" /><Relationship Type="http://schemas.openxmlformats.org/officeDocument/2006/relationships/hyperlink" Target="#'2029'!B2105" TargetMode="External" Id="rId85" /><Relationship Type="http://schemas.openxmlformats.org/officeDocument/2006/relationships/hyperlink" Target="#'2029'!B2055" TargetMode="External" Id="rId86" /><Relationship Type="http://schemas.openxmlformats.org/officeDocument/2006/relationships/hyperlink" Target="#'2029'!B2155" TargetMode="External" Id="rId87" /><Relationship Type="http://schemas.openxmlformats.org/officeDocument/2006/relationships/hyperlink" Target="#'2029'!B2105" TargetMode="External" Id="rId88" /><Relationship Type="http://schemas.openxmlformats.org/officeDocument/2006/relationships/hyperlink" Target="#'2029'!B2205" TargetMode="External" Id="rId89" /><Relationship Type="http://schemas.openxmlformats.org/officeDocument/2006/relationships/hyperlink" Target="#'2029'!B2155" TargetMode="External" Id="rId90" /><Relationship Type="http://schemas.openxmlformats.org/officeDocument/2006/relationships/hyperlink" Target="#'2029'!B2255" TargetMode="External" Id="rId91" /><Relationship Type="http://schemas.openxmlformats.org/officeDocument/2006/relationships/hyperlink" Target="#'2029'!B2205" TargetMode="External" Id="rId92" /><Relationship Type="http://schemas.openxmlformats.org/officeDocument/2006/relationships/hyperlink" Target="#'2029'!B2305" TargetMode="External" Id="rId93" /><Relationship Type="http://schemas.openxmlformats.org/officeDocument/2006/relationships/hyperlink" Target="#'2029'!B2255" TargetMode="External" Id="rId94" /><Relationship Type="http://schemas.openxmlformats.org/officeDocument/2006/relationships/hyperlink" Target="#'2029'!B2355" TargetMode="External" Id="rId95" /><Relationship Type="http://schemas.openxmlformats.org/officeDocument/2006/relationships/hyperlink" Target="#'2029'!B2305" TargetMode="External" Id="rId96" /><Relationship Type="http://schemas.openxmlformats.org/officeDocument/2006/relationships/hyperlink" Target="#'2029'!B2405" TargetMode="External" Id="rId97" /><Relationship Type="http://schemas.openxmlformats.org/officeDocument/2006/relationships/hyperlink" Target="#'2029'!B2355" TargetMode="External" Id="rId98" /><Relationship Type="http://schemas.openxmlformats.org/officeDocument/2006/relationships/hyperlink" Target="#'2029'!B2455" TargetMode="External" Id="rId99" /><Relationship Type="http://schemas.openxmlformats.org/officeDocument/2006/relationships/hyperlink" Target="#'2029'!B2405" TargetMode="External" Id="rId100" /><Relationship Type="http://schemas.openxmlformats.org/officeDocument/2006/relationships/hyperlink" Target="#'2029'!B2505" TargetMode="External" Id="rId101" /><Relationship Type="http://schemas.openxmlformats.org/officeDocument/2006/relationships/hyperlink" Target="#'2029'!B2455" TargetMode="External" Id="rId102" /><Relationship Type="http://schemas.openxmlformats.org/officeDocument/2006/relationships/hyperlink" Target="#'2029'!B2555" TargetMode="External" Id="rId103" /><Relationship Type="http://schemas.openxmlformats.org/officeDocument/2006/relationships/hyperlink" Target="#'2029'!B2505" TargetMode="External" Id="rId104" /><Relationship Type="http://schemas.openxmlformats.org/officeDocument/2006/relationships/hyperlink" Target="#'2029'!B2605" TargetMode="External" Id="rId105" /><Relationship Type="http://schemas.openxmlformats.org/officeDocument/2006/relationships/hyperlink" Target="#'2029'!B2555" TargetMode="External" Id="rId106" /><Relationship Type="http://schemas.openxmlformats.org/officeDocument/2006/relationships/hyperlink" Target="#'2029'!A1" TargetMode="External" Id="rId107" /></Relationships>
</file>

<file path=xl/worksheets/_rels/sheet5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2030'!A1" TargetMode="External" Id="rId2" /><Relationship Type="http://schemas.openxmlformats.org/officeDocument/2006/relationships/hyperlink" Target="#'2030'!B55" TargetMode="External" Id="rId3" /><Relationship Type="http://schemas.openxmlformats.org/officeDocument/2006/relationships/hyperlink" Target="#'2030'!B5" TargetMode="External" Id="rId4" /><Relationship Type="http://schemas.openxmlformats.org/officeDocument/2006/relationships/hyperlink" Target="#'2030'!B105" TargetMode="External" Id="rId5" /><Relationship Type="http://schemas.openxmlformats.org/officeDocument/2006/relationships/hyperlink" Target="#'2030'!B55" TargetMode="External" Id="rId6" /><Relationship Type="http://schemas.openxmlformats.org/officeDocument/2006/relationships/hyperlink" Target="#'2030'!B155" TargetMode="External" Id="rId7" /><Relationship Type="http://schemas.openxmlformats.org/officeDocument/2006/relationships/hyperlink" Target="#'2030'!B105" TargetMode="External" Id="rId8" /><Relationship Type="http://schemas.openxmlformats.org/officeDocument/2006/relationships/hyperlink" Target="#'2030'!B205" TargetMode="External" Id="rId9" /><Relationship Type="http://schemas.openxmlformats.org/officeDocument/2006/relationships/hyperlink" Target="#'2030'!B155" TargetMode="External" Id="rId10" /><Relationship Type="http://schemas.openxmlformats.org/officeDocument/2006/relationships/hyperlink" Target="#'2030'!B255" TargetMode="External" Id="rId11" /><Relationship Type="http://schemas.openxmlformats.org/officeDocument/2006/relationships/hyperlink" Target="#'2030'!B205" TargetMode="External" Id="rId12" /><Relationship Type="http://schemas.openxmlformats.org/officeDocument/2006/relationships/hyperlink" Target="#'2030'!B305" TargetMode="External" Id="rId13" /><Relationship Type="http://schemas.openxmlformats.org/officeDocument/2006/relationships/hyperlink" Target="#'2030'!B255" TargetMode="External" Id="rId14" /><Relationship Type="http://schemas.openxmlformats.org/officeDocument/2006/relationships/hyperlink" Target="#'2030'!B355" TargetMode="External" Id="rId15" /><Relationship Type="http://schemas.openxmlformats.org/officeDocument/2006/relationships/hyperlink" Target="#'2030'!B305" TargetMode="External" Id="rId16" /><Relationship Type="http://schemas.openxmlformats.org/officeDocument/2006/relationships/hyperlink" Target="#'2030'!B405" TargetMode="External" Id="rId17" /><Relationship Type="http://schemas.openxmlformats.org/officeDocument/2006/relationships/hyperlink" Target="#'2030'!B355" TargetMode="External" Id="rId18" /><Relationship Type="http://schemas.openxmlformats.org/officeDocument/2006/relationships/hyperlink" Target="#'2030'!B455" TargetMode="External" Id="rId19" /><Relationship Type="http://schemas.openxmlformats.org/officeDocument/2006/relationships/hyperlink" Target="#'2030'!B405" TargetMode="External" Id="rId20" /><Relationship Type="http://schemas.openxmlformats.org/officeDocument/2006/relationships/hyperlink" Target="#'2030'!B505" TargetMode="External" Id="rId21" /><Relationship Type="http://schemas.openxmlformats.org/officeDocument/2006/relationships/hyperlink" Target="#'2030'!B455" TargetMode="External" Id="rId22" /><Relationship Type="http://schemas.openxmlformats.org/officeDocument/2006/relationships/hyperlink" Target="#'2030'!B555" TargetMode="External" Id="rId23" /><Relationship Type="http://schemas.openxmlformats.org/officeDocument/2006/relationships/hyperlink" Target="#'2030'!B505" TargetMode="External" Id="rId24" /><Relationship Type="http://schemas.openxmlformats.org/officeDocument/2006/relationships/hyperlink" Target="#'2030'!B605" TargetMode="External" Id="rId25" /><Relationship Type="http://schemas.openxmlformats.org/officeDocument/2006/relationships/hyperlink" Target="#'2030'!B555" TargetMode="External" Id="rId26" /><Relationship Type="http://schemas.openxmlformats.org/officeDocument/2006/relationships/hyperlink" Target="#'2030'!B655" TargetMode="External" Id="rId27" /><Relationship Type="http://schemas.openxmlformats.org/officeDocument/2006/relationships/hyperlink" Target="#'2030'!B605" TargetMode="External" Id="rId28" /><Relationship Type="http://schemas.openxmlformats.org/officeDocument/2006/relationships/hyperlink" Target="#'2030'!B705" TargetMode="External" Id="rId29" /><Relationship Type="http://schemas.openxmlformats.org/officeDocument/2006/relationships/hyperlink" Target="#'2030'!B655" TargetMode="External" Id="rId30" /><Relationship Type="http://schemas.openxmlformats.org/officeDocument/2006/relationships/hyperlink" Target="#'2030'!B755" TargetMode="External" Id="rId31" /><Relationship Type="http://schemas.openxmlformats.org/officeDocument/2006/relationships/hyperlink" Target="#'2030'!B705" TargetMode="External" Id="rId32" /><Relationship Type="http://schemas.openxmlformats.org/officeDocument/2006/relationships/hyperlink" Target="#'2030'!B805" TargetMode="External" Id="rId33" /><Relationship Type="http://schemas.openxmlformats.org/officeDocument/2006/relationships/hyperlink" Target="#'2030'!B755" TargetMode="External" Id="rId34" /><Relationship Type="http://schemas.openxmlformats.org/officeDocument/2006/relationships/hyperlink" Target="#'2030'!B855" TargetMode="External" Id="rId35" /><Relationship Type="http://schemas.openxmlformats.org/officeDocument/2006/relationships/hyperlink" Target="#'2030'!B805" TargetMode="External" Id="rId36" /><Relationship Type="http://schemas.openxmlformats.org/officeDocument/2006/relationships/hyperlink" Target="#'2030'!B905" TargetMode="External" Id="rId37" /><Relationship Type="http://schemas.openxmlformats.org/officeDocument/2006/relationships/hyperlink" Target="#'2030'!B855" TargetMode="External" Id="rId38" /><Relationship Type="http://schemas.openxmlformats.org/officeDocument/2006/relationships/hyperlink" Target="#'2030'!B955" TargetMode="External" Id="rId39" /><Relationship Type="http://schemas.openxmlformats.org/officeDocument/2006/relationships/hyperlink" Target="#'2030'!B905" TargetMode="External" Id="rId40" /><Relationship Type="http://schemas.openxmlformats.org/officeDocument/2006/relationships/hyperlink" Target="#'2030'!B1005" TargetMode="External" Id="rId41" /><Relationship Type="http://schemas.openxmlformats.org/officeDocument/2006/relationships/hyperlink" Target="#'2030'!B955" TargetMode="External" Id="rId42" /><Relationship Type="http://schemas.openxmlformats.org/officeDocument/2006/relationships/hyperlink" Target="#'2030'!B1055" TargetMode="External" Id="rId43" /><Relationship Type="http://schemas.openxmlformats.org/officeDocument/2006/relationships/hyperlink" Target="#'2030'!B1005" TargetMode="External" Id="rId44" /><Relationship Type="http://schemas.openxmlformats.org/officeDocument/2006/relationships/hyperlink" Target="#'2030'!B1105" TargetMode="External" Id="rId45" /><Relationship Type="http://schemas.openxmlformats.org/officeDocument/2006/relationships/hyperlink" Target="#'2030'!B1055" TargetMode="External" Id="rId46" /><Relationship Type="http://schemas.openxmlformats.org/officeDocument/2006/relationships/hyperlink" Target="#'2030'!B1155" TargetMode="External" Id="rId47" /><Relationship Type="http://schemas.openxmlformats.org/officeDocument/2006/relationships/hyperlink" Target="#'2030'!B1105" TargetMode="External" Id="rId48" /><Relationship Type="http://schemas.openxmlformats.org/officeDocument/2006/relationships/hyperlink" Target="#'2030'!B1205" TargetMode="External" Id="rId49" /><Relationship Type="http://schemas.openxmlformats.org/officeDocument/2006/relationships/hyperlink" Target="#'2030'!B1155" TargetMode="External" Id="rId50" /><Relationship Type="http://schemas.openxmlformats.org/officeDocument/2006/relationships/hyperlink" Target="#'2030'!B1255" TargetMode="External" Id="rId51" /><Relationship Type="http://schemas.openxmlformats.org/officeDocument/2006/relationships/hyperlink" Target="#'2030'!B1205" TargetMode="External" Id="rId52" /><Relationship Type="http://schemas.openxmlformats.org/officeDocument/2006/relationships/hyperlink" Target="#'2030'!B1305" TargetMode="External" Id="rId53" /><Relationship Type="http://schemas.openxmlformats.org/officeDocument/2006/relationships/hyperlink" Target="#'2030'!B1255" TargetMode="External" Id="rId54" /><Relationship Type="http://schemas.openxmlformats.org/officeDocument/2006/relationships/hyperlink" Target="#'2030'!B1355" TargetMode="External" Id="rId55" /><Relationship Type="http://schemas.openxmlformats.org/officeDocument/2006/relationships/hyperlink" Target="#'2030'!B1305" TargetMode="External" Id="rId56" /><Relationship Type="http://schemas.openxmlformats.org/officeDocument/2006/relationships/hyperlink" Target="#'2030'!B1405" TargetMode="External" Id="rId57" /><Relationship Type="http://schemas.openxmlformats.org/officeDocument/2006/relationships/hyperlink" Target="#'2030'!B1355" TargetMode="External" Id="rId58" /><Relationship Type="http://schemas.openxmlformats.org/officeDocument/2006/relationships/hyperlink" Target="#'2030'!B1455" TargetMode="External" Id="rId59" /><Relationship Type="http://schemas.openxmlformats.org/officeDocument/2006/relationships/hyperlink" Target="#'2030'!B1405" TargetMode="External" Id="rId60" /><Relationship Type="http://schemas.openxmlformats.org/officeDocument/2006/relationships/hyperlink" Target="#'2030'!B1505" TargetMode="External" Id="rId61" /><Relationship Type="http://schemas.openxmlformats.org/officeDocument/2006/relationships/hyperlink" Target="#'2030'!B1455" TargetMode="External" Id="rId62" /><Relationship Type="http://schemas.openxmlformats.org/officeDocument/2006/relationships/hyperlink" Target="#'2030'!B1555" TargetMode="External" Id="rId63" /><Relationship Type="http://schemas.openxmlformats.org/officeDocument/2006/relationships/hyperlink" Target="#'2030'!B1505" TargetMode="External" Id="rId64" /><Relationship Type="http://schemas.openxmlformats.org/officeDocument/2006/relationships/hyperlink" Target="#'2030'!B1605" TargetMode="External" Id="rId65" /><Relationship Type="http://schemas.openxmlformats.org/officeDocument/2006/relationships/hyperlink" Target="#'2030'!B1555" TargetMode="External" Id="rId66" /><Relationship Type="http://schemas.openxmlformats.org/officeDocument/2006/relationships/hyperlink" Target="#'2030'!B1655" TargetMode="External" Id="rId67" /><Relationship Type="http://schemas.openxmlformats.org/officeDocument/2006/relationships/hyperlink" Target="#'2030'!B1605" TargetMode="External" Id="rId68" /><Relationship Type="http://schemas.openxmlformats.org/officeDocument/2006/relationships/hyperlink" Target="#'2030'!B1705" TargetMode="External" Id="rId69" /><Relationship Type="http://schemas.openxmlformats.org/officeDocument/2006/relationships/hyperlink" Target="#'2030'!B1655" TargetMode="External" Id="rId70" /><Relationship Type="http://schemas.openxmlformats.org/officeDocument/2006/relationships/hyperlink" Target="#'2030'!B1755" TargetMode="External" Id="rId71" /><Relationship Type="http://schemas.openxmlformats.org/officeDocument/2006/relationships/hyperlink" Target="#'2030'!B1705" TargetMode="External" Id="rId72" /><Relationship Type="http://schemas.openxmlformats.org/officeDocument/2006/relationships/hyperlink" Target="#'2030'!B1805" TargetMode="External" Id="rId73" /><Relationship Type="http://schemas.openxmlformats.org/officeDocument/2006/relationships/hyperlink" Target="#'2030'!B1755" TargetMode="External" Id="rId74" /><Relationship Type="http://schemas.openxmlformats.org/officeDocument/2006/relationships/hyperlink" Target="#'2030'!B1855" TargetMode="External" Id="rId75" /><Relationship Type="http://schemas.openxmlformats.org/officeDocument/2006/relationships/hyperlink" Target="#'2030'!B1805" TargetMode="External" Id="rId76" /><Relationship Type="http://schemas.openxmlformats.org/officeDocument/2006/relationships/hyperlink" Target="#'2030'!B1905" TargetMode="External" Id="rId77" /><Relationship Type="http://schemas.openxmlformats.org/officeDocument/2006/relationships/hyperlink" Target="#'2030'!B1855" TargetMode="External" Id="rId78" /><Relationship Type="http://schemas.openxmlformats.org/officeDocument/2006/relationships/hyperlink" Target="#'2030'!B1955" TargetMode="External" Id="rId79" /><Relationship Type="http://schemas.openxmlformats.org/officeDocument/2006/relationships/hyperlink" Target="#'2030'!B1905" TargetMode="External" Id="rId80" /><Relationship Type="http://schemas.openxmlformats.org/officeDocument/2006/relationships/hyperlink" Target="#'2030'!B2005" TargetMode="External" Id="rId81" /><Relationship Type="http://schemas.openxmlformats.org/officeDocument/2006/relationships/hyperlink" Target="#'2030'!B1955" TargetMode="External" Id="rId82" /><Relationship Type="http://schemas.openxmlformats.org/officeDocument/2006/relationships/hyperlink" Target="#'2030'!B2055" TargetMode="External" Id="rId83" /><Relationship Type="http://schemas.openxmlformats.org/officeDocument/2006/relationships/hyperlink" Target="#'2030'!B2005" TargetMode="External" Id="rId84" /><Relationship Type="http://schemas.openxmlformats.org/officeDocument/2006/relationships/hyperlink" Target="#'2030'!B2105" TargetMode="External" Id="rId85" /><Relationship Type="http://schemas.openxmlformats.org/officeDocument/2006/relationships/hyperlink" Target="#'2030'!B2055" TargetMode="External" Id="rId86" /><Relationship Type="http://schemas.openxmlformats.org/officeDocument/2006/relationships/hyperlink" Target="#'2030'!B2155" TargetMode="External" Id="rId87" /><Relationship Type="http://schemas.openxmlformats.org/officeDocument/2006/relationships/hyperlink" Target="#'2030'!B2105" TargetMode="External" Id="rId88" /><Relationship Type="http://schemas.openxmlformats.org/officeDocument/2006/relationships/hyperlink" Target="#'2030'!B2205" TargetMode="External" Id="rId89" /><Relationship Type="http://schemas.openxmlformats.org/officeDocument/2006/relationships/hyperlink" Target="#'2030'!B2155" TargetMode="External" Id="rId90" /><Relationship Type="http://schemas.openxmlformats.org/officeDocument/2006/relationships/hyperlink" Target="#'2030'!B2255" TargetMode="External" Id="rId91" /><Relationship Type="http://schemas.openxmlformats.org/officeDocument/2006/relationships/hyperlink" Target="#'2030'!B2205" TargetMode="External" Id="rId92" /><Relationship Type="http://schemas.openxmlformats.org/officeDocument/2006/relationships/hyperlink" Target="#'2030'!B2305" TargetMode="External" Id="rId93" /><Relationship Type="http://schemas.openxmlformats.org/officeDocument/2006/relationships/hyperlink" Target="#'2030'!B2255" TargetMode="External" Id="rId94" /><Relationship Type="http://schemas.openxmlformats.org/officeDocument/2006/relationships/hyperlink" Target="#'2030'!B2355" TargetMode="External" Id="rId95" /><Relationship Type="http://schemas.openxmlformats.org/officeDocument/2006/relationships/hyperlink" Target="#'2030'!B2305" TargetMode="External" Id="rId96" /><Relationship Type="http://schemas.openxmlformats.org/officeDocument/2006/relationships/hyperlink" Target="#'2030'!B2405" TargetMode="External" Id="rId97" /><Relationship Type="http://schemas.openxmlformats.org/officeDocument/2006/relationships/hyperlink" Target="#'2030'!B2355" TargetMode="External" Id="rId98" /><Relationship Type="http://schemas.openxmlformats.org/officeDocument/2006/relationships/hyperlink" Target="#'2030'!B2455" TargetMode="External" Id="rId99" /><Relationship Type="http://schemas.openxmlformats.org/officeDocument/2006/relationships/hyperlink" Target="#'2030'!B2405" TargetMode="External" Id="rId100" /><Relationship Type="http://schemas.openxmlformats.org/officeDocument/2006/relationships/hyperlink" Target="#'2030'!B2505" TargetMode="External" Id="rId101" /><Relationship Type="http://schemas.openxmlformats.org/officeDocument/2006/relationships/hyperlink" Target="#'2030'!B2455" TargetMode="External" Id="rId102" /><Relationship Type="http://schemas.openxmlformats.org/officeDocument/2006/relationships/hyperlink" Target="#'2030'!B2555" TargetMode="External" Id="rId103" /><Relationship Type="http://schemas.openxmlformats.org/officeDocument/2006/relationships/hyperlink" Target="#'2030'!B2505" TargetMode="External" Id="rId104" /><Relationship Type="http://schemas.openxmlformats.org/officeDocument/2006/relationships/hyperlink" Target="#'2030'!B2605" TargetMode="External" Id="rId105" /><Relationship Type="http://schemas.openxmlformats.org/officeDocument/2006/relationships/hyperlink" Target="#'2030'!B2555" TargetMode="External" Id="rId106" /><Relationship Type="http://schemas.openxmlformats.org/officeDocument/2006/relationships/hyperlink" Target="#'2030'!A1" TargetMode="External" Id="rId107" /></Relationships>
</file>

<file path=xl/worksheets/_rels/sheet6.xml.rels><Relationships xmlns="http://schemas.openxmlformats.org/package/2006/relationships"><Relationship Type="http://schemas.openxmlformats.org/officeDocument/2006/relationships/hyperlink" Target="#'Dashboard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Dashboard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Guide'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Dashboard'!A1" TargetMode="External" Id="rId1" /></Relationships>
</file>

<file path=xl/worksheets/sheet1.xml><?xml version="1.0" encoding="utf-8"?>
<worksheet xmlns="http://schemas.openxmlformats.org/spreadsheetml/2006/main">
  <sheetPr>
    <tabColor rgb="00F4B183"/>
    <outlinePr summaryBelow="1" summaryRight="1"/>
    <pageSetUpPr fitToPage="1"/>
  </sheetPr>
  <dimension ref="A1:R64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" customWidth="1" min="10" max="10"/>
    <col width="2" customWidth="1" min="11" max="11"/>
    <col width="18" customWidth="1" min="12" max="12"/>
    <col width="8" customWidth="1" min="13" max="13"/>
    <col width="8" customWidth="1" min="14" max="14"/>
    <col width="16" customWidth="1" min="15" max="15"/>
    <col width="2" customWidth="1" min="16" max="16"/>
    <col width="12" customWidth="1" min="17" max="17"/>
    <col width="10" customWidth="1" min="18" max="18"/>
  </cols>
  <sheetData>
    <row r="1" ht="34" customHeight="1">
      <c r="A1" s="1" t="n"/>
      <c r="B1" s="2" t="inlineStr">
        <is>
          <t>ESG TEAM PLANNER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>
        <f>"Today: "&amp;TEXT(TODAY(),"ddd d mmm yyyy")&amp;"   ·   ISO week "&amp;Engine!$B$18&amp;" of "&amp;Engine!$B$17</f>
        <v/>
      </c>
    </row>
    <row r="2" ht="16" customHeight="1">
      <c r="A2" s="1" t="n"/>
      <c r="B2" s="4" t="inlineStr">
        <is>
          <t>Multi-year duty roster · 2027 – 2030 · one place to plan the week, spot gaps and track leave.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20" customHeight="1">
      <c r="A3" s="1" t="n"/>
      <c r="B3" s="5" t="inlineStr">
        <is>
          <t>Go to:</t>
        </is>
      </c>
      <c r="C3" s="6" t="inlineStr">
        <is>
          <t>Setup</t>
        </is>
      </c>
      <c r="D3" s="6" t="inlineStr">
        <is>
          <t>2027</t>
        </is>
      </c>
      <c r="E3" s="6" t="inlineStr">
        <is>
          <t>2028</t>
        </is>
      </c>
      <c r="F3" s="6" t="inlineStr">
        <is>
          <t>2029</t>
        </is>
      </c>
      <c r="G3" s="6" t="inlineStr">
        <is>
          <t>2030</t>
        </is>
      </c>
      <c r="H3" s="6" t="inlineStr">
        <is>
          <t>My Rota</t>
        </is>
      </c>
      <c r="I3" s="6" t="inlineStr">
        <is>
          <t>Year view</t>
        </is>
      </c>
      <c r="J3" s="1" t="n"/>
      <c r="K3" s="1" t="n"/>
      <c r="L3" s="6" t="inlineStr">
        <is>
          <t>Guide</t>
        </is>
      </c>
      <c r="M3" s="1" t="n"/>
      <c r="N3" s="1" t="n"/>
      <c r="O3" s="1" t="n"/>
      <c r="P3" s="1" t="n"/>
      <c r="Q3" s="1" t="n"/>
      <c r="R3" s="1" t="n"/>
    </row>
    <row r="5">
      <c r="B5" s="7" t="inlineStr">
        <is>
          <t>PLANNING WEEK</t>
        </is>
      </c>
    </row>
    <row r="6">
      <c r="B6" s="8" t="inlineStr">
        <is>
          <t>Year</t>
        </is>
      </c>
      <c r="C6" s="9" t="n"/>
      <c r="D6" s="10" t="n">
        <v>2027</v>
      </c>
      <c r="E6" s="11" t="inlineStr">
        <is>
          <t>← pick 2027-2030</t>
        </is>
      </c>
    </row>
    <row r="7">
      <c r="B7" s="8" t="inlineStr">
        <is>
          <t>Week number</t>
        </is>
      </c>
      <c r="C7" s="9" t="n"/>
      <c r="D7" s="10" t="n">
        <v>1</v>
      </c>
      <c r="E7" s="11" t="inlineStr">
        <is>
          <t>← 1 to 53</t>
        </is>
      </c>
    </row>
    <row r="8">
      <c r="B8" s="8" t="inlineStr">
        <is>
          <t>Follow today automatically</t>
        </is>
      </c>
      <c r="C8" s="9" t="n"/>
      <c r="D8" s="10" t="inlineStr">
        <is>
          <t>Y</t>
        </is>
      </c>
      <c r="E8" s="11" t="inlineStr">
        <is>
          <t>← Y: the planner always opens on today's week (once we are in 2027)</t>
        </is>
      </c>
    </row>
    <row r="9" ht="26" customHeight="1">
      <c r="B9" s="12">
        <f>"Planning:  WEEK "&amp;Engine!$B$9&amp;"  ·  "&amp;TEXT(Engine!$B$12,"ddd d mmm")&amp;" – "&amp;TEXT(Engine!$B$12+6,"ddd d mmm yyyy")&amp;IF(AND(TODAY()&gt;=Engine!$B$12,TODAY()&lt;=Engine!$B$12+6),"   ·   THIS WEEK",IF(TODAY()&lt;Engine!$B$12,"   ·   future","   ·   past"))</f>
        <v/>
      </c>
      <c r="I9" s="13">
        <f>HYPERLINK("#'"&amp;Engine!$B$11&amp;"'!B"&amp;Engine!$B$10,"Open week ▶")</f>
        <v/>
      </c>
    </row>
    <row r="11" ht="14" customHeight="1">
      <c r="B11" s="14" t="inlineStr">
        <is>
          <t>COVERAGE</t>
        </is>
      </c>
      <c r="C11" s="14" t="inlineStr">
        <is>
          <t>GAPS</t>
        </is>
      </c>
      <c r="D11" s="14" t="inlineStr">
        <is>
          <t>OFF</t>
        </is>
      </c>
      <c r="E11" s="14" t="inlineStr">
        <is>
          <t>TRAINING</t>
        </is>
      </c>
      <c r="F11" s="14" t="inlineStr">
        <is>
          <t>CONFLICTS</t>
        </is>
      </c>
      <c r="G11" s="14" t="inlineStr">
        <is>
          <t>NOT SQEP</t>
        </is>
      </c>
      <c r="H11" s="14" t="inlineStr">
        <is>
          <t>BUSIEST</t>
        </is>
      </c>
      <c r="I11" s="14" t="inlineStr">
        <is>
          <t>AVAILABLE</t>
        </is>
      </c>
    </row>
    <row r="12" ht="30" customHeight="1">
      <c r="B12" s="15">
        <f>IFERROR((SUM(Engine!$E$68:$E$193)-SUM(Engine!$G$68:$G$193))/SUM(Engine!$E$68:$E$193),0)</f>
        <v/>
      </c>
      <c r="C12" s="16">
        <f>SUM(Engine!$G$68:$G$193)</f>
        <v/>
      </c>
      <c r="D12" s="16">
        <f>SUM(Engine!$K$20:$Q$43)</f>
        <v/>
      </c>
      <c r="E12" s="16">
        <f>COUNTIF(Engine!$D$20:$J$43,Setup!$B$35)</f>
        <v/>
      </c>
      <c r="F12" s="16">
        <f>SUM(Engine!$S$20:$S$43)</f>
        <v/>
      </c>
      <c r="G12" s="16">
        <f>SUM(Engine!$J$68:$J$193)</f>
        <v/>
      </c>
      <c r="H12" s="17">
        <f>IF(MAX(Engine!$R$20:$R$43)=0,"–",IFERROR(INDEX(Engine!$B$20:$B$43,MATCH(MAX(Engine!$R$20:$R$43),Engine!$R$20:$R$43,0))&amp;" · "&amp;MAX(Engine!$R$20:$R$43)&amp;"d","–"))</f>
        <v/>
      </c>
      <c r="I12" s="16">
        <f>COUNTIF(Engine!$C$20:$C$43,1)-SUMPRODUCT(--(Engine!$C$20:$C$43=1),--(Engine!$K$20:$K$43=1))</f>
        <v/>
      </c>
    </row>
    <row r="13" ht="14" customHeight="1">
      <c r="B13" s="18" t="inlineStr">
        <is>
          <t>of required duty-days filled</t>
        </is>
      </c>
      <c r="C13" s="18" t="inlineStr">
        <is>
          <t>duty-days still to fill</t>
        </is>
      </c>
      <c r="D13" s="18" t="inlineStr">
        <is>
          <t>person-days unavailable</t>
        </is>
      </c>
      <c r="E13" s="18" t="inlineStr">
        <is>
          <t>person-days on training</t>
        </is>
      </c>
      <c r="F13" s="18" t="inlineStr">
        <is>
          <t>rostered while unavailable</t>
        </is>
      </c>
      <c r="G13" s="18" t="inlineStr">
        <is>
          <t>unqualified in slots</t>
        </is>
      </c>
      <c r="H13" s="18" t="inlineStr">
        <is>
          <t>most days rostered</t>
        </is>
      </c>
      <c r="I13" s="18" t="inlineStr">
        <is>
          <t>people on site Monday</t>
        </is>
      </c>
    </row>
    <row r="15">
      <c r="B15" s="7" t="inlineStr">
        <is>
          <t>THIS WEEK'S ROSTER</t>
        </is>
      </c>
      <c r="E15" s="11" t="inlineStr">
        <is>
          <t>read-only mirror of the active week - edit on the year sheet</t>
        </is>
      </c>
      <c r="L15" s="7" t="inlineStr">
        <is>
          <t>GAPS &amp; SUGGESTED COVER</t>
        </is>
      </c>
    </row>
    <row r="16" ht="18" customHeight="1">
      <c r="B16" s="19" t="inlineStr">
        <is>
          <t>Duty</t>
        </is>
      </c>
      <c r="C16" s="20">
        <f>Engine!$B$12+0</f>
        <v/>
      </c>
      <c r="D16" s="20">
        <f>Engine!$B$12+1</f>
        <v/>
      </c>
      <c r="E16" s="20">
        <f>Engine!$B$12+2</f>
        <v/>
      </c>
      <c r="F16" s="20">
        <f>Engine!$B$12+3</f>
        <v/>
      </c>
      <c r="G16" s="20">
        <f>Engine!$B$12+4</f>
        <v/>
      </c>
      <c r="H16" s="21">
        <f>Engine!$B$12+5</f>
        <v/>
      </c>
      <c r="I16" s="21">
        <f>Engine!$B$12+6</f>
        <v/>
      </c>
      <c r="J16" s="1" t="inlineStr"/>
      <c r="L16" s="22" t="inlineStr">
        <is>
          <t>Duty</t>
        </is>
      </c>
      <c r="M16" s="22" t="inlineStr">
        <is>
          <t>Day</t>
        </is>
      </c>
      <c r="N16" s="22" t="inlineStr">
        <is>
          <t>Short</t>
        </is>
      </c>
      <c r="O16" s="22" t="inlineStr">
        <is>
          <t>Suggested</t>
        </is>
      </c>
      <c r="Q16" s="23" t="inlineStr">
        <is>
          <t>Least loaded, SQEP before trainee</t>
        </is>
      </c>
    </row>
    <row r="17" ht="16" customHeight="1">
      <c r="B17" s="24">
        <f>Engine!$B$47</f>
        <v/>
      </c>
      <c r="C17" s="25">
        <f>IF($B17="","",SUBSTITUTE(TRIM(SUBSTITUTE(Engine!$C$47&amp;" "&amp;Engine!$D$47&amp;" "&amp;Engine!$E$47," *","*"))," "," · "))</f>
        <v/>
      </c>
      <c r="D17" s="25">
        <f>IF($B17="","",SUBSTITUTE(TRIM(SUBSTITUTE(Engine!$G$47&amp;" "&amp;Engine!$H$47&amp;" "&amp;Engine!$I$47," *","*"))," "," · "))</f>
        <v/>
      </c>
      <c r="E17" s="25">
        <f>IF($B17="","",SUBSTITUTE(TRIM(SUBSTITUTE(Engine!$K$47&amp;" "&amp;Engine!$L$47&amp;" "&amp;Engine!$M$47," *","*"))," "," · "))</f>
        <v/>
      </c>
      <c r="F17" s="25">
        <f>IF($B17="","",SUBSTITUTE(TRIM(SUBSTITUTE(Engine!$O$47&amp;" "&amp;Engine!$P$47&amp;" "&amp;Engine!$Q$47," *","*"))," "," · "))</f>
        <v/>
      </c>
      <c r="G17" s="25">
        <f>IF($B17="","",SUBSTITUTE(TRIM(SUBSTITUTE(Engine!$S$47&amp;" "&amp;Engine!$T$47&amp;" "&amp;Engine!$U$47," *","*"))," "," · "))</f>
        <v/>
      </c>
      <c r="H17" s="25">
        <f>IF($B17="","",SUBSTITUTE(TRIM(SUBSTITUTE(Engine!$W$47," *","*"))," "," · "))</f>
        <v/>
      </c>
      <c r="I17" s="25">
        <f>IF($B17="","",SUBSTITUTE(TRIM(SUBSTITUTE(Engine!$Y$47," *","*"))," "," · "))</f>
        <v/>
      </c>
      <c r="L17" s="24">
        <f>IFERROR(INDEX(Engine!$C$68:$C$193,MATCH(1,Engine!$I$68:$I$193,0)),IF(1=1,"No gaps 🎉",""))</f>
        <v/>
      </c>
      <c r="M17" s="26">
        <f>IFERROR(INDEX(Engine!$D$68:$D$193,MATCH(1,Engine!$I$68:$I$193,0)),"")</f>
        <v/>
      </c>
      <c r="N17" s="27">
        <f>IFERROR(INDEX(Engine!$G$68:$G$193,MATCH(1,Engine!$I$68:$I$193,0)),"")</f>
        <v/>
      </c>
      <c r="O17" s="28">
        <f>IFERROR(INDEX(Engine!$H$68:$H$193,MATCH(1,Engine!$I$68:$I$193,0)),"")</f>
        <v/>
      </c>
    </row>
    <row r="18" ht="16" customHeight="1">
      <c r="B18" s="29">
        <f>Engine!$B$48</f>
        <v/>
      </c>
      <c r="C18" s="30">
        <f>IF($B18="","",SUBSTITUTE(TRIM(SUBSTITUTE(Engine!$C$48&amp;" "&amp;Engine!$D$48&amp;" "&amp;Engine!$E$48," *","*"))," "," · "))</f>
        <v/>
      </c>
      <c r="D18" s="30">
        <f>IF($B18="","",SUBSTITUTE(TRIM(SUBSTITUTE(Engine!$G$48&amp;" "&amp;Engine!$H$48&amp;" "&amp;Engine!$I$48," *","*"))," "," · "))</f>
        <v/>
      </c>
      <c r="E18" s="30">
        <f>IF($B18="","",SUBSTITUTE(TRIM(SUBSTITUTE(Engine!$K$48&amp;" "&amp;Engine!$L$48&amp;" "&amp;Engine!$M$48," *","*"))," "," · "))</f>
        <v/>
      </c>
      <c r="F18" s="30">
        <f>IF($B18="","",SUBSTITUTE(TRIM(SUBSTITUTE(Engine!$O$48&amp;" "&amp;Engine!$P$48&amp;" "&amp;Engine!$Q$48," *","*"))," "," · "))</f>
        <v/>
      </c>
      <c r="G18" s="30">
        <f>IF($B18="","",SUBSTITUTE(TRIM(SUBSTITUTE(Engine!$S$48&amp;" "&amp;Engine!$T$48&amp;" "&amp;Engine!$U$48," *","*"))," "," · "))</f>
        <v/>
      </c>
      <c r="H18" s="30">
        <f>IF($B18="","",SUBSTITUTE(TRIM(SUBSTITUTE(Engine!$W$48," *","*"))," "," · "))</f>
        <v/>
      </c>
      <c r="I18" s="30">
        <f>IF($B18="","",SUBSTITUTE(TRIM(SUBSTITUTE(Engine!$Y$48," *","*"))," "," · "))</f>
        <v/>
      </c>
      <c r="L18" s="29">
        <f>IFERROR(INDEX(Engine!$C$68:$C$193,MATCH(2,Engine!$I$68:$I$193,0)),IF(2=1,"No gaps 🎉",""))</f>
        <v/>
      </c>
      <c r="M18" s="31">
        <f>IFERROR(INDEX(Engine!$D$68:$D$193,MATCH(2,Engine!$I$68:$I$193,0)),"")</f>
        <v/>
      </c>
      <c r="N18" s="32">
        <f>IFERROR(INDEX(Engine!$G$68:$G$193,MATCH(2,Engine!$I$68:$I$193,0)),"")</f>
        <v/>
      </c>
      <c r="O18" s="33">
        <f>IFERROR(INDEX(Engine!$H$68:$H$193,MATCH(2,Engine!$I$68:$I$193,0)),"")</f>
        <v/>
      </c>
    </row>
    <row r="19" ht="16" customHeight="1">
      <c r="B19" s="24">
        <f>Engine!$B$49</f>
        <v/>
      </c>
      <c r="C19" s="25">
        <f>IF($B19="","",SUBSTITUTE(TRIM(SUBSTITUTE(Engine!$C$49&amp;" "&amp;Engine!$D$49&amp;" "&amp;Engine!$E$49," *","*"))," "," · "))</f>
        <v/>
      </c>
      <c r="D19" s="25">
        <f>IF($B19="","",SUBSTITUTE(TRIM(SUBSTITUTE(Engine!$G$49&amp;" "&amp;Engine!$H$49&amp;" "&amp;Engine!$I$49," *","*"))," "," · "))</f>
        <v/>
      </c>
      <c r="E19" s="25">
        <f>IF($B19="","",SUBSTITUTE(TRIM(SUBSTITUTE(Engine!$K$49&amp;" "&amp;Engine!$L$49&amp;" "&amp;Engine!$M$49," *","*"))," "," · "))</f>
        <v/>
      </c>
      <c r="F19" s="25">
        <f>IF($B19="","",SUBSTITUTE(TRIM(SUBSTITUTE(Engine!$O$49&amp;" "&amp;Engine!$P$49&amp;" "&amp;Engine!$Q$49," *","*"))," "," · "))</f>
        <v/>
      </c>
      <c r="G19" s="25">
        <f>IF($B19="","",SUBSTITUTE(TRIM(SUBSTITUTE(Engine!$S$49&amp;" "&amp;Engine!$T$49&amp;" "&amp;Engine!$U$49," *","*"))," "," · "))</f>
        <v/>
      </c>
      <c r="H19" s="25">
        <f>IF($B19="","",SUBSTITUTE(TRIM(SUBSTITUTE(Engine!$W$49," *","*"))," "," · "))</f>
        <v/>
      </c>
      <c r="I19" s="25">
        <f>IF($B19="","",SUBSTITUTE(TRIM(SUBSTITUTE(Engine!$Y$49," *","*"))," "," · "))</f>
        <v/>
      </c>
      <c r="L19" s="24">
        <f>IFERROR(INDEX(Engine!$C$68:$C$193,MATCH(3,Engine!$I$68:$I$193,0)),IF(3=1,"No gaps 🎉",""))</f>
        <v/>
      </c>
      <c r="M19" s="26">
        <f>IFERROR(INDEX(Engine!$D$68:$D$193,MATCH(3,Engine!$I$68:$I$193,0)),"")</f>
        <v/>
      </c>
      <c r="N19" s="27">
        <f>IFERROR(INDEX(Engine!$G$68:$G$193,MATCH(3,Engine!$I$68:$I$193,0)),"")</f>
        <v/>
      </c>
      <c r="O19" s="28">
        <f>IFERROR(INDEX(Engine!$H$68:$H$193,MATCH(3,Engine!$I$68:$I$193,0)),"")</f>
        <v/>
      </c>
    </row>
    <row r="20" ht="16" customHeight="1">
      <c r="B20" s="29">
        <f>Engine!$B$50</f>
        <v/>
      </c>
      <c r="C20" s="30">
        <f>IF($B20="","",SUBSTITUTE(TRIM(SUBSTITUTE(Engine!$C$50&amp;" "&amp;Engine!$D$50&amp;" "&amp;Engine!$E$50," *","*"))," "," · "))</f>
        <v/>
      </c>
      <c r="D20" s="30">
        <f>IF($B20="","",SUBSTITUTE(TRIM(SUBSTITUTE(Engine!$G$50&amp;" "&amp;Engine!$H$50&amp;" "&amp;Engine!$I$50," *","*"))," "," · "))</f>
        <v/>
      </c>
      <c r="E20" s="30">
        <f>IF($B20="","",SUBSTITUTE(TRIM(SUBSTITUTE(Engine!$K$50&amp;" "&amp;Engine!$L$50&amp;" "&amp;Engine!$M$50," *","*"))," "," · "))</f>
        <v/>
      </c>
      <c r="F20" s="30">
        <f>IF($B20="","",SUBSTITUTE(TRIM(SUBSTITUTE(Engine!$O$50&amp;" "&amp;Engine!$P$50&amp;" "&amp;Engine!$Q$50," *","*"))," "," · "))</f>
        <v/>
      </c>
      <c r="G20" s="30">
        <f>IF($B20="","",SUBSTITUTE(TRIM(SUBSTITUTE(Engine!$S$50&amp;" "&amp;Engine!$T$50&amp;" "&amp;Engine!$U$50," *","*"))," "," · "))</f>
        <v/>
      </c>
      <c r="H20" s="30">
        <f>IF($B20="","",SUBSTITUTE(TRIM(SUBSTITUTE(Engine!$W$50," *","*"))," "," · "))</f>
        <v/>
      </c>
      <c r="I20" s="30">
        <f>IF($B20="","",SUBSTITUTE(TRIM(SUBSTITUTE(Engine!$Y$50," *","*"))," "," · "))</f>
        <v/>
      </c>
      <c r="L20" s="29">
        <f>IFERROR(INDEX(Engine!$C$68:$C$193,MATCH(4,Engine!$I$68:$I$193,0)),IF(4=1,"No gaps 🎉",""))</f>
        <v/>
      </c>
      <c r="M20" s="31">
        <f>IFERROR(INDEX(Engine!$D$68:$D$193,MATCH(4,Engine!$I$68:$I$193,0)),"")</f>
        <v/>
      </c>
      <c r="N20" s="32">
        <f>IFERROR(INDEX(Engine!$G$68:$G$193,MATCH(4,Engine!$I$68:$I$193,0)),"")</f>
        <v/>
      </c>
      <c r="O20" s="33">
        <f>IFERROR(INDEX(Engine!$H$68:$H$193,MATCH(4,Engine!$I$68:$I$193,0)),"")</f>
        <v/>
      </c>
    </row>
    <row r="21" ht="16" customHeight="1">
      <c r="B21" s="24">
        <f>Engine!$B$51</f>
        <v/>
      </c>
      <c r="C21" s="25">
        <f>IF($B21="","",SUBSTITUTE(TRIM(SUBSTITUTE(Engine!$C$51&amp;" "&amp;Engine!$D$51&amp;" "&amp;Engine!$E$51," *","*"))," "," · "))</f>
        <v/>
      </c>
      <c r="D21" s="25">
        <f>IF($B21="","",SUBSTITUTE(TRIM(SUBSTITUTE(Engine!$G$51&amp;" "&amp;Engine!$H$51&amp;" "&amp;Engine!$I$51," *","*"))," "," · "))</f>
        <v/>
      </c>
      <c r="E21" s="25">
        <f>IF($B21="","",SUBSTITUTE(TRIM(SUBSTITUTE(Engine!$K$51&amp;" "&amp;Engine!$L$51&amp;" "&amp;Engine!$M$51," *","*"))," "," · "))</f>
        <v/>
      </c>
      <c r="F21" s="25">
        <f>IF($B21="","",SUBSTITUTE(TRIM(SUBSTITUTE(Engine!$O$51&amp;" "&amp;Engine!$P$51&amp;" "&amp;Engine!$Q$51," *","*"))," "," · "))</f>
        <v/>
      </c>
      <c r="G21" s="25">
        <f>IF($B21="","",SUBSTITUTE(TRIM(SUBSTITUTE(Engine!$S$51&amp;" "&amp;Engine!$T$51&amp;" "&amp;Engine!$U$51," *","*"))," "," · "))</f>
        <v/>
      </c>
      <c r="H21" s="25">
        <f>IF($B21="","",SUBSTITUTE(TRIM(SUBSTITUTE(Engine!$W$51," *","*"))," "," · "))</f>
        <v/>
      </c>
      <c r="I21" s="25">
        <f>IF($B21="","",SUBSTITUTE(TRIM(SUBSTITUTE(Engine!$Y$51," *","*"))," "," · "))</f>
        <v/>
      </c>
      <c r="L21" s="24">
        <f>IFERROR(INDEX(Engine!$C$68:$C$193,MATCH(5,Engine!$I$68:$I$193,0)),IF(5=1,"No gaps 🎉",""))</f>
        <v/>
      </c>
      <c r="M21" s="26">
        <f>IFERROR(INDEX(Engine!$D$68:$D$193,MATCH(5,Engine!$I$68:$I$193,0)),"")</f>
        <v/>
      </c>
      <c r="N21" s="27">
        <f>IFERROR(INDEX(Engine!$G$68:$G$193,MATCH(5,Engine!$I$68:$I$193,0)),"")</f>
        <v/>
      </c>
      <c r="O21" s="28">
        <f>IFERROR(INDEX(Engine!$H$68:$H$193,MATCH(5,Engine!$I$68:$I$193,0)),"")</f>
        <v/>
      </c>
    </row>
    <row r="22" ht="16" customHeight="1">
      <c r="B22" s="29">
        <f>Engine!$B$52</f>
        <v/>
      </c>
      <c r="C22" s="30">
        <f>IF($B22="","",SUBSTITUTE(TRIM(SUBSTITUTE(Engine!$C$52&amp;" "&amp;Engine!$D$52&amp;" "&amp;Engine!$E$52," *","*"))," "," · "))</f>
        <v/>
      </c>
      <c r="D22" s="30">
        <f>IF($B22="","",SUBSTITUTE(TRIM(SUBSTITUTE(Engine!$G$52&amp;" "&amp;Engine!$H$52&amp;" "&amp;Engine!$I$52," *","*"))," "," · "))</f>
        <v/>
      </c>
      <c r="E22" s="30">
        <f>IF($B22="","",SUBSTITUTE(TRIM(SUBSTITUTE(Engine!$K$52&amp;" "&amp;Engine!$L$52&amp;" "&amp;Engine!$M$52," *","*"))," "," · "))</f>
        <v/>
      </c>
      <c r="F22" s="30">
        <f>IF($B22="","",SUBSTITUTE(TRIM(SUBSTITUTE(Engine!$O$52&amp;" "&amp;Engine!$P$52&amp;" "&amp;Engine!$Q$52," *","*"))," "," · "))</f>
        <v/>
      </c>
      <c r="G22" s="30">
        <f>IF($B22="","",SUBSTITUTE(TRIM(SUBSTITUTE(Engine!$S$52&amp;" "&amp;Engine!$T$52&amp;" "&amp;Engine!$U$52," *","*"))," "," · "))</f>
        <v/>
      </c>
      <c r="H22" s="30">
        <f>IF($B22="","",SUBSTITUTE(TRIM(SUBSTITUTE(Engine!$W$52," *","*"))," "," · "))</f>
        <v/>
      </c>
      <c r="I22" s="30">
        <f>IF($B22="","",SUBSTITUTE(TRIM(SUBSTITUTE(Engine!$Y$52," *","*"))," "," · "))</f>
        <v/>
      </c>
      <c r="L22" s="29">
        <f>IFERROR(INDEX(Engine!$C$68:$C$193,MATCH(6,Engine!$I$68:$I$193,0)),IF(6=1,"No gaps 🎉",""))</f>
        <v/>
      </c>
      <c r="M22" s="31">
        <f>IFERROR(INDEX(Engine!$D$68:$D$193,MATCH(6,Engine!$I$68:$I$193,0)),"")</f>
        <v/>
      </c>
      <c r="N22" s="32">
        <f>IFERROR(INDEX(Engine!$G$68:$G$193,MATCH(6,Engine!$I$68:$I$193,0)),"")</f>
        <v/>
      </c>
      <c r="O22" s="33">
        <f>IFERROR(INDEX(Engine!$H$68:$H$193,MATCH(6,Engine!$I$68:$I$193,0)),"")</f>
        <v/>
      </c>
    </row>
    <row r="23" ht="16" customHeight="1">
      <c r="B23" s="24">
        <f>Engine!$B$53</f>
        <v/>
      </c>
      <c r="C23" s="25">
        <f>IF($B23="","",SUBSTITUTE(TRIM(SUBSTITUTE(Engine!$C$53&amp;" "&amp;Engine!$D$53&amp;" "&amp;Engine!$E$53," *","*"))," "," · "))</f>
        <v/>
      </c>
      <c r="D23" s="25">
        <f>IF($B23="","",SUBSTITUTE(TRIM(SUBSTITUTE(Engine!$G$53&amp;" "&amp;Engine!$H$53&amp;" "&amp;Engine!$I$53," *","*"))," "," · "))</f>
        <v/>
      </c>
      <c r="E23" s="25">
        <f>IF($B23="","",SUBSTITUTE(TRIM(SUBSTITUTE(Engine!$K$53&amp;" "&amp;Engine!$L$53&amp;" "&amp;Engine!$M$53," *","*"))," "," · "))</f>
        <v/>
      </c>
      <c r="F23" s="25">
        <f>IF($B23="","",SUBSTITUTE(TRIM(SUBSTITUTE(Engine!$O$53&amp;" "&amp;Engine!$P$53&amp;" "&amp;Engine!$Q$53," *","*"))," "," · "))</f>
        <v/>
      </c>
      <c r="G23" s="25">
        <f>IF($B23="","",SUBSTITUTE(TRIM(SUBSTITUTE(Engine!$S$53&amp;" "&amp;Engine!$T$53&amp;" "&amp;Engine!$U$53," *","*"))," "," · "))</f>
        <v/>
      </c>
      <c r="H23" s="25">
        <f>IF($B23="","",SUBSTITUTE(TRIM(SUBSTITUTE(Engine!$W$53," *","*"))," "," · "))</f>
        <v/>
      </c>
      <c r="I23" s="25">
        <f>IF($B23="","",SUBSTITUTE(TRIM(SUBSTITUTE(Engine!$Y$53," *","*"))," "," · "))</f>
        <v/>
      </c>
      <c r="L23" s="24">
        <f>IFERROR(INDEX(Engine!$C$68:$C$193,MATCH(7,Engine!$I$68:$I$193,0)),IF(7=1,"No gaps 🎉",""))</f>
        <v/>
      </c>
      <c r="M23" s="26">
        <f>IFERROR(INDEX(Engine!$D$68:$D$193,MATCH(7,Engine!$I$68:$I$193,0)),"")</f>
        <v/>
      </c>
      <c r="N23" s="27">
        <f>IFERROR(INDEX(Engine!$G$68:$G$193,MATCH(7,Engine!$I$68:$I$193,0)),"")</f>
        <v/>
      </c>
      <c r="O23" s="28">
        <f>IFERROR(INDEX(Engine!$H$68:$H$193,MATCH(7,Engine!$I$68:$I$193,0)),"")</f>
        <v/>
      </c>
    </row>
    <row r="24" ht="16" customHeight="1">
      <c r="B24" s="29">
        <f>Engine!$B$54</f>
        <v/>
      </c>
      <c r="C24" s="30">
        <f>IF($B24="","",SUBSTITUTE(TRIM(SUBSTITUTE(Engine!$C$54&amp;" "&amp;Engine!$D$54&amp;" "&amp;Engine!$E$54," *","*"))," "," · "))</f>
        <v/>
      </c>
      <c r="D24" s="30">
        <f>IF($B24="","",SUBSTITUTE(TRIM(SUBSTITUTE(Engine!$G$54&amp;" "&amp;Engine!$H$54&amp;" "&amp;Engine!$I$54," *","*"))," "," · "))</f>
        <v/>
      </c>
      <c r="E24" s="30">
        <f>IF($B24="","",SUBSTITUTE(TRIM(SUBSTITUTE(Engine!$K$54&amp;" "&amp;Engine!$L$54&amp;" "&amp;Engine!$M$54," *","*"))," "," · "))</f>
        <v/>
      </c>
      <c r="F24" s="30">
        <f>IF($B24="","",SUBSTITUTE(TRIM(SUBSTITUTE(Engine!$O$54&amp;" "&amp;Engine!$P$54&amp;" "&amp;Engine!$Q$54," *","*"))," "," · "))</f>
        <v/>
      </c>
      <c r="G24" s="30">
        <f>IF($B24="","",SUBSTITUTE(TRIM(SUBSTITUTE(Engine!$S$54&amp;" "&amp;Engine!$T$54&amp;" "&amp;Engine!$U$54," *","*"))," "," · "))</f>
        <v/>
      </c>
      <c r="H24" s="30">
        <f>IF($B24="","",SUBSTITUTE(TRIM(SUBSTITUTE(Engine!$W$54," *","*"))," "," · "))</f>
        <v/>
      </c>
      <c r="I24" s="30">
        <f>IF($B24="","",SUBSTITUTE(TRIM(SUBSTITUTE(Engine!$Y$54," *","*"))," "," · "))</f>
        <v/>
      </c>
      <c r="L24" s="29">
        <f>IFERROR(INDEX(Engine!$C$68:$C$193,MATCH(8,Engine!$I$68:$I$193,0)),IF(8=1,"No gaps 🎉",""))</f>
        <v/>
      </c>
      <c r="M24" s="31">
        <f>IFERROR(INDEX(Engine!$D$68:$D$193,MATCH(8,Engine!$I$68:$I$193,0)),"")</f>
        <v/>
      </c>
      <c r="N24" s="32">
        <f>IFERROR(INDEX(Engine!$G$68:$G$193,MATCH(8,Engine!$I$68:$I$193,0)),"")</f>
        <v/>
      </c>
      <c r="O24" s="33">
        <f>IFERROR(INDEX(Engine!$H$68:$H$193,MATCH(8,Engine!$I$68:$I$193,0)),"")</f>
        <v/>
      </c>
    </row>
    <row r="25" ht="16" customHeight="1">
      <c r="B25" s="24">
        <f>Engine!$B$55</f>
        <v/>
      </c>
      <c r="C25" s="25">
        <f>IF($B25="","",SUBSTITUTE(TRIM(SUBSTITUTE(Engine!$C$55&amp;" "&amp;Engine!$D$55&amp;" "&amp;Engine!$E$55," *","*"))," "," · "))</f>
        <v/>
      </c>
      <c r="D25" s="25">
        <f>IF($B25="","",SUBSTITUTE(TRIM(SUBSTITUTE(Engine!$G$55&amp;" "&amp;Engine!$H$55&amp;" "&amp;Engine!$I$55," *","*"))," "," · "))</f>
        <v/>
      </c>
      <c r="E25" s="25">
        <f>IF($B25="","",SUBSTITUTE(TRIM(SUBSTITUTE(Engine!$K$55&amp;" "&amp;Engine!$L$55&amp;" "&amp;Engine!$M$55," *","*"))," "," · "))</f>
        <v/>
      </c>
      <c r="F25" s="25">
        <f>IF($B25="","",SUBSTITUTE(TRIM(SUBSTITUTE(Engine!$O$55&amp;" "&amp;Engine!$P$55&amp;" "&amp;Engine!$Q$55," *","*"))," "," · "))</f>
        <v/>
      </c>
      <c r="G25" s="25">
        <f>IF($B25="","",SUBSTITUTE(TRIM(SUBSTITUTE(Engine!$S$55&amp;" "&amp;Engine!$T$55&amp;" "&amp;Engine!$U$55," *","*"))," "," · "))</f>
        <v/>
      </c>
      <c r="H25" s="25">
        <f>IF($B25="","",SUBSTITUTE(TRIM(SUBSTITUTE(Engine!$W$55," *","*"))," "," · "))</f>
        <v/>
      </c>
      <c r="I25" s="25">
        <f>IF($B25="","",SUBSTITUTE(TRIM(SUBSTITUTE(Engine!$Y$55," *","*"))," "," · "))</f>
        <v/>
      </c>
      <c r="L25" s="24">
        <f>IFERROR(INDEX(Engine!$C$68:$C$193,MATCH(9,Engine!$I$68:$I$193,0)),IF(9=1,"No gaps 🎉",""))</f>
        <v/>
      </c>
      <c r="M25" s="26">
        <f>IFERROR(INDEX(Engine!$D$68:$D$193,MATCH(9,Engine!$I$68:$I$193,0)),"")</f>
        <v/>
      </c>
      <c r="N25" s="27">
        <f>IFERROR(INDEX(Engine!$G$68:$G$193,MATCH(9,Engine!$I$68:$I$193,0)),"")</f>
        <v/>
      </c>
      <c r="O25" s="28">
        <f>IFERROR(INDEX(Engine!$H$68:$H$193,MATCH(9,Engine!$I$68:$I$193,0)),"")</f>
        <v/>
      </c>
    </row>
    <row r="26" ht="16" customHeight="1">
      <c r="B26" s="29">
        <f>Engine!$B$56</f>
        <v/>
      </c>
      <c r="C26" s="30">
        <f>IF($B26="","",SUBSTITUTE(TRIM(SUBSTITUTE(Engine!$C$56&amp;" "&amp;Engine!$D$56&amp;" "&amp;Engine!$E$56," *","*"))," "," · "))</f>
        <v/>
      </c>
      <c r="D26" s="30">
        <f>IF($B26="","",SUBSTITUTE(TRIM(SUBSTITUTE(Engine!$G$56&amp;" "&amp;Engine!$H$56&amp;" "&amp;Engine!$I$56," *","*"))," "," · "))</f>
        <v/>
      </c>
      <c r="E26" s="30">
        <f>IF($B26="","",SUBSTITUTE(TRIM(SUBSTITUTE(Engine!$K$56&amp;" "&amp;Engine!$L$56&amp;" "&amp;Engine!$M$56," *","*"))," "," · "))</f>
        <v/>
      </c>
      <c r="F26" s="30">
        <f>IF($B26="","",SUBSTITUTE(TRIM(SUBSTITUTE(Engine!$O$56&amp;" "&amp;Engine!$P$56&amp;" "&amp;Engine!$Q$56," *","*"))," "," · "))</f>
        <v/>
      </c>
      <c r="G26" s="30">
        <f>IF($B26="","",SUBSTITUTE(TRIM(SUBSTITUTE(Engine!$S$56&amp;" "&amp;Engine!$T$56&amp;" "&amp;Engine!$U$56," *","*"))," "," · "))</f>
        <v/>
      </c>
      <c r="H26" s="30">
        <f>IF($B26="","",SUBSTITUTE(TRIM(SUBSTITUTE(Engine!$W$56," *","*"))," "," · "))</f>
        <v/>
      </c>
      <c r="I26" s="30">
        <f>IF($B26="","",SUBSTITUTE(TRIM(SUBSTITUTE(Engine!$Y$56," *","*"))," "," · "))</f>
        <v/>
      </c>
      <c r="L26" s="29">
        <f>IFERROR(INDEX(Engine!$C$68:$C$193,MATCH(10,Engine!$I$68:$I$193,0)),IF(10=1,"No gaps 🎉",""))</f>
        <v/>
      </c>
      <c r="M26" s="31">
        <f>IFERROR(INDEX(Engine!$D$68:$D$193,MATCH(10,Engine!$I$68:$I$193,0)),"")</f>
        <v/>
      </c>
      <c r="N26" s="32">
        <f>IFERROR(INDEX(Engine!$G$68:$G$193,MATCH(10,Engine!$I$68:$I$193,0)),"")</f>
        <v/>
      </c>
      <c r="O26" s="33">
        <f>IFERROR(INDEX(Engine!$H$68:$H$193,MATCH(10,Engine!$I$68:$I$193,0)),"")</f>
        <v/>
      </c>
    </row>
    <row r="27" ht="16" customHeight="1">
      <c r="B27" s="24">
        <f>Engine!$B$57</f>
        <v/>
      </c>
      <c r="C27" s="25">
        <f>IF($B27="","",SUBSTITUTE(TRIM(SUBSTITUTE(Engine!$C$57&amp;" "&amp;Engine!$D$57&amp;" "&amp;Engine!$E$57," *","*"))," "," · "))</f>
        <v/>
      </c>
      <c r="D27" s="25">
        <f>IF($B27="","",SUBSTITUTE(TRIM(SUBSTITUTE(Engine!$G$57&amp;" "&amp;Engine!$H$57&amp;" "&amp;Engine!$I$57," *","*"))," "," · "))</f>
        <v/>
      </c>
      <c r="E27" s="25">
        <f>IF($B27="","",SUBSTITUTE(TRIM(SUBSTITUTE(Engine!$K$57&amp;" "&amp;Engine!$L$57&amp;" "&amp;Engine!$M$57," *","*"))," "," · "))</f>
        <v/>
      </c>
      <c r="F27" s="25">
        <f>IF($B27="","",SUBSTITUTE(TRIM(SUBSTITUTE(Engine!$O$57&amp;" "&amp;Engine!$P$57&amp;" "&amp;Engine!$Q$57," *","*"))," "," · "))</f>
        <v/>
      </c>
      <c r="G27" s="25">
        <f>IF($B27="","",SUBSTITUTE(TRIM(SUBSTITUTE(Engine!$S$57&amp;" "&amp;Engine!$T$57&amp;" "&amp;Engine!$U$57," *","*"))," "," · "))</f>
        <v/>
      </c>
      <c r="H27" s="25">
        <f>IF($B27="","",SUBSTITUTE(TRIM(SUBSTITUTE(Engine!$W$57," *","*"))," "," · "))</f>
        <v/>
      </c>
      <c r="I27" s="25">
        <f>IF($B27="","",SUBSTITUTE(TRIM(SUBSTITUTE(Engine!$Y$57," *","*"))," "," · "))</f>
        <v/>
      </c>
      <c r="L27" s="24">
        <f>IFERROR(INDEX(Engine!$C$68:$C$193,MATCH(11,Engine!$I$68:$I$193,0)),IF(11=1,"No gaps 🎉",""))</f>
        <v/>
      </c>
      <c r="M27" s="26">
        <f>IFERROR(INDEX(Engine!$D$68:$D$193,MATCH(11,Engine!$I$68:$I$193,0)),"")</f>
        <v/>
      </c>
      <c r="N27" s="27">
        <f>IFERROR(INDEX(Engine!$G$68:$G$193,MATCH(11,Engine!$I$68:$I$193,0)),"")</f>
        <v/>
      </c>
      <c r="O27" s="28">
        <f>IFERROR(INDEX(Engine!$H$68:$H$193,MATCH(11,Engine!$I$68:$I$193,0)),"")</f>
        <v/>
      </c>
    </row>
    <row r="28" ht="16" customHeight="1">
      <c r="B28" s="29">
        <f>Engine!$B$58</f>
        <v/>
      </c>
      <c r="C28" s="30">
        <f>IF($B28="","",SUBSTITUTE(TRIM(SUBSTITUTE(Engine!$C$58&amp;" "&amp;Engine!$D$58&amp;" "&amp;Engine!$E$58," *","*"))," "," · "))</f>
        <v/>
      </c>
      <c r="D28" s="30">
        <f>IF($B28="","",SUBSTITUTE(TRIM(SUBSTITUTE(Engine!$G$58&amp;" "&amp;Engine!$H$58&amp;" "&amp;Engine!$I$58," *","*"))," "," · "))</f>
        <v/>
      </c>
      <c r="E28" s="30">
        <f>IF($B28="","",SUBSTITUTE(TRIM(SUBSTITUTE(Engine!$K$58&amp;" "&amp;Engine!$L$58&amp;" "&amp;Engine!$M$58," *","*"))," "," · "))</f>
        <v/>
      </c>
      <c r="F28" s="30">
        <f>IF($B28="","",SUBSTITUTE(TRIM(SUBSTITUTE(Engine!$O$58&amp;" "&amp;Engine!$P$58&amp;" "&amp;Engine!$Q$58," *","*"))," "," · "))</f>
        <v/>
      </c>
      <c r="G28" s="30">
        <f>IF($B28="","",SUBSTITUTE(TRIM(SUBSTITUTE(Engine!$S$58&amp;" "&amp;Engine!$T$58&amp;" "&amp;Engine!$U$58," *","*"))," "," · "))</f>
        <v/>
      </c>
      <c r="H28" s="30">
        <f>IF($B28="","",SUBSTITUTE(TRIM(SUBSTITUTE(Engine!$W$58," *","*"))," "," · "))</f>
        <v/>
      </c>
      <c r="I28" s="30">
        <f>IF($B28="","",SUBSTITUTE(TRIM(SUBSTITUTE(Engine!$Y$58," *","*"))," "," · "))</f>
        <v/>
      </c>
      <c r="L28" s="29">
        <f>IFERROR(INDEX(Engine!$C$68:$C$193,MATCH(12,Engine!$I$68:$I$193,0)),IF(12=1,"No gaps 🎉",""))</f>
        <v/>
      </c>
      <c r="M28" s="31">
        <f>IFERROR(INDEX(Engine!$D$68:$D$193,MATCH(12,Engine!$I$68:$I$193,0)),"")</f>
        <v/>
      </c>
      <c r="N28" s="32">
        <f>IFERROR(INDEX(Engine!$G$68:$G$193,MATCH(12,Engine!$I$68:$I$193,0)),"")</f>
        <v/>
      </c>
      <c r="O28" s="33">
        <f>IFERROR(INDEX(Engine!$H$68:$H$193,MATCH(12,Engine!$I$68:$I$193,0)),"")</f>
        <v/>
      </c>
    </row>
    <row r="29" ht="16" customHeight="1">
      <c r="B29" s="24">
        <f>Engine!$B$59</f>
        <v/>
      </c>
      <c r="C29" s="25">
        <f>IF($B29="","",SUBSTITUTE(TRIM(SUBSTITUTE(Engine!$C$59&amp;" "&amp;Engine!$D$59&amp;" "&amp;Engine!$E$59," *","*"))," "," · "))</f>
        <v/>
      </c>
      <c r="D29" s="25">
        <f>IF($B29="","",SUBSTITUTE(TRIM(SUBSTITUTE(Engine!$G$59&amp;" "&amp;Engine!$H$59&amp;" "&amp;Engine!$I$59," *","*"))," "," · "))</f>
        <v/>
      </c>
      <c r="E29" s="25">
        <f>IF($B29="","",SUBSTITUTE(TRIM(SUBSTITUTE(Engine!$K$59&amp;" "&amp;Engine!$L$59&amp;" "&amp;Engine!$M$59," *","*"))," "," · "))</f>
        <v/>
      </c>
      <c r="F29" s="25">
        <f>IF($B29="","",SUBSTITUTE(TRIM(SUBSTITUTE(Engine!$O$59&amp;" "&amp;Engine!$P$59&amp;" "&amp;Engine!$Q$59," *","*"))," "," · "))</f>
        <v/>
      </c>
      <c r="G29" s="25">
        <f>IF($B29="","",SUBSTITUTE(TRIM(SUBSTITUTE(Engine!$S$59&amp;" "&amp;Engine!$T$59&amp;" "&amp;Engine!$U$59," *","*"))," "," · "))</f>
        <v/>
      </c>
      <c r="H29" s="25">
        <f>IF($B29="","",SUBSTITUTE(TRIM(SUBSTITUTE(Engine!$W$59," *","*"))," "," · "))</f>
        <v/>
      </c>
      <c r="I29" s="25">
        <f>IF($B29="","",SUBSTITUTE(TRIM(SUBSTITUTE(Engine!$Y$59," *","*"))," "," · "))</f>
        <v/>
      </c>
      <c r="L29" s="24">
        <f>IFERROR(INDEX(Engine!$C$68:$C$193,MATCH(13,Engine!$I$68:$I$193,0)),IF(13=1,"No gaps 🎉",""))</f>
        <v/>
      </c>
      <c r="M29" s="26">
        <f>IFERROR(INDEX(Engine!$D$68:$D$193,MATCH(13,Engine!$I$68:$I$193,0)),"")</f>
        <v/>
      </c>
      <c r="N29" s="27">
        <f>IFERROR(INDEX(Engine!$G$68:$G$193,MATCH(13,Engine!$I$68:$I$193,0)),"")</f>
        <v/>
      </c>
      <c r="O29" s="28">
        <f>IFERROR(INDEX(Engine!$H$68:$H$193,MATCH(13,Engine!$I$68:$I$193,0)),"")</f>
        <v/>
      </c>
    </row>
    <row r="30" ht="16" customHeight="1">
      <c r="B30" s="29">
        <f>Engine!$B$60</f>
        <v/>
      </c>
      <c r="C30" s="30">
        <f>IF($B30="","",SUBSTITUTE(TRIM(SUBSTITUTE(Engine!$C$60&amp;" "&amp;Engine!$D$60&amp;" "&amp;Engine!$E$60," *","*"))," "," · "))</f>
        <v/>
      </c>
      <c r="D30" s="30">
        <f>IF($B30="","",SUBSTITUTE(TRIM(SUBSTITUTE(Engine!$G$60&amp;" "&amp;Engine!$H$60&amp;" "&amp;Engine!$I$60," *","*"))," "," · "))</f>
        <v/>
      </c>
      <c r="E30" s="30">
        <f>IF($B30="","",SUBSTITUTE(TRIM(SUBSTITUTE(Engine!$K$60&amp;" "&amp;Engine!$L$60&amp;" "&amp;Engine!$M$60," *","*"))," "," · "))</f>
        <v/>
      </c>
      <c r="F30" s="30">
        <f>IF($B30="","",SUBSTITUTE(TRIM(SUBSTITUTE(Engine!$O$60&amp;" "&amp;Engine!$P$60&amp;" "&amp;Engine!$Q$60," *","*"))," "," · "))</f>
        <v/>
      </c>
      <c r="G30" s="30">
        <f>IF($B30="","",SUBSTITUTE(TRIM(SUBSTITUTE(Engine!$S$60&amp;" "&amp;Engine!$T$60&amp;" "&amp;Engine!$U$60," *","*"))," "," · "))</f>
        <v/>
      </c>
      <c r="H30" s="30">
        <f>IF($B30="","",SUBSTITUTE(TRIM(SUBSTITUTE(Engine!$W$60," *","*"))," "," · "))</f>
        <v/>
      </c>
      <c r="I30" s="30">
        <f>IF($B30="","",SUBSTITUTE(TRIM(SUBSTITUTE(Engine!$Y$60," *","*"))," "," · "))</f>
        <v/>
      </c>
      <c r="L30" s="29">
        <f>IFERROR(INDEX(Engine!$C$68:$C$193,MATCH(14,Engine!$I$68:$I$193,0)),IF(14=1,"No gaps 🎉",""))</f>
        <v/>
      </c>
      <c r="M30" s="31">
        <f>IFERROR(INDEX(Engine!$D$68:$D$193,MATCH(14,Engine!$I$68:$I$193,0)),"")</f>
        <v/>
      </c>
      <c r="N30" s="32">
        <f>IFERROR(INDEX(Engine!$G$68:$G$193,MATCH(14,Engine!$I$68:$I$193,0)),"")</f>
        <v/>
      </c>
      <c r="O30" s="33">
        <f>IFERROR(INDEX(Engine!$H$68:$H$193,MATCH(14,Engine!$I$68:$I$193,0)),"")</f>
        <v/>
      </c>
    </row>
    <row r="31" ht="16" customHeight="1">
      <c r="B31" s="24">
        <f>Engine!$B$61</f>
        <v/>
      </c>
      <c r="C31" s="25">
        <f>IF($B31="","",SUBSTITUTE(TRIM(SUBSTITUTE(Engine!$C$61&amp;" "&amp;Engine!$D$61&amp;" "&amp;Engine!$E$61," *","*"))," "," · "))</f>
        <v/>
      </c>
      <c r="D31" s="25">
        <f>IF($B31="","",SUBSTITUTE(TRIM(SUBSTITUTE(Engine!$G$61&amp;" "&amp;Engine!$H$61&amp;" "&amp;Engine!$I$61," *","*"))," "," · "))</f>
        <v/>
      </c>
      <c r="E31" s="25">
        <f>IF($B31="","",SUBSTITUTE(TRIM(SUBSTITUTE(Engine!$K$61&amp;" "&amp;Engine!$L$61&amp;" "&amp;Engine!$M$61," *","*"))," "," · "))</f>
        <v/>
      </c>
      <c r="F31" s="25">
        <f>IF($B31="","",SUBSTITUTE(TRIM(SUBSTITUTE(Engine!$O$61&amp;" "&amp;Engine!$P$61&amp;" "&amp;Engine!$Q$61," *","*"))," "," · "))</f>
        <v/>
      </c>
      <c r="G31" s="25">
        <f>IF($B31="","",SUBSTITUTE(TRIM(SUBSTITUTE(Engine!$S$61&amp;" "&amp;Engine!$T$61&amp;" "&amp;Engine!$U$61," *","*"))," "," · "))</f>
        <v/>
      </c>
      <c r="H31" s="25">
        <f>IF($B31="","",SUBSTITUTE(TRIM(SUBSTITUTE(Engine!$W$61," *","*"))," "," · "))</f>
        <v/>
      </c>
      <c r="I31" s="25">
        <f>IF($B31="","",SUBSTITUTE(TRIM(SUBSTITUTE(Engine!$Y$61," *","*"))," "," · "))</f>
        <v/>
      </c>
      <c r="L31" s="24">
        <f>IFERROR(INDEX(Engine!$C$68:$C$193,MATCH(15,Engine!$I$68:$I$193,0)),IF(15=1,"No gaps 🎉",""))</f>
        <v/>
      </c>
      <c r="M31" s="26">
        <f>IFERROR(INDEX(Engine!$D$68:$D$193,MATCH(15,Engine!$I$68:$I$193,0)),"")</f>
        <v/>
      </c>
      <c r="N31" s="27">
        <f>IFERROR(INDEX(Engine!$G$68:$G$193,MATCH(15,Engine!$I$68:$I$193,0)),"")</f>
        <v/>
      </c>
      <c r="O31" s="28">
        <f>IFERROR(INDEX(Engine!$H$68:$H$193,MATCH(15,Engine!$I$68:$I$193,0)),"")</f>
        <v/>
      </c>
    </row>
    <row r="32" ht="16" customHeight="1">
      <c r="B32" s="29">
        <f>Engine!$B$62</f>
        <v/>
      </c>
      <c r="C32" s="30">
        <f>IF($B32="","",SUBSTITUTE(TRIM(SUBSTITUTE(Engine!$C$62&amp;" "&amp;Engine!$D$62&amp;" "&amp;Engine!$E$62," *","*"))," "," · "))</f>
        <v/>
      </c>
      <c r="D32" s="30">
        <f>IF($B32="","",SUBSTITUTE(TRIM(SUBSTITUTE(Engine!$G$62&amp;" "&amp;Engine!$H$62&amp;" "&amp;Engine!$I$62," *","*"))," "," · "))</f>
        <v/>
      </c>
      <c r="E32" s="30">
        <f>IF($B32="","",SUBSTITUTE(TRIM(SUBSTITUTE(Engine!$K$62&amp;" "&amp;Engine!$L$62&amp;" "&amp;Engine!$M$62," *","*"))," "," · "))</f>
        <v/>
      </c>
      <c r="F32" s="30">
        <f>IF($B32="","",SUBSTITUTE(TRIM(SUBSTITUTE(Engine!$O$62&amp;" "&amp;Engine!$P$62&amp;" "&amp;Engine!$Q$62," *","*"))," "," · "))</f>
        <v/>
      </c>
      <c r="G32" s="30">
        <f>IF($B32="","",SUBSTITUTE(TRIM(SUBSTITUTE(Engine!$S$62&amp;" "&amp;Engine!$T$62&amp;" "&amp;Engine!$U$62," *","*"))," "," · "))</f>
        <v/>
      </c>
      <c r="H32" s="30">
        <f>IF($B32="","",SUBSTITUTE(TRIM(SUBSTITUTE(Engine!$W$62," *","*"))," "," · "))</f>
        <v/>
      </c>
      <c r="I32" s="30">
        <f>IF($B32="","",SUBSTITUTE(TRIM(SUBSTITUTE(Engine!$Y$62," *","*"))," "," · "))</f>
        <v/>
      </c>
      <c r="L32" s="29">
        <f>IFERROR(INDEX(Engine!$C$68:$C$193,MATCH(16,Engine!$I$68:$I$193,0)),IF(16=1,"No gaps 🎉",""))</f>
        <v/>
      </c>
      <c r="M32" s="31">
        <f>IFERROR(INDEX(Engine!$D$68:$D$193,MATCH(16,Engine!$I$68:$I$193,0)),"")</f>
        <v/>
      </c>
      <c r="N32" s="32">
        <f>IFERROR(INDEX(Engine!$G$68:$G$193,MATCH(16,Engine!$I$68:$I$193,0)),"")</f>
        <v/>
      </c>
      <c r="O32" s="33">
        <f>IFERROR(INDEX(Engine!$H$68:$H$193,MATCH(16,Engine!$I$68:$I$193,0)),"")</f>
        <v/>
      </c>
    </row>
    <row r="33" ht="16" customHeight="1">
      <c r="B33" s="24">
        <f>Engine!$B$63</f>
        <v/>
      </c>
      <c r="C33" s="25">
        <f>IF($B33="","",SUBSTITUTE(TRIM(SUBSTITUTE(Engine!$C$63&amp;" "&amp;Engine!$D$63&amp;" "&amp;Engine!$E$63," *","*"))," "," · "))</f>
        <v/>
      </c>
      <c r="D33" s="25">
        <f>IF($B33="","",SUBSTITUTE(TRIM(SUBSTITUTE(Engine!$G$63&amp;" "&amp;Engine!$H$63&amp;" "&amp;Engine!$I$63," *","*"))," "," · "))</f>
        <v/>
      </c>
      <c r="E33" s="25">
        <f>IF($B33="","",SUBSTITUTE(TRIM(SUBSTITUTE(Engine!$K$63&amp;" "&amp;Engine!$L$63&amp;" "&amp;Engine!$M$63," *","*"))," "," · "))</f>
        <v/>
      </c>
      <c r="F33" s="25">
        <f>IF($B33="","",SUBSTITUTE(TRIM(SUBSTITUTE(Engine!$O$63&amp;" "&amp;Engine!$P$63&amp;" "&amp;Engine!$Q$63," *","*"))," "," · "))</f>
        <v/>
      </c>
      <c r="G33" s="25">
        <f>IF($B33="","",SUBSTITUTE(TRIM(SUBSTITUTE(Engine!$S$63&amp;" "&amp;Engine!$T$63&amp;" "&amp;Engine!$U$63," *","*"))," "," · "))</f>
        <v/>
      </c>
      <c r="H33" s="25">
        <f>IF($B33="","",SUBSTITUTE(TRIM(SUBSTITUTE(Engine!$W$63," *","*"))," "," · "))</f>
        <v/>
      </c>
      <c r="I33" s="25">
        <f>IF($B33="","",SUBSTITUTE(TRIM(SUBSTITUTE(Engine!$Y$63," *","*"))," "," · "))</f>
        <v/>
      </c>
      <c r="L33" s="24">
        <f>IFERROR(INDEX(Engine!$C$68:$C$193,MATCH(17,Engine!$I$68:$I$193,0)),IF(17=1,"No gaps 🎉",""))</f>
        <v/>
      </c>
      <c r="M33" s="26">
        <f>IFERROR(INDEX(Engine!$D$68:$D$193,MATCH(17,Engine!$I$68:$I$193,0)),"")</f>
        <v/>
      </c>
      <c r="N33" s="27">
        <f>IFERROR(INDEX(Engine!$G$68:$G$193,MATCH(17,Engine!$I$68:$I$193,0)),"")</f>
        <v/>
      </c>
      <c r="O33" s="28">
        <f>IFERROR(INDEX(Engine!$H$68:$H$193,MATCH(17,Engine!$I$68:$I$193,0)),"")</f>
        <v/>
      </c>
    </row>
    <row r="34" ht="16" customHeight="1">
      <c r="B34" s="29">
        <f>Engine!$B$64</f>
        <v/>
      </c>
      <c r="C34" s="30">
        <f>IF($B34="","",SUBSTITUTE(TRIM(SUBSTITUTE(Engine!$C$64&amp;" "&amp;Engine!$D$64&amp;" "&amp;Engine!$E$64," *","*"))," "," · "))</f>
        <v/>
      </c>
      <c r="D34" s="30">
        <f>IF($B34="","",SUBSTITUTE(TRIM(SUBSTITUTE(Engine!$G$64&amp;" "&amp;Engine!$H$64&amp;" "&amp;Engine!$I$64," *","*"))," "," · "))</f>
        <v/>
      </c>
      <c r="E34" s="30">
        <f>IF($B34="","",SUBSTITUTE(TRIM(SUBSTITUTE(Engine!$K$64&amp;" "&amp;Engine!$L$64&amp;" "&amp;Engine!$M$64," *","*"))," "," · "))</f>
        <v/>
      </c>
      <c r="F34" s="30">
        <f>IF($B34="","",SUBSTITUTE(TRIM(SUBSTITUTE(Engine!$O$64&amp;" "&amp;Engine!$P$64&amp;" "&amp;Engine!$Q$64," *","*"))," "," · "))</f>
        <v/>
      </c>
      <c r="G34" s="30">
        <f>IF($B34="","",SUBSTITUTE(TRIM(SUBSTITUTE(Engine!$S$64&amp;" "&amp;Engine!$T$64&amp;" "&amp;Engine!$U$64," *","*"))," "," · "))</f>
        <v/>
      </c>
      <c r="H34" s="30">
        <f>IF($B34="","",SUBSTITUTE(TRIM(SUBSTITUTE(Engine!$W$64," *","*"))," "," · "))</f>
        <v/>
      </c>
      <c r="I34" s="30">
        <f>IF($B34="","",SUBSTITUTE(TRIM(SUBSTITUTE(Engine!$Y$64," *","*"))," "," · "))</f>
        <v/>
      </c>
      <c r="L34" s="29">
        <f>IFERROR(INDEX(Engine!$C$68:$C$193,MATCH(18,Engine!$I$68:$I$193,0)),IF(18=1,"No gaps 🎉",""))</f>
        <v/>
      </c>
      <c r="M34" s="31">
        <f>IFERROR(INDEX(Engine!$D$68:$D$193,MATCH(18,Engine!$I$68:$I$193,0)),"")</f>
        <v/>
      </c>
      <c r="N34" s="32">
        <f>IFERROR(INDEX(Engine!$G$68:$G$193,MATCH(18,Engine!$I$68:$I$193,0)),"")</f>
        <v/>
      </c>
      <c r="O34" s="33">
        <f>IFERROR(INDEX(Engine!$H$68:$H$193,MATCH(18,Engine!$I$68:$I$193,0)),"")</f>
        <v/>
      </c>
    </row>
    <row r="37">
      <c r="B37" s="7" t="inlineStr">
        <is>
          <t>WHO IS AROUND THIS WEEK</t>
        </is>
      </c>
      <c r="E37" s="11" t="inlineStr">
        <is>
          <t>status codes from Setup · blank = available</t>
        </is>
      </c>
    </row>
    <row r="38" ht="18" customHeight="1">
      <c r="B38" s="19" t="inlineStr">
        <is>
          <t>Person</t>
        </is>
      </c>
      <c r="C38" s="20">
        <f>Engine!$B$12+0</f>
        <v/>
      </c>
      <c r="D38" s="20">
        <f>Engine!$B$12+1</f>
        <v/>
      </c>
      <c r="E38" s="20">
        <f>Engine!$B$12+2</f>
        <v/>
      </c>
      <c r="F38" s="20">
        <f>Engine!$B$12+3</f>
        <v/>
      </c>
      <c r="G38" s="20">
        <f>Engine!$B$12+4</f>
        <v/>
      </c>
      <c r="H38" s="21">
        <f>Engine!$B$12+5</f>
        <v/>
      </c>
      <c r="I38" s="21">
        <f>Engine!$B$12+6</f>
        <v/>
      </c>
      <c r="J38" s="1" t="inlineStr"/>
      <c r="L38" s="34" t="inlineStr">
        <is>
          <t>Days rostered</t>
        </is>
      </c>
      <c r="M38" s="34" t="inlineStr">
        <is>
          <t>Conflicts</t>
        </is>
      </c>
    </row>
    <row r="39" ht="15" customHeight="1">
      <c r="B39" s="35">
        <f>IF(Engine!$B$20="","",Engine!$B$20&amp;IF(Setup!$C$6="",""," · "&amp;Setup!$C$6))</f>
        <v/>
      </c>
      <c r="C39" s="25">
        <f>Engine!$D$20</f>
        <v/>
      </c>
      <c r="D39" s="25">
        <f>Engine!$E$20</f>
        <v/>
      </c>
      <c r="E39" s="25">
        <f>Engine!$F$20</f>
        <v/>
      </c>
      <c r="F39" s="25">
        <f>Engine!$G$20</f>
        <v/>
      </c>
      <c r="G39" s="25">
        <f>Engine!$H$20</f>
        <v/>
      </c>
      <c r="H39" s="25">
        <f>Engine!$I$20</f>
        <v/>
      </c>
      <c r="I39" s="25">
        <f>Engine!$J$20</f>
        <v/>
      </c>
      <c r="L39" s="26">
        <f>IF(Engine!$B$20="","",Engine!$R$20)</f>
        <v/>
      </c>
      <c r="M39" s="36">
        <f>IF(Engine!$B$20="","",Engine!$S$20)</f>
        <v/>
      </c>
    </row>
    <row r="40" ht="15" customHeight="1">
      <c r="B40" s="37">
        <f>IF(Engine!$B$21="","",Engine!$B$21&amp;IF(Setup!$C$7="",""," · "&amp;Setup!$C$7))</f>
        <v/>
      </c>
      <c r="C40" s="30">
        <f>Engine!$D$21</f>
        <v/>
      </c>
      <c r="D40" s="30">
        <f>Engine!$E$21</f>
        <v/>
      </c>
      <c r="E40" s="30">
        <f>Engine!$F$21</f>
        <v/>
      </c>
      <c r="F40" s="30">
        <f>Engine!$G$21</f>
        <v/>
      </c>
      <c r="G40" s="30">
        <f>Engine!$H$21</f>
        <v/>
      </c>
      <c r="H40" s="30">
        <f>Engine!$I$21</f>
        <v/>
      </c>
      <c r="I40" s="30">
        <f>Engine!$J$21</f>
        <v/>
      </c>
      <c r="L40" s="31">
        <f>IF(Engine!$B$21="","",Engine!$R$21)</f>
        <v/>
      </c>
      <c r="M40" s="38">
        <f>IF(Engine!$B$21="","",Engine!$S$21)</f>
        <v/>
      </c>
    </row>
    <row r="41" ht="15" customHeight="1">
      <c r="B41" s="35">
        <f>IF(Engine!$B$22="","",Engine!$B$22&amp;IF(Setup!$C$8="",""," · "&amp;Setup!$C$8))</f>
        <v/>
      </c>
      <c r="C41" s="25">
        <f>Engine!$D$22</f>
        <v/>
      </c>
      <c r="D41" s="25">
        <f>Engine!$E$22</f>
        <v/>
      </c>
      <c r="E41" s="25">
        <f>Engine!$F$22</f>
        <v/>
      </c>
      <c r="F41" s="25">
        <f>Engine!$G$22</f>
        <v/>
      </c>
      <c r="G41" s="25">
        <f>Engine!$H$22</f>
        <v/>
      </c>
      <c r="H41" s="25">
        <f>Engine!$I$22</f>
        <v/>
      </c>
      <c r="I41" s="25">
        <f>Engine!$J$22</f>
        <v/>
      </c>
      <c r="L41" s="26">
        <f>IF(Engine!$B$22="","",Engine!$R$22)</f>
        <v/>
      </c>
      <c r="M41" s="36">
        <f>IF(Engine!$B$22="","",Engine!$S$22)</f>
        <v/>
      </c>
    </row>
    <row r="42" ht="15" customHeight="1">
      <c r="B42" s="37">
        <f>IF(Engine!$B$23="","",Engine!$B$23&amp;IF(Setup!$C$9="",""," · "&amp;Setup!$C$9))</f>
        <v/>
      </c>
      <c r="C42" s="30">
        <f>Engine!$D$23</f>
        <v/>
      </c>
      <c r="D42" s="30">
        <f>Engine!$E$23</f>
        <v/>
      </c>
      <c r="E42" s="30">
        <f>Engine!$F$23</f>
        <v/>
      </c>
      <c r="F42" s="30">
        <f>Engine!$G$23</f>
        <v/>
      </c>
      <c r="G42" s="30">
        <f>Engine!$H$23</f>
        <v/>
      </c>
      <c r="H42" s="30">
        <f>Engine!$I$23</f>
        <v/>
      </c>
      <c r="I42" s="30">
        <f>Engine!$J$23</f>
        <v/>
      </c>
      <c r="L42" s="31">
        <f>IF(Engine!$B$23="","",Engine!$R$23)</f>
        <v/>
      </c>
      <c r="M42" s="38">
        <f>IF(Engine!$B$23="","",Engine!$S$23)</f>
        <v/>
      </c>
    </row>
    <row r="43" ht="15" customHeight="1">
      <c r="B43" s="35">
        <f>IF(Engine!$B$24="","",Engine!$B$24&amp;IF(Setup!$C$10="",""," · "&amp;Setup!$C$10))</f>
        <v/>
      </c>
      <c r="C43" s="25">
        <f>Engine!$D$24</f>
        <v/>
      </c>
      <c r="D43" s="25">
        <f>Engine!$E$24</f>
        <v/>
      </c>
      <c r="E43" s="25">
        <f>Engine!$F$24</f>
        <v/>
      </c>
      <c r="F43" s="25">
        <f>Engine!$G$24</f>
        <v/>
      </c>
      <c r="G43" s="25">
        <f>Engine!$H$24</f>
        <v/>
      </c>
      <c r="H43" s="25">
        <f>Engine!$I$24</f>
        <v/>
      </c>
      <c r="I43" s="25">
        <f>Engine!$J$24</f>
        <v/>
      </c>
      <c r="L43" s="26">
        <f>IF(Engine!$B$24="","",Engine!$R$24)</f>
        <v/>
      </c>
      <c r="M43" s="36">
        <f>IF(Engine!$B$24="","",Engine!$S$24)</f>
        <v/>
      </c>
    </row>
    <row r="44" ht="15" customHeight="1">
      <c r="B44" s="37">
        <f>IF(Engine!$B$25="","",Engine!$B$25&amp;IF(Setup!$C$11="",""," · "&amp;Setup!$C$11))</f>
        <v/>
      </c>
      <c r="C44" s="30">
        <f>Engine!$D$25</f>
        <v/>
      </c>
      <c r="D44" s="30">
        <f>Engine!$E$25</f>
        <v/>
      </c>
      <c r="E44" s="30">
        <f>Engine!$F$25</f>
        <v/>
      </c>
      <c r="F44" s="30">
        <f>Engine!$G$25</f>
        <v/>
      </c>
      <c r="G44" s="30">
        <f>Engine!$H$25</f>
        <v/>
      </c>
      <c r="H44" s="30">
        <f>Engine!$I$25</f>
        <v/>
      </c>
      <c r="I44" s="30">
        <f>Engine!$J$25</f>
        <v/>
      </c>
      <c r="L44" s="31">
        <f>IF(Engine!$B$25="","",Engine!$R$25)</f>
        <v/>
      </c>
      <c r="M44" s="38">
        <f>IF(Engine!$B$25="","",Engine!$S$25)</f>
        <v/>
      </c>
    </row>
    <row r="45" ht="15" customHeight="1">
      <c r="B45" s="35">
        <f>IF(Engine!$B$26="","",Engine!$B$26&amp;IF(Setup!$C$12="",""," · "&amp;Setup!$C$12))</f>
        <v/>
      </c>
      <c r="C45" s="25">
        <f>Engine!$D$26</f>
        <v/>
      </c>
      <c r="D45" s="25">
        <f>Engine!$E$26</f>
        <v/>
      </c>
      <c r="E45" s="25">
        <f>Engine!$F$26</f>
        <v/>
      </c>
      <c r="F45" s="25">
        <f>Engine!$G$26</f>
        <v/>
      </c>
      <c r="G45" s="25">
        <f>Engine!$H$26</f>
        <v/>
      </c>
      <c r="H45" s="25">
        <f>Engine!$I$26</f>
        <v/>
      </c>
      <c r="I45" s="25">
        <f>Engine!$J$26</f>
        <v/>
      </c>
      <c r="L45" s="26">
        <f>IF(Engine!$B$26="","",Engine!$R$26)</f>
        <v/>
      </c>
      <c r="M45" s="36">
        <f>IF(Engine!$B$26="","",Engine!$S$26)</f>
        <v/>
      </c>
    </row>
    <row r="46" ht="15" customHeight="1">
      <c r="B46" s="37">
        <f>IF(Engine!$B$27="","",Engine!$B$27&amp;IF(Setup!$C$13="",""," · "&amp;Setup!$C$13))</f>
        <v/>
      </c>
      <c r="C46" s="30">
        <f>Engine!$D$27</f>
        <v/>
      </c>
      <c r="D46" s="30">
        <f>Engine!$E$27</f>
        <v/>
      </c>
      <c r="E46" s="30">
        <f>Engine!$F$27</f>
        <v/>
      </c>
      <c r="F46" s="30">
        <f>Engine!$G$27</f>
        <v/>
      </c>
      <c r="G46" s="30">
        <f>Engine!$H$27</f>
        <v/>
      </c>
      <c r="H46" s="30">
        <f>Engine!$I$27</f>
        <v/>
      </c>
      <c r="I46" s="30">
        <f>Engine!$J$27</f>
        <v/>
      </c>
      <c r="L46" s="31">
        <f>IF(Engine!$B$27="","",Engine!$R$27)</f>
        <v/>
      </c>
      <c r="M46" s="38">
        <f>IF(Engine!$B$27="","",Engine!$S$27)</f>
        <v/>
      </c>
    </row>
    <row r="47" ht="15" customHeight="1">
      <c r="B47" s="35">
        <f>IF(Engine!$B$28="","",Engine!$B$28&amp;IF(Setup!$C$14="",""," · "&amp;Setup!$C$14))</f>
        <v/>
      </c>
      <c r="C47" s="25">
        <f>Engine!$D$28</f>
        <v/>
      </c>
      <c r="D47" s="25">
        <f>Engine!$E$28</f>
        <v/>
      </c>
      <c r="E47" s="25">
        <f>Engine!$F$28</f>
        <v/>
      </c>
      <c r="F47" s="25">
        <f>Engine!$G$28</f>
        <v/>
      </c>
      <c r="G47" s="25">
        <f>Engine!$H$28</f>
        <v/>
      </c>
      <c r="H47" s="25">
        <f>Engine!$I$28</f>
        <v/>
      </c>
      <c r="I47" s="25">
        <f>Engine!$J$28</f>
        <v/>
      </c>
      <c r="L47" s="26">
        <f>IF(Engine!$B$28="","",Engine!$R$28)</f>
        <v/>
      </c>
      <c r="M47" s="36">
        <f>IF(Engine!$B$28="","",Engine!$S$28)</f>
        <v/>
      </c>
    </row>
    <row r="48" ht="15" customHeight="1">
      <c r="B48" s="37">
        <f>IF(Engine!$B$29="","",Engine!$B$29&amp;IF(Setup!$C$15="",""," · "&amp;Setup!$C$15))</f>
        <v/>
      </c>
      <c r="C48" s="30">
        <f>Engine!$D$29</f>
        <v/>
      </c>
      <c r="D48" s="30">
        <f>Engine!$E$29</f>
        <v/>
      </c>
      <c r="E48" s="30">
        <f>Engine!$F$29</f>
        <v/>
      </c>
      <c r="F48" s="30">
        <f>Engine!$G$29</f>
        <v/>
      </c>
      <c r="G48" s="30">
        <f>Engine!$H$29</f>
        <v/>
      </c>
      <c r="H48" s="30">
        <f>Engine!$I$29</f>
        <v/>
      </c>
      <c r="I48" s="30">
        <f>Engine!$J$29</f>
        <v/>
      </c>
      <c r="L48" s="31">
        <f>IF(Engine!$B$29="","",Engine!$R$29)</f>
        <v/>
      </c>
      <c r="M48" s="38">
        <f>IF(Engine!$B$29="","",Engine!$S$29)</f>
        <v/>
      </c>
    </row>
    <row r="49" ht="15" customHeight="1">
      <c r="B49" s="35">
        <f>IF(Engine!$B$30="","",Engine!$B$30&amp;IF(Setup!$C$16="",""," · "&amp;Setup!$C$16))</f>
        <v/>
      </c>
      <c r="C49" s="25">
        <f>Engine!$D$30</f>
        <v/>
      </c>
      <c r="D49" s="25">
        <f>Engine!$E$30</f>
        <v/>
      </c>
      <c r="E49" s="25">
        <f>Engine!$F$30</f>
        <v/>
      </c>
      <c r="F49" s="25">
        <f>Engine!$G$30</f>
        <v/>
      </c>
      <c r="G49" s="25">
        <f>Engine!$H$30</f>
        <v/>
      </c>
      <c r="H49" s="25">
        <f>Engine!$I$30</f>
        <v/>
      </c>
      <c r="I49" s="25">
        <f>Engine!$J$30</f>
        <v/>
      </c>
      <c r="L49" s="26">
        <f>IF(Engine!$B$30="","",Engine!$R$30)</f>
        <v/>
      </c>
      <c r="M49" s="36">
        <f>IF(Engine!$B$30="","",Engine!$S$30)</f>
        <v/>
      </c>
    </row>
    <row r="50" ht="15" customHeight="1">
      <c r="B50" s="37">
        <f>IF(Engine!$B$31="","",Engine!$B$31&amp;IF(Setup!$C$17="",""," · "&amp;Setup!$C$17))</f>
        <v/>
      </c>
      <c r="C50" s="30">
        <f>Engine!$D$31</f>
        <v/>
      </c>
      <c r="D50" s="30">
        <f>Engine!$E$31</f>
        <v/>
      </c>
      <c r="E50" s="30">
        <f>Engine!$F$31</f>
        <v/>
      </c>
      <c r="F50" s="30">
        <f>Engine!$G$31</f>
        <v/>
      </c>
      <c r="G50" s="30">
        <f>Engine!$H$31</f>
        <v/>
      </c>
      <c r="H50" s="30">
        <f>Engine!$I$31</f>
        <v/>
      </c>
      <c r="I50" s="30">
        <f>Engine!$J$31</f>
        <v/>
      </c>
      <c r="L50" s="31">
        <f>IF(Engine!$B$31="","",Engine!$R$31)</f>
        <v/>
      </c>
      <c r="M50" s="38">
        <f>IF(Engine!$B$31="","",Engine!$S$31)</f>
        <v/>
      </c>
    </row>
    <row r="51" ht="15" customHeight="1">
      <c r="B51" s="35">
        <f>IF(Engine!$B$32="","",Engine!$B$32&amp;IF(Setup!$C$18="",""," · "&amp;Setup!$C$18))</f>
        <v/>
      </c>
      <c r="C51" s="25">
        <f>Engine!$D$32</f>
        <v/>
      </c>
      <c r="D51" s="25">
        <f>Engine!$E$32</f>
        <v/>
      </c>
      <c r="E51" s="25">
        <f>Engine!$F$32</f>
        <v/>
      </c>
      <c r="F51" s="25">
        <f>Engine!$G$32</f>
        <v/>
      </c>
      <c r="G51" s="25">
        <f>Engine!$H$32</f>
        <v/>
      </c>
      <c r="H51" s="25">
        <f>Engine!$I$32</f>
        <v/>
      </c>
      <c r="I51" s="25">
        <f>Engine!$J$32</f>
        <v/>
      </c>
      <c r="L51" s="26">
        <f>IF(Engine!$B$32="","",Engine!$R$32)</f>
        <v/>
      </c>
      <c r="M51" s="36">
        <f>IF(Engine!$B$32="","",Engine!$S$32)</f>
        <v/>
      </c>
    </row>
    <row r="52" ht="15" customHeight="1">
      <c r="B52" s="37">
        <f>IF(Engine!$B$33="","",Engine!$B$33&amp;IF(Setup!$C$19="",""," · "&amp;Setup!$C$19))</f>
        <v/>
      </c>
      <c r="C52" s="30">
        <f>Engine!$D$33</f>
        <v/>
      </c>
      <c r="D52" s="30">
        <f>Engine!$E$33</f>
        <v/>
      </c>
      <c r="E52" s="30">
        <f>Engine!$F$33</f>
        <v/>
      </c>
      <c r="F52" s="30">
        <f>Engine!$G$33</f>
        <v/>
      </c>
      <c r="G52" s="30">
        <f>Engine!$H$33</f>
        <v/>
      </c>
      <c r="H52" s="30">
        <f>Engine!$I$33</f>
        <v/>
      </c>
      <c r="I52" s="30">
        <f>Engine!$J$33</f>
        <v/>
      </c>
      <c r="L52" s="31">
        <f>IF(Engine!$B$33="","",Engine!$R$33)</f>
        <v/>
      </c>
      <c r="M52" s="38">
        <f>IF(Engine!$B$33="","",Engine!$S$33)</f>
        <v/>
      </c>
    </row>
    <row r="53" ht="15" customHeight="1">
      <c r="B53" s="35">
        <f>IF(Engine!$B$34="","",Engine!$B$34&amp;IF(Setup!$C$20="",""," · "&amp;Setup!$C$20))</f>
        <v/>
      </c>
      <c r="C53" s="25">
        <f>Engine!$D$34</f>
        <v/>
      </c>
      <c r="D53" s="25">
        <f>Engine!$E$34</f>
        <v/>
      </c>
      <c r="E53" s="25">
        <f>Engine!$F$34</f>
        <v/>
      </c>
      <c r="F53" s="25">
        <f>Engine!$G$34</f>
        <v/>
      </c>
      <c r="G53" s="25">
        <f>Engine!$H$34</f>
        <v/>
      </c>
      <c r="H53" s="25">
        <f>Engine!$I$34</f>
        <v/>
      </c>
      <c r="I53" s="25">
        <f>Engine!$J$34</f>
        <v/>
      </c>
      <c r="L53" s="26">
        <f>IF(Engine!$B$34="","",Engine!$R$34)</f>
        <v/>
      </c>
      <c r="M53" s="36">
        <f>IF(Engine!$B$34="","",Engine!$S$34)</f>
        <v/>
      </c>
    </row>
    <row r="54" ht="15" customHeight="1">
      <c r="B54" s="37">
        <f>IF(Engine!$B$35="","",Engine!$B$35&amp;IF(Setup!$C$21="",""," · "&amp;Setup!$C$21))</f>
        <v/>
      </c>
      <c r="C54" s="30">
        <f>Engine!$D$35</f>
        <v/>
      </c>
      <c r="D54" s="30">
        <f>Engine!$E$35</f>
        <v/>
      </c>
      <c r="E54" s="30">
        <f>Engine!$F$35</f>
        <v/>
      </c>
      <c r="F54" s="30">
        <f>Engine!$G$35</f>
        <v/>
      </c>
      <c r="G54" s="30">
        <f>Engine!$H$35</f>
        <v/>
      </c>
      <c r="H54" s="30">
        <f>Engine!$I$35</f>
        <v/>
      </c>
      <c r="I54" s="30">
        <f>Engine!$J$35</f>
        <v/>
      </c>
      <c r="L54" s="31">
        <f>IF(Engine!$B$35="","",Engine!$R$35)</f>
        <v/>
      </c>
      <c r="M54" s="38">
        <f>IF(Engine!$B$35="","",Engine!$S$35)</f>
        <v/>
      </c>
    </row>
    <row r="55" ht="15" customHeight="1">
      <c r="B55" s="35">
        <f>IF(Engine!$B$36="","",Engine!$B$36&amp;IF(Setup!$C$22="",""," · "&amp;Setup!$C$22))</f>
        <v/>
      </c>
      <c r="C55" s="25">
        <f>Engine!$D$36</f>
        <v/>
      </c>
      <c r="D55" s="25">
        <f>Engine!$E$36</f>
        <v/>
      </c>
      <c r="E55" s="25">
        <f>Engine!$F$36</f>
        <v/>
      </c>
      <c r="F55" s="25">
        <f>Engine!$G$36</f>
        <v/>
      </c>
      <c r="G55" s="25">
        <f>Engine!$H$36</f>
        <v/>
      </c>
      <c r="H55" s="25">
        <f>Engine!$I$36</f>
        <v/>
      </c>
      <c r="I55" s="25">
        <f>Engine!$J$36</f>
        <v/>
      </c>
      <c r="L55" s="26">
        <f>IF(Engine!$B$36="","",Engine!$R$36)</f>
        <v/>
      </c>
      <c r="M55" s="36">
        <f>IF(Engine!$B$36="","",Engine!$S$36)</f>
        <v/>
      </c>
    </row>
    <row r="56" ht="15" customHeight="1">
      <c r="B56" s="37">
        <f>IF(Engine!$B$37="","",Engine!$B$37&amp;IF(Setup!$C$23="",""," · "&amp;Setup!$C$23))</f>
        <v/>
      </c>
      <c r="C56" s="30">
        <f>Engine!$D$37</f>
        <v/>
      </c>
      <c r="D56" s="30">
        <f>Engine!$E$37</f>
        <v/>
      </c>
      <c r="E56" s="30">
        <f>Engine!$F$37</f>
        <v/>
      </c>
      <c r="F56" s="30">
        <f>Engine!$G$37</f>
        <v/>
      </c>
      <c r="G56" s="30">
        <f>Engine!$H$37</f>
        <v/>
      </c>
      <c r="H56" s="30">
        <f>Engine!$I$37</f>
        <v/>
      </c>
      <c r="I56" s="30">
        <f>Engine!$J$37</f>
        <v/>
      </c>
      <c r="L56" s="31">
        <f>IF(Engine!$B$37="","",Engine!$R$37)</f>
        <v/>
      </c>
      <c r="M56" s="38">
        <f>IF(Engine!$B$37="","",Engine!$S$37)</f>
        <v/>
      </c>
    </row>
    <row r="57" ht="15" customHeight="1">
      <c r="B57" s="35">
        <f>IF(Engine!$B$38="","",Engine!$B$38&amp;IF(Setup!$C$24="",""," · "&amp;Setup!$C$24))</f>
        <v/>
      </c>
      <c r="C57" s="25">
        <f>Engine!$D$38</f>
        <v/>
      </c>
      <c r="D57" s="25">
        <f>Engine!$E$38</f>
        <v/>
      </c>
      <c r="E57" s="25">
        <f>Engine!$F$38</f>
        <v/>
      </c>
      <c r="F57" s="25">
        <f>Engine!$G$38</f>
        <v/>
      </c>
      <c r="G57" s="25">
        <f>Engine!$H$38</f>
        <v/>
      </c>
      <c r="H57" s="25">
        <f>Engine!$I$38</f>
        <v/>
      </c>
      <c r="I57" s="25">
        <f>Engine!$J$38</f>
        <v/>
      </c>
      <c r="L57" s="26">
        <f>IF(Engine!$B$38="","",Engine!$R$38)</f>
        <v/>
      </c>
      <c r="M57" s="36">
        <f>IF(Engine!$B$38="","",Engine!$S$38)</f>
        <v/>
      </c>
    </row>
    <row r="58" ht="15" customHeight="1">
      <c r="B58" s="37">
        <f>IF(Engine!$B$39="","",Engine!$B$39&amp;IF(Setup!$C$25="",""," · "&amp;Setup!$C$25))</f>
        <v/>
      </c>
      <c r="C58" s="30">
        <f>Engine!$D$39</f>
        <v/>
      </c>
      <c r="D58" s="30">
        <f>Engine!$E$39</f>
        <v/>
      </c>
      <c r="E58" s="30">
        <f>Engine!$F$39</f>
        <v/>
      </c>
      <c r="F58" s="30">
        <f>Engine!$G$39</f>
        <v/>
      </c>
      <c r="G58" s="30">
        <f>Engine!$H$39</f>
        <v/>
      </c>
      <c r="H58" s="30">
        <f>Engine!$I$39</f>
        <v/>
      </c>
      <c r="I58" s="30">
        <f>Engine!$J$39</f>
        <v/>
      </c>
      <c r="L58" s="31">
        <f>IF(Engine!$B$39="","",Engine!$R$39)</f>
        <v/>
      </c>
      <c r="M58" s="38">
        <f>IF(Engine!$B$39="","",Engine!$S$39)</f>
        <v/>
      </c>
    </row>
    <row r="59" ht="15" customHeight="1">
      <c r="B59" s="35">
        <f>IF(Engine!$B$40="","",Engine!$B$40&amp;IF(Setup!$C$26="",""," · "&amp;Setup!$C$26))</f>
        <v/>
      </c>
      <c r="C59" s="25">
        <f>Engine!$D$40</f>
        <v/>
      </c>
      <c r="D59" s="25">
        <f>Engine!$E$40</f>
        <v/>
      </c>
      <c r="E59" s="25">
        <f>Engine!$F$40</f>
        <v/>
      </c>
      <c r="F59" s="25">
        <f>Engine!$G$40</f>
        <v/>
      </c>
      <c r="G59" s="25">
        <f>Engine!$H$40</f>
        <v/>
      </c>
      <c r="H59" s="25">
        <f>Engine!$I$40</f>
        <v/>
      </c>
      <c r="I59" s="25">
        <f>Engine!$J$40</f>
        <v/>
      </c>
      <c r="L59" s="26">
        <f>IF(Engine!$B$40="","",Engine!$R$40)</f>
        <v/>
      </c>
      <c r="M59" s="36">
        <f>IF(Engine!$B$40="","",Engine!$S$40)</f>
        <v/>
      </c>
    </row>
    <row r="60" ht="15" customHeight="1">
      <c r="B60" s="37">
        <f>IF(Engine!$B$41="","",Engine!$B$41&amp;IF(Setup!$C$27="",""," · "&amp;Setup!$C$27))</f>
        <v/>
      </c>
      <c r="C60" s="30">
        <f>Engine!$D$41</f>
        <v/>
      </c>
      <c r="D60" s="30">
        <f>Engine!$E$41</f>
        <v/>
      </c>
      <c r="E60" s="30">
        <f>Engine!$F$41</f>
        <v/>
      </c>
      <c r="F60" s="30">
        <f>Engine!$G$41</f>
        <v/>
      </c>
      <c r="G60" s="30">
        <f>Engine!$H$41</f>
        <v/>
      </c>
      <c r="H60" s="30">
        <f>Engine!$I$41</f>
        <v/>
      </c>
      <c r="I60" s="30">
        <f>Engine!$J$41</f>
        <v/>
      </c>
      <c r="L60" s="31">
        <f>IF(Engine!$B$41="","",Engine!$R$41)</f>
        <v/>
      </c>
      <c r="M60" s="38">
        <f>IF(Engine!$B$41="","",Engine!$S$41)</f>
        <v/>
      </c>
    </row>
    <row r="61" ht="15" customHeight="1">
      <c r="B61" s="35">
        <f>IF(Engine!$B$42="","",Engine!$B$42&amp;IF(Setup!$C$28="",""," · "&amp;Setup!$C$28))</f>
        <v/>
      </c>
      <c r="C61" s="25">
        <f>Engine!$D$42</f>
        <v/>
      </c>
      <c r="D61" s="25">
        <f>Engine!$E$42</f>
        <v/>
      </c>
      <c r="E61" s="25">
        <f>Engine!$F$42</f>
        <v/>
      </c>
      <c r="F61" s="25">
        <f>Engine!$G$42</f>
        <v/>
      </c>
      <c r="G61" s="25">
        <f>Engine!$H$42</f>
        <v/>
      </c>
      <c r="H61" s="25">
        <f>Engine!$I$42</f>
        <v/>
      </c>
      <c r="I61" s="25">
        <f>Engine!$J$42</f>
        <v/>
      </c>
      <c r="L61" s="26">
        <f>IF(Engine!$B$42="","",Engine!$R$42)</f>
        <v/>
      </c>
      <c r="M61" s="36">
        <f>IF(Engine!$B$42="","",Engine!$S$42)</f>
        <v/>
      </c>
    </row>
    <row r="62" ht="15" customHeight="1">
      <c r="B62" s="37">
        <f>IF(Engine!$B$43="","",Engine!$B$43&amp;IF(Setup!$C$29="",""," · "&amp;Setup!$C$29))</f>
        <v/>
      </c>
      <c r="C62" s="30">
        <f>Engine!$D$43</f>
        <v/>
      </c>
      <c r="D62" s="30">
        <f>Engine!$E$43</f>
        <v/>
      </c>
      <c r="E62" s="30">
        <f>Engine!$F$43</f>
        <v/>
      </c>
      <c r="F62" s="30">
        <f>Engine!$G$43</f>
        <v/>
      </c>
      <c r="G62" s="30">
        <f>Engine!$H$43</f>
        <v/>
      </c>
      <c r="H62" s="30">
        <f>Engine!$I$43</f>
        <v/>
      </c>
      <c r="I62" s="30">
        <f>Engine!$J$43</f>
        <v/>
      </c>
      <c r="L62" s="31">
        <f>IF(Engine!$B$43="","",Engine!$R$43)</f>
        <v/>
      </c>
      <c r="M62" s="38">
        <f>IF(Engine!$B$43="","",Engine!$S$43)</f>
        <v/>
      </c>
    </row>
    <row r="64">
      <c r="B64" s="39" t="inlineStr">
        <is>
          <t>Legend</t>
        </is>
      </c>
      <c r="C64" s="40">
        <f>IF(Setup!$B$33="","",Setup!$B$33&amp;" "&amp;Setup!$C$33)</f>
        <v/>
      </c>
      <c r="D64" s="41">
        <f>IF(Setup!$B$34="","",Setup!$B$34&amp;" "&amp;Setup!$C$34)</f>
        <v/>
      </c>
      <c r="E64" s="42">
        <f>IF(Setup!$B$35="","",Setup!$B$35&amp;" "&amp;Setup!$C$35)</f>
        <v/>
      </c>
      <c r="F64" s="43">
        <f>IF(Setup!$B$36="","",Setup!$B$36&amp;" "&amp;Setup!$C$36)</f>
        <v/>
      </c>
      <c r="G64" s="44">
        <f>IF(Setup!$B$37="","",Setup!$B$37&amp;" "&amp;Setup!$C$37)</f>
        <v/>
      </c>
      <c r="H64" s="45">
        <f>IF(Setup!$B$38="","",Setup!$B$38&amp;" "&amp;Setup!$C$38)</f>
        <v/>
      </c>
      <c r="I64" s="46">
        <f>IF(Setup!$B$39="","",Setup!$B$39&amp;" "&amp;Setup!$C$39)</f>
        <v/>
      </c>
      <c r="J64" s="47">
        <f>IF(Setup!$B$40="","",Setup!$B$40&amp;" "&amp;Setup!$C$40)</f>
        <v/>
      </c>
      <c r="L64" s="48" t="inlineStr">
        <is>
          <t>gap</t>
        </is>
      </c>
      <c r="M64" s="49" t="inlineStr">
        <is>
          <t>not SQEP</t>
        </is>
      </c>
      <c r="N64" s="50" t="inlineStr">
        <is>
          <t>today</t>
        </is>
      </c>
      <c r="O64" s="51" t="inlineStr">
        <is>
          <t>* trainee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3">
    <mergeCell ref="Q16:R16"/>
    <mergeCell ref="B9:H9"/>
    <mergeCell ref="L1:R1"/>
  </mergeCells>
  <conditionalFormatting sqref="B12">
    <cfRule type="cellIs" priority="1" operator="greaterThanOrEqual" dxfId="0">
      <formula>1</formula>
    </cfRule>
    <cfRule type="cellIs" priority="2" operator="lessThan" dxfId="1">
      <formula>0.8</formula>
    </cfRule>
  </conditionalFormatting>
  <conditionalFormatting sqref="C12">
    <cfRule type="cellIs" priority="3" operator="greaterThan" dxfId="1">
      <formula>0</formula>
    </cfRule>
    <cfRule type="cellIs" priority="4" operator="equal" dxfId="0">
      <formula>0</formula>
    </cfRule>
  </conditionalFormatting>
  <conditionalFormatting sqref="F12">
    <cfRule type="cellIs" priority="5" operator="greaterThan" dxfId="1">
      <formula>0</formula>
    </cfRule>
    <cfRule type="cellIs" priority="6" operator="equal" dxfId="0">
      <formula>0</formula>
    </cfRule>
  </conditionalFormatting>
  <conditionalFormatting sqref="G12">
    <cfRule type="cellIs" priority="7" operator="greaterThan" dxfId="1">
      <formula>0</formula>
    </cfRule>
    <cfRule type="cellIs" priority="8" operator="equal" dxfId="0">
      <formula>0</formula>
    </cfRule>
  </conditionalFormatting>
  <conditionalFormatting sqref="B17:I34">
    <cfRule type="expression" priority="9" dxfId="2" stopIfTrue="1">
      <formula>$B17=""</formula>
    </cfRule>
  </conditionalFormatting>
  <conditionalFormatting sqref="C17:I34">
    <cfRule type="expression" priority="10" dxfId="3" stopIfTrue="1">
      <formula>N(INDEX(Engine!$J:$J,(68+(COLUMN()-3)*18+ROW()-17)))&gt;0</formula>
    </cfRule>
    <cfRule type="expression" priority="11" dxfId="4" stopIfTrue="1">
      <formula>N(INDEX(Engine!$G:$G,(68+(COLUMN()-3)*18+ROW()-17)))&gt;0</formula>
    </cfRule>
    <cfRule type="expression" priority="12" dxfId="5" stopIfTrue="1">
      <formula>AND(COLUMN()&gt;=8,N(INDEX(Engine!$E:$E,(68+(COLUMN()-3)*18+ROW()-17)))=0)</formula>
    </cfRule>
    <cfRule type="expression" priority="13" dxfId="6">
      <formula>N(INDEX(Engine!$K:$K,(68+(COLUMN()-3)*18+ROW()-17)))=1</formula>
    </cfRule>
  </conditionalFormatting>
  <conditionalFormatting sqref="C16:I16">
    <cfRule type="expression" priority="14" dxfId="7">
      <formula>C16=TODAY()</formula>
    </cfRule>
  </conditionalFormatting>
  <conditionalFormatting sqref="L17:O34">
    <cfRule type="expression" priority="15" dxfId="8">
      <formula>$L17="No gaps 🎉"</formula>
    </cfRule>
  </conditionalFormatting>
  <conditionalFormatting sqref="O17:O34">
    <cfRule type="expression" priority="16" dxfId="3">
      <formula>O17="no-one eligible"</formula>
    </cfRule>
    <cfRule type="expression" priority="17" dxfId="9">
      <formula>ISNUMBER(SEARCH("~*",O17))</formula>
    </cfRule>
  </conditionalFormatting>
  <conditionalFormatting sqref="B39:M62">
    <cfRule type="expression" priority="18" dxfId="2" stopIfTrue="1">
      <formula>$B39=""</formula>
    </cfRule>
  </conditionalFormatting>
  <conditionalFormatting sqref="C39:I62">
    <cfRule type="expression" priority="19" dxfId="10">
      <formula>AND(Setup!$B$33&lt;&gt;"",C39=Setup!$B$33)</formula>
    </cfRule>
    <cfRule type="expression" priority="20" dxfId="11">
      <formula>AND(Setup!$B$34&lt;&gt;"",C39=Setup!$B$34)</formula>
    </cfRule>
    <cfRule type="expression" priority="21" dxfId="12">
      <formula>AND(Setup!$B$35&lt;&gt;"",C39=Setup!$B$35)</formula>
    </cfRule>
    <cfRule type="expression" priority="22" dxfId="13">
      <formula>AND(Setup!$B$36&lt;&gt;"",C39=Setup!$B$36)</formula>
    </cfRule>
    <cfRule type="expression" priority="23" dxfId="14">
      <formula>AND(Setup!$B$37&lt;&gt;"",C39=Setup!$B$37)</formula>
    </cfRule>
    <cfRule type="expression" priority="24" dxfId="15">
      <formula>AND(Setup!$B$38&lt;&gt;"",C39=Setup!$B$38)</formula>
    </cfRule>
    <cfRule type="expression" priority="25" dxfId="16">
      <formula>AND(Setup!$B$39&lt;&gt;"",C39=Setup!$B$39)</formula>
    </cfRule>
    <cfRule type="expression" priority="26" dxfId="17">
      <formula>AND(Setup!$B$40&lt;&gt;"",C39=Setup!$B$40)</formula>
    </cfRule>
  </conditionalFormatting>
  <conditionalFormatting sqref="M39:M62">
    <cfRule type="cellIs" priority="27" operator="greaterThan" dxfId="3">
      <formula>0</formula>
    </cfRule>
  </conditionalFormatting>
  <conditionalFormatting sqref="C38:I38">
    <cfRule type="expression" priority="28" dxfId="7">
      <formula>C38=TODAY()</formula>
    </cfRule>
  </conditionalFormatting>
  <dataValidations count="3">
    <dataValidation sqref="D6" showDropDown="0" showInputMessage="0" showErrorMessage="0" allowBlank="0" type="list">
      <formula1>=Setup!$K$33:$K$36</formula1>
    </dataValidation>
    <dataValidation sqref="D7" showDropDown="0" showInputMessage="0" showErrorMessage="0" allowBlank="0" errorTitle="Week" error="Enter a week number from 1 to 53." type="whole" operator="between">
      <formula1>1</formula1>
      <formula2>53</formula2>
    </dataValidation>
    <dataValidation sqref="D8" showDropDown="0" showInputMessage="0" showErrorMessage="0" allowBlank="0" type="list">
      <formula1>"Y,N"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D3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L3" r:id="rId8"/>
  </hyperlink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C265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3" customWidth="1" min="1" max="1"/>
    <col width="24" customWidth="1" min="2" max="2"/>
    <col width="6.5" customWidth="1" min="3" max="3"/>
    <col width="6.5" customWidth="1" min="4" max="4"/>
    <col width="6.5" customWidth="1" min="5" max="5"/>
    <col width="15" customWidth="1" min="6" max="6"/>
    <col width="6.5" customWidth="1" min="7" max="7"/>
    <col width="6.5" customWidth="1" min="8" max="8"/>
    <col width="6.5" customWidth="1" min="9" max="9"/>
    <col width="15" customWidth="1" min="10" max="10"/>
    <col width="6.5" customWidth="1" min="11" max="11"/>
    <col width="6.5" customWidth="1" min="12" max="12"/>
    <col width="6.5" customWidth="1" min="13" max="13"/>
    <col width="15" customWidth="1" min="14" max="14"/>
    <col width="6.5" customWidth="1" min="15" max="15"/>
    <col width="6.5" customWidth="1" min="16" max="16"/>
    <col width="6.5" customWidth="1" min="17" max="17"/>
    <col width="15" customWidth="1" min="18" max="18"/>
    <col width="6.5" customWidth="1" min="19" max="19"/>
    <col width="6.5" customWidth="1" min="20" max="20"/>
    <col width="6.5" customWidth="1" min="21" max="21"/>
    <col width="15" customWidth="1" min="22" max="22"/>
    <col width="7.5" customWidth="1" min="23" max="23"/>
    <col width="11" customWidth="1" min="24" max="24"/>
    <col width="7.5" customWidth="1" min="25" max="25"/>
    <col width="11" customWidth="1" min="26" max="26"/>
    <col width="2" customWidth="1" min="27" max="27"/>
    <col width="11" customWidth="1" min="28" max="28"/>
    <col width="13" customWidth="1" min="29" max="29"/>
  </cols>
  <sheetData>
    <row r="1" ht="30" customHeight="1">
      <c r="A1" s="1" t="n"/>
      <c r="B1" s="52" t="inlineStr">
        <is>
          <t>2027  PLANNER</t>
        </is>
      </c>
      <c r="C1" s="53" t="inlineStr">
        <is>
          <t>◀ Dashboard</t>
        </is>
      </c>
      <c r="G1" s="54">
        <f>HYPERLINK("#'"&amp;Engine!$B$11&amp;"'!B"&amp;Engine!$B$10,"Active week: W"&amp;Engine!$B$9&amp;" of "&amp;Engine!$B$11&amp;" ▶")</f>
        <v/>
      </c>
      <c r="O1" s="53">
        <f>IF(AND(Engine!$B$17&gt;=2027,Engine!$B$17&lt;=2030),HYPERLINK("#'"&amp;Engine!$B$17&amp;"'!B"&amp;(5+50*(Engine!$B$18-1)),"Today's week ▶"),"Today is outside 2027-2030")</f>
        <v/>
      </c>
      <c r="W1" s="55" t="inlineStr">
        <is>
          <t>Jump to week:</t>
        </is>
      </c>
      <c r="Y1" s="56" t="n">
        <v>1</v>
      </c>
      <c r="Z1" s="54">
        <f>HYPERLINK("#'2027'!B"&amp;(5+50*(MAX(1,MIN(53,N($Y$1)))-1)),"Go ▶")</f>
        <v/>
      </c>
      <c r="AA1" s="1" t="n"/>
      <c r="AB1" s="57" t="inlineStr">
        <is>
          <t>Year</t>
        </is>
      </c>
      <c r="AC1" s="58" t="n">
        <v>2027</v>
      </c>
    </row>
    <row r="2" ht="16" customHeight="1">
      <c r="A2" s="1" t="n"/>
      <c r="B2" s="59" t="inlineStr">
        <is>
          <t>Pick people from the dropdowns (they only list qualified, available staff for the active week). Type a status code against a person to mark leave, training or sickness.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57" t="inlineStr">
        <is>
          <t>Week 1 starts</t>
        </is>
      </c>
      <c r="AC2" s="60">
        <f>INDEX(Setup!$L$33:$L$36,MATCH($AC$1,Setup!$K$33:$K$36,0))</f>
        <v/>
      </c>
    </row>
    <row r="3" ht="18" customHeight="1">
      <c r="A3" s="1" t="n"/>
      <c r="B3" s="61" t="inlineStr">
        <is>
          <t>Legend:</t>
        </is>
      </c>
      <c r="C3" s="62">
        <f>IF(Setup!$B$33="","",Setup!$B$33)</f>
        <v/>
      </c>
      <c r="D3" s="63">
        <f>IF(Setup!$B$34="","",Setup!$B$34)</f>
        <v/>
      </c>
      <c r="E3" s="64">
        <f>IF(Setup!$B$35="","",Setup!$B$35)</f>
        <v/>
      </c>
      <c r="F3" s="65">
        <f>IF(Setup!$B$36="","",Setup!$B$36)</f>
        <v/>
      </c>
      <c r="G3" s="66">
        <f>IF(Setup!$B$37="","",Setup!$B$37)</f>
        <v/>
      </c>
      <c r="H3" s="67">
        <f>IF(Setup!$B$38="","",Setup!$B$38)</f>
        <v/>
      </c>
      <c r="I3" s="68">
        <f>IF(Setup!$B$39="","",Setup!$B$39)</f>
        <v/>
      </c>
      <c r="J3" s="69">
        <f>IF(Setup!$B$40="","",Setup!$B$40)</f>
        <v/>
      </c>
      <c r="K3" s="70" t="inlineStr">
        <is>
          <t>* trainee</t>
        </is>
      </c>
      <c r="L3" s="48" t="inlineStr">
        <is>
          <t>gap</t>
        </is>
      </c>
      <c r="M3" s="49" t="inlineStr">
        <is>
          <t>not SQEP / conflict</t>
        </is>
      </c>
      <c r="P3" s="50" t="inlineStr">
        <is>
          <t>today</t>
        </is>
      </c>
      <c r="Q3" s="71" t="inlineStr">
        <is>
          <t>n/a weekend</t>
        </is>
      </c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57" t="inlineStr">
        <is>
          <t>Year index</t>
        </is>
      </c>
      <c r="AC3" s="72">
        <f>$AC$1-2026</f>
        <v/>
      </c>
    </row>
    <row r="4" ht="6" customHeight="1"/>
    <row r="5" ht="24" customHeight="1">
      <c r="A5" t="n">
        <v>1</v>
      </c>
      <c r="B5" s="73">
        <f>"WEEK 1     "&amp;TEXT(C6,"ddd d mmm")&amp;"  –  "&amp;TEXT(C6+6,"ddd d mmm yyyy")</f>
        <v/>
      </c>
      <c r="S5" s="74">
        <f>IF(TODAY()&lt;C6,"FUTURE",IF(TODAY()&gt;C6+6,"PAST","THIS WEEK"))</f>
        <v/>
      </c>
      <c r="W5" s="75">
        <f>IF(AND(Engine!$B$8=$AC$3,Engine!$B$9=$A5),"◀ ACTIVE WEEK","")</f>
        <v/>
      </c>
      <c r="AA5" s="76" t="n"/>
      <c r="AB5" s="77" t="inlineStr">
        <is>
          <t>▲ Top</t>
        </is>
      </c>
      <c r="AC5" s="77" t="inlineStr">
        <is>
          <t>Next ▶</t>
        </is>
      </c>
    </row>
    <row r="6" ht="18" customHeight="1">
      <c r="A6" t="n">
        <v>1</v>
      </c>
      <c r="B6" s="78" t="inlineStr">
        <is>
          <t>DUTY</t>
        </is>
      </c>
      <c r="C6" s="79">
        <f>$AC$2+7*($A6-1)</f>
        <v/>
      </c>
      <c r="D6" s="80" t="n"/>
      <c r="E6" s="80" t="n"/>
      <c r="F6" s="81" t="n"/>
      <c r="G6" s="79">
        <f>C6+1</f>
        <v/>
      </c>
      <c r="H6" s="80" t="n"/>
      <c r="I6" s="80" t="n"/>
      <c r="J6" s="81" t="n"/>
      <c r="K6" s="79">
        <f>C6+2</f>
        <v/>
      </c>
      <c r="L6" s="80" t="n"/>
      <c r="M6" s="80" t="n"/>
      <c r="N6" s="81" t="n"/>
      <c r="O6" s="79">
        <f>C6+3</f>
        <v/>
      </c>
      <c r="P6" s="80" t="n"/>
      <c r="Q6" s="80" t="n"/>
      <c r="R6" s="81" t="n"/>
      <c r="S6" s="79">
        <f>C6+4</f>
        <v/>
      </c>
      <c r="T6" s="80" t="n"/>
      <c r="U6" s="80" t="n"/>
      <c r="V6" s="81" t="n"/>
      <c r="W6" s="82">
        <f>C6+5</f>
        <v/>
      </c>
      <c r="X6" s="83" t="n"/>
      <c r="Y6" s="82">
        <f>C6+6</f>
        <v/>
      </c>
      <c r="Z6" s="83" t="n"/>
      <c r="AB6" s="72" t="inlineStr">
        <is>
          <t>Gaps</t>
        </is>
      </c>
      <c r="AC6" s="72" t="inlineStr">
        <is>
          <t>Cover</t>
        </is>
      </c>
    </row>
    <row r="7" ht="14" customHeight="1">
      <c r="A7" t="n">
        <v>1</v>
      </c>
      <c r="B7" s="84" t="inlineStr">
        <is>
          <t>(from Setup)</t>
        </is>
      </c>
      <c r="C7" s="85" t="inlineStr">
        <is>
          <t>1</t>
        </is>
      </c>
      <c r="D7" s="85" t="inlineStr">
        <is>
          <t>2</t>
        </is>
      </c>
      <c r="E7" s="85" t="inlineStr">
        <is>
          <t>3</t>
        </is>
      </c>
      <c r="F7" s="85" t="inlineStr">
        <is>
          <t>Notes</t>
        </is>
      </c>
      <c r="G7" s="85" t="inlineStr">
        <is>
          <t>1</t>
        </is>
      </c>
      <c r="H7" s="85" t="inlineStr">
        <is>
          <t>2</t>
        </is>
      </c>
      <c r="I7" s="85" t="inlineStr">
        <is>
          <t>3</t>
        </is>
      </c>
      <c r="J7" s="85" t="inlineStr">
        <is>
          <t>Notes</t>
        </is>
      </c>
      <c r="K7" s="85" t="inlineStr">
        <is>
          <t>1</t>
        </is>
      </c>
      <c r="L7" s="85" t="inlineStr">
        <is>
          <t>2</t>
        </is>
      </c>
      <c r="M7" s="85" t="inlineStr">
        <is>
          <t>3</t>
        </is>
      </c>
      <c r="N7" s="85" t="inlineStr">
        <is>
          <t>Notes</t>
        </is>
      </c>
      <c r="O7" s="85" t="inlineStr">
        <is>
          <t>1</t>
        </is>
      </c>
      <c r="P7" s="85" t="inlineStr">
        <is>
          <t>2</t>
        </is>
      </c>
      <c r="Q7" s="85" t="inlineStr">
        <is>
          <t>3</t>
        </is>
      </c>
      <c r="R7" s="85" t="inlineStr">
        <is>
          <t>Notes</t>
        </is>
      </c>
      <c r="S7" s="85" t="inlineStr">
        <is>
          <t>1</t>
        </is>
      </c>
      <c r="T7" s="85" t="inlineStr">
        <is>
          <t>2</t>
        </is>
      </c>
      <c r="U7" s="85" t="inlineStr">
        <is>
          <t>3</t>
        </is>
      </c>
      <c r="V7" s="85" t="inlineStr">
        <is>
          <t>Notes</t>
        </is>
      </c>
      <c r="W7" s="85" t="inlineStr">
        <is>
          <t>Cover</t>
        </is>
      </c>
      <c r="X7" s="85" t="inlineStr">
        <is>
          <t>Notes</t>
        </is>
      </c>
      <c r="Y7" s="85" t="inlineStr">
        <is>
          <t>Cover</t>
        </is>
      </c>
      <c r="Z7" s="85" t="inlineStr">
        <is>
          <t>Notes</t>
        </is>
      </c>
      <c r="AB7" s="86" t="inlineStr">
        <is>
          <t>weekdays short</t>
        </is>
      </c>
      <c r="AC7" s="87" t="inlineStr"/>
    </row>
    <row r="8" ht="17" customHeight="1">
      <c r="A8" t="n">
        <v>1</v>
      </c>
      <c r="B8" s="24">
        <f>IF(Setup!$K$6="","",Setup!$K$6)</f>
        <v/>
      </c>
      <c r="C8" s="88" t="n"/>
      <c r="D8" s="88" t="n"/>
      <c r="E8" s="88" t="n"/>
      <c r="F8" s="89" t="n"/>
      <c r="G8" s="88" t="n"/>
      <c r="H8" s="88" t="n"/>
      <c r="I8" s="88" t="n"/>
      <c r="J8" s="89" t="n"/>
      <c r="K8" s="88" t="n"/>
      <c r="L8" s="88" t="n"/>
      <c r="M8" s="88" t="n"/>
      <c r="N8" s="89" t="n"/>
      <c r="O8" s="88" t="n"/>
      <c r="P8" s="88" t="n"/>
      <c r="Q8" s="88" t="n"/>
      <c r="R8" s="89" t="n"/>
      <c r="S8" s="88" t="n"/>
      <c r="T8" s="88" t="n"/>
      <c r="U8" s="88" t="n"/>
      <c r="V8" s="89" t="n"/>
      <c r="W8" s="88" t="n"/>
      <c r="X8" s="89" t="n"/>
      <c r="Y8" s="88" t="n"/>
      <c r="Z8" s="89" t="n"/>
      <c r="AB8" s="25">
        <f>IF($B8="","",(COUNTIF(C8:E8,"?*")&lt;N(INDEX(Setup!$L$6:$L$23,1)))+(COUNTIF(G8:I8,"?*")&lt;N(INDEX(Setup!$L$6:$L$23,1)))+(COUNTIF(K8:M8,"?*")&lt;N(INDEX(Setup!$L$6:$L$23,1)))+(COUNTIF(O8:Q8,"?*")&lt;N(INDEX(Setup!$L$6:$L$23,1)))+(COUNTIF(S8:U8,"?*")&lt;N(INDEX(Setup!$L$6:$L$23,1)))+((W8="")*(INDEX(Setup!$M$6:$M$23,1)="Y"))+((Y8="")*(INDEX(Setup!$M$6:$M$23,1)="Y")))</f>
        <v/>
      </c>
      <c r="AC8" s="90">
        <f>IF($B8="","",IF(AB8=0,"✓ covered","⚠ "&amp;AB8&amp;IF(AB8=1," gap"," gaps")))</f>
        <v/>
      </c>
    </row>
    <row r="9" ht="17" customHeight="1">
      <c r="A9" t="n">
        <v>1</v>
      </c>
      <c r="B9" s="29">
        <f>IF(Setup!$K$7="","",Setup!$K$7)</f>
        <v/>
      </c>
      <c r="C9" s="88" t="n"/>
      <c r="D9" s="88" t="n"/>
      <c r="E9" s="88" t="n"/>
      <c r="F9" s="89" t="n"/>
      <c r="G9" s="88" t="n"/>
      <c r="H9" s="88" t="n"/>
      <c r="I9" s="88" t="n"/>
      <c r="J9" s="89" t="n"/>
      <c r="K9" s="88" t="n"/>
      <c r="L9" s="88" t="n"/>
      <c r="M9" s="88" t="n"/>
      <c r="N9" s="89" t="n"/>
      <c r="O9" s="88" t="n"/>
      <c r="P9" s="88" t="n"/>
      <c r="Q9" s="88" t="n"/>
      <c r="R9" s="89" t="n"/>
      <c r="S9" s="88" t="n"/>
      <c r="T9" s="88" t="n"/>
      <c r="U9" s="88" t="n"/>
      <c r="V9" s="89" t="n"/>
      <c r="W9" s="88" t="n"/>
      <c r="X9" s="89" t="n"/>
      <c r="Y9" s="88" t="n"/>
      <c r="Z9" s="89" t="n"/>
      <c r="AB9" s="30">
        <f>IF($B9="","",(COUNTIF(C9:E9,"?*")&lt;N(INDEX(Setup!$L$6:$L$23,2)))+(COUNTIF(G9:I9,"?*")&lt;N(INDEX(Setup!$L$6:$L$23,2)))+(COUNTIF(K9:M9,"?*")&lt;N(INDEX(Setup!$L$6:$L$23,2)))+(COUNTIF(O9:Q9,"?*")&lt;N(INDEX(Setup!$L$6:$L$23,2)))+(COUNTIF(S9:U9,"?*")&lt;N(INDEX(Setup!$L$6:$L$23,2)))+((W9="")*(INDEX(Setup!$M$6:$M$23,2)="Y"))+((Y9="")*(INDEX(Setup!$M$6:$M$23,2)="Y")))</f>
        <v/>
      </c>
      <c r="AC9" s="91">
        <f>IF($B9="","",IF(AB9=0,"✓ covered","⚠ "&amp;AB9&amp;IF(AB9=1," gap"," gaps")))</f>
        <v/>
      </c>
    </row>
    <row r="10" ht="17" customHeight="1">
      <c r="A10" t="n">
        <v>1</v>
      </c>
      <c r="B10" s="24">
        <f>IF(Setup!$K$8="","",Setup!$K$8)</f>
        <v/>
      </c>
      <c r="C10" s="88" t="n"/>
      <c r="D10" s="88" t="n"/>
      <c r="E10" s="88" t="n"/>
      <c r="F10" s="89" t="n"/>
      <c r="G10" s="88" t="n"/>
      <c r="H10" s="88" t="n"/>
      <c r="I10" s="88" t="n"/>
      <c r="J10" s="89" t="n"/>
      <c r="K10" s="88" t="n"/>
      <c r="L10" s="88" t="n"/>
      <c r="M10" s="88" t="n"/>
      <c r="N10" s="89" t="n"/>
      <c r="O10" s="88" t="n"/>
      <c r="P10" s="88" t="n"/>
      <c r="Q10" s="88" t="n"/>
      <c r="R10" s="89" t="n"/>
      <c r="S10" s="88" t="n"/>
      <c r="T10" s="88" t="n"/>
      <c r="U10" s="88" t="n"/>
      <c r="V10" s="89" t="n"/>
      <c r="W10" s="88" t="n"/>
      <c r="X10" s="89" t="n"/>
      <c r="Y10" s="88" t="n"/>
      <c r="Z10" s="89" t="n"/>
      <c r="AB10" s="25">
        <f>IF($B10="","",(COUNTIF(C10:E10,"?*")&lt;N(INDEX(Setup!$L$6:$L$23,3)))+(COUNTIF(G10:I10,"?*")&lt;N(INDEX(Setup!$L$6:$L$23,3)))+(COUNTIF(K10:M10,"?*")&lt;N(INDEX(Setup!$L$6:$L$23,3)))+(COUNTIF(O10:Q10,"?*")&lt;N(INDEX(Setup!$L$6:$L$23,3)))+(COUNTIF(S10:U10,"?*")&lt;N(INDEX(Setup!$L$6:$L$23,3)))+((W10="")*(INDEX(Setup!$M$6:$M$23,3)="Y"))+((Y10="")*(INDEX(Setup!$M$6:$M$23,3)="Y")))</f>
        <v/>
      </c>
      <c r="AC10" s="90">
        <f>IF($B10="","",IF(AB10=0,"✓ covered","⚠ "&amp;AB10&amp;IF(AB10=1," gap"," gaps")))</f>
        <v/>
      </c>
    </row>
    <row r="11" ht="17" customHeight="1">
      <c r="A11" t="n">
        <v>1</v>
      </c>
      <c r="B11" s="29">
        <f>IF(Setup!$K$9="","",Setup!$K$9)</f>
        <v/>
      </c>
      <c r="C11" s="88" t="n"/>
      <c r="D11" s="88" t="n"/>
      <c r="E11" s="88" t="n"/>
      <c r="F11" s="89" t="n"/>
      <c r="G11" s="88" t="n"/>
      <c r="H11" s="88" t="n"/>
      <c r="I11" s="88" t="n"/>
      <c r="J11" s="89" t="n"/>
      <c r="K11" s="88" t="n"/>
      <c r="L11" s="88" t="n"/>
      <c r="M11" s="88" t="n"/>
      <c r="N11" s="89" t="n"/>
      <c r="O11" s="88" t="n"/>
      <c r="P11" s="88" t="n"/>
      <c r="Q11" s="88" t="n"/>
      <c r="R11" s="89" t="n"/>
      <c r="S11" s="88" t="n"/>
      <c r="T11" s="88" t="n"/>
      <c r="U11" s="88" t="n"/>
      <c r="V11" s="89" t="n"/>
      <c r="W11" s="88" t="n"/>
      <c r="X11" s="89" t="n"/>
      <c r="Y11" s="88" t="n"/>
      <c r="Z11" s="89" t="n"/>
      <c r="AB11" s="30">
        <f>IF($B11="","",(COUNTIF(C11:E11,"?*")&lt;N(INDEX(Setup!$L$6:$L$23,4)))+(COUNTIF(G11:I11,"?*")&lt;N(INDEX(Setup!$L$6:$L$23,4)))+(COUNTIF(K11:M11,"?*")&lt;N(INDEX(Setup!$L$6:$L$23,4)))+(COUNTIF(O11:Q11,"?*")&lt;N(INDEX(Setup!$L$6:$L$23,4)))+(COUNTIF(S11:U11,"?*")&lt;N(INDEX(Setup!$L$6:$L$23,4)))+((W11="")*(INDEX(Setup!$M$6:$M$23,4)="Y"))+((Y11="")*(INDEX(Setup!$M$6:$M$23,4)="Y")))</f>
        <v/>
      </c>
      <c r="AC11" s="91">
        <f>IF($B11="","",IF(AB11=0,"✓ covered","⚠ "&amp;AB11&amp;IF(AB11=1," gap"," gaps")))</f>
        <v/>
      </c>
    </row>
    <row r="12" ht="17" customHeight="1">
      <c r="A12" t="n">
        <v>1</v>
      </c>
      <c r="B12" s="24">
        <f>IF(Setup!$K$10="","",Setup!$K$10)</f>
        <v/>
      </c>
      <c r="C12" s="88" t="n"/>
      <c r="D12" s="88" t="n"/>
      <c r="E12" s="88" t="n"/>
      <c r="F12" s="89" t="n"/>
      <c r="G12" s="88" t="n"/>
      <c r="H12" s="88" t="n"/>
      <c r="I12" s="88" t="n"/>
      <c r="J12" s="89" t="n"/>
      <c r="K12" s="88" t="n"/>
      <c r="L12" s="88" t="n"/>
      <c r="M12" s="88" t="n"/>
      <c r="N12" s="89" t="n"/>
      <c r="O12" s="88" t="n"/>
      <c r="P12" s="88" t="n"/>
      <c r="Q12" s="88" t="n"/>
      <c r="R12" s="89" t="n"/>
      <c r="S12" s="88" t="n"/>
      <c r="T12" s="88" t="n"/>
      <c r="U12" s="88" t="n"/>
      <c r="V12" s="89" t="n"/>
      <c r="W12" s="88" t="n"/>
      <c r="X12" s="89" t="n"/>
      <c r="Y12" s="88" t="n"/>
      <c r="Z12" s="89" t="n"/>
      <c r="AB12" s="25">
        <f>IF($B12="","",(COUNTIF(C12:E12,"?*")&lt;N(INDEX(Setup!$L$6:$L$23,5)))+(COUNTIF(G12:I12,"?*")&lt;N(INDEX(Setup!$L$6:$L$23,5)))+(COUNTIF(K12:M12,"?*")&lt;N(INDEX(Setup!$L$6:$L$23,5)))+(COUNTIF(O12:Q12,"?*")&lt;N(INDEX(Setup!$L$6:$L$23,5)))+(COUNTIF(S12:U12,"?*")&lt;N(INDEX(Setup!$L$6:$L$23,5)))+((W12="")*(INDEX(Setup!$M$6:$M$23,5)="Y"))+((Y12="")*(INDEX(Setup!$M$6:$M$23,5)="Y")))</f>
        <v/>
      </c>
      <c r="AC12" s="90">
        <f>IF($B12="","",IF(AB12=0,"✓ covered","⚠ "&amp;AB12&amp;IF(AB12=1," gap"," gaps")))</f>
        <v/>
      </c>
    </row>
    <row r="13" ht="17" customHeight="1">
      <c r="A13" t="n">
        <v>1</v>
      </c>
      <c r="B13" s="29">
        <f>IF(Setup!$K$11="","",Setup!$K$11)</f>
        <v/>
      </c>
      <c r="C13" s="88" t="n"/>
      <c r="D13" s="88" t="n"/>
      <c r="E13" s="88" t="n"/>
      <c r="F13" s="89" t="n"/>
      <c r="G13" s="88" t="n"/>
      <c r="H13" s="88" t="n"/>
      <c r="I13" s="88" t="n"/>
      <c r="J13" s="89" t="n"/>
      <c r="K13" s="88" t="n"/>
      <c r="L13" s="88" t="n"/>
      <c r="M13" s="88" t="n"/>
      <c r="N13" s="89" t="n"/>
      <c r="O13" s="88" t="n"/>
      <c r="P13" s="88" t="n"/>
      <c r="Q13" s="88" t="n"/>
      <c r="R13" s="89" t="n"/>
      <c r="S13" s="88" t="n"/>
      <c r="T13" s="88" t="n"/>
      <c r="U13" s="88" t="n"/>
      <c r="V13" s="89" t="n"/>
      <c r="W13" s="88" t="n"/>
      <c r="X13" s="89" t="n"/>
      <c r="Y13" s="88" t="n"/>
      <c r="Z13" s="89" t="n"/>
      <c r="AB13" s="30">
        <f>IF($B13="","",(COUNTIF(C13:E13,"?*")&lt;N(INDEX(Setup!$L$6:$L$23,6)))+(COUNTIF(G13:I13,"?*")&lt;N(INDEX(Setup!$L$6:$L$23,6)))+(COUNTIF(K13:M13,"?*")&lt;N(INDEX(Setup!$L$6:$L$23,6)))+(COUNTIF(O13:Q13,"?*")&lt;N(INDEX(Setup!$L$6:$L$23,6)))+(COUNTIF(S13:U13,"?*")&lt;N(INDEX(Setup!$L$6:$L$23,6)))+((W13="")*(INDEX(Setup!$M$6:$M$23,6)="Y"))+((Y13="")*(INDEX(Setup!$M$6:$M$23,6)="Y")))</f>
        <v/>
      </c>
      <c r="AC13" s="91">
        <f>IF($B13="","",IF(AB13=0,"✓ covered","⚠ "&amp;AB13&amp;IF(AB13=1," gap"," gaps")))</f>
        <v/>
      </c>
    </row>
    <row r="14" ht="17" customHeight="1">
      <c r="A14" t="n">
        <v>1</v>
      </c>
      <c r="B14" s="24">
        <f>IF(Setup!$K$12="","",Setup!$K$12)</f>
        <v/>
      </c>
      <c r="C14" s="88" t="n"/>
      <c r="D14" s="88" t="n"/>
      <c r="E14" s="88" t="n"/>
      <c r="F14" s="89" t="n"/>
      <c r="G14" s="88" t="n"/>
      <c r="H14" s="88" t="n"/>
      <c r="I14" s="88" t="n"/>
      <c r="J14" s="89" t="n"/>
      <c r="K14" s="88" t="n"/>
      <c r="L14" s="88" t="n"/>
      <c r="M14" s="88" t="n"/>
      <c r="N14" s="89" t="n"/>
      <c r="O14" s="88" t="n"/>
      <c r="P14" s="88" t="n"/>
      <c r="Q14" s="88" t="n"/>
      <c r="R14" s="89" t="n"/>
      <c r="S14" s="88" t="n"/>
      <c r="T14" s="88" t="n"/>
      <c r="U14" s="88" t="n"/>
      <c r="V14" s="89" t="n"/>
      <c r="W14" s="88" t="n"/>
      <c r="X14" s="89" t="n"/>
      <c r="Y14" s="88" t="n"/>
      <c r="Z14" s="89" t="n"/>
      <c r="AB14" s="25">
        <f>IF($B14="","",(COUNTIF(C14:E14,"?*")&lt;N(INDEX(Setup!$L$6:$L$23,7)))+(COUNTIF(G14:I14,"?*")&lt;N(INDEX(Setup!$L$6:$L$23,7)))+(COUNTIF(K14:M14,"?*")&lt;N(INDEX(Setup!$L$6:$L$23,7)))+(COUNTIF(O14:Q14,"?*")&lt;N(INDEX(Setup!$L$6:$L$23,7)))+(COUNTIF(S14:U14,"?*")&lt;N(INDEX(Setup!$L$6:$L$23,7)))+((W14="")*(INDEX(Setup!$M$6:$M$23,7)="Y"))+((Y14="")*(INDEX(Setup!$M$6:$M$23,7)="Y")))</f>
        <v/>
      </c>
      <c r="AC14" s="90">
        <f>IF($B14="","",IF(AB14=0,"✓ covered","⚠ "&amp;AB14&amp;IF(AB14=1," gap"," gaps")))</f>
        <v/>
      </c>
    </row>
    <row r="15" ht="17" customHeight="1">
      <c r="A15" t="n">
        <v>1</v>
      </c>
      <c r="B15" s="29">
        <f>IF(Setup!$K$13="","",Setup!$K$13)</f>
        <v/>
      </c>
      <c r="C15" s="88" t="n"/>
      <c r="D15" s="88" t="n"/>
      <c r="E15" s="88" t="n"/>
      <c r="F15" s="89" t="n"/>
      <c r="G15" s="88" t="n"/>
      <c r="H15" s="88" t="n"/>
      <c r="I15" s="88" t="n"/>
      <c r="J15" s="89" t="n"/>
      <c r="K15" s="88" t="n"/>
      <c r="L15" s="88" t="n"/>
      <c r="M15" s="88" t="n"/>
      <c r="N15" s="89" t="n"/>
      <c r="O15" s="88" t="n"/>
      <c r="P15" s="88" t="n"/>
      <c r="Q15" s="88" t="n"/>
      <c r="R15" s="89" t="n"/>
      <c r="S15" s="88" t="n"/>
      <c r="T15" s="88" t="n"/>
      <c r="U15" s="88" t="n"/>
      <c r="V15" s="89" t="n"/>
      <c r="W15" s="88" t="n"/>
      <c r="X15" s="89" t="n"/>
      <c r="Y15" s="88" t="n"/>
      <c r="Z15" s="89" t="n"/>
      <c r="AB15" s="30">
        <f>IF($B15="","",(COUNTIF(C15:E15,"?*")&lt;N(INDEX(Setup!$L$6:$L$23,8)))+(COUNTIF(G15:I15,"?*")&lt;N(INDEX(Setup!$L$6:$L$23,8)))+(COUNTIF(K15:M15,"?*")&lt;N(INDEX(Setup!$L$6:$L$23,8)))+(COUNTIF(O15:Q15,"?*")&lt;N(INDEX(Setup!$L$6:$L$23,8)))+(COUNTIF(S15:U15,"?*")&lt;N(INDEX(Setup!$L$6:$L$23,8)))+((W15="")*(INDEX(Setup!$M$6:$M$23,8)="Y"))+((Y15="")*(INDEX(Setup!$M$6:$M$23,8)="Y")))</f>
        <v/>
      </c>
      <c r="AC15" s="91">
        <f>IF($B15="","",IF(AB15=0,"✓ covered","⚠ "&amp;AB15&amp;IF(AB15=1," gap"," gaps")))</f>
        <v/>
      </c>
    </row>
    <row r="16" ht="17" customHeight="1">
      <c r="A16" t="n">
        <v>1</v>
      </c>
      <c r="B16" s="24">
        <f>IF(Setup!$K$14="","",Setup!$K$14)</f>
        <v/>
      </c>
      <c r="C16" s="88" t="n"/>
      <c r="D16" s="88" t="n"/>
      <c r="E16" s="88" t="n"/>
      <c r="F16" s="89" t="n"/>
      <c r="G16" s="88" t="n"/>
      <c r="H16" s="88" t="n"/>
      <c r="I16" s="88" t="n"/>
      <c r="J16" s="89" t="n"/>
      <c r="K16" s="88" t="n"/>
      <c r="L16" s="88" t="n"/>
      <c r="M16" s="88" t="n"/>
      <c r="N16" s="89" t="n"/>
      <c r="O16" s="88" t="n"/>
      <c r="P16" s="88" t="n"/>
      <c r="Q16" s="88" t="n"/>
      <c r="R16" s="89" t="n"/>
      <c r="S16" s="88" t="n"/>
      <c r="T16" s="88" t="n"/>
      <c r="U16" s="88" t="n"/>
      <c r="V16" s="89" t="n"/>
      <c r="W16" s="88" t="n"/>
      <c r="X16" s="89" t="n"/>
      <c r="Y16" s="88" t="n"/>
      <c r="Z16" s="89" t="n"/>
      <c r="AB16" s="25">
        <f>IF($B16="","",(COUNTIF(C16:E16,"?*")&lt;N(INDEX(Setup!$L$6:$L$23,9)))+(COUNTIF(G16:I16,"?*")&lt;N(INDEX(Setup!$L$6:$L$23,9)))+(COUNTIF(K16:M16,"?*")&lt;N(INDEX(Setup!$L$6:$L$23,9)))+(COUNTIF(O16:Q16,"?*")&lt;N(INDEX(Setup!$L$6:$L$23,9)))+(COUNTIF(S16:U16,"?*")&lt;N(INDEX(Setup!$L$6:$L$23,9)))+((W16="")*(INDEX(Setup!$M$6:$M$23,9)="Y"))+((Y16="")*(INDEX(Setup!$M$6:$M$23,9)="Y")))</f>
        <v/>
      </c>
      <c r="AC16" s="90">
        <f>IF($B16="","",IF(AB16=0,"✓ covered","⚠ "&amp;AB16&amp;IF(AB16=1," gap"," gaps")))</f>
        <v/>
      </c>
    </row>
    <row r="17" ht="17" customHeight="1">
      <c r="A17" t="n">
        <v>1</v>
      </c>
      <c r="B17" s="29">
        <f>IF(Setup!$K$15="","",Setup!$K$15)</f>
        <v/>
      </c>
      <c r="C17" s="88" t="n"/>
      <c r="D17" s="88" t="n"/>
      <c r="E17" s="88" t="n"/>
      <c r="F17" s="89" t="n"/>
      <c r="G17" s="88" t="n"/>
      <c r="H17" s="88" t="n"/>
      <c r="I17" s="88" t="n"/>
      <c r="J17" s="89" t="n"/>
      <c r="K17" s="88" t="n"/>
      <c r="L17" s="88" t="n"/>
      <c r="M17" s="88" t="n"/>
      <c r="N17" s="89" t="n"/>
      <c r="O17" s="88" t="n"/>
      <c r="P17" s="88" t="n"/>
      <c r="Q17" s="88" t="n"/>
      <c r="R17" s="89" t="n"/>
      <c r="S17" s="88" t="n"/>
      <c r="T17" s="88" t="n"/>
      <c r="U17" s="88" t="n"/>
      <c r="V17" s="89" t="n"/>
      <c r="W17" s="88" t="n"/>
      <c r="X17" s="89" t="n"/>
      <c r="Y17" s="88" t="n"/>
      <c r="Z17" s="89" t="n"/>
      <c r="AB17" s="30">
        <f>IF($B17="","",(COUNTIF(C17:E17,"?*")&lt;N(INDEX(Setup!$L$6:$L$23,10)))+(COUNTIF(G17:I17,"?*")&lt;N(INDEX(Setup!$L$6:$L$23,10)))+(COUNTIF(K17:M17,"?*")&lt;N(INDEX(Setup!$L$6:$L$23,10)))+(COUNTIF(O17:Q17,"?*")&lt;N(INDEX(Setup!$L$6:$L$23,10)))+(COUNTIF(S17:U17,"?*")&lt;N(INDEX(Setup!$L$6:$L$23,10)))+((W17="")*(INDEX(Setup!$M$6:$M$23,10)="Y"))+((Y17="")*(INDEX(Setup!$M$6:$M$23,10)="Y")))</f>
        <v/>
      </c>
      <c r="AC17" s="91">
        <f>IF($B17="","",IF(AB17=0,"✓ covered","⚠ "&amp;AB17&amp;IF(AB17=1," gap"," gaps")))</f>
        <v/>
      </c>
    </row>
    <row r="18" ht="17" customHeight="1">
      <c r="A18" t="n">
        <v>1</v>
      </c>
      <c r="B18" s="24">
        <f>IF(Setup!$K$16="","",Setup!$K$16)</f>
        <v/>
      </c>
      <c r="C18" s="88" t="n"/>
      <c r="D18" s="88" t="n"/>
      <c r="E18" s="88" t="n"/>
      <c r="F18" s="89" t="n"/>
      <c r="G18" s="88" t="n"/>
      <c r="H18" s="88" t="n"/>
      <c r="I18" s="88" t="n"/>
      <c r="J18" s="89" t="n"/>
      <c r="K18" s="88" t="n"/>
      <c r="L18" s="88" t="n"/>
      <c r="M18" s="88" t="n"/>
      <c r="N18" s="89" t="n"/>
      <c r="O18" s="88" t="n"/>
      <c r="P18" s="88" t="n"/>
      <c r="Q18" s="88" t="n"/>
      <c r="R18" s="89" t="n"/>
      <c r="S18" s="88" t="n"/>
      <c r="T18" s="88" t="n"/>
      <c r="U18" s="88" t="n"/>
      <c r="V18" s="89" t="n"/>
      <c r="W18" s="88" t="n"/>
      <c r="X18" s="89" t="n"/>
      <c r="Y18" s="88" t="n"/>
      <c r="Z18" s="89" t="n"/>
      <c r="AB18" s="25">
        <f>IF($B18="","",(COUNTIF(C18:E18,"?*")&lt;N(INDEX(Setup!$L$6:$L$23,11)))+(COUNTIF(G18:I18,"?*")&lt;N(INDEX(Setup!$L$6:$L$23,11)))+(COUNTIF(K18:M18,"?*")&lt;N(INDEX(Setup!$L$6:$L$23,11)))+(COUNTIF(O18:Q18,"?*")&lt;N(INDEX(Setup!$L$6:$L$23,11)))+(COUNTIF(S18:U18,"?*")&lt;N(INDEX(Setup!$L$6:$L$23,11)))+((W18="")*(INDEX(Setup!$M$6:$M$23,11)="Y"))+((Y18="")*(INDEX(Setup!$M$6:$M$23,11)="Y")))</f>
        <v/>
      </c>
      <c r="AC18" s="90">
        <f>IF($B18="","",IF(AB18=0,"✓ covered","⚠ "&amp;AB18&amp;IF(AB18=1," gap"," gaps")))</f>
        <v/>
      </c>
    </row>
    <row r="19" ht="17" customHeight="1">
      <c r="A19" t="n">
        <v>1</v>
      </c>
      <c r="B19" s="29">
        <f>IF(Setup!$K$17="","",Setup!$K$17)</f>
        <v/>
      </c>
      <c r="C19" s="88" t="n"/>
      <c r="D19" s="88" t="n"/>
      <c r="E19" s="88" t="n"/>
      <c r="F19" s="89" t="n"/>
      <c r="G19" s="88" t="n"/>
      <c r="H19" s="88" t="n"/>
      <c r="I19" s="88" t="n"/>
      <c r="J19" s="89" t="n"/>
      <c r="K19" s="88" t="n"/>
      <c r="L19" s="88" t="n"/>
      <c r="M19" s="88" t="n"/>
      <c r="N19" s="89" t="n"/>
      <c r="O19" s="88" t="n"/>
      <c r="P19" s="88" t="n"/>
      <c r="Q19" s="88" t="n"/>
      <c r="R19" s="89" t="n"/>
      <c r="S19" s="88" t="n"/>
      <c r="T19" s="88" t="n"/>
      <c r="U19" s="88" t="n"/>
      <c r="V19" s="89" t="n"/>
      <c r="W19" s="88" t="n"/>
      <c r="X19" s="89" t="n"/>
      <c r="Y19" s="88" t="n"/>
      <c r="Z19" s="89" t="n"/>
      <c r="AB19" s="30">
        <f>IF($B19="","",(COUNTIF(C19:E19,"?*")&lt;N(INDEX(Setup!$L$6:$L$23,12)))+(COUNTIF(G19:I19,"?*")&lt;N(INDEX(Setup!$L$6:$L$23,12)))+(COUNTIF(K19:M19,"?*")&lt;N(INDEX(Setup!$L$6:$L$23,12)))+(COUNTIF(O19:Q19,"?*")&lt;N(INDEX(Setup!$L$6:$L$23,12)))+(COUNTIF(S19:U19,"?*")&lt;N(INDEX(Setup!$L$6:$L$23,12)))+((W19="")*(INDEX(Setup!$M$6:$M$23,12)="Y"))+((Y19="")*(INDEX(Setup!$M$6:$M$23,12)="Y")))</f>
        <v/>
      </c>
      <c r="AC19" s="91">
        <f>IF($B19="","",IF(AB19=0,"✓ covered","⚠ "&amp;AB19&amp;IF(AB19=1," gap"," gaps")))</f>
        <v/>
      </c>
    </row>
    <row r="20" ht="17" customHeight="1">
      <c r="A20" t="n">
        <v>1</v>
      </c>
      <c r="B20" s="24">
        <f>IF(Setup!$K$18="","",Setup!$K$18)</f>
        <v/>
      </c>
      <c r="C20" s="88" t="n"/>
      <c r="D20" s="88" t="n"/>
      <c r="E20" s="88" t="n"/>
      <c r="F20" s="89" t="n"/>
      <c r="G20" s="88" t="n"/>
      <c r="H20" s="88" t="n"/>
      <c r="I20" s="88" t="n"/>
      <c r="J20" s="89" t="n"/>
      <c r="K20" s="88" t="n"/>
      <c r="L20" s="88" t="n"/>
      <c r="M20" s="88" t="n"/>
      <c r="N20" s="89" t="n"/>
      <c r="O20" s="88" t="n"/>
      <c r="P20" s="88" t="n"/>
      <c r="Q20" s="88" t="n"/>
      <c r="R20" s="89" t="n"/>
      <c r="S20" s="88" t="n"/>
      <c r="T20" s="88" t="n"/>
      <c r="U20" s="88" t="n"/>
      <c r="V20" s="89" t="n"/>
      <c r="W20" s="88" t="n"/>
      <c r="X20" s="89" t="n"/>
      <c r="Y20" s="88" t="n"/>
      <c r="Z20" s="89" t="n"/>
      <c r="AB20" s="25">
        <f>IF($B20="","",(COUNTIF(C20:E20,"?*")&lt;N(INDEX(Setup!$L$6:$L$23,13)))+(COUNTIF(G20:I20,"?*")&lt;N(INDEX(Setup!$L$6:$L$23,13)))+(COUNTIF(K20:M20,"?*")&lt;N(INDEX(Setup!$L$6:$L$23,13)))+(COUNTIF(O20:Q20,"?*")&lt;N(INDEX(Setup!$L$6:$L$23,13)))+(COUNTIF(S20:U20,"?*")&lt;N(INDEX(Setup!$L$6:$L$23,13)))+((W20="")*(INDEX(Setup!$M$6:$M$23,13)="Y"))+((Y20="")*(INDEX(Setup!$M$6:$M$23,13)="Y")))</f>
        <v/>
      </c>
      <c r="AC20" s="90">
        <f>IF($B20="","",IF(AB20=0,"✓ covered","⚠ "&amp;AB20&amp;IF(AB20=1," gap"," gaps")))</f>
        <v/>
      </c>
    </row>
    <row r="21" ht="17" customHeight="1">
      <c r="A21" t="n">
        <v>1</v>
      </c>
      <c r="B21" s="29">
        <f>IF(Setup!$K$19="","",Setup!$K$19)</f>
        <v/>
      </c>
      <c r="C21" s="88" t="n"/>
      <c r="D21" s="88" t="n"/>
      <c r="E21" s="88" t="n"/>
      <c r="F21" s="89" t="n"/>
      <c r="G21" s="88" t="n"/>
      <c r="H21" s="88" t="n"/>
      <c r="I21" s="88" t="n"/>
      <c r="J21" s="89" t="n"/>
      <c r="K21" s="88" t="n"/>
      <c r="L21" s="88" t="n"/>
      <c r="M21" s="88" t="n"/>
      <c r="N21" s="89" t="n"/>
      <c r="O21" s="88" t="n"/>
      <c r="P21" s="88" t="n"/>
      <c r="Q21" s="88" t="n"/>
      <c r="R21" s="89" t="n"/>
      <c r="S21" s="88" t="n"/>
      <c r="T21" s="88" t="n"/>
      <c r="U21" s="88" t="n"/>
      <c r="V21" s="89" t="n"/>
      <c r="W21" s="88" t="n"/>
      <c r="X21" s="89" t="n"/>
      <c r="Y21" s="88" t="n"/>
      <c r="Z21" s="89" t="n"/>
      <c r="AB21" s="30">
        <f>IF($B21="","",(COUNTIF(C21:E21,"?*")&lt;N(INDEX(Setup!$L$6:$L$23,14)))+(COUNTIF(G21:I21,"?*")&lt;N(INDEX(Setup!$L$6:$L$23,14)))+(COUNTIF(K21:M21,"?*")&lt;N(INDEX(Setup!$L$6:$L$23,14)))+(COUNTIF(O21:Q21,"?*")&lt;N(INDEX(Setup!$L$6:$L$23,14)))+(COUNTIF(S21:U21,"?*")&lt;N(INDEX(Setup!$L$6:$L$23,14)))+((W21="")*(INDEX(Setup!$M$6:$M$23,14)="Y"))+((Y21="")*(INDEX(Setup!$M$6:$M$23,14)="Y")))</f>
        <v/>
      </c>
      <c r="AC21" s="91">
        <f>IF($B21="","",IF(AB21=0,"✓ covered","⚠ "&amp;AB21&amp;IF(AB21=1," gap"," gaps")))</f>
        <v/>
      </c>
    </row>
    <row r="22" ht="17" customHeight="1">
      <c r="A22" t="n">
        <v>1</v>
      </c>
      <c r="B22" s="24">
        <f>IF(Setup!$K$20="","",Setup!$K$20)</f>
        <v/>
      </c>
      <c r="C22" s="88" t="n"/>
      <c r="D22" s="88" t="n"/>
      <c r="E22" s="88" t="n"/>
      <c r="F22" s="89" t="n"/>
      <c r="G22" s="88" t="n"/>
      <c r="H22" s="88" t="n"/>
      <c r="I22" s="88" t="n"/>
      <c r="J22" s="89" t="n"/>
      <c r="K22" s="88" t="n"/>
      <c r="L22" s="88" t="n"/>
      <c r="M22" s="88" t="n"/>
      <c r="N22" s="89" t="n"/>
      <c r="O22" s="88" t="n"/>
      <c r="P22" s="88" t="n"/>
      <c r="Q22" s="88" t="n"/>
      <c r="R22" s="89" t="n"/>
      <c r="S22" s="88" t="n"/>
      <c r="T22" s="88" t="n"/>
      <c r="U22" s="88" t="n"/>
      <c r="V22" s="89" t="n"/>
      <c r="W22" s="88" t="n"/>
      <c r="X22" s="89" t="n"/>
      <c r="Y22" s="88" t="n"/>
      <c r="Z22" s="89" t="n"/>
      <c r="AB22" s="25">
        <f>IF($B22="","",(COUNTIF(C22:E22,"?*")&lt;N(INDEX(Setup!$L$6:$L$23,15)))+(COUNTIF(G22:I22,"?*")&lt;N(INDEX(Setup!$L$6:$L$23,15)))+(COUNTIF(K22:M22,"?*")&lt;N(INDEX(Setup!$L$6:$L$23,15)))+(COUNTIF(O22:Q22,"?*")&lt;N(INDEX(Setup!$L$6:$L$23,15)))+(COUNTIF(S22:U22,"?*")&lt;N(INDEX(Setup!$L$6:$L$23,15)))+((W22="")*(INDEX(Setup!$M$6:$M$23,15)="Y"))+((Y22="")*(INDEX(Setup!$M$6:$M$23,15)="Y")))</f>
        <v/>
      </c>
      <c r="AC22" s="90">
        <f>IF($B22="","",IF(AB22=0,"✓ covered","⚠ "&amp;AB22&amp;IF(AB22=1," gap"," gaps")))</f>
        <v/>
      </c>
    </row>
    <row r="23" ht="17" customHeight="1">
      <c r="A23" t="n">
        <v>1</v>
      </c>
      <c r="B23" s="29">
        <f>IF(Setup!$K$21="","",Setup!$K$21)</f>
        <v/>
      </c>
      <c r="C23" s="88" t="n"/>
      <c r="D23" s="88" t="n"/>
      <c r="E23" s="88" t="n"/>
      <c r="F23" s="89" t="n"/>
      <c r="G23" s="88" t="n"/>
      <c r="H23" s="88" t="n"/>
      <c r="I23" s="88" t="n"/>
      <c r="J23" s="89" t="n"/>
      <c r="K23" s="88" t="n"/>
      <c r="L23" s="88" t="n"/>
      <c r="M23" s="88" t="n"/>
      <c r="N23" s="89" t="n"/>
      <c r="O23" s="88" t="n"/>
      <c r="P23" s="88" t="n"/>
      <c r="Q23" s="88" t="n"/>
      <c r="R23" s="89" t="n"/>
      <c r="S23" s="88" t="n"/>
      <c r="T23" s="88" t="n"/>
      <c r="U23" s="88" t="n"/>
      <c r="V23" s="89" t="n"/>
      <c r="W23" s="88" t="n"/>
      <c r="X23" s="89" t="n"/>
      <c r="Y23" s="88" t="n"/>
      <c r="Z23" s="89" t="n"/>
      <c r="AB23" s="30">
        <f>IF($B23="","",(COUNTIF(C23:E23,"?*")&lt;N(INDEX(Setup!$L$6:$L$23,16)))+(COUNTIF(G23:I23,"?*")&lt;N(INDEX(Setup!$L$6:$L$23,16)))+(COUNTIF(K23:M23,"?*")&lt;N(INDEX(Setup!$L$6:$L$23,16)))+(COUNTIF(O23:Q23,"?*")&lt;N(INDEX(Setup!$L$6:$L$23,16)))+(COUNTIF(S23:U23,"?*")&lt;N(INDEX(Setup!$L$6:$L$23,16)))+((W23="")*(INDEX(Setup!$M$6:$M$23,16)="Y"))+((Y23="")*(INDEX(Setup!$M$6:$M$23,16)="Y")))</f>
        <v/>
      </c>
      <c r="AC23" s="91">
        <f>IF($B23="","",IF(AB23=0,"✓ covered","⚠ "&amp;AB23&amp;IF(AB23=1," gap"," gaps")))</f>
        <v/>
      </c>
    </row>
    <row r="24" ht="17" customHeight="1">
      <c r="A24" t="n">
        <v>1</v>
      </c>
      <c r="B24" s="24">
        <f>IF(Setup!$K$22="","",Setup!$K$22)</f>
        <v/>
      </c>
      <c r="C24" s="88" t="n"/>
      <c r="D24" s="88" t="n"/>
      <c r="E24" s="88" t="n"/>
      <c r="F24" s="89" t="n"/>
      <c r="G24" s="88" t="n"/>
      <c r="H24" s="88" t="n"/>
      <c r="I24" s="88" t="n"/>
      <c r="J24" s="89" t="n"/>
      <c r="K24" s="88" t="n"/>
      <c r="L24" s="88" t="n"/>
      <c r="M24" s="88" t="n"/>
      <c r="N24" s="89" t="n"/>
      <c r="O24" s="88" t="n"/>
      <c r="P24" s="88" t="n"/>
      <c r="Q24" s="88" t="n"/>
      <c r="R24" s="89" t="n"/>
      <c r="S24" s="88" t="n"/>
      <c r="T24" s="88" t="n"/>
      <c r="U24" s="88" t="n"/>
      <c r="V24" s="89" t="n"/>
      <c r="W24" s="88" t="n"/>
      <c r="X24" s="89" t="n"/>
      <c r="Y24" s="88" t="n"/>
      <c r="Z24" s="89" t="n"/>
      <c r="AB24" s="25">
        <f>IF($B24="","",(COUNTIF(C24:E24,"?*")&lt;N(INDEX(Setup!$L$6:$L$23,17)))+(COUNTIF(G24:I24,"?*")&lt;N(INDEX(Setup!$L$6:$L$23,17)))+(COUNTIF(K24:M24,"?*")&lt;N(INDEX(Setup!$L$6:$L$23,17)))+(COUNTIF(O24:Q24,"?*")&lt;N(INDEX(Setup!$L$6:$L$23,17)))+(COUNTIF(S24:U24,"?*")&lt;N(INDEX(Setup!$L$6:$L$23,17)))+((W24="")*(INDEX(Setup!$M$6:$M$23,17)="Y"))+((Y24="")*(INDEX(Setup!$M$6:$M$23,17)="Y")))</f>
        <v/>
      </c>
      <c r="AC24" s="90">
        <f>IF($B24="","",IF(AB24=0,"✓ covered","⚠ "&amp;AB24&amp;IF(AB24=1," gap"," gaps")))</f>
        <v/>
      </c>
    </row>
    <row r="25" ht="17" customHeight="1">
      <c r="A25" t="n">
        <v>1</v>
      </c>
      <c r="B25" s="29">
        <f>IF(Setup!$K$23="","",Setup!$K$23)</f>
        <v/>
      </c>
      <c r="C25" s="88" t="n"/>
      <c r="D25" s="88" t="n"/>
      <c r="E25" s="88" t="n"/>
      <c r="F25" s="89" t="n"/>
      <c r="G25" s="88" t="n"/>
      <c r="H25" s="88" t="n"/>
      <c r="I25" s="88" t="n"/>
      <c r="J25" s="89" t="n"/>
      <c r="K25" s="88" t="n"/>
      <c r="L25" s="88" t="n"/>
      <c r="M25" s="88" t="n"/>
      <c r="N25" s="89" t="n"/>
      <c r="O25" s="88" t="n"/>
      <c r="P25" s="88" t="n"/>
      <c r="Q25" s="88" t="n"/>
      <c r="R25" s="89" t="n"/>
      <c r="S25" s="88" t="n"/>
      <c r="T25" s="88" t="n"/>
      <c r="U25" s="88" t="n"/>
      <c r="V25" s="89" t="n"/>
      <c r="W25" s="88" t="n"/>
      <c r="X25" s="89" t="n"/>
      <c r="Y25" s="88" t="n"/>
      <c r="Z25" s="89" t="n"/>
      <c r="AB25" s="30">
        <f>IF($B25="","",(COUNTIF(C25:E25,"?*")&lt;N(INDEX(Setup!$L$6:$L$23,18)))+(COUNTIF(G25:I25,"?*")&lt;N(INDEX(Setup!$L$6:$L$23,18)))+(COUNTIF(K25:M25,"?*")&lt;N(INDEX(Setup!$L$6:$L$23,18)))+(COUNTIF(O25:Q25,"?*")&lt;N(INDEX(Setup!$L$6:$L$23,18)))+(COUNTIF(S25:U25,"?*")&lt;N(INDEX(Setup!$L$6:$L$23,18)))+((W25="")*(INDEX(Setup!$M$6:$M$23,18)="Y"))+((Y25="")*(INDEX(Setup!$M$6:$M$23,18)="Y")))</f>
        <v/>
      </c>
      <c r="AC25" s="91">
        <f>IF($B25="","",IF(AB25=0,"✓ covered","⚠ "&amp;AB25&amp;IF(AB25=1," gap"," gaps")))</f>
        <v/>
      </c>
    </row>
    <row r="26" ht="18" customHeight="1">
      <c r="A26" t="n">
        <v>1</v>
      </c>
      <c r="B26" s="78" t="inlineStr">
        <is>
          <t>TEAM AVAILABILITY</t>
        </is>
      </c>
      <c r="C26" s="92" t="inlineStr">
        <is>
          <t>Mon</t>
        </is>
      </c>
      <c r="D26" s="93" t="n"/>
      <c r="E26" s="93" t="n"/>
      <c r="F26" s="94" t="n"/>
      <c r="G26" s="92" t="inlineStr">
        <is>
          <t>Tue</t>
        </is>
      </c>
      <c r="H26" s="93" t="n"/>
      <c r="I26" s="93" t="n"/>
      <c r="J26" s="94" t="n"/>
      <c r="K26" s="92" t="inlineStr">
        <is>
          <t>Wed</t>
        </is>
      </c>
      <c r="L26" s="93" t="n"/>
      <c r="M26" s="93" t="n"/>
      <c r="N26" s="94" t="n"/>
      <c r="O26" s="92" t="inlineStr">
        <is>
          <t>Thu</t>
        </is>
      </c>
      <c r="P26" s="93" t="n"/>
      <c r="Q26" s="93" t="n"/>
      <c r="R26" s="94" t="n"/>
      <c r="S26" s="92" t="inlineStr">
        <is>
          <t>Fri</t>
        </is>
      </c>
      <c r="T26" s="93" t="n"/>
      <c r="U26" s="93" t="n"/>
      <c r="V26" s="94" t="n"/>
      <c r="W26" s="95" t="inlineStr">
        <is>
          <t>Sat</t>
        </is>
      </c>
      <c r="X26" s="96" t="n"/>
      <c r="Y26" s="95" t="inlineStr">
        <is>
          <t>Sun</t>
        </is>
      </c>
      <c r="Z26" s="96" t="n"/>
      <c r="AB26" s="97" t="inlineStr">
        <is>
          <t>Days rostered</t>
        </is>
      </c>
      <c r="AC26" s="97" t="inlineStr">
        <is>
          <t>Conflicts</t>
        </is>
      </c>
    </row>
    <row r="27" ht="15" customHeight="1">
      <c r="A27" t="n">
        <v>1</v>
      </c>
      <c r="B27" s="35">
        <f>IF(Setup!$B$6="","",Setup!$B$6)</f>
        <v/>
      </c>
      <c r="C27" s="98" t="n"/>
      <c r="D27" s="99" t="n"/>
      <c r="E27" s="99" t="n"/>
      <c r="F27" s="100" t="n"/>
      <c r="G27" s="98" t="n"/>
      <c r="H27" s="99" t="n"/>
      <c r="I27" s="99" t="n"/>
      <c r="J27" s="100" t="n"/>
      <c r="K27" s="98" t="n"/>
      <c r="L27" s="99" t="n"/>
      <c r="M27" s="99" t="n"/>
      <c r="N27" s="100" t="n"/>
      <c r="O27" s="98" t="n"/>
      <c r="P27" s="99" t="n"/>
      <c r="Q27" s="99" t="n"/>
      <c r="R27" s="100" t="n"/>
      <c r="S27" s="98" t="n"/>
      <c r="T27" s="99" t="n"/>
      <c r="U27" s="99" t="n"/>
      <c r="V27" s="100" t="n"/>
      <c r="W27" s="98" t="n"/>
      <c r="X27" s="100" t="n"/>
      <c r="Y27" s="98" t="n"/>
      <c r="Z27" s="100" t="n"/>
      <c r="AB27" s="101">
        <f>IF($B27="","",(COUNTIF(C8:E25,$B27)+COUNTIF(C8:E25,$B27&amp;" ~*")&gt;0)+(COUNTIF(G8:I25,$B27)+COUNTIF(G8:I25,$B27&amp;" ~*")&gt;0)+(COUNTIF(K8:M25,$B27)+COUNTIF(K8:M25,$B27&amp;" ~*")&gt;0)+(COUNTIF(O8:Q25,$B27)+COUNTIF(O8:Q25,$B27&amp;" ~*")&gt;0)+(COUNTIF(S8:U25,$B27)+COUNTIF(S8:U25,$B27&amp;" ~*")&gt;0)+(COUNTIF(W8:W25,$B27)+COUNTIF(W8:W25,$B27&amp;" ~*")&gt;0)+(COUNTIF(Y8:Y25,$B27)+COUNTIF(Y8:Y25,$B27&amp;" ~*")&gt;0))</f>
        <v/>
      </c>
      <c r="AC27" s="36">
        <f>IF($B27="","",(IFERROR(INDEX(Setup!$G$33:$G$40,MATCH(C27,Setup!$B$33:$B$40,0)),0)=1)*(COUNTIF(C8:E25,$B27)+COUNTIF(C8:E25,$B27&amp;" ~*")&gt;0)+(IFERROR(INDEX(Setup!$G$33:$G$40,MATCH(G27,Setup!$B$33:$B$40,0)),0)=1)*(COUNTIF(G8:I25,$B27)+COUNTIF(G8:I25,$B27&amp;" ~*")&gt;0)+(IFERROR(INDEX(Setup!$G$33:$G$40,MATCH(K27,Setup!$B$33:$B$40,0)),0)=1)*(COUNTIF(K8:M25,$B27)+COUNTIF(K8:M25,$B27&amp;" ~*")&gt;0)+(IFERROR(INDEX(Setup!$G$33:$G$40,MATCH(O27,Setup!$B$33:$B$40,0)),0)=1)*(COUNTIF(O8:Q25,$B27)+COUNTIF(O8:Q25,$B27&amp;" ~*")&gt;0)+(IFERROR(INDEX(Setup!$G$33:$G$40,MATCH(S27,Setup!$B$33:$B$40,0)),0)=1)*(COUNTIF(S8:U25,$B27)+COUNTIF(S8:U25,$B27&amp;" ~*")&gt;0)+(IFERROR(INDEX(Setup!$G$33:$G$40,MATCH(W27,Setup!$B$33:$B$40,0)),0)=1)*(COUNTIF(W8:W25,$B27)+COUNTIF(W8:W25,$B27&amp;" ~*")&gt;0)+(IFERROR(INDEX(Setup!$G$33:$G$40,MATCH(Y27,Setup!$B$33:$B$40,0)),0)=1)*(COUNTIF(Y8:Y25,$B27)+COUNTIF(Y8:Y25,$B27&amp;" ~*")&gt;0))</f>
        <v/>
      </c>
    </row>
    <row r="28" ht="15" customHeight="1">
      <c r="A28" t="n">
        <v>1</v>
      </c>
      <c r="B28" s="37">
        <f>IF(Setup!$B$7="","",Setup!$B$7)</f>
        <v/>
      </c>
      <c r="C28" s="102" t="n"/>
      <c r="D28" s="103" t="n"/>
      <c r="E28" s="103" t="n"/>
      <c r="F28" s="104" t="n"/>
      <c r="G28" s="102" t="n"/>
      <c r="H28" s="103" t="n"/>
      <c r="I28" s="103" t="n"/>
      <c r="J28" s="104" t="n"/>
      <c r="K28" s="102" t="n"/>
      <c r="L28" s="103" t="n"/>
      <c r="M28" s="103" t="n"/>
      <c r="N28" s="104" t="n"/>
      <c r="O28" s="102" t="n"/>
      <c r="P28" s="103" t="n"/>
      <c r="Q28" s="103" t="n"/>
      <c r="R28" s="104" t="n"/>
      <c r="S28" s="102" t="n"/>
      <c r="T28" s="103" t="n"/>
      <c r="U28" s="103" t="n"/>
      <c r="V28" s="104" t="n"/>
      <c r="W28" s="102" t="n"/>
      <c r="X28" s="104" t="n"/>
      <c r="Y28" s="102" t="n"/>
      <c r="Z28" s="104" t="n"/>
      <c r="AB28" s="105">
        <f>IF($B28="","",(COUNTIF(C8:E25,$B28)+COUNTIF(C8:E25,$B28&amp;" ~*")&gt;0)+(COUNTIF(G8:I25,$B28)+COUNTIF(G8:I25,$B28&amp;" ~*")&gt;0)+(COUNTIF(K8:M25,$B28)+COUNTIF(K8:M25,$B28&amp;" ~*")&gt;0)+(COUNTIF(O8:Q25,$B28)+COUNTIF(O8:Q25,$B28&amp;" ~*")&gt;0)+(COUNTIF(S8:U25,$B28)+COUNTIF(S8:U25,$B28&amp;" ~*")&gt;0)+(COUNTIF(W8:W25,$B28)+COUNTIF(W8:W25,$B28&amp;" ~*")&gt;0)+(COUNTIF(Y8:Y25,$B28)+COUNTIF(Y8:Y25,$B28&amp;" ~*")&gt;0))</f>
        <v/>
      </c>
      <c r="AC28" s="38">
        <f>IF($B28="","",(IFERROR(INDEX(Setup!$G$33:$G$40,MATCH(C28,Setup!$B$33:$B$40,0)),0)=1)*(COUNTIF(C8:E25,$B28)+COUNTIF(C8:E25,$B28&amp;" ~*")&gt;0)+(IFERROR(INDEX(Setup!$G$33:$G$40,MATCH(G28,Setup!$B$33:$B$40,0)),0)=1)*(COUNTIF(G8:I25,$B28)+COUNTIF(G8:I25,$B28&amp;" ~*")&gt;0)+(IFERROR(INDEX(Setup!$G$33:$G$40,MATCH(K28,Setup!$B$33:$B$40,0)),0)=1)*(COUNTIF(K8:M25,$B28)+COUNTIF(K8:M25,$B28&amp;" ~*")&gt;0)+(IFERROR(INDEX(Setup!$G$33:$G$40,MATCH(O28,Setup!$B$33:$B$40,0)),0)=1)*(COUNTIF(O8:Q25,$B28)+COUNTIF(O8:Q25,$B28&amp;" ~*")&gt;0)+(IFERROR(INDEX(Setup!$G$33:$G$40,MATCH(S28,Setup!$B$33:$B$40,0)),0)=1)*(COUNTIF(S8:U25,$B28)+COUNTIF(S8:U25,$B28&amp;" ~*")&gt;0)+(IFERROR(INDEX(Setup!$G$33:$G$40,MATCH(W28,Setup!$B$33:$B$40,0)),0)=1)*(COUNTIF(W8:W25,$B28)+COUNTIF(W8:W25,$B28&amp;" ~*")&gt;0)+(IFERROR(INDEX(Setup!$G$33:$G$40,MATCH(Y28,Setup!$B$33:$B$40,0)),0)=1)*(COUNTIF(Y8:Y25,$B28)+COUNTIF(Y8:Y25,$B28&amp;" ~*")&gt;0))</f>
        <v/>
      </c>
    </row>
    <row r="29" ht="15" customHeight="1">
      <c r="A29" t="n">
        <v>1</v>
      </c>
      <c r="B29" s="35">
        <f>IF(Setup!$B$8="","",Setup!$B$8)</f>
        <v/>
      </c>
      <c r="C29" s="98" t="n"/>
      <c r="D29" s="99" t="n"/>
      <c r="E29" s="99" t="n"/>
      <c r="F29" s="100" t="n"/>
      <c r="G29" s="98" t="n"/>
      <c r="H29" s="99" t="n"/>
      <c r="I29" s="99" t="n"/>
      <c r="J29" s="100" t="n"/>
      <c r="K29" s="98" t="n"/>
      <c r="L29" s="99" t="n"/>
      <c r="M29" s="99" t="n"/>
      <c r="N29" s="100" t="n"/>
      <c r="O29" s="98" t="n"/>
      <c r="P29" s="99" t="n"/>
      <c r="Q29" s="99" t="n"/>
      <c r="R29" s="100" t="n"/>
      <c r="S29" s="98" t="n"/>
      <c r="T29" s="99" t="n"/>
      <c r="U29" s="99" t="n"/>
      <c r="V29" s="100" t="n"/>
      <c r="W29" s="98" t="n"/>
      <c r="X29" s="100" t="n"/>
      <c r="Y29" s="98" t="n"/>
      <c r="Z29" s="100" t="n"/>
      <c r="AB29" s="101">
        <f>IF($B29="","",(COUNTIF(C8:E25,$B29)+COUNTIF(C8:E25,$B29&amp;" ~*")&gt;0)+(COUNTIF(G8:I25,$B29)+COUNTIF(G8:I25,$B29&amp;" ~*")&gt;0)+(COUNTIF(K8:M25,$B29)+COUNTIF(K8:M25,$B29&amp;" ~*")&gt;0)+(COUNTIF(O8:Q25,$B29)+COUNTIF(O8:Q25,$B29&amp;" ~*")&gt;0)+(COUNTIF(S8:U25,$B29)+COUNTIF(S8:U25,$B29&amp;" ~*")&gt;0)+(COUNTIF(W8:W25,$B29)+COUNTIF(W8:W25,$B29&amp;" ~*")&gt;0)+(COUNTIF(Y8:Y25,$B29)+COUNTIF(Y8:Y25,$B29&amp;" ~*")&gt;0))</f>
        <v/>
      </c>
      <c r="AC29" s="36">
        <f>IF($B29="","",(IFERROR(INDEX(Setup!$G$33:$G$40,MATCH(C29,Setup!$B$33:$B$40,0)),0)=1)*(COUNTIF(C8:E25,$B29)+COUNTIF(C8:E25,$B29&amp;" ~*")&gt;0)+(IFERROR(INDEX(Setup!$G$33:$G$40,MATCH(G29,Setup!$B$33:$B$40,0)),0)=1)*(COUNTIF(G8:I25,$B29)+COUNTIF(G8:I25,$B29&amp;" ~*")&gt;0)+(IFERROR(INDEX(Setup!$G$33:$G$40,MATCH(K29,Setup!$B$33:$B$40,0)),0)=1)*(COUNTIF(K8:M25,$B29)+COUNTIF(K8:M25,$B29&amp;" ~*")&gt;0)+(IFERROR(INDEX(Setup!$G$33:$G$40,MATCH(O29,Setup!$B$33:$B$40,0)),0)=1)*(COUNTIF(O8:Q25,$B29)+COUNTIF(O8:Q25,$B29&amp;" ~*")&gt;0)+(IFERROR(INDEX(Setup!$G$33:$G$40,MATCH(S29,Setup!$B$33:$B$40,0)),0)=1)*(COUNTIF(S8:U25,$B29)+COUNTIF(S8:U25,$B29&amp;" ~*")&gt;0)+(IFERROR(INDEX(Setup!$G$33:$G$40,MATCH(W29,Setup!$B$33:$B$40,0)),0)=1)*(COUNTIF(W8:W25,$B29)+COUNTIF(W8:W25,$B29&amp;" ~*")&gt;0)+(IFERROR(INDEX(Setup!$G$33:$G$40,MATCH(Y29,Setup!$B$33:$B$40,0)),0)=1)*(COUNTIF(Y8:Y25,$B29)+COUNTIF(Y8:Y25,$B29&amp;" ~*")&gt;0))</f>
        <v/>
      </c>
    </row>
    <row r="30" ht="15" customHeight="1">
      <c r="A30" t="n">
        <v>1</v>
      </c>
      <c r="B30" s="37">
        <f>IF(Setup!$B$9="","",Setup!$B$9)</f>
        <v/>
      </c>
      <c r="C30" s="102" t="n"/>
      <c r="D30" s="103" t="n"/>
      <c r="E30" s="103" t="n"/>
      <c r="F30" s="104" t="n"/>
      <c r="G30" s="102" t="n"/>
      <c r="H30" s="103" t="n"/>
      <c r="I30" s="103" t="n"/>
      <c r="J30" s="104" t="n"/>
      <c r="K30" s="102" t="n"/>
      <c r="L30" s="103" t="n"/>
      <c r="M30" s="103" t="n"/>
      <c r="N30" s="104" t="n"/>
      <c r="O30" s="102" t="n"/>
      <c r="P30" s="103" t="n"/>
      <c r="Q30" s="103" t="n"/>
      <c r="R30" s="104" t="n"/>
      <c r="S30" s="102" t="n"/>
      <c r="T30" s="103" t="n"/>
      <c r="U30" s="103" t="n"/>
      <c r="V30" s="104" t="n"/>
      <c r="W30" s="102" t="n"/>
      <c r="X30" s="104" t="n"/>
      <c r="Y30" s="102" t="n"/>
      <c r="Z30" s="104" t="n"/>
      <c r="AB30" s="105">
        <f>IF($B30="","",(COUNTIF(C8:E25,$B30)+COUNTIF(C8:E25,$B30&amp;" ~*")&gt;0)+(COUNTIF(G8:I25,$B30)+COUNTIF(G8:I25,$B30&amp;" ~*")&gt;0)+(COUNTIF(K8:M25,$B30)+COUNTIF(K8:M25,$B30&amp;" ~*")&gt;0)+(COUNTIF(O8:Q25,$B30)+COUNTIF(O8:Q25,$B30&amp;" ~*")&gt;0)+(COUNTIF(S8:U25,$B30)+COUNTIF(S8:U25,$B30&amp;" ~*")&gt;0)+(COUNTIF(W8:W25,$B30)+COUNTIF(W8:W25,$B30&amp;" ~*")&gt;0)+(COUNTIF(Y8:Y25,$B30)+COUNTIF(Y8:Y25,$B30&amp;" ~*")&gt;0))</f>
        <v/>
      </c>
      <c r="AC30" s="38">
        <f>IF($B30="","",(IFERROR(INDEX(Setup!$G$33:$G$40,MATCH(C30,Setup!$B$33:$B$40,0)),0)=1)*(COUNTIF(C8:E25,$B30)+COUNTIF(C8:E25,$B30&amp;" ~*")&gt;0)+(IFERROR(INDEX(Setup!$G$33:$G$40,MATCH(G30,Setup!$B$33:$B$40,0)),0)=1)*(COUNTIF(G8:I25,$B30)+COUNTIF(G8:I25,$B30&amp;" ~*")&gt;0)+(IFERROR(INDEX(Setup!$G$33:$G$40,MATCH(K30,Setup!$B$33:$B$40,0)),0)=1)*(COUNTIF(K8:M25,$B30)+COUNTIF(K8:M25,$B30&amp;" ~*")&gt;0)+(IFERROR(INDEX(Setup!$G$33:$G$40,MATCH(O30,Setup!$B$33:$B$40,0)),0)=1)*(COUNTIF(O8:Q25,$B30)+COUNTIF(O8:Q25,$B30&amp;" ~*")&gt;0)+(IFERROR(INDEX(Setup!$G$33:$G$40,MATCH(S30,Setup!$B$33:$B$40,0)),0)=1)*(COUNTIF(S8:U25,$B30)+COUNTIF(S8:U25,$B30&amp;" ~*")&gt;0)+(IFERROR(INDEX(Setup!$G$33:$G$40,MATCH(W30,Setup!$B$33:$B$40,0)),0)=1)*(COUNTIF(W8:W25,$B30)+COUNTIF(W8:W25,$B30&amp;" ~*")&gt;0)+(IFERROR(INDEX(Setup!$G$33:$G$40,MATCH(Y30,Setup!$B$33:$B$40,0)),0)=1)*(COUNTIF(Y8:Y25,$B30)+COUNTIF(Y8:Y25,$B30&amp;" ~*")&gt;0))</f>
        <v/>
      </c>
    </row>
    <row r="31" ht="15" customHeight="1">
      <c r="A31" t="n">
        <v>1</v>
      </c>
      <c r="B31" s="35">
        <f>IF(Setup!$B$10="","",Setup!$B$10)</f>
        <v/>
      </c>
      <c r="C31" s="98" t="n"/>
      <c r="D31" s="99" t="n"/>
      <c r="E31" s="99" t="n"/>
      <c r="F31" s="100" t="n"/>
      <c r="G31" s="98" t="n"/>
      <c r="H31" s="99" t="n"/>
      <c r="I31" s="99" t="n"/>
      <c r="J31" s="100" t="n"/>
      <c r="K31" s="98" t="n"/>
      <c r="L31" s="99" t="n"/>
      <c r="M31" s="99" t="n"/>
      <c r="N31" s="100" t="n"/>
      <c r="O31" s="98" t="n"/>
      <c r="P31" s="99" t="n"/>
      <c r="Q31" s="99" t="n"/>
      <c r="R31" s="100" t="n"/>
      <c r="S31" s="98" t="n"/>
      <c r="T31" s="99" t="n"/>
      <c r="U31" s="99" t="n"/>
      <c r="V31" s="100" t="n"/>
      <c r="W31" s="98" t="n"/>
      <c r="X31" s="100" t="n"/>
      <c r="Y31" s="98" t="n"/>
      <c r="Z31" s="100" t="n"/>
      <c r="AB31" s="101">
        <f>IF($B31="","",(COUNTIF(C8:E25,$B31)+COUNTIF(C8:E25,$B31&amp;" ~*")&gt;0)+(COUNTIF(G8:I25,$B31)+COUNTIF(G8:I25,$B31&amp;" ~*")&gt;0)+(COUNTIF(K8:M25,$B31)+COUNTIF(K8:M25,$B31&amp;" ~*")&gt;0)+(COUNTIF(O8:Q25,$B31)+COUNTIF(O8:Q25,$B31&amp;" ~*")&gt;0)+(COUNTIF(S8:U25,$B31)+COUNTIF(S8:U25,$B31&amp;" ~*")&gt;0)+(COUNTIF(W8:W25,$B31)+COUNTIF(W8:W25,$B31&amp;" ~*")&gt;0)+(COUNTIF(Y8:Y25,$B31)+COUNTIF(Y8:Y25,$B31&amp;" ~*")&gt;0))</f>
        <v/>
      </c>
      <c r="AC31" s="36">
        <f>IF($B31="","",(IFERROR(INDEX(Setup!$G$33:$G$40,MATCH(C31,Setup!$B$33:$B$40,0)),0)=1)*(COUNTIF(C8:E25,$B31)+COUNTIF(C8:E25,$B31&amp;" ~*")&gt;0)+(IFERROR(INDEX(Setup!$G$33:$G$40,MATCH(G31,Setup!$B$33:$B$40,0)),0)=1)*(COUNTIF(G8:I25,$B31)+COUNTIF(G8:I25,$B31&amp;" ~*")&gt;0)+(IFERROR(INDEX(Setup!$G$33:$G$40,MATCH(K31,Setup!$B$33:$B$40,0)),0)=1)*(COUNTIF(K8:M25,$B31)+COUNTIF(K8:M25,$B31&amp;" ~*")&gt;0)+(IFERROR(INDEX(Setup!$G$33:$G$40,MATCH(O31,Setup!$B$33:$B$40,0)),0)=1)*(COUNTIF(O8:Q25,$B31)+COUNTIF(O8:Q25,$B31&amp;" ~*")&gt;0)+(IFERROR(INDEX(Setup!$G$33:$G$40,MATCH(S31,Setup!$B$33:$B$40,0)),0)=1)*(COUNTIF(S8:U25,$B31)+COUNTIF(S8:U25,$B31&amp;" ~*")&gt;0)+(IFERROR(INDEX(Setup!$G$33:$G$40,MATCH(W31,Setup!$B$33:$B$40,0)),0)=1)*(COUNTIF(W8:W25,$B31)+COUNTIF(W8:W25,$B31&amp;" ~*")&gt;0)+(IFERROR(INDEX(Setup!$G$33:$G$40,MATCH(Y31,Setup!$B$33:$B$40,0)),0)=1)*(COUNTIF(Y8:Y25,$B31)+COUNTIF(Y8:Y25,$B31&amp;" ~*")&gt;0))</f>
        <v/>
      </c>
    </row>
    <row r="32" ht="15" customHeight="1">
      <c r="A32" t="n">
        <v>1</v>
      </c>
      <c r="B32" s="37">
        <f>IF(Setup!$B$11="","",Setup!$B$11)</f>
        <v/>
      </c>
      <c r="C32" s="102" t="n"/>
      <c r="D32" s="103" t="n"/>
      <c r="E32" s="103" t="n"/>
      <c r="F32" s="104" t="n"/>
      <c r="G32" s="102" t="n"/>
      <c r="H32" s="103" t="n"/>
      <c r="I32" s="103" t="n"/>
      <c r="J32" s="104" t="n"/>
      <c r="K32" s="102" t="n"/>
      <c r="L32" s="103" t="n"/>
      <c r="M32" s="103" t="n"/>
      <c r="N32" s="104" t="n"/>
      <c r="O32" s="102" t="n"/>
      <c r="P32" s="103" t="n"/>
      <c r="Q32" s="103" t="n"/>
      <c r="R32" s="104" t="n"/>
      <c r="S32" s="102" t="n"/>
      <c r="T32" s="103" t="n"/>
      <c r="U32" s="103" t="n"/>
      <c r="V32" s="104" t="n"/>
      <c r="W32" s="102" t="n"/>
      <c r="X32" s="104" t="n"/>
      <c r="Y32" s="102" t="n"/>
      <c r="Z32" s="104" t="n"/>
      <c r="AB32" s="105">
        <f>IF($B32="","",(COUNTIF(C8:E25,$B32)+COUNTIF(C8:E25,$B32&amp;" ~*")&gt;0)+(COUNTIF(G8:I25,$B32)+COUNTIF(G8:I25,$B32&amp;" ~*")&gt;0)+(COUNTIF(K8:M25,$B32)+COUNTIF(K8:M25,$B32&amp;" ~*")&gt;0)+(COUNTIF(O8:Q25,$B32)+COUNTIF(O8:Q25,$B32&amp;" ~*")&gt;0)+(COUNTIF(S8:U25,$B32)+COUNTIF(S8:U25,$B32&amp;" ~*")&gt;0)+(COUNTIF(W8:W25,$B32)+COUNTIF(W8:W25,$B32&amp;" ~*")&gt;0)+(COUNTIF(Y8:Y25,$B32)+COUNTIF(Y8:Y25,$B32&amp;" ~*")&gt;0))</f>
        <v/>
      </c>
      <c r="AC32" s="38">
        <f>IF($B32="","",(IFERROR(INDEX(Setup!$G$33:$G$40,MATCH(C32,Setup!$B$33:$B$40,0)),0)=1)*(COUNTIF(C8:E25,$B32)+COUNTIF(C8:E25,$B32&amp;" ~*")&gt;0)+(IFERROR(INDEX(Setup!$G$33:$G$40,MATCH(G32,Setup!$B$33:$B$40,0)),0)=1)*(COUNTIF(G8:I25,$B32)+COUNTIF(G8:I25,$B32&amp;" ~*")&gt;0)+(IFERROR(INDEX(Setup!$G$33:$G$40,MATCH(K32,Setup!$B$33:$B$40,0)),0)=1)*(COUNTIF(K8:M25,$B32)+COUNTIF(K8:M25,$B32&amp;" ~*")&gt;0)+(IFERROR(INDEX(Setup!$G$33:$G$40,MATCH(O32,Setup!$B$33:$B$40,0)),0)=1)*(COUNTIF(O8:Q25,$B32)+COUNTIF(O8:Q25,$B32&amp;" ~*")&gt;0)+(IFERROR(INDEX(Setup!$G$33:$G$40,MATCH(S32,Setup!$B$33:$B$40,0)),0)=1)*(COUNTIF(S8:U25,$B32)+COUNTIF(S8:U25,$B32&amp;" ~*")&gt;0)+(IFERROR(INDEX(Setup!$G$33:$G$40,MATCH(W32,Setup!$B$33:$B$40,0)),0)=1)*(COUNTIF(W8:W25,$B32)+COUNTIF(W8:W25,$B32&amp;" ~*")&gt;0)+(IFERROR(INDEX(Setup!$G$33:$G$40,MATCH(Y32,Setup!$B$33:$B$40,0)),0)=1)*(COUNTIF(Y8:Y25,$B32)+COUNTIF(Y8:Y25,$B32&amp;" ~*")&gt;0))</f>
        <v/>
      </c>
    </row>
    <row r="33" ht="15" customHeight="1">
      <c r="A33" t="n">
        <v>1</v>
      </c>
      <c r="B33" s="35">
        <f>IF(Setup!$B$12="","",Setup!$B$12)</f>
        <v/>
      </c>
      <c r="C33" s="98" t="n"/>
      <c r="D33" s="99" t="n"/>
      <c r="E33" s="99" t="n"/>
      <c r="F33" s="100" t="n"/>
      <c r="G33" s="98" t="n"/>
      <c r="H33" s="99" t="n"/>
      <c r="I33" s="99" t="n"/>
      <c r="J33" s="100" t="n"/>
      <c r="K33" s="98" t="n"/>
      <c r="L33" s="99" t="n"/>
      <c r="M33" s="99" t="n"/>
      <c r="N33" s="100" t="n"/>
      <c r="O33" s="98" t="n"/>
      <c r="P33" s="99" t="n"/>
      <c r="Q33" s="99" t="n"/>
      <c r="R33" s="100" t="n"/>
      <c r="S33" s="98" t="n"/>
      <c r="T33" s="99" t="n"/>
      <c r="U33" s="99" t="n"/>
      <c r="V33" s="100" t="n"/>
      <c r="W33" s="98" t="n"/>
      <c r="X33" s="100" t="n"/>
      <c r="Y33" s="98" t="n"/>
      <c r="Z33" s="100" t="n"/>
      <c r="AB33" s="101">
        <f>IF($B33="","",(COUNTIF(C8:E25,$B33)+COUNTIF(C8:E25,$B33&amp;" ~*")&gt;0)+(COUNTIF(G8:I25,$B33)+COUNTIF(G8:I25,$B33&amp;" ~*")&gt;0)+(COUNTIF(K8:M25,$B33)+COUNTIF(K8:M25,$B33&amp;" ~*")&gt;0)+(COUNTIF(O8:Q25,$B33)+COUNTIF(O8:Q25,$B33&amp;" ~*")&gt;0)+(COUNTIF(S8:U25,$B33)+COUNTIF(S8:U25,$B33&amp;" ~*")&gt;0)+(COUNTIF(W8:W25,$B33)+COUNTIF(W8:W25,$B33&amp;" ~*")&gt;0)+(COUNTIF(Y8:Y25,$B33)+COUNTIF(Y8:Y25,$B33&amp;" ~*")&gt;0))</f>
        <v/>
      </c>
      <c r="AC33" s="36">
        <f>IF($B33="","",(IFERROR(INDEX(Setup!$G$33:$G$40,MATCH(C33,Setup!$B$33:$B$40,0)),0)=1)*(COUNTIF(C8:E25,$B33)+COUNTIF(C8:E25,$B33&amp;" ~*")&gt;0)+(IFERROR(INDEX(Setup!$G$33:$G$40,MATCH(G33,Setup!$B$33:$B$40,0)),0)=1)*(COUNTIF(G8:I25,$B33)+COUNTIF(G8:I25,$B33&amp;" ~*")&gt;0)+(IFERROR(INDEX(Setup!$G$33:$G$40,MATCH(K33,Setup!$B$33:$B$40,0)),0)=1)*(COUNTIF(K8:M25,$B33)+COUNTIF(K8:M25,$B33&amp;" ~*")&gt;0)+(IFERROR(INDEX(Setup!$G$33:$G$40,MATCH(O33,Setup!$B$33:$B$40,0)),0)=1)*(COUNTIF(O8:Q25,$B33)+COUNTIF(O8:Q25,$B33&amp;" ~*")&gt;0)+(IFERROR(INDEX(Setup!$G$33:$G$40,MATCH(S33,Setup!$B$33:$B$40,0)),0)=1)*(COUNTIF(S8:U25,$B33)+COUNTIF(S8:U25,$B33&amp;" ~*")&gt;0)+(IFERROR(INDEX(Setup!$G$33:$G$40,MATCH(W33,Setup!$B$33:$B$40,0)),0)=1)*(COUNTIF(W8:W25,$B33)+COUNTIF(W8:W25,$B33&amp;" ~*")&gt;0)+(IFERROR(INDEX(Setup!$G$33:$G$40,MATCH(Y33,Setup!$B$33:$B$40,0)),0)=1)*(COUNTIF(Y8:Y25,$B33)+COUNTIF(Y8:Y25,$B33&amp;" ~*")&gt;0))</f>
        <v/>
      </c>
    </row>
    <row r="34" ht="15" customHeight="1">
      <c r="A34" t="n">
        <v>1</v>
      </c>
      <c r="B34" s="37">
        <f>IF(Setup!$B$13="","",Setup!$B$13)</f>
        <v/>
      </c>
      <c r="C34" s="102" t="inlineStr">
        <is>
          <t>AL</t>
        </is>
      </c>
      <c r="D34" s="103" t="n"/>
      <c r="E34" s="103" t="n"/>
      <c r="F34" s="104" t="n"/>
      <c r="G34" s="102" t="inlineStr">
        <is>
          <t>AL</t>
        </is>
      </c>
      <c r="H34" s="103" t="n"/>
      <c r="I34" s="103" t="n"/>
      <c r="J34" s="104" t="n"/>
      <c r="K34" s="102" t="inlineStr">
        <is>
          <t>AL</t>
        </is>
      </c>
      <c r="L34" s="103" t="n"/>
      <c r="M34" s="103" t="n"/>
      <c r="N34" s="104" t="n"/>
      <c r="O34" s="102" t="inlineStr">
        <is>
          <t>AL</t>
        </is>
      </c>
      <c r="P34" s="103" t="n"/>
      <c r="Q34" s="103" t="n"/>
      <c r="R34" s="104" t="n"/>
      <c r="S34" s="102" t="inlineStr">
        <is>
          <t>AL</t>
        </is>
      </c>
      <c r="T34" s="103" t="n"/>
      <c r="U34" s="103" t="n"/>
      <c r="V34" s="104" t="n"/>
      <c r="W34" s="102" t="n"/>
      <c r="X34" s="104" t="n"/>
      <c r="Y34" s="102" t="n"/>
      <c r="Z34" s="104" t="n"/>
      <c r="AB34" s="105">
        <f>IF($B34="","",(COUNTIF(C8:E25,$B34)+COUNTIF(C8:E25,$B34&amp;" ~*")&gt;0)+(COUNTIF(G8:I25,$B34)+COUNTIF(G8:I25,$B34&amp;" ~*")&gt;0)+(COUNTIF(K8:M25,$B34)+COUNTIF(K8:M25,$B34&amp;" ~*")&gt;0)+(COUNTIF(O8:Q25,$B34)+COUNTIF(O8:Q25,$B34&amp;" ~*")&gt;0)+(COUNTIF(S8:U25,$B34)+COUNTIF(S8:U25,$B34&amp;" ~*")&gt;0)+(COUNTIF(W8:W25,$B34)+COUNTIF(W8:W25,$B34&amp;" ~*")&gt;0)+(COUNTIF(Y8:Y25,$B34)+COUNTIF(Y8:Y25,$B34&amp;" ~*")&gt;0))</f>
        <v/>
      </c>
      <c r="AC34" s="38">
        <f>IF($B34="","",(IFERROR(INDEX(Setup!$G$33:$G$40,MATCH(C34,Setup!$B$33:$B$40,0)),0)=1)*(COUNTIF(C8:E25,$B34)+COUNTIF(C8:E25,$B34&amp;" ~*")&gt;0)+(IFERROR(INDEX(Setup!$G$33:$G$40,MATCH(G34,Setup!$B$33:$B$40,0)),0)=1)*(COUNTIF(G8:I25,$B34)+COUNTIF(G8:I25,$B34&amp;" ~*")&gt;0)+(IFERROR(INDEX(Setup!$G$33:$G$40,MATCH(K34,Setup!$B$33:$B$40,0)),0)=1)*(COUNTIF(K8:M25,$B34)+COUNTIF(K8:M25,$B34&amp;" ~*")&gt;0)+(IFERROR(INDEX(Setup!$G$33:$G$40,MATCH(O34,Setup!$B$33:$B$40,0)),0)=1)*(COUNTIF(O8:Q25,$B34)+COUNTIF(O8:Q25,$B34&amp;" ~*")&gt;0)+(IFERROR(INDEX(Setup!$G$33:$G$40,MATCH(S34,Setup!$B$33:$B$40,0)),0)=1)*(COUNTIF(S8:U25,$B34)+COUNTIF(S8:U25,$B34&amp;" ~*")&gt;0)+(IFERROR(INDEX(Setup!$G$33:$G$40,MATCH(W34,Setup!$B$33:$B$40,0)),0)=1)*(COUNTIF(W8:W25,$B34)+COUNTIF(W8:W25,$B34&amp;" ~*")&gt;0)+(IFERROR(INDEX(Setup!$G$33:$G$40,MATCH(Y34,Setup!$B$33:$B$40,0)),0)=1)*(COUNTIF(Y8:Y25,$B34)+COUNTIF(Y8:Y25,$B34&amp;" ~*")&gt;0))</f>
        <v/>
      </c>
    </row>
    <row r="35" ht="15" customHeight="1">
      <c r="A35" t="n">
        <v>1</v>
      </c>
      <c r="B35" s="35">
        <f>IF(Setup!$B$14="","",Setup!$B$14)</f>
        <v/>
      </c>
      <c r="C35" s="98" t="n"/>
      <c r="D35" s="99" t="n"/>
      <c r="E35" s="99" t="n"/>
      <c r="F35" s="100" t="n"/>
      <c r="G35" s="98" t="n"/>
      <c r="H35" s="99" t="n"/>
      <c r="I35" s="99" t="n"/>
      <c r="J35" s="100" t="n"/>
      <c r="K35" s="98" t="n"/>
      <c r="L35" s="99" t="n"/>
      <c r="M35" s="99" t="n"/>
      <c r="N35" s="100" t="n"/>
      <c r="O35" s="98" t="n"/>
      <c r="P35" s="99" t="n"/>
      <c r="Q35" s="99" t="n"/>
      <c r="R35" s="100" t="n"/>
      <c r="S35" s="98" t="n"/>
      <c r="T35" s="99" t="n"/>
      <c r="U35" s="99" t="n"/>
      <c r="V35" s="100" t="n"/>
      <c r="W35" s="98" t="n"/>
      <c r="X35" s="100" t="n"/>
      <c r="Y35" s="98" t="n"/>
      <c r="Z35" s="100" t="n"/>
      <c r="AB35" s="101">
        <f>IF($B35="","",(COUNTIF(C8:E25,$B35)+COUNTIF(C8:E25,$B35&amp;" ~*")&gt;0)+(COUNTIF(G8:I25,$B35)+COUNTIF(G8:I25,$B35&amp;" ~*")&gt;0)+(COUNTIF(K8:M25,$B35)+COUNTIF(K8:M25,$B35&amp;" ~*")&gt;0)+(COUNTIF(O8:Q25,$B35)+COUNTIF(O8:Q25,$B35&amp;" ~*")&gt;0)+(COUNTIF(S8:U25,$B35)+COUNTIF(S8:U25,$B35&amp;" ~*")&gt;0)+(COUNTIF(W8:W25,$B35)+COUNTIF(W8:W25,$B35&amp;" ~*")&gt;0)+(COUNTIF(Y8:Y25,$B35)+COUNTIF(Y8:Y25,$B35&amp;" ~*")&gt;0))</f>
        <v/>
      </c>
      <c r="AC35" s="36">
        <f>IF($B35="","",(IFERROR(INDEX(Setup!$G$33:$G$40,MATCH(C35,Setup!$B$33:$B$40,0)),0)=1)*(COUNTIF(C8:E25,$B35)+COUNTIF(C8:E25,$B35&amp;" ~*")&gt;0)+(IFERROR(INDEX(Setup!$G$33:$G$40,MATCH(G35,Setup!$B$33:$B$40,0)),0)=1)*(COUNTIF(G8:I25,$B35)+COUNTIF(G8:I25,$B35&amp;" ~*")&gt;0)+(IFERROR(INDEX(Setup!$G$33:$G$40,MATCH(K35,Setup!$B$33:$B$40,0)),0)=1)*(COUNTIF(K8:M25,$B35)+COUNTIF(K8:M25,$B35&amp;" ~*")&gt;0)+(IFERROR(INDEX(Setup!$G$33:$G$40,MATCH(O35,Setup!$B$33:$B$40,0)),0)=1)*(COUNTIF(O8:Q25,$B35)+COUNTIF(O8:Q25,$B35&amp;" ~*")&gt;0)+(IFERROR(INDEX(Setup!$G$33:$G$40,MATCH(S35,Setup!$B$33:$B$40,0)),0)=1)*(COUNTIF(S8:U25,$B35)+COUNTIF(S8:U25,$B35&amp;" ~*")&gt;0)+(IFERROR(INDEX(Setup!$G$33:$G$40,MATCH(W35,Setup!$B$33:$B$40,0)),0)=1)*(COUNTIF(W8:W25,$B35)+COUNTIF(W8:W25,$B35&amp;" ~*")&gt;0)+(IFERROR(INDEX(Setup!$G$33:$G$40,MATCH(Y35,Setup!$B$33:$B$40,0)),0)=1)*(COUNTIF(Y8:Y25,$B35)+COUNTIF(Y8:Y25,$B35&amp;" ~*")&gt;0))</f>
        <v/>
      </c>
    </row>
    <row r="36" ht="15" customHeight="1">
      <c r="A36" t="n">
        <v>1</v>
      </c>
      <c r="B36" s="37">
        <f>IF(Setup!$B$15="","",Setup!$B$15)</f>
        <v/>
      </c>
      <c r="C36" s="102" t="n"/>
      <c r="D36" s="103" t="n"/>
      <c r="E36" s="103" t="n"/>
      <c r="F36" s="104" t="n"/>
      <c r="G36" s="102" t="n"/>
      <c r="H36" s="103" t="n"/>
      <c r="I36" s="103" t="n"/>
      <c r="J36" s="104" t="n"/>
      <c r="K36" s="102" t="n"/>
      <c r="L36" s="103" t="n"/>
      <c r="M36" s="103" t="n"/>
      <c r="N36" s="104" t="n"/>
      <c r="O36" s="102" t="n"/>
      <c r="P36" s="103" t="n"/>
      <c r="Q36" s="103" t="n"/>
      <c r="R36" s="104" t="n"/>
      <c r="S36" s="102" t="n"/>
      <c r="T36" s="103" t="n"/>
      <c r="U36" s="103" t="n"/>
      <c r="V36" s="104" t="n"/>
      <c r="W36" s="102" t="n"/>
      <c r="X36" s="104" t="n"/>
      <c r="Y36" s="102" t="n"/>
      <c r="Z36" s="104" t="n"/>
      <c r="AB36" s="105">
        <f>IF($B36="","",(COUNTIF(C8:E25,$B36)+COUNTIF(C8:E25,$B36&amp;" ~*")&gt;0)+(COUNTIF(G8:I25,$B36)+COUNTIF(G8:I25,$B36&amp;" ~*")&gt;0)+(COUNTIF(K8:M25,$B36)+COUNTIF(K8:M25,$B36&amp;" ~*")&gt;0)+(COUNTIF(O8:Q25,$B36)+COUNTIF(O8:Q25,$B36&amp;" ~*")&gt;0)+(COUNTIF(S8:U25,$B36)+COUNTIF(S8:U25,$B36&amp;" ~*")&gt;0)+(COUNTIF(W8:W25,$B36)+COUNTIF(W8:W25,$B36&amp;" ~*")&gt;0)+(COUNTIF(Y8:Y25,$B36)+COUNTIF(Y8:Y25,$B36&amp;" ~*")&gt;0))</f>
        <v/>
      </c>
      <c r="AC36" s="38">
        <f>IF($B36="","",(IFERROR(INDEX(Setup!$G$33:$G$40,MATCH(C36,Setup!$B$33:$B$40,0)),0)=1)*(COUNTIF(C8:E25,$B36)+COUNTIF(C8:E25,$B36&amp;" ~*")&gt;0)+(IFERROR(INDEX(Setup!$G$33:$G$40,MATCH(G36,Setup!$B$33:$B$40,0)),0)=1)*(COUNTIF(G8:I25,$B36)+COUNTIF(G8:I25,$B36&amp;" ~*")&gt;0)+(IFERROR(INDEX(Setup!$G$33:$G$40,MATCH(K36,Setup!$B$33:$B$40,0)),0)=1)*(COUNTIF(K8:M25,$B36)+COUNTIF(K8:M25,$B36&amp;" ~*")&gt;0)+(IFERROR(INDEX(Setup!$G$33:$G$40,MATCH(O36,Setup!$B$33:$B$40,0)),0)=1)*(COUNTIF(O8:Q25,$B36)+COUNTIF(O8:Q25,$B36&amp;" ~*")&gt;0)+(IFERROR(INDEX(Setup!$G$33:$G$40,MATCH(S36,Setup!$B$33:$B$40,0)),0)=1)*(COUNTIF(S8:U25,$B36)+COUNTIF(S8:U25,$B36&amp;" ~*")&gt;0)+(IFERROR(INDEX(Setup!$G$33:$G$40,MATCH(W36,Setup!$B$33:$B$40,0)),0)=1)*(COUNTIF(W8:W25,$B36)+COUNTIF(W8:W25,$B36&amp;" ~*")&gt;0)+(IFERROR(INDEX(Setup!$G$33:$G$40,MATCH(Y36,Setup!$B$33:$B$40,0)),0)=1)*(COUNTIF(Y8:Y25,$B36)+COUNTIF(Y8:Y25,$B36&amp;" ~*")&gt;0))</f>
        <v/>
      </c>
    </row>
    <row r="37" ht="15" customHeight="1">
      <c r="A37" t="n">
        <v>1</v>
      </c>
      <c r="B37" s="35">
        <f>IF(Setup!$B$16="","",Setup!$B$16)</f>
        <v/>
      </c>
      <c r="C37" s="98" t="n"/>
      <c r="D37" s="99" t="n"/>
      <c r="E37" s="99" t="n"/>
      <c r="F37" s="100" t="n"/>
      <c r="G37" s="98" t="n"/>
      <c r="H37" s="99" t="n"/>
      <c r="I37" s="99" t="n"/>
      <c r="J37" s="100" t="n"/>
      <c r="K37" s="98" t="n"/>
      <c r="L37" s="99" t="n"/>
      <c r="M37" s="99" t="n"/>
      <c r="N37" s="100" t="n"/>
      <c r="O37" s="98" t="n"/>
      <c r="P37" s="99" t="n"/>
      <c r="Q37" s="99" t="n"/>
      <c r="R37" s="100" t="n"/>
      <c r="S37" s="98" t="n"/>
      <c r="T37" s="99" t="n"/>
      <c r="U37" s="99" t="n"/>
      <c r="V37" s="100" t="n"/>
      <c r="W37" s="98" t="n"/>
      <c r="X37" s="100" t="n"/>
      <c r="Y37" s="98" t="n"/>
      <c r="Z37" s="100" t="n"/>
      <c r="AB37" s="101">
        <f>IF($B37="","",(COUNTIF(C8:E25,$B37)+COUNTIF(C8:E25,$B37&amp;" ~*")&gt;0)+(COUNTIF(G8:I25,$B37)+COUNTIF(G8:I25,$B37&amp;" ~*")&gt;0)+(COUNTIF(K8:M25,$B37)+COUNTIF(K8:M25,$B37&amp;" ~*")&gt;0)+(COUNTIF(O8:Q25,$B37)+COUNTIF(O8:Q25,$B37&amp;" ~*")&gt;0)+(COUNTIF(S8:U25,$B37)+COUNTIF(S8:U25,$B37&amp;" ~*")&gt;0)+(COUNTIF(W8:W25,$B37)+COUNTIF(W8:W25,$B37&amp;" ~*")&gt;0)+(COUNTIF(Y8:Y25,$B37)+COUNTIF(Y8:Y25,$B37&amp;" ~*")&gt;0))</f>
        <v/>
      </c>
      <c r="AC37" s="36">
        <f>IF($B37="","",(IFERROR(INDEX(Setup!$G$33:$G$40,MATCH(C37,Setup!$B$33:$B$40,0)),0)=1)*(COUNTIF(C8:E25,$B37)+COUNTIF(C8:E25,$B37&amp;" ~*")&gt;0)+(IFERROR(INDEX(Setup!$G$33:$G$40,MATCH(G37,Setup!$B$33:$B$40,0)),0)=1)*(COUNTIF(G8:I25,$B37)+COUNTIF(G8:I25,$B37&amp;" ~*")&gt;0)+(IFERROR(INDEX(Setup!$G$33:$G$40,MATCH(K37,Setup!$B$33:$B$40,0)),0)=1)*(COUNTIF(K8:M25,$B37)+COUNTIF(K8:M25,$B37&amp;" ~*")&gt;0)+(IFERROR(INDEX(Setup!$G$33:$G$40,MATCH(O37,Setup!$B$33:$B$40,0)),0)=1)*(COUNTIF(O8:Q25,$B37)+COUNTIF(O8:Q25,$B37&amp;" ~*")&gt;0)+(IFERROR(INDEX(Setup!$G$33:$G$40,MATCH(S37,Setup!$B$33:$B$40,0)),0)=1)*(COUNTIF(S8:U25,$B37)+COUNTIF(S8:U25,$B37&amp;" ~*")&gt;0)+(IFERROR(INDEX(Setup!$G$33:$G$40,MATCH(W37,Setup!$B$33:$B$40,0)),0)=1)*(COUNTIF(W8:W25,$B37)+COUNTIF(W8:W25,$B37&amp;" ~*")&gt;0)+(IFERROR(INDEX(Setup!$G$33:$G$40,MATCH(Y37,Setup!$B$33:$B$40,0)),0)=1)*(COUNTIF(Y8:Y25,$B37)+COUNTIF(Y8:Y25,$B37&amp;" ~*")&gt;0))</f>
        <v/>
      </c>
    </row>
    <row r="38" ht="15" customHeight="1">
      <c r="A38" t="n">
        <v>1</v>
      </c>
      <c r="B38" s="37">
        <f>IF(Setup!$B$17="","",Setup!$B$17)</f>
        <v/>
      </c>
      <c r="C38" s="102" t="n"/>
      <c r="D38" s="103" t="n"/>
      <c r="E38" s="103" t="n"/>
      <c r="F38" s="104" t="n"/>
      <c r="G38" s="102" t="n"/>
      <c r="H38" s="103" t="n"/>
      <c r="I38" s="103" t="n"/>
      <c r="J38" s="104" t="n"/>
      <c r="K38" s="102" t="n"/>
      <c r="L38" s="103" t="n"/>
      <c r="M38" s="103" t="n"/>
      <c r="N38" s="104" t="n"/>
      <c r="O38" s="102" t="n"/>
      <c r="P38" s="103" t="n"/>
      <c r="Q38" s="103" t="n"/>
      <c r="R38" s="104" t="n"/>
      <c r="S38" s="102" t="n"/>
      <c r="T38" s="103" t="n"/>
      <c r="U38" s="103" t="n"/>
      <c r="V38" s="104" t="n"/>
      <c r="W38" s="102" t="n"/>
      <c r="X38" s="104" t="n"/>
      <c r="Y38" s="102" t="n"/>
      <c r="Z38" s="104" t="n"/>
      <c r="AB38" s="105">
        <f>IF($B38="","",(COUNTIF(C8:E25,$B38)+COUNTIF(C8:E25,$B38&amp;" ~*")&gt;0)+(COUNTIF(G8:I25,$B38)+COUNTIF(G8:I25,$B38&amp;" ~*")&gt;0)+(COUNTIF(K8:M25,$B38)+COUNTIF(K8:M25,$B38&amp;" ~*")&gt;0)+(COUNTIF(O8:Q25,$B38)+COUNTIF(O8:Q25,$B38&amp;" ~*")&gt;0)+(COUNTIF(S8:U25,$B38)+COUNTIF(S8:U25,$B38&amp;" ~*")&gt;0)+(COUNTIF(W8:W25,$B38)+COUNTIF(W8:W25,$B38&amp;" ~*")&gt;0)+(COUNTIF(Y8:Y25,$B38)+COUNTIF(Y8:Y25,$B38&amp;" ~*")&gt;0))</f>
        <v/>
      </c>
      <c r="AC38" s="38">
        <f>IF($B38="","",(IFERROR(INDEX(Setup!$G$33:$G$40,MATCH(C38,Setup!$B$33:$B$40,0)),0)=1)*(COUNTIF(C8:E25,$B38)+COUNTIF(C8:E25,$B38&amp;" ~*")&gt;0)+(IFERROR(INDEX(Setup!$G$33:$G$40,MATCH(G38,Setup!$B$33:$B$40,0)),0)=1)*(COUNTIF(G8:I25,$B38)+COUNTIF(G8:I25,$B38&amp;" ~*")&gt;0)+(IFERROR(INDEX(Setup!$G$33:$G$40,MATCH(K38,Setup!$B$33:$B$40,0)),0)=1)*(COUNTIF(K8:M25,$B38)+COUNTIF(K8:M25,$B38&amp;" ~*")&gt;0)+(IFERROR(INDEX(Setup!$G$33:$G$40,MATCH(O38,Setup!$B$33:$B$40,0)),0)=1)*(COUNTIF(O8:Q25,$B38)+COUNTIF(O8:Q25,$B38&amp;" ~*")&gt;0)+(IFERROR(INDEX(Setup!$G$33:$G$40,MATCH(S38,Setup!$B$33:$B$40,0)),0)=1)*(COUNTIF(S8:U25,$B38)+COUNTIF(S8:U25,$B38&amp;" ~*")&gt;0)+(IFERROR(INDEX(Setup!$G$33:$G$40,MATCH(W38,Setup!$B$33:$B$40,0)),0)=1)*(COUNTIF(W8:W25,$B38)+COUNTIF(W8:W25,$B38&amp;" ~*")&gt;0)+(IFERROR(INDEX(Setup!$G$33:$G$40,MATCH(Y38,Setup!$B$33:$B$40,0)),0)=1)*(COUNTIF(Y8:Y25,$B38)+COUNTIF(Y8:Y25,$B38&amp;" ~*")&gt;0))</f>
        <v/>
      </c>
    </row>
    <row r="39" ht="15" customHeight="1">
      <c r="A39" t="n">
        <v>1</v>
      </c>
      <c r="B39" s="35">
        <f>IF(Setup!$B$18="","",Setup!$B$18)</f>
        <v/>
      </c>
      <c r="C39" s="98" t="n"/>
      <c r="D39" s="99" t="n"/>
      <c r="E39" s="99" t="n"/>
      <c r="F39" s="100" t="n"/>
      <c r="G39" s="98" t="n"/>
      <c r="H39" s="99" t="n"/>
      <c r="I39" s="99" t="n"/>
      <c r="J39" s="100" t="n"/>
      <c r="K39" s="98" t="n"/>
      <c r="L39" s="99" t="n"/>
      <c r="M39" s="99" t="n"/>
      <c r="N39" s="100" t="n"/>
      <c r="O39" s="98" t="n"/>
      <c r="P39" s="99" t="n"/>
      <c r="Q39" s="99" t="n"/>
      <c r="R39" s="100" t="n"/>
      <c r="S39" s="98" t="n"/>
      <c r="T39" s="99" t="n"/>
      <c r="U39" s="99" t="n"/>
      <c r="V39" s="100" t="n"/>
      <c r="W39" s="98" t="n"/>
      <c r="X39" s="100" t="n"/>
      <c r="Y39" s="98" t="n"/>
      <c r="Z39" s="100" t="n"/>
      <c r="AB39" s="101">
        <f>IF($B39="","",(COUNTIF(C8:E25,$B39)+COUNTIF(C8:E25,$B39&amp;" ~*")&gt;0)+(COUNTIF(G8:I25,$B39)+COUNTIF(G8:I25,$B39&amp;" ~*")&gt;0)+(COUNTIF(K8:M25,$B39)+COUNTIF(K8:M25,$B39&amp;" ~*")&gt;0)+(COUNTIF(O8:Q25,$B39)+COUNTIF(O8:Q25,$B39&amp;" ~*")&gt;0)+(COUNTIF(S8:U25,$B39)+COUNTIF(S8:U25,$B39&amp;" ~*")&gt;0)+(COUNTIF(W8:W25,$B39)+COUNTIF(W8:W25,$B39&amp;" ~*")&gt;0)+(COUNTIF(Y8:Y25,$B39)+COUNTIF(Y8:Y25,$B39&amp;" ~*")&gt;0))</f>
        <v/>
      </c>
      <c r="AC39" s="36">
        <f>IF($B39="","",(IFERROR(INDEX(Setup!$G$33:$G$40,MATCH(C39,Setup!$B$33:$B$40,0)),0)=1)*(COUNTIF(C8:E25,$B39)+COUNTIF(C8:E25,$B39&amp;" ~*")&gt;0)+(IFERROR(INDEX(Setup!$G$33:$G$40,MATCH(G39,Setup!$B$33:$B$40,0)),0)=1)*(COUNTIF(G8:I25,$B39)+COUNTIF(G8:I25,$B39&amp;" ~*")&gt;0)+(IFERROR(INDEX(Setup!$G$33:$G$40,MATCH(K39,Setup!$B$33:$B$40,0)),0)=1)*(COUNTIF(K8:M25,$B39)+COUNTIF(K8:M25,$B39&amp;" ~*")&gt;0)+(IFERROR(INDEX(Setup!$G$33:$G$40,MATCH(O39,Setup!$B$33:$B$40,0)),0)=1)*(COUNTIF(O8:Q25,$B39)+COUNTIF(O8:Q25,$B39&amp;" ~*")&gt;0)+(IFERROR(INDEX(Setup!$G$33:$G$40,MATCH(S39,Setup!$B$33:$B$40,0)),0)=1)*(COUNTIF(S8:U25,$B39)+COUNTIF(S8:U25,$B39&amp;" ~*")&gt;0)+(IFERROR(INDEX(Setup!$G$33:$G$40,MATCH(W39,Setup!$B$33:$B$40,0)),0)=1)*(COUNTIF(W8:W25,$B39)+COUNTIF(W8:W25,$B39&amp;" ~*")&gt;0)+(IFERROR(INDEX(Setup!$G$33:$G$40,MATCH(Y39,Setup!$B$33:$B$40,0)),0)=1)*(COUNTIF(Y8:Y25,$B39)+COUNTIF(Y8:Y25,$B39&amp;" ~*")&gt;0))</f>
        <v/>
      </c>
    </row>
    <row r="40" ht="15" customHeight="1">
      <c r="A40" t="n">
        <v>1</v>
      </c>
      <c r="B40" s="37">
        <f>IF(Setup!$B$19="","",Setup!$B$19)</f>
        <v/>
      </c>
      <c r="C40" s="102" t="n"/>
      <c r="D40" s="103" t="n"/>
      <c r="E40" s="103" t="n"/>
      <c r="F40" s="104" t="n"/>
      <c r="G40" s="102" t="n"/>
      <c r="H40" s="103" t="n"/>
      <c r="I40" s="103" t="n"/>
      <c r="J40" s="104" t="n"/>
      <c r="K40" s="102" t="n"/>
      <c r="L40" s="103" t="n"/>
      <c r="M40" s="103" t="n"/>
      <c r="N40" s="104" t="n"/>
      <c r="O40" s="102" t="n"/>
      <c r="P40" s="103" t="n"/>
      <c r="Q40" s="103" t="n"/>
      <c r="R40" s="104" t="n"/>
      <c r="S40" s="102" t="n"/>
      <c r="T40" s="103" t="n"/>
      <c r="U40" s="103" t="n"/>
      <c r="V40" s="104" t="n"/>
      <c r="W40" s="102" t="n"/>
      <c r="X40" s="104" t="n"/>
      <c r="Y40" s="102" t="n"/>
      <c r="Z40" s="104" t="n"/>
      <c r="AB40" s="105">
        <f>IF($B40="","",(COUNTIF(C8:E25,$B40)+COUNTIF(C8:E25,$B40&amp;" ~*")&gt;0)+(COUNTIF(G8:I25,$B40)+COUNTIF(G8:I25,$B40&amp;" ~*")&gt;0)+(COUNTIF(K8:M25,$B40)+COUNTIF(K8:M25,$B40&amp;" ~*")&gt;0)+(COUNTIF(O8:Q25,$B40)+COUNTIF(O8:Q25,$B40&amp;" ~*")&gt;0)+(COUNTIF(S8:U25,$B40)+COUNTIF(S8:U25,$B40&amp;" ~*")&gt;0)+(COUNTIF(W8:W25,$B40)+COUNTIF(W8:W25,$B40&amp;" ~*")&gt;0)+(COUNTIF(Y8:Y25,$B40)+COUNTIF(Y8:Y25,$B40&amp;" ~*")&gt;0))</f>
        <v/>
      </c>
      <c r="AC40" s="38">
        <f>IF($B40="","",(IFERROR(INDEX(Setup!$G$33:$G$40,MATCH(C40,Setup!$B$33:$B$40,0)),0)=1)*(COUNTIF(C8:E25,$B40)+COUNTIF(C8:E25,$B40&amp;" ~*")&gt;0)+(IFERROR(INDEX(Setup!$G$33:$G$40,MATCH(G40,Setup!$B$33:$B$40,0)),0)=1)*(COUNTIF(G8:I25,$B40)+COUNTIF(G8:I25,$B40&amp;" ~*")&gt;0)+(IFERROR(INDEX(Setup!$G$33:$G$40,MATCH(K40,Setup!$B$33:$B$40,0)),0)=1)*(COUNTIF(K8:M25,$B40)+COUNTIF(K8:M25,$B40&amp;" ~*")&gt;0)+(IFERROR(INDEX(Setup!$G$33:$G$40,MATCH(O40,Setup!$B$33:$B$40,0)),0)=1)*(COUNTIF(O8:Q25,$B40)+COUNTIF(O8:Q25,$B40&amp;" ~*")&gt;0)+(IFERROR(INDEX(Setup!$G$33:$G$40,MATCH(S40,Setup!$B$33:$B$40,0)),0)=1)*(COUNTIF(S8:U25,$B40)+COUNTIF(S8:U25,$B40&amp;" ~*")&gt;0)+(IFERROR(INDEX(Setup!$G$33:$G$40,MATCH(W40,Setup!$B$33:$B$40,0)),0)=1)*(COUNTIF(W8:W25,$B40)+COUNTIF(W8:W25,$B40&amp;" ~*")&gt;0)+(IFERROR(INDEX(Setup!$G$33:$G$40,MATCH(Y40,Setup!$B$33:$B$40,0)),0)=1)*(COUNTIF(Y8:Y25,$B40)+COUNTIF(Y8:Y25,$B40&amp;" ~*")&gt;0))</f>
        <v/>
      </c>
    </row>
    <row r="41" ht="15" customHeight="1">
      <c r="A41" t="n">
        <v>1</v>
      </c>
      <c r="B41" s="35">
        <f>IF(Setup!$B$20="","",Setup!$B$20)</f>
        <v/>
      </c>
      <c r="C41" s="98" t="n"/>
      <c r="D41" s="99" t="n"/>
      <c r="E41" s="99" t="n"/>
      <c r="F41" s="100" t="n"/>
      <c r="G41" s="98" t="n"/>
      <c r="H41" s="99" t="n"/>
      <c r="I41" s="99" t="n"/>
      <c r="J41" s="100" t="n"/>
      <c r="K41" s="98" t="n"/>
      <c r="L41" s="99" t="n"/>
      <c r="M41" s="99" t="n"/>
      <c r="N41" s="100" t="n"/>
      <c r="O41" s="98" t="n"/>
      <c r="P41" s="99" t="n"/>
      <c r="Q41" s="99" t="n"/>
      <c r="R41" s="100" t="n"/>
      <c r="S41" s="98" t="n"/>
      <c r="T41" s="99" t="n"/>
      <c r="U41" s="99" t="n"/>
      <c r="V41" s="100" t="n"/>
      <c r="W41" s="98" t="n"/>
      <c r="X41" s="100" t="n"/>
      <c r="Y41" s="98" t="n"/>
      <c r="Z41" s="100" t="n"/>
      <c r="AB41" s="101">
        <f>IF($B41="","",(COUNTIF(C8:E25,$B41)+COUNTIF(C8:E25,$B41&amp;" ~*")&gt;0)+(COUNTIF(G8:I25,$B41)+COUNTIF(G8:I25,$B41&amp;" ~*")&gt;0)+(COUNTIF(K8:M25,$B41)+COUNTIF(K8:M25,$B41&amp;" ~*")&gt;0)+(COUNTIF(O8:Q25,$B41)+COUNTIF(O8:Q25,$B41&amp;" ~*")&gt;0)+(COUNTIF(S8:U25,$B41)+COUNTIF(S8:U25,$B41&amp;" ~*")&gt;0)+(COUNTIF(W8:W25,$B41)+COUNTIF(W8:W25,$B41&amp;" ~*")&gt;0)+(COUNTIF(Y8:Y25,$B41)+COUNTIF(Y8:Y25,$B41&amp;" ~*")&gt;0))</f>
        <v/>
      </c>
      <c r="AC41" s="36">
        <f>IF($B41="","",(IFERROR(INDEX(Setup!$G$33:$G$40,MATCH(C41,Setup!$B$33:$B$40,0)),0)=1)*(COUNTIF(C8:E25,$B41)+COUNTIF(C8:E25,$B41&amp;" ~*")&gt;0)+(IFERROR(INDEX(Setup!$G$33:$G$40,MATCH(G41,Setup!$B$33:$B$40,0)),0)=1)*(COUNTIF(G8:I25,$B41)+COUNTIF(G8:I25,$B41&amp;" ~*")&gt;0)+(IFERROR(INDEX(Setup!$G$33:$G$40,MATCH(K41,Setup!$B$33:$B$40,0)),0)=1)*(COUNTIF(K8:M25,$B41)+COUNTIF(K8:M25,$B41&amp;" ~*")&gt;0)+(IFERROR(INDEX(Setup!$G$33:$G$40,MATCH(O41,Setup!$B$33:$B$40,0)),0)=1)*(COUNTIF(O8:Q25,$B41)+COUNTIF(O8:Q25,$B41&amp;" ~*")&gt;0)+(IFERROR(INDEX(Setup!$G$33:$G$40,MATCH(S41,Setup!$B$33:$B$40,0)),0)=1)*(COUNTIF(S8:U25,$B41)+COUNTIF(S8:U25,$B41&amp;" ~*")&gt;0)+(IFERROR(INDEX(Setup!$G$33:$G$40,MATCH(W41,Setup!$B$33:$B$40,0)),0)=1)*(COUNTIF(W8:W25,$B41)+COUNTIF(W8:W25,$B41&amp;" ~*")&gt;0)+(IFERROR(INDEX(Setup!$G$33:$G$40,MATCH(Y41,Setup!$B$33:$B$40,0)),0)=1)*(COUNTIF(Y8:Y25,$B41)+COUNTIF(Y8:Y25,$B41&amp;" ~*")&gt;0))</f>
        <v/>
      </c>
    </row>
    <row r="42" ht="15" customHeight="1">
      <c r="A42" t="n">
        <v>1</v>
      </c>
      <c r="B42" s="37">
        <f>IF(Setup!$B$21="","",Setup!$B$21)</f>
        <v/>
      </c>
      <c r="C42" s="102" t="n"/>
      <c r="D42" s="103" t="n"/>
      <c r="E42" s="103" t="n"/>
      <c r="F42" s="104" t="n"/>
      <c r="G42" s="102" t="n"/>
      <c r="H42" s="103" t="n"/>
      <c r="I42" s="103" t="n"/>
      <c r="J42" s="104" t="n"/>
      <c r="K42" s="102" t="n"/>
      <c r="L42" s="103" t="n"/>
      <c r="M42" s="103" t="n"/>
      <c r="N42" s="104" t="n"/>
      <c r="O42" s="102" t="n"/>
      <c r="P42" s="103" t="n"/>
      <c r="Q42" s="103" t="n"/>
      <c r="R42" s="104" t="n"/>
      <c r="S42" s="102" t="n"/>
      <c r="T42" s="103" t="n"/>
      <c r="U42" s="103" t="n"/>
      <c r="V42" s="104" t="n"/>
      <c r="W42" s="102" t="n"/>
      <c r="X42" s="104" t="n"/>
      <c r="Y42" s="102" t="n"/>
      <c r="Z42" s="104" t="n"/>
      <c r="AB42" s="105">
        <f>IF($B42="","",(COUNTIF(C8:E25,$B42)+COUNTIF(C8:E25,$B42&amp;" ~*")&gt;0)+(COUNTIF(G8:I25,$B42)+COUNTIF(G8:I25,$B42&amp;" ~*")&gt;0)+(COUNTIF(K8:M25,$B42)+COUNTIF(K8:M25,$B42&amp;" ~*")&gt;0)+(COUNTIF(O8:Q25,$B42)+COUNTIF(O8:Q25,$B42&amp;" ~*")&gt;0)+(COUNTIF(S8:U25,$B42)+COUNTIF(S8:U25,$B42&amp;" ~*")&gt;0)+(COUNTIF(W8:W25,$B42)+COUNTIF(W8:W25,$B42&amp;" ~*")&gt;0)+(COUNTIF(Y8:Y25,$B42)+COUNTIF(Y8:Y25,$B42&amp;" ~*")&gt;0))</f>
        <v/>
      </c>
      <c r="AC42" s="38">
        <f>IF($B42="","",(IFERROR(INDEX(Setup!$G$33:$G$40,MATCH(C42,Setup!$B$33:$B$40,0)),0)=1)*(COUNTIF(C8:E25,$B42)+COUNTIF(C8:E25,$B42&amp;" ~*")&gt;0)+(IFERROR(INDEX(Setup!$G$33:$G$40,MATCH(G42,Setup!$B$33:$B$40,0)),0)=1)*(COUNTIF(G8:I25,$B42)+COUNTIF(G8:I25,$B42&amp;" ~*")&gt;0)+(IFERROR(INDEX(Setup!$G$33:$G$40,MATCH(K42,Setup!$B$33:$B$40,0)),0)=1)*(COUNTIF(K8:M25,$B42)+COUNTIF(K8:M25,$B42&amp;" ~*")&gt;0)+(IFERROR(INDEX(Setup!$G$33:$G$40,MATCH(O42,Setup!$B$33:$B$40,0)),0)=1)*(COUNTIF(O8:Q25,$B42)+COUNTIF(O8:Q25,$B42&amp;" ~*")&gt;0)+(IFERROR(INDEX(Setup!$G$33:$G$40,MATCH(S42,Setup!$B$33:$B$40,0)),0)=1)*(COUNTIF(S8:U25,$B42)+COUNTIF(S8:U25,$B42&amp;" ~*")&gt;0)+(IFERROR(INDEX(Setup!$G$33:$G$40,MATCH(W42,Setup!$B$33:$B$40,0)),0)=1)*(COUNTIF(W8:W25,$B42)+COUNTIF(W8:W25,$B42&amp;" ~*")&gt;0)+(IFERROR(INDEX(Setup!$G$33:$G$40,MATCH(Y42,Setup!$B$33:$B$40,0)),0)=1)*(COUNTIF(Y8:Y25,$B42)+COUNTIF(Y8:Y25,$B42&amp;" ~*")&gt;0))</f>
        <v/>
      </c>
    </row>
    <row r="43" ht="15" customHeight="1">
      <c r="A43" t="n">
        <v>1</v>
      </c>
      <c r="B43" s="35">
        <f>IF(Setup!$B$22="","",Setup!$B$22)</f>
        <v/>
      </c>
      <c r="C43" s="98" t="inlineStr">
        <is>
          <t>AL</t>
        </is>
      </c>
      <c r="D43" s="99" t="n"/>
      <c r="E43" s="99" t="n"/>
      <c r="F43" s="100" t="n"/>
      <c r="G43" s="98" t="n"/>
      <c r="H43" s="99" t="n"/>
      <c r="I43" s="99" t="n"/>
      <c r="J43" s="100" t="n"/>
      <c r="K43" s="98" t="n"/>
      <c r="L43" s="99" t="n"/>
      <c r="M43" s="99" t="n"/>
      <c r="N43" s="100" t="n"/>
      <c r="O43" s="98" t="n"/>
      <c r="P43" s="99" t="n"/>
      <c r="Q43" s="99" t="n"/>
      <c r="R43" s="100" t="n"/>
      <c r="S43" s="98" t="n"/>
      <c r="T43" s="99" t="n"/>
      <c r="U43" s="99" t="n"/>
      <c r="V43" s="100" t="n"/>
      <c r="W43" s="98" t="n"/>
      <c r="X43" s="100" t="n"/>
      <c r="Y43" s="98" t="n"/>
      <c r="Z43" s="100" t="n"/>
      <c r="AB43" s="101">
        <f>IF($B43="","",(COUNTIF(C8:E25,$B43)+COUNTIF(C8:E25,$B43&amp;" ~*")&gt;0)+(COUNTIF(G8:I25,$B43)+COUNTIF(G8:I25,$B43&amp;" ~*")&gt;0)+(COUNTIF(K8:M25,$B43)+COUNTIF(K8:M25,$B43&amp;" ~*")&gt;0)+(COUNTIF(O8:Q25,$B43)+COUNTIF(O8:Q25,$B43&amp;" ~*")&gt;0)+(COUNTIF(S8:U25,$B43)+COUNTIF(S8:U25,$B43&amp;" ~*")&gt;0)+(COUNTIF(W8:W25,$B43)+COUNTIF(W8:W25,$B43&amp;" ~*")&gt;0)+(COUNTIF(Y8:Y25,$B43)+COUNTIF(Y8:Y25,$B43&amp;" ~*")&gt;0))</f>
        <v/>
      </c>
      <c r="AC43" s="36">
        <f>IF($B43="","",(IFERROR(INDEX(Setup!$G$33:$G$40,MATCH(C43,Setup!$B$33:$B$40,0)),0)=1)*(COUNTIF(C8:E25,$B43)+COUNTIF(C8:E25,$B43&amp;" ~*")&gt;0)+(IFERROR(INDEX(Setup!$G$33:$G$40,MATCH(G43,Setup!$B$33:$B$40,0)),0)=1)*(COUNTIF(G8:I25,$B43)+COUNTIF(G8:I25,$B43&amp;" ~*")&gt;0)+(IFERROR(INDEX(Setup!$G$33:$G$40,MATCH(K43,Setup!$B$33:$B$40,0)),0)=1)*(COUNTIF(K8:M25,$B43)+COUNTIF(K8:M25,$B43&amp;" ~*")&gt;0)+(IFERROR(INDEX(Setup!$G$33:$G$40,MATCH(O43,Setup!$B$33:$B$40,0)),0)=1)*(COUNTIF(O8:Q25,$B43)+COUNTIF(O8:Q25,$B43&amp;" ~*")&gt;0)+(IFERROR(INDEX(Setup!$G$33:$G$40,MATCH(S43,Setup!$B$33:$B$40,0)),0)=1)*(COUNTIF(S8:U25,$B43)+COUNTIF(S8:U25,$B43&amp;" ~*")&gt;0)+(IFERROR(INDEX(Setup!$G$33:$G$40,MATCH(W43,Setup!$B$33:$B$40,0)),0)=1)*(COUNTIF(W8:W25,$B43)+COUNTIF(W8:W25,$B43&amp;" ~*")&gt;0)+(IFERROR(INDEX(Setup!$G$33:$G$40,MATCH(Y43,Setup!$B$33:$B$40,0)),0)=1)*(COUNTIF(Y8:Y25,$B43)+COUNTIF(Y8:Y25,$B43&amp;" ~*")&gt;0))</f>
        <v/>
      </c>
    </row>
    <row r="44" ht="15" customHeight="1">
      <c r="A44" t="n">
        <v>1</v>
      </c>
      <c r="B44" s="37">
        <f>IF(Setup!$B$23="","",Setup!$B$23)</f>
        <v/>
      </c>
      <c r="C44" s="102" t="n"/>
      <c r="D44" s="103" t="n"/>
      <c r="E44" s="103" t="n"/>
      <c r="F44" s="104" t="n"/>
      <c r="G44" s="102" t="n"/>
      <c r="H44" s="103" t="n"/>
      <c r="I44" s="103" t="n"/>
      <c r="J44" s="104" t="n"/>
      <c r="K44" s="102" t="n"/>
      <c r="L44" s="103" t="n"/>
      <c r="M44" s="103" t="n"/>
      <c r="N44" s="104" t="n"/>
      <c r="O44" s="102" t="n"/>
      <c r="P44" s="103" t="n"/>
      <c r="Q44" s="103" t="n"/>
      <c r="R44" s="104" t="n"/>
      <c r="S44" s="102" t="n"/>
      <c r="T44" s="103" t="n"/>
      <c r="U44" s="103" t="n"/>
      <c r="V44" s="104" t="n"/>
      <c r="W44" s="102" t="n"/>
      <c r="X44" s="104" t="n"/>
      <c r="Y44" s="102" t="n"/>
      <c r="Z44" s="104" t="n"/>
      <c r="AB44" s="105">
        <f>IF($B44="","",(COUNTIF(C8:E25,$B44)+COUNTIF(C8:E25,$B44&amp;" ~*")&gt;0)+(COUNTIF(G8:I25,$B44)+COUNTIF(G8:I25,$B44&amp;" ~*")&gt;0)+(COUNTIF(K8:M25,$B44)+COUNTIF(K8:M25,$B44&amp;" ~*")&gt;0)+(COUNTIF(O8:Q25,$B44)+COUNTIF(O8:Q25,$B44&amp;" ~*")&gt;0)+(COUNTIF(S8:U25,$B44)+COUNTIF(S8:U25,$B44&amp;" ~*")&gt;0)+(COUNTIF(W8:W25,$B44)+COUNTIF(W8:W25,$B44&amp;" ~*")&gt;0)+(COUNTIF(Y8:Y25,$B44)+COUNTIF(Y8:Y25,$B44&amp;" ~*")&gt;0))</f>
        <v/>
      </c>
      <c r="AC44" s="38">
        <f>IF($B44="","",(IFERROR(INDEX(Setup!$G$33:$G$40,MATCH(C44,Setup!$B$33:$B$40,0)),0)=1)*(COUNTIF(C8:E25,$B44)+COUNTIF(C8:E25,$B44&amp;" ~*")&gt;0)+(IFERROR(INDEX(Setup!$G$33:$G$40,MATCH(G44,Setup!$B$33:$B$40,0)),0)=1)*(COUNTIF(G8:I25,$B44)+COUNTIF(G8:I25,$B44&amp;" ~*")&gt;0)+(IFERROR(INDEX(Setup!$G$33:$G$40,MATCH(K44,Setup!$B$33:$B$40,0)),0)=1)*(COUNTIF(K8:M25,$B44)+COUNTIF(K8:M25,$B44&amp;" ~*")&gt;0)+(IFERROR(INDEX(Setup!$G$33:$G$40,MATCH(O44,Setup!$B$33:$B$40,0)),0)=1)*(COUNTIF(O8:Q25,$B44)+COUNTIF(O8:Q25,$B44&amp;" ~*")&gt;0)+(IFERROR(INDEX(Setup!$G$33:$G$40,MATCH(S44,Setup!$B$33:$B$40,0)),0)=1)*(COUNTIF(S8:U25,$B44)+COUNTIF(S8:U25,$B44&amp;" ~*")&gt;0)+(IFERROR(INDEX(Setup!$G$33:$G$40,MATCH(W44,Setup!$B$33:$B$40,0)),0)=1)*(COUNTIF(W8:W25,$B44)+COUNTIF(W8:W25,$B44&amp;" ~*")&gt;0)+(IFERROR(INDEX(Setup!$G$33:$G$40,MATCH(Y44,Setup!$B$33:$B$40,0)),0)=1)*(COUNTIF(Y8:Y25,$B44)+COUNTIF(Y8:Y25,$B44&amp;" ~*")&gt;0))</f>
        <v/>
      </c>
    </row>
    <row r="45" ht="15" customHeight="1">
      <c r="A45" t="n">
        <v>1</v>
      </c>
      <c r="B45" s="35">
        <f>IF(Setup!$B$24="","",Setup!$B$24)</f>
        <v/>
      </c>
      <c r="C45" s="98" t="n"/>
      <c r="D45" s="99" t="n"/>
      <c r="E45" s="99" t="n"/>
      <c r="F45" s="100" t="n"/>
      <c r="G45" s="98" t="n"/>
      <c r="H45" s="99" t="n"/>
      <c r="I45" s="99" t="n"/>
      <c r="J45" s="100" t="n"/>
      <c r="K45" s="98" t="n"/>
      <c r="L45" s="99" t="n"/>
      <c r="M45" s="99" t="n"/>
      <c r="N45" s="100" t="n"/>
      <c r="O45" s="98" t="n"/>
      <c r="P45" s="99" t="n"/>
      <c r="Q45" s="99" t="n"/>
      <c r="R45" s="100" t="n"/>
      <c r="S45" s="98" t="n"/>
      <c r="T45" s="99" t="n"/>
      <c r="U45" s="99" t="n"/>
      <c r="V45" s="100" t="n"/>
      <c r="W45" s="98" t="n"/>
      <c r="X45" s="100" t="n"/>
      <c r="Y45" s="98" t="n"/>
      <c r="Z45" s="100" t="n"/>
      <c r="AB45" s="101">
        <f>IF($B45="","",(COUNTIF(C8:E25,$B45)+COUNTIF(C8:E25,$B45&amp;" ~*")&gt;0)+(COUNTIF(G8:I25,$B45)+COUNTIF(G8:I25,$B45&amp;" ~*")&gt;0)+(COUNTIF(K8:M25,$B45)+COUNTIF(K8:M25,$B45&amp;" ~*")&gt;0)+(COUNTIF(O8:Q25,$B45)+COUNTIF(O8:Q25,$B45&amp;" ~*")&gt;0)+(COUNTIF(S8:U25,$B45)+COUNTIF(S8:U25,$B45&amp;" ~*")&gt;0)+(COUNTIF(W8:W25,$B45)+COUNTIF(W8:W25,$B45&amp;" ~*")&gt;0)+(COUNTIF(Y8:Y25,$B45)+COUNTIF(Y8:Y25,$B45&amp;" ~*")&gt;0))</f>
        <v/>
      </c>
      <c r="AC45" s="36">
        <f>IF($B45="","",(IFERROR(INDEX(Setup!$G$33:$G$40,MATCH(C45,Setup!$B$33:$B$40,0)),0)=1)*(COUNTIF(C8:E25,$B45)+COUNTIF(C8:E25,$B45&amp;" ~*")&gt;0)+(IFERROR(INDEX(Setup!$G$33:$G$40,MATCH(G45,Setup!$B$33:$B$40,0)),0)=1)*(COUNTIF(G8:I25,$B45)+COUNTIF(G8:I25,$B45&amp;" ~*")&gt;0)+(IFERROR(INDEX(Setup!$G$33:$G$40,MATCH(K45,Setup!$B$33:$B$40,0)),0)=1)*(COUNTIF(K8:M25,$B45)+COUNTIF(K8:M25,$B45&amp;" ~*")&gt;0)+(IFERROR(INDEX(Setup!$G$33:$G$40,MATCH(O45,Setup!$B$33:$B$40,0)),0)=1)*(COUNTIF(O8:Q25,$B45)+COUNTIF(O8:Q25,$B45&amp;" ~*")&gt;0)+(IFERROR(INDEX(Setup!$G$33:$G$40,MATCH(S45,Setup!$B$33:$B$40,0)),0)=1)*(COUNTIF(S8:U25,$B45)+COUNTIF(S8:U25,$B45&amp;" ~*")&gt;0)+(IFERROR(INDEX(Setup!$G$33:$G$40,MATCH(W45,Setup!$B$33:$B$40,0)),0)=1)*(COUNTIF(W8:W25,$B45)+COUNTIF(W8:W25,$B45&amp;" ~*")&gt;0)+(IFERROR(INDEX(Setup!$G$33:$G$40,MATCH(Y45,Setup!$B$33:$B$40,0)),0)=1)*(COUNTIF(Y8:Y25,$B45)+COUNTIF(Y8:Y25,$B45&amp;" ~*")&gt;0))</f>
        <v/>
      </c>
    </row>
    <row r="46" ht="15" customHeight="1">
      <c r="A46" t="n">
        <v>1</v>
      </c>
      <c r="B46" s="37">
        <f>IF(Setup!$B$25="","",Setup!$B$25)</f>
        <v/>
      </c>
      <c r="C46" s="102" t="n"/>
      <c r="D46" s="103" t="n"/>
      <c r="E46" s="103" t="n"/>
      <c r="F46" s="104" t="n"/>
      <c r="G46" s="102" t="n"/>
      <c r="H46" s="103" t="n"/>
      <c r="I46" s="103" t="n"/>
      <c r="J46" s="104" t="n"/>
      <c r="K46" s="102" t="n"/>
      <c r="L46" s="103" t="n"/>
      <c r="M46" s="103" t="n"/>
      <c r="N46" s="104" t="n"/>
      <c r="O46" s="102" t="n"/>
      <c r="P46" s="103" t="n"/>
      <c r="Q46" s="103" t="n"/>
      <c r="R46" s="104" t="n"/>
      <c r="S46" s="102" t="n"/>
      <c r="T46" s="103" t="n"/>
      <c r="U46" s="103" t="n"/>
      <c r="V46" s="104" t="n"/>
      <c r="W46" s="102" t="n"/>
      <c r="X46" s="104" t="n"/>
      <c r="Y46" s="102" t="n"/>
      <c r="Z46" s="104" t="n"/>
      <c r="AB46" s="105">
        <f>IF($B46="","",(COUNTIF(C8:E25,$B46)+COUNTIF(C8:E25,$B46&amp;" ~*")&gt;0)+(COUNTIF(G8:I25,$B46)+COUNTIF(G8:I25,$B46&amp;" ~*")&gt;0)+(COUNTIF(K8:M25,$B46)+COUNTIF(K8:M25,$B46&amp;" ~*")&gt;0)+(COUNTIF(O8:Q25,$B46)+COUNTIF(O8:Q25,$B46&amp;" ~*")&gt;0)+(COUNTIF(S8:U25,$B46)+COUNTIF(S8:U25,$B46&amp;" ~*")&gt;0)+(COUNTIF(W8:W25,$B46)+COUNTIF(W8:W25,$B46&amp;" ~*")&gt;0)+(COUNTIF(Y8:Y25,$B46)+COUNTIF(Y8:Y25,$B46&amp;" ~*")&gt;0))</f>
        <v/>
      </c>
      <c r="AC46" s="38">
        <f>IF($B46="","",(IFERROR(INDEX(Setup!$G$33:$G$40,MATCH(C46,Setup!$B$33:$B$40,0)),0)=1)*(COUNTIF(C8:E25,$B46)+COUNTIF(C8:E25,$B46&amp;" ~*")&gt;0)+(IFERROR(INDEX(Setup!$G$33:$G$40,MATCH(G46,Setup!$B$33:$B$40,0)),0)=1)*(COUNTIF(G8:I25,$B46)+COUNTIF(G8:I25,$B46&amp;" ~*")&gt;0)+(IFERROR(INDEX(Setup!$G$33:$G$40,MATCH(K46,Setup!$B$33:$B$40,0)),0)=1)*(COUNTIF(K8:M25,$B46)+COUNTIF(K8:M25,$B46&amp;" ~*")&gt;0)+(IFERROR(INDEX(Setup!$G$33:$G$40,MATCH(O46,Setup!$B$33:$B$40,0)),0)=1)*(COUNTIF(O8:Q25,$B46)+COUNTIF(O8:Q25,$B46&amp;" ~*")&gt;0)+(IFERROR(INDEX(Setup!$G$33:$G$40,MATCH(S46,Setup!$B$33:$B$40,0)),0)=1)*(COUNTIF(S8:U25,$B46)+COUNTIF(S8:U25,$B46&amp;" ~*")&gt;0)+(IFERROR(INDEX(Setup!$G$33:$G$40,MATCH(W46,Setup!$B$33:$B$40,0)),0)=1)*(COUNTIF(W8:W25,$B46)+COUNTIF(W8:W25,$B46&amp;" ~*")&gt;0)+(IFERROR(INDEX(Setup!$G$33:$G$40,MATCH(Y46,Setup!$B$33:$B$40,0)),0)=1)*(COUNTIF(Y8:Y25,$B46)+COUNTIF(Y8:Y25,$B46&amp;" ~*")&gt;0))</f>
        <v/>
      </c>
    </row>
    <row r="47" ht="15" customHeight="1">
      <c r="A47" t="n">
        <v>1</v>
      </c>
      <c r="B47" s="35">
        <f>IF(Setup!$B$26="","",Setup!$B$26)</f>
        <v/>
      </c>
      <c r="C47" s="98" t="n"/>
      <c r="D47" s="99" t="n"/>
      <c r="E47" s="99" t="n"/>
      <c r="F47" s="100" t="n"/>
      <c r="G47" s="98" t="n"/>
      <c r="H47" s="99" t="n"/>
      <c r="I47" s="99" t="n"/>
      <c r="J47" s="100" t="n"/>
      <c r="K47" s="98" t="n"/>
      <c r="L47" s="99" t="n"/>
      <c r="M47" s="99" t="n"/>
      <c r="N47" s="100" t="n"/>
      <c r="O47" s="98" t="n"/>
      <c r="P47" s="99" t="n"/>
      <c r="Q47" s="99" t="n"/>
      <c r="R47" s="100" t="n"/>
      <c r="S47" s="98" t="n"/>
      <c r="T47" s="99" t="n"/>
      <c r="U47" s="99" t="n"/>
      <c r="V47" s="100" t="n"/>
      <c r="W47" s="98" t="n"/>
      <c r="X47" s="100" t="n"/>
      <c r="Y47" s="98" t="n"/>
      <c r="Z47" s="100" t="n"/>
      <c r="AB47" s="101">
        <f>IF($B47="","",(COUNTIF(C8:E25,$B47)+COUNTIF(C8:E25,$B47&amp;" ~*")&gt;0)+(COUNTIF(G8:I25,$B47)+COUNTIF(G8:I25,$B47&amp;" ~*")&gt;0)+(COUNTIF(K8:M25,$B47)+COUNTIF(K8:M25,$B47&amp;" ~*")&gt;0)+(COUNTIF(O8:Q25,$B47)+COUNTIF(O8:Q25,$B47&amp;" ~*")&gt;0)+(COUNTIF(S8:U25,$B47)+COUNTIF(S8:U25,$B47&amp;" ~*")&gt;0)+(COUNTIF(W8:W25,$B47)+COUNTIF(W8:W25,$B47&amp;" ~*")&gt;0)+(COUNTIF(Y8:Y25,$B47)+COUNTIF(Y8:Y25,$B47&amp;" ~*")&gt;0))</f>
        <v/>
      </c>
      <c r="AC47" s="36">
        <f>IF($B47="","",(IFERROR(INDEX(Setup!$G$33:$G$40,MATCH(C47,Setup!$B$33:$B$40,0)),0)=1)*(COUNTIF(C8:E25,$B47)+COUNTIF(C8:E25,$B47&amp;" ~*")&gt;0)+(IFERROR(INDEX(Setup!$G$33:$G$40,MATCH(G47,Setup!$B$33:$B$40,0)),0)=1)*(COUNTIF(G8:I25,$B47)+COUNTIF(G8:I25,$B47&amp;" ~*")&gt;0)+(IFERROR(INDEX(Setup!$G$33:$G$40,MATCH(K47,Setup!$B$33:$B$40,0)),0)=1)*(COUNTIF(K8:M25,$B47)+COUNTIF(K8:M25,$B47&amp;" ~*")&gt;0)+(IFERROR(INDEX(Setup!$G$33:$G$40,MATCH(O47,Setup!$B$33:$B$40,0)),0)=1)*(COUNTIF(O8:Q25,$B47)+COUNTIF(O8:Q25,$B47&amp;" ~*")&gt;0)+(IFERROR(INDEX(Setup!$G$33:$G$40,MATCH(S47,Setup!$B$33:$B$40,0)),0)=1)*(COUNTIF(S8:U25,$B47)+COUNTIF(S8:U25,$B47&amp;" ~*")&gt;0)+(IFERROR(INDEX(Setup!$G$33:$G$40,MATCH(W47,Setup!$B$33:$B$40,0)),0)=1)*(COUNTIF(W8:W25,$B47)+COUNTIF(W8:W25,$B47&amp;" ~*")&gt;0)+(IFERROR(INDEX(Setup!$G$33:$G$40,MATCH(Y47,Setup!$B$33:$B$40,0)),0)=1)*(COUNTIF(Y8:Y25,$B47)+COUNTIF(Y8:Y25,$B47&amp;" ~*")&gt;0))</f>
        <v/>
      </c>
    </row>
    <row r="48" ht="15" customHeight="1">
      <c r="A48" t="n">
        <v>1</v>
      </c>
      <c r="B48" s="37">
        <f>IF(Setup!$B$27="","",Setup!$B$27)</f>
        <v/>
      </c>
      <c r="C48" s="102" t="n"/>
      <c r="D48" s="103" t="n"/>
      <c r="E48" s="103" t="n"/>
      <c r="F48" s="104" t="n"/>
      <c r="G48" s="102" t="n"/>
      <c r="H48" s="103" t="n"/>
      <c r="I48" s="103" t="n"/>
      <c r="J48" s="104" t="n"/>
      <c r="K48" s="102" t="n"/>
      <c r="L48" s="103" t="n"/>
      <c r="M48" s="103" t="n"/>
      <c r="N48" s="104" t="n"/>
      <c r="O48" s="102" t="n"/>
      <c r="P48" s="103" t="n"/>
      <c r="Q48" s="103" t="n"/>
      <c r="R48" s="104" t="n"/>
      <c r="S48" s="102" t="n"/>
      <c r="T48" s="103" t="n"/>
      <c r="U48" s="103" t="n"/>
      <c r="V48" s="104" t="n"/>
      <c r="W48" s="102" t="n"/>
      <c r="X48" s="104" t="n"/>
      <c r="Y48" s="102" t="n"/>
      <c r="Z48" s="104" t="n"/>
      <c r="AB48" s="105">
        <f>IF($B48="","",(COUNTIF(C8:E25,$B48)+COUNTIF(C8:E25,$B48&amp;" ~*")&gt;0)+(COUNTIF(G8:I25,$B48)+COUNTIF(G8:I25,$B48&amp;" ~*")&gt;0)+(COUNTIF(K8:M25,$B48)+COUNTIF(K8:M25,$B48&amp;" ~*")&gt;0)+(COUNTIF(O8:Q25,$B48)+COUNTIF(O8:Q25,$B48&amp;" ~*")&gt;0)+(COUNTIF(S8:U25,$B48)+COUNTIF(S8:U25,$B48&amp;" ~*")&gt;0)+(COUNTIF(W8:W25,$B48)+COUNTIF(W8:W25,$B48&amp;" ~*")&gt;0)+(COUNTIF(Y8:Y25,$B48)+COUNTIF(Y8:Y25,$B48&amp;" ~*")&gt;0))</f>
        <v/>
      </c>
      <c r="AC48" s="38">
        <f>IF($B48="","",(IFERROR(INDEX(Setup!$G$33:$G$40,MATCH(C48,Setup!$B$33:$B$40,0)),0)=1)*(COUNTIF(C8:E25,$B48)+COUNTIF(C8:E25,$B48&amp;" ~*")&gt;0)+(IFERROR(INDEX(Setup!$G$33:$G$40,MATCH(G48,Setup!$B$33:$B$40,0)),0)=1)*(COUNTIF(G8:I25,$B48)+COUNTIF(G8:I25,$B48&amp;" ~*")&gt;0)+(IFERROR(INDEX(Setup!$G$33:$G$40,MATCH(K48,Setup!$B$33:$B$40,0)),0)=1)*(COUNTIF(K8:M25,$B48)+COUNTIF(K8:M25,$B48&amp;" ~*")&gt;0)+(IFERROR(INDEX(Setup!$G$33:$G$40,MATCH(O48,Setup!$B$33:$B$40,0)),0)=1)*(COUNTIF(O8:Q25,$B48)+COUNTIF(O8:Q25,$B48&amp;" ~*")&gt;0)+(IFERROR(INDEX(Setup!$G$33:$G$40,MATCH(S48,Setup!$B$33:$B$40,0)),0)=1)*(COUNTIF(S8:U25,$B48)+COUNTIF(S8:U25,$B48&amp;" ~*")&gt;0)+(IFERROR(INDEX(Setup!$G$33:$G$40,MATCH(W48,Setup!$B$33:$B$40,0)),0)=1)*(COUNTIF(W8:W25,$B48)+COUNTIF(W8:W25,$B48&amp;" ~*")&gt;0)+(IFERROR(INDEX(Setup!$G$33:$G$40,MATCH(Y48,Setup!$B$33:$B$40,0)),0)=1)*(COUNTIF(Y8:Y25,$B48)+COUNTIF(Y8:Y25,$B48&amp;" ~*")&gt;0))</f>
        <v/>
      </c>
    </row>
    <row r="49" ht="15" customHeight="1">
      <c r="A49" t="n">
        <v>1</v>
      </c>
      <c r="B49" s="35">
        <f>IF(Setup!$B$28="","",Setup!$B$28)</f>
        <v/>
      </c>
      <c r="C49" s="98" t="n"/>
      <c r="D49" s="99" t="n"/>
      <c r="E49" s="99" t="n"/>
      <c r="F49" s="100" t="n"/>
      <c r="G49" s="98" t="n"/>
      <c r="H49" s="99" t="n"/>
      <c r="I49" s="99" t="n"/>
      <c r="J49" s="100" t="n"/>
      <c r="K49" s="98" t="n"/>
      <c r="L49" s="99" t="n"/>
      <c r="M49" s="99" t="n"/>
      <c r="N49" s="100" t="n"/>
      <c r="O49" s="98" t="n"/>
      <c r="P49" s="99" t="n"/>
      <c r="Q49" s="99" t="n"/>
      <c r="R49" s="100" t="n"/>
      <c r="S49" s="98" t="n"/>
      <c r="T49" s="99" t="n"/>
      <c r="U49" s="99" t="n"/>
      <c r="V49" s="100" t="n"/>
      <c r="W49" s="98" t="n"/>
      <c r="X49" s="100" t="n"/>
      <c r="Y49" s="98" t="n"/>
      <c r="Z49" s="100" t="n"/>
      <c r="AB49" s="101">
        <f>IF($B49="","",(COUNTIF(C8:E25,$B49)+COUNTIF(C8:E25,$B49&amp;" ~*")&gt;0)+(COUNTIF(G8:I25,$B49)+COUNTIF(G8:I25,$B49&amp;" ~*")&gt;0)+(COUNTIF(K8:M25,$B49)+COUNTIF(K8:M25,$B49&amp;" ~*")&gt;0)+(COUNTIF(O8:Q25,$B49)+COUNTIF(O8:Q25,$B49&amp;" ~*")&gt;0)+(COUNTIF(S8:U25,$B49)+COUNTIF(S8:U25,$B49&amp;" ~*")&gt;0)+(COUNTIF(W8:W25,$B49)+COUNTIF(W8:W25,$B49&amp;" ~*")&gt;0)+(COUNTIF(Y8:Y25,$B49)+COUNTIF(Y8:Y25,$B49&amp;" ~*")&gt;0))</f>
        <v/>
      </c>
      <c r="AC49" s="36">
        <f>IF($B49="","",(IFERROR(INDEX(Setup!$G$33:$G$40,MATCH(C49,Setup!$B$33:$B$40,0)),0)=1)*(COUNTIF(C8:E25,$B49)+COUNTIF(C8:E25,$B49&amp;" ~*")&gt;0)+(IFERROR(INDEX(Setup!$G$33:$G$40,MATCH(G49,Setup!$B$33:$B$40,0)),0)=1)*(COUNTIF(G8:I25,$B49)+COUNTIF(G8:I25,$B49&amp;" ~*")&gt;0)+(IFERROR(INDEX(Setup!$G$33:$G$40,MATCH(K49,Setup!$B$33:$B$40,0)),0)=1)*(COUNTIF(K8:M25,$B49)+COUNTIF(K8:M25,$B49&amp;" ~*")&gt;0)+(IFERROR(INDEX(Setup!$G$33:$G$40,MATCH(O49,Setup!$B$33:$B$40,0)),0)=1)*(COUNTIF(O8:Q25,$B49)+COUNTIF(O8:Q25,$B49&amp;" ~*")&gt;0)+(IFERROR(INDEX(Setup!$G$33:$G$40,MATCH(S49,Setup!$B$33:$B$40,0)),0)=1)*(COUNTIF(S8:U25,$B49)+COUNTIF(S8:U25,$B49&amp;" ~*")&gt;0)+(IFERROR(INDEX(Setup!$G$33:$G$40,MATCH(W49,Setup!$B$33:$B$40,0)),0)=1)*(COUNTIF(W8:W25,$B49)+COUNTIF(W8:W25,$B49&amp;" ~*")&gt;0)+(IFERROR(INDEX(Setup!$G$33:$G$40,MATCH(Y49,Setup!$B$33:$B$40,0)),0)=1)*(COUNTIF(Y8:Y25,$B49)+COUNTIF(Y8:Y25,$B49&amp;" ~*")&gt;0))</f>
        <v/>
      </c>
    </row>
    <row r="50" ht="15" customHeight="1">
      <c r="A50" t="n">
        <v>1</v>
      </c>
      <c r="B50" s="37">
        <f>IF(Setup!$B$29="","",Setup!$B$29)</f>
        <v/>
      </c>
      <c r="C50" s="102" t="n"/>
      <c r="D50" s="103" t="n"/>
      <c r="E50" s="103" t="n"/>
      <c r="F50" s="104" t="n"/>
      <c r="G50" s="102" t="n"/>
      <c r="H50" s="103" t="n"/>
      <c r="I50" s="103" t="n"/>
      <c r="J50" s="104" t="n"/>
      <c r="K50" s="102" t="n"/>
      <c r="L50" s="103" t="n"/>
      <c r="M50" s="103" t="n"/>
      <c r="N50" s="104" t="n"/>
      <c r="O50" s="102" t="n"/>
      <c r="P50" s="103" t="n"/>
      <c r="Q50" s="103" t="n"/>
      <c r="R50" s="104" t="n"/>
      <c r="S50" s="102" t="n"/>
      <c r="T50" s="103" t="n"/>
      <c r="U50" s="103" t="n"/>
      <c r="V50" s="104" t="n"/>
      <c r="W50" s="102" t="n"/>
      <c r="X50" s="104" t="n"/>
      <c r="Y50" s="102" t="n"/>
      <c r="Z50" s="104" t="n"/>
      <c r="AB50" s="105">
        <f>IF($B50="","",(COUNTIF(C8:E25,$B50)+COUNTIF(C8:E25,$B50&amp;" ~*")&gt;0)+(COUNTIF(G8:I25,$B50)+COUNTIF(G8:I25,$B50&amp;" ~*")&gt;0)+(COUNTIF(K8:M25,$B50)+COUNTIF(K8:M25,$B50&amp;" ~*")&gt;0)+(COUNTIF(O8:Q25,$B50)+COUNTIF(O8:Q25,$B50&amp;" ~*")&gt;0)+(COUNTIF(S8:U25,$B50)+COUNTIF(S8:U25,$B50&amp;" ~*")&gt;0)+(COUNTIF(W8:W25,$B50)+COUNTIF(W8:W25,$B50&amp;" ~*")&gt;0)+(COUNTIF(Y8:Y25,$B50)+COUNTIF(Y8:Y25,$B50&amp;" ~*")&gt;0))</f>
        <v/>
      </c>
      <c r="AC50" s="38">
        <f>IF($B50="","",(IFERROR(INDEX(Setup!$G$33:$G$40,MATCH(C50,Setup!$B$33:$B$40,0)),0)=1)*(COUNTIF(C8:E25,$B50)+COUNTIF(C8:E25,$B50&amp;" ~*")&gt;0)+(IFERROR(INDEX(Setup!$G$33:$G$40,MATCH(G50,Setup!$B$33:$B$40,0)),0)=1)*(COUNTIF(G8:I25,$B50)+COUNTIF(G8:I25,$B50&amp;" ~*")&gt;0)+(IFERROR(INDEX(Setup!$G$33:$G$40,MATCH(K50,Setup!$B$33:$B$40,0)),0)=1)*(COUNTIF(K8:M25,$B50)+COUNTIF(K8:M25,$B50&amp;" ~*")&gt;0)+(IFERROR(INDEX(Setup!$G$33:$G$40,MATCH(O50,Setup!$B$33:$B$40,0)),0)=1)*(COUNTIF(O8:Q25,$B50)+COUNTIF(O8:Q25,$B50&amp;" ~*")&gt;0)+(IFERROR(INDEX(Setup!$G$33:$G$40,MATCH(S50,Setup!$B$33:$B$40,0)),0)=1)*(COUNTIF(S8:U25,$B50)+COUNTIF(S8:U25,$B50&amp;" ~*")&gt;0)+(IFERROR(INDEX(Setup!$G$33:$G$40,MATCH(W50,Setup!$B$33:$B$40,0)),0)=1)*(COUNTIF(W8:W25,$B50)+COUNTIF(W8:W25,$B50&amp;" ~*")&gt;0)+(IFERROR(INDEX(Setup!$G$33:$G$40,MATCH(Y50,Setup!$B$33:$B$40,0)),0)=1)*(COUNTIF(Y8:Y25,$B50)+COUNTIF(Y8:Y25,$B50&amp;" ~*")&gt;0))</f>
        <v/>
      </c>
    </row>
    <row r="51" ht="16" customHeight="1">
      <c r="A51" t="n">
        <v>1</v>
      </c>
      <c r="B51" s="106" t="inlineStr">
        <is>
          <t>Available people</t>
        </is>
      </c>
      <c r="C51" s="107">
        <f>COUNTIFS(Setup!$E$6:$E$29,"Y",Setup!$B$6:$B$29,"?*")-SUMPRODUCT(COUNTIF(C27:C50,Setup!$F$33:$F$40))</f>
        <v/>
      </c>
      <c r="D51" s="107" t="n"/>
      <c r="E51" s="107" t="n"/>
      <c r="F51" s="107" t="n"/>
      <c r="G51" s="107">
        <f>COUNTIFS(Setup!$E$6:$E$29,"Y",Setup!$B$6:$B$29,"?*")-SUMPRODUCT(COUNTIF(G27:G50,Setup!$F$33:$F$40))</f>
        <v/>
      </c>
      <c r="H51" s="107" t="n"/>
      <c r="I51" s="107" t="n"/>
      <c r="J51" s="107" t="n"/>
      <c r="K51" s="107">
        <f>COUNTIFS(Setup!$E$6:$E$29,"Y",Setup!$B$6:$B$29,"?*")-SUMPRODUCT(COUNTIF(K27:K50,Setup!$F$33:$F$40))</f>
        <v/>
      </c>
      <c r="L51" s="107" t="n"/>
      <c r="M51" s="107" t="n"/>
      <c r="N51" s="107" t="n"/>
      <c r="O51" s="107">
        <f>COUNTIFS(Setup!$E$6:$E$29,"Y",Setup!$B$6:$B$29,"?*")-SUMPRODUCT(COUNTIF(O27:O50,Setup!$F$33:$F$40))</f>
        <v/>
      </c>
      <c r="P51" s="107" t="n"/>
      <c r="Q51" s="107" t="n"/>
      <c r="R51" s="107" t="n"/>
      <c r="S51" s="107">
        <f>COUNTIFS(Setup!$E$6:$E$29,"Y",Setup!$B$6:$B$29,"?*")-SUMPRODUCT(COUNTIF(S27:S50,Setup!$F$33:$F$40))</f>
        <v/>
      </c>
      <c r="T51" s="107" t="n"/>
      <c r="U51" s="107" t="n"/>
      <c r="V51" s="107" t="n"/>
      <c r="W51" s="107">
        <f>COUNTIFS(Setup!$E$6:$E$29,"Y",Setup!$B$6:$B$29,"?*")-SUMPRODUCT(COUNTIF(W27:W50,Setup!$F$33:$F$40))</f>
        <v/>
      </c>
      <c r="X51" s="107" t="n"/>
      <c r="Y51" s="107">
        <f>COUNTIFS(Setup!$E$6:$E$29,"Y",Setup!$B$6:$B$29,"?*")-SUMPRODUCT(COUNTIF(Y27:Y50,Setup!$F$33:$F$40))</f>
        <v/>
      </c>
      <c r="Z51" s="107" t="n"/>
      <c r="AB51" s="108">
        <f>SUM(AB27:AB50)</f>
        <v/>
      </c>
      <c r="AC51" s="109">
        <f>SUM(AC27:AC50)</f>
        <v/>
      </c>
    </row>
    <row r="52" ht="30" customHeight="1">
      <c r="A52" t="n">
        <v>1</v>
      </c>
      <c r="B52" s="110" t="inlineStr">
        <is>
          <t>Week notes</t>
        </is>
      </c>
      <c r="C52" s="111" t="n"/>
      <c r="D52" s="112" t="n"/>
      <c r="E52" s="112" t="n"/>
      <c r="F52" s="112" t="n"/>
      <c r="G52" s="112" t="n"/>
      <c r="H52" s="112" t="n"/>
      <c r="I52" s="112" t="n"/>
      <c r="J52" s="112" t="n"/>
      <c r="K52" s="112" t="n"/>
      <c r="L52" s="112" t="n"/>
      <c r="M52" s="112" t="n"/>
      <c r="N52" s="112" t="n"/>
      <c r="O52" s="112" t="n"/>
      <c r="P52" s="112" t="n"/>
      <c r="Q52" s="112" t="n"/>
      <c r="R52" s="112" t="n"/>
      <c r="S52" s="112" t="n"/>
      <c r="T52" s="112" t="n"/>
      <c r="U52" s="112" t="n"/>
      <c r="V52" s="112" t="n"/>
      <c r="W52" s="112" t="n"/>
      <c r="X52" s="112" t="n"/>
      <c r="Y52" s="112" t="n"/>
      <c r="Z52" s="113" t="n"/>
    </row>
    <row r="53" ht="8" customHeight="1">
      <c r="A53" t="n">
        <v>1</v>
      </c>
    </row>
    <row r="54" ht="8" customHeight="1">
      <c r="A54" t="n">
        <v>1</v>
      </c>
    </row>
    <row r="55" ht="24" customHeight="1">
      <c r="A55" t="n">
        <v>2</v>
      </c>
      <c r="B55" s="73">
        <f>"WEEK 2     "&amp;TEXT(C56,"ddd d mmm")&amp;"  –  "&amp;TEXT(C56+6,"ddd d mmm yyyy")</f>
        <v/>
      </c>
      <c r="S55" s="74">
        <f>IF(TODAY()&lt;C56,"FUTURE",IF(TODAY()&gt;C56+6,"PAST","THIS WEEK"))</f>
        <v/>
      </c>
      <c r="W55" s="75">
        <f>IF(AND(Engine!$B$8=$AC$3,Engine!$B$9=$A55),"◀ ACTIVE WEEK","")</f>
        <v/>
      </c>
      <c r="AA55" s="76" t="n"/>
      <c r="AB55" s="77" t="inlineStr">
        <is>
          <t>◀ Prev</t>
        </is>
      </c>
      <c r="AC55" s="77" t="inlineStr">
        <is>
          <t>Next ▶</t>
        </is>
      </c>
    </row>
    <row r="56" ht="18" customHeight="1">
      <c r="A56" t="n">
        <v>2</v>
      </c>
      <c r="B56" s="78" t="inlineStr">
        <is>
          <t>DUTY</t>
        </is>
      </c>
      <c r="C56" s="79">
        <f>$AC$2+7*($A56-1)</f>
        <v/>
      </c>
      <c r="D56" s="80" t="n"/>
      <c r="E56" s="80" t="n"/>
      <c r="F56" s="81" t="n"/>
      <c r="G56" s="79">
        <f>C56+1</f>
        <v/>
      </c>
      <c r="H56" s="80" t="n"/>
      <c r="I56" s="80" t="n"/>
      <c r="J56" s="81" t="n"/>
      <c r="K56" s="79">
        <f>C56+2</f>
        <v/>
      </c>
      <c r="L56" s="80" t="n"/>
      <c r="M56" s="80" t="n"/>
      <c r="N56" s="81" t="n"/>
      <c r="O56" s="79">
        <f>C56+3</f>
        <v/>
      </c>
      <c r="P56" s="80" t="n"/>
      <c r="Q56" s="80" t="n"/>
      <c r="R56" s="81" t="n"/>
      <c r="S56" s="79">
        <f>C56+4</f>
        <v/>
      </c>
      <c r="T56" s="80" t="n"/>
      <c r="U56" s="80" t="n"/>
      <c r="V56" s="81" t="n"/>
      <c r="W56" s="82">
        <f>C56+5</f>
        <v/>
      </c>
      <c r="X56" s="83" t="n"/>
      <c r="Y56" s="82">
        <f>C56+6</f>
        <v/>
      </c>
      <c r="Z56" s="83" t="n"/>
      <c r="AB56" s="72" t="inlineStr">
        <is>
          <t>Gaps</t>
        </is>
      </c>
      <c r="AC56" s="72" t="inlineStr">
        <is>
          <t>Cover</t>
        </is>
      </c>
    </row>
    <row r="57" ht="14" customHeight="1">
      <c r="A57" t="n">
        <v>2</v>
      </c>
      <c r="B57" s="84" t="inlineStr">
        <is>
          <t>(from Setup)</t>
        </is>
      </c>
      <c r="C57" s="85" t="inlineStr">
        <is>
          <t>1</t>
        </is>
      </c>
      <c r="D57" s="85" t="inlineStr">
        <is>
          <t>2</t>
        </is>
      </c>
      <c r="E57" s="85" t="inlineStr">
        <is>
          <t>3</t>
        </is>
      </c>
      <c r="F57" s="85" t="inlineStr">
        <is>
          <t>Notes</t>
        </is>
      </c>
      <c r="G57" s="85" t="inlineStr">
        <is>
          <t>1</t>
        </is>
      </c>
      <c r="H57" s="85" t="inlineStr">
        <is>
          <t>2</t>
        </is>
      </c>
      <c r="I57" s="85" t="inlineStr">
        <is>
          <t>3</t>
        </is>
      </c>
      <c r="J57" s="85" t="inlineStr">
        <is>
          <t>Notes</t>
        </is>
      </c>
      <c r="K57" s="85" t="inlineStr">
        <is>
          <t>1</t>
        </is>
      </c>
      <c r="L57" s="85" t="inlineStr">
        <is>
          <t>2</t>
        </is>
      </c>
      <c r="M57" s="85" t="inlineStr">
        <is>
          <t>3</t>
        </is>
      </c>
      <c r="N57" s="85" t="inlineStr">
        <is>
          <t>Notes</t>
        </is>
      </c>
      <c r="O57" s="85" t="inlineStr">
        <is>
          <t>1</t>
        </is>
      </c>
      <c r="P57" s="85" t="inlineStr">
        <is>
          <t>2</t>
        </is>
      </c>
      <c r="Q57" s="85" t="inlineStr">
        <is>
          <t>3</t>
        </is>
      </c>
      <c r="R57" s="85" t="inlineStr">
        <is>
          <t>Notes</t>
        </is>
      </c>
      <c r="S57" s="85" t="inlineStr">
        <is>
          <t>1</t>
        </is>
      </c>
      <c r="T57" s="85" t="inlineStr">
        <is>
          <t>2</t>
        </is>
      </c>
      <c r="U57" s="85" t="inlineStr">
        <is>
          <t>3</t>
        </is>
      </c>
      <c r="V57" s="85" t="inlineStr">
        <is>
          <t>Notes</t>
        </is>
      </c>
      <c r="W57" s="85" t="inlineStr">
        <is>
          <t>Cover</t>
        </is>
      </c>
      <c r="X57" s="85" t="inlineStr">
        <is>
          <t>Notes</t>
        </is>
      </c>
      <c r="Y57" s="85" t="inlineStr">
        <is>
          <t>Cover</t>
        </is>
      </c>
      <c r="Z57" s="85" t="inlineStr">
        <is>
          <t>Notes</t>
        </is>
      </c>
      <c r="AB57" s="86" t="inlineStr">
        <is>
          <t>weekdays short</t>
        </is>
      </c>
      <c r="AC57" s="87" t="inlineStr"/>
    </row>
    <row r="58" ht="17" customHeight="1">
      <c r="A58" t="n">
        <v>2</v>
      </c>
      <c r="B58" s="24">
        <f>IF(Setup!$K$6="","",Setup!$K$6)</f>
        <v/>
      </c>
      <c r="C58" s="88" t="n"/>
      <c r="D58" s="88" t="n"/>
      <c r="E58" s="88" t="n"/>
      <c r="F58" s="89" t="n"/>
      <c r="G58" s="88" t="n"/>
      <c r="H58" s="88" t="n"/>
      <c r="I58" s="88" t="n"/>
      <c r="J58" s="89" t="n"/>
      <c r="K58" s="88" t="n"/>
      <c r="L58" s="88" t="n"/>
      <c r="M58" s="88" t="n"/>
      <c r="N58" s="89" t="n"/>
      <c r="O58" s="88" t="n"/>
      <c r="P58" s="88" t="n"/>
      <c r="Q58" s="88" t="n"/>
      <c r="R58" s="89" t="n"/>
      <c r="S58" s="88" t="n"/>
      <c r="T58" s="88" t="n"/>
      <c r="U58" s="88" t="n"/>
      <c r="V58" s="89" t="n"/>
      <c r="W58" s="88" t="n"/>
      <c r="X58" s="89" t="n"/>
      <c r="Y58" s="88" t="n"/>
      <c r="Z58" s="89" t="n"/>
      <c r="AB58" s="25">
        <f>IF($B58="","",(COUNTIF(C58:E58,"?*")&lt;N(INDEX(Setup!$L$6:$L$23,1)))+(COUNTIF(G58:I58,"?*")&lt;N(INDEX(Setup!$L$6:$L$23,1)))+(COUNTIF(K58:M58,"?*")&lt;N(INDEX(Setup!$L$6:$L$23,1)))+(COUNTIF(O58:Q58,"?*")&lt;N(INDEX(Setup!$L$6:$L$23,1)))+(COUNTIF(S58:U58,"?*")&lt;N(INDEX(Setup!$L$6:$L$23,1)))+((W58="")*(INDEX(Setup!$M$6:$M$23,1)="Y"))+((Y58="")*(INDEX(Setup!$M$6:$M$23,1)="Y")))</f>
        <v/>
      </c>
      <c r="AC58" s="90">
        <f>IF($B58="","",IF(AB58=0,"✓ covered","⚠ "&amp;AB58&amp;IF(AB58=1," gap"," gaps")))</f>
        <v/>
      </c>
    </row>
    <row r="59" ht="17" customHeight="1">
      <c r="A59" t="n">
        <v>2</v>
      </c>
      <c r="B59" s="29">
        <f>IF(Setup!$K$7="","",Setup!$K$7)</f>
        <v/>
      </c>
      <c r="C59" s="88" t="n"/>
      <c r="D59" s="88" t="n"/>
      <c r="E59" s="88" t="n"/>
      <c r="F59" s="89" t="n"/>
      <c r="G59" s="88" t="n"/>
      <c r="H59" s="88" t="n"/>
      <c r="I59" s="88" t="n"/>
      <c r="J59" s="89" t="n"/>
      <c r="K59" s="88" t="n"/>
      <c r="L59" s="88" t="n"/>
      <c r="M59" s="88" t="n"/>
      <c r="N59" s="89" t="n"/>
      <c r="O59" s="88" t="n"/>
      <c r="P59" s="88" t="n"/>
      <c r="Q59" s="88" t="n"/>
      <c r="R59" s="89" t="n"/>
      <c r="S59" s="88" t="n"/>
      <c r="T59" s="88" t="n"/>
      <c r="U59" s="88" t="n"/>
      <c r="V59" s="89" t="n"/>
      <c r="W59" s="88" t="n"/>
      <c r="X59" s="89" t="n"/>
      <c r="Y59" s="88" t="n"/>
      <c r="Z59" s="89" t="n"/>
      <c r="AB59" s="30">
        <f>IF($B59="","",(COUNTIF(C59:E59,"?*")&lt;N(INDEX(Setup!$L$6:$L$23,2)))+(COUNTIF(G59:I59,"?*")&lt;N(INDEX(Setup!$L$6:$L$23,2)))+(COUNTIF(K59:M59,"?*")&lt;N(INDEX(Setup!$L$6:$L$23,2)))+(COUNTIF(O59:Q59,"?*")&lt;N(INDEX(Setup!$L$6:$L$23,2)))+(COUNTIF(S59:U59,"?*")&lt;N(INDEX(Setup!$L$6:$L$23,2)))+((W59="")*(INDEX(Setup!$M$6:$M$23,2)="Y"))+((Y59="")*(INDEX(Setup!$M$6:$M$23,2)="Y")))</f>
        <v/>
      </c>
      <c r="AC59" s="91">
        <f>IF($B59="","",IF(AB59=0,"✓ covered","⚠ "&amp;AB59&amp;IF(AB59=1," gap"," gaps")))</f>
        <v/>
      </c>
    </row>
    <row r="60" ht="17" customHeight="1">
      <c r="A60" t="n">
        <v>2</v>
      </c>
      <c r="B60" s="24">
        <f>IF(Setup!$K$8="","",Setup!$K$8)</f>
        <v/>
      </c>
      <c r="C60" s="88" t="n"/>
      <c r="D60" s="88" t="n"/>
      <c r="E60" s="88" t="n"/>
      <c r="F60" s="89" t="n"/>
      <c r="G60" s="88" t="n"/>
      <c r="H60" s="88" t="n"/>
      <c r="I60" s="88" t="n"/>
      <c r="J60" s="89" t="n"/>
      <c r="K60" s="88" t="n"/>
      <c r="L60" s="88" t="n"/>
      <c r="M60" s="88" t="n"/>
      <c r="N60" s="89" t="n"/>
      <c r="O60" s="88" t="n"/>
      <c r="P60" s="88" t="n"/>
      <c r="Q60" s="88" t="n"/>
      <c r="R60" s="89" t="n"/>
      <c r="S60" s="88" t="n"/>
      <c r="T60" s="88" t="n"/>
      <c r="U60" s="88" t="n"/>
      <c r="V60" s="89" t="n"/>
      <c r="W60" s="88" t="n"/>
      <c r="X60" s="89" t="n"/>
      <c r="Y60" s="88" t="n"/>
      <c r="Z60" s="89" t="n"/>
      <c r="AB60" s="25">
        <f>IF($B60="","",(COUNTIF(C60:E60,"?*")&lt;N(INDEX(Setup!$L$6:$L$23,3)))+(COUNTIF(G60:I60,"?*")&lt;N(INDEX(Setup!$L$6:$L$23,3)))+(COUNTIF(K60:M60,"?*")&lt;N(INDEX(Setup!$L$6:$L$23,3)))+(COUNTIF(O60:Q60,"?*")&lt;N(INDEX(Setup!$L$6:$L$23,3)))+(COUNTIF(S60:U60,"?*")&lt;N(INDEX(Setup!$L$6:$L$23,3)))+((W60="")*(INDEX(Setup!$M$6:$M$23,3)="Y"))+((Y60="")*(INDEX(Setup!$M$6:$M$23,3)="Y")))</f>
        <v/>
      </c>
      <c r="AC60" s="90">
        <f>IF($B60="","",IF(AB60=0,"✓ covered","⚠ "&amp;AB60&amp;IF(AB60=1," gap"," gaps")))</f>
        <v/>
      </c>
    </row>
    <row r="61" ht="17" customHeight="1">
      <c r="A61" t="n">
        <v>2</v>
      </c>
      <c r="B61" s="29">
        <f>IF(Setup!$K$9="","",Setup!$K$9)</f>
        <v/>
      </c>
      <c r="C61" s="88" t="n"/>
      <c r="D61" s="88" t="n"/>
      <c r="E61" s="88" t="n"/>
      <c r="F61" s="89" t="n"/>
      <c r="G61" s="88" t="n"/>
      <c r="H61" s="88" t="n"/>
      <c r="I61" s="88" t="n"/>
      <c r="J61" s="89" t="n"/>
      <c r="K61" s="88" t="n"/>
      <c r="L61" s="88" t="n"/>
      <c r="M61" s="88" t="n"/>
      <c r="N61" s="89" t="n"/>
      <c r="O61" s="88" t="n"/>
      <c r="P61" s="88" t="n"/>
      <c r="Q61" s="88" t="n"/>
      <c r="R61" s="89" t="n"/>
      <c r="S61" s="88" t="n"/>
      <c r="T61" s="88" t="n"/>
      <c r="U61" s="88" t="n"/>
      <c r="V61" s="89" t="n"/>
      <c r="W61" s="88" t="n"/>
      <c r="X61" s="89" t="n"/>
      <c r="Y61" s="88" t="n"/>
      <c r="Z61" s="89" t="n"/>
      <c r="AB61" s="30">
        <f>IF($B61="","",(COUNTIF(C61:E61,"?*")&lt;N(INDEX(Setup!$L$6:$L$23,4)))+(COUNTIF(G61:I61,"?*")&lt;N(INDEX(Setup!$L$6:$L$23,4)))+(COUNTIF(K61:M61,"?*")&lt;N(INDEX(Setup!$L$6:$L$23,4)))+(COUNTIF(O61:Q61,"?*")&lt;N(INDEX(Setup!$L$6:$L$23,4)))+(COUNTIF(S61:U61,"?*")&lt;N(INDEX(Setup!$L$6:$L$23,4)))+((W61="")*(INDEX(Setup!$M$6:$M$23,4)="Y"))+((Y61="")*(INDEX(Setup!$M$6:$M$23,4)="Y")))</f>
        <v/>
      </c>
      <c r="AC61" s="91">
        <f>IF($B61="","",IF(AB61=0,"✓ covered","⚠ "&amp;AB61&amp;IF(AB61=1," gap"," gaps")))</f>
        <v/>
      </c>
    </row>
    <row r="62" ht="17" customHeight="1">
      <c r="A62" t="n">
        <v>2</v>
      </c>
      <c r="B62" s="24">
        <f>IF(Setup!$K$10="","",Setup!$K$10)</f>
        <v/>
      </c>
      <c r="C62" s="88" t="n"/>
      <c r="D62" s="88" t="n"/>
      <c r="E62" s="88" t="n"/>
      <c r="F62" s="89" t="n"/>
      <c r="G62" s="88" t="n"/>
      <c r="H62" s="88" t="n"/>
      <c r="I62" s="88" t="n"/>
      <c r="J62" s="89" t="n"/>
      <c r="K62" s="88" t="n"/>
      <c r="L62" s="88" t="n"/>
      <c r="M62" s="88" t="n"/>
      <c r="N62" s="89" t="n"/>
      <c r="O62" s="88" t="n"/>
      <c r="P62" s="88" t="n"/>
      <c r="Q62" s="88" t="n"/>
      <c r="R62" s="89" t="n"/>
      <c r="S62" s="88" t="n"/>
      <c r="T62" s="88" t="n"/>
      <c r="U62" s="88" t="n"/>
      <c r="V62" s="89" t="n"/>
      <c r="W62" s="88" t="n"/>
      <c r="X62" s="89" t="n"/>
      <c r="Y62" s="88" t="n"/>
      <c r="Z62" s="89" t="n"/>
      <c r="AB62" s="25">
        <f>IF($B62="","",(COUNTIF(C62:E62,"?*")&lt;N(INDEX(Setup!$L$6:$L$23,5)))+(COUNTIF(G62:I62,"?*")&lt;N(INDEX(Setup!$L$6:$L$23,5)))+(COUNTIF(K62:M62,"?*")&lt;N(INDEX(Setup!$L$6:$L$23,5)))+(COUNTIF(O62:Q62,"?*")&lt;N(INDEX(Setup!$L$6:$L$23,5)))+(COUNTIF(S62:U62,"?*")&lt;N(INDEX(Setup!$L$6:$L$23,5)))+((W62="")*(INDEX(Setup!$M$6:$M$23,5)="Y"))+((Y62="")*(INDEX(Setup!$M$6:$M$23,5)="Y")))</f>
        <v/>
      </c>
      <c r="AC62" s="90">
        <f>IF($B62="","",IF(AB62=0,"✓ covered","⚠ "&amp;AB62&amp;IF(AB62=1," gap"," gaps")))</f>
        <v/>
      </c>
    </row>
    <row r="63" ht="17" customHeight="1">
      <c r="A63" t="n">
        <v>2</v>
      </c>
      <c r="B63" s="29">
        <f>IF(Setup!$K$11="","",Setup!$K$11)</f>
        <v/>
      </c>
      <c r="C63" s="88" t="n"/>
      <c r="D63" s="88" t="n"/>
      <c r="E63" s="88" t="n"/>
      <c r="F63" s="89" t="n"/>
      <c r="G63" s="88" t="n"/>
      <c r="H63" s="88" t="n"/>
      <c r="I63" s="88" t="n"/>
      <c r="J63" s="89" t="n"/>
      <c r="K63" s="88" t="n"/>
      <c r="L63" s="88" t="n"/>
      <c r="M63" s="88" t="n"/>
      <c r="N63" s="89" t="n"/>
      <c r="O63" s="88" t="n"/>
      <c r="P63" s="88" t="n"/>
      <c r="Q63" s="88" t="n"/>
      <c r="R63" s="89" t="n"/>
      <c r="S63" s="88" t="n"/>
      <c r="T63" s="88" t="n"/>
      <c r="U63" s="88" t="n"/>
      <c r="V63" s="89" t="n"/>
      <c r="W63" s="88" t="n"/>
      <c r="X63" s="89" t="n"/>
      <c r="Y63" s="88" t="n"/>
      <c r="Z63" s="89" t="n"/>
      <c r="AB63" s="30">
        <f>IF($B63="","",(COUNTIF(C63:E63,"?*")&lt;N(INDEX(Setup!$L$6:$L$23,6)))+(COUNTIF(G63:I63,"?*")&lt;N(INDEX(Setup!$L$6:$L$23,6)))+(COUNTIF(K63:M63,"?*")&lt;N(INDEX(Setup!$L$6:$L$23,6)))+(COUNTIF(O63:Q63,"?*")&lt;N(INDEX(Setup!$L$6:$L$23,6)))+(COUNTIF(S63:U63,"?*")&lt;N(INDEX(Setup!$L$6:$L$23,6)))+((W63="")*(INDEX(Setup!$M$6:$M$23,6)="Y"))+((Y63="")*(INDEX(Setup!$M$6:$M$23,6)="Y")))</f>
        <v/>
      </c>
      <c r="AC63" s="91">
        <f>IF($B63="","",IF(AB63=0,"✓ covered","⚠ "&amp;AB63&amp;IF(AB63=1," gap"," gaps")))</f>
        <v/>
      </c>
    </row>
    <row r="64" ht="17" customHeight="1">
      <c r="A64" t="n">
        <v>2</v>
      </c>
      <c r="B64" s="24">
        <f>IF(Setup!$K$12="","",Setup!$K$12)</f>
        <v/>
      </c>
      <c r="C64" s="88" t="n"/>
      <c r="D64" s="88" t="n"/>
      <c r="E64" s="88" t="n"/>
      <c r="F64" s="89" t="n"/>
      <c r="G64" s="88" t="n"/>
      <c r="H64" s="88" t="n"/>
      <c r="I64" s="88" t="n"/>
      <c r="J64" s="89" t="n"/>
      <c r="K64" s="88" t="n"/>
      <c r="L64" s="88" t="n"/>
      <c r="M64" s="88" t="n"/>
      <c r="N64" s="89" t="n"/>
      <c r="O64" s="88" t="n"/>
      <c r="P64" s="88" t="n"/>
      <c r="Q64" s="88" t="n"/>
      <c r="R64" s="89" t="n"/>
      <c r="S64" s="88" t="n"/>
      <c r="T64" s="88" t="n"/>
      <c r="U64" s="88" t="n"/>
      <c r="V64" s="89" t="n"/>
      <c r="W64" s="88" t="n"/>
      <c r="X64" s="89" t="n"/>
      <c r="Y64" s="88" t="n"/>
      <c r="Z64" s="89" t="n"/>
      <c r="AB64" s="25">
        <f>IF($B64="","",(COUNTIF(C64:E64,"?*")&lt;N(INDEX(Setup!$L$6:$L$23,7)))+(COUNTIF(G64:I64,"?*")&lt;N(INDEX(Setup!$L$6:$L$23,7)))+(COUNTIF(K64:M64,"?*")&lt;N(INDEX(Setup!$L$6:$L$23,7)))+(COUNTIF(O64:Q64,"?*")&lt;N(INDEX(Setup!$L$6:$L$23,7)))+(COUNTIF(S64:U64,"?*")&lt;N(INDEX(Setup!$L$6:$L$23,7)))+((W64="")*(INDEX(Setup!$M$6:$M$23,7)="Y"))+((Y64="")*(INDEX(Setup!$M$6:$M$23,7)="Y")))</f>
        <v/>
      </c>
      <c r="AC64" s="90">
        <f>IF($B64="","",IF(AB64=0,"✓ covered","⚠ "&amp;AB64&amp;IF(AB64=1," gap"," gaps")))</f>
        <v/>
      </c>
    </row>
    <row r="65" ht="17" customHeight="1">
      <c r="A65" t="n">
        <v>2</v>
      </c>
      <c r="B65" s="29">
        <f>IF(Setup!$K$13="","",Setup!$K$13)</f>
        <v/>
      </c>
      <c r="C65" s="88" t="n"/>
      <c r="D65" s="88" t="n"/>
      <c r="E65" s="88" t="n"/>
      <c r="F65" s="89" t="n"/>
      <c r="G65" s="88" t="n"/>
      <c r="H65" s="88" t="n"/>
      <c r="I65" s="88" t="n"/>
      <c r="J65" s="89" t="n"/>
      <c r="K65" s="88" t="n"/>
      <c r="L65" s="88" t="n"/>
      <c r="M65" s="88" t="n"/>
      <c r="N65" s="89" t="n"/>
      <c r="O65" s="88" t="n"/>
      <c r="P65" s="88" t="n"/>
      <c r="Q65" s="88" t="n"/>
      <c r="R65" s="89" t="n"/>
      <c r="S65" s="88" t="n"/>
      <c r="T65" s="88" t="n"/>
      <c r="U65" s="88" t="n"/>
      <c r="V65" s="89" t="n"/>
      <c r="W65" s="88" t="n"/>
      <c r="X65" s="89" t="n"/>
      <c r="Y65" s="88" t="n"/>
      <c r="Z65" s="89" t="n"/>
      <c r="AB65" s="30">
        <f>IF($B65="","",(COUNTIF(C65:E65,"?*")&lt;N(INDEX(Setup!$L$6:$L$23,8)))+(COUNTIF(G65:I65,"?*")&lt;N(INDEX(Setup!$L$6:$L$23,8)))+(COUNTIF(K65:M65,"?*")&lt;N(INDEX(Setup!$L$6:$L$23,8)))+(COUNTIF(O65:Q65,"?*")&lt;N(INDEX(Setup!$L$6:$L$23,8)))+(COUNTIF(S65:U65,"?*")&lt;N(INDEX(Setup!$L$6:$L$23,8)))+((W65="")*(INDEX(Setup!$M$6:$M$23,8)="Y"))+((Y65="")*(INDEX(Setup!$M$6:$M$23,8)="Y")))</f>
        <v/>
      </c>
      <c r="AC65" s="91">
        <f>IF($B65="","",IF(AB65=0,"✓ covered","⚠ "&amp;AB65&amp;IF(AB65=1," gap"," gaps")))</f>
        <v/>
      </c>
    </row>
    <row r="66" ht="17" customHeight="1">
      <c r="A66" t="n">
        <v>2</v>
      </c>
      <c r="B66" s="24">
        <f>IF(Setup!$K$14="","",Setup!$K$14)</f>
        <v/>
      </c>
      <c r="C66" s="88" t="n"/>
      <c r="D66" s="88" t="n"/>
      <c r="E66" s="88" t="n"/>
      <c r="F66" s="89" t="n"/>
      <c r="G66" s="88" t="n"/>
      <c r="H66" s="88" t="n"/>
      <c r="I66" s="88" t="n"/>
      <c r="J66" s="89" t="n"/>
      <c r="K66" s="88" t="n"/>
      <c r="L66" s="88" t="n"/>
      <c r="M66" s="88" t="n"/>
      <c r="N66" s="89" t="n"/>
      <c r="O66" s="88" t="n"/>
      <c r="P66" s="88" t="n"/>
      <c r="Q66" s="88" t="n"/>
      <c r="R66" s="89" t="n"/>
      <c r="S66" s="88" t="n"/>
      <c r="T66" s="88" t="n"/>
      <c r="U66" s="88" t="n"/>
      <c r="V66" s="89" t="n"/>
      <c r="W66" s="88" t="n"/>
      <c r="X66" s="89" t="n"/>
      <c r="Y66" s="88" t="n"/>
      <c r="Z66" s="89" t="n"/>
      <c r="AB66" s="25">
        <f>IF($B66="","",(COUNTIF(C66:E66,"?*")&lt;N(INDEX(Setup!$L$6:$L$23,9)))+(COUNTIF(G66:I66,"?*")&lt;N(INDEX(Setup!$L$6:$L$23,9)))+(COUNTIF(K66:M66,"?*")&lt;N(INDEX(Setup!$L$6:$L$23,9)))+(COUNTIF(O66:Q66,"?*")&lt;N(INDEX(Setup!$L$6:$L$23,9)))+(COUNTIF(S66:U66,"?*")&lt;N(INDEX(Setup!$L$6:$L$23,9)))+((W66="")*(INDEX(Setup!$M$6:$M$23,9)="Y"))+((Y66="")*(INDEX(Setup!$M$6:$M$23,9)="Y")))</f>
        <v/>
      </c>
      <c r="AC66" s="90">
        <f>IF($B66="","",IF(AB66=0,"✓ covered","⚠ "&amp;AB66&amp;IF(AB66=1," gap"," gaps")))</f>
        <v/>
      </c>
    </row>
    <row r="67" ht="17" customHeight="1">
      <c r="A67" t="n">
        <v>2</v>
      </c>
      <c r="B67" s="29">
        <f>IF(Setup!$K$15="","",Setup!$K$15)</f>
        <v/>
      </c>
      <c r="C67" s="88" t="n"/>
      <c r="D67" s="88" t="n"/>
      <c r="E67" s="88" t="n"/>
      <c r="F67" s="89" t="n"/>
      <c r="G67" s="88" t="n"/>
      <c r="H67" s="88" t="n"/>
      <c r="I67" s="88" t="n"/>
      <c r="J67" s="89" t="n"/>
      <c r="K67" s="88" t="n"/>
      <c r="L67" s="88" t="n"/>
      <c r="M67" s="88" t="n"/>
      <c r="N67" s="89" t="n"/>
      <c r="O67" s="88" t="n"/>
      <c r="P67" s="88" t="n"/>
      <c r="Q67" s="88" t="n"/>
      <c r="R67" s="89" t="n"/>
      <c r="S67" s="88" t="n"/>
      <c r="T67" s="88" t="n"/>
      <c r="U67" s="88" t="n"/>
      <c r="V67" s="89" t="n"/>
      <c r="W67" s="88" t="n"/>
      <c r="X67" s="89" t="n"/>
      <c r="Y67" s="88" t="n"/>
      <c r="Z67" s="89" t="n"/>
      <c r="AB67" s="30">
        <f>IF($B67="","",(COUNTIF(C67:E67,"?*")&lt;N(INDEX(Setup!$L$6:$L$23,10)))+(COUNTIF(G67:I67,"?*")&lt;N(INDEX(Setup!$L$6:$L$23,10)))+(COUNTIF(K67:M67,"?*")&lt;N(INDEX(Setup!$L$6:$L$23,10)))+(COUNTIF(O67:Q67,"?*")&lt;N(INDEX(Setup!$L$6:$L$23,10)))+(COUNTIF(S67:U67,"?*")&lt;N(INDEX(Setup!$L$6:$L$23,10)))+((W67="")*(INDEX(Setup!$M$6:$M$23,10)="Y"))+((Y67="")*(INDEX(Setup!$M$6:$M$23,10)="Y")))</f>
        <v/>
      </c>
      <c r="AC67" s="91">
        <f>IF($B67="","",IF(AB67=0,"✓ covered","⚠ "&amp;AB67&amp;IF(AB67=1," gap"," gaps")))</f>
        <v/>
      </c>
    </row>
    <row r="68" ht="17" customHeight="1">
      <c r="A68" t="n">
        <v>2</v>
      </c>
      <c r="B68" s="24">
        <f>IF(Setup!$K$16="","",Setup!$K$16)</f>
        <v/>
      </c>
      <c r="C68" s="88" t="n"/>
      <c r="D68" s="88" t="n"/>
      <c r="E68" s="88" t="n"/>
      <c r="F68" s="89" t="n"/>
      <c r="G68" s="88" t="n"/>
      <c r="H68" s="88" t="n"/>
      <c r="I68" s="88" t="n"/>
      <c r="J68" s="89" t="n"/>
      <c r="K68" s="88" t="n"/>
      <c r="L68" s="88" t="n"/>
      <c r="M68" s="88" t="n"/>
      <c r="N68" s="89" t="n"/>
      <c r="O68" s="88" t="n"/>
      <c r="P68" s="88" t="n"/>
      <c r="Q68" s="88" t="n"/>
      <c r="R68" s="89" t="n"/>
      <c r="S68" s="88" t="n"/>
      <c r="T68" s="88" t="n"/>
      <c r="U68" s="88" t="n"/>
      <c r="V68" s="89" t="n"/>
      <c r="W68" s="88" t="n"/>
      <c r="X68" s="89" t="n"/>
      <c r="Y68" s="88" t="n"/>
      <c r="Z68" s="89" t="n"/>
      <c r="AB68" s="25">
        <f>IF($B68="","",(COUNTIF(C68:E68,"?*")&lt;N(INDEX(Setup!$L$6:$L$23,11)))+(COUNTIF(G68:I68,"?*")&lt;N(INDEX(Setup!$L$6:$L$23,11)))+(COUNTIF(K68:M68,"?*")&lt;N(INDEX(Setup!$L$6:$L$23,11)))+(COUNTIF(O68:Q68,"?*")&lt;N(INDEX(Setup!$L$6:$L$23,11)))+(COUNTIF(S68:U68,"?*")&lt;N(INDEX(Setup!$L$6:$L$23,11)))+((W68="")*(INDEX(Setup!$M$6:$M$23,11)="Y"))+((Y68="")*(INDEX(Setup!$M$6:$M$23,11)="Y")))</f>
        <v/>
      </c>
      <c r="AC68" s="90">
        <f>IF($B68="","",IF(AB68=0,"✓ covered","⚠ "&amp;AB68&amp;IF(AB68=1," gap"," gaps")))</f>
        <v/>
      </c>
    </row>
    <row r="69" ht="17" customHeight="1">
      <c r="A69" t="n">
        <v>2</v>
      </c>
      <c r="B69" s="29">
        <f>IF(Setup!$K$17="","",Setup!$K$17)</f>
        <v/>
      </c>
      <c r="C69" s="88" t="n"/>
      <c r="D69" s="88" t="n"/>
      <c r="E69" s="88" t="n"/>
      <c r="F69" s="89" t="n"/>
      <c r="G69" s="88" t="n"/>
      <c r="H69" s="88" t="n"/>
      <c r="I69" s="88" t="n"/>
      <c r="J69" s="89" t="n"/>
      <c r="K69" s="88" t="n"/>
      <c r="L69" s="88" t="n"/>
      <c r="M69" s="88" t="n"/>
      <c r="N69" s="89" t="n"/>
      <c r="O69" s="88" t="n"/>
      <c r="P69" s="88" t="n"/>
      <c r="Q69" s="88" t="n"/>
      <c r="R69" s="89" t="n"/>
      <c r="S69" s="88" t="n"/>
      <c r="T69" s="88" t="n"/>
      <c r="U69" s="88" t="n"/>
      <c r="V69" s="89" t="n"/>
      <c r="W69" s="88" t="n"/>
      <c r="X69" s="89" t="n"/>
      <c r="Y69" s="88" t="n"/>
      <c r="Z69" s="89" t="n"/>
      <c r="AB69" s="30">
        <f>IF($B69="","",(COUNTIF(C69:E69,"?*")&lt;N(INDEX(Setup!$L$6:$L$23,12)))+(COUNTIF(G69:I69,"?*")&lt;N(INDEX(Setup!$L$6:$L$23,12)))+(COUNTIF(K69:M69,"?*")&lt;N(INDEX(Setup!$L$6:$L$23,12)))+(COUNTIF(O69:Q69,"?*")&lt;N(INDEX(Setup!$L$6:$L$23,12)))+(COUNTIF(S69:U69,"?*")&lt;N(INDEX(Setup!$L$6:$L$23,12)))+((W69="")*(INDEX(Setup!$M$6:$M$23,12)="Y"))+((Y69="")*(INDEX(Setup!$M$6:$M$23,12)="Y")))</f>
        <v/>
      </c>
      <c r="AC69" s="91">
        <f>IF($B69="","",IF(AB69=0,"✓ covered","⚠ "&amp;AB69&amp;IF(AB69=1," gap"," gaps")))</f>
        <v/>
      </c>
    </row>
    <row r="70" ht="17" customHeight="1">
      <c r="A70" t="n">
        <v>2</v>
      </c>
      <c r="B70" s="24">
        <f>IF(Setup!$K$18="","",Setup!$K$18)</f>
        <v/>
      </c>
      <c r="C70" s="88" t="n"/>
      <c r="D70" s="88" t="n"/>
      <c r="E70" s="88" t="n"/>
      <c r="F70" s="89" t="n"/>
      <c r="G70" s="88" t="n"/>
      <c r="H70" s="88" t="n"/>
      <c r="I70" s="88" t="n"/>
      <c r="J70" s="89" t="n"/>
      <c r="K70" s="88" t="n"/>
      <c r="L70" s="88" t="n"/>
      <c r="M70" s="88" t="n"/>
      <c r="N70" s="89" t="n"/>
      <c r="O70" s="88" t="n"/>
      <c r="P70" s="88" t="n"/>
      <c r="Q70" s="88" t="n"/>
      <c r="R70" s="89" t="n"/>
      <c r="S70" s="88" t="n"/>
      <c r="T70" s="88" t="n"/>
      <c r="U70" s="88" t="n"/>
      <c r="V70" s="89" t="n"/>
      <c r="W70" s="88" t="n"/>
      <c r="X70" s="89" t="n"/>
      <c r="Y70" s="88" t="n"/>
      <c r="Z70" s="89" t="n"/>
      <c r="AB70" s="25">
        <f>IF($B70="","",(COUNTIF(C70:E70,"?*")&lt;N(INDEX(Setup!$L$6:$L$23,13)))+(COUNTIF(G70:I70,"?*")&lt;N(INDEX(Setup!$L$6:$L$23,13)))+(COUNTIF(K70:M70,"?*")&lt;N(INDEX(Setup!$L$6:$L$23,13)))+(COUNTIF(O70:Q70,"?*")&lt;N(INDEX(Setup!$L$6:$L$23,13)))+(COUNTIF(S70:U70,"?*")&lt;N(INDEX(Setup!$L$6:$L$23,13)))+((W70="")*(INDEX(Setup!$M$6:$M$23,13)="Y"))+((Y70="")*(INDEX(Setup!$M$6:$M$23,13)="Y")))</f>
        <v/>
      </c>
      <c r="AC70" s="90">
        <f>IF($B70="","",IF(AB70=0,"✓ covered","⚠ "&amp;AB70&amp;IF(AB70=1," gap"," gaps")))</f>
        <v/>
      </c>
    </row>
    <row r="71" ht="17" customHeight="1">
      <c r="A71" t="n">
        <v>2</v>
      </c>
      <c r="B71" s="29">
        <f>IF(Setup!$K$19="","",Setup!$K$19)</f>
        <v/>
      </c>
      <c r="C71" s="88" t="n"/>
      <c r="D71" s="88" t="n"/>
      <c r="E71" s="88" t="n"/>
      <c r="F71" s="89" t="n"/>
      <c r="G71" s="88" t="n"/>
      <c r="H71" s="88" t="n"/>
      <c r="I71" s="88" t="n"/>
      <c r="J71" s="89" t="n"/>
      <c r="K71" s="88" t="n"/>
      <c r="L71" s="88" t="n"/>
      <c r="M71" s="88" t="n"/>
      <c r="N71" s="89" t="n"/>
      <c r="O71" s="88" t="n"/>
      <c r="P71" s="88" t="n"/>
      <c r="Q71" s="88" t="n"/>
      <c r="R71" s="89" t="n"/>
      <c r="S71" s="88" t="n"/>
      <c r="T71" s="88" t="n"/>
      <c r="U71" s="88" t="n"/>
      <c r="V71" s="89" t="n"/>
      <c r="W71" s="88" t="n"/>
      <c r="X71" s="89" t="n"/>
      <c r="Y71" s="88" t="n"/>
      <c r="Z71" s="89" t="n"/>
      <c r="AB71" s="30">
        <f>IF($B71="","",(COUNTIF(C71:E71,"?*")&lt;N(INDEX(Setup!$L$6:$L$23,14)))+(COUNTIF(G71:I71,"?*")&lt;N(INDEX(Setup!$L$6:$L$23,14)))+(COUNTIF(K71:M71,"?*")&lt;N(INDEX(Setup!$L$6:$L$23,14)))+(COUNTIF(O71:Q71,"?*")&lt;N(INDEX(Setup!$L$6:$L$23,14)))+(COUNTIF(S71:U71,"?*")&lt;N(INDEX(Setup!$L$6:$L$23,14)))+((W71="")*(INDEX(Setup!$M$6:$M$23,14)="Y"))+((Y71="")*(INDEX(Setup!$M$6:$M$23,14)="Y")))</f>
        <v/>
      </c>
      <c r="AC71" s="91">
        <f>IF($B71="","",IF(AB71=0,"✓ covered","⚠ "&amp;AB71&amp;IF(AB71=1," gap"," gaps")))</f>
        <v/>
      </c>
    </row>
    <row r="72" ht="17" customHeight="1">
      <c r="A72" t="n">
        <v>2</v>
      </c>
      <c r="B72" s="24">
        <f>IF(Setup!$K$20="","",Setup!$K$20)</f>
        <v/>
      </c>
      <c r="C72" s="88" t="n"/>
      <c r="D72" s="88" t="n"/>
      <c r="E72" s="88" t="n"/>
      <c r="F72" s="89" t="n"/>
      <c r="G72" s="88" t="n"/>
      <c r="H72" s="88" t="n"/>
      <c r="I72" s="88" t="n"/>
      <c r="J72" s="89" t="n"/>
      <c r="K72" s="88" t="n"/>
      <c r="L72" s="88" t="n"/>
      <c r="M72" s="88" t="n"/>
      <c r="N72" s="89" t="n"/>
      <c r="O72" s="88" t="n"/>
      <c r="P72" s="88" t="n"/>
      <c r="Q72" s="88" t="n"/>
      <c r="R72" s="89" t="n"/>
      <c r="S72" s="88" t="n"/>
      <c r="T72" s="88" t="n"/>
      <c r="U72" s="88" t="n"/>
      <c r="V72" s="89" t="n"/>
      <c r="W72" s="88" t="n"/>
      <c r="X72" s="89" t="n"/>
      <c r="Y72" s="88" t="n"/>
      <c r="Z72" s="89" t="n"/>
      <c r="AB72" s="25">
        <f>IF($B72="","",(COUNTIF(C72:E72,"?*")&lt;N(INDEX(Setup!$L$6:$L$23,15)))+(COUNTIF(G72:I72,"?*")&lt;N(INDEX(Setup!$L$6:$L$23,15)))+(COUNTIF(K72:M72,"?*")&lt;N(INDEX(Setup!$L$6:$L$23,15)))+(COUNTIF(O72:Q72,"?*")&lt;N(INDEX(Setup!$L$6:$L$23,15)))+(COUNTIF(S72:U72,"?*")&lt;N(INDEX(Setup!$L$6:$L$23,15)))+((W72="")*(INDEX(Setup!$M$6:$M$23,15)="Y"))+((Y72="")*(INDEX(Setup!$M$6:$M$23,15)="Y")))</f>
        <v/>
      </c>
      <c r="AC72" s="90">
        <f>IF($B72="","",IF(AB72=0,"✓ covered","⚠ "&amp;AB72&amp;IF(AB72=1," gap"," gaps")))</f>
        <v/>
      </c>
    </row>
    <row r="73" ht="17" customHeight="1">
      <c r="A73" t="n">
        <v>2</v>
      </c>
      <c r="B73" s="29">
        <f>IF(Setup!$K$21="","",Setup!$K$21)</f>
        <v/>
      </c>
      <c r="C73" s="88" t="n"/>
      <c r="D73" s="88" t="n"/>
      <c r="E73" s="88" t="n"/>
      <c r="F73" s="89" t="n"/>
      <c r="G73" s="88" t="n"/>
      <c r="H73" s="88" t="n"/>
      <c r="I73" s="88" t="n"/>
      <c r="J73" s="89" t="n"/>
      <c r="K73" s="88" t="n"/>
      <c r="L73" s="88" t="n"/>
      <c r="M73" s="88" t="n"/>
      <c r="N73" s="89" t="n"/>
      <c r="O73" s="88" t="n"/>
      <c r="P73" s="88" t="n"/>
      <c r="Q73" s="88" t="n"/>
      <c r="R73" s="89" t="n"/>
      <c r="S73" s="88" t="n"/>
      <c r="T73" s="88" t="n"/>
      <c r="U73" s="88" t="n"/>
      <c r="V73" s="89" t="n"/>
      <c r="W73" s="88" t="n"/>
      <c r="X73" s="89" t="n"/>
      <c r="Y73" s="88" t="n"/>
      <c r="Z73" s="89" t="n"/>
      <c r="AB73" s="30">
        <f>IF($B73="","",(COUNTIF(C73:E73,"?*")&lt;N(INDEX(Setup!$L$6:$L$23,16)))+(COUNTIF(G73:I73,"?*")&lt;N(INDEX(Setup!$L$6:$L$23,16)))+(COUNTIF(K73:M73,"?*")&lt;N(INDEX(Setup!$L$6:$L$23,16)))+(COUNTIF(O73:Q73,"?*")&lt;N(INDEX(Setup!$L$6:$L$23,16)))+(COUNTIF(S73:U73,"?*")&lt;N(INDEX(Setup!$L$6:$L$23,16)))+((W73="")*(INDEX(Setup!$M$6:$M$23,16)="Y"))+((Y73="")*(INDEX(Setup!$M$6:$M$23,16)="Y")))</f>
        <v/>
      </c>
      <c r="AC73" s="91">
        <f>IF($B73="","",IF(AB73=0,"✓ covered","⚠ "&amp;AB73&amp;IF(AB73=1," gap"," gaps")))</f>
        <v/>
      </c>
    </row>
    <row r="74" ht="17" customHeight="1">
      <c r="A74" t="n">
        <v>2</v>
      </c>
      <c r="B74" s="24">
        <f>IF(Setup!$K$22="","",Setup!$K$22)</f>
        <v/>
      </c>
      <c r="C74" s="88" t="n"/>
      <c r="D74" s="88" t="n"/>
      <c r="E74" s="88" t="n"/>
      <c r="F74" s="89" t="n"/>
      <c r="G74" s="88" t="n"/>
      <c r="H74" s="88" t="n"/>
      <c r="I74" s="88" t="n"/>
      <c r="J74" s="89" t="n"/>
      <c r="K74" s="88" t="n"/>
      <c r="L74" s="88" t="n"/>
      <c r="M74" s="88" t="n"/>
      <c r="N74" s="89" t="n"/>
      <c r="O74" s="88" t="n"/>
      <c r="P74" s="88" t="n"/>
      <c r="Q74" s="88" t="n"/>
      <c r="R74" s="89" t="n"/>
      <c r="S74" s="88" t="n"/>
      <c r="T74" s="88" t="n"/>
      <c r="U74" s="88" t="n"/>
      <c r="V74" s="89" t="n"/>
      <c r="W74" s="88" t="n"/>
      <c r="X74" s="89" t="n"/>
      <c r="Y74" s="88" t="n"/>
      <c r="Z74" s="89" t="n"/>
      <c r="AB74" s="25">
        <f>IF($B74="","",(COUNTIF(C74:E74,"?*")&lt;N(INDEX(Setup!$L$6:$L$23,17)))+(COUNTIF(G74:I74,"?*")&lt;N(INDEX(Setup!$L$6:$L$23,17)))+(COUNTIF(K74:M74,"?*")&lt;N(INDEX(Setup!$L$6:$L$23,17)))+(COUNTIF(O74:Q74,"?*")&lt;N(INDEX(Setup!$L$6:$L$23,17)))+(COUNTIF(S74:U74,"?*")&lt;N(INDEX(Setup!$L$6:$L$23,17)))+((W74="")*(INDEX(Setup!$M$6:$M$23,17)="Y"))+((Y74="")*(INDEX(Setup!$M$6:$M$23,17)="Y")))</f>
        <v/>
      </c>
      <c r="AC74" s="90">
        <f>IF($B74="","",IF(AB74=0,"✓ covered","⚠ "&amp;AB74&amp;IF(AB74=1," gap"," gaps")))</f>
        <v/>
      </c>
    </row>
    <row r="75" ht="17" customHeight="1">
      <c r="A75" t="n">
        <v>2</v>
      </c>
      <c r="B75" s="29">
        <f>IF(Setup!$K$23="","",Setup!$K$23)</f>
        <v/>
      </c>
      <c r="C75" s="88" t="n"/>
      <c r="D75" s="88" t="n"/>
      <c r="E75" s="88" t="n"/>
      <c r="F75" s="89" t="n"/>
      <c r="G75" s="88" t="n"/>
      <c r="H75" s="88" t="n"/>
      <c r="I75" s="88" t="n"/>
      <c r="J75" s="89" t="n"/>
      <c r="K75" s="88" t="n"/>
      <c r="L75" s="88" t="n"/>
      <c r="M75" s="88" t="n"/>
      <c r="N75" s="89" t="n"/>
      <c r="O75" s="88" t="n"/>
      <c r="P75" s="88" t="n"/>
      <c r="Q75" s="88" t="n"/>
      <c r="R75" s="89" t="n"/>
      <c r="S75" s="88" t="n"/>
      <c r="T75" s="88" t="n"/>
      <c r="U75" s="88" t="n"/>
      <c r="V75" s="89" t="n"/>
      <c r="W75" s="88" t="n"/>
      <c r="X75" s="89" t="n"/>
      <c r="Y75" s="88" t="n"/>
      <c r="Z75" s="89" t="n"/>
      <c r="AB75" s="30">
        <f>IF($B75="","",(COUNTIF(C75:E75,"?*")&lt;N(INDEX(Setup!$L$6:$L$23,18)))+(COUNTIF(G75:I75,"?*")&lt;N(INDEX(Setup!$L$6:$L$23,18)))+(COUNTIF(K75:M75,"?*")&lt;N(INDEX(Setup!$L$6:$L$23,18)))+(COUNTIF(O75:Q75,"?*")&lt;N(INDEX(Setup!$L$6:$L$23,18)))+(COUNTIF(S75:U75,"?*")&lt;N(INDEX(Setup!$L$6:$L$23,18)))+((W75="")*(INDEX(Setup!$M$6:$M$23,18)="Y"))+((Y75="")*(INDEX(Setup!$M$6:$M$23,18)="Y")))</f>
        <v/>
      </c>
      <c r="AC75" s="91">
        <f>IF($B75="","",IF(AB75=0,"✓ covered","⚠ "&amp;AB75&amp;IF(AB75=1," gap"," gaps")))</f>
        <v/>
      </c>
    </row>
    <row r="76" ht="18" customHeight="1">
      <c r="A76" t="n">
        <v>2</v>
      </c>
      <c r="B76" s="78" t="inlineStr">
        <is>
          <t>TEAM AVAILABILITY</t>
        </is>
      </c>
      <c r="C76" s="92" t="inlineStr">
        <is>
          <t>Mon</t>
        </is>
      </c>
      <c r="D76" s="93" t="n"/>
      <c r="E76" s="93" t="n"/>
      <c r="F76" s="94" t="n"/>
      <c r="G76" s="92" t="inlineStr">
        <is>
          <t>Tue</t>
        </is>
      </c>
      <c r="H76" s="93" t="n"/>
      <c r="I76" s="93" t="n"/>
      <c r="J76" s="94" t="n"/>
      <c r="K76" s="92" t="inlineStr">
        <is>
          <t>Wed</t>
        </is>
      </c>
      <c r="L76" s="93" t="n"/>
      <c r="M76" s="93" t="n"/>
      <c r="N76" s="94" t="n"/>
      <c r="O76" s="92" t="inlineStr">
        <is>
          <t>Thu</t>
        </is>
      </c>
      <c r="P76" s="93" t="n"/>
      <c r="Q76" s="93" t="n"/>
      <c r="R76" s="94" t="n"/>
      <c r="S76" s="92" t="inlineStr">
        <is>
          <t>Fri</t>
        </is>
      </c>
      <c r="T76" s="93" t="n"/>
      <c r="U76" s="93" t="n"/>
      <c r="V76" s="94" t="n"/>
      <c r="W76" s="95" t="inlineStr">
        <is>
          <t>Sat</t>
        </is>
      </c>
      <c r="X76" s="96" t="n"/>
      <c r="Y76" s="95" t="inlineStr">
        <is>
          <t>Sun</t>
        </is>
      </c>
      <c r="Z76" s="96" t="n"/>
      <c r="AB76" s="97" t="inlineStr">
        <is>
          <t>Days rostered</t>
        </is>
      </c>
      <c r="AC76" s="97" t="inlineStr">
        <is>
          <t>Conflicts</t>
        </is>
      </c>
    </row>
    <row r="77" ht="15" customHeight="1">
      <c r="A77" t="n">
        <v>2</v>
      </c>
      <c r="B77" s="35">
        <f>IF(Setup!$B$6="","",Setup!$B$6)</f>
        <v/>
      </c>
      <c r="C77" s="98" t="inlineStr">
        <is>
          <t>AL</t>
        </is>
      </c>
      <c r="D77" s="99" t="n"/>
      <c r="E77" s="99" t="n"/>
      <c r="F77" s="100" t="n"/>
      <c r="G77" s="98" t="n"/>
      <c r="H77" s="99" t="n"/>
      <c r="I77" s="99" t="n"/>
      <c r="J77" s="100" t="n"/>
      <c r="K77" s="98" t="n"/>
      <c r="L77" s="99" t="n"/>
      <c r="M77" s="99" t="n"/>
      <c r="N77" s="100" t="n"/>
      <c r="O77" s="98" t="n"/>
      <c r="P77" s="99" t="n"/>
      <c r="Q77" s="99" t="n"/>
      <c r="R77" s="100" t="n"/>
      <c r="S77" s="98" t="n"/>
      <c r="T77" s="99" t="n"/>
      <c r="U77" s="99" t="n"/>
      <c r="V77" s="100" t="n"/>
      <c r="W77" s="98" t="n"/>
      <c r="X77" s="100" t="n"/>
      <c r="Y77" s="98" t="n"/>
      <c r="Z77" s="100" t="n"/>
      <c r="AB77" s="101">
        <f>IF($B77="","",(COUNTIF(C58:E75,$B77)+COUNTIF(C58:E75,$B77&amp;" ~*")&gt;0)+(COUNTIF(G58:I75,$B77)+COUNTIF(G58:I75,$B77&amp;" ~*")&gt;0)+(COUNTIF(K58:M75,$B77)+COUNTIF(K58:M75,$B77&amp;" ~*")&gt;0)+(COUNTIF(O58:Q75,$B77)+COUNTIF(O58:Q75,$B77&amp;" ~*")&gt;0)+(COUNTIF(S58:U75,$B77)+COUNTIF(S58:U75,$B77&amp;" ~*")&gt;0)+(COUNTIF(W58:W75,$B77)+COUNTIF(W58:W75,$B77&amp;" ~*")&gt;0)+(COUNTIF(Y58:Y75,$B77)+COUNTIF(Y58:Y75,$B77&amp;" ~*")&gt;0))</f>
        <v/>
      </c>
      <c r="AC77" s="36">
        <f>IF($B77="","",(IFERROR(INDEX(Setup!$G$33:$G$40,MATCH(C77,Setup!$B$33:$B$40,0)),0)=1)*(COUNTIF(C58:E75,$B77)+COUNTIF(C58:E75,$B77&amp;" ~*")&gt;0)+(IFERROR(INDEX(Setup!$G$33:$G$40,MATCH(G77,Setup!$B$33:$B$40,0)),0)=1)*(COUNTIF(G58:I75,$B77)+COUNTIF(G58:I75,$B77&amp;" ~*")&gt;0)+(IFERROR(INDEX(Setup!$G$33:$G$40,MATCH(K77,Setup!$B$33:$B$40,0)),0)=1)*(COUNTIF(K58:M75,$B77)+COUNTIF(K58:M75,$B77&amp;" ~*")&gt;0)+(IFERROR(INDEX(Setup!$G$33:$G$40,MATCH(O77,Setup!$B$33:$B$40,0)),0)=1)*(COUNTIF(O58:Q75,$B77)+COUNTIF(O58:Q75,$B77&amp;" ~*")&gt;0)+(IFERROR(INDEX(Setup!$G$33:$G$40,MATCH(S77,Setup!$B$33:$B$40,0)),0)=1)*(COUNTIF(S58:U75,$B77)+COUNTIF(S58:U75,$B77&amp;" ~*")&gt;0)+(IFERROR(INDEX(Setup!$G$33:$G$40,MATCH(W77,Setup!$B$33:$B$40,0)),0)=1)*(COUNTIF(W58:W75,$B77)+COUNTIF(W58:W75,$B77&amp;" ~*")&gt;0)+(IFERROR(INDEX(Setup!$G$33:$G$40,MATCH(Y77,Setup!$B$33:$B$40,0)),0)=1)*(COUNTIF(Y58:Y75,$B77)+COUNTIF(Y58:Y75,$B77&amp;" ~*")&gt;0))</f>
        <v/>
      </c>
    </row>
    <row r="78" ht="15" customHeight="1">
      <c r="A78" t="n">
        <v>2</v>
      </c>
      <c r="B78" s="37">
        <f>IF(Setup!$B$7="","",Setup!$B$7)</f>
        <v/>
      </c>
      <c r="C78" s="102" t="n"/>
      <c r="D78" s="103" t="n"/>
      <c r="E78" s="103" t="n"/>
      <c r="F78" s="104" t="n"/>
      <c r="G78" s="102" t="n"/>
      <c r="H78" s="103" t="n"/>
      <c r="I78" s="103" t="n"/>
      <c r="J78" s="104" t="n"/>
      <c r="K78" s="102" t="n"/>
      <c r="L78" s="103" t="n"/>
      <c r="M78" s="103" t="n"/>
      <c r="N78" s="104" t="n"/>
      <c r="O78" s="102" t="n"/>
      <c r="P78" s="103" t="n"/>
      <c r="Q78" s="103" t="n"/>
      <c r="R78" s="104" t="n"/>
      <c r="S78" s="102" t="n"/>
      <c r="T78" s="103" t="n"/>
      <c r="U78" s="103" t="n"/>
      <c r="V78" s="104" t="n"/>
      <c r="W78" s="102" t="n"/>
      <c r="X78" s="104" t="n"/>
      <c r="Y78" s="102" t="n"/>
      <c r="Z78" s="104" t="n"/>
      <c r="AB78" s="105">
        <f>IF($B78="","",(COUNTIF(C58:E75,$B78)+COUNTIF(C58:E75,$B78&amp;" ~*")&gt;0)+(COUNTIF(G58:I75,$B78)+COUNTIF(G58:I75,$B78&amp;" ~*")&gt;0)+(COUNTIF(K58:M75,$B78)+COUNTIF(K58:M75,$B78&amp;" ~*")&gt;0)+(COUNTIF(O58:Q75,$B78)+COUNTIF(O58:Q75,$B78&amp;" ~*")&gt;0)+(COUNTIF(S58:U75,$B78)+COUNTIF(S58:U75,$B78&amp;" ~*")&gt;0)+(COUNTIF(W58:W75,$B78)+COUNTIF(W58:W75,$B78&amp;" ~*")&gt;0)+(COUNTIF(Y58:Y75,$B78)+COUNTIF(Y58:Y75,$B78&amp;" ~*")&gt;0))</f>
        <v/>
      </c>
      <c r="AC78" s="38">
        <f>IF($B78="","",(IFERROR(INDEX(Setup!$G$33:$G$40,MATCH(C78,Setup!$B$33:$B$40,0)),0)=1)*(COUNTIF(C58:E75,$B78)+COUNTIF(C58:E75,$B78&amp;" ~*")&gt;0)+(IFERROR(INDEX(Setup!$G$33:$G$40,MATCH(G78,Setup!$B$33:$B$40,0)),0)=1)*(COUNTIF(G58:I75,$B78)+COUNTIF(G58:I75,$B78&amp;" ~*")&gt;0)+(IFERROR(INDEX(Setup!$G$33:$G$40,MATCH(K78,Setup!$B$33:$B$40,0)),0)=1)*(COUNTIF(K58:M75,$B78)+COUNTIF(K58:M75,$B78&amp;" ~*")&gt;0)+(IFERROR(INDEX(Setup!$G$33:$G$40,MATCH(O78,Setup!$B$33:$B$40,0)),0)=1)*(COUNTIF(O58:Q75,$B78)+COUNTIF(O58:Q75,$B78&amp;" ~*")&gt;0)+(IFERROR(INDEX(Setup!$G$33:$G$40,MATCH(S78,Setup!$B$33:$B$40,0)),0)=1)*(COUNTIF(S58:U75,$B78)+COUNTIF(S58:U75,$B78&amp;" ~*")&gt;0)+(IFERROR(INDEX(Setup!$G$33:$G$40,MATCH(W78,Setup!$B$33:$B$40,0)),0)=1)*(COUNTIF(W58:W75,$B78)+COUNTIF(W58:W75,$B78&amp;" ~*")&gt;0)+(IFERROR(INDEX(Setup!$G$33:$G$40,MATCH(Y78,Setup!$B$33:$B$40,0)),0)=1)*(COUNTIF(Y58:Y75,$B78)+COUNTIF(Y58:Y75,$B78&amp;" ~*")&gt;0))</f>
        <v/>
      </c>
    </row>
    <row r="79" ht="15" customHeight="1">
      <c r="A79" t="n">
        <v>2</v>
      </c>
      <c r="B79" s="35">
        <f>IF(Setup!$B$8="","",Setup!$B$8)</f>
        <v/>
      </c>
      <c r="C79" s="98" t="n"/>
      <c r="D79" s="99" t="n"/>
      <c r="E79" s="99" t="n"/>
      <c r="F79" s="100" t="n"/>
      <c r="G79" s="98" t="n"/>
      <c r="H79" s="99" t="n"/>
      <c r="I79" s="99" t="n"/>
      <c r="J79" s="100" t="n"/>
      <c r="K79" s="98" t="n"/>
      <c r="L79" s="99" t="n"/>
      <c r="M79" s="99" t="n"/>
      <c r="N79" s="100" t="n"/>
      <c r="O79" s="98" t="n"/>
      <c r="P79" s="99" t="n"/>
      <c r="Q79" s="99" t="n"/>
      <c r="R79" s="100" t="n"/>
      <c r="S79" s="98" t="n"/>
      <c r="T79" s="99" t="n"/>
      <c r="U79" s="99" t="n"/>
      <c r="V79" s="100" t="n"/>
      <c r="W79" s="98" t="n"/>
      <c r="X79" s="100" t="n"/>
      <c r="Y79" s="98" t="n"/>
      <c r="Z79" s="100" t="n"/>
      <c r="AB79" s="101">
        <f>IF($B79="","",(COUNTIF(C58:E75,$B79)+COUNTIF(C58:E75,$B79&amp;" ~*")&gt;0)+(COUNTIF(G58:I75,$B79)+COUNTIF(G58:I75,$B79&amp;" ~*")&gt;0)+(COUNTIF(K58:M75,$B79)+COUNTIF(K58:M75,$B79&amp;" ~*")&gt;0)+(COUNTIF(O58:Q75,$B79)+COUNTIF(O58:Q75,$B79&amp;" ~*")&gt;0)+(COUNTIF(S58:U75,$B79)+COUNTIF(S58:U75,$B79&amp;" ~*")&gt;0)+(COUNTIF(W58:W75,$B79)+COUNTIF(W58:W75,$B79&amp;" ~*")&gt;0)+(COUNTIF(Y58:Y75,$B79)+COUNTIF(Y58:Y75,$B79&amp;" ~*")&gt;0))</f>
        <v/>
      </c>
      <c r="AC79" s="36">
        <f>IF($B79="","",(IFERROR(INDEX(Setup!$G$33:$G$40,MATCH(C79,Setup!$B$33:$B$40,0)),0)=1)*(COUNTIF(C58:E75,$B79)+COUNTIF(C58:E75,$B79&amp;" ~*")&gt;0)+(IFERROR(INDEX(Setup!$G$33:$G$40,MATCH(G79,Setup!$B$33:$B$40,0)),0)=1)*(COUNTIF(G58:I75,$B79)+COUNTIF(G58:I75,$B79&amp;" ~*")&gt;0)+(IFERROR(INDEX(Setup!$G$33:$G$40,MATCH(K79,Setup!$B$33:$B$40,0)),0)=1)*(COUNTIF(K58:M75,$B79)+COUNTIF(K58:M75,$B79&amp;" ~*")&gt;0)+(IFERROR(INDEX(Setup!$G$33:$G$40,MATCH(O79,Setup!$B$33:$B$40,0)),0)=1)*(COUNTIF(O58:Q75,$B79)+COUNTIF(O58:Q75,$B79&amp;" ~*")&gt;0)+(IFERROR(INDEX(Setup!$G$33:$G$40,MATCH(S79,Setup!$B$33:$B$40,0)),0)=1)*(COUNTIF(S58:U75,$B79)+COUNTIF(S58:U75,$B79&amp;" ~*")&gt;0)+(IFERROR(INDEX(Setup!$G$33:$G$40,MATCH(W79,Setup!$B$33:$B$40,0)),0)=1)*(COUNTIF(W58:W75,$B79)+COUNTIF(W58:W75,$B79&amp;" ~*")&gt;0)+(IFERROR(INDEX(Setup!$G$33:$G$40,MATCH(Y79,Setup!$B$33:$B$40,0)),0)=1)*(COUNTIF(Y58:Y75,$B79)+COUNTIF(Y58:Y75,$B79&amp;" ~*")&gt;0))</f>
        <v/>
      </c>
    </row>
    <row r="80" ht="15" customHeight="1">
      <c r="A80" t="n">
        <v>2</v>
      </c>
      <c r="B80" s="37">
        <f>IF(Setup!$B$9="","",Setup!$B$9)</f>
        <v/>
      </c>
      <c r="C80" s="102" t="n"/>
      <c r="D80" s="103" t="n"/>
      <c r="E80" s="103" t="n"/>
      <c r="F80" s="104" t="n"/>
      <c r="G80" s="102" t="n"/>
      <c r="H80" s="103" t="n"/>
      <c r="I80" s="103" t="n"/>
      <c r="J80" s="104" t="n"/>
      <c r="K80" s="102" t="n"/>
      <c r="L80" s="103" t="n"/>
      <c r="M80" s="103" t="n"/>
      <c r="N80" s="104" t="n"/>
      <c r="O80" s="102" t="n"/>
      <c r="P80" s="103" t="n"/>
      <c r="Q80" s="103" t="n"/>
      <c r="R80" s="104" t="n"/>
      <c r="S80" s="102" t="n"/>
      <c r="T80" s="103" t="n"/>
      <c r="U80" s="103" t="n"/>
      <c r="V80" s="104" t="n"/>
      <c r="W80" s="102" t="n"/>
      <c r="X80" s="104" t="n"/>
      <c r="Y80" s="102" t="n"/>
      <c r="Z80" s="104" t="n"/>
      <c r="AB80" s="105">
        <f>IF($B80="","",(COUNTIF(C58:E75,$B80)+COUNTIF(C58:E75,$B80&amp;" ~*")&gt;0)+(COUNTIF(G58:I75,$B80)+COUNTIF(G58:I75,$B80&amp;" ~*")&gt;0)+(COUNTIF(K58:M75,$B80)+COUNTIF(K58:M75,$B80&amp;" ~*")&gt;0)+(COUNTIF(O58:Q75,$B80)+COUNTIF(O58:Q75,$B80&amp;" ~*")&gt;0)+(COUNTIF(S58:U75,$B80)+COUNTIF(S58:U75,$B80&amp;" ~*")&gt;0)+(COUNTIF(W58:W75,$B80)+COUNTIF(W58:W75,$B80&amp;" ~*")&gt;0)+(COUNTIF(Y58:Y75,$B80)+COUNTIF(Y58:Y75,$B80&amp;" ~*")&gt;0))</f>
        <v/>
      </c>
      <c r="AC80" s="38">
        <f>IF($B80="","",(IFERROR(INDEX(Setup!$G$33:$G$40,MATCH(C80,Setup!$B$33:$B$40,0)),0)=1)*(COUNTIF(C58:E75,$B80)+COUNTIF(C58:E75,$B80&amp;" ~*")&gt;0)+(IFERROR(INDEX(Setup!$G$33:$G$40,MATCH(G80,Setup!$B$33:$B$40,0)),0)=1)*(COUNTIF(G58:I75,$B80)+COUNTIF(G58:I75,$B80&amp;" ~*")&gt;0)+(IFERROR(INDEX(Setup!$G$33:$G$40,MATCH(K80,Setup!$B$33:$B$40,0)),0)=1)*(COUNTIF(K58:M75,$B80)+COUNTIF(K58:M75,$B80&amp;" ~*")&gt;0)+(IFERROR(INDEX(Setup!$G$33:$G$40,MATCH(O80,Setup!$B$33:$B$40,0)),0)=1)*(COUNTIF(O58:Q75,$B80)+COUNTIF(O58:Q75,$B80&amp;" ~*")&gt;0)+(IFERROR(INDEX(Setup!$G$33:$G$40,MATCH(S80,Setup!$B$33:$B$40,0)),0)=1)*(COUNTIF(S58:U75,$B80)+COUNTIF(S58:U75,$B80&amp;" ~*")&gt;0)+(IFERROR(INDEX(Setup!$G$33:$G$40,MATCH(W80,Setup!$B$33:$B$40,0)),0)=1)*(COUNTIF(W58:W75,$B80)+COUNTIF(W58:W75,$B80&amp;" ~*")&gt;0)+(IFERROR(INDEX(Setup!$G$33:$G$40,MATCH(Y80,Setup!$B$33:$B$40,0)),0)=1)*(COUNTIF(Y58:Y75,$B80)+COUNTIF(Y58:Y75,$B80&amp;" ~*")&gt;0))</f>
        <v/>
      </c>
    </row>
    <row r="81" ht="15" customHeight="1">
      <c r="A81" t="n">
        <v>2</v>
      </c>
      <c r="B81" s="35">
        <f>IF(Setup!$B$10="","",Setup!$B$10)</f>
        <v/>
      </c>
      <c r="C81" s="98" t="n"/>
      <c r="D81" s="99" t="n"/>
      <c r="E81" s="99" t="n"/>
      <c r="F81" s="100" t="n"/>
      <c r="G81" s="98" t="n"/>
      <c r="H81" s="99" t="n"/>
      <c r="I81" s="99" t="n"/>
      <c r="J81" s="100" t="n"/>
      <c r="K81" s="98" t="n"/>
      <c r="L81" s="99" t="n"/>
      <c r="M81" s="99" t="n"/>
      <c r="N81" s="100" t="n"/>
      <c r="O81" s="98" t="n"/>
      <c r="P81" s="99" t="n"/>
      <c r="Q81" s="99" t="n"/>
      <c r="R81" s="100" t="n"/>
      <c r="S81" s="98" t="n"/>
      <c r="T81" s="99" t="n"/>
      <c r="U81" s="99" t="n"/>
      <c r="V81" s="100" t="n"/>
      <c r="W81" s="98" t="n"/>
      <c r="X81" s="100" t="n"/>
      <c r="Y81" s="98" t="n"/>
      <c r="Z81" s="100" t="n"/>
      <c r="AB81" s="101">
        <f>IF($B81="","",(COUNTIF(C58:E75,$B81)+COUNTIF(C58:E75,$B81&amp;" ~*")&gt;0)+(COUNTIF(G58:I75,$B81)+COUNTIF(G58:I75,$B81&amp;" ~*")&gt;0)+(COUNTIF(K58:M75,$B81)+COUNTIF(K58:M75,$B81&amp;" ~*")&gt;0)+(COUNTIF(O58:Q75,$B81)+COUNTIF(O58:Q75,$B81&amp;" ~*")&gt;0)+(COUNTIF(S58:U75,$B81)+COUNTIF(S58:U75,$B81&amp;" ~*")&gt;0)+(COUNTIF(W58:W75,$B81)+COUNTIF(W58:W75,$B81&amp;" ~*")&gt;0)+(COUNTIF(Y58:Y75,$B81)+COUNTIF(Y58:Y75,$B81&amp;" ~*")&gt;0))</f>
        <v/>
      </c>
      <c r="AC81" s="36">
        <f>IF($B81="","",(IFERROR(INDEX(Setup!$G$33:$G$40,MATCH(C81,Setup!$B$33:$B$40,0)),0)=1)*(COUNTIF(C58:E75,$B81)+COUNTIF(C58:E75,$B81&amp;" ~*")&gt;0)+(IFERROR(INDEX(Setup!$G$33:$G$40,MATCH(G81,Setup!$B$33:$B$40,0)),0)=1)*(COUNTIF(G58:I75,$B81)+COUNTIF(G58:I75,$B81&amp;" ~*")&gt;0)+(IFERROR(INDEX(Setup!$G$33:$G$40,MATCH(K81,Setup!$B$33:$B$40,0)),0)=1)*(COUNTIF(K58:M75,$B81)+COUNTIF(K58:M75,$B81&amp;" ~*")&gt;0)+(IFERROR(INDEX(Setup!$G$33:$G$40,MATCH(O81,Setup!$B$33:$B$40,0)),0)=1)*(COUNTIF(O58:Q75,$B81)+COUNTIF(O58:Q75,$B81&amp;" ~*")&gt;0)+(IFERROR(INDEX(Setup!$G$33:$G$40,MATCH(S81,Setup!$B$33:$B$40,0)),0)=1)*(COUNTIF(S58:U75,$B81)+COUNTIF(S58:U75,$B81&amp;" ~*")&gt;0)+(IFERROR(INDEX(Setup!$G$33:$G$40,MATCH(W81,Setup!$B$33:$B$40,0)),0)=1)*(COUNTIF(W58:W75,$B81)+COUNTIF(W58:W75,$B81&amp;" ~*")&gt;0)+(IFERROR(INDEX(Setup!$G$33:$G$40,MATCH(Y81,Setup!$B$33:$B$40,0)),0)=1)*(COUNTIF(Y58:Y75,$B81)+COUNTIF(Y58:Y75,$B81&amp;" ~*")&gt;0))</f>
        <v/>
      </c>
    </row>
    <row r="82" ht="15" customHeight="1">
      <c r="A82" t="n">
        <v>2</v>
      </c>
      <c r="B82" s="37">
        <f>IF(Setup!$B$11="","",Setup!$B$11)</f>
        <v/>
      </c>
      <c r="C82" s="102" t="n"/>
      <c r="D82" s="103" t="n"/>
      <c r="E82" s="103" t="n"/>
      <c r="F82" s="104" t="n"/>
      <c r="G82" s="102" t="n"/>
      <c r="H82" s="103" t="n"/>
      <c r="I82" s="103" t="n"/>
      <c r="J82" s="104" t="n"/>
      <c r="K82" s="102" t="n"/>
      <c r="L82" s="103" t="n"/>
      <c r="M82" s="103" t="n"/>
      <c r="N82" s="104" t="n"/>
      <c r="O82" s="102" t="n"/>
      <c r="P82" s="103" t="n"/>
      <c r="Q82" s="103" t="n"/>
      <c r="R82" s="104" t="n"/>
      <c r="S82" s="102" t="n"/>
      <c r="T82" s="103" t="n"/>
      <c r="U82" s="103" t="n"/>
      <c r="V82" s="104" t="n"/>
      <c r="W82" s="102" t="n"/>
      <c r="X82" s="104" t="n"/>
      <c r="Y82" s="102" t="n"/>
      <c r="Z82" s="104" t="n"/>
      <c r="AB82" s="105">
        <f>IF($B82="","",(COUNTIF(C58:E75,$B82)+COUNTIF(C58:E75,$B82&amp;" ~*")&gt;0)+(COUNTIF(G58:I75,$B82)+COUNTIF(G58:I75,$B82&amp;" ~*")&gt;0)+(COUNTIF(K58:M75,$B82)+COUNTIF(K58:M75,$B82&amp;" ~*")&gt;0)+(COUNTIF(O58:Q75,$B82)+COUNTIF(O58:Q75,$B82&amp;" ~*")&gt;0)+(COUNTIF(S58:U75,$B82)+COUNTIF(S58:U75,$B82&amp;" ~*")&gt;0)+(COUNTIF(W58:W75,$B82)+COUNTIF(W58:W75,$B82&amp;" ~*")&gt;0)+(COUNTIF(Y58:Y75,$B82)+COUNTIF(Y58:Y75,$B82&amp;" ~*")&gt;0))</f>
        <v/>
      </c>
      <c r="AC82" s="38">
        <f>IF($B82="","",(IFERROR(INDEX(Setup!$G$33:$G$40,MATCH(C82,Setup!$B$33:$B$40,0)),0)=1)*(COUNTIF(C58:E75,$B82)+COUNTIF(C58:E75,$B82&amp;" ~*")&gt;0)+(IFERROR(INDEX(Setup!$G$33:$G$40,MATCH(G82,Setup!$B$33:$B$40,0)),0)=1)*(COUNTIF(G58:I75,$B82)+COUNTIF(G58:I75,$B82&amp;" ~*")&gt;0)+(IFERROR(INDEX(Setup!$G$33:$G$40,MATCH(K82,Setup!$B$33:$B$40,0)),0)=1)*(COUNTIF(K58:M75,$B82)+COUNTIF(K58:M75,$B82&amp;" ~*")&gt;0)+(IFERROR(INDEX(Setup!$G$33:$G$40,MATCH(O82,Setup!$B$33:$B$40,0)),0)=1)*(COUNTIF(O58:Q75,$B82)+COUNTIF(O58:Q75,$B82&amp;" ~*")&gt;0)+(IFERROR(INDEX(Setup!$G$33:$G$40,MATCH(S82,Setup!$B$33:$B$40,0)),0)=1)*(COUNTIF(S58:U75,$B82)+COUNTIF(S58:U75,$B82&amp;" ~*")&gt;0)+(IFERROR(INDEX(Setup!$G$33:$G$40,MATCH(W82,Setup!$B$33:$B$40,0)),0)=1)*(COUNTIF(W58:W75,$B82)+COUNTIF(W58:W75,$B82&amp;" ~*")&gt;0)+(IFERROR(INDEX(Setup!$G$33:$G$40,MATCH(Y82,Setup!$B$33:$B$40,0)),0)=1)*(COUNTIF(Y58:Y75,$B82)+COUNTIF(Y58:Y75,$B82&amp;" ~*")&gt;0))</f>
        <v/>
      </c>
    </row>
    <row r="83" ht="15" customHeight="1">
      <c r="A83" t="n">
        <v>2</v>
      </c>
      <c r="B83" s="35">
        <f>IF(Setup!$B$12="","",Setup!$B$12)</f>
        <v/>
      </c>
      <c r="C83" s="98" t="n"/>
      <c r="D83" s="99" t="n"/>
      <c r="E83" s="99" t="n"/>
      <c r="F83" s="100" t="n"/>
      <c r="G83" s="98" t="n"/>
      <c r="H83" s="99" t="n"/>
      <c r="I83" s="99" t="n"/>
      <c r="J83" s="100" t="n"/>
      <c r="K83" s="98" t="n"/>
      <c r="L83" s="99" t="n"/>
      <c r="M83" s="99" t="n"/>
      <c r="N83" s="100" t="n"/>
      <c r="O83" s="98" t="n"/>
      <c r="P83" s="99" t="n"/>
      <c r="Q83" s="99" t="n"/>
      <c r="R83" s="100" t="n"/>
      <c r="S83" s="98" t="inlineStr">
        <is>
          <t>AL</t>
        </is>
      </c>
      <c r="T83" s="99" t="n"/>
      <c r="U83" s="99" t="n"/>
      <c r="V83" s="100" t="n"/>
      <c r="W83" s="98" t="n"/>
      <c r="X83" s="100" t="n"/>
      <c r="Y83" s="98" t="n"/>
      <c r="Z83" s="100" t="n"/>
      <c r="AB83" s="101">
        <f>IF($B83="","",(COUNTIF(C58:E75,$B83)+COUNTIF(C58:E75,$B83&amp;" ~*")&gt;0)+(COUNTIF(G58:I75,$B83)+COUNTIF(G58:I75,$B83&amp;" ~*")&gt;0)+(COUNTIF(K58:M75,$B83)+COUNTIF(K58:M75,$B83&amp;" ~*")&gt;0)+(COUNTIF(O58:Q75,$B83)+COUNTIF(O58:Q75,$B83&amp;" ~*")&gt;0)+(COUNTIF(S58:U75,$B83)+COUNTIF(S58:U75,$B83&amp;" ~*")&gt;0)+(COUNTIF(W58:W75,$B83)+COUNTIF(W58:W75,$B83&amp;" ~*")&gt;0)+(COUNTIF(Y58:Y75,$B83)+COUNTIF(Y58:Y75,$B83&amp;" ~*")&gt;0))</f>
        <v/>
      </c>
      <c r="AC83" s="36">
        <f>IF($B83="","",(IFERROR(INDEX(Setup!$G$33:$G$40,MATCH(C83,Setup!$B$33:$B$40,0)),0)=1)*(COUNTIF(C58:E75,$B83)+COUNTIF(C58:E75,$B83&amp;" ~*")&gt;0)+(IFERROR(INDEX(Setup!$G$33:$G$40,MATCH(G83,Setup!$B$33:$B$40,0)),0)=1)*(COUNTIF(G58:I75,$B83)+COUNTIF(G58:I75,$B83&amp;" ~*")&gt;0)+(IFERROR(INDEX(Setup!$G$33:$G$40,MATCH(K83,Setup!$B$33:$B$40,0)),0)=1)*(COUNTIF(K58:M75,$B83)+COUNTIF(K58:M75,$B83&amp;" ~*")&gt;0)+(IFERROR(INDEX(Setup!$G$33:$G$40,MATCH(O83,Setup!$B$33:$B$40,0)),0)=1)*(COUNTIF(O58:Q75,$B83)+COUNTIF(O58:Q75,$B83&amp;" ~*")&gt;0)+(IFERROR(INDEX(Setup!$G$33:$G$40,MATCH(S83,Setup!$B$33:$B$40,0)),0)=1)*(COUNTIF(S58:U75,$B83)+COUNTIF(S58:U75,$B83&amp;" ~*")&gt;0)+(IFERROR(INDEX(Setup!$G$33:$G$40,MATCH(W83,Setup!$B$33:$B$40,0)),0)=1)*(COUNTIF(W58:W75,$B83)+COUNTIF(W58:W75,$B83&amp;" ~*")&gt;0)+(IFERROR(INDEX(Setup!$G$33:$G$40,MATCH(Y83,Setup!$B$33:$B$40,0)),0)=1)*(COUNTIF(Y58:Y75,$B83)+COUNTIF(Y58:Y75,$B83&amp;" ~*")&gt;0))</f>
        <v/>
      </c>
    </row>
    <row r="84" ht="15" customHeight="1">
      <c r="A84" t="n">
        <v>2</v>
      </c>
      <c r="B84" s="37">
        <f>IF(Setup!$B$13="","",Setup!$B$13)</f>
        <v/>
      </c>
      <c r="C84" s="102" t="n"/>
      <c r="D84" s="103" t="n"/>
      <c r="E84" s="103" t="n"/>
      <c r="F84" s="104" t="n"/>
      <c r="G84" s="102" t="n"/>
      <c r="H84" s="103" t="n"/>
      <c r="I84" s="103" t="n"/>
      <c r="J84" s="104" t="n"/>
      <c r="K84" s="102" t="n"/>
      <c r="L84" s="103" t="n"/>
      <c r="M84" s="103" t="n"/>
      <c r="N84" s="104" t="n"/>
      <c r="O84" s="102" t="n"/>
      <c r="P84" s="103" t="n"/>
      <c r="Q84" s="103" t="n"/>
      <c r="R84" s="104" t="n"/>
      <c r="S84" s="102" t="n"/>
      <c r="T84" s="103" t="n"/>
      <c r="U84" s="103" t="n"/>
      <c r="V84" s="104" t="n"/>
      <c r="W84" s="102" t="n"/>
      <c r="X84" s="104" t="n"/>
      <c r="Y84" s="102" t="n"/>
      <c r="Z84" s="104" t="n"/>
      <c r="AB84" s="105">
        <f>IF($B84="","",(COUNTIF(C58:E75,$B84)+COUNTIF(C58:E75,$B84&amp;" ~*")&gt;0)+(COUNTIF(G58:I75,$B84)+COUNTIF(G58:I75,$B84&amp;" ~*")&gt;0)+(COUNTIF(K58:M75,$B84)+COUNTIF(K58:M75,$B84&amp;" ~*")&gt;0)+(COUNTIF(O58:Q75,$B84)+COUNTIF(O58:Q75,$B84&amp;" ~*")&gt;0)+(COUNTIF(S58:U75,$B84)+COUNTIF(S58:U75,$B84&amp;" ~*")&gt;0)+(COUNTIF(W58:W75,$B84)+COUNTIF(W58:W75,$B84&amp;" ~*")&gt;0)+(COUNTIF(Y58:Y75,$B84)+COUNTIF(Y58:Y75,$B84&amp;" ~*")&gt;0))</f>
        <v/>
      </c>
      <c r="AC84" s="38">
        <f>IF($B84="","",(IFERROR(INDEX(Setup!$G$33:$G$40,MATCH(C84,Setup!$B$33:$B$40,0)),0)=1)*(COUNTIF(C58:E75,$B84)+COUNTIF(C58:E75,$B84&amp;" ~*")&gt;0)+(IFERROR(INDEX(Setup!$G$33:$G$40,MATCH(G84,Setup!$B$33:$B$40,0)),0)=1)*(COUNTIF(G58:I75,$B84)+COUNTIF(G58:I75,$B84&amp;" ~*")&gt;0)+(IFERROR(INDEX(Setup!$G$33:$G$40,MATCH(K84,Setup!$B$33:$B$40,0)),0)=1)*(COUNTIF(K58:M75,$B84)+COUNTIF(K58:M75,$B84&amp;" ~*")&gt;0)+(IFERROR(INDEX(Setup!$G$33:$G$40,MATCH(O84,Setup!$B$33:$B$40,0)),0)=1)*(COUNTIF(O58:Q75,$B84)+COUNTIF(O58:Q75,$B84&amp;" ~*")&gt;0)+(IFERROR(INDEX(Setup!$G$33:$G$40,MATCH(S84,Setup!$B$33:$B$40,0)),0)=1)*(COUNTIF(S58:U75,$B84)+COUNTIF(S58:U75,$B84&amp;" ~*")&gt;0)+(IFERROR(INDEX(Setup!$G$33:$G$40,MATCH(W84,Setup!$B$33:$B$40,0)),0)=1)*(COUNTIF(W58:W75,$B84)+COUNTIF(W58:W75,$B84&amp;" ~*")&gt;0)+(IFERROR(INDEX(Setup!$G$33:$G$40,MATCH(Y84,Setup!$B$33:$B$40,0)),0)=1)*(COUNTIF(Y58:Y75,$B84)+COUNTIF(Y58:Y75,$B84&amp;" ~*")&gt;0))</f>
        <v/>
      </c>
    </row>
    <row r="85" ht="15" customHeight="1">
      <c r="A85" t="n">
        <v>2</v>
      </c>
      <c r="B85" s="35">
        <f>IF(Setup!$B$14="","",Setup!$B$14)</f>
        <v/>
      </c>
      <c r="C85" s="98" t="n"/>
      <c r="D85" s="99" t="n"/>
      <c r="E85" s="99" t="n"/>
      <c r="F85" s="100" t="n"/>
      <c r="G85" s="98" t="n"/>
      <c r="H85" s="99" t="n"/>
      <c r="I85" s="99" t="n"/>
      <c r="J85" s="100" t="n"/>
      <c r="K85" s="98" t="n"/>
      <c r="L85" s="99" t="n"/>
      <c r="M85" s="99" t="n"/>
      <c r="N85" s="100" t="n"/>
      <c r="O85" s="98" t="n"/>
      <c r="P85" s="99" t="n"/>
      <c r="Q85" s="99" t="n"/>
      <c r="R85" s="100" t="n"/>
      <c r="S85" s="98" t="n"/>
      <c r="T85" s="99" t="n"/>
      <c r="U85" s="99" t="n"/>
      <c r="V85" s="100" t="n"/>
      <c r="W85" s="98" t="n"/>
      <c r="X85" s="100" t="n"/>
      <c r="Y85" s="98" t="n"/>
      <c r="Z85" s="100" t="n"/>
      <c r="AB85" s="101">
        <f>IF($B85="","",(COUNTIF(C58:E75,$B85)+COUNTIF(C58:E75,$B85&amp;" ~*")&gt;0)+(COUNTIF(G58:I75,$B85)+COUNTIF(G58:I75,$B85&amp;" ~*")&gt;0)+(COUNTIF(K58:M75,$B85)+COUNTIF(K58:M75,$B85&amp;" ~*")&gt;0)+(COUNTIF(O58:Q75,$B85)+COUNTIF(O58:Q75,$B85&amp;" ~*")&gt;0)+(COUNTIF(S58:U75,$B85)+COUNTIF(S58:U75,$B85&amp;" ~*")&gt;0)+(COUNTIF(W58:W75,$B85)+COUNTIF(W58:W75,$B85&amp;" ~*")&gt;0)+(COUNTIF(Y58:Y75,$B85)+COUNTIF(Y58:Y75,$B85&amp;" ~*")&gt;0))</f>
        <v/>
      </c>
      <c r="AC85" s="36">
        <f>IF($B85="","",(IFERROR(INDEX(Setup!$G$33:$G$40,MATCH(C85,Setup!$B$33:$B$40,0)),0)=1)*(COUNTIF(C58:E75,$B85)+COUNTIF(C58:E75,$B85&amp;" ~*")&gt;0)+(IFERROR(INDEX(Setup!$G$33:$G$40,MATCH(G85,Setup!$B$33:$B$40,0)),0)=1)*(COUNTIF(G58:I75,$B85)+COUNTIF(G58:I75,$B85&amp;" ~*")&gt;0)+(IFERROR(INDEX(Setup!$G$33:$G$40,MATCH(K85,Setup!$B$33:$B$40,0)),0)=1)*(COUNTIF(K58:M75,$B85)+COUNTIF(K58:M75,$B85&amp;" ~*")&gt;0)+(IFERROR(INDEX(Setup!$G$33:$G$40,MATCH(O85,Setup!$B$33:$B$40,0)),0)=1)*(COUNTIF(O58:Q75,$B85)+COUNTIF(O58:Q75,$B85&amp;" ~*")&gt;0)+(IFERROR(INDEX(Setup!$G$33:$G$40,MATCH(S85,Setup!$B$33:$B$40,0)),0)=1)*(COUNTIF(S58:U75,$B85)+COUNTIF(S58:U75,$B85&amp;" ~*")&gt;0)+(IFERROR(INDEX(Setup!$G$33:$G$40,MATCH(W85,Setup!$B$33:$B$40,0)),0)=1)*(COUNTIF(W58:W75,$B85)+COUNTIF(W58:W75,$B85&amp;" ~*")&gt;0)+(IFERROR(INDEX(Setup!$G$33:$G$40,MATCH(Y85,Setup!$B$33:$B$40,0)),0)=1)*(COUNTIF(Y58:Y75,$B85)+COUNTIF(Y58:Y75,$B85&amp;" ~*")&gt;0))</f>
        <v/>
      </c>
    </row>
    <row r="86" ht="15" customHeight="1">
      <c r="A86" t="n">
        <v>2</v>
      </c>
      <c r="B86" s="37">
        <f>IF(Setup!$B$15="","",Setup!$B$15)</f>
        <v/>
      </c>
      <c r="C86" s="102" t="n"/>
      <c r="D86" s="103" t="n"/>
      <c r="E86" s="103" t="n"/>
      <c r="F86" s="104" t="n"/>
      <c r="G86" s="102" t="n"/>
      <c r="H86" s="103" t="n"/>
      <c r="I86" s="103" t="n"/>
      <c r="J86" s="104" t="n"/>
      <c r="K86" s="102" t="n"/>
      <c r="L86" s="103" t="n"/>
      <c r="M86" s="103" t="n"/>
      <c r="N86" s="104" t="n"/>
      <c r="O86" s="102" t="n"/>
      <c r="P86" s="103" t="n"/>
      <c r="Q86" s="103" t="n"/>
      <c r="R86" s="104" t="n"/>
      <c r="S86" s="102" t="n"/>
      <c r="T86" s="103" t="n"/>
      <c r="U86" s="103" t="n"/>
      <c r="V86" s="104" t="n"/>
      <c r="W86" s="102" t="n"/>
      <c r="X86" s="104" t="n"/>
      <c r="Y86" s="102" t="n"/>
      <c r="Z86" s="104" t="n"/>
      <c r="AB86" s="105">
        <f>IF($B86="","",(COUNTIF(C58:E75,$B86)+COUNTIF(C58:E75,$B86&amp;" ~*")&gt;0)+(COUNTIF(G58:I75,$B86)+COUNTIF(G58:I75,$B86&amp;" ~*")&gt;0)+(COUNTIF(K58:M75,$B86)+COUNTIF(K58:M75,$B86&amp;" ~*")&gt;0)+(COUNTIF(O58:Q75,$B86)+COUNTIF(O58:Q75,$B86&amp;" ~*")&gt;0)+(COUNTIF(S58:U75,$B86)+COUNTIF(S58:U75,$B86&amp;" ~*")&gt;0)+(COUNTIF(W58:W75,$B86)+COUNTIF(W58:W75,$B86&amp;" ~*")&gt;0)+(COUNTIF(Y58:Y75,$B86)+COUNTIF(Y58:Y75,$B86&amp;" ~*")&gt;0))</f>
        <v/>
      </c>
      <c r="AC86" s="38">
        <f>IF($B86="","",(IFERROR(INDEX(Setup!$G$33:$G$40,MATCH(C86,Setup!$B$33:$B$40,0)),0)=1)*(COUNTIF(C58:E75,$B86)+COUNTIF(C58:E75,$B86&amp;" ~*")&gt;0)+(IFERROR(INDEX(Setup!$G$33:$G$40,MATCH(G86,Setup!$B$33:$B$40,0)),0)=1)*(COUNTIF(G58:I75,$B86)+COUNTIF(G58:I75,$B86&amp;" ~*")&gt;0)+(IFERROR(INDEX(Setup!$G$33:$G$40,MATCH(K86,Setup!$B$33:$B$40,0)),0)=1)*(COUNTIF(K58:M75,$B86)+COUNTIF(K58:M75,$B86&amp;" ~*")&gt;0)+(IFERROR(INDEX(Setup!$G$33:$G$40,MATCH(O86,Setup!$B$33:$B$40,0)),0)=1)*(COUNTIF(O58:Q75,$B86)+COUNTIF(O58:Q75,$B86&amp;" ~*")&gt;0)+(IFERROR(INDEX(Setup!$G$33:$G$40,MATCH(S86,Setup!$B$33:$B$40,0)),0)=1)*(COUNTIF(S58:U75,$B86)+COUNTIF(S58:U75,$B86&amp;" ~*")&gt;0)+(IFERROR(INDEX(Setup!$G$33:$G$40,MATCH(W86,Setup!$B$33:$B$40,0)),0)=1)*(COUNTIF(W58:W75,$B86)+COUNTIF(W58:W75,$B86&amp;" ~*")&gt;0)+(IFERROR(INDEX(Setup!$G$33:$G$40,MATCH(Y86,Setup!$B$33:$B$40,0)),0)=1)*(COUNTIF(Y58:Y75,$B86)+COUNTIF(Y58:Y75,$B86&amp;" ~*")&gt;0))</f>
        <v/>
      </c>
    </row>
    <row r="87" ht="15" customHeight="1">
      <c r="A87" t="n">
        <v>2</v>
      </c>
      <c r="B87" s="35">
        <f>IF(Setup!$B$16="","",Setup!$B$16)</f>
        <v/>
      </c>
      <c r="C87" s="98" t="n"/>
      <c r="D87" s="99" t="n"/>
      <c r="E87" s="99" t="n"/>
      <c r="F87" s="100" t="n"/>
      <c r="G87" s="98" t="n"/>
      <c r="H87" s="99" t="n"/>
      <c r="I87" s="99" t="n"/>
      <c r="J87" s="100" t="n"/>
      <c r="K87" s="98" t="n"/>
      <c r="L87" s="99" t="n"/>
      <c r="M87" s="99" t="n"/>
      <c r="N87" s="100" t="n"/>
      <c r="O87" s="98" t="n"/>
      <c r="P87" s="99" t="n"/>
      <c r="Q87" s="99" t="n"/>
      <c r="R87" s="100" t="n"/>
      <c r="S87" s="98" t="n"/>
      <c r="T87" s="99" t="n"/>
      <c r="U87" s="99" t="n"/>
      <c r="V87" s="100" t="n"/>
      <c r="W87" s="98" t="n"/>
      <c r="X87" s="100" t="n"/>
      <c r="Y87" s="98" t="n"/>
      <c r="Z87" s="100" t="n"/>
      <c r="AB87" s="101">
        <f>IF($B87="","",(COUNTIF(C58:E75,$B87)+COUNTIF(C58:E75,$B87&amp;" ~*")&gt;0)+(COUNTIF(G58:I75,$B87)+COUNTIF(G58:I75,$B87&amp;" ~*")&gt;0)+(COUNTIF(K58:M75,$B87)+COUNTIF(K58:M75,$B87&amp;" ~*")&gt;0)+(COUNTIF(O58:Q75,$B87)+COUNTIF(O58:Q75,$B87&amp;" ~*")&gt;0)+(COUNTIF(S58:U75,$B87)+COUNTIF(S58:U75,$B87&amp;" ~*")&gt;0)+(COUNTIF(W58:W75,$B87)+COUNTIF(W58:W75,$B87&amp;" ~*")&gt;0)+(COUNTIF(Y58:Y75,$B87)+COUNTIF(Y58:Y75,$B87&amp;" ~*")&gt;0))</f>
        <v/>
      </c>
      <c r="AC87" s="36">
        <f>IF($B87="","",(IFERROR(INDEX(Setup!$G$33:$G$40,MATCH(C87,Setup!$B$33:$B$40,0)),0)=1)*(COUNTIF(C58:E75,$B87)+COUNTIF(C58:E75,$B87&amp;" ~*")&gt;0)+(IFERROR(INDEX(Setup!$G$33:$G$40,MATCH(G87,Setup!$B$33:$B$40,0)),0)=1)*(COUNTIF(G58:I75,$B87)+COUNTIF(G58:I75,$B87&amp;" ~*")&gt;0)+(IFERROR(INDEX(Setup!$G$33:$G$40,MATCH(K87,Setup!$B$33:$B$40,0)),0)=1)*(COUNTIF(K58:M75,$B87)+COUNTIF(K58:M75,$B87&amp;" ~*")&gt;0)+(IFERROR(INDEX(Setup!$G$33:$G$40,MATCH(O87,Setup!$B$33:$B$40,0)),0)=1)*(COUNTIF(O58:Q75,$B87)+COUNTIF(O58:Q75,$B87&amp;" ~*")&gt;0)+(IFERROR(INDEX(Setup!$G$33:$G$40,MATCH(S87,Setup!$B$33:$B$40,0)),0)=1)*(COUNTIF(S58:U75,$B87)+COUNTIF(S58:U75,$B87&amp;" ~*")&gt;0)+(IFERROR(INDEX(Setup!$G$33:$G$40,MATCH(W87,Setup!$B$33:$B$40,0)),0)=1)*(COUNTIF(W58:W75,$B87)+COUNTIF(W58:W75,$B87&amp;" ~*")&gt;0)+(IFERROR(INDEX(Setup!$G$33:$G$40,MATCH(Y87,Setup!$B$33:$B$40,0)),0)=1)*(COUNTIF(Y58:Y75,$B87)+COUNTIF(Y58:Y75,$B87&amp;" ~*")&gt;0))</f>
        <v/>
      </c>
    </row>
    <row r="88" ht="15" customHeight="1">
      <c r="A88" t="n">
        <v>2</v>
      </c>
      <c r="B88" s="37">
        <f>IF(Setup!$B$17="","",Setup!$B$17)</f>
        <v/>
      </c>
      <c r="C88" s="102" t="n"/>
      <c r="D88" s="103" t="n"/>
      <c r="E88" s="103" t="n"/>
      <c r="F88" s="104" t="n"/>
      <c r="G88" s="102" t="n"/>
      <c r="H88" s="103" t="n"/>
      <c r="I88" s="103" t="n"/>
      <c r="J88" s="104" t="n"/>
      <c r="K88" s="102" t="n"/>
      <c r="L88" s="103" t="n"/>
      <c r="M88" s="103" t="n"/>
      <c r="N88" s="104" t="n"/>
      <c r="O88" s="102" t="n"/>
      <c r="P88" s="103" t="n"/>
      <c r="Q88" s="103" t="n"/>
      <c r="R88" s="104" t="n"/>
      <c r="S88" s="102" t="n"/>
      <c r="T88" s="103" t="n"/>
      <c r="U88" s="103" t="n"/>
      <c r="V88" s="104" t="n"/>
      <c r="W88" s="102" t="n"/>
      <c r="X88" s="104" t="n"/>
      <c r="Y88" s="102" t="n"/>
      <c r="Z88" s="104" t="n"/>
      <c r="AB88" s="105">
        <f>IF($B88="","",(COUNTIF(C58:E75,$B88)+COUNTIF(C58:E75,$B88&amp;" ~*")&gt;0)+(COUNTIF(G58:I75,$B88)+COUNTIF(G58:I75,$B88&amp;" ~*")&gt;0)+(COUNTIF(K58:M75,$B88)+COUNTIF(K58:M75,$B88&amp;" ~*")&gt;0)+(COUNTIF(O58:Q75,$B88)+COUNTIF(O58:Q75,$B88&amp;" ~*")&gt;0)+(COUNTIF(S58:U75,$B88)+COUNTIF(S58:U75,$B88&amp;" ~*")&gt;0)+(COUNTIF(W58:W75,$B88)+COUNTIF(W58:W75,$B88&amp;" ~*")&gt;0)+(COUNTIF(Y58:Y75,$B88)+COUNTIF(Y58:Y75,$B88&amp;" ~*")&gt;0))</f>
        <v/>
      </c>
      <c r="AC88" s="38">
        <f>IF($B88="","",(IFERROR(INDEX(Setup!$G$33:$G$40,MATCH(C88,Setup!$B$33:$B$40,0)),0)=1)*(COUNTIF(C58:E75,$B88)+COUNTIF(C58:E75,$B88&amp;" ~*")&gt;0)+(IFERROR(INDEX(Setup!$G$33:$G$40,MATCH(G88,Setup!$B$33:$B$40,0)),0)=1)*(COUNTIF(G58:I75,$B88)+COUNTIF(G58:I75,$B88&amp;" ~*")&gt;0)+(IFERROR(INDEX(Setup!$G$33:$G$40,MATCH(K88,Setup!$B$33:$B$40,0)),0)=1)*(COUNTIF(K58:M75,$B88)+COUNTIF(K58:M75,$B88&amp;" ~*")&gt;0)+(IFERROR(INDEX(Setup!$G$33:$G$40,MATCH(O88,Setup!$B$33:$B$40,0)),0)=1)*(COUNTIF(O58:Q75,$B88)+COUNTIF(O58:Q75,$B88&amp;" ~*")&gt;0)+(IFERROR(INDEX(Setup!$G$33:$G$40,MATCH(S88,Setup!$B$33:$B$40,0)),0)=1)*(COUNTIF(S58:U75,$B88)+COUNTIF(S58:U75,$B88&amp;" ~*")&gt;0)+(IFERROR(INDEX(Setup!$G$33:$G$40,MATCH(W88,Setup!$B$33:$B$40,0)),0)=1)*(COUNTIF(W58:W75,$B88)+COUNTIF(W58:W75,$B88&amp;" ~*")&gt;0)+(IFERROR(INDEX(Setup!$G$33:$G$40,MATCH(Y88,Setup!$B$33:$B$40,0)),0)=1)*(COUNTIF(Y58:Y75,$B88)+COUNTIF(Y58:Y75,$B88&amp;" ~*")&gt;0))</f>
        <v/>
      </c>
    </row>
    <row r="89" ht="15" customHeight="1">
      <c r="A89" t="n">
        <v>2</v>
      </c>
      <c r="B89" s="35">
        <f>IF(Setup!$B$18="","",Setup!$B$18)</f>
        <v/>
      </c>
      <c r="C89" s="98" t="n"/>
      <c r="D89" s="99" t="n"/>
      <c r="E89" s="99" t="n"/>
      <c r="F89" s="100" t="n"/>
      <c r="G89" s="98" t="n"/>
      <c r="H89" s="99" t="n"/>
      <c r="I89" s="99" t="n"/>
      <c r="J89" s="100" t="n"/>
      <c r="K89" s="98" t="n"/>
      <c r="L89" s="99" t="n"/>
      <c r="M89" s="99" t="n"/>
      <c r="N89" s="100" t="n"/>
      <c r="O89" s="98" t="n"/>
      <c r="P89" s="99" t="n"/>
      <c r="Q89" s="99" t="n"/>
      <c r="R89" s="100" t="n"/>
      <c r="S89" s="98" t="n"/>
      <c r="T89" s="99" t="n"/>
      <c r="U89" s="99" t="n"/>
      <c r="V89" s="100" t="n"/>
      <c r="W89" s="98" t="n"/>
      <c r="X89" s="100" t="n"/>
      <c r="Y89" s="98" t="n"/>
      <c r="Z89" s="100" t="n"/>
      <c r="AB89" s="101">
        <f>IF($B89="","",(COUNTIF(C58:E75,$B89)+COUNTIF(C58:E75,$B89&amp;" ~*")&gt;0)+(COUNTIF(G58:I75,$B89)+COUNTIF(G58:I75,$B89&amp;" ~*")&gt;0)+(COUNTIF(K58:M75,$B89)+COUNTIF(K58:M75,$B89&amp;" ~*")&gt;0)+(COUNTIF(O58:Q75,$B89)+COUNTIF(O58:Q75,$B89&amp;" ~*")&gt;0)+(COUNTIF(S58:U75,$B89)+COUNTIF(S58:U75,$B89&amp;" ~*")&gt;0)+(COUNTIF(W58:W75,$B89)+COUNTIF(W58:W75,$B89&amp;" ~*")&gt;0)+(COUNTIF(Y58:Y75,$B89)+COUNTIF(Y58:Y75,$B89&amp;" ~*")&gt;0))</f>
        <v/>
      </c>
      <c r="AC89" s="36">
        <f>IF($B89="","",(IFERROR(INDEX(Setup!$G$33:$G$40,MATCH(C89,Setup!$B$33:$B$40,0)),0)=1)*(COUNTIF(C58:E75,$B89)+COUNTIF(C58:E75,$B89&amp;" ~*")&gt;0)+(IFERROR(INDEX(Setup!$G$33:$G$40,MATCH(G89,Setup!$B$33:$B$40,0)),0)=1)*(COUNTIF(G58:I75,$B89)+COUNTIF(G58:I75,$B89&amp;" ~*")&gt;0)+(IFERROR(INDEX(Setup!$G$33:$G$40,MATCH(K89,Setup!$B$33:$B$40,0)),0)=1)*(COUNTIF(K58:M75,$B89)+COUNTIF(K58:M75,$B89&amp;" ~*")&gt;0)+(IFERROR(INDEX(Setup!$G$33:$G$40,MATCH(O89,Setup!$B$33:$B$40,0)),0)=1)*(COUNTIF(O58:Q75,$B89)+COUNTIF(O58:Q75,$B89&amp;" ~*")&gt;0)+(IFERROR(INDEX(Setup!$G$33:$G$40,MATCH(S89,Setup!$B$33:$B$40,0)),0)=1)*(COUNTIF(S58:U75,$B89)+COUNTIF(S58:U75,$B89&amp;" ~*")&gt;0)+(IFERROR(INDEX(Setup!$G$33:$G$40,MATCH(W89,Setup!$B$33:$B$40,0)),0)=1)*(COUNTIF(W58:W75,$B89)+COUNTIF(W58:W75,$B89&amp;" ~*")&gt;0)+(IFERROR(INDEX(Setup!$G$33:$G$40,MATCH(Y89,Setup!$B$33:$B$40,0)),0)=1)*(COUNTIF(Y58:Y75,$B89)+COUNTIF(Y58:Y75,$B89&amp;" ~*")&gt;0))</f>
        <v/>
      </c>
    </row>
    <row r="90" ht="15" customHeight="1">
      <c r="A90" t="n">
        <v>2</v>
      </c>
      <c r="B90" s="37">
        <f>IF(Setup!$B$19="","",Setup!$B$19)</f>
        <v/>
      </c>
      <c r="C90" s="102" t="n"/>
      <c r="D90" s="103" t="n"/>
      <c r="E90" s="103" t="n"/>
      <c r="F90" s="104" t="n"/>
      <c r="G90" s="102" t="n"/>
      <c r="H90" s="103" t="n"/>
      <c r="I90" s="103" t="n"/>
      <c r="J90" s="104" t="n"/>
      <c r="K90" s="102" t="n"/>
      <c r="L90" s="103" t="n"/>
      <c r="M90" s="103" t="n"/>
      <c r="N90" s="104" t="n"/>
      <c r="O90" s="102" t="n"/>
      <c r="P90" s="103" t="n"/>
      <c r="Q90" s="103" t="n"/>
      <c r="R90" s="104" t="n"/>
      <c r="S90" s="102" t="n"/>
      <c r="T90" s="103" t="n"/>
      <c r="U90" s="103" t="n"/>
      <c r="V90" s="104" t="n"/>
      <c r="W90" s="102" t="n"/>
      <c r="X90" s="104" t="n"/>
      <c r="Y90" s="102" t="n"/>
      <c r="Z90" s="104" t="n"/>
      <c r="AB90" s="105">
        <f>IF($B90="","",(COUNTIF(C58:E75,$B90)+COUNTIF(C58:E75,$B90&amp;" ~*")&gt;0)+(COUNTIF(G58:I75,$B90)+COUNTIF(G58:I75,$B90&amp;" ~*")&gt;0)+(COUNTIF(K58:M75,$B90)+COUNTIF(K58:M75,$B90&amp;" ~*")&gt;0)+(COUNTIF(O58:Q75,$B90)+COUNTIF(O58:Q75,$B90&amp;" ~*")&gt;0)+(COUNTIF(S58:U75,$B90)+COUNTIF(S58:U75,$B90&amp;" ~*")&gt;0)+(COUNTIF(W58:W75,$B90)+COUNTIF(W58:W75,$B90&amp;" ~*")&gt;0)+(COUNTIF(Y58:Y75,$B90)+COUNTIF(Y58:Y75,$B90&amp;" ~*")&gt;0))</f>
        <v/>
      </c>
      <c r="AC90" s="38">
        <f>IF($B90="","",(IFERROR(INDEX(Setup!$G$33:$G$40,MATCH(C90,Setup!$B$33:$B$40,0)),0)=1)*(COUNTIF(C58:E75,$B90)+COUNTIF(C58:E75,$B90&amp;" ~*")&gt;0)+(IFERROR(INDEX(Setup!$G$33:$G$40,MATCH(G90,Setup!$B$33:$B$40,0)),0)=1)*(COUNTIF(G58:I75,$B90)+COUNTIF(G58:I75,$B90&amp;" ~*")&gt;0)+(IFERROR(INDEX(Setup!$G$33:$G$40,MATCH(K90,Setup!$B$33:$B$40,0)),0)=1)*(COUNTIF(K58:M75,$B90)+COUNTIF(K58:M75,$B90&amp;" ~*")&gt;0)+(IFERROR(INDEX(Setup!$G$33:$G$40,MATCH(O90,Setup!$B$33:$B$40,0)),0)=1)*(COUNTIF(O58:Q75,$B90)+COUNTIF(O58:Q75,$B90&amp;" ~*")&gt;0)+(IFERROR(INDEX(Setup!$G$33:$G$40,MATCH(S90,Setup!$B$33:$B$40,0)),0)=1)*(COUNTIF(S58:U75,$B90)+COUNTIF(S58:U75,$B90&amp;" ~*")&gt;0)+(IFERROR(INDEX(Setup!$G$33:$G$40,MATCH(W90,Setup!$B$33:$B$40,0)),0)=1)*(COUNTIF(W58:W75,$B90)+COUNTIF(W58:W75,$B90&amp;" ~*")&gt;0)+(IFERROR(INDEX(Setup!$G$33:$G$40,MATCH(Y90,Setup!$B$33:$B$40,0)),0)=1)*(COUNTIF(Y58:Y75,$B90)+COUNTIF(Y58:Y75,$B90&amp;" ~*")&gt;0))</f>
        <v/>
      </c>
    </row>
    <row r="91" ht="15" customHeight="1">
      <c r="A91" t="n">
        <v>2</v>
      </c>
      <c r="B91" s="35">
        <f>IF(Setup!$B$20="","",Setup!$B$20)</f>
        <v/>
      </c>
      <c r="C91" s="98" t="n"/>
      <c r="D91" s="99" t="n"/>
      <c r="E91" s="99" t="n"/>
      <c r="F91" s="100" t="n"/>
      <c r="G91" s="98" t="n"/>
      <c r="H91" s="99" t="n"/>
      <c r="I91" s="99" t="n"/>
      <c r="J91" s="100" t="n"/>
      <c r="K91" s="98" t="n"/>
      <c r="L91" s="99" t="n"/>
      <c r="M91" s="99" t="n"/>
      <c r="N91" s="100" t="n"/>
      <c r="O91" s="98" t="n"/>
      <c r="P91" s="99" t="n"/>
      <c r="Q91" s="99" t="n"/>
      <c r="R91" s="100" t="n"/>
      <c r="S91" s="98" t="n"/>
      <c r="T91" s="99" t="n"/>
      <c r="U91" s="99" t="n"/>
      <c r="V91" s="100" t="n"/>
      <c r="W91" s="98" t="n"/>
      <c r="X91" s="100" t="n"/>
      <c r="Y91" s="98" t="n"/>
      <c r="Z91" s="100" t="n"/>
      <c r="AB91" s="101">
        <f>IF($B91="","",(COUNTIF(C58:E75,$B91)+COUNTIF(C58:E75,$B91&amp;" ~*")&gt;0)+(COUNTIF(G58:I75,$B91)+COUNTIF(G58:I75,$B91&amp;" ~*")&gt;0)+(COUNTIF(K58:M75,$B91)+COUNTIF(K58:M75,$B91&amp;" ~*")&gt;0)+(COUNTIF(O58:Q75,$B91)+COUNTIF(O58:Q75,$B91&amp;" ~*")&gt;0)+(COUNTIF(S58:U75,$B91)+COUNTIF(S58:U75,$B91&amp;" ~*")&gt;0)+(COUNTIF(W58:W75,$B91)+COUNTIF(W58:W75,$B91&amp;" ~*")&gt;0)+(COUNTIF(Y58:Y75,$B91)+COUNTIF(Y58:Y75,$B91&amp;" ~*")&gt;0))</f>
        <v/>
      </c>
      <c r="AC91" s="36">
        <f>IF($B91="","",(IFERROR(INDEX(Setup!$G$33:$G$40,MATCH(C91,Setup!$B$33:$B$40,0)),0)=1)*(COUNTIF(C58:E75,$B91)+COUNTIF(C58:E75,$B91&amp;" ~*")&gt;0)+(IFERROR(INDEX(Setup!$G$33:$G$40,MATCH(G91,Setup!$B$33:$B$40,0)),0)=1)*(COUNTIF(G58:I75,$B91)+COUNTIF(G58:I75,$B91&amp;" ~*")&gt;0)+(IFERROR(INDEX(Setup!$G$33:$G$40,MATCH(K91,Setup!$B$33:$B$40,0)),0)=1)*(COUNTIF(K58:M75,$B91)+COUNTIF(K58:M75,$B91&amp;" ~*")&gt;0)+(IFERROR(INDEX(Setup!$G$33:$G$40,MATCH(O91,Setup!$B$33:$B$40,0)),0)=1)*(COUNTIF(O58:Q75,$B91)+COUNTIF(O58:Q75,$B91&amp;" ~*")&gt;0)+(IFERROR(INDEX(Setup!$G$33:$G$40,MATCH(S91,Setup!$B$33:$B$40,0)),0)=1)*(COUNTIF(S58:U75,$B91)+COUNTIF(S58:U75,$B91&amp;" ~*")&gt;0)+(IFERROR(INDEX(Setup!$G$33:$G$40,MATCH(W91,Setup!$B$33:$B$40,0)),0)=1)*(COUNTIF(W58:W75,$B91)+COUNTIF(W58:W75,$B91&amp;" ~*")&gt;0)+(IFERROR(INDEX(Setup!$G$33:$G$40,MATCH(Y91,Setup!$B$33:$B$40,0)),0)=1)*(COUNTIF(Y58:Y75,$B91)+COUNTIF(Y58:Y75,$B91&amp;" ~*")&gt;0))</f>
        <v/>
      </c>
    </row>
    <row r="92" ht="15" customHeight="1">
      <c r="A92" t="n">
        <v>2</v>
      </c>
      <c r="B92" s="37">
        <f>IF(Setup!$B$21="","",Setup!$B$21)</f>
        <v/>
      </c>
      <c r="C92" s="102" t="n"/>
      <c r="D92" s="103" t="n"/>
      <c r="E92" s="103" t="n"/>
      <c r="F92" s="104" t="n"/>
      <c r="G92" s="102" t="n"/>
      <c r="H92" s="103" t="n"/>
      <c r="I92" s="103" t="n"/>
      <c r="J92" s="104" t="n"/>
      <c r="K92" s="102" t="n"/>
      <c r="L92" s="103" t="n"/>
      <c r="M92" s="103" t="n"/>
      <c r="N92" s="104" t="n"/>
      <c r="O92" s="102" t="n"/>
      <c r="P92" s="103" t="n"/>
      <c r="Q92" s="103" t="n"/>
      <c r="R92" s="104" t="n"/>
      <c r="S92" s="102" t="n"/>
      <c r="T92" s="103" t="n"/>
      <c r="U92" s="103" t="n"/>
      <c r="V92" s="104" t="n"/>
      <c r="W92" s="102" t="n"/>
      <c r="X92" s="104" t="n"/>
      <c r="Y92" s="102" t="n"/>
      <c r="Z92" s="104" t="n"/>
      <c r="AB92" s="105">
        <f>IF($B92="","",(COUNTIF(C58:E75,$B92)+COUNTIF(C58:E75,$B92&amp;" ~*")&gt;0)+(COUNTIF(G58:I75,$B92)+COUNTIF(G58:I75,$B92&amp;" ~*")&gt;0)+(COUNTIF(K58:M75,$B92)+COUNTIF(K58:M75,$B92&amp;" ~*")&gt;0)+(COUNTIF(O58:Q75,$B92)+COUNTIF(O58:Q75,$B92&amp;" ~*")&gt;0)+(COUNTIF(S58:U75,$B92)+COUNTIF(S58:U75,$B92&amp;" ~*")&gt;0)+(COUNTIF(W58:W75,$B92)+COUNTIF(W58:W75,$B92&amp;" ~*")&gt;0)+(COUNTIF(Y58:Y75,$B92)+COUNTIF(Y58:Y75,$B92&amp;" ~*")&gt;0))</f>
        <v/>
      </c>
      <c r="AC92" s="38">
        <f>IF($B92="","",(IFERROR(INDEX(Setup!$G$33:$G$40,MATCH(C92,Setup!$B$33:$B$40,0)),0)=1)*(COUNTIF(C58:E75,$B92)+COUNTIF(C58:E75,$B92&amp;" ~*")&gt;0)+(IFERROR(INDEX(Setup!$G$33:$G$40,MATCH(G92,Setup!$B$33:$B$40,0)),0)=1)*(COUNTIF(G58:I75,$B92)+COUNTIF(G58:I75,$B92&amp;" ~*")&gt;0)+(IFERROR(INDEX(Setup!$G$33:$G$40,MATCH(K92,Setup!$B$33:$B$40,0)),0)=1)*(COUNTIF(K58:M75,$B92)+COUNTIF(K58:M75,$B92&amp;" ~*")&gt;0)+(IFERROR(INDEX(Setup!$G$33:$G$40,MATCH(O92,Setup!$B$33:$B$40,0)),0)=1)*(COUNTIF(O58:Q75,$B92)+COUNTIF(O58:Q75,$B92&amp;" ~*")&gt;0)+(IFERROR(INDEX(Setup!$G$33:$G$40,MATCH(S92,Setup!$B$33:$B$40,0)),0)=1)*(COUNTIF(S58:U75,$B92)+COUNTIF(S58:U75,$B92&amp;" ~*")&gt;0)+(IFERROR(INDEX(Setup!$G$33:$G$40,MATCH(W92,Setup!$B$33:$B$40,0)),0)=1)*(COUNTIF(W58:W75,$B92)+COUNTIF(W58:W75,$B92&amp;" ~*")&gt;0)+(IFERROR(INDEX(Setup!$G$33:$G$40,MATCH(Y92,Setup!$B$33:$B$40,0)),0)=1)*(COUNTIF(Y58:Y75,$B92)+COUNTIF(Y58:Y75,$B92&amp;" ~*")&gt;0))</f>
        <v/>
      </c>
    </row>
    <row r="93" ht="15" customHeight="1">
      <c r="A93" t="n">
        <v>2</v>
      </c>
      <c r="B93" s="35">
        <f>IF(Setup!$B$22="","",Setup!$B$22)</f>
        <v/>
      </c>
      <c r="C93" s="98" t="n"/>
      <c r="D93" s="99" t="n"/>
      <c r="E93" s="99" t="n"/>
      <c r="F93" s="100" t="n"/>
      <c r="G93" s="98" t="n"/>
      <c r="H93" s="99" t="n"/>
      <c r="I93" s="99" t="n"/>
      <c r="J93" s="100" t="n"/>
      <c r="K93" s="98" t="n"/>
      <c r="L93" s="99" t="n"/>
      <c r="M93" s="99" t="n"/>
      <c r="N93" s="100" t="n"/>
      <c r="O93" s="98" t="n"/>
      <c r="P93" s="99" t="n"/>
      <c r="Q93" s="99" t="n"/>
      <c r="R93" s="100" t="n"/>
      <c r="S93" s="98" t="n"/>
      <c r="T93" s="99" t="n"/>
      <c r="U93" s="99" t="n"/>
      <c r="V93" s="100" t="n"/>
      <c r="W93" s="98" t="n"/>
      <c r="X93" s="100" t="n"/>
      <c r="Y93" s="98" t="n"/>
      <c r="Z93" s="100" t="n"/>
      <c r="AB93" s="101">
        <f>IF($B93="","",(COUNTIF(C58:E75,$B93)+COUNTIF(C58:E75,$B93&amp;" ~*")&gt;0)+(COUNTIF(G58:I75,$B93)+COUNTIF(G58:I75,$B93&amp;" ~*")&gt;0)+(COUNTIF(K58:M75,$B93)+COUNTIF(K58:M75,$B93&amp;" ~*")&gt;0)+(COUNTIF(O58:Q75,$B93)+COUNTIF(O58:Q75,$B93&amp;" ~*")&gt;0)+(COUNTIF(S58:U75,$B93)+COUNTIF(S58:U75,$B93&amp;" ~*")&gt;0)+(COUNTIF(W58:W75,$B93)+COUNTIF(W58:W75,$B93&amp;" ~*")&gt;0)+(COUNTIF(Y58:Y75,$B93)+COUNTIF(Y58:Y75,$B93&amp;" ~*")&gt;0))</f>
        <v/>
      </c>
      <c r="AC93" s="36">
        <f>IF($B93="","",(IFERROR(INDEX(Setup!$G$33:$G$40,MATCH(C93,Setup!$B$33:$B$40,0)),0)=1)*(COUNTIF(C58:E75,$B93)+COUNTIF(C58:E75,$B93&amp;" ~*")&gt;0)+(IFERROR(INDEX(Setup!$G$33:$G$40,MATCH(G93,Setup!$B$33:$B$40,0)),0)=1)*(COUNTIF(G58:I75,$B93)+COUNTIF(G58:I75,$B93&amp;" ~*")&gt;0)+(IFERROR(INDEX(Setup!$G$33:$G$40,MATCH(K93,Setup!$B$33:$B$40,0)),0)=1)*(COUNTIF(K58:M75,$B93)+COUNTIF(K58:M75,$B93&amp;" ~*")&gt;0)+(IFERROR(INDEX(Setup!$G$33:$G$40,MATCH(O93,Setup!$B$33:$B$40,0)),0)=1)*(COUNTIF(O58:Q75,$B93)+COUNTIF(O58:Q75,$B93&amp;" ~*")&gt;0)+(IFERROR(INDEX(Setup!$G$33:$G$40,MATCH(S93,Setup!$B$33:$B$40,0)),0)=1)*(COUNTIF(S58:U75,$B93)+COUNTIF(S58:U75,$B93&amp;" ~*")&gt;0)+(IFERROR(INDEX(Setup!$G$33:$G$40,MATCH(W93,Setup!$B$33:$B$40,0)),0)=1)*(COUNTIF(W58:W75,$B93)+COUNTIF(W58:W75,$B93&amp;" ~*")&gt;0)+(IFERROR(INDEX(Setup!$G$33:$G$40,MATCH(Y93,Setup!$B$33:$B$40,0)),0)=1)*(COUNTIF(Y58:Y75,$B93)+COUNTIF(Y58:Y75,$B93&amp;" ~*")&gt;0))</f>
        <v/>
      </c>
    </row>
    <row r="94" ht="15" customHeight="1">
      <c r="A94" t="n">
        <v>2</v>
      </c>
      <c r="B94" s="37">
        <f>IF(Setup!$B$23="","",Setup!$B$23)</f>
        <v/>
      </c>
      <c r="C94" s="102" t="n"/>
      <c r="D94" s="103" t="n"/>
      <c r="E94" s="103" t="n"/>
      <c r="F94" s="104" t="n"/>
      <c r="G94" s="102" t="n"/>
      <c r="H94" s="103" t="n"/>
      <c r="I94" s="103" t="n"/>
      <c r="J94" s="104" t="n"/>
      <c r="K94" s="102" t="n"/>
      <c r="L94" s="103" t="n"/>
      <c r="M94" s="103" t="n"/>
      <c r="N94" s="104" t="n"/>
      <c r="O94" s="102" t="n"/>
      <c r="P94" s="103" t="n"/>
      <c r="Q94" s="103" t="n"/>
      <c r="R94" s="104" t="n"/>
      <c r="S94" s="102" t="n"/>
      <c r="T94" s="103" t="n"/>
      <c r="U94" s="103" t="n"/>
      <c r="V94" s="104" t="n"/>
      <c r="W94" s="102" t="n"/>
      <c r="X94" s="104" t="n"/>
      <c r="Y94" s="102" t="n"/>
      <c r="Z94" s="104" t="n"/>
      <c r="AB94" s="105">
        <f>IF($B94="","",(COUNTIF(C58:E75,$B94)+COUNTIF(C58:E75,$B94&amp;" ~*")&gt;0)+(COUNTIF(G58:I75,$B94)+COUNTIF(G58:I75,$B94&amp;" ~*")&gt;0)+(COUNTIF(K58:M75,$B94)+COUNTIF(K58:M75,$B94&amp;" ~*")&gt;0)+(COUNTIF(O58:Q75,$B94)+COUNTIF(O58:Q75,$B94&amp;" ~*")&gt;0)+(COUNTIF(S58:U75,$B94)+COUNTIF(S58:U75,$B94&amp;" ~*")&gt;0)+(COUNTIF(W58:W75,$B94)+COUNTIF(W58:W75,$B94&amp;" ~*")&gt;0)+(COUNTIF(Y58:Y75,$B94)+COUNTIF(Y58:Y75,$B94&amp;" ~*")&gt;0))</f>
        <v/>
      </c>
      <c r="AC94" s="38">
        <f>IF($B94="","",(IFERROR(INDEX(Setup!$G$33:$G$40,MATCH(C94,Setup!$B$33:$B$40,0)),0)=1)*(COUNTIF(C58:E75,$B94)+COUNTIF(C58:E75,$B94&amp;" ~*")&gt;0)+(IFERROR(INDEX(Setup!$G$33:$G$40,MATCH(G94,Setup!$B$33:$B$40,0)),0)=1)*(COUNTIF(G58:I75,$B94)+COUNTIF(G58:I75,$B94&amp;" ~*")&gt;0)+(IFERROR(INDEX(Setup!$G$33:$G$40,MATCH(K94,Setup!$B$33:$B$40,0)),0)=1)*(COUNTIF(K58:M75,$B94)+COUNTIF(K58:M75,$B94&amp;" ~*")&gt;0)+(IFERROR(INDEX(Setup!$G$33:$G$40,MATCH(O94,Setup!$B$33:$B$40,0)),0)=1)*(COUNTIF(O58:Q75,$B94)+COUNTIF(O58:Q75,$B94&amp;" ~*")&gt;0)+(IFERROR(INDEX(Setup!$G$33:$G$40,MATCH(S94,Setup!$B$33:$B$40,0)),0)=1)*(COUNTIF(S58:U75,$B94)+COUNTIF(S58:U75,$B94&amp;" ~*")&gt;0)+(IFERROR(INDEX(Setup!$G$33:$G$40,MATCH(W94,Setup!$B$33:$B$40,0)),0)=1)*(COUNTIF(W58:W75,$B94)+COUNTIF(W58:W75,$B94&amp;" ~*")&gt;0)+(IFERROR(INDEX(Setup!$G$33:$G$40,MATCH(Y94,Setup!$B$33:$B$40,0)),0)=1)*(COUNTIF(Y58:Y75,$B94)+COUNTIF(Y58:Y75,$B94&amp;" ~*")&gt;0))</f>
        <v/>
      </c>
    </row>
    <row r="95" ht="15" customHeight="1">
      <c r="A95" t="n">
        <v>2</v>
      </c>
      <c r="B95" s="35">
        <f>IF(Setup!$B$24="","",Setup!$B$24)</f>
        <v/>
      </c>
      <c r="C95" s="98" t="n"/>
      <c r="D95" s="99" t="n"/>
      <c r="E95" s="99" t="n"/>
      <c r="F95" s="100" t="n"/>
      <c r="G95" s="98" t="n"/>
      <c r="H95" s="99" t="n"/>
      <c r="I95" s="99" t="n"/>
      <c r="J95" s="100" t="n"/>
      <c r="K95" s="98" t="n"/>
      <c r="L95" s="99" t="n"/>
      <c r="M95" s="99" t="n"/>
      <c r="N95" s="100" t="n"/>
      <c r="O95" s="98" t="n"/>
      <c r="P95" s="99" t="n"/>
      <c r="Q95" s="99" t="n"/>
      <c r="R95" s="100" t="n"/>
      <c r="S95" s="98" t="n"/>
      <c r="T95" s="99" t="n"/>
      <c r="U95" s="99" t="n"/>
      <c r="V95" s="100" t="n"/>
      <c r="W95" s="98" t="n"/>
      <c r="X95" s="100" t="n"/>
      <c r="Y95" s="98" t="n"/>
      <c r="Z95" s="100" t="n"/>
      <c r="AB95" s="101">
        <f>IF($B95="","",(COUNTIF(C58:E75,$B95)+COUNTIF(C58:E75,$B95&amp;" ~*")&gt;0)+(COUNTIF(G58:I75,$B95)+COUNTIF(G58:I75,$B95&amp;" ~*")&gt;0)+(COUNTIF(K58:M75,$B95)+COUNTIF(K58:M75,$B95&amp;" ~*")&gt;0)+(COUNTIF(O58:Q75,$B95)+COUNTIF(O58:Q75,$B95&amp;" ~*")&gt;0)+(COUNTIF(S58:U75,$B95)+COUNTIF(S58:U75,$B95&amp;" ~*")&gt;0)+(COUNTIF(W58:W75,$B95)+COUNTIF(W58:W75,$B95&amp;" ~*")&gt;0)+(COUNTIF(Y58:Y75,$B95)+COUNTIF(Y58:Y75,$B95&amp;" ~*")&gt;0))</f>
        <v/>
      </c>
      <c r="AC95" s="36">
        <f>IF($B95="","",(IFERROR(INDEX(Setup!$G$33:$G$40,MATCH(C95,Setup!$B$33:$B$40,0)),0)=1)*(COUNTIF(C58:E75,$B95)+COUNTIF(C58:E75,$B95&amp;" ~*")&gt;0)+(IFERROR(INDEX(Setup!$G$33:$G$40,MATCH(G95,Setup!$B$33:$B$40,0)),0)=1)*(COUNTIF(G58:I75,$B95)+COUNTIF(G58:I75,$B95&amp;" ~*")&gt;0)+(IFERROR(INDEX(Setup!$G$33:$G$40,MATCH(K95,Setup!$B$33:$B$40,0)),0)=1)*(COUNTIF(K58:M75,$B95)+COUNTIF(K58:M75,$B95&amp;" ~*")&gt;0)+(IFERROR(INDEX(Setup!$G$33:$G$40,MATCH(O95,Setup!$B$33:$B$40,0)),0)=1)*(COUNTIF(O58:Q75,$B95)+COUNTIF(O58:Q75,$B95&amp;" ~*")&gt;0)+(IFERROR(INDEX(Setup!$G$33:$G$40,MATCH(S95,Setup!$B$33:$B$40,0)),0)=1)*(COUNTIF(S58:U75,$B95)+COUNTIF(S58:U75,$B95&amp;" ~*")&gt;0)+(IFERROR(INDEX(Setup!$G$33:$G$40,MATCH(W95,Setup!$B$33:$B$40,0)),0)=1)*(COUNTIF(W58:W75,$B95)+COUNTIF(W58:W75,$B95&amp;" ~*")&gt;0)+(IFERROR(INDEX(Setup!$G$33:$G$40,MATCH(Y95,Setup!$B$33:$B$40,0)),0)=1)*(COUNTIF(Y58:Y75,$B95)+COUNTIF(Y58:Y75,$B95&amp;" ~*")&gt;0))</f>
        <v/>
      </c>
    </row>
    <row r="96" ht="15" customHeight="1">
      <c r="A96" t="n">
        <v>2</v>
      </c>
      <c r="B96" s="37">
        <f>IF(Setup!$B$25="","",Setup!$B$25)</f>
        <v/>
      </c>
      <c r="C96" s="102" t="n"/>
      <c r="D96" s="103" t="n"/>
      <c r="E96" s="103" t="n"/>
      <c r="F96" s="104" t="n"/>
      <c r="G96" s="102" t="n"/>
      <c r="H96" s="103" t="n"/>
      <c r="I96" s="103" t="n"/>
      <c r="J96" s="104" t="n"/>
      <c r="K96" s="102" t="n"/>
      <c r="L96" s="103" t="n"/>
      <c r="M96" s="103" t="n"/>
      <c r="N96" s="104" t="n"/>
      <c r="O96" s="102" t="n"/>
      <c r="P96" s="103" t="n"/>
      <c r="Q96" s="103" t="n"/>
      <c r="R96" s="104" t="n"/>
      <c r="S96" s="102" t="n"/>
      <c r="T96" s="103" t="n"/>
      <c r="U96" s="103" t="n"/>
      <c r="V96" s="104" t="n"/>
      <c r="W96" s="102" t="n"/>
      <c r="X96" s="104" t="n"/>
      <c r="Y96" s="102" t="n"/>
      <c r="Z96" s="104" t="n"/>
      <c r="AB96" s="105">
        <f>IF($B96="","",(COUNTIF(C58:E75,$B96)+COUNTIF(C58:E75,$B96&amp;" ~*")&gt;0)+(COUNTIF(G58:I75,$B96)+COUNTIF(G58:I75,$B96&amp;" ~*")&gt;0)+(COUNTIF(K58:M75,$B96)+COUNTIF(K58:M75,$B96&amp;" ~*")&gt;0)+(COUNTIF(O58:Q75,$B96)+COUNTIF(O58:Q75,$B96&amp;" ~*")&gt;0)+(COUNTIF(S58:U75,$B96)+COUNTIF(S58:U75,$B96&amp;" ~*")&gt;0)+(COUNTIF(W58:W75,$B96)+COUNTIF(W58:W75,$B96&amp;" ~*")&gt;0)+(COUNTIF(Y58:Y75,$B96)+COUNTIF(Y58:Y75,$B96&amp;" ~*")&gt;0))</f>
        <v/>
      </c>
      <c r="AC96" s="38">
        <f>IF($B96="","",(IFERROR(INDEX(Setup!$G$33:$G$40,MATCH(C96,Setup!$B$33:$B$40,0)),0)=1)*(COUNTIF(C58:E75,$B96)+COUNTIF(C58:E75,$B96&amp;" ~*")&gt;0)+(IFERROR(INDEX(Setup!$G$33:$G$40,MATCH(G96,Setup!$B$33:$B$40,0)),0)=1)*(COUNTIF(G58:I75,$B96)+COUNTIF(G58:I75,$B96&amp;" ~*")&gt;0)+(IFERROR(INDEX(Setup!$G$33:$G$40,MATCH(K96,Setup!$B$33:$B$40,0)),0)=1)*(COUNTIF(K58:M75,$B96)+COUNTIF(K58:M75,$B96&amp;" ~*")&gt;0)+(IFERROR(INDEX(Setup!$G$33:$G$40,MATCH(O96,Setup!$B$33:$B$40,0)),0)=1)*(COUNTIF(O58:Q75,$B96)+COUNTIF(O58:Q75,$B96&amp;" ~*")&gt;0)+(IFERROR(INDEX(Setup!$G$33:$G$40,MATCH(S96,Setup!$B$33:$B$40,0)),0)=1)*(COUNTIF(S58:U75,$B96)+COUNTIF(S58:U75,$B96&amp;" ~*")&gt;0)+(IFERROR(INDEX(Setup!$G$33:$G$40,MATCH(W96,Setup!$B$33:$B$40,0)),0)=1)*(COUNTIF(W58:W75,$B96)+COUNTIF(W58:W75,$B96&amp;" ~*")&gt;0)+(IFERROR(INDEX(Setup!$G$33:$G$40,MATCH(Y96,Setup!$B$33:$B$40,0)),0)=1)*(COUNTIF(Y58:Y75,$B96)+COUNTIF(Y58:Y75,$B96&amp;" ~*")&gt;0))</f>
        <v/>
      </c>
    </row>
    <row r="97" ht="15" customHeight="1">
      <c r="A97" t="n">
        <v>2</v>
      </c>
      <c r="B97" s="35">
        <f>IF(Setup!$B$26="","",Setup!$B$26)</f>
        <v/>
      </c>
      <c r="C97" s="98" t="n"/>
      <c r="D97" s="99" t="n"/>
      <c r="E97" s="99" t="n"/>
      <c r="F97" s="100" t="n"/>
      <c r="G97" s="98" t="n"/>
      <c r="H97" s="99" t="n"/>
      <c r="I97" s="99" t="n"/>
      <c r="J97" s="100" t="n"/>
      <c r="K97" s="98" t="n"/>
      <c r="L97" s="99" t="n"/>
      <c r="M97" s="99" t="n"/>
      <c r="N97" s="100" t="n"/>
      <c r="O97" s="98" t="n"/>
      <c r="P97" s="99" t="n"/>
      <c r="Q97" s="99" t="n"/>
      <c r="R97" s="100" t="n"/>
      <c r="S97" s="98" t="n"/>
      <c r="T97" s="99" t="n"/>
      <c r="U97" s="99" t="n"/>
      <c r="V97" s="100" t="n"/>
      <c r="W97" s="98" t="n"/>
      <c r="X97" s="100" t="n"/>
      <c r="Y97" s="98" t="n"/>
      <c r="Z97" s="100" t="n"/>
      <c r="AB97" s="101">
        <f>IF($B97="","",(COUNTIF(C58:E75,$B97)+COUNTIF(C58:E75,$B97&amp;" ~*")&gt;0)+(COUNTIF(G58:I75,$B97)+COUNTIF(G58:I75,$B97&amp;" ~*")&gt;0)+(COUNTIF(K58:M75,$B97)+COUNTIF(K58:M75,$B97&amp;" ~*")&gt;0)+(COUNTIF(O58:Q75,$B97)+COUNTIF(O58:Q75,$B97&amp;" ~*")&gt;0)+(COUNTIF(S58:U75,$B97)+COUNTIF(S58:U75,$B97&amp;" ~*")&gt;0)+(COUNTIF(W58:W75,$B97)+COUNTIF(W58:W75,$B97&amp;" ~*")&gt;0)+(COUNTIF(Y58:Y75,$B97)+COUNTIF(Y58:Y75,$B97&amp;" ~*")&gt;0))</f>
        <v/>
      </c>
      <c r="AC97" s="36">
        <f>IF($B97="","",(IFERROR(INDEX(Setup!$G$33:$G$40,MATCH(C97,Setup!$B$33:$B$40,0)),0)=1)*(COUNTIF(C58:E75,$B97)+COUNTIF(C58:E75,$B97&amp;" ~*")&gt;0)+(IFERROR(INDEX(Setup!$G$33:$G$40,MATCH(G97,Setup!$B$33:$B$40,0)),0)=1)*(COUNTIF(G58:I75,$B97)+COUNTIF(G58:I75,$B97&amp;" ~*")&gt;0)+(IFERROR(INDEX(Setup!$G$33:$G$40,MATCH(K97,Setup!$B$33:$B$40,0)),0)=1)*(COUNTIF(K58:M75,$B97)+COUNTIF(K58:M75,$B97&amp;" ~*")&gt;0)+(IFERROR(INDEX(Setup!$G$33:$G$40,MATCH(O97,Setup!$B$33:$B$40,0)),0)=1)*(COUNTIF(O58:Q75,$B97)+COUNTIF(O58:Q75,$B97&amp;" ~*")&gt;0)+(IFERROR(INDEX(Setup!$G$33:$G$40,MATCH(S97,Setup!$B$33:$B$40,0)),0)=1)*(COUNTIF(S58:U75,$B97)+COUNTIF(S58:U75,$B97&amp;" ~*")&gt;0)+(IFERROR(INDEX(Setup!$G$33:$G$40,MATCH(W97,Setup!$B$33:$B$40,0)),0)=1)*(COUNTIF(W58:W75,$B97)+COUNTIF(W58:W75,$B97&amp;" ~*")&gt;0)+(IFERROR(INDEX(Setup!$G$33:$G$40,MATCH(Y97,Setup!$B$33:$B$40,0)),0)=1)*(COUNTIF(Y58:Y75,$B97)+COUNTIF(Y58:Y75,$B97&amp;" ~*")&gt;0))</f>
        <v/>
      </c>
    </row>
    <row r="98" ht="15" customHeight="1">
      <c r="A98" t="n">
        <v>2</v>
      </c>
      <c r="B98" s="37">
        <f>IF(Setup!$B$27="","",Setup!$B$27)</f>
        <v/>
      </c>
      <c r="C98" s="102" t="n"/>
      <c r="D98" s="103" t="n"/>
      <c r="E98" s="103" t="n"/>
      <c r="F98" s="104" t="n"/>
      <c r="G98" s="102" t="n"/>
      <c r="H98" s="103" t="n"/>
      <c r="I98" s="103" t="n"/>
      <c r="J98" s="104" t="n"/>
      <c r="K98" s="102" t="n"/>
      <c r="L98" s="103" t="n"/>
      <c r="M98" s="103" t="n"/>
      <c r="N98" s="104" t="n"/>
      <c r="O98" s="102" t="n"/>
      <c r="P98" s="103" t="n"/>
      <c r="Q98" s="103" t="n"/>
      <c r="R98" s="104" t="n"/>
      <c r="S98" s="102" t="n"/>
      <c r="T98" s="103" t="n"/>
      <c r="U98" s="103" t="n"/>
      <c r="V98" s="104" t="n"/>
      <c r="W98" s="102" t="n"/>
      <c r="X98" s="104" t="n"/>
      <c r="Y98" s="102" t="n"/>
      <c r="Z98" s="104" t="n"/>
      <c r="AB98" s="105">
        <f>IF($B98="","",(COUNTIF(C58:E75,$B98)+COUNTIF(C58:E75,$B98&amp;" ~*")&gt;0)+(COUNTIF(G58:I75,$B98)+COUNTIF(G58:I75,$B98&amp;" ~*")&gt;0)+(COUNTIF(K58:M75,$B98)+COUNTIF(K58:M75,$B98&amp;" ~*")&gt;0)+(COUNTIF(O58:Q75,$B98)+COUNTIF(O58:Q75,$B98&amp;" ~*")&gt;0)+(COUNTIF(S58:U75,$B98)+COUNTIF(S58:U75,$B98&amp;" ~*")&gt;0)+(COUNTIF(W58:W75,$B98)+COUNTIF(W58:W75,$B98&amp;" ~*")&gt;0)+(COUNTIF(Y58:Y75,$B98)+COUNTIF(Y58:Y75,$B98&amp;" ~*")&gt;0))</f>
        <v/>
      </c>
      <c r="AC98" s="38">
        <f>IF($B98="","",(IFERROR(INDEX(Setup!$G$33:$G$40,MATCH(C98,Setup!$B$33:$B$40,0)),0)=1)*(COUNTIF(C58:E75,$B98)+COUNTIF(C58:E75,$B98&amp;" ~*")&gt;0)+(IFERROR(INDEX(Setup!$G$33:$G$40,MATCH(G98,Setup!$B$33:$B$40,0)),0)=1)*(COUNTIF(G58:I75,$B98)+COUNTIF(G58:I75,$B98&amp;" ~*")&gt;0)+(IFERROR(INDEX(Setup!$G$33:$G$40,MATCH(K98,Setup!$B$33:$B$40,0)),0)=1)*(COUNTIF(K58:M75,$B98)+COUNTIF(K58:M75,$B98&amp;" ~*")&gt;0)+(IFERROR(INDEX(Setup!$G$33:$G$40,MATCH(O98,Setup!$B$33:$B$40,0)),0)=1)*(COUNTIF(O58:Q75,$B98)+COUNTIF(O58:Q75,$B98&amp;" ~*")&gt;0)+(IFERROR(INDEX(Setup!$G$33:$G$40,MATCH(S98,Setup!$B$33:$B$40,0)),0)=1)*(COUNTIF(S58:U75,$B98)+COUNTIF(S58:U75,$B98&amp;" ~*")&gt;0)+(IFERROR(INDEX(Setup!$G$33:$G$40,MATCH(W98,Setup!$B$33:$B$40,0)),0)=1)*(COUNTIF(W58:W75,$B98)+COUNTIF(W58:W75,$B98&amp;" ~*")&gt;0)+(IFERROR(INDEX(Setup!$G$33:$G$40,MATCH(Y98,Setup!$B$33:$B$40,0)),0)=1)*(COUNTIF(Y58:Y75,$B98)+COUNTIF(Y58:Y75,$B98&amp;" ~*")&gt;0))</f>
        <v/>
      </c>
    </row>
    <row r="99" ht="15" customHeight="1">
      <c r="A99" t="n">
        <v>2</v>
      </c>
      <c r="B99" s="35">
        <f>IF(Setup!$B$28="","",Setup!$B$28)</f>
        <v/>
      </c>
      <c r="C99" s="98" t="n"/>
      <c r="D99" s="99" t="n"/>
      <c r="E99" s="99" t="n"/>
      <c r="F99" s="100" t="n"/>
      <c r="G99" s="98" t="n"/>
      <c r="H99" s="99" t="n"/>
      <c r="I99" s="99" t="n"/>
      <c r="J99" s="100" t="n"/>
      <c r="K99" s="98" t="n"/>
      <c r="L99" s="99" t="n"/>
      <c r="M99" s="99" t="n"/>
      <c r="N99" s="100" t="n"/>
      <c r="O99" s="98" t="n"/>
      <c r="P99" s="99" t="n"/>
      <c r="Q99" s="99" t="n"/>
      <c r="R99" s="100" t="n"/>
      <c r="S99" s="98" t="n"/>
      <c r="T99" s="99" t="n"/>
      <c r="U99" s="99" t="n"/>
      <c r="V99" s="100" t="n"/>
      <c r="W99" s="98" t="n"/>
      <c r="X99" s="100" t="n"/>
      <c r="Y99" s="98" t="n"/>
      <c r="Z99" s="100" t="n"/>
      <c r="AB99" s="101">
        <f>IF($B99="","",(COUNTIF(C58:E75,$B99)+COUNTIF(C58:E75,$B99&amp;" ~*")&gt;0)+(COUNTIF(G58:I75,$B99)+COUNTIF(G58:I75,$B99&amp;" ~*")&gt;0)+(COUNTIF(K58:M75,$B99)+COUNTIF(K58:M75,$B99&amp;" ~*")&gt;0)+(COUNTIF(O58:Q75,$B99)+COUNTIF(O58:Q75,$B99&amp;" ~*")&gt;0)+(COUNTIF(S58:U75,$B99)+COUNTIF(S58:U75,$B99&amp;" ~*")&gt;0)+(COUNTIF(W58:W75,$B99)+COUNTIF(W58:W75,$B99&amp;" ~*")&gt;0)+(COUNTIF(Y58:Y75,$B99)+COUNTIF(Y58:Y75,$B99&amp;" ~*")&gt;0))</f>
        <v/>
      </c>
      <c r="AC99" s="36">
        <f>IF($B99="","",(IFERROR(INDEX(Setup!$G$33:$G$40,MATCH(C99,Setup!$B$33:$B$40,0)),0)=1)*(COUNTIF(C58:E75,$B99)+COUNTIF(C58:E75,$B99&amp;" ~*")&gt;0)+(IFERROR(INDEX(Setup!$G$33:$G$40,MATCH(G99,Setup!$B$33:$B$40,0)),0)=1)*(COUNTIF(G58:I75,$B99)+COUNTIF(G58:I75,$B99&amp;" ~*")&gt;0)+(IFERROR(INDEX(Setup!$G$33:$G$40,MATCH(K99,Setup!$B$33:$B$40,0)),0)=1)*(COUNTIF(K58:M75,$B99)+COUNTIF(K58:M75,$B99&amp;" ~*")&gt;0)+(IFERROR(INDEX(Setup!$G$33:$G$40,MATCH(O99,Setup!$B$33:$B$40,0)),0)=1)*(COUNTIF(O58:Q75,$B99)+COUNTIF(O58:Q75,$B99&amp;" ~*")&gt;0)+(IFERROR(INDEX(Setup!$G$33:$G$40,MATCH(S99,Setup!$B$33:$B$40,0)),0)=1)*(COUNTIF(S58:U75,$B99)+COUNTIF(S58:U75,$B99&amp;" ~*")&gt;0)+(IFERROR(INDEX(Setup!$G$33:$G$40,MATCH(W99,Setup!$B$33:$B$40,0)),0)=1)*(COUNTIF(W58:W75,$B99)+COUNTIF(W58:W75,$B99&amp;" ~*")&gt;0)+(IFERROR(INDEX(Setup!$G$33:$G$40,MATCH(Y99,Setup!$B$33:$B$40,0)),0)=1)*(COUNTIF(Y58:Y75,$B99)+COUNTIF(Y58:Y75,$B99&amp;" ~*")&gt;0))</f>
        <v/>
      </c>
    </row>
    <row r="100" ht="15" customHeight="1">
      <c r="A100" t="n">
        <v>2</v>
      </c>
      <c r="B100" s="37">
        <f>IF(Setup!$B$29="","",Setup!$B$29)</f>
        <v/>
      </c>
      <c r="C100" s="102" t="n"/>
      <c r="D100" s="103" t="n"/>
      <c r="E100" s="103" t="n"/>
      <c r="F100" s="104" t="n"/>
      <c r="G100" s="102" t="n"/>
      <c r="H100" s="103" t="n"/>
      <c r="I100" s="103" t="n"/>
      <c r="J100" s="104" t="n"/>
      <c r="K100" s="102" t="n"/>
      <c r="L100" s="103" t="n"/>
      <c r="M100" s="103" t="n"/>
      <c r="N100" s="104" t="n"/>
      <c r="O100" s="102" t="n"/>
      <c r="P100" s="103" t="n"/>
      <c r="Q100" s="103" t="n"/>
      <c r="R100" s="104" t="n"/>
      <c r="S100" s="102" t="n"/>
      <c r="T100" s="103" t="n"/>
      <c r="U100" s="103" t="n"/>
      <c r="V100" s="104" t="n"/>
      <c r="W100" s="102" t="n"/>
      <c r="X100" s="104" t="n"/>
      <c r="Y100" s="102" t="n"/>
      <c r="Z100" s="104" t="n"/>
      <c r="AB100" s="105">
        <f>IF($B100="","",(COUNTIF(C58:E75,$B100)+COUNTIF(C58:E75,$B100&amp;" ~*")&gt;0)+(COUNTIF(G58:I75,$B100)+COUNTIF(G58:I75,$B100&amp;" ~*")&gt;0)+(COUNTIF(K58:M75,$B100)+COUNTIF(K58:M75,$B100&amp;" ~*")&gt;0)+(COUNTIF(O58:Q75,$B100)+COUNTIF(O58:Q75,$B100&amp;" ~*")&gt;0)+(COUNTIF(S58:U75,$B100)+COUNTIF(S58:U75,$B100&amp;" ~*")&gt;0)+(COUNTIF(W58:W75,$B100)+COUNTIF(W58:W75,$B100&amp;" ~*")&gt;0)+(COUNTIF(Y58:Y75,$B100)+COUNTIF(Y58:Y75,$B100&amp;" ~*")&gt;0))</f>
        <v/>
      </c>
      <c r="AC100" s="38">
        <f>IF($B100="","",(IFERROR(INDEX(Setup!$G$33:$G$40,MATCH(C100,Setup!$B$33:$B$40,0)),0)=1)*(COUNTIF(C58:E75,$B100)+COUNTIF(C58:E75,$B100&amp;" ~*")&gt;0)+(IFERROR(INDEX(Setup!$G$33:$G$40,MATCH(G100,Setup!$B$33:$B$40,0)),0)=1)*(COUNTIF(G58:I75,$B100)+COUNTIF(G58:I75,$B100&amp;" ~*")&gt;0)+(IFERROR(INDEX(Setup!$G$33:$G$40,MATCH(K100,Setup!$B$33:$B$40,0)),0)=1)*(COUNTIF(K58:M75,$B100)+COUNTIF(K58:M75,$B100&amp;" ~*")&gt;0)+(IFERROR(INDEX(Setup!$G$33:$G$40,MATCH(O100,Setup!$B$33:$B$40,0)),0)=1)*(COUNTIF(O58:Q75,$B100)+COUNTIF(O58:Q75,$B100&amp;" ~*")&gt;0)+(IFERROR(INDEX(Setup!$G$33:$G$40,MATCH(S100,Setup!$B$33:$B$40,0)),0)=1)*(COUNTIF(S58:U75,$B100)+COUNTIF(S58:U75,$B100&amp;" ~*")&gt;0)+(IFERROR(INDEX(Setup!$G$33:$G$40,MATCH(W100,Setup!$B$33:$B$40,0)),0)=1)*(COUNTIF(W58:W75,$B100)+COUNTIF(W58:W75,$B100&amp;" ~*")&gt;0)+(IFERROR(INDEX(Setup!$G$33:$G$40,MATCH(Y100,Setup!$B$33:$B$40,0)),0)=1)*(COUNTIF(Y58:Y75,$B100)+COUNTIF(Y58:Y75,$B100&amp;" ~*")&gt;0))</f>
        <v/>
      </c>
    </row>
    <row r="101" ht="16" customHeight="1">
      <c r="A101" t="n">
        <v>2</v>
      </c>
      <c r="B101" s="106" t="inlineStr">
        <is>
          <t>Available people</t>
        </is>
      </c>
      <c r="C101" s="107">
        <f>COUNTIFS(Setup!$E$6:$E$29,"Y",Setup!$B$6:$B$29,"?*")-SUMPRODUCT(COUNTIF(C77:C100,Setup!$F$33:$F$40))</f>
        <v/>
      </c>
      <c r="D101" s="107" t="n"/>
      <c r="E101" s="107" t="n"/>
      <c r="F101" s="107" t="n"/>
      <c r="G101" s="107">
        <f>COUNTIFS(Setup!$E$6:$E$29,"Y",Setup!$B$6:$B$29,"?*")-SUMPRODUCT(COUNTIF(G77:G100,Setup!$F$33:$F$40))</f>
        <v/>
      </c>
      <c r="H101" s="107" t="n"/>
      <c r="I101" s="107" t="n"/>
      <c r="J101" s="107" t="n"/>
      <c r="K101" s="107">
        <f>COUNTIFS(Setup!$E$6:$E$29,"Y",Setup!$B$6:$B$29,"?*")-SUMPRODUCT(COUNTIF(K77:K100,Setup!$F$33:$F$40))</f>
        <v/>
      </c>
      <c r="L101" s="107" t="n"/>
      <c r="M101" s="107" t="n"/>
      <c r="N101" s="107" t="n"/>
      <c r="O101" s="107">
        <f>COUNTIFS(Setup!$E$6:$E$29,"Y",Setup!$B$6:$B$29,"?*")-SUMPRODUCT(COUNTIF(O77:O100,Setup!$F$33:$F$40))</f>
        <v/>
      </c>
      <c r="P101" s="107" t="n"/>
      <c r="Q101" s="107" t="n"/>
      <c r="R101" s="107" t="n"/>
      <c r="S101" s="107">
        <f>COUNTIFS(Setup!$E$6:$E$29,"Y",Setup!$B$6:$B$29,"?*")-SUMPRODUCT(COUNTIF(S77:S100,Setup!$F$33:$F$40))</f>
        <v/>
      </c>
      <c r="T101" s="107" t="n"/>
      <c r="U101" s="107" t="n"/>
      <c r="V101" s="107" t="n"/>
      <c r="W101" s="107">
        <f>COUNTIFS(Setup!$E$6:$E$29,"Y",Setup!$B$6:$B$29,"?*")-SUMPRODUCT(COUNTIF(W77:W100,Setup!$F$33:$F$40))</f>
        <v/>
      </c>
      <c r="X101" s="107" t="n"/>
      <c r="Y101" s="107">
        <f>COUNTIFS(Setup!$E$6:$E$29,"Y",Setup!$B$6:$B$29,"?*")-SUMPRODUCT(COUNTIF(Y77:Y100,Setup!$F$33:$F$40))</f>
        <v/>
      </c>
      <c r="Z101" s="107" t="n"/>
      <c r="AB101" s="108">
        <f>SUM(AB77:AB100)</f>
        <v/>
      </c>
      <c r="AC101" s="109">
        <f>SUM(AC77:AC100)</f>
        <v/>
      </c>
    </row>
    <row r="102" ht="30" customHeight="1">
      <c r="A102" t="n">
        <v>2</v>
      </c>
      <c r="B102" s="110" t="inlineStr">
        <is>
          <t>Week notes</t>
        </is>
      </c>
      <c r="C102" s="111" t="n"/>
      <c r="D102" s="112" t="n"/>
      <c r="E102" s="112" t="n"/>
      <c r="F102" s="112" t="n"/>
      <c r="G102" s="112" t="n"/>
      <c r="H102" s="112" t="n"/>
      <c r="I102" s="112" t="n"/>
      <c r="J102" s="112" t="n"/>
      <c r="K102" s="112" t="n"/>
      <c r="L102" s="112" t="n"/>
      <c r="M102" s="112" t="n"/>
      <c r="N102" s="112" t="n"/>
      <c r="O102" s="112" t="n"/>
      <c r="P102" s="112" t="n"/>
      <c r="Q102" s="112" t="n"/>
      <c r="R102" s="112" t="n"/>
      <c r="S102" s="112" t="n"/>
      <c r="T102" s="112" t="n"/>
      <c r="U102" s="112" t="n"/>
      <c r="V102" s="112" t="n"/>
      <c r="W102" s="112" t="n"/>
      <c r="X102" s="112" t="n"/>
      <c r="Y102" s="112" t="n"/>
      <c r="Z102" s="113" t="n"/>
    </row>
    <row r="103" ht="8" customHeight="1">
      <c r="A103" t="n">
        <v>2</v>
      </c>
    </row>
    <row r="104" ht="8" customHeight="1">
      <c r="A104" t="n">
        <v>2</v>
      </c>
    </row>
    <row r="105" ht="24" customHeight="1">
      <c r="A105" t="n">
        <v>3</v>
      </c>
      <c r="B105" s="73">
        <f>"WEEK 3     "&amp;TEXT(C106,"ddd d mmm")&amp;"  –  "&amp;TEXT(C106+6,"ddd d mmm yyyy")</f>
        <v/>
      </c>
      <c r="S105" s="74">
        <f>IF(TODAY()&lt;C106,"FUTURE",IF(TODAY()&gt;C106+6,"PAST","THIS WEEK"))</f>
        <v/>
      </c>
      <c r="W105" s="75">
        <f>IF(AND(Engine!$B$8=$AC$3,Engine!$B$9=$A105),"◀ ACTIVE WEEK","")</f>
        <v/>
      </c>
      <c r="AA105" s="76" t="n"/>
      <c r="AB105" s="77" t="inlineStr">
        <is>
          <t>◀ Prev</t>
        </is>
      </c>
      <c r="AC105" s="77" t="inlineStr">
        <is>
          <t>Next ▶</t>
        </is>
      </c>
    </row>
    <row r="106" ht="18" customHeight="1">
      <c r="A106" t="n">
        <v>3</v>
      </c>
      <c r="B106" s="78" t="inlineStr">
        <is>
          <t>DUTY</t>
        </is>
      </c>
      <c r="C106" s="79">
        <f>$AC$2+7*($A106-1)</f>
        <v/>
      </c>
      <c r="D106" s="80" t="n"/>
      <c r="E106" s="80" t="n"/>
      <c r="F106" s="81" t="n"/>
      <c r="G106" s="79">
        <f>C106+1</f>
        <v/>
      </c>
      <c r="H106" s="80" t="n"/>
      <c r="I106" s="80" t="n"/>
      <c r="J106" s="81" t="n"/>
      <c r="K106" s="79">
        <f>C106+2</f>
        <v/>
      </c>
      <c r="L106" s="80" t="n"/>
      <c r="M106" s="80" t="n"/>
      <c r="N106" s="81" t="n"/>
      <c r="O106" s="79">
        <f>C106+3</f>
        <v/>
      </c>
      <c r="P106" s="80" t="n"/>
      <c r="Q106" s="80" t="n"/>
      <c r="R106" s="81" t="n"/>
      <c r="S106" s="79">
        <f>C106+4</f>
        <v/>
      </c>
      <c r="T106" s="80" t="n"/>
      <c r="U106" s="80" t="n"/>
      <c r="V106" s="81" t="n"/>
      <c r="W106" s="82">
        <f>C106+5</f>
        <v/>
      </c>
      <c r="X106" s="83" t="n"/>
      <c r="Y106" s="82">
        <f>C106+6</f>
        <v/>
      </c>
      <c r="Z106" s="83" t="n"/>
      <c r="AB106" s="72" t="inlineStr">
        <is>
          <t>Gaps</t>
        </is>
      </c>
      <c r="AC106" s="72" t="inlineStr">
        <is>
          <t>Cover</t>
        </is>
      </c>
    </row>
    <row r="107" ht="14" customHeight="1">
      <c r="A107" t="n">
        <v>3</v>
      </c>
      <c r="B107" s="84" t="inlineStr">
        <is>
          <t>(from Setup)</t>
        </is>
      </c>
      <c r="C107" s="85" t="inlineStr">
        <is>
          <t>1</t>
        </is>
      </c>
      <c r="D107" s="85" t="inlineStr">
        <is>
          <t>2</t>
        </is>
      </c>
      <c r="E107" s="85" t="inlineStr">
        <is>
          <t>3</t>
        </is>
      </c>
      <c r="F107" s="85" t="inlineStr">
        <is>
          <t>Notes</t>
        </is>
      </c>
      <c r="G107" s="85" t="inlineStr">
        <is>
          <t>1</t>
        </is>
      </c>
      <c r="H107" s="85" t="inlineStr">
        <is>
          <t>2</t>
        </is>
      </c>
      <c r="I107" s="85" t="inlineStr">
        <is>
          <t>3</t>
        </is>
      </c>
      <c r="J107" s="85" t="inlineStr">
        <is>
          <t>Notes</t>
        </is>
      </c>
      <c r="K107" s="85" t="inlineStr">
        <is>
          <t>1</t>
        </is>
      </c>
      <c r="L107" s="85" t="inlineStr">
        <is>
          <t>2</t>
        </is>
      </c>
      <c r="M107" s="85" t="inlineStr">
        <is>
          <t>3</t>
        </is>
      </c>
      <c r="N107" s="85" t="inlineStr">
        <is>
          <t>Notes</t>
        </is>
      </c>
      <c r="O107" s="85" t="inlineStr">
        <is>
          <t>1</t>
        </is>
      </c>
      <c r="P107" s="85" t="inlineStr">
        <is>
          <t>2</t>
        </is>
      </c>
      <c r="Q107" s="85" t="inlineStr">
        <is>
          <t>3</t>
        </is>
      </c>
      <c r="R107" s="85" t="inlineStr">
        <is>
          <t>Notes</t>
        </is>
      </c>
      <c r="S107" s="85" t="inlineStr">
        <is>
          <t>1</t>
        </is>
      </c>
      <c r="T107" s="85" t="inlineStr">
        <is>
          <t>2</t>
        </is>
      </c>
      <c r="U107" s="85" t="inlineStr">
        <is>
          <t>3</t>
        </is>
      </c>
      <c r="V107" s="85" t="inlineStr">
        <is>
          <t>Notes</t>
        </is>
      </c>
      <c r="W107" s="85" t="inlineStr">
        <is>
          <t>Cover</t>
        </is>
      </c>
      <c r="X107" s="85" t="inlineStr">
        <is>
          <t>Notes</t>
        </is>
      </c>
      <c r="Y107" s="85" t="inlineStr">
        <is>
          <t>Cover</t>
        </is>
      </c>
      <c r="Z107" s="85" t="inlineStr">
        <is>
          <t>Notes</t>
        </is>
      </c>
      <c r="AB107" s="86" t="inlineStr">
        <is>
          <t>weekdays short</t>
        </is>
      </c>
      <c r="AC107" s="87" t="inlineStr"/>
    </row>
    <row r="108" ht="17" customHeight="1">
      <c r="A108" t="n">
        <v>3</v>
      </c>
      <c r="B108" s="24">
        <f>IF(Setup!$K$6="","",Setup!$K$6)</f>
        <v/>
      </c>
      <c r="C108" s="88" t="n"/>
      <c r="D108" s="88" t="n"/>
      <c r="E108" s="88" t="n"/>
      <c r="F108" s="89" t="n"/>
      <c r="G108" s="88" t="n"/>
      <c r="H108" s="88" t="n"/>
      <c r="I108" s="88" t="n"/>
      <c r="J108" s="89" t="n"/>
      <c r="K108" s="88" t="n"/>
      <c r="L108" s="88" t="n"/>
      <c r="M108" s="88" t="n"/>
      <c r="N108" s="89" t="n"/>
      <c r="O108" s="88" t="n"/>
      <c r="P108" s="88" t="n"/>
      <c r="Q108" s="88" t="n"/>
      <c r="R108" s="89" t="n"/>
      <c r="S108" s="88" t="n"/>
      <c r="T108" s="88" t="n"/>
      <c r="U108" s="88" t="n"/>
      <c r="V108" s="89" t="n"/>
      <c r="W108" s="88" t="n"/>
      <c r="X108" s="89" t="n"/>
      <c r="Y108" s="88" t="n"/>
      <c r="Z108" s="89" t="n"/>
      <c r="AB108" s="25">
        <f>IF($B108="","",(COUNTIF(C108:E108,"?*")&lt;N(INDEX(Setup!$L$6:$L$23,1)))+(COUNTIF(G108:I108,"?*")&lt;N(INDEX(Setup!$L$6:$L$23,1)))+(COUNTIF(K108:M108,"?*")&lt;N(INDEX(Setup!$L$6:$L$23,1)))+(COUNTIF(O108:Q108,"?*")&lt;N(INDEX(Setup!$L$6:$L$23,1)))+(COUNTIF(S108:U108,"?*")&lt;N(INDEX(Setup!$L$6:$L$23,1)))+((W108="")*(INDEX(Setup!$M$6:$M$23,1)="Y"))+((Y108="")*(INDEX(Setup!$M$6:$M$23,1)="Y")))</f>
        <v/>
      </c>
      <c r="AC108" s="90">
        <f>IF($B108="","",IF(AB108=0,"✓ covered","⚠ "&amp;AB108&amp;IF(AB108=1," gap"," gaps")))</f>
        <v/>
      </c>
    </row>
    <row r="109" ht="17" customHeight="1">
      <c r="A109" t="n">
        <v>3</v>
      </c>
      <c r="B109" s="29">
        <f>IF(Setup!$K$7="","",Setup!$K$7)</f>
        <v/>
      </c>
      <c r="C109" s="88" t="n"/>
      <c r="D109" s="88" t="n"/>
      <c r="E109" s="88" t="n"/>
      <c r="F109" s="89" t="n"/>
      <c r="G109" s="88" t="n"/>
      <c r="H109" s="88" t="n"/>
      <c r="I109" s="88" t="n"/>
      <c r="J109" s="89" t="n"/>
      <c r="K109" s="88" t="n"/>
      <c r="L109" s="88" t="n"/>
      <c r="M109" s="88" t="n"/>
      <c r="N109" s="89" t="n"/>
      <c r="O109" s="88" t="n"/>
      <c r="P109" s="88" t="n"/>
      <c r="Q109" s="88" t="n"/>
      <c r="R109" s="89" t="n"/>
      <c r="S109" s="88" t="n"/>
      <c r="T109" s="88" t="n"/>
      <c r="U109" s="88" t="n"/>
      <c r="V109" s="89" t="n"/>
      <c r="W109" s="88" t="n"/>
      <c r="X109" s="89" t="n"/>
      <c r="Y109" s="88" t="n"/>
      <c r="Z109" s="89" t="n"/>
      <c r="AB109" s="30">
        <f>IF($B109="","",(COUNTIF(C109:E109,"?*")&lt;N(INDEX(Setup!$L$6:$L$23,2)))+(COUNTIF(G109:I109,"?*")&lt;N(INDEX(Setup!$L$6:$L$23,2)))+(COUNTIF(K109:M109,"?*")&lt;N(INDEX(Setup!$L$6:$L$23,2)))+(COUNTIF(O109:Q109,"?*")&lt;N(INDEX(Setup!$L$6:$L$23,2)))+(COUNTIF(S109:U109,"?*")&lt;N(INDEX(Setup!$L$6:$L$23,2)))+((W109="")*(INDEX(Setup!$M$6:$M$23,2)="Y"))+((Y109="")*(INDEX(Setup!$M$6:$M$23,2)="Y")))</f>
        <v/>
      </c>
      <c r="AC109" s="91">
        <f>IF($B109="","",IF(AB109=0,"✓ covered","⚠ "&amp;AB109&amp;IF(AB109=1," gap"," gaps")))</f>
        <v/>
      </c>
    </row>
    <row r="110" ht="17" customHeight="1">
      <c r="A110" t="n">
        <v>3</v>
      </c>
      <c r="B110" s="24">
        <f>IF(Setup!$K$8="","",Setup!$K$8)</f>
        <v/>
      </c>
      <c r="C110" s="88" t="n"/>
      <c r="D110" s="88" t="n"/>
      <c r="E110" s="88" t="n"/>
      <c r="F110" s="89" t="n"/>
      <c r="G110" s="88" t="n"/>
      <c r="H110" s="88" t="n"/>
      <c r="I110" s="88" t="n"/>
      <c r="J110" s="89" t="n"/>
      <c r="K110" s="88" t="n"/>
      <c r="L110" s="88" t="n"/>
      <c r="M110" s="88" t="n"/>
      <c r="N110" s="89" t="n"/>
      <c r="O110" s="88" t="n"/>
      <c r="P110" s="88" t="n"/>
      <c r="Q110" s="88" t="n"/>
      <c r="R110" s="89" t="n"/>
      <c r="S110" s="88" t="n"/>
      <c r="T110" s="88" t="n"/>
      <c r="U110" s="88" t="n"/>
      <c r="V110" s="89" t="n"/>
      <c r="W110" s="88" t="n"/>
      <c r="X110" s="89" t="n"/>
      <c r="Y110" s="88" t="n"/>
      <c r="Z110" s="89" t="n"/>
      <c r="AB110" s="25">
        <f>IF($B110="","",(COUNTIF(C110:E110,"?*")&lt;N(INDEX(Setup!$L$6:$L$23,3)))+(COUNTIF(G110:I110,"?*")&lt;N(INDEX(Setup!$L$6:$L$23,3)))+(COUNTIF(K110:M110,"?*")&lt;N(INDEX(Setup!$L$6:$L$23,3)))+(COUNTIF(O110:Q110,"?*")&lt;N(INDEX(Setup!$L$6:$L$23,3)))+(COUNTIF(S110:U110,"?*")&lt;N(INDEX(Setup!$L$6:$L$23,3)))+((W110="")*(INDEX(Setup!$M$6:$M$23,3)="Y"))+((Y110="")*(INDEX(Setup!$M$6:$M$23,3)="Y")))</f>
        <v/>
      </c>
      <c r="AC110" s="90">
        <f>IF($B110="","",IF(AB110=0,"✓ covered","⚠ "&amp;AB110&amp;IF(AB110=1," gap"," gaps")))</f>
        <v/>
      </c>
    </row>
    <row r="111" ht="17" customHeight="1">
      <c r="A111" t="n">
        <v>3</v>
      </c>
      <c r="B111" s="29">
        <f>IF(Setup!$K$9="","",Setup!$K$9)</f>
        <v/>
      </c>
      <c r="C111" s="88" t="n"/>
      <c r="D111" s="88" t="n"/>
      <c r="E111" s="88" t="n"/>
      <c r="F111" s="89" t="n"/>
      <c r="G111" s="88" t="n"/>
      <c r="H111" s="88" t="n"/>
      <c r="I111" s="88" t="n"/>
      <c r="J111" s="89" t="n"/>
      <c r="K111" s="88" t="n"/>
      <c r="L111" s="88" t="n"/>
      <c r="M111" s="88" t="n"/>
      <c r="N111" s="89" t="n"/>
      <c r="O111" s="88" t="n"/>
      <c r="P111" s="88" t="n"/>
      <c r="Q111" s="88" t="n"/>
      <c r="R111" s="89" t="n"/>
      <c r="S111" s="88" t="n"/>
      <c r="T111" s="88" t="n"/>
      <c r="U111" s="88" t="n"/>
      <c r="V111" s="89" t="n"/>
      <c r="W111" s="88" t="n"/>
      <c r="X111" s="89" t="n"/>
      <c r="Y111" s="88" t="n"/>
      <c r="Z111" s="89" t="n"/>
      <c r="AB111" s="30">
        <f>IF($B111="","",(COUNTIF(C111:E111,"?*")&lt;N(INDEX(Setup!$L$6:$L$23,4)))+(COUNTIF(G111:I111,"?*")&lt;N(INDEX(Setup!$L$6:$L$23,4)))+(COUNTIF(K111:M111,"?*")&lt;N(INDEX(Setup!$L$6:$L$23,4)))+(COUNTIF(O111:Q111,"?*")&lt;N(INDEX(Setup!$L$6:$L$23,4)))+(COUNTIF(S111:U111,"?*")&lt;N(INDEX(Setup!$L$6:$L$23,4)))+((W111="")*(INDEX(Setup!$M$6:$M$23,4)="Y"))+((Y111="")*(INDEX(Setup!$M$6:$M$23,4)="Y")))</f>
        <v/>
      </c>
      <c r="AC111" s="91">
        <f>IF($B111="","",IF(AB111=0,"✓ covered","⚠ "&amp;AB111&amp;IF(AB111=1," gap"," gaps")))</f>
        <v/>
      </c>
    </row>
    <row r="112" ht="17" customHeight="1">
      <c r="A112" t="n">
        <v>3</v>
      </c>
      <c r="B112" s="24">
        <f>IF(Setup!$K$10="","",Setup!$K$10)</f>
        <v/>
      </c>
      <c r="C112" s="88" t="n"/>
      <c r="D112" s="88" t="n"/>
      <c r="E112" s="88" t="n"/>
      <c r="F112" s="89" t="n"/>
      <c r="G112" s="88" t="n"/>
      <c r="H112" s="88" t="n"/>
      <c r="I112" s="88" t="n"/>
      <c r="J112" s="89" t="n"/>
      <c r="K112" s="88" t="n"/>
      <c r="L112" s="88" t="n"/>
      <c r="M112" s="88" t="n"/>
      <c r="N112" s="89" t="n"/>
      <c r="O112" s="88" t="n"/>
      <c r="P112" s="88" t="n"/>
      <c r="Q112" s="88" t="n"/>
      <c r="R112" s="89" t="n"/>
      <c r="S112" s="88" t="n"/>
      <c r="T112" s="88" t="n"/>
      <c r="U112" s="88" t="n"/>
      <c r="V112" s="89" t="n"/>
      <c r="W112" s="88" t="n"/>
      <c r="X112" s="89" t="n"/>
      <c r="Y112" s="88" t="n"/>
      <c r="Z112" s="89" t="n"/>
      <c r="AB112" s="25">
        <f>IF($B112="","",(COUNTIF(C112:E112,"?*")&lt;N(INDEX(Setup!$L$6:$L$23,5)))+(COUNTIF(G112:I112,"?*")&lt;N(INDEX(Setup!$L$6:$L$23,5)))+(COUNTIF(K112:M112,"?*")&lt;N(INDEX(Setup!$L$6:$L$23,5)))+(COUNTIF(O112:Q112,"?*")&lt;N(INDEX(Setup!$L$6:$L$23,5)))+(COUNTIF(S112:U112,"?*")&lt;N(INDEX(Setup!$L$6:$L$23,5)))+((W112="")*(INDEX(Setup!$M$6:$M$23,5)="Y"))+((Y112="")*(INDEX(Setup!$M$6:$M$23,5)="Y")))</f>
        <v/>
      </c>
      <c r="AC112" s="90">
        <f>IF($B112="","",IF(AB112=0,"✓ covered","⚠ "&amp;AB112&amp;IF(AB112=1," gap"," gaps")))</f>
        <v/>
      </c>
    </row>
    <row r="113" ht="17" customHeight="1">
      <c r="A113" t="n">
        <v>3</v>
      </c>
      <c r="B113" s="29">
        <f>IF(Setup!$K$11="","",Setup!$K$11)</f>
        <v/>
      </c>
      <c r="C113" s="88" t="n"/>
      <c r="D113" s="88" t="n"/>
      <c r="E113" s="88" t="n"/>
      <c r="F113" s="89" t="n"/>
      <c r="G113" s="88" t="n"/>
      <c r="H113" s="88" t="n"/>
      <c r="I113" s="88" t="n"/>
      <c r="J113" s="89" t="n"/>
      <c r="K113" s="88" t="n"/>
      <c r="L113" s="88" t="n"/>
      <c r="M113" s="88" t="n"/>
      <c r="N113" s="89" t="n"/>
      <c r="O113" s="88" t="n"/>
      <c r="P113" s="88" t="n"/>
      <c r="Q113" s="88" t="n"/>
      <c r="R113" s="89" t="n"/>
      <c r="S113" s="88" t="n"/>
      <c r="T113" s="88" t="n"/>
      <c r="U113" s="88" t="n"/>
      <c r="V113" s="89" t="n"/>
      <c r="W113" s="88" t="n"/>
      <c r="X113" s="89" t="n"/>
      <c r="Y113" s="88" t="n"/>
      <c r="Z113" s="89" t="n"/>
      <c r="AB113" s="30">
        <f>IF($B113="","",(COUNTIF(C113:E113,"?*")&lt;N(INDEX(Setup!$L$6:$L$23,6)))+(COUNTIF(G113:I113,"?*")&lt;N(INDEX(Setup!$L$6:$L$23,6)))+(COUNTIF(K113:M113,"?*")&lt;N(INDEX(Setup!$L$6:$L$23,6)))+(COUNTIF(O113:Q113,"?*")&lt;N(INDEX(Setup!$L$6:$L$23,6)))+(COUNTIF(S113:U113,"?*")&lt;N(INDEX(Setup!$L$6:$L$23,6)))+((W113="")*(INDEX(Setup!$M$6:$M$23,6)="Y"))+((Y113="")*(INDEX(Setup!$M$6:$M$23,6)="Y")))</f>
        <v/>
      </c>
      <c r="AC113" s="91">
        <f>IF($B113="","",IF(AB113=0,"✓ covered","⚠ "&amp;AB113&amp;IF(AB113=1," gap"," gaps")))</f>
        <v/>
      </c>
    </row>
    <row r="114" ht="17" customHeight="1">
      <c r="A114" t="n">
        <v>3</v>
      </c>
      <c r="B114" s="24">
        <f>IF(Setup!$K$12="","",Setup!$K$12)</f>
        <v/>
      </c>
      <c r="C114" s="88" t="n"/>
      <c r="D114" s="88" t="n"/>
      <c r="E114" s="88" t="n"/>
      <c r="F114" s="89" t="n"/>
      <c r="G114" s="88" t="n"/>
      <c r="H114" s="88" t="n"/>
      <c r="I114" s="88" t="n"/>
      <c r="J114" s="89" t="n"/>
      <c r="K114" s="88" t="n"/>
      <c r="L114" s="88" t="n"/>
      <c r="M114" s="88" t="n"/>
      <c r="N114" s="89" t="n"/>
      <c r="O114" s="88" t="n"/>
      <c r="P114" s="88" t="n"/>
      <c r="Q114" s="88" t="n"/>
      <c r="R114" s="89" t="n"/>
      <c r="S114" s="88" t="n"/>
      <c r="T114" s="88" t="n"/>
      <c r="U114" s="88" t="n"/>
      <c r="V114" s="89" t="n"/>
      <c r="W114" s="88" t="n"/>
      <c r="X114" s="89" t="n"/>
      <c r="Y114" s="88" t="n"/>
      <c r="Z114" s="89" t="n"/>
      <c r="AB114" s="25">
        <f>IF($B114="","",(COUNTIF(C114:E114,"?*")&lt;N(INDEX(Setup!$L$6:$L$23,7)))+(COUNTIF(G114:I114,"?*")&lt;N(INDEX(Setup!$L$6:$L$23,7)))+(COUNTIF(K114:M114,"?*")&lt;N(INDEX(Setup!$L$6:$L$23,7)))+(COUNTIF(O114:Q114,"?*")&lt;N(INDEX(Setup!$L$6:$L$23,7)))+(COUNTIF(S114:U114,"?*")&lt;N(INDEX(Setup!$L$6:$L$23,7)))+((W114="")*(INDEX(Setup!$M$6:$M$23,7)="Y"))+((Y114="")*(INDEX(Setup!$M$6:$M$23,7)="Y")))</f>
        <v/>
      </c>
      <c r="AC114" s="90">
        <f>IF($B114="","",IF(AB114=0,"✓ covered","⚠ "&amp;AB114&amp;IF(AB114=1," gap"," gaps")))</f>
        <v/>
      </c>
    </row>
    <row r="115" ht="17" customHeight="1">
      <c r="A115" t="n">
        <v>3</v>
      </c>
      <c r="B115" s="29">
        <f>IF(Setup!$K$13="","",Setup!$K$13)</f>
        <v/>
      </c>
      <c r="C115" s="88" t="n"/>
      <c r="D115" s="88" t="n"/>
      <c r="E115" s="88" t="n"/>
      <c r="F115" s="89" t="n"/>
      <c r="G115" s="88" t="n"/>
      <c r="H115" s="88" t="n"/>
      <c r="I115" s="88" t="n"/>
      <c r="J115" s="89" t="n"/>
      <c r="K115" s="88" t="n"/>
      <c r="L115" s="88" t="n"/>
      <c r="M115" s="88" t="n"/>
      <c r="N115" s="89" t="n"/>
      <c r="O115" s="88" t="n"/>
      <c r="P115" s="88" t="n"/>
      <c r="Q115" s="88" t="n"/>
      <c r="R115" s="89" t="n"/>
      <c r="S115" s="88" t="n"/>
      <c r="T115" s="88" t="n"/>
      <c r="U115" s="88" t="n"/>
      <c r="V115" s="89" t="n"/>
      <c r="W115" s="88" t="n"/>
      <c r="X115" s="89" t="n"/>
      <c r="Y115" s="88" t="n"/>
      <c r="Z115" s="89" t="n"/>
      <c r="AB115" s="30">
        <f>IF($B115="","",(COUNTIF(C115:E115,"?*")&lt;N(INDEX(Setup!$L$6:$L$23,8)))+(COUNTIF(G115:I115,"?*")&lt;N(INDEX(Setup!$L$6:$L$23,8)))+(COUNTIF(K115:M115,"?*")&lt;N(INDEX(Setup!$L$6:$L$23,8)))+(COUNTIF(O115:Q115,"?*")&lt;N(INDEX(Setup!$L$6:$L$23,8)))+(COUNTIF(S115:U115,"?*")&lt;N(INDEX(Setup!$L$6:$L$23,8)))+((W115="")*(INDEX(Setup!$M$6:$M$23,8)="Y"))+((Y115="")*(INDEX(Setup!$M$6:$M$23,8)="Y")))</f>
        <v/>
      </c>
      <c r="AC115" s="91">
        <f>IF($B115="","",IF(AB115=0,"✓ covered","⚠ "&amp;AB115&amp;IF(AB115=1," gap"," gaps")))</f>
        <v/>
      </c>
    </row>
    <row r="116" ht="17" customHeight="1">
      <c r="A116" t="n">
        <v>3</v>
      </c>
      <c r="B116" s="24">
        <f>IF(Setup!$K$14="","",Setup!$K$14)</f>
        <v/>
      </c>
      <c r="C116" s="88" t="n"/>
      <c r="D116" s="88" t="n"/>
      <c r="E116" s="88" t="n"/>
      <c r="F116" s="89" t="n"/>
      <c r="G116" s="88" t="n"/>
      <c r="H116" s="88" t="n"/>
      <c r="I116" s="88" t="n"/>
      <c r="J116" s="89" t="n"/>
      <c r="K116" s="88" t="n"/>
      <c r="L116" s="88" t="n"/>
      <c r="M116" s="88" t="n"/>
      <c r="N116" s="89" t="n"/>
      <c r="O116" s="88" t="n"/>
      <c r="P116" s="88" t="n"/>
      <c r="Q116" s="88" t="n"/>
      <c r="R116" s="89" t="n"/>
      <c r="S116" s="88" t="n"/>
      <c r="T116" s="88" t="n"/>
      <c r="U116" s="88" t="n"/>
      <c r="V116" s="89" t="n"/>
      <c r="W116" s="88" t="n"/>
      <c r="X116" s="89" t="n"/>
      <c r="Y116" s="88" t="n"/>
      <c r="Z116" s="89" t="n"/>
      <c r="AB116" s="25">
        <f>IF($B116="","",(COUNTIF(C116:E116,"?*")&lt;N(INDEX(Setup!$L$6:$L$23,9)))+(COUNTIF(G116:I116,"?*")&lt;N(INDEX(Setup!$L$6:$L$23,9)))+(COUNTIF(K116:M116,"?*")&lt;N(INDEX(Setup!$L$6:$L$23,9)))+(COUNTIF(O116:Q116,"?*")&lt;N(INDEX(Setup!$L$6:$L$23,9)))+(COUNTIF(S116:U116,"?*")&lt;N(INDEX(Setup!$L$6:$L$23,9)))+((W116="")*(INDEX(Setup!$M$6:$M$23,9)="Y"))+((Y116="")*(INDEX(Setup!$M$6:$M$23,9)="Y")))</f>
        <v/>
      </c>
      <c r="AC116" s="90">
        <f>IF($B116="","",IF(AB116=0,"✓ covered","⚠ "&amp;AB116&amp;IF(AB116=1," gap"," gaps")))</f>
        <v/>
      </c>
    </row>
    <row r="117" ht="17" customHeight="1">
      <c r="A117" t="n">
        <v>3</v>
      </c>
      <c r="B117" s="29">
        <f>IF(Setup!$K$15="","",Setup!$K$15)</f>
        <v/>
      </c>
      <c r="C117" s="88" t="n"/>
      <c r="D117" s="88" t="n"/>
      <c r="E117" s="88" t="n"/>
      <c r="F117" s="89" t="n"/>
      <c r="G117" s="88" t="n"/>
      <c r="H117" s="88" t="n"/>
      <c r="I117" s="88" t="n"/>
      <c r="J117" s="89" t="n"/>
      <c r="K117" s="88" t="n"/>
      <c r="L117" s="88" t="n"/>
      <c r="M117" s="88" t="n"/>
      <c r="N117" s="89" t="n"/>
      <c r="O117" s="88" t="n"/>
      <c r="P117" s="88" t="n"/>
      <c r="Q117" s="88" t="n"/>
      <c r="R117" s="89" t="n"/>
      <c r="S117" s="88" t="n"/>
      <c r="T117" s="88" t="n"/>
      <c r="U117" s="88" t="n"/>
      <c r="V117" s="89" t="n"/>
      <c r="W117" s="88" t="n"/>
      <c r="X117" s="89" t="n"/>
      <c r="Y117" s="88" t="n"/>
      <c r="Z117" s="89" t="n"/>
      <c r="AB117" s="30">
        <f>IF($B117="","",(COUNTIF(C117:E117,"?*")&lt;N(INDEX(Setup!$L$6:$L$23,10)))+(COUNTIF(G117:I117,"?*")&lt;N(INDEX(Setup!$L$6:$L$23,10)))+(COUNTIF(K117:M117,"?*")&lt;N(INDEX(Setup!$L$6:$L$23,10)))+(COUNTIF(O117:Q117,"?*")&lt;N(INDEX(Setup!$L$6:$L$23,10)))+(COUNTIF(S117:U117,"?*")&lt;N(INDEX(Setup!$L$6:$L$23,10)))+((W117="")*(INDEX(Setup!$M$6:$M$23,10)="Y"))+((Y117="")*(INDEX(Setup!$M$6:$M$23,10)="Y")))</f>
        <v/>
      </c>
      <c r="AC117" s="91">
        <f>IF($B117="","",IF(AB117=0,"✓ covered","⚠ "&amp;AB117&amp;IF(AB117=1," gap"," gaps")))</f>
        <v/>
      </c>
    </row>
    <row r="118" ht="17" customHeight="1">
      <c r="A118" t="n">
        <v>3</v>
      </c>
      <c r="B118" s="24">
        <f>IF(Setup!$K$16="","",Setup!$K$16)</f>
        <v/>
      </c>
      <c r="C118" s="88" t="n"/>
      <c r="D118" s="88" t="n"/>
      <c r="E118" s="88" t="n"/>
      <c r="F118" s="89" t="n"/>
      <c r="G118" s="88" t="n"/>
      <c r="H118" s="88" t="n"/>
      <c r="I118" s="88" t="n"/>
      <c r="J118" s="89" t="n"/>
      <c r="K118" s="88" t="n"/>
      <c r="L118" s="88" t="n"/>
      <c r="M118" s="88" t="n"/>
      <c r="N118" s="89" t="n"/>
      <c r="O118" s="88" t="n"/>
      <c r="P118" s="88" t="n"/>
      <c r="Q118" s="88" t="n"/>
      <c r="R118" s="89" t="n"/>
      <c r="S118" s="88" t="n"/>
      <c r="T118" s="88" t="n"/>
      <c r="U118" s="88" t="n"/>
      <c r="V118" s="89" t="n"/>
      <c r="W118" s="88" t="n"/>
      <c r="X118" s="89" t="n"/>
      <c r="Y118" s="88" t="n"/>
      <c r="Z118" s="89" t="n"/>
      <c r="AB118" s="25">
        <f>IF($B118="","",(COUNTIF(C118:E118,"?*")&lt;N(INDEX(Setup!$L$6:$L$23,11)))+(COUNTIF(G118:I118,"?*")&lt;N(INDEX(Setup!$L$6:$L$23,11)))+(COUNTIF(K118:M118,"?*")&lt;N(INDEX(Setup!$L$6:$L$23,11)))+(COUNTIF(O118:Q118,"?*")&lt;N(INDEX(Setup!$L$6:$L$23,11)))+(COUNTIF(S118:U118,"?*")&lt;N(INDEX(Setup!$L$6:$L$23,11)))+((W118="")*(INDEX(Setup!$M$6:$M$23,11)="Y"))+((Y118="")*(INDEX(Setup!$M$6:$M$23,11)="Y")))</f>
        <v/>
      </c>
      <c r="AC118" s="90">
        <f>IF($B118="","",IF(AB118=0,"✓ covered","⚠ "&amp;AB118&amp;IF(AB118=1," gap"," gaps")))</f>
        <v/>
      </c>
    </row>
    <row r="119" ht="17" customHeight="1">
      <c r="A119" t="n">
        <v>3</v>
      </c>
      <c r="B119" s="29">
        <f>IF(Setup!$K$17="","",Setup!$K$17)</f>
        <v/>
      </c>
      <c r="C119" s="88" t="n"/>
      <c r="D119" s="88" t="n"/>
      <c r="E119" s="88" t="n"/>
      <c r="F119" s="89" t="n"/>
      <c r="G119" s="88" t="n"/>
      <c r="H119" s="88" t="n"/>
      <c r="I119" s="88" t="n"/>
      <c r="J119" s="89" t="n"/>
      <c r="K119" s="88" t="n"/>
      <c r="L119" s="88" t="n"/>
      <c r="M119" s="88" t="n"/>
      <c r="N119" s="89" t="n"/>
      <c r="O119" s="88" t="n"/>
      <c r="P119" s="88" t="n"/>
      <c r="Q119" s="88" t="n"/>
      <c r="R119" s="89" t="n"/>
      <c r="S119" s="88" t="n"/>
      <c r="T119" s="88" t="n"/>
      <c r="U119" s="88" t="n"/>
      <c r="V119" s="89" t="n"/>
      <c r="W119" s="88" t="n"/>
      <c r="X119" s="89" t="n"/>
      <c r="Y119" s="88" t="n"/>
      <c r="Z119" s="89" t="n"/>
      <c r="AB119" s="30">
        <f>IF($B119="","",(COUNTIF(C119:E119,"?*")&lt;N(INDEX(Setup!$L$6:$L$23,12)))+(COUNTIF(G119:I119,"?*")&lt;N(INDEX(Setup!$L$6:$L$23,12)))+(COUNTIF(K119:M119,"?*")&lt;N(INDEX(Setup!$L$6:$L$23,12)))+(COUNTIF(O119:Q119,"?*")&lt;N(INDEX(Setup!$L$6:$L$23,12)))+(COUNTIF(S119:U119,"?*")&lt;N(INDEX(Setup!$L$6:$L$23,12)))+((W119="")*(INDEX(Setup!$M$6:$M$23,12)="Y"))+((Y119="")*(INDEX(Setup!$M$6:$M$23,12)="Y")))</f>
        <v/>
      </c>
      <c r="AC119" s="91">
        <f>IF($B119="","",IF(AB119=0,"✓ covered","⚠ "&amp;AB119&amp;IF(AB119=1," gap"," gaps")))</f>
        <v/>
      </c>
    </row>
    <row r="120" ht="17" customHeight="1">
      <c r="A120" t="n">
        <v>3</v>
      </c>
      <c r="B120" s="24">
        <f>IF(Setup!$K$18="","",Setup!$K$18)</f>
        <v/>
      </c>
      <c r="C120" s="88" t="n"/>
      <c r="D120" s="88" t="n"/>
      <c r="E120" s="88" t="n"/>
      <c r="F120" s="89" t="n"/>
      <c r="G120" s="88" t="n"/>
      <c r="H120" s="88" t="n"/>
      <c r="I120" s="88" t="n"/>
      <c r="J120" s="89" t="n"/>
      <c r="K120" s="88" t="n"/>
      <c r="L120" s="88" t="n"/>
      <c r="M120" s="88" t="n"/>
      <c r="N120" s="89" t="n"/>
      <c r="O120" s="88" t="n"/>
      <c r="P120" s="88" t="n"/>
      <c r="Q120" s="88" t="n"/>
      <c r="R120" s="89" t="n"/>
      <c r="S120" s="88" t="n"/>
      <c r="T120" s="88" t="n"/>
      <c r="U120" s="88" t="n"/>
      <c r="V120" s="89" t="n"/>
      <c r="W120" s="88" t="n"/>
      <c r="X120" s="89" t="n"/>
      <c r="Y120" s="88" t="n"/>
      <c r="Z120" s="89" t="n"/>
      <c r="AB120" s="25">
        <f>IF($B120="","",(COUNTIF(C120:E120,"?*")&lt;N(INDEX(Setup!$L$6:$L$23,13)))+(COUNTIF(G120:I120,"?*")&lt;N(INDEX(Setup!$L$6:$L$23,13)))+(COUNTIF(K120:M120,"?*")&lt;N(INDEX(Setup!$L$6:$L$23,13)))+(COUNTIF(O120:Q120,"?*")&lt;N(INDEX(Setup!$L$6:$L$23,13)))+(COUNTIF(S120:U120,"?*")&lt;N(INDEX(Setup!$L$6:$L$23,13)))+((W120="")*(INDEX(Setup!$M$6:$M$23,13)="Y"))+((Y120="")*(INDEX(Setup!$M$6:$M$23,13)="Y")))</f>
        <v/>
      </c>
      <c r="AC120" s="90">
        <f>IF($B120="","",IF(AB120=0,"✓ covered","⚠ "&amp;AB120&amp;IF(AB120=1," gap"," gaps")))</f>
        <v/>
      </c>
    </row>
    <row r="121" ht="17" customHeight="1">
      <c r="A121" t="n">
        <v>3</v>
      </c>
      <c r="B121" s="29">
        <f>IF(Setup!$K$19="","",Setup!$K$19)</f>
        <v/>
      </c>
      <c r="C121" s="88" t="n"/>
      <c r="D121" s="88" t="n"/>
      <c r="E121" s="88" t="n"/>
      <c r="F121" s="89" t="n"/>
      <c r="G121" s="88" t="n"/>
      <c r="H121" s="88" t="n"/>
      <c r="I121" s="88" t="n"/>
      <c r="J121" s="89" t="n"/>
      <c r="K121" s="88" t="n"/>
      <c r="L121" s="88" t="n"/>
      <c r="M121" s="88" t="n"/>
      <c r="N121" s="89" t="n"/>
      <c r="O121" s="88" t="n"/>
      <c r="P121" s="88" t="n"/>
      <c r="Q121" s="88" t="n"/>
      <c r="R121" s="89" t="n"/>
      <c r="S121" s="88" t="n"/>
      <c r="T121" s="88" t="n"/>
      <c r="U121" s="88" t="n"/>
      <c r="V121" s="89" t="n"/>
      <c r="W121" s="88" t="n"/>
      <c r="X121" s="89" t="n"/>
      <c r="Y121" s="88" t="n"/>
      <c r="Z121" s="89" t="n"/>
      <c r="AB121" s="30">
        <f>IF($B121="","",(COUNTIF(C121:E121,"?*")&lt;N(INDEX(Setup!$L$6:$L$23,14)))+(COUNTIF(G121:I121,"?*")&lt;N(INDEX(Setup!$L$6:$L$23,14)))+(COUNTIF(K121:M121,"?*")&lt;N(INDEX(Setup!$L$6:$L$23,14)))+(COUNTIF(O121:Q121,"?*")&lt;N(INDEX(Setup!$L$6:$L$23,14)))+(COUNTIF(S121:U121,"?*")&lt;N(INDEX(Setup!$L$6:$L$23,14)))+((W121="")*(INDEX(Setup!$M$6:$M$23,14)="Y"))+((Y121="")*(INDEX(Setup!$M$6:$M$23,14)="Y")))</f>
        <v/>
      </c>
      <c r="AC121" s="91">
        <f>IF($B121="","",IF(AB121=0,"✓ covered","⚠ "&amp;AB121&amp;IF(AB121=1," gap"," gaps")))</f>
        <v/>
      </c>
    </row>
    <row r="122" ht="17" customHeight="1">
      <c r="A122" t="n">
        <v>3</v>
      </c>
      <c r="B122" s="24">
        <f>IF(Setup!$K$20="","",Setup!$K$20)</f>
        <v/>
      </c>
      <c r="C122" s="88" t="n"/>
      <c r="D122" s="88" t="n"/>
      <c r="E122" s="88" t="n"/>
      <c r="F122" s="89" t="n"/>
      <c r="G122" s="88" t="n"/>
      <c r="H122" s="88" t="n"/>
      <c r="I122" s="88" t="n"/>
      <c r="J122" s="89" t="n"/>
      <c r="K122" s="88" t="n"/>
      <c r="L122" s="88" t="n"/>
      <c r="M122" s="88" t="n"/>
      <c r="N122" s="89" t="n"/>
      <c r="O122" s="88" t="n"/>
      <c r="P122" s="88" t="n"/>
      <c r="Q122" s="88" t="n"/>
      <c r="R122" s="89" t="n"/>
      <c r="S122" s="88" t="n"/>
      <c r="T122" s="88" t="n"/>
      <c r="U122" s="88" t="n"/>
      <c r="V122" s="89" t="n"/>
      <c r="W122" s="88" t="n"/>
      <c r="X122" s="89" t="n"/>
      <c r="Y122" s="88" t="n"/>
      <c r="Z122" s="89" t="n"/>
      <c r="AB122" s="25">
        <f>IF($B122="","",(COUNTIF(C122:E122,"?*")&lt;N(INDEX(Setup!$L$6:$L$23,15)))+(COUNTIF(G122:I122,"?*")&lt;N(INDEX(Setup!$L$6:$L$23,15)))+(COUNTIF(K122:M122,"?*")&lt;N(INDEX(Setup!$L$6:$L$23,15)))+(COUNTIF(O122:Q122,"?*")&lt;N(INDEX(Setup!$L$6:$L$23,15)))+(COUNTIF(S122:U122,"?*")&lt;N(INDEX(Setup!$L$6:$L$23,15)))+((W122="")*(INDEX(Setup!$M$6:$M$23,15)="Y"))+((Y122="")*(INDEX(Setup!$M$6:$M$23,15)="Y")))</f>
        <v/>
      </c>
      <c r="AC122" s="90">
        <f>IF($B122="","",IF(AB122=0,"✓ covered","⚠ "&amp;AB122&amp;IF(AB122=1," gap"," gaps")))</f>
        <v/>
      </c>
    </row>
    <row r="123" ht="17" customHeight="1">
      <c r="A123" t="n">
        <v>3</v>
      </c>
      <c r="B123" s="29">
        <f>IF(Setup!$K$21="","",Setup!$K$21)</f>
        <v/>
      </c>
      <c r="C123" s="88" t="n"/>
      <c r="D123" s="88" t="n"/>
      <c r="E123" s="88" t="n"/>
      <c r="F123" s="89" t="n"/>
      <c r="G123" s="88" t="n"/>
      <c r="H123" s="88" t="n"/>
      <c r="I123" s="88" t="n"/>
      <c r="J123" s="89" t="n"/>
      <c r="K123" s="88" t="n"/>
      <c r="L123" s="88" t="n"/>
      <c r="M123" s="88" t="n"/>
      <c r="N123" s="89" t="n"/>
      <c r="O123" s="88" t="n"/>
      <c r="P123" s="88" t="n"/>
      <c r="Q123" s="88" t="n"/>
      <c r="R123" s="89" t="n"/>
      <c r="S123" s="88" t="n"/>
      <c r="T123" s="88" t="n"/>
      <c r="U123" s="88" t="n"/>
      <c r="V123" s="89" t="n"/>
      <c r="W123" s="88" t="n"/>
      <c r="X123" s="89" t="n"/>
      <c r="Y123" s="88" t="n"/>
      <c r="Z123" s="89" t="n"/>
      <c r="AB123" s="30">
        <f>IF($B123="","",(COUNTIF(C123:E123,"?*")&lt;N(INDEX(Setup!$L$6:$L$23,16)))+(COUNTIF(G123:I123,"?*")&lt;N(INDEX(Setup!$L$6:$L$23,16)))+(COUNTIF(K123:M123,"?*")&lt;N(INDEX(Setup!$L$6:$L$23,16)))+(COUNTIF(O123:Q123,"?*")&lt;N(INDEX(Setup!$L$6:$L$23,16)))+(COUNTIF(S123:U123,"?*")&lt;N(INDEX(Setup!$L$6:$L$23,16)))+((W123="")*(INDEX(Setup!$M$6:$M$23,16)="Y"))+((Y123="")*(INDEX(Setup!$M$6:$M$23,16)="Y")))</f>
        <v/>
      </c>
      <c r="AC123" s="91">
        <f>IF($B123="","",IF(AB123=0,"✓ covered","⚠ "&amp;AB123&amp;IF(AB123=1," gap"," gaps")))</f>
        <v/>
      </c>
    </row>
    <row r="124" ht="17" customHeight="1">
      <c r="A124" t="n">
        <v>3</v>
      </c>
      <c r="B124" s="24">
        <f>IF(Setup!$K$22="","",Setup!$K$22)</f>
        <v/>
      </c>
      <c r="C124" s="88" t="n"/>
      <c r="D124" s="88" t="n"/>
      <c r="E124" s="88" t="n"/>
      <c r="F124" s="89" t="n"/>
      <c r="G124" s="88" t="n"/>
      <c r="H124" s="88" t="n"/>
      <c r="I124" s="88" t="n"/>
      <c r="J124" s="89" t="n"/>
      <c r="K124" s="88" t="n"/>
      <c r="L124" s="88" t="n"/>
      <c r="M124" s="88" t="n"/>
      <c r="N124" s="89" t="n"/>
      <c r="O124" s="88" t="n"/>
      <c r="P124" s="88" t="n"/>
      <c r="Q124" s="88" t="n"/>
      <c r="R124" s="89" t="n"/>
      <c r="S124" s="88" t="n"/>
      <c r="T124" s="88" t="n"/>
      <c r="U124" s="88" t="n"/>
      <c r="V124" s="89" t="n"/>
      <c r="W124" s="88" t="n"/>
      <c r="X124" s="89" t="n"/>
      <c r="Y124" s="88" t="n"/>
      <c r="Z124" s="89" t="n"/>
      <c r="AB124" s="25">
        <f>IF($B124="","",(COUNTIF(C124:E124,"?*")&lt;N(INDEX(Setup!$L$6:$L$23,17)))+(COUNTIF(G124:I124,"?*")&lt;N(INDEX(Setup!$L$6:$L$23,17)))+(COUNTIF(K124:M124,"?*")&lt;N(INDEX(Setup!$L$6:$L$23,17)))+(COUNTIF(O124:Q124,"?*")&lt;N(INDEX(Setup!$L$6:$L$23,17)))+(COUNTIF(S124:U124,"?*")&lt;N(INDEX(Setup!$L$6:$L$23,17)))+((W124="")*(INDEX(Setup!$M$6:$M$23,17)="Y"))+((Y124="")*(INDEX(Setup!$M$6:$M$23,17)="Y")))</f>
        <v/>
      </c>
      <c r="AC124" s="90">
        <f>IF($B124="","",IF(AB124=0,"✓ covered","⚠ "&amp;AB124&amp;IF(AB124=1," gap"," gaps")))</f>
        <v/>
      </c>
    </row>
    <row r="125" ht="17" customHeight="1">
      <c r="A125" t="n">
        <v>3</v>
      </c>
      <c r="B125" s="29">
        <f>IF(Setup!$K$23="","",Setup!$K$23)</f>
        <v/>
      </c>
      <c r="C125" s="88" t="n"/>
      <c r="D125" s="88" t="n"/>
      <c r="E125" s="88" t="n"/>
      <c r="F125" s="89" t="n"/>
      <c r="G125" s="88" t="n"/>
      <c r="H125" s="88" t="n"/>
      <c r="I125" s="88" t="n"/>
      <c r="J125" s="89" t="n"/>
      <c r="K125" s="88" t="n"/>
      <c r="L125" s="88" t="n"/>
      <c r="M125" s="88" t="n"/>
      <c r="N125" s="89" t="n"/>
      <c r="O125" s="88" t="n"/>
      <c r="P125" s="88" t="n"/>
      <c r="Q125" s="88" t="n"/>
      <c r="R125" s="89" t="n"/>
      <c r="S125" s="88" t="n"/>
      <c r="T125" s="88" t="n"/>
      <c r="U125" s="88" t="n"/>
      <c r="V125" s="89" t="n"/>
      <c r="W125" s="88" t="n"/>
      <c r="X125" s="89" t="n"/>
      <c r="Y125" s="88" t="n"/>
      <c r="Z125" s="89" t="n"/>
      <c r="AB125" s="30">
        <f>IF($B125="","",(COUNTIF(C125:E125,"?*")&lt;N(INDEX(Setup!$L$6:$L$23,18)))+(COUNTIF(G125:I125,"?*")&lt;N(INDEX(Setup!$L$6:$L$23,18)))+(COUNTIF(K125:M125,"?*")&lt;N(INDEX(Setup!$L$6:$L$23,18)))+(COUNTIF(O125:Q125,"?*")&lt;N(INDEX(Setup!$L$6:$L$23,18)))+(COUNTIF(S125:U125,"?*")&lt;N(INDEX(Setup!$L$6:$L$23,18)))+((W125="")*(INDEX(Setup!$M$6:$M$23,18)="Y"))+((Y125="")*(INDEX(Setup!$M$6:$M$23,18)="Y")))</f>
        <v/>
      </c>
      <c r="AC125" s="91">
        <f>IF($B125="","",IF(AB125=0,"✓ covered","⚠ "&amp;AB125&amp;IF(AB125=1," gap"," gaps")))</f>
        <v/>
      </c>
    </row>
    <row r="126" ht="18" customHeight="1">
      <c r="A126" t="n">
        <v>3</v>
      </c>
      <c r="B126" s="78" t="inlineStr">
        <is>
          <t>TEAM AVAILABILITY</t>
        </is>
      </c>
      <c r="C126" s="92" t="inlineStr">
        <is>
          <t>Mon</t>
        </is>
      </c>
      <c r="D126" s="93" t="n"/>
      <c r="E126" s="93" t="n"/>
      <c r="F126" s="94" t="n"/>
      <c r="G126" s="92" t="inlineStr">
        <is>
          <t>Tue</t>
        </is>
      </c>
      <c r="H126" s="93" t="n"/>
      <c r="I126" s="93" t="n"/>
      <c r="J126" s="94" t="n"/>
      <c r="K126" s="92" t="inlineStr">
        <is>
          <t>Wed</t>
        </is>
      </c>
      <c r="L126" s="93" t="n"/>
      <c r="M126" s="93" t="n"/>
      <c r="N126" s="94" t="n"/>
      <c r="O126" s="92" t="inlineStr">
        <is>
          <t>Thu</t>
        </is>
      </c>
      <c r="P126" s="93" t="n"/>
      <c r="Q126" s="93" t="n"/>
      <c r="R126" s="94" t="n"/>
      <c r="S126" s="92" t="inlineStr">
        <is>
          <t>Fri</t>
        </is>
      </c>
      <c r="T126" s="93" t="n"/>
      <c r="U126" s="93" t="n"/>
      <c r="V126" s="94" t="n"/>
      <c r="W126" s="95" t="inlineStr">
        <is>
          <t>Sat</t>
        </is>
      </c>
      <c r="X126" s="96" t="n"/>
      <c r="Y126" s="95" t="inlineStr">
        <is>
          <t>Sun</t>
        </is>
      </c>
      <c r="Z126" s="96" t="n"/>
      <c r="AB126" s="97" t="inlineStr">
        <is>
          <t>Days rostered</t>
        </is>
      </c>
      <c r="AC126" s="97" t="inlineStr">
        <is>
          <t>Conflicts</t>
        </is>
      </c>
    </row>
    <row r="127" ht="15" customHeight="1">
      <c r="A127" t="n">
        <v>3</v>
      </c>
      <c r="B127" s="35">
        <f>IF(Setup!$B$6="","",Setup!$B$6)</f>
        <v/>
      </c>
      <c r="C127" s="98" t="n"/>
      <c r="D127" s="99" t="n"/>
      <c r="E127" s="99" t="n"/>
      <c r="F127" s="100" t="n"/>
      <c r="G127" s="98" t="n"/>
      <c r="H127" s="99" t="n"/>
      <c r="I127" s="99" t="n"/>
      <c r="J127" s="100" t="n"/>
      <c r="K127" s="98" t="n"/>
      <c r="L127" s="99" t="n"/>
      <c r="M127" s="99" t="n"/>
      <c r="N127" s="100" t="n"/>
      <c r="O127" s="98" t="n"/>
      <c r="P127" s="99" t="n"/>
      <c r="Q127" s="99" t="n"/>
      <c r="R127" s="100" t="n"/>
      <c r="S127" s="98" t="n"/>
      <c r="T127" s="99" t="n"/>
      <c r="U127" s="99" t="n"/>
      <c r="V127" s="100" t="n"/>
      <c r="W127" s="98" t="n"/>
      <c r="X127" s="100" t="n"/>
      <c r="Y127" s="98" t="n"/>
      <c r="Z127" s="100" t="n"/>
      <c r="AB127" s="101">
        <f>IF($B127="","",(COUNTIF(C108:E125,$B127)+COUNTIF(C108:E125,$B127&amp;" ~*")&gt;0)+(COUNTIF(G108:I125,$B127)+COUNTIF(G108:I125,$B127&amp;" ~*")&gt;0)+(COUNTIF(K108:M125,$B127)+COUNTIF(K108:M125,$B127&amp;" ~*")&gt;0)+(COUNTIF(O108:Q125,$B127)+COUNTIF(O108:Q125,$B127&amp;" ~*")&gt;0)+(COUNTIF(S108:U125,$B127)+COUNTIF(S108:U125,$B127&amp;" ~*")&gt;0)+(COUNTIF(W108:W125,$B127)+COUNTIF(W108:W125,$B127&amp;" ~*")&gt;0)+(COUNTIF(Y108:Y125,$B127)+COUNTIF(Y108:Y125,$B127&amp;" ~*")&gt;0))</f>
        <v/>
      </c>
      <c r="AC127" s="36">
        <f>IF($B127="","",(IFERROR(INDEX(Setup!$G$33:$G$40,MATCH(C127,Setup!$B$33:$B$40,0)),0)=1)*(COUNTIF(C108:E125,$B127)+COUNTIF(C108:E125,$B127&amp;" ~*")&gt;0)+(IFERROR(INDEX(Setup!$G$33:$G$40,MATCH(G127,Setup!$B$33:$B$40,0)),0)=1)*(COUNTIF(G108:I125,$B127)+COUNTIF(G108:I125,$B127&amp;" ~*")&gt;0)+(IFERROR(INDEX(Setup!$G$33:$G$40,MATCH(K127,Setup!$B$33:$B$40,0)),0)=1)*(COUNTIF(K108:M125,$B127)+COUNTIF(K108:M125,$B127&amp;" ~*")&gt;0)+(IFERROR(INDEX(Setup!$G$33:$G$40,MATCH(O127,Setup!$B$33:$B$40,0)),0)=1)*(COUNTIF(O108:Q125,$B127)+COUNTIF(O108:Q125,$B127&amp;" ~*")&gt;0)+(IFERROR(INDEX(Setup!$G$33:$G$40,MATCH(S127,Setup!$B$33:$B$40,0)),0)=1)*(COUNTIF(S108:U125,$B127)+COUNTIF(S108:U125,$B127&amp;" ~*")&gt;0)+(IFERROR(INDEX(Setup!$G$33:$G$40,MATCH(W127,Setup!$B$33:$B$40,0)),0)=1)*(COUNTIF(W108:W125,$B127)+COUNTIF(W108:W125,$B127&amp;" ~*")&gt;0)+(IFERROR(INDEX(Setup!$G$33:$G$40,MATCH(Y127,Setup!$B$33:$B$40,0)),0)=1)*(COUNTIF(Y108:Y125,$B127)+COUNTIF(Y108:Y125,$B127&amp;" ~*")&gt;0))</f>
        <v/>
      </c>
    </row>
    <row r="128" ht="15" customHeight="1">
      <c r="A128" t="n">
        <v>3</v>
      </c>
      <c r="B128" s="37">
        <f>IF(Setup!$B$7="","",Setup!$B$7)</f>
        <v/>
      </c>
      <c r="C128" s="102" t="n"/>
      <c r="D128" s="103" t="n"/>
      <c r="E128" s="103" t="n"/>
      <c r="F128" s="104" t="n"/>
      <c r="G128" s="102" t="n"/>
      <c r="H128" s="103" t="n"/>
      <c r="I128" s="103" t="n"/>
      <c r="J128" s="104" t="n"/>
      <c r="K128" s="102" t="n"/>
      <c r="L128" s="103" t="n"/>
      <c r="M128" s="103" t="n"/>
      <c r="N128" s="104" t="n"/>
      <c r="O128" s="102" t="n"/>
      <c r="P128" s="103" t="n"/>
      <c r="Q128" s="103" t="n"/>
      <c r="R128" s="104" t="n"/>
      <c r="S128" s="102" t="n"/>
      <c r="T128" s="103" t="n"/>
      <c r="U128" s="103" t="n"/>
      <c r="V128" s="104" t="n"/>
      <c r="W128" s="102" t="n"/>
      <c r="X128" s="104" t="n"/>
      <c r="Y128" s="102" t="n"/>
      <c r="Z128" s="104" t="n"/>
      <c r="AB128" s="105">
        <f>IF($B128="","",(COUNTIF(C108:E125,$B128)+COUNTIF(C108:E125,$B128&amp;" ~*")&gt;0)+(COUNTIF(G108:I125,$B128)+COUNTIF(G108:I125,$B128&amp;" ~*")&gt;0)+(COUNTIF(K108:M125,$B128)+COUNTIF(K108:M125,$B128&amp;" ~*")&gt;0)+(COUNTIF(O108:Q125,$B128)+COUNTIF(O108:Q125,$B128&amp;" ~*")&gt;0)+(COUNTIF(S108:U125,$B128)+COUNTIF(S108:U125,$B128&amp;" ~*")&gt;0)+(COUNTIF(W108:W125,$B128)+COUNTIF(W108:W125,$B128&amp;" ~*")&gt;0)+(COUNTIF(Y108:Y125,$B128)+COUNTIF(Y108:Y125,$B128&amp;" ~*")&gt;0))</f>
        <v/>
      </c>
      <c r="AC128" s="38">
        <f>IF($B128="","",(IFERROR(INDEX(Setup!$G$33:$G$40,MATCH(C128,Setup!$B$33:$B$40,0)),0)=1)*(COUNTIF(C108:E125,$B128)+COUNTIF(C108:E125,$B128&amp;" ~*")&gt;0)+(IFERROR(INDEX(Setup!$G$33:$G$40,MATCH(G128,Setup!$B$33:$B$40,0)),0)=1)*(COUNTIF(G108:I125,$B128)+COUNTIF(G108:I125,$B128&amp;" ~*")&gt;0)+(IFERROR(INDEX(Setup!$G$33:$G$40,MATCH(K128,Setup!$B$33:$B$40,0)),0)=1)*(COUNTIF(K108:M125,$B128)+COUNTIF(K108:M125,$B128&amp;" ~*")&gt;0)+(IFERROR(INDEX(Setup!$G$33:$G$40,MATCH(O128,Setup!$B$33:$B$40,0)),0)=1)*(COUNTIF(O108:Q125,$B128)+COUNTIF(O108:Q125,$B128&amp;" ~*")&gt;0)+(IFERROR(INDEX(Setup!$G$33:$G$40,MATCH(S128,Setup!$B$33:$B$40,0)),0)=1)*(COUNTIF(S108:U125,$B128)+COUNTIF(S108:U125,$B128&amp;" ~*")&gt;0)+(IFERROR(INDEX(Setup!$G$33:$G$40,MATCH(W128,Setup!$B$33:$B$40,0)),0)=1)*(COUNTIF(W108:W125,$B128)+COUNTIF(W108:W125,$B128&amp;" ~*")&gt;0)+(IFERROR(INDEX(Setup!$G$33:$G$40,MATCH(Y128,Setup!$B$33:$B$40,0)),0)=1)*(COUNTIF(Y108:Y125,$B128)+COUNTIF(Y108:Y125,$B128&amp;" ~*")&gt;0))</f>
        <v/>
      </c>
    </row>
    <row r="129" ht="15" customHeight="1">
      <c r="A129" t="n">
        <v>3</v>
      </c>
      <c r="B129" s="35">
        <f>IF(Setup!$B$8="","",Setup!$B$8)</f>
        <v/>
      </c>
      <c r="C129" s="98" t="n"/>
      <c r="D129" s="99" t="n"/>
      <c r="E129" s="99" t="n"/>
      <c r="F129" s="100" t="n"/>
      <c r="G129" s="98" t="n"/>
      <c r="H129" s="99" t="n"/>
      <c r="I129" s="99" t="n"/>
      <c r="J129" s="100" t="n"/>
      <c r="K129" s="98" t="n"/>
      <c r="L129" s="99" t="n"/>
      <c r="M129" s="99" t="n"/>
      <c r="N129" s="100" t="n"/>
      <c r="O129" s="98" t="n"/>
      <c r="P129" s="99" t="n"/>
      <c r="Q129" s="99" t="n"/>
      <c r="R129" s="100" t="n"/>
      <c r="S129" s="98" t="n"/>
      <c r="T129" s="99" t="n"/>
      <c r="U129" s="99" t="n"/>
      <c r="V129" s="100" t="n"/>
      <c r="W129" s="98" t="n"/>
      <c r="X129" s="100" t="n"/>
      <c r="Y129" s="98" t="n"/>
      <c r="Z129" s="100" t="n"/>
      <c r="AB129" s="101">
        <f>IF($B129="","",(COUNTIF(C108:E125,$B129)+COUNTIF(C108:E125,$B129&amp;" ~*")&gt;0)+(COUNTIF(G108:I125,$B129)+COUNTIF(G108:I125,$B129&amp;" ~*")&gt;0)+(COUNTIF(K108:M125,$B129)+COUNTIF(K108:M125,$B129&amp;" ~*")&gt;0)+(COUNTIF(O108:Q125,$B129)+COUNTIF(O108:Q125,$B129&amp;" ~*")&gt;0)+(COUNTIF(S108:U125,$B129)+COUNTIF(S108:U125,$B129&amp;" ~*")&gt;0)+(COUNTIF(W108:W125,$B129)+COUNTIF(W108:W125,$B129&amp;" ~*")&gt;0)+(COUNTIF(Y108:Y125,$B129)+COUNTIF(Y108:Y125,$B129&amp;" ~*")&gt;0))</f>
        <v/>
      </c>
      <c r="AC129" s="36">
        <f>IF($B129="","",(IFERROR(INDEX(Setup!$G$33:$G$40,MATCH(C129,Setup!$B$33:$B$40,0)),0)=1)*(COUNTIF(C108:E125,$B129)+COUNTIF(C108:E125,$B129&amp;" ~*")&gt;0)+(IFERROR(INDEX(Setup!$G$33:$G$40,MATCH(G129,Setup!$B$33:$B$40,0)),0)=1)*(COUNTIF(G108:I125,$B129)+COUNTIF(G108:I125,$B129&amp;" ~*")&gt;0)+(IFERROR(INDEX(Setup!$G$33:$G$40,MATCH(K129,Setup!$B$33:$B$40,0)),0)=1)*(COUNTIF(K108:M125,$B129)+COUNTIF(K108:M125,$B129&amp;" ~*")&gt;0)+(IFERROR(INDEX(Setup!$G$33:$G$40,MATCH(O129,Setup!$B$33:$B$40,0)),0)=1)*(COUNTIF(O108:Q125,$B129)+COUNTIF(O108:Q125,$B129&amp;" ~*")&gt;0)+(IFERROR(INDEX(Setup!$G$33:$G$40,MATCH(S129,Setup!$B$33:$B$40,0)),0)=1)*(COUNTIF(S108:U125,$B129)+COUNTIF(S108:U125,$B129&amp;" ~*")&gt;0)+(IFERROR(INDEX(Setup!$G$33:$G$40,MATCH(W129,Setup!$B$33:$B$40,0)),0)=1)*(COUNTIF(W108:W125,$B129)+COUNTIF(W108:W125,$B129&amp;" ~*")&gt;0)+(IFERROR(INDEX(Setup!$G$33:$G$40,MATCH(Y129,Setup!$B$33:$B$40,0)),0)=1)*(COUNTIF(Y108:Y125,$B129)+COUNTIF(Y108:Y125,$B129&amp;" ~*")&gt;0))</f>
        <v/>
      </c>
    </row>
    <row r="130" ht="15" customHeight="1">
      <c r="A130" t="n">
        <v>3</v>
      </c>
      <c r="B130" s="37">
        <f>IF(Setup!$B$9="","",Setup!$B$9)</f>
        <v/>
      </c>
      <c r="C130" s="102" t="n"/>
      <c r="D130" s="103" t="n"/>
      <c r="E130" s="103" t="n"/>
      <c r="F130" s="104" t="n"/>
      <c r="G130" s="102" t="n"/>
      <c r="H130" s="103" t="n"/>
      <c r="I130" s="103" t="n"/>
      <c r="J130" s="104" t="n"/>
      <c r="K130" s="102" t="n"/>
      <c r="L130" s="103" t="n"/>
      <c r="M130" s="103" t="n"/>
      <c r="N130" s="104" t="n"/>
      <c r="O130" s="102" t="n"/>
      <c r="P130" s="103" t="n"/>
      <c r="Q130" s="103" t="n"/>
      <c r="R130" s="104" t="n"/>
      <c r="S130" s="102" t="n"/>
      <c r="T130" s="103" t="n"/>
      <c r="U130" s="103" t="n"/>
      <c r="V130" s="104" t="n"/>
      <c r="W130" s="102" t="n"/>
      <c r="X130" s="104" t="n"/>
      <c r="Y130" s="102" t="n"/>
      <c r="Z130" s="104" t="n"/>
      <c r="AB130" s="105">
        <f>IF($B130="","",(COUNTIF(C108:E125,$B130)+COUNTIF(C108:E125,$B130&amp;" ~*")&gt;0)+(COUNTIF(G108:I125,$B130)+COUNTIF(G108:I125,$B130&amp;" ~*")&gt;0)+(COUNTIF(K108:M125,$B130)+COUNTIF(K108:M125,$B130&amp;" ~*")&gt;0)+(COUNTIF(O108:Q125,$B130)+COUNTIF(O108:Q125,$B130&amp;" ~*")&gt;0)+(COUNTIF(S108:U125,$B130)+COUNTIF(S108:U125,$B130&amp;" ~*")&gt;0)+(COUNTIF(W108:W125,$B130)+COUNTIF(W108:W125,$B130&amp;" ~*")&gt;0)+(COUNTIF(Y108:Y125,$B130)+COUNTIF(Y108:Y125,$B130&amp;" ~*")&gt;0))</f>
        <v/>
      </c>
      <c r="AC130" s="38">
        <f>IF($B130="","",(IFERROR(INDEX(Setup!$G$33:$G$40,MATCH(C130,Setup!$B$33:$B$40,0)),0)=1)*(COUNTIF(C108:E125,$B130)+COUNTIF(C108:E125,$B130&amp;" ~*")&gt;0)+(IFERROR(INDEX(Setup!$G$33:$G$40,MATCH(G130,Setup!$B$33:$B$40,0)),0)=1)*(COUNTIF(G108:I125,$B130)+COUNTIF(G108:I125,$B130&amp;" ~*")&gt;0)+(IFERROR(INDEX(Setup!$G$33:$G$40,MATCH(K130,Setup!$B$33:$B$40,0)),0)=1)*(COUNTIF(K108:M125,$B130)+COUNTIF(K108:M125,$B130&amp;" ~*")&gt;0)+(IFERROR(INDEX(Setup!$G$33:$G$40,MATCH(O130,Setup!$B$33:$B$40,0)),0)=1)*(COUNTIF(O108:Q125,$B130)+COUNTIF(O108:Q125,$B130&amp;" ~*")&gt;0)+(IFERROR(INDEX(Setup!$G$33:$G$40,MATCH(S130,Setup!$B$33:$B$40,0)),0)=1)*(COUNTIF(S108:U125,$B130)+COUNTIF(S108:U125,$B130&amp;" ~*")&gt;0)+(IFERROR(INDEX(Setup!$G$33:$G$40,MATCH(W130,Setup!$B$33:$B$40,0)),0)=1)*(COUNTIF(W108:W125,$B130)+COUNTIF(W108:W125,$B130&amp;" ~*")&gt;0)+(IFERROR(INDEX(Setup!$G$33:$G$40,MATCH(Y130,Setup!$B$33:$B$40,0)),0)=1)*(COUNTIF(Y108:Y125,$B130)+COUNTIF(Y108:Y125,$B130&amp;" ~*")&gt;0))</f>
        <v/>
      </c>
    </row>
    <row r="131" ht="15" customHeight="1">
      <c r="A131" t="n">
        <v>3</v>
      </c>
      <c r="B131" s="35">
        <f>IF(Setup!$B$10="","",Setup!$B$10)</f>
        <v/>
      </c>
      <c r="C131" s="98" t="n"/>
      <c r="D131" s="99" t="n"/>
      <c r="E131" s="99" t="n"/>
      <c r="F131" s="100" t="n"/>
      <c r="G131" s="98" t="n"/>
      <c r="H131" s="99" t="n"/>
      <c r="I131" s="99" t="n"/>
      <c r="J131" s="100" t="n"/>
      <c r="K131" s="98" t="n"/>
      <c r="L131" s="99" t="n"/>
      <c r="M131" s="99" t="n"/>
      <c r="N131" s="100" t="n"/>
      <c r="O131" s="98" t="n"/>
      <c r="P131" s="99" t="n"/>
      <c r="Q131" s="99" t="n"/>
      <c r="R131" s="100" t="n"/>
      <c r="S131" s="98" t="n"/>
      <c r="T131" s="99" t="n"/>
      <c r="U131" s="99" t="n"/>
      <c r="V131" s="100" t="n"/>
      <c r="W131" s="98" t="n"/>
      <c r="X131" s="100" t="n"/>
      <c r="Y131" s="98" t="n"/>
      <c r="Z131" s="100" t="n"/>
      <c r="AB131" s="101">
        <f>IF($B131="","",(COUNTIF(C108:E125,$B131)+COUNTIF(C108:E125,$B131&amp;" ~*")&gt;0)+(COUNTIF(G108:I125,$B131)+COUNTIF(G108:I125,$B131&amp;" ~*")&gt;0)+(COUNTIF(K108:M125,$B131)+COUNTIF(K108:M125,$B131&amp;" ~*")&gt;0)+(COUNTIF(O108:Q125,$B131)+COUNTIF(O108:Q125,$B131&amp;" ~*")&gt;0)+(COUNTIF(S108:U125,$B131)+COUNTIF(S108:U125,$B131&amp;" ~*")&gt;0)+(COUNTIF(W108:W125,$B131)+COUNTIF(W108:W125,$B131&amp;" ~*")&gt;0)+(COUNTIF(Y108:Y125,$B131)+COUNTIF(Y108:Y125,$B131&amp;" ~*")&gt;0))</f>
        <v/>
      </c>
      <c r="AC131" s="36">
        <f>IF($B131="","",(IFERROR(INDEX(Setup!$G$33:$G$40,MATCH(C131,Setup!$B$33:$B$40,0)),0)=1)*(COUNTIF(C108:E125,$B131)+COUNTIF(C108:E125,$B131&amp;" ~*")&gt;0)+(IFERROR(INDEX(Setup!$G$33:$G$40,MATCH(G131,Setup!$B$33:$B$40,0)),0)=1)*(COUNTIF(G108:I125,$B131)+COUNTIF(G108:I125,$B131&amp;" ~*")&gt;0)+(IFERROR(INDEX(Setup!$G$33:$G$40,MATCH(K131,Setup!$B$33:$B$40,0)),0)=1)*(COUNTIF(K108:M125,$B131)+COUNTIF(K108:M125,$B131&amp;" ~*")&gt;0)+(IFERROR(INDEX(Setup!$G$33:$G$40,MATCH(O131,Setup!$B$33:$B$40,0)),0)=1)*(COUNTIF(O108:Q125,$B131)+COUNTIF(O108:Q125,$B131&amp;" ~*")&gt;0)+(IFERROR(INDEX(Setup!$G$33:$G$40,MATCH(S131,Setup!$B$33:$B$40,0)),0)=1)*(COUNTIF(S108:U125,$B131)+COUNTIF(S108:U125,$B131&amp;" ~*")&gt;0)+(IFERROR(INDEX(Setup!$G$33:$G$40,MATCH(W131,Setup!$B$33:$B$40,0)),0)=1)*(COUNTIF(W108:W125,$B131)+COUNTIF(W108:W125,$B131&amp;" ~*")&gt;0)+(IFERROR(INDEX(Setup!$G$33:$G$40,MATCH(Y131,Setup!$B$33:$B$40,0)),0)=1)*(COUNTIF(Y108:Y125,$B131)+COUNTIF(Y108:Y125,$B131&amp;" ~*")&gt;0))</f>
        <v/>
      </c>
    </row>
    <row r="132" ht="15" customHeight="1">
      <c r="A132" t="n">
        <v>3</v>
      </c>
      <c r="B132" s="37">
        <f>IF(Setup!$B$11="","",Setup!$B$11)</f>
        <v/>
      </c>
      <c r="C132" s="102" t="n"/>
      <c r="D132" s="103" t="n"/>
      <c r="E132" s="103" t="n"/>
      <c r="F132" s="104" t="n"/>
      <c r="G132" s="102" t="n"/>
      <c r="H132" s="103" t="n"/>
      <c r="I132" s="103" t="n"/>
      <c r="J132" s="104" t="n"/>
      <c r="K132" s="102" t="n"/>
      <c r="L132" s="103" t="n"/>
      <c r="M132" s="103" t="n"/>
      <c r="N132" s="104" t="n"/>
      <c r="O132" s="102" t="n"/>
      <c r="P132" s="103" t="n"/>
      <c r="Q132" s="103" t="n"/>
      <c r="R132" s="104" t="n"/>
      <c r="S132" s="102" t="n"/>
      <c r="T132" s="103" t="n"/>
      <c r="U132" s="103" t="n"/>
      <c r="V132" s="104" t="n"/>
      <c r="W132" s="102" t="n"/>
      <c r="X132" s="104" t="n"/>
      <c r="Y132" s="102" t="n"/>
      <c r="Z132" s="104" t="n"/>
      <c r="AB132" s="105">
        <f>IF($B132="","",(COUNTIF(C108:E125,$B132)+COUNTIF(C108:E125,$B132&amp;" ~*")&gt;0)+(COUNTIF(G108:I125,$B132)+COUNTIF(G108:I125,$B132&amp;" ~*")&gt;0)+(COUNTIF(K108:M125,$B132)+COUNTIF(K108:M125,$B132&amp;" ~*")&gt;0)+(COUNTIF(O108:Q125,$B132)+COUNTIF(O108:Q125,$B132&amp;" ~*")&gt;0)+(COUNTIF(S108:U125,$B132)+COUNTIF(S108:U125,$B132&amp;" ~*")&gt;0)+(COUNTIF(W108:W125,$B132)+COUNTIF(W108:W125,$B132&amp;" ~*")&gt;0)+(COUNTIF(Y108:Y125,$B132)+COUNTIF(Y108:Y125,$B132&amp;" ~*")&gt;0))</f>
        <v/>
      </c>
      <c r="AC132" s="38">
        <f>IF($B132="","",(IFERROR(INDEX(Setup!$G$33:$G$40,MATCH(C132,Setup!$B$33:$B$40,0)),0)=1)*(COUNTIF(C108:E125,$B132)+COUNTIF(C108:E125,$B132&amp;" ~*")&gt;0)+(IFERROR(INDEX(Setup!$G$33:$G$40,MATCH(G132,Setup!$B$33:$B$40,0)),0)=1)*(COUNTIF(G108:I125,$B132)+COUNTIF(G108:I125,$B132&amp;" ~*")&gt;0)+(IFERROR(INDEX(Setup!$G$33:$G$40,MATCH(K132,Setup!$B$33:$B$40,0)),0)=1)*(COUNTIF(K108:M125,$B132)+COUNTIF(K108:M125,$B132&amp;" ~*")&gt;0)+(IFERROR(INDEX(Setup!$G$33:$G$40,MATCH(O132,Setup!$B$33:$B$40,0)),0)=1)*(COUNTIF(O108:Q125,$B132)+COUNTIF(O108:Q125,$B132&amp;" ~*")&gt;0)+(IFERROR(INDEX(Setup!$G$33:$G$40,MATCH(S132,Setup!$B$33:$B$40,0)),0)=1)*(COUNTIF(S108:U125,$B132)+COUNTIF(S108:U125,$B132&amp;" ~*")&gt;0)+(IFERROR(INDEX(Setup!$G$33:$G$40,MATCH(W132,Setup!$B$33:$B$40,0)),0)=1)*(COUNTIF(W108:W125,$B132)+COUNTIF(W108:W125,$B132&amp;" ~*")&gt;0)+(IFERROR(INDEX(Setup!$G$33:$G$40,MATCH(Y132,Setup!$B$33:$B$40,0)),0)=1)*(COUNTIF(Y108:Y125,$B132)+COUNTIF(Y108:Y125,$B132&amp;" ~*")&gt;0))</f>
        <v/>
      </c>
    </row>
    <row r="133" ht="15" customHeight="1">
      <c r="A133" t="n">
        <v>3</v>
      </c>
      <c r="B133" s="35">
        <f>IF(Setup!$B$12="","",Setup!$B$12)</f>
        <v/>
      </c>
      <c r="C133" s="98" t="inlineStr">
        <is>
          <t>AL</t>
        </is>
      </c>
      <c r="D133" s="99" t="n"/>
      <c r="E133" s="99" t="n"/>
      <c r="F133" s="100" t="n"/>
      <c r="G133" s="98" t="n"/>
      <c r="H133" s="99" t="n"/>
      <c r="I133" s="99" t="n"/>
      <c r="J133" s="100" t="n"/>
      <c r="K133" s="98" t="n"/>
      <c r="L133" s="99" t="n"/>
      <c r="M133" s="99" t="n"/>
      <c r="N133" s="100" t="n"/>
      <c r="O133" s="98" t="n"/>
      <c r="P133" s="99" t="n"/>
      <c r="Q133" s="99" t="n"/>
      <c r="R133" s="100" t="n"/>
      <c r="S133" s="98" t="n"/>
      <c r="T133" s="99" t="n"/>
      <c r="U133" s="99" t="n"/>
      <c r="V133" s="100" t="n"/>
      <c r="W133" s="98" t="n"/>
      <c r="X133" s="100" t="n"/>
      <c r="Y133" s="98" t="n"/>
      <c r="Z133" s="100" t="n"/>
      <c r="AB133" s="101">
        <f>IF($B133="","",(COUNTIF(C108:E125,$B133)+COUNTIF(C108:E125,$B133&amp;" ~*")&gt;0)+(COUNTIF(G108:I125,$B133)+COUNTIF(G108:I125,$B133&amp;" ~*")&gt;0)+(COUNTIF(K108:M125,$B133)+COUNTIF(K108:M125,$B133&amp;" ~*")&gt;0)+(COUNTIF(O108:Q125,$B133)+COUNTIF(O108:Q125,$B133&amp;" ~*")&gt;0)+(COUNTIF(S108:U125,$B133)+COUNTIF(S108:U125,$B133&amp;" ~*")&gt;0)+(COUNTIF(W108:W125,$B133)+COUNTIF(W108:W125,$B133&amp;" ~*")&gt;0)+(COUNTIF(Y108:Y125,$B133)+COUNTIF(Y108:Y125,$B133&amp;" ~*")&gt;0))</f>
        <v/>
      </c>
      <c r="AC133" s="36">
        <f>IF($B133="","",(IFERROR(INDEX(Setup!$G$33:$G$40,MATCH(C133,Setup!$B$33:$B$40,0)),0)=1)*(COUNTIF(C108:E125,$B133)+COUNTIF(C108:E125,$B133&amp;" ~*")&gt;0)+(IFERROR(INDEX(Setup!$G$33:$G$40,MATCH(G133,Setup!$B$33:$B$40,0)),0)=1)*(COUNTIF(G108:I125,$B133)+COUNTIF(G108:I125,$B133&amp;" ~*")&gt;0)+(IFERROR(INDEX(Setup!$G$33:$G$40,MATCH(K133,Setup!$B$33:$B$40,0)),0)=1)*(COUNTIF(K108:M125,$B133)+COUNTIF(K108:M125,$B133&amp;" ~*")&gt;0)+(IFERROR(INDEX(Setup!$G$33:$G$40,MATCH(O133,Setup!$B$33:$B$40,0)),0)=1)*(COUNTIF(O108:Q125,$B133)+COUNTIF(O108:Q125,$B133&amp;" ~*")&gt;0)+(IFERROR(INDEX(Setup!$G$33:$G$40,MATCH(S133,Setup!$B$33:$B$40,0)),0)=1)*(COUNTIF(S108:U125,$B133)+COUNTIF(S108:U125,$B133&amp;" ~*")&gt;0)+(IFERROR(INDEX(Setup!$G$33:$G$40,MATCH(W133,Setup!$B$33:$B$40,0)),0)=1)*(COUNTIF(W108:W125,$B133)+COUNTIF(W108:W125,$B133&amp;" ~*")&gt;0)+(IFERROR(INDEX(Setup!$G$33:$G$40,MATCH(Y133,Setup!$B$33:$B$40,0)),0)=1)*(COUNTIF(Y108:Y125,$B133)+COUNTIF(Y108:Y125,$B133&amp;" ~*")&gt;0))</f>
        <v/>
      </c>
    </row>
    <row r="134" ht="15" customHeight="1">
      <c r="A134" t="n">
        <v>3</v>
      </c>
      <c r="B134" s="37">
        <f>IF(Setup!$B$13="","",Setup!$B$13)</f>
        <v/>
      </c>
      <c r="C134" s="102" t="n"/>
      <c r="D134" s="103" t="n"/>
      <c r="E134" s="103" t="n"/>
      <c r="F134" s="104" t="n"/>
      <c r="G134" s="102" t="n"/>
      <c r="H134" s="103" t="n"/>
      <c r="I134" s="103" t="n"/>
      <c r="J134" s="104" t="n"/>
      <c r="K134" s="102" t="n"/>
      <c r="L134" s="103" t="n"/>
      <c r="M134" s="103" t="n"/>
      <c r="N134" s="104" t="n"/>
      <c r="O134" s="102" t="n"/>
      <c r="P134" s="103" t="n"/>
      <c r="Q134" s="103" t="n"/>
      <c r="R134" s="104" t="n"/>
      <c r="S134" s="102" t="n"/>
      <c r="T134" s="103" t="n"/>
      <c r="U134" s="103" t="n"/>
      <c r="V134" s="104" t="n"/>
      <c r="W134" s="102" t="n"/>
      <c r="X134" s="104" t="n"/>
      <c r="Y134" s="102" t="n"/>
      <c r="Z134" s="104" t="n"/>
      <c r="AB134" s="105">
        <f>IF($B134="","",(COUNTIF(C108:E125,$B134)+COUNTIF(C108:E125,$B134&amp;" ~*")&gt;0)+(COUNTIF(G108:I125,$B134)+COUNTIF(G108:I125,$B134&amp;" ~*")&gt;0)+(COUNTIF(K108:M125,$B134)+COUNTIF(K108:M125,$B134&amp;" ~*")&gt;0)+(COUNTIF(O108:Q125,$B134)+COUNTIF(O108:Q125,$B134&amp;" ~*")&gt;0)+(COUNTIF(S108:U125,$B134)+COUNTIF(S108:U125,$B134&amp;" ~*")&gt;0)+(COUNTIF(W108:W125,$B134)+COUNTIF(W108:W125,$B134&amp;" ~*")&gt;0)+(COUNTIF(Y108:Y125,$B134)+COUNTIF(Y108:Y125,$B134&amp;" ~*")&gt;0))</f>
        <v/>
      </c>
      <c r="AC134" s="38">
        <f>IF($B134="","",(IFERROR(INDEX(Setup!$G$33:$G$40,MATCH(C134,Setup!$B$33:$B$40,0)),0)=1)*(COUNTIF(C108:E125,$B134)+COUNTIF(C108:E125,$B134&amp;" ~*")&gt;0)+(IFERROR(INDEX(Setup!$G$33:$G$40,MATCH(G134,Setup!$B$33:$B$40,0)),0)=1)*(COUNTIF(G108:I125,$B134)+COUNTIF(G108:I125,$B134&amp;" ~*")&gt;0)+(IFERROR(INDEX(Setup!$G$33:$G$40,MATCH(K134,Setup!$B$33:$B$40,0)),0)=1)*(COUNTIF(K108:M125,$B134)+COUNTIF(K108:M125,$B134&amp;" ~*")&gt;0)+(IFERROR(INDEX(Setup!$G$33:$G$40,MATCH(O134,Setup!$B$33:$B$40,0)),0)=1)*(COUNTIF(O108:Q125,$B134)+COUNTIF(O108:Q125,$B134&amp;" ~*")&gt;0)+(IFERROR(INDEX(Setup!$G$33:$G$40,MATCH(S134,Setup!$B$33:$B$40,0)),0)=1)*(COUNTIF(S108:U125,$B134)+COUNTIF(S108:U125,$B134&amp;" ~*")&gt;0)+(IFERROR(INDEX(Setup!$G$33:$G$40,MATCH(W134,Setup!$B$33:$B$40,0)),0)=1)*(COUNTIF(W108:W125,$B134)+COUNTIF(W108:W125,$B134&amp;" ~*")&gt;0)+(IFERROR(INDEX(Setup!$G$33:$G$40,MATCH(Y134,Setup!$B$33:$B$40,0)),0)=1)*(COUNTIF(Y108:Y125,$B134)+COUNTIF(Y108:Y125,$B134&amp;" ~*")&gt;0))</f>
        <v/>
      </c>
    </row>
    <row r="135" ht="15" customHeight="1">
      <c r="A135" t="n">
        <v>3</v>
      </c>
      <c r="B135" s="35">
        <f>IF(Setup!$B$14="","",Setup!$B$14)</f>
        <v/>
      </c>
      <c r="C135" s="98" t="inlineStr">
        <is>
          <t>AL</t>
        </is>
      </c>
      <c r="D135" s="99" t="n"/>
      <c r="E135" s="99" t="n"/>
      <c r="F135" s="100" t="n"/>
      <c r="G135" s="98" t="inlineStr">
        <is>
          <t>AL</t>
        </is>
      </c>
      <c r="H135" s="99" t="n"/>
      <c r="I135" s="99" t="n"/>
      <c r="J135" s="100" t="n"/>
      <c r="K135" s="98" t="inlineStr">
        <is>
          <t>AL</t>
        </is>
      </c>
      <c r="L135" s="99" t="n"/>
      <c r="M135" s="99" t="n"/>
      <c r="N135" s="100" t="n"/>
      <c r="O135" s="98" t="inlineStr">
        <is>
          <t>AL</t>
        </is>
      </c>
      <c r="P135" s="99" t="n"/>
      <c r="Q135" s="99" t="n"/>
      <c r="R135" s="100" t="n"/>
      <c r="S135" s="98" t="inlineStr">
        <is>
          <t>AL</t>
        </is>
      </c>
      <c r="T135" s="99" t="n"/>
      <c r="U135" s="99" t="n"/>
      <c r="V135" s="100" t="n"/>
      <c r="W135" s="98" t="n"/>
      <c r="X135" s="100" t="n"/>
      <c r="Y135" s="98" t="n"/>
      <c r="Z135" s="100" t="n"/>
      <c r="AB135" s="101">
        <f>IF($B135="","",(COUNTIF(C108:E125,$B135)+COUNTIF(C108:E125,$B135&amp;" ~*")&gt;0)+(COUNTIF(G108:I125,$B135)+COUNTIF(G108:I125,$B135&amp;" ~*")&gt;0)+(COUNTIF(K108:M125,$B135)+COUNTIF(K108:M125,$B135&amp;" ~*")&gt;0)+(COUNTIF(O108:Q125,$B135)+COUNTIF(O108:Q125,$B135&amp;" ~*")&gt;0)+(COUNTIF(S108:U125,$B135)+COUNTIF(S108:U125,$B135&amp;" ~*")&gt;0)+(COUNTIF(W108:W125,$B135)+COUNTIF(W108:W125,$B135&amp;" ~*")&gt;0)+(COUNTIF(Y108:Y125,$B135)+COUNTIF(Y108:Y125,$B135&amp;" ~*")&gt;0))</f>
        <v/>
      </c>
      <c r="AC135" s="36">
        <f>IF($B135="","",(IFERROR(INDEX(Setup!$G$33:$G$40,MATCH(C135,Setup!$B$33:$B$40,0)),0)=1)*(COUNTIF(C108:E125,$B135)+COUNTIF(C108:E125,$B135&amp;" ~*")&gt;0)+(IFERROR(INDEX(Setup!$G$33:$G$40,MATCH(G135,Setup!$B$33:$B$40,0)),0)=1)*(COUNTIF(G108:I125,$B135)+COUNTIF(G108:I125,$B135&amp;" ~*")&gt;0)+(IFERROR(INDEX(Setup!$G$33:$G$40,MATCH(K135,Setup!$B$33:$B$40,0)),0)=1)*(COUNTIF(K108:M125,$B135)+COUNTIF(K108:M125,$B135&amp;" ~*")&gt;0)+(IFERROR(INDEX(Setup!$G$33:$G$40,MATCH(O135,Setup!$B$33:$B$40,0)),0)=1)*(COUNTIF(O108:Q125,$B135)+COUNTIF(O108:Q125,$B135&amp;" ~*")&gt;0)+(IFERROR(INDEX(Setup!$G$33:$G$40,MATCH(S135,Setup!$B$33:$B$40,0)),0)=1)*(COUNTIF(S108:U125,$B135)+COUNTIF(S108:U125,$B135&amp;" ~*")&gt;0)+(IFERROR(INDEX(Setup!$G$33:$G$40,MATCH(W135,Setup!$B$33:$B$40,0)),0)=1)*(COUNTIF(W108:W125,$B135)+COUNTIF(W108:W125,$B135&amp;" ~*")&gt;0)+(IFERROR(INDEX(Setup!$G$33:$G$40,MATCH(Y135,Setup!$B$33:$B$40,0)),0)=1)*(COUNTIF(Y108:Y125,$B135)+COUNTIF(Y108:Y125,$B135&amp;" ~*")&gt;0))</f>
        <v/>
      </c>
    </row>
    <row r="136" ht="15" customHeight="1">
      <c r="A136" t="n">
        <v>3</v>
      </c>
      <c r="B136" s="37">
        <f>IF(Setup!$B$15="","",Setup!$B$15)</f>
        <v/>
      </c>
      <c r="C136" s="102" t="n"/>
      <c r="D136" s="103" t="n"/>
      <c r="E136" s="103" t="n"/>
      <c r="F136" s="104" t="n"/>
      <c r="G136" s="102" t="n"/>
      <c r="H136" s="103" t="n"/>
      <c r="I136" s="103" t="n"/>
      <c r="J136" s="104" t="n"/>
      <c r="K136" s="102" t="n"/>
      <c r="L136" s="103" t="n"/>
      <c r="M136" s="103" t="n"/>
      <c r="N136" s="104" t="n"/>
      <c r="O136" s="102" t="n"/>
      <c r="P136" s="103" t="n"/>
      <c r="Q136" s="103" t="n"/>
      <c r="R136" s="104" t="n"/>
      <c r="S136" s="102" t="n"/>
      <c r="T136" s="103" t="n"/>
      <c r="U136" s="103" t="n"/>
      <c r="V136" s="104" t="n"/>
      <c r="W136" s="102" t="n"/>
      <c r="X136" s="104" t="n"/>
      <c r="Y136" s="102" t="n"/>
      <c r="Z136" s="104" t="n"/>
      <c r="AB136" s="105">
        <f>IF($B136="","",(COUNTIF(C108:E125,$B136)+COUNTIF(C108:E125,$B136&amp;" ~*")&gt;0)+(COUNTIF(G108:I125,$B136)+COUNTIF(G108:I125,$B136&amp;" ~*")&gt;0)+(COUNTIF(K108:M125,$B136)+COUNTIF(K108:M125,$B136&amp;" ~*")&gt;0)+(COUNTIF(O108:Q125,$B136)+COUNTIF(O108:Q125,$B136&amp;" ~*")&gt;0)+(COUNTIF(S108:U125,$B136)+COUNTIF(S108:U125,$B136&amp;" ~*")&gt;0)+(COUNTIF(W108:W125,$B136)+COUNTIF(W108:W125,$B136&amp;" ~*")&gt;0)+(COUNTIF(Y108:Y125,$B136)+COUNTIF(Y108:Y125,$B136&amp;" ~*")&gt;0))</f>
        <v/>
      </c>
      <c r="AC136" s="38">
        <f>IF($B136="","",(IFERROR(INDEX(Setup!$G$33:$G$40,MATCH(C136,Setup!$B$33:$B$40,0)),0)=1)*(COUNTIF(C108:E125,$B136)+COUNTIF(C108:E125,$B136&amp;" ~*")&gt;0)+(IFERROR(INDEX(Setup!$G$33:$G$40,MATCH(G136,Setup!$B$33:$B$40,0)),0)=1)*(COUNTIF(G108:I125,$B136)+COUNTIF(G108:I125,$B136&amp;" ~*")&gt;0)+(IFERROR(INDEX(Setup!$G$33:$G$40,MATCH(K136,Setup!$B$33:$B$40,0)),0)=1)*(COUNTIF(K108:M125,$B136)+COUNTIF(K108:M125,$B136&amp;" ~*")&gt;0)+(IFERROR(INDEX(Setup!$G$33:$G$40,MATCH(O136,Setup!$B$33:$B$40,0)),0)=1)*(COUNTIF(O108:Q125,$B136)+COUNTIF(O108:Q125,$B136&amp;" ~*")&gt;0)+(IFERROR(INDEX(Setup!$G$33:$G$40,MATCH(S136,Setup!$B$33:$B$40,0)),0)=1)*(COUNTIF(S108:U125,$B136)+COUNTIF(S108:U125,$B136&amp;" ~*")&gt;0)+(IFERROR(INDEX(Setup!$G$33:$G$40,MATCH(W136,Setup!$B$33:$B$40,0)),0)=1)*(COUNTIF(W108:W125,$B136)+COUNTIF(W108:W125,$B136&amp;" ~*")&gt;0)+(IFERROR(INDEX(Setup!$G$33:$G$40,MATCH(Y136,Setup!$B$33:$B$40,0)),0)=1)*(COUNTIF(Y108:Y125,$B136)+COUNTIF(Y108:Y125,$B136&amp;" ~*")&gt;0))</f>
        <v/>
      </c>
    </row>
    <row r="137" ht="15" customHeight="1">
      <c r="A137" t="n">
        <v>3</v>
      </c>
      <c r="B137" s="35">
        <f>IF(Setup!$B$16="","",Setup!$B$16)</f>
        <v/>
      </c>
      <c r="C137" s="98" t="n"/>
      <c r="D137" s="99" t="n"/>
      <c r="E137" s="99" t="n"/>
      <c r="F137" s="100" t="n"/>
      <c r="G137" s="98" t="n"/>
      <c r="H137" s="99" t="n"/>
      <c r="I137" s="99" t="n"/>
      <c r="J137" s="100" t="n"/>
      <c r="K137" s="98" t="n"/>
      <c r="L137" s="99" t="n"/>
      <c r="M137" s="99" t="n"/>
      <c r="N137" s="100" t="n"/>
      <c r="O137" s="98" t="n"/>
      <c r="P137" s="99" t="n"/>
      <c r="Q137" s="99" t="n"/>
      <c r="R137" s="100" t="n"/>
      <c r="S137" s="98" t="n"/>
      <c r="T137" s="99" t="n"/>
      <c r="U137" s="99" t="n"/>
      <c r="V137" s="100" t="n"/>
      <c r="W137" s="98" t="n"/>
      <c r="X137" s="100" t="n"/>
      <c r="Y137" s="98" t="n"/>
      <c r="Z137" s="100" t="n"/>
      <c r="AB137" s="101">
        <f>IF($B137="","",(COUNTIF(C108:E125,$B137)+COUNTIF(C108:E125,$B137&amp;" ~*")&gt;0)+(COUNTIF(G108:I125,$B137)+COUNTIF(G108:I125,$B137&amp;" ~*")&gt;0)+(COUNTIF(K108:M125,$B137)+COUNTIF(K108:M125,$B137&amp;" ~*")&gt;0)+(COUNTIF(O108:Q125,$B137)+COUNTIF(O108:Q125,$B137&amp;" ~*")&gt;0)+(COUNTIF(S108:U125,$B137)+COUNTIF(S108:U125,$B137&amp;" ~*")&gt;0)+(COUNTIF(W108:W125,$B137)+COUNTIF(W108:W125,$B137&amp;" ~*")&gt;0)+(COUNTIF(Y108:Y125,$B137)+COUNTIF(Y108:Y125,$B137&amp;" ~*")&gt;0))</f>
        <v/>
      </c>
      <c r="AC137" s="36">
        <f>IF($B137="","",(IFERROR(INDEX(Setup!$G$33:$G$40,MATCH(C137,Setup!$B$33:$B$40,0)),0)=1)*(COUNTIF(C108:E125,$B137)+COUNTIF(C108:E125,$B137&amp;" ~*")&gt;0)+(IFERROR(INDEX(Setup!$G$33:$G$40,MATCH(G137,Setup!$B$33:$B$40,0)),0)=1)*(COUNTIF(G108:I125,$B137)+COUNTIF(G108:I125,$B137&amp;" ~*")&gt;0)+(IFERROR(INDEX(Setup!$G$33:$G$40,MATCH(K137,Setup!$B$33:$B$40,0)),0)=1)*(COUNTIF(K108:M125,$B137)+COUNTIF(K108:M125,$B137&amp;" ~*")&gt;0)+(IFERROR(INDEX(Setup!$G$33:$G$40,MATCH(O137,Setup!$B$33:$B$40,0)),0)=1)*(COUNTIF(O108:Q125,$B137)+COUNTIF(O108:Q125,$B137&amp;" ~*")&gt;0)+(IFERROR(INDEX(Setup!$G$33:$G$40,MATCH(S137,Setup!$B$33:$B$40,0)),0)=1)*(COUNTIF(S108:U125,$B137)+COUNTIF(S108:U125,$B137&amp;" ~*")&gt;0)+(IFERROR(INDEX(Setup!$G$33:$G$40,MATCH(W137,Setup!$B$33:$B$40,0)),0)=1)*(COUNTIF(W108:W125,$B137)+COUNTIF(W108:W125,$B137&amp;" ~*")&gt;0)+(IFERROR(INDEX(Setup!$G$33:$G$40,MATCH(Y137,Setup!$B$33:$B$40,0)),0)=1)*(COUNTIF(Y108:Y125,$B137)+COUNTIF(Y108:Y125,$B137&amp;" ~*")&gt;0))</f>
        <v/>
      </c>
    </row>
    <row r="138" ht="15" customHeight="1">
      <c r="A138" t="n">
        <v>3</v>
      </c>
      <c r="B138" s="37">
        <f>IF(Setup!$B$17="","",Setup!$B$17)</f>
        <v/>
      </c>
      <c r="C138" s="102" t="n"/>
      <c r="D138" s="103" t="n"/>
      <c r="E138" s="103" t="n"/>
      <c r="F138" s="104" t="n"/>
      <c r="G138" s="102" t="n"/>
      <c r="H138" s="103" t="n"/>
      <c r="I138" s="103" t="n"/>
      <c r="J138" s="104" t="n"/>
      <c r="K138" s="102" t="n"/>
      <c r="L138" s="103" t="n"/>
      <c r="M138" s="103" t="n"/>
      <c r="N138" s="104" t="n"/>
      <c r="O138" s="102" t="n"/>
      <c r="P138" s="103" t="n"/>
      <c r="Q138" s="103" t="n"/>
      <c r="R138" s="104" t="n"/>
      <c r="S138" s="102" t="n"/>
      <c r="T138" s="103" t="n"/>
      <c r="U138" s="103" t="n"/>
      <c r="V138" s="104" t="n"/>
      <c r="W138" s="102" t="n"/>
      <c r="X138" s="104" t="n"/>
      <c r="Y138" s="102" t="n"/>
      <c r="Z138" s="104" t="n"/>
      <c r="AB138" s="105">
        <f>IF($B138="","",(COUNTIF(C108:E125,$B138)+COUNTIF(C108:E125,$B138&amp;" ~*")&gt;0)+(COUNTIF(G108:I125,$B138)+COUNTIF(G108:I125,$B138&amp;" ~*")&gt;0)+(COUNTIF(K108:M125,$B138)+COUNTIF(K108:M125,$B138&amp;" ~*")&gt;0)+(COUNTIF(O108:Q125,$B138)+COUNTIF(O108:Q125,$B138&amp;" ~*")&gt;0)+(COUNTIF(S108:U125,$B138)+COUNTIF(S108:U125,$B138&amp;" ~*")&gt;0)+(COUNTIF(W108:W125,$B138)+COUNTIF(W108:W125,$B138&amp;" ~*")&gt;0)+(COUNTIF(Y108:Y125,$B138)+COUNTIF(Y108:Y125,$B138&amp;" ~*")&gt;0))</f>
        <v/>
      </c>
      <c r="AC138" s="38">
        <f>IF($B138="","",(IFERROR(INDEX(Setup!$G$33:$G$40,MATCH(C138,Setup!$B$33:$B$40,0)),0)=1)*(COUNTIF(C108:E125,$B138)+COUNTIF(C108:E125,$B138&amp;" ~*")&gt;0)+(IFERROR(INDEX(Setup!$G$33:$G$40,MATCH(G138,Setup!$B$33:$B$40,0)),0)=1)*(COUNTIF(G108:I125,$B138)+COUNTIF(G108:I125,$B138&amp;" ~*")&gt;0)+(IFERROR(INDEX(Setup!$G$33:$G$40,MATCH(K138,Setup!$B$33:$B$40,0)),0)=1)*(COUNTIF(K108:M125,$B138)+COUNTIF(K108:M125,$B138&amp;" ~*")&gt;0)+(IFERROR(INDEX(Setup!$G$33:$G$40,MATCH(O138,Setup!$B$33:$B$40,0)),0)=1)*(COUNTIF(O108:Q125,$B138)+COUNTIF(O108:Q125,$B138&amp;" ~*")&gt;0)+(IFERROR(INDEX(Setup!$G$33:$G$40,MATCH(S138,Setup!$B$33:$B$40,0)),0)=1)*(COUNTIF(S108:U125,$B138)+COUNTIF(S108:U125,$B138&amp;" ~*")&gt;0)+(IFERROR(INDEX(Setup!$G$33:$G$40,MATCH(W138,Setup!$B$33:$B$40,0)),0)=1)*(COUNTIF(W108:W125,$B138)+COUNTIF(W108:W125,$B138&amp;" ~*")&gt;0)+(IFERROR(INDEX(Setup!$G$33:$G$40,MATCH(Y138,Setup!$B$33:$B$40,0)),0)=1)*(COUNTIF(Y108:Y125,$B138)+COUNTIF(Y108:Y125,$B138&amp;" ~*")&gt;0))</f>
        <v/>
      </c>
    </row>
    <row r="139" ht="15" customHeight="1">
      <c r="A139" t="n">
        <v>3</v>
      </c>
      <c r="B139" s="35">
        <f>IF(Setup!$B$18="","",Setup!$B$18)</f>
        <v/>
      </c>
      <c r="C139" s="98" t="n"/>
      <c r="D139" s="99" t="n"/>
      <c r="E139" s="99" t="n"/>
      <c r="F139" s="100" t="n"/>
      <c r="G139" s="98" t="n"/>
      <c r="H139" s="99" t="n"/>
      <c r="I139" s="99" t="n"/>
      <c r="J139" s="100" t="n"/>
      <c r="K139" s="98" t="n"/>
      <c r="L139" s="99" t="n"/>
      <c r="M139" s="99" t="n"/>
      <c r="N139" s="100" t="n"/>
      <c r="O139" s="98" t="n"/>
      <c r="P139" s="99" t="n"/>
      <c r="Q139" s="99" t="n"/>
      <c r="R139" s="100" t="n"/>
      <c r="S139" s="98" t="n"/>
      <c r="T139" s="99" t="n"/>
      <c r="U139" s="99" t="n"/>
      <c r="V139" s="100" t="n"/>
      <c r="W139" s="98" t="n"/>
      <c r="X139" s="100" t="n"/>
      <c r="Y139" s="98" t="n"/>
      <c r="Z139" s="100" t="n"/>
      <c r="AB139" s="101">
        <f>IF($B139="","",(COUNTIF(C108:E125,$B139)+COUNTIF(C108:E125,$B139&amp;" ~*")&gt;0)+(COUNTIF(G108:I125,$B139)+COUNTIF(G108:I125,$B139&amp;" ~*")&gt;0)+(COUNTIF(K108:M125,$B139)+COUNTIF(K108:M125,$B139&amp;" ~*")&gt;0)+(COUNTIF(O108:Q125,$B139)+COUNTIF(O108:Q125,$B139&amp;" ~*")&gt;0)+(COUNTIF(S108:U125,$B139)+COUNTIF(S108:U125,$B139&amp;" ~*")&gt;0)+(COUNTIF(W108:W125,$B139)+COUNTIF(W108:W125,$B139&amp;" ~*")&gt;0)+(COUNTIF(Y108:Y125,$B139)+COUNTIF(Y108:Y125,$B139&amp;" ~*")&gt;0))</f>
        <v/>
      </c>
      <c r="AC139" s="36">
        <f>IF($B139="","",(IFERROR(INDEX(Setup!$G$33:$G$40,MATCH(C139,Setup!$B$33:$B$40,0)),0)=1)*(COUNTIF(C108:E125,$B139)+COUNTIF(C108:E125,$B139&amp;" ~*")&gt;0)+(IFERROR(INDEX(Setup!$G$33:$G$40,MATCH(G139,Setup!$B$33:$B$40,0)),0)=1)*(COUNTIF(G108:I125,$B139)+COUNTIF(G108:I125,$B139&amp;" ~*")&gt;0)+(IFERROR(INDEX(Setup!$G$33:$G$40,MATCH(K139,Setup!$B$33:$B$40,0)),0)=1)*(COUNTIF(K108:M125,$B139)+COUNTIF(K108:M125,$B139&amp;" ~*")&gt;0)+(IFERROR(INDEX(Setup!$G$33:$G$40,MATCH(O139,Setup!$B$33:$B$40,0)),0)=1)*(COUNTIF(O108:Q125,$B139)+COUNTIF(O108:Q125,$B139&amp;" ~*")&gt;0)+(IFERROR(INDEX(Setup!$G$33:$G$40,MATCH(S139,Setup!$B$33:$B$40,0)),0)=1)*(COUNTIF(S108:U125,$B139)+COUNTIF(S108:U125,$B139&amp;" ~*")&gt;0)+(IFERROR(INDEX(Setup!$G$33:$G$40,MATCH(W139,Setup!$B$33:$B$40,0)),0)=1)*(COUNTIF(W108:W125,$B139)+COUNTIF(W108:W125,$B139&amp;" ~*")&gt;0)+(IFERROR(INDEX(Setup!$G$33:$G$40,MATCH(Y139,Setup!$B$33:$B$40,0)),0)=1)*(COUNTIF(Y108:Y125,$B139)+COUNTIF(Y108:Y125,$B139&amp;" ~*")&gt;0))</f>
        <v/>
      </c>
    </row>
    <row r="140" ht="15" customHeight="1">
      <c r="A140" t="n">
        <v>3</v>
      </c>
      <c r="B140" s="37">
        <f>IF(Setup!$B$19="","",Setup!$B$19)</f>
        <v/>
      </c>
      <c r="C140" s="102" t="n"/>
      <c r="D140" s="103" t="n"/>
      <c r="E140" s="103" t="n"/>
      <c r="F140" s="104" t="n"/>
      <c r="G140" s="102" t="n"/>
      <c r="H140" s="103" t="n"/>
      <c r="I140" s="103" t="n"/>
      <c r="J140" s="104" t="n"/>
      <c r="K140" s="102" t="n"/>
      <c r="L140" s="103" t="n"/>
      <c r="M140" s="103" t="n"/>
      <c r="N140" s="104" t="n"/>
      <c r="O140" s="102" t="n"/>
      <c r="P140" s="103" t="n"/>
      <c r="Q140" s="103" t="n"/>
      <c r="R140" s="104" t="n"/>
      <c r="S140" s="102" t="n"/>
      <c r="T140" s="103" t="n"/>
      <c r="U140" s="103" t="n"/>
      <c r="V140" s="104" t="n"/>
      <c r="W140" s="102" t="n"/>
      <c r="X140" s="104" t="n"/>
      <c r="Y140" s="102" t="n"/>
      <c r="Z140" s="104" t="n"/>
      <c r="AB140" s="105">
        <f>IF($B140="","",(COUNTIF(C108:E125,$B140)+COUNTIF(C108:E125,$B140&amp;" ~*")&gt;0)+(COUNTIF(G108:I125,$B140)+COUNTIF(G108:I125,$B140&amp;" ~*")&gt;0)+(COUNTIF(K108:M125,$B140)+COUNTIF(K108:M125,$B140&amp;" ~*")&gt;0)+(COUNTIF(O108:Q125,$B140)+COUNTIF(O108:Q125,$B140&amp;" ~*")&gt;0)+(COUNTIF(S108:U125,$B140)+COUNTIF(S108:U125,$B140&amp;" ~*")&gt;0)+(COUNTIF(W108:W125,$B140)+COUNTIF(W108:W125,$B140&amp;" ~*")&gt;0)+(COUNTIF(Y108:Y125,$B140)+COUNTIF(Y108:Y125,$B140&amp;" ~*")&gt;0))</f>
        <v/>
      </c>
      <c r="AC140" s="38">
        <f>IF($B140="","",(IFERROR(INDEX(Setup!$G$33:$G$40,MATCH(C140,Setup!$B$33:$B$40,0)),0)=1)*(COUNTIF(C108:E125,$B140)+COUNTIF(C108:E125,$B140&amp;" ~*")&gt;0)+(IFERROR(INDEX(Setup!$G$33:$G$40,MATCH(G140,Setup!$B$33:$B$40,0)),0)=1)*(COUNTIF(G108:I125,$B140)+COUNTIF(G108:I125,$B140&amp;" ~*")&gt;0)+(IFERROR(INDEX(Setup!$G$33:$G$40,MATCH(K140,Setup!$B$33:$B$40,0)),0)=1)*(COUNTIF(K108:M125,$B140)+COUNTIF(K108:M125,$B140&amp;" ~*")&gt;0)+(IFERROR(INDEX(Setup!$G$33:$G$40,MATCH(O140,Setup!$B$33:$B$40,0)),0)=1)*(COUNTIF(O108:Q125,$B140)+COUNTIF(O108:Q125,$B140&amp;" ~*")&gt;0)+(IFERROR(INDEX(Setup!$G$33:$G$40,MATCH(S140,Setup!$B$33:$B$40,0)),0)=1)*(COUNTIF(S108:U125,$B140)+COUNTIF(S108:U125,$B140&amp;" ~*")&gt;0)+(IFERROR(INDEX(Setup!$G$33:$G$40,MATCH(W140,Setup!$B$33:$B$40,0)),0)=1)*(COUNTIF(W108:W125,$B140)+COUNTIF(W108:W125,$B140&amp;" ~*")&gt;0)+(IFERROR(INDEX(Setup!$G$33:$G$40,MATCH(Y140,Setup!$B$33:$B$40,0)),0)=1)*(COUNTIF(Y108:Y125,$B140)+COUNTIF(Y108:Y125,$B140&amp;" ~*")&gt;0))</f>
        <v/>
      </c>
    </row>
    <row r="141" ht="15" customHeight="1">
      <c r="A141" t="n">
        <v>3</v>
      </c>
      <c r="B141" s="35">
        <f>IF(Setup!$B$20="","",Setup!$B$20)</f>
        <v/>
      </c>
      <c r="C141" s="98" t="n"/>
      <c r="D141" s="99" t="n"/>
      <c r="E141" s="99" t="n"/>
      <c r="F141" s="100" t="n"/>
      <c r="G141" s="98" t="n"/>
      <c r="H141" s="99" t="n"/>
      <c r="I141" s="99" t="n"/>
      <c r="J141" s="100" t="n"/>
      <c r="K141" s="98" t="n"/>
      <c r="L141" s="99" t="n"/>
      <c r="M141" s="99" t="n"/>
      <c r="N141" s="100" t="n"/>
      <c r="O141" s="98" t="n"/>
      <c r="P141" s="99" t="n"/>
      <c r="Q141" s="99" t="n"/>
      <c r="R141" s="100" t="n"/>
      <c r="S141" s="98" t="n"/>
      <c r="T141" s="99" t="n"/>
      <c r="U141" s="99" t="n"/>
      <c r="V141" s="100" t="n"/>
      <c r="W141" s="98" t="n"/>
      <c r="X141" s="100" t="n"/>
      <c r="Y141" s="98" t="n"/>
      <c r="Z141" s="100" t="n"/>
      <c r="AB141" s="101">
        <f>IF($B141="","",(COUNTIF(C108:E125,$B141)+COUNTIF(C108:E125,$B141&amp;" ~*")&gt;0)+(COUNTIF(G108:I125,$B141)+COUNTIF(G108:I125,$B141&amp;" ~*")&gt;0)+(COUNTIF(K108:M125,$B141)+COUNTIF(K108:M125,$B141&amp;" ~*")&gt;0)+(COUNTIF(O108:Q125,$B141)+COUNTIF(O108:Q125,$B141&amp;" ~*")&gt;0)+(COUNTIF(S108:U125,$B141)+COUNTIF(S108:U125,$B141&amp;" ~*")&gt;0)+(COUNTIF(W108:W125,$B141)+COUNTIF(W108:W125,$B141&amp;" ~*")&gt;0)+(COUNTIF(Y108:Y125,$B141)+COUNTIF(Y108:Y125,$B141&amp;" ~*")&gt;0))</f>
        <v/>
      </c>
      <c r="AC141" s="36">
        <f>IF($B141="","",(IFERROR(INDEX(Setup!$G$33:$G$40,MATCH(C141,Setup!$B$33:$B$40,0)),0)=1)*(COUNTIF(C108:E125,$B141)+COUNTIF(C108:E125,$B141&amp;" ~*")&gt;0)+(IFERROR(INDEX(Setup!$G$33:$G$40,MATCH(G141,Setup!$B$33:$B$40,0)),0)=1)*(COUNTIF(G108:I125,$B141)+COUNTIF(G108:I125,$B141&amp;" ~*")&gt;0)+(IFERROR(INDEX(Setup!$G$33:$G$40,MATCH(K141,Setup!$B$33:$B$40,0)),0)=1)*(COUNTIF(K108:M125,$B141)+COUNTIF(K108:M125,$B141&amp;" ~*")&gt;0)+(IFERROR(INDEX(Setup!$G$33:$G$40,MATCH(O141,Setup!$B$33:$B$40,0)),0)=1)*(COUNTIF(O108:Q125,$B141)+COUNTIF(O108:Q125,$B141&amp;" ~*")&gt;0)+(IFERROR(INDEX(Setup!$G$33:$G$40,MATCH(S141,Setup!$B$33:$B$40,0)),0)=1)*(COUNTIF(S108:U125,$B141)+COUNTIF(S108:U125,$B141&amp;" ~*")&gt;0)+(IFERROR(INDEX(Setup!$G$33:$G$40,MATCH(W141,Setup!$B$33:$B$40,0)),0)=1)*(COUNTIF(W108:W125,$B141)+COUNTIF(W108:W125,$B141&amp;" ~*")&gt;0)+(IFERROR(INDEX(Setup!$G$33:$G$40,MATCH(Y141,Setup!$B$33:$B$40,0)),0)=1)*(COUNTIF(Y108:Y125,$B141)+COUNTIF(Y108:Y125,$B141&amp;" ~*")&gt;0))</f>
        <v/>
      </c>
    </row>
    <row r="142" ht="15" customHeight="1">
      <c r="A142" t="n">
        <v>3</v>
      </c>
      <c r="B142" s="37">
        <f>IF(Setup!$B$21="","",Setup!$B$21)</f>
        <v/>
      </c>
      <c r="C142" s="102" t="n"/>
      <c r="D142" s="103" t="n"/>
      <c r="E142" s="103" t="n"/>
      <c r="F142" s="104" t="n"/>
      <c r="G142" s="102" t="n"/>
      <c r="H142" s="103" t="n"/>
      <c r="I142" s="103" t="n"/>
      <c r="J142" s="104" t="n"/>
      <c r="K142" s="102" t="n"/>
      <c r="L142" s="103" t="n"/>
      <c r="M142" s="103" t="n"/>
      <c r="N142" s="104" t="n"/>
      <c r="O142" s="102" t="n"/>
      <c r="P142" s="103" t="n"/>
      <c r="Q142" s="103" t="n"/>
      <c r="R142" s="104" t="n"/>
      <c r="S142" s="102" t="n"/>
      <c r="T142" s="103" t="n"/>
      <c r="U142" s="103" t="n"/>
      <c r="V142" s="104" t="n"/>
      <c r="W142" s="102" t="n"/>
      <c r="X142" s="104" t="n"/>
      <c r="Y142" s="102" t="n"/>
      <c r="Z142" s="104" t="n"/>
      <c r="AB142" s="105">
        <f>IF($B142="","",(COUNTIF(C108:E125,$B142)+COUNTIF(C108:E125,$B142&amp;" ~*")&gt;0)+(COUNTIF(G108:I125,$B142)+COUNTIF(G108:I125,$B142&amp;" ~*")&gt;0)+(COUNTIF(K108:M125,$B142)+COUNTIF(K108:M125,$B142&amp;" ~*")&gt;0)+(COUNTIF(O108:Q125,$B142)+COUNTIF(O108:Q125,$B142&amp;" ~*")&gt;0)+(COUNTIF(S108:U125,$B142)+COUNTIF(S108:U125,$B142&amp;" ~*")&gt;0)+(COUNTIF(W108:W125,$B142)+COUNTIF(W108:W125,$B142&amp;" ~*")&gt;0)+(COUNTIF(Y108:Y125,$B142)+COUNTIF(Y108:Y125,$B142&amp;" ~*")&gt;0))</f>
        <v/>
      </c>
      <c r="AC142" s="38">
        <f>IF($B142="","",(IFERROR(INDEX(Setup!$G$33:$G$40,MATCH(C142,Setup!$B$33:$B$40,0)),0)=1)*(COUNTIF(C108:E125,$B142)+COUNTIF(C108:E125,$B142&amp;" ~*")&gt;0)+(IFERROR(INDEX(Setup!$G$33:$G$40,MATCH(G142,Setup!$B$33:$B$40,0)),0)=1)*(COUNTIF(G108:I125,$B142)+COUNTIF(G108:I125,$B142&amp;" ~*")&gt;0)+(IFERROR(INDEX(Setup!$G$33:$G$40,MATCH(K142,Setup!$B$33:$B$40,0)),0)=1)*(COUNTIF(K108:M125,$B142)+COUNTIF(K108:M125,$B142&amp;" ~*")&gt;0)+(IFERROR(INDEX(Setup!$G$33:$G$40,MATCH(O142,Setup!$B$33:$B$40,0)),0)=1)*(COUNTIF(O108:Q125,$B142)+COUNTIF(O108:Q125,$B142&amp;" ~*")&gt;0)+(IFERROR(INDEX(Setup!$G$33:$G$40,MATCH(S142,Setup!$B$33:$B$40,0)),0)=1)*(COUNTIF(S108:U125,$B142)+COUNTIF(S108:U125,$B142&amp;" ~*")&gt;0)+(IFERROR(INDEX(Setup!$G$33:$G$40,MATCH(W142,Setup!$B$33:$B$40,0)),0)=1)*(COUNTIF(W108:W125,$B142)+COUNTIF(W108:W125,$B142&amp;" ~*")&gt;0)+(IFERROR(INDEX(Setup!$G$33:$G$40,MATCH(Y142,Setup!$B$33:$B$40,0)),0)=1)*(COUNTIF(Y108:Y125,$B142)+COUNTIF(Y108:Y125,$B142&amp;" ~*")&gt;0))</f>
        <v/>
      </c>
    </row>
    <row r="143" ht="15" customHeight="1">
      <c r="A143" t="n">
        <v>3</v>
      </c>
      <c r="B143" s="35">
        <f>IF(Setup!$B$22="","",Setup!$B$22)</f>
        <v/>
      </c>
      <c r="C143" s="98" t="n"/>
      <c r="D143" s="99" t="n"/>
      <c r="E143" s="99" t="n"/>
      <c r="F143" s="100" t="n"/>
      <c r="G143" s="98" t="n"/>
      <c r="H143" s="99" t="n"/>
      <c r="I143" s="99" t="n"/>
      <c r="J143" s="100" t="n"/>
      <c r="K143" s="98" t="n"/>
      <c r="L143" s="99" t="n"/>
      <c r="M143" s="99" t="n"/>
      <c r="N143" s="100" t="n"/>
      <c r="O143" s="98" t="n"/>
      <c r="P143" s="99" t="n"/>
      <c r="Q143" s="99" t="n"/>
      <c r="R143" s="100" t="n"/>
      <c r="S143" s="98" t="n"/>
      <c r="T143" s="99" t="n"/>
      <c r="U143" s="99" t="n"/>
      <c r="V143" s="100" t="n"/>
      <c r="W143" s="98" t="n"/>
      <c r="X143" s="100" t="n"/>
      <c r="Y143" s="98" t="n"/>
      <c r="Z143" s="100" t="n"/>
      <c r="AB143" s="101">
        <f>IF($B143="","",(COUNTIF(C108:E125,$B143)+COUNTIF(C108:E125,$B143&amp;" ~*")&gt;0)+(COUNTIF(G108:I125,$B143)+COUNTIF(G108:I125,$B143&amp;" ~*")&gt;0)+(COUNTIF(K108:M125,$B143)+COUNTIF(K108:M125,$B143&amp;" ~*")&gt;0)+(COUNTIF(O108:Q125,$B143)+COUNTIF(O108:Q125,$B143&amp;" ~*")&gt;0)+(COUNTIF(S108:U125,$B143)+COUNTIF(S108:U125,$B143&amp;" ~*")&gt;0)+(COUNTIF(W108:W125,$B143)+COUNTIF(W108:W125,$B143&amp;" ~*")&gt;0)+(COUNTIF(Y108:Y125,$B143)+COUNTIF(Y108:Y125,$B143&amp;" ~*")&gt;0))</f>
        <v/>
      </c>
      <c r="AC143" s="36">
        <f>IF($B143="","",(IFERROR(INDEX(Setup!$G$33:$G$40,MATCH(C143,Setup!$B$33:$B$40,0)),0)=1)*(COUNTIF(C108:E125,$B143)+COUNTIF(C108:E125,$B143&amp;" ~*")&gt;0)+(IFERROR(INDEX(Setup!$G$33:$G$40,MATCH(G143,Setup!$B$33:$B$40,0)),0)=1)*(COUNTIF(G108:I125,$B143)+COUNTIF(G108:I125,$B143&amp;" ~*")&gt;0)+(IFERROR(INDEX(Setup!$G$33:$G$40,MATCH(K143,Setup!$B$33:$B$40,0)),0)=1)*(COUNTIF(K108:M125,$B143)+COUNTIF(K108:M125,$B143&amp;" ~*")&gt;0)+(IFERROR(INDEX(Setup!$G$33:$G$40,MATCH(O143,Setup!$B$33:$B$40,0)),0)=1)*(COUNTIF(O108:Q125,$B143)+COUNTIF(O108:Q125,$B143&amp;" ~*")&gt;0)+(IFERROR(INDEX(Setup!$G$33:$G$40,MATCH(S143,Setup!$B$33:$B$40,0)),0)=1)*(COUNTIF(S108:U125,$B143)+COUNTIF(S108:U125,$B143&amp;" ~*")&gt;0)+(IFERROR(INDEX(Setup!$G$33:$G$40,MATCH(W143,Setup!$B$33:$B$40,0)),0)=1)*(COUNTIF(W108:W125,$B143)+COUNTIF(W108:W125,$B143&amp;" ~*")&gt;0)+(IFERROR(INDEX(Setup!$G$33:$G$40,MATCH(Y143,Setup!$B$33:$B$40,0)),0)=1)*(COUNTIF(Y108:Y125,$B143)+COUNTIF(Y108:Y125,$B143&amp;" ~*")&gt;0))</f>
        <v/>
      </c>
    </row>
    <row r="144" ht="15" customHeight="1">
      <c r="A144" t="n">
        <v>3</v>
      </c>
      <c r="B144" s="37">
        <f>IF(Setup!$B$23="","",Setup!$B$23)</f>
        <v/>
      </c>
      <c r="C144" s="102" t="n"/>
      <c r="D144" s="103" t="n"/>
      <c r="E144" s="103" t="n"/>
      <c r="F144" s="104" t="n"/>
      <c r="G144" s="102" t="n"/>
      <c r="H144" s="103" t="n"/>
      <c r="I144" s="103" t="n"/>
      <c r="J144" s="104" t="n"/>
      <c r="K144" s="102" t="n"/>
      <c r="L144" s="103" t="n"/>
      <c r="M144" s="103" t="n"/>
      <c r="N144" s="104" t="n"/>
      <c r="O144" s="102" t="n"/>
      <c r="P144" s="103" t="n"/>
      <c r="Q144" s="103" t="n"/>
      <c r="R144" s="104" t="n"/>
      <c r="S144" s="102" t="n"/>
      <c r="T144" s="103" t="n"/>
      <c r="U144" s="103" t="n"/>
      <c r="V144" s="104" t="n"/>
      <c r="W144" s="102" t="n"/>
      <c r="X144" s="104" t="n"/>
      <c r="Y144" s="102" t="n"/>
      <c r="Z144" s="104" t="n"/>
      <c r="AB144" s="105">
        <f>IF($B144="","",(COUNTIF(C108:E125,$B144)+COUNTIF(C108:E125,$B144&amp;" ~*")&gt;0)+(COUNTIF(G108:I125,$B144)+COUNTIF(G108:I125,$B144&amp;" ~*")&gt;0)+(COUNTIF(K108:M125,$B144)+COUNTIF(K108:M125,$B144&amp;" ~*")&gt;0)+(COUNTIF(O108:Q125,$B144)+COUNTIF(O108:Q125,$B144&amp;" ~*")&gt;0)+(COUNTIF(S108:U125,$B144)+COUNTIF(S108:U125,$B144&amp;" ~*")&gt;0)+(COUNTIF(W108:W125,$B144)+COUNTIF(W108:W125,$B144&amp;" ~*")&gt;0)+(COUNTIF(Y108:Y125,$B144)+COUNTIF(Y108:Y125,$B144&amp;" ~*")&gt;0))</f>
        <v/>
      </c>
      <c r="AC144" s="38">
        <f>IF($B144="","",(IFERROR(INDEX(Setup!$G$33:$G$40,MATCH(C144,Setup!$B$33:$B$40,0)),0)=1)*(COUNTIF(C108:E125,$B144)+COUNTIF(C108:E125,$B144&amp;" ~*")&gt;0)+(IFERROR(INDEX(Setup!$G$33:$G$40,MATCH(G144,Setup!$B$33:$B$40,0)),0)=1)*(COUNTIF(G108:I125,$B144)+COUNTIF(G108:I125,$B144&amp;" ~*")&gt;0)+(IFERROR(INDEX(Setup!$G$33:$G$40,MATCH(K144,Setup!$B$33:$B$40,0)),0)=1)*(COUNTIF(K108:M125,$B144)+COUNTIF(K108:M125,$B144&amp;" ~*")&gt;0)+(IFERROR(INDEX(Setup!$G$33:$G$40,MATCH(O144,Setup!$B$33:$B$40,0)),0)=1)*(COUNTIF(O108:Q125,$B144)+COUNTIF(O108:Q125,$B144&amp;" ~*")&gt;0)+(IFERROR(INDEX(Setup!$G$33:$G$40,MATCH(S144,Setup!$B$33:$B$40,0)),0)=1)*(COUNTIF(S108:U125,$B144)+COUNTIF(S108:U125,$B144&amp;" ~*")&gt;0)+(IFERROR(INDEX(Setup!$G$33:$G$40,MATCH(W144,Setup!$B$33:$B$40,0)),0)=1)*(COUNTIF(W108:W125,$B144)+COUNTIF(W108:W125,$B144&amp;" ~*")&gt;0)+(IFERROR(INDEX(Setup!$G$33:$G$40,MATCH(Y144,Setup!$B$33:$B$40,0)),0)=1)*(COUNTIF(Y108:Y125,$B144)+COUNTIF(Y108:Y125,$B144&amp;" ~*")&gt;0))</f>
        <v/>
      </c>
    </row>
    <row r="145" ht="15" customHeight="1">
      <c r="A145" t="n">
        <v>3</v>
      </c>
      <c r="B145" s="35">
        <f>IF(Setup!$B$24="","",Setup!$B$24)</f>
        <v/>
      </c>
      <c r="C145" s="98" t="n"/>
      <c r="D145" s="99" t="n"/>
      <c r="E145" s="99" t="n"/>
      <c r="F145" s="100" t="n"/>
      <c r="G145" s="98" t="n"/>
      <c r="H145" s="99" t="n"/>
      <c r="I145" s="99" t="n"/>
      <c r="J145" s="100" t="n"/>
      <c r="K145" s="98" t="n"/>
      <c r="L145" s="99" t="n"/>
      <c r="M145" s="99" t="n"/>
      <c r="N145" s="100" t="n"/>
      <c r="O145" s="98" t="n"/>
      <c r="P145" s="99" t="n"/>
      <c r="Q145" s="99" t="n"/>
      <c r="R145" s="100" t="n"/>
      <c r="S145" s="98" t="n"/>
      <c r="T145" s="99" t="n"/>
      <c r="U145" s="99" t="n"/>
      <c r="V145" s="100" t="n"/>
      <c r="W145" s="98" t="n"/>
      <c r="X145" s="100" t="n"/>
      <c r="Y145" s="98" t="n"/>
      <c r="Z145" s="100" t="n"/>
      <c r="AB145" s="101">
        <f>IF($B145="","",(COUNTIF(C108:E125,$B145)+COUNTIF(C108:E125,$B145&amp;" ~*")&gt;0)+(COUNTIF(G108:I125,$B145)+COUNTIF(G108:I125,$B145&amp;" ~*")&gt;0)+(COUNTIF(K108:M125,$B145)+COUNTIF(K108:M125,$B145&amp;" ~*")&gt;0)+(COUNTIF(O108:Q125,$B145)+COUNTIF(O108:Q125,$B145&amp;" ~*")&gt;0)+(COUNTIF(S108:U125,$B145)+COUNTIF(S108:U125,$B145&amp;" ~*")&gt;0)+(COUNTIF(W108:W125,$B145)+COUNTIF(W108:W125,$B145&amp;" ~*")&gt;0)+(COUNTIF(Y108:Y125,$B145)+COUNTIF(Y108:Y125,$B145&amp;" ~*")&gt;0))</f>
        <v/>
      </c>
      <c r="AC145" s="36">
        <f>IF($B145="","",(IFERROR(INDEX(Setup!$G$33:$G$40,MATCH(C145,Setup!$B$33:$B$40,0)),0)=1)*(COUNTIF(C108:E125,$B145)+COUNTIF(C108:E125,$B145&amp;" ~*")&gt;0)+(IFERROR(INDEX(Setup!$G$33:$G$40,MATCH(G145,Setup!$B$33:$B$40,0)),0)=1)*(COUNTIF(G108:I125,$B145)+COUNTIF(G108:I125,$B145&amp;" ~*")&gt;0)+(IFERROR(INDEX(Setup!$G$33:$G$40,MATCH(K145,Setup!$B$33:$B$40,0)),0)=1)*(COUNTIF(K108:M125,$B145)+COUNTIF(K108:M125,$B145&amp;" ~*")&gt;0)+(IFERROR(INDEX(Setup!$G$33:$G$40,MATCH(O145,Setup!$B$33:$B$40,0)),0)=1)*(COUNTIF(O108:Q125,$B145)+COUNTIF(O108:Q125,$B145&amp;" ~*")&gt;0)+(IFERROR(INDEX(Setup!$G$33:$G$40,MATCH(S145,Setup!$B$33:$B$40,0)),0)=1)*(COUNTIF(S108:U125,$B145)+COUNTIF(S108:U125,$B145&amp;" ~*")&gt;0)+(IFERROR(INDEX(Setup!$G$33:$G$40,MATCH(W145,Setup!$B$33:$B$40,0)),0)=1)*(COUNTIF(W108:W125,$B145)+COUNTIF(W108:W125,$B145&amp;" ~*")&gt;0)+(IFERROR(INDEX(Setup!$G$33:$G$40,MATCH(Y145,Setup!$B$33:$B$40,0)),0)=1)*(COUNTIF(Y108:Y125,$B145)+COUNTIF(Y108:Y125,$B145&amp;" ~*")&gt;0))</f>
        <v/>
      </c>
    </row>
    <row r="146" ht="15" customHeight="1">
      <c r="A146" t="n">
        <v>3</v>
      </c>
      <c r="B146" s="37">
        <f>IF(Setup!$B$25="","",Setup!$B$25)</f>
        <v/>
      </c>
      <c r="C146" s="102" t="n"/>
      <c r="D146" s="103" t="n"/>
      <c r="E146" s="103" t="n"/>
      <c r="F146" s="104" t="n"/>
      <c r="G146" s="102" t="n"/>
      <c r="H146" s="103" t="n"/>
      <c r="I146" s="103" t="n"/>
      <c r="J146" s="104" t="n"/>
      <c r="K146" s="102" t="n"/>
      <c r="L146" s="103" t="n"/>
      <c r="M146" s="103" t="n"/>
      <c r="N146" s="104" t="n"/>
      <c r="O146" s="102" t="n"/>
      <c r="P146" s="103" t="n"/>
      <c r="Q146" s="103" t="n"/>
      <c r="R146" s="104" t="n"/>
      <c r="S146" s="102" t="n"/>
      <c r="T146" s="103" t="n"/>
      <c r="U146" s="103" t="n"/>
      <c r="V146" s="104" t="n"/>
      <c r="W146" s="102" t="n"/>
      <c r="X146" s="104" t="n"/>
      <c r="Y146" s="102" t="n"/>
      <c r="Z146" s="104" t="n"/>
      <c r="AB146" s="105">
        <f>IF($B146="","",(COUNTIF(C108:E125,$B146)+COUNTIF(C108:E125,$B146&amp;" ~*")&gt;0)+(COUNTIF(G108:I125,$B146)+COUNTIF(G108:I125,$B146&amp;" ~*")&gt;0)+(COUNTIF(K108:M125,$B146)+COUNTIF(K108:M125,$B146&amp;" ~*")&gt;0)+(COUNTIF(O108:Q125,$B146)+COUNTIF(O108:Q125,$B146&amp;" ~*")&gt;0)+(COUNTIF(S108:U125,$B146)+COUNTIF(S108:U125,$B146&amp;" ~*")&gt;0)+(COUNTIF(W108:W125,$B146)+COUNTIF(W108:W125,$B146&amp;" ~*")&gt;0)+(COUNTIF(Y108:Y125,$B146)+COUNTIF(Y108:Y125,$B146&amp;" ~*")&gt;0))</f>
        <v/>
      </c>
      <c r="AC146" s="38">
        <f>IF($B146="","",(IFERROR(INDEX(Setup!$G$33:$G$40,MATCH(C146,Setup!$B$33:$B$40,0)),0)=1)*(COUNTIF(C108:E125,$B146)+COUNTIF(C108:E125,$B146&amp;" ~*")&gt;0)+(IFERROR(INDEX(Setup!$G$33:$G$40,MATCH(G146,Setup!$B$33:$B$40,0)),0)=1)*(COUNTIF(G108:I125,$B146)+COUNTIF(G108:I125,$B146&amp;" ~*")&gt;0)+(IFERROR(INDEX(Setup!$G$33:$G$40,MATCH(K146,Setup!$B$33:$B$40,0)),0)=1)*(COUNTIF(K108:M125,$B146)+COUNTIF(K108:M125,$B146&amp;" ~*")&gt;0)+(IFERROR(INDEX(Setup!$G$33:$G$40,MATCH(O146,Setup!$B$33:$B$40,0)),0)=1)*(COUNTIF(O108:Q125,$B146)+COUNTIF(O108:Q125,$B146&amp;" ~*")&gt;0)+(IFERROR(INDEX(Setup!$G$33:$G$40,MATCH(S146,Setup!$B$33:$B$40,0)),0)=1)*(COUNTIF(S108:U125,$B146)+COUNTIF(S108:U125,$B146&amp;" ~*")&gt;0)+(IFERROR(INDEX(Setup!$G$33:$G$40,MATCH(W146,Setup!$B$33:$B$40,0)),0)=1)*(COUNTIF(W108:W125,$B146)+COUNTIF(W108:W125,$B146&amp;" ~*")&gt;0)+(IFERROR(INDEX(Setup!$G$33:$G$40,MATCH(Y146,Setup!$B$33:$B$40,0)),0)=1)*(COUNTIF(Y108:Y125,$B146)+COUNTIF(Y108:Y125,$B146&amp;" ~*")&gt;0))</f>
        <v/>
      </c>
    </row>
    <row r="147" ht="15" customHeight="1">
      <c r="A147" t="n">
        <v>3</v>
      </c>
      <c r="B147" s="35">
        <f>IF(Setup!$B$26="","",Setup!$B$26)</f>
        <v/>
      </c>
      <c r="C147" s="98" t="n"/>
      <c r="D147" s="99" t="n"/>
      <c r="E147" s="99" t="n"/>
      <c r="F147" s="100" t="n"/>
      <c r="G147" s="98" t="n"/>
      <c r="H147" s="99" t="n"/>
      <c r="I147" s="99" t="n"/>
      <c r="J147" s="100" t="n"/>
      <c r="K147" s="98" t="n"/>
      <c r="L147" s="99" t="n"/>
      <c r="M147" s="99" t="n"/>
      <c r="N147" s="100" t="n"/>
      <c r="O147" s="98" t="n"/>
      <c r="P147" s="99" t="n"/>
      <c r="Q147" s="99" t="n"/>
      <c r="R147" s="100" t="n"/>
      <c r="S147" s="98" t="n"/>
      <c r="T147" s="99" t="n"/>
      <c r="U147" s="99" t="n"/>
      <c r="V147" s="100" t="n"/>
      <c r="W147" s="98" t="n"/>
      <c r="X147" s="100" t="n"/>
      <c r="Y147" s="98" t="n"/>
      <c r="Z147" s="100" t="n"/>
      <c r="AB147" s="101">
        <f>IF($B147="","",(COUNTIF(C108:E125,$B147)+COUNTIF(C108:E125,$B147&amp;" ~*")&gt;0)+(COUNTIF(G108:I125,$B147)+COUNTIF(G108:I125,$B147&amp;" ~*")&gt;0)+(COUNTIF(K108:M125,$B147)+COUNTIF(K108:M125,$B147&amp;" ~*")&gt;0)+(COUNTIF(O108:Q125,$B147)+COUNTIF(O108:Q125,$B147&amp;" ~*")&gt;0)+(COUNTIF(S108:U125,$B147)+COUNTIF(S108:U125,$B147&amp;" ~*")&gt;0)+(COUNTIF(W108:W125,$B147)+COUNTIF(W108:W125,$B147&amp;" ~*")&gt;0)+(COUNTIF(Y108:Y125,$B147)+COUNTIF(Y108:Y125,$B147&amp;" ~*")&gt;0))</f>
        <v/>
      </c>
      <c r="AC147" s="36">
        <f>IF($B147="","",(IFERROR(INDEX(Setup!$G$33:$G$40,MATCH(C147,Setup!$B$33:$B$40,0)),0)=1)*(COUNTIF(C108:E125,$B147)+COUNTIF(C108:E125,$B147&amp;" ~*")&gt;0)+(IFERROR(INDEX(Setup!$G$33:$G$40,MATCH(G147,Setup!$B$33:$B$40,0)),0)=1)*(COUNTIF(G108:I125,$B147)+COUNTIF(G108:I125,$B147&amp;" ~*")&gt;0)+(IFERROR(INDEX(Setup!$G$33:$G$40,MATCH(K147,Setup!$B$33:$B$40,0)),0)=1)*(COUNTIF(K108:M125,$B147)+COUNTIF(K108:M125,$B147&amp;" ~*")&gt;0)+(IFERROR(INDEX(Setup!$G$33:$G$40,MATCH(O147,Setup!$B$33:$B$40,0)),0)=1)*(COUNTIF(O108:Q125,$B147)+COUNTIF(O108:Q125,$B147&amp;" ~*")&gt;0)+(IFERROR(INDEX(Setup!$G$33:$G$40,MATCH(S147,Setup!$B$33:$B$40,0)),0)=1)*(COUNTIF(S108:U125,$B147)+COUNTIF(S108:U125,$B147&amp;" ~*")&gt;0)+(IFERROR(INDEX(Setup!$G$33:$G$40,MATCH(W147,Setup!$B$33:$B$40,0)),0)=1)*(COUNTIF(W108:W125,$B147)+COUNTIF(W108:W125,$B147&amp;" ~*")&gt;0)+(IFERROR(INDEX(Setup!$G$33:$G$40,MATCH(Y147,Setup!$B$33:$B$40,0)),0)=1)*(COUNTIF(Y108:Y125,$B147)+COUNTIF(Y108:Y125,$B147&amp;" ~*")&gt;0))</f>
        <v/>
      </c>
    </row>
    <row r="148" ht="15" customHeight="1">
      <c r="A148" t="n">
        <v>3</v>
      </c>
      <c r="B148" s="37">
        <f>IF(Setup!$B$27="","",Setup!$B$27)</f>
        <v/>
      </c>
      <c r="C148" s="102" t="n"/>
      <c r="D148" s="103" t="n"/>
      <c r="E148" s="103" t="n"/>
      <c r="F148" s="104" t="n"/>
      <c r="G148" s="102" t="n"/>
      <c r="H148" s="103" t="n"/>
      <c r="I148" s="103" t="n"/>
      <c r="J148" s="104" t="n"/>
      <c r="K148" s="102" t="n"/>
      <c r="L148" s="103" t="n"/>
      <c r="M148" s="103" t="n"/>
      <c r="N148" s="104" t="n"/>
      <c r="O148" s="102" t="n"/>
      <c r="P148" s="103" t="n"/>
      <c r="Q148" s="103" t="n"/>
      <c r="R148" s="104" t="n"/>
      <c r="S148" s="102" t="n"/>
      <c r="T148" s="103" t="n"/>
      <c r="U148" s="103" t="n"/>
      <c r="V148" s="104" t="n"/>
      <c r="W148" s="102" t="n"/>
      <c r="X148" s="104" t="n"/>
      <c r="Y148" s="102" t="n"/>
      <c r="Z148" s="104" t="n"/>
      <c r="AB148" s="105">
        <f>IF($B148="","",(COUNTIF(C108:E125,$B148)+COUNTIF(C108:E125,$B148&amp;" ~*")&gt;0)+(COUNTIF(G108:I125,$B148)+COUNTIF(G108:I125,$B148&amp;" ~*")&gt;0)+(COUNTIF(K108:M125,$B148)+COUNTIF(K108:M125,$B148&amp;" ~*")&gt;0)+(COUNTIF(O108:Q125,$B148)+COUNTIF(O108:Q125,$B148&amp;" ~*")&gt;0)+(COUNTIF(S108:U125,$B148)+COUNTIF(S108:U125,$B148&amp;" ~*")&gt;0)+(COUNTIF(W108:W125,$B148)+COUNTIF(W108:W125,$B148&amp;" ~*")&gt;0)+(COUNTIF(Y108:Y125,$B148)+COUNTIF(Y108:Y125,$B148&amp;" ~*")&gt;0))</f>
        <v/>
      </c>
      <c r="AC148" s="38">
        <f>IF($B148="","",(IFERROR(INDEX(Setup!$G$33:$G$40,MATCH(C148,Setup!$B$33:$B$40,0)),0)=1)*(COUNTIF(C108:E125,$B148)+COUNTIF(C108:E125,$B148&amp;" ~*")&gt;0)+(IFERROR(INDEX(Setup!$G$33:$G$40,MATCH(G148,Setup!$B$33:$B$40,0)),0)=1)*(COUNTIF(G108:I125,$B148)+COUNTIF(G108:I125,$B148&amp;" ~*")&gt;0)+(IFERROR(INDEX(Setup!$G$33:$G$40,MATCH(K148,Setup!$B$33:$B$40,0)),0)=1)*(COUNTIF(K108:M125,$B148)+COUNTIF(K108:M125,$B148&amp;" ~*")&gt;0)+(IFERROR(INDEX(Setup!$G$33:$G$40,MATCH(O148,Setup!$B$33:$B$40,0)),0)=1)*(COUNTIF(O108:Q125,$B148)+COUNTIF(O108:Q125,$B148&amp;" ~*")&gt;0)+(IFERROR(INDEX(Setup!$G$33:$G$40,MATCH(S148,Setup!$B$33:$B$40,0)),0)=1)*(COUNTIF(S108:U125,$B148)+COUNTIF(S108:U125,$B148&amp;" ~*")&gt;0)+(IFERROR(INDEX(Setup!$G$33:$G$40,MATCH(W148,Setup!$B$33:$B$40,0)),0)=1)*(COUNTIF(W108:W125,$B148)+COUNTIF(W108:W125,$B148&amp;" ~*")&gt;0)+(IFERROR(INDEX(Setup!$G$33:$G$40,MATCH(Y148,Setup!$B$33:$B$40,0)),0)=1)*(COUNTIF(Y108:Y125,$B148)+COUNTIF(Y108:Y125,$B148&amp;" ~*")&gt;0))</f>
        <v/>
      </c>
    </row>
    <row r="149" ht="15" customHeight="1">
      <c r="A149" t="n">
        <v>3</v>
      </c>
      <c r="B149" s="35">
        <f>IF(Setup!$B$28="","",Setup!$B$28)</f>
        <v/>
      </c>
      <c r="C149" s="98" t="n"/>
      <c r="D149" s="99" t="n"/>
      <c r="E149" s="99" t="n"/>
      <c r="F149" s="100" t="n"/>
      <c r="G149" s="98" t="n"/>
      <c r="H149" s="99" t="n"/>
      <c r="I149" s="99" t="n"/>
      <c r="J149" s="100" t="n"/>
      <c r="K149" s="98" t="n"/>
      <c r="L149" s="99" t="n"/>
      <c r="M149" s="99" t="n"/>
      <c r="N149" s="100" t="n"/>
      <c r="O149" s="98" t="n"/>
      <c r="P149" s="99" t="n"/>
      <c r="Q149" s="99" t="n"/>
      <c r="R149" s="100" t="n"/>
      <c r="S149" s="98" t="n"/>
      <c r="T149" s="99" t="n"/>
      <c r="U149" s="99" t="n"/>
      <c r="V149" s="100" t="n"/>
      <c r="W149" s="98" t="n"/>
      <c r="X149" s="100" t="n"/>
      <c r="Y149" s="98" t="n"/>
      <c r="Z149" s="100" t="n"/>
      <c r="AB149" s="101">
        <f>IF($B149="","",(COUNTIF(C108:E125,$B149)+COUNTIF(C108:E125,$B149&amp;" ~*")&gt;0)+(COUNTIF(G108:I125,$B149)+COUNTIF(G108:I125,$B149&amp;" ~*")&gt;0)+(COUNTIF(K108:M125,$B149)+COUNTIF(K108:M125,$B149&amp;" ~*")&gt;0)+(COUNTIF(O108:Q125,$B149)+COUNTIF(O108:Q125,$B149&amp;" ~*")&gt;0)+(COUNTIF(S108:U125,$B149)+COUNTIF(S108:U125,$B149&amp;" ~*")&gt;0)+(COUNTIF(W108:W125,$B149)+COUNTIF(W108:W125,$B149&amp;" ~*")&gt;0)+(COUNTIF(Y108:Y125,$B149)+COUNTIF(Y108:Y125,$B149&amp;" ~*")&gt;0))</f>
        <v/>
      </c>
      <c r="AC149" s="36">
        <f>IF($B149="","",(IFERROR(INDEX(Setup!$G$33:$G$40,MATCH(C149,Setup!$B$33:$B$40,0)),0)=1)*(COUNTIF(C108:E125,$B149)+COUNTIF(C108:E125,$B149&amp;" ~*")&gt;0)+(IFERROR(INDEX(Setup!$G$33:$G$40,MATCH(G149,Setup!$B$33:$B$40,0)),0)=1)*(COUNTIF(G108:I125,$B149)+COUNTIF(G108:I125,$B149&amp;" ~*")&gt;0)+(IFERROR(INDEX(Setup!$G$33:$G$40,MATCH(K149,Setup!$B$33:$B$40,0)),0)=1)*(COUNTIF(K108:M125,$B149)+COUNTIF(K108:M125,$B149&amp;" ~*")&gt;0)+(IFERROR(INDEX(Setup!$G$33:$G$40,MATCH(O149,Setup!$B$33:$B$40,0)),0)=1)*(COUNTIF(O108:Q125,$B149)+COUNTIF(O108:Q125,$B149&amp;" ~*")&gt;0)+(IFERROR(INDEX(Setup!$G$33:$G$40,MATCH(S149,Setup!$B$33:$B$40,0)),0)=1)*(COUNTIF(S108:U125,$B149)+COUNTIF(S108:U125,$B149&amp;" ~*")&gt;0)+(IFERROR(INDEX(Setup!$G$33:$G$40,MATCH(W149,Setup!$B$33:$B$40,0)),0)=1)*(COUNTIF(W108:W125,$B149)+COUNTIF(W108:W125,$B149&amp;" ~*")&gt;0)+(IFERROR(INDEX(Setup!$G$33:$G$40,MATCH(Y149,Setup!$B$33:$B$40,0)),0)=1)*(COUNTIF(Y108:Y125,$B149)+COUNTIF(Y108:Y125,$B149&amp;" ~*")&gt;0))</f>
        <v/>
      </c>
    </row>
    <row r="150" ht="15" customHeight="1">
      <c r="A150" t="n">
        <v>3</v>
      </c>
      <c r="B150" s="37">
        <f>IF(Setup!$B$29="","",Setup!$B$29)</f>
        <v/>
      </c>
      <c r="C150" s="102" t="n"/>
      <c r="D150" s="103" t="n"/>
      <c r="E150" s="103" t="n"/>
      <c r="F150" s="104" t="n"/>
      <c r="G150" s="102" t="n"/>
      <c r="H150" s="103" t="n"/>
      <c r="I150" s="103" t="n"/>
      <c r="J150" s="104" t="n"/>
      <c r="K150" s="102" t="n"/>
      <c r="L150" s="103" t="n"/>
      <c r="M150" s="103" t="n"/>
      <c r="N150" s="104" t="n"/>
      <c r="O150" s="102" t="n"/>
      <c r="P150" s="103" t="n"/>
      <c r="Q150" s="103" t="n"/>
      <c r="R150" s="104" t="n"/>
      <c r="S150" s="102" t="n"/>
      <c r="T150" s="103" t="n"/>
      <c r="U150" s="103" t="n"/>
      <c r="V150" s="104" t="n"/>
      <c r="W150" s="102" t="n"/>
      <c r="X150" s="104" t="n"/>
      <c r="Y150" s="102" t="n"/>
      <c r="Z150" s="104" t="n"/>
      <c r="AB150" s="105">
        <f>IF($B150="","",(COUNTIF(C108:E125,$B150)+COUNTIF(C108:E125,$B150&amp;" ~*")&gt;0)+(COUNTIF(G108:I125,$B150)+COUNTIF(G108:I125,$B150&amp;" ~*")&gt;0)+(COUNTIF(K108:M125,$B150)+COUNTIF(K108:M125,$B150&amp;" ~*")&gt;0)+(COUNTIF(O108:Q125,$B150)+COUNTIF(O108:Q125,$B150&amp;" ~*")&gt;0)+(COUNTIF(S108:U125,$B150)+COUNTIF(S108:U125,$B150&amp;" ~*")&gt;0)+(COUNTIF(W108:W125,$B150)+COUNTIF(W108:W125,$B150&amp;" ~*")&gt;0)+(COUNTIF(Y108:Y125,$B150)+COUNTIF(Y108:Y125,$B150&amp;" ~*")&gt;0))</f>
        <v/>
      </c>
      <c r="AC150" s="38">
        <f>IF($B150="","",(IFERROR(INDEX(Setup!$G$33:$G$40,MATCH(C150,Setup!$B$33:$B$40,0)),0)=1)*(COUNTIF(C108:E125,$B150)+COUNTIF(C108:E125,$B150&amp;" ~*")&gt;0)+(IFERROR(INDEX(Setup!$G$33:$G$40,MATCH(G150,Setup!$B$33:$B$40,0)),0)=1)*(COUNTIF(G108:I125,$B150)+COUNTIF(G108:I125,$B150&amp;" ~*")&gt;0)+(IFERROR(INDEX(Setup!$G$33:$G$40,MATCH(K150,Setup!$B$33:$B$40,0)),0)=1)*(COUNTIF(K108:M125,$B150)+COUNTIF(K108:M125,$B150&amp;" ~*")&gt;0)+(IFERROR(INDEX(Setup!$G$33:$G$40,MATCH(O150,Setup!$B$33:$B$40,0)),0)=1)*(COUNTIF(O108:Q125,$B150)+COUNTIF(O108:Q125,$B150&amp;" ~*")&gt;0)+(IFERROR(INDEX(Setup!$G$33:$G$40,MATCH(S150,Setup!$B$33:$B$40,0)),0)=1)*(COUNTIF(S108:U125,$B150)+COUNTIF(S108:U125,$B150&amp;" ~*")&gt;0)+(IFERROR(INDEX(Setup!$G$33:$G$40,MATCH(W150,Setup!$B$33:$B$40,0)),0)=1)*(COUNTIF(W108:W125,$B150)+COUNTIF(W108:W125,$B150&amp;" ~*")&gt;0)+(IFERROR(INDEX(Setup!$G$33:$G$40,MATCH(Y150,Setup!$B$33:$B$40,0)),0)=1)*(COUNTIF(Y108:Y125,$B150)+COUNTIF(Y108:Y125,$B150&amp;" ~*")&gt;0))</f>
        <v/>
      </c>
    </row>
    <row r="151" ht="16" customHeight="1">
      <c r="A151" t="n">
        <v>3</v>
      </c>
      <c r="B151" s="106" t="inlineStr">
        <is>
          <t>Available people</t>
        </is>
      </c>
      <c r="C151" s="107">
        <f>COUNTIFS(Setup!$E$6:$E$29,"Y",Setup!$B$6:$B$29,"?*")-SUMPRODUCT(COUNTIF(C127:C150,Setup!$F$33:$F$40))</f>
        <v/>
      </c>
      <c r="D151" s="107" t="n"/>
      <c r="E151" s="107" t="n"/>
      <c r="F151" s="107" t="n"/>
      <c r="G151" s="107">
        <f>COUNTIFS(Setup!$E$6:$E$29,"Y",Setup!$B$6:$B$29,"?*")-SUMPRODUCT(COUNTIF(G127:G150,Setup!$F$33:$F$40))</f>
        <v/>
      </c>
      <c r="H151" s="107" t="n"/>
      <c r="I151" s="107" t="n"/>
      <c r="J151" s="107" t="n"/>
      <c r="K151" s="107">
        <f>COUNTIFS(Setup!$E$6:$E$29,"Y",Setup!$B$6:$B$29,"?*")-SUMPRODUCT(COUNTIF(K127:K150,Setup!$F$33:$F$40))</f>
        <v/>
      </c>
      <c r="L151" s="107" t="n"/>
      <c r="M151" s="107" t="n"/>
      <c r="N151" s="107" t="n"/>
      <c r="O151" s="107">
        <f>COUNTIFS(Setup!$E$6:$E$29,"Y",Setup!$B$6:$B$29,"?*")-SUMPRODUCT(COUNTIF(O127:O150,Setup!$F$33:$F$40))</f>
        <v/>
      </c>
      <c r="P151" s="107" t="n"/>
      <c r="Q151" s="107" t="n"/>
      <c r="R151" s="107" t="n"/>
      <c r="S151" s="107">
        <f>COUNTIFS(Setup!$E$6:$E$29,"Y",Setup!$B$6:$B$29,"?*")-SUMPRODUCT(COUNTIF(S127:S150,Setup!$F$33:$F$40))</f>
        <v/>
      </c>
      <c r="T151" s="107" t="n"/>
      <c r="U151" s="107" t="n"/>
      <c r="V151" s="107" t="n"/>
      <c r="W151" s="107">
        <f>COUNTIFS(Setup!$E$6:$E$29,"Y",Setup!$B$6:$B$29,"?*")-SUMPRODUCT(COUNTIF(W127:W150,Setup!$F$33:$F$40))</f>
        <v/>
      </c>
      <c r="X151" s="107" t="n"/>
      <c r="Y151" s="107">
        <f>COUNTIFS(Setup!$E$6:$E$29,"Y",Setup!$B$6:$B$29,"?*")-SUMPRODUCT(COUNTIF(Y127:Y150,Setup!$F$33:$F$40))</f>
        <v/>
      </c>
      <c r="Z151" s="107" t="n"/>
      <c r="AB151" s="108">
        <f>SUM(AB127:AB150)</f>
        <v/>
      </c>
      <c r="AC151" s="109">
        <f>SUM(AC127:AC150)</f>
        <v/>
      </c>
    </row>
    <row r="152" ht="30" customHeight="1">
      <c r="A152" t="n">
        <v>3</v>
      </c>
      <c r="B152" s="110" t="inlineStr">
        <is>
          <t>Week notes</t>
        </is>
      </c>
      <c r="C152" s="111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112" t="n"/>
      <c r="R152" s="112" t="n"/>
      <c r="S152" s="112" t="n"/>
      <c r="T152" s="112" t="n"/>
      <c r="U152" s="112" t="n"/>
      <c r="V152" s="112" t="n"/>
      <c r="W152" s="112" t="n"/>
      <c r="X152" s="112" t="n"/>
      <c r="Y152" s="112" t="n"/>
      <c r="Z152" s="113" t="n"/>
    </row>
    <row r="153" ht="8" customHeight="1">
      <c r="A153" t="n">
        <v>3</v>
      </c>
    </row>
    <row r="154" ht="8" customHeight="1">
      <c r="A154" t="n">
        <v>3</v>
      </c>
    </row>
    <row r="155" ht="24" customHeight="1">
      <c r="A155" t="n">
        <v>4</v>
      </c>
      <c r="B155" s="73">
        <f>"WEEK 4     "&amp;TEXT(C156,"ddd d mmm")&amp;"  –  "&amp;TEXT(C156+6,"ddd d mmm yyyy")</f>
        <v/>
      </c>
      <c r="S155" s="74">
        <f>IF(TODAY()&lt;C156,"FUTURE",IF(TODAY()&gt;C156+6,"PAST","THIS WEEK"))</f>
        <v/>
      </c>
      <c r="W155" s="75">
        <f>IF(AND(Engine!$B$8=$AC$3,Engine!$B$9=$A155),"◀ ACTIVE WEEK","")</f>
        <v/>
      </c>
      <c r="AA155" s="76" t="n"/>
      <c r="AB155" s="77" t="inlineStr">
        <is>
          <t>◀ Prev</t>
        </is>
      </c>
      <c r="AC155" s="77" t="inlineStr">
        <is>
          <t>Next ▶</t>
        </is>
      </c>
    </row>
    <row r="156" ht="18" customHeight="1">
      <c r="A156" t="n">
        <v>4</v>
      </c>
      <c r="B156" s="78" t="inlineStr">
        <is>
          <t>DUTY</t>
        </is>
      </c>
      <c r="C156" s="79">
        <f>$AC$2+7*($A156-1)</f>
        <v/>
      </c>
      <c r="D156" s="80" t="n"/>
      <c r="E156" s="80" t="n"/>
      <c r="F156" s="81" t="n"/>
      <c r="G156" s="79">
        <f>C156+1</f>
        <v/>
      </c>
      <c r="H156" s="80" t="n"/>
      <c r="I156" s="80" t="n"/>
      <c r="J156" s="81" t="n"/>
      <c r="K156" s="79">
        <f>C156+2</f>
        <v/>
      </c>
      <c r="L156" s="80" t="n"/>
      <c r="M156" s="80" t="n"/>
      <c r="N156" s="81" t="n"/>
      <c r="O156" s="79">
        <f>C156+3</f>
        <v/>
      </c>
      <c r="P156" s="80" t="n"/>
      <c r="Q156" s="80" t="n"/>
      <c r="R156" s="81" t="n"/>
      <c r="S156" s="79">
        <f>C156+4</f>
        <v/>
      </c>
      <c r="T156" s="80" t="n"/>
      <c r="U156" s="80" t="n"/>
      <c r="V156" s="81" t="n"/>
      <c r="W156" s="82">
        <f>C156+5</f>
        <v/>
      </c>
      <c r="X156" s="83" t="n"/>
      <c r="Y156" s="82">
        <f>C156+6</f>
        <v/>
      </c>
      <c r="Z156" s="83" t="n"/>
      <c r="AB156" s="72" t="inlineStr">
        <is>
          <t>Gaps</t>
        </is>
      </c>
      <c r="AC156" s="72" t="inlineStr">
        <is>
          <t>Cover</t>
        </is>
      </c>
    </row>
    <row r="157" ht="14" customHeight="1">
      <c r="A157" t="n">
        <v>4</v>
      </c>
      <c r="B157" s="84" t="inlineStr">
        <is>
          <t>(from Setup)</t>
        </is>
      </c>
      <c r="C157" s="85" t="inlineStr">
        <is>
          <t>1</t>
        </is>
      </c>
      <c r="D157" s="85" t="inlineStr">
        <is>
          <t>2</t>
        </is>
      </c>
      <c r="E157" s="85" t="inlineStr">
        <is>
          <t>3</t>
        </is>
      </c>
      <c r="F157" s="85" t="inlineStr">
        <is>
          <t>Notes</t>
        </is>
      </c>
      <c r="G157" s="85" t="inlineStr">
        <is>
          <t>1</t>
        </is>
      </c>
      <c r="H157" s="85" t="inlineStr">
        <is>
          <t>2</t>
        </is>
      </c>
      <c r="I157" s="85" t="inlineStr">
        <is>
          <t>3</t>
        </is>
      </c>
      <c r="J157" s="85" t="inlineStr">
        <is>
          <t>Notes</t>
        </is>
      </c>
      <c r="K157" s="85" t="inlineStr">
        <is>
          <t>1</t>
        </is>
      </c>
      <c r="L157" s="85" t="inlineStr">
        <is>
          <t>2</t>
        </is>
      </c>
      <c r="M157" s="85" t="inlineStr">
        <is>
          <t>3</t>
        </is>
      </c>
      <c r="N157" s="85" t="inlineStr">
        <is>
          <t>Notes</t>
        </is>
      </c>
      <c r="O157" s="85" t="inlineStr">
        <is>
          <t>1</t>
        </is>
      </c>
      <c r="P157" s="85" t="inlineStr">
        <is>
          <t>2</t>
        </is>
      </c>
      <c r="Q157" s="85" t="inlineStr">
        <is>
          <t>3</t>
        </is>
      </c>
      <c r="R157" s="85" t="inlineStr">
        <is>
          <t>Notes</t>
        </is>
      </c>
      <c r="S157" s="85" t="inlineStr">
        <is>
          <t>1</t>
        </is>
      </c>
      <c r="T157" s="85" t="inlineStr">
        <is>
          <t>2</t>
        </is>
      </c>
      <c r="U157" s="85" t="inlineStr">
        <is>
          <t>3</t>
        </is>
      </c>
      <c r="V157" s="85" t="inlineStr">
        <is>
          <t>Notes</t>
        </is>
      </c>
      <c r="W157" s="85" t="inlineStr">
        <is>
          <t>Cover</t>
        </is>
      </c>
      <c r="X157" s="85" t="inlineStr">
        <is>
          <t>Notes</t>
        </is>
      </c>
      <c r="Y157" s="85" t="inlineStr">
        <is>
          <t>Cover</t>
        </is>
      </c>
      <c r="Z157" s="85" t="inlineStr">
        <is>
          <t>Notes</t>
        </is>
      </c>
      <c r="AB157" s="86" t="inlineStr">
        <is>
          <t>weekdays short</t>
        </is>
      </c>
      <c r="AC157" s="87" t="inlineStr"/>
    </row>
    <row r="158" ht="17" customHeight="1">
      <c r="A158" t="n">
        <v>4</v>
      </c>
      <c r="B158" s="24">
        <f>IF(Setup!$K$6="","",Setup!$K$6)</f>
        <v/>
      </c>
      <c r="C158" s="88" t="n"/>
      <c r="D158" s="88" t="n"/>
      <c r="E158" s="88" t="n"/>
      <c r="F158" s="89" t="n"/>
      <c r="G158" s="88" t="n"/>
      <c r="H158" s="88" t="n"/>
      <c r="I158" s="88" t="n"/>
      <c r="J158" s="89" t="n"/>
      <c r="K158" s="88" t="n"/>
      <c r="L158" s="88" t="n"/>
      <c r="M158" s="88" t="n"/>
      <c r="N158" s="89" t="n"/>
      <c r="O158" s="88" t="n"/>
      <c r="P158" s="88" t="n"/>
      <c r="Q158" s="88" t="n"/>
      <c r="R158" s="89" t="n"/>
      <c r="S158" s="88" t="n"/>
      <c r="T158" s="88" t="n"/>
      <c r="U158" s="88" t="n"/>
      <c r="V158" s="89" t="n"/>
      <c r="W158" s="88" t="n"/>
      <c r="X158" s="89" t="n"/>
      <c r="Y158" s="88" t="n"/>
      <c r="Z158" s="89" t="n"/>
      <c r="AB158" s="25">
        <f>IF($B158="","",(COUNTIF(C158:E158,"?*")&lt;N(INDEX(Setup!$L$6:$L$23,1)))+(COUNTIF(G158:I158,"?*")&lt;N(INDEX(Setup!$L$6:$L$23,1)))+(COUNTIF(K158:M158,"?*")&lt;N(INDEX(Setup!$L$6:$L$23,1)))+(COUNTIF(O158:Q158,"?*")&lt;N(INDEX(Setup!$L$6:$L$23,1)))+(COUNTIF(S158:U158,"?*")&lt;N(INDEX(Setup!$L$6:$L$23,1)))+((W158="")*(INDEX(Setup!$M$6:$M$23,1)="Y"))+((Y158="")*(INDEX(Setup!$M$6:$M$23,1)="Y")))</f>
        <v/>
      </c>
      <c r="AC158" s="90">
        <f>IF($B158="","",IF(AB158=0,"✓ covered","⚠ "&amp;AB158&amp;IF(AB158=1," gap"," gaps")))</f>
        <v/>
      </c>
    </row>
    <row r="159" ht="17" customHeight="1">
      <c r="A159" t="n">
        <v>4</v>
      </c>
      <c r="B159" s="29">
        <f>IF(Setup!$K$7="","",Setup!$K$7)</f>
        <v/>
      </c>
      <c r="C159" s="88" t="n"/>
      <c r="D159" s="88" t="n"/>
      <c r="E159" s="88" t="n"/>
      <c r="F159" s="89" t="n"/>
      <c r="G159" s="88" t="n"/>
      <c r="H159" s="88" t="n"/>
      <c r="I159" s="88" t="n"/>
      <c r="J159" s="89" t="n"/>
      <c r="K159" s="88" t="n"/>
      <c r="L159" s="88" t="n"/>
      <c r="M159" s="88" t="n"/>
      <c r="N159" s="89" t="n"/>
      <c r="O159" s="88" t="n"/>
      <c r="P159" s="88" t="n"/>
      <c r="Q159" s="88" t="n"/>
      <c r="R159" s="89" t="n"/>
      <c r="S159" s="88" t="n"/>
      <c r="T159" s="88" t="n"/>
      <c r="U159" s="88" t="n"/>
      <c r="V159" s="89" t="n"/>
      <c r="W159" s="88" t="n"/>
      <c r="X159" s="89" t="n"/>
      <c r="Y159" s="88" t="n"/>
      <c r="Z159" s="89" t="n"/>
      <c r="AB159" s="30">
        <f>IF($B159="","",(COUNTIF(C159:E159,"?*")&lt;N(INDEX(Setup!$L$6:$L$23,2)))+(COUNTIF(G159:I159,"?*")&lt;N(INDEX(Setup!$L$6:$L$23,2)))+(COUNTIF(K159:M159,"?*")&lt;N(INDEX(Setup!$L$6:$L$23,2)))+(COUNTIF(O159:Q159,"?*")&lt;N(INDEX(Setup!$L$6:$L$23,2)))+(COUNTIF(S159:U159,"?*")&lt;N(INDEX(Setup!$L$6:$L$23,2)))+((W159="")*(INDEX(Setup!$M$6:$M$23,2)="Y"))+((Y159="")*(INDEX(Setup!$M$6:$M$23,2)="Y")))</f>
        <v/>
      </c>
      <c r="AC159" s="91">
        <f>IF($B159="","",IF(AB159=0,"✓ covered","⚠ "&amp;AB159&amp;IF(AB159=1," gap"," gaps")))</f>
        <v/>
      </c>
    </row>
    <row r="160" ht="17" customHeight="1">
      <c r="A160" t="n">
        <v>4</v>
      </c>
      <c r="B160" s="24">
        <f>IF(Setup!$K$8="","",Setup!$K$8)</f>
        <v/>
      </c>
      <c r="C160" s="88" t="n"/>
      <c r="D160" s="88" t="n"/>
      <c r="E160" s="88" t="n"/>
      <c r="F160" s="89" t="n"/>
      <c r="G160" s="88" t="n"/>
      <c r="H160" s="88" t="n"/>
      <c r="I160" s="88" t="n"/>
      <c r="J160" s="89" t="n"/>
      <c r="K160" s="88" t="n"/>
      <c r="L160" s="88" t="n"/>
      <c r="M160" s="88" t="n"/>
      <c r="N160" s="89" t="n"/>
      <c r="O160" s="88" t="n"/>
      <c r="P160" s="88" t="n"/>
      <c r="Q160" s="88" t="n"/>
      <c r="R160" s="89" t="n"/>
      <c r="S160" s="88" t="n"/>
      <c r="T160" s="88" t="n"/>
      <c r="U160" s="88" t="n"/>
      <c r="V160" s="89" t="n"/>
      <c r="W160" s="88" t="n"/>
      <c r="X160" s="89" t="n"/>
      <c r="Y160" s="88" t="n"/>
      <c r="Z160" s="89" t="n"/>
      <c r="AB160" s="25">
        <f>IF($B160="","",(COUNTIF(C160:E160,"?*")&lt;N(INDEX(Setup!$L$6:$L$23,3)))+(COUNTIF(G160:I160,"?*")&lt;N(INDEX(Setup!$L$6:$L$23,3)))+(COUNTIF(K160:M160,"?*")&lt;N(INDEX(Setup!$L$6:$L$23,3)))+(COUNTIF(O160:Q160,"?*")&lt;N(INDEX(Setup!$L$6:$L$23,3)))+(COUNTIF(S160:U160,"?*")&lt;N(INDEX(Setup!$L$6:$L$23,3)))+((W160="")*(INDEX(Setup!$M$6:$M$23,3)="Y"))+((Y160="")*(INDEX(Setup!$M$6:$M$23,3)="Y")))</f>
        <v/>
      </c>
      <c r="AC160" s="90">
        <f>IF($B160="","",IF(AB160=0,"✓ covered","⚠ "&amp;AB160&amp;IF(AB160=1," gap"," gaps")))</f>
        <v/>
      </c>
    </row>
    <row r="161" ht="17" customHeight="1">
      <c r="A161" t="n">
        <v>4</v>
      </c>
      <c r="B161" s="29">
        <f>IF(Setup!$K$9="","",Setup!$K$9)</f>
        <v/>
      </c>
      <c r="C161" s="88" t="n"/>
      <c r="D161" s="88" t="n"/>
      <c r="E161" s="88" t="n"/>
      <c r="F161" s="89" t="n"/>
      <c r="G161" s="88" t="n"/>
      <c r="H161" s="88" t="n"/>
      <c r="I161" s="88" t="n"/>
      <c r="J161" s="89" t="n"/>
      <c r="K161" s="88" t="n"/>
      <c r="L161" s="88" t="n"/>
      <c r="M161" s="88" t="n"/>
      <c r="N161" s="89" t="n"/>
      <c r="O161" s="88" t="n"/>
      <c r="P161" s="88" t="n"/>
      <c r="Q161" s="88" t="n"/>
      <c r="R161" s="89" t="n"/>
      <c r="S161" s="88" t="n"/>
      <c r="T161" s="88" t="n"/>
      <c r="U161" s="88" t="n"/>
      <c r="V161" s="89" t="n"/>
      <c r="W161" s="88" t="n"/>
      <c r="X161" s="89" t="n"/>
      <c r="Y161" s="88" t="n"/>
      <c r="Z161" s="89" t="n"/>
      <c r="AB161" s="30">
        <f>IF($B161="","",(COUNTIF(C161:E161,"?*")&lt;N(INDEX(Setup!$L$6:$L$23,4)))+(COUNTIF(G161:I161,"?*")&lt;N(INDEX(Setup!$L$6:$L$23,4)))+(COUNTIF(K161:M161,"?*")&lt;N(INDEX(Setup!$L$6:$L$23,4)))+(COUNTIF(O161:Q161,"?*")&lt;N(INDEX(Setup!$L$6:$L$23,4)))+(COUNTIF(S161:U161,"?*")&lt;N(INDEX(Setup!$L$6:$L$23,4)))+((W161="")*(INDEX(Setup!$M$6:$M$23,4)="Y"))+((Y161="")*(INDEX(Setup!$M$6:$M$23,4)="Y")))</f>
        <v/>
      </c>
      <c r="AC161" s="91">
        <f>IF($B161="","",IF(AB161=0,"✓ covered","⚠ "&amp;AB161&amp;IF(AB161=1," gap"," gaps")))</f>
        <v/>
      </c>
    </row>
    <row r="162" ht="17" customHeight="1">
      <c r="A162" t="n">
        <v>4</v>
      </c>
      <c r="B162" s="24">
        <f>IF(Setup!$K$10="","",Setup!$K$10)</f>
        <v/>
      </c>
      <c r="C162" s="88" t="n"/>
      <c r="D162" s="88" t="n"/>
      <c r="E162" s="88" t="n"/>
      <c r="F162" s="89" t="n"/>
      <c r="G162" s="88" t="n"/>
      <c r="H162" s="88" t="n"/>
      <c r="I162" s="88" t="n"/>
      <c r="J162" s="89" t="n"/>
      <c r="K162" s="88" t="n"/>
      <c r="L162" s="88" t="n"/>
      <c r="M162" s="88" t="n"/>
      <c r="N162" s="89" t="n"/>
      <c r="O162" s="88" t="n"/>
      <c r="P162" s="88" t="n"/>
      <c r="Q162" s="88" t="n"/>
      <c r="R162" s="89" t="n"/>
      <c r="S162" s="88" t="n"/>
      <c r="T162" s="88" t="n"/>
      <c r="U162" s="88" t="n"/>
      <c r="V162" s="89" t="n"/>
      <c r="W162" s="88" t="n"/>
      <c r="X162" s="89" t="n"/>
      <c r="Y162" s="88" t="n"/>
      <c r="Z162" s="89" t="n"/>
      <c r="AB162" s="25">
        <f>IF($B162="","",(COUNTIF(C162:E162,"?*")&lt;N(INDEX(Setup!$L$6:$L$23,5)))+(COUNTIF(G162:I162,"?*")&lt;N(INDEX(Setup!$L$6:$L$23,5)))+(COUNTIF(K162:M162,"?*")&lt;N(INDEX(Setup!$L$6:$L$23,5)))+(COUNTIF(O162:Q162,"?*")&lt;N(INDEX(Setup!$L$6:$L$23,5)))+(COUNTIF(S162:U162,"?*")&lt;N(INDEX(Setup!$L$6:$L$23,5)))+((W162="")*(INDEX(Setup!$M$6:$M$23,5)="Y"))+((Y162="")*(INDEX(Setup!$M$6:$M$23,5)="Y")))</f>
        <v/>
      </c>
      <c r="AC162" s="90">
        <f>IF($B162="","",IF(AB162=0,"✓ covered","⚠ "&amp;AB162&amp;IF(AB162=1," gap"," gaps")))</f>
        <v/>
      </c>
    </row>
    <row r="163" ht="17" customHeight="1">
      <c r="A163" t="n">
        <v>4</v>
      </c>
      <c r="B163" s="29">
        <f>IF(Setup!$K$11="","",Setup!$K$11)</f>
        <v/>
      </c>
      <c r="C163" s="88" t="n"/>
      <c r="D163" s="88" t="n"/>
      <c r="E163" s="88" t="n"/>
      <c r="F163" s="89" t="n"/>
      <c r="G163" s="88" t="n"/>
      <c r="H163" s="88" t="n"/>
      <c r="I163" s="88" t="n"/>
      <c r="J163" s="89" t="n"/>
      <c r="K163" s="88" t="n"/>
      <c r="L163" s="88" t="n"/>
      <c r="M163" s="88" t="n"/>
      <c r="N163" s="89" t="n"/>
      <c r="O163" s="88" t="n"/>
      <c r="P163" s="88" t="n"/>
      <c r="Q163" s="88" t="n"/>
      <c r="R163" s="89" t="n"/>
      <c r="S163" s="88" t="n"/>
      <c r="T163" s="88" t="n"/>
      <c r="U163" s="88" t="n"/>
      <c r="V163" s="89" t="n"/>
      <c r="W163" s="88" t="n"/>
      <c r="X163" s="89" t="n"/>
      <c r="Y163" s="88" t="n"/>
      <c r="Z163" s="89" t="n"/>
      <c r="AB163" s="30">
        <f>IF($B163="","",(COUNTIF(C163:E163,"?*")&lt;N(INDEX(Setup!$L$6:$L$23,6)))+(COUNTIF(G163:I163,"?*")&lt;N(INDEX(Setup!$L$6:$L$23,6)))+(COUNTIF(K163:M163,"?*")&lt;N(INDEX(Setup!$L$6:$L$23,6)))+(COUNTIF(O163:Q163,"?*")&lt;N(INDEX(Setup!$L$6:$L$23,6)))+(COUNTIF(S163:U163,"?*")&lt;N(INDEX(Setup!$L$6:$L$23,6)))+((W163="")*(INDEX(Setup!$M$6:$M$23,6)="Y"))+((Y163="")*(INDEX(Setup!$M$6:$M$23,6)="Y")))</f>
        <v/>
      </c>
      <c r="AC163" s="91">
        <f>IF($B163="","",IF(AB163=0,"✓ covered","⚠ "&amp;AB163&amp;IF(AB163=1," gap"," gaps")))</f>
        <v/>
      </c>
    </row>
    <row r="164" ht="17" customHeight="1">
      <c r="A164" t="n">
        <v>4</v>
      </c>
      <c r="B164" s="24">
        <f>IF(Setup!$K$12="","",Setup!$K$12)</f>
        <v/>
      </c>
      <c r="C164" s="88" t="n"/>
      <c r="D164" s="88" t="n"/>
      <c r="E164" s="88" t="n"/>
      <c r="F164" s="89" t="n"/>
      <c r="G164" s="88" t="n"/>
      <c r="H164" s="88" t="n"/>
      <c r="I164" s="88" t="n"/>
      <c r="J164" s="89" t="n"/>
      <c r="K164" s="88" t="n"/>
      <c r="L164" s="88" t="n"/>
      <c r="M164" s="88" t="n"/>
      <c r="N164" s="89" t="n"/>
      <c r="O164" s="88" t="n"/>
      <c r="P164" s="88" t="n"/>
      <c r="Q164" s="88" t="n"/>
      <c r="R164" s="89" t="n"/>
      <c r="S164" s="88" t="n"/>
      <c r="T164" s="88" t="n"/>
      <c r="U164" s="88" t="n"/>
      <c r="V164" s="89" t="n"/>
      <c r="W164" s="88" t="n"/>
      <c r="X164" s="89" t="n"/>
      <c r="Y164" s="88" t="n"/>
      <c r="Z164" s="89" t="n"/>
      <c r="AB164" s="25">
        <f>IF($B164="","",(COUNTIF(C164:E164,"?*")&lt;N(INDEX(Setup!$L$6:$L$23,7)))+(COUNTIF(G164:I164,"?*")&lt;N(INDEX(Setup!$L$6:$L$23,7)))+(COUNTIF(K164:M164,"?*")&lt;N(INDEX(Setup!$L$6:$L$23,7)))+(COUNTIF(O164:Q164,"?*")&lt;N(INDEX(Setup!$L$6:$L$23,7)))+(COUNTIF(S164:U164,"?*")&lt;N(INDEX(Setup!$L$6:$L$23,7)))+((W164="")*(INDEX(Setup!$M$6:$M$23,7)="Y"))+((Y164="")*(INDEX(Setup!$M$6:$M$23,7)="Y")))</f>
        <v/>
      </c>
      <c r="AC164" s="90">
        <f>IF($B164="","",IF(AB164=0,"✓ covered","⚠ "&amp;AB164&amp;IF(AB164=1," gap"," gaps")))</f>
        <v/>
      </c>
    </row>
    <row r="165" ht="17" customHeight="1">
      <c r="A165" t="n">
        <v>4</v>
      </c>
      <c r="B165" s="29">
        <f>IF(Setup!$K$13="","",Setup!$K$13)</f>
        <v/>
      </c>
      <c r="C165" s="88" t="n"/>
      <c r="D165" s="88" t="n"/>
      <c r="E165" s="88" t="n"/>
      <c r="F165" s="89" t="n"/>
      <c r="G165" s="88" t="n"/>
      <c r="H165" s="88" t="n"/>
      <c r="I165" s="88" t="n"/>
      <c r="J165" s="89" t="n"/>
      <c r="K165" s="88" t="n"/>
      <c r="L165" s="88" t="n"/>
      <c r="M165" s="88" t="n"/>
      <c r="N165" s="89" t="n"/>
      <c r="O165" s="88" t="n"/>
      <c r="P165" s="88" t="n"/>
      <c r="Q165" s="88" t="n"/>
      <c r="R165" s="89" t="n"/>
      <c r="S165" s="88" t="n"/>
      <c r="T165" s="88" t="n"/>
      <c r="U165" s="88" t="n"/>
      <c r="V165" s="89" t="n"/>
      <c r="W165" s="88" t="n"/>
      <c r="X165" s="89" t="n"/>
      <c r="Y165" s="88" t="n"/>
      <c r="Z165" s="89" t="n"/>
      <c r="AB165" s="30">
        <f>IF($B165="","",(COUNTIF(C165:E165,"?*")&lt;N(INDEX(Setup!$L$6:$L$23,8)))+(COUNTIF(G165:I165,"?*")&lt;N(INDEX(Setup!$L$6:$L$23,8)))+(COUNTIF(K165:M165,"?*")&lt;N(INDEX(Setup!$L$6:$L$23,8)))+(COUNTIF(O165:Q165,"?*")&lt;N(INDEX(Setup!$L$6:$L$23,8)))+(COUNTIF(S165:U165,"?*")&lt;N(INDEX(Setup!$L$6:$L$23,8)))+((W165="")*(INDEX(Setup!$M$6:$M$23,8)="Y"))+((Y165="")*(INDEX(Setup!$M$6:$M$23,8)="Y")))</f>
        <v/>
      </c>
      <c r="AC165" s="91">
        <f>IF($B165="","",IF(AB165=0,"✓ covered","⚠ "&amp;AB165&amp;IF(AB165=1," gap"," gaps")))</f>
        <v/>
      </c>
    </row>
    <row r="166" ht="17" customHeight="1">
      <c r="A166" t="n">
        <v>4</v>
      </c>
      <c r="B166" s="24">
        <f>IF(Setup!$K$14="","",Setup!$K$14)</f>
        <v/>
      </c>
      <c r="C166" s="88" t="n"/>
      <c r="D166" s="88" t="n"/>
      <c r="E166" s="88" t="n"/>
      <c r="F166" s="89" t="n"/>
      <c r="G166" s="88" t="n"/>
      <c r="H166" s="88" t="n"/>
      <c r="I166" s="88" t="n"/>
      <c r="J166" s="89" t="n"/>
      <c r="K166" s="88" t="n"/>
      <c r="L166" s="88" t="n"/>
      <c r="M166" s="88" t="n"/>
      <c r="N166" s="89" t="n"/>
      <c r="O166" s="88" t="n"/>
      <c r="P166" s="88" t="n"/>
      <c r="Q166" s="88" t="n"/>
      <c r="R166" s="89" t="n"/>
      <c r="S166" s="88" t="n"/>
      <c r="T166" s="88" t="n"/>
      <c r="U166" s="88" t="n"/>
      <c r="V166" s="89" t="n"/>
      <c r="W166" s="88" t="n"/>
      <c r="X166" s="89" t="n"/>
      <c r="Y166" s="88" t="n"/>
      <c r="Z166" s="89" t="n"/>
      <c r="AB166" s="25">
        <f>IF($B166="","",(COUNTIF(C166:E166,"?*")&lt;N(INDEX(Setup!$L$6:$L$23,9)))+(COUNTIF(G166:I166,"?*")&lt;N(INDEX(Setup!$L$6:$L$23,9)))+(COUNTIF(K166:M166,"?*")&lt;N(INDEX(Setup!$L$6:$L$23,9)))+(COUNTIF(O166:Q166,"?*")&lt;N(INDEX(Setup!$L$6:$L$23,9)))+(COUNTIF(S166:U166,"?*")&lt;N(INDEX(Setup!$L$6:$L$23,9)))+((W166="")*(INDEX(Setup!$M$6:$M$23,9)="Y"))+((Y166="")*(INDEX(Setup!$M$6:$M$23,9)="Y")))</f>
        <v/>
      </c>
      <c r="AC166" s="90">
        <f>IF($B166="","",IF(AB166=0,"✓ covered","⚠ "&amp;AB166&amp;IF(AB166=1," gap"," gaps")))</f>
        <v/>
      </c>
    </row>
    <row r="167" ht="17" customHeight="1">
      <c r="A167" t="n">
        <v>4</v>
      </c>
      <c r="B167" s="29">
        <f>IF(Setup!$K$15="","",Setup!$K$15)</f>
        <v/>
      </c>
      <c r="C167" s="88" t="n"/>
      <c r="D167" s="88" t="n"/>
      <c r="E167" s="88" t="n"/>
      <c r="F167" s="89" t="n"/>
      <c r="G167" s="88" t="n"/>
      <c r="H167" s="88" t="n"/>
      <c r="I167" s="88" t="n"/>
      <c r="J167" s="89" t="n"/>
      <c r="K167" s="88" t="n"/>
      <c r="L167" s="88" t="n"/>
      <c r="M167" s="88" t="n"/>
      <c r="N167" s="89" t="n"/>
      <c r="O167" s="88" t="n"/>
      <c r="P167" s="88" t="n"/>
      <c r="Q167" s="88" t="n"/>
      <c r="R167" s="89" t="n"/>
      <c r="S167" s="88" t="n"/>
      <c r="T167" s="88" t="n"/>
      <c r="U167" s="88" t="n"/>
      <c r="V167" s="89" t="n"/>
      <c r="W167" s="88" t="n"/>
      <c r="X167" s="89" t="n"/>
      <c r="Y167" s="88" t="n"/>
      <c r="Z167" s="89" t="n"/>
      <c r="AB167" s="30">
        <f>IF($B167="","",(COUNTIF(C167:E167,"?*")&lt;N(INDEX(Setup!$L$6:$L$23,10)))+(COUNTIF(G167:I167,"?*")&lt;N(INDEX(Setup!$L$6:$L$23,10)))+(COUNTIF(K167:M167,"?*")&lt;N(INDEX(Setup!$L$6:$L$23,10)))+(COUNTIF(O167:Q167,"?*")&lt;N(INDEX(Setup!$L$6:$L$23,10)))+(COUNTIF(S167:U167,"?*")&lt;N(INDEX(Setup!$L$6:$L$23,10)))+((W167="")*(INDEX(Setup!$M$6:$M$23,10)="Y"))+((Y167="")*(INDEX(Setup!$M$6:$M$23,10)="Y")))</f>
        <v/>
      </c>
      <c r="AC167" s="91">
        <f>IF($B167="","",IF(AB167=0,"✓ covered","⚠ "&amp;AB167&amp;IF(AB167=1," gap"," gaps")))</f>
        <v/>
      </c>
    </row>
    <row r="168" ht="17" customHeight="1">
      <c r="A168" t="n">
        <v>4</v>
      </c>
      <c r="B168" s="24">
        <f>IF(Setup!$K$16="","",Setup!$K$16)</f>
        <v/>
      </c>
      <c r="C168" s="88" t="n"/>
      <c r="D168" s="88" t="n"/>
      <c r="E168" s="88" t="n"/>
      <c r="F168" s="89" t="n"/>
      <c r="G168" s="88" t="n"/>
      <c r="H168" s="88" t="n"/>
      <c r="I168" s="88" t="n"/>
      <c r="J168" s="89" t="n"/>
      <c r="K168" s="88" t="n"/>
      <c r="L168" s="88" t="n"/>
      <c r="M168" s="88" t="n"/>
      <c r="N168" s="89" t="n"/>
      <c r="O168" s="88" t="n"/>
      <c r="P168" s="88" t="n"/>
      <c r="Q168" s="88" t="n"/>
      <c r="R168" s="89" t="n"/>
      <c r="S168" s="88" t="n"/>
      <c r="T168" s="88" t="n"/>
      <c r="U168" s="88" t="n"/>
      <c r="V168" s="89" t="n"/>
      <c r="W168" s="88" t="n"/>
      <c r="X168" s="89" t="n"/>
      <c r="Y168" s="88" t="n"/>
      <c r="Z168" s="89" t="n"/>
      <c r="AB168" s="25">
        <f>IF($B168="","",(COUNTIF(C168:E168,"?*")&lt;N(INDEX(Setup!$L$6:$L$23,11)))+(COUNTIF(G168:I168,"?*")&lt;N(INDEX(Setup!$L$6:$L$23,11)))+(COUNTIF(K168:M168,"?*")&lt;N(INDEX(Setup!$L$6:$L$23,11)))+(COUNTIF(O168:Q168,"?*")&lt;N(INDEX(Setup!$L$6:$L$23,11)))+(COUNTIF(S168:U168,"?*")&lt;N(INDEX(Setup!$L$6:$L$23,11)))+((W168="")*(INDEX(Setup!$M$6:$M$23,11)="Y"))+((Y168="")*(INDEX(Setup!$M$6:$M$23,11)="Y")))</f>
        <v/>
      </c>
      <c r="AC168" s="90">
        <f>IF($B168="","",IF(AB168=0,"✓ covered","⚠ "&amp;AB168&amp;IF(AB168=1," gap"," gaps")))</f>
        <v/>
      </c>
    </row>
    <row r="169" ht="17" customHeight="1">
      <c r="A169" t="n">
        <v>4</v>
      </c>
      <c r="B169" s="29">
        <f>IF(Setup!$K$17="","",Setup!$K$17)</f>
        <v/>
      </c>
      <c r="C169" s="88" t="n"/>
      <c r="D169" s="88" t="n"/>
      <c r="E169" s="88" t="n"/>
      <c r="F169" s="89" t="n"/>
      <c r="G169" s="88" t="n"/>
      <c r="H169" s="88" t="n"/>
      <c r="I169" s="88" t="n"/>
      <c r="J169" s="89" t="n"/>
      <c r="K169" s="88" t="n"/>
      <c r="L169" s="88" t="n"/>
      <c r="M169" s="88" t="n"/>
      <c r="N169" s="89" t="n"/>
      <c r="O169" s="88" t="n"/>
      <c r="P169" s="88" t="n"/>
      <c r="Q169" s="88" t="n"/>
      <c r="R169" s="89" t="n"/>
      <c r="S169" s="88" t="n"/>
      <c r="T169" s="88" t="n"/>
      <c r="U169" s="88" t="n"/>
      <c r="V169" s="89" t="n"/>
      <c r="W169" s="88" t="n"/>
      <c r="X169" s="89" t="n"/>
      <c r="Y169" s="88" t="n"/>
      <c r="Z169" s="89" t="n"/>
      <c r="AB169" s="30">
        <f>IF($B169="","",(COUNTIF(C169:E169,"?*")&lt;N(INDEX(Setup!$L$6:$L$23,12)))+(COUNTIF(G169:I169,"?*")&lt;N(INDEX(Setup!$L$6:$L$23,12)))+(COUNTIF(K169:M169,"?*")&lt;N(INDEX(Setup!$L$6:$L$23,12)))+(COUNTIF(O169:Q169,"?*")&lt;N(INDEX(Setup!$L$6:$L$23,12)))+(COUNTIF(S169:U169,"?*")&lt;N(INDEX(Setup!$L$6:$L$23,12)))+((W169="")*(INDEX(Setup!$M$6:$M$23,12)="Y"))+((Y169="")*(INDEX(Setup!$M$6:$M$23,12)="Y")))</f>
        <v/>
      </c>
      <c r="AC169" s="91">
        <f>IF($B169="","",IF(AB169=0,"✓ covered","⚠ "&amp;AB169&amp;IF(AB169=1," gap"," gaps")))</f>
        <v/>
      </c>
    </row>
    <row r="170" ht="17" customHeight="1">
      <c r="A170" t="n">
        <v>4</v>
      </c>
      <c r="B170" s="24">
        <f>IF(Setup!$K$18="","",Setup!$K$18)</f>
        <v/>
      </c>
      <c r="C170" s="88" t="n"/>
      <c r="D170" s="88" t="n"/>
      <c r="E170" s="88" t="n"/>
      <c r="F170" s="89" t="n"/>
      <c r="G170" s="88" t="n"/>
      <c r="H170" s="88" t="n"/>
      <c r="I170" s="88" t="n"/>
      <c r="J170" s="89" t="n"/>
      <c r="K170" s="88" t="n"/>
      <c r="L170" s="88" t="n"/>
      <c r="M170" s="88" t="n"/>
      <c r="N170" s="89" t="n"/>
      <c r="O170" s="88" t="n"/>
      <c r="P170" s="88" t="n"/>
      <c r="Q170" s="88" t="n"/>
      <c r="R170" s="89" t="n"/>
      <c r="S170" s="88" t="n"/>
      <c r="T170" s="88" t="n"/>
      <c r="U170" s="88" t="n"/>
      <c r="V170" s="89" t="n"/>
      <c r="W170" s="88" t="n"/>
      <c r="X170" s="89" t="n"/>
      <c r="Y170" s="88" t="n"/>
      <c r="Z170" s="89" t="n"/>
      <c r="AB170" s="25">
        <f>IF($B170="","",(COUNTIF(C170:E170,"?*")&lt;N(INDEX(Setup!$L$6:$L$23,13)))+(COUNTIF(G170:I170,"?*")&lt;N(INDEX(Setup!$L$6:$L$23,13)))+(COUNTIF(K170:M170,"?*")&lt;N(INDEX(Setup!$L$6:$L$23,13)))+(COUNTIF(O170:Q170,"?*")&lt;N(INDEX(Setup!$L$6:$L$23,13)))+(COUNTIF(S170:U170,"?*")&lt;N(INDEX(Setup!$L$6:$L$23,13)))+((W170="")*(INDEX(Setup!$M$6:$M$23,13)="Y"))+((Y170="")*(INDEX(Setup!$M$6:$M$23,13)="Y")))</f>
        <v/>
      </c>
      <c r="AC170" s="90">
        <f>IF($B170="","",IF(AB170=0,"✓ covered","⚠ "&amp;AB170&amp;IF(AB170=1," gap"," gaps")))</f>
        <v/>
      </c>
    </row>
    <row r="171" ht="17" customHeight="1">
      <c r="A171" t="n">
        <v>4</v>
      </c>
      <c r="B171" s="29">
        <f>IF(Setup!$K$19="","",Setup!$K$19)</f>
        <v/>
      </c>
      <c r="C171" s="88" t="n"/>
      <c r="D171" s="88" t="n"/>
      <c r="E171" s="88" t="n"/>
      <c r="F171" s="89" t="n"/>
      <c r="G171" s="88" t="n"/>
      <c r="H171" s="88" t="n"/>
      <c r="I171" s="88" t="n"/>
      <c r="J171" s="89" t="n"/>
      <c r="K171" s="88" t="n"/>
      <c r="L171" s="88" t="n"/>
      <c r="M171" s="88" t="n"/>
      <c r="N171" s="89" t="n"/>
      <c r="O171" s="88" t="n"/>
      <c r="P171" s="88" t="n"/>
      <c r="Q171" s="88" t="n"/>
      <c r="R171" s="89" t="n"/>
      <c r="S171" s="88" t="n"/>
      <c r="T171" s="88" t="n"/>
      <c r="U171" s="88" t="n"/>
      <c r="V171" s="89" t="n"/>
      <c r="W171" s="88" t="n"/>
      <c r="X171" s="89" t="n"/>
      <c r="Y171" s="88" t="n"/>
      <c r="Z171" s="89" t="n"/>
      <c r="AB171" s="30">
        <f>IF($B171="","",(COUNTIF(C171:E171,"?*")&lt;N(INDEX(Setup!$L$6:$L$23,14)))+(COUNTIF(G171:I171,"?*")&lt;N(INDEX(Setup!$L$6:$L$23,14)))+(COUNTIF(K171:M171,"?*")&lt;N(INDEX(Setup!$L$6:$L$23,14)))+(COUNTIF(O171:Q171,"?*")&lt;N(INDEX(Setup!$L$6:$L$23,14)))+(COUNTIF(S171:U171,"?*")&lt;N(INDEX(Setup!$L$6:$L$23,14)))+((W171="")*(INDEX(Setup!$M$6:$M$23,14)="Y"))+((Y171="")*(INDEX(Setup!$M$6:$M$23,14)="Y")))</f>
        <v/>
      </c>
      <c r="AC171" s="91">
        <f>IF($B171="","",IF(AB171=0,"✓ covered","⚠ "&amp;AB171&amp;IF(AB171=1," gap"," gaps")))</f>
        <v/>
      </c>
    </row>
    <row r="172" ht="17" customHeight="1">
      <c r="A172" t="n">
        <v>4</v>
      </c>
      <c r="B172" s="24">
        <f>IF(Setup!$K$20="","",Setup!$K$20)</f>
        <v/>
      </c>
      <c r="C172" s="88" t="n"/>
      <c r="D172" s="88" t="n"/>
      <c r="E172" s="88" t="n"/>
      <c r="F172" s="89" t="n"/>
      <c r="G172" s="88" t="n"/>
      <c r="H172" s="88" t="n"/>
      <c r="I172" s="88" t="n"/>
      <c r="J172" s="89" t="n"/>
      <c r="K172" s="88" t="n"/>
      <c r="L172" s="88" t="n"/>
      <c r="M172" s="88" t="n"/>
      <c r="N172" s="89" t="n"/>
      <c r="O172" s="88" t="n"/>
      <c r="P172" s="88" t="n"/>
      <c r="Q172" s="88" t="n"/>
      <c r="R172" s="89" t="n"/>
      <c r="S172" s="88" t="n"/>
      <c r="T172" s="88" t="n"/>
      <c r="U172" s="88" t="n"/>
      <c r="V172" s="89" t="n"/>
      <c r="W172" s="88" t="n"/>
      <c r="X172" s="89" t="n"/>
      <c r="Y172" s="88" t="n"/>
      <c r="Z172" s="89" t="n"/>
      <c r="AB172" s="25">
        <f>IF($B172="","",(COUNTIF(C172:E172,"?*")&lt;N(INDEX(Setup!$L$6:$L$23,15)))+(COUNTIF(G172:I172,"?*")&lt;N(INDEX(Setup!$L$6:$L$23,15)))+(COUNTIF(K172:M172,"?*")&lt;N(INDEX(Setup!$L$6:$L$23,15)))+(COUNTIF(O172:Q172,"?*")&lt;N(INDEX(Setup!$L$6:$L$23,15)))+(COUNTIF(S172:U172,"?*")&lt;N(INDEX(Setup!$L$6:$L$23,15)))+((W172="")*(INDEX(Setup!$M$6:$M$23,15)="Y"))+((Y172="")*(INDEX(Setup!$M$6:$M$23,15)="Y")))</f>
        <v/>
      </c>
      <c r="AC172" s="90">
        <f>IF($B172="","",IF(AB172=0,"✓ covered","⚠ "&amp;AB172&amp;IF(AB172=1," gap"," gaps")))</f>
        <v/>
      </c>
    </row>
    <row r="173" ht="17" customHeight="1">
      <c r="A173" t="n">
        <v>4</v>
      </c>
      <c r="B173" s="29">
        <f>IF(Setup!$K$21="","",Setup!$K$21)</f>
        <v/>
      </c>
      <c r="C173" s="88" t="n"/>
      <c r="D173" s="88" t="n"/>
      <c r="E173" s="88" t="n"/>
      <c r="F173" s="89" t="n"/>
      <c r="G173" s="88" t="n"/>
      <c r="H173" s="88" t="n"/>
      <c r="I173" s="88" t="n"/>
      <c r="J173" s="89" t="n"/>
      <c r="K173" s="88" t="n"/>
      <c r="L173" s="88" t="n"/>
      <c r="M173" s="88" t="n"/>
      <c r="N173" s="89" t="n"/>
      <c r="O173" s="88" t="n"/>
      <c r="P173" s="88" t="n"/>
      <c r="Q173" s="88" t="n"/>
      <c r="R173" s="89" t="n"/>
      <c r="S173" s="88" t="n"/>
      <c r="T173" s="88" t="n"/>
      <c r="U173" s="88" t="n"/>
      <c r="V173" s="89" t="n"/>
      <c r="W173" s="88" t="n"/>
      <c r="X173" s="89" t="n"/>
      <c r="Y173" s="88" t="n"/>
      <c r="Z173" s="89" t="n"/>
      <c r="AB173" s="30">
        <f>IF($B173="","",(COUNTIF(C173:E173,"?*")&lt;N(INDEX(Setup!$L$6:$L$23,16)))+(COUNTIF(G173:I173,"?*")&lt;N(INDEX(Setup!$L$6:$L$23,16)))+(COUNTIF(K173:M173,"?*")&lt;N(INDEX(Setup!$L$6:$L$23,16)))+(COUNTIF(O173:Q173,"?*")&lt;N(INDEX(Setup!$L$6:$L$23,16)))+(COUNTIF(S173:U173,"?*")&lt;N(INDEX(Setup!$L$6:$L$23,16)))+((W173="")*(INDEX(Setup!$M$6:$M$23,16)="Y"))+((Y173="")*(INDEX(Setup!$M$6:$M$23,16)="Y")))</f>
        <v/>
      </c>
      <c r="AC173" s="91">
        <f>IF($B173="","",IF(AB173=0,"✓ covered","⚠ "&amp;AB173&amp;IF(AB173=1," gap"," gaps")))</f>
        <v/>
      </c>
    </row>
    <row r="174" ht="17" customHeight="1">
      <c r="A174" t="n">
        <v>4</v>
      </c>
      <c r="B174" s="24">
        <f>IF(Setup!$K$22="","",Setup!$K$22)</f>
        <v/>
      </c>
      <c r="C174" s="88" t="n"/>
      <c r="D174" s="88" t="n"/>
      <c r="E174" s="88" t="n"/>
      <c r="F174" s="89" t="n"/>
      <c r="G174" s="88" t="n"/>
      <c r="H174" s="88" t="n"/>
      <c r="I174" s="88" t="n"/>
      <c r="J174" s="89" t="n"/>
      <c r="K174" s="88" t="n"/>
      <c r="L174" s="88" t="n"/>
      <c r="M174" s="88" t="n"/>
      <c r="N174" s="89" t="n"/>
      <c r="O174" s="88" t="n"/>
      <c r="P174" s="88" t="n"/>
      <c r="Q174" s="88" t="n"/>
      <c r="R174" s="89" t="n"/>
      <c r="S174" s="88" t="n"/>
      <c r="T174" s="88" t="n"/>
      <c r="U174" s="88" t="n"/>
      <c r="V174" s="89" t="n"/>
      <c r="W174" s="88" t="n"/>
      <c r="X174" s="89" t="n"/>
      <c r="Y174" s="88" t="n"/>
      <c r="Z174" s="89" t="n"/>
      <c r="AB174" s="25">
        <f>IF($B174="","",(COUNTIF(C174:E174,"?*")&lt;N(INDEX(Setup!$L$6:$L$23,17)))+(COUNTIF(G174:I174,"?*")&lt;N(INDEX(Setup!$L$6:$L$23,17)))+(COUNTIF(K174:M174,"?*")&lt;N(INDEX(Setup!$L$6:$L$23,17)))+(COUNTIF(O174:Q174,"?*")&lt;N(INDEX(Setup!$L$6:$L$23,17)))+(COUNTIF(S174:U174,"?*")&lt;N(INDEX(Setup!$L$6:$L$23,17)))+((W174="")*(INDEX(Setup!$M$6:$M$23,17)="Y"))+((Y174="")*(INDEX(Setup!$M$6:$M$23,17)="Y")))</f>
        <v/>
      </c>
      <c r="AC174" s="90">
        <f>IF($B174="","",IF(AB174=0,"✓ covered","⚠ "&amp;AB174&amp;IF(AB174=1," gap"," gaps")))</f>
        <v/>
      </c>
    </row>
    <row r="175" ht="17" customHeight="1">
      <c r="A175" t="n">
        <v>4</v>
      </c>
      <c r="B175" s="29">
        <f>IF(Setup!$K$23="","",Setup!$K$23)</f>
        <v/>
      </c>
      <c r="C175" s="88" t="n"/>
      <c r="D175" s="88" t="n"/>
      <c r="E175" s="88" t="n"/>
      <c r="F175" s="89" t="n"/>
      <c r="G175" s="88" t="n"/>
      <c r="H175" s="88" t="n"/>
      <c r="I175" s="88" t="n"/>
      <c r="J175" s="89" t="n"/>
      <c r="K175" s="88" t="n"/>
      <c r="L175" s="88" t="n"/>
      <c r="M175" s="88" t="n"/>
      <c r="N175" s="89" t="n"/>
      <c r="O175" s="88" t="n"/>
      <c r="P175" s="88" t="n"/>
      <c r="Q175" s="88" t="n"/>
      <c r="R175" s="89" t="n"/>
      <c r="S175" s="88" t="n"/>
      <c r="T175" s="88" t="n"/>
      <c r="U175" s="88" t="n"/>
      <c r="V175" s="89" t="n"/>
      <c r="W175" s="88" t="n"/>
      <c r="X175" s="89" t="n"/>
      <c r="Y175" s="88" t="n"/>
      <c r="Z175" s="89" t="n"/>
      <c r="AB175" s="30">
        <f>IF($B175="","",(COUNTIF(C175:E175,"?*")&lt;N(INDEX(Setup!$L$6:$L$23,18)))+(COUNTIF(G175:I175,"?*")&lt;N(INDEX(Setup!$L$6:$L$23,18)))+(COUNTIF(K175:M175,"?*")&lt;N(INDEX(Setup!$L$6:$L$23,18)))+(COUNTIF(O175:Q175,"?*")&lt;N(INDEX(Setup!$L$6:$L$23,18)))+(COUNTIF(S175:U175,"?*")&lt;N(INDEX(Setup!$L$6:$L$23,18)))+((W175="")*(INDEX(Setup!$M$6:$M$23,18)="Y"))+((Y175="")*(INDEX(Setup!$M$6:$M$23,18)="Y")))</f>
        <v/>
      </c>
      <c r="AC175" s="91">
        <f>IF($B175="","",IF(AB175=0,"✓ covered","⚠ "&amp;AB175&amp;IF(AB175=1," gap"," gaps")))</f>
        <v/>
      </c>
    </row>
    <row r="176" ht="18" customHeight="1">
      <c r="A176" t="n">
        <v>4</v>
      </c>
      <c r="B176" s="78" t="inlineStr">
        <is>
          <t>TEAM AVAILABILITY</t>
        </is>
      </c>
      <c r="C176" s="92" t="inlineStr">
        <is>
          <t>Mon</t>
        </is>
      </c>
      <c r="D176" s="93" t="n"/>
      <c r="E176" s="93" t="n"/>
      <c r="F176" s="94" t="n"/>
      <c r="G176" s="92" t="inlineStr">
        <is>
          <t>Tue</t>
        </is>
      </c>
      <c r="H176" s="93" t="n"/>
      <c r="I176" s="93" t="n"/>
      <c r="J176" s="94" t="n"/>
      <c r="K176" s="92" t="inlineStr">
        <is>
          <t>Wed</t>
        </is>
      </c>
      <c r="L176" s="93" t="n"/>
      <c r="M176" s="93" t="n"/>
      <c r="N176" s="94" t="n"/>
      <c r="O176" s="92" t="inlineStr">
        <is>
          <t>Thu</t>
        </is>
      </c>
      <c r="P176" s="93" t="n"/>
      <c r="Q176" s="93" t="n"/>
      <c r="R176" s="94" t="n"/>
      <c r="S176" s="92" t="inlineStr">
        <is>
          <t>Fri</t>
        </is>
      </c>
      <c r="T176" s="93" t="n"/>
      <c r="U176" s="93" t="n"/>
      <c r="V176" s="94" t="n"/>
      <c r="W176" s="95" t="inlineStr">
        <is>
          <t>Sat</t>
        </is>
      </c>
      <c r="X176" s="96" t="n"/>
      <c r="Y176" s="95" t="inlineStr">
        <is>
          <t>Sun</t>
        </is>
      </c>
      <c r="Z176" s="96" t="n"/>
      <c r="AB176" s="97" t="inlineStr">
        <is>
          <t>Days rostered</t>
        </is>
      </c>
      <c r="AC176" s="97" t="inlineStr">
        <is>
          <t>Conflicts</t>
        </is>
      </c>
    </row>
    <row r="177" ht="15" customHeight="1">
      <c r="A177" t="n">
        <v>4</v>
      </c>
      <c r="B177" s="35">
        <f>IF(Setup!$B$6="","",Setup!$B$6)</f>
        <v/>
      </c>
      <c r="C177" s="98" t="n"/>
      <c r="D177" s="99" t="n"/>
      <c r="E177" s="99" t="n"/>
      <c r="F177" s="100" t="n"/>
      <c r="G177" s="98" t="n"/>
      <c r="H177" s="99" t="n"/>
      <c r="I177" s="99" t="n"/>
      <c r="J177" s="100" t="n"/>
      <c r="K177" s="98" t="n"/>
      <c r="L177" s="99" t="n"/>
      <c r="M177" s="99" t="n"/>
      <c r="N177" s="100" t="n"/>
      <c r="O177" s="98" t="n"/>
      <c r="P177" s="99" t="n"/>
      <c r="Q177" s="99" t="n"/>
      <c r="R177" s="100" t="n"/>
      <c r="S177" s="98" t="n"/>
      <c r="T177" s="99" t="n"/>
      <c r="U177" s="99" t="n"/>
      <c r="V177" s="100" t="n"/>
      <c r="W177" s="98" t="n"/>
      <c r="X177" s="100" t="n"/>
      <c r="Y177" s="98" t="n"/>
      <c r="Z177" s="100" t="n"/>
      <c r="AB177" s="101">
        <f>IF($B177="","",(COUNTIF(C158:E175,$B177)+COUNTIF(C158:E175,$B177&amp;" ~*")&gt;0)+(COUNTIF(G158:I175,$B177)+COUNTIF(G158:I175,$B177&amp;" ~*")&gt;0)+(COUNTIF(K158:M175,$B177)+COUNTIF(K158:M175,$B177&amp;" ~*")&gt;0)+(COUNTIF(O158:Q175,$B177)+COUNTIF(O158:Q175,$B177&amp;" ~*")&gt;0)+(COUNTIF(S158:U175,$B177)+COUNTIF(S158:U175,$B177&amp;" ~*")&gt;0)+(COUNTIF(W158:W175,$B177)+COUNTIF(W158:W175,$B177&amp;" ~*")&gt;0)+(COUNTIF(Y158:Y175,$B177)+COUNTIF(Y158:Y175,$B177&amp;" ~*")&gt;0))</f>
        <v/>
      </c>
      <c r="AC177" s="36">
        <f>IF($B177="","",(IFERROR(INDEX(Setup!$G$33:$G$40,MATCH(C177,Setup!$B$33:$B$40,0)),0)=1)*(COUNTIF(C158:E175,$B177)+COUNTIF(C158:E175,$B177&amp;" ~*")&gt;0)+(IFERROR(INDEX(Setup!$G$33:$G$40,MATCH(G177,Setup!$B$33:$B$40,0)),0)=1)*(COUNTIF(G158:I175,$B177)+COUNTIF(G158:I175,$B177&amp;" ~*")&gt;0)+(IFERROR(INDEX(Setup!$G$33:$G$40,MATCH(K177,Setup!$B$33:$B$40,0)),0)=1)*(COUNTIF(K158:M175,$B177)+COUNTIF(K158:M175,$B177&amp;" ~*")&gt;0)+(IFERROR(INDEX(Setup!$G$33:$G$40,MATCH(O177,Setup!$B$33:$B$40,0)),0)=1)*(COUNTIF(O158:Q175,$B177)+COUNTIF(O158:Q175,$B177&amp;" ~*")&gt;0)+(IFERROR(INDEX(Setup!$G$33:$G$40,MATCH(S177,Setup!$B$33:$B$40,0)),0)=1)*(COUNTIF(S158:U175,$B177)+COUNTIF(S158:U175,$B177&amp;" ~*")&gt;0)+(IFERROR(INDEX(Setup!$G$33:$G$40,MATCH(W177,Setup!$B$33:$B$40,0)),0)=1)*(COUNTIF(W158:W175,$B177)+COUNTIF(W158:W175,$B177&amp;" ~*")&gt;0)+(IFERROR(INDEX(Setup!$G$33:$G$40,MATCH(Y177,Setup!$B$33:$B$40,0)),0)=1)*(COUNTIF(Y158:Y175,$B177)+COUNTIF(Y158:Y175,$B177&amp;" ~*")&gt;0))</f>
        <v/>
      </c>
    </row>
    <row r="178" ht="15" customHeight="1">
      <c r="A178" t="n">
        <v>4</v>
      </c>
      <c r="B178" s="37">
        <f>IF(Setup!$B$7="","",Setup!$B$7)</f>
        <v/>
      </c>
      <c r="C178" s="102" t="n"/>
      <c r="D178" s="103" t="n"/>
      <c r="E178" s="103" t="n"/>
      <c r="F178" s="104" t="n"/>
      <c r="G178" s="102" t="n"/>
      <c r="H178" s="103" t="n"/>
      <c r="I178" s="103" t="n"/>
      <c r="J178" s="104" t="n"/>
      <c r="K178" s="102" t="n"/>
      <c r="L178" s="103" t="n"/>
      <c r="M178" s="103" t="n"/>
      <c r="N178" s="104" t="n"/>
      <c r="O178" s="102" t="n"/>
      <c r="P178" s="103" t="n"/>
      <c r="Q178" s="103" t="n"/>
      <c r="R178" s="104" t="n"/>
      <c r="S178" s="102" t="n"/>
      <c r="T178" s="103" t="n"/>
      <c r="U178" s="103" t="n"/>
      <c r="V178" s="104" t="n"/>
      <c r="W178" s="102" t="n"/>
      <c r="X178" s="104" t="n"/>
      <c r="Y178" s="102" t="n"/>
      <c r="Z178" s="104" t="n"/>
      <c r="AB178" s="105">
        <f>IF($B178="","",(COUNTIF(C158:E175,$B178)+COUNTIF(C158:E175,$B178&amp;" ~*")&gt;0)+(COUNTIF(G158:I175,$B178)+COUNTIF(G158:I175,$B178&amp;" ~*")&gt;0)+(COUNTIF(K158:M175,$B178)+COUNTIF(K158:M175,$B178&amp;" ~*")&gt;0)+(COUNTIF(O158:Q175,$B178)+COUNTIF(O158:Q175,$B178&amp;" ~*")&gt;0)+(COUNTIF(S158:U175,$B178)+COUNTIF(S158:U175,$B178&amp;" ~*")&gt;0)+(COUNTIF(W158:W175,$B178)+COUNTIF(W158:W175,$B178&amp;" ~*")&gt;0)+(COUNTIF(Y158:Y175,$B178)+COUNTIF(Y158:Y175,$B178&amp;" ~*")&gt;0))</f>
        <v/>
      </c>
      <c r="AC178" s="38">
        <f>IF($B178="","",(IFERROR(INDEX(Setup!$G$33:$G$40,MATCH(C178,Setup!$B$33:$B$40,0)),0)=1)*(COUNTIF(C158:E175,$B178)+COUNTIF(C158:E175,$B178&amp;" ~*")&gt;0)+(IFERROR(INDEX(Setup!$G$33:$G$40,MATCH(G178,Setup!$B$33:$B$40,0)),0)=1)*(COUNTIF(G158:I175,$B178)+COUNTIF(G158:I175,$B178&amp;" ~*")&gt;0)+(IFERROR(INDEX(Setup!$G$33:$G$40,MATCH(K178,Setup!$B$33:$B$40,0)),0)=1)*(COUNTIF(K158:M175,$B178)+COUNTIF(K158:M175,$B178&amp;" ~*")&gt;0)+(IFERROR(INDEX(Setup!$G$33:$G$40,MATCH(O178,Setup!$B$33:$B$40,0)),0)=1)*(COUNTIF(O158:Q175,$B178)+COUNTIF(O158:Q175,$B178&amp;" ~*")&gt;0)+(IFERROR(INDEX(Setup!$G$33:$G$40,MATCH(S178,Setup!$B$33:$B$40,0)),0)=1)*(COUNTIF(S158:U175,$B178)+COUNTIF(S158:U175,$B178&amp;" ~*")&gt;0)+(IFERROR(INDEX(Setup!$G$33:$G$40,MATCH(W178,Setup!$B$33:$B$40,0)),0)=1)*(COUNTIF(W158:W175,$B178)+COUNTIF(W158:W175,$B178&amp;" ~*")&gt;0)+(IFERROR(INDEX(Setup!$G$33:$G$40,MATCH(Y178,Setup!$B$33:$B$40,0)),0)=1)*(COUNTIF(Y158:Y175,$B178)+COUNTIF(Y158:Y175,$B178&amp;" ~*")&gt;0))</f>
        <v/>
      </c>
    </row>
    <row r="179" ht="15" customHeight="1">
      <c r="A179" t="n">
        <v>4</v>
      </c>
      <c r="B179" s="35">
        <f>IF(Setup!$B$8="","",Setup!$B$8)</f>
        <v/>
      </c>
      <c r="C179" s="98" t="n"/>
      <c r="D179" s="99" t="n"/>
      <c r="E179" s="99" t="n"/>
      <c r="F179" s="100" t="n"/>
      <c r="G179" s="98" t="n"/>
      <c r="H179" s="99" t="n"/>
      <c r="I179" s="99" t="n"/>
      <c r="J179" s="100" t="n"/>
      <c r="K179" s="98" t="n"/>
      <c r="L179" s="99" t="n"/>
      <c r="M179" s="99" t="n"/>
      <c r="N179" s="100" t="n"/>
      <c r="O179" s="98" t="n"/>
      <c r="P179" s="99" t="n"/>
      <c r="Q179" s="99" t="n"/>
      <c r="R179" s="100" t="n"/>
      <c r="S179" s="98" t="n"/>
      <c r="T179" s="99" t="n"/>
      <c r="U179" s="99" t="n"/>
      <c r="V179" s="100" t="n"/>
      <c r="W179" s="98" t="n"/>
      <c r="X179" s="100" t="n"/>
      <c r="Y179" s="98" t="n"/>
      <c r="Z179" s="100" t="n"/>
      <c r="AB179" s="101">
        <f>IF($B179="","",(COUNTIF(C158:E175,$B179)+COUNTIF(C158:E175,$B179&amp;" ~*")&gt;0)+(COUNTIF(G158:I175,$B179)+COUNTIF(G158:I175,$B179&amp;" ~*")&gt;0)+(COUNTIF(K158:M175,$B179)+COUNTIF(K158:M175,$B179&amp;" ~*")&gt;0)+(COUNTIF(O158:Q175,$B179)+COUNTIF(O158:Q175,$B179&amp;" ~*")&gt;0)+(COUNTIF(S158:U175,$B179)+COUNTIF(S158:U175,$B179&amp;" ~*")&gt;0)+(COUNTIF(W158:W175,$B179)+COUNTIF(W158:W175,$B179&amp;" ~*")&gt;0)+(COUNTIF(Y158:Y175,$B179)+COUNTIF(Y158:Y175,$B179&amp;" ~*")&gt;0))</f>
        <v/>
      </c>
      <c r="AC179" s="36">
        <f>IF($B179="","",(IFERROR(INDEX(Setup!$G$33:$G$40,MATCH(C179,Setup!$B$33:$B$40,0)),0)=1)*(COUNTIF(C158:E175,$B179)+COUNTIF(C158:E175,$B179&amp;" ~*")&gt;0)+(IFERROR(INDEX(Setup!$G$33:$G$40,MATCH(G179,Setup!$B$33:$B$40,0)),0)=1)*(COUNTIF(G158:I175,$B179)+COUNTIF(G158:I175,$B179&amp;" ~*")&gt;0)+(IFERROR(INDEX(Setup!$G$33:$G$40,MATCH(K179,Setup!$B$33:$B$40,0)),0)=1)*(COUNTIF(K158:M175,$B179)+COUNTIF(K158:M175,$B179&amp;" ~*")&gt;0)+(IFERROR(INDEX(Setup!$G$33:$G$40,MATCH(O179,Setup!$B$33:$B$40,0)),0)=1)*(COUNTIF(O158:Q175,$B179)+COUNTIF(O158:Q175,$B179&amp;" ~*")&gt;0)+(IFERROR(INDEX(Setup!$G$33:$G$40,MATCH(S179,Setup!$B$33:$B$40,0)),0)=1)*(COUNTIF(S158:U175,$B179)+COUNTIF(S158:U175,$B179&amp;" ~*")&gt;0)+(IFERROR(INDEX(Setup!$G$33:$G$40,MATCH(W179,Setup!$B$33:$B$40,0)),0)=1)*(COUNTIF(W158:W175,$B179)+COUNTIF(W158:W175,$B179&amp;" ~*")&gt;0)+(IFERROR(INDEX(Setup!$G$33:$G$40,MATCH(Y179,Setup!$B$33:$B$40,0)),0)=1)*(COUNTIF(Y158:Y175,$B179)+COUNTIF(Y158:Y175,$B179&amp;" ~*")&gt;0))</f>
        <v/>
      </c>
    </row>
    <row r="180" ht="15" customHeight="1">
      <c r="A180" t="n">
        <v>4</v>
      </c>
      <c r="B180" s="37">
        <f>IF(Setup!$B$9="","",Setup!$B$9)</f>
        <v/>
      </c>
      <c r="C180" s="102" t="n"/>
      <c r="D180" s="103" t="n"/>
      <c r="E180" s="103" t="n"/>
      <c r="F180" s="104" t="n"/>
      <c r="G180" s="102" t="n"/>
      <c r="H180" s="103" t="n"/>
      <c r="I180" s="103" t="n"/>
      <c r="J180" s="104" t="n"/>
      <c r="K180" s="102" t="n"/>
      <c r="L180" s="103" t="n"/>
      <c r="M180" s="103" t="n"/>
      <c r="N180" s="104" t="n"/>
      <c r="O180" s="102" t="n"/>
      <c r="P180" s="103" t="n"/>
      <c r="Q180" s="103" t="n"/>
      <c r="R180" s="104" t="n"/>
      <c r="S180" s="102" t="n"/>
      <c r="T180" s="103" t="n"/>
      <c r="U180" s="103" t="n"/>
      <c r="V180" s="104" t="n"/>
      <c r="W180" s="102" t="n"/>
      <c r="X180" s="104" t="n"/>
      <c r="Y180" s="102" t="n"/>
      <c r="Z180" s="104" t="n"/>
      <c r="AB180" s="105">
        <f>IF($B180="","",(COUNTIF(C158:E175,$B180)+COUNTIF(C158:E175,$B180&amp;" ~*")&gt;0)+(COUNTIF(G158:I175,$B180)+COUNTIF(G158:I175,$B180&amp;" ~*")&gt;0)+(COUNTIF(K158:M175,$B180)+COUNTIF(K158:M175,$B180&amp;" ~*")&gt;0)+(COUNTIF(O158:Q175,$B180)+COUNTIF(O158:Q175,$B180&amp;" ~*")&gt;0)+(COUNTIF(S158:U175,$B180)+COUNTIF(S158:U175,$B180&amp;" ~*")&gt;0)+(COUNTIF(W158:W175,$B180)+COUNTIF(W158:W175,$B180&amp;" ~*")&gt;0)+(COUNTIF(Y158:Y175,$B180)+COUNTIF(Y158:Y175,$B180&amp;" ~*")&gt;0))</f>
        <v/>
      </c>
      <c r="AC180" s="38">
        <f>IF($B180="","",(IFERROR(INDEX(Setup!$G$33:$G$40,MATCH(C180,Setup!$B$33:$B$40,0)),0)=1)*(COUNTIF(C158:E175,$B180)+COUNTIF(C158:E175,$B180&amp;" ~*")&gt;0)+(IFERROR(INDEX(Setup!$G$33:$G$40,MATCH(G180,Setup!$B$33:$B$40,0)),0)=1)*(COUNTIF(G158:I175,$B180)+COUNTIF(G158:I175,$B180&amp;" ~*")&gt;0)+(IFERROR(INDEX(Setup!$G$33:$G$40,MATCH(K180,Setup!$B$33:$B$40,0)),0)=1)*(COUNTIF(K158:M175,$B180)+COUNTIF(K158:M175,$B180&amp;" ~*")&gt;0)+(IFERROR(INDEX(Setup!$G$33:$G$40,MATCH(O180,Setup!$B$33:$B$40,0)),0)=1)*(COUNTIF(O158:Q175,$B180)+COUNTIF(O158:Q175,$B180&amp;" ~*")&gt;0)+(IFERROR(INDEX(Setup!$G$33:$G$40,MATCH(S180,Setup!$B$33:$B$40,0)),0)=1)*(COUNTIF(S158:U175,$B180)+COUNTIF(S158:U175,$B180&amp;" ~*")&gt;0)+(IFERROR(INDEX(Setup!$G$33:$G$40,MATCH(W180,Setup!$B$33:$B$40,0)),0)=1)*(COUNTIF(W158:W175,$B180)+COUNTIF(W158:W175,$B180&amp;" ~*")&gt;0)+(IFERROR(INDEX(Setup!$G$33:$G$40,MATCH(Y180,Setup!$B$33:$B$40,0)),0)=1)*(COUNTIF(Y158:Y175,$B180)+COUNTIF(Y158:Y175,$B180&amp;" ~*")&gt;0))</f>
        <v/>
      </c>
    </row>
    <row r="181" ht="15" customHeight="1">
      <c r="A181" t="n">
        <v>4</v>
      </c>
      <c r="B181" s="35">
        <f>IF(Setup!$B$10="","",Setup!$B$10)</f>
        <v/>
      </c>
      <c r="C181" s="98" t="n"/>
      <c r="D181" s="99" t="n"/>
      <c r="E181" s="99" t="n"/>
      <c r="F181" s="100" t="n"/>
      <c r="G181" s="98" t="n"/>
      <c r="H181" s="99" t="n"/>
      <c r="I181" s="99" t="n"/>
      <c r="J181" s="100" t="n"/>
      <c r="K181" s="98" t="n"/>
      <c r="L181" s="99" t="n"/>
      <c r="M181" s="99" t="n"/>
      <c r="N181" s="100" t="n"/>
      <c r="O181" s="98" t="n"/>
      <c r="P181" s="99" t="n"/>
      <c r="Q181" s="99" t="n"/>
      <c r="R181" s="100" t="n"/>
      <c r="S181" s="98" t="n"/>
      <c r="T181" s="99" t="n"/>
      <c r="U181" s="99" t="n"/>
      <c r="V181" s="100" t="n"/>
      <c r="W181" s="98" t="n"/>
      <c r="X181" s="100" t="n"/>
      <c r="Y181" s="98" t="n"/>
      <c r="Z181" s="100" t="n"/>
      <c r="AB181" s="101">
        <f>IF($B181="","",(COUNTIF(C158:E175,$B181)+COUNTIF(C158:E175,$B181&amp;" ~*")&gt;0)+(COUNTIF(G158:I175,$B181)+COUNTIF(G158:I175,$B181&amp;" ~*")&gt;0)+(COUNTIF(K158:M175,$B181)+COUNTIF(K158:M175,$B181&amp;" ~*")&gt;0)+(COUNTIF(O158:Q175,$B181)+COUNTIF(O158:Q175,$B181&amp;" ~*")&gt;0)+(COUNTIF(S158:U175,$B181)+COUNTIF(S158:U175,$B181&amp;" ~*")&gt;0)+(COUNTIF(W158:W175,$B181)+COUNTIF(W158:W175,$B181&amp;" ~*")&gt;0)+(COUNTIF(Y158:Y175,$B181)+COUNTIF(Y158:Y175,$B181&amp;" ~*")&gt;0))</f>
        <v/>
      </c>
      <c r="AC181" s="36">
        <f>IF($B181="","",(IFERROR(INDEX(Setup!$G$33:$G$40,MATCH(C181,Setup!$B$33:$B$40,0)),0)=1)*(COUNTIF(C158:E175,$B181)+COUNTIF(C158:E175,$B181&amp;" ~*")&gt;0)+(IFERROR(INDEX(Setup!$G$33:$G$40,MATCH(G181,Setup!$B$33:$B$40,0)),0)=1)*(COUNTIF(G158:I175,$B181)+COUNTIF(G158:I175,$B181&amp;" ~*")&gt;0)+(IFERROR(INDEX(Setup!$G$33:$G$40,MATCH(K181,Setup!$B$33:$B$40,0)),0)=1)*(COUNTIF(K158:M175,$B181)+COUNTIF(K158:M175,$B181&amp;" ~*")&gt;0)+(IFERROR(INDEX(Setup!$G$33:$G$40,MATCH(O181,Setup!$B$33:$B$40,0)),0)=1)*(COUNTIF(O158:Q175,$B181)+COUNTIF(O158:Q175,$B181&amp;" ~*")&gt;0)+(IFERROR(INDEX(Setup!$G$33:$G$40,MATCH(S181,Setup!$B$33:$B$40,0)),0)=1)*(COUNTIF(S158:U175,$B181)+COUNTIF(S158:U175,$B181&amp;" ~*")&gt;0)+(IFERROR(INDEX(Setup!$G$33:$G$40,MATCH(W181,Setup!$B$33:$B$40,0)),0)=1)*(COUNTIF(W158:W175,$B181)+COUNTIF(W158:W175,$B181&amp;" ~*")&gt;0)+(IFERROR(INDEX(Setup!$G$33:$G$40,MATCH(Y181,Setup!$B$33:$B$40,0)),0)=1)*(COUNTIF(Y158:Y175,$B181)+COUNTIF(Y158:Y175,$B181&amp;" ~*")&gt;0))</f>
        <v/>
      </c>
    </row>
    <row r="182" ht="15" customHeight="1">
      <c r="A182" t="n">
        <v>4</v>
      </c>
      <c r="B182" s="37">
        <f>IF(Setup!$B$11="","",Setup!$B$11)</f>
        <v/>
      </c>
      <c r="C182" s="102" t="n"/>
      <c r="D182" s="103" t="n"/>
      <c r="E182" s="103" t="n"/>
      <c r="F182" s="104" t="n"/>
      <c r="G182" s="102" t="n"/>
      <c r="H182" s="103" t="n"/>
      <c r="I182" s="103" t="n"/>
      <c r="J182" s="104" t="n"/>
      <c r="K182" s="102" t="n"/>
      <c r="L182" s="103" t="n"/>
      <c r="M182" s="103" t="n"/>
      <c r="N182" s="104" t="n"/>
      <c r="O182" s="102" t="n"/>
      <c r="P182" s="103" t="n"/>
      <c r="Q182" s="103" t="n"/>
      <c r="R182" s="104" t="n"/>
      <c r="S182" s="102" t="n"/>
      <c r="T182" s="103" t="n"/>
      <c r="U182" s="103" t="n"/>
      <c r="V182" s="104" t="n"/>
      <c r="W182" s="102" t="n"/>
      <c r="X182" s="104" t="n"/>
      <c r="Y182" s="102" t="n"/>
      <c r="Z182" s="104" t="n"/>
      <c r="AB182" s="105">
        <f>IF($B182="","",(COUNTIF(C158:E175,$B182)+COUNTIF(C158:E175,$B182&amp;" ~*")&gt;0)+(COUNTIF(G158:I175,$B182)+COUNTIF(G158:I175,$B182&amp;" ~*")&gt;0)+(COUNTIF(K158:M175,$B182)+COUNTIF(K158:M175,$B182&amp;" ~*")&gt;0)+(COUNTIF(O158:Q175,$B182)+COUNTIF(O158:Q175,$B182&amp;" ~*")&gt;0)+(COUNTIF(S158:U175,$B182)+COUNTIF(S158:U175,$B182&amp;" ~*")&gt;0)+(COUNTIF(W158:W175,$B182)+COUNTIF(W158:W175,$B182&amp;" ~*")&gt;0)+(COUNTIF(Y158:Y175,$B182)+COUNTIF(Y158:Y175,$B182&amp;" ~*")&gt;0))</f>
        <v/>
      </c>
      <c r="AC182" s="38">
        <f>IF($B182="","",(IFERROR(INDEX(Setup!$G$33:$G$40,MATCH(C182,Setup!$B$33:$B$40,0)),0)=1)*(COUNTIF(C158:E175,$B182)+COUNTIF(C158:E175,$B182&amp;" ~*")&gt;0)+(IFERROR(INDEX(Setup!$G$33:$G$40,MATCH(G182,Setup!$B$33:$B$40,0)),0)=1)*(COUNTIF(G158:I175,$B182)+COUNTIF(G158:I175,$B182&amp;" ~*")&gt;0)+(IFERROR(INDEX(Setup!$G$33:$G$40,MATCH(K182,Setup!$B$33:$B$40,0)),0)=1)*(COUNTIF(K158:M175,$B182)+COUNTIF(K158:M175,$B182&amp;" ~*")&gt;0)+(IFERROR(INDEX(Setup!$G$33:$G$40,MATCH(O182,Setup!$B$33:$B$40,0)),0)=1)*(COUNTIF(O158:Q175,$B182)+COUNTIF(O158:Q175,$B182&amp;" ~*")&gt;0)+(IFERROR(INDEX(Setup!$G$33:$G$40,MATCH(S182,Setup!$B$33:$B$40,0)),0)=1)*(COUNTIF(S158:U175,$B182)+COUNTIF(S158:U175,$B182&amp;" ~*")&gt;0)+(IFERROR(INDEX(Setup!$G$33:$G$40,MATCH(W182,Setup!$B$33:$B$40,0)),0)=1)*(COUNTIF(W158:W175,$B182)+COUNTIF(W158:W175,$B182&amp;" ~*")&gt;0)+(IFERROR(INDEX(Setup!$G$33:$G$40,MATCH(Y182,Setup!$B$33:$B$40,0)),0)=1)*(COUNTIF(Y158:Y175,$B182)+COUNTIF(Y158:Y175,$B182&amp;" ~*")&gt;0))</f>
        <v/>
      </c>
    </row>
    <row r="183" ht="15" customHeight="1">
      <c r="A183" t="n">
        <v>4</v>
      </c>
      <c r="B183" s="35">
        <f>IF(Setup!$B$12="","",Setup!$B$12)</f>
        <v/>
      </c>
      <c r="C183" s="98" t="n"/>
      <c r="D183" s="99" t="n"/>
      <c r="E183" s="99" t="n"/>
      <c r="F183" s="100" t="n"/>
      <c r="G183" s="98" t="n"/>
      <c r="H183" s="99" t="n"/>
      <c r="I183" s="99" t="n"/>
      <c r="J183" s="100" t="n"/>
      <c r="K183" s="98" t="n"/>
      <c r="L183" s="99" t="n"/>
      <c r="M183" s="99" t="n"/>
      <c r="N183" s="100" t="n"/>
      <c r="O183" s="98" t="n"/>
      <c r="P183" s="99" t="n"/>
      <c r="Q183" s="99" t="n"/>
      <c r="R183" s="100" t="n"/>
      <c r="S183" s="98" t="n"/>
      <c r="T183" s="99" t="n"/>
      <c r="U183" s="99" t="n"/>
      <c r="V183" s="100" t="n"/>
      <c r="W183" s="98" t="n"/>
      <c r="X183" s="100" t="n"/>
      <c r="Y183" s="98" t="n"/>
      <c r="Z183" s="100" t="n"/>
      <c r="AB183" s="101">
        <f>IF($B183="","",(COUNTIF(C158:E175,$B183)+COUNTIF(C158:E175,$B183&amp;" ~*")&gt;0)+(COUNTIF(G158:I175,$B183)+COUNTIF(G158:I175,$B183&amp;" ~*")&gt;0)+(COUNTIF(K158:M175,$B183)+COUNTIF(K158:M175,$B183&amp;" ~*")&gt;0)+(COUNTIF(O158:Q175,$B183)+COUNTIF(O158:Q175,$B183&amp;" ~*")&gt;0)+(COUNTIF(S158:U175,$B183)+COUNTIF(S158:U175,$B183&amp;" ~*")&gt;0)+(COUNTIF(W158:W175,$B183)+COUNTIF(W158:W175,$B183&amp;" ~*")&gt;0)+(COUNTIF(Y158:Y175,$B183)+COUNTIF(Y158:Y175,$B183&amp;" ~*")&gt;0))</f>
        <v/>
      </c>
      <c r="AC183" s="36">
        <f>IF($B183="","",(IFERROR(INDEX(Setup!$G$33:$G$40,MATCH(C183,Setup!$B$33:$B$40,0)),0)=1)*(COUNTIF(C158:E175,$B183)+COUNTIF(C158:E175,$B183&amp;" ~*")&gt;0)+(IFERROR(INDEX(Setup!$G$33:$G$40,MATCH(G183,Setup!$B$33:$B$40,0)),0)=1)*(COUNTIF(G158:I175,$B183)+COUNTIF(G158:I175,$B183&amp;" ~*")&gt;0)+(IFERROR(INDEX(Setup!$G$33:$G$40,MATCH(K183,Setup!$B$33:$B$40,0)),0)=1)*(COUNTIF(K158:M175,$B183)+COUNTIF(K158:M175,$B183&amp;" ~*")&gt;0)+(IFERROR(INDEX(Setup!$G$33:$G$40,MATCH(O183,Setup!$B$33:$B$40,0)),0)=1)*(COUNTIF(O158:Q175,$B183)+COUNTIF(O158:Q175,$B183&amp;" ~*")&gt;0)+(IFERROR(INDEX(Setup!$G$33:$G$40,MATCH(S183,Setup!$B$33:$B$40,0)),0)=1)*(COUNTIF(S158:U175,$B183)+COUNTIF(S158:U175,$B183&amp;" ~*")&gt;0)+(IFERROR(INDEX(Setup!$G$33:$G$40,MATCH(W183,Setup!$B$33:$B$40,0)),0)=1)*(COUNTIF(W158:W175,$B183)+COUNTIF(W158:W175,$B183&amp;" ~*")&gt;0)+(IFERROR(INDEX(Setup!$G$33:$G$40,MATCH(Y183,Setup!$B$33:$B$40,0)),0)=1)*(COUNTIF(Y158:Y175,$B183)+COUNTIF(Y158:Y175,$B183&amp;" ~*")&gt;0))</f>
        <v/>
      </c>
    </row>
    <row r="184" ht="15" customHeight="1">
      <c r="A184" t="n">
        <v>4</v>
      </c>
      <c r="B184" s="37">
        <f>IF(Setup!$B$13="","",Setup!$B$13)</f>
        <v/>
      </c>
      <c r="C184" s="102" t="n"/>
      <c r="D184" s="103" t="n"/>
      <c r="E184" s="103" t="n"/>
      <c r="F184" s="104" t="n"/>
      <c r="G184" s="102" t="n"/>
      <c r="H184" s="103" t="n"/>
      <c r="I184" s="103" t="n"/>
      <c r="J184" s="104" t="n"/>
      <c r="K184" s="102" t="n"/>
      <c r="L184" s="103" t="n"/>
      <c r="M184" s="103" t="n"/>
      <c r="N184" s="104" t="n"/>
      <c r="O184" s="102" t="n"/>
      <c r="P184" s="103" t="n"/>
      <c r="Q184" s="103" t="n"/>
      <c r="R184" s="104" t="n"/>
      <c r="S184" s="102" t="n"/>
      <c r="T184" s="103" t="n"/>
      <c r="U184" s="103" t="n"/>
      <c r="V184" s="104" t="n"/>
      <c r="W184" s="102" t="n"/>
      <c r="X184" s="104" t="n"/>
      <c r="Y184" s="102" t="n"/>
      <c r="Z184" s="104" t="n"/>
      <c r="AB184" s="105">
        <f>IF($B184="","",(COUNTIF(C158:E175,$B184)+COUNTIF(C158:E175,$B184&amp;" ~*")&gt;0)+(COUNTIF(G158:I175,$B184)+COUNTIF(G158:I175,$B184&amp;" ~*")&gt;0)+(COUNTIF(K158:M175,$B184)+COUNTIF(K158:M175,$B184&amp;" ~*")&gt;0)+(COUNTIF(O158:Q175,$B184)+COUNTIF(O158:Q175,$B184&amp;" ~*")&gt;0)+(COUNTIF(S158:U175,$B184)+COUNTIF(S158:U175,$B184&amp;" ~*")&gt;0)+(COUNTIF(W158:W175,$B184)+COUNTIF(W158:W175,$B184&amp;" ~*")&gt;0)+(COUNTIF(Y158:Y175,$B184)+COUNTIF(Y158:Y175,$B184&amp;" ~*")&gt;0))</f>
        <v/>
      </c>
      <c r="AC184" s="38">
        <f>IF($B184="","",(IFERROR(INDEX(Setup!$G$33:$G$40,MATCH(C184,Setup!$B$33:$B$40,0)),0)=1)*(COUNTIF(C158:E175,$B184)+COUNTIF(C158:E175,$B184&amp;" ~*")&gt;0)+(IFERROR(INDEX(Setup!$G$33:$G$40,MATCH(G184,Setup!$B$33:$B$40,0)),0)=1)*(COUNTIF(G158:I175,$B184)+COUNTIF(G158:I175,$B184&amp;" ~*")&gt;0)+(IFERROR(INDEX(Setup!$G$33:$G$40,MATCH(K184,Setup!$B$33:$B$40,0)),0)=1)*(COUNTIF(K158:M175,$B184)+COUNTIF(K158:M175,$B184&amp;" ~*")&gt;0)+(IFERROR(INDEX(Setup!$G$33:$G$40,MATCH(O184,Setup!$B$33:$B$40,0)),0)=1)*(COUNTIF(O158:Q175,$B184)+COUNTIF(O158:Q175,$B184&amp;" ~*")&gt;0)+(IFERROR(INDEX(Setup!$G$33:$G$40,MATCH(S184,Setup!$B$33:$B$40,0)),0)=1)*(COUNTIF(S158:U175,$B184)+COUNTIF(S158:U175,$B184&amp;" ~*")&gt;0)+(IFERROR(INDEX(Setup!$G$33:$G$40,MATCH(W184,Setup!$B$33:$B$40,0)),0)=1)*(COUNTIF(W158:W175,$B184)+COUNTIF(W158:W175,$B184&amp;" ~*")&gt;0)+(IFERROR(INDEX(Setup!$G$33:$G$40,MATCH(Y184,Setup!$B$33:$B$40,0)),0)=1)*(COUNTIF(Y158:Y175,$B184)+COUNTIF(Y158:Y175,$B184&amp;" ~*")&gt;0))</f>
        <v/>
      </c>
    </row>
    <row r="185" ht="15" customHeight="1">
      <c r="A185" t="n">
        <v>4</v>
      </c>
      <c r="B185" s="35">
        <f>IF(Setup!$B$14="","",Setup!$B$14)</f>
        <v/>
      </c>
      <c r="C185" s="98" t="n"/>
      <c r="D185" s="99" t="n"/>
      <c r="E185" s="99" t="n"/>
      <c r="F185" s="100" t="n"/>
      <c r="G185" s="98" t="n"/>
      <c r="H185" s="99" t="n"/>
      <c r="I185" s="99" t="n"/>
      <c r="J185" s="100" t="n"/>
      <c r="K185" s="98" t="n"/>
      <c r="L185" s="99" t="n"/>
      <c r="M185" s="99" t="n"/>
      <c r="N185" s="100" t="n"/>
      <c r="O185" s="98" t="n"/>
      <c r="P185" s="99" t="n"/>
      <c r="Q185" s="99" t="n"/>
      <c r="R185" s="100" t="n"/>
      <c r="S185" s="98" t="n"/>
      <c r="T185" s="99" t="n"/>
      <c r="U185" s="99" t="n"/>
      <c r="V185" s="100" t="n"/>
      <c r="W185" s="98" t="n"/>
      <c r="X185" s="100" t="n"/>
      <c r="Y185" s="98" t="n"/>
      <c r="Z185" s="100" t="n"/>
      <c r="AB185" s="101">
        <f>IF($B185="","",(COUNTIF(C158:E175,$B185)+COUNTIF(C158:E175,$B185&amp;" ~*")&gt;0)+(COUNTIF(G158:I175,$B185)+COUNTIF(G158:I175,$B185&amp;" ~*")&gt;0)+(COUNTIF(K158:M175,$B185)+COUNTIF(K158:M175,$B185&amp;" ~*")&gt;0)+(COUNTIF(O158:Q175,$B185)+COUNTIF(O158:Q175,$B185&amp;" ~*")&gt;0)+(COUNTIF(S158:U175,$B185)+COUNTIF(S158:U175,$B185&amp;" ~*")&gt;0)+(COUNTIF(W158:W175,$B185)+COUNTIF(W158:W175,$B185&amp;" ~*")&gt;0)+(COUNTIF(Y158:Y175,$B185)+COUNTIF(Y158:Y175,$B185&amp;" ~*")&gt;0))</f>
        <v/>
      </c>
      <c r="AC185" s="36">
        <f>IF($B185="","",(IFERROR(INDEX(Setup!$G$33:$G$40,MATCH(C185,Setup!$B$33:$B$40,0)),0)=1)*(COUNTIF(C158:E175,$B185)+COUNTIF(C158:E175,$B185&amp;" ~*")&gt;0)+(IFERROR(INDEX(Setup!$G$33:$G$40,MATCH(G185,Setup!$B$33:$B$40,0)),0)=1)*(COUNTIF(G158:I175,$B185)+COUNTIF(G158:I175,$B185&amp;" ~*")&gt;0)+(IFERROR(INDEX(Setup!$G$33:$G$40,MATCH(K185,Setup!$B$33:$B$40,0)),0)=1)*(COUNTIF(K158:M175,$B185)+COUNTIF(K158:M175,$B185&amp;" ~*")&gt;0)+(IFERROR(INDEX(Setup!$G$33:$G$40,MATCH(O185,Setup!$B$33:$B$40,0)),0)=1)*(COUNTIF(O158:Q175,$B185)+COUNTIF(O158:Q175,$B185&amp;" ~*")&gt;0)+(IFERROR(INDEX(Setup!$G$33:$G$40,MATCH(S185,Setup!$B$33:$B$40,0)),0)=1)*(COUNTIF(S158:U175,$B185)+COUNTIF(S158:U175,$B185&amp;" ~*")&gt;0)+(IFERROR(INDEX(Setup!$G$33:$G$40,MATCH(W185,Setup!$B$33:$B$40,0)),0)=1)*(COUNTIF(W158:W175,$B185)+COUNTIF(W158:W175,$B185&amp;" ~*")&gt;0)+(IFERROR(INDEX(Setup!$G$33:$G$40,MATCH(Y185,Setup!$B$33:$B$40,0)),0)=1)*(COUNTIF(Y158:Y175,$B185)+COUNTIF(Y158:Y175,$B185&amp;" ~*")&gt;0))</f>
        <v/>
      </c>
    </row>
    <row r="186" ht="15" customHeight="1">
      <c r="A186" t="n">
        <v>4</v>
      </c>
      <c r="B186" s="37">
        <f>IF(Setup!$B$15="","",Setup!$B$15)</f>
        <v/>
      </c>
      <c r="C186" s="102" t="n"/>
      <c r="D186" s="103" t="n"/>
      <c r="E186" s="103" t="n"/>
      <c r="F186" s="104" t="n"/>
      <c r="G186" s="102" t="n"/>
      <c r="H186" s="103" t="n"/>
      <c r="I186" s="103" t="n"/>
      <c r="J186" s="104" t="n"/>
      <c r="K186" s="102" t="n"/>
      <c r="L186" s="103" t="n"/>
      <c r="M186" s="103" t="n"/>
      <c r="N186" s="104" t="n"/>
      <c r="O186" s="102" t="n"/>
      <c r="P186" s="103" t="n"/>
      <c r="Q186" s="103" t="n"/>
      <c r="R186" s="104" t="n"/>
      <c r="S186" s="102" t="n"/>
      <c r="T186" s="103" t="n"/>
      <c r="U186" s="103" t="n"/>
      <c r="V186" s="104" t="n"/>
      <c r="W186" s="102" t="n"/>
      <c r="X186" s="104" t="n"/>
      <c r="Y186" s="102" t="n"/>
      <c r="Z186" s="104" t="n"/>
      <c r="AB186" s="105">
        <f>IF($B186="","",(COUNTIF(C158:E175,$B186)+COUNTIF(C158:E175,$B186&amp;" ~*")&gt;0)+(COUNTIF(G158:I175,$B186)+COUNTIF(G158:I175,$B186&amp;" ~*")&gt;0)+(COUNTIF(K158:M175,$B186)+COUNTIF(K158:M175,$B186&amp;" ~*")&gt;0)+(COUNTIF(O158:Q175,$B186)+COUNTIF(O158:Q175,$B186&amp;" ~*")&gt;0)+(COUNTIF(S158:U175,$B186)+COUNTIF(S158:U175,$B186&amp;" ~*")&gt;0)+(COUNTIF(W158:W175,$B186)+COUNTIF(W158:W175,$B186&amp;" ~*")&gt;0)+(COUNTIF(Y158:Y175,$B186)+COUNTIF(Y158:Y175,$B186&amp;" ~*")&gt;0))</f>
        <v/>
      </c>
      <c r="AC186" s="38">
        <f>IF($B186="","",(IFERROR(INDEX(Setup!$G$33:$G$40,MATCH(C186,Setup!$B$33:$B$40,0)),0)=1)*(COUNTIF(C158:E175,$B186)+COUNTIF(C158:E175,$B186&amp;" ~*")&gt;0)+(IFERROR(INDEX(Setup!$G$33:$G$40,MATCH(G186,Setup!$B$33:$B$40,0)),0)=1)*(COUNTIF(G158:I175,$B186)+COUNTIF(G158:I175,$B186&amp;" ~*")&gt;0)+(IFERROR(INDEX(Setup!$G$33:$G$40,MATCH(K186,Setup!$B$33:$B$40,0)),0)=1)*(COUNTIF(K158:M175,$B186)+COUNTIF(K158:M175,$B186&amp;" ~*")&gt;0)+(IFERROR(INDEX(Setup!$G$33:$G$40,MATCH(O186,Setup!$B$33:$B$40,0)),0)=1)*(COUNTIF(O158:Q175,$B186)+COUNTIF(O158:Q175,$B186&amp;" ~*")&gt;0)+(IFERROR(INDEX(Setup!$G$33:$G$40,MATCH(S186,Setup!$B$33:$B$40,0)),0)=1)*(COUNTIF(S158:U175,$B186)+COUNTIF(S158:U175,$B186&amp;" ~*")&gt;0)+(IFERROR(INDEX(Setup!$G$33:$G$40,MATCH(W186,Setup!$B$33:$B$40,0)),0)=1)*(COUNTIF(W158:W175,$B186)+COUNTIF(W158:W175,$B186&amp;" ~*")&gt;0)+(IFERROR(INDEX(Setup!$G$33:$G$40,MATCH(Y186,Setup!$B$33:$B$40,0)),0)=1)*(COUNTIF(Y158:Y175,$B186)+COUNTIF(Y158:Y175,$B186&amp;" ~*")&gt;0))</f>
        <v/>
      </c>
    </row>
    <row r="187" ht="15" customHeight="1">
      <c r="A187" t="n">
        <v>4</v>
      </c>
      <c r="B187" s="35">
        <f>IF(Setup!$B$16="","",Setup!$B$16)</f>
        <v/>
      </c>
      <c r="C187" s="98" t="n"/>
      <c r="D187" s="99" t="n"/>
      <c r="E187" s="99" t="n"/>
      <c r="F187" s="100" t="n"/>
      <c r="G187" s="98" t="n"/>
      <c r="H187" s="99" t="n"/>
      <c r="I187" s="99" t="n"/>
      <c r="J187" s="100" t="n"/>
      <c r="K187" s="98" t="n"/>
      <c r="L187" s="99" t="n"/>
      <c r="M187" s="99" t="n"/>
      <c r="N187" s="100" t="n"/>
      <c r="O187" s="98" t="n"/>
      <c r="P187" s="99" t="n"/>
      <c r="Q187" s="99" t="n"/>
      <c r="R187" s="100" t="n"/>
      <c r="S187" s="98" t="n"/>
      <c r="T187" s="99" t="n"/>
      <c r="U187" s="99" t="n"/>
      <c r="V187" s="100" t="n"/>
      <c r="W187" s="98" t="n"/>
      <c r="X187" s="100" t="n"/>
      <c r="Y187" s="98" t="n"/>
      <c r="Z187" s="100" t="n"/>
      <c r="AB187" s="101">
        <f>IF($B187="","",(COUNTIF(C158:E175,$B187)+COUNTIF(C158:E175,$B187&amp;" ~*")&gt;0)+(COUNTIF(G158:I175,$B187)+COUNTIF(G158:I175,$B187&amp;" ~*")&gt;0)+(COUNTIF(K158:M175,$B187)+COUNTIF(K158:M175,$B187&amp;" ~*")&gt;0)+(COUNTIF(O158:Q175,$B187)+COUNTIF(O158:Q175,$B187&amp;" ~*")&gt;0)+(COUNTIF(S158:U175,$B187)+COUNTIF(S158:U175,$B187&amp;" ~*")&gt;0)+(COUNTIF(W158:W175,$B187)+COUNTIF(W158:W175,$B187&amp;" ~*")&gt;0)+(COUNTIF(Y158:Y175,$B187)+COUNTIF(Y158:Y175,$B187&amp;" ~*")&gt;0))</f>
        <v/>
      </c>
      <c r="AC187" s="36">
        <f>IF($B187="","",(IFERROR(INDEX(Setup!$G$33:$G$40,MATCH(C187,Setup!$B$33:$B$40,0)),0)=1)*(COUNTIF(C158:E175,$B187)+COUNTIF(C158:E175,$B187&amp;" ~*")&gt;0)+(IFERROR(INDEX(Setup!$G$33:$G$40,MATCH(G187,Setup!$B$33:$B$40,0)),0)=1)*(COUNTIF(G158:I175,$B187)+COUNTIF(G158:I175,$B187&amp;" ~*")&gt;0)+(IFERROR(INDEX(Setup!$G$33:$G$40,MATCH(K187,Setup!$B$33:$B$40,0)),0)=1)*(COUNTIF(K158:M175,$B187)+COUNTIF(K158:M175,$B187&amp;" ~*")&gt;0)+(IFERROR(INDEX(Setup!$G$33:$G$40,MATCH(O187,Setup!$B$33:$B$40,0)),0)=1)*(COUNTIF(O158:Q175,$B187)+COUNTIF(O158:Q175,$B187&amp;" ~*")&gt;0)+(IFERROR(INDEX(Setup!$G$33:$G$40,MATCH(S187,Setup!$B$33:$B$40,0)),0)=1)*(COUNTIF(S158:U175,$B187)+COUNTIF(S158:U175,$B187&amp;" ~*")&gt;0)+(IFERROR(INDEX(Setup!$G$33:$G$40,MATCH(W187,Setup!$B$33:$B$40,0)),0)=1)*(COUNTIF(W158:W175,$B187)+COUNTIF(W158:W175,$B187&amp;" ~*")&gt;0)+(IFERROR(INDEX(Setup!$G$33:$G$40,MATCH(Y187,Setup!$B$33:$B$40,0)),0)=1)*(COUNTIF(Y158:Y175,$B187)+COUNTIF(Y158:Y175,$B187&amp;" ~*")&gt;0))</f>
        <v/>
      </c>
    </row>
    <row r="188" ht="15" customHeight="1">
      <c r="A188" t="n">
        <v>4</v>
      </c>
      <c r="B188" s="37">
        <f>IF(Setup!$B$17="","",Setup!$B$17)</f>
        <v/>
      </c>
      <c r="C188" s="102" t="n"/>
      <c r="D188" s="103" t="n"/>
      <c r="E188" s="103" t="n"/>
      <c r="F188" s="104" t="n"/>
      <c r="G188" s="102" t="n"/>
      <c r="H188" s="103" t="n"/>
      <c r="I188" s="103" t="n"/>
      <c r="J188" s="104" t="n"/>
      <c r="K188" s="102" t="n"/>
      <c r="L188" s="103" t="n"/>
      <c r="M188" s="103" t="n"/>
      <c r="N188" s="104" t="n"/>
      <c r="O188" s="102" t="n"/>
      <c r="P188" s="103" t="n"/>
      <c r="Q188" s="103" t="n"/>
      <c r="R188" s="104" t="n"/>
      <c r="S188" s="102" t="n"/>
      <c r="T188" s="103" t="n"/>
      <c r="U188" s="103" t="n"/>
      <c r="V188" s="104" t="n"/>
      <c r="W188" s="102" t="n"/>
      <c r="X188" s="104" t="n"/>
      <c r="Y188" s="102" t="n"/>
      <c r="Z188" s="104" t="n"/>
      <c r="AB188" s="105">
        <f>IF($B188="","",(COUNTIF(C158:E175,$B188)+COUNTIF(C158:E175,$B188&amp;" ~*")&gt;0)+(COUNTIF(G158:I175,$B188)+COUNTIF(G158:I175,$B188&amp;" ~*")&gt;0)+(COUNTIF(K158:M175,$B188)+COUNTIF(K158:M175,$B188&amp;" ~*")&gt;0)+(COUNTIF(O158:Q175,$B188)+COUNTIF(O158:Q175,$B188&amp;" ~*")&gt;0)+(COUNTIF(S158:U175,$B188)+COUNTIF(S158:U175,$B188&amp;" ~*")&gt;0)+(COUNTIF(W158:W175,$B188)+COUNTIF(W158:W175,$B188&amp;" ~*")&gt;0)+(COUNTIF(Y158:Y175,$B188)+COUNTIF(Y158:Y175,$B188&amp;" ~*")&gt;0))</f>
        <v/>
      </c>
      <c r="AC188" s="38">
        <f>IF($B188="","",(IFERROR(INDEX(Setup!$G$33:$G$40,MATCH(C188,Setup!$B$33:$B$40,0)),0)=1)*(COUNTIF(C158:E175,$B188)+COUNTIF(C158:E175,$B188&amp;" ~*")&gt;0)+(IFERROR(INDEX(Setup!$G$33:$G$40,MATCH(G188,Setup!$B$33:$B$40,0)),0)=1)*(COUNTIF(G158:I175,$B188)+COUNTIF(G158:I175,$B188&amp;" ~*")&gt;0)+(IFERROR(INDEX(Setup!$G$33:$G$40,MATCH(K188,Setup!$B$33:$B$40,0)),0)=1)*(COUNTIF(K158:M175,$B188)+COUNTIF(K158:M175,$B188&amp;" ~*")&gt;0)+(IFERROR(INDEX(Setup!$G$33:$G$40,MATCH(O188,Setup!$B$33:$B$40,0)),0)=1)*(COUNTIF(O158:Q175,$B188)+COUNTIF(O158:Q175,$B188&amp;" ~*")&gt;0)+(IFERROR(INDEX(Setup!$G$33:$G$40,MATCH(S188,Setup!$B$33:$B$40,0)),0)=1)*(COUNTIF(S158:U175,$B188)+COUNTIF(S158:U175,$B188&amp;" ~*")&gt;0)+(IFERROR(INDEX(Setup!$G$33:$G$40,MATCH(W188,Setup!$B$33:$B$40,0)),0)=1)*(COUNTIF(W158:W175,$B188)+COUNTIF(W158:W175,$B188&amp;" ~*")&gt;0)+(IFERROR(INDEX(Setup!$G$33:$G$40,MATCH(Y188,Setup!$B$33:$B$40,0)),0)=1)*(COUNTIF(Y158:Y175,$B188)+COUNTIF(Y158:Y175,$B188&amp;" ~*")&gt;0))</f>
        <v/>
      </c>
    </row>
    <row r="189" ht="15" customHeight="1">
      <c r="A189" t="n">
        <v>4</v>
      </c>
      <c r="B189" s="35">
        <f>IF(Setup!$B$18="","",Setup!$B$18)</f>
        <v/>
      </c>
      <c r="C189" s="98" t="n"/>
      <c r="D189" s="99" t="n"/>
      <c r="E189" s="99" t="n"/>
      <c r="F189" s="100" t="n"/>
      <c r="G189" s="98" t="n"/>
      <c r="H189" s="99" t="n"/>
      <c r="I189" s="99" t="n"/>
      <c r="J189" s="100" t="n"/>
      <c r="K189" s="98" t="n"/>
      <c r="L189" s="99" t="n"/>
      <c r="M189" s="99" t="n"/>
      <c r="N189" s="100" t="n"/>
      <c r="O189" s="98" t="n"/>
      <c r="P189" s="99" t="n"/>
      <c r="Q189" s="99" t="n"/>
      <c r="R189" s="100" t="n"/>
      <c r="S189" s="98" t="n"/>
      <c r="T189" s="99" t="n"/>
      <c r="U189" s="99" t="n"/>
      <c r="V189" s="100" t="n"/>
      <c r="W189" s="98" t="n"/>
      <c r="X189" s="100" t="n"/>
      <c r="Y189" s="98" t="n"/>
      <c r="Z189" s="100" t="n"/>
      <c r="AB189" s="101">
        <f>IF($B189="","",(COUNTIF(C158:E175,$B189)+COUNTIF(C158:E175,$B189&amp;" ~*")&gt;0)+(COUNTIF(G158:I175,$B189)+COUNTIF(G158:I175,$B189&amp;" ~*")&gt;0)+(COUNTIF(K158:M175,$B189)+COUNTIF(K158:M175,$B189&amp;" ~*")&gt;0)+(COUNTIF(O158:Q175,$B189)+COUNTIF(O158:Q175,$B189&amp;" ~*")&gt;0)+(COUNTIF(S158:U175,$B189)+COUNTIF(S158:U175,$B189&amp;" ~*")&gt;0)+(COUNTIF(W158:W175,$B189)+COUNTIF(W158:W175,$B189&amp;" ~*")&gt;0)+(COUNTIF(Y158:Y175,$B189)+COUNTIF(Y158:Y175,$B189&amp;" ~*")&gt;0))</f>
        <v/>
      </c>
      <c r="AC189" s="36">
        <f>IF($B189="","",(IFERROR(INDEX(Setup!$G$33:$G$40,MATCH(C189,Setup!$B$33:$B$40,0)),0)=1)*(COUNTIF(C158:E175,$B189)+COUNTIF(C158:E175,$B189&amp;" ~*")&gt;0)+(IFERROR(INDEX(Setup!$G$33:$G$40,MATCH(G189,Setup!$B$33:$B$40,0)),0)=1)*(COUNTIF(G158:I175,$B189)+COUNTIF(G158:I175,$B189&amp;" ~*")&gt;0)+(IFERROR(INDEX(Setup!$G$33:$G$40,MATCH(K189,Setup!$B$33:$B$40,0)),0)=1)*(COUNTIF(K158:M175,$B189)+COUNTIF(K158:M175,$B189&amp;" ~*")&gt;0)+(IFERROR(INDEX(Setup!$G$33:$G$40,MATCH(O189,Setup!$B$33:$B$40,0)),0)=1)*(COUNTIF(O158:Q175,$B189)+COUNTIF(O158:Q175,$B189&amp;" ~*")&gt;0)+(IFERROR(INDEX(Setup!$G$33:$G$40,MATCH(S189,Setup!$B$33:$B$40,0)),0)=1)*(COUNTIF(S158:U175,$B189)+COUNTIF(S158:U175,$B189&amp;" ~*")&gt;0)+(IFERROR(INDEX(Setup!$G$33:$G$40,MATCH(W189,Setup!$B$33:$B$40,0)),0)=1)*(COUNTIF(W158:W175,$B189)+COUNTIF(W158:W175,$B189&amp;" ~*")&gt;0)+(IFERROR(INDEX(Setup!$G$33:$G$40,MATCH(Y189,Setup!$B$33:$B$40,0)),0)=1)*(COUNTIF(Y158:Y175,$B189)+COUNTIF(Y158:Y175,$B189&amp;" ~*")&gt;0))</f>
        <v/>
      </c>
    </row>
    <row r="190" ht="15" customHeight="1">
      <c r="A190" t="n">
        <v>4</v>
      </c>
      <c r="B190" s="37">
        <f>IF(Setup!$B$19="","",Setup!$B$19)</f>
        <v/>
      </c>
      <c r="C190" s="102" t="n"/>
      <c r="D190" s="103" t="n"/>
      <c r="E190" s="103" t="n"/>
      <c r="F190" s="104" t="n"/>
      <c r="G190" s="102" t="n"/>
      <c r="H190" s="103" t="n"/>
      <c r="I190" s="103" t="n"/>
      <c r="J190" s="104" t="n"/>
      <c r="K190" s="102" t="n"/>
      <c r="L190" s="103" t="n"/>
      <c r="M190" s="103" t="n"/>
      <c r="N190" s="104" t="n"/>
      <c r="O190" s="102" t="n"/>
      <c r="P190" s="103" t="n"/>
      <c r="Q190" s="103" t="n"/>
      <c r="R190" s="104" t="n"/>
      <c r="S190" s="102" t="n"/>
      <c r="T190" s="103" t="n"/>
      <c r="U190" s="103" t="n"/>
      <c r="V190" s="104" t="n"/>
      <c r="W190" s="102" t="n"/>
      <c r="X190" s="104" t="n"/>
      <c r="Y190" s="102" t="n"/>
      <c r="Z190" s="104" t="n"/>
      <c r="AB190" s="105">
        <f>IF($B190="","",(COUNTIF(C158:E175,$B190)+COUNTIF(C158:E175,$B190&amp;" ~*")&gt;0)+(COUNTIF(G158:I175,$B190)+COUNTIF(G158:I175,$B190&amp;" ~*")&gt;0)+(COUNTIF(K158:M175,$B190)+COUNTIF(K158:M175,$B190&amp;" ~*")&gt;0)+(COUNTIF(O158:Q175,$B190)+COUNTIF(O158:Q175,$B190&amp;" ~*")&gt;0)+(COUNTIF(S158:U175,$B190)+COUNTIF(S158:U175,$B190&amp;" ~*")&gt;0)+(COUNTIF(W158:W175,$B190)+COUNTIF(W158:W175,$B190&amp;" ~*")&gt;0)+(COUNTIF(Y158:Y175,$B190)+COUNTIF(Y158:Y175,$B190&amp;" ~*")&gt;0))</f>
        <v/>
      </c>
      <c r="AC190" s="38">
        <f>IF($B190="","",(IFERROR(INDEX(Setup!$G$33:$G$40,MATCH(C190,Setup!$B$33:$B$40,0)),0)=1)*(COUNTIF(C158:E175,$B190)+COUNTIF(C158:E175,$B190&amp;" ~*")&gt;0)+(IFERROR(INDEX(Setup!$G$33:$G$40,MATCH(G190,Setup!$B$33:$B$40,0)),0)=1)*(COUNTIF(G158:I175,$B190)+COUNTIF(G158:I175,$B190&amp;" ~*")&gt;0)+(IFERROR(INDEX(Setup!$G$33:$G$40,MATCH(K190,Setup!$B$33:$B$40,0)),0)=1)*(COUNTIF(K158:M175,$B190)+COUNTIF(K158:M175,$B190&amp;" ~*")&gt;0)+(IFERROR(INDEX(Setup!$G$33:$G$40,MATCH(O190,Setup!$B$33:$B$40,0)),0)=1)*(COUNTIF(O158:Q175,$B190)+COUNTIF(O158:Q175,$B190&amp;" ~*")&gt;0)+(IFERROR(INDEX(Setup!$G$33:$G$40,MATCH(S190,Setup!$B$33:$B$40,0)),0)=1)*(COUNTIF(S158:U175,$B190)+COUNTIF(S158:U175,$B190&amp;" ~*")&gt;0)+(IFERROR(INDEX(Setup!$G$33:$G$40,MATCH(W190,Setup!$B$33:$B$40,0)),0)=1)*(COUNTIF(W158:W175,$B190)+COUNTIF(W158:W175,$B190&amp;" ~*")&gt;0)+(IFERROR(INDEX(Setup!$G$33:$G$40,MATCH(Y190,Setup!$B$33:$B$40,0)),0)=1)*(COUNTIF(Y158:Y175,$B190)+COUNTIF(Y158:Y175,$B190&amp;" ~*")&gt;0))</f>
        <v/>
      </c>
    </row>
    <row r="191" ht="15" customHeight="1">
      <c r="A191" t="n">
        <v>4</v>
      </c>
      <c r="B191" s="35">
        <f>IF(Setup!$B$20="","",Setup!$B$20)</f>
        <v/>
      </c>
      <c r="C191" s="98" t="n"/>
      <c r="D191" s="99" t="n"/>
      <c r="E191" s="99" t="n"/>
      <c r="F191" s="100" t="n"/>
      <c r="G191" s="98" t="n"/>
      <c r="H191" s="99" t="n"/>
      <c r="I191" s="99" t="n"/>
      <c r="J191" s="100" t="n"/>
      <c r="K191" s="98" t="n"/>
      <c r="L191" s="99" t="n"/>
      <c r="M191" s="99" t="n"/>
      <c r="N191" s="100" t="n"/>
      <c r="O191" s="98" t="n"/>
      <c r="P191" s="99" t="n"/>
      <c r="Q191" s="99" t="n"/>
      <c r="R191" s="100" t="n"/>
      <c r="S191" s="98" t="n"/>
      <c r="T191" s="99" t="n"/>
      <c r="U191" s="99" t="n"/>
      <c r="V191" s="100" t="n"/>
      <c r="W191" s="98" t="n"/>
      <c r="X191" s="100" t="n"/>
      <c r="Y191" s="98" t="n"/>
      <c r="Z191" s="100" t="n"/>
      <c r="AB191" s="101">
        <f>IF($B191="","",(COUNTIF(C158:E175,$B191)+COUNTIF(C158:E175,$B191&amp;" ~*")&gt;0)+(COUNTIF(G158:I175,$B191)+COUNTIF(G158:I175,$B191&amp;" ~*")&gt;0)+(COUNTIF(K158:M175,$B191)+COUNTIF(K158:M175,$B191&amp;" ~*")&gt;0)+(COUNTIF(O158:Q175,$B191)+COUNTIF(O158:Q175,$B191&amp;" ~*")&gt;0)+(COUNTIF(S158:U175,$B191)+COUNTIF(S158:U175,$B191&amp;" ~*")&gt;0)+(COUNTIF(W158:W175,$B191)+COUNTIF(W158:W175,$B191&amp;" ~*")&gt;0)+(COUNTIF(Y158:Y175,$B191)+COUNTIF(Y158:Y175,$B191&amp;" ~*")&gt;0))</f>
        <v/>
      </c>
      <c r="AC191" s="36">
        <f>IF($B191="","",(IFERROR(INDEX(Setup!$G$33:$G$40,MATCH(C191,Setup!$B$33:$B$40,0)),0)=1)*(COUNTIF(C158:E175,$B191)+COUNTIF(C158:E175,$B191&amp;" ~*")&gt;0)+(IFERROR(INDEX(Setup!$G$33:$G$40,MATCH(G191,Setup!$B$33:$B$40,0)),0)=1)*(COUNTIF(G158:I175,$B191)+COUNTIF(G158:I175,$B191&amp;" ~*")&gt;0)+(IFERROR(INDEX(Setup!$G$33:$G$40,MATCH(K191,Setup!$B$33:$B$40,0)),0)=1)*(COUNTIF(K158:M175,$B191)+COUNTIF(K158:M175,$B191&amp;" ~*")&gt;0)+(IFERROR(INDEX(Setup!$G$33:$G$40,MATCH(O191,Setup!$B$33:$B$40,0)),0)=1)*(COUNTIF(O158:Q175,$B191)+COUNTIF(O158:Q175,$B191&amp;" ~*")&gt;0)+(IFERROR(INDEX(Setup!$G$33:$G$40,MATCH(S191,Setup!$B$33:$B$40,0)),0)=1)*(COUNTIF(S158:U175,$B191)+COUNTIF(S158:U175,$B191&amp;" ~*")&gt;0)+(IFERROR(INDEX(Setup!$G$33:$G$40,MATCH(W191,Setup!$B$33:$B$40,0)),0)=1)*(COUNTIF(W158:W175,$B191)+COUNTIF(W158:W175,$B191&amp;" ~*")&gt;0)+(IFERROR(INDEX(Setup!$G$33:$G$40,MATCH(Y191,Setup!$B$33:$B$40,0)),0)=1)*(COUNTIF(Y158:Y175,$B191)+COUNTIF(Y158:Y175,$B191&amp;" ~*")&gt;0))</f>
        <v/>
      </c>
    </row>
    <row r="192" ht="15" customHeight="1">
      <c r="A192" t="n">
        <v>4</v>
      </c>
      <c r="B192" s="37">
        <f>IF(Setup!$B$21="","",Setup!$B$21)</f>
        <v/>
      </c>
      <c r="C192" s="102" t="n"/>
      <c r="D192" s="103" t="n"/>
      <c r="E192" s="103" t="n"/>
      <c r="F192" s="104" t="n"/>
      <c r="G192" s="102" t="n"/>
      <c r="H192" s="103" t="n"/>
      <c r="I192" s="103" t="n"/>
      <c r="J192" s="104" t="n"/>
      <c r="K192" s="102" t="n"/>
      <c r="L192" s="103" t="n"/>
      <c r="M192" s="103" t="n"/>
      <c r="N192" s="104" t="n"/>
      <c r="O192" s="102" t="n"/>
      <c r="P192" s="103" t="n"/>
      <c r="Q192" s="103" t="n"/>
      <c r="R192" s="104" t="n"/>
      <c r="S192" s="102" t="n"/>
      <c r="T192" s="103" t="n"/>
      <c r="U192" s="103" t="n"/>
      <c r="V192" s="104" t="n"/>
      <c r="W192" s="102" t="n"/>
      <c r="X192" s="104" t="n"/>
      <c r="Y192" s="102" t="n"/>
      <c r="Z192" s="104" t="n"/>
      <c r="AB192" s="105">
        <f>IF($B192="","",(COUNTIF(C158:E175,$B192)+COUNTIF(C158:E175,$B192&amp;" ~*")&gt;0)+(COUNTIF(G158:I175,$B192)+COUNTIF(G158:I175,$B192&amp;" ~*")&gt;0)+(COUNTIF(K158:M175,$B192)+COUNTIF(K158:M175,$B192&amp;" ~*")&gt;0)+(COUNTIF(O158:Q175,$B192)+COUNTIF(O158:Q175,$B192&amp;" ~*")&gt;0)+(COUNTIF(S158:U175,$B192)+COUNTIF(S158:U175,$B192&amp;" ~*")&gt;0)+(COUNTIF(W158:W175,$B192)+COUNTIF(W158:W175,$B192&amp;" ~*")&gt;0)+(COUNTIF(Y158:Y175,$B192)+COUNTIF(Y158:Y175,$B192&amp;" ~*")&gt;0))</f>
        <v/>
      </c>
      <c r="AC192" s="38">
        <f>IF($B192="","",(IFERROR(INDEX(Setup!$G$33:$G$40,MATCH(C192,Setup!$B$33:$B$40,0)),0)=1)*(COUNTIF(C158:E175,$B192)+COUNTIF(C158:E175,$B192&amp;" ~*")&gt;0)+(IFERROR(INDEX(Setup!$G$33:$G$40,MATCH(G192,Setup!$B$33:$B$40,0)),0)=1)*(COUNTIF(G158:I175,$B192)+COUNTIF(G158:I175,$B192&amp;" ~*")&gt;0)+(IFERROR(INDEX(Setup!$G$33:$G$40,MATCH(K192,Setup!$B$33:$B$40,0)),0)=1)*(COUNTIF(K158:M175,$B192)+COUNTIF(K158:M175,$B192&amp;" ~*")&gt;0)+(IFERROR(INDEX(Setup!$G$33:$G$40,MATCH(O192,Setup!$B$33:$B$40,0)),0)=1)*(COUNTIF(O158:Q175,$B192)+COUNTIF(O158:Q175,$B192&amp;" ~*")&gt;0)+(IFERROR(INDEX(Setup!$G$33:$G$40,MATCH(S192,Setup!$B$33:$B$40,0)),0)=1)*(COUNTIF(S158:U175,$B192)+COUNTIF(S158:U175,$B192&amp;" ~*")&gt;0)+(IFERROR(INDEX(Setup!$G$33:$G$40,MATCH(W192,Setup!$B$33:$B$40,0)),0)=1)*(COUNTIF(W158:W175,$B192)+COUNTIF(W158:W175,$B192&amp;" ~*")&gt;0)+(IFERROR(INDEX(Setup!$G$33:$G$40,MATCH(Y192,Setup!$B$33:$B$40,0)),0)=1)*(COUNTIF(Y158:Y175,$B192)+COUNTIF(Y158:Y175,$B192&amp;" ~*")&gt;0))</f>
        <v/>
      </c>
    </row>
    <row r="193" ht="15" customHeight="1">
      <c r="A193" t="n">
        <v>4</v>
      </c>
      <c r="B193" s="35">
        <f>IF(Setup!$B$22="","",Setup!$B$22)</f>
        <v/>
      </c>
      <c r="C193" s="98" t="n"/>
      <c r="D193" s="99" t="n"/>
      <c r="E193" s="99" t="n"/>
      <c r="F193" s="100" t="n"/>
      <c r="G193" s="98" t="n"/>
      <c r="H193" s="99" t="n"/>
      <c r="I193" s="99" t="n"/>
      <c r="J193" s="100" t="n"/>
      <c r="K193" s="98" t="n"/>
      <c r="L193" s="99" t="n"/>
      <c r="M193" s="99" t="n"/>
      <c r="N193" s="100" t="n"/>
      <c r="O193" s="98" t="n"/>
      <c r="P193" s="99" t="n"/>
      <c r="Q193" s="99" t="n"/>
      <c r="R193" s="100" t="n"/>
      <c r="S193" s="98" t="n"/>
      <c r="T193" s="99" t="n"/>
      <c r="U193" s="99" t="n"/>
      <c r="V193" s="100" t="n"/>
      <c r="W193" s="98" t="n"/>
      <c r="X193" s="100" t="n"/>
      <c r="Y193" s="98" t="n"/>
      <c r="Z193" s="100" t="n"/>
      <c r="AB193" s="101">
        <f>IF($B193="","",(COUNTIF(C158:E175,$B193)+COUNTIF(C158:E175,$B193&amp;" ~*")&gt;0)+(COUNTIF(G158:I175,$B193)+COUNTIF(G158:I175,$B193&amp;" ~*")&gt;0)+(COUNTIF(K158:M175,$B193)+COUNTIF(K158:M175,$B193&amp;" ~*")&gt;0)+(COUNTIF(O158:Q175,$B193)+COUNTIF(O158:Q175,$B193&amp;" ~*")&gt;0)+(COUNTIF(S158:U175,$B193)+COUNTIF(S158:U175,$B193&amp;" ~*")&gt;0)+(COUNTIF(W158:W175,$B193)+COUNTIF(W158:W175,$B193&amp;" ~*")&gt;0)+(COUNTIF(Y158:Y175,$B193)+COUNTIF(Y158:Y175,$B193&amp;" ~*")&gt;0))</f>
        <v/>
      </c>
      <c r="AC193" s="36">
        <f>IF($B193="","",(IFERROR(INDEX(Setup!$G$33:$G$40,MATCH(C193,Setup!$B$33:$B$40,0)),0)=1)*(COUNTIF(C158:E175,$B193)+COUNTIF(C158:E175,$B193&amp;" ~*")&gt;0)+(IFERROR(INDEX(Setup!$G$33:$G$40,MATCH(G193,Setup!$B$33:$B$40,0)),0)=1)*(COUNTIF(G158:I175,$B193)+COUNTIF(G158:I175,$B193&amp;" ~*")&gt;0)+(IFERROR(INDEX(Setup!$G$33:$G$40,MATCH(K193,Setup!$B$33:$B$40,0)),0)=1)*(COUNTIF(K158:M175,$B193)+COUNTIF(K158:M175,$B193&amp;" ~*")&gt;0)+(IFERROR(INDEX(Setup!$G$33:$G$40,MATCH(O193,Setup!$B$33:$B$40,0)),0)=1)*(COUNTIF(O158:Q175,$B193)+COUNTIF(O158:Q175,$B193&amp;" ~*")&gt;0)+(IFERROR(INDEX(Setup!$G$33:$G$40,MATCH(S193,Setup!$B$33:$B$40,0)),0)=1)*(COUNTIF(S158:U175,$B193)+COUNTIF(S158:U175,$B193&amp;" ~*")&gt;0)+(IFERROR(INDEX(Setup!$G$33:$G$40,MATCH(W193,Setup!$B$33:$B$40,0)),0)=1)*(COUNTIF(W158:W175,$B193)+COUNTIF(W158:W175,$B193&amp;" ~*")&gt;0)+(IFERROR(INDEX(Setup!$G$33:$G$40,MATCH(Y193,Setup!$B$33:$B$40,0)),0)=1)*(COUNTIF(Y158:Y175,$B193)+COUNTIF(Y158:Y175,$B193&amp;" ~*")&gt;0))</f>
        <v/>
      </c>
    </row>
    <row r="194" ht="15" customHeight="1">
      <c r="A194" t="n">
        <v>4</v>
      </c>
      <c r="B194" s="37">
        <f>IF(Setup!$B$23="","",Setup!$B$23)</f>
        <v/>
      </c>
      <c r="C194" s="102" t="n"/>
      <c r="D194" s="103" t="n"/>
      <c r="E194" s="103" t="n"/>
      <c r="F194" s="104" t="n"/>
      <c r="G194" s="102" t="n"/>
      <c r="H194" s="103" t="n"/>
      <c r="I194" s="103" t="n"/>
      <c r="J194" s="104" t="n"/>
      <c r="K194" s="102" t="n"/>
      <c r="L194" s="103" t="n"/>
      <c r="M194" s="103" t="n"/>
      <c r="N194" s="104" t="n"/>
      <c r="O194" s="102" t="n"/>
      <c r="P194" s="103" t="n"/>
      <c r="Q194" s="103" t="n"/>
      <c r="R194" s="104" t="n"/>
      <c r="S194" s="102" t="n"/>
      <c r="T194" s="103" t="n"/>
      <c r="U194" s="103" t="n"/>
      <c r="V194" s="104" t="n"/>
      <c r="W194" s="102" t="n"/>
      <c r="X194" s="104" t="n"/>
      <c r="Y194" s="102" t="n"/>
      <c r="Z194" s="104" t="n"/>
      <c r="AB194" s="105">
        <f>IF($B194="","",(COUNTIF(C158:E175,$B194)+COUNTIF(C158:E175,$B194&amp;" ~*")&gt;0)+(COUNTIF(G158:I175,$B194)+COUNTIF(G158:I175,$B194&amp;" ~*")&gt;0)+(COUNTIF(K158:M175,$B194)+COUNTIF(K158:M175,$B194&amp;" ~*")&gt;0)+(COUNTIF(O158:Q175,$B194)+COUNTIF(O158:Q175,$B194&amp;" ~*")&gt;0)+(COUNTIF(S158:U175,$B194)+COUNTIF(S158:U175,$B194&amp;" ~*")&gt;0)+(COUNTIF(W158:W175,$B194)+COUNTIF(W158:W175,$B194&amp;" ~*")&gt;0)+(COUNTIF(Y158:Y175,$B194)+COUNTIF(Y158:Y175,$B194&amp;" ~*")&gt;0))</f>
        <v/>
      </c>
      <c r="AC194" s="38">
        <f>IF($B194="","",(IFERROR(INDEX(Setup!$G$33:$G$40,MATCH(C194,Setup!$B$33:$B$40,0)),0)=1)*(COUNTIF(C158:E175,$B194)+COUNTIF(C158:E175,$B194&amp;" ~*")&gt;0)+(IFERROR(INDEX(Setup!$G$33:$G$40,MATCH(G194,Setup!$B$33:$B$40,0)),0)=1)*(COUNTIF(G158:I175,$B194)+COUNTIF(G158:I175,$B194&amp;" ~*")&gt;0)+(IFERROR(INDEX(Setup!$G$33:$G$40,MATCH(K194,Setup!$B$33:$B$40,0)),0)=1)*(COUNTIF(K158:M175,$B194)+COUNTIF(K158:M175,$B194&amp;" ~*")&gt;0)+(IFERROR(INDEX(Setup!$G$33:$G$40,MATCH(O194,Setup!$B$33:$B$40,0)),0)=1)*(COUNTIF(O158:Q175,$B194)+COUNTIF(O158:Q175,$B194&amp;" ~*")&gt;0)+(IFERROR(INDEX(Setup!$G$33:$G$40,MATCH(S194,Setup!$B$33:$B$40,0)),0)=1)*(COUNTIF(S158:U175,$B194)+COUNTIF(S158:U175,$B194&amp;" ~*")&gt;0)+(IFERROR(INDEX(Setup!$G$33:$G$40,MATCH(W194,Setup!$B$33:$B$40,0)),0)=1)*(COUNTIF(W158:W175,$B194)+COUNTIF(W158:W175,$B194&amp;" ~*")&gt;0)+(IFERROR(INDEX(Setup!$G$33:$G$40,MATCH(Y194,Setup!$B$33:$B$40,0)),0)=1)*(COUNTIF(Y158:Y175,$B194)+COUNTIF(Y158:Y175,$B194&amp;" ~*")&gt;0))</f>
        <v/>
      </c>
    </row>
    <row r="195" ht="15" customHeight="1">
      <c r="A195" t="n">
        <v>4</v>
      </c>
      <c r="B195" s="35">
        <f>IF(Setup!$B$24="","",Setup!$B$24)</f>
        <v/>
      </c>
      <c r="C195" s="98" t="n"/>
      <c r="D195" s="99" t="n"/>
      <c r="E195" s="99" t="n"/>
      <c r="F195" s="100" t="n"/>
      <c r="G195" s="98" t="n"/>
      <c r="H195" s="99" t="n"/>
      <c r="I195" s="99" t="n"/>
      <c r="J195" s="100" t="n"/>
      <c r="K195" s="98" t="n"/>
      <c r="L195" s="99" t="n"/>
      <c r="M195" s="99" t="n"/>
      <c r="N195" s="100" t="n"/>
      <c r="O195" s="98" t="n"/>
      <c r="P195" s="99" t="n"/>
      <c r="Q195" s="99" t="n"/>
      <c r="R195" s="100" t="n"/>
      <c r="S195" s="98" t="n"/>
      <c r="T195" s="99" t="n"/>
      <c r="U195" s="99" t="n"/>
      <c r="V195" s="100" t="n"/>
      <c r="W195" s="98" t="n"/>
      <c r="X195" s="100" t="n"/>
      <c r="Y195" s="98" t="n"/>
      <c r="Z195" s="100" t="n"/>
      <c r="AB195" s="101">
        <f>IF($B195="","",(COUNTIF(C158:E175,$B195)+COUNTIF(C158:E175,$B195&amp;" ~*")&gt;0)+(COUNTIF(G158:I175,$B195)+COUNTIF(G158:I175,$B195&amp;" ~*")&gt;0)+(COUNTIF(K158:M175,$B195)+COUNTIF(K158:M175,$B195&amp;" ~*")&gt;0)+(COUNTIF(O158:Q175,$B195)+COUNTIF(O158:Q175,$B195&amp;" ~*")&gt;0)+(COUNTIF(S158:U175,$B195)+COUNTIF(S158:U175,$B195&amp;" ~*")&gt;0)+(COUNTIF(W158:W175,$B195)+COUNTIF(W158:W175,$B195&amp;" ~*")&gt;0)+(COUNTIF(Y158:Y175,$B195)+COUNTIF(Y158:Y175,$B195&amp;" ~*")&gt;0))</f>
        <v/>
      </c>
      <c r="AC195" s="36">
        <f>IF($B195="","",(IFERROR(INDEX(Setup!$G$33:$G$40,MATCH(C195,Setup!$B$33:$B$40,0)),0)=1)*(COUNTIF(C158:E175,$B195)+COUNTIF(C158:E175,$B195&amp;" ~*")&gt;0)+(IFERROR(INDEX(Setup!$G$33:$G$40,MATCH(G195,Setup!$B$33:$B$40,0)),0)=1)*(COUNTIF(G158:I175,$B195)+COUNTIF(G158:I175,$B195&amp;" ~*")&gt;0)+(IFERROR(INDEX(Setup!$G$33:$G$40,MATCH(K195,Setup!$B$33:$B$40,0)),0)=1)*(COUNTIF(K158:M175,$B195)+COUNTIF(K158:M175,$B195&amp;" ~*")&gt;0)+(IFERROR(INDEX(Setup!$G$33:$G$40,MATCH(O195,Setup!$B$33:$B$40,0)),0)=1)*(COUNTIF(O158:Q175,$B195)+COUNTIF(O158:Q175,$B195&amp;" ~*")&gt;0)+(IFERROR(INDEX(Setup!$G$33:$G$40,MATCH(S195,Setup!$B$33:$B$40,0)),0)=1)*(COUNTIF(S158:U175,$B195)+COUNTIF(S158:U175,$B195&amp;" ~*")&gt;0)+(IFERROR(INDEX(Setup!$G$33:$G$40,MATCH(W195,Setup!$B$33:$B$40,0)),0)=1)*(COUNTIF(W158:W175,$B195)+COUNTIF(W158:W175,$B195&amp;" ~*")&gt;0)+(IFERROR(INDEX(Setup!$G$33:$G$40,MATCH(Y195,Setup!$B$33:$B$40,0)),0)=1)*(COUNTIF(Y158:Y175,$B195)+COUNTIF(Y158:Y175,$B195&amp;" ~*")&gt;0))</f>
        <v/>
      </c>
    </row>
    <row r="196" ht="15" customHeight="1">
      <c r="A196" t="n">
        <v>4</v>
      </c>
      <c r="B196" s="37">
        <f>IF(Setup!$B$25="","",Setup!$B$25)</f>
        <v/>
      </c>
      <c r="C196" s="102" t="n"/>
      <c r="D196" s="103" t="n"/>
      <c r="E196" s="103" t="n"/>
      <c r="F196" s="104" t="n"/>
      <c r="G196" s="102" t="n"/>
      <c r="H196" s="103" t="n"/>
      <c r="I196" s="103" t="n"/>
      <c r="J196" s="104" t="n"/>
      <c r="K196" s="102" t="n"/>
      <c r="L196" s="103" t="n"/>
      <c r="M196" s="103" t="n"/>
      <c r="N196" s="104" t="n"/>
      <c r="O196" s="102" t="n"/>
      <c r="P196" s="103" t="n"/>
      <c r="Q196" s="103" t="n"/>
      <c r="R196" s="104" t="n"/>
      <c r="S196" s="102" t="n"/>
      <c r="T196" s="103" t="n"/>
      <c r="U196" s="103" t="n"/>
      <c r="V196" s="104" t="n"/>
      <c r="W196" s="102" t="n"/>
      <c r="X196" s="104" t="n"/>
      <c r="Y196" s="102" t="n"/>
      <c r="Z196" s="104" t="n"/>
      <c r="AB196" s="105">
        <f>IF($B196="","",(COUNTIF(C158:E175,$B196)+COUNTIF(C158:E175,$B196&amp;" ~*")&gt;0)+(COUNTIF(G158:I175,$B196)+COUNTIF(G158:I175,$B196&amp;" ~*")&gt;0)+(COUNTIF(K158:M175,$B196)+COUNTIF(K158:M175,$B196&amp;" ~*")&gt;0)+(COUNTIF(O158:Q175,$B196)+COUNTIF(O158:Q175,$B196&amp;" ~*")&gt;0)+(COUNTIF(S158:U175,$B196)+COUNTIF(S158:U175,$B196&amp;" ~*")&gt;0)+(COUNTIF(W158:W175,$B196)+COUNTIF(W158:W175,$B196&amp;" ~*")&gt;0)+(COUNTIF(Y158:Y175,$B196)+COUNTIF(Y158:Y175,$B196&amp;" ~*")&gt;0))</f>
        <v/>
      </c>
      <c r="AC196" s="38">
        <f>IF($B196="","",(IFERROR(INDEX(Setup!$G$33:$G$40,MATCH(C196,Setup!$B$33:$B$40,0)),0)=1)*(COUNTIF(C158:E175,$B196)+COUNTIF(C158:E175,$B196&amp;" ~*")&gt;0)+(IFERROR(INDEX(Setup!$G$33:$G$40,MATCH(G196,Setup!$B$33:$B$40,0)),0)=1)*(COUNTIF(G158:I175,$B196)+COUNTIF(G158:I175,$B196&amp;" ~*")&gt;0)+(IFERROR(INDEX(Setup!$G$33:$G$40,MATCH(K196,Setup!$B$33:$B$40,0)),0)=1)*(COUNTIF(K158:M175,$B196)+COUNTIF(K158:M175,$B196&amp;" ~*")&gt;0)+(IFERROR(INDEX(Setup!$G$33:$G$40,MATCH(O196,Setup!$B$33:$B$40,0)),0)=1)*(COUNTIF(O158:Q175,$B196)+COUNTIF(O158:Q175,$B196&amp;" ~*")&gt;0)+(IFERROR(INDEX(Setup!$G$33:$G$40,MATCH(S196,Setup!$B$33:$B$40,0)),0)=1)*(COUNTIF(S158:U175,$B196)+COUNTIF(S158:U175,$B196&amp;" ~*")&gt;0)+(IFERROR(INDEX(Setup!$G$33:$G$40,MATCH(W196,Setup!$B$33:$B$40,0)),0)=1)*(COUNTIF(W158:W175,$B196)+COUNTIF(W158:W175,$B196&amp;" ~*")&gt;0)+(IFERROR(INDEX(Setup!$G$33:$G$40,MATCH(Y196,Setup!$B$33:$B$40,0)),0)=1)*(COUNTIF(Y158:Y175,$B196)+COUNTIF(Y158:Y175,$B196&amp;" ~*")&gt;0))</f>
        <v/>
      </c>
    </row>
    <row r="197" ht="15" customHeight="1">
      <c r="A197" t="n">
        <v>4</v>
      </c>
      <c r="B197" s="35">
        <f>IF(Setup!$B$26="","",Setup!$B$26)</f>
        <v/>
      </c>
      <c r="C197" s="98" t="n"/>
      <c r="D197" s="99" t="n"/>
      <c r="E197" s="99" t="n"/>
      <c r="F197" s="100" t="n"/>
      <c r="G197" s="98" t="n"/>
      <c r="H197" s="99" t="n"/>
      <c r="I197" s="99" t="n"/>
      <c r="J197" s="100" t="n"/>
      <c r="K197" s="98" t="n"/>
      <c r="L197" s="99" t="n"/>
      <c r="M197" s="99" t="n"/>
      <c r="N197" s="100" t="n"/>
      <c r="O197" s="98" t="n"/>
      <c r="P197" s="99" t="n"/>
      <c r="Q197" s="99" t="n"/>
      <c r="R197" s="100" t="n"/>
      <c r="S197" s="98" t="n"/>
      <c r="T197" s="99" t="n"/>
      <c r="U197" s="99" t="n"/>
      <c r="V197" s="100" t="n"/>
      <c r="W197" s="98" t="n"/>
      <c r="X197" s="100" t="n"/>
      <c r="Y197" s="98" t="n"/>
      <c r="Z197" s="100" t="n"/>
      <c r="AB197" s="101">
        <f>IF($B197="","",(COUNTIF(C158:E175,$B197)+COUNTIF(C158:E175,$B197&amp;" ~*")&gt;0)+(COUNTIF(G158:I175,$B197)+COUNTIF(G158:I175,$B197&amp;" ~*")&gt;0)+(COUNTIF(K158:M175,$B197)+COUNTIF(K158:M175,$B197&amp;" ~*")&gt;0)+(COUNTIF(O158:Q175,$B197)+COUNTIF(O158:Q175,$B197&amp;" ~*")&gt;0)+(COUNTIF(S158:U175,$B197)+COUNTIF(S158:U175,$B197&amp;" ~*")&gt;0)+(COUNTIF(W158:W175,$B197)+COUNTIF(W158:W175,$B197&amp;" ~*")&gt;0)+(COUNTIF(Y158:Y175,$B197)+COUNTIF(Y158:Y175,$B197&amp;" ~*")&gt;0))</f>
        <v/>
      </c>
      <c r="AC197" s="36">
        <f>IF($B197="","",(IFERROR(INDEX(Setup!$G$33:$G$40,MATCH(C197,Setup!$B$33:$B$40,0)),0)=1)*(COUNTIF(C158:E175,$B197)+COUNTIF(C158:E175,$B197&amp;" ~*")&gt;0)+(IFERROR(INDEX(Setup!$G$33:$G$40,MATCH(G197,Setup!$B$33:$B$40,0)),0)=1)*(COUNTIF(G158:I175,$B197)+COUNTIF(G158:I175,$B197&amp;" ~*")&gt;0)+(IFERROR(INDEX(Setup!$G$33:$G$40,MATCH(K197,Setup!$B$33:$B$40,0)),0)=1)*(COUNTIF(K158:M175,$B197)+COUNTIF(K158:M175,$B197&amp;" ~*")&gt;0)+(IFERROR(INDEX(Setup!$G$33:$G$40,MATCH(O197,Setup!$B$33:$B$40,0)),0)=1)*(COUNTIF(O158:Q175,$B197)+COUNTIF(O158:Q175,$B197&amp;" ~*")&gt;0)+(IFERROR(INDEX(Setup!$G$33:$G$40,MATCH(S197,Setup!$B$33:$B$40,0)),0)=1)*(COUNTIF(S158:U175,$B197)+COUNTIF(S158:U175,$B197&amp;" ~*")&gt;0)+(IFERROR(INDEX(Setup!$G$33:$G$40,MATCH(W197,Setup!$B$33:$B$40,0)),0)=1)*(COUNTIF(W158:W175,$B197)+COUNTIF(W158:W175,$B197&amp;" ~*")&gt;0)+(IFERROR(INDEX(Setup!$G$33:$G$40,MATCH(Y197,Setup!$B$33:$B$40,0)),0)=1)*(COUNTIF(Y158:Y175,$B197)+COUNTIF(Y158:Y175,$B197&amp;" ~*")&gt;0))</f>
        <v/>
      </c>
    </row>
    <row r="198" ht="15" customHeight="1">
      <c r="A198" t="n">
        <v>4</v>
      </c>
      <c r="B198" s="37">
        <f>IF(Setup!$B$27="","",Setup!$B$27)</f>
        <v/>
      </c>
      <c r="C198" s="102" t="n"/>
      <c r="D198" s="103" t="n"/>
      <c r="E198" s="103" t="n"/>
      <c r="F198" s="104" t="n"/>
      <c r="G198" s="102" t="n"/>
      <c r="H198" s="103" t="n"/>
      <c r="I198" s="103" t="n"/>
      <c r="J198" s="104" t="n"/>
      <c r="K198" s="102" t="n"/>
      <c r="L198" s="103" t="n"/>
      <c r="M198" s="103" t="n"/>
      <c r="N198" s="104" t="n"/>
      <c r="O198" s="102" t="n"/>
      <c r="P198" s="103" t="n"/>
      <c r="Q198" s="103" t="n"/>
      <c r="R198" s="104" t="n"/>
      <c r="S198" s="102" t="n"/>
      <c r="T198" s="103" t="n"/>
      <c r="U198" s="103" t="n"/>
      <c r="V198" s="104" t="n"/>
      <c r="W198" s="102" t="n"/>
      <c r="X198" s="104" t="n"/>
      <c r="Y198" s="102" t="n"/>
      <c r="Z198" s="104" t="n"/>
      <c r="AB198" s="105">
        <f>IF($B198="","",(COUNTIF(C158:E175,$B198)+COUNTIF(C158:E175,$B198&amp;" ~*")&gt;0)+(COUNTIF(G158:I175,$B198)+COUNTIF(G158:I175,$B198&amp;" ~*")&gt;0)+(COUNTIF(K158:M175,$B198)+COUNTIF(K158:M175,$B198&amp;" ~*")&gt;0)+(COUNTIF(O158:Q175,$B198)+COUNTIF(O158:Q175,$B198&amp;" ~*")&gt;0)+(COUNTIF(S158:U175,$B198)+COUNTIF(S158:U175,$B198&amp;" ~*")&gt;0)+(COUNTIF(W158:W175,$B198)+COUNTIF(W158:W175,$B198&amp;" ~*")&gt;0)+(COUNTIF(Y158:Y175,$B198)+COUNTIF(Y158:Y175,$B198&amp;" ~*")&gt;0))</f>
        <v/>
      </c>
      <c r="AC198" s="38">
        <f>IF($B198="","",(IFERROR(INDEX(Setup!$G$33:$G$40,MATCH(C198,Setup!$B$33:$B$40,0)),0)=1)*(COUNTIF(C158:E175,$B198)+COUNTIF(C158:E175,$B198&amp;" ~*")&gt;0)+(IFERROR(INDEX(Setup!$G$33:$G$40,MATCH(G198,Setup!$B$33:$B$40,0)),0)=1)*(COUNTIF(G158:I175,$B198)+COUNTIF(G158:I175,$B198&amp;" ~*")&gt;0)+(IFERROR(INDEX(Setup!$G$33:$G$40,MATCH(K198,Setup!$B$33:$B$40,0)),0)=1)*(COUNTIF(K158:M175,$B198)+COUNTIF(K158:M175,$B198&amp;" ~*")&gt;0)+(IFERROR(INDEX(Setup!$G$33:$G$40,MATCH(O198,Setup!$B$33:$B$40,0)),0)=1)*(COUNTIF(O158:Q175,$B198)+COUNTIF(O158:Q175,$B198&amp;" ~*")&gt;0)+(IFERROR(INDEX(Setup!$G$33:$G$40,MATCH(S198,Setup!$B$33:$B$40,0)),0)=1)*(COUNTIF(S158:U175,$B198)+COUNTIF(S158:U175,$B198&amp;" ~*")&gt;0)+(IFERROR(INDEX(Setup!$G$33:$G$40,MATCH(W198,Setup!$B$33:$B$40,0)),0)=1)*(COUNTIF(W158:W175,$B198)+COUNTIF(W158:W175,$B198&amp;" ~*")&gt;0)+(IFERROR(INDEX(Setup!$G$33:$G$40,MATCH(Y198,Setup!$B$33:$B$40,0)),0)=1)*(COUNTIF(Y158:Y175,$B198)+COUNTIF(Y158:Y175,$B198&amp;" ~*")&gt;0))</f>
        <v/>
      </c>
    </row>
    <row r="199" ht="15" customHeight="1">
      <c r="A199" t="n">
        <v>4</v>
      </c>
      <c r="B199" s="35">
        <f>IF(Setup!$B$28="","",Setup!$B$28)</f>
        <v/>
      </c>
      <c r="C199" s="98" t="n"/>
      <c r="D199" s="99" t="n"/>
      <c r="E199" s="99" t="n"/>
      <c r="F199" s="100" t="n"/>
      <c r="G199" s="98" t="n"/>
      <c r="H199" s="99" t="n"/>
      <c r="I199" s="99" t="n"/>
      <c r="J199" s="100" t="n"/>
      <c r="K199" s="98" t="n"/>
      <c r="L199" s="99" t="n"/>
      <c r="M199" s="99" t="n"/>
      <c r="N199" s="100" t="n"/>
      <c r="O199" s="98" t="n"/>
      <c r="P199" s="99" t="n"/>
      <c r="Q199" s="99" t="n"/>
      <c r="R199" s="100" t="n"/>
      <c r="S199" s="98" t="n"/>
      <c r="T199" s="99" t="n"/>
      <c r="U199" s="99" t="n"/>
      <c r="V199" s="100" t="n"/>
      <c r="W199" s="98" t="n"/>
      <c r="X199" s="100" t="n"/>
      <c r="Y199" s="98" t="n"/>
      <c r="Z199" s="100" t="n"/>
      <c r="AB199" s="101">
        <f>IF($B199="","",(COUNTIF(C158:E175,$B199)+COUNTIF(C158:E175,$B199&amp;" ~*")&gt;0)+(COUNTIF(G158:I175,$B199)+COUNTIF(G158:I175,$B199&amp;" ~*")&gt;0)+(COUNTIF(K158:M175,$B199)+COUNTIF(K158:M175,$B199&amp;" ~*")&gt;0)+(COUNTIF(O158:Q175,$B199)+COUNTIF(O158:Q175,$B199&amp;" ~*")&gt;0)+(COUNTIF(S158:U175,$B199)+COUNTIF(S158:U175,$B199&amp;" ~*")&gt;0)+(COUNTIF(W158:W175,$B199)+COUNTIF(W158:W175,$B199&amp;" ~*")&gt;0)+(COUNTIF(Y158:Y175,$B199)+COUNTIF(Y158:Y175,$B199&amp;" ~*")&gt;0))</f>
        <v/>
      </c>
      <c r="AC199" s="36">
        <f>IF($B199="","",(IFERROR(INDEX(Setup!$G$33:$G$40,MATCH(C199,Setup!$B$33:$B$40,0)),0)=1)*(COUNTIF(C158:E175,$B199)+COUNTIF(C158:E175,$B199&amp;" ~*")&gt;0)+(IFERROR(INDEX(Setup!$G$33:$G$40,MATCH(G199,Setup!$B$33:$B$40,0)),0)=1)*(COUNTIF(G158:I175,$B199)+COUNTIF(G158:I175,$B199&amp;" ~*")&gt;0)+(IFERROR(INDEX(Setup!$G$33:$G$40,MATCH(K199,Setup!$B$33:$B$40,0)),0)=1)*(COUNTIF(K158:M175,$B199)+COUNTIF(K158:M175,$B199&amp;" ~*")&gt;0)+(IFERROR(INDEX(Setup!$G$33:$G$40,MATCH(O199,Setup!$B$33:$B$40,0)),0)=1)*(COUNTIF(O158:Q175,$B199)+COUNTIF(O158:Q175,$B199&amp;" ~*")&gt;0)+(IFERROR(INDEX(Setup!$G$33:$G$40,MATCH(S199,Setup!$B$33:$B$40,0)),0)=1)*(COUNTIF(S158:U175,$B199)+COUNTIF(S158:U175,$B199&amp;" ~*")&gt;0)+(IFERROR(INDEX(Setup!$G$33:$G$40,MATCH(W199,Setup!$B$33:$B$40,0)),0)=1)*(COUNTIF(W158:W175,$B199)+COUNTIF(W158:W175,$B199&amp;" ~*")&gt;0)+(IFERROR(INDEX(Setup!$G$33:$G$40,MATCH(Y199,Setup!$B$33:$B$40,0)),0)=1)*(COUNTIF(Y158:Y175,$B199)+COUNTIF(Y158:Y175,$B199&amp;" ~*")&gt;0))</f>
        <v/>
      </c>
    </row>
    <row r="200" ht="15" customHeight="1">
      <c r="A200" t="n">
        <v>4</v>
      </c>
      <c r="B200" s="37">
        <f>IF(Setup!$B$29="","",Setup!$B$29)</f>
        <v/>
      </c>
      <c r="C200" s="102" t="n"/>
      <c r="D200" s="103" t="n"/>
      <c r="E200" s="103" t="n"/>
      <c r="F200" s="104" t="n"/>
      <c r="G200" s="102" t="n"/>
      <c r="H200" s="103" t="n"/>
      <c r="I200" s="103" t="n"/>
      <c r="J200" s="104" t="n"/>
      <c r="K200" s="102" t="n"/>
      <c r="L200" s="103" t="n"/>
      <c r="M200" s="103" t="n"/>
      <c r="N200" s="104" t="n"/>
      <c r="O200" s="102" t="n"/>
      <c r="P200" s="103" t="n"/>
      <c r="Q200" s="103" t="n"/>
      <c r="R200" s="104" t="n"/>
      <c r="S200" s="102" t="n"/>
      <c r="T200" s="103" t="n"/>
      <c r="U200" s="103" t="n"/>
      <c r="V200" s="104" t="n"/>
      <c r="W200" s="102" t="n"/>
      <c r="X200" s="104" t="n"/>
      <c r="Y200" s="102" t="n"/>
      <c r="Z200" s="104" t="n"/>
      <c r="AB200" s="105">
        <f>IF($B200="","",(COUNTIF(C158:E175,$B200)+COUNTIF(C158:E175,$B200&amp;" ~*")&gt;0)+(COUNTIF(G158:I175,$B200)+COUNTIF(G158:I175,$B200&amp;" ~*")&gt;0)+(COUNTIF(K158:M175,$B200)+COUNTIF(K158:M175,$B200&amp;" ~*")&gt;0)+(COUNTIF(O158:Q175,$B200)+COUNTIF(O158:Q175,$B200&amp;" ~*")&gt;0)+(COUNTIF(S158:U175,$B200)+COUNTIF(S158:U175,$B200&amp;" ~*")&gt;0)+(COUNTIF(W158:W175,$B200)+COUNTIF(W158:W175,$B200&amp;" ~*")&gt;0)+(COUNTIF(Y158:Y175,$B200)+COUNTIF(Y158:Y175,$B200&amp;" ~*")&gt;0))</f>
        <v/>
      </c>
      <c r="AC200" s="38">
        <f>IF($B200="","",(IFERROR(INDEX(Setup!$G$33:$G$40,MATCH(C200,Setup!$B$33:$B$40,0)),0)=1)*(COUNTIF(C158:E175,$B200)+COUNTIF(C158:E175,$B200&amp;" ~*")&gt;0)+(IFERROR(INDEX(Setup!$G$33:$G$40,MATCH(G200,Setup!$B$33:$B$40,0)),0)=1)*(COUNTIF(G158:I175,$B200)+COUNTIF(G158:I175,$B200&amp;" ~*")&gt;0)+(IFERROR(INDEX(Setup!$G$33:$G$40,MATCH(K200,Setup!$B$33:$B$40,0)),0)=1)*(COUNTIF(K158:M175,$B200)+COUNTIF(K158:M175,$B200&amp;" ~*")&gt;0)+(IFERROR(INDEX(Setup!$G$33:$G$40,MATCH(O200,Setup!$B$33:$B$40,0)),0)=1)*(COUNTIF(O158:Q175,$B200)+COUNTIF(O158:Q175,$B200&amp;" ~*")&gt;0)+(IFERROR(INDEX(Setup!$G$33:$G$40,MATCH(S200,Setup!$B$33:$B$40,0)),0)=1)*(COUNTIF(S158:U175,$B200)+COUNTIF(S158:U175,$B200&amp;" ~*")&gt;0)+(IFERROR(INDEX(Setup!$G$33:$G$40,MATCH(W200,Setup!$B$33:$B$40,0)),0)=1)*(COUNTIF(W158:W175,$B200)+COUNTIF(W158:W175,$B200&amp;" ~*")&gt;0)+(IFERROR(INDEX(Setup!$G$33:$G$40,MATCH(Y200,Setup!$B$33:$B$40,0)),0)=1)*(COUNTIF(Y158:Y175,$B200)+COUNTIF(Y158:Y175,$B200&amp;" ~*")&gt;0))</f>
        <v/>
      </c>
    </row>
    <row r="201" ht="16" customHeight="1">
      <c r="A201" t="n">
        <v>4</v>
      </c>
      <c r="B201" s="106" t="inlineStr">
        <is>
          <t>Available people</t>
        </is>
      </c>
      <c r="C201" s="107">
        <f>COUNTIFS(Setup!$E$6:$E$29,"Y",Setup!$B$6:$B$29,"?*")-SUMPRODUCT(COUNTIF(C177:C200,Setup!$F$33:$F$40))</f>
        <v/>
      </c>
      <c r="D201" s="107" t="n"/>
      <c r="E201" s="107" t="n"/>
      <c r="F201" s="107" t="n"/>
      <c r="G201" s="107">
        <f>COUNTIFS(Setup!$E$6:$E$29,"Y",Setup!$B$6:$B$29,"?*")-SUMPRODUCT(COUNTIF(G177:G200,Setup!$F$33:$F$40))</f>
        <v/>
      </c>
      <c r="H201" s="107" t="n"/>
      <c r="I201" s="107" t="n"/>
      <c r="J201" s="107" t="n"/>
      <c r="K201" s="107">
        <f>COUNTIFS(Setup!$E$6:$E$29,"Y",Setup!$B$6:$B$29,"?*")-SUMPRODUCT(COUNTIF(K177:K200,Setup!$F$33:$F$40))</f>
        <v/>
      </c>
      <c r="L201" s="107" t="n"/>
      <c r="M201" s="107" t="n"/>
      <c r="N201" s="107" t="n"/>
      <c r="O201" s="107">
        <f>COUNTIFS(Setup!$E$6:$E$29,"Y",Setup!$B$6:$B$29,"?*")-SUMPRODUCT(COUNTIF(O177:O200,Setup!$F$33:$F$40))</f>
        <v/>
      </c>
      <c r="P201" s="107" t="n"/>
      <c r="Q201" s="107" t="n"/>
      <c r="R201" s="107" t="n"/>
      <c r="S201" s="107">
        <f>COUNTIFS(Setup!$E$6:$E$29,"Y",Setup!$B$6:$B$29,"?*")-SUMPRODUCT(COUNTIF(S177:S200,Setup!$F$33:$F$40))</f>
        <v/>
      </c>
      <c r="T201" s="107" t="n"/>
      <c r="U201" s="107" t="n"/>
      <c r="V201" s="107" t="n"/>
      <c r="W201" s="107">
        <f>COUNTIFS(Setup!$E$6:$E$29,"Y",Setup!$B$6:$B$29,"?*")-SUMPRODUCT(COUNTIF(W177:W200,Setup!$F$33:$F$40))</f>
        <v/>
      </c>
      <c r="X201" s="107" t="n"/>
      <c r="Y201" s="107">
        <f>COUNTIFS(Setup!$E$6:$E$29,"Y",Setup!$B$6:$B$29,"?*")-SUMPRODUCT(COUNTIF(Y177:Y200,Setup!$F$33:$F$40))</f>
        <v/>
      </c>
      <c r="Z201" s="107" t="n"/>
      <c r="AB201" s="108">
        <f>SUM(AB177:AB200)</f>
        <v/>
      </c>
      <c r="AC201" s="109">
        <f>SUM(AC177:AC200)</f>
        <v/>
      </c>
    </row>
    <row r="202" ht="30" customHeight="1">
      <c r="A202" t="n">
        <v>4</v>
      </c>
      <c r="B202" s="110" t="inlineStr">
        <is>
          <t>Week notes</t>
        </is>
      </c>
      <c r="C202" s="111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112" t="n"/>
      <c r="R202" s="112" t="n"/>
      <c r="S202" s="112" t="n"/>
      <c r="T202" s="112" t="n"/>
      <c r="U202" s="112" t="n"/>
      <c r="V202" s="112" t="n"/>
      <c r="W202" s="112" t="n"/>
      <c r="X202" s="112" t="n"/>
      <c r="Y202" s="112" t="n"/>
      <c r="Z202" s="113" t="n"/>
    </row>
    <row r="203" ht="8" customHeight="1">
      <c r="A203" t="n">
        <v>4</v>
      </c>
    </row>
    <row r="204" ht="8" customHeight="1">
      <c r="A204" t="n">
        <v>4</v>
      </c>
    </row>
    <row r="205" ht="24" customHeight="1">
      <c r="A205" t="n">
        <v>5</v>
      </c>
      <c r="B205" s="73">
        <f>"WEEK 5     "&amp;TEXT(C206,"ddd d mmm")&amp;"  –  "&amp;TEXT(C206+6,"ddd d mmm yyyy")</f>
        <v/>
      </c>
      <c r="S205" s="74">
        <f>IF(TODAY()&lt;C206,"FUTURE",IF(TODAY()&gt;C206+6,"PAST","THIS WEEK"))</f>
        <v/>
      </c>
      <c r="W205" s="75">
        <f>IF(AND(Engine!$B$8=$AC$3,Engine!$B$9=$A205),"◀ ACTIVE WEEK","")</f>
        <v/>
      </c>
      <c r="AA205" s="76" t="n"/>
      <c r="AB205" s="77" t="inlineStr">
        <is>
          <t>◀ Prev</t>
        </is>
      </c>
      <c r="AC205" s="77" t="inlineStr">
        <is>
          <t>Next ▶</t>
        </is>
      </c>
    </row>
    <row r="206" ht="18" customHeight="1">
      <c r="A206" t="n">
        <v>5</v>
      </c>
      <c r="B206" s="78" t="inlineStr">
        <is>
          <t>DUTY</t>
        </is>
      </c>
      <c r="C206" s="79">
        <f>$AC$2+7*($A206-1)</f>
        <v/>
      </c>
      <c r="D206" s="80" t="n"/>
      <c r="E206" s="80" t="n"/>
      <c r="F206" s="81" t="n"/>
      <c r="G206" s="79">
        <f>C206+1</f>
        <v/>
      </c>
      <c r="H206" s="80" t="n"/>
      <c r="I206" s="80" t="n"/>
      <c r="J206" s="81" t="n"/>
      <c r="K206" s="79">
        <f>C206+2</f>
        <v/>
      </c>
      <c r="L206" s="80" t="n"/>
      <c r="M206" s="80" t="n"/>
      <c r="N206" s="81" t="n"/>
      <c r="O206" s="79">
        <f>C206+3</f>
        <v/>
      </c>
      <c r="P206" s="80" t="n"/>
      <c r="Q206" s="80" t="n"/>
      <c r="R206" s="81" t="n"/>
      <c r="S206" s="79">
        <f>C206+4</f>
        <v/>
      </c>
      <c r="T206" s="80" t="n"/>
      <c r="U206" s="80" t="n"/>
      <c r="V206" s="81" t="n"/>
      <c r="W206" s="82">
        <f>C206+5</f>
        <v/>
      </c>
      <c r="X206" s="83" t="n"/>
      <c r="Y206" s="82">
        <f>C206+6</f>
        <v/>
      </c>
      <c r="Z206" s="83" t="n"/>
      <c r="AB206" s="72" t="inlineStr">
        <is>
          <t>Gaps</t>
        </is>
      </c>
      <c r="AC206" s="72" t="inlineStr">
        <is>
          <t>Cover</t>
        </is>
      </c>
    </row>
    <row r="207" ht="14" customHeight="1">
      <c r="A207" t="n">
        <v>5</v>
      </c>
      <c r="B207" s="84" t="inlineStr">
        <is>
          <t>(from Setup)</t>
        </is>
      </c>
      <c r="C207" s="85" t="inlineStr">
        <is>
          <t>1</t>
        </is>
      </c>
      <c r="D207" s="85" t="inlineStr">
        <is>
          <t>2</t>
        </is>
      </c>
      <c r="E207" s="85" t="inlineStr">
        <is>
          <t>3</t>
        </is>
      </c>
      <c r="F207" s="85" t="inlineStr">
        <is>
          <t>Notes</t>
        </is>
      </c>
      <c r="G207" s="85" t="inlineStr">
        <is>
          <t>1</t>
        </is>
      </c>
      <c r="H207" s="85" t="inlineStr">
        <is>
          <t>2</t>
        </is>
      </c>
      <c r="I207" s="85" t="inlineStr">
        <is>
          <t>3</t>
        </is>
      </c>
      <c r="J207" s="85" t="inlineStr">
        <is>
          <t>Notes</t>
        </is>
      </c>
      <c r="K207" s="85" t="inlineStr">
        <is>
          <t>1</t>
        </is>
      </c>
      <c r="L207" s="85" t="inlineStr">
        <is>
          <t>2</t>
        </is>
      </c>
      <c r="M207" s="85" t="inlineStr">
        <is>
          <t>3</t>
        </is>
      </c>
      <c r="N207" s="85" t="inlineStr">
        <is>
          <t>Notes</t>
        </is>
      </c>
      <c r="O207" s="85" t="inlineStr">
        <is>
          <t>1</t>
        </is>
      </c>
      <c r="P207" s="85" t="inlineStr">
        <is>
          <t>2</t>
        </is>
      </c>
      <c r="Q207" s="85" t="inlineStr">
        <is>
          <t>3</t>
        </is>
      </c>
      <c r="R207" s="85" t="inlineStr">
        <is>
          <t>Notes</t>
        </is>
      </c>
      <c r="S207" s="85" t="inlineStr">
        <is>
          <t>1</t>
        </is>
      </c>
      <c r="T207" s="85" t="inlineStr">
        <is>
          <t>2</t>
        </is>
      </c>
      <c r="U207" s="85" t="inlineStr">
        <is>
          <t>3</t>
        </is>
      </c>
      <c r="V207" s="85" t="inlineStr">
        <is>
          <t>Notes</t>
        </is>
      </c>
      <c r="W207" s="85" t="inlineStr">
        <is>
          <t>Cover</t>
        </is>
      </c>
      <c r="X207" s="85" t="inlineStr">
        <is>
          <t>Notes</t>
        </is>
      </c>
      <c r="Y207" s="85" t="inlineStr">
        <is>
          <t>Cover</t>
        </is>
      </c>
      <c r="Z207" s="85" t="inlineStr">
        <is>
          <t>Notes</t>
        </is>
      </c>
      <c r="AB207" s="86" t="inlineStr">
        <is>
          <t>weekdays short</t>
        </is>
      </c>
      <c r="AC207" s="87" t="inlineStr"/>
    </row>
    <row r="208" ht="17" customHeight="1">
      <c r="A208" t="n">
        <v>5</v>
      </c>
      <c r="B208" s="24">
        <f>IF(Setup!$K$6="","",Setup!$K$6)</f>
        <v/>
      </c>
      <c r="C208" s="88" t="n"/>
      <c r="D208" s="88" t="n"/>
      <c r="E208" s="88" t="n"/>
      <c r="F208" s="89" t="n"/>
      <c r="G208" s="88" t="n"/>
      <c r="H208" s="88" t="n"/>
      <c r="I208" s="88" t="n"/>
      <c r="J208" s="89" t="n"/>
      <c r="K208" s="88" t="n"/>
      <c r="L208" s="88" t="n"/>
      <c r="M208" s="88" t="n"/>
      <c r="N208" s="89" t="n"/>
      <c r="O208" s="88" t="n"/>
      <c r="P208" s="88" t="n"/>
      <c r="Q208" s="88" t="n"/>
      <c r="R208" s="89" t="n"/>
      <c r="S208" s="88" t="n"/>
      <c r="T208" s="88" t="n"/>
      <c r="U208" s="88" t="n"/>
      <c r="V208" s="89" t="n"/>
      <c r="W208" s="88" t="n"/>
      <c r="X208" s="89" t="n"/>
      <c r="Y208" s="88" t="n"/>
      <c r="Z208" s="89" t="n"/>
      <c r="AB208" s="25">
        <f>IF($B208="","",(COUNTIF(C208:E208,"?*")&lt;N(INDEX(Setup!$L$6:$L$23,1)))+(COUNTIF(G208:I208,"?*")&lt;N(INDEX(Setup!$L$6:$L$23,1)))+(COUNTIF(K208:M208,"?*")&lt;N(INDEX(Setup!$L$6:$L$23,1)))+(COUNTIF(O208:Q208,"?*")&lt;N(INDEX(Setup!$L$6:$L$23,1)))+(COUNTIF(S208:U208,"?*")&lt;N(INDEX(Setup!$L$6:$L$23,1)))+((W208="")*(INDEX(Setup!$M$6:$M$23,1)="Y"))+((Y208="")*(INDEX(Setup!$M$6:$M$23,1)="Y")))</f>
        <v/>
      </c>
      <c r="AC208" s="90">
        <f>IF($B208="","",IF(AB208=0,"✓ covered","⚠ "&amp;AB208&amp;IF(AB208=1," gap"," gaps")))</f>
        <v/>
      </c>
    </row>
    <row r="209" ht="17" customHeight="1">
      <c r="A209" t="n">
        <v>5</v>
      </c>
      <c r="B209" s="29">
        <f>IF(Setup!$K$7="","",Setup!$K$7)</f>
        <v/>
      </c>
      <c r="C209" s="88" t="n"/>
      <c r="D209" s="88" t="n"/>
      <c r="E209" s="88" t="n"/>
      <c r="F209" s="89" t="n"/>
      <c r="G209" s="88" t="n"/>
      <c r="H209" s="88" t="n"/>
      <c r="I209" s="88" t="n"/>
      <c r="J209" s="89" t="n"/>
      <c r="K209" s="88" t="n"/>
      <c r="L209" s="88" t="n"/>
      <c r="M209" s="88" t="n"/>
      <c r="N209" s="89" t="n"/>
      <c r="O209" s="88" t="n"/>
      <c r="P209" s="88" t="n"/>
      <c r="Q209" s="88" t="n"/>
      <c r="R209" s="89" t="n"/>
      <c r="S209" s="88" t="n"/>
      <c r="T209" s="88" t="n"/>
      <c r="U209" s="88" t="n"/>
      <c r="V209" s="89" t="n"/>
      <c r="W209" s="88" t="n"/>
      <c r="X209" s="89" t="n"/>
      <c r="Y209" s="88" t="n"/>
      <c r="Z209" s="89" t="n"/>
      <c r="AB209" s="30">
        <f>IF($B209="","",(COUNTIF(C209:E209,"?*")&lt;N(INDEX(Setup!$L$6:$L$23,2)))+(COUNTIF(G209:I209,"?*")&lt;N(INDEX(Setup!$L$6:$L$23,2)))+(COUNTIF(K209:M209,"?*")&lt;N(INDEX(Setup!$L$6:$L$23,2)))+(COUNTIF(O209:Q209,"?*")&lt;N(INDEX(Setup!$L$6:$L$23,2)))+(COUNTIF(S209:U209,"?*")&lt;N(INDEX(Setup!$L$6:$L$23,2)))+((W209="")*(INDEX(Setup!$M$6:$M$23,2)="Y"))+((Y209="")*(INDEX(Setup!$M$6:$M$23,2)="Y")))</f>
        <v/>
      </c>
      <c r="AC209" s="91">
        <f>IF($B209="","",IF(AB209=0,"✓ covered","⚠ "&amp;AB209&amp;IF(AB209=1," gap"," gaps")))</f>
        <v/>
      </c>
    </row>
    <row r="210" ht="17" customHeight="1">
      <c r="A210" t="n">
        <v>5</v>
      </c>
      <c r="B210" s="24">
        <f>IF(Setup!$K$8="","",Setup!$K$8)</f>
        <v/>
      </c>
      <c r="C210" s="88" t="n"/>
      <c r="D210" s="88" t="n"/>
      <c r="E210" s="88" t="n"/>
      <c r="F210" s="89" t="n"/>
      <c r="G210" s="88" t="n"/>
      <c r="H210" s="88" t="n"/>
      <c r="I210" s="88" t="n"/>
      <c r="J210" s="89" t="n"/>
      <c r="K210" s="88" t="n"/>
      <c r="L210" s="88" t="n"/>
      <c r="M210" s="88" t="n"/>
      <c r="N210" s="89" t="n"/>
      <c r="O210" s="88" t="n"/>
      <c r="P210" s="88" t="n"/>
      <c r="Q210" s="88" t="n"/>
      <c r="R210" s="89" t="n"/>
      <c r="S210" s="88" t="n"/>
      <c r="T210" s="88" t="n"/>
      <c r="U210" s="88" t="n"/>
      <c r="V210" s="89" t="n"/>
      <c r="W210" s="88" t="n"/>
      <c r="X210" s="89" t="n"/>
      <c r="Y210" s="88" t="n"/>
      <c r="Z210" s="89" t="n"/>
      <c r="AB210" s="25">
        <f>IF($B210="","",(COUNTIF(C210:E210,"?*")&lt;N(INDEX(Setup!$L$6:$L$23,3)))+(COUNTIF(G210:I210,"?*")&lt;N(INDEX(Setup!$L$6:$L$23,3)))+(COUNTIF(K210:M210,"?*")&lt;N(INDEX(Setup!$L$6:$L$23,3)))+(COUNTIF(O210:Q210,"?*")&lt;N(INDEX(Setup!$L$6:$L$23,3)))+(COUNTIF(S210:U210,"?*")&lt;N(INDEX(Setup!$L$6:$L$23,3)))+((W210="")*(INDEX(Setup!$M$6:$M$23,3)="Y"))+((Y210="")*(INDEX(Setup!$M$6:$M$23,3)="Y")))</f>
        <v/>
      </c>
      <c r="AC210" s="90">
        <f>IF($B210="","",IF(AB210=0,"✓ covered","⚠ "&amp;AB210&amp;IF(AB210=1," gap"," gaps")))</f>
        <v/>
      </c>
    </row>
    <row r="211" ht="17" customHeight="1">
      <c r="A211" t="n">
        <v>5</v>
      </c>
      <c r="B211" s="29">
        <f>IF(Setup!$K$9="","",Setup!$K$9)</f>
        <v/>
      </c>
      <c r="C211" s="88" t="n"/>
      <c r="D211" s="88" t="n"/>
      <c r="E211" s="88" t="n"/>
      <c r="F211" s="89" t="n"/>
      <c r="G211" s="88" t="n"/>
      <c r="H211" s="88" t="n"/>
      <c r="I211" s="88" t="n"/>
      <c r="J211" s="89" t="n"/>
      <c r="K211" s="88" t="n"/>
      <c r="L211" s="88" t="n"/>
      <c r="M211" s="88" t="n"/>
      <c r="N211" s="89" t="n"/>
      <c r="O211" s="88" t="n"/>
      <c r="P211" s="88" t="n"/>
      <c r="Q211" s="88" t="n"/>
      <c r="R211" s="89" t="n"/>
      <c r="S211" s="88" t="n"/>
      <c r="T211" s="88" t="n"/>
      <c r="U211" s="88" t="n"/>
      <c r="V211" s="89" t="n"/>
      <c r="W211" s="88" t="n"/>
      <c r="X211" s="89" t="n"/>
      <c r="Y211" s="88" t="n"/>
      <c r="Z211" s="89" t="n"/>
      <c r="AB211" s="30">
        <f>IF($B211="","",(COUNTIF(C211:E211,"?*")&lt;N(INDEX(Setup!$L$6:$L$23,4)))+(COUNTIF(G211:I211,"?*")&lt;N(INDEX(Setup!$L$6:$L$23,4)))+(COUNTIF(K211:M211,"?*")&lt;N(INDEX(Setup!$L$6:$L$23,4)))+(COUNTIF(O211:Q211,"?*")&lt;N(INDEX(Setup!$L$6:$L$23,4)))+(COUNTIF(S211:U211,"?*")&lt;N(INDEX(Setup!$L$6:$L$23,4)))+((W211="")*(INDEX(Setup!$M$6:$M$23,4)="Y"))+((Y211="")*(INDEX(Setup!$M$6:$M$23,4)="Y")))</f>
        <v/>
      </c>
      <c r="AC211" s="91">
        <f>IF($B211="","",IF(AB211=0,"✓ covered","⚠ "&amp;AB211&amp;IF(AB211=1," gap"," gaps")))</f>
        <v/>
      </c>
    </row>
    <row r="212" ht="17" customHeight="1">
      <c r="A212" t="n">
        <v>5</v>
      </c>
      <c r="B212" s="24">
        <f>IF(Setup!$K$10="","",Setup!$K$10)</f>
        <v/>
      </c>
      <c r="C212" s="88" t="n"/>
      <c r="D212" s="88" t="n"/>
      <c r="E212" s="88" t="n"/>
      <c r="F212" s="89" t="n"/>
      <c r="G212" s="88" t="n"/>
      <c r="H212" s="88" t="n"/>
      <c r="I212" s="88" t="n"/>
      <c r="J212" s="89" t="n"/>
      <c r="K212" s="88" t="n"/>
      <c r="L212" s="88" t="n"/>
      <c r="M212" s="88" t="n"/>
      <c r="N212" s="89" t="n"/>
      <c r="O212" s="88" t="n"/>
      <c r="P212" s="88" t="n"/>
      <c r="Q212" s="88" t="n"/>
      <c r="R212" s="89" t="n"/>
      <c r="S212" s="88" t="n"/>
      <c r="T212" s="88" t="n"/>
      <c r="U212" s="88" t="n"/>
      <c r="V212" s="89" t="n"/>
      <c r="W212" s="88" t="n"/>
      <c r="X212" s="89" t="n"/>
      <c r="Y212" s="88" t="n"/>
      <c r="Z212" s="89" t="n"/>
      <c r="AB212" s="25">
        <f>IF($B212="","",(COUNTIF(C212:E212,"?*")&lt;N(INDEX(Setup!$L$6:$L$23,5)))+(COUNTIF(G212:I212,"?*")&lt;N(INDEX(Setup!$L$6:$L$23,5)))+(COUNTIF(K212:M212,"?*")&lt;N(INDEX(Setup!$L$6:$L$23,5)))+(COUNTIF(O212:Q212,"?*")&lt;N(INDEX(Setup!$L$6:$L$23,5)))+(COUNTIF(S212:U212,"?*")&lt;N(INDEX(Setup!$L$6:$L$23,5)))+((W212="")*(INDEX(Setup!$M$6:$M$23,5)="Y"))+((Y212="")*(INDEX(Setup!$M$6:$M$23,5)="Y")))</f>
        <v/>
      </c>
      <c r="AC212" s="90">
        <f>IF($B212="","",IF(AB212=0,"✓ covered","⚠ "&amp;AB212&amp;IF(AB212=1," gap"," gaps")))</f>
        <v/>
      </c>
    </row>
    <row r="213" ht="17" customHeight="1">
      <c r="A213" t="n">
        <v>5</v>
      </c>
      <c r="B213" s="29">
        <f>IF(Setup!$K$11="","",Setup!$K$11)</f>
        <v/>
      </c>
      <c r="C213" s="88" t="n"/>
      <c r="D213" s="88" t="n"/>
      <c r="E213" s="88" t="n"/>
      <c r="F213" s="89" t="n"/>
      <c r="G213" s="88" t="n"/>
      <c r="H213" s="88" t="n"/>
      <c r="I213" s="88" t="n"/>
      <c r="J213" s="89" t="n"/>
      <c r="K213" s="88" t="n"/>
      <c r="L213" s="88" t="n"/>
      <c r="M213" s="88" t="n"/>
      <c r="N213" s="89" t="n"/>
      <c r="O213" s="88" t="n"/>
      <c r="P213" s="88" t="n"/>
      <c r="Q213" s="88" t="n"/>
      <c r="R213" s="89" t="n"/>
      <c r="S213" s="88" t="n"/>
      <c r="T213" s="88" t="n"/>
      <c r="U213" s="88" t="n"/>
      <c r="V213" s="89" t="n"/>
      <c r="W213" s="88" t="n"/>
      <c r="X213" s="89" t="n"/>
      <c r="Y213" s="88" t="n"/>
      <c r="Z213" s="89" t="n"/>
      <c r="AB213" s="30">
        <f>IF($B213="","",(COUNTIF(C213:E213,"?*")&lt;N(INDEX(Setup!$L$6:$L$23,6)))+(COUNTIF(G213:I213,"?*")&lt;N(INDEX(Setup!$L$6:$L$23,6)))+(COUNTIF(K213:M213,"?*")&lt;N(INDEX(Setup!$L$6:$L$23,6)))+(COUNTIF(O213:Q213,"?*")&lt;N(INDEX(Setup!$L$6:$L$23,6)))+(COUNTIF(S213:U213,"?*")&lt;N(INDEX(Setup!$L$6:$L$23,6)))+((W213="")*(INDEX(Setup!$M$6:$M$23,6)="Y"))+((Y213="")*(INDEX(Setup!$M$6:$M$23,6)="Y")))</f>
        <v/>
      </c>
      <c r="AC213" s="91">
        <f>IF($B213="","",IF(AB213=0,"✓ covered","⚠ "&amp;AB213&amp;IF(AB213=1," gap"," gaps")))</f>
        <v/>
      </c>
    </row>
    <row r="214" ht="17" customHeight="1">
      <c r="A214" t="n">
        <v>5</v>
      </c>
      <c r="B214" s="24">
        <f>IF(Setup!$K$12="","",Setup!$K$12)</f>
        <v/>
      </c>
      <c r="C214" s="88" t="n"/>
      <c r="D214" s="88" t="n"/>
      <c r="E214" s="88" t="n"/>
      <c r="F214" s="89" t="n"/>
      <c r="G214" s="88" t="n"/>
      <c r="H214" s="88" t="n"/>
      <c r="I214" s="88" t="n"/>
      <c r="J214" s="89" t="n"/>
      <c r="K214" s="88" t="n"/>
      <c r="L214" s="88" t="n"/>
      <c r="M214" s="88" t="n"/>
      <c r="N214" s="89" t="n"/>
      <c r="O214" s="88" t="n"/>
      <c r="P214" s="88" t="n"/>
      <c r="Q214" s="88" t="n"/>
      <c r="R214" s="89" t="n"/>
      <c r="S214" s="88" t="n"/>
      <c r="T214" s="88" t="n"/>
      <c r="U214" s="88" t="n"/>
      <c r="V214" s="89" t="n"/>
      <c r="W214" s="88" t="n"/>
      <c r="X214" s="89" t="n"/>
      <c r="Y214" s="88" t="n"/>
      <c r="Z214" s="89" t="n"/>
      <c r="AB214" s="25">
        <f>IF($B214="","",(COUNTIF(C214:E214,"?*")&lt;N(INDEX(Setup!$L$6:$L$23,7)))+(COUNTIF(G214:I214,"?*")&lt;N(INDEX(Setup!$L$6:$L$23,7)))+(COUNTIF(K214:M214,"?*")&lt;N(INDEX(Setup!$L$6:$L$23,7)))+(COUNTIF(O214:Q214,"?*")&lt;N(INDEX(Setup!$L$6:$L$23,7)))+(COUNTIF(S214:U214,"?*")&lt;N(INDEX(Setup!$L$6:$L$23,7)))+((W214="")*(INDEX(Setup!$M$6:$M$23,7)="Y"))+((Y214="")*(INDEX(Setup!$M$6:$M$23,7)="Y")))</f>
        <v/>
      </c>
      <c r="AC214" s="90">
        <f>IF($B214="","",IF(AB214=0,"✓ covered","⚠ "&amp;AB214&amp;IF(AB214=1," gap"," gaps")))</f>
        <v/>
      </c>
    </row>
    <row r="215" ht="17" customHeight="1">
      <c r="A215" t="n">
        <v>5</v>
      </c>
      <c r="B215" s="29">
        <f>IF(Setup!$K$13="","",Setup!$K$13)</f>
        <v/>
      </c>
      <c r="C215" s="88" t="n"/>
      <c r="D215" s="88" t="n"/>
      <c r="E215" s="88" t="n"/>
      <c r="F215" s="89" t="n"/>
      <c r="G215" s="88" t="n"/>
      <c r="H215" s="88" t="n"/>
      <c r="I215" s="88" t="n"/>
      <c r="J215" s="89" t="n"/>
      <c r="K215" s="88" t="n"/>
      <c r="L215" s="88" t="n"/>
      <c r="M215" s="88" t="n"/>
      <c r="N215" s="89" t="n"/>
      <c r="O215" s="88" t="n"/>
      <c r="P215" s="88" t="n"/>
      <c r="Q215" s="88" t="n"/>
      <c r="R215" s="89" t="n"/>
      <c r="S215" s="88" t="n"/>
      <c r="T215" s="88" t="n"/>
      <c r="U215" s="88" t="n"/>
      <c r="V215" s="89" t="n"/>
      <c r="W215" s="88" t="n"/>
      <c r="X215" s="89" t="n"/>
      <c r="Y215" s="88" t="n"/>
      <c r="Z215" s="89" t="n"/>
      <c r="AB215" s="30">
        <f>IF($B215="","",(COUNTIF(C215:E215,"?*")&lt;N(INDEX(Setup!$L$6:$L$23,8)))+(COUNTIF(G215:I215,"?*")&lt;N(INDEX(Setup!$L$6:$L$23,8)))+(COUNTIF(K215:M215,"?*")&lt;N(INDEX(Setup!$L$6:$L$23,8)))+(COUNTIF(O215:Q215,"?*")&lt;N(INDEX(Setup!$L$6:$L$23,8)))+(COUNTIF(S215:U215,"?*")&lt;N(INDEX(Setup!$L$6:$L$23,8)))+((W215="")*(INDEX(Setup!$M$6:$M$23,8)="Y"))+((Y215="")*(INDEX(Setup!$M$6:$M$23,8)="Y")))</f>
        <v/>
      </c>
      <c r="AC215" s="91">
        <f>IF($B215="","",IF(AB215=0,"✓ covered","⚠ "&amp;AB215&amp;IF(AB215=1," gap"," gaps")))</f>
        <v/>
      </c>
    </row>
    <row r="216" ht="17" customHeight="1">
      <c r="A216" t="n">
        <v>5</v>
      </c>
      <c r="B216" s="24">
        <f>IF(Setup!$K$14="","",Setup!$K$14)</f>
        <v/>
      </c>
      <c r="C216" s="88" t="n"/>
      <c r="D216" s="88" t="n"/>
      <c r="E216" s="88" t="n"/>
      <c r="F216" s="89" t="n"/>
      <c r="G216" s="88" t="n"/>
      <c r="H216" s="88" t="n"/>
      <c r="I216" s="88" t="n"/>
      <c r="J216" s="89" t="n"/>
      <c r="K216" s="88" t="n"/>
      <c r="L216" s="88" t="n"/>
      <c r="M216" s="88" t="n"/>
      <c r="N216" s="89" t="n"/>
      <c r="O216" s="88" t="n"/>
      <c r="P216" s="88" t="n"/>
      <c r="Q216" s="88" t="n"/>
      <c r="R216" s="89" t="n"/>
      <c r="S216" s="88" t="n"/>
      <c r="T216" s="88" t="n"/>
      <c r="U216" s="88" t="n"/>
      <c r="V216" s="89" t="n"/>
      <c r="W216" s="88" t="n"/>
      <c r="X216" s="89" t="n"/>
      <c r="Y216" s="88" t="n"/>
      <c r="Z216" s="89" t="n"/>
      <c r="AB216" s="25">
        <f>IF($B216="","",(COUNTIF(C216:E216,"?*")&lt;N(INDEX(Setup!$L$6:$L$23,9)))+(COUNTIF(G216:I216,"?*")&lt;N(INDEX(Setup!$L$6:$L$23,9)))+(COUNTIF(K216:M216,"?*")&lt;N(INDEX(Setup!$L$6:$L$23,9)))+(COUNTIF(O216:Q216,"?*")&lt;N(INDEX(Setup!$L$6:$L$23,9)))+(COUNTIF(S216:U216,"?*")&lt;N(INDEX(Setup!$L$6:$L$23,9)))+((W216="")*(INDEX(Setup!$M$6:$M$23,9)="Y"))+((Y216="")*(INDEX(Setup!$M$6:$M$23,9)="Y")))</f>
        <v/>
      </c>
      <c r="AC216" s="90">
        <f>IF($B216="","",IF(AB216=0,"✓ covered","⚠ "&amp;AB216&amp;IF(AB216=1," gap"," gaps")))</f>
        <v/>
      </c>
    </row>
    <row r="217" ht="17" customHeight="1">
      <c r="A217" t="n">
        <v>5</v>
      </c>
      <c r="B217" s="29">
        <f>IF(Setup!$K$15="","",Setup!$K$15)</f>
        <v/>
      </c>
      <c r="C217" s="88" t="n"/>
      <c r="D217" s="88" t="n"/>
      <c r="E217" s="88" t="n"/>
      <c r="F217" s="89" t="n"/>
      <c r="G217" s="88" t="n"/>
      <c r="H217" s="88" t="n"/>
      <c r="I217" s="88" t="n"/>
      <c r="J217" s="89" t="n"/>
      <c r="K217" s="88" t="n"/>
      <c r="L217" s="88" t="n"/>
      <c r="M217" s="88" t="n"/>
      <c r="N217" s="89" t="n"/>
      <c r="O217" s="88" t="n"/>
      <c r="P217" s="88" t="n"/>
      <c r="Q217" s="88" t="n"/>
      <c r="R217" s="89" t="n"/>
      <c r="S217" s="88" t="n"/>
      <c r="T217" s="88" t="n"/>
      <c r="U217" s="88" t="n"/>
      <c r="V217" s="89" t="n"/>
      <c r="W217" s="88" t="n"/>
      <c r="X217" s="89" t="n"/>
      <c r="Y217" s="88" t="n"/>
      <c r="Z217" s="89" t="n"/>
      <c r="AB217" s="30">
        <f>IF($B217="","",(COUNTIF(C217:E217,"?*")&lt;N(INDEX(Setup!$L$6:$L$23,10)))+(COUNTIF(G217:I217,"?*")&lt;N(INDEX(Setup!$L$6:$L$23,10)))+(COUNTIF(K217:M217,"?*")&lt;N(INDEX(Setup!$L$6:$L$23,10)))+(COUNTIF(O217:Q217,"?*")&lt;N(INDEX(Setup!$L$6:$L$23,10)))+(COUNTIF(S217:U217,"?*")&lt;N(INDEX(Setup!$L$6:$L$23,10)))+((W217="")*(INDEX(Setup!$M$6:$M$23,10)="Y"))+((Y217="")*(INDEX(Setup!$M$6:$M$23,10)="Y")))</f>
        <v/>
      </c>
      <c r="AC217" s="91">
        <f>IF($B217="","",IF(AB217=0,"✓ covered","⚠ "&amp;AB217&amp;IF(AB217=1," gap"," gaps")))</f>
        <v/>
      </c>
    </row>
    <row r="218" ht="17" customHeight="1">
      <c r="A218" t="n">
        <v>5</v>
      </c>
      <c r="B218" s="24">
        <f>IF(Setup!$K$16="","",Setup!$K$16)</f>
        <v/>
      </c>
      <c r="C218" s="88" t="n"/>
      <c r="D218" s="88" t="n"/>
      <c r="E218" s="88" t="n"/>
      <c r="F218" s="89" t="n"/>
      <c r="G218" s="88" t="n"/>
      <c r="H218" s="88" t="n"/>
      <c r="I218" s="88" t="n"/>
      <c r="J218" s="89" t="n"/>
      <c r="K218" s="88" t="n"/>
      <c r="L218" s="88" t="n"/>
      <c r="M218" s="88" t="n"/>
      <c r="N218" s="89" t="n"/>
      <c r="O218" s="88" t="n"/>
      <c r="P218" s="88" t="n"/>
      <c r="Q218" s="88" t="n"/>
      <c r="R218" s="89" t="n"/>
      <c r="S218" s="88" t="n"/>
      <c r="T218" s="88" t="n"/>
      <c r="U218" s="88" t="n"/>
      <c r="V218" s="89" t="n"/>
      <c r="W218" s="88" t="n"/>
      <c r="X218" s="89" t="n"/>
      <c r="Y218" s="88" t="n"/>
      <c r="Z218" s="89" t="n"/>
      <c r="AB218" s="25">
        <f>IF($B218="","",(COUNTIF(C218:E218,"?*")&lt;N(INDEX(Setup!$L$6:$L$23,11)))+(COUNTIF(G218:I218,"?*")&lt;N(INDEX(Setup!$L$6:$L$23,11)))+(COUNTIF(K218:M218,"?*")&lt;N(INDEX(Setup!$L$6:$L$23,11)))+(COUNTIF(O218:Q218,"?*")&lt;N(INDEX(Setup!$L$6:$L$23,11)))+(COUNTIF(S218:U218,"?*")&lt;N(INDEX(Setup!$L$6:$L$23,11)))+((W218="")*(INDEX(Setup!$M$6:$M$23,11)="Y"))+((Y218="")*(INDEX(Setup!$M$6:$M$23,11)="Y")))</f>
        <v/>
      </c>
      <c r="AC218" s="90">
        <f>IF($B218="","",IF(AB218=0,"✓ covered","⚠ "&amp;AB218&amp;IF(AB218=1," gap"," gaps")))</f>
        <v/>
      </c>
    </row>
    <row r="219" ht="17" customHeight="1">
      <c r="A219" t="n">
        <v>5</v>
      </c>
      <c r="B219" s="29">
        <f>IF(Setup!$K$17="","",Setup!$K$17)</f>
        <v/>
      </c>
      <c r="C219" s="88" t="n"/>
      <c r="D219" s="88" t="n"/>
      <c r="E219" s="88" t="n"/>
      <c r="F219" s="89" t="n"/>
      <c r="G219" s="88" t="n"/>
      <c r="H219" s="88" t="n"/>
      <c r="I219" s="88" t="n"/>
      <c r="J219" s="89" t="n"/>
      <c r="K219" s="88" t="n"/>
      <c r="L219" s="88" t="n"/>
      <c r="M219" s="88" t="n"/>
      <c r="N219" s="89" t="n"/>
      <c r="O219" s="88" t="n"/>
      <c r="P219" s="88" t="n"/>
      <c r="Q219" s="88" t="n"/>
      <c r="R219" s="89" t="n"/>
      <c r="S219" s="88" t="n"/>
      <c r="T219" s="88" t="n"/>
      <c r="U219" s="88" t="n"/>
      <c r="V219" s="89" t="n"/>
      <c r="W219" s="88" t="n"/>
      <c r="X219" s="89" t="n"/>
      <c r="Y219" s="88" t="n"/>
      <c r="Z219" s="89" t="n"/>
      <c r="AB219" s="30">
        <f>IF($B219="","",(COUNTIF(C219:E219,"?*")&lt;N(INDEX(Setup!$L$6:$L$23,12)))+(COUNTIF(G219:I219,"?*")&lt;N(INDEX(Setup!$L$6:$L$23,12)))+(COUNTIF(K219:M219,"?*")&lt;N(INDEX(Setup!$L$6:$L$23,12)))+(COUNTIF(O219:Q219,"?*")&lt;N(INDEX(Setup!$L$6:$L$23,12)))+(COUNTIF(S219:U219,"?*")&lt;N(INDEX(Setup!$L$6:$L$23,12)))+((W219="")*(INDEX(Setup!$M$6:$M$23,12)="Y"))+((Y219="")*(INDEX(Setup!$M$6:$M$23,12)="Y")))</f>
        <v/>
      </c>
      <c r="AC219" s="91">
        <f>IF($B219="","",IF(AB219=0,"✓ covered","⚠ "&amp;AB219&amp;IF(AB219=1," gap"," gaps")))</f>
        <v/>
      </c>
    </row>
    <row r="220" ht="17" customHeight="1">
      <c r="A220" t="n">
        <v>5</v>
      </c>
      <c r="B220" s="24">
        <f>IF(Setup!$K$18="","",Setup!$K$18)</f>
        <v/>
      </c>
      <c r="C220" s="88" t="n"/>
      <c r="D220" s="88" t="n"/>
      <c r="E220" s="88" t="n"/>
      <c r="F220" s="89" t="n"/>
      <c r="G220" s="88" t="n"/>
      <c r="H220" s="88" t="n"/>
      <c r="I220" s="88" t="n"/>
      <c r="J220" s="89" t="n"/>
      <c r="K220" s="88" t="n"/>
      <c r="L220" s="88" t="n"/>
      <c r="M220" s="88" t="n"/>
      <c r="N220" s="89" t="n"/>
      <c r="O220" s="88" t="n"/>
      <c r="P220" s="88" t="n"/>
      <c r="Q220" s="88" t="n"/>
      <c r="R220" s="89" t="n"/>
      <c r="S220" s="88" t="n"/>
      <c r="T220" s="88" t="n"/>
      <c r="U220" s="88" t="n"/>
      <c r="V220" s="89" t="n"/>
      <c r="W220" s="88" t="n"/>
      <c r="X220" s="89" t="n"/>
      <c r="Y220" s="88" t="n"/>
      <c r="Z220" s="89" t="n"/>
      <c r="AB220" s="25">
        <f>IF($B220="","",(COUNTIF(C220:E220,"?*")&lt;N(INDEX(Setup!$L$6:$L$23,13)))+(COUNTIF(G220:I220,"?*")&lt;N(INDEX(Setup!$L$6:$L$23,13)))+(COUNTIF(K220:M220,"?*")&lt;N(INDEX(Setup!$L$6:$L$23,13)))+(COUNTIF(O220:Q220,"?*")&lt;N(INDEX(Setup!$L$6:$L$23,13)))+(COUNTIF(S220:U220,"?*")&lt;N(INDEX(Setup!$L$6:$L$23,13)))+((W220="")*(INDEX(Setup!$M$6:$M$23,13)="Y"))+((Y220="")*(INDEX(Setup!$M$6:$M$23,13)="Y")))</f>
        <v/>
      </c>
      <c r="AC220" s="90">
        <f>IF($B220="","",IF(AB220=0,"✓ covered","⚠ "&amp;AB220&amp;IF(AB220=1," gap"," gaps")))</f>
        <v/>
      </c>
    </row>
    <row r="221" ht="17" customHeight="1">
      <c r="A221" t="n">
        <v>5</v>
      </c>
      <c r="B221" s="29">
        <f>IF(Setup!$K$19="","",Setup!$K$19)</f>
        <v/>
      </c>
      <c r="C221" s="88" t="n"/>
      <c r="D221" s="88" t="n"/>
      <c r="E221" s="88" t="n"/>
      <c r="F221" s="89" t="n"/>
      <c r="G221" s="88" t="n"/>
      <c r="H221" s="88" t="n"/>
      <c r="I221" s="88" t="n"/>
      <c r="J221" s="89" t="n"/>
      <c r="K221" s="88" t="n"/>
      <c r="L221" s="88" t="n"/>
      <c r="M221" s="88" t="n"/>
      <c r="N221" s="89" t="n"/>
      <c r="O221" s="88" t="n"/>
      <c r="P221" s="88" t="n"/>
      <c r="Q221" s="88" t="n"/>
      <c r="R221" s="89" t="n"/>
      <c r="S221" s="88" t="n"/>
      <c r="T221" s="88" t="n"/>
      <c r="U221" s="88" t="n"/>
      <c r="V221" s="89" t="n"/>
      <c r="W221" s="88" t="n"/>
      <c r="X221" s="89" t="n"/>
      <c r="Y221" s="88" t="n"/>
      <c r="Z221" s="89" t="n"/>
      <c r="AB221" s="30">
        <f>IF($B221="","",(COUNTIF(C221:E221,"?*")&lt;N(INDEX(Setup!$L$6:$L$23,14)))+(COUNTIF(G221:I221,"?*")&lt;N(INDEX(Setup!$L$6:$L$23,14)))+(COUNTIF(K221:M221,"?*")&lt;N(INDEX(Setup!$L$6:$L$23,14)))+(COUNTIF(O221:Q221,"?*")&lt;N(INDEX(Setup!$L$6:$L$23,14)))+(COUNTIF(S221:U221,"?*")&lt;N(INDEX(Setup!$L$6:$L$23,14)))+((W221="")*(INDEX(Setup!$M$6:$M$23,14)="Y"))+((Y221="")*(INDEX(Setup!$M$6:$M$23,14)="Y")))</f>
        <v/>
      </c>
      <c r="AC221" s="91">
        <f>IF($B221="","",IF(AB221=0,"✓ covered","⚠ "&amp;AB221&amp;IF(AB221=1," gap"," gaps")))</f>
        <v/>
      </c>
    </row>
    <row r="222" ht="17" customHeight="1">
      <c r="A222" t="n">
        <v>5</v>
      </c>
      <c r="B222" s="24">
        <f>IF(Setup!$K$20="","",Setup!$K$20)</f>
        <v/>
      </c>
      <c r="C222" s="88" t="n"/>
      <c r="D222" s="88" t="n"/>
      <c r="E222" s="88" t="n"/>
      <c r="F222" s="89" t="n"/>
      <c r="G222" s="88" t="n"/>
      <c r="H222" s="88" t="n"/>
      <c r="I222" s="88" t="n"/>
      <c r="J222" s="89" t="n"/>
      <c r="K222" s="88" t="n"/>
      <c r="L222" s="88" t="n"/>
      <c r="M222" s="88" t="n"/>
      <c r="N222" s="89" t="n"/>
      <c r="O222" s="88" t="n"/>
      <c r="P222" s="88" t="n"/>
      <c r="Q222" s="88" t="n"/>
      <c r="R222" s="89" t="n"/>
      <c r="S222" s="88" t="n"/>
      <c r="T222" s="88" t="n"/>
      <c r="U222" s="88" t="n"/>
      <c r="V222" s="89" t="n"/>
      <c r="W222" s="88" t="n"/>
      <c r="X222" s="89" t="n"/>
      <c r="Y222" s="88" t="n"/>
      <c r="Z222" s="89" t="n"/>
      <c r="AB222" s="25">
        <f>IF($B222="","",(COUNTIF(C222:E222,"?*")&lt;N(INDEX(Setup!$L$6:$L$23,15)))+(COUNTIF(G222:I222,"?*")&lt;N(INDEX(Setup!$L$6:$L$23,15)))+(COUNTIF(K222:M222,"?*")&lt;N(INDEX(Setup!$L$6:$L$23,15)))+(COUNTIF(O222:Q222,"?*")&lt;N(INDEX(Setup!$L$6:$L$23,15)))+(COUNTIF(S222:U222,"?*")&lt;N(INDEX(Setup!$L$6:$L$23,15)))+((W222="")*(INDEX(Setup!$M$6:$M$23,15)="Y"))+((Y222="")*(INDEX(Setup!$M$6:$M$23,15)="Y")))</f>
        <v/>
      </c>
      <c r="AC222" s="90">
        <f>IF($B222="","",IF(AB222=0,"✓ covered","⚠ "&amp;AB222&amp;IF(AB222=1," gap"," gaps")))</f>
        <v/>
      </c>
    </row>
    <row r="223" ht="17" customHeight="1">
      <c r="A223" t="n">
        <v>5</v>
      </c>
      <c r="B223" s="29">
        <f>IF(Setup!$K$21="","",Setup!$K$21)</f>
        <v/>
      </c>
      <c r="C223" s="88" t="n"/>
      <c r="D223" s="88" t="n"/>
      <c r="E223" s="88" t="n"/>
      <c r="F223" s="89" t="n"/>
      <c r="G223" s="88" t="n"/>
      <c r="H223" s="88" t="n"/>
      <c r="I223" s="88" t="n"/>
      <c r="J223" s="89" t="n"/>
      <c r="K223" s="88" t="n"/>
      <c r="L223" s="88" t="n"/>
      <c r="M223" s="88" t="n"/>
      <c r="N223" s="89" t="n"/>
      <c r="O223" s="88" t="n"/>
      <c r="P223" s="88" t="n"/>
      <c r="Q223" s="88" t="n"/>
      <c r="R223" s="89" t="n"/>
      <c r="S223" s="88" t="n"/>
      <c r="T223" s="88" t="n"/>
      <c r="U223" s="88" t="n"/>
      <c r="V223" s="89" t="n"/>
      <c r="W223" s="88" t="n"/>
      <c r="X223" s="89" t="n"/>
      <c r="Y223" s="88" t="n"/>
      <c r="Z223" s="89" t="n"/>
      <c r="AB223" s="30">
        <f>IF($B223="","",(COUNTIF(C223:E223,"?*")&lt;N(INDEX(Setup!$L$6:$L$23,16)))+(COUNTIF(G223:I223,"?*")&lt;N(INDEX(Setup!$L$6:$L$23,16)))+(COUNTIF(K223:M223,"?*")&lt;N(INDEX(Setup!$L$6:$L$23,16)))+(COUNTIF(O223:Q223,"?*")&lt;N(INDEX(Setup!$L$6:$L$23,16)))+(COUNTIF(S223:U223,"?*")&lt;N(INDEX(Setup!$L$6:$L$23,16)))+((W223="")*(INDEX(Setup!$M$6:$M$23,16)="Y"))+((Y223="")*(INDEX(Setup!$M$6:$M$23,16)="Y")))</f>
        <v/>
      </c>
      <c r="AC223" s="91">
        <f>IF($B223="","",IF(AB223=0,"✓ covered","⚠ "&amp;AB223&amp;IF(AB223=1," gap"," gaps")))</f>
        <v/>
      </c>
    </row>
    <row r="224" ht="17" customHeight="1">
      <c r="A224" t="n">
        <v>5</v>
      </c>
      <c r="B224" s="24">
        <f>IF(Setup!$K$22="","",Setup!$K$22)</f>
        <v/>
      </c>
      <c r="C224" s="88" t="n"/>
      <c r="D224" s="88" t="n"/>
      <c r="E224" s="88" t="n"/>
      <c r="F224" s="89" t="n"/>
      <c r="G224" s="88" t="n"/>
      <c r="H224" s="88" t="n"/>
      <c r="I224" s="88" t="n"/>
      <c r="J224" s="89" t="n"/>
      <c r="K224" s="88" t="n"/>
      <c r="L224" s="88" t="n"/>
      <c r="M224" s="88" t="n"/>
      <c r="N224" s="89" t="n"/>
      <c r="O224" s="88" t="n"/>
      <c r="P224" s="88" t="n"/>
      <c r="Q224" s="88" t="n"/>
      <c r="R224" s="89" t="n"/>
      <c r="S224" s="88" t="n"/>
      <c r="T224" s="88" t="n"/>
      <c r="U224" s="88" t="n"/>
      <c r="V224" s="89" t="n"/>
      <c r="W224" s="88" t="n"/>
      <c r="X224" s="89" t="n"/>
      <c r="Y224" s="88" t="n"/>
      <c r="Z224" s="89" t="n"/>
      <c r="AB224" s="25">
        <f>IF($B224="","",(COUNTIF(C224:E224,"?*")&lt;N(INDEX(Setup!$L$6:$L$23,17)))+(COUNTIF(G224:I224,"?*")&lt;N(INDEX(Setup!$L$6:$L$23,17)))+(COUNTIF(K224:M224,"?*")&lt;N(INDEX(Setup!$L$6:$L$23,17)))+(COUNTIF(O224:Q224,"?*")&lt;N(INDEX(Setup!$L$6:$L$23,17)))+(COUNTIF(S224:U224,"?*")&lt;N(INDEX(Setup!$L$6:$L$23,17)))+((W224="")*(INDEX(Setup!$M$6:$M$23,17)="Y"))+((Y224="")*(INDEX(Setup!$M$6:$M$23,17)="Y")))</f>
        <v/>
      </c>
      <c r="AC224" s="90">
        <f>IF($B224="","",IF(AB224=0,"✓ covered","⚠ "&amp;AB224&amp;IF(AB224=1," gap"," gaps")))</f>
        <v/>
      </c>
    </row>
    <row r="225" ht="17" customHeight="1">
      <c r="A225" t="n">
        <v>5</v>
      </c>
      <c r="B225" s="29">
        <f>IF(Setup!$K$23="","",Setup!$K$23)</f>
        <v/>
      </c>
      <c r="C225" s="88" t="n"/>
      <c r="D225" s="88" t="n"/>
      <c r="E225" s="88" t="n"/>
      <c r="F225" s="89" t="n"/>
      <c r="G225" s="88" t="n"/>
      <c r="H225" s="88" t="n"/>
      <c r="I225" s="88" t="n"/>
      <c r="J225" s="89" t="n"/>
      <c r="K225" s="88" t="n"/>
      <c r="L225" s="88" t="n"/>
      <c r="M225" s="88" t="n"/>
      <c r="N225" s="89" t="n"/>
      <c r="O225" s="88" t="n"/>
      <c r="P225" s="88" t="n"/>
      <c r="Q225" s="88" t="n"/>
      <c r="R225" s="89" t="n"/>
      <c r="S225" s="88" t="n"/>
      <c r="T225" s="88" t="n"/>
      <c r="U225" s="88" t="n"/>
      <c r="V225" s="89" t="n"/>
      <c r="W225" s="88" t="n"/>
      <c r="X225" s="89" t="n"/>
      <c r="Y225" s="88" t="n"/>
      <c r="Z225" s="89" t="n"/>
      <c r="AB225" s="30">
        <f>IF($B225="","",(COUNTIF(C225:E225,"?*")&lt;N(INDEX(Setup!$L$6:$L$23,18)))+(COUNTIF(G225:I225,"?*")&lt;N(INDEX(Setup!$L$6:$L$23,18)))+(COUNTIF(K225:M225,"?*")&lt;N(INDEX(Setup!$L$6:$L$23,18)))+(COUNTIF(O225:Q225,"?*")&lt;N(INDEX(Setup!$L$6:$L$23,18)))+(COUNTIF(S225:U225,"?*")&lt;N(INDEX(Setup!$L$6:$L$23,18)))+((W225="")*(INDEX(Setup!$M$6:$M$23,18)="Y"))+((Y225="")*(INDEX(Setup!$M$6:$M$23,18)="Y")))</f>
        <v/>
      </c>
      <c r="AC225" s="91">
        <f>IF($B225="","",IF(AB225=0,"✓ covered","⚠ "&amp;AB225&amp;IF(AB225=1," gap"," gaps")))</f>
        <v/>
      </c>
    </row>
    <row r="226" ht="18" customHeight="1">
      <c r="A226" t="n">
        <v>5</v>
      </c>
      <c r="B226" s="78" t="inlineStr">
        <is>
          <t>TEAM AVAILABILITY</t>
        </is>
      </c>
      <c r="C226" s="92" t="inlineStr">
        <is>
          <t>Mon</t>
        </is>
      </c>
      <c r="D226" s="93" t="n"/>
      <c r="E226" s="93" t="n"/>
      <c r="F226" s="94" t="n"/>
      <c r="G226" s="92" t="inlineStr">
        <is>
          <t>Tue</t>
        </is>
      </c>
      <c r="H226" s="93" t="n"/>
      <c r="I226" s="93" t="n"/>
      <c r="J226" s="94" t="n"/>
      <c r="K226" s="92" t="inlineStr">
        <is>
          <t>Wed</t>
        </is>
      </c>
      <c r="L226" s="93" t="n"/>
      <c r="M226" s="93" t="n"/>
      <c r="N226" s="94" t="n"/>
      <c r="O226" s="92" t="inlineStr">
        <is>
          <t>Thu</t>
        </is>
      </c>
      <c r="P226" s="93" t="n"/>
      <c r="Q226" s="93" t="n"/>
      <c r="R226" s="94" t="n"/>
      <c r="S226" s="92" t="inlineStr">
        <is>
          <t>Fri</t>
        </is>
      </c>
      <c r="T226" s="93" t="n"/>
      <c r="U226" s="93" t="n"/>
      <c r="V226" s="94" t="n"/>
      <c r="W226" s="95" t="inlineStr">
        <is>
          <t>Sat</t>
        </is>
      </c>
      <c r="X226" s="96" t="n"/>
      <c r="Y226" s="95" t="inlineStr">
        <is>
          <t>Sun</t>
        </is>
      </c>
      <c r="Z226" s="96" t="n"/>
      <c r="AB226" s="97" t="inlineStr">
        <is>
          <t>Days rostered</t>
        </is>
      </c>
      <c r="AC226" s="97" t="inlineStr">
        <is>
          <t>Conflicts</t>
        </is>
      </c>
    </row>
    <row r="227" ht="15" customHeight="1">
      <c r="A227" t="n">
        <v>5</v>
      </c>
      <c r="B227" s="35">
        <f>IF(Setup!$B$6="","",Setup!$B$6)</f>
        <v/>
      </c>
      <c r="C227" s="98" t="n"/>
      <c r="D227" s="99" t="n"/>
      <c r="E227" s="99" t="n"/>
      <c r="F227" s="100" t="n"/>
      <c r="G227" s="98" t="n"/>
      <c r="H227" s="99" t="n"/>
      <c r="I227" s="99" t="n"/>
      <c r="J227" s="100" t="n"/>
      <c r="K227" s="98" t="n"/>
      <c r="L227" s="99" t="n"/>
      <c r="M227" s="99" t="n"/>
      <c r="N227" s="100" t="n"/>
      <c r="O227" s="98" t="n"/>
      <c r="P227" s="99" t="n"/>
      <c r="Q227" s="99" t="n"/>
      <c r="R227" s="100" t="n"/>
      <c r="S227" s="98" t="n"/>
      <c r="T227" s="99" t="n"/>
      <c r="U227" s="99" t="n"/>
      <c r="V227" s="100" t="n"/>
      <c r="W227" s="98" t="n"/>
      <c r="X227" s="100" t="n"/>
      <c r="Y227" s="98" t="n"/>
      <c r="Z227" s="100" t="n"/>
      <c r="AB227" s="101">
        <f>IF($B227="","",(COUNTIF(C208:E225,$B227)+COUNTIF(C208:E225,$B227&amp;" ~*")&gt;0)+(COUNTIF(G208:I225,$B227)+COUNTIF(G208:I225,$B227&amp;" ~*")&gt;0)+(COUNTIF(K208:M225,$B227)+COUNTIF(K208:M225,$B227&amp;" ~*")&gt;0)+(COUNTIF(O208:Q225,$B227)+COUNTIF(O208:Q225,$B227&amp;" ~*")&gt;0)+(COUNTIF(S208:U225,$B227)+COUNTIF(S208:U225,$B227&amp;" ~*")&gt;0)+(COUNTIF(W208:W225,$B227)+COUNTIF(W208:W225,$B227&amp;" ~*")&gt;0)+(COUNTIF(Y208:Y225,$B227)+COUNTIF(Y208:Y225,$B227&amp;" ~*")&gt;0))</f>
        <v/>
      </c>
      <c r="AC227" s="36">
        <f>IF($B227="","",(IFERROR(INDEX(Setup!$G$33:$G$40,MATCH(C227,Setup!$B$33:$B$40,0)),0)=1)*(COUNTIF(C208:E225,$B227)+COUNTIF(C208:E225,$B227&amp;" ~*")&gt;0)+(IFERROR(INDEX(Setup!$G$33:$G$40,MATCH(G227,Setup!$B$33:$B$40,0)),0)=1)*(COUNTIF(G208:I225,$B227)+COUNTIF(G208:I225,$B227&amp;" ~*")&gt;0)+(IFERROR(INDEX(Setup!$G$33:$G$40,MATCH(K227,Setup!$B$33:$B$40,0)),0)=1)*(COUNTIF(K208:M225,$B227)+COUNTIF(K208:M225,$B227&amp;" ~*")&gt;0)+(IFERROR(INDEX(Setup!$G$33:$G$40,MATCH(O227,Setup!$B$33:$B$40,0)),0)=1)*(COUNTIF(O208:Q225,$B227)+COUNTIF(O208:Q225,$B227&amp;" ~*")&gt;0)+(IFERROR(INDEX(Setup!$G$33:$G$40,MATCH(S227,Setup!$B$33:$B$40,0)),0)=1)*(COUNTIF(S208:U225,$B227)+COUNTIF(S208:U225,$B227&amp;" ~*")&gt;0)+(IFERROR(INDEX(Setup!$G$33:$G$40,MATCH(W227,Setup!$B$33:$B$40,0)),0)=1)*(COUNTIF(W208:W225,$B227)+COUNTIF(W208:W225,$B227&amp;" ~*")&gt;0)+(IFERROR(INDEX(Setup!$G$33:$G$40,MATCH(Y227,Setup!$B$33:$B$40,0)),0)=1)*(COUNTIF(Y208:Y225,$B227)+COUNTIF(Y208:Y225,$B227&amp;" ~*")&gt;0))</f>
        <v/>
      </c>
    </row>
    <row r="228" ht="15" customHeight="1">
      <c r="A228" t="n">
        <v>5</v>
      </c>
      <c r="B228" s="37">
        <f>IF(Setup!$B$7="","",Setup!$B$7)</f>
        <v/>
      </c>
      <c r="C228" s="102" t="n"/>
      <c r="D228" s="103" t="n"/>
      <c r="E228" s="103" t="n"/>
      <c r="F228" s="104" t="n"/>
      <c r="G228" s="102" t="n"/>
      <c r="H228" s="103" t="n"/>
      <c r="I228" s="103" t="n"/>
      <c r="J228" s="104" t="n"/>
      <c r="K228" s="102" t="n"/>
      <c r="L228" s="103" t="n"/>
      <c r="M228" s="103" t="n"/>
      <c r="N228" s="104" t="n"/>
      <c r="O228" s="102" t="n"/>
      <c r="P228" s="103" t="n"/>
      <c r="Q228" s="103" t="n"/>
      <c r="R228" s="104" t="n"/>
      <c r="S228" s="102" t="n"/>
      <c r="T228" s="103" t="n"/>
      <c r="U228" s="103" t="n"/>
      <c r="V228" s="104" t="n"/>
      <c r="W228" s="102" t="n"/>
      <c r="X228" s="104" t="n"/>
      <c r="Y228" s="102" t="n"/>
      <c r="Z228" s="104" t="n"/>
      <c r="AB228" s="105">
        <f>IF($B228="","",(COUNTIF(C208:E225,$B228)+COUNTIF(C208:E225,$B228&amp;" ~*")&gt;0)+(COUNTIF(G208:I225,$B228)+COUNTIF(G208:I225,$B228&amp;" ~*")&gt;0)+(COUNTIF(K208:M225,$B228)+COUNTIF(K208:M225,$B228&amp;" ~*")&gt;0)+(COUNTIF(O208:Q225,$B228)+COUNTIF(O208:Q225,$B228&amp;" ~*")&gt;0)+(COUNTIF(S208:U225,$B228)+COUNTIF(S208:U225,$B228&amp;" ~*")&gt;0)+(COUNTIF(W208:W225,$B228)+COUNTIF(W208:W225,$B228&amp;" ~*")&gt;0)+(COUNTIF(Y208:Y225,$B228)+COUNTIF(Y208:Y225,$B228&amp;" ~*")&gt;0))</f>
        <v/>
      </c>
      <c r="AC228" s="38">
        <f>IF($B228="","",(IFERROR(INDEX(Setup!$G$33:$G$40,MATCH(C228,Setup!$B$33:$B$40,0)),0)=1)*(COUNTIF(C208:E225,$B228)+COUNTIF(C208:E225,$B228&amp;" ~*")&gt;0)+(IFERROR(INDEX(Setup!$G$33:$G$40,MATCH(G228,Setup!$B$33:$B$40,0)),0)=1)*(COUNTIF(G208:I225,$B228)+COUNTIF(G208:I225,$B228&amp;" ~*")&gt;0)+(IFERROR(INDEX(Setup!$G$33:$G$40,MATCH(K228,Setup!$B$33:$B$40,0)),0)=1)*(COUNTIF(K208:M225,$B228)+COUNTIF(K208:M225,$B228&amp;" ~*")&gt;0)+(IFERROR(INDEX(Setup!$G$33:$G$40,MATCH(O228,Setup!$B$33:$B$40,0)),0)=1)*(COUNTIF(O208:Q225,$B228)+COUNTIF(O208:Q225,$B228&amp;" ~*")&gt;0)+(IFERROR(INDEX(Setup!$G$33:$G$40,MATCH(S228,Setup!$B$33:$B$40,0)),0)=1)*(COUNTIF(S208:U225,$B228)+COUNTIF(S208:U225,$B228&amp;" ~*")&gt;0)+(IFERROR(INDEX(Setup!$G$33:$G$40,MATCH(W228,Setup!$B$33:$B$40,0)),0)=1)*(COUNTIF(W208:W225,$B228)+COUNTIF(W208:W225,$B228&amp;" ~*")&gt;0)+(IFERROR(INDEX(Setup!$G$33:$G$40,MATCH(Y228,Setup!$B$33:$B$40,0)),0)=1)*(COUNTIF(Y208:Y225,$B228)+COUNTIF(Y208:Y225,$B228&amp;" ~*")&gt;0))</f>
        <v/>
      </c>
    </row>
    <row r="229" ht="15" customHeight="1">
      <c r="A229" t="n">
        <v>5</v>
      </c>
      <c r="B229" s="35">
        <f>IF(Setup!$B$8="","",Setup!$B$8)</f>
        <v/>
      </c>
      <c r="C229" s="98" t="n"/>
      <c r="D229" s="99" t="n"/>
      <c r="E229" s="99" t="n"/>
      <c r="F229" s="100" t="n"/>
      <c r="G229" s="98" t="n"/>
      <c r="H229" s="99" t="n"/>
      <c r="I229" s="99" t="n"/>
      <c r="J229" s="100" t="n"/>
      <c r="K229" s="98" t="n"/>
      <c r="L229" s="99" t="n"/>
      <c r="M229" s="99" t="n"/>
      <c r="N229" s="100" t="n"/>
      <c r="O229" s="98" t="n"/>
      <c r="P229" s="99" t="n"/>
      <c r="Q229" s="99" t="n"/>
      <c r="R229" s="100" t="n"/>
      <c r="S229" s="98" t="n"/>
      <c r="T229" s="99" t="n"/>
      <c r="U229" s="99" t="n"/>
      <c r="V229" s="100" t="n"/>
      <c r="W229" s="98" t="n"/>
      <c r="X229" s="100" t="n"/>
      <c r="Y229" s="98" t="n"/>
      <c r="Z229" s="100" t="n"/>
      <c r="AB229" s="101">
        <f>IF($B229="","",(COUNTIF(C208:E225,$B229)+COUNTIF(C208:E225,$B229&amp;" ~*")&gt;0)+(COUNTIF(G208:I225,$B229)+COUNTIF(G208:I225,$B229&amp;" ~*")&gt;0)+(COUNTIF(K208:M225,$B229)+COUNTIF(K208:M225,$B229&amp;" ~*")&gt;0)+(COUNTIF(O208:Q225,$B229)+COUNTIF(O208:Q225,$B229&amp;" ~*")&gt;0)+(COUNTIF(S208:U225,$B229)+COUNTIF(S208:U225,$B229&amp;" ~*")&gt;0)+(COUNTIF(W208:W225,$B229)+COUNTIF(W208:W225,$B229&amp;" ~*")&gt;0)+(COUNTIF(Y208:Y225,$B229)+COUNTIF(Y208:Y225,$B229&amp;" ~*")&gt;0))</f>
        <v/>
      </c>
      <c r="AC229" s="36">
        <f>IF($B229="","",(IFERROR(INDEX(Setup!$G$33:$G$40,MATCH(C229,Setup!$B$33:$B$40,0)),0)=1)*(COUNTIF(C208:E225,$B229)+COUNTIF(C208:E225,$B229&amp;" ~*")&gt;0)+(IFERROR(INDEX(Setup!$G$33:$G$40,MATCH(G229,Setup!$B$33:$B$40,0)),0)=1)*(COUNTIF(G208:I225,$B229)+COUNTIF(G208:I225,$B229&amp;" ~*")&gt;0)+(IFERROR(INDEX(Setup!$G$33:$G$40,MATCH(K229,Setup!$B$33:$B$40,0)),0)=1)*(COUNTIF(K208:M225,$B229)+COUNTIF(K208:M225,$B229&amp;" ~*")&gt;0)+(IFERROR(INDEX(Setup!$G$33:$G$40,MATCH(O229,Setup!$B$33:$B$40,0)),0)=1)*(COUNTIF(O208:Q225,$B229)+COUNTIF(O208:Q225,$B229&amp;" ~*")&gt;0)+(IFERROR(INDEX(Setup!$G$33:$G$40,MATCH(S229,Setup!$B$33:$B$40,0)),0)=1)*(COUNTIF(S208:U225,$B229)+COUNTIF(S208:U225,$B229&amp;" ~*")&gt;0)+(IFERROR(INDEX(Setup!$G$33:$G$40,MATCH(W229,Setup!$B$33:$B$40,0)),0)=1)*(COUNTIF(W208:W225,$B229)+COUNTIF(W208:W225,$B229&amp;" ~*")&gt;0)+(IFERROR(INDEX(Setup!$G$33:$G$40,MATCH(Y229,Setup!$B$33:$B$40,0)),0)=1)*(COUNTIF(Y208:Y225,$B229)+COUNTIF(Y208:Y225,$B229&amp;" ~*")&gt;0))</f>
        <v/>
      </c>
    </row>
    <row r="230" ht="15" customHeight="1">
      <c r="A230" t="n">
        <v>5</v>
      </c>
      <c r="B230" s="37">
        <f>IF(Setup!$B$9="","",Setup!$B$9)</f>
        <v/>
      </c>
      <c r="C230" s="102" t="n"/>
      <c r="D230" s="103" t="n"/>
      <c r="E230" s="103" t="n"/>
      <c r="F230" s="104" t="n"/>
      <c r="G230" s="102" t="n"/>
      <c r="H230" s="103" t="n"/>
      <c r="I230" s="103" t="n"/>
      <c r="J230" s="104" t="n"/>
      <c r="K230" s="102" t="n"/>
      <c r="L230" s="103" t="n"/>
      <c r="M230" s="103" t="n"/>
      <c r="N230" s="104" t="n"/>
      <c r="O230" s="102" t="n"/>
      <c r="P230" s="103" t="n"/>
      <c r="Q230" s="103" t="n"/>
      <c r="R230" s="104" t="n"/>
      <c r="S230" s="102" t="n"/>
      <c r="T230" s="103" t="n"/>
      <c r="U230" s="103" t="n"/>
      <c r="V230" s="104" t="n"/>
      <c r="W230" s="102" t="n"/>
      <c r="X230" s="104" t="n"/>
      <c r="Y230" s="102" t="n"/>
      <c r="Z230" s="104" t="n"/>
      <c r="AB230" s="105">
        <f>IF($B230="","",(COUNTIF(C208:E225,$B230)+COUNTIF(C208:E225,$B230&amp;" ~*")&gt;0)+(COUNTIF(G208:I225,$B230)+COUNTIF(G208:I225,$B230&amp;" ~*")&gt;0)+(COUNTIF(K208:M225,$B230)+COUNTIF(K208:M225,$B230&amp;" ~*")&gt;0)+(COUNTIF(O208:Q225,$B230)+COUNTIF(O208:Q225,$B230&amp;" ~*")&gt;0)+(COUNTIF(S208:U225,$B230)+COUNTIF(S208:U225,$B230&amp;" ~*")&gt;0)+(COUNTIF(W208:W225,$B230)+COUNTIF(W208:W225,$B230&amp;" ~*")&gt;0)+(COUNTIF(Y208:Y225,$B230)+COUNTIF(Y208:Y225,$B230&amp;" ~*")&gt;0))</f>
        <v/>
      </c>
      <c r="AC230" s="38">
        <f>IF($B230="","",(IFERROR(INDEX(Setup!$G$33:$G$40,MATCH(C230,Setup!$B$33:$B$40,0)),0)=1)*(COUNTIF(C208:E225,$B230)+COUNTIF(C208:E225,$B230&amp;" ~*")&gt;0)+(IFERROR(INDEX(Setup!$G$33:$G$40,MATCH(G230,Setup!$B$33:$B$40,0)),0)=1)*(COUNTIF(G208:I225,$B230)+COUNTIF(G208:I225,$B230&amp;" ~*")&gt;0)+(IFERROR(INDEX(Setup!$G$33:$G$40,MATCH(K230,Setup!$B$33:$B$40,0)),0)=1)*(COUNTIF(K208:M225,$B230)+COUNTIF(K208:M225,$B230&amp;" ~*")&gt;0)+(IFERROR(INDEX(Setup!$G$33:$G$40,MATCH(O230,Setup!$B$33:$B$40,0)),0)=1)*(COUNTIF(O208:Q225,$B230)+COUNTIF(O208:Q225,$B230&amp;" ~*")&gt;0)+(IFERROR(INDEX(Setup!$G$33:$G$40,MATCH(S230,Setup!$B$33:$B$40,0)),0)=1)*(COUNTIF(S208:U225,$B230)+COUNTIF(S208:U225,$B230&amp;" ~*")&gt;0)+(IFERROR(INDEX(Setup!$G$33:$G$40,MATCH(W230,Setup!$B$33:$B$40,0)),0)=1)*(COUNTIF(W208:W225,$B230)+COUNTIF(W208:W225,$B230&amp;" ~*")&gt;0)+(IFERROR(INDEX(Setup!$G$33:$G$40,MATCH(Y230,Setup!$B$33:$B$40,0)),0)=1)*(COUNTIF(Y208:Y225,$B230)+COUNTIF(Y208:Y225,$B230&amp;" ~*")&gt;0))</f>
        <v/>
      </c>
    </row>
    <row r="231" ht="15" customHeight="1">
      <c r="A231" t="n">
        <v>5</v>
      </c>
      <c r="B231" s="35">
        <f>IF(Setup!$B$10="","",Setup!$B$10)</f>
        <v/>
      </c>
      <c r="C231" s="98" t="n"/>
      <c r="D231" s="99" t="n"/>
      <c r="E231" s="99" t="n"/>
      <c r="F231" s="100" t="n"/>
      <c r="G231" s="98" t="n"/>
      <c r="H231" s="99" t="n"/>
      <c r="I231" s="99" t="n"/>
      <c r="J231" s="100" t="n"/>
      <c r="K231" s="98" t="n"/>
      <c r="L231" s="99" t="n"/>
      <c r="M231" s="99" t="n"/>
      <c r="N231" s="100" t="n"/>
      <c r="O231" s="98" t="n"/>
      <c r="P231" s="99" t="n"/>
      <c r="Q231" s="99" t="n"/>
      <c r="R231" s="100" t="n"/>
      <c r="S231" s="98" t="n"/>
      <c r="T231" s="99" t="n"/>
      <c r="U231" s="99" t="n"/>
      <c r="V231" s="100" t="n"/>
      <c r="W231" s="98" t="n"/>
      <c r="X231" s="100" t="n"/>
      <c r="Y231" s="98" t="n"/>
      <c r="Z231" s="100" t="n"/>
      <c r="AB231" s="101">
        <f>IF($B231="","",(COUNTIF(C208:E225,$B231)+COUNTIF(C208:E225,$B231&amp;" ~*")&gt;0)+(COUNTIF(G208:I225,$B231)+COUNTIF(G208:I225,$B231&amp;" ~*")&gt;0)+(COUNTIF(K208:M225,$B231)+COUNTIF(K208:M225,$B231&amp;" ~*")&gt;0)+(COUNTIF(O208:Q225,$B231)+COUNTIF(O208:Q225,$B231&amp;" ~*")&gt;0)+(COUNTIF(S208:U225,$B231)+COUNTIF(S208:U225,$B231&amp;" ~*")&gt;0)+(COUNTIF(W208:W225,$B231)+COUNTIF(W208:W225,$B231&amp;" ~*")&gt;0)+(COUNTIF(Y208:Y225,$B231)+COUNTIF(Y208:Y225,$B231&amp;" ~*")&gt;0))</f>
        <v/>
      </c>
      <c r="AC231" s="36">
        <f>IF($B231="","",(IFERROR(INDEX(Setup!$G$33:$G$40,MATCH(C231,Setup!$B$33:$B$40,0)),0)=1)*(COUNTIF(C208:E225,$B231)+COUNTIF(C208:E225,$B231&amp;" ~*")&gt;0)+(IFERROR(INDEX(Setup!$G$33:$G$40,MATCH(G231,Setup!$B$33:$B$40,0)),0)=1)*(COUNTIF(G208:I225,$B231)+COUNTIF(G208:I225,$B231&amp;" ~*")&gt;0)+(IFERROR(INDEX(Setup!$G$33:$G$40,MATCH(K231,Setup!$B$33:$B$40,0)),0)=1)*(COUNTIF(K208:M225,$B231)+COUNTIF(K208:M225,$B231&amp;" ~*")&gt;0)+(IFERROR(INDEX(Setup!$G$33:$G$40,MATCH(O231,Setup!$B$33:$B$40,0)),0)=1)*(COUNTIF(O208:Q225,$B231)+COUNTIF(O208:Q225,$B231&amp;" ~*")&gt;0)+(IFERROR(INDEX(Setup!$G$33:$G$40,MATCH(S231,Setup!$B$33:$B$40,0)),0)=1)*(COUNTIF(S208:U225,$B231)+COUNTIF(S208:U225,$B231&amp;" ~*")&gt;0)+(IFERROR(INDEX(Setup!$G$33:$G$40,MATCH(W231,Setup!$B$33:$B$40,0)),0)=1)*(COUNTIF(W208:W225,$B231)+COUNTIF(W208:W225,$B231&amp;" ~*")&gt;0)+(IFERROR(INDEX(Setup!$G$33:$G$40,MATCH(Y231,Setup!$B$33:$B$40,0)),0)=1)*(COUNTIF(Y208:Y225,$B231)+COUNTIF(Y208:Y225,$B231&amp;" ~*")&gt;0))</f>
        <v/>
      </c>
    </row>
    <row r="232" ht="15" customHeight="1">
      <c r="A232" t="n">
        <v>5</v>
      </c>
      <c r="B232" s="37">
        <f>IF(Setup!$B$11="","",Setup!$B$11)</f>
        <v/>
      </c>
      <c r="C232" s="102" t="n"/>
      <c r="D232" s="103" t="n"/>
      <c r="E232" s="103" t="n"/>
      <c r="F232" s="104" t="n"/>
      <c r="G232" s="102" t="n"/>
      <c r="H232" s="103" t="n"/>
      <c r="I232" s="103" t="n"/>
      <c r="J232" s="104" t="n"/>
      <c r="K232" s="102" t="n"/>
      <c r="L232" s="103" t="n"/>
      <c r="M232" s="103" t="n"/>
      <c r="N232" s="104" t="n"/>
      <c r="O232" s="102" t="n"/>
      <c r="P232" s="103" t="n"/>
      <c r="Q232" s="103" t="n"/>
      <c r="R232" s="104" t="n"/>
      <c r="S232" s="102" t="n"/>
      <c r="T232" s="103" t="n"/>
      <c r="U232" s="103" t="n"/>
      <c r="V232" s="104" t="n"/>
      <c r="W232" s="102" t="n"/>
      <c r="X232" s="104" t="n"/>
      <c r="Y232" s="102" t="n"/>
      <c r="Z232" s="104" t="n"/>
      <c r="AB232" s="105">
        <f>IF($B232="","",(COUNTIF(C208:E225,$B232)+COUNTIF(C208:E225,$B232&amp;" ~*")&gt;0)+(COUNTIF(G208:I225,$B232)+COUNTIF(G208:I225,$B232&amp;" ~*")&gt;0)+(COUNTIF(K208:M225,$B232)+COUNTIF(K208:M225,$B232&amp;" ~*")&gt;0)+(COUNTIF(O208:Q225,$B232)+COUNTIF(O208:Q225,$B232&amp;" ~*")&gt;0)+(COUNTIF(S208:U225,$B232)+COUNTIF(S208:U225,$B232&amp;" ~*")&gt;0)+(COUNTIF(W208:W225,$B232)+COUNTIF(W208:W225,$B232&amp;" ~*")&gt;0)+(COUNTIF(Y208:Y225,$B232)+COUNTIF(Y208:Y225,$B232&amp;" ~*")&gt;0))</f>
        <v/>
      </c>
      <c r="AC232" s="38">
        <f>IF($B232="","",(IFERROR(INDEX(Setup!$G$33:$G$40,MATCH(C232,Setup!$B$33:$B$40,0)),0)=1)*(COUNTIF(C208:E225,$B232)+COUNTIF(C208:E225,$B232&amp;" ~*")&gt;0)+(IFERROR(INDEX(Setup!$G$33:$G$40,MATCH(G232,Setup!$B$33:$B$40,0)),0)=1)*(COUNTIF(G208:I225,$B232)+COUNTIF(G208:I225,$B232&amp;" ~*")&gt;0)+(IFERROR(INDEX(Setup!$G$33:$G$40,MATCH(K232,Setup!$B$33:$B$40,0)),0)=1)*(COUNTIF(K208:M225,$B232)+COUNTIF(K208:M225,$B232&amp;" ~*")&gt;0)+(IFERROR(INDEX(Setup!$G$33:$G$40,MATCH(O232,Setup!$B$33:$B$40,0)),0)=1)*(COUNTIF(O208:Q225,$B232)+COUNTIF(O208:Q225,$B232&amp;" ~*")&gt;0)+(IFERROR(INDEX(Setup!$G$33:$G$40,MATCH(S232,Setup!$B$33:$B$40,0)),0)=1)*(COUNTIF(S208:U225,$B232)+COUNTIF(S208:U225,$B232&amp;" ~*")&gt;0)+(IFERROR(INDEX(Setup!$G$33:$G$40,MATCH(W232,Setup!$B$33:$B$40,0)),0)=1)*(COUNTIF(W208:W225,$B232)+COUNTIF(W208:W225,$B232&amp;" ~*")&gt;0)+(IFERROR(INDEX(Setup!$G$33:$G$40,MATCH(Y232,Setup!$B$33:$B$40,0)),0)=1)*(COUNTIF(Y208:Y225,$B232)+COUNTIF(Y208:Y225,$B232&amp;" ~*")&gt;0))</f>
        <v/>
      </c>
    </row>
    <row r="233" ht="15" customHeight="1">
      <c r="A233" t="n">
        <v>5</v>
      </c>
      <c r="B233" s="35">
        <f>IF(Setup!$B$12="","",Setup!$B$12)</f>
        <v/>
      </c>
      <c r="C233" s="98" t="n"/>
      <c r="D233" s="99" t="n"/>
      <c r="E233" s="99" t="n"/>
      <c r="F233" s="100" t="n"/>
      <c r="G233" s="98" t="n"/>
      <c r="H233" s="99" t="n"/>
      <c r="I233" s="99" t="n"/>
      <c r="J233" s="100" t="n"/>
      <c r="K233" s="98" t="n"/>
      <c r="L233" s="99" t="n"/>
      <c r="M233" s="99" t="n"/>
      <c r="N233" s="100" t="n"/>
      <c r="O233" s="98" t="n"/>
      <c r="P233" s="99" t="n"/>
      <c r="Q233" s="99" t="n"/>
      <c r="R233" s="100" t="n"/>
      <c r="S233" s="98" t="n"/>
      <c r="T233" s="99" t="n"/>
      <c r="U233" s="99" t="n"/>
      <c r="V233" s="100" t="n"/>
      <c r="W233" s="98" t="n"/>
      <c r="X233" s="100" t="n"/>
      <c r="Y233" s="98" t="n"/>
      <c r="Z233" s="100" t="n"/>
      <c r="AB233" s="101">
        <f>IF($B233="","",(COUNTIF(C208:E225,$B233)+COUNTIF(C208:E225,$B233&amp;" ~*")&gt;0)+(COUNTIF(G208:I225,$B233)+COUNTIF(G208:I225,$B233&amp;" ~*")&gt;0)+(COUNTIF(K208:M225,$B233)+COUNTIF(K208:M225,$B233&amp;" ~*")&gt;0)+(COUNTIF(O208:Q225,$B233)+COUNTIF(O208:Q225,$B233&amp;" ~*")&gt;0)+(COUNTIF(S208:U225,$B233)+COUNTIF(S208:U225,$B233&amp;" ~*")&gt;0)+(COUNTIF(W208:W225,$B233)+COUNTIF(W208:W225,$B233&amp;" ~*")&gt;0)+(COUNTIF(Y208:Y225,$B233)+COUNTIF(Y208:Y225,$B233&amp;" ~*")&gt;0))</f>
        <v/>
      </c>
      <c r="AC233" s="36">
        <f>IF($B233="","",(IFERROR(INDEX(Setup!$G$33:$G$40,MATCH(C233,Setup!$B$33:$B$40,0)),0)=1)*(COUNTIF(C208:E225,$B233)+COUNTIF(C208:E225,$B233&amp;" ~*")&gt;0)+(IFERROR(INDEX(Setup!$G$33:$G$40,MATCH(G233,Setup!$B$33:$B$40,0)),0)=1)*(COUNTIF(G208:I225,$B233)+COUNTIF(G208:I225,$B233&amp;" ~*")&gt;0)+(IFERROR(INDEX(Setup!$G$33:$G$40,MATCH(K233,Setup!$B$33:$B$40,0)),0)=1)*(COUNTIF(K208:M225,$B233)+COUNTIF(K208:M225,$B233&amp;" ~*")&gt;0)+(IFERROR(INDEX(Setup!$G$33:$G$40,MATCH(O233,Setup!$B$33:$B$40,0)),0)=1)*(COUNTIF(O208:Q225,$B233)+COUNTIF(O208:Q225,$B233&amp;" ~*")&gt;0)+(IFERROR(INDEX(Setup!$G$33:$G$40,MATCH(S233,Setup!$B$33:$B$40,0)),0)=1)*(COUNTIF(S208:U225,$B233)+COUNTIF(S208:U225,$B233&amp;" ~*")&gt;0)+(IFERROR(INDEX(Setup!$G$33:$G$40,MATCH(W233,Setup!$B$33:$B$40,0)),0)=1)*(COUNTIF(W208:W225,$B233)+COUNTIF(W208:W225,$B233&amp;" ~*")&gt;0)+(IFERROR(INDEX(Setup!$G$33:$G$40,MATCH(Y233,Setup!$B$33:$B$40,0)),0)=1)*(COUNTIF(Y208:Y225,$B233)+COUNTIF(Y208:Y225,$B233&amp;" ~*")&gt;0))</f>
        <v/>
      </c>
    </row>
    <row r="234" ht="15" customHeight="1">
      <c r="A234" t="n">
        <v>5</v>
      </c>
      <c r="B234" s="37">
        <f>IF(Setup!$B$13="","",Setup!$B$13)</f>
        <v/>
      </c>
      <c r="C234" s="102" t="n"/>
      <c r="D234" s="103" t="n"/>
      <c r="E234" s="103" t="n"/>
      <c r="F234" s="104" t="n"/>
      <c r="G234" s="102" t="n"/>
      <c r="H234" s="103" t="n"/>
      <c r="I234" s="103" t="n"/>
      <c r="J234" s="104" t="n"/>
      <c r="K234" s="102" t="n"/>
      <c r="L234" s="103" t="n"/>
      <c r="M234" s="103" t="n"/>
      <c r="N234" s="104" t="n"/>
      <c r="O234" s="102" t="n"/>
      <c r="P234" s="103" t="n"/>
      <c r="Q234" s="103" t="n"/>
      <c r="R234" s="104" t="n"/>
      <c r="S234" s="102" t="n"/>
      <c r="T234" s="103" t="n"/>
      <c r="U234" s="103" t="n"/>
      <c r="V234" s="104" t="n"/>
      <c r="W234" s="102" t="n"/>
      <c r="X234" s="104" t="n"/>
      <c r="Y234" s="102" t="n"/>
      <c r="Z234" s="104" t="n"/>
      <c r="AB234" s="105">
        <f>IF($B234="","",(COUNTIF(C208:E225,$B234)+COUNTIF(C208:E225,$B234&amp;" ~*")&gt;0)+(COUNTIF(G208:I225,$B234)+COUNTIF(G208:I225,$B234&amp;" ~*")&gt;0)+(COUNTIF(K208:M225,$B234)+COUNTIF(K208:M225,$B234&amp;" ~*")&gt;0)+(COUNTIF(O208:Q225,$B234)+COUNTIF(O208:Q225,$B234&amp;" ~*")&gt;0)+(COUNTIF(S208:U225,$B234)+COUNTIF(S208:U225,$B234&amp;" ~*")&gt;0)+(COUNTIF(W208:W225,$B234)+COUNTIF(W208:W225,$B234&amp;" ~*")&gt;0)+(COUNTIF(Y208:Y225,$B234)+COUNTIF(Y208:Y225,$B234&amp;" ~*")&gt;0))</f>
        <v/>
      </c>
      <c r="AC234" s="38">
        <f>IF($B234="","",(IFERROR(INDEX(Setup!$G$33:$G$40,MATCH(C234,Setup!$B$33:$B$40,0)),0)=1)*(COUNTIF(C208:E225,$B234)+COUNTIF(C208:E225,$B234&amp;" ~*")&gt;0)+(IFERROR(INDEX(Setup!$G$33:$G$40,MATCH(G234,Setup!$B$33:$B$40,0)),0)=1)*(COUNTIF(G208:I225,$B234)+COUNTIF(G208:I225,$B234&amp;" ~*")&gt;0)+(IFERROR(INDEX(Setup!$G$33:$G$40,MATCH(K234,Setup!$B$33:$B$40,0)),0)=1)*(COUNTIF(K208:M225,$B234)+COUNTIF(K208:M225,$B234&amp;" ~*")&gt;0)+(IFERROR(INDEX(Setup!$G$33:$G$40,MATCH(O234,Setup!$B$33:$B$40,0)),0)=1)*(COUNTIF(O208:Q225,$B234)+COUNTIF(O208:Q225,$B234&amp;" ~*")&gt;0)+(IFERROR(INDEX(Setup!$G$33:$G$40,MATCH(S234,Setup!$B$33:$B$40,0)),0)=1)*(COUNTIF(S208:U225,$B234)+COUNTIF(S208:U225,$B234&amp;" ~*")&gt;0)+(IFERROR(INDEX(Setup!$G$33:$G$40,MATCH(W234,Setup!$B$33:$B$40,0)),0)=1)*(COUNTIF(W208:W225,$B234)+COUNTIF(W208:W225,$B234&amp;" ~*")&gt;0)+(IFERROR(INDEX(Setup!$G$33:$G$40,MATCH(Y234,Setup!$B$33:$B$40,0)),0)=1)*(COUNTIF(Y208:Y225,$B234)+COUNTIF(Y208:Y225,$B234&amp;" ~*")&gt;0))</f>
        <v/>
      </c>
    </row>
    <row r="235" ht="15" customHeight="1">
      <c r="A235" t="n">
        <v>5</v>
      </c>
      <c r="B235" s="35">
        <f>IF(Setup!$B$14="","",Setup!$B$14)</f>
        <v/>
      </c>
      <c r="C235" s="98" t="n"/>
      <c r="D235" s="99" t="n"/>
      <c r="E235" s="99" t="n"/>
      <c r="F235" s="100" t="n"/>
      <c r="G235" s="98" t="n"/>
      <c r="H235" s="99" t="n"/>
      <c r="I235" s="99" t="n"/>
      <c r="J235" s="100" t="n"/>
      <c r="K235" s="98" t="n"/>
      <c r="L235" s="99" t="n"/>
      <c r="M235" s="99" t="n"/>
      <c r="N235" s="100" t="n"/>
      <c r="O235" s="98" t="n"/>
      <c r="P235" s="99" t="n"/>
      <c r="Q235" s="99" t="n"/>
      <c r="R235" s="100" t="n"/>
      <c r="S235" s="98" t="n"/>
      <c r="T235" s="99" t="n"/>
      <c r="U235" s="99" t="n"/>
      <c r="V235" s="100" t="n"/>
      <c r="W235" s="98" t="n"/>
      <c r="X235" s="100" t="n"/>
      <c r="Y235" s="98" t="n"/>
      <c r="Z235" s="100" t="n"/>
      <c r="AB235" s="101">
        <f>IF($B235="","",(COUNTIF(C208:E225,$B235)+COUNTIF(C208:E225,$B235&amp;" ~*")&gt;0)+(COUNTIF(G208:I225,$B235)+COUNTIF(G208:I225,$B235&amp;" ~*")&gt;0)+(COUNTIF(K208:M225,$B235)+COUNTIF(K208:M225,$B235&amp;" ~*")&gt;0)+(COUNTIF(O208:Q225,$B235)+COUNTIF(O208:Q225,$B235&amp;" ~*")&gt;0)+(COUNTIF(S208:U225,$B235)+COUNTIF(S208:U225,$B235&amp;" ~*")&gt;0)+(COUNTIF(W208:W225,$B235)+COUNTIF(W208:W225,$B235&amp;" ~*")&gt;0)+(COUNTIF(Y208:Y225,$B235)+COUNTIF(Y208:Y225,$B235&amp;" ~*")&gt;0))</f>
        <v/>
      </c>
      <c r="AC235" s="36">
        <f>IF($B235="","",(IFERROR(INDEX(Setup!$G$33:$G$40,MATCH(C235,Setup!$B$33:$B$40,0)),0)=1)*(COUNTIF(C208:E225,$B235)+COUNTIF(C208:E225,$B235&amp;" ~*")&gt;0)+(IFERROR(INDEX(Setup!$G$33:$G$40,MATCH(G235,Setup!$B$33:$B$40,0)),0)=1)*(COUNTIF(G208:I225,$B235)+COUNTIF(G208:I225,$B235&amp;" ~*")&gt;0)+(IFERROR(INDEX(Setup!$G$33:$G$40,MATCH(K235,Setup!$B$33:$B$40,0)),0)=1)*(COUNTIF(K208:M225,$B235)+COUNTIF(K208:M225,$B235&amp;" ~*")&gt;0)+(IFERROR(INDEX(Setup!$G$33:$G$40,MATCH(O235,Setup!$B$33:$B$40,0)),0)=1)*(COUNTIF(O208:Q225,$B235)+COUNTIF(O208:Q225,$B235&amp;" ~*")&gt;0)+(IFERROR(INDEX(Setup!$G$33:$G$40,MATCH(S235,Setup!$B$33:$B$40,0)),0)=1)*(COUNTIF(S208:U225,$B235)+COUNTIF(S208:U225,$B235&amp;" ~*")&gt;0)+(IFERROR(INDEX(Setup!$G$33:$G$40,MATCH(W235,Setup!$B$33:$B$40,0)),0)=1)*(COUNTIF(W208:W225,$B235)+COUNTIF(W208:W225,$B235&amp;" ~*")&gt;0)+(IFERROR(INDEX(Setup!$G$33:$G$40,MATCH(Y235,Setup!$B$33:$B$40,0)),0)=1)*(COUNTIF(Y208:Y225,$B235)+COUNTIF(Y208:Y225,$B235&amp;" ~*")&gt;0))</f>
        <v/>
      </c>
    </row>
    <row r="236" ht="15" customHeight="1">
      <c r="A236" t="n">
        <v>5</v>
      </c>
      <c r="B236" s="37">
        <f>IF(Setup!$B$15="","",Setup!$B$15)</f>
        <v/>
      </c>
      <c r="C236" s="102" t="n"/>
      <c r="D236" s="103" t="n"/>
      <c r="E236" s="103" t="n"/>
      <c r="F236" s="104" t="n"/>
      <c r="G236" s="102" t="n"/>
      <c r="H236" s="103" t="n"/>
      <c r="I236" s="103" t="n"/>
      <c r="J236" s="104" t="n"/>
      <c r="K236" s="102" t="n"/>
      <c r="L236" s="103" t="n"/>
      <c r="M236" s="103" t="n"/>
      <c r="N236" s="104" t="n"/>
      <c r="O236" s="102" t="n"/>
      <c r="P236" s="103" t="n"/>
      <c r="Q236" s="103" t="n"/>
      <c r="R236" s="104" t="n"/>
      <c r="S236" s="102" t="n"/>
      <c r="T236" s="103" t="n"/>
      <c r="U236" s="103" t="n"/>
      <c r="V236" s="104" t="n"/>
      <c r="W236" s="102" t="n"/>
      <c r="X236" s="104" t="n"/>
      <c r="Y236" s="102" t="n"/>
      <c r="Z236" s="104" t="n"/>
      <c r="AB236" s="105">
        <f>IF($B236="","",(COUNTIF(C208:E225,$B236)+COUNTIF(C208:E225,$B236&amp;" ~*")&gt;0)+(COUNTIF(G208:I225,$B236)+COUNTIF(G208:I225,$B236&amp;" ~*")&gt;0)+(COUNTIF(K208:M225,$B236)+COUNTIF(K208:M225,$B236&amp;" ~*")&gt;0)+(COUNTIF(O208:Q225,$B236)+COUNTIF(O208:Q225,$B236&amp;" ~*")&gt;0)+(COUNTIF(S208:U225,$B236)+COUNTIF(S208:U225,$B236&amp;" ~*")&gt;0)+(COUNTIF(W208:W225,$B236)+COUNTIF(W208:W225,$B236&amp;" ~*")&gt;0)+(COUNTIF(Y208:Y225,$B236)+COUNTIF(Y208:Y225,$B236&amp;" ~*")&gt;0))</f>
        <v/>
      </c>
      <c r="AC236" s="38">
        <f>IF($B236="","",(IFERROR(INDEX(Setup!$G$33:$G$40,MATCH(C236,Setup!$B$33:$B$40,0)),0)=1)*(COUNTIF(C208:E225,$B236)+COUNTIF(C208:E225,$B236&amp;" ~*")&gt;0)+(IFERROR(INDEX(Setup!$G$33:$G$40,MATCH(G236,Setup!$B$33:$B$40,0)),0)=1)*(COUNTIF(G208:I225,$B236)+COUNTIF(G208:I225,$B236&amp;" ~*")&gt;0)+(IFERROR(INDEX(Setup!$G$33:$G$40,MATCH(K236,Setup!$B$33:$B$40,0)),0)=1)*(COUNTIF(K208:M225,$B236)+COUNTIF(K208:M225,$B236&amp;" ~*")&gt;0)+(IFERROR(INDEX(Setup!$G$33:$G$40,MATCH(O236,Setup!$B$33:$B$40,0)),0)=1)*(COUNTIF(O208:Q225,$B236)+COUNTIF(O208:Q225,$B236&amp;" ~*")&gt;0)+(IFERROR(INDEX(Setup!$G$33:$G$40,MATCH(S236,Setup!$B$33:$B$40,0)),0)=1)*(COUNTIF(S208:U225,$B236)+COUNTIF(S208:U225,$B236&amp;" ~*")&gt;0)+(IFERROR(INDEX(Setup!$G$33:$G$40,MATCH(W236,Setup!$B$33:$B$40,0)),0)=1)*(COUNTIF(W208:W225,$B236)+COUNTIF(W208:W225,$B236&amp;" ~*")&gt;0)+(IFERROR(INDEX(Setup!$G$33:$G$40,MATCH(Y236,Setup!$B$33:$B$40,0)),0)=1)*(COUNTIF(Y208:Y225,$B236)+COUNTIF(Y208:Y225,$B236&amp;" ~*")&gt;0))</f>
        <v/>
      </c>
    </row>
    <row r="237" ht="15" customHeight="1">
      <c r="A237" t="n">
        <v>5</v>
      </c>
      <c r="B237" s="35">
        <f>IF(Setup!$B$16="","",Setup!$B$16)</f>
        <v/>
      </c>
      <c r="C237" s="98" t="n"/>
      <c r="D237" s="99" t="n"/>
      <c r="E237" s="99" t="n"/>
      <c r="F237" s="100" t="n"/>
      <c r="G237" s="98" t="n"/>
      <c r="H237" s="99" t="n"/>
      <c r="I237" s="99" t="n"/>
      <c r="J237" s="100" t="n"/>
      <c r="K237" s="98" t="n"/>
      <c r="L237" s="99" t="n"/>
      <c r="M237" s="99" t="n"/>
      <c r="N237" s="100" t="n"/>
      <c r="O237" s="98" t="n"/>
      <c r="P237" s="99" t="n"/>
      <c r="Q237" s="99" t="n"/>
      <c r="R237" s="100" t="n"/>
      <c r="S237" s="98" t="n"/>
      <c r="T237" s="99" t="n"/>
      <c r="U237" s="99" t="n"/>
      <c r="V237" s="100" t="n"/>
      <c r="W237" s="98" t="n"/>
      <c r="X237" s="100" t="n"/>
      <c r="Y237" s="98" t="n"/>
      <c r="Z237" s="100" t="n"/>
      <c r="AB237" s="101">
        <f>IF($B237="","",(COUNTIF(C208:E225,$B237)+COUNTIF(C208:E225,$B237&amp;" ~*")&gt;0)+(COUNTIF(G208:I225,$B237)+COUNTIF(G208:I225,$B237&amp;" ~*")&gt;0)+(COUNTIF(K208:M225,$B237)+COUNTIF(K208:M225,$B237&amp;" ~*")&gt;0)+(COUNTIF(O208:Q225,$B237)+COUNTIF(O208:Q225,$B237&amp;" ~*")&gt;0)+(COUNTIF(S208:U225,$B237)+COUNTIF(S208:U225,$B237&amp;" ~*")&gt;0)+(COUNTIF(W208:W225,$B237)+COUNTIF(W208:W225,$B237&amp;" ~*")&gt;0)+(COUNTIF(Y208:Y225,$B237)+COUNTIF(Y208:Y225,$B237&amp;" ~*")&gt;0))</f>
        <v/>
      </c>
      <c r="AC237" s="36">
        <f>IF($B237="","",(IFERROR(INDEX(Setup!$G$33:$G$40,MATCH(C237,Setup!$B$33:$B$40,0)),0)=1)*(COUNTIF(C208:E225,$B237)+COUNTIF(C208:E225,$B237&amp;" ~*")&gt;0)+(IFERROR(INDEX(Setup!$G$33:$G$40,MATCH(G237,Setup!$B$33:$B$40,0)),0)=1)*(COUNTIF(G208:I225,$B237)+COUNTIF(G208:I225,$B237&amp;" ~*")&gt;0)+(IFERROR(INDEX(Setup!$G$33:$G$40,MATCH(K237,Setup!$B$33:$B$40,0)),0)=1)*(COUNTIF(K208:M225,$B237)+COUNTIF(K208:M225,$B237&amp;" ~*")&gt;0)+(IFERROR(INDEX(Setup!$G$33:$G$40,MATCH(O237,Setup!$B$33:$B$40,0)),0)=1)*(COUNTIF(O208:Q225,$B237)+COUNTIF(O208:Q225,$B237&amp;" ~*")&gt;0)+(IFERROR(INDEX(Setup!$G$33:$G$40,MATCH(S237,Setup!$B$33:$B$40,0)),0)=1)*(COUNTIF(S208:U225,$B237)+COUNTIF(S208:U225,$B237&amp;" ~*")&gt;0)+(IFERROR(INDEX(Setup!$G$33:$G$40,MATCH(W237,Setup!$B$33:$B$40,0)),0)=1)*(COUNTIF(W208:W225,$B237)+COUNTIF(W208:W225,$B237&amp;" ~*")&gt;0)+(IFERROR(INDEX(Setup!$G$33:$G$40,MATCH(Y237,Setup!$B$33:$B$40,0)),0)=1)*(COUNTIF(Y208:Y225,$B237)+COUNTIF(Y208:Y225,$B237&amp;" ~*")&gt;0))</f>
        <v/>
      </c>
    </row>
    <row r="238" ht="15" customHeight="1">
      <c r="A238" t="n">
        <v>5</v>
      </c>
      <c r="B238" s="37">
        <f>IF(Setup!$B$17="","",Setup!$B$17)</f>
        <v/>
      </c>
      <c r="C238" s="102" t="n"/>
      <c r="D238" s="103" t="n"/>
      <c r="E238" s="103" t="n"/>
      <c r="F238" s="104" t="n"/>
      <c r="G238" s="102" t="n"/>
      <c r="H238" s="103" t="n"/>
      <c r="I238" s="103" t="n"/>
      <c r="J238" s="104" t="n"/>
      <c r="K238" s="102" t="n"/>
      <c r="L238" s="103" t="n"/>
      <c r="M238" s="103" t="n"/>
      <c r="N238" s="104" t="n"/>
      <c r="O238" s="102" t="n"/>
      <c r="P238" s="103" t="n"/>
      <c r="Q238" s="103" t="n"/>
      <c r="R238" s="104" t="n"/>
      <c r="S238" s="102" t="n"/>
      <c r="T238" s="103" t="n"/>
      <c r="U238" s="103" t="n"/>
      <c r="V238" s="104" t="n"/>
      <c r="W238" s="102" t="n"/>
      <c r="X238" s="104" t="n"/>
      <c r="Y238" s="102" t="n"/>
      <c r="Z238" s="104" t="n"/>
      <c r="AB238" s="105">
        <f>IF($B238="","",(COUNTIF(C208:E225,$B238)+COUNTIF(C208:E225,$B238&amp;" ~*")&gt;0)+(COUNTIF(G208:I225,$B238)+COUNTIF(G208:I225,$B238&amp;" ~*")&gt;0)+(COUNTIF(K208:M225,$B238)+COUNTIF(K208:M225,$B238&amp;" ~*")&gt;0)+(COUNTIF(O208:Q225,$B238)+COUNTIF(O208:Q225,$B238&amp;" ~*")&gt;0)+(COUNTIF(S208:U225,$B238)+COUNTIF(S208:U225,$B238&amp;" ~*")&gt;0)+(COUNTIF(W208:W225,$B238)+COUNTIF(W208:W225,$B238&amp;" ~*")&gt;0)+(COUNTIF(Y208:Y225,$B238)+COUNTIF(Y208:Y225,$B238&amp;" ~*")&gt;0))</f>
        <v/>
      </c>
      <c r="AC238" s="38">
        <f>IF($B238="","",(IFERROR(INDEX(Setup!$G$33:$G$40,MATCH(C238,Setup!$B$33:$B$40,0)),0)=1)*(COUNTIF(C208:E225,$B238)+COUNTIF(C208:E225,$B238&amp;" ~*")&gt;0)+(IFERROR(INDEX(Setup!$G$33:$G$40,MATCH(G238,Setup!$B$33:$B$40,0)),0)=1)*(COUNTIF(G208:I225,$B238)+COUNTIF(G208:I225,$B238&amp;" ~*")&gt;0)+(IFERROR(INDEX(Setup!$G$33:$G$40,MATCH(K238,Setup!$B$33:$B$40,0)),0)=1)*(COUNTIF(K208:M225,$B238)+COUNTIF(K208:M225,$B238&amp;" ~*")&gt;0)+(IFERROR(INDEX(Setup!$G$33:$G$40,MATCH(O238,Setup!$B$33:$B$40,0)),0)=1)*(COUNTIF(O208:Q225,$B238)+COUNTIF(O208:Q225,$B238&amp;" ~*")&gt;0)+(IFERROR(INDEX(Setup!$G$33:$G$40,MATCH(S238,Setup!$B$33:$B$40,0)),0)=1)*(COUNTIF(S208:U225,$B238)+COUNTIF(S208:U225,$B238&amp;" ~*")&gt;0)+(IFERROR(INDEX(Setup!$G$33:$G$40,MATCH(W238,Setup!$B$33:$B$40,0)),0)=1)*(COUNTIF(W208:W225,$B238)+COUNTIF(W208:W225,$B238&amp;" ~*")&gt;0)+(IFERROR(INDEX(Setup!$G$33:$G$40,MATCH(Y238,Setup!$B$33:$B$40,0)),0)=1)*(COUNTIF(Y208:Y225,$B238)+COUNTIF(Y208:Y225,$B238&amp;" ~*")&gt;0))</f>
        <v/>
      </c>
    </row>
    <row r="239" ht="15" customHeight="1">
      <c r="A239" t="n">
        <v>5</v>
      </c>
      <c r="B239" s="35">
        <f>IF(Setup!$B$18="","",Setup!$B$18)</f>
        <v/>
      </c>
      <c r="C239" s="98" t="n"/>
      <c r="D239" s="99" t="n"/>
      <c r="E239" s="99" t="n"/>
      <c r="F239" s="100" t="n"/>
      <c r="G239" s="98" t="n"/>
      <c r="H239" s="99" t="n"/>
      <c r="I239" s="99" t="n"/>
      <c r="J239" s="100" t="n"/>
      <c r="K239" s="98" t="n"/>
      <c r="L239" s="99" t="n"/>
      <c r="M239" s="99" t="n"/>
      <c r="N239" s="100" t="n"/>
      <c r="O239" s="98" t="n"/>
      <c r="P239" s="99" t="n"/>
      <c r="Q239" s="99" t="n"/>
      <c r="R239" s="100" t="n"/>
      <c r="S239" s="98" t="n"/>
      <c r="T239" s="99" t="n"/>
      <c r="U239" s="99" t="n"/>
      <c r="V239" s="100" t="n"/>
      <c r="W239" s="98" t="n"/>
      <c r="X239" s="100" t="n"/>
      <c r="Y239" s="98" t="n"/>
      <c r="Z239" s="100" t="n"/>
      <c r="AB239" s="101">
        <f>IF($B239="","",(COUNTIF(C208:E225,$B239)+COUNTIF(C208:E225,$B239&amp;" ~*")&gt;0)+(COUNTIF(G208:I225,$B239)+COUNTIF(G208:I225,$B239&amp;" ~*")&gt;0)+(COUNTIF(K208:M225,$B239)+COUNTIF(K208:M225,$B239&amp;" ~*")&gt;0)+(COUNTIF(O208:Q225,$B239)+COUNTIF(O208:Q225,$B239&amp;" ~*")&gt;0)+(COUNTIF(S208:U225,$B239)+COUNTIF(S208:U225,$B239&amp;" ~*")&gt;0)+(COUNTIF(W208:W225,$B239)+COUNTIF(W208:W225,$B239&amp;" ~*")&gt;0)+(COUNTIF(Y208:Y225,$B239)+COUNTIF(Y208:Y225,$B239&amp;" ~*")&gt;0))</f>
        <v/>
      </c>
      <c r="AC239" s="36">
        <f>IF($B239="","",(IFERROR(INDEX(Setup!$G$33:$G$40,MATCH(C239,Setup!$B$33:$B$40,0)),0)=1)*(COUNTIF(C208:E225,$B239)+COUNTIF(C208:E225,$B239&amp;" ~*")&gt;0)+(IFERROR(INDEX(Setup!$G$33:$G$40,MATCH(G239,Setup!$B$33:$B$40,0)),0)=1)*(COUNTIF(G208:I225,$B239)+COUNTIF(G208:I225,$B239&amp;" ~*")&gt;0)+(IFERROR(INDEX(Setup!$G$33:$G$40,MATCH(K239,Setup!$B$33:$B$40,0)),0)=1)*(COUNTIF(K208:M225,$B239)+COUNTIF(K208:M225,$B239&amp;" ~*")&gt;0)+(IFERROR(INDEX(Setup!$G$33:$G$40,MATCH(O239,Setup!$B$33:$B$40,0)),0)=1)*(COUNTIF(O208:Q225,$B239)+COUNTIF(O208:Q225,$B239&amp;" ~*")&gt;0)+(IFERROR(INDEX(Setup!$G$33:$G$40,MATCH(S239,Setup!$B$33:$B$40,0)),0)=1)*(COUNTIF(S208:U225,$B239)+COUNTIF(S208:U225,$B239&amp;" ~*")&gt;0)+(IFERROR(INDEX(Setup!$G$33:$G$40,MATCH(W239,Setup!$B$33:$B$40,0)),0)=1)*(COUNTIF(W208:W225,$B239)+COUNTIF(W208:W225,$B239&amp;" ~*")&gt;0)+(IFERROR(INDEX(Setup!$G$33:$G$40,MATCH(Y239,Setup!$B$33:$B$40,0)),0)=1)*(COUNTIF(Y208:Y225,$B239)+COUNTIF(Y208:Y225,$B239&amp;" ~*")&gt;0))</f>
        <v/>
      </c>
    </row>
    <row r="240" ht="15" customHeight="1">
      <c r="A240" t="n">
        <v>5</v>
      </c>
      <c r="B240" s="37">
        <f>IF(Setup!$B$19="","",Setup!$B$19)</f>
        <v/>
      </c>
      <c r="C240" s="102" t="n"/>
      <c r="D240" s="103" t="n"/>
      <c r="E240" s="103" t="n"/>
      <c r="F240" s="104" t="n"/>
      <c r="G240" s="102" t="n"/>
      <c r="H240" s="103" t="n"/>
      <c r="I240" s="103" t="n"/>
      <c r="J240" s="104" t="n"/>
      <c r="K240" s="102" t="n"/>
      <c r="L240" s="103" t="n"/>
      <c r="M240" s="103" t="n"/>
      <c r="N240" s="104" t="n"/>
      <c r="O240" s="102" t="n"/>
      <c r="P240" s="103" t="n"/>
      <c r="Q240" s="103" t="n"/>
      <c r="R240" s="104" t="n"/>
      <c r="S240" s="102" t="n"/>
      <c r="T240" s="103" t="n"/>
      <c r="U240" s="103" t="n"/>
      <c r="V240" s="104" t="n"/>
      <c r="W240" s="102" t="n"/>
      <c r="X240" s="104" t="n"/>
      <c r="Y240" s="102" t="n"/>
      <c r="Z240" s="104" t="n"/>
      <c r="AB240" s="105">
        <f>IF($B240="","",(COUNTIF(C208:E225,$B240)+COUNTIF(C208:E225,$B240&amp;" ~*")&gt;0)+(COUNTIF(G208:I225,$B240)+COUNTIF(G208:I225,$B240&amp;" ~*")&gt;0)+(COUNTIF(K208:M225,$B240)+COUNTIF(K208:M225,$B240&amp;" ~*")&gt;0)+(COUNTIF(O208:Q225,$B240)+COUNTIF(O208:Q225,$B240&amp;" ~*")&gt;0)+(COUNTIF(S208:U225,$B240)+COUNTIF(S208:U225,$B240&amp;" ~*")&gt;0)+(COUNTIF(W208:W225,$B240)+COUNTIF(W208:W225,$B240&amp;" ~*")&gt;0)+(COUNTIF(Y208:Y225,$B240)+COUNTIF(Y208:Y225,$B240&amp;" ~*")&gt;0))</f>
        <v/>
      </c>
      <c r="AC240" s="38">
        <f>IF($B240="","",(IFERROR(INDEX(Setup!$G$33:$G$40,MATCH(C240,Setup!$B$33:$B$40,0)),0)=1)*(COUNTIF(C208:E225,$B240)+COUNTIF(C208:E225,$B240&amp;" ~*")&gt;0)+(IFERROR(INDEX(Setup!$G$33:$G$40,MATCH(G240,Setup!$B$33:$B$40,0)),0)=1)*(COUNTIF(G208:I225,$B240)+COUNTIF(G208:I225,$B240&amp;" ~*")&gt;0)+(IFERROR(INDEX(Setup!$G$33:$G$40,MATCH(K240,Setup!$B$33:$B$40,0)),0)=1)*(COUNTIF(K208:M225,$B240)+COUNTIF(K208:M225,$B240&amp;" ~*")&gt;0)+(IFERROR(INDEX(Setup!$G$33:$G$40,MATCH(O240,Setup!$B$33:$B$40,0)),0)=1)*(COUNTIF(O208:Q225,$B240)+COUNTIF(O208:Q225,$B240&amp;" ~*")&gt;0)+(IFERROR(INDEX(Setup!$G$33:$G$40,MATCH(S240,Setup!$B$33:$B$40,0)),0)=1)*(COUNTIF(S208:U225,$B240)+COUNTIF(S208:U225,$B240&amp;" ~*")&gt;0)+(IFERROR(INDEX(Setup!$G$33:$G$40,MATCH(W240,Setup!$B$33:$B$40,0)),0)=1)*(COUNTIF(W208:W225,$B240)+COUNTIF(W208:W225,$B240&amp;" ~*")&gt;0)+(IFERROR(INDEX(Setup!$G$33:$G$40,MATCH(Y240,Setup!$B$33:$B$40,0)),0)=1)*(COUNTIF(Y208:Y225,$B240)+COUNTIF(Y208:Y225,$B240&amp;" ~*")&gt;0))</f>
        <v/>
      </c>
    </row>
    <row r="241" ht="15" customHeight="1">
      <c r="A241" t="n">
        <v>5</v>
      </c>
      <c r="B241" s="35">
        <f>IF(Setup!$B$20="","",Setup!$B$20)</f>
        <v/>
      </c>
      <c r="C241" s="98" t="n"/>
      <c r="D241" s="99" t="n"/>
      <c r="E241" s="99" t="n"/>
      <c r="F241" s="100" t="n"/>
      <c r="G241" s="98" t="n"/>
      <c r="H241" s="99" t="n"/>
      <c r="I241" s="99" t="n"/>
      <c r="J241" s="100" t="n"/>
      <c r="K241" s="98" t="n"/>
      <c r="L241" s="99" t="n"/>
      <c r="M241" s="99" t="n"/>
      <c r="N241" s="100" t="n"/>
      <c r="O241" s="98" t="n"/>
      <c r="P241" s="99" t="n"/>
      <c r="Q241" s="99" t="n"/>
      <c r="R241" s="100" t="n"/>
      <c r="S241" s="98" t="n"/>
      <c r="T241" s="99" t="n"/>
      <c r="U241" s="99" t="n"/>
      <c r="V241" s="100" t="n"/>
      <c r="W241" s="98" t="n"/>
      <c r="X241" s="100" t="n"/>
      <c r="Y241" s="98" t="n"/>
      <c r="Z241" s="100" t="n"/>
      <c r="AB241" s="101">
        <f>IF($B241="","",(COUNTIF(C208:E225,$B241)+COUNTIF(C208:E225,$B241&amp;" ~*")&gt;0)+(COUNTIF(G208:I225,$B241)+COUNTIF(G208:I225,$B241&amp;" ~*")&gt;0)+(COUNTIF(K208:M225,$B241)+COUNTIF(K208:M225,$B241&amp;" ~*")&gt;0)+(COUNTIF(O208:Q225,$B241)+COUNTIF(O208:Q225,$B241&amp;" ~*")&gt;0)+(COUNTIF(S208:U225,$B241)+COUNTIF(S208:U225,$B241&amp;" ~*")&gt;0)+(COUNTIF(W208:W225,$B241)+COUNTIF(W208:W225,$B241&amp;" ~*")&gt;0)+(COUNTIF(Y208:Y225,$B241)+COUNTIF(Y208:Y225,$B241&amp;" ~*")&gt;0))</f>
        <v/>
      </c>
      <c r="AC241" s="36">
        <f>IF($B241="","",(IFERROR(INDEX(Setup!$G$33:$G$40,MATCH(C241,Setup!$B$33:$B$40,0)),0)=1)*(COUNTIF(C208:E225,$B241)+COUNTIF(C208:E225,$B241&amp;" ~*")&gt;0)+(IFERROR(INDEX(Setup!$G$33:$G$40,MATCH(G241,Setup!$B$33:$B$40,0)),0)=1)*(COUNTIF(G208:I225,$B241)+COUNTIF(G208:I225,$B241&amp;" ~*")&gt;0)+(IFERROR(INDEX(Setup!$G$33:$G$40,MATCH(K241,Setup!$B$33:$B$40,0)),0)=1)*(COUNTIF(K208:M225,$B241)+COUNTIF(K208:M225,$B241&amp;" ~*")&gt;0)+(IFERROR(INDEX(Setup!$G$33:$G$40,MATCH(O241,Setup!$B$33:$B$40,0)),0)=1)*(COUNTIF(O208:Q225,$B241)+COUNTIF(O208:Q225,$B241&amp;" ~*")&gt;0)+(IFERROR(INDEX(Setup!$G$33:$G$40,MATCH(S241,Setup!$B$33:$B$40,0)),0)=1)*(COUNTIF(S208:U225,$B241)+COUNTIF(S208:U225,$B241&amp;" ~*")&gt;0)+(IFERROR(INDEX(Setup!$G$33:$G$40,MATCH(W241,Setup!$B$33:$B$40,0)),0)=1)*(COUNTIF(W208:W225,$B241)+COUNTIF(W208:W225,$B241&amp;" ~*")&gt;0)+(IFERROR(INDEX(Setup!$G$33:$G$40,MATCH(Y241,Setup!$B$33:$B$40,0)),0)=1)*(COUNTIF(Y208:Y225,$B241)+COUNTIF(Y208:Y225,$B241&amp;" ~*")&gt;0))</f>
        <v/>
      </c>
    </row>
    <row r="242" ht="15" customHeight="1">
      <c r="A242" t="n">
        <v>5</v>
      </c>
      <c r="B242" s="37">
        <f>IF(Setup!$B$21="","",Setup!$B$21)</f>
        <v/>
      </c>
      <c r="C242" s="102" t="n"/>
      <c r="D242" s="103" t="n"/>
      <c r="E242" s="103" t="n"/>
      <c r="F242" s="104" t="n"/>
      <c r="G242" s="102" t="n"/>
      <c r="H242" s="103" t="n"/>
      <c r="I242" s="103" t="n"/>
      <c r="J242" s="104" t="n"/>
      <c r="K242" s="102" t="n"/>
      <c r="L242" s="103" t="n"/>
      <c r="M242" s="103" t="n"/>
      <c r="N242" s="104" t="n"/>
      <c r="O242" s="102" t="n"/>
      <c r="P242" s="103" t="n"/>
      <c r="Q242" s="103" t="n"/>
      <c r="R242" s="104" t="n"/>
      <c r="S242" s="102" t="n"/>
      <c r="T242" s="103" t="n"/>
      <c r="U242" s="103" t="n"/>
      <c r="V242" s="104" t="n"/>
      <c r="W242" s="102" t="n"/>
      <c r="X242" s="104" t="n"/>
      <c r="Y242" s="102" t="n"/>
      <c r="Z242" s="104" t="n"/>
      <c r="AB242" s="105">
        <f>IF($B242="","",(COUNTIF(C208:E225,$B242)+COUNTIF(C208:E225,$B242&amp;" ~*")&gt;0)+(COUNTIF(G208:I225,$B242)+COUNTIF(G208:I225,$B242&amp;" ~*")&gt;0)+(COUNTIF(K208:M225,$B242)+COUNTIF(K208:M225,$B242&amp;" ~*")&gt;0)+(COUNTIF(O208:Q225,$B242)+COUNTIF(O208:Q225,$B242&amp;" ~*")&gt;0)+(COUNTIF(S208:U225,$B242)+COUNTIF(S208:U225,$B242&amp;" ~*")&gt;0)+(COUNTIF(W208:W225,$B242)+COUNTIF(W208:W225,$B242&amp;" ~*")&gt;0)+(COUNTIF(Y208:Y225,$B242)+COUNTIF(Y208:Y225,$B242&amp;" ~*")&gt;0))</f>
        <v/>
      </c>
      <c r="AC242" s="38">
        <f>IF($B242="","",(IFERROR(INDEX(Setup!$G$33:$G$40,MATCH(C242,Setup!$B$33:$B$40,0)),0)=1)*(COUNTIF(C208:E225,$B242)+COUNTIF(C208:E225,$B242&amp;" ~*")&gt;0)+(IFERROR(INDEX(Setup!$G$33:$G$40,MATCH(G242,Setup!$B$33:$B$40,0)),0)=1)*(COUNTIF(G208:I225,$B242)+COUNTIF(G208:I225,$B242&amp;" ~*")&gt;0)+(IFERROR(INDEX(Setup!$G$33:$G$40,MATCH(K242,Setup!$B$33:$B$40,0)),0)=1)*(COUNTIF(K208:M225,$B242)+COUNTIF(K208:M225,$B242&amp;" ~*")&gt;0)+(IFERROR(INDEX(Setup!$G$33:$G$40,MATCH(O242,Setup!$B$33:$B$40,0)),0)=1)*(COUNTIF(O208:Q225,$B242)+COUNTIF(O208:Q225,$B242&amp;" ~*")&gt;0)+(IFERROR(INDEX(Setup!$G$33:$G$40,MATCH(S242,Setup!$B$33:$B$40,0)),0)=1)*(COUNTIF(S208:U225,$B242)+COUNTIF(S208:U225,$B242&amp;" ~*")&gt;0)+(IFERROR(INDEX(Setup!$G$33:$G$40,MATCH(W242,Setup!$B$33:$B$40,0)),0)=1)*(COUNTIF(W208:W225,$B242)+COUNTIF(W208:W225,$B242&amp;" ~*")&gt;0)+(IFERROR(INDEX(Setup!$G$33:$G$40,MATCH(Y242,Setup!$B$33:$B$40,0)),0)=1)*(COUNTIF(Y208:Y225,$B242)+COUNTIF(Y208:Y225,$B242&amp;" ~*")&gt;0))</f>
        <v/>
      </c>
    </row>
    <row r="243" ht="15" customHeight="1">
      <c r="A243" t="n">
        <v>5</v>
      </c>
      <c r="B243" s="35">
        <f>IF(Setup!$B$22="","",Setup!$B$22)</f>
        <v/>
      </c>
      <c r="C243" s="98" t="n"/>
      <c r="D243" s="99" t="n"/>
      <c r="E243" s="99" t="n"/>
      <c r="F243" s="100" t="n"/>
      <c r="G243" s="98" t="n"/>
      <c r="H243" s="99" t="n"/>
      <c r="I243" s="99" t="n"/>
      <c r="J243" s="100" t="n"/>
      <c r="K243" s="98" t="n"/>
      <c r="L243" s="99" t="n"/>
      <c r="M243" s="99" t="n"/>
      <c r="N243" s="100" t="n"/>
      <c r="O243" s="98" t="n"/>
      <c r="P243" s="99" t="n"/>
      <c r="Q243" s="99" t="n"/>
      <c r="R243" s="100" t="n"/>
      <c r="S243" s="98" t="n"/>
      <c r="T243" s="99" t="n"/>
      <c r="U243" s="99" t="n"/>
      <c r="V243" s="100" t="n"/>
      <c r="W243" s="98" t="n"/>
      <c r="X243" s="100" t="n"/>
      <c r="Y243" s="98" t="n"/>
      <c r="Z243" s="100" t="n"/>
      <c r="AB243" s="101">
        <f>IF($B243="","",(COUNTIF(C208:E225,$B243)+COUNTIF(C208:E225,$B243&amp;" ~*")&gt;0)+(COUNTIF(G208:I225,$B243)+COUNTIF(G208:I225,$B243&amp;" ~*")&gt;0)+(COUNTIF(K208:M225,$B243)+COUNTIF(K208:M225,$B243&amp;" ~*")&gt;0)+(COUNTIF(O208:Q225,$B243)+COUNTIF(O208:Q225,$B243&amp;" ~*")&gt;0)+(COUNTIF(S208:U225,$B243)+COUNTIF(S208:U225,$B243&amp;" ~*")&gt;0)+(COUNTIF(W208:W225,$B243)+COUNTIF(W208:W225,$B243&amp;" ~*")&gt;0)+(COUNTIF(Y208:Y225,$B243)+COUNTIF(Y208:Y225,$B243&amp;" ~*")&gt;0))</f>
        <v/>
      </c>
      <c r="AC243" s="36">
        <f>IF($B243="","",(IFERROR(INDEX(Setup!$G$33:$G$40,MATCH(C243,Setup!$B$33:$B$40,0)),0)=1)*(COUNTIF(C208:E225,$B243)+COUNTIF(C208:E225,$B243&amp;" ~*")&gt;0)+(IFERROR(INDEX(Setup!$G$33:$G$40,MATCH(G243,Setup!$B$33:$B$40,0)),0)=1)*(COUNTIF(G208:I225,$B243)+COUNTIF(G208:I225,$B243&amp;" ~*")&gt;0)+(IFERROR(INDEX(Setup!$G$33:$G$40,MATCH(K243,Setup!$B$33:$B$40,0)),0)=1)*(COUNTIF(K208:M225,$B243)+COUNTIF(K208:M225,$B243&amp;" ~*")&gt;0)+(IFERROR(INDEX(Setup!$G$33:$G$40,MATCH(O243,Setup!$B$33:$B$40,0)),0)=1)*(COUNTIF(O208:Q225,$B243)+COUNTIF(O208:Q225,$B243&amp;" ~*")&gt;0)+(IFERROR(INDEX(Setup!$G$33:$G$40,MATCH(S243,Setup!$B$33:$B$40,0)),0)=1)*(COUNTIF(S208:U225,$B243)+COUNTIF(S208:U225,$B243&amp;" ~*")&gt;0)+(IFERROR(INDEX(Setup!$G$33:$G$40,MATCH(W243,Setup!$B$33:$B$40,0)),0)=1)*(COUNTIF(W208:W225,$B243)+COUNTIF(W208:W225,$B243&amp;" ~*")&gt;0)+(IFERROR(INDEX(Setup!$G$33:$G$40,MATCH(Y243,Setup!$B$33:$B$40,0)),0)=1)*(COUNTIF(Y208:Y225,$B243)+COUNTIF(Y208:Y225,$B243&amp;" ~*")&gt;0))</f>
        <v/>
      </c>
    </row>
    <row r="244" ht="15" customHeight="1">
      <c r="A244" t="n">
        <v>5</v>
      </c>
      <c r="B244" s="37">
        <f>IF(Setup!$B$23="","",Setup!$B$23)</f>
        <v/>
      </c>
      <c r="C244" s="102" t="n"/>
      <c r="D244" s="103" t="n"/>
      <c r="E244" s="103" t="n"/>
      <c r="F244" s="104" t="n"/>
      <c r="G244" s="102" t="n"/>
      <c r="H244" s="103" t="n"/>
      <c r="I244" s="103" t="n"/>
      <c r="J244" s="104" t="n"/>
      <c r="K244" s="102" t="n"/>
      <c r="L244" s="103" t="n"/>
      <c r="M244" s="103" t="n"/>
      <c r="N244" s="104" t="n"/>
      <c r="O244" s="102" t="n"/>
      <c r="P244" s="103" t="n"/>
      <c r="Q244" s="103" t="n"/>
      <c r="R244" s="104" t="n"/>
      <c r="S244" s="102" t="n"/>
      <c r="T244" s="103" t="n"/>
      <c r="U244" s="103" t="n"/>
      <c r="V244" s="104" t="n"/>
      <c r="W244" s="102" t="n"/>
      <c r="X244" s="104" t="n"/>
      <c r="Y244" s="102" t="n"/>
      <c r="Z244" s="104" t="n"/>
      <c r="AB244" s="105">
        <f>IF($B244="","",(COUNTIF(C208:E225,$B244)+COUNTIF(C208:E225,$B244&amp;" ~*")&gt;0)+(COUNTIF(G208:I225,$B244)+COUNTIF(G208:I225,$B244&amp;" ~*")&gt;0)+(COUNTIF(K208:M225,$B244)+COUNTIF(K208:M225,$B244&amp;" ~*")&gt;0)+(COUNTIF(O208:Q225,$B244)+COUNTIF(O208:Q225,$B244&amp;" ~*")&gt;0)+(COUNTIF(S208:U225,$B244)+COUNTIF(S208:U225,$B244&amp;" ~*")&gt;0)+(COUNTIF(W208:W225,$B244)+COUNTIF(W208:W225,$B244&amp;" ~*")&gt;0)+(COUNTIF(Y208:Y225,$B244)+COUNTIF(Y208:Y225,$B244&amp;" ~*")&gt;0))</f>
        <v/>
      </c>
      <c r="AC244" s="38">
        <f>IF($B244="","",(IFERROR(INDEX(Setup!$G$33:$G$40,MATCH(C244,Setup!$B$33:$B$40,0)),0)=1)*(COUNTIF(C208:E225,$B244)+COUNTIF(C208:E225,$B244&amp;" ~*")&gt;0)+(IFERROR(INDEX(Setup!$G$33:$G$40,MATCH(G244,Setup!$B$33:$B$40,0)),0)=1)*(COUNTIF(G208:I225,$B244)+COUNTIF(G208:I225,$B244&amp;" ~*")&gt;0)+(IFERROR(INDEX(Setup!$G$33:$G$40,MATCH(K244,Setup!$B$33:$B$40,0)),0)=1)*(COUNTIF(K208:M225,$B244)+COUNTIF(K208:M225,$B244&amp;" ~*")&gt;0)+(IFERROR(INDEX(Setup!$G$33:$G$40,MATCH(O244,Setup!$B$33:$B$40,0)),0)=1)*(COUNTIF(O208:Q225,$B244)+COUNTIF(O208:Q225,$B244&amp;" ~*")&gt;0)+(IFERROR(INDEX(Setup!$G$33:$G$40,MATCH(S244,Setup!$B$33:$B$40,0)),0)=1)*(COUNTIF(S208:U225,$B244)+COUNTIF(S208:U225,$B244&amp;" ~*")&gt;0)+(IFERROR(INDEX(Setup!$G$33:$G$40,MATCH(W244,Setup!$B$33:$B$40,0)),0)=1)*(COUNTIF(W208:W225,$B244)+COUNTIF(W208:W225,$B244&amp;" ~*")&gt;0)+(IFERROR(INDEX(Setup!$G$33:$G$40,MATCH(Y244,Setup!$B$33:$B$40,0)),0)=1)*(COUNTIF(Y208:Y225,$B244)+COUNTIF(Y208:Y225,$B244&amp;" ~*")&gt;0))</f>
        <v/>
      </c>
    </row>
    <row r="245" ht="15" customHeight="1">
      <c r="A245" t="n">
        <v>5</v>
      </c>
      <c r="B245" s="35">
        <f>IF(Setup!$B$24="","",Setup!$B$24)</f>
        <v/>
      </c>
      <c r="C245" s="98" t="n"/>
      <c r="D245" s="99" t="n"/>
      <c r="E245" s="99" t="n"/>
      <c r="F245" s="100" t="n"/>
      <c r="G245" s="98" t="n"/>
      <c r="H245" s="99" t="n"/>
      <c r="I245" s="99" t="n"/>
      <c r="J245" s="100" t="n"/>
      <c r="K245" s="98" t="n"/>
      <c r="L245" s="99" t="n"/>
      <c r="M245" s="99" t="n"/>
      <c r="N245" s="100" t="n"/>
      <c r="O245" s="98" t="n"/>
      <c r="P245" s="99" t="n"/>
      <c r="Q245" s="99" t="n"/>
      <c r="R245" s="100" t="n"/>
      <c r="S245" s="98" t="n"/>
      <c r="T245" s="99" t="n"/>
      <c r="U245" s="99" t="n"/>
      <c r="V245" s="100" t="n"/>
      <c r="W245" s="98" t="n"/>
      <c r="X245" s="100" t="n"/>
      <c r="Y245" s="98" t="n"/>
      <c r="Z245" s="100" t="n"/>
      <c r="AB245" s="101">
        <f>IF($B245="","",(COUNTIF(C208:E225,$B245)+COUNTIF(C208:E225,$B245&amp;" ~*")&gt;0)+(COUNTIF(G208:I225,$B245)+COUNTIF(G208:I225,$B245&amp;" ~*")&gt;0)+(COUNTIF(K208:M225,$B245)+COUNTIF(K208:M225,$B245&amp;" ~*")&gt;0)+(COUNTIF(O208:Q225,$B245)+COUNTIF(O208:Q225,$B245&amp;" ~*")&gt;0)+(COUNTIF(S208:U225,$B245)+COUNTIF(S208:U225,$B245&amp;" ~*")&gt;0)+(COUNTIF(W208:W225,$B245)+COUNTIF(W208:W225,$B245&amp;" ~*")&gt;0)+(COUNTIF(Y208:Y225,$B245)+COUNTIF(Y208:Y225,$B245&amp;" ~*")&gt;0))</f>
        <v/>
      </c>
      <c r="AC245" s="36">
        <f>IF($B245="","",(IFERROR(INDEX(Setup!$G$33:$G$40,MATCH(C245,Setup!$B$33:$B$40,0)),0)=1)*(COUNTIF(C208:E225,$B245)+COUNTIF(C208:E225,$B245&amp;" ~*")&gt;0)+(IFERROR(INDEX(Setup!$G$33:$G$40,MATCH(G245,Setup!$B$33:$B$40,0)),0)=1)*(COUNTIF(G208:I225,$B245)+COUNTIF(G208:I225,$B245&amp;" ~*")&gt;0)+(IFERROR(INDEX(Setup!$G$33:$G$40,MATCH(K245,Setup!$B$33:$B$40,0)),0)=1)*(COUNTIF(K208:M225,$B245)+COUNTIF(K208:M225,$B245&amp;" ~*")&gt;0)+(IFERROR(INDEX(Setup!$G$33:$G$40,MATCH(O245,Setup!$B$33:$B$40,0)),0)=1)*(COUNTIF(O208:Q225,$B245)+COUNTIF(O208:Q225,$B245&amp;" ~*")&gt;0)+(IFERROR(INDEX(Setup!$G$33:$G$40,MATCH(S245,Setup!$B$33:$B$40,0)),0)=1)*(COUNTIF(S208:U225,$B245)+COUNTIF(S208:U225,$B245&amp;" ~*")&gt;0)+(IFERROR(INDEX(Setup!$G$33:$G$40,MATCH(W245,Setup!$B$33:$B$40,0)),0)=1)*(COUNTIF(W208:W225,$B245)+COUNTIF(W208:W225,$B245&amp;" ~*")&gt;0)+(IFERROR(INDEX(Setup!$G$33:$G$40,MATCH(Y245,Setup!$B$33:$B$40,0)),0)=1)*(COUNTIF(Y208:Y225,$B245)+COUNTIF(Y208:Y225,$B245&amp;" ~*")&gt;0))</f>
        <v/>
      </c>
    </row>
    <row r="246" ht="15" customHeight="1">
      <c r="A246" t="n">
        <v>5</v>
      </c>
      <c r="B246" s="37">
        <f>IF(Setup!$B$25="","",Setup!$B$25)</f>
        <v/>
      </c>
      <c r="C246" s="102" t="n"/>
      <c r="D246" s="103" t="n"/>
      <c r="E246" s="103" t="n"/>
      <c r="F246" s="104" t="n"/>
      <c r="G246" s="102" t="n"/>
      <c r="H246" s="103" t="n"/>
      <c r="I246" s="103" t="n"/>
      <c r="J246" s="104" t="n"/>
      <c r="K246" s="102" t="n"/>
      <c r="L246" s="103" t="n"/>
      <c r="M246" s="103" t="n"/>
      <c r="N246" s="104" t="n"/>
      <c r="O246" s="102" t="n"/>
      <c r="P246" s="103" t="n"/>
      <c r="Q246" s="103" t="n"/>
      <c r="R246" s="104" t="n"/>
      <c r="S246" s="102" t="n"/>
      <c r="T246" s="103" t="n"/>
      <c r="U246" s="103" t="n"/>
      <c r="V246" s="104" t="n"/>
      <c r="W246" s="102" t="n"/>
      <c r="X246" s="104" t="n"/>
      <c r="Y246" s="102" t="n"/>
      <c r="Z246" s="104" t="n"/>
      <c r="AB246" s="105">
        <f>IF($B246="","",(COUNTIF(C208:E225,$B246)+COUNTIF(C208:E225,$B246&amp;" ~*")&gt;0)+(COUNTIF(G208:I225,$B246)+COUNTIF(G208:I225,$B246&amp;" ~*")&gt;0)+(COUNTIF(K208:M225,$B246)+COUNTIF(K208:M225,$B246&amp;" ~*")&gt;0)+(COUNTIF(O208:Q225,$B246)+COUNTIF(O208:Q225,$B246&amp;" ~*")&gt;0)+(COUNTIF(S208:U225,$B246)+COUNTIF(S208:U225,$B246&amp;" ~*")&gt;0)+(COUNTIF(W208:W225,$B246)+COUNTIF(W208:W225,$B246&amp;" ~*")&gt;0)+(COUNTIF(Y208:Y225,$B246)+COUNTIF(Y208:Y225,$B246&amp;" ~*")&gt;0))</f>
        <v/>
      </c>
      <c r="AC246" s="38">
        <f>IF($B246="","",(IFERROR(INDEX(Setup!$G$33:$G$40,MATCH(C246,Setup!$B$33:$B$40,0)),0)=1)*(COUNTIF(C208:E225,$B246)+COUNTIF(C208:E225,$B246&amp;" ~*")&gt;0)+(IFERROR(INDEX(Setup!$G$33:$G$40,MATCH(G246,Setup!$B$33:$B$40,0)),0)=1)*(COUNTIF(G208:I225,$B246)+COUNTIF(G208:I225,$B246&amp;" ~*")&gt;0)+(IFERROR(INDEX(Setup!$G$33:$G$40,MATCH(K246,Setup!$B$33:$B$40,0)),0)=1)*(COUNTIF(K208:M225,$B246)+COUNTIF(K208:M225,$B246&amp;" ~*")&gt;0)+(IFERROR(INDEX(Setup!$G$33:$G$40,MATCH(O246,Setup!$B$33:$B$40,0)),0)=1)*(COUNTIF(O208:Q225,$B246)+COUNTIF(O208:Q225,$B246&amp;" ~*")&gt;0)+(IFERROR(INDEX(Setup!$G$33:$G$40,MATCH(S246,Setup!$B$33:$B$40,0)),0)=1)*(COUNTIF(S208:U225,$B246)+COUNTIF(S208:U225,$B246&amp;" ~*")&gt;0)+(IFERROR(INDEX(Setup!$G$33:$G$40,MATCH(W246,Setup!$B$33:$B$40,0)),0)=1)*(COUNTIF(W208:W225,$B246)+COUNTIF(W208:W225,$B246&amp;" ~*")&gt;0)+(IFERROR(INDEX(Setup!$G$33:$G$40,MATCH(Y246,Setup!$B$33:$B$40,0)),0)=1)*(COUNTIF(Y208:Y225,$B246)+COUNTIF(Y208:Y225,$B246&amp;" ~*")&gt;0))</f>
        <v/>
      </c>
    </row>
    <row r="247" ht="15" customHeight="1">
      <c r="A247" t="n">
        <v>5</v>
      </c>
      <c r="B247" s="35">
        <f>IF(Setup!$B$26="","",Setup!$B$26)</f>
        <v/>
      </c>
      <c r="C247" s="98" t="n"/>
      <c r="D247" s="99" t="n"/>
      <c r="E247" s="99" t="n"/>
      <c r="F247" s="100" t="n"/>
      <c r="G247" s="98" t="n"/>
      <c r="H247" s="99" t="n"/>
      <c r="I247" s="99" t="n"/>
      <c r="J247" s="100" t="n"/>
      <c r="K247" s="98" t="n"/>
      <c r="L247" s="99" t="n"/>
      <c r="M247" s="99" t="n"/>
      <c r="N247" s="100" t="n"/>
      <c r="O247" s="98" t="n"/>
      <c r="P247" s="99" t="n"/>
      <c r="Q247" s="99" t="n"/>
      <c r="R247" s="100" t="n"/>
      <c r="S247" s="98" t="n"/>
      <c r="T247" s="99" t="n"/>
      <c r="U247" s="99" t="n"/>
      <c r="V247" s="100" t="n"/>
      <c r="W247" s="98" t="n"/>
      <c r="X247" s="100" t="n"/>
      <c r="Y247" s="98" t="n"/>
      <c r="Z247" s="100" t="n"/>
      <c r="AB247" s="101">
        <f>IF($B247="","",(COUNTIF(C208:E225,$B247)+COUNTIF(C208:E225,$B247&amp;" ~*")&gt;0)+(COUNTIF(G208:I225,$B247)+COUNTIF(G208:I225,$B247&amp;" ~*")&gt;0)+(COUNTIF(K208:M225,$B247)+COUNTIF(K208:M225,$B247&amp;" ~*")&gt;0)+(COUNTIF(O208:Q225,$B247)+COUNTIF(O208:Q225,$B247&amp;" ~*")&gt;0)+(COUNTIF(S208:U225,$B247)+COUNTIF(S208:U225,$B247&amp;" ~*")&gt;0)+(COUNTIF(W208:W225,$B247)+COUNTIF(W208:W225,$B247&amp;" ~*")&gt;0)+(COUNTIF(Y208:Y225,$B247)+COUNTIF(Y208:Y225,$B247&amp;" ~*")&gt;0))</f>
        <v/>
      </c>
      <c r="AC247" s="36">
        <f>IF($B247="","",(IFERROR(INDEX(Setup!$G$33:$G$40,MATCH(C247,Setup!$B$33:$B$40,0)),0)=1)*(COUNTIF(C208:E225,$B247)+COUNTIF(C208:E225,$B247&amp;" ~*")&gt;0)+(IFERROR(INDEX(Setup!$G$33:$G$40,MATCH(G247,Setup!$B$33:$B$40,0)),0)=1)*(COUNTIF(G208:I225,$B247)+COUNTIF(G208:I225,$B247&amp;" ~*")&gt;0)+(IFERROR(INDEX(Setup!$G$33:$G$40,MATCH(K247,Setup!$B$33:$B$40,0)),0)=1)*(COUNTIF(K208:M225,$B247)+COUNTIF(K208:M225,$B247&amp;" ~*")&gt;0)+(IFERROR(INDEX(Setup!$G$33:$G$40,MATCH(O247,Setup!$B$33:$B$40,0)),0)=1)*(COUNTIF(O208:Q225,$B247)+COUNTIF(O208:Q225,$B247&amp;" ~*")&gt;0)+(IFERROR(INDEX(Setup!$G$33:$G$40,MATCH(S247,Setup!$B$33:$B$40,0)),0)=1)*(COUNTIF(S208:U225,$B247)+COUNTIF(S208:U225,$B247&amp;" ~*")&gt;0)+(IFERROR(INDEX(Setup!$G$33:$G$40,MATCH(W247,Setup!$B$33:$B$40,0)),0)=1)*(COUNTIF(W208:W225,$B247)+COUNTIF(W208:W225,$B247&amp;" ~*")&gt;0)+(IFERROR(INDEX(Setup!$G$33:$G$40,MATCH(Y247,Setup!$B$33:$B$40,0)),0)=1)*(COUNTIF(Y208:Y225,$B247)+COUNTIF(Y208:Y225,$B247&amp;" ~*")&gt;0))</f>
        <v/>
      </c>
    </row>
    <row r="248" ht="15" customHeight="1">
      <c r="A248" t="n">
        <v>5</v>
      </c>
      <c r="B248" s="37">
        <f>IF(Setup!$B$27="","",Setup!$B$27)</f>
        <v/>
      </c>
      <c r="C248" s="102" t="n"/>
      <c r="D248" s="103" t="n"/>
      <c r="E248" s="103" t="n"/>
      <c r="F248" s="104" t="n"/>
      <c r="G248" s="102" t="n"/>
      <c r="H248" s="103" t="n"/>
      <c r="I248" s="103" t="n"/>
      <c r="J248" s="104" t="n"/>
      <c r="K248" s="102" t="n"/>
      <c r="L248" s="103" t="n"/>
      <c r="M248" s="103" t="n"/>
      <c r="N248" s="104" t="n"/>
      <c r="O248" s="102" t="n"/>
      <c r="P248" s="103" t="n"/>
      <c r="Q248" s="103" t="n"/>
      <c r="R248" s="104" t="n"/>
      <c r="S248" s="102" t="n"/>
      <c r="T248" s="103" t="n"/>
      <c r="U248" s="103" t="n"/>
      <c r="V248" s="104" t="n"/>
      <c r="W248" s="102" t="n"/>
      <c r="X248" s="104" t="n"/>
      <c r="Y248" s="102" t="n"/>
      <c r="Z248" s="104" t="n"/>
      <c r="AB248" s="105">
        <f>IF($B248="","",(COUNTIF(C208:E225,$B248)+COUNTIF(C208:E225,$B248&amp;" ~*")&gt;0)+(COUNTIF(G208:I225,$B248)+COUNTIF(G208:I225,$B248&amp;" ~*")&gt;0)+(COUNTIF(K208:M225,$B248)+COUNTIF(K208:M225,$B248&amp;" ~*")&gt;0)+(COUNTIF(O208:Q225,$B248)+COUNTIF(O208:Q225,$B248&amp;" ~*")&gt;0)+(COUNTIF(S208:U225,$B248)+COUNTIF(S208:U225,$B248&amp;" ~*")&gt;0)+(COUNTIF(W208:W225,$B248)+COUNTIF(W208:W225,$B248&amp;" ~*")&gt;0)+(COUNTIF(Y208:Y225,$B248)+COUNTIF(Y208:Y225,$B248&amp;" ~*")&gt;0))</f>
        <v/>
      </c>
      <c r="AC248" s="38">
        <f>IF($B248="","",(IFERROR(INDEX(Setup!$G$33:$G$40,MATCH(C248,Setup!$B$33:$B$40,0)),0)=1)*(COUNTIF(C208:E225,$B248)+COUNTIF(C208:E225,$B248&amp;" ~*")&gt;0)+(IFERROR(INDEX(Setup!$G$33:$G$40,MATCH(G248,Setup!$B$33:$B$40,0)),0)=1)*(COUNTIF(G208:I225,$B248)+COUNTIF(G208:I225,$B248&amp;" ~*")&gt;0)+(IFERROR(INDEX(Setup!$G$33:$G$40,MATCH(K248,Setup!$B$33:$B$40,0)),0)=1)*(COUNTIF(K208:M225,$B248)+COUNTIF(K208:M225,$B248&amp;" ~*")&gt;0)+(IFERROR(INDEX(Setup!$G$33:$G$40,MATCH(O248,Setup!$B$33:$B$40,0)),0)=1)*(COUNTIF(O208:Q225,$B248)+COUNTIF(O208:Q225,$B248&amp;" ~*")&gt;0)+(IFERROR(INDEX(Setup!$G$33:$G$40,MATCH(S248,Setup!$B$33:$B$40,0)),0)=1)*(COUNTIF(S208:U225,$B248)+COUNTIF(S208:U225,$B248&amp;" ~*")&gt;0)+(IFERROR(INDEX(Setup!$G$33:$G$40,MATCH(W248,Setup!$B$33:$B$40,0)),0)=1)*(COUNTIF(W208:W225,$B248)+COUNTIF(W208:W225,$B248&amp;" ~*")&gt;0)+(IFERROR(INDEX(Setup!$G$33:$G$40,MATCH(Y248,Setup!$B$33:$B$40,0)),0)=1)*(COUNTIF(Y208:Y225,$B248)+COUNTIF(Y208:Y225,$B248&amp;" ~*")&gt;0))</f>
        <v/>
      </c>
    </row>
    <row r="249" ht="15" customHeight="1">
      <c r="A249" t="n">
        <v>5</v>
      </c>
      <c r="B249" s="35">
        <f>IF(Setup!$B$28="","",Setup!$B$28)</f>
        <v/>
      </c>
      <c r="C249" s="98" t="n"/>
      <c r="D249" s="99" t="n"/>
      <c r="E249" s="99" t="n"/>
      <c r="F249" s="100" t="n"/>
      <c r="G249" s="98" t="n"/>
      <c r="H249" s="99" t="n"/>
      <c r="I249" s="99" t="n"/>
      <c r="J249" s="100" t="n"/>
      <c r="K249" s="98" t="n"/>
      <c r="L249" s="99" t="n"/>
      <c r="M249" s="99" t="n"/>
      <c r="N249" s="100" t="n"/>
      <c r="O249" s="98" t="n"/>
      <c r="P249" s="99" t="n"/>
      <c r="Q249" s="99" t="n"/>
      <c r="R249" s="100" t="n"/>
      <c r="S249" s="98" t="n"/>
      <c r="T249" s="99" t="n"/>
      <c r="U249" s="99" t="n"/>
      <c r="V249" s="100" t="n"/>
      <c r="W249" s="98" t="n"/>
      <c r="X249" s="100" t="n"/>
      <c r="Y249" s="98" t="n"/>
      <c r="Z249" s="100" t="n"/>
      <c r="AB249" s="101">
        <f>IF($B249="","",(COUNTIF(C208:E225,$B249)+COUNTIF(C208:E225,$B249&amp;" ~*")&gt;0)+(COUNTIF(G208:I225,$B249)+COUNTIF(G208:I225,$B249&amp;" ~*")&gt;0)+(COUNTIF(K208:M225,$B249)+COUNTIF(K208:M225,$B249&amp;" ~*")&gt;0)+(COUNTIF(O208:Q225,$B249)+COUNTIF(O208:Q225,$B249&amp;" ~*")&gt;0)+(COUNTIF(S208:U225,$B249)+COUNTIF(S208:U225,$B249&amp;" ~*")&gt;0)+(COUNTIF(W208:W225,$B249)+COUNTIF(W208:W225,$B249&amp;" ~*")&gt;0)+(COUNTIF(Y208:Y225,$B249)+COUNTIF(Y208:Y225,$B249&amp;" ~*")&gt;0))</f>
        <v/>
      </c>
      <c r="AC249" s="36">
        <f>IF($B249="","",(IFERROR(INDEX(Setup!$G$33:$G$40,MATCH(C249,Setup!$B$33:$B$40,0)),0)=1)*(COUNTIF(C208:E225,$B249)+COUNTIF(C208:E225,$B249&amp;" ~*")&gt;0)+(IFERROR(INDEX(Setup!$G$33:$G$40,MATCH(G249,Setup!$B$33:$B$40,0)),0)=1)*(COUNTIF(G208:I225,$B249)+COUNTIF(G208:I225,$B249&amp;" ~*")&gt;0)+(IFERROR(INDEX(Setup!$G$33:$G$40,MATCH(K249,Setup!$B$33:$B$40,0)),0)=1)*(COUNTIF(K208:M225,$B249)+COUNTIF(K208:M225,$B249&amp;" ~*")&gt;0)+(IFERROR(INDEX(Setup!$G$33:$G$40,MATCH(O249,Setup!$B$33:$B$40,0)),0)=1)*(COUNTIF(O208:Q225,$B249)+COUNTIF(O208:Q225,$B249&amp;" ~*")&gt;0)+(IFERROR(INDEX(Setup!$G$33:$G$40,MATCH(S249,Setup!$B$33:$B$40,0)),0)=1)*(COUNTIF(S208:U225,$B249)+COUNTIF(S208:U225,$B249&amp;" ~*")&gt;0)+(IFERROR(INDEX(Setup!$G$33:$G$40,MATCH(W249,Setup!$B$33:$B$40,0)),0)=1)*(COUNTIF(W208:W225,$B249)+COUNTIF(W208:W225,$B249&amp;" ~*")&gt;0)+(IFERROR(INDEX(Setup!$G$33:$G$40,MATCH(Y249,Setup!$B$33:$B$40,0)),0)=1)*(COUNTIF(Y208:Y225,$B249)+COUNTIF(Y208:Y225,$B249&amp;" ~*")&gt;0))</f>
        <v/>
      </c>
    </row>
    <row r="250" ht="15" customHeight="1">
      <c r="A250" t="n">
        <v>5</v>
      </c>
      <c r="B250" s="37">
        <f>IF(Setup!$B$29="","",Setup!$B$29)</f>
        <v/>
      </c>
      <c r="C250" s="102" t="n"/>
      <c r="D250" s="103" t="n"/>
      <c r="E250" s="103" t="n"/>
      <c r="F250" s="104" t="n"/>
      <c r="G250" s="102" t="n"/>
      <c r="H250" s="103" t="n"/>
      <c r="I250" s="103" t="n"/>
      <c r="J250" s="104" t="n"/>
      <c r="K250" s="102" t="n"/>
      <c r="L250" s="103" t="n"/>
      <c r="M250" s="103" t="n"/>
      <c r="N250" s="104" t="n"/>
      <c r="O250" s="102" t="n"/>
      <c r="P250" s="103" t="n"/>
      <c r="Q250" s="103" t="n"/>
      <c r="R250" s="104" t="n"/>
      <c r="S250" s="102" t="n"/>
      <c r="T250" s="103" t="n"/>
      <c r="U250" s="103" t="n"/>
      <c r="V250" s="104" t="n"/>
      <c r="W250" s="102" t="n"/>
      <c r="X250" s="104" t="n"/>
      <c r="Y250" s="102" t="n"/>
      <c r="Z250" s="104" t="n"/>
      <c r="AB250" s="105">
        <f>IF($B250="","",(COUNTIF(C208:E225,$B250)+COUNTIF(C208:E225,$B250&amp;" ~*")&gt;0)+(COUNTIF(G208:I225,$B250)+COUNTIF(G208:I225,$B250&amp;" ~*")&gt;0)+(COUNTIF(K208:M225,$B250)+COUNTIF(K208:M225,$B250&amp;" ~*")&gt;0)+(COUNTIF(O208:Q225,$B250)+COUNTIF(O208:Q225,$B250&amp;" ~*")&gt;0)+(COUNTIF(S208:U225,$B250)+COUNTIF(S208:U225,$B250&amp;" ~*")&gt;0)+(COUNTIF(W208:W225,$B250)+COUNTIF(W208:W225,$B250&amp;" ~*")&gt;0)+(COUNTIF(Y208:Y225,$B250)+COUNTIF(Y208:Y225,$B250&amp;" ~*")&gt;0))</f>
        <v/>
      </c>
      <c r="AC250" s="38">
        <f>IF($B250="","",(IFERROR(INDEX(Setup!$G$33:$G$40,MATCH(C250,Setup!$B$33:$B$40,0)),0)=1)*(COUNTIF(C208:E225,$B250)+COUNTIF(C208:E225,$B250&amp;" ~*")&gt;0)+(IFERROR(INDEX(Setup!$G$33:$G$40,MATCH(G250,Setup!$B$33:$B$40,0)),0)=1)*(COUNTIF(G208:I225,$B250)+COUNTIF(G208:I225,$B250&amp;" ~*")&gt;0)+(IFERROR(INDEX(Setup!$G$33:$G$40,MATCH(K250,Setup!$B$33:$B$40,0)),0)=1)*(COUNTIF(K208:M225,$B250)+COUNTIF(K208:M225,$B250&amp;" ~*")&gt;0)+(IFERROR(INDEX(Setup!$G$33:$G$40,MATCH(O250,Setup!$B$33:$B$40,0)),0)=1)*(COUNTIF(O208:Q225,$B250)+COUNTIF(O208:Q225,$B250&amp;" ~*")&gt;0)+(IFERROR(INDEX(Setup!$G$33:$G$40,MATCH(S250,Setup!$B$33:$B$40,0)),0)=1)*(COUNTIF(S208:U225,$B250)+COUNTIF(S208:U225,$B250&amp;" ~*")&gt;0)+(IFERROR(INDEX(Setup!$G$33:$G$40,MATCH(W250,Setup!$B$33:$B$40,0)),0)=1)*(COUNTIF(W208:W225,$B250)+COUNTIF(W208:W225,$B250&amp;" ~*")&gt;0)+(IFERROR(INDEX(Setup!$G$33:$G$40,MATCH(Y250,Setup!$B$33:$B$40,0)),0)=1)*(COUNTIF(Y208:Y225,$B250)+COUNTIF(Y208:Y225,$B250&amp;" ~*")&gt;0))</f>
        <v/>
      </c>
    </row>
    <row r="251" ht="16" customHeight="1">
      <c r="A251" t="n">
        <v>5</v>
      </c>
      <c r="B251" s="106" t="inlineStr">
        <is>
          <t>Available people</t>
        </is>
      </c>
      <c r="C251" s="107">
        <f>COUNTIFS(Setup!$E$6:$E$29,"Y",Setup!$B$6:$B$29,"?*")-SUMPRODUCT(COUNTIF(C227:C250,Setup!$F$33:$F$40))</f>
        <v/>
      </c>
      <c r="D251" s="107" t="n"/>
      <c r="E251" s="107" t="n"/>
      <c r="F251" s="107" t="n"/>
      <c r="G251" s="107">
        <f>COUNTIFS(Setup!$E$6:$E$29,"Y",Setup!$B$6:$B$29,"?*")-SUMPRODUCT(COUNTIF(G227:G250,Setup!$F$33:$F$40))</f>
        <v/>
      </c>
      <c r="H251" s="107" t="n"/>
      <c r="I251" s="107" t="n"/>
      <c r="J251" s="107" t="n"/>
      <c r="K251" s="107">
        <f>COUNTIFS(Setup!$E$6:$E$29,"Y",Setup!$B$6:$B$29,"?*")-SUMPRODUCT(COUNTIF(K227:K250,Setup!$F$33:$F$40))</f>
        <v/>
      </c>
      <c r="L251" s="107" t="n"/>
      <c r="M251" s="107" t="n"/>
      <c r="N251" s="107" t="n"/>
      <c r="O251" s="107">
        <f>COUNTIFS(Setup!$E$6:$E$29,"Y",Setup!$B$6:$B$29,"?*")-SUMPRODUCT(COUNTIF(O227:O250,Setup!$F$33:$F$40))</f>
        <v/>
      </c>
      <c r="P251" s="107" t="n"/>
      <c r="Q251" s="107" t="n"/>
      <c r="R251" s="107" t="n"/>
      <c r="S251" s="107">
        <f>COUNTIFS(Setup!$E$6:$E$29,"Y",Setup!$B$6:$B$29,"?*")-SUMPRODUCT(COUNTIF(S227:S250,Setup!$F$33:$F$40))</f>
        <v/>
      </c>
      <c r="T251" s="107" t="n"/>
      <c r="U251" s="107" t="n"/>
      <c r="V251" s="107" t="n"/>
      <c r="W251" s="107">
        <f>COUNTIFS(Setup!$E$6:$E$29,"Y",Setup!$B$6:$B$29,"?*")-SUMPRODUCT(COUNTIF(W227:W250,Setup!$F$33:$F$40))</f>
        <v/>
      </c>
      <c r="X251" s="107" t="n"/>
      <c r="Y251" s="107">
        <f>COUNTIFS(Setup!$E$6:$E$29,"Y",Setup!$B$6:$B$29,"?*")-SUMPRODUCT(COUNTIF(Y227:Y250,Setup!$F$33:$F$40))</f>
        <v/>
      </c>
      <c r="Z251" s="107" t="n"/>
      <c r="AB251" s="108">
        <f>SUM(AB227:AB250)</f>
        <v/>
      </c>
      <c r="AC251" s="109">
        <f>SUM(AC227:AC250)</f>
        <v/>
      </c>
    </row>
    <row r="252" ht="30" customHeight="1">
      <c r="A252" t="n">
        <v>5</v>
      </c>
      <c r="B252" s="110" t="inlineStr">
        <is>
          <t>Week notes</t>
        </is>
      </c>
      <c r="C252" s="111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112" t="n"/>
      <c r="R252" s="112" t="n"/>
      <c r="S252" s="112" t="n"/>
      <c r="T252" s="112" t="n"/>
      <c r="U252" s="112" t="n"/>
      <c r="V252" s="112" t="n"/>
      <c r="W252" s="112" t="n"/>
      <c r="X252" s="112" t="n"/>
      <c r="Y252" s="112" t="n"/>
      <c r="Z252" s="113" t="n"/>
    </row>
    <row r="253" ht="8" customHeight="1">
      <c r="A253" t="n">
        <v>5</v>
      </c>
    </row>
    <row r="254" ht="8" customHeight="1">
      <c r="A254" t="n">
        <v>5</v>
      </c>
    </row>
    <row r="255" ht="24" customHeight="1">
      <c r="A255" t="n">
        <v>6</v>
      </c>
      <c r="B255" s="73">
        <f>"WEEK 6     "&amp;TEXT(C256,"ddd d mmm")&amp;"  –  "&amp;TEXT(C256+6,"ddd d mmm yyyy")</f>
        <v/>
      </c>
      <c r="S255" s="74">
        <f>IF(TODAY()&lt;C256,"FUTURE",IF(TODAY()&gt;C256+6,"PAST","THIS WEEK"))</f>
        <v/>
      </c>
      <c r="W255" s="75">
        <f>IF(AND(Engine!$B$8=$AC$3,Engine!$B$9=$A255),"◀ ACTIVE WEEK","")</f>
        <v/>
      </c>
      <c r="AA255" s="76" t="n"/>
      <c r="AB255" s="77" t="inlineStr">
        <is>
          <t>◀ Prev</t>
        </is>
      </c>
      <c r="AC255" s="77" t="inlineStr">
        <is>
          <t>Next ▶</t>
        </is>
      </c>
    </row>
    <row r="256" ht="18" customHeight="1">
      <c r="A256" t="n">
        <v>6</v>
      </c>
      <c r="B256" s="78" t="inlineStr">
        <is>
          <t>DUTY</t>
        </is>
      </c>
      <c r="C256" s="79">
        <f>$AC$2+7*($A256-1)</f>
        <v/>
      </c>
      <c r="D256" s="80" t="n"/>
      <c r="E256" s="80" t="n"/>
      <c r="F256" s="81" t="n"/>
      <c r="G256" s="79">
        <f>C256+1</f>
        <v/>
      </c>
      <c r="H256" s="80" t="n"/>
      <c r="I256" s="80" t="n"/>
      <c r="J256" s="81" t="n"/>
      <c r="K256" s="79">
        <f>C256+2</f>
        <v/>
      </c>
      <c r="L256" s="80" t="n"/>
      <c r="M256" s="80" t="n"/>
      <c r="N256" s="81" t="n"/>
      <c r="O256" s="79">
        <f>C256+3</f>
        <v/>
      </c>
      <c r="P256" s="80" t="n"/>
      <c r="Q256" s="80" t="n"/>
      <c r="R256" s="81" t="n"/>
      <c r="S256" s="79">
        <f>C256+4</f>
        <v/>
      </c>
      <c r="T256" s="80" t="n"/>
      <c r="U256" s="80" t="n"/>
      <c r="V256" s="81" t="n"/>
      <c r="W256" s="82">
        <f>C256+5</f>
        <v/>
      </c>
      <c r="X256" s="83" t="n"/>
      <c r="Y256" s="82">
        <f>C256+6</f>
        <v/>
      </c>
      <c r="Z256" s="83" t="n"/>
      <c r="AB256" s="72" t="inlineStr">
        <is>
          <t>Gaps</t>
        </is>
      </c>
      <c r="AC256" s="72" t="inlineStr">
        <is>
          <t>Cover</t>
        </is>
      </c>
    </row>
    <row r="257" ht="14" customHeight="1">
      <c r="A257" t="n">
        <v>6</v>
      </c>
      <c r="B257" s="84" t="inlineStr">
        <is>
          <t>(from Setup)</t>
        </is>
      </c>
      <c r="C257" s="85" t="inlineStr">
        <is>
          <t>1</t>
        </is>
      </c>
      <c r="D257" s="85" t="inlineStr">
        <is>
          <t>2</t>
        </is>
      </c>
      <c r="E257" s="85" t="inlineStr">
        <is>
          <t>3</t>
        </is>
      </c>
      <c r="F257" s="85" t="inlineStr">
        <is>
          <t>Notes</t>
        </is>
      </c>
      <c r="G257" s="85" t="inlineStr">
        <is>
          <t>1</t>
        </is>
      </c>
      <c r="H257" s="85" t="inlineStr">
        <is>
          <t>2</t>
        </is>
      </c>
      <c r="I257" s="85" t="inlineStr">
        <is>
          <t>3</t>
        </is>
      </c>
      <c r="J257" s="85" t="inlineStr">
        <is>
          <t>Notes</t>
        </is>
      </c>
      <c r="K257" s="85" t="inlineStr">
        <is>
          <t>1</t>
        </is>
      </c>
      <c r="L257" s="85" t="inlineStr">
        <is>
          <t>2</t>
        </is>
      </c>
      <c r="M257" s="85" t="inlineStr">
        <is>
          <t>3</t>
        </is>
      </c>
      <c r="N257" s="85" t="inlineStr">
        <is>
          <t>Notes</t>
        </is>
      </c>
      <c r="O257" s="85" t="inlineStr">
        <is>
          <t>1</t>
        </is>
      </c>
      <c r="P257" s="85" t="inlineStr">
        <is>
          <t>2</t>
        </is>
      </c>
      <c r="Q257" s="85" t="inlineStr">
        <is>
          <t>3</t>
        </is>
      </c>
      <c r="R257" s="85" t="inlineStr">
        <is>
          <t>Notes</t>
        </is>
      </c>
      <c r="S257" s="85" t="inlineStr">
        <is>
          <t>1</t>
        </is>
      </c>
      <c r="T257" s="85" t="inlineStr">
        <is>
          <t>2</t>
        </is>
      </c>
      <c r="U257" s="85" t="inlineStr">
        <is>
          <t>3</t>
        </is>
      </c>
      <c r="V257" s="85" t="inlineStr">
        <is>
          <t>Notes</t>
        </is>
      </c>
      <c r="W257" s="85" t="inlineStr">
        <is>
          <t>Cover</t>
        </is>
      </c>
      <c r="X257" s="85" t="inlineStr">
        <is>
          <t>Notes</t>
        </is>
      </c>
      <c r="Y257" s="85" t="inlineStr">
        <is>
          <t>Cover</t>
        </is>
      </c>
      <c r="Z257" s="85" t="inlineStr">
        <is>
          <t>Notes</t>
        </is>
      </c>
      <c r="AB257" s="86" t="inlineStr">
        <is>
          <t>weekdays short</t>
        </is>
      </c>
      <c r="AC257" s="87" t="inlineStr"/>
    </row>
    <row r="258" ht="17" customHeight="1">
      <c r="A258" t="n">
        <v>6</v>
      </c>
      <c r="B258" s="24">
        <f>IF(Setup!$K$6="","",Setup!$K$6)</f>
        <v/>
      </c>
      <c r="C258" s="88" t="n"/>
      <c r="D258" s="88" t="n"/>
      <c r="E258" s="88" t="n"/>
      <c r="F258" s="89" t="n"/>
      <c r="G258" s="88" t="n"/>
      <c r="H258" s="88" t="n"/>
      <c r="I258" s="88" t="n"/>
      <c r="J258" s="89" t="n"/>
      <c r="K258" s="88" t="n"/>
      <c r="L258" s="88" t="n"/>
      <c r="M258" s="88" t="n"/>
      <c r="N258" s="89" t="n"/>
      <c r="O258" s="88" t="n"/>
      <c r="P258" s="88" t="n"/>
      <c r="Q258" s="88" t="n"/>
      <c r="R258" s="89" t="n"/>
      <c r="S258" s="88" t="n"/>
      <c r="T258" s="88" t="n"/>
      <c r="U258" s="88" t="n"/>
      <c r="V258" s="89" t="n"/>
      <c r="W258" s="88" t="n"/>
      <c r="X258" s="89" t="n"/>
      <c r="Y258" s="88" t="n"/>
      <c r="Z258" s="89" t="n"/>
      <c r="AB258" s="25">
        <f>IF($B258="","",(COUNTIF(C258:E258,"?*")&lt;N(INDEX(Setup!$L$6:$L$23,1)))+(COUNTIF(G258:I258,"?*")&lt;N(INDEX(Setup!$L$6:$L$23,1)))+(COUNTIF(K258:M258,"?*")&lt;N(INDEX(Setup!$L$6:$L$23,1)))+(COUNTIF(O258:Q258,"?*")&lt;N(INDEX(Setup!$L$6:$L$23,1)))+(COUNTIF(S258:U258,"?*")&lt;N(INDEX(Setup!$L$6:$L$23,1)))+((W258="")*(INDEX(Setup!$M$6:$M$23,1)="Y"))+((Y258="")*(INDEX(Setup!$M$6:$M$23,1)="Y")))</f>
        <v/>
      </c>
      <c r="AC258" s="90">
        <f>IF($B258="","",IF(AB258=0,"✓ covered","⚠ "&amp;AB258&amp;IF(AB258=1," gap"," gaps")))</f>
        <v/>
      </c>
    </row>
    <row r="259" ht="17" customHeight="1">
      <c r="A259" t="n">
        <v>6</v>
      </c>
      <c r="B259" s="29">
        <f>IF(Setup!$K$7="","",Setup!$K$7)</f>
        <v/>
      </c>
      <c r="C259" s="88" t="n"/>
      <c r="D259" s="88" t="n"/>
      <c r="E259" s="88" t="n"/>
      <c r="F259" s="89" t="n"/>
      <c r="G259" s="88" t="n"/>
      <c r="H259" s="88" t="n"/>
      <c r="I259" s="88" t="n"/>
      <c r="J259" s="89" t="n"/>
      <c r="K259" s="88" t="n"/>
      <c r="L259" s="88" t="n"/>
      <c r="M259" s="88" t="n"/>
      <c r="N259" s="89" t="n"/>
      <c r="O259" s="88" t="n"/>
      <c r="P259" s="88" t="n"/>
      <c r="Q259" s="88" t="n"/>
      <c r="R259" s="89" t="n"/>
      <c r="S259" s="88" t="n"/>
      <c r="T259" s="88" t="n"/>
      <c r="U259" s="88" t="n"/>
      <c r="V259" s="89" t="n"/>
      <c r="W259" s="88" t="n"/>
      <c r="X259" s="89" t="n"/>
      <c r="Y259" s="88" t="n"/>
      <c r="Z259" s="89" t="n"/>
      <c r="AB259" s="30">
        <f>IF($B259="","",(COUNTIF(C259:E259,"?*")&lt;N(INDEX(Setup!$L$6:$L$23,2)))+(COUNTIF(G259:I259,"?*")&lt;N(INDEX(Setup!$L$6:$L$23,2)))+(COUNTIF(K259:M259,"?*")&lt;N(INDEX(Setup!$L$6:$L$23,2)))+(COUNTIF(O259:Q259,"?*")&lt;N(INDEX(Setup!$L$6:$L$23,2)))+(COUNTIF(S259:U259,"?*")&lt;N(INDEX(Setup!$L$6:$L$23,2)))+((W259="")*(INDEX(Setup!$M$6:$M$23,2)="Y"))+((Y259="")*(INDEX(Setup!$M$6:$M$23,2)="Y")))</f>
        <v/>
      </c>
      <c r="AC259" s="91">
        <f>IF($B259="","",IF(AB259=0,"✓ covered","⚠ "&amp;AB259&amp;IF(AB259=1," gap"," gaps")))</f>
        <v/>
      </c>
    </row>
    <row r="260" ht="17" customHeight="1">
      <c r="A260" t="n">
        <v>6</v>
      </c>
      <c r="B260" s="24">
        <f>IF(Setup!$K$8="","",Setup!$K$8)</f>
        <v/>
      </c>
      <c r="C260" s="88" t="n"/>
      <c r="D260" s="88" t="n"/>
      <c r="E260" s="88" t="n"/>
      <c r="F260" s="89" t="n"/>
      <c r="G260" s="88" t="n"/>
      <c r="H260" s="88" t="n"/>
      <c r="I260" s="88" t="n"/>
      <c r="J260" s="89" t="n"/>
      <c r="K260" s="88" t="n"/>
      <c r="L260" s="88" t="n"/>
      <c r="M260" s="88" t="n"/>
      <c r="N260" s="89" t="n"/>
      <c r="O260" s="88" t="n"/>
      <c r="P260" s="88" t="n"/>
      <c r="Q260" s="88" t="n"/>
      <c r="R260" s="89" t="n"/>
      <c r="S260" s="88" t="n"/>
      <c r="T260" s="88" t="n"/>
      <c r="U260" s="88" t="n"/>
      <c r="V260" s="89" t="n"/>
      <c r="W260" s="88" t="n"/>
      <c r="X260" s="89" t="n"/>
      <c r="Y260" s="88" t="n"/>
      <c r="Z260" s="89" t="n"/>
      <c r="AB260" s="25">
        <f>IF($B260="","",(COUNTIF(C260:E260,"?*")&lt;N(INDEX(Setup!$L$6:$L$23,3)))+(COUNTIF(G260:I260,"?*")&lt;N(INDEX(Setup!$L$6:$L$23,3)))+(COUNTIF(K260:M260,"?*")&lt;N(INDEX(Setup!$L$6:$L$23,3)))+(COUNTIF(O260:Q260,"?*")&lt;N(INDEX(Setup!$L$6:$L$23,3)))+(COUNTIF(S260:U260,"?*")&lt;N(INDEX(Setup!$L$6:$L$23,3)))+((W260="")*(INDEX(Setup!$M$6:$M$23,3)="Y"))+((Y260="")*(INDEX(Setup!$M$6:$M$23,3)="Y")))</f>
        <v/>
      </c>
      <c r="AC260" s="90">
        <f>IF($B260="","",IF(AB260=0,"✓ covered","⚠ "&amp;AB260&amp;IF(AB260=1," gap"," gaps")))</f>
        <v/>
      </c>
    </row>
    <row r="261" ht="17" customHeight="1">
      <c r="A261" t="n">
        <v>6</v>
      </c>
      <c r="B261" s="29">
        <f>IF(Setup!$K$9="","",Setup!$K$9)</f>
        <v/>
      </c>
      <c r="C261" s="88" t="n"/>
      <c r="D261" s="88" t="n"/>
      <c r="E261" s="88" t="n"/>
      <c r="F261" s="89" t="n"/>
      <c r="G261" s="88" t="n"/>
      <c r="H261" s="88" t="n"/>
      <c r="I261" s="88" t="n"/>
      <c r="J261" s="89" t="n"/>
      <c r="K261" s="88" t="n"/>
      <c r="L261" s="88" t="n"/>
      <c r="M261" s="88" t="n"/>
      <c r="N261" s="89" t="n"/>
      <c r="O261" s="88" t="n"/>
      <c r="P261" s="88" t="n"/>
      <c r="Q261" s="88" t="n"/>
      <c r="R261" s="89" t="n"/>
      <c r="S261" s="88" t="n"/>
      <c r="T261" s="88" t="n"/>
      <c r="U261" s="88" t="n"/>
      <c r="V261" s="89" t="n"/>
      <c r="W261" s="88" t="n"/>
      <c r="X261" s="89" t="n"/>
      <c r="Y261" s="88" t="n"/>
      <c r="Z261" s="89" t="n"/>
      <c r="AB261" s="30">
        <f>IF($B261="","",(COUNTIF(C261:E261,"?*")&lt;N(INDEX(Setup!$L$6:$L$23,4)))+(COUNTIF(G261:I261,"?*")&lt;N(INDEX(Setup!$L$6:$L$23,4)))+(COUNTIF(K261:M261,"?*")&lt;N(INDEX(Setup!$L$6:$L$23,4)))+(COUNTIF(O261:Q261,"?*")&lt;N(INDEX(Setup!$L$6:$L$23,4)))+(COUNTIF(S261:U261,"?*")&lt;N(INDEX(Setup!$L$6:$L$23,4)))+((W261="")*(INDEX(Setup!$M$6:$M$23,4)="Y"))+((Y261="")*(INDEX(Setup!$M$6:$M$23,4)="Y")))</f>
        <v/>
      </c>
      <c r="AC261" s="91">
        <f>IF($B261="","",IF(AB261=0,"✓ covered","⚠ "&amp;AB261&amp;IF(AB261=1," gap"," gaps")))</f>
        <v/>
      </c>
    </row>
    <row r="262" ht="17" customHeight="1">
      <c r="A262" t="n">
        <v>6</v>
      </c>
      <c r="B262" s="24">
        <f>IF(Setup!$K$10="","",Setup!$K$10)</f>
        <v/>
      </c>
      <c r="C262" s="88" t="n"/>
      <c r="D262" s="88" t="n"/>
      <c r="E262" s="88" t="n"/>
      <c r="F262" s="89" t="n"/>
      <c r="G262" s="88" t="n"/>
      <c r="H262" s="88" t="n"/>
      <c r="I262" s="88" t="n"/>
      <c r="J262" s="89" t="n"/>
      <c r="K262" s="88" t="n"/>
      <c r="L262" s="88" t="n"/>
      <c r="M262" s="88" t="n"/>
      <c r="N262" s="89" t="n"/>
      <c r="O262" s="88" t="n"/>
      <c r="P262" s="88" t="n"/>
      <c r="Q262" s="88" t="n"/>
      <c r="R262" s="89" t="n"/>
      <c r="S262" s="88" t="n"/>
      <c r="T262" s="88" t="n"/>
      <c r="U262" s="88" t="n"/>
      <c r="V262" s="89" t="n"/>
      <c r="W262" s="88" t="n"/>
      <c r="X262" s="89" t="n"/>
      <c r="Y262" s="88" t="n"/>
      <c r="Z262" s="89" t="n"/>
      <c r="AB262" s="25">
        <f>IF($B262="","",(COUNTIF(C262:E262,"?*")&lt;N(INDEX(Setup!$L$6:$L$23,5)))+(COUNTIF(G262:I262,"?*")&lt;N(INDEX(Setup!$L$6:$L$23,5)))+(COUNTIF(K262:M262,"?*")&lt;N(INDEX(Setup!$L$6:$L$23,5)))+(COUNTIF(O262:Q262,"?*")&lt;N(INDEX(Setup!$L$6:$L$23,5)))+(COUNTIF(S262:U262,"?*")&lt;N(INDEX(Setup!$L$6:$L$23,5)))+((W262="")*(INDEX(Setup!$M$6:$M$23,5)="Y"))+((Y262="")*(INDEX(Setup!$M$6:$M$23,5)="Y")))</f>
        <v/>
      </c>
      <c r="AC262" s="90">
        <f>IF($B262="","",IF(AB262=0,"✓ covered","⚠ "&amp;AB262&amp;IF(AB262=1," gap"," gaps")))</f>
        <v/>
      </c>
    </row>
    <row r="263" ht="17" customHeight="1">
      <c r="A263" t="n">
        <v>6</v>
      </c>
      <c r="B263" s="29">
        <f>IF(Setup!$K$11="","",Setup!$K$11)</f>
        <v/>
      </c>
      <c r="C263" s="88" t="n"/>
      <c r="D263" s="88" t="n"/>
      <c r="E263" s="88" t="n"/>
      <c r="F263" s="89" t="n"/>
      <c r="G263" s="88" t="n"/>
      <c r="H263" s="88" t="n"/>
      <c r="I263" s="88" t="n"/>
      <c r="J263" s="89" t="n"/>
      <c r="K263" s="88" t="n"/>
      <c r="L263" s="88" t="n"/>
      <c r="M263" s="88" t="n"/>
      <c r="N263" s="89" t="n"/>
      <c r="O263" s="88" t="n"/>
      <c r="P263" s="88" t="n"/>
      <c r="Q263" s="88" t="n"/>
      <c r="R263" s="89" t="n"/>
      <c r="S263" s="88" t="n"/>
      <c r="T263" s="88" t="n"/>
      <c r="U263" s="88" t="n"/>
      <c r="V263" s="89" t="n"/>
      <c r="W263" s="88" t="n"/>
      <c r="X263" s="89" t="n"/>
      <c r="Y263" s="88" t="n"/>
      <c r="Z263" s="89" t="n"/>
      <c r="AB263" s="30">
        <f>IF($B263="","",(COUNTIF(C263:E263,"?*")&lt;N(INDEX(Setup!$L$6:$L$23,6)))+(COUNTIF(G263:I263,"?*")&lt;N(INDEX(Setup!$L$6:$L$23,6)))+(COUNTIF(K263:M263,"?*")&lt;N(INDEX(Setup!$L$6:$L$23,6)))+(COUNTIF(O263:Q263,"?*")&lt;N(INDEX(Setup!$L$6:$L$23,6)))+(COUNTIF(S263:U263,"?*")&lt;N(INDEX(Setup!$L$6:$L$23,6)))+((W263="")*(INDEX(Setup!$M$6:$M$23,6)="Y"))+((Y263="")*(INDEX(Setup!$M$6:$M$23,6)="Y")))</f>
        <v/>
      </c>
      <c r="AC263" s="91">
        <f>IF($B263="","",IF(AB263=0,"✓ covered","⚠ "&amp;AB263&amp;IF(AB263=1," gap"," gaps")))</f>
        <v/>
      </c>
    </row>
    <row r="264" ht="17" customHeight="1">
      <c r="A264" t="n">
        <v>6</v>
      </c>
      <c r="B264" s="24">
        <f>IF(Setup!$K$12="","",Setup!$K$12)</f>
        <v/>
      </c>
      <c r="C264" s="88" t="n"/>
      <c r="D264" s="88" t="n"/>
      <c r="E264" s="88" t="n"/>
      <c r="F264" s="89" t="n"/>
      <c r="G264" s="88" t="n"/>
      <c r="H264" s="88" t="n"/>
      <c r="I264" s="88" t="n"/>
      <c r="J264" s="89" t="n"/>
      <c r="K264" s="88" t="n"/>
      <c r="L264" s="88" t="n"/>
      <c r="M264" s="88" t="n"/>
      <c r="N264" s="89" t="n"/>
      <c r="O264" s="88" t="n"/>
      <c r="P264" s="88" t="n"/>
      <c r="Q264" s="88" t="n"/>
      <c r="R264" s="89" t="n"/>
      <c r="S264" s="88" t="n"/>
      <c r="T264" s="88" t="n"/>
      <c r="U264" s="88" t="n"/>
      <c r="V264" s="89" t="n"/>
      <c r="W264" s="88" t="n"/>
      <c r="X264" s="89" t="n"/>
      <c r="Y264" s="88" t="n"/>
      <c r="Z264" s="89" t="n"/>
      <c r="AB264" s="25">
        <f>IF($B264="","",(COUNTIF(C264:E264,"?*")&lt;N(INDEX(Setup!$L$6:$L$23,7)))+(COUNTIF(G264:I264,"?*")&lt;N(INDEX(Setup!$L$6:$L$23,7)))+(COUNTIF(K264:M264,"?*")&lt;N(INDEX(Setup!$L$6:$L$23,7)))+(COUNTIF(O264:Q264,"?*")&lt;N(INDEX(Setup!$L$6:$L$23,7)))+(COUNTIF(S264:U264,"?*")&lt;N(INDEX(Setup!$L$6:$L$23,7)))+((W264="")*(INDEX(Setup!$M$6:$M$23,7)="Y"))+((Y264="")*(INDEX(Setup!$M$6:$M$23,7)="Y")))</f>
        <v/>
      </c>
      <c r="AC264" s="90">
        <f>IF($B264="","",IF(AB264=0,"✓ covered","⚠ "&amp;AB264&amp;IF(AB264=1," gap"," gaps")))</f>
        <v/>
      </c>
    </row>
    <row r="265" ht="17" customHeight="1">
      <c r="A265" t="n">
        <v>6</v>
      </c>
      <c r="B265" s="29">
        <f>IF(Setup!$K$13="","",Setup!$K$13)</f>
        <v/>
      </c>
      <c r="C265" s="88" t="n"/>
      <c r="D265" s="88" t="n"/>
      <c r="E265" s="88" t="n"/>
      <c r="F265" s="89" t="n"/>
      <c r="G265" s="88" t="n"/>
      <c r="H265" s="88" t="n"/>
      <c r="I265" s="88" t="n"/>
      <c r="J265" s="89" t="n"/>
      <c r="K265" s="88" t="n"/>
      <c r="L265" s="88" t="n"/>
      <c r="M265" s="88" t="n"/>
      <c r="N265" s="89" t="n"/>
      <c r="O265" s="88" t="n"/>
      <c r="P265" s="88" t="n"/>
      <c r="Q265" s="88" t="n"/>
      <c r="R265" s="89" t="n"/>
      <c r="S265" s="88" t="n"/>
      <c r="T265" s="88" t="n"/>
      <c r="U265" s="88" t="n"/>
      <c r="V265" s="89" t="n"/>
      <c r="W265" s="88" t="n"/>
      <c r="X265" s="89" t="n"/>
      <c r="Y265" s="88" t="n"/>
      <c r="Z265" s="89" t="n"/>
      <c r="AB265" s="30">
        <f>IF($B265="","",(COUNTIF(C265:E265,"?*")&lt;N(INDEX(Setup!$L$6:$L$23,8)))+(COUNTIF(G265:I265,"?*")&lt;N(INDEX(Setup!$L$6:$L$23,8)))+(COUNTIF(K265:M265,"?*")&lt;N(INDEX(Setup!$L$6:$L$23,8)))+(COUNTIF(O265:Q265,"?*")&lt;N(INDEX(Setup!$L$6:$L$23,8)))+(COUNTIF(S265:U265,"?*")&lt;N(INDEX(Setup!$L$6:$L$23,8)))+((W265="")*(INDEX(Setup!$M$6:$M$23,8)="Y"))+((Y265="")*(INDEX(Setup!$M$6:$M$23,8)="Y")))</f>
        <v/>
      </c>
      <c r="AC265" s="91">
        <f>IF($B265="","",IF(AB265=0,"✓ covered","⚠ "&amp;AB265&amp;IF(AB265=1," gap"," gaps")))</f>
        <v/>
      </c>
    </row>
    <row r="266" ht="17" customHeight="1">
      <c r="A266" t="n">
        <v>6</v>
      </c>
      <c r="B266" s="24">
        <f>IF(Setup!$K$14="","",Setup!$K$14)</f>
        <v/>
      </c>
      <c r="C266" s="88" t="n"/>
      <c r="D266" s="88" t="n"/>
      <c r="E266" s="88" t="n"/>
      <c r="F266" s="89" t="n"/>
      <c r="G266" s="88" t="n"/>
      <c r="H266" s="88" t="n"/>
      <c r="I266" s="88" t="n"/>
      <c r="J266" s="89" t="n"/>
      <c r="K266" s="88" t="n"/>
      <c r="L266" s="88" t="n"/>
      <c r="M266" s="88" t="n"/>
      <c r="N266" s="89" t="n"/>
      <c r="O266" s="88" t="n"/>
      <c r="P266" s="88" t="n"/>
      <c r="Q266" s="88" t="n"/>
      <c r="R266" s="89" t="n"/>
      <c r="S266" s="88" t="n"/>
      <c r="T266" s="88" t="n"/>
      <c r="U266" s="88" t="n"/>
      <c r="V266" s="89" t="n"/>
      <c r="W266" s="88" t="n"/>
      <c r="X266" s="89" t="n"/>
      <c r="Y266" s="88" t="n"/>
      <c r="Z266" s="89" t="n"/>
      <c r="AB266" s="25">
        <f>IF($B266="","",(COUNTIF(C266:E266,"?*")&lt;N(INDEX(Setup!$L$6:$L$23,9)))+(COUNTIF(G266:I266,"?*")&lt;N(INDEX(Setup!$L$6:$L$23,9)))+(COUNTIF(K266:M266,"?*")&lt;N(INDEX(Setup!$L$6:$L$23,9)))+(COUNTIF(O266:Q266,"?*")&lt;N(INDEX(Setup!$L$6:$L$23,9)))+(COUNTIF(S266:U266,"?*")&lt;N(INDEX(Setup!$L$6:$L$23,9)))+((W266="")*(INDEX(Setup!$M$6:$M$23,9)="Y"))+((Y266="")*(INDEX(Setup!$M$6:$M$23,9)="Y")))</f>
        <v/>
      </c>
      <c r="AC266" s="90">
        <f>IF($B266="","",IF(AB266=0,"✓ covered","⚠ "&amp;AB266&amp;IF(AB266=1," gap"," gaps")))</f>
        <v/>
      </c>
    </row>
    <row r="267" ht="17" customHeight="1">
      <c r="A267" t="n">
        <v>6</v>
      </c>
      <c r="B267" s="29">
        <f>IF(Setup!$K$15="","",Setup!$K$15)</f>
        <v/>
      </c>
      <c r="C267" s="88" t="n"/>
      <c r="D267" s="88" t="n"/>
      <c r="E267" s="88" t="n"/>
      <c r="F267" s="89" t="n"/>
      <c r="G267" s="88" t="n"/>
      <c r="H267" s="88" t="n"/>
      <c r="I267" s="88" t="n"/>
      <c r="J267" s="89" t="n"/>
      <c r="K267" s="88" t="n"/>
      <c r="L267" s="88" t="n"/>
      <c r="M267" s="88" t="n"/>
      <c r="N267" s="89" t="n"/>
      <c r="O267" s="88" t="n"/>
      <c r="P267" s="88" t="n"/>
      <c r="Q267" s="88" t="n"/>
      <c r="R267" s="89" t="n"/>
      <c r="S267" s="88" t="n"/>
      <c r="T267" s="88" t="n"/>
      <c r="U267" s="88" t="n"/>
      <c r="V267" s="89" t="n"/>
      <c r="W267" s="88" t="n"/>
      <c r="X267" s="89" t="n"/>
      <c r="Y267" s="88" t="n"/>
      <c r="Z267" s="89" t="n"/>
      <c r="AB267" s="30">
        <f>IF($B267="","",(COUNTIF(C267:E267,"?*")&lt;N(INDEX(Setup!$L$6:$L$23,10)))+(COUNTIF(G267:I267,"?*")&lt;N(INDEX(Setup!$L$6:$L$23,10)))+(COUNTIF(K267:M267,"?*")&lt;N(INDEX(Setup!$L$6:$L$23,10)))+(COUNTIF(O267:Q267,"?*")&lt;N(INDEX(Setup!$L$6:$L$23,10)))+(COUNTIF(S267:U267,"?*")&lt;N(INDEX(Setup!$L$6:$L$23,10)))+((W267="")*(INDEX(Setup!$M$6:$M$23,10)="Y"))+((Y267="")*(INDEX(Setup!$M$6:$M$23,10)="Y")))</f>
        <v/>
      </c>
      <c r="AC267" s="91">
        <f>IF($B267="","",IF(AB267=0,"✓ covered","⚠ "&amp;AB267&amp;IF(AB267=1," gap"," gaps")))</f>
        <v/>
      </c>
    </row>
    <row r="268" ht="17" customHeight="1">
      <c r="A268" t="n">
        <v>6</v>
      </c>
      <c r="B268" s="24">
        <f>IF(Setup!$K$16="","",Setup!$K$16)</f>
        <v/>
      </c>
      <c r="C268" s="88" t="n"/>
      <c r="D268" s="88" t="n"/>
      <c r="E268" s="88" t="n"/>
      <c r="F268" s="89" t="n"/>
      <c r="G268" s="88" t="n"/>
      <c r="H268" s="88" t="n"/>
      <c r="I268" s="88" t="n"/>
      <c r="J268" s="89" t="n"/>
      <c r="K268" s="88" t="n"/>
      <c r="L268" s="88" t="n"/>
      <c r="M268" s="88" t="n"/>
      <c r="N268" s="89" t="n"/>
      <c r="O268" s="88" t="n"/>
      <c r="P268" s="88" t="n"/>
      <c r="Q268" s="88" t="n"/>
      <c r="R268" s="89" t="n"/>
      <c r="S268" s="88" t="n"/>
      <c r="T268" s="88" t="n"/>
      <c r="U268" s="88" t="n"/>
      <c r="V268" s="89" t="n"/>
      <c r="W268" s="88" t="n"/>
      <c r="X268" s="89" t="n"/>
      <c r="Y268" s="88" t="n"/>
      <c r="Z268" s="89" t="n"/>
      <c r="AB268" s="25">
        <f>IF($B268="","",(COUNTIF(C268:E268,"?*")&lt;N(INDEX(Setup!$L$6:$L$23,11)))+(COUNTIF(G268:I268,"?*")&lt;N(INDEX(Setup!$L$6:$L$23,11)))+(COUNTIF(K268:M268,"?*")&lt;N(INDEX(Setup!$L$6:$L$23,11)))+(COUNTIF(O268:Q268,"?*")&lt;N(INDEX(Setup!$L$6:$L$23,11)))+(COUNTIF(S268:U268,"?*")&lt;N(INDEX(Setup!$L$6:$L$23,11)))+((W268="")*(INDEX(Setup!$M$6:$M$23,11)="Y"))+((Y268="")*(INDEX(Setup!$M$6:$M$23,11)="Y")))</f>
        <v/>
      </c>
      <c r="AC268" s="90">
        <f>IF($B268="","",IF(AB268=0,"✓ covered","⚠ "&amp;AB268&amp;IF(AB268=1," gap"," gaps")))</f>
        <v/>
      </c>
    </row>
    <row r="269" ht="17" customHeight="1">
      <c r="A269" t="n">
        <v>6</v>
      </c>
      <c r="B269" s="29">
        <f>IF(Setup!$K$17="","",Setup!$K$17)</f>
        <v/>
      </c>
      <c r="C269" s="88" t="n"/>
      <c r="D269" s="88" t="n"/>
      <c r="E269" s="88" t="n"/>
      <c r="F269" s="89" t="n"/>
      <c r="G269" s="88" t="n"/>
      <c r="H269" s="88" t="n"/>
      <c r="I269" s="88" t="n"/>
      <c r="J269" s="89" t="n"/>
      <c r="K269" s="88" t="n"/>
      <c r="L269" s="88" t="n"/>
      <c r="M269" s="88" t="n"/>
      <c r="N269" s="89" t="n"/>
      <c r="O269" s="88" t="n"/>
      <c r="P269" s="88" t="n"/>
      <c r="Q269" s="88" t="n"/>
      <c r="R269" s="89" t="n"/>
      <c r="S269" s="88" t="n"/>
      <c r="T269" s="88" t="n"/>
      <c r="U269" s="88" t="n"/>
      <c r="V269" s="89" t="n"/>
      <c r="W269" s="88" t="n"/>
      <c r="X269" s="89" t="n"/>
      <c r="Y269" s="88" t="n"/>
      <c r="Z269" s="89" t="n"/>
      <c r="AB269" s="30">
        <f>IF($B269="","",(COUNTIF(C269:E269,"?*")&lt;N(INDEX(Setup!$L$6:$L$23,12)))+(COUNTIF(G269:I269,"?*")&lt;N(INDEX(Setup!$L$6:$L$23,12)))+(COUNTIF(K269:M269,"?*")&lt;N(INDEX(Setup!$L$6:$L$23,12)))+(COUNTIF(O269:Q269,"?*")&lt;N(INDEX(Setup!$L$6:$L$23,12)))+(COUNTIF(S269:U269,"?*")&lt;N(INDEX(Setup!$L$6:$L$23,12)))+((W269="")*(INDEX(Setup!$M$6:$M$23,12)="Y"))+((Y269="")*(INDEX(Setup!$M$6:$M$23,12)="Y")))</f>
        <v/>
      </c>
      <c r="AC269" s="91">
        <f>IF($B269="","",IF(AB269=0,"✓ covered","⚠ "&amp;AB269&amp;IF(AB269=1," gap"," gaps")))</f>
        <v/>
      </c>
    </row>
    <row r="270" ht="17" customHeight="1">
      <c r="A270" t="n">
        <v>6</v>
      </c>
      <c r="B270" s="24">
        <f>IF(Setup!$K$18="","",Setup!$K$18)</f>
        <v/>
      </c>
      <c r="C270" s="88" t="n"/>
      <c r="D270" s="88" t="n"/>
      <c r="E270" s="88" t="n"/>
      <c r="F270" s="89" t="n"/>
      <c r="G270" s="88" t="n"/>
      <c r="H270" s="88" t="n"/>
      <c r="I270" s="88" t="n"/>
      <c r="J270" s="89" t="n"/>
      <c r="K270" s="88" t="n"/>
      <c r="L270" s="88" t="n"/>
      <c r="M270" s="88" t="n"/>
      <c r="N270" s="89" t="n"/>
      <c r="O270" s="88" t="n"/>
      <c r="P270" s="88" t="n"/>
      <c r="Q270" s="88" t="n"/>
      <c r="R270" s="89" t="n"/>
      <c r="S270" s="88" t="n"/>
      <c r="T270" s="88" t="n"/>
      <c r="U270" s="88" t="n"/>
      <c r="V270" s="89" t="n"/>
      <c r="W270" s="88" t="n"/>
      <c r="X270" s="89" t="n"/>
      <c r="Y270" s="88" t="n"/>
      <c r="Z270" s="89" t="n"/>
      <c r="AB270" s="25">
        <f>IF($B270="","",(COUNTIF(C270:E270,"?*")&lt;N(INDEX(Setup!$L$6:$L$23,13)))+(COUNTIF(G270:I270,"?*")&lt;N(INDEX(Setup!$L$6:$L$23,13)))+(COUNTIF(K270:M270,"?*")&lt;N(INDEX(Setup!$L$6:$L$23,13)))+(COUNTIF(O270:Q270,"?*")&lt;N(INDEX(Setup!$L$6:$L$23,13)))+(COUNTIF(S270:U270,"?*")&lt;N(INDEX(Setup!$L$6:$L$23,13)))+((W270="")*(INDEX(Setup!$M$6:$M$23,13)="Y"))+((Y270="")*(INDEX(Setup!$M$6:$M$23,13)="Y")))</f>
        <v/>
      </c>
      <c r="AC270" s="90">
        <f>IF($B270="","",IF(AB270=0,"✓ covered","⚠ "&amp;AB270&amp;IF(AB270=1," gap"," gaps")))</f>
        <v/>
      </c>
    </row>
    <row r="271" ht="17" customHeight="1">
      <c r="A271" t="n">
        <v>6</v>
      </c>
      <c r="B271" s="29">
        <f>IF(Setup!$K$19="","",Setup!$K$19)</f>
        <v/>
      </c>
      <c r="C271" s="88" t="n"/>
      <c r="D271" s="88" t="n"/>
      <c r="E271" s="88" t="n"/>
      <c r="F271" s="89" t="n"/>
      <c r="G271" s="88" t="n"/>
      <c r="H271" s="88" t="n"/>
      <c r="I271" s="88" t="n"/>
      <c r="J271" s="89" t="n"/>
      <c r="K271" s="88" t="n"/>
      <c r="L271" s="88" t="n"/>
      <c r="M271" s="88" t="n"/>
      <c r="N271" s="89" t="n"/>
      <c r="O271" s="88" t="n"/>
      <c r="P271" s="88" t="n"/>
      <c r="Q271" s="88" t="n"/>
      <c r="R271" s="89" t="n"/>
      <c r="S271" s="88" t="n"/>
      <c r="T271" s="88" t="n"/>
      <c r="U271" s="88" t="n"/>
      <c r="V271" s="89" t="n"/>
      <c r="W271" s="88" t="n"/>
      <c r="X271" s="89" t="n"/>
      <c r="Y271" s="88" t="n"/>
      <c r="Z271" s="89" t="n"/>
      <c r="AB271" s="30">
        <f>IF($B271="","",(COUNTIF(C271:E271,"?*")&lt;N(INDEX(Setup!$L$6:$L$23,14)))+(COUNTIF(G271:I271,"?*")&lt;N(INDEX(Setup!$L$6:$L$23,14)))+(COUNTIF(K271:M271,"?*")&lt;N(INDEX(Setup!$L$6:$L$23,14)))+(COUNTIF(O271:Q271,"?*")&lt;N(INDEX(Setup!$L$6:$L$23,14)))+(COUNTIF(S271:U271,"?*")&lt;N(INDEX(Setup!$L$6:$L$23,14)))+((W271="")*(INDEX(Setup!$M$6:$M$23,14)="Y"))+((Y271="")*(INDEX(Setup!$M$6:$M$23,14)="Y")))</f>
        <v/>
      </c>
      <c r="AC271" s="91">
        <f>IF($B271="","",IF(AB271=0,"✓ covered","⚠ "&amp;AB271&amp;IF(AB271=1," gap"," gaps")))</f>
        <v/>
      </c>
    </row>
    <row r="272" ht="17" customHeight="1">
      <c r="A272" t="n">
        <v>6</v>
      </c>
      <c r="B272" s="24">
        <f>IF(Setup!$K$20="","",Setup!$K$20)</f>
        <v/>
      </c>
      <c r="C272" s="88" t="n"/>
      <c r="D272" s="88" t="n"/>
      <c r="E272" s="88" t="n"/>
      <c r="F272" s="89" t="n"/>
      <c r="G272" s="88" t="n"/>
      <c r="H272" s="88" t="n"/>
      <c r="I272" s="88" t="n"/>
      <c r="J272" s="89" t="n"/>
      <c r="K272" s="88" t="n"/>
      <c r="L272" s="88" t="n"/>
      <c r="M272" s="88" t="n"/>
      <c r="N272" s="89" t="n"/>
      <c r="O272" s="88" t="n"/>
      <c r="P272" s="88" t="n"/>
      <c r="Q272" s="88" t="n"/>
      <c r="R272" s="89" t="n"/>
      <c r="S272" s="88" t="n"/>
      <c r="T272" s="88" t="n"/>
      <c r="U272" s="88" t="n"/>
      <c r="V272" s="89" t="n"/>
      <c r="W272" s="88" t="n"/>
      <c r="X272" s="89" t="n"/>
      <c r="Y272" s="88" t="n"/>
      <c r="Z272" s="89" t="n"/>
      <c r="AB272" s="25">
        <f>IF($B272="","",(COUNTIF(C272:E272,"?*")&lt;N(INDEX(Setup!$L$6:$L$23,15)))+(COUNTIF(G272:I272,"?*")&lt;N(INDEX(Setup!$L$6:$L$23,15)))+(COUNTIF(K272:M272,"?*")&lt;N(INDEX(Setup!$L$6:$L$23,15)))+(COUNTIF(O272:Q272,"?*")&lt;N(INDEX(Setup!$L$6:$L$23,15)))+(COUNTIF(S272:U272,"?*")&lt;N(INDEX(Setup!$L$6:$L$23,15)))+((W272="")*(INDEX(Setup!$M$6:$M$23,15)="Y"))+((Y272="")*(INDEX(Setup!$M$6:$M$23,15)="Y")))</f>
        <v/>
      </c>
      <c r="AC272" s="90">
        <f>IF($B272="","",IF(AB272=0,"✓ covered","⚠ "&amp;AB272&amp;IF(AB272=1," gap"," gaps")))</f>
        <v/>
      </c>
    </row>
    <row r="273" ht="17" customHeight="1">
      <c r="A273" t="n">
        <v>6</v>
      </c>
      <c r="B273" s="29">
        <f>IF(Setup!$K$21="","",Setup!$K$21)</f>
        <v/>
      </c>
      <c r="C273" s="88" t="n"/>
      <c r="D273" s="88" t="n"/>
      <c r="E273" s="88" t="n"/>
      <c r="F273" s="89" t="n"/>
      <c r="G273" s="88" t="n"/>
      <c r="H273" s="88" t="n"/>
      <c r="I273" s="88" t="n"/>
      <c r="J273" s="89" t="n"/>
      <c r="K273" s="88" t="n"/>
      <c r="L273" s="88" t="n"/>
      <c r="M273" s="88" t="n"/>
      <c r="N273" s="89" t="n"/>
      <c r="O273" s="88" t="n"/>
      <c r="P273" s="88" t="n"/>
      <c r="Q273" s="88" t="n"/>
      <c r="R273" s="89" t="n"/>
      <c r="S273" s="88" t="n"/>
      <c r="T273" s="88" t="n"/>
      <c r="U273" s="88" t="n"/>
      <c r="V273" s="89" t="n"/>
      <c r="W273" s="88" t="n"/>
      <c r="X273" s="89" t="n"/>
      <c r="Y273" s="88" t="n"/>
      <c r="Z273" s="89" t="n"/>
      <c r="AB273" s="30">
        <f>IF($B273="","",(COUNTIF(C273:E273,"?*")&lt;N(INDEX(Setup!$L$6:$L$23,16)))+(COUNTIF(G273:I273,"?*")&lt;N(INDEX(Setup!$L$6:$L$23,16)))+(COUNTIF(K273:M273,"?*")&lt;N(INDEX(Setup!$L$6:$L$23,16)))+(COUNTIF(O273:Q273,"?*")&lt;N(INDEX(Setup!$L$6:$L$23,16)))+(COUNTIF(S273:U273,"?*")&lt;N(INDEX(Setup!$L$6:$L$23,16)))+((W273="")*(INDEX(Setup!$M$6:$M$23,16)="Y"))+((Y273="")*(INDEX(Setup!$M$6:$M$23,16)="Y")))</f>
        <v/>
      </c>
      <c r="AC273" s="91">
        <f>IF($B273="","",IF(AB273=0,"✓ covered","⚠ "&amp;AB273&amp;IF(AB273=1," gap"," gaps")))</f>
        <v/>
      </c>
    </row>
    <row r="274" ht="17" customHeight="1">
      <c r="A274" t="n">
        <v>6</v>
      </c>
      <c r="B274" s="24">
        <f>IF(Setup!$K$22="","",Setup!$K$22)</f>
        <v/>
      </c>
      <c r="C274" s="88" t="n"/>
      <c r="D274" s="88" t="n"/>
      <c r="E274" s="88" t="n"/>
      <c r="F274" s="89" t="n"/>
      <c r="G274" s="88" t="n"/>
      <c r="H274" s="88" t="n"/>
      <c r="I274" s="88" t="n"/>
      <c r="J274" s="89" t="n"/>
      <c r="K274" s="88" t="n"/>
      <c r="L274" s="88" t="n"/>
      <c r="M274" s="88" t="n"/>
      <c r="N274" s="89" t="n"/>
      <c r="O274" s="88" t="n"/>
      <c r="P274" s="88" t="n"/>
      <c r="Q274" s="88" t="n"/>
      <c r="R274" s="89" t="n"/>
      <c r="S274" s="88" t="n"/>
      <c r="T274" s="88" t="n"/>
      <c r="U274" s="88" t="n"/>
      <c r="V274" s="89" t="n"/>
      <c r="W274" s="88" t="n"/>
      <c r="X274" s="89" t="n"/>
      <c r="Y274" s="88" t="n"/>
      <c r="Z274" s="89" t="n"/>
      <c r="AB274" s="25">
        <f>IF($B274="","",(COUNTIF(C274:E274,"?*")&lt;N(INDEX(Setup!$L$6:$L$23,17)))+(COUNTIF(G274:I274,"?*")&lt;N(INDEX(Setup!$L$6:$L$23,17)))+(COUNTIF(K274:M274,"?*")&lt;N(INDEX(Setup!$L$6:$L$23,17)))+(COUNTIF(O274:Q274,"?*")&lt;N(INDEX(Setup!$L$6:$L$23,17)))+(COUNTIF(S274:U274,"?*")&lt;N(INDEX(Setup!$L$6:$L$23,17)))+((W274="")*(INDEX(Setup!$M$6:$M$23,17)="Y"))+((Y274="")*(INDEX(Setup!$M$6:$M$23,17)="Y")))</f>
        <v/>
      </c>
      <c r="AC274" s="90">
        <f>IF($B274="","",IF(AB274=0,"✓ covered","⚠ "&amp;AB274&amp;IF(AB274=1," gap"," gaps")))</f>
        <v/>
      </c>
    </row>
    <row r="275" ht="17" customHeight="1">
      <c r="A275" t="n">
        <v>6</v>
      </c>
      <c r="B275" s="29">
        <f>IF(Setup!$K$23="","",Setup!$K$23)</f>
        <v/>
      </c>
      <c r="C275" s="88" t="n"/>
      <c r="D275" s="88" t="n"/>
      <c r="E275" s="88" t="n"/>
      <c r="F275" s="89" t="n"/>
      <c r="G275" s="88" t="n"/>
      <c r="H275" s="88" t="n"/>
      <c r="I275" s="88" t="n"/>
      <c r="J275" s="89" t="n"/>
      <c r="K275" s="88" t="n"/>
      <c r="L275" s="88" t="n"/>
      <c r="M275" s="88" t="n"/>
      <c r="N275" s="89" t="n"/>
      <c r="O275" s="88" t="n"/>
      <c r="P275" s="88" t="n"/>
      <c r="Q275" s="88" t="n"/>
      <c r="R275" s="89" t="n"/>
      <c r="S275" s="88" t="n"/>
      <c r="T275" s="88" t="n"/>
      <c r="U275" s="88" t="n"/>
      <c r="V275" s="89" t="n"/>
      <c r="W275" s="88" t="n"/>
      <c r="X275" s="89" t="n"/>
      <c r="Y275" s="88" t="n"/>
      <c r="Z275" s="89" t="n"/>
      <c r="AB275" s="30">
        <f>IF($B275="","",(COUNTIF(C275:E275,"?*")&lt;N(INDEX(Setup!$L$6:$L$23,18)))+(COUNTIF(G275:I275,"?*")&lt;N(INDEX(Setup!$L$6:$L$23,18)))+(COUNTIF(K275:M275,"?*")&lt;N(INDEX(Setup!$L$6:$L$23,18)))+(COUNTIF(O275:Q275,"?*")&lt;N(INDEX(Setup!$L$6:$L$23,18)))+(COUNTIF(S275:U275,"?*")&lt;N(INDEX(Setup!$L$6:$L$23,18)))+((W275="")*(INDEX(Setup!$M$6:$M$23,18)="Y"))+((Y275="")*(INDEX(Setup!$M$6:$M$23,18)="Y")))</f>
        <v/>
      </c>
      <c r="AC275" s="91">
        <f>IF($B275="","",IF(AB275=0,"✓ covered","⚠ "&amp;AB275&amp;IF(AB275=1," gap"," gaps")))</f>
        <v/>
      </c>
    </row>
    <row r="276" ht="18" customHeight="1">
      <c r="A276" t="n">
        <v>6</v>
      </c>
      <c r="B276" s="78" t="inlineStr">
        <is>
          <t>TEAM AVAILABILITY</t>
        </is>
      </c>
      <c r="C276" s="92" t="inlineStr">
        <is>
          <t>Mon</t>
        </is>
      </c>
      <c r="D276" s="93" t="n"/>
      <c r="E276" s="93" t="n"/>
      <c r="F276" s="94" t="n"/>
      <c r="G276" s="92" t="inlineStr">
        <is>
          <t>Tue</t>
        </is>
      </c>
      <c r="H276" s="93" t="n"/>
      <c r="I276" s="93" t="n"/>
      <c r="J276" s="94" t="n"/>
      <c r="K276" s="92" t="inlineStr">
        <is>
          <t>Wed</t>
        </is>
      </c>
      <c r="L276" s="93" t="n"/>
      <c r="M276" s="93" t="n"/>
      <c r="N276" s="94" t="n"/>
      <c r="O276" s="92" t="inlineStr">
        <is>
          <t>Thu</t>
        </is>
      </c>
      <c r="P276" s="93" t="n"/>
      <c r="Q276" s="93" t="n"/>
      <c r="R276" s="94" t="n"/>
      <c r="S276" s="92" t="inlineStr">
        <is>
          <t>Fri</t>
        </is>
      </c>
      <c r="T276" s="93" t="n"/>
      <c r="U276" s="93" t="n"/>
      <c r="V276" s="94" t="n"/>
      <c r="W276" s="95" t="inlineStr">
        <is>
          <t>Sat</t>
        </is>
      </c>
      <c r="X276" s="96" t="n"/>
      <c r="Y276" s="95" t="inlineStr">
        <is>
          <t>Sun</t>
        </is>
      </c>
      <c r="Z276" s="96" t="n"/>
      <c r="AB276" s="97" t="inlineStr">
        <is>
          <t>Days rostered</t>
        </is>
      </c>
      <c r="AC276" s="97" t="inlineStr">
        <is>
          <t>Conflicts</t>
        </is>
      </c>
    </row>
    <row r="277" ht="15" customHeight="1">
      <c r="A277" t="n">
        <v>6</v>
      </c>
      <c r="B277" s="35">
        <f>IF(Setup!$B$6="","",Setup!$B$6)</f>
        <v/>
      </c>
      <c r="C277" s="98" t="n"/>
      <c r="D277" s="99" t="n"/>
      <c r="E277" s="99" t="n"/>
      <c r="F277" s="100" t="n"/>
      <c r="G277" s="98" t="n"/>
      <c r="H277" s="99" t="n"/>
      <c r="I277" s="99" t="n"/>
      <c r="J277" s="100" t="n"/>
      <c r="K277" s="98" t="n"/>
      <c r="L277" s="99" t="n"/>
      <c r="M277" s="99" t="n"/>
      <c r="N277" s="100" t="n"/>
      <c r="O277" s="98" t="n"/>
      <c r="P277" s="99" t="n"/>
      <c r="Q277" s="99" t="n"/>
      <c r="R277" s="100" t="n"/>
      <c r="S277" s="98" t="n"/>
      <c r="T277" s="99" t="n"/>
      <c r="U277" s="99" t="n"/>
      <c r="V277" s="100" t="n"/>
      <c r="W277" s="98" t="n"/>
      <c r="X277" s="100" t="n"/>
      <c r="Y277" s="98" t="n"/>
      <c r="Z277" s="100" t="n"/>
      <c r="AB277" s="101">
        <f>IF($B277="","",(COUNTIF(C258:E275,$B277)+COUNTIF(C258:E275,$B277&amp;" ~*")&gt;0)+(COUNTIF(G258:I275,$B277)+COUNTIF(G258:I275,$B277&amp;" ~*")&gt;0)+(COUNTIF(K258:M275,$B277)+COUNTIF(K258:M275,$B277&amp;" ~*")&gt;0)+(COUNTIF(O258:Q275,$B277)+COUNTIF(O258:Q275,$B277&amp;" ~*")&gt;0)+(COUNTIF(S258:U275,$B277)+COUNTIF(S258:U275,$B277&amp;" ~*")&gt;0)+(COUNTIF(W258:W275,$B277)+COUNTIF(W258:W275,$B277&amp;" ~*")&gt;0)+(COUNTIF(Y258:Y275,$B277)+COUNTIF(Y258:Y275,$B277&amp;" ~*")&gt;0))</f>
        <v/>
      </c>
      <c r="AC277" s="36">
        <f>IF($B277="","",(IFERROR(INDEX(Setup!$G$33:$G$40,MATCH(C277,Setup!$B$33:$B$40,0)),0)=1)*(COUNTIF(C258:E275,$B277)+COUNTIF(C258:E275,$B277&amp;" ~*")&gt;0)+(IFERROR(INDEX(Setup!$G$33:$G$40,MATCH(G277,Setup!$B$33:$B$40,0)),0)=1)*(COUNTIF(G258:I275,$B277)+COUNTIF(G258:I275,$B277&amp;" ~*")&gt;0)+(IFERROR(INDEX(Setup!$G$33:$G$40,MATCH(K277,Setup!$B$33:$B$40,0)),0)=1)*(COUNTIF(K258:M275,$B277)+COUNTIF(K258:M275,$B277&amp;" ~*")&gt;0)+(IFERROR(INDEX(Setup!$G$33:$G$40,MATCH(O277,Setup!$B$33:$B$40,0)),0)=1)*(COUNTIF(O258:Q275,$B277)+COUNTIF(O258:Q275,$B277&amp;" ~*")&gt;0)+(IFERROR(INDEX(Setup!$G$33:$G$40,MATCH(S277,Setup!$B$33:$B$40,0)),0)=1)*(COUNTIF(S258:U275,$B277)+COUNTIF(S258:U275,$B277&amp;" ~*")&gt;0)+(IFERROR(INDEX(Setup!$G$33:$G$40,MATCH(W277,Setup!$B$33:$B$40,0)),0)=1)*(COUNTIF(W258:W275,$B277)+COUNTIF(W258:W275,$B277&amp;" ~*")&gt;0)+(IFERROR(INDEX(Setup!$G$33:$G$40,MATCH(Y277,Setup!$B$33:$B$40,0)),0)=1)*(COUNTIF(Y258:Y275,$B277)+COUNTIF(Y258:Y275,$B277&amp;" ~*")&gt;0))</f>
        <v/>
      </c>
    </row>
    <row r="278" ht="15" customHeight="1">
      <c r="A278" t="n">
        <v>6</v>
      </c>
      <c r="B278" s="37">
        <f>IF(Setup!$B$7="","",Setup!$B$7)</f>
        <v/>
      </c>
      <c r="C278" s="102" t="n"/>
      <c r="D278" s="103" t="n"/>
      <c r="E278" s="103" t="n"/>
      <c r="F278" s="104" t="n"/>
      <c r="G278" s="102" t="n"/>
      <c r="H278" s="103" t="n"/>
      <c r="I278" s="103" t="n"/>
      <c r="J278" s="104" t="n"/>
      <c r="K278" s="102" t="n"/>
      <c r="L278" s="103" t="n"/>
      <c r="M278" s="103" t="n"/>
      <c r="N278" s="104" t="n"/>
      <c r="O278" s="102" t="n"/>
      <c r="P278" s="103" t="n"/>
      <c r="Q278" s="103" t="n"/>
      <c r="R278" s="104" t="n"/>
      <c r="S278" s="102" t="n"/>
      <c r="T278" s="103" t="n"/>
      <c r="U278" s="103" t="n"/>
      <c r="V278" s="104" t="n"/>
      <c r="W278" s="102" t="n"/>
      <c r="X278" s="104" t="n"/>
      <c r="Y278" s="102" t="n"/>
      <c r="Z278" s="104" t="n"/>
      <c r="AB278" s="105">
        <f>IF($B278="","",(COUNTIF(C258:E275,$B278)+COUNTIF(C258:E275,$B278&amp;" ~*")&gt;0)+(COUNTIF(G258:I275,$B278)+COUNTIF(G258:I275,$B278&amp;" ~*")&gt;0)+(COUNTIF(K258:M275,$B278)+COUNTIF(K258:M275,$B278&amp;" ~*")&gt;0)+(COUNTIF(O258:Q275,$B278)+COUNTIF(O258:Q275,$B278&amp;" ~*")&gt;0)+(COUNTIF(S258:U275,$B278)+COUNTIF(S258:U275,$B278&amp;" ~*")&gt;0)+(COUNTIF(W258:W275,$B278)+COUNTIF(W258:W275,$B278&amp;" ~*")&gt;0)+(COUNTIF(Y258:Y275,$B278)+COUNTIF(Y258:Y275,$B278&amp;" ~*")&gt;0))</f>
        <v/>
      </c>
      <c r="AC278" s="38">
        <f>IF($B278="","",(IFERROR(INDEX(Setup!$G$33:$G$40,MATCH(C278,Setup!$B$33:$B$40,0)),0)=1)*(COUNTIF(C258:E275,$B278)+COUNTIF(C258:E275,$B278&amp;" ~*")&gt;0)+(IFERROR(INDEX(Setup!$G$33:$G$40,MATCH(G278,Setup!$B$33:$B$40,0)),0)=1)*(COUNTIF(G258:I275,$B278)+COUNTIF(G258:I275,$B278&amp;" ~*")&gt;0)+(IFERROR(INDEX(Setup!$G$33:$G$40,MATCH(K278,Setup!$B$33:$B$40,0)),0)=1)*(COUNTIF(K258:M275,$B278)+COUNTIF(K258:M275,$B278&amp;" ~*")&gt;0)+(IFERROR(INDEX(Setup!$G$33:$G$40,MATCH(O278,Setup!$B$33:$B$40,0)),0)=1)*(COUNTIF(O258:Q275,$B278)+COUNTIF(O258:Q275,$B278&amp;" ~*")&gt;0)+(IFERROR(INDEX(Setup!$G$33:$G$40,MATCH(S278,Setup!$B$33:$B$40,0)),0)=1)*(COUNTIF(S258:U275,$B278)+COUNTIF(S258:U275,$B278&amp;" ~*")&gt;0)+(IFERROR(INDEX(Setup!$G$33:$G$40,MATCH(W278,Setup!$B$33:$B$40,0)),0)=1)*(COUNTIF(W258:W275,$B278)+COUNTIF(W258:W275,$B278&amp;" ~*")&gt;0)+(IFERROR(INDEX(Setup!$G$33:$G$40,MATCH(Y278,Setup!$B$33:$B$40,0)),0)=1)*(COUNTIF(Y258:Y275,$B278)+COUNTIF(Y258:Y275,$B278&amp;" ~*")&gt;0))</f>
        <v/>
      </c>
    </row>
    <row r="279" ht="15" customHeight="1">
      <c r="A279" t="n">
        <v>6</v>
      </c>
      <c r="B279" s="35">
        <f>IF(Setup!$B$8="","",Setup!$B$8)</f>
        <v/>
      </c>
      <c r="C279" s="98" t="n"/>
      <c r="D279" s="99" t="n"/>
      <c r="E279" s="99" t="n"/>
      <c r="F279" s="100" t="n"/>
      <c r="G279" s="98" t="n"/>
      <c r="H279" s="99" t="n"/>
      <c r="I279" s="99" t="n"/>
      <c r="J279" s="100" t="n"/>
      <c r="K279" s="98" t="n"/>
      <c r="L279" s="99" t="n"/>
      <c r="M279" s="99" t="n"/>
      <c r="N279" s="100" t="n"/>
      <c r="O279" s="98" t="n"/>
      <c r="P279" s="99" t="n"/>
      <c r="Q279" s="99" t="n"/>
      <c r="R279" s="100" t="n"/>
      <c r="S279" s="98" t="n"/>
      <c r="T279" s="99" t="n"/>
      <c r="U279" s="99" t="n"/>
      <c r="V279" s="100" t="n"/>
      <c r="W279" s="98" t="n"/>
      <c r="X279" s="100" t="n"/>
      <c r="Y279" s="98" t="n"/>
      <c r="Z279" s="100" t="n"/>
      <c r="AB279" s="101">
        <f>IF($B279="","",(COUNTIF(C258:E275,$B279)+COUNTIF(C258:E275,$B279&amp;" ~*")&gt;0)+(COUNTIF(G258:I275,$B279)+COUNTIF(G258:I275,$B279&amp;" ~*")&gt;0)+(COUNTIF(K258:M275,$B279)+COUNTIF(K258:M275,$B279&amp;" ~*")&gt;0)+(COUNTIF(O258:Q275,$B279)+COUNTIF(O258:Q275,$B279&amp;" ~*")&gt;0)+(COUNTIF(S258:U275,$B279)+COUNTIF(S258:U275,$B279&amp;" ~*")&gt;0)+(COUNTIF(W258:W275,$B279)+COUNTIF(W258:W275,$B279&amp;" ~*")&gt;0)+(COUNTIF(Y258:Y275,$B279)+COUNTIF(Y258:Y275,$B279&amp;" ~*")&gt;0))</f>
        <v/>
      </c>
      <c r="AC279" s="36">
        <f>IF($B279="","",(IFERROR(INDEX(Setup!$G$33:$G$40,MATCH(C279,Setup!$B$33:$B$40,0)),0)=1)*(COUNTIF(C258:E275,$B279)+COUNTIF(C258:E275,$B279&amp;" ~*")&gt;0)+(IFERROR(INDEX(Setup!$G$33:$G$40,MATCH(G279,Setup!$B$33:$B$40,0)),0)=1)*(COUNTIF(G258:I275,$B279)+COUNTIF(G258:I275,$B279&amp;" ~*")&gt;0)+(IFERROR(INDEX(Setup!$G$33:$G$40,MATCH(K279,Setup!$B$33:$B$40,0)),0)=1)*(COUNTIF(K258:M275,$B279)+COUNTIF(K258:M275,$B279&amp;" ~*")&gt;0)+(IFERROR(INDEX(Setup!$G$33:$G$40,MATCH(O279,Setup!$B$33:$B$40,0)),0)=1)*(COUNTIF(O258:Q275,$B279)+COUNTIF(O258:Q275,$B279&amp;" ~*")&gt;0)+(IFERROR(INDEX(Setup!$G$33:$G$40,MATCH(S279,Setup!$B$33:$B$40,0)),0)=1)*(COUNTIF(S258:U275,$B279)+COUNTIF(S258:U275,$B279&amp;" ~*")&gt;0)+(IFERROR(INDEX(Setup!$G$33:$G$40,MATCH(W279,Setup!$B$33:$B$40,0)),0)=1)*(COUNTIF(W258:W275,$B279)+COUNTIF(W258:W275,$B279&amp;" ~*")&gt;0)+(IFERROR(INDEX(Setup!$G$33:$G$40,MATCH(Y279,Setup!$B$33:$B$40,0)),0)=1)*(COUNTIF(Y258:Y275,$B279)+COUNTIF(Y258:Y275,$B279&amp;" ~*")&gt;0))</f>
        <v/>
      </c>
    </row>
    <row r="280" ht="15" customHeight="1">
      <c r="A280" t="n">
        <v>6</v>
      </c>
      <c r="B280" s="37">
        <f>IF(Setup!$B$9="","",Setup!$B$9)</f>
        <v/>
      </c>
      <c r="C280" s="102" t="n"/>
      <c r="D280" s="103" t="n"/>
      <c r="E280" s="103" t="n"/>
      <c r="F280" s="104" t="n"/>
      <c r="G280" s="102" t="n"/>
      <c r="H280" s="103" t="n"/>
      <c r="I280" s="103" t="n"/>
      <c r="J280" s="104" t="n"/>
      <c r="K280" s="102" t="n"/>
      <c r="L280" s="103" t="n"/>
      <c r="M280" s="103" t="n"/>
      <c r="N280" s="104" t="n"/>
      <c r="O280" s="102" t="n"/>
      <c r="P280" s="103" t="n"/>
      <c r="Q280" s="103" t="n"/>
      <c r="R280" s="104" t="n"/>
      <c r="S280" s="102" t="n"/>
      <c r="T280" s="103" t="n"/>
      <c r="U280" s="103" t="n"/>
      <c r="V280" s="104" t="n"/>
      <c r="W280" s="102" t="n"/>
      <c r="X280" s="104" t="n"/>
      <c r="Y280" s="102" t="n"/>
      <c r="Z280" s="104" t="n"/>
      <c r="AB280" s="105">
        <f>IF($B280="","",(COUNTIF(C258:E275,$B280)+COUNTIF(C258:E275,$B280&amp;" ~*")&gt;0)+(COUNTIF(G258:I275,$B280)+COUNTIF(G258:I275,$B280&amp;" ~*")&gt;0)+(COUNTIF(K258:M275,$B280)+COUNTIF(K258:M275,$B280&amp;" ~*")&gt;0)+(COUNTIF(O258:Q275,$B280)+COUNTIF(O258:Q275,$B280&amp;" ~*")&gt;0)+(COUNTIF(S258:U275,$B280)+COUNTIF(S258:U275,$B280&amp;" ~*")&gt;0)+(COUNTIF(W258:W275,$B280)+COUNTIF(W258:W275,$B280&amp;" ~*")&gt;0)+(COUNTIF(Y258:Y275,$B280)+COUNTIF(Y258:Y275,$B280&amp;" ~*")&gt;0))</f>
        <v/>
      </c>
      <c r="AC280" s="38">
        <f>IF($B280="","",(IFERROR(INDEX(Setup!$G$33:$G$40,MATCH(C280,Setup!$B$33:$B$40,0)),0)=1)*(COUNTIF(C258:E275,$B280)+COUNTIF(C258:E275,$B280&amp;" ~*")&gt;0)+(IFERROR(INDEX(Setup!$G$33:$G$40,MATCH(G280,Setup!$B$33:$B$40,0)),0)=1)*(COUNTIF(G258:I275,$B280)+COUNTIF(G258:I275,$B280&amp;" ~*")&gt;0)+(IFERROR(INDEX(Setup!$G$33:$G$40,MATCH(K280,Setup!$B$33:$B$40,0)),0)=1)*(COUNTIF(K258:M275,$B280)+COUNTIF(K258:M275,$B280&amp;" ~*")&gt;0)+(IFERROR(INDEX(Setup!$G$33:$G$40,MATCH(O280,Setup!$B$33:$B$40,0)),0)=1)*(COUNTIF(O258:Q275,$B280)+COUNTIF(O258:Q275,$B280&amp;" ~*")&gt;0)+(IFERROR(INDEX(Setup!$G$33:$G$40,MATCH(S280,Setup!$B$33:$B$40,0)),0)=1)*(COUNTIF(S258:U275,$B280)+COUNTIF(S258:U275,$B280&amp;" ~*")&gt;0)+(IFERROR(INDEX(Setup!$G$33:$G$40,MATCH(W280,Setup!$B$33:$B$40,0)),0)=1)*(COUNTIF(W258:W275,$B280)+COUNTIF(W258:W275,$B280&amp;" ~*")&gt;0)+(IFERROR(INDEX(Setup!$G$33:$G$40,MATCH(Y280,Setup!$B$33:$B$40,0)),0)=1)*(COUNTIF(Y258:Y275,$B280)+COUNTIF(Y258:Y275,$B280&amp;" ~*")&gt;0))</f>
        <v/>
      </c>
    </row>
    <row r="281" ht="15" customHeight="1">
      <c r="A281" t="n">
        <v>6</v>
      </c>
      <c r="B281" s="35">
        <f>IF(Setup!$B$10="","",Setup!$B$10)</f>
        <v/>
      </c>
      <c r="C281" s="98" t="n"/>
      <c r="D281" s="99" t="n"/>
      <c r="E281" s="99" t="n"/>
      <c r="F281" s="100" t="n"/>
      <c r="G281" s="98" t="n"/>
      <c r="H281" s="99" t="n"/>
      <c r="I281" s="99" t="n"/>
      <c r="J281" s="100" t="n"/>
      <c r="K281" s="98" t="n"/>
      <c r="L281" s="99" t="n"/>
      <c r="M281" s="99" t="n"/>
      <c r="N281" s="100" t="n"/>
      <c r="O281" s="98" t="n"/>
      <c r="P281" s="99" t="n"/>
      <c r="Q281" s="99" t="n"/>
      <c r="R281" s="100" t="n"/>
      <c r="S281" s="98" t="n"/>
      <c r="T281" s="99" t="n"/>
      <c r="U281" s="99" t="n"/>
      <c r="V281" s="100" t="n"/>
      <c r="W281" s="98" t="n"/>
      <c r="X281" s="100" t="n"/>
      <c r="Y281" s="98" t="n"/>
      <c r="Z281" s="100" t="n"/>
      <c r="AB281" s="101">
        <f>IF($B281="","",(COUNTIF(C258:E275,$B281)+COUNTIF(C258:E275,$B281&amp;" ~*")&gt;0)+(COUNTIF(G258:I275,$B281)+COUNTIF(G258:I275,$B281&amp;" ~*")&gt;0)+(COUNTIF(K258:M275,$B281)+COUNTIF(K258:M275,$B281&amp;" ~*")&gt;0)+(COUNTIF(O258:Q275,$B281)+COUNTIF(O258:Q275,$B281&amp;" ~*")&gt;0)+(COUNTIF(S258:U275,$B281)+COUNTIF(S258:U275,$B281&amp;" ~*")&gt;0)+(COUNTIF(W258:W275,$B281)+COUNTIF(W258:W275,$B281&amp;" ~*")&gt;0)+(COUNTIF(Y258:Y275,$B281)+COUNTIF(Y258:Y275,$B281&amp;" ~*")&gt;0))</f>
        <v/>
      </c>
      <c r="AC281" s="36">
        <f>IF($B281="","",(IFERROR(INDEX(Setup!$G$33:$G$40,MATCH(C281,Setup!$B$33:$B$40,0)),0)=1)*(COUNTIF(C258:E275,$B281)+COUNTIF(C258:E275,$B281&amp;" ~*")&gt;0)+(IFERROR(INDEX(Setup!$G$33:$G$40,MATCH(G281,Setup!$B$33:$B$40,0)),0)=1)*(COUNTIF(G258:I275,$B281)+COUNTIF(G258:I275,$B281&amp;" ~*")&gt;0)+(IFERROR(INDEX(Setup!$G$33:$G$40,MATCH(K281,Setup!$B$33:$B$40,0)),0)=1)*(COUNTIF(K258:M275,$B281)+COUNTIF(K258:M275,$B281&amp;" ~*")&gt;0)+(IFERROR(INDEX(Setup!$G$33:$G$40,MATCH(O281,Setup!$B$33:$B$40,0)),0)=1)*(COUNTIF(O258:Q275,$B281)+COUNTIF(O258:Q275,$B281&amp;" ~*")&gt;0)+(IFERROR(INDEX(Setup!$G$33:$G$40,MATCH(S281,Setup!$B$33:$B$40,0)),0)=1)*(COUNTIF(S258:U275,$B281)+COUNTIF(S258:U275,$B281&amp;" ~*")&gt;0)+(IFERROR(INDEX(Setup!$G$33:$G$40,MATCH(W281,Setup!$B$33:$B$40,0)),0)=1)*(COUNTIF(W258:W275,$B281)+COUNTIF(W258:W275,$B281&amp;" ~*")&gt;0)+(IFERROR(INDEX(Setup!$G$33:$G$40,MATCH(Y281,Setup!$B$33:$B$40,0)),0)=1)*(COUNTIF(Y258:Y275,$B281)+COUNTIF(Y258:Y275,$B281&amp;" ~*")&gt;0))</f>
        <v/>
      </c>
    </row>
    <row r="282" ht="15" customHeight="1">
      <c r="A282" t="n">
        <v>6</v>
      </c>
      <c r="B282" s="37">
        <f>IF(Setup!$B$11="","",Setup!$B$11)</f>
        <v/>
      </c>
      <c r="C282" s="102" t="n"/>
      <c r="D282" s="103" t="n"/>
      <c r="E282" s="103" t="n"/>
      <c r="F282" s="104" t="n"/>
      <c r="G282" s="102" t="n"/>
      <c r="H282" s="103" t="n"/>
      <c r="I282" s="103" t="n"/>
      <c r="J282" s="104" t="n"/>
      <c r="K282" s="102" t="n"/>
      <c r="L282" s="103" t="n"/>
      <c r="M282" s="103" t="n"/>
      <c r="N282" s="104" t="n"/>
      <c r="O282" s="102" t="n"/>
      <c r="P282" s="103" t="n"/>
      <c r="Q282" s="103" t="n"/>
      <c r="R282" s="104" t="n"/>
      <c r="S282" s="102" t="n"/>
      <c r="T282" s="103" t="n"/>
      <c r="U282" s="103" t="n"/>
      <c r="V282" s="104" t="n"/>
      <c r="W282" s="102" t="n"/>
      <c r="X282" s="104" t="n"/>
      <c r="Y282" s="102" t="n"/>
      <c r="Z282" s="104" t="n"/>
      <c r="AB282" s="105">
        <f>IF($B282="","",(COUNTIF(C258:E275,$B282)+COUNTIF(C258:E275,$B282&amp;" ~*")&gt;0)+(COUNTIF(G258:I275,$B282)+COUNTIF(G258:I275,$B282&amp;" ~*")&gt;0)+(COUNTIF(K258:M275,$B282)+COUNTIF(K258:M275,$B282&amp;" ~*")&gt;0)+(COUNTIF(O258:Q275,$B282)+COUNTIF(O258:Q275,$B282&amp;" ~*")&gt;0)+(COUNTIF(S258:U275,$B282)+COUNTIF(S258:U275,$B282&amp;" ~*")&gt;0)+(COUNTIF(W258:W275,$B282)+COUNTIF(W258:W275,$B282&amp;" ~*")&gt;0)+(COUNTIF(Y258:Y275,$B282)+COUNTIF(Y258:Y275,$B282&amp;" ~*")&gt;0))</f>
        <v/>
      </c>
      <c r="AC282" s="38">
        <f>IF($B282="","",(IFERROR(INDEX(Setup!$G$33:$G$40,MATCH(C282,Setup!$B$33:$B$40,0)),0)=1)*(COUNTIF(C258:E275,$B282)+COUNTIF(C258:E275,$B282&amp;" ~*")&gt;0)+(IFERROR(INDEX(Setup!$G$33:$G$40,MATCH(G282,Setup!$B$33:$B$40,0)),0)=1)*(COUNTIF(G258:I275,$B282)+COUNTIF(G258:I275,$B282&amp;" ~*")&gt;0)+(IFERROR(INDEX(Setup!$G$33:$G$40,MATCH(K282,Setup!$B$33:$B$40,0)),0)=1)*(COUNTIF(K258:M275,$B282)+COUNTIF(K258:M275,$B282&amp;" ~*")&gt;0)+(IFERROR(INDEX(Setup!$G$33:$G$40,MATCH(O282,Setup!$B$33:$B$40,0)),0)=1)*(COUNTIF(O258:Q275,$B282)+COUNTIF(O258:Q275,$B282&amp;" ~*")&gt;0)+(IFERROR(INDEX(Setup!$G$33:$G$40,MATCH(S282,Setup!$B$33:$B$40,0)),0)=1)*(COUNTIF(S258:U275,$B282)+COUNTIF(S258:U275,$B282&amp;" ~*")&gt;0)+(IFERROR(INDEX(Setup!$G$33:$G$40,MATCH(W282,Setup!$B$33:$B$40,0)),0)=1)*(COUNTIF(W258:W275,$B282)+COUNTIF(W258:W275,$B282&amp;" ~*")&gt;0)+(IFERROR(INDEX(Setup!$G$33:$G$40,MATCH(Y282,Setup!$B$33:$B$40,0)),0)=1)*(COUNTIF(Y258:Y275,$B282)+COUNTIF(Y258:Y275,$B282&amp;" ~*")&gt;0))</f>
        <v/>
      </c>
    </row>
    <row r="283" ht="15" customHeight="1">
      <c r="A283" t="n">
        <v>6</v>
      </c>
      <c r="B283" s="35">
        <f>IF(Setup!$B$12="","",Setup!$B$12)</f>
        <v/>
      </c>
      <c r="C283" s="98" t="n"/>
      <c r="D283" s="99" t="n"/>
      <c r="E283" s="99" t="n"/>
      <c r="F283" s="100" t="n"/>
      <c r="G283" s="98" t="n"/>
      <c r="H283" s="99" t="n"/>
      <c r="I283" s="99" t="n"/>
      <c r="J283" s="100" t="n"/>
      <c r="K283" s="98" t="n"/>
      <c r="L283" s="99" t="n"/>
      <c r="M283" s="99" t="n"/>
      <c r="N283" s="100" t="n"/>
      <c r="O283" s="98" t="n"/>
      <c r="P283" s="99" t="n"/>
      <c r="Q283" s="99" t="n"/>
      <c r="R283" s="100" t="n"/>
      <c r="S283" s="98" t="n"/>
      <c r="T283" s="99" t="n"/>
      <c r="U283" s="99" t="n"/>
      <c r="V283" s="100" t="n"/>
      <c r="W283" s="98" t="n"/>
      <c r="X283" s="100" t="n"/>
      <c r="Y283" s="98" t="n"/>
      <c r="Z283" s="100" t="n"/>
      <c r="AB283" s="101">
        <f>IF($B283="","",(COUNTIF(C258:E275,$B283)+COUNTIF(C258:E275,$B283&amp;" ~*")&gt;0)+(COUNTIF(G258:I275,$B283)+COUNTIF(G258:I275,$B283&amp;" ~*")&gt;0)+(COUNTIF(K258:M275,$B283)+COUNTIF(K258:M275,$B283&amp;" ~*")&gt;0)+(COUNTIF(O258:Q275,$B283)+COUNTIF(O258:Q275,$B283&amp;" ~*")&gt;0)+(COUNTIF(S258:U275,$B283)+COUNTIF(S258:U275,$B283&amp;" ~*")&gt;0)+(COUNTIF(W258:W275,$B283)+COUNTIF(W258:W275,$B283&amp;" ~*")&gt;0)+(COUNTIF(Y258:Y275,$B283)+COUNTIF(Y258:Y275,$B283&amp;" ~*")&gt;0))</f>
        <v/>
      </c>
      <c r="AC283" s="36">
        <f>IF($B283="","",(IFERROR(INDEX(Setup!$G$33:$G$40,MATCH(C283,Setup!$B$33:$B$40,0)),0)=1)*(COUNTIF(C258:E275,$B283)+COUNTIF(C258:E275,$B283&amp;" ~*")&gt;0)+(IFERROR(INDEX(Setup!$G$33:$G$40,MATCH(G283,Setup!$B$33:$B$40,0)),0)=1)*(COUNTIF(G258:I275,$B283)+COUNTIF(G258:I275,$B283&amp;" ~*")&gt;0)+(IFERROR(INDEX(Setup!$G$33:$G$40,MATCH(K283,Setup!$B$33:$B$40,0)),0)=1)*(COUNTIF(K258:M275,$B283)+COUNTIF(K258:M275,$B283&amp;" ~*")&gt;0)+(IFERROR(INDEX(Setup!$G$33:$G$40,MATCH(O283,Setup!$B$33:$B$40,0)),0)=1)*(COUNTIF(O258:Q275,$B283)+COUNTIF(O258:Q275,$B283&amp;" ~*")&gt;0)+(IFERROR(INDEX(Setup!$G$33:$G$40,MATCH(S283,Setup!$B$33:$B$40,0)),0)=1)*(COUNTIF(S258:U275,$B283)+COUNTIF(S258:U275,$B283&amp;" ~*")&gt;0)+(IFERROR(INDEX(Setup!$G$33:$G$40,MATCH(W283,Setup!$B$33:$B$40,0)),0)=1)*(COUNTIF(W258:W275,$B283)+COUNTIF(W258:W275,$B283&amp;" ~*")&gt;0)+(IFERROR(INDEX(Setup!$G$33:$G$40,MATCH(Y283,Setup!$B$33:$B$40,0)),0)=1)*(COUNTIF(Y258:Y275,$B283)+COUNTIF(Y258:Y275,$B283&amp;" ~*")&gt;0))</f>
        <v/>
      </c>
    </row>
    <row r="284" ht="15" customHeight="1">
      <c r="A284" t="n">
        <v>6</v>
      </c>
      <c r="B284" s="37">
        <f>IF(Setup!$B$13="","",Setup!$B$13)</f>
        <v/>
      </c>
      <c r="C284" s="102" t="n"/>
      <c r="D284" s="103" t="n"/>
      <c r="E284" s="103" t="n"/>
      <c r="F284" s="104" t="n"/>
      <c r="G284" s="102" t="n"/>
      <c r="H284" s="103" t="n"/>
      <c r="I284" s="103" t="n"/>
      <c r="J284" s="104" t="n"/>
      <c r="K284" s="102" t="n"/>
      <c r="L284" s="103" t="n"/>
      <c r="M284" s="103" t="n"/>
      <c r="N284" s="104" t="n"/>
      <c r="O284" s="102" t="n"/>
      <c r="P284" s="103" t="n"/>
      <c r="Q284" s="103" t="n"/>
      <c r="R284" s="104" t="n"/>
      <c r="S284" s="102" t="n"/>
      <c r="T284" s="103" t="n"/>
      <c r="U284" s="103" t="n"/>
      <c r="V284" s="104" t="n"/>
      <c r="W284" s="102" t="n"/>
      <c r="X284" s="104" t="n"/>
      <c r="Y284" s="102" t="n"/>
      <c r="Z284" s="104" t="n"/>
      <c r="AB284" s="105">
        <f>IF($B284="","",(COUNTIF(C258:E275,$B284)+COUNTIF(C258:E275,$B284&amp;" ~*")&gt;0)+(COUNTIF(G258:I275,$B284)+COUNTIF(G258:I275,$B284&amp;" ~*")&gt;0)+(COUNTIF(K258:M275,$B284)+COUNTIF(K258:M275,$B284&amp;" ~*")&gt;0)+(COUNTIF(O258:Q275,$B284)+COUNTIF(O258:Q275,$B284&amp;" ~*")&gt;0)+(COUNTIF(S258:U275,$B284)+COUNTIF(S258:U275,$B284&amp;" ~*")&gt;0)+(COUNTIF(W258:W275,$B284)+COUNTIF(W258:W275,$B284&amp;" ~*")&gt;0)+(COUNTIF(Y258:Y275,$B284)+COUNTIF(Y258:Y275,$B284&amp;" ~*")&gt;0))</f>
        <v/>
      </c>
      <c r="AC284" s="38">
        <f>IF($B284="","",(IFERROR(INDEX(Setup!$G$33:$G$40,MATCH(C284,Setup!$B$33:$B$40,0)),0)=1)*(COUNTIF(C258:E275,$B284)+COUNTIF(C258:E275,$B284&amp;" ~*")&gt;0)+(IFERROR(INDEX(Setup!$G$33:$G$40,MATCH(G284,Setup!$B$33:$B$40,0)),0)=1)*(COUNTIF(G258:I275,$B284)+COUNTIF(G258:I275,$B284&amp;" ~*")&gt;0)+(IFERROR(INDEX(Setup!$G$33:$G$40,MATCH(K284,Setup!$B$33:$B$40,0)),0)=1)*(COUNTIF(K258:M275,$B284)+COUNTIF(K258:M275,$B284&amp;" ~*")&gt;0)+(IFERROR(INDEX(Setup!$G$33:$G$40,MATCH(O284,Setup!$B$33:$B$40,0)),0)=1)*(COUNTIF(O258:Q275,$B284)+COUNTIF(O258:Q275,$B284&amp;" ~*")&gt;0)+(IFERROR(INDEX(Setup!$G$33:$G$40,MATCH(S284,Setup!$B$33:$B$40,0)),0)=1)*(COUNTIF(S258:U275,$B284)+COUNTIF(S258:U275,$B284&amp;" ~*")&gt;0)+(IFERROR(INDEX(Setup!$G$33:$G$40,MATCH(W284,Setup!$B$33:$B$40,0)),0)=1)*(COUNTIF(W258:W275,$B284)+COUNTIF(W258:W275,$B284&amp;" ~*")&gt;0)+(IFERROR(INDEX(Setup!$G$33:$G$40,MATCH(Y284,Setup!$B$33:$B$40,0)),0)=1)*(COUNTIF(Y258:Y275,$B284)+COUNTIF(Y258:Y275,$B284&amp;" ~*")&gt;0))</f>
        <v/>
      </c>
    </row>
    <row r="285" ht="15" customHeight="1">
      <c r="A285" t="n">
        <v>6</v>
      </c>
      <c r="B285" s="35">
        <f>IF(Setup!$B$14="","",Setup!$B$14)</f>
        <v/>
      </c>
      <c r="C285" s="98" t="n"/>
      <c r="D285" s="99" t="n"/>
      <c r="E285" s="99" t="n"/>
      <c r="F285" s="100" t="n"/>
      <c r="G285" s="98" t="n"/>
      <c r="H285" s="99" t="n"/>
      <c r="I285" s="99" t="n"/>
      <c r="J285" s="100" t="n"/>
      <c r="K285" s="98" t="n"/>
      <c r="L285" s="99" t="n"/>
      <c r="M285" s="99" t="n"/>
      <c r="N285" s="100" t="n"/>
      <c r="O285" s="98" t="n"/>
      <c r="P285" s="99" t="n"/>
      <c r="Q285" s="99" t="n"/>
      <c r="R285" s="100" t="n"/>
      <c r="S285" s="98" t="n"/>
      <c r="T285" s="99" t="n"/>
      <c r="U285" s="99" t="n"/>
      <c r="V285" s="100" t="n"/>
      <c r="W285" s="98" t="n"/>
      <c r="X285" s="100" t="n"/>
      <c r="Y285" s="98" t="n"/>
      <c r="Z285" s="100" t="n"/>
      <c r="AB285" s="101">
        <f>IF($B285="","",(COUNTIF(C258:E275,$B285)+COUNTIF(C258:E275,$B285&amp;" ~*")&gt;0)+(COUNTIF(G258:I275,$B285)+COUNTIF(G258:I275,$B285&amp;" ~*")&gt;0)+(COUNTIF(K258:M275,$B285)+COUNTIF(K258:M275,$B285&amp;" ~*")&gt;0)+(COUNTIF(O258:Q275,$B285)+COUNTIF(O258:Q275,$B285&amp;" ~*")&gt;0)+(COUNTIF(S258:U275,$B285)+COUNTIF(S258:U275,$B285&amp;" ~*")&gt;0)+(COUNTIF(W258:W275,$B285)+COUNTIF(W258:W275,$B285&amp;" ~*")&gt;0)+(COUNTIF(Y258:Y275,$B285)+COUNTIF(Y258:Y275,$B285&amp;" ~*")&gt;0))</f>
        <v/>
      </c>
      <c r="AC285" s="36">
        <f>IF($B285="","",(IFERROR(INDEX(Setup!$G$33:$G$40,MATCH(C285,Setup!$B$33:$B$40,0)),0)=1)*(COUNTIF(C258:E275,$B285)+COUNTIF(C258:E275,$B285&amp;" ~*")&gt;0)+(IFERROR(INDEX(Setup!$G$33:$G$40,MATCH(G285,Setup!$B$33:$B$40,0)),0)=1)*(COUNTIF(G258:I275,$B285)+COUNTIF(G258:I275,$B285&amp;" ~*")&gt;0)+(IFERROR(INDEX(Setup!$G$33:$G$40,MATCH(K285,Setup!$B$33:$B$40,0)),0)=1)*(COUNTIF(K258:M275,$B285)+COUNTIF(K258:M275,$B285&amp;" ~*")&gt;0)+(IFERROR(INDEX(Setup!$G$33:$G$40,MATCH(O285,Setup!$B$33:$B$40,0)),0)=1)*(COUNTIF(O258:Q275,$B285)+COUNTIF(O258:Q275,$B285&amp;" ~*")&gt;0)+(IFERROR(INDEX(Setup!$G$33:$G$40,MATCH(S285,Setup!$B$33:$B$40,0)),0)=1)*(COUNTIF(S258:U275,$B285)+COUNTIF(S258:U275,$B285&amp;" ~*")&gt;0)+(IFERROR(INDEX(Setup!$G$33:$G$40,MATCH(W285,Setup!$B$33:$B$40,0)),0)=1)*(COUNTIF(W258:W275,$B285)+COUNTIF(W258:W275,$B285&amp;" ~*")&gt;0)+(IFERROR(INDEX(Setup!$G$33:$G$40,MATCH(Y285,Setup!$B$33:$B$40,0)),0)=1)*(COUNTIF(Y258:Y275,$B285)+COUNTIF(Y258:Y275,$B285&amp;" ~*")&gt;0))</f>
        <v/>
      </c>
    </row>
    <row r="286" ht="15" customHeight="1">
      <c r="A286" t="n">
        <v>6</v>
      </c>
      <c r="B286" s="37">
        <f>IF(Setup!$B$15="","",Setup!$B$15)</f>
        <v/>
      </c>
      <c r="C286" s="102" t="n"/>
      <c r="D286" s="103" t="n"/>
      <c r="E286" s="103" t="n"/>
      <c r="F286" s="104" t="n"/>
      <c r="G286" s="102" t="n"/>
      <c r="H286" s="103" t="n"/>
      <c r="I286" s="103" t="n"/>
      <c r="J286" s="104" t="n"/>
      <c r="K286" s="102" t="n"/>
      <c r="L286" s="103" t="n"/>
      <c r="M286" s="103" t="n"/>
      <c r="N286" s="104" t="n"/>
      <c r="O286" s="102" t="n"/>
      <c r="P286" s="103" t="n"/>
      <c r="Q286" s="103" t="n"/>
      <c r="R286" s="104" t="n"/>
      <c r="S286" s="102" t="n"/>
      <c r="T286" s="103" t="n"/>
      <c r="U286" s="103" t="n"/>
      <c r="V286" s="104" t="n"/>
      <c r="W286" s="102" t="n"/>
      <c r="X286" s="104" t="n"/>
      <c r="Y286" s="102" t="n"/>
      <c r="Z286" s="104" t="n"/>
      <c r="AB286" s="105">
        <f>IF($B286="","",(COUNTIF(C258:E275,$B286)+COUNTIF(C258:E275,$B286&amp;" ~*")&gt;0)+(COUNTIF(G258:I275,$B286)+COUNTIF(G258:I275,$B286&amp;" ~*")&gt;0)+(COUNTIF(K258:M275,$B286)+COUNTIF(K258:M275,$B286&amp;" ~*")&gt;0)+(COUNTIF(O258:Q275,$B286)+COUNTIF(O258:Q275,$B286&amp;" ~*")&gt;0)+(COUNTIF(S258:U275,$B286)+COUNTIF(S258:U275,$B286&amp;" ~*")&gt;0)+(COUNTIF(W258:W275,$B286)+COUNTIF(W258:W275,$B286&amp;" ~*")&gt;0)+(COUNTIF(Y258:Y275,$B286)+COUNTIF(Y258:Y275,$B286&amp;" ~*")&gt;0))</f>
        <v/>
      </c>
      <c r="AC286" s="38">
        <f>IF($B286="","",(IFERROR(INDEX(Setup!$G$33:$G$40,MATCH(C286,Setup!$B$33:$B$40,0)),0)=1)*(COUNTIF(C258:E275,$B286)+COUNTIF(C258:E275,$B286&amp;" ~*")&gt;0)+(IFERROR(INDEX(Setup!$G$33:$G$40,MATCH(G286,Setup!$B$33:$B$40,0)),0)=1)*(COUNTIF(G258:I275,$B286)+COUNTIF(G258:I275,$B286&amp;" ~*")&gt;0)+(IFERROR(INDEX(Setup!$G$33:$G$40,MATCH(K286,Setup!$B$33:$B$40,0)),0)=1)*(COUNTIF(K258:M275,$B286)+COUNTIF(K258:M275,$B286&amp;" ~*")&gt;0)+(IFERROR(INDEX(Setup!$G$33:$G$40,MATCH(O286,Setup!$B$33:$B$40,0)),0)=1)*(COUNTIF(O258:Q275,$B286)+COUNTIF(O258:Q275,$B286&amp;" ~*")&gt;0)+(IFERROR(INDEX(Setup!$G$33:$G$40,MATCH(S286,Setup!$B$33:$B$40,0)),0)=1)*(COUNTIF(S258:U275,$B286)+COUNTIF(S258:U275,$B286&amp;" ~*")&gt;0)+(IFERROR(INDEX(Setup!$G$33:$G$40,MATCH(W286,Setup!$B$33:$B$40,0)),0)=1)*(COUNTIF(W258:W275,$B286)+COUNTIF(W258:W275,$B286&amp;" ~*")&gt;0)+(IFERROR(INDEX(Setup!$G$33:$G$40,MATCH(Y286,Setup!$B$33:$B$40,0)),0)=1)*(COUNTIF(Y258:Y275,$B286)+COUNTIF(Y258:Y275,$B286&amp;" ~*")&gt;0))</f>
        <v/>
      </c>
    </row>
    <row r="287" ht="15" customHeight="1">
      <c r="A287" t="n">
        <v>6</v>
      </c>
      <c r="B287" s="35">
        <f>IF(Setup!$B$16="","",Setup!$B$16)</f>
        <v/>
      </c>
      <c r="C287" s="98" t="n"/>
      <c r="D287" s="99" t="n"/>
      <c r="E287" s="99" t="n"/>
      <c r="F287" s="100" t="n"/>
      <c r="G287" s="98" t="n"/>
      <c r="H287" s="99" t="n"/>
      <c r="I287" s="99" t="n"/>
      <c r="J287" s="100" t="n"/>
      <c r="K287" s="98" t="n"/>
      <c r="L287" s="99" t="n"/>
      <c r="M287" s="99" t="n"/>
      <c r="N287" s="100" t="n"/>
      <c r="O287" s="98" t="n"/>
      <c r="P287" s="99" t="n"/>
      <c r="Q287" s="99" t="n"/>
      <c r="R287" s="100" t="n"/>
      <c r="S287" s="98" t="n"/>
      <c r="T287" s="99" t="n"/>
      <c r="U287" s="99" t="n"/>
      <c r="V287" s="100" t="n"/>
      <c r="W287" s="98" t="n"/>
      <c r="X287" s="100" t="n"/>
      <c r="Y287" s="98" t="n"/>
      <c r="Z287" s="100" t="n"/>
      <c r="AB287" s="101">
        <f>IF($B287="","",(COUNTIF(C258:E275,$B287)+COUNTIF(C258:E275,$B287&amp;" ~*")&gt;0)+(COUNTIF(G258:I275,$B287)+COUNTIF(G258:I275,$B287&amp;" ~*")&gt;0)+(COUNTIF(K258:M275,$B287)+COUNTIF(K258:M275,$B287&amp;" ~*")&gt;0)+(COUNTIF(O258:Q275,$B287)+COUNTIF(O258:Q275,$B287&amp;" ~*")&gt;0)+(COUNTIF(S258:U275,$B287)+COUNTIF(S258:U275,$B287&amp;" ~*")&gt;0)+(COUNTIF(W258:W275,$B287)+COUNTIF(W258:W275,$B287&amp;" ~*")&gt;0)+(COUNTIF(Y258:Y275,$B287)+COUNTIF(Y258:Y275,$B287&amp;" ~*")&gt;0))</f>
        <v/>
      </c>
      <c r="AC287" s="36">
        <f>IF($B287="","",(IFERROR(INDEX(Setup!$G$33:$G$40,MATCH(C287,Setup!$B$33:$B$40,0)),0)=1)*(COUNTIF(C258:E275,$B287)+COUNTIF(C258:E275,$B287&amp;" ~*")&gt;0)+(IFERROR(INDEX(Setup!$G$33:$G$40,MATCH(G287,Setup!$B$33:$B$40,0)),0)=1)*(COUNTIF(G258:I275,$B287)+COUNTIF(G258:I275,$B287&amp;" ~*")&gt;0)+(IFERROR(INDEX(Setup!$G$33:$G$40,MATCH(K287,Setup!$B$33:$B$40,0)),0)=1)*(COUNTIF(K258:M275,$B287)+COUNTIF(K258:M275,$B287&amp;" ~*")&gt;0)+(IFERROR(INDEX(Setup!$G$33:$G$40,MATCH(O287,Setup!$B$33:$B$40,0)),0)=1)*(COUNTIF(O258:Q275,$B287)+COUNTIF(O258:Q275,$B287&amp;" ~*")&gt;0)+(IFERROR(INDEX(Setup!$G$33:$G$40,MATCH(S287,Setup!$B$33:$B$40,0)),0)=1)*(COUNTIF(S258:U275,$B287)+COUNTIF(S258:U275,$B287&amp;" ~*")&gt;0)+(IFERROR(INDEX(Setup!$G$33:$G$40,MATCH(W287,Setup!$B$33:$B$40,0)),0)=1)*(COUNTIF(W258:W275,$B287)+COUNTIF(W258:W275,$B287&amp;" ~*")&gt;0)+(IFERROR(INDEX(Setup!$G$33:$G$40,MATCH(Y287,Setup!$B$33:$B$40,0)),0)=1)*(COUNTIF(Y258:Y275,$B287)+COUNTIF(Y258:Y275,$B287&amp;" ~*")&gt;0))</f>
        <v/>
      </c>
    </row>
    <row r="288" ht="15" customHeight="1">
      <c r="A288" t="n">
        <v>6</v>
      </c>
      <c r="B288" s="37">
        <f>IF(Setup!$B$17="","",Setup!$B$17)</f>
        <v/>
      </c>
      <c r="C288" s="102" t="n"/>
      <c r="D288" s="103" t="n"/>
      <c r="E288" s="103" t="n"/>
      <c r="F288" s="104" t="n"/>
      <c r="G288" s="102" t="n"/>
      <c r="H288" s="103" t="n"/>
      <c r="I288" s="103" t="n"/>
      <c r="J288" s="104" t="n"/>
      <c r="K288" s="102" t="n"/>
      <c r="L288" s="103" t="n"/>
      <c r="M288" s="103" t="n"/>
      <c r="N288" s="104" t="n"/>
      <c r="O288" s="102" t="n"/>
      <c r="P288" s="103" t="n"/>
      <c r="Q288" s="103" t="n"/>
      <c r="R288" s="104" t="n"/>
      <c r="S288" s="102" t="n"/>
      <c r="T288" s="103" t="n"/>
      <c r="U288" s="103" t="n"/>
      <c r="V288" s="104" t="n"/>
      <c r="W288" s="102" t="n"/>
      <c r="X288" s="104" t="n"/>
      <c r="Y288" s="102" t="n"/>
      <c r="Z288" s="104" t="n"/>
      <c r="AB288" s="105">
        <f>IF($B288="","",(COUNTIF(C258:E275,$B288)+COUNTIF(C258:E275,$B288&amp;" ~*")&gt;0)+(COUNTIF(G258:I275,$B288)+COUNTIF(G258:I275,$B288&amp;" ~*")&gt;0)+(COUNTIF(K258:M275,$B288)+COUNTIF(K258:M275,$B288&amp;" ~*")&gt;0)+(COUNTIF(O258:Q275,$B288)+COUNTIF(O258:Q275,$B288&amp;" ~*")&gt;0)+(COUNTIF(S258:U275,$B288)+COUNTIF(S258:U275,$B288&amp;" ~*")&gt;0)+(COUNTIF(W258:W275,$B288)+COUNTIF(W258:W275,$B288&amp;" ~*")&gt;0)+(COUNTIF(Y258:Y275,$B288)+COUNTIF(Y258:Y275,$B288&amp;" ~*")&gt;0))</f>
        <v/>
      </c>
      <c r="AC288" s="38">
        <f>IF($B288="","",(IFERROR(INDEX(Setup!$G$33:$G$40,MATCH(C288,Setup!$B$33:$B$40,0)),0)=1)*(COUNTIF(C258:E275,$B288)+COUNTIF(C258:E275,$B288&amp;" ~*")&gt;0)+(IFERROR(INDEX(Setup!$G$33:$G$40,MATCH(G288,Setup!$B$33:$B$40,0)),0)=1)*(COUNTIF(G258:I275,$B288)+COUNTIF(G258:I275,$B288&amp;" ~*")&gt;0)+(IFERROR(INDEX(Setup!$G$33:$G$40,MATCH(K288,Setup!$B$33:$B$40,0)),0)=1)*(COUNTIF(K258:M275,$B288)+COUNTIF(K258:M275,$B288&amp;" ~*")&gt;0)+(IFERROR(INDEX(Setup!$G$33:$G$40,MATCH(O288,Setup!$B$33:$B$40,0)),0)=1)*(COUNTIF(O258:Q275,$B288)+COUNTIF(O258:Q275,$B288&amp;" ~*")&gt;0)+(IFERROR(INDEX(Setup!$G$33:$G$40,MATCH(S288,Setup!$B$33:$B$40,0)),0)=1)*(COUNTIF(S258:U275,$B288)+COUNTIF(S258:U275,$B288&amp;" ~*")&gt;0)+(IFERROR(INDEX(Setup!$G$33:$G$40,MATCH(W288,Setup!$B$33:$B$40,0)),0)=1)*(COUNTIF(W258:W275,$B288)+COUNTIF(W258:W275,$B288&amp;" ~*")&gt;0)+(IFERROR(INDEX(Setup!$G$33:$G$40,MATCH(Y288,Setup!$B$33:$B$40,0)),0)=1)*(COUNTIF(Y258:Y275,$B288)+COUNTIF(Y258:Y275,$B288&amp;" ~*")&gt;0))</f>
        <v/>
      </c>
    </row>
    <row r="289" ht="15" customHeight="1">
      <c r="A289" t="n">
        <v>6</v>
      </c>
      <c r="B289" s="35">
        <f>IF(Setup!$B$18="","",Setup!$B$18)</f>
        <v/>
      </c>
      <c r="C289" s="98" t="n"/>
      <c r="D289" s="99" t="n"/>
      <c r="E289" s="99" t="n"/>
      <c r="F289" s="100" t="n"/>
      <c r="G289" s="98" t="n"/>
      <c r="H289" s="99" t="n"/>
      <c r="I289" s="99" t="n"/>
      <c r="J289" s="100" t="n"/>
      <c r="K289" s="98" t="n"/>
      <c r="L289" s="99" t="n"/>
      <c r="M289" s="99" t="n"/>
      <c r="N289" s="100" t="n"/>
      <c r="O289" s="98" t="n"/>
      <c r="P289" s="99" t="n"/>
      <c r="Q289" s="99" t="n"/>
      <c r="R289" s="100" t="n"/>
      <c r="S289" s="98" t="n"/>
      <c r="T289" s="99" t="n"/>
      <c r="U289" s="99" t="n"/>
      <c r="V289" s="100" t="n"/>
      <c r="W289" s="98" t="n"/>
      <c r="X289" s="100" t="n"/>
      <c r="Y289" s="98" t="n"/>
      <c r="Z289" s="100" t="n"/>
      <c r="AB289" s="101">
        <f>IF($B289="","",(COUNTIF(C258:E275,$B289)+COUNTIF(C258:E275,$B289&amp;" ~*")&gt;0)+(COUNTIF(G258:I275,$B289)+COUNTIF(G258:I275,$B289&amp;" ~*")&gt;0)+(COUNTIF(K258:M275,$B289)+COUNTIF(K258:M275,$B289&amp;" ~*")&gt;0)+(COUNTIF(O258:Q275,$B289)+COUNTIF(O258:Q275,$B289&amp;" ~*")&gt;0)+(COUNTIF(S258:U275,$B289)+COUNTIF(S258:U275,$B289&amp;" ~*")&gt;0)+(COUNTIF(W258:W275,$B289)+COUNTIF(W258:W275,$B289&amp;" ~*")&gt;0)+(COUNTIF(Y258:Y275,$B289)+COUNTIF(Y258:Y275,$B289&amp;" ~*")&gt;0))</f>
        <v/>
      </c>
      <c r="AC289" s="36">
        <f>IF($B289="","",(IFERROR(INDEX(Setup!$G$33:$G$40,MATCH(C289,Setup!$B$33:$B$40,0)),0)=1)*(COUNTIF(C258:E275,$B289)+COUNTIF(C258:E275,$B289&amp;" ~*")&gt;0)+(IFERROR(INDEX(Setup!$G$33:$G$40,MATCH(G289,Setup!$B$33:$B$40,0)),0)=1)*(COUNTIF(G258:I275,$B289)+COUNTIF(G258:I275,$B289&amp;" ~*")&gt;0)+(IFERROR(INDEX(Setup!$G$33:$G$40,MATCH(K289,Setup!$B$33:$B$40,0)),0)=1)*(COUNTIF(K258:M275,$B289)+COUNTIF(K258:M275,$B289&amp;" ~*")&gt;0)+(IFERROR(INDEX(Setup!$G$33:$G$40,MATCH(O289,Setup!$B$33:$B$40,0)),0)=1)*(COUNTIF(O258:Q275,$B289)+COUNTIF(O258:Q275,$B289&amp;" ~*")&gt;0)+(IFERROR(INDEX(Setup!$G$33:$G$40,MATCH(S289,Setup!$B$33:$B$40,0)),0)=1)*(COUNTIF(S258:U275,$B289)+COUNTIF(S258:U275,$B289&amp;" ~*")&gt;0)+(IFERROR(INDEX(Setup!$G$33:$G$40,MATCH(W289,Setup!$B$33:$B$40,0)),0)=1)*(COUNTIF(W258:W275,$B289)+COUNTIF(W258:W275,$B289&amp;" ~*")&gt;0)+(IFERROR(INDEX(Setup!$G$33:$G$40,MATCH(Y289,Setup!$B$33:$B$40,0)),0)=1)*(COUNTIF(Y258:Y275,$B289)+COUNTIF(Y258:Y275,$B289&amp;" ~*")&gt;0))</f>
        <v/>
      </c>
    </row>
    <row r="290" ht="15" customHeight="1">
      <c r="A290" t="n">
        <v>6</v>
      </c>
      <c r="B290" s="37">
        <f>IF(Setup!$B$19="","",Setup!$B$19)</f>
        <v/>
      </c>
      <c r="C290" s="102" t="n"/>
      <c r="D290" s="103" t="n"/>
      <c r="E290" s="103" t="n"/>
      <c r="F290" s="104" t="n"/>
      <c r="G290" s="102" t="n"/>
      <c r="H290" s="103" t="n"/>
      <c r="I290" s="103" t="n"/>
      <c r="J290" s="104" t="n"/>
      <c r="K290" s="102" t="n"/>
      <c r="L290" s="103" t="n"/>
      <c r="M290" s="103" t="n"/>
      <c r="N290" s="104" t="n"/>
      <c r="O290" s="102" t="n"/>
      <c r="P290" s="103" t="n"/>
      <c r="Q290" s="103" t="n"/>
      <c r="R290" s="104" t="n"/>
      <c r="S290" s="102" t="n"/>
      <c r="T290" s="103" t="n"/>
      <c r="U290" s="103" t="n"/>
      <c r="V290" s="104" t="n"/>
      <c r="W290" s="102" t="n"/>
      <c r="X290" s="104" t="n"/>
      <c r="Y290" s="102" t="n"/>
      <c r="Z290" s="104" t="n"/>
      <c r="AB290" s="105">
        <f>IF($B290="","",(COUNTIF(C258:E275,$B290)+COUNTIF(C258:E275,$B290&amp;" ~*")&gt;0)+(COUNTIF(G258:I275,$B290)+COUNTIF(G258:I275,$B290&amp;" ~*")&gt;0)+(COUNTIF(K258:M275,$B290)+COUNTIF(K258:M275,$B290&amp;" ~*")&gt;0)+(COUNTIF(O258:Q275,$B290)+COUNTIF(O258:Q275,$B290&amp;" ~*")&gt;0)+(COUNTIF(S258:U275,$B290)+COUNTIF(S258:U275,$B290&amp;" ~*")&gt;0)+(COUNTIF(W258:W275,$B290)+COUNTIF(W258:W275,$B290&amp;" ~*")&gt;0)+(COUNTIF(Y258:Y275,$B290)+COUNTIF(Y258:Y275,$B290&amp;" ~*")&gt;0))</f>
        <v/>
      </c>
      <c r="AC290" s="38">
        <f>IF($B290="","",(IFERROR(INDEX(Setup!$G$33:$G$40,MATCH(C290,Setup!$B$33:$B$40,0)),0)=1)*(COUNTIF(C258:E275,$B290)+COUNTIF(C258:E275,$B290&amp;" ~*")&gt;0)+(IFERROR(INDEX(Setup!$G$33:$G$40,MATCH(G290,Setup!$B$33:$B$40,0)),0)=1)*(COUNTIF(G258:I275,$B290)+COUNTIF(G258:I275,$B290&amp;" ~*")&gt;0)+(IFERROR(INDEX(Setup!$G$33:$G$40,MATCH(K290,Setup!$B$33:$B$40,0)),0)=1)*(COUNTIF(K258:M275,$B290)+COUNTIF(K258:M275,$B290&amp;" ~*")&gt;0)+(IFERROR(INDEX(Setup!$G$33:$G$40,MATCH(O290,Setup!$B$33:$B$40,0)),0)=1)*(COUNTIF(O258:Q275,$B290)+COUNTIF(O258:Q275,$B290&amp;" ~*")&gt;0)+(IFERROR(INDEX(Setup!$G$33:$G$40,MATCH(S290,Setup!$B$33:$B$40,0)),0)=1)*(COUNTIF(S258:U275,$B290)+COUNTIF(S258:U275,$B290&amp;" ~*")&gt;0)+(IFERROR(INDEX(Setup!$G$33:$G$40,MATCH(W290,Setup!$B$33:$B$40,0)),0)=1)*(COUNTIF(W258:W275,$B290)+COUNTIF(W258:W275,$B290&amp;" ~*")&gt;0)+(IFERROR(INDEX(Setup!$G$33:$G$40,MATCH(Y290,Setup!$B$33:$B$40,0)),0)=1)*(COUNTIF(Y258:Y275,$B290)+COUNTIF(Y258:Y275,$B290&amp;" ~*")&gt;0))</f>
        <v/>
      </c>
    </row>
    <row r="291" ht="15" customHeight="1">
      <c r="A291" t="n">
        <v>6</v>
      </c>
      <c r="B291" s="35">
        <f>IF(Setup!$B$20="","",Setup!$B$20)</f>
        <v/>
      </c>
      <c r="C291" s="98" t="n"/>
      <c r="D291" s="99" t="n"/>
      <c r="E291" s="99" t="n"/>
      <c r="F291" s="100" t="n"/>
      <c r="G291" s="98" t="n"/>
      <c r="H291" s="99" t="n"/>
      <c r="I291" s="99" t="n"/>
      <c r="J291" s="100" t="n"/>
      <c r="K291" s="98" t="n"/>
      <c r="L291" s="99" t="n"/>
      <c r="M291" s="99" t="n"/>
      <c r="N291" s="100" t="n"/>
      <c r="O291" s="98" t="n"/>
      <c r="P291" s="99" t="n"/>
      <c r="Q291" s="99" t="n"/>
      <c r="R291" s="100" t="n"/>
      <c r="S291" s="98" t="n"/>
      <c r="T291" s="99" t="n"/>
      <c r="U291" s="99" t="n"/>
      <c r="V291" s="100" t="n"/>
      <c r="W291" s="98" t="n"/>
      <c r="X291" s="100" t="n"/>
      <c r="Y291" s="98" t="n"/>
      <c r="Z291" s="100" t="n"/>
      <c r="AB291" s="101">
        <f>IF($B291="","",(COUNTIF(C258:E275,$B291)+COUNTIF(C258:E275,$B291&amp;" ~*")&gt;0)+(COUNTIF(G258:I275,$B291)+COUNTIF(G258:I275,$B291&amp;" ~*")&gt;0)+(COUNTIF(K258:M275,$B291)+COUNTIF(K258:M275,$B291&amp;" ~*")&gt;0)+(COUNTIF(O258:Q275,$B291)+COUNTIF(O258:Q275,$B291&amp;" ~*")&gt;0)+(COUNTIF(S258:U275,$B291)+COUNTIF(S258:U275,$B291&amp;" ~*")&gt;0)+(COUNTIF(W258:W275,$B291)+COUNTIF(W258:W275,$B291&amp;" ~*")&gt;0)+(COUNTIF(Y258:Y275,$B291)+COUNTIF(Y258:Y275,$B291&amp;" ~*")&gt;0))</f>
        <v/>
      </c>
      <c r="AC291" s="36">
        <f>IF($B291="","",(IFERROR(INDEX(Setup!$G$33:$G$40,MATCH(C291,Setup!$B$33:$B$40,0)),0)=1)*(COUNTIF(C258:E275,$B291)+COUNTIF(C258:E275,$B291&amp;" ~*")&gt;0)+(IFERROR(INDEX(Setup!$G$33:$G$40,MATCH(G291,Setup!$B$33:$B$40,0)),0)=1)*(COUNTIF(G258:I275,$B291)+COUNTIF(G258:I275,$B291&amp;" ~*")&gt;0)+(IFERROR(INDEX(Setup!$G$33:$G$40,MATCH(K291,Setup!$B$33:$B$40,0)),0)=1)*(COUNTIF(K258:M275,$B291)+COUNTIF(K258:M275,$B291&amp;" ~*")&gt;0)+(IFERROR(INDEX(Setup!$G$33:$G$40,MATCH(O291,Setup!$B$33:$B$40,0)),0)=1)*(COUNTIF(O258:Q275,$B291)+COUNTIF(O258:Q275,$B291&amp;" ~*")&gt;0)+(IFERROR(INDEX(Setup!$G$33:$G$40,MATCH(S291,Setup!$B$33:$B$40,0)),0)=1)*(COUNTIF(S258:U275,$B291)+COUNTIF(S258:U275,$B291&amp;" ~*")&gt;0)+(IFERROR(INDEX(Setup!$G$33:$G$40,MATCH(W291,Setup!$B$33:$B$40,0)),0)=1)*(COUNTIF(W258:W275,$B291)+COUNTIF(W258:W275,$B291&amp;" ~*")&gt;0)+(IFERROR(INDEX(Setup!$G$33:$G$40,MATCH(Y291,Setup!$B$33:$B$40,0)),0)=1)*(COUNTIF(Y258:Y275,$B291)+COUNTIF(Y258:Y275,$B291&amp;" ~*")&gt;0))</f>
        <v/>
      </c>
    </row>
    <row r="292" ht="15" customHeight="1">
      <c r="A292" t="n">
        <v>6</v>
      </c>
      <c r="B292" s="37">
        <f>IF(Setup!$B$21="","",Setup!$B$21)</f>
        <v/>
      </c>
      <c r="C292" s="102" t="n"/>
      <c r="D292" s="103" t="n"/>
      <c r="E292" s="103" t="n"/>
      <c r="F292" s="104" t="n"/>
      <c r="G292" s="102" t="n"/>
      <c r="H292" s="103" t="n"/>
      <c r="I292" s="103" t="n"/>
      <c r="J292" s="104" t="n"/>
      <c r="K292" s="102" t="n"/>
      <c r="L292" s="103" t="n"/>
      <c r="M292" s="103" t="n"/>
      <c r="N292" s="104" t="n"/>
      <c r="O292" s="102" t="n"/>
      <c r="P292" s="103" t="n"/>
      <c r="Q292" s="103" t="n"/>
      <c r="R292" s="104" t="n"/>
      <c r="S292" s="102" t="n"/>
      <c r="T292" s="103" t="n"/>
      <c r="U292" s="103" t="n"/>
      <c r="V292" s="104" t="n"/>
      <c r="W292" s="102" t="n"/>
      <c r="X292" s="104" t="n"/>
      <c r="Y292" s="102" t="n"/>
      <c r="Z292" s="104" t="n"/>
      <c r="AB292" s="105">
        <f>IF($B292="","",(COUNTIF(C258:E275,$B292)+COUNTIF(C258:E275,$B292&amp;" ~*")&gt;0)+(COUNTIF(G258:I275,$B292)+COUNTIF(G258:I275,$B292&amp;" ~*")&gt;0)+(COUNTIF(K258:M275,$B292)+COUNTIF(K258:M275,$B292&amp;" ~*")&gt;0)+(COUNTIF(O258:Q275,$B292)+COUNTIF(O258:Q275,$B292&amp;" ~*")&gt;0)+(COUNTIF(S258:U275,$B292)+COUNTIF(S258:U275,$B292&amp;" ~*")&gt;0)+(COUNTIF(W258:W275,$B292)+COUNTIF(W258:W275,$B292&amp;" ~*")&gt;0)+(COUNTIF(Y258:Y275,$B292)+COUNTIF(Y258:Y275,$B292&amp;" ~*")&gt;0))</f>
        <v/>
      </c>
      <c r="AC292" s="38">
        <f>IF($B292="","",(IFERROR(INDEX(Setup!$G$33:$G$40,MATCH(C292,Setup!$B$33:$B$40,0)),0)=1)*(COUNTIF(C258:E275,$B292)+COUNTIF(C258:E275,$B292&amp;" ~*")&gt;0)+(IFERROR(INDEX(Setup!$G$33:$G$40,MATCH(G292,Setup!$B$33:$B$40,0)),0)=1)*(COUNTIF(G258:I275,$B292)+COUNTIF(G258:I275,$B292&amp;" ~*")&gt;0)+(IFERROR(INDEX(Setup!$G$33:$G$40,MATCH(K292,Setup!$B$33:$B$40,0)),0)=1)*(COUNTIF(K258:M275,$B292)+COUNTIF(K258:M275,$B292&amp;" ~*")&gt;0)+(IFERROR(INDEX(Setup!$G$33:$G$40,MATCH(O292,Setup!$B$33:$B$40,0)),0)=1)*(COUNTIF(O258:Q275,$B292)+COUNTIF(O258:Q275,$B292&amp;" ~*")&gt;0)+(IFERROR(INDEX(Setup!$G$33:$G$40,MATCH(S292,Setup!$B$33:$B$40,0)),0)=1)*(COUNTIF(S258:U275,$B292)+COUNTIF(S258:U275,$B292&amp;" ~*")&gt;0)+(IFERROR(INDEX(Setup!$G$33:$G$40,MATCH(W292,Setup!$B$33:$B$40,0)),0)=1)*(COUNTIF(W258:W275,$B292)+COUNTIF(W258:W275,$B292&amp;" ~*")&gt;0)+(IFERROR(INDEX(Setup!$G$33:$G$40,MATCH(Y292,Setup!$B$33:$B$40,0)),0)=1)*(COUNTIF(Y258:Y275,$B292)+COUNTIF(Y258:Y275,$B292&amp;" ~*")&gt;0))</f>
        <v/>
      </c>
    </row>
    <row r="293" ht="15" customHeight="1">
      <c r="A293" t="n">
        <v>6</v>
      </c>
      <c r="B293" s="35">
        <f>IF(Setup!$B$22="","",Setup!$B$22)</f>
        <v/>
      </c>
      <c r="C293" s="98" t="n"/>
      <c r="D293" s="99" t="n"/>
      <c r="E293" s="99" t="n"/>
      <c r="F293" s="100" t="n"/>
      <c r="G293" s="98" t="n"/>
      <c r="H293" s="99" t="n"/>
      <c r="I293" s="99" t="n"/>
      <c r="J293" s="100" t="n"/>
      <c r="K293" s="98" t="n"/>
      <c r="L293" s="99" t="n"/>
      <c r="M293" s="99" t="n"/>
      <c r="N293" s="100" t="n"/>
      <c r="O293" s="98" t="n"/>
      <c r="P293" s="99" t="n"/>
      <c r="Q293" s="99" t="n"/>
      <c r="R293" s="100" t="n"/>
      <c r="S293" s="98" t="n"/>
      <c r="T293" s="99" t="n"/>
      <c r="U293" s="99" t="n"/>
      <c r="V293" s="100" t="n"/>
      <c r="W293" s="98" t="n"/>
      <c r="X293" s="100" t="n"/>
      <c r="Y293" s="98" t="n"/>
      <c r="Z293" s="100" t="n"/>
      <c r="AB293" s="101">
        <f>IF($B293="","",(COUNTIF(C258:E275,$B293)+COUNTIF(C258:E275,$B293&amp;" ~*")&gt;0)+(COUNTIF(G258:I275,$B293)+COUNTIF(G258:I275,$B293&amp;" ~*")&gt;0)+(COUNTIF(K258:M275,$B293)+COUNTIF(K258:M275,$B293&amp;" ~*")&gt;0)+(COUNTIF(O258:Q275,$B293)+COUNTIF(O258:Q275,$B293&amp;" ~*")&gt;0)+(COUNTIF(S258:U275,$B293)+COUNTIF(S258:U275,$B293&amp;" ~*")&gt;0)+(COUNTIF(W258:W275,$B293)+COUNTIF(W258:W275,$B293&amp;" ~*")&gt;0)+(COUNTIF(Y258:Y275,$B293)+COUNTIF(Y258:Y275,$B293&amp;" ~*")&gt;0))</f>
        <v/>
      </c>
      <c r="AC293" s="36">
        <f>IF($B293="","",(IFERROR(INDEX(Setup!$G$33:$G$40,MATCH(C293,Setup!$B$33:$B$40,0)),0)=1)*(COUNTIF(C258:E275,$B293)+COUNTIF(C258:E275,$B293&amp;" ~*")&gt;0)+(IFERROR(INDEX(Setup!$G$33:$G$40,MATCH(G293,Setup!$B$33:$B$40,0)),0)=1)*(COUNTIF(G258:I275,$B293)+COUNTIF(G258:I275,$B293&amp;" ~*")&gt;0)+(IFERROR(INDEX(Setup!$G$33:$G$40,MATCH(K293,Setup!$B$33:$B$40,0)),0)=1)*(COUNTIF(K258:M275,$B293)+COUNTIF(K258:M275,$B293&amp;" ~*")&gt;0)+(IFERROR(INDEX(Setup!$G$33:$G$40,MATCH(O293,Setup!$B$33:$B$40,0)),0)=1)*(COUNTIF(O258:Q275,$B293)+COUNTIF(O258:Q275,$B293&amp;" ~*")&gt;0)+(IFERROR(INDEX(Setup!$G$33:$G$40,MATCH(S293,Setup!$B$33:$B$40,0)),0)=1)*(COUNTIF(S258:U275,$B293)+COUNTIF(S258:U275,$B293&amp;" ~*")&gt;0)+(IFERROR(INDEX(Setup!$G$33:$G$40,MATCH(W293,Setup!$B$33:$B$40,0)),0)=1)*(COUNTIF(W258:W275,$B293)+COUNTIF(W258:W275,$B293&amp;" ~*")&gt;0)+(IFERROR(INDEX(Setup!$G$33:$G$40,MATCH(Y293,Setup!$B$33:$B$40,0)),0)=1)*(COUNTIF(Y258:Y275,$B293)+COUNTIF(Y258:Y275,$B293&amp;" ~*")&gt;0))</f>
        <v/>
      </c>
    </row>
    <row r="294" ht="15" customHeight="1">
      <c r="A294" t="n">
        <v>6</v>
      </c>
      <c r="B294" s="37">
        <f>IF(Setup!$B$23="","",Setup!$B$23)</f>
        <v/>
      </c>
      <c r="C294" s="102" t="n"/>
      <c r="D294" s="103" t="n"/>
      <c r="E294" s="103" t="n"/>
      <c r="F294" s="104" t="n"/>
      <c r="G294" s="102" t="n"/>
      <c r="H294" s="103" t="n"/>
      <c r="I294" s="103" t="n"/>
      <c r="J294" s="104" t="n"/>
      <c r="K294" s="102" t="n"/>
      <c r="L294" s="103" t="n"/>
      <c r="M294" s="103" t="n"/>
      <c r="N294" s="104" t="n"/>
      <c r="O294" s="102" t="n"/>
      <c r="P294" s="103" t="n"/>
      <c r="Q294" s="103" t="n"/>
      <c r="R294" s="104" t="n"/>
      <c r="S294" s="102" t="n"/>
      <c r="T294" s="103" t="n"/>
      <c r="U294" s="103" t="n"/>
      <c r="V294" s="104" t="n"/>
      <c r="W294" s="102" t="n"/>
      <c r="X294" s="104" t="n"/>
      <c r="Y294" s="102" t="n"/>
      <c r="Z294" s="104" t="n"/>
      <c r="AB294" s="105">
        <f>IF($B294="","",(COUNTIF(C258:E275,$B294)+COUNTIF(C258:E275,$B294&amp;" ~*")&gt;0)+(COUNTIF(G258:I275,$B294)+COUNTIF(G258:I275,$B294&amp;" ~*")&gt;0)+(COUNTIF(K258:M275,$B294)+COUNTIF(K258:M275,$B294&amp;" ~*")&gt;0)+(COUNTIF(O258:Q275,$B294)+COUNTIF(O258:Q275,$B294&amp;" ~*")&gt;0)+(COUNTIF(S258:U275,$B294)+COUNTIF(S258:U275,$B294&amp;" ~*")&gt;0)+(COUNTIF(W258:W275,$B294)+COUNTIF(W258:W275,$B294&amp;" ~*")&gt;0)+(COUNTIF(Y258:Y275,$B294)+COUNTIF(Y258:Y275,$B294&amp;" ~*")&gt;0))</f>
        <v/>
      </c>
      <c r="AC294" s="38">
        <f>IF($B294="","",(IFERROR(INDEX(Setup!$G$33:$G$40,MATCH(C294,Setup!$B$33:$B$40,0)),0)=1)*(COUNTIF(C258:E275,$B294)+COUNTIF(C258:E275,$B294&amp;" ~*")&gt;0)+(IFERROR(INDEX(Setup!$G$33:$G$40,MATCH(G294,Setup!$B$33:$B$40,0)),0)=1)*(COUNTIF(G258:I275,$B294)+COUNTIF(G258:I275,$B294&amp;" ~*")&gt;0)+(IFERROR(INDEX(Setup!$G$33:$G$40,MATCH(K294,Setup!$B$33:$B$40,0)),0)=1)*(COUNTIF(K258:M275,$B294)+COUNTIF(K258:M275,$B294&amp;" ~*")&gt;0)+(IFERROR(INDEX(Setup!$G$33:$G$40,MATCH(O294,Setup!$B$33:$B$40,0)),0)=1)*(COUNTIF(O258:Q275,$B294)+COUNTIF(O258:Q275,$B294&amp;" ~*")&gt;0)+(IFERROR(INDEX(Setup!$G$33:$G$40,MATCH(S294,Setup!$B$33:$B$40,0)),0)=1)*(COUNTIF(S258:U275,$B294)+COUNTIF(S258:U275,$B294&amp;" ~*")&gt;0)+(IFERROR(INDEX(Setup!$G$33:$G$40,MATCH(W294,Setup!$B$33:$B$40,0)),0)=1)*(COUNTIF(W258:W275,$B294)+COUNTIF(W258:W275,$B294&amp;" ~*")&gt;0)+(IFERROR(INDEX(Setup!$G$33:$G$40,MATCH(Y294,Setup!$B$33:$B$40,0)),0)=1)*(COUNTIF(Y258:Y275,$B294)+COUNTIF(Y258:Y275,$B294&amp;" ~*")&gt;0))</f>
        <v/>
      </c>
    </row>
    <row r="295" ht="15" customHeight="1">
      <c r="A295" t="n">
        <v>6</v>
      </c>
      <c r="B295" s="35">
        <f>IF(Setup!$B$24="","",Setup!$B$24)</f>
        <v/>
      </c>
      <c r="C295" s="98" t="n"/>
      <c r="D295" s="99" t="n"/>
      <c r="E295" s="99" t="n"/>
      <c r="F295" s="100" t="n"/>
      <c r="G295" s="98" t="n"/>
      <c r="H295" s="99" t="n"/>
      <c r="I295" s="99" t="n"/>
      <c r="J295" s="100" t="n"/>
      <c r="K295" s="98" t="n"/>
      <c r="L295" s="99" t="n"/>
      <c r="M295" s="99" t="n"/>
      <c r="N295" s="100" t="n"/>
      <c r="O295" s="98" t="n"/>
      <c r="P295" s="99" t="n"/>
      <c r="Q295" s="99" t="n"/>
      <c r="R295" s="100" t="n"/>
      <c r="S295" s="98" t="n"/>
      <c r="T295" s="99" t="n"/>
      <c r="U295" s="99" t="n"/>
      <c r="V295" s="100" t="n"/>
      <c r="W295" s="98" t="n"/>
      <c r="X295" s="100" t="n"/>
      <c r="Y295" s="98" t="n"/>
      <c r="Z295" s="100" t="n"/>
      <c r="AB295" s="101">
        <f>IF($B295="","",(COUNTIF(C258:E275,$B295)+COUNTIF(C258:E275,$B295&amp;" ~*")&gt;0)+(COUNTIF(G258:I275,$B295)+COUNTIF(G258:I275,$B295&amp;" ~*")&gt;0)+(COUNTIF(K258:M275,$B295)+COUNTIF(K258:M275,$B295&amp;" ~*")&gt;0)+(COUNTIF(O258:Q275,$B295)+COUNTIF(O258:Q275,$B295&amp;" ~*")&gt;0)+(COUNTIF(S258:U275,$B295)+COUNTIF(S258:U275,$B295&amp;" ~*")&gt;0)+(COUNTIF(W258:W275,$B295)+COUNTIF(W258:W275,$B295&amp;" ~*")&gt;0)+(COUNTIF(Y258:Y275,$B295)+COUNTIF(Y258:Y275,$B295&amp;" ~*")&gt;0))</f>
        <v/>
      </c>
      <c r="AC295" s="36">
        <f>IF($B295="","",(IFERROR(INDEX(Setup!$G$33:$G$40,MATCH(C295,Setup!$B$33:$B$40,0)),0)=1)*(COUNTIF(C258:E275,$B295)+COUNTIF(C258:E275,$B295&amp;" ~*")&gt;0)+(IFERROR(INDEX(Setup!$G$33:$G$40,MATCH(G295,Setup!$B$33:$B$40,0)),0)=1)*(COUNTIF(G258:I275,$B295)+COUNTIF(G258:I275,$B295&amp;" ~*")&gt;0)+(IFERROR(INDEX(Setup!$G$33:$G$40,MATCH(K295,Setup!$B$33:$B$40,0)),0)=1)*(COUNTIF(K258:M275,$B295)+COUNTIF(K258:M275,$B295&amp;" ~*")&gt;0)+(IFERROR(INDEX(Setup!$G$33:$G$40,MATCH(O295,Setup!$B$33:$B$40,0)),0)=1)*(COUNTIF(O258:Q275,$B295)+COUNTIF(O258:Q275,$B295&amp;" ~*")&gt;0)+(IFERROR(INDEX(Setup!$G$33:$G$40,MATCH(S295,Setup!$B$33:$B$40,0)),0)=1)*(COUNTIF(S258:U275,$B295)+COUNTIF(S258:U275,$B295&amp;" ~*")&gt;0)+(IFERROR(INDEX(Setup!$G$33:$G$40,MATCH(W295,Setup!$B$33:$B$40,0)),0)=1)*(COUNTIF(W258:W275,$B295)+COUNTIF(W258:W275,$B295&amp;" ~*")&gt;0)+(IFERROR(INDEX(Setup!$G$33:$G$40,MATCH(Y295,Setup!$B$33:$B$40,0)),0)=1)*(COUNTIF(Y258:Y275,$B295)+COUNTIF(Y258:Y275,$B295&amp;" ~*")&gt;0))</f>
        <v/>
      </c>
    </row>
    <row r="296" ht="15" customHeight="1">
      <c r="A296" t="n">
        <v>6</v>
      </c>
      <c r="B296" s="37">
        <f>IF(Setup!$B$25="","",Setup!$B$25)</f>
        <v/>
      </c>
      <c r="C296" s="102" t="n"/>
      <c r="D296" s="103" t="n"/>
      <c r="E296" s="103" t="n"/>
      <c r="F296" s="104" t="n"/>
      <c r="G296" s="102" t="n"/>
      <c r="H296" s="103" t="n"/>
      <c r="I296" s="103" t="n"/>
      <c r="J296" s="104" t="n"/>
      <c r="K296" s="102" t="n"/>
      <c r="L296" s="103" t="n"/>
      <c r="M296" s="103" t="n"/>
      <c r="N296" s="104" t="n"/>
      <c r="O296" s="102" t="n"/>
      <c r="P296" s="103" t="n"/>
      <c r="Q296" s="103" t="n"/>
      <c r="R296" s="104" t="n"/>
      <c r="S296" s="102" t="n"/>
      <c r="T296" s="103" t="n"/>
      <c r="U296" s="103" t="n"/>
      <c r="V296" s="104" t="n"/>
      <c r="W296" s="102" t="n"/>
      <c r="X296" s="104" t="n"/>
      <c r="Y296" s="102" t="n"/>
      <c r="Z296" s="104" t="n"/>
      <c r="AB296" s="105">
        <f>IF($B296="","",(COUNTIF(C258:E275,$B296)+COUNTIF(C258:E275,$B296&amp;" ~*")&gt;0)+(COUNTIF(G258:I275,$B296)+COUNTIF(G258:I275,$B296&amp;" ~*")&gt;0)+(COUNTIF(K258:M275,$B296)+COUNTIF(K258:M275,$B296&amp;" ~*")&gt;0)+(COUNTIF(O258:Q275,$B296)+COUNTIF(O258:Q275,$B296&amp;" ~*")&gt;0)+(COUNTIF(S258:U275,$B296)+COUNTIF(S258:U275,$B296&amp;" ~*")&gt;0)+(COUNTIF(W258:W275,$B296)+COUNTIF(W258:W275,$B296&amp;" ~*")&gt;0)+(COUNTIF(Y258:Y275,$B296)+COUNTIF(Y258:Y275,$B296&amp;" ~*")&gt;0))</f>
        <v/>
      </c>
      <c r="AC296" s="38">
        <f>IF($B296="","",(IFERROR(INDEX(Setup!$G$33:$G$40,MATCH(C296,Setup!$B$33:$B$40,0)),0)=1)*(COUNTIF(C258:E275,$B296)+COUNTIF(C258:E275,$B296&amp;" ~*")&gt;0)+(IFERROR(INDEX(Setup!$G$33:$G$40,MATCH(G296,Setup!$B$33:$B$40,0)),0)=1)*(COUNTIF(G258:I275,$B296)+COUNTIF(G258:I275,$B296&amp;" ~*")&gt;0)+(IFERROR(INDEX(Setup!$G$33:$G$40,MATCH(K296,Setup!$B$33:$B$40,0)),0)=1)*(COUNTIF(K258:M275,$B296)+COUNTIF(K258:M275,$B296&amp;" ~*")&gt;0)+(IFERROR(INDEX(Setup!$G$33:$G$40,MATCH(O296,Setup!$B$33:$B$40,0)),0)=1)*(COUNTIF(O258:Q275,$B296)+COUNTIF(O258:Q275,$B296&amp;" ~*")&gt;0)+(IFERROR(INDEX(Setup!$G$33:$G$40,MATCH(S296,Setup!$B$33:$B$40,0)),0)=1)*(COUNTIF(S258:U275,$B296)+COUNTIF(S258:U275,$B296&amp;" ~*")&gt;0)+(IFERROR(INDEX(Setup!$G$33:$G$40,MATCH(W296,Setup!$B$33:$B$40,0)),0)=1)*(COUNTIF(W258:W275,$B296)+COUNTIF(W258:W275,$B296&amp;" ~*")&gt;0)+(IFERROR(INDEX(Setup!$G$33:$G$40,MATCH(Y296,Setup!$B$33:$B$40,0)),0)=1)*(COUNTIF(Y258:Y275,$B296)+COUNTIF(Y258:Y275,$B296&amp;" ~*")&gt;0))</f>
        <v/>
      </c>
    </row>
    <row r="297" ht="15" customHeight="1">
      <c r="A297" t="n">
        <v>6</v>
      </c>
      <c r="B297" s="35">
        <f>IF(Setup!$B$26="","",Setup!$B$26)</f>
        <v/>
      </c>
      <c r="C297" s="98" t="n"/>
      <c r="D297" s="99" t="n"/>
      <c r="E297" s="99" t="n"/>
      <c r="F297" s="100" t="n"/>
      <c r="G297" s="98" t="n"/>
      <c r="H297" s="99" t="n"/>
      <c r="I297" s="99" t="n"/>
      <c r="J297" s="100" t="n"/>
      <c r="K297" s="98" t="n"/>
      <c r="L297" s="99" t="n"/>
      <c r="M297" s="99" t="n"/>
      <c r="N297" s="100" t="n"/>
      <c r="O297" s="98" t="n"/>
      <c r="P297" s="99" t="n"/>
      <c r="Q297" s="99" t="n"/>
      <c r="R297" s="100" t="n"/>
      <c r="S297" s="98" t="n"/>
      <c r="T297" s="99" t="n"/>
      <c r="U297" s="99" t="n"/>
      <c r="V297" s="100" t="n"/>
      <c r="W297" s="98" t="n"/>
      <c r="X297" s="100" t="n"/>
      <c r="Y297" s="98" t="n"/>
      <c r="Z297" s="100" t="n"/>
      <c r="AB297" s="101">
        <f>IF($B297="","",(COUNTIF(C258:E275,$B297)+COUNTIF(C258:E275,$B297&amp;" ~*")&gt;0)+(COUNTIF(G258:I275,$B297)+COUNTIF(G258:I275,$B297&amp;" ~*")&gt;0)+(COUNTIF(K258:M275,$B297)+COUNTIF(K258:M275,$B297&amp;" ~*")&gt;0)+(COUNTIF(O258:Q275,$B297)+COUNTIF(O258:Q275,$B297&amp;" ~*")&gt;0)+(COUNTIF(S258:U275,$B297)+COUNTIF(S258:U275,$B297&amp;" ~*")&gt;0)+(COUNTIF(W258:W275,$B297)+COUNTIF(W258:W275,$B297&amp;" ~*")&gt;0)+(COUNTIF(Y258:Y275,$B297)+COUNTIF(Y258:Y275,$B297&amp;" ~*")&gt;0))</f>
        <v/>
      </c>
      <c r="AC297" s="36">
        <f>IF($B297="","",(IFERROR(INDEX(Setup!$G$33:$G$40,MATCH(C297,Setup!$B$33:$B$40,0)),0)=1)*(COUNTIF(C258:E275,$B297)+COUNTIF(C258:E275,$B297&amp;" ~*")&gt;0)+(IFERROR(INDEX(Setup!$G$33:$G$40,MATCH(G297,Setup!$B$33:$B$40,0)),0)=1)*(COUNTIF(G258:I275,$B297)+COUNTIF(G258:I275,$B297&amp;" ~*")&gt;0)+(IFERROR(INDEX(Setup!$G$33:$G$40,MATCH(K297,Setup!$B$33:$B$40,0)),0)=1)*(COUNTIF(K258:M275,$B297)+COUNTIF(K258:M275,$B297&amp;" ~*")&gt;0)+(IFERROR(INDEX(Setup!$G$33:$G$40,MATCH(O297,Setup!$B$33:$B$40,0)),0)=1)*(COUNTIF(O258:Q275,$B297)+COUNTIF(O258:Q275,$B297&amp;" ~*")&gt;0)+(IFERROR(INDEX(Setup!$G$33:$G$40,MATCH(S297,Setup!$B$33:$B$40,0)),0)=1)*(COUNTIF(S258:U275,$B297)+COUNTIF(S258:U275,$B297&amp;" ~*")&gt;0)+(IFERROR(INDEX(Setup!$G$33:$G$40,MATCH(W297,Setup!$B$33:$B$40,0)),0)=1)*(COUNTIF(W258:W275,$B297)+COUNTIF(W258:W275,$B297&amp;" ~*")&gt;0)+(IFERROR(INDEX(Setup!$G$33:$G$40,MATCH(Y297,Setup!$B$33:$B$40,0)),0)=1)*(COUNTIF(Y258:Y275,$B297)+COUNTIF(Y258:Y275,$B297&amp;" ~*")&gt;0))</f>
        <v/>
      </c>
    </row>
    <row r="298" ht="15" customHeight="1">
      <c r="A298" t="n">
        <v>6</v>
      </c>
      <c r="B298" s="37">
        <f>IF(Setup!$B$27="","",Setup!$B$27)</f>
        <v/>
      </c>
      <c r="C298" s="102" t="n"/>
      <c r="D298" s="103" t="n"/>
      <c r="E298" s="103" t="n"/>
      <c r="F298" s="104" t="n"/>
      <c r="G298" s="102" t="n"/>
      <c r="H298" s="103" t="n"/>
      <c r="I298" s="103" t="n"/>
      <c r="J298" s="104" t="n"/>
      <c r="K298" s="102" t="n"/>
      <c r="L298" s="103" t="n"/>
      <c r="M298" s="103" t="n"/>
      <c r="N298" s="104" t="n"/>
      <c r="O298" s="102" t="n"/>
      <c r="P298" s="103" t="n"/>
      <c r="Q298" s="103" t="n"/>
      <c r="R298" s="104" t="n"/>
      <c r="S298" s="102" t="n"/>
      <c r="T298" s="103" t="n"/>
      <c r="U298" s="103" t="n"/>
      <c r="V298" s="104" t="n"/>
      <c r="W298" s="102" t="n"/>
      <c r="X298" s="104" t="n"/>
      <c r="Y298" s="102" t="n"/>
      <c r="Z298" s="104" t="n"/>
      <c r="AB298" s="105">
        <f>IF($B298="","",(COUNTIF(C258:E275,$B298)+COUNTIF(C258:E275,$B298&amp;" ~*")&gt;0)+(COUNTIF(G258:I275,$B298)+COUNTIF(G258:I275,$B298&amp;" ~*")&gt;0)+(COUNTIF(K258:M275,$B298)+COUNTIF(K258:M275,$B298&amp;" ~*")&gt;0)+(COUNTIF(O258:Q275,$B298)+COUNTIF(O258:Q275,$B298&amp;" ~*")&gt;0)+(COUNTIF(S258:U275,$B298)+COUNTIF(S258:U275,$B298&amp;" ~*")&gt;0)+(COUNTIF(W258:W275,$B298)+COUNTIF(W258:W275,$B298&amp;" ~*")&gt;0)+(COUNTIF(Y258:Y275,$B298)+COUNTIF(Y258:Y275,$B298&amp;" ~*")&gt;0))</f>
        <v/>
      </c>
      <c r="AC298" s="38">
        <f>IF($B298="","",(IFERROR(INDEX(Setup!$G$33:$G$40,MATCH(C298,Setup!$B$33:$B$40,0)),0)=1)*(COUNTIF(C258:E275,$B298)+COUNTIF(C258:E275,$B298&amp;" ~*")&gt;0)+(IFERROR(INDEX(Setup!$G$33:$G$40,MATCH(G298,Setup!$B$33:$B$40,0)),0)=1)*(COUNTIF(G258:I275,$B298)+COUNTIF(G258:I275,$B298&amp;" ~*")&gt;0)+(IFERROR(INDEX(Setup!$G$33:$G$40,MATCH(K298,Setup!$B$33:$B$40,0)),0)=1)*(COUNTIF(K258:M275,$B298)+COUNTIF(K258:M275,$B298&amp;" ~*")&gt;0)+(IFERROR(INDEX(Setup!$G$33:$G$40,MATCH(O298,Setup!$B$33:$B$40,0)),0)=1)*(COUNTIF(O258:Q275,$B298)+COUNTIF(O258:Q275,$B298&amp;" ~*")&gt;0)+(IFERROR(INDEX(Setup!$G$33:$G$40,MATCH(S298,Setup!$B$33:$B$40,0)),0)=1)*(COUNTIF(S258:U275,$B298)+COUNTIF(S258:U275,$B298&amp;" ~*")&gt;0)+(IFERROR(INDEX(Setup!$G$33:$G$40,MATCH(W298,Setup!$B$33:$B$40,0)),0)=1)*(COUNTIF(W258:W275,$B298)+COUNTIF(W258:W275,$B298&amp;" ~*")&gt;0)+(IFERROR(INDEX(Setup!$G$33:$G$40,MATCH(Y298,Setup!$B$33:$B$40,0)),0)=1)*(COUNTIF(Y258:Y275,$B298)+COUNTIF(Y258:Y275,$B298&amp;" ~*")&gt;0))</f>
        <v/>
      </c>
    </row>
    <row r="299" ht="15" customHeight="1">
      <c r="A299" t="n">
        <v>6</v>
      </c>
      <c r="B299" s="35">
        <f>IF(Setup!$B$28="","",Setup!$B$28)</f>
        <v/>
      </c>
      <c r="C299" s="98" t="n"/>
      <c r="D299" s="99" t="n"/>
      <c r="E299" s="99" t="n"/>
      <c r="F299" s="100" t="n"/>
      <c r="G299" s="98" t="n"/>
      <c r="H299" s="99" t="n"/>
      <c r="I299" s="99" t="n"/>
      <c r="J299" s="100" t="n"/>
      <c r="K299" s="98" t="n"/>
      <c r="L299" s="99" t="n"/>
      <c r="M299" s="99" t="n"/>
      <c r="N299" s="100" t="n"/>
      <c r="O299" s="98" t="n"/>
      <c r="P299" s="99" t="n"/>
      <c r="Q299" s="99" t="n"/>
      <c r="R299" s="100" t="n"/>
      <c r="S299" s="98" t="n"/>
      <c r="T299" s="99" t="n"/>
      <c r="U299" s="99" t="n"/>
      <c r="V299" s="100" t="n"/>
      <c r="W299" s="98" t="n"/>
      <c r="X299" s="100" t="n"/>
      <c r="Y299" s="98" t="n"/>
      <c r="Z299" s="100" t="n"/>
      <c r="AB299" s="101">
        <f>IF($B299="","",(COUNTIF(C258:E275,$B299)+COUNTIF(C258:E275,$B299&amp;" ~*")&gt;0)+(COUNTIF(G258:I275,$B299)+COUNTIF(G258:I275,$B299&amp;" ~*")&gt;0)+(COUNTIF(K258:M275,$B299)+COUNTIF(K258:M275,$B299&amp;" ~*")&gt;0)+(COUNTIF(O258:Q275,$B299)+COUNTIF(O258:Q275,$B299&amp;" ~*")&gt;0)+(COUNTIF(S258:U275,$B299)+COUNTIF(S258:U275,$B299&amp;" ~*")&gt;0)+(COUNTIF(W258:W275,$B299)+COUNTIF(W258:W275,$B299&amp;" ~*")&gt;0)+(COUNTIF(Y258:Y275,$B299)+COUNTIF(Y258:Y275,$B299&amp;" ~*")&gt;0))</f>
        <v/>
      </c>
      <c r="AC299" s="36">
        <f>IF($B299="","",(IFERROR(INDEX(Setup!$G$33:$G$40,MATCH(C299,Setup!$B$33:$B$40,0)),0)=1)*(COUNTIF(C258:E275,$B299)+COUNTIF(C258:E275,$B299&amp;" ~*")&gt;0)+(IFERROR(INDEX(Setup!$G$33:$G$40,MATCH(G299,Setup!$B$33:$B$40,0)),0)=1)*(COUNTIF(G258:I275,$B299)+COUNTIF(G258:I275,$B299&amp;" ~*")&gt;0)+(IFERROR(INDEX(Setup!$G$33:$G$40,MATCH(K299,Setup!$B$33:$B$40,0)),0)=1)*(COUNTIF(K258:M275,$B299)+COUNTIF(K258:M275,$B299&amp;" ~*")&gt;0)+(IFERROR(INDEX(Setup!$G$33:$G$40,MATCH(O299,Setup!$B$33:$B$40,0)),0)=1)*(COUNTIF(O258:Q275,$B299)+COUNTIF(O258:Q275,$B299&amp;" ~*")&gt;0)+(IFERROR(INDEX(Setup!$G$33:$G$40,MATCH(S299,Setup!$B$33:$B$40,0)),0)=1)*(COUNTIF(S258:U275,$B299)+COUNTIF(S258:U275,$B299&amp;" ~*")&gt;0)+(IFERROR(INDEX(Setup!$G$33:$G$40,MATCH(W299,Setup!$B$33:$B$40,0)),0)=1)*(COUNTIF(W258:W275,$B299)+COUNTIF(W258:W275,$B299&amp;" ~*")&gt;0)+(IFERROR(INDEX(Setup!$G$33:$G$40,MATCH(Y299,Setup!$B$33:$B$40,0)),0)=1)*(COUNTIF(Y258:Y275,$B299)+COUNTIF(Y258:Y275,$B299&amp;" ~*")&gt;0))</f>
        <v/>
      </c>
    </row>
    <row r="300" ht="15" customHeight="1">
      <c r="A300" t="n">
        <v>6</v>
      </c>
      <c r="B300" s="37">
        <f>IF(Setup!$B$29="","",Setup!$B$29)</f>
        <v/>
      </c>
      <c r="C300" s="102" t="n"/>
      <c r="D300" s="103" t="n"/>
      <c r="E300" s="103" t="n"/>
      <c r="F300" s="104" t="n"/>
      <c r="G300" s="102" t="n"/>
      <c r="H300" s="103" t="n"/>
      <c r="I300" s="103" t="n"/>
      <c r="J300" s="104" t="n"/>
      <c r="K300" s="102" t="n"/>
      <c r="L300" s="103" t="n"/>
      <c r="M300" s="103" t="n"/>
      <c r="N300" s="104" t="n"/>
      <c r="O300" s="102" t="n"/>
      <c r="P300" s="103" t="n"/>
      <c r="Q300" s="103" t="n"/>
      <c r="R300" s="104" t="n"/>
      <c r="S300" s="102" t="n"/>
      <c r="T300" s="103" t="n"/>
      <c r="U300" s="103" t="n"/>
      <c r="V300" s="104" t="n"/>
      <c r="W300" s="102" t="n"/>
      <c r="X300" s="104" t="n"/>
      <c r="Y300" s="102" t="n"/>
      <c r="Z300" s="104" t="n"/>
      <c r="AB300" s="105">
        <f>IF($B300="","",(COUNTIF(C258:E275,$B300)+COUNTIF(C258:E275,$B300&amp;" ~*")&gt;0)+(COUNTIF(G258:I275,$B300)+COUNTIF(G258:I275,$B300&amp;" ~*")&gt;0)+(COUNTIF(K258:M275,$B300)+COUNTIF(K258:M275,$B300&amp;" ~*")&gt;0)+(COUNTIF(O258:Q275,$B300)+COUNTIF(O258:Q275,$B300&amp;" ~*")&gt;0)+(COUNTIF(S258:U275,$B300)+COUNTIF(S258:U275,$B300&amp;" ~*")&gt;0)+(COUNTIF(W258:W275,$B300)+COUNTIF(W258:W275,$B300&amp;" ~*")&gt;0)+(COUNTIF(Y258:Y275,$B300)+COUNTIF(Y258:Y275,$B300&amp;" ~*")&gt;0))</f>
        <v/>
      </c>
      <c r="AC300" s="38">
        <f>IF($B300="","",(IFERROR(INDEX(Setup!$G$33:$G$40,MATCH(C300,Setup!$B$33:$B$40,0)),0)=1)*(COUNTIF(C258:E275,$B300)+COUNTIF(C258:E275,$B300&amp;" ~*")&gt;0)+(IFERROR(INDEX(Setup!$G$33:$G$40,MATCH(G300,Setup!$B$33:$B$40,0)),0)=1)*(COUNTIF(G258:I275,$B300)+COUNTIF(G258:I275,$B300&amp;" ~*")&gt;0)+(IFERROR(INDEX(Setup!$G$33:$G$40,MATCH(K300,Setup!$B$33:$B$40,0)),0)=1)*(COUNTIF(K258:M275,$B300)+COUNTIF(K258:M275,$B300&amp;" ~*")&gt;0)+(IFERROR(INDEX(Setup!$G$33:$G$40,MATCH(O300,Setup!$B$33:$B$40,0)),0)=1)*(COUNTIF(O258:Q275,$B300)+COUNTIF(O258:Q275,$B300&amp;" ~*")&gt;0)+(IFERROR(INDEX(Setup!$G$33:$G$40,MATCH(S300,Setup!$B$33:$B$40,0)),0)=1)*(COUNTIF(S258:U275,$B300)+COUNTIF(S258:U275,$B300&amp;" ~*")&gt;0)+(IFERROR(INDEX(Setup!$G$33:$G$40,MATCH(W300,Setup!$B$33:$B$40,0)),0)=1)*(COUNTIF(W258:W275,$B300)+COUNTIF(W258:W275,$B300&amp;" ~*")&gt;0)+(IFERROR(INDEX(Setup!$G$33:$G$40,MATCH(Y300,Setup!$B$33:$B$40,0)),0)=1)*(COUNTIF(Y258:Y275,$B300)+COUNTIF(Y258:Y275,$B300&amp;" ~*")&gt;0))</f>
        <v/>
      </c>
    </row>
    <row r="301" ht="16" customHeight="1">
      <c r="A301" t="n">
        <v>6</v>
      </c>
      <c r="B301" s="106" t="inlineStr">
        <is>
          <t>Available people</t>
        </is>
      </c>
      <c r="C301" s="107">
        <f>COUNTIFS(Setup!$E$6:$E$29,"Y",Setup!$B$6:$B$29,"?*")-SUMPRODUCT(COUNTIF(C277:C300,Setup!$F$33:$F$40))</f>
        <v/>
      </c>
      <c r="D301" s="107" t="n"/>
      <c r="E301" s="107" t="n"/>
      <c r="F301" s="107" t="n"/>
      <c r="G301" s="107">
        <f>COUNTIFS(Setup!$E$6:$E$29,"Y",Setup!$B$6:$B$29,"?*")-SUMPRODUCT(COUNTIF(G277:G300,Setup!$F$33:$F$40))</f>
        <v/>
      </c>
      <c r="H301" s="107" t="n"/>
      <c r="I301" s="107" t="n"/>
      <c r="J301" s="107" t="n"/>
      <c r="K301" s="107">
        <f>COUNTIFS(Setup!$E$6:$E$29,"Y",Setup!$B$6:$B$29,"?*")-SUMPRODUCT(COUNTIF(K277:K300,Setup!$F$33:$F$40))</f>
        <v/>
      </c>
      <c r="L301" s="107" t="n"/>
      <c r="M301" s="107" t="n"/>
      <c r="N301" s="107" t="n"/>
      <c r="O301" s="107">
        <f>COUNTIFS(Setup!$E$6:$E$29,"Y",Setup!$B$6:$B$29,"?*")-SUMPRODUCT(COUNTIF(O277:O300,Setup!$F$33:$F$40))</f>
        <v/>
      </c>
      <c r="P301" s="107" t="n"/>
      <c r="Q301" s="107" t="n"/>
      <c r="R301" s="107" t="n"/>
      <c r="S301" s="107">
        <f>COUNTIFS(Setup!$E$6:$E$29,"Y",Setup!$B$6:$B$29,"?*")-SUMPRODUCT(COUNTIF(S277:S300,Setup!$F$33:$F$40))</f>
        <v/>
      </c>
      <c r="T301" s="107" t="n"/>
      <c r="U301" s="107" t="n"/>
      <c r="V301" s="107" t="n"/>
      <c r="W301" s="107">
        <f>COUNTIFS(Setup!$E$6:$E$29,"Y",Setup!$B$6:$B$29,"?*")-SUMPRODUCT(COUNTIF(W277:W300,Setup!$F$33:$F$40))</f>
        <v/>
      </c>
      <c r="X301" s="107" t="n"/>
      <c r="Y301" s="107">
        <f>COUNTIFS(Setup!$E$6:$E$29,"Y",Setup!$B$6:$B$29,"?*")-SUMPRODUCT(COUNTIF(Y277:Y300,Setup!$F$33:$F$40))</f>
        <v/>
      </c>
      <c r="Z301" s="107" t="n"/>
      <c r="AB301" s="108">
        <f>SUM(AB277:AB300)</f>
        <v/>
      </c>
      <c r="AC301" s="109">
        <f>SUM(AC277:AC300)</f>
        <v/>
      </c>
    </row>
    <row r="302" ht="30" customHeight="1">
      <c r="A302" t="n">
        <v>6</v>
      </c>
      <c r="B302" s="110" t="inlineStr">
        <is>
          <t>Week notes</t>
        </is>
      </c>
      <c r="C302" s="111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112" t="n"/>
      <c r="R302" s="112" t="n"/>
      <c r="S302" s="112" t="n"/>
      <c r="T302" s="112" t="n"/>
      <c r="U302" s="112" t="n"/>
      <c r="V302" s="112" t="n"/>
      <c r="W302" s="112" t="n"/>
      <c r="X302" s="112" t="n"/>
      <c r="Y302" s="112" t="n"/>
      <c r="Z302" s="113" t="n"/>
    </row>
    <row r="303" ht="8" customHeight="1">
      <c r="A303" t="n">
        <v>6</v>
      </c>
    </row>
    <row r="304" ht="8" customHeight="1">
      <c r="A304" t="n">
        <v>6</v>
      </c>
    </row>
    <row r="305" ht="24" customHeight="1">
      <c r="A305" t="n">
        <v>7</v>
      </c>
      <c r="B305" s="73">
        <f>"WEEK 7     "&amp;TEXT(C306,"ddd d mmm")&amp;"  –  "&amp;TEXT(C306+6,"ddd d mmm yyyy")</f>
        <v/>
      </c>
      <c r="S305" s="74">
        <f>IF(TODAY()&lt;C306,"FUTURE",IF(TODAY()&gt;C306+6,"PAST","THIS WEEK"))</f>
        <v/>
      </c>
      <c r="W305" s="75">
        <f>IF(AND(Engine!$B$8=$AC$3,Engine!$B$9=$A305),"◀ ACTIVE WEEK","")</f>
        <v/>
      </c>
      <c r="AA305" s="76" t="n"/>
      <c r="AB305" s="77" t="inlineStr">
        <is>
          <t>◀ Prev</t>
        </is>
      </c>
      <c r="AC305" s="77" t="inlineStr">
        <is>
          <t>Next ▶</t>
        </is>
      </c>
    </row>
    <row r="306" ht="18" customHeight="1">
      <c r="A306" t="n">
        <v>7</v>
      </c>
      <c r="B306" s="78" t="inlineStr">
        <is>
          <t>DUTY</t>
        </is>
      </c>
      <c r="C306" s="79">
        <f>$AC$2+7*($A306-1)</f>
        <v/>
      </c>
      <c r="D306" s="80" t="n"/>
      <c r="E306" s="80" t="n"/>
      <c r="F306" s="81" t="n"/>
      <c r="G306" s="79">
        <f>C306+1</f>
        <v/>
      </c>
      <c r="H306" s="80" t="n"/>
      <c r="I306" s="80" t="n"/>
      <c r="J306" s="81" t="n"/>
      <c r="K306" s="79">
        <f>C306+2</f>
        <v/>
      </c>
      <c r="L306" s="80" t="n"/>
      <c r="M306" s="80" t="n"/>
      <c r="N306" s="81" t="n"/>
      <c r="O306" s="79">
        <f>C306+3</f>
        <v/>
      </c>
      <c r="P306" s="80" t="n"/>
      <c r="Q306" s="80" t="n"/>
      <c r="R306" s="81" t="n"/>
      <c r="S306" s="79">
        <f>C306+4</f>
        <v/>
      </c>
      <c r="T306" s="80" t="n"/>
      <c r="U306" s="80" t="n"/>
      <c r="V306" s="81" t="n"/>
      <c r="W306" s="82">
        <f>C306+5</f>
        <v/>
      </c>
      <c r="X306" s="83" t="n"/>
      <c r="Y306" s="82">
        <f>C306+6</f>
        <v/>
      </c>
      <c r="Z306" s="83" t="n"/>
      <c r="AB306" s="72" t="inlineStr">
        <is>
          <t>Gaps</t>
        </is>
      </c>
      <c r="AC306" s="72" t="inlineStr">
        <is>
          <t>Cover</t>
        </is>
      </c>
    </row>
    <row r="307" ht="14" customHeight="1">
      <c r="A307" t="n">
        <v>7</v>
      </c>
      <c r="B307" s="84" t="inlineStr">
        <is>
          <t>(from Setup)</t>
        </is>
      </c>
      <c r="C307" s="85" t="inlineStr">
        <is>
          <t>1</t>
        </is>
      </c>
      <c r="D307" s="85" t="inlineStr">
        <is>
          <t>2</t>
        </is>
      </c>
      <c r="E307" s="85" t="inlineStr">
        <is>
          <t>3</t>
        </is>
      </c>
      <c r="F307" s="85" t="inlineStr">
        <is>
          <t>Notes</t>
        </is>
      </c>
      <c r="G307" s="85" t="inlineStr">
        <is>
          <t>1</t>
        </is>
      </c>
      <c r="H307" s="85" t="inlineStr">
        <is>
          <t>2</t>
        </is>
      </c>
      <c r="I307" s="85" t="inlineStr">
        <is>
          <t>3</t>
        </is>
      </c>
      <c r="J307" s="85" t="inlineStr">
        <is>
          <t>Notes</t>
        </is>
      </c>
      <c r="K307" s="85" t="inlineStr">
        <is>
          <t>1</t>
        </is>
      </c>
      <c r="L307" s="85" t="inlineStr">
        <is>
          <t>2</t>
        </is>
      </c>
      <c r="M307" s="85" t="inlineStr">
        <is>
          <t>3</t>
        </is>
      </c>
      <c r="N307" s="85" t="inlineStr">
        <is>
          <t>Notes</t>
        </is>
      </c>
      <c r="O307" s="85" t="inlineStr">
        <is>
          <t>1</t>
        </is>
      </c>
      <c r="P307" s="85" t="inlineStr">
        <is>
          <t>2</t>
        </is>
      </c>
      <c r="Q307" s="85" t="inlineStr">
        <is>
          <t>3</t>
        </is>
      </c>
      <c r="R307" s="85" t="inlineStr">
        <is>
          <t>Notes</t>
        </is>
      </c>
      <c r="S307" s="85" t="inlineStr">
        <is>
          <t>1</t>
        </is>
      </c>
      <c r="T307" s="85" t="inlineStr">
        <is>
          <t>2</t>
        </is>
      </c>
      <c r="U307" s="85" t="inlineStr">
        <is>
          <t>3</t>
        </is>
      </c>
      <c r="V307" s="85" t="inlineStr">
        <is>
          <t>Notes</t>
        </is>
      </c>
      <c r="W307" s="85" t="inlineStr">
        <is>
          <t>Cover</t>
        </is>
      </c>
      <c r="X307" s="85" t="inlineStr">
        <is>
          <t>Notes</t>
        </is>
      </c>
      <c r="Y307" s="85" t="inlineStr">
        <is>
          <t>Cover</t>
        </is>
      </c>
      <c r="Z307" s="85" t="inlineStr">
        <is>
          <t>Notes</t>
        </is>
      </c>
      <c r="AB307" s="86" t="inlineStr">
        <is>
          <t>weekdays short</t>
        </is>
      </c>
      <c r="AC307" s="87" t="inlineStr"/>
    </row>
    <row r="308" ht="17" customHeight="1">
      <c r="A308" t="n">
        <v>7</v>
      </c>
      <c r="B308" s="24">
        <f>IF(Setup!$K$6="","",Setup!$K$6)</f>
        <v/>
      </c>
      <c r="C308" s="88" t="n"/>
      <c r="D308" s="88" t="n"/>
      <c r="E308" s="88" t="n"/>
      <c r="F308" s="89" t="n"/>
      <c r="G308" s="88" t="n"/>
      <c r="H308" s="88" t="n"/>
      <c r="I308" s="88" t="n"/>
      <c r="J308" s="89" t="n"/>
      <c r="K308" s="88" t="n"/>
      <c r="L308" s="88" t="n"/>
      <c r="M308" s="88" t="n"/>
      <c r="N308" s="89" t="n"/>
      <c r="O308" s="88" t="n"/>
      <c r="P308" s="88" t="n"/>
      <c r="Q308" s="88" t="n"/>
      <c r="R308" s="89" t="n"/>
      <c r="S308" s="88" t="n"/>
      <c r="T308" s="88" t="n"/>
      <c r="U308" s="88" t="n"/>
      <c r="V308" s="89" t="n"/>
      <c r="W308" s="88" t="n"/>
      <c r="X308" s="89" t="n"/>
      <c r="Y308" s="88" t="n"/>
      <c r="Z308" s="89" t="n"/>
      <c r="AB308" s="25">
        <f>IF($B308="","",(COUNTIF(C308:E308,"?*")&lt;N(INDEX(Setup!$L$6:$L$23,1)))+(COUNTIF(G308:I308,"?*")&lt;N(INDEX(Setup!$L$6:$L$23,1)))+(COUNTIF(K308:M308,"?*")&lt;N(INDEX(Setup!$L$6:$L$23,1)))+(COUNTIF(O308:Q308,"?*")&lt;N(INDEX(Setup!$L$6:$L$23,1)))+(COUNTIF(S308:U308,"?*")&lt;N(INDEX(Setup!$L$6:$L$23,1)))+((W308="")*(INDEX(Setup!$M$6:$M$23,1)="Y"))+((Y308="")*(INDEX(Setup!$M$6:$M$23,1)="Y")))</f>
        <v/>
      </c>
      <c r="AC308" s="90">
        <f>IF($B308="","",IF(AB308=0,"✓ covered","⚠ "&amp;AB308&amp;IF(AB308=1," gap"," gaps")))</f>
        <v/>
      </c>
    </row>
    <row r="309" ht="17" customHeight="1">
      <c r="A309" t="n">
        <v>7</v>
      </c>
      <c r="B309" s="29">
        <f>IF(Setup!$K$7="","",Setup!$K$7)</f>
        <v/>
      </c>
      <c r="C309" s="88" t="n"/>
      <c r="D309" s="88" t="n"/>
      <c r="E309" s="88" t="n"/>
      <c r="F309" s="89" t="n"/>
      <c r="G309" s="88" t="n"/>
      <c r="H309" s="88" t="n"/>
      <c r="I309" s="88" t="n"/>
      <c r="J309" s="89" t="n"/>
      <c r="K309" s="88" t="n"/>
      <c r="L309" s="88" t="n"/>
      <c r="M309" s="88" t="n"/>
      <c r="N309" s="89" t="n"/>
      <c r="O309" s="88" t="n"/>
      <c r="P309" s="88" t="n"/>
      <c r="Q309" s="88" t="n"/>
      <c r="R309" s="89" t="n"/>
      <c r="S309" s="88" t="n"/>
      <c r="T309" s="88" t="n"/>
      <c r="U309" s="88" t="n"/>
      <c r="V309" s="89" t="n"/>
      <c r="W309" s="88" t="n"/>
      <c r="X309" s="89" t="n"/>
      <c r="Y309" s="88" t="n"/>
      <c r="Z309" s="89" t="n"/>
      <c r="AB309" s="30">
        <f>IF($B309="","",(COUNTIF(C309:E309,"?*")&lt;N(INDEX(Setup!$L$6:$L$23,2)))+(COUNTIF(G309:I309,"?*")&lt;N(INDEX(Setup!$L$6:$L$23,2)))+(COUNTIF(K309:M309,"?*")&lt;N(INDEX(Setup!$L$6:$L$23,2)))+(COUNTIF(O309:Q309,"?*")&lt;N(INDEX(Setup!$L$6:$L$23,2)))+(COUNTIF(S309:U309,"?*")&lt;N(INDEX(Setup!$L$6:$L$23,2)))+((W309="")*(INDEX(Setup!$M$6:$M$23,2)="Y"))+((Y309="")*(INDEX(Setup!$M$6:$M$23,2)="Y")))</f>
        <v/>
      </c>
      <c r="AC309" s="91">
        <f>IF($B309="","",IF(AB309=0,"✓ covered","⚠ "&amp;AB309&amp;IF(AB309=1," gap"," gaps")))</f>
        <v/>
      </c>
    </row>
    <row r="310" ht="17" customHeight="1">
      <c r="A310" t="n">
        <v>7</v>
      </c>
      <c r="B310" s="24">
        <f>IF(Setup!$K$8="","",Setup!$K$8)</f>
        <v/>
      </c>
      <c r="C310" s="88" t="n"/>
      <c r="D310" s="88" t="n"/>
      <c r="E310" s="88" t="n"/>
      <c r="F310" s="89" t="n"/>
      <c r="G310" s="88" t="n"/>
      <c r="H310" s="88" t="n"/>
      <c r="I310" s="88" t="n"/>
      <c r="J310" s="89" t="n"/>
      <c r="K310" s="88" t="n"/>
      <c r="L310" s="88" t="n"/>
      <c r="M310" s="88" t="n"/>
      <c r="N310" s="89" t="n"/>
      <c r="O310" s="88" t="n"/>
      <c r="P310" s="88" t="n"/>
      <c r="Q310" s="88" t="n"/>
      <c r="R310" s="89" t="n"/>
      <c r="S310" s="88" t="n"/>
      <c r="T310" s="88" t="n"/>
      <c r="U310" s="88" t="n"/>
      <c r="V310" s="89" t="n"/>
      <c r="W310" s="88" t="n"/>
      <c r="X310" s="89" t="n"/>
      <c r="Y310" s="88" t="n"/>
      <c r="Z310" s="89" t="n"/>
      <c r="AB310" s="25">
        <f>IF($B310="","",(COUNTIF(C310:E310,"?*")&lt;N(INDEX(Setup!$L$6:$L$23,3)))+(COUNTIF(G310:I310,"?*")&lt;N(INDEX(Setup!$L$6:$L$23,3)))+(COUNTIF(K310:M310,"?*")&lt;N(INDEX(Setup!$L$6:$L$23,3)))+(COUNTIF(O310:Q310,"?*")&lt;N(INDEX(Setup!$L$6:$L$23,3)))+(COUNTIF(S310:U310,"?*")&lt;N(INDEX(Setup!$L$6:$L$23,3)))+((W310="")*(INDEX(Setup!$M$6:$M$23,3)="Y"))+((Y310="")*(INDEX(Setup!$M$6:$M$23,3)="Y")))</f>
        <v/>
      </c>
      <c r="AC310" s="90">
        <f>IF($B310="","",IF(AB310=0,"✓ covered","⚠ "&amp;AB310&amp;IF(AB310=1," gap"," gaps")))</f>
        <v/>
      </c>
    </row>
    <row r="311" ht="17" customHeight="1">
      <c r="A311" t="n">
        <v>7</v>
      </c>
      <c r="B311" s="29">
        <f>IF(Setup!$K$9="","",Setup!$K$9)</f>
        <v/>
      </c>
      <c r="C311" s="88" t="n"/>
      <c r="D311" s="88" t="n"/>
      <c r="E311" s="88" t="n"/>
      <c r="F311" s="89" t="n"/>
      <c r="G311" s="88" t="n"/>
      <c r="H311" s="88" t="n"/>
      <c r="I311" s="88" t="n"/>
      <c r="J311" s="89" t="n"/>
      <c r="K311" s="88" t="n"/>
      <c r="L311" s="88" t="n"/>
      <c r="M311" s="88" t="n"/>
      <c r="N311" s="89" t="n"/>
      <c r="O311" s="88" t="n"/>
      <c r="P311" s="88" t="n"/>
      <c r="Q311" s="88" t="n"/>
      <c r="R311" s="89" t="n"/>
      <c r="S311" s="88" t="n"/>
      <c r="T311" s="88" t="n"/>
      <c r="U311" s="88" t="n"/>
      <c r="V311" s="89" t="n"/>
      <c r="W311" s="88" t="n"/>
      <c r="X311" s="89" t="n"/>
      <c r="Y311" s="88" t="n"/>
      <c r="Z311" s="89" t="n"/>
      <c r="AB311" s="30">
        <f>IF($B311="","",(COUNTIF(C311:E311,"?*")&lt;N(INDEX(Setup!$L$6:$L$23,4)))+(COUNTIF(G311:I311,"?*")&lt;N(INDEX(Setup!$L$6:$L$23,4)))+(COUNTIF(K311:M311,"?*")&lt;N(INDEX(Setup!$L$6:$L$23,4)))+(COUNTIF(O311:Q311,"?*")&lt;N(INDEX(Setup!$L$6:$L$23,4)))+(COUNTIF(S311:U311,"?*")&lt;N(INDEX(Setup!$L$6:$L$23,4)))+((W311="")*(INDEX(Setup!$M$6:$M$23,4)="Y"))+((Y311="")*(INDEX(Setup!$M$6:$M$23,4)="Y")))</f>
        <v/>
      </c>
      <c r="AC311" s="91">
        <f>IF($B311="","",IF(AB311=0,"✓ covered","⚠ "&amp;AB311&amp;IF(AB311=1," gap"," gaps")))</f>
        <v/>
      </c>
    </row>
    <row r="312" ht="17" customHeight="1">
      <c r="A312" t="n">
        <v>7</v>
      </c>
      <c r="B312" s="24">
        <f>IF(Setup!$K$10="","",Setup!$K$10)</f>
        <v/>
      </c>
      <c r="C312" s="88" t="n"/>
      <c r="D312" s="88" t="n"/>
      <c r="E312" s="88" t="n"/>
      <c r="F312" s="89" t="n"/>
      <c r="G312" s="88" t="n"/>
      <c r="H312" s="88" t="n"/>
      <c r="I312" s="88" t="n"/>
      <c r="J312" s="89" t="n"/>
      <c r="K312" s="88" t="n"/>
      <c r="L312" s="88" t="n"/>
      <c r="M312" s="88" t="n"/>
      <c r="N312" s="89" t="n"/>
      <c r="O312" s="88" t="n"/>
      <c r="P312" s="88" t="n"/>
      <c r="Q312" s="88" t="n"/>
      <c r="R312" s="89" t="n"/>
      <c r="S312" s="88" t="n"/>
      <c r="T312" s="88" t="n"/>
      <c r="U312" s="88" t="n"/>
      <c r="V312" s="89" t="n"/>
      <c r="W312" s="88" t="n"/>
      <c r="X312" s="89" t="n"/>
      <c r="Y312" s="88" t="n"/>
      <c r="Z312" s="89" t="n"/>
      <c r="AB312" s="25">
        <f>IF($B312="","",(COUNTIF(C312:E312,"?*")&lt;N(INDEX(Setup!$L$6:$L$23,5)))+(COUNTIF(G312:I312,"?*")&lt;N(INDEX(Setup!$L$6:$L$23,5)))+(COUNTIF(K312:M312,"?*")&lt;N(INDEX(Setup!$L$6:$L$23,5)))+(COUNTIF(O312:Q312,"?*")&lt;N(INDEX(Setup!$L$6:$L$23,5)))+(COUNTIF(S312:U312,"?*")&lt;N(INDEX(Setup!$L$6:$L$23,5)))+((W312="")*(INDEX(Setup!$M$6:$M$23,5)="Y"))+((Y312="")*(INDEX(Setup!$M$6:$M$23,5)="Y")))</f>
        <v/>
      </c>
      <c r="AC312" s="90">
        <f>IF($B312="","",IF(AB312=0,"✓ covered","⚠ "&amp;AB312&amp;IF(AB312=1," gap"," gaps")))</f>
        <v/>
      </c>
    </row>
    <row r="313" ht="17" customHeight="1">
      <c r="A313" t="n">
        <v>7</v>
      </c>
      <c r="B313" s="29">
        <f>IF(Setup!$K$11="","",Setup!$K$11)</f>
        <v/>
      </c>
      <c r="C313" s="88" t="n"/>
      <c r="D313" s="88" t="n"/>
      <c r="E313" s="88" t="n"/>
      <c r="F313" s="89" t="n"/>
      <c r="G313" s="88" t="n"/>
      <c r="H313" s="88" t="n"/>
      <c r="I313" s="88" t="n"/>
      <c r="J313" s="89" t="n"/>
      <c r="K313" s="88" t="n"/>
      <c r="L313" s="88" t="n"/>
      <c r="M313" s="88" t="n"/>
      <c r="N313" s="89" t="n"/>
      <c r="O313" s="88" t="n"/>
      <c r="P313" s="88" t="n"/>
      <c r="Q313" s="88" t="n"/>
      <c r="R313" s="89" t="n"/>
      <c r="S313" s="88" t="n"/>
      <c r="T313" s="88" t="n"/>
      <c r="U313" s="88" t="n"/>
      <c r="V313" s="89" t="n"/>
      <c r="W313" s="88" t="n"/>
      <c r="X313" s="89" t="n"/>
      <c r="Y313" s="88" t="n"/>
      <c r="Z313" s="89" t="n"/>
      <c r="AB313" s="30">
        <f>IF($B313="","",(COUNTIF(C313:E313,"?*")&lt;N(INDEX(Setup!$L$6:$L$23,6)))+(COUNTIF(G313:I313,"?*")&lt;N(INDEX(Setup!$L$6:$L$23,6)))+(COUNTIF(K313:M313,"?*")&lt;N(INDEX(Setup!$L$6:$L$23,6)))+(COUNTIF(O313:Q313,"?*")&lt;N(INDEX(Setup!$L$6:$L$23,6)))+(COUNTIF(S313:U313,"?*")&lt;N(INDEX(Setup!$L$6:$L$23,6)))+((W313="")*(INDEX(Setup!$M$6:$M$23,6)="Y"))+((Y313="")*(INDEX(Setup!$M$6:$M$23,6)="Y")))</f>
        <v/>
      </c>
      <c r="AC313" s="91">
        <f>IF($B313="","",IF(AB313=0,"✓ covered","⚠ "&amp;AB313&amp;IF(AB313=1," gap"," gaps")))</f>
        <v/>
      </c>
    </row>
    <row r="314" ht="17" customHeight="1">
      <c r="A314" t="n">
        <v>7</v>
      </c>
      <c r="B314" s="24">
        <f>IF(Setup!$K$12="","",Setup!$K$12)</f>
        <v/>
      </c>
      <c r="C314" s="88" t="n"/>
      <c r="D314" s="88" t="n"/>
      <c r="E314" s="88" t="n"/>
      <c r="F314" s="89" t="n"/>
      <c r="G314" s="88" t="n"/>
      <c r="H314" s="88" t="n"/>
      <c r="I314" s="88" t="n"/>
      <c r="J314" s="89" t="n"/>
      <c r="K314" s="88" t="n"/>
      <c r="L314" s="88" t="n"/>
      <c r="M314" s="88" t="n"/>
      <c r="N314" s="89" t="n"/>
      <c r="O314" s="88" t="n"/>
      <c r="P314" s="88" t="n"/>
      <c r="Q314" s="88" t="n"/>
      <c r="R314" s="89" t="n"/>
      <c r="S314" s="88" t="n"/>
      <c r="T314" s="88" t="n"/>
      <c r="U314" s="88" t="n"/>
      <c r="V314" s="89" t="n"/>
      <c r="W314" s="88" t="n"/>
      <c r="X314" s="89" t="n"/>
      <c r="Y314" s="88" t="n"/>
      <c r="Z314" s="89" t="n"/>
      <c r="AB314" s="25">
        <f>IF($B314="","",(COUNTIF(C314:E314,"?*")&lt;N(INDEX(Setup!$L$6:$L$23,7)))+(COUNTIF(G314:I314,"?*")&lt;N(INDEX(Setup!$L$6:$L$23,7)))+(COUNTIF(K314:M314,"?*")&lt;N(INDEX(Setup!$L$6:$L$23,7)))+(COUNTIF(O314:Q314,"?*")&lt;N(INDEX(Setup!$L$6:$L$23,7)))+(COUNTIF(S314:U314,"?*")&lt;N(INDEX(Setup!$L$6:$L$23,7)))+((W314="")*(INDEX(Setup!$M$6:$M$23,7)="Y"))+((Y314="")*(INDEX(Setup!$M$6:$M$23,7)="Y")))</f>
        <v/>
      </c>
      <c r="AC314" s="90">
        <f>IF($B314="","",IF(AB314=0,"✓ covered","⚠ "&amp;AB314&amp;IF(AB314=1," gap"," gaps")))</f>
        <v/>
      </c>
    </row>
    <row r="315" ht="17" customHeight="1">
      <c r="A315" t="n">
        <v>7</v>
      </c>
      <c r="B315" s="29">
        <f>IF(Setup!$K$13="","",Setup!$K$13)</f>
        <v/>
      </c>
      <c r="C315" s="88" t="n"/>
      <c r="D315" s="88" t="n"/>
      <c r="E315" s="88" t="n"/>
      <c r="F315" s="89" t="n"/>
      <c r="G315" s="88" t="n"/>
      <c r="H315" s="88" t="n"/>
      <c r="I315" s="88" t="n"/>
      <c r="J315" s="89" t="n"/>
      <c r="K315" s="88" t="n"/>
      <c r="L315" s="88" t="n"/>
      <c r="M315" s="88" t="n"/>
      <c r="N315" s="89" t="n"/>
      <c r="O315" s="88" t="n"/>
      <c r="P315" s="88" t="n"/>
      <c r="Q315" s="88" t="n"/>
      <c r="R315" s="89" t="n"/>
      <c r="S315" s="88" t="n"/>
      <c r="T315" s="88" t="n"/>
      <c r="U315" s="88" t="n"/>
      <c r="V315" s="89" t="n"/>
      <c r="W315" s="88" t="n"/>
      <c r="X315" s="89" t="n"/>
      <c r="Y315" s="88" t="n"/>
      <c r="Z315" s="89" t="n"/>
      <c r="AB315" s="30">
        <f>IF($B315="","",(COUNTIF(C315:E315,"?*")&lt;N(INDEX(Setup!$L$6:$L$23,8)))+(COUNTIF(G315:I315,"?*")&lt;N(INDEX(Setup!$L$6:$L$23,8)))+(COUNTIF(K315:M315,"?*")&lt;N(INDEX(Setup!$L$6:$L$23,8)))+(COUNTIF(O315:Q315,"?*")&lt;N(INDEX(Setup!$L$6:$L$23,8)))+(COUNTIF(S315:U315,"?*")&lt;N(INDEX(Setup!$L$6:$L$23,8)))+((W315="")*(INDEX(Setup!$M$6:$M$23,8)="Y"))+((Y315="")*(INDEX(Setup!$M$6:$M$23,8)="Y")))</f>
        <v/>
      </c>
      <c r="AC315" s="91">
        <f>IF($B315="","",IF(AB315=0,"✓ covered","⚠ "&amp;AB315&amp;IF(AB315=1," gap"," gaps")))</f>
        <v/>
      </c>
    </row>
    <row r="316" ht="17" customHeight="1">
      <c r="A316" t="n">
        <v>7</v>
      </c>
      <c r="B316" s="24">
        <f>IF(Setup!$K$14="","",Setup!$K$14)</f>
        <v/>
      </c>
      <c r="C316" s="88" t="n"/>
      <c r="D316" s="88" t="n"/>
      <c r="E316" s="88" t="n"/>
      <c r="F316" s="89" t="n"/>
      <c r="G316" s="88" t="n"/>
      <c r="H316" s="88" t="n"/>
      <c r="I316" s="88" t="n"/>
      <c r="J316" s="89" t="n"/>
      <c r="K316" s="88" t="n"/>
      <c r="L316" s="88" t="n"/>
      <c r="M316" s="88" t="n"/>
      <c r="N316" s="89" t="n"/>
      <c r="O316" s="88" t="n"/>
      <c r="P316" s="88" t="n"/>
      <c r="Q316" s="88" t="n"/>
      <c r="R316" s="89" t="n"/>
      <c r="S316" s="88" t="n"/>
      <c r="T316" s="88" t="n"/>
      <c r="U316" s="88" t="n"/>
      <c r="V316" s="89" t="n"/>
      <c r="W316" s="88" t="n"/>
      <c r="X316" s="89" t="n"/>
      <c r="Y316" s="88" t="n"/>
      <c r="Z316" s="89" t="n"/>
      <c r="AB316" s="25">
        <f>IF($B316="","",(COUNTIF(C316:E316,"?*")&lt;N(INDEX(Setup!$L$6:$L$23,9)))+(COUNTIF(G316:I316,"?*")&lt;N(INDEX(Setup!$L$6:$L$23,9)))+(COUNTIF(K316:M316,"?*")&lt;N(INDEX(Setup!$L$6:$L$23,9)))+(COUNTIF(O316:Q316,"?*")&lt;N(INDEX(Setup!$L$6:$L$23,9)))+(COUNTIF(S316:U316,"?*")&lt;N(INDEX(Setup!$L$6:$L$23,9)))+((W316="")*(INDEX(Setup!$M$6:$M$23,9)="Y"))+((Y316="")*(INDEX(Setup!$M$6:$M$23,9)="Y")))</f>
        <v/>
      </c>
      <c r="AC316" s="90">
        <f>IF($B316="","",IF(AB316=0,"✓ covered","⚠ "&amp;AB316&amp;IF(AB316=1," gap"," gaps")))</f>
        <v/>
      </c>
    </row>
    <row r="317" ht="17" customHeight="1">
      <c r="A317" t="n">
        <v>7</v>
      </c>
      <c r="B317" s="29">
        <f>IF(Setup!$K$15="","",Setup!$K$15)</f>
        <v/>
      </c>
      <c r="C317" s="88" t="n"/>
      <c r="D317" s="88" t="n"/>
      <c r="E317" s="88" t="n"/>
      <c r="F317" s="89" t="n"/>
      <c r="G317" s="88" t="n"/>
      <c r="H317" s="88" t="n"/>
      <c r="I317" s="88" t="n"/>
      <c r="J317" s="89" t="n"/>
      <c r="K317" s="88" t="n"/>
      <c r="L317" s="88" t="n"/>
      <c r="M317" s="88" t="n"/>
      <c r="N317" s="89" t="n"/>
      <c r="O317" s="88" t="n"/>
      <c r="P317" s="88" t="n"/>
      <c r="Q317" s="88" t="n"/>
      <c r="R317" s="89" t="n"/>
      <c r="S317" s="88" t="n"/>
      <c r="T317" s="88" t="n"/>
      <c r="U317" s="88" t="n"/>
      <c r="V317" s="89" t="n"/>
      <c r="W317" s="88" t="n"/>
      <c r="X317" s="89" t="n"/>
      <c r="Y317" s="88" t="n"/>
      <c r="Z317" s="89" t="n"/>
      <c r="AB317" s="30">
        <f>IF($B317="","",(COUNTIF(C317:E317,"?*")&lt;N(INDEX(Setup!$L$6:$L$23,10)))+(COUNTIF(G317:I317,"?*")&lt;N(INDEX(Setup!$L$6:$L$23,10)))+(COUNTIF(K317:M317,"?*")&lt;N(INDEX(Setup!$L$6:$L$23,10)))+(COUNTIF(O317:Q317,"?*")&lt;N(INDEX(Setup!$L$6:$L$23,10)))+(COUNTIF(S317:U317,"?*")&lt;N(INDEX(Setup!$L$6:$L$23,10)))+((W317="")*(INDEX(Setup!$M$6:$M$23,10)="Y"))+((Y317="")*(INDEX(Setup!$M$6:$M$23,10)="Y")))</f>
        <v/>
      </c>
      <c r="AC317" s="91">
        <f>IF($B317="","",IF(AB317=0,"✓ covered","⚠ "&amp;AB317&amp;IF(AB317=1," gap"," gaps")))</f>
        <v/>
      </c>
    </row>
    <row r="318" ht="17" customHeight="1">
      <c r="A318" t="n">
        <v>7</v>
      </c>
      <c r="B318" s="24">
        <f>IF(Setup!$K$16="","",Setup!$K$16)</f>
        <v/>
      </c>
      <c r="C318" s="88" t="n"/>
      <c r="D318" s="88" t="n"/>
      <c r="E318" s="88" t="n"/>
      <c r="F318" s="89" t="n"/>
      <c r="G318" s="88" t="n"/>
      <c r="H318" s="88" t="n"/>
      <c r="I318" s="88" t="n"/>
      <c r="J318" s="89" t="n"/>
      <c r="K318" s="88" t="n"/>
      <c r="L318" s="88" t="n"/>
      <c r="M318" s="88" t="n"/>
      <c r="N318" s="89" t="n"/>
      <c r="O318" s="88" t="n"/>
      <c r="P318" s="88" t="n"/>
      <c r="Q318" s="88" t="n"/>
      <c r="R318" s="89" t="n"/>
      <c r="S318" s="88" t="n"/>
      <c r="T318" s="88" t="n"/>
      <c r="U318" s="88" t="n"/>
      <c r="V318" s="89" t="n"/>
      <c r="W318" s="88" t="n"/>
      <c r="X318" s="89" t="n"/>
      <c r="Y318" s="88" t="n"/>
      <c r="Z318" s="89" t="n"/>
      <c r="AB318" s="25">
        <f>IF($B318="","",(COUNTIF(C318:E318,"?*")&lt;N(INDEX(Setup!$L$6:$L$23,11)))+(COUNTIF(G318:I318,"?*")&lt;N(INDEX(Setup!$L$6:$L$23,11)))+(COUNTIF(K318:M318,"?*")&lt;N(INDEX(Setup!$L$6:$L$23,11)))+(COUNTIF(O318:Q318,"?*")&lt;N(INDEX(Setup!$L$6:$L$23,11)))+(COUNTIF(S318:U318,"?*")&lt;N(INDEX(Setup!$L$6:$L$23,11)))+((W318="")*(INDEX(Setup!$M$6:$M$23,11)="Y"))+((Y318="")*(INDEX(Setup!$M$6:$M$23,11)="Y")))</f>
        <v/>
      </c>
      <c r="AC318" s="90">
        <f>IF($B318="","",IF(AB318=0,"✓ covered","⚠ "&amp;AB318&amp;IF(AB318=1," gap"," gaps")))</f>
        <v/>
      </c>
    </row>
    <row r="319" ht="17" customHeight="1">
      <c r="A319" t="n">
        <v>7</v>
      </c>
      <c r="B319" s="29">
        <f>IF(Setup!$K$17="","",Setup!$K$17)</f>
        <v/>
      </c>
      <c r="C319" s="88" t="n"/>
      <c r="D319" s="88" t="n"/>
      <c r="E319" s="88" t="n"/>
      <c r="F319" s="89" t="n"/>
      <c r="G319" s="88" t="n"/>
      <c r="H319" s="88" t="n"/>
      <c r="I319" s="88" t="n"/>
      <c r="J319" s="89" t="n"/>
      <c r="K319" s="88" t="n"/>
      <c r="L319" s="88" t="n"/>
      <c r="M319" s="88" t="n"/>
      <c r="N319" s="89" t="n"/>
      <c r="O319" s="88" t="n"/>
      <c r="P319" s="88" t="n"/>
      <c r="Q319" s="88" t="n"/>
      <c r="R319" s="89" t="n"/>
      <c r="S319" s="88" t="n"/>
      <c r="T319" s="88" t="n"/>
      <c r="U319" s="88" t="n"/>
      <c r="V319" s="89" t="n"/>
      <c r="W319" s="88" t="n"/>
      <c r="X319" s="89" t="n"/>
      <c r="Y319" s="88" t="n"/>
      <c r="Z319" s="89" t="n"/>
      <c r="AB319" s="30">
        <f>IF($B319="","",(COUNTIF(C319:E319,"?*")&lt;N(INDEX(Setup!$L$6:$L$23,12)))+(COUNTIF(G319:I319,"?*")&lt;N(INDEX(Setup!$L$6:$L$23,12)))+(COUNTIF(K319:M319,"?*")&lt;N(INDEX(Setup!$L$6:$L$23,12)))+(COUNTIF(O319:Q319,"?*")&lt;N(INDEX(Setup!$L$6:$L$23,12)))+(COUNTIF(S319:U319,"?*")&lt;N(INDEX(Setup!$L$6:$L$23,12)))+((W319="")*(INDEX(Setup!$M$6:$M$23,12)="Y"))+((Y319="")*(INDEX(Setup!$M$6:$M$23,12)="Y")))</f>
        <v/>
      </c>
      <c r="AC319" s="91">
        <f>IF($B319="","",IF(AB319=0,"✓ covered","⚠ "&amp;AB319&amp;IF(AB319=1," gap"," gaps")))</f>
        <v/>
      </c>
    </row>
    <row r="320" ht="17" customHeight="1">
      <c r="A320" t="n">
        <v>7</v>
      </c>
      <c r="B320" s="24">
        <f>IF(Setup!$K$18="","",Setup!$K$18)</f>
        <v/>
      </c>
      <c r="C320" s="88" t="n"/>
      <c r="D320" s="88" t="n"/>
      <c r="E320" s="88" t="n"/>
      <c r="F320" s="89" t="n"/>
      <c r="G320" s="88" t="n"/>
      <c r="H320" s="88" t="n"/>
      <c r="I320" s="88" t="n"/>
      <c r="J320" s="89" t="n"/>
      <c r="K320" s="88" t="n"/>
      <c r="L320" s="88" t="n"/>
      <c r="M320" s="88" t="n"/>
      <c r="N320" s="89" t="n"/>
      <c r="O320" s="88" t="n"/>
      <c r="P320" s="88" t="n"/>
      <c r="Q320" s="88" t="n"/>
      <c r="R320" s="89" t="n"/>
      <c r="S320" s="88" t="n"/>
      <c r="T320" s="88" t="n"/>
      <c r="U320" s="88" t="n"/>
      <c r="V320" s="89" t="n"/>
      <c r="W320" s="88" t="n"/>
      <c r="X320" s="89" t="n"/>
      <c r="Y320" s="88" t="n"/>
      <c r="Z320" s="89" t="n"/>
      <c r="AB320" s="25">
        <f>IF($B320="","",(COUNTIF(C320:E320,"?*")&lt;N(INDEX(Setup!$L$6:$L$23,13)))+(COUNTIF(G320:I320,"?*")&lt;N(INDEX(Setup!$L$6:$L$23,13)))+(COUNTIF(K320:M320,"?*")&lt;N(INDEX(Setup!$L$6:$L$23,13)))+(COUNTIF(O320:Q320,"?*")&lt;N(INDEX(Setup!$L$6:$L$23,13)))+(COUNTIF(S320:U320,"?*")&lt;N(INDEX(Setup!$L$6:$L$23,13)))+((W320="")*(INDEX(Setup!$M$6:$M$23,13)="Y"))+((Y320="")*(INDEX(Setup!$M$6:$M$23,13)="Y")))</f>
        <v/>
      </c>
      <c r="AC320" s="90">
        <f>IF($B320="","",IF(AB320=0,"✓ covered","⚠ "&amp;AB320&amp;IF(AB320=1," gap"," gaps")))</f>
        <v/>
      </c>
    </row>
    <row r="321" ht="17" customHeight="1">
      <c r="A321" t="n">
        <v>7</v>
      </c>
      <c r="B321" s="29">
        <f>IF(Setup!$K$19="","",Setup!$K$19)</f>
        <v/>
      </c>
      <c r="C321" s="88" t="n"/>
      <c r="D321" s="88" t="n"/>
      <c r="E321" s="88" t="n"/>
      <c r="F321" s="89" t="n"/>
      <c r="G321" s="88" t="n"/>
      <c r="H321" s="88" t="n"/>
      <c r="I321" s="88" t="n"/>
      <c r="J321" s="89" t="n"/>
      <c r="K321" s="88" t="n"/>
      <c r="L321" s="88" t="n"/>
      <c r="M321" s="88" t="n"/>
      <c r="N321" s="89" t="n"/>
      <c r="O321" s="88" t="n"/>
      <c r="P321" s="88" t="n"/>
      <c r="Q321" s="88" t="n"/>
      <c r="R321" s="89" t="n"/>
      <c r="S321" s="88" t="n"/>
      <c r="T321" s="88" t="n"/>
      <c r="U321" s="88" t="n"/>
      <c r="V321" s="89" t="n"/>
      <c r="W321" s="88" t="n"/>
      <c r="X321" s="89" t="n"/>
      <c r="Y321" s="88" t="n"/>
      <c r="Z321" s="89" t="n"/>
      <c r="AB321" s="30">
        <f>IF($B321="","",(COUNTIF(C321:E321,"?*")&lt;N(INDEX(Setup!$L$6:$L$23,14)))+(COUNTIF(G321:I321,"?*")&lt;N(INDEX(Setup!$L$6:$L$23,14)))+(COUNTIF(K321:M321,"?*")&lt;N(INDEX(Setup!$L$6:$L$23,14)))+(COUNTIF(O321:Q321,"?*")&lt;N(INDEX(Setup!$L$6:$L$23,14)))+(COUNTIF(S321:U321,"?*")&lt;N(INDEX(Setup!$L$6:$L$23,14)))+((W321="")*(INDEX(Setup!$M$6:$M$23,14)="Y"))+((Y321="")*(INDEX(Setup!$M$6:$M$23,14)="Y")))</f>
        <v/>
      </c>
      <c r="AC321" s="91">
        <f>IF($B321="","",IF(AB321=0,"✓ covered","⚠ "&amp;AB321&amp;IF(AB321=1," gap"," gaps")))</f>
        <v/>
      </c>
    </row>
    <row r="322" ht="17" customHeight="1">
      <c r="A322" t="n">
        <v>7</v>
      </c>
      <c r="B322" s="24">
        <f>IF(Setup!$K$20="","",Setup!$K$20)</f>
        <v/>
      </c>
      <c r="C322" s="88" t="n"/>
      <c r="D322" s="88" t="n"/>
      <c r="E322" s="88" t="n"/>
      <c r="F322" s="89" t="n"/>
      <c r="G322" s="88" t="n"/>
      <c r="H322" s="88" t="n"/>
      <c r="I322" s="88" t="n"/>
      <c r="J322" s="89" t="n"/>
      <c r="K322" s="88" t="n"/>
      <c r="L322" s="88" t="n"/>
      <c r="M322" s="88" t="n"/>
      <c r="N322" s="89" t="n"/>
      <c r="O322" s="88" t="n"/>
      <c r="P322" s="88" t="n"/>
      <c r="Q322" s="88" t="n"/>
      <c r="R322" s="89" t="n"/>
      <c r="S322" s="88" t="n"/>
      <c r="T322" s="88" t="n"/>
      <c r="U322" s="88" t="n"/>
      <c r="V322" s="89" t="n"/>
      <c r="W322" s="88" t="n"/>
      <c r="X322" s="89" t="n"/>
      <c r="Y322" s="88" t="n"/>
      <c r="Z322" s="89" t="n"/>
      <c r="AB322" s="25">
        <f>IF($B322="","",(COUNTIF(C322:E322,"?*")&lt;N(INDEX(Setup!$L$6:$L$23,15)))+(COUNTIF(G322:I322,"?*")&lt;N(INDEX(Setup!$L$6:$L$23,15)))+(COUNTIF(K322:M322,"?*")&lt;N(INDEX(Setup!$L$6:$L$23,15)))+(COUNTIF(O322:Q322,"?*")&lt;N(INDEX(Setup!$L$6:$L$23,15)))+(COUNTIF(S322:U322,"?*")&lt;N(INDEX(Setup!$L$6:$L$23,15)))+((W322="")*(INDEX(Setup!$M$6:$M$23,15)="Y"))+((Y322="")*(INDEX(Setup!$M$6:$M$23,15)="Y")))</f>
        <v/>
      </c>
      <c r="AC322" s="90">
        <f>IF($B322="","",IF(AB322=0,"✓ covered","⚠ "&amp;AB322&amp;IF(AB322=1," gap"," gaps")))</f>
        <v/>
      </c>
    </row>
    <row r="323" ht="17" customHeight="1">
      <c r="A323" t="n">
        <v>7</v>
      </c>
      <c r="B323" s="29">
        <f>IF(Setup!$K$21="","",Setup!$K$21)</f>
        <v/>
      </c>
      <c r="C323" s="88" t="n"/>
      <c r="D323" s="88" t="n"/>
      <c r="E323" s="88" t="n"/>
      <c r="F323" s="89" t="n"/>
      <c r="G323" s="88" t="n"/>
      <c r="H323" s="88" t="n"/>
      <c r="I323" s="88" t="n"/>
      <c r="J323" s="89" t="n"/>
      <c r="K323" s="88" t="n"/>
      <c r="L323" s="88" t="n"/>
      <c r="M323" s="88" t="n"/>
      <c r="N323" s="89" t="n"/>
      <c r="O323" s="88" t="n"/>
      <c r="P323" s="88" t="n"/>
      <c r="Q323" s="88" t="n"/>
      <c r="R323" s="89" t="n"/>
      <c r="S323" s="88" t="n"/>
      <c r="T323" s="88" t="n"/>
      <c r="U323" s="88" t="n"/>
      <c r="V323" s="89" t="n"/>
      <c r="W323" s="88" t="n"/>
      <c r="X323" s="89" t="n"/>
      <c r="Y323" s="88" t="n"/>
      <c r="Z323" s="89" t="n"/>
      <c r="AB323" s="30">
        <f>IF($B323="","",(COUNTIF(C323:E323,"?*")&lt;N(INDEX(Setup!$L$6:$L$23,16)))+(COUNTIF(G323:I323,"?*")&lt;N(INDEX(Setup!$L$6:$L$23,16)))+(COUNTIF(K323:M323,"?*")&lt;N(INDEX(Setup!$L$6:$L$23,16)))+(COUNTIF(O323:Q323,"?*")&lt;N(INDEX(Setup!$L$6:$L$23,16)))+(COUNTIF(S323:U323,"?*")&lt;N(INDEX(Setup!$L$6:$L$23,16)))+((W323="")*(INDEX(Setup!$M$6:$M$23,16)="Y"))+((Y323="")*(INDEX(Setup!$M$6:$M$23,16)="Y")))</f>
        <v/>
      </c>
      <c r="AC323" s="91">
        <f>IF($B323="","",IF(AB323=0,"✓ covered","⚠ "&amp;AB323&amp;IF(AB323=1," gap"," gaps")))</f>
        <v/>
      </c>
    </row>
    <row r="324" ht="17" customHeight="1">
      <c r="A324" t="n">
        <v>7</v>
      </c>
      <c r="B324" s="24">
        <f>IF(Setup!$K$22="","",Setup!$K$22)</f>
        <v/>
      </c>
      <c r="C324" s="88" t="n"/>
      <c r="D324" s="88" t="n"/>
      <c r="E324" s="88" t="n"/>
      <c r="F324" s="89" t="n"/>
      <c r="G324" s="88" t="n"/>
      <c r="H324" s="88" t="n"/>
      <c r="I324" s="88" t="n"/>
      <c r="J324" s="89" t="n"/>
      <c r="K324" s="88" t="n"/>
      <c r="L324" s="88" t="n"/>
      <c r="M324" s="88" t="n"/>
      <c r="N324" s="89" t="n"/>
      <c r="O324" s="88" t="n"/>
      <c r="P324" s="88" t="n"/>
      <c r="Q324" s="88" t="n"/>
      <c r="R324" s="89" t="n"/>
      <c r="S324" s="88" t="n"/>
      <c r="T324" s="88" t="n"/>
      <c r="U324" s="88" t="n"/>
      <c r="V324" s="89" t="n"/>
      <c r="W324" s="88" t="n"/>
      <c r="X324" s="89" t="n"/>
      <c r="Y324" s="88" t="n"/>
      <c r="Z324" s="89" t="n"/>
      <c r="AB324" s="25">
        <f>IF($B324="","",(COUNTIF(C324:E324,"?*")&lt;N(INDEX(Setup!$L$6:$L$23,17)))+(COUNTIF(G324:I324,"?*")&lt;N(INDEX(Setup!$L$6:$L$23,17)))+(COUNTIF(K324:M324,"?*")&lt;N(INDEX(Setup!$L$6:$L$23,17)))+(COUNTIF(O324:Q324,"?*")&lt;N(INDEX(Setup!$L$6:$L$23,17)))+(COUNTIF(S324:U324,"?*")&lt;N(INDEX(Setup!$L$6:$L$23,17)))+((W324="")*(INDEX(Setup!$M$6:$M$23,17)="Y"))+((Y324="")*(INDEX(Setup!$M$6:$M$23,17)="Y")))</f>
        <v/>
      </c>
      <c r="AC324" s="90">
        <f>IF($B324="","",IF(AB324=0,"✓ covered","⚠ "&amp;AB324&amp;IF(AB324=1," gap"," gaps")))</f>
        <v/>
      </c>
    </row>
    <row r="325" ht="17" customHeight="1">
      <c r="A325" t="n">
        <v>7</v>
      </c>
      <c r="B325" s="29">
        <f>IF(Setup!$K$23="","",Setup!$K$23)</f>
        <v/>
      </c>
      <c r="C325" s="88" t="n"/>
      <c r="D325" s="88" t="n"/>
      <c r="E325" s="88" t="n"/>
      <c r="F325" s="89" t="n"/>
      <c r="G325" s="88" t="n"/>
      <c r="H325" s="88" t="n"/>
      <c r="I325" s="88" t="n"/>
      <c r="J325" s="89" t="n"/>
      <c r="K325" s="88" t="n"/>
      <c r="L325" s="88" t="n"/>
      <c r="M325" s="88" t="n"/>
      <c r="N325" s="89" t="n"/>
      <c r="O325" s="88" t="n"/>
      <c r="P325" s="88" t="n"/>
      <c r="Q325" s="88" t="n"/>
      <c r="R325" s="89" t="n"/>
      <c r="S325" s="88" t="n"/>
      <c r="T325" s="88" t="n"/>
      <c r="U325" s="88" t="n"/>
      <c r="V325" s="89" t="n"/>
      <c r="W325" s="88" t="n"/>
      <c r="X325" s="89" t="n"/>
      <c r="Y325" s="88" t="n"/>
      <c r="Z325" s="89" t="n"/>
      <c r="AB325" s="30">
        <f>IF($B325="","",(COUNTIF(C325:E325,"?*")&lt;N(INDEX(Setup!$L$6:$L$23,18)))+(COUNTIF(G325:I325,"?*")&lt;N(INDEX(Setup!$L$6:$L$23,18)))+(COUNTIF(K325:M325,"?*")&lt;N(INDEX(Setup!$L$6:$L$23,18)))+(COUNTIF(O325:Q325,"?*")&lt;N(INDEX(Setup!$L$6:$L$23,18)))+(COUNTIF(S325:U325,"?*")&lt;N(INDEX(Setup!$L$6:$L$23,18)))+((W325="")*(INDEX(Setup!$M$6:$M$23,18)="Y"))+((Y325="")*(INDEX(Setup!$M$6:$M$23,18)="Y")))</f>
        <v/>
      </c>
      <c r="AC325" s="91">
        <f>IF($B325="","",IF(AB325=0,"✓ covered","⚠ "&amp;AB325&amp;IF(AB325=1," gap"," gaps")))</f>
        <v/>
      </c>
    </row>
    <row r="326" ht="18" customHeight="1">
      <c r="A326" t="n">
        <v>7</v>
      </c>
      <c r="B326" s="78" t="inlineStr">
        <is>
          <t>TEAM AVAILABILITY</t>
        </is>
      </c>
      <c r="C326" s="92" t="inlineStr">
        <is>
          <t>Mon</t>
        </is>
      </c>
      <c r="D326" s="93" t="n"/>
      <c r="E326" s="93" t="n"/>
      <c r="F326" s="94" t="n"/>
      <c r="G326" s="92" t="inlineStr">
        <is>
          <t>Tue</t>
        </is>
      </c>
      <c r="H326" s="93" t="n"/>
      <c r="I326" s="93" t="n"/>
      <c r="J326" s="94" t="n"/>
      <c r="K326" s="92" t="inlineStr">
        <is>
          <t>Wed</t>
        </is>
      </c>
      <c r="L326" s="93" t="n"/>
      <c r="M326" s="93" t="n"/>
      <c r="N326" s="94" t="n"/>
      <c r="O326" s="92" t="inlineStr">
        <is>
          <t>Thu</t>
        </is>
      </c>
      <c r="P326" s="93" t="n"/>
      <c r="Q326" s="93" t="n"/>
      <c r="R326" s="94" t="n"/>
      <c r="S326" s="92" t="inlineStr">
        <is>
          <t>Fri</t>
        </is>
      </c>
      <c r="T326" s="93" t="n"/>
      <c r="U326" s="93" t="n"/>
      <c r="V326" s="94" t="n"/>
      <c r="W326" s="95" t="inlineStr">
        <is>
          <t>Sat</t>
        </is>
      </c>
      <c r="X326" s="96" t="n"/>
      <c r="Y326" s="95" t="inlineStr">
        <is>
          <t>Sun</t>
        </is>
      </c>
      <c r="Z326" s="96" t="n"/>
      <c r="AB326" s="97" t="inlineStr">
        <is>
          <t>Days rostered</t>
        </is>
      </c>
      <c r="AC326" s="97" t="inlineStr">
        <is>
          <t>Conflicts</t>
        </is>
      </c>
    </row>
    <row r="327" ht="15" customHeight="1">
      <c r="A327" t="n">
        <v>7</v>
      </c>
      <c r="B327" s="35">
        <f>IF(Setup!$B$6="","",Setup!$B$6)</f>
        <v/>
      </c>
      <c r="C327" s="98" t="n"/>
      <c r="D327" s="99" t="n"/>
      <c r="E327" s="99" t="n"/>
      <c r="F327" s="100" t="n"/>
      <c r="G327" s="98" t="n"/>
      <c r="H327" s="99" t="n"/>
      <c r="I327" s="99" t="n"/>
      <c r="J327" s="100" t="n"/>
      <c r="K327" s="98" t="n"/>
      <c r="L327" s="99" t="n"/>
      <c r="M327" s="99" t="n"/>
      <c r="N327" s="100" t="n"/>
      <c r="O327" s="98" t="n"/>
      <c r="P327" s="99" t="n"/>
      <c r="Q327" s="99" t="n"/>
      <c r="R327" s="100" t="n"/>
      <c r="S327" s="98" t="n"/>
      <c r="T327" s="99" t="n"/>
      <c r="U327" s="99" t="n"/>
      <c r="V327" s="100" t="n"/>
      <c r="W327" s="98" t="n"/>
      <c r="X327" s="100" t="n"/>
      <c r="Y327" s="98" t="n"/>
      <c r="Z327" s="100" t="n"/>
      <c r="AB327" s="101">
        <f>IF($B327="","",(COUNTIF(C308:E325,$B327)+COUNTIF(C308:E325,$B327&amp;" ~*")&gt;0)+(COUNTIF(G308:I325,$B327)+COUNTIF(G308:I325,$B327&amp;" ~*")&gt;0)+(COUNTIF(K308:M325,$B327)+COUNTIF(K308:M325,$B327&amp;" ~*")&gt;0)+(COUNTIF(O308:Q325,$B327)+COUNTIF(O308:Q325,$B327&amp;" ~*")&gt;0)+(COUNTIF(S308:U325,$B327)+COUNTIF(S308:U325,$B327&amp;" ~*")&gt;0)+(COUNTIF(W308:W325,$B327)+COUNTIF(W308:W325,$B327&amp;" ~*")&gt;0)+(COUNTIF(Y308:Y325,$B327)+COUNTIF(Y308:Y325,$B327&amp;" ~*")&gt;0))</f>
        <v/>
      </c>
      <c r="AC327" s="36">
        <f>IF($B327="","",(IFERROR(INDEX(Setup!$G$33:$G$40,MATCH(C327,Setup!$B$33:$B$40,0)),0)=1)*(COUNTIF(C308:E325,$B327)+COUNTIF(C308:E325,$B327&amp;" ~*")&gt;0)+(IFERROR(INDEX(Setup!$G$33:$G$40,MATCH(G327,Setup!$B$33:$B$40,0)),0)=1)*(COUNTIF(G308:I325,$B327)+COUNTIF(G308:I325,$B327&amp;" ~*")&gt;0)+(IFERROR(INDEX(Setup!$G$33:$G$40,MATCH(K327,Setup!$B$33:$B$40,0)),0)=1)*(COUNTIF(K308:M325,$B327)+COUNTIF(K308:M325,$B327&amp;" ~*")&gt;0)+(IFERROR(INDEX(Setup!$G$33:$G$40,MATCH(O327,Setup!$B$33:$B$40,0)),0)=1)*(COUNTIF(O308:Q325,$B327)+COUNTIF(O308:Q325,$B327&amp;" ~*")&gt;0)+(IFERROR(INDEX(Setup!$G$33:$G$40,MATCH(S327,Setup!$B$33:$B$40,0)),0)=1)*(COUNTIF(S308:U325,$B327)+COUNTIF(S308:U325,$B327&amp;" ~*")&gt;0)+(IFERROR(INDEX(Setup!$G$33:$G$40,MATCH(W327,Setup!$B$33:$B$40,0)),0)=1)*(COUNTIF(W308:W325,$B327)+COUNTIF(W308:W325,$B327&amp;" ~*")&gt;0)+(IFERROR(INDEX(Setup!$G$33:$G$40,MATCH(Y327,Setup!$B$33:$B$40,0)),0)=1)*(COUNTIF(Y308:Y325,$B327)+COUNTIF(Y308:Y325,$B327&amp;" ~*")&gt;0))</f>
        <v/>
      </c>
    </row>
    <row r="328" ht="15" customHeight="1">
      <c r="A328" t="n">
        <v>7</v>
      </c>
      <c r="B328" s="37">
        <f>IF(Setup!$B$7="","",Setup!$B$7)</f>
        <v/>
      </c>
      <c r="C328" s="102" t="n"/>
      <c r="D328" s="103" t="n"/>
      <c r="E328" s="103" t="n"/>
      <c r="F328" s="104" t="n"/>
      <c r="G328" s="102" t="n"/>
      <c r="H328" s="103" t="n"/>
      <c r="I328" s="103" t="n"/>
      <c r="J328" s="104" t="n"/>
      <c r="K328" s="102" t="n"/>
      <c r="L328" s="103" t="n"/>
      <c r="M328" s="103" t="n"/>
      <c r="N328" s="104" t="n"/>
      <c r="O328" s="102" t="n"/>
      <c r="P328" s="103" t="n"/>
      <c r="Q328" s="103" t="n"/>
      <c r="R328" s="104" t="n"/>
      <c r="S328" s="102" t="n"/>
      <c r="T328" s="103" t="n"/>
      <c r="U328" s="103" t="n"/>
      <c r="V328" s="104" t="n"/>
      <c r="W328" s="102" t="n"/>
      <c r="X328" s="104" t="n"/>
      <c r="Y328" s="102" t="n"/>
      <c r="Z328" s="104" t="n"/>
      <c r="AB328" s="105">
        <f>IF($B328="","",(COUNTIF(C308:E325,$B328)+COUNTIF(C308:E325,$B328&amp;" ~*")&gt;0)+(COUNTIF(G308:I325,$B328)+COUNTIF(G308:I325,$B328&amp;" ~*")&gt;0)+(COUNTIF(K308:M325,$B328)+COUNTIF(K308:M325,$B328&amp;" ~*")&gt;0)+(COUNTIF(O308:Q325,$B328)+COUNTIF(O308:Q325,$B328&amp;" ~*")&gt;0)+(COUNTIF(S308:U325,$B328)+COUNTIF(S308:U325,$B328&amp;" ~*")&gt;0)+(COUNTIF(W308:W325,$B328)+COUNTIF(W308:W325,$B328&amp;" ~*")&gt;0)+(COUNTIF(Y308:Y325,$B328)+COUNTIF(Y308:Y325,$B328&amp;" ~*")&gt;0))</f>
        <v/>
      </c>
      <c r="AC328" s="38">
        <f>IF($B328="","",(IFERROR(INDEX(Setup!$G$33:$G$40,MATCH(C328,Setup!$B$33:$B$40,0)),0)=1)*(COUNTIF(C308:E325,$B328)+COUNTIF(C308:E325,$B328&amp;" ~*")&gt;0)+(IFERROR(INDEX(Setup!$G$33:$G$40,MATCH(G328,Setup!$B$33:$B$40,0)),0)=1)*(COUNTIF(G308:I325,$B328)+COUNTIF(G308:I325,$B328&amp;" ~*")&gt;0)+(IFERROR(INDEX(Setup!$G$33:$G$40,MATCH(K328,Setup!$B$33:$B$40,0)),0)=1)*(COUNTIF(K308:M325,$B328)+COUNTIF(K308:M325,$B328&amp;" ~*")&gt;0)+(IFERROR(INDEX(Setup!$G$33:$G$40,MATCH(O328,Setup!$B$33:$B$40,0)),0)=1)*(COUNTIF(O308:Q325,$B328)+COUNTIF(O308:Q325,$B328&amp;" ~*")&gt;0)+(IFERROR(INDEX(Setup!$G$33:$G$40,MATCH(S328,Setup!$B$33:$B$40,0)),0)=1)*(COUNTIF(S308:U325,$B328)+COUNTIF(S308:U325,$B328&amp;" ~*")&gt;0)+(IFERROR(INDEX(Setup!$G$33:$G$40,MATCH(W328,Setup!$B$33:$B$40,0)),0)=1)*(COUNTIF(W308:W325,$B328)+COUNTIF(W308:W325,$B328&amp;" ~*")&gt;0)+(IFERROR(INDEX(Setup!$G$33:$G$40,MATCH(Y328,Setup!$B$33:$B$40,0)),0)=1)*(COUNTIF(Y308:Y325,$B328)+COUNTIF(Y308:Y325,$B328&amp;" ~*")&gt;0))</f>
        <v/>
      </c>
    </row>
    <row r="329" ht="15" customHeight="1">
      <c r="A329" t="n">
        <v>7</v>
      </c>
      <c r="B329" s="35">
        <f>IF(Setup!$B$8="","",Setup!$B$8)</f>
        <v/>
      </c>
      <c r="C329" s="98" t="n"/>
      <c r="D329" s="99" t="n"/>
      <c r="E329" s="99" t="n"/>
      <c r="F329" s="100" t="n"/>
      <c r="G329" s="98" t="n"/>
      <c r="H329" s="99" t="n"/>
      <c r="I329" s="99" t="n"/>
      <c r="J329" s="100" t="n"/>
      <c r="K329" s="98" t="n"/>
      <c r="L329" s="99" t="n"/>
      <c r="M329" s="99" t="n"/>
      <c r="N329" s="100" t="n"/>
      <c r="O329" s="98" t="n"/>
      <c r="P329" s="99" t="n"/>
      <c r="Q329" s="99" t="n"/>
      <c r="R329" s="100" t="n"/>
      <c r="S329" s="98" t="n"/>
      <c r="T329" s="99" t="n"/>
      <c r="U329" s="99" t="n"/>
      <c r="V329" s="100" t="n"/>
      <c r="W329" s="98" t="n"/>
      <c r="X329" s="100" t="n"/>
      <c r="Y329" s="98" t="n"/>
      <c r="Z329" s="100" t="n"/>
      <c r="AB329" s="101">
        <f>IF($B329="","",(COUNTIF(C308:E325,$B329)+COUNTIF(C308:E325,$B329&amp;" ~*")&gt;0)+(COUNTIF(G308:I325,$B329)+COUNTIF(G308:I325,$B329&amp;" ~*")&gt;0)+(COUNTIF(K308:M325,$B329)+COUNTIF(K308:M325,$B329&amp;" ~*")&gt;0)+(COUNTIF(O308:Q325,$B329)+COUNTIF(O308:Q325,$B329&amp;" ~*")&gt;0)+(COUNTIF(S308:U325,$B329)+COUNTIF(S308:U325,$B329&amp;" ~*")&gt;0)+(COUNTIF(W308:W325,$B329)+COUNTIF(W308:W325,$B329&amp;" ~*")&gt;0)+(COUNTIF(Y308:Y325,$B329)+COUNTIF(Y308:Y325,$B329&amp;" ~*")&gt;0))</f>
        <v/>
      </c>
      <c r="AC329" s="36">
        <f>IF($B329="","",(IFERROR(INDEX(Setup!$G$33:$G$40,MATCH(C329,Setup!$B$33:$B$40,0)),0)=1)*(COUNTIF(C308:E325,$B329)+COUNTIF(C308:E325,$B329&amp;" ~*")&gt;0)+(IFERROR(INDEX(Setup!$G$33:$G$40,MATCH(G329,Setup!$B$33:$B$40,0)),0)=1)*(COUNTIF(G308:I325,$B329)+COUNTIF(G308:I325,$B329&amp;" ~*")&gt;0)+(IFERROR(INDEX(Setup!$G$33:$G$40,MATCH(K329,Setup!$B$33:$B$40,0)),0)=1)*(COUNTIF(K308:M325,$B329)+COUNTIF(K308:M325,$B329&amp;" ~*")&gt;0)+(IFERROR(INDEX(Setup!$G$33:$G$40,MATCH(O329,Setup!$B$33:$B$40,0)),0)=1)*(COUNTIF(O308:Q325,$B329)+COUNTIF(O308:Q325,$B329&amp;" ~*")&gt;0)+(IFERROR(INDEX(Setup!$G$33:$G$40,MATCH(S329,Setup!$B$33:$B$40,0)),0)=1)*(COUNTIF(S308:U325,$B329)+COUNTIF(S308:U325,$B329&amp;" ~*")&gt;0)+(IFERROR(INDEX(Setup!$G$33:$G$40,MATCH(W329,Setup!$B$33:$B$40,0)),0)=1)*(COUNTIF(W308:W325,$B329)+COUNTIF(W308:W325,$B329&amp;" ~*")&gt;0)+(IFERROR(INDEX(Setup!$G$33:$G$40,MATCH(Y329,Setup!$B$33:$B$40,0)),0)=1)*(COUNTIF(Y308:Y325,$B329)+COUNTIF(Y308:Y325,$B329&amp;" ~*")&gt;0))</f>
        <v/>
      </c>
    </row>
    <row r="330" ht="15" customHeight="1">
      <c r="A330" t="n">
        <v>7</v>
      </c>
      <c r="B330" s="37">
        <f>IF(Setup!$B$9="","",Setup!$B$9)</f>
        <v/>
      </c>
      <c r="C330" s="102" t="n"/>
      <c r="D330" s="103" t="n"/>
      <c r="E330" s="103" t="n"/>
      <c r="F330" s="104" t="n"/>
      <c r="G330" s="102" t="n"/>
      <c r="H330" s="103" t="n"/>
      <c r="I330" s="103" t="n"/>
      <c r="J330" s="104" t="n"/>
      <c r="K330" s="102" t="n"/>
      <c r="L330" s="103" t="n"/>
      <c r="M330" s="103" t="n"/>
      <c r="N330" s="104" t="n"/>
      <c r="O330" s="102" t="n"/>
      <c r="P330" s="103" t="n"/>
      <c r="Q330" s="103" t="n"/>
      <c r="R330" s="104" t="n"/>
      <c r="S330" s="102" t="n"/>
      <c r="T330" s="103" t="n"/>
      <c r="U330" s="103" t="n"/>
      <c r="V330" s="104" t="n"/>
      <c r="W330" s="102" t="n"/>
      <c r="X330" s="104" t="n"/>
      <c r="Y330" s="102" t="n"/>
      <c r="Z330" s="104" t="n"/>
      <c r="AB330" s="105">
        <f>IF($B330="","",(COUNTIF(C308:E325,$B330)+COUNTIF(C308:E325,$B330&amp;" ~*")&gt;0)+(COUNTIF(G308:I325,$B330)+COUNTIF(G308:I325,$B330&amp;" ~*")&gt;0)+(COUNTIF(K308:M325,$B330)+COUNTIF(K308:M325,$B330&amp;" ~*")&gt;0)+(COUNTIF(O308:Q325,$B330)+COUNTIF(O308:Q325,$B330&amp;" ~*")&gt;0)+(COUNTIF(S308:U325,$B330)+COUNTIF(S308:U325,$B330&amp;" ~*")&gt;0)+(COUNTIF(W308:W325,$B330)+COUNTIF(W308:W325,$B330&amp;" ~*")&gt;0)+(COUNTIF(Y308:Y325,$B330)+COUNTIF(Y308:Y325,$B330&amp;" ~*")&gt;0))</f>
        <v/>
      </c>
      <c r="AC330" s="38">
        <f>IF($B330="","",(IFERROR(INDEX(Setup!$G$33:$G$40,MATCH(C330,Setup!$B$33:$B$40,0)),0)=1)*(COUNTIF(C308:E325,$B330)+COUNTIF(C308:E325,$B330&amp;" ~*")&gt;0)+(IFERROR(INDEX(Setup!$G$33:$G$40,MATCH(G330,Setup!$B$33:$B$40,0)),0)=1)*(COUNTIF(G308:I325,$B330)+COUNTIF(G308:I325,$B330&amp;" ~*")&gt;0)+(IFERROR(INDEX(Setup!$G$33:$G$40,MATCH(K330,Setup!$B$33:$B$40,0)),0)=1)*(COUNTIF(K308:M325,$B330)+COUNTIF(K308:M325,$B330&amp;" ~*")&gt;0)+(IFERROR(INDEX(Setup!$G$33:$G$40,MATCH(O330,Setup!$B$33:$B$40,0)),0)=1)*(COUNTIF(O308:Q325,$B330)+COUNTIF(O308:Q325,$B330&amp;" ~*")&gt;0)+(IFERROR(INDEX(Setup!$G$33:$G$40,MATCH(S330,Setup!$B$33:$B$40,0)),0)=1)*(COUNTIF(S308:U325,$B330)+COUNTIF(S308:U325,$B330&amp;" ~*")&gt;0)+(IFERROR(INDEX(Setup!$G$33:$G$40,MATCH(W330,Setup!$B$33:$B$40,0)),0)=1)*(COUNTIF(W308:W325,$B330)+COUNTIF(W308:W325,$B330&amp;" ~*")&gt;0)+(IFERROR(INDEX(Setup!$G$33:$G$40,MATCH(Y330,Setup!$B$33:$B$40,0)),0)=1)*(COUNTIF(Y308:Y325,$B330)+COUNTIF(Y308:Y325,$B330&amp;" ~*")&gt;0))</f>
        <v/>
      </c>
    </row>
    <row r="331" ht="15" customHeight="1">
      <c r="A331" t="n">
        <v>7</v>
      </c>
      <c r="B331" s="35">
        <f>IF(Setup!$B$10="","",Setup!$B$10)</f>
        <v/>
      </c>
      <c r="C331" s="98" t="n"/>
      <c r="D331" s="99" t="n"/>
      <c r="E331" s="99" t="n"/>
      <c r="F331" s="100" t="n"/>
      <c r="G331" s="98" t="n"/>
      <c r="H331" s="99" t="n"/>
      <c r="I331" s="99" t="n"/>
      <c r="J331" s="100" t="n"/>
      <c r="K331" s="98" t="n"/>
      <c r="L331" s="99" t="n"/>
      <c r="M331" s="99" t="n"/>
      <c r="N331" s="100" t="n"/>
      <c r="O331" s="98" t="n"/>
      <c r="P331" s="99" t="n"/>
      <c r="Q331" s="99" t="n"/>
      <c r="R331" s="100" t="n"/>
      <c r="S331" s="98" t="n"/>
      <c r="T331" s="99" t="n"/>
      <c r="U331" s="99" t="n"/>
      <c r="V331" s="100" t="n"/>
      <c r="W331" s="98" t="n"/>
      <c r="X331" s="100" t="n"/>
      <c r="Y331" s="98" t="n"/>
      <c r="Z331" s="100" t="n"/>
      <c r="AB331" s="101">
        <f>IF($B331="","",(COUNTIF(C308:E325,$B331)+COUNTIF(C308:E325,$B331&amp;" ~*")&gt;0)+(COUNTIF(G308:I325,$B331)+COUNTIF(G308:I325,$B331&amp;" ~*")&gt;0)+(COUNTIF(K308:M325,$B331)+COUNTIF(K308:M325,$B331&amp;" ~*")&gt;0)+(COUNTIF(O308:Q325,$B331)+COUNTIF(O308:Q325,$B331&amp;" ~*")&gt;0)+(COUNTIF(S308:U325,$B331)+COUNTIF(S308:U325,$B331&amp;" ~*")&gt;0)+(COUNTIF(W308:W325,$B331)+COUNTIF(W308:W325,$B331&amp;" ~*")&gt;0)+(COUNTIF(Y308:Y325,$B331)+COUNTIF(Y308:Y325,$B331&amp;" ~*")&gt;0))</f>
        <v/>
      </c>
      <c r="AC331" s="36">
        <f>IF($B331="","",(IFERROR(INDEX(Setup!$G$33:$G$40,MATCH(C331,Setup!$B$33:$B$40,0)),0)=1)*(COUNTIF(C308:E325,$B331)+COUNTIF(C308:E325,$B331&amp;" ~*")&gt;0)+(IFERROR(INDEX(Setup!$G$33:$G$40,MATCH(G331,Setup!$B$33:$B$40,0)),0)=1)*(COUNTIF(G308:I325,$B331)+COUNTIF(G308:I325,$B331&amp;" ~*")&gt;0)+(IFERROR(INDEX(Setup!$G$33:$G$40,MATCH(K331,Setup!$B$33:$B$40,0)),0)=1)*(COUNTIF(K308:M325,$B331)+COUNTIF(K308:M325,$B331&amp;" ~*")&gt;0)+(IFERROR(INDEX(Setup!$G$33:$G$40,MATCH(O331,Setup!$B$33:$B$40,0)),0)=1)*(COUNTIF(O308:Q325,$B331)+COUNTIF(O308:Q325,$B331&amp;" ~*")&gt;0)+(IFERROR(INDEX(Setup!$G$33:$G$40,MATCH(S331,Setup!$B$33:$B$40,0)),0)=1)*(COUNTIF(S308:U325,$B331)+COUNTIF(S308:U325,$B331&amp;" ~*")&gt;0)+(IFERROR(INDEX(Setup!$G$33:$G$40,MATCH(W331,Setup!$B$33:$B$40,0)),0)=1)*(COUNTIF(W308:W325,$B331)+COUNTIF(W308:W325,$B331&amp;" ~*")&gt;0)+(IFERROR(INDEX(Setup!$G$33:$G$40,MATCH(Y331,Setup!$B$33:$B$40,0)),0)=1)*(COUNTIF(Y308:Y325,$B331)+COUNTIF(Y308:Y325,$B331&amp;" ~*")&gt;0))</f>
        <v/>
      </c>
    </row>
    <row r="332" ht="15" customHeight="1">
      <c r="A332" t="n">
        <v>7</v>
      </c>
      <c r="B332" s="37">
        <f>IF(Setup!$B$11="","",Setup!$B$11)</f>
        <v/>
      </c>
      <c r="C332" s="102" t="n"/>
      <c r="D332" s="103" t="n"/>
      <c r="E332" s="103" t="n"/>
      <c r="F332" s="104" t="n"/>
      <c r="G332" s="102" t="n"/>
      <c r="H332" s="103" t="n"/>
      <c r="I332" s="103" t="n"/>
      <c r="J332" s="104" t="n"/>
      <c r="K332" s="102" t="n"/>
      <c r="L332" s="103" t="n"/>
      <c r="M332" s="103" t="n"/>
      <c r="N332" s="104" t="n"/>
      <c r="O332" s="102" t="n"/>
      <c r="P332" s="103" t="n"/>
      <c r="Q332" s="103" t="n"/>
      <c r="R332" s="104" t="n"/>
      <c r="S332" s="102" t="n"/>
      <c r="T332" s="103" t="n"/>
      <c r="U332" s="103" t="n"/>
      <c r="V332" s="104" t="n"/>
      <c r="W332" s="102" t="n"/>
      <c r="X332" s="104" t="n"/>
      <c r="Y332" s="102" t="n"/>
      <c r="Z332" s="104" t="n"/>
      <c r="AB332" s="105">
        <f>IF($B332="","",(COUNTIF(C308:E325,$B332)+COUNTIF(C308:E325,$B332&amp;" ~*")&gt;0)+(COUNTIF(G308:I325,$B332)+COUNTIF(G308:I325,$B332&amp;" ~*")&gt;0)+(COUNTIF(K308:M325,$B332)+COUNTIF(K308:M325,$B332&amp;" ~*")&gt;0)+(COUNTIF(O308:Q325,$B332)+COUNTIF(O308:Q325,$B332&amp;" ~*")&gt;0)+(COUNTIF(S308:U325,$B332)+COUNTIF(S308:U325,$B332&amp;" ~*")&gt;0)+(COUNTIF(W308:W325,$B332)+COUNTIF(W308:W325,$B332&amp;" ~*")&gt;0)+(COUNTIF(Y308:Y325,$B332)+COUNTIF(Y308:Y325,$B332&amp;" ~*")&gt;0))</f>
        <v/>
      </c>
      <c r="AC332" s="38">
        <f>IF($B332="","",(IFERROR(INDEX(Setup!$G$33:$G$40,MATCH(C332,Setup!$B$33:$B$40,0)),0)=1)*(COUNTIF(C308:E325,$B332)+COUNTIF(C308:E325,$B332&amp;" ~*")&gt;0)+(IFERROR(INDEX(Setup!$G$33:$G$40,MATCH(G332,Setup!$B$33:$B$40,0)),0)=1)*(COUNTIF(G308:I325,$B332)+COUNTIF(G308:I325,$B332&amp;" ~*")&gt;0)+(IFERROR(INDEX(Setup!$G$33:$G$40,MATCH(K332,Setup!$B$33:$B$40,0)),0)=1)*(COUNTIF(K308:M325,$B332)+COUNTIF(K308:M325,$B332&amp;" ~*")&gt;0)+(IFERROR(INDEX(Setup!$G$33:$G$40,MATCH(O332,Setup!$B$33:$B$40,0)),0)=1)*(COUNTIF(O308:Q325,$B332)+COUNTIF(O308:Q325,$B332&amp;" ~*")&gt;0)+(IFERROR(INDEX(Setup!$G$33:$G$40,MATCH(S332,Setup!$B$33:$B$40,0)),0)=1)*(COUNTIF(S308:U325,$B332)+COUNTIF(S308:U325,$B332&amp;" ~*")&gt;0)+(IFERROR(INDEX(Setup!$G$33:$G$40,MATCH(W332,Setup!$B$33:$B$40,0)),0)=1)*(COUNTIF(W308:W325,$B332)+COUNTIF(W308:W325,$B332&amp;" ~*")&gt;0)+(IFERROR(INDEX(Setup!$G$33:$G$40,MATCH(Y332,Setup!$B$33:$B$40,0)),0)=1)*(COUNTIF(Y308:Y325,$B332)+COUNTIF(Y308:Y325,$B332&amp;" ~*")&gt;0))</f>
        <v/>
      </c>
    </row>
    <row r="333" ht="15" customHeight="1">
      <c r="A333" t="n">
        <v>7</v>
      </c>
      <c r="B333" s="35">
        <f>IF(Setup!$B$12="","",Setup!$B$12)</f>
        <v/>
      </c>
      <c r="C333" s="98" t="inlineStr">
        <is>
          <t>AL</t>
        </is>
      </c>
      <c r="D333" s="99" t="n"/>
      <c r="E333" s="99" t="n"/>
      <c r="F333" s="100" t="n"/>
      <c r="G333" s="98" t="n"/>
      <c r="H333" s="99" t="n"/>
      <c r="I333" s="99" t="n"/>
      <c r="J333" s="100" t="n"/>
      <c r="K333" s="98" t="n"/>
      <c r="L333" s="99" t="n"/>
      <c r="M333" s="99" t="n"/>
      <c r="N333" s="100" t="n"/>
      <c r="O333" s="98" t="inlineStr">
        <is>
          <t>AL</t>
        </is>
      </c>
      <c r="P333" s="99" t="n"/>
      <c r="Q333" s="99" t="n"/>
      <c r="R333" s="100" t="n"/>
      <c r="S333" s="98" t="n"/>
      <c r="T333" s="99" t="n"/>
      <c r="U333" s="99" t="n"/>
      <c r="V333" s="100" t="n"/>
      <c r="W333" s="98" t="n"/>
      <c r="X333" s="100" t="n"/>
      <c r="Y333" s="98" t="n"/>
      <c r="Z333" s="100" t="n"/>
      <c r="AB333" s="101">
        <f>IF($B333="","",(COUNTIF(C308:E325,$B333)+COUNTIF(C308:E325,$B333&amp;" ~*")&gt;0)+(COUNTIF(G308:I325,$B333)+COUNTIF(G308:I325,$B333&amp;" ~*")&gt;0)+(COUNTIF(K308:M325,$B333)+COUNTIF(K308:M325,$B333&amp;" ~*")&gt;0)+(COUNTIF(O308:Q325,$B333)+COUNTIF(O308:Q325,$B333&amp;" ~*")&gt;0)+(COUNTIF(S308:U325,$B333)+COUNTIF(S308:U325,$B333&amp;" ~*")&gt;0)+(COUNTIF(W308:W325,$B333)+COUNTIF(W308:W325,$B333&amp;" ~*")&gt;0)+(COUNTIF(Y308:Y325,$B333)+COUNTIF(Y308:Y325,$B333&amp;" ~*")&gt;0))</f>
        <v/>
      </c>
      <c r="AC333" s="36">
        <f>IF($B333="","",(IFERROR(INDEX(Setup!$G$33:$G$40,MATCH(C333,Setup!$B$33:$B$40,0)),0)=1)*(COUNTIF(C308:E325,$B333)+COUNTIF(C308:E325,$B333&amp;" ~*")&gt;0)+(IFERROR(INDEX(Setup!$G$33:$G$40,MATCH(G333,Setup!$B$33:$B$40,0)),0)=1)*(COUNTIF(G308:I325,$B333)+COUNTIF(G308:I325,$B333&amp;" ~*")&gt;0)+(IFERROR(INDEX(Setup!$G$33:$G$40,MATCH(K333,Setup!$B$33:$B$40,0)),0)=1)*(COUNTIF(K308:M325,$B333)+COUNTIF(K308:M325,$B333&amp;" ~*")&gt;0)+(IFERROR(INDEX(Setup!$G$33:$G$40,MATCH(O333,Setup!$B$33:$B$40,0)),0)=1)*(COUNTIF(O308:Q325,$B333)+COUNTIF(O308:Q325,$B333&amp;" ~*")&gt;0)+(IFERROR(INDEX(Setup!$G$33:$G$40,MATCH(S333,Setup!$B$33:$B$40,0)),0)=1)*(COUNTIF(S308:U325,$B333)+COUNTIF(S308:U325,$B333&amp;" ~*")&gt;0)+(IFERROR(INDEX(Setup!$G$33:$G$40,MATCH(W333,Setup!$B$33:$B$40,0)),0)=1)*(COUNTIF(W308:W325,$B333)+COUNTIF(W308:W325,$B333&amp;" ~*")&gt;0)+(IFERROR(INDEX(Setup!$G$33:$G$40,MATCH(Y333,Setup!$B$33:$B$40,0)),0)=1)*(COUNTIF(Y308:Y325,$B333)+COUNTIF(Y308:Y325,$B333&amp;" ~*")&gt;0))</f>
        <v/>
      </c>
    </row>
    <row r="334" ht="15" customHeight="1">
      <c r="A334" t="n">
        <v>7</v>
      </c>
      <c r="B334" s="37">
        <f>IF(Setup!$B$13="","",Setup!$B$13)</f>
        <v/>
      </c>
      <c r="C334" s="102" t="n"/>
      <c r="D334" s="103" t="n"/>
      <c r="E334" s="103" t="n"/>
      <c r="F334" s="104" t="n"/>
      <c r="G334" s="102" t="n"/>
      <c r="H334" s="103" t="n"/>
      <c r="I334" s="103" t="n"/>
      <c r="J334" s="104" t="n"/>
      <c r="K334" s="102" t="n"/>
      <c r="L334" s="103" t="n"/>
      <c r="M334" s="103" t="n"/>
      <c r="N334" s="104" t="n"/>
      <c r="O334" s="102" t="n"/>
      <c r="P334" s="103" t="n"/>
      <c r="Q334" s="103" t="n"/>
      <c r="R334" s="104" t="n"/>
      <c r="S334" s="102" t="n"/>
      <c r="T334" s="103" t="n"/>
      <c r="U334" s="103" t="n"/>
      <c r="V334" s="104" t="n"/>
      <c r="W334" s="102" t="n"/>
      <c r="X334" s="104" t="n"/>
      <c r="Y334" s="102" t="n"/>
      <c r="Z334" s="104" t="n"/>
      <c r="AB334" s="105">
        <f>IF($B334="","",(COUNTIF(C308:E325,$B334)+COUNTIF(C308:E325,$B334&amp;" ~*")&gt;0)+(COUNTIF(G308:I325,$B334)+COUNTIF(G308:I325,$B334&amp;" ~*")&gt;0)+(COUNTIF(K308:M325,$B334)+COUNTIF(K308:M325,$B334&amp;" ~*")&gt;0)+(COUNTIF(O308:Q325,$B334)+COUNTIF(O308:Q325,$B334&amp;" ~*")&gt;0)+(COUNTIF(S308:U325,$B334)+COUNTIF(S308:U325,$B334&amp;" ~*")&gt;0)+(COUNTIF(W308:W325,$B334)+COUNTIF(W308:W325,$B334&amp;" ~*")&gt;0)+(COUNTIF(Y308:Y325,$B334)+COUNTIF(Y308:Y325,$B334&amp;" ~*")&gt;0))</f>
        <v/>
      </c>
      <c r="AC334" s="38">
        <f>IF($B334="","",(IFERROR(INDEX(Setup!$G$33:$G$40,MATCH(C334,Setup!$B$33:$B$40,0)),0)=1)*(COUNTIF(C308:E325,$B334)+COUNTIF(C308:E325,$B334&amp;" ~*")&gt;0)+(IFERROR(INDEX(Setup!$G$33:$G$40,MATCH(G334,Setup!$B$33:$B$40,0)),0)=1)*(COUNTIF(G308:I325,$B334)+COUNTIF(G308:I325,$B334&amp;" ~*")&gt;0)+(IFERROR(INDEX(Setup!$G$33:$G$40,MATCH(K334,Setup!$B$33:$B$40,0)),0)=1)*(COUNTIF(K308:M325,$B334)+COUNTIF(K308:M325,$B334&amp;" ~*")&gt;0)+(IFERROR(INDEX(Setup!$G$33:$G$40,MATCH(O334,Setup!$B$33:$B$40,0)),0)=1)*(COUNTIF(O308:Q325,$B334)+COUNTIF(O308:Q325,$B334&amp;" ~*")&gt;0)+(IFERROR(INDEX(Setup!$G$33:$G$40,MATCH(S334,Setup!$B$33:$B$40,0)),0)=1)*(COUNTIF(S308:U325,$B334)+COUNTIF(S308:U325,$B334&amp;" ~*")&gt;0)+(IFERROR(INDEX(Setup!$G$33:$G$40,MATCH(W334,Setup!$B$33:$B$40,0)),0)=1)*(COUNTIF(W308:W325,$B334)+COUNTIF(W308:W325,$B334&amp;" ~*")&gt;0)+(IFERROR(INDEX(Setup!$G$33:$G$40,MATCH(Y334,Setup!$B$33:$B$40,0)),0)=1)*(COUNTIF(Y308:Y325,$B334)+COUNTIF(Y308:Y325,$B334&amp;" ~*")&gt;0))</f>
        <v/>
      </c>
    </row>
    <row r="335" ht="15" customHeight="1">
      <c r="A335" t="n">
        <v>7</v>
      </c>
      <c r="B335" s="35">
        <f>IF(Setup!$B$14="","",Setup!$B$14)</f>
        <v/>
      </c>
      <c r="C335" s="98" t="n"/>
      <c r="D335" s="99" t="n"/>
      <c r="E335" s="99" t="n"/>
      <c r="F335" s="100" t="n"/>
      <c r="G335" s="98" t="n"/>
      <c r="H335" s="99" t="n"/>
      <c r="I335" s="99" t="n"/>
      <c r="J335" s="100" t="n"/>
      <c r="K335" s="98" t="n"/>
      <c r="L335" s="99" t="n"/>
      <c r="M335" s="99" t="n"/>
      <c r="N335" s="100" t="n"/>
      <c r="O335" s="98" t="n"/>
      <c r="P335" s="99" t="n"/>
      <c r="Q335" s="99" t="n"/>
      <c r="R335" s="100" t="n"/>
      <c r="S335" s="98" t="n"/>
      <c r="T335" s="99" t="n"/>
      <c r="U335" s="99" t="n"/>
      <c r="V335" s="100" t="n"/>
      <c r="W335" s="98" t="n"/>
      <c r="X335" s="100" t="n"/>
      <c r="Y335" s="98" t="n"/>
      <c r="Z335" s="100" t="n"/>
      <c r="AB335" s="101">
        <f>IF($B335="","",(COUNTIF(C308:E325,$B335)+COUNTIF(C308:E325,$B335&amp;" ~*")&gt;0)+(COUNTIF(G308:I325,$B335)+COUNTIF(G308:I325,$B335&amp;" ~*")&gt;0)+(COUNTIF(K308:M325,$B335)+COUNTIF(K308:M325,$B335&amp;" ~*")&gt;0)+(COUNTIF(O308:Q325,$B335)+COUNTIF(O308:Q325,$B335&amp;" ~*")&gt;0)+(COUNTIF(S308:U325,$B335)+COUNTIF(S308:U325,$B335&amp;" ~*")&gt;0)+(COUNTIF(W308:W325,$B335)+COUNTIF(W308:W325,$B335&amp;" ~*")&gt;0)+(COUNTIF(Y308:Y325,$B335)+COUNTIF(Y308:Y325,$B335&amp;" ~*")&gt;0))</f>
        <v/>
      </c>
      <c r="AC335" s="36">
        <f>IF($B335="","",(IFERROR(INDEX(Setup!$G$33:$G$40,MATCH(C335,Setup!$B$33:$B$40,0)),0)=1)*(COUNTIF(C308:E325,$B335)+COUNTIF(C308:E325,$B335&amp;" ~*")&gt;0)+(IFERROR(INDEX(Setup!$G$33:$G$40,MATCH(G335,Setup!$B$33:$B$40,0)),0)=1)*(COUNTIF(G308:I325,$B335)+COUNTIF(G308:I325,$B335&amp;" ~*")&gt;0)+(IFERROR(INDEX(Setup!$G$33:$G$40,MATCH(K335,Setup!$B$33:$B$40,0)),0)=1)*(COUNTIF(K308:M325,$B335)+COUNTIF(K308:M325,$B335&amp;" ~*")&gt;0)+(IFERROR(INDEX(Setup!$G$33:$G$40,MATCH(O335,Setup!$B$33:$B$40,0)),0)=1)*(COUNTIF(O308:Q325,$B335)+COUNTIF(O308:Q325,$B335&amp;" ~*")&gt;0)+(IFERROR(INDEX(Setup!$G$33:$G$40,MATCH(S335,Setup!$B$33:$B$40,0)),0)=1)*(COUNTIF(S308:U325,$B335)+COUNTIF(S308:U325,$B335&amp;" ~*")&gt;0)+(IFERROR(INDEX(Setup!$G$33:$G$40,MATCH(W335,Setup!$B$33:$B$40,0)),0)=1)*(COUNTIF(W308:W325,$B335)+COUNTIF(W308:W325,$B335&amp;" ~*")&gt;0)+(IFERROR(INDEX(Setup!$G$33:$G$40,MATCH(Y335,Setup!$B$33:$B$40,0)),0)=1)*(COUNTIF(Y308:Y325,$B335)+COUNTIF(Y308:Y325,$B335&amp;" ~*")&gt;0))</f>
        <v/>
      </c>
    </row>
    <row r="336" ht="15" customHeight="1">
      <c r="A336" t="n">
        <v>7</v>
      </c>
      <c r="B336" s="37">
        <f>IF(Setup!$B$15="","",Setup!$B$15)</f>
        <v/>
      </c>
      <c r="C336" s="102" t="inlineStr">
        <is>
          <t>AL</t>
        </is>
      </c>
      <c r="D336" s="103" t="n"/>
      <c r="E336" s="103" t="n"/>
      <c r="F336" s="104" t="n"/>
      <c r="G336" s="102" t="inlineStr">
        <is>
          <t>AL</t>
        </is>
      </c>
      <c r="H336" s="103" t="n"/>
      <c r="I336" s="103" t="n"/>
      <c r="J336" s="104" t="n"/>
      <c r="K336" s="102" t="inlineStr">
        <is>
          <t>AL</t>
        </is>
      </c>
      <c r="L336" s="103" t="n"/>
      <c r="M336" s="103" t="n"/>
      <c r="N336" s="104" t="n"/>
      <c r="O336" s="102" t="n"/>
      <c r="P336" s="103" t="n"/>
      <c r="Q336" s="103" t="n"/>
      <c r="R336" s="104" t="n"/>
      <c r="S336" s="102" t="n"/>
      <c r="T336" s="103" t="n"/>
      <c r="U336" s="103" t="n"/>
      <c r="V336" s="104" t="n"/>
      <c r="W336" s="102" t="n"/>
      <c r="X336" s="104" t="n"/>
      <c r="Y336" s="102" t="n"/>
      <c r="Z336" s="104" t="n"/>
      <c r="AB336" s="105">
        <f>IF($B336="","",(COUNTIF(C308:E325,$B336)+COUNTIF(C308:E325,$B336&amp;" ~*")&gt;0)+(COUNTIF(G308:I325,$B336)+COUNTIF(G308:I325,$B336&amp;" ~*")&gt;0)+(COUNTIF(K308:M325,$B336)+COUNTIF(K308:M325,$B336&amp;" ~*")&gt;0)+(COUNTIF(O308:Q325,$B336)+COUNTIF(O308:Q325,$B336&amp;" ~*")&gt;0)+(COUNTIF(S308:U325,$B336)+COUNTIF(S308:U325,$B336&amp;" ~*")&gt;0)+(COUNTIF(W308:W325,$B336)+COUNTIF(W308:W325,$B336&amp;" ~*")&gt;0)+(COUNTIF(Y308:Y325,$B336)+COUNTIF(Y308:Y325,$B336&amp;" ~*")&gt;0))</f>
        <v/>
      </c>
      <c r="AC336" s="38">
        <f>IF($B336="","",(IFERROR(INDEX(Setup!$G$33:$G$40,MATCH(C336,Setup!$B$33:$B$40,0)),0)=1)*(COUNTIF(C308:E325,$B336)+COUNTIF(C308:E325,$B336&amp;" ~*")&gt;0)+(IFERROR(INDEX(Setup!$G$33:$G$40,MATCH(G336,Setup!$B$33:$B$40,0)),0)=1)*(COUNTIF(G308:I325,$B336)+COUNTIF(G308:I325,$B336&amp;" ~*")&gt;0)+(IFERROR(INDEX(Setup!$G$33:$G$40,MATCH(K336,Setup!$B$33:$B$40,0)),0)=1)*(COUNTIF(K308:M325,$B336)+COUNTIF(K308:M325,$B336&amp;" ~*")&gt;0)+(IFERROR(INDEX(Setup!$G$33:$G$40,MATCH(O336,Setup!$B$33:$B$40,0)),0)=1)*(COUNTIF(O308:Q325,$B336)+COUNTIF(O308:Q325,$B336&amp;" ~*")&gt;0)+(IFERROR(INDEX(Setup!$G$33:$G$40,MATCH(S336,Setup!$B$33:$B$40,0)),0)=1)*(COUNTIF(S308:U325,$B336)+COUNTIF(S308:U325,$B336&amp;" ~*")&gt;0)+(IFERROR(INDEX(Setup!$G$33:$G$40,MATCH(W336,Setup!$B$33:$B$40,0)),0)=1)*(COUNTIF(W308:W325,$B336)+COUNTIF(W308:W325,$B336&amp;" ~*")&gt;0)+(IFERROR(INDEX(Setup!$G$33:$G$40,MATCH(Y336,Setup!$B$33:$B$40,0)),0)=1)*(COUNTIF(Y308:Y325,$B336)+COUNTIF(Y308:Y325,$B336&amp;" ~*")&gt;0))</f>
        <v/>
      </c>
    </row>
    <row r="337" ht="15" customHeight="1">
      <c r="A337" t="n">
        <v>7</v>
      </c>
      <c r="B337" s="35">
        <f>IF(Setup!$B$16="","",Setup!$B$16)</f>
        <v/>
      </c>
      <c r="C337" s="98" t="n"/>
      <c r="D337" s="99" t="n"/>
      <c r="E337" s="99" t="n"/>
      <c r="F337" s="100" t="n"/>
      <c r="G337" s="98" t="n"/>
      <c r="H337" s="99" t="n"/>
      <c r="I337" s="99" t="n"/>
      <c r="J337" s="100" t="n"/>
      <c r="K337" s="98" t="n"/>
      <c r="L337" s="99" t="n"/>
      <c r="M337" s="99" t="n"/>
      <c r="N337" s="100" t="n"/>
      <c r="O337" s="98" t="n"/>
      <c r="P337" s="99" t="n"/>
      <c r="Q337" s="99" t="n"/>
      <c r="R337" s="100" t="n"/>
      <c r="S337" s="98" t="n"/>
      <c r="T337" s="99" t="n"/>
      <c r="U337" s="99" t="n"/>
      <c r="V337" s="100" t="n"/>
      <c r="W337" s="98" t="n"/>
      <c r="X337" s="100" t="n"/>
      <c r="Y337" s="98" t="n"/>
      <c r="Z337" s="100" t="n"/>
      <c r="AB337" s="101">
        <f>IF($B337="","",(COUNTIF(C308:E325,$B337)+COUNTIF(C308:E325,$B337&amp;" ~*")&gt;0)+(COUNTIF(G308:I325,$B337)+COUNTIF(G308:I325,$B337&amp;" ~*")&gt;0)+(COUNTIF(K308:M325,$B337)+COUNTIF(K308:M325,$B337&amp;" ~*")&gt;0)+(COUNTIF(O308:Q325,$B337)+COUNTIF(O308:Q325,$B337&amp;" ~*")&gt;0)+(COUNTIF(S308:U325,$B337)+COUNTIF(S308:U325,$B337&amp;" ~*")&gt;0)+(COUNTIF(W308:W325,$B337)+COUNTIF(W308:W325,$B337&amp;" ~*")&gt;0)+(COUNTIF(Y308:Y325,$B337)+COUNTIF(Y308:Y325,$B337&amp;" ~*")&gt;0))</f>
        <v/>
      </c>
      <c r="AC337" s="36">
        <f>IF($B337="","",(IFERROR(INDEX(Setup!$G$33:$G$40,MATCH(C337,Setup!$B$33:$B$40,0)),0)=1)*(COUNTIF(C308:E325,$B337)+COUNTIF(C308:E325,$B337&amp;" ~*")&gt;0)+(IFERROR(INDEX(Setup!$G$33:$G$40,MATCH(G337,Setup!$B$33:$B$40,0)),0)=1)*(COUNTIF(G308:I325,$B337)+COUNTIF(G308:I325,$B337&amp;" ~*")&gt;0)+(IFERROR(INDEX(Setup!$G$33:$G$40,MATCH(K337,Setup!$B$33:$B$40,0)),0)=1)*(COUNTIF(K308:M325,$B337)+COUNTIF(K308:M325,$B337&amp;" ~*")&gt;0)+(IFERROR(INDEX(Setup!$G$33:$G$40,MATCH(O337,Setup!$B$33:$B$40,0)),0)=1)*(COUNTIF(O308:Q325,$B337)+COUNTIF(O308:Q325,$B337&amp;" ~*")&gt;0)+(IFERROR(INDEX(Setup!$G$33:$G$40,MATCH(S337,Setup!$B$33:$B$40,0)),0)=1)*(COUNTIF(S308:U325,$B337)+COUNTIF(S308:U325,$B337&amp;" ~*")&gt;0)+(IFERROR(INDEX(Setup!$G$33:$G$40,MATCH(W337,Setup!$B$33:$B$40,0)),0)=1)*(COUNTIF(W308:W325,$B337)+COUNTIF(W308:W325,$B337&amp;" ~*")&gt;0)+(IFERROR(INDEX(Setup!$G$33:$G$40,MATCH(Y337,Setup!$B$33:$B$40,0)),0)=1)*(COUNTIF(Y308:Y325,$B337)+COUNTIF(Y308:Y325,$B337&amp;" ~*")&gt;0))</f>
        <v/>
      </c>
    </row>
    <row r="338" ht="15" customHeight="1">
      <c r="A338" t="n">
        <v>7</v>
      </c>
      <c r="B338" s="37">
        <f>IF(Setup!$B$17="","",Setup!$B$17)</f>
        <v/>
      </c>
      <c r="C338" s="102" t="n"/>
      <c r="D338" s="103" t="n"/>
      <c r="E338" s="103" t="n"/>
      <c r="F338" s="104" t="n"/>
      <c r="G338" s="102" t="n"/>
      <c r="H338" s="103" t="n"/>
      <c r="I338" s="103" t="n"/>
      <c r="J338" s="104" t="n"/>
      <c r="K338" s="102" t="n"/>
      <c r="L338" s="103" t="n"/>
      <c r="M338" s="103" t="n"/>
      <c r="N338" s="104" t="n"/>
      <c r="O338" s="102" t="n"/>
      <c r="P338" s="103" t="n"/>
      <c r="Q338" s="103" t="n"/>
      <c r="R338" s="104" t="n"/>
      <c r="S338" s="102" t="n"/>
      <c r="T338" s="103" t="n"/>
      <c r="U338" s="103" t="n"/>
      <c r="V338" s="104" t="n"/>
      <c r="W338" s="102" t="n"/>
      <c r="X338" s="104" t="n"/>
      <c r="Y338" s="102" t="n"/>
      <c r="Z338" s="104" t="n"/>
      <c r="AB338" s="105">
        <f>IF($B338="","",(COUNTIF(C308:E325,$B338)+COUNTIF(C308:E325,$B338&amp;" ~*")&gt;0)+(COUNTIF(G308:I325,$B338)+COUNTIF(G308:I325,$B338&amp;" ~*")&gt;0)+(COUNTIF(K308:M325,$B338)+COUNTIF(K308:M325,$B338&amp;" ~*")&gt;0)+(COUNTIF(O308:Q325,$B338)+COUNTIF(O308:Q325,$B338&amp;" ~*")&gt;0)+(COUNTIF(S308:U325,$B338)+COUNTIF(S308:U325,$B338&amp;" ~*")&gt;0)+(COUNTIF(W308:W325,$B338)+COUNTIF(W308:W325,$B338&amp;" ~*")&gt;0)+(COUNTIF(Y308:Y325,$B338)+COUNTIF(Y308:Y325,$B338&amp;" ~*")&gt;0))</f>
        <v/>
      </c>
      <c r="AC338" s="38">
        <f>IF($B338="","",(IFERROR(INDEX(Setup!$G$33:$G$40,MATCH(C338,Setup!$B$33:$B$40,0)),0)=1)*(COUNTIF(C308:E325,$B338)+COUNTIF(C308:E325,$B338&amp;" ~*")&gt;0)+(IFERROR(INDEX(Setup!$G$33:$G$40,MATCH(G338,Setup!$B$33:$B$40,0)),0)=1)*(COUNTIF(G308:I325,$B338)+COUNTIF(G308:I325,$B338&amp;" ~*")&gt;0)+(IFERROR(INDEX(Setup!$G$33:$G$40,MATCH(K338,Setup!$B$33:$B$40,0)),0)=1)*(COUNTIF(K308:M325,$B338)+COUNTIF(K308:M325,$B338&amp;" ~*")&gt;0)+(IFERROR(INDEX(Setup!$G$33:$G$40,MATCH(O338,Setup!$B$33:$B$40,0)),0)=1)*(COUNTIF(O308:Q325,$B338)+COUNTIF(O308:Q325,$B338&amp;" ~*")&gt;0)+(IFERROR(INDEX(Setup!$G$33:$G$40,MATCH(S338,Setup!$B$33:$B$40,0)),0)=1)*(COUNTIF(S308:U325,$B338)+COUNTIF(S308:U325,$B338&amp;" ~*")&gt;0)+(IFERROR(INDEX(Setup!$G$33:$G$40,MATCH(W338,Setup!$B$33:$B$40,0)),0)=1)*(COUNTIF(W308:W325,$B338)+COUNTIF(W308:W325,$B338&amp;" ~*")&gt;0)+(IFERROR(INDEX(Setup!$G$33:$G$40,MATCH(Y338,Setup!$B$33:$B$40,0)),0)=1)*(COUNTIF(Y308:Y325,$B338)+COUNTIF(Y308:Y325,$B338&amp;" ~*")&gt;0))</f>
        <v/>
      </c>
    </row>
    <row r="339" ht="15" customHeight="1">
      <c r="A339" t="n">
        <v>7</v>
      </c>
      <c r="B339" s="35">
        <f>IF(Setup!$B$18="","",Setup!$B$18)</f>
        <v/>
      </c>
      <c r="C339" s="98" t="n"/>
      <c r="D339" s="99" t="n"/>
      <c r="E339" s="99" t="n"/>
      <c r="F339" s="100" t="n"/>
      <c r="G339" s="98" t="n"/>
      <c r="H339" s="99" t="n"/>
      <c r="I339" s="99" t="n"/>
      <c r="J339" s="100" t="n"/>
      <c r="K339" s="98" t="n"/>
      <c r="L339" s="99" t="n"/>
      <c r="M339" s="99" t="n"/>
      <c r="N339" s="100" t="n"/>
      <c r="O339" s="98" t="n"/>
      <c r="P339" s="99" t="n"/>
      <c r="Q339" s="99" t="n"/>
      <c r="R339" s="100" t="n"/>
      <c r="S339" s="98" t="n"/>
      <c r="T339" s="99" t="n"/>
      <c r="U339" s="99" t="n"/>
      <c r="V339" s="100" t="n"/>
      <c r="W339" s="98" t="n"/>
      <c r="X339" s="100" t="n"/>
      <c r="Y339" s="98" t="n"/>
      <c r="Z339" s="100" t="n"/>
      <c r="AB339" s="101">
        <f>IF($B339="","",(COUNTIF(C308:E325,$B339)+COUNTIF(C308:E325,$B339&amp;" ~*")&gt;0)+(COUNTIF(G308:I325,$B339)+COUNTIF(G308:I325,$B339&amp;" ~*")&gt;0)+(COUNTIF(K308:M325,$B339)+COUNTIF(K308:M325,$B339&amp;" ~*")&gt;0)+(COUNTIF(O308:Q325,$B339)+COUNTIF(O308:Q325,$B339&amp;" ~*")&gt;0)+(COUNTIF(S308:U325,$B339)+COUNTIF(S308:U325,$B339&amp;" ~*")&gt;0)+(COUNTIF(W308:W325,$B339)+COUNTIF(W308:W325,$B339&amp;" ~*")&gt;0)+(COUNTIF(Y308:Y325,$B339)+COUNTIF(Y308:Y325,$B339&amp;" ~*")&gt;0))</f>
        <v/>
      </c>
      <c r="AC339" s="36">
        <f>IF($B339="","",(IFERROR(INDEX(Setup!$G$33:$G$40,MATCH(C339,Setup!$B$33:$B$40,0)),0)=1)*(COUNTIF(C308:E325,$B339)+COUNTIF(C308:E325,$B339&amp;" ~*")&gt;0)+(IFERROR(INDEX(Setup!$G$33:$G$40,MATCH(G339,Setup!$B$33:$B$40,0)),0)=1)*(COUNTIF(G308:I325,$B339)+COUNTIF(G308:I325,$B339&amp;" ~*")&gt;0)+(IFERROR(INDEX(Setup!$G$33:$G$40,MATCH(K339,Setup!$B$33:$B$40,0)),0)=1)*(COUNTIF(K308:M325,$B339)+COUNTIF(K308:M325,$B339&amp;" ~*")&gt;0)+(IFERROR(INDEX(Setup!$G$33:$G$40,MATCH(O339,Setup!$B$33:$B$40,0)),0)=1)*(COUNTIF(O308:Q325,$B339)+COUNTIF(O308:Q325,$B339&amp;" ~*")&gt;0)+(IFERROR(INDEX(Setup!$G$33:$G$40,MATCH(S339,Setup!$B$33:$B$40,0)),0)=1)*(COUNTIF(S308:U325,$B339)+COUNTIF(S308:U325,$B339&amp;" ~*")&gt;0)+(IFERROR(INDEX(Setup!$G$33:$G$40,MATCH(W339,Setup!$B$33:$B$40,0)),0)=1)*(COUNTIF(W308:W325,$B339)+COUNTIF(W308:W325,$B339&amp;" ~*")&gt;0)+(IFERROR(INDEX(Setup!$G$33:$G$40,MATCH(Y339,Setup!$B$33:$B$40,0)),0)=1)*(COUNTIF(Y308:Y325,$B339)+COUNTIF(Y308:Y325,$B339&amp;" ~*")&gt;0))</f>
        <v/>
      </c>
    </row>
    <row r="340" ht="15" customHeight="1">
      <c r="A340" t="n">
        <v>7</v>
      </c>
      <c r="B340" s="37">
        <f>IF(Setup!$B$19="","",Setup!$B$19)</f>
        <v/>
      </c>
      <c r="C340" s="102" t="inlineStr">
        <is>
          <t>AL</t>
        </is>
      </c>
      <c r="D340" s="103" t="n"/>
      <c r="E340" s="103" t="n"/>
      <c r="F340" s="104" t="n"/>
      <c r="G340" s="102" t="inlineStr">
        <is>
          <t>AL</t>
        </is>
      </c>
      <c r="H340" s="103" t="n"/>
      <c r="I340" s="103" t="n"/>
      <c r="J340" s="104" t="n"/>
      <c r="K340" s="102" t="inlineStr">
        <is>
          <t>AL</t>
        </is>
      </c>
      <c r="L340" s="103" t="n"/>
      <c r="M340" s="103" t="n"/>
      <c r="N340" s="104" t="n"/>
      <c r="O340" s="102" t="inlineStr">
        <is>
          <t>AL</t>
        </is>
      </c>
      <c r="P340" s="103" t="n"/>
      <c r="Q340" s="103" t="n"/>
      <c r="R340" s="104" t="n"/>
      <c r="S340" s="102" t="inlineStr">
        <is>
          <t>AL</t>
        </is>
      </c>
      <c r="T340" s="103" t="n"/>
      <c r="U340" s="103" t="n"/>
      <c r="V340" s="104" t="n"/>
      <c r="W340" s="102" t="n"/>
      <c r="X340" s="104" t="n"/>
      <c r="Y340" s="102" t="n"/>
      <c r="Z340" s="104" t="n"/>
      <c r="AB340" s="105">
        <f>IF($B340="","",(COUNTIF(C308:E325,$B340)+COUNTIF(C308:E325,$B340&amp;" ~*")&gt;0)+(COUNTIF(G308:I325,$B340)+COUNTIF(G308:I325,$B340&amp;" ~*")&gt;0)+(COUNTIF(K308:M325,$B340)+COUNTIF(K308:M325,$B340&amp;" ~*")&gt;0)+(COUNTIF(O308:Q325,$B340)+COUNTIF(O308:Q325,$B340&amp;" ~*")&gt;0)+(COUNTIF(S308:U325,$B340)+COUNTIF(S308:U325,$B340&amp;" ~*")&gt;0)+(COUNTIF(W308:W325,$B340)+COUNTIF(W308:W325,$B340&amp;" ~*")&gt;0)+(COUNTIF(Y308:Y325,$B340)+COUNTIF(Y308:Y325,$B340&amp;" ~*")&gt;0))</f>
        <v/>
      </c>
      <c r="AC340" s="38">
        <f>IF($B340="","",(IFERROR(INDEX(Setup!$G$33:$G$40,MATCH(C340,Setup!$B$33:$B$40,0)),0)=1)*(COUNTIF(C308:E325,$B340)+COUNTIF(C308:E325,$B340&amp;" ~*")&gt;0)+(IFERROR(INDEX(Setup!$G$33:$G$40,MATCH(G340,Setup!$B$33:$B$40,0)),0)=1)*(COUNTIF(G308:I325,$B340)+COUNTIF(G308:I325,$B340&amp;" ~*")&gt;0)+(IFERROR(INDEX(Setup!$G$33:$G$40,MATCH(K340,Setup!$B$33:$B$40,0)),0)=1)*(COUNTIF(K308:M325,$B340)+COUNTIF(K308:M325,$B340&amp;" ~*")&gt;0)+(IFERROR(INDEX(Setup!$G$33:$G$40,MATCH(O340,Setup!$B$33:$B$40,0)),0)=1)*(COUNTIF(O308:Q325,$B340)+COUNTIF(O308:Q325,$B340&amp;" ~*")&gt;0)+(IFERROR(INDEX(Setup!$G$33:$G$40,MATCH(S340,Setup!$B$33:$B$40,0)),0)=1)*(COUNTIF(S308:U325,$B340)+COUNTIF(S308:U325,$B340&amp;" ~*")&gt;0)+(IFERROR(INDEX(Setup!$G$33:$G$40,MATCH(W340,Setup!$B$33:$B$40,0)),0)=1)*(COUNTIF(W308:W325,$B340)+COUNTIF(W308:W325,$B340&amp;" ~*")&gt;0)+(IFERROR(INDEX(Setup!$G$33:$G$40,MATCH(Y340,Setup!$B$33:$B$40,0)),0)=1)*(COUNTIF(Y308:Y325,$B340)+COUNTIF(Y308:Y325,$B340&amp;" ~*")&gt;0))</f>
        <v/>
      </c>
    </row>
    <row r="341" ht="15" customHeight="1">
      <c r="A341" t="n">
        <v>7</v>
      </c>
      <c r="B341" s="35">
        <f>IF(Setup!$B$20="","",Setup!$B$20)</f>
        <v/>
      </c>
      <c r="C341" s="98" t="n"/>
      <c r="D341" s="99" t="n"/>
      <c r="E341" s="99" t="n"/>
      <c r="F341" s="100" t="n"/>
      <c r="G341" s="98" t="n"/>
      <c r="H341" s="99" t="n"/>
      <c r="I341" s="99" t="n"/>
      <c r="J341" s="100" t="n"/>
      <c r="K341" s="98" t="n"/>
      <c r="L341" s="99" t="n"/>
      <c r="M341" s="99" t="n"/>
      <c r="N341" s="100" t="n"/>
      <c r="O341" s="98" t="n"/>
      <c r="P341" s="99" t="n"/>
      <c r="Q341" s="99" t="n"/>
      <c r="R341" s="100" t="n"/>
      <c r="S341" s="98" t="n"/>
      <c r="T341" s="99" t="n"/>
      <c r="U341" s="99" t="n"/>
      <c r="V341" s="100" t="n"/>
      <c r="W341" s="98" t="n"/>
      <c r="X341" s="100" t="n"/>
      <c r="Y341" s="98" t="n"/>
      <c r="Z341" s="100" t="n"/>
      <c r="AB341" s="101">
        <f>IF($B341="","",(COUNTIF(C308:E325,$B341)+COUNTIF(C308:E325,$B341&amp;" ~*")&gt;0)+(COUNTIF(G308:I325,$B341)+COUNTIF(G308:I325,$B341&amp;" ~*")&gt;0)+(COUNTIF(K308:M325,$B341)+COUNTIF(K308:M325,$B341&amp;" ~*")&gt;0)+(COUNTIF(O308:Q325,$B341)+COUNTIF(O308:Q325,$B341&amp;" ~*")&gt;0)+(COUNTIF(S308:U325,$B341)+COUNTIF(S308:U325,$B341&amp;" ~*")&gt;0)+(COUNTIF(W308:W325,$B341)+COUNTIF(W308:W325,$B341&amp;" ~*")&gt;0)+(COUNTIF(Y308:Y325,$B341)+COUNTIF(Y308:Y325,$B341&amp;" ~*")&gt;0))</f>
        <v/>
      </c>
      <c r="AC341" s="36">
        <f>IF($B341="","",(IFERROR(INDEX(Setup!$G$33:$G$40,MATCH(C341,Setup!$B$33:$B$40,0)),0)=1)*(COUNTIF(C308:E325,$B341)+COUNTIF(C308:E325,$B341&amp;" ~*")&gt;0)+(IFERROR(INDEX(Setup!$G$33:$G$40,MATCH(G341,Setup!$B$33:$B$40,0)),0)=1)*(COUNTIF(G308:I325,$B341)+COUNTIF(G308:I325,$B341&amp;" ~*")&gt;0)+(IFERROR(INDEX(Setup!$G$33:$G$40,MATCH(K341,Setup!$B$33:$B$40,0)),0)=1)*(COUNTIF(K308:M325,$B341)+COUNTIF(K308:M325,$B341&amp;" ~*")&gt;0)+(IFERROR(INDEX(Setup!$G$33:$G$40,MATCH(O341,Setup!$B$33:$B$40,0)),0)=1)*(COUNTIF(O308:Q325,$B341)+COUNTIF(O308:Q325,$B341&amp;" ~*")&gt;0)+(IFERROR(INDEX(Setup!$G$33:$G$40,MATCH(S341,Setup!$B$33:$B$40,0)),0)=1)*(COUNTIF(S308:U325,$B341)+COUNTIF(S308:U325,$B341&amp;" ~*")&gt;0)+(IFERROR(INDEX(Setup!$G$33:$G$40,MATCH(W341,Setup!$B$33:$B$40,0)),0)=1)*(COUNTIF(W308:W325,$B341)+COUNTIF(W308:W325,$B341&amp;" ~*")&gt;0)+(IFERROR(INDEX(Setup!$G$33:$G$40,MATCH(Y341,Setup!$B$33:$B$40,0)),0)=1)*(COUNTIF(Y308:Y325,$B341)+COUNTIF(Y308:Y325,$B341&amp;" ~*")&gt;0))</f>
        <v/>
      </c>
    </row>
    <row r="342" ht="15" customHeight="1">
      <c r="A342" t="n">
        <v>7</v>
      </c>
      <c r="B342" s="37">
        <f>IF(Setup!$B$21="","",Setup!$B$21)</f>
        <v/>
      </c>
      <c r="C342" s="102" t="inlineStr">
        <is>
          <t>AL</t>
        </is>
      </c>
      <c r="D342" s="103" t="n"/>
      <c r="E342" s="103" t="n"/>
      <c r="F342" s="104" t="n"/>
      <c r="G342" s="102" t="inlineStr">
        <is>
          <t>AL</t>
        </is>
      </c>
      <c r="H342" s="103" t="n"/>
      <c r="I342" s="103" t="n"/>
      <c r="J342" s="104" t="n"/>
      <c r="K342" s="102" t="inlineStr">
        <is>
          <t>AL</t>
        </is>
      </c>
      <c r="L342" s="103" t="n"/>
      <c r="M342" s="103" t="n"/>
      <c r="N342" s="104" t="n"/>
      <c r="O342" s="102" t="inlineStr">
        <is>
          <t>AL</t>
        </is>
      </c>
      <c r="P342" s="103" t="n"/>
      <c r="Q342" s="103" t="n"/>
      <c r="R342" s="104" t="n"/>
      <c r="S342" s="102" t="inlineStr">
        <is>
          <t>AL</t>
        </is>
      </c>
      <c r="T342" s="103" t="n"/>
      <c r="U342" s="103" t="n"/>
      <c r="V342" s="104" t="n"/>
      <c r="W342" s="102" t="n"/>
      <c r="X342" s="104" t="n"/>
      <c r="Y342" s="102" t="n"/>
      <c r="Z342" s="104" t="n"/>
      <c r="AB342" s="105">
        <f>IF($B342="","",(COUNTIF(C308:E325,$B342)+COUNTIF(C308:E325,$B342&amp;" ~*")&gt;0)+(COUNTIF(G308:I325,$B342)+COUNTIF(G308:I325,$B342&amp;" ~*")&gt;0)+(COUNTIF(K308:M325,$B342)+COUNTIF(K308:M325,$B342&amp;" ~*")&gt;0)+(COUNTIF(O308:Q325,$B342)+COUNTIF(O308:Q325,$B342&amp;" ~*")&gt;0)+(COUNTIF(S308:U325,$B342)+COUNTIF(S308:U325,$B342&amp;" ~*")&gt;0)+(COUNTIF(W308:W325,$B342)+COUNTIF(W308:W325,$B342&amp;" ~*")&gt;0)+(COUNTIF(Y308:Y325,$B342)+COUNTIF(Y308:Y325,$B342&amp;" ~*")&gt;0))</f>
        <v/>
      </c>
      <c r="AC342" s="38">
        <f>IF($B342="","",(IFERROR(INDEX(Setup!$G$33:$G$40,MATCH(C342,Setup!$B$33:$B$40,0)),0)=1)*(COUNTIF(C308:E325,$B342)+COUNTIF(C308:E325,$B342&amp;" ~*")&gt;0)+(IFERROR(INDEX(Setup!$G$33:$G$40,MATCH(G342,Setup!$B$33:$B$40,0)),0)=1)*(COUNTIF(G308:I325,$B342)+COUNTIF(G308:I325,$B342&amp;" ~*")&gt;0)+(IFERROR(INDEX(Setup!$G$33:$G$40,MATCH(K342,Setup!$B$33:$B$40,0)),0)=1)*(COUNTIF(K308:M325,$B342)+COUNTIF(K308:M325,$B342&amp;" ~*")&gt;0)+(IFERROR(INDEX(Setup!$G$33:$G$40,MATCH(O342,Setup!$B$33:$B$40,0)),0)=1)*(COUNTIF(O308:Q325,$B342)+COUNTIF(O308:Q325,$B342&amp;" ~*")&gt;0)+(IFERROR(INDEX(Setup!$G$33:$G$40,MATCH(S342,Setup!$B$33:$B$40,0)),0)=1)*(COUNTIF(S308:U325,$B342)+COUNTIF(S308:U325,$B342&amp;" ~*")&gt;0)+(IFERROR(INDEX(Setup!$G$33:$G$40,MATCH(W342,Setup!$B$33:$B$40,0)),0)=1)*(COUNTIF(W308:W325,$B342)+COUNTIF(W308:W325,$B342&amp;" ~*")&gt;0)+(IFERROR(INDEX(Setup!$G$33:$G$40,MATCH(Y342,Setup!$B$33:$B$40,0)),0)=1)*(COUNTIF(Y308:Y325,$B342)+COUNTIF(Y308:Y325,$B342&amp;" ~*")&gt;0))</f>
        <v/>
      </c>
    </row>
    <row r="343" ht="15" customHeight="1">
      <c r="A343" t="n">
        <v>7</v>
      </c>
      <c r="B343" s="35">
        <f>IF(Setup!$B$22="","",Setup!$B$22)</f>
        <v/>
      </c>
      <c r="C343" s="98" t="n"/>
      <c r="D343" s="99" t="n"/>
      <c r="E343" s="99" t="n"/>
      <c r="F343" s="100" t="n"/>
      <c r="G343" s="98" t="n"/>
      <c r="H343" s="99" t="n"/>
      <c r="I343" s="99" t="n"/>
      <c r="J343" s="100" t="n"/>
      <c r="K343" s="98" t="n"/>
      <c r="L343" s="99" t="n"/>
      <c r="M343" s="99" t="n"/>
      <c r="N343" s="100" t="n"/>
      <c r="O343" s="98" t="n"/>
      <c r="P343" s="99" t="n"/>
      <c r="Q343" s="99" t="n"/>
      <c r="R343" s="100" t="n"/>
      <c r="S343" s="98" t="n"/>
      <c r="T343" s="99" t="n"/>
      <c r="U343" s="99" t="n"/>
      <c r="V343" s="100" t="n"/>
      <c r="W343" s="98" t="n"/>
      <c r="X343" s="100" t="n"/>
      <c r="Y343" s="98" t="n"/>
      <c r="Z343" s="100" t="n"/>
      <c r="AB343" s="101">
        <f>IF($B343="","",(COUNTIF(C308:E325,$B343)+COUNTIF(C308:E325,$B343&amp;" ~*")&gt;0)+(COUNTIF(G308:I325,$B343)+COUNTIF(G308:I325,$B343&amp;" ~*")&gt;0)+(COUNTIF(K308:M325,$B343)+COUNTIF(K308:M325,$B343&amp;" ~*")&gt;0)+(COUNTIF(O308:Q325,$B343)+COUNTIF(O308:Q325,$B343&amp;" ~*")&gt;0)+(COUNTIF(S308:U325,$B343)+COUNTIF(S308:U325,$B343&amp;" ~*")&gt;0)+(COUNTIF(W308:W325,$B343)+COUNTIF(W308:W325,$B343&amp;" ~*")&gt;0)+(COUNTIF(Y308:Y325,$B343)+COUNTIF(Y308:Y325,$B343&amp;" ~*")&gt;0))</f>
        <v/>
      </c>
      <c r="AC343" s="36">
        <f>IF($B343="","",(IFERROR(INDEX(Setup!$G$33:$G$40,MATCH(C343,Setup!$B$33:$B$40,0)),0)=1)*(COUNTIF(C308:E325,$B343)+COUNTIF(C308:E325,$B343&amp;" ~*")&gt;0)+(IFERROR(INDEX(Setup!$G$33:$G$40,MATCH(G343,Setup!$B$33:$B$40,0)),0)=1)*(COUNTIF(G308:I325,$B343)+COUNTIF(G308:I325,$B343&amp;" ~*")&gt;0)+(IFERROR(INDEX(Setup!$G$33:$G$40,MATCH(K343,Setup!$B$33:$B$40,0)),0)=1)*(COUNTIF(K308:M325,$B343)+COUNTIF(K308:M325,$B343&amp;" ~*")&gt;0)+(IFERROR(INDEX(Setup!$G$33:$G$40,MATCH(O343,Setup!$B$33:$B$40,0)),0)=1)*(COUNTIF(O308:Q325,$B343)+COUNTIF(O308:Q325,$B343&amp;" ~*")&gt;0)+(IFERROR(INDEX(Setup!$G$33:$G$40,MATCH(S343,Setup!$B$33:$B$40,0)),0)=1)*(COUNTIF(S308:U325,$B343)+COUNTIF(S308:U325,$B343&amp;" ~*")&gt;0)+(IFERROR(INDEX(Setup!$G$33:$G$40,MATCH(W343,Setup!$B$33:$B$40,0)),0)=1)*(COUNTIF(W308:W325,$B343)+COUNTIF(W308:W325,$B343&amp;" ~*")&gt;0)+(IFERROR(INDEX(Setup!$G$33:$G$40,MATCH(Y343,Setup!$B$33:$B$40,0)),0)=1)*(COUNTIF(Y308:Y325,$B343)+COUNTIF(Y308:Y325,$B343&amp;" ~*")&gt;0))</f>
        <v/>
      </c>
    </row>
    <row r="344" ht="15" customHeight="1">
      <c r="A344" t="n">
        <v>7</v>
      </c>
      <c r="B344" s="37">
        <f>IF(Setup!$B$23="","",Setup!$B$23)</f>
        <v/>
      </c>
      <c r="C344" s="102" t="n"/>
      <c r="D344" s="103" t="n"/>
      <c r="E344" s="103" t="n"/>
      <c r="F344" s="104" t="n"/>
      <c r="G344" s="102" t="n"/>
      <c r="H344" s="103" t="n"/>
      <c r="I344" s="103" t="n"/>
      <c r="J344" s="104" t="n"/>
      <c r="K344" s="102" t="n"/>
      <c r="L344" s="103" t="n"/>
      <c r="M344" s="103" t="n"/>
      <c r="N344" s="104" t="n"/>
      <c r="O344" s="102" t="n"/>
      <c r="P344" s="103" t="n"/>
      <c r="Q344" s="103" t="n"/>
      <c r="R344" s="104" t="n"/>
      <c r="S344" s="102" t="n"/>
      <c r="T344" s="103" t="n"/>
      <c r="U344" s="103" t="n"/>
      <c r="V344" s="104" t="n"/>
      <c r="W344" s="102" t="n"/>
      <c r="X344" s="104" t="n"/>
      <c r="Y344" s="102" t="n"/>
      <c r="Z344" s="104" t="n"/>
      <c r="AB344" s="105">
        <f>IF($B344="","",(COUNTIF(C308:E325,$B344)+COUNTIF(C308:E325,$B344&amp;" ~*")&gt;0)+(COUNTIF(G308:I325,$B344)+COUNTIF(G308:I325,$B344&amp;" ~*")&gt;0)+(COUNTIF(K308:M325,$B344)+COUNTIF(K308:M325,$B344&amp;" ~*")&gt;0)+(COUNTIF(O308:Q325,$B344)+COUNTIF(O308:Q325,$B344&amp;" ~*")&gt;0)+(COUNTIF(S308:U325,$B344)+COUNTIF(S308:U325,$B344&amp;" ~*")&gt;0)+(COUNTIF(W308:W325,$B344)+COUNTIF(W308:W325,$B344&amp;" ~*")&gt;0)+(COUNTIF(Y308:Y325,$B344)+COUNTIF(Y308:Y325,$B344&amp;" ~*")&gt;0))</f>
        <v/>
      </c>
      <c r="AC344" s="38">
        <f>IF($B344="","",(IFERROR(INDEX(Setup!$G$33:$G$40,MATCH(C344,Setup!$B$33:$B$40,0)),0)=1)*(COUNTIF(C308:E325,$B344)+COUNTIF(C308:E325,$B344&amp;" ~*")&gt;0)+(IFERROR(INDEX(Setup!$G$33:$G$40,MATCH(G344,Setup!$B$33:$B$40,0)),0)=1)*(COUNTIF(G308:I325,$B344)+COUNTIF(G308:I325,$B344&amp;" ~*")&gt;0)+(IFERROR(INDEX(Setup!$G$33:$G$40,MATCH(K344,Setup!$B$33:$B$40,0)),0)=1)*(COUNTIF(K308:M325,$B344)+COUNTIF(K308:M325,$B344&amp;" ~*")&gt;0)+(IFERROR(INDEX(Setup!$G$33:$G$40,MATCH(O344,Setup!$B$33:$B$40,0)),0)=1)*(COUNTIF(O308:Q325,$B344)+COUNTIF(O308:Q325,$B344&amp;" ~*")&gt;0)+(IFERROR(INDEX(Setup!$G$33:$G$40,MATCH(S344,Setup!$B$33:$B$40,0)),0)=1)*(COUNTIF(S308:U325,$B344)+COUNTIF(S308:U325,$B344&amp;" ~*")&gt;0)+(IFERROR(INDEX(Setup!$G$33:$G$40,MATCH(W344,Setup!$B$33:$B$40,0)),0)=1)*(COUNTIF(W308:W325,$B344)+COUNTIF(W308:W325,$B344&amp;" ~*")&gt;0)+(IFERROR(INDEX(Setup!$G$33:$G$40,MATCH(Y344,Setup!$B$33:$B$40,0)),0)=1)*(COUNTIF(Y308:Y325,$B344)+COUNTIF(Y308:Y325,$B344&amp;" ~*")&gt;0))</f>
        <v/>
      </c>
    </row>
    <row r="345" ht="15" customHeight="1">
      <c r="A345" t="n">
        <v>7</v>
      </c>
      <c r="B345" s="35">
        <f>IF(Setup!$B$24="","",Setup!$B$24)</f>
        <v/>
      </c>
      <c r="C345" s="98" t="n"/>
      <c r="D345" s="99" t="n"/>
      <c r="E345" s="99" t="n"/>
      <c r="F345" s="100" t="n"/>
      <c r="G345" s="98" t="n"/>
      <c r="H345" s="99" t="n"/>
      <c r="I345" s="99" t="n"/>
      <c r="J345" s="100" t="n"/>
      <c r="K345" s="98" t="n"/>
      <c r="L345" s="99" t="n"/>
      <c r="M345" s="99" t="n"/>
      <c r="N345" s="100" t="n"/>
      <c r="O345" s="98" t="n"/>
      <c r="P345" s="99" t="n"/>
      <c r="Q345" s="99" t="n"/>
      <c r="R345" s="100" t="n"/>
      <c r="S345" s="98" t="n"/>
      <c r="T345" s="99" t="n"/>
      <c r="U345" s="99" t="n"/>
      <c r="V345" s="100" t="n"/>
      <c r="W345" s="98" t="n"/>
      <c r="X345" s="100" t="n"/>
      <c r="Y345" s="98" t="n"/>
      <c r="Z345" s="100" t="n"/>
      <c r="AB345" s="101">
        <f>IF($B345="","",(COUNTIF(C308:E325,$B345)+COUNTIF(C308:E325,$B345&amp;" ~*")&gt;0)+(COUNTIF(G308:I325,$B345)+COUNTIF(G308:I325,$B345&amp;" ~*")&gt;0)+(COUNTIF(K308:M325,$B345)+COUNTIF(K308:M325,$B345&amp;" ~*")&gt;0)+(COUNTIF(O308:Q325,$B345)+COUNTIF(O308:Q325,$B345&amp;" ~*")&gt;0)+(COUNTIF(S308:U325,$B345)+COUNTIF(S308:U325,$B345&amp;" ~*")&gt;0)+(COUNTIF(W308:W325,$B345)+COUNTIF(W308:W325,$B345&amp;" ~*")&gt;0)+(COUNTIF(Y308:Y325,$B345)+COUNTIF(Y308:Y325,$B345&amp;" ~*")&gt;0))</f>
        <v/>
      </c>
      <c r="AC345" s="36">
        <f>IF($B345="","",(IFERROR(INDEX(Setup!$G$33:$G$40,MATCH(C345,Setup!$B$33:$B$40,0)),0)=1)*(COUNTIF(C308:E325,$B345)+COUNTIF(C308:E325,$B345&amp;" ~*")&gt;0)+(IFERROR(INDEX(Setup!$G$33:$G$40,MATCH(G345,Setup!$B$33:$B$40,0)),0)=1)*(COUNTIF(G308:I325,$B345)+COUNTIF(G308:I325,$B345&amp;" ~*")&gt;0)+(IFERROR(INDEX(Setup!$G$33:$G$40,MATCH(K345,Setup!$B$33:$B$40,0)),0)=1)*(COUNTIF(K308:M325,$B345)+COUNTIF(K308:M325,$B345&amp;" ~*")&gt;0)+(IFERROR(INDEX(Setup!$G$33:$G$40,MATCH(O345,Setup!$B$33:$B$40,0)),0)=1)*(COUNTIF(O308:Q325,$B345)+COUNTIF(O308:Q325,$B345&amp;" ~*")&gt;0)+(IFERROR(INDEX(Setup!$G$33:$G$40,MATCH(S345,Setup!$B$33:$B$40,0)),0)=1)*(COUNTIF(S308:U325,$B345)+COUNTIF(S308:U325,$B345&amp;" ~*")&gt;0)+(IFERROR(INDEX(Setup!$G$33:$G$40,MATCH(W345,Setup!$B$33:$B$40,0)),0)=1)*(COUNTIF(W308:W325,$B345)+COUNTIF(W308:W325,$B345&amp;" ~*")&gt;0)+(IFERROR(INDEX(Setup!$G$33:$G$40,MATCH(Y345,Setup!$B$33:$B$40,0)),0)=1)*(COUNTIF(Y308:Y325,$B345)+COUNTIF(Y308:Y325,$B345&amp;" ~*")&gt;0))</f>
        <v/>
      </c>
    </row>
    <row r="346" ht="15" customHeight="1">
      <c r="A346" t="n">
        <v>7</v>
      </c>
      <c r="B346" s="37">
        <f>IF(Setup!$B$25="","",Setup!$B$25)</f>
        <v/>
      </c>
      <c r="C346" s="102" t="n"/>
      <c r="D346" s="103" t="n"/>
      <c r="E346" s="103" t="n"/>
      <c r="F346" s="104" t="n"/>
      <c r="G346" s="102" t="n"/>
      <c r="H346" s="103" t="n"/>
      <c r="I346" s="103" t="n"/>
      <c r="J346" s="104" t="n"/>
      <c r="K346" s="102" t="n"/>
      <c r="L346" s="103" t="n"/>
      <c r="M346" s="103" t="n"/>
      <c r="N346" s="104" t="n"/>
      <c r="O346" s="102" t="n"/>
      <c r="P346" s="103" t="n"/>
      <c r="Q346" s="103" t="n"/>
      <c r="R346" s="104" t="n"/>
      <c r="S346" s="102" t="n"/>
      <c r="T346" s="103" t="n"/>
      <c r="U346" s="103" t="n"/>
      <c r="V346" s="104" t="n"/>
      <c r="W346" s="102" t="n"/>
      <c r="X346" s="104" t="n"/>
      <c r="Y346" s="102" t="n"/>
      <c r="Z346" s="104" t="n"/>
      <c r="AB346" s="105">
        <f>IF($B346="","",(COUNTIF(C308:E325,$B346)+COUNTIF(C308:E325,$B346&amp;" ~*")&gt;0)+(COUNTIF(G308:I325,$B346)+COUNTIF(G308:I325,$B346&amp;" ~*")&gt;0)+(COUNTIF(K308:M325,$B346)+COUNTIF(K308:M325,$B346&amp;" ~*")&gt;0)+(COUNTIF(O308:Q325,$B346)+COUNTIF(O308:Q325,$B346&amp;" ~*")&gt;0)+(COUNTIF(S308:U325,$B346)+COUNTIF(S308:U325,$B346&amp;" ~*")&gt;0)+(COUNTIF(W308:W325,$B346)+COUNTIF(W308:W325,$B346&amp;" ~*")&gt;0)+(COUNTIF(Y308:Y325,$B346)+COUNTIF(Y308:Y325,$B346&amp;" ~*")&gt;0))</f>
        <v/>
      </c>
      <c r="AC346" s="38">
        <f>IF($B346="","",(IFERROR(INDEX(Setup!$G$33:$G$40,MATCH(C346,Setup!$B$33:$B$40,0)),0)=1)*(COUNTIF(C308:E325,$B346)+COUNTIF(C308:E325,$B346&amp;" ~*")&gt;0)+(IFERROR(INDEX(Setup!$G$33:$G$40,MATCH(G346,Setup!$B$33:$B$40,0)),0)=1)*(COUNTIF(G308:I325,$B346)+COUNTIF(G308:I325,$B346&amp;" ~*")&gt;0)+(IFERROR(INDEX(Setup!$G$33:$G$40,MATCH(K346,Setup!$B$33:$B$40,0)),0)=1)*(COUNTIF(K308:M325,$B346)+COUNTIF(K308:M325,$B346&amp;" ~*")&gt;0)+(IFERROR(INDEX(Setup!$G$33:$G$40,MATCH(O346,Setup!$B$33:$B$40,0)),0)=1)*(COUNTIF(O308:Q325,$B346)+COUNTIF(O308:Q325,$B346&amp;" ~*")&gt;0)+(IFERROR(INDEX(Setup!$G$33:$G$40,MATCH(S346,Setup!$B$33:$B$40,0)),0)=1)*(COUNTIF(S308:U325,$B346)+COUNTIF(S308:U325,$B346&amp;" ~*")&gt;0)+(IFERROR(INDEX(Setup!$G$33:$G$40,MATCH(W346,Setup!$B$33:$B$40,0)),0)=1)*(COUNTIF(W308:W325,$B346)+COUNTIF(W308:W325,$B346&amp;" ~*")&gt;0)+(IFERROR(INDEX(Setup!$G$33:$G$40,MATCH(Y346,Setup!$B$33:$B$40,0)),0)=1)*(COUNTIF(Y308:Y325,$B346)+COUNTIF(Y308:Y325,$B346&amp;" ~*")&gt;0))</f>
        <v/>
      </c>
    </row>
    <row r="347" ht="15" customHeight="1">
      <c r="A347" t="n">
        <v>7</v>
      </c>
      <c r="B347" s="35">
        <f>IF(Setup!$B$26="","",Setup!$B$26)</f>
        <v/>
      </c>
      <c r="C347" s="98" t="n"/>
      <c r="D347" s="99" t="n"/>
      <c r="E347" s="99" t="n"/>
      <c r="F347" s="100" t="n"/>
      <c r="G347" s="98" t="n"/>
      <c r="H347" s="99" t="n"/>
      <c r="I347" s="99" t="n"/>
      <c r="J347" s="100" t="n"/>
      <c r="K347" s="98" t="n"/>
      <c r="L347" s="99" t="n"/>
      <c r="M347" s="99" t="n"/>
      <c r="N347" s="100" t="n"/>
      <c r="O347" s="98" t="n"/>
      <c r="P347" s="99" t="n"/>
      <c r="Q347" s="99" t="n"/>
      <c r="R347" s="100" t="n"/>
      <c r="S347" s="98" t="n"/>
      <c r="T347" s="99" t="n"/>
      <c r="U347" s="99" t="n"/>
      <c r="V347" s="100" t="n"/>
      <c r="W347" s="98" t="n"/>
      <c r="X347" s="100" t="n"/>
      <c r="Y347" s="98" t="n"/>
      <c r="Z347" s="100" t="n"/>
      <c r="AB347" s="101">
        <f>IF($B347="","",(COUNTIF(C308:E325,$B347)+COUNTIF(C308:E325,$B347&amp;" ~*")&gt;0)+(COUNTIF(G308:I325,$B347)+COUNTIF(G308:I325,$B347&amp;" ~*")&gt;0)+(COUNTIF(K308:M325,$B347)+COUNTIF(K308:M325,$B347&amp;" ~*")&gt;0)+(COUNTIF(O308:Q325,$B347)+COUNTIF(O308:Q325,$B347&amp;" ~*")&gt;0)+(COUNTIF(S308:U325,$B347)+COUNTIF(S308:U325,$B347&amp;" ~*")&gt;0)+(COUNTIF(W308:W325,$B347)+COUNTIF(W308:W325,$B347&amp;" ~*")&gt;0)+(COUNTIF(Y308:Y325,$B347)+COUNTIF(Y308:Y325,$B347&amp;" ~*")&gt;0))</f>
        <v/>
      </c>
      <c r="AC347" s="36">
        <f>IF($B347="","",(IFERROR(INDEX(Setup!$G$33:$G$40,MATCH(C347,Setup!$B$33:$B$40,0)),0)=1)*(COUNTIF(C308:E325,$B347)+COUNTIF(C308:E325,$B347&amp;" ~*")&gt;0)+(IFERROR(INDEX(Setup!$G$33:$G$40,MATCH(G347,Setup!$B$33:$B$40,0)),0)=1)*(COUNTIF(G308:I325,$B347)+COUNTIF(G308:I325,$B347&amp;" ~*")&gt;0)+(IFERROR(INDEX(Setup!$G$33:$G$40,MATCH(K347,Setup!$B$33:$B$40,0)),0)=1)*(COUNTIF(K308:M325,$B347)+COUNTIF(K308:M325,$B347&amp;" ~*")&gt;0)+(IFERROR(INDEX(Setup!$G$33:$G$40,MATCH(O347,Setup!$B$33:$B$40,0)),0)=1)*(COUNTIF(O308:Q325,$B347)+COUNTIF(O308:Q325,$B347&amp;" ~*")&gt;0)+(IFERROR(INDEX(Setup!$G$33:$G$40,MATCH(S347,Setup!$B$33:$B$40,0)),0)=1)*(COUNTIF(S308:U325,$B347)+COUNTIF(S308:U325,$B347&amp;" ~*")&gt;0)+(IFERROR(INDEX(Setup!$G$33:$G$40,MATCH(W347,Setup!$B$33:$B$40,0)),0)=1)*(COUNTIF(W308:W325,$B347)+COUNTIF(W308:W325,$B347&amp;" ~*")&gt;0)+(IFERROR(INDEX(Setup!$G$33:$G$40,MATCH(Y347,Setup!$B$33:$B$40,0)),0)=1)*(COUNTIF(Y308:Y325,$B347)+COUNTIF(Y308:Y325,$B347&amp;" ~*")&gt;0))</f>
        <v/>
      </c>
    </row>
    <row r="348" ht="15" customHeight="1">
      <c r="A348" t="n">
        <v>7</v>
      </c>
      <c r="B348" s="37">
        <f>IF(Setup!$B$27="","",Setup!$B$27)</f>
        <v/>
      </c>
      <c r="C348" s="102" t="n"/>
      <c r="D348" s="103" t="n"/>
      <c r="E348" s="103" t="n"/>
      <c r="F348" s="104" t="n"/>
      <c r="G348" s="102" t="n"/>
      <c r="H348" s="103" t="n"/>
      <c r="I348" s="103" t="n"/>
      <c r="J348" s="104" t="n"/>
      <c r="K348" s="102" t="n"/>
      <c r="L348" s="103" t="n"/>
      <c r="M348" s="103" t="n"/>
      <c r="N348" s="104" t="n"/>
      <c r="O348" s="102" t="n"/>
      <c r="P348" s="103" t="n"/>
      <c r="Q348" s="103" t="n"/>
      <c r="R348" s="104" t="n"/>
      <c r="S348" s="102" t="n"/>
      <c r="T348" s="103" t="n"/>
      <c r="U348" s="103" t="n"/>
      <c r="V348" s="104" t="n"/>
      <c r="W348" s="102" t="n"/>
      <c r="X348" s="104" t="n"/>
      <c r="Y348" s="102" t="n"/>
      <c r="Z348" s="104" t="n"/>
      <c r="AB348" s="105">
        <f>IF($B348="","",(COUNTIF(C308:E325,$B348)+COUNTIF(C308:E325,$B348&amp;" ~*")&gt;0)+(COUNTIF(G308:I325,$B348)+COUNTIF(G308:I325,$B348&amp;" ~*")&gt;0)+(COUNTIF(K308:M325,$B348)+COUNTIF(K308:M325,$B348&amp;" ~*")&gt;0)+(COUNTIF(O308:Q325,$B348)+COUNTIF(O308:Q325,$B348&amp;" ~*")&gt;0)+(COUNTIF(S308:U325,$B348)+COUNTIF(S308:U325,$B348&amp;" ~*")&gt;0)+(COUNTIF(W308:W325,$B348)+COUNTIF(W308:W325,$B348&amp;" ~*")&gt;0)+(COUNTIF(Y308:Y325,$B348)+COUNTIF(Y308:Y325,$B348&amp;" ~*")&gt;0))</f>
        <v/>
      </c>
      <c r="AC348" s="38">
        <f>IF($B348="","",(IFERROR(INDEX(Setup!$G$33:$G$40,MATCH(C348,Setup!$B$33:$B$40,0)),0)=1)*(COUNTIF(C308:E325,$B348)+COUNTIF(C308:E325,$B348&amp;" ~*")&gt;0)+(IFERROR(INDEX(Setup!$G$33:$G$40,MATCH(G348,Setup!$B$33:$B$40,0)),0)=1)*(COUNTIF(G308:I325,$B348)+COUNTIF(G308:I325,$B348&amp;" ~*")&gt;0)+(IFERROR(INDEX(Setup!$G$33:$G$40,MATCH(K348,Setup!$B$33:$B$40,0)),0)=1)*(COUNTIF(K308:M325,$B348)+COUNTIF(K308:M325,$B348&amp;" ~*")&gt;0)+(IFERROR(INDEX(Setup!$G$33:$G$40,MATCH(O348,Setup!$B$33:$B$40,0)),0)=1)*(COUNTIF(O308:Q325,$B348)+COUNTIF(O308:Q325,$B348&amp;" ~*")&gt;0)+(IFERROR(INDEX(Setup!$G$33:$G$40,MATCH(S348,Setup!$B$33:$B$40,0)),0)=1)*(COUNTIF(S308:U325,$B348)+COUNTIF(S308:U325,$B348&amp;" ~*")&gt;0)+(IFERROR(INDEX(Setup!$G$33:$G$40,MATCH(W348,Setup!$B$33:$B$40,0)),0)=1)*(COUNTIF(W308:W325,$B348)+COUNTIF(W308:W325,$B348&amp;" ~*")&gt;0)+(IFERROR(INDEX(Setup!$G$33:$G$40,MATCH(Y348,Setup!$B$33:$B$40,0)),0)=1)*(COUNTIF(Y308:Y325,$B348)+COUNTIF(Y308:Y325,$B348&amp;" ~*")&gt;0))</f>
        <v/>
      </c>
    </row>
    <row r="349" ht="15" customHeight="1">
      <c r="A349" t="n">
        <v>7</v>
      </c>
      <c r="B349" s="35">
        <f>IF(Setup!$B$28="","",Setup!$B$28)</f>
        <v/>
      </c>
      <c r="C349" s="98" t="n"/>
      <c r="D349" s="99" t="n"/>
      <c r="E349" s="99" t="n"/>
      <c r="F349" s="100" t="n"/>
      <c r="G349" s="98" t="n"/>
      <c r="H349" s="99" t="n"/>
      <c r="I349" s="99" t="n"/>
      <c r="J349" s="100" t="n"/>
      <c r="K349" s="98" t="n"/>
      <c r="L349" s="99" t="n"/>
      <c r="M349" s="99" t="n"/>
      <c r="N349" s="100" t="n"/>
      <c r="O349" s="98" t="n"/>
      <c r="P349" s="99" t="n"/>
      <c r="Q349" s="99" t="n"/>
      <c r="R349" s="100" t="n"/>
      <c r="S349" s="98" t="n"/>
      <c r="T349" s="99" t="n"/>
      <c r="U349" s="99" t="n"/>
      <c r="V349" s="100" t="n"/>
      <c r="W349" s="98" t="n"/>
      <c r="X349" s="100" t="n"/>
      <c r="Y349" s="98" t="n"/>
      <c r="Z349" s="100" t="n"/>
      <c r="AB349" s="101">
        <f>IF($B349="","",(COUNTIF(C308:E325,$B349)+COUNTIF(C308:E325,$B349&amp;" ~*")&gt;0)+(COUNTIF(G308:I325,$B349)+COUNTIF(G308:I325,$B349&amp;" ~*")&gt;0)+(COUNTIF(K308:M325,$B349)+COUNTIF(K308:M325,$B349&amp;" ~*")&gt;0)+(COUNTIF(O308:Q325,$B349)+COUNTIF(O308:Q325,$B349&amp;" ~*")&gt;0)+(COUNTIF(S308:U325,$B349)+COUNTIF(S308:U325,$B349&amp;" ~*")&gt;0)+(COUNTIF(W308:W325,$B349)+COUNTIF(W308:W325,$B349&amp;" ~*")&gt;0)+(COUNTIF(Y308:Y325,$B349)+COUNTIF(Y308:Y325,$B349&amp;" ~*")&gt;0))</f>
        <v/>
      </c>
      <c r="AC349" s="36">
        <f>IF($B349="","",(IFERROR(INDEX(Setup!$G$33:$G$40,MATCH(C349,Setup!$B$33:$B$40,0)),0)=1)*(COUNTIF(C308:E325,$B349)+COUNTIF(C308:E325,$B349&amp;" ~*")&gt;0)+(IFERROR(INDEX(Setup!$G$33:$G$40,MATCH(G349,Setup!$B$33:$B$40,0)),0)=1)*(COUNTIF(G308:I325,$B349)+COUNTIF(G308:I325,$B349&amp;" ~*")&gt;0)+(IFERROR(INDEX(Setup!$G$33:$G$40,MATCH(K349,Setup!$B$33:$B$40,0)),0)=1)*(COUNTIF(K308:M325,$B349)+COUNTIF(K308:M325,$B349&amp;" ~*")&gt;0)+(IFERROR(INDEX(Setup!$G$33:$G$40,MATCH(O349,Setup!$B$33:$B$40,0)),0)=1)*(COUNTIF(O308:Q325,$B349)+COUNTIF(O308:Q325,$B349&amp;" ~*")&gt;0)+(IFERROR(INDEX(Setup!$G$33:$G$40,MATCH(S349,Setup!$B$33:$B$40,0)),0)=1)*(COUNTIF(S308:U325,$B349)+COUNTIF(S308:U325,$B349&amp;" ~*")&gt;0)+(IFERROR(INDEX(Setup!$G$33:$G$40,MATCH(W349,Setup!$B$33:$B$40,0)),0)=1)*(COUNTIF(W308:W325,$B349)+COUNTIF(W308:W325,$B349&amp;" ~*")&gt;0)+(IFERROR(INDEX(Setup!$G$33:$G$40,MATCH(Y349,Setup!$B$33:$B$40,0)),0)=1)*(COUNTIF(Y308:Y325,$B349)+COUNTIF(Y308:Y325,$B349&amp;" ~*")&gt;0))</f>
        <v/>
      </c>
    </row>
    <row r="350" ht="15" customHeight="1">
      <c r="A350" t="n">
        <v>7</v>
      </c>
      <c r="B350" s="37">
        <f>IF(Setup!$B$29="","",Setup!$B$29)</f>
        <v/>
      </c>
      <c r="C350" s="102" t="n"/>
      <c r="D350" s="103" t="n"/>
      <c r="E350" s="103" t="n"/>
      <c r="F350" s="104" t="n"/>
      <c r="G350" s="102" t="n"/>
      <c r="H350" s="103" t="n"/>
      <c r="I350" s="103" t="n"/>
      <c r="J350" s="104" t="n"/>
      <c r="K350" s="102" t="n"/>
      <c r="L350" s="103" t="n"/>
      <c r="M350" s="103" t="n"/>
      <c r="N350" s="104" t="n"/>
      <c r="O350" s="102" t="n"/>
      <c r="P350" s="103" t="n"/>
      <c r="Q350" s="103" t="n"/>
      <c r="R350" s="104" t="n"/>
      <c r="S350" s="102" t="n"/>
      <c r="T350" s="103" t="n"/>
      <c r="U350" s="103" t="n"/>
      <c r="V350" s="104" t="n"/>
      <c r="W350" s="102" t="n"/>
      <c r="X350" s="104" t="n"/>
      <c r="Y350" s="102" t="n"/>
      <c r="Z350" s="104" t="n"/>
      <c r="AB350" s="105">
        <f>IF($B350="","",(COUNTIF(C308:E325,$B350)+COUNTIF(C308:E325,$B350&amp;" ~*")&gt;0)+(COUNTIF(G308:I325,$B350)+COUNTIF(G308:I325,$B350&amp;" ~*")&gt;0)+(COUNTIF(K308:M325,$B350)+COUNTIF(K308:M325,$B350&amp;" ~*")&gt;0)+(COUNTIF(O308:Q325,$B350)+COUNTIF(O308:Q325,$B350&amp;" ~*")&gt;0)+(COUNTIF(S308:U325,$B350)+COUNTIF(S308:U325,$B350&amp;" ~*")&gt;0)+(COUNTIF(W308:W325,$B350)+COUNTIF(W308:W325,$B350&amp;" ~*")&gt;0)+(COUNTIF(Y308:Y325,$B350)+COUNTIF(Y308:Y325,$B350&amp;" ~*")&gt;0))</f>
        <v/>
      </c>
      <c r="AC350" s="38">
        <f>IF($B350="","",(IFERROR(INDEX(Setup!$G$33:$G$40,MATCH(C350,Setup!$B$33:$B$40,0)),0)=1)*(COUNTIF(C308:E325,$B350)+COUNTIF(C308:E325,$B350&amp;" ~*")&gt;0)+(IFERROR(INDEX(Setup!$G$33:$G$40,MATCH(G350,Setup!$B$33:$B$40,0)),0)=1)*(COUNTIF(G308:I325,$B350)+COUNTIF(G308:I325,$B350&amp;" ~*")&gt;0)+(IFERROR(INDEX(Setup!$G$33:$G$40,MATCH(K350,Setup!$B$33:$B$40,0)),0)=1)*(COUNTIF(K308:M325,$B350)+COUNTIF(K308:M325,$B350&amp;" ~*")&gt;0)+(IFERROR(INDEX(Setup!$G$33:$G$40,MATCH(O350,Setup!$B$33:$B$40,0)),0)=1)*(COUNTIF(O308:Q325,$B350)+COUNTIF(O308:Q325,$B350&amp;" ~*")&gt;0)+(IFERROR(INDEX(Setup!$G$33:$G$40,MATCH(S350,Setup!$B$33:$B$40,0)),0)=1)*(COUNTIF(S308:U325,$B350)+COUNTIF(S308:U325,$B350&amp;" ~*")&gt;0)+(IFERROR(INDEX(Setup!$G$33:$G$40,MATCH(W350,Setup!$B$33:$B$40,0)),0)=1)*(COUNTIF(W308:W325,$B350)+COUNTIF(W308:W325,$B350&amp;" ~*")&gt;0)+(IFERROR(INDEX(Setup!$G$33:$G$40,MATCH(Y350,Setup!$B$33:$B$40,0)),0)=1)*(COUNTIF(Y308:Y325,$B350)+COUNTIF(Y308:Y325,$B350&amp;" ~*")&gt;0))</f>
        <v/>
      </c>
    </row>
    <row r="351" ht="16" customHeight="1">
      <c r="A351" t="n">
        <v>7</v>
      </c>
      <c r="B351" s="106" t="inlineStr">
        <is>
          <t>Available people</t>
        </is>
      </c>
      <c r="C351" s="107">
        <f>COUNTIFS(Setup!$E$6:$E$29,"Y",Setup!$B$6:$B$29,"?*")-SUMPRODUCT(COUNTIF(C327:C350,Setup!$F$33:$F$40))</f>
        <v/>
      </c>
      <c r="D351" s="107" t="n"/>
      <c r="E351" s="107" t="n"/>
      <c r="F351" s="107" t="n"/>
      <c r="G351" s="107">
        <f>COUNTIFS(Setup!$E$6:$E$29,"Y",Setup!$B$6:$B$29,"?*")-SUMPRODUCT(COUNTIF(G327:G350,Setup!$F$33:$F$40))</f>
        <v/>
      </c>
      <c r="H351" s="107" t="n"/>
      <c r="I351" s="107" t="n"/>
      <c r="J351" s="107" t="n"/>
      <c r="K351" s="107">
        <f>COUNTIFS(Setup!$E$6:$E$29,"Y",Setup!$B$6:$B$29,"?*")-SUMPRODUCT(COUNTIF(K327:K350,Setup!$F$33:$F$40))</f>
        <v/>
      </c>
      <c r="L351" s="107" t="n"/>
      <c r="M351" s="107" t="n"/>
      <c r="N351" s="107" t="n"/>
      <c r="O351" s="107">
        <f>COUNTIFS(Setup!$E$6:$E$29,"Y",Setup!$B$6:$B$29,"?*")-SUMPRODUCT(COUNTIF(O327:O350,Setup!$F$33:$F$40))</f>
        <v/>
      </c>
      <c r="P351" s="107" t="n"/>
      <c r="Q351" s="107" t="n"/>
      <c r="R351" s="107" t="n"/>
      <c r="S351" s="107">
        <f>COUNTIFS(Setup!$E$6:$E$29,"Y",Setup!$B$6:$B$29,"?*")-SUMPRODUCT(COUNTIF(S327:S350,Setup!$F$33:$F$40))</f>
        <v/>
      </c>
      <c r="T351" s="107" t="n"/>
      <c r="U351" s="107" t="n"/>
      <c r="V351" s="107" t="n"/>
      <c r="W351" s="107">
        <f>COUNTIFS(Setup!$E$6:$E$29,"Y",Setup!$B$6:$B$29,"?*")-SUMPRODUCT(COUNTIF(W327:W350,Setup!$F$33:$F$40))</f>
        <v/>
      </c>
      <c r="X351" s="107" t="n"/>
      <c r="Y351" s="107">
        <f>COUNTIFS(Setup!$E$6:$E$29,"Y",Setup!$B$6:$B$29,"?*")-SUMPRODUCT(COUNTIF(Y327:Y350,Setup!$F$33:$F$40))</f>
        <v/>
      </c>
      <c r="Z351" s="107" t="n"/>
      <c r="AB351" s="108">
        <f>SUM(AB327:AB350)</f>
        <v/>
      </c>
      <c r="AC351" s="109">
        <f>SUM(AC327:AC350)</f>
        <v/>
      </c>
    </row>
    <row r="352" ht="30" customHeight="1">
      <c r="A352" t="n">
        <v>7</v>
      </c>
      <c r="B352" s="110" t="inlineStr">
        <is>
          <t>Week notes</t>
        </is>
      </c>
      <c r="C352" s="111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112" t="n"/>
      <c r="R352" s="112" t="n"/>
      <c r="S352" s="112" t="n"/>
      <c r="T352" s="112" t="n"/>
      <c r="U352" s="112" t="n"/>
      <c r="V352" s="112" t="n"/>
      <c r="W352" s="112" t="n"/>
      <c r="X352" s="112" t="n"/>
      <c r="Y352" s="112" t="n"/>
      <c r="Z352" s="113" t="n"/>
    </row>
    <row r="353" ht="8" customHeight="1">
      <c r="A353" t="n">
        <v>7</v>
      </c>
    </row>
    <row r="354" ht="8" customHeight="1">
      <c r="A354" t="n">
        <v>7</v>
      </c>
    </row>
    <row r="355" ht="24" customHeight="1">
      <c r="A355" t="n">
        <v>8</v>
      </c>
      <c r="B355" s="73">
        <f>"WEEK 8     "&amp;TEXT(C356,"ddd d mmm")&amp;"  –  "&amp;TEXT(C356+6,"ddd d mmm yyyy")</f>
        <v/>
      </c>
      <c r="S355" s="74">
        <f>IF(TODAY()&lt;C356,"FUTURE",IF(TODAY()&gt;C356+6,"PAST","THIS WEEK"))</f>
        <v/>
      </c>
      <c r="W355" s="75">
        <f>IF(AND(Engine!$B$8=$AC$3,Engine!$B$9=$A355),"◀ ACTIVE WEEK","")</f>
        <v/>
      </c>
      <c r="AA355" s="76" t="n"/>
      <c r="AB355" s="77" t="inlineStr">
        <is>
          <t>◀ Prev</t>
        </is>
      </c>
      <c r="AC355" s="77" t="inlineStr">
        <is>
          <t>Next ▶</t>
        </is>
      </c>
    </row>
    <row r="356" ht="18" customHeight="1">
      <c r="A356" t="n">
        <v>8</v>
      </c>
      <c r="B356" s="78" t="inlineStr">
        <is>
          <t>DUTY</t>
        </is>
      </c>
      <c r="C356" s="79">
        <f>$AC$2+7*($A356-1)</f>
        <v/>
      </c>
      <c r="D356" s="80" t="n"/>
      <c r="E356" s="80" t="n"/>
      <c r="F356" s="81" t="n"/>
      <c r="G356" s="79">
        <f>C356+1</f>
        <v/>
      </c>
      <c r="H356" s="80" t="n"/>
      <c r="I356" s="80" t="n"/>
      <c r="J356" s="81" t="n"/>
      <c r="K356" s="79">
        <f>C356+2</f>
        <v/>
      </c>
      <c r="L356" s="80" t="n"/>
      <c r="M356" s="80" t="n"/>
      <c r="N356" s="81" t="n"/>
      <c r="O356" s="79">
        <f>C356+3</f>
        <v/>
      </c>
      <c r="P356" s="80" t="n"/>
      <c r="Q356" s="80" t="n"/>
      <c r="R356" s="81" t="n"/>
      <c r="S356" s="79">
        <f>C356+4</f>
        <v/>
      </c>
      <c r="T356" s="80" t="n"/>
      <c r="U356" s="80" t="n"/>
      <c r="V356" s="81" t="n"/>
      <c r="W356" s="82">
        <f>C356+5</f>
        <v/>
      </c>
      <c r="X356" s="83" t="n"/>
      <c r="Y356" s="82">
        <f>C356+6</f>
        <v/>
      </c>
      <c r="Z356" s="83" t="n"/>
      <c r="AB356" s="72" t="inlineStr">
        <is>
          <t>Gaps</t>
        </is>
      </c>
      <c r="AC356" s="72" t="inlineStr">
        <is>
          <t>Cover</t>
        </is>
      </c>
    </row>
    <row r="357" ht="14" customHeight="1">
      <c r="A357" t="n">
        <v>8</v>
      </c>
      <c r="B357" s="84" t="inlineStr">
        <is>
          <t>(from Setup)</t>
        </is>
      </c>
      <c r="C357" s="85" t="inlineStr">
        <is>
          <t>1</t>
        </is>
      </c>
      <c r="D357" s="85" t="inlineStr">
        <is>
          <t>2</t>
        </is>
      </c>
      <c r="E357" s="85" t="inlineStr">
        <is>
          <t>3</t>
        </is>
      </c>
      <c r="F357" s="85" t="inlineStr">
        <is>
          <t>Notes</t>
        </is>
      </c>
      <c r="G357" s="85" t="inlineStr">
        <is>
          <t>1</t>
        </is>
      </c>
      <c r="H357" s="85" t="inlineStr">
        <is>
          <t>2</t>
        </is>
      </c>
      <c r="I357" s="85" t="inlineStr">
        <is>
          <t>3</t>
        </is>
      </c>
      <c r="J357" s="85" t="inlineStr">
        <is>
          <t>Notes</t>
        </is>
      </c>
      <c r="K357" s="85" t="inlineStr">
        <is>
          <t>1</t>
        </is>
      </c>
      <c r="L357" s="85" t="inlineStr">
        <is>
          <t>2</t>
        </is>
      </c>
      <c r="M357" s="85" t="inlineStr">
        <is>
          <t>3</t>
        </is>
      </c>
      <c r="N357" s="85" t="inlineStr">
        <is>
          <t>Notes</t>
        </is>
      </c>
      <c r="O357" s="85" t="inlineStr">
        <is>
          <t>1</t>
        </is>
      </c>
      <c r="P357" s="85" t="inlineStr">
        <is>
          <t>2</t>
        </is>
      </c>
      <c r="Q357" s="85" t="inlineStr">
        <is>
          <t>3</t>
        </is>
      </c>
      <c r="R357" s="85" t="inlineStr">
        <is>
          <t>Notes</t>
        </is>
      </c>
      <c r="S357" s="85" t="inlineStr">
        <is>
          <t>1</t>
        </is>
      </c>
      <c r="T357" s="85" t="inlineStr">
        <is>
          <t>2</t>
        </is>
      </c>
      <c r="U357" s="85" t="inlineStr">
        <is>
          <t>3</t>
        </is>
      </c>
      <c r="V357" s="85" t="inlineStr">
        <is>
          <t>Notes</t>
        </is>
      </c>
      <c r="W357" s="85" t="inlineStr">
        <is>
          <t>Cover</t>
        </is>
      </c>
      <c r="X357" s="85" t="inlineStr">
        <is>
          <t>Notes</t>
        </is>
      </c>
      <c r="Y357" s="85" t="inlineStr">
        <is>
          <t>Cover</t>
        </is>
      </c>
      <c r="Z357" s="85" t="inlineStr">
        <is>
          <t>Notes</t>
        </is>
      </c>
      <c r="AB357" s="86" t="inlineStr">
        <is>
          <t>weekdays short</t>
        </is>
      </c>
      <c r="AC357" s="87" t="inlineStr"/>
    </row>
    <row r="358" ht="17" customHeight="1">
      <c r="A358" t="n">
        <v>8</v>
      </c>
      <c r="B358" s="24">
        <f>IF(Setup!$K$6="","",Setup!$K$6)</f>
        <v/>
      </c>
      <c r="C358" s="88" t="n"/>
      <c r="D358" s="88" t="n"/>
      <c r="E358" s="88" t="n"/>
      <c r="F358" s="89" t="n"/>
      <c r="G358" s="88" t="n"/>
      <c r="H358" s="88" t="n"/>
      <c r="I358" s="88" t="n"/>
      <c r="J358" s="89" t="n"/>
      <c r="K358" s="88" t="n"/>
      <c r="L358" s="88" t="n"/>
      <c r="M358" s="88" t="n"/>
      <c r="N358" s="89" t="n"/>
      <c r="O358" s="88" t="n"/>
      <c r="P358" s="88" t="n"/>
      <c r="Q358" s="88" t="n"/>
      <c r="R358" s="89" t="n"/>
      <c r="S358" s="88" t="n"/>
      <c r="T358" s="88" t="n"/>
      <c r="U358" s="88" t="n"/>
      <c r="V358" s="89" t="n"/>
      <c r="W358" s="88" t="n"/>
      <c r="X358" s="89" t="n"/>
      <c r="Y358" s="88" t="n"/>
      <c r="Z358" s="89" t="n"/>
      <c r="AB358" s="25">
        <f>IF($B358="","",(COUNTIF(C358:E358,"?*")&lt;N(INDEX(Setup!$L$6:$L$23,1)))+(COUNTIF(G358:I358,"?*")&lt;N(INDEX(Setup!$L$6:$L$23,1)))+(COUNTIF(K358:M358,"?*")&lt;N(INDEX(Setup!$L$6:$L$23,1)))+(COUNTIF(O358:Q358,"?*")&lt;N(INDEX(Setup!$L$6:$L$23,1)))+(COUNTIF(S358:U358,"?*")&lt;N(INDEX(Setup!$L$6:$L$23,1)))+((W358="")*(INDEX(Setup!$M$6:$M$23,1)="Y"))+((Y358="")*(INDEX(Setup!$M$6:$M$23,1)="Y")))</f>
        <v/>
      </c>
      <c r="AC358" s="90">
        <f>IF($B358="","",IF(AB358=0,"✓ covered","⚠ "&amp;AB358&amp;IF(AB358=1," gap"," gaps")))</f>
        <v/>
      </c>
    </row>
    <row r="359" ht="17" customHeight="1">
      <c r="A359" t="n">
        <v>8</v>
      </c>
      <c r="B359" s="29">
        <f>IF(Setup!$K$7="","",Setup!$K$7)</f>
        <v/>
      </c>
      <c r="C359" s="88" t="n"/>
      <c r="D359" s="88" t="n"/>
      <c r="E359" s="88" t="n"/>
      <c r="F359" s="89" t="n"/>
      <c r="G359" s="88" t="n"/>
      <c r="H359" s="88" t="n"/>
      <c r="I359" s="88" t="n"/>
      <c r="J359" s="89" t="n"/>
      <c r="K359" s="88" t="n"/>
      <c r="L359" s="88" t="n"/>
      <c r="M359" s="88" t="n"/>
      <c r="N359" s="89" t="n"/>
      <c r="O359" s="88" t="n"/>
      <c r="P359" s="88" t="n"/>
      <c r="Q359" s="88" t="n"/>
      <c r="R359" s="89" t="n"/>
      <c r="S359" s="88" t="n"/>
      <c r="T359" s="88" t="n"/>
      <c r="U359" s="88" t="n"/>
      <c r="V359" s="89" t="n"/>
      <c r="W359" s="88" t="n"/>
      <c r="X359" s="89" t="n"/>
      <c r="Y359" s="88" t="n"/>
      <c r="Z359" s="89" t="n"/>
      <c r="AB359" s="30">
        <f>IF($B359="","",(COUNTIF(C359:E359,"?*")&lt;N(INDEX(Setup!$L$6:$L$23,2)))+(COUNTIF(G359:I359,"?*")&lt;N(INDEX(Setup!$L$6:$L$23,2)))+(COUNTIF(K359:M359,"?*")&lt;N(INDEX(Setup!$L$6:$L$23,2)))+(COUNTIF(O359:Q359,"?*")&lt;N(INDEX(Setup!$L$6:$L$23,2)))+(COUNTIF(S359:U359,"?*")&lt;N(INDEX(Setup!$L$6:$L$23,2)))+((W359="")*(INDEX(Setup!$M$6:$M$23,2)="Y"))+((Y359="")*(INDEX(Setup!$M$6:$M$23,2)="Y")))</f>
        <v/>
      </c>
      <c r="AC359" s="91">
        <f>IF($B359="","",IF(AB359=0,"✓ covered","⚠ "&amp;AB359&amp;IF(AB359=1," gap"," gaps")))</f>
        <v/>
      </c>
    </row>
    <row r="360" ht="17" customHeight="1">
      <c r="A360" t="n">
        <v>8</v>
      </c>
      <c r="B360" s="24">
        <f>IF(Setup!$K$8="","",Setup!$K$8)</f>
        <v/>
      </c>
      <c r="C360" s="88" t="n"/>
      <c r="D360" s="88" t="n"/>
      <c r="E360" s="88" t="n"/>
      <c r="F360" s="89" t="n"/>
      <c r="G360" s="88" t="n"/>
      <c r="H360" s="88" t="n"/>
      <c r="I360" s="88" t="n"/>
      <c r="J360" s="89" t="n"/>
      <c r="K360" s="88" t="n"/>
      <c r="L360" s="88" t="n"/>
      <c r="M360" s="88" t="n"/>
      <c r="N360" s="89" t="n"/>
      <c r="O360" s="88" t="n"/>
      <c r="P360" s="88" t="n"/>
      <c r="Q360" s="88" t="n"/>
      <c r="R360" s="89" t="n"/>
      <c r="S360" s="88" t="n"/>
      <c r="T360" s="88" t="n"/>
      <c r="U360" s="88" t="n"/>
      <c r="V360" s="89" t="n"/>
      <c r="W360" s="88" t="n"/>
      <c r="X360" s="89" t="n"/>
      <c r="Y360" s="88" t="n"/>
      <c r="Z360" s="89" t="n"/>
      <c r="AB360" s="25">
        <f>IF($B360="","",(COUNTIF(C360:E360,"?*")&lt;N(INDEX(Setup!$L$6:$L$23,3)))+(COUNTIF(G360:I360,"?*")&lt;N(INDEX(Setup!$L$6:$L$23,3)))+(COUNTIF(K360:M360,"?*")&lt;N(INDEX(Setup!$L$6:$L$23,3)))+(COUNTIF(O360:Q360,"?*")&lt;N(INDEX(Setup!$L$6:$L$23,3)))+(COUNTIF(S360:U360,"?*")&lt;N(INDEX(Setup!$L$6:$L$23,3)))+((W360="")*(INDEX(Setup!$M$6:$M$23,3)="Y"))+((Y360="")*(INDEX(Setup!$M$6:$M$23,3)="Y")))</f>
        <v/>
      </c>
      <c r="AC360" s="90">
        <f>IF($B360="","",IF(AB360=0,"✓ covered","⚠ "&amp;AB360&amp;IF(AB360=1," gap"," gaps")))</f>
        <v/>
      </c>
    </row>
    <row r="361" ht="17" customHeight="1">
      <c r="A361" t="n">
        <v>8</v>
      </c>
      <c r="B361" s="29">
        <f>IF(Setup!$K$9="","",Setup!$K$9)</f>
        <v/>
      </c>
      <c r="C361" s="88" t="n"/>
      <c r="D361" s="88" t="n"/>
      <c r="E361" s="88" t="n"/>
      <c r="F361" s="89" t="n"/>
      <c r="G361" s="88" t="n"/>
      <c r="H361" s="88" t="n"/>
      <c r="I361" s="88" t="n"/>
      <c r="J361" s="89" t="n"/>
      <c r="K361" s="88" t="n"/>
      <c r="L361" s="88" t="n"/>
      <c r="M361" s="88" t="n"/>
      <c r="N361" s="89" t="n"/>
      <c r="O361" s="88" t="n"/>
      <c r="P361" s="88" t="n"/>
      <c r="Q361" s="88" t="n"/>
      <c r="R361" s="89" t="n"/>
      <c r="S361" s="88" t="n"/>
      <c r="T361" s="88" t="n"/>
      <c r="U361" s="88" t="n"/>
      <c r="V361" s="89" t="n"/>
      <c r="W361" s="88" t="n"/>
      <c r="X361" s="89" t="n"/>
      <c r="Y361" s="88" t="n"/>
      <c r="Z361" s="89" t="n"/>
      <c r="AB361" s="30">
        <f>IF($B361="","",(COUNTIF(C361:E361,"?*")&lt;N(INDEX(Setup!$L$6:$L$23,4)))+(COUNTIF(G361:I361,"?*")&lt;N(INDEX(Setup!$L$6:$L$23,4)))+(COUNTIF(K361:M361,"?*")&lt;N(INDEX(Setup!$L$6:$L$23,4)))+(COUNTIF(O361:Q361,"?*")&lt;N(INDEX(Setup!$L$6:$L$23,4)))+(COUNTIF(S361:U361,"?*")&lt;N(INDEX(Setup!$L$6:$L$23,4)))+((W361="")*(INDEX(Setup!$M$6:$M$23,4)="Y"))+((Y361="")*(INDEX(Setup!$M$6:$M$23,4)="Y")))</f>
        <v/>
      </c>
      <c r="AC361" s="91">
        <f>IF($B361="","",IF(AB361=0,"✓ covered","⚠ "&amp;AB361&amp;IF(AB361=1," gap"," gaps")))</f>
        <v/>
      </c>
    </row>
    <row r="362" ht="17" customHeight="1">
      <c r="A362" t="n">
        <v>8</v>
      </c>
      <c r="B362" s="24">
        <f>IF(Setup!$K$10="","",Setup!$K$10)</f>
        <v/>
      </c>
      <c r="C362" s="88" t="n"/>
      <c r="D362" s="88" t="n"/>
      <c r="E362" s="88" t="n"/>
      <c r="F362" s="89" t="n"/>
      <c r="G362" s="88" t="n"/>
      <c r="H362" s="88" t="n"/>
      <c r="I362" s="88" t="n"/>
      <c r="J362" s="89" t="n"/>
      <c r="K362" s="88" t="n"/>
      <c r="L362" s="88" t="n"/>
      <c r="M362" s="88" t="n"/>
      <c r="N362" s="89" t="n"/>
      <c r="O362" s="88" t="n"/>
      <c r="P362" s="88" t="n"/>
      <c r="Q362" s="88" t="n"/>
      <c r="R362" s="89" t="n"/>
      <c r="S362" s="88" t="n"/>
      <c r="T362" s="88" t="n"/>
      <c r="U362" s="88" t="n"/>
      <c r="V362" s="89" t="n"/>
      <c r="W362" s="88" t="n"/>
      <c r="X362" s="89" t="n"/>
      <c r="Y362" s="88" t="n"/>
      <c r="Z362" s="89" t="n"/>
      <c r="AB362" s="25">
        <f>IF($B362="","",(COUNTIF(C362:E362,"?*")&lt;N(INDEX(Setup!$L$6:$L$23,5)))+(COUNTIF(G362:I362,"?*")&lt;N(INDEX(Setup!$L$6:$L$23,5)))+(COUNTIF(K362:M362,"?*")&lt;N(INDEX(Setup!$L$6:$L$23,5)))+(COUNTIF(O362:Q362,"?*")&lt;N(INDEX(Setup!$L$6:$L$23,5)))+(COUNTIF(S362:U362,"?*")&lt;N(INDEX(Setup!$L$6:$L$23,5)))+((W362="")*(INDEX(Setup!$M$6:$M$23,5)="Y"))+((Y362="")*(INDEX(Setup!$M$6:$M$23,5)="Y")))</f>
        <v/>
      </c>
      <c r="AC362" s="90">
        <f>IF($B362="","",IF(AB362=0,"✓ covered","⚠ "&amp;AB362&amp;IF(AB362=1," gap"," gaps")))</f>
        <v/>
      </c>
    </row>
    <row r="363" ht="17" customHeight="1">
      <c r="A363" t="n">
        <v>8</v>
      </c>
      <c r="B363" s="29">
        <f>IF(Setup!$K$11="","",Setup!$K$11)</f>
        <v/>
      </c>
      <c r="C363" s="88" t="n"/>
      <c r="D363" s="88" t="n"/>
      <c r="E363" s="88" t="n"/>
      <c r="F363" s="89" t="n"/>
      <c r="G363" s="88" t="n"/>
      <c r="H363" s="88" t="n"/>
      <c r="I363" s="88" t="n"/>
      <c r="J363" s="89" t="n"/>
      <c r="K363" s="88" t="n"/>
      <c r="L363" s="88" t="n"/>
      <c r="M363" s="88" t="n"/>
      <c r="N363" s="89" t="n"/>
      <c r="O363" s="88" t="n"/>
      <c r="P363" s="88" t="n"/>
      <c r="Q363" s="88" t="n"/>
      <c r="R363" s="89" t="n"/>
      <c r="S363" s="88" t="n"/>
      <c r="T363" s="88" t="n"/>
      <c r="U363" s="88" t="n"/>
      <c r="V363" s="89" t="n"/>
      <c r="W363" s="88" t="n"/>
      <c r="X363" s="89" t="n"/>
      <c r="Y363" s="88" t="n"/>
      <c r="Z363" s="89" t="n"/>
      <c r="AB363" s="30">
        <f>IF($B363="","",(COUNTIF(C363:E363,"?*")&lt;N(INDEX(Setup!$L$6:$L$23,6)))+(COUNTIF(G363:I363,"?*")&lt;N(INDEX(Setup!$L$6:$L$23,6)))+(COUNTIF(K363:M363,"?*")&lt;N(INDEX(Setup!$L$6:$L$23,6)))+(COUNTIF(O363:Q363,"?*")&lt;N(INDEX(Setup!$L$6:$L$23,6)))+(COUNTIF(S363:U363,"?*")&lt;N(INDEX(Setup!$L$6:$L$23,6)))+((W363="")*(INDEX(Setup!$M$6:$M$23,6)="Y"))+((Y363="")*(INDEX(Setup!$M$6:$M$23,6)="Y")))</f>
        <v/>
      </c>
      <c r="AC363" s="91">
        <f>IF($B363="","",IF(AB363=0,"✓ covered","⚠ "&amp;AB363&amp;IF(AB363=1," gap"," gaps")))</f>
        <v/>
      </c>
    </row>
    <row r="364" ht="17" customHeight="1">
      <c r="A364" t="n">
        <v>8</v>
      </c>
      <c r="B364" s="24">
        <f>IF(Setup!$K$12="","",Setup!$K$12)</f>
        <v/>
      </c>
      <c r="C364" s="88" t="n"/>
      <c r="D364" s="88" t="n"/>
      <c r="E364" s="88" t="n"/>
      <c r="F364" s="89" t="n"/>
      <c r="G364" s="88" t="n"/>
      <c r="H364" s="88" t="n"/>
      <c r="I364" s="88" t="n"/>
      <c r="J364" s="89" t="n"/>
      <c r="K364" s="88" t="n"/>
      <c r="L364" s="88" t="n"/>
      <c r="M364" s="88" t="n"/>
      <c r="N364" s="89" t="n"/>
      <c r="O364" s="88" t="n"/>
      <c r="P364" s="88" t="n"/>
      <c r="Q364" s="88" t="n"/>
      <c r="R364" s="89" t="n"/>
      <c r="S364" s="88" t="n"/>
      <c r="T364" s="88" t="n"/>
      <c r="U364" s="88" t="n"/>
      <c r="V364" s="89" t="n"/>
      <c r="W364" s="88" t="n"/>
      <c r="X364" s="89" t="n"/>
      <c r="Y364" s="88" t="n"/>
      <c r="Z364" s="89" t="n"/>
      <c r="AB364" s="25">
        <f>IF($B364="","",(COUNTIF(C364:E364,"?*")&lt;N(INDEX(Setup!$L$6:$L$23,7)))+(COUNTIF(G364:I364,"?*")&lt;N(INDEX(Setup!$L$6:$L$23,7)))+(COUNTIF(K364:M364,"?*")&lt;N(INDEX(Setup!$L$6:$L$23,7)))+(COUNTIF(O364:Q364,"?*")&lt;N(INDEX(Setup!$L$6:$L$23,7)))+(COUNTIF(S364:U364,"?*")&lt;N(INDEX(Setup!$L$6:$L$23,7)))+((W364="")*(INDEX(Setup!$M$6:$M$23,7)="Y"))+((Y364="")*(INDEX(Setup!$M$6:$M$23,7)="Y")))</f>
        <v/>
      </c>
      <c r="AC364" s="90">
        <f>IF($B364="","",IF(AB364=0,"✓ covered","⚠ "&amp;AB364&amp;IF(AB364=1," gap"," gaps")))</f>
        <v/>
      </c>
    </row>
    <row r="365" ht="17" customHeight="1">
      <c r="A365" t="n">
        <v>8</v>
      </c>
      <c r="B365" s="29">
        <f>IF(Setup!$K$13="","",Setup!$K$13)</f>
        <v/>
      </c>
      <c r="C365" s="88" t="n"/>
      <c r="D365" s="88" t="n"/>
      <c r="E365" s="88" t="n"/>
      <c r="F365" s="89" t="n"/>
      <c r="G365" s="88" t="n"/>
      <c r="H365" s="88" t="n"/>
      <c r="I365" s="88" t="n"/>
      <c r="J365" s="89" t="n"/>
      <c r="K365" s="88" t="n"/>
      <c r="L365" s="88" t="n"/>
      <c r="M365" s="88" t="n"/>
      <c r="N365" s="89" t="n"/>
      <c r="O365" s="88" t="n"/>
      <c r="P365" s="88" t="n"/>
      <c r="Q365" s="88" t="n"/>
      <c r="R365" s="89" t="n"/>
      <c r="S365" s="88" t="n"/>
      <c r="T365" s="88" t="n"/>
      <c r="U365" s="88" t="n"/>
      <c r="V365" s="89" t="n"/>
      <c r="W365" s="88" t="n"/>
      <c r="X365" s="89" t="n"/>
      <c r="Y365" s="88" t="n"/>
      <c r="Z365" s="89" t="n"/>
      <c r="AB365" s="30">
        <f>IF($B365="","",(COUNTIF(C365:E365,"?*")&lt;N(INDEX(Setup!$L$6:$L$23,8)))+(COUNTIF(G365:I365,"?*")&lt;N(INDEX(Setup!$L$6:$L$23,8)))+(COUNTIF(K365:M365,"?*")&lt;N(INDEX(Setup!$L$6:$L$23,8)))+(COUNTIF(O365:Q365,"?*")&lt;N(INDEX(Setup!$L$6:$L$23,8)))+(COUNTIF(S365:U365,"?*")&lt;N(INDEX(Setup!$L$6:$L$23,8)))+((W365="")*(INDEX(Setup!$M$6:$M$23,8)="Y"))+((Y365="")*(INDEX(Setup!$M$6:$M$23,8)="Y")))</f>
        <v/>
      </c>
      <c r="AC365" s="91">
        <f>IF($B365="","",IF(AB365=0,"✓ covered","⚠ "&amp;AB365&amp;IF(AB365=1," gap"," gaps")))</f>
        <v/>
      </c>
    </row>
    <row r="366" ht="17" customHeight="1">
      <c r="A366" t="n">
        <v>8</v>
      </c>
      <c r="B366" s="24">
        <f>IF(Setup!$K$14="","",Setup!$K$14)</f>
        <v/>
      </c>
      <c r="C366" s="88" t="n"/>
      <c r="D366" s="88" t="n"/>
      <c r="E366" s="88" t="n"/>
      <c r="F366" s="89" t="n"/>
      <c r="G366" s="88" t="n"/>
      <c r="H366" s="88" t="n"/>
      <c r="I366" s="88" t="n"/>
      <c r="J366" s="89" t="n"/>
      <c r="K366" s="88" t="n"/>
      <c r="L366" s="88" t="n"/>
      <c r="M366" s="88" t="n"/>
      <c r="N366" s="89" t="n"/>
      <c r="O366" s="88" t="n"/>
      <c r="P366" s="88" t="n"/>
      <c r="Q366" s="88" t="n"/>
      <c r="R366" s="89" t="n"/>
      <c r="S366" s="88" t="n"/>
      <c r="T366" s="88" t="n"/>
      <c r="U366" s="88" t="n"/>
      <c r="V366" s="89" t="n"/>
      <c r="W366" s="88" t="n"/>
      <c r="X366" s="89" t="n"/>
      <c r="Y366" s="88" t="n"/>
      <c r="Z366" s="89" t="n"/>
      <c r="AB366" s="25">
        <f>IF($B366="","",(COUNTIF(C366:E366,"?*")&lt;N(INDEX(Setup!$L$6:$L$23,9)))+(COUNTIF(G366:I366,"?*")&lt;N(INDEX(Setup!$L$6:$L$23,9)))+(COUNTIF(K366:M366,"?*")&lt;N(INDEX(Setup!$L$6:$L$23,9)))+(COUNTIF(O366:Q366,"?*")&lt;N(INDEX(Setup!$L$6:$L$23,9)))+(COUNTIF(S366:U366,"?*")&lt;N(INDEX(Setup!$L$6:$L$23,9)))+((W366="")*(INDEX(Setup!$M$6:$M$23,9)="Y"))+((Y366="")*(INDEX(Setup!$M$6:$M$23,9)="Y")))</f>
        <v/>
      </c>
      <c r="AC366" s="90">
        <f>IF($B366="","",IF(AB366=0,"✓ covered","⚠ "&amp;AB366&amp;IF(AB366=1," gap"," gaps")))</f>
        <v/>
      </c>
    </row>
    <row r="367" ht="17" customHeight="1">
      <c r="A367" t="n">
        <v>8</v>
      </c>
      <c r="B367" s="29">
        <f>IF(Setup!$K$15="","",Setup!$K$15)</f>
        <v/>
      </c>
      <c r="C367" s="88" t="n"/>
      <c r="D367" s="88" t="n"/>
      <c r="E367" s="88" t="n"/>
      <c r="F367" s="89" t="n"/>
      <c r="G367" s="88" t="n"/>
      <c r="H367" s="88" t="n"/>
      <c r="I367" s="88" t="n"/>
      <c r="J367" s="89" t="n"/>
      <c r="K367" s="88" t="n"/>
      <c r="L367" s="88" t="n"/>
      <c r="M367" s="88" t="n"/>
      <c r="N367" s="89" t="n"/>
      <c r="O367" s="88" t="n"/>
      <c r="P367" s="88" t="n"/>
      <c r="Q367" s="88" t="n"/>
      <c r="R367" s="89" t="n"/>
      <c r="S367" s="88" t="n"/>
      <c r="T367" s="88" t="n"/>
      <c r="U367" s="88" t="n"/>
      <c r="V367" s="89" t="n"/>
      <c r="W367" s="88" t="n"/>
      <c r="X367" s="89" t="n"/>
      <c r="Y367" s="88" t="n"/>
      <c r="Z367" s="89" t="n"/>
      <c r="AB367" s="30">
        <f>IF($B367="","",(COUNTIF(C367:E367,"?*")&lt;N(INDEX(Setup!$L$6:$L$23,10)))+(COUNTIF(G367:I367,"?*")&lt;N(INDEX(Setup!$L$6:$L$23,10)))+(COUNTIF(K367:M367,"?*")&lt;N(INDEX(Setup!$L$6:$L$23,10)))+(COUNTIF(O367:Q367,"?*")&lt;N(INDEX(Setup!$L$6:$L$23,10)))+(COUNTIF(S367:U367,"?*")&lt;N(INDEX(Setup!$L$6:$L$23,10)))+((W367="")*(INDEX(Setup!$M$6:$M$23,10)="Y"))+((Y367="")*(INDEX(Setup!$M$6:$M$23,10)="Y")))</f>
        <v/>
      </c>
      <c r="AC367" s="91">
        <f>IF($B367="","",IF(AB367=0,"✓ covered","⚠ "&amp;AB367&amp;IF(AB367=1," gap"," gaps")))</f>
        <v/>
      </c>
    </row>
    <row r="368" ht="17" customHeight="1">
      <c r="A368" t="n">
        <v>8</v>
      </c>
      <c r="B368" s="24">
        <f>IF(Setup!$K$16="","",Setup!$K$16)</f>
        <v/>
      </c>
      <c r="C368" s="88" t="n"/>
      <c r="D368" s="88" t="n"/>
      <c r="E368" s="88" t="n"/>
      <c r="F368" s="89" t="n"/>
      <c r="G368" s="88" t="n"/>
      <c r="H368" s="88" t="n"/>
      <c r="I368" s="88" t="n"/>
      <c r="J368" s="89" t="n"/>
      <c r="K368" s="88" t="n"/>
      <c r="L368" s="88" t="n"/>
      <c r="M368" s="88" t="n"/>
      <c r="N368" s="89" t="n"/>
      <c r="O368" s="88" t="n"/>
      <c r="P368" s="88" t="n"/>
      <c r="Q368" s="88" t="n"/>
      <c r="R368" s="89" t="n"/>
      <c r="S368" s="88" t="n"/>
      <c r="T368" s="88" t="n"/>
      <c r="U368" s="88" t="n"/>
      <c r="V368" s="89" t="n"/>
      <c r="W368" s="88" t="n"/>
      <c r="X368" s="89" t="n"/>
      <c r="Y368" s="88" t="n"/>
      <c r="Z368" s="89" t="n"/>
      <c r="AB368" s="25">
        <f>IF($B368="","",(COUNTIF(C368:E368,"?*")&lt;N(INDEX(Setup!$L$6:$L$23,11)))+(COUNTIF(G368:I368,"?*")&lt;N(INDEX(Setup!$L$6:$L$23,11)))+(COUNTIF(K368:M368,"?*")&lt;N(INDEX(Setup!$L$6:$L$23,11)))+(COUNTIF(O368:Q368,"?*")&lt;N(INDEX(Setup!$L$6:$L$23,11)))+(COUNTIF(S368:U368,"?*")&lt;N(INDEX(Setup!$L$6:$L$23,11)))+((W368="")*(INDEX(Setup!$M$6:$M$23,11)="Y"))+((Y368="")*(INDEX(Setup!$M$6:$M$23,11)="Y")))</f>
        <v/>
      </c>
      <c r="AC368" s="90">
        <f>IF($B368="","",IF(AB368=0,"✓ covered","⚠ "&amp;AB368&amp;IF(AB368=1," gap"," gaps")))</f>
        <v/>
      </c>
    </row>
    <row r="369" ht="17" customHeight="1">
      <c r="A369" t="n">
        <v>8</v>
      </c>
      <c r="B369" s="29">
        <f>IF(Setup!$K$17="","",Setup!$K$17)</f>
        <v/>
      </c>
      <c r="C369" s="88" t="n"/>
      <c r="D369" s="88" t="n"/>
      <c r="E369" s="88" t="n"/>
      <c r="F369" s="89" t="n"/>
      <c r="G369" s="88" t="n"/>
      <c r="H369" s="88" t="n"/>
      <c r="I369" s="88" t="n"/>
      <c r="J369" s="89" t="n"/>
      <c r="K369" s="88" t="n"/>
      <c r="L369" s="88" t="n"/>
      <c r="M369" s="88" t="n"/>
      <c r="N369" s="89" t="n"/>
      <c r="O369" s="88" t="n"/>
      <c r="P369" s="88" t="n"/>
      <c r="Q369" s="88" t="n"/>
      <c r="R369" s="89" t="n"/>
      <c r="S369" s="88" t="n"/>
      <c r="T369" s="88" t="n"/>
      <c r="U369" s="88" t="n"/>
      <c r="V369" s="89" t="n"/>
      <c r="W369" s="88" t="n"/>
      <c r="X369" s="89" t="n"/>
      <c r="Y369" s="88" t="n"/>
      <c r="Z369" s="89" t="n"/>
      <c r="AB369" s="30">
        <f>IF($B369="","",(COUNTIF(C369:E369,"?*")&lt;N(INDEX(Setup!$L$6:$L$23,12)))+(COUNTIF(G369:I369,"?*")&lt;N(INDEX(Setup!$L$6:$L$23,12)))+(COUNTIF(K369:M369,"?*")&lt;N(INDEX(Setup!$L$6:$L$23,12)))+(COUNTIF(O369:Q369,"?*")&lt;N(INDEX(Setup!$L$6:$L$23,12)))+(COUNTIF(S369:U369,"?*")&lt;N(INDEX(Setup!$L$6:$L$23,12)))+((W369="")*(INDEX(Setup!$M$6:$M$23,12)="Y"))+((Y369="")*(INDEX(Setup!$M$6:$M$23,12)="Y")))</f>
        <v/>
      </c>
      <c r="AC369" s="91">
        <f>IF($B369="","",IF(AB369=0,"✓ covered","⚠ "&amp;AB369&amp;IF(AB369=1," gap"," gaps")))</f>
        <v/>
      </c>
    </row>
    <row r="370" ht="17" customHeight="1">
      <c r="A370" t="n">
        <v>8</v>
      </c>
      <c r="B370" s="24">
        <f>IF(Setup!$K$18="","",Setup!$K$18)</f>
        <v/>
      </c>
      <c r="C370" s="88" t="n"/>
      <c r="D370" s="88" t="n"/>
      <c r="E370" s="88" t="n"/>
      <c r="F370" s="89" t="n"/>
      <c r="G370" s="88" t="n"/>
      <c r="H370" s="88" t="n"/>
      <c r="I370" s="88" t="n"/>
      <c r="J370" s="89" t="n"/>
      <c r="K370" s="88" t="n"/>
      <c r="L370" s="88" t="n"/>
      <c r="M370" s="88" t="n"/>
      <c r="N370" s="89" t="n"/>
      <c r="O370" s="88" t="n"/>
      <c r="P370" s="88" t="n"/>
      <c r="Q370" s="88" t="n"/>
      <c r="R370" s="89" t="n"/>
      <c r="S370" s="88" t="n"/>
      <c r="T370" s="88" t="n"/>
      <c r="U370" s="88" t="n"/>
      <c r="V370" s="89" t="n"/>
      <c r="W370" s="88" t="n"/>
      <c r="X370" s="89" t="n"/>
      <c r="Y370" s="88" t="n"/>
      <c r="Z370" s="89" t="n"/>
      <c r="AB370" s="25">
        <f>IF($B370="","",(COUNTIF(C370:E370,"?*")&lt;N(INDEX(Setup!$L$6:$L$23,13)))+(COUNTIF(G370:I370,"?*")&lt;N(INDEX(Setup!$L$6:$L$23,13)))+(COUNTIF(K370:M370,"?*")&lt;N(INDEX(Setup!$L$6:$L$23,13)))+(COUNTIF(O370:Q370,"?*")&lt;N(INDEX(Setup!$L$6:$L$23,13)))+(COUNTIF(S370:U370,"?*")&lt;N(INDEX(Setup!$L$6:$L$23,13)))+((W370="")*(INDEX(Setup!$M$6:$M$23,13)="Y"))+((Y370="")*(INDEX(Setup!$M$6:$M$23,13)="Y")))</f>
        <v/>
      </c>
      <c r="AC370" s="90">
        <f>IF($B370="","",IF(AB370=0,"✓ covered","⚠ "&amp;AB370&amp;IF(AB370=1," gap"," gaps")))</f>
        <v/>
      </c>
    </row>
    <row r="371" ht="17" customHeight="1">
      <c r="A371" t="n">
        <v>8</v>
      </c>
      <c r="B371" s="29">
        <f>IF(Setup!$K$19="","",Setup!$K$19)</f>
        <v/>
      </c>
      <c r="C371" s="88" t="n"/>
      <c r="D371" s="88" t="n"/>
      <c r="E371" s="88" t="n"/>
      <c r="F371" s="89" t="n"/>
      <c r="G371" s="88" t="n"/>
      <c r="H371" s="88" t="n"/>
      <c r="I371" s="88" t="n"/>
      <c r="J371" s="89" t="n"/>
      <c r="K371" s="88" t="n"/>
      <c r="L371" s="88" t="n"/>
      <c r="M371" s="88" t="n"/>
      <c r="N371" s="89" t="n"/>
      <c r="O371" s="88" t="n"/>
      <c r="P371" s="88" t="n"/>
      <c r="Q371" s="88" t="n"/>
      <c r="R371" s="89" t="n"/>
      <c r="S371" s="88" t="n"/>
      <c r="T371" s="88" t="n"/>
      <c r="U371" s="88" t="n"/>
      <c r="V371" s="89" t="n"/>
      <c r="W371" s="88" t="n"/>
      <c r="X371" s="89" t="n"/>
      <c r="Y371" s="88" t="n"/>
      <c r="Z371" s="89" t="n"/>
      <c r="AB371" s="30">
        <f>IF($B371="","",(COUNTIF(C371:E371,"?*")&lt;N(INDEX(Setup!$L$6:$L$23,14)))+(COUNTIF(G371:I371,"?*")&lt;N(INDEX(Setup!$L$6:$L$23,14)))+(COUNTIF(K371:M371,"?*")&lt;N(INDEX(Setup!$L$6:$L$23,14)))+(COUNTIF(O371:Q371,"?*")&lt;N(INDEX(Setup!$L$6:$L$23,14)))+(COUNTIF(S371:U371,"?*")&lt;N(INDEX(Setup!$L$6:$L$23,14)))+((W371="")*(INDEX(Setup!$M$6:$M$23,14)="Y"))+((Y371="")*(INDEX(Setup!$M$6:$M$23,14)="Y")))</f>
        <v/>
      </c>
      <c r="AC371" s="91">
        <f>IF($B371="","",IF(AB371=0,"✓ covered","⚠ "&amp;AB371&amp;IF(AB371=1," gap"," gaps")))</f>
        <v/>
      </c>
    </row>
    <row r="372" ht="17" customHeight="1">
      <c r="A372" t="n">
        <v>8</v>
      </c>
      <c r="B372" s="24">
        <f>IF(Setup!$K$20="","",Setup!$K$20)</f>
        <v/>
      </c>
      <c r="C372" s="88" t="n"/>
      <c r="D372" s="88" t="n"/>
      <c r="E372" s="88" t="n"/>
      <c r="F372" s="89" t="n"/>
      <c r="G372" s="88" t="n"/>
      <c r="H372" s="88" t="n"/>
      <c r="I372" s="88" t="n"/>
      <c r="J372" s="89" t="n"/>
      <c r="K372" s="88" t="n"/>
      <c r="L372" s="88" t="n"/>
      <c r="M372" s="88" t="n"/>
      <c r="N372" s="89" t="n"/>
      <c r="O372" s="88" t="n"/>
      <c r="P372" s="88" t="n"/>
      <c r="Q372" s="88" t="n"/>
      <c r="R372" s="89" t="n"/>
      <c r="S372" s="88" t="n"/>
      <c r="T372" s="88" t="n"/>
      <c r="U372" s="88" t="n"/>
      <c r="V372" s="89" t="n"/>
      <c r="W372" s="88" t="n"/>
      <c r="X372" s="89" t="n"/>
      <c r="Y372" s="88" t="n"/>
      <c r="Z372" s="89" t="n"/>
      <c r="AB372" s="25">
        <f>IF($B372="","",(COUNTIF(C372:E372,"?*")&lt;N(INDEX(Setup!$L$6:$L$23,15)))+(COUNTIF(G372:I372,"?*")&lt;N(INDEX(Setup!$L$6:$L$23,15)))+(COUNTIF(K372:M372,"?*")&lt;N(INDEX(Setup!$L$6:$L$23,15)))+(COUNTIF(O372:Q372,"?*")&lt;N(INDEX(Setup!$L$6:$L$23,15)))+(COUNTIF(S372:U372,"?*")&lt;N(INDEX(Setup!$L$6:$L$23,15)))+((W372="")*(INDEX(Setup!$M$6:$M$23,15)="Y"))+((Y372="")*(INDEX(Setup!$M$6:$M$23,15)="Y")))</f>
        <v/>
      </c>
      <c r="AC372" s="90">
        <f>IF($B372="","",IF(AB372=0,"✓ covered","⚠ "&amp;AB372&amp;IF(AB372=1," gap"," gaps")))</f>
        <v/>
      </c>
    </row>
    <row r="373" ht="17" customHeight="1">
      <c r="A373" t="n">
        <v>8</v>
      </c>
      <c r="B373" s="29">
        <f>IF(Setup!$K$21="","",Setup!$K$21)</f>
        <v/>
      </c>
      <c r="C373" s="88" t="n"/>
      <c r="D373" s="88" t="n"/>
      <c r="E373" s="88" t="n"/>
      <c r="F373" s="89" t="n"/>
      <c r="G373" s="88" t="n"/>
      <c r="H373" s="88" t="n"/>
      <c r="I373" s="88" t="n"/>
      <c r="J373" s="89" t="n"/>
      <c r="K373" s="88" t="n"/>
      <c r="L373" s="88" t="n"/>
      <c r="M373" s="88" t="n"/>
      <c r="N373" s="89" t="n"/>
      <c r="O373" s="88" t="n"/>
      <c r="P373" s="88" t="n"/>
      <c r="Q373" s="88" t="n"/>
      <c r="R373" s="89" t="n"/>
      <c r="S373" s="88" t="n"/>
      <c r="T373" s="88" t="n"/>
      <c r="U373" s="88" t="n"/>
      <c r="V373" s="89" t="n"/>
      <c r="W373" s="88" t="n"/>
      <c r="X373" s="89" t="n"/>
      <c r="Y373" s="88" t="n"/>
      <c r="Z373" s="89" t="n"/>
      <c r="AB373" s="30">
        <f>IF($B373="","",(COUNTIF(C373:E373,"?*")&lt;N(INDEX(Setup!$L$6:$L$23,16)))+(COUNTIF(G373:I373,"?*")&lt;N(INDEX(Setup!$L$6:$L$23,16)))+(COUNTIF(K373:M373,"?*")&lt;N(INDEX(Setup!$L$6:$L$23,16)))+(COUNTIF(O373:Q373,"?*")&lt;N(INDEX(Setup!$L$6:$L$23,16)))+(COUNTIF(S373:U373,"?*")&lt;N(INDEX(Setup!$L$6:$L$23,16)))+((W373="")*(INDEX(Setup!$M$6:$M$23,16)="Y"))+((Y373="")*(INDEX(Setup!$M$6:$M$23,16)="Y")))</f>
        <v/>
      </c>
      <c r="AC373" s="91">
        <f>IF($B373="","",IF(AB373=0,"✓ covered","⚠ "&amp;AB373&amp;IF(AB373=1," gap"," gaps")))</f>
        <v/>
      </c>
    </row>
    <row r="374" ht="17" customHeight="1">
      <c r="A374" t="n">
        <v>8</v>
      </c>
      <c r="B374" s="24">
        <f>IF(Setup!$K$22="","",Setup!$K$22)</f>
        <v/>
      </c>
      <c r="C374" s="88" t="n"/>
      <c r="D374" s="88" t="n"/>
      <c r="E374" s="88" t="n"/>
      <c r="F374" s="89" t="n"/>
      <c r="G374" s="88" t="n"/>
      <c r="H374" s="88" t="n"/>
      <c r="I374" s="88" t="n"/>
      <c r="J374" s="89" t="n"/>
      <c r="K374" s="88" t="n"/>
      <c r="L374" s="88" t="n"/>
      <c r="M374" s="88" t="n"/>
      <c r="N374" s="89" t="n"/>
      <c r="O374" s="88" t="n"/>
      <c r="P374" s="88" t="n"/>
      <c r="Q374" s="88" t="n"/>
      <c r="R374" s="89" t="n"/>
      <c r="S374" s="88" t="n"/>
      <c r="T374" s="88" t="n"/>
      <c r="U374" s="88" t="n"/>
      <c r="V374" s="89" t="n"/>
      <c r="W374" s="88" t="n"/>
      <c r="X374" s="89" t="n"/>
      <c r="Y374" s="88" t="n"/>
      <c r="Z374" s="89" t="n"/>
      <c r="AB374" s="25">
        <f>IF($B374="","",(COUNTIF(C374:E374,"?*")&lt;N(INDEX(Setup!$L$6:$L$23,17)))+(COUNTIF(G374:I374,"?*")&lt;N(INDEX(Setup!$L$6:$L$23,17)))+(COUNTIF(K374:M374,"?*")&lt;N(INDEX(Setup!$L$6:$L$23,17)))+(COUNTIF(O374:Q374,"?*")&lt;N(INDEX(Setup!$L$6:$L$23,17)))+(COUNTIF(S374:U374,"?*")&lt;N(INDEX(Setup!$L$6:$L$23,17)))+((W374="")*(INDEX(Setup!$M$6:$M$23,17)="Y"))+((Y374="")*(INDEX(Setup!$M$6:$M$23,17)="Y")))</f>
        <v/>
      </c>
      <c r="AC374" s="90">
        <f>IF($B374="","",IF(AB374=0,"✓ covered","⚠ "&amp;AB374&amp;IF(AB374=1," gap"," gaps")))</f>
        <v/>
      </c>
    </row>
    <row r="375" ht="17" customHeight="1">
      <c r="A375" t="n">
        <v>8</v>
      </c>
      <c r="B375" s="29">
        <f>IF(Setup!$K$23="","",Setup!$K$23)</f>
        <v/>
      </c>
      <c r="C375" s="88" t="n"/>
      <c r="D375" s="88" t="n"/>
      <c r="E375" s="88" t="n"/>
      <c r="F375" s="89" t="n"/>
      <c r="G375" s="88" t="n"/>
      <c r="H375" s="88" t="n"/>
      <c r="I375" s="88" t="n"/>
      <c r="J375" s="89" t="n"/>
      <c r="K375" s="88" t="n"/>
      <c r="L375" s="88" t="n"/>
      <c r="M375" s="88" t="n"/>
      <c r="N375" s="89" t="n"/>
      <c r="O375" s="88" t="n"/>
      <c r="P375" s="88" t="n"/>
      <c r="Q375" s="88" t="n"/>
      <c r="R375" s="89" t="n"/>
      <c r="S375" s="88" t="n"/>
      <c r="T375" s="88" t="n"/>
      <c r="U375" s="88" t="n"/>
      <c r="V375" s="89" t="n"/>
      <c r="W375" s="88" t="n"/>
      <c r="X375" s="89" t="n"/>
      <c r="Y375" s="88" t="n"/>
      <c r="Z375" s="89" t="n"/>
      <c r="AB375" s="30">
        <f>IF($B375="","",(COUNTIF(C375:E375,"?*")&lt;N(INDEX(Setup!$L$6:$L$23,18)))+(COUNTIF(G375:I375,"?*")&lt;N(INDEX(Setup!$L$6:$L$23,18)))+(COUNTIF(K375:M375,"?*")&lt;N(INDEX(Setup!$L$6:$L$23,18)))+(COUNTIF(O375:Q375,"?*")&lt;N(INDEX(Setup!$L$6:$L$23,18)))+(COUNTIF(S375:U375,"?*")&lt;N(INDEX(Setup!$L$6:$L$23,18)))+((W375="")*(INDEX(Setup!$M$6:$M$23,18)="Y"))+((Y375="")*(INDEX(Setup!$M$6:$M$23,18)="Y")))</f>
        <v/>
      </c>
      <c r="AC375" s="91">
        <f>IF($B375="","",IF(AB375=0,"✓ covered","⚠ "&amp;AB375&amp;IF(AB375=1," gap"," gaps")))</f>
        <v/>
      </c>
    </row>
    <row r="376" ht="18" customHeight="1">
      <c r="A376" t="n">
        <v>8</v>
      </c>
      <c r="B376" s="78" t="inlineStr">
        <is>
          <t>TEAM AVAILABILITY</t>
        </is>
      </c>
      <c r="C376" s="92" t="inlineStr">
        <is>
          <t>Mon</t>
        </is>
      </c>
      <c r="D376" s="93" t="n"/>
      <c r="E376" s="93" t="n"/>
      <c r="F376" s="94" t="n"/>
      <c r="G376" s="92" t="inlineStr">
        <is>
          <t>Tue</t>
        </is>
      </c>
      <c r="H376" s="93" t="n"/>
      <c r="I376" s="93" t="n"/>
      <c r="J376" s="94" t="n"/>
      <c r="K376" s="92" t="inlineStr">
        <is>
          <t>Wed</t>
        </is>
      </c>
      <c r="L376" s="93" t="n"/>
      <c r="M376" s="93" t="n"/>
      <c r="N376" s="94" t="n"/>
      <c r="O376" s="92" t="inlineStr">
        <is>
          <t>Thu</t>
        </is>
      </c>
      <c r="P376" s="93" t="n"/>
      <c r="Q376" s="93" t="n"/>
      <c r="R376" s="94" t="n"/>
      <c r="S376" s="92" t="inlineStr">
        <is>
          <t>Fri</t>
        </is>
      </c>
      <c r="T376" s="93" t="n"/>
      <c r="U376" s="93" t="n"/>
      <c r="V376" s="94" t="n"/>
      <c r="W376" s="95" t="inlineStr">
        <is>
          <t>Sat</t>
        </is>
      </c>
      <c r="X376" s="96" t="n"/>
      <c r="Y376" s="95" t="inlineStr">
        <is>
          <t>Sun</t>
        </is>
      </c>
      <c r="Z376" s="96" t="n"/>
      <c r="AB376" s="97" t="inlineStr">
        <is>
          <t>Days rostered</t>
        </is>
      </c>
      <c r="AC376" s="97" t="inlineStr">
        <is>
          <t>Conflicts</t>
        </is>
      </c>
    </row>
    <row r="377" ht="15" customHeight="1">
      <c r="A377" t="n">
        <v>8</v>
      </c>
      <c r="B377" s="35">
        <f>IF(Setup!$B$6="","",Setup!$B$6)</f>
        <v/>
      </c>
      <c r="C377" s="98" t="n"/>
      <c r="D377" s="99" t="n"/>
      <c r="E377" s="99" t="n"/>
      <c r="F377" s="100" t="n"/>
      <c r="G377" s="98" t="n"/>
      <c r="H377" s="99" t="n"/>
      <c r="I377" s="99" t="n"/>
      <c r="J377" s="100" t="n"/>
      <c r="K377" s="98" t="n"/>
      <c r="L377" s="99" t="n"/>
      <c r="M377" s="99" t="n"/>
      <c r="N377" s="100" t="n"/>
      <c r="O377" s="98" t="n"/>
      <c r="P377" s="99" t="n"/>
      <c r="Q377" s="99" t="n"/>
      <c r="R377" s="100" t="n"/>
      <c r="S377" s="98" t="n"/>
      <c r="T377" s="99" t="n"/>
      <c r="U377" s="99" t="n"/>
      <c r="V377" s="100" t="n"/>
      <c r="W377" s="98" t="n"/>
      <c r="X377" s="100" t="n"/>
      <c r="Y377" s="98" t="n"/>
      <c r="Z377" s="100" t="n"/>
      <c r="AB377" s="101">
        <f>IF($B377="","",(COUNTIF(C358:E375,$B377)+COUNTIF(C358:E375,$B377&amp;" ~*")&gt;0)+(COUNTIF(G358:I375,$B377)+COUNTIF(G358:I375,$B377&amp;" ~*")&gt;0)+(COUNTIF(K358:M375,$B377)+COUNTIF(K358:M375,$B377&amp;" ~*")&gt;0)+(COUNTIF(O358:Q375,$B377)+COUNTIF(O358:Q375,$B377&amp;" ~*")&gt;0)+(COUNTIF(S358:U375,$B377)+COUNTIF(S358:U375,$B377&amp;" ~*")&gt;0)+(COUNTIF(W358:W375,$B377)+COUNTIF(W358:W375,$B377&amp;" ~*")&gt;0)+(COUNTIF(Y358:Y375,$B377)+COUNTIF(Y358:Y375,$B377&amp;" ~*")&gt;0))</f>
        <v/>
      </c>
      <c r="AC377" s="36">
        <f>IF($B377="","",(IFERROR(INDEX(Setup!$G$33:$G$40,MATCH(C377,Setup!$B$33:$B$40,0)),0)=1)*(COUNTIF(C358:E375,$B377)+COUNTIF(C358:E375,$B377&amp;" ~*")&gt;0)+(IFERROR(INDEX(Setup!$G$33:$G$40,MATCH(G377,Setup!$B$33:$B$40,0)),0)=1)*(COUNTIF(G358:I375,$B377)+COUNTIF(G358:I375,$B377&amp;" ~*")&gt;0)+(IFERROR(INDEX(Setup!$G$33:$G$40,MATCH(K377,Setup!$B$33:$B$40,0)),0)=1)*(COUNTIF(K358:M375,$B377)+COUNTIF(K358:M375,$B377&amp;" ~*")&gt;0)+(IFERROR(INDEX(Setup!$G$33:$G$40,MATCH(O377,Setup!$B$33:$B$40,0)),0)=1)*(COUNTIF(O358:Q375,$B377)+COUNTIF(O358:Q375,$B377&amp;" ~*")&gt;0)+(IFERROR(INDEX(Setup!$G$33:$G$40,MATCH(S377,Setup!$B$33:$B$40,0)),0)=1)*(COUNTIF(S358:U375,$B377)+COUNTIF(S358:U375,$B377&amp;" ~*")&gt;0)+(IFERROR(INDEX(Setup!$G$33:$G$40,MATCH(W377,Setup!$B$33:$B$40,0)),0)=1)*(COUNTIF(W358:W375,$B377)+COUNTIF(W358:W375,$B377&amp;" ~*")&gt;0)+(IFERROR(INDEX(Setup!$G$33:$G$40,MATCH(Y377,Setup!$B$33:$B$40,0)),0)=1)*(COUNTIF(Y358:Y375,$B377)+COUNTIF(Y358:Y375,$B377&amp;" ~*")&gt;0))</f>
        <v/>
      </c>
    </row>
    <row r="378" ht="15" customHeight="1">
      <c r="A378" t="n">
        <v>8</v>
      </c>
      <c r="B378" s="37">
        <f>IF(Setup!$B$7="","",Setup!$B$7)</f>
        <v/>
      </c>
      <c r="C378" s="102" t="n"/>
      <c r="D378" s="103" t="n"/>
      <c r="E378" s="103" t="n"/>
      <c r="F378" s="104" t="n"/>
      <c r="G378" s="102" t="n"/>
      <c r="H378" s="103" t="n"/>
      <c r="I378" s="103" t="n"/>
      <c r="J378" s="104" t="n"/>
      <c r="K378" s="102" t="n"/>
      <c r="L378" s="103" t="n"/>
      <c r="M378" s="103" t="n"/>
      <c r="N378" s="104" t="n"/>
      <c r="O378" s="102" t="n"/>
      <c r="P378" s="103" t="n"/>
      <c r="Q378" s="103" t="n"/>
      <c r="R378" s="104" t="n"/>
      <c r="S378" s="102" t="n"/>
      <c r="T378" s="103" t="n"/>
      <c r="U378" s="103" t="n"/>
      <c r="V378" s="104" t="n"/>
      <c r="W378" s="102" t="n"/>
      <c r="X378" s="104" t="n"/>
      <c r="Y378" s="102" t="n"/>
      <c r="Z378" s="104" t="n"/>
      <c r="AB378" s="105">
        <f>IF($B378="","",(COUNTIF(C358:E375,$B378)+COUNTIF(C358:E375,$B378&amp;" ~*")&gt;0)+(COUNTIF(G358:I375,$B378)+COUNTIF(G358:I375,$B378&amp;" ~*")&gt;0)+(COUNTIF(K358:M375,$B378)+COUNTIF(K358:M375,$B378&amp;" ~*")&gt;0)+(COUNTIF(O358:Q375,$B378)+COUNTIF(O358:Q375,$B378&amp;" ~*")&gt;0)+(COUNTIF(S358:U375,$B378)+COUNTIF(S358:U375,$B378&amp;" ~*")&gt;0)+(COUNTIF(W358:W375,$B378)+COUNTIF(W358:W375,$B378&amp;" ~*")&gt;0)+(COUNTIF(Y358:Y375,$B378)+COUNTIF(Y358:Y375,$B378&amp;" ~*")&gt;0))</f>
        <v/>
      </c>
      <c r="AC378" s="38">
        <f>IF($B378="","",(IFERROR(INDEX(Setup!$G$33:$G$40,MATCH(C378,Setup!$B$33:$B$40,0)),0)=1)*(COUNTIF(C358:E375,$B378)+COUNTIF(C358:E375,$B378&amp;" ~*")&gt;0)+(IFERROR(INDEX(Setup!$G$33:$G$40,MATCH(G378,Setup!$B$33:$B$40,0)),0)=1)*(COUNTIF(G358:I375,$B378)+COUNTIF(G358:I375,$B378&amp;" ~*")&gt;0)+(IFERROR(INDEX(Setup!$G$33:$G$40,MATCH(K378,Setup!$B$33:$B$40,0)),0)=1)*(COUNTIF(K358:M375,$B378)+COUNTIF(K358:M375,$B378&amp;" ~*")&gt;0)+(IFERROR(INDEX(Setup!$G$33:$G$40,MATCH(O378,Setup!$B$33:$B$40,0)),0)=1)*(COUNTIF(O358:Q375,$B378)+COUNTIF(O358:Q375,$B378&amp;" ~*")&gt;0)+(IFERROR(INDEX(Setup!$G$33:$G$40,MATCH(S378,Setup!$B$33:$B$40,0)),0)=1)*(COUNTIF(S358:U375,$B378)+COUNTIF(S358:U375,$B378&amp;" ~*")&gt;0)+(IFERROR(INDEX(Setup!$G$33:$G$40,MATCH(W378,Setup!$B$33:$B$40,0)),0)=1)*(COUNTIF(W358:W375,$B378)+COUNTIF(W358:W375,$B378&amp;" ~*")&gt;0)+(IFERROR(INDEX(Setup!$G$33:$G$40,MATCH(Y378,Setup!$B$33:$B$40,0)),0)=1)*(COUNTIF(Y358:Y375,$B378)+COUNTIF(Y358:Y375,$B378&amp;" ~*")&gt;0))</f>
        <v/>
      </c>
    </row>
    <row r="379" ht="15" customHeight="1">
      <c r="A379" t="n">
        <v>8</v>
      </c>
      <c r="B379" s="35">
        <f>IF(Setup!$B$8="","",Setup!$B$8)</f>
        <v/>
      </c>
      <c r="C379" s="98" t="n"/>
      <c r="D379" s="99" t="n"/>
      <c r="E379" s="99" t="n"/>
      <c r="F379" s="100" t="n"/>
      <c r="G379" s="98" t="n"/>
      <c r="H379" s="99" t="n"/>
      <c r="I379" s="99" t="n"/>
      <c r="J379" s="100" t="n"/>
      <c r="K379" s="98" t="n"/>
      <c r="L379" s="99" t="n"/>
      <c r="M379" s="99" t="n"/>
      <c r="N379" s="100" t="n"/>
      <c r="O379" s="98" t="n"/>
      <c r="P379" s="99" t="n"/>
      <c r="Q379" s="99" t="n"/>
      <c r="R379" s="100" t="n"/>
      <c r="S379" s="98" t="n"/>
      <c r="T379" s="99" t="n"/>
      <c r="U379" s="99" t="n"/>
      <c r="V379" s="100" t="n"/>
      <c r="W379" s="98" t="n"/>
      <c r="X379" s="100" t="n"/>
      <c r="Y379" s="98" t="n"/>
      <c r="Z379" s="100" t="n"/>
      <c r="AB379" s="101">
        <f>IF($B379="","",(COUNTIF(C358:E375,$B379)+COUNTIF(C358:E375,$B379&amp;" ~*")&gt;0)+(COUNTIF(G358:I375,$B379)+COUNTIF(G358:I375,$B379&amp;" ~*")&gt;0)+(COUNTIF(K358:M375,$B379)+COUNTIF(K358:M375,$B379&amp;" ~*")&gt;0)+(COUNTIF(O358:Q375,$B379)+COUNTIF(O358:Q375,$B379&amp;" ~*")&gt;0)+(COUNTIF(S358:U375,$B379)+COUNTIF(S358:U375,$B379&amp;" ~*")&gt;0)+(COUNTIF(W358:W375,$B379)+COUNTIF(W358:W375,$B379&amp;" ~*")&gt;0)+(COUNTIF(Y358:Y375,$B379)+COUNTIF(Y358:Y375,$B379&amp;" ~*")&gt;0))</f>
        <v/>
      </c>
      <c r="AC379" s="36">
        <f>IF($B379="","",(IFERROR(INDEX(Setup!$G$33:$G$40,MATCH(C379,Setup!$B$33:$B$40,0)),0)=1)*(COUNTIF(C358:E375,$B379)+COUNTIF(C358:E375,$B379&amp;" ~*")&gt;0)+(IFERROR(INDEX(Setup!$G$33:$G$40,MATCH(G379,Setup!$B$33:$B$40,0)),0)=1)*(COUNTIF(G358:I375,$B379)+COUNTIF(G358:I375,$B379&amp;" ~*")&gt;0)+(IFERROR(INDEX(Setup!$G$33:$G$40,MATCH(K379,Setup!$B$33:$B$40,0)),0)=1)*(COUNTIF(K358:M375,$B379)+COUNTIF(K358:M375,$B379&amp;" ~*")&gt;0)+(IFERROR(INDEX(Setup!$G$33:$G$40,MATCH(O379,Setup!$B$33:$B$40,0)),0)=1)*(COUNTIF(O358:Q375,$B379)+COUNTIF(O358:Q375,$B379&amp;" ~*")&gt;0)+(IFERROR(INDEX(Setup!$G$33:$G$40,MATCH(S379,Setup!$B$33:$B$40,0)),0)=1)*(COUNTIF(S358:U375,$B379)+COUNTIF(S358:U375,$B379&amp;" ~*")&gt;0)+(IFERROR(INDEX(Setup!$G$33:$G$40,MATCH(W379,Setup!$B$33:$B$40,0)),0)=1)*(COUNTIF(W358:W375,$B379)+COUNTIF(W358:W375,$B379&amp;" ~*")&gt;0)+(IFERROR(INDEX(Setup!$G$33:$G$40,MATCH(Y379,Setup!$B$33:$B$40,0)),0)=1)*(COUNTIF(Y358:Y375,$B379)+COUNTIF(Y358:Y375,$B379&amp;" ~*")&gt;0))</f>
        <v/>
      </c>
    </row>
    <row r="380" ht="15" customHeight="1">
      <c r="A380" t="n">
        <v>8</v>
      </c>
      <c r="B380" s="37">
        <f>IF(Setup!$B$9="","",Setup!$B$9)</f>
        <v/>
      </c>
      <c r="C380" s="102" t="n"/>
      <c r="D380" s="103" t="n"/>
      <c r="E380" s="103" t="n"/>
      <c r="F380" s="104" t="n"/>
      <c r="G380" s="102" t="n"/>
      <c r="H380" s="103" t="n"/>
      <c r="I380" s="103" t="n"/>
      <c r="J380" s="104" t="n"/>
      <c r="K380" s="102" t="n"/>
      <c r="L380" s="103" t="n"/>
      <c r="M380" s="103" t="n"/>
      <c r="N380" s="104" t="n"/>
      <c r="O380" s="102" t="n"/>
      <c r="P380" s="103" t="n"/>
      <c r="Q380" s="103" t="n"/>
      <c r="R380" s="104" t="n"/>
      <c r="S380" s="102" t="n"/>
      <c r="T380" s="103" t="n"/>
      <c r="U380" s="103" t="n"/>
      <c r="V380" s="104" t="n"/>
      <c r="W380" s="102" t="n"/>
      <c r="X380" s="104" t="n"/>
      <c r="Y380" s="102" t="n"/>
      <c r="Z380" s="104" t="n"/>
      <c r="AB380" s="105">
        <f>IF($B380="","",(COUNTIF(C358:E375,$B380)+COUNTIF(C358:E375,$B380&amp;" ~*")&gt;0)+(COUNTIF(G358:I375,$B380)+COUNTIF(G358:I375,$B380&amp;" ~*")&gt;0)+(COUNTIF(K358:M375,$B380)+COUNTIF(K358:M375,$B380&amp;" ~*")&gt;0)+(COUNTIF(O358:Q375,$B380)+COUNTIF(O358:Q375,$B380&amp;" ~*")&gt;0)+(COUNTIF(S358:U375,$B380)+COUNTIF(S358:U375,$B380&amp;" ~*")&gt;0)+(COUNTIF(W358:W375,$B380)+COUNTIF(W358:W375,$B380&amp;" ~*")&gt;0)+(COUNTIF(Y358:Y375,$B380)+COUNTIF(Y358:Y375,$B380&amp;" ~*")&gt;0))</f>
        <v/>
      </c>
      <c r="AC380" s="38">
        <f>IF($B380="","",(IFERROR(INDEX(Setup!$G$33:$G$40,MATCH(C380,Setup!$B$33:$B$40,0)),0)=1)*(COUNTIF(C358:E375,$B380)+COUNTIF(C358:E375,$B380&amp;" ~*")&gt;0)+(IFERROR(INDEX(Setup!$G$33:$G$40,MATCH(G380,Setup!$B$33:$B$40,0)),0)=1)*(COUNTIF(G358:I375,$B380)+COUNTIF(G358:I375,$B380&amp;" ~*")&gt;0)+(IFERROR(INDEX(Setup!$G$33:$G$40,MATCH(K380,Setup!$B$33:$B$40,0)),0)=1)*(COUNTIF(K358:M375,$B380)+COUNTIF(K358:M375,$B380&amp;" ~*")&gt;0)+(IFERROR(INDEX(Setup!$G$33:$G$40,MATCH(O380,Setup!$B$33:$B$40,0)),0)=1)*(COUNTIF(O358:Q375,$B380)+COUNTIF(O358:Q375,$B380&amp;" ~*")&gt;0)+(IFERROR(INDEX(Setup!$G$33:$G$40,MATCH(S380,Setup!$B$33:$B$40,0)),0)=1)*(COUNTIF(S358:U375,$B380)+COUNTIF(S358:U375,$B380&amp;" ~*")&gt;0)+(IFERROR(INDEX(Setup!$G$33:$G$40,MATCH(W380,Setup!$B$33:$B$40,0)),0)=1)*(COUNTIF(W358:W375,$B380)+COUNTIF(W358:W375,$B380&amp;" ~*")&gt;0)+(IFERROR(INDEX(Setup!$G$33:$G$40,MATCH(Y380,Setup!$B$33:$B$40,0)),0)=1)*(COUNTIF(Y358:Y375,$B380)+COUNTIF(Y358:Y375,$B380&amp;" ~*")&gt;0))</f>
        <v/>
      </c>
    </row>
    <row r="381" ht="15" customHeight="1">
      <c r="A381" t="n">
        <v>8</v>
      </c>
      <c r="B381" s="35">
        <f>IF(Setup!$B$10="","",Setup!$B$10)</f>
        <v/>
      </c>
      <c r="C381" s="98" t="n"/>
      <c r="D381" s="99" t="n"/>
      <c r="E381" s="99" t="n"/>
      <c r="F381" s="100" t="n"/>
      <c r="G381" s="98" t="n"/>
      <c r="H381" s="99" t="n"/>
      <c r="I381" s="99" t="n"/>
      <c r="J381" s="100" t="n"/>
      <c r="K381" s="98" t="n"/>
      <c r="L381" s="99" t="n"/>
      <c r="M381" s="99" t="n"/>
      <c r="N381" s="100" t="n"/>
      <c r="O381" s="98" t="n"/>
      <c r="P381" s="99" t="n"/>
      <c r="Q381" s="99" t="n"/>
      <c r="R381" s="100" t="n"/>
      <c r="S381" s="98" t="n"/>
      <c r="T381" s="99" t="n"/>
      <c r="U381" s="99" t="n"/>
      <c r="V381" s="100" t="n"/>
      <c r="W381" s="98" t="n"/>
      <c r="X381" s="100" t="n"/>
      <c r="Y381" s="98" t="n"/>
      <c r="Z381" s="100" t="n"/>
      <c r="AB381" s="101">
        <f>IF($B381="","",(COUNTIF(C358:E375,$B381)+COUNTIF(C358:E375,$B381&amp;" ~*")&gt;0)+(COUNTIF(G358:I375,$B381)+COUNTIF(G358:I375,$B381&amp;" ~*")&gt;0)+(COUNTIF(K358:M375,$B381)+COUNTIF(K358:M375,$B381&amp;" ~*")&gt;0)+(COUNTIF(O358:Q375,$B381)+COUNTIF(O358:Q375,$B381&amp;" ~*")&gt;0)+(COUNTIF(S358:U375,$B381)+COUNTIF(S358:U375,$B381&amp;" ~*")&gt;0)+(COUNTIF(W358:W375,$B381)+COUNTIF(W358:W375,$B381&amp;" ~*")&gt;0)+(COUNTIF(Y358:Y375,$B381)+COUNTIF(Y358:Y375,$B381&amp;" ~*")&gt;0))</f>
        <v/>
      </c>
      <c r="AC381" s="36">
        <f>IF($B381="","",(IFERROR(INDEX(Setup!$G$33:$G$40,MATCH(C381,Setup!$B$33:$B$40,0)),0)=1)*(COUNTIF(C358:E375,$B381)+COUNTIF(C358:E375,$B381&amp;" ~*")&gt;0)+(IFERROR(INDEX(Setup!$G$33:$G$40,MATCH(G381,Setup!$B$33:$B$40,0)),0)=1)*(COUNTIF(G358:I375,$B381)+COUNTIF(G358:I375,$B381&amp;" ~*")&gt;0)+(IFERROR(INDEX(Setup!$G$33:$G$40,MATCH(K381,Setup!$B$33:$B$40,0)),0)=1)*(COUNTIF(K358:M375,$B381)+COUNTIF(K358:M375,$B381&amp;" ~*")&gt;0)+(IFERROR(INDEX(Setup!$G$33:$G$40,MATCH(O381,Setup!$B$33:$B$40,0)),0)=1)*(COUNTIF(O358:Q375,$B381)+COUNTIF(O358:Q375,$B381&amp;" ~*")&gt;0)+(IFERROR(INDEX(Setup!$G$33:$G$40,MATCH(S381,Setup!$B$33:$B$40,0)),0)=1)*(COUNTIF(S358:U375,$B381)+COUNTIF(S358:U375,$B381&amp;" ~*")&gt;0)+(IFERROR(INDEX(Setup!$G$33:$G$40,MATCH(W381,Setup!$B$33:$B$40,0)),0)=1)*(COUNTIF(W358:W375,$B381)+COUNTIF(W358:W375,$B381&amp;" ~*")&gt;0)+(IFERROR(INDEX(Setup!$G$33:$G$40,MATCH(Y381,Setup!$B$33:$B$40,0)),0)=1)*(COUNTIF(Y358:Y375,$B381)+COUNTIF(Y358:Y375,$B381&amp;" ~*")&gt;0))</f>
        <v/>
      </c>
    </row>
    <row r="382" ht="15" customHeight="1">
      <c r="A382" t="n">
        <v>8</v>
      </c>
      <c r="B382" s="37">
        <f>IF(Setup!$B$11="","",Setup!$B$11)</f>
        <v/>
      </c>
      <c r="C382" s="102" t="n"/>
      <c r="D382" s="103" t="n"/>
      <c r="E382" s="103" t="n"/>
      <c r="F382" s="104" t="n"/>
      <c r="G382" s="102" t="n"/>
      <c r="H382" s="103" t="n"/>
      <c r="I382" s="103" t="n"/>
      <c r="J382" s="104" t="n"/>
      <c r="K382" s="102" t="n"/>
      <c r="L382" s="103" t="n"/>
      <c r="M382" s="103" t="n"/>
      <c r="N382" s="104" t="n"/>
      <c r="O382" s="102" t="n"/>
      <c r="P382" s="103" t="n"/>
      <c r="Q382" s="103" t="n"/>
      <c r="R382" s="104" t="n"/>
      <c r="S382" s="102" t="n"/>
      <c r="T382" s="103" t="n"/>
      <c r="U382" s="103" t="n"/>
      <c r="V382" s="104" t="n"/>
      <c r="W382" s="102" t="n"/>
      <c r="X382" s="104" t="n"/>
      <c r="Y382" s="102" t="n"/>
      <c r="Z382" s="104" t="n"/>
      <c r="AB382" s="105">
        <f>IF($B382="","",(COUNTIF(C358:E375,$B382)+COUNTIF(C358:E375,$B382&amp;" ~*")&gt;0)+(COUNTIF(G358:I375,$B382)+COUNTIF(G358:I375,$B382&amp;" ~*")&gt;0)+(COUNTIF(K358:M375,$B382)+COUNTIF(K358:M375,$B382&amp;" ~*")&gt;0)+(COUNTIF(O358:Q375,$B382)+COUNTIF(O358:Q375,$B382&amp;" ~*")&gt;0)+(COUNTIF(S358:U375,$B382)+COUNTIF(S358:U375,$B382&amp;" ~*")&gt;0)+(COUNTIF(W358:W375,$B382)+COUNTIF(W358:W375,$B382&amp;" ~*")&gt;0)+(COUNTIF(Y358:Y375,$B382)+COUNTIF(Y358:Y375,$B382&amp;" ~*")&gt;0))</f>
        <v/>
      </c>
      <c r="AC382" s="38">
        <f>IF($B382="","",(IFERROR(INDEX(Setup!$G$33:$G$40,MATCH(C382,Setup!$B$33:$B$40,0)),0)=1)*(COUNTIF(C358:E375,$B382)+COUNTIF(C358:E375,$B382&amp;" ~*")&gt;0)+(IFERROR(INDEX(Setup!$G$33:$G$40,MATCH(G382,Setup!$B$33:$B$40,0)),0)=1)*(COUNTIF(G358:I375,$B382)+COUNTIF(G358:I375,$B382&amp;" ~*")&gt;0)+(IFERROR(INDEX(Setup!$G$33:$G$40,MATCH(K382,Setup!$B$33:$B$40,0)),0)=1)*(COUNTIF(K358:M375,$B382)+COUNTIF(K358:M375,$B382&amp;" ~*")&gt;0)+(IFERROR(INDEX(Setup!$G$33:$G$40,MATCH(O382,Setup!$B$33:$B$40,0)),0)=1)*(COUNTIF(O358:Q375,$B382)+COUNTIF(O358:Q375,$B382&amp;" ~*")&gt;0)+(IFERROR(INDEX(Setup!$G$33:$G$40,MATCH(S382,Setup!$B$33:$B$40,0)),0)=1)*(COUNTIF(S358:U375,$B382)+COUNTIF(S358:U375,$B382&amp;" ~*")&gt;0)+(IFERROR(INDEX(Setup!$G$33:$G$40,MATCH(W382,Setup!$B$33:$B$40,0)),0)=1)*(COUNTIF(W358:W375,$B382)+COUNTIF(W358:W375,$B382&amp;" ~*")&gt;0)+(IFERROR(INDEX(Setup!$G$33:$G$40,MATCH(Y382,Setup!$B$33:$B$40,0)),0)=1)*(COUNTIF(Y358:Y375,$B382)+COUNTIF(Y358:Y375,$B382&amp;" ~*")&gt;0))</f>
        <v/>
      </c>
    </row>
    <row r="383" ht="15" customHeight="1">
      <c r="A383" t="n">
        <v>8</v>
      </c>
      <c r="B383" s="35">
        <f>IF(Setup!$B$12="","",Setup!$B$12)</f>
        <v/>
      </c>
      <c r="C383" s="98" t="n"/>
      <c r="D383" s="99" t="n"/>
      <c r="E383" s="99" t="n"/>
      <c r="F383" s="100" t="n"/>
      <c r="G383" s="98" t="n"/>
      <c r="H383" s="99" t="n"/>
      <c r="I383" s="99" t="n"/>
      <c r="J383" s="100" t="n"/>
      <c r="K383" s="98" t="n"/>
      <c r="L383" s="99" t="n"/>
      <c r="M383" s="99" t="n"/>
      <c r="N383" s="100" t="n"/>
      <c r="O383" s="98" t="n"/>
      <c r="P383" s="99" t="n"/>
      <c r="Q383" s="99" t="n"/>
      <c r="R383" s="100" t="n"/>
      <c r="S383" s="98" t="n"/>
      <c r="T383" s="99" t="n"/>
      <c r="U383" s="99" t="n"/>
      <c r="V383" s="100" t="n"/>
      <c r="W383" s="98" t="n"/>
      <c r="X383" s="100" t="n"/>
      <c r="Y383" s="98" t="n"/>
      <c r="Z383" s="100" t="n"/>
      <c r="AB383" s="101">
        <f>IF($B383="","",(COUNTIF(C358:E375,$B383)+COUNTIF(C358:E375,$B383&amp;" ~*")&gt;0)+(COUNTIF(G358:I375,$B383)+COUNTIF(G358:I375,$B383&amp;" ~*")&gt;0)+(COUNTIF(K358:M375,$B383)+COUNTIF(K358:M375,$B383&amp;" ~*")&gt;0)+(COUNTIF(O358:Q375,$B383)+COUNTIF(O358:Q375,$B383&amp;" ~*")&gt;0)+(COUNTIF(S358:U375,$B383)+COUNTIF(S358:U375,$B383&amp;" ~*")&gt;0)+(COUNTIF(W358:W375,$B383)+COUNTIF(W358:W375,$B383&amp;" ~*")&gt;0)+(COUNTIF(Y358:Y375,$B383)+COUNTIF(Y358:Y375,$B383&amp;" ~*")&gt;0))</f>
        <v/>
      </c>
      <c r="AC383" s="36">
        <f>IF($B383="","",(IFERROR(INDEX(Setup!$G$33:$G$40,MATCH(C383,Setup!$B$33:$B$40,0)),0)=1)*(COUNTIF(C358:E375,$B383)+COUNTIF(C358:E375,$B383&amp;" ~*")&gt;0)+(IFERROR(INDEX(Setup!$G$33:$G$40,MATCH(G383,Setup!$B$33:$B$40,0)),0)=1)*(COUNTIF(G358:I375,$B383)+COUNTIF(G358:I375,$B383&amp;" ~*")&gt;0)+(IFERROR(INDEX(Setup!$G$33:$G$40,MATCH(K383,Setup!$B$33:$B$40,0)),0)=1)*(COUNTIF(K358:M375,$B383)+COUNTIF(K358:M375,$B383&amp;" ~*")&gt;0)+(IFERROR(INDEX(Setup!$G$33:$G$40,MATCH(O383,Setup!$B$33:$B$40,0)),0)=1)*(COUNTIF(O358:Q375,$B383)+COUNTIF(O358:Q375,$B383&amp;" ~*")&gt;0)+(IFERROR(INDEX(Setup!$G$33:$G$40,MATCH(S383,Setup!$B$33:$B$40,0)),0)=1)*(COUNTIF(S358:U375,$B383)+COUNTIF(S358:U375,$B383&amp;" ~*")&gt;0)+(IFERROR(INDEX(Setup!$G$33:$G$40,MATCH(W383,Setup!$B$33:$B$40,0)),0)=1)*(COUNTIF(W358:W375,$B383)+COUNTIF(W358:W375,$B383&amp;" ~*")&gt;0)+(IFERROR(INDEX(Setup!$G$33:$G$40,MATCH(Y383,Setup!$B$33:$B$40,0)),0)=1)*(COUNTIF(Y358:Y375,$B383)+COUNTIF(Y358:Y375,$B383&amp;" ~*")&gt;0))</f>
        <v/>
      </c>
    </row>
    <row r="384" ht="15" customHeight="1">
      <c r="A384" t="n">
        <v>8</v>
      </c>
      <c r="B384" s="37">
        <f>IF(Setup!$B$13="","",Setup!$B$13)</f>
        <v/>
      </c>
      <c r="C384" s="102" t="n"/>
      <c r="D384" s="103" t="n"/>
      <c r="E384" s="103" t="n"/>
      <c r="F384" s="104" t="n"/>
      <c r="G384" s="102" t="n"/>
      <c r="H384" s="103" t="n"/>
      <c r="I384" s="103" t="n"/>
      <c r="J384" s="104" t="n"/>
      <c r="K384" s="102" t="n"/>
      <c r="L384" s="103" t="n"/>
      <c r="M384" s="103" t="n"/>
      <c r="N384" s="104" t="n"/>
      <c r="O384" s="102" t="n"/>
      <c r="P384" s="103" t="n"/>
      <c r="Q384" s="103" t="n"/>
      <c r="R384" s="104" t="n"/>
      <c r="S384" s="102" t="n"/>
      <c r="T384" s="103" t="n"/>
      <c r="U384" s="103" t="n"/>
      <c r="V384" s="104" t="n"/>
      <c r="W384" s="102" t="n"/>
      <c r="X384" s="104" t="n"/>
      <c r="Y384" s="102" t="n"/>
      <c r="Z384" s="104" t="n"/>
      <c r="AB384" s="105">
        <f>IF($B384="","",(COUNTIF(C358:E375,$B384)+COUNTIF(C358:E375,$B384&amp;" ~*")&gt;0)+(COUNTIF(G358:I375,$B384)+COUNTIF(G358:I375,$B384&amp;" ~*")&gt;0)+(COUNTIF(K358:M375,$B384)+COUNTIF(K358:M375,$B384&amp;" ~*")&gt;0)+(COUNTIF(O358:Q375,$B384)+COUNTIF(O358:Q375,$B384&amp;" ~*")&gt;0)+(COUNTIF(S358:U375,$B384)+COUNTIF(S358:U375,$B384&amp;" ~*")&gt;0)+(COUNTIF(W358:W375,$B384)+COUNTIF(W358:W375,$B384&amp;" ~*")&gt;0)+(COUNTIF(Y358:Y375,$B384)+COUNTIF(Y358:Y375,$B384&amp;" ~*")&gt;0))</f>
        <v/>
      </c>
      <c r="AC384" s="38">
        <f>IF($B384="","",(IFERROR(INDEX(Setup!$G$33:$G$40,MATCH(C384,Setup!$B$33:$B$40,0)),0)=1)*(COUNTIF(C358:E375,$B384)+COUNTIF(C358:E375,$B384&amp;" ~*")&gt;0)+(IFERROR(INDEX(Setup!$G$33:$G$40,MATCH(G384,Setup!$B$33:$B$40,0)),0)=1)*(COUNTIF(G358:I375,$B384)+COUNTIF(G358:I375,$B384&amp;" ~*")&gt;0)+(IFERROR(INDEX(Setup!$G$33:$G$40,MATCH(K384,Setup!$B$33:$B$40,0)),0)=1)*(COUNTIF(K358:M375,$B384)+COUNTIF(K358:M375,$B384&amp;" ~*")&gt;0)+(IFERROR(INDEX(Setup!$G$33:$G$40,MATCH(O384,Setup!$B$33:$B$40,0)),0)=1)*(COUNTIF(O358:Q375,$B384)+COUNTIF(O358:Q375,$B384&amp;" ~*")&gt;0)+(IFERROR(INDEX(Setup!$G$33:$G$40,MATCH(S384,Setup!$B$33:$B$40,0)),0)=1)*(COUNTIF(S358:U375,$B384)+COUNTIF(S358:U375,$B384&amp;" ~*")&gt;0)+(IFERROR(INDEX(Setup!$G$33:$G$40,MATCH(W384,Setup!$B$33:$B$40,0)),0)=1)*(COUNTIF(W358:W375,$B384)+COUNTIF(W358:W375,$B384&amp;" ~*")&gt;0)+(IFERROR(INDEX(Setup!$G$33:$G$40,MATCH(Y384,Setup!$B$33:$B$40,0)),0)=1)*(COUNTIF(Y358:Y375,$B384)+COUNTIF(Y358:Y375,$B384&amp;" ~*")&gt;0))</f>
        <v/>
      </c>
    </row>
    <row r="385" ht="15" customHeight="1">
      <c r="A385" t="n">
        <v>8</v>
      </c>
      <c r="B385" s="35">
        <f>IF(Setup!$B$14="","",Setup!$B$14)</f>
        <v/>
      </c>
      <c r="C385" s="98" t="n"/>
      <c r="D385" s="99" t="n"/>
      <c r="E385" s="99" t="n"/>
      <c r="F385" s="100" t="n"/>
      <c r="G385" s="98" t="n"/>
      <c r="H385" s="99" t="n"/>
      <c r="I385" s="99" t="n"/>
      <c r="J385" s="100" t="n"/>
      <c r="K385" s="98" t="n"/>
      <c r="L385" s="99" t="n"/>
      <c r="M385" s="99" t="n"/>
      <c r="N385" s="100" t="n"/>
      <c r="O385" s="98" t="n"/>
      <c r="P385" s="99" t="n"/>
      <c r="Q385" s="99" t="n"/>
      <c r="R385" s="100" t="n"/>
      <c r="S385" s="98" t="n"/>
      <c r="T385" s="99" t="n"/>
      <c r="U385" s="99" t="n"/>
      <c r="V385" s="100" t="n"/>
      <c r="W385" s="98" t="n"/>
      <c r="X385" s="100" t="n"/>
      <c r="Y385" s="98" t="n"/>
      <c r="Z385" s="100" t="n"/>
      <c r="AB385" s="101">
        <f>IF($B385="","",(COUNTIF(C358:E375,$B385)+COUNTIF(C358:E375,$B385&amp;" ~*")&gt;0)+(COUNTIF(G358:I375,$B385)+COUNTIF(G358:I375,$B385&amp;" ~*")&gt;0)+(COUNTIF(K358:M375,$B385)+COUNTIF(K358:M375,$B385&amp;" ~*")&gt;0)+(COUNTIF(O358:Q375,$B385)+COUNTIF(O358:Q375,$B385&amp;" ~*")&gt;0)+(COUNTIF(S358:U375,$B385)+COUNTIF(S358:U375,$B385&amp;" ~*")&gt;0)+(COUNTIF(W358:W375,$B385)+COUNTIF(W358:W375,$B385&amp;" ~*")&gt;0)+(COUNTIF(Y358:Y375,$B385)+COUNTIF(Y358:Y375,$B385&amp;" ~*")&gt;0))</f>
        <v/>
      </c>
      <c r="AC385" s="36">
        <f>IF($B385="","",(IFERROR(INDEX(Setup!$G$33:$G$40,MATCH(C385,Setup!$B$33:$B$40,0)),0)=1)*(COUNTIF(C358:E375,$B385)+COUNTIF(C358:E375,$B385&amp;" ~*")&gt;0)+(IFERROR(INDEX(Setup!$G$33:$G$40,MATCH(G385,Setup!$B$33:$B$40,0)),0)=1)*(COUNTIF(G358:I375,$B385)+COUNTIF(G358:I375,$B385&amp;" ~*")&gt;0)+(IFERROR(INDEX(Setup!$G$33:$G$40,MATCH(K385,Setup!$B$33:$B$40,0)),0)=1)*(COUNTIF(K358:M375,$B385)+COUNTIF(K358:M375,$B385&amp;" ~*")&gt;0)+(IFERROR(INDEX(Setup!$G$33:$G$40,MATCH(O385,Setup!$B$33:$B$40,0)),0)=1)*(COUNTIF(O358:Q375,$B385)+COUNTIF(O358:Q375,$B385&amp;" ~*")&gt;0)+(IFERROR(INDEX(Setup!$G$33:$G$40,MATCH(S385,Setup!$B$33:$B$40,0)),0)=1)*(COUNTIF(S358:U375,$B385)+COUNTIF(S358:U375,$B385&amp;" ~*")&gt;0)+(IFERROR(INDEX(Setup!$G$33:$G$40,MATCH(W385,Setup!$B$33:$B$40,0)),0)=1)*(COUNTIF(W358:W375,$B385)+COUNTIF(W358:W375,$B385&amp;" ~*")&gt;0)+(IFERROR(INDEX(Setup!$G$33:$G$40,MATCH(Y385,Setup!$B$33:$B$40,0)),0)=1)*(COUNTIF(Y358:Y375,$B385)+COUNTIF(Y358:Y375,$B385&amp;" ~*")&gt;0))</f>
        <v/>
      </c>
    </row>
    <row r="386" ht="15" customHeight="1">
      <c r="A386" t="n">
        <v>8</v>
      </c>
      <c r="B386" s="37">
        <f>IF(Setup!$B$15="","",Setup!$B$15)</f>
        <v/>
      </c>
      <c r="C386" s="102" t="n"/>
      <c r="D386" s="103" t="n"/>
      <c r="E386" s="103" t="n"/>
      <c r="F386" s="104" t="n"/>
      <c r="G386" s="102" t="n"/>
      <c r="H386" s="103" t="n"/>
      <c r="I386" s="103" t="n"/>
      <c r="J386" s="104" t="n"/>
      <c r="K386" s="102" t="n"/>
      <c r="L386" s="103" t="n"/>
      <c r="M386" s="103" t="n"/>
      <c r="N386" s="104" t="n"/>
      <c r="O386" s="102" t="n"/>
      <c r="P386" s="103" t="n"/>
      <c r="Q386" s="103" t="n"/>
      <c r="R386" s="104" t="n"/>
      <c r="S386" s="102" t="n"/>
      <c r="T386" s="103" t="n"/>
      <c r="U386" s="103" t="n"/>
      <c r="V386" s="104" t="n"/>
      <c r="W386" s="102" t="n"/>
      <c r="X386" s="104" t="n"/>
      <c r="Y386" s="102" t="n"/>
      <c r="Z386" s="104" t="n"/>
      <c r="AB386" s="105">
        <f>IF($B386="","",(COUNTIF(C358:E375,$B386)+COUNTIF(C358:E375,$B386&amp;" ~*")&gt;0)+(COUNTIF(G358:I375,$B386)+COUNTIF(G358:I375,$B386&amp;" ~*")&gt;0)+(COUNTIF(K358:M375,$B386)+COUNTIF(K358:M375,$B386&amp;" ~*")&gt;0)+(COUNTIF(O358:Q375,$B386)+COUNTIF(O358:Q375,$B386&amp;" ~*")&gt;0)+(COUNTIF(S358:U375,$B386)+COUNTIF(S358:U375,$B386&amp;" ~*")&gt;0)+(COUNTIF(W358:W375,$B386)+COUNTIF(W358:W375,$B386&amp;" ~*")&gt;0)+(COUNTIF(Y358:Y375,$B386)+COUNTIF(Y358:Y375,$B386&amp;" ~*")&gt;0))</f>
        <v/>
      </c>
      <c r="AC386" s="38">
        <f>IF($B386="","",(IFERROR(INDEX(Setup!$G$33:$G$40,MATCH(C386,Setup!$B$33:$B$40,0)),0)=1)*(COUNTIF(C358:E375,$B386)+COUNTIF(C358:E375,$B386&amp;" ~*")&gt;0)+(IFERROR(INDEX(Setup!$G$33:$G$40,MATCH(G386,Setup!$B$33:$B$40,0)),0)=1)*(COUNTIF(G358:I375,$B386)+COUNTIF(G358:I375,$B386&amp;" ~*")&gt;0)+(IFERROR(INDEX(Setup!$G$33:$G$40,MATCH(K386,Setup!$B$33:$B$40,0)),0)=1)*(COUNTIF(K358:M375,$B386)+COUNTIF(K358:M375,$B386&amp;" ~*")&gt;0)+(IFERROR(INDEX(Setup!$G$33:$G$40,MATCH(O386,Setup!$B$33:$B$40,0)),0)=1)*(COUNTIF(O358:Q375,$B386)+COUNTIF(O358:Q375,$B386&amp;" ~*")&gt;0)+(IFERROR(INDEX(Setup!$G$33:$G$40,MATCH(S386,Setup!$B$33:$B$40,0)),0)=1)*(COUNTIF(S358:U375,$B386)+COUNTIF(S358:U375,$B386&amp;" ~*")&gt;0)+(IFERROR(INDEX(Setup!$G$33:$G$40,MATCH(W386,Setup!$B$33:$B$40,0)),0)=1)*(COUNTIF(W358:W375,$B386)+COUNTIF(W358:W375,$B386&amp;" ~*")&gt;0)+(IFERROR(INDEX(Setup!$G$33:$G$40,MATCH(Y386,Setup!$B$33:$B$40,0)),0)=1)*(COUNTIF(Y358:Y375,$B386)+COUNTIF(Y358:Y375,$B386&amp;" ~*")&gt;0))</f>
        <v/>
      </c>
    </row>
    <row r="387" ht="15" customHeight="1">
      <c r="A387" t="n">
        <v>8</v>
      </c>
      <c r="B387" s="35">
        <f>IF(Setup!$B$16="","",Setup!$B$16)</f>
        <v/>
      </c>
      <c r="C387" s="98" t="n"/>
      <c r="D387" s="99" t="n"/>
      <c r="E387" s="99" t="n"/>
      <c r="F387" s="100" t="n"/>
      <c r="G387" s="98" t="n"/>
      <c r="H387" s="99" t="n"/>
      <c r="I387" s="99" t="n"/>
      <c r="J387" s="100" t="n"/>
      <c r="K387" s="98" t="n"/>
      <c r="L387" s="99" t="n"/>
      <c r="M387" s="99" t="n"/>
      <c r="N387" s="100" t="n"/>
      <c r="O387" s="98" t="n"/>
      <c r="P387" s="99" t="n"/>
      <c r="Q387" s="99" t="n"/>
      <c r="R387" s="100" t="n"/>
      <c r="S387" s="98" t="n"/>
      <c r="T387" s="99" t="n"/>
      <c r="U387" s="99" t="n"/>
      <c r="V387" s="100" t="n"/>
      <c r="W387" s="98" t="n"/>
      <c r="X387" s="100" t="n"/>
      <c r="Y387" s="98" t="n"/>
      <c r="Z387" s="100" t="n"/>
      <c r="AB387" s="101">
        <f>IF($B387="","",(COUNTIF(C358:E375,$B387)+COUNTIF(C358:E375,$B387&amp;" ~*")&gt;0)+(COUNTIF(G358:I375,$B387)+COUNTIF(G358:I375,$B387&amp;" ~*")&gt;0)+(COUNTIF(K358:M375,$B387)+COUNTIF(K358:M375,$B387&amp;" ~*")&gt;0)+(COUNTIF(O358:Q375,$B387)+COUNTIF(O358:Q375,$B387&amp;" ~*")&gt;0)+(COUNTIF(S358:U375,$B387)+COUNTIF(S358:U375,$B387&amp;" ~*")&gt;0)+(COUNTIF(W358:W375,$B387)+COUNTIF(W358:W375,$B387&amp;" ~*")&gt;0)+(COUNTIF(Y358:Y375,$B387)+COUNTIF(Y358:Y375,$B387&amp;" ~*")&gt;0))</f>
        <v/>
      </c>
      <c r="AC387" s="36">
        <f>IF($B387="","",(IFERROR(INDEX(Setup!$G$33:$G$40,MATCH(C387,Setup!$B$33:$B$40,0)),0)=1)*(COUNTIF(C358:E375,$B387)+COUNTIF(C358:E375,$B387&amp;" ~*")&gt;0)+(IFERROR(INDEX(Setup!$G$33:$G$40,MATCH(G387,Setup!$B$33:$B$40,0)),0)=1)*(COUNTIF(G358:I375,$B387)+COUNTIF(G358:I375,$B387&amp;" ~*")&gt;0)+(IFERROR(INDEX(Setup!$G$33:$G$40,MATCH(K387,Setup!$B$33:$B$40,0)),0)=1)*(COUNTIF(K358:M375,$B387)+COUNTIF(K358:M375,$B387&amp;" ~*")&gt;0)+(IFERROR(INDEX(Setup!$G$33:$G$40,MATCH(O387,Setup!$B$33:$B$40,0)),0)=1)*(COUNTIF(O358:Q375,$B387)+COUNTIF(O358:Q375,$B387&amp;" ~*")&gt;0)+(IFERROR(INDEX(Setup!$G$33:$G$40,MATCH(S387,Setup!$B$33:$B$40,0)),0)=1)*(COUNTIF(S358:U375,$B387)+COUNTIF(S358:U375,$B387&amp;" ~*")&gt;0)+(IFERROR(INDEX(Setup!$G$33:$G$40,MATCH(W387,Setup!$B$33:$B$40,0)),0)=1)*(COUNTIF(W358:W375,$B387)+COUNTIF(W358:W375,$B387&amp;" ~*")&gt;0)+(IFERROR(INDEX(Setup!$G$33:$G$40,MATCH(Y387,Setup!$B$33:$B$40,0)),0)=1)*(COUNTIF(Y358:Y375,$B387)+COUNTIF(Y358:Y375,$B387&amp;" ~*")&gt;0))</f>
        <v/>
      </c>
    </row>
    <row r="388" ht="15" customHeight="1">
      <c r="A388" t="n">
        <v>8</v>
      </c>
      <c r="B388" s="37">
        <f>IF(Setup!$B$17="","",Setup!$B$17)</f>
        <v/>
      </c>
      <c r="C388" s="102" t="n"/>
      <c r="D388" s="103" t="n"/>
      <c r="E388" s="103" t="n"/>
      <c r="F388" s="104" t="n"/>
      <c r="G388" s="102" t="n"/>
      <c r="H388" s="103" t="n"/>
      <c r="I388" s="103" t="n"/>
      <c r="J388" s="104" t="n"/>
      <c r="K388" s="102" t="n"/>
      <c r="L388" s="103" t="n"/>
      <c r="M388" s="103" t="n"/>
      <c r="N388" s="104" t="n"/>
      <c r="O388" s="102" t="n"/>
      <c r="P388" s="103" t="n"/>
      <c r="Q388" s="103" t="n"/>
      <c r="R388" s="104" t="n"/>
      <c r="S388" s="102" t="n"/>
      <c r="T388" s="103" t="n"/>
      <c r="U388" s="103" t="n"/>
      <c r="V388" s="104" t="n"/>
      <c r="W388" s="102" t="n"/>
      <c r="X388" s="104" t="n"/>
      <c r="Y388" s="102" t="n"/>
      <c r="Z388" s="104" t="n"/>
      <c r="AB388" s="105">
        <f>IF($B388="","",(COUNTIF(C358:E375,$B388)+COUNTIF(C358:E375,$B388&amp;" ~*")&gt;0)+(COUNTIF(G358:I375,$B388)+COUNTIF(G358:I375,$B388&amp;" ~*")&gt;0)+(COUNTIF(K358:M375,$B388)+COUNTIF(K358:M375,$B388&amp;" ~*")&gt;0)+(COUNTIF(O358:Q375,$B388)+COUNTIF(O358:Q375,$B388&amp;" ~*")&gt;0)+(COUNTIF(S358:U375,$B388)+COUNTIF(S358:U375,$B388&amp;" ~*")&gt;0)+(COUNTIF(W358:W375,$B388)+COUNTIF(W358:W375,$B388&amp;" ~*")&gt;0)+(COUNTIF(Y358:Y375,$B388)+COUNTIF(Y358:Y375,$B388&amp;" ~*")&gt;0))</f>
        <v/>
      </c>
      <c r="AC388" s="38">
        <f>IF($B388="","",(IFERROR(INDEX(Setup!$G$33:$G$40,MATCH(C388,Setup!$B$33:$B$40,0)),0)=1)*(COUNTIF(C358:E375,$B388)+COUNTIF(C358:E375,$B388&amp;" ~*")&gt;0)+(IFERROR(INDEX(Setup!$G$33:$G$40,MATCH(G388,Setup!$B$33:$B$40,0)),0)=1)*(COUNTIF(G358:I375,$B388)+COUNTIF(G358:I375,$B388&amp;" ~*")&gt;0)+(IFERROR(INDEX(Setup!$G$33:$G$40,MATCH(K388,Setup!$B$33:$B$40,0)),0)=1)*(COUNTIF(K358:M375,$B388)+COUNTIF(K358:M375,$B388&amp;" ~*")&gt;0)+(IFERROR(INDEX(Setup!$G$33:$G$40,MATCH(O388,Setup!$B$33:$B$40,0)),0)=1)*(COUNTIF(O358:Q375,$B388)+COUNTIF(O358:Q375,$B388&amp;" ~*")&gt;0)+(IFERROR(INDEX(Setup!$G$33:$G$40,MATCH(S388,Setup!$B$33:$B$40,0)),0)=1)*(COUNTIF(S358:U375,$B388)+COUNTIF(S358:U375,$B388&amp;" ~*")&gt;0)+(IFERROR(INDEX(Setup!$G$33:$G$40,MATCH(W388,Setup!$B$33:$B$40,0)),0)=1)*(COUNTIF(W358:W375,$B388)+COUNTIF(W358:W375,$B388&amp;" ~*")&gt;0)+(IFERROR(INDEX(Setup!$G$33:$G$40,MATCH(Y388,Setup!$B$33:$B$40,0)),0)=1)*(COUNTIF(Y358:Y375,$B388)+COUNTIF(Y358:Y375,$B388&amp;" ~*")&gt;0))</f>
        <v/>
      </c>
    </row>
    <row r="389" ht="15" customHeight="1">
      <c r="A389" t="n">
        <v>8</v>
      </c>
      <c r="B389" s="35">
        <f>IF(Setup!$B$18="","",Setup!$B$18)</f>
        <v/>
      </c>
      <c r="C389" s="98" t="n"/>
      <c r="D389" s="99" t="n"/>
      <c r="E389" s="99" t="n"/>
      <c r="F389" s="100" t="n"/>
      <c r="G389" s="98" t="n"/>
      <c r="H389" s="99" t="n"/>
      <c r="I389" s="99" t="n"/>
      <c r="J389" s="100" t="n"/>
      <c r="K389" s="98" t="n"/>
      <c r="L389" s="99" t="n"/>
      <c r="M389" s="99" t="n"/>
      <c r="N389" s="100" t="n"/>
      <c r="O389" s="98" t="n"/>
      <c r="P389" s="99" t="n"/>
      <c r="Q389" s="99" t="n"/>
      <c r="R389" s="100" t="n"/>
      <c r="S389" s="98" t="n"/>
      <c r="T389" s="99" t="n"/>
      <c r="U389" s="99" t="n"/>
      <c r="V389" s="100" t="n"/>
      <c r="W389" s="98" t="n"/>
      <c r="X389" s="100" t="n"/>
      <c r="Y389" s="98" t="n"/>
      <c r="Z389" s="100" t="n"/>
      <c r="AB389" s="101">
        <f>IF($B389="","",(COUNTIF(C358:E375,$B389)+COUNTIF(C358:E375,$B389&amp;" ~*")&gt;0)+(COUNTIF(G358:I375,$B389)+COUNTIF(G358:I375,$B389&amp;" ~*")&gt;0)+(COUNTIF(K358:M375,$B389)+COUNTIF(K358:M375,$B389&amp;" ~*")&gt;0)+(COUNTIF(O358:Q375,$B389)+COUNTIF(O358:Q375,$B389&amp;" ~*")&gt;0)+(COUNTIF(S358:U375,$B389)+COUNTIF(S358:U375,$B389&amp;" ~*")&gt;0)+(COUNTIF(W358:W375,$B389)+COUNTIF(W358:W375,$B389&amp;" ~*")&gt;0)+(COUNTIF(Y358:Y375,$B389)+COUNTIF(Y358:Y375,$B389&amp;" ~*")&gt;0))</f>
        <v/>
      </c>
      <c r="AC389" s="36">
        <f>IF($B389="","",(IFERROR(INDEX(Setup!$G$33:$G$40,MATCH(C389,Setup!$B$33:$B$40,0)),0)=1)*(COUNTIF(C358:E375,$B389)+COUNTIF(C358:E375,$B389&amp;" ~*")&gt;0)+(IFERROR(INDEX(Setup!$G$33:$G$40,MATCH(G389,Setup!$B$33:$B$40,0)),0)=1)*(COUNTIF(G358:I375,$B389)+COUNTIF(G358:I375,$B389&amp;" ~*")&gt;0)+(IFERROR(INDEX(Setup!$G$33:$G$40,MATCH(K389,Setup!$B$33:$B$40,0)),0)=1)*(COUNTIF(K358:M375,$B389)+COUNTIF(K358:M375,$B389&amp;" ~*")&gt;0)+(IFERROR(INDEX(Setup!$G$33:$G$40,MATCH(O389,Setup!$B$33:$B$40,0)),0)=1)*(COUNTIF(O358:Q375,$B389)+COUNTIF(O358:Q375,$B389&amp;" ~*")&gt;0)+(IFERROR(INDEX(Setup!$G$33:$G$40,MATCH(S389,Setup!$B$33:$B$40,0)),0)=1)*(COUNTIF(S358:U375,$B389)+COUNTIF(S358:U375,$B389&amp;" ~*")&gt;0)+(IFERROR(INDEX(Setup!$G$33:$G$40,MATCH(W389,Setup!$B$33:$B$40,0)),0)=1)*(COUNTIF(W358:W375,$B389)+COUNTIF(W358:W375,$B389&amp;" ~*")&gt;0)+(IFERROR(INDEX(Setup!$G$33:$G$40,MATCH(Y389,Setup!$B$33:$B$40,0)),0)=1)*(COUNTIF(Y358:Y375,$B389)+COUNTIF(Y358:Y375,$B389&amp;" ~*")&gt;0))</f>
        <v/>
      </c>
    </row>
    <row r="390" ht="15" customHeight="1">
      <c r="A390" t="n">
        <v>8</v>
      </c>
      <c r="B390" s="37">
        <f>IF(Setup!$B$19="","",Setup!$B$19)</f>
        <v/>
      </c>
      <c r="C390" s="102" t="n"/>
      <c r="D390" s="103" t="n"/>
      <c r="E390" s="103" t="n"/>
      <c r="F390" s="104" t="n"/>
      <c r="G390" s="102" t="n"/>
      <c r="H390" s="103" t="n"/>
      <c r="I390" s="103" t="n"/>
      <c r="J390" s="104" t="n"/>
      <c r="K390" s="102" t="n"/>
      <c r="L390" s="103" t="n"/>
      <c r="M390" s="103" t="n"/>
      <c r="N390" s="104" t="n"/>
      <c r="O390" s="102" t="n"/>
      <c r="P390" s="103" t="n"/>
      <c r="Q390" s="103" t="n"/>
      <c r="R390" s="104" t="n"/>
      <c r="S390" s="102" t="n"/>
      <c r="T390" s="103" t="n"/>
      <c r="U390" s="103" t="n"/>
      <c r="V390" s="104" t="n"/>
      <c r="W390" s="102" t="n"/>
      <c r="X390" s="104" t="n"/>
      <c r="Y390" s="102" t="n"/>
      <c r="Z390" s="104" t="n"/>
      <c r="AB390" s="105">
        <f>IF($B390="","",(COUNTIF(C358:E375,$B390)+COUNTIF(C358:E375,$B390&amp;" ~*")&gt;0)+(COUNTIF(G358:I375,$B390)+COUNTIF(G358:I375,$B390&amp;" ~*")&gt;0)+(COUNTIF(K358:M375,$B390)+COUNTIF(K358:M375,$B390&amp;" ~*")&gt;0)+(COUNTIF(O358:Q375,$B390)+COUNTIF(O358:Q375,$B390&amp;" ~*")&gt;0)+(COUNTIF(S358:U375,$B390)+COUNTIF(S358:U375,$B390&amp;" ~*")&gt;0)+(COUNTIF(W358:W375,$B390)+COUNTIF(W358:W375,$B390&amp;" ~*")&gt;0)+(COUNTIF(Y358:Y375,$B390)+COUNTIF(Y358:Y375,$B390&amp;" ~*")&gt;0))</f>
        <v/>
      </c>
      <c r="AC390" s="38">
        <f>IF($B390="","",(IFERROR(INDEX(Setup!$G$33:$G$40,MATCH(C390,Setup!$B$33:$B$40,0)),0)=1)*(COUNTIF(C358:E375,$B390)+COUNTIF(C358:E375,$B390&amp;" ~*")&gt;0)+(IFERROR(INDEX(Setup!$G$33:$G$40,MATCH(G390,Setup!$B$33:$B$40,0)),0)=1)*(COUNTIF(G358:I375,$B390)+COUNTIF(G358:I375,$B390&amp;" ~*")&gt;0)+(IFERROR(INDEX(Setup!$G$33:$G$40,MATCH(K390,Setup!$B$33:$B$40,0)),0)=1)*(COUNTIF(K358:M375,$B390)+COUNTIF(K358:M375,$B390&amp;" ~*")&gt;0)+(IFERROR(INDEX(Setup!$G$33:$G$40,MATCH(O390,Setup!$B$33:$B$40,0)),0)=1)*(COUNTIF(O358:Q375,$B390)+COUNTIF(O358:Q375,$B390&amp;" ~*")&gt;0)+(IFERROR(INDEX(Setup!$G$33:$G$40,MATCH(S390,Setup!$B$33:$B$40,0)),0)=1)*(COUNTIF(S358:U375,$B390)+COUNTIF(S358:U375,$B390&amp;" ~*")&gt;0)+(IFERROR(INDEX(Setup!$G$33:$G$40,MATCH(W390,Setup!$B$33:$B$40,0)),0)=1)*(COUNTIF(W358:W375,$B390)+COUNTIF(W358:W375,$B390&amp;" ~*")&gt;0)+(IFERROR(INDEX(Setup!$G$33:$G$40,MATCH(Y390,Setup!$B$33:$B$40,0)),0)=1)*(COUNTIF(Y358:Y375,$B390)+COUNTIF(Y358:Y375,$B390&amp;" ~*")&gt;0))</f>
        <v/>
      </c>
    </row>
    <row r="391" ht="15" customHeight="1">
      <c r="A391" t="n">
        <v>8</v>
      </c>
      <c r="B391" s="35">
        <f>IF(Setup!$B$20="","",Setup!$B$20)</f>
        <v/>
      </c>
      <c r="C391" s="98" t="n"/>
      <c r="D391" s="99" t="n"/>
      <c r="E391" s="99" t="n"/>
      <c r="F391" s="100" t="n"/>
      <c r="G391" s="98" t="n"/>
      <c r="H391" s="99" t="n"/>
      <c r="I391" s="99" t="n"/>
      <c r="J391" s="100" t="n"/>
      <c r="K391" s="98" t="n"/>
      <c r="L391" s="99" t="n"/>
      <c r="M391" s="99" t="n"/>
      <c r="N391" s="100" t="n"/>
      <c r="O391" s="98" t="n"/>
      <c r="P391" s="99" t="n"/>
      <c r="Q391" s="99" t="n"/>
      <c r="R391" s="100" t="n"/>
      <c r="S391" s="98" t="n"/>
      <c r="T391" s="99" t="n"/>
      <c r="U391" s="99" t="n"/>
      <c r="V391" s="100" t="n"/>
      <c r="W391" s="98" t="n"/>
      <c r="X391" s="100" t="n"/>
      <c r="Y391" s="98" t="n"/>
      <c r="Z391" s="100" t="n"/>
      <c r="AB391" s="101">
        <f>IF($B391="","",(COUNTIF(C358:E375,$B391)+COUNTIF(C358:E375,$B391&amp;" ~*")&gt;0)+(COUNTIF(G358:I375,$B391)+COUNTIF(G358:I375,$B391&amp;" ~*")&gt;0)+(COUNTIF(K358:M375,$B391)+COUNTIF(K358:M375,$B391&amp;" ~*")&gt;0)+(COUNTIF(O358:Q375,$B391)+COUNTIF(O358:Q375,$B391&amp;" ~*")&gt;0)+(COUNTIF(S358:U375,$B391)+COUNTIF(S358:U375,$B391&amp;" ~*")&gt;0)+(COUNTIF(W358:W375,$B391)+COUNTIF(W358:W375,$B391&amp;" ~*")&gt;0)+(COUNTIF(Y358:Y375,$B391)+COUNTIF(Y358:Y375,$B391&amp;" ~*")&gt;0))</f>
        <v/>
      </c>
      <c r="AC391" s="36">
        <f>IF($B391="","",(IFERROR(INDEX(Setup!$G$33:$G$40,MATCH(C391,Setup!$B$33:$B$40,0)),0)=1)*(COUNTIF(C358:E375,$B391)+COUNTIF(C358:E375,$B391&amp;" ~*")&gt;0)+(IFERROR(INDEX(Setup!$G$33:$G$40,MATCH(G391,Setup!$B$33:$B$40,0)),0)=1)*(COUNTIF(G358:I375,$B391)+COUNTIF(G358:I375,$B391&amp;" ~*")&gt;0)+(IFERROR(INDEX(Setup!$G$33:$G$40,MATCH(K391,Setup!$B$33:$B$40,0)),0)=1)*(COUNTIF(K358:M375,$B391)+COUNTIF(K358:M375,$B391&amp;" ~*")&gt;0)+(IFERROR(INDEX(Setup!$G$33:$G$40,MATCH(O391,Setup!$B$33:$B$40,0)),0)=1)*(COUNTIF(O358:Q375,$B391)+COUNTIF(O358:Q375,$B391&amp;" ~*")&gt;0)+(IFERROR(INDEX(Setup!$G$33:$G$40,MATCH(S391,Setup!$B$33:$B$40,0)),0)=1)*(COUNTIF(S358:U375,$B391)+COUNTIF(S358:U375,$B391&amp;" ~*")&gt;0)+(IFERROR(INDEX(Setup!$G$33:$G$40,MATCH(W391,Setup!$B$33:$B$40,0)),0)=1)*(COUNTIF(W358:W375,$B391)+COUNTIF(W358:W375,$B391&amp;" ~*")&gt;0)+(IFERROR(INDEX(Setup!$G$33:$G$40,MATCH(Y391,Setup!$B$33:$B$40,0)),0)=1)*(COUNTIF(Y358:Y375,$B391)+COUNTIF(Y358:Y375,$B391&amp;" ~*")&gt;0))</f>
        <v/>
      </c>
    </row>
    <row r="392" ht="15" customHeight="1">
      <c r="A392" t="n">
        <v>8</v>
      </c>
      <c r="B392" s="37">
        <f>IF(Setup!$B$21="","",Setup!$B$21)</f>
        <v/>
      </c>
      <c r="C392" s="102" t="n"/>
      <c r="D392" s="103" t="n"/>
      <c r="E392" s="103" t="n"/>
      <c r="F392" s="104" t="n"/>
      <c r="G392" s="102" t="n"/>
      <c r="H392" s="103" t="n"/>
      <c r="I392" s="103" t="n"/>
      <c r="J392" s="104" t="n"/>
      <c r="K392" s="102" t="n"/>
      <c r="L392" s="103" t="n"/>
      <c r="M392" s="103" t="n"/>
      <c r="N392" s="104" t="n"/>
      <c r="O392" s="102" t="n"/>
      <c r="P392" s="103" t="n"/>
      <c r="Q392" s="103" t="n"/>
      <c r="R392" s="104" t="n"/>
      <c r="S392" s="102" t="n"/>
      <c r="T392" s="103" t="n"/>
      <c r="U392" s="103" t="n"/>
      <c r="V392" s="104" t="n"/>
      <c r="W392" s="102" t="n"/>
      <c r="X392" s="104" t="n"/>
      <c r="Y392" s="102" t="n"/>
      <c r="Z392" s="104" t="n"/>
      <c r="AB392" s="105">
        <f>IF($B392="","",(COUNTIF(C358:E375,$B392)+COUNTIF(C358:E375,$B392&amp;" ~*")&gt;0)+(COUNTIF(G358:I375,$B392)+COUNTIF(G358:I375,$B392&amp;" ~*")&gt;0)+(COUNTIF(K358:M375,$B392)+COUNTIF(K358:M375,$B392&amp;" ~*")&gt;0)+(COUNTIF(O358:Q375,$B392)+COUNTIF(O358:Q375,$B392&amp;" ~*")&gt;0)+(COUNTIF(S358:U375,$B392)+COUNTIF(S358:U375,$B392&amp;" ~*")&gt;0)+(COUNTIF(W358:W375,$B392)+COUNTIF(W358:W375,$B392&amp;" ~*")&gt;0)+(COUNTIF(Y358:Y375,$B392)+COUNTIF(Y358:Y375,$B392&amp;" ~*")&gt;0))</f>
        <v/>
      </c>
      <c r="AC392" s="38">
        <f>IF($B392="","",(IFERROR(INDEX(Setup!$G$33:$G$40,MATCH(C392,Setup!$B$33:$B$40,0)),0)=1)*(COUNTIF(C358:E375,$B392)+COUNTIF(C358:E375,$B392&amp;" ~*")&gt;0)+(IFERROR(INDEX(Setup!$G$33:$G$40,MATCH(G392,Setup!$B$33:$B$40,0)),0)=1)*(COUNTIF(G358:I375,$B392)+COUNTIF(G358:I375,$B392&amp;" ~*")&gt;0)+(IFERROR(INDEX(Setup!$G$33:$G$40,MATCH(K392,Setup!$B$33:$B$40,0)),0)=1)*(COUNTIF(K358:M375,$B392)+COUNTIF(K358:M375,$B392&amp;" ~*")&gt;0)+(IFERROR(INDEX(Setup!$G$33:$G$40,MATCH(O392,Setup!$B$33:$B$40,0)),0)=1)*(COUNTIF(O358:Q375,$B392)+COUNTIF(O358:Q375,$B392&amp;" ~*")&gt;0)+(IFERROR(INDEX(Setup!$G$33:$G$40,MATCH(S392,Setup!$B$33:$B$40,0)),0)=1)*(COUNTIF(S358:U375,$B392)+COUNTIF(S358:U375,$B392&amp;" ~*")&gt;0)+(IFERROR(INDEX(Setup!$G$33:$G$40,MATCH(W392,Setup!$B$33:$B$40,0)),0)=1)*(COUNTIF(W358:W375,$B392)+COUNTIF(W358:W375,$B392&amp;" ~*")&gt;0)+(IFERROR(INDEX(Setup!$G$33:$G$40,MATCH(Y392,Setup!$B$33:$B$40,0)),0)=1)*(COUNTIF(Y358:Y375,$B392)+COUNTIF(Y358:Y375,$B392&amp;" ~*")&gt;0))</f>
        <v/>
      </c>
    </row>
    <row r="393" ht="15" customHeight="1">
      <c r="A393" t="n">
        <v>8</v>
      </c>
      <c r="B393" s="35">
        <f>IF(Setup!$B$22="","",Setup!$B$22)</f>
        <v/>
      </c>
      <c r="C393" s="98" t="n"/>
      <c r="D393" s="99" t="n"/>
      <c r="E393" s="99" t="n"/>
      <c r="F393" s="100" t="n"/>
      <c r="G393" s="98" t="n"/>
      <c r="H393" s="99" t="n"/>
      <c r="I393" s="99" t="n"/>
      <c r="J393" s="100" t="n"/>
      <c r="K393" s="98" t="n"/>
      <c r="L393" s="99" t="n"/>
      <c r="M393" s="99" t="n"/>
      <c r="N393" s="100" t="n"/>
      <c r="O393" s="98" t="n"/>
      <c r="P393" s="99" t="n"/>
      <c r="Q393" s="99" t="n"/>
      <c r="R393" s="100" t="n"/>
      <c r="S393" s="98" t="n"/>
      <c r="T393" s="99" t="n"/>
      <c r="U393" s="99" t="n"/>
      <c r="V393" s="100" t="n"/>
      <c r="W393" s="98" t="n"/>
      <c r="X393" s="100" t="n"/>
      <c r="Y393" s="98" t="n"/>
      <c r="Z393" s="100" t="n"/>
      <c r="AB393" s="101">
        <f>IF($B393="","",(COUNTIF(C358:E375,$B393)+COUNTIF(C358:E375,$B393&amp;" ~*")&gt;0)+(COUNTIF(G358:I375,$B393)+COUNTIF(G358:I375,$B393&amp;" ~*")&gt;0)+(COUNTIF(K358:M375,$B393)+COUNTIF(K358:M375,$B393&amp;" ~*")&gt;0)+(COUNTIF(O358:Q375,$B393)+COUNTIF(O358:Q375,$B393&amp;" ~*")&gt;0)+(COUNTIF(S358:U375,$B393)+COUNTIF(S358:U375,$B393&amp;" ~*")&gt;0)+(COUNTIF(W358:W375,$B393)+COUNTIF(W358:W375,$B393&amp;" ~*")&gt;0)+(COUNTIF(Y358:Y375,$B393)+COUNTIF(Y358:Y375,$B393&amp;" ~*")&gt;0))</f>
        <v/>
      </c>
      <c r="AC393" s="36">
        <f>IF($B393="","",(IFERROR(INDEX(Setup!$G$33:$G$40,MATCH(C393,Setup!$B$33:$B$40,0)),0)=1)*(COUNTIF(C358:E375,$B393)+COUNTIF(C358:E375,$B393&amp;" ~*")&gt;0)+(IFERROR(INDEX(Setup!$G$33:$G$40,MATCH(G393,Setup!$B$33:$B$40,0)),0)=1)*(COUNTIF(G358:I375,$B393)+COUNTIF(G358:I375,$B393&amp;" ~*")&gt;0)+(IFERROR(INDEX(Setup!$G$33:$G$40,MATCH(K393,Setup!$B$33:$B$40,0)),0)=1)*(COUNTIF(K358:M375,$B393)+COUNTIF(K358:M375,$B393&amp;" ~*")&gt;0)+(IFERROR(INDEX(Setup!$G$33:$G$40,MATCH(O393,Setup!$B$33:$B$40,0)),0)=1)*(COUNTIF(O358:Q375,$B393)+COUNTIF(O358:Q375,$B393&amp;" ~*")&gt;0)+(IFERROR(INDEX(Setup!$G$33:$G$40,MATCH(S393,Setup!$B$33:$B$40,0)),0)=1)*(COUNTIF(S358:U375,$B393)+COUNTIF(S358:U375,$B393&amp;" ~*")&gt;0)+(IFERROR(INDEX(Setup!$G$33:$G$40,MATCH(W393,Setup!$B$33:$B$40,0)),0)=1)*(COUNTIF(W358:W375,$B393)+COUNTIF(W358:W375,$B393&amp;" ~*")&gt;0)+(IFERROR(INDEX(Setup!$G$33:$G$40,MATCH(Y393,Setup!$B$33:$B$40,0)),0)=1)*(COUNTIF(Y358:Y375,$B393)+COUNTIF(Y358:Y375,$B393&amp;" ~*")&gt;0))</f>
        <v/>
      </c>
    </row>
    <row r="394" ht="15" customHeight="1">
      <c r="A394" t="n">
        <v>8</v>
      </c>
      <c r="B394" s="37">
        <f>IF(Setup!$B$23="","",Setup!$B$23)</f>
        <v/>
      </c>
      <c r="C394" s="102" t="n"/>
      <c r="D394" s="103" t="n"/>
      <c r="E394" s="103" t="n"/>
      <c r="F394" s="104" t="n"/>
      <c r="G394" s="102" t="n"/>
      <c r="H394" s="103" t="n"/>
      <c r="I394" s="103" t="n"/>
      <c r="J394" s="104" t="n"/>
      <c r="K394" s="102" t="n"/>
      <c r="L394" s="103" t="n"/>
      <c r="M394" s="103" t="n"/>
      <c r="N394" s="104" t="n"/>
      <c r="O394" s="102" t="n"/>
      <c r="P394" s="103" t="n"/>
      <c r="Q394" s="103" t="n"/>
      <c r="R394" s="104" t="n"/>
      <c r="S394" s="102" t="n"/>
      <c r="T394" s="103" t="n"/>
      <c r="U394" s="103" t="n"/>
      <c r="V394" s="104" t="n"/>
      <c r="W394" s="102" t="n"/>
      <c r="X394" s="104" t="n"/>
      <c r="Y394" s="102" t="n"/>
      <c r="Z394" s="104" t="n"/>
      <c r="AB394" s="105">
        <f>IF($B394="","",(COUNTIF(C358:E375,$B394)+COUNTIF(C358:E375,$B394&amp;" ~*")&gt;0)+(COUNTIF(G358:I375,$B394)+COUNTIF(G358:I375,$B394&amp;" ~*")&gt;0)+(COUNTIF(K358:M375,$B394)+COUNTIF(K358:M375,$B394&amp;" ~*")&gt;0)+(COUNTIF(O358:Q375,$B394)+COUNTIF(O358:Q375,$B394&amp;" ~*")&gt;0)+(COUNTIF(S358:U375,$B394)+COUNTIF(S358:U375,$B394&amp;" ~*")&gt;0)+(COUNTIF(W358:W375,$B394)+COUNTIF(W358:W375,$B394&amp;" ~*")&gt;0)+(COUNTIF(Y358:Y375,$B394)+COUNTIF(Y358:Y375,$B394&amp;" ~*")&gt;0))</f>
        <v/>
      </c>
      <c r="AC394" s="38">
        <f>IF($B394="","",(IFERROR(INDEX(Setup!$G$33:$G$40,MATCH(C394,Setup!$B$33:$B$40,0)),0)=1)*(COUNTIF(C358:E375,$B394)+COUNTIF(C358:E375,$B394&amp;" ~*")&gt;0)+(IFERROR(INDEX(Setup!$G$33:$G$40,MATCH(G394,Setup!$B$33:$B$40,0)),0)=1)*(COUNTIF(G358:I375,$B394)+COUNTIF(G358:I375,$B394&amp;" ~*")&gt;0)+(IFERROR(INDEX(Setup!$G$33:$G$40,MATCH(K394,Setup!$B$33:$B$40,0)),0)=1)*(COUNTIF(K358:M375,$B394)+COUNTIF(K358:M375,$B394&amp;" ~*")&gt;0)+(IFERROR(INDEX(Setup!$G$33:$G$40,MATCH(O394,Setup!$B$33:$B$40,0)),0)=1)*(COUNTIF(O358:Q375,$B394)+COUNTIF(O358:Q375,$B394&amp;" ~*")&gt;0)+(IFERROR(INDEX(Setup!$G$33:$G$40,MATCH(S394,Setup!$B$33:$B$40,0)),0)=1)*(COUNTIF(S358:U375,$B394)+COUNTIF(S358:U375,$B394&amp;" ~*")&gt;0)+(IFERROR(INDEX(Setup!$G$33:$G$40,MATCH(W394,Setup!$B$33:$B$40,0)),0)=1)*(COUNTIF(W358:W375,$B394)+COUNTIF(W358:W375,$B394&amp;" ~*")&gt;0)+(IFERROR(INDEX(Setup!$G$33:$G$40,MATCH(Y394,Setup!$B$33:$B$40,0)),0)=1)*(COUNTIF(Y358:Y375,$B394)+COUNTIF(Y358:Y375,$B394&amp;" ~*")&gt;0))</f>
        <v/>
      </c>
    </row>
    <row r="395" ht="15" customHeight="1">
      <c r="A395" t="n">
        <v>8</v>
      </c>
      <c r="B395" s="35">
        <f>IF(Setup!$B$24="","",Setup!$B$24)</f>
        <v/>
      </c>
      <c r="C395" s="98" t="n"/>
      <c r="D395" s="99" t="n"/>
      <c r="E395" s="99" t="n"/>
      <c r="F395" s="100" t="n"/>
      <c r="G395" s="98" t="n"/>
      <c r="H395" s="99" t="n"/>
      <c r="I395" s="99" t="n"/>
      <c r="J395" s="100" t="n"/>
      <c r="K395" s="98" t="n"/>
      <c r="L395" s="99" t="n"/>
      <c r="M395" s="99" t="n"/>
      <c r="N395" s="100" t="n"/>
      <c r="O395" s="98" t="n"/>
      <c r="P395" s="99" t="n"/>
      <c r="Q395" s="99" t="n"/>
      <c r="R395" s="100" t="n"/>
      <c r="S395" s="98" t="n"/>
      <c r="T395" s="99" t="n"/>
      <c r="U395" s="99" t="n"/>
      <c r="V395" s="100" t="n"/>
      <c r="W395" s="98" t="n"/>
      <c r="X395" s="100" t="n"/>
      <c r="Y395" s="98" t="n"/>
      <c r="Z395" s="100" t="n"/>
      <c r="AB395" s="101">
        <f>IF($B395="","",(COUNTIF(C358:E375,$B395)+COUNTIF(C358:E375,$B395&amp;" ~*")&gt;0)+(COUNTIF(G358:I375,$B395)+COUNTIF(G358:I375,$B395&amp;" ~*")&gt;0)+(COUNTIF(K358:M375,$B395)+COUNTIF(K358:M375,$B395&amp;" ~*")&gt;0)+(COUNTIF(O358:Q375,$B395)+COUNTIF(O358:Q375,$B395&amp;" ~*")&gt;0)+(COUNTIF(S358:U375,$B395)+COUNTIF(S358:U375,$B395&amp;" ~*")&gt;0)+(COUNTIF(W358:W375,$B395)+COUNTIF(W358:W375,$B395&amp;" ~*")&gt;0)+(COUNTIF(Y358:Y375,$B395)+COUNTIF(Y358:Y375,$B395&amp;" ~*")&gt;0))</f>
        <v/>
      </c>
      <c r="AC395" s="36">
        <f>IF($B395="","",(IFERROR(INDEX(Setup!$G$33:$G$40,MATCH(C395,Setup!$B$33:$B$40,0)),0)=1)*(COUNTIF(C358:E375,$B395)+COUNTIF(C358:E375,$B395&amp;" ~*")&gt;0)+(IFERROR(INDEX(Setup!$G$33:$G$40,MATCH(G395,Setup!$B$33:$B$40,0)),0)=1)*(COUNTIF(G358:I375,$B395)+COUNTIF(G358:I375,$B395&amp;" ~*")&gt;0)+(IFERROR(INDEX(Setup!$G$33:$G$40,MATCH(K395,Setup!$B$33:$B$40,0)),0)=1)*(COUNTIF(K358:M375,$B395)+COUNTIF(K358:M375,$B395&amp;" ~*")&gt;0)+(IFERROR(INDEX(Setup!$G$33:$G$40,MATCH(O395,Setup!$B$33:$B$40,0)),0)=1)*(COUNTIF(O358:Q375,$B395)+COUNTIF(O358:Q375,$B395&amp;" ~*")&gt;0)+(IFERROR(INDEX(Setup!$G$33:$G$40,MATCH(S395,Setup!$B$33:$B$40,0)),0)=1)*(COUNTIF(S358:U375,$B395)+COUNTIF(S358:U375,$B395&amp;" ~*")&gt;0)+(IFERROR(INDEX(Setup!$G$33:$G$40,MATCH(W395,Setup!$B$33:$B$40,0)),0)=1)*(COUNTIF(W358:W375,$B395)+COUNTIF(W358:W375,$B395&amp;" ~*")&gt;0)+(IFERROR(INDEX(Setup!$G$33:$G$40,MATCH(Y395,Setup!$B$33:$B$40,0)),0)=1)*(COUNTIF(Y358:Y375,$B395)+COUNTIF(Y358:Y375,$B395&amp;" ~*")&gt;0))</f>
        <v/>
      </c>
    </row>
    <row r="396" ht="15" customHeight="1">
      <c r="A396" t="n">
        <v>8</v>
      </c>
      <c r="B396" s="37">
        <f>IF(Setup!$B$25="","",Setup!$B$25)</f>
        <v/>
      </c>
      <c r="C396" s="102" t="n"/>
      <c r="D396" s="103" t="n"/>
      <c r="E396" s="103" t="n"/>
      <c r="F396" s="104" t="n"/>
      <c r="G396" s="102" t="n"/>
      <c r="H396" s="103" t="n"/>
      <c r="I396" s="103" t="n"/>
      <c r="J396" s="104" t="n"/>
      <c r="K396" s="102" t="n"/>
      <c r="L396" s="103" t="n"/>
      <c r="M396" s="103" t="n"/>
      <c r="N396" s="104" t="n"/>
      <c r="O396" s="102" t="n"/>
      <c r="P396" s="103" t="n"/>
      <c r="Q396" s="103" t="n"/>
      <c r="R396" s="104" t="n"/>
      <c r="S396" s="102" t="n"/>
      <c r="T396" s="103" t="n"/>
      <c r="U396" s="103" t="n"/>
      <c r="V396" s="104" t="n"/>
      <c r="W396" s="102" t="n"/>
      <c r="X396" s="104" t="n"/>
      <c r="Y396" s="102" t="n"/>
      <c r="Z396" s="104" t="n"/>
      <c r="AB396" s="105">
        <f>IF($B396="","",(COUNTIF(C358:E375,$B396)+COUNTIF(C358:E375,$B396&amp;" ~*")&gt;0)+(COUNTIF(G358:I375,$B396)+COUNTIF(G358:I375,$B396&amp;" ~*")&gt;0)+(COUNTIF(K358:M375,$B396)+COUNTIF(K358:M375,$B396&amp;" ~*")&gt;0)+(COUNTIF(O358:Q375,$B396)+COUNTIF(O358:Q375,$B396&amp;" ~*")&gt;0)+(COUNTIF(S358:U375,$B396)+COUNTIF(S358:U375,$B396&amp;" ~*")&gt;0)+(COUNTIF(W358:W375,$B396)+COUNTIF(W358:W375,$B396&amp;" ~*")&gt;0)+(COUNTIF(Y358:Y375,$B396)+COUNTIF(Y358:Y375,$B396&amp;" ~*")&gt;0))</f>
        <v/>
      </c>
      <c r="AC396" s="38">
        <f>IF($B396="","",(IFERROR(INDEX(Setup!$G$33:$G$40,MATCH(C396,Setup!$B$33:$B$40,0)),0)=1)*(COUNTIF(C358:E375,$B396)+COUNTIF(C358:E375,$B396&amp;" ~*")&gt;0)+(IFERROR(INDEX(Setup!$G$33:$G$40,MATCH(G396,Setup!$B$33:$B$40,0)),0)=1)*(COUNTIF(G358:I375,$B396)+COUNTIF(G358:I375,$B396&amp;" ~*")&gt;0)+(IFERROR(INDEX(Setup!$G$33:$G$40,MATCH(K396,Setup!$B$33:$B$40,0)),0)=1)*(COUNTIF(K358:M375,$B396)+COUNTIF(K358:M375,$B396&amp;" ~*")&gt;0)+(IFERROR(INDEX(Setup!$G$33:$G$40,MATCH(O396,Setup!$B$33:$B$40,0)),0)=1)*(COUNTIF(O358:Q375,$B396)+COUNTIF(O358:Q375,$B396&amp;" ~*")&gt;0)+(IFERROR(INDEX(Setup!$G$33:$G$40,MATCH(S396,Setup!$B$33:$B$40,0)),0)=1)*(COUNTIF(S358:U375,$B396)+COUNTIF(S358:U375,$B396&amp;" ~*")&gt;0)+(IFERROR(INDEX(Setup!$G$33:$G$40,MATCH(W396,Setup!$B$33:$B$40,0)),0)=1)*(COUNTIF(W358:W375,$B396)+COUNTIF(W358:W375,$B396&amp;" ~*")&gt;0)+(IFERROR(INDEX(Setup!$G$33:$G$40,MATCH(Y396,Setup!$B$33:$B$40,0)),0)=1)*(COUNTIF(Y358:Y375,$B396)+COUNTIF(Y358:Y375,$B396&amp;" ~*")&gt;0))</f>
        <v/>
      </c>
    </row>
    <row r="397" ht="15" customHeight="1">
      <c r="A397" t="n">
        <v>8</v>
      </c>
      <c r="B397" s="35">
        <f>IF(Setup!$B$26="","",Setup!$B$26)</f>
        <v/>
      </c>
      <c r="C397" s="98" t="n"/>
      <c r="D397" s="99" t="n"/>
      <c r="E397" s="99" t="n"/>
      <c r="F397" s="100" t="n"/>
      <c r="G397" s="98" t="n"/>
      <c r="H397" s="99" t="n"/>
      <c r="I397" s="99" t="n"/>
      <c r="J397" s="100" t="n"/>
      <c r="K397" s="98" t="n"/>
      <c r="L397" s="99" t="n"/>
      <c r="M397" s="99" t="n"/>
      <c r="N397" s="100" t="n"/>
      <c r="O397" s="98" t="n"/>
      <c r="P397" s="99" t="n"/>
      <c r="Q397" s="99" t="n"/>
      <c r="R397" s="100" t="n"/>
      <c r="S397" s="98" t="n"/>
      <c r="T397" s="99" t="n"/>
      <c r="U397" s="99" t="n"/>
      <c r="V397" s="100" t="n"/>
      <c r="W397" s="98" t="n"/>
      <c r="X397" s="100" t="n"/>
      <c r="Y397" s="98" t="n"/>
      <c r="Z397" s="100" t="n"/>
      <c r="AB397" s="101">
        <f>IF($B397="","",(COUNTIF(C358:E375,$B397)+COUNTIF(C358:E375,$B397&amp;" ~*")&gt;0)+(COUNTIF(G358:I375,$B397)+COUNTIF(G358:I375,$B397&amp;" ~*")&gt;0)+(COUNTIF(K358:M375,$B397)+COUNTIF(K358:M375,$B397&amp;" ~*")&gt;0)+(COUNTIF(O358:Q375,$B397)+COUNTIF(O358:Q375,$B397&amp;" ~*")&gt;0)+(COUNTIF(S358:U375,$B397)+COUNTIF(S358:U375,$B397&amp;" ~*")&gt;0)+(COUNTIF(W358:W375,$B397)+COUNTIF(W358:W375,$B397&amp;" ~*")&gt;0)+(COUNTIF(Y358:Y375,$B397)+COUNTIF(Y358:Y375,$B397&amp;" ~*")&gt;0))</f>
        <v/>
      </c>
      <c r="AC397" s="36">
        <f>IF($B397="","",(IFERROR(INDEX(Setup!$G$33:$G$40,MATCH(C397,Setup!$B$33:$B$40,0)),0)=1)*(COUNTIF(C358:E375,$B397)+COUNTIF(C358:E375,$B397&amp;" ~*")&gt;0)+(IFERROR(INDEX(Setup!$G$33:$G$40,MATCH(G397,Setup!$B$33:$B$40,0)),0)=1)*(COUNTIF(G358:I375,$B397)+COUNTIF(G358:I375,$B397&amp;" ~*")&gt;0)+(IFERROR(INDEX(Setup!$G$33:$G$40,MATCH(K397,Setup!$B$33:$B$40,0)),0)=1)*(COUNTIF(K358:M375,$B397)+COUNTIF(K358:M375,$B397&amp;" ~*")&gt;0)+(IFERROR(INDEX(Setup!$G$33:$G$40,MATCH(O397,Setup!$B$33:$B$40,0)),0)=1)*(COUNTIF(O358:Q375,$B397)+COUNTIF(O358:Q375,$B397&amp;" ~*")&gt;0)+(IFERROR(INDEX(Setup!$G$33:$G$40,MATCH(S397,Setup!$B$33:$B$40,0)),0)=1)*(COUNTIF(S358:U375,$B397)+COUNTIF(S358:U375,$B397&amp;" ~*")&gt;0)+(IFERROR(INDEX(Setup!$G$33:$G$40,MATCH(W397,Setup!$B$33:$B$40,0)),0)=1)*(COUNTIF(W358:W375,$B397)+COUNTIF(W358:W375,$B397&amp;" ~*")&gt;0)+(IFERROR(INDEX(Setup!$G$33:$G$40,MATCH(Y397,Setup!$B$33:$B$40,0)),0)=1)*(COUNTIF(Y358:Y375,$B397)+COUNTIF(Y358:Y375,$B397&amp;" ~*")&gt;0))</f>
        <v/>
      </c>
    </row>
    <row r="398" ht="15" customHeight="1">
      <c r="A398" t="n">
        <v>8</v>
      </c>
      <c r="B398" s="37">
        <f>IF(Setup!$B$27="","",Setup!$B$27)</f>
        <v/>
      </c>
      <c r="C398" s="102" t="n"/>
      <c r="D398" s="103" t="n"/>
      <c r="E398" s="103" t="n"/>
      <c r="F398" s="104" t="n"/>
      <c r="G398" s="102" t="n"/>
      <c r="H398" s="103" t="n"/>
      <c r="I398" s="103" t="n"/>
      <c r="J398" s="104" t="n"/>
      <c r="K398" s="102" t="n"/>
      <c r="L398" s="103" t="n"/>
      <c r="M398" s="103" t="n"/>
      <c r="N398" s="104" t="n"/>
      <c r="O398" s="102" t="n"/>
      <c r="P398" s="103" t="n"/>
      <c r="Q398" s="103" t="n"/>
      <c r="R398" s="104" t="n"/>
      <c r="S398" s="102" t="n"/>
      <c r="T398" s="103" t="n"/>
      <c r="U398" s="103" t="n"/>
      <c r="V398" s="104" t="n"/>
      <c r="W398" s="102" t="n"/>
      <c r="X398" s="104" t="n"/>
      <c r="Y398" s="102" t="n"/>
      <c r="Z398" s="104" t="n"/>
      <c r="AB398" s="105">
        <f>IF($B398="","",(COUNTIF(C358:E375,$B398)+COUNTIF(C358:E375,$B398&amp;" ~*")&gt;0)+(COUNTIF(G358:I375,$B398)+COUNTIF(G358:I375,$B398&amp;" ~*")&gt;0)+(COUNTIF(K358:M375,$B398)+COUNTIF(K358:M375,$B398&amp;" ~*")&gt;0)+(COUNTIF(O358:Q375,$B398)+COUNTIF(O358:Q375,$B398&amp;" ~*")&gt;0)+(COUNTIF(S358:U375,$B398)+COUNTIF(S358:U375,$B398&amp;" ~*")&gt;0)+(COUNTIF(W358:W375,$B398)+COUNTIF(W358:W375,$B398&amp;" ~*")&gt;0)+(COUNTIF(Y358:Y375,$B398)+COUNTIF(Y358:Y375,$B398&amp;" ~*")&gt;0))</f>
        <v/>
      </c>
      <c r="AC398" s="38">
        <f>IF($B398="","",(IFERROR(INDEX(Setup!$G$33:$G$40,MATCH(C398,Setup!$B$33:$B$40,0)),0)=1)*(COUNTIF(C358:E375,$B398)+COUNTIF(C358:E375,$B398&amp;" ~*")&gt;0)+(IFERROR(INDEX(Setup!$G$33:$G$40,MATCH(G398,Setup!$B$33:$B$40,0)),0)=1)*(COUNTIF(G358:I375,$B398)+COUNTIF(G358:I375,$B398&amp;" ~*")&gt;0)+(IFERROR(INDEX(Setup!$G$33:$G$40,MATCH(K398,Setup!$B$33:$B$40,0)),0)=1)*(COUNTIF(K358:M375,$B398)+COUNTIF(K358:M375,$B398&amp;" ~*")&gt;0)+(IFERROR(INDEX(Setup!$G$33:$G$40,MATCH(O398,Setup!$B$33:$B$40,0)),0)=1)*(COUNTIF(O358:Q375,$B398)+COUNTIF(O358:Q375,$B398&amp;" ~*")&gt;0)+(IFERROR(INDEX(Setup!$G$33:$G$40,MATCH(S398,Setup!$B$33:$B$40,0)),0)=1)*(COUNTIF(S358:U375,$B398)+COUNTIF(S358:U375,$B398&amp;" ~*")&gt;0)+(IFERROR(INDEX(Setup!$G$33:$G$40,MATCH(W398,Setup!$B$33:$B$40,0)),0)=1)*(COUNTIF(W358:W375,$B398)+COUNTIF(W358:W375,$B398&amp;" ~*")&gt;0)+(IFERROR(INDEX(Setup!$G$33:$G$40,MATCH(Y398,Setup!$B$33:$B$40,0)),0)=1)*(COUNTIF(Y358:Y375,$B398)+COUNTIF(Y358:Y375,$B398&amp;" ~*")&gt;0))</f>
        <v/>
      </c>
    </row>
    <row r="399" ht="15" customHeight="1">
      <c r="A399" t="n">
        <v>8</v>
      </c>
      <c r="B399" s="35">
        <f>IF(Setup!$B$28="","",Setup!$B$28)</f>
        <v/>
      </c>
      <c r="C399" s="98" t="n"/>
      <c r="D399" s="99" t="n"/>
      <c r="E399" s="99" t="n"/>
      <c r="F399" s="100" t="n"/>
      <c r="G399" s="98" t="n"/>
      <c r="H399" s="99" t="n"/>
      <c r="I399" s="99" t="n"/>
      <c r="J399" s="100" t="n"/>
      <c r="K399" s="98" t="n"/>
      <c r="L399" s="99" t="n"/>
      <c r="M399" s="99" t="n"/>
      <c r="N399" s="100" t="n"/>
      <c r="O399" s="98" t="n"/>
      <c r="P399" s="99" t="n"/>
      <c r="Q399" s="99" t="n"/>
      <c r="R399" s="100" t="n"/>
      <c r="S399" s="98" t="n"/>
      <c r="T399" s="99" t="n"/>
      <c r="U399" s="99" t="n"/>
      <c r="V399" s="100" t="n"/>
      <c r="W399" s="98" t="n"/>
      <c r="X399" s="100" t="n"/>
      <c r="Y399" s="98" t="n"/>
      <c r="Z399" s="100" t="n"/>
      <c r="AB399" s="101">
        <f>IF($B399="","",(COUNTIF(C358:E375,$B399)+COUNTIF(C358:E375,$B399&amp;" ~*")&gt;0)+(COUNTIF(G358:I375,$B399)+COUNTIF(G358:I375,$B399&amp;" ~*")&gt;0)+(COUNTIF(K358:M375,$B399)+COUNTIF(K358:M375,$B399&amp;" ~*")&gt;0)+(COUNTIF(O358:Q375,$B399)+COUNTIF(O358:Q375,$B399&amp;" ~*")&gt;0)+(COUNTIF(S358:U375,$B399)+COUNTIF(S358:U375,$B399&amp;" ~*")&gt;0)+(COUNTIF(W358:W375,$B399)+COUNTIF(W358:W375,$B399&amp;" ~*")&gt;0)+(COUNTIF(Y358:Y375,$B399)+COUNTIF(Y358:Y375,$B399&amp;" ~*")&gt;0))</f>
        <v/>
      </c>
      <c r="AC399" s="36">
        <f>IF($B399="","",(IFERROR(INDEX(Setup!$G$33:$G$40,MATCH(C399,Setup!$B$33:$B$40,0)),0)=1)*(COUNTIF(C358:E375,$B399)+COUNTIF(C358:E375,$B399&amp;" ~*")&gt;0)+(IFERROR(INDEX(Setup!$G$33:$G$40,MATCH(G399,Setup!$B$33:$B$40,0)),0)=1)*(COUNTIF(G358:I375,$B399)+COUNTIF(G358:I375,$B399&amp;" ~*")&gt;0)+(IFERROR(INDEX(Setup!$G$33:$G$40,MATCH(K399,Setup!$B$33:$B$40,0)),0)=1)*(COUNTIF(K358:M375,$B399)+COUNTIF(K358:M375,$B399&amp;" ~*")&gt;0)+(IFERROR(INDEX(Setup!$G$33:$G$40,MATCH(O399,Setup!$B$33:$B$40,0)),0)=1)*(COUNTIF(O358:Q375,$B399)+COUNTIF(O358:Q375,$B399&amp;" ~*")&gt;0)+(IFERROR(INDEX(Setup!$G$33:$G$40,MATCH(S399,Setup!$B$33:$B$40,0)),0)=1)*(COUNTIF(S358:U375,$B399)+COUNTIF(S358:U375,$B399&amp;" ~*")&gt;0)+(IFERROR(INDEX(Setup!$G$33:$G$40,MATCH(W399,Setup!$B$33:$B$40,0)),0)=1)*(COUNTIF(W358:W375,$B399)+COUNTIF(W358:W375,$B399&amp;" ~*")&gt;0)+(IFERROR(INDEX(Setup!$G$33:$G$40,MATCH(Y399,Setup!$B$33:$B$40,0)),0)=1)*(COUNTIF(Y358:Y375,$B399)+COUNTIF(Y358:Y375,$B399&amp;" ~*")&gt;0))</f>
        <v/>
      </c>
    </row>
    <row r="400" ht="15" customHeight="1">
      <c r="A400" t="n">
        <v>8</v>
      </c>
      <c r="B400" s="37">
        <f>IF(Setup!$B$29="","",Setup!$B$29)</f>
        <v/>
      </c>
      <c r="C400" s="102" t="n"/>
      <c r="D400" s="103" t="n"/>
      <c r="E400" s="103" t="n"/>
      <c r="F400" s="104" t="n"/>
      <c r="G400" s="102" t="n"/>
      <c r="H400" s="103" t="n"/>
      <c r="I400" s="103" t="n"/>
      <c r="J400" s="104" t="n"/>
      <c r="K400" s="102" t="n"/>
      <c r="L400" s="103" t="n"/>
      <c r="M400" s="103" t="n"/>
      <c r="N400" s="104" t="n"/>
      <c r="O400" s="102" t="n"/>
      <c r="P400" s="103" t="n"/>
      <c r="Q400" s="103" t="n"/>
      <c r="R400" s="104" t="n"/>
      <c r="S400" s="102" t="n"/>
      <c r="T400" s="103" t="n"/>
      <c r="U400" s="103" t="n"/>
      <c r="V400" s="104" t="n"/>
      <c r="W400" s="102" t="n"/>
      <c r="X400" s="104" t="n"/>
      <c r="Y400" s="102" t="n"/>
      <c r="Z400" s="104" t="n"/>
      <c r="AB400" s="105">
        <f>IF($B400="","",(COUNTIF(C358:E375,$B400)+COUNTIF(C358:E375,$B400&amp;" ~*")&gt;0)+(COUNTIF(G358:I375,$B400)+COUNTIF(G358:I375,$B400&amp;" ~*")&gt;0)+(COUNTIF(K358:M375,$B400)+COUNTIF(K358:M375,$B400&amp;" ~*")&gt;0)+(COUNTIF(O358:Q375,$B400)+COUNTIF(O358:Q375,$B400&amp;" ~*")&gt;0)+(COUNTIF(S358:U375,$B400)+COUNTIF(S358:U375,$B400&amp;" ~*")&gt;0)+(COUNTIF(W358:W375,$B400)+COUNTIF(W358:W375,$B400&amp;" ~*")&gt;0)+(COUNTIF(Y358:Y375,$B400)+COUNTIF(Y358:Y375,$B400&amp;" ~*")&gt;0))</f>
        <v/>
      </c>
      <c r="AC400" s="38">
        <f>IF($B400="","",(IFERROR(INDEX(Setup!$G$33:$G$40,MATCH(C400,Setup!$B$33:$B$40,0)),0)=1)*(COUNTIF(C358:E375,$B400)+COUNTIF(C358:E375,$B400&amp;" ~*")&gt;0)+(IFERROR(INDEX(Setup!$G$33:$G$40,MATCH(G400,Setup!$B$33:$B$40,0)),0)=1)*(COUNTIF(G358:I375,$B400)+COUNTIF(G358:I375,$B400&amp;" ~*")&gt;0)+(IFERROR(INDEX(Setup!$G$33:$G$40,MATCH(K400,Setup!$B$33:$B$40,0)),0)=1)*(COUNTIF(K358:M375,$B400)+COUNTIF(K358:M375,$B400&amp;" ~*")&gt;0)+(IFERROR(INDEX(Setup!$G$33:$G$40,MATCH(O400,Setup!$B$33:$B$40,0)),0)=1)*(COUNTIF(O358:Q375,$B400)+COUNTIF(O358:Q375,$B400&amp;" ~*")&gt;0)+(IFERROR(INDEX(Setup!$G$33:$G$40,MATCH(S400,Setup!$B$33:$B$40,0)),0)=1)*(COUNTIF(S358:U375,$B400)+COUNTIF(S358:U375,$B400&amp;" ~*")&gt;0)+(IFERROR(INDEX(Setup!$G$33:$G$40,MATCH(W400,Setup!$B$33:$B$40,0)),0)=1)*(COUNTIF(W358:W375,$B400)+COUNTIF(W358:W375,$B400&amp;" ~*")&gt;0)+(IFERROR(INDEX(Setup!$G$33:$G$40,MATCH(Y400,Setup!$B$33:$B$40,0)),0)=1)*(COUNTIF(Y358:Y375,$B400)+COUNTIF(Y358:Y375,$B400&amp;" ~*")&gt;0))</f>
        <v/>
      </c>
    </row>
    <row r="401" ht="16" customHeight="1">
      <c r="A401" t="n">
        <v>8</v>
      </c>
      <c r="B401" s="106" t="inlineStr">
        <is>
          <t>Available people</t>
        </is>
      </c>
      <c r="C401" s="107">
        <f>COUNTIFS(Setup!$E$6:$E$29,"Y",Setup!$B$6:$B$29,"?*")-SUMPRODUCT(COUNTIF(C377:C400,Setup!$F$33:$F$40))</f>
        <v/>
      </c>
      <c r="D401" s="107" t="n"/>
      <c r="E401" s="107" t="n"/>
      <c r="F401" s="107" t="n"/>
      <c r="G401" s="107">
        <f>COUNTIFS(Setup!$E$6:$E$29,"Y",Setup!$B$6:$B$29,"?*")-SUMPRODUCT(COUNTIF(G377:G400,Setup!$F$33:$F$40))</f>
        <v/>
      </c>
      <c r="H401" s="107" t="n"/>
      <c r="I401" s="107" t="n"/>
      <c r="J401" s="107" t="n"/>
      <c r="K401" s="107">
        <f>COUNTIFS(Setup!$E$6:$E$29,"Y",Setup!$B$6:$B$29,"?*")-SUMPRODUCT(COUNTIF(K377:K400,Setup!$F$33:$F$40))</f>
        <v/>
      </c>
      <c r="L401" s="107" t="n"/>
      <c r="M401" s="107" t="n"/>
      <c r="N401" s="107" t="n"/>
      <c r="O401" s="107">
        <f>COUNTIFS(Setup!$E$6:$E$29,"Y",Setup!$B$6:$B$29,"?*")-SUMPRODUCT(COUNTIF(O377:O400,Setup!$F$33:$F$40))</f>
        <v/>
      </c>
      <c r="P401" s="107" t="n"/>
      <c r="Q401" s="107" t="n"/>
      <c r="R401" s="107" t="n"/>
      <c r="S401" s="107">
        <f>COUNTIFS(Setup!$E$6:$E$29,"Y",Setup!$B$6:$B$29,"?*")-SUMPRODUCT(COUNTIF(S377:S400,Setup!$F$33:$F$40))</f>
        <v/>
      </c>
      <c r="T401" s="107" t="n"/>
      <c r="U401" s="107" t="n"/>
      <c r="V401" s="107" t="n"/>
      <c r="W401" s="107">
        <f>COUNTIFS(Setup!$E$6:$E$29,"Y",Setup!$B$6:$B$29,"?*")-SUMPRODUCT(COUNTIF(W377:W400,Setup!$F$33:$F$40))</f>
        <v/>
      </c>
      <c r="X401" s="107" t="n"/>
      <c r="Y401" s="107">
        <f>COUNTIFS(Setup!$E$6:$E$29,"Y",Setup!$B$6:$B$29,"?*")-SUMPRODUCT(COUNTIF(Y377:Y400,Setup!$F$33:$F$40))</f>
        <v/>
      </c>
      <c r="Z401" s="107" t="n"/>
      <c r="AB401" s="108">
        <f>SUM(AB377:AB400)</f>
        <v/>
      </c>
      <c r="AC401" s="109">
        <f>SUM(AC377:AC400)</f>
        <v/>
      </c>
    </row>
    <row r="402" ht="30" customHeight="1">
      <c r="A402" t="n">
        <v>8</v>
      </c>
      <c r="B402" s="110" t="inlineStr">
        <is>
          <t>Week notes</t>
        </is>
      </c>
      <c r="C402" s="111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112" t="n"/>
      <c r="R402" s="112" t="n"/>
      <c r="S402" s="112" t="n"/>
      <c r="T402" s="112" t="n"/>
      <c r="U402" s="112" t="n"/>
      <c r="V402" s="112" t="n"/>
      <c r="W402" s="112" t="n"/>
      <c r="X402" s="112" t="n"/>
      <c r="Y402" s="112" t="n"/>
      <c r="Z402" s="113" t="n"/>
    </row>
    <row r="403" ht="8" customHeight="1">
      <c r="A403" t="n">
        <v>8</v>
      </c>
    </row>
    <row r="404" ht="8" customHeight="1">
      <c r="A404" t="n">
        <v>8</v>
      </c>
    </row>
    <row r="405" ht="24" customHeight="1">
      <c r="A405" t="n">
        <v>9</v>
      </c>
      <c r="B405" s="73">
        <f>"WEEK 9     "&amp;TEXT(C406,"ddd d mmm")&amp;"  –  "&amp;TEXT(C406+6,"ddd d mmm yyyy")</f>
        <v/>
      </c>
      <c r="S405" s="74">
        <f>IF(TODAY()&lt;C406,"FUTURE",IF(TODAY()&gt;C406+6,"PAST","THIS WEEK"))</f>
        <v/>
      </c>
      <c r="W405" s="75">
        <f>IF(AND(Engine!$B$8=$AC$3,Engine!$B$9=$A405),"◀ ACTIVE WEEK","")</f>
        <v/>
      </c>
      <c r="AA405" s="76" t="n"/>
      <c r="AB405" s="77" t="inlineStr">
        <is>
          <t>◀ Prev</t>
        </is>
      </c>
      <c r="AC405" s="77" t="inlineStr">
        <is>
          <t>Next ▶</t>
        </is>
      </c>
    </row>
    <row r="406" ht="18" customHeight="1">
      <c r="A406" t="n">
        <v>9</v>
      </c>
      <c r="B406" s="78" t="inlineStr">
        <is>
          <t>DUTY</t>
        </is>
      </c>
      <c r="C406" s="79">
        <f>$AC$2+7*($A406-1)</f>
        <v/>
      </c>
      <c r="D406" s="80" t="n"/>
      <c r="E406" s="80" t="n"/>
      <c r="F406" s="81" t="n"/>
      <c r="G406" s="79">
        <f>C406+1</f>
        <v/>
      </c>
      <c r="H406" s="80" t="n"/>
      <c r="I406" s="80" t="n"/>
      <c r="J406" s="81" t="n"/>
      <c r="K406" s="79">
        <f>C406+2</f>
        <v/>
      </c>
      <c r="L406" s="80" t="n"/>
      <c r="M406" s="80" t="n"/>
      <c r="N406" s="81" t="n"/>
      <c r="O406" s="79">
        <f>C406+3</f>
        <v/>
      </c>
      <c r="P406" s="80" t="n"/>
      <c r="Q406" s="80" t="n"/>
      <c r="R406" s="81" t="n"/>
      <c r="S406" s="79">
        <f>C406+4</f>
        <v/>
      </c>
      <c r="T406" s="80" t="n"/>
      <c r="U406" s="80" t="n"/>
      <c r="V406" s="81" t="n"/>
      <c r="W406" s="82">
        <f>C406+5</f>
        <v/>
      </c>
      <c r="X406" s="83" t="n"/>
      <c r="Y406" s="82">
        <f>C406+6</f>
        <v/>
      </c>
      <c r="Z406" s="83" t="n"/>
      <c r="AB406" s="72" t="inlineStr">
        <is>
          <t>Gaps</t>
        </is>
      </c>
      <c r="AC406" s="72" t="inlineStr">
        <is>
          <t>Cover</t>
        </is>
      </c>
    </row>
    <row r="407" ht="14" customHeight="1">
      <c r="A407" t="n">
        <v>9</v>
      </c>
      <c r="B407" s="84" t="inlineStr">
        <is>
          <t>(from Setup)</t>
        </is>
      </c>
      <c r="C407" s="85" t="inlineStr">
        <is>
          <t>1</t>
        </is>
      </c>
      <c r="D407" s="85" t="inlineStr">
        <is>
          <t>2</t>
        </is>
      </c>
      <c r="E407" s="85" t="inlineStr">
        <is>
          <t>3</t>
        </is>
      </c>
      <c r="F407" s="85" t="inlineStr">
        <is>
          <t>Notes</t>
        </is>
      </c>
      <c r="G407" s="85" t="inlineStr">
        <is>
          <t>1</t>
        </is>
      </c>
      <c r="H407" s="85" t="inlineStr">
        <is>
          <t>2</t>
        </is>
      </c>
      <c r="I407" s="85" t="inlineStr">
        <is>
          <t>3</t>
        </is>
      </c>
      <c r="J407" s="85" t="inlineStr">
        <is>
          <t>Notes</t>
        </is>
      </c>
      <c r="K407" s="85" t="inlineStr">
        <is>
          <t>1</t>
        </is>
      </c>
      <c r="L407" s="85" t="inlineStr">
        <is>
          <t>2</t>
        </is>
      </c>
      <c r="M407" s="85" t="inlineStr">
        <is>
          <t>3</t>
        </is>
      </c>
      <c r="N407" s="85" t="inlineStr">
        <is>
          <t>Notes</t>
        </is>
      </c>
      <c r="O407" s="85" t="inlineStr">
        <is>
          <t>1</t>
        </is>
      </c>
      <c r="P407" s="85" t="inlineStr">
        <is>
          <t>2</t>
        </is>
      </c>
      <c r="Q407" s="85" t="inlineStr">
        <is>
          <t>3</t>
        </is>
      </c>
      <c r="R407" s="85" t="inlineStr">
        <is>
          <t>Notes</t>
        </is>
      </c>
      <c r="S407" s="85" t="inlineStr">
        <is>
          <t>1</t>
        </is>
      </c>
      <c r="T407" s="85" t="inlineStr">
        <is>
          <t>2</t>
        </is>
      </c>
      <c r="U407" s="85" t="inlineStr">
        <is>
          <t>3</t>
        </is>
      </c>
      <c r="V407" s="85" t="inlineStr">
        <is>
          <t>Notes</t>
        </is>
      </c>
      <c r="W407" s="85" t="inlineStr">
        <is>
          <t>Cover</t>
        </is>
      </c>
      <c r="X407" s="85" t="inlineStr">
        <is>
          <t>Notes</t>
        </is>
      </c>
      <c r="Y407" s="85" t="inlineStr">
        <is>
          <t>Cover</t>
        </is>
      </c>
      <c r="Z407" s="85" t="inlineStr">
        <is>
          <t>Notes</t>
        </is>
      </c>
      <c r="AB407" s="86" t="inlineStr">
        <is>
          <t>weekdays short</t>
        </is>
      </c>
      <c r="AC407" s="87" t="inlineStr"/>
    </row>
    <row r="408" ht="17" customHeight="1">
      <c r="A408" t="n">
        <v>9</v>
      </c>
      <c r="B408" s="24">
        <f>IF(Setup!$K$6="","",Setup!$K$6)</f>
        <v/>
      </c>
      <c r="C408" s="88" t="n"/>
      <c r="D408" s="88" t="n"/>
      <c r="E408" s="88" t="n"/>
      <c r="F408" s="89" t="n"/>
      <c r="G408" s="88" t="n"/>
      <c r="H408" s="88" t="n"/>
      <c r="I408" s="88" t="n"/>
      <c r="J408" s="89" t="n"/>
      <c r="K408" s="88" t="n"/>
      <c r="L408" s="88" t="n"/>
      <c r="M408" s="88" t="n"/>
      <c r="N408" s="89" t="n"/>
      <c r="O408" s="88" t="n"/>
      <c r="P408" s="88" t="n"/>
      <c r="Q408" s="88" t="n"/>
      <c r="R408" s="89" t="n"/>
      <c r="S408" s="88" t="n"/>
      <c r="T408" s="88" t="n"/>
      <c r="U408" s="88" t="n"/>
      <c r="V408" s="89" t="n"/>
      <c r="W408" s="88" t="n"/>
      <c r="X408" s="89" t="n"/>
      <c r="Y408" s="88" t="n"/>
      <c r="Z408" s="89" t="n"/>
      <c r="AB408" s="25">
        <f>IF($B408="","",(COUNTIF(C408:E408,"?*")&lt;N(INDEX(Setup!$L$6:$L$23,1)))+(COUNTIF(G408:I408,"?*")&lt;N(INDEX(Setup!$L$6:$L$23,1)))+(COUNTIF(K408:M408,"?*")&lt;N(INDEX(Setup!$L$6:$L$23,1)))+(COUNTIF(O408:Q408,"?*")&lt;N(INDEX(Setup!$L$6:$L$23,1)))+(COUNTIF(S408:U408,"?*")&lt;N(INDEX(Setup!$L$6:$L$23,1)))+((W408="")*(INDEX(Setup!$M$6:$M$23,1)="Y"))+((Y408="")*(INDEX(Setup!$M$6:$M$23,1)="Y")))</f>
        <v/>
      </c>
      <c r="AC408" s="90">
        <f>IF($B408="","",IF(AB408=0,"✓ covered","⚠ "&amp;AB408&amp;IF(AB408=1," gap"," gaps")))</f>
        <v/>
      </c>
    </row>
    <row r="409" ht="17" customHeight="1">
      <c r="A409" t="n">
        <v>9</v>
      </c>
      <c r="B409" s="29">
        <f>IF(Setup!$K$7="","",Setup!$K$7)</f>
        <v/>
      </c>
      <c r="C409" s="88" t="n"/>
      <c r="D409" s="88" t="n"/>
      <c r="E409" s="88" t="n"/>
      <c r="F409" s="89" t="n"/>
      <c r="G409" s="88" t="n"/>
      <c r="H409" s="88" t="n"/>
      <c r="I409" s="88" t="n"/>
      <c r="J409" s="89" t="n"/>
      <c r="K409" s="88" t="n"/>
      <c r="L409" s="88" t="n"/>
      <c r="M409" s="88" t="n"/>
      <c r="N409" s="89" t="n"/>
      <c r="O409" s="88" t="n"/>
      <c r="P409" s="88" t="n"/>
      <c r="Q409" s="88" t="n"/>
      <c r="R409" s="89" t="n"/>
      <c r="S409" s="88" t="n"/>
      <c r="T409" s="88" t="n"/>
      <c r="U409" s="88" t="n"/>
      <c r="V409" s="89" t="n"/>
      <c r="W409" s="88" t="n"/>
      <c r="X409" s="89" t="n"/>
      <c r="Y409" s="88" t="n"/>
      <c r="Z409" s="89" t="n"/>
      <c r="AB409" s="30">
        <f>IF($B409="","",(COUNTIF(C409:E409,"?*")&lt;N(INDEX(Setup!$L$6:$L$23,2)))+(COUNTIF(G409:I409,"?*")&lt;N(INDEX(Setup!$L$6:$L$23,2)))+(COUNTIF(K409:M409,"?*")&lt;N(INDEX(Setup!$L$6:$L$23,2)))+(COUNTIF(O409:Q409,"?*")&lt;N(INDEX(Setup!$L$6:$L$23,2)))+(COUNTIF(S409:U409,"?*")&lt;N(INDEX(Setup!$L$6:$L$23,2)))+((W409="")*(INDEX(Setup!$M$6:$M$23,2)="Y"))+((Y409="")*(INDEX(Setup!$M$6:$M$23,2)="Y")))</f>
        <v/>
      </c>
      <c r="AC409" s="91">
        <f>IF($B409="","",IF(AB409=0,"✓ covered","⚠ "&amp;AB409&amp;IF(AB409=1," gap"," gaps")))</f>
        <v/>
      </c>
    </row>
    <row r="410" ht="17" customHeight="1">
      <c r="A410" t="n">
        <v>9</v>
      </c>
      <c r="B410" s="24">
        <f>IF(Setup!$K$8="","",Setup!$K$8)</f>
        <v/>
      </c>
      <c r="C410" s="88" t="n"/>
      <c r="D410" s="88" t="n"/>
      <c r="E410" s="88" t="n"/>
      <c r="F410" s="89" t="n"/>
      <c r="G410" s="88" t="n"/>
      <c r="H410" s="88" t="n"/>
      <c r="I410" s="88" t="n"/>
      <c r="J410" s="89" t="n"/>
      <c r="K410" s="88" t="n"/>
      <c r="L410" s="88" t="n"/>
      <c r="M410" s="88" t="n"/>
      <c r="N410" s="89" t="n"/>
      <c r="O410" s="88" t="n"/>
      <c r="P410" s="88" t="n"/>
      <c r="Q410" s="88" t="n"/>
      <c r="R410" s="89" t="n"/>
      <c r="S410" s="88" t="n"/>
      <c r="T410" s="88" t="n"/>
      <c r="U410" s="88" t="n"/>
      <c r="V410" s="89" t="n"/>
      <c r="W410" s="88" t="n"/>
      <c r="X410" s="89" t="n"/>
      <c r="Y410" s="88" t="n"/>
      <c r="Z410" s="89" t="n"/>
      <c r="AB410" s="25">
        <f>IF($B410="","",(COUNTIF(C410:E410,"?*")&lt;N(INDEX(Setup!$L$6:$L$23,3)))+(COUNTIF(G410:I410,"?*")&lt;N(INDEX(Setup!$L$6:$L$23,3)))+(COUNTIF(K410:M410,"?*")&lt;N(INDEX(Setup!$L$6:$L$23,3)))+(COUNTIF(O410:Q410,"?*")&lt;N(INDEX(Setup!$L$6:$L$23,3)))+(COUNTIF(S410:U410,"?*")&lt;N(INDEX(Setup!$L$6:$L$23,3)))+((W410="")*(INDEX(Setup!$M$6:$M$23,3)="Y"))+((Y410="")*(INDEX(Setup!$M$6:$M$23,3)="Y")))</f>
        <v/>
      </c>
      <c r="AC410" s="90">
        <f>IF($B410="","",IF(AB410=0,"✓ covered","⚠ "&amp;AB410&amp;IF(AB410=1," gap"," gaps")))</f>
        <v/>
      </c>
    </row>
    <row r="411" ht="17" customHeight="1">
      <c r="A411" t="n">
        <v>9</v>
      </c>
      <c r="B411" s="29">
        <f>IF(Setup!$K$9="","",Setup!$K$9)</f>
        <v/>
      </c>
      <c r="C411" s="88" t="n"/>
      <c r="D411" s="88" t="n"/>
      <c r="E411" s="88" t="n"/>
      <c r="F411" s="89" t="n"/>
      <c r="G411" s="88" t="n"/>
      <c r="H411" s="88" t="n"/>
      <c r="I411" s="88" t="n"/>
      <c r="J411" s="89" t="n"/>
      <c r="K411" s="88" t="n"/>
      <c r="L411" s="88" t="n"/>
      <c r="M411" s="88" t="n"/>
      <c r="N411" s="89" t="n"/>
      <c r="O411" s="88" t="n"/>
      <c r="P411" s="88" t="n"/>
      <c r="Q411" s="88" t="n"/>
      <c r="R411" s="89" t="n"/>
      <c r="S411" s="88" t="n"/>
      <c r="T411" s="88" t="n"/>
      <c r="U411" s="88" t="n"/>
      <c r="V411" s="89" t="n"/>
      <c r="W411" s="88" t="n"/>
      <c r="X411" s="89" t="n"/>
      <c r="Y411" s="88" t="n"/>
      <c r="Z411" s="89" t="n"/>
      <c r="AB411" s="30">
        <f>IF($B411="","",(COUNTIF(C411:E411,"?*")&lt;N(INDEX(Setup!$L$6:$L$23,4)))+(COUNTIF(G411:I411,"?*")&lt;N(INDEX(Setup!$L$6:$L$23,4)))+(COUNTIF(K411:M411,"?*")&lt;N(INDEX(Setup!$L$6:$L$23,4)))+(COUNTIF(O411:Q411,"?*")&lt;N(INDEX(Setup!$L$6:$L$23,4)))+(COUNTIF(S411:U411,"?*")&lt;N(INDEX(Setup!$L$6:$L$23,4)))+((W411="")*(INDEX(Setup!$M$6:$M$23,4)="Y"))+((Y411="")*(INDEX(Setup!$M$6:$M$23,4)="Y")))</f>
        <v/>
      </c>
      <c r="AC411" s="91">
        <f>IF($B411="","",IF(AB411=0,"✓ covered","⚠ "&amp;AB411&amp;IF(AB411=1," gap"," gaps")))</f>
        <v/>
      </c>
    </row>
    <row r="412" ht="17" customHeight="1">
      <c r="A412" t="n">
        <v>9</v>
      </c>
      <c r="B412" s="24">
        <f>IF(Setup!$K$10="","",Setup!$K$10)</f>
        <v/>
      </c>
      <c r="C412" s="88" t="n"/>
      <c r="D412" s="88" t="n"/>
      <c r="E412" s="88" t="n"/>
      <c r="F412" s="89" t="n"/>
      <c r="G412" s="88" t="n"/>
      <c r="H412" s="88" t="n"/>
      <c r="I412" s="88" t="n"/>
      <c r="J412" s="89" t="n"/>
      <c r="K412" s="88" t="n"/>
      <c r="L412" s="88" t="n"/>
      <c r="M412" s="88" t="n"/>
      <c r="N412" s="89" t="n"/>
      <c r="O412" s="88" t="n"/>
      <c r="P412" s="88" t="n"/>
      <c r="Q412" s="88" t="n"/>
      <c r="R412" s="89" t="n"/>
      <c r="S412" s="88" t="n"/>
      <c r="T412" s="88" t="n"/>
      <c r="U412" s="88" t="n"/>
      <c r="V412" s="89" t="n"/>
      <c r="W412" s="88" t="n"/>
      <c r="X412" s="89" t="n"/>
      <c r="Y412" s="88" t="n"/>
      <c r="Z412" s="89" t="n"/>
      <c r="AB412" s="25">
        <f>IF($B412="","",(COUNTIF(C412:E412,"?*")&lt;N(INDEX(Setup!$L$6:$L$23,5)))+(COUNTIF(G412:I412,"?*")&lt;N(INDEX(Setup!$L$6:$L$23,5)))+(COUNTIF(K412:M412,"?*")&lt;N(INDEX(Setup!$L$6:$L$23,5)))+(COUNTIF(O412:Q412,"?*")&lt;N(INDEX(Setup!$L$6:$L$23,5)))+(COUNTIF(S412:U412,"?*")&lt;N(INDEX(Setup!$L$6:$L$23,5)))+((W412="")*(INDEX(Setup!$M$6:$M$23,5)="Y"))+((Y412="")*(INDEX(Setup!$M$6:$M$23,5)="Y")))</f>
        <v/>
      </c>
      <c r="AC412" s="90">
        <f>IF($B412="","",IF(AB412=0,"✓ covered","⚠ "&amp;AB412&amp;IF(AB412=1," gap"," gaps")))</f>
        <v/>
      </c>
    </row>
    <row r="413" ht="17" customHeight="1">
      <c r="A413" t="n">
        <v>9</v>
      </c>
      <c r="B413" s="29">
        <f>IF(Setup!$K$11="","",Setup!$K$11)</f>
        <v/>
      </c>
      <c r="C413" s="88" t="n"/>
      <c r="D413" s="88" t="n"/>
      <c r="E413" s="88" t="n"/>
      <c r="F413" s="89" t="n"/>
      <c r="G413" s="88" t="n"/>
      <c r="H413" s="88" t="n"/>
      <c r="I413" s="88" t="n"/>
      <c r="J413" s="89" t="n"/>
      <c r="K413" s="88" t="n"/>
      <c r="L413" s="88" t="n"/>
      <c r="M413" s="88" t="n"/>
      <c r="N413" s="89" t="n"/>
      <c r="O413" s="88" t="n"/>
      <c r="P413" s="88" t="n"/>
      <c r="Q413" s="88" t="n"/>
      <c r="R413" s="89" t="n"/>
      <c r="S413" s="88" t="n"/>
      <c r="T413" s="88" t="n"/>
      <c r="U413" s="88" t="n"/>
      <c r="V413" s="89" t="n"/>
      <c r="W413" s="88" t="n"/>
      <c r="X413" s="89" t="n"/>
      <c r="Y413" s="88" t="n"/>
      <c r="Z413" s="89" t="n"/>
      <c r="AB413" s="30">
        <f>IF($B413="","",(COUNTIF(C413:E413,"?*")&lt;N(INDEX(Setup!$L$6:$L$23,6)))+(COUNTIF(G413:I413,"?*")&lt;N(INDEX(Setup!$L$6:$L$23,6)))+(COUNTIF(K413:M413,"?*")&lt;N(INDEX(Setup!$L$6:$L$23,6)))+(COUNTIF(O413:Q413,"?*")&lt;N(INDEX(Setup!$L$6:$L$23,6)))+(COUNTIF(S413:U413,"?*")&lt;N(INDEX(Setup!$L$6:$L$23,6)))+((W413="")*(INDEX(Setup!$M$6:$M$23,6)="Y"))+((Y413="")*(INDEX(Setup!$M$6:$M$23,6)="Y")))</f>
        <v/>
      </c>
      <c r="AC413" s="91">
        <f>IF($B413="","",IF(AB413=0,"✓ covered","⚠ "&amp;AB413&amp;IF(AB413=1," gap"," gaps")))</f>
        <v/>
      </c>
    </row>
    <row r="414" ht="17" customHeight="1">
      <c r="A414" t="n">
        <v>9</v>
      </c>
      <c r="B414" s="24">
        <f>IF(Setup!$K$12="","",Setup!$K$12)</f>
        <v/>
      </c>
      <c r="C414" s="88" t="n"/>
      <c r="D414" s="88" t="n"/>
      <c r="E414" s="88" t="n"/>
      <c r="F414" s="89" t="n"/>
      <c r="G414" s="88" t="n"/>
      <c r="H414" s="88" t="n"/>
      <c r="I414" s="88" t="n"/>
      <c r="J414" s="89" t="n"/>
      <c r="K414" s="88" t="n"/>
      <c r="L414" s="88" t="n"/>
      <c r="M414" s="88" t="n"/>
      <c r="N414" s="89" t="n"/>
      <c r="O414" s="88" t="n"/>
      <c r="P414" s="88" t="n"/>
      <c r="Q414" s="88" t="n"/>
      <c r="R414" s="89" t="n"/>
      <c r="S414" s="88" t="n"/>
      <c r="T414" s="88" t="n"/>
      <c r="U414" s="88" t="n"/>
      <c r="V414" s="89" t="n"/>
      <c r="W414" s="88" t="n"/>
      <c r="X414" s="89" t="n"/>
      <c r="Y414" s="88" t="n"/>
      <c r="Z414" s="89" t="n"/>
      <c r="AB414" s="25">
        <f>IF($B414="","",(COUNTIF(C414:E414,"?*")&lt;N(INDEX(Setup!$L$6:$L$23,7)))+(COUNTIF(G414:I414,"?*")&lt;N(INDEX(Setup!$L$6:$L$23,7)))+(COUNTIF(K414:M414,"?*")&lt;N(INDEX(Setup!$L$6:$L$23,7)))+(COUNTIF(O414:Q414,"?*")&lt;N(INDEX(Setup!$L$6:$L$23,7)))+(COUNTIF(S414:U414,"?*")&lt;N(INDEX(Setup!$L$6:$L$23,7)))+((W414="")*(INDEX(Setup!$M$6:$M$23,7)="Y"))+((Y414="")*(INDEX(Setup!$M$6:$M$23,7)="Y")))</f>
        <v/>
      </c>
      <c r="AC414" s="90">
        <f>IF($B414="","",IF(AB414=0,"✓ covered","⚠ "&amp;AB414&amp;IF(AB414=1," gap"," gaps")))</f>
        <v/>
      </c>
    </row>
    <row r="415" ht="17" customHeight="1">
      <c r="A415" t="n">
        <v>9</v>
      </c>
      <c r="B415" s="29">
        <f>IF(Setup!$K$13="","",Setup!$K$13)</f>
        <v/>
      </c>
      <c r="C415" s="88" t="n"/>
      <c r="D415" s="88" t="n"/>
      <c r="E415" s="88" t="n"/>
      <c r="F415" s="89" t="n"/>
      <c r="G415" s="88" t="n"/>
      <c r="H415" s="88" t="n"/>
      <c r="I415" s="88" t="n"/>
      <c r="J415" s="89" t="n"/>
      <c r="K415" s="88" t="n"/>
      <c r="L415" s="88" t="n"/>
      <c r="M415" s="88" t="n"/>
      <c r="N415" s="89" t="n"/>
      <c r="O415" s="88" t="n"/>
      <c r="P415" s="88" t="n"/>
      <c r="Q415" s="88" t="n"/>
      <c r="R415" s="89" t="n"/>
      <c r="S415" s="88" t="n"/>
      <c r="T415" s="88" t="n"/>
      <c r="U415" s="88" t="n"/>
      <c r="V415" s="89" t="n"/>
      <c r="W415" s="88" t="n"/>
      <c r="X415" s="89" t="n"/>
      <c r="Y415" s="88" t="n"/>
      <c r="Z415" s="89" t="n"/>
      <c r="AB415" s="30">
        <f>IF($B415="","",(COUNTIF(C415:E415,"?*")&lt;N(INDEX(Setup!$L$6:$L$23,8)))+(COUNTIF(G415:I415,"?*")&lt;N(INDEX(Setup!$L$6:$L$23,8)))+(COUNTIF(K415:M415,"?*")&lt;N(INDEX(Setup!$L$6:$L$23,8)))+(COUNTIF(O415:Q415,"?*")&lt;N(INDEX(Setup!$L$6:$L$23,8)))+(COUNTIF(S415:U415,"?*")&lt;N(INDEX(Setup!$L$6:$L$23,8)))+((W415="")*(INDEX(Setup!$M$6:$M$23,8)="Y"))+((Y415="")*(INDEX(Setup!$M$6:$M$23,8)="Y")))</f>
        <v/>
      </c>
      <c r="AC415" s="91">
        <f>IF($B415="","",IF(AB415=0,"✓ covered","⚠ "&amp;AB415&amp;IF(AB415=1," gap"," gaps")))</f>
        <v/>
      </c>
    </row>
    <row r="416" ht="17" customHeight="1">
      <c r="A416" t="n">
        <v>9</v>
      </c>
      <c r="B416" s="24">
        <f>IF(Setup!$K$14="","",Setup!$K$14)</f>
        <v/>
      </c>
      <c r="C416" s="88" t="n"/>
      <c r="D416" s="88" t="n"/>
      <c r="E416" s="88" t="n"/>
      <c r="F416" s="89" t="n"/>
      <c r="G416" s="88" t="n"/>
      <c r="H416" s="88" t="n"/>
      <c r="I416" s="88" t="n"/>
      <c r="J416" s="89" t="n"/>
      <c r="K416" s="88" t="n"/>
      <c r="L416" s="88" t="n"/>
      <c r="M416" s="88" t="n"/>
      <c r="N416" s="89" t="n"/>
      <c r="O416" s="88" t="n"/>
      <c r="P416" s="88" t="n"/>
      <c r="Q416" s="88" t="n"/>
      <c r="R416" s="89" t="n"/>
      <c r="S416" s="88" t="n"/>
      <c r="T416" s="88" t="n"/>
      <c r="U416" s="88" t="n"/>
      <c r="V416" s="89" t="n"/>
      <c r="W416" s="88" t="n"/>
      <c r="X416" s="89" t="n"/>
      <c r="Y416" s="88" t="n"/>
      <c r="Z416" s="89" t="n"/>
      <c r="AB416" s="25">
        <f>IF($B416="","",(COUNTIF(C416:E416,"?*")&lt;N(INDEX(Setup!$L$6:$L$23,9)))+(COUNTIF(G416:I416,"?*")&lt;N(INDEX(Setup!$L$6:$L$23,9)))+(COUNTIF(K416:M416,"?*")&lt;N(INDEX(Setup!$L$6:$L$23,9)))+(COUNTIF(O416:Q416,"?*")&lt;N(INDEX(Setup!$L$6:$L$23,9)))+(COUNTIF(S416:U416,"?*")&lt;N(INDEX(Setup!$L$6:$L$23,9)))+((W416="")*(INDEX(Setup!$M$6:$M$23,9)="Y"))+((Y416="")*(INDEX(Setup!$M$6:$M$23,9)="Y")))</f>
        <v/>
      </c>
      <c r="AC416" s="90">
        <f>IF($B416="","",IF(AB416=0,"✓ covered","⚠ "&amp;AB416&amp;IF(AB416=1," gap"," gaps")))</f>
        <v/>
      </c>
    </row>
    <row r="417" ht="17" customHeight="1">
      <c r="A417" t="n">
        <v>9</v>
      </c>
      <c r="B417" s="29">
        <f>IF(Setup!$K$15="","",Setup!$K$15)</f>
        <v/>
      </c>
      <c r="C417" s="88" t="n"/>
      <c r="D417" s="88" t="n"/>
      <c r="E417" s="88" t="n"/>
      <c r="F417" s="89" t="n"/>
      <c r="G417" s="88" t="n"/>
      <c r="H417" s="88" t="n"/>
      <c r="I417" s="88" t="n"/>
      <c r="J417" s="89" t="n"/>
      <c r="K417" s="88" t="n"/>
      <c r="L417" s="88" t="n"/>
      <c r="M417" s="88" t="n"/>
      <c r="N417" s="89" t="n"/>
      <c r="O417" s="88" t="n"/>
      <c r="P417" s="88" t="n"/>
      <c r="Q417" s="88" t="n"/>
      <c r="R417" s="89" t="n"/>
      <c r="S417" s="88" t="n"/>
      <c r="T417" s="88" t="n"/>
      <c r="U417" s="88" t="n"/>
      <c r="V417" s="89" t="n"/>
      <c r="W417" s="88" t="n"/>
      <c r="X417" s="89" t="n"/>
      <c r="Y417" s="88" t="n"/>
      <c r="Z417" s="89" t="n"/>
      <c r="AB417" s="30">
        <f>IF($B417="","",(COUNTIF(C417:E417,"?*")&lt;N(INDEX(Setup!$L$6:$L$23,10)))+(COUNTIF(G417:I417,"?*")&lt;N(INDEX(Setup!$L$6:$L$23,10)))+(COUNTIF(K417:M417,"?*")&lt;N(INDEX(Setup!$L$6:$L$23,10)))+(COUNTIF(O417:Q417,"?*")&lt;N(INDEX(Setup!$L$6:$L$23,10)))+(COUNTIF(S417:U417,"?*")&lt;N(INDEX(Setup!$L$6:$L$23,10)))+((W417="")*(INDEX(Setup!$M$6:$M$23,10)="Y"))+((Y417="")*(INDEX(Setup!$M$6:$M$23,10)="Y")))</f>
        <v/>
      </c>
      <c r="AC417" s="91">
        <f>IF($B417="","",IF(AB417=0,"✓ covered","⚠ "&amp;AB417&amp;IF(AB417=1," gap"," gaps")))</f>
        <v/>
      </c>
    </row>
    <row r="418" ht="17" customHeight="1">
      <c r="A418" t="n">
        <v>9</v>
      </c>
      <c r="B418" s="24">
        <f>IF(Setup!$K$16="","",Setup!$K$16)</f>
        <v/>
      </c>
      <c r="C418" s="88" t="n"/>
      <c r="D418" s="88" t="n"/>
      <c r="E418" s="88" t="n"/>
      <c r="F418" s="89" t="n"/>
      <c r="G418" s="88" t="n"/>
      <c r="H418" s="88" t="n"/>
      <c r="I418" s="88" t="n"/>
      <c r="J418" s="89" t="n"/>
      <c r="K418" s="88" t="n"/>
      <c r="L418" s="88" t="n"/>
      <c r="M418" s="88" t="n"/>
      <c r="N418" s="89" t="n"/>
      <c r="O418" s="88" t="n"/>
      <c r="P418" s="88" t="n"/>
      <c r="Q418" s="88" t="n"/>
      <c r="R418" s="89" t="n"/>
      <c r="S418" s="88" t="n"/>
      <c r="T418" s="88" t="n"/>
      <c r="U418" s="88" t="n"/>
      <c r="V418" s="89" t="n"/>
      <c r="W418" s="88" t="n"/>
      <c r="X418" s="89" t="n"/>
      <c r="Y418" s="88" t="n"/>
      <c r="Z418" s="89" t="n"/>
      <c r="AB418" s="25">
        <f>IF($B418="","",(COUNTIF(C418:E418,"?*")&lt;N(INDEX(Setup!$L$6:$L$23,11)))+(COUNTIF(G418:I418,"?*")&lt;N(INDEX(Setup!$L$6:$L$23,11)))+(COUNTIF(K418:M418,"?*")&lt;N(INDEX(Setup!$L$6:$L$23,11)))+(COUNTIF(O418:Q418,"?*")&lt;N(INDEX(Setup!$L$6:$L$23,11)))+(COUNTIF(S418:U418,"?*")&lt;N(INDEX(Setup!$L$6:$L$23,11)))+((W418="")*(INDEX(Setup!$M$6:$M$23,11)="Y"))+((Y418="")*(INDEX(Setup!$M$6:$M$23,11)="Y")))</f>
        <v/>
      </c>
      <c r="AC418" s="90">
        <f>IF($B418="","",IF(AB418=0,"✓ covered","⚠ "&amp;AB418&amp;IF(AB418=1," gap"," gaps")))</f>
        <v/>
      </c>
    </row>
    <row r="419" ht="17" customHeight="1">
      <c r="A419" t="n">
        <v>9</v>
      </c>
      <c r="B419" s="29">
        <f>IF(Setup!$K$17="","",Setup!$K$17)</f>
        <v/>
      </c>
      <c r="C419" s="88" t="n"/>
      <c r="D419" s="88" t="n"/>
      <c r="E419" s="88" t="n"/>
      <c r="F419" s="89" t="n"/>
      <c r="G419" s="88" t="n"/>
      <c r="H419" s="88" t="n"/>
      <c r="I419" s="88" t="n"/>
      <c r="J419" s="89" t="n"/>
      <c r="K419" s="88" t="n"/>
      <c r="L419" s="88" t="n"/>
      <c r="M419" s="88" t="n"/>
      <c r="N419" s="89" t="n"/>
      <c r="O419" s="88" t="n"/>
      <c r="P419" s="88" t="n"/>
      <c r="Q419" s="88" t="n"/>
      <c r="R419" s="89" t="n"/>
      <c r="S419" s="88" t="n"/>
      <c r="T419" s="88" t="n"/>
      <c r="U419" s="88" t="n"/>
      <c r="V419" s="89" t="n"/>
      <c r="W419" s="88" t="n"/>
      <c r="X419" s="89" t="n"/>
      <c r="Y419" s="88" t="n"/>
      <c r="Z419" s="89" t="n"/>
      <c r="AB419" s="30">
        <f>IF($B419="","",(COUNTIF(C419:E419,"?*")&lt;N(INDEX(Setup!$L$6:$L$23,12)))+(COUNTIF(G419:I419,"?*")&lt;N(INDEX(Setup!$L$6:$L$23,12)))+(COUNTIF(K419:M419,"?*")&lt;N(INDEX(Setup!$L$6:$L$23,12)))+(COUNTIF(O419:Q419,"?*")&lt;N(INDEX(Setup!$L$6:$L$23,12)))+(COUNTIF(S419:U419,"?*")&lt;N(INDEX(Setup!$L$6:$L$23,12)))+((W419="")*(INDEX(Setup!$M$6:$M$23,12)="Y"))+((Y419="")*(INDEX(Setup!$M$6:$M$23,12)="Y")))</f>
        <v/>
      </c>
      <c r="AC419" s="91">
        <f>IF($B419="","",IF(AB419=0,"✓ covered","⚠ "&amp;AB419&amp;IF(AB419=1," gap"," gaps")))</f>
        <v/>
      </c>
    </row>
    <row r="420" ht="17" customHeight="1">
      <c r="A420" t="n">
        <v>9</v>
      </c>
      <c r="B420" s="24">
        <f>IF(Setup!$K$18="","",Setup!$K$18)</f>
        <v/>
      </c>
      <c r="C420" s="88" t="n"/>
      <c r="D420" s="88" t="n"/>
      <c r="E420" s="88" t="n"/>
      <c r="F420" s="89" t="n"/>
      <c r="G420" s="88" t="n"/>
      <c r="H420" s="88" t="n"/>
      <c r="I420" s="88" t="n"/>
      <c r="J420" s="89" t="n"/>
      <c r="K420" s="88" t="n"/>
      <c r="L420" s="88" t="n"/>
      <c r="M420" s="88" t="n"/>
      <c r="N420" s="89" t="n"/>
      <c r="O420" s="88" t="n"/>
      <c r="P420" s="88" t="n"/>
      <c r="Q420" s="88" t="n"/>
      <c r="R420" s="89" t="n"/>
      <c r="S420" s="88" t="n"/>
      <c r="T420" s="88" t="n"/>
      <c r="U420" s="88" t="n"/>
      <c r="V420" s="89" t="n"/>
      <c r="W420" s="88" t="n"/>
      <c r="X420" s="89" t="n"/>
      <c r="Y420" s="88" t="n"/>
      <c r="Z420" s="89" t="n"/>
      <c r="AB420" s="25">
        <f>IF($B420="","",(COUNTIF(C420:E420,"?*")&lt;N(INDEX(Setup!$L$6:$L$23,13)))+(COUNTIF(G420:I420,"?*")&lt;N(INDEX(Setup!$L$6:$L$23,13)))+(COUNTIF(K420:M420,"?*")&lt;N(INDEX(Setup!$L$6:$L$23,13)))+(COUNTIF(O420:Q420,"?*")&lt;N(INDEX(Setup!$L$6:$L$23,13)))+(COUNTIF(S420:U420,"?*")&lt;N(INDEX(Setup!$L$6:$L$23,13)))+((W420="")*(INDEX(Setup!$M$6:$M$23,13)="Y"))+((Y420="")*(INDEX(Setup!$M$6:$M$23,13)="Y")))</f>
        <v/>
      </c>
      <c r="AC420" s="90">
        <f>IF($B420="","",IF(AB420=0,"✓ covered","⚠ "&amp;AB420&amp;IF(AB420=1," gap"," gaps")))</f>
        <v/>
      </c>
    </row>
    <row r="421" ht="17" customHeight="1">
      <c r="A421" t="n">
        <v>9</v>
      </c>
      <c r="B421" s="29">
        <f>IF(Setup!$K$19="","",Setup!$K$19)</f>
        <v/>
      </c>
      <c r="C421" s="88" t="n"/>
      <c r="D421" s="88" t="n"/>
      <c r="E421" s="88" t="n"/>
      <c r="F421" s="89" t="n"/>
      <c r="G421" s="88" t="n"/>
      <c r="H421" s="88" t="n"/>
      <c r="I421" s="88" t="n"/>
      <c r="J421" s="89" t="n"/>
      <c r="K421" s="88" t="n"/>
      <c r="L421" s="88" t="n"/>
      <c r="M421" s="88" t="n"/>
      <c r="N421" s="89" t="n"/>
      <c r="O421" s="88" t="n"/>
      <c r="P421" s="88" t="n"/>
      <c r="Q421" s="88" t="n"/>
      <c r="R421" s="89" t="n"/>
      <c r="S421" s="88" t="n"/>
      <c r="T421" s="88" t="n"/>
      <c r="U421" s="88" t="n"/>
      <c r="V421" s="89" t="n"/>
      <c r="W421" s="88" t="n"/>
      <c r="X421" s="89" t="n"/>
      <c r="Y421" s="88" t="n"/>
      <c r="Z421" s="89" t="n"/>
      <c r="AB421" s="30">
        <f>IF($B421="","",(COUNTIF(C421:E421,"?*")&lt;N(INDEX(Setup!$L$6:$L$23,14)))+(COUNTIF(G421:I421,"?*")&lt;N(INDEX(Setup!$L$6:$L$23,14)))+(COUNTIF(K421:M421,"?*")&lt;N(INDEX(Setup!$L$6:$L$23,14)))+(COUNTIF(O421:Q421,"?*")&lt;N(INDEX(Setup!$L$6:$L$23,14)))+(COUNTIF(S421:U421,"?*")&lt;N(INDEX(Setup!$L$6:$L$23,14)))+((W421="")*(INDEX(Setup!$M$6:$M$23,14)="Y"))+((Y421="")*(INDEX(Setup!$M$6:$M$23,14)="Y")))</f>
        <v/>
      </c>
      <c r="AC421" s="91">
        <f>IF($B421="","",IF(AB421=0,"✓ covered","⚠ "&amp;AB421&amp;IF(AB421=1," gap"," gaps")))</f>
        <v/>
      </c>
    </row>
    <row r="422" ht="17" customHeight="1">
      <c r="A422" t="n">
        <v>9</v>
      </c>
      <c r="B422" s="24">
        <f>IF(Setup!$K$20="","",Setup!$K$20)</f>
        <v/>
      </c>
      <c r="C422" s="88" t="n"/>
      <c r="D422" s="88" t="n"/>
      <c r="E422" s="88" t="n"/>
      <c r="F422" s="89" t="n"/>
      <c r="G422" s="88" t="n"/>
      <c r="H422" s="88" t="n"/>
      <c r="I422" s="88" t="n"/>
      <c r="J422" s="89" t="n"/>
      <c r="K422" s="88" t="n"/>
      <c r="L422" s="88" t="n"/>
      <c r="M422" s="88" t="n"/>
      <c r="N422" s="89" t="n"/>
      <c r="O422" s="88" t="n"/>
      <c r="P422" s="88" t="n"/>
      <c r="Q422" s="88" t="n"/>
      <c r="R422" s="89" t="n"/>
      <c r="S422" s="88" t="n"/>
      <c r="T422" s="88" t="n"/>
      <c r="U422" s="88" t="n"/>
      <c r="V422" s="89" t="n"/>
      <c r="W422" s="88" t="n"/>
      <c r="X422" s="89" t="n"/>
      <c r="Y422" s="88" t="n"/>
      <c r="Z422" s="89" t="n"/>
      <c r="AB422" s="25">
        <f>IF($B422="","",(COUNTIF(C422:E422,"?*")&lt;N(INDEX(Setup!$L$6:$L$23,15)))+(COUNTIF(G422:I422,"?*")&lt;N(INDEX(Setup!$L$6:$L$23,15)))+(COUNTIF(K422:M422,"?*")&lt;N(INDEX(Setup!$L$6:$L$23,15)))+(COUNTIF(O422:Q422,"?*")&lt;N(INDEX(Setup!$L$6:$L$23,15)))+(COUNTIF(S422:U422,"?*")&lt;N(INDEX(Setup!$L$6:$L$23,15)))+((W422="")*(INDEX(Setup!$M$6:$M$23,15)="Y"))+((Y422="")*(INDEX(Setup!$M$6:$M$23,15)="Y")))</f>
        <v/>
      </c>
      <c r="AC422" s="90">
        <f>IF($B422="","",IF(AB422=0,"✓ covered","⚠ "&amp;AB422&amp;IF(AB422=1," gap"," gaps")))</f>
        <v/>
      </c>
    </row>
    <row r="423" ht="17" customHeight="1">
      <c r="A423" t="n">
        <v>9</v>
      </c>
      <c r="B423" s="29">
        <f>IF(Setup!$K$21="","",Setup!$K$21)</f>
        <v/>
      </c>
      <c r="C423" s="88" t="n"/>
      <c r="D423" s="88" t="n"/>
      <c r="E423" s="88" t="n"/>
      <c r="F423" s="89" t="n"/>
      <c r="G423" s="88" t="n"/>
      <c r="H423" s="88" t="n"/>
      <c r="I423" s="88" t="n"/>
      <c r="J423" s="89" t="n"/>
      <c r="K423" s="88" t="n"/>
      <c r="L423" s="88" t="n"/>
      <c r="M423" s="88" t="n"/>
      <c r="N423" s="89" t="n"/>
      <c r="O423" s="88" t="n"/>
      <c r="P423" s="88" t="n"/>
      <c r="Q423" s="88" t="n"/>
      <c r="R423" s="89" t="n"/>
      <c r="S423" s="88" t="n"/>
      <c r="T423" s="88" t="n"/>
      <c r="U423" s="88" t="n"/>
      <c r="V423" s="89" t="n"/>
      <c r="W423" s="88" t="n"/>
      <c r="X423" s="89" t="n"/>
      <c r="Y423" s="88" t="n"/>
      <c r="Z423" s="89" t="n"/>
      <c r="AB423" s="30">
        <f>IF($B423="","",(COUNTIF(C423:E423,"?*")&lt;N(INDEX(Setup!$L$6:$L$23,16)))+(COUNTIF(G423:I423,"?*")&lt;N(INDEX(Setup!$L$6:$L$23,16)))+(COUNTIF(K423:M423,"?*")&lt;N(INDEX(Setup!$L$6:$L$23,16)))+(COUNTIF(O423:Q423,"?*")&lt;N(INDEX(Setup!$L$6:$L$23,16)))+(COUNTIF(S423:U423,"?*")&lt;N(INDEX(Setup!$L$6:$L$23,16)))+((W423="")*(INDEX(Setup!$M$6:$M$23,16)="Y"))+((Y423="")*(INDEX(Setup!$M$6:$M$23,16)="Y")))</f>
        <v/>
      </c>
      <c r="AC423" s="91">
        <f>IF($B423="","",IF(AB423=0,"✓ covered","⚠ "&amp;AB423&amp;IF(AB423=1," gap"," gaps")))</f>
        <v/>
      </c>
    </row>
    <row r="424" ht="17" customHeight="1">
      <c r="A424" t="n">
        <v>9</v>
      </c>
      <c r="B424" s="24">
        <f>IF(Setup!$K$22="","",Setup!$K$22)</f>
        <v/>
      </c>
      <c r="C424" s="88" t="n"/>
      <c r="D424" s="88" t="n"/>
      <c r="E424" s="88" t="n"/>
      <c r="F424" s="89" t="n"/>
      <c r="G424" s="88" t="n"/>
      <c r="H424" s="88" t="n"/>
      <c r="I424" s="88" t="n"/>
      <c r="J424" s="89" t="n"/>
      <c r="K424" s="88" t="n"/>
      <c r="L424" s="88" t="n"/>
      <c r="M424" s="88" t="n"/>
      <c r="N424" s="89" t="n"/>
      <c r="O424" s="88" t="n"/>
      <c r="P424" s="88" t="n"/>
      <c r="Q424" s="88" t="n"/>
      <c r="R424" s="89" t="n"/>
      <c r="S424" s="88" t="n"/>
      <c r="T424" s="88" t="n"/>
      <c r="U424" s="88" t="n"/>
      <c r="V424" s="89" t="n"/>
      <c r="W424" s="88" t="n"/>
      <c r="X424" s="89" t="n"/>
      <c r="Y424" s="88" t="n"/>
      <c r="Z424" s="89" t="n"/>
      <c r="AB424" s="25">
        <f>IF($B424="","",(COUNTIF(C424:E424,"?*")&lt;N(INDEX(Setup!$L$6:$L$23,17)))+(COUNTIF(G424:I424,"?*")&lt;N(INDEX(Setup!$L$6:$L$23,17)))+(COUNTIF(K424:M424,"?*")&lt;N(INDEX(Setup!$L$6:$L$23,17)))+(COUNTIF(O424:Q424,"?*")&lt;N(INDEX(Setup!$L$6:$L$23,17)))+(COUNTIF(S424:U424,"?*")&lt;N(INDEX(Setup!$L$6:$L$23,17)))+((W424="")*(INDEX(Setup!$M$6:$M$23,17)="Y"))+((Y424="")*(INDEX(Setup!$M$6:$M$23,17)="Y")))</f>
        <v/>
      </c>
      <c r="AC424" s="90">
        <f>IF($B424="","",IF(AB424=0,"✓ covered","⚠ "&amp;AB424&amp;IF(AB424=1," gap"," gaps")))</f>
        <v/>
      </c>
    </row>
    <row r="425" ht="17" customHeight="1">
      <c r="A425" t="n">
        <v>9</v>
      </c>
      <c r="B425" s="29">
        <f>IF(Setup!$K$23="","",Setup!$K$23)</f>
        <v/>
      </c>
      <c r="C425" s="88" t="n"/>
      <c r="D425" s="88" t="n"/>
      <c r="E425" s="88" t="n"/>
      <c r="F425" s="89" t="n"/>
      <c r="G425" s="88" t="n"/>
      <c r="H425" s="88" t="n"/>
      <c r="I425" s="88" t="n"/>
      <c r="J425" s="89" t="n"/>
      <c r="K425" s="88" t="n"/>
      <c r="L425" s="88" t="n"/>
      <c r="M425" s="88" t="n"/>
      <c r="N425" s="89" t="n"/>
      <c r="O425" s="88" t="n"/>
      <c r="P425" s="88" t="n"/>
      <c r="Q425" s="88" t="n"/>
      <c r="R425" s="89" t="n"/>
      <c r="S425" s="88" t="n"/>
      <c r="T425" s="88" t="n"/>
      <c r="U425" s="88" t="n"/>
      <c r="V425" s="89" t="n"/>
      <c r="W425" s="88" t="n"/>
      <c r="X425" s="89" t="n"/>
      <c r="Y425" s="88" t="n"/>
      <c r="Z425" s="89" t="n"/>
      <c r="AB425" s="30">
        <f>IF($B425="","",(COUNTIF(C425:E425,"?*")&lt;N(INDEX(Setup!$L$6:$L$23,18)))+(COUNTIF(G425:I425,"?*")&lt;N(INDEX(Setup!$L$6:$L$23,18)))+(COUNTIF(K425:M425,"?*")&lt;N(INDEX(Setup!$L$6:$L$23,18)))+(COUNTIF(O425:Q425,"?*")&lt;N(INDEX(Setup!$L$6:$L$23,18)))+(COUNTIF(S425:U425,"?*")&lt;N(INDEX(Setup!$L$6:$L$23,18)))+((W425="")*(INDEX(Setup!$M$6:$M$23,18)="Y"))+((Y425="")*(INDEX(Setup!$M$6:$M$23,18)="Y")))</f>
        <v/>
      </c>
      <c r="AC425" s="91">
        <f>IF($B425="","",IF(AB425=0,"✓ covered","⚠ "&amp;AB425&amp;IF(AB425=1," gap"," gaps")))</f>
        <v/>
      </c>
    </row>
    <row r="426" ht="18" customHeight="1">
      <c r="A426" t="n">
        <v>9</v>
      </c>
      <c r="B426" s="78" t="inlineStr">
        <is>
          <t>TEAM AVAILABILITY</t>
        </is>
      </c>
      <c r="C426" s="92" t="inlineStr">
        <is>
          <t>Mon</t>
        </is>
      </c>
      <c r="D426" s="93" t="n"/>
      <c r="E426" s="93" t="n"/>
      <c r="F426" s="94" t="n"/>
      <c r="G426" s="92" t="inlineStr">
        <is>
          <t>Tue</t>
        </is>
      </c>
      <c r="H426" s="93" t="n"/>
      <c r="I426" s="93" t="n"/>
      <c r="J426" s="94" t="n"/>
      <c r="K426" s="92" t="inlineStr">
        <is>
          <t>Wed</t>
        </is>
      </c>
      <c r="L426" s="93" t="n"/>
      <c r="M426" s="93" t="n"/>
      <c r="N426" s="94" t="n"/>
      <c r="O426" s="92" t="inlineStr">
        <is>
          <t>Thu</t>
        </is>
      </c>
      <c r="P426" s="93" t="n"/>
      <c r="Q426" s="93" t="n"/>
      <c r="R426" s="94" t="n"/>
      <c r="S426" s="92" t="inlineStr">
        <is>
          <t>Fri</t>
        </is>
      </c>
      <c r="T426" s="93" t="n"/>
      <c r="U426" s="93" t="n"/>
      <c r="V426" s="94" t="n"/>
      <c r="W426" s="95" t="inlineStr">
        <is>
          <t>Sat</t>
        </is>
      </c>
      <c r="X426" s="96" t="n"/>
      <c r="Y426" s="95" t="inlineStr">
        <is>
          <t>Sun</t>
        </is>
      </c>
      <c r="Z426" s="96" t="n"/>
      <c r="AB426" s="97" t="inlineStr">
        <is>
          <t>Days rostered</t>
        </is>
      </c>
      <c r="AC426" s="97" t="inlineStr">
        <is>
          <t>Conflicts</t>
        </is>
      </c>
    </row>
    <row r="427" ht="15" customHeight="1">
      <c r="A427" t="n">
        <v>9</v>
      </c>
      <c r="B427" s="35">
        <f>IF(Setup!$B$6="","",Setup!$B$6)</f>
        <v/>
      </c>
      <c r="C427" s="98" t="n"/>
      <c r="D427" s="99" t="n"/>
      <c r="E427" s="99" t="n"/>
      <c r="F427" s="100" t="n"/>
      <c r="G427" s="98" t="n"/>
      <c r="H427" s="99" t="n"/>
      <c r="I427" s="99" t="n"/>
      <c r="J427" s="100" t="n"/>
      <c r="K427" s="98" t="n"/>
      <c r="L427" s="99" t="n"/>
      <c r="M427" s="99" t="n"/>
      <c r="N427" s="100" t="n"/>
      <c r="O427" s="98" t="n"/>
      <c r="P427" s="99" t="n"/>
      <c r="Q427" s="99" t="n"/>
      <c r="R427" s="100" t="n"/>
      <c r="S427" s="98" t="n"/>
      <c r="T427" s="99" t="n"/>
      <c r="U427" s="99" t="n"/>
      <c r="V427" s="100" t="n"/>
      <c r="W427" s="98" t="n"/>
      <c r="X427" s="100" t="n"/>
      <c r="Y427" s="98" t="n"/>
      <c r="Z427" s="100" t="n"/>
      <c r="AB427" s="101">
        <f>IF($B427="","",(COUNTIF(C408:E425,$B427)+COUNTIF(C408:E425,$B427&amp;" ~*")&gt;0)+(COUNTIF(G408:I425,$B427)+COUNTIF(G408:I425,$B427&amp;" ~*")&gt;0)+(COUNTIF(K408:M425,$B427)+COUNTIF(K408:M425,$B427&amp;" ~*")&gt;0)+(COUNTIF(O408:Q425,$B427)+COUNTIF(O408:Q425,$B427&amp;" ~*")&gt;0)+(COUNTIF(S408:U425,$B427)+COUNTIF(S408:U425,$B427&amp;" ~*")&gt;0)+(COUNTIF(W408:W425,$B427)+COUNTIF(W408:W425,$B427&amp;" ~*")&gt;0)+(COUNTIF(Y408:Y425,$B427)+COUNTIF(Y408:Y425,$B427&amp;" ~*")&gt;0))</f>
        <v/>
      </c>
      <c r="AC427" s="36">
        <f>IF($B427="","",(IFERROR(INDEX(Setup!$G$33:$G$40,MATCH(C427,Setup!$B$33:$B$40,0)),0)=1)*(COUNTIF(C408:E425,$B427)+COUNTIF(C408:E425,$B427&amp;" ~*")&gt;0)+(IFERROR(INDEX(Setup!$G$33:$G$40,MATCH(G427,Setup!$B$33:$B$40,0)),0)=1)*(COUNTIF(G408:I425,$B427)+COUNTIF(G408:I425,$B427&amp;" ~*")&gt;0)+(IFERROR(INDEX(Setup!$G$33:$G$40,MATCH(K427,Setup!$B$33:$B$40,0)),0)=1)*(COUNTIF(K408:M425,$B427)+COUNTIF(K408:M425,$B427&amp;" ~*")&gt;0)+(IFERROR(INDEX(Setup!$G$33:$G$40,MATCH(O427,Setup!$B$33:$B$40,0)),0)=1)*(COUNTIF(O408:Q425,$B427)+COUNTIF(O408:Q425,$B427&amp;" ~*")&gt;0)+(IFERROR(INDEX(Setup!$G$33:$G$40,MATCH(S427,Setup!$B$33:$B$40,0)),0)=1)*(COUNTIF(S408:U425,$B427)+COUNTIF(S408:U425,$B427&amp;" ~*")&gt;0)+(IFERROR(INDEX(Setup!$G$33:$G$40,MATCH(W427,Setup!$B$33:$B$40,0)),0)=1)*(COUNTIF(W408:W425,$B427)+COUNTIF(W408:W425,$B427&amp;" ~*")&gt;0)+(IFERROR(INDEX(Setup!$G$33:$G$40,MATCH(Y427,Setup!$B$33:$B$40,0)),0)=1)*(COUNTIF(Y408:Y425,$B427)+COUNTIF(Y408:Y425,$B427&amp;" ~*")&gt;0))</f>
        <v/>
      </c>
    </row>
    <row r="428" ht="15" customHeight="1">
      <c r="A428" t="n">
        <v>9</v>
      </c>
      <c r="B428" s="37">
        <f>IF(Setup!$B$7="","",Setup!$B$7)</f>
        <v/>
      </c>
      <c r="C428" s="102" t="n"/>
      <c r="D428" s="103" t="n"/>
      <c r="E428" s="103" t="n"/>
      <c r="F428" s="104" t="n"/>
      <c r="G428" s="102" t="n"/>
      <c r="H428" s="103" t="n"/>
      <c r="I428" s="103" t="n"/>
      <c r="J428" s="104" t="n"/>
      <c r="K428" s="102" t="n"/>
      <c r="L428" s="103" t="n"/>
      <c r="M428" s="103" t="n"/>
      <c r="N428" s="104" t="n"/>
      <c r="O428" s="102" t="n"/>
      <c r="P428" s="103" t="n"/>
      <c r="Q428" s="103" t="n"/>
      <c r="R428" s="104" t="n"/>
      <c r="S428" s="102" t="n"/>
      <c r="T428" s="103" t="n"/>
      <c r="U428" s="103" t="n"/>
      <c r="V428" s="104" t="n"/>
      <c r="W428" s="102" t="n"/>
      <c r="X428" s="104" t="n"/>
      <c r="Y428" s="102" t="n"/>
      <c r="Z428" s="104" t="n"/>
      <c r="AB428" s="105">
        <f>IF($B428="","",(COUNTIF(C408:E425,$B428)+COUNTIF(C408:E425,$B428&amp;" ~*")&gt;0)+(COUNTIF(G408:I425,$B428)+COUNTIF(G408:I425,$B428&amp;" ~*")&gt;0)+(COUNTIF(K408:M425,$B428)+COUNTIF(K408:M425,$B428&amp;" ~*")&gt;0)+(COUNTIF(O408:Q425,$B428)+COUNTIF(O408:Q425,$B428&amp;" ~*")&gt;0)+(COUNTIF(S408:U425,$B428)+COUNTIF(S408:U425,$B428&amp;" ~*")&gt;0)+(COUNTIF(W408:W425,$B428)+COUNTIF(W408:W425,$B428&amp;" ~*")&gt;0)+(COUNTIF(Y408:Y425,$B428)+COUNTIF(Y408:Y425,$B428&amp;" ~*")&gt;0))</f>
        <v/>
      </c>
      <c r="AC428" s="38">
        <f>IF($B428="","",(IFERROR(INDEX(Setup!$G$33:$G$40,MATCH(C428,Setup!$B$33:$B$40,0)),0)=1)*(COUNTIF(C408:E425,$B428)+COUNTIF(C408:E425,$B428&amp;" ~*")&gt;0)+(IFERROR(INDEX(Setup!$G$33:$G$40,MATCH(G428,Setup!$B$33:$B$40,0)),0)=1)*(COUNTIF(G408:I425,$B428)+COUNTIF(G408:I425,$B428&amp;" ~*")&gt;0)+(IFERROR(INDEX(Setup!$G$33:$G$40,MATCH(K428,Setup!$B$33:$B$40,0)),0)=1)*(COUNTIF(K408:M425,$B428)+COUNTIF(K408:M425,$B428&amp;" ~*")&gt;0)+(IFERROR(INDEX(Setup!$G$33:$G$40,MATCH(O428,Setup!$B$33:$B$40,0)),0)=1)*(COUNTIF(O408:Q425,$B428)+COUNTIF(O408:Q425,$B428&amp;" ~*")&gt;0)+(IFERROR(INDEX(Setup!$G$33:$G$40,MATCH(S428,Setup!$B$33:$B$40,0)),0)=1)*(COUNTIF(S408:U425,$B428)+COUNTIF(S408:U425,$B428&amp;" ~*")&gt;0)+(IFERROR(INDEX(Setup!$G$33:$G$40,MATCH(W428,Setup!$B$33:$B$40,0)),0)=1)*(COUNTIF(W408:W425,$B428)+COUNTIF(W408:W425,$B428&amp;" ~*")&gt;0)+(IFERROR(INDEX(Setup!$G$33:$G$40,MATCH(Y428,Setup!$B$33:$B$40,0)),0)=1)*(COUNTIF(Y408:Y425,$B428)+COUNTIF(Y408:Y425,$B428&amp;" ~*")&gt;0))</f>
        <v/>
      </c>
    </row>
    <row r="429" ht="15" customHeight="1">
      <c r="A429" t="n">
        <v>9</v>
      </c>
      <c r="B429" s="35">
        <f>IF(Setup!$B$8="","",Setup!$B$8)</f>
        <v/>
      </c>
      <c r="C429" s="98" t="n"/>
      <c r="D429" s="99" t="n"/>
      <c r="E429" s="99" t="n"/>
      <c r="F429" s="100" t="n"/>
      <c r="G429" s="98" t="n"/>
      <c r="H429" s="99" t="n"/>
      <c r="I429" s="99" t="n"/>
      <c r="J429" s="100" t="n"/>
      <c r="K429" s="98" t="n"/>
      <c r="L429" s="99" t="n"/>
      <c r="M429" s="99" t="n"/>
      <c r="N429" s="100" t="n"/>
      <c r="O429" s="98" t="n"/>
      <c r="P429" s="99" t="n"/>
      <c r="Q429" s="99" t="n"/>
      <c r="R429" s="100" t="n"/>
      <c r="S429" s="98" t="n"/>
      <c r="T429" s="99" t="n"/>
      <c r="U429" s="99" t="n"/>
      <c r="V429" s="100" t="n"/>
      <c r="W429" s="98" t="n"/>
      <c r="X429" s="100" t="n"/>
      <c r="Y429" s="98" t="n"/>
      <c r="Z429" s="100" t="n"/>
      <c r="AB429" s="101">
        <f>IF($B429="","",(COUNTIF(C408:E425,$B429)+COUNTIF(C408:E425,$B429&amp;" ~*")&gt;0)+(COUNTIF(G408:I425,$B429)+COUNTIF(G408:I425,$B429&amp;" ~*")&gt;0)+(COUNTIF(K408:M425,$B429)+COUNTIF(K408:M425,$B429&amp;" ~*")&gt;0)+(COUNTIF(O408:Q425,$B429)+COUNTIF(O408:Q425,$B429&amp;" ~*")&gt;0)+(COUNTIF(S408:U425,$B429)+COUNTIF(S408:U425,$B429&amp;" ~*")&gt;0)+(COUNTIF(W408:W425,$B429)+COUNTIF(W408:W425,$B429&amp;" ~*")&gt;0)+(COUNTIF(Y408:Y425,$B429)+COUNTIF(Y408:Y425,$B429&amp;" ~*")&gt;0))</f>
        <v/>
      </c>
      <c r="AC429" s="36">
        <f>IF($B429="","",(IFERROR(INDEX(Setup!$G$33:$G$40,MATCH(C429,Setup!$B$33:$B$40,0)),0)=1)*(COUNTIF(C408:E425,$B429)+COUNTIF(C408:E425,$B429&amp;" ~*")&gt;0)+(IFERROR(INDEX(Setup!$G$33:$G$40,MATCH(G429,Setup!$B$33:$B$40,0)),0)=1)*(COUNTIF(G408:I425,$B429)+COUNTIF(G408:I425,$B429&amp;" ~*")&gt;0)+(IFERROR(INDEX(Setup!$G$33:$G$40,MATCH(K429,Setup!$B$33:$B$40,0)),0)=1)*(COUNTIF(K408:M425,$B429)+COUNTIF(K408:M425,$B429&amp;" ~*")&gt;0)+(IFERROR(INDEX(Setup!$G$33:$G$40,MATCH(O429,Setup!$B$33:$B$40,0)),0)=1)*(COUNTIF(O408:Q425,$B429)+COUNTIF(O408:Q425,$B429&amp;" ~*")&gt;0)+(IFERROR(INDEX(Setup!$G$33:$G$40,MATCH(S429,Setup!$B$33:$B$40,0)),0)=1)*(COUNTIF(S408:U425,$B429)+COUNTIF(S408:U425,$B429&amp;" ~*")&gt;0)+(IFERROR(INDEX(Setup!$G$33:$G$40,MATCH(W429,Setup!$B$33:$B$40,0)),0)=1)*(COUNTIF(W408:W425,$B429)+COUNTIF(W408:W425,$B429&amp;" ~*")&gt;0)+(IFERROR(INDEX(Setup!$G$33:$G$40,MATCH(Y429,Setup!$B$33:$B$40,0)),0)=1)*(COUNTIF(Y408:Y425,$B429)+COUNTIF(Y408:Y425,$B429&amp;" ~*")&gt;0))</f>
        <v/>
      </c>
    </row>
    <row r="430" ht="15" customHeight="1">
      <c r="A430" t="n">
        <v>9</v>
      </c>
      <c r="B430" s="37">
        <f>IF(Setup!$B$9="","",Setup!$B$9)</f>
        <v/>
      </c>
      <c r="C430" s="102" t="n"/>
      <c r="D430" s="103" t="n"/>
      <c r="E430" s="103" t="n"/>
      <c r="F430" s="104" t="n"/>
      <c r="G430" s="102" t="n"/>
      <c r="H430" s="103" t="n"/>
      <c r="I430" s="103" t="n"/>
      <c r="J430" s="104" t="n"/>
      <c r="K430" s="102" t="n"/>
      <c r="L430" s="103" t="n"/>
      <c r="M430" s="103" t="n"/>
      <c r="N430" s="104" t="n"/>
      <c r="O430" s="102" t="n"/>
      <c r="P430" s="103" t="n"/>
      <c r="Q430" s="103" t="n"/>
      <c r="R430" s="104" t="n"/>
      <c r="S430" s="102" t="n"/>
      <c r="T430" s="103" t="n"/>
      <c r="U430" s="103" t="n"/>
      <c r="V430" s="104" t="n"/>
      <c r="W430" s="102" t="n"/>
      <c r="X430" s="104" t="n"/>
      <c r="Y430" s="102" t="n"/>
      <c r="Z430" s="104" t="n"/>
      <c r="AB430" s="105">
        <f>IF($B430="","",(COUNTIF(C408:E425,$B430)+COUNTIF(C408:E425,$B430&amp;" ~*")&gt;0)+(COUNTIF(G408:I425,$B430)+COUNTIF(G408:I425,$B430&amp;" ~*")&gt;0)+(COUNTIF(K408:M425,$B430)+COUNTIF(K408:M425,$B430&amp;" ~*")&gt;0)+(COUNTIF(O408:Q425,$B430)+COUNTIF(O408:Q425,$B430&amp;" ~*")&gt;0)+(COUNTIF(S408:U425,$B430)+COUNTIF(S408:U425,$B430&amp;" ~*")&gt;0)+(COUNTIF(W408:W425,$B430)+COUNTIF(W408:W425,$B430&amp;" ~*")&gt;0)+(COUNTIF(Y408:Y425,$B430)+COUNTIF(Y408:Y425,$B430&amp;" ~*")&gt;0))</f>
        <v/>
      </c>
      <c r="AC430" s="38">
        <f>IF($B430="","",(IFERROR(INDEX(Setup!$G$33:$G$40,MATCH(C430,Setup!$B$33:$B$40,0)),0)=1)*(COUNTIF(C408:E425,$B430)+COUNTIF(C408:E425,$B430&amp;" ~*")&gt;0)+(IFERROR(INDEX(Setup!$G$33:$G$40,MATCH(G430,Setup!$B$33:$B$40,0)),0)=1)*(COUNTIF(G408:I425,$B430)+COUNTIF(G408:I425,$B430&amp;" ~*")&gt;0)+(IFERROR(INDEX(Setup!$G$33:$G$40,MATCH(K430,Setup!$B$33:$B$40,0)),0)=1)*(COUNTIF(K408:M425,$B430)+COUNTIF(K408:M425,$B430&amp;" ~*")&gt;0)+(IFERROR(INDEX(Setup!$G$33:$G$40,MATCH(O430,Setup!$B$33:$B$40,0)),0)=1)*(COUNTIF(O408:Q425,$B430)+COUNTIF(O408:Q425,$B430&amp;" ~*")&gt;0)+(IFERROR(INDEX(Setup!$G$33:$G$40,MATCH(S430,Setup!$B$33:$B$40,0)),0)=1)*(COUNTIF(S408:U425,$B430)+COUNTIF(S408:U425,$B430&amp;" ~*")&gt;0)+(IFERROR(INDEX(Setup!$G$33:$G$40,MATCH(W430,Setup!$B$33:$B$40,0)),0)=1)*(COUNTIF(W408:W425,$B430)+COUNTIF(W408:W425,$B430&amp;" ~*")&gt;0)+(IFERROR(INDEX(Setup!$G$33:$G$40,MATCH(Y430,Setup!$B$33:$B$40,0)),0)=1)*(COUNTIF(Y408:Y425,$B430)+COUNTIF(Y408:Y425,$B430&amp;" ~*")&gt;0))</f>
        <v/>
      </c>
    </row>
    <row r="431" ht="15" customHeight="1">
      <c r="A431" t="n">
        <v>9</v>
      </c>
      <c r="B431" s="35">
        <f>IF(Setup!$B$10="","",Setup!$B$10)</f>
        <v/>
      </c>
      <c r="C431" s="98" t="n"/>
      <c r="D431" s="99" t="n"/>
      <c r="E431" s="99" t="n"/>
      <c r="F431" s="100" t="n"/>
      <c r="G431" s="98" t="n"/>
      <c r="H431" s="99" t="n"/>
      <c r="I431" s="99" t="n"/>
      <c r="J431" s="100" t="n"/>
      <c r="K431" s="98" t="n"/>
      <c r="L431" s="99" t="n"/>
      <c r="M431" s="99" t="n"/>
      <c r="N431" s="100" t="n"/>
      <c r="O431" s="98" t="n"/>
      <c r="P431" s="99" t="n"/>
      <c r="Q431" s="99" t="n"/>
      <c r="R431" s="100" t="n"/>
      <c r="S431" s="98" t="n"/>
      <c r="T431" s="99" t="n"/>
      <c r="U431" s="99" t="n"/>
      <c r="V431" s="100" t="n"/>
      <c r="W431" s="98" t="n"/>
      <c r="X431" s="100" t="n"/>
      <c r="Y431" s="98" t="n"/>
      <c r="Z431" s="100" t="n"/>
      <c r="AB431" s="101">
        <f>IF($B431="","",(COUNTIF(C408:E425,$B431)+COUNTIF(C408:E425,$B431&amp;" ~*")&gt;0)+(COUNTIF(G408:I425,$B431)+COUNTIF(G408:I425,$B431&amp;" ~*")&gt;0)+(COUNTIF(K408:M425,$B431)+COUNTIF(K408:M425,$B431&amp;" ~*")&gt;0)+(COUNTIF(O408:Q425,$B431)+COUNTIF(O408:Q425,$B431&amp;" ~*")&gt;0)+(COUNTIF(S408:U425,$B431)+COUNTIF(S408:U425,$B431&amp;" ~*")&gt;0)+(COUNTIF(W408:W425,$B431)+COUNTIF(W408:W425,$B431&amp;" ~*")&gt;0)+(COUNTIF(Y408:Y425,$B431)+COUNTIF(Y408:Y425,$B431&amp;" ~*")&gt;0))</f>
        <v/>
      </c>
      <c r="AC431" s="36">
        <f>IF($B431="","",(IFERROR(INDEX(Setup!$G$33:$G$40,MATCH(C431,Setup!$B$33:$B$40,0)),0)=1)*(COUNTIF(C408:E425,$B431)+COUNTIF(C408:E425,$B431&amp;" ~*")&gt;0)+(IFERROR(INDEX(Setup!$G$33:$G$40,MATCH(G431,Setup!$B$33:$B$40,0)),0)=1)*(COUNTIF(G408:I425,$B431)+COUNTIF(G408:I425,$B431&amp;" ~*")&gt;0)+(IFERROR(INDEX(Setup!$G$33:$G$40,MATCH(K431,Setup!$B$33:$B$40,0)),0)=1)*(COUNTIF(K408:M425,$B431)+COUNTIF(K408:M425,$B431&amp;" ~*")&gt;0)+(IFERROR(INDEX(Setup!$G$33:$G$40,MATCH(O431,Setup!$B$33:$B$40,0)),0)=1)*(COUNTIF(O408:Q425,$B431)+COUNTIF(O408:Q425,$B431&amp;" ~*")&gt;0)+(IFERROR(INDEX(Setup!$G$33:$G$40,MATCH(S431,Setup!$B$33:$B$40,0)),0)=1)*(COUNTIF(S408:U425,$B431)+COUNTIF(S408:U425,$B431&amp;" ~*")&gt;0)+(IFERROR(INDEX(Setup!$G$33:$G$40,MATCH(W431,Setup!$B$33:$B$40,0)),0)=1)*(COUNTIF(W408:W425,$B431)+COUNTIF(W408:W425,$B431&amp;" ~*")&gt;0)+(IFERROR(INDEX(Setup!$G$33:$G$40,MATCH(Y431,Setup!$B$33:$B$40,0)),0)=1)*(COUNTIF(Y408:Y425,$B431)+COUNTIF(Y408:Y425,$B431&amp;" ~*")&gt;0))</f>
        <v/>
      </c>
    </row>
    <row r="432" ht="15" customHeight="1">
      <c r="A432" t="n">
        <v>9</v>
      </c>
      <c r="B432" s="37">
        <f>IF(Setup!$B$11="","",Setup!$B$11)</f>
        <v/>
      </c>
      <c r="C432" s="102" t="n"/>
      <c r="D432" s="103" t="n"/>
      <c r="E432" s="103" t="n"/>
      <c r="F432" s="104" t="n"/>
      <c r="G432" s="102" t="n"/>
      <c r="H432" s="103" t="n"/>
      <c r="I432" s="103" t="n"/>
      <c r="J432" s="104" t="n"/>
      <c r="K432" s="102" t="n"/>
      <c r="L432" s="103" t="n"/>
      <c r="M432" s="103" t="n"/>
      <c r="N432" s="104" t="n"/>
      <c r="O432" s="102" t="n"/>
      <c r="P432" s="103" t="n"/>
      <c r="Q432" s="103" t="n"/>
      <c r="R432" s="104" t="n"/>
      <c r="S432" s="102" t="n"/>
      <c r="T432" s="103" t="n"/>
      <c r="U432" s="103" t="n"/>
      <c r="V432" s="104" t="n"/>
      <c r="W432" s="102" t="n"/>
      <c r="X432" s="104" t="n"/>
      <c r="Y432" s="102" t="n"/>
      <c r="Z432" s="104" t="n"/>
      <c r="AB432" s="105">
        <f>IF($B432="","",(COUNTIF(C408:E425,$B432)+COUNTIF(C408:E425,$B432&amp;" ~*")&gt;0)+(COUNTIF(G408:I425,$B432)+COUNTIF(G408:I425,$B432&amp;" ~*")&gt;0)+(COUNTIF(K408:M425,$B432)+COUNTIF(K408:M425,$B432&amp;" ~*")&gt;0)+(COUNTIF(O408:Q425,$B432)+COUNTIF(O408:Q425,$B432&amp;" ~*")&gt;0)+(COUNTIF(S408:U425,$B432)+COUNTIF(S408:U425,$B432&amp;" ~*")&gt;0)+(COUNTIF(W408:W425,$B432)+COUNTIF(W408:W425,$B432&amp;" ~*")&gt;0)+(COUNTIF(Y408:Y425,$B432)+COUNTIF(Y408:Y425,$B432&amp;" ~*")&gt;0))</f>
        <v/>
      </c>
      <c r="AC432" s="38">
        <f>IF($B432="","",(IFERROR(INDEX(Setup!$G$33:$G$40,MATCH(C432,Setup!$B$33:$B$40,0)),0)=1)*(COUNTIF(C408:E425,$B432)+COUNTIF(C408:E425,$B432&amp;" ~*")&gt;0)+(IFERROR(INDEX(Setup!$G$33:$G$40,MATCH(G432,Setup!$B$33:$B$40,0)),0)=1)*(COUNTIF(G408:I425,$B432)+COUNTIF(G408:I425,$B432&amp;" ~*")&gt;0)+(IFERROR(INDEX(Setup!$G$33:$G$40,MATCH(K432,Setup!$B$33:$B$40,0)),0)=1)*(COUNTIF(K408:M425,$B432)+COUNTIF(K408:M425,$B432&amp;" ~*")&gt;0)+(IFERROR(INDEX(Setup!$G$33:$G$40,MATCH(O432,Setup!$B$33:$B$40,0)),0)=1)*(COUNTIF(O408:Q425,$B432)+COUNTIF(O408:Q425,$B432&amp;" ~*")&gt;0)+(IFERROR(INDEX(Setup!$G$33:$G$40,MATCH(S432,Setup!$B$33:$B$40,0)),0)=1)*(COUNTIF(S408:U425,$B432)+COUNTIF(S408:U425,$B432&amp;" ~*")&gt;0)+(IFERROR(INDEX(Setup!$G$33:$G$40,MATCH(W432,Setup!$B$33:$B$40,0)),0)=1)*(COUNTIF(W408:W425,$B432)+COUNTIF(W408:W425,$B432&amp;" ~*")&gt;0)+(IFERROR(INDEX(Setup!$G$33:$G$40,MATCH(Y432,Setup!$B$33:$B$40,0)),0)=1)*(COUNTIF(Y408:Y425,$B432)+COUNTIF(Y408:Y425,$B432&amp;" ~*")&gt;0))</f>
        <v/>
      </c>
    </row>
    <row r="433" ht="15" customHeight="1">
      <c r="A433" t="n">
        <v>9</v>
      </c>
      <c r="B433" s="35">
        <f>IF(Setup!$B$12="","",Setup!$B$12)</f>
        <v/>
      </c>
      <c r="C433" s="98" t="n"/>
      <c r="D433" s="99" t="n"/>
      <c r="E433" s="99" t="n"/>
      <c r="F433" s="100" t="n"/>
      <c r="G433" s="98" t="n"/>
      <c r="H433" s="99" t="n"/>
      <c r="I433" s="99" t="n"/>
      <c r="J433" s="100" t="n"/>
      <c r="K433" s="98" t="n"/>
      <c r="L433" s="99" t="n"/>
      <c r="M433" s="99" t="n"/>
      <c r="N433" s="100" t="n"/>
      <c r="O433" s="98" t="n"/>
      <c r="P433" s="99" t="n"/>
      <c r="Q433" s="99" t="n"/>
      <c r="R433" s="100" t="n"/>
      <c r="S433" s="98" t="n"/>
      <c r="T433" s="99" t="n"/>
      <c r="U433" s="99" t="n"/>
      <c r="V433" s="100" t="n"/>
      <c r="W433" s="98" t="n"/>
      <c r="X433" s="100" t="n"/>
      <c r="Y433" s="98" t="n"/>
      <c r="Z433" s="100" t="n"/>
      <c r="AB433" s="101">
        <f>IF($B433="","",(COUNTIF(C408:E425,$B433)+COUNTIF(C408:E425,$B433&amp;" ~*")&gt;0)+(COUNTIF(G408:I425,$B433)+COUNTIF(G408:I425,$B433&amp;" ~*")&gt;0)+(COUNTIF(K408:M425,$B433)+COUNTIF(K408:M425,$B433&amp;" ~*")&gt;0)+(COUNTIF(O408:Q425,$B433)+COUNTIF(O408:Q425,$B433&amp;" ~*")&gt;0)+(COUNTIF(S408:U425,$B433)+COUNTIF(S408:U425,$B433&amp;" ~*")&gt;0)+(COUNTIF(W408:W425,$B433)+COUNTIF(W408:W425,$B433&amp;" ~*")&gt;0)+(COUNTIF(Y408:Y425,$B433)+COUNTIF(Y408:Y425,$B433&amp;" ~*")&gt;0))</f>
        <v/>
      </c>
      <c r="AC433" s="36">
        <f>IF($B433="","",(IFERROR(INDEX(Setup!$G$33:$G$40,MATCH(C433,Setup!$B$33:$B$40,0)),0)=1)*(COUNTIF(C408:E425,$B433)+COUNTIF(C408:E425,$B433&amp;" ~*")&gt;0)+(IFERROR(INDEX(Setup!$G$33:$G$40,MATCH(G433,Setup!$B$33:$B$40,0)),0)=1)*(COUNTIF(G408:I425,$B433)+COUNTIF(G408:I425,$B433&amp;" ~*")&gt;0)+(IFERROR(INDEX(Setup!$G$33:$G$40,MATCH(K433,Setup!$B$33:$B$40,0)),0)=1)*(COUNTIF(K408:M425,$B433)+COUNTIF(K408:M425,$B433&amp;" ~*")&gt;0)+(IFERROR(INDEX(Setup!$G$33:$G$40,MATCH(O433,Setup!$B$33:$B$40,0)),0)=1)*(COUNTIF(O408:Q425,$B433)+COUNTIF(O408:Q425,$B433&amp;" ~*")&gt;0)+(IFERROR(INDEX(Setup!$G$33:$G$40,MATCH(S433,Setup!$B$33:$B$40,0)),0)=1)*(COUNTIF(S408:U425,$B433)+COUNTIF(S408:U425,$B433&amp;" ~*")&gt;0)+(IFERROR(INDEX(Setup!$G$33:$G$40,MATCH(W433,Setup!$B$33:$B$40,0)),0)=1)*(COUNTIF(W408:W425,$B433)+COUNTIF(W408:W425,$B433&amp;" ~*")&gt;0)+(IFERROR(INDEX(Setup!$G$33:$G$40,MATCH(Y433,Setup!$B$33:$B$40,0)),0)=1)*(COUNTIF(Y408:Y425,$B433)+COUNTIF(Y408:Y425,$B433&amp;" ~*")&gt;0))</f>
        <v/>
      </c>
    </row>
    <row r="434" ht="15" customHeight="1">
      <c r="A434" t="n">
        <v>9</v>
      </c>
      <c r="B434" s="37">
        <f>IF(Setup!$B$13="","",Setup!$B$13)</f>
        <v/>
      </c>
      <c r="C434" s="102" t="n"/>
      <c r="D434" s="103" t="n"/>
      <c r="E434" s="103" t="n"/>
      <c r="F434" s="104" t="n"/>
      <c r="G434" s="102" t="n"/>
      <c r="H434" s="103" t="n"/>
      <c r="I434" s="103" t="n"/>
      <c r="J434" s="104" t="n"/>
      <c r="K434" s="102" t="n"/>
      <c r="L434" s="103" t="n"/>
      <c r="M434" s="103" t="n"/>
      <c r="N434" s="104" t="n"/>
      <c r="O434" s="102" t="n"/>
      <c r="P434" s="103" t="n"/>
      <c r="Q434" s="103" t="n"/>
      <c r="R434" s="104" t="n"/>
      <c r="S434" s="102" t="n"/>
      <c r="T434" s="103" t="n"/>
      <c r="U434" s="103" t="n"/>
      <c r="V434" s="104" t="n"/>
      <c r="W434" s="102" t="n"/>
      <c r="X434" s="104" t="n"/>
      <c r="Y434" s="102" t="n"/>
      <c r="Z434" s="104" t="n"/>
      <c r="AB434" s="105">
        <f>IF($B434="","",(COUNTIF(C408:E425,$B434)+COUNTIF(C408:E425,$B434&amp;" ~*")&gt;0)+(COUNTIF(G408:I425,$B434)+COUNTIF(G408:I425,$B434&amp;" ~*")&gt;0)+(COUNTIF(K408:M425,$B434)+COUNTIF(K408:M425,$B434&amp;" ~*")&gt;0)+(COUNTIF(O408:Q425,$B434)+COUNTIF(O408:Q425,$B434&amp;" ~*")&gt;0)+(COUNTIF(S408:U425,$B434)+COUNTIF(S408:U425,$B434&amp;" ~*")&gt;0)+(COUNTIF(W408:W425,$B434)+COUNTIF(W408:W425,$B434&amp;" ~*")&gt;0)+(COUNTIF(Y408:Y425,$B434)+COUNTIF(Y408:Y425,$B434&amp;" ~*")&gt;0))</f>
        <v/>
      </c>
      <c r="AC434" s="38">
        <f>IF($B434="","",(IFERROR(INDEX(Setup!$G$33:$G$40,MATCH(C434,Setup!$B$33:$B$40,0)),0)=1)*(COUNTIF(C408:E425,$B434)+COUNTIF(C408:E425,$B434&amp;" ~*")&gt;0)+(IFERROR(INDEX(Setup!$G$33:$G$40,MATCH(G434,Setup!$B$33:$B$40,0)),0)=1)*(COUNTIF(G408:I425,$B434)+COUNTIF(G408:I425,$B434&amp;" ~*")&gt;0)+(IFERROR(INDEX(Setup!$G$33:$G$40,MATCH(K434,Setup!$B$33:$B$40,0)),0)=1)*(COUNTIF(K408:M425,$B434)+COUNTIF(K408:M425,$B434&amp;" ~*")&gt;0)+(IFERROR(INDEX(Setup!$G$33:$G$40,MATCH(O434,Setup!$B$33:$B$40,0)),0)=1)*(COUNTIF(O408:Q425,$B434)+COUNTIF(O408:Q425,$B434&amp;" ~*")&gt;0)+(IFERROR(INDEX(Setup!$G$33:$G$40,MATCH(S434,Setup!$B$33:$B$40,0)),0)=1)*(COUNTIF(S408:U425,$B434)+COUNTIF(S408:U425,$B434&amp;" ~*")&gt;0)+(IFERROR(INDEX(Setup!$G$33:$G$40,MATCH(W434,Setup!$B$33:$B$40,0)),0)=1)*(COUNTIF(W408:W425,$B434)+COUNTIF(W408:W425,$B434&amp;" ~*")&gt;0)+(IFERROR(INDEX(Setup!$G$33:$G$40,MATCH(Y434,Setup!$B$33:$B$40,0)),0)=1)*(COUNTIF(Y408:Y425,$B434)+COUNTIF(Y408:Y425,$B434&amp;" ~*")&gt;0))</f>
        <v/>
      </c>
    </row>
    <row r="435" ht="15" customHeight="1">
      <c r="A435" t="n">
        <v>9</v>
      </c>
      <c r="B435" s="35">
        <f>IF(Setup!$B$14="","",Setup!$B$14)</f>
        <v/>
      </c>
      <c r="C435" s="98" t="n"/>
      <c r="D435" s="99" t="n"/>
      <c r="E435" s="99" t="n"/>
      <c r="F435" s="100" t="n"/>
      <c r="G435" s="98" t="n"/>
      <c r="H435" s="99" t="n"/>
      <c r="I435" s="99" t="n"/>
      <c r="J435" s="100" t="n"/>
      <c r="K435" s="98" t="n"/>
      <c r="L435" s="99" t="n"/>
      <c r="M435" s="99" t="n"/>
      <c r="N435" s="100" t="n"/>
      <c r="O435" s="98" t="n"/>
      <c r="P435" s="99" t="n"/>
      <c r="Q435" s="99" t="n"/>
      <c r="R435" s="100" t="n"/>
      <c r="S435" s="98" t="n"/>
      <c r="T435" s="99" t="n"/>
      <c r="U435" s="99" t="n"/>
      <c r="V435" s="100" t="n"/>
      <c r="W435" s="98" t="n"/>
      <c r="X435" s="100" t="n"/>
      <c r="Y435" s="98" t="n"/>
      <c r="Z435" s="100" t="n"/>
      <c r="AB435" s="101">
        <f>IF($B435="","",(COUNTIF(C408:E425,$B435)+COUNTIF(C408:E425,$B435&amp;" ~*")&gt;0)+(COUNTIF(G408:I425,$B435)+COUNTIF(G408:I425,$B435&amp;" ~*")&gt;0)+(COUNTIF(K408:M425,$B435)+COUNTIF(K408:M425,$B435&amp;" ~*")&gt;0)+(COUNTIF(O408:Q425,$B435)+COUNTIF(O408:Q425,$B435&amp;" ~*")&gt;0)+(COUNTIF(S408:U425,$B435)+COUNTIF(S408:U425,$B435&amp;" ~*")&gt;0)+(COUNTIF(W408:W425,$B435)+COUNTIF(W408:W425,$B435&amp;" ~*")&gt;0)+(COUNTIF(Y408:Y425,$B435)+COUNTIF(Y408:Y425,$B435&amp;" ~*")&gt;0))</f>
        <v/>
      </c>
      <c r="AC435" s="36">
        <f>IF($B435="","",(IFERROR(INDEX(Setup!$G$33:$G$40,MATCH(C435,Setup!$B$33:$B$40,0)),0)=1)*(COUNTIF(C408:E425,$B435)+COUNTIF(C408:E425,$B435&amp;" ~*")&gt;0)+(IFERROR(INDEX(Setup!$G$33:$G$40,MATCH(G435,Setup!$B$33:$B$40,0)),0)=1)*(COUNTIF(G408:I425,$B435)+COUNTIF(G408:I425,$B435&amp;" ~*")&gt;0)+(IFERROR(INDEX(Setup!$G$33:$G$40,MATCH(K435,Setup!$B$33:$B$40,0)),0)=1)*(COUNTIF(K408:M425,$B435)+COUNTIF(K408:M425,$B435&amp;" ~*")&gt;0)+(IFERROR(INDEX(Setup!$G$33:$G$40,MATCH(O435,Setup!$B$33:$B$40,0)),0)=1)*(COUNTIF(O408:Q425,$B435)+COUNTIF(O408:Q425,$B435&amp;" ~*")&gt;0)+(IFERROR(INDEX(Setup!$G$33:$G$40,MATCH(S435,Setup!$B$33:$B$40,0)),0)=1)*(COUNTIF(S408:U425,$B435)+COUNTIF(S408:U425,$B435&amp;" ~*")&gt;0)+(IFERROR(INDEX(Setup!$G$33:$G$40,MATCH(W435,Setup!$B$33:$B$40,0)),0)=1)*(COUNTIF(W408:W425,$B435)+COUNTIF(W408:W425,$B435&amp;" ~*")&gt;0)+(IFERROR(INDEX(Setup!$G$33:$G$40,MATCH(Y435,Setup!$B$33:$B$40,0)),0)=1)*(COUNTIF(Y408:Y425,$B435)+COUNTIF(Y408:Y425,$B435&amp;" ~*")&gt;0))</f>
        <v/>
      </c>
    </row>
    <row r="436" ht="15" customHeight="1">
      <c r="A436" t="n">
        <v>9</v>
      </c>
      <c r="B436" s="37">
        <f>IF(Setup!$B$15="","",Setup!$B$15)</f>
        <v/>
      </c>
      <c r="C436" s="102" t="n"/>
      <c r="D436" s="103" t="n"/>
      <c r="E436" s="103" t="n"/>
      <c r="F436" s="104" t="n"/>
      <c r="G436" s="102" t="n"/>
      <c r="H436" s="103" t="n"/>
      <c r="I436" s="103" t="n"/>
      <c r="J436" s="104" t="n"/>
      <c r="K436" s="102" t="n"/>
      <c r="L436" s="103" t="n"/>
      <c r="M436" s="103" t="n"/>
      <c r="N436" s="104" t="n"/>
      <c r="O436" s="102" t="n"/>
      <c r="P436" s="103" t="n"/>
      <c r="Q436" s="103" t="n"/>
      <c r="R436" s="104" t="n"/>
      <c r="S436" s="102" t="n"/>
      <c r="T436" s="103" t="n"/>
      <c r="U436" s="103" t="n"/>
      <c r="V436" s="104" t="n"/>
      <c r="W436" s="102" t="n"/>
      <c r="X436" s="104" t="n"/>
      <c r="Y436" s="102" t="n"/>
      <c r="Z436" s="104" t="n"/>
      <c r="AB436" s="105">
        <f>IF($B436="","",(COUNTIF(C408:E425,$B436)+COUNTIF(C408:E425,$B436&amp;" ~*")&gt;0)+(COUNTIF(G408:I425,$B436)+COUNTIF(G408:I425,$B436&amp;" ~*")&gt;0)+(COUNTIF(K408:M425,$B436)+COUNTIF(K408:M425,$B436&amp;" ~*")&gt;0)+(COUNTIF(O408:Q425,$B436)+COUNTIF(O408:Q425,$B436&amp;" ~*")&gt;0)+(COUNTIF(S408:U425,$B436)+COUNTIF(S408:U425,$B436&amp;" ~*")&gt;0)+(COUNTIF(W408:W425,$B436)+COUNTIF(W408:W425,$B436&amp;" ~*")&gt;0)+(COUNTIF(Y408:Y425,$B436)+COUNTIF(Y408:Y425,$B436&amp;" ~*")&gt;0))</f>
        <v/>
      </c>
      <c r="AC436" s="38">
        <f>IF($B436="","",(IFERROR(INDEX(Setup!$G$33:$G$40,MATCH(C436,Setup!$B$33:$B$40,0)),0)=1)*(COUNTIF(C408:E425,$B436)+COUNTIF(C408:E425,$B436&amp;" ~*")&gt;0)+(IFERROR(INDEX(Setup!$G$33:$G$40,MATCH(G436,Setup!$B$33:$B$40,0)),0)=1)*(COUNTIF(G408:I425,$B436)+COUNTIF(G408:I425,$B436&amp;" ~*")&gt;0)+(IFERROR(INDEX(Setup!$G$33:$G$40,MATCH(K436,Setup!$B$33:$B$40,0)),0)=1)*(COUNTIF(K408:M425,$B436)+COUNTIF(K408:M425,$B436&amp;" ~*")&gt;0)+(IFERROR(INDEX(Setup!$G$33:$G$40,MATCH(O436,Setup!$B$33:$B$40,0)),0)=1)*(COUNTIF(O408:Q425,$B436)+COUNTIF(O408:Q425,$B436&amp;" ~*")&gt;0)+(IFERROR(INDEX(Setup!$G$33:$G$40,MATCH(S436,Setup!$B$33:$B$40,0)),0)=1)*(COUNTIF(S408:U425,$B436)+COUNTIF(S408:U425,$B436&amp;" ~*")&gt;0)+(IFERROR(INDEX(Setup!$G$33:$G$40,MATCH(W436,Setup!$B$33:$B$40,0)),0)=1)*(COUNTIF(W408:W425,$B436)+COUNTIF(W408:W425,$B436&amp;" ~*")&gt;0)+(IFERROR(INDEX(Setup!$G$33:$G$40,MATCH(Y436,Setup!$B$33:$B$40,0)),0)=1)*(COUNTIF(Y408:Y425,$B436)+COUNTIF(Y408:Y425,$B436&amp;" ~*")&gt;0))</f>
        <v/>
      </c>
    </row>
    <row r="437" ht="15" customHeight="1">
      <c r="A437" t="n">
        <v>9</v>
      </c>
      <c r="B437" s="35">
        <f>IF(Setup!$B$16="","",Setup!$B$16)</f>
        <v/>
      </c>
      <c r="C437" s="98" t="n"/>
      <c r="D437" s="99" t="n"/>
      <c r="E437" s="99" t="n"/>
      <c r="F437" s="100" t="n"/>
      <c r="G437" s="98" t="n"/>
      <c r="H437" s="99" t="n"/>
      <c r="I437" s="99" t="n"/>
      <c r="J437" s="100" t="n"/>
      <c r="K437" s="98" t="n"/>
      <c r="L437" s="99" t="n"/>
      <c r="M437" s="99" t="n"/>
      <c r="N437" s="100" t="n"/>
      <c r="O437" s="98" t="n"/>
      <c r="P437" s="99" t="n"/>
      <c r="Q437" s="99" t="n"/>
      <c r="R437" s="100" t="n"/>
      <c r="S437" s="98" t="n"/>
      <c r="T437" s="99" t="n"/>
      <c r="U437" s="99" t="n"/>
      <c r="V437" s="100" t="n"/>
      <c r="W437" s="98" t="n"/>
      <c r="X437" s="100" t="n"/>
      <c r="Y437" s="98" t="n"/>
      <c r="Z437" s="100" t="n"/>
      <c r="AB437" s="101">
        <f>IF($B437="","",(COUNTIF(C408:E425,$B437)+COUNTIF(C408:E425,$B437&amp;" ~*")&gt;0)+(COUNTIF(G408:I425,$B437)+COUNTIF(G408:I425,$B437&amp;" ~*")&gt;0)+(COUNTIF(K408:M425,$B437)+COUNTIF(K408:M425,$B437&amp;" ~*")&gt;0)+(COUNTIF(O408:Q425,$B437)+COUNTIF(O408:Q425,$B437&amp;" ~*")&gt;0)+(COUNTIF(S408:U425,$B437)+COUNTIF(S408:U425,$B437&amp;" ~*")&gt;0)+(COUNTIF(W408:W425,$B437)+COUNTIF(W408:W425,$B437&amp;" ~*")&gt;0)+(COUNTIF(Y408:Y425,$B437)+COUNTIF(Y408:Y425,$B437&amp;" ~*")&gt;0))</f>
        <v/>
      </c>
      <c r="AC437" s="36">
        <f>IF($B437="","",(IFERROR(INDEX(Setup!$G$33:$G$40,MATCH(C437,Setup!$B$33:$B$40,0)),0)=1)*(COUNTIF(C408:E425,$B437)+COUNTIF(C408:E425,$B437&amp;" ~*")&gt;0)+(IFERROR(INDEX(Setup!$G$33:$G$40,MATCH(G437,Setup!$B$33:$B$40,0)),0)=1)*(COUNTIF(G408:I425,$B437)+COUNTIF(G408:I425,$B437&amp;" ~*")&gt;0)+(IFERROR(INDEX(Setup!$G$33:$G$40,MATCH(K437,Setup!$B$33:$B$40,0)),0)=1)*(COUNTIF(K408:M425,$B437)+COUNTIF(K408:M425,$B437&amp;" ~*")&gt;0)+(IFERROR(INDEX(Setup!$G$33:$G$40,MATCH(O437,Setup!$B$33:$B$40,0)),0)=1)*(COUNTIF(O408:Q425,$B437)+COUNTIF(O408:Q425,$B437&amp;" ~*")&gt;0)+(IFERROR(INDEX(Setup!$G$33:$G$40,MATCH(S437,Setup!$B$33:$B$40,0)),0)=1)*(COUNTIF(S408:U425,$B437)+COUNTIF(S408:U425,$B437&amp;" ~*")&gt;0)+(IFERROR(INDEX(Setup!$G$33:$G$40,MATCH(W437,Setup!$B$33:$B$40,0)),0)=1)*(COUNTIF(W408:W425,$B437)+COUNTIF(W408:W425,$B437&amp;" ~*")&gt;0)+(IFERROR(INDEX(Setup!$G$33:$G$40,MATCH(Y437,Setup!$B$33:$B$40,0)),0)=1)*(COUNTIF(Y408:Y425,$B437)+COUNTIF(Y408:Y425,$B437&amp;" ~*")&gt;0))</f>
        <v/>
      </c>
    </row>
    <row r="438" ht="15" customHeight="1">
      <c r="A438" t="n">
        <v>9</v>
      </c>
      <c r="B438" s="37">
        <f>IF(Setup!$B$17="","",Setup!$B$17)</f>
        <v/>
      </c>
      <c r="C438" s="102" t="n"/>
      <c r="D438" s="103" t="n"/>
      <c r="E438" s="103" t="n"/>
      <c r="F438" s="104" t="n"/>
      <c r="G438" s="102" t="n"/>
      <c r="H438" s="103" t="n"/>
      <c r="I438" s="103" t="n"/>
      <c r="J438" s="104" t="n"/>
      <c r="K438" s="102" t="n"/>
      <c r="L438" s="103" t="n"/>
      <c r="M438" s="103" t="n"/>
      <c r="N438" s="104" t="n"/>
      <c r="O438" s="102" t="n"/>
      <c r="P438" s="103" t="n"/>
      <c r="Q438" s="103" t="n"/>
      <c r="R438" s="104" t="n"/>
      <c r="S438" s="102" t="n"/>
      <c r="T438" s="103" t="n"/>
      <c r="U438" s="103" t="n"/>
      <c r="V438" s="104" t="n"/>
      <c r="W438" s="102" t="n"/>
      <c r="X438" s="104" t="n"/>
      <c r="Y438" s="102" t="n"/>
      <c r="Z438" s="104" t="n"/>
      <c r="AB438" s="105">
        <f>IF($B438="","",(COUNTIF(C408:E425,$B438)+COUNTIF(C408:E425,$B438&amp;" ~*")&gt;0)+(COUNTIF(G408:I425,$B438)+COUNTIF(G408:I425,$B438&amp;" ~*")&gt;0)+(COUNTIF(K408:M425,$B438)+COUNTIF(K408:M425,$B438&amp;" ~*")&gt;0)+(COUNTIF(O408:Q425,$B438)+COUNTIF(O408:Q425,$B438&amp;" ~*")&gt;0)+(COUNTIF(S408:U425,$B438)+COUNTIF(S408:U425,$B438&amp;" ~*")&gt;0)+(COUNTIF(W408:W425,$B438)+COUNTIF(W408:W425,$B438&amp;" ~*")&gt;0)+(COUNTIF(Y408:Y425,$B438)+COUNTIF(Y408:Y425,$B438&amp;" ~*")&gt;0))</f>
        <v/>
      </c>
      <c r="AC438" s="38">
        <f>IF($B438="","",(IFERROR(INDEX(Setup!$G$33:$G$40,MATCH(C438,Setup!$B$33:$B$40,0)),0)=1)*(COUNTIF(C408:E425,$B438)+COUNTIF(C408:E425,$B438&amp;" ~*")&gt;0)+(IFERROR(INDEX(Setup!$G$33:$G$40,MATCH(G438,Setup!$B$33:$B$40,0)),0)=1)*(COUNTIF(G408:I425,$B438)+COUNTIF(G408:I425,$B438&amp;" ~*")&gt;0)+(IFERROR(INDEX(Setup!$G$33:$G$40,MATCH(K438,Setup!$B$33:$B$40,0)),0)=1)*(COUNTIF(K408:M425,$B438)+COUNTIF(K408:M425,$B438&amp;" ~*")&gt;0)+(IFERROR(INDEX(Setup!$G$33:$G$40,MATCH(O438,Setup!$B$33:$B$40,0)),0)=1)*(COUNTIF(O408:Q425,$B438)+COUNTIF(O408:Q425,$B438&amp;" ~*")&gt;0)+(IFERROR(INDEX(Setup!$G$33:$G$40,MATCH(S438,Setup!$B$33:$B$40,0)),0)=1)*(COUNTIF(S408:U425,$B438)+COUNTIF(S408:U425,$B438&amp;" ~*")&gt;0)+(IFERROR(INDEX(Setup!$G$33:$G$40,MATCH(W438,Setup!$B$33:$B$40,0)),0)=1)*(COUNTIF(W408:W425,$B438)+COUNTIF(W408:W425,$B438&amp;" ~*")&gt;0)+(IFERROR(INDEX(Setup!$G$33:$G$40,MATCH(Y438,Setup!$B$33:$B$40,0)),0)=1)*(COUNTIF(Y408:Y425,$B438)+COUNTIF(Y408:Y425,$B438&amp;" ~*")&gt;0))</f>
        <v/>
      </c>
    </row>
    <row r="439" ht="15" customHeight="1">
      <c r="A439" t="n">
        <v>9</v>
      </c>
      <c r="B439" s="35">
        <f>IF(Setup!$B$18="","",Setup!$B$18)</f>
        <v/>
      </c>
      <c r="C439" s="98" t="n"/>
      <c r="D439" s="99" t="n"/>
      <c r="E439" s="99" t="n"/>
      <c r="F439" s="100" t="n"/>
      <c r="G439" s="98" t="n"/>
      <c r="H439" s="99" t="n"/>
      <c r="I439" s="99" t="n"/>
      <c r="J439" s="100" t="n"/>
      <c r="K439" s="98" t="n"/>
      <c r="L439" s="99" t="n"/>
      <c r="M439" s="99" t="n"/>
      <c r="N439" s="100" t="n"/>
      <c r="O439" s="98" t="n"/>
      <c r="P439" s="99" t="n"/>
      <c r="Q439" s="99" t="n"/>
      <c r="R439" s="100" t="n"/>
      <c r="S439" s="98" t="n"/>
      <c r="T439" s="99" t="n"/>
      <c r="U439" s="99" t="n"/>
      <c r="V439" s="100" t="n"/>
      <c r="W439" s="98" t="n"/>
      <c r="X439" s="100" t="n"/>
      <c r="Y439" s="98" t="n"/>
      <c r="Z439" s="100" t="n"/>
      <c r="AB439" s="101">
        <f>IF($B439="","",(COUNTIF(C408:E425,$B439)+COUNTIF(C408:E425,$B439&amp;" ~*")&gt;0)+(COUNTIF(G408:I425,$B439)+COUNTIF(G408:I425,$B439&amp;" ~*")&gt;0)+(COUNTIF(K408:M425,$B439)+COUNTIF(K408:M425,$B439&amp;" ~*")&gt;0)+(COUNTIF(O408:Q425,$B439)+COUNTIF(O408:Q425,$B439&amp;" ~*")&gt;0)+(COUNTIF(S408:U425,$B439)+COUNTIF(S408:U425,$B439&amp;" ~*")&gt;0)+(COUNTIF(W408:W425,$B439)+COUNTIF(W408:W425,$B439&amp;" ~*")&gt;0)+(COUNTIF(Y408:Y425,$B439)+COUNTIF(Y408:Y425,$B439&amp;" ~*")&gt;0))</f>
        <v/>
      </c>
      <c r="AC439" s="36">
        <f>IF($B439="","",(IFERROR(INDEX(Setup!$G$33:$G$40,MATCH(C439,Setup!$B$33:$B$40,0)),0)=1)*(COUNTIF(C408:E425,$B439)+COUNTIF(C408:E425,$B439&amp;" ~*")&gt;0)+(IFERROR(INDEX(Setup!$G$33:$G$40,MATCH(G439,Setup!$B$33:$B$40,0)),0)=1)*(COUNTIF(G408:I425,$B439)+COUNTIF(G408:I425,$B439&amp;" ~*")&gt;0)+(IFERROR(INDEX(Setup!$G$33:$G$40,MATCH(K439,Setup!$B$33:$B$40,0)),0)=1)*(COUNTIF(K408:M425,$B439)+COUNTIF(K408:M425,$B439&amp;" ~*")&gt;0)+(IFERROR(INDEX(Setup!$G$33:$G$40,MATCH(O439,Setup!$B$33:$B$40,0)),0)=1)*(COUNTIF(O408:Q425,$B439)+COUNTIF(O408:Q425,$B439&amp;" ~*")&gt;0)+(IFERROR(INDEX(Setup!$G$33:$G$40,MATCH(S439,Setup!$B$33:$B$40,0)),0)=1)*(COUNTIF(S408:U425,$B439)+COUNTIF(S408:U425,$B439&amp;" ~*")&gt;0)+(IFERROR(INDEX(Setup!$G$33:$G$40,MATCH(W439,Setup!$B$33:$B$40,0)),0)=1)*(COUNTIF(W408:W425,$B439)+COUNTIF(W408:W425,$B439&amp;" ~*")&gt;0)+(IFERROR(INDEX(Setup!$G$33:$G$40,MATCH(Y439,Setup!$B$33:$B$40,0)),0)=1)*(COUNTIF(Y408:Y425,$B439)+COUNTIF(Y408:Y425,$B439&amp;" ~*")&gt;0))</f>
        <v/>
      </c>
    </row>
    <row r="440" ht="15" customHeight="1">
      <c r="A440" t="n">
        <v>9</v>
      </c>
      <c r="B440" s="37">
        <f>IF(Setup!$B$19="","",Setup!$B$19)</f>
        <v/>
      </c>
      <c r="C440" s="102" t="n"/>
      <c r="D440" s="103" t="n"/>
      <c r="E440" s="103" t="n"/>
      <c r="F440" s="104" t="n"/>
      <c r="G440" s="102" t="n"/>
      <c r="H440" s="103" t="n"/>
      <c r="I440" s="103" t="n"/>
      <c r="J440" s="104" t="n"/>
      <c r="K440" s="102" t="n"/>
      <c r="L440" s="103" t="n"/>
      <c r="M440" s="103" t="n"/>
      <c r="N440" s="104" t="n"/>
      <c r="O440" s="102" t="n"/>
      <c r="P440" s="103" t="n"/>
      <c r="Q440" s="103" t="n"/>
      <c r="R440" s="104" t="n"/>
      <c r="S440" s="102" t="n"/>
      <c r="T440" s="103" t="n"/>
      <c r="U440" s="103" t="n"/>
      <c r="V440" s="104" t="n"/>
      <c r="W440" s="102" t="n"/>
      <c r="X440" s="104" t="n"/>
      <c r="Y440" s="102" t="n"/>
      <c r="Z440" s="104" t="n"/>
      <c r="AB440" s="105">
        <f>IF($B440="","",(COUNTIF(C408:E425,$B440)+COUNTIF(C408:E425,$B440&amp;" ~*")&gt;0)+(COUNTIF(G408:I425,$B440)+COUNTIF(G408:I425,$B440&amp;" ~*")&gt;0)+(COUNTIF(K408:M425,$B440)+COUNTIF(K408:M425,$B440&amp;" ~*")&gt;0)+(COUNTIF(O408:Q425,$B440)+COUNTIF(O408:Q425,$B440&amp;" ~*")&gt;0)+(COUNTIF(S408:U425,$B440)+COUNTIF(S408:U425,$B440&amp;" ~*")&gt;0)+(COUNTIF(W408:W425,$B440)+COUNTIF(W408:W425,$B440&amp;" ~*")&gt;0)+(COUNTIF(Y408:Y425,$B440)+COUNTIF(Y408:Y425,$B440&amp;" ~*")&gt;0))</f>
        <v/>
      </c>
      <c r="AC440" s="38">
        <f>IF($B440="","",(IFERROR(INDEX(Setup!$G$33:$G$40,MATCH(C440,Setup!$B$33:$B$40,0)),0)=1)*(COUNTIF(C408:E425,$B440)+COUNTIF(C408:E425,$B440&amp;" ~*")&gt;0)+(IFERROR(INDEX(Setup!$G$33:$G$40,MATCH(G440,Setup!$B$33:$B$40,0)),0)=1)*(COUNTIF(G408:I425,$B440)+COUNTIF(G408:I425,$B440&amp;" ~*")&gt;0)+(IFERROR(INDEX(Setup!$G$33:$G$40,MATCH(K440,Setup!$B$33:$B$40,0)),0)=1)*(COUNTIF(K408:M425,$B440)+COUNTIF(K408:M425,$B440&amp;" ~*")&gt;0)+(IFERROR(INDEX(Setup!$G$33:$G$40,MATCH(O440,Setup!$B$33:$B$40,0)),0)=1)*(COUNTIF(O408:Q425,$B440)+COUNTIF(O408:Q425,$B440&amp;" ~*")&gt;0)+(IFERROR(INDEX(Setup!$G$33:$G$40,MATCH(S440,Setup!$B$33:$B$40,0)),0)=1)*(COUNTIF(S408:U425,$B440)+COUNTIF(S408:U425,$B440&amp;" ~*")&gt;0)+(IFERROR(INDEX(Setup!$G$33:$G$40,MATCH(W440,Setup!$B$33:$B$40,0)),0)=1)*(COUNTIF(W408:W425,$B440)+COUNTIF(W408:W425,$B440&amp;" ~*")&gt;0)+(IFERROR(INDEX(Setup!$G$33:$G$40,MATCH(Y440,Setup!$B$33:$B$40,0)),0)=1)*(COUNTIF(Y408:Y425,$B440)+COUNTIF(Y408:Y425,$B440&amp;" ~*")&gt;0))</f>
        <v/>
      </c>
    </row>
    <row r="441" ht="15" customHeight="1">
      <c r="A441" t="n">
        <v>9</v>
      </c>
      <c r="B441" s="35">
        <f>IF(Setup!$B$20="","",Setup!$B$20)</f>
        <v/>
      </c>
      <c r="C441" s="98" t="n"/>
      <c r="D441" s="99" t="n"/>
      <c r="E441" s="99" t="n"/>
      <c r="F441" s="100" t="n"/>
      <c r="G441" s="98" t="n"/>
      <c r="H441" s="99" t="n"/>
      <c r="I441" s="99" t="n"/>
      <c r="J441" s="100" t="n"/>
      <c r="K441" s="98" t="n"/>
      <c r="L441" s="99" t="n"/>
      <c r="M441" s="99" t="n"/>
      <c r="N441" s="100" t="n"/>
      <c r="O441" s="98" t="n"/>
      <c r="P441" s="99" t="n"/>
      <c r="Q441" s="99" t="n"/>
      <c r="R441" s="100" t="n"/>
      <c r="S441" s="98" t="n"/>
      <c r="T441" s="99" t="n"/>
      <c r="U441" s="99" t="n"/>
      <c r="V441" s="100" t="n"/>
      <c r="W441" s="98" t="n"/>
      <c r="X441" s="100" t="n"/>
      <c r="Y441" s="98" t="n"/>
      <c r="Z441" s="100" t="n"/>
      <c r="AB441" s="101">
        <f>IF($B441="","",(COUNTIF(C408:E425,$B441)+COUNTIF(C408:E425,$B441&amp;" ~*")&gt;0)+(COUNTIF(G408:I425,$B441)+COUNTIF(G408:I425,$B441&amp;" ~*")&gt;0)+(COUNTIF(K408:M425,$B441)+COUNTIF(K408:M425,$B441&amp;" ~*")&gt;0)+(COUNTIF(O408:Q425,$B441)+COUNTIF(O408:Q425,$B441&amp;" ~*")&gt;0)+(COUNTIF(S408:U425,$B441)+COUNTIF(S408:U425,$B441&amp;" ~*")&gt;0)+(COUNTIF(W408:W425,$B441)+COUNTIF(W408:W425,$B441&amp;" ~*")&gt;0)+(COUNTIF(Y408:Y425,$B441)+COUNTIF(Y408:Y425,$B441&amp;" ~*")&gt;0))</f>
        <v/>
      </c>
      <c r="AC441" s="36">
        <f>IF($B441="","",(IFERROR(INDEX(Setup!$G$33:$G$40,MATCH(C441,Setup!$B$33:$B$40,0)),0)=1)*(COUNTIF(C408:E425,$B441)+COUNTIF(C408:E425,$B441&amp;" ~*")&gt;0)+(IFERROR(INDEX(Setup!$G$33:$G$40,MATCH(G441,Setup!$B$33:$B$40,0)),0)=1)*(COUNTIF(G408:I425,$B441)+COUNTIF(G408:I425,$B441&amp;" ~*")&gt;0)+(IFERROR(INDEX(Setup!$G$33:$G$40,MATCH(K441,Setup!$B$33:$B$40,0)),0)=1)*(COUNTIF(K408:M425,$B441)+COUNTIF(K408:M425,$B441&amp;" ~*")&gt;0)+(IFERROR(INDEX(Setup!$G$33:$G$40,MATCH(O441,Setup!$B$33:$B$40,0)),0)=1)*(COUNTIF(O408:Q425,$B441)+COUNTIF(O408:Q425,$B441&amp;" ~*")&gt;0)+(IFERROR(INDEX(Setup!$G$33:$G$40,MATCH(S441,Setup!$B$33:$B$40,0)),0)=1)*(COUNTIF(S408:U425,$B441)+COUNTIF(S408:U425,$B441&amp;" ~*")&gt;0)+(IFERROR(INDEX(Setup!$G$33:$G$40,MATCH(W441,Setup!$B$33:$B$40,0)),0)=1)*(COUNTIF(W408:W425,$B441)+COUNTIF(W408:W425,$B441&amp;" ~*")&gt;0)+(IFERROR(INDEX(Setup!$G$33:$G$40,MATCH(Y441,Setup!$B$33:$B$40,0)),0)=1)*(COUNTIF(Y408:Y425,$B441)+COUNTIF(Y408:Y425,$B441&amp;" ~*")&gt;0))</f>
        <v/>
      </c>
    </row>
    <row r="442" ht="15" customHeight="1">
      <c r="A442" t="n">
        <v>9</v>
      </c>
      <c r="B442" s="37">
        <f>IF(Setup!$B$21="","",Setup!$B$21)</f>
        <v/>
      </c>
      <c r="C442" s="102" t="n"/>
      <c r="D442" s="103" t="n"/>
      <c r="E442" s="103" t="n"/>
      <c r="F442" s="104" t="n"/>
      <c r="G442" s="102" t="n"/>
      <c r="H442" s="103" t="n"/>
      <c r="I442" s="103" t="n"/>
      <c r="J442" s="104" t="n"/>
      <c r="K442" s="102" t="n"/>
      <c r="L442" s="103" t="n"/>
      <c r="M442" s="103" t="n"/>
      <c r="N442" s="104" t="n"/>
      <c r="O442" s="102" t="n"/>
      <c r="P442" s="103" t="n"/>
      <c r="Q442" s="103" t="n"/>
      <c r="R442" s="104" t="n"/>
      <c r="S442" s="102" t="n"/>
      <c r="T442" s="103" t="n"/>
      <c r="U442" s="103" t="n"/>
      <c r="V442" s="104" t="n"/>
      <c r="W442" s="102" t="n"/>
      <c r="X442" s="104" t="n"/>
      <c r="Y442" s="102" t="n"/>
      <c r="Z442" s="104" t="n"/>
      <c r="AB442" s="105">
        <f>IF($B442="","",(COUNTIF(C408:E425,$B442)+COUNTIF(C408:E425,$B442&amp;" ~*")&gt;0)+(COUNTIF(G408:I425,$B442)+COUNTIF(G408:I425,$B442&amp;" ~*")&gt;0)+(COUNTIF(K408:M425,$B442)+COUNTIF(K408:M425,$B442&amp;" ~*")&gt;0)+(COUNTIF(O408:Q425,$B442)+COUNTIF(O408:Q425,$B442&amp;" ~*")&gt;0)+(COUNTIF(S408:U425,$B442)+COUNTIF(S408:U425,$B442&amp;" ~*")&gt;0)+(COUNTIF(W408:W425,$B442)+COUNTIF(W408:W425,$B442&amp;" ~*")&gt;0)+(COUNTIF(Y408:Y425,$B442)+COUNTIF(Y408:Y425,$B442&amp;" ~*")&gt;0))</f>
        <v/>
      </c>
      <c r="AC442" s="38">
        <f>IF($B442="","",(IFERROR(INDEX(Setup!$G$33:$G$40,MATCH(C442,Setup!$B$33:$B$40,0)),0)=1)*(COUNTIF(C408:E425,$B442)+COUNTIF(C408:E425,$B442&amp;" ~*")&gt;0)+(IFERROR(INDEX(Setup!$G$33:$G$40,MATCH(G442,Setup!$B$33:$B$40,0)),0)=1)*(COUNTIF(G408:I425,$B442)+COUNTIF(G408:I425,$B442&amp;" ~*")&gt;0)+(IFERROR(INDEX(Setup!$G$33:$G$40,MATCH(K442,Setup!$B$33:$B$40,0)),0)=1)*(COUNTIF(K408:M425,$B442)+COUNTIF(K408:M425,$B442&amp;" ~*")&gt;0)+(IFERROR(INDEX(Setup!$G$33:$G$40,MATCH(O442,Setup!$B$33:$B$40,0)),0)=1)*(COUNTIF(O408:Q425,$B442)+COUNTIF(O408:Q425,$B442&amp;" ~*")&gt;0)+(IFERROR(INDEX(Setup!$G$33:$G$40,MATCH(S442,Setup!$B$33:$B$40,0)),0)=1)*(COUNTIF(S408:U425,$B442)+COUNTIF(S408:U425,$B442&amp;" ~*")&gt;0)+(IFERROR(INDEX(Setup!$G$33:$G$40,MATCH(W442,Setup!$B$33:$B$40,0)),0)=1)*(COUNTIF(W408:W425,$B442)+COUNTIF(W408:W425,$B442&amp;" ~*")&gt;0)+(IFERROR(INDEX(Setup!$G$33:$G$40,MATCH(Y442,Setup!$B$33:$B$40,0)),0)=1)*(COUNTIF(Y408:Y425,$B442)+COUNTIF(Y408:Y425,$B442&amp;" ~*")&gt;0))</f>
        <v/>
      </c>
    </row>
    <row r="443" ht="15" customHeight="1">
      <c r="A443" t="n">
        <v>9</v>
      </c>
      <c r="B443" s="35">
        <f>IF(Setup!$B$22="","",Setup!$B$22)</f>
        <v/>
      </c>
      <c r="C443" s="98" t="n"/>
      <c r="D443" s="99" t="n"/>
      <c r="E443" s="99" t="n"/>
      <c r="F443" s="100" t="n"/>
      <c r="G443" s="98" t="n"/>
      <c r="H443" s="99" t="n"/>
      <c r="I443" s="99" t="n"/>
      <c r="J443" s="100" t="n"/>
      <c r="K443" s="98" t="n"/>
      <c r="L443" s="99" t="n"/>
      <c r="M443" s="99" t="n"/>
      <c r="N443" s="100" t="n"/>
      <c r="O443" s="98" t="n"/>
      <c r="P443" s="99" t="n"/>
      <c r="Q443" s="99" t="n"/>
      <c r="R443" s="100" t="n"/>
      <c r="S443" s="98" t="n"/>
      <c r="T443" s="99" t="n"/>
      <c r="U443" s="99" t="n"/>
      <c r="V443" s="100" t="n"/>
      <c r="W443" s="98" t="n"/>
      <c r="X443" s="100" t="n"/>
      <c r="Y443" s="98" t="n"/>
      <c r="Z443" s="100" t="n"/>
      <c r="AB443" s="101">
        <f>IF($B443="","",(COUNTIF(C408:E425,$B443)+COUNTIF(C408:E425,$B443&amp;" ~*")&gt;0)+(COUNTIF(G408:I425,$B443)+COUNTIF(G408:I425,$B443&amp;" ~*")&gt;0)+(COUNTIF(K408:M425,$B443)+COUNTIF(K408:M425,$B443&amp;" ~*")&gt;0)+(COUNTIF(O408:Q425,$B443)+COUNTIF(O408:Q425,$B443&amp;" ~*")&gt;0)+(COUNTIF(S408:U425,$B443)+COUNTIF(S408:U425,$B443&amp;" ~*")&gt;0)+(COUNTIF(W408:W425,$B443)+COUNTIF(W408:W425,$B443&amp;" ~*")&gt;0)+(COUNTIF(Y408:Y425,$B443)+COUNTIF(Y408:Y425,$B443&amp;" ~*")&gt;0))</f>
        <v/>
      </c>
      <c r="AC443" s="36">
        <f>IF($B443="","",(IFERROR(INDEX(Setup!$G$33:$G$40,MATCH(C443,Setup!$B$33:$B$40,0)),0)=1)*(COUNTIF(C408:E425,$B443)+COUNTIF(C408:E425,$B443&amp;" ~*")&gt;0)+(IFERROR(INDEX(Setup!$G$33:$G$40,MATCH(G443,Setup!$B$33:$B$40,0)),0)=1)*(COUNTIF(G408:I425,$B443)+COUNTIF(G408:I425,$B443&amp;" ~*")&gt;0)+(IFERROR(INDEX(Setup!$G$33:$G$40,MATCH(K443,Setup!$B$33:$B$40,0)),0)=1)*(COUNTIF(K408:M425,$B443)+COUNTIF(K408:M425,$B443&amp;" ~*")&gt;0)+(IFERROR(INDEX(Setup!$G$33:$G$40,MATCH(O443,Setup!$B$33:$B$40,0)),0)=1)*(COUNTIF(O408:Q425,$B443)+COUNTIF(O408:Q425,$B443&amp;" ~*")&gt;0)+(IFERROR(INDEX(Setup!$G$33:$G$40,MATCH(S443,Setup!$B$33:$B$40,0)),0)=1)*(COUNTIF(S408:U425,$B443)+COUNTIF(S408:U425,$B443&amp;" ~*")&gt;0)+(IFERROR(INDEX(Setup!$G$33:$G$40,MATCH(W443,Setup!$B$33:$B$40,0)),0)=1)*(COUNTIF(W408:W425,$B443)+COUNTIF(W408:W425,$B443&amp;" ~*")&gt;0)+(IFERROR(INDEX(Setup!$G$33:$G$40,MATCH(Y443,Setup!$B$33:$B$40,0)),0)=1)*(COUNTIF(Y408:Y425,$B443)+COUNTIF(Y408:Y425,$B443&amp;" ~*")&gt;0))</f>
        <v/>
      </c>
    </row>
    <row r="444" ht="15" customHeight="1">
      <c r="A444" t="n">
        <v>9</v>
      </c>
      <c r="B444" s="37">
        <f>IF(Setup!$B$23="","",Setup!$B$23)</f>
        <v/>
      </c>
      <c r="C444" s="102" t="n"/>
      <c r="D444" s="103" t="n"/>
      <c r="E444" s="103" t="n"/>
      <c r="F444" s="104" t="n"/>
      <c r="G444" s="102" t="n"/>
      <c r="H444" s="103" t="n"/>
      <c r="I444" s="103" t="n"/>
      <c r="J444" s="104" t="n"/>
      <c r="K444" s="102" t="n"/>
      <c r="L444" s="103" t="n"/>
      <c r="M444" s="103" t="n"/>
      <c r="N444" s="104" t="n"/>
      <c r="O444" s="102" t="n"/>
      <c r="P444" s="103" t="n"/>
      <c r="Q444" s="103" t="n"/>
      <c r="R444" s="104" t="n"/>
      <c r="S444" s="102" t="n"/>
      <c r="T444" s="103" t="n"/>
      <c r="U444" s="103" t="n"/>
      <c r="V444" s="104" t="n"/>
      <c r="W444" s="102" t="n"/>
      <c r="X444" s="104" t="n"/>
      <c r="Y444" s="102" t="n"/>
      <c r="Z444" s="104" t="n"/>
      <c r="AB444" s="105">
        <f>IF($B444="","",(COUNTIF(C408:E425,$B444)+COUNTIF(C408:E425,$B444&amp;" ~*")&gt;0)+(COUNTIF(G408:I425,$B444)+COUNTIF(G408:I425,$B444&amp;" ~*")&gt;0)+(COUNTIF(K408:M425,$B444)+COUNTIF(K408:M425,$B444&amp;" ~*")&gt;0)+(COUNTIF(O408:Q425,$B444)+COUNTIF(O408:Q425,$B444&amp;" ~*")&gt;0)+(COUNTIF(S408:U425,$B444)+COUNTIF(S408:U425,$B444&amp;" ~*")&gt;0)+(COUNTIF(W408:W425,$B444)+COUNTIF(W408:W425,$B444&amp;" ~*")&gt;0)+(COUNTIF(Y408:Y425,$B444)+COUNTIF(Y408:Y425,$B444&amp;" ~*")&gt;0))</f>
        <v/>
      </c>
      <c r="AC444" s="38">
        <f>IF($B444="","",(IFERROR(INDEX(Setup!$G$33:$G$40,MATCH(C444,Setup!$B$33:$B$40,0)),0)=1)*(COUNTIF(C408:E425,$B444)+COUNTIF(C408:E425,$B444&amp;" ~*")&gt;0)+(IFERROR(INDEX(Setup!$G$33:$G$40,MATCH(G444,Setup!$B$33:$B$40,0)),0)=1)*(COUNTIF(G408:I425,$B444)+COUNTIF(G408:I425,$B444&amp;" ~*")&gt;0)+(IFERROR(INDEX(Setup!$G$33:$G$40,MATCH(K444,Setup!$B$33:$B$40,0)),0)=1)*(COUNTIF(K408:M425,$B444)+COUNTIF(K408:M425,$B444&amp;" ~*")&gt;0)+(IFERROR(INDEX(Setup!$G$33:$G$40,MATCH(O444,Setup!$B$33:$B$40,0)),0)=1)*(COUNTIF(O408:Q425,$B444)+COUNTIF(O408:Q425,$B444&amp;" ~*")&gt;0)+(IFERROR(INDEX(Setup!$G$33:$G$40,MATCH(S444,Setup!$B$33:$B$40,0)),0)=1)*(COUNTIF(S408:U425,$B444)+COUNTIF(S408:U425,$B444&amp;" ~*")&gt;0)+(IFERROR(INDEX(Setup!$G$33:$G$40,MATCH(W444,Setup!$B$33:$B$40,0)),0)=1)*(COUNTIF(W408:W425,$B444)+COUNTIF(W408:W425,$B444&amp;" ~*")&gt;0)+(IFERROR(INDEX(Setup!$G$33:$G$40,MATCH(Y444,Setup!$B$33:$B$40,0)),0)=1)*(COUNTIF(Y408:Y425,$B444)+COUNTIF(Y408:Y425,$B444&amp;" ~*")&gt;0))</f>
        <v/>
      </c>
    </row>
    <row r="445" ht="15" customHeight="1">
      <c r="A445" t="n">
        <v>9</v>
      </c>
      <c r="B445" s="35">
        <f>IF(Setup!$B$24="","",Setup!$B$24)</f>
        <v/>
      </c>
      <c r="C445" s="98" t="n"/>
      <c r="D445" s="99" t="n"/>
      <c r="E445" s="99" t="n"/>
      <c r="F445" s="100" t="n"/>
      <c r="G445" s="98" t="n"/>
      <c r="H445" s="99" t="n"/>
      <c r="I445" s="99" t="n"/>
      <c r="J445" s="100" t="n"/>
      <c r="K445" s="98" t="n"/>
      <c r="L445" s="99" t="n"/>
      <c r="M445" s="99" t="n"/>
      <c r="N445" s="100" t="n"/>
      <c r="O445" s="98" t="n"/>
      <c r="P445" s="99" t="n"/>
      <c r="Q445" s="99" t="n"/>
      <c r="R445" s="100" t="n"/>
      <c r="S445" s="98" t="n"/>
      <c r="T445" s="99" t="n"/>
      <c r="U445" s="99" t="n"/>
      <c r="V445" s="100" t="n"/>
      <c r="W445" s="98" t="n"/>
      <c r="X445" s="100" t="n"/>
      <c r="Y445" s="98" t="n"/>
      <c r="Z445" s="100" t="n"/>
      <c r="AB445" s="101">
        <f>IF($B445="","",(COUNTIF(C408:E425,$B445)+COUNTIF(C408:E425,$B445&amp;" ~*")&gt;0)+(COUNTIF(G408:I425,$B445)+COUNTIF(G408:I425,$B445&amp;" ~*")&gt;0)+(COUNTIF(K408:M425,$B445)+COUNTIF(K408:M425,$B445&amp;" ~*")&gt;0)+(COUNTIF(O408:Q425,$B445)+COUNTIF(O408:Q425,$B445&amp;" ~*")&gt;0)+(COUNTIF(S408:U425,$B445)+COUNTIF(S408:U425,$B445&amp;" ~*")&gt;0)+(COUNTIF(W408:W425,$B445)+COUNTIF(W408:W425,$B445&amp;" ~*")&gt;0)+(COUNTIF(Y408:Y425,$B445)+COUNTIF(Y408:Y425,$B445&amp;" ~*")&gt;0))</f>
        <v/>
      </c>
      <c r="AC445" s="36">
        <f>IF($B445="","",(IFERROR(INDEX(Setup!$G$33:$G$40,MATCH(C445,Setup!$B$33:$B$40,0)),0)=1)*(COUNTIF(C408:E425,$B445)+COUNTIF(C408:E425,$B445&amp;" ~*")&gt;0)+(IFERROR(INDEX(Setup!$G$33:$G$40,MATCH(G445,Setup!$B$33:$B$40,0)),0)=1)*(COUNTIF(G408:I425,$B445)+COUNTIF(G408:I425,$B445&amp;" ~*")&gt;0)+(IFERROR(INDEX(Setup!$G$33:$G$40,MATCH(K445,Setup!$B$33:$B$40,0)),0)=1)*(COUNTIF(K408:M425,$B445)+COUNTIF(K408:M425,$B445&amp;" ~*")&gt;0)+(IFERROR(INDEX(Setup!$G$33:$G$40,MATCH(O445,Setup!$B$33:$B$40,0)),0)=1)*(COUNTIF(O408:Q425,$B445)+COUNTIF(O408:Q425,$B445&amp;" ~*")&gt;0)+(IFERROR(INDEX(Setup!$G$33:$G$40,MATCH(S445,Setup!$B$33:$B$40,0)),0)=1)*(COUNTIF(S408:U425,$B445)+COUNTIF(S408:U425,$B445&amp;" ~*")&gt;0)+(IFERROR(INDEX(Setup!$G$33:$G$40,MATCH(W445,Setup!$B$33:$B$40,0)),0)=1)*(COUNTIF(W408:W425,$B445)+COUNTIF(W408:W425,$B445&amp;" ~*")&gt;0)+(IFERROR(INDEX(Setup!$G$33:$G$40,MATCH(Y445,Setup!$B$33:$B$40,0)),0)=1)*(COUNTIF(Y408:Y425,$B445)+COUNTIF(Y408:Y425,$B445&amp;" ~*")&gt;0))</f>
        <v/>
      </c>
    </row>
    <row r="446" ht="15" customHeight="1">
      <c r="A446" t="n">
        <v>9</v>
      </c>
      <c r="B446" s="37">
        <f>IF(Setup!$B$25="","",Setup!$B$25)</f>
        <v/>
      </c>
      <c r="C446" s="102" t="n"/>
      <c r="D446" s="103" t="n"/>
      <c r="E446" s="103" t="n"/>
      <c r="F446" s="104" t="n"/>
      <c r="G446" s="102" t="n"/>
      <c r="H446" s="103" t="n"/>
      <c r="I446" s="103" t="n"/>
      <c r="J446" s="104" t="n"/>
      <c r="K446" s="102" t="n"/>
      <c r="L446" s="103" t="n"/>
      <c r="M446" s="103" t="n"/>
      <c r="N446" s="104" t="n"/>
      <c r="O446" s="102" t="n"/>
      <c r="P446" s="103" t="n"/>
      <c r="Q446" s="103" t="n"/>
      <c r="R446" s="104" t="n"/>
      <c r="S446" s="102" t="n"/>
      <c r="T446" s="103" t="n"/>
      <c r="U446" s="103" t="n"/>
      <c r="V446" s="104" t="n"/>
      <c r="W446" s="102" t="n"/>
      <c r="X446" s="104" t="n"/>
      <c r="Y446" s="102" t="n"/>
      <c r="Z446" s="104" t="n"/>
      <c r="AB446" s="105">
        <f>IF($B446="","",(COUNTIF(C408:E425,$B446)+COUNTIF(C408:E425,$B446&amp;" ~*")&gt;0)+(COUNTIF(G408:I425,$B446)+COUNTIF(G408:I425,$B446&amp;" ~*")&gt;0)+(COUNTIF(K408:M425,$B446)+COUNTIF(K408:M425,$B446&amp;" ~*")&gt;0)+(COUNTIF(O408:Q425,$B446)+COUNTIF(O408:Q425,$B446&amp;" ~*")&gt;0)+(COUNTIF(S408:U425,$B446)+COUNTIF(S408:U425,$B446&amp;" ~*")&gt;0)+(COUNTIF(W408:W425,$B446)+COUNTIF(W408:W425,$B446&amp;" ~*")&gt;0)+(COUNTIF(Y408:Y425,$B446)+COUNTIF(Y408:Y425,$B446&amp;" ~*")&gt;0))</f>
        <v/>
      </c>
      <c r="AC446" s="38">
        <f>IF($B446="","",(IFERROR(INDEX(Setup!$G$33:$G$40,MATCH(C446,Setup!$B$33:$B$40,0)),0)=1)*(COUNTIF(C408:E425,$B446)+COUNTIF(C408:E425,$B446&amp;" ~*")&gt;0)+(IFERROR(INDEX(Setup!$G$33:$G$40,MATCH(G446,Setup!$B$33:$B$40,0)),0)=1)*(COUNTIF(G408:I425,$B446)+COUNTIF(G408:I425,$B446&amp;" ~*")&gt;0)+(IFERROR(INDEX(Setup!$G$33:$G$40,MATCH(K446,Setup!$B$33:$B$40,0)),0)=1)*(COUNTIF(K408:M425,$B446)+COUNTIF(K408:M425,$B446&amp;" ~*")&gt;0)+(IFERROR(INDEX(Setup!$G$33:$G$40,MATCH(O446,Setup!$B$33:$B$40,0)),0)=1)*(COUNTIF(O408:Q425,$B446)+COUNTIF(O408:Q425,$B446&amp;" ~*")&gt;0)+(IFERROR(INDEX(Setup!$G$33:$G$40,MATCH(S446,Setup!$B$33:$B$40,0)),0)=1)*(COUNTIF(S408:U425,$B446)+COUNTIF(S408:U425,$B446&amp;" ~*")&gt;0)+(IFERROR(INDEX(Setup!$G$33:$G$40,MATCH(W446,Setup!$B$33:$B$40,0)),0)=1)*(COUNTIF(W408:W425,$B446)+COUNTIF(W408:W425,$B446&amp;" ~*")&gt;0)+(IFERROR(INDEX(Setup!$G$33:$G$40,MATCH(Y446,Setup!$B$33:$B$40,0)),0)=1)*(COUNTIF(Y408:Y425,$B446)+COUNTIF(Y408:Y425,$B446&amp;" ~*")&gt;0))</f>
        <v/>
      </c>
    </row>
    <row r="447" ht="15" customHeight="1">
      <c r="A447" t="n">
        <v>9</v>
      </c>
      <c r="B447" s="35">
        <f>IF(Setup!$B$26="","",Setup!$B$26)</f>
        <v/>
      </c>
      <c r="C447" s="98" t="n"/>
      <c r="D447" s="99" t="n"/>
      <c r="E447" s="99" t="n"/>
      <c r="F447" s="100" t="n"/>
      <c r="G447" s="98" t="n"/>
      <c r="H447" s="99" t="n"/>
      <c r="I447" s="99" t="n"/>
      <c r="J447" s="100" t="n"/>
      <c r="K447" s="98" t="n"/>
      <c r="L447" s="99" t="n"/>
      <c r="M447" s="99" t="n"/>
      <c r="N447" s="100" t="n"/>
      <c r="O447" s="98" t="n"/>
      <c r="P447" s="99" t="n"/>
      <c r="Q447" s="99" t="n"/>
      <c r="R447" s="100" t="n"/>
      <c r="S447" s="98" t="n"/>
      <c r="T447" s="99" t="n"/>
      <c r="U447" s="99" t="n"/>
      <c r="V447" s="100" t="n"/>
      <c r="W447" s="98" t="n"/>
      <c r="X447" s="100" t="n"/>
      <c r="Y447" s="98" t="n"/>
      <c r="Z447" s="100" t="n"/>
      <c r="AB447" s="101">
        <f>IF($B447="","",(COUNTIF(C408:E425,$B447)+COUNTIF(C408:E425,$B447&amp;" ~*")&gt;0)+(COUNTIF(G408:I425,$B447)+COUNTIF(G408:I425,$B447&amp;" ~*")&gt;0)+(COUNTIF(K408:M425,$B447)+COUNTIF(K408:M425,$B447&amp;" ~*")&gt;0)+(COUNTIF(O408:Q425,$B447)+COUNTIF(O408:Q425,$B447&amp;" ~*")&gt;0)+(COUNTIF(S408:U425,$B447)+COUNTIF(S408:U425,$B447&amp;" ~*")&gt;0)+(COUNTIF(W408:W425,$B447)+COUNTIF(W408:W425,$B447&amp;" ~*")&gt;0)+(COUNTIF(Y408:Y425,$B447)+COUNTIF(Y408:Y425,$B447&amp;" ~*")&gt;0))</f>
        <v/>
      </c>
      <c r="AC447" s="36">
        <f>IF($B447="","",(IFERROR(INDEX(Setup!$G$33:$G$40,MATCH(C447,Setup!$B$33:$B$40,0)),0)=1)*(COUNTIF(C408:E425,$B447)+COUNTIF(C408:E425,$B447&amp;" ~*")&gt;0)+(IFERROR(INDEX(Setup!$G$33:$G$40,MATCH(G447,Setup!$B$33:$B$40,0)),0)=1)*(COUNTIF(G408:I425,$B447)+COUNTIF(G408:I425,$B447&amp;" ~*")&gt;0)+(IFERROR(INDEX(Setup!$G$33:$G$40,MATCH(K447,Setup!$B$33:$B$40,0)),0)=1)*(COUNTIF(K408:M425,$B447)+COUNTIF(K408:M425,$B447&amp;" ~*")&gt;0)+(IFERROR(INDEX(Setup!$G$33:$G$40,MATCH(O447,Setup!$B$33:$B$40,0)),0)=1)*(COUNTIF(O408:Q425,$B447)+COUNTIF(O408:Q425,$B447&amp;" ~*")&gt;0)+(IFERROR(INDEX(Setup!$G$33:$G$40,MATCH(S447,Setup!$B$33:$B$40,0)),0)=1)*(COUNTIF(S408:U425,$B447)+COUNTIF(S408:U425,$B447&amp;" ~*")&gt;0)+(IFERROR(INDEX(Setup!$G$33:$G$40,MATCH(W447,Setup!$B$33:$B$40,0)),0)=1)*(COUNTIF(W408:W425,$B447)+COUNTIF(W408:W425,$B447&amp;" ~*")&gt;0)+(IFERROR(INDEX(Setup!$G$33:$G$40,MATCH(Y447,Setup!$B$33:$B$40,0)),0)=1)*(COUNTIF(Y408:Y425,$B447)+COUNTIF(Y408:Y425,$B447&amp;" ~*")&gt;0))</f>
        <v/>
      </c>
    </row>
    <row r="448" ht="15" customHeight="1">
      <c r="A448" t="n">
        <v>9</v>
      </c>
      <c r="B448" s="37">
        <f>IF(Setup!$B$27="","",Setup!$B$27)</f>
        <v/>
      </c>
      <c r="C448" s="102" t="n"/>
      <c r="D448" s="103" t="n"/>
      <c r="E448" s="103" t="n"/>
      <c r="F448" s="104" t="n"/>
      <c r="G448" s="102" t="n"/>
      <c r="H448" s="103" t="n"/>
      <c r="I448" s="103" t="n"/>
      <c r="J448" s="104" t="n"/>
      <c r="K448" s="102" t="n"/>
      <c r="L448" s="103" t="n"/>
      <c r="M448" s="103" t="n"/>
      <c r="N448" s="104" t="n"/>
      <c r="O448" s="102" t="n"/>
      <c r="P448" s="103" t="n"/>
      <c r="Q448" s="103" t="n"/>
      <c r="R448" s="104" t="n"/>
      <c r="S448" s="102" t="n"/>
      <c r="T448" s="103" t="n"/>
      <c r="U448" s="103" t="n"/>
      <c r="V448" s="104" t="n"/>
      <c r="W448" s="102" t="n"/>
      <c r="X448" s="104" t="n"/>
      <c r="Y448" s="102" t="n"/>
      <c r="Z448" s="104" t="n"/>
      <c r="AB448" s="105">
        <f>IF($B448="","",(COUNTIF(C408:E425,$B448)+COUNTIF(C408:E425,$B448&amp;" ~*")&gt;0)+(COUNTIF(G408:I425,$B448)+COUNTIF(G408:I425,$B448&amp;" ~*")&gt;0)+(COUNTIF(K408:M425,$B448)+COUNTIF(K408:M425,$B448&amp;" ~*")&gt;0)+(COUNTIF(O408:Q425,$B448)+COUNTIF(O408:Q425,$B448&amp;" ~*")&gt;0)+(COUNTIF(S408:U425,$B448)+COUNTIF(S408:U425,$B448&amp;" ~*")&gt;0)+(COUNTIF(W408:W425,$B448)+COUNTIF(W408:W425,$B448&amp;" ~*")&gt;0)+(COUNTIF(Y408:Y425,$B448)+COUNTIF(Y408:Y425,$B448&amp;" ~*")&gt;0))</f>
        <v/>
      </c>
      <c r="AC448" s="38">
        <f>IF($B448="","",(IFERROR(INDEX(Setup!$G$33:$G$40,MATCH(C448,Setup!$B$33:$B$40,0)),0)=1)*(COUNTIF(C408:E425,$B448)+COUNTIF(C408:E425,$B448&amp;" ~*")&gt;0)+(IFERROR(INDEX(Setup!$G$33:$G$40,MATCH(G448,Setup!$B$33:$B$40,0)),0)=1)*(COUNTIF(G408:I425,$B448)+COUNTIF(G408:I425,$B448&amp;" ~*")&gt;0)+(IFERROR(INDEX(Setup!$G$33:$G$40,MATCH(K448,Setup!$B$33:$B$40,0)),0)=1)*(COUNTIF(K408:M425,$B448)+COUNTIF(K408:M425,$B448&amp;" ~*")&gt;0)+(IFERROR(INDEX(Setup!$G$33:$G$40,MATCH(O448,Setup!$B$33:$B$40,0)),0)=1)*(COUNTIF(O408:Q425,$B448)+COUNTIF(O408:Q425,$B448&amp;" ~*")&gt;0)+(IFERROR(INDEX(Setup!$G$33:$G$40,MATCH(S448,Setup!$B$33:$B$40,0)),0)=1)*(COUNTIF(S408:U425,$B448)+COUNTIF(S408:U425,$B448&amp;" ~*")&gt;0)+(IFERROR(INDEX(Setup!$G$33:$G$40,MATCH(W448,Setup!$B$33:$B$40,0)),0)=1)*(COUNTIF(W408:W425,$B448)+COUNTIF(W408:W425,$B448&amp;" ~*")&gt;0)+(IFERROR(INDEX(Setup!$G$33:$G$40,MATCH(Y448,Setup!$B$33:$B$40,0)),0)=1)*(COUNTIF(Y408:Y425,$B448)+COUNTIF(Y408:Y425,$B448&amp;" ~*")&gt;0))</f>
        <v/>
      </c>
    </row>
    <row r="449" ht="15" customHeight="1">
      <c r="A449" t="n">
        <v>9</v>
      </c>
      <c r="B449" s="35">
        <f>IF(Setup!$B$28="","",Setup!$B$28)</f>
        <v/>
      </c>
      <c r="C449" s="98" t="n"/>
      <c r="D449" s="99" t="n"/>
      <c r="E449" s="99" t="n"/>
      <c r="F449" s="100" t="n"/>
      <c r="G449" s="98" t="n"/>
      <c r="H449" s="99" t="n"/>
      <c r="I449" s="99" t="n"/>
      <c r="J449" s="100" t="n"/>
      <c r="K449" s="98" t="n"/>
      <c r="L449" s="99" t="n"/>
      <c r="M449" s="99" t="n"/>
      <c r="N449" s="100" t="n"/>
      <c r="O449" s="98" t="n"/>
      <c r="P449" s="99" t="n"/>
      <c r="Q449" s="99" t="n"/>
      <c r="R449" s="100" t="n"/>
      <c r="S449" s="98" t="n"/>
      <c r="T449" s="99" t="n"/>
      <c r="U449" s="99" t="n"/>
      <c r="V449" s="100" t="n"/>
      <c r="W449" s="98" t="n"/>
      <c r="X449" s="100" t="n"/>
      <c r="Y449" s="98" t="n"/>
      <c r="Z449" s="100" t="n"/>
      <c r="AB449" s="101">
        <f>IF($B449="","",(COUNTIF(C408:E425,$B449)+COUNTIF(C408:E425,$B449&amp;" ~*")&gt;0)+(COUNTIF(G408:I425,$B449)+COUNTIF(G408:I425,$B449&amp;" ~*")&gt;0)+(COUNTIF(K408:M425,$B449)+COUNTIF(K408:M425,$B449&amp;" ~*")&gt;0)+(COUNTIF(O408:Q425,$B449)+COUNTIF(O408:Q425,$B449&amp;" ~*")&gt;0)+(COUNTIF(S408:U425,$B449)+COUNTIF(S408:U425,$B449&amp;" ~*")&gt;0)+(COUNTIF(W408:W425,$B449)+COUNTIF(W408:W425,$B449&amp;" ~*")&gt;0)+(COUNTIF(Y408:Y425,$B449)+COUNTIF(Y408:Y425,$B449&amp;" ~*")&gt;0))</f>
        <v/>
      </c>
      <c r="AC449" s="36">
        <f>IF($B449="","",(IFERROR(INDEX(Setup!$G$33:$G$40,MATCH(C449,Setup!$B$33:$B$40,0)),0)=1)*(COUNTIF(C408:E425,$B449)+COUNTIF(C408:E425,$B449&amp;" ~*")&gt;0)+(IFERROR(INDEX(Setup!$G$33:$G$40,MATCH(G449,Setup!$B$33:$B$40,0)),0)=1)*(COUNTIF(G408:I425,$B449)+COUNTIF(G408:I425,$B449&amp;" ~*")&gt;0)+(IFERROR(INDEX(Setup!$G$33:$G$40,MATCH(K449,Setup!$B$33:$B$40,0)),0)=1)*(COUNTIF(K408:M425,$B449)+COUNTIF(K408:M425,$B449&amp;" ~*")&gt;0)+(IFERROR(INDEX(Setup!$G$33:$G$40,MATCH(O449,Setup!$B$33:$B$40,0)),0)=1)*(COUNTIF(O408:Q425,$B449)+COUNTIF(O408:Q425,$B449&amp;" ~*")&gt;0)+(IFERROR(INDEX(Setup!$G$33:$G$40,MATCH(S449,Setup!$B$33:$B$40,0)),0)=1)*(COUNTIF(S408:U425,$B449)+COUNTIF(S408:U425,$B449&amp;" ~*")&gt;0)+(IFERROR(INDEX(Setup!$G$33:$G$40,MATCH(W449,Setup!$B$33:$B$40,0)),0)=1)*(COUNTIF(W408:W425,$B449)+COUNTIF(W408:W425,$B449&amp;" ~*")&gt;0)+(IFERROR(INDEX(Setup!$G$33:$G$40,MATCH(Y449,Setup!$B$33:$B$40,0)),0)=1)*(COUNTIF(Y408:Y425,$B449)+COUNTIF(Y408:Y425,$B449&amp;" ~*")&gt;0))</f>
        <v/>
      </c>
    </row>
    <row r="450" ht="15" customHeight="1">
      <c r="A450" t="n">
        <v>9</v>
      </c>
      <c r="B450" s="37">
        <f>IF(Setup!$B$29="","",Setup!$B$29)</f>
        <v/>
      </c>
      <c r="C450" s="102" t="n"/>
      <c r="D450" s="103" t="n"/>
      <c r="E450" s="103" t="n"/>
      <c r="F450" s="104" t="n"/>
      <c r="G450" s="102" t="n"/>
      <c r="H450" s="103" t="n"/>
      <c r="I450" s="103" t="n"/>
      <c r="J450" s="104" t="n"/>
      <c r="K450" s="102" t="n"/>
      <c r="L450" s="103" t="n"/>
      <c r="M450" s="103" t="n"/>
      <c r="N450" s="104" t="n"/>
      <c r="O450" s="102" t="n"/>
      <c r="P450" s="103" t="n"/>
      <c r="Q450" s="103" t="n"/>
      <c r="R450" s="104" t="n"/>
      <c r="S450" s="102" t="n"/>
      <c r="T450" s="103" t="n"/>
      <c r="U450" s="103" t="n"/>
      <c r="V450" s="104" t="n"/>
      <c r="W450" s="102" t="n"/>
      <c r="X450" s="104" t="n"/>
      <c r="Y450" s="102" t="n"/>
      <c r="Z450" s="104" t="n"/>
      <c r="AB450" s="105">
        <f>IF($B450="","",(COUNTIF(C408:E425,$B450)+COUNTIF(C408:E425,$B450&amp;" ~*")&gt;0)+(COUNTIF(G408:I425,$B450)+COUNTIF(G408:I425,$B450&amp;" ~*")&gt;0)+(COUNTIF(K408:M425,$B450)+COUNTIF(K408:M425,$B450&amp;" ~*")&gt;0)+(COUNTIF(O408:Q425,$B450)+COUNTIF(O408:Q425,$B450&amp;" ~*")&gt;0)+(COUNTIF(S408:U425,$B450)+COUNTIF(S408:U425,$B450&amp;" ~*")&gt;0)+(COUNTIF(W408:W425,$B450)+COUNTIF(W408:W425,$B450&amp;" ~*")&gt;0)+(COUNTIF(Y408:Y425,$B450)+COUNTIF(Y408:Y425,$B450&amp;" ~*")&gt;0))</f>
        <v/>
      </c>
      <c r="AC450" s="38">
        <f>IF($B450="","",(IFERROR(INDEX(Setup!$G$33:$G$40,MATCH(C450,Setup!$B$33:$B$40,0)),0)=1)*(COUNTIF(C408:E425,$B450)+COUNTIF(C408:E425,$B450&amp;" ~*")&gt;0)+(IFERROR(INDEX(Setup!$G$33:$G$40,MATCH(G450,Setup!$B$33:$B$40,0)),0)=1)*(COUNTIF(G408:I425,$B450)+COUNTIF(G408:I425,$B450&amp;" ~*")&gt;0)+(IFERROR(INDEX(Setup!$G$33:$G$40,MATCH(K450,Setup!$B$33:$B$40,0)),0)=1)*(COUNTIF(K408:M425,$B450)+COUNTIF(K408:M425,$B450&amp;" ~*")&gt;0)+(IFERROR(INDEX(Setup!$G$33:$G$40,MATCH(O450,Setup!$B$33:$B$40,0)),0)=1)*(COUNTIF(O408:Q425,$B450)+COUNTIF(O408:Q425,$B450&amp;" ~*")&gt;0)+(IFERROR(INDEX(Setup!$G$33:$G$40,MATCH(S450,Setup!$B$33:$B$40,0)),0)=1)*(COUNTIF(S408:U425,$B450)+COUNTIF(S408:U425,$B450&amp;" ~*")&gt;0)+(IFERROR(INDEX(Setup!$G$33:$G$40,MATCH(W450,Setup!$B$33:$B$40,0)),0)=1)*(COUNTIF(W408:W425,$B450)+COUNTIF(W408:W425,$B450&amp;" ~*")&gt;0)+(IFERROR(INDEX(Setup!$G$33:$G$40,MATCH(Y450,Setup!$B$33:$B$40,0)),0)=1)*(COUNTIF(Y408:Y425,$B450)+COUNTIF(Y408:Y425,$B450&amp;" ~*")&gt;0))</f>
        <v/>
      </c>
    </row>
    <row r="451" ht="16" customHeight="1">
      <c r="A451" t="n">
        <v>9</v>
      </c>
      <c r="B451" s="106" t="inlineStr">
        <is>
          <t>Available people</t>
        </is>
      </c>
      <c r="C451" s="107">
        <f>COUNTIFS(Setup!$E$6:$E$29,"Y",Setup!$B$6:$B$29,"?*")-SUMPRODUCT(COUNTIF(C427:C450,Setup!$F$33:$F$40))</f>
        <v/>
      </c>
      <c r="D451" s="107" t="n"/>
      <c r="E451" s="107" t="n"/>
      <c r="F451" s="107" t="n"/>
      <c r="G451" s="107">
        <f>COUNTIFS(Setup!$E$6:$E$29,"Y",Setup!$B$6:$B$29,"?*")-SUMPRODUCT(COUNTIF(G427:G450,Setup!$F$33:$F$40))</f>
        <v/>
      </c>
      <c r="H451" s="107" t="n"/>
      <c r="I451" s="107" t="n"/>
      <c r="J451" s="107" t="n"/>
      <c r="K451" s="107">
        <f>COUNTIFS(Setup!$E$6:$E$29,"Y",Setup!$B$6:$B$29,"?*")-SUMPRODUCT(COUNTIF(K427:K450,Setup!$F$33:$F$40))</f>
        <v/>
      </c>
      <c r="L451" s="107" t="n"/>
      <c r="M451" s="107" t="n"/>
      <c r="N451" s="107" t="n"/>
      <c r="O451" s="107">
        <f>COUNTIFS(Setup!$E$6:$E$29,"Y",Setup!$B$6:$B$29,"?*")-SUMPRODUCT(COUNTIF(O427:O450,Setup!$F$33:$F$40))</f>
        <v/>
      </c>
      <c r="P451" s="107" t="n"/>
      <c r="Q451" s="107" t="n"/>
      <c r="R451" s="107" t="n"/>
      <c r="S451" s="107">
        <f>COUNTIFS(Setup!$E$6:$E$29,"Y",Setup!$B$6:$B$29,"?*")-SUMPRODUCT(COUNTIF(S427:S450,Setup!$F$33:$F$40))</f>
        <v/>
      </c>
      <c r="T451" s="107" t="n"/>
      <c r="U451" s="107" t="n"/>
      <c r="V451" s="107" t="n"/>
      <c r="W451" s="107">
        <f>COUNTIFS(Setup!$E$6:$E$29,"Y",Setup!$B$6:$B$29,"?*")-SUMPRODUCT(COUNTIF(W427:W450,Setup!$F$33:$F$40))</f>
        <v/>
      </c>
      <c r="X451" s="107" t="n"/>
      <c r="Y451" s="107">
        <f>COUNTIFS(Setup!$E$6:$E$29,"Y",Setup!$B$6:$B$29,"?*")-SUMPRODUCT(COUNTIF(Y427:Y450,Setup!$F$33:$F$40))</f>
        <v/>
      </c>
      <c r="Z451" s="107" t="n"/>
      <c r="AB451" s="108">
        <f>SUM(AB427:AB450)</f>
        <v/>
      </c>
      <c r="AC451" s="109">
        <f>SUM(AC427:AC450)</f>
        <v/>
      </c>
    </row>
    <row r="452" ht="30" customHeight="1">
      <c r="A452" t="n">
        <v>9</v>
      </c>
      <c r="B452" s="110" t="inlineStr">
        <is>
          <t>Week notes</t>
        </is>
      </c>
      <c r="C452" s="111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112" t="n"/>
      <c r="R452" s="112" t="n"/>
      <c r="S452" s="112" t="n"/>
      <c r="T452" s="112" t="n"/>
      <c r="U452" s="112" t="n"/>
      <c r="V452" s="112" t="n"/>
      <c r="W452" s="112" t="n"/>
      <c r="X452" s="112" t="n"/>
      <c r="Y452" s="112" t="n"/>
      <c r="Z452" s="113" t="n"/>
    </row>
    <row r="453" ht="8" customHeight="1">
      <c r="A453" t="n">
        <v>9</v>
      </c>
    </row>
    <row r="454" ht="8" customHeight="1">
      <c r="A454" t="n">
        <v>9</v>
      </c>
    </row>
    <row r="455" ht="24" customHeight="1">
      <c r="A455" t="n">
        <v>10</v>
      </c>
      <c r="B455" s="73">
        <f>"WEEK 10     "&amp;TEXT(C456,"ddd d mmm")&amp;"  –  "&amp;TEXT(C456+6,"ddd d mmm yyyy")</f>
        <v/>
      </c>
      <c r="S455" s="74">
        <f>IF(TODAY()&lt;C456,"FUTURE",IF(TODAY()&gt;C456+6,"PAST","THIS WEEK"))</f>
        <v/>
      </c>
      <c r="W455" s="75">
        <f>IF(AND(Engine!$B$8=$AC$3,Engine!$B$9=$A455),"◀ ACTIVE WEEK","")</f>
        <v/>
      </c>
      <c r="AA455" s="76" t="n"/>
      <c r="AB455" s="77" t="inlineStr">
        <is>
          <t>◀ Prev</t>
        </is>
      </c>
      <c r="AC455" s="77" t="inlineStr">
        <is>
          <t>Next ▶</t>
        </is>
      </c>
    </row>
    <row r="456" ht="18" customHeight="1">
      <c r="A456" t="n">
        <v>10</v>
      </c>
      <c r="B456" s="78" t="inlineStr">
        <is>
          <t>DUTY</t>
        </is>
      </c>
      <c r="C456" s="79">
        <f>$AC$2+7*($A456-1)</f>
        <v/>
      </c>
      <c r="D456" s="80" t="n"/>
      <c r="E456" s="80" t="n"/>
      <c r="F456" s="81" t="n"/>
      <c r="G456" s="79">
        <f>C456+1</f>
        <v/>
      </c>
      <c r="H456" s="80" t="n"/>
      <c r="I456" s="80" t="n"/>
      <c r="J456" s="81" t="n"/>
      <c r="K456" s="79">
        <f>C456+2</f>
        <v/>
      </c>
      <c r="L456" s="80" t="n"/>
      <c r="M456" s="80" t="n"/>
      <c r="N456" s="81" t="n"/>
      <c r="O456" s="79">
        <f>C456+3</f>
        <v/>
      </c>
      <c r="P456" s="80" t="n"/>
      <c r="Q456" s="80" t="n"/>
      <c r="R456" s="81" t="n"/>
      <c r="S456" s="79">
        <f>C456+4</f>
        <v/>
      </c>
      <c r="T456" s="80" t="n"/>
      <c r="U456" s="80" t="n"/>
      <c r="V456" s="81" t="n"/>
      <c r="W456" s="82">
        <f>C456+5</f>
        <v/>
      </c>
      <c r="X456" s="83" t="n"/>
      <c r="Y456" s="82">
        <f>C456+6</f>
        <v/>
      </c>
      <c r="Z456" s="83" t="n"/>
      <c r="AB456" s="72" t="inlineStr">
        <is>
          <t>Gaps</t>
        </is>
      </c>
      <c r="AC456" s="72" t="inlineStr">
        <is>
          <t>Cover</t>
        </is>
      </c>
    </row>
    <row r="457" ht="14" customHeight="1">
      <c r="A457" t="n">
        <v>10</v>
      </c>
      <c r="B457" s="84" t="inlineStr">
        <is>
          <t>(from Setup)</t>
        </is>
      </c>
      <c r="C457" s="85" t="inlineStr">
        <is>
          <t>1</t>
        </is>
      </c>
      <c r="D457" s="85" t="inlineStr">
        <is>
          <t>2</t>
        </is>
      </c>
      <c r="E457" s="85" t="inlineStr">
        <is>
          <t>3</t>
        </is>
      </c>
      <c r="F457" s="85" t="inlineStr">
        <is>
          <t>Notes</t>
        </is>
      </c>
      <c r="G457" s="85" t="inlineStr">
        <is>
          <t>1</t>
        </is>
      </c>
      <c r="H457" s="85" t="inlineStr">
        <is>
          <t>2</t>
        </is>
      </c>
      <c r="I457" s="85" t="inlineStr">
        <is>
          <t>3</t>
        </is>
      </c>
      <c r="J457" s="85" t="inlineStr">
        <is>
          <t>Notes</t>
        </is>
      </c>
      <c r="K457" s="85" t="inlineStr">
        <is>
          <t>1</t>
        </is>
      </c>
      <c r="L457" s="85" t="inlineStr">
        <is>
          <t>2</t>
        </is>
      </c>
      <c r="M457" s="85" t="inlineStr">
        <is>
          <t>3</t>
        </is>
      </c>
      <c r="N457" s="85" t="inlineStr">
        <is>
          <t>Notes</t>
        </is>
      </c>
      <c r="O457" s="85" t="inlineStr">
        <is>
          <t>1</t>
        </is>
      </c>
      <c r="P457" s="85" t="inlineStr">
        <is>
          <t>2</t>
        </is>
      </c>
      <c r="Q457" s="85" t="inlineStr">
        <is>
          <t>3</t>
        </is>
      </c>
      <c r="R457" s="85" t="inlineStr">
        <is>
          <t>Notes</t>
        </is>
      </c>
      <c r="S457" s="85" t="inlineStr">
        <is>
          <t>1</t>
        </is>
      </c>
      <c r="T457" s="85" t="inlineStr">
        <is>
          <t>2</t>
        </is>
      </c>
      <c r="U457" s="85" t="inlineStr">
        <is>
          <t>3</t>
        </is>
      </c>
      <c r="V457" s="85" t="inlineStr">
        <is>
          <t>Notes</t>
        </is>
      </c>
      <c r="W457" s="85" t="inlineStr">
        <is>
          <t>Cover</t>
        </is>
      </c>
      <c r="X457" s="85" t="inlineStr">
        <is>
          <t>Notes</t>
        </is>
      </c>
      <c r="Y457" s="85" t="inlineStr">
        <is>
          <t>Cover</t>
        </is>
      </c>
      <c r="Z457" s="85" t="inlineStr">
        <is>
          <t>Notes</t>
        </is>
      </c>
      <c r="AB457" s="86" t="inlineStr">
        <is>
          <t>weekdays short</t>
        </is>
      </c>
      <c r="AC457" s="87" t="inlineStr"/>
    </row>
    <row r="458" ht="17" customHeight="1">
      <c r="A458" t="n">
        <v>10</v>
      </c>
      <c r="B458" s="24">
        <f>IF(Setup!$K$6="","",Setup!$K$6)</f>
        <v/>
      </c>
      <c r="C458" s="88" t="n"/>
      <c r="D458" s="88" t="n"/>
      <c r="E458" s="88" t="n"/>
      <c r="F458" s="89" t="n"/>
      <c r="G458" s="88" t="n"/>
      <c r="H458" s="88" t="n"/>
      <c r="I458" s="88" t="n"/>
      <c r="J458" s="89" t="n"/>
      <c r="K458" s="88" t="n"/>
      <c r="L458" s="88" t="n"/>
      <c r="M458" s="88" t="n"/>
      <c r="N458" s="89" t="n"/>
      <c r="O458" s="88" t="n"/>
      <c r="P458" s="88" t="n"/>
      <c r="Q458" s="88" t="n"/>
      <c r="R458" s="89" t="n"/>
      <c r="S458" s="88" t="n"/>
      <c r="T458" s="88" t="n"/>
      <c r="U458" s="88" t="n"/>
      <c r="V458" s="89" t="n"/>
      <c r="W458" s="88" t="n"/>
      <c r="X458" s="89" t="n"/>
      <c r="Y458" s="88" t="n"/>
      <c r="Z458" s="89" t="n"/>
      <c r="AB458" s="25">
        <f>IF($B458="","",(COUNTIF(C458:E458,"?*")&lt;N(INDEX(Setup!$L$6:$L$23,1)))+(COUNTIF(G458:I458,"?*")&lt;N(INDEX(Setup!$L$6:$L$23,1)))+(COUNTIF(K458:M458,"?*")&lt;N(INDEX(Setup!$L$6:$L$23,1)))+(COUNTIF(O458:Q458,"?*")&lt;N(INDEX(Setup!$L$6:$L$23,1)))+(COUNTIF(S458:U458,"?*")&lt;N(INDEX(Setup!$L$6:$L$23,1)))+((W458="")*(INDEX(Setup!$M$6:$M$23,1)="Y"))+((Y458="")*(INDEX(Setup!$M$6:$M$23,1)="Y")))</f>
        <v/>
      </c>
      <c r="AC458" s="90">
        <f>IF($B458="","",IF(AB458=0,"✓ covered","⚠ "&amp;AB458&amp;IF(AB458=1," gap"," gaps")))</f>
        <v/>
      </c>
    </row>
    <row r="459" ht="17" customHeight="1">
      <c r="A459" t="n">
        <v>10</v>
      </c>
      <c r="B459" s="29">
        <f>IF(Setup!$K$7="","",Setup!$K$7)</f>
        <v/>
      </c>
      <c r="C459" s="88" t="n"/>
      <c r="D459" s="88" t="n"/>
      <c r="E459" s="88" t="n"/>
      <c r="F459" s="89" t="n"/>
      <c r="G459" s="88" t="n"/>
      <c r="H459" s="88" t="n"/>
      <c r="I459" s="88" t="n"/>
      <c r="J459" s="89" t="n"/>
      <c r="K459" s="88" t="n"/>
      <c r="L459" s="88" t="n"/>
      <c r="M459" s="88" t="n"/>
      <c r="N459" s="89" t="n"/>
      <c r="O459" s="88" t="n"/>
      <c r="P459" s="88" t="n"/>
      <c r="Q459" s="88" t="n"/>
      <c r="R459" s="89" t="n"/>
      <c r="S459" s="88" t="n"/>
      <c r="T459" s="88" t="n"/>
      <c r="U459" s="88" t="n"/>
      <c r="V459" s="89" t="n"/>
      <c r="W459" s="88" t="n"/>
      <c r="X459" s="89" t="n"/>
      <c r="Y459" s="88" t="n"/>
      <c r="Z459" s="89" t="n"/>
      <c r="AB459" s="30">
        <f>IF($B459="","",(COUNTIF(C459:E459,"?*")&lt;N(INDEX(Setup!$L$6:$L$23,2)))+(COUNTIF(G459:I459,"?*")&lt;N(INDEX(Setup!$L$6:$L$23,2)))+(COUNTIF(K459:M459,"?*")&lt;N(INDEX(Setup!$L$6:$L$23,2)))+(COUNTIF(O459:Q459,"?*")&lt;N(INDEX(Setup!$L$6:$L$23,2)))+(COUNTIF(S459:U459,"?*")&lt;N(INDEX(Setup!$L$6:$L$23,2)))+((W459="")*(INDEX(Setup!$M$6:$M$23,2)="Y"))+((Y459="")*(INDEX(Setup!$M$6:$M$23,2)="Y")))</f>
        <v/>
      </c>
      <c r="AC459" s="91">
        <f>IF($B459="","",IF(AB459=0,"✓ covered","⚠ "&amp;AB459&amp;IF(AB459=1," gap"," gaps")))</f>
        <v/>
      </c>
    </row>
    <row r="460" ht="17" customHeight="1">
      <c r="A460" t="n">
        <v>10</v>
      </c>
      <c r="B460" s="24">
        <f>IF(Setup!$K$8="","",Setup!$K$8)</f>
        <v/>
      </c>
      <c r="C460" s="88" t="n"/>
      <c r="D460" s="88" t="n"/>
      <c r="E460" s="88" t="n"/>
      <c r="F460" s="89" t="n"/>
      <c r="G460" s="88" t="n"/>
      <c r="H460" s="88" t="n"/>
      <c r="I460" s="88" t="n"/>
      <c r="J460" s="89" t="n"/>
      <c r="K460" s="88" t="n"/>
      <c r="L460" s="88" t="n"/>
      <c r="M460" s="88" t="n"/>
      <c r="N460" s="89" t="n"/>
      <c r="O460" s="88" t="n"/>
      <c r="P460" s="88" t="n"/>
      <c r="Q460" s="88" t="n"/>
      <c r="R460" s="89" t="n"/>
      <c r="S460" s="88" t="n"/>
      <c r="T460" s="88" t="n"/>
      <c r="U460" s="88" t="n"/>
      <c r="V460" s="89" t="n"/>
      <c r="W460" s="88" t="n"/>
      <c r="X460" s="89" t="n"/>
      <c r="Y460" s="88" t="n"/>
      <c r="Z460" s="89" t="n"/>
      <c r="AB460" s="25">
        <f>IF($B460="","",(COUNTIF(C460:E460,"?*")&lt;N(INDEX(Setup!$L$6:$L$23,3)))+(COUNTIF(G460:I460,"?*")&lt;N(INDEX(Setup!$L$6:$L$23,3)))+(COUNTIF(K460:M460,"?*")&lt;N(INDEX(Setup!$L$6:$L$23,3)))+(COUNTIF(O460:Q460,"?*")&lt;N(INDEX(Setup!$L$6:$L$23,3)))+(COUNTIF(S460:U460,"?*")&lt;N(INDEX(Setup!$L$6:$L$23,3)))+((W460="")*(INDEX(Setup!$M$6:$M$23,3)="Y"))+((Y460="")*(INDEX(Setup!$M$6:$M$23,3)="Y")))</f>
        <v/>
      </c>
      <c r="AC460" s="90">
        <f>IF($B460="","",IF(AB460=0,"✓ covered","⚠ "&amp;AB460&amp;IF(AB460=1," gap"," gaps")))</f>
        <v/>
      </c>
    </row>
    <row r="461" ht="17" customHeight="1">
      <c r="A461" t="n">
        <v>10</v>
      </c>
      <c r="B461" s="29">
        <f>IF(Setup!$K$9="","",Setup!$K$9)</f>
        <v/>
      </c>
      <c r="C461" s="88" t="n"/>
      <c r="D461" s="88" t="n"/>
      <c r="E461" s="88" t="n"/>
      <c r="F461" s="89" t="n"/>
      <c r="G461" s="88" t="n"/>
      <c r="H461" s="88" t="n"/>
      <c r="I461" s="88" t="n"/>
      <c r="J461" s="89" t="n"/>
      <c r="K461" s="88" t="n"/>
      <c r="L461" s="88" t="n"/>
      <c r="M461" s="88" t="n"/>
      <c r="N461" s="89" t="n"/>
      <c r="O461" s="88" t="n"/>
      <c r="P461" s="88" t="n"/>
      <c r="Q461" s="88" t="n"/>
      <c r="R461" s="89" t="n"/>
      <c r="S461" s="88" t="n"/>
      <c r="T461" s="88" t="n"/>
      <c r="U461" s="88" t="n"/>
      <c r="V461" s="89" t="n"/>
      <c r="W461" s="88" t="n"/>
      <c r="X461" s="89" t="n"/>
      <c r="Y461" s="88" t="n"/>
      <c r="Z461" s="89" t="n"/>
      <c r="AB461" s="30">
        <f>IF($B461="","",(COUNTIF(C461:E461,"?*")&lt;N(INDEX(Setup!$L$6:$L$23,4)))+(COUNTIF(G461:I461,"?*")&lt;N(INDEX(Setup!$L$6:$L$23,4)))+(COUNTIF(K461:M461,"?*")&lt;N(INDEX(Setup!$L$6:$L$23,4)))+(COUNTIF(O461:Q461,"?*")&lt;N(INDEX(Setup!$L$6:$L$23,4)))+(COUNTIF(S461:U461,"?*")&lt;N(INDEX(Setup!$L$6:$L$23,4)))+((W461="")*(INDEX(Setup!$M$6:$M$23,4)="Y"))+((Y461="")*(INDEX(Setup!$M$6:$M$23,4)="Y")))</f>
        <v/>
      </c>
      <c r="AC461" s="91">
        <f>IF($B461="","",IF(AB461=0,"✓ covered","⚠ "&amp;AB461&amp;IF(AB461=1," gap"," gaps")))</f>
        <v/>
      </c>
    </row>
    <row r="462" ht="17" customHeight="1">
      <c r="A462" t="n">
        <v>10</v>
      </c>
      <c r="B462" s="24">
        <f>IF(Setup!$K$10="","",Setup!$K$10)</f>
        <v/>
      </c>
      <c r="C462" s="88" t="n"/>
      <c r="D462" s="88" t="n"/>
      <c r="E462" s="88" t="n"/>
      <c r="F462" s="89" t="n"/>
      <c r="G462" s="88" t="n"/>
      <c r="H462" s="88" t="n"/>
      <c r="I462" s="88" t="n"/>
      <c r="J462" s="89" t="n"/>
      <c r="K462" s="88" t="n"/>
      <c r="L462" s="88" t="n"/>
      <c r="M462" s="88" t="n"/>
      <c r="N462" s="89" t="n"/>
      <c r="O462" s="88" t="n"/>
      <c r="P462" s="88" t="n"/>
      <c r="Q462" s="88" t="n"/>
      <c r="R462" s="89" t="n"/>
      <c r="S462" s="88" t="n"/>
      <c r="T462" s="88" t="n"/>
      <c r="U462" s="88" t="n"/>
      <c r="V462" s="89" t="n"/>
      <c r="W462" s="88" t="n"/>
      <c r="X462" s="89" t="n"/>
      <c r="Y462" s="88" t="n"/>
      <c r="Z462" s="89" t="n"/>
      <c r="AB462" s="25">
        <f>IF($B462="","",(COUNTIF(C462:E462,"?*")&lt;N(INDEX(Setup!$L$6:$L$23,5)))+(COUNTIF(G462:I462,"?*")&lt;N(INDEX(Setup!$L$6:$L$23,5)))+(COUNTIF(K462:M462,"?*")&lt;N(INDEX(Setup!$L$6:$L$23,5)))+(COUNTIF(O462:Q462,"?*")&lt;N(INDEX(Setup!$L$6:$L$23,5)))+(COUNTIF(S462:U462,"?*")&lt;N(INDEX(Setup!$L$6:$L$23,5)))+((W462="")*(INDEX(Setup!$M$6:$M$23,5)="Y"))+((Y462="")*(INDEX(Setup!$M$6:$M$23,5)="Y")))</f>
        <v/>
      </c>
      <c r="AC462" s="90">
        <f>IF($B462="","",IF(AB462=0,"✓ covered","⚠ "&amp;AB462&amp;IF(AB462=1," gap"," gaps")))</f>
        <v/>
      </c>
    </row>
    <row r="463" ht="17" customHeight="1">
      <c r="A463" t="n">
        <v>10</v>
      </c>
      <c r="B463" s="29">
        <f>IF(Setup!$K$11="","",Setup!$K$11)</f>
        <v/>
      </c>
      <c r="C463" s="88" t="n"/>
      <c r="D463" s="88" t="n"/>
      <c r="E463" s="88" t="n"/>
      <c r="F463" s="89" t="n"/>
      <c r="G463" s="88" t="n"/>
      <c r="H463" s="88" t="n"/>
      <c r="I463" s="88" t="n"/>
      <c r="J463" s="89" t="n"/>
      <c r="K463" s="88" t="n"/>
      <c r="L463" s="88" t="n"/>
      <c r="M463" s="88" t="n"/>
      <c r="N463" s="89" t="n"/>
      <c r="O463" s="88" t="n"/>
      <c r="P463" s="88" t="n"/>
      <c r="Q463" s="88" t="n"/>
      <c r="R463" s="89" t="n"/>
      <c r="S463" s="88" t="n"/>
      <c r="T463" s="88" t="n"/>
      <c r="U463" s="88" t="n"/>
      <c r="V463" s="89" t="n"/>
      <c r="W463" s="88" t="n"/>
      <c r="X463" s="89" t="n"/>
      <c r="Y463" s="88" t="n"/>
      <c r="Z463" s="89" t="n"/>
      <c r="AB463" s="30">
        <f>IF($B463="","",(COUNTIF(C463:E463,"?*")&lt;N(INDEX(Setup!$L$6:$L$23,6)))+(COUNTIF(G463:I463,"?*")&lt;N(INDEX(Setup!$L$6:$L$23,6)))+(COUNTIF(K463:M463,"?*")&lt;N(INDEX(Setup!$L$6:$L$23,6)))+(COUNTIF(O463:Q463,"?*")&lt;N(INDEX(Setup!$L$6:$L$23,6)))+(COUNTIF(S463:U463,"?*")&lt;N(INDEX(Setup!$L$6:$L$23,6)))+((W463="")*(INDEX(Setup!$M$6:$M$23,6)="Y"))+((Y463="")*(INDEX(Setup!$M$6:$M$23,6)="Y")))</f>
        <v/>
      </c>
      <c r="AC463" s="91">
        <f>IF($B463="","",IF(AB463=0,"✓ covered","⚠ "&amp;AB463&amp;IF(AB463=1," gap"," gaps")))</f>
        <v/>
      </c>
    </row>
    <row r="464" ht="17" customHeight="1">
      <c r="A464" t="n">
        <v>10</v>
      </c>
      <c r="B464" s="24">
        <f>IF(Setup!$K$12="","",Setup!$K$12)</f>
        <v/>
      </c>
      <c r="C464" s="88" t="n"/>
      <c r="D464" s="88" t="n"/>
      <c r="E464" s="88" t="n"/>
      <c r="F464" s="89" t="n"/>
      <c r="G464" s="88" t="n"/>
      <c r="H464" s="88" t="n"/>
      <c r="I464" s="88" t="n"/>
      <c r="J464" s="89" t="n"/>
      <c r="K464" s="88" t="n"/>
      <c r="L464" s="88" t="n"/>
      <c r="M464" s="88" t="n"/>
      <c r="N464" s="89" t="n"/>
      <c r="O464" s="88" t="n"/>
      <c r="P464" s="88" t="n"/>
      <c r="Q464" s="88" t="n"/>
      <c r="R464" s="89" t="n"/>
      <c r="S464" s="88" t="n"/>
      <c r="T464" s="88" t="n"/>
      <c r="U464" s="88" t="n"/>
      <c r="V464" s="89" t="n"/>
      <c r="W464" s="88" t="n"/>
      <c r="X464" s="89" t="n"/>
      <c r="Y464" s="88" t="n"/>
      <c r="Z464" s="89" t="n"/>
      <c r="AB464" s="25">
        <f>IF($B464="","",(COUNTIF(C464:E464,"?*")&lt;N(INDEX(Setup!$L$6:$L$23,7)))+(COUNTIF(G464:I464,"?*")&lt;N(INDEX(Setup!$L$6:$L$23,7)))+(COUNTIF(K464:M464,"?*")&lt;N(INDEX(Setup!$L$6:$L$23,7)))+(COUNTIF(O464:Q464,"?*")&lt;N(INDEX(Setup!$L$6:$L$23,7)))+(COUNTIF(S464:U464,"?*")&lt;N(INDEX(Setup!$L$6:$L$23,7)))+((W464="")*(INDEX(Setup!$M$6:$M$23,7)="Y"))+((Y464="")*(INDEX(Setup!$M$6:$M$23,7)="Y")))</f>
        <v/>
      </c>
      <c r="AC464" s="90">
        <f>IF($B464="","",IF(AB464=0,"✓ covered","⚠ "&amp;AB464&amp;IF(AB464=1," gap"," gaps")))</f>
        <v/>
      </c>
    </row>
    <row r="465" ht="17" customHeight="1">
      <c r="A465" t="n">
        <v>10</v>
      </c>
      <c r="B465" s="29">
        <f>IF(Setup!$K$13="","",Setup!$K$13)</f>
        <v/>
      </c>
      <c r="C465" s="88" t="n"/>
      <c r="D465" s="88" t="n"/>
      <c r="E465" s="88" t="n"/>
      <c r="F465" s="89" t="n"/>
      <c r="G465" s="88" t="n"/>
      <c r="H465" s="88" t="n"/>
      <c r="I465" s="88" t="n"/>
      <c r="J465" s="89" t="n"/>
      <c r="K465" s="88" t="n"/>
      <c r="L465" s="88" t="n"/>
      <c r="M465" s="88" t="n"/>
      <c r="N465" s="89" t="n"/>
      <c r="O465" s="88" t="n"/>
      <c r="P465" s="88" t="n"/>
      <c r="Q465" s="88" t="n"/>
      <c r="R465" s="89" t="n"/>
      <c r="S465" s="88" t="n"/>
      <c r="T465" s="88" t="n"/>
      <c r="U465" s="88" t="n"/>
      <c r="V465" s="89" t="n"/>
      <c r="W465" s="88" t="n"/>
      <c r="X465" s="89" t="n"/>
      <c r="Y465" s="88" t="n"/>
      <c r="Z465" s="89" t="n"/>
      <c r="AB465" s="30">
        <f>IF($B465="","",(COUNTIF(C465:E465,"?*")&lt;N(INDEX(Setup!$L$6:$L$23,8)))+(COUNTIF(G465:I465,"?*")&lt;N(INDEX(Setup!$L$6:$L$23,8)))+(COUNTIF(K465:M465,"?*")&lt;N(INDEX(Setup!$L$6:$L$23,8)))+(COUNTIF(O465:Q465,"?*")&lt;N(INDEX(Setup!$L$6:$L$23,8)))+(COUNTIF(S465:U465,"?*")&lt;N(INDEX(Setup!$L$6:$L$23,8)))+((W465="")*(INDEX(Setup!$M$6:$M$23,8)="Y"))+((Y465="")*(INDEX(Setup!$M$6:$M$23,8)="Y")))</f>
        <v/>
      </c>
      <c r="AC465" s="91">
        <f>IF($B465="","",IF(AB465=0,"✓ covered","⚠ "&amp;AB465&amp;IF(AB465=1," gap"," gaps")))</f>
        <v/>
      </c>
    </row>
    <row r="466" ht="17" customHeight="1">
      <c r="A466" t="n">
        <v>10</v>
      </c>
      <c r="B466" s="24">
        <f>IF(Setup!$K$14="","",Setup!$K$14)</f>
        <v/>
      </c>
      <c r="C466" s="88" t="n"/>
      <c r="D466" s="88" t="n"/>
      <c r="E466" s="88" t="n"/>
      <c r="F466" s="89" t="n"/>
      <c r="G466" s="88" t="n"/>
      <c r="H466" s="88" t="n"/>
      <c r="I466" s="88" t="n"/>
      <c r="J466" s="89" t="n"/>
      <c r="K466" s="88" t="n"/>
      <c r="L466" s="88" t="n"/>
      <c r="M466" s="88" t="n"/>
      <c r="N466" s="89" t="n"/>
      <c r="O466" s="88" t="n"/>
      <c r="P466" s="88" t="n"/>
      <c r="Q466" s="88" t="n"/>
      <c r="R466" s="89" t="n"/>
      <c r="S466" s="88" t="n"/>
      <c r="T466" s="88" t="n"/>
      <c r="U466" s="88" t="n"/>
      <c r="V466" s="89" t="n"/>
      <c r="W466" s="88" t="n"/>
      <c r="X466" s="89" t="n"/>
      <c r="Y466" s="88" t="n"/>
      <c r="Z466" s="89" t="n"/>
      <c r="AB466" s="25">
        <f>IF($B466="","",(COUNTIF(C466:E466,"?*")&lt;N(INDEX(Setup!$L$6:$L$23,9)))+(COUNTIF(G466:I466,"?*")&lt;N(INDEX(Setup!$L$6:$L$23,9)))+(COUNTIF(K466:M466,"?*")&lt;N(INDEX(Setup!$L$6:$L$23,9)))+(COUNTIF(O466:Q466,"?*")&lt;N(INDEX(Setup!$L$6:$L$23,9)))+(COUNTIF(S466:U466,"?*")&lt;N(INDEX(Setup!$L$6:$L$23,9)))+((W466="")*(INDEX(Setup!$M$6:$M$23,9)="Y"))+((Y466="")*(INDEX(Setup!$M$6:$M$23,9)="Y")))</f>
        <v/>
      </c>
      <c r="AC466" s="90">
        <f>IF($B466="","",IF(AB466=0,"✓ covered","⚠ "&amp;AB466&amp;IF(AB466=1," gap"," gaps")))</f>
        <v/>
      </c>
    </row>
    <row r="467" ht="17" customHeight="1">
      <c r="A467" t="n">
        <v>10</v>
      </c>
      <c r="B467" s="29">
        <f>IF(Setup!$K$15="","",Setup!$K$15)</f>
        <v/>
      </c>
      <c r="C467" s="88" t="n"/>
      <c r="D467" s="88" t="n"/>
      <c r="E467" s="88" t="n"/>
      <c r="F467" s="89" t="n"/>
      <c r="G467" s="88" t="n"/>
      <c r="H467" s="88" t="n"/>
      <c r="I467" s="88" t="n"/>
      <c r="J467" s="89" t="n"/>
      <c r="K467" s="88" t="n"/>
      <c r="L467" s="88" t="n"/>
      <c r="M467" s="88" t="n"/>
      <c r="N467" s="89" t="n"/>
      <c r="O467" s="88" t="n"/>
      <c r="P467" s="88" t="n"/>
      <c r="Q467" s="88" t="n"/>
      <c r="R467" s="89" t="n"/>
      <c r="S467" s="88" t="n"/>
      <c r="T467" s="88" t="n"/>
      <c r="U467" s="88" t="n"/>
      <c r="V467" s="89" t="n"/>
      <c r="W467" s="88" t="n"/>
      <c r="X467" s="89" t="n"/>
      <c r="Y467" s="88" t="n"/>
      <c r="Z467" s="89" t="n"/>
      <c r="AB467" s="30">
        <f>IF($B467="","",(COUNTIF(C467:E467,"?*")&lt;N(INDEX(Setup!$L$6:$L$23,10)))+(COUNTIF(G467:I467,"?*")&lt;N(INDEX(Setup!$L$6:$L$23,10)))+(COUNTIF(K467:M467,"?*")&lt;N(INDEX(Setup!$L$6:$L$23,10)))+(COUNTIF(O467:Q467,"?*")&lt;N(INDEX(Setup!$L$6:$L$23,10)))+(COUNTIF(S467:U467,"?*")&lt;N(INDEX(Setup!$L$6:$L$23,10)))+((W467="")*(INDEX(Setup!$M$6:$M$23,10)="Y"))+((Y467="")*(INDEX(Setup!$M$6:$M$23,10)="Y")))</f>
        <v/>
      </c>
      <c r="AC467" s="91">
        <f>IF($B467="","",IF(AB467=0,"✓ covered","⚠ "&amp;AB467&amp;IF(AB467=1," gap"," gaps")))</f>
        <v/>
      </c>
    </row>
    <row r="468" ht="17" customHeight="1">
      <c r="A468" t="n">
        <v>10</v>
      </c>
      <c r="B468" s="24">
        <f>IF(Setup!$K$16="","",Setup!$K$16)</f>
        <v/>
      </c>
      <c r="C468" s="88" t="n"/>
      <c r="D468" s="88" t="n"/>
      <c r="E468" s="88" t="n"/>
      <c r="F468" s="89" t="n"/>
      <c r="G468" s="88" t="n"/>
      <c r="H468" s="88" t="n"/>
      <c r="I468" s="88" t="n"/>
      <c r="J468" s="89" t="n"/>
      <c r="K468" s="88" t="n"/>
      <c r="L468" s="88" t="n"/>
      <c r="M468" s="88" t="n"/>
      <c r="N468" s="89" t="n"/>
      <c r="O468" s="88" t="n"/>
      <c r="P468" s="88" t="n"/>
      <c r="Q468" s="88" t="n"/>
      <c r="R468" s="89" t="n"/>
      <c r="S468" s="88" t="n"/>
      <c r="T468" s="88" t="n"/>
      <c r="U468" s="88" t="n"/>
      <c r="V468" s="89" t="n"/>
      <c r="W468" s="88" t="n"/>
      <c r="X468" s="89" t="n"/>
      <c r="Y468" s="88" t="n"/>
      <c r="Z468" s="89" t="n"/>
      <c r="AB468" s="25">
        <f>IF($B468="","",(COUNTIF(C468:E468,"?*")&lt;N(INDEX(Setup!$L$6:$L$23,11)))+(COUNTIF(G468:I468,"?*")&lt;N(INDEX(Setup!$L$6:$L$23,11)))+(COUNTIF(K468:M468,"?*")&lt;N(INDEX(Setup!$L$6:$L$23,11)))+(COUNTIF(O468:Q468,"?*")&lt;N(INDEX(Setup!$L$6:$L$23,11)))+(COUNTIF(S468:U468,"?*")&lt;N(INDEX(Setup!$L$6:$L$23,11)))+((W468="")*(INDEX(Setup!$M$6:$M$23,11)="Y"))+((Y468="")*(INDEX(Setup!$M$6:$M$23,11)="Y")))</f>
        <v/>
      </c>
      <c r="AC468" s="90">
        <f>IF($B468="","",IF(AB468=0,"✓ covered","⚠ "&amp;AB468&amp;IF(AB468=1," gap"," gaps")))</f>
        <v/>
      </c>
    </row>
    <row r="469" ht="17" customHeight="1">
      <c r="A469" t="n">
        <v>10</v>
      </c>
      <c r="B469" s="29">
        <f>IF(Setup!$K$17="","",Setup!$K$17)</f>
        <v/>
      </c>
      <c r="C469" s="88" t="n"/>
      <c r="D469" s="88" t="n"/>
      <c r="E469" s="88" t="n"/>
      <c r="F469" s="89" t="n"/>
      <c r="G469" s="88" t="n"/>
      <c r="H469" s="88" t="n"/>
      <c r="I469" s="88" t="n"/>
      <c r="J469" s="89" t="n"/>
      <c r="K469" s="88" t="n"/>
      <c r="L469" s="88" t="n"/>
      <c r="M469" s="88" t="n"/>
      <c r="N469" s="89" t="n"/>
      <c r="O469" s="88" t="n"/>
      <c r="P469" s="88" t="n"/>
      <c r="Q469" s="88" t="n"/>
      <c r="R469" s="89" t="n"/>
      <c r="S469" s="88" t="n"/>
      <c r="T469" s="88" t="n"/>
      <c r="U469" s="88" t="n"/>
      <c r="V469" s="89" t="n"/>
      <c r="W469" s="88" t="n"/>
      <c r="X469" s="89" t="n"/>
      <c r="Y469" s="88" t="n"/>
      <c r="Z469" s="89" t="n"/>
      <c r="AB469" s="30">
        <f>IF($B469="","",(COUNTIF(C469:E469,"?*")&lt;N(INDEX(Setup!$L$6:$L$23,12)))+(COUNTIF(G469:I469,"?*")&lt;N(INDEX(Setup!$L$6:$L$23,12)))+(COUNTIF(K469:M469,"?*")&lt;N(INDEX(Setup!$L$6:$L$23,12)))+(COUNTIF(O469:Q469,"?*")&lt;N(INDEX(Setup!$L$6:$L$23,12)))+(COUNTIF(S469:U469,"?*")&lt;N(INDEX(Setup!$L$6:$L$23,12)))+((W469="")*(INDEX(Setup!$M$6:$M$23,12)="Y"))+((Y469="")*(INDEX(Setup!$M$6:$M$23,12)="Y")))</f>
        <v/>
      </c>
      <c r="AC469" s="91">
        <f>IF($B469="","",IF(AB469=0,"✓ covered","⚠ "&amp;AB469&amp;IF(AB469=1," gap"," gaps")))</f>
        <v/>
      </c>
    </row>
    <row r="470" ht="17" customHeight="1">
      <c r="A470" t="n">
        <v>10</v>
      </c>
      <c r="B470" s="24">
        <f>IF(Setup!$K$18="","",Setup!$K$18)</f>
        <v/>
      </c>
      <c r="C470" s="88" t="n"/>
      <c r="D470" s="88" t="n"/>
      <c r="E470" s="88" t="n"/>
      <c r="F470" s="89" t="n"/>
      <c r="G470" s="88" t="n"/>
      <c r="H470" s="88" t="n"/>
      <c r="I470" s="88" t="n"/>
      <c r="J470" s="89" t="n"/>
      <c r="K470" s="88" t="n"/>
      <c r="L470" s="88" t="n"/>
      <c r="M470" s="88" t="n"/>
      <c r="N470" s="89" t="n"/>
      <c r="O470" s="88" t="n"/>
      <c r="P470" s="88" t="n"/>
      <c r="Q470" s="88" t="n"/>
      <c r="R470" s="89" t="n"/>
      <c r="S470" s="88" t="n"/>
      <c r="T470" s="88" t="n"/>
      <c r="U470" s="88" t="n"/>
      <c r="V470" s="89" t="n"/>
      <c r="W470" s="88" t="n"/>
      <c r="X470" s="89" t="n"/>
      <c r="Y470" s="88" t="n"/>
      <c r="Z470" s="89" t="n"/>
      <c r="AB470" s="25">
        <f>IF($B470="","",(COUNTIF(C470:E470,"?*")&lt;N(INDEX(Setup!$L$6:$L$23,13)))+(COUNTIF(G470:I470,"?*")&lt;N(INDEX(Setup!$L$6:$L$23,13)))+(COUNTIF(K470:M470,"?*")&lt;N(INDEX(Setup!$L$6:$L$23,13)))+(COUNTIF(O470:Q470,"?*")&lt;N(INDEX(Setup!$L$6:$L$23,13)))+(COUNTIF(S470:U470,"?*")&lt;N(INDEX(Setup!$L$6:$L$23,13)))+((W470="")*(INDEX(Setup!$M$6:$M$23,13)="Y"))+((Y470="")*(INDEX(Setup!$M$6:$M$23,13)="Y")))</f>
        <v/>
      </c>
      <c r="AC470" s="90">
        <f>IF($B470="","",IF(AB470=0,"✓ covered","⚠ "&amp;AB470&amp;IF(AB470=1," gap"," gaps")))</f>
        <v/>
      </c>
    </row>
    <row r="471" ht="17" customHeight="1">
      <c r="A471" t="n">
        <v>10</v>
      </c>
      <c r="B471" s="29">
        <f>IF(Setup!$K$19="","",Setup!$K$19)</f>
        <v/>
      </c>
      <c r="C471" s="88" t="n"/>
      <c r="D471" s="88" t="n"/>
      <c r="E471" s="88" t="n"/>
      <c r="F471" s="89" t="n"/>
      <c r="G471" s="88" t="n"/>
      <c r="H471" s="88" t="n"/>
      <c r="I471" s="88" t="n"/>
      <c r="J471" s="89" t="n"/>
      <c r="K471" s="88" t="n"/>
      <c r="L471" s="88" t="n"/>
      <c r="M471" s="88" t="n"/>
      <c r="N471" s="89" t="n"/>
      <c r="O471" s="88" t="n"/>
      <c r="P471" s="88" t="n"/>
      <c r="Q471" s="88" t="n"/>
      <c r="R471" s="89" t="n"/>
      <c r="S471" s="88" t="n"/>
      <c r="T471" s="88" t="n"/>
      <c r="U471" s="88" t="n"/>
      <c r="V471" s="89" t="n"/>
      <c r="W471" s="88" t="n"/>
      <c r="X471" s="89" t="n"/>
      <c r="Y471" s="88" t="n"/>
      <c r="Z471" s="89" t="n"/>
      <c r="AB471" s="30">
        <f>IF($B471="","",(COUNTIF(C471:E471,"?*")&lt;N(INDEX(Setup!$L$6:$L$23,14)))+(COUNTIF(G471:I471,"?*")&lt;N(INDEX(Setup!$L$6:$L$23,14)))+(COUNTIF(K471:M471,"?*")&lt;N(INDEX(Setup!$L$6:$L$23,14)))+(COUNTIF(O471:Q471,"?*")&lt;N(INDEX(Setup!$L$6:$L$23,14)))+(COUNTIF(S471:U471,"?*")&lt;N(INDEX(Setup!$L$6:$L$23,14)))+((W471="")*(INDEX(Setup!$M$6:$M$23,14)="Y"))+((Y471="")*(INDEX(Setup!$M$6:$M$23,14)="Y")))</f>
        <v/>
      </c>
      <c r="AC471" s="91">
        <f>IF($B471="","",IF(AB471=0,"✓ covered","⚠ "&amp;AB471&amp;IF(AB471=1," gap"," gaps")))</f>
        <v/>
      </c>
    </row>
    <row r="472" ht="17" customHeight="1">
      <c r="A472" t="n">
        <v>10</v>
      </c>
      <c r="B472" s="24">
        <f>IF(Setup!$K$20="","",Setup!$K$20)</f>
        <v/>
      </c>
      <c r="C472" s="88" t="n"/>
      <c r="D472" s="88" t="n"/>
      <c r="E472" s="88" t="n"/>
      <c r="F472" s="89" t="n"/>
      <c r="G472" s="88" t="n"/>
      <c r="H472" s="88" t="n"/>
      <c r="I472" s="88" t="n"/>
      <c r="J472" s="89" t="n"/>
      <c r="K472" s="88" t="n"/>
      <c r="L472" s="88" t="n"/>
      <c r="M472" s="88" t="n"/>
      <c r="N472" s="89" t="n"/>
      <c r="O472" s="88" t="n"/>
      <c r="P472" s="88" t="n"/>
      <c r="Q472" s="88" t="n"/>
      <c r="R472" s="89" t="n"/>
      <c r="S472" s="88" t="n"/>
      <c r="T472" s="88" t="n"/>
      <c r="U472" s="88" t="n"/>
      <c r="V472" s="89" t="n"/>
      <c r="W472" s="88" t="n"/>
      <c r="X472" s="89" t="n"/>
      <c r="Y472" s="88" t="n"/>
      <c r="Z472" s="89" t="n"/>
      <c r="AB472" s="25">
        <f>IF($B472="","",(COUNTIF(C472:E472,"?*")&lt;N(INDEX(Setup!$L$6:$L$23,15)))+(COUNTIF(G472:I472,"?*")&lt;N(INDEX(Setup!$L$6:$L$23,15)))+(COUNTIF(K472:M472,"?*")&lt;N(INDEX(Setup!$L$6:$L$23,15)))+(COUNTIF(O472:Q472,"?*")&lt;N(INDEX(Setup!$L$6:$L$23,15)))+(COUNTIF(S472:U472,"?*")&lt;N(INDEX(Setup!$L$6:$L$23,15)))+((W472="")*(INDEX(Setup!$M$6:$M$23,15)="Y"))+((Y472="")*(INDEX(Setup!$M$6:$M$23,15)="Y")))</f>
        <v/>
      </c>
      <c r="AC472" s="90">
        <f>IF($B472="","",IF(AB472=0,"✓ covered","⚠ "&amp;AB472&amp;IF(AB472=1," gap"," gaps")))</f>
        <v/>
      </c>
    </row>
    <row r="473" ht="17" customHeight="1">
      <c r="A473" t="n">
        <v>10</v>
      </c>
      <c r="B473" s="29">
        <f>IF(Setup!$K$21="","",Setup!$K$21)</f>
        <v/>
      </c>
      <c r="C473" s="88" t="n"/>
      <c r="D473" s="88" t="n"/>
      <c r="E473" s="88" t="n"/>
      <c r="F473" s="89" t="n"/>
      <c r="G473" s="88" t="n"/>
      <c r="H473" s="88" t="n"/>
      <c r="I473" s="88" t="n"/>
      <c r="J473" s="89" t="n"/>
      <c r="K473" s="88" t="n"/>
      <c r="L473" s="88" t="n"/>
      <c r="M473" s="88" t="n"/>
      <c r="N473" s="89" t="n"/>
      <c r="O473" s="88" t="n"/>
      <c r="P473" s="88" t="n"/>
      <c r="Q473" s="88" t="n"/>
      <c r="R473" s="89" t="n"/>
      <c r="S473" s="88" t="n"/>
      <c r="T473" s="88" t="n"/>
      <c r="U473" s="88" t="n"/>
      <c r="V473" s="89" t="n"/>
      <c r="W473" s="88" t="n"/>
      <c r="X473" s="89" t="n"/>
      <c r="Y473" s="88" t="n"/>
      <c r="Z473" s="89" t="n"/>
      <c r="AB473" s="30">
        <f>IF($B473="","",(COUNTIF(C473:E473,"?*")&lt;N(INDEX(Setup!$L$6:$L$23,16)))+(COUNTIF(G473:I473,"?*")&lt;N(INDEX(Setup!$L$6:$L$23,16)))+(COUNTIF(K473:M473,"?*")&lt;N(INDEX(Setup!$L$6:$L$23,16)))+(COUNTIF(O473:Q473,"?*")&lt;N(INDEX(Setup!$L$6:$L$23,16)))+(COUNTIF(S473:U473,"?*")&lt;N(INDEX(Setup!$L$6:$L$23,16)))+((W473="")*(INDEX(Setup!$M$6:$M$23,16)="Y"))+((Y473="")*(INDEX(Setup!$M$6:$M$23,16)="Y")))</f>
        <v/>
      </c>
      <c r="AC473" s="91">
        <f>IF($B473="","",IF(AB473=0,"✓ covered","⚠ "&amp;AB473&amp;IF(AB473=1," gap"," gaps")))</f>
        <v/>
      </c>
    </row>
    <row r="474" ht="17" customHeight="1">
      <c r="A474" t="n">
        <v>10</v>
      </c>
      <c r="B474" s="24">
        <f>IF(Setup!$K$22="","",Setup!$K$22)</f>
        <v/>
      </c>
      <c r="C474" s="88" t="n"/>
      <c r="D474" s="88" t="n"/>
      <c r="E474" s="88" t="n"/>
      <c r="F474" s="89" t="n"/>
      <c r="G474" s="88" t="n"/>
      <c r="H474" s="88" t="n"/>
      <c r="I474" s="88" t="n"/>
      <c r="J474" s="89" t="n"/>
      <c r="K474" s="88" t="n"/>
      <c r="L474" s="88" t="n"/>
      <c r="M474" s="88" t="n"/>
      <c r="N474" s="89" t="n"/>
      <c r="O474" s="88" t="n"/>
      <c r="P474" s="88" t="n"/>
      <c r="Q474" s="88" t="n"/>
      <c r="R474" s="89" t="n"/>
      <c r="S474" s="88" t="n"/>
      <c r="T474" s="88" t="n"/>
      <c r="U474" s="88" t="n"/>
      <c r="V474" s="89" t="n"/>
      <c r="W474" s="88" t="n"/>
      <c r="X474" s="89" t="n"/>
      <c r="Y474" s="88" t="n"/>
      <c r="Z474" s="89" t="n"/>
      <c r="AB474" s="25">
        <f>IF($B474="","",(COUNTIF(C474:E474,"?*")&lt;N(INDEX(Setup!$L$6:$L$23,17)))+(COUNTIF(G474:I474,"?*")&lt;N(INDEX(Setup!$L$6:$L$23,17)))+(COUNTIF(K474:M474,"?*")&lt;N(INDEX(Setup!$L$6:$L$23,17)))+(COUNTIF(O474:Q474,"?*")&lt;N(INDEX(Setup!$L$6:$L$23,17)))+(COUNTIF(S474:U474,"?*")&lt;N(INDEX(Setup!$L$6:$L$23,17)))+((W474="")*(INDEX(Setup!$M$6:$M$23,17)="Y"))+((Y474="")*(INDEX(Setup!$M$6:$M$23,17)="Y")))</f>
        <v/>
      </c>
      <c r="AC474" s="90">
        <f>IF($B474="","",IF(AB474=0,"✓ covered","⚠ "&amp;AB474&amp;IF(AB474=1," gap"," gaps")))</f>
        <v/>
      </c>
    </row>
    <row r="475" ht="17" customHeight="1">
      <c r="A475" t="n">
        <v>10</v>
      </c>
      <c r="B475" s="29">
        <f>IF(Setup!$K$23="","",Setup!$K$23)</f>
        <v/>
      </c>
      <c r="C475" s="88" t="n"/>
      <c r="D475" s="88" t="n"/>
      <c r="E475" s="88" t="n"/>
      <c r="F475" s="89" t="n"/>
      <c r="G475" s="88" t="n"/>
      <c r="H475" s="88" t="n"/>
      <c r="I475" s="88" t="n"/>
      <c r="J475" s="89" t="n"/>
      <c r="K475" s="88" t="n"/>
      <c r="L475" s="88" t="n"/>
      <c r="M475" s="88" t="n"/>
      <c r="N475" s="89" t="n"/>
      <c r="O475" s="88" t="n"/>
      <c r="P475" s="88" t="n"/>
      <c r="Q475" s="88" t="n"/>
      <c r="R475" s="89" t="n"/>
      <c r="S475" s="88" t="n"/>
      <c r="T475" s="88" t="n"/>
      <c r="U475" s="88" t="n"/>
      <c r="V475" s="89" t="n"/>
      <c r="W475" s="88" t="n"/>
      <c r="X475" s="89" t="n"/>
      <c r="Y475" s="88" t="n"/>
      <c r="Z475" s="89" t="n"/>
      <c r="AB475" s="30">
        <f>IF($B475="","",(COUNTIF(C475:E475,"?*")&lt;N(INDEX(Setup!$L$6:$L$23,18)))+(COUNTIF(G475:I475,"?*")&lt;N(INDEX(Setup!$L$6:$L$23,18)))+(COUNTIF(K475:M475,"?*")&lt;N(INDEX(Setup!$L$6:$L$23,18)))+(COUNTIF(O475:Q475,"?*")&lt;N(INDEX(Setup!$L$6:$L$23,18)))+(COUNTIF(S475:U475,"?*")&lt;N(INDEX(Setup!$L$6:$L$23,18)))+((W475="")*(INDEX(Setup!$M$6:$M$23,18)="Y"))+((Y475="")*(INDEX(Setup!$M$6:$M$23,18)="Y")))</f>
        <v/>
      </c>
      <c r="AC475" s="91">
        <f>IF($B475="","",IF(AB475=0,"✓ covered","⚠ "&amp;AB475&amp;IF(AB475=1," gap"," gaps")))</f>
        <v/>
      </c>
    </row>
    <row r="476" ht="18" customHeight="1">
      <c r="A476" t="n">
        <v>10</v>
      </c>
      <c r="B476" s="78" t="inlineStr">
        <is>
          <t>TEAM AVAILABILITY</t>
        </is>
      </c>
      <c r="C476" s="92" t="inlineStr">
        <is>
          <t>Mon</t>
        </is>
      </c>
      <c r="D476" s="93" t="n"/>
      <c r="E476" s="93" t="n"/>
      <c r="F476" s="94" t="n"/>
      <c r="G476" s="92" t="inlineStr">
        <is>
          <t>Tue</t>
        </is>
      </c>
      <c r="H476" s="93" t="n"/>
      <c r="I476" s="93" t="n"/>
      <c r="J476" s="94" t="n"/>
      <c r="K476" s="92" t="inlineStr">
        <is>
          <t>Wed</t>
        </is>
      </c>
      <c r="L476" s="93" t="n"/>
      <c r="M476" s="93" t="n"/>
      <c r="N476" s="94" t="n"/>
      <c r="O476" s="92" t="inlineStr">
        <is>
          <t>Thu</t>
        </is>
      </c>
      <c r="P476" s="93" t="n"/>
      <c r="Q476" s="93" t="n"/>
      <c r="R476" s="94" t="n"/>
      <c r="S476" s="92" t="inlineStr">
        <is>
          <t>Fri</t>
        </is>
      </c>
      <c r="T476" s="93" t="n"/>
      <c r="U476" s="93" t="n"/>
      <c r="V476" s="94" t="n"/>
      <c r="W476" s="95" t="inlineStr">
        <is>
          <t>Sat</t>
        </is>
      </c>
      <c r="X476" s="96" t="n"/>
      <c r="Y476" s="95" t="inlineStr">
        <is>
          <t>Sun</t>
        </is>
      </c>
      <c r="Z476" s="96" t="n"/>
      <c r="AB476" s="97" t="inlineStr">
        <is>
          <t>Days rostered</t>
        </is>
      </c>
      <c r="AC476" s="97" t="inlineStr">
        <is>
          <t>Conflicts</t>
        </is>
      </c>
    </row>
    <row r="477" ht="15" customHeight="1">
      <c r="A477" t="n">
        <v>10</v>
      </c>
      <c r="B477" s="35">
        <f>IF(Setup!$B$6="","",Setup!$B$6)</f>
        <v/>
      </c>
      <c r="C477" s="98" t="n"/>
      <c r="D477" s="99" t="n"/>
      <c r="E477" s="99" t="n"/>
      <c r="F477" s="100" t="n"/>
      <c r="G477" s="98" t="n"/>
      <c r="H477" s="99" t="n"/>
      <c r="I477" s="99" t="n"/>
      <c r="J477" s="100" t="n"/>
      <c r="K477" s="98" t="n"/>
      <c r="L477" s="99" t="n"/>
      <c r="M477" s="99" t="n"/>
      <c r="N477" s="100" t="n"/>
      <c r="O477" s="98" t="n"/>
      <c r="P477" s="99" t="n"/>
      <c r="Q477" s="99" t="n"/>
      <c r="R477" s="100" t="n"/>
      <c r="S477" s="98" t="n"/>
      <c r="T477" s="99" t="n"/>
      <c r="U477" s="99" t="n"/>
      <c r="V477" s="100" t="n"/>
      <c r="W477" s="98" t="n"/>
      <c r="X477" s="100" t="n"/>
      <c r="Y477" s="98" t="n"/>
      <c r="Z477" s="100" t="n"/>
      <c r="AB477" s="101">
        <f>IF($B477="","",(COUNTIF(C458:E475,$B477)+COUNTIF(C458:E475,$B477&amp;" ~*")&gt;0)+(COUNTIF(G458:I475,$B477)+COUNTIF(G458:I475,$B477&amp;" ~*")&gt;0)+(COUNTIF(K458:M475,$B477)+COUNTIF(K458:M475,$B477&amp;" ~*")&gt;0)+(COUNTIF(O458:Q475,$B477)+COUNTIF(O458:Q475,$B477&amp;" ~*")&gt;0)+(COUNTIF(S458:U475,$B477)+COUNTIF(S458:U475,$B477&amp;" ~*")&gt;0)+(COUNTIF(W458:W475,$B477)+COUNTIF(W458:W475,$B477&amp;" ~*")&gt;0)+(COUNTIF(Y458:Y475,$B477)+COUNTIF(Y458:Y475,$B477&amp;" ~*")&gt;0))</f>
        <v/>
      </c>
      <c r="AC477" s="36">
        <f>IF($B477="","",(IFERROR(INDEX(Setup!$G$33:$G$40,MATCH(C477,Setup!$B$33:$B$40,0)),0)=1)*(COUNTIF(C458:E475,$B477)+COUNTIF(C458:E475,$B477&amp;" ~*")&gt;0)+(IFERROR(INDEX(Setup!$G$33:$G$40,MATCH(G477,Setup!$B$33:$B$40,0)),0)=1)*(COUNTIF(G458:I475,$B477)+COUNTIF(G458:I475,$B477&amp;" ~*")&gt;0)+(IFERROR(INDEX(Setup!$G$33:$G$40,MATCH(K477,Setup!$B$33:$B$40,0)),0)=1)*(COUNTIF(K458:M475,$B477)+COUNTIF(K458:M475,$B477&amp;" ~*")&gt;0)+(IFERROR(INDEX(Setup!$G$33:$G$40,MATCH(O477,Setup!$B$33:$B$40,0)),0)=1)*(COUNTIF(O458:Q475,$B477)+COUNTIF(O458:Q475,$B477&amp;" ~*")&gt;0)+(IFERROR(INDEX(Setup!$G$33:$G$40,MATCH(S477,Setup!$B$33:$B$40,0)),0)=1)*(COUNTIF(S458:U475,$B477)+COUNTIF(S458:U475,$B477&amp;" ~*")&gt;0)+(IFERROR(INDEX(Setup!$G$33:$G$40,MATCH(W477,Setup!$B$33:$B$40,0)),0)=1)*(COUNTIF(W458:W475,$B477)+COUNTIF(W458:W475,$B477&amp;" ~*")&gt;0)+(IFERROR(INDEX(Setup!$G$33:$G$40,MATCH(Y477,Setup!$B$33:$B$40,0)),0)=1)*(COUNTIF(Y458:Y475,$B477)+COUNTIF(Y458:Y475,$B477&amp;" ~*")&gt;0))</f>
        <v/>
      </c>
    </row>
    <row r="478" ht="15" customHeight="1">
      <c r="A478" t="n">
        <v>10</v>
      </c>
      <c r="B478" s="37">
        <f>IF(Setup!$B$7="","",Setup!$B$7)</f>
        <v/>
      </c>
      <c r="C478" s="102" t="n"/>
      <c r="D478" s="103" t="n"/>
      <c r="E478" s="103" t="n"/>
      <c r="F478" s="104" t="n"/>
      <c r="G478" s="102" t="n"/>
      <c r="H478" s="103" t="n"/>
      <c r="I478" s="103" t="n"/>
      <c r="J478" s="104" t="n"/>
      <c r="K478" s="102" t="n"/>
      <c r="L478" s="103" t="n"/>
      <c r="M478" s="103" t="n"/>
      <c r="N478" s="104" t="n"/>
      <c r="O478" s="102" t="n"/>
      <c r="P478" s="103" t="n"/>
      <c r="Q478" s="103" t="n"/>
      <c r="R478" s="104" t="n"/>
      <c r="S478" s="102" t="n"/>
      <c r="T478" s="103" t="n"/>
      <c r="U478" s="103" t="n"/>
      <c r="V478" s="104" t="n"/>
      <c r="W478" s="102" t="n"/>
      <c r="X478" s="104" t="n"/>
      <c r="Y478" s="102" t="n"/>
      <c r="Z478" s="104" t="n"/>
      <c r="AB478" s="105">
        <f>IF($B478="","",(COUNTIF(C458:E475,$B478)+COUNTIF(C458:E475,$B478&amp;" ~*")&gt;0)+(COUNTIF(G458:I475,$B478)+COUNTIF(G458:I475,$B478&amp;" ~*")&gt;0)+(COUNTIF(K458:M475,$B478)+COUNTIF(K458:M475,$B478&amp;" ~*")&gt;0)+(COUNTIF(O458:Q475,$B478)+COUNTIF(O458:Q475,$B478&amp;" ~*")&gt;0)+(COUNTIF(S458:U475,$B478)+COUNTIF(S458:U475,$B478&amp;" ~*")&gt;0)+(COUNTIF(W458:W475,$B478)+COUNTIF(W458:W475,$B478&amp;" ~*")&gt;0)+(COUNTIF(Y458:Y475,$B478)+COUNTIF(Y458:Y475,$B478&amp;" ~*")&gt;0))</f>
        <v/>
      </c>
      <c r="AC478" s="38">
        <f>IF($B478="","",(IFERROR(INDEX(Setup!$G$33:$G$40,MATCH(C478,Setup!$B$33:$B$40,0)),0)=1)*(COUNTIF(C458:E475,$B478)+COUNTIF(C458:E475,$B478&amp;" ~*")&gt;0)+(IFERROR(INDEX(Setup!$G$33:$G$40,MATCH(G478,Setup!$B$33:$B$40,0)),0)=1)*(COUNTIF(G458:I475,$B478)+COUNTIF(G458:I475,$B478&amp;" ~*")&gt;0)+(IFERROR(INDEX(Setup!$G$33:$G$40,MATCH(K478,Setup!$B$33:$B$40,0)),0)=1)*(COUNTIF(K458:M475,$B478)+COUNTIF(K458:M475,$B478&amp;" ~*")&gt;0)+(IFERROR(INDEX(Setup!$G$33:$G$40,MATCH(O478,Setup!$B$33:$B$40,0)),0)=1)*(COUNTIF(O458:Q475,$B478)+COUNTIF(O458:Q475,$B478&amp;" ~*")&gt;0)+(IFERROR(INDEX(Setup!$G$33:$G$40,MATCH(S478,Setup!$B$33:$B$40,0)),0)=1)*(COUNTIF(S458:U475,$B478)+COUNTIF(S458:U475,$B478&amp;" ~*")&gt;0)+(IFERROR(INDEX(Setup!$G$33:$G$40,MATCH(W478,Setup!$B$33:$B$40,0)),0)=1)*(COUNTIF(W458:W475,$B478)+COUNTIF(W458:W475,$B478&amp;" ~*")&gt;0)+(IFERROR(INDEX(Setup!$G$33:$G$40,MATCH(Y478,Setup!$B$33:$B$40,0)),0)=1)*(COUNTIF(Y458:Y475,$B478)+COUNTIF(Y458:Y475,$B478&amp;" ~*")&gt;0))</f>
        <v/>
      </c>
    </row>
    <row r="479" ht="15" customHeight="1">
      <c r="A479" t="n">
        <v>10</v>
      </c>
      <c r="B479" s="35">
        <f>IF(Setup!$B$8="","",Setup!$B$8)</f>
        <v/>
      </c>
      <c r="C479" s="98" t="n"/>
      <c r="D479" s="99" t="n"/>
      <c r="E479" s="99" t="n"/>
      <c r="F479" s="100" t="n"/>
      <c r="G479" s="98" t="n"/>
      <c r="H479" s="99" t="n"/>
      <c r="I479" s="99" t="n"/>
      <c r="J479" s="100" t="n"/>
      <c r="K479" s="98" t="n"/>
      <c r="L479" s="99" t="n"/>
      <c r="M479" s="99" t="n"/>
      <c r="N479" s="100" t="n"/>
      <c r="O479" s="98" t="n"/>
      <c r="P479" s="99" t="n"/>
      <c r="Q479" s="99" t="n"/>
      <c r="R479" s="100" t="n"/>
      <c r="S479" s="98" t="n"/>
      <c r="T479" s="99" t="n"/>
      <c r="U479" s="99" t="n"/>
      <c r="V479" s="100" t="n"/>
      <c r="W479" s="98" t="n"/>
      <c r="X479" s="100" t="n"/>
      <c r="Y479" s="98" t="n"/>
      <c r="Z479" s="100" t="n"/>
      <c r="AB479" s="101">
        <f>IF($B479="","",(COUNTIF(C458:E475,$B479)+COUNTIF(C458:E475,$B479&amp;" ~*")&gt;0)+(COUNTIF(G458:I475,$B479)+COUNTIF(G458:I475,$B479&amp;" ~*")&gt;0)+(COUNTIF(K458:M475,$B479)+COUNTIF(K458:M475,$B479&amp;" ~*")&gt;0)+(COUNTIF(O458:Q475,$B479)+COUNTIF(O458:Q475,$B479&amp;" ~*")&gt;0)+(COUNTIF(S458:U475,$B479)+COUNTIF(S458:U475,$B479&amp;" ~*")&gt;0)+(COUNTIF(W458:W475,$B479)+COUNTIF(W458:W475,$B479&amp;" ~*")&gt;0)+(COUNTIF(Y458:Y475,$B479)+COUNTIF(Y458:Y475,$B479&amp;" ~*")&gt;0))</f>
        <v/>
      </c>
      <c r="AC479" s="36">
        <f>IF($B479="","",(IFERROR(INDEX(Setup!$G$33:$G$40,MATCH(C479,Setup!$B$33:$B$40,0)),0)=1)*(COUNTIF(C458:E475,$B479)+COUNTIF(C458:E475,$B479&amp;" ~*")&gt;0)+(IFERROR(INDEX(Setup!$G$33:$G$40,MATCH(G479,Setup!$B$33:$B$40,0)),0)=1)*(COUNTIF(G458:I475,$B479)+COUNTIF(G458:I475,$B479&amp;" ~*")&gt;0)+(IFERROR(INDEX(Setup!$G$33:$G$40,MATCH(K479,Setup!$B$33:$B$40,0)),0)=1)*(COUNTIF(K458:M475,$B479)+COUNTIF(K458:M475,$B479&amp;" ~*")&gt;0)+(IFERROR(INDEX(Setup!$G$33:$G$40,MATCH(O479,Setup!$B$33:$B$40,0)),0)=1)*(COUNTIF(O458:Q475,$B479)+COUNTIF(O458:Q475,$B479&amp;" ~*")&gt;0)+(IFERROR(INDEX(Setup!$G$33:$G$40,MATCH(S479,Setup!$B$33:$B$40,0)),0)=1)*(COUNTIF(S458:U475,$B479)+COUNTIF(S458:U475,$B479&amp;" ~*")&gt;0)+(IFERROR(INDEX(Setup!$G$33:$G$40,MATCH(W479,Setup!$B$33:$B$40,0)),0)=1)*(COUNTIF(W458:W475,$B479)+COUNTIF(W458:W475,$B479&amp;" ~*")&gt;0)+(IFERROR(INDEX(Setup!$G$33:$G$40,MATCH(Y479,Setup!$B$33:$B$40,0)),0)=1)*(COUNTIF(Y458:Y475,$B479)+COUNTIF(Y458:Y475,$B479&amp;" ~*")&gt;0))</f>
        <v/>
      </c>
    </row>
    <row r="480" ht="15" customHeight="1">
      <c r="A480" t="n">
        <v>10</v>
      </c>
      <c r="B480" s="37">
        <f>IF(Setup!$B$9="","",Setup!$B$9)</f>
        <v/>
      </c>
      <c r="C480" s="102" t="n"/>
      <c r="D480" s="103" t="n"/>
      <c r="E480" s="103" t="n"/>
      <c r="F480" s="104" t="n"/>
      <c r="G480" s="102" t="n"/>
      <c r="H480" s="103" t="n"/>
      <c r="I480" s="103" t="n"/>
      <c r="J480" s="104" t="n"/>
      <c r="K480" s="102" t="n"/>
      <c r="L480" s="103" t="n"/>
      <c r="M480" s="103" t="n"/>
      <c r="N480" s="104" t="n"/>
      <c r="O480" s="102" t="n"/>
      <c r="P480" s="103" t="n"/>
      <c r="Q480" s="103" t="n"/>
      <c r="R480" s="104" t="n"/>
      <c r="S480" s="102" t="n"/>
      <c r="T480" s="103" t="n"/>
      <c r="U480" s="103" t="n"/>
      <c r="V480" s="104" t="n"/>
      <c r="W480" s="102" t="n"/>
      <c r="X480" s="104" t="n"/>
      <c r="Y480" s="102" t="n"/>
      <c r="Z480" s="104" t="n"/>
      <c r="AB480" s="105">
        <f>IF($B480="","",(COUNTIF(C458:E475,$B480)+COUNTIF(C458:E475,$B480&amp;" ~*")&gt;0)+(COUNTIF(G458:I475,$B480)+COUNTIF(G458:I475,$B480&amp;" ~*")&gt;0)+(COUNTIF(K458:M475,$B480)+COUNTIF(K458:M475,$B480&amp;" ~*")&gt;0)+(COUNTIF(O458:Q475,$B480)+COUNTIF(O458:Q475,$B480&amp;" ~*")&gt;0)+(COUNTIF(S458:U475,$B480)+COUNTIF(S458:U475,$B480&amp;" ~*")&gt;0)+(COUNTIF(W458:W475,$B480)+COUNTIF(W458:W475,$B480&amp;" ~*")&gt;0)+(COUNTIF(Y458:Y475,$B480)+COUNTIF(Y458:Y475,$B480&amp;" ~*")&gt;0))</f>
        <v/>
      </c>
      <c r="AC480" s="38">
        <f>IF($B480="","",(IFERROR(INDEX(Setup!$G$33:$G$40,MATCH(C480,Setup!$B$33:$B$40,0)),0)=1)*(COUNTIF(C458:E475,$B480)+COUNTIF(C458:E475,$B480&amp;" ~*")&gt;0)+(IFERROR(INDEX(Setup!$G$33:$G$40,MATCH(G480,Setup!$B$33:$B$40,0)),0)=1)*(COUNTIF(G458:I475,$B480)+COUNTIF(G458:I475,$B480&amp;" ~*")&gt;0)+(IFERROR(INDEX(Setup!$G$33:$G$40,MATCH(K480,Setup!$B$33:$B$40,0)),0)=1)*(COUNTIF(K458:M475,$B480)+COUNTIF(K458:M475,$B480&amp;" ~*")&gt;0)+(IFERROR(INDEX(Setup!$G$33:$G$40,MATCH(O480,Setup!$B$33:$B$40,0)),0)=1)*(COUNTIF(O458:Q475,$B480)+COUNTIF(O458:Q475,$B480&amp;" ~*")&gt;0)+(IFERROR(INDEX(Setup!$G$33:$G$40,MATCH(S480,Setup!$B$33:$B$40,0)),0)=1)*(COUNTIF(S458:U475,$B480)+COUNTIF(S458:U475,$B480&amp;" ~*")&gt;0)+(IFERROR(INDEX(Setup!$G$33:$G$40,MATCH(W480,Setup!$B$33:$B$40,0)),0)=1)*(COUNTIF(W458:W475,$B480)+COUNTIF(W458:W475,$B480&amp;" ~*")&gt;0)+(IFERROR(INDEX(Setup!$G$33:$G$40,MATCH(Y480,Setup!$B$33:$B$40,0)),0)=1)*(COUNTIF(Y458:Y475,$B480)+COUNTIF(Y458:Y475,$B480&amp;" ~*")&gt;0))</f>
        <v/>
      </c>
    </row>
    <row r="481" ht="15" customHeight="1">
      <c r="A481" t="n">
        <v>10</v>
      </c>
      <c r="B481" s="35">
        <f>IF(Setup!$B$10="","",Setup!$B$10)</f>
        <v/>
      </c>
      <c r="C481" s="98" t="n"/>
      <c r="D481" s="99" t="n"/>
      <c r="E481" s="99" t="n"/>
      <c r="F481" s="100" t="n"/>
      <c r="G481" s="98" t="n"/>
      <c r="H481" s="99" t="n"/>
      <c r="I481" s="99" t="n"/>
      <c r="J481" s="100" t="n"/>
      <c r="K481" s="98" t="n"/>
      <c r="L481" s="99" t="n"/>
      <c r="M481" s="99" t="n"/>
      <c r="N481" s="100" t="n"/>
      <c r="O481" s="98" t="n"/>
      <c r="P481" s="99" t="n"/>
      <c r="Q481" s="99" t="n"/>
      <c r="R481" s="100" t="n"/>
      <c r="S481" s="98" t="n"/>
      <c r="T481" s="99" t="n"/>
      <c r="U481" s="99" t="n"/>
      <c r="V481" s="100" t="n"/>
      <c r="W481" s="98" t="n"/>
      <c r="X481" s="100" t="n"/>
      <c r="Y481" s="98" t="n"/>
      <c r="Z481" s="100" t="n"/>
      <c r="AB481" s="101">
        <f>IF($B481="","",(COUNTIF(C458:E475,$B481)+COUNTIF(C458:E475,$B481&amp;" ~*")&gt;0)+(COUNTIF(G458:I475,$B481)+COUNTIF(G458:I475,$B481&amp;" ~*")&gt;0)+(COUNTIF(K458:M475,$B481)+COUNTIF(K458:M475,$B481&amp;" ~*")&gt;0)+(COUNTIF(O458:Q475,$B481)+COUNTIF(O458:Q475,$B481&amp;" ~*")&gt;0)+(COUNTIF(S458:U475,$B481)+COUNTIF(S458:U475,$B481&amp;" ~*")&gt;0)+(COUNTIF(W458:W475,$B481)+COUNTIF(W458:W475,$B481&amp;" ~*")&gt;0)+(COUNTIF(Y458:Y475,$B481)+COUNTIF(Y458:Y475,$B481&amp;" ~*")&gt;0))</f>
        <v/>
      </c>
      <c r="AC481" s="36">
        <f>IF($B481="","",(IFERROR(INDEX(Setup!$G$33:$G$40,MATCH(C481,Setup!$B$33:$B$40,0)),0)=1)*(COUNTIF(C458:E475,$B481)+COUNTIF(C458:E475,$B481&amp;" ~*")&gt;0)+(IFERROR(INDEX(Setup!$G$33:$G$40,MATCH(G481,Setup!$B$33:$B$40,0)),0)=1)*(COUNTIF(G458:I475,$B481)+COUNTIF(G458:I475,$B481&amp;" ~*")&gt;0)+(IFERROR(INDEX(Setup!$G$33:$G$40,MATCH(K481,Setup!$B$33:$B$40,0)),0)=1)*(COUNTIF(K458:M475,$B481)+COUNTIF(K458:M475,$B481&amp;" ~*")&gt;0)+(IFERROR(INDEX(Setup!$G$33:$G$40,MATCH(O481,Setup!$B$33:$B$40,0)),0)=1)*(COUNTIF(O458:Q475,$B481)+COUNTIF(O458:Q475,$B481&amp;" ~*")&gt;0)+(IFERROR(INDEX(Setup!$G$33:$G$40,MATCH(S481,Setup!$B$33:$B$40,0)),0)=1)*(COUNTIF(S458:U475,$B481)+COUNTIF(S458:U475,$B481&amp;" ~*")&gt;0)+(IFERROR(INDEX(Setup!$G$33:$G$40,MATCH(W481,Setup!$B$33:$B$40,0)),0)=1)*(COUNTIF(W458:W475,$B481)+COUNTIF(W458:W475,$B481&amp;" ~*")&gt;0)+(IFERROR(INDEX(Setup!$G$33:$G$40,MATCH(Y481,Setup!$B$33:$B$40,0)),0)=1)*(COUNTIF(Y458:Y475,$B481)+COUNTIF(Y458:Y475,$B481&amp;" ~*")&gt;0))</f>
        <v/>
      </c>
    </row>
    <row r="482" ht="15" customHeight="1">
      <c r="A482" t="n">
        <v>10</v>
      </c>
      <c r="B482" s="37">
        <f>IF(Setup!$B$11="","",Setup!$B$11)</f>
        <v/>
      </c>
      <c r="C482" s="102" t="n"/>
      <c r="D482" s="103" t="n"/>
      <c r="E482" s="103" t="n"/>
      <c r="F482" s="104" t="n"/>
      <c r="G482" s="102" t="n"/>
      <c r="H482" s="103" t="n"/>
      <c r="I482" s="103" t="n"/>
      <c r="J482" s="104" t="n"/>
      <c r="K482" s="102" t="n"/>
      <c r="L482" s="103" t="n"/>
      <c r="M482" s="103" t="n"/>
      <c r="N482" s="104" t="n"/>
      <c r="O482" s="102" t="n"/>
      <c r="P482" s="103" t="n"/>
      <c r="Q482" s="103" t="n"/>
      <c r="R482" s="104" t="n"/>
      <c r="S482" s="102" t="n"/>
      <c r="T482" s="103" t="n"/>
      <c r="U482" s="103" t="n"/>
      <c r="V482" s="104" t="n"/>
      <c r="W482" s="102" t="n"/>
      <c r="X482" s="104" t="n"/>
      <c r="Y482" s="102" t="n"/>
      <c r="Z482" s="104" t="n"/>
      <c r="AB482" s="105">
        <f>IF($B482="","",(COUNTIF(C458:E475,$B482)+COUNTIF(C458:E475,$B482&amp;" ~*")&gt;0)+(COUNTIF(G458:I475,$B482)+COUNTIF(G458:I475,$B482&amp;" ~*")&gt;0)+(COUNTIF(K458:M475,$B482)+COUNTIF(K458:M475,$B482&amp;" ~*")&gt;0)+(COUNTIF(O458:Q475,$B482)+COUNTIF(O458:Q475,$B482&amp;" ~*")&gt;0)+(COUNTIF(S458:U475,$B482)+COUNTIF(S458:U475,$B482&amp;" ~*")&gt;0)+(COUNTIF(W458:W475,$B482)+COUNTIF(W458:W475,$B482&amp;" ~*")&gt;0)+(COUNTIF(Y458:Y475,$B482)+COUNTIF(Y458:Y475,$B482&amp;" ~*")&gt;0))</f>
        <v/>
      </c>
      <c r="AC482" s="38">
        <f>IF($B482="","",(IFERROR(INDEX(Setup!$G$33:$G$40,MATCH(C482,Setup!$B$33:$B$40,0)),0)=1)*(COUNTIF(C458:E475,$B482)+COUNTIF(C458:E475,$B482&amp;" ~*")&gt;0)+(IFERROR(INDEX(Setup!$G$33:$G$40,MATCH(G482,Setup!$B$33:$B$40,0)),0)=1)*(COUNTIF(G458:I475,$B482)+COUNTIF(G458:I475,$B482&amp;" ~*")&gt;0)+(IFERROR(INDEX(Setup!$G$33:$G$40,MATCH(K482,Setup!$B$33:$B$40,0)),0)=1)*(COUNTIF(K458:M475,$B482)+COUNTIF(K458:M475,$B482&amp;" ~*")&gt;0)+(IFERROR(INDEX(Setup!$G$33:$G$40,MATCH(O482,Setup!$B$33:$B$40,0)),0)=1)*(COUNTIF(O458:Q475,$B482)+COUNTIF(O458:Q475,$B482&amp;" ~*")&gt;0)+(IFERROR(INDEX(Setup!$G$33:$G$40,MATCH(S482,Setup!$B$33:$B$40,0)),0)=1)*(COUNTIF(S458:U475,$B482)+COUNTIF(S458:U475,$B482&amp;" ~*")&gt;0)+(IFERROR(INDEX(Setup!$G$33:$G$40,MATCH(W482,Setup!$B$33:$B$40,0)),0)=1)*(COUNTIF(W458:W475,$B482)+COUNTIF(W458:W475,$B482&amp;" ~*")&gt;0)+(IFERROR(INDEX(Setup!$G$33:$G$40,MATCH(Y482,Setup!$B$33:$B$40,0)),0)=1)*(COUNTIF(Y458:Y475,$B482)+COUNTIF(Y458:Y475,$B482&amp;" ~*")&gt;0))</f>
        <v/>
      </c>
    </row>
    <row r="483" ht="15" customHeight="1">
      <c r="A483" t="n">
        <v>10</v>
      </c>
      <c r="B483" s="35">
        <f>IF(Setup!$B$12="","",Setup!$B$12)</f>
        <v/>
      </c>
      <c r="C483" s="98" t="n"/>
      <c r="D483" s="99" t="n"/>
      <c r="E483" s="99" t="n"/>
      <c r="F483" s="100" t="n"/>
      <c r="G483" s="98" t="n"/>
      <c r="H483" s="99" t="n"/>
      <c r="I483" s="99" t="n"/>
      <c r="J483" s="100" t="n"/>
      <c r="K483" s="98" t="n"/>
      <c r="L483" s="99" t="n"/>
      <c r="M483" s="99" t="n"/>
      <c r="N483" s="100" t="n"/>
      <c r="O483" s="98" t="n"/>
      <c r="P483" s="99" t="n"/>
      <c r="Q483" s="99" t="n"/>
      <c r="R483" s="100" t="n"/>
      <c r="S483" s="98" t="n"/>
      <c r="T483" s="99" t="n"/>
      <c r="U483" s="99" t="n"/>
      <c r="V483" s="100" t="n"/>
      <c r="W483" s="98" t="n"/>
      <c r="X483" s="100" t="n"/>
      <c r="Y483" s="98" t="n"/>
      <c r="Z483" s="100" t="n"/>
      <c r="AB483" s="101">
        <f>IF($B483="","",(COUNTIF(C458:E475,$B483)+COUNTIF(C458:E475,$B483&amp;" ~*")&gt;0)+(COUNTIF(G458:I475,$B483)+COUNTIF(G458:I475,$B483&amp;" ~*")&gt;0)+(COUNTIF(K458:M475,$B483)+COUNTIF(K458:M475,$B483&amp;" ~*")&gt;0)+(COUNTIF(O458:Q475,$B483)+COUNTIF(O458:Q475,$B483&amp;" ~*")&gt;0)+(COUNTIF(S458:U475,$B483)+COUNTIF(S458:U475,$B483&amp;" ~*")&gt;0)+(COUNTIF(W458:W475,$B483)+COUNTIF(W458:W475,$B483&amp;" ~*")&gt;0)+(COUNTIF(Y458:Y475,$B483)+COUNTIF(Y458:Y475,$B483&amp;" ~*")&gt;0))</f>
        <v/>
      </c>
      <c r="AC483" s="36">
        <f>IF($B483="","",(IFERROR(INDEX(Setup!$G$33:$G$40,MATCH(C483,Setup!$B$33:$B$40,0)),0)=1)*(COUNTIF(C458:E475,$B483)+COUNTIF(C458:E475,$B483&amp;" ~*")&gt;0)+(IFERROR(INDEX(Setup!$G$33:$G$40,MATCH(G483,Setup!$B$33:$B$40,0)),0)=1)*(COUNTIF(G458:I475,$B483)+COUNTIF(G458:I475,$B483&amp;" ~*")&gt;0)+(IFERROR(INDEX(Setup!$G$33:$G$40,MATCH(K483,Setup!$B$33:$B$40,0)),0)=1)*(COUNTIF(K458:M475,$B483)+COUNTIF(K458:M475,$B483&amp;" ~*")&gt;0)+(IFERROR(INDEX(Setup!$G$33:$G$40,MATCH(O483,Setup!$B$33:$B$40,0)),0)=1)*(COUNTIF(O458:Q475,$B483)+COUNTIF(O458:Q475,$B483&amp;" ~*")&gt;0)+(IFERROR(INDEX(Setup!$G$33:$G$40,MATCH(S483,Setup!$B$33:$B$40,0)),0)=1)*(COUNTIF(S458:U475,$B483)+COUNTIF(S458:U475,$B483&amp;" ~*")&gt;0)+(IFERROR(INDEX(Setup!$G$33:$G$40,MATCH(W483,Setup!$B$33:$B$40,0)),0)=1)*(COUNTIF(W458:W475,$B483)+COUNTIF(W458:W475,$B483&amp;" ~*")&gt;0)+(IFERROR(INDEX(Setup!$G$33:$G$40,MATCH(Y483,Setup!$B$33:$B$40,0)),0)=1)*(COUNTIF(Y458:Y475,$B483)+COUNTIF(Y458:Y475,$B483&amp;" ~*")&gt;0))</f>
        <v/>
      </c>
    </row>
    <row r="484" ht="15" customHeight="1">
      <c r="A484" t="n">
        <v>10</v>
      </c>
      <c r="B484" s="37">
        <f>IF(Setup!$B$13="","",Setup!$B$13)</f>
        <v/>
      </c>
      <c r="C484" s="102" t="n"/>
      <c r="D484" s="103" t="n"/>
      <c r="E484" s="103" t="n"/>
      <c r="F484" s="104" t="n"/>
      <c r="G484" s="102" t="n"/>
      <c r="H484" s="103" t="n"/>
      <c r="I484" s="103" t="n"/>
      <c r="J484" s="104" t="n"/>
      <c r="K484" s="102" t="n"/>
      <c r="L484" s="103" t="n"/>
      <c r="M484" s="103" t="n"/>
      <c r="N484" s="104" t="n"/>
      <c r="O484" s="102" t="n"/>
      <c r="P484" s="103" t="n"/>
      <c r="Q484" s="103" t="n"/>
      <c r="R484" s="104" t="n"/>
      <c r="S484" s="102" t="n"/>
      <c r="T484" s="103" t="n"/>
      <c r="U484" s="103" t="n"/>
      <c r="V484" s="104" t="n"/>
      <c r="W484" s="102" t="n"/>
      <c r="X484" s="104" t="n"/>
      <c r="Y484" s="102" t="n"/>
      <c r="Z484" s="104" t="n"/>
      <c r="AB484" s="105">
        <f>IF($B484="","",(COUNTIF(C458:E475,$B484)+COUNTIF(C458:E475,$B484&amp;" ~*")&gt;0)+(COUNTIF(G458:I475,$B484)+COUNTIF(G458:I475,$B484&amp;" ~*")&gt;0)+(COUNTIF(K458:M475,$B484)+COUNTIF(K458:M475,$B484&amp;" ~*")&gt;0)+(COUNTIF(O458:Q475,$B484)+COUNTIF(O458:Q475,$B484&amp;" ~*")&gt;0)+(COUNTIF(S458:U475,$B484)+COUNTIF(S458:U475,$B484&amp;" ~*")&gt;0)+(COUNTIF(W458:W475,$B484)+COUNTIF(W458:W475,$B484&amp;" ~*")&gt;0)+(COUNTIF(Y458:Y475,$B484)+COUNTIF(Y458:Y475,$B484&amp;" ~*")&gt;0))</f>
        <v/>
      </c>
      <c r="AC484" s="38">
        <f>IF($B484="","",(IFERROR(INDEX(Setup!$G$33:$G$40,MATCH(C484,Setup!$B$33:$B$40,0)),0)=1)*(COUNTIF(C458:E475,$B484)+COUNTIF(C458:E475,$B484&amp;" ~*")&gt;0)+(IFERROR(INDEX(Setup!$G$33:$G$40,MATCH(G484,Setup!$B$33:$B$40,0)),0)=1)*(COUNTIF(G458:I475,$B484)+COUNTIF(G458:I475,$B484&amp;" ~*")&gt;0)+(IFERROR(INDEX(Setup!$G$33:$G$40,MATCH(K484,Setup!$B$33:$B$40,0)),0)=1)*(COUNTIF(K458:M475,$B484)+COUNTIF(K458:M475,$B484&amp;" ~*")&gt;0)+(IFERROR(INDEX(Setup!$G$33:$G$40,MATCH(O484,Setup!$B$33:$B$40,0)),0)=1)*(COUNTIF(O458:Q475,$B484)+COUNTIF(O458:Q475,$B484&amp;" ~*")&gt;0)+(IFERROR(INDEX(Setup!$G$33:$G$40,MATCH(S484,Setup!$B$33:$B$40,0)),0)=1)*(COUNTIF(S458:U475,$B484)+COUNTIF(S458:U475,$B484&amp;" ~*")&gt;0)+(IFERROR(INDEX(Setup!$G$33:$G$40,MATCH(W484,Setup!$B$33:$B$40,0)),0)=1)*(COUNTIF(W458:W475,$B484)+COUNTIF(W458:W475,$B484&amp;" ~*")&gt;0)+(IFERROR(INDEX(Setup!$G$33:$G$40,MATCH(Y484,Setup!$B$33:$B$40,0)),0)=1)*(COUNTIF(Y458:Y475,$B484)+COUNTIF(Y458:Y475,$B484&amp;" ~*")&gt;0))</f>
        <v/>
      </c>
    </row>
    <row r="485" ht="15" customHeight="1">
      <c r="A485" t="n">
        <v>10</v>
      </c>
      <c r="B485" s="35">
        <f>IF(Setup!$B$14="","",Setup!$B$14)</f>
        <v/>
      </c>
      <c r="C485" s="98" t="n"/>
      <c r="D485" s="99" t="n"/>
      <c r="E485" s="99" t="n"/>
      <c r="F485" s="100" t="n"/>
      <c r="G485" s="98" t="n"/>
      <c r="H485" s="99" t="n"/>
      <c r="I485" s="99" t="n"/>
      <c r="J485" s="100" t="n"/>
      <c r="K485" s="98" t="n"/>
      <c r="L485" s="99" t="n"/>
      <c r="M485" s="99" t="n"/>
      <c r="N485" s="100" t="n"/>
      <c r="O485" s="98" t="n"/>
      <c r="P485" s="99" t="n"/>
      <c r="Q485" s="99" t="n"/>
      <c r="R485" s="100" t="n"/>
      <c r="S485" s="98" t="n"/>
      <c r="T485" s="99" t="n"/>
      <c r="U485" s="99" t="n"/>
      <c r="V485" s="100" t="n"/>
      <c r="W485" s="98" t="n"/>
      <c r="X485" s="100" t="n"/>
      <c r="Y485" s="98" t="n"/>
      <c r="Z485" s="100" t="n"/>
      <c r="AB485" s="101">
        <f>IF($B485="","",(COUNTIF(C458:E475,$B485)+COUNTIF(C458:E475,$B485&amp;" ~*")&gt;0)+(COUNTIF(G458:I475,$B485)+COUNTIF(G458:I475,$B485&amp;" ~*")&gt;0)+(COUNTIF(K458:M475,$B485)+COUNTIF(K458:M475,$B485&amp;" ~*")&gt;0)+(COUNTIF(O458:Q475,$B485)+COUNTIF(O458:Q475,$B485&amp;" ~*")&gt;0)+(COUNTIF(S458:U475,$B485)+COUNTIF(S458:U475,$B485&amp;" ~*")&gt;0)+(COUNTIF(W458:W475,$B485)+COUNTIF(W458:W475,$B485&amp;" ~*")&gt;0)+(COUNTIF(Y458:Y475,$B485)+COUNTIF(Y458:Y475,$B485&amp;" ~*")&gt;0))</f>
        <v/>
      </c>
      <c r="AC485" s="36">
        <f>IF($B485="","",(IFERROR(INDEX(Setup!$G$33:$G$40,MATCH(C485,Setup!$B$33:$B$40,0)),0)=1)*(COUNTIF(C458:E475,$B485)+COUNTIF(C458:E475,$B485&amp;" ~*")&gt;0)+(IFERROR(INDEX(Setup!$G$33:$G$40,MATCH(G485,Setup!$B$33:$B$40,0)),0)=1)*(COUNTIF(G458:I475,$B485)+COUNTIF(G458:I475,$B485&amp;" ~*")&gt;0)+(IFERROR(INDEX(Setup!$G$33:$G$40,MATCH(K485,Setup!$B$33:$B$40,0)),0)=1)*(COUNTIF(K458:M475,$B485)+COUNTIF(K458:M475,$B485&amp;" ~*")&gt;0)+(IFERROR(INDEX(Setup!$G$33:$G$40,MATCH(O485,Setup!$B$33:$B$40,0)),0)=1)*(COUNTIF(O458:Q475,$B485)+COUNTIF(O458:Q475,$B485&amp;" ~*")&gt;0)+(IFERROR(INDEX(Setup!$G$33:$G$40,MATCH(S485,Setup!$B$33:$B$40,0)),0)=1)*(COUNTIF(S458:U475,$B485)+COUNTIF(S458:U475,$B485&amp;" ~*")&gt;0)+(IFERROR(INDEX(Setup!$G$33:$G$40,MATCH(W485,Setup!$B$33:$B$40,0)),0)=1)*(COUNTIF(W458:W475,$B485)+COUNTIF(W458:W475,$B485&amp;" ~*")&gt;0)+(IFERROR(INDEX(Setup!$G$33:$G$40,MATCH(Y485,Setup!$B$33:$B$40,0)),0)=1)*(COUNTIF(Y458:Y475,$B485)+COUNTIF(Y458:Y475,$B485&amp;" ~*")&gt;0))</f>
        <v/>
      </c>
    </row>
    <row r="486" ht="15" customHeight="1">
      <c r="A486" t="n">
        <v>10</v>
      </c>
      <c r="B486" s="37">
        <f>IF(Setup!$B$15="","",Setup!$B$15)</f>
        <v/>
      </c>
      <c r="C486" s="102" t="n"/>
      <c r="D486" s="103" t="n"/>
      <c r="E486" s="103" t="n"/>
      <c r="F486" s="104" t="n"/>
      <c r="G486" s="102" t="n"/>
      <c r="H486" s="103" t="n"/>
      <c r="I486" s="103" t="n"/>
      <c r="J486" s="104" t="n"/>
      <c r="K486" s="102" t="n"/>
      <c r="L486" s="103" t="n"/>
      <c r="M486" s="103" t="n"/>
      <c r="N486" s="104" t="n"/>
      <c r="O486" s="102" t="n"/>
      <c r="P486" s="103" t="n"/>
      <c r="Q486" s="103" t="n"/>
      <c r="R486" s="104" t="n"/>
      <c r="S486" s="102" t="n"/>
      <c r="T486" s="103" t="n"/>
      <c r="U486" s="103" t="n"/>
      <c r="V486" s="104" t="n"/>
      <c r="W486" s="102" t="n"/>
      <c r="X486" s="104" t="n"/>
      <c r="Y486" s="102" t="n"/>
      <c r="Z486" s="104" t="n"/>
      <c r="AB486" s="105">
        <f>IF($B486="","",(COUNTIF(C458:E475,$B486)+COUNTIF(C458:E475,$B486&amp;" ~*")&gt;0)+(COUNTIF(G458:I475,$B486)+COUNTIF(G458:I475,$B486&amp;" ~*")&gt;0)+(COUNTIF(K458:M475,$B486)+COUNTIF(K458:M475,$B486&amp;" ~*")&gt;0)+(COUNTIF(O458:Q475,$B486)+COUNTIF(O458:Q475,$B486&amp;" ~*")&gt;0)+(COUNTIF(S458:U475,$B486)+COUNTIF(S458:U475,$B486&amp;" ~*")&gt;0)+(COUNTIF(W458:W475,$B486)+COUNTIF(W458:W475,$B486&amp;" ~*")&gt;0)+(COUNTIF(Y458:Y475,$B486)+COUNTIF(Y458:Y475,$B486&amp;" ~*")&gt;0))</f>
        <v/>
      </c>
      <c r="AC486" s="38">
        <f>IF($B486="","",(IFERROR(INDEX(Setup!$G$33:$G$40,MATCH(C486,Setup!$B$33:$B$40,0)),0)=1)*(COUNTIF(C458:E475,$B486)+COUNTIF(C458:E475,$B486&amp;" ~*")&gt;0)+(IFERROR(INDEX(Setup!$G$33:$G$40,MATCH(G486,Setup!$B$33:$B$40,0)),0)=1)*(COUNTIF(G458:I475,$B486)+COUNTIF(G458:I475,$B486&amp;" ~*")&gt;0)+(IFERROR(INDEX(Setup!$G$33:$G$40,MATCH(K486,Setup!$B$33:$B$40,0)),0)=1)*(COUNTIF(K458:M475,$B486)+COUNTIF(K458:M475,$B486&amp;" ~*")&gt;0)+(IFERROR(INDEX(Setup!$G$33:$G$40,MATCH(O486,Setup!$B$33:$B$40,0)),0)=1)*(COUNTIF(O458:Q475,$B486)+COUNTIF(O458:Q475,$B486&amp;" ~*")&gt;0)+(IFERROR(INDEX(Setup!$G$33:$G$40,MATCH(S486,Setup!$B$33:$B$40,0)),0)=1)*(COUNTIF(S458:U475,$B486)+COUNTIF(S458:U475,$B486&amp;" ~*")&gt;0)+(IFERROR(INDEX(Setup!$G$33:$G$40,MATCH(W486,Setup!$B$33:$B$40,0)),0)=1)*(COUNTIF(W458:W475,$B486)+COUNTIF(W458:W475,$B486&amp;" ~*")&gt;0)+(IFERROR(INDEX(Setup!$G$33:$G$40,MATCH(Y486,Setup!$B$33:$B$40,0)),0)=1)*(COUNTIF(Y458:Y475,$B486)+COUNTIF(Y458:Y475,$B486&amp;" ~*")&gt;0))</f>
        <v/>
      </c>
    </row>
    <row r="487" ht="15" customHeight="1">
      <c r="A487" t="n">
        <v>10</v>
      </c>
      <c r="B487" s="35">
        <f>IF(Setup!$B$16="","",Setup!$B$16)</f>
        <v/>
      </c>
      <c r="C487" s="98" t="n"/>
      <c r="D487" s="99" t="n"/>
      <c r="E487" s="99" t="n"/>
      <c r="F487" s="100" t="n"/>
      <c r="G487" s="98" t="n"/>
      <c r="H487" s="99" t="n"/>
      <c r="I487" s="99" t="n"/>
      <c r="J487" s="100" t="n"/>
      <c r="K487" s="98" t="n"/>
      <c r="L487" s="99" t="n"/>
      <c r="M487" s="99" t="n"/>
      <c r="N487" s="100" t="n"/>
      <c r="O487" s="98" t="n"/>
      <c r="P487" s="99" t="n"/>
      <c r="Q487" s="99" t="n"/>
      <c r="R487" s="100" t="n"/>
      <c r="S487" s="98" t="n"/>
      <c r="T487" s="99" t="n"/>
      <c r="U487" s="99" t="n"/>
      <c r="V487" s="100" t="n"/>
      <c r="W487" s="98" t="n"/>
      <c r="X487" s="100" t="n"/>
      <c r="Y487" s="98" t="n"/>
      <c r="Z487" s="100" t="n"/>
      <c r="AB487" s="101">
        <f>IF($B487="","",(COUNTIF(C458:E475,$B487)+COUNTIF(C458:E475,$B487&amp;" ~*")&gt;0)+(COUNTIF(G458:I475,$B487)+COUNTIF(G458:I475,$B487&amp;" ~*")&gt;0)+(COUNTIF(K458:M475,$B487)+COUNTIF(K458:M475,$B487&amp;" ~*")&gt;0)+(COUNTIF(O458:Q475,$B487)+COUNTIF(O458:Q475,$B487&amp;" ~*")&gt;0)+(COUNTIF(S458:U475,$B487)+COUNTIF(S458:U475,$B487&amp;" ~*")&gt;0)+(COUNTIF(W458:W475,$B487)+COUNTIF(W458:W475,$B487&amp;" ~*")&gt;0)+(COUNTIF(Y458:Y475,$B487)+COUNTIF(Y458:Y475,$B487&amp;" ~*")&gt;0))</f>
        <v/>
      </c>
      <c r="AC487" s="36">
        <f>IF($B487="","",(IFERROR(INDEX(Setup!$G$33:$G$40,MATCH(C487,Setup!$B$33:$B$40,0)),0)=1)*(COUNTIF(C458:E475,$B487)+COUNTIF(C458:E475,$B487&amp;" ~*")&gt;0)+(IFERROR(INDEX(Setup!$G$33:$G$40,MATCH(G487,Setup!$B$33:$B$40,0)),0)=1)*(COUNTIF(G458:I475,$B487)+COUNTIF(G458:I475,$B487&amp;" ~*")&gt;0)+(IFERROR(INDEX(Setup!$G$33:$G$40,MATCH(K487,Setup!$B$33:$B$40,0)),0)=1)*(COUNTIF(K458:M475,$B487)+COUNTIF(K458:M475,$B487&amp;" ~*")&gt;0)+(IFERROR(INDEX(Setup!$G$33:$G$40,MATCH(O487,Setup!$B$33:$B$40,0)),0)=1)*(COUNTIF(O458:Q475,$B487)+COUNTIF(O458:Q475,$B487&amp;" ~*")&gt;0)+(IFERROR(INDEX(Setup!$G$33:$G$40,MATCH(S487,Setup!$B$33:$B$40,0)),0)=1)*(COUNTIF(S458:U475,$B487)+COUNTIF(S458:U475,$B487&amp;" ~*")&gt;0)+(IFERROR(INDEX(Setup!$G$33:$G$40,MATCH(W487,Setup!$B$33:$B$40,0)),0)=1)*(COUNTIF(W458:W475,$B487)+COUNTIF(W458:W475,$B487&amp;" ~*")&gt;0)+(IFERROR(INDEX(Setup!$G$33:$G$40,MATCH(Y487,Setup!$B$33:$B$40,0)),0)=1)*(COUNTIF(Y458:Y475,$B487)+COUNTIF(Y458:Y475,$B487&amp;" ~*")&gt;0))</f>
        <v/>
      </c>
    </row>
    <row r="488" ht="15" customHeight="1">
      <c r="A488" t="n">
        <v>10</v>
      </c>
      <c r="B488" s="37">
        <f>IF(Setup!$B$17="","",Setup!$B$17)</f>
        <v/>
      </c>
      <c r="C488" s="102" t="n"/>
      <c r="D488" s="103" t="n"/>
      <c r="E488" s="103" t="n"/>
      <c r="F488" s="104" t="n"/>
      <c r="G488" s="102" t="n"/>
      <c r="H488" s="103" t="n"/>
      <c r="I488" s="103" t="n"/>
      <c r="J488" s="104" t="n"/>
      <c r="K488" s="102" t="n"/>
      <c r="L488" s="103" t="n"/>
      <c r="M488" s="103" t="n"/>
      <c r="N488" s="104" t="n"/>
      <c r="O488" s="102" t="n"/>
      <c r="P488" s="103" t="n"/>
      <c r="Q488" s="103" t="n"/>
      <c r="R488" s="104" t="n"/>
      <c r="S488" s="102" t="n"/>
      <c r="T488" s="103" t="n"/>
      <c r="U488" s="103" t="n"/>
      <c r="V488" s="104" t="n"/>
      <c r="W488" s="102" t="n"/>
      <c r="X488" s="104" t="n"/>
      <c r="Y488" s="102" t="n"/>
      <c r="Z488" s="104" t="n"/>
      <c r="AB488" s="105">
        <f>IF($B488="","",(COUNTIF(C458:E475,$B488)+COUNTIF(C458:E475,$B488&amp;" ~*")&gt;0)+(COUNTIF(G458:I475,$B488)+COUNTIF(G458:I475,$B488&amp;" ~*")&gt;0)+(COUNTIF(K458:M475,$B488)+COUNTIF(K458:M475,$B488&amp;" ~*")&gt;0)+(COUNTIF(O458:Q475,$B488)+COUNTIF(O458:Q475,$B488&amp;" ~*")&gt;0)+(COUNTIF(S458:U475,$B488)+COUNTIF(S458:U475,$B488&amp;" ~*")&gt;0)+(COUNTIF(W458:W475,$B488)+COUNTIF(W458:W475,$B488&amp;" ~*")&gt;0)+(COUNTIF(Y458:Y475,$B488)+COUNTIF(Y458:Y475,$B488&amp;" ~*")&gt;0))</f>
        <v/>
      </c>
      <c r="AC488" s="38">
        <f>IF($B488="","",(IFERROR(INDEX(Setup!$G$33:$G$40,MATCH(C488,Setup!$B$33:$B$40,0)),0)=1)*(COUNTIF(C458:E475,$B488)+COUNTIF(C458:E475,$B488&amp;" ~*")&gt;0)+(IFERROR(INDEX(Setup!$G$33:$G$40,MATCH(G488,Setup!$B$33:$B$40,0)),0)=1)*(COUNTIF(G458:I475,$B488)+COUNTIF(G458:I475,$B488&amp;" ~*")&gt;0)+(IFERROR(INDEX(Setup!$G$33:$G$40,MATCH(K488,Setup!$B$33:$B$40,0)),0)=1)*(COUNTIF(K458:M475,$B488)+COUNTIF(K458:M475,$B488&amp;" ~*")&gt;0)+(IFERROR(INDEX(Setup!$G$33:$G$40,MATCH(O488,Setup!$B$33:$B$40,0)),0)=1)*(COUNTIF(O458:Q475,$B488)+COUNTIF(O458:Q475,$B488&amp;" ~*")&gt;0)+(IFERROR(INDEX(Setup!$G$33:$G$40,MATCH(S488,Setup!$B$33:$B$40,0)),0)=1)*(COUNTIF(S458:U475,$B488)+COUNTIF(S458:U475,$B488&amp;" ~*")&gt;0)+(IFERROR(INDEX(Setup!$G$33:$G$40,MATCH(W488,Setup!$B$33:$B$40,0)),0)=1)*(COUNTIF(W458:W475,$B488)+COUNTIF(W458:W475,$B488&amp;" ~*")&gt;0)+(IFERROR(INDEX(Setup!$G$33:$G$40,MATCH(Y488,Setup!$B$33:$B$40,0)),0)=1)*(COUNTIF(Y458:Y475,$B488)+COUNTIF(Y458:Y475,$B488&amp;" ~*")&gt;0))</f>
        <v/>
      </c>
    </row>
    <row r="489" ht="15" customHeight="1">
      <c r="A489" t="n">
        <v>10</v>
      </c>
      <c r="B489" s="35">
        <f>IF(Setup!$B$18="","",Setup!$B$18)</f>
        <v/>
      </c>
      <c r="C489" s="98" t="n"/>
      <c r="D489" s="99" t="n"/>
      <c r="E489" s="99" t="n"/>
      <c r="F489" s="100" t="n"/>
      <c r="G489" s="98" t="n"/>
      <c r="H489" s="99" t="n"/>
      <c r="I489" s="99" t="n"/>
      <c r="J489" s="100" t="n"/>
      <c r="K489" s="98" t="n"/>
      <c r="L489" s="99" t="n"/>
      <c r="M489" s="99" t="n"/>
      <c r="N489" s="100" t="n"/>
      <c r="O489" s="98" t="n"/>
      <c r="P489" s="99" t="n"/>
      <c r="Q489" s="99" t="n"/>
      <c r="R489" s="100" t="n"/>
      <c r="S489" s="98" t="n"/>
      <c r="T489" s="99" t="n"/>
      <c r="U489" s="99" t="n"/>
      <c r="V489" s="100" t="n"/>
      <c r="W489" s="98" t="n"/>
      <c r="X489" s="100" t="n"/>
      <c r="Y489" s="98" t="n"/>
      <c r="Z489" s="100" t="n"/>
      <c r="AB489" s="101">
        <f>IF($B489="","",(COUNTIF(C458:E475,$B489)+COUNTIF(C458:E475,$B489&amp;" ~*")&gt;0)+(COUNTIF(G458:I475,$B489)+COUNTIF(G458:I475,$B489&amp;" ~*")&gt;0)+(COUNTIF(K458:M475,$B489)+COUNTIF(K458:M475,$B489&amp;" ~*")&gt;0)+(COUNTIF(O458:Q475,$B489)+COUNTIF(O458:Q475,$B489&amp;" ~*")&gt;0)+(COUNTIF(S458:U475,$B489)+COUNTIF(S458:U475,$B489&amp;" ~*")&gt;0)+(COUNTIF(W458:W475,$B489)+COUNTIF(W458:W475,$B489&amp;" ~*")&gt;0)+(COUNTIF(Y458:Y475,$B489)+COUNTIF(Y458:Y475,$B489&amp;" ~*")&gt;0))</f>
        <v/>
      </c>
      <c r="AC489" s="36">
        <f>IF($B489="","",(IFERROR(INDEX(Setup!$G$33:$G$40,MATCH(C489,Setup!$B$33:$B$40,0)),0)=1)*(COUNTIF(C458:E475,$B489)+COUNTIF(C458:E475,$B489&amp;" ~*")&gt;0)+(IFERROR(INDEX(Setup!$G$33:$G$40,MATCH(G489,Setup!$B$33:$B$40,0)),0)=1)*(COUNTIF(G458:I475,$B489)+COUNTIF(G458:I475,$B489&amp;" ~*")&gt;0)+(IFERROR(INDEX(Setup!$G$33:$G$40,MATCH(K489,Setup!$B$33:$B$40,0)),0)=1)*(COUNTIF(K458:M475,$B489)+COUNTIF(K458:M475,$B489&amp;" ~*")&gt;0)+(IFERROR(INDEX(Setup!$G$33:$G$40,MATCH(O489,Setup!$B$33:$B$40,0)),0)=1)*(COUNTIF(O458:Q475,$B489)+COUNTIF(O458:Q475,$B489&amp;" ~*")&gt;0)+(IFERROR(INDEX(Setup!$G$33:$G$40,MATCH(S489,Setup!$B$33:$B$40,0)),0)=1)*(COUNTIF(S458:U475,$B489)+COUNTIF(S458:U475,$B489&amp;" ~*")&gt;0)+(IFERROR(INDEX(Setup!$G$33:$G$40,MATCH(W489,Setup!$B$33:$B$40,0)),0)=1)*(COUNTIF(W458:W475,$B489)+COUNTIF(W458:W475,$B489&amp;" ~*")&gt;0)+(IFERROR(INDEX(Setup!$G$33:$G$40,MATCH(Y489,Setup!$B$33:$B$40,0)),0)=1)*(COUNTIF(Y458:Y475,$B489)+COUNTIF(Y458:Y475,$B489&amp;" ~*")&gt;0))</f>
        <v/>
      </c>
    </row>
    <row r="490" ht="15" customHeight="1">
      <c r="A490" t="n">
        <v>10</v>
      </c>
      <c r="B490" s="37">
        <f>IF(Setup!$B$19="","",Setup!$B$19)</f>
        <v/>
      </c>
      <c r="C490" s="102" t="n"/>
      <c r="D490" s="103" t="n"/>
      <c r="E490" s="103" t="n"/>
      <c r="F490" s="104" t="n"/>
      <c r="G490" s="102" t="n"/>
      <c r="H490" s="103" t="n"/>
      <c r="I490" s="103" t="n"/>
      <c r="J490" s="104" t="n"/>
      <c r="K490" s="102" t="n"/>
      <c r="L490" s="103" t="n"/>
      <c r="M490" s="103" t="n"/>
      <c r="N490" s="104" t="n"/>
      <c r="O490" s="102" t="inlineStr">
        <is>
          <t>AL</t>
        </is>
      </c>
      <c r="P490" s="103" t="n"/>
      <c r="Q490" s="103" t="n"/>
      <c r="R490" s="104" t="n"/>
      <c r="S490" s="102" t="inlineStr">
        <is>
          <t>AL</t>
        </is>
      </c>
      <c r="T490" s="103" t="n"/>
      <c r="U490" s="103" t="n"/>
      <c r="V490" s="104" t="n"/>
      <c r="W490" s="102" t="n"/>
      <c r="X490" s="104" t="n"/>
      <c r="Y490" s="102" t="n"/>
      <c r="Z490" s="104" t="n"/>
      <c r="AB490" s="105">
        <f>IF($B490="","",(COUNTIF(C458:E475,$B490)+COUNTIF(C458:E475,$B490&amp;" ~*")&gt;0)+(COUNTIF(G458:I475,$B490)+COUNTIF(G458:I475,$B490&amp;" ~*")&gt;0)+(COUNTIF(K458:M475,$B490)+COUNTIF(K458:M475,$B490&amp;" ~*")&gt;0)+(COUNTIF(O458:Q475,$B490)+COUNTIF(O458:Q475,$B490&amp;" ~*")&gt;0)+(COUNTIF(S458:U475,$B490)+COUNTIF(S458:U475,$B490&amp;" ~*")&gt;0)+(COUNTIF(W458:W475,$B490)+COUNTIF(W458:W475,$B490&amp;" ~*")&gt;0)+(COUNTIF(Y458:Y475,$B490)+COUNTIF(Y458:Y475,$B490&amp;" ~*")&gt;0))</f>
        <v/>
      </c>
      <c r="AC490" s="38">
        <f>IF($B490="","",(IFERROR(INDEX(Setup!$G$33:$G$40,MATCH(C490,Setup!$B$33:$B$40,0)),0)=1)*(COUNTIF(C458:E475,$B490)+COUNTIF(C458:E475,$B490&amp;" ~*")&gt;0)+(IFERROR(INDEX(Setup!$G$33:$G$40,MATCH(G490,Setup!$B$33:$B$40,0)),0)=1)*(COUNTIF(G458:I475,$B490)+COUNTIF(G458:I475,$B490&amp;" ~*")&gt;0)+(IFERROR(INDEX(Setup!$G$33:$G$40,MATCH(K490,Setup!$B$33:$B$40,0)),0)=1)*(COUNTIF(K458:M475,$B490)+COUNTIF(K458:M475,$B490&amp;" ~*")&gt;0)+(IFERROR(INDEX(Setup!$G$33:$G$40,MATCH(O490,Setup!$B$33:$B$40,0)),0)=1)*(COUNTIF(O458:Q475,$B490)+COUNTIF(O458:Q475,$B490&amp;" ~*")&gt;0)+(IFERROR(INDEX(Setup!$G$33:$G$40,MATCH(S490,Setup!$B$33:$B$40,0)),0)=1)*(COUNTIF(S458:U475,$B490)+COUNTIF(S458:U475,$B490&amp;" ~*")&gt;0)+(IFERROR(INDEX(Setup!$G$33:$G$40,MATCH(W490,Setup!$B$33:$B$40,0)),0)=1)*(COUNTIF(W458:W475,$B490)+COUNTIF(W458:W475,$B490&amp;" ~*")&gt;0)+(IFERROR(INDEX(Setup!$G$33:$G$40,MATCH(Y490,Setup!$B$33:$B$40,0)),0)=1)*(COUNTIF(Y458:Y475,$B490)+COUNTIF(Y458:Y475,$B490&amp;" ~*")&gt;0))</f>
        <v/>
      </c>
    </row>
    <row r="491" ht="15" customHeight="1">
      <c r="A491" t="n">
        <v>10</v>
      </c>
      <c r="B491" s="35">
        <f>IF(Setup!$B$20="","",Setup!$B$20)</f>
        <v/>
      </c>
      <c r="C491" s="98" t="n"/>
      <c r="D491" s="99" t="n"/>
      <c r="E491" s="99" t="n"/>
      <c r="F491" s="100" t="n"/>
      <c r="G491" s="98" t="n"/>
      <c r="H491" s="99" t="n"/>
      <c r="I491" s="99" t="n"/>
      <c r="J491" s="100" t="n"/>
      <c r="K491" s="98" t="n"/>
      <c r="L491" s="99" t="n"/>
      <c r="M491" s="99" t="n"/>
      <c r="N491" s="100" t="n"/>
      <c r="O491" s="98" t="n"/>
      <c r="P491" s="99" t="n"/>
      <c r="Q491" s="99" t="n"/>
      <c r="R491" s="100" t="n"/>
      <c r="S491" s="98" t="n"/>
      <c r="T491" s="99" t="n"/>
      <c r="U491" s="99" t="n"/>
      <c r="V491" s="100" t="n"/>
      <c r="W491" s="98" t="n"/>
      <c r="X491" s="100" t="n"/>
      <c r="Y491" s="98" t="n"/>
      <c r="Z491" s="100" t="n"/>
      <c r="AB491" s="101">
        <f>IF($B491="","",(COUNTIF(C458:E475,$B491)+COUNTIF(C458:E475,$B491&amp;" ~*")&gt;0)+(COUNTIF(G458:I475,$B491)+COUNTIF(G458:I475,$B491&amp;" ~*")&gt;0)+(COUNTIF(K458:M475,$B491)+COUNTIF(K458:M475,$B491&amp;" ~*")&gt;0)+(COUNTIF(O458:Q475,$B491)+COUNTIF(O458:Q475,$B491&amp;" ~*")&gt;0)+(COUNTIF(S458:U475,$B491)+COUNTIF(S458:U475,$B491&amp;" ~*")&gt;0)+(COUNTIF(W458:W475,$B491)+COUNTIF(W458:W475,$B491&amp;" ~*")&gt;0)+(COUNTIF(Y458:Y475,$B491)+COUNTIF(Y458:Y475,$B491&amp;" ~*")&gt;0))</f>
        <v/>
      </c>
      <c r="AC491" s="36">
        <f>IF($B491="","",(IFERROR(INDEX(Setup!$G$33:$G$40,MATCH(C491,Setup!$B$33:$B$40,0)),0)=1)*(COUNTIF(C458:E475,$B491)+COUNTIF(C458:E475,$B491&amp;" ~*")&gt;0)+(IFERROR(INDEX(Setup!$G$33:$G$40,MATCH(G491,Setup!$B$33:$B$40,0)),0)=1)*(COUNTIF(G458:I475,$B491)+COUNTIF(G458:I475,$B491&amp;" ~*")&gt;0)+(IFERROR(INDEX(Setup!$G$33:$G$40,MATCH(K491,Setup!$B$33:$B$40,0)),0)=1)*(COUNTIF(K458:M475,$B491)+COUNTIF(K458:M475,$B491&amp;" ~*")&gt;0)+(IFERROR(INDEX(Setup!$G$33:$G$40,MATCH(O491,Setup!$B$33:$B$40,0)),0)=1)*(COUNTIF(O458:Q475,$B491)+COUNTIF(O458:Q475,$B491&amp;" ~*")&gt;0)+(IFERROR(INDEX(Setup!$G$33:$G$40,MATCH(S491,Setup!$B$33:$B$40,0)),0)=1)*(COUNTIF(S458:U475,$B491)+COUNTIF(S458:U475,$B491&amp;" ~*")&gt;0)+(IFERROR(INDEX(Setup!$G$33:$G$40,MATCH(W491,Setup!$B$33:$B$40,0)),0)=1)*(COUNTIF(W458:W475,$B491)+COUNTIF(W458:W475,$B491&amp;" ~*")&gt;0)+(IFERROR(INDEX(Setup!$G$33:$G$40,MATCH(Y491,Setup!$B$33:$B$40,0)),0)=1)*(COUNTIF(Y458:Y475,$B491)+COUNTIF(Y458:Y475,$B491&amp;" ~*")&gt;0))</f>
        <v/>
      </c>
    </row>
    <row r="492" ht="15" customHeight="1">
      <c r="A492" t="n">
        <v>10</v>
      </c>
      <c r="B492" s="37">
        <f>IF(Setup!$B$21="","",Setup!$B$21)</f>
        <v/>
      </c>
      <c r="C492" s="102" t="n"/>
      <c r="D492" s="103" t="n"/>
      <c r="E492" s="103" t="n"/>
      <c r="F492" s="104" t="n"/>
      <c r="G492" s="102" t="n"/>
      <c r="H492" s="103" t="n"/>
      <c r="I492" s="103" t="n"/>
      <c r="J492" s="104" t="n"/>
      <c r="K492" s="102" t="n"/>
      <c r="L492" s="103" t="n"/>
      <c r="M492" s="103" t="n"/>
      <c r="N492" s="104" t="n"/>
      <c r="O492" s="102" t="n"/>
      <c r="P492" s="103" t="n"/>
      <c r="Q492" s="103" t="n"/>
      <c r="R492" s="104" t="n"/>
      <c r="S492" s="102" t="n"/>
      <c r="T492" s="103" t="n"/>
      <c r="U492" s="103" t="n"/>
      <c r="V492" s="104" t="n"/>
      <c r="W492" s="102" t="n"/>
      <c r="X492" s="104" t="n"/>
      <c r="Y492" s="102" t="n"/>
      <c r="Z492" s="104" t="n"/>
      <c r="AB492" s="105">
        <f>IF($B492="","",(COUNTIF(C458:E475,$B492)+COUNTIF(C458:E475,$B492&amp;" ~*")&gt;0)+(COUNTIF(G458:I475,$B492)+COUNTIF(G458:I475,$B492&amp;" ~*")&gt;0)+(COUNTIF(K458:M475,$B492)+COUNTIF(K458:M475,$B492&amp;" ~*")&gt;0)+(COUNTIF(O458:Q475,$B492)+COUNTIF(O458:Q475,$B492&amp;" ~*")&gt;0)+(COUNTIF(S458:U475,$B492)+COUNTIF(S458:U475,$B492&amp;" ~*")&gt;0)+(COUNTIF(W458:W475,$B492)+COUNTIF(W458:W475,$B492&amp;" ~*")&gt;0)+(COUNTIF(Y458:Y475,$B492)+COUNTIF(Y458:Y475,$B492&amp;" ~*")&gt;0))</f>
        <v/>
      </c>
      <c r="AC492" s="38">
        <f>IF($B492="","",(IFERROR(INDEX(Setup!$G$33:$G$40,MATCH(C492,Setup!$B$33:$B$40,0)),0)=1)*(COUNTIF(C458:E475,$B492)+COUNTIF(C458:E475,$B492&amp;" ~*")&gt;0)+(IFERROR(INDEX(Setup!$G$33:$G$40,MATCH(G492,Setup!$B$33:$B$40,0)),0)=1)*(COUNTIF(G458:I475,$B492)+COUNTIF(G458:I475,$B492&amp;" ~*")&gt;0)+(IFERROR(INDEX(Setup!$G$33:$G$40,MATCH(K492,Setup!$B$33:$B$40,0)),0)=1)*(COUNTIF(K458:M475,$B492)+COUNTIF(K458:M475,$B492&amp;" ~*")&gt;0)+(IFERROR(INDEX(Setup!$G$33:$G$40,MATCH(O492,Setup!$B$33:$B$40,0)),0)=1)*(COUNTIF(O458:Q475,$B492)+COUNTIF(O458:Q475,$B492&amp;" ~*")&gt;0)+(IFERROR(INDEX(Setup!$G$33:$G$40,MATCH(S492,Setup!$B$33:$B$40,0)),0)=1)*(COUNTIF(S458:U475,$B492)+COUNTIF(S458:U475,$B492&amp;" ~*")&gt;0)+(IFERROR(INDEX(Setup!$G$33:$G$40,MATCH(W492,Setup!$B$33:$B$40,0)),0)=1)*(COUNTIF(W458:W475,$B492)+COUNTIF(W458:W475,$B492&amp;" ~*")&gt;0)+(IFERROR(INDEX(Setup!$G$33:$G$40,MATCH(Y492,Setup!$B$33:$B$40,0)),0)=1)*(COUNTIF(Y458:Y475,$B492)+COUNTIF(Y458:Y475,$B492&amp;" ~*")&gt;0))</f>
        <v/>
      </c>
    </row>
    <row r="493" ht="15" customHeight="1">
      <c r="A493" t="n">
        <v>10</v>
      </c>
      <c r="B493" s="35">
        <f>IF(Setup!$B$22="","",Setup!$B$22)</f>
        <v/>
      </c>
      <c r="C493" s="98" t="n"/>
      <c r="D493" s="99" t="n"/>
      <c r="E493" s="99" t="n"/>
      <c r="F493" s="100" t="n"/>
      <c r="G493" s="98" t="n"/>
      <c r="H493" s="99" t="n"/>
      <c r="I493" s="99" t="n"/>
      <c r="J493" s="100" t="n"/>
      <c r="K493" s="98" t="n"/>
      <c r="L493" s="99" t="n"/>
      <c r="M493" s="99" t="n"/>
      <c r="N493" s="100" t="n"/>
      <c r="O493" s="98" t="n"/>
      <c r="P493" s="99" t="n"/>
      <c r="Q493" s="99" t="n"/>
      <c r="R493" s="100" t="n"/>
      <c r="S493" s="98" t="n"/>
      <c r="T493" s="99" t="n"/>
      <c r="U493" s="99" t="n"/>
      <c r="V493" s="100" t="n"/>
      <c r="W493" s="98" t="n"/>
      <c r="X493" s="100" t="n"/>
      <c r="Y493" s="98" t="n"/>
      <c r="Z493" s="100" t="n"/>
      <c r="AB493" s="101">
        <f>IF($B493="","",(COUNTIF(C458:E475,$B493)+COUNTIF(C458:E475,$B493&amp;" ~*")&gt;0)+(COUNTIF(G458:I475,$B493)+COUNTIF(G458:I475,$B493&amp;" ~*")&gt;0)+(COUNTIF(K458:M475,$B493)+COUNTIF(K458:M475,$B493&amp;" ~*")&gt;0)+(COUNTIF(O458:Q475,$B493)+COUNTIF(O458:Q475,$B493&amp;" ~*")&gt;0)+(COUNTIF(S458:U475,$B493)+COUNTIF(S458:U475,$B493&amp;" ~*")&gt;0)+(COUNTIF(W458:W475,$B493)+COUNTIF(W458:W475,$B493&amp;" ~*")&gt;0)+(COUNTIF(Y458:Y475,$B493)+COUNTIF(Y458:Y475,$B493&amp;" ~*")&gt;0))</f>
        <v/>
      </c>
      <c r="AC493" s="36">
        <f>IF($B493="","",(IFERROR(INDEX(Setup!$G$33:$G$40,MATCH(C493,Setup!$B$33:$B$40,0)),0)=1)*(COUNTIF(C458:E475,$B493)+COUNTIF(C458:E475,$B493&amp;" ~*")&gt;0)+(IFERROR(INDEX(Setup!$G$33:$G$40,MATCH(G493,Setup!$B$33:$B$40,0)),0)=1)*(COUNTIF(G458:I475,$B493)+COUNTIF(G458:I475,$B493&amp;" ~*")&gt;0)+(IFERROR(INDEX(Setup!$G$33:$G$40,MATCH(K493,Setup!$B$33:$B$40,0)),0)=1)*(COUNTIF(K458:M475,$B493)+COUNTIF(K458:M475,$B493&amp;" ~*")&gt;0)+(IFERROR(INDEX(Setup!$G$33:$G$40,MATCH(O493,Setup!$B$33:$B$40,0)),0)=1)*(COUNTIF(O458:Q475,$B493)+COUNTIF(O458:Q475,$B493&amp;" ~*")&gt;0)+(IFERROR(INDEX(Setup!$G$33:$G$40,MATCH(S493,Setup!$B$33:$B$40,0)),0)=1)*(COUNTIF(S458:U475,$B493)+COUNTIF(S458:U475,$B493&amp;" ~*")&gt;0)+(IFERROR(INDEX(Setup!$G$33:$G$40,MATCH(W493,Setup!$B$33:$B$40,0)),0)=1)*(COUNTIF(W458:W475,$B493)+COUNTIF(W458:W475,$B493&amp;" ~*")&gt;0)+(IFERROR(INDEX(Setup!$G$33:$G$40,MATCH(Y493,Setup!$B$33:$B$40,0)),0)=1)*(COUNTIF(Y458:Y475,$B493)+COUNTIF(Y458:Y475,$B493&amp;" ~*")&gt;0))</f>
        <v/>
      </c>
    </row>
    <row r="494" ht="15" customHeight="1">
      <c r="A494" t="n">
        <v>10</v>
      </c>
      <c r="B494" s="37">
        <f>IF(Setup!$B$23="","",Setup!$B$23)</f>
        <v/>
      </c>
      <c r="C494" s="102" t="n"/>
      <c r="D494" s="103" t="n"/>
      <c r="E494" s="103" t="n"/>
      <c r="F494" s="104" t="n"/>
      <c r="G494" s="102" t="n"/>
      <c r="H494" s="103" t="n"/>
      <c r="I494" s="103" t="n"/>
      <c r="J494" s="104" t="n"/>
      <c r="K494" s="102" t="n"/>
      <c r="L494" s="103" t="n"/>
      <c r="M494" s="103" t="n"/>
      <c r="N494" s="104" t="n"/>
      <c r="O494" s="102" t="n"/>
      <c r="P494" s="103" t="n"/>
      <c r="Q494" s="103" t="n"/>
      <c r="R494" s="104" t="n"/>
      <c r="S494" s="102" t="n"/>
      <c r="T494" s="103" t="n"/>
      <c r="U494" s="103" t="n"/>
      <c r="V494" s="104" t="n"/>
      <c r="W494" s="102" t="n"/>
      <c r="X494" s="104" t="n"/>
      <c r="Y494" s="102" t="n"/>
      <c r="Z494" s="104" t="n"/>
      <c r="AB494" s="105">
        <f>IF($B494="","",(COUNTIF(C458:E475,$B494)+COUNTIF(C458:E475,$B494&amp;" ~*")&gt;0)+(COUNTIF(G458:I475,$B494)+COUNTIF(G458:I475,$B494&amp;" ~*")&gt;0)+(COUNTIF(K458:M475,$B494)+COUNTIF(K458:M475,$B494&amp;" ~*")&gt;0)+(COUNTIF(O458:Q475,$B494)+COUNTIF(O458:Q475,$B494&amp;" ~*")&gt;0)+(COUNTIF(S458:U475,$B494)+COUNTIF(S458:U475,$B494&amp;" ~*")&gt;0)+(COUNTIF(W458:W475,$B494)+COUNTIF(W458:W475,$B494&amp;" ~*")&gt;0)+(COUNTIF(Y458:Y475,$B494)+COUNTIF(Y458:Y475,$B494&amp;" ~*")&gt;0))</f>
        <v/>
      </c>
      <c r="AC494" s="38">
        <f>IF($B494="","",(IFERROR(INDEX(Setup!$G$33:$G$40,MATCH(C494,Setup!$B$33:$B$40,0)),0)=1)*(COUNTIF(C458:E475,$B494)+COUNTIF(C458:E475,$B494&amp;" ~*")&gt;0)+(IFERROR(INDEX(Setup!$G$33:$G$40,MATCH(G494,Setup!$B$33:$B$40,0)),0)=1)*(COUNTIF(G458:I475,$B494)+COUNTIF(G458:I475,$B494&amp;" ~*")&gt;0)+(IFERROR(INDEX(Setup!$G$33:$G$40,MATCH(K494,Setup!$B$33:$B$40,0)),0)=1)*(COUNTIF(K458:M475,$B494)+COUNTIF(K458:M475,$B494&amp;" ~*")&gt;0)+(IFERROR(INDEX(Setup!$G$33:$G$40,MATCH(O494,Setup!$B$33:$B$40,0)),0)=1)*(COUNTIF(O458:Q475,$B494)+COUNTIF(O458:Q475,$B494&amp;" ~*")&gt;0)+(IFERROR(INDEX(Setup!$G$33:$G$40,MATCH(S494,Setup!$B$33:$B$40,0)),0)=1)*(COUNTIF(S458:U475,$B494)+COUNTIF(S458:U475,$B494&amp;" ~*")&gt;0)+(IFERROR(INDEX(Setup!$G$33:$G$40,MATCH(W494,Setup!$B$33:$B$40,0)),0)=1)*(COUNTIF(W458:W475,$B494)+COUNTIF(W458:W475,$B494&amp;" ~*")&gt;0)+(IFERROR(INDEX(Setup!$G$33:$G$40,MATCH(Y494,Setup!$B$33:$B$40,0)),0)=1)*(COUNTIF(Y458:Y475,$B494)+COUNTIF(Y458:Y475,$B494&amp;" ~*")&gt;0))</f>
        <v/>
      </c>
    </row>
    <row r="495" ht="15" customHeight="1">
      <c r="A495" t="n">
        <v>10</v>
      </c>
      <c r="B495" s="35">
        <f>IF(Setup!$B$24="","",Setup!$B$24)</f>
        <v/>
      </c>
      <c r="C495" s="98" t="n"/>
      <c r="D495" s="99" t="n"/>
      <c r="E495" s="99" t="n"/>
      <c r="F495" s="100" t="n"/>
      <c r="G495" s="98" t="n"/>
      <c r="H495" s="99" t="n"/>
      <c r="I495" s="99" t="n"/>
      <c r="J495" s="100" t="n"/>
      <c r="K495" s="98" t="n"/>
      <c r="L495" s="99" t="n"/>
      <c r="M495" s="99" t="n"/>
      <c r="N495" s="100" t="n"/>
      <c r="O495" s="98" t="n"/>
      <c r="P495" s="99" t="n"/>
      <c r="Q495" s="99" t="n"/>
      <c r="R495" s="100" t="n"/>
      <c r="S495" s="98" t="n"/>
      <c r="T495" s="99" t="n"/>
      <c r="U495" s="99" t="n"/>
      <c r="V495" s="100" t="n"/>
      <c r="W495" s="98" t="n"/>
      <c r="X495" s="100" t="n"/>
      <c r="Y495" s="98" t="n"/>
      <c r="Z495" s="100" t="n"/>
      <c r="AB495" s="101">
        <f>IF($B495="","",(COUNTIF(C458:E475,$B495)+COUNTIF(C458:E475,$B495&amp;" ~*")&gt;0)+(COUNTIF(G458:I475,$B495)+COUNTIF(G458:I475,$B495&amp;" ~*")&gt;0)+(COUNTIF(K458:M475,$B495)+COUNTIF(K458:M475,$B495&amp;" ~*")&gt;0)+(COUNTIF(O458:Q475,$B495)+COUNTIF(O458:Q475,$B495&amp;" ~*")&gt;0)+(COUNTIF(S458:U475,$B495)+COUNTIF(S458:U475,$B495&amp;" ~*")&gt;0)+(COUNTIF(W458:W475,$B495)+COUNTIF(W458:W475,$B495&amp;" ~*")&gt;0)+(COUNTIF(Y458:Y475,$B495)+COUNTIF(Y458:Y475,$B495&amp;" ~*")&gt;0))</f>
        <v/>
      </c>
      <c r="AC495" s="36">
        <f>IF($B495="","",(IFERROR(INDEX(Setup!$G$33:$G$40,MATCH(C495,Setup!$B$33:$B$40,0)),0)=1)*(COUNTIF(C458:E475,$B495)+COUNTIF(C458:E475,$B495&amp;" ~*")&gt;0)+(IFERROR(INDEX(Setup!$G$33:$G$40,MATCH(G495,Setup!$B$33:$B$40,0)),0)=1)*(COUNTIF(G458:I475,$B495)+COUNTIF(G458:I475,$B495&amp;" ~*")&gt;0)+(IFERROR(INDEX(Setup!$G$33:$G$40,MATCH(K495,Setup!$B$33:$B$40,0)),0)=1)*(COUNTIF(K458:M475,$B495)+COUNTIF(K458:M475,$B495&amp;" ~*")&gt;0)+(IFERROR(INDEX(Setup!$G$33:$G$40,MATCH(O495,Setup!$B$33:$B$40,0)),0)=1)*(COUNTIF(O458:Q475,$B495)+COUNTIF(O458:Q475,$B495&amp;" ~*")&gt;0)+(IFERROR(INDEX(Setup!$G$33:$G$40,MATCH(S495,Setup!$B$33:$B$40,0)),0)=1)*(COUNTIF(S458:U475,$B495)+COUNTIF(S458:U475,$B495&amp;" ~*")&gt;0)+(IFERROR(INDEX(Setup!$G$33:$G$40,MATCH(W495,Setup!$B$33:$B$40,0)),0)=1)*(COUNTIF(W458:W475,$B495)+COUNTIF(W458:W475,$B495&amp;" ~*")&gt;0)+(IFERROR(INDEX(Setup!$G$33:$G$40,MATCH(Y495,Setup!$B$33:$B$40,0)),0)=1)*(COUNTIF(Y458:Y475,$B495)+COUNTIF(Y458:Y475,$B495&amp;" ~*")&gt;0))</f>
        <v/>
      </c>
    </row>
    <row r="496" ht="15" customHeight="1">
      <c r="A496" t="n">
        <v>10</v>
      </c>
      <c r="B496" s="37">
        <f>IF(Setup!$B$25="","",Setup!$B$25)</f>
        <v/>
      </c>
      <c r="C496" s="102" t="n"/>
      <c r="D496" s="103" t="n"/>
      <c r="E496" s="103" t="n"/>
      <c r="F496" s="104" t="n"/>
      <c r="G496" s="102" t="n"/>
      <c r="H496" s="103" t="n"/>
      <c r="I496" s="103" t="n"/>
      <c r="J496" s="104" t="n"/>
      <c r="K496" s="102" t="n"/>
      <c r="L496" s="103" t="n"/>
      <c r="M496" s="103" t="n"/>
      <c r="N496" s="104" t="n"/>
      <c r="O496" s="102" t="n"/>
      <c r="P496" s="103" t="n"/>
      <c r="Q496" s="103" t="n"/>
      <c r="R496" s="104" t="n"/>
      <c r="S496" s="102" t="n"/>
      <c r="T496" s="103" t="n"/>
      <c r="U496" s="103" t="n"/>
      <c r="V496" s="104" t="n"/>
      <c r="W496" s="102" t="n"/>
      <c r="X496" s="104" t="n"/>
      <c r="Y496" s="102" t="n"/>
      <c r="Z496" s="104" t="n"/>
      <c r="AB496" s="105">
        <f>IF($B496="","",(COUNTIF(C458:E475,$B496)+COUNTIF(C458:E475,$B496&amp;" ~*")&gt;0)+(COUNTIF(G458:I475,$B496)+COUNTIF(G458:I475,$B496&amp;" ~*")&gt;0)+(COUNTIF(K458:M475,$B496)+COUNTIF(K458:M475,$B496&amp;" ~*")&gt;0)+(COUNTIF(O458:Q475,$B496)+COUNTIF(O458:Q475,$B496&amp;" ~*")&gt;0)+(COUNTIF(S458:U475,$B496)+COUNTIF(S458:U475,$B496&amp;" ~*")&gt;0)+(COUNTIF(W458:W475,$B496)+COUNTIF(W458:W475,$B496&amp;" ~*")&gt;0)+(COUNTIF(Y458:Y475,$B496)+COUNTIF(Y458:Y475,$B496&amp;" ~*")&gt;0))</f>
        <v/>
      </c>
      <c r="AC496" s="38">
        <f>IF($B496="","",(IFERROR(INDEX(Setup!$G$33:$G$40,MATCH(C496,Setup!$B$33:$B$40,0)),0)=1)*(COUNTIF(C458:E475,$B496)+COUNTIF(C458:E475,$B496&amp;" ~*")&gt;0)+(IFERROR(INDEX(Setup!$G$33:$G$40,MATCH(G496,Setup!$B$33:$B$40,0)),0)=1)*(COUNTIF(G458:I475,$B496)+COUNTIF(G458:I475,$B496&amp;" ~*")&gt;0)+(IFERROR(INDEX(Setup!$G$33:$G$40,MATCH(K496,Setup!$B$33:$B$40,0)),0)=1)*(COUNTIF(K458:M475,$B496)+COUNTIF(K458:M475,$B496&amp;" ~*")&gt;0)+(IFERROR(INDEX(Setup!$G$33:$G$40,MATCH(O496,Setup!$B$33:$B$40,0)),0)=1)*(COUNTIF(O458:Q475,$B496)+COUNTIF(O458:Q475,$B496&amp;" ~*")&gt;0)+(IFERROR(INDEX(Setup!$G$33:$G$40,MATCH(S496,Setup!$B$33:$B$40,0)),0)=1)*(COUNTIF(S458:U475,$B496)+COUNTIF(S458:U475,$B496&amp;" ~*")&gt;0)+(IFERROR(INDEX(Setup!$G$33:$G$40,MATCH(W496,Setup!$B$33:$B$40,0)),0)=1)*(COUNTIF(W458:W475,$B496)+COUNTIF(W458:W475,$B496&amp;" ~*")&gt;0)+(IFERROR(INDEX(Setup!$G$33:$G$40,MATCH(Y496,Setup!$B$33:$B$40,0)),0)=1)*(COUNTIF(Y458:Y475,$B496)+COUNTIF(Y458:Y475,$B496&amp;" ~*")&gt;0))</f>
        <v/>
      </c>
    </row>
    <row r="497" ht="15" customHeight="1">
      <c r="A497" t="n">
        <v>10</v>
      </c>
      <c r="B497" s="35">
        <f>IF(Setup!$B$26="","",Setup!$B$26)</f>
        <v/>
      </c>
      <c r="C497" s="98" t="n"/>
      <c r="D497" s="99" t="n"/>
      <c r="E497" s="99" t="n"/>
      <c r="F497" s="100" t="n"/>
      <c r="G497" s="98" t="n"/>
      <c r="H497" s="99" t="n"/>
      <c r="I497" s="99" t="n"/>
      <c r="J497" s="100" t="n"/>
      <c r="K497" s="98" t="n"/>
      <c r="L497" s="99" t="n"/>
      <c r="M497" s="99" t="n"/>
      <c r="N497" s="100" t="n"/>
      <c r="O497" s="98" t="n"/>
      <c r="P497" s="99" t="n"/>
      <c r="Q497" s="99" t="n"/>
      <c r="R497" s="100" t="n"/>
      <c r="S497" s="98" t="n"/>
      <c r="T497" s="99" t="n"/>
      <c r="U497" s="99" t="n"/>
      <c r="V497" s="100" t="n"/>
      <c r="W497" s="98" t="n"/>
      <c r="X497" s="100" t="n"/>
      <c r="Y497" s="98" t="n"/>
      <c r="Z497" s="100" t="n"/>
      <c r="AB497" s="101">
        <f>IF($B497="","",(COUNTIF(C458:E475,$B497)+COUNTIF(C458:E475,$B497&amp;" ~*")&gt;0)+(COUNTIF(G458:I475,$B497)+COUNTIF(G458:I475,$B497&amp;" ~*")&gt;0)+(COUNTIF(K458:M475,$B497)+COUNTIF(K458:M475,$B497&amp;" ~*")&gt;0)+(COUNTIF(O458:Q475,$B497)+COUNTIF(O458:Q475,$B497&amp;" ~*")&gt;0)+(COUNTIF(S458:U475,$B497)+COUNTIF(S458:U475,$B497&amp;" ~*")&gt;0)+(COUNTIF(W458:W475,$B497)+COUNTIF(W458:W475,$B497&amp;" ~*")&gt;0)+(COUNTIF(Y458:Y475,$B497)+COUNTIF(Y458:Y475,$B497&amp;" ~*")&gt;0))</f>
        <v/>
      </c>
      <c r="AC497" s="36">
        <f>IF($B497="","",(IFERROR(INDEX(Setup!$G$33:$G$40,MATCH(C497,Setup!$B$33:$B$40,0)),0)=1)*(COUNTIF(C458:E475,$B497)+COUNTIF(C458:E475,$B497&amp;" ~*")&gt;0)+(IFERROR(INDEX(Setup!$G$33:$G$40,MATCH(G497,Setup!$B$33:$B$40,0)),0)=1)*(COUNTIF(G458:I475,$B497)+COUNTIF(G458:I475,$B497&amp;" ~*")&gt;0)+(IFERROR(INDEX(Setup!$G$33:$G$40,MATCH(K497,Setup!$B$33:$B$40,0)),0)=1)*(COUNTIF(K458:M475,$B497)+COUNTIF(K458:M475,$B497&amp;" ~*")&gt;0)+(IFERROR(INDEX(Setup!$G$33:$G$40,MATCH(O497,Setup!$B$33:$B$40,0)),0)=1)*(COUNTIF(O458:Q475,$B497)+COUNTIF(O458:Q475,$B497&amp;" ~*")&gt;0)+(IFERROR(INDEX(Setup!$G$33:$G$40,MATCH(S497,Setup!$B$33:$B$40,0)),0)=1)*(COUNTIF(S458:U475,$B497)+COUNTIF(S458:U475,$B497&amp;" ~*")&gt;0)+(IFERROR(INDEX(Setup!$G$33:$G$40,MATCH(W497,Setup!$B$33:$B$40,0)),0)=1)*(COUNTIF(W458:W475,$B497)+COUNTIF(W458:W475,$B497&amp;" ~*")&gt;0)+(IFERROR(INDEX(Setup!$G$33:$G$40,MATCH(Y497,Setup!$B$33:$B$40,0)),0)=1)*(COUNTIF(Y458:Y475,$B497)+COUNTIF(Y458:Y475,$B497&amp;" ~*")&gt;0))</f>
        <v/>
      </c>
    </row>
    <row r="498" ht="15" customHeight="1">
      <c r="A498" t="n">
        <v>10</v>
      </c>
      <c r="B498" s="37">
        <f>IF(Setup!$B$27="","",Setup!$B$27)</f>
        <v/>
      </c>
      <c r="C498" s="102" t="n"/>
      <c r="D498" s="103" t="n"/>
      <c r="E498" s="103" t="n"/>
      <c r="F498" s="104" t="n"/>
      <c r="G498" s="102" t="n"/>
      <c r="H498" s="103" t="n"/>
      <c r="I498" s="103" t="n"/>
      <c r="J498" s="104" t="n"/>
      <c r="K498" s="102" t="n"/>
      <c r="L498" s="103" t="n"/>
      <c r="M498" s="103" t="n"/>
      <c r="N498" s="104" t="n"/>
      <c r="O498" s="102" t="n"/>
      <c r="P498" s="103" t="n"/>
      <c r="Q498" s="103" t="n"/>
      <c r="R498" s="104" t="n"/>
      <c r="S498" s="102" t="n"/>
      <c r="T498" s="103" t="n"/>
      <c r="U498" s="103" t="n"/>
      <c r="V498" s="104" t="n"/>
      <c r="W498" s="102" t="n"/>
      <c r="X498" s="104" t="n"/>
      <c r="Y498" s="102" t="n"/>
      <c r="Z498" s="104" t="n"/>
      <c r="AB498" s="105">
        <f>IF($B498="","",(COUNTIF(C458:E475,$B498)+COUNTIF(C458:E475,$B498&amp;" ~*")&gt;0)+(COUNTIF(G458:I475,$B498)+COUNTIF(G458:I475,$B498&amp;" ~*")&gt;0)+(COUNTIF(K458:M475,$B498)+COUNTIF(K458:M475,$B498&amp;" ~*")&gt;0)+(COUNTIF(O458:Q475,$B498)+COUNTIF(O458:Q475,$B498&amp;" ~*")&gt;0)+(COUNTIF(S458:U475,$B498)+COUNTIF(S458:U475,$B498&amp;" ~*")&gt;0)+(COUNTIF(W458:W475,$B498)+COUNTIF(W458:W475,$B498&amp;" ~*")&gt;0)+(COUNTIF(Y458:Y475,$B498)+COUNTIF(Y458:Y475,$B498&amp;" ~*")&gt;0))</f>
        <v/>
      </c>
      <c r="AC498" s="38">
        <f>IF($B498="","",(IFERROR(INDEX(Setup!$G$33:$G$40,MATCH(C498,Setup!$B$33:$B$40,0)),0)=1)*(COUNTIF(C458:E475,$B498)+COUNTIF(C458:E475,$B498&amp;" ~*")&gt;0)+(IFERROR(INDEX(Setup!$G$33:$G$40,MATCH(G498,Setup!$B$33:$B$40,0)),0)=1)*(COUNTIF(G458:I475,$B498)+COUNTIF(G458:I475,$B498&amp;" ~*")&gt;0)+(IFERROR(INDEX(Setup!$G$33:$G$40,MATCH(K498,Setup!$B$33:$B$40,0)),0)=1)*(COUNTIF(K458:M475,$B498)+COUNTIF(K458:M475,$B498&amp;" ~*")&gt;0)+(IFERROR(INDEX(Setup!$G$33:$G$40,MATCH(O498,Setup!$B$33:$B$40,0)),0)=1)*(COUNTIF(O458:Q475,$B498)+COUNTIF(O458:Q475,$B498&amp;" ~*")&gt;0)+(IFERROR(INDEX(Setup!$G$33:$G$40,MATCH(S498,Setup!$B$33:$B$40,0)),0)=1)*(COUNTIF(S458:U475,$B498)+COUNTIF(S458:U475,$B498&amp;" ~*")&gt;0)+(IFERROR(INDEX(Setup!$G$33:$G$40,MATCH(W498,Setup!$B$33:$B$40,0)),0)=1)*(COUNTIF(W458:W475,$B498)+COUNTIF(W458:W475,$B498&amp;" ~*")&gt;0)+(IFERROR(INDEX(Setup!$G$33:$G$40,MATCH(Y498,Setup!$B$33:$B$40,0)),0)=1)*(COUNTIF(Y458:Y475,$B498)+COUNTIF(Y458:Y475,$B498&amp;" ~*")&gt;0))</f>
        <v/>
      </c>
    </row>
    <row r="499" ht="15" customHeight="1">
      <c r="A499" t="n">
        <v>10</v>
      </c>
      <c r="B499" s="35">
        <f>IF(Setup!$B$28="","",Setup!$B$28)</f>
        <v/>
      </c>
      <c r="C499" s="98" t="n"/>
      <c r="D499" s="99" t="n"/>
      <c r="E499" s="99" t="n"/>
      <c r="F499" s="100" t="n"/>
      <c r="G499" s="98" t="n"/>
      <c r="H499" s="99" t="n"/>
      <c r="I499" s="99" t="n"/>
      <c r="J499" s="100" t="n"/>
      <c r="K499" s="98" t="n"/>
      <c r="L499" s="99" t="n"/>
      <c r="M499" s="99" t="n"/>
      <c r="N499" s="100" t="n"/>
      <c r="O499" s="98" t="n"/>
      <c r="P499" s="99" t="n"/>
      <c r="Q499" s="99" t="n"/>
      <c r="R499" s="100" t="n"/>
      <c r="S499" s="98" t="n"/>
      <c r="T499" s="99" t="n"/>
      <c r="U499" s="99" t="n"/>
      <c r="V499" s="100" t="n"/>
      <c r="W499" s="98" t="n"/>
      <c r="X499" s="100" t="n"/>
      <c r="Y499" s="98" t="n"/>
      <c r="Z499" s="100" t="n"/>
      <c r="AB499" s="101">
        <f>IF($B499="","",(COUNTIF(C458:E475,$B499)+COUNTIF(C458:E475,$B499&amp;" ~*")&gt;0)+(COUNTIF(G458:I475,$B499)+COUNTIF(G458:I475,$B499&amp;" ~*")&gt;0)+(COUNTIF(K458:M475,$B499)+COUNTIF(K458:M475,$B499&amp;" ~*")&gt;0)+(COUNTIF(O458:Q475,$B499)+COUNTIF(O458:Q475,$B499&amp;" ~*")&gt;0)+(COUNTIF(S458:U475,$B499)+COUNTIF(S458:U475,$B499&amp;" ~*")&gt;0)+(COUNTIF(W458:W475,$B499)+COUNTIF(W458:W475,$B499&amp;" ~*")&gt;0)+(COUNTIF(Y458:Y475,$B499)+COUNTIF(Y458:Y475,$B499&amp;" ~*")&gt;0))</f>
        <v/>
      </c>
      <c r="AC499" s="36">
        <f>IF($B499="","",(IFERROR(INDEX(Setup!$G$33:$G$40,MATCH(C499,Setup!$B$33:$B$40,0)),0)=1)*(COUNTIF(C458:E475,$B499)+COUNTIF(C458:E475,$B499&amp;" ~*")&gt;0)+(IFERROR(INDEX(Setup!$G$33:$G$40,MATCH(G499,Setup!$B$33:$B$40,0)),0)=1)*(COUNTIF(G458:I475,$B499)+COUNTIF(G458:I475,$B499&amp;" ~*")&gt;0)+(IFERROR(INDEX(Setup!$G$33:$G$40,MATCH(K499,Setup!$B$33:$B$40,0)),0)=1)*(COUNTIF(K458:M475,$B499)+COUNTIF(K458:M475,$B499&amp;" ~*")&gt;0)+(IFERROR(INDEX(Setup!$G$33:$G$40,MATCH(O499,Setup!$B$33:$B$40,0)),0)=1)*(COUNTIF(O458:Q475,$B499)+COUNTIF(O458:Q475,$B499&amp;" ~*")&gt;0)+(IFERROR(INDEX(Setup!$G$33:$G$40,MATCH(S499,Setup!$B$33:$B$40,0)),0)=1)*(COUNTIF(S458:U475,$B499)+COUNTIF(S458:U475,$B499&amp;" ~*")&gt;0)+(IFERROR(INDEX(Setup!$G$33:$G$40,MATCH(W499,Setup!$B$33:$B$40,0)),0)=1)*(COUNTIF(W458:W475,$B499)+COUNTIF(W458:W475,$B499&amp;" ~*")&gt;0)+(IFERROR(INDEX(Setup!$G$33:$G$40,MATCH(Y499,Setup!$B$33:$B$40,0)),0)=1)*(COUNTIF(Y458:Y475,$B499)+COUNTIF(Y458:Y475,$B499&amp;" ~*")&gt;0))</f>
        <v/>
      </c>
    </row>
    <row r="500" ht="15" customHeight="1">
      <c r="A500" t="n">
        <v>10</v>
      </c>
      <c r="B500" s="37">
        <f>IF(Setup!$B$29="","",Setup!$B$29)</f>
        <v/>
      </c>
      <c r="C500" s="102" t="n"/>
      <c r="D500" s="103" t="n"/>
      <c r="E500" s="103" t="n"/>
      <c r="F500" s="104" t="n"/>
      <c r="G500" s="102" t="n"/>
      <c r="H500" s="103" t="n"/>
      <c r="I500" s="103" t="n"/>
      <c r="J500" s="104" t="n"/>
      <c r="K500" s="102" t="n"/>
      <c r="L500" s="103" t="n"/>
      <c r="M500" s="103" t="n"/>
      <c r="N500" s="104" t="n"/>
      <c r="O500" s="102" t="n"/>
      <c r="P500" s="103" t="n"/>
      <c r="Q500" s="103" t="n"/>
      <c r="R500" s="104" t="n"/>
      <c r="S500" s="102" t="n"/>
      <c r="T500" s="103" t="n"/>
      <c r="U500" s="103" t="n"/>
      <c r="V500" s="104" t="n"/>
      <c r="W500" s="102" t="n"/>
      <c r="X500" s="104" t="n"/>
      <c r="Y500" s="102" t="n"/>
      <c r="Z500" s="104" t="n"/>
      <c r="AB500" s="105">
        <f>IF($B500="","",(COUNTIF(C458:E475,$B500)+COUNTIF(C458:E475,$B500&amp;" ~*")&gt;0)+(COUNTIF(G458:I475,$B500)+COUNTIF(G458:I475,$B500&amp;" ~*")&gt;0)+(COUNTIF(K458:M475,$B500)+COUNTIF(K458:M475,$B500&amp;" ~*")&gt;0)+(COUNTIF(O458:Q475,$B500)+COUNTIF(O458:Q475,$B500&amp;" ~*")&gt;0)+(COUNTIF(S458:U475,$B500)+COUNTIF(S458:U475,$B500&amp;" ~*")&gt;0)+(COUNTIF(W458:W475,$B500)+COUNTIF(W458:W475,$B500&amp;" ~*")&gt;0)+(COUNTIF(Y458:Y475,$B500)+COUNTIF(Y458:Y475,$B500&amp;" ~*")&gt;0))</f>
        <v/>
      </c>
      <c r="AC500" s="38">
        <f>IF($B500="","",(IFERROR(INDEX(Setup!$G$33:$G$40,MATCH(C500,Setup!$B$33:$B$40,0)),0)=1)*(COUNTIF(C458:E475,$B500)+COUNTIF(C458:E475,$B500&amp;" ~*")&gt;0)+(IFERROR(INDEX(Setup!$G$33:$G$40,MATCH(G500,Setup!$B$33:$B$40,0)),0)=1)*(COUNTIF(G458:I475,$B500)+COUNTIF(G458:I475,$B500&amp;" ~*")&gt;0)+(IFERROR(INDEX(Setup!$G$33:$G$40,MATCH(K500,Setup!$B$33:$B$40,0)),0)=1)*(COUNTIF(K458:M475,$B500)+COUNTIF(K458:M475,$B500&amp;" ~*")&gt;0)+(IFERROR(INDEX(Setup!$G$33:$G$40,MATCH(O500,Setup!$B$33:$B$40,0)),0)=1)*(COUNTIF(O458:Q475,$B500)+COUNTIF(O458:Q475,$B500&amp;" ~*")&gt;0)+(IFERROR(INDEX(Setup!$G$33:$G$40,MATCH(S500,Setup!$B$33:$B$40,0)),0)=1)*(COUNTIF(S458:U475,$B500)+COUNTIF(S458:U475,$B500&amp;" ~*")&gt;0)+(IFERROR(INDEX(Setup!$G$33:$G$40,MATCH(W500,Setup!$B$33:$B$40,0)),0)=1)*(COUNTIF(W458:W475,$B500)+COUNTIF(W458:W475,$B500&amp;" ~*")&gt;0)+(IFERROR(INDEX(Setup!$G$33:$G$40,MATCH(Y500,Setup!$B$33:$B$40,0)),0)=1)*(COUNTIF(Y458:Y475,$B500)+COUNTIF(Y458:Y475,$B500&amp;" ~*")&gt;0))</f>
        <v/>
      </c>
    </row>
    <row r="501" ht="16" customHeight="1">
      <c r="A501" t="n">
        <v>10</v>
      </c>
      <c r="B501" s="106" t="inlineStr">
        <is>
          <t>Available people</t>
        </is>
      </c>
      <c r="C501" s="107">
        <f>COUNTIFS(Setup!$E$6:$E$29,"Y",Setup!$B$6:$B$29,"?*")-SUMPRODUCT(COUNTIF(C477:C500,Setup!$F$33:$F$40))</f>
        <v/>
      </c>
      <c r="D501" s="107" t="n"/>
      <c r="E501" s="107" t="n"/>
      <c r="F501" s="107" t="n"/>
      <c r="G501" s="107">
        <f>COUNTIFS(Setup!$E$6:$E$29,"Y",Setup!$B$6:$B$29,"?*")-SUMPRODUCT(COUNTIF(G477:G500,Setup!$F$33:$F$40))</f>
        <v/>
      </c>
      <c r="H501" s="107" t="n"/>
      <c r="I501" s="107" t="n"/>
      <c r="J501" s="107" t="n"/>
      <c r="K501" s="107">
        <f>COUNTIFS(Setup!$E$6:$E$29,"Y",Setup!$B$6:$B$29,"?*")-SUMPRODUCT(COUNTIF(K477:K500,Setup!$F$33:$F$40))</f>
        <v/>
      </c>
      <c r="L501" s="107" t="n"/>
      <c r="M501" s="107" t="n"/>
      <c r="N501" s="107" t="n"/>
      <c r="O501" s="107">
        <f>COUNTIFS(Setup!$E$6:$E$29,"Y",Setup!$B$6:$B$29,"?*")-SUMPRODUCT(COUNTIF(O477:O500,Setup!$F$33:$F$40))</f>
        <v/>
      </c>
      <c r="P501" s="107" t="n"/>
      <c r="Q501" s="107" t="n"/>
      <c r="R501" s="107" t="n"/>
      <c r="S501" s="107">
        <f>COUNTIFS(Setup!$E$6:$E$29,"Y",Setup!$B$6:$B$29,"?*")-SUMPRODUCT(COUNTIF(S477:S500,Setup!$F$33:$F$40))</f>
        <v/>
      </c>
      <c r="T501" s="107" t="n"/>
      <c r="U501" s="107" t="n"/>
      <c r="V501" s="107" t="n"/>
      <c r="W501" s="107">
        <f>COUNTIFS(Setup!$E$6:$E$29,"Y",Setup!$B$6:$B$29,"?*")-SUMPRODUCT(COUNTIF(W477:W500,Setup!$F$33:$F$40))</f>
        <v/>
      </c>
      <c r="X501" s="107" t="n"/>
      <c r="Y501" s="107">
        <f>COUNTIFS(Setup!$E$6:$E$29,"Y",Setup!$B$6:$B$29,"?*")-SUMPRODUCT(COUNTIF(Y477:Y500,Setup!$F$33:$F$40))</f>
        <v/>
      </c>
      <c r="Z501" s="107" t="n"/>
      <c r="AB501" s="108">
        <f>SUM(AB477:AB500)</f>
        <v/>
      </c>
      <c r="AC501" s="109">
        <f>SUM(AC477:AC500)</f>
        <v/>
      </c>
    </row>
    <row r="502" ht="30" customHeight="1">
      <c r="A502" t="n">
        <v>10</v>
      </c>
      <c r="B502" s="110" t="inlineStr">
        <is>
          <t>Week notes</t>
        </is>
      </c>
      <c r="C502" s="111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112" t="n"/>
      <c r="R502" s="112" t="n"/>
      <c r="S502" s="112" t="n"/>
      <c r="T502" s="112" t="n"/>
      <c r="U502" s="112" t="n"/>
      <c r="V502" s="112" t="n"/>
      <c r="W502" s="112" t="n"/>
      <c r="X502" s="112" t="n"/>
      <c r="Y502" s="112" t="n"/>
      <c r="Z502" s="113" t="n"/>
    </row>
    <row r="503" ht="8" customHeight="1">
      <c r="A503" t="n">
        <v>10</v>
      </c>
    </row>
    <row r="504" ht="8" customHeight="1">
      <c r="A504" t="n">
        <v>10</v>
      </c>
    </row>
    <row r="505" ht="24" customHeight="1">
      <c r="A505" t="n">
        <v>11</v>
      </c>
      <c r="B505" s="73">
        <f>"WEEK 11     "&amp;TEXT(C506,"ddd d mmm")&amp;"  –  "&amp;TEXT(C506+6,"ddd d mmm yyyy")</f>
        <v/>
      </c>
      <c r="S505" s="74">
        <f>IF(TODAY()&lt;C506,"FUTURE",IF(TODAY()&gt;C506+6,"PAST","THIS WEEK"))</f>
        <v/>
      </c>
      <c r="W505" s="75">
        <f>IF(AND(Engine!$B$8=$AC$3,Engine!$B$9=$A505),"◀ ACTIVE WEEK","")</f>
        <v/>
      </c>
      <c r="AA505" s="76" t="n"/>
      <c r="AB505" s="77" t="inlineStr">
        <is>
          <t>◀ Prev</t>
        </is>
      </c>
      <c r="AC505" s="77" t="inlineStr">
        <is>
          <t>Next ▶</t>
        </is>
      </c>
    </row>
    <row r="506" ht="18" customHeight="1">
      <c r="A506" t="n">
        <v>11</v>
      </c>
      <c r="B506" s="78" t="inlineStr">
        <is>
          <t>DUTY</t>
        </is>
      </c>
      <c r="C506" s="79">
        <f>$AC$2+7*($A506-1)</f>
        <v/>
      </c>
      <c r="D506" s="80" t="n"/>
      <c r="E506" s="80" t="n"/>
      <c r="F506" s="81" t="n"/>
      <c r="G506" s="79">
        <f>C506+1</f>
        <v/>
      </c>
      <c r="H506" s="80" t="n"/>
      <c r="I506" s="80" t="n"/>
      <c r="J506" s="81" t="n"/>
      <c r="K506" s="79">
        <f>C506+2</f>
        <v/>
      </c>
      <c r="L506" s="80" t="n"/>
      <c r="M506" s="80" t="n"/>
      <c r="N506" s="81" t="n"/>
      <c r="O506" s="79">
        <f>C506+3</f>
        <v/>
      </c>
      <c r="P506" s="80" t="n"/>
      <c r="Q506" s="80" t="n"/>
      <c r="R506" s="81" t="n"/>
      <c r="S506" s="79">
        <f>C506+4</f>
        <v/>
      </c>
      <c r="T506" s="80" t="n"/>
      <c r="U506" s="80" t="n"/>
      <c r="V506" s="81" t="n"/>
      <c r="W506" s="82">
        <f>C506+5</f>
        <v/>
      </c>
      <c r="X506" s="83" t="n"/>
      <c r="Y506" s="82">
        <f>C506+6</f>
        <v/>
      </c>
      <c r="Z506" s="83" t="n"/>
      <c r="AB506" s="72" t="inlineStr">
        <is>
          <t>Gaps</t>
        </is>
      </c>
      <c r="AC506" s="72" t="inlineStr">
        <is>
          <t>Cover</t>
        </is>
      </c>
    </row>
    <row r="507" ht="14" customHeight="1">
      <c r="A507" t="n">
        <v>11</v>
      </c>
      <c r="B507" s="84" t="inlineStr">
        <is>
          <t>(from Setup)</t>
        </is>
      </c>
      <c r="C507" s="85" t="inlineStr">
        <is>
          <t>1</t>
        </is>
      </c>
      <c r="D507" s="85" t="inlineStr">
        <is>
          <t>2</t>
        </is>
      </c>
      <c r="E507" s="85" t="inlineStr">
        <is>
          <t>3</t>
        </is>
      </c>
      <c r="F507" s="85" t="inlineStr">
        <is>
          <t>Notes</t>
        </is>
      </c>
      <c r="G507" s="85" t="inlineStr">
        <is>
          <t>1</t>
        </is>
      </c>
      <c r="H507" s="85" t="inlineStr">
        <is>
          <t>2</t>
        </is>
      </c>
      <c r="I507" s="85" t="inlineStr">
        <is>
          <t>3</t>
        </is>
      </c>
      <c r="J507" s="85" t="inlineStr">
        <is>
          <t>Notes</t>
        </is>
      </c>
      <c r="K507" s="85" t="inlineStr">
        <is>
          <t>1</t>
        </is>
      </c>
      <c r="L507" s="85" t="inlineStr">
        <is>
          <t>2</t>
        </is>
      </c>
      <c r="M507" s="85" t="inlineStr">
        <is>
          <t>3</t>
        </is>
      </c>
      <c r="N507" s="85" t="inlineStr">
        <is>
          <t>Notes</t>
        </is>
      </c>
      <c r="O507" s="85" t="inlineStr">
        <is>
          <t>1</t>
        </is>
      </c>
      <c r="P507" s="85" t="inlineStr">
        <is>
          <t>2</t>
        </is>
      </c>
      <c r="Q507" s="85" t="inlineStr">
        <is>
          <t>3</t>
        </is>
      </c>
      <c r="R507" s="85" t="inlineStr">
        <is>
          <t>Notes</t>
        </is>
      </c>
      <c r="S507" s="85" t="inlineStr">
        <is>
          <t>1</t>
        </is>
      </c>
      <c r="T507" s="85" t="inlineStr">
        <is>
          <t>2</t>
        </is>
      </c>
      <c r="U507" s="85" t="inlineStr">
        <is>
          <t>3</t>
        </is>
      </c>
      <c r="V507" s="85" t="inlineStr">
        <is>
          <t>Notes</t>
        </is>
      </c>
      <c r="W507" s="85" t="inlineStr">
        <is>
          <t>Cover</t>
        </is>
      </c>
      <c r="X507" s="85" t="inlineStr">
        <is>
          <t>Notes</t>
        </is>
      </c>
      <c r="Y507" s="85" t="inlineStr">
        <is>
          <t>Cover</t>
        </is>
      </c>
      <c r="Z507" s="85" t="inlineStr">
        <is>
          <t>Notes</t>
        </is>
      </c>
      <c r="AB507" s="86" t="inlineStr">
        <is>
          <t>weekdays short</t>
        </is>
      </c>
      <c r="AC507" s="87" t="inlineStr"/>
    </row>
    <row r="508" ht="17" customHeight="1">
      <c r="A508" t="n">
        <v>11</v>
      </c>
      <c r="B508" s="24">
        <f>IF(Setup!$K$6="","",Setup!$K$6)</f>
        <v/>
      </c>
      <c r="C508" s="88" t="n"/>
      <c r="D508" s="88" t="n"/>
      <c r="E508" s="88" t="n"/>
      <c r="F508" s="89" t="n"/>
      <c r="G508" s="88" t="n"/>
      <c r="H508" s="88" t="n"/>
      <c r="I508" s="88" t="n"/>
      <c r="J508" s="89" t="n"/>
      <c r="K508" s="88" t="n"/>
      <c r="L508" s="88" t="n"/>
      <c r="M508" s="88" t="n"/>
      <c r="N508" s="89" t="n"/>
      <c r="O508" s="88" t="n"/>
      <c r="P508" s="88" t="n"/>
      <c r="Q508" s="88" t="n"/>
      <c r="R508" s="89" t="n"/>
      <c r="S508" s="88" t="n"/>
      <c r="T508" s="88" t="n"/>
      <c r="U508" s="88" t="n"/>
      <c r="V508" s="89" t="n"/>
      <c r="W508" s="88" t="n"/>
      <c r="X508" s="89" t="n"/>
      <c r="Y508" s="88" t="n"/>
      <c r="Z508" s="89" t="n"/>
      <c r="AB508" s="25">
        <f>IF($B508="","",(COUNTIF(C508:E508,"?*")&lt;N(INDEX(Setup!$L$6:$L$23,1)))+(COUNTIF(G508:I508,"?*")&lt;N(INDEX(Setup!$L$6:$L$23,1)))+(COUNTIF(K508:M508,"?*")&lt;N(INDEX(Setup!$L$6:$L$23,1)))+(COUNTIF(O508:Q508,"?*")&lt;N(INDEX(Setup!$L$6:$L$23,1)))+(COUNTIF(S508:U508,"?*")&lt;N(INDEX(Setup!$L$6:$L$23,1)))+((W508="")*(INDEX(Setup!$M$6:$M$23,1)="Y"))+((Y508="")*(INDEX(Setup!$M$6:$M$23,1)="Y")))</f>
        <v/>
      </c>
      <c r="AC508" s="90">
        <f>IF($B508="","",IF(AB508=0,"✓ covered","⚠ "&amp;AB508&amp;IF(AB508=1," gap"," gaps")))</f>
        <v/>
      </c>
    </row>
    <row r="509" ht="17" customHeight="1">
      <c r="A509" t="n">
        <v>11</v>
      </c>
      <c r="B509" s="29">
        <f>IF(Setup!$K$7="","",Setup!$K$7)</f>
        <v/>
      </c>
      <c r="C509" s="88" t="n"/>
      <c r="D509" s="88" t="n"/>
      <c r="E509" s="88" t="n"/>
      <c r="F509" s="89" t="n"/>
      <c r="G509" s="88" t="n"/>
      <c r="H509" s="88" t="n"/>
      <c r="I509" s="88" t="n"/>
      <c r="J509" s="89" t="n"/>
      <c r="K509" s="88" t="n"/>
      <c r="L509" s="88" t="n"/>
      <c r="M509" s="88" t="n"/>
      <c r="N509" s="89" t="n"/>
      <c r="O509" s="88" t="n"/>
      <c r="P509" s="88" t="n"/>
      <c r="Q509" s="88" t="n"/>
      <c r="R509" s="89" t="n"/>
      <c r="S509" s="88" t="n"/>
      <c r="T509" s="88" t="n"/>
      <c r="U509" s="88" t="n"/>
      <c r="V509" s="89" t="n"/>
      <c r="W509" s="88" t="n"/>
      <c r="X509" s="89" t="n"/>
      <c r="Y509" s="88" t="n"/>
      <c r="Z509" s="89" t="n"/>
      <c r="AB509" s="30">
        <f>IF($B509="","",(COUNTIF(C509:E509,"?*")&lt;N(INDEX(Setup!$L$6:$L$23,2)))+(COUNTIF(G509:I509,"?*")&lt;N(INDEX(Setup!$L$6:$L$23,2)))+(COUNTIF(K509:M509,"?*")&lt;N(INDEX(Setup!$L$6:$L$23,2)))+(COUNTIF(O509:Q509,"?*")&lt;N(INDEX(Setup!$L$6:$L$23,2)))+(COUNTIF(S509:U509,"?*")&lt;N(INDEX(Setup!$L$6:$L$23,2)))+((W509="")*(INDEX(Setup!$M$6:$M$23,2)="Y"))+((Y509="")*(INDEX(Setup!$M$6:$M$23,2)="Y")))</f>
        <v/>
      </c>
      <c r="AC509" s="91">
        <f>IF($B509="","",IF(AB509=0,"✓ covered","⚠ "&amp;AB509&amp;IF(AB509=1," gap"," gaps")))</f>
        <v/>
      </c>
    </row>
    <row r="510" ht="17" customHeight="1">
      <c r="A510" t="n">
        <v>11</v>
      </c>
      <c r="B510" s="24">
        <f>IF(Setup!$K$8="","",Setup!$K$8)</f>
        <v/>
      </c>
      <c r="C510" s="88" t="n"/>
      <c r="D510" s="88" t="n"/>
      <c r="E510" s="88" t="n"/>
      <c r="F510" s="89" t="n"/>
      <c r="G510" s="88" t="n"/>
      <c r="H510" s="88" t="n"/>
      <c r="I510" s="88" t="n"/>
      <c r="J510" s="89" t="n"/>
      <c r="K510" s="88" t="n"/>
      <c r="L510" s="88" t="n"/>
      <c r="M510" s="88" t="n"/>
      <c r="N510" s="89" t="n"/>
      <c r="O510" s="88" t="n"/>
      <c r="P510" s="88" t="n"/>
      <c r="Q510" s="88" t="n"/>
      <c r="R510" s="89" t="n"/>
      <c r="S510" s="88" t="n"/>
      <c r="T510" s="88" t="n"/>
      <c r="U510" s="88" t="n"/>
      <c r="V510" s="89" t="n"/>
      <c r="W510" s="88" t="n"/>
      <c r="X510" s="89" t="n"/>
      <c r="Y510" s="88" t="n"/>
      <c r="Z510" s="89" t="n"/>
      <c r="AB510" s="25">
        <f>IF($B510="","",(COUNTIF(C510:E510,"?*")&lt;N(INDEX(Setup!$L$6:$L$23,3)))+(COUNTIF(G510:I510,"?*")&lt;N(INDEX(Setup!$L$6:$L$23,3)))+(COUNTIF(K510:M510,"?*")&lt;N(INDEX(Setup!$L$6:$L$23,3)))+(COUNTIF(O510:Q510,"?*")&lt;N(INDEX(Setup!$L$6:$L$23,3)))+(COUNTIF(S510:U510,"?*")&lt;N(INDEX(Setup!$L$6:$L$23,3)))+((W510="")*(INDEX(Setup!$M$6:$M$23,3)="Y"))+((Y510="")*(INDEX(Setup!$M$6:$M$23,3)="Y")))</f>
        <v/>
      </c>
      <c r="AC510" s="90">
        <f>IF($B510="","",IF(AB510=0,"✓ covered","⚠ "&amp;AB510&amp;IF(AB510=1," gap"," gaps")))</f>
        <v/>
      </c>
    </row>
    <row r="511" ht="17" customHeight="1">
      <c r="A511" t="n">
        <v>11</v>
      </c>
      <c r="B511" s="29">
        <f>IF(Setup!$K$9="","",Setup!$K$9)</f>
        <v/>
      </c>
      <c r="C511" s="88" t="n"/>
      <c r="D511" s="88" t="n"/>
      <c r="E511" s="88" t="n"/>
      <c r="F511" s="89" t="n"/>
      <c r="G511" s="88" t="n"/>
      <c r="H511" s="88" t="n"/>
      <c r="I511" s="88" t="n"/>
      <c r="J511" s="89" t="n"/>
      <c r="K511" s="88" t="n"/>
      <c r="L511" s="88" t="n"/>
      <c r="M511" s="88" t="n"/>
      <c r="N511" s="89" t="n"/>
      <c r="O511" s="88" t="n"/>
      <c r="P511" s="88" t="n"/>
      <c r="Q511" s="88" t="n"/>
      <c r="R511" s="89" t="n"/>
      <c r="S511" s="88" t="n"/>
      <c r="T511" s="88" t="n"/>
      <c r="U511" s="88" t="n"/>
      <c r="V511" s="89" t="n"/>
      <c r="W511" s="88" t="n"/>
      <c r="X511" s="89" t="n"/>
      <c r="Y511" s="88" t="n"/>
      <c r="Z511" s="89" t="n"/>
      <c r="AB511" s="30">
        <f>IF($B511="","",(COUNTIF(C511:E511,"?*")&lt;N(INDEX(Setup!$L$6:$L$23,4)))+(COUNTIF(G511:I511,"?*")&lt;N(INDEX(Setup!$L$6:$L$23,4)))+(COUNTIF(K511:M511,"?*")&lt;N(INDEX(Setup!$L$6:$L$23,4)))+(COUNTIF(O511:Q511,"?*")&lt;N(INDEX(Setup!$L$6:$L$23,4)))+(COUNTIF(S511:U511,"?*")&lt;N(INDEX(Setup!$L$6:$L$23,4)))+((W511="")*(INDEX(Setup!$M$6:$M$23,4)="Y"))+((Y511="")*(INDEX(Setup!$M$6:$M$23,4)="Y")))</f>
        <v/>
      </c>
      <c r="AC511" s="91">
        <f>IF($B511="","",IF(AB511=0,"✓ covered","⚠ "&amp;AB511&amp;IF(AB511=1," gap"," gaps")))</f>
        <v/>
      </c>
    </row>
    <row r="512" ht="17" customHeight="1">
      <c r="A512" t="n">
        <v>11</v>
      </c>
      <c r="B512" s="24">
        <f>IF(Setup!$K$10="","",Setup!$K$10)</f>
        <v/>
      </c>
      <c r="C512" s="88" t="n"/>
      <c r="D512" s="88" t="n"/>
      <c r="E512" s="88" t="n"/>
      <c r="F512" s="89" t="n"/>
      <c r="G512" s="88" t="n"/>
      <c r="H512" s="88" t="n"/>
      <c r="I512" s="88" t="n"/>
      <c r="J512" s="89" t="n"/>
      <c r="K512" s="88" t="n"/>
      <c r="L512" s="88" t="n"/>
      <c r="M512" s="88" t="n"/>
      <c r="N512" s="89" t="n"/>
      <c r="O512" s="88" t="n"/>
      <c r="P512" s="88" t="n"/>
      <c r="Q512" s="88" t="n"/>
      <c r="R512" s="89" t="n"/>
      <c r="S512" s="88" t="n"/>
      <c r="T512" s="88" t="n"/>
      <c r="U512" s="88" t="n"/>
      <c r="V512" s="89" t="n"/>
      <c r="W512" s="88" t="n"/>
      <c r="X512" s="89" t="n"/>
      <c r="Y512" s="88" t="n"/>
      <c r="Z512" s="89" t="n"/>
      <c r="AB512" s="25">
        <f>IF($B512="","",(COUNTIF(C512:E512,"?*")&lt;N(INDEX(Setup!$L$6:$L$23,5)))+(COUNTIF(G512:I512,"?*")&lt;N(INDEX(Setup!$L$6:$L$23,5)))+(COUNTIF(K512:M512,"?*")&lt;N(INDEX(Setup!$L$6:$L$23,5)))+(COUNTIF(O512:Q512,"?*")&lt;N(INDEX(Setup!$L$6:$L$23,5)))+(COUNTIF(S512:U512,"?*")&lt;N(INDEX(Setup!$L$6:$L$23,5)))+((W512="")*(INDEX(Setup!$M$6:$M$23,5)="Y"))+((Y512="")*(INDEX(Setup!$M$6:$M$23,5)="Y")))</f>
        <v/>
      </c>
      <c r="AC512" s="90">
        <f>IF($B512="","",IF(AB512=0,"✓ covered","⚠ "&amp;AB512&amp;IF(AB512=1," gap"," gaps")))</f>
        <v/>
      </c>
    </row>
    <row r="513" ht="17" customHeight="1">
      <c r="A513" t="n">
        <v>11</v>
      </c>
      <c r="B513" s="29">
        <f>IF(Setup!$K$11="","",Setup!$K$11)</f>
        <v/>
      </c>
      <c r="C513" s="88" t="n"/>
      <c r="D513" s="88" t="n"/>
      <c r="E513" s="88" t="n"/>
      <c r="F513" s="89" t="n"/>
      <c r="G513" s="88" t="n"/>
      <c r="H513" s="88" t="n"/>
      <c r="I513" s="88" t="n"/>
      <c r="J513" s="89" t="n"/>
      <c r="K513" s="88" t="n"/>
      <c r="L513" s="88" t="n"/>
      <c r="M513" s="88" t="n"/>
      <c r="N513" s="89" t="n"/>
      <c r="O513" s="88" t="n"/>
      <c r="P513" s="88" t="n"/>
      <c r="Q513" s="88" t="n"/>
      <c r="R513" s="89" t="n"/>
      <c r="S513" s="88" t="n"/>
      <c r="T513" s="88" t="n"/>
      <c r="U513" s="88" t="n"/>
      <c r="V513" s="89" t="n"/>
      <c r="W513" s="88" t="n"/>
      <c r="X513" s="89" t="n"/>
      <c r="Y513" s="88" t="n"/>
      <c r="Z513" s="89" t="n"/>
      <c r="AB513" s="30">
        <f>IF($B513="","",(COUNTIF(C513:E513,"?*")&lt;N(INDEX(Setup!$L$6:$L$23,6)))+(COUNTIF(G513:I513,"?*")&lt;N(INDEX(Setup!$L$6:$L$23,6)))+(COUNTIF(K513:M513,"?*")&lt;N(INDEX(Setup!$L$6:$L$23,6)))+(COUNTIF(O513:Q513,"?*")&lt;N(INDEX(Setup!$L$6:$L$23,6)))+(COUNTIF(S513:U513,"?*")&lt;N(INDEX(Setup!$L$6:$L$23,6)))+((W513="")*(INDEX(Setup!$M$6:$M$23,6)="Y"))+((Y513="")*(INDEX(Setup!$M$6:$M$23,6)="Y")))</f>
        <v/>
      </c>
      <c r="AC513" s="91">
        <f>IF($B513="","",IF(AB513=0,"✓ covered","⚠ "&amp;AB513&amp;IF(AB513=1," gap"," gaps")))</f>
        <v/>
      </c>
    </row>
    <row r="514" ht="17" customHeight="1">
      <c r="A514" t="n">
        <v>11</v>
      </c>
      <c r="B514" s="24">
        <f>IF(Setup!$K$12="","",Setup!$K$12)</f>
        <v/>
      </c>
      <c r="C514" s="88" t="n"/>
      <c r="D514" s="88" t="n"/>
      <c r="E514" s="88" t="n"/>
      <c r="F514" s="89" t="n"/>
      <c r="G514" s="88" t="n"/>
      <c r="H514" s="88" t="n"/>
      <c r="I514" s="88" t="n"/>
      <c r="J514" s="89" t="n"/>
      <c r="K514" s="88" t="n"/>
      <c r="L514" s="88" t="n"/>
      <c r="M514" s="88" t="n"/>
      <c r="N514" s="89" t="n"/>
      <c r="O514" s="88" t="n"/>
      <c r="P514" s="88" t="n"/>
      <c r="Q514" s="88" t="n"/>
      <c r="R514" s="89" t="n"/>
      <c r="S514" s="88" t="n"/>
      <c r="T514" s="88" t="n"/>
      <c r="U514" s="88" t="n"/>
      <c r="V514" s="89" t="n"/>
      <c r="W514" s="88" t="n"/>
      <c r="X514" s="89" t="n"/>
      <c r="Y514" s="88" t="n"/>
      <c r="Z514" s="89" t="n"/>
      <c r="AB514" s="25">
        <f>IF($B514="","",(COUNTIF(C514:E514,"?*")&lt;N(INDEX(Setup!$L$6:$L$23,7)))+(COUNTIF(G514:I514,"?*")&lt;N(INDEX(Setup!$L$6:$L$23,7)))+(COUNTIF(K514:M514,"?*")&lt;N(INDEX(Setup!$L$6:$L$23,7)))+(COUNTIF(O514:Q514,"?*")&lt;N(INDEX(Setup!$L$6:$L$23,7)))+(COUNTIF(S514:U514,"?*")&lt;N(INDEX(Setup!$L$6:$L$23,7)))+((W514="")*(INDEX(Setup!$M$6:$M$23,7)="Y"))+((Y514="")*(INDEX(Setup!$M$6:$M$23,7)="Y")))</f>
        <v/>
      </c>
      <c r="AC514" s="90">
        <f>IF($B514="","",IF(AB514=0,"✓ covered","⚠ "&amp;AB514&amp;IF(AB514=1," gap"," gaps")))</f>
        <v/>
      </c>
    </row>
    <row r="515" ht="17" customHeight="1">
      <c r="A515" t="n">
        <v>11</v>
      </c>
      <c r="B515" s="29">
        <f>IF(Setup!$K$13="","",Setup!$K$13)</f>
        <v/>
      </c>
      <c r="C515" s="88" t="n"/>
      <c r="D515" s="88" t="n"/>
      <c r="E515" s="88" t="n"/>
      <c r="F515" s="89" t="n"/>
      <c r="G515" s="88" t="n"/>
      <c r="H515" s="88" t="n"/>
      <c r="I515" s="88" t="n"/>
      <c r="J515" s="89" t="n"/>
      <c r="K515" s="88" t="n"/>
      <c r="L515" s="88" t="n"/>
      <c r="M515" s="88" t="n"/>
      <c r="N515" s="89" t="n"/>
      <c r="O515" s="88" t="n"/>
      <c r="P515" s="88" t="n"/>
      <c r="Q515" s="88" t="n"/>
      <c r="R515" s="89" t="n"/>
      <c r="S515" s="88" t="n"/>
      <c r="T515" s="88" t="n"/>
      <c r="U515" s="88" t="n"/>
      <c r="V515" s="89" t="n"/>
      <c r="W515" s="88" t="n"/>
      <c r="X515" s="89" t="n"/>
      <c r="Y515" s="88" t="n"/>
      <c r="Z515" s="89" t="n"/>
      <c r="AB515" s="30">
        <f>IF($B515="","",(COUNTIF(C515:E515,"?*")&lt;N(INDEX(Setup!$L$6:$L$23,8)))+(COUNTIF(G515:I515,"?*")&lt;N(INDEX(Setup!$L$6:$L$23,8)))+(COUNTIF(K515:M515,"?*")&lt;N(INDEX(Setup!$L$6:$L$23,8)))+(COUNTIF(O515:Q515,"?*")&lt;N(INDEX(Setup!$L$6:$L$23,8)))+(COUNTIF(S515:U515,"?*")&lt;N(INDEX(Setup!$L$6:$L$23,8)))+((W515="")*(INDEX(Setup!$M$6:$M$23,8)="Y"))+((Y515="")*(INDEX(Setup!$M$6:$M$23,8)="Y")))</f>
        <v/>
      </c>
      <c r="AC515" s="91">
        <f>IF($B515="","",IF(AB515=0,"✓ covered","⚠ "&amp;AB515&amp;IF(AB515=1," gap"," gaps")))</f>
        <v/>
      </c>
    </row>
    <row r="516" ht="17" customHeight="1">
      <c r="A516" t="n">
        <v>11</v>
      </c>
      <c r="B516" s="24">
        <f>IF(Setup!$K$14="","",Setup!$K$14)</f>
        <v/>
      </c>
      <c r="C516" s="88" t="n"/>
      <c r="D516" s="88" t="n"/>
      <c r="E516" s="88" t="n"/>
      <c r="F516" s="89" t="n"/>
      <c r="G516" s="88" t="n"/>
      <c r="H516" s="88" t="n"/>
      <c r="I516" s="88" t="n"/>
      <c r="J516" s="89" t="n"/>
      <c r="K516" s="88" t="n"/>
      <c r="L516" s="88" t="n"/>
      <c r="M516" s="88" t="n"/>
      <c r="N516" s="89" t="n"/>
      <c r="O516" s="88" t="n"/>
      <c r="P516" s="88" t="n"/>
      <c r="Q516" s="88" t="n"/>
      <c r="R516" s="89" t="n"/>
      <c r="S516" s="88" t="n"/>
      <c r="T516" s="88" t="n"/>
      <c r="U516" s="88" t="n"/>
      <c r="V516" s="89" t="n"/>
      <c r="W516" s="88" t="n"/>
      <c r="X516" s="89" t="n"/>
      <c r="Y516" s="88" t="n"/>
      <c r="Z516" s="89" t="n"/>
      <c r="AB516" s="25">
        <f>IF($B516="","",(COUNTIF(C516:E516,"?*")&lt;N(INDEX(Setup!$L$6:$L$23,9)))+(COUNTIF(G516:I516,"?*")&lt;N(INDEX(Setup!$L$6:$L$23,9)))+(COUNTIF(K516:M516,"?*")&lt;N(INDEX(Setup!$L$6:$L$23,9)))+(COUNTIF(O516:Q516,"?*")&lt;N(INDEX(Setup!$L$6:$L$23,9)))+(COUNTIF(S516:U516,"?*")&lt;N(INDEX(Setup!$L$6:$L$23,9)))+((W516="")*(INDEX(Setup!$M$6:$M$23,9)="Y"))+((Y516="")*(INDEX(Setup!$M$6:$M$23,9)="Y")))</f>
        <v/>
      </c>
      <c r="AC516" s="90">
        <f>IF($B516="","",IF(AB516=0,"✓ covered","⚠ "&amp;AB516&amp;IF(AB516=1," gap"," gaps")))</f>
        <v/>
      </c>
    </row>
    <row r="517" ht="17" customHeight="1">
      <c r="A517" t="n">
        <v>11</v>
      </c>
      <c r="B517" s="29">
        <f>IF(Setup!$K$15="","",Setup!$K$15)</f>
        <v/>
      </c>
      <c r="C517" s="88" t="n"/>
      <c r="D517" s="88" t="n"/>
      <c r="E517" s="88" t="n"/>
      <c r="F517" s="89" t="n"/>
      <c r="G517" s="88" t="n"/>
      <c r="H517" s="88" t="n"/>
      <c r="I517" s="88" t="n"/>
      <c r="J517" s="89" t="n"/>
      <c r="K517" s="88" t="n"/>
      <c r="L517" s="88" t="n"/>
      <c r="M517" s="88" t="n"/>
      <c r="N517" s="89" t="n"/>
      <c r="O517" s="88" t="n"/>
      <c r="P517" s="88" t="n"/>
      <c r="Q517" s="88" t="n"/>
      <c r="R517" s="89" t="n"/>
      <c r="S517" s="88" t="n"/>
      <c r="T517" s="88" t="n"/>
      <c r="U517" s="88" t="n"/>
      <c r="V517" s="89" t="n"/>
      <c r="W517" s="88" t="n"/>
      <c r="X517" s="89" t="n"/>
      <c r="Y517" s="88" t="n"/>
      <c r="Z517" s="89" t="n"/>
      <c r="AB517" s="30">
        <f>IF($B517="","",(COUNTIF(C517:E517,"?*")&lt;N(INDEX(Setup!$L$6:$L$23,10)))+(COUNTIF(G517:I517,"?*")&lt;N(INDEX(Setup!$L$6:$L$23,10)))+(COUNTIF(K517:M517,"?*")&lt;N(INDEX(Setup!$L$6:$L$23,10)))+(COUNTIF(O517:Q517,"?*")&lt;N(INDEX(Setup!$L$6:$L$23,10)))+(COUNTIF(S517:U517,"?*")&lt;N(INDEX(Setup!$L$6:$L$23,10)))+((W517="")*(INDEX(Setup!$M$6:$M$23,10)="Y"))+((Y517="")*(INDEX(Setup!$M$6:$M$23,10)="Y")))</f>
        <v/>
      </c>
      <c r="AC517" s="91">
        <f>IF($B517="","",IF(AB517=0,"✓ covered","⚠ "&amp;AB517&amp;IF(AB517=1," gap"," gaps")))</f>
        <v/>
      </c>
    </row>
    <row r="518" ht="17" customHeight="1">
      <c r="A518" t="n">
        <v>11</v>
      </c>
      <c r="B518" s="24">
        <f>IF(Setup!$K$16="","",Setup!$K$16)</f>
        <v/>
      </c>
      <c r="C518" s="88" t="n"/>
      <c r="D518" s="88" t="n"/>
      <c r="E518" s="88" t="n"/>
      <c r="F518" s="89" t="n"/>
      <c r="G518" s="88" t="n"/>
      <c r="H518" s="88" t="n"/>
      <c r="I518" s="88" t="n"/>
      <c r="J518" s="89" t="n"/>
      <c r="K518" s="88" t="n"/>
      <c r="L518" s="88" t="n"/>
      <c r="M518" s="88" t="n"/>
      <c r="N518" s="89" t="n"/>
      <c r="O518" s="88" t="n"/>
      <c r="P518" s="88" t="n"/>
      <c r="Q518" s="88" t="n"/>
      <c r="R518" s="89" t="n"/>
      <c r="S518" s="88" t="n"/>
      <c r="T518" s="88" t="n"/>
      <c r="U518" s="88" t="n"/>
      <c r="V518" s="89" t="n"/>
      <c r="W518" s="88" t="n"/>
      <c r="X518" s="89" t="n"/>
      <c r="Y518" s="88" t="n"/>
      <c r="Z518" s="89" t="n"/>
      <c r="AB518" s="25">
        <f>IF($B518="","",(COUNTIF(C518:E518,"?*")&lt;N(INDEX(Setup!$L$6:$L$23,11)))+(COUNTIF(G518:I518,"?*")&lt;N(INDEX(Setup!$L$6:$L$23,11)))+(COUNTIF(K518:M518,"?*")&lt;N(INDEX(Setup!$L$6:$L$23,11)))+(COUNTIF(O518:Q518,"?*")&lt;N(INDEX(Setup!$L$6:$L$23,11)))+(COUNTIF(S518:U518,"?*")&lt;N(INDEX(Setup!$L$6:$L$23,11)))+((W518="")*(INDEX(Setup!$M$6:$M$23,11)="Y"))+((Y518="")*(INDEX(Setup!$M$6:$M$23,11)="Y")))</f>
        <v/>
      </c>
      <c r="AC518" s="90">
        <f>IF($B518="","",IF(AB518=0,"✓ covered","⚠ "&amp;AB518&amp;IF(AB518=1," gap"," gaps")))</f>
        <v/>
      </c>
    </row>
    <row r="519" ht="17" customHeight="1">
      <c r="A519" t="n">
        <v>11</v>
      </c>
      <c r="B519" s="29">
        <f>IF(Setup!$K$17="","",Setup!$K$17)</f>
        <v/>
      </c>
      <c r="C519" s="88" t="n"/>
      <c r="D519" s="88" t="n"/>
      <c r="E519" s="88" t="n"/>
      <c r="F519" s="89" t="n"/>
      <c r="G519" s="88" t="n"/>
      <c r="H519" s="88" t="n"/>
      <c r="I519" s="88" t="n"/>
      <c r="J519" s="89" t="n"/>
      <c r="K519" s="88" t="n"/>
      <c r="L519" s="88" t="n"/>
      <c r="M519" s="88" t="n"/>
      <c r="N519" s="89" t="n"/>
      <c r="O519" s="88" t="n"/>
      <c r="P519" s="88" t="n"/>
      <c r="Q519" s="88" t="n"/>
      <c r="R519" s="89" t="n"/>
      <c r="S519" s="88" t="n"/>
      <c r="T519" s="88" t="n"/>
      <c r="U519" s="88" t="n"/>
      <c r="V519" s="89" t="n"/>
      <c r="W519" s="88" t="n"/>
      <c r="X519" s="89" t="n"/>
      <c r="Y519" s="88" t="n"/>
      <c r="Z519" s="89" t="n"/>
      <c r="AB519" s="30">
        <f>IF($B519="","",(COUNTIF(C519:E519,"?*")&lt;N(INDEX(Setup!$L$6:$L$23,12)))+(COUNTIF(G519:I519,"?*")&lt;N(INDEX(Setup!$L$6:$L$23,12)))+(COUNTIF(K519:M519,"?*")&lt;N(INDEX(Setup!$L$6:$L$23,12)))+(COUNTIF(O519:Q519,"?*")&lt;N(INDEX(Setup!$L$6:$L$23,12)))+(COUNTIF(S519:U519,"?*")&lt;N(INDEX(Setup!$L$6:$L$23,12)))+((W519="")*(INDEX(Setup!$M$6:$M$23,12)="Y"))+((Y519="")*(INDEX(Setup!$M$6:$M$23,12)="Y")))</f>
        <v/>
      </c>
      <c r="AC519" s="91">
        <f>IF($B519="","",IF(AB519=0,"✓ covered","⚠ "&amp;AB519&amp;IF(AB519=1," gap"," gaps")))</f>
        <v/>
      </c>
    </row>
    <row r="520" ht="17" customHeight="1">
      <c r="A520" t="n">
        <v>11</v>
      </c>
      <c r="B520" s="24">
        <f>IF(Setup!$K$18="","",Setup!$K$18)</f>
        <v/>
      </c>
      <c r="C520" s="88" t="n"/>
      <c r="D520" s="88" t="n"/>
      <c r="E520" s="88" t="n"/>
      <c r="F520" s="89" t="n"/>
      <c r="G520" s="88" t="n"/>
      <c r="H520" s="88" t="n"/>
      <c r="I520" s="88" t="n"/>
      <c r="J520" s="89" t="n"/>
      <c r="K520" s="88" t="n"/>
      <c r="L520" s="88" t="n"/>
      <c r="M520" s="88" t="n"/>
      <c r="N520" s="89" t="n"/>
      <c r="O520" s="88" t="n"/>
      <c r="P520" s="88" t="n"/>
      <c r="Q520" s="88" t="n"/>
      <c r="R520" s="89" t="n"/>
      <c r="S520" s="88" t="n"/>
      <c r="T520" s="88" t="n"/>
      <c r="U520" s="88" t="n"/>
      <c r="V520" s="89" t="n"/>
      <c r="W520" s="88" t="n"/>
      <c r="X520" s="89" t="n"/>
      <c r="Y520" s="88" t="n"/>
      <c r="Z520" s="89" t="n"/>
      <c r="AB520" s="25">
        <f>IF($B520="","",(COUNTIF(C520:E520,"?*")&lt;N(INDEX(Setup!$L$6:$L$23,13)))+(COUNTIF(G520:I520,"?*")&lt;N(INDEX(Setup!$L$6:$L$23,13)))+(COUNTIF(K520:M520,"?*")&lt;N(INDEX(Setup!$L$6:$L$23,13)))+(COUNTIF(O520:Q520,"?*")&lt;N(INDEX(Setup!$L$6:$L$23,13)))+(COUNTIF(S520:U520,"?*")&lt;N(INDEX(Setup!$L$6:$L$23,13)))+((W520="")*(INDEX(Setup!$M$6:$M$23,13)="Y"))+((Y520="")*(INDEX(Setup!$M$6:$M$23,13)="Y")))</f>
        <v/>
      </c>
      <c r="AC520" s="90">
        <f>IF($B520="","",IF(AB520=0,"✓ covered","⚠ "&amp;AB520&amp;IF(AB520=1," gap"," gaps")))</f>
        <v/>
      </c>
    </row>
    <row r="521" ht="17" customHeight="1">
      <c r="A521" t="n">
        <v>11</v>
      </c>
      <c r="B521" s="29">
        <f>IF(Setup!$K$19="","",Setup!$K$19)</f>
        <v/>
      </c>
      <c r="C521" s="88" t="n"/>
      <c r="D521" s="88" t="n"/>
      <c r="E521" s="88" t="n"/>
      <c r="F521" s="89" t="n"/>
      <c r="G521" s="88" t="n"/>
      <c r="H521" s="88" t="n"/>
      <c r="I521" s="88" t="n"/>
      <c r="J521" s="89" t="n"/>
      <c r="K521" s="88" t="n"/>
      <c r="L521" s="88" t="n"/>
      <c r="M521" s="88" t="n"/>
      <c r="N521" s="89" t="n"/>
      <c r="O521" s="88" t="n"/>
      <c r="P521" s="88" t="n"/>
      <c r="Q521" s="88" t="n"/>
      <c r="R521" s="89" t="n"/>
      <c r="S521" s="88" t="n"/>
      <c r="T521" s="88" t="n"/>
      <c r="U521" s="88" t="n"/>
      <c r="V521" s="89" t="n"/>
      <c r="W521" s="88" t="n"/>
      <c r="X521" s="89" t="n"/>
      <c r="Y521" s="88" t="n"/>
      <c r="Z521" s="89" t="n"/>
      <c r="AB521" s="30">
        <f>IF($B521="","",(COUNTIF(C521:E521,"?*")&lt;N(INDEX(Setup!$L$6:$L$23,14)))+(COUNTIF(G521:I521,"?*")&lt;N(INDEX(Setup!$L$6:$L$23,14)))+(COUNTIF(K521:M521,"?*")&lt;N(INDEX(Setup!$L$6:$L$23,14)))+(COUNTIF(O521:Q521,"?*")&lt;N(INDEX(Setup!$L$6:$L$23,14)))+(COUNTIF(S521:U521,"?*")&lt;N(INDEX(Setup!$L$6:$L$23,14)))+((W521="")*(INDEX(Setup!$M$6:$M$23,14)="Y"))+((Y521="")*(INDEX(Setup!$M$6:$M$23,14)="Y")))</f>
        <v/>
      </c>
      <c r="AC521" s="91">
        <f>IF($B521="","",IF(AB521=0,"✓ covered","⚠ "&amp;AB521&amp;IF(AB521=1," gap"," gaps")))</f>
        <v/>
      </c>
    </row>
    <row r="522" ht="17" customHeight="1">
      <c r="A522" t="n">
        <v>11</v>
      </c>
      <c r="B522" s="24">
        <f>IF(Setup!$K$20="","",Setup!$K$20)</f>
        <v/>
      </c>
      <c r="C522" s="88" t="n"/>
      <c r="D522" s="88" t="n"/>
      <c r="E522" s="88" t="n"/>
      <c r="F522" s="89" t="n"/>
      <c r="G522" s="88" t="n"/>
      <c r="H522" s="88" t="n"/>
      <c r="I522" s="88" t="n"/>
      <c r="J522" s="89" t="n"/>
      <c r="K522" s="88" t="n"/>
      <c r="L522" s="88" t="n"/>
      <c r="M522" s="88" t="n"/>
      <c r="N522" s="89" t="n"/>
      <c r="O522" s="88" t="n"/>
      <c r="P522" s="88" t="n"/>
      <c r="Q522" s="88" t="n"/>
      <c r="R522" s="89" t="n"/>
      <c r="S522" s="88" t="n"/>
      <c r="T522" s="88" t="n"/>
      <c r="U522" s="88" t="n"/>
      <c r="V522" s="89" t="n"/>
      <c r="W522" s="88" t="n"/>
      <c r="X522" s="89" t="n"/>
      <c r="Y522" s="88" t="n"/>
      <c r="Z522" s="89" t="n"/>
      <c r="AB522" s="25">
        <f>IF($B522="","",(COUNTIF(C522:E522,"?*")&lt;N(INDEX(Setup!$L$6:$L$23,15)))+(COUNTIF(G522:I522,"?*")&lt;N(INDEX(Setup!$L$6:$L$23,15)))+(COUNTIF(K522:M522,"?*")&lt;N(INDEX(Setup!$L$6:$L$23,15)))+(COUNTIF(O522:Q522,"?*")&lt;N(INDEX(Setup!$L$6:$L$23,15)))+(COUNTIF(S522:U522,"?*")&lt;N(INDEX(Setup!$L$6:$L$23,15)))+((W522="")*(INDEX(Setup!$M$6:$M$23,15)="Y"))+((Y522="")*(INDEX(Setup!$M$6:$M$23,15)="Y")))</f>
        <v/>
      </c>
      <c r="AC522" s="90">
        <f>IF($B522="","",IF(AB522=0,"✓ covered","⚠ "&amp;AB522&amp;IF(AB522=1," gap"," gaps")))</f>
        <v/>
      </c>
    </row>
    <row r="523" ht="17" customHeight="1">
      <c r="A523" t="n">
        <v>11</v>
      </c>
      <c r="B523" s="29">
        <f>IF(Setup!$K$21="","",Setup!$K$21)</f>
        <v/>
      </c>
      <c r="C523" s="88" t="n"/>
      <c r="D523" s="88" t="n"/>
      <c r="E523" s="88" t="n"/>
      <c r="F523" s="89" t="n"/>
      <c r="G523" s="88" t="n"/>
      <c r="H523" s="88" t="n"/>
      <c r="I523" s="88" t="n"/>
      <c r="J523" s="89" t="n"/>
      <c r="K523" s="88" t="n"/>
      <c r="L523" s="88" t="n"/>
      <c r="M523" s="88" t="n"/>
      <c r="N523" s="89" t="n"/>
      <c r="O523" s="88" t="n"/>
      <c r="P523" s="88" t="n"/>
      <c r="Q523" s="88" t="n"/>
      <c r="R523" s="89" t="n"/>
      <c r="S523" s="88" t="n"/>
      <c r="T523" s="88" t="n"/>
      <c r="U523" s="88" t="n"/>
      <c r="V523" s="89" t="n"/>
      <c r="W523" s="88" t="n"/>
      <c r="X523" s="89" t="n"/>
      <c r="Y523" s="88" t="n"/>
      <c r="Z523" s="89" t="n"/>
      <c r="AB523" s="30">
        <f>IF($B523="","",(COUNTIF(C523:E523,"?*")&lt;N(INDEX(Setup!$L$6:$L$23,16)))+(COUNTIF(G523:I523,"?*")&lt;N(INDEX(Setup!$L$6:$L$23,16)))+(COUNTIF(K523:M523,"?*")&lt;N(INDEX(Setup!$L$6:$L$23,16)))+(COUNTIF(O523:Q523,"?*")&lt;N(INDEX(Setup!$L$6:$L$23,16)))+(COUNTIF(S523:U523,"?*")&lt;N(INDEX(Setup!$L$6:$L$23,16)))+((W523="")*(INDEX(Setup!$M$6:$M$23,16)="Y"))+((Y523="")*(INDEX(Setup!$M$6:$M$23,16)="Y")))</f>
        <v/>
      </c>
      <c r="AC523" s="91">
        <f>IF($B523="","",IF(AB523=0,"✓ covered","⚠ "&amp;AB523&amp;IF(AB523=1," gap"," gaps")))</f>
        <v/>
      </c>
    </row>
    <row r="524" ht="17" customHeight="1">
      <c r="A524" t="n">
        <v>11</v>
      </c>
      <c r="B524" s="24">
        <f>IF(Setup!$K$22="","",Setup!$K$22)</f>
        <v/>
      </c>
      <c r="C524" s="88" t="n"/>
      <c r="D524" s="88" t="n"/>
      <c r="E524" s="88" t="n"/>
      <c r="F524" s="89" t="n"/>
      <c r="G524" s="88" t="n"/>
      <c r="H524" s="88" t="n"/>
      <c r="I524" s="88" t="n"/>
      <c r="J524" s="89" t="n"/>
      <c r="K524" s="88" t="n"/>
      <c r="L524" s="88" t="n"/>
      <c r="M524" s="88" t="n"/>
      <c r="N524" s="89" t="n"/>
      <c r="O524" s="88" t="n"/>
      <c r="P524" s="88" t="n"/>
      <c r="Q524" s="88" t="n"/>
      <c r="R524" s="89" t="n"/>
      <c r="S524" s="88" t="n"/>
      <c r="T524" s="88" t="n"/>
      <c r="U524" s="88" t="n"/>
      <c r="V524" s="89" t="n"/>
      <c r="W524" s="88" t="n"/>
      <c r="X524" s="89" t="n"/>
      <c r="Y524" s="88" t="n"/>
      <c r="Z524" s="89" t="n"/>
      <c r="AB524" s="25">
        <f>IF($B524="","",(COUNTIF(C524:E524,"?*")&lt;N(INDEX(Setup!$L$6:$L$23,17)))+(COUNTIF(G524:I524,"?*")&lt;N(INDEX(Setup!$L$6:$L$23,17)))+(COUNTIF(K524:M524,"?*")&lt;N(INDEX(Setup!$L$6:$L$23,17)))+(COUNTIF(O524:Q524,"?*")&lt;N(INDEX(Setup!$L$6:$L$23,17)))+(COUNTIF(S524:U524,"?*")&lt;N(INDEX(Setup!$L$6:$L$23,17)))+((W524="")*(INDEX(Setup!$M$6:$M$23,17)="Y"))+((Y524="")*(INDEX(Setup!$M$6:$M$23,17)="Y")))</f>
        <v/>
      </c>
      <c r="AC524" s="90">
        <f>IF($B524="","",IF(AB524=0,"✓ covered","⚠ "&amp;AB524&amp;IF(AB524=1," gap"," gaps")))</f>
        <v/>
      </c>
    </row>
    <row r="525" ht="17" customHeight="1">
      <c r="A525" t="n">
        <v>11</v>
      </c>
      <c r="B525" s="29">
        <f>IF(Setup!$K$23="","",Setup!$K$23)</f>
        <v/>
      </c>
      <c r="C525" s="88" t="n"/>
      <c r="D525" s="88" t="n"/>
      <c r="E525" s="88" t="n"/>
      <c r="F525" s="89" t="n"/>
      <c r="G525" s="88" t="n"/>
      <c r="H525" s="88" t="n"/>
      <c r="I525" s="88" t="n"/>
      <c r="J525" s="89" t="n"/>
      <c r="K525" s="88" t="n"/>
      <c r="L525" s="88" t="n"/>
      <c r="M525" s="88" t="n"/>
      <c r="N525" s="89" t="n"/>
      <c r="O525" s="88" t="n"/>
      <c r="P525" s="88" t="n"/>
      <c r="Q525" s="88" t="n"/>
      <c r="R525" s="89" t="n"/>
      <c r="S525" s="88" t="n"/>
      <c r="T525" s="88" t="n"/>
      <c r="U525" s="88" t="n"/>
      <c r="V525" s="89" t="n"/>
      <c r="W525" s="88" t="n"/>
      <c r="X525" s="89" t="n"/>
      <c r="Y525" s="88" t="n"/>
      <c r="Z525" s="89" t="n"/>
      <c r="AB525" s="30">
        <f>IF($B525="","",(COUNTIF(C525:E525,"?*")&lt;N(INDEX(Setup!$L$6:$L$23,18)))+(COUNTIF(G525:I525,"?*")&lt;N(INDEX(Setup!$L$6:$L$23,18)))+(COUNTIF(K525:M525,"?*")&lt;N(INDEX(Setup!$L$6:$L$23,18)))+(COUNTIF(O525:Q525,"?*")&lt;N(INDEX(Setup!$L$6:$L$23,18)))+(COUNTIF(S525:U525,"?*")&lt;N(INDEX(Setup!$L$6:$L$23,18)))+((W525="")*(INDEX(Setup!$M$6:$M$23,18)="Y"))+((Y525="")*(INDEX(Setup!$M$6:$M$23,18)="Y")))</f>
        <v/>
      </c>
      <c r="AC525" s="91">
        <f>IF($B525="","",IF(AB525=0,"✓ covered","⚠ "&amp;AB525&amp;IF(AB525=1," gap"," gaps")))</f>
        <v/>
      </c>
    </row>
    <row r="526" ht="18" customHeight="1">
      <c r="A526" t="n">
        <v>11</v>
      </c>
      <c r="B526" s="78" t="inlineStr">
        <is>
          <t>TEAM AVAILABILITY</t>
        </is>
      </c>
      <c r="C526" s="92" t="inlineStr">
        <is>
          <t>Mon</t>
        </is>
      </c>
      <c r="D526" s="93" t="n"/>
      <c r="E526" s="93" t="n"/>
      <c r="F526" s="94" t="n"/>
      <c r="G526" s="92" t="inlineStr">
        <is>
          <t>Tue</t>
        </is>
      </c>
      <c r="H526" s="93" t="n"/>
      <c r="I526" s="93" t="n"/>
      <c r="J526" s="94" t="n"/>
      <c r="K526" s="92" t="inlineStr">
        <is>
          <t>Wed</t>
        </is>
      </c>
      <c r="L526" s="93" t="n"/>
      <c r="M526" s="93" t="n"/>
      <c r="N526" s="94" t="n"/>
      <c r="O526" s="92" t="inlineStr">
        <is>
          <t>Thu</t>
        </is>
      </c>
      <c r="P526" s="93" t="n"/>
      <c r="Q526" s="93" t="n"/>
      <c r="R526" s="94" t="n"/>
      <c r="S526" s="92" t="inlineStr">
        <is>
          <t>Fri</t>
        </is>
      </c>
      <c r="T526" s="93" t="n"/>
      <c r="U526" s="93" t="n"/>
      <c r="V526" s="94" t="n"/>
      <c r="W526" s="95" t="inlineStr">
        <is>
          <t>Sat</t>
        </is>
      </c>
      <c r="X526" s="96" t="n"/>
      <c r="Y526" s="95" t="inlineStr">
        <is>
          <t>Sun</t>
        </is>
      </c>
      <c r="Z526" s="96" t="n"/>
      <c r="AB526" s="97" t="inlineStr">
        <is>
          <t>Days rostered</t>
        </is>
      </c>
      <c r="AC526" s="97" t="inlineStr">
        <is>
          <t>Conflicts</t>
        </is>
      </c>
    </row>
    <row r="527" ht="15" customHeight="1">
      <c r="A527" t="n">
        <v>11</v>
      </c>
      <c r="B527" s="35">
        <f>IF(Setup!$B$6="","",Setup!$B$6)</f>
        <v/>
      </c>
      <c r="C527" s="98" t="n"/>
      <c r="D527" s="99" t="n"/>
      <c r="E527" s="99" t="n"/>
      <c r="F527" s="100" t="n"/>
      <c r="G527" s="98" t="n"/>
      <c r="H527" s="99" t="n"/>
      <c r="I527" s="99" t="n"/>
      <c r="J527" s="100" t="n"/>
      <c r="K527" s="98" t="n"/>
      <c r="L527" s="99" t="n"/>
      <c r="M527" s="99" t="n"/>
      <c r="N527" s="100" t="n"/>
      <c r="O527" s="98" t="n"/>
      <c r="P527" s="99" t="n"/>
      <c r="Q527" s="99" t="n"/>
      <c r="R527" s="100" t="n"/>
      <c r="S527" s="98" t="n"/>
      <c r="T527" s="99" t="n"/>
      <c r="U527" s="99" t="n"/>
      <c r="V527" s="100" t="n"/>
      <c r="W527" s="98" t="n"/>
      <c r="X527" s="100" t="n"/>
      <c r="Y527" s="98" t="n"/>
      <c r="Z527" s="100" t="n"/>
      <c r="AB527" s="101">
        <f>IF($B527="","",(COUNTIF(C508:E525,$B527)+COUNTIF(C508:E525,$B527&amp;" ~*")&gt;0)+(COUNTIF(G508:I525,$B527)+COUNTIF(G508:I525,$B527&amp;" ~*")&gt;0)+(COUNTIF(K508:M525,$B527)+COUNTIF(K508:M525,$B527&amp;" ~*")&gt;0)+(COUNTIF(O508:Q525,$B527)+COUNTIF(O508:Q525,$B527&amp;" ~*")&gt;0)+(COUNTIF(S508:U525,$B527)+COUNTIF(S508:U525,$B527&amp;" ~*")&gt;0)+(COUNTIF(W508:W525,$B527)+COUNTIF(W508:W525,$B527&amp;" ~*")&gt;0)+(COUNTIF(Y508:Y525,$B527)+COUNTIF(Y508:Y525,$B527&amp;" ~*")&gt;0))</f>
        <v/>
      </c>
      <c r="AC527" s="36">
        <f>IF($B527="","",(IFERROR(INDEX(Setup!$G$33:$G$40,MATCH(C527,Setup!$B$33:$B$40,0)),0)=1)*(COUNTIF(C508:E525,$B527)+COUNTIF(C508:E525,$B527&amp;" ~*")&gt;0)+(IFERROR(INDEX(Setup!$G$33:$G$40,MATCH(G527,Setup!$B$33:$B$40,0)),0)=1)*(COUNTIF(G508:I525,$B527)+COUNTIF(G508:I525,$B527&amp;" ~*")&gt;0)+(IFERROR(INDEX(Setup!$G$33:$G$40,MATCH(K527,Setup!$B$33:$B$40,0)),0)=1)*(COUNTIF(K508:M525,$B527)+COUNTIF(K508:M525,$B527&amp;" ~*")&gt;0)+(IFERROR(INDEX(Setup!$G$33:$G$40,MATCH(O527,Setup!$B$33:$B$40,0)),0)=1)*(COUNTIF(O508:Q525,$B527)+COUNTIF(O508:Q525,$B527&amp;" ~*")&gt;0)+(IFERROR(INDEX(Setup!$G$33:$G$40,MATCH(S527,Setup!$B$33:$B$40,0)),0)=1)*(COUNTIF(S508:U525,$B527)+COUNTIF(S508:U525,$B527&amp;" ~*")&gt;0)+(IFERROR(INDEX(Setup!$G$33:$G$40,MATCH(W527,Setup!$B$33:$B$40,0)),0)=1)*(COUNTIF(W508:W525,$B527)+COUNTIF(W508:W525,$B527&amp;" ~*")&gt;0)+(IFERROR(INDEX(Setup!$G$33:$G$40,MATCH(Y527,Setup!$B$33:$B$40,0)),0)=1)*(COUNTIF(Y508:Y525,$B527)+COUNTIF(Y508:Y525,$B527&amp;" ~*")&gt;0))</f>
        <v/>
      </c>
    </row>
    <row r="528" ht="15" customHeight="1">
      <c r="A528" t="n">
        <v>11</v>
      </c>
      <c r="B528" s="37">
        <f>IF(Setup!$B$7="","",Setup!$B$7)</f>
        <v/>
      </c>
      <c r="C528" s="102" t="n"/>
      <c r="D528" s="103" t="n"/>
      <c r="E528" s="103" t="n"/>
      <c r="F528" s="104" t="n"/>
      <c r="G528" s="102" t="n"/>
      <c r="H528" s="103" t="n"/>
      <c r="I528" s="103" t="n"/>
      <c r="J528" s="104" t="n"/>
      <c r="K528" s="102" t="n"/>
      <c r="L528" s="103" t="n"/>
      <c r="M528" s="103" t="n"/>
      <c r="N528" s="104" t="n"/>
      <c r="O528" s="102" t="n"/>
      <c r="P528" s="103" t="n"/>
      <c r="Q528" s="103" t="n"/>
      <c r="R528" s="104" t="n"/>
      <c r="S528" s="102" t="n"/>
      <c r="T528" s="103" t="n"/>
      <c r="U528" s="103" t="n"/>
      <c r="V528" s="104" t="n"/>
      <c r="W528" s="102" t="n"/>
      <c r="X528" s="104" t="n"/>
      <c r="Y528" s="102" t="n"/>
      <c r="Z528" s="104" t="n"/>
      <c r="AB528" s="105">
        <f>IF($B528="","",(COUNTIF(C508:E525,$B528)+COUNTIF(C508:E525,$B528&amp;" ~*")&gt;0)+(COUNTIF(G508:I525,$B528)+COUNTIF(G508:I525,$B528&amp;" ~*")&gt;0)+(COUNTIF(K508:M525,$B528)+COUNTIF(K508:M525,$B528&amp;" ~*")&gt;0)+(COUNTIF(O508:Q525,$B528)+COUNTIF(O508:Q525,$B528&amp;" ~*")&gt;0)+(COUNTIF(S508:U525,$B528)+COUNTIF(S508:U525,$B528&amp;" ~*")&gt;0)+(COUNTIF(W508:W525,$B528)+COUNTIF(W508:W525,$B528&amp;" ~*")&gt;0)+(COUNTIF(Y508:Y525,$B528)+COUNTIF(Y508:Y525,$B528&amp;" ~*")&gt;0))</f>
        <v/>
      </c>
      <c r="AC528" s="38">
        <f>IF($B528="","",(IFERROR(INDEX(Setup!$G$33:$G$40,MATCH(C528,Setup!$B$33:$B$40,0)),0)=1)*(COUNTIF(C508:E525,$B528)+COUNTIF(C508:E525,$B528&amp;" ~*")&gt;0)+(IFERROR(INDEX(Setup!$G$33:$G$40,MATCH(G528,Setup!$B$33:$B$40,0)),0)=1)*(COUNTIF(G508:I525,$B528)+COUNTIF(G508:I525,$B528&amp;" ~*")&gt;0)+(IFERROR(INDEX(Setup!$G$33:$G$40,MATCH(K528,Setup!$B$33:$B$40,0)),0)=1)*(COUNTIF(K508:M525,$B528)+COUNTIF(K508:M525,$B528&amp;" ~*")&gt;0)+(IFERROR(INDEX(Setup!$G$33:$G$40,MATCH(O528,Setup!$B$33:$B$40,0)),0)=1)*(COUNTIF(O508:Q525,$B528)+COUNTIF(O508:Q525,$B528&amp;" ~*")&gt;0)+(IFERROR(INDEX(Setup!$G$33:$G$40,MATCH(S528,Setup!$B$33:$B$40,0)),0)=1)*(COUNTIF(S508:U525,$B528)+COUNTIF(S508:U525,$B528&amp;" ~*")&gt;0)+(IFERROR(INDEX(Setup!$G$33:$G$40,MATCH(W528,Setup!$B$33:$B$40,0)),0)=1)*(COUNTIF(W508:W525,$B528)+COUNTIF(W508:W525,$B528&amp;" ~*")&gt;0)+(IFERROR(INDEX(Setup!$G$33:$G$40,MATCH(Y528,Setup!$B$33:$B$40,0)),0)=1)*(COUNTIF(Y508:Y525,$B528)+COUNTIF(Y508:Y525,$B528&amp;" ~*")&gt;0))</f>
        <v/>
      </c>
    </row>
    <row r="529" ht="15" customHeight="1">
      <c r="A529" t="n">
        <v>11</v>
      </c>
      <c r="B529" s="35">
        <f>IF(Setup!$B$8="","",Setup!$B$8)</f>
        <v/>
      </c>
      <c r="C529" s="98" t="n"/>
      <c r="D529" s="99" t="n"/>
      <c r="E529" s="99" t="n"/>
      <c r="F529" s="100" t="n"/>
      <c r="G529" s="98" t="n"/>
      <c r="H529" s="99" t="n"/>
      <c r="I529" s="99" t="n"/>
      <c r="J529" s="100" t="n"/>
      <c r="K529" s="98" t="n"/>
      <c r="L529" s="99" t="n"/>
      <c r="M529" s="99" t="n"/>
      <c r="N529" s="100" t="n"/>
      <c r="O529" s="98" t="n"/>
      <c r="P529" s="99" t="n"/>
      <c r="Q529" s="99" t="n"/>
      <c r="R529" s="100" t="n"/>
      <c r="S529" s="98" t="n"/>
      <c r="T529" s="99" t="n"/>
      <c r="U529" s="99" t="n"/>
      <c r="V529" s="100" t="n"/>
      <c r="W529" s="98" t="n"/>
      <c r="X529" s="100" t="n"/>
      <c r="Y529" s="98" t="n"/>
      <c r="Z529" s="100" t="n"/>
      <c r="AB529" s="101">
        <f>IF($B529="","",(COUNTIF(C508:E525,$B529)+COUNTIF(C508:E525,$B529&amp;" ~*")&gt;0)+(COUNTIF(G508:I525,$B529)+COUNTIF(G508:I525,$B529&amp;" ~*")&gt;0)+(COUNTIF(K508:M525,$B529)+COUNTIF(K508:M525,$B529&amp;" ~*")&gt;0)+(COUNTIF(O508:Q525,$B529)+COUNTIF(O508:Q525,$B529&amp;" ~*")&gt;0)+(COUNTIF(S508:U525,$B529)+COUNTIF(S508:U525,$B529&amp;" ~*")&gt;0)+(COUNTIF(W508:W525,$B529)+COUNTIF(W508:W525,$B529&amp;" ~*")&gt;0)+(COUNTIF(Y508:Y525,$B529)+COUNTIF(Y508:Y525,$B529&amp;" ~*")&gt;0))</f>
        <v/>
      </c>
      <c r="AC529" s="36">
        <f>IF($B529="","",(IFERROR(INDEX(Setup!$G$33:$G$40,MATCH(C529,Setup!$B$33:$B$40,0)),0)=1)*(COUNTIF(C508:E525,$B529)+COUNTIF(C508:E525,$B529&amp;" ~*")&gt;0)+(IFERROR(INDEX(Setup!$G$33:$G$40,MATCH(G529,Setup!$B$33:$B$40,0)),0)=1)*(COUNTIF(G508:I525,$B529)+COUNTIF(G508:I525,$B529&amp;" ~*")&gt;0)+(IFERROR(INDEX(Setup!$G$33:$G$40,MATCH(K529,Setup!$B$33:$B$40,0)),0)=1)*(COUNTIF(K508:M525,$B529)+COUNTIF(K508:M525,$B529&amp;" ~*")&gt;0)+(IFERROR(INDEX(Setup!$G$33:$G$40,MATCH(O529,Setup!$B$33:$B$40,0)),0)=1)*(COUNTIF(O508:Q525,$B529)+COUNTIF(O508:Q525,$B529&amp;" ~*")&gt;0)+(IFERROR(INDEX(Setup!$G$33:$G$40,MATCH(S529,Setup!$B$33:$B$40,0)),0)=1)*(COUNTIF(S508:U525,$B529)+COUNTIF(S508:U525,$B529&amp;" ~*")&gt;0)+(IFERROR(INDEX(Setup!$G$33:$G$40,MATCH(W529,Setup!$B$33:$B$40,0)),0)=1)*(COUNTIF(W508:W525,$B529)+COUNTIF(W508:W525,$B529&amp;" ~*")&gt;0)+(IFERROR(INDEX(Setup!$G$33:$G$40,MATCH(Y529,Setup!$B$33:$B$40,0)),0)=1)*(COUNTIF(Y508:Y525,$B529)+COUNTIF(Y508:Y525,$B529&amp;" ~*")&gt;0))</f>
        <v/>
      </c>
    </row>
    <row r="530" ht="15" customHeight="1">
      <c r="A530" t="n">
        <v>11</v>
      </c>
      <c r="B530" s="37">
        <f>IF(Setup!$B$9="","",Setup!$B$9)</f>
        <v/>
      </c>
      <c r="C530" s="102" t="n"/>
      <c r="D530" s="103" t="n"/>
      <c r="E530" s="103" t="n"/>
      <c r="F530" s="104" t="n"/>
      <c r="G530" s="102" t="n"/>
      <c r="H530" s="103" t="n"/>
      <c r="I530" s="103" t="n"/>
      <c r="J530" s="104" t="n"/>
      <c r="K530" s="102" t="n"/>
      <c r="L530" s="103" t="n"/>
      <c r="M530" s="103" t="n"/>
      <c r="N530" s="104" t="n"/>
      <c r="O530" s="102" t="n"/>
      <c r="P530" s="103" t="n"/>
      <c r="Q530" s="103" t="n"/>
      <c r="R530" s="104" t="n"/>
      <c r="S530" s="102" t="n"/>
      <c r="T530" s="103" t="n"/>
      <c r="U530" s="103" t="n"/>
      <c r="V530" s="104" t="n"/>
      <c r="W530" s="102" t="n"/>
      <c r="X530" s="104" t="n"/>
      <c r="Y530" s="102" t="n"/>
      <c r="Z530" s="104" t="n"/>
      <c r="AB530" s="105">
        <f>IF($B530="","",(COUNTIF(C508:E525,$B530)+COUNTIF(C508:E525,$B530&amp;" ~*")&gt;0)+(COUNTIF(G508:I525,$B530)+COUNTIF(G508:I525,$B530&amp;" ~*")&gt;0)+(COUNTIF(K508:M525,$B530)+COUNTIF(K508:M525,$B530&amp;" ~*")&gt;0)+(COUNTIF(O508:Q525,$B530)+COUNTIF(O508:Q525,$B530&amp;" ~*")&gt;0)+(COUNTIF(S508:U525,$B530)+COUNTIF(S508:U525,$B530&amp;" ~*")&gt;0)+(COUNTIF(W508:W525,$B530)+COUNTIF(W508:W525,$B530&amp;" ~*")&gt;0)+(COUNTIF(Y508:Y525,$B530)+COUNTIF(Y508:Y525,$B530&amp;" ~*")&gt;0))</f>
        <v/>
      </c>
      <c r="AC530" s="38">
        <f>IF($B530="","",(IFERROR(INDEX(Setup!$G$33:$G$40,MATCH(C530,Setup!$B$33:$B$40,0)),0)=1)*(COUNTIF(C508:E525,$B530)+COUNTIF(C508:E525,$B530&amp;" ~*")&gt;0)+(IFERROR(INDEX(Setup!$G$33:$G$40,MATCH(G530,Setup!$B$33:$B$40,0)),0)=1)*(COUNTIF(G508:I525,$B530)+COUNTIF(G508:I525,$B530&amp;" ~*")&gt;0)+(IFERROR(INDEX(Setup!$G$33:$G$40,MATCH(K530,Setup!$B$33:$B$40,0)),0)=1)*(COUNTIF(K508:M525,$B530)+COUNTIF(K508:M525,$B530&amp;" ~*")&gt;0)+(IFERROR(INDEX(Setup!$G$33:$G$40,MATCH(O530,Setup!$B$33:$B$40,0)),0)=1)*(COUNTIF(O508:Q525,$B530)+COUNTIF(O508:Q525,$B530&amp;" ~*")&gt;0)+(IFERROR(INDEX(Setup!$G$33:$G$40,MATCH(S530,Setup!$B$33:$B$40,0)),0)=1)*(COUNTIF(S508:U525,$B530)+COUNTIF(S508:U525,$B530&amp;" ~*")&gt;0)+(IFERROR(INDEX(Setup!$G$33:$G$40,MATCH(W530,Setup!$B$33:$B$40,0)),0)=1)*(COUNTIF(W508:W525,$B530)+COUNTIF(W508:W525,$B530&amp;" ~*")&gt;0)+(IFERROR(INDEX(Setup!$G$33:$G$40,MATCH(Y530,Setup!$B$33:$B$40,0)),0)=1)*(COUNTIF(Y508:Y525,$B530)+COUNTIF(Y508:Y525,$B530&amp;" ~*")&gt;0))</f>
        <v/>
      </c>
    </row>
    <row r="531" ht="15" customHeight="1">
      <c r="A531" t="n">
        <v>11</v>
      </c>
      <c r="B531" s="35">
        <f>IF(Setup!$B$10="","",Setup!$B$10)</f>
        <v/>
      </c>
      <c r="C531" s="98" t="n"/>
      <c r="D531" s="99" t="n"/>
      <c r="E531" s="99" t="n"/>
      <c r="F531" s="100" t="n"/>
      <c r="G531" s="98" t="n"/>
      <c r="H531" s="99" t="n"/>
      <c r="I531" s="99" t="n"/>
      <c r="J531" s="100" t="n"/>
      <c r="K531" s="98" t="n"/>
      <c r="L531" s="99" t="n"/>
      <c r="M531" s="99" t="n"/>
      <c r="N531" s="100" t="n"/>
      <c r="O531" s="98" t="n"/>
      <c r="P531" s="99" t="n"/>
      <c r="Q531" s="99" t="n"/>
      <c r="R531" s="100" t="n"/>
      <c r="S531" s="98" t="n"/>
      <c r="T531" s="99" t="n"/>
      <c r="U531" s="99" t="n"/>
      <c r="V531" s="100" t="n"/>
      <c r="W531" s="98" t="n"/>
      <c r="X531" s="100" t="n"/>
      <c r="Y531" s="98" t="n"/>
      <c r="Z531" s="100" t="n"/>
      <c r="AB531" s="101">
        <f>IF($B531="","",(COUNTIF(C508:E525,$B531)+COUNTIF(C508:E525,$B531&amp;" ~*")&gt;0)+(COUNTIF(G508:I525,$B531)+COUNTIF(G508:I525,$B531&amp;" ~*")&gt;0)+(COUNTIF(K508:M525,$B531)+COUNTIF(K508:M525,$B531&amp;" ~*")&gt;0)+(COUNTIF(O508:Q525,$B531)+COUNTIF(O508:Q525,$B531&amp;" ~*")&gt;0)+(COUNTIF(S508:U525,$B531)+COUNTIF(S508:U525,$B531&amp;" ~*")&gt;0)+(COUNTIF(W508:W525,$B531)+COUNTIF(W508:W525,$B531&amp;" ~*")&gt;0)+(COUNTIF(Y508:Y525,$B531)+COUNTIF(Y508:Y525,$B531&amp;" ~*")&gt;0))</f>
        <v/>
      </c>
      <c r="AC531" s="36">
        <f>IF($B531="","",(IFERROR(INDEX(Setup!$G$33:$G$40,MATCH(C531,Setup!$B$33:$B$40,0)),0)=1)*(COUNTIF(C508:E525,$B531)+COUNTIF(C508:E525,$B531&amp;" ~*")&gt;0)+(IFERROR(INDEX(Setup!$G$33:$G$40,MATCH(G531,Setup!$B$33:$B$40,0)),0)=1)*(COUNTIF(G508:I525,$B531)+COUNTIF(G508:I525,$B531&amp;" ~*")&gt;0)+(IFERROR(INDEX(Setup!$G$33:$G$40,MATCH(K531,Setup!$B$33:$B$40,0)),0)=1)*(COUNTIF(K508:M525,$B531)+COUNTIF(K508:M525,$B531&amp;" ~*")&gt;0)+(IFERROR(INDEX(Setup!$G$33:$G$40,MATCH(O531,Setup!$B$33:$B$40,0)),0)=1)*(COUNTIF(O508:Q525,$B531)+COUNTIF(O508:Q525,$B531&amp;" ~*")&gt;0)+(IFERROR(INDEX(Setup!$G$33:$G$40,MATCH(S531,Setup!$B$33:$B$40,0)),0)=1)*(COUNTIF(S508:U525,$B531)+COUNTIF(S508:U525,$B531&amp;" ~*")&gt;0)+(IFERROR(INDEX(Setup!$G$33:$G$40,MATCH(W531,Setup!$B$33:$B$40,0)),0)=1)*(COUNTIF(W508:W525,$B531)+COUNTIF(W508:W525,$B531&amp;" ~*")&gt;0)+(IFERROR(INDEX(Setup!$G$33:$G$40,MATCH(Y531,Setup!$B$33:$B$40,0)),0)=1)*(COUNTIF(Y508:Y525,$B531)+COUNTIF(Y508:Y525,$B531&amp;" ~*")&gt;0))</f>
        <v/>
      </c>
    </row>
    <row r="532" ht="15" customHeight="1">
      <c r="A532" t="n">
        <v>11</v>
      </c>
      <c r="B532" s="37">
        <f>IF(Setup!$B$11="","",Setup!$B$11)</f>
        <v/>
      </c>
      <c r="C532" s="102" t="n"/>
      <c r="D532" s="103" t="n"/>
      <c r="E532" s="103" t="n"/>
      <c r="F532" s="104" t="n"/>
      <c r="G532" s="102" t="n"/>
      <c r="H532" s="103" t="n"/>
      <c r="I532" s="103" t="n"/>
      <c r="J532" s="104" t="n"/>
      <c r="K532" s="102" t="n"/>
      <c r="L532" s="103" t="n"/>
      <c r="M532" s="103" t="n"/>
      <c r="N532" s="104" t="n"/>
      <c r="O532" s="102" t="n"/>
      <c r="P532" s="103" t="n"/>
      <c r="Q532" s="103" t="n"/>
      <c r="R532" s="104" t="n"/>
      <c r="S532" s="102" t="n"/>
      <c r="T532" s="103" t="n"/>
      <c r="U532" s="103" t="n"/>
      <c r="V532" s="104" t="n"/>
      <c r="W532" s="102" t="n"/>
      <c r="X532" s="104" t="n"/>
      <c r="Y532" s="102" t="n"/>
      <c r="Z532" s="104" t="n"/>
      <c r="AB532" s="105">
        <f>IF($B532="","",(COUNTIF(C508:E525,$B532)+COUNTIF(C508:E525,$B532&amp;" ~*")&gt;0)+(COUNTIF(G508:I525,$B532)+COUNTIF(G508:I525,$B532&amp;" ~*")&gt;0)+(COUNTIF(K508:M525,$B532)+COUNTIF(K508:M525,$B532&amp;" ~*")&gt;0)+(COUNTIF(O508:Q525,$B532)+COUNTIF(O508:Q525,$B532&amp;" ~*")&gt;0)+(COUNTIF(S508:U525,$B532)+COUNTIF(S508:U525,$B532&amp;" ~*")&gt;0)+(COUNTIF(W508:W525,$B532)+COUNTIF(W508:W525,$B532&amp;" ~*")&gt;0)+(COUNTIF(Y508:Y525,$B532)+COUNTIF(Y508:Y525,$B532&amp;" ~*")&gt;0))</f>
        <v/>
      </c>
      <c r="AC532" s="38">
        <f>IF($B532="","",(IFERROR(INDEX(Setup!$G$33:$G$40,MATCH(C532,Setup!$B$33:$B$40,0)),0)=1)*(COUNTIF(C508:E525,$B532)+COUNTIF(C508:E525,$B532&amp;" ~*")&gt;0)+(IFERROR(INDEX(Setup!$G$33:$G$40,MATCH(G532,Setup!$B$33:$B$40,0)),0)=1)*(COUNTIF(G508:I525,$B532)+COUNTIF(G508:I525,$B532&amp;" ~*")&gt;0)+(IFERROR(INDEX(Setup!$G$33:$G$40,MATCH(K532,Setup!$B$33:$B$40,0)),0)=1)*(COUNTIF(K508:M525,$B532)+COUNTIF(K508:M525,$B532&amp;" ~*")&gt;0)+(IFERROR(INDEX(Setup!$G$33:$G$40,MATCH(O532,Setup!$B$33:$B$40,0)),0)=1)*(COUNTIF(O508:Q525,$B532)+COUNTIF(O508:Q525,$B532&amp;" ~*")&gt;0)+(IFERROR(INDEX(Setup!$G$33:$G$40,MATCH(S532,Setup!$B$33:$B$40,0)),0)=1)*(COUNTIF(S508:U525,$B532)+COUNTIF(S508:U525,$B532&amp;" ~*")&gt;0)+(IFERROR(INDEX(Setup!$G$33:$G$40,MATCH(W532,Setup!$B$33:$B$40,0)),0)=1)*(COUNTIF(W508:W525,$B532)+COUNTIF(W508:W525,$B532&amp;" ~*")&gt;0)+(IFERROR(INDEX(Setup!$G$33:$G$40,MATCH(Y532,Setup!$B$33:$B$40,0)),0)=1)*(COUNTIF(Y508:Y525,$B532)+COUNTIF(Y508:Y525,$B532&amp;" ~*")&gt;0))</f>
        <v/>
      </c>
    </row>
    <row r="533" ht="15" customHeight="1">
      <c r="A533" t="n">
        <v>11</v>
      </c>
      <c r="B533" s="35">
        <f>IF(Setup!$B$12="","",Setup!$B$12)</f>
        <v/>
      </c>
      <c r="C533" s="98" t="n"/>
      <c r="D533" s="99" t="n"/>
      <c r="E533" s="99" t="n"/>
      <c r="F533" s="100" t="n"/>
      <c r="G533" s="98" t="n"/>
      <c r="H533" s="99" t="n"/>
      <c r="I533" s="99" t="n"/>
      <c r="J533" s="100" t="n"/>
      <c r="K533" s="98" t="n"/>
      <c r="L533" s="99" t="n"/>
      <c r="M533" s="99" t="n"/>
      <c r="N533" s="100" t="n"/>
      <c r="O533" s="98" t="n"/>
      <c r="P533" s="99" t="n"/>
      <c r="Q533" s="99" t="n"/>
      <c r="R533" s="100" t="n"/>
      <c r="S533" s="98" t="n"/>
      <c r="T533" s="99" t="n"/>
      <c r="U533" s="99" t="n"/>
      <c r="V533" s="100" t="n"/>
      <c r="W533" s="98" t="n"/>
      <c r="X533" s="100" t="n"/>
      <c r="Y533" s="98" t="n"/>
      <c r="Z533" s="100" t="n"/>
      <c r="AB533" s="101">
        <f>IF($B533="","",(COUNTIF(C508:E525,$B533)+COUNTIF(C508:E525,$B533&amp;" ~*")&gt;0)+(COUNTIF(G508:I525,$B533)+COUNTIF(G508:I525,$B533&amp;" ~*")&gt;0)+(COUNTIF(K508:M525,$B533)+COUNTIF(K508:M525,$B533&amp;" ~*")&gt;0)+(COUNTIF(O508:Q525,$B533)+COUNTIF(O508:Q525,$B533&amp;" ~*")&gt;0)+(COUNTIF(S508:U525,$B533)+COUNTIF(S508:U525,$B533&amp;" ~*")&gt;0)+(COUNTIF(W508:W525,$B533)+COUNTIF(W508:W525,$B533&amp;" ~*")&gt;0)+(COUNTIF(Y508:Y525,$B533)+COUNTIF(Y508:Y525,$B533&amp;" ~*")&gt;0))</f>
        <v/>
      </c>
      <c r="AC533" s="36">
        <f>IF($B533="","",(IFERROR(INDEX(Setup!$G$33:$G$40,MATCH(C533,Setup!$B$33:$B$40,0)),0)=1)*(COUNTIF(C508:E525,$B533)+COUNTIF(C508:E525,$B533&amp;" ~*")&gt;0)+(IFERROR(INDEX(Setup!$G$33:$G$40,MATCH(G533,Setup!$B$33:$B$40,0)),0)=1)*(COUNTIF(G508:I525,$B533)+COUNTIF(G508:I525,$B533&amp;" ~*")&gt;0)+(IFERROR(INDEX(Setup!$G$33:$G$40,MATCH(K533,Setup!$B$33:$B$40,0)),0)=1)*(COUNTIF(K508:M525,$B533)+COUNTIF(K508:M525,$B533&amp;" ~*")&gt;0)+(IFERROR(INDEX(Setup!$G$33:$G$40,MATCH(O533,Setup!$B$33:$B$40,0)),0)=1)*(COUNTIF(O508:Q525,$B533)+COUNTIF(O508:Q525,$B533&amp;" ~*")&gt;0)+(IFERROR(INDEX(Setup!$G$33:$G$40,MATCH(S533,Setup!$B$33:$B$40,0)),0)=1)*(COUNTIF(S508:U525,$B533)+COUNTIF(S508:U525,$B533&amp;" ~*")&gt;0)+(IFERROR(INDEX(Setup!$G$33:$G$40,MATCH(W533,Setup!$B$33:$B$40,0)),0)=1)*(COUNTIF(W508:W525,$B533)+COUNTIF(W508:W525,$B533&amp;" ~*")&gt;0)+(IFERROR(INDEX(Setup!$G$33:$G$40,MATCH(Y533,Setup!$B$33:$B$40,0)),0)=1)*(COUNTIF(Y508:Y525,$B533)+COUNTIF(Y508:Y525,$B533&amp;" ~*")&gt;0))</f>
        <v/>
      </c>
    </row>
    <row r="534" ht="15" customHeight="1">
      <c r="A534" t="n">
        <v>11</v>
      </c>
      <c r="B534" s="37">
        <f>IF(Setup!$B$13="","",Setup!$B$13)</f>
        <v/>
      </c>
      <c r="C534" s="102" t="n"/>
      <c r="D534" s="103" t="n"/>
      <c r="E534" s="103" t="n"/>
      <c r="F534" s="104" t="n"/>
      <c r="G534" s="102" t="n"/>
      <c r="H534" s="103" t="n"/>
      <c r="I534" s="103" t="n"/>
      <c r="J534" s="104" t="n"/>
      <c r="K534" s="102" t="n"/>
      <c r="L534" s="103" t="n"/>
      <c r="M534" s="103" t="n"/>
      <c r="N534" s="104" t="n"/>
      <c r="O534" s="102" t="n"/>
      <c r="P534" s="103" t="n"/>
      <c r="Q534" s="103" t="n"/>
      <c r="R534" s="104" t="n"/>
      <c r="S534" s="102" t="n"/>
      <c r="T534" s="103" t="n"/>
      <c r="U534" s="103" t="n"/>
      <c r="V534" s="104" t="n"/>
      <c r="W534" s="102" t="n"/>
      <c r="X534" s="104" t="n"/>
      <c r="Y534" s="102" t="n"/>
      <c r="Z534" s="104" t="n"/>
      <c r="AB534" s="105">
        <f>IF($B534="","",(COUNTIF(C508:E525,$B534)+COUNTIF(C508:E525,$B534&amp;" ~*")&gt;0)+(COUNTIF(G508:I525,$B534)+COUNTIF(G508:I525,$B534&amp;" ~*")&gt;0)+(COUNTIF(K508:M525,$B534)+COUNTIF(K508:M525,$B534&amp;" ~*")&gt;0)+(COUNTIF(O508:Q525,$B534)+COUNTIF(O508:Q525,$B534&amp;" ~*")&gt;0)+(COUNTIF(S508:U525,$B534)+COUNTIF(S508:U525,$B534&amp;" ~*")&gt;0)+(COUNTIF(W508:W525,$B534)+COUNTIF(W508:W525,$B534&amp;" ~*")&gt;0)+(COUNTIF(Y508:Y525,$B534)+COUNTIF(Y508:Y525,$B534&amp;" ~*")&gt;0))</f>
        <v/>
      </c>
      <c r="AC534" s="38">
        <f>IF($B534="","",(IFERROR(INDEX(Setup!$G$33:$G$40,MATCH(C534,Setup!$B$33:$B$40,0)),0)=1)*(COUNTIF(C508:E525,$B534)+COUNTIF(C508:E525,$B534&amp;" ~*")&gt;0)+(IFERROR(INDEX(Setup!$G$33:$G$40,MATCH(G534,Setup!$B$33:$B$40,0)),0)=1)*(COUNTIF(G508:I525,$B534)+COUNTIF(G508:I525,$B534&amp;" ~*")&gt;0)+(IFERROR(INDEX(Setup!$G$33:$G$40,MATCH(K534,Setup!$B$33:$B$40,0)),0)=1)*(COUNTIF(K508:M525,$B534)+COUNTIF(K508:M525,$B534&amp;" ~*")&gt;0)+(IFERROR(INDEX(Setup!$G$33:$G$40,MATCH(O534,Setup!$B$33:$B$40,0)),0)=1)*(COUNTIF(O508:Q525,$B534)+COUNTIF(O508:Q525,$B534&amp;" ~*")&gt;0)+(IFERROR(INDEX(Setup!$G$33:$G$40,MATCH(S534,Setup!$B$33:$B$40,0)),0)=1)*(COUNTIF(S508:U525,$B534)+COUNTIF(S508:U525,$B534&amp;" ~*")&gt;0)+(IFERROR(INDEX(Setup!$G$33:$G$40,MATCH(W534,Setup!$B$33:$B$40,0)),0)=1)*(COUNTIF(W508:W525,$B534)+COUNTIF(W508:W525,$B534&amp;" ~*")&gt;0)+(IFERROR(INDEX(Setup!$G$33:$G$40,MATCH(Y534,Setup!$B$33:$B$40,0)),0)=1)*(COUNTIF(Y508:Y525,$B534)+COUNTIF(Y508:Y525,$B534&amp;" ~*")&gt;0))</f>
        <v/>
      </c>
    </row>
    <row r="535" ht="15" customHeight="1">
      <c r="A535" t="n">
        <v>11</v>
      </c>
      <c r="B535" s="35">
        <f>IF(Setup!$B$14="","",Setup!$B$14)</f>
        <v/>
      </c>
      <c r="C535" s="98" t="n"/>
      <c r="D535" s="99" t="n"/>
      <c r="E535" s="99" t="n"/>
      <c r="F535" s="100" t="n"/>
      <c r="G535" s="98" t="n"/>
      <c r="H535" s="99" t="n"/>
      <c r="I535" s="99" t="n"/>
      <c r="J535" s="100" t="n"/>
      <c r="K535" s="98" t="n"/>
      <c r="L535" s="99" t="n"/>
      <c r="M535" s="99" t="n"/>
      <c r="N535" s="100" t="n"/>
      <c r="O535" s="98" t="n"/>
      <c r="P535" s="99" t="n"/>
      <c r="Q535" s="99" t="n"/>
      <c r="R535" s="100" t="n"/>
      <c r="S535" s="98" t="n"/>
      <c r="T535" s="99" t="n"/>
      <c r="U535" s="99" t="n"/>
      <c r="V535" s="100" t="n"/>
      <c r="W535" s="98" t="n"/>
      <c r="X535" s="100" t="n"/>
      <c r="Y535" s="98" t="n"/>
      <c r="Z535" s="100" t="n"/>
      <c r="AB535" s="101">
        <f>IF($B535="","",(COUNTIF(C508:E525,$B535)+COUNTIF(C508:E525,$B535&amp;" ~*")&gt;0)+(COUNTIF(G508:I525,$B535)+COUNTIF(G508:I525,$B535&amp;" ~*")&gt;0)+(COUNTIF(K508:M525,$B535)+COUNTIF(K508:M525,$B535&amp;" ~*")&gt;0)+(COUNTIF(O508:Q525,$B535)+COUNTIF(O508:Q525,$B535&amp;" ~*")&gt;0)+(COUNTIF(S508:U525,$B535)+COUNTIF(S508:U525,$B535&amp;" ~*")&gt;0)+(COUNTIF(W508:W525,$B535)+COUNTIF(W508:W525,$B535&amp;" ~*")&gt;0)+(COUNTIF(Y508:Y525,$B535)+COUNTIF(Y508:Y525,$B535&amp;" ~*")&gt;0))</f>
        <v/>
      </c>
      <c r="AC535" s="36">
        <f>IF($B535="","",(IFERROR(INDEX(Setup!$G$33:$G$40,MATCH(C535,Setup!$B$33:$B$40,0)),0)=1)*(COUNTIF(C508:E525,$B535)+COUNTIF(C508:E525,$B535&amp;" ~*")&gt;0)+(IFERROR(INDEX(Setup!$G$33:$G$40,MATCH(G535,Setup!$B$33:$B$40,0)),0)=1)*(COUNTIF(G508:I525,$B535)+COUNTIF(G508:I525,$B535&amp;" ~*")&gt;0)+(IFERROR(INDEX(Setup!$G$33:$G$40,MATCH(K535,Setup!$B$33:$B$40,0)),0)=1)*(COUNTIF(K508:M525,$B535)+COUNTIF(K508:M525,$B535&amp;" ~*")&gt;0)+(IFERROR(INDEX(Setup!$G$33:$G$40,MATCH(O535,Setup!$B$33:$B$40,0)),0)=1)*(COUNTIF(O508:Q525,$B535)+COUNTIF(O508:Q525,$B535&amp;" ~*")&gt;0)+(IFERROR(INDEX(Setup!$G$33:$G$40,MATCH(S535,Setup!$B$33:$B$40,0)),0)=1)*(COUNTIF(S508:U525,$B535)+COUNTIF(S508:U525,$B535&amp;" ~*")&gt;0)+(IFERROR(INDEX(Setup!$G$33:$G$40,MATCH(W535,Setup!$B$33:$B$40,0)),0)=1)*(COUNTIF(W508:W525,$B535)+COUNTIF(W508:W525,$B535&amp;" ~*")&gt;0)+(IFERROR(INDEX(Setup!$G$33:$G$40,MATCH(Y535,Setup!$B$33:$B$40,0)),0)=1)*(COUNTIF(Y508:Y525,$B535)+COUNTIF(Y508:Y525,$B535&amp;" ~*")&gt;0))</f>
        <v/>
      </c>
    </row>
    <row r="536" ht="15" customHeight="1">
      <c r="A536" t="n">
        <v>11</v>
      </c>
      <c r="B536" s="37">
        <f>IF(Setup!$B$15="","",Setup!$B$15)</f>
        <v/>
      </c>
      <c r="C536" s="102" t="n"/>
      <c r="D536" s="103" t="n"/>
      <c r="E536" s="103" t="n"/>
      <c r="F536" s="104" t="n"/>
      <c r="G536" s="102" t="n"/>
      <c r="H536" s="103" t="n"/>
      <c r="I536" s="103" t="n"/>
      <c r="J536" s="104" t="n"/>
      <c r="K536" s="102" t="n"/>
      <c r="L536" s="103" t="n"/>
      <c r="M536" s="103" t="n"/>
      <c r="N536" s="104" t="n"/>
      <c r="O536" s="102" t="n"/>
      <c r="P536" s="103" t="n"/>
      <c r="Q536" s="103" t="n"/>
      <c r="R536" s="104" t="n"/>
      <c r="S536" s="102" t="n"/>
      <c r="T536" s="103" t="n"/>
      <c r="U536" s="103" t="n"/>
      <c r="V536" s="104" t="n"/>
      <c r="W536" s="102" t="n"/>
      <c r="X536" s="104" t="n"/>
      <c r="Y536" s="102" t="n"/>
      <c r="Z536" s="104" t="n"/>
      <c r="AB536" s="105">
        <f>IF($B536="","",(COUNTIF(C508:E525,$B536)+COUNTIF(C508:E525,$B536&amp;" ~*")&gt;0)+(COUNTIF(G508:I525,$B536)+COUNTIF(G508:I525,$B536&amp;" ~*")&gt;0)+(COUNTIF(K508:M525,$B536)+COUNTIF(K508:M525,$B536&amp;" ~*")&gt;0)+(COUNTIF(O508:Q525,$B536)+COUNTIF(O508:Q525,$B536&amp;" ~*")&gt;0)+(COUNTIF(S508:U525,$B536)+COUNTIF(S508:U525,$B536&amp;" ~*")&gt;0)+(COUNTIF(W508:W525,$B536)+COUNTIF(W508:W525,$B536&amp;" ~*")&gt;0)+(COUNTIF(Y508:Y525,$B536)+COUNTIF(Y508:Y525,$B536&amp;" ~*")&gt;0))</f>
        <v/>
      </c>
      <c r="AC536" s="38">
        <f>IF($B536="","",(IFERROR(INDEX(Setup!$G$33:$G$40,MATCH(C536,Setup!$B$33:$B$40,0)),0)=1)*(COUNTIF(C508:E525,$B536)+COUNTIF(C508:E525,$B536&amp;" ~*")&gt;0)+(IFERROR(INDEX(Setup!$G$33:$G$40,MATCH(G536,Setup!$B$33:$B$40,0)),0)=1)*(COUNTIF(G508:I525,$B536)+COUNTIF(G508:I525,$B536&amp;" ~*")&gt;0)+(IFERROR(INDEX(Setup!$G$33:$G$40,MATCH(K536,Setup!$B$33:$B$40,0)),0)=1)*(COUNTIF(K508:M525,$B536)+COUNTIF(K508:M525,$B536&amp;" ~*")&gt;0)+(IFERROR(INDEX(Setup!$G$33:$G$40,MATCH(O536,Setup!$B$33:$B$40,0)),0)=1)*(COUNTIF(O508:Q525,$B536)+COUNTIF(O508:Q525,$B536&amp;" ~*")&gt;0)+(IFERROR(INDEX(Setup!$G$33:$G$40,MATCH(S536,Setup!$B$33:$B$40,0)),0)=1)*(COUNTIF(S508:U525,$B536)+COUNTIF(S508:U525,$B536&amp;" ~*")&gt;0)+(IFERROR(INDEX(Setup!$G$33:$G$40,MATCH(W536,Setup!$B$33:$B$40,0)),0)=1)*(COUNTIF(W508:W525,$B536)+COUNTIF(W508:W525,$B536&amp;" ~*")&gt;0)+(IFERROR(INDEX(Setup!$G$33:$G$40,MATCH(Y536,Setup!$B$33:$B$40,0)),0)=1)*(COUNTIF(Y508:Y525,$B536)+COUNTIF(Y508:Y525,$B536&amp;" ~*")&gt;0))</f>
        <v/>
      </c>
    </row>
    <row r="537" ht="15" customHeight="1">
      <c r="A537" t="n">
        <v>11</v>
      </c>
      <c r="B537" s="35">
        <f>IF(Setup!$B$16="","",Setup!$B$16)</f>
        <v/>
      </c>
      <c r="C537" s="98" t="n"/>
      <c r="D537" s="99" t="n"/>
      <c r="E537" s="99" t="n"/>
      <c r="F537" s="100" t="n"/>
      <c r="G537" s="98" t="n"/>
      <c r="H537" s="99" t="n"/>
      <c r="I537" s="99" t="n"/>
      <c r="J537" s="100" t="n"/>
      <c r="K537" s="98" t="n"/>
      <c r="L537" s="99" t="n"/>
      <c r="M537" s="99" t="n"/>
      <c r="N537" s="100" t="n"/>
      <c r="O537" s="98" t="n"/>
      <c r="P537" s="99" t="n"/>
      <c r="Q537" s="99" t="n"/>
      <c r="R537" s="100" t="n"/>
      <c r="S537" s="98" t="n"/>
      <c r="T537" s="99" t="n"/>
      <c r="U537" s="99" t="n"/>
      <c r="V537" s="100" t="n"/>
      <c r="W537" s="98" t="n"/>
      <c r="X537" s="100" t="n"/>
      <c r="Y537" s="98" t="n"/>
      <c r="Z537" s="100" t="n"/>
      <c r="AB537" s="101">
        <f>IF($B537="","",(COUNTIF(C508:E525,$B537)+COUNTIF(C508:E525,$B537&amp;" ~*")&gt;0)+(COUNTIF(G508:I525,$B537)+COUNTIF(G508:I525,$B537&amp;" ~*")&gt;0)+(COUNTIF(K508:M525,$B537)+COUNTIF(K508:M525,$B537&amp;" ~*")&gt;0)+(COUNTIF(O508:Q525,$B537)+COUNTIF(O508:Q525,$B537&amp;" ~*")&gt;0)+(COUNTIF(S508:U525,$B537)+COUNTIF(S508:U525,$B537&amp;" ~*")&gt;0)+(COUNTIF(W508:W525,$B537)+COUNTIF(W508:W525,$B537&amp;" ~*")&gt;0)+(COUNTIF(Y508:Y525,$B537)+COUNTIF(Y508:Y525,$B537&amp;" ~*")&gt;0))</f>
        <v/>
      </c>
      <c r="AC537" s="36">
        <f>IF($B537="","",(IFERROR(INDEX(Setup!$G$33:$G$40,MATCH(C537,Setup!$B$33:$B$40,0)),0)=1)*(COUNTIF(C508:E525,$B537)+COUNTIF(C508:E525,$B537&amp;" ~*")&gt;0)+(IFERROR(INDEX(Setup!$G$33:$G$40,MATCH(G537,Setup!$B$33:$B$40,0)),0)=1)*(COUNTIF(G508:I525,$B537)+COUNTIF(G508:I525,$B537&amp;" ~*")&gt;0)+(IFERROR(INDEX(Setup!$G$33:$G$40,MATCH(K537,Setup!$B$33:$B$40,0)),0)=1)*(COUNTIF(K508:M525,$B537)+COUNTIF(K508:M525,$B537&amp;" ~*")&gt;0)+(IFERROR(INDEX(Setup!$G$33:$G$40,MATCH(O537,Setup!$B$33:$B$40,0)),0)=1)*(COUNTIF(O508:Q525,$B537)+COUNTIF(O508:Q525,$B537&amp;" ~*")&gt;0)+(IFERROR(INDEX(Setup!$G$33:$G$40,MATCH(S537,Setup!$B$33:$B$40,0)),0)=1)*(COUNTIF(S508:U525,$B537)+COUNTIF(S508:U525,$B537&amp;" ~*")&gt;0)+(IFERROR(INDEX(Setup!$G$33:$G$40,MATCH(W537,Setup!$B$33:$B$40,0)),0)=1)*(COUNTIF(W508:W525,$B537)+COUNTIF(W508:W525,$B537&amp;" ~*")&gt;0)+(IFERROR(INDEX(Setup!$G$33:$G$40,MATCH(Y537,Setup!$B$33:$B$40,0)),0)=1)*(COUNTIF(Y508:Y525,$B537)+COUNTIF(Y508:Y525,$B537&amp;" ~*")&gt;0))</f>
        <v/>
      </c>
    </row>
    <row r="538" ht="15" customHeight="1">
      <c r="A538" t="n">
        <v>11</v>
      </c>
      <c r="B538" s="37">
        <f>IF(Setup!$B$17="","",Setup!$B$17)</f>
        <v/>
      </c>
      <c r="C538" s="102" t="n"/>
      <c r="D538" s="103" t="n"/>
      <c r="E538" s="103" t="n"/>
      <c r="F538" s="104" t="n"/>
      <c r="G538" s="102" t="n"/>
      <c r="H538" s="103" t="n"/>
      <c r="I538" s="103" t="n"/>
      <c r="J538" s="104" t="n"/>
      <c r="K538" s="102" t="n"/>
      <c r="L538" s="103" t="n"/>
      <c r="M538" s="103" t="n"/>
      <c r="N538" s="104" t="n"/>
      <c r="O538" s="102" t="n"/>
      <c r="P538" s="103" t="n"/>
      <c r="Q538" s="103" t="n"/>
      <c r="R538" s="104" t="n"/>
      <c r="S538" s="102" t="n"/>
      <c r="T538" s="103" t="n"/>
      <c r="U538" s="103" t="n"/>
      <c r="V538" s="104" t="n"/>
      <c r="W538" s="102" t="n"/>
      <c r="X538" s="104" t="n"/>
      <c r="Y538" s="102" t="n"/>
      <c r="Z538" s="104" t="n"/>
      <c r="AB538" s="105">
        <f>IF($B538="","",(COUNTIF(C508:E525,$B538)+COUNTIF(C508:E525,$B538&amp;" ~*")&gt;0)+(COUNTIF(G508:I525,$B538)+COUNTIF(G508:I525,$B538&amp;" ~*")&gt;0)+(COUNTIF(K508:M525,$B538)+COUNTIF(K508:M525,$B538&amp;" ~*")&gt;0)+(COUNTIF(O508:Q525,$B538)+COUNTIF(O508:Q525,$B538&amp;" ~*")&gt;0)+(COUNTIF(S508:U525,$B538)+COUNTIF(S508:U525,$B538&amp;" ~*")&gt;0)+(COUNTIF(W508:W525,$B538)+COUNTIF(W508:W525,$B538&amp;" ~*")&gt;0)+(COUNTIF(Y508:Y525,$B538)+COUNTIF(Y508:Y525,$B538&amp;" ~*")&gt;0))</f>
        <v/>
      </c>
      <c r="AC538" s="38">
        <f>IF($B538="","",(IFERROR(INDEX(Setup!$G$33:$G$40,MATCH(C538,Setup!$B$33:$B$40,0)),0)=1)*(COUNTIF(C508:E525,$B538)+COUNTIF(C508:E525,$B538&amp;" ~*")&gt;0)+(IFERROR(INDEX(Setup!$G$33:$G$40,MATCH(G538,Setup!$B$33:$B$40,0)),0)=1)*(COUNTIF(G508:I525,$B538)+COUNTIF(G508:I525,$B538&amp;" ~*")&gt;0)+(IFERROR(INDEX(Setup!$G$33:$G$40,MATCH(K538,Setup!$B$33:$B$40,0)),0)=1)*(COUNTIF(K508:M525,$B538)+COUNTIF(K508:M525,$B538&amp;" ~*")&gt;0)+(IFERROR(INDEX(Setup!$G$33:$G$40,MATCH(O538,Setup!$B$33:$B$40,0)),0)=1)*(COUNTIF(O508:Q525,$B538)+COUNTIF(O508:Q525,$B538&amp;" ~*")&gt;0)+(IFERROR(INDEX(Setup!$G$33:$G$40,MATCH(S538,Setup!$B$33:$B$40,0)),0)=1)*(COUNTIF(S508:U525,$B538)+COUNTIF(S508:U525,$B538&amp;" ~*")&gt;0)+(IFERROR(INDEX(Setup!$G$33:$G$40,MATCH(W538,Setup!$B$33:$B$40,0)),0)=1)*(COUNTIF(W508:W525,$B538)+COUNTIF(W508:W525,$B538&amp;" ~*")&gt;0)+(IFERROR(INDEX(Setup!$G$33:$G$40,MATCH(Y538,Setup!$B$33:$B$40,0)),0)=1)*(COUNTIF(Y508:Y525,$B538)+COUNTIF(Y508:Y525,$B538&amp;" ~*")&gt;0))</f>
        <v/>
      </c>
    </row>
    <row r="539" ht="15" customHeight="1">
      <c r="A539" t="n">
        <v>11</v>
      </c>
      <c r="B539" s="35">
        <f>IF(Setup!$B$18="","",Setup!$B$18)</f>
        <v/>
      </c>
      <c r="C539" s="98" t="n"/>
      <c r="D539" s="99" t="n"/>
      <c r="E539" s="99" t="n"/>
      <c r="F539" s="100" t="n"/>
      <c r="G539" s="98" t="n"/>
      <c r="H539" s="99" t="n"/>
      <c r="I539" s="99" t="n"/>
      <c r="J539" s="100" t="n"/>
      <c r="K539" s="98" t="n"/>
      <c r="L539" s="99" t="n"/>
      <c r="M539" s="99" t="n"/>
      <c r="N539" s="100" t="n"/>
      <c r="O539" s="98" t="n"/>
      <c r="P539" s="99" t="n"/>
      <c r="Q539" s="99" t="n"/>
      <c r="R539" s="100" t="n"/>
      <c r="S539" s="98" t="n"/>
      <c r="T539" s="99" t="n"/>
      <c r="U539" s="99" t="n"/>
      <c r="V539" s="100" t="n"/>
      <c r="W539" s="98" t="n"/>
      <c r="X539" s="100" t="n"/>
      <c r="Y539" s="98" t="n"/>
      <c r="Z539" s="100" t="n"/>
      <c r="AB539" s="101">
        <f>IF($B539="","",(COUNTIF(C508:E525,$B539)+COUNTIF(C508:E525,$B539&amp;" ~*")&gt;0)+(COUNTIF(G508:I525,$B539)+COUNTIF(G508:I525,$B539&amp;" ~*")&gt;0)+(COUNTIF(K508:M525,$B539)+COUNTIF(K508:M525,$B539&amp;" ~*")&gt;0)+(COUNTIF(O508:Q525,$B539)+COUNTIF(O508:Q525,$B539&amp;" ~*")&gt;0)+(COUNTIF(S508:U525,$B539)+COUNTIF(S508:U525,$B539&amp;" ~*")&gt;0)+(COUNTIF(W508:W525,$B539)+COUNTIF(W508:W525,$B539&amp;" ~*")&gt;0)+(COUNTIF(Y508:Y525,$B539)+COUNTIF(Y508:Y525,$B539&amp;" ~*")&gt;0))</f>
        <v/>
      </c>
      <c r="AC539" s="36">
        <f>IF($B539="","",(IFERROR(INDEX(Setup!$G$33:$G$40,MATCH(C539,Setup!$B$33:$B$40,0)),0)=1)*(COUNTIF(C508:E525,$B539)+COUNTIF(C508:E525,$B539&amp;" ~*")&gt;0)+(IFERROR(INDEX(Setup!$G$33:$G$40,MATCH(G539,Setup!$B$33:$B$40,0)),0)=1)*(COUNTIF(G508:I525,$B539)+COUNTIF(G508:I525,$B539&amp;" ~*")&gt;0)+(IFERROR(INDEX(Setup!$G$33:$G$40,MATCH(K539,Setup!$B$33:$B$40,0)),0)=1)*(COUNTIF(K508:M525,$B539)+COUNTIF(K508:M525,$B539&amp;" ~*")&gt;0)+(IFERROR(INDEX(Setup!$G$33:$G$40,MATCH(O539,Setup!$B$33:$B$40,0)),0)=1)*(COUNTIF(O508:Q525,$B539)+COUNTIF(O508:Q525,$B539&amp;" ~*")&gt;0)+(IFERROR(INDEX(Setup!$G$33:$G$40,MATCH(S539,Setup!$B$33:$B$40,0)),0)=1)*(COUNTIF(S508:U525,$B539)+COUNTIF(S508:U525,$B539&amp;" ~*")&gt;0)+(IFERROR(INDEX(Setup!$G$33:$G$40,MATCH(W539,Setup!$B$33:$B$40,0)),0)=1)*(COUNTIF(W508:W525,$B539)+COUNTIF(W508:W525,$B539&amp;" ~*")&gt;0)+(IFERROR(INDEX(Setup!$G$33:$G$40,MATCH(Y539,Setup!$B$33:$B$40,0)),0)=1)*(COUNTIF(Y508:Y525,$B539)+COUNTIF(Y508:Y525,$B539&amp;" ~*")&gt;0))</f>
        <v/>
      </c>
    </row>
    <row r="540" ht="15" customHeight="1">
      <c r="A540" t="n">
        <v>11</v>
      </c>
      <c r="B540" s="37">
        <f>IF(Setup!$B$19="","",Setup!$B$19)</f>
        <v/>
      </c>
      <c r="C540" s="102" t="n"/>
      <c r="D540" s="103" t="n"/>
      <c r="E540" s="103" t="n"/>
      <c r="F540" s="104" t="n"/>
      <c r="G540" s="102" t="n"/>
      <c r="H540" s="103" t="n"/>
      <c r="I540" s="103" t="n"/>
      <c r="J540" s="104" t="n"/>
      <c r="K540" s="102" t="n"/>
      <c r="L540" s="103" t="n"/>
      <c r="M540" s="103" t="n"/>
      <c r="N540" s="104" t="n"/>
      <c r="O540" s="102" t="n"/>
      <c r="P540" s="103" t="n"/>
      <c r="Q540" s="103" t="n"/>
      <c r="R540" s="104" t="n"/>
      <c r="S540" s="102" t="n"/>
      <c r="T540" s="103" t="n"/>
      <c r="U540" s="103" t="n"/>
      <c r="V540" s="104" t="n"/>
      <c r="W540" s="102" t="n"/>
      <c r="X540" s="104" t="n"/>
      <c r="Y540" s="102" t="n"/>
      <c r="Z540" s="104" t="n"/>
      <c r="AB540" s="105">
        <f>IF($B540="","",(COUNTIF(C508:E525,$B540)+COUNTIF(C508:E525,$B540&amp;" ~*")&gt;0)+(COUNTIF(G508:I525,$B540)+COUNTIF(G508:I525,$B540&amp;" ~*")&gt;0)+(COUNTIF(K508:M525,$B540)+COUNTIF(K508:M525,$B540&amp;" ~*")&gt;0)+(COUNTIF(O508:Q525,$B540)+COUNTIF(O508:Q525,$B540&amp;" ~*")&gt;0)+(COUNTIF(S508:U525,$B540)+COUNTIF(S508:U525,$B540&amp;" ~*")&gt;0)+(COUNTIF(W508:W525,$B540)+COUNTIF(W508:W525,$B540&amp;" ~*")&gt;0)+(COUNTIF(Y508:Y525,$B540)+COUNTIF(Y508:Y525,$B540&amp;" ~*")&gt;0))</f>
        <v/>
      </c>
      <c r="AC540" s="38">
        <f>IF($B540="","",(IFERROR(INDEX(Setup!$G$33:$G$40,MATCH(C540,Setup!$B$33:$B$40,0)),0)=1)*(COUNTIF(C508:E525,$B540)+COUNTIF(C508:E525,$B540&amp;" ~*")&gt;0)+(IFERROR(INDEX(Setup!$G$33:$G$40,MATCH(G540,Setup!$B$33:$B$40,0)),0)=1)*(COUNTIF(G508:I525,$B540)+COUNTIF(G508:I525,$B540&amp;" ~*")&gt;0)+(IFERROR(INDEX(Setup!$G$33:$G$40,MATCH(K540,Setup!$B$33:$B$40,0)),0)=1)*(COUNTIF(K508:M525,$B540)+COUNTIF(K508:M525,$B540&amp;" ~*")&gt;0)+(IFERROR(INDEX(Setup!$G$33:$G$40,MATCH(O540,Setup!$B$33:$B$40,0)),0)=1)*(COUNTIF(O508:Q525,$B540)+COUNTIF(O508:Q525,$B540&amp;" ~*")&gt;0)+(IFERROR(INDEX(Setup!$G$33:$G$40,MATCH(S540,Setup!$B$33:$B$40,0)),0)=1)*(COUNTIF(S508:U525,$B540)+COUNTIF(S508:U525,$B540&amp;" ~*")&gt;0)+(IFERROR(INDEX(Setup!$G$33:$G$40,MATCH(W540,Setup!$B$33:$B$40,0)),0)=1)*(COUNTIF(W508:W525,$B540)+COUNTIF(W508:W525,$B540&amp;" ~*")&gt;0)+(IFERROR(INDEX(Setup!$G$33:$G$40,MATCH(Y540,Setup!$B$33:$B$40,0)),0)=1)*(COUNTIF(Y508:Y525,$B540)+COUNTIF(Y508:Y525,$B540&amp;" ~*")&gt;0))</f>
        <v/>
      </c>
    </row>
    <row r="541" ht="15" customHeight="1">
      <c r="A541" t="n">
        <v>11</v>
      </c>
      <c r="B541" s="35">
        <f>IF(Setup!$B$20="","",Setup!$B$20)</f>
        <v/>
      </c>
      <c r="C541" s="98" t="n"/>
      <c r="D541" s="99" t="n"/>
      <c r="E541" s="99" t="n"/>
      <c r="F541" s="100" t="n"/>
      <c r="G541" s="98" t="n"/>
      <c r="H541" s="99" t="n"/>
      <c r="I541" s="99" t="n"/>
      <c r="J541" s="100" t="n"/>
      <c r="K541" s="98" t="n"/>
      <c r="L541" s="99" t="n"/>
      <c r="M541" s="99" t="n"/>
      <c r="N541" s="100" t="n"/>
      <c r="O541" s="98" t="n"/>
      <c r="P541" s="99" t="n"/>
      <c r="Q541" s="99" t="n"/>
      <c r="R541" s="100" t="n"/>
      <c r="S541" s="98" t="n"/>
      <c r="T541" s="99" t="n"/>
      <c r="U541" s="99" t="n"/>
      <c r="V541" s="100" t="n"/>
      <c r="W541" s="98" t="n"/>
      <c r="X541" s="100" t="n"/>
      <c r="Y541" s="98" t="n"/>
      <c r="Z541" s="100" t="n"/>
      <c r="AB541" s="101">
        <f>IF($B541="","",(COUNTIF(C508:E525,$B541)+COUNTIF(C508:E525,$B541&amp;" ~*")&gt;0)+(COUNTIF(G508:I525,$B541)+COUNTIF(G508:I525,$B541&amp;" ~*")&gt;0)+(COUNTIF(K508:M525,$B541)+COUNTIF(K508:M525,$B541&amp;" ~*")&gt;0)+(COUNTIF(O508:Q525,$B541)+COUNTIF(O508:Q525,$B541&amp;" ~*")&gt;0)+(COUNTIF(S508:U525,$B541)+COUNTIF(S508:U525,$B541&amp;" ~*")&gt;0)+(COUNTIF(W508:W525,$B541)+COUNTIF(W508:W525,$B541&amp;" ~*")&gt;0)+(COUNTIF(Y508:Y525,$B541)+COUNTIF(Y508:Y525,$B541&amp;" ~*")&gt;0))</f>
        <v/>
      </c>
      <c r="AC541" s="36">
        <f>IF($B541="","",(IFERROR(INDEX(Setup!$G$33:$G$40,MATCH(C541,Setup!$B$33:$B$40,0)),0)=1)*(COUNTIF(C508:E525,$B541)+COUNTIF(C508:E525,$B541&amp;" ~*")&gt;0)+(IFERROR(INDEX(Setup!$G$33:$G$40,MATCH(G541,Setup!$B$33:$B$40,0)),0)=1)*(COUNTIF(G508:I525,$B541)+COUNTIF(G508:I525,$B541&amp;" ~*")&gt;0)+(IFERROR(INDEX(Setup!$G$33:$G$40,MATCH(K541,Setup!$B$33:$B$40,0)),0)=1)*(COUNTIF(K508:M525,$B541)+COUNTIF(K508:M525,$B541&amp;" ~*")&gt;0)+(IFERROR(INDEX(Setup!$G$33:$G$40,MATCH(O541,Setup!$B$33:$B$40,0)),0)=1)*(COUNTIF(O508:Q525,$B541)+COUNTIF(O508:Q525,$B541&amp;" ~*")&gt;0)+(IFERROR(INDEX(Setup!$G$33:$G$40,MATCH(S541,Setup!$B$33:$B$40,0)),0)=1)*(COUNTIF(S508:U525,$B541)+COUNTIF(S508:U525,$B541&amp;" ~*")&gt;0)+(IFERROR(INDEX(Setup!$G$33:$G$40,MATCH(W541,Setup!$B$33:$B$40,0)),0)=1)*(COUNTIF(W508:W525,$B541)+COUNTIF(W508:W525,$B541&amp;" ~*")&gt;0)+(IFERROR(INDEX(Setup!$G$33:$G$40,MATCH(Y541,Setup!$B$33:$B$40,0)),0)=1)*(COUNTIF(Y508:Y525,$B541)+COUNTIF(Y508:Y525,$B541&amp;" ~*")&gt;0))</f>
        <v/>
      </c>
    </row>
    <row r="542" ht="15" customHeight="1">
      <c r="A542" t="n">
        <v>11</v>
      </c>
      <c r="B542" s="37">
        <f>IF(Setup!$B$21="","",Setup!$B$21)</f>
        <v/>
      </c>
      <c r="C542" s="102" t="inlineStr">
        <is>
          <t>AL</t>
        </is>
      </c>
      <c r="D542" s="103" t="n"/>
      <c r="E542" s="103" t="n"/>
      <c r="F542" s="104" t="n"/>
      <c r="G542" s="102" t="inlineStr">
        <is>
          <t>AL</t>
        </is>
      </c>
      <c r="H542" s="103" t="n"/>
      <c r="I542" s="103" t="n"/>
      <c r="J542" s="104" t="n"/>
      <c r="K542" s="102" t="inlineStr">
        <is>
          <t>AL</t>
        </is>
      </c>
      <c r="L542" s="103" t="n"/>
      <c r="M542" s="103" t="n"/>
      <c r="N542" s="104" t="n"/>
      <c r="O542" s="102" t="inlineStr">
        <is>
          <t>AL</t>
        </is>
      </c>
      <c r="P542" s="103" t="n"/>
      <c r="Q542" s="103" t="n"/>
      <c r="R542" s="104" t="n"/>
      <c r="S542" s="102" t="n"/>
      <c r="T542" s="103" t="n"/>
      <c r="U542" s="103" t="n"/>
      <c r="V542" s="104" t="n"/>
      <c r="W542" s="102" t="n"/>
      <c r="X542" s="104" t="n"/>
      <c r="Y542" s="102" t="n"/>
      <c r="Z542" s="104" t="n"/>
      <c r="AB542" s="105">
        <f>IF($B542="","",(COUNTIF(C508:E525,$B542)+COUNTIF(C508:E525,$B542&amp;" ~*")&gt;0)+(COUNTIF(G508:I525,$B542)+COUNTIF(G508:I525,$B542&amp;" ~*")&gt;0)+(COUNTIF(K508:M525,$B542)+COUNTIF(K508:M525,$B542&amp;" ~*")&gt;0)+(COUNTIF(O508:Q525,$B542)+COUNTIF(O508:Q525,$B542&amp;" ~*")&gt;0)+(COUNTIF(S508:U525,$B542)+COUNTIF(S508:U525,$B542&amp;" ~*")&gt;0)+(COUNTIF(W508:W525,$B542)+COUNTIF(W508:W525,$B542&amp;" ~*")&gt;0)+(COUNTIF(Y508:Y525,$B542)+COUNTIF(Y508:Y525,$B542&amp;" ~*")&gt;0))</f>
        <v/>
      </c>
      <c r="AC542" s="38">
        <f>IF($B542="","",(IFERROR(INDEX(Setup!$G$33:$G$40,MATCH(C542,Setup!$B$33:$B$40,0)),0)=1)*(COUNTIF(C508:E525,$B542)+COUNTIF(C508:E525,$B542&amp;" ~*")&gt;0)+(IFERROR(INDEX(Setup!$G$33:$G$40,MATCH(G542,Setup!$B$33:$B$40,0)),0)=1)*(COUNTIF(G508:I525,$B542)+COUNTIF(G508:I525,$B542&amp;" ~*")&gt;0)+(IFERROR(INDEX(Setup!$G$33:$G$40,MATCH(K542,Setup!$B$33:$B$40,0)),0)=1)*(COUNTIF(K508:M525,$B542)+COUNTIF(K508:M525,$B542&amp;" ~*")&gt;0)+(IFERROR(INDEX(Setup!$G$33:$G$40,MATCH(O542,Setup!$B$33:$B$40,0)),0)=1)*(COUNTIF(O508:Q525,$B542)+COUNTIF(O508:Q525,$B542&amp;" ~*")&gt;0)+(IFERROR(INDEX(Setup!$G$33:$G$40,MATCH(S542,Setup!$B$33:$B$40,0)),0)=1)*(COUNTIF(S508:U525,$B542)+COUNTIF(S508:U525,$B542&amp;" ~*")&gt;0)+(IFERROR(INDEX(Setup!$G$33:$G$40,MATCH(W542,Setup!$B$33:$B$40,0)),0)=1)*(COUNTIF(W508:W525,$B542)+COUNTIF(W508:W525,$B542&amp;" ~*")&gt;0)+(IFERROR(INDEX(Setup!$G$33:$G$40,MATCH(Y542,Setup!$B$33:$B$40,0)),0)=1)*(COUNTIF(Y508:Y525,$B542)+COUNTIF(Y508:Y525,$B542&amp;" ~*")&gt;0))</f>
        <v/>
      </c>
    </row>
    <row r="543" ht="15" customHeight="1">
      <c r="A543" t="n">
        <v>11</v>
      </c>
      <c r="B543" s="35">
        <f>IF(Setup!$B$22="","",Setup!$B$22)</f>
        <v/>
      </c>
      <c r="C543" s="98" t="n"/>
      <c r="D543" s="99" t="n"/>
      <c r="E543" s="99" t="n"/>
      <c r="F543" s="100" t="n"/>
      <c r="G543" s="98" t="n"/>
      <c r="H543" s="99" t="n"/>
      <c r="I543" s="99" t="n"/>
      <c r="J543" s="100" t="n"/>
      <c r="K543" s="98" t="n"/>
      <c r="L543" s="99" t="n"/>
      <c r="M543" s="99" t="n"/>
      <c r="N543" s="100" t="n"/>
      <c r="O543" s="98" t="n"/>
      <c r="P543" s="99" t="n"/>
      <c r="Q543" s="99" t="n"/>
      <c r="R543" s="100" t="n"/>
      <c r="S543" s="98" t="n"/>
      <c r="T543" s="99" t="n"/>
      <c r="U543" s="99" t="n"/>
      <c r="V543" s="100" t="n"/>
      <c r="W543" s="98" t="n"/>
      <c r="X543" s="100" t="n"/>
      <c r="Y543" s="98" t="n"/>
      <c r="Z543" s="100" t="n"/>
      <c r="AB543" s="101">
        <f>IF($B543="","",(COUNTIF(C508:E525,$B543)+COUNTIF(C508:E525,$B543&amp;" ~*")&gt;0)+(COUNTIF(G508:I525,$B543)+COUNTIF(G508:I525,$B543&amp;" ~*")&gt;0)+(COUNTIF(K508:M525,$B543)+COUNTIF(K508:M525,$B543&amp;" ~*")&gt;0)+(COUNTIF(O508:Q525,$B543)+COUNTIF(O508:Q525,$B543&amp;" ~*")&gt;0)+(COUNTIF(S508:U525,$B543)+COUNTIF(S508:U525,$B543&amp;" ~*")&gt;0)+(COUNTIF(W508:W525,$B543)+COUNTIF(W508:W525,$B543&amp;" ~*")&gt;0)+(COUNTIF(Y508:Y525,$B543)+COUNTIF(Y508:Y525,$B543&amp;" ~*")&gt;0))</f>
        <v/>
      </c>
      <c r="AC543" s="36">
        <f>IF($B543="","",(IFERROR(INDEX(Setup!$G$33:$G$40,MATCH(C543,Setup!$B$33:$B$40,0)),0)=1)*(COUNTIF(C508:E525,$B543)+COUNTIF(C508:E525,$B543&amp;" ~*")&gt;0)+(IFERROR(INDEX(Setup!$G$33:$G$40,MATCH(G543,Setup!$B$33:$B$40,0)),0)=1)*(COUNTIF(G508:I525,$B543)+COUNTIF(G508:I525,$B543&amp;" ~*")&gt;0)+(IFERROR(INDEX(Setup!$G$33:$G$40,MATCH(K543,Setup!$B$33:$B$40,0)),0)=1)*(COUNTIF(K508:M525,$B543)+COUNTIF(K508:M525,$B543&amp;" ~*")&gt;0)+(IFERROR(INDEX(Setup!$G$33:$G$40,MATCH(O543,Setup!$B$33:$B$40,0)),0)=1)*(COUNTIF(O508:Q525,$B543)+COUNTIF(O508:Q525,$B543&amp;" ~*")&gt;0)+(IFERROR(INDEX(Setup!$G$33:$G$40,MATCH(S543,Setup!$B$33:$B$40,0)),0)=1)*(COUNTIF(S508:U525,$B543)+COUNTIF(S508:U525,$B543&amp;" ~*")&gt;0)+(IFERROR(INDEX(Setup!$G$33:$G$40,MATCH(W543,Setup!$B$33:$B$40,0)),0)=1)*(COUNTIF(W508:W525,$B543)+COUNTIF(W508:W525,$B543&amp;" ~*")&gt;0)+(IFERROR(INDEX(Setup!$G$33:$G$40,MATCH(Y543,Setup!$B$33:$B$40,0)),0)=1)*(COUNTIF(Y508:Y525,$B543)+COUNTIF(Y508:Y525,$B543&amp;" ~*")&gt;0))</f>
        <v/>
      </c>
    </row>
    <row r="544" ht="15" customHeight="1">
      <c r="A544" t="n">
        <v>11</v>
      </c>
      <c r="B544" s="37">
        <f>IF(Setup!$B$23="","",Setup!$B$23)</f>
        <v/>
      </c>
      <c r="C544" s="102" t="n"/>
      <c r="D544" s="103" t="n"/>
      <c r="E544" s="103" t="n"/>
      <c r="F544" s="104" t="n"/>
      <c r="G544" s="102" t="n"/>
      <c r="H544" s="103" t="n"/>
      <c r="I544" s="103" t="n"/>
      <c r="J544" s="104" t="n"/>
      <c r="K544" s="102" t="n"/>
      <c r="L544" s="103" t="n"/>
      <c r="M544" s="103" t="n"/>
      <c r="N544" s="104" t="n"/>
      <c r="O544" s="102" t="n"/>
      <c r="P544" s="103" t="n"/>
      <c r="Q544" s="103" t="n"/>
      <c r="R544" s="104" t="n"/>
      <c r="S544" s="102" t="n"/>
      <c r="T544" s="103" t="n"/>
      <c r="U544" s="103" t="n"/>
      <c r="V544" s="104" t="n"/>
      <c r="W544" s="102" t="n"/>
      <c r="X544" s="104" t="n"/>
      <c r="Y544" s="102" t="n"/>
      <c r="Z544" s="104" t="n"/>
      <c r="AB544" s="105">
        <f>IF($B544="","",(COUNTIF(C508:E525,$B544)+COUNTIF(C508:E525,$B544&amp;" ~*")&gt;0)+(COUNTIF(G508:I525,$B544)+COUNTIF(G508:I525,$B544&amp;" ~*")&gt;0)+(COUNTIF(K508:M525,$B544)+COUNTIF(K508:M525,$B544&amp;" ~*")&gt;0)+(COUNTIF(O508:Q525,$B544)+COUNTIF(O508:Q525,$B544&amp;" ~*")&gt;0)+(COUNTIF(S508:U525,$B544)+COUNTIF(S508:U525,$B544&amp;" ~*")&gt;0)+(COUNTIF(W508:W525,$B544)+COUNTIF(W508:W525,$B544&amp;" ~*")&gt;0)+(COUNTIF(Y508:Y525,$B544)+COUNTIF(Y508:Y525,$B544&amp;" ~*")&gt;0))</f>
        <v/>
      </c>
      <c r="AC544" s="38">
        <f>IF($B544="","",(IFERROR(INDEX(Setup!$G$33:$G$40,MATCH(C544,Setup!$B$33:$B$40,0)),0)=1)*(COUNTIF(C508:E525,$B544)+COUNTIF(C508:E525,$B544&amp;" ~*")&gt;0)+(IFERROR(INDEX(Setup!$G$33:$G$40,MATCH(G544,Setup!$B$33:$B$40,0)),0)=1)*(COUNTIF(G508:I525,$B544)+COUNTIF(G508:I525,$B544&amp;" ~*")&gt;0)+(IFERROR(INDEX(Setup!$G$33:$G$40,MATCH(K544,Setup!$B$33:$B$40,0)),0)=1)*(COUNTIF(K508:M525,$B544)+COUNTIF(K508:M525,$B544&amp;" ~*")&gt;0)+(IFERROR(INDEX(Setup!$G$33:$G$40,MATCH(O544,Setup!$B$33:$B$40,0)),0)=1)*(COUNTIF(O508:Q525,$B544)+COUNTIF(O508:Q525,$B544&amp;" ~*")&gt;0)+(IFERROR(INDEX(Setup!$G$33:$G$40,MATCH(S544,Setup!$B$33:$B$40,0)),0)=1)*(COUNTIF(S508:U525,$B544)+COUNTIF(S508:U525,$B544&amp;" ~*")&gt;0)+(IFERROR(INDEX(Setup!$G$33:$G$40,MATCH(W544,Setup!$B$33:$B$40,0)),0)=1)*(COUNTIF(W508:W525,$B544)+COUNTIF(W508:W525,$B544&amp;" ~*")&gt;0)+(IFERROR(INDEX(Setup!$G$33:$G$40,MATCH(Y544,Setup!$B$33:$B$40,0)),0)=1)*(COUNTIF(Y508:Y525,$B544)+COUNTIF(Y508:Y525,$B544&amp;" ~*")&gt;0))</f>
        <v/>
      </c>
    </row>
    <row r="545" ht="15" customHeight="1">
      <c r="A545" t="n">
        <v>11</v>
      </c>
      <c r="B545" s="35">
        <f>IF(Setup!$B$24="","",Setup!$B$24)</f>
        <v/>
      </c>
      <c r="C545" s="98" t="n"/>
      <c r="D545" s="99" t="n"/>
      <c r="E545" s="99" t="n"/>
      <c r="F545" s="100" t="n"/>
      <c r="G545" s="98" t="n"/>
      <c r="H545" s="99" t="n"/>
      <c r="I545" s="99" t="n"/>
      <c r="J545" s="100" t="n"/>
      <c r="K545" s="98" t="n"/>
      <c r="L545" s="99" t="n"/>
      <c r="M545" s="99" t="n"/>
      <c r="N545" s="100" t="n"/>
      <c r="O545" s="98" t="n"/>
      <c r="P545" s="99" t="n"/>
      <c r="Q545" s="99" t="n"/>
      <c r="R545" s="100" t="n"/>
      <c r="S545" s="98" t="n"/>
      <c r="T545" s="99" t="n"/>
      <c r="U545" s="99" t="n"/>
      <c r="V545" s="100" t="n"/>
      <c r="W545" s="98" t="n"/>
      <c r="X545" s="100" t="n"/>
      <c r="Y545" s="98" t="n"/>
      <c r="Z545" s="100" t="n"/>
      <c r="AB545" s="101">
        <f>IF($B545="","",(COUNTIF(C508:E525,$B545)+COUNTIF(C508:E525,$B545&amp;" ~*")&gt;0)+(COUNTIF(G508:I525,$B545)+COUNTIF(G508:I525,$B545&amp;" ~*")&gt;0)+(COUNTIF(K508:M525,$B545)+COUNTIF(K508:M525,$B545&amp;" ~*")&gt;0)+(COUNTIF(O508:Q525,$B545)+COUNTIF(O508:Q525,$B545&amp;" ~*")&gt;0)+(COUNTIF(S508:U525,$B545)+COUNTIF(S508:U525,$B545&amp;" ~*")&gt;0)+(COUNTIF(W508:W525,$B545)+COUNTIF(W508:W525,$B545&amp;" ~*")&gt;0)+(COUNTIF(Y508:Y525,$B545)+COUNTIF(Y508:Y525,$B545&amp;" ~*")&gt;0))</f>
        <v/>
      </c>
      <c r="AC545" s="36">
        <f>IF($B545="","",(IFERROR(INDEX(Setup!$G$33:$G$40,MATCH(C545,Setup!$B$33:$B$40,0)),0)=1)*(COUNTIF(C508:E525,$B545)+COUNTIF(C508:E525,$B545&amp;" ~*")&gt;0)+(IFERROR(INDEX(Setup!$G$33:$G$40,MATCH(G545,Setup!$B$33:$B$40,0)),0)=1)*(COUNTIF(G508:I525,$B545)+COUNTIF(G508:I525,$B545&amp;" ~*")&gt;0)+(IFERROR(INDEX(Setup!$G$33:$G$40,MATCH(K545,Setup!$B$33:$B$40,0)),0)=1)*(COUNTIF(K508:M525,$B545)+COUNTIF(K508:M525,$B545&amp;" ~*")&gt;0)+(IFERROR(INDEX(Setup!$G$33:$G$40,MATCH(O545,Setup!$B$33:$B$40,0)),0)=1)*(COUNTIF(O508:Q525,$B545)+COUNTIF(O508:Q525,$B545&amp;" ~*")&gt;0)+(IFERROR(INDEX(Setup!$G$33:$G$40,MATCH(S545,Setup!$B$33:$B$40,0)),0)=1)*(COUNTIF(S508:U525,$B545)+COUNTIF(S508:U525,$B545&amp;" ~*")&gt;0)+(IFERROR(INDEX(Setup!$G$33:$G$40,MATCH(W545,Setup!$B$33:$B$40,0)),0)=1)*(COUNTIF(W508:W525,$B545)+COUNTIF(W508:W525,$B545&amp;" ~*")&gt;0)+(IFERROR(INDEX(Setup!$G$33:$G$40,MATCH(Y545,Setup!$B$33:$B$40,0)),0)=1)*(COUNTIF(Y508:Y525,$B545)+COUNTIF(Y508:Y525,$B545&amp;" ~*")&gt;0))</f>
        <v/>
      </c>
    </row>
    <row r="546" ht="15" customHeight="1">
      <c r="A546" t="n">
        <v>11</v>
      </c>
      <c r="B546" s="37">
        <f>IF(Setup!$B$25="","",Setup!$B$25)</f>
        <v/>
      </c>
      <c r="C546" s="102" t="n"/>
      <c r="D546" s="103" t="n"/>
      <c r="E546" s="103" t="n"/>
      <c r="F546" s="104" t="n"/>
      <c r="G546" s="102" t="n"/>
      <c r="H546" s="103" t="n"/>
      <c r="I546" s="103" t="n"/>
      <c r="J546" s="104" t="n"/>
      <c r="K546" s="102" t="n"/>
      <c r="L546" s="103" t="n"/>
      <c r="M546" s="103" t="n"/>
      <c r="N546" s="104" t="n"/>
      <c r="O546" s="102" t="n"/>
      <c r="P546" s="103" t="n"/>
      <c r="Q546" s="103" t="n"/>
      <c r="R546" s="104" t="n"/>
      <c r="S546" s="102" t="n"/>
      <c r="T546" s="103" t="n"/>
      <c r="U546" s="103" t="n"/>
      <c r="V546" s="104" t="n"/>
      <c r="W546" s="102" t="n"/>
      <c r="X546" s="104" t="n"/>
      <c r="Y546" s="102" t="n"/>
      <c r="Z546" s="104" t="n"/>
      <c r="AB546" s="105">
        <f>IF($B546="","",(COUNTIF(C508:E525,$B546)+COUNTIF(C508:E525,$B546&amp;" ~*")&gt;0)+(COUNTIF(G508:I525,$B546)+COUNTIF(G508:I525,$B546&amp;" ~*")&gt;0)+(COUNTIF(K508:M525,$B546)+COUNTIF(K508:M525,$B546&amp;" ~*")&gt;0)+(COUNTIF(O508:Q525,$B546)+COUNTIF(O508:Q525,$B546&amp;" ~*")&gt;0)+(COUNTIF(S508:U525,$B546)+COUNTIF(S508:U525,$B546&amp;" ~*")&gt;0)+(COUNTIF(W508:W525,$B546)+COUNTIF(W508:W525,$B546&amp;" ~*")&gt;0)+(COUNTIF(Y508:Y525,$B546)+COUNTIF(Y508:Y525,$B546&amp;" ~*")&gt;0))</f>
        <v/>
      </c>
      <c r="AC546" s="38">
        <f>IF($B546="","",(IFERROR(INDEX(Setup!$G$33:$G$40,MATCH(C546,Setup!$B$33:$B$40,0)),0)=1)*(COUNTIF(C508:E525,$B546)+COUNTIF(C508:E525,$B546&amp;" ~*")&gt;0)+(IFERROR(INDEX(Setup!$G$33:$G$40,MATCH(G546,Setup!$B$33:$B$40,0)),0)=1)*(COUNTIF(G508:I525,$B546)+COUNTIF(G508:I525,$B546&amp;" ~*")&gt;0)+(IFERROR(INDEX(Setup!$G$33:$G$40,MATCH(K546,Setup!$B$33:$B$40,0)),0)=1)*(COUNTIF(K508:M525,$B546)+COUNTIF(K508:M525,$B546&amp;" ~*")&gt;0)+(IFERROR(INDEX(Setup!$G$33:$G$40,MATCH(O546,Setup!$B$33:$B$40,0)),0)=1)*(COUNTIF(O508:Q525,$B546)+COUNTIF(O508:Q525,$B546&amp;" ~*")&gt;0)+(IFERROR(INDEX(Setup!$G$33:$G$40,MATCH(S546,Setup!$B$33:$B$40,0)),0)=1)*(COUNTIF(S508:U525,$B546)+COUNTIF(S508:U525,$B546&amp;" ~*")&gt;0)+(IFERROR(INDEX(Setup!$G$33:$G$40,MATCH(W546,Setup!$B$33:$B$40,0)),0)=1)*(COUNTIF(W508:W525,$B546)+COUNTIF(W508:W525,$B546&amp;" ~*")&gt;0)+(IFERROR(INDEX(Setup!$G$33:$G$40,MATCH(Y546,Setup!$B$33:$B$40,0)),0)=1)*(COUNTIF(Y508:Y525,$B546)+COUNTIF(Y508:Y525,$B546&amp;" ~*")&gt;0))</f>
        <v/>
      </c>
    </row>
    <row r="547" ht="15" customHeight="1">
      <c r="A547" t="n">
        <v>11</v>
      </c>
      <c r="B547" s="35">
        <f>IF(Setup!$B$26="","",Setup!$B$26)</f>
        <v/>
      </c>
      <c r="C547" s="98" t="n"/>
      <c r="D547" s="99" t="n"/>
      <c r="E547" s="99" t="n"/>
      <c r="F547" s="100" t="n"/>
      <c r="G547" s="98" t="n"/>
      <c r="H547" s="99" t="n"/>
      <c r="I547" s="99" t="n"/>
      <c r="J547" s="100" t="n"/>
      <c r="K547" s="98" t="n"/>
      <c r="L547" s="99" t="n"/>
      <c r="M547" s="99" t="n"/>
      <c r="N547" s="100" t="n"/>
      <c r="O547" s="98" t="n"/>
      <c r="P547" s="99" t="n"/>
      <c r="Q547" s="99" t="n"/>
      <c r="R547" s="100" t="n"/>
      <c r="S547" s="98" t="n"/>
      <c r="T547" s="99" t="n"/>
      <c r="U547" s="99" t="n"/>
      <c r="V547" s="100" t="n"/>
      <c r="W547" s="98" t="n"/>
      <c r="X547" s="100" t="n"/>
      <c r="Y547" s="98" t="n"/>
      <c r="Z547" s="100" t="n"/>
      <c r="AB547" s="101">
        <f>IF($B547="","",(COUNTIF(C508:E525,$B547)+COUNTIF(C508:E525,$B547&amp;" ~*")&gt;0)+(COUNTIF(G508:I525,$B547)+COUNTIF(G508:I525,$B547&amp;" ~*")&gt;0)+(COUNTIF(K508:M525,$B547)+COUNTIF(K508:M525,$B547&amp;" ~*")&gt;0)+(COUNTIF(O508:Q525,$B547)+COUNTIF(O508:Q525,$B547&amp;" ~*")&gt;0)+(COUNTIF(S508:U525,$B547)+COUNTIF(S508:U525,$B547&amp;" ~*")&gt;0)+(COUNTIF(W508:W525,$B547)+COUNTIF(W508:W525,$B547&amp;" ~*")&gt;0)+(COUNTIF(Y508:Y525,$B547)+COUNTIF(Y508:Y525,$B547&amp;" ~*")&gt;0))</f>
        <v/>
      </c>
      <c r="AC547" s="36">
        <f>IF($B547="","",(IFERROR(INDEX(Setup!$G$33:$G$40,MATCH(C547,Setup!$B$33:$B$40,0)),0)=1)*(COUNTIF(C508:E525,$B547)+COUNTIF(C508:E525,$B547&amp;" ~*")&gt;0)+(IFERROR(INDEX(Setup!$G$33:$G$40,MATCH(G547,Setup!$B$33:$B$40,0)),0)=1)*(COUNTIF(G508:I525,$B547)+COUNTIF(G508:I525,$B547&amp;" ~*")&gt;0)+(IFERROR(INDEX(Setup!$G$33:$G$40,MATCH(K547,Setup!$B$33:$B$40,0)),0)=1)*(COUNTIF(K508:M525,$B547)+COUNTIF(K508:M525,$B547&amp;" ~*")&gt;0)+(IFERROR(INDEX(Setup!$G$33:$G$40,MATCH(O547,Setup!$B$33:$B$40,0)),0)=1)*(COUNTIF(O508:Q525,$B547)+COUNTIF(O508:Q525,$B547&amp;" ~*")&gt;0)+(IFERROR(INDEX(Setup!$G$33:$G$40,MATCH(S547,Setup!$B$33:$B$40,0)),0)=1)*(COUNTIF(S508:U525,$B547)+COUNTIF(S508:U525,$B547&amp;" ~*")&gt;0)+(IFERROR(INDEX(Setup!$G$33:$G$40,MATCH(W547,Setup!$B$33:$B$40,0)),0)=1)*(COUNTIF(W508:W525,$B547)+COUNTIF(W508:W525,$B547&amp;" ~*")&gt;0)+(IFERROR(INDEX(Setup!$G$33:$G$40,MATCH(Y547,Setup!$B$33:$B$40,0)),0)=1)*(COUNTIF(Y508:Y525,$B547)+COUNTIF(Y508:Y525,$B547&amp;" ~*")&gt;0))</f>
        <v/>
      </c>
    </row>
    <row r="548" ht="15" customHeight="1">
      <c r="A548" t="n">
        <v>11</v>
      </c>
      <c r="B548" s="37">
        <f>IF(Setup!$B$27="","",Setup!$B$27)</f>
        <v/>
      </c>
      <c r="C548" s="102" t="n"/>
      <c r="D548" s="103" t="n"/>
      <c r="E548" s="103" t="n"/>
      <c r="F548" s="104" t="n"/>
      <c r="G548" s="102" t="n"/>
      <c r="H548" s="103" t="n"/>
      <c r="I548" s="103" t="n"/>
      <c r="J548" s="104" t="n"/>
      <c r="K548" s="102" t="n"/>
      <c r="L548" s="103" t="n"/>
      <c r="M548" s="103" t="n"/>
      <c r="N548" s="104" t="n"/>
      <c r="O548" s="102" t="n"/>
      <c r="P548" s="103" t="n"/>
      <c r="Q548" s="103" t="n"/>
      <c r="R548" s="104" t="n"/>
      <c r="S548" s="102" t="n"/>
      <c r="T548" s="103" t="n"/>
      <c r="U548" s="103" t="n"/>
      <c r="V548" s="104" t="n"/>
      <c r="W548" s="102" t="n"/>
      <c r="X548" s="104" t="n"/>
      <c r="Y548" s="102" t="n"/>
      <c r="Z548" s="104" t="n"/>
      <c r="AB548" s="105">
        <f>IF($B548="","",(COUNTIF(C508:E525,$B548)+COUNTIF(C508:E525,$B548&amp;" ~*")&gt;0)+(COUNTIF(G508:I525,$B548)+COUNTIF(G508:I525,$B548&amp;" ~*")&gt;0)+(COUNTIF(K508:M525,$B548)+COUNTIF(K508:M525,$B548&amp;" ~*")&gt;0)+(COUNTIF(O508:Q525,$B548)+COUNTIF(O508:Q525,$B548&amp;" ~*")&gt;0)+(COUNTIF(S508:U525,$B548)+COUNTIF(S508:U525,$B548&amp;" ~*")&gt;0)+(COUNTIF(W508:W525,$B548)+COUNTIF(W508:W525,$B548&amp;" ~*")&gt;0)+(COUNTIF(Y508:Y525,$B548)+COUNTIF(Y508:Y525,$B548&amp;" ~*")&gt;0))</f>
        <v/>
      </c>
      <c r="AC548" s="38">
        <f>IF($B548="","",(IFERROR(INDEX(Setup!$G$33:$G$40,MATCH(C548,Setup!$B$33:$B$40,0)),0)=1)*(COUNTIF(C508:E525,$B548)+COUNTIF(C508:E525,$B548&amp;" ~*")&gt;0)+(IFERROR(INDEX(Setup!$G$33:$G$40,MATCH(G548,Setup!$B$33:$B$40,0)),0)=1)*(COUNTIF(G508:I525,$B548)+COUNTIF(G508:I525,$B548&amp;" ~*")&gt;0)+(IFERROR(INDEX(Setup!$G$33:$G$40,MATCH(K548,Setup!$B$33:$B$40,0)),0)=1)*(COUNTIF(K508:M525,$B548)+COUNTIF(K508:M525,$B548&amp;" ~*")&gt;0)+(IFERROR(INDEX(Setup!$G$33:$G$40,MATCH(O548,Setup!$B$33:$B$40,0)),0)=1)*(COUNTIF(O508:Q525,$B548)+COUNTIF(O508:Q525,$B548&amp;" ~*")&gt;0)+(IFERROR(INDEX(Setup!$G$33:$G$40,MATCH(S548,Setup!$B$33:$B$40,0)),0)=1)*(COUNTIF(S508:U525,$B548)+COUNTIF(S508:U525,$B548&amp;" ~*")&gt;0)+(IFERROR(INDEX(Setup!$G$33:$G$40,MATCH(W548,Setup!$B$33:$B$40,0)),0)=1)*(COUNTIF(W508:W525,$B548)+COUNTIF(W508:W525,$B548&amp;" ~*")&gt;0)+(IFERROR(INDEX(Setup!$G$33:$G$40,MATCH(Y548,Setup!$B$33:$B$40,0)),0)=1)*(COUNTIF(Y508:Y525,$B548)+COUNTIF(Y508:Y525,$B548&amp;" ~*")&gt;0))</f>
        <v/>
      </c>
    </row>
    <row r="549" ht="15" customHeight="1">
      <c r="A549" t="n">
        <v>11</v>
      </c>
      <c r="B549" s="35">
        <f>IF(Setup!$B$28="","",Setup!$B$28)</f>
        <v/>
      </c>
      <c r="C549" s="98" t="n"/>
      <c r="D549" s="99" t="n"/>
      <c r="E549" s="99" t="n"/>
      <c r="F549" s="100" t="n"/>
      <c r="G549" s="98" t="n"/>
      <c r="H549" s="99" t="n"/>
      <c r="I549" s="99" t="n"/>
      <c r="J549" s="100" t="n"/>
      <c r="K549" s="98" t="n"/>
      <c r="L549" s="99" t="n"/>
      <c r="M549" s="99" t="n"/>
      <c r="N549" s="100" t="n"/>
      <c r="O549" s="98" t="n"/>
      <c r="P549" s="99" t="n"/>
      <c r="Q549" s="99" t="n"/>
      <c r="R549" s="100" t="n"/>
      <c r="S549" s="98" t="n"/>
      <c r="T549" s="99" t="n"/>
      <c r="U549" s="99" t="n"/>
      <c r="V549" s="100" t="n"/>
      <c r="W549" s="98" t="n"/>
      <c r="X549" s="100" t="n"/>
      <c r="Y549" s="98" t="n"/>
      <c r="Z549" s="100" t="n"/>
      <c r="AB549" s="101">
        <f>IF($B549="","",(COUNTIF(C508:E525,$B549)+COUNTIF(C508:E525,$B549&amp;" ~*")&gt;0)+(COUNTIF(G508:I525,$B549)+COUNTIF(G508:I525,$B549&amp;" ~*")&gt;0)+(COUNTIF(K508:M525,$B549)+COUNTIF(K508:M525,$B549&amp;" ~*")&gt;0)+(COUNTIF(O508:Q525,$B549)+COUNTIF(O508:Q525,$B549&amp;" ~*")&gt;0)+(COUNTIF(S508:U525,$B549)+COUNTIF(S508:U525,$B549&amp;" ~*")&gt;0)+(COUNTIF(W508:W525,$B549)+COUNTIF(W508:W525,$B549&amp;" ~*")&gt;0)+(COUNTIF(Y508:Y525,$B549)+COUNTIF(Y508:Y525,$B549&amp;" ~*")&gt;0))</f>
        <v/>
      </c>
      <c r="AC549" s="36">
        <f>IF($B549="","",(IFERROR(INDEX(Setup!$G$33:$G$40,MATCH(C549,Setup!$B$33:$B$40,0)),0)=1)*(COUNTIF(C508:E525,$B549)+COUNTIF(C508:E525,$B549&amp;" ~*")&gt;0)+(IFERROR(INDEX(Setup!$G$33:$G$40,MATCH(G549,Setup!$B$33:$B$40,0)),0)=1)*(COUNTIF(G508:I525,$B549)+COUNTIF(G508:I525,$B549&amp;" ~*")&gt;0)+(IFERROR(INDEX(Setup!$G$33:$G$40,MATCH(K549,Setup!$B$33:$B$40,0)),0)=1)*(COUNTIF(K508:M525,$B549)+COUNTIF(K508:M525,$B549&amp;" ~*")&gt;0)+(IFERROR(INDEX(Setup!$G$33:$G$40,MATCH(O549,Setup!$B$33:$B$40,0)),0)=1)*(COUNTIF(O508:Q525,$B549)+COUNTIF(O508:Q525,$B549&amp;" ~*")&gt;0)+(IFERROR(INDEX(Setup!$G$33:$G$40,MATCH(S549,Setup!$B$33:$B$40,0)),0)=1)*(COUNTIF(S508:U525,$B549)+COUNTIF(S508:U525,$B549&amp;" ~*")&gt;0)+(IFERROR(INDEX(Setup!$G$33:$G$40,MATCH(W549,Setup!$B$33:$B$40,0)),0)=1)*(COUNTIF(W508:W525,$B549)+COUNTIF(W508:W525,$B549&amp;" ~*")&gt;0)+(IFERROR(INDEX(Setup!$G$33:$G$40,MATCH(Y549,Setup!$B$33:$B$40,0)),0)=1)*(COUNTIF(Y508:Y525,$B549)+COUNTIF(Y508:Y525,$B549&amp;" ~*")&gt;0))</f>
        <v/>
      </c>
    </row>
    <row r="550" ht="15" customHeight="1">
      <c r="A550" t="n">
        <v>11</v>
      </c>
      <c r="B550" s="37">
        <f>IF(Setup!$B$29="","",Setup!$B$29)</f>
        <v/>
      </c>
      <c r="C550" s="102" t="n"/>
      <c r="D550" s="103" t="n"/>
      <c r="E550" s="103" t="n"/>
      <c r="F550" s="104" t="n"/>
      <c r="G550" s="102" t="n"/>
      <c r="H550" s="103" t="n"/>
      <c r="I550" s="103" t="n"/>
      <c r="J550" s="104" t="n"/>
      <c r="K550" s="102" t="n"/>
      <c r="L550" s="103" t="n"/>
      <c r="M550" s="103" t="n"/>
      <c r="N550" s="104" t="n"/>
      <c r="O550" s="102" t="n"/>
      <c r="P550" s="103" t="n"/>
      <c r="Q550" s="103" t="n"/>
      <c r="R550" s="104" t="n"/>
      <c r="S550" s="102" t="n"/>
      <c r="T550" s="103" t="n"/>
      <c r="U550" s="103" t="n"/>
      <c r="V550" s="104" t="n"/>
      <c r="W550" s="102" t="n"/>
      <c r="X550" s="104" t="n"/>
      <c r="Y550" s="102" t="n"/>
      <c r="Z550" s="104" t="n"/>
      <c r="AB550" s="105">
        <f>IF($B550="","",(COUNTIF(C508:E525,$B550)+COUNTIF(C508:E525,$B550&amp;" ~*")&gt;0)+(COUNTIF(G508:I525,$B550)+COUNTIF(G508:I525,$B550&amp;" ~*")&gt;0)+(COUNTIF(K508:M525,$B550)+COUNTIF(K508:M525,$B550&amp;" ~*")&gt;0)+(COUNTIF(O508:Q525,$B550)+COUNTIF(O508:Q525,$B550&amp;" ~*")&gt;0)+(COUNTIF(S508:U525,$B550)+COUNTIF(S508:U525,$B550&amp;" ~*")&gt;0)+(COUNTIF(W508:W525,$B550)+COUNTIF(W508:W525,$B550&amp;" ~*")&gt;0)+(COUNTIF(Y508:Y525,$B550)+COUNTIF(Y508:Y525,$B550&amp;" ~*")&gt;0))</f>
        <v/>
      </c>
      <c r="AC550" s="38">
        <f>IF($B550="","",(IFERROR(INDEX(Setup!$G$33:$G$40,MATCH(C550,Setup!$B$33:$B$40,0)),0)=1)*(COUNTIF(C508:E525,$B550)+COUNTIF(C508:E525,$B550&amp;" ~*")&gt;0)+(IFERROR(INDEX(Setup!$G$33:$G$40,MATCH(G550,Setup!$B$33:$B$40,0)),0)=1)*(COUNTIF(G508:I525,$B550)+COUNTIF(G508:I525,$B550&amp;" ~*")&gt;0)+(IFERROR(INDEX(Setup!$G$33:$G$40,MATCH(K550,Setup!$B$33:$B$40,0)),0)=1)*(COUNTIF(K508:M525,$B550)+COUNTIF(K508:M525,$B550&amp;" ~*")&gt;0)+(IFERROR(INDEX(Setup!$G$33:$G$40,MATCH(O550,Setup!$B$33:$B$40,0)),0)=1)*(COUNTIF(O508:Q525,$B550)+COUNTIF(O508:Q525,$B550&amp;" ~*")&gt;0)+(IFERROR(INDEX(Setup!$G$33:$G$40,MATCH(S550,Setup!$B$33:$B$40,0)),0)=1)*(COUNTIF(S508:U525,$B550)+COUNTIF(S508:U525,$B550&amp;" ~*")&gt;0)+(IFERROR(INDEX(Setup!$G$33:$G$40,MATCH(W550,Setup!$B$33:$B$40,0)),0)=1)*(COUNTIF(W508:W525,$B550)+COUNTIF(W508:W525,$B550&amp;" ~*")&gt;0)+(IFERROR(INDEX(Setup!$G$33:$G$40,MATCH(Y550,Setup!$B$33:$B$40,0)),0)=1)*(COUNTIF(Y508:Y525,$B550)+COUNTIF(Y508:Y525,$B550&amp;" ~*")&gt;0))</f>
        <v/>
      </c>
    </row>
    <row r="551" ht="16" customHeight="1">
      <c r="A551" t="n">
        <v>11</v>
      </c>
      <c r="B551" s="106" t="inlineStr">
        <is>
          <t>Available people</t>
        </is>
      </c>
      <c r="C551" s="107">
        <f>COUNTIFS(Setup!$E$6:$E$29,"Y",Setup!$B$6:$B$29,"?*")-SUMPRODUCT(COUNTIF(C527:C550,Setup!$F$33:$F$40))</f>
        <v/>
      </c>
      <c r="D551" s="107" t="n"/>
      <c r="E551" s="107" t="n"/>
      <c r="F551" s="107" t="n"/>
      <c r="G551" s="107">
        <f>COUNTIFS(Setup!$E$6:$E$29,"Y",Setup!$B$6:$B$29,"?*")-SUMPRODUCT(COUNTIF(G527:G550,Setup!$F$33:$F$40))</f>
        <v/>
      </c>
      <c r="H551" s="107" t="n"/>
      <c r="I551" s="107" t="n"/>
      <c r="J551" s="107" t="n"/>
      <c r="K551" s="107">
        <f>COUNTIFS(Setup!$E$6:$E$29,"Y",Setup!$B$6:$B$29,"?*")-SUMPRODUCT(COUNTIF(K527:K550,Setup!$F$33:$F$40))</f>
        <v/>
      </c>
      <c r="L551" s="107" t="n"/>
      <c r="M551" s="107" t="n"/>
      <c r="N551" s="107" t="n"/>
      <c r="O551" s="107">
        <f>COUNTIFS(Setup!$E$6:$E$29,"Y",Setup!$B$6:$B$29,"?*")-SUMPRODUCT(COUNTIF(O527:O550,Setup!$F$33:$F$40))</f>
        <v/>
      </c>
      <c r="P551" s="107" t="n"/>
      <c r="Q551" s="107" t="n"/>
      <c r="R551" s="107" t="n"/>
      <c r="S551" s="107">
        <f>COUNTIFS(Setup!$E$6:$E$29,"Y",Setup!$B$6:$B$29,"?*")-SUMPRODUCT(COUNTIF(S527:S550,Setup!$F$33:$F$40))</f>
        <v/>
      </c>
      <c r="T551" s="107" t="n"/>
      <c r="U551" s="107" t="n"/>
      <c r="V551" s="107" t="n"/>
      <c r="W551" s="107">
        <f>COUNTIFS(Setup!$E$6:$E$29,"Y",Setup!$B$6:$B$29,"?*")-SUMPRODUCT(COUNTIF(W527:W550,Setup!$F$33:$F$40))</f>
        <v/>
      </c>
      <c r="X551" s="107" t="n"/>
      <c r="Y551" s="107">
        <f>COUNTIFS(Setup!$E$6:$E$29,"Y",Setup!$B$6:$B$29,"?*")-SUMPRODUCT(COUNTIF(Y527:Y550,Setup!$F$33:$F$40))</f>
        <v/>
      </c>
      <c r="Z551" s="107" t="n"/>
      <c r="AB551" s="108">
        <f>SUM(AB527:AB550)</f>
        <v/>
      </c>
      <c r="AC551" s="109">
        <f>SUM(AC527:AC550)</f>
        <v/>
      </c>
    </row>
    <row r="552" ht="30" customHeight="1">
      <c r="A552" t="n">
        <v>11</v>
      </c>
      <c r="B552" s="110" t="inlineStr">
        <is>
          <t>Week notes</t>
        </is>
      </c>
      <c r="C552" s="111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112" t="n"/>
      <c r="R552" s="112" t="n"/>
      <c r="S552" s="112" t="n"/>
      <c r="T552" s="112" t="n"/>
      <c r="U552" s="112" t="n"/>
      <c r="V552" s="112" t="n"/>
      <c r="W552" s="112" t="n"/>
      <c r="X552" s="112" t="n"/>
      <c r="Y552" s="112" t="n"/>
      <c r="Z552" s="113" t="n"/>
    </row>
    <row r="553" ht="8" customHeight="1">
      <c r="A553" t="n">
        <v>11</v>
      </c>
    </row>
    <row r="554" ht="8" customHeight="1">
      <c r="A554" t="n">
        <v>11</v>
      </c>
    </row>
    <row r="555" ht="24" customHeight="1">
      <c r="A555" t="n">
        <v>12</v>
      </c>
      <c r="B555" s="73">
        <f>"WEEK 12     "&amp;TEXT(C556,"ddd d mmm")&amp;"  –  "&amp;TEXT(C556+6,"ddd d mmm yyyy")</f>
        <v/>
      </c>
      <c r="S555" s="74">
        <f>IF(TODAY()&lt;C556,"FUTURE",IF(TODAY()&gt;C556+6,"PAST","THIS WEEK"))</f>
        <v/>
      </c>
      <c r="W555" s="75">
        <f>IF(AND(Engine!$B$8=$AC$3,Engine!$B$9=$A555),"◀ ACTIVE WEEK","")</f>
        <v/>
      </c>
      <c r="AA555" s="76" t="n"/>
      <c r="AB555" s="77" t="inlineStr">
        <is>
          <t>◀ Prev</t>
        </is>
      </c>
      <c r="AC555" s="77" t="inlineStr">
        <is>
          <t>Next ▶</t>
        </is>
      </c>
    </row>
    <row r="556" ht="18" customHeight="1">
      <c r="A556" t="n">
        <v>12</v>
      </c>
      <c r="B556" s="78" t="inlineStr">
        <is>
          <t>DUTY</t>
        </is>
      </c>
      <c r="C556" s="79">
        <f>$AC$2+7*($A556-1)</f>
        <v/>
      </c>
      <c r="D556" s="80" t="n"/>
      <c r="E556" s="80" t="n"/>
      <c r="F556" s="81" t="n"/>
      <c r="G556" s="79">
        <f>C556+1</f>
        <v/>
      </c>
      <c r="H556" s="80" t="n"/>
      <c r="I556" s="80" t="n"/>
      <c r="J556" s="81" t="n"/>
      <c r="K556" s="79">
        <f>C556+2</f>
        <v/>
      </c>
      <c r="L556" s="80" t="n"/>
      <c r="M556" s="80" t="n"/>
      <c r="N556" s="81" t="n"/>
      <c r="O556" s="79">
        <f>C556+3</f>
        <v/>
      </c>
      <c r="P556" s="80" t="n"/>
      <c r="Q556" s="80" t="n"/>
      <c r="R556" s="81" t="n"/>
      <c r="S556" s="79">
        <f>C556+4</f>
        <v/>
      </c>
      <c r="T556" s="80" t="n"/>
      <c r="U556" s="80" t="n"/>
      <c r="V556" s="81" t="n"/>
      <c r="W556" s="82">
        <f>C556+5</f>
        <v/>
      </c>
      <c r="X556" s="83" t="n"/>
      <c r="Y556" s="82">
        <f>C556+6</f>
        <v/>
      </c>
      <c r="Z556" s="83" t="n"/>
      <c r="AB556" s="72" t="inlineStr">
        <is>
          <t>Gaps</t>
        </is>
      </c>
      <c r="AC556" s="72" t="inlineStr">
        <is>
          <t>Cover</t>
        </is>
      </c>
    </row>
    <row r="557" ht="14" customHeight="1">
      <c r="A557" t="n">
        <v>12</v>
      </c>
      <c r="B557" s="84" t="inlineStr">
        <is>
          <t>(from Setup)</t>
        </is>
      </c>
      <c r="C557" s="85" t="inlineStr">
        <is>
          <t>1</t>
        </is>
      </c>
      <c r="D557" s="85" t="inlineStr">
        <is>
          <t>2</t>
        </is>
      </c>
      <c r="E557" s="85" t="inlineStr">
        <is>
          <t>3</t>
        </is>
      </c>
      <c r="F557" s="85" t="inlineStr">
        <is>
          <t>Notes</t>
        </is>
      </c>
      <c r="G557" s="85" t="inlineStr">
        <is>
          <t>1</t>
        </is>
      </c>
      <c r="H557" s="85" t="inlineStr">
        <is>
          <t>2</t>
        </is>
      </c>
      <c r="I557" s="85" t="inlineStr">
        <is>
          <t>3</t>
        </is>
      </c>
      <c r="J557" s="85" t="inlineStr">
        <is>
          <t>Notes</t>
        </is>
      </c>
      <c r="K557" s="85" t="inlineStr">
        <is>
          <t>1</t>
        </is>
      </c>
      <c r="L557" s="85" t="inlineStr">
        <is>
          <t>2</t>
        </is>
      </c>
      <c r="M557" s="85" t="inlineStr">
        <is>
          <t>3</t>
        </is>
      </c>
      <c r="N557" s="85" t="inlineStr">
        <is>
          <t>Notes</t>
        </is>
      </c>
      <c r="O557" s="85" t="inlineStr">
        <is>
          <t>1</t>
        </is>
      </c>
      <c r="P557" s="85" t="inlineStr">
        <is>
          <t>2</t>
        </is>
      </c>
      <c r="Q557" s="85" t="inlineStr">
        <is>
          <t>3</t>
        </is>
      </c>
      <c r="R557" s="85" t="inlineStr">
        <is>
          <t>Notes</t>
        </is>
      </c>
      <c r="S557" s="85" t="inlineStr">
        <is>
          <t>1</t>
        </is>
      </c>
      <c r="T557" s="85" t="inlineStr">
        <is>
          <t>2</t>
        </is>
      </c>
      <c r="U557" s="85" t="inlineStr">
        <is>
          <t>3</t>
        </is>
      </c>
      <c r="V557" s="85" t="inlineStr">
        <is>
          <t>Notes</t>
        </is>
      </c>
      <c r="W557" s="85" t="inlineStr">
        <is>
          <t>Cover</t>
        </is>
      </c>
      <c r="X557" s="85" t="inlineStr">
        <is>
          <t>Notes</t>
        </is>
      </c>
      <c r="Y557" s="85" t="inlineStr">
        <is>
          <t>Cover</t>
        </is>
      </c>
      <c r="Z557" s="85" t="inlineStr">
        <is>
          <t>Notes</t>
        </is>
      </c>
      <c r="AB557" s="86" t="inlineStr">
        <is>
          <t>weekdays short</t>
        </is>
      </c>
      <c r="AC557" s="87" t="inlineStr"/>
    </row>
    <row r="558" ht="17" customHeight="1">
      <c r="A558" t="n">
        <v>12</v>
      </c>
      <c r="B558" s="24">
        <f>IF(Setup!$K$6="","",Setup!$K$6)</f>
        <v/>
      </c>
      <c r="C558" s="88" t="n"/>
      <c r="D558" s="88" t="n"/>
      <c r="E558" s="88" t="n"/>
      <c r="F558" s="89" t="n"/>
      <c r="G558" s="88" t="n"/>
      <c r="H558" s="88" t="n"/>
      <c r="I558" s="88" t="n"/>
      <c r="J558" s="89" t="n"/>
      <c r="K558" s="88" t="n"/>
      <c r="L558" s="88" t="n"/>
      <c r="M558" s="88" t="n"/>
      <c r="N558" s="89" t="n"/>
      <c r="O558" s="88" t="n"/>
      <c r="P558" s="88" t="n"/>
      <c r="Q558" s="88" t="n"/>
      <c r="R558" s="89" t="n"/>
      <c r="S558" s="88" t="n"/>
      <c r="T558" s="88" t="n"/>
      <c r="U558" s="88" t="n"/>
      <c r="V558" s="89" t="n"/>
      <c r="W558" s="88" t="n"/>
      <c r="X558" s="89" t="n"/>
      <c r="Y558" s="88" t="n"/>
      <c r="Z558" s="89" t="n"/>
      <c r="AB558" s="25">
        <f>IF($B558="","",(COUNTIF(C558:E558,"?*")&lt;N(INDEX(Setup!$L$6:$L$23,1)))+(COUNTIF(G558:I558,"?*")&lt;N(INDEX(Setup!$L$6:$L$23,1)))+(COUNTIF(K558:M558,"?*")&lt;N(INDEX(Setup!$L$6:$L$23,1)))+(COUNTIF(O558:Q558,"?*")&lt;N(INDEX(Setup!$L$6:$L$23,1)))+(COUNTIF(S558:U558,"?*")&lt;N(INDEX(Setup!$L$6:$L$23,1)))+((W558="")*(INDEX(Setup!$M$6:$M$23,1)="Y"))+((Y558="")*(INDEX(Setup!$M$6:$M$23,1)="Y")))</f>
        <v/>
      </c>
      <c r="AC558" s="90">
        <f>IF($B558="","",IF(AB558=0,"✓ covered","⚠ "&amp;AB558&amp;IF(AB558=1," gap"," gaps")))</f>
        <v/>
      </c>
    </row>
    <row r="559" ht="17" customHeight="1">
      <c r="A559" t="n">
        <v>12</v>
      </c>
      <c r="B559" s="29">
        <f>IF(Setup!$K$7="","",Setup!$K$7)</f>
        <v/>
      </c>
      <c r="C559" s="88" t="n"/>
      <c r="D559" s="88" t="n"/>
      <c r="E559" s="88" t="n"/>
      <c r="F559" s="89" t="n"/>
      <c r="G559" s="88" t="n"/>
      <c r="H559" s="88" t="n"/>
      <c r="I559" s="88" t="n"/>
      <c r="J559" s="89" t="n"/>
      <c r="K559" s="88" t="n"/>
      <c r="L559" s="88" t="n"/>
      <c r="M559" s="88" t="n"/>
      <c r="N559" s="89" t="n"/>
      <c r="O559" s="88" t="n"/>
      <c r="P559" s="88" t="n"/>
      <c r="Q559" s="88" t="n"/>
      <c r="R559" s="89" t="n"/>
      <c r="S559" s="88" t="n"/>
      <c r="T559" s="88" t="n"/>
      <c r="U559" s="88" t="n"/>
      <c r="V559" s="89" t="n"/>
      <c r="W559" s="88" t="n"/>
      <c r="X559" s="89" t="n"/>
      <c r="Y559" s="88" t="n"/>
      <c r="Z559" s="89" t="n"/>
      <c r="AB559" s="30">
        <f>IF($B559="","",(COUNTIF(C559:E559,"?*")&lt;N(INDEX(Setup!$L$6:$L$23,2)))+(COUNTIF(G559:I559,"?*")&lt;N(INDEX(Setup!$L$6:$L$23,2)))+(COUNTIF(K559:M559,"?*")&lt;N(INDEX(Setup!$L$6:$L$23,2)))+(COUNTIF(O559:Q559,"?*")&lt;N(INDEX(Setup!$L$6:$L$23,2)))+(COUNTIF(S559:U559,"?*")&lt;N(INDEX(Setup!$L$6:$L$23,2)))+((W559="")*(INDEX(Setup!$M$6:$M$23,2)="Y"))+((Y559="")*(INDEX(Setup!$M$6:$M$23,2)="Y")))</f>
        <v/>
      </c>
      <c r="AC559" s="91">
        <f>IF($B559="","",IF(AB559=0,"✓ covered","⚠ "&amp;AB559&amp;IF(AB559=1," gap"," gaps")))</f>
        <v/>
      </c>
    </row>
    <row r="560" ht="17" customHeight="1">
      <c r="A560" t="n">
        <v>12</v>
      </c>
      <c r="B560" s="24">
        <f>IF(Setup!$K$8="","",Setup!$K$8)</f>
        <v/>
      </c>
      <c r="C560" s="88" t="n"/>
      <c r="D560" s="88" t="n"/>
      <c r="E560" s="88" t="n"/>
      <c r="F560" s="89" t="n"/>
      <c r="G560" s="88" t="n"/>
      <c r="H560" s="88" t="n"/>
      <c r="I560" s="88" t="n"/>
      <c r="J560" s="89" t="n"/>
      <c r="K560" s="88" t="n"/>
      <c r="L560" s="88" t="n"/>
      <c r="M560" s="88" t="n"/>
      <c r="N560" s="89" t="n"/>
      <c r="O560" s="88" t="n"/>
      <c r="P560" s="88" t="n"/>
      <c r="Q560" s="88" t="n"/>
      <c r="R560" s="89" t="n"/>
      <c r="S560" s="88" t="n"/>
      <c r="T560" s="88" t="n"/>
      <c r="U560" s="88" t="n"/>
      <c r="V560" s="89" t="n"/>
      <c r="W560" s="88" t="n"/>
      <c r="X560" s="89" t="n"/>
      <c r="Y560" s="88" t="n"/>
      <c r="Z560" s="89" t="n"/>
      <c r="AB560" s="25">
        <f>IF($B560="","",(COUNTIF(C560:E560,"?*")&lt;N(INDEX(Setup!$L$6:$L$23,3)))+(COUNTIF(G560:I560,"?*")&lt;N(INDEX(Setup!$L$6:$L$23,3)))+(COUNTIF(K560:M560,"?*")&lt;N(INDEX(Setup!$L$6:$L$23,3)))+(COUNTIF(O560:Q560,"?*")&lt;N(INDEX(Setup!$L$6:$L$23,3)))+(COUNTIF(S560:U560,"?*")&lt;N(INDEX(Setup!$L$6:$L$23,3)))+((W560="")*(INDEX(Setup!$M$6:$M$23,3)="Y"))+((Y560="")*(INDEX(Setup!$M$6:$M$23,3)="Y")))</f>
        <v/>
      </c>
      <c r="AC560" s="90">
        <f>IF($B560="","",IF(AB560=0,"✓ covered","⚠ "&amp;AB560&amp;IF(AB560=1," gap"," gaps")))</f>
        <v/>
      </c>
    </row>
    <row r="561" ht="17" customHeight="1">
      <c r="A561" t="n">
        <v>12</v>
      </c>
      <c r="B561" s="29">
        <f>IF(Setup!$K$9="","",Setup!$K$9)</f>
        <v/>
      </c>
      <c r="C561" s="88" t="n"/>
      <c r="D561" s="88" t="n"/>
      <c r="E561" s="88" t="n"/>
      <c r="F561" s="89" t="n"/>
      <c r="G561" s="88" t="n"/>
      <c r="H561" s="88" t="n"/>
      <c r="I561" s="88" t="n"/>
      <c r="J561" s="89" t="n"/>
      <c r="K561" s="88" t="n"/>
      <c r="L561" s="88" t="n"/>
      <c r="M561" s="88" t="n"/>
      <c r="N561" s="89" t="n"/>
      <c r="O561" s="88" t="n"/>
      <c r="P561" s="88" t="n"/>
      <c r="Q561" s="88" t="n"/>
      <c r="R561" s="89" t="n"/>
      <c r="S561" s="88" t="n"/>
      <c r="T561" s="88" t="n"/>
      <c r="U561" s="88" t="n"/>
      <c r="V561" s="89" t="n"/>
      <c r="W561" s="88" t="n"/>
      <c r="X561" s="89" t="n"/>
      <c r="Y561" s="88" t="n"/>
      <c r="Z561" s="89" t="n"/>
      <c r="AB561" s="30">
        <f>IF($B561="","",(COUNTIF(C561:E561,"?*")&lt;N(INDEX(Setup!$L$6:$L$23,4)))+(COUNTIF(G561:I561,"?*")&lt;N(INDEX(Setup!$L$6:$L$23,4)))+(COUNTIF(K561:M561,"?*")&lt;N(INDEX(Setup!$L$6:$L$23,4)))+(COUNTIF(O561:Q561,"?*")&lt;N(INDEX(Setup!$L$6:$L$23,4)))+(COUNTIF(S561:U561,"?*")&lt;N(INDEX(Setup!$L$6:$L$23,4)))+((W561="")*(INDEX(Setup!$M$6:$M$23,4)="Y"))+((Y561="")*(INDEX(Setup!$M$6:$M$23,4)="Y")))</f>
        <v/>
      </c>
      <c r="AC561" s="91">
        <f>IF($B561="","",IF(AB561=0,"✓ covered","⚠ "&amp;AB561&amp;IF(AB561=1," gap"," gaps")))</f>
        <v/>
      </c>
    </row>
    <row r="562" ht="17" customHeight="1">
      <c r="A562" t="n">
        <v>12</v>
      </c>
      <c r="B562" s="24">
        <f>IF(Setup!$K$10="","",Setup!$K$10)</f>
        <v/>
      </c>
      <c r="C562" s="88" t="n"/>
      <c r="D562" s="88" t="n"/>
      <c r="E562" s="88" t="n"/>
      <c r="F562" s="89" t="n"/>
      <c r="G562" s="88" t="n"/>
      <c r="H562" s="88" t="n"/>
      <c r="I562" s="88" t="n"/>
      <c r="J562" s="89" t="n"/>
      <c r="K562" s="88" t="n"/>
      <c r="L562" s="88" t="n"/>
      <c r="M562" s="88" t="n"/>
      <c r="N562" s="89" t="n"/>
      <c r="O562" s="88" t="n"/>
      <c r="P562" s="88" t="n"/>
      <c r="Q562" s="88" t="n"/>
      <c r="R562" s="89" t="n"/>
      <c r="S562" s="88" t="n"/>
      <c r="T562" s="88" t="n"/>
      <c r="U562" s="88" t="n"/>
      <c r="V562" s="89" t="n"/>
      <c r="W562" s="88" t="n"/>
      <c r="X562" s="89" t="n"/>
      <c r="Y562" s="88" t="n"/>
      <c r="Z562" s="89" t="n"/>
      <c r="AB562" s="25">
        <f>IF($B562="","",(COUNTIF(C562:E562,"?*")&lt;N(INDEX(Setup!$L$6:$L$23,5)))+(COUNTIF(G562:I562,"?*")&lt;N(INDEX(Setup!$L$6:$L$23,5)))+(COUNTIF(K562:M562,"?*")&lt;N(INDEX(Setup!$L$6:$L$23,5)))+(COUNTIF(O562:Q562,"?*")&lt;N(INDEX(Setup!$L$6:$L$23,5)))+(COUNTIF(S562:U562,"?*")&lt;N(INDEX(Setup!$L$6:$L$23,5)))+((W562="")*(INDEX(Setup!$M$6:$M$23,5)="Y"))+((Y562="")*(INDEX(Setup!$M$6:$M$23,5)="Y")))</f>
        <v/>
      </c>
      <c r="AC562" s="90">
        <f>IF($B562="","",IF(AB562=0,"✓ covered","⚠ "&amp;AB562&amp;IF(AB562=1," gap"," gaps")))</f>
        <v/>
      </c>
    </row>
    <row r="563" ht="17" customHeight="1">
      <c r="A563" t="n">
        <v>12</v>
      </c>
      <c r="B563" s="29">
        <f>IF(Setup!$K$11="","",Setup!$K$11)</f>
        <v/>
      </c>
      <c r="C563" s="88" t="n"/>
      <c r="D563" s="88" t="n"/>
      <c r="E563" s="88" t="n"/>
      <c r="F563" s="89" t="n"/>
      <c r="G563" s="88" t="n"/>
      <c r="H563" s="88" t="n"/>
      <c r="I563" s="88" t="n"/>
      <c r="J563" s="89" t="n"/>
      <c r="K563" s="88" t="n"/>
      <c r="L563" s="88" t="n"/>
      <c r="M563" s="88" t="n"/>
      <c r="N563" s="89" t="n"/>
      <c r="O563" s="88" t="n"/>
      <c r="P563" s="88" t="n"/>
      <c r="Q563" s="88" t="n"/>
      <c r="R563" s="89" t="n"/>
      <c r="S563" s="88" t="n"/>
      <c r="T563" s="88" t="n"/>
      <c r="U563" s="88" t="n"/>
      <c r="V563" s="89" t="n"/>
      <c r="W563" s="88" t="n"/>
      <c r="X563" s="89" t="n"/>
      <c r="Y563" s="88" t="n"/>
      <c r="Z563" s="89" t="n"/>
      <c r="AB563" s="30">
        <f>IF($B563="","",(COUNTIF(C563:E563,"?*")&lt;N(INDEX(Setup!$L$6:$L$23,6)))+(COUNTIF(G563:I563,"?*")&lt;N(INDEX(Setup!$L$6:$L$23,6)))+(COUNTIF(K563:M563,"?*")&lt;N(INDEX(Setup!$L$6:$L$23,6)))+(COUNTIF(O563:Q563,"?*")&lt;N(INDEX(Setup!$L$6:$L$23,6)))+(COUNTIF(S563:U563,"?*")&lt;N(INDEX(Setup!$L$6:$L$23,6)))+((W563="")*(INDEX(Setup!$M$6:$M$23,6)="Y"))+((Y563="")*(INDEX(Setup!$M$6:$M$23,6)="Y")))</f>
        <v/>
      </c>
      <c r="AC563" s="91">
        <f>IF($B563="","",IF(AB563=0,"✓ covered","⚠ "&amp;AB563&amp;IF(AB563=1," gap"," gaps")))</f>
        <v/>
      </c>
    </row>
    <row r="564" ht="17" customHeight="1">
      <c r="A564" t="n">
        <v>12</v>
      </c>
      <c r="B564" s="24">
        <f>IF(Setup!$K$12="","",Setup!$K$12)</f>
        <v/>
      </c>
      <c r="C564" s="88" t="n"/>
      <c r="D564" s="88" t="n"/>
      <c r="E564" s="88" t="n"/>
      <c r="F564" s="89" t="n"/>
      <c r="G564" s="88" t="n"/>
      <c r="H564" s="88" t="n"/>
      <c r="I564" s="88" t="n"/>
      <c r="J564" s="89" t="n"/>
      <c r="K564" s="88" t="n"/>
      <c r="L564" s="88" t="n"/>
      <c r="M564" s="88" t="n"/>
      <c r="N564" s="89" t="n"/>
      <c r="O564" s="88" t="n"/>
      <c r="P564" s="88" t="n"/>
      <c r="Q564" s="88" t="n"/>
      <c r="R564" s="89" t="n"/>
      <c r="S564" s="88" t="n"/>
      <c r="T564" s="88" t="n"/>
      <c r="U564" s="88" t="n"/>
      <c r="V564" s="89" t="n"/>
      <c r="W564" s="88" t="n"/>
      <c r="X564" s="89" t="n"/>
      <c r="Y564" s="88" t="n"/>
      <c r="Z564" s="89" t="n"/>
      <c r="AB564" s="25">
        <f>IF($B564="","",(COUNTIF(C564:E564,"?*")&lt;N(INDEX(Setup!$L$6:$L$23,7)))+(COUNTIF(G564:I564,"?*")&lt;N(INDEX(Setup!$L$6:$L$23,7)))+(COUNTIF(K564:M564,"?*")&lt;N(INDEX(Setup!$L$6:$L$23,7)))+(COUNTIF(O564:Q564,"?*")&lt;N(INDEX(Setup!$L$6:$L$23,7)))+(COUNTIF(S564:U564,"?*")&lt;N(INDEX(Setup!$L$6:$L$23,7)))+((W564="")*(INDEX(Setup!$M$6:$M$23,7)="Y"))+((Y564="")*(INDEX(Setup!$M$6:$M$23,7)="Y")))</f>
        <v/>
      </c>
      <c r="AC564" s="90">
        <f>IF($B564="","",IF(AB564=0,"✓ covered","⚠ "&amp;AB564&amp;IF(AB564=1," gap"," gaps")))</f>
        <v/>
      </c>
    </row>
    <row r="565" ht="17" customHeight="1">
      <c r="A565" t="n">
        <v>12</v>
      </c>
      <c r="B565" s="29">
        <f>IF(Setup!$K$13="","",Setup!$K$13)</f>
        <v/>
      </c>
      <c r="C565" s="88" t="n"/>
      <c r="D565" s="88" t="n"/>
      <c r="E565" s="88" t="n"/>
      <c r="F565" s="89" t="n"/>
      <c r="G565" s="88" t="n"/>
      <c r="H565" s="88" t="n"/>
      <c r="I565" s="88" t="n"/>
      <c r="J565" s="89" t="n"/>
      <c r="K565" s="88" t="n"/>
      <c r="L565" s="88" t="n"/>
      <c r="M565" s="88" t="n"/>
      <c r="N565" s="89" t="n"/>
      <c r="O565" s="88" t="n"/>
      <c r="P565" s="88" t="n"/>
      <c r="Q565" s="88" t="n"/>
      <c r="R565" s="89" t="n"/>
      <c r="S565" s="88" t="n"/>
      <c r="T565" s="88" t="n"/>
      <c r="U565" s="88" t="n"/>
      <c r="V565" s="89" t="n"/>
      <c r="W565" s="88" t="n"/>
      <c r="X565" s="89" t="n"/>
      <c r="Y565" s="88" t="n"/>
      <c r="Z565" s="89" t="n"/>
      <c r="AB565" s="30">
        <f>IF($B565="","",(COUNTIF(C565:E565,"?*")&lt;N(INDEX(Setup!$L$6:$L$23,8)))+(COUNTIF(G565:I565,"?*")&lt;N(INDEX(Setup!$L$6:$L$23,8)))+(COUNTIF(K565:M565,"?*")&lt;N(INDEX(Setup!$L$6:$L$23,8)))+(COUNTIF(O565:Q565,"?*")&lt;N(INDEX(Setup!$L$6:$L$23,8)))+(COUNTIF(S565:U565,"?*")&lt;N(INDEX(Setup!$L$6:$L$23,8)))+((W565="")*(INDEX(Setup!$M$6:$M$23,8)="Y"))+((Y565="")*(INDEX(Setup!$M$6:$M$23,8)="Y")))</f>
        <v/>
      </c>
      <c r="AC565" s="91">
        <f>IF($B565="","",IF(AB565=0,"✓ covered","⚠ "&amp;AB565&amp;IF(AB565=1," gap"," gaps")))</f>
        <v/>
      </c>
    </row>
    <row r="566" ht="17" customHeight="1">
      <c r="A566" t="n">
        <v>12</v>
      </c>
      <c r="B566" s="24">
        <f>IF(Setup!$K$14="","",Setup!$K$14)</f>
        <v/>
      </c>
      <c r="C566" s="88" t="n"/>
      <c r="D566" s="88" t="n"/>
      <c r="E566" s="88" t="n"/>
      <c r="F566" s="89" t="n"/>
      <c r="G566" s="88" t="n"/>
      <c r="H566" s="88" t="n"/>
      <c r="I566" s="88" t="n"/>
      <c r="J566" s="89" t="n"/>
      <c r="K566" s="88" t="n"/>
      <c r="L566" s="88" t="n"/>
      <c r="M566" s="88" t="n"/>
      <c r="N566" s="89" t="n"/>
      <c r="O566" s="88" t="n"/>
      <c r="P566" s="88" t="n"/>
      <c r="Q566" s="88" t="n"/>
      <c r="R566" s="89" t="n"/>
      <c r="S566" s="88" t="n"/>
      <c r="T566" s="88" t="n"/>
      <c r="U566" s="88" t="n"/>
      <c r="V566" s="89" t="n"/>
      <c r="W566" s="88" t="n"/>
      <c r="X566" s="89" t="n"/>
      <c r="Y566" s="88" t="n"/>
      <c r="Z566" s="89" t="n"/>
      <c r="AB566" s="25">
        <f>IF($B566="","",(COUNTIF(C566:E566,"?*")&lt;N(INDEX(Setup!$L$6:$L$23,9)))+(COUNTIF(G566:I566,"?*")&lt;N(INDEX(Setup!$L$6:$L$23,9)))+(COUNTIF(K566:M566,"?*")&lt;N(INDEX(Setup!$L$6:$L$23,9)))+(COUNTIF(O566:Q566,"?*")&lt;N(INDEX(Setup!$L$6:$L$23,9)))+(COUNTIF(S566:U566,"?*")&lt;N(INDEX(Setup!$L$6:$L$23,9)))+((W566="")*(INDEX(Setup!$M$6:$M$23,9)="Y"))+((Y566="")*(INDEX(Setup!$M$6:$M$23,9)="Y")))</f>
        <v/>
      </c>
      <c r="AC566" s="90">
        <f>IF($B566="","",IF(AB566=0,"✓ covered","⚠ "&amp;AB566&amp;IF(AB566=1," gap"," gaps")))</f>
        <v/>
      </c>
    </row>
    <row r="567" ht="17" customHeight="1">
      <c r="A567" t="n">
        <v>12</v>
      </c>
      <c r="B567" s="29">
        <f>IF(Setup!$K$15="","",Setup!$K$15)</f>
        <v/>
      </c>
      <c r="C567" s="88" t="n"/>
      <c r="D567" s="88" t="n"/>
      <c r="E567" s="88" t="n"/>
      <c r="F567" s="89" t="n"/>
      <c r="G567" s="88" t="n"/>
      <c r="H567" s="88" t="n"/>
      <c r="I567" s="88" t="n"/>
      <c r="J567" s="89" t="n"/>
      <c r="K567" s="88" t="n"/>
      <c r="L567" s="88" t="n"/>
      <c r="M567" s="88" t="n"/>
      <c r="N567" s="89" t="n"/>
      <c r="O567" s="88" t="n"/>
      <c r="P567" s="88" t="n"/>
      <c r="Q567" s="88" t="n"/>
      <c r="R567" s="89" t="n"/>
      <c r="S567" s="88" t="n"/>
      <c r="T567" s="88" t="n"/>
      <c r="U567" s="88" t="n"/>
      <c r="V567" s="89" t="n"/>
      <c r="W567" s="88" t="n"/>
      <c r="X567" s="89" t="n"/>
      <c r="Y567" s="88" t="n"/>
      <c r="Z567" s="89" t="n"/>
      <c r="AB567" s="30">
        <f>IF($B567="","",(COUNTIF(C567:E567,"?*")&lt;N(INDEX(Setup!$L$6:$L$23,10)))+(COUNTIF(G567:I567,"?*")&lt;N(INDEX(Setup!$L$6:$L$23,10)))+(COUNTIF(K567:M567,"?*")&lt;N(INDEX(Setup!$L$6:$L$23,10)))+(COUNTIF(O567:Q567,"?*")&lt;N(INDEX(Setup!$L$6:$L$23,10)))+(COUNTIF(S567:U567,"?*")&lt;N(INDEX(Setup!$L$6:$L$23,10)))+((W567="")*(INDEX(Setup!$M$6:$M$23,10)="Y"))+((Y567="")*(INDEX(Setup!$M$6:$M$23,10)="Y")))</f>
        <v/>
      </c>
      <c r="AC567" s="91">
        <f>IF($B567="","",IF(AB567=0,"✓ covered","⚠ "&amp;AB567&amp;IF(AB567=1," gap"," gaps")))</f>
        <v/>
      </c>
    </row>
    <row r="568" ht="17" customHeight="1">
      <c r="A568" t="n">
        <v>12</v>
      </c>
      <c r="B568" s="24">
        <f>IF(Setup!$K$16="","",Setup!$K$16)</f>
        <v/>
      </c>
      <c r="C568" s="88" t="n"/>
      <c r="D568" s="88" t="n"/>
      <c r="E568" s="88" t="n"/>
      <c r="F568" s="89" t="n"/>
      <c r="G568" s="88" t="n"/>
      <c r="H568" s="88" t="n"/>
      <c r="I568" s="88" t="n"/>
      <c r="J568" s="89" t="n"/>
      <c r="K568" s="88" t="n"/>
      <c r="L568" s="88" t="n"/>
      <c r="M568" s="88" t="n"/>
      <c r="N568" s="89" t="n"/>
      <c r="O568" s="88" t="n"/>
      <c r="P568" s="88" t="n"/>
      <c r="Q568" s="88" t="n"/>
      <c r="R568" s="89" t="n"/>
      <c r="S568" s="88" t="n"/>
      <c r="T568" s="88" t="n"/>
      <c r="U568" s="88" t="n"/>
      <c r="V568" s="89" t="n"/>
      <c r="W568" s="88" t="n"/>
      <c r="X568" s="89" t="n"/>
      <c r="Y568" s="88" t="n"/>
      <c r="Z568" s="89" t="n"/>
      <c r="AB568" s="25">
        <f>IF($B568="","",(COUNTIF(C568:E568,"?*")&lt;N(INDEX(Setup!$L$6:$L$23,11)))+(COUNTIF(G568:I568,"?*")&lt;N(INDEX(Setup!$L$6:$L$23,11)))+(COUNTIF(K568:M568,"?*")&lt;N(INDEX(Setup!$L$6:$L$23,11)))+(COUNTIF(O568:Q568,"?*")&lt;N(INDEX(Setup!$L$6:$L$23,11)))+(COUNTIF(S568:U568,"?*")&lt;N(INDEX(Setup!$L$6:$L$23,11)))+((W568="")*(INDEX(Setup!$M$6:$M$23,11)="Y"))+((Y568="")*(INDEX(Setup!$M$6:$M$23,11)="Y")))</f>
        <v/>
      </c>
      <c r="AC568" s="90">
        <f>IF($B568="","",IF(AB568=0,"✓ covered","⚠ "&amp;AB568&amp;IF(AB568=1," gap"," gaps")))</f>
        <v/>
      </c>
    </row>
    <row r="569" ht="17" customHeight="1">
      <c r="A569" t="n">
        <v>12</v>
      </c>
      <c r="B569" s="29">
        <f>IF(Setup!$K$17="","",Setup!$K$17)</f>
        <v/>
      </c>
      <c r="C569" s="88" t="n"/>
      <c r="D569" s="88" t="n"/>
      <c r="E569" s="88" t="n"/>
      <c r="F569" s="89" t="n"/>
      <c r="G569" s="88" t="n"/>
      <c r="H569" s="88" t="n"/>
      <c r="I569" s="88" t="n"/>
      <c r="J569" s="89" t="n"/>
      <c r="K569" s="88" t="n"/>
      <c r="L569" s="88" t="n"/>
      <c r="M569" s="88" t="n"/>
      <c r="N569" s="89" t="n"/>
      <c r="O569" s="88" t="n"/>
      <c r="P569" s="88" t="n"/>
      <c r="Q569" s="88" t="n"/>
      <c r="R569" s="89" t="n"/>
      <c r="S569" s="88" t="n"/>
      <c r="T569" s="88" t="n"/>
      <c r="U569" s="88" t="n"/>
      <c r="V569" s="89" t="n"/>
      <c r="W569" s="88" t="n"/>
      <c r="X569" s="89" t="n"/>
      <c r="Y569" s="88" t="n"/>
      <c r="Z569" s="89" t="n"/>
      <c r="AB569" s="30">
        <f>IF($B569="","",(COUNTIF(C569:E569,"?*")&lt;N(INDEX(Setup!$L$6:$L$23,12)))+(COUNTIF(G569:I569,"?*")&lt;N(INDEX(Setup!$L$6:$L$23,12)))+(COUNTIF(K569:M569,"?*")&lt;N(INDEX(Setup!$L$6:$L$23,12)))+(COUNTIF(O569:Q569,"?*")&lt;N(INDEX(Setup!$L$6:$L$23,12)))+(COUNTIF(S569:U569,"?*")&lt;N(INDEX(Setup!$L$6:$L$23,12)))+((W569="")*(INDEX(Setup!$M$6:$M$23,12)="Y"))+((Y569="")*(INDEX(Setup!$M$6:$M$23,12)="Y")))</f>
        <v/>
      </c>
      <c r="AC569" s="91">
        <f>IF($B569="","",IF(AB569=0,"✓ covered","⚠ "&amp;AB569&amp;IF(AB569=1," gap"," gaps")))</f>
        <v/>
      </c>
    </row>
    <row r="570" ht="17" customHeight="1">
      <c r="A570" t="n">
        <v>12</v>
      </c>
      <c r="B570" s="24">
        <f>IF(Setup!$K$18="","",Setup!$K$18)</f>
        <v/>
      </c>
      <c r="C570" s="88" t="n"/>
      <c r="D570" s="88" t="n"/>
      <c r="E570" s="88" t="n"/>
      <c r="F570" s="89" t="n"/>
      <c r="G570" s="88" t="n"/>
      <c r="H570" s="88" t="n"/>
      <c r="I570" s="88" t="n"/>
      <c r="J570" s="89" t="n"/>
      <c r="K570" s="88" t="n"/>
      <c r="L570" s="88" t="n"/>
      <c r="M570" s="88" t="n"/>
      <c r="N570" s="89" t="n"/>
      <c r="O570" s="88" t="n"/>
      <c r="P570" s="88" t="n"/>
      <c r="Q570" s="88" t="n"/>
      <c r="R570" s="89" t="n"/>
      <c r="S570" s="88" t="n"/>
      <c r="T570" s="88" t="n"/>
      <c r="U570" s="88" t="n"/>
      <c r="V570" s="89" t="n"/>
      <c r="W570" s="88" t="n"/>
      <c r="X570" s="89" t="n"/>
      <c r="Y570" s="88" t="n"/>
      <c r="Z570" s="89" t="n"/>
      <c r="AB570" s="25">
        <f>IF($B570="","",(COUNTIF(C570:E570,"?*")&lt;N(INDEX(Setup!$L$6:$L$23,13)))+(COUNTIF(G570:I570,"?*")&lt;N(INDEX(Setup!$L$6:$L$23,13)))+(COUNTIF(K570:M570,"?*")&lt;N(INDEX(Setup!$L$6:$L$23,13)))+(COUNTIF(O570:Q570,"?*")&lt;N(INDEX(Setup!$L$6:$L$23,13)))+(COUNTIF(S570:U570,"?*")&lt;N(INDEX(Setup!$L$6:$L$23,13)))+((W570="")*(INDEX(Setup!$M$6:$M$23,13)="Y"))+((Y570="")*(INDEX(Setup!$M$6:$M$23,13)="Y")))</f>
        <v/>
      </c>
      <c r="AC570" s="90">
        <f>IF($B570="","",IF(AB570=0,"✓ covered","⚠ "&amp;AB570&amp;IF(AB570=1," gap"," gaps")))</f>
        <v/>
      </c>
    </row>
    <row r="571" ht="17" customHeight="1">
      <c r="A571" t="n">
        <v>12</v>
      </c>
      <c r="B571" s="29">
        <f>IF(Setup!$K$19="","",Setup!$K$19)</f>
        <v/>
      </c>
      <c r="C571" s="88" t="n"/>
      <c r="D571" s="88" t="n"/>
      <c r="E571" s="88" t="n"/>
      <c r="F571" s="89" t="n"/>
      <c r="G571" s="88" t="n"/>
      <c r="H571" s="88" t="n"/>
      <c r="I571" s="88" t="n"/>
      <c r="J571" s="89" t="n"/>
      <c r="K571" s="88" t="n"/>
      <c r="L571" s="88" t="n"/>
      <c r="M571" s="88" t="n"/>
      <c r="N571" s="89" t="n"/>
      <c r="O571" s="88" t="n"/>
      <c r="P571" s="88" t="n"/>
      <c r="Q571" s="88" t="n"/>
      <c r="R571" s="89" t="n"/>
      <c r="S571" s="88" t="n"/>
      <c r="T571" s="88" t="n"/>
      <c r="U571" s="88" t="n"/>
      <c r="V571" s="89" t="n"/>
      <c r="W571" s="88" t="n"/>
      <c r="X571" s="89" t="n"/>
      <c r="Y571" s="88" t="n"/>
      <c r="Z571" s="89" t="n"/>
      <c r="AB571" s="30">
        <f>IF($B571="","",(COUNTIF(C571:E571,"?*")&lt;N(INDEX(Setup!$L$6:$L$23,14)))+(COUNTIF(G571:I571,"?*")&lt;N(INDEX(Setup!$L$6:$L$23,14)))+(COUNTIF(K571:M571,"?*")&lt;N(INDEX(Setup!$L$6:$L$23,14)))+(COUNTIF(O571:Q571,"?*")&lt;N(INDEX(Setup!$L$6:$L$23,14)))+(COUNTIF(S571:U571,"?*")&lt;N(INDEX(Setup!$L$6:$L$23,14)))+((W571="")*(INDEX(Setup!$M$6:$M$23,14)="Y"))+((Y571="")*(INDEX(Setup!$M$6:$M$23,14)="Y")))</f>
        <v/>
      </c>
      <c r="AC571" s="91">
        <f>IF($B571="","",IF(AB571=0,"✓ covered","⚠ "&amp;AB571&amp;IF(AB571=1," gap"," gaps")))</f>
        <v/>
      </c>
    </row>
    <row r="572" ht="17" customHeight="1">
      <c r="A572" t="n">
        <v>12</v>
      </c>
      <c r="B572" s="24">
        <f>IF(Setup!$K$20="","",Setup!$K$20)</f>
        <v/>
      </c>
      <c r="C572" s="88" t="n"/>
      <c r="D572" s="88" t="n"/>
      <c r="E572" s="88" t="n"/>
      <c r="F572" s="89" t="n"/>
      <c r="G572" s="88" t="n"/>
      <c r="H572" s="88" t="n"/>
      <c r="I572" s="88" t="n"/>
      <c r="J572" s="89" t="n"/>
      <c r="K572" s="88" t="n"/>
      <c r="L572" s="88" t="n"/>
      <c r="M572" s="88" t="n"/>
      <c r="N572" s="89" t="n"/>
      <c r="O572" s="88" t="n"/>
      <c r="P572" s="88" t="n"/>
      <c r="Q572" s="88" t="n"/>
      <c r="R572" s="89" t="n"/>
      <c r="S572" s="88" t="n"/>
      <c r="T572" s="88" t="n"/>
      <c r="U572" s="88" t="n"/>
      <c r="V572" s="89" t="n"/>
      <c r="W572" s="88" t="n"/>
      <c r="X572" s="89" t="n"/>
      <c r="Y572" s="88" t="n"/>
      <c r="Z572" s="89" t="n"/>
      <c r="AB572" s="25">
        <f>IF($B572="","",(COUNTIF(C572:E572,"?*")&lt;N(INDEX(Setup!$L$6:$L$23,15)))+(COUNTIF(G572:I572,"?*")&lt;N(INDEX(Setup!$L$6:$L$23,15)))+(COUNTIF(K572:M572,"?*")&lt;N(INDEX(Setup!$L$6:$L$23,15)))+(COUNTIF(O572:Q572,"?*")&lt;N(INDEX(Setup!$L$6:$L$23,15)))+(COUNTIF(S572:U572,"?*")&lt;N(INDEX(Setup!$L$6:$L$23,15)))+((W572="")*(INDEX(Setup!$M$6:$M$23,15)="Y"))+((Y572="")*(INDEX(Setup!$M$6:$M$23,15)="Y")))</f>
        <v/>
      </c>
      <c r="AC572" s="90">
        <f>IF($B572="","",IF(AB572=0,"✓ covered","⚠ "&amp;AB572&amp;IF(AB572=1," gap"," gaps")))</f>
        <v/>
      </c>
    </row>
    <row r="573" ht="17" customHeight="1">
      <c r="A573" t="n">
        <v>12</v>
      </c>
      <c r="B573" s="29">
        <f>IF(Setup!$K$21="","",Setup!$K$21)</f>
        <v/>
      </c>
      <c r="C573" s="88" t="n"/>
      <c r="D573" s="88" t="n"/>
      <c r="E573" s="88" t="n"/>
      <c r="F573" s="89" t="n"/>
      <c r="G573" s="88" t="n"/>
      <c r="H573" s="88" t="n"/>
      <c r="I573" s="88" t="n"/>
      <c r="J573" s="89" t="n"/>
      <c r="K573" s="88" t="n"/>
      <c r="L573" s="88" t="n"/>
      <c r="M573" s="88" t="n"/>
      <c r="N573" s="89" t="n"/>
      <c r="O573" s="88" t="n"/>
      <c r="P573" s="88" t="n"/>
      <c r="Q573" s="88" t="n"/>
      <c r="R573" s="89" t="n"/>
      <c r="S573" s="88" t="n"/>
      <c r="T573" s="88" t="n"/>
      <c r="U573" s="88" t="n"/>
      <c r="V573" s="89" t="n"/>
      <c r="W573" s="88" t="n"/>
      <c r="X573" s="89" t="n"/>
      <c r="Y573" s="88" t="n"/>
      <c r="Z573" s="89" t="n"/>
      <c r="AB573" s="30">
        <f>IF($B573="","",(COUNTIF(C573:E573,"?*")&lt;N(INDEX(Setup!$L$6:$L$23,16)))+(COUNTIF(G573:I573,"?*")&lt;N(INDEX(Setup!$L$6:$L$23,16)))+(COUNTIF(K573:M573,"?*")&lt;N(INDEX(Setup!$L$6:$L$23,16)))+(COUNTIF(O573:Q573,"?*")&lt;N(INDEX(Setup!$L$6:$L$23,16)))+(COUNTIF(S573:U573,"?*")&lt;N(INDEX(Setup!$L$6:$L$23,16)))+((W573="")*(INDEX(Setup!$M$6:$M$23,16)="Y"))+((Y573="")*(INDEX(Setup!$M$6:$M$23,16)="Y")))</f>
        <v/>
      </c>
      <c r="AC573" s="91">
        <f>IF($B573="","",IF(AB573=0,"✓ covered","⚠ "&amp;AB573&amp;IF(AB573=1," gap"," gaps")))</f>
        <v/>
      </c>
    </row>
    <row r="574" ht="17" customHeight="1">
      <c r="A574" t="n">
        <v>12</v>
      </c>
      <c r="B574" s="24">
        <f>IF(Setup!$K$22="","",Setup!$K$22)</f>
        <v/>
      </c>
      <c r="C574" s="88" t="n"/>
      <c r="D574" s="88" t="n"/>
      <c r="E574" s="88" t="n"/>
      <c r="F574" s="89" t="n"/>
      <c r="G574" s="88" t="n"/>
      <c r="H574" s="88" t="n"/>
      <c r="I574" s="88" t="n"/>
      <c r="J574" s="89" t="n"/>
      <c r="K574" s="88" t="n"/>
      <c r="L574" s="88" t="n"/>
      <c r="M574" s="88" t="n"/>
      <c r="N574" s="89" t="n"/>
      <c r="O574" s="88" t="n"/>
      <c r="P574" s="88" t="n"/>
      <c r="Q574" s="88" t="n"/>
      <c r="R574" s="89" t="n"/>
      <c r="S574" s="88" t="n"/>
      <c r="T574" s="88" t="n"/>
      <c r="U574" s="88" t="n"/>
      <c r="V574" s="89" t="n"/>
      <c r="W574" s="88" t="n"/>
      <c r="X574" s="89" t="n"/>
      <c r="Y574" s="88" t="n"/>
      <c r="Z574" s="89" t="n"/>
      <c r="AB574" s="25">
        <f>IF($B574="","",(COUNTIF(C574:E574,"?*")&lt;N(INDEX(Setup!$L$6:$L$23,17)))+(COUNTIF(G574:I574,"?*")&lt;N(INDEX(Setup!$L$6:$L$23,17)))+(COUNTIF(K574:M574,"?*")&lt;N(INDEX(Setup!$L$6:$L$23,17)))+(COUNTIF(O574:Q574,"?*")&lt;N(INDEX(Setup!$L$6:$L$23,17)))+(COUNTIF(S574:U574,"?*")&lt;N(INDEX(Setup!$L$6:$L$23,17)))+((W574="")*(INDEX(Setup!$M$6:$M$23,17)="Y"))+((Y574="")*(INDEX(Setup!$M$6:$M$23,17)="Y")))</f>
        <v/>
      </c>
      <c r="AC574" s="90">
        <f>IF($B574="","",IF(AB574=0,"✓ covered","⚠ "&amp;AB574&amp;IF(AB574=1," gap"," gaps")))</f>
        <v/>
      </c>
    </row>
    <row r="575" ht="17" customHeight="1">
      <c r="A575" t="n">
        <v>12</v>
      </c>
      <c r="B575" s="29">
        <f>IF(Setup!$K$23="","",Setup!$K$23)</f>
        <v/>
      </c>
      <c r="C575" s="88" t="n"/>
      <c r="D575" s="88" t="n"/>
      <c r="E575" s="88" t="n"/>
      <c r="F575" s="89" t="n"/>
      <c r="G575" s="88" t="n"/>
      <c r="H575" s="88" t="n"/>
      <c r="I575" s="88" t="n"/>
      <c r="J575" s="89" t="n"/>
      <c r="K575" s="88" t="n"/>
      <c r="L575" s="88" t="n"/>
      <c r="M575" s="88" t="n"/>
      <c r="N575" s="89" t="n"/>
      <c r="O575" s="88" t="n"/>
      <c r="P575" s="88" t="n"/>
      <c r="Q575" s="88" t="n"/>
      <c r="R575" s="89" t="n"/>
      <c r="S575" s="88" t="n"/>
      <c r="T575" s="88" t="n"/>
      <c r="U575" s="88" t="n"/>
      <c r="V575" s="89" t="n"/>
      <c r="W575" s="88" t="n"/>
      <c r="X575" s="89" t="n"/>
      <c r="Y575" s="88" t="n"/>
      <c r="Z575" s="89" t="n"/>
      <c r="AB575" s="30">
        <f>IF($B575="","",(COUNTIF(C575:E575,"?*")&lt;N(INDEX(Setup!$L$6:$L$23,18)))+(COUNTIF(G575:I575,"?*")&lt;N(INDEX(Setup!$L$6:$L$23,18)))+(COUNTIF(K575:M575,"?*")&lt;N(INDEX(Setup!$L$6:$L$23,18)))+(COUNTIF(O575:Q575,"?*")&lt;N(INDEX(Setup!$L$6:$L$23,18)))+(COUNTIF(S575:U575,"?*")&lt;N(INDEX(Setup!$L$6:$L$23,18)))+((W575="")*(INDEX(Setup!$M$6:$M$23,18)="Y"))+((Y575="")*(INDEX(Setup!$M$6:$M$23,18)="Y")))</f>
        <v/>
      </c>
      <c r="AC575" s="91">
        <f>IF($B575="","",IF(AB575=0,"✓ covered","⚠ "&amp;AB575&amp;IF(AB575=1," gap"," gaps")))</f>
        <v/>
      </c>
    </row>
    <row r="576" ht="18" customHeight="1">
      <c r="A576" t="n">
        <v>12</v>
      </c>
      <c r="B576" s="78" t="inlineStr">
        <is>
          <t>TEAM AVAILABILITY</t>
        </is>
      </c>
      <c r="C576" s="92" t="inlineStr">
        <is>
          <t>Mon</t>
        </is>
      </c>
      <c r="D576" s="93" t="n"/>
      <c r="E576" s="93" t="n"/>
      <c r="F576" s="94" t="n"/>
      <c r="G576" s="92" t="inlineStr">
        <is>
          <t>Tue</t>
        </is>
      </c>
      <c r="H576" s="93" t="n"/>
      <c r="I576" s="93" t="n"/>
      <c r="J576" s="94" t="n"/>
      <c r="K576" s="92" t="inlineStr">
        <is>
          <t>Wed</t>
        </is>
      </c>
      <c r="L576" s="93" t="n"/>
      <c r="M576" s="93" t="n"/>
      <c r="N576" s="94" t="n"/>
      <c r="O576" s="92" t="inlineStr">
        <is>
          <t>Thu</t>
        </is>
      </c>
      <c r="P576" s="93" t="n"/>
      <c r="Q576" s="93" t="n"/>
      <c r="R576" s="94" t="n"/>
      <c r="S576" s="92" t="inlineStr">
        <is>
          <t>Fri</t>
        </is>
      </c>
      <c r="T576" s="93" t="n"/>
      <c r="U576" s="93" t="n"/>
      <c r="V576" s="94" t="n"/>
      <c r="W576" s="95" t="inlineStr">
        <is>
          <t>Sat</t>
        </is>
      </c>
      <c r="X576" s="96" t="n"/>
      <c r="Y576" s="95" t="inlineStr">
        <is>
          <t>Sun</t>
        </is>
      </c>
      <c r="Z576" s="96" t="n"/>
      <c r="AB576" s="97" t="inlineStr">
        <is>
          <t>Days rostered</t>
        </is>
      </c>
      <c r="AC576" s="97" t="inlineStr">
        <is>
          <t>Conflicts</t>
        </is>
      </c>
    </row>
    <row r="577" ht="15" customHeight="1">
      <c r="A577" t="n">
        <v>12</v>
      </c>
      <c r="B577" s="35">
        <f>IF(Setup!$B$6="","",Setup!$B$6)</f>
        <v/>
      </c>
      <c r="C577" s="98" t="n"/>
      <c r="D577" s="99" t="n"/>
      <c r="E577" s="99" t="n"/>
      <c r="F577" s="100" t="n"/>
      <c r="G577" s="98" t="n"/>
      <c r="H577" s="99" t="n"/>
      <c r="I577" s="99" t="n"/>
      <c r="J577" s="100" t="n"/>
      <c r="K577" s="98" t="n"/>
      <c r="L577" s="99" t="n"/>
      <c r="M577" s="99" t="n"/>
      <c r="N577" s="100" t="n"/>
      <c r="O577" s="98" t="n"/>
      <c r="P577" s="99" t="n"/>
      <c r="Q577" s="99" t="n"/>
      <c r="R577" s="100" t="n"/>
      <c r="S577" s="98" t="n"/>
      <c r="T577" s="99" t="n"/>
      <c r="U577" s="99" t="n"/>
      <c r="V577" s="100" t="n"/>
      <c r="W577" s="98" t="n"/>
      <c r="X577" s="100" t="n"/>
      <c r="Y577" s="98" t="n"/>
      <c r="Z577" s="100" t="n"/>
      <c r="AB577" s="101">
        <f>IF($B577="","",(COUNTIF(C558:E575,$B577)+COUNTIF(C558:E575,$B577&amp;" ~*")&gt;0)+(COUNTIF(G558:I575,$B577)+COUNTIF(G558:I575,$B577&amp;" ~*")&gt;0)+(COUNTIF(K558:M575,$B577)+COUNTIF(K558:M575,$B577&amp;" ~*")&gt;0)+(COUNTIF(O558:Q575,$B577)+COUNTIF(O558:Q575,$B577&amp;" ~*")&gt;0)+(COUNTIF(S558:U575,$B577)+COUNTIF(S558:U575,$B577&amp;" ~*")&gt;0)+(COUNTIF(W558:W575,$B577)+COUNTIF(W558:W575,$B577&amp;" ~*")&gt;0)+(COUNTIF(Y558:Y575,$B577)+COUNTIF(Y558:Y575,$B577&amp;" ~*")&gt;0))</f>
        <v/>
      </c>
      <c r="AC577" s="36">
        <f>IF($B577="","",(IFERROR(INDEX(Setup!$G$33:$G$40,MATCH(C577,Setup!$B$33:$B$40,0)),0)=1)*(COUNTIF(C558:E575,$B577)+COUNTIF(C558:E575,$B577&amp;" ~*")&gt;0)+(IFERROR(INDEX(Setup!$G$33:$G$40,MATCH(G577,Setup!$B$33:$B$40,0)),0)=1)*(COUNTIF(G558:I575,$B577)+COUNTIF(G558:I575,$B577&amp;" ~*")&gt;0)+(IFERROR(INDEX(Setup!$G$33:$G$40,MATCH(K577,Setup!$B$33:$B$40,0)),0)=1)*(COUNTIF(K558:M575,$B577)+COUNTIF(K558:M575,$B577&amp;" ~*")&gt;0)+(IFERROR(INDEX(Setup!$G$33:$G$40,MATCH(O577,Setup!$B$33:$B$40,0)),0)=1)*(COUNTIF(O558:Q575,$B577)+COUNTIF(O558:Q575,$B577&amp;" ~*")&gt;0)+(IFERROR(INDEX(Setup!$G$33:$G$40,MATCH(S577,Setup!$B$33:$B$40,0)),0)=1)*(COUNTIF(S558:U575,$B577)+COUNTIF(S558:U575,$B577&amp;" ~*")&gt;0)+(IFERROR(INDEX(Setup!$G$33:$G$40,MATCH(W577,Setup!$B$33:$B$40,0)),0)=1)*(COUNTIF(W558:W575,$B577)+COUNTIF(W558:W575,$B577&amp;" ~*")&gt;0)+(IFERROR(INDEX(Setup!$G$33:$G$40,MATCH(Y577,Setup!$B$33:$B$40,0)),0)=1)*(COUNTIF(Y558:Y575,$B577)+COUNTIF(Y558:Y575,$B577&amp;" ~*")&gt;0))</f>
        <v/>
      </c>
    </row>
    <row r="578" ht="15" customHeight="1">
      <c r="A578" t="n">
        <v>12</v>
      </c>
      <c r="B578" s="37">
        <f>IF(Setup!$B$7="","",Setup!$B$7)</f>
        <v/>
      </c>
      <c r="C578" s="102" t="n"/>
      <c r="D578" s="103" t="n"/>
      <c r="E578" s="103" t="n"/>
      <c r="F578" s="104" t="n"/>
      <c r="G578" s="102" t="n"/>
      <c r="H578" s="103" t="n"/>
      <c r="I578" s="103" t="n"/>
      <c r="J578" s="104" t="n"/>
      <c r="K578" s="102" t="n"/>
      <c r="L578" s="103" t="n"/>
      <c r="M578" s="103" t="n"/>
      <c r="N578" s="104" t="n"/>
      <c r="O578" s="102" t="n"/>
      <c r="P578" s="103" t="n"/>
      <c r="Q578" s="103" t="n"/>
      <c r="R578" s="104" t="n"/>
      <c r="S578" s="102" t="n"/>
      <c r="T578" s="103" t="n"/>
      <c r="U578" s="103" t="n"/>
      <c r="V578" s="104" t="n"/>
      <c r="W578" s="102" t="n"/>
      <c r="X578" s="104" t="n"/>
      <c r="Y578" s="102" t="n"/>
      <c r="Z578" s="104" t="n"/>
      <c r="AB578" s="105">
        <f>IF($B578="","",(COUNTIF(C558:E575,$B578)+COUNTIF(C558:E575,$B578&amp;" ~*")&gt;0)+(COUNTIF(G558:I575,$B578)+COUNTIF(G558:I575,$B578&amp;" ~*")&gt;0)+(COUNTIF(K558:M575,$B578)+COUNTIF(K558:M575,$B578&amp;" ~*")&gt;0)+(COUNTIF(O558:Q575,$B578)+COUNTIF(O558:Q575,$B578&amp;" ~*")&gt;0)+(COUNTIF(S558:U575,$B578)+COUNTIF(S558:U575,$B578&amp;" ~*")&gt;0)+(COUNTIF(W558:W575,$B578)+COUNTIF(W558:W575,$B578&amp;" ~*")&gt;0)+(COUNTIF(Y558:Y575,$B578)+COUNTIF(Y558:Y575,$B578&amp;" ~*")&gt;0))</f>
        <v/>
      </c>
      <c r="AC578" s="38">
        <f>IF($B578="","",(IFERROR(INDEX(Setup!$G$33:$G$40,MATCH(C578,Setup!$B$33:$B$40,0)),0)=1)*(COUNTIF(C558:E575,$B578)+COUNTIF(C558:E575,$B578&amp;" ~*")&gt;0)+(IFERROR(INDEX(Setup!$G$33:$G$40,MATCH(G578,Setup!$B$33:$B$40,0)),0)=1)*(COUNTIF(G558:I575,$B578)+COUNTIF(G558:I575,$B578&amp;" ~*")&gt;0)+(IFERROR(INDEX(Setup!$G$33:$G$40,MATCH(K578,Setup!$B$33:$B$40,0)),0)=1)*(COUNTIF(K558:M575,$B578)+COUNTIF(K558:M575,$B578&amp;" ~*")&gt;0)+(IFERROR(INDEX(Setup!$G$33:$G$40,MATCH(O578,Setup!$B$33:$B$40,0)),0)=1)*(COUNTIF(O558:Q575,$B578)+COUNTIF(O558:Q575,$B578&amp;" ~*")&gt;0)+(IFERROR(INDEX(Setup!$G$33:$G$40,MATCH(S578,Setup!$B$33:$B$40,0)),0)=1)*(COUNTIF(S558:U575,$B578)+COUNTIF(S558:U575,$B578&amp;" ~*")&gt;0)+(IFERROR(INDEX(Setup!$G$33:$G$40,MATCH(W578,Setup!$B$33:$B$40,0)),0)=1)*(COUNTIF(W558:W575,$B578)+COUNTIF(W558:W575,$B578&amp;" ~*")&gt;0)+(IFERROR(INDEX(Setup!$G$33:$G$40,MATCH(Y578,Setup!$B$33:$B$40,0)),0)=1)*(COUNTIF(Y558:Y575,$B578)+COUNTIF(Y558:Y575,$B578&amp;" ~*")&gt;0))</f>
        <v/>
      </c>
    </row>
    <row r="579" ht="15" customHeight="1">
      <c r="A579" t="n">
        <v>12</v>
      </c>
      <c r="B579" s="35">
        <f>IF(Setup!$B$8="","",Setup!$B$8)</f>
        <v/>
      </c>
      <c r="C579" s="98" t="n"/>
      <c r="D579" s="99" t="n"/>
      <c r="E579" s="99" t="n"/>
      <c r="F579" s="100" t="n"/>
      <c r="G579" s="98" t="n"/>
      <c r="H579" s="99" t="n"/>
      <c r="I579" s="99" t="n"/>
      <c r="J579" s="100" t="n"/>
      <c r="K579" s="98" t="n"/>
      <c r="L579" s="99" t="n"/>
      <c r="M579" s="99" t="n"/>
      <c r="N579" s="100" t="n"/>
      <c r="O579" s="98" t="n"/>
      <c r="P579" s="99" t="n"/>
      <c r="Q579" s="99" t="n"/>
      <c r="R579" s="100" t="n"/>
      <c r="S579" s="98" t="n"/>
      <c r="T579" s="99" t="n"/>
      <c r="U579" s="99" t="n"/>
      <c r="V579" s="100" t="n"/>
      <c r="W579" s="98" t="n"/>
      <c r="X579" s="100" t="n"/>
      <c r="Y579" s="98" t="n"/>
      <c r="Z579" s="100" t="n"/>
      <c r="AB579" s="101">
        <f>IF($B579="","",(COUNTIF(C558:E575,$B579)+COUNTIF(C558:E575,$B579&amp;" ~*")&gt;0)+(COUNTIF(G558:I575,$B579)+COUNTIF(G558:I575,$B579&amp;" ~*")&gt;0)+(COUNTIF(K558:M575,$B579)+COUNTIF(K558:M575,$B579&amp;" ~*")&gt;0)+(COUNTIF(O558:Q575,$B579)+COUNTIF(O558:Q575,$B579&amp;" ~*")&gt;0)+(COUNTIF(S558:U575,$B579)+COUNTIF(S558:U575,$B579&amp;" ~*")&gt;0)+(COUNTIF(W558:W575,$B579)+COUNTIF(W558:W575,$B579&amp;" ~*")&gt;0)+(COUNTIF(Y558:Y575,$B579)+COUNTIF(Y558:Y575,$B579&amp;" ~*")&gt;0))</f>
        <v/>
      </c>
      <c r="AC579" s="36">
        <f>IF($B579="","",(IFERROR(INDEX(Setup!$G$33:$G$40,MATCH(C579,Setup!$B$33:$B$40,0)),0)=1)*(COUNTIF(C558:E575,$B579)+COUNTIF(C558:E575,$B579&amp;" ~*")&gt;0)+(IFERROR(INDEX(Setup!$G$33:$G$40,MATCH(G579,Setup!$B$33:$B$40,0)),0)=1)*(COUNTIF(G558:I575,$B579)+COUNTIF(G558:I575,$B579&amp;" ~*")&gt;0)+(IFERROR(INDEX(Setup!$G$33:$G$40,MATCH(K579,Setup!$B$33:$B$40,0)),0)=1)*(COUNTIF(K558:M575,$B579)+COUNTIF(K558:M575,$B579&amp;" ~*")&gt;0)+(IFERROR(INDEX(Setup!$G$33:$G$40,MATCH(O579,Setup!$B$33:$B$40,0)),0)=1)*(COUNTIF(O558:Q575,$B579)+COUNTIF(O558:Q575,$B579&amp;" ~*")&gt;0)+(IFERROR(INDEX(Setup!$G$33:$G$40,MATCH(S579,Setup!$B$33:$B$40,0)),0)=1)*(COUNTIF(S558:U575,$B579)+COUNTIF(S558:U575,$B579&amp;" ~*")&gt;0)+(IFERROR(INDEX(Setup!$G$33:$G$40,MATCH(W579,Setup!$B$33:$B$40,0)),0)=1)*(COUNTIF(W558:W575,$B579)+COUNTIF(W558:W575,$B579&amp;" ~*")&gt;0)+(IFERROR(INDEX(Setup!$G$33:$G$40,MATCH(Y579,Setup!$B$33:$B$40,0)),0)=1)*(COUNTIF(Y558:Y575,$B579)+COUNTIF(Y558:Y575,$B579&amp;" ~*")&gt;0))</f>
        <v/>
      </c>
    </row>
    <row r="580" ht="15" customHeight="1">
      <c r="A580" t="n">
        <v>12</v>
      </c>
      <c r="B580" s="37">
        <f>IF(Setup!$B$9="","",Setup!$B$9)</f>
        <v/>
      </c>
      <c r="C580" s="102" t="n"/>
      <c r="D580" s="103" t="n"/>
      <c r="E580" s="103" t="n"/>
      <c r="F580" s="104" t="n"/>
      <c r="G580" s="102" t="n"/>
      <c r="H580" s="103" t="n"/>
      <c r="I580" s="103" t="n"/>
      <c r="J580" s="104" t="n"/>
      <c r="K580" s="102" t="n"/>
      <c r="L580" s="103" t="n"/>
      <c r="M580" s="103" t="n"/>
      <c r="N580" s="104" t="n"/>
      <c r="O580" s="102" t="n"/>
      <c r="P580" s="103" t="n"/>
      <c r="Q580" s="103" t="n"/>
      <c r="R580" s="104" t="n"/>
      <c r="S580" s="102" t="n"/>
      <c r="T580" s="103" t="n"/>
      <c r="U580" s="103" t="n"/>
      <c r="V580" s="104" t="n"/>
      <c r="W580" s="102" t="n"/>
      <c r="X580" s="104" t="n"/>
      <c r="Y580" s="102" t="n"/>
      <c r="Z580" s="104" t="n"/>
      <c r="AB580" s="105">
        <f>IF($B580="","",(COUNTIF(C558:E575,$B580)+COUNTIF(C558:E575,$B580&amp;" ~*")&gt;0)+(COUNTIF(G558:I575,$B580)+COUNTIF(G558:I575,$B580&amp;" ~*")&gt;0)+(COUNTIF(K558:M575,$B580)+COUNTIF(K558:M575,$B580&amp;" ~*")&gt;0)+(COUNTIF(O558:Q575,$B580)+COUNTIF(O558:Q575,$B580&amp;" ~*")&gt;0)+(COUNTIF(S558:U575,$B580)+COUNTIF(S558:U575,$B580&amp;" ~*")&gt;0)+(COUNTIF(W558:W575,$B580)+COUNTIF(W558:W575,$B580&amp;" ~*")&gt;0)+(COUNTIF(Y558:Y575,$B580)+COUNTIF(Y558:Y575,$B580&amp;" ~*")&gt;0))</f>
        <v/>
      </c>
      <c r="AC580" s="38">
        <f>IF($B580="","",(IFERROR(INDEX(Setup!$G$33:$G$40,MATCH(C580,Setup!$B$33:$B$40,0)),0)=1)*(COUNTIF(C558:E575,$B580)+COUNTIF(C558:E575,$B580&amp;" ~*")&gt;0)+(IFERROR(INDEX(Setup!$G$33:$G$40,MATCH(G580,Setup!$B$33:$B$40,0)),0)=1)*(COUNTIF(G558:I575,$B580)+COUNTIF(G558:I575,$B580&amp;" ~*")&gt;0)+(IFERROR(INDEX(Setup!$G$33:$G$40,MATCH(K580,Setup!$B$33:$B$40,0)),0)=1)*(COUNTIF(K558:M575,$B580)+COUNTIF(K558:M575,$B580&amp;" ~*")&gt;0)+(IFERROR(INDEX(Setup!$G$33:$G$40,MATCH(O580,Setup!$B$33:$B$40,0)),0)=1)*(COUNTIF(O558:Q575,$B580)+COUNTIF(O558:Q575,$B580&amp;" ~*")&gt;0)+(IFERROR(INDEX(Setup!$G$33:$G$40,MATCH(S580,Setup!$B$33:$B$40,0)),0)=1)*(COUNTIF(S558:U575,$B580)+COUNTIF(S558:U575,$B580&amp;" ~*")&gt;0)+(IFERROR(INDEX(Setup!$G$33:$G$40,MATCH(W580,Setup!$B$33:$B$40,0)),0)=1)*(COUNTIF(W558:W575,$B580)+COUNTIF(W558:W575,$B580&amp;" ~*")&gt;0)+(IFERROR(INDEX(Setup!$G$33:$G$40,MATCH(Y580,Setup!$B$33:$B$40,0)),0)=1)*(COUNTIF(Y558:Y575,$B580)+COUNTIF(Y558:Y575,$B580&amp;" ~*")&gt;0))</f>
        <v/>
      </c>
    </row>
    <row r="581" ht="15" customHeight="1">
      <c r="A581" t="n">
        <v>12</v>
      </c>
      <c r="B581" s="35">
        <f>IF(Setup!$B$10="","",Setup!$B$10)</f>
        <v/>
      </c>
      <c r="C581" s="98" t="n"/>
      <c r="D581" s="99" t="n"/>
      <c r="E581" s="99" t="n"/>
      <c r="F581" s="100" t="n"/>
      <c r="G581" s="98" t="n"/>
      <c r="H581" s="99" t="n"/>
      <c r="I581" s="99" t="n"/>
      <c r="J581" s="100" t="n"/>
      <c r="K581" s="98" t="n"/>
      <c r="L581" s="99" t="n"/>
      <c r="M581" s="99" t="n"/>
      <c r="N581" s="100" t="n"/>
      <c r="O581" s="98" t="n"/>
      <c r="P581" s="99" t="n"/>
      <c r="Q581" s="99" t="n"/>
      <c r="R581" s="100" t="n"/>
      <c r="S581" s="98" t="n"/>
      <c r="T581" s="99" t="n"/>
      <c r="U581" s="99" t="n"/>
      <c r="V581" s="100" t="n"/>
      <c r="W581" s="98" t="n"/>
      <c r="X581" s="100" t="n"/>
      <c r="Y581" s="98" t="n"/>
      <c r="Z581" s="100" t="n"/>
      <c r="AB581" s="101">
        <f>IF($B581="","",(COUNTIF(C558:E575,$B581)+COUNTIF(C558:E575,$B581&amp;" ~*")&gt;0)+(COUNTIF(G558:I575,$B581)+COUNTIF(G558:I575,$B581&amp;" ~*")&gt;0)+(COUNTIF(K558:M575,$B581)+COUNTIF(K558:M575,$B581&amp;" ~*")&gt;0)+(COUNTIF(O558:Q575,$B581)+COUNTIF(O558:Q575,$B581&amp;" ~*")&gt;0)+(COUNTIF(S558:U575,$B581)+COUNTIF(S558:U575,$B581&amp;" ~*")&gt;0)+(COUNTIF(W558:W575,$B581)+COUNTIF(W558:W575,$B581&amp;" ~*")&gt;0)+(COUNTIF(Y558:Y575,$B581)+COUNTIF(Y558:Y575,$B581&amp;" ~*")&gt;0))</f>
        <v/>
      </c>
      <c r="AC581" s="36">
        <f>IF($B581="","",(IFERROR(INDEX(Setup!$G$33:$G$40,MATCH(C581,Setup!$B$33:$B$40,0)),0)=1)*(COUNTIF(C558:E575,$B581)+COUNTIF(C558:E575,$B581&amp;" ~*")&gt;0)+(IFERROR(INDEX(Setup!$G$33:$G$40,MATCH(G581,Setup!$B$33:$B$40,0)),0)=1)*(COUNTIF(G558:I575,$B581)+COUNTIF(G558:I575,$B581&amp;" ~*")&gt;0)+(IFERROR(INDEX(Setup!$G$33:$G$40,MATCH(K581,Setup!$B$33:$B$40,0)),0)=1)*(COUNTIF(K558:M575,$B581)+COUNTIF(K558:M575,$B581&amp;" ~*")&gt;0)+(IFERROR(INDEX(Setup!$G$33:$G$40,MATCH(O581,Setup!$B$33:$B$40,0)),0)=1)*(COUNTIF(O558:Q575,$B581)+COUNTIF(O558:Q575,$B581&amp;" ~*")&gt;0)+(IFERROR(INDEX(Setup!$G$33:$G$40,MATCH(S581,Setup!$B$33:$B$40,0)),0)=1)*(COUNTIF(S558:U575,$B581)+COUNTIF(S558:U575,$B581&amp;" ~*")&gt;0)+(IFERROR(INDEX(Setup!$G$33:$G$40,MATCH(W581,Setup!$B$33:$B$40,0)),0)=1)*(COUNTIF(W558:W575,$B581)+COUNTIF(W558:W575,$B581&amp;" ~*")&gt;0)+(IFERROR(INDEX(Setup!$G$33:$G$40,MATCH(Y581,Setup!$B$33:$B$40,0)),0)=1)*(COUNTIF(Y558:Y575,$B581)+COUNTIF(Y558:Y575,$B581&amp;" ~*")&gt;0))</f>
        <v/>
      </c>
    </row>
    <row r="582" ht="15" customHeight="1">
      <c r="A582" t="n">
        <v>12</v>
      </c>
      <c r="B582" s="37">
        <f>IF(Setup!$B$11="","",Setup!$B$11)</f>
        <v/>
      </c>
      <c r="C582" s="102" t="n"/>
      <c r="D582" s="103" t="n"/>
      <c r="E582" s="103" t="n"/>
      <c r="F582" s="104" t="n"/>
      <c r="G582" s="102" t="n"/>
      <c r="H582" s="103" t="n"/>
      <c r="I582" s="103" t="n"/>
      <c r="J582" s="104" t="n"/>
      <c r="K582" s="102" t="n"/>
      <c r="L582" s="103" t="n"/>
      <c r="M582" s="103" t="n"/>
      <c r="N582" s="104" t="n"/>
      <c r="O582" s="102" t="n"/>
      <c r="P582" s="103" t="n"/>
      <c r="Q582" s="103" t="n"/>
      <c r="R582" s="104" t="n"/>
      <c r="S582" s="102" t="n"/>
      <c r="T582" s="103" t="n"/>
      <c r="U582" s="103" t="n"/>
      <c r="V582" s="104" t="n"/>
      <c r="W582" s="102" t="n"/>
      <c r="X582" s="104" t="n"/>
      <c r="Y582" s="102" t="n"/>
      <c r="Z582" s="104" t="n"/>
      <c r="AB582" s="105">
        <f>IF($B582="","",(COUNTIF(C558:E575,$B582)+COUNTIF(C558:E575,$B582&amp;" ~*")&gt;0)+(COUNTIF(G558:I575,$B582)+COUNTIF(G558:I575,$B582&amp;" ~*")&gt;0)+(COUNTIF(K558:M575,$B582)+COUNTIF(K558:M575,$B582&amp;" ~*")&gt;0)+(COUNTIF(O558:Q575,$B582)+COUNTIF(O558:Q575,$B582&amp;" ~*")&gt;0)+(COUNTIF(S558:U575,$B582)+COUNTIF(S558:U575,$B582&amp;" ~*")&gt;0)+(COUNTIF(W558:W575,$B582)+COUNTIF(W558:W575,$B582&amp;" ~*")&gt;0)+(COUNTIF(Y558:Y575,$B582)+COUNTIF(Y558:Y575,$B582&amp;" ~*")&gt;0))</f>
        <v/>
      </c>
      <c r="AC582" s="38">
        <f>IF($B582="","",(IFERROR(INDEX(Setup!$G$33:$G$40,MATCH(C582,Setup!$B$33:$B$40,0)),0)=1)*(COUNTIF(C558:E575,$B582)+COUNTIF(C558:E575,$B582&amp;" ~*")&gt;0)+(IFERROR(INDEX(Setup!$G$33:$G$40,MATCH(G582,Setup!$B$33:$B$40,0)),0)=1)*(COUNTIF(G558:I575,$B582)+COUNTIF(G558:I575,$B582&amp;" ~*")&gt;0)+(IFERROR(INDEX(Setup!$G$33:$G$40,MATCH(K582,Setup!$B$33:$B$40,0)),0)=1)*(COUNTIF(K558:M575,$B582)+COUNTIF(K558:M575,$B582&amp;" ~*")&gt;0)+(IFERROR(INDEX(Setup!$G$33:$G$40,MATCH(O582,Setup!$B$33:$B$40,0)),0)=1)*(COUNTIF(O558:Q575,$B582)+COUNTIF(O558:Q575,$B582&amp;" ~*")&gt;0)+(IFERROR(INDEX(Setup!$G$33:$G$40,MATCH(S582,Setup!$B$33:$B$40,0)),0)=1)*(COUNTIF(S558:U575,$B582)+COUNTIF(S558:U575,$B582&amp;" ~*")&gt;0)+(IFERROR(INDEX(Setup!$G$33:$G$40,MATCH(W582,Setup!$B$33:$B$40,0)),0)=1)*(COUNTIF(W558:W575,$B582)+COUNTIF(W558:W575,$B582&amp;" ~*")&gt;0)+(IFERROR(INDEX(Setup!$G$33:$G$40,MATCH(Y582,Setup!$B$33:$B$40,0)),0)=1)*(COUNTIF(Y558:Y575,$B582)+COUNTIF(Y558:Y575,$B582&amp;" ~*")&gt;0))</f>
        <v/>
      </c>
    </row>
    <row r="583" ht="15" customHeight="1">
      <c r="A583" t="n">
        <v>12</v>
      </c>
      <c r="B583" s="35">
        <f>IF(Setup!$B$12="","",Setup!$B$12)</f>
        <v/>
      </c>
      <c r="C583" s="98" t="n"/>
      <c r="D583" s="99" t="n"/>
      <c r="E583" s="99" t="n"/>
      <c r="F583" s="100" t="n"/>
      <c r="G583" s="98" t="n"/>
      <c r="H583" s="99" t="n"/>
      <c r="I583" s="99" t="n"/>
      <c r="J583" s="100" t="n"/>
      <c r="K583" s="98" t="n"/>
      <c r="L583" s="99" t="n"/>
      <c r="M583" s="99" t="n"/>
      <c r="N583" s="100" t="n"/>
      <c r="O583" s="98" t="n"/>
      <c r="P583" s="99" t="n"/>
      <c r="Q583" s="99" t="n"/>
      <c r="R583" s="100" t="n"/>
      <c r="S583" s="98" t="n"/>
      <c r="T583" s="99" t="n"/>
      <c r="U583" s="99" t="n"/>
      <c r="V583" s="100" t="n"/>
      <c r="W583" s="98" t="n"/>
      <c r="X583" s="100" t="n"/>
      <c r="Y583" s="98" t="n"/>
      <c r="Z583" s="100" t="n"/>
      <c r="AB583" s="101">
        <f>IF($B583="","",(COUNTIF(C558:E575,$B583)+COUNTIF(C558:E575,$B583&amp;" ~*")&gt;0)+(COUNTIF(G558:I575,$B583)+COUNTIF(G558:I575,$B583&amp;" ~*")&gt;0)+(COUNTIF(K558:M575,$B583)+COUNTIF(K558:M575,$B583&amp;" ~*")&gt;0)+(COUNTIF(O558:Q575,$B583)+COUNTIF(O558:Q575,$B583&amp;" ~*")&gt;0)+(COUNTIF(S558:U575,$B583)+COUNTIF(S558:U575,$B583&amp;" ~*")&gt;0)+(COUNTIF(W558:W575,$B583)+COUNTIF(W558:W575,$B583&amp;" ~*")&gt;0)+(COUNTIF(Y558:Y575,$B583)+COUNTIF(Y558:Y575,$B583&amp;" ~*")&gt;0))</f>
        <v/>
      </c>
      <c r="AC583" s="36">
        <f>IF($B583="","",(IFERROR(INDEX(Setup!$G$33:$G$40,MATCH(C583,Setup!$B$33:$B$40,0)),0)=1)*(COUNTIF(C558:E575,$B583)+COUNTIF(C558:E575,$B583&amp;" ~*")&gt;0)+(IFERROR(INDEX(Setup!$G$33:$G$40,MATCH(G583,Setup!$B$33:$B$40,0)),0)=1)*(COUNTIF(G558:I575,$B583)+COUNTIF(G558:I575,$B583&amp;" ~*")&gt;0)+(IFERROR(INDEX(Setup!$G$33:$G$40,MATCH(K583,Setup!$B$33:$B$40,0)),0)=1)*(COUNTIF(K558:M575,$B583)+COUNTIF(K558:M575,$B583&amp;" ~*")&gt;0)+(IFERROR(INDEX(Setup!$G$33:$G$40,MATCH(O583,Setup!$B$33:$B$40,0)),0)=1)*(COUNTIF(O558:Q575,$B583)+COUNTIF(O558:Q575,$B583&amp;" ~*")&gt;0)+(IFERROR(INDEX(Setup!$G$33:$G$40,MATCH(S583,Setup!$B$33:$B$40,0)),0)=1)*(COUNTIF(S558:U575,$B583)+COUNTIF(S558:U575,$B583&amp;" ~*")&gt;0)+(IFERROR(INDEX(Setup!$G$33:$G$40,MATCH(W583,Setup!$B$33:$B$40,0)),0)=1)*(COUNTIF(W558:W575,$B583)+COUNTIF(W558:W575,$B583&amp;" ~*")&gt;0)+(IFERROR(INDEX(Setup!$G$33:$G$40,MATCH(Y583,Setup!$B$33:$B$40,0)),0)=1)*(COUNTIF(Y558:Y575,$B583)+COUNTIF(Y558:Y575,$B583&amp;" ~*")&gt;0))</f>
        <v/>
      </c>
    </row>
    <row r="584" ht="15" customHeight="1">
      <c r="A584" t="n">
        <v>12</v>
      </c>
      <c r="B584" s="37">
        <f>IF(Setup!$B$13="","",Setup!$B$13)</f>
        <v/>
      </c>
      <c r="C584" s="102" t="n"/>
      <c r="D584" s="103" t="n"/>
      <c r="E584" s="103" t="n"/>
      <c r="F584" s="104" t="n"/>
      <c r="G584" s="102" t="n"/>
      <c r="H584" s="103" t="n"/>
      <c r="I584" s="103" t="n"/>
      <c r="J584" s="104" t="n"/>
      <c r="K584" s="102" t="n"/>
      <c r="L584" s="103" t="n"/>
      <c r="M584" s="103" t="n"/>
      <c r="N584" s="104" t="n"/>
      <c r="O584" s="102" t="n"/>
      <c r="P584" s="103" t="n"/>
      <c r="Q584" s="103" t="n"/>
      <c r="R584" s="104" t="n"/>
      <c r="S584" s="102" t="n"/>
      <c r="T584" s="103" t="n"/>
      <c r="U584" s="103" t="n"/>
      <c r="V584" s="104" t="n"/>
      <c r="W584" s="102" t="n"/>
      <c r="X584" s="104" t="n"/>
      <c r="Y584" s="102" t="n"/>
      <c r="Z584" s="104" t="n"/>
      <c r="AB584" s="105">
        <f>IF($B584="","",(COUNTIF(C558:E575,$B584)+COUNTIF(C558:E575,$B584&amp;" ~*")&gt;0)+(COUNTIF(G558:I575,$B584)+COUNTIF(G558:I575,$B584&amp;" ~*")&gt;0)+(COUNTIF(K558:M575,$B584)+COUNTIF(K558:M575,$B584&amp;" ~*")&gt;0)+(COUNTIF(O558:Q575,$B584)+COUNTIF(O558:Q575,$B584&amp;" ~*")&gt;0)+(COUNTIF(S558:U575,$B584)+COUNTIF(S558:U575,$B584&amp;" ~*")&gt;0)+(COUNTIF(W558:W575,$B584)+COUNTIF(W558:W575,$B584&amp;" ~*")&gt;0)+(COUNTIF(Y558:Y575,$B584)+COUNTIF(Y558:Y575,$B584&amp;" ~*")&gt;0))</f>
        <v/>
      </c>
      <c r="AC584" s="38">
        <f>IF($B584="","",(IFERROR(INDEX(Setup!$G$33:$G$40,MATCH(C584,Setup!$B$33:$B$40,0)),0)=1)*(COUNTIF(C558:E575,$B584)+COUNTIF(C558:E575,$B584&amp;" ~*")&gt;0)+(IFERROR(INDEX(Setup!$G$33:$G$40,MATCH(G584,Setup!$B$33:$B$40,0)),0)=1)*(COUNTIF(G558:I575,$B584)+COUNTIF(G558:I575,$B584&amp;" ~*")&gt;0)+(IFERROR(INDEX(Setup!$G$33:$G$40,MATCH(K584,Setup!$B$33:$B$40,0)),0)=1)*(COUNTIF(K558:M575,$B584)+COUNTIF(K558:M575,$B584&amp;" ~*")&gt;0)+(IFERROR(INDEX(Setup!$G$33:$G$40,MATCH(O584,Setup!$B$33:$B$40,0)),0)=1)*(COUNTIF(O558:Q575,$B584)+COUNTIF(O558:Q575,$B584&amp;" ~*")&gt;0)+(IFERROR(INDEX(Setup!$G$33:$G$40,MATCH(S584,Setup!$B$33:$B$40,0)),0)=1)*(COUNTIF(S558:U575,$B584)+COUNTIF(S558:U575,$B584&amp;" ~*")&gt;0)+(IFERROR(INDEX(Setup!$G$33:$G$40,MATCH(W584,Setup!$B$33:$B$40,0)),0)=1)*(COUNTIF(W558:W575,$B584)+COUNTIF(W558:W575,$B584&amp;" ~*")&gt;0)+(IFERROR(INDEX(Setup!$G$33:$G$40,MATCH(Y584,Setup!$B$33:$B$40,0)),0)=1)*(COUNTIF(Y558:Y575,$B584)+COUNTIF(Y558:Y575,$B584&amp;" ~*")&gt;0))</f>
        <v/>
      </c>
    </row>
    <row r="585" ht="15" customHeight="1">
      <c r="A585" t="n">
        <v>12</v>
      </c>
      <c r="B585" s="35">
        <f>IF(Setup!$B$14="","",Setup!$B$14)</f>
        <v/>
      </c>
      <c r="C585" s="98" t="n"/>
      <c r="D585" s="99" t="n"/>
      <c r="E585" s="99" t="n"/>
      <c r="F585" s="100" t="n"/>
      <c r="G585" s="98" t="n"/>
      <c r="H585" s="99" t="n"/>
      <c r="I585" s="99" t="n"/>
      <c r="J585" s="100" t="n"/>
      <c r="K585" s="98" t="n"/>
      <c r="L585" s="99" t="n"/>
      <c r="M585" s="99" t="n"/>
      <c r="N585" s="100" t="n"/>
      <c r="O585" s="98" t="n"/>
      <c r="P585" s="99" t="n"/>
      <c r="Q585" s="99" t="n"/>
      <c r="R585" s="100" t="n"/>
      <c r="S585" s="98" t="n"/>
      <c r="T585" s="99" t="n"/>
      <c r="U585" s="99" t="n"/>
      <c r="V585" s="100" t="n"/>
      <c r="W585" s="98" t="n"/>
      <c r="X585" s="100" t="n"/>
      <c r="Y585" s="98" t="n"/>
      <c r="Z585" s="100" t="n"/>
      <c r="AB585" s="101">
        <f>IF($B585="","",(COUNTIF(C558:E575,$B585)+COUNTIF(C558:E575,$B585&amp;" ~*")&gt;0)+(COUNTIF(G558:I575,$B585)+COUNTIF(G558:I575,$B585&amp;" ~*")&gt;0)+(COUNTIF(K558:M575,$B585)+COUNTIF(K558:M575,$B585&amp;" ~*")&gt;0)+(COUNTIF(O558:Q575,$B585)+COUNTIF(O558:Q575,$B585&amp;" ~*")&gt;0)+(COUNTIF(S558:U575,$B585)+COUNTIF(S558:U575,$B585&amp;" ~*")&gt;0)+(COUNTIF(W558:W575,$B585)+COUNTIF(W558:W575,$B585&amp;" ~*")&gt;0)+(COUNTIF(Y558:Y575,$B585)+COUNTIF(Y558:Y575,$B585&amp;" ~*")&gt;0))</f>
        <v/>
      </c>
      <c r="AC585" s="36">
        <f>IF($B585="","",(IFERROR(INDEX(Setup!$G$33:$G$40,MATCH(C585,Setup!$B$33:$B$40,0)),0)=1)*(COUNTIF(C558:E575,$B585)+COUNTIF(C558:E575,$B585&amp;" ~*")&gt;0)+(IFERROR(INDEX(Setup!$G$33:$G$40,MATCH(G585,Setup!$B$33:$B$40,0)),0)=1)*(COUNTIF(G558:I575,$B585)+COUNTIF(G558:I575,$B585&amp;" ~*")&gt;0)+(IFERROR(INDEX(Setup!$G$33:$G$40,MATCH(K585,Setup!$B$33:$B$40,0)),0)=1)*(COUNTIF(K558:M575,$B585)+COUNTIF(K558:M575,$B585&amp;" ~*")&gt;0)+(IFERROR(INDEX(Setup!$G$33:$G$40,MATCH(O585,Setup!$B$33:$B$40,0)),0)=1)*(COUNTIF(O558:Q575,$B585)+COUNTIF(O558:Q575,$B585&amp;" ~*")&gt;0)+(IFERROR(INDEX(Setup!$G$33:$G$40,MATCH(S585,Setup!$B$33:$B$40,0)),0)=1)*(COUNTIF(S558:U575,$B585)+COUNTIF(S558:U575,$B585&amp;" ~*")&gt;0)+(IFERROR(INDEX(Setup!$G$33:$G$40,MATCH(W585,Setup!$B$33:$B$40,0)),0)=1)*(COUNTIF(W558:W575,$B585)+COUNTIF(W558:W575,$B585&amp;" ~*")&gt;0)+(IFERROR(INDEX(Setup!$G$33:$G$40,MATCH(Y585,Setup!$B$33:$B$40,0)),0)=1)*(COUNTIF(Y558:Y575,$B585)+COUNTIF(Y558:Y575,$B585&amp;" ~*")&gt;0))</f>
        <v/>
      </c>
    </row>
    <row r="586" ht="15" customHeight="1">
      <c r="A586" t="n">
        <v>12</v>
      </c>
      <c r="B586" s="37">
        <f>IF(Setup!$B$15="","",Setup!$B$15)</f>
        <v/>
      </c>
      <c r="C586" s="102" t="n"/>
      <c r="D586" s="103" t="n"/>
      <c r="E586" s="103" t="n"/>
      <c r="F586" s="104" t="n"/>
      <c r="G586" s="102" t="n"/>
      <c r="H586" s="103" t="n"/>
      <c r="I586" s="103" t="n"/>
      <c r="J586" s="104" t="n"/>
      <c r="K586" s="102" t="n"/>
      <c r="L586" s="103" t="n"/>
      <c r="M586" s="103" t="n"/>
      <c r="N586" s="104" t="n"/>
      <c r="O586" s="102" t="n"/>
      <c r="P586" s="103" t="n"/>
      <c r="Q586" s="103" t="n"/>
      <c r="R586" s="104" t="n"/>
      <c r="S586" s="102" t="n"/>
      <c r="T586" s="103" t="n"/>
      <c r="U586" s="103" t="n"/>
      <c r="V586" s="104" t="n"/>
      <c r="W586" s="102" t="n"/>
      <c r="X586" s="104" t="n"/>
      <c r="Y586" s="102" t="n"/>
      <c r="Z586" s="104" t="n"/>
      <c r="AB586" s="105">
        <f>IF($B586="","",(COUNTIF(C558:E575,$B586)+COUNTIF(C558:E575,$B586&amp;" ~*")&gt;0)+(COUNTIF(G558:I575,$B586)+COUNTIF(G558:I575,$B586&amp;" ~*")&gt;0)+(COUNTIF(K558:M575,$B586)+COUNTIF(K558:M575,$B586&amp;" ~*")&gt;0)+(COUNTIF(O558:Q575,$B586)+COUNTIF(O558:Q575,$B586&amp;" ~*")&gt;0)+(COUNTIF(S558:U575,$B586)+COUNTIF(S558:U575,$B586&amp;" ~*")&gt;0)+(COUNTIF(W558:W575,$B586)+COUNTIF(W558:W575,$B586&amp;" ~*")&gt;0)+(COUNTIF(Y558:Y575,$B586)+COUNTIF(Y558:Y575,$B586&amp;" ~*")&gt;0))</f>
        <v/>
      </c>
      <c r="AC586" s="38">
        <f>IF($B586="","",(IFERROR(INDEX(Setup!$G$33:$G$40,MATCH(C586,Setup!$B$33:$B$40,0)),0)=1)*(COUNTIF(C558:E575,$B586)+COUNTIF(C558:E575,$B586&amp;" ~*")&gt;0)+(IFERROR(INDEX(Setup!$G$33:$G$40,MATCH(G586,Setup!$B$33:$B$40,0)),0)=1)*(COUNTIF(G558:I575,$B586)+COUNTIF(G558:I575,$B586&amp;" ~*")&gt;0)+(IFERROR(INDEX(Setup!$G$33:$G$40,MATCH(K586,Setup!$B$33:$B$40,0)),0)=1)*(COUNTIF(K558:M575,$B586)+COUNTIF(K558:M575,$B586&amp;" ~*")&gt;0)+(IFERROR(INDEX(Setup!$G$33:$G$40,MATCH(O586,Setup!$B$33:$B$40,0)),0)=1)*(COUNTIF(O558:Q575,$B586)+COUNTIF(O558:Q575,$B586&amp;" ~*")&gt;0)+(IFERROR(INDEX(Setup!$G$33:$G$40,MATCH(S586,Setup!$B$33:$B$40,0)),0)=1)*(COUNTIF(S558:U575,$B586)+COUNTIF(S558:U575,$B586&amp;" ~*")&gt;0)+(IFERROR(INDEX(Setup!$G$33:$G$40,MATCH(W586,Setup!$B$33:$B$40,0)),0)=1)*(COUNTIF(W558:W575,$B586)+COUNTIF(W558:W575,$B586&amp;" ~*")&gt;0)+(IFERROR(INDEX(Setup!$G$33:$G$40,MATCH(Y586,Setup!$B$33:$B$40,0)),0)=1)*(COUNTIF(Y558:Y575,$B586)+COUNTIF(Y558:Y575,$B586&amp;" ~*")&gt;0))</f>
        <v/>
      </c>
    </row>
    <row r="587" ht="15" customHeight="1">
      <c r="A587" t="n">
        <v>12</v>
      </c>
      <c r="B587" s="35">
        <f>IF(Setup!$B$16="","",Setup!$B$16)</f>
        <v/>
      </c>
      <c r="C587" s="98" t="n"/>
      <c r="D587" s="99" t="n"/>
      <c r="E587" s="99" t="n"/>
      <c r="F587" s="100" t="n"/>
      <c r="G587" s="98" t="n"/>
      <c r="H587" s="99" t="n"/>
      <c r="I587" s="99" t="n"/>
      <c r="J587" s="100" t="n"/>
      <c r="K587" s="98" t="n"/>
      <c r="L587" s="99" t="n"/>
      <c r="M587" s="99" t="n"/>
      <c r="N587" s="100" t="n"/>
      <c r="O587" s="98" t="n"/>
      <c r="P587" s="99" t="n"/>
      <c r="Q587" s="99" t="n"/>
      <c r="R587" s="100" t="n"/>
      <c r="S587" s="98" t="n"/>
      <c r="T587" s="99" t="n"/>
      <c r="U587" s="99" t="n"/>
      <c r="V587" s="100" t="n"/>
      <c r="W587" s="98" t="n"/>
      <c r="X587" s="100" t="n"/>
      <c r="Y587" s="98" t="n"/>
      <c r="Z587" s="100" t="n"/>
      <c r="AB587" s="101">
        <f>IF($B587="","",(COUNTIF(C558:E575,$B587)+COUNTIF(C558:E575,$B587&amp;" ~*")&gt;0)+(COUNTIF(G558:I575,$B587)+COUNTIF(G558:I575,$B587&amp;" ~*")&gt;0)+(COUNTIF(K558:M575,$B587)+COUNTIF(K558:M575,$B587&amp;" ~*")&gt;0)+(COUNTIF(O558:Q575,$B587)+COUNTIF(O558:Q575,$B587&amp;" ~*")&gt;0)+(COUNTIF(S558:U575,$B587)+COUNTIF(S558:U575,$B587&amp;" ~*")&gt;0)+(COUNTIF(W558:W575,$B587)+COUNTIF(W558:W575,$B587&amp;" ~*")&gt;0)+(COUNTIF(Y558:Y575,$B587)+COUNTIF(Y558:Y575,$B587&amp;" ~*")&gt;0))</f>
        <v/>
      </c>
      <c r="AC587" s="36">
        <f>IF($B587="","",(IFERROR(INDEX(Setup!$G$33:$G$40,MATCH(C587,Setup!$B$33:$B$40,0)),0)=1)*(COUNTIF(C558:E575,$B587)+COUNTIF(C558:E575,$B587&amp;" ~*")&gt;0)+(IFERROR(INDEX(Setup!$G$33:$G$40,MATCH(G587,Setup!$B$33:$B$40,0)),0)=1)*(COUNTIF(G558:I575,$B587)+COUNTIF(G558:I575,$B587&amp;" ~*")&gt;0)+(IFERROR(INDEX(Setup!$G$33:$G$40,MATCH(K587,Setup!$B$33:$B$40,0)),0)=1)*(COUNTIF(K558:M575,$B587)+COUNTIF(K558:M575,$B587&amp;" ~*")&gt;0)+(IFERROR(INDEX(Setup!$G$33:$G$40,MATCH(O587,Setup!$B$33:$B$40,0)),0)=1)*(COUNTIF(O558:Q575,$B587)+COUNTIF(O558:Q575,$B587&amp;" ~*")&gt;0)+(IFERROR(INDEX(Setup!$G$33:$G$40,MATCH(S587,Setup!$B$33:$B$40,0)),0)=1)*(COUNTIF(S558:U575,$B587)+COUNTIF(S558:U575,$B587&amp;" ~*")&gt;0)+(IFERROR(INDEX(Setup!$G$33:$G$40,MATCH(W587,Setup!$B$33:$B$40,0)),0)=1)*(COUNTIF(W558:W575,$B587)+COUNTIF(W558:W575,$B587&amp;" ~*")&gt;0)+(IFERROR(INDEX(Setup!$G$33:$G$40,MATCH(Y587,Setup!$B$33:$B$40,0)),0)=1)*(COUNTIF(Y558:Y575,$B587)+COUNTIF(Y558:Y575,$B587&amp;" ~*")&gt;0))</f>
        <v/>
      </c>
    </row>
    <row r="588" ht="15" customHeight="1">
      <c r="A588" t="n">
        <v>12</v>
      </c>
      <c r="B588" s="37">
        <f>IF(Setup!$B$17="","",Setup!$B$17)</f>
        <v/>
      </c>
      <c r="C588" s="102" t="n"/>
      <c r="D588" s="103" t="n"/>
      <c r="E588" s="103" t="n"/>
      <c r="F588" s="104" t="n"/>
      <c r="G588" s="102" t="n"/>
      <c r="H588" s="103" t="n"/>
      <c r="I588" s="103" t="n"/>
      <c r="J588" s="104" t="n"/>
      <c r="K588" s="102" t="n"/>
      <c r="L588" s="103" t="n"/>
      <c r="M588" s="103" t="n"/>
      <c r="N588" s="104" t="n"/>
      <c r="O588" s="102" t="n"/>
      <c r="P588" s="103" t="n"/>
      <c r="Q588" s="103" t="n"/>
      <c r="R588" s="104" t="n"/>
      <c r="S588" s="102" t="n"/>
      <c r="T588" s="103" t="n"/>
      <c r="U588" s="103" t="n"/>
      <c r="V588" s="104" t="n"/>
      <c r="W588" s="102" t="n"/>
      <c r="X588" s="104" t="n"/>
      <c r="Y588" s="102" t="n"/>
      <c r="Z588" s="104" t="n"/>
      <c r="AB588" s="105">
        <f>IF($B588="","",(COUNTIF(C558:E575,$B588)+COUNTIF(C558:E575,$B588&amp;" ~*")&gt;0)+(COUNTIF(G558:I575,$B588)+COUNTIF(G558:I575,$B588&amp;" ~*")&gt;0)+(COUNTIF(K558:M575,$B588)+COUNTIF(K558:M575,$B588&amp;" ~*")&gt;0)+(COUNTIF(O558:Q575,$B588)+COUNTIF(O558:Q575,$B588&amp;" ~*")&gt;0)+(COUNTIF(S558:U575,$B588)+COUNTIF(S558:U575,$B588&amp;" ~*")&gt;0)+(COUNTIF(W558:W575,$B588)+COUNTIF(W558:W575,$B588&amp;" ~*")&gt;0)+(COUNTIF(Y558:Y575,$B588)+COUNTIF(Y558:Y575,$B588&amp;" ~*")&gt;0))</f>
        <v/>
      </c>
      <c r="AC588" s="38">
        <f>IF($B588="","",(IFERROR(INDEX(Setup!$G$33:$G$40,MATCH(C588,Setup!$B$33:$B$40,0)),0)=1)*(COUNTIF(C558:E575,$B588)+COUNTIF(C558:E575,$B588&amp;" ~*")&gt;0)+(IFERROR(INDEX(Setup!$G$33:$G$40,MATCH(G588,Setup!$B$33:$B$40,0)),0)=1)*(COUNTIF(G558:I575,$B588)+COUNTIF(G558:I575,$B588&amp;" ~*")&gt;0)+(IFERROR(INDEX(Setup!$G$33:$G$40,MATCH(K588,Setup!$B$33:$B$40,0)),0)=1)*(COUNTIF(K558:M575,$B588)+COUNTIF(K558:M575,$B588&amp;" ~*")&gt;0)+(IFERROR(INDEX(Setup!$G$33:$G$40,MATCH(O588,Setup!$B$33:$B$40,0)),0)=1)*(COUNTIF(O558:Q575,$B588)+COUNTIF(O558:Q575,$B588&amp;" ~*")&gt;0)+(IFERROR(INDEX(Setup!$G$33:$G$40,MATCH(S588,Setup!$B$33:$B$40,0)),0)=1)*(COUNTIF(S558:U575,$B588)+COUNTIF(S558:U575,$B588&amp;" ~*")&gt;0)+(IFERROR(INDEX(Setup!$G$33:$G$40,MATCH(W588,Setup!$B$33:$B$40,0)),0)=1)*(COUNTIF(W558:W575,$B588)+COUNTIF(W558:W575,$B588&amp;" ~*")&gt;0)+(IFERROR(INDEX(Setup!$G$33:$G$40,MATCH(Y588,Setup!$B$33:$B$40,0)),0)=1)*(COUNTIF(Y558:Y575,$B588)+COUNTIF(Y558:Y575,$B588&amp;" ~*")&gt;0))</f>
        <v/>
      </c>
    </row>
    <row r="589" ht="15" customHeight="1">
      <c r="A589" t="n">
        <v>12</v>
      </c>
      <c r="B589" s="35">
        <f>IF(Setup!$B$18="","",Setup!$B$18)</f>
        <v/>
      </c>
      <c r="C589" s="98" t="n"/>
      <c r="D589" s="99" t="n"/>
      <c r="E589" s="99" t="n"/>
      <c r="F589" s="100" t="n"/>
      <c r="G589" s="98" t="n"/>
      <c r="H589" s="99" t="n"/>
      <c r="I589" s="99" t="n"/>
      <c r="J589" s="100" t="n"/>
      <c r="K589" s="98" t="n"/>
      <c r="L589" s="99" t="n"/>
      <c r="M589" s="99" t="n"/>
      <c r="N589" s="100" t="n"/>
      <c r="O589" s="98" t="n"/>
      <c r="P589" s="99" t="n"/>
      <c r="Q589" s="99" t="n"/>
      <c r="R589" s="100" t="n"/>
      <c r="S589" s="98" t="n"/>
      <c r="T589" s="99" t="n"/>
      <c r="U589" s="99" t="n"/>
      <c r="V589" s="100" t="n"/>
      <c r="W589" s="98" t="n"/>
      <c r="X589" s="100" t="n"/>
      <c r="Y589" s="98" t="n"/>
      <c r="Z589" s="100" t="n"/>
      <c r="AB589" s="101">
        <f>IF($B589="","",(COUNTIF(C558:E575,$B589)+COUNTIF(C558:E575,$B589&amp;" ~*")&gt;0)+(COUNTIF(G558:I575,$B589)+COUNTIF(G558:I575,$B589&amp;" ~*")&gt;0)+(COUNTIF(K558:M575,$B589)+COUNTIF(K558:M575,$B589&amp;" ~*")&gt;0)+(COUNTIF(O558:Q575,$B589)+COUNTIF(O558:Q575,$B589&amp;" ~*")&gt;0)+(COUNTIF(S558:U575,$B589)+COUNTIF(S558:U575,$B589&amp;" ~*")&gt;0)+(COUNTIF(W558:W575,$B589)+COUNTIF(W558:W575,$B589&amp;" ~*")&gt;0)+(COUNTIF(Y558:Y575,$B589)+COUNTIF(Y558:Y575,$B589&amp;" ~*")&gt;0))</f>
        <v/>
      </c>
      <c r="AC589" s="36">
        <f>IF($B589="","",(IFERROR(INDEX(Setup!$G$33:$G$40,MATCH(C589,Setup!$B$33:$B$40,0)),0)=1)*(COUNTIF(C558:E575,$B589)+COUNTIF(C558:E575,$B589&amp;" ~*")&gt;0)+(IFERROR(INDEX(Setup!$G$33:$G$40,MATCH(G589,Setup!$B$33:$B$40,0)),0)=1)*(COUNTIF(G558:I575,$B589)+COUNTIF(G558:I575,$B589&amp;" ~*")&gt;0)+(IFERROR(INDEX(Setup!$G$33:$G$40,MATCH(K589,Setup!$B$33:$B$40,0)),0)=1)*(COUNTIF(K558:M575,$B589)+COUNTIF(K558:M575,$B589&amp;" ~*")&gt;0)+(IFERROR(INDEX(Setup!$G$33:$G$40,MATCH(O589,Setup!$B$33:$B$40,0)),0)=1)*(COUNTIF(O558:Q575,$B589)+COUNTIF(O558:Q575,$B589&amp;" ~*")&gt;0)+(IFERROR(INDEX(Setup!$G$33:$G$40,MATCH(S589,Setup!$B$33:$B$40,0)),0)=1)*(COUNTIF(S558:U575,$B589)+COUNTIF(S558:U575,$B589&amp;" ~*")&gt;0)+(IFERROR(INDEX(Setup!$G$33:$G$40,MATCH(W589,Setup!$B$33:$B$40,0)),0)=1)*(COUNTIF(W558:W575,$B589)+COUNTIF(W558:W575,$B589&amp;" ~*")&gt;0)+(IFERROR(INDEX(Setup!$G$33:$G$40,MATCH(Y589,Setup!$B$33:$B$40,0)),0)=1)*(COUNTIF(Y558:Y575,$B589)+COUNTIF(Y558:Y575,$B589&amp;" ~*")&gt;0))</f>
        <v/>
      </c>
    </row>
    <row r="590" ht="15" customHeight="1">
      <c r="A590" t="n">
        <v>12</v>
      </c>
      <c r="B590" s="37">
        <f>IF(Setup!$B$19="","",Setup!$B$19)</f>
        <v/>
      </c>
      <c r="C590" s="102" t="n"/>
      <c r="D590" s="103" t="n"/>
      <c r="E590" s="103" t="n"/>
      <c r="F590" s="104" t="n"/>
      <c r="G590" s="102" t="n"/>
      <c r="H590" s="103" t="n"/>
      <c r="I590" s="103" t="n"/>
      <c r="J590" s="104" t="n"/>
      <c r="K590" s="102" t="n"/>
      <c r="L590" s="103" t="n"/>
      <c r="M590" s="103" t="n"/>
      <c r="N590" s="104" t="n"/>
      <c r="O590" s="102" t="n"/>
      <c r="P590" s="103" t="n"/>
      <c r="Q590" s="103" t="n"/>
      <c r="R590" s="104" t="n"/>
      <c r="S590" s="102" t="n"/>
      <c r="T590" s="103" t="n"/>
      <c r="U590" s="103" t="n"/>
      <c r="V590" s="104" t="n"/>
      <c r="W590" s="102" t="n"/>
      <c r="X590" s="104" t="n"/>
      <c r="Y590" s="102" t="n"/>
      <c r="Z590" s="104" t="n"/>
      <c r="AB590" s="105">
        <f>IF($B590="","",(COUNTIF(C558:E575,$B590)+COUNTIF(C558:E575,$B590&amp;" ~*")&gt;0)+(COUNTIF(G558:I575,$B590)+COUNTIF(G558:I575,$B590&amp;" ~*")&gt;0)+(COUNTIF(K558:M575,$B590)+COUNTIF(K558:M575,$B590&amp;" ~*")&gt;0)+(COUNTIF(O558:Q575,$B590)+COUNTIF(O558:Q575,$B590&amp;" ~*")&gt;0)+(COUNTIF(S558:U575,$B590)+COUNTIF(S558:U575,$B590&amp;" ~*")&gt;0)+(COUNTIF(W558:W575,$B590)+COUNTIF(W558:W575,$B590&amp;" ~*")&gt;0)+(COUNTIF(Y558:Y575,$B590)+COUNTIF(Y558:Y575,$B590&amp;" ~*")&gt;0))</f>
        <v/>
      </c>
      <c r="AC590" s="38">
        <f>IF($B590="","",(IFERROR(INDEX(Setup!$G$33:$G$40,MATCH(C590,Setup!$B$33:$B$40,0)),0)=1)*(COUNTIF(C558:E575,$B590)+COUNTIF(C558:E575,$B590&amp;" ~*")&gt;0)+(IFERROR(INDEX(Setup!$G$33:$G$40,MATCH(G590,Setup!$B$33:$B$40,0)),0)=1)*(COUNTIF(G558:I575,$B590)+COUNTIF(G558:I575,$B590&amp;" ~*")&gt;0)+(IFERROR(INDEX(Setup!$G$33:$G$40,MATCH(K590,Setup!$B$33:$B$40,0)),0)=1)*(COUNTIF(K558:M575,$B590)+COUNTIF(K558:M575,$B590&amp;" ~*")&gt;0)+(IFERROR(INDEX(Setup!$G$33:$G$40,MATCH(O590,Setup!$B$33:$B$40,0)),0)=1)*(COUNTIF(O558:Q575,$B590)+COUNTIF(O558:Q575,$B590&amp;" ~*")&gt;0)+(IFERROR(INDEX(Setup!$G$33:$G$40,MATCH(S590,Setup!$B$33:$B$40,0)),0)=1)*(COUNTIF(S558:U575,$B590)+COUNTIF(S558:U575,$B590&amp;" ~*")&gt;0)+(IFERROR(INDEX(Setup!$G$33:$G$40,MATCH(W590,Setup!$B$33:$B$40,0)),0)=1)*(COUNTIF(W558:W575,$B590)+COUNTIF(W558:W575,$B590&amp;" ~*")&gt;0)+(IFERROR(INDEX(Setup!$G$33:$G$40,MATCH(Y590,Setup!$B$33:$B$40,0)),0)=1)*(COUNTIF(Y558:Y575,$B590)+COUNTIF(Y558:Y575,$B590&amp;" ~*")&gt;0))</f>
        <v/>
      </c>
    </row>
    <row r="591" ht="15" customHeight="1">
      <c r="A591" t="n">
        <v>12</v>
      </c>
      <c r="B591" s="35">
        <f>IF(Setup!$B$20="","",Setup!$B$20)</f>
        <v/>
      </c>
      <c r="C591" s="98" t="n"/>
      <c r="D591" s="99" t="n"/>
      <c r="E591" s="99" t="n"/>
      <c r="F591" s="100" t="n"/>
      <c r="G591" s="98" t="n"/>
      <c r="H591" s="99" t="n"/>
      <c r="I591" s="99" t="n"/>
      <c r="J591" s="100" t="n"/>
      <c r="K591" s="98" t="n"/>
      <c r="L591" s="99" t="n"/>
      <c r="M591" s="99" t="n"/>
      <c r="N591" s="100" t="n"/>
      <c r="O591" s="98" t="n"/>
      <c r="P591" s="99" t="n"/>
      <c r="Q591" s="99" t="n"/>
      <c r="R591" s="100" t="n"/>
      <c r="S591" s="98" t="n"/>
      <c r="T591" s="99" t="n"/>
      <c r="U591" s="99" t="n"/>
      <c r="V591" s="100" t="n"/>
      <c r="W591" s="98" t="n"/>
      <c r="X591" s="100" t="n"/>
      <c r="Y591" s="98" t="n"/>
      <c r="Z591" s="100" t="n"/>
      <c r="AB591" s="101">
        <f>IF($B591="","",(COUNTIF(C558:E575,$B591)+COUNTIF(C558:E575,$B591&amp;" ~*")&gt;0)+(COUNTIF(G558:I575,$B591)+COUNTIF(G558:I575,$B591&amp;" ~*")&gt;0)+(COUNTIF(K558:M575,$B591)+COUNTIF(K558:M575,$B591&amp;" ~*")&gt;0)+(COUNTIF(O558:Q575,$B591)+COUNTIF(O558:Q575,$B591&amp;" ~*")&gt;0)+(COUNTIF(S558:U575,$B591)+COUNTIF(S558:U575,$B591&amp;" ~*")&gt;0)+(COUNTIF(W558:W575,$B591)+COUNTIF(W558:W575,$B591&amp;" ~*")&gt;0)+(COUNTIF(Y558:Y575,$B591)+COUNTIF(Y558:Y575,$B591&amp;" ~*")&gt;0))</f>
        <v/>
      </c>
      <c r="AC591" s="36">
        <f>IF($B591="","",(IFERROR(INDEX(Setup!$G$33:$G$40,MATCH(C591,Setup!$B$33:$B$40,0)),0)=1)*(COUNTIF(C558:E575,$B591)+COUNTIF(C558:E575,$B591&amp;" ~*")&gt;0)+(IFERROR(INDEX(Setup!$G$33:$G$40,MATCH(G591,Setup!$B$33:$B$40,0)),0)=1)*(COUNTIF(G558:I575,$B591)+COUNTIF(G558:I575,$B591&amp;" ~*")&gt;0)+(IFERROR(INDEX(Setup!$G$33:$G$40,MATCH(K591,Setup!$B$33:$B$40,0)),0)=1)*(COUNTIF(K558:M575,$B591)+COUNTIF(K558:M575,$B591&amp;" ~*")&gt;0)+(IFERROR(INDEX(Setup!$G$33:$G$40,MATCH(O591,Setup!$B$33:$B$40,0)),0)=1)*(COUNTIF(O558:Q575,$B591)+COUNTIF(O558:Q575,$B591&amp;" ~*")&gt;0)+(IFERROR(INDEX(Setup!$G$33:$G$40,MATCH(S591,Setup!$B$33:$B$40,0)),0)=1)*(COUNTIF(S558:U575,$B591)+COUNTIF(S558:U575,$B591&amp;" ~*")&gt;0)+(IFERROR(INDEX(Setup!$G$33:$G$40,MATCH(W591,Setup!$B$33:$B$40,0)),0)=1)*(COUNTIF(W558:W575,$B591)+COUNTIF(W558:W575,$B591&amp;" ~*")&gt;0)+(IFERROR(INDEX(Setup!$G$33:$G$40,MATCH(Y591,Setup!$B$33:$B$40,0)),0)=1)*(COUNTIF(Y558:Y575,$B591)+COUNTIF(Y558:Y575,$B591&amp;" ~*")&gt;0))</f>
        <v/>
      </c>
    </row>
    <row r="592" ht="15" customHeight="1">
      <c r="A592" t="n">
        <v>12</v>
      </c>
      <c r="B592" s="37">
        <f>IF(Setup!$B$21="","",Setup!$B$21)</f>
        <v/>
      </c>
      <c r="C592" s="102" t="n"/>
      <c r="D592" s="103" t="n"/>
      <c r="E592" s="103" t="n"/>
      <c r="F592" s="104" t="n"/>
      <c r="G592" s="102" t="n"/>
      <c r="H592" s="103" t="n"/>
      <c r="I592" s="103" t="n"/>
      <c r="J592" s="104" t="n"/>
      <c r="K592" s="102" t="n"/>
      <c r="L592" s="103" t="n"/>
      <c r="M592" s="103" t="n"/>
      <c r="N592" s="104" t="n"/>
      <c r="O592" s="102" t="n"/>
      <c r="P592" s="103" t="n"/>
      <c r="Q592" s="103" t="n"/>
      <c r="R592" s="104" t="n"/>
      <c r="S592" s="102" t="n"/>
      <c r="T592" s="103" t="n"/>
      <c r="U592" s="103" t="n"/>
      <c r="V592" s="104" t="n"/>
      <c r="W592" s="102" t="n"/>
      <c r="X592" s="104" t="n"/>
      <c r="Y592" s="102" t="n"/>
      <c r="Z592" s="104" t="n"/>
      <c r="AB592" s="105">
        <f>IF($B592="","",(COUNTIF(C558:E575,$B592)+COUNTIF(C558:E575,$B592&amp;" ~*")&gt;0)+(COUNTIF(G558:I575,$B592)+COUNTIF(G558:I575,$B592&amp;" ~*")&gt;0)+(COUNTIF(K558:M575,$B592)+COUNTIF(K558:M575,$B592&amp;" ~*")&gt;0)+(COUNTIF(O558:Q575,$B592)+COUNTIF(O558:Q575,$B592&amp;" ~*")&gt;0)+(COUNTIF(S558:U575,$B592)+COUNTIF(S558:U575,$B592&amp;" ~*")&gt;0)+(COUNTIF(W558:W575,$B592)+COUNTIF(W558:W575,$B592&amp;" ~*")&gt;0)+(COUNTIF(Y558:Y575,$B592)+COUNTIF(Y558:Y575,$B592&amp;" ~*")&gt;0))</f>
        <v/>
      </c>
      <c r="AC592" s="38">
        <f>IF($B592="","",(IFERROR(INDEX(Setup!$G$33:$G$40,MATCH(C592,Setup!$B$33:$B$40,0)),0)=1)*(COUNTIF(C558:E575,$B592)+COUNTIF(C558:E575,$B592&amp;" ~*")&gt;0)+(IFERROR(INDEX(Setup!$G$33:$G$40,MATCH(G592,Setup!$B$33:$B$40,0)),0)=1)*(COUNTIF(G558:I575,$B592)+COUNTIF(G558:I575,$B592&amp;" ~*")&gt;0)+(IFERROR(INDEX(Setup!$G$33:$G$40,MATCH(K592,Setup!$B$33:$B$40,0)),0)=1)*(COUNTIF(K558:M575,$B592)+COUNTIF(K558:M575,$B592&amp;" ~*")&gt;0)+(IFERROR(INDEX(Setup!$G$33:$G$40,MATCH(O592,Setup!$B$33:$B$40,0)),0)=1)*(COUNTIF(O558:Q575,$B592)+COUNTIF(O558:Q575,$B592&amp;" ~*")&gt;0)+(IFERROR(INDEX(Setup!$G$33:$G$40,MATCH(S592,Setup!$B$33:$B$40,0)),0)=1)*(COUNTIF(S558:U575,$B592)+COUNTIF(S558:U575,$B592&amp;" ~*")&gt;0)+(IFERROR(INDEX(Setup!$G$33:$G$40,MATCH(W592,Setup!$B$33:$B$40,0)),0)=1)*(COUNTIF(W558:W575,$B592)+COUNTIF(W558:W575,$B592&amp;" ~*")&gt;0)+(IFERROR(INDEX(Setup!$G$33:$G$40,MATCH(Y592,Setup!$B$33:$B$40,0)),0)=1)*(COUNTIF(Y558:Y575,$B592)+COUNTIF(Y558:Y575,$B592&amp;" ~*")&gt;0))</f>
        <v/>
      </c>
    </row>
    <row r="593" ht="15" customHeight="1">
      <c r="A593" t="n">
        <v>12</v>
      </c>
      <c r="B593" s="35">
        <f>IF(Setup!$B$22="","",Setup!$B$22)</f>
        <v/>
      </c>
      <c r="C593" s="98" t="n"/>
      <c r="D593" s="99" t="n"/>
      <c r="E593" s="99" t="n"/>
      <c r="F593" s="100" t="n"/>
      <c r="G593" s="98" t="n"/>
      <c r="H593" s="99" t="n"/>
      <c r="I593" s="99" t="n"/>
      <c r="J593" s="100" t="n"/>
      <c r="K593" s="98" t="n"/>
      <c r="L593" s="99" t="n"/>
      <c r="M593" s="99" t="n"/>
      <c r="N593" s="100" t="n"/>
      <c r="O593" s="98" t="n"/>
      <c r="P593" s="99" t="n"/>
      <c r="Q593" s="99" t="n"/>
      <c r="R593" s="100" t="n"/>
      <c r="S593" s="98" t="n"/>
      <c r="T593" s="99" t="n"/>
      <c r="U593" s="99" t="n"/>
      <c r="V593" s="100" t="n"/>
      <c r="W593" s="98" t="n"/>
      <c r="X593" s="100" t="n"/>
      <c r="Y593" s="98" t="n"/>
      <c r="Z593" s="100" t="n"/>
      <c r="AB593" s="101">
        <f>IF($B593="","",(COUNTIF(C558:E575,$B593)+COUNTIF(C558:E575,$B593&amp;" ~*")&gt;0)+(COUNTIF(G558:I575,$B593)+COUNTIF(G558:I575,$B593&amp;" ~*")&gt;0)+(COUNTIF(K558:M575,$B593)+COUNTIF(K558:M575,$B593&amp;" ~*")&gt;0)+(COUNTIF(O558:Q575,$B593)+COUNTIF(O558:Q575,$B593&amp;" ~*")&gt;0)+(COUNTIF(S558:U575,$B593)+COUNTIF(S558:U575,$B593&amp;" ~*")&gt;0)+(COUNTIF(W558:W575,$B593)+COUNTIF(W558:W575,$B593&amp;" ~*")&gt;0)+(COUNTIF(Y558:Y575,$B593)+COUNTIF(Y558:Y575,$B593&amp;" ~*")&gt;0))</f>
        <v/>
      </c>
      <c r="AC593" s="36">
        <f>IF($B593="","",(IFERROR(INDEX(Setup!$G$33:$G$40,MATCH(C593,Setup!$B$33:$B$40,0)),0)=1)*(COUNTIF(C558:E575,$B593)+COUNTIF(C558:E575,$B593&amp;" ~*")&gt;0)+(IFERROR(INDEX(Setup!$G$33:$G$40,MATCH(G593,Setup!$B$33:$B$40,0)),0)=1)*(COUNTIF(G558:I575,$B593)+COUNTIF(G558:I575,$B593&amp;" ~*")&gt;0)+(IFERROR(INDEX(Setup!$G$33:$G$40,MATCH(K593,Setup!$B$33:$B$40,0)),0)=1)*(COUNTIF(K558:M575,$B593)+COUNTIF(K558:M575,$B593&amp;" ~*")&gt;0)+(IFERROR(INDEX(Setup!$G$33:$G$40,MATCH(O593,Setup!$B$33:$B$40,0)),0)=1)*(COUNTIF(O558:Q575,$B593)+COUNTIF(O558:Q575,$B593&amp;" ~*")&gt;0)+(IFERROR(INDEX(Setup!$G$33:$G$40,MATCH(S593,Setup!$B$33:$B$40,0)),0)=1)*(COUNTIF(S558:U575,$B593)+COUNTIF(S558:U575,$B593&amp;" ~*")&gt;0)+(IFERROR(INDEX(Setup!$G$33:$G$40,MATCH(W593,Setup!$B$33:$B$40,0)),0)=1)*(COUNTIF(W558:W575,$B593)+COUNTIF(W558:W575,$B593&amp;" ~*")&gt;0)+(IFERROR(INDEX(Setup!$G$33:$G$40,MATCH(Y593,Setup!$B$33:$B$40,0)),0)=1)*(COUNTIF(Y558:Y575,$B593)+COUNTIF(Y558:Y575,$B593&amp;" ~*")&gt;0))</f>
        <v/>
      </c>
    </row>
    <row r="594" ht="15" customHeight="1">
      <c r="A594" t="n">
        <v>12</v>
      </c>
      <c r="B594" s="37">
        <f>IF(Setup!$B$23="","",Setup!$B$23)</f>
        <v/>
      </c>
      <c r="C594" s="102" t="n"/>
      <c r="D594" s="103" t="n"/>
      <c r="E594" s="103" t="n"/>
      <c r="F594" s="104" t="n"/>
      <c r="G594" s="102" t="n"/>
      <c r="H594" s="103" t="n"/>
      <c r="I594" s="103" t="n"/>
      <c r="J594" s="104" t="n"/>
      <c r="K594" s="102" t="n"/>
      <c r="L594" s="103" t="n"/>
      <c r="M594" s="103" t="n"/>
      <c r="N594" s="104" t="n"/>
      <c r="O594" s="102" t="n"/>
      <c r="P594" s="103" t="n"/>
      <c r="Q594" s="103" t="n"/>
      <c r="R594" s="104" t="n"/>
      <c r="S594" s="102" t="n"/>
      <c r="T594" s="103" t="n"/>
      <c r="U594" s="103" t="n"/>
      <c r="V594" s="104" t="n"/>
      <c r="W594" s="102" t="n"/>
      <c r="X594" s="104" t="n"/>
      <c r="Y594" s="102" t="n"/>
      <c r="Z594" s="104" t="n"/>
      <c r="AB594" s="105">
        <f>IF($B594="","",(COUNTIF(C558:E575,$B594)+COUNTIF(C558:E575,$B594&amp;" ~*")&gt;0)+(COUNTIF(G558:I575,$B594)+COUNTIF(G558:I575,$B594&amp;" ~*")&gt;0)+(COUNTIF(K558:M575,$B594)+COUNTIF(K558:M575,$B594&amp;" ~*")&gt;0)+(COUNTIF(O558:Q575,$B594)+COUNTIF(O558:Q575,$B594&amp;" ~*")&gt;0)+(COUNTIF(S558:U575,$B594)+COUNTIF(S558:U575,$B594&amp;" ~*")&gt;0)+(COUNTIF(W558:W575,$B594)+COUNTIF(W558:W575,$B594&amp;" ~*")&gt;0)+(COUNTIF(Y558:Y575,$B594)+COUNTIF(Y558:Y575,$B594&amp;" ~*")&gt;0))</f>
        <v/>
      </c>
      <c r="AC594" s="38">
        <f>IF($B594="","",(IFERROR(INDEX(Setup!$G$33:$G$40,MATCH(C594,Setup!$B$33:$B$40,0)),0)=1)*(COUNTIF(C558:E575,$B594)+COUNTIF(C558:E575,$B594&amp;" ~*")&gt;0)+(IFERROR(INDEX(Setup!$G$33:$G$40,MATCH(G594,Setup!$B$33:$B$40,0)),0)=1)*(COUNTIF(G558:I575,$B594)+COUNTIF(G558:I575,$B594&amp;" ~*")&gt;0)+(IFERROR(INDEX(Setup!$G$33:$G$40,MATCH(K594,Setup!$B$33:$B$40,0)),0)=1)*(COUNTIF(K558:M575,$B594)+COUNTIF(K558:M575,$B594&amp;" ~*")&gt;0)+(IFERROR(INDEX(Setup!$G$33:$G$40,MATCH(O594,Setup!$B$33:$B$40,0)),0)=1)*(COUNTIF(O558:Q575,$B594)+COUNTIF(O558:Q575,$B594&amp;" ~*")&gt;0)+(IFERROR(INDEX(Setup!$G$33:$G$40,MATCH(S594,Setup!$B$33:$B$40,0)),0)=1)*(COUNTIF(S558:U575,$B594)+COUNTIF(S558:U575,$B594&amp;" ~*")&gt;0)+(IFERROR(INDEX(Setup!$G$33:$G$40,MATCH(W594,Setup!$B$33:$B$40,0)),0)=1)*(COUNTIF(W558:W575,$B594)+COUNTIF(W558:W575,$B594&amp;" ~*")&gt;0)+(IFERROR(INDEX(Setup!$G$33:$G$40,MATCH(Y594,Setup!$B$33:$B$40,0)),0)=1)*(COUNTIF(Y558:Y575,$B594)+COUNTIF(Y558:Y575,$B594&amp;" ~*")&gt;0))</f>
        <v/>
      </c>
    </row>
    <row r="595" ht="15" customHeight="1">
      <c r="A595" t="n">
        <v>12</v>
      </c>
      <c r="B595" s="35">
        <f>IF(Setup!$B$24="","",Setup!$B$24)</f>
        <v/>
      </c>
      <c r="C595" s="98" t="n"/>
      <c r="D595" s="99" t="n"/>
      <c r="E595" s="99" t="n"/>
      <c r="F595" s="100" t="n"/>
      <c r="G595" s="98" t="n"/>
      <c r="H595" s="99" t="n"/>
      <c r="I595" s="99" t="n"/>
      <c r="J595" s="100" t="n"/>
      <c r="K595" s="98" t="n"/>
      <c r="L595" s="99" t="n"/>
      <c r="M595" s="99" t="n"/>
      <c r="N595" s="100" t="n"/>
      <c r="O595" s="98" t="n"/>
      <c r="P595" s="99" t="n"/>
      <c r="Q595" s="99" t="n"/>
      <c r="R595" s="100" t="n"/>
      <c r="S595" s="98" t="n"/>
      <c r="T595" s="99" t="n"/>
      <c r="U595" s="99" t="n"/>
      <c r="V595" s="100" t="n"/>
      <c r="W595" s="98" t="n"/>
      <c r="X595" s="100" t="n"/>
      <c r="Y595" s="98" t="n"/>
      <c r="Z595" s="100" t="n"/>
      <c r="AB595" s="101">
        <f>IF($B595="","",(COUNTIF(C558:E575,$B595)+COUNTIF(C558:E575,$B595&amp;" ~*")&gt;0)+(COUNTIF(G558:I575,$B595)+COUNTIF(G558:I575,$B595&amp;" ~*")&gt;0)+(COUNTIF(K558:M575,$B595)+COUNTIF(K558:M575,$B595&amp;" ~*")&gt;0)+(COUNTIF(O558:Q575,$B595)+COUNTIF(O558:Q575,$B595&amp;" ~*")&gt;0)+(COUNTIF(S558:U575,$B595)+COUNTIF(S558:U575,$B595&amp;" ~*")&gt;0)+(COUNTIF(W558:W575,$B595)+COUNTIF(W558:W575,$B595&amp;" ~*")&gt;0)+(COUNTIF(Y558:Y575,$B595)+COUNTIF(Y558:Y575,$B595&amp;" ~*")&gt;0))</f>
        <v/>
      </c>
      <c r="AC595" s="36">
        <f>IF($B595="","",(IFERROR(INDEX(Setup!$G$33:$G$40,MATCH(C595,Setup!$B$33:$B$40,0)),0)=1)*(COUNTIF(C558:E575,$B595)+COUNTIF(C558:E575,$B595&amp;" ~*")&gt;0)+(IFERROR(INDEX(Setup!$G$33:$G$40,MATCH(G595,Setup!$B$33:$B$40,0)),0)=1)*(COUNTIF(G558:I575,$B595)+COUNTIF(G558:I575,$B595&amp;" ~*")&gt;0)+(IFERROR(INDEX(Setup!$G$33:$G$40,MATCH(K595,Setup!$B$33:$B$40,0)),0)=1)*(COUNTIF(K558:M575,$B595)+COUNTIF(K558:M575,$B595&amp;" ~*")&gt;0)+(IFERROR(INDEX(Setup!$G$33:$G$40,MATCH(O595,Setup!$B$33:$B$40,0)),0)=1)*(COUNTIF(O558:Q575,$B595)+COUNTIF(O558:Q575,$B595&amp;" ~*")&gt;0)+(IFERROR(INDEX(Setup!$G$33:$G$40,MATCH(S595,Setup!$B$33:$B$40,0)),0)=1)*(COUNTIF(S558:U575,$B595)+COUNTIF(S558:U575,$B595&amp;" ~*")&gt;0)+(IFERROR(INDEX(Setup!$G$33:$G$40,MATCH(W595,Setup!$B$33:$B$40,0)),0)=1)*(COUNTIF(W558:W575,$B595)+COUNTIF(W558:W575,$B595&amp;" ~*")&gt;0)+(IFERROR(INDEX(Setup!$G$33:$G$40,MATCH(Y595,Setup!$B$33:$B$40,0)),0)=1)*(COUNTIF(Y558:Y575,$B595)+COUNTIF(Y558:Y575,$B595&amp;" ~*")&gt;0))</f>
        <v/>
      </c>
    </row>
    <row r="596" ht="15" customHeight="1">
      <c r="A596" t="n">
        <v>12</v>
      </c>
      <c r="B596" s="37">
        <f>IF(Setup!$B$25="","",Setup!$B$25)</f>
        <v/>
      </c>
      <c r="C596" s="102" t="n"/>
      <c r="D596" s="103" t="n"/>
      <c r="E596" s="103" t="n"/>
      <c r="F596" s="104" t="n"/>
      <c r="G596" s="102" t="n"/>
      <c r="H596" s="103" t="n"/>
      <c r="I596" s="103" t="n"/>
      <c r="J596" s="104" t="n"/>
      <c r="K596" s="102" t="n"/>
      <c r="L596" s="103" t="n"/>
      <c r="M596" s="103" t="n"/>
      <c r="N596" s="104" t="n"/>
      <c r="O596" s="102" t="n"/>
      <c r="P596" s="103" t="n"/>
      <c r="Q596" s="103" t="n"/>
      <c r="R596" s="104" t="n"/>
      <c r="S596" s="102" t="n"/>
      <c r="T596" s="103" t="n"/>
      <c r="U596" s="103" t="n"/>
      <c r="V596" s="104" t="n"/>
      <c r="W596" s="102" t="n"/>
      <c r="X596" s="104" t="n"/>
      <c r="Y596" s="102" t="n"/>
      <c r="Z596" s="104" t="n"/>
      <c r="AB596" s="105">
        <f>IF($B596="","",(COUNTIF(C558:E575,$B596)+COUNTIF(C558:E575,$B596&amp;" ~*")&gt;0)+(COUNTIF(G558:I575,$B596)+COUNTIF(G558:I575,$B596&amp;" ~*")&gt;0)+(COUNTIF(K558:M575,$B596)+COUNTIF(K558:M575,$B596&amp;" ~*")&gt;0)+(COUNTIF(O558:Q575,$B596)+COUNTIF(O558:Q575,$B596&amp;" ~*")&gt;0)+(COUNTIF(S558:U575,$B596)+COUNTIF(S558:U575,$B596&amp;" ~*")&gt;0)+(COUNTIF(W558:W575,$B596)+COUNTIF(W558:W575,$B596&amp;" ~*")&gt;0)+(COUNTIF(Y558:Y575,$B596)+COUNTIF(Y558:Y575,$B596&amp;" ~*")&gt;0))</f>
        <v/>
      </c>
      <c r="AC596" s="38">
        <f>IF($B596="","",(IFERROR(INDEX(Setup!$G$33:$G$40,MATCH(C596,Setup!$B$33:$B$40,0)),0)=1)*(COUNTIF(C558:E575,$B596)+COUNTIF(C558:E575,$B596&amp;" ~*")&gt;0)+(IFERROR(INDEX(Setup!$G$33:$G$40,MATCH(G596,Setup!$B$33:$B$40,0)),0)=1)*(COUNTIF(G558:I575,$B596)+COUNTIF(G558:I575,$B596&amp;" ~*")&gt;0)+(IFERROR(INDEX(Setup!$G$33:$G$40,MATCH(K596,Setup!$B$33:$B$40,0)),0)=1)*(COUNTIF(K558:M575,$B596)+COUNTIF(K558:M575,$B596&amp;" ~*")&gt;0)+(IFERROR(INDEX(Setup!$G$33:$G$40,MATCH(O596,Setup!$B$33:$B$40,0)),0)=1)*(COUNTIF(O558:Q575,$B596)+COUNTIF(O558:Q575,$B596&amp;" ~*")&gt;0)+(IFERROR(INDEX(Setup!$G$33:$G$40,MATCH(S596,Setup!$B$33:$B$40,0)),0)=1)*(COUNTIF(S558:U575,$B596)+COUNTIF(S558:U575,$B596&amp;" ~*")&gt;0)+(IFERROR(INDEX(Setup!$G$33:$G$40,MATCH(W596,Setup!$B$33:$B$40,0)),0)=1)*(COUNTIF(W558:W575,$B596)+COUNTIF(W558:W575,$B596&amp;" ~*")&gt;0)+(IFERROR(INDEX(Setup!$G$33:$G$40,MATCH(Y596,Setup!$B$33:$B$40,0)),0)=1)*(COUNTIF(Y558:Y575,$B596)+COUNTIF(Y558:Y575,$B596&amp;" ~*")&gt;0))</f>
        <v/>
      </c>
    </row>
    <row r="597" ht="15" customHeight="1">
      <c r="A597" t="n">
        <v>12</v>
      </c>
      <c r="B597" s="35">
        <f>IF(Setup!$B$26="","",Setup!$B$26)</f>
        <v/>
      </c>
      <c r="C597" s="98" t="n"/>
      <c r="D597" s="99" t="n"/>
      <c r="E597" s="99" t="n"/>
      <c r="F597" s="100" t="n"/>
      <c r="G597" s="98" t="n"/>
      <c r="H597" s="99" t="n"/>
      <c r="I597" s="99" t="n"/>
      <c r="J597" s="100" t="n"/>
      <c r="K597" s="98" t="n"/>
      <c r="L597" s="99" t="n"/>
      <c r="M597" s="99" t="n"/>
      <c r="N597" s="100" t="n"/>
      <c r="O597" s="98" t="n"/>
      <c r="P597" s="99" t="n"/>
      <c r="Q597" s="99" t="n"/>
      <c r="R597" s="100" t="n"/>
      <c r="S597" s="98" t="n"/>
      <c r="T597" s="99" t="n"/>
      <c r="U597" s="99" t="n"/>
      <c r="V597" s="100" t="n"/>
      <c r="W597" s="98" t="n"/>
      <c r="X597" s="100" t="n"/>
      <c r="Y597" s="98" t="n"/>
      <c r="Z597" s="100" t="n"/>
      <c r="AB597" s="101">
        <f>IF($B597="","",(COUNTIF(C558:E575,$B597)+COUNTIF(C558:E575,$B597&amp;" ~*")&gt;0)+(COUNTIF(G558:I575,$B597)+COUNTIF(G558:I575,$B597&amp;" ~*")&gt;0)+(COUNTIF(K558:M575,$B597)+COUNTIF(K558:M575,$B597&amp;" ~*")&gt;0)+(COUNTIF(O558:Q575,$B597)+COUNTIF(O558:Q575,$B597&amp;" ~*")&gt;0)+(COUNTIF(S558:U575,$B597)+COUNTIF(S558:U575,$B597&amp;" ~*")&gt;0)+(COUNTIF(W558:W575,$B597)+COUNTIF(W558:W575,$B597&amp;" ~*")&gt;0)+(COUNTIF(Y558:Y575,$B597)+COUNTIF(Y558:Y575,$B597&amp;" ~*")&gt;0))</f>
        <v/>
      </c>
      <c r="AC597" s="36">
        <f>IF($B597="","",(IFERROR(INDEX(Setup!$G$33:$G$40,MATCH(C597,Setup!$B$33:$B$40,0)),0)=1)*(COUNTIF(C558:E575,$B597)+COUNTIF(C558:E575,$B597&amp;" ~*")&gt;0)+(IFERROR(INDEX(Setup!$G$33:$G$40,MATCH(G597,Setup!$B$33:$B$40,0)),0)=1)*(COUNTIF(G558:I575,$B597)+COUNTIF(G558:I575,$B597&amp;" ~*")&gt;0)+(IFERROR(INDEX(Setup!$G$33:$G$40,MATCH(K597,Setup!$B$33:$B$40,0)),0)=1)*(COUNTIF(K558:M575,$B597)+COUNTIF(K558:M575,$B597&amp;" ~*")&gt;0)+(IFERROR(INDEX(Setup!$G$33:$G$40,MATCH(O597,Setup!$B$33:$B$40,0)),0)=1)*(COUNTIF(O558:Q575,$B597)+COUNTIF(O558:Q575,$B597&amp;" ~*")&gt;0)+(IFERROR(INDEX(Setup!$G$33:$G$40,MATCH(S597,Setup!$B$33:$B$40,0)),0)=1)*(COUNTIF(S558:U575,$B597)+COUNTIF(S558:U575,$B597&amp;" ~*")&gt;0)+(IFERROR(INDEX(Setup!$G$33:$G$40,MATCH(W597,Setup!$B$33:$B$40,0)),0)=1)*(COUNTIF(W558:W575,$B597)+COUNTIF(W558:W575,$B597&amp;" ~*")&gt;0)+(IFERROR(INDEX(Setup!$G$33:$G$40,MATCH(Y597,Setup!$B$33:$B$40,0)),0)=1)*(COUNTIF(Y558:Y575,$B597)+COUNTIF(Y558:Y575,$B597&amp;" ~*")&gt;0))</f>
        <v/>
      </c>
    </row>
    <row r="598" ht="15" customHeight="1">
      <c r="A598" t="n">
        <v>12</v>
      </c>
      <c r="B598" s="37">
        <f>IF(Setup!$B$27="","",Setup!$B$27)</f>
        <v/>
      </c>
      <c r="C598" s="102" t="n"/>
      <c r="D598" s="103" t="n"/>
      <c r="E598" s="103" t="n"/>
      <c r="F598" s="104" t="n"/>
      <c r="G598" s="102" t="n"/>
      <c r="H598" s="103" t="n"/>
      <c r="I598" s="103" t="n"/>
      <c r="J598" s="104" t="n"/>
      <c r="K598" s="102" t="n"/>
      <c r="L598" s="103" t="n"/>
      <c r="M598" s="103" t="n"/>
      <c r="N598" s="104" t="n"/>
      <c r="O598" s="102" t="n"/>
      <c r="P598" s="103" t="n"/>
      <c r="Q598" s="103" t="n"/>
      <c r="R598" s="104" t="n"/>
      <c r="S598" s="102" t="n"/>
      <c r="T598" s="103" t="n"/>
      <c r="U598" s="103" t="n"/>
      <c r="V598" s="104" t="n"/>
      <c r="W598" s="102" t="n"/>
      <c r="X598" s="104" t="n"/>
      <c r="Y598" s="102" t="n"/>
      <c r="Z598" s="104" t="n"/>
      <c r="AB598" s="105">
        <f>IF($B598="","",(COUNTIF(C558:E575,$B598)+COUNTIF(C558:E575,$B598&amp;" ~*")&gt;0)+(COUNTIF(G558:I575,$B598)+COUNTIF(G558:I575,$B598&amp;" ~*")&gt;0)+(COUNTIF(K558:M575,$B598)+COUNTIF(K558:M575,$B598&amp;" ~*")&gt;0)+(COUNTIF(O558:Q575,$B598)+COUNTIF(O558:Q575,$B598&amp;" ~*")&gt;0)+(COUNTIF(S558:U575,$B598)+COUNTIF(S558:U575,$B598&amp;" ~*")&gt;0)+(COUNTIF(W558:W575,$B598)+COUNTIF(W558:W575,$B598&amp;" ~*")&gt;0)+(COUNTIF(Y558:Y575,$B598)+COUNTIF(Y558:Y575,$B598&amp;" ~*")&gt;0))</f>
        <v/>
      </c>
      <c r="AC598" s="38">
        <f>IF($B598="","",(IFERROR(INDEX(Setup!$G$33:$G$40,MATCH(C598,Setup!$B$33:$B$40,0)),0)=1)*(COUNTIF(C558:E575,$B598)+COUNTIF(C558:E575,$B598&amp;" ~*")&gt;0)+(IFERROR(INDEX(Setup!$G$33:$G$40,MATCH(G598,Setup!$B$33:$B$40,0)),0)=1)*(COUNTIF(G558:I575,$B598)+COUNTIF(G558:I575,$B598&amp;" ~*")&gt;0)+(IFERROR(INDEX(Setup!$G$33:$G$40,MATCH(K598,Setup!$B$33:$B$40,0)),0)=1)*(COUNTIF(K558:M575,$B598)+COUNTIF(K558:M575,$B598&amp;" ~*")&gt;0)+(IFERROR(INDEX(Setup!$G$33:$G$40,MATCH(O598,Setup!$B$33:$B$40,0)),0)=1)*(COUNTIF(O558:Q575,$B598)+COUNTIF(O558:Q575,$B598&amp;" ~*")&gt;0)+(IFERROR(INDEX(Setup!$G$33:$G$40,MATCH(S598,Setup!$B$33:$B$40,0)),0)=1)*(COUNTIF(S558:U575,$B598)+COUNTIF(S558:U575,$B598&amp;" ~*")&gt;0)+(IFERROR(INDEX(Setup!$G$33:$G$40,MATCH(W598,Setup!$B$33:$B$40,0)),0)=1)*(COUNTIF(W558:W575,$B598)+COUNTIF(W558:W575,$B598&amp;" ~*")&gt;0)+(IFERROR(INDEX(Setup!$G$33:$G$40,MATCH(Y598,Setup!$B$33:$B$40,0)),0)=1)*(COUNTIF(Y558:Y575,$B598)+COUNTIF(Y558:Y575,$B598&amp;" ~*")&gt;0))</f>
        <v/>
      </c>
    </row>
    <row r="599" ht="15" customHeight="1">
      <c r="A599" t="n">
        <v>12</v>
      </c>
      <c r="B599" s="35">
        <f>IF(Setup!$B$28="","",Setup!$B$28)</f>
        <v/>
      </c>
      <c r="C599" s="98" t="n"/>
      <c r="D599" s="99" t="n"/>
      <c r="E599" s="99" t="n"/>
      <c r="F599" s="100" t="n"/>
      <c r="G599" s="98" t="n"/>
      <c r="H599" s="99" t="n"/>
      <c r="I599" s="99" t="n"/>
      <c r="J599" s="100" t="n"/>
      <c r="K599" s="98" t="n"/>
      <c r="L599" s="99" t="n"/>
      <c r="M599" s="99" t="n"/>
      <c r="N599" s="100" t="n"/>
      <c r="O599" s="98" t="n"/>
      <c r="P599" s="99" t="n"/>
      <c r="Q599" s="99" t="n"/>
      <c r="R599" s="100" t="n"/>
      <c r="S599" s="98" t="n"/>
      <c r="T599" s="99" t="n"/>
      <c r="U599" s="99" t="n"/>
      <c r="V599" s="100" t="n"/>
      <c r="W599" s="98" t="n"/>
      <c r="X599" s="100" t="n"/>
      <c r="Y599" s="98" t="n"/>
      <c r="Z599" s="100" t="n"/>
      <c r="AB599" s="101">
        <f>IF($B599="","",(COUNTIF(C558:E575,$B599)+COUNTIF(C558:E575,$B599&amp;" ~*")&gt;0)+(COUNTIF(G558:I575,$B599)+COUNTIF(G558:I575,$B599&amp;" ~*")&gt;0)+(COUNTIF(K558:M575,$B599)+COUNTIF(K558:M575,$B599&amp;" ~*")&gt;0)+(COUNTIF(O558:Q575,$B599)+COUNTIF(O558:Q575,$B599&amp;" ~*")&gt;0)+(COUNTIF(S558:U575,$B599)+COUNTIF(S558:U575,$B599&amp;" ~*")&gt;0)+(COUNTIF(W558:W575,$B599)+COUNTIF(W558:W575,$B599&amp;" ~*")&gt;0)+(COUNTIF(Y558:Y575,$B599)+COUNTIF(Y558:Y575,$B599&amp;" ~*")&gt;0))</f>
        <v/>
      </c>
      <c r="AC599" s="36">
        <f>IF($B599="","",(IFERROR(INDEX(Setup!$G$33:$G$40,MATCH(C599,Setup!$B$33:$B$40,0)),0)=1)*(COUNTIF(C558:E575,$B599)+COUNTIF(C558:E575,$B599&amp;" ~*")&gt;0)+(IFERROR(INDEX(Setup!$G$33:$G$40,MATCH(G599,Setup!$B$33:$B$40,0)),0)=1)*(COUNTIF(G558:I575,$B599)+COUNTIF(G558:I575,$B599&amp;" ~*")&gt;0)+(IFERROR(INDEX(Setup!$G$33:$G$40,MATCH(K599,Setup!$B$33:$B$40,0)),0)=1)*(COUNTIF(K558:M575,$B599)+COUNTIF(K558:M575,$B599&amp;" ~*")&gt;0)+(IFERROR(INDEX(Setup!$G$33:$G$40,MATCH(O599,Setup!$B$33:$B$40,0)),0)=1)*(COUNTIF(O558:Q575,$B599)+COUNTIF(O558:Q575,$B599&amp;" ~*")&gt;0)+(IFERROR(INDEX(Setup!$G$33:$G$40,MATCH(S599,Setup!$B$33:$B$40,0)),0)=1)*(COUNTIF(S558:U575,$B599)+COUNTIF(S558:U575,$B599&amp;" ~*")&gt;0)+(IFERROR(INDEX(Setup!$G$33:$G$40,MATCH(W599,Setup!$B$33:$B$40,0)),0)=1)*(COUNTIF(W558:W575,$B599)+COUNTIF(W558:W575,$B599&amp;" ~*")&gt;0)+(IFERROR(INDEX(Setup!$G$33:$G$40,MATCH(Y599,Setup!$B$33:$B$40,0)),0)=1)*(COUNTIF(Y558:Y575,$B599)+COUNTIF(Y558:Y575,$B599&amp;" ~*")&gt;0))</f>
        <v/>
      </c>
    </row>
    <row r="600" ht="15" customHeight="1">
      <c r="A600" t="n">
        <v>12</v>
      </c>
      <c r="B600" s="37">
        <f>IF(Setup!$B$29="","",Setup!$B$29)</f>
        <v/>
      </c>
      <c r="C600" s="102" t="n"/>
      <c r="D600" s="103" t="n"/>
      <c r="E600" s="103" t="n"/>
      <c r="F600" s="104" t="n"/>
      <c r="G600" s="102" t="n"/>
      <c r="H600" s="103" t="n"/>
      <c r="I600" s="103" t="n"/>
      <c r="J600" s="104" t="n"/>
      <c r="K600" s="102" t="n"/>
      <c r="L600" s="103" t="n"/>
      <c r="M600" s="103" t="n"/>
      <c r="N600" s="104" t="n"/>
      <c r="O600" s="102" t="n"/>
      <c r="P600" s="103" t="n"/>
      <c r="Q600" s="103" t="n"/>
      <c r="R600" s="104" t="n"/>
      <c r="S600" s="102" t="n"/>
      <c r="T600" s="103" t="n"/>
      <c r="U600" s="103" t="n"/>
      <c r="V600" s="104" t="n"/>
      <c r="W600" s="102" t="n"/>
      <c r="X600" s="104" t="n"/>
      <c r="Y600" s="102" t="n"/>
      <c r="Z600" s="104" t="n"/>
      <c r="AB600" s="105">
        <f>IF($B600="","",(COUNTIF(C558:E575,$B600)+COUNTIF(C558:E575,$B600&amp;" ~*")&gt;0)+(COUNTIF(G558:I575,$B600)+COUNTIF(G558:I575,$B600&amp;" ~*")&gt;0)+(COUNTIF(K558:M575,$B600)+COUNTIF(K558:M575,$B600&amp;" ~*")&gt;0)+(COUNTIF(O558:Q575,$B600)+COUNTIF(O558:Q575,$B600&amp;" ~*")&gt;0)+(COUNTIF(S558:U575,$B600)+COUNTIF(S558:U575,$B600&amp;" ~*")&gt;0)+(COUNTIF(W558:W575,$B600)+COUNTIF(W558:W575,$B600&amp;" ~*")&gt;0)+(COUNTIF(Y558:Y575,$B600)+COUNTIF(Y558:Y575,$B600&amp;" ~*")&gt;0))</f>
        <v/>
      </c>
      <c r="AC600" s="38">
        <f>IF($B600="","",(IFERROR(INDEX(Setup!$G$33:$G$40,MATCH(C600,Setup!$B$33:$B$40,0)),0)=1)*(COUNTIF(C558:E575,$B600)+COUNTIF(C558:E575,$B600&amp;" ~*")&gt;0)+(IFERROR(INDEX(Setup!$G$33:$G$40,MATCH(G600,Setup!$B$33:$B$40,0)),0)=1)*(COUNTIF(G558:I575,$B600)+COUNTIF(G558:I575,$B600&amp;" ~*")&gt;0)+(IFERROR(INDEX(Setup!$G$33:$G$40,MATCH(K600,Setup!$B$33:$B$40,0)),0)=1)*(COUNTIF(K558:M575,$B600)+COUNTIF(K558:M575,$B600&amp;" ~*")&gt;0)+(IFERROR(INDEX(Setup!$G$33:$G$40,MATCH(O600,Setup!$B$33:$B$40,0)),0)=1)*(COUNTIF(O558:Q575,$B600)+COUNTIF(O558:Q575,$B600&amp;" ~*")&gt;0)+(IFERROR(INDEX(Setup!$G$33:$G$40,MATCH(S600,Setup!$B$33:$B$40,0)),0)=1)*(COUNTIF(S558:U575,$B600)+COUNTIF(S558:U575,$B600&amp;" ~*")&gt;0)+(IFERROR(INDEX(Setup!$G$33:$G$40,MATCH(W600,Setup!$B$33:$B$40,0)),0)=1)*(COUNTIF(W558:W575,$B600)+COUNTIF(W558:W575,$B600&amp;" ~*")&gt;0)+(IFERROR(INDEX(Setup!$G$33:$G$40,MATCH(Y600,Setup!$B$33:$B$40,0)),0)=1)*(COUNTIF(Y558:Y575,$B600)+COUNTIF(Y558:Y575,$B600&amp;" ~*")&gt;0))</f>
        <v/>
      </c>
    </row>
    <row r="601" ht="16" customHeight="1">
      <c r="A601" t="n">
        <v>12</v>
      </c>
      <c r="B601" s="106" t="inlineStr">
        <is>
          <t>Available people</t>
        </is>
      </c>
      <c r="C601" s="107">
        <f>COUNTIFS(Setup!$E$6:$E$29,"Y",Setup!$B$6:$B$29,"?*")-SUMPRODUCT(COUNTIF(C577:C600,Setup!$F$33:$F$40))</f>
        <v/>
      </c>
      <c r="D601" s="107" t="n"/>
      <c r="E601" s="107" t="n"/>
      <c r="F601" s="107" t="n"/>
      <c r="G601" s="107">
        <f>COUNTIFS(Setup!$E$6:$E$29,"Y",Setup!$B$6:$B$29,"?*")-SUMPRODUCT(COUNTIF(G577:G600,Setup!$F$33:$F$40))</f>
        <v/>
      </c>
      <c r="H601" s="107" t="n"/>
      <c r="I601" s="107" t="n"/>
      <c r="J601" s="107" t="n"/>
      <c r="K601" s="107">
        <f>COUNTIFS(Setup!$E$6:$E$29,"Y",Setup!$B$6:$B$29,"?*")-SUMPRODUCT(COUNTIF(K577:K600,Setup!$F$33:$F$40))</f>
        <v/>
      </c>
      <c r="L601" s="107" t="n"/>
      <c r="M601" s="107" t="n"/>
      <c r="N601" s="107" t="n"/>
      <c r="O601" s="107">
        <f>COUNTIFS(Setup!$E$6:$E$29,"Y",Setup!$B$6:$B$29,"?*")-SUMPRODUCT(COUNTIF(O577:O600,Setup!$F$33:$F$40))</f>
        <v/>
      </c>
      <c r="P601" s="107" t="n"/>
      <c r="Q601" s="107" t="n"/>
      <c r="R601" s="107" t="n"/>
      <c r="S601" s="107">
        <f>COUNTIFS(Setup!$E$6:$E$29,"Y",Setup!$B$6:$B$29,"?*")-SUMPRODUCT(COUNTIF(S577:S600,Setup!$F$33:$F$40))</f>
        <v/>
      </c>
      <c r="T601" s="107" t="n"/>
      <c r="U601" s="107" t="n"/>
      <c r="V601" s="107" t="n"/>
      <c r="W601" s="107">
        <f>COUNTIFS(Setup!$E$6:$E$29,"Y",Setup!$B$6:$B$29,"?*")-SUMPRODUCT(COUNTIF(W577:W600,Setup!$F$33:$F$40))</f>
        <v/>
      </c>
      <c r="X601" s="107" t="n"/>
      <c r="Y601" s="107">
        <f>COUNTIFS(Setup!$E$6:$E$29,"Y",Setup!$B$6:$B$29,"?*")-SUMPRODUCT(COUNTIF(Y577:Y600,Setup!$F$33:$F$40))</f>
        <v/>
      </c>
      <c r="Z601" s="107" t="n"/>
      <c r="AB601" s="108">
        <f>SUM(AB577:AB600)</f>
        <v/>
      </c>
      <c r="AC601" s="109">
        <f>SUM(AC577:AC600)</f>
        <v/>
      </c>
    </row>
    <row r="602" ht="30" customHeight="1">
      <c r="A602" t="n">
        <v>12</v>
      </c>
      <c r="B602" s="110" t="inlineStr">
        <is>
          <t>Week notes</t>
        </is>
      </c>
      <c r="C602" s="111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112" t="n"/>
      <c r="R602" s="112" t="n"/>
      <c r="S602" s="112" t="n"/>
      <c r="T602" s="112" t="n"/>
      <c r="U602" s="112" t="n"/>
      <c r="V602" s="112" t="n"/>
      <c r="W602" s="112" t="n"/>
      <c r="X602" s="112" t="n"/>
      <c r="Y602" s="112" t="n"/>
      <c r="Z602" s="113" t="n"/>
    </row>
    <row r="603" ht="8" customHeight="1">
      <c r="A603" t="n">
        <v>12</v>
      </c>
    </row>
    <row r="604" ht="8" customHeight="1">
      <c r="A604" t="n">
        <v>12</v>
      </c>
    </row>
    <row r="605" ht="24" customHeight="1">
      <c r="A605" t="n">
        <v>13</v>
      </c>
      <c r="B605" s="73">
        <f>"WEEK 13     "&amp;TEXT(C606,"ddd d mmm")&amp;"  –  "&amp;TEXT(C606+6,"ddd d mmm yyyy")</f>
        <v/>
      </c>
      <c r="S605" s="74">
        <f>IF(TODAY()&lt;C606,"FUTURE",IF(TODAY()&gt;C606+6,"PAST","THIS WEEK"))</f>
        <v/>
      </c>
      <c r="W605" s="75">
        <f>IF(AND(Engine!$B$8=$AC$3,Engine!$B$9=$A605),"◀ ACTIVE WEEK","")</f>
        <v/>
      </c>
      <c r="AA605" s="76" t="n"/>
      <c r="AB605" s="77" t="inlineStr">
        <is>
          <t>◀ Prev</t>
        </is>
      </c>
      <c r="AC605" s="77" t="inlineStr">
        <is>
          <t>Next ▶</t>
        </is>
      </c>
    </row>
    <row r="606" ht="18" customHeight="1">
      <c r="A606" t="n">
        <v>13</v>
      </c>
      <c r="B606" s="78" t="inlineStr">
        <is>
          <t>DUTY</t>
        </is>
      </c>
      <c r="C606" s="79">
        <f>$AC$2+7*($A606-1)</f>
        <v/>
      </c>
      <c r="D606" s="80" t="n"/>
      <c r="E606" s="80" t="n"/>
      <c r="F606" s="81" t="n"/>
      <c r="G606" s="79">
        <f>C606+1</f>
        <v/>
      </c>
      <c r="H606" s="80" t="n"/>
      <c r="I606" s="80" t="n"/>
      <c r="J606" s="81" t="n"/>
      <c r="K606" s="79">
        <f>C606+2</f>
        <v/>
      </c>
      <c r="L606" s="80" t="n"/>
      <c r="M606" s="80" t="n"/>
      <c r="N606" s="81" t="n"/>
      <c r="O606" s="79">
        <f>C606+3</f>
        <v/>
      </c>
      <c r="P606" s="80" t="n"/>
      <c r="Q606" s="80" t="n"/>
      <c r="R606" s="81" t="n"/>
      <c r="S606" s="79">
        <f>C606+4</f>
        <v/>
      </c>
      <c r="T606" s="80" t="n"/>
      <c r="U606" s="80" t="n"/>
      <c r="V606" s="81" t="n"/>
      <c r="W606" s="82">
        <f>C606+5</f>
        <v/>
      </c>
      <c r="X606" s="83" t="n"/>
      <c r="Y606" s="82">
        <f>C606+6</f>
        <v/>
      </c>
      <c r="Z606" s="83" t="n"/>
      <c r="AB606" s="72" t="inlineStr">
        <is>
          <t>Gaps</t>
        </is>
      </c>
      <c r="AC606" s="72" t="inlineStr">
        <is>
          <t>Cover</t>
        </is>
      </c>
    </row>
    <row r="607" ht="14" customHeight="1">
      <c r="A607" t="n">
        <v>13</v>
      </c>
      <c r="B607" s="84" t="inlineStr">
        <is>
          <t>(from Setup)</t>
        </is>
      </c>
      <c r="C607" s="85" t="inlineStr">
        <is>
          <t>1</t>
        </is>
      </c>
      <c r="D607" s="85" t="inlineStr">
        <is>
          <t>2</t>
        </is>
      </c>
      <c r="E607" s="85" t="inlineStr">
        <is>
          <t>3</t>
        </is>
      </c>
      <c r="F607" s="85" t="inlineStr">
        <is>
          <t>Notes</t>
        </is>
      </c>
      <c r="G607" s="85" t="inlineStr">
        <is>
          <t>1</t>
        </is>
      </c>
      <c r="H607" s="85" t="inlineStr">
        <is>
          <t>2</t>
        </is>
      </c>
      <c r="I607" s="85" t="inlineStr">
        <is>
          <t>3</t>
        </is>
      </c>
      <c r="J607" s="85" t="inlineStr">
        <is>
          <t>Notes</t>
        </is>
      </c>
      <c r="K607" s="85" t="inlineStr">
        <is>
          <t>1</t>
        </is>
      </c>
      <c r="L607" s="85" t="inlineStr">
        <is>
          <t>2</t>
        </is>
      </c>
      <c r="M607" s="85" t="inlineStr">
        <is>
          <t>3</t>
        </is>
      </c>
      <c r="N607" s="85" t="inlineStr">
        <is>
          <t>Notes</t>
        </is>
      </c>
      <c r="O607" s="85" t="inlineStr">
        <is>
          <t>1</t>
        </is>
      </c>
      <c r="P607" s="85" t="inlineStr">
        <is>
          <t>2</t>
        </is>
      </c>
      <c r="Q607" s="85" t="inlineStr">
        <is>
          <t>3</t>
        </is>
      </c>
      <c r="R607" s="85" t="inlineStr">
        <is>
          <t>Notes</t>
        </is>
      </c>
      <c r="S607" s="85" t="inlineStr">
        <is>
          <t>1</t>
        </is>
      </c>
      <c r="T607" s="85" t="inlineStr">
        <is>
          <t>2</t>
        </is>
      </c>
      <c r="U607" s="85" t="inlineStr">
        <is>
          <t>3</t>
        </is>
      </c>
      <c r="V607" s="85" t="inlineStr">
        <is>
          <t>Notes</t>
        </is>
      </c>
      <c r="W607" s="85" t="inlineStr">
        <is>
          <t>Cover</t>
        </is>
      </c>
      <c r="X607" s="85" t="inlineStr">
        <is>
          <t>Notes</t>
        </is>
      </c>
      <c r="Y607" s="85" t="inlineStr">
        <is>
          <t>Cover</t>
        </is>
      </c>
      <c r="Z607" s="85" t="inlineStr">
        <is>
          <t>Notes</t>
        </is>
      </c>
      <c r="AB607" s="86" t="inlineStr">
        <is>
          <t>weekdays short</t>
        </is>
      </c>
      <c r="AC607" s="87" t="inlineStr"/>
    </row>
    <row r="608" ht="17" customHeight="1">
      <c r="A608" t="n">
        <v>13</v>
      </c>
      <c r="B608" s="24">
        <f>IF(Setup!$K$6="","",Setup!$K$6)</f>
        <v/>
      </c>
      <c r="C608" s="88" t="n"/>
      <c r="D608" s="88" t="n"/>
      <c r="E608" s="88" t="n"/>
      <c r="F608" s="89" t="n"/>
      <c r="G608" s="88" t="n"/>
      <c r="H608" s="88" t="n"/>
      <c r="I608" s="88" t="n"/>
      <c r="J608" s="89" t="n"/>
      <c r="K608" s="88" t="n"/>
      <c r="L608" s="88" t="n"/>
      <c r="M608" s="88" t="n"/>
      <c r="N608" s="89" t="n"/>
      <c r="O608" s="88" t="n"/>
      <c r="P608" s="88" t="n"/>
      <c r="Q608" s="88" t="n"/>
      <c r="R608" s="89" t="n"/>
      <c r="S608" s="88" t="n"/>
      <c r="T608" s="88" t="n"/>
      <c r="U608" s="88" t="n"/>
      <c r="V608" s="89" t="n"/>
      <c r="W608" s="88" t="n"/>
      <c r="X608" s="89" t="n"/>
      <c r="Y608" s="88" t="n"/>
      <c r="Z608" s="89" t="n"/>
      <c r="AB608" s="25">
        <f>IF($B608="","",(COUNTIF(C608:E608,"?*")&lt;N(INDEX(Setup!$L$6:$L$23,1)))+(COUNTIF(G608:I608,"?*")&lt;N(INDEX(Setup!$L$6:$L$23,1)))+(COUNTIF(K608:M608,"?*")&lt;N(INDEX(Setup!$L$6:$L$23,1)))+(COUNTIF(O608:Q608,"?*")&lt;N(INDEX(Setup!$L$6:$L$23,1)))+(COUNTIF(S608:U608,"?*")&lt;N(INDEX(Setup!$L$6:$L$23,1)))+((W608="")*(INDEX(Setup!$M$6:$M$23,1)="Y"))+((Y608="")*(INDEX(Setup!$M$6:$M$23,1)="Y")))</f>
        <v/>
      </c>
      <c r="AC608" s="90">
        <f>IF($B608="","",IF(AB608=0,"✓ covered","⚠ "&amp;AB608&amp;IF(AB608=1," gap"," gaps")))</f>
        <v/>
      </c>
    </row>
    <row r="609" ht="17" customHeight="1">
      <c r="A609" t="n">
        <v>13</v>
      </c>
      <c r="B609" s="29">
        <f>IF(Setup!$K$7="","",Setup!$K$7)</f>
        <v/>
      </c>
      <c r="C609" s="88" t="n"/>
      <c r="D609" s="88" t="n"/>
      <c r="E609" s="88" t="n"/>
      <c r="F609" s="89" t="n"/>
      <c r="G609" s="88" t="n"/>
      <c r="H609" s="88" t="n"/>
      <c r="I609" s="88" t="n"/>
      <c r="J609" s="89" t="n"/>
      <c r="K609" s="88" t="n"/>
      <c r="L609" s="88" t="n"/>
      <c r="M609" s="88" t="n"/>
      <c r="N609" s="89" t="n"/>
      <c r="O609" s="88" t="n"/>
      <c r="P609" s="88" t="n"/>
      <c r="Q609" s="88" t="n"/>
      <c r="R609" s="89" t="n"/>
      <c r="S609" s="88" t="n"/>
      <c r="T609" s="88" t="n"/>
      <c r="U609" s="88" t="n"/>
      <c r="V609" s="89" t="n"/>
      <c r="W609" s="88" t="n"/>
      <c r="X609" s="89" t="n"/>
      <c r="Y609" s="88" t="n"/>
      <c r="Z609" s="89" t="n"/>
      <c r="AB609" s="30">
        <f>IF($B609="","",(COUNTIF(C609:E609,"?*")&lt;N(INDEX(Setup!$L$6:$L$23,2)))+(COUNTIF(G609:I609,"?*")&lt;N(INDEX(Setup!$L$6:$L$23,2)))+(COUNTIF(K609:M609,"?*")&lt;N(INDEX(Setup!$L$6:$L$23,2)))+(COUNTIF(O609:Q609,"?*")&lt;N(INDEX(Setup!$L$6:$L$23,2)))+(COUNTIF(S609:U609,"?*")&lt;N(INDEX(Setup!$L$6:$L$23,2)))+((W609="")*(INDEX(Setup!$M$6:$M$23,2)="Y"))+((Y609="")*(INDEX(Setup!$M$6:$M$23,2)="Y")))</f>
        <v/>
      </c>
      <c r="AC609" s="91">
        <f>IF($B609="","",IF(AB609=0,"✓ covered","⚠ "&amp;AB609&amp;IF(AB609=1," gap"," gaps")))</f>
        <v/>
      </c>
    </row>
    <row r="610" ht="17" customHeight="1">
      <c r="A610" t="n">
        <v>13</v>
      </c>
      <c r="B610" s="24">
        <f>IF(Setup!$K$8="","",Setup!$K$8)</f>
        <v/>
      </c>
      <c r="C610" s="88" t="n"/>
      <c r="D610" s="88" t="n"/>
      <c r="E610" s="88" t="n"/>
      <c r="F610" s="89" t="n"/>
      <c r="G610" s="88" t="n"/>
      <c r="H610" s="88" t="n"/>
      <c r="I610" s="88" t="n"/>
      <c r="J610" s="89" t="n"/>
      <c r="K610" s="88" t="n"/>
      <c r="L610" s="88" t="n"/>
      <c r="M610" s="88" t="n"/>
      <c r="N610" s="89" t="n"/>
      <c r="O610" s="88" t="n"/>
      <c r="P610" s="88" t="n"/>
      <c r="Q610" s="88" t="n"/>
      <c r="R610" s="89" t="n"/>
      <c r="S610" s="88" t="n"/>
      <c r="T610" s="88" t="n"/>
      <c r="U610" s="88" t="n"/>
      <c r="V610" s="89" t="n"/>
      <c r="W610" s="88" t="n"/>
      <c r="X610" s="89" t="n"/>
      <c r="Y610" s="88" t="n"/>
      <c r="Z610" s="89" t="n"/>
      <c r="AB610" s="25">
        <f>IF($B610="","",(COUNTIF(C610:E610,"?*")&lt;N(INDEX(Setup!$L$6:$L$23,3)))+(COUNTIF(G610:I610,"?*")&lt;N(INDEX(Setup!$L$6:$L$23,3)))+(COUNTIF(K610:M610,"?*")&lt;N(INDEX(Setup!$L$6:$L$23,3)))+(COUNTIF(O610:Q610,"?*")&lt;N(INDEX(Setup!$L$6:$L$23,3)))+(COUNTIF(S610:U610,"?*")&lt;N(INDEX(Setup!$L$6:$L$23,3)))+((W610="")*(INDEX(Setup!$M$6:$M$23,3)="Y"))+((Y610="")*(INDEX(Setup!$M$6:$M$23,3)="Y")))</f>
        <v/>
      </c>
      <c r="AC610" s="90">
        <f>IF($B610="","",IF(AB610=0,"✓ covered","⚠ "&amp;AB610&amp;IF(AB610=1," gap"," gaps")))</f>
        <v/>
      </c>
    </row>
    <row r="611" ht="17" customHeight="1">
      <c r="A611" t="n">
        <v>13</v>
      </c>
      <c r="B611" s="29">
        <f>IF(Setup!$K$9="","",Setup!$K$9)</f>
        <v/>
      </c>
      <c r="C611" s="88" t="n"/>
      <c r="D611" s="88" t="n"/>
      <c r="E611" s="88" t="n"/>
      <c r="F611" s="89" t="n"/>
      <c r="G611" s="88" t="n"/>
      <c r="H611" s="88" t="n"/>
      <c r="I611" s="88" t="n"/>
      <c r="J611" s="89" t="n"/>
      <c r="K611" s="88" t="n"/>
      <c r="L611" s="88" t="n"/>
      <c r="M611" s="88" t="n"/>
      <c r="N611" s="89" t="n"/>
      <c r="O611" s="88" t="n"/>
      <c r="P611" s="88" t="n"/>
      <c r="Q611" s="88" t="n"/>
      <c r="R611" s="89" t="n"/>
      <c r="S611" s="88" t="n"/>
      <c r="T611" s="88" t="n"/>
      <c r="U611" s="88" t="n"/>
      <c r="V611" s="89" t="n"/>
      <c r="W611" s="88" t="n"/>
      <c r="X611" s="89" t="n"/>
      <c r="Y611" s="88" t="n"/>
      <c r="Z611" s="89" t="n"/>
      <c r="AB611" s="30">
        <f>IF($B611="","",(COUNTIF(C611:E611,"?*")&lt;N(INDEX(Setup!$L$6:$L$23,4)))+(COUNTIF(G611:I611,"?*")&lt;N(INDEX(Setup!$L$6:$L$23,4)))+(COUNTIF(K611:M611,"?*")&lt;N(INDEX(Setup!$L$6:$L$23,4)))+(COUNTIF(O611:Q611,"?*")&lt;N(INDEX(Setup!$L$6:$L$23,4)))+(COUNTIF(S611:U611,"?*")&lt;N(INDEX(Setup!$L$6:$L$23,4)))+((W611="")*(INDEX(Setup!$M$6:$M$23,4)="Y"))+((Y611="")*(INDEX(Setup!$M$6:$M$23,4)="Y")))</f>
        <v/>
      </c>
      <c r="AC611" s="91">
        <f>IF($B611="","",IF(AB611=0,"✓ covered","⚠ "&amp;AB611&amp;IF(AB611=1," gap"," gaps")))</f>
        <v/>
      </c>
    </row>
    <row r="612" ht="17" customHeight="1">
      <c r="A612" t="n">
        <v>13</v>
      </c>
      <c r="B612" s="24">
        <f>IF(Setup!$K$10="","",Setup!$K$10)</f>
        <v/>
      </c>
      <c r="C612" s="88" t="n"/>
      <c r="D612" s="88" t="n"/>
      <c r="E612" s="88" t="n"/>
      <c r="F612" s="89" t="n"/>
      <c r="G612" s="88" t="n"/>
      <c r="H612" s="88" t="n"/>
      <c r="I612" s="88" t="n"/>
      <c r="J612" s="89" t="n"/>
      <c r="K612" s="88" t="n"/>
      <c r="L612" s="88" t="n"/>
      <c r="M612" s="88" t="n"/>
      <c r="N612" s="89" t="n"/>
      <c r="O612" s="88" t="n"/>
      <c r="P612" s="88" t="n"/>
      <c r="Q612" s="88" t="n"/>
      <c r="R612" s="89" t="n"/>
      <c r="S612" s="88" t="n"/>
      <c r="T612" s="88" t="n"/>
      <c r="U612" s="88" t="n"/>
      <c r="V612" s="89" t="n"/>
      <c r="W612" s="88" t="n"/>
      <c r="X612" s="89" t="n"/>
      <c r="Y612" s="88" t="n"/>
      <c r="Z612" s="89" t="n"/>
      <c r="AB612" s="25">
        <f>IF($B612="","",(COUNTIF(C612:E612,"?*")&lt;N(INDEX(Setup!$L$6:$L$23,5)))+(COUNTIF(G612:I612,"?*")&lt;N(INDEX(Setup!$L$6:$L$23,5)))+(COUNTIF(K612:M612,"?*")&lt;N(INDEX(Setup!$L$6:$L$23,5)))+(COUNTIF(O612:Q612,"?*")&lt;N(INDEX(Setup!$L$6:$L$23,5)))+(COUNTIF(S612:U612,"?*")&lt;N(INDEX(Setup!$L$6:$L$23,5)))+((W612="")*(INDEX(Setup!$M$6:$M$23,5)="Y"))+((Y612="")*(INDEX(Setup!$M$6:$M$23,5)="Y")))</f>
        <v/>
      </c>
      <c r="AC612" s="90">
        <f>IF($B612="","",IF(AB612=0,"✓ covered","⚠ "&amp;AB612&amp;IF(AB612=1," gap"," gaps")))</f>
        <v/>
      </c>
    </row>
    <row r="613" ht="17" customHeight="1">
      <c r="A613" t="n">
        <v>13</v>
      </c>
      <c r="B613" s="29">
        <f>IF(Setup!$K$11="","",Setup!$K$11)</f>
        <v/>
      </c>
      <c r="C613" s="88" t="n"/>
      <c r="D613" s="88" t="n"/>
      <c r="E613" s="88" t="n"/>
      <c r="F613" s="89" t="n"/>
      <c r="G613" s="88" t="n"/>
      <c r="H613" s="88" t="n"/>
      <c r="I613" s="88" t="n"/>
      <c r="J613" s="89" t="n"/>
      <c r="K613" s="88" t="n"/>
      <c r="L613" s="88" t="n"/>
      <c r="M613" s="88" t="n"/>
      <c r="N613" s="89" t="n"/>
      <c r="O613" s="88" t="n"/>
      <c r="P613" s="88" t="n"/>
      <c r="Q613" s="88" t="n"/>
      <c r="R613" s="89" t="n"/>
      <c r="S613" s="88" t="n"/>
      <c r="T613" s="88" t="n"/>
      <c r="U613" s="88" t="n"/>
      <c r="V613" s="89" t="n"/>
      <c r="W613" s="88" t="n"/>
      <c r="X613" s="89" t="n"/>
      <c r="Y613" s="88" t="n"/>
      <c r="Z613" s="89" t="n"/>
      <c r="AB613" s="30">
        <f>IF($B613="","",(COUNTIF(C613:E613,"?*")&lt;N(INDEX(Setup!$L$6:$L$23,6)))+(COUNTIF(G613:I613,"?*")&lt;N(INDEX(Setup!$L$6:$L$23,6)))+(COUNTIF(K613:M613,"?*")&lt;N(INDEX(Setup!$L$6:$L$23,6)))+(COUNTIF(O613:Q613,"?*")&lt;N(INDEX(Setup!$L$6:$L$23,6)))+(COUNTIF(S613:U613,"?*")&lt;N(INDEX(Setup!$L$6:$L$23,6)))+((W613="")*(INDEX(Setup!$M$6:$M$23,6)="Y"))+((Y613="")*(INDEX(Setup!$M$6:$M$23,6)="Y")))</f>
        <v/>
      </c>
      <c r="AC613" s="91">
        <f>IF($B613="","",IF(AB613=0,"✓ covered","⚠ "&amp;AB613&amp;IF(AB613=1," gap"," gaps")))</f>
        <v/>
      </c>
    </row>
    <row r="614" ht="17" customHeight="1">
      <c r="A614" t="n">
        <v>13</v>
      </c>
      <c r="B614" s="24">
        <f>IF(Setup!$K$12="","",Setup!$K$12)</f>
        <v/>
      </c>
      <c r="C614" s="88" t="n"/>
      <c r="D614" s="88" t="n"/>
      <c r="E614" s="88" t="n"/>
      <c r="F614" s="89" t="n"/>
      <c r="G614" s="88" t="n"/>
      <c r="H614" s="88" t="n"/>
      <c r="I614" s="88" t="n"/>
      <c r="J614" s="89" t="n"/>
      <c r="K614" s="88" t="n"/>
      <c r="L614" s="88" t="n"/>
      <c r="M614" s="88" t="n"/>
      <c r="N614" s="89" t="n"/>
      <c r="O614" s="88" t="n"/>
      <c r="P614" s="88" t="n"/>
      <c r="Q614" s="88" t="n"/>
      <c r="R614" s="89" t="n"/>
      <c r="S614" s="88" t="n"/>
      <c r="T614" s="88" t="n"/>
      <c r="U614" s="88" t="n"/>
      <c r="V614" s="89" t="n"/>
      <c r="W614" s="88" t="n"/>
      <c r="X614" s="89" t="n"/>
      <c r="Y614" s="88" t="n"/>
      <c r="Z614" s="89" t="n"/>
      <c r="AB614" s="25">
        <f>IF($B614="","",(COUNTIF(C614:E614,"?*")&lt;N(INDEX(Setup!$L$6:$L$23,7)))+(COUNTIF(G614:I614,"?*")&lt;N(INDEX(Setup!$L$6:$L$23,7)))+(COUNTIF(K614:M614,"?*")&lt;N(INDEX(Setup!$L$6:$L$23,7)))+(COUNTIF(O614:Q614,"?*")&lt;N(INDEX(Setup!$L$6:$L$23,7)))+(COUNTIF(S614:U614,"?*")&lt;N(INDEX(Setup!$L$6:$L$23,7)))+((W614="")*(INDEX(Setup!$M$6:$M$23,7)="Y"))+((Y614="")*(INDEX(Setup!$M$6:$M$23,7)="Y")))</f>
        <v/>
      </c>
      <c r="AC614" s="90">
        <f>IF($B614="","",IF(AB614=0,"✓ covered","⚠ "&amp;AB614&amp;IF(AB614=1," gap"," gaps")))</f>
        <v/>
      </c>
    </row>
    <row r="615" ht="17" customHeight="1">
      <c r="A615" t="n">
        <v>13</v>
      </c>
      <c r="B615" s="29">
        <f>IF(Setup!$K$13="","",Setup!$K$13)</f>
        <v/>
      </c>
      <c r="C615" s="88" t="n"/>
      <c r="D615" s="88" t="n"/>
      <c r="E615" s="88" t="n"/>
      <c r="F615" s="89" t="n"/>
      <c r="G615" s="88" t="n"/>
      <c r="H615" s="88" t="n"/>
      <c r="I615" s="88" t="n"/>
      <c r="J615" s="89" t="n"/>
      <c r="K615" s="88" t="n"/>
      <c r="L615" s="88" t="n"/>
      <c r="M615" s="88" t="n"/>
      <c r="N615" s="89" t="n"/>
      <c r="O615" s="88" t="n"/>
      <c r="P615" s="88" t="n"/>
      <c r="Q615" s="88" t="n"/>
      <c r="R615" s="89" t="n"/>
      <c r="S615" s="88" t="n"/>
      <c r="T615" s="88" t="n"/>
      <c r="U615" s="88" t="n"/>
      <c r="V615" s="89" t="n"/>
      <c r="W615" s="88" t="n"/>
      <c r="X615" s="89" t="n"/>
      <c r="Y615" s="88" t="n"/>
      <c r="Z615" s="89" t="n"/>
      <c r="AB615" s="30">
        <f>IF($B615="","",(COUNTIF(C615:E615,"?*")&lt;N(INDEX(Setup!$L$6:$L$23,8)))+(COUNTIF(G615:I615,"?*")&lt;N(INDEX(Setup!$L$6:$L$23,8)))+(COUNTIF(K615:M615,"?*")&lt;N(INDEX(Setup!$L$6:$L$23,8)))+(COUNTIF(O615:Q615,"?*")&lt;N(INDEX(Setup!$L$6:$L$23,8)))+(COUNTIF(S615:U615,"?*")&lt;N(INDEX(Setup!$L$6:$L$23,8)))+((W615="")*(INDEX(Setup!$M$6:$M$23,8)="Y"))+((Y615="")*(INDEX(Setup!$M$6:$M$23,8)="Y")))</f>
        <v/>
      </c>
      <c r="AC615" s="91">
        <f>IF($B615="","",IF(AB615=0,"✓ covered","⚠ "&amp;AB615&amp;IF(AB615=1," gap"," gaps")))</f>
        <v/>
      </c>
    </row>
    <row r="616" ht="17" customHeight="1">
      <c r="A616" t="n">
        <v>13</v>
      </c>
      <c r="B616" s="24">
        <f>IF(Setup!$K$14="","",Setup!$K$14)</f>
        <v/>
      </c>
      <c r="C616" s="88" t="n"/>
      <c r="D616" s="88" t="n"/>
      <c r="E616" s="88" t="n"/>
      <c r="F616" s="89" t="n"/>
      <c r="G616" s="88" t="n"/>
      <c r="H616" s="88" t="n"/>
      <c r="I616" s="88" t="n"/>
      <c r="J616" s="89" t="n"/>
      <c r="K616" s="88" t="n"/>
      <c r="L616" s="88" t="n"/>
      <c r="M616" s="88" t="n"/>
      <c r="N616" s="89" t="n"/>
      <c r="O616" s="88" t="n"/>
      <c r="P616" s="88" t="n"/>
      <c r="Q616" s="88" t="n"/>
      <c r="R616" s="89" t="n"/>
      <c r="S616" s="88" t="n"/>
      <c r="T616" s="88" t="n"/>
      <c r="U616" s="88" t="n"/>
      <c r="V616" s="89" t="n"/>
      <c r="W616" s="88" t="n"/>
      <c r="X616" s="89" t="n"/>
      <c r="Y616" s="88" t="n"/>
      <c r="Z616" s="89" t="n"/>
      <c r="AB616" s="25">
        <f>IF($B616="","",(COUNTIF(C616:E616,"?*")&lt;N(INDEX(Setup!$L$6:$L$23,9)))+(COUNTIF(G616:I616,"?*")&lt;N(INDEX(Setup!$L$6:$L$23,9)))+(COUNTIF(K616:M616,"?*")&lt;N(INDEX(Setup!$L$6:$L$23,9)))+(COUNTIF(O616:Q616,"?*")&lt;N(INDEX(Setup!$L$6:$L$23,9)))+(COUNTIF(S616:U616,"?*")&lt;N(INDEX(Setup!$L$6:$L$23,9)))+((W616="")*(INDEX(Setup!$M$6:$M$23,9)="Y"))+((Y616="")*(INDEX(Setup!$M$6:$M$23,9)="Y")))</f>
        <v/>
      </c>
      <c r="AC616" s="90">
        <f>IF($B616="","",IF(AB616=0,"✓ covered","⚠ "&amp;AB616&amp;IF(AB616=1," gap"," gaps")))</f>
        <v/>
      </c>
    </row>
    <row r="617" ht="17" customHeight="1">
      <c r="A617" t="n">
        <v>13</v>
      </c>
      <c r="B617" s="29">
        <f>IF(Setup!$K$15="","",Setup!$K$15)</f>
        <v/>
      </c>
      <c r="C617" s="88" t="n"/>
      <c r="D617" s="88" t="n"/>
      <c r="E617" s="88" t="n"/>
      <c r="F617" s="89" t="n"/>
      <c r="G617" s="88" t="n"/>
      <c r="H617" s="88" t="n"/>
      <c r="I617" s="88" t="n"/>
      <c r="J617" s="89" t="n"/>
      <c r="K617" s="88" t="n"/>
      <c r="L617" s="88" t="n"/>
      <c r="M617" s="88" t="n"/>
      <c r="N617" s="89" t="n"/>
      <c r="O617" s="88" t="n"/>
      <c r="P617" s="88" t="n"/>
      <c r="Q617" s="88" t="n"/>
      <c r="R617" s="89" t="n"/>
      <c r="S617" s="88" t="n"/>
      <c r="T617" s="88" t="n"/>
      <c r="U617" s="88" t="n"/>
      <c r="V617" s="89" t="n"/>
      <c r="W617" s="88" t="n"/>
      <c r="X617" s="89" t="n"/>
      <c r="Y617" s="88" t="n"/>
      <c r="Z617" s="89" t="n"/>
      <c r="AB617" s="30">
        <f>IF($B617="","",(COUNTIF(C617:E617,"?*")&lt;N(INDEX(Setup!$L$6:$L$23,10)))+(COUNTIF(G617:I617,"?*")&lt;N(INDEX(Setup!$L$6:$L$23,10)))+(COUNTIF(K617:M617,"?*")&lt;N(INDEX(Setup!$L$6:$L$23,10)))+(COUNTIF(O617:Q617,"?*")&lt;N(INDEX(Setup!$L$6:$L$23,10)))+(COUNTIF(S617:U617,"?*")&lt;N(INDEX(Setup!$L$6:$L$23,10)))+((W617="")*(INDEX(Setup!$M$6:$M$23,10)="Y"))+((Y617="")*(INDEX(Setup!$M$6:$M$23,10)="Y")))</f>
        <v/>
      </c>
      <c r="AC617" s="91">
        <f>IF($B617="","",IF(AB617=0,"✓ covered","⚠ "&amp;AB617&amp;IF(AB617=1," gap"," gaps")))</f>
        <v/>
      </c>
    </row>
    <row r="618" ht="17" customHeight="1">
      <c r="A618" t="n">
        <v>13</v>
      </c>
      <c r="B618" s="24">
        <f>IF(Setup!$K$16="","",Setup!$K$16)</f>
        <v/>
      </c>
      <c r="C618" s="88" t="n"/>
      <c r="D618" s="88" t="n"/>
      <c r="E618" s="88" t="n"/>
      <c r="F618" s="89" t="n"/>
      <c r="G618" s="88" t="n"/>
      <c r="H618" s="88" t="n"/>
      <c r="I618" s="88" t="n"/>
      <c r="J618" s="89" t="n"/>
      <c r="K618" s="88" t="n"/>
      <c r="L618" s="88" t="n"/>
      <c r="M618" s="88" t="n"/>
      <c r="N618" s="89" t="n"/>
      <c r="O618" s="88" t="n"/>
      <c r="P618" s="88" t="n"/>
      <c r="Q618" s="88" t="n"/>
      <c r="R618" s="89" t="n"/>
      <c r="S618" s="88" t="n"/>
      <c r="T618" s="88" t="n"/>
      <c r="U618" s="88" t="n"/>
      <c r="V618" s="89" t="n"/>
      <c r="W618" s="88" t="n"/>
      <c r="X618" s="89" t="n"/>
      <c r="Y618" s="88" t="n"/>
      <c r="Z618" s="89" t="n"/>
      <c r="AB618" s="25">
        <f>IF($B618="","",(COUNTIF(C618:E618,"?*")&lt;N(INDEX(Setup!$L$6:$L$23,11)))+(COUNTIF(G618:I618,"?*")&lt;N(INDEX(Setup!$L$6:$L$23,11)))+(COUNTIF(K618:M618,"?*")&lt;N(INDEX(Setup!$L$6:$L$23,11)))+(COUNTIF(O618:Q618,"?*")&lt;N(INDEX(Setup!$L$6:$L$23,11)))+(COUNTIF(S618:U618,"?*")&lt;N(INDEX(Setup!$L$6:$L$23,11)))+((W618="")*(INDEX(Setup!$M$6:$M$23,11)="Y"))+((Y618="")*(INDEX(Setup!$M$6:$M$23,11)="Y")))</f>
        <v/>
      </c>
      <c r="AC618" s="90">
        <f>IF($B618="","",IF(AB618=0,"✓ covered","⚠ "&amp;AB618&amp;IF(AB618=1," gap"," gaps")))</f>
        <v/>
      </c>
    </row>
    <row r="619" ht="17" customHeight="1">
      <c r="A619" t="n">
        <v>13</v>
      </c>
      <c r="B619" s="29">
        <f>IF(Setup!$K$17="","",Setup!$K$17)</f>
        <v/>
      </c>
      <c r="C619" s="88" t="n"/>
      <c r="D619" s="88" t="n"/>
      <c r="E619" s="88" t="n"/>
      <c r="F619" s="89" t="n"/>
      <c r="G619" s="88" t="n"/>
      <c r="H619" s="88" t="n"/>
      <c r="I619" s="88" t="n"/>
      <c r="J619" s="89" t="n"/>
      <c r="K619" s="88" t="n"/>
      <c r="L619" s="88" t="n"/>
      <c r="M619" s="88" t="n"/>
      <c r="N619" s="89" t="n"/>
      <c r="O619" s="88" t="n"/>
      <c r="P619" s="88" t="n"/>
      <c r="Q619" s="88" t="n"/>
      <c r="R619" s="89" t="n"/>
      <c r="S619" s="88" t="n"/>
      <c r="T619" s="88" t="n"/>
      <c r="U619" s="88" t="n"/>
      <c r="V619" s="89" t="n"/>
      <c r="W619" s="88" t="n"/>
      <c r="X619" s="89" t="n"/>
      <c r="Y619" s="88" t="n"/>
      <c r="Z619" s="89" t="n"/>
      <c r="AB619" s="30">
        <f>IF($B619="","",(COUNTIF(C619:E619,"?*")&lt;N(INDEX(Setup!$L$6:$L$23,12)))+(COUNTIF(G619:I619,"?*")&lt;N(INDEX(Setup!$L$6:$L$23,12)))+(COUNTIF(K619:M619,"?*")&lt;N(INDEX(Setup!$L$6:$L$23,12)))+(COUNTIF(O619:Q619,"?*")&lt;N(INDEX(Setup!$L$6:$L$23,12)))+(COUNTIF(S619:U619,"?*")&lt;N(INDEX(Setup!$L$6:$L$23,12)))+((W619="")*(INDEX(Setup!$M$6:$M$23,12)="Y"))+((Y619="")*(INDEX(Setup!$M$6:$M$23,12)="Y")))</f>
        <v/>
      </c>
      <c r="AC619" s="91">
        <f>IF($B619="","",IF(AB619=0,"✓ covered","⚠ "&amp;AB619&amp;IF(AB619=1," gap"," gaps")))</f>
        <v/>
      </c>
    </row>
    <row r="620" ht="17" customHeight="1">
      <c r="A620" t="n">
        <v>13</v>
      </c>
      <c r="B620" s="24">
        <f>IF(Setup!$K$18="","",Setup!$K$18)</f>
        <v/>
      </c>
      <c r="C620" s="88" t="n"/>
      <c r="D620" s="88" t="n"/>
      <c r="E620" s="88" t="n"/>
      <c r="F620" s="89" t="n"/>
      <c r="G620" s="88" t="n"/>
      <c r="H620" s="88" t="n"/>
      <c r="I620" s="88" t="n"/>
      <c r="J620" s="89" t="n"/>
      <c r="K620" s="88" t="n"/>
      <c r="L620" s="88" t="n"/>
      <c r="M620" s="88" t="n"/>
      <c r="N620" s="89" t="n"/>
      <c r="O620" s="88" t="n"/>
      <c r="P620" s="88" t="n"/>
      <c r="Q620" s="88" t="n"/>
      <c r="R620" s="89" t="n"/>
      <c r="S620" s="88" t="n"/>
      <c r="T620" s="88" t="n"/>
      <c r="U620" s="88" t="n"/>
      <c r="V620" s="89" t="n"/>
      <c r="W620" s="88" t="n"/>
      <c r="X620" s="89" t="n"/>
      <c r="Y620" s="88" t="n"/>
      <c r="Z620" s="89" t="n"/>
      <c r="AB620" s="25">
        <f>IF($B620="","",(COUNTIF(C620:E620,"?*")&lt;N(INDEX(Setup!$L$6:$L$23,13)))+(COUNTIF(G620:I620,"?*")&lt;N(INDEX(Setup!$L$6:$L$23,13)))+(COUNTIF(K620:M620,"?*")&lt;N(INDEX(Setup!$L$6:$L$23,13)))+(COUNTIF(O620:Q620,"?*")&lt;N(INDEX(Setup!$L$6:$L$23,13)))+(COUNTIF(S620:U620,"?*")&lt;N(INDEX(Setup!$L$6:$L$23,13)))+((W620="")*(INDEX(Setup!$M$6:$M$23,13)="Y"))+((Y620="")*(INDEX(Setup!$M$6:$M$23,13)="Y")))</f>
        <v/>
      </c>
      <c r="AC620" s="90">
        <f>IF($B620="","",IF(AB620=0,"✓ covered","⚠ "&amp;AB620&amp;IF(AB620=1," gap"," gaps")))</f>
        <v/>
      </c>
    </row>
    <row r="621" ht="17" customHeight="1">
      <c r="A621" t="n">
        <v>13</v>
      </c>
      <c r="B621" s="29">
        <f>IF(Setup!$K$19="","",Setup!$K$19)</f>
        <v/>
      </c>
      <c r="C621" s="88" t="n"/>
      <c r="D621" s="88" t="n"/>
      <c r="E621" s="88" t="n"/>
      <c r="F621" s="89" t="n"/>
      <c r="G621" s="88" t="n"/>
      <c r="H621" s="88" t="n"/>
      <c r="I621" s="88" t="n"/>
      <c r="J621" s="89" t="n"/>
      <c r="K621" s="88" t="n"/>
      <c r="L621" s="88" t="n"/>
      <c r="M621" s="88" t="n"/>
      <c r="N621" s="89" t="n"/>
      <c r="O621" s="88" t="n"/>
      <c r="P621" s="88" t="n"/>
      <c r="Q621" s="88" t="n"/>
      <c r="R621" s="89" t="n"/>
      <c r="S621" s="88" t="n"/>
      <c r="T621" s="88" t="n"/>
      <c r="U621" s="88" t="n"/>
      <c r="V621" s="89" t="n"/>
      <c r="W621" s="88" t="n"/>
      <c r="X621" s="89" t="n"/>
      <c r="Y621" s="88" t="n"/>
      <c r="Z621" s="89" t="n"/>
      <c r="AB621" s="30">
        <f>IF($B621="","",(COUNTIF(C621:E621,"?*")&lt;N(INDEX(Setup!$L$6:$L$23,14)))+(COUNTIF(G621:I621,"?*")&lt;N(INDEX(Setup!$L$6:$L$23,14)))+(COUNTIF(K621:M621,"?*")&lt;N(INDEX(Setup!$L$6:$L$23,14)))+(COUNTIF(O621:Q621,"?*")&lt;N(INDEX(Setup!$L$6:$L$23,14)))+(COUNTIF(S621:U621,"?*")&lt;N(INDEX(Setup!$L$6:$L$23,14)))+((W621="")*(INDEX(Setup!$M$6:$M$23,14)="Y"))+((Y621="")*(INDEX(Setup!$M$6:$M$23,14)="Y")))</f>
        <v/>
      </c>
      <c r="AC621" s="91">
        <f>IF($B621="","",IF(AB621=0,"✓ covered","⚠ "&amp;AB621&amp;IF(AB621=1," gap"," gaps")))</f>
        <v/>
      </c>
    </row>
    <row r="622" ht="17" customHeight="1">
      <c r="A622" t="n">
        <v>13</v>
      </c>
      <c r="B622" s="24">
        <f>IF(Setup!$K$20="","",Setup!$K$20)</f>
        <v/>
      </c>
      <c r="C622" s="88" t="n"/>
      <c r="D622" s="88" t="n"/>
      <c r="E622" s="88" t="n"/>
      <c r="F622" s="89" t="n"/>
      <c r="G622" s="88" t="n"/>
      <c r="H622" s="88" t="n"/>
      <c r="I622" s="88" t="n"/>
      <c r="J622" s="89" t="n"/>
      <c r="K622" s="88" t="n"/>
      <c r="L622" s="88" t="n"/>
      <c r="M622" s="88" t="n"/>
      <c r="N622" s="89" t="n"/>
      <c r="O622" s="88" t="n"/>
      <c r="P622" s="88" t="n"/>
      <c r="Q622" s="88" t="n"/>
      <c r="R622" s="89" t="n"/>
      <c r="S622" s="88" t="n"/>
      <c r="T622" s="88" t="n"/>
      <c r="U622" s="88" t="n"/>
      <c r="V622" s="89" t="n"/>
      <c r="W622" s="88" t="n"/>
      <c r="X622" s="89" t="n"/>
      <c r="Y622" s="88" t="n"/>
      <c r="Z622" s="89" t="n"/>
      <c r="AB622" s="25">
        <f>IF($B622="","",(COUNTIF(C622:E622,"?*")&lt;N(INDEX(Setup!$L$6:$L$23,15)))+(COUNTIF(G622:I622,"?*")&lt;N(INDEX(Setup!$L$6:$L$23,15)))+(COUNTIF(K622:M622,"?*")&lt;N(INDEX(Setup!$L$6:$L$23,15)))+(COUNTIF(O622:Q622,"?*")&lt;N(INDEX(Setup!$L$6:$L$23,15)))+(COUNTIF(S622:U622,"?*")&lt;N(INDEX(Setup!$L$6:$L$23,15)))+((W622="")*(INDEX(Setup!$M$6:$M$23,15)="Y"))+((Y622="")*(INDEX(Setup!$M$6:$M$23,15)="Y")))</f>
        <v/>
      </c>
      <c r="AC622" s="90">
        <f>IF($B622="","",IF(AB622=0,"✓ covered","⚠ "&amp;AB622&amp;IF(AB622=1," gap"," gaps")))</f>
        <v/>
      </c>
    </row>
    <row r="623" ht="17" customHeight="1">
      <c r="A623" t="n">
        <v>13</v>
      </c>
      <c r="B623" s="29">
        <f>IF(Setup!$K$21="","",Setup!$K$21)</f>
        <v/>
      </c>
      <c r="C623" s="88" t="n"/>
      <c r="D623" s="88" t="n"/>
      <c r="E623" s="88" t="n"/>
      <c r="F623" s="89" t="n"/>
      <c r="G623" s="88" t="n"/>
      <c r="H623" s="88" t="n"/>
      <c r="I623" s="88" t="n"/>
      <c r="J623" s="89" t="n"/>
      <c r="K623" s="88" t="n"/>
      <c r="L623" s="88" t="n"/>
      <c r="M623" s="88" t="n"/>
      <c r="N623" s="89" t="n"/>
      <c r="O623" s="88" t="n"/>
      <c r="P623" s="88" t="n"/>
      <c r="Q623" s="88" t="n"/>
      <c r="R623" s="89" t="n"/>
      <c r="S623" s="88" t="n"/>
      <c r="T623" s="88" t="n"/>
      <c r="U623" s="88" t="n"/>
      <c r="V623" s="89" t="n"/>
      <c r="W623" s="88" t="n"/>
      <c r="X623" s="89" t="n"/>
      <c r="Y623" s="88" t="n"/>
      <c r="Z623" s="89" t="n"/>
      <c r="AB623" s="30">
        <f>IF($B623="","",(COUNTIF(C623:E623,"?*")&lt;N(INDEX(Setup!$L$6:$L$23,16)))+(COUNTIF(G623:I623,"?*")&lt;N(INDEX(Setup!$L$6:$L$23,16)))+(COUNTIF(K623:M623,"?*")&lt;N(INDEX(Setup!$L$6:$L$23,16)))+(COUNTIF(O623:Q623,"?*")&lt;N(INDEX(Setup!$L$6:$L$23,16)))+(COUNTIF(S623:U623,"?*")&lt;N(INDEX(Setup!$L$6:$L$23,16)))+((W623="")*(INDEX(Setup!$M$6:$M$23,16)="Y"))+((Y623="")*(INDEX(Setup!$M$6:$M$23,16)="Y")))</f>
        <v/>
      </c>
      <c r="AC623" s="91">
        <f>IF($B623="","",IF(AB623=0,"✓ covered","⚠ "&amp;AB623&amp;IF(AB623=1," gap"," gaps")))</f>
        <v/>
      </c>
    </row>
    <row r="624" ht="17" customHeight="1">
      <c r="A624" t="n">
        <v>13</v>
      </c>
      <c r="B624" s="24">
        <f>IF(Setup!$K$22="","",Setup!$K$22)</f>
        <v/>
      </c>
      <c r="C624" s="88" t="n"/>
      <c r="D624" s="88" t="n"/>
      <c r="E624" s="88" t="n"/>
      <c r="F624" s="89" t="n"/>
      <c r="G624" s="88" t="n"/>
      <c r="H624" s="88" t="n"/>
      <c r="I624" s="88" t="n"/>
      <c r="J624" s="89" t="n"/>
      <c r="K624" s="88" t="n"/>
      <c r="L624" s="88" t="n"/>
      <c r="M624" s="88" t="n"/>
      <c r="N624" s="89" t="n"/>
      <c r="O624" s="88" t="n"/>
      <c r="P624" s="88" t="n"/>
      <c r="Q624" s="88" t="n"/>
      <c r="R624" s="89" t="n"/>
      <c r="S624" s="88" t="n"/>
      <c r="T624" s="88" t="n"/>
      <c r="U624" s="88" t="n"/>
      <c r="V624" s="89" t="n"/>
      <c r="W624" s="88" t="n"/>
      <c r="X624" s="89" t="n"/>
      <c r="Y624" s="88" t="n"/>
      <c r="Z624" s="89" t="n"/>
      <c r="AB624" s="25">
        <f>IF($B624="","",(COUNTIF(C624:E624,"?*")&lt;N(INDEX(Setup!$L$6:$L$23,17)))+(COUNTIF(G624:I624,"?*")&lt;N(INDEX(Setup!$L$6:$L$23,17)))+(COUNTIF(K624:M624,"?*")&lt;N(INDEX(Setup!$L$6:$L$23,17)))+(COUNTIF(O624:Q624,"?*")&lt;N(INDEX(Setup!$L$6:$L$23,17)))+(COUNTIF(S624:U624,"?*")&lt;N(INDEX(Setup!$L$6:$L$23,17)))+((W624="")*(INDEX(Setup!$M$6:$M$23,17)="Y"))+((Y624="")*(INDEX(Setup!$M$6:$M$23,17)="Y")))</f>
        <v/>
      </c>
      <c r="AC624" s="90">
        <f>IF($B624="","",IF(AB624=0,"✓ covered","⚠ "&amp;AB624&amp;IF(AB624=1," gap"," gaps")))</f>
        <v/>
      </c>
    </row>
    <row r="625" ht="17" customHeight="1">
      <c r="A625" t="n">
        <v>13</v>
      </c>
      <c r="B625" s="29">
        <f>IF(Setup!$K$23="","",Setup!$K$23)</f>
        <v/>
      </c>
      <c r="C625" s="88" t="n"/>
      <c r="D625" s="88" t="n"/>
      <c r="E625" s="88" t="n"/>
      <c r="F625" s="89" t="n"/>
      <c r="G625" s="88" t="n"/>
      <c r="H625" s="88" t="n"/>
      <c r="I625" s="88" t="n"/>
      <c r="J625" s="89" t="n"/>
      <c r="K625" s="88" t="n"/>
      <c r="L625" s="88" t="n"/>
      <c r="M625" s="88" t="n"/>
      <c r="N625" s="89" t="n"/>
      <c r="O625" s="88" t="n"/>
      <c r="P625" s="88" t="n"/>
      <c r="Q625" s="88" t="n"/>
      <c r="R625" s="89" t="n"/>
      <c r="S625" s="88" t="n"/>
      <c r="T625" s="88" t="n"/>
      <c r="U625" s="88" t="n"/>
      <c r="V625" s="89" t="n"/>
      <c r="W625" s="88" t="n"/>
      <c r="X625" s="89" t="n"/>
      <c r="Y625" s="88" t="n"/>
      <c r="Z625" s="89" t="n"/>
      <c r="AB625" s="30">
        <f>IF($B625="","",(COUNTIF(C625:E625,"?*")&lt;N(INDEX(Setup!$L$6:$L$23,18)))+(COUNTIF(G625:I625,"?*")&lt;N(INDEX(Setup!$L$6:$L$23,18)))+(COUNTIF(K625:M625,"?*")&lt;N(INDEX(Setup!$L$6:$L$23,18)))+(COUNTIF(O625:Q625,"?*")&lt;N(INDEX(Setup!$L$6:$L$23,18)))+(COUNTIF(S625:U625,"?*")&lt;N(INDEX(Setup!$L$6:$L$23,18)))+((W625="")*(INDEX(Setup!$M$6:$M$23,18)="Y"))+((Y625="")*(INDEX(Setup!$M$6:$M$23,18)="Y")))</f>
        <v/>
      </c>
      <c r="AC625" s="91">
        <f>IF($B625="","",IF(AB625=0,"✓ covered","⚠ "&amp;AB625&amp;IF(AB625=1," gap"," gaps")))</f>
        <v/>
      </c>
    </row>
    <row r="626" ht="18" customHeight="1">
      <c r="A626" t="n">
        <v>13</v>
      </c>
      <c r="B626" s="78" t="inlineStr">
        <is>
          <t>TEAM AVAILABILITY</t>
        </is>
      </c>
      <c r="C626" s="92" t="inlineStr">
        <is>
          <t>Mon</t>
        </is>
      </c>
      <c r="D626" s="93" t="n"/>
      <c r="E626" s="93" t="n"/>
      <c r="F626" s="94" t="n"/>
      <c r="G626" s="92" t="inlineStr">
        <is>
          <t>Tue</t>
        </is>
      </c>
      <c r="H626" s="93" t="n"/>
      <c r="I626" s="93" t="n"/>
      <c r="J626" s="94" t="n"/>
      <c r="K626" s="92" t="inlineStr">
        <is>
          <t>Wed</t>
        </is>
      </c>
      <c r="L626" s="93" t="n"/>
      <c r="M626" s="93" t="n"/>
      <c r="N626" s="94" t="n"/>
      <c r="O626" s="92" t="inlineStr">
        <is>
          <t>Thu</t>
        </is>
      </c>
      <c r="P626" s="93" t="n"/>
      <c r="Q626" s="93" t="n"/>
      <c r="R626" s="94" t="n"/>
      <c r="S626" s="92" t="inlineStr">
        <is>
          <t>Fri</t>
        </is>
      </c>
      <c r="T626" s="93" t="n"/>
      <c r="U626" s="93" t="n"/>
      <c r="V626" s="94" t="n"/>
      <c r="W626" s="95" t="inlineStr">
        <is>
          <t>Sat</t>
        </is>
      </c>
      <c r="X626" s="96" t="n"/>
      <c r="Y626" s="95" t="inlineStr">
        <is>
          <t>Sun</t>
        </is>
      </c>
      <c r="Z626" s="96" t="n"/>
      <c r="AB626" s="97" t="inlineStr">
        <is>
          <t>Days rostered</t>
        </is>
      </c>
      <c r="AC626" s="97" t="inlineStr">
        <is>
          <t>Conflicts</t>
        </is>
      </c>
    </row>
    <row r="627" ht="15" customHeight="1">
      <c r="A627" t="n">
        <v>13</v>
      </c>
      <c r="B627" s="35">
        <f>IF(Setup!$B$6="","",Setup!$B$6)</f>
        <v/>
      </c>
      <c r="C627" s="98" t="n"/>
      <c r="D627" s="99" t="n"/>
      <c r="E627" s="99" t="n"/>
      <c r="F627" s="100" t="n"/>
      <c r="G627" s="98" t="n"/>
      <c r="H627" s="99" t="n"/>
      <c r="I627" s="99" t="n"/>
      <c r="J627" s="100" t="n"/>
      <c r="K627" s="98" t="n"/>
      <c r="L627" s="99" t="n"/>
      <c r="M627" s="99" t="n"/>
      <c r="N627" s="100" t="n"/>
      <c r="O627" s="98" t="n"/>
      <c r="P627" s="99" t="n"/>
      <c r="Q627" s="99" t="n"/>
      <c r="R627" s="100" t="n"/>
      <c r="S627" s="98" t="n"/>
      <c r="T627" s="99" t="n"/>
      <c r="U627" s="99" t="n"/>
      <c r="V627" s="100" t="n"/>
      <c r="W627" s="98" t="n"/>
      <c r="X627" s="100" t="n"/>
      <c r="Y627" s="98" t="n"/>
      <c r="Z627" s="100" t="n"/>
      <c r="AB627" s="101">
        <f>IF($B627="","",(COUNTIF(C608:E625,$B627)+COUNTIF(C608:E625,$B627&amp;" ~*")&gt;0)+(COUNTIF(G608:I625,$B627)+COUNTIF(G608:I625,$B627&amp;" ~*")&gt;0)+(COUNTIF(K608:M625,$B627)+COUNTIF(K608:M625,$B627&amp;" ~*")&gt;0)+(COUNTIF(O608:Q625,$B627)+COUNTIF(O608:Q625,$B627&amp;" ~*")&gt;0)+(COUNTIF(S608:U625,$B627)+COUNTIF(S608:U625,$B627&amp;" ~*")&gt;0)+(COUNTIF(W608:W625,$B627)+COUNTIF(W608:W625,$B627&amp;" ~*")&gt;0)+(COUNTIF(Y608:Y625,$B627)+COUNTIF(Y608:Y625,$B627&amp;" ~*")&gt;0))</f>
        <v/>
      </c>
      <c r="AC627" s="36">
        <f>IF($B627="","",(IFERROR(INDEX(Setup!$G$33:$G$40,MATCH(C627,Setup!$B$33:$B$40,0)),0)=1)*(COUNTIF(C608:E625,$B627)+COUNTIF(C608:E625,$B627&amp;" ~*")&gt;0)+(IFERROR(INDEX(Setup!$G$33:$G$40,MATCH(G627,Setup!$B$33:$B$40,0)),0)=1)*(COUNTIF(G608:I625,$B627)+COUNTIF(G608:I625,$B627&amp;" ~*")&gt;0)+(IFERROR(INDEX(Setup!$G$33:$G$40,MATCH(K627,Setup!$B$33:$B$40,0)),0)=1)*(COUNTIF(K608:M625,$B627)+COUNTIF(K608:M625,$B627&amp;" ~*")&gt;0)+(IFERROR(INDEX(Setup!$G$33:$G$40,MATCH(O627,Setup!$B$33:$B$40,0)),0)=1)*(COUNTIF(O608:Q625,$B627)+COUNTIF(O608:Q625,$B627&amp;" ~*")&gt;0)+(IFERROR(INDEX(Setup!$G$33:$G$40,MATCH(S627,Setup!$B$33:$B$40,0)),0)=1)*(COUNTIF(S608:U625,$B627)+COUNTIF(S608:U625,$B627&amp;" ~*")&gt;0)+(IFERROR(INDEX(Setup!$G$33:$G$40,MATCH(W627,Setup!$B$33:$B$40,0)),0)=1)*(COUNTIF(W608:W625,$B627)+COUNTIF(W608:W625,$B627&amp;" ~*")&gt;0)+(IFERROR(INDEX(Setup!$G$33:$G$40,MATCH(Y627,Setup!$B$33:$B$40,0)),0)=1)*(COUNTIF(Y608:Y625,$B627)+COUNTIF(Y608:Y625,$B627&amp;" ~*")&gt;0))</f>
        <v/>
      </c>
    </row>
    <row r="628" ht="15" customHeight="1">
      <c r="A628" t="n">
        <v>13</v>
      </c>
      <c r="B628" s="37">
        <f>IF(Setup!$B$7="","",Setup!$B$7)</f>
        <v/>
      </c>
      <c r="C628" s="102" t="n"/>
      <c r="D628" s="103" t="n"/>
      <c r="E628" s="103" t="n"/>
      <c r="F628" s="104" t="n"/>
      <c r="G628" s="102" t="n"/>
      <c r="H628" s="103" t="n"/>
      <c r="I628" s="103" t="n"/>
      <c r="J628" s="104" t="n"/>
      <c r="K628" s="102" t="n"/>
      <c r="L628" s="103" t="n"/>
      <c r="M628" s="103" t="n"/>
      <c r="N628" s="104" t="n"/>
      <c r="O628" s="102" t="n"/>
      <c r="P628" s="103" t="n"/>
      <c r="Q628" s="103" t="n"/>
      <c r="R628" s="104" t="n"/>
      <c r="S628" s="102" t="n"/>
      <c r="T628" s="103" t="n"/>
      <c r="U628" s="103" t="n"/>
      <c r="V628" s="104" t="n"/>
      <c r="W628" s="102" t="n"/>
      <c r="X628" s="104" t="n"/>
      <c r="Y628" s="102" t="n"/>
      <c r="Z628" s="104" t="n"/>
      <c r="AB628" s="105">
        <f>IF($B628="","",(COUNTIF(C608:E625,$B628)+COUNTIF(C608:E625,$B628&amp;" ~*")&gt;0)+(COUNTIF(G608:I625,$B628)+COUNTIF(G608:I625,$B628&amp;" ~*")&gt;0)+(COUNTIF(K608:M625,$B628)+COUNTIF(K608:M625,$B628&amp;" ~*")&gt;0)+(COUNTIF(O608:Q625,$B628)+COUNTIF(O608:Q625,$B628&amp;" ~*")&gt;0)+(COUNTIF(S608:U625,$B628)+COUNTIF(S608:U625,$B628&amp;" ~*")&gt;0)+(COUNTIF(W608:W625,$B628)+COUNTIF(W608:W625,$B628&amp;" ~*")&gt;0)+(COUNTIF(Y608:Y625,$B628)+COUNTIF(Y608:Y625,$B628&amp;" ~*")&gt;0))</f>
        <v/>
      </c>
      <c r="AC628" s="38">
        <f>IF($B628="","",(IFERROR(INDEX(Setup!$G$33:$G$40,MATCH(C628,Setup!$B$33:$B$40,0)),0)=1)*(COUNTIF(C608:E625,$B628)+COUNTIF(C608:E625,$B628&amp;" ~*")&gt;0)+(IFERROR(INDEX(Setup!$G$33:$G$40,MATCH(G628,Setup!$B$33:$B$40,0)),0)=1)*(COUNTIF(G608:I625,$B628)+COUNTIF(G608:I625,$B628&amp;" ~*")&gt;0)+(IFERROR(INDEX(Setup!$G$33:$G$40,MATCH(K628,Setup!$B$33:$B$40,0)),0)=1)*(COUNTIF(K608:M625,$B628)+COUNTIF(K608:M625,$B628&amp;" ~*")&gt;0)+(IFERROR(INDEX(Setup!$G$33:$G$40,MATCH(O628,Setup!$B$33:$B$40,0)),0)=1)*(COUNTIF(O608:Q625,$B628)+COUNTIF(O608:Q625,$B628&amp;" ~*")&gt;0)+(IFERROR(INDEX(Setup!$G$33:$G$40,MATCH(S628,Setup!$B$33:$B$40,0)),0)=1)*(COUNTIF(S608:U625,$B628)+COUNTIF(S608:U625,$B628&amp;" ~*")&gt;0)+(IFERROR(INDEX(Setup!$G$33:$G$40,MATCH(W628,Setup!$B$33:$B$40,0)),0)=1)*(COUNTIF(W608:W625,$B628)+COUNTIF(W608:W625,$B628&amp;" ~*")&gt;0)+(IFERROR(INDEX(Setup!$G$33:$G$40,MATCH(Y628,Setup!$B$33:$B$40,0)),0)=1)*(COUNTIF(Y608:Y625,$B628)+COUNTIF(Y608:Y625,$B628&amp;" ~*")&gt;0))</f>
        <v/>
      </c>
    </row>
    <row r="629" ht="15" customHeight="1">
      <c r="A629" t="n">
        <v>13</v>
      </c>
      <c r="B629" s="35">
        <f>IF(Setup!$B$8="","",Setup!$B$8)</f>
        <v/>
      </c>
      <c r="C629" s="98" t="n"/>
      <c r="D629" s="99" t="n"/>
      <c r="E629" s="99" t="n"/>
      <c r="F629" s="100" t="n"/>
      <c r="G629" s="98" t="n"/>
      <c r="H629" s="99" t="n"/>
      <c r="I629" s="99" t="n"/>
      <c r="J629" s="100" t="n"/>
      <c r="K629" s="98" t="n"/>
      <c r="L629" s="99" t="n"/>
      <c r="M629" s="99" t="n"/>
      <c r="N629" s="100" t="n"/>
      <c r="O629" s="98" t="n"/>
      <c r="P629" s="99" t="n"/>
      <c r="Q629" s="99" t="n"/>
      <c r="R629" s="100" t="n"/>
      <c r="S629" s="98" t="n"/>
      <c r="T629" s="99" t="n"/>
      <c r="U629" s="99" t="n"/>
      <c r="V629" s="100" t="n"/>
      <c r="W629" s="98" t="n"/>
      <c r="X629" s="100" t="n"/>
      <c r="Y629" s="98" t="n"/>
      <c r="Z629" s="100" t="n"/>
      <c r="AB629" s="101">
        <f>IF($B629="","",(COUNTIF(C608:E625,$B629)+COUNTIF(C608:E625,$B629&amp;" ~*")&gt;0)+(COUNTIF(G608:I625,$B629)+COUNTIF(G608:I625,$B629&amp;" ~*")&gt;0)+(COUNTIF(K608:M625,$B629)+COUNTIF(K608:M625,$B629&amp;" ~*")&gt;0)+(COUNTIF(O608:Q625,$B629)+COUNTIF(O608:Q625,$B629&amp;" ~*")&gt;0)+(COUNTIF(S608:U625,$B629)+COUNTIF(S608:U625,$B629&amp;" ~*")&gt;0)+(COUNTIF(W608:W625,$B629)+COUNTIF(W608:W625,$B629&amp;" ~*")&gt;0)+(COUNTIF(Y608:Y625,$B629)+COUNTIF(Y608:Y625,$B629&amp;" ~*")&gt;0))</f>
        <v/>
      </c>
      <c r="AC629" s="36">
        <f>IF($B629="","",(IFERROR(INDEX(Setup!$G$33:$G$40,MATCH(C629,Setup!$B$33:$B$40,0)),0)=1)*(COUNTIF(C608:E625,$B629)+COUNTIF(C608:E625,$B629&amp;" ~*")&gt;0)+(IFERROR(INDEX(Setup!$G$33:$G$40,MATCH(G629,Setup!$B$33:$B$40,0)),0)=1)*(COUNTIF(G608:I625,$B629)+COUNTIF(G608:I625,$B629&amp;" ~*")&gt;0)+(IFERROR(INDEX(Setup!$G$33:$G$40,MATCH(K629,Setup!$B$33:$B$40,0)),0)=1)*(COUNTIF(K608:M625,$B629)+COUNTIF(K608:M625,$B629&amp;" ~*")&gt;0)+(IFERROR(INDEX(Setup!$G$33:$G$40,MATCH(O629,Setup!$B$33:$B$40,0)),0)=1)*(COUNTIF(O608:Q625,$B629)+COUNTIF(O608:Q625,$B629&amp;" ~*")&gt;0)+(IFERROR(INDEX(Setup!$G$33:$G$40,MATCH(S629,Setup!$B$33:$B$40,0)),0)=1)*(COUNTIF(S608:U625,$B629)+COUNTIF(S608:U625,$B629&amp;" ~*")&gt;0)+(IFERROR(INDEX(Setup!$G$33:$G$40,MATCH(W629,Setup!$B$33:$B$40,0)),0)=1)*(COUNTIF(W608:W625,$B629)+COUNTIF(W608:W625,$B629&amp;" ~*")&gt;0)+(IFERROR(INDEX(Setup!$G$33:$G$40,MATCH(Y629,Setup!$B$33:$B$40,0)),0)=1)*(COUNTIF(Y608:Y625,$B629)+COUNTIF(Y608:Y625,$B629&amp;" ~*")&gt;0))</f>
        <v/>
      </c>
    </row>
    <row r="630" ht="15" customHeight="1">
      <c r="A630" t="n">
        <v>13</v>
      </c>
      <c r="B630" s="37">
        <f>IF(Setup!$B$9="","",Setup!$B$9)</f>
        <v/>
      </c>
      <c r="C630" s="102" t="n"/>
      <c r="D630" s="103" t="n"/>
      <c r="E630" s="103" t="n"/>
      <c r="F630" s="104" t="n"/>
      <c r="G630" s="102" t="n"/>
      <c r="H630" s="103" t="n"/>
      <c r="I630" s="103" t="n"/>
      <c r="J630" s="104" t="n"/>
      <c r="K630" s="102" t="n"/>
      <c r="L630" s="103" t="n"/>
      <c r="M630" s="103" t="n"/>
      <c r="N630" s="104" t="n"/>
      <c r="O630" s="102" t="n"/>
      <c r="P630" s="103" t="n"/>
      <c r="Q630" s="103" t="n"/>
      <c r="R630" s="104" t="n"/>
      <c r="S630" s="102" t="n"/>
      <c r="T630" s="103" t="n"/>
      <c r="U630" s="103" t="n"/>
      <c r="V630" s="104" t="n"/>
      <c r="W630" s="102" t="n"/>
      <c r="X630" s="104" t="n"/>
      <c r="Y630" s="102" t="n"/>
      <c r="Z630" s="104" t="n"/>
      <c r="AB630" s="105">
        <f>IF($B630="","",(COUNTIF(C608:E625,$B630)+COUNTIF(C608:E625,$B630&amp;" ~*")&gt;0)+(COUNTIF(G608:I625,$B630)+COUNTIF(G608:I625,$B630&amp;" ~*")&gt;0)+(COUNTIF(K608:M625,$B630)+COUNTIF(K608:M625,$B630&amp;" ~*")&gt;0)+(COUNTIF(O608:Q625,$B630)+COUNTIF(O608:Q625,$B630&amp;" ~*")&gt;0)+(COUNTIF(S608:U625,$B630)+COUNTIF(S608:U625,$B630&amp;" ~*")&gt;0)+(COUNTIF(W608:W625,$B630)+COUNTIF(W608:W625,$B630&amp;" ~*")&gt;0)+(COUNTIF(Y608:Y625,$B630)+COUNTIF(Y608:Y625,$B630&amp;" ~*")&gt;0))</f>
        <v/>
      </c>
      <c r="AC630" s="38">
        <f>IF($B630="","",(IFERROR(INDEX(Setup!$G$33:$G$40,MATCH(C630,Setup!$B$33:$B$40,0)),0)=1)*(COUNTIF(C608:E625,$B630)+COUNTIF(C608:E625,$B630&amp;" ~*")&gt;0)+(IFERROR(INDEX(Setup!$G$33:$G$40,MATCH(G630,Setup!$B$33:$B$40,0)),0)=1)*(COUNTIF(G608:I625,$B630)+COUNTIF(G608:I625,$B630&amp;" ~*")&gt;0)+(IFERROR(INDEX(Setup!$G$33:$G$40,MATCH(K630,Setup!$B$33:$B$40,0)),0)=1)*(COUNTIF(K608:M625,$B630)+COUNTIF(K608:M625,$B630&amp;" ~*")&gt;0)+(IFERROR(INDEX(Setup!$G$33:$G$40,MATCH(O630,Setup!$B$33:$B$40,0)),0)=1)*(COUNTIF(O608:Q625,$B630)+COUNTIF(O608:Q625,$B630&amp;" ~*")&gt;0)+(IFERROR(INDEX(Setup!$G$33:$G$40,MATCH(S630,Setup!$B$33:$B$40,0)),0)=1)*(COUNTIF(S608:U625,$B630)+COUNTIF(S608:U625,$B630&amp;" ~*")&gt;0)+(IFERROR(INDEX(Setup!$G$33:$G$40,MATCH(W630,Setup!$B$33:$B$40,0)),0)=1)*(COUNTIF(W608:W625,$B630)+COUNTIF(W608:W625,$B630&amp;" ~*")&gt;0)+(IFERROR(INDEX(Setup!$G$33:$G$40,MATCH(Y630,Setup!$B$33:$B$40,0)),0)=1)*(COUNTIF(Y608:Y625,$B630)+COUNTIF(Y608:Y625,$B630&amp;" ~*")&gt;0))</f>
        <v/>
      </c>
    </row>
    <row r="631" ht="15" customHeight="1">
      <c r="A631" t="n">
        <v>13</v>
      </c>
      <c r="B631" s="35">
        <f>IF(Setup!$B$10="","",Setup!$B$10)</f>
        <v/>
      </c>
      <c r="C631" s="98" t="n"/>
      <c r="D631" s="99" t="n"/>
      <c r="E631" s="99" t="n"/>
      <c r="F631" s="100" t="n"/>
      <c r="G631" s="98" t="n"/>
      <c r="H631" s="99" t="n"/>
      <c r="I631" s="99" t="n"/>
      <c r="J631" s="100" t="n"/>
      <c r="K631" s="98" t="n"/>
      <c r="L631" s="99" t="n"/>
      <c r="M631" s="99" t="n"/>
      <c r="N631" s="100" t="n"/>
      <c r="O631" s="98" t="n"/>
      <c r="P631" s="99" t="n"/>
      <c r="Q631" s="99" t="n"/>
      <c r="R631" s="100" t="n"/>
      <c r="S631" s="98" t="n"/>
      <c r="T631" s="99" t="n"/>
      <c r="U631" s="99" t="n"/>
      <c r="V631" s="100" t="n"/>
      <c r="W631" s="98" t="n"/>
      <c r="X631" s="100" t="n"/>
      <c r="Y631" s="98" t="n"/>
      <c r="Z631" s="100" t="n"/>
      <c r="AB631" s="101">
        <f>IF($B631="","",(COUNTIF(C608:E625,$B631)+COUNTIF(C608:E625,$B631&amp;" ~*")&gt;0)+(COUNTIF(G608:I625,$B631)+COUNTIF(G608:I625,$B631&amp;" ~*")&gt;0)+(COUNTIF(K608:M625,$B631)+COUNTIF(K608:M625,$B631&amp;" ~*")&gt;0)+(COUNTIF(O608:Q625,$B631)+COUNTIF(O608:Q625,$B631&amp;" ~*")&gt;0)+(COUNTIF(S608:U625,$B631)+COUNTIF(S608:U625,$B631&amp;" ~*")&gt;0)+(COUNTIF(W608:W625,$B631)+COUNTIF(W608:W625,$B631&amp;" ~*")&gt;0)+(COUNTIF(Y608:Y625,$B631)+COUNTIF(Y608:Y625,$B631&amp;" ~*")&gt;0))</f>
        <v/>
      </c>
      <c r="AC631" s="36">
        <f>IF($B631="","",(IFERROR(INDEX(Setup!$G$33:$G$40,MATCH(C631,Setup!$B$33:$B$40,0)),0)=1)*(COUNTIF(C608:E625,$B631)+COUNTIF(C608:E625,$B631&amp;" ~*")&gt;0)+(IFERROR(INDEX(Setup!$G$33:$G$40,MATCH(G631,Setup!$B$33:$B$40,0)),0)=1)*(COUNTIF(G608:I625,$B631)+COUNTIF(G608:I625,$B631&amp;" ~*")&gt;0)+(IFERROR(INDEX(Setup!$G$33:$G$40,MATCH(K631,Setup!$B$33:$B$40,0)),0)=1)*(COUNTIF(K608:M625,$B631)+COUNTIF(K608:M625,$B631&amp;" ~*")&gt;0)+(IFERROR(INDEX(Setup!$G$33:$G$40,MATCH(O631,Setup!$B$33:$B$40,0)),0)=1)*(COUNTIF(O608:Q625,$B631)+COUNTIF(O608:Q625,$B631&amp;" ~*")&gt;0)+(IFERROR(INDEX(Setup!$G$33:$G$40,MATCH(S631,Setup!$B$33:$B$40,0)),0)=1)*(COUNTIF(S608:U625,$B631)+COUNTIF(S608:U625,$B631&amp;" ~*")&gt;0)+(IFERROR(INDEX(Setup!$G$33:$G$40,MATCH(W631,Setup!$B$33:$B$40,0)),0)=1)*(COUNTIF(W608:W625,$B631)+COUNTIF(W608:W625,$B631&amp;" ~*")&gt;0)+(IFERROR(INDEX(Setup!$G$33:$G$40,MATCH(Y631,Setup!$B$33:$B$40,0)),0)=1)*(COUNTIF(Y608:Y625,$B631)+COUNTIF(Y608:Y625,$B631&amp;" ~*")&gt;0))</f>
        <v/>
      </c>
    </row>
    <row r="632" ht="15" customHeight="1">
      <c r="A632" t="n">
        <v>13</v>
      </c>
      <c r="B632" s="37">
        <f>IF(Setup!$B$11="","",Setup!$B$11)</f>
        <v/>
      </c>
      <c r="C632" s="102" t="n"/>
      <c r="D632" s="103" t="n"/>
      <c r="E632" s="103" t="n"/>
      <c r="F632" s="104" t="n"/>
      <c r="G632" s="102" t="n"/>
      <c r="H632" s="103" t="n"/>
      <c r="I632" s="103" t="n"/>
      <c r="J632" s="104" t="n"/>
      <c r="K632" s="102" t="n"/>
      <c r="L632" s="103" t="n"/>
      <c r="M632" s="103" t="n"/>
      <c r="N632" s="104" t="n"/>
      <c r="O632" s="102" t="n"/>
      <c r="P632" s="103" t="n"/>
      <c r="Q632" s="103" t="n"/>
      <c r="R632" s="104" t="n"/>
      <c r="S632" s="102" t="n"/>
      <c r="T632" s="103" t="n"/>
      <c r="U632" s="103" t="n"/>
      <c r="V632" s="104" t="n"/>
      <c r="W632" s="102" t="n"/>
      <c r="X632" s="104" t="n"/>
      <c r="Y632" s="102" t="n"/>
      <c r="Z632" s="104" t="n"/>
      <c r="AB632" s="105">
        <f>IF($B632="","",(COUNTIF(C608:E625,$B632)+COUNTIF(C608:E625,$B632&amp;" ~*")&gt;0)+(COUNTIF(G608:I625,$B632)+COUNTIF(G608:I625,$B632&amp;" ~*")&gt;0)+(COUNTIF(K608:M625,$B632)+COUNTIF(K608:M625,$B632&amp;" ~*")&gt;0)+(COUNTIF(O608:Q625,$B632)+COUNTIF(O608:Q625,$B632&amp;" ~*")&gt;0)+(COUNTIF(S608:U625,$B632)+COUNTIF(S608:U625,$B632&amp;" ~*")&gt;0)+(COUNTIF(W608:W625,$B632)+COUNTIF(W608:W625,$B632&amp;" ~*")&gt;0)+(COUNTIF(Y608:Y625,$B632)+COUNTIF(Y608:Y625,$B632&amp;" ~*")&gt;0))</f>
        <v/>
      </c>
      <c r="AC632" s="38">
        <f>IF($B632="","",(IFERROR(INDEX(Setup!$G$33:$G$40,MATCH(C632,Setup!$B$33:$B$40,0)),0)=1)*(COUNTIF(C608:E625,$B632)+COUNTIF(C608:E625,$B632&amp;" ~*")&gt;0)+(IFERROR(INDEX(Setup!$G$33:$G$40,MATCH(G632,Setup!$B$33:$B$40,0)),0)=1)*(COUNTIF(G608:I625,$B632)+COUNTIF(G608:I625,$B632&amp;" ~*")&gt;0)+(IFERROR(INDEX(Setup!$G$33:$G$40,MATCH(K632,Setup!$B$33:$B$40,0)),0)=1)*(COUNTIF(K608:M625,$B632)+COUNTIF(K608:M625,$B632&amp;" ~*")&gt;0)+(IFERROR(INDEX(Setup!$G$33:$G$40,MATCH(O632,Setup!$B$33:$B$40,0)),0)=1)*(COUNTIF(O608:Q625,$B632)+COUNTIF(O608:Q625,$B632&amp;" ~*")&gt;0)+(IFERROR(INDEX(Setup!$G$33:$G$40,MATCH(S632,Setup!$B$33:$B$40,0)),0)=1)*(COUNTIF(S608:U625,$B632)+COUNTIF(S608:U625,$B632&amp;" ~*")&gt;0)+(IFERROR(INDEX(Setup!$G$33:$G$40,MATCH(W632,Setup!$B$33:$B$40,0)),0)=1)*(COUNTIF(W608:W625,$B632)+COUNTIF(W608:W625,$B632&amp;" ~*")&gt;0)+(IFERROR(INDEX(Setup!$G$33:$G$40,MATCH(Y632,Setup!$B$33:$B$40,0)),0)=1)*(COUNTIF(Y608:Y625,$B632)+COUNTIF(Y608:Y625,$B632&amp;" ~*")&gt;0))</f>
        <v/>
      </c>
    </row>
    <row r="633" ht="15" customHeight="1">
      <c r="A633" t="n">
        <v>13</v>
      </c>
      <c r="B633" s="35">
        <f>IF(Setup!$B$12="","",Setup!$B$12)</f>
        <v/>
      </c>
      <c r="C633" s="98" t="n"/>
      <c r="D633" s="99" t="n"/>
      <c r="E633" s="99" t="n"/>
      <c r="F633" s="100" t="n"/>
      <c r="G633" s="98" t="inlineStr">
        <is>
          <t>AL</t>
        </is>
      </c>
      <c r="H633" s="99" t="n"/>
      <c r="I633" s="99" t="n"/>
      <c r="J633" s="100" t="n"/>
      <c r="K633" s="98" t="inlineStr">
        <is>
          <t>AL</t>
        </is>
      </c>
      <c r="L633" s="99" t="n"/>
      <c r="M633" s="99" t="n"/>
      <c r="N633" s="100" t="n"/>
      <c r="O633" s="98" t="inlineStr">
        <is>
          <t>AL</t>
        </is>
      </c>
      <c r="P633" s="99" t="n"/>
      <c r="Q633" s="99" t="n"/>
      <c r="R633" s="100" t="n"/>
      <c r="S633" s="98" t="inlineStr">
        <is>
          <t>AL</t>
        </is>
      </c>
      <c r="T633" s="99" t="n"/>
      <c r="U633" s="99" t="n"/>
      <c r="V633" s="100" t="n"/>
      <c r="W633" s="98" t="n"/>
      <c r="X633" s="100" t="n"/>
      <c r="Y633" s="98" t="n"/>
      <c r="Z633" s="100" t="n"/>
      <c r="AB633" s="101">
        <f>IF($B633="","",(COUNTIF(C608:E625,$B633)+COUNTIF(C608:E625,$B633&amp;" ~*")&gt;0)+(COUNTIF(G608:I625,$B633)+COUNTIF(G608:I625,$B633&amp;" ~*")&gt;0)+(COUNTIF(K608:M625,$B633)+COUNTIF(K608:M625,$B633&amp;" ~*")&gt;0)+(COUNTIF(O608:Q625,$B633)+COUNTIF(O608:Q625,$B633&amp;" ~*")&gt;0)+(COUNTIF(S608:U625,$B633)+COUNTIF(S608:U625,$B633&amp;" ~*")&gt;0)+(COUNTIF(W608:W625,$B633)+COUNTIF(W608:W625,$B633&amp;" ~*")&gt;0)+(COUNTIF(Y608:Y625,$B633)+COUNTIF(Y608:Y625,$B633&amp;" ~*")&gt;0))</f>
        <v/>
      </c>
      <c r="AC633" s="36">
        <f>IF($B633="","",(IFERROR(INDEX(Setup!$G$33:$G$40,MATCH(C633,Setup!$B$33:$B$40,0)),0)=1)*(COUNTIF(C608:E625,$B633)+COUNTIF(C608:E625,$B633&amp;" ~*")&gt;0)+(IFERROR(INDEX(Setup!$G$33:$G$40,MATCH(G633,Setup!$B$33:$B$40,0)),0)=1)*(COUNTIF(G608:I625,$B633)+COUNTIF(G608:I625,$B633&amp;" ~*")&gt;0)+(IFERROR(INDEX(Setup!$G$33:$G$40,MATCH(K633,Setup!$B$33:$B$40,0)),0)=1)*(COUNTIF(K608:M625,$B633)+COUNTIF(K608:M625,$B633&amp;" ~*")&gt;0)+(IFERROR(INDEX(Setup!$G$33:$G$40,MATCH(O633,Setup!$B$33:$B$40,0)),0)=1)*(COUNTIF(O608:Q625,$B633)+COUNTIF(O608:Q625,$B633&amp;" ~*")&gt;0)+(IFERROR(INDEX(Setup!$G$33:$G$40,MATCH(S633,Setup!$B$33:$B$40,0)),0)=1)*(COUNTIF(S608:U625,$B633)+COUNTIF(S608:U625,$B633&amp;" ~*")&gt;0)+(IFERROR(INDEX(Setup!$G$33:$G$40,MATCH(W633,Setup!$B$33:$B$40,0)),0)=1)*(COUNTIF(W608:W625,$B633)+COUNTIF(W608:W625,$B633&amp;" ~*")&gt;0)+(IFERROR(INDEX(Setup!$G$33:$G$40,MATCH(Y633,Setup!$B$33:$B$40,0)),0)=1)*(COUNTIF(Y608:Y625,$B633)+COUNTIF(Y608:Y625,$B633&amp;" ~*")&gt;0))</f>
        <v/>
      </c>
    </row>
    <row r="634" ht="15" customHeight="1">
      <c r="A634" t="n">
        <v>13</v>
      </c>
      <c r="B634" s="37">
        <f>IF(Setup!$B$13="","",Setup!$B$13)</f>
        <v/>
      </c>
      <c r="C634" s="102" t="n"/>
      <c r="D634" s="103" t="n"/>
      <c r="E634" s="103" t="n"/>
      <c r="F634" s="104" t="n"/>
      <c r="G634" s="102" t="inlineStr">
        <is>
          <t>AL</t>
        </is>
      </c>
      <c r="H634" s="103" t="n"/>
      <c r="I634" s="103" t="n"/>
      <c r="J634" s="104" t="n"/>
      <c r="K634" s="102" t="inlineStr">
        <is>
          <t>AL</t>
        </is>
      </c>
      <c r="L634" s="103" t="n"/>
      <c r="M634" s="103" t="n"/>
      <c r="N634" s="104" t="n"/>
      <c r="O634" s="102" t="n"/>
      <c r="P634" s="103" t="n"/>
      <c r="Q634" s="103" t="n"/>
      <c r="R634" s="104" t="n"/>
      <c r="S634" s="102" t="inlineStr">
        <is>
          <t>AL</t>
        </is>
      </c>
      <c r="T634" s="103" t="n"/>
      <c r="U634" s="103" t="n"/>
      <c r="V634" s="104" t="n"/>
      <c r="W634" s="102" t="n"/>
      <c r="X634" s="104" t="n"/>
      <c r="Y634" s="102" t="n"/>
      <c r="Z634" s="104" t="n"/>
      <c r="AB634" s="105">
        <f>IF($B634="","",(COUNTIF(C608:E625,$B634)+COUNTIF(C608:E625,$B634&amp;" ~*")&gt;0)+(COUNTIF(G608:I625,$B634)+COUNTIF(G608:I625,$B634&amp;" ~*")&gt;0)+(COUNTIF(K608:M625,$B634)+COUNTIF(K608:M625,$B634&amp;" ~*")&gt;0)+(COUNTIF(O608:Q625,$B634)+COUNTIF(O608:Q625,$B634&amp;" ~*")&gt;0)+(COUNTIF(S608:U625,$B634)+COUNTIF(S608:U625,$B634&amp;" ~*")&gt;0)+(COUNTIF(W608:W625,$B634)+COUNTIF(W608:W625,$B634&amp;" ~*")&gt;0)+(COUNTIF(Y608:Y625,$B634)+COUNTIF(Y608:Y625,$B634&amp;" ~*")&gt;0))</f>
        <v/>
      </c>
      <c r="AC634" s="38">
        <f>IF($B634="","",(IFERROR(INDEX(Setup!$G$33:$G$40,MATCH(C634,Setup!$B$33:$B$40,0)),0)=1)*(COUNTIF(C608:E625,$B634)+COUNTIF(C608:E625,$B634&amp;" ~*")&gt;0)+(IFERROR(INDEX(Setup!$G$33:$G$40,MATCH(G634,Setup!$B$33:$B$40,0)),0)=1)*(COUNTIF(G608:I625,$B634)+COUNTIF(G608:I625,$B634&amp;" ~*")&gt;0)+(IFERROR(INDEX(Setup!$G$33:$G$40,MATCH(K634,Setup!$B$33:$B$40,0)),0)=1)*(COUNTIF(K608:M625,$B634)+COUNTIF(K608:M625,$B634&amp;" ~*")&gt;0)+(IFERROR(INDEX(Setup!$G$33:$G$40,MATCH(O634,Setup!$B$33:$B$40,0)),0)=1)*(COUNTIF(O608:Q625,$B634)+COUNTIF(O608:Q625,$B634&amp;" ~*")&gt;0)+(IFERROR(INDEX(Setup!$G$33:$G$40,MATCH(S634,Setup!$B$33:$B$40,0)),0)=1)*(COUNTIF(S608:U625,$B634)+COUNTIF(S608:U625,$B634&amp;" ~*")&gt;0)+(IFERROR(INDEX(Setup!$G$33:$G$40,MATCH(W634,Setup!$B$33:$B$40,0)),0)=1)*(COUNTIF(W608:W625,$B634)+COUNTIF(W608:W625,$B634&amp;" ~*")&gt;0)+(IFERROR(INDEX(Setup!$G$33:$G$40,MATCH(Y634,Setup!$B$33:$B$40,0)),0)=1)*(COUNTIF(Y608:Y625,$B634)+COUNTIF(Y608:Y625,$B634&amp;" ~*")&gt;0))</f>
        <v/>
      </c>
    </row>
    <row r="635" ht="15" customHeight="1">
      <c r="A635" t="n">
        <v>13</v>
      </c>
      <c r="B635" s="35">
        <f>IF(Setup!$B$14="","",Setup!$B$14)</f>
        <v/>
      </c>
      <c r="C635" s="98" t="n"/>
      <c r="D635" s="99" t="n"/>
      <c r="E635" s="99" t="n"/>
      <c r="F635" s="100" t="n"/>
      <c r="G635" s="98" t="n"/>
      <c r="H635" s="99" t="n"/>
      <c r="I635" s="99" t="n"/>
      <c r="J635" s="100" t="n"/>
      <c r="K635" s="98" t="n"/>
      <c r="L635" s="99" t="n"/>
      <c r="M635" s="99" t="n"/>
      <c r="N635" s="100" t="n"/>
      <c r="O635" s="98" t="n"/>
      <c r="P635" s="99" t="n"/>
      <c r="Q635" s="99" t="n"/>
      <c r="R635" s="100" t="n"/>
      <c r="S635" s="98" t="n"/>
      <c r="T635" s="99" t="n"/>
      <c r="U635" s="99" t="n"/>
      <c r="V635" s="100" t="n"/>
      <c r="W635" s="98" t="n"/>
      <c r="X635" s="100" t="n"/>
      <c r="Y635" s="98" t="n"/>
      <c r="Z635" s="100" t="n"/>
      <c r="AB635" s="101">
        <f>IF($B635="","",(COUNTIF(C608:E625,$B635)+COUNTIF(C608:E625,$B635&amp;" ~*")&gt;0)+(COUNTIF(G608:I625,$B635)+COUNTIF(G608:I625,$B635&amp;" ~*")&gt;0)+(COUNTIF(K608:M625,$B635)+COUNTIF(K608:M625,$B635&amp;" ~*")&gt;0)+(COUNTIF(O608:Q625,$B635)+COUNTIF(O608:Q625,$B635&amp;" ~*")&gt;0)+(COUNTIF(S608:U625,$B635)+COUNTIF(S608:U625,$B635&amp;" ~*")&gt;0)+(COUNTIF(W608:W625,$B635)+COUNTIF(W608:W625,$B635&amp;" ~*")&gt;0)+(COUNTIF(Y608:Y625,$B635)+COUNTIF(Y608:Y625,$B635&amp;" ~*")&gt;0))</f>
        <v/>
      </c>
      <c r="AC635" s="36">
        <f>IF($B635="","",(IFERROR(INDEX(Setup!$G$33:$G$40,MATCH(C635,Setup!$B$33:$B$40,0)),0)=1)*(COUNTIF(C608:E625,$B635)+COUNTIF(C608:E625,$B635&amp;" ~*")&gt;0)+(IFERROR(INDEX(Setup!$G$33:$G$40,MATCH(G635,Setup!$B$33:$B$40,0)),0)=1)*(COUNTIF(G608:I625,$B635)+COUNTIF(G608:I625,$B635&amp;" ~*")&gt;0)+(IFERROR(INDEX(Setup!$G$33:$G$40,MATCH(K635,Setup!$B$33:$B$40,0)),0)=1)*(COUNTIF(K608:M625,$B635)+COUNTIF(K608:M625,$B635&amp;" ~*")&gt;0)+(IFERROR(INDEX(Setup!$G$33:$G$40,MATCH(O635,Setup!$B$33:$B$40,0)),0)=1)*(COUNTIF(O608:Q625,$B635)+COUNTIF(O608:Q625,$B635&amp;" ~*")&gt;0)+(IFERROR(INDEX(Setup!$G$33:$G$40,MATCH(S635,Setup!$B$33:$B$40,0)),0)=1)*(COUNTIF(S608:U625,$B635)+COUNTIF(S608:U625,$B635&amp;" ~*")&gt;0)+(IFERROR(INDEX(Setup!$G$33:$G$40,MATCH(W635,Setup!$B$33:$B$40,0)),0)=1)*(COUNTIF(W608:W625,$B635)+COUNTIF(W608:W625,$B635&amp;" ~*")&gt;0)+(IFERROR(INDEX(Setup!$G$33:$G$40,MATCH(Y635,Setup!$B$33:$B$40,0)),0)=1)*(COUNTIF(Y608:Y625,$B635)+COUNTIF(Y608:Y625,$B635&amp;" ~*")&gt;0))</f>
        <v/>
      </c>
    </row>
    <row r="636" ht="15" customHeight="1">
      <c r="A636" t="n">
        <v>13</v>
      </c>
      <c r="B636" s="37">
        <f>IF(Setup!$B$15="","",Setup!$B$15)</f>
        <v/>
      </c>
      <c r="C636" s="102" t="n"/>
      <c r="D636" s="103" t="n"/>
      <c r="E636" s="103" t="n"/>
      <c r="F636" s="104" t="n"/>
      <c r="G636" s="102" t="n"/>
      <c r="H636" s="103" t="n"/>
      <c r="I636" s="103" t="n"/>
      <c r="J636" s="104" t="n"/>
      <c r="K636" s="102" t="n"/>
      <c r="L636" s="103" t="n"/>
      <c r="M636" s="103" t="n"/>
      <c r="N636" s="104" t="n"/>
      <c r="O636" s="102" t="n"/>
      <c r="P636" s="103" t="n"/>
      <c r="Q636" s="103" t="n"/>
      <c r="R636" s="104" t="n"/>
      <c r="S636" s="102" t="n"/>
      <c r="T636" s="103" t="n"/>
      <c r="U636" s="103" t="n"/>
      <c r="V636" s="104" t="n"/>
      <c r="W636" s="102" t="n"/>
      <c r="X636" s="104" t="n"/>
      <c r="Y636" s="102" t="n"/>
      <c r="Z636" s="104" t="n"/>
      <c r="AB636" s="105">
        <f>IF($B636="","",(COUNTIF(C608:E625,$B636)+COUNTIF(C608:E625,$B636&amp;" ~*")&gt;0)+(COUNTIF(G608:I625,$B636)+COUNTIF(G608:I625,$B636&amp;" ~*")&gt;0)+(COUNTIF(K608:M625,$B636)+COUNTIF(K608:M625,$B636&amp;" ~*")&gt;0)+(COUNTIF(O608:Q625,$B636)+COUNTIF(O608:Q625,$B636&amp;" ~*")&gt;0)+(COUNTIF(S608:U625,$B636)+COUNTIF(S608:U625,$B636&amp;" ~*")&gt;0)+(COUNTIF(W608:W625,$B636)+COUNTIF(W608:W625,$B636&amp;" ~*")&gt;0)+(COUNTIF(Y608:Y625,$B636)+COUNTIF(Y608:Y625,$B636&amp;" ~*")&gt;0))</f>
        <v/>
      </c>
      <c r="AC636" s="38">
        <f>IF($B636="","",(IFERROR(INDEX(Setup!$G$33:$G$40,MATCH(C636,Setup!$B$33:$B$40,0)),0)=1)*(COUNTIF(C608:E625,$B636)+COUNTIF(C608:E625,$B636&amp;" ~*")&gt;0)+(IFERROR(INDEX(Setup!$G$33:$G$40,MATCH(G636,Setup!$B$33:$B$40,0)),0)=1)*(COUNTIF(G608:I625,$B636)+COUNTIF(G608:I625,$B636&amp;" ~*")&gt;0)+(IFERROR(INDEX(Setup!$G$33:$G$40,MATCH(K636,Setup!$B$33:$B$40,0)),0)=1)*(COUNTIF(K608:M625,$B636)+COUNTIF(K608:M625,$B636&amp;" ~*")&gt;0)+(IFERROR(INDEX(Setup!$G$33:$G$40,MATCH(O636,Setup!$B$33:$B$40,0)),0)=1)*(COUNTIF(O608:Q625,$B636)+COUNTIF(O608:Q625,$B636&amp;" ~*")&gt;0)+(IFERROR(INDEX(Setup!$G$33:$G$40,MATCH(S636,Setup!$B$33:$B$40,0)),0)=1)*(COUNTIF(S608:U625,$B636)+COUNTIF(S608:U625,$B636&amp;" ~*")&gt;0)+(IFERROR(INDEX(Setup!$G$33:$G$40,MATCH(W636,Setup!$B$33:$B$40,0)),0)=1)*(COUNTIF(W608:W625,$B636)+COUNTIF(W608:W625,$B636&amp;" ~*")&gt;0)+(IFERROR(INDEX(Setup!$G$33:$G$40,MATCH(Y636,Setup!$B$33:$B$40,0)),0)=1)*(COUNTIF(Y608:Y625,$B636)+COUNTIF(Y608:Y625,$B636&amp;" ~*")&gt;0))</f>
        <v/>
      </c>
    </row>
    <row r="637" ht="15" customHeight="1">
      <c r="A637" t="n">
        <v>13</v>
      </c>
      <c r="B637" s="35">
        <f>IF(Setup!$B$16="","",Setup!$B$16)</f>
        <v/>
      </c>
      <c r="C637" s="98" t="n"/>
      <c r="D637" s="99" t="n"/>
      <c r="E637" s="99" t="n"/>
      <c r="F637" s="100" t="n"/>
      <c r="G637" s="98" t="n"/>
      <c r="H637" s="99" t="n"/>
      <c r="I637" s="99" t="n"/>
      <c r="J637" s="100" t="n"/>
      <c r="K637" s="98" t="n"/>
      <c r="L637" s="99" t="n"/>
      <c r="M637" s="99" t="n"/>
      <c r="N637" s="100" t="n"/>
      <c r="O637" s="98" t="n"/>
      <c r="P637" s="99" t="n"/>
      <c r="Q637" s="99" t="n"/>
      <c r="R637" s="100" t="n"/>
      <c r="S637" s="98" t="n"/>
      <c r="T637" s="99" t="n"/>
      <c r="U637" s="99" t="n"/>
      <c r="V637" s="100" t="n"/>
      <c r="W637" s="98" t="n"/>
      <c r="X637" s="100" t="n"/>
      <c r="Y637" s="98" t="n"/>
      <c r="Z637" s="100" t="n"/>
      <c r="AB637" s="101">
        <f>IF($B637="","",(COUNTIF(C608:E625,$B637)+COUNTIF(C608:E625,$B637&amp;" ~*")&gt;0)+(COUNTIF(G608:I625,$B637)+COUNTIF(G608:I625,$B637&amp;" ~*")&gt;0)+(COUNTIF(K608:M625,$B637)+COUNTIF(K608:M625,$B637&amp;" ~*")&gt;0)+(COUNTIF(O608:Q625,$B637)+COUNTIF(O608:Q625,$B637&amp;" ~*")&gt;0)+(COUNTIF(S608:U625,$B637)+COUNTIF(S608:U625,$B637&amp;" ~*")&gt;0)+(COUNTIF(W608:W625,$B637)+COUNTIF(W608:W625,$B637&amp;" ~*")&gt;0)+(COUNTIF(Y608:Y625,$B637)+COUNTIF(Y608:Y625,$B637&amp;" ~*")&gt;0))</f>
        <v/>
      </c>
      <c r="AC637" s="36">
        <f>IF($B637="","",(IFERROR(INDEX(Setup!$G$33:$G$40,MATCH(C637,Setup!$B$33:$B$40,0)),0)=1)*(COUNTIF(C608:E625,$B637)+COUNTIF(C608:E625,$B637&amp;" ~*")&gt;0)+(IFERROR(INDEX(Setup!$G$33:$G$40,MATCH(G637,Setup!$B$33:$B$40,0)),0)=1)*(COUNTIF(G608:I625,$B637)+COUNTIF(G608:I625,$B637&amp;" ~*")&gt;0)+(IFERROR(INDEX(Setup!$G$33:$G$40,MATCH(K637,Setup!$B$33:$B$40,0)),0)=1)*(COUNTIF(K608:M625,$B637)+COUNTIF(K608:M625,$B637&amp;" ~*")&gt;0)+(IFERROR(INDEX(Setup!$G$33:$G$40,MATCH(O637,Setup!$B$33:$B$40,0)),0)=1)*(COUNTIF(O608:Q625,$B637)+COUNTIF(O608:Q625,$B637&amp;" ~*")&gt;0)+(IFERROR(INDEX(Setup!$G$33:$G$40,MATCH(S637,Setup!$B$33:$B$40,0)),0)=1)*(COUNTIF(S608:U625,$B637)+COUNTIF(S608:U625,$B637&amp;" ~*")&gt;0)+(IFERROR(INDEX(Setup!$G$33:$G$40,MATCH(W637,Setup!$B$33:$B$40,0)),0)=1)*(COUNTIF(W608:W625,$B637)+COUNTIF(W608:W625,$B637&amp;" ~*")&gt;0)+(IFERROR(INDEX(Setup!$G$33:$G$40,MATCH(Y637,Setup!$B$33:$B$40,0)),0)=1)*(COUNTIF(Y608:Y625,$B637)+COUNTIF(Y608:Y625,$B637&amp;" ~*")&gt;0))</f>
        <v/>
      </c>
    </row>
    <row r="638" ht="15" customHeight="1">
      <c r="A638" t="n">
        <v>13</v>
      </c>
      <c r="B638" s="37">
        <f>IF(Setup!$B$17="","",Setup!$B$17)</f>
        <v/>
      </c>
      <c r="C638" s="102" t="n"/>
      <c r="D638" s="103" t="n"/>
      <c r="E638" s="103" t="n"/>
      <c r="F638" s="104" t="n"/>
      <c r="G638" s="102" t="n"/>
      <c r="H638" s="103" t="n"/>
      <c r="I638" s="103" t="n"/>
      <c r="J638" s="104" t="n"/>
      <c r="K638" s="102" t="n"/>
      <c r="L638" s="103" t="n"/>
      <c r="M638" s="103" t="n"/>
      <c r="N638" s="104" t="n"/>
      <c r="O638" s="102" t="n"/>
      <c r="P638" s="103" t="n"/>
      <c r="Q638" s="103" t="n"/>
      <c r="R638" s="104" t="n"/>
      <c r="S638" s="102" t="n"/>
      <c r="T638" s="103" t="n"/>
      <c r="U638" s="103" t="n"/>
      <c r="V638" s="104" t="n"/>
      <c r="W638" s="102" t="n"/>
      <c r="X638" s="104" t="n"/>
      <c r="Y638" s="102" t="n"/>
      <c r="Z638" s="104" t="n"/>
      <c r="AB638" s="105">
        <f>IF($B638="","",(COUNTIF(C608:E625,$B638)+COUNTIF(C608:E625,$B638&amp;" ~*")&gt;0)+(COUNTIF(G608:I625,$B638)+COUNTIF(G608:I625,$B638&amp;" ~*")&gt;0)+(COUNTIF(K608:M625,$B638)+COUNTIF(K608:M625,$B638&amp;" ~*")&gt;0)+(COUNTIF(O608:Q625,$B638)+COUNTIF(O608:Q625,$B638&amp;" ~*")&gt;0)+(COUNTIF(S608:U625,$B638)+COUNTIF(S608:U625,$B638&amp;" ~*")&gt;0)+(COUNTIF(W608:W625,$B638)+COUNTIF(W608:W625,$B638&amp;" ~*")&gt;0)+(COUNTIF(Y608:Y625,$B638)+COUNTIF(Y608:Y625,$B638&amp;" ~*")&gt;0))</f>
        <v/>
      </c>
      <c r="AC638" s="38">
        <f>IF($B638="","",(IFERROR(INDEX(Setup!$G$33:$G$40,MATCH(C638,Setup!$B$33:$B$40,0)),0)=1)*(COUNTIF(C608:E625,$B638)+COUNTIF(C608:E625,$B638&amp;" ~*")&gt;0)+(IFERROR(INDEX(Setup!$G$33:$G$40,MATCH(G638,Setup!$B$33:$B$40,0)),0)=1)*(COUNTIF(G608:I625,$B638)+COUNTIF(G608:I625,$B638&amp;" ~*")&gt;0)+(IFERROR(INDEX(Setup!$G$33:$G$40,MATCH(K638,Setup!$B$33:$B$40,0)),0)=1)*(COUNTIF(K608:M625,$B638)+COUNTIF(K608:M625,$B638&amp;" ~*")&gt;0)+(IFERROR(INDEX(Setup!$G$33:$G$40,MATCH(O638,Setup!$B$33:$B$40,0)),0)=1)*(COUNTIF(O608:Q625,$B638)+COUNTIF(O608:Q625,$B638&amp;" ~*")&gt;0)+(IFERROR(INDEX(Setup!$G$33:$G$40,MATCH(S638,Setup!$B$33:$B$40,0)),0)=1)*(COUNTIF(S608:U625,$B638)+COUNTIF(S608:U625,$B638&amp;" ~*")&gt;0)+(IFERROR(INDEX(Setup!$G$33:$G$40,MATCH(W638,Setup!$B$33:$B$40,0)),0)=1)*(COUNTIF(W608:W625,$B638)+COUNTIF(W608:W625,$B638&amp;" ~*")&gt;0)+(IFERROR(INDEX(Setup!$G$33:$G$40,MATCH(Y638,Setup!$B$33:$B$40,0)),0)=1)*(COUNTIF(Y608:Y625,$B638)+COUNTIF(Y608:Y625,$B638&amp;" ~*")&gt;0))</f>
        <v/>
      </c>
    </row>
    <row r="639" ht="15" customHeight="1">
      <c r="A639" t="n">
        <v>13</v>
      </c>
      <c r="B639" s="35">
        <f>IF(Setup!$B$18="","",Setup!$B$18)</f>
        <v/>
      </c>
      <c r="C639" s="98" t="n"/>
      <c r="D639" s="99" t="n"/>
      <c r="E639" s="99" t="n"/>
      <c r="F639" s="100" t="n"/>
      <c r="G639" s="98" t="n"/>
      <c r="H639" s="99" t="n"/>
      <c r="I639" s="99" t="n"/>
      <c r="J639" s="100" t="n"/>
      <c r="K639" s="98" t="n"/>
      <c r="L639" s="99" t="n"/>
      <c r="M639" s="99" t="n"/>
      <c r="N639" s="100" t="n"/>
      <c r="O639" s="98" t="n"/>
      <c r="P639" s="99" t="n"/>
      <c r="Q639" s="99" t="n"/>
      <c r="R639" s="100" t="n"/>
      <c r="S639" s="98" t="n"/>
      <c r="T639" s="99" t="n"/>
      <c r="U639" s="99" t="n"/>
      <c r="V639" s="100" t="n"/>
      <c r="W639" s="98" t="n"/>
      <c r="X639" s="100" t="n"/>
      <c r="Y639" s="98" t="n"/>
      <c r="Z639" s="100" t="n"/>
      <c r="AB639" s="101">
        <f>IF($B639="","",(COUNTIF(C608:E625,$B639)+COUNTIF(C608:E625,$B639&amp;" ~*")&gt;0)+(COUNTIF(G608:I625,$B639)+COUNTIF(G608:I625,$B639&amp;" ~*")&gt;0)+(COUNTIF(K608:M625,$B639)+COUNTIF(K608:M625,$B639&amp;" ~*")&gt;0)+(COUNTIF(O608:Q625,$B639)+COUNTIF(O608:Q625,$B639&amp;" ~*")&gt;0)+(COUNTIF(S608:U625,$B639)+COUNTIF(S608:U625,$B639&amp;" ~*")&gt;0)+(COUNTIF(W608:W625,$B639)+COUNTIF(W608:W625,$B639&amp;" ~*")&gt;0)+(COUNTIF(Y608:Y625,$B639)+COUNTIF(Y608:Y625,$B639&amp;" ~*")&gt;0))</f>
        <v/>
      </c>
      <c r="AC639" s="36">
        <f>IF($B639="","",(IFERROR(INDEX(Setup!$G$33:$G$40,MATCH(C639,Setup!$B$33:$B$40,0)),0)=1)*(COUNTIF(C608:E625,$B639)+COUNTIF(C608:E625,$B639&amp;" ~*")&gt;0)+(IFERROR(INDEX(Setup!$G$33:$G$40,MATCH(G639,Setup!$B$33:$B$40,0)),0)=1)*(COUNTIF(G608:I625,$B639)+COUNTIF(G608:I625,$B639&amp;" ~*")&gt;0)+(IFERROR(INDEX(Setup!$G$33:$G$40,MATCH(K639,Setup!$B$33:$B$40,0)),0)=1)*(COUNTIF(K608:M625,$B639)+COUNTIF(K608:M625,$B639&amp;" ~*")&gt;0)+(IFERROR(INDEX(Setup!$G$33:$G$40,MATCH(O639,Setup!$B$33:$B$40,0)),0)=1)*(COUNTIF(O608:Q625,$B639)+COUNTIF(O608:Q625,$B639&amp;" ~*")&gt;0)+(IFERROR(INDEX(Setup!$G$33:$G$40,MATCH(S639,Setup!$B$33:$B$40,0)),0)=1)*(COUNTIF(S608:U625,$B639)+COUNTIF(S608:U625,$B639&amp;" ~*")&gt;0)+(IFERROR(INDEX(Setup!$G$33:$G$40,MATCH(W639,Setup!$B$33:$B$40,0)),0)=1)*(COUNTIF(W608:W625,$B639)+COUNTIF(W608:W625,$B639&amp;" ~*")&gt;0)+(IFERROR(INDEX(Setup!$G$33:$G$40,MATCH(Y639,Setup!$B$33:$B$40,0)),0)=1)*(COUNTIF(Y608:Y625,$B639)+COUNTIF(Y608:Y625,$B639&amp;" ~*")&gt;0))</f>
        <v/>
      </c>
    </row>
    <row r="640" ht="15" customHeight="1">
      <c r="A640" t="n">
        <v>13</v>
      </c>
      <c r="B640" s="37">
        <f>IF(Setup!$B$19="","",Setup!$B$19)</f>
        <v/>
      </c>
      <c r="C640" s="102" t="n"/>
      <c r="D640" s="103" t="n"/>
      <c r="E640" s="103" t="n"/>
      <c r="F640" s="104" t="n"/>
      <c r="G640" s="102" t="n"/>
      <c r="H640" s="103" t="n"/>
      <c r="I640" s="103" t="n"/>
      <c r="J640" s="104" t="n"/>
      <c r="K640" s="102" t="n"/>
      <c r="L640" s="103" t="n"/>
      <c r="M640" s="103" t="n"/>
      <c r="N640" s="104" t="n"/>
      <c r="O640" s="102" t="n"/>
      <c r="P640" s="103" t="n"/>
      <c r="Q640" s="103" t="n"/>
      <c r="R640" s="104" t="n"/>
      <c r="S640" s="102" t="n"/>
      <c r="T640" s="103" t="n"/>
      <c r="U640" s="103" t="n"/>
      <c r="V640" s="104" t="n"/>
      <c r="W640" s="102" t="n"/>
      <c r="X640" s="104" t="n"/>
      <c r="Y640" s="102" t="n"/>
      <c r="Z640" s="104" t="n"/>
      <c r="AB640" s="105">
        <f>IF($B640="","",(COUNTIF(C608:E625,$B640)+COUNTIF(C608:E625,$B640&amp;" ~*")&gt;0)+(COUNTIF(G608:I625,$B640)+COUNTIF(G608:I625,$B640&amp;" ~*")&gt;0)+(COUNTIF(K608:M625,$B640)+COUNTIF(K608:M625,$B640&amp;" ~*")&gt;0)+(COUNTIF(O608:Q625,$B640)+COUNTIF(O608:Q625,$B640&amp;" ~*")&gt;0)+(COUNTIF(S608:U625,$B640)+COUNTIF(S608:U625,$B640&amp;" ~*")&gt;0)+(COUNTIF(W608:W625,$B640)+COUNTIF(W608:W625,$B640&amp;" ~*")&gt;0)+(COUNTIF(Y608:Y625,$B640)+COUNTIF(Y608:Y625,$B640&amp;" ~*")&gt;0))</f>
        <v/>
      </c>
      <c r="AC640" s="38">
        <f>IF($B640="","",(IFERROR(INDEX(Setup!$G$33:$G$40,MATCH(C640,Setup!$B$33:$B$40,0)),0)=1)*(COUNTIF(C608:E625,$B640)+COUNTIF(C608:E625,$B640&amp;" ~*")&gt;0)+(IFERROR(INDEX(Setup!$G$33:$G$40,MATCH(G640,Setup!$B$33:$B$40,0)),0)=1)*(COUNTIF(G608:I625,$B640)+COUNTIF(G608:I625,$B640&amp;" ~*")&gt;0)+(IFERROR(INDEX(Setup!$G$33:$G$40,MATCH(K640,Setup!$B$33:$B$40,0)),0)=1)*(COUNTIF(K608:M625,$B640)+COUNTIF(K608:M625,$B640&amp;" ~*")&gt;0)+(IFERROR(INDEX(Setup!$G$33:$G$40,MATCH(O640,Setup!$B$33:$B$40,0)),0)=1)*(COUNTIF(O608:Q625,$B640)+COUNTIF(O608:Q625,$B640&amp;" ~*")&gt;0)+(IFERROR(INDEX(Setup!$G$33:$G$40,MATCH(S640,Setup!$B$33:$B$40,0)),0)=1)*(COUNTIF(S608:U625,$B640)+COUNTIF(S608:U625,$B640&amp;" ~*")&gt;0)+(IFERROR(INDEX(Setup!$G$33:$G$40,MATCH(W640,Setup!$B$33:$B$40,0)),0)=1)*(COUNTIF(W608:W625,$B640)+COUNTIF(W608:W625,$B640&amp;" ~*")&gt;0)+(IFERROR(INDEX(Setup!$G$33:$G$40,MATCH(Y640,Setup!$B$33:$B$40,0)),0)=1)*(COUNTIF(Y608:Y625,$B640)+COUNTIF(Y608:Y625,$B640&amp;" ~*")&gt;0))</f>
        <v/>
      </c>
    </row>
    <row r="641" ht="15" customHeight="1">
      <c r="A641" t="n">
        <v>13</v>
      </c>
      <c r="B641" s="35">
        <f>IF(Setup!$B$20="","",Setup!$B$20)</f>
        <v/>
      </c>
      <c r="C641" s="98" t="n"/>
      <c r="D641" s="99" t="n"/>
      <c r="E641" s="99" t="n"/>
      <c r="F641" s="100" t="n"/>
      <c r="G641" s="98" t="n"/>
      <c r="H641" s="99" t="n"/>
      <c r="I641" s="99" t="n"/>
      <c r="J641" s="100" t="n"/>
      <c r="K641" s="98" t="n"/>
      <c r="L641" s="99" t="n"/>
      <c r="M641" s="99" t="n"/>
      <c r="N641" s="100" t="n"/>
      <c r="O641" s="98" t="n"/>
      <c r="P641" s="99" t="n"/>
      <c r="Q641" s="99" t="n"/>
      <c r="R641" s="100" t="n"/>
      <c r="S641" s="98" t="n"/>
      <c r="T641" s="99" t="n"/>
      <c r="U641" s="99" t="n"/>
      <c r="V641" s="100" t="n"/>
      <c r="W641" s="98" t="n"/>
      <c r="X641" s="100" t="n"/>
      <c r="Y641" s="98" t="n"/>
      <c r="Z641" s="100" t="n"/>
      <c r="AB641" s="101">
        <f>IF($B641="","",(COUNTIF(C608:E625,$B641)+COUNTIF(C608:E625,$B641&amp;" ~*")&gt;0)+(COUNTIF(G608:I625,$B641)+COUNTIF(G608:I625,$B641&amp;" ~*")&gt;0)+(COUNTIF(K608:M625,$B641)+COUNTIF(K608:M625,$B641&amp;" ~*")&gt;0)+(COUNTIF(O608:Q625,$B641)+COUNTIF(O608:Q625,$B641&amp;" ~*")&gt;0)+(COUNTIF(S608:U625,$B641)+COUNTIF(S608:U625,$B641&amp;" ~*")&gt;0)+(COUNTIF(W608:W625,$B641)+COUNTIF(W608:W625,$B641&amp;" ~*")&gt;0)+(COUNTIF(Y608:Y625,$B641)+COUNTIF(Y608:Y625,$B641&amp;" ~*")&gt;0))</f>
        <v/>
      </c>
      <c r="AC641" s="36">
        <f>IF($B641="","",(IFERROR(INDEX(Setup!$G$33:$G$40,MATCH(C641,Setup!$B$33:$B$40,0)),0)=1)*(COUNTIF(C608:E625,$B641)+COUNTIF(C608:E625,$B641&amp;" ~*")&gt;0)+(IFERROR(INDEX(Setup!$G$33:$G$40,MATCH(G641,Setup!$B$33:$B$40,0)),0)=1)*(COUNTIF(G608:I625,$B641)+COUNTIF(G608:I625,$B641&amp;" ~*")&gt;0)+(IFERROR(INDEX(Setup!$G$33:$G$40,MATCH(K641,Setup!$B$33:$B$40,0)),0)=1)*(COUNTIF(K608:M625,$B641)+COUNTIF(K608:M625,$B641&amp;" ~*")&gt;0)+(IFERROR(INDEX(Setup!$G$33:$G$40,MATCH(O641,Setup!$B$33:$B$40,0)),0)=1)*(COUNTIF(O608:Q625,$B641)+COUNTIF(O608:Q625,$B641&amp;" ~*")&gt;0)+(IFERROR(INDEX(Setup!$G$33:$G$40,MATCH(S641,Setup!$B$33:$B$40,0)),0)=1)*(COUNTIF(S608:U625,$B641)+COUNTIF(S608:U625,$B641&amp;" ~*")&gt;0)+(IFERROR(INDEX(Setup!$G$33:$G$40,MATCH(W641,Setup!$B$33:$B$40,0)),0)=1)*(COUNTIF(W608:W625,$B641)+COUNTIF(W608:W625,$B641&amp;" ~*")&gt;0)+(IFERROR(INDEX(Setup!$G$33:$G$40,MATCH(Y641,Setup!$B$33:$B$40,0)),0)=1)*(COUNTIF(Y608:Y625,$B641)+COUNTIF(Y608:Y625,$B641&amp;" ~*")&gt;0))</f>
        <v/>
      </c>
    </row>
    <row r="642" ht="15" customHeight="1">
      <c r="A642" t="n">
        <v>13</v>
      </c>
      <c r="B642" s="37">
        <f>IF(Setup!$B$21="","",Setup!$B$21)</f>
        <v/>
      </c>
      <c r="C642" s="102" t="n"/>
      <c r="D642" s="103" t="n"/>
      <c r="E642" s="103" t="n"/>
      <c r="F642" s="104" t="n"/>
      <c r="G642" s="102" t="inlineStr">
        <is>
          <t>AL</t>
        </is>
      </c>
      <c r="H642" s="103" t="n"/>
      <c r="I642" s="103" t="n"/>
      <c r="J642" s="104" t="n"/>
      <c r="K642" s="102" t="inlineStr">
        <is>
          <t>AL</t>
        </is>
      </c>
      <c r="L642" s="103" t="n"/>
      <c r="M642" s="103" t="n"/>
      <c r="N642" s="104" t="n"/>
      <c r="O642" s="102" t="n"/>
      <c r="P642" s="103" t="n"/>
      <c r="Q642" s="103" t="n"/>
      <c r="R642" s="104" t="n"/>
      <c r="S642" s="102" t="n"/>
      <c r="T642" s="103" t="n"/>
      <c r="U642" s="103" t="n"/>
      <c r="V642" s="104" t="n"/>
      <c r="W642" s="102" t="n"/>
      <c r="X642" s="104" t="n"/>
      <c r="Y642" s="102" t="n"/>
      <c r="Z642" s="104" t="n"/>
      <c r="AB642" s="105">
        <f>IF($B642="","",(COUNTIF(C608:E625,$B642)+COUNTIF(C608:E625,$B642&amp;" ~*")&gt;0)+(COUNTIF(G608:I625,$B642)+COUNTIF(G608:I625,$B642&amp;" ~*")&gt;0)+(COUNTIF(K608:M625,$B642)+COUNTIF(K608:M625,$B642&amp;" ~*")&gt;0)+(COUNTIF(O608:Q625,$B642)+COUNTIF(O608:Q625,$B642&amp;" ~*")&gt;0)+(COUNTIF(S608:U625,$B642)+COUNTIF(S608:U625,$B642&amp;" ~*")&gt;0)+(COUNTIF(W608:W625,$B642)+COUNTIF(W608:W625,$B642&amp;" ~*")&gt;0)+(COUNTIF(Y608:Y625,$B642)+COUNTIF(Y608:Y625,$B642&amp;" ~*")&gt;0))</f>
        <v/>
      </c>
      <c r="AC642" s="38">
        <f>IF($B642="","",(IFERROR(INDEX(Setup!$G$33:$G$40,MATCH(C642,Setup!$B$33:$B$40,0)),0)=1)*(COUNTIF(C608:E625,$B642)+COUNTIF(C608:E625,$B642&amp;" ~*")&gt;0)+(IFERROR(INDEX(Setup!$G$33:$G$40,MATCH(G642,Setup!$B$33:$B$40,0)),0)=1)*(COUNTIF(G608:I625,$B642)+COUNTIF(G608:I625,$B642&amp;" ~*")&gt;0)+(IFERROR(INDEX(Setup!$G$33:$G$40,MATCH(K642,Setup!$B$33:$B$40,0)),0)=1)*(COUNTIF(K608:M625,$B642)+COUNTIF(K608:M625,$B642&amp;" ~*")&gt;0)+(IFERROR(INDEX(Setup!$G$33:$G$40,MATCH(O642,Setup!$B$33:$B$40,0)),0)=1)*(COUNTIF(O608:Q625,$B642)+COUNTIF(O608:Q625,$B642&amp;" ~*")&gt;0)+(IFERROR(INDEX(Setup!$G$33:$G$40,MATCH(S642,Setup!$B$33:$B$40,0)),0)=1)*(COUNTIF(S608:U625,$B642)+COUNTIF(S608:U625,$B642&amp;" ~*")&gt;0)+(IFERROR(INDEX(Setup!$G$33:$G$40,MATCH(W642,Setup!$B$33:$B$40,0)),0)=1)*(COUNTIF(W608:W625,$B642)+COUNTIF(W608:W625,$B642&amp;" ~*")&gt;0)+(IFERROR(INDEX(Setup!$G$33:$G$40,MATCH(Y642,Setup!$B$33:$B$40,0)),0)=1)*(COUNTIF(Y608:Y625,$B642)+COUNTIF(Y608:Y625,$B642&amp;" ~*")&gt;0))</f>
        <v/>
      </c>
    </row>
    <row r="643" ht="15" customHeight="1">
      <c r="A643" t="n">
        <v>13</v>
      </c>
      <c r="B643" s="35">
        <f>IF(Setup!$B$22="","",Setup!$B$22)</f>
        <v/>
      </c>
      <c r="C643" s="98" t="n"/>
      <c r="D643" s="99" t="n"/>
      <c r="E643" s="99" t="n"/>
      <c r="F643" s="100" t="n"/>
      <c r="G643" s="98" t="inlineStr">
        <is>
          <t>AL</t>
        </is>
      </c>
      <c r="H643" s="99" t="n"/>
      <c r="I643" s="99" t="n"/>
      <c r="J643" s="100" t="n"/>
      <c r="K643" s="98" t="inlineStr">
        <is>
          <t>AL</t>
        </is>
      </c>
      <c r="L643" s="99" t="n"/>
      <c r="M643" s="99" t="n"/>
      <c r="N643" s="100" t="n"/>
      <c r="O643" s="98" t="inlineStr">
        <is>
          <t>AL</t>
        </is>
      </c>
      <c r="P643" s="99" t="n"/>
      <c r="Q643" s="99" t="n"/>
      <c r="R643" s="100" t="n"/>
      <c r="S643" s="98" t="inlineStr">
        <is>
          <t>AL</t>
        </is>
      </c>
      <c r="T643" s="99" t="n"/>
      <c r="U643" s="99" t="n"/>
      <c r="V643" s="100" t="n"/>
      <c r="W643" s="98" t="n"/>
      <c r="X643" s="100" t="n"/>
      <c r="Y643" s="98" t="n"/>
      <c r="Z643" s="100" t="n"/>
      <c r="AB643" s="101">
        <f>IF($B643="","",(COUNTIF(C608:E625,$B643)+COUNTIF(C608:E625,$B643&amp;" ~*")&gt;0)+(COUNTIF(G608:I625,$B643)+COUNTIF(G608:I625,$B643&amp;" ~*")&gt;0)+(COUNTIF(K608:M625,$B643)+COUNTIF(K608:M625,$B643&amp;" ~*")&gt;0)+(COUNTIF(O608:Q625,$B643)+COUNTIF(O608:Q625,$B643&amp;" ~*")&gt;0)+(COUNTIF(S608:U625,$B643)+COUNTIF(S608:U625,$B643&amp;" ~*")&gt;0)+(COUNTIF(W608:W625,$B643)+COUNTIF(W608:W625,$B643&amp;" ~*")&gt;0)+(COUNTIF(Y608:Y625,$B643)+COUNTIF(Y608:Y625,$B643&amp;" ~*")&gt;0))</f>
        <v/>
      </c>
      <c r="AC643" s="36">
        <f>IF($B643="","",(IFERROR(INDEX(Setup!$G$33:$G$40,MATCH(C643,Setup!$B$33:$B$40,0)),0)=1)*(COUNTIF(C608:E625,$B643)+COUNTIF(C608:E625,$B643&amp;" ~*")&gt;0)+(IFERROR(INDEX(Setup!$G$33:$G$40,MATCH(G643,Setup!$B$33:$B$40,0)),0)=1)*(COUNTIF(G608:I625,$B643)+COUNTIF(G608:I625,$B643&amp;" ~*")&gt;0)+(IFERROR(INDEX(Setup!$G$33:$G$40,MATCH(K643,Setup!$B$33:$B$40,0)),0)=1)*(COUNTIF(K608:M625,$B643)+COUNTIF(K608:M625,$B643&amp;" ~*")&gt;0)+(IFERROR(INDEX(Setup!$G$33:$G$40,MATCH(O643,Setup!$B$33:$B$40,0)),0)=1)*(COUNTIF(O608:Q625,$B643)+COUNTIF(O608:Q625,$B643&amp;" ~*")&gt;0)+(IFERROR(INDEX(Setup!$G$33:$G$40,MATCH(S643,Setup!$B$33:$B$40,0)),0)=1)*(COUNTIF(S608:U625,$B643)+COUNTIF(S608:U625,$B643&amp;" ~*")&gt;0)+(IFERROR(INDEX(Setup!$G$33:$G$40,MATCH(W643,Setup!$B$33:$B$40,0)),0)=1)*(COUNTIF(W608:W625,$B643)+COUNTIF(W608:W625,$B643&amp;" ~*")&gt;0)+(IFERROR(INDEX(Setup!$G$33:$G$40,MATCH(Y643,Setup!$B$33:$B$40,0)),0)=1)*(COUNTIF(Y608:Y625,$B643)+COUNTIF(Y608:Y625,$B643&amp;" ~*")&gt;0))</f>
        <v/>
      </c>
    </row>
    <row r="644" ht="15" customHeight="1">
      <c r="A644" t="n">
        <v>13</v>
      </c>
      <c r="B644" s="37">
        <f>IF(Setup!$B$23="","",Setup!$B$23)</f>
        <v/>
      </c>
      <c r="C644" s="102" t="n"/>
      <c r="D644" s="103" t="n"/>
      <c r="E644" s="103" t="n"/>
      <c r="F644" s="104" t="n"/>
      <c r="G644" s="102" t="n"/>
      <c r="H644" s="103" t="n"/>
      <c r="I644" s="103" t="n"/>
      <c r="J644" s="104" t="n"/>
      <c r="K644" s="102" t="n"/>
      <c r="L644" s="103" t="n"/>
      <c r="M644" s="103" t="n"/>
      <c r="N644" s="104" t="n"/>
      <c r="O644" s="102" t="n"/>
      <c r="P644" s="103" t="n"/>
      <c r="Q644" s="103" t="n"/>
      <c r="R644" s="104" t="n"/>
      <c r="S644" s="102" t="n"/>
      <c r="T644" s="103" t="n"/>
      <c r="U644" s="103" t="n"/>
      <c r="V644" s="104" t="n"/>
      <c r="W644" s="102" t="n"/>
      <c r="X644" s="104" t="n"/>
      <c r="Y644" s="102" t="n"/>
      <c r="Z644" s="104" t="n"/>
      <c r="AB644" s="105">
        <f>IF($B644="","",(COUNTIF(C608:E625,$B644)+COUNTIF(C608:E625,$B644&amp;" ~*")&gt;0)+(COUNTIF(G608:I625,$B644)+COUNTIF(G608:I625,$B644&amp;" ~*")&gt;0)+(COUNTIF(K608:M625,$B644)+COUNTIF(K608:M625,$B644&amp;" ~*")&gt;0)+(COUNTIF(O608:Q625,$B644)+COUNTIF(O608:Q625,$B644&amp;" ~*")&gt;0)+(COUNTIF(S608:U625,$B644)+COUNTIF(S608:U625,$B644&amp;" ~*")&gt;0)+(COUNTIF(W608:W625,$B644)+COUNTIF(W608:W625,$B644&amp;" ~*")&gt;0)+(COUNTIF(Y608:Y625,$B644)+COUNTIF(Y608:Y625,$B644&amp;" ~*")&gt;0))</f>
        <v/>
      </c>
      <c r="AC644" s="38">
        <f>IF($B644="","",(IFERROR(INDEX(Setup!$G$33:$G$40,MATCH(C644,Setup!$B$33:$B$40,0)),0)=1)*(COUNTIF(C608:E625,$B644)+COUNTIF(C608:E625,$B644&amp;" ~*")&gt;0)+(IFERROR(INDEX(Setup!$G$33:$G$40,MATCH(G644,Setup!$B$33:$B$40,0)),0)=1)*(COUNTIF(G608:I625,$B644)+COUNTIF(G608:I625,$B644&amp;" ~*")&gt;0)+(IFERROR(INDEX(Setup!$G$33:$G$40,MATCH(K644,Setup!$B$33:$B$40,0)),0)=1)*(COUNTIF(K608:M625,$B644)+COUNTIF(K608:M625,$B644&amp;" ~*")&gt;0)+(IFERROR(INDEX(Setup!$G$33:$G$40,MATCH(O644,Setup!$B$33:$B$40,0)),0)=1)*(COUNTIF(O608:Q625,$B644)+COUNTIF(O608:Q625,$B644&amp;" ~*")&gt;0)+(IFERROR(INDEX(Setup!$G$33:$G$40,MATCH(S644,Setup!$B$33:$B$40,0)),0)=1)*(COUNTIF(S608:U625,$B644)+COUNTIF(S608:U625,$B644&amp;" ~*")&gt;0)+(IFERROR(INDEX(Setup!$G$33:$G$40,MATCH(W644,Setup!$B$33:$B$40,0)),0)=1)*(COUNTIF(W608:W625,$B644)+COUNTIF(W608:W625,$B644&amp;" ~*")&gt;0)+(IFERROR(INDEX(Setup!$G$33:$G$40,MATCH(Y644,Setup!$B$33:$B$40,0)),0)=1)*(COUNTIF(Y608:Y625,$B644)+COUNTIF(Y608:Y625,$B644&amp;" ~*")&gt;0))</f>
        <v/>
      </c>
    </row>
    <row r="645" ht="15" customHeight="1">
      <c r="A645" t="n">
        <v>13</v>
      </c>
      <c r="B645" s="35">
        <f>IF(Setup!$B$24="","",Setup!$B$24)</f>
        <v/>
      </c>
      <c r="C645" s="98" t="n"/>
      <c r="D645" s="99" t="n"/>
      <c r="E645" s="99" t="n"/>
      <c r="F645" s="100" t="n"/>
      <c r="G645" s="98" t="n"/>
      <c r="H645" s="99" t="n"/>
      <c r="I645" s="99" t="n"/>
      <c r="J645" s="100" t="n"/>
      <c r="K645" s="98" t="n"/>
      <c r="L645" s="99" t="n"/>
      <c r="M645" s="99" t="n"/>
      <c r="N645" s="100" t="n"/>
      <c r="O645" s="98" t="n"/>
      <c r="P645" s="99" t="n"/>
      <c r="Q645" s="99" t="n"/>
      <c r="R645" s="100" t="n"/>
      <c r="S645" s="98" t="n"/>
      <c r="T645" s="99" t="n"/>
      <c r="U645" s="99" t="n"/>
      <c r="V645" s="100" t="n"/>
      <c r="W645" s="98" t="n"/>
      <c r="X645" s="100" t="n"/>
      <c r="Y645" s="98" t="n"/>
      <c r="Z645" s="100" t="n"/>
      <c r="AB645" s="101">
        <f>IF($B645="","",(COUNTIF(C608:E625,$B645)+COUNTIF(C608:E625,$B645&amp;" ~*")&gt;0)+(COUNTIF(G608:I625,$B645)+COUNTIF(G608:I625,$B645&amp;" ~*")&gt;0)+(COUNTIF(K608:M625,$B645)+COUNTIF(K608:M625,$B645&amp;" ~*")&gt;0)+(COUNTIF(O608:Q625,$B645)+COUNTIF(O608:Q625,$B645&amp;" ~*")&gt;0)+(COUNTIF(S608:U625,$B645)+COUNTIF(S608:U625,$B645&amp;" ~*")&gt;0)+(COUNTIF(W608:W625,$B645)+COUNTIF(W608:W625,$B645&amp;" ~*")&gt;0)+(COUNTIF(Y608:Y625,$B645)+COUNTIF(Y608:Y625,$B645&amp;" ~*")&gt;0))</f>
        <v/>
      </c>
      <c r="AC645" s="36">
        <f>IF($B645="","",(IFERROR(INDEX(Setup!$G$33:$G$40,MATCH(C645,Setup!$B$33:$B$40,0)),0)=1)*(COUNTIF(C608:E625,$B645)+COUNTIF(C608:E625,$B645&amp;" ~*")&gt;0)+(IFERROR(INDEX(Setup!$G$33:$G$40,MATCH(G645,Setup!$B$33:$B$40,0)),0)=1)*(COUNTIF(G608:I625,$B645)+COUNTIF(G608:I625,$B645&amp;" ~*")&gt;0)+(IFERROR(INDEX(Setup!$G$33:$G$40,MATCH(K645,Setup!$B$33:$B$40,0)),0)=1)*(COUNTIF(K608:M625,$B645)+COUNTIF(K608:M625,$B645&amp;" ~*")&gt;0)+(IFERROR(INDEX(Setup!$G$33:$G$40,MATCH(O645,Setup!$B$33:$B$40,0)),0)=1)*(COUNTIF(O608:Q625,$B645)+COUNTIF(O608:Q625,$B645&amp;" ~*")&gt;0)+(IFERROR(INDEX(Setup!$G$33:$G$40,MATCH(S645,Setup!$B$33:$B$40,0)),0)=1)*(COUNTIF(S608:U625,$B645)+COUNTIF(S608:U625,$B645&amp;" ~*")&gt;0)+(IFERROR(INDEX(Setup!$G$33:$G$40,MATCH(W645,Setup!$B$33:$B$40,0)),0)=1)*(COUNTIF(W608:W625,$B645)+COUNTIF(W608:W625,$B645&amp;" ~*")&gt;0)+(IFERROR(INDEX(Setup!$G$33:$G$40,MATCH(Y645,Setup!$B$33:$B$40,0)),0)=1)*(COUNTIF(Y608:Y625,$B645)+COUNTIF(Y608:Y625,$B645&amp;" ~*")&gt;0))</f>
        <v/>
      </c>
    </row>
    <row r="646" ht="15" customHeight="1">
      <c r="A646" t="n">
        <v>13</v>
      </c>
      <c r="B646" s="37">
        <f>IF(Setup!$B$25="","",Setup!$B$25)</f>
        <v/>
      </c>
      <c r="C646" s="102" t="n"/>
      <c r="D646" s="103" t="n"/>
      <c r="E646" s="103" t="n"/>
      <c r="F646" s="104" t="n"/>
      <c r="G646" s="102" t="n"/>
      <c r="H646" s="103" t="n"/>
      <c r="I646" s="103" t="n"/>
      <c r="J646" s="104" t="n"/>
      <c r="K646" s="102" t="n"/>
      <c r="L646" s="103" t="n"/>
      <c r="M646" s="103" t="n"/>
      <c r="N646" s="104" t="n"/>
      <c r="O646" s="102" t="n"/>
      <c r="P646" s="103" t="n"/>
      <c r="Q646" s="103" t="n"/>
      <c r="R646" s="104" t="n"/>
      <c r="S646" s="102" t="n"/>
      <c r="T646" s="103" t="n"/>
      <c r="U646" s="103" t="n"/>
      <c r="V646" s="104" t="n"/>
      <c r="W646" s="102" t="n"/>
      <c r="X646" s="104" t="n"/>
      <c r="Y646" s="102" t="n"/>
      <c r="Z646" s="104" t="n"/>
      <c r="AB646" s="105">
        <f>IF($B646="","",(COUNTIF(C608:E625,$B646)+COUNTIF(C608:E625,$B646&amp;" ~*")&gt;0)+(COUNTIF(G608:I625,$B646)+COUNTIF(G608:I625,$B646&amp;" ~*")&gt;0)+(COUNTIF(K608:M625,$B646)+COUNTIF(K608:M625,$B646&amp;" ~*")&gt;0)+(COUNTIF(O608:Q625,$B646)+COUNTIF(O608:Q625,$B646&amp;" ~*")&gt;0)+(COUNTIF(S608:U625,$B646)+COUNTIF(S608:U625,$B646&amp;" ~*")&gt;0)+(COUNTIF(W608:W625,$B646)+COUNTIF(W608:W625,$B646&amp;" ~*")&gt;0)+(COUNTIF(Y608:Y625,$B646)+COUNTIF(Y608:Y625,$B646&amp;" ~*")&gt;0))</f>
        <v/>
      </c>
      <c r="AC646" s="38">
        <f>IF($B646="","",(IFERROR(INDEX(Setup!$G$33:$G$40,MATCH(C646,Setup!$B$33:$B$40,0)),0)=1)*(COUNTIF(C608:E625,$B646)+COUNTIF(C608:E625,$B646&amp;" ~*")&gt;0)+(IFERROR(INDEX(Setup!$G$33:$G$40,MATCH(G646,Setup!$B$33:$B$40,0)),0)=1)*(COUNTIF(G608:I625,$B646)+COUNTIF(G608:I625,$B646&amp;" ~*")&gt;0)+(IFERROR(INDEX(Setup!$G$33:$G$40,MATCH(K646,Setup!$B$33:$B$40,0)),0)=1)*(COUNTIF(K608:M625,$B646)+COUNTIF(K608:M625,$B646&amp;" ~*")&gt;0)+(IFERROR(INDEX(Setup!$G$33:$G$40,MATCH(O646,Setup!$B$33:$B$40,0)),0)=1)*(COUNTIF(O608:Q625,$B646)+COUNTIF(O608:Q625,$B646&amp;" ~*")&gt;0)+(IFERROR(INDEX(Setup!$G$33:$G$40,MATCH(S646,Setup!$B$33:$B$40,0)),0)=1)*(COUNTIF(S608:U625,$B646)+COUNTIF(S608:U625,$B646&amp;" ~*")&gt;0)+(IFERROR(INDEX(Setup!$G$33:$G$40,MATCH(W646,Setup!$B$33:$B$40,0)),0)=1)*(COUNTIF(W608:W625,$B646)+COUNTIF(W608:W625,$B646&amp;" ~*")&gt;0)+(IFERROR(INDEX(Setup!$G$33:$G$40,MATCH(Y646,Setup!$B$33:$B$40,0)),0)=1)*(COUNTIF(Y608:Y625,$B646)+COUNTIF(Y608:Y625,$B646&amp;" ~*")&gt;0))</f>
        <v/>
      </c>
    </row>
    <row r="647" ht="15" customHeight="1">
      <c r="A647" t="n">
        <v>13</v>
      </c>
      <c r="B647" s="35">
        <f>IF(Setup!$B$26="","",Setup!$B$26)</f>
        <v/>
      </c>
      <c r="C647" s="98" t="n"/>
      <c r="D647" s="99" t="n"/>
      <c r="E647" s="99" t="n"/>
      <c r="F647" s="100" t="n"/>
      <c r="G647" s="98" t="n"/>
      <c r="H647" s="99" t="n"/>
      <c r="I647" s="99" t="n"/>
      <c r="J647" s="100" t="n"/>
      <c r="K647" s="98" t="n"/>
      <c r="L647" s="99" t="n"/>
      <c r="M647" s="99" t="n"/>
      <c r="N647" s="100" t="n"/>
      <c r="O647" s="98" t="n"/>
      <c r="P647" s="99" t="n"/>
      <c r="Q647" s="99" t="n"/>
      <c r="R647" s="100" t="n"/>
      <c r="S647" s="98" t="n"/>
      <c r="T647" s="99" t="n"/>
      <c r="U647" s="99" t="n"/>
      <c r="V647" s="100" t="n"/>
      <c r="W647" s="98" t="n"/>
      <c r="X647" s="100" t="n"/>
      <c r="Y647" s="98" t="n"/>
      <c r="Z647" s="100" t="n"/>
      <c r="AB647" s="101">
        <f>IF($B647="","",(COUNTIF(C608:E625,$B647)+COUNTIF(C608:E625,$B647&amp;" ~*")&gt;0)+(COUNTIF(G608:I625,$B647)+COUNTIF(G608:I625,$B647&amp;" ~*")&gt;0)+(COUNTIF(K608:M625,$B647)+COUNTIF(K608:M625,$B647&amp;" ~*")&gt;0)+(COUNTIF(O608:Q625,$B647)+COUNTIF(O608:Q625,$B647&amp;" ~*")&gt;0)+(COUNTIF(S608:U625,$B647)+COUNTIF(S608:U625,$B647&amp;" ~*")&gt;0)+(COUNTIF(W608:W625,$B647)+COUNTIF(W608:W625,$B647&amp;" ~*")&gt;0)+(COUNTIF(Y608:Y625,$B647)+COUNTIF(Y608:Y625,$B647&amp;" ~*")&gt;0))</f>
        <v/>
      </c>
      <c r="AC647" s="36">
        <f>IF($B647="","",(IFERROR(INDEX(Setup!$G$33:$G$40,MATCH(C647,Setup!$B$33:$B$40,0)),0)=1)*(COUNTIF(C608:E625,$B647)+COUNTIF(C608:E625,$B647&amp;" ~*")&gt;0)+(IFERROR(INDEX(Setup!$G$33:$G$40,MATCH(G647,Setup!$B$33:$B$40,0)),0)=1)*(COUNTIF(G608:I625,$B647)+COUNTIF(G608:I625,$B647&amp;" ~*")&gt;0)+(IFERROR(INDEX(Setup!$G$33:$G$40,MATCH(K647,Setup!$B$33:$B$40,0)),0)=1)*(COUNTIF(K608:M625,$B647)+COUNTIF(K608:M625,$B647&amp;" ~*")&gt;0)+(IFERROR(INDEX(Setup!$G$33:$G$40,MATCH(O647,Setup!$B$33:$B$40,0)),0)=1)*(COUNTIF(O608:Q625,$B647)+COUNTIF(O608:Q625,$B647&amp;" ~*")&gt;0)+(IFERROR(INDEX(Setup!$G$33:$G$40,MATCH(S647,Setup!$B$33:$B$40,0)),0)=1)*(COUNTIF(S608:U625,$B647)+COUNTIF(S608:U625,$B647&amp;" ~*")&gt;0)+(IFERROR(INDEX(Setup!$G$33:$G$40,MATCH(W647,Setup!$B$33:$B$40,0)),0)=1)*(COUNTIF(W608:W625,$B647)+COUNTIF(W608:W625,$B647&amp;" ~*")&gt;0)+(IFERROR(INDEX(Setup!$G$33:$G$40,MATCH(Y647,Setup!$B$33:$B$40,0)),0)=1)*(COUNTIF(Y608:Y625,$B647)+COUNTIF(Y608:Y625,$B647&amp;" ~*")&gt;0))</f>
        <v/>
      </c>
    </row>
    <row r="648" ht="15" customHeight="1">
      <c r="A648" t="n">
        <v>13</v>
      </c>
      <c r="B648" s="37">
        <f>IF(Setup!$B$27="","",Setup!$B$27)</f>
        <v/>
      </c>
      <c r="C648" s="102" t="n"/>
      <c r="D648" s="103" t="n"/>
      <c r="E648" s="103" t="n"/>
      <c r="F648" s="104" t="n"/>
      <c r="G648" s="102" t="n"/>
      <c r="H648" s="103" t="n"/>
      <c r="I648" s="103" t="n"/>
      <c r="J648" s="104" t="n"/>
      <c r="K648" s="102" t="n"/>
      <c r="L648" s="103" t="n"/>
      <c r="M648" s="103" t="n"/>
      <c r="N648" s="104" t="n"/>
      <c r="O648" s="102" t="n"/>
      <c r="P648" s="103" t="n"/>
      <c r="Q648" s="103" t="n"/>
      <c r="R648" s="104" t="n"/>
      <c r="S648" s="102" t="n"/>
      <c r="T648" s="103" t="n"/>
      <c r="U648" s="103" t="n"/>
      <c r="V648" s="104" t="n"/>
      <c r="W648" s="102" t="n"/>
      <c r="X648" s="104" t="n"/>
      <c r="Y648" s="102" t="n"/>
      <c r="Z648" s="104" t="n"/>
      <c r="AB648" s="105">
        <f>IF($B648="","",(COUNTIF(C608:E625,$B648)+COUNTIF(C608:E625,$B648&amp;" ~*")&gt;0)+(COUNTIF(G608:I625,$B648)+COUNTIF(G608:I625,$B648&amp;" ~*")&gt;0)+(COUNTIF(K608:M625,$B648)+COUNTIF(K608:M625,$B648&amp;" ~*")&gt;0)+(COUNTIF(O608:Q625,$B648)+COUNTIF(O608:Q625,$B648&amp;" ~*")&gt;0)+(COUNTIF(S608:U625,$B648)+COUNTIF(S608:U625,$B648&amp;" ~*")&gt;0)+(COUNTIF(W608:W625,$B648)+COUNTIF(W608:W625,$B648&amp;" ~*")&gt;0)+(COUNTIF(Y608:Y625,$B648)+COUNTIF(Y608:Y625,$B648&amp;" ~*")&gt;0))</f>
        <v/>
      </c>
      <c r="AC648" s="38">
        <f>IF($B648="","",(IFERROR(INDEX(Setup!$G$33:$G$40,MATCH(C648,Setup!$B$33:$B$40,0)),0)=1)*(COUNTIF(C608:E625,$B648)+COUNTIF(C608:E625,$B648&amp;" ~*")&gt;0)+(IFERROR(INDEX(Setup!$G$33:$G$40,MATCH(G648,Setup!$B$33:$B$40,0)),0)=1)*(COUNTIF(G608:I625,$B648)+COUNTIF(G608:I625,$B648&amp;" ~*")&gt;0)+(IFERROR(INDEX(Setup!$G$33:$G$40,MATCH(K648,Setup!$B$33:$B$40,0)),0)=1)*(COUNTIF(K608:M625,$B648)+COUNTIF(K608:M625,$B648&amp;" ~*")&gt;0)+(IFERROR(INDEX(Setup!$G$33:$G$40,MATCH(O648,Setup!$B$33:$B$40,0)),0)=1)*(COUNTIF(O608:Q625,$B648)+COUNTIF(O608:Q625,$B648&amp;" ~*")&gt;0)+(IFERROR(INDEX(Setup!$G$33:$G$40,MATCH(S648,Setup!$B$33:$B$40,0)),0)=1)*(COUNTIF(S608:U625,$B648)+COUNTIF(S608:U625,$B648&amp;" ~*")&gt;0)+(IFERROR(INDEX(Setup!$G$33:$G$40,MATCH(W648,Setup!$B$33:$B$40,0)),0)=1)*(COUNTIF(W608:W625,$B648)+COUNTIF(W608:W625,$B648&amp;" ~*")&gt;0)+(IFERROR(INDEX(Setup!$G$33:$G$40,MATCH(Y648,Setup!$B$33:$B$40,0)),0)=1)*(COUNTIF(Y608:Y625,$B648)+COUNTIF(Y608:Y625,$B648&amp;" ~*")&gt;0))</f>
        <v/>
      </c>
    </row>
    <row r="649" ht="15" customHeight="1">
      <c r="A649" t="n">
        <v>13</v>
      </c>
      <c r="B649" s="35">
        <f>IF(Setup!$B$28="","",Setup!$B$28)</f>
        <v/>
      </c>
      <c r="C649" s="98" t="n"/>
      <c r="D649" s="99" t="n"/>
      <c r="E649" s="99" t="n"/>
      <c r="F649" s="100" t="n"/>
      <c r="G649" s="98" t="n"/>
      <c r="H649" s="99" t="n"/>
      <c r="I649" s="99" t="n"/>
      <c r="J649" s="100" t="n"/>
      <c r="K649" s="98" t="n"/>
      <c r="L649" s="99" t="n"/>
      <c r="M649" s="99" t="n"/>
      <c r="N649" s="100" t="n"/>
      <c r="O649" s="98" t="n"/>
      <c r="P649" s="99" t="n"/>
      <c r="Q649" s="99" t="n"/>
      <c r="R649" s="100" t="n"/>
      <c r="S649" s="98" t="n"/>
      <c r="T649" s="99" t="n"/>
      <c r="U649" s="99" t="n"/>
      <c r="V649" s="100" t="n"/>
      <c r="W649" s="98" t="n"/>
      <c r="X649" s="100" t="n"/>
      <c r="Y649" s="98" t="n"/>
      <c r="Z649" s="100" t="n"/>
      <c r="AB649" s="101">
        <f>IF($B649="","",(COUNTIF(C608:E625,$B649)+COUNTIF(C608:E625,$B649&amp;" ~*")&gt;0)+(COUNTIF(G608:I625,$B649)+COUNTIF(G608:I625,$B649&amp;" ~*")&gt;0)+(COUNTIF(K608:M625,$B649)+COUNTIF(K608:M625,$B649&amp;" ~*")&gt;0)+(COUNTIF(O608:Q625,$B649)+COUNTIF(O608:Q625,$B649&amp;" ~*")&gt;0)+(COUNTIF(S608:U625,$B649)+COUNTIF(S608:U625,$B649&amp;" ~*")&gt;0)+(COUNTIF(W608:W625,$B649)+COUNTIF(W608:W625,$B649&amp;" ~*")&gt;0)+(COUNTIF(Y608:Y625,$B649)+COUNTIF(Y608:Y625,$B649&amp;" ~*")&gt;0))</f>
        <v/>
      </c>
      <c r="AC649" s="36">
        <f>IF($B649="","",(IFERROR(INDEX(Setup!$G$33:$G$40,MATCH(C649,Setup!$B$33:$B$40,0)),0)=1)*(COUNTIF(C608:E625,$B649)+COUNTIF(C608:E625,$B649&amp;" ~*")&gt;0)+(IFERROR(INDEX(Setup!$G$33:$G$40,MATCH(G649,Setup!$B$33:$B$40,0)),0)=1)*(COUNTIF(G608:I625,$B649)+COUNTIF(G608:I625,$B649&amp;" ~*")&gt;0)+(IFERROR(INDEX(Setup!$G$33:$G$40,MATCH(K649,Setup!$B$33:$B$40,0)),0)=1)*(COUNTIF(K608:M625,$B649)+COUNTIF(K608:M625,$B649&amp;" ~*")&gt;0)+(IFERROR(INDEX(Setup!$G$33:$G$40,MATCH(O649,Setup!$B$33:$B$40,0)),0)=1)*(COUNTIF(O608:Q625,$B649)+COUNTIF(O608:Q625,$B649&amp;" ~*")&gt;0)+(IFERROR(INDEX(Setup!$G$33:$G$40,MATCH(S649,Setup!$B$33:$B$40,0)),0)=1)*(COUNTIF(S608:U625,$B649)+COUNTIF(S608:U625,$B649&amp;" ~*")&gt;0)+(IFERROR(INDEX(Setup!$G$33:$G$40,MATCH(W649,Setup!$B$33:$B$40,0)),0)=1)*(COUNTIF(W608:W625,$B649)+COUNTIF(W608:W625,$B649&amp;" ~*")&gt;0)+(IFERROR(INDEX(Setup!$G$33:$G$40,MATCH(Y649,Setup!$B$33:$B$40,0)),0)=1)*(COUNTIF(Y608:Y625,$B649)+COUNTIF(Y608:Y625,$B649&amp;" ~*")&gt;0))</f>
        <v/>
      </c>
    </row>
    <row r="650" ht="15" customHeight="1">
      <c r="A650" t="n">
        <v>13</v>
      </c>
      <c r="B650" s="37">
        <f>IF(Setup!$B$29="","",Setup!$B$29)</f>
        <v/>
      </c>
      <c r="C650" s="102" t="n"/>
      <c r="D650" s="103" t="n"/>
      <c r="E650" s="103" t="n"/>
      <c r="F650" s="104" t="n"/>
      <c r="G650" s="102" t="n"/>
      <c r="H650" s="103" t="n"/>
      <c r="I650" s="103" t="n"/>
      <c r="J650" s="104" t="n"/>
      <c r="K650" s="102" t="n"/>
      <c r="L650" s="103" t="n"/>
      <c r="M650" s="103" t="n"/>
      <c r="N650" s="104" t="n"/>
      <c r="O650" s="102" t="n"/>
      <c r="P650" s="103" t="n"/>
      <c r="Q650" s="103" t="n"/>
      <c r="R650" s="104" t="n"/>
      <c r="S650" s="102" t="n"/>
      <c r="T650" s="103" t="n"/>
      <c r="U650" s="103" t="n"/>
      <c r="V650" s="104" t="n"/>
      <c r="W650" s="102" t="n"/>
      <c r="X650" s="104" t="n"/>
      <c r="Y650" s="102" t="n"/>
      <c r="Z650" s="104" t="n"/>
      <c r="AB650" s="105">
        <f>IF($B650="","",(COUNTIF(C608:E625,$B650)+COUNTIF(C608:E625,$B650&amp;" ~*")&gt;0)+(COUNTIF(G608:I625,$B650)+COUNTIF(G608:I625,$B650&amp;" ~*")&gt;0)+(COUNTIF(K608:M625,$B650)+COUNTIF(K608:M625,$B650&amp;" ~*")&gt;0)+(COUNTIF(O608:Q625,$B650)+COUNTIF(O608:Q625,$B650&amp;" ~*")&gt;0)+(COUNTIF(S608:U625,$B650)+COUNTIF(S608:U625,$B650&amp;" ~*")&gt;0)+(COUNTIF(W608:W625,$B650)+COUNTIF(W608:W625,$B650&amp;" ~*")&gt;0)+(COUNTIF(Y608:Y625,$B650)+COUNTIF(Y608:Y625,$B650&amp;" ~*")&gt;0))</f>
        <v/>
      </c>
      <c r="AC650" s="38">
        <f>IF($B650="","",(IFERROR(INDEX(Setup!$G$33:$G$40,MATCH(C650,Setup!$B$33:$B$40,0)),0)=1)*(COUNTIF(C608:E625,$B650)+COUNTIF(C608:E625,$B650&amp;" ~*")&gt;0)+(IFERROR(INDEX(Setup!$G$33:$G$40,MATCH(G650,Setup!$B$33:$B$40,0)),0)=1)*(COUNTIF(G608:I625,$B650)+COUNTIF(G608:I625,$B650&amp;" ~*")&gt;0)+(IFERROR(INDEX(Setup!$G$33:$G$40,MATCH(K650,Setup!$B$33:$B$40,0)),0)=1)*(COUNTIF(K608:M625,$B650)+COUNTIF(K608:M625,$B650&amp;" ~*")&gt;0)+(IFERROR(INDEX(Setup!$G$33:$G$40,MATCH(O650,Setup!$B$33:$B$40,0)),0)=1)*(COUNTIF(O608:Q625,$B650)+COUNTIF(O608:Q625,$B650&amp;" ~*")&gt;0)+(IFERROR(INDEX(Setup!$G$33:$G$40,MATCH(S650,Setup!$B$33:$B$40,0)),0)=1)*(COUNTIF(S608:U625,$B650)+COUNTIF(S608:U625,$B650&amp;" ~*")&gt;0)+(IFERROR(INDEX(Setup!$G$33:$G$40,MATCH(W650,Setup!$B$33:$B$40,0)),0)=1)*(COUNTIF(W608:W625,$B650)+COUNTIF(W608:W625,$B650&amp;" ~*")&gt;0)+(IFERROR(INDEX(Setup!$G$33:$G$40,MATCH(Y650,Setup!$B$33:$B$40,0)),0)=1)*(COUNTIF(Y608:Y625,$B650)+COUNTIF(Y608:Y625,$B650&amp;" ~*")&gt;0))</f>
        <v/>
      </c>
    </row>
    <row r="651" ht="16" customHeight="1">
      <c r="A651" t="n">
        <v>13</v>
      </c>
      <c r="B651" s="106" t="inlineStr">
        <is>
          <t>Available people</t>
        </is>
      </c>
      <c r="C651" s="107">
        <f>COUNTIFS(Setup!$E$6:$E$29,"Y",Setup!$B$6:$B$29,"?*")-SUMPRODUCT(COUNTIF(C627:C650,Setup!$F$33:$F$40))</f>
        <v/>
      </c>
      <c r="D651" s="107" t="n"/>
      <c r="E651" s="107" t="n"/>
      <c r="F651" s="107" t="n"/>
      <c r="G651" s="107">
        <f>COUNTIFS(Setup!$E$6:$E$29,"Y",Setup!$B$6:$B$29,"?*")-SUMPRODUCT(COUNTIF(G627:G650,Setup!$F$33:$F$40))</f>
        <v/>
      </c>
      <c r="H651" s="107" t="n"/>
      <c r="I651" s="107" t="n"/>
      <c r="J651" s="107" t="n"/>
      <c r="K651" s="107">
        <f>COUNTIFS(Setup!$E$6:$E$29,"Y",Setup!$B$6:$B$29,"?*")-SUMPRODUCT(COUNTIF(K627:K650,Setup!$F$33:$F$40))</f>
        <v/>
      </c>
      <c r="L651" s="107" t="n"/>
      <c r="M651" s="107" t="n"/>
      <c r="N651" s="107" t="n"/>
      <c r="O651" s="107">
        <f>COUNTIFS(Setup!$E$6:$E$29,"Y",Setup!$B$6:$B$29,"?*")-SUMPRODUCT(COUNTIF(O627:O650,Setup!$F$33:$F$40))</f>
        <v/>
      </c>
      <c r="P651" s="107" t="n"/>
      <c r="Q651" s="107" t="n"/>
      <c r="R651" s="107" t="n"/>
      <c r="S651" s="107">
        <f>COUNTIFS(Setup!$E$6:$E$29,"Y",Setup!$B$6:$B$29,"?*")-SUMPRODUCT(COUNTIF(S627:S650,Setup!$F$33:$F$40))</f>
        <v/>
      </c>
      <c r="T651" s="107" t="n"/>
      <c r="U651" s="107" t="n"/>
      <c r="V651" s="107" t="n"/>
      <c r="W651" s="107">
        <f>COUNTIFS(Setup!$E$6:$E$29,"Y",Setup!$B$6:$B$29,"?*")-SUMPRODUCT(COUNTIF(W627:W650,Setup!$F$33:$F$40))</f>
        <v/>
      </c>
      <c r="X651" s="107" t="n"/>
      <c r="Y651" s="107">
        <f>COUNTIFS(Setup!$E$6:$E$29,"Y",Setup!$B$6:$B$29,"?*")-SUMPRODUCT(COUNTIF(Y627:Y650,Setup!$F$33:$F$40))</f>
        <v/>
      </c>
      <c r="Z651" s="107" t="n"/>
      <c r="AB651" s="108">
        <f>SUM(AB627:AB650)</f>
        <v/>
      </c>
      <c r="AC651" s="109">
        <f>SUM(AC627:AC650)</f>
        <v/>
      </c>
    </row>
    <row r="652" ht="30" customHeight="1">
      <c r="A652" t="n">
        <v>13</v>
      </c>
      <c r="B652" s="110" t="inlineStr">
        <is>
          <t>Week notes</t>
        </is>
      </c>
      <c r="C652" s="111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112" t="n"/>
      <c r="R652" s="112" t="n"/>
      <c r="S652" s="112" t="n"/>
      <c r="T652" s="112" t="n"/>
      <c r="U652" s="112" t="n"/>
      <c r="V652" s="112" t="n"/>
      <c r="W652" s="112" t="n"/>
      <c r="X652" s="112" t="n"/>
      <c r="Y652" s="112" t="n"/>
      <c r="Z652" s="113" t="n"/>
    </row>
    <row r="653" ht="8" customHeight="1">
      <c r="A653" t="n">
        <v>13</v>
      </c>
    </row>
    <row r="654" ht="8" customHeight="1">
      <c r="A654" t="n">
        <v>13</v>
      </c>
    </row>
    <row r="655" ht="24" customHeight="1">
      <c r="A655" t="n">
        <v>14</v>
      </c>
      <c r="B655" s="73">
        <f>"WEEK 14     "&amp;TEXT(C656,"ddd d mmm")&amp;"  –  "&amp;TEXT(C656+6,"ddd d mmm yyyy")</f>
        <v/>
      </c>
      <c r="S655" s="74">
        <f>IF(TODAY()&lt;C656,"FUTURE",IF(TODAY()&gt;C656+6,"PAST","THIS WEEK"))</f>
        <v/>
      </c>
      <c r="W655" s="75">
        <f>IF(AND(Engine!$B$8=$AC$3,Engine!$B$9=$A655),"◀ ACTIVE WEEK","")</f>
        <v/>
      </c>
      <c r="AA655" s="76" t="n"/>
      <c r="AB655" s="77" t="inlineStr">
        <is>
          <t>◀ Prev</t>
        </is>
      </c>
      <c r="AC655" s="77" t="inlineStr">
        <is>
          <t>Next ▶</t>
        </is>
      </c>
    </row>
    <row r="656" ht="18" customHeight="1">
      <c r="A656" t="n">
        <v>14</v>
      </c>
      <c r="B656" s="78" t="inlineStr">
        <is>
          <t>DUTY</t>
        </is>
      </c>
      <c r="C656" s="79">
        <f>$AC$2+7*($A656-1)</f>
        <v/>
      </c>
      <c r="D656" s="80" t="n"/>
      <c r="E656" s="80" t="n"/>
      <c r="F656" s="81" t="n"/>
      <c r="G656" s="79">
        <f>C656+1</f>
        <v/>
      </c>
      <c r="H656" s="80" t="n"/>
      <c r="I656" s="80" t="n"/>
      <c r="J656" s="81" t="n"/>
      <c r="K656" s="79">
        <f>C656+2</f>
        <v/>
      </c>
      <c r="L656" s="80" t="n"/>
      <c r="M656" s="80" t="n"/>
      <c r="N656" s="81" t="n"/>
      <c r="O656" s="79">
        <f>C656+3</f>
        <v/>
      </c>
      <c r="P656" s="80" t="n"/>
      <c r="Q656" s="80" t="n"/>
      <c r="R656" s="81" t="n"/>
      <c r="S656" s="79">
        <f>C656+4</f>
        <v/>
      </c>
      <c r="T656" s="80" t="n"/>
      <c r="U656" s="80" t="n"/>
      <c r="V656" s="81" t="n"/>
      <c r="W656" s="82">
        <f>C656+5</f>
        <v/>
      </c>
      <c r="X656" s="83" t="n"/>
      <c r="Y656" s="82">
        <f>C656+6</f>
        <v/>
      </c>
      <c r="Z656" s="83" t="n"/>
      <c r="AB656" s="72" t="inlineStr">
        <is>
          <t>Gaps</t>
        </is>
      </c>
      <c r="AC656" s="72" t="inlineStr">
        <is>
          <t>Cover</t>
        </is>
      </c>
    </row>
    <row r="657" ht="14" customHeight="1">
      <c r="A657" t="n">
        <v>14</v>
      </c>
      <c r="B657" s="84" t="inlineStr">
        <is>
          <t>(from Setup)</t>
        </is>
      </c>
      <c r="C657" s="85" t="inlineStr">
        <is>
          <t>1</t>
        </is>
      </c>
      <c r="D657" s="85" t="inlineStr">
        <is>
          <t>2</t>
        </is>
      </c>
      <c r="E657" s="85" t="inlineStr">
        <is>
          <t>3</t>
        </is>
      </c>
      <c r="F657" s="85" t="inlineStr">
        <is>
          <t>Notes</t>
        </is>
      </c>
      <c r="G657" s="85" t="inlineStr">
        <is>
          <t>1</t>
        </is>
      </c>
      <c r="H657" s="85" t="inlineStr">
        <is>
          <t>2</t>
        </is>
      </c>
      <c r="I657" s="85" t="inlineStr">
        <is>
          <t>3</t>
        </is>
      </c>
      <c r="J657" s="85" t="inlineStr">
        <is>
          <t>Notes</t>
        </is>
      </c>
      <c r="K657" s="85" t="inlineStr">
        <is>
          <t>1</t>
        </is>
      </c>
      <c r="L657" s="85" t="inlineStr">
        <is>
          <t>2</t>
        </is>
      </c>
      <c r="M657" s="85" t="inlineStr">
        <is>
          <t>3</t>
        </is>
      </c>
      <c r="N657" s="85" t="inlineStr">
        <is>
          <t>Notes</t>
        </is>
      </c>
      <c r="O657" s="85" t="inlineStr">
        <is>
          <t>1</t>
        </is>
      </c>
      <c r="P657" s="85" t="inlineStr">
        <is>
          <t>2</t>
        </is>
      </c>
      <c r="Q657" s="85" t="inlineStr">
        <is>
          <t>3</t>
        </is>
      </c>
      <c r="R657" s="85" t="inlineStr">
        <is>
          <t>Notes</t>
        </is>
      </c>
      <c r="S657" s="85" t="inlineStr">
        <is>
          <t>1</t>
        </is>
      </c>
      <c r="T657" s="85" t="inlineStr">
        <is>
          <t>2</t>
        </is>
      </c>
      <c r="U657" s="85" t="inlineStr">
        <is>
          <t>3</t>
        </is>
      </c>
      <c r="V657" s="85" t="inlineStr">
        <is>
          <t>Notes</t>
        </is>
      </c>
      <c r="W657" s="85" t="inlineStr">
        <is>
          <t>Cover</t>
        </is>
      </c>
      <c r="X657" s="85" t="inlineStr">
        <is>
          <t>Notes</t>
        </is>
      </c>
      <c r="Y657" s="85" t="inlineStr">
        <is>
          <t>Cover</t>
        </is>
      </c>
      <c r="Z657" s="85" t="inlineStr">
        <is>
          <t>Notes</t>
        </is>
      </c>
      <c r="AB657" s="86" t="inlineStr">
        <is>
          <t>weekdays short</t>
        </is>
      </c>
      <c r="AC657" s="87" t="inlineStr"/>
    </row>
    <row r="658" ht="17" customHeight="1">
      <c r="A658" t="n">
        <v>14</v>
      </c>
      <c r="B658" s="24">
        <f>IF(Setup!$K$6="","",Setup!$K$6)</f>
        <v/>
      </c>
      <c r="C658" s="88" t="n"/>
      <c r="D658" s="88" t="n"/>
      <c r="E658" s="88" t="n"/>
      <c r="F658" s="89" t="n"/>
      <c r="G658" s="88" t="n"/>
      <c r="H658" s="88" t="n"/>
      <c r="I658" s="88" t="n"/>
      <c r="J658" s="89" t="n"/>
      <c r="K658" s="88" t="n"/>
      <c r="L658" s="88" t="n"/>
      <c r="M658" s="88" t="n"/>
      <c r="N658" s="89" t="n"/>
      <c r="O658" s="88" t="n"/>
      <c r="P658" s="88" t="n"/>
      <c r="Q658" s="88" t="n"/>
      <c r="R658" s="89" t="n"/>
      <c r="S658" s="88" t="n"/>
      <c r="T658" s="88" t="n"/>
      <c r="U658" s="88" t="n"/>
      <c r="V658" s="89" t="n"/>
      <c r="W658" s="88" t="n"/>
      <c r="X658" s="89" t="n"/>
      <c r="Y658" s="88" t="n"/>
      <c r="Z658" s="89" t="n"/>
      <c r="AB658" s="25">
        <f>IF($B658="","",(COUNTIF(C658:E658,"?*")&lt;N(INDEX(Setup!$L$6:$L$23,1)))+(COUNTIF(G658:I658,"?*")&lt;N(INDEX(Setup!$L$6:$L$23,1)))+(COUNTIF(K658:M658,"?*")&lt;N(INDEX(Setup!$L$6:$L$23,1)))+(COUNTIF(O658:Q658,"?*")&lt;N(INDEX(Setup!$L$6:$L$23,1)))+(COUNTIF(S658:U658,"?*")&lt;N(INDEX(Setup!$L$6:$L$23,1)))+((W658="")*(INDEX(Setup!$M$6:$M$23,1)="Y"))+((Y658="")*(INDEX(Setup!$M$6:$M$23,1)="Y")))</f>
        <v/>
      </c>
      <c r="AC658" s="90">
        <f>IF($B658="","",IF(AB658=0,"✓ covered","⚠ "&amp;AB658&amp;IF(AB658=1," gap"," gaps")))</f>
        <v/>
      </c>
    </row>
    <row r="659" ht="17" customHeight="1">
      <c r="A659" t="n">
        <v>14</v>
      </c>
      <c r="B659" s="29">
        <f>IF(Setup!$K$7="","",Setup!$K$7)</f>
        <v/>
      </c>
      <c r="C659" s="88" t="n"/>
      <c r="D659" s="88" t="n"/>
      <c r="E659" s="88" t="n"/>
      <c r="F659" s="89" t="n"/>
      <c r="G659" s="88" t="n"/>
      <c r="H659" s="88" t="n"/>
      <c r="I659" s="88" t="n"/>
      <c r="J659" s="89" t="n"/>
      <c r="K659" s="88" t="n"/>
      <c r="L659" s="88" t="n"/>
      <c r="M659" s="88" t="n"/>
      <c r="N659" s="89" t="n"/>
      <c r="O659" s="88" t="n"/>
      <c r="P659" s="88" t="n"/>
      <c r="Q659" s="88" t="n"/>
      <c r="R659" s="89" t="n"/>
      <c r="S659" s="88" t="n"/>
      <c r="T659" s="88" t="n"/>
      <c r="U659" s="88" t="n"/>
      <c r="V659" s="89" t="n"/>
      <c r="W659" s="88" t="n"/>
      <c r="X659" s="89" t="n"/>
      <c r="Y659" s="88" t="n"/>
      <c r="Z659" s="89" t="n"/>
      <c r="AB659" s="30">
        <f>IF($B659="","",(COUNTIF(C659:E659,"?*")&lt;N(INDEX(Setup!$L$6:$L$23,2)))+(COUNTIF(G659:I659,"?*")&lt;N(INDEX(Setup!$L$6:$L$23,2)))+(COUNTIF(K659:M659,"?*")&lt;N(INDEX(Setup!$L$6:$L$23,2)))+(COUNTIF(O659:Q659,"?*")&lt;N(INDEX(Setup!$L$6:$L$23,2)))+(COUNTIF(S659:U659,"?*")&lt;N(INDEX(Setup!$L$6:$L$23,2)))+((W659="")*(INDEX(Setup!$M$6:$M$23,2)="Y"))+((Y659="")*(INDEX(Setup!$M$6:$M$23,2)="Y")))</f>
        <v/>
      </c>
      <c r="AC659" s="91">
        <f>IF($B659="","",IF(AB659=0,"✓ covered","⚠ "&amp;AB659&amp;IF(AB659=1," gap"," gaps")))</f>
        <v/>
      </c>
    </row>
    <row r="660" ht="17" customHeight="1">
      <c r="A660" t="n">
        <v>14</v>
      </c>
      <c r="B660" s="24">
        <f>IF(Setup!$K$8="","",Setup!$K$8)</f>
        <v/>
      </c>
      <c r="C660" s="88" t="n"/>
      <c r="D660" s="88" t="n"/>
      <c r="E660" s="88" t="n"/>
      <c r="F660" s="89" t="n"/>
      <c r="G660" s="88" t="n"/>
      <c r="H660" s="88" t="n"/>
      <c r="I660" s="88" t="n"/>
      <c r="J660" s="89" t="n"/>
      <c r="K660" s="88" t="n"/>
      <c r="L660" s="88" t="n"/>
      <c r="M660" s="88" t="n"/>
      <c r="N660" s="89" t="n"/>
      <c r="O660" s="88" t="n"/>
      <c r="P660" s="88" t="n"/>
      <c r="Q660" s="88" t="n"/>
      <c r="R660" s="89" t="n"/>
      <c r="S660" s="88" t="n"/>
      <c r="T660" s="88" t="n"/>
      <c r="U660" s="88" t="n"/>
      <c r="V660" s="89" t="n"/>
      <c r="W660" s="88" t="n"/>
      <c r="X660" s="89" t="n"/>
      <c r="Y660" s="88" t="n"/>
      <c r="Z660" s="89" t="n"/>
      <c r="AB660" s="25">
        <f>IF($B660="","",(COUNTIF(C660:E660,"?*")&lt;N(INDEX(Setup!$L$6:$L$23,3)))+(COUNTIF(G660:I660,"?*")&lt;N(INDEX(Setup!$L$6:$L$23,3)))+(COUNTIF(K660:M660,"?*")&lt;N(INDEX(Setup!$L$6:$L$23,3)))+(COUNTIF(O660:Q660,"?*")&lt;N(INDEX(Setup!$L$6:$L$23,3)))+(COUNTIF(S660:U660,"?*")&lt;N(INDEX(Setup!$L$6:$L$23,3)))+((W660="")*(INDEX(Setup!$M$6:$M$23,3)="Y"))+((Y660="")*(INDEX(Setup!$M$6:$M$23,3)="Y")))</f>
        <v/>
      </c>
      <c r="AC660" s="90">
        <f>IF($B660="","",IF(AB660=0,"✓ covered","⚠ "&amp;AB660&amp;IF(AB660=1," gap"," gaps")))</f>
        <v/>
      </c>
    </row>
    <row r="661" ht="17" customHeight="1">
      <c r="A661" t="n">
        <v>14</v>
      </c>
      <c r="B661" s="29">
        <f>IF(Setup!$K$9="","",Setup!$K$9)</f>
        <v/>
      </c>
      <c r="C661" s="88" t="n"/>
      <c r="D661" s="88" t="n"/>
      <c r="E661" s="88" t="n"/>
      <c r="F661" s="89" t="n"/>
      <c r="G661" s="88" t="n"/>
      <c r="H661" s="88" t="n"/>
      <c r="I661" s="88" t="n"/>
      <c r="J661" s="89" t="n"/>
      <c r="K661" s="88" t="n"/>
      <c r="L661" s="88" t="n"/>
      <c r="M661" s="88" t="n"/>
      <c r="N661" s="89" t="n"/>
      <c r="O661" s="88" t="n"/>
      <c r="P661" s="88" t="n"/>
      <c r="Q661" s="88" t="n"/>
      <c r="R661" s="89" t="n"/>
      <c r="S661" s="88" t="n"/>
      <c r="T661" s="88" t="n"/>
      <c r="U661" s="88" t="n"/>
      <c r="V661" s="89" t="n"/>
      <c r="W661" s="88" t="n"/>
      <c r="X661" s="89" t="n"/>
      <c r="Y661" s="88" t="n"/>
      <c r="Z661" s="89" t="n"/>
      <c r="AB661" s="30">
        <f>IF($B661="","",(COUNTIF(C661:E661,"?*")&lt;N(INDEX(Setup!$L$6:$L$23,4)))+(COUNTIF(G661:I661,"?*")&lt;N(INDEX(Setup!$L$6:$L$23,4)))+(COUNTIF(K661:M661,"?*")&lt;N(INDEX(Setup!$L$6:$L$23,4)))+(COUNTIF(O661:Q661,"?*")&lt;N(INDEX(Setup!$L$6:$L$23,4)))+(COUNTIF(S661:U661,"?*")&lt;N(INDEX(Setup!$L$6:$L$23,4)))+((W661="")*(INDEX(Setup!$M$6:$M$23,4)="Y"))+((Y661="")*(INDEX(Setup!$M$6:$M$23,4)="Y")))</f>
        <v/>
      </c>
      <c r="AC661" s="91">
        <f>IF($B661="","",IF(AB661=0,"✓ covered","⚠ "&amp;AB661&amp;IF(AB661=1," gap"," gaps")))</f>
        <v/>
      </c>
    </row>
    <row r="662" ht="17" customHeight="1">
      <c r="A662" t="n">
        <v>14</v>
      </c>
      <c r="B662" s="24">
        <f>IF(Setup!$K$10="","",Setup!$K$10)</f>
        <v/>
      </c>
      <c r="C662" s="88" t="n"/>
      <c r="D662" s="88" t="n"/>
      <c r="E662" s="88" t="n"/>
      <c r="F662" s="89" t="n"/>
      <c r="G662" s="88" t="n"/>
      <c r="H662" s="88" t="n"/>
      <c r="I662" s="88" t="n"/>
      <c r="J662" s="89" t="n"/>
      <c r="K662" s="88" t="n"/>
      <c r="L662" s="88" t="n"/>
      <c r="M662" s="88" t="n"/>
      <c r="N662" s="89" t="n"/>
      <c r="O662" s="88" t="n"/>
      <c r="P662" s="88" t="n"/>
      <c r="Q662" s="88" t="n"/>
      <c r="R662" s="89" t="n"/>
      <c r="S662" s="88" t="n"/>
      <c r="T662" s="88" t="n"/>
      <c r="U662" s="88" t="n"/>
      <c r="V662" s="89" t="n"/>
      <c r="W662" s="88" t="n"/>
      <c r="X662" s="89" t="n"/>
      <c r="Y662" s="88" t="n"/>
      <c r="Z662" s="89" t="n"/>
      <c r="AB662" s="25">
        <f>IF($B662="","",(COUNTIF(C662:E662,"?*")&lt;N(INDEX(Setup!$L$6:$L$23,5)))+(COUNTIF(G662:I662,"?*")&lt;N(INDEX(Setup!$L$6:$L$23,5)))+(COUNTIF(K662:M662,"?*")&lt;N(INDEX(Setup!$L$6:$L$23,5)))+(COUNTIF(O662:Q662,"?*")&lt;N(INDEX(Setup!$L$6:$L$23,5)))+(COUNTIF(S662:U662,"?*")&lt;N(INDEX(Setup!$L$6:$L$23,5)))+((W662="")*(INDEX(Setup!$M$6:$M$23,5)="Y"))+((Y662="")*(INDEX(Setup!$M$6:$M$23,5)="Y")))</f>
        <v/>
      </c>
      <c r="AC662" s="90">
        <f>IF($B662="","",IF(AB662=0,"✓ covered","⚠ "&amp;AB662&amp;IF(AB662=1," gap"," gaps")))</f>
        <v/>
      </c>
    </row>
    <row r="663" ht="17" customHeight="1">
      <c r="A663" t="n">
        <v>14</v>
      </c>
      <c r="B663" s="29">
        <f>IF(Setup!$K$11="","",Setup!$K$11)</f>
        <v/>
      </c>
      <c r="C663" s="88" t="n"/>
      <c r="D663" s="88" t="n"/>
      <c r="E663" s="88" t="n"/>
      <c r="F663" s="89" t="n"/>
      <c r="G663" s="88" t="n"/>
      <c r="H663" s="88" t="n"/>
      <c r="I663" s="88" t="n"/>
      <c r="J663" s="89" t="n"/>
      <c r="K663" s="88" t="n"/>
      <c r="L663" s="88" t="n"/>
      <c r="M663" s="88" t="n"/>
      <c r="N663" s="89" t="n"/>
      <c r="O663" s="88" t="n"/>
      <c r="P663" s="88" t="n"/>
      <c r="Q663" s="88" t="n"/>
      <c r="R663" s="89" t="n"/>
      <c r="S663" s="88" t="n"/>
      <c r="T663" s="88" t="n"/>
      <c r="U663" s="88" t="n"/>
      <c r="V663" s="89" t="n"/>
      <c r="W663" s="88" t="n"/>
      <c r="X663" s="89" t="n"/>
      <c r="Y663" s="88" t="n"/>
      <c r="Z663" s="89" t="n"/>
      <c r="AB663" s="30">
        <f>IF($B663="","",(COUNTIF(C663:E663,"?*")&lt;N(INDEX(Setup!$L$6:$L$23,6)))+(COUNTIF(G663:I663,"?*")&lt;N(INDEX(Setup!$L$6:$L$23,6)))+(COUNTIF(K663:M663,"?*")&lt;N(INDEX(Setup!$L$6:$L$23,6)))+(COUNTIF(O663:Q663,"?*")&lt;N(INDEX(Setup!$L$6:$L$23,6)))+(COUNTIF(S663:U663,"?*")&lt;N(INDEX(Setup!$L$6:$L$23,6)))+((W663="")*(INDEX(Setup!$M$6:$M$23,6)="Y"))+((Y663="")*(INDEX(Setup!$M$6:$M$23,6)="Y")))</f>
        <v/>
      </c>
      <c r="AC663" s="91">
        <f>IF($B663="","",IF(AB663=0,"✓ covered","⚠ "&amp;AB663&amp;IF(AB663=1," gap"," gaps")))</f>
        <v/>
      </c>
    </row>
    <row r="664" ht="17" customHeight="1">
      <c r="A664" t="n">
        <v>14</v>
      </c>
      <c r="B664" s="24">
        <f>IF(Setup!$K$12="","",Setup!$K$12)</f>
        <v/>
      </c>
      <c r="C664" s="88" t="n"/>
      <c r="D664" s="88" t="n"/>
      <c r="E664" s="88" t="n"/>
      <c r="F664" s="89" t="n"/>
      <c r="G664" s="88" t="n"/>
      <c r="H664" s="88" t="n"/>
      <c r="I664" s="88" t="n"/>
      <c r="J664" s="89" t="n"/>
      <c r="K664" s="88" t="n"/>
      <c r="L664" s="88" t="n"/>
      <c r="M664" s="88" t="n"/>
      <c r="N664" s="89" t="n"/>
      <c r="O664" s="88" t="n"/>
      <c r="P664" s="88" t="n"/>
      <c r="Q664" s="88" t="n"/>
      <c r="R664" s="89" t="n"/>
      <c r="S664" s="88" t="n"/>
      <c r="T664" s="88" t="n"/>
      <c r="U664" s="88" t="n"/>
      <c r="V664" s="89" t="n"/>
      <c r="W664" s="88" t="n"/>
      <c r="X664" s="89" t="n"/>
      <c r="Y664" s="88" t="n"/>
      <c r="Z664" s="89" t="n"/>
      <c r="AB664" s="25">
        <f>IF($B664="","",(COUNTIF(C664:E664,"?*")&lt;N(INDEX(Setup!$L$6:$L$23,7)))+(COUNTIF(G664:I664,"?*")&lt;N(INDEX(Setup!$L$6:$L$23,7)))+(COUNTIF(K664:M664,"?*")&lt;N(INDEX(Setup!$L$6:$L$23,7)))+(COUNTIF(O664:Q664,"?*")&lt;N(INDEX(Setup!$L$6:$L$23,7)))+(COUNTIF(S664:U664,"?*")&lt;N(INDEX(Setup!$L$6:$L$23,7)))+((W664="")*(INDEX(Setup!$M$6:$M$23,7)="Y"))+((Y664="")*(INDEX(Setup!$M$6:$M$23,7)="Y")))</f>
        <v/>
      </c>
      <c r="AC664" s="90">
        <f>IF($B664="","",IF(AB664=0,"✓ covered","⚠ "&amp;AB664&amp;IF(AB664=1," gap"," gaps")))</f>
        <v/>
      </c>
    </row>
    <row r="665" ht="17" customHeight="1">
      <c r="A665" t="n">
        <v>14</v>
      </c>
      <c r="B665" s="29">
        <f>IF(Setup!$K$13="","",Setup!$K$13)</f>
        <v/>
      </c>
      <c r="C665" s="88" t="n"/>
      <c r="D665" s="88" t="n"/>
      <c r="E665" s="88" t="n"/>
      <c r="F665" s="89" t="n"/>
      <c r="G665" s="88" t="n"/>
      <c r="H665" s="88" t="n"/>
      <c r="I665" s="88" t="n"/>
      <c r="J665" s="89" t="n"/>
      <c r="K665" s="88" t="n"/>
      <c r="L665" s="88" t="n"/>
      <c r="M665" s="88" t="n"/>
      <c r="N665" s="89" t="n"/>
      <c r="O665" s="88" t="n"/>
      <c r="P665" s="88" t="n"/>
      <c r="Q665" s="88" t="n"/>
      <c r="R665" s="89" t="n"/>
      <c r="S665" s="88" t="n"/>
      <c r="T665" s="88" t="n"/>
      <c r="U665" s="88" t="n"/>
      <c r="V665" s="89" t="n"/>
      <c r="W665" s="88" t="n"/>
      <c r="X665" s="89" t="n"/>
      <c r="Y665" s="88" t="n"/>
      <c r="Z665" s="89" t="n"/>
      <c r="AB665" s="30">
        <f>IF($B665="","",(COUNTIF(C665:E665,"?*")&lt;N(INDEX(Setup!$L$6:$L$23,8)))+(COUNTIF(G665:I665,"?*")&lt;N(INDEX(Setup!$L$6:$L$23,8)))+(COUNTIF(K665:M665,"?*")&lt;N(INDEX(Setup!$L$6:$L$23,8)))+(COUNTIF(O665:Q665,"?*")&lt;N(INDEX(Setup!$L$6:$L$23,8)))+(COUNTIF(S665:U665,"?*")&lt;N(INDEX(Setup!$L$6:$L$23,8)))+((W665="")*(INDEX(Setup!$M$6:$M$23,8)="Y"))+((Y665="")*(INDEX(Setup!$M$6:$M$23,8)="Y")))</f>
        <v/>
      </c>
      <c r="AC665" s="91">
        <f>IF($B665="","",IF(AB665=0,"✓ covered","⚠ "&amp;AB665&amp;IF(AB665=1," gap"," gaps")))</f>
        <v/>
      </c>
    </row>
    <row r="666" ht="17" customHeight="1">
      <c r="A666" t="n">
        <v>14</v>
      </c>
      <c r="B666" s="24">
        <f>IF(Setup!$K$14="","",Setup!$K$14)</f>
        <v/>
      </c>
      <c r="C666" s="88" t="n"/>
      <c r="D666" s="88" t="n"/>
      <c r="E666" s="88" t="n"/>
      <c r="F666" s="89" t="n"/>
      <c r="G666" s="88" t="n"/>
      <c r="H666" s="88" t="n"/>
      <c r="I666" s="88" t="n"/>
      <c r="J666" s="89" t="n"/>
      <c r="K666" s="88" t="n"/>
      <c r="L666" s="88" t="n"/>
      <c r="M666" s="88" t="n"/>
      <c r="N666" s="89" t="n"/>
      <c r="O666" s="88" t="n"/>
      <c r="P666" s="88" t="n"/>
      <c r="Q666" s="88" t="n"/>
      <c r="R666" s="89" t="n"/>
      <c r="S666" s="88" t="n"/>
      <c r="T666" s="88" t="n"/>
      <c r="U666" s="88" t="n"/>
      <c r="V666" s="89" t="n"/>
      <c r="W666" s="88" t="n"/>
      <c r="X666" s="89" t="n"/>
      <c r="Y666" s="88" t="n"/>
      <c r="Z666" s="89" t="n"/>
      <c r="AB666" s="25">
        <f>IF($B666="","",(COUNTIF(C666:E666,"?*")&lt;N(INDEX(Setup!$L$6:$L$23,9)))+(COUNTIF(G666:I666,"?*")&lt;N(INDEX(Setup!$L$6:$L$23,9)))+(COUNTIF(K666:M666,"?*")&lt;N(INDEX(Setup!$L$6:$L$23,9)))+(COUNTIF(O666:Q666,"?*")&lt;N(INDEX(Setup!$L$6:$L$23,9)))+(COUNTIF(S666:U666,"?*")&lt;N(INDEX(Setup!$L$6:$L$23,9)))+((W666="")*(INDEX(Setup!$M$6:$M$23,9)="Y"))+((Y666="")*(INDEX(Setup!$M$6:$M$23,9)="Y")))</f>
        <v/>
      </c>
      <c r="AC666" s="90">
        <f>IF($B666="","",IF(AB666=0,"✓ covered","⚠ "&amp;AB666&amp;IF(AB666=1," gap"," gaps")))</f>
        <v/>
      </c>
    </row>
    <row r="667" ht="17" customHeight="1">
      <c r="A667" t="n">
        <v>14</v>
      </c>
      <c r="B667" s="29">
        <f>IF(Setup!$K$15="","",Setup!$K$15)</f>
        <v/>
      </c>
      <c r="C667" s="88" t="n"/>
      <c r="D667" s="88" t="n"/>
      <c r="E667" s="88" t="n"/>
      <c r="F667" s="89" t="n"/>
      <c r="G667" s="88" t="n"/>
      <c r="H667" s="88" t="n"/>
      <c r="I667" s="88" t="n"/>
      <c r="J667" s="89" t="n"/>
      <c r="K667" s="88" t="n"/>
      <c r="L667" s="88" t="n"/>
      <c r="M667" s="88" t="n"/>
      <c r="N667" s="89" t="n"/>
      <c r="O667" s="88" t="n"/>
      <c r="P667" s="88" t="n"/>
      <c r="Q667" s="88" t="n"/>
      <c r="R667" s="89" t="n"/>
      <c r="S667" s="88" t="n"/>
      <c r="T667" s="88" t="n"/>
      <c r="U667" s="88" t="n"/>
      <c r="V667" s="89" t="n"/>
      <c r="W667" s="88" t="n"/>
      <c r="X667" s="89" t="n"/>
      <c r="Y667" s="88" t="n"/>
      <c r="Z667" s="89" t="n"/>
      <c r="AB667" s="30">
        <f>IF($B667="","",(COUNTIF(C667:E667,"?*")&lt;N(INDEX(Setup!$L$6:$L$23,10)))+(COUNTIF(G667:I667,"?*")&lt;N(INDEX(Setup!$L$6:$L$23,10)))+(COUNTIF(K667:M667,"?*")&lt;N(INDEX(Setup!$L$6:$L$23,10)))+(COUNTIF(O667:Q667,"?*")&lt;N(INDEX(Setup!$L$6:$L$23,10)))+(COUNTIF(S667:U667,"?*")&lt;N(INDEX(Setup!$L$6:$L$23,10)))+((W667="")*(INDEX(Setup!$M$6:$M$23,10)="Y"))+((Y667="")*(INDEX(Setup!$M$6:$M$23,10)="Y")))</f>
        <v/>
      </c>
      <c r="AC667" s="91">
        <f>IF($B667="","",IF(AB667=0,"✓ covered","⚠ "&amp;AB667&amp;IF(AB667=1," gap"," gaps")))</f>
        <v/>
      </c>
    </row>
    <row r="668" ht="17" customHeight="1">
      <c r="A668" t="n">
        <v>14</v>
      </c>
      <c r="B668" s="24">
        <f>IF(Setup!$K$16="","",Setup!$K$16)</f>
        <v/>
      </c>
      <c r="C668" s="88" t="n"/>
      <c r="D668" s="88" t="n"/>
      <c r="E668" s="88" t="n"/>
      <c r="F668" s="89" t="n"/>
      <c r="G668" s="88" t="n"/>
      <c r="H668" s="88" t="n"/>
      <c r="I668" s="88" t="n"/>
      <c r="J668" s="89" t="n"/>
      <c r="K668" s="88" t="n"/>
      <c r="L668" s="88" t="n"/>
      <c r="M668" s="88" t="n"/>
      <c r="N668" s="89" t="n"/>
      <c r="O668" s="88" t="n"/>
      <c r="P668" s="88" t="n"/>
      <c r="Q668" s="88" t="n"/>
      <c r="R668" s="89" t="n"/>
      <c r="S668" s="88" t="n"/>
      <c r="T668" s="88" t="n"/>
      <c r="U668" s="88" t="n"/>
      <c r="V668" s="89" t="n"/>
      <c r="W668" s="88" t="n"/>
      <c r="X668" s="89" t="n"/>
      <c r="Y668" s="88" t="n"/>
      <c r="Z668" s="89" t="n"/>
      <c r="AB668" s="25">
        <f>IF($B668="","",(COUNTIF(C668:E668,"?*")&lt;N(INDEX(Setup!$L$6:$L$23,11)))+(COUNTIF(G668:I668,"?*")&lt;N(INDEX(Setup!$L$6:$L$23,11)))+(COUNTIF(K668:M668,"?*")&lt;N(INDEX(Setup!$L$6:$L$23,11)))+(COUNTIF(O668:Q668,"?*")&lt;N(INDEX(Setup!$L$6:$L$23,11)))+(COUNTIF(S668:U668,"?*")&lt;N(INDEX(Setup!$L$6:$L$23,11)))+((W668="")*(INDEX(Setup!$M$6:$M$23,11)="Y"))+((Y668="")*(INDEX(Setup!$M$6:$M$23,11)="Y")))</f>
        <v/>
      </c>
      <c r="AC668" s="90">
        <f>IF($B668="","",IF(AB668=0,"✓ covered","⚠ "&amp;AB668&amp;IF(AB668=1," gap"," gaps")))</f>
        <v/>
      </c>
    </row>
    <row r="669" ht="17" customHeight="1">
      <c r="A669" t="n">
        <v>14</v>
      </c>
      <c r="B669" s="29">
        <f>IF(Setup!$K$17="","",Setup!$K$17)</f>
        <v/>
      </c>
      <c r="C669" s="88" t="n"/>
      <c r="D669" s="88" t="n"/>
      <c r="E669" s="88" t="n"/>
      <c r="F669" s="89" t="n"/>
      <c r="G669" s="88" t="n"/>
      <c r="H669" s="88" t="n"/>
      <c r="I669" s="88" t="n"/>
      <c r="J669" s="89" t="n"/>
      <c r="K669" s="88" t="n"/>
      <c r="L669" s="88" t="n"/>
      <c r="M669" s="88" t="n"/>
      <c r="N669" s="89" t="n"/>
      <c r="O669" s="88" t="n"/>
      <c r="P669" s="88" t="n"/>
      <c r="Q669" s="88" t="n"/>
      <c r="R669" s="89" t="n"/>
      <c r="S669" s="88" t="n"/>
      <c r="T669" s="88" t="n"/>
      <c r="U669" s="88" t="n"/>
      <c r="V669" s="89" t="n"/>
      <c r="W669" s="88" t="n"/>
      <c r="X669" s="89" t="n"/>
      <c r="Y669" s="88" t="n"/>
      <c r="Z669" s="89" t="n"/>
      <c r="AB669" s="30">
        <f>IF($B669="","",(COUNTIF(C669:E669,"?*")&lt;N(INDEX(Setup!$L$6:$L$23,12)))+(COUNTIF(G669:I669,"?*")&lt;N(INDEX(Setup!$L$6:$L$23,12)))+(COUNTIF(K669:M669,"?*")&lt;N(INDEX(Setup!$L$6:$L$23,12)))+(COUNTIF(O669:Q669,"?*")&lt;N(INDEX(Setup!$L$6:$L$23,12)))+(COUNTIF(S669:U669,"?*")&lt;N(INDEX(Setup!$L$6:$L$23,12)))+((W669="")*(INDEX(Setup!$M$6:$M$23,12)="Y"))+((Y669="")*(INDEX(Setup!$M$6:$M$23,12)="Y")))</f>
        <v/>
      </c>
      <c r="AC669" s="91">
        <f>IF($B669="","",IF(AB669=0,"✓ covered","⚠ "&amp;AB669&amp;IF(AB669=1," gap"," gaps")))</f>
        <v/>
      </c>
    </row>
    <row r="670" ht="17" customHeight="1">
      <c r="A670" t="n">
        <v>14</v>
      </c>
      <c r="B670" s="24">
        <f>IF(Setup!$K$18="","",Setup!$K$18)</f>
        <v/>
      </c>
      <c r="C670" s="88" t="n"/>
      <c r="D670" s="88" t="n"/>
      <c r="E670" s="88" t="n"/>
      <c r="F670" s="89" t="n"/>
      <c r="G670" s="88" t="n"/>
      <c r="H670" s="88" t="n"/>
      <c r="I670" s="88" t="n"/>
      <c r="J670" s="89" t="n"/>
      <c r="K670" s="88" t="n"/>
      <c r="L670" s="88" t="n"/>
      <c r="M670" s="88" t="n"/>
      <c r="N670" s="89" t="n"/>
      <c r="O670" s="88" t="n"/>
      <c r="P670" s="88" t="n"/>
      <c r="Q670" s="88" t="n"/>
      <c r="R670" s="89" t="n"/>
      <c r="S670" s="88" t="n"/>
      <c r="T670" s="88" t="n"/>
      <c r="U670" s="88" t="n"/>
      <c r="V670" s="89" t="n"/>
      <c r="W670" s="88" t="n"/>
      <c r="X670" s="89" t="n"/>
      <c r="Y670" s="88" t="n"/>
      <c r="Z670" s="89" t="n"/>
      <c r="AB670" s="25">
        <f>IF($B670="","",(COUNTIF(C670:E670,"?*")&lt;N(INDEX(Setup!$L$6:$L$23,13)))+(COUNTIF(G670:I670,"?*")&lt;N(INDEX(Setup!$L$6:$L$23,13)))+(COUNTIF(K670:M670,"?*")&lt;N(INDEX(Setup!$L$6:$L$23,13)))+(COUNTIF(O670:Q670,"?*")&lt;N(INDEX(Setup!$L$6:$L$23,13)))+(COUNTIF(S670:U670,"?*")&lt;N(INDEX(Setup!$L$6:$L$23,13)))+((W670="")*(INDEX(Setup!$M$6:$M$23,13)="Y"))+((Y670="")*(INDEX(Setup!$M$6:$M$23,13)="Y")))</f>
        <v/>
      </c>
      <c r="AC670" s="90">
        <f>IF($B670="","",IF(AB670=0,"✓ covered","⚠ "&amp;AB670&amp;IF(AB670=1," gap"," gaps")))</f>
        <v/>
      </c>
    </row>
    <row r="671" ht="17" customHeight="1">
      <c r="A671" t="n">
        <v>14</v>
      </c>
      <c r="B671" s="29">
        <f>IF(Setup!$K$19="","",Setup!$K$19)</f>
        <v/>
      </c>
      <c r="C671" s="88" t="n"/>
      <c r="D671" s="88" t="n"/>
      <c r="E671" s="88" t="n"/>
      <c r="F671" s="89" t="n"/>
      <c r="G671" s="88" t="n"/>
      <c r="H671" s="88" t="n"/>
      <c r="I671" s="88" t="n"/>
      <c r="J671" s="89" t="n"/>
      <c r="K671" s="88" t="n"/>
      <c r="L671" s="88" t="n"/>
      <c r="M671" s="88" t="n"/>
      <c r="N671" s="89" t="n"/>
      <c r="O671" s="88" t="n"/>
      <c r="P671" s="88" t="n"/>
      <c r="Q671" s="88" t="n"/>
      <c r="R671" s="89" t="n"/>
      <c r="S671" s="88" t="n"/>
      <c r="T671" s="88" t="n"/>
      <c r="U671" s="88" t="n"/>
      <c r="V671" s="89" t="n"/>
      <c r="W671" s="88" t="n"/>
      <c r="X671" s="89" t="n"/>
      <c r="Y671" s="88" t="n"/>
      <c r="Z671" s="89" t="n"/>
      <c r="AB671" s="30">
        <f>IF($B671="","",(COUNTIF(C671:E671,"?*")&lt;N(INDEX(Setup!$L$6:$L$23,14)))+(COUNTIF(G671:I671,"?*")&lt;N(INDEX(Setup!$L$6:$L$23,14)))+(COUNTIF(K671:M671,"?*")&lt;N(INDEX(Setup!$L$6:$L$23,14)))+(COUNTIF(O671:Q671,"?*")&lt;N(INDEX(Setup!$L$6:$L$23,14)))+(COUNTIF(S671:U671,"?*")&lt;N(INDEX(Setup!$L$6:$L$23,14)))+((W671="")*(INDEX(Setup!$M$6:$M$23,14)="Y"))+((Y671="")*(INDEX(Setup!$M$6:$M$23,14)="Y")))</f>
        <v/>
      </c>
      <c r="AC671" s="91">
        <f>IF($B671="","",IF(AB671=0,"✓ covered","⚠ "&amp;AB671&amp;IF(AB671=1," gap"," gaps")))</f>
        <v/>
      </c>
    </row>
    <row r="672" ht="17" customHeight="1">
      <c r="A672" t="n">
        <v>14</v>
      </c>
      <c r="B672" s="24">
        <f>IF(Setup!$K$20="","",Setup!$K$20)</f>
        <v/>
      </c>
      <c r="C672" s="88" t="n"/>
      <c r="D672" s="88" t="n"/>
      <c r="E672" s="88" t="n"/>
      <c r="F672" s="89" t="n"/>
      <c r="G672" s="88" t="n"/>
      <c r="H672" s="88" t="n"/>
      <c r="I672" s="88" t="n"/>
      <c r="J672" s="89" t="n"/>
      <c r="K672" s="88" t="n"/>
      <c r="L672" s="88" t="n"/>
      <c r="M672" s="88" t="n"/>
      <c r="N672" s="89" t="n"/>
      <c r="O672" s="88" t="n"/>
      <c r="P672" s="88" t="n"/>
      <c r="Q672" s="88" t="n"/>
      <c r="R672" s="89" t="n"/>
      <c r="S672" s="88" t="n"/>
      <c r="T672" s="88" t="n"/>
      <c r="U672" s="88" t="n"/>
      <c r="V672" s="89" t="n"/>
      <c r="W672" s="88" t="n"/>
      <c r="X672" s="89" t="n"/>
      <c r="Y672" s="88" t="n"/>
      <c r="Z672" s="89" t="n"/>
      <c r="AB672" s="25">
        <f>IF($B672="","",(COUNTIF(C672:E672,"?*")&lt;N(INDEX(Setup!$L$6:$L$23,15)))+(COUNTIF(G672:I672,"?*")&lt;N(INDEX(Setup!$L$6:$L$23,15)))+(COUNTIF(K672:M672,"?*")&lt;N(INDEX(Setup!$L$6:$L$23,15)))+(COUNTIF(O672:Q672,"?*")&lt;N(INDEX(Setup!$L$6:$L$23,15)))+(COUNTIF(S672:U672,"?*")&lt;N(INDEX(Setup!$L$6:$L$23,15)))+((W672="")*(INDEX(Setup!$M$6:$M$23,15)="Y"))+((Y672="")*(INDEX(Setup!$M$6:$M$23,15)="Y")))</f>
        <v/>
      </c>
      <c r="AC672" s="90">
        <f>IF($B672="","",IF(AB672=0,"✓ covered","⚠ "&amp;AB672&amp;IF(AB672=1," gap"," gaps")))</f>
        <v/>
      </c>
    </row>
    <row r="673" ht="17" customHeight="1">
      <c r="A673" t="n">
        <v>14</v>
      </c>
      <c r="B673" s="29">
        <f>IF(Setup!$K$21="","",Setup!$K$21)</f>
        <v/>
      </c>
      <c r="C673" s="88" t="n"/>
      <c r="D673" s="88" t="n"/>
      <c r="E673" s="88" t="n"/>
      <c r="F673" s="89" t="n"/>
      <c r="G673" s="88" t="n"/>
      <c r="H673" s="88" t="n"/>
      <c r="I673" s="88" t="n"/>
      <c r="J673" s="89" t="n"/>
      <c r="K673" s="88" t="n"/>
      <c r="L673" s="88" t="n"/>
      <c r="M673" s="88" t="n"/>
      <c r="N673" s="89" t="n"/>
      <c r="O673" s="88" t="n"/>
      <c r="P673" s="88" t="n"/>
      <c r="Q673" s="88" t="n"/>
      <c r="R673" s="89" t="n"/>
      <c r="S673" s="88" t="n"/>
      <c r="T673" s="88" t="n"/>
      <c r="U673" s="88" t="n"/>
      <c r="V673" s="89" t="n"/>
      <c r="W673" s="88" t="n"/>
      <c r="X673" s="89" t="n"/>
      <c r="Y673" s="88" t="n"/>
      <c r="Z673" s="89" t="n"/>
      <c r="AB673" s="30">
        <f>IF($B673="","",(COUNTIF(C673:E673,"?*")&lt;N(INDEX(Setup!$L$6:$L$23,16)))+(COUNTIF(G673:I673,"?*")&lt;N(INDEX(Setup!$L$6:$L$23,16)))+(COUNTIF(K673:M673,"?*")&lt;N(INDEX(Setup!$L$6:$L$23,16)))+(COUNTIF(O673:Q673,"?*")&lt;N(INDEX(Setup!$L$6:$L$23,16)))+(COUNTIF(S673:U673,"?*")&lt;N(INDEX(Setup!$L$6:$L$23,16)))+((W673="")*(INDEX(Setup!$M$6:$M$23,16)="Y"))+((Y673="")*(INDEX(Setup!$M$6:$M$23,16)="Y")))</f>
        <v/>
      </c>
      <c r="AC673" s="91">
        <f>IF($B673="","",IF(AB673=0,"✓ covered","⚠ "&amp;AB673&amp;IF(AB673=1," gap"," gaps")))</f>
        <v/>
      </c>
    </row>
    <row r="674" ht="17" customHeight="1">
      <c r="A674" t="n">
        <v>14</v>
      </c>
      <c r="B674" s="24">
        <f>IF(Setup!$K$22="","",Setup!$K$22)</f>
        <v/>
      </c>
      <c r="C674" s="88" t="n"/>
      <c r="D674" s="88" t="n"/>
      <c r="E674" s="88" t="n"/>
      <c r="F674" s="89" t="n"/>
      <c r="G674" s="88" t="n"/>
      <c r="H674" s="88" t="n"/>
      <c r="I674" s="88" t="n"/>
      <c r="J674" s="89" t="n"/>
      <c r="K674" s="88" t="n"/>
      <c r="L674" s="88" t="n"/>
      <c r="M674" s="88" t="n"/>
      <c r="N674" s="89" t="n"/>
      <c r="O674" s="88" t="n"/>
      <c r="P674" s="88" t="n"/>
      <c r="Q674" s="88" t="n"/>
      <c r="R674" s="89" t="n"/>
      <c r="S674" s="88" t="n"/>
      <c r="T674" s="88" t="n"/>
      <c r="U674" s="88" t="n"/>
      <c r="V674" s="89" t="n"/>
      <c r="W674" s="88" t="n"/>
      <c r="X674" s="89" t="n"/>
      <c r="Y674" s="88" t="n"/>
      <c r="Z674" s="89" t="n"/>
      <c r="AB674" s="25">
        <f>IF($B674="","",(COUNTIF(C674:E674,"?*")&lt;N(INDEX(Setup!$L$6:$L$23,17)))+(COUNTIF(G674:I674,"?*")&lt;N(INDEX(Setup!$L$6:$L$23,17)))+(COUNTIF(K674:M674,"?*")&lt;N(INDEX(Setup!$L$6:$L$23,17)))+(COUNTIF(O674:Q674,"?*")&lt;N(INDEX(Setup!$L$6:$L$23,17)))+(COUNTIF(S674:U674,"?*")&lt;N(INDEX(Setup!$L$6:$L$23,17)))+((W674="")*(INDEX(Setup!$M$6:$M$23,17)="Y"))+((Y674="")*(INDEX(Setup!$M$6:$M$23,17)="Y")))</f>
        <v/>
      </c>
      <c r="AC674" s="90">
        <f>IF($B674="","",IF(AB674=0,"✓ covered","⚠ "&amp;AB674&amp;IF(AB674=1," gap"," gaps")))</f>
        <v/>
      </c>
    </row>
    <row r="675" ht="17" customHeight="1">
      <c r="A675" t="n">
        <v>14</v>
      </c>
      <c r="B675" s="29">
        <f>IF(Setup!$K$23="","",Setup!$K$23)</f>
        <v/>
      </c>
      <c r="C675" s="88" t="n"/>
      <c r="D675" s="88" t="n"/>
      <c r="E675" s="88" t="n"/>
      <c r="F675" s="89" t="n"/>
      <c r="G675" s="88" t="n"/>
      <c r="H675" s="88" t="n"/>
      <c r="I675" s="88" t="n"/>
      <c r="J675" s="89" t="n"/>
      <c r="K675" s="88" t="n"/>
      <c r="L675" s="88" t="n"/>
      <c r="M675" s="88" t="n"/>
      <c r="N675" s="89" t="n"/>
      <c r="O675" s="88" t="n"/>
      <c r="P675" s="88" t="n"/>
      <c r="Q675" s="88" t="n"/>
      <c r="R675" s="89" t="n"/>
      <c r="S675" s="88" t="n"/>
      <c r="T675" s="88" t="n"/>
      <c r="U675" s="88" t="n"/>
      <c r="V675" s="89" t="n"/>
      <c r="W675" s="88" t="n"/>
      <c r="X675" s="89" t="n"/>
      <c r="Y675" s="88" t="n"/>
      <c r="Z675" s="89" t="n"/>
      <c r="AB675" s="30">
        <f>IF($B675="","",(COUNTIF(C675:E675,"?*")&lt;N(INDEX(Setup!$L$6:$L$23,18)))+(COUNTIF(G675:I675,"?*")&lt;N(INDEX(Setup!$L$6:$L$23,18)))+(COUNTIF(K675:M675,"?*")&lt;N(INDEX(Setup!$L$6:$L$23,18)))+(COUNTIF(O675:Q675,"?*")&lt;N(INDEX(Setup!$L$6:$L$23,18)))+(COUNTIF(S675:U675,"?*")&lt;N(INDEX(Setup!$L$6:$L$23,18)))+((W675="")*(INDEX(Setup!$M$6:$M$23,18)="Y"))+((Y675="")*(INDEX(Setup!$M$6:$M$23,18)="Y")))</f>
        <v/>
      </c>
      <c r="AC675" s="91">
        <f>IF($B675="","",IF(AB675=0,"✓ covered","⚠ "&amp;AB675&amp;IF(AB675=1," gap"," gaps")))</f>
        <v/>
      </c>
    </row>
    <row r="676" ht="18" customHeight="1">
      <c r="A676" t="n">
        <v>14</v>
      </c>
      <c r="B676" s="78" t="inlineStr">
        <is>
          <t>TEAM AVAILABILITY</t>
        </is>
      </c>
      <c r="C676" s="92" t="inlineStr">
        <is>
          <t>Mon</t>
        </is>
      </c>
      <c r="D676" s="93" t="n"/>
      <c r="E676" s="93" t="n"/>
      <c r="F676" s="94" t="n"/>
      <c r="G676" s="92" t="inlineStr">
        <is>
          <t>Tue</t>
        </is>
      </c>
      <c r="H676" s="93" t="n"/>
      <c r="I676" s="93" t="n"/>
      <c r="J676" s="94" t="n"/>
      <c r="K676" s="92" t="inlineStr">
        <is>
          <t>Wed</t>
        </is>
      </c>
      <c r="L676" s="93" t="n"/>
      <c r="M676" s="93" t="n"/>
      <c r="N676" s="94" t="n"/>
      <c r="O676" s="92" t="inlineStr">
        <is>
          <t>Thu</t>
        </is>
      </c>
      <c r="P676" s="93" t="n"/>
      <c r="Q676" s="93" t="n"/>
      <c r="R676" s="94" t="n"/>
      <c r="S676" s="92" t="inlineStr">
        <is>
          <t>Fri</t>
        </is>
      </c>
      <c r="T676" s="93" t="n"/>
      <c r="U676" s="93" t="n"/>
      <c r="V676" s="94" t="n"/>
      <c r="W676" s="95" t="inlineStr">
        <is>
          <t>Sat</t>
        </is>
      </c>
      <c r="X676" s="96" t="n"/>
      <c r="Y676" s="95" t="inlineStr">
        <is>
          <t>Sun</t>
        </is>
      </c>
      <c r="Z676" s="96" t="n"/>
      <c r="AB676" s="97" t="inlineStr">
        <is>
          <t>Days rostered</t>
        </is>
      </c>
      <c r="AC676" s="97" t="inlineStr">
        <is>
          <t>Conflicts</t>
        </is>
      </c>
    </row>
    <row r="677" ht="15" customHeight="1">
      <c r="A677" t="n">
        <v>14</v>
      </c>
      <c r="B677" s="35">
        <f>IF(Setup!$B$6="","",Setup!$B$6)</f>
        <v/>
      </c>
      <c r="C677" s="98" t="n"/>
      <c r="D677" s="99" t="n"/>
      <c r="E677" s="99" t="n"/>
      <c r="F677" s="100" t="n"/>
      <c r="G677" s="98" t="n"/>
      <c r="H677" s="99" t="n"/>
      <c r="I677" s="99" t="n"/>
      <c r="J677" s="100" t="n"/>
      <c r="K677" s="98" t="n"/>
      <c r="L677" s="99" t="n"/>
      <c r="M677" s="99" t="n"/>
      <c r="N677" s="100" t="n"/>
      <c r="O677" s="98" t="n"/>
      <c r="P677" s="99" t="n"/>
      <c r="Q677" s="99" t="n"/>
      <c r="R677" s="100" t="n"/>
      <c r="S677" s="98" t="n"/>
      <c r="T677" s="99" t="n"/>
      <c r="U677" s="99" t="n"/>
      <c r="V677" s="100" t="n"/>
      <c r="W677" s="98" t="n"/>
      <c r="X677" s="100" t="n"/>
      <c r="Y677" s="98" t="n"/>
      <c r="Z677" s="100" t="n"/>
      <c r="AB677" s="101">
        <f>IF($B677="","",(COUNTIF(C658:E675,$B677)+COUNTIF(C658:E675,$B677&amp;" ~*")&gt;0)+(COUNTIF(G658:I675,$B677)+COUNTIF(G658:I675,$B677&amp;" ~*")&gt;0)+(COUNTIF(K658:M675,$B677)+COUNTIF(K658:M675,$B677&amp;" ~*")&gt;0)+(COUNTIF(O658:Q675,$B677)+COUNTIF(O658:Q675,$B677&amp;" ~*")&gt;0)+(COUNTIF(S658:U675,$B677)+COUNTIF(S658:U675,$B677&amp;" ~*")&gt;0)+(COUNTIF(W658:W675,$B677)+COUNTIF(W658:W675,$B677&amp;" ~*")&gt;0)+(COUNTIF(Y658:Y675,$B677)+COUNTIF(Y658:Y675,$B677&amp;" ~*")&gt;0))</f>
        <v/>
      </c>
      <c r="AC677" s="36">
        <f>IF($B677="","",(IFERROR(INDEX(Setup!$G$33:$G$40,MATCH(C677,Setup!$B$33:$B$40,0)),0)=1)*(COUNTIF(C658:E675,$B677)+COUNTIF(C658:E675,$B677&amp;" ~*")&gt;0)+(IFERROR(INDEX(Setup!$G$33:$G$40,MATCH(G677,Setup!$B$33:$B$40,0)),0)=1)*(COUNTIF(G658:I675,$B677)+COUNTIF(G658:I675,$B677&amp;" ~*")&gt;0)+(IFERROR(INDEX(Setup!$G$33:$G$40,MATCH(K677,Setup!$B$33:$B$40,0)),0)=1)*(COUNTIF(K658:M675,$B677)+COUNTIF(K658:M675,$B677&amp;" ~*")&gt;0)+(IFERROR(INDEX(Setup!$G$33:$G$40,MATCH(O677,Setup!$B$33:$B$40,0)),0)=1)*(COUNTIF(O658:Q675,$B677)+COUNTIF(O658:Q675,$B677&amp;" ~*")&gt;0)+(IFERROR(INDEX(Setup!$G$33:$G$40,MATCH(S677,Setup!$B$33:$B$40,0)),0)=1)*(COUNTIF(S658:U675,$B677)+COUNTIF(S658:U675,$B677&amp;" ~*")&gt;0)+(IFERROR(INDEX(Setup!$G$33:$G$40,MATCH(W677,Setup!$B$33:$B$40,0)),0)=1)*(COUNTIF(W658:W675,$B677)+COUNTIF(W658:W675,$B677&amp;" ~*")&gt;0)+(IFERROR(INDEX(Setup!$G$33:$G$40,MATCH(Y677,Setup!$B$33:$B$40,0)),0)=1)*(COUNTIF(Y658:Y675,$B677)+COUNTIF(Y658:Y675,$B677&amp;" ~*")&gt;0))</f>
        <v/>
      </c>
    </row>
    <row r="678" ht="15" customHeight="1">
      <c r="A678" t="n">
        <v>14</v>
      </c>
      <c r="B678" s="37">
        <f>IF(Setup!$B$7="","",Setup!$B$7)</f>
        <v/>
      </c>
      <c r="C678" s="102" t="n"/>
      <c r="D678" s="103" t="n"/>
      <c r="E678" s="103" t="n"/>
      <c r="F678" s="104" t="n"/>
      <c r="G678" s="102" t="n"/>
      <c r="H678" s="103" t="n"/>
      <c r="I678" s="103" t="n"/>
      <c r="J678" s="104" t="n"/>
      <c r="K678" s="102" t="n"/>
      <c r="L678" s="103" t="n"/>
      <c r="M678" s="103" t="n"/>
      <c r="N678" s="104" t="n"/>
      <c r="O678" s="102" t="n"/>
      <c r="P678" s="103" t="n"/>
      <c r="Q678" s="103" t="n"/>
      <c r="R678" s="104" t="n"/>
      <c r="S678" s="102" t="n"/>
      <c r="T678" s="103" t="n"/>
      <c r="U678" s="103" t="n"/>
      <c r="V678" s="104" t="n"/>
      <c r="W678" s="102" t="n"/>
      <c r="X678" s="104" t="n"/>
      <c r="Y678" s="102" t="n"/>
      <c r="Z678" s="104" t="n"/>
      <c r="AB678" s="105">
        <f>IF($B678="","",(COUNTIF(C658:E675,$B678)+COUNTIF(C658:E675,$B678&amp;" ~*")&gt;0)+(COUNTIF(G658:I675,$B678)+COUNTIF(G658:I675,$B678&amp;" ~*")&gt;0)+(COUNTIF(K658:M675,$B678)+COUNTIF(K658:M675,$B678&amp;" ~*")&gt;0)+(COUNTIF(O658:Q675,$B678)+COUNTIF(O658:Q675,$B678&amp;" ~*")&gt;0)+(COUNTIF(S658:U675,$B678)+COUNTIF(S658:U675,$B678&amp;" ~*")&gt;0)+(COUNTIF(W658:W675,$B678)+COUNTIF(W658:W675,$B678&amp;" ~*")&gt;0)+(COUNTIF(Y658:Y675,$B678)+COUNTIF(Y658:Y675,$B678&amp;" ~*")&gt;0))</f>
        <v/>
      </c>
      <c r="AC678" s="38">
        <f>IF($B678="","",(IFERROR(INDEX(Setup!$G$33:$G$40,MATCH(C678,Setup!$B$33:$B$40,0)),0)=1)*(COUNTIF(C658:E675,$B678)+COUNTIF(C658:E675,$B678&amp;" ~*")&gt;0)+(IFERROR(INDEX(Setup!$G$33:$G$40,MATCH(G678,Setup!$B$33:$B$40,0)),0)=1)*(COUNTIF(G658:I675,$B678)+COUNTIF(G658:I675,$B678&amp;" ~*")&gt;0)+(IFERROR(INDEX(Setup!$G$33:$G$40,MATCH(K678,Setup!$B$33:$B$40,0)),0)=1)*(COUNTIF(K658:M675,$B678)+COUNTIF(K658:M675,$B678&amp;" ~*")&gt;0)+(IFERROR(INDEX(Setup!$G$33:$G$40,MATCH(O678,Setup!$B$33:$B$40,0)),0)=1)*(COUNTIF(O658:Q675,$B678)+COUNTIF(O658:Q675,$B678&amp;" ~*")&gt;0)+(IFERROR(INDEX(Setup!$G$33:$G$40,MATCH(S678,Setup!$B$33:$B$40,0)),0)=1)*(COUNTIF(S658:U675,$B678)+COUNTIF(S658:U675,$B678&amp;" ~*")&gt;0)+(IFERROR(INDEX(Setup!$G$33:$G$40,MATCH(W678,Setup!$B$33:$B$40,0)),0)=1)*(COUNTIF(W658:W675,$B678)+COUNTIF(W658:W675,$B678&amp;" ~*")&gt;0)+(IFERROR(INDEX(Setup!$G$33:$G$40,MATCH(Y678,Setup!$B$33:$B$40,0)),0)=1)*(COUNTIF(Y658:Y675,$B678)+COUNTIF(Y658:Y675,$B678&amp;" ~*")&gt;0))</f>
        <v/>
      </c>
    </row>
    <row r="679" ht="15" customHeight="1">
      <c r="A679" t="n">
        <v>14</v>
      </c>
      <c r="B679" s="35">
        <f>IF(Setup!$B$8="","",Setup!$B$8)</f>
        <v/>
      </c>
      <c r="C679" s="98" t="n"/>
      <c r="D679" s="99" t="n"/>
      <c r="E679" s="99" t="n"/>
      <c r="F679" s="100" t="n"/>
      <c r="G679" s="98" t="n"/>
      <c r="H679" s="99" t="n"/>
      <c r="I679" s="99" t="n"/>
      <c r="J679" s="100" t="n"/>
      <c r="K679" s="98" t="n"/>
      <c r="L679" s="99" t="n"/>
      <c r="M679" s="99" t="n"/>
      <c r="N679" s="100" t="n"/>
      <c r="O679" s="98" t="n"/>
      <c r="P679" s="99" t="n"/>
      <c r="Q679" s="99" t="n"/>
      <c r="R679" s="100" t="n"/>
      <c r="S679" s="98" t="n"/>
      <c r="T679" s="99" t="n"/>
      <c r="U679" s="99" t="n"/>
      <c r="V679" s="100" t="n"/>
      <c r="W679" s="98" t="n"/>
      <c r="X679" s="100" t="n"/>
      <c r="Y679" s="98" t="n"/>
      <c r="Z679" s="100" t="n"/>
      <c r="AB679" s="101">
        <f>IF($B679="","",(COUNTIF(C658:E675,$B679)+COUNTIF(C658:E675,$B679&amp;" ~*")&gt;0)+(COUNTIF(G658:I675,$B679)+COUNTIF(G658:I675,$B679&amp;" ~*")&gt;0)+(COUNTIF(K658:M675,$B679)+COUNTIF(K658:M675,$B679&amp;" ~*")&gt;0)+(COUNTIF(O658:Q675,$B679)+COUNTIF(O658:Q675,$B679&amp;" ~*")&gt;0)+(COUNTIF(S658:U675,$B679)+COUNTIF(S658:U675,$B679&amp;" ~*")&gt;0)+(COUNTIF(W658:W675,$B679)+COUNTIF(W658:W675,$B679&amp;" ~*")&gt;0)+(COUNTIF(Y658:Y675,$B679)+COUNTIF(Y658:Y675,$B679&amp;" ~*")&gt;0))</f>
        <v/>
      </c>
      <c r="AC679" s="36">
        <f>IF($B679="","",(IFERROR(INDEX(Setup!$G$33:$G$40,MATCH(C679,Setup!$B$33:$B$40,0)),0)=1)*(COUNTIF(C658:E675,$B679)+COUNTIF(C658:E675,$B679&amp;" ~*")&gt;0)+(IFERROR(INDEX(Setup!$G$33:$G$40,MATCH(G679,Setup!$B$33:$B$40,0)),0)=1)*(COUNTIF(G658:I675,$B679)+COUNTIF(G658:I675,$B679&amp;" ~*")&gt;0)+(IFERROR(INDEX(Setup!$G$33:$G$40,MATCH(K679,Setup!$B$33:$B$40,0)),0)=1)*(COUNTIF(K658:M675,$B679)+COUNTIF(K658:M675,$B679&amp;" ~*")&gt;0)+(IFERROR(INDEX(Setup!$G$33:$G$40,MATCH(O679,Setup!$B$33:$B$40,0)),0)=1)*(COUNTIF(O658:Q675,$B679)+COUNTIF(O658:Q675,$B679&amp;" ~*")&gt;0)+(IFERROR(INDEX(Setup!$G$33:$G$40,MATCH(S679,Setup!$B$33:$B$40,0)),0)=1)*(COUNTIF(S658:U675,$B679)+COUNTIF(S658:U675,$B679&amp;" ~*")&gt;0)+(IFERROR(INDEX(Setup!$G$33:$G$40,MATCH(W679,Setup!$B$33:$B$40,0)),0)=1)*(COUNTIF(W658:W675,$B679)+COUNTIF(W658:W675,$B679&amp;" ~*")&gt;0)+(IFERROR(INDEX(Setup!$G$33:$G$40,MATCH(Y679,Setup!$B$33:$B$40,0)),0)=1)*(COUNTIF(Y658:Y675,$B679)+COUNTIF(Y658:Y675,$B679&amp;" ~*")&gt;0))</f>
        <v/>
      </c>
    </row>
    <row r="680" ht="15" customHeight="1">
      <c r="A680" t="n">
        <v>14</v>
      </c>
      <c r="B680" s="37">
        <f>IF(Setup!$B$9="","",Setup!$B$9)</f>
        <v/>
      </c>
      <c r="C680" s="102" t="inlineStr">
        <is>
          <t>AL</t>
        </is>
      </c>
      <c r="D680" s="103" t="n"/>
      <c r="E680" s="103" t="n"/>
      <c r="F680" s="104" t="n"/>
      <c r="G680" s="102" t="inlineStr">
        <is>
          <t>AL</t>
        </is>
      </c>
      <c r="H680" s="103" t="n"/>
      <c r="I680" s="103" t="n"/>
      <c r="J680" s="104" t="n"/>
      <c r="K680" s="102" t="inlineStr">
        <is>
          <t>AL</t>
        </is>
      </c>
      <c r="L680" s="103" t="n"/>
      <c r="M680" s="103" t="n"/>
      <c r="N680" s="104" t="n"/>
      <c r="O680" s="102" t="inlineStr">
        <is>
          <t>AL</t>
        </is>
      </c>
      <c r="P680" s="103" t="n"/>
      <c r="Q680" s="103" t="n"/>
      <c r="R680" s="104" t="n"/>
      <c r="S680" s="102" t="inlineStr">
        <is>
          <t>AL</t>
        </is>
      </c>
      <c r="T680" s="103" t="n"/>
      <c r="U680" s="103" t="n"/>
      <c r="V680" s="104" t="n"/>
      <c r="W680" s="102" t="n"/>
      <c r="X680" s="104" t="n"/>
      <c r="Y680" s="102" t="n"/>
      <c r="Z680" s="104" t="n"/>
      <c r="AB680" s="105">
        <f>IF($B680="","",(COUNTIF(C658:E675,$B680)+COUNTIF(C658:E675,$B680&amp;" ~*")&gt;0)+(COUNTIF(G658:I675,$B680)+COUNTIF(G658:I675,$B680&amp;" ~*")&gt;0)+(COUNTIF(K658:M675,$B680)+COUNTIF(K658:M675,$B680&amp;" ~*")&gt;0)+(COUNTIF(O658:Q675,$B680)+COUNTIF(O658:Q675,$B680&amp;" ~*")&gt;0)+(COUNTIF(S658:U675,$B680)+COUNTIF(S658:U675,$B680&amp;" ~*")&gt;0)+(COUNTIF(W658:W675,$B680)+COUNTIF(W658:W675,$B680&amp;" ~*")&gt;0)+(COUNTIF(Y658:Y675,$B680)+COUNTIF(Y658:Y675,$B680&amp;" ~*")&gt;0))</f>
        <v/>
      </c>
      <c r="AC680" s="38">
        <f>IF($B680="","",(IFERROR(INDEX(Setup!$G$33:$G$40,MATCH(C680,Setup!$B$33:$B$40,0)),0)=1)*(COUNTIF(C658:E675,$B680)+COUNTIF(C658:E675,$B680&amp;" ~*")&gt;0)+(IFERROR(INDEX(Setup!$G$33:$G$40,MATCH(G680,Setup!$B$33:$B$40,0)),0)=1)*(COUNTIF(G658:I675,$B680)+COUNTIF(G658:I675,$B680&amp;" ~*")&gt;0)+(IFERROR(INDEX(Setup!$G$33:$G$40,MATCH(K680,Setup!$B$33:$B$40,0)),0)=1)*(COUNTIF(K658:M675,$B680)+COUNTIF(K658:M675,$B680&amp;" ~*")&gt;0)+(IFERROR(INDEX(Setup!$G$33:$G$40,MATCH(O680,Setup!$B$33:$B$40,0)),0)=1)*(COUNTIF(O658:Q675,$B680)+COUNTIF(O658:Q675,$B680&amp;" ~*")&gt;0)+(IFERROR(INDEX(Setup!$G$33:$G$40,MATCH(S680,Setup!$B$33:$B$40,0)),0)=1)*(COUNTIF(S658:U675,$B680)+COUNTIF(S658:U675,$B680&amp;" ~*")&gt;0)+(IFERROR(INDEX(Setup!$G$33:$G$40,MATCH(W680,Setup!$B$33:$B$40,0)),0)=1)*(COUNTIF(W658:W675,$B680)+COUNTIF(W658:W675,$B680&amp;" ~*")&gt;0)+(IFERROR(INDEX(Setup!$G$33:$G$40,MATCH(Y680,Setup!$B$33:$B$40,0)),0)=1)*(COUNTIF(Y658:Y675,$B680)+COUNTIF(Y658:Y675,$B680&amp;" ~*")&gt;0))</f>
        <v/>
      </c>
    </row>
    <row r="681" ht="15" customHeight="1">
      <c r="A681" t="n">
        <v>14</v>
      </c>
      <c r="B681" s="35">
        <f>IF(Setup!$B$10="","",Setup!$B$10)</f>
        <v/>
      </c>
      <c r="C681" s="98" t="n"/>
      <c r="D681" s="99" t="n"/>
      <c r="E681" s="99" t="n"/>
      <c r="F681" s="100" t="n"/>
      <c r="G681" s="98" t="n"/>
      <c r="H681" s="99" t="n"/>
      <c r="I681" s="99" t="n"/>
      <c r="J681" s="100" t="n"/>
      <c r="K681" s="98" t="n"/>
      <c r="L681" s="99" t="n"/>
      <c r="M681" s="99" t="n"/>
      <c r="N681" s="100" t="n"/>
      <c r="O681" s="98" t="n"/>
      <c r="P681" s="99" t="n"/>
      <c r="Q681" s="99" t="n"/>
      <c r="R681" s="100" t="n"/>
      <c r="S681" s="98" t="n"/>
      <c r="T681" s="99" t="n"/>
      <c r="U681" s="99" t="n"/>
      <c r="V681" s="100" t="n"/>
      <c r="W681" s="98" t="n"/>
      <c r="X681" s="100" t="n"/>
      <c r="Y681" s="98" t="n"/>
      <c r="Z681" s="100" t="n"/>
      <c r="AB681" s="101">
        <f>IF($B681="","",(COUNTIF(C658:E675,$B681)+COUNTIF(C658:E675,$B681&amp;" ~*")&gt;0)+(COUNTIF(G658:I675,$B681)+COUNTIF(G658:I675,$B681&amp;" ~*")&gt;0)+(COUNTIF(K658:M675,$B681)+COUNTIF(K658:M675,$B681&amp;" ~*")&gt;0)+(COUNTIF(O658:Q675,$B681)+COUNTIF(O658:Q675,$B681&amp;" ~*")&gt;0)+(COUNTIF(S658:U675,$B681)+COUNTIF(S658:U675,$B681&amp;" ~*")&gt;0)+(COUNTIF(W658:W675,$B681)+COUNTIF(W658:W675,$B681&amp;" ~*")&gt;0)+(COUNTIF(Y658:Y675,$B681)+COUNTIF(Y658:Y675,$B681&amp;" ~*")&gt;0))</f>
        <v/>
      </c>
      <c r="AC681" s="36">
        <f>IF($B681="","",(IFERROR(INDEX(Setup!$G$33:$G$40,MATCH(C681,Setup!$B$33:$B$40,0)),0)=1)*(COUNTIF(C658:E675,$B681)+COUNTIF(C658:E675,$B681&amp;" ~*")&gt;0)+(IFERROR(INDEX(Setup!$G$33:$G$40,MATCH(G681,Setup!$B$33:$B$40,0)),0)=1)*(COUNTIF(G658:I675,$B681)+COUNTIF(G658:I675,$B681&amp;" ~*")&gt;0)+(IFERROR(INDEX(Setup!$G$33:$G$40,MATCH(K681,Setup!$B$33:$B$40,0)),0)=1)*(COUNTIF(K658:M675,$B681)+COUNTIF(K658:M675,$B681&amp;" ~*")&gt;0)+(IFERROR(INDEX(Setup!$G$33:$G$40,MATCH(O681,Setup!$B$33:$B$40,0)),0)=1)*(COUNTIF(O658:Q675,$B681)+COUNTIF(O658:Q675,$B681&amp;" ~*")&gt;0)+(IFERROR(INDEX(Setup!$G$33:$G$40,MATCH(S681,Setup!$B$33:$B$40,0)),0)=1)*(COUNTIF(S658:U675,$B681)+COUNTIF(S658:U675,$B681&amp;" ~*")&gt;0)+(IFERROR(INDEX(Setup!$G$33:$G$40,MATCH(W681,Setup!$B$33:$B$40,0)),0)=1)*(COUNTIF(W658:W675,$B681)+COUNTIF(W658:W675,$B681&amp;" ~*")&gt;0)+(IFERROR(INDEX(Setup!$G$33:$G$40,MATCH(Y681,Setup!$B$33:$B$40,0)),0)=1)*(COUNTIF(Y658:Y675,$B681)+COUNTIF(Y658:Y675,$B681&amp;" ~*")&gt;0))</f>
        <v/>
      </c>
    </row>
    <row r="682" ht="15" customHeight="1">
      <c r="A682" t="n">
        <v>14</v>
      </c>
      <c r="B682" s="37">
        <f>IF(Setup!$B$11="","",Setup!$B$11)</f>
        <v/>
      </c>
      <c r="C682" s="102" t="n"/>
      <c r="D682" s="103" t="n"/>
      <c r="E682" s="103" t="n"/>
      <c r="F682" s="104" t="n"/>
      <c r="G682" s="102" t="n"/>
      <c r="H682" s="103" t="n"/>
      <c r="I682" s="103" t="n"/>
      <c r="J682" s="104" t="n"/>
      <c r="K682" s="102" t="n"/>
      <c r="L682" s="103" t="n"/>
      <c r="M682" s="103" t="n"/>
      <c r="N682" s="104" t="n"/>
      <c r="O682" s="102" t="n"/>
      <c r="P682" s="103" t="n"/>
      <c r="Q682" s="103" t="n"/>
      <c r="R682" s="104" t="n"/>
      <c r="S682" s="102" t="n"/>
      <c r="T682" s="103" t="n"/>
      <c r="U682" s="103" t="n"/>
      <c r="V682" s="104" t="n"/>
      <c r="W682" s="102" t="n"/>
      <c r="X682" s="104" t="n"/>
      <c r="Y682" s="102" t="n"/>
      <c r="Z682" s="104" t="n"/>
      <c r="AB682" s="105">
        <f>IF($B682="","",(COUNTIF(C658:E675,$B682)+COUNTIF(C658:E675,$B682&amp;" ~*")&gt;0)+(COUNTIF(G658:I675,$B682)+COUNTIF(G658:I675,$B682&amp;" ~*")&gt;0)+(COUNTIF(K658:M675,$B682)+COUNTIF(K658:M675,$B682&amp;" ~*")&gt;0)+(COUNTIF(O658:Q675,$B682)+COUNTIF(O658:Q675,$B682&amp;" ~*")&gt;0)+(COUNTIF(S658:U675,$B682)+COUNTIF(S658:U675,$B682&amp;" ~*")&gt;0)+(COUNTIF(W658:W675,$B682)+COUNTIF(W658:W675,$B682&amp;" ~*")&gt;0)+(COUNTIF(Y658:Y675,$B682)+COUNTIF(Y658:Y675,$B682&amp;" ~*")&gt;0))</f>
        <v/>
      </c>
      <c r="AC682" s="38">
        <f>IF($B682="","",(IFERROR(INDEX(Setup!$G$33:$G$40,MATCH(C682,Setup!$B$33:$B$40,0)),0)=1)*(COUNTIF(C658:E675,$B682)+COUNTIF(C658:E675,$B682&amp;" ~*")&gt;0)+(IFERROR(INDEX(Setup!$G$33:$G$40,MATCH(G682,Setup!$B$33:$B$40,0)),0)=1)*(COUNTIF(G658:I675,$B682)+COUNTIF(G658:I675,$B682&amp;" ~*")&gt;0)+(IFERROR(INDEX(Setup!$G$33:$G$40,MATCH(K682,Setup!$B$33:$B$40,0)),0)=1)*(COUNTIF(K658:M675,$B682)+COUNTIF(K658:M675,$B682&amp;" ~*")&gt;0)+(IFERROR(INDEX(Setup!$G$33:$G$40,MATCH(O682,Setup!$B$33:$B$40,0)),0)=1)*(COUNTIF(O658:Q675,$B682)+COUNTIF(O658:Q675,$B682&amp;" ~*")&gt;0)+(IFERROR(INDEX(Setup!$G$33:$G$40,MATCH(S682,Setup!$B$33:$B$40,0)),0)=1)*(COUNTIF(S658:U675,$B682)+COUNTIF(S658:U675,$B682&amp;" ~*")&gt;0)+(IFERROR(INDEX(Setup!$G$33:$G$40,MATCH(W682,Setup!$B$33:$B$40,0)),0)=1)*(COUNTIF(W658:W675,$B682)+COUNTIF(W658:W675,$B682&amp;" ~*")&gt;0)+(IFERROR(INDEX(Setup!$G$33:$G$40,MATCH(Y682,Setup!$B$33:$B$40,0)),0)=1)*(COUNTIF(Y658:Y675,$B682)+COUNTIF(Y658:Y675,$B682&amp;" ~*")&gt;0))</f>
        <v/>
      </c>
    </row>
    <row r="683" ht="15" customHeight="1">
      <c r="A683" t="n">
        <v>14</v>
      </c>
      <c r="B683" s="35">
        <f>IF(Setup!$B$12="","",Setup!$B$12)</f>
        <v/>
      </c>
      <c r="C683" s="98" t="inlineStr">
        <is>
          <t>AL</t>
        </is>
      </c>
      <c r="D683" s="99" t="n"/>
      <c r="E683" s="99" t="n"/>
      <c r="F683" s="100" t="n"/>
      <c r="G683" s="98" t="n"/>
      <c r="H683" s="99" t="n"/>
      <c r="I683" s="99" t="n"/>
      <c r="J683" s="100" t="n"/>
      <c r="K683" s="98" t="n"/>
      <c r="L683" s="99" t="n"/>
      <c r="M683" s="99" t="n"/>
      <c r="N683" s="100" t="n"/>
      <c r="O683" s="98" t="inlineStr">
        <is>
          <t>AL</t>
        </is>
      </c>
      <c r="P683" s="99" t="n"/>
      <c r="Q683" s="99" t="n"/>
      <c r="R683" s="100" t="n"/>
      <c r="S683" s="98" t="n"/>
      <c r="T683" s="99" t="n"/>
      <c r="U683" s="99" t="n"/>
      <c r="V683" s="100" t="n"/>
      <c r="W683" s="98" t="n"/>
      <c r="X683" s="100" t="n"/>
      <c r="Y683" s="98" t="n"/>
      <c r="Z683" s="100" t="n"/>
      <c r="AB683" s="101">
        <f>IF($B683="","",(COUNTIF(C658:E675,$B683)+COUNTIF(C658:E675,$B683&amp;" ~*")&gt;0)+(COUNTIF(G658:I675,$B683)+COUNTIF(G658:I675,$B683&amp;" ~*")&gt;0)+(COUNTIF(K658:M675,$B683)+COUNTIF(K658:M675,$B683&amp;" ~*")&gt;0)+(COUNTIF(O658:Q675,$B683)+COUNTIF(O658:Q675,$B683&amp;" ~*")&gt;0)+(COUNTIF(S658:U675,$B683)+COUNTIF(S658:U675,$B683&amp;" ~*")&gt;0)+(COUNTIF(W658:W675,$B683)+COUNTIF(W658:W675,$B683&amp;" ~*")&gt;0)+(COUNTIF(Y658:Y675,$B683)+COUNTIF(Y658:Y675,$B683&amp;" ~*")&gt;0))</f>
        <v/>
      </c>
      <c r="AC683" s="36">
        <f>IF($B683="","",(IFERROR(INDEX(Setup!$G$33:$G$40,MATCH(C683,Setup!$B$33:$B$40,0)),0)=1)*(COUNTIF(C658:E675,$B683)+COUNTIF(C658:E675,$B683&amp;" ~*")&gt;0)+(IFERROR(INDEX(Setup!$G$33:$G$40,MATCH(G683,Setup!$B$33:$B$40,0)),0)=1)*(COUNTIF(G658:I675,$B683)+COUNTIF(G658:I675,$B683&amp;" ~*")&gt;0)+(IFERROR(INDEX(Setup!$G$33:$G$40,MATCH(K683,Setup!$B$33:$B$40,0)),0)=1)*(COUNTIF(K658:M675,$B683)+COUNTIF(K658:M675,$B683&amp;" ~*")&gt;0)+(IFERROR(INDEX(Setup!$G$33:$G$40,MATCH(O683,Setup!$B$33:$B$40,0)),0)=1)*(COUNTIF(O658:Q675,$B683)+COUNTIF(O658:Q675,$B683&amp;" ~*")&gt;0)+(IFERROR(INDEX(Setup!$G$33:$G$40,MATCH(S683,Setup!$B$33:$B$40,0)),0)=1)*(COUNTIF(S658:U675,$B683)+COUNTIF(S658:U675,$B683&amp;" ~*")&gt;0)+(IFERROR(INDEX(Setup!$G$33:$G$40,MATCH(W683,Setup!$B$33:$B$40,0)),0)=1)*(COUNTIF(W658:W675,$B683)+COUNTIF(W658:W675,$B683&amp;" ~*")&gt;0)+(IFERROR(INDEX(Setup!$G$33:$G$40,MATCH(Y683,Setup!$B$33:$B$40,0)),0)=1)*(COUNTIF(Y658:Y675,$B683)+COUNTIF(Y658:Y675,$B683&amp;" ~*")&gt;0))</f>
        <v/>
      </c>
    </row>
    <row r="684" ht="15" customHeight="1">
      <c r="A684" t="n">
        <v>14</v>
      </c>
      <c r="B684" s="37">
        <f>IF(Setup!$B$13="","",Setup!$B$13)</f>
        <v/>
      </c>
      <c r="C684" s="102" t="n"/>
      <c r="D684" s="103" t="n"/>
      <c r="E684" s="103" t="n"/>
      <c r="F684" s="104" t="n"/>
      <c r="G684" s="102" t="n"/>
      <c r="H684" s="103" t="n"/>
      <c r="I684" s="103" t="n"/>
      <c r="J684" s="104" t="n"/>
      <c r="K684" s="102" t="n"/>
      <c r="L684" s="103" t="n"/>
      <c r="M684" s="103" t="n"/>
      <c r="N684" s="104" t="n"/>
      <c r="O684" s="102" t="n"/>
      <c r="P684" s="103" t="n"/>
      <c r="Q684" s="103" t="n"/>
      <c r="R684" s="104" t="n"/>
      <c r="S684" s="102" t="n"/>
      <c r="T684" s="103" t="n"/>
      <c r="U684" s="103" t="n"/>
      <c r="V684" s="104" t="n"/>
      <c r="W684" s="102" t="n"/>
      <c r="X684" s="104" t="n"/>
      <c r="Y684" s="102" t="n"/>
      <c r="Z684" s="104" t="n"/>
      <c r="AB684" s="105">
        <f>IF($B684="","",(COUNTIF(C658:E675,$B684)+COUNTIF(C658:E675,$B684&amp;" ~*")&gt;0)+(COUNTIF(G658:I675,$B684)+COUNTIF(G658:I675,$B684&amp;" ~*")&gt;0)+(COUNTIF(K658:M675,$B684)+COUNTIF(K658:M675,$B684&amp;" ~*")&gt;0)+(COUNTIF(O658:Q675,$B684)+COUNTIF(O658:Q675,$B684&amp;" ~*")&gt;0)+(COUNTIF(S658:U675,$B684)+COUNTIF(S658:U675,$B684&amp;" ~*")&gt;0)+(COUNTIF(W658:W675,$B684)+COUNTIF(W658:W675,$B684&amp;" ~*")&gt;0)+(COUNTIF(Y658:Y675,$B684)+COUNTIF(Y658:Y675,$B684&amp;" ~*")&gt;0))</f>
        <v/>
      </c>
      <c r="AC684" s="38">
        <f>IF($B684="","",(IFERROR(INDEX(Setup!$G$33:$G$40,MATCH(C684,Setup!$B$33:$B$40,0)),0)=1)*(COUNTIF(C658:E675,$B684)+COUNTIF(C658:E675,$B684&amp;" ~*")&gt;0)+(IFERROR(INDEX(Setup!$G$33:$G$40,MATCH(G684,Setup!$B$33:$B$40,0)),0)=1)*(COUNTIF(G658:I675,$B684)+COUNTIF(G658:I675,$B684&amp;" ~*")&gt;0)+(IFERROR(INDEX(Setup!$G$33:$G$40,MATCH(K684,Setup!$B$33:$B$40,0)),0)=1)*(COUNTIF(K658:M675,$B684)+COUNTIF(K658:M675,$B684&amp;" ~*")&gt;0)+(IFERROR(INDEX(Setup!$G$33:$G$40,MATCH(O684,Setup!$B$33:$B$40,0)),0)=1)*(COUNTIF(O658:Q675,$B684)+COUNTIF(O658:Q675,$B684&amp;" ~*")&gt;0)+(IFERROR(INDEX(Setup!$G$33:$G$40,MATCH(S684,Setup!$B$33:$B$40,0)),0)=1)*(COUNTIF(S658:U675,$B684)+COUNTIF(S658:U675,$B684&amp;" ~*")&gt;0)+(IFERROR(INDEX(Setup!$G$33:$G$40,MATCH(W684,Setup!$B$33:$B$40,0)),0)=1)*(COUNTIF(W658:W675,$B684)+COUNTIF(W658:W675,$B684&amp;" ~*")&gt;0)+(IFERROR(INDEX(Setup!$G$33:$G$40,MATCH(Y684,Setup!$B$33:$B$40,0)),0)=1)*(COUNTIF(Y658:Y675,$B684)+COUNTIF(Y658:Y675,$B684&amp;" ~*")&gt;0))</f>
        <v/>
      </c>
    </row>
    <row r="685" ht="15" customHeight="1">
      <c r="A685" t="n">
        <v>14</v>
      </c>
      <c r="B685" s="35">
        <f>IF(Setup!$B$14="","",Setup!$B$14)</f>
        <v/>
      </c>
      <c r="C685" s="98" t="n"/>
      <c r="D685" s="99" t="n"/>
      <c r="E685" s="99" t="n"/>
      <c r="F685" s="100" t="n"/>
      <c r="G685" s="98" t="n"/>
      <c r="H685" s="99" t="n"/>
      <c r="I685" s="99" t="n"/>
      <c r="J685" s="100" t="n"/>
      <c r="K685" s="98" t="n"/>
      <c r="L685" s="99" t="n"/>
      <c r="M685" s="99" t="n"/>
      <c r="N685" s="100" t="n"/>
      <c r="O685" s="98" t="n"/>
      <c r="P685" s="99" t="n"/>
      <c r="Q685" s="99" t="n"/>
      <c r="R685" s="100" t="n"/>
      <c r="S685" s="98" t="n"/>
      <c r="T685" s="99" t="n"/>
      <c r="U685" s="99" t="n"/>
      <c r="V685" s="100" t="n"/>
      <c r="W685" s="98" t="n"/>
      <c r="X685" s="100" t="n"/>
      <c r="Y685" s="98" t="n"/>
      <c r="Z685" s="100" t="n"/>
      <c r="AB685" s="101">
        <f>IF($B685="","",(COUNTIF(C658:E675,$B685)+COUNTIF(C658:E675,$B685&amp;" ~*")&gt;0)+(COUNTIF(G658:I675,$B685)+COUNTIF(G658:I675,$B685&amp;" ~*")&gt;0)+(COUNTIF(K658:M675,$B685)+COUNTIF(K658:M675,$B685&amp;" ~*")&gt;0)+(COUNTIF(O658:Q675,$B685)+COUNTIF(O658:Q675,$B685&amp;" ~*")&gt;0)+(COUNTIF(S658:U675,$B685)+COUNTIF(S658:U675,$B685&amp;" ~*")&gt;0)+(COUNTIF(W658:W675,$B685)+COUNTIF(W658:W675,$B685&amp;" ~*")&gt;0)+(COUNTIF(Y658:Y675,$B685)+COUNTIF(Y658:Y675,$B685&amp;" ~*")&gt;0))</f>
        <v/>
      </c>
      <c r="AC685" s="36">
        <f>IF($B685="","",(IFERROR(INDEX(Setup!$G$33:$G$40,MATCH(C685,Setup!$B$33:$B$40,0)),0)=1)*(COUNTIF(C658:E675,$B685)+COUNTIF(C658:E675,$B685&amp;" ~*")&gt;0)+(IFERROR(INDEX(Setup!$G$33:$G$40,MATCH(G685,Setup!$B$33:$B$40,0)),0)=1)*(COUNTIF(G658:I675,$B685)+COUNTIF(G658:I675,$B685&amp;" ~*")&gt;0)+(IFERROR(INDEX(Setup!$G$33:$G$40,MATCH(K685,Setup!$B$33:$B$40,0)),0)=1)*(COUNTIF(K658:M675,$B685)+COUNTIF(K658:M675,$B685&amp;" ~*")&gt;0)+(IFERROR(INDEX(Setup!$G$33:$G$40,MATCH(O685,Setup!$B$33:$B$40,0)),0)=1)*(COUNTIF(O658:Q675,$B685)+COUNTIF(O658:Q675,$B685&amp;" ~*")&gt;0)+(IFERROR(INDEX(Setup!$G$33:$G$40,MATCH(S685,Setup!$B$33:$B$40,0)),0)=1)*(COUNTIF(S658:U675,$B685)+COUNTIF(S658:U675,$B685&amp;" ~*")&gt;0)+(IFERROR(INDEX(Setup!$G$33:$G$40,MATCH(W685,Setup!$B$33:$B$40,0)),0)=1)*(COUNTIF(W658:W675,$B685)+COUNTIF(W658:W675,$B685&amp;" ~*")&gt;0)+(IFERROR(INDEX(Setup!$G$33:$G$40,MATCH(Y685,Setup!$B$33:$B$40,0)),0)=1)*(COUNTIF(Y658:Y675,$B685)+COUNTIF(Y658:Y675,$B685&amp;" ~*")&gt;0))</f>
        <v/>
      </c>
    </row>
    <row r="686" ht="15" customHeight="1">
      <c r="A686" t="n">
        <v>14</v>
      </c>
      <c r="B686" s="37">
        <f>IF(Setup!$B$15="","",Setup!$B$15)</f>
        <v/>
      </c>
      <c r="C686" s="102" t="n"/>
      <c r="D686" s="103" t="n"/>
      <c r="E686" s="103" t="n"/>
      <c r="F686" s="104" t="n"/>
      <c r="G686" s="102" t="n"/>
      <c r="H686" s="103" t="n"/>
      <c r="I686" s="103" t="n"/>
      <c r="J686" s="104" t="n"/>
      <c r="K686" s="102" t="n"/>
      <c r="L686" s="103" t="n"/>
      <c r="M686" s="103" t="n"/>
      <c r="N686" s="104" t="n"/>
      <c r="O686" s="102" t="n"/>
      <c r="P686" s="103" t="n"/>
      <c r="Q686" s="103" t="n"/>
      <c r="R686" s="104" t="n"/>
      <c r="S686" s="102" t="n"/>
      <c r="T686" s="103" t="n"/>
      <c r="U686" s="103" t="n"/>
      <c r="V686" s="104" t="n"/>
      <c r="W686" s="102" t="n"/>
      <c r="X686" s="104" t="n"/>
      <c r="Y686" s="102" t="n"/>
      <c r="Z686" s="104" t="n"/>
      <c r="AB686" s="105">
        <f>IF($B686="","",(COUNTIF(C658:E675,$B686)+COUNTIF(C658:E675,$B686&amp;" ~*")&gt;0)+(COUNTIF(G658:I675,$B686)+COUNTIF(G658:I675,$B686&amp;" ~*")&gt;0)+(COUNTIF(K658:M675,$B686)+COUNTIF(K658:M675,$B686&amp;" ~*")&gt;0)+(COUNTIF(O658:Q675,$B686)+COUNTIF(O658:Q675,$B686&amp;" ~*")&gt;0)+(COUNTIF(S658:U675,$B686)+COUNTIF(S658:U675,$B686&amp;" ~*")&gt;0)+(COUNTIF(W658:W675,$B686)+COUNTIF(W658:W675,$B686&amp;" ~*")&gt;0)+(COUNTIF(Y658:Y675,$B686)+COUNTIF(Y658:Y675,$B686&amp;" ~*")&gt;0))</f>
        <v/>
      </c>
      <c r="AC686" s="38">
        <f>IF($B686="","",(IFERROR(INDEX(Setup!$G$33:$G$40,MATCH(C686,Setup!$B$33:$B$40,0)),0)=1)*(COUNTIF(C658:E675,$B686)+COUNTIF(C658:E675,$B686&amp;" ~*")&gt;0)+(IFERROR(INDEX(Setup!$G$33:$G$40,MATCH(G686,Setup!$B$33:$B$40,0)),0)=1)*(COUNTIF(G658:I675,$B686)+COUNTIF(G658:I675,$B686&amp;" ~*")&gt;0)+(IFERROR(INDEX(Setup!$G$33:$G$40,MATCH(K686,Setup!$B$33:$B$40,0)),0)=1)*(COUNTIF(K658:M675,$B686)+COUNTIF(K658:M675,$B686&amp;" ~*")&gt;0)+(IFERROR(INDEX(Setup!$G$33:$G$40,MATCH(O686,Setup!$B$33:$B$40,0)),0)=1)*(COUNTIF(O658:Q675,$B686)+COUNTIF(O658:Q675,$B686&amp;" ~*")&gt;0)+(IFERROR(INDEX(Setup!$G$33:$G$40,MATCH(S686,Setup!$B$33:$B$40,0)),0)=1)*(COUNTIF(S658:U675,$B686)+COUNTIF(S658:U675,$B686&amp;" ~*")&gt;0)+(IFERROR(INDEX(Setup!$G$33:$G$40,MATCH(W686,Setup!$B$33:$B$40,0)),0)=1)*(COUNTIF(W658:W675,$B686)+COUNTIF(W658:W675,$B686&amp;" ~*")&gt;0)+(IFERROR(INDEX(Setup!$G$33:$G$40,MATCH(Y686,Setup!$B$33:$B$40,0)),0)=1)*(COUNTIF(Y658:Y675,$B686)+COUNTIF(Y658:Y675,$B686&amp;" ~*")&gt;0))</f>
        <v/>
      </c>
    </row>
    <row r="687" ht="15" customHeight="1">
      <c r="A687" t="n">
        <v>14</v>
      </c>
      <c r="B687" s="35">
        <f>IF(Setup!$B$16="","",Setup!$B$16)</f>
        <v/>
      </c>
      <c r="C687" s="98" t="n"/>
      <c r="D687" s="99" t="n"/>
      <c r="E687" s="99" t="n"/>
      <c r="F687" s="100" t="n"/>
      <c r="G687" s="98" t="n"/>
      <c r="H687" s="99" t="n"/>
      <c r="I687" s="99" t="n"/>
      <c r="J687" s="100" t="n"/>
      <c r="K687" s="98" t="n"/>
      <c r="L687" s="99" t="n"/>
      <c r="M687" s="99" t="n"/>
      <c r="N687" s="100" t="n"/>
      <c r="O687" s="98" t="n"/>
      <c r="P687" s="99" t="n"/>
      <c r="Q687" s="99" t="n"/>
      <c r="R687" s="100" t="n"/>
      <c r="S687" s="98" t="n"/>
      <c r="T687" s="99" t="n"/>
      <c r="U687" s="99" t="n"/>
      <c r="V687" s="100" t="n"/>
      <c r="W687" s="98" t="n"/>
      <c r="X687" s="100" t="n"/>
      <c r="Y687" s="98" t="n"/>
      <c r="Z687" s="100" t="n"/>
      <c r="AB687" s="101">
        <f>IF($B687="","",(COUNTIF(C658:E675,$B687)+COUNTIF(C658:E675,$B687&amp;" ~*")&gt;0)+(COUNTIF(G658:I675,$B687)+COUNTIF(G658:I675,$B687&amp;" ~*")&gt;0)+(COUNTIF(K658:M675,$B687)+COUNTIF(K658:M675,$B687&amp;" ~*")&gt;0)+(COUNTIF(O658:Q675,$B687)+COUNTIF(O658:Q675,$B687&amp;" ~*")&gt;0)+(COUNTIF(S658:U675,$B687)+COUNTIF(S658:U675,$B687&amp;" ~*")&gt;0)+(COUNTIF(W658:W675,$B687)+COUNTIF(W658:W675,$B687&amp;" ~*")&gt;0)+(COUNTIF(Y658:Y675,$B687)+COUNTIF(Y658:Y675,$B687&amp;" ~*")&gt;0))</f>
        <v/>
      </c>
      <c r="AC687" s="36">
        <f>IF($B687="","",(IFERROR(INDEX(Setup!$G$33:$G$40,MATCH(C687,Setup!$B$33:$B$40,0)),0)=1)*(COUNTIF(C658:E675,$B687)+COUNTIF(C658:E675,$B687&amp;" ~*")&gt;0)+(IFERROR(INDEX(Setup!$G$33:$G$40,MATCH(G687,Setup!$B$33:$B$40,0)),0)=1)*(COUNTIF(G658:I675,$B687)+COUNTIF(G658:I675,$B687&amp;" ~*")&gt;0)+(IFERROR(INDEX(Setup!$G$33:$G$40,MATCH(K687,Setup!$B$33:$B$40,0)),0)=1)*(COUNTIF(K658:M675,$B687)+COUNTIF(K658:M675,$B687&amp;" ~*")&gt;0)+(IFERROR(INDEX(Setup!$G$33:$G$40,MATCH(O687,Setup!$B$33:$B$40,0)),0)=1)*(COUNTIF(O658:Q675,$B687)+COUNTIF(O658:Q675,$B687&amp;" ~*")&gt;0)+(IFERROR(INDEX(Setup!$G$33:$G$40,MATCH(S687,Setup!$B$33:$B$40,0)),0)=1)*(COUNTIF(S658:U675,$B687)+COUNTIF(S658:U675,$B687&amp;" ~*")&gt;0)+(IFERROR(INDEX(Setup!$G$33:$G$40,MATCH(W687,Setup!$B$33:$B$40,0)),0)=1)*(COUNTIF(W658:W675,$B687)+COUNTIF(W658:W675,$B687&amp;" ~*")&gt;0)+(IFERROR(INDEX(Setup!$G$33:$G$40,MATCH(Y687,Setup!$B$33:$B$40,0)),0)=1)*(COUNTIF(Y658:Y675,$B687)+COUNTIF(Y658:Y675,$B687&amp;" ~*")&gt;0))</f>
        <v/>
      </c>
    </row>
    <row r="688" ht="15" customHeight="1">
      <c r="A688" t="n">
        <v>14</v>
      </c>
      <c r="B688" s="37">
        <f>IF(Setup!$B$17="","",Setup!$B$17)</f>
        <v/>
      </c>
      <c r="C688" s="102" t="n"/>
      <c r="D688" s="103" t="n"/>
      <c r="E688" s="103" t="n"/>
      <c r="F688" s="104" t="n"/>
      <c r="G688" s="102" t="n"/>
      <c r="H688" s="103" t="n"/>
      <c r="I688" s="103" t="n"/>
      <c r="J688" s="104" t="n"/>
      <c r="K688" s="102" t="n"/>
      <c r="L688" s="103" t="n"/>
      <c r="M688" s="103" t="n"/>
      <c r="N688" s="104" t="n"/>
      <c r="O688" s="102" t="n"/>
      <c r="P688" s="103" t="n"/>
      <c r="Q688" s="103" t="n"/>
      <c r="R688" s="104" t="n"/>
      <c r="S688" s="102" t="n"/>
      <c r="T688" s="103" t="n"/>
      <c r="U688" s="103" t="n"/>
      <c r="V688" s="104" t="n"/>
      <c r="W688" s="102" t="n"/>
      <c r="X688" s="104" t="n"/>
      <c r="Y688" s="102" t="n"/>
      <c r="Z688" s="104" t="n"/>
      <c r="AB688" s="105">
        <f>IF($B688="","",(COUNTIF(C658:E675,$B688)+COUNTIF(C658:E675,$B688&amp;" ~*")&gt;0)+(COUNTIF(G658:I675,$B688)+COUNTIF(G658:I675,$B688&amp;" ~*")&gt;0)+(COUNTIF(K658:M675,$B688)+COUNTIF(K658:M675,$B688&amp;" ~*")&gt;0)+(COUNTIF(O658:Q675,$B688)+COUNTIF(O658:Q675,$B688&amp;" ~*")&gt;0)+(COUNTIF(S658:U675,$B688)+COUNTIF(S658:U675,$B688&amp;" ~*")&gt;0)+(COUNTIF(W658:W675,$B688)+COUNTIF(W658:W675,$B688&amp;" ~*")&gt;0)+(COUNTIF(Y658:Y675,$B688)+COUNTIF(Y658:Y675,$B688&amp;" ~*")&gt;0))</f>
        <v/>
      </c>
      <c r="AC688" s="38">
        <f>IF($B688="","",(IFERROR(INDEX(Setup!$G$33:$G$40,MATCH(C688,Setup!$B$33:$B$40,0)),0)=1)*(COUNTIF(C658:E675,$B688)+COUNTIF(C658:E675,$B688&amp;" ~*")&gt;0)+(IFERROR(INDEX(Setup!$G$33:$G$40,MATCH(G688,Setup!$B$33:$B$40,0)),0)=1)*(COUNTIF(G658:I675,$B688)+COUNTIF(G658:I675,$B688&amp;" ~*")&gt;0)+(IFERROR(INDEX(Setup!$G$33:$G$40,MATCH(K688,Setup!$B$33:$B$40,0)),0)=1)*(COUNTIF(K658:M675,$B688)+COUNTIF(K658:M675,$B688&amp;" ~*")&gt;0)+(IFERROR(INDEX(Setup!$G$33:$G$40,MATCH(O688,Setup!$B$33:$B$40,0)),0)=1)*(COUNTIF(O658:Q675,$B688)+COUNTIF(O658:Q675,$B688&amp;" ~*")&gt;0)+(IFERROR(INDEX(Setup!$G$33:$G$40,MATCH(S688,Setup!$B$33:$B$40,0)),0)=1)*(COUNTIF(S658:U675,$B688)+COUNTIF(S658:U675,$B688&amp;" ~*")&gt;0)+(IFERROR(INDEX(Setup!$G$33:$G$40,MATCH(W688,Setup!$B$33:$B$40,0)),0)=1)*(COUNTIF(W658:W675,$B688)+COUNTIF(W658:W675,$B688&amp;" ~*")&gt;0)+(IFERROR(INDEX(Setup!$G$33:$G$40,MATCH(Y688,Setup!$B$33:$B$40,0)),0)=1)*(COUNTIF(Y658:Y675,$B688)+COUNTIF(Y658:Y675,$B688&amp;" ~*")&gt;0))</f>
        <v/>
      </c>
    </row>
    <row r="689" ht="15" customHeight="1">
      <c r="A689" t="n">
        <v>14</v>
      </c>
      <c r="B689" s="35">
        <f>IF(Setup!$B$18="","",Setup!$B$18)</f>
        <v/>
      </c>
      <c r="C689" s="98" t="n"/>
      <c r="D689" s="99" t="n"/>
      <c r="E689" s="99" t="n"/>
      <c r="F689" s="100" t="n"/>
      <c r="G689" s="98" t="n"/>
      <c r="H689" s="99" t="n"/>
      <c r="I689" s="99" t="n"/>
      <c r="J689" s="100" t="n"/>
      <c r="K689" s="98" t="n"/>
      <c r="L689" s="99" t="n"/>
      <c r="M689" s="99" t="n"/>
      <c r="N689" s="100" t="n"/>
      <c r="O689" s="98" t="n"/>
      <c r="P689" s="99" t="n"/>
      <c r="Q689" s="99" t="n"/>
      <c r="R689" s="100" t="n"/>
      <c r="S689" s="98" t="n"/>
      <c r="T689" s="99" t="n"/>
      <c r="U689" s="99" t="n"/>
      <c r="V689" s="100" t="n"/>
      <c r="W689" s="98" t="n"/>
      <c r="X689" s="100" t="n"/>
      <c r="Y689" s="98" t="n"/>
      <c r="Z689" s="100" t="n"/>
      <c r="AB689" s="101">
        <f>IF($B689="","",(COUNTIF(C658:E675,$B689)+COUNTIF(C658:E675,$B689&amp;" ~*")&gt;0)+(COUNTIF(G658:I675,$B689)+COUNTIF(G658:I675,$B689&amp;" ~*")&gt;0)+(COUNTIF(K658:M675,$B689)+COUNTIF(K658:M675,$B689&amp;" ~*")&gt;0)+(COUNTIF(O658:Q675,$B689)+COUNTIF(O658:Q675,$B689&amp;" ~*")&gt;0)+(COUNTIF(S658:U675,$B689)+COUNTIF(S658:U675,$B689&amp;" ~*")&gt;0)+(COUNTIF(W658:W675,$B689)+COUNTIF(W658:W675,$B689&amp;" ~*")&gt;0)+(COUNTIF(Y658:Y675,$B689)+COUNTIF(Y658:Y675,$B689&amp;" ~*")&gt;0))</f>
        <v/>
      </c>
      <c r="AC689" s="36">
        <f>IF($B689="","",(IFERROR(INDEX(Setup!$G$33:$G$40,MATCH(C689,Setup!$B$33:$B$40,0)),0)=1)*(COUNTIF(C658:E675,$B689)+COUNTIF(C658:E675,$B689&amp;" ~*")&gt;0)+(IFERROR(INDEX(Setup!$G$33:$G$40,MATCH(G689,Setup!$B$33:$B$40,0)),0)=1)*(COUNTIF(G658:I675,$B689)+COUNTIF(G658:I675,$B689&amp;" ~*")&gt;0)+(IFERROR(INDEX(Setup!$G$33:$G$40,MATCH(K689,Setup!$B$33:$B$40,0)),0)=1)*(COUNTIF(K658:M675,$B689)+COUNTIF(K658:M675,$B689&amp;" ~*")&gt;0)+(IFERROR(INDEX(Setup!$G$33:$G$40,MATCH(O689,Setup!$B$33:$B$40,0)),0)=1)*(COUNTIF(O658:Q675,$B689)+COUNTIF(O658:Q675,$B689&amp;" ~*")&gt;0)+(IFERROR(INDEX(Setup!$G$33:$G$40,MATCH(S689,Setup!$B$33:$B$40,0)),0)=1)*(COUNTIF(S658:U675,$B689)+COUNTIF(S658:U675,$B689&amp;" ~*")&gt;0)+(IFERROR(INDEX(Setup!$G$33:$G$40,MATCH(W689,Setup!$B$33:$B$40,0)),0)=1)*(COUNTIF(W658:W675,$B689)+COUNTIF(W658:W675,$B689&amp;" ~*")&gt;0)+(IFERROR(INDEX(Setup!$G$33:$G$40,MATCH(Y689,Setup!$B$33:$B$40,0)),0)=1)*(COUNTIF(Y658:Y675,$B689)+COUNTIF(Y658:Y675,$B689&amp;" ~*")&gt;0))</f>
        <v/>
      </c>
    </row>
    <row r="690" ht="15" customHeight="1">
      <c r="A690" t="n">
        <v>14</v>
      </c>
      <c r="B690" s="37">
        <f>IF(Setup!$B$19="","",Setup!$B$19)</f>
        <v/>
      </c>
      <c r="C690" s="102" t="n"/>
      <c r="D690" s="103" t="n"/>
      <c r="E690" s="103" t="n"/>
      <c r="F690" s="104" t="n"/>
      <c r="G690" s="102" t="n"/>
      <c r="H690" s="103" t="n"/>
      <c r="I690" s="103" t="n"/>
      <c r="J690" s="104" t="n"/>
      <c r="K690" s="102" t="n"/>
      <c r="L690" s="103" t="n"/>
      <c r="M690" s="103" t="n"/>
      <c r="N690" s="104" t="n"/>
      <c r="O690" s="102" t="n"/>
      <c r="P690" s="103" t="n"/>
      <c r="Q690" s="103" t="n"/>
      <c r="R690" s="104" t="n"/>
      <c r="S690" s="102" t="n"/>
      <c r="T690" s="103" t="n"/>
      <c r="U690" s="103" t="n"/>
      <c r="V690" s="104" t="n"/>
      <c r="W690" s="102" t="n"/>
      <c r="X690" s="104" t="n"/>
      <c r="Y690" s="102" t="n"/>
      <c r="Z690" s="104" t="n"/>
      <c r="AB690" s="105">
        <f>IF($B690="","",(COUNTIF(C658:E675,$B690)+COUNTIF(C658:E675,$B690&amp;" ~*")&gt;0)+(COUNTIF(G658:I675,$B690)+COUNTIF(G658:I675,$B690&amp;" ~*")&gt;0)+(COUNTIF(K658:M675,$B690)+COUNTIF(K658:M675,$B690&amp;" ~*")&gt;0)+(COUNTIF(O658:Q675,$B690)+COUNTIF(O658:Q675,$B690&amp;" ~*")&gt;0)+(COUNTIF(S658:U675,$B690)+COUNTIF(S658:U675,$B690&amp;" ~*")&gt;0)+(COUNTIF(W658:W675,$B690)+COUNTIF(W658:W675,$B690&amp;" ~*")&gt;0)+(COUNTIF(Y658:Y675,$B690)+COUNTIF(Y658:Y675,$B690&amp;" ~*")&gt;0))</f>
        <v/>
      </c>
      <c r="AC690" s="38">
        <f>IF($B690="","",(IFERROR(INDEX(Setup!$G$33:$G$40,MATCH(C690,Setup!$B$33:$B$40,0)),0)=1)*(COUNTIF(C658:E675,$B690)+COUNTIF(C658:E675,$B690&amp;" ~*")&gt;0)+(IFERROR(INDEX(Setup!$G$33:$G$40,MATCH(G690,Setup!$B$33:$B$40,0)),0)=1)*(COUNTIF(G658:I675,$B690)+COUNTIF(G658:I675,$B690&amp;" ~*")&gt;0)+(IFERROR(INDEX(Setup!$G$33:$G$40,MATCH(K690,Setup!$B$33:$B$40,0)),0)=1)*(COUNTIF(K658:M675,$B690)+COUNTIF(K658:M675,$B690&amp;" ~*")&gt;0)+(IFERROR(INDEX(Setup!$G$33:$G$40,MATCH(O690,Setup!$B$33:$B$40,0)),0)=1)*(COUNTIF(O658:Q675,$B690)+COUNTIF(O658:Q675,$B690&amp;" ~*")&gt;0)+(IFERROR(INDEX(Setup!$G$33:$G$40,MATCH(S690,Setup!$B$33:$B$40,0)),0)=1)*(COUNTIF(S658:U675,$B690)+COUNTIF(S658:U675,$B690&amp;" ~*")&gt;0)+(IFERROR(INDEX(Setup!$G$33:$G$40,MATCH(W690,Setup!$B$33:$B$40,0)),0)=1)*(COUNTIF(W658:W675,$B690)+COUNTIF(W658:W675,$B690&amp;" ~*")&gt;0)+(IFERROR(INDEX(Setup!$G$33:$G$40,MATCH(Y690,Setup!$B$33:$B$40,0)),0)=1)*(COUNTIF(Y658:Y675,$B690)+COUNTIF(Y658:Y675,$B690&amp;" ~*")&gt;0))</f>
        <v/>
      </c>
    </row>
    <row r="691" ht="15" customHeight="1">
      <c r="A691" t="n">
        <v>14</v>
      </c>
      <c r="B691" s="35">
        <f>IF(Setup!$B$20="","",Setup!$B$20)</f>
        <v/>
      </c>
      <c r="C691" s="98" t="n"/>
      <c r="D691" s="99" t="n"/>
      <c r="E691" s="99" t="n"/>
      <c r="F691" s="100" t="n"/>
      <c r="G691" s="98" t="n"/>
      <c r="H691" s="99" t="n"/>
      <c r="I691" s="99" t="n"/>
      <c r="J691" s="100" t="n"/>
      <c r="K691" s="98" t="n"/>
      <c r="L691" s="99" t="n"/>
      <c r="M691" s="99" t="n"/>
      <c r="N691" s="100" t="n"/>
      <c r="O691" s="98" t="n"/>
      <c r="P691" s="99" t="n"/>
      <c r="Q691" s="99" t="n"/>
      <c r="R691" s="100" t="n"/>
      <c r="S691" s="98" t="n"/>
      <c r="T691" s="99" t="n"/>
      <c r="U691" s="99" t="n"/>
      <c r="V691" s="100" t="n"/>
      <c r="W691" s="98" t="n"/>
      <c r="X691" s="100" t="n"/>
      <c r="Y691" s="98" t="n"/>
      <c r="Z691" s="100" t="n"/>
      <c r="AB691" s="101">
        <f>IF($B691="","",(COUNTIF(C658:E675,$B691)+COUNTIF(C658:E675,$B691&amp;" ~*")&gt;0)+(COUNTIF(G658:I675,$B691)+COUNTIF(G658:I675,$B691&amp;" ~*")&gt;0)+(COUNTIF(K658:M675,$B691)+COUNTIF(K658:M675,$B691&amp;" ~*")&gt;0)+(COUNTIF(O658:Q675,$B691)+COUNTIF(O658:Q675,$B691&amp;" ~*")&gt;0)+(COUNTIF(S658:U675,$B691)+COUNTIF(S658:U675,$B691&amp;" ~*")&gt;0)+(COUNTIF(W658:W675,$B691)+COUNTIF(W658:W675,$B691&amp;" ~*")&gt;0)+(COUNTIF(Y658:Y675,$B691)+COUNTIF(Y658:Y675,$B691&amp;" ~*")&gt;0))</f>
        <v/>
      </c>
      <c r="AC691" s="36">
        <f>IF($B691="","",(IFERROR(INDEX(Setup!$G$33:$G$40,MATCH(C691,Setup!$B$33:$B$40,0)),0)=1)*(COUNTIF(C658:E675,$B691)+COUNTIF(C658:E675,$B691&amp;" ~*")&gt;0)+(IFERROR(INDEX(Setup!$G$33:$G$40,MATCH(G691,Setup!$B$33:$B$40,0)),0)=1)*(COUNTIF(G658:I675,$B691)+COUNTIF(G658:I675,$B691&amp;" ~*")&gt;0)+(IFERROR(INDEX(Setup!$G$33:$G$40,MATCH(K691,Setup!$B$33:$B$40,0)),0)=1)*(COUNTIF(K658:M675,$B691)+COUNTIF(K658:M675,$B691&amp;" ~*")&gt;0)+(IFERROR(INDEX(Setup!$G$33:$G$40,MATCH(O691,Setup!$B$33:$B$40,0)),0)=1)*(COUNTIF(O658:Q675,$B691)+COUNTIF(O658:Q675,$B691&amp;" ~*")&gt;0)+(IFERROR(INDEX(Setup!$G$33:$G$40,MATCH(S691,Setup!$B$33:$B$40,0)),0)=1)*(COUNTIF(S658:U675,$B691)+COUNTIF(S658:U675,$B691&amp;" ~*")&gt;0)+(IFERROR(INDEX(Setup!$G$33:$G$40,MATCH(W691,Setup!$B$33:$B$40,0)),0)=1)*(COUNTIF(W658:W675,$B691)+COUNTIF(W658:W675,$B691&amp;" ~*")&gt;0)+(IFERROR(INDEX(Setup!$G$33:$G$40,MATCH(Y691,Setup!$B$33:$B$40,0)),0)=1)*(COUNTIF(Y658:Y675,$B691)+COUNTIF(Y658:Y675,$B691&amp;" ~*")&gt;0))</f>
        <v/>
      </c>
    </row>
    <row r="692" ht="15" customHeight="1">
      <c r="A692" t="n">
        <v>14</v>
      </c>
      <c r="B692" s="37">
        <f>IF(Setup!$B$21="","",Setup!$B$21)</f>
        <v/>
      </c>
      <c r="C692" s="102" t="inlineStr">
        <is>
          <t>AL</t>
        </is>
      </c>
      <c r="D692" s="103" t="n"/>
      <c r="E692" s="103" t="n"/>
      <c r="F692" s="104" t="n"/>
      <c r="G692" s="102" t="inlineStr">
        <is>
          <t>AL</t>
        </is>
      </c>
      <c r="H692" s="103" t="n"/>
      <c r="I692" s="103" t="n"/>
      <c r="J692" s="104" t="n"/>
      <c r="K692" s="102" t="inlineStr">
        <is>
          <t>AL</t>
        </is>
      </c>
      <c r="L692" s="103" t="n"/>
      <c r="M692" s="103" t="n"/>
      <c r="N692" s="104" t="n"/>
      <c r="O692" s="102" t="inlineStr">
        <is>
          <t>AL</t>
        </is>
      </c>
      <c r="P692" s="103" t="n"/>
      <c r="Q692" s="103" t="n"/>
      <c r="R692" s="104" t="n"/>
      <c r="S692" s="102" t="inlineStr">
        <is>
          <t>AL</t>
        </is>
      </c>
      <c r="T692" s="103" t="n"/>
      <c r="U692" s="103" t="n"/>
      <c r="V692" s="104" t="n"/>
      <c r="W692" s="102" t="n"/>
      <c r="X692" s="104" t="n"/>
      <c r="Y692" s="102" t="n"/>
      <c r="Z692" s="104" t="n"/>
      <c r="AB692" s="105">
        <f>IF($B692="","",(COUNTIF(C658:E675,$B692)+COUNTIF(C658:E675,$B692&amp;" ~*")&gt;0)+(COUNTIF(G658:I675,$B692)+COUNTIF(G658:I675,$B692&amp;" ~*")&gt;0)+(COUNTIF(K658:M675,$B692)+COUNTIF(K658:M675,$B692&amp;" ~*")&gt;0)+(COUNTIF(O658:Q675,$B692)+COUNTIF(O658:Q675,$B692&amp;" ~*")&gt;0)+(COUNTIF(S658:U675,$B692)+COUNTIF(S658:U675,$B692&amp;" ~*")&gt;0)+(COUNTIF(W658:W675,$B692)+COUNTIF(W658:W675,$B692&amp;" ~*")&gt;0)+(COUNTIF(Y658:Y675,$B692)+COUNTIF(Y658:Y675,$B692&amp;" ~*")&gt;0))</f>
        <v/>
      </c>
      <c r="AC692" s="38">
        <f>IF($B692="","",(IFERROR(INDEX(Setup!$G$33:$G$40,MATCH(C692,Setup!$B$33:$B$40,0)),0)=1)*(COUNTIF(C658:E675,$B692)+COUNTIF(C658:E675,$B692&amp;" ~*")&gt;0)+(IFERROR(INDEX(Setup!$G$33:$G$40,MATCH(G692,Setup!$B$33:$B$40,0)),0)=1)*(COUNTIF(G658:I675,$B692)+COUNTIF(G658:I675,$B692&amp;" ~*")&gt;0)+(IFERROR(INDEX(Setup!$G$33:$G$40,MATCH(K692,Setup!$B$33:$B$40,0)),0)=1)*(COUNTIF(K658:M675,$B692)+COUNTIF(K658:M675,$B692&amp;" ~*")&gt;0)+(IFERROR(INDEX(Setup!$G$33:$G$40,MATCH(O692,Setup!$B$33:$B$40,0)),0)=1)*(COUNTIF(O658:Q675,$B692)+COUNTIF(O658:Q675,$B692&amp;" ~*")&gt;0)+(IFERROR(INDEX(Setup!$G$33:$G$40,MATCH(S692,Setup!$B$33:$B$40,0)),0)=1)*(COUNTIF(S658:U675,$B692)+COUNTIF(S658:U675,$B692&amp;" ~*")&gt;0)+(IFERROR(INDEX(Setup!$G$33:$G$40,MATCH(W692,Setup!$B$33:$B$40,0)),0)=1)*(COUNTIF(W658:W675,$B692)+COUNTIF(W658:W675,$B692&amp;" ~*")&gt;0)+(IFERROR(INDEX(Setup!$G$33:$G$40,MATCH(Y692,Setup!$B$33:$B$40,0)),0)=1)*(COUNTIF(Y658:Y675,$B692)+COUNTIF(Y658:Y675,$B692&amp;" ~*")&gt;0))</f>
        <v/>
      </c>
    </row>
    <row r="693" ht="15" customHeight="1">
      <c r="A693" t="n">
        <v>14</v>
      </c>
      <c r="B693" s="35">
        <f>IF(Setup!$B$22="","",Setup!$B$22)</f>
        <v/>
      </c>
      <c r="C693" s="98" t="inlineStr">
        <is>
          <t>AL</t>
        </is>
      </c>
      <c r="D693" s="99" t="n"/>
      <c r="E693" s="99" t="n"/>
      <c r="F693" s="100" t="n"/>
      <c r="G693" s="98" t="inlineStr">
        <is>
          <t>AL</t>
        </is>
      </c>
      <c r="H693" s="99" t="n"/>
      <c r="I693" s="99" t="n"/>
      <c r="J693" s="100" t="n"/>
      <c r="K693" s="98" t="inlineStr">
        <is>
          <t>AL</t>
        </is>
      </c>
      <c r="L693" s="99" t="n"/>
      <c r="M693" s="99" t="n"/>
      <c r="N693" s="100" t="n"/>
      <c r="O693" s="98" t="inlineStr">
        <is>
          <t>AL</t>
        </is>
      </c>
      <c r="P693" s="99" t="n"/>
      <c r="Q693" s="99" t="n"/>
      <c r="R693" s="100" t="n"/>
      <c r="S693" s="98" t="inlineStr">
        <is>
          <t>AL</t>
        </is>
      </c>
      <c r="T693" s="99" t="n"/>
      <c r="U693" s="99" t="n"/>
      <c r="V693" s="100" t="n"/>
      <c r="W693" s="98" t="n"/>
      <c r="X693" s="100" t="n"/>
      <c r="Y693" s="98" t="n"/>
      <c r="Z693" s="100" t="n"/>
      <c r="AB693" s="101">
        <f>IF($B693="","",(COUNTIF(C658:E675,$B693)+COUNTIF(C658:E675,$B693&amp;" ~*")&gt;0)+(COUNTIF(G658:I675,$B693)+COUNTIF(G658:I675,$B693&amp;" ~*")&gt;0)+(COUNTIF(K658:M675,$B693)+COUNTIF(K658:M675,$B693&amp;" ~*")&gt;0)+(COUNTIF(O658:Q675,$B693)+COUNTIF(O658:Q675,$B693&amp;" ~*")&gt;0)+(COUNTIF(S658:U675,$B693)+COUNTIF(S658:U675,$B693&amp;" ~*")&gt;0)+(COUNTIF(W658:W675,$B693)+COUNTIF(W658:W675,$B693&amp;" ~*")&gt;0)+(COUNTIF(Y658:Y675,$B693)+COUNTIF(Y658:Y675,$B693&amp;" ~*")&gt;0))</f>
        <v/>
      </c>
      <c r="AC693" s="36">
        <f>IF($B693="","",(IFERROR(INDEX(Setup!$G$33:$G$40,MATCH(C693,Setup!$B$33:$B$40,0)),0)=1)*(COUNTIF(C658:E675,$B693)+COUNTIF(C658:E675,$B693&amp;" ~*")&gt;0)+(IFERROR(INDEX(Setup!$G$33:$G$40,MATCH(G693,Setup!$B$33:$B$40,0)),0)=1)*(COUNTIF(G658:I675,$B693)+COUNTIF(G658:I675,$B693&amp;" ~*")&gt;0)+(IFERROR(INDEX(Setup!$G$33:$G$40,MATCH(K693,Setup!$B$33:$B$40,0)),0)=1)*(COUNTIF(K658:M675,$B693)+COUNTIF(K658:M675,$B693&amp;" ~*")&gt;0)+(IFERROR(INDEX(Setup!$G$33:$G$40,MATCH(O693,Setup!$B$33:$B$40,0)),0)=1)*(COUNTIF(O658:Q675,$B693)+COUNTIF(O658:Q675,$B693&amp;" ~*")&gt;0)+(IFERROR(INDEX(Setup!$G$33:$G$40,MATCH(S693,Setup!$B$33:$B$40,0)),0)=1)*(COUNTIF(S658:U675,$B693)+COUNTIF(S658:U675,$B693&amp;" ~*")&gt;0)+(IFERROR(INDEX(Setup!$G$33:$G$40,MATCH(W693,Setup!$B$33:$B$40,0)),0)=1)*(COUNTIF(W658:W675,$B693)+COUNTIF(W658:W675,$B693&amp;" ~*")&gt;0)+(IFERROR(INDEX(Setup!$G$33:$G$40,MATCH(Y693,Setup!$B$33:$B$40,0)),0)=1)*(COUNTIF(Y658:Y675,$B693)+COUNTIF(Y658:Y675,$B693&amp;" ~*")&gt;0))</f>
        <v/>
      </c>
    </row>
    <row r="694" ht="15" customHeight="1">
      <c r="A694" t="n">
        <v>14</v>
      </c>
      <c r="B694" s="37">
        <f>IF(Setup!$B$23="","",Setup!$B$23)</f>
        <v/>
      </c>
      <c r="C694" s="102" t="n"/>
      <c r="D694" s="103" t="n"/>
      <c r="E694" s="103" t="n"/>
      <c r="F694" s="104" t="n"/>
      <c r="G694" s="102" t="n"/>
      <c r="H694" s="103" t="n"/>
      <c r="I694" s="103" t="n"/>
      <c r="J694" s="104" t="n"/>
      <c r="K694" s="102" t="n"/>
      <c r="L694" s="103" t="n"/>
      <c r="M694" s="103" t="n"/>
      <c r="N694" s="104" t="n"/>
      <c r="O694" s="102" t="n"/>
      <c r="P694" s="103" t="n"/>
      <c r="Q694" s="103" t="n"/>
      <c r="R694" s="104" t="n"/>
      <c r="S694" s="102" t="n"/>
      <c r="T694" s="103" t="n"/>
      <c r="U694" s="103" t="n"/>
      <c r="V694" s="104" t="n"/>
      <c r="W694" s="102" t="n"/>
      <c r="X694" s="104" t="n"/>
      <c r="Y694" s="102" t="n"/>
      <c r="Z694" s="104" t="n"/>
      <c r="AB694" s="105">
        <f>IF($B694="","",(COUNTIF(C658:E675,$B694)+COUNTIF(C658:E675,$B694&amp;" ~*")&gt;0)+(COUNTIF(G658:I675,$B694)+COUNTIF(G658:I675,$B694&amp;" ~*")&gt;0)+(COUNTIF(K658:M675,$B694)+COUNTIF(K658:M675,$B694&amp;" ~*")&gt;0)+(COUNTIF(O658:Q675,$B694)+COUNTIF(O658:Q675,$B694&amp;" ~*")&gt;0)+(COUNTIF(S658:U675,$B694)+COUNTIF(S658:U675,$B694&amp;" ~*")&gt;0)+(COUNTIF(W658:W675,$B694)+COUNTIF(W658:W675,$B694&amp;" ~*")&gt;0)+(COUNTIF(Y658:Y675,$B694)+COUNTIF(Y658:Y675,$B694&amp;" ~*")&gt;0))</f>
        <v/>
      </c>
      <c r="AC694" s="38">
        <f>IF($B694="","",(IFERROR(INDEX(Setup!$G$33:$G$40,MATCH(C694,Setup!$B$33:$B$40,0)),0)=1)*(COUNTIF(C658:E675,$B694)+COUNTIF(C658:E675,$B694&amp;" ~*")&gt;0)+(IFERROR(INDEX(Setup!$G$33:$G$40,MATCH(G694,Setup!$B$33:$B$40,0)),0)=1)*(COUNTIF(G658:I675,$B694)+COUNTIF(G658:I675,$B694&amp;" ~*")&gt;0)+(IFERROR(INDEX(Setup!$G$33:$G$40,MATCH(K694,Setup!$B$33:$B$40,0)),0)=1)*(COUNTIF(K658:M675,$B694)+COUNTIF(K658:M675,$B694&amp;" ~*")&gt;0)+(IFERROR(INDEX(Setup!$G$33:$G$40,MATCH(O694,Setup!$B$33:$B$40,0)),0)=1)*(COUNTIF(O658:Q675,$B694)+COUNTIF(O658:Q675,$B694&amp;" ~*")&gt;0)+(IFERROR(INDEX(Setup!$G$33:$G$40,MATCH(S694,Setup!$B$33:$B$40,0)),0)=1)*(COUNTIF(S658:U675,$B694)+COUNTIF(S658:U675,$B694&amp;" ~*")&gt;0)+(IFERROR(INDEX(Setup!$G$33:$G$40,MATCH(W694,Setup!$B$33:$B$40,0)),0)=1)*(COUNTIF(W658:W675,$B694)+COUNTIF(W658:W675,$B694&amp;" ~*")&gt;0)+(IFERROR(INDEX(Setup!$G$33:$G$40,MATCH(Y694,Setup!$B$33:$B$40,0)),0)=1)*(COUNTIF(Y658:Y675,$B694)+COUNTIF(Y658:Y675,$B694&amp;" ~*")&gt;0))</f>
        <v/>
      </c>
    </row>
    <row r="695" ht="15" customHeight="1">
      <c r="A695" t="n">
        <v>14</v>
      </c>
      <c r="B695" s="35">
        <f>IF(Setup!$B$24="","",Setup!$B$24)</f>
        <v/>
      </c>
      <c r="C695" s="98" t="n"/>
      <c r="D695" s="99" t="n"/>
      <c r="E695" s="99" t="n"/>
      <c r="F695" s="100" t="n"/>
      <c r="G695" s="98" t="n"/>
      <c r="H695" s="99" t="n"/>
      <c r="I695" s="99" t="n"/>
      <c r="J695" s="100" t="n"/>
      <c r="K695" s="98" t="n"/>
      <c r="L695" s="99" t="n"/>
      <c r="M695" s="99" t="n"/>
      <c r="N695" s="100" t="n"/>
      <c r="O695" s="98" t="n"/>
      <c r="P695" s="99" t="n"/>
      <c r="Q695" s="99" t="n"/>
      <c r="R695" s="100" t="n"/>
      <c r="S695" s="98" t="n"/>
      <c r="T695" s="99" t="n"/>
      <c r="U695" s="99" t="n"/>
      <c r="V695" s="100" t="n"/>
      <c r="W695" s="98" t="n"/>
      <c r="X695" s="100" t="n"/>
      <c r="Y695" s="98" t="n"/>
      <c r="Z695" s="100" t="n"/>
      <c r="AB695" s="101">
        <f>IF($B695="","",(COUNTIF(C658:E675,$B695)+COUNTIF(C658:E675,$B695&amp;" ~*")&gt;0)+(COUNTIF(G658:I675,$B695)+COUNTIF(G658:I675,$B695&amp;" ~*")&gt;0)+(COUNTIF(K658:M675,$B695)+COUNTIF(K658:M675,$B695&amp;" ~*")&gt;0)+(COUNTIF(O658:Q675,$B695)+COUNTIF(O658:Q675,$B695&amp;" ~*")&gt;0)+(COUNTIF(S658:U675,$B695)+COUNTIF(S658:U675,$B695&amp;" ~*")&gt;0)+(COUNTIF(W658:W675,$B695)+COUNTIF(W658:W675,$B695&amp;" ~*")&gt;0)+(COUNTIF(Y658:Y675,$B695)+COUNTIF(Y658:Y675,$B695&amp;" ~*")&gt;0))</f>
        <v/>
      </c>
      <c r="AC695" s="36">
        <f>IF($B695="","",(IFERROR(INDEX(Setup!$G$33:$G$40,MATCH(C695,Setup!$B$33:$B$40,0)),0)=1)*(COUNTIF(C658:E675,$B695)+COUNTIF(C658:E675,$B695&amp;" ~*")&gt;0)+(IFERROR(INDEX(Setup!$G$33:$G$40,MATCH(G695,Setup!$B$33:$B$40,0)),0)=1)*(COUNTIF(G658:I675,$B695)+COUNTIF(G658:I675,$B695&amp;" ~*")&gt;0)+(IFERROR(INDEX(Setup!$G$33:$G$40,MATCH(K695,Setup!$B$33:$B$40,0)),0)=1)*(COUNTIF(K658:M675,$B695)+COUNTIF(K658:M675,$B695&amp;" ~*")&gt;0)+(IFERROR(INDEX(Setup!$G$33:$G$40,MATCH(O695,Setup!$B$33:$B$40,0)),0)=1)*(COUNTIF(O658:Q675,$B695)+COUNTIF(O658:Q675,$B695&amp;" ~*")&gt;0)+(IFERROR(INDEX(Setup!$G$33:$G$40,MATCH(S695,Setup!$B$33:$B$40,0)),0)=1)*(COUNTIF(S658:U675,$B695)+COUNTIF(S658:U675,$B695&amp;" ~*")&gt;0)+(IFERROR(INDEX(Setup!$G$33:$G$40,MATCH(W695,Setup!$B$33:$B$40,0)),0)=1)*(COUNTIF(W658:W675,$B695)+COUNTIF(W658:W675,$B695&amp;" ~*")&gt;0)+(IFERROR(INDEX(Setup!$G$33:$G$40,MATCH(Y695,Setup!$B$33:$B$40,0)),0)=1)*(COUNTIF(Y658:Y675,$B695)+COUNTIF(Y658:Y675,$B695&amp;" ~*")&gt;0))</f>
        <v/>
      </c>
    </row>
    <row r="696" ht="15" customHeight="1">
      <c r="A696" t="n">
        <v>14</v>
      </c>
      <c r="B696" s="37">
        <f>IF(Setup!$B$25="","",Setup!$B$25)</f>
        <v/>
      </c>
      <c r="C696" s="102" t="n"/>
      <c r="D696" s="103" t="n"/>
      <c r="E696" s="103" t="n"/>
      <c r="F696" s="104" t="n"/>
      <c r="G696" s="102" t="n"/>
      <c r="H696" s="103" t="n"/>
      <c r="I696" s="103" t="n"/>
      <c r="J696" s="104" t="n"/>
      <c r="K696" s="102" t="n"/>
      <c r="L696" s="103" t="n"/>
      <c r="M696" s="103" t="n"/>
      <c r="N696" s="104" t="n"/>
      <c r="O696" s="102" t="n"/>
      <c r="P696" s="103" t="n"/>
      <c r="Q696" s="103" t="n"/>
      <c r="R696" s="104" t="n"/>
      <c r="S696" s="102" t="n"/>
      <c r="T696" s="103" t="n"/>
      <c r="U696" s="103" t="n"/>
      <c r="V696" s="104" t="n"/>
      <c r="W696" s="102" t="n"/>
      <c r="X696" s="104" t="n"/>
      <c r="Y696" s="102" t="n"/>
      <c r="Z696" s="104" t="n"/>
      <c r="AB696" s="105">
        <f>IF($B696="","",(COUNTIF(C658:E675,$B696)+COUNTIF(C658:E675,$B696&amp;" ~*")&gt;0)+(COUNTIF(G658:I675,$B696)+COUNTIF(G658:I675,$B696&amp;" ~*")&gt;0)+(COUNTIF(K658:M675,$B696)+COUNTIF(K658:M675,$B696&amp;" ~*")&gt;0)+(COUNTIF(O658:Q675,$B696)+COUNTIF(O658:Q675,$B696&amp;" ~*")&gt;0)+(COUNTIF(S658:U675,$B696)+COUNTIF(S658:U675,$B696&amp;" ~*")&gt;0)+(COUNTIF(W658:W675,$B696)+COUNTIF(W658:W675,$B696&amp;" ~*")&gt;0)+(COUNTIF(Y658:Y675,$B696)+COUNTIF(Y658:Y675,$B696&amp;" ~*")&gt;0))</f>
        <v/>
      </c>
      <c r="AC696" s="38">
        <f>IF($B696="","",(IFERROR(INDEX(Setup!$G$33:$G$40,MATCH(C696,Setup!$B$33:$B$40,0)),0)=1)*(COUNTIF(C658:E675,$B696)+COUNTIF(C658:E675,$B696&amp;" ~*")&gt;0)+(IFERROR(INDEX(Setup!$G$33:$G$40,MATCH(G696,Setup!$B$33:$B$40,0)),0)=1)*(COUNTIF(G658:I675,$B696)+COUNTIF(G658:I675,$B696&amp;" ~*")&gt;0)+(IFERROR(INDEX(Setup!$G$33:$G$40,MATCH(K696,Setup!$B$33:$B$40,0)),0)=1)*(COUNTIF(K658:M675,$B696)+COUNTIF(K658:M675,$B696&amp;" ~*")&gt;0)+(IFERROR(INDEX(Setup!$G$33:$G$40,MATCH(O696,Setup!$B$33:$B$40,0)),0)=1)*(COUNTIF(O658:Q675,$B696)+COUNTIF(O658:Q675,$B696&amp;" ~*")&gt;0)+(IFERROR(INDEX(Setup!$G$33:$G$40,MATCH(S696,Setup!$B$33:$B$40,0)),0)=1)*(COUNTIF(S658:U675,$B696)+COUNTIF(S658:U675,$B696&amp;" ~*")&gt;0)+(IFERROR(INDEX(Setup!$G$33:$G$40,MATCH(W696,Setup!$B$33:$B$40,0)),0)=1)*(COUNTIF(W658:W675,$B696)+COUNTIF(W658:W675,$B696&amp;" ~*")&gt;0)+(IFERROR(INDEX(Setup!$G$33:$G$40,MATCH(Y696,Setup!$B$33:$B$40,0)),0)=1)*(COUNTIF(Y658:Y675,$B696)+COUNTIF(Y658:Y675,$B696&amp;" ~*")&gt;0))</f>
        <v/>
      </c>
    </row>
    <row r="697" ht="15" customHeight="1">
      <c r="A697" t="n">
        <v>14</v>
      </c>
      <c r="B697" s="35">
        <f>IF(Setup!$B$26="","",Setup!$B$26)</f>
        <v/>
      </c>
      <c r="C697" s="98" t="n"/>
      <c r="D697" s="99" t="n"/>
      <c r="E697" s="99" t="n"/>
      <c r="F697" s="100" t="n"/>
      <c r="G697" s="98" t="n"/>
      <c r="H697" s="99" t="n"/>
      <c r="I697" s="99" t="n"/>
      <c r="J697" s="100" t="n"/>
      <c r="K697" s="98" t="n"/>
      <c r="L697" s="99" t="n"/>
      <c r="M697" s="99" t="n"/>
      <c r="N697" s="100" t="n"/>
      <c r="O697" s="98" t="n"/>
      <c r="P697" s="99" t="n"/>
      <c r="Q697" s="99" t="n"/>
      <c r="R697" s="100" t="n"/>
      <c r="S697" s="98" t="n"/>
      <c r="T697" s="99" t="n"/>
      <c r="U697" s="99" t="n"/>
      <c r="V697" s="100" t="n"/>
      <c r="W697" s="98" t="n"/>
      <c r="X697" s="100" t="n"/>
      <c r="Y697" s="98" t="n"/>
      <c r="Z697" s="100" t="n"/>
      <c r="AB697" s="101">
        <f>IF($B697="","",(COUNTIF(C658:E675,$B697)+COUNTIF(C658:E675,$B697&amp;" ~*")&gt;0)+(COUNTIF(G658:I675,$B697)+COUNTIF(G658:I675,$B697&amp;" ~*")&gt;0)+(COUNTIF(K658:M675,$B697)+COUNTIF(K658:M675,$B697&amp;" ~*")&gt;0)+(COUNTIF(O658:Q675,$B697)+COUNTIF(O658:Q675,$B697&amp;" ~*")&gt;0)+(COUNTIF(S658:U675,$B697)+COUNTIF(S658:U675,$B697&amp;" ~*")&gt;0)+(COUNTIF(W658:W675,$B697)+COUNTIF(W658:W675,$B697&amp;" ~*")&gt;0)+(COUNTIF(Y658:Y675,$B697)+COUNTIF(Y658:Y675,$B697&amp;" ~*")&gt;0))</f>
        <v/>
      </c>
      <c r="AC697" s="36">
        <f>IF($B697="","",(IFERROR(INDEX(Setup!$G$33:$G$40,MATCH(C697,Setup!$B$33:$B$40,0)),0)=1)*(COUNTIF(C658:E675,$B697)+COUNTIF(C658:E675,$B697&amp;" ~*")&gt;0)+(IFERROR(INDEX(Setup!$G$33:$G$40,MATCH(G697,Setup!$B$33:$B$40,0)),0)=1)*(COUNTIF(G658:I675,$B697)+COUNTIF(G658:I675,$B697&amp;" ~*")&gt;0)+(IFERROR(INDEX(Setup!$G$33:$G$40,MATCH(K697,Setup!$B$33:$B$40,0)),0)=1)*(COUNTIF(K658:M675,$B697)+COUNTIF(K658:M675,$B697&amp;" ~*")&gt;0)+(IFERROR(INDEX(Setup!$G$33:$G$40,MATCH(O697,Setup!$B$33:$B$40,0)),0)=1)*(COUNTIF(O658:Q675,$B697)+COUNTIF(O658:Q675,$B697&amp;" ~*")&gt;0)+(IFERROR(INDEX(Setup!$G$33:$G$40,MATCH(S697,Setup!$B$33:$B$40,0)),0)=1)*(COUNTIF(S658:U675,$B697)+COUNTIF(S658:U675,$B697&amp;" ~*")&gt;0)+(IFERROR(INDEX(Setup!$G$33:$G$40,MATCH(W697,Setup!$B$33:$B$40,0)),0)=1)*(COUNTIF(W658:W675,$B697)+COUNTIF(W658:W675,$B697&amp;" ~*")&gt;0)+(IFERROR(INDEX(Setup!$G$33:$G$40,MATCH(Y697,Setup!$B$33:$B$40,0)),0)=1)*(COUNTIF(Y658:Y675,$B697)+COUNTIF(Y658:Y675,$B697&amp;" ~*")&gt;0))</f>
        <v/>
      </c>
    </row>
    <row r="698" ht="15" customHeight="1">
      <c r="A698" t="n">
        <v>14</v>
      </c>
      <c r="B698" s="37">
        <f>IF(Setup!$B$27="","",Setup!$B$27)</f>
        <v/>
      </c>
      <c r="C698" s="102" t="n"/>
      <c r="D698" s="103" t="n"/>
      <c r="E698" s="103" t="n"/>
      <c r="F698" s="104" t="n"/>
      <c r="G698" s="102" t="n"/>
      <c r="H698" s="103" t="n"/>
      <c r="I698" s="103" t="n"/>
      <c r="J698" s="104" t="n"/>
      <c r="K698" s="102" t="n"/>
      <c r="L698" s="103" t="n"/>
      <c r="M698" s="103" t="n"/>
      <c r="N698" s="104" t="n"/>
      <c r="O698" s="102" t="n"/>
      <c r="P698" s="103" t="n"/>
      <c r="Q698" s="103" t="n"/>
      <c r="R698" s="104" t="n"/>
      <c r="S698" s="102" t="n"/>
      <c r="T698" s="103" t="n"/>
      <c r="U698" s="103" t="n"/>
      <c r="V698" s="104" t="n"/>
      <c r="W698" s="102" t="n"/>
      <c r="X698" s="104" t="n"/>
      <c r="Y698" s="102" t="n"/>
      <c r="Z698" s="104" t="n"/>
      <c r="AB698" s="105">
        <f>IF($B698="","",(COUNTIF(C658:E675,$B698)+COUNTIF(C658:E675,$B698&amp;" ~*")&gt;0)+(COUNTIF(G658:I675,$B698)+COUNTIF(G658:I675,$B698&amp;" ~*")&gt;0)+(COUNTIF(K658:M675,$B698)+COUNTIF(K658:M675,$B698&amp;" ~*")&gt;0)+(COUNTIF(O658:Q675,$B698)+COUNTIF(O658:Q675,$B698&amp;" ~*")&gt;0)+(COUNTIF(S658:U675,$B698)+COUNTIF(S658:U675,$B698&amp;" ~*")&gt;0)+(COUNTIF(W658:W675,$B698)+COUNTIF(W658:W675,$B698&amp;" ~*")&gt;0)+(COUNTIF(Y658:Y675,$B698)+COUNTIF(Y658:Y675,$B698&amp;" ~*")&gt;0))</f>
        <v/>
      </c>
      <c r="AC698" s="38">
        <f>IF($B698="","",(IFERROR(INDEX(Setup!$G$33:$G$40,MATCH(C698,Setup!$B$33:$B$40,0)),0)=1)*(COUNTIF(C658:E675,$B698)+COUNTIF(C658:E675,$B698&amp;" ~*")&gt;0)+(IFERROR(INDEX(Setup!$G$33:$G$40,MATCH(G698,Setup!$B$33:$B$40,0)),0)=1)*(COUNTIF(G658:I675,$B698)+COUNTIF(G658:I675,$B698&amp;" ~*")&gt;0)+(IFERROR(INDEX(Setup!$G$33:$G$40,MATCH(K698,Setup!$B$33:$B$40,0)),0)=1)*(COUNTIF(K658:M675,$B698)+COUNTIF(K658:M675,$B698&amp;" ~*")&gt;0)+(IFERROR(INDEX(Setup!$G$33:$G$40,MATCH(O698,Setup!$B$33:$B$40,0)),0)=1)*(COUNTIF(O658:Q675,$B698)+COUNTIF(O658:Q675,$B698&amp;" ~*")&gt;0)+(IFERROR(INDEX(Setup!$G$33:$G$40,MATCH(S698,Setup!$B$33:$B$40,0)),0)=1)*(COUNTIF(S658:U675,$B698)+COUNTIF(S658:U675,$B698&amp;" ~*")&gt;0)+(IFERROR(INDEX(Setup!$G$33:$G$40,MATCH(W698,Setup!$B$33:$B$40,0)),0)=1)*(COUNTIF(W658:W675,$B698)+COUNTIF(W658:W675,$B698&amp;" ~*")&gt;0)+(IFERROR(INDEX(Setup!$G$33:$G$40,MATCH(Y698,Setup!$B$33:$B$40,0)),0)=1)*(COUNTIF(Y658:Y675,$B698)+COUNTIF(Y658:Y675,$B698&amp;" ~*")&gt;0))</f>
        <v/>
      </c>
    </row>
    <row r="699" ht="15" customHeight="1">
      <c r="A699" t="n">
        <v>14</v>
      </c>
      <c r="B699" s="35">
        <f>IF(Setup!$B$28="","",Setup!$B$28)</f>
        <v/>
      </c>
      <c r="C699" s="98" t="n"/>
      <c r="D699" s="99" t="n"/>
      <c r="E699" s="99" t="n"/>
      <c r="F699" s="100" t="n"/>
      <c r="G699" s="98" t="n"/>
      <c r="H699" s="99" t="n"/>
      <c r="I699" s="99" t="n"/>
      <c r="J699" s="100" t="n"/>
      <c r="K699" s="98" t="n"/>
      <c r="L699" s="99" t="n"/>
      <c r="M699" s="99" t="n"/>
      <c r="N699" s="100" t="n"/>
      <c r="O699" s="98" t="n"/>
      <c r="P699" s="99" t="n"/>
      <c r="Q699" s="99" t="n"/>
      <c r="R699" s="100" t="n"/>
      <c r="S699" s="98" t="n"/>
      <c r="T699" s="99" t="n"/>
      <c r="U699" s="99" t="n"/>
      <c r="V699" s="100" t="n"/>
      <c r="W699" s="98" t="n"/>
      <c r="X699" s="100" t="n"/>
      <c r="Y699" s="98" t="n"/>
      <c r="Z699" s="100" t="n"/>
      <c r="AB699" s="101">
        <f>IF($B699="","",(COUNTIF(C658:E675,$B699)+COUNTIF(C658:E675,$B699&amp;" ~*")&gt;0)+(COUNTIF(G658:I675,$B699)+COUNTIF(G658:I675,$B699&amp;" ~*")&gt;0)+(COUNTIF(K658:M675,$B699)+COUNTIF(K658:M675,$B699&amp;" ~*")&gt;0)+(COUNTIF(O658:Q675,$B699)+COUNTIF(O658:Q675,$B699&amp;" ~*")&gt;0)+(COUNTIF(S658:U675,$B699)+COUNTIF(S658:U675,$B699&amp;" ~*")&gt;0)+(COUNTIF(W658:W675,$B699)+COUNTIF(W658:W675,$B699&amp;" ~*")&gt;0)+(COUNTIF(Y658:Y675,$B699)+COUNTIF(Y658:Y675,$B699&amp;" ~*")&gt;0))</f>
        <v/>
      </c>
      <c r="AC699" s="36">
        <f>IF($B699="","",(IFERROR(INDEX(Setup!$G$33:$G$40,MATCH(C699,Setup!$B$33:$B$40,0)),0)=1)*(COUNTIF(C658:E675,$B699)+COUNTIF(C658:E675,$B699&amp;" ~*")&gt;0)+(IFERROR(INDEX(Setup!$G$33:$G$40,MATCH(G699,Setup!$B$33:$B$40,0)),0)=1)*(COUNTIF(G658:I675,$B699)+COUNTIF(G658:I675,$B699&amp;" ~*")&gt;0)+(IFERROR(INDEX(Setup!$G$33:$G$40,MATCH(K699,Setup!$B$33:$B$40,0)),0)=1)*(COUNTIF(K658:M675,$B699)+COUNTIF(K658:M675,$B699&amp;" ~*")&gt;0)+(IFERROR(INDEX(Setup!$G$33:$G$40,MATCH(O699,Setup!$B$33:$B$40,0)),0)=1)*(COUNTIF(O658:Q675,$B699)+COUNTIF(O658:Q675,$B699&amp;" ~*")&gt;0)+(IFERROR(INDEX(Setup!$G$33:$G$40,MATCH(S699,Setup!$B$33:$B$40,0)),0)=1)*(COUNTIF(S658:U675,$B699)+COUNTIF(S658:U675,$B699&amp;" ~*")&gt;0)+(IFERROR(INDEX(Setup!$G$33:$G$40,MATCH(W699,Setup!$B$33:$B$40,0)),0)=1)*(COUNTIF(W658:W675,$B699)+COUNTIF(W658:W675,$B699&amp;" ~*")&gt;0)+(IFERROR(INDEX(Setup!$G$33:$G$40,MATCH(Y699,Setup!$B$33:$B$40,0)),0)=1)*(COUNTIF(Y658:Y675,$B699)+COUNTIF(Y658:Y675,$B699&amp;" ~*")&gt;0))</f>
        <v/>
      </c>
    </row>
    <row r="700" ht="15" customHeight="1">
      <c r="A700" t="n">
        <v>14</v>
      </c>
      <c r="B700" s="37">
        <f>IF(Setup!$B$29="","",Setup!$B$29)</f>
        <v/>
      </c>
      <c r="C700" s="102" t="n"/>
      <c r="D700" s="103" t="n"/>
      <c r="E700" s="103" t="n"/>
      <c r="F700" s="104" t="n"/>
      <c r="G700" s="102" t="n"/>
      <c r="H700" s="103" t="n"/>
      <c r="I700" s="103" t="n"/>
      <c r="J700" s="104" t="n"/>
      <c r="K700" s="102" t="n"/>
      <c r="L700" s="103" t="n"/>
      <c r="M700" s="103" t="n"/>
      <c r="N700" s="104" t="n"/>
      <c r="O700" s="102" t="n"/>
      <c r="P700" s="103" t="n"/>
      <c r="Q700" s="103" t="n"/>
      <c r="R700" s="104" t="n"/>
      <c r="S700" s="102" t="n"/>
      <c r="T700" s="103" t="n"/>
      <c r="U700" s="103" t="n"/>
      <c r="V700" s="104" t="n"/>
      <c r="W700" s="102" t="n"/>
      <c r="X700" s="104" t="n"/>
      <c r="Y700" s="102" t="n"/>
      <c r="Z700" s="104" t="n"/>
      <c r="AB700" s="105">
        <f>IF($B700="","",(COUNTIF(C658:E675,$B700)+COUNTIF(C658:E675,$B700&amp;" ~*")&gt;0)+(COUNTIF(G658:I675,$B700)+COUNTIF(G658:I675,$B700&amp;" ~*")&gt;0)+(COUNTIF(K658:M675,$B700)+COUNTIF(K658:M675,$B700&amp;" ~*")&gt;0)+(COUNTIF(O658:Q675,$B700)+COUNTIF(O658:Q675,$B700&amp;" ~*")&gt;0)+(COUNTIF(S658:U675,$B700)+COUNTIF(S658:U675,$B700&amp;" ~*")&gt;0)+(COUNTIF(W658:W675,$B700)+COUNTIF(W658:W675,$B700&amp;" ~*")&gt;0)+(COUNTIF(Y658:Y675,$B700)+COUNTIF(Y658:Y675,$B700&amp;" ~*")&gt;0))</f>
        <v/>
      </c>
      <c r="AC700" s="38">
        <f>IF($B700="","",(IFERROR(INDEX(Setup!$G$33:$G$40,MATCH(C700,Setup!$B$33:$B$40,0)),0)=1)*(COUNTIF(C658:E675,$B700)+COUNTIF(C658:E675,$B700&amp;" ~*")&gt;0)+(IFERROR(INDEX(Setup!$G$33:$G$40,MATCH(G700,Setup!$B$33:$B$40,0)),0)=1)*(COUNTIF(G658:I675,$B700)+COUNTIF(G658:I675,$B700&amp;" ~*")&gt;0)+(IFERROR(INDEX(Setup!$G$33:$G$40,MATCH(K700,Setup!$B$33:$B$40,0)),0)=1)*(COUNTIF(K658:M675,$B700)+COUNTIF(K658:M675,$B700&amp;" ~*")&gt;0)+(IFERROR(INDEX(Setup!$G$33:$G$40,MATCH(O700,Setup!$B$33:$B$40,0)),0)=1)*(COUNTIF(O658:Q675,$B700)+COUNTIF(O658:Q675,$B700&amp;" ~*")&gt;0)+(IFERROR(INDEX(Setup!$G$33:$G$40,MATCH(S700,Setup!$B$33:$B$40,0)),0)=1)*(COUNTIF(S658:U675,$B700)+COUNTIF(S658:U675,$B700&amp;" ~*")&gt;0)+(IFERROR(INDEX(Setup!$G$33:$G$40,MATCH(W700,Setup!$B$33:$B$40,0)),0)=1)*(COUNTIF(W658:W675,$B700)+COUNTIF(W658:W675,$B700&amp;" ~*")&gt;0)+(IFERROR(INDEX(Setup!$G$33:$G$40,MATCH(Y700,Setup!$B$33:$B$40,0)),0)=1)*(COUNTIF(Y658:Y675,$B700)+COUNTIF(Y658:Y675,$B700&amp;" ~*")&gt;0))</f>
        <v/>
      </c>
    </row>
    <row r="701" ht="16" customHeight="1">
      <c r="A701" t="n">
        <v>14</v>
      </c>
      <c r="B701" s="106" t="inlineStr">
        <is>
          <t>Available people</t>
        </is>
      </c>
      <c r="C701" s="107">
        <f>COUNTIFS(Setup!$E$6:$E$29,"Y",Setup!$B$6:$B$29,"?*")-SUMPRODUCT(COUNTIF(C677:C700,Setup!$F$33:$F$40))</f>
        <v/>
      </c>
      <c r="D701" s="107" t="n"/>
      <c r="E701" s="107" t="n"/>
      <c r="F701" s="107" t="n"/>
      <c r="G701" s="107">
        <f>COUNTIFS(Setup!$E$6:$E$29,"Y",Setup!$B$6:$B$29,"?*")-SUMPRODUCT(COUNTIF(G677:G700,Setup!$F$33:$F$40))</f>
        <v/>
      </c>
      <c r="H701" s="107" t="n"/>
      <c r="I701" s="107" t="n"/>
      <c r="J701" s="107" t="n"/>
      <c r="K701" s="107">
        <f>COUNTIFS(Setup!$E$6:$E$29,"Y",Setup!$B$6:$B$29,"?*")-SUMPRODUCT(COUNTIF(K677:K700,Setup!$F$33:$F$40))</f>
        <v/>
      </c>
      <c r="L701" s="107" t="n"/>
      <c r="M701" s="107" t="n"/>
      <c r="N701" s="107" t="n"/>
      <c r="O701" s="107">
        <f>COUNTIFS(Setup!$E$6:$E$29,"Y",Setup!$B$6:$B$29,"?*")-SUMPRODUCT(COUNTIF(O677:O700,Setup!$F$33:$F$40))</f>
        <v/>
      </c>
      <c r="P701" s="107" t="n"/>
      <c r="Q701" s="107" t="n"/>
      <c r="R701" s="107" t="n"/>
      <c r="S701" s="107">
        <f>COUNTIFS(Setup!$E$6:$E$29,"Y",Setup!$B$6:$B$29,"?*")-SUMPRODUCT(COUNTIF(S677:S700,Setup!$F$33:$F$40))</f>
        <v/>
      </c>
      <c r="T701" s="107" t="n"/>
      <c r="U701" s="107" t="n"/>
      <c r="V701" s="107" t="n"/>
      <c r="W701" s="107">
        <f>COUNTIFS(Setup!$E$6:$E$29,"Y",Setup!$B$6:$B$29,"?*")-SUMPRODUCT(COUNTIF(W677:W700,Setup!$F$33:$F$40))</f>
        <v/>
      </c>
      <c r="X701" s="107" t="n"/>
      <c r="Y701" s="107">
        <f>COUNTIFS(Setup!$E$6:$E$29,"Y",Setup!$B$6:$B$29,"?*")-SUMPRODUCT(COUNTIF(Y677:Y700,Setup!$F$33:$F$40))</f>
        <v/>
      </c>
      <c r="Z701" s="107" t="n"/>
      <c r="AB701" s="108">
        <f>SUM(AB677:AB700)</f>
        <v/>
      </c>
      <c r="AC701" s="109">
        <f>SUM(AC677:AC700)</f>
        <v/>
      </c>
    </row>
    <row r="702" ht="30" customHeight="1">
      <c r="A702" t="n">
        <v>14</v>
      </c>
      <c r="B702" s="110" t="inlineStr">
        <is>
          <t>Week notes</t>
        </is>
      </c>
      <c r="C702" s="111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112" t="n"/>
      <c r="R702" s="112" t="n"/>
      <c r="S702" s="112" t="n"/>
      <c r="T702" s="112" t="n"/>
      <c r="U702" s="112" t="n"/>
      <c r="V702" s="112" t="n"/>
      <c r="W702" s="112" t="n"/>
      <c r="X702" s="112" t="n"/>
      <c r="Y702" s="112" t="n"/>
      <c r="Z702" s="113" t="n"/>
    </row>
    <row r="703" ht="8" customHeight="1">
      <c r="A703" t="n">
        <v>14</v>
      </c>
    </row>
    <row r="704" ht="8" customHeight="1">
      <c r="A704" t="n">
        <v>14</v>
      </c>
    </row>
    <row r="705" ht="24" customHeight="1">
      <c r="A705" t="n">
        <v>15</v>
      </c>
      <c r="B705" s="73">
        <f>"WEEK 15     "&amp;TEXT(C706,"ddd d mmm")&amp;"  –  "&amp;TEXT(C706+6,"ddd d mmm yyyy")</f>
        <v/>
      </c>
      <c r="S705" s="74">
        <f>IF(TODAY()&lt;C706,"FUTURE",IF(TODAY()&gt;C706+6,"PAST","THIS WEEK"))</f>
        <v/>
      </c>
      <c r="W705" s="75">
        <f>IF(AND(Engine!$B$8=$AC$3,Engine!$B$9=$A705),"◀ ACTIVE WEEK","")</f>
        <v/>
      </c>
      <c r="AA705" s="76" t="n"/>
      <c r="AB705" s="77" t="inlineStr">
        <is>
          <t>◀ Prev</t>
        </is>
      </c>
      <c r="AC705" s="77" t="inlineStr">
        <is>
          <t>Next ▶</t>
        </is>
      </c>
    </row>
    <row r="706" ht="18" customHeight="1">
      <c r="A706" t="n">
        <v>15</v>
      </c>
      <c r="B706" s="78" t="inlineStr">
        <is>
          <t>DUTY</t>
        </is>
      </c>
      <c r="C706" s="79">
        <f>$AC$2+7*($A706-1)</f>
        <v/>
      </c>
      <c r="D706" s="80" t="n"/>
      <c r="E706" s="80" t="n"/>
      <c r="F706" s="81" t="n"/>
      <c r="G706" s="79">
        <f>C706+1</f>
        <v/>
      </c>
      <c r="H706" s="80" t="n"/>
      <c r="I706" s="80" t="n"/>
      <c r="J706" s="81" t="n"/>
      <c r="K706" s="79">
        <f>C706+2</f>
        <v/>
      </c>
      <c r="L706" s="80" t="n"/>
      <c r="M706" s="80" t="n"/>
      <c r="N706" s="81" t="n"/>
      <c r="O706" s="79">
        <f>C706+3</f>
        <v/>
      </c>
      <c r="P706" s="80" t="n"/>
      <c r="Q706" s="80" t="n"/>
      <c r="R706" s="81" t="n"/>
      <c r="S706" s="79">
        <f>C706+4</f>
        <v/>
      </c>
      <c r="T706" s="80" t="n"/>
      <c r="U706" s="80" t="n"/>
      <c r="V706" s="81" t="n"/>
      <c r="W706" s="82">
        <f>C706+5</f>
        <v/>
      </c>
      <c r="X706" s="83" t="n"/>
      <c r="Y706" s="82">
        <f>C706+6</f>
        <v/>
      </c>
      <c r="Z706" s="83" t="n"/>
      <c r="AB706" s="72" t="inlineStr">
        <is>
          <t>Gaps</t>
        </is>
      </c>
      <c r="AC706" s="72" t="inlineStr">
        <is>
          <t>Cover</t>
        </is>
      </c>
    </row>
    <row r="707" ht="14" customHeight="1">
      <c r="A707" t="n">
        <v>15</v>
      </c>
      <c r="B707" s="84" t="inlineStr">
        <is>
          <t>(from Setup)</t>
        </is>
      </c>
      <c r="C707" s="85" t="inlineStr">
        <is>
          <t>1</t>
        </is>
      </c>
      <c r="D707" s="85" t="inlineStr">
        <is>
          <t>2</t>
        </is>
      </c>
      <c r="E707" s="85" t="inlineStr">
        <is>
          <t>3</t>
        </is>
      </c>
      <c r="F707" s="85" t="inlineStr">
        <is>
          <t>Notes</t>
        </is>
      </c>
      <c r="G707" s="85" t="inlineStr">
        <is>
          <t>1</t>
        </is>
      </c>
      <c r="H707" s="85" t="inlineStr">
        <is>
          <t>2</t>
        </is>
      </c>
      <c r="I707" s="85" t="inlineStr">
        <is>
          <t>3</t>
        </is>
      </c>
      <c r="J707" s="85" t="inlineStr">
        <is>
          <t>Notes</t>
        </is>
      </c>
      <c r="K707" s="85" t="inlineStr">
        <is>
          <t>1</t>
        </is>
      </c>
      <c r="L707" s="85" t="inlineStr">
        <is>
          <t>2</t>
        </is>
      </c>
      <c r="M707" s="85" t="inlineStr">
        <is>
          <t>3</t>
        </is>
      </c>
      <c r="N707" s="85" t="inlineStr">
        <is>
          <t>Notes</t>
        </is>
      </c>
      <c r="O707" s="85" t="inlineStr">
        <is>
          <t>1</t>
        </is>
      </c>
      <c r="P707" s="85" t="inlineStr">
        <is>
          <t>2</t>
        </is>
      </c>
      <c r="Q707" s="85" t="inlineStr">
        <is>
          <t>3</t>
        </is>
      </c>
      <c r="R707" s="85" t="inlineStr">
        <is>
          <t>Notes</t>
        </is>
      </c>
      <c r="S707" s="85" t="inlineStr">
        <is>
          <t>1</t>
        </is>
      </c>
      <c r="T707" s="85" t="inlineStr">
        <is>
          <t>2</t>
        </is>
      </c>
      <c r="U707" s="85" t="inlineStr">
        <is>
          <t>3</t>
        </is>
      </c>
      <c r="V707" s="85" t="inlineStr">
        <is>
          <t>Notes</t>
        </is>
      </c>
      <c r="W707" s="85" t="inlineStr">
        <is>
          <t>Cover</t>
        </is>
      </c>
      <c r="X707" s="85" t="inlineStr">
        <is>
          <t>Notes</t>
        </is>
      </c>
      <c r="Y707" s="85" t="inlineStr">
        <is>
          <t>Cover</t>
        </is>
      </c>
      <c r="Z707" s="85" t="inlineStr">
        <is>
          <t>Notes</t>
        </is>
      </c>
      <c r="AB707" s="86" t="inlineStr">
        <is>
          <t>weekdays short</t>
        </is>
      </c>
      <c r="AC707" s="87" t="inlineStr"/>
    </row>
    <row r="708" ht="17" customHeight="1">
      <c r="A708" t="n">
        <v>15</v>
      </c>
      <c r="B708" s="24">
        <f>IF(Setup!$K$6="","",Setup!$K$6)</f>
        <v/>
      </c>
      <c r="C708" s="88" t="n"/>
      <c r="D708" s="88" t="n"/>
      <c r="E708" s="88" t="n"/>
      <c r="F708" s="89" t="n"/>
      <c r="G708" s="88" t="n"/>
      <c r="H708" s="88" t="n"/>
      <c r="I708" s="88" t="n"/>
      <c r="J708" s="89" t="n"/>
      <c r="K708" s="88" t="n"/>
      <c r="L708" s="88" t="n"/>
      <c r="M708" s="88" t="n"/>
      <c r="N708" s="89" t="n"/>
      <c r="O708" s="88" t="n"/>
      <c r="P708" s="88" t="n"/>
      <c r="Q708" s="88" t="n"/>
      <c r="R708" s="89" t="n"/>
      <c r="S708" s="88" t="n"/>
      <c r="T708" s="88" t="n"/>
      <c r="U708" s="88" t="n"/>
      <c r="V708" s="89" t="n"/>
      <c r="W708" s="88" t="n"/>
      <c r="X708" s="89" t="n"/>
      <c r="Y708" s="88" t="n"/>
      <c r="Z708" s="89" t="n"/>
      <c r="AB708" s="25">
        <f>IF($B708="","",(COUNTIF(C708:E708,"?*")&lt;N(INDEX(Setup!$L$6:$L$23,1)))+(COUNTIF(G708:I708,"?*")&lt;N(INDEX(Setup!$L$6:$L$23,1)))+(COUNTIF(K708:M708,"?*")&lt;N(INDEX(Setup!$L$6:$L$23,1)))+(COUNTIF(O708:Q708,"?*")&lt;N(INDEX(Setup!$L$6:$L$23,1)))+(COUNTIF(S708:U708,"?*")&lt;N(INDEX(Setup!$L$6:$L$23,1)))+((W708="")*(INDEX(Setup!$M$6:$M$23,1)="Y"))+((Y708="")*(INDEX(Setup!$M$6:$M$23,1)="Y")))</f>
        <v/>
      </c>
      <c r="AC708" s="90">
        <f>IF($B708="","",IF(AB708=0,"✓ covered","⚠ "&amp;AB708&amp;IF(AB708=1," gap"," gaps")))</f>
        <v/>
      </c>
    </row>
    <row r="709" ht="17" customHeight="1">
      <c r="A709" t="n">
        <v>15</v>
      </c>
      <c r="B709" s="29">
        <f>IF(Setup!$K$7="","",Setup!$K$7)</f>
        <v/>
      </c>
      <c r="C709" s="88" t="n"/>
      <c r="D709" s="88" t="n"/>
      <c r="E709" s="88" t="n"/>
      <c r="F709" s="89" t="n"/>
      <c r="G709" s="88" t="n"/>
      <c r="H709" s="88" t="n"/>
      <c r="I709" s="88" t="n"/>
      <c r="J709" s="89" t="n"/>
      <c r="K709" s="88" t="n"/>
      <c r="L709" s="88" t="n"/>
      <c r="M709" s="88" t="n"/>
      <c r="N709" s="89" t="n"/>
      <c r="O709" s="88" t="n"/>
      <c r="P709" s="88" t="n"/>
      <c r="Q709" s="88" t="n"/>
      <c r="R709" s="89" t="n"/>
      <c r="S709" s="88" t="n"/>
      <c r="T709" s="88" t="n"/>
      <c r="U709" s="88" t="n"/>
      <c r="V709" s="89" t="n"/>
      <c r="W709" s="88" t="n"/>
      <c r="X709" s="89" t="n"/>
      <c r="Y709" s="88" t="n"/>
      <c r="Z709" s="89" t="n"/>
      <c r="AB709" s="30">
        <f>IF($B709="","",(COUNTIF(C709:E709,"?*")&lt;N(INDEX(Setup!$L$6:$L$23,2)))+(COUNTIF(G709:I709,"?*")&lt;N(INDEX(Setup!$L$6:$L$23,2)))+(COUNTIF(K709:M709,"?*")&lt;N(INDEX(Setup!$L$6:$L$23,2)))+(COUNTIF(O709:Q709,"?*")&lt;N(INDEX(Setup!$L$6:$L$23,2)))+(COUNTIF(S709:U709,"?*")&lt;N(INDEX(Setup!$L$6:$L$23,2)))+((W709="")*(INDEX(Setup!$M$6:$M$23,2)="Y"))+((Y709="")*(INDEX(Setup!$M$6:$M$23,2)="Y")))</f>
        <v/>
      </c>
      <c r="AC709" s="91">
        <f>IF($B709="","",IF(AB709=0,"✓ covered","⚠ "&amp;AB709&amp;IF(AB709=1," gap"," gaps")))</f>
        <v/>
      </c>
    </row>
    <row r="710" ht="17" customHeight="1">
      <c r="A710" t="n">
        <v>15</v>
      </c>
      <c r="B710" s="24">
        <f>IF(Setup!$K$8="","",Setup!$K$8)</f>
        <v/>
      </c>
      <c r="C710" s="88" t="n"/>
      <c r="D710" s="88" t="n"/>
      <c r="E710" s="88" t="n"/>
      <c r="F710" s="89" t="n"/>
      <c r="G710" s="88" t="n"/>
      <c r="H710" s="88" t="n"/>
      <c r="I710" s="88" t="n"/>
      <c r="J710" s="89" t="n"/>
      <c r="K710" s="88" t="n"/>
      <c r="L710" s="88" t="n"/>
      <c r="M710" s="88" t="n"/>
      <c r="N710" s="89" t="n"/>
      <c r="O710" s="88" t="n"/>
      <c r="P710" s="88" t="n"/>
      <c r="Q710" s="88" t="n"/>
      <c r="R710" s="89" t="n"/>
      <c r="S710" s="88" t="n"/>
      <c r="T710" s="88" t="n"/>
      <c r="U710" s="88" t="n"/>
      <c r="V710" s="89" t="n"/>
      <c r="W710" s="88" t="n"/>
      <c r="X710" s="89" t="n"/>
      <c r="Y710" s="88" t="n"/>
      <c r="Z710" s="89" t="n"/>
      <c r="AB710" s="25">
        <f>IF($B710="","",(COUNTIF(C710:E710,"?*")&lt;N(INDEX(Setup!$L$6:$L$23,3)))+(COUNTIF(G710:I710,"?*")&lt;N(INDEX(Setup!$L$6:$L$23,3)))+(COUNTIF(K710:M710,"?*")&lt;N(INDEX(Setup!$L$6:$L$23,3)))+(COUNTIF(O710:Q710,"?*")&lt;N(INDEX(Setup!$L$6:$L$23,3)))+(COUNTIF(S710:U710,"?*")&lt;N(INDEX(Setup!$L$6:$L$23,3)))+((W710="")*(INDEX(Setup!$M$6:$M$23,3)="Y"))+((Y710="")*(INDEX(Setup!$M$6:$M$23,3)="Y")))</f>
        <v/>
      </c>
      <c r="AC710" s="90">
        <f>IF($B710="","",IF(AB710=0,"✓ covered","⚠ "&amp;AB710&amp;IF(AB710=1," gap"," gaps")))</f>
        <v/>
      </c>
    </row>
    <row r="711" ht="17" customHeight="1">
      <c r="A711" t="n">
        <v>15</v>
      </c>
      <c r="B711" s="29">
        <f>IF(Setup!$K$9="","",Setup!$K$9)</f>
        <v/>
      </c>
      <c r="C711" s="88" t="n"/>
      <c r="D711" s="88" t="n"/>
      <c r="E711" s="88" t="n"/>
      <c r="F711" s="89" t="n"/>
      <c r="G711" s="88" t="n"/>
      <c r="H711" s="88" t="n"/>
      <c r="I711" s="88" t="n"/>
      <c r="J711" s="89" t="n"/>
      <c r="K711" s="88" t="n"/>
      <c r="L711" s="88" t="n"/>
      <c r="M711" s="88" t="n"/>
      <c r="N711" s="89" t="n"/>
      <c r="O711" s="88" t="n"/>
      <c r="P711" s="88" t="n"/>
      <c r="Q711" s="88" t="n"/>
      <c r="R711" s="89" t="n"/>
      <c r="S711" s="88" t="n"/>
      <c r="T711" s="88" t="n"/>
      <c r="U711" s="88" t="n"/>
      <c r="V711" s="89" t="n"/>
      <c r="W711" s="88" t="n"/>
      <c r="X711" s="89" t="n"/>
      <c r="Y711" s="88" t="n"/>
      <c r="Z711" s="89" t="n"/>
      <c r="AB711" s="30">
        <f>IF($B711="","",(COUNTIF(C711:E711,"?*")&lt;N(INDEX(Setup!$L$6:$L$23,4)))+(COUNTIF(G711:I711,"?*")&lt;N(INDEX(Setup!$L$6:$L$23,4)))+(COUNTIF(K711:M711,"?*")&lt;N(INDEX(Setup!$L$6:$L$23,4)))+(COUNTIF(O711:Q711,"?*")&lt;N(INDEX(Setup!$L$6:$L$23,4)))+(COUNTIF(S711:U711,"?*")&lt;N(INDEX(Setup!$L$6:$L$23,4)))+((W711="")*(INDEX(Setup!$M$6:$M$23,4)="Y"))+((Y711="")*(INDEX(Setup!$M$6:$M$23,4)="Y")))</f>
        <v/>
      </c>
      <c r="AC711" s="91">
        <f>IF($B711="","",IF(AB711=0,"✓ covered","⚠ "&amp;AB711&amp;IF(AB711=1," gap"," gaps")))</f>
        <v/>
      </c>
    </row>
    <row r="712" ht="17" customHeight="1">
      <c r="A712" t="n">
        <v>15</v>
      </c>
      <c r="B712" s="24">
        <f>IF(Setup!$K$10="","",Setup!$K$10)</f>
        <v/>
      </c>
      <c r="C712" s="88" t="n"/>
      <c r="D712" s="88" t="n"/>
      <c r="E712" s="88" t="n"/>
      <c r="F712" s="89" t="n"/>
      <c r="G712" s="88" t="n"/>
      <c r="H712" s="88" t="n"/>
      <c r="I712" s="88" t="n"/>
      <c r="J712" s="89" t="n"/>
      <c r="K712" s="88" t="n"/>
      <c r="L712" s="88" t="n"/>
      <c r="M712" s="88" t="n"/>
      <c r="N712" s="89" t="n"/>
      <c r="O712" s="88" t="n"/>
      <c r="P712" s="88" t="n"/>
      <c r="Q712" s="88" t="n"/>
      <c r="R712" s="89" t="n"/>
      <c r="S712" s="88" t="n"/>
      <c r="T712" s="88" t="n"/>
      <c r="U712" s="88" t="n"/>
      <c r="V712" s="89" t="n"/>
      <c r="W712" s="88" t="n"/>
      <c r="X712" s="89" t="n"/>
      <c r="Y712" s="88" t="n"/>
      <c r="Z712" s="89" t="n"/>
      <c r="AB712" s="25">
        <f>IF($B712="","",(COUNTIF(C712:E712,"?*")&lt;N(INDEX(Setup!$L$6:$L$23,5)))+(COUNTIF(G712:I712,"?*")&lt;N(INDEX(Setup!$L$6:$L$23,5)))+(COUNTIF(K712:M712,"?*")&lt;N(INDEX(Setup!$L$6:$L$23,5)))+(COUNTIF(O712:Q712,"?*")&lt;N(INDEX(Setup!$L$6:$L$23,5)))+(COUNTIF(S712:U712,"?*")&lt;N(INDEX(Setup!$L$6:$L$23,5)))+((W712="")*(INDEX(Setup!$M$6:$M$23,5)="Y"))+((Y712="")*(INDEX(Setup!$M$6:$M$23,5)="Y")))</f>
        <v/>
      </c>
      <c r="AC712" s="90">
        <f>IF($B712="","",IF(AB712=0,"✓ covered","⚠ "&amp;AB712&amp;IF(AB712=1," gap"," gaps")))</f>
        <v/>
      </c>
    </row>
    <row r="713" ht="17" customHeight="1">
      <c r="A713" t="n">
        <v>15</v>
      </c>
      <c r="B713" s="29">
        <f>IF(Setup!$K$11="","",Setup!$K$11)</f>
        <v/>
      </c>
      <c r="C713" s="88" t="n"/>
      <c r="D713" s="88" t="n"/>
      <c r="E713" s="88" t="n"/>
      <c r="F713" s="89" t="n"/>
      <c r="G713" s="88" t="n"/>
      <c r="H713" s="88" t="n"/>
      <c r="I713" s="88" t="n"/>
      <c r="J713" s="89" t="n"/>
      <c r="K713" s="88" t="n"/>
      <c r="L713" s="88" t="n"/>
      <c r="M713" s="88" t="n"/>
      <c r="N713" s="89" t="n"/>
      <c r="O713" s="88" t="n"/>
      <c r="P713" s="88" t="n"/>
      <c r="Q713" s="88" t="n"/>
      <c r="R713" s="89" t="n"/>
      <c r="S713" s="88" t="n"/>
      <c r="T713" s="88" t="n"/>
      <c r="U713" s="88" t="n"/>
      <c r="V713" s="89" t="n"/>
      <c r="W713" s="88" t="n"/>
      <c r="X713" s="89" t="n"/>
      <c r="Y713" s="88" t="n"/>
      <c r="Z713" s="89" t="n"/>
      <c r="AB713" s="30">
        <f>IF($B713="","",(COUNTIF(C713:E713,"?*")&lt;N(INDEX(Setup!$L$6:$L$23,6)))+(COUNTIF(G713:I713,"?*")&lt;N(INDEX(Setup!$L$6:$L$23,6)))+(COUNTIF(K713:M713,"?*")&lt;N(INDEX(Setup!$L$6:$L$23,6)))+(COUNTIF(O713:Q713,"?*")&lt;N(INDEX(Setup!$L$6:$L$23,6)))+(COUNTIF(S713:U713,"?*")&lt;N(INDEX(Setup!$L$6:$L$23,6)))+((W713="")*(INDEX(Setup!$M$6:$M$23,6)="Y"))+((Y713="")*(INDEX(Setup!$M$6:$M$23,6)="Y")))</f>
        <v/>
      </c>
      <c r="AC713" s="91">
        <f>IF($B713="","",IF(AB713=0,"✓ covered","⚠ "&amp;AB713&amp;IF(AB713=1," gap"," gaps")))</f>
        <v/>
      </c>
    </row>
    <row r="714" ht="17" customHeight="1">
      <c r="A714" t="n">
        <v>15</v>
      </c>
      <c r="B714" s="24">
        <f>IF(Setup!$K$12="","",Setup!$K$12)</f>
        <v/>
      </c>
      <c r="C714" s="88" t="n"/>
      <c r="D714" s="88" t="n"/>
      <c r="E714" s="88" t="n"/>
      <c r="F714" s="89" t="n"/>
      <c r="G714" s="88" t="n"/>
      <c r="H714" s="88" t="n"/>
      <c r="I714" s="88" t="n"/>
      <c r="J714" s="89" t="n"/>
      <c r="K714" s="88" t="n"/>
      <c r="L714" s="88" t="n"/>
      <c r="M714" s="88" t="n"/>
      <c r="N714" s="89" t="n"/>
      <c r="O714" s="88" t="n"/>
      <c r="P714" s="88" t="n"/>
      <c r="Q714" s="88" t="n"/>
      <c r="R714" s="89" t="n"/>
      <c r="S714" s="88" t="n"/>
      <c r="T714" s="88" t="n"/>
      <c r="U714" s="88" t="n"/>
      <c r="V714" s="89" t="n"/>
      <c r="W714" s="88" t="n"/>
      <c r="X714" s="89" t="n"/>
      <c r="Y714" s="88" t="n"/>
      <c r="Z714" s="89" t="n"/>
      <c r="AB714" s="25">
        <f>IF($B714="","",(COUNTIF(C714:E714,"?*")&lt;N(INDEX(Setup!$L$6:$L$23,7)))+(COUNTIF(G714:I714,"?*")&lt;N(INDEX(Setup!$L$6:$L$23,7)))+(COUNTIF(K714:M714,"?*")&lt;N(INDEX(Setup!$L$6:$L$23,7)))+(COUNTIF(O714:Q714,"?*")&lt;N(INDEX(Setup!$L$6:$L$23,7)))+(COUNTIF(S714:U714,"?*")&lt;N(INDEX(Setup!$L$6:$L$23,7)))+((W714="")*(INDEX(Setup!$M$6:$M$23,7)="Y"))+((Y714="")*(INDEX(Setup!$M$6:$M$23,7)="Y")))</f>
        <v/>
      </c>
      <c r="AC714" s="90">
        <f>IF($B714="","",IF(AB714=0,"✓ covered","⚠ "&amp;AB714&amp;IF(AB714=1," gap"," gaps")))</f>
        <v/>
      </c>
    </row>
    <row r="715" ht="17" customHeight="1">
      <c r="A715" t="n">
        <v>15</v>
      </c>
      <c r="B715" s="29">
        <f>IF(Setup!$K$13="","",Setup!$K$13)</f>
        <v/>
      </c>
      <c r="C715" s="88" t="n"/>
      <c r="D715" s="88" t="n"/>
      <c r="E715" s="88" t="n"/>
      <c r="F715" s="89" t="n"/>
      <c r="G715" s="88" t="n"/>
      <c r="H715" s="88" t="n"/>
      <c r="I715" s="88" t="n"/>
      <c r="J715" s="89" t="n"/>
      <c r="K715" s="88" t="n"/>
      <c r="L715" s="88" t="n"/>
      <c r="M715" s="88" t="n"/>
      <c r="N715" s="89" t="n"/>
      <c r="O715" s="88" t="n"/>
      <c r="P715" s="88" t="n"/>
      <c r="Q715" s="88" t="n"/>
      <c r="R715" s="89" t="n"/>
      <c r="S715" s="88" t="n"/>
      <c r="T715" s="88" t="n"/>
      <c r="U715" s="88" t="n"/>
      <c r="V715" s="89" t="n"/>
      <c r="W715" s="88" t="n"/>
      <c r="X715" s="89" t="n"/>
      <c r="Y715" s="88" t="n"/>
      <c r="Z715" s="89" t="n"/>
      <c r="AB715" s="30">
        <f>IF($B715="","",(COUNTIF(C715:E715,"?*")&lt;N(INDEX(Setup!$L$6:$L$23,8)))+(COUNTIF(G715:I715,"?*")&lt;N(INDEX(Setup!$L$6:$L$23,8)))+(COUNTIF(K715:M715,"?*")&lt;N(INDEX(Setup!$L$6:$L$23,8)))+(COUNTIF(O715:Q715,"?*")&lt;N(INDEX(Setup!$L$6:$L$23,8)))+(COUNTIF(S715:U715,"?*")&lt;N(INDEX(Setup!$L$6:$L$23,8)))+((W715="")*(INDEX(Setup!$M$6:$M$23,8)="Y"))+((Y715="")*(INDEX(Setup!$M$6:$M$23,8)="Y")))</f>
        <v/>
      </c>
      <c r="AC715" s="91">
        <f>IF($B715="","",IF(AB715=0,"✓ covered","⚠ "&amp;AB715&amp;IF(AB715=1," gap"," gaps")))</f>
        <v/>
      </c>
    </row>
    <row r="716" ht="17" customHeight="1">
      <c r="A716" t="n">
        <v>15</v>
      </c>
      <c r="B716" s="24">
        <f>IF(Setup!$K$14="","",Setup!$K$14)</f>
        <v/>
      </c>
      <c r="C716" s="88" t="n"/>
      <c r="D716" s="88" t="n"/>
      <c r="E716" s="88" t="n"/>
      <c r="F716" s="89" t="n"/>
      <c r="G716" s="88" t="n"/>
      <c r="H716" s="88" t="n"/>
      <c r="I716" s="88" t="n"/>
      <c r="J716" s="89" t="n"/>
      <c r="K716" s="88" t="n"/>
      <c r="L716" s="88" t="n"/>
      <c r="M716" s="88" t="n"/>
      <c r="N716" s="89" t="n"/>
      <c r="O716" s="88" t="n"/>
      <c r="P716" s="88" t="n"/>
      <c r="Q716" s="88" t="n"/>
      <c r="R716" s="89" t="n"/>
      <c r="S716" s="88" t="n"/>
      <c r="T716" s="88" t="n"/>
      <c r="U716" s="88" t="n"/>
      <c r="V716" s="89" t="n"/>
      <c r="W716" s="88" t="n"/>
      <c r="X716" s="89" t="n"/>
      <c r="Y716" s="88" t="n"/>
      <c r="Z716" s="89" t="n"/>
      <c r="AB716" s="25">
        <f>IF($B716="","",(COUNTIF(C716:E716,"?*")&lt;N(INDEX(Setup!$L$6:$L$23,9)))+(COUNTIF(G716:I716,"?*")&lt;N(INDEX(Setup!$L$6:$L$23,9)))+(COUNTIF(K716:M716,"?*")&lt;N(INDEX(Setup!$L$6:$L$23,9)))+(COUNTIF(O716:Q716,"?*")&lt;N(INDEX(Setup!$L$6:$L$23,9)))+(COUNTIF(S716:U716,"?*")&lt;N(INDEX(Setup!$L$6:$L$23,9)))+((W716="")*(INDEX(Setup!$M$6:$M$23,9)="Y"))+((Y716="")*(INDEX(Setup!$M$6:$M$23,9)="Y")))</f>
        <v/>
      </c>
      <c r="AC716" s="90">
        <f>IF($B716="","",IF(AB716=0,"✓ covered","⚠ "&amp;AB716&amp;IF(AB716=1," gap"," gaps")))</f>
        <v/>
      </c>
    </row>
    <row r="717" ht="17" customHeight="1">
      <c r="A717" t="n">
        <v>15</v>
      </c>
      <c r="B717" s="29">
        <f>IF(Setup!$K$15="","",Setup!$K$15)</f>
        <v/>
      </c>
      <c r="C717" s="88" t="n"/>
      <c r="D717" s="88" t="n"/>
      <c r="E717" s="88" t="n"/>
      <c r="F717" s="89" t="n"/>
      <c r="G717" s="88" t="n"/>
      <c r="H717" s="88" t="n"/>
      <c r="I717" s="88" t="n"/>
      <c r="J717" s="89" t="n"/>
      <c r="K717" s="88" t="n"/>
      <c r="L717" s="88" t="n"/>
      <c r="M717" s="88" t="n"/>
      <c r="N717" s="89" t="n"/>
      <c r="O717" s="88" t="n"/>
      <c r="P717" s="88" t="n"/>
      <c r="Q717" s="88" t="n"/>
      <c r="R717" s="89" t="n"/>
      <c r="S717" s="88" t="n"/>
      <c r="T717" s="88" t="n"/>
      <c r="U717" s="88" t="n"/>
      <c r="V717" s="89" t="n"/>
      <c r="W717" s="88" t="n"/>
      <c r="X717" s="89" t="n"/>
      <c r="Y717" s="88" t="n"/>
      <c r="Z717" s="89" t="n"/>
      <c r="AB717" s="30">
        <f>IF($B717="","",(COUNTIF(C717:E717,"?*")&lt;N(INDEX(Setup!$L$6:$L$23,10)))+(COUNTIF(G717:I717,"?*")&lt;N(INDEX(Setup!$L$6:$L$23,10)))+(COUNTIF(K717:M717,"?*")&lt;N(INDEX(Setup!$L$6:$L$23,10)))+(COUNTIF(O717:Q717,"?*")&lt;N(INDEX(Setup!$L$6:$L$23,10)))+(COUNTIF(S717:U717,"?*")&lt;N(INDEX(Setup!$L$6:$L$23,10)))+((W717="")*(INDEX(Setup!$M$6:$M$23,10)="Y"))+((Y717="")*(INDEX(Setup!$M$6:$M$23,10)="Y")))</f>
        <v/>
      </c>
      <c r="AC717" s="91">
        <f>IF($B717="","",IF(AB717=0,"✓ covered","⚠ "&amp;AB717&amp;IF(AB717=1," gap"," gaps")))</f>
        <v/>
      </c>
    </row>
    <row r="718" ht="17" customHeight="1">
      <c r="A718" t="n">
        <v>15</v>
      </c>
      <c r="B718" s="24">
        <f>IF(Setup!$K$16="","",Setup!$K$16)</f>
        <v/>
      </c>
      <c r="C718" s="88" t="n"/>
      <c r="D718" s="88" t="n"/>
      <c r="E718" s="88" t="n"/>
      <c r="F718" s="89" t="n"/>
      <c r="G718" s="88" t="n"/>
      <c r="H718" s="88" t="n"/>
      <c r="I718" s="88" t="n"/>
      <c r="J718" s="89" t="n"/>
      <c r="K718" s="88" t="n"/>
      <c r="L718" s="88" t="n"/>
      <c r="M718" s="88" t="n"/>
      <c r="N718" s="89" t="n"/>
      <c r="O718" s="88" t="n"/>
      <c r="P718" s="88" t="n"/>
      <c r="Q718" s="88" t="n"/>
      <c r="R718" s="89" t="n"/>
      <c r="S718" s="88" t="n"/>
      <c r="T718" s="88" t="n"/>
      <c r="U718" s="88" t="n"/>
      <c r="V718" s="89" t="n"/>
      <c r="W718" s="88" t="n"/>
      <c r="X718" s="89" t="n"/>
      <c r="Y718" s="88" t="n"/>
      <c r="Z718" s="89" t="n"/>
      <c r="AB718" s="25">
        <f>IF($B718="","",(COUNTIF(C718:E718,"?*")&lt;N(INDEX(Setup!$L$6:$L$23,11)))+(COUNTIF(G718:I718,"?*")&lt;N(INDEX(Setup!$L$6:$L$23,11)))+(COUNTIF(K718:M718,"?*")&lt;N(INDEX(Setup!$L$6:$L$23,11)))+(COUNTIF(O718:Q718,"?*")&lt;N(INDEX(Setup!$L$6:$L$23,11)))+(COUNTIF(S718:U718,"?*")&lt;N(INDEX(Setup!$L$6:$L$23,11)))+((W718="")*(INDEX(Setup!$M$6:$M$23,11)="Y"))+((Y718="")*(INDEX(Setup!$M$6:$M$23,11)="Y")))</f>
        <v/>
      </c>
      <c r="AC718" s="90">
        <f>IF($B718="","",IF(AB718=0,"✓ covered","⚠ "&amp;AB718&amp;IF(AB718=1," gap"," gaps")))</f>
        <v/>
      </c>
    </row>
    <row r="719" ht="17" customHeight="1">
      <c r="A719" t="n">
        <v>15</v>
      </c>
      <c r="B719" s="29">
        <f>IF(Setup!$K$17="","",Setup!$K$17)</f>
        <v/>
      </c>
      <c r="C719" s="88" t="n"/>
      <c r="D719" s="88" t="n"/>
      <c r="E719" s="88" t="n"/>
      <c r="F719" s="89" t="n"/>
      <c r="G719" s="88" t="n"/>
      <c r="H719" s="88" t="n"/>
      <c r="I719" s="88" t="n"/>
      <c r="J719" s="89" t="n"/>
      <c r="K719" s="88" t="n"/>
      <c r="L719" s="88" t="n"/>
      <c r="M719" s="88" t="n"/>
      <c r="N719" s="89" t="n"/>
      <c r="O719" s="88" t="n"/>
      <c r="P719" s="88" t="n"/>
      <c r="Q719" s="88" t="n"/>
      <c r="R719" s="89" t="n"/>
      <c r="S719" s="88" t="n"/>
      <c r="T719" s="88" t="n"/>
      <c r="U719" s="88" t="n"/>
      <c r="V719" s="89" t="n"/>
      <c r="W719" s="88" t="n"/>
      <c r="X719" s="89" t="n"/>
      <c r="Y719" s="88" t="n"/>
      <c r="Z719" s="89" t="n"/>
      <c r="AB719" s="30">
        <f>IF($B719="","",(COUNTIF(C719:E719,"?*")&lt;N(INDEX(Setup!$L$6:$L$23,12)))+(COUNTIF(G719:I719,"?*")&lt;N(INDEX(Setup!$L$6:$L$23,12)))+(COUNTIF(K719:M719,"?*")&lt;N(INDEX(Setup!$L$6:$L$23,12)))+(COUNTIF(O719:Q719,"?*")&lt;N(INDEX(Setup!$L$6:$L$23,12)))+(COUNTIF(S719:U719,"?*")&lt;N(INDEX(Setup!$L$6:$L$23,12)))+((W719="")*(INDEX(Setup!$M$6:$M$23,12)="Y"))+((Y719="")*(INDEX(Setup!$M$6:$M$23,12)="Y")))</f>
        <v/>
      </c>
      <c r="AC719" s="91">
        <f>IF($B719="","",IF(AB719=0,"✓ covered","⚠ "&amp;AB719&amp;IF(AB719=1," gap"," gaps")))</f>
        <v/>
      </c>
    </row>
    <row r="720" ht="17" customHeight="1">
      <c r="A720" t="n">
        <v>15</v>
      </c>
      <c r="B720" s="24">
        <f>IF(Setup!$K$18="","",Setup!$K$18)</f>
        <v/>
      </c>
      <c r="C720" s="88" t="n"/>
      <c r="D720" s="88" t="n"/>
      <c r="E720" s="88" t="n"/>
      <c r="F720" s="89" t="n"/>
      <c r="G720" s="88" t="n"/>
      <c r="H720" s="88" t="n"/>
      <c r="I720" s="88" t="n"/>
      <c r="J720" s="89" t="n"/>
      <c r="K720" s="88" t="n"/>
      <c r="L720" s="88" t="n"/>
      <c r="M720" s="88" t="n"/>
      <c r="N720" s="89" t="n"/>
      <c r="O720" s="88" t="n"/>
      <c r="P720" s="88" t="n"/>
      <c r="Q720" s="88" t="n"/>
      <c r="R720" s="89" t="n"/>
      <c r="S720" s="88" t="n"/>
      <c r="T720" s="88" t="n"/>
      <c r="U720" s="88" t="n"/>
      <c r="V720" s="89" t="n"/>
      <c r="W720" s="88" t="n"/>
      <c r="X720" s="89" t="n"/>
      <c r="Y720" s="88" t="n"/>
      <c r="Z720" s="89" t="n"/>
      <c r="AB720" s="25">
        <f>IF($B720="","",(COUNTIF(C720:E720,"?*")&lt;N(INDEX(Setup!$L$6:$L$23,13)))+(COUNTIF(G720:I720,"?*")&lt;N(INDEX(Setup!$L$6:$L$23,13)))+(COUNTIF(K720:M720,"?*")&lt;N(INDEX(Setup!$L$6:$L$23,13)))+(COUNTIF(O720:Q720,"?*")&lt;N(INDEX(Setup!$L$6:$L$23,13)))+(COUNTIF(S720:U720,"?*")&lt;N(INDEX(Setup!$L$6:$L$23,13)))+((W720="")*(INDEX(Setup!$M$6:$M$23,13)="Y"))+((Y720="")*(INDEX(Setup!$M$6:$M$23,13)="Y")))</f>
        <v/>
      </c>
      <c r="AC720" s="90">
        <f>IF($B720="","",IF(AB720=0,"✓ covered","⚠ "&amp;AB720&amp;IF(AB720=1," gap"," gaps")))</f>
        <v/>
      </c>
    </row>
    <row r="721" ht="17" customHeight="1">
      <c r="A721" t="n">
        <v>15</v>
      </c>
      <c r="B721" s="29">
        <f>IF(Setup!$K$19="","",Setup!$K$19)</f>
        <v/>
      </c>
      <c r="C721" s="88" t="n"/>
      <c r="D721" s="88" t="n"/>
      <c r="E721" s="88" t="n"/>
      <c r="F721" s="89" t="n"/>
      <c r="G721" s="88" t="n"/>
      <c r="H721" s="88" t="n"/>
      <c r="I721" s="88" t="n"/>
      <c r="J721" s="89" t="n"/>
      <c r="K721" s="88" t="n"/>
      <c r="L721" s="88" t="n"/>
      <c r="M721" s="88" t="n"/>
      <c r="N721" s="89" t="n"/>
      <c r="O721" s="88" t="n"/>
      <c r="P721" s="88" t="n"/>
      <c r="Q721" s="88" t="n"/>
      <c r="R721" s="89" t="n"/>
      <c r="S721" s="88" t="n"/>
      <c r="T721" s="88" t="n"/>
      <c r="U721" s="88" t="n"/>
      <c r="V721" s="89" t="n"/>
      <c r="W721" s="88" t="n"/>
      <c r="X721" s="89" t="n"/>
      <c r="Y721" s="88" t="n"/>
      <c r="Z721" s="89" t="n"/>
      <c r="AB721" s="30">
        <f>IF($B721="","",(COUNTIF(C721:E721,"?*")&lt;N(INDEX(Setup!$L$6:$L$23,14)))+(COUNTIF(G721:I721,"?*")&lt;N(INDEX(Setup!$L$6:$L$23,14)))+(COUNTIF(K721:M721,"?*")&lt;N(INDEX(Setup!$L$6:$L$23,14)))+(COUNTIF(O721:Q721,"?*")&lt;N(INDEX(Setup!$L$6:$L$23,14)))+(COUNTIF(S721:U721,"?*")&lt;N(INDEX(Setup!$L$6:$L$23,14)))+((W721="")*(INDEX(Setup!$M$6:$M$23,14)="Y"))+((Y721="")*(INDEX(Setup!$M$6:$M$23,14)="Y")))</f>
        <v/>
      </c>
      <c r="AC721" s="91">
        <f>IF($B721="","",IF(AB721=0,"✓ covered","⚠ "&amp;AB721&amp;IF(AB721=1," gap"," gaps")))</f>
        <v/>
      </c>
    </row>
    <row r="722" ht="17" customHeight="1">
      <c r="A722" t="n">
        <v>15</v>
      </c>
      <c r="B722" s="24">
        <f>IF(Setup!$K$20="","",Setup!$K$20)</f>
        <v/>
      </c>
      <c r="C722" s="88" t="n"/>
      <c r="D722" s="88" t="n"/>
      <c r="E722" s="88" t="n"/>
      <c r="F722" s="89" t="n"/>
      <c r="G722" s="88" t="n"/>
      <c r="H722" s="88" t="n"/>
      <c r="I722" s="88" t="n"/>
      <c r="J722" s="89" t="n"/>
      <c r="K722" s="88" t="n"/>
      <c r="L722" s="88" t="n"/>
      <c r="M722" s="88" t="n"/>
      <c r="N722" s="89" t="n"/>
      <c r="O722" s="88" t="n"/>
      <c r="P722" s="88" t="n"/>
      <c r="Q722" s="88" t="n"/>
      <c r="R722" s="89" t="n"/>
      <c r="S722" s="88" t="n"/>
      <c r="T722" s="88" t="n"/>
      <c r="U722" s="88" t="n"/>
      <c r="V722" s="89" t="n"/>
      <c r="W722" s="88" t="n"/>
      <c r="X722" s="89" t="n"/>
      <c r="Y722" s="88" t="n"/>
      <c r="Z722" s="89" t="n"/>
      <c r="AB722" s="25">
        <f>IF($B722="","",(COUNTIF(C722:E722,"?*")&lt;N(INDEX(Setup!$L$6:$L$23,15)))+(COUNTIF(G722:I722,"?*")&lt;N(INDEX(Setup!$L$6:$L$23,15)))+(COUNTIF(K722:M722,"?*")&lt;N(INDEX(Setup!$L$6:$L$23,15)))+(COUNTIF(O722:Q722,"?*")&lt;N(INDEX(Setup!$L$6:$L$23,15)))+(COUNTIF(S722:U722,"?*")&lt;N(INDEX(Setup!$L$6:$L$23,15)))+((W722="")*(INDEX(Setup!$M$6:$M$23,15)="Y"))+((Y722="")*(INDEX(Setup!$M$6:$M$23,15)="Y")))</f>
        <v/>
      </c>
      <c r="AC722" s="90">
        <f>IF($B722="","",IF(AB722=0,"✓ covered","⚠ "&amp;AB722&amp;IF(AB722=1," gap"," gaps")))</f>
        <v/>
      </c>
    </row>
    <row r="723" ht="17" customHeight="1">
      <c r="A723" t="n">
        <v>15</v>
      </c>
      <c r="B723" s="29">
        <f>IF(Setup!$K$21="","",Setup!$K$21)</f>
        <v/>
      </c>
      <c r="C723" s="88" t="n"/>
      <c r="D723" s="88" t="n"/>
      <c r="E723" s="88" t="n"/>
      <c r="F723" s="89" t="n"/>
      <c r="G723" s="88" t="n"/>
      <c r="H723" s="88" t="n"/>
      <c r="I723" s="88" t="n"/>
      <c r="J723" s="89" t="n"/>
      <c r="K723" s="88" t="n"/>
      <c r="L723" s="88" t="n"/>
      <c r="M723" s="88" t="n"/>
      <c r="N723" s="89" t="n"/>
      <c r="O723" s="88" t="n"/>
      <c r="P723" s="88" t="n"/>
      <c r="Q723" s="88" t="n"/>
      <c r="R723" s="89" t="n"/>
      <c r="S723" s="88" t="n"/>
      <c r="T723" s="88" t="n"/>
      <c r="U723" s="88" t="n"/>
      <c r="V723" s="89" t="n"/>
      <c r="W723" s="88" t="n"/>
      <c r="X723" s="89" t="n"/>
      <c r="Y723" s="88" t="n"/>
      <c r="Z723" s="89" t="n"/>
      <c r="AB723" s="30">
        <f>IF($B723="","",(COUNTIF(C723:E723,"?*")&lt;N(INDEX(Setup!$L$6:$L$23,16)))+(COUNTIF(G723:I723,"?*")&lt;N(INDEX(Setup!$L$6:$L$23,16)))+(COUNTIF(K723:M723,"?*")&lt;N(INDEX(Setup!$L$6:$L$23,16)))+(COUNTIF(O723:Q723,"?*")&lt;N(INDEX(Setup!$L$6:$L$23,16)))+(COUNTIF(S723:U723,"?*")&lt;N(INDEX(Setup!$L$6:$L$23,16)))+((W723="")*(INDEX(Setup!$M$6:$M$23,16)="Y"))+((Y723="")*(INDEX(Setup!$M$6:$M$23,16)="Y")))</f>
        <v/>
      </c>
      <c r="AC723" s="91">
        <f>IF($B723="","",IF(AB723=0,"✓ covered","⚠ "&amp;AB723&amp;IF(AB723=1," gap"," gaps")))</f>
        <v/>
      </c>
    </row>
    <row r="724" ht="17" customHeight="1">
      <c r="A724" t="n">
        <v>15</v>
      </c>
      <c r="B724" s="24">
        <f>IF(Setup!$K$22="","",Setup!$K$22)</f>
        <v/>
      </c>
      <c r="C724" s="88" t="n"/>
      <c r="D724" s="88" t="n"/>
      <c r="E724" s="88" t="n"/>
      <c r="F724" s="89" t="n"/>
      <c r="G724" s="88" t="n"/>
      <c r="H724" s="88" t="n"/>
      <c r="I724" s="88" t="n"/>
      <c r="J724" s="89" t="n"/>
      <c r="K724" s="88" t="n"/>
      <c r="L724" s="88" t="n"/>
      <c r="M724" s="88" t="n"/>
      <c r="N724" s="89" t="n"/>
      <c r="O724" s="88" t="n"/>
      <c r="P724" s="88" t="n"/>
      <c r="Q724" s="88" t="n"/>
      <c r="R724" s="89" t="n"/>
      <c r="S724" s="88" t="n"/>
      <c r="T724" s="88" t="n"/>
      <c r="U724" s="88" t="n"/>
      <c r="V724" s="89" t="n"/>
      <c r="W724" s="88" t="n"/>
      <c r="X724" s="89" t="n"/>
      <c r="Y724" s="88" t="n"/>
      <c r="Z724" s="89" t="n"/>
      <c r="AB724" s="25">
        <f>IF($B724="","",(COUNTIF(C724:E724,"?*")&lt;N(INDEX(Setup!$L$6:$L$23,17)))+(COUNTIF(G724:I724,"?*")&lt;N(INDEX(Setup!$L$6:$L$23,17)))+(COUNTIF(K724:M724,"?*")&lt;N(INDEX(Setup!$L$6:$L$23,17)))+(COUNTIF(O724:Q724,"?*")&lt;N(INDEX(Setup!$L$6:$L$23,17)))+(COUNTIF(S724:U724,"?*")&lt;N(INDEX(Setup!$L$6:$L$23,17)))+((W724="")*(INDEX(Setup!$M$6:$M$23,17)="Y"))+((Y724="")*(INDEX(Setup!$M$6:$M$23,17)="Y")))</f>
        <v/>
      </c>
      <c r="AC724" s="90">
        <f>IF($B724="","",IF(AB724=0,"✓ covered","⚠ "&amp;AB724&amp;IF(AB724=1," gap"," gaps")))</f>
        <v/>
      </c>
    </row>
    <row r="725" ht="17" customHeight="1">
      <c r="A725" t="n">
        <v>15</v>
      </c>
      <c r="B725" s="29">
        <f>IF(Setup!$K$23="","",Setup!$K$23)</f>
        <v/>
      </c>
      <c r="C725" s="88" t="n"/>
      <c r="D725" s="88" t="n"/>
      <c r="E725" s="88" t="n"/>
      <c r="F725" s="89" t="n"/>
      <c r="G725" s="88" t="n"/>
      <c r="H725" s="88" t="n"/>
      <c r="I725" s="88" t="n"/>
      <c r="J725" s="89" t="n"/>
      <c r="K725" s="88" t="n"/>
      <c r="L725" s="88" t="n"/>
      <c r="M725" s="88" t="n"/>
      <c r="N725" s="89" t="n"/>
      <c r="O725" s="88" t="n"/>
      <c r="P725" s="88" t="n"/>
      <c r="Q725" s="88" t="n"/>
      <c r="R725" s="89" t="n"/>
      <c r="S725" s="88" t="n"/>
      <c r="T725" s="88" t="n"/>
      <c r="U725" s="88" t="n"/>
      <c r="V725" s="89" t="n"/>
      <c r="W725" s="88" t="n"/>
      <c r="X725" s="89" t="n"/>
      <c r="Y725" s="88" t="n"/>
      <c r="Z725" s="89" t="n"/>
      <c r="AB725" s="30">
        <f>IF($B725="","",(COUNTIF(C725:E725,"?*")&lt;N(INDEX(Setup!$L$6:$L$23,18)))+(COUNTIF(G725:I725,"?*")&lt;N(INDEX(Setup!$L$6:$L$23,18)))+(COUNTIF(K725:M725,"?*")&lt;N(INDEX(Setup!$L$6:$L$23,18)))+(COUNTIF(O725:Q725,"?*")&lt;N(INDEX(Setup!$L$6:$L$23,18)))+(COUNTIF(S725:U725,"?*")&lt;N(INDEX(Setup!$L$6:$L$23,18)))+((W725="")*(INDEX(Setup!$M$6:$M$23,18)="Y"))+((Y725="")*(INDEX(Setup!$M$6:$M$23,18)="Y")))</f>
        <v/>
      </c>
      <c r="AC725" s="91">
        <f>IF($B725="","",IF(AB725=0,"✓ covered","⚠ "&amp;AB725&amp;IF(AB725=1," gap"," gaps")))</f>
        <v/>
      </c>
    </row>
    <row r="726" ht="18" customHeight="1">
      <c r="A726" t="n">
        <v>15</v>
      </c>
      <c r="B726" s="78" t="inlineStr">
        <is>
          <t>TEAM AVAILABILITY</t>
        </is>
      </c>
      <c r="C726" s="92" t="inlineStr">
        <is>
          <t>Mon</t>
        </is>
      </c>
      <c r="D726" s="93" t="n"/>
      <c r="E726" s="93" t="n"/>
      <c r="F726" s="94" t="n"/>
      <c r="G726" s="92" t="inlineStr">
        <is>
          <t>Tue</t>
        </is>
      </c>
      <c r="H726" s="93" t="n"/>
      <c r="I726" s="93" t="n"/>
      <c r="J726" s="94" t="n"/>
      <c r="K726" s="92" t="inlineStr">
        <is>
          <t>Wed</t>
        </is>
      </c>
      <c r="L726" s="93" t="n"/>
      <c r="M726" s="93" t="n"/>
      <c r="N726" s="94" t="n"/>
      <c r="O726" s="92" t="inlineStr">
        <is>
          <t>Thu</t>
        </is>
      </c>
      <c r="P726" s="93" t="n"/>
      <c r="Q726" s="93" t="n"/>
      <c r="R726" s="94" t="n"/>
      <c r="S726" s="92" t="inlineStr">
        <is>
          <t>Fri</t>
        </is>
      </c>
      <c r="T726" s="93" t="n"/>
      <c r="U726" s="93" t="n"/>
      <c r="V726" s="94" t="n"/>
      <c r="W726" s="95" t="inlineStr">
        <is>
          <t>Sat</t>
        </is>
      </c>
      <c r="X726" s="96" t="n"/>
      <c r="Y726" s="95" t="inlineStr">
        <is>
          <t>Sun</t>
        </is>
      </c>
      <c r="Z726" s="96" t="n"/>
      <c r="AB726" s="97" t="inlineStr">
        <is>
          <t>Days rostered</t>
        </is>
      </c>
      <c r="AC726" s="97" t="inlineStr">
        <is>
          <t>Conflicts</t>
        </is>
      </c>
    </row>
    <row r="727" ht="15" customHeight="1">
      <c r="A727" t="n">
        <v>15</v>
      </c>
      <c r="B727" s="35">
        <f>IF(Setup!$B$6="","",Setup!$B$6)</f>
        <v/>
      </c>
      <c r="C727" s="98" t="n"/>
      <c r="D727" s="99" t="n"/>
      <c r="E727" s="99" t="n"/>
      <c r="F727" s="100" t="n"/>
      <c r="G727" s="98" t="n"/>
      <c r="H727" s="99" t="n"/>
      <c r="I727" s="99" t="n"/>
      <c r="J727" s="100" t="n"/>
      <c r="K727" s="98" t="n"/>
      <c r="L727" s="99" t="n"/>
      <c r="M727" s="99" t="n"/>
      <c r="N727" s="100" t="n"/>
      <c r="O727" s="98" t="n"/>
      <c r="P727" s="99" t="n"/>
      <c r="Q727" s="99" t="n"/>
      <c r="R727" s="100" t="n"/>
      <c r="S727" s="98" t="n"/>
      <c r="T727" s="99" t="n"/>
      <c r="U727" s="99" t="n"/>
      <c r="V727" s="100" t="n"/>
      <c r="W727" s="98" t="n"/>
      <c r="X727" s="100" t="n"/>
      <c r="Y727" s="98" t="n"/>
      <c r="Z727" s="100" t="n"/>
      <c r="AB727" s="101">
        <f>IF($B727="","",(COUNTIF(C708:E725,$B727)+COUNTIF(C708:E725,$B727&amp;" ~*")&gt;0)+(COUNTIF(G708:I725,$B727)+COUNTIF(G708:I725,$B727&amp;" ~*")&gt;0)+(COUNTIF(K708:M725,$B727)+COUNTIF(K708:M725,$B727&amp;" ~*")&gt;0)+(COUNTIF(O708:Q725,$B727)+COUNTIF(O708:Q725,$B727&amp;" ~*")&gt;0)+(COUNTIF(S708:U725,$B727)+COUNTIF(S708:U725,$B727&amp;" ~*")&gt;0)+(COUNTIF(W708:W725,$B727)+COUNTIF(W708:W725,$B727&amp;" ~*")&gt;0)+(COUNTIF(Y708:Y725,$B727)+COUNTIF(Y708:Y725,$B727&amp;" ~*")&gt;0))</f>
        <v/>
      </c>
      <c r="AC727" s="36">
        <f>IF($B727="","",(IFERROR(INDEX(Setup!$G$33:$G$40,MATCH(C727,Setup!$B$33:$B$40,0)),0)=1)*(COUNTIF(C708:E725,$B727)+COUNTIF(C708:E725,$B727&amp;" ~*")&gt;0)+(IFERROR(INDEX(Setup!$G$33:$G$40,MATCH(G727,Setup!$B$33:$B$40,0)),0)=1)*(COUNTIF(G708:I725,$B727)+COUNTIF(G708:I725,$B727&amp;" ~*")&gt;0)+(IFERROR(INDEX(Setup!$G$33:$G$40,MATCH(K727,Setup!$B$33:$B$40,0)),0)=1)*(COUNTIF(K708:M725,$B727)+COUNTIF(K708:M725,$B727&amp;" ~*")&gt;0)+(IFERROR(INDEX(Setup!$G$33:$G$40,MATCH(O727,Setup!$B$33:$B$40,0)),0)=1)*(COUNTIF(O708:Q725,$B727)+COUNTIF(O708:Q725,$B727&amp;" ~*")&gt;0)+(IFERROR(INDEX(Setup!$G$33:$G$40,MATCH(S727,Setup!$B$33:$B$40,0)),0)=1)*(COUNTIF(S708:U725,$B727)+COUNTIF(S708:U725,$B727&amp;" ~*")&gt;0)+(IFERROR(INDEX(Setup!$G$33:$G$40,MATCH(W727,Setup!$B$33:$B$40,0)),0)=1)*(COUNTIF(W708:W725,$B727)+COUNTIF(W708:W725,$B727&amp;" ~*")&gt;0)+(IFERROR(INDEX(Setup!$G$33:$G$40,MATCH(Y727,Setup!$B$33:$B$40,0)),0)=1)*(COUNTIF(Y708:Y725,$B727)+COUNTIF(Y708:Y725,$B727&amp;" ~*")&gt;0))</f>
        <v/>
      </c>
    </row>
    <row r="728" ht="15" customHeight="1">
      <c r="A728" t="n">
        <v>15</v>
      </c>
      <c r="B728" s="37">
        <f>IF(Setup!$B$7="","",Setup!$B$7)</f>
        <v/>
      </c>
      <c r="C728" s="102" t="n"/>
      <c r="D728" s="103" t="n"/>
      <c r="E728" s="103" t="n"/>
      <c r="F728" s="104" t="n"/>
      <c r="G728" s="102" t="n"/>
      <c r="H728" s="103" t="n"/>
      <c r="I728" s="103" t="n"/>
      <c r="J728" s="104" t="n"/>
      <c r="K728" s="102" t="n"/>
      <c r="L728" s="103" t="n"/>
      <c r="M728" s="103" t="n"/>
      <c r="N728" s="104" t="n"/>
      <c r="O728" s="102" t="n"/>
      <c r="P728" s="103" t="n"/>
      <c r="Q728" s="103" t="n"/>
      <c r="R728" s="104" t="n"/>
      <c r="S728" s="102" t="n"/>
      <c r="T728" s="103" t="n"/>
      <c r="U728" s="103" t="n"/>
      <c r="V728" s="104" t="n"/>
      <c r="W728" s="102" t="n"/>
      <c r="X728" s="104" t="n"/>
      <c r="Y728" s="102" t="n"/>
      <c r="Z728" s="104" t="n"/>
      <c r="AB728" s="105">
        <f>IF($B728="","",(COUNTIF(C708:E725,$B728)+COUNTIF(C708:E725,$B728&amp;" ~*")&gt;0)+(COUNTIF(G708:I725,$B728)+COUNTIF(G708:I725,$B728&amp;" ~*")&gt;0)+(COUNTIF(K708:M725,$B728)+COUNTIF(K708:M725,$B728&amp;" ~*")&gt;0)+(COUNTIF(O708:Q725,$B728)+COUNTIF(O708:Q725,$B728&amp;" ~*")&gt;0)+(COUNTIF(S708:U725,$B728)+COUNTIF(S708:U725,$B728&amp;" ~*")&gt;0)+(COUNTIF(W708:W725,$B728)+COUNTIF(W708:W725,$B728&amp;" ~*")&gt;0)+(COUNTIF(Y708:Y725,$B728)+COUNTIF(Y708:Y725,$B728&amp;" ~*")&gt;0))</f>
        <v/>
      </c>
      <c r="AC728" s="38">
        <f>IF($B728="","",(IFERROR(INDEX(Setup!$G$33:$G$40,MATCH(C728,Setup!$B$33:$B$40,0)),0)=1)*(COUNTIF(C708:E725,$B728)+COUNTIF(C708:E725,$B728&amp;" ~*")&gt;0)+(IFERROR(INDEX(Setup!$G$33:$G$40,MATCH(G728,Setup!$B$33:$B$40,0)),0)=1)*(COUNTIF(G708:I725,$B728)+COUNTIF(G708:I725,$B728&amp;" ~*")&gt;0)+(IFERROR(INDEX(Setup!$G$33:$G$40,MATCH(K728,Setup!$B$33:$B$40,0)),0)=1)*(COUNTIF(K708:M725,$B728)+COUNTIF(K708:M725,$B728&amp;" ~*")&gt;0)+(IFERROR(INDEX(Setup!$G$33:$G$40,MATCH(O728,Setup!$B$33:$B$40,0)),0)=1)*(COUNTIF(O708:Q725,$B728)+COUNTIF(O708:Q725,$B728&amp;" ~*")&gt;0)+(IFERROR(INDEX(Setup!$G$33:$G$40,MATCH(S728,Setup!$B$33:$B$40,0)),0)=1)*(COUNTIF(S708:U725,$B728)+COUNTIF(S708:U725,$B728&amp;" ~*")&gt;0)+(IFERROR(INDEX(Setup!$G$33:$G$40,MATCH(W728,Setup!$B$33:$B$40,0)),0)=1)*(COUNTIF(W708:W725,$B728)+COUNTIF(W708:W725,$B728&amp;" ~*")&gt;0)+(IFERROR(INDEX(Setup!$G$33:$G$40,MATCH(Y728,Setup!$B$33:$B$40,0)),0)=1)*(COUNTIF(Y708:Y725,$B728)+COUNTIF(Y708:Y725,$B728&amp;" ~*")&gt;0))</f>
        <v/>
      </c>
    </row>
    <row r="729" ht="15" customHeight="1">
      <c r="A729" t="n">
        <v>15</v>
      </c>
      <c r="B729" s="35">
        <f>IF(Setup!$B$8="","",Setup!$B$8)</f>
        <v/>
      </c>
      <c r="C729" s="98" t="n"/>
      <c r="D729" s="99" t="n"/>
      <c r="E729" s="99" t="n"/>
      <c r="F729" s="100" t="n"/>
      <c r="G729" s="98" t="n"/>
      <c r="H729" s="99" t="n"/>
      <c r="I729" s="99" t="n"/>
      <c r="J729" s="100" t="n"/>
      <c r="K729" s="98" t="n"/>
      <c r="L729" s="99" t="n"/>
      <c r="M729" s="99" t="n"/>
      <c r="N729" s="100" t="n"/>
      <c r="O729" s="98" t="n"/>
      <c r="P729" s="99" t="n"/>
      <c r="Q729" s="99" t="n"/>
      <c r="R729" s="100" t="n"/>
      <c r="S729" s="98" t="n"/>
      <c r="T729" s="99" t="n"/>
      <c r="U729" s="99" t="n"/>
      <c r="V729" s="100" t="n"/>
      <c r="W729" s="98" t="n"/>
      <c r="X729" s="100" t="n"/>
      <c r="Y729" s="98" t="n"/>
      <c r="Z729" s="100" t="n"/>
      <c r="AB729" s="101">
        <f>IF($B729="","",(COUNTIF(C708:E725,$B729)+COUNTIF(C708:E725,$B729&amp;" ~*")&gt;0)+(COUNTIF(G708:I725,$B729)+COUNTIF(G708:I725,$B729&amp;" ~*")&gt;0)+(COUNTIF(K708:M725,$B729)+COUNTIF(K708:M725,$B729&amp;" ~*")&gt;0)+(COUNTIF(O708:Q725,$B729)+COUNTIF(O708:Q725,$B729&amp;" ~*")&gt;0)+(COUNTIF(S708:U725,$B729)+COUNTIF(S708:U725,$B729&amp;" ~*")&gt;0)+(COUNTIF(W708:W725,$B729)+COUNTIF(W708:W725,$B729&amp;" ~*")&gt;0)+(COUNTIF(Y708:Y725,$B729)+COUNTIF(Y708:Y725,$B729&amp;" ~*")&gt;0))</f>
        <v/>
      </c>
      <c r="AC729" s="36">
        <f>IF($B729="","",(IFERROR(INDEX(Setup!$G$33:$G$40,MATCH(C729,Setup!$B$33:$B$40,0)),0)=1)*(COUNTIF(C708:E725,$B729)+COUNTIF(C708:E725,$B729&amp;" ~*")&gt;0)+(IFERROR(INDEX(Setup!$G$33:$G$40,MATCH(G729,Setup!$B$33:$B$40,0)),0)=1)*(COUNTIF(G708:I725,$B729)+COUNTIF(G708:I725,$B729&amp;" ~*")&gt;0)+(IFERROR(INDEX(Setup!$G$33:$G$40,MATCH(K729,Setup!$B$33:$B$40,0)),0)=1)*(COUNTIF(K708:M725,$B729)+COUNTIF(K708:M725,$B729&amp;" ~*")&gt;0)+(IFERROR(INDEX(Setup!$G$33:$G$40,MATCH(O729,Setup!$B$33:$B$40,0)),0)=1)*(COUNTIF(O708:Q725,$B729)+COUNTIF(O708:Q725,$B729&amp;" ~*")&gt;0)+(IFERROR(INDEX(Setup!$G$33:$G$40,MATCH(S729,Setup!$B$33:$B$40,0)),0)=1)*(COUNTIF(S708:U725,$B729)+COUNTIF(S708:U725,$B729&amp;" ~*")&gt;0)+(IFERROR(INDEX(Setup!$G$33:$G$40,MATCH(W729,Setup!$B$33:$B$40,0)),0)=1)*(COUNTIF(W708:W725,$B729)+COUNTIF(W708:W725,$B729&amp;" ~*")&gt;0)+(IFERROR(INDEX(Setup!$G$33:$G$40,MATCH(Y729,Setup!$B$33:$B$40,0)),0)=1)*(COUNTIF(Y708:Y725,$B729)+COUNTIF(Y708:Y725,$B729&amp;" ~*")&gt;0))</f>
        <v/>
      </c>
    </row>
    <row r="730" ht="15" customHeight="1">
      <c r="A730" t="n">
        <v>15</v>
      </c>
      <c r="B730" s="37">
        <f>IF(Setup!$B$9="","",Setup!$B$9)</f>
        <v/>
      </c>
      <c r="C730" s="102" t="n"/>
      <c r="D730" s="103" t="n"/>
      <c r="E730" s="103" t="n"/>
      <c r="F730" s="104" t="n"/>
      <c r="G730" s="102" t="n"/>
      <c r="H730" s="103" t="n"/>
      <c r="I730" s="103" t="n"/>
      <c r="J730" s="104" t="n"/>
      <c r="K730" s="102" t="n"/>
      <c r="L730" s="103" t="n"/>
      <c r="M730" s="103" t="n"/>
      <c r="N730" s="104" t="n"/>
      <c r="O730" s="102" t="n"/>
      <c r="P730" s="103" t="n"/>
      <c r="Q730" s="103" t="n"/>
      <c r="R730" s="104" t="n"/>
      <c r="S730" s="102" t="n"/>
      <c r="T730" s="103" t="n"/>
      <c r="U730" s="103" t="n"/>
      <c r="V730" s="104" t="n"/>
      <c r="W730" s="102" t="n"/>
      <c r="X730" s="104" t="n"/>
      <c r="Y730" s="102" t="n"/>
      <c r="Z730" s="104" t="n"/>
      <c r="AB730" s="105">
        <f>IF($B730="","",(COUNTIF(C708:E725,$B730)+COUNTIF(C708:E725,$B730&amp;" ~*")&gt;0)+(COUNTIF(G708:I725,$B730)+COUNTIF(G708:I725,$B730&amp;" ~*")&gt;0)+(COUNTIF(K708:M725,$B730)+COUNTIF(K708:M725,$B730&amp;" ~*")&gt;0)+(COUNTIF(O708:Q725,$B730)+COUNTIF(O708:Q725,$B730&amp;" ~*")&gt;0)+(COUNTIF(S708:U725,$B730)+COUNTIF(S708:U725,$B730&amp;" ~*")&gt;0)+(COUNTIF(W708:W725,$B730)+COUNTIF(W708:W725,$B730&amp;" ~*")&gt;0)+(COUNTIF(Y708:Y725,$B730)+COUNTIF(Y708:Y725,$B730&amp;" ~*")&gt;0))</f>
        <v/>
      </c>
      <c r="AC730" s="38">
        <f>IF($B730="","",(IFERROR(INDEX(Setup!$G$33:$G$40,MATCH(C730,Setup!$B$33:$B$40,0)),0)=1)*(COUNTIF(C708:E725,$B730)+COUNTIF(C708:E725,$B730&amp;" ~*")&gt;0)+(IFERROR(INDEX(Setup!$G$33:$G$40,MATCH(G730,Setup!$B$33:$B$40,0)),0)=1)*(COUNTIF(G708:I725,$B730)+COUNTIF(G708:I725,$B730&amp;" ~*")&gt;0)+(IFERROR(INDEX(Setup!$G$33:$G$40,MATCH(K730,Setup!$B$33:$B$40,0)),0)=1)*(COUNTIF(K708:M725,$B730)+COUNTIF(K708:M725,$B730&amp;" ~*")&gt;0)+(IFERROR(INDEX(Setup!$G$33:$G$40,MATCH(O730,Setup!$B$33:$B$40,0)),0)=1)*(COUNTIF(O708:Q725,$B730)+COUNTIF(O708:Q725,$B730&amp;" ~*")&gt;0)+(IFERROR(INDEX(Setup!$G$33:$G$40,MATCH(S730,Setup!$B$33:$B$40,0)),0)=1)*(COUNTIF(S708:U725,$B730)+COUNTIF(S708:U725,$B730&amp;" ~*")&gt;0)+(IFERROR(INDEX(Setup!$G$33:$G$40,MATCH(W730,Setup!$B$33:$B$40,0)),0)=1)*(COUNTIF(W708:W725,$B730)+COUNTIF(W708:W725,$B730&amp;" ~*")&gt;0)+(IFERROR(INDEX(Setup!$G$33:$G$40,MATCH(Y730,Setup!$B$33:$B$40,0)),0)=1)*(COUNTIF(Y708:Y725,$B730)+COUNTIF(Y708:Y725,$B730&amp;" ~*")&gt;0))</f>
        <v/>
      </c>
    </row>
    <row r="731" ht="15" customHeight="1">
      <c r="A731" t="n">
        <v>15</v>
      </c>
      <c r="B731" s="35">
        <f>IF(Setup!$B$10="","",Setup!$B$10)</f>
        <v/>
      </c>
      <c r="C731" s="98" t="n"/>
      <c r="D731" s="99" t="n"/>
      <c r="E731" s="99" t="n"/>
      <c r="F731" s="100" t="n"/>
      <c r="G731" s="98" t="n"/>
      <c r="H731" s="99" t="n"/>
      <c r="I731" s="99" t="n"/>
      <c r="J731" s="100" t="n"/>
      <c r="K731" s="98" t="n"/>
      <c r="L731" s="99" t="n"/>
      <c r="M731" s="99" t="n"/>
      <c r="N731" s="100" t="n"/>
      <c r="O731" s="98" t="n"/>
      <c r="P731" s="99" t="n"/>
      <c r="Q731" s="99" t="n"/>
      <c r="R731" s="100" t="n"/>
      <c r="S731" s="98" t="n"/>
      <c r="T731" s="99" t="n"/>
      <c r="U731" s="99" t="n"/>
      <c r="V731" s="100" t="n"/>
      <c r="W731" s="98" t="n"/>
      <c r="X731" s="100" t="n"/>
      <c r="Y731" s="98" t="n"/>
      <c r="Z731" s="100" t="n"/>
      <c r="AB731" s="101">
        <f>IF($B731="","",(COUNTIF(C708:E725,$B731)+COUNTIF(C708:E725,$B731&amp;" ~*")&gt;0)+(COUNTIF(G708:I725,$B731)+COUNTIF(G708:I725,$B731&amp;" ~*")&gt;0)+(COUNTIF(K708:M725,$B731)+COUNTIF(K708:M725,$B731&amp;" ~*")&gt;0)+(COUNTIF(O708:Q725,$B731)+COUNTIF(O708:Q725,$B731&amp;" ~*")&gt;0)+(COUNTIF(S708:U725,$B731)+COUNTIF(S708:U725,$B731&amp;" ~*")&gt;0)+(COUNTIF(W708:W725,$B731)+COUNTIF(W708:W725,$B731&amp;" ~*")&gt;0)+(COUNTIF(Y708:Y725,$B731)+COUNTIF(Y708:Y725,$B731&amp;" ~*")&gt;0))</f>
        <v/>
      </c>
      <c r="AC731" s="36">
        <f>IF($B731="","",(IFERROR(INDEX(Setup!$G$33:$G$40,MATCH(C731,Setup!$B$33:$B$40,0)),0)=1)*(COUNTIF(C708:E725,$B731)+COUNTIF(C708:E725,$B731&amp;" ~*")&gt;0)+(IFERROR(INDEX(Setup!$G$33:$G$40,MATCH(G731,Setup!$B$33:$B$40,0)),0)=1)*(COUNTIF(G708:I725,$B731)+COUNTIF(G708:I725,$B731&amp;" ~*")&gt;0)+(IFERROR(INDEX(Setup!$G$33:$G$40,MATCH(K731,Setup!$B$33:$B$40,0)),0)=1)*(COUNTIF(K708:M725,$B731)+COUNTIF(K708:M725,$B731&amp;" ~*")&gt;0)+(IFERROR(INDEX(Setup!$G$33:$G$40,MATCH(O731,Setup!$B$33:$B$40,0)),0)=1)*(COUNTIF(O708:Q725,$B731)+COUNTIF(O708:Q725,$B731&amp;" ~*")&gt;0)+(IFERROR(INDEX(Setup!$G$33:$G$40,MATCH(S731,Setup!$B$33:$B$40,0)),0)=1)*(COUNTIF(S708:U725,$B731)+COUNTIF(S708:U725,$B731&amp;" ~*")&gt;0)+(IFERROR(INDEX(Setup!$G$33:$G$40,MATCH(W731,Setup!$B$33:$B$40,0)),0)=1)*(COUNTIF(W708:W725,$B731)+COUNTIF(W708:W725,$B731&amp;" ~*")&gt;0)+(IFERROR(INDEX(Setup!$G$33:$G$40,MATCH(Y731,Setup!$B$33:$B$40,0)),0)=1)*(COUNTIF(Y708:Y725,$B731)+COUNTIF(Y708:Y725,$B731&amp;" ~*")&gt;0))</f>
        <v/>
      </c>
    </row>
    <row r="732" ht="15" customHeight="1">
      <c r="A732" t="n">
        <v>15</v>
      </c>
      <c r="B732" s="37">
        <f>IF(Setup!$B$11="","",Setup!$B$11)</f>
        <v/>
      </c>
      <c r="C732" s="102" t="n"/>
      <c r="D732" s="103" t="n"/>
      <c r="E732" s="103" t="n"/>
      <c r="F732" s="104" t="n"/>
      <c r="G732" s="102" t="n"/>
      <c r="H732" s="103" t="n"/>
      <c r="I732" s="103" t="n"/>
      <c r="J732" s="104" t="n"/>
      <c r="K732" s="102" t="n"/>
      <c r="L732" s="103" t="n"/>
      <c r="M732" s="103" t="n"/>
      <c r="N732" s="104" t="n"/>
      <c r="O732" s="102" t="n"/>
      <c r="P732" s="103" t="n"/>
      <c r="Q732" s="103" t="n"/>
      <c r="R732" s="104" t="n"/>
      <c r="S732" s="102" t="n"/>
      <c r="T732" s="103" t="n"/>
      <c r="U732" s="103" t="n"/>
      <c r="V732" s="104" t="n"/>
      <c r="W732" s="102" t="n"/>
      <c r="X732" s="104" t="n"/>
      <c r="Y732" s="102" t="n"/>
      <c r="Z732" s="104" t="n"/>
      <c r="AB732" s="105">
        <f>IF($B732="","",(COUNTIF(C708:E725,$B732)+COUNTIF(C708:E725,$B732&amp;" ~*")&gt;0)+(COUNTIF(G708:I725,$B732)+COUNTIF(G708:I725,$B732&amp;" ~*")&gt;0)+(COUNTIF(K708:M725,$B732)+COUNTIF(K708:M725,$B732&amp;" ~*")&gt;0)+(COUNTIF(O708:Q725,$B732)+COUNTIF(O708:Q725,$B732&amp;" ~*")&gt;0)+(COUNTIF(S708:U725,$B732)+COUNTIF(S708:U725,$B732&amp;" ~*")&gt;0)+(COUNTIF(W708:W725,$B732)+COUNTIF(W708:W725,$B732&amp;" ~*")&gt;0)+(COUNTIF(Y708:Y725,$B732)+COUNTIF(Y708:Y725,$B732&amp;" ~*")&gt;0))</f>
        <v/>
      </c>
      <c r="AC732" s="38">
        <f>IF($B732="","",(IFERROR(INDEX(Setup!$G$33:$G$40,MATCH(C732,Setup!$B$33:$B$40,0)),0)=1)*(COUNTIF(C708:E725,$B732)+COUNTIF(C708:E725,$B732&amp;" ~*")&gt;0)+(IFERROR(INDEX(Setup!$G$33:$G$40,MATCH(G732,Setup!$B$33:$B$40,0)),0)=1)*(COUNTIF(G708:I725,$B732)+COUNTIF(G708:I725,$B732&amp;" ~*")&gt;0)+(IFERROR(INDEX(Setup!$G$33:$G$40,MATCH(K732,Setup!$B$33:$B$40,0)),0)=1)*(COUNTIF(K708:M725,$B732)+COUNTIF(K708:M725,$B732&amp;" ~*")&gt;0)+(IFERROR(INDEX(Setup!$G$33:$G$40,MATCH(O732,Setup!$B$33:$B$40,0)),0)=1)*(COUNTIF(O708:Q725,$B732)+COUNTIF(O708:Q725,$B732&amp;" ~*")&gt;0)+(IFERROR(INDEX(Setup!$G$33:$G$40,MATCH(S732,Setup!$B$33:$B$40,0)),0)=1)*(COUNTIF(S708:U725,$B732)+COUNTIF(S708:U725,$B732&amp;" ~*")&gt;0)+(IFERROR(INDEX(Setup!$G$33:$G$40,MATCH(W732,Setup!$B$33:$B$40,0)),0)=1)*(COUNTIF(W708:W725,$B732)+COUNTIF(W708:W725,$B732&amp;" ~*")&gt;0)+(IFERROR(INDEX(Setup!$G$33:$G$40,MATCH(Y732,Setup!$B$33:$B$40,0)),0)=1)*(COUNTIF(Y708:Y725,$B732)+COUNTIF(Y708:Y725,$B732&amp;" ~*")&gt;0))</f>
        <v/>
      </c>
    </row>
    <row r="733" ht="15" customHeight="1">
      <c r="A733" t="n">
        <v>15</v>
      </c>
      <c r="B733" s="35">
        <f>IF(Setup!$B$12="","",Setup!$B$12)</f>
        <v/>
      </c>
      <c r="C733" s="98" t="n"/>
      <c r="D733" s="99" t="n"/>
      <c r="E733" s="99" t="n"/>
      <c r="F733" s="100" t="n"/>
      <c r="G733" s="98" t="n"/>
      <c r="H733" s="99" t="n"/>
      <c r="I733" s="99" t="n"/>
      <c r="J733" s="100" t="n"/>
      <c r="K733" s="98" t="n"/>
      <c r="L733" s="99" t="n"/>
      <c r="M733" s="99" t="n"/>
      <c r="N733" s="100" t="n"/>
      <c r="O733" s="98" t="n"/>
      <c r="P733" s="99" t="n"/>
      <c r="Q733" s="99" t="n"/>
      <c r="R733" s="100" t="n"/>
      <c r="S733" s="98" t="n"/>
      <c r="T733" s="99" t="n"/>
      <c r="U733" s="99" t="n"/>
      <c r="V733" s="100" t="n"/>
      <c r="W733" s="98" t="n"/>
      <c r="X733" s="100" t="n"/>
      <c r="Y733" s="98" t="n"/>
      <c r="Z733" s="100" t="n"/>
      <c r="AB733" s="101">
        <f>IF($B733="","",(COUNTIF(C708:E725,$B733)+COUNTIF(C708:E725,$B733&amp;" ~*")&gt;0)+(COUNTIF(G708:I725,$B733)+COUNTIF(G708:I725,$B733&amp;" ~*")&gt;0)+(COUNTIF(K708:M725,$B733)+COUNTIF(K708:M725,$B733&amp;" ~*")&gt;0)+(COUNTIF(O708:Q725,$B733)+COUNTIF(O708:Q725,$B733&amp;" ~*")&gt;0)+(COUNTIF(S708:U725,$B733)+COUNTIF(S708:U725,$B733&amp;" ~*")&gt;0)+(COUNTIF(W708:W725,$B733)+COUNTIF(W708:W725,$B733&amp;" ~*")&gt;0)+(COUNTIF(Y708:Y725,$B733)+COUNTIF(Y708:Y725,$B733&amp;" ~*")&gt;0))</f>
        <v/>
      </c>
      <c r="AC733" s="36">
        <f>IF($B733="","",(IFERROR(INDEX(Setup!$G$33:$G$40,MATCH(C733,Setup!$B$33:$B$40,0)),0)=1)*(COUNTIF(C708:E725,$B733)+COUNTIF(C708:E725,$B733&amp;" ~*")&gt;0)+(IFERROR(INDEX(Setup!$G$33:$G$40,MATCH(G733,Setup!$B$33:$B$40,0)),0)=1)*(COUNTIF(G708:I725,$B733)+COUNTIF(G708:I725,$B733&amp;" ~*")&gt;0)+(IFERROR(INDEX(Setup!$G$33:$G$40,MATCH(K733,Setup!$B$33:$B$40,0)),0)=1)*(COUNTIF(K708:M725,$B733)+COUNTIF(K708:M725,$B733&amp;" ~*")&gt;0)+(IFERROR(INDEX(Setup!$G$33:$G$40,MATCH(O733,Setup!$B$33:$B$40,0)),0)=1)*(COUNTIF(O708:Q725,$B733)+COUNTIF(O708:Q725,$B733&amp;" ~*")&gt;0)+(IFERROR(INDEX(Setup!$G$33:$G$40,MATCH(S733,Setup!$B$33:$B$40,0)),0)=1)*(COUNTIF(S708:U725,$B733)+COUNTIF(S708:U725,$B733&amp;" ~*")&gt;0)+(IFERROR(INDEX(Setup!$G$33:$G$40,MATCH(W733,Setup!$B$33:$B$40,0)),0)=1)*(COUNTIF(W708:W725,$B733)+COUNTIF(W708:W725,$B733&amp;" ~*")&gt;0)+(IFERROR(INDEX(Setup!$G$33:$G$40,MATCH(Y733,Setup!$B$33:$B$40,0)),0)=1)*(COUNTIF(Y708:Y725,$B733)+COUNTIF(Y708:Y725,$B733&amp;" ~*")&gt;0))</f>
        <v/>
      </c>
    </row>
    <row r="734" ht="15" customHeight="1">
      <c r="A734" t="n">
        <v>15</v>
      </c>
      <c r="B734" s="37">
        <f>IF(Setup!$B$13="","",Setup!$B$13)</f>
        <v/>
      </c>
      <c r="C734" s="102" t="n"/>
      <c r="D734" s="103" t="n"/>
      <c r="E734" s="103" t="n"/>
      <c r="F734" s="104" t="n"/>
      <c r="G734" s="102" t="n"/>
      <c r="H734" s="103" t="n"/>
      <c r="I734" s="103" t="n"/>
      <c r="J734" s="104" t="n"/>
      <c r="K734" s="102" t="n"/>
      <c r="L734" s="103" t="n"/>
      <c r="M734" s="103" t="n"/>
      <c r="N734" s="104" t="n"/>
      <c r="O734" s="102" t="n"/>
      <c r="P734" s="103" t="n"/>
      <c r="Q734" s="103" t="n"/>
      <c r="R734" s="104" t="n"/>
      <c r="S734" s="102" t="n"/>
      <c r="T734" s="103" t="n"/>
      <c r="U734" s="103" t="n"/>
      <c r="V734" s="104" t="n"/>
      <c r="W734" s="102" t="n"/>
      <c r="X734" s="104" t="n"/>
      <c r="Y734" s="102" t="n"/>
      <c r="Z734" s="104" t="n"/>
      <c r="AB734" s="105">
        <f>IF($B734="","",(COUNTIF(C708:E725,$B734)+COUNTIF(C708:E725,$B734&amp;" ~*")&gt;0)+(COUNTIF(G708:I725,$B734)+COUNTIF(G708:I725,$B734&amp;" ~*")&gt;0)+(COUNTIF(K708:M725,$B734)+COUNTIF(K708:M725,$B734&amp;" ~*")&gt;0)+(COUNTIF(O708:Q725,$B734)+COUNTIF(O708:Q725,$B734&amp;" ~*")&gt;0)+(COUNTIF(S708:U725,$B734)+COUNTIF(S708:U725,$B734&amp;" ~*")&gt;0)+(COUNTIF(W708:W725,$B734)+COUNTIF(W708:W725,$B734&amp;" ~*")&gt;0)+(COUNTIF(Y708:Y725,$B734)+COUNTIF(Y708:Y725,$B734&amp;" ~*")&gt;0))</f>
        <v/>
      </c>
      <c r="AC734" s="38">
        <f>IF($B734="","",(IFERROR(INDEX(Setup!$G$33:$G$40,MATCH(C734,Setup!$B$33:$B$40,0)),0)=1)*(COUNTIF(C708:E725,$B734)+COUNTIF(C708:E725,$B734&amp;" ~*")&gt;0)+(IFERROR(INDEX(Setup!$G$33:$G$40,MATCH(G734,Setup!$B$33:$B$40,0)),0)=1)*(COUNTIF(G708:I725,$B734)+COUNTIF(G708:I725,$B734&amp;" ~*")&gt;0)+(IFERROR(INDEX(Setup!$G$33:$G$40,MATCH(K734,Setup!$B$33:$B$40,0)),0)=1)*(COUNTIF(K708:M725,$B734)+COUNTIF(K708:M725,$B734&amp;" ~*")&gt;0)+(IFERROR(INDEX(Setup!$G$33:$G$40,MATCH(O734,Setup!$B$33:$B$40,0)),0)=1)*(COUNTIF(O708:Q725,$B734)+COUNTIF(O708:Q725,$B734&amp;" ~*")&gt;0)+(IFERROR(INDEX(Setup!$G$33:$G$40,MATCH(S734,Setup!$B$33:$B$40,0)),0)=1)*(COUNTIF(S708:U725,$B734)+COUNTIF(S708:U725,$B734&amp;" ~*")&gt;0)+(IFERROR(INDEX(Setup!$G$33:$G$40,MATCH(W734,Setup!$B$33:$B$40,0)),0)=1)*(COUNTIF(W708:W725,$B734)+COUNTIF(W708:W725,$B734&amp;" ~*")&gt;0)+(IFERROR(INDEX(Setup!$G$33:$G$40,MATCH(Y734,Setup!$B$33:$B$40,0)),0)=1)*(COUNTIF(Y708:Y725,$B734)+COUNTIF(Y708:Y725,$B734&amp;" ~*")&gt;0))</f>
        <v/>
      </c>
    </row>
    <row r="735" ht="15" customHeight="1">
      <c r="A735" t="n">
        <v>15</v>
      </c>
      <c r="B735" s="35">
        <f>IF(Setup!$B$14="","",Setup!$B$14)</f>
        <v/>
      </c>
      <c r="C735" s="98" t="n"/>
      <c r="D735" s="99" t="n"/>
      <c r="E735" s="99" t="n"/>
      <c r="F735" s="100" t="n"/>
      <c r="G735" s="98" t="n"/>
      <c r="H735" s="99" t="n"/>
      <c r="I735" s="99" t="n"/>
      <c r="J735" s="100" t="n"/>
      <c r="K735" s="98" t="n"/>
      <c r="L735" s="99" t="n"/>
      <c r="M735" s="99" t="n"/>
      <c r="N735" s="100" t="n"/>
      <c r="O735" s="98" t="n"/>
      <c r="P735" s="99" t="n"/>
      <c r="Q735" s="99" t="n"/>
      <c r="R735" s="100" t="n"/>
      <c r="S735" s="98" t="n"/>
      <c r="T735" s="99" t="n"/>
      <c r="U735" s="99" t="n"/>
      <c r="V735" s="100" t="n"/>
      <c r="W735" s="98" t="n"/>
      <c r="X735" s="100" t="n"/>
      <c r="Y735" s="98" t="n"/>
      <c r="Z735" s="100" t="n"/>
      <c r="AB735" s="101">
        <f>IF($B735="","",(COUNTIF(C708:E725,$B735)+COUNTIF(C708:E725,$B735&amp;" ~*")&gt;0)+(COUNTIF(G708:I725,$B735)+COUNTIF(G708:I725,$B735&amp;" ~*")&gt;0)+(COUNTIF(K708:M725,$B735)+COUNTIF(K708:M725,$B735&amp;" ~*")&gt;0)+(COUNTIF(O708:Q725,$B735)+COUNTIF(O708:Q725,$B735&amp;" ~*")&gt;0)+(COUNTIF(S708:U725,$B735)+COUNTIF(S708:U725,$B735&amp;" ~*")&gt;0)+(COUNTIF(W708:W725,$B735)+COUNTIF(W708:W725,$B735&amp;" ~*")&gt;0)+(COUNTIF(Y708:Y725,$B735)+COUNTIF(Y708:Y725,$B735&amp;" ~*")&gt;0))</f>
        <v/>
      </c>
      <c r="AC735" s="36">
        <f>IF($B735="","",(IFERROR(INDEX(Setup!$G$33:$G$40,MATCH(C735,Setup!$B$33:$B$40,0)),0)=1)*(COUNTIF(C708:E725,$B735)+COUNTIF(C708:E725,$B735&amp;" ~*")&gt;0)+(IFERROR(INDEX(Setup!$G$33:$G$40,MATCH(G735,Setup!$B$33:$B$40,0)),0)=1)*(COUNTIF(G708:I725,$B735)+COUNTIF(G708:I725,$B735&amp;" ~*")&gt;0)+(IFERROR(INDEX(Setup!$G$33:$G$40,MATCH(K735,Setup!$B$33:$B$40,0)),0)=1)*(COUNTIF(K708:M725,$B735)+COUNTIF(K708:M725,$B735&amp;" ~*")&gt;0)+(IFERROR(INDEX(Setup!$G$33:$G$40,MATCH(O735,Setup!$B$33:$B$40,0)),0)=1)*(COUNTIF(O708:Q725,$B735)+COUNTIF(O708:Q725,$B735&amp;" ~*")&gt;0)+(IFERROR(INDEX(Setup!$G$33:$G$40,MATCH(S735,Setup!$B$33:$B$40,0)),0)=1)*(COUNTIF(S708:U725,$B735)+COUNTIF(S708:U725,$B735&amp;" ~*")&gt;0)+(IFERROR(INDEX(Setup!$G$33:$G$40,MATCH(W735,Setup!$B$33:$B$40,0)),0)=1)*(COUNTIF(W708:W725,$B735)+COUNTIF(W708:W725,$B735&amp;" ~*")&gt;0)+(IFERROR(INDEX(Setup!$G$33:$G$40,MATCH(Y735,Setup!$B$33:$B$40,0)),0)=1)*(COUNTIF(Y708:Y725,$B735)+COUNTIF(Y708:Y725,$B735&amp;" ~*")&gt;0))</f>
        <v/>
      </c>
    </row>
    <row r="736" ht="15" customHeight="1">
      <c r="A736" t="n">
        <v>15</v>
      </c>
      <c r="B736" s="37">
        <f>IF(Setup!$B$15="","",Setup!$B$15)</f>
        <v/>
      </c>
      <c r="C736" s="102" t="n"/>
      <c r="D736" s="103" t="n"/>
      <c r="E736" s="103" t="n"/>
      <c r="F736" s="104" t="n"/>
      <c r="G736" s="102" t="n"/>
      <c r="H736" s="103" t="n"/>
      <c r="I736" s="103" t="n"/>
      <c r="J736" s="104" t="n"/>
      <c r="K736" s="102" t="n"/>
      <c r="L736" s="103" t="n"/>
      <c r="M736" s="103" t="n"/>
      <c r="N736" s="104" t="n"/>
      <c r="O736" s="102" t="n"/>
      <c r="P736" s="103" t="n"/>
      <c r="Q736" s="103" t="n"/>
      <c r="R736" s="104" t="n"/>
      <c r="S736" s="102" t="n"/>
      <c r="T736" s="103" t="n"/>
      <c r="U736" s="103" t="n"/>
      <c r="V736" s="104" t="n"/>
      <c r="W736" s="102" t="n"/>
      <c r="X736" s="104" t="n"/>
      <c r="Y736" s="102" t="n"/>
      <c r="Z736" s="104" t="n"/>
      <c r="AB736" s="105">
        <f>IF($B736="","",(COUNTIF(C708:E725,$B736)+COUNTIF(C708:E725,$B736&amp;" ~*")&gt;0)+(COUNTIF(G708:I725,$B736)+COUNTIF(G708:I725,$B736&amp;" ~*")&gt;0)+(COUNTIF(K708:M725,$B736)+COUNTIF(K708:M725,$B736&amp;" ~*")&gt;0)+(COUNTIF(O708:Q725,$B736)+COUNTIF(O708:Q725,$B736&amp;" ~*")&gt;0)+(COUNTIF(S708:U725,$B736)+COUNTIF(S708:U725,$B736&amp;" ~*")&gt;0)+(COUNTIF(W708:W725,$B736)+COUNTIF(W708:W725,$B736&amp;" ~*")&gt;0)+(COUNTIF(Y708:Y725,$B736)+COUNTIF(Y708:Y725,$B736&amp;" ~*")&gt;0))</f>
        <v/>
      </c>
      <c r="AC736" s="38">
        <f>IF($B736="","",(IFERROR(INDEX(Setup!$G$33:$G$40,MATCH(C736,Setup!$B$33:$B$40,0)),0)=1)*(COUNTIF(C708:E725,$B736)+COUNTIF(C708:E725,$B736&amp;" ~*")&gt;0)+(IFERROR(INDEX(Setup!$G$33:$G$40,MATCH(G736,Setup!$B$33:$B$40,0)),0)=1)*(COUNTIF(G708:I725,$B736)+COUNTIF(G708:I725,$B736&amp;" ~*")&gt;0)+(IFERROR(INDEX(Setup!$G$33:$G$40,MATCH(K736,Setup!$B$33:$B$40,0)),0)=1)*(COUNTIF(K708:M725,$B736)+COUNTIF(K708:M725,$B736&amp;" ~*")&gt;0)+(IFERROR(INDEX(Setup!$G$33:$G$40,MATCH(O736,Setup!$B$33:$B$40,0)),0)=1)*(COUNTIF(O708:Q725,$B736)+COUNTIF(O708:Q725,$B736&amp;" ~*")&gt;0)+(IFERROR(INDEX(Setup!$G$33:$G$40,MATCH(S736,Setup!$B$33:$B$40,0)),0)=1)*(COUNTIF(S708:U725,$B736)+COUNTIF(S708:U725,$B736&amp;" ~*")&gt;0)+(IFERROR(INDEX(Setup!$G$33:$G$40,MATCH(W736,Setup!$B$33:$B$40,0)),0)=1)*(COUNTIF(W708:W725,$B736)+COUNTIF(W708:W725,$B736&amp;" ~*")&gt;0)+(IFERROR(INDEX(Setup!$G$33:$G$40,MATCH(Y736,Setup!$B$33:$B$40,0)),0)=1)*(COUNTIF(Y708:Y725,$B736)+COUNTIF(Y708:Y725,$B736&amp;" ~*")&gt;0))</f>
        <v/>
      </c>
    </row>
    <row r="737" ht="15" customHeight="1">
      <c r="A737" t="n">
        <v>15</v>
      </c>
      <c r="B737" s="35">
        <f>IF(Setup!$B$16="","",Setup!$B$16)</f>
        <v/>
      </c>
      <c r="C737" s="98" t="n"/>
      <c r="D737" s="99" t="n"/>
      <c r="E737" s="99" t="n"/>
      <c r="F737" s="100" t="n"/>
      <c r="G737" s="98" t="n"/>
      <c r="H737" s="99" t="n"/>
      <c r="I737" s="99" t="n"/>
      <c r="J737" s="100" t="n"/>
      <c r="K737" s="98" t="n"/>
      <c r="L737" s="99" t="n"/>
      <c r="M737" s="99" t="n"/>
      <c r="N737" s="100" t="n"/>
      <c r="O737" s="98" t="n"/>
      <c r="P737" s="99" t="n"/>
      <c r="Q737" s="99" t="n"/>
      <c r="R737" s="100" t="n"/>
      <c r="S737" s="98" t="n"/>
      <c r="T737" s="99" t="n"/>
      <c r="U737" s="99" t="n"/>
      <c r="V737" s="100" t="n"/>
      <c r="W737" s="98" t="n"/>
      <c r="X737" s="100" t="n"/>
      <c r="Y737" s="98" t="n"/>
      <c r="Z737" s="100" t="n"/>
      <c r="AB737" s="101">
        <f>IF($B737="","",(COUNTIF(C708:E725,$B737)+COUNTIF(C708:E725,$B737&amp;" ~*")&gt;0)+(COUNTIF(G708:I725,$B737)+COUNTIF(G708:I725,$B737&amp;" ~*")&gt;0)+(COUNTIF(K708:M725,$B737)+COUNTIF(K708:M725,$B737&amp;" ~*")&gt;0)+(COUNTIF(O708:Q725,$B737)+COUNTIF(O708:Q725,$B737&amp;" ~*")&gt;0)+(COUNTIF(S708:U725,$B737)+COUNTIF(S708:U725,$B737&amp;" ~*")&gt;0)+(COUNTIF(W708:W725,$B737)+COUNTIF(W708:W725,$B737&amp;" ~*")&gt;0)+(COUNTIF(Y708:Y725,$B737)+COUNTIF(Y708:Y725,$B737&amp;" ~*")&gt;0))</f>
        <v/>
      </c>
      <c r="AC737" s="36">
        <f>IF($B737="","",(IFERROR(INDEX(Setup!$G$33:$G$40,MATCH(C737,Setup!$B$33:$B$40,0)),0)=1)*(COUNTIF(C708:E725,$B737)+COUNTIF(C708:E725,$B737&amp;" ~*")&gt;0)+(IFERROR(INDEX(Setup!$G$33:$G$40,MATCH(G737,Setup!$B$33:$B$40,0)),0)=1)*(COUNTIF(G708:I725,$B737)+COUNTIF(G708:I725,$B737&amp;" ~*")&gt;0)+(IFERROR(INDEX(Setup!$G$33:$G$40,MATCH(K737,Setup!$B$33:$B$40,0)),0)=1)*(COUNTIF(K708:M725,$B737)+COUNTIF(K708:M725,$B737&amp;" ~*")&gt;0)+(IFERROR(INDEX(Setup!$G$33:$G$40,MATCH(O737,Setup!$B$33:$B$40,0)),0)=1)*(COUNTIF(O708:Q725,$B737)+COUNTIF(O708:Q725,$B737&amp;" ~*")&gt;0)+(IFERROR(INDEX(Setup!$G$33:$G$40,MATCH(S737,Setup!$B$33:$B$40,0)),0)=1)*(COUNTIF(S708:U725,$B737)+COUNTIF(S708:U725,$B737&amp;" ~*")&gt;0)+(IFERROR(INDEX(Setup!$G$33:$G$40,MATCH(W737,Setup!$B$33:$B$40,0)),0)=1)*(COUNTIF(W708:W725,$B737)+COUNTIF(W708:W725,$B737&amp;" ~*")&gt;0)+(IFERROR(INDEX(Setup!$G$33:$G$40,MATCH(Y737,Setup!$B$33:$B$40,0)),0)=1)*(COUNTIF(Y708:Y725,$B737)+COUNTIF(Y708:Y725,$B737&amp;" ~*")&gt;0))</f>
        <v/>
      </c>
    </row>
    <row r="738" ht="15" customHeight="1">
      <c r="A738" t="n">
        <v>15</v>
      </c>
      <c r="B738" s="37">
        <f>IF(Setup!$B$17="","",Setup!$B$17)</f>
        <v/>
      </c>
      <c r="C738" s="102" t="n"/>
      <c r="D738" s="103" t="n"/>
      <c r="E738" s="103" t="n"/>
      <c r="F738" s="104" t="n"/>
      <c r="G738" s="102" t="n"/>
      <c r="H738" s="103" t="n"/>
      <c r="I738" s="103" t="n"/>
      <c r="J738" s="104" t="n"/>
      <c r="K738" s="102" t="n"/>
      <c r="L738" s="103" t="n"/>
      <c r="M738" s="103" t="n"/>
      <c r="N738" s="104" t="n"/>
      <c r="O738" s="102" t="n"/>
      <c r="P738" s="103" t="n"/>
      <c r="Q738" s="103" t="n"/>
      <c r="R738" s="104" t="n"/>
      <c r="S738" s="102" t="n"/>
      <c r="T738" s="103" t="n"/>
      <c r="U738" s="103" t="n"/>
      <c r="V738" s="104" t="n"/>
      <c r="W738" s="102" t="n"/>
      <c r="X738" s="104" t="n"/>
      <c r="Y738" s="102" t="n"/>
      <c r="Z738" s="104" t="n"/>
      <c r="AB738" s="105">
        <f>IF($B738="","",(COUNTIF(C708:E725,$B738)+COUNTIF(C708:E725,$B738&amp;" ~*")&gt;0)+(COUNTIF(G708:I725,$B738)+COUNTIF(G708:I725,$B738&amp;" ~*")&gt;0)+(COUNTIF(K708:M725,$B738)+COUNTIF(K708:M725,$B738&amp;" ~*")&gt;0)+(COUNTIF(O708:Q725,$B738)+COUNTIF(O708:Q725,$B738&amp;" ~*")&gt;0)+(COUNTIF(S708:U725,$B738)+COUNTIF(S708:U725,$B738&amp;" ~*")&gt;0)+(COUNTIF(W708:W725,$B738)+COUNTIF(W708:W725,$B738&amp;" ~*")&gt;0)+(COUNTIF(Y708:Y725,$B738)+COUNTIF(Y708:Y725,$B738&amp;" ~*")&gt;0))</f>
        <v/>
      </c>
      <c r="AC738" s="38">
        <f>IF($B738="","",(IFERROR(INDEX(Setup!$G$33:$G$40,MATCH(C738,Setup!$B$33:$B$40,0)),0)=1)*(COUNTIF(C708:E725,$B738)+COUNTIF(C708:E725,$B738&amp;" ~*")&gt;0)+(IFERROR(INDEX(Setup!$G$33:$G$40,MATCH(G738,Setup!$B$33:$B$40,0)),0)=1)*(COUNTIF(G708:I725,$B738)+COUNTIF(G708:I725,$B738&amp;" ~*")&gt;0)+(IFERROR(INDEX(Setup!$G$33:$G$40,MATCH(K738,Setup!$B$33:$B$40,0)),0)=1)*(COUNTIF(K708:M725,$B738)+COUNTIF(K708:M725,$B738&amp;" ~*")&gt;0)+(IFERROR(INDEX(Setup!$G$33:$G$40,MATCH(O738,Setup!$B$33:$B$40,0)),0)=1)*(COUNTIF(O708:Q725,$B738)+COUNTIF(O708:Q725,$B738&amp;" ~*")&gt;0)+(IFERROR(INDEX(Setup!$G$33:$G$40,MATCH(S738,Setup!$B$33:$B$40,0)),0)=1)*(COUNTIF(S708:U725,$B738)+COUNTIF(S708:U725,$B738&amp;" ~*")&gt;0)+(IFERROR(INDEX(Setup!$G$33:$G$40,MATCH(W738,Setup!$B$33:$B$40,0)),0)=1)*(COUNTIF(W708:W725,$B738)+COUNTIF(W708:W725,$B738&amp;" ~*")&gt;0)+(IFERROR(INDEX(Setup!$G$33:$G$40,MATCH(Y738,Setup!$B$33:$B$40,0)),0)=1)*(COUNTIF(Y708:Y725,$B738)+COUNTIF(Y708:Y725,$B738&amp;" ~*")&gt;0))</f>
        <v/>
      </c>
    </row>
    <row r="739" ht="15" customHeight="1">
      <c r="A739" t="n">
        <v>15</v>
      </c>
      <c r="B739" s="35">
        <f>IF(Setup!$B$18="","",Setup!$B$18)</f>
        <v/>
      </c>
      <c r="C739" s="98" t="n"/>
      <c r="D739" s="99" t="n"/>
      <c r="E739" s="99" t="n"/>
      <c r="F739" s="100" t="n"/>
      <c r="G739" s="98" t="n"/>
      <c r="H739" s="99" t="n"/>
      <c r="I739" s="99" t="n"/>
      <c r="J739" s="100" t="n"/>
      <c r="K739" s="98" t="n"/>
      <c r="L739" s="99" t="n"/>
      <c r="M739" s="99" t="n"/>
      <c r="N739" s="100" t="n"/>
      <c r="O739" s="98" t="n"/>
      <c r="P739" s="99" t="n"/>
      <c r="Q739" s="99" t="n"/>
      <c r="R739" s="100" t="n"/>
      <c r="S739" s="98" t="n"/>
      <c r="T739" s="99" t="n"/>
      <c r="U739" s="99" t="n"/>
      <c r="V739" s="100" t="n"/>
      <c r="W739" s="98" t="n"/>
      <c r="X739" s="100" t="n"/>
      <c r="Y739" s="98" t="n"/>
      <c r="Z739" s="100" t="n"/>
      <c r="AB739" s="101">
        <f>IF($B739="","",(COUNTIF(C708:E725,$B739)+COUNTIF(C708:E725,$B739&amp;" ~*")&gt;0)+(COUNTIF(G708:I725,$B739)+COUNTIF(G708:I725,$B739&amp;" ~*")&gt;0)+(COUNTIF(K708:M725,$B739)+COUNTIF(K708:M725,$B739&amp;" ~*")&gt;0)+(COUNTIF(O708:Q725,$B739)+COUNTIF(O708:Q725,$B739&amp;" ~*")&gt;0)+(COUNTIF(S708:U725,$B739)+COUNTIF(S708:U725,$B739&amp;" ~*")&gt;0)+(COUNTIF(W708:W725,$B739)+COUNTIF(W708:W725,$B739&amp;" ~*")&gt;0)+(COUNTIF(Y708:Y725,$B739)+COUNTIF(Y708:Y725,$B739&amp;" ~*")&gt;0))</f>
        <v/>
      </c>
      <c r="AC739" s="36">
        <f>IF($B739="","",(IFERROR(INDEX(Setup!$G$33:$G$40,MATCH(C739,Setup!$B$33:$B$40,0)),0)=1)*(COUNTIF(C708:E725,$B739)+COUNTIF(C708:E725,$B739&amp;" ~*")&gt;0)+(IFERROR(INDEX(Setup!$G$33:$G$40,MATCH(G739,Setup!$B$33:$B$40,0)),0)=1)*(COUNTIF(G708:I725,$B739)+COUNTIF(G708:I725,$B739&amp;" ~*")&gt;0)+(IFERROR(INDEX(Setup!$G$33:$G$40,MATCH(K739,Setup!$B$33:$B$40,0)),0)=1)*(COUNTIF(K708:M725,$B739)+COUNTIF(K708:M725,$B739&amp;" ~*")&gt;0)+(IFERROR(INDEX(Setup!$G$33:$G$40,MATCH(O739,Setup!$B$33:$B$40,0)),0)=1)*(COUNTIF(O708:Q725,$B739)+COUNTIF(O708:Q725,$B739&amp;" ~*")&gt;0)+(IFERROR(INDEX(Setup!$G$33:$G$40,MATCH(S739,Setup!$B$33:$B$40,0)),0)=1)*(COUNTIF(S708:U725,$B739)+COUNTIF(S708:U725,$B739&amp;" ~*")&gt;0)+(IFERROR(INDEX(Setup!$G$33:$G$40,MATCH(W739,Setup!$B$33:$B$40,0)),0)=1)*(COUNTIF(W708:W725,$B739)+COUNTIF(W708:W725,$B739&amp;" ~*")&gt;0)+(IFERROR(INDEX(Setup!$G$33:$G$40,MATCH(Y739,Setup!$B$33:$B$40,0)),0)=1)*(COUNTIF(Y708:Y725,$B739)+COUNTIF(Y708:Y725,$B739&amp;" ~*")&gt;0))</f>
        <v/>
      </c>
    </row>
    <row r="740" ht="15" customHeight="1">
      <c r="A740" t="n">
        <v>15</v>
      </c>
      <c r="B740" s="37">
        <f>IF(Setup!$B$19="","",Setup!$B$19)</f>
        <v/>
      </c>
      <c r="C740" s="102" t="n"/>
      <c r="D740" s="103" t="n"/>
      <c r="E740" s="103" t="n"/>
      <c r="F740" s="104" t="n"/>
      <c r="G740" s="102" t="n"/>
      <c r="H740" s="103" t="n"/>
      <c r="I740" s="103" t="n"/>
      <c r="J740" s="104" t="n"/>
      <c r="K740" s="102" t="n"/>
      <c r="L740" s="103" t="n"/>
      <c r="M740" s="103" t="n"/>
      <c r="N740" s="104" t="n"/>
      <c r="O740" s="102" t="n"/>
      <c r="P740" s="103" t="n"/>
      <c r="Q740" s="103" t="n"/>
      <c r="R740" s="104" t="n"/>
      <c r="S740" s="102" t="n"/>
      <c r="T740" s="103" t="n"/>
      <c r="U740" s="103" t="n"/>
      <c r="V740" s="104" t="n"/>
      <c r="W740" s="102" t="n"/>
      <c r="X740" s="104" t="n"/>
      <c r="Y740" s="102" t="n"/>
      <c r="Z740" s="104" t="n"/>
      <c r="AB740" s="105">
        <f>IF($B740="","",(COUNTIF(C708:E725,$B740)+COUNTIF(C708:E725,$B740&amp;" ~*")&gt;0)+(COUNTIF(G708:I725,$B740)+COUNTIF(G708:I725,$B740&amp;" ~*")&gt;0)+(COUNTIF(K708:M725,$B740)+COUNTIF(K708:M725,$B740&amp;" ~*")&gt;0)+(COUNTIF(O708:Q725,$B740)+COUNTIF(O708:Q725,$B740&amp;" ~*")&gt;0)+(COUNTIF(S708:U725,$B740)+COUNTIF(S708:U725,$B740&amp;" ~*")&gt;0)+(COUNTIF(W708:W725,$B740)+COUNTIF(W708:W725,$B740&amp;" ~*")&gt;0)+(COUNTIF(Y708:Y725,$B740)+COUNTIF(Y708:Y725,$B740&amp;" ~*")&gt;0))</f>
        <v/>
      </c>
      <c r="AC740" s="38">
        <f>IF($B740="","",(IFERROR(INDEX(Setup!$G$33:$G$40,MATCH(C740,Setup!$B$33:$B$40,0)),0)=1)*(COUNTIF(C708:E725,$B740)+COUNTIF(C708:E725,$B740&amp;" ~*")&gt;0)+(IFERROR(INDEX(Setup!$G$33:$G$40,MATCH(G740,Setup!$B$33:$B$40,0)),0)=1)*(COUNTIF(G708:I725,$B740)+COUNTIF(G708:I725,$B740&amp;" ~*")&gt;0)+(IFERROR(INDEX(Setup!$G$33:$G$40,MATCH(K740,Setup!$B$33:$B$40,0)),0)=1)*(COUNTIF(K708:M725,$B740)+COUNTIF(K708:M725,$B740&amp;" ~*")&gt;0)+(IFERROR(INDEX(Setup!$G$33:$G$40,MATCH(O740,Setup!$B$33:$B$40,0)),0)=1)*(COUNTIF(O708:Q725,$B740)+COUNTIF(O708:Q725,$B740&amp;" ~*")&gt;0)+(IFERROR(INDEX(Setup!$G$33:$G$40,MATCH(S740,Setup!$B$33:$B$40,0)),0)=1)*(COUNTIF(S708:U725,$B740)+COUNTIF(S708:U725,$B740&amp;" ~*")&gt;0)+(IFERROR(INDEX(Setup!$G$33:$G$40,MATCH(W740,Setup!$B$33:$B$40,0)),0)=1)*(COUNTIF(W708:W725,$B740)+COUNTIF(W708:W725,$B740&amp;" ~*")&gt;0)+(IFERROR(INDEX(Setup!$G$33:$G$40,MATCH(Y740,Setup!$B$33:$B$40,0)),0)=1)*(COUNTIF(Y708:Y725,$B740)+COUNTIF(Y708:Y725,$B740&amp;" ~*")&gt;0))</f>
        <v/>
      </c>
    </row>
    <row r="741" ht="15" customHeight="1">
      <c r="A741" t="n">
        <v>15</v>
      </c>
      <c r="B741" s="35">
        <f>IF(Setup!$B$20="","",Setup!$B$20)</f>
        <v/>
      </c>
      <c r="C741" s="98" t="n"/>
      <c r="D741" s="99" t="n"/>
      <c r="E741" s="99" t="n"/>
      <c r="F741" s="100" t="n"/>
      <c r="G741" s="98" t="n"/>
      <c r="H741" s="99" t="n"/>
      <c r="I741" s="99" t="n"/>
      <c r="J741" s="100" t="n"/>
      <c r="K741" s="98" t="n"/>
      <c r="L741" s="99" t="n"/>
      <c r="M741" s="99" t="n"/>
      <c r="N741" s="100" t="n"/>
      <c r="O741" s="98" t="n"/>
      <c r="P741" s="99" t="n"/>
      <c r="Q741" s="99" t="n"/>
      <c r="R741" s="100" t="n"/>
      <c r="S741" s="98" t="n"/>
      <c r="T741" s="99" t="n"/>
      <c r="U741" s="99" t="n"/>
      <c r="V741" s="100" t="n"/>
      <c r="W741" s="98" t="n"/>
      <c r="X741" s="100" t="n"/>
      <c r="Y741" s="98" t="n"/>
      <c r="Z741" s="100" t="n"/>
      <c r="AB741" s="101">
        <f>IF($B741="","",(COUNTIF(C708:E725,$B741)+COUNTIF(C708:E725,$B741&amp;" ~*")&gt;0)+(COUNTIF(G708:I725,$B741)+COUNTIF(G708:I725,$B741&amp;" ~*")&gt;0)+(COUNTIF(K708:M725,$B741)+COUNTIF(K708:M725,$B741&amp;" ~*")&gt;0)+(COUNTIF(O708:Q725,$B741)+COUNTIF(O708:Q725,$B741&amp;" ~*")&gt;0)+(COUNTIF(S708:U725,$B741)+COUNTIF(S708:U725,$B741&amp;" ~*")&gt;0)+(COUNTIF(W708:W725,$B741)+COUNTIF(W708:W725,$B741&amp;" ~*")&gt;0)+(COUNTIF(Y708:Y725,$B741)+COUNTIF(Y708:Y725,$B741&amp;" ~*")&gt;0))</f>
        <v/>
      </c>
      <c r="AC741" s="36">
        <f>IF($B741="","",(IFERROR(INDEX(Setup!$G$33:$G$40,MATCH(C741,Setup!$B$33:$B$40,0)),0)=1)*(COUNTIF(C708:E725,$B741)+COUNTIF(C708:E725,$B741&amp;" ~*")&gt;0)+(IFERROR(INDEX(Setup!$G$33:$G$40,MATCH(G741,Setup!$B$33:$B$40,0)),0)=1)*(COUNTIF(G708:I725,$B741)+COUNTIF(G708:I725,$B741&amp;" ~*")&gt;0)+(IFERROR(INDEX(Setup!$G$33:$G$40,MATCH(K741,Setup!$B$33:$B$40,0)),0)=1)*(COUNTIF(K708:M725,$B741)+COUNTIF(K708:M725,$B741&amp;" ~*")&gt;0)+(IFERROR(INDEX(Setup!$G$33:$G$40,MATCH(O741,Setup!$B$33:$B$40,0)),0)=1)*(COUNTIF(O708:Q725,$B741)+COUNTIF(O708:Q725,$B741&amp;" ~*")&gt;0)+(IFERROR(INDEX(Setup!$G$33:$G$40,MATCH(S741,Setup!$B$33:$B$40,0)),0)=1)*(COUNTIF(S708:U725,$B741)+COUNTIF(S708:U725,$B741&amp;" ~*")&gt;0)+(IFERROR(INDEX(Setup!$G$33:$G$40,MATCH(W741,Setup!$B$33:$B$40,0)),0)=1)*(COUNTIF(W708:W725,$B741)+COUNTIF(W708:W725,$B741&amp;" ~*")&gt;0)+(IFERROR(INDEX(Setup!$G$33:$G$40,MATCH(Y741,Setup!$B$33:$B$40,0)),0)=1)*(COUNTIF(Y708:Y725,$B741)+COUNTIF(Y708:Y725,$B741&amp;" ~*")&gt;0))</f>
        <v/>
      </c>
    </row>
    <row r="742" ht="15" customHeight="1">
      <c r="A742" t="n">
        <v>15</v>
      </c>
      <c r="B742" s="37">
        <f>IF(Setup!$B$21="","",Setup!$B$21)</f>
        <v/>
      </c>
      <c r="C742" s="102" t="n"/>
      <c r="D742" s="103" t="n"/>
      <c r="E742" s="103" t="n"/>
      <c r="F742" s="104" t="n"/>
      <c r="G742" s="102" t="n"/>
      <c r="H742" s="103" t="n"/>
      <c r="I742" s="103" t="n"/>
      <c r="J742" s="104" t="n"/>
      <c r="K742" s="102" t="n"/>
      <c r="L742" s="103" t="n"/>
      <c r="M742" s="103" t="n"/>
      <c r="N742" s="104" t="n"/>
      <c r="O742" s="102" t="n"/>
      <c r="P742" s="103" t="n"/>
      <c r="Q742" s="103" t="n"/>
      <c r="R742" s="104" t="n"/>
      <c r="S742" s="102" t="n"/>
      <c r="T742" s="103" t="n"/>
      <c r="U742" s="103" t="n"/>
      <c r="V742" s="104" t="n"/>
      <c r="W742" s="102" t="n"/>
      <c r="X742" s="104" t="n"/>
      <c r="Y742" s="102" t="n"/>
      <c r="Z742" s="104" t="n"/>
      <c r="AB742" s="105">
        <f>IF($B742="","",(COUNTIF(C708:E725,$B742)+COUNTIF(C708:E725,$B742&amp;" ~*")&gt;0)+(COUNTIF(G708:I725,$B742)+COUNTIF(G708:I725,$B742&amp;" ~*")&gt;0)+(COUNTIF(K708:M725,$B742)+COUNTIF(K708:M725,$B742&amp;" ~*")&gt;0)+(COUNTIF(O708:Q725,$B742)+COUNTIF(O708:Q725,$B742&amp;" ~*")&gt;0)+(COUNTIF(S708:U725,$B742)+COUNTIF(S708:U725,$B742&amp;" ~*")&gt;0)+(COUNTIF(W708:W725,$B742)+COUNTIF(W708:W725,$B742&amp;" ~*")&gt;0)+(COUNTIF(Y708:Y725,$B742)+COUNTIF(Y708:Y725,$B742&amp;" ~*")&gt;0))</f>
        <v/>
      </c>
      <c r="AC742" s="38">
        <f>IF($B742="","",(IFERROR(INDEX(Setup!$G$33:$G$40,MATCH(C742,Setup!$B$33:$B$40,0)),0)=1)*(COUNTIF(C708:E725,$B742)+COUNTIF(C708:E725,$B742&amp;" ~*")&gt;0)+(IFERROR(INDEX(Setup!$G$33:$G$40,MATCH(G742,Setup!$B$33:$B$40,0)),0)=1)*(COUNTIF(G708:I725,$B742)+COUNTIF(G708:I725,$B742&amp;" ~*")&gt;0)+(IFERROR(INDEX(Setup!$G$33:$G$40,MATCH(K742,Setup!$B$33:$B$40,0)),0)=1)*(COUNTIF(K708:M725,$B742)+COUNTIF(K708:M725,$B742&amp;" ~*")&gt;0)+(IFERROR(INDEX(Setup!$G$33:$G$40,MATCH(O742,Setup!$B$33:$B$40,0)),0)=1)*(COUNTIF(O708:Q725,$B742)+COUNTIF(O708:Q725,$B742&amp;" ~*")&gt;0)+(IFERROR(INDEX(Setup!$G$33:$G$40,MATCH(S742,Setup!$B$33:$B$40,0)),0)=1)*(COUNTIF(S708:U725,$B742)+COUNTIF(S708:U725,$B742&amp;" ~*")&gt;0)+(IFERROR(INDEX(Setup!$G$33:$G$40,MATCH(W742,Setup!$B$33:$B$40,0)),0)=1)*(COUNTIF(W708:W725,$B742)+COUNTIF(W708:W725,$B742&amp;" ~*")&gt;0)+(IFERROR(INDEX(Setup!$G$33:$G$40,MATCH(Y742,Setup!$B$33:$B$40,0)),0)=1)*(COUNTIF(Y708:Y725,$B742)+COUNTIF(Y708:Y725,$B742&amp;" ~*")&gt;0))</f>
        <v/>
      </c>
    </row>
    <row r="743" ht="15" customHeight="1">
      <c r="A743" t="n">
        <v>15</v>
      </c>
      <c r="B743" s="35">
        <f>IF(Setup!$B$22="","",Setup!$B$22)</f>
        <v/>
      </c>
      <c r="C743" s="98" t="n"/>
      <c r="D743" s="99" t="n"/>
      <c r="E743" s="99" t="n"/>
      <c r="F743" s="100" t="n"/>
      <c r="G743" s="98" t="n"/>
      <c r="H743" s="99" t="n"/>
      <c r="I743" s="99" t="n"/>
      <c r="J743" s="100" t="n"/>
      <c r="K743" s="98" t="n"/>
      <c r="L743" s="99" t="n"/>
      <c r="M743" s="99" t="n"/>
      <c r="N743" s="100" t="n"/>
      <c r="O743" s="98" t="n"/>
      <c r="P743" s="99" t="n"/>
      <c r="Q743" s="99" t="n"/>
      <c r="R743" s="100" t="n"/>
      <c r="S743" s="98" t="n"/>
      <c r="T743" s="99" t="n"/>
      <c r="U743" s="99" t="n"/>
      <c r="V743" s="100" t="n"/>
      <c r="W743" s="98" t="n"/>
      <c r="X743" s="100" t="n"/>
      <c r="Y743" s="98" t="n"/>
      <c r="Z743" s="100" t="n"/>
      <c r="AB743" s="101">
        <f>IF($B743="","",(COUNTIF(C708:E725,$B743)+COUNTIF(C708:E725,$B743&amp;" ~*")&gt;0)+(COUNTIF(G708:I725,$B743)+COUNTIF(G708:I725,$B743&amp;" ~*")&gt;0)+(COUNTIF(K708:M725,$B743)+COUNTIF(K708:M725,$B743&amp;" ~*")&gt;0)+(COUNTIF(O708:Q725,$B743)+COUNTIF(O708:Q725,$B743&amp;" ~*")&gt;0)+(COUNTIF(S708:U725,$B743)+COUNTIF(S708:U725,$B743&amp;" ~*")&gt;0)+(COUNTIF(W708:W725,$B743)+COUNTIF(W708:W725,$B743&amp;" ~*")&gt;0)+(COUNTIF(Y708:Y725,$B743)+COUNTIF(Y708:Y725,$B743&amp;" ~*")&gt;0))</f>
        <v/>
      </c>
      <c r="AC743" s="36">
        <f>IF($B743="","",(IFERROR(INDEX(Setup!$G$33:$G$40,MATCH(C743,Setup!$B$33:$B$40,0)),0)=1)*(COUNTIF(C708:E725,$B743)+COUNTIF(C708:E725,$B743&amp;" ~*")&gt;0)+(IFERROR(INDEX(Setup!$G$33:$G$40,MATCH(G743,Setup!$B$33:$B$40,0)),0)=1)*(COUNTIF(G708:I725,$B743)+COUNTIF(G708:I725,$B743&amp;" ~*")&gt;0)+(IFERROR(INDEX(Setup!$G$33:$G$40,MATCH(K743,Setup!$B$33:$B$40,0)),0)=1)*(COUNTIF(K708:M725,$B743)+COUNTIF(K708:M725,$B743&amp;" ~*")&gt;0)+(IFERROR(INDEX(Setup!$G$33:$G$40,MATCH(O743,Setup!$B$33:$B$40,0)),0)=1)*(COUNTIF(O708:Q725,$B743)+COUNTIF(O708:Q725,$B743&amp;" ~*")&gt;0)+(IFERROR(INDEX(Setup!$G$33:$G$40,MATCH(S743,Setup!$B$33:$B$40,0)),0)=1)*(COUNTIF(S708:U725,$B743)+COUNTIF(S708:U725,$B743&amp;" ~*")&gt;0)+(IFERROR(INDEX(Setup!$G$33:$G$40,MATCH(W743,Setup!$B$33:$B$40,0)),0)=1)*(COUNTIF(W708:W725,$B743)+COUNTIF(W708:W725,$B743&amp;" ~*")&gt;0)+(IFERROR(INDEX(Setup!$G$33:$G$40,MATCH(Y743,Setup!$B$33:$B$40,0)),0)=1)*(COUNTIF(Y708:Y725,$B743)+COUNTIF(Y708:Y725,$B743&amp;" ~*")&gt;0))</f>
        <v/>
      </c>
    </row>
    <row r="744" ht="15" customHeight="1">
      <c r="A744" t="n">
        <v>15</v>
      </c>
      <c r="B744" s="37">
        <f>IF(Setup!$B$23="","",Setup!$B$23)</f>
        <v/>
      </c>
      <c r="C744" s="102" t="n"/>
      <c r="D744" s="103" t="n"/>
      <c r="E744" s="103" t="n"/>
      <c r="F744" s="104" t="n"/>
      <c r="G744" s="102" t="n"/>
      <c r="H744" s="103" t="n"/>
      <c r="I744" s="103" t="n"/>
      <c r="J744" s="104" t="n"/>
      <c r="K744" s="102" t="n"/>
      <c r="L744" s="103" t="n"/>
      <c r="M744" s="103" t="n"/>
      <c r="N744" s="104" t="n"/>
      <c r="O744" s="102" t="n"/>
      <c r="P744" s="103" t="n"/>
      <c r="Q744" s="103" t="n"/>
      <c r="R744" s="104" t="n"/>
      <c r="S744" s="102" t="n"/>
      <c r="T744" s="103" t="n"/>
      <c r="U744" s="103" t="n"/>
      <c r="V744" s="104" t="n"/>
      <c r="W744" s="102" t="n"/>
      <c r="X744" s="104" t="n"/>
      <c r="Y744" s="102" t="n"/>
      <c r="Z744" s="104" t="n"/>
      <c r="AB744" s="105">
        <f>IF($B744="","",(COUNTIF(C708:E725,$B744)+COUNTIF(C708:E725,$B744&amp;" ~*")&gt;0)+(COUNTIF(G708:I725,$B744)+COUNTIF(G708:I725,$B744&amp;" ~*")&gt;0)+(COUNTIF(K708:M725,$B744)+COUNTIF(K708:M725,$B744&amp;" ~*")&gt;0)+(COUNTIF(O708:Q725,$B744)+COUNTIF(O708:Q725,$B744&amp;" ~*")&gt;0)+(COUNTIF(S708:U725,$B744)+COUNTIF(S708:U725,$B744&amp;" ~*")&gt;0)+(COUNTIF(W708:W725,$B744)+COUNTIF(W708:W725,$B744&amp;" ~*")&gt;0)+(COUNTIF(Y708:Y725,$B744)+COUNTIF(Y708:Y725,$B744&amp;" ~*")&gt;0))</f>
        <v/>
      </c>
      <c r="AC744" s="38">
        <f>IF($B744="","",(IFERROR(INDEX(Setup!$G$33:$G$40,MATCH(C744,Setup!$B$33:$B$40,0)),0)=1)*(COUNTIF(C708:E725,$B744)+COUNTIF(C708:E725,$B744&amp;" ~*")&gt;0)+(IFERROR(INDEX(Setup!$G$33:$G$40,MATCH(G744,Setup!$B$33:$B$40,0)),0)=1)*(COUNTIF(G708:I725,$B744)+COUNTIF(G708:I725,$B744&amp;" ~*")&gt;0)+(IFERROR(INDEX(Setup!$G$33:$G$40,MATCH(K744,Setup!$B$33:$B$40,0)),0)=1)*(COUNTIF(K708:M725,$B744)+COUNTIF(K708:M725,$B744&amp;" ~*")&gt;0)+(IFERROR(INDEX(Setup!$G$33:$G$40,MATCH(O744,Setup!$B$33:$B$40,0)),0)=1)*(COUNTIF(O708:Q725,$B744)+COUNTIF(O708:Q725,$B744&amp;" ~*")&gt;0)+(IFERROR(INDEX(Setup!$G$33:$G$40,MATCH(S744,Setup!$B$33:$B$40,0)),0)=1)*(COUNTIF(S708:U725,$B744)+COUNTIF(S708:U725,$B744&amp;" ~*")&gt;0)+(IFERROR(INDEX(Setup!$G$33:$G$40,MATCH(W744,Setup!$B$33:$B$40,0)),0)=1)*(COUNTIF(W708:W725,$B744)+COUNTIF(W708:W725,$B744&amp;" ~*")&gt;0)+(IFERROR(INDEX(Setup!$G$33:$G$40,MATCH(Y744,Setup!$B$33:$B$40,0)),0)=1)*(COUNTIF(Y708:Y725,$B744)+COUNTIF(Y708:Y725,$B744&amp;" ~*")&gt;0))</f>
        <v/>
      </c>
    </row>
    <row r="745" ht="15" customHeight="1">
      <c r="A745" t="n">
        <v>15</v>
      </c>
      <c r="B745" s="35">
        <f>IF(Setup!$B$24="","",Setup!$B$24)</f>
        <v/>
      </c>
      <c r="C745" s="98" t="n"/>
      <c r="D745" s="99" t="n"/>
      <c r="E745" s="99" t="n"/>
      <c r="F745" s="100" t="n"/>
      <c r="G745" s="98" t="n"/>
      <c r="H745" s="99" t="n"/>
      <c r="I745" s="99" t="n"/>
      <c r="J745" s="100" t="n"/>
      <c r="K745" s="98" t="n"/>
      <c r="L745" s="99" t="n"/>
      <c r="M745" s="99" t="n"/>
      <c r="N745" s="100" t="n"/>
      <c r="O745" s="98" t="n"/>
      <c r="P745" s="99" t="n"/>
      <c r="Q745" s="99" t="n"/>
      <c r="R745" s="100" t="n"/>
      <c r="S745" s="98" t="n"/>
      <c r="T745" s="99" t="n"/>
      <c r="U745" s="99" t="n"/>
      <c r="V745" s="100" t="n"/>
      <c r="W745" s="98" t="n"/>
      <c r="X745" s="100" t="n"/>
      <c r="Y745" s="98" t="n"/>
      <c r="Z745" s="100" t="n"/>
      <c r="AB745" s="101">
        <f>IF($B745="","",(COUNTIF(C708:E725,$B745)+COUNTIF(C708:E725,$B745&amp;" ~*")&gt;0)+(COUNTIF(G708:I725,$B745)+COUNTIF(G708:I725,$B745&amp;" ~*")&gt;0)+(COUNTIF(K708:M725,$B745)+COUNTIF(K708:M725,$B745&amp;" ~*")&gt;0)+(COUNTIF(O708:Q725,$B745)+COUNTIF(O708:Q725,$B745&amp;" ~*")&gt;0)+(COUNTIF(S708:U725,$B745)+COUNTIF(S708:U725,$B745&amp;" ~*")&gt;0)+(COUNTIF(W708:W725,$B745)+COUNTIF(W708:W725,$B745&amp;" ~*")&gt;0)+(COUNTIF(Y708:Y725,$B745)+COUNTIF(Y708:Y725,$B745&amp;" ~*")&gt;0))</f>
        <v/>
      </c>
      <c r="AC745" s="36">
        <f>IF($B745="","",(IFERROR(INDEX(Setup!$G$33:$G$40,MATCH(C745,Setup!$B$33:$B$40,0)),0)=1)*(COUNTIF(C708:E725,$B745)+COUNTIF(C708:E725,$B745&amp;" ~*")&gt;0)+(IFERROR(INDEX(Setup!$G$33:$G$40,MATCH(G745,Setup!$B$33:$B$40,0)),0)=1)*(COUNTIF(G708:I725,$B745)+COUNTIF(G708:I725,$B745&amp;" ~*")&gt;0)+(IFERROR(INDEX(Setup!$G$33:$G$40,MATCH(K745,Setup!$B$33:$B$40,0)),0)=1)*(COUNTIF(K708:M725,$B745)+COUNTIF(K708:M725,$B745&amp;" ~*")&gt;0)+(IFERROR(INDEX(Setup!$G$33:$G$40,MATCH(O745,Setup!$B$33:$B$40,0)),0)=1)*(COUNTIF(O708:Q725,$B745)+COUNTIF(O708:Q725,$B745&amp;" ~*")&gt;0)+(IFERROR(INDEX(Setup!$G$33:$G$40,MATCH(S745,Setup!$B$33:$B$40,0)),0)=1)*(COUNTIF(S708:U725,$B745)+COUNTIF(S708:U725,$B745&amp;" ~*")&gt;0)+(IFERROR(INDEX(Setup!$G$33:$G$40,MATCH(W745,Setup!$B$33:$B$40,0)),0)=1)*(COUNTIF(W708:W725,$B745)+COUNTIF(W708:W725,$B745&amp;" ~*")&gt;0)+(IFERROR(INDEX(Setup!$G$33:$G$40,MATCH(Y745,Setup!$B$33:$B$40,0)),0)=1)*(COUNTIF(Y708:Y725,$B745)+COUNTIF(Y708:Y725,$B745&amp;" ~*")&gt;0))</f>
        <v/>
      </c>
    </row>
    <row r="746" ht="15" customHeight="1">
      <c r="A746" t="n">
        <v>15</v>
      </c>
      <c r="B746" s="37">
        <f>IF(Setup!$B$25="","",Setup!$B$25)</f>
        <v/>
      </c>
      <c r="C746" s="102" t="n"/>
      <c r="D746" s="103" t="n"/>
      <c r="E746" s="103" t="n"/>
      <c r="F746" s="104" t="n"/>
      <c r="G746" s="102" t="n"/>
      <c r="H746" s="103" t="n"/>
      <c r="I746" s="103" t="n"/>
      <c r="J746" s="104" t="n"/>
      <c r="K746" s="102" t="n"/>
      <c r="L746" s="103" t="n"/>
      <c r="M746" s="103" t="n"/>
      <c r="N746" s="104" t="n"/>
      <c r="O746" s="102" t="n"/>
      <c r="P746" s="103" t="n"/>
      <c r="Q746" s="103" t="n"/>
      <c r="R746" s="104" t="n"/>
      <c r="S746" s="102" t="n"/>
      <c r="T746" s="103" t="n"/>
      <c r="U746" s="103" t="n"/>
      <c r="V746" s="104" t="n"/>
      <c r="W746" s="102" t="n"/>
      <c r="X746" s="104" t="n"/>
      <c r="Y746" s="102" t="n"/>
      <c r="Z746" s="104" t="n"/>
      <c r="AB746" s="105">
        <f>IF($B746="","",(COUNTIF(C708:E725,$B746)+COUNTIF(C708:E725,$B746&amp;" ~*")&gt;0)+(COUNTIF(G708:I725,$B746)+COUNTIF(G708:I725,$B746&amp;" ~*")&gt;0)+(COUNTIF(K708:M725,$B746)+COUNTIF(K708:M725,$B746&amp;" ~*")&gt;0)+(COUNTIF(O708:Q725,$B746)+COUNTIF(O708:Q725,$B746&amp;" ~*")&gt;0)+(COUNTIF(S708:U725,$B746)+COUNTIF(S708:U725,$B746&amp;" ~*")&gt;0)+(COUNTIF(W708:W725,$B746)+COUNTIF(W708:W725,$B746&amp;" ~*")&gt;0)+(COUNTIF(Y708:Y725,$B746)+COUNTIF(Y708:Y725,$B746&amp;" ~*")&gt;0))</f>
        <v/>
      </c>
      <c r="AC746" s="38">
        <f>IF($B746="","",(IFERROR(INDEX(Setup!$G$33:$G$40,MATCH(C746,Setup!$B$33:$B$40,0)),0)=1)*(COUNTIF(C708:E725,$B746)+COUNTIF(C708:E725,$B746&amp;" ~*")&gt;0)+(IFERROR(INDEX(Setup!$G$33:$G$40,MATCH(G746,Setup!$B$33:$B$40,0)),0)=1)*(COUNTIF(G708:I725,$B746)+COUNTIF(G708:I725,$B746&amp;" ~*")&gt;0)+(IFERROR(INDEX(Setup!$G$33:$G$40,MATCH(K746,Setup!$B$33:$B$40,0)),0)=1)*(COUNTIF(K708:M725,$B746)+COUNTIF(K708:M725,$B746&amp;" ~*")&gt;0)+(IFERROR(INDEX(Setup!$G$33:$G$40,MATCH(O746,Setup!$B$33:$B$40,0)),0)=1)*(COUNTIF(O708:Q725,$B746)+COUNTIF(O708:Q725,$B746&amp;" ~*")&gt;0)+(IFERROR(INDEX(Setup!$G$33:$G$40,MATCH(S746,Setup!$B$33:$B$40,0)),0)=1)*(COUNTIF(S708:U725,$B746)+COUNTIF(S708:U725,$B746&amp;" ~*")&gt;0)+(IFERROR(INDEX(Setup!$G$33:$G$40,MATCH(W746,Setup!$B$33:$B$40,0)),0)=1)*(COUNTIF(W708:W725,$B746)+COUNTIF(W708:W725,$B746&amp;" ~*")&gt;0)+(IFERROR(INDEX(Setup!$G$33:$G$40,MATCH(Y746,Setup!$B$33:$B$40,0)),0)=1)*(COUNTIF(Y708:Y725,$B746)+COUNTIF(Y708:Y725,$B746&amp;" ~*")&gt;0))</f>
        <v/>
      </c>
    </row>
    <row r="747" ht="15" customHeight="1">
      <c r="A747" t="n">
        <v>15</v>
      </c>
      <c r="B747" s="35">
        <f>IF(Setup!$B$26="","",Setup!$B$26)</f>
        <v/>
      </c>
      <c r="C747" s="98" t="n"/>
      <c r="D747" s="99" t="n"/>
      <c r="E747" s="99" t="n"/>
      <c r="F747" s="100" t="n"/>
      <c r="G747" s="98" t="n"/>
      <c r="H747" s="99" t="n"/>
      <c r="I747" s="99" t="n"/>
      <c r="J747" s="100" t="n"/>
      <c r="K747" s="98" t="n"/>
      <c r="L747" s="99" t="n"/>
      <c r="M747" s="99" t="n"/>
      <c r="N747" s="100" t="n"/>
      <c r="O747" s="98" t="n"/>
      <c r="P747" s="99" t="n"/>
      <c r="Q747" s="99" t="n"/>
      <c r="R747" s="100" t="n"/>
      <c r="S747" s="98" t="n"/>
      <c r="T747" s="99" t="n"/>
      <c r="U747" s="99" t="n"/>
      <c r="V747" s="100" t="n"/>
      <c r="W747" s="98" t="n"/>
      <c r="X747" s="100" t="n"/>
      <c r="Y747" s="98" t="n"/>
      <c r="Z747" s="100" t="n"/>
      <c r="AB747" s="101">
        <f>IF($B747="","",(COUNTIF(C708:E725,$B747)+COUNTIF(C708:E725,$B747&amp;" ~*")&gt;0)+(COUNTIF(G708:I725,$B747)+COUNTIF(G708:I725,$B747&amp;" ~*")&gt;0)+(COUNTIF(K708:M725,$B747)+COUNTIF(K708:M725,$B747&amp;" ~*")&gt;0)+(COUNTIF(O708:Q725,$B747)+COUNTIF(O708:Q725,$B747&amp;" ~*")&gt;0)+(COUNTIF(S708:U725,$B747)+COUNTIF(S708:U725,$B747&amp;" ~*")&gt;0)+(COUNTIF(W708:W725,$B747)+COUNTIF(W708:W725,$B747&amp;" ~*")&gt;0)+(COUNTIF(Y708:Y725,$B747)+COUNTIF(Y708:Y725,$B747&amp;" ~*")&gt;0))</f>
        <v/>
      </c>
      <c r="AC747" s="36">
        <f>IF($B747="","",(IFERROR(INDEX(Setup!$G$33:$G$40,MATCH(C747,Setup!$B$33:$B$40,0)),0)=1)*(COUNTIF(C708:E725,$B747)+COUNTIF(C708:E725,$B747&amp;" ~*")&gt;0)+(IFERROR(INDEX(Setup!$G$33:$G$40,MATCH(G747,Setup!$B$33:$B$40,0)),0)=1)*(COUNTIF(G708:I725,$B747)+COUNTIF(G708:I725,$B747&amp;" ~*")&gt;0)+(IFERROR(INDEX(Setup!$G$33:$G$40,MATCH(K747,Setup!$B$33:$B$40,0)),0)=1)*(COUNTIF(K708:M725,$B747)+COUNTIF(K708:M725,$B747&amp;" ~*")&gt;0)+(IFERROR(INDEX(Setup!$G$33:$G$40,MATCH(O747,Setup!$B$33:$B$40,0)),0)=1)*(COUNTIF(O708:Q725,$B747)+COUNTIF(O708:Q725,$B747&amp;" ~*")&gt;0)+(IFERROR(INDEX(Setup!$G$33:$G$40,MATCH(S747,Setup!$B$33:$B$40,0)),0)=1)*(COUNTIF(S708:U725,$B747)+COUNTIF(S708:U725,$B747&amp;" ~*")&gt;0)+(IFERROR(INDEX(Setup!$G$33:$G$40,MATCH(W747,Setup!$B$33:$B$40,0)),0)=1)*(COUNTIF(W708:W725,$B747)+COUNTIF(W708:W725,$B747&amp;" ~*")&gt;0)+(IFERROR(INDEX(Setup!$G$33:$G$40,MATCH(Y747,Setup!$B$33:$B$40,0)),0)=1)*(COUNTIF(Y708:Y725,$B747)+COUNTIF(Y708:Y725,$B747&amp;" ~*")&gt;0))</f>
        <v/>
      </c>
    </row>
    <row r="748" ht="15" customHeight="1">
      <c r="A748" t="n">
        <v>15</v>
      </c>
      <c r="B748" s="37">
        <f>IF(Setup!$B$27="","",Setup!$B$27)</f>
        <v/>
      </c>
      <c r="C748" s="102" t="n"/>
      <c r="D748" s="103" t="n"/>
      <c r="E748" s="103" t="n"/>
      <c r="F748" s="104" t="n"/>
      <c r="G748" s="102" t="n"/>
      <c r="H748" s="103" t="n"/>
      <c r="I748" s="103" t="n"/>
      <c r="J748" s="104" t="n"/>
      <c r="K748" s="102" t="n"/>
      <c r="L748" s="103" t="n"/>
      <c r="M748" s="103" t="n"/>
      <c r="N748" s="104" t="n"/>
      <c r="O748" s="102" t="n"/>
      <c r="P748" s="103" t="n"/>
      <c r="Q748" s="103" t="n"/>
      <c r="R748" s="104" t="n"/>
      <c r="S748" s="102" t="n"/>
      <c r="T748" s="103" t="n"/>
      <c r="U748" s="103" t="n"/>
      <c r="V748" s="104" t="n"/>
      <c r="W748" s="102" t="n"/>
      <c r="X748" s="104" t="n"/>
      <c r="Y748" s="102" t="n"/>
      <c r="Z748" s="104" t="n"/>
      <c r="AB748" s="105">
        <f>IF($B748="","",(COUNTIF(C708:E725,$B748)+COUNTIF(C708:E725,$B748&amp;" ~*")&gt;0)+(COUNTIF(G708:I725,$B748)+COUNTIF(G708:I725,$B748&amp;" ~*")&gt;0)+(COUNTIF(K708:M725,$B748)+COUNTIF(K708:M725,$B748&amp;" ~*")&gt;0)+(COUNTIF(O708:Q725,$B748)+COUNTIF(O708:Q725,$B748&amp;" ~*")&gt;0)+(COUNTIF(S708:U725,$B748)+COUNTIF(S708:U725,$B748&amp;" ~*")&gt;0)+(COUNTIF(W708:W725,$B748)+COUNTIF(W708:W725,$B748&amp;" ~*")&gt;0)+(COUNTIF(Y708:Y725,$B748)+COUNTIF(Y708:Y725,$B748&amp;" ~*")&gt;0))</f>
        <v/>
      </c>
      <c r="AC748" s="38">
        <f>IF($B748="","",(IFERROR(INDEX(Setup!$G$33:$G$40,MATCH(C748,Setup!$B$33:$B$40,0)),0)=1)*(COUNTIF(C708:E725,$B748)+COUNTIF(C708:E725,$B748&amp;" ~*")&gt;0)+(IFERROR(INDEX(Setup!$G$33:$G$40,MATCH(G748,Setup!$B$33:$B$40,0)),0)=1)*(COUNTIF(G708:I725,$B748)+COUNTIF(G708:I725,$B748&amp;" ~*")&gt;0)+(IFERROR(INDEX(Setup!$G$33:$G$40,MATCH(K748,Setup!$B$33:$B$40,0)),0)=1)*(COUNTIF(K708:M725,$B748)+COUNTIF(K708:M725,$B748&amp;" ~*")&gt;0)+(IFERROR(INDEX(Setup!$G$33:$G$40,MATCH(O748,Setup!$B$33:$B$40,0)),0)=1)*(COUNTIF(O708:Q725,$B748)+COUNTIF(O708:Q725,$B748&amp;" ~*")&gt;0)+(IFERROR(INDEX(Setup!$G$33:$G$40,MATCH(S748,Setup!$B$33:$B$40,0)),0)=1)*(COUNTIF(S708:U725,$B748)+COUNTIF(S708:U725,$B748&amp;" ~*")&gt;0)+(IFERROR(INDEX(Setup!$G$33:$G$40,MATCH(W748,Setup!$B$33:$B$40,0)),0)=1)*(COUNTIF(W708:W725,$B748)+COUNTIF(W708:W725,$B748&amp;" ~*")&gt;0)+(IFERROR(INDEX(Setup!$G$33:$G$40,MATCH(Y748,Setup!$B$33:$B$40,0)),0)=1)*(COUNTIF(Y708:Y725,$B748)+COUNTIF(Y708:Y725,$B748&amp;" ~*")&gt;0))</f>
        <v/>
      </c>
    </row>
    <row r="749" ht="15" customHeight="1">
      <c r="A749" t="n">
        <v>15</v>
      </c>
      <c r="B749" s="35">
        <f>IF(Setup!$B$28="","",Setup!$B$28)</f>
        <v/>
      </c>
      <c r="C749" s="98" t="n"/>
      <c r="D749" s="99" t="n"/>
      <c r="E749" s="99" t="n"/>
      <c r="F749" s="100" t="n"/>
      <c r="G749" s="98" t="n"/>
      <c r="H749" s="99" t="n"/>
      <c r="I749" s="99" t="n"/>
      <c r="J749" s="100" t="n"/>
      <c r="K749" s="98" t="n"/>
      <c r="L749" s="99" t="n"/>
      <c r="M749" s="99" t="n"/>
      <c r="N749" s="100" t="n"/>
      <c r="O749" s="98" t="n"/>
      <c r="P749" s="99" t="n"/>
      <c r="Q749" s="99" t="n"/>
      <c r="R749" s="100" t="n"/>
      <c r="S749" s="98" t="n"/>
      <c r="T749" s="99" t="n"/>
      <c r="U749" s="99" t="n"/>
      <c r="V749" s="100" t="n"/>
      <c r="W749" s="98" t="n"/>
      <c r="X749" s="100" t="n"/>
      <c r="Y749" s="98" t="n"/>
      <c r="Z749" s="100" t="n"/>
      <c r="AB749" s="101">
        <f>IF($B749="","",(COUNTIF(C708:E725,$B749)+COUNTIF(C708:E725,$B749&amp;" ~*")&gt;0)+(COUNTIF(G708:I725,$B749)+COUNTIF(G708:I725,$B749&amp;" ~*")&gt;0)+(COUNTIF(K708:M725,$B749)+COUNTIF(K708:M725,$B749&amp;" ~*")&gt;0)+(COUNTIF(O708:Q725,$B749)+COUNTIF(O708:Q725,$B749&amp;" ~*")&gt;0)+(COUNTIF(S708:U725,$B749)+COUNTIF(S708:U725,$B749&amp;" ~*")&gt;0)+(COUNTIF(W708:W725,$B749)+COUNTIF(W708:W725,$B749&amp;" ~*")&gt;0)+(COUNTIF(Y708:Y725,$B749)+COUNTIF(Y708:Y725,$B749&amp;" ~*")&gt;0))</f>
        <v/>
      </c>
      <c r="AC749" s="36">
        <f>IF($B749="","",(IFERROR(INDEX(Setup!$G$33:$G$40,MATCH(C749,Setup!$B$33:$B$40,0)),0)=1)*(COUNTIF(C708:E725,$B749)+COUNTIF(C708:E725,$B749&amp;" ~*")&gt;0)+(IFERROR(INDEX(Setup!$G$33:$G$40,MATCH(G749,Setup!$B$33:$B$40,0)),0)=1)*(COUNTIF(G708:I725,$B749)+COUNTIF(G708:I725,$B749&amp;" ~*")&gt;0)+(IFERROR(INDEX(Setup!$G$33:$G$40,MATCH(K749,Setup!$B$33:$B$40,0)),0)=1)*(COUNTIF(K708:M725,$B749)+COUNTIF(K708:M725,$B749&amp;" ~*")&gt;0)+(IFERROR(INDEX(Setup!$G$33:$G$40,MATCH(O749,Setup!$B$33:$B$40,0)),0)=1)*(COUNTIF(O708:Q725,$B749)+COUNTIF(O708:Q725,$B749&amp;" ~*")&gt;0)+(IFERROR(INDEX(Setup!$G$33:$G$40,MATCH(S749,Setup!$B$33:$B$40,0)),0)=1)*(COUNTIF(S708:U725,$B749)+COUNTIF(S708:U725,$B749&amp;" ~*")&gt;0)+(IFERROR(INDEX(Setup!$G$33:$G$40,MATCH(W749,Setup!$B$33:$B$40,0)),0)=1)*(COUNTIF(W708:W725,$B749)+COUNTIF(W708:W725,$B749&amp;" ~*")&gt;0)+(IFERROR(INDEX(Setup!$G$33:$G$40,MATCH(Y749,Setup!$B$33:$B$40,0)),0)=1)*(COUNTIF(Y708:Y725,$B749)+COUNTIF(Y708:Y725,$B749&amp;" ~*")&gt;0))</f>
        <v/>
      </c>
    </row>
    <row r="750" ht="15" customHeight="1">
      <c r="A750" t="n">
        <v>15</v>
      </c>
      <c r="B750" s="37">
        <f>IF(Setup!$B$29="","",Setup!$B$29)</f>
        <v/>
      </c>
      <c r="C750" s="102" t="n"/>
      <c r="D750" s="103" t="n"/>
      <c r="E750" s="103" t="n"/>
      <c r="F750" s="104" t="n"/>
      <c r="G750" s="102" t="n"/>
      <c r="H750" s="103" t="n"/>
      <c r="I750" s="103" t="n"/>
      <c r="J750" s="104" t="n"/>
      <c r="K750" s="102" t="n"/>
      <c r="L750" s="103" t="n"/>
      <c r="M750" s="103" t="n"/>
      <c r="N750" s="104" t="n"/>
      <c r="O750" s="102" t="n"/>
      <c r="P750" s="103" t="n"/>
      <c r="Q750" s="103" t="n"/>
      <c r="R750" s="104" t="n"/>
      <c r="S750" s="102" t="n"/>
      <c r="T750" s="103" t="n"/>
      <c r="U750" s="103" t="n"/>
      <c r="V750" s="104" t="n"/>
      <c r="W750" s="102" t="n"/>
      <c r="X750" s="104" t="n"/>
      <c r="Y750" s="102" t="n"/>
      <c r="Z750" s="104" t="n"/>
      <c r="AB750" s="105">
        <f>IF($B750="","",(COUNTIF(C708:E725,$B750)+COUNTIF(C708:E725,$B750&amp;" ~*")&gt;0)+(COUNTIF(G708:I725,$B750)+COUNTIF(G708:I725,$B750&amp;" ~*")&gt;0)+(COUNTIF(K708:M725,$B750)+COUNTIF(K708:M725,$B750&amp;" ~*")&gt;0)+(COUNTIF(O708:Q725,$B750)+COUNTIF(O708:Q725,$B750&amp;" ~*")&gt;0)+(COUNTIF(S708:U725,$B750)+COUNTIF(S708:U725,$B750&amp;" ~*")&gt;0)+(COUNTIF(W708:W725,$B750)+COUNTIF(W708:W725,$B750&amp;" ~*")&gt;0)+(COUNTIF(Y708:Y725,$B750)+COUNTIF(Y708:Y725,$B750&amp;" ~*")&gt;0))</f>
        <v/>
      </c>
      <c r="AC750" s="38">
        <f>IF($B750="","",(IFERROR(INDEX(Setup!$G$33:$G$40,MATCH(C750,Setup!$B$33:$B$40,0)),0)=1)*(COUNTIF(C708:E725,$B750)+COUNTIF(C708:E725,$B750&amp;" ~*")&gt;0)+(IFERROR(INDEX(Setup!$G$33:$G$40,MATCH(G750,Setup!$B$33:$B$40,0)),0)=1)*(COUNTIF(G708:I725,$B750)+COUNTIF(G708:I725,$B750&amp;" ~*")&gt;0)+(IFERROR(INDEX(Setup!$G$33:$G$40,MATCH(K750,Setup!$B$33:$B$40,0)),0)=1)*(COUNTIF(K708:M725,$B750)+COUNTIF(K708:M725,$B750&amp;" ~*")&gt;0)+(IFERROR(INDEX(Setup!$G$33:$G$40,MATCH(O750,Setup!$B$33:$B$40,0)),0)=1)*(COUNTIF(O708:Q725,$B750)+COUNTIF(O708:Q725,$B750&amp;" ~*")&gt;0)+(IFERROR(INDEX(Setup!$G$33:$G$40,MATCH(S750,Setup!$B$33:$B$40,0)),0)=1)*(COUNTIF(S708:U725,$B750)+COUNTIF(S708:U725,$B750&amp;" ~*")&gt;0)+(IFERROR(INDEX(Setup!$G$33:$G$40,MATCH(W750,Setup!$B$33:$B$40,0)),0)=1)*(COUNTIF(W708:W725,$B750)+COUNTIF(W708:W725,$B750&amp;" ~*")&gt;0)+(IFERROR(INDEX(Setup!$G$33:$G$40,MATCH(Y750,Setup!$B$33:$B$40,0)),0)=1)*(COUNTIF(Y708:Y725,$B750)+COUNTIF(Y708:Y725,$B750&amp;" ~*")&gt;0))</f>
        <v/>
      </c>
    </row>
    <row r="751" ht="16" customHeight="1">
      <c r="A751" t="n">
        <v>15</v>
      </c>
      <c r="B751" s="106" t="inlineStr">
        <is>
          <t>Available people</t>
        </is>
      </c>
      <c r="C751" s="107">
        <f>COUNTIFS(Setup!$E$6:$E$29,"Y",Setup!$B$6:$B$29,"?*")-SUMPRODUCT(COUNTIF(C727:C750,Setup!$F$33:$F$40))</f>
        <v/>
      </c>
      <c r="D751" s="107" t="n"/>
      <c r="E751" s="107" t="n"/>
      <c r="F751" s="107" t="n"/>
      <c r="G751" s="107">
        <f>COUNTIFS(Setup!$E$6:$E$29,"Y",Setup!$B$6:$B$29,"?*")-SUMPRODUCT(COUNTIF(G727:G750,Setup!$F$33:$F$40))</f>
        <v/>
      </c>
      <c r="H751" s="107" t="n"/>
      <c r="I751" s="107" t="n"/>
      <c r="J751" s="107" t="n"/>
      <c r="K751" s="107">
        <f>COUNTIFS(Setup!$E$6:$E$29,"Y",Setup!$B$6:$B$29,"?*")-SUMPRODUCT(COUNTIF(K727:K750,Setup!$F$33:$F$40))</f>
        <v/>
      </c>
      <c r="L751" s="107" t="n"/>
      <c r="M751" s="107" t="n"/>
      <c r="N751" s="107" t="n"/>
      <c r="O751" s="107">
        <f>COUNTIFS(Setup!$E$6:$E$29,"Y",Setup!$B$6:$B$29,"?*")-SUMPRODUCT(COUNTIF(O727:O750,Setup!$F$33:$F$40))</f>
        <v/>
      </c>
      <c r="P751" s="107" t="n"/>
      <c r="Q751" s="107" t="n"/>
      <c r="R751" s="107" t="n"/>
      <c r="S751" s="107">
        <f>COUNTIFS(Setup!$E$6:$E$29,"Y",Setup!$B$6:$B$29,"?*")-SUMPRODUCT(COUNTIF(S727:S750,Setup!$F$33:$F$40))</f>
        <v/>
      </c>
      <c r="T751" s="107" t="n"/>
      <c r="U751" s="107" t="n"/>
      <c r="V751" s="107" t="n"/>
      <c r="W751" s="107">
        <f>COUNTIFS(Setup!$E$6:$E$29,"Y",Setup!$B$6:$B$29,"?*")-SUMPRODUCT(COUNTIF(W727:W750,Setup!$F$33:$F$40))</f>
        <v/>
      </c>
      <c r="X751" s="107" t="n"/>
      <c r="Y751" s="107">
        <f>COUNTIFS(Setup!$E$6:$E$29,"Y",Setup!$B$6:$B$29,"?*")-SUMPRODUCT(COUNTIF(Y727:Y750,Setup!$F$33:$F$40))</f>
        <v/>
      </c>
      <c r="Z751" s="107" t="n"/>
      <c r="AB751" s="108">
        <f>SUM(AB727:AB750)</f>
        <v/>
      </c>
      <c r="AC751" s="109">
        <f>SUM(AC727:AC750)</f>
        <v/>
      </c>
    </row>
    <row r="752" ht="30" customHeight="1">
      <c r="A752" t="n">
        <v>15</v>
      </c>
      <c r="B752" s="110" t="inlineStr">
        <is>
          <t>Week notes</t>
        </is>
      </c>
      <c r="C752" s="111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112" t="n"/>
      <c r="R752" s="112" t="n"/>
      <c r="S752" s="112" t="n"/>
      <c r="T752" s="112" t="n"/>
      <c r="U752" s="112" t="n"/>
      <c r="V752" s="112" t="n"/>
      <c r="W752" s="112" t="n"/>
      <c r="X752" s="112" t="n"/>
      <c r="Y752" s="112" t="n"/>
      <c r="Z752" s="113" t="n"/>
    </row>
    <row r="753" ht="8" customHeight="1">
      <c r="A753" t="n">
        <v>15</v>
      </c>
    </row>
    <row r="754" ht="8" customHeight="1">
      <c r="A754" t="n">
        <v>15</v>
      </c>
    </row>
    <row r="755" ht="24" customHeight="1">
      <c r="A755" t="n">
        <v>16</v>
      </c>
      <c r="B755" s="73">
        <f>"WEEK 16     "&amp;TEXT(C756,"ddd d mmm")&amp;"  –  "&amp;TEXT(C756+6,"ddd d mmm yyyy")</f>
        <v/>
      </c>
      <c r="S755" s="74">
        <f>IF(TODAY()&lt;C756,"FUTURE",IF(TODAY()&gt;C756+6,"PAST","THIS WEEK"))</f>
        <v/>
      </c>
      <c r="W755" s="75">
        <f>IF(AND(Engine!$B$8=$AC$3,Engine!$B$9=$A755),"◀ ACTIVE WEEK","")</f>
        <v/>
      </c>
      <c r="AA755" s="76" t="n"/>
      <c r="AB755" s="77" t="inlineStr">
        <is>
          <t>◀ Prev</t>
        </is>
      </c>
      <c r="AC755" s="77" t="inlineStr">
        <is>
          <t>Next ▶</t>
        </is>
      </c>
    </row>
    <row r="756" ht="18" customHeight="1">
      <c r="A756" t="n">
        <v>16</v>
      </c>
      <c r="B756" s="78" t="inlineStr">
        <is>
          <t>DUTY</t>
        </is>
      </c>
      <c r="C756" s="79">
        <f>$AC$2+7*($A756-1)</f>
        <v/>
      </c>
      <c r="D756" s="80" t="n"/>
      <c r="E756" s="80" t="n"/>
      <c r="F756" s="81" t="n"/>
      <c r="G756" s="79">
        <f>C756+1</f>
        <v/>
      </c>
      <c r="H756" s="80" t="n"/>
      <c r="I756" s="80" t="n"/>
      <c r="J756" s="81" t="n"/>
      <c r="K756" s="79">
        <f>C756+2</f>
        <v/>
      </c>
      <c r="L756" s="80" t="n"/>
      <c r="M756" s="80" t="n"/>
      <c r="N756" s="81" t="n"/>
      <c r="O756" s="79">
        <f>C756+3</f>
        <v/>
      </c>
      <c r="P756" s="80" t="n"/>
      <c r="Q756" s="80" t="n"/>
      <c r="R756" s="81" t="n"/>
      <c r="S756" s="79">
        <f>C756+4</f>
        <v/>
      </c>
      <c r="T756" s="80" t="n"/>
      <c r="U756" s="80" t="n"/>
      <c r="V756" s="81" t="n"/>
      <c r="W756" s="82">
        <f>C756+5</f>
        <v/>
      </c>
      <c r="X756" s="83" t="n"/>
      <c r="Y756" s="82">
        <f>C756+6</f>
        <v/>
      </c>
      <c r="Z756" s="83" t="n"/>
      <c r="AB756" s="72" t="inlineStr">
        <is>
          <t>Gaps</t>
        </is>
      </c>
      <c r="AC756" s="72" t="inlineStr">
        <is>
          <t>Cover</t>
        </is>
      </c>
    </row>
    <row r="757" ht="14" customHeight="1">
      <c r="A757" t="n">
        <v>16</v>
      </c>
      <c r="B757" s="84" t="inlineStr">
        <is>
          <t>(from Setup)</t>
        </is>
      </c>
      <c r="C757" s="85" t="inlineStr">
        <is>
          <t>1</t>
        </is>
      </c>
      <c r="D757" s="85" t="inlineStr">
        <is>
          <t>2</t>
        </is>
      </c>
      <c r="E757" s="85" t="inlineStr">
        <is>
          <t>3</t>
        </is>
      </c>
      <c r="F757" s="85" t="inlineStr">
        <is>
          <t>Notes</t>
        </is>
      </c>
      <c r="G757" s="85" t="inlineStr">
        <is>
          <t>1</t>
        </is>
      </c>
      <c r="H757" s="85" t="inlineStr">
        <is>
          <t>2</t>
        </is>
      </c>
      <c r="I757" s="85" t="inlineStr">
        <is>
          <t>3</t>
        </is>
      </c>
      <c r="J757" s="85" t="inlineStr">
        <is>
          <t>Notes</t>
        </is>
      </c>
      <c r="K757" s="85" t="inlineStr">
        <is>
          <t>1</t>
        </is>
      </c>
      <c r="L757" s="85" t="inlineStr">
        <is>
          <t>2</t>
        </is>
      </c>
      <c r="M757" s="85" t="inlineStr">
        <is>
          <t>3</t>
        </is>
      </c>
      <c r="N757" s="85" t="inlineStr">
        <is>
          <t>Notes</t>
        </is>
      </c>
      <c r="O757" s="85" t="inlineStr">
        <is>
          <t>1</t>
        </is>
      </c>
      <c r="P757" s="85" t="inlineStr">
        <is>
          <t>2</t>
        </is>
      </c>
      <c r="Q757" s="85" t="inlineStr">
        <is>
          <t>3</t>
        </is>
      </c>
      <c r="R757" s="85" t="inlineStr">
        <is>
          <t>Notes</t>
        </is>
      </c>
      <c r="S757" s="85" t="inlineStr">
        <is>
          <t>1</t>
        </is>
      </c>
      <c r="T757" s="85" t="inlineStr">
        <is>
          <t>2</t>
        </is>
      </c>
      <c r="U757" s="85" t="inlineStr">
        <is>
          <t>3</t>
        </is>
      </c>
      <c r="V757" s="85" t="inlineStr">
        <is>
          <t>Notes</t>
        </is>
      </c>
      <c r="W757" s="85" t="inlineStr">
        <is>
          <t>Cover</t>
        </is>
      </c>
      <c r="X757" s="85" t="inlineStr">
        <is>
          <t>Notes</t>
        </is>
      </c>
      <c r="Y757" s="85" t="inlineStr">
        <is>
          <t>Cover</t>
        </is>
      </c>
      <c r="Z757" s="85" t="inlineStr">
        <is>
          <t>Notes</t>
        </is>
      </c>
      <c r="AB757" s="86" t="inlineStr">
        <is>
          <t>weekdays short</t>
        </is>
      </c>
      <c r="AC757" s="87" t="inlineStr"/>
    </row>
    <row r="758" ht="17" customHeight="1">
      <c r="A758" t="n">
        <v>16</v>
      </c>
      <c r="B758" s="24">
        <f>IF(Setup!$K$6="","",Setup!$K$6)</f>
        <v/>
      </c>
      <c r="C758" s="88" t="n"/>
      <c r="D758" s="88" t="n"/>
      <c r="E758" s="88" t="n"/>
      <c r="F758" s="89" t="n"/>
      <c r="G758" s="88" t="n"/>
      <c r="H758" s="88" t="n"/>
      <c r="I758" s="88" t="n"/>
      <c r="J758" s="89" t="n"/>
      <c r="K758" s="88" t="n"/>
      <c r="L758" s="88" t="n"/>
      <c r="M758" s="88" t="n"/>
      <c r="N758" s="89" t="n"/>
      <c r="O758" s="88" t="n"/>
      <c r="P758" s="88" t="n"/>
      <c r="Q758" s="88" t="n"/>
      <c r="R758" s="89" t="n"/>
      <c r="S758" s="88" t="n"/>
      <c r="T758" s="88" t="n"/>
      <c r="U758" s="88" t="n"/>
      <c r="V758" s="89" t="n"/>
      <c r="W758" s="88" t="n"/>
      <c r="X758" s="89" t="n"/>
      <c r="Y758" s="88" t="n"/>
      <c r="Z758" s="89" t="n"/>
      <c r="AB758" s="25">
        <f>IF($B758="","",(COUNTIF(C758:E758,"?*")&lt;N(INDEX(Setup!$L$6:$L$23,1)))+(COUNTIF(G758:I758,"?*")&lt;N(INDEX(Setup!$L$6:$L$23,1)))+(COUNTIF(K758:M758,"?*")&lt;N(INDEX(Setup!$L$6:$L$23,1)))+(COUNTIF(O758:Q758,"?*")&lt;N(INDEX(Setup!$L$6:$L$23,1)))+(COUNTIF(S758:U758,"?*")&lt;N(INDEX(Setup!$L$6:$L$23,1)))+((W758="")*(INDEX(Setup!$M$6:$M$23,1)="Y"))+((Y758="")*(INDEX(Setup!$M$6:$M$23,1)="Y")))</f>
        <v/>
      </c>
      <c r="AC758" s="90">
        <f>IF($B758="","",IF(AB758=0,"✓ covered","⚠ "&amp;AB758&amp;IF(AB758=1," gap"," gaps")))</f>
        <v/>
      </c>
    </row>
    <row r="759" ht="17" customHeight="1">
      <c r="A759" t="n">
        <v>16</v>
      </c>
      <c r="B759" s="29">
        <f>IF(Setup!$K$7="","",Setup!$K$7)</f>
        <v/>
      </c>
      <c r="C759" s="88" t="n"/>
      <c r="D759" s="88" t="n"/>
      <c r="E759" s="88" t="n"/>
      <c r="F759" s="89" t="n"/>
      <c r="G759" s="88" t="n"/>
      <c r="H759" s="88" t="n"/>
      <c r="I759" s="88" t="n"/>
      <c r="J759" s="89" t="n"/>
      <c r="K759" s="88" t="n"/>
      <c r="L759" s="88" t="n"/>
      <c r="M759" s="88" t="n"/>
      <c r="N759" s="89" t="n"/>
      <c r="O759" s="88" t="n"/>
      <c r="P759" s="88" t="n"/>
      <c r="Q759" s="88" t="n"/>
      <c r="R759" s="89" t="n"/>
      <c r="S759" s="88" t="n"/>
      <c r="T759" s="88" t="n"/>
      <c r="U759" s="88" t="n"/>
      <c r="V759" s="89" t="n"/>
      <c r="W759" s="88" t="n"/>
      <c r="X759" s="89" t="n"/>
      <c r="Y759" s="88" t="n"/>
      <c r="Z759" s="89" t="n"/>
      <c r="AB759" s="30">
        <f>IF($B759="","",(COUNTIF(C759:E759,"?*")&lt;N(INDEX(Setup!$L$6:$L$23,2)))+(COUNTIF(G759:I759,"?*")&lt;N(INDEX(Setup!$L$6:$L$23,2)))+(COUNTIF(K759:M759,"?*")&lt;N(INDEX(Setup!$L$6:$L$23,2)))+(COUNTIF(O759:Q759,"?*")&lt;N(INDEX(Setup!$L$6:$L$23,2)))+(COUNTIF(S759:U759,"?*")&lt;N(INDEX(Setup!$L$6:$L$23,2)))+((W759="")*(INDEX(Setup!$M$6:$M$23,2)="Y"))+((Y759="")*(INDEX(Setup!$M$6:$M$23,2)="Y")))</f>
        <v/>
      </c>
      <c r="AC759" s="91">
        <f>IF($B759="","",IF(AB759=0,"✓ covered","⚠ "&amp;AB759&amp;IF(AB759=1," gap"," gaps")))</f>
        <v/>
      </c>
    </row>
    <row r="760" ht="17" customHeight="1">
      <c r="A760" t="n">
        <v>16</v>
      </c>
      <c r="B760" s="24">
        <f>IF(Setup!$K$8="","",Setup!$K$8)</f>
        <v/>
      </c>
      <c r="C760" s="88" t="n"/>
      <c r="D760" s="88" t="n"/>
      <c r="E760" s="88" t="n"/>
      <c r="F760" s="89" t="n"/>
      <c r="G760" s="88" t="n"/>
      <c r="H760" s="88" t="n"/>
      <c r="I760" s="88" t="n"/>
      <c r="J760" s="89" t="n"/>
      <c r="K760" s="88" t="n"/>
      <c r="L760" s="88" t="n"/>
      <c r="M760" s="88" t="n"/>
      <c r="N760" s="89" t="n"/>
      <c r="O760" s="88" t="n"/>
      <c r="P760" s="88" t="n"/>
      <c r="Q760" s="88" t="n"/>
      <c r="R760" s="89" t="n"/>
      <c r="S760" s="88" t="n"/>
      <c r="T760" s="88" t="n"/>
      <c r="U760" s="88" t="n"/>
      <c r="V760" s="89" t="n"/>
      <c r="W760" s="88" t="n"/>
      <c r="X760" s="89" t="n"/>
      <c r="Y760" s="88" t="n"/>
      <c r="Z760" s="89" t="n"/>
      <c r="AB760" s="25">
        <f>IF($B760="","",(COUNTIF(C760:E760,"?*")&lt;N(INDEX(Setup!$L$6:$L$23,3)))+(COUNTIF(G760:I760,"?*")&lt;N(INDEX(Setup!$L$6:$L$23,3)))+(COUNTIF(K760:M760,"?*")&lt;N(INDEX(Setup!$L$6:$L$23,3)))+(COUNTIF(O760:Q760,"?*")&lt;N(INDEX(Setup!$L$6:$L$23,3)))+(COUNTIF(S760:U760,"?*")&lt;N(INDEX(Setup!$L$6:$L$23,3)))+((W760="")*(INDEX(Setup!$M$6:$M$23,3)="Y"))+((Y760="")*(INDEX(Setup!$M$6:$M$23,3)="Y")))</f>
        <v/>
      </c>
      <c r="AC760" s="90">
        <f>IF($B760="","",IF(AB760=0,"✓ covered","⚠ "&amp;AB760&amp;IF(AB760=1," gap"," gaps")))</f>
        <v/>
      </c>
    </row>
    <row r="761" ht="17" customHeight="1">
      <c r="A761" t="n">
        <v>16</v>
      </c>
      <c r="B761" s="29">
        <f>IF(Setup!$K$9="","",Setup!$K$9)</f>
        <v/>
      </c>
      <c r="C761" s="88" t="n"/>
      <c r="D761" s="88" t="n"/>
      <c r="E761" s="88" t="n"/>
      <c r="F761" s="89" t="n"/>
      <c r="G761" s="88" t="n"/>
      <c r="H761" s="88" t="n"/>
      <c r="I761" s="88" t="n"/>
      <c r="J761" s="89" t="n"/>
      <c r="K761" s="88" t="n"/>
      <c r="L761" s="88" t="n"/>
      <c r="M761" s="88" t="n"/>
      <c r="N761" s="89" t="n"/>
      <c r="O761" s="88" t="n"/>
      <c r="P761" s="88" t="n"/>
      <c r="Q761" s="88" t="n"/>
      <c r="R761" s="89" t="n"/>
      <c r="S761" s="88" t="n"/>
      <c r="T761" s="88" t="n"/>
      <c r="U761" s="88" t="n"/>
      <c r="V761" s="89" t="n"/>
      <c r="W761" s="88" t="n"/>
      <c r="X761" s="89" t="n"/>
      <c r="Y761" s="88" t="n"/>
      <c r="Z761" s="89" t="n"/>
      <c r="AB761" s="30">
        <f>IF($B761="","",(COUNTIF(C761:E761,"?*")&lt;N(INDEX(Setup!$L$6:$L$23,4)))+(COUNTIF(G761:I761,"?*")&lt;N(INDEX(Setup!$L$6:$L$23,4)))+(COUNTIF(K761:M761,"?*")&lt;N(INDEX(Setup!$L$6:$L$23,4)))+(COUNTIF(O761:Q761,"?*")&lt;N(INDEX(Setup!$L$6:$L$23,4)))+(COUNTIF(S761:U761,"?*")&lt;N(INDEX(Setup!$L$6:$L$23,4)))+((W761="")*(INDEX(Setup!$M$6:$M$23,4)="Y"))+((Y761="")*(INDEX(Setup!$M$6:$M$23,4)="Y")))</f>
        <v/>
      </c>
      <c r="AC761" s="91">
        <f>IF($B761="","",IF(AB761=0,"✓ covered","⚠ "&amp;AB761&amp;IF(AB761=1," gap"," gaps")))</f>
        <v/>
      </c>
    </row>
    <row r="762" ht="17" customHeight="1">
      <c r="A762" t="n">
        <v>16</v>
      </c>
      <c r="B762" s="24">
        <f>IF(Setup!$K$10="","",Setup!$K$10)</f>
        <v/>
      </c>
      <c r="C762" s="88" t="n"/>
      <c r="D762" s="88" t="n"/>
      <c r="E762" s="88" t="n"/>
      <c r="F762" s="89" t="n"/>
      <c r="G762" s="88" t="n"/>
      <c r="H762" s="88" t="n"/>
      <c r="I762" s="88" t="n"/>
      <c r="J762" s="89" t="n"/>
      <c r="K762" s="88" t="n"/>
      <c r="L762" s="88" t="n"/>
      <c r="M762" s="88" t="n"/>
      <c r="N762" s="89" t="n"/>
      <c r="O762" s="88" t="n"/>
      <c r="P762" s="88" t="n"/>
      <c r="Q762" s="88" t="n"/>
      <c r="R762" s="89" t="n"/>
      <c r="S762" s="88" t="n"/>
      <c r="T762" s="88" t="n"/>
      <c r="U762" s="88" t="n"/>
      <c r="V762" s="89" t="n"/>
      <c r="W762" s="88" t="n"/>
      <c r="X762" s="89" t="n"/>
      <c r="Y762" s="88" t="n"/>
      <c r="Z762" s="89" t="n"/>
      <c r="AB762" s="25">
        <f>IF($B762="","",(COUNTIF(C762:E762,"?*")&lt;N(INDEX(Setup!$L$6:$L$23,5)))+(COUNTIF(G762:I762,"?*")&lt;N(INDEX(Setup!$L$6:$L$23,5)))+(COUNTIF(K762:M762,"?*")&lt;N(INDEX(Setup!$L$6:$L$23,5)))+(COUNTIF(O762:Q762,"?*")&lt;N(INDEX(Setup!$L$6:$L$23,5)))+(COUNTIF(S762:U762,"?*")&lt;N(INDEX(Setup!$L$6:$L$23,5)))+((W762="")*(INDEX(Setup!$M$6:$M$23,5)="Y"))+((Y762="")*(INDEX(Setup!$M$6:$M$23,5)="Y")))</f>
        <v/>
      </c>
      <c r="AC762" s="90">
        <f>IF($B762="","",IF(AB762=0,"✓ covered","⚠ "&amp;AB762&amp;IF(AB762=1," gap"," gaps")))</f>
        <v/>
      </c>
    </row>
    <row r="763" ht="17" customHeight="1">
      <c r="A763" t="n">
        <v>16</v>
      </c>
      <c r="B763" s="29">
        <f>IF(Setup!$K$11="","",Setup!$K$11)</f>
        <v/>
      </c>
      <c r="C763" s="88" t="n"/>
      <c r="D763" s="88" t="n"/>
      <c r="E763" s="88" t="n"/>
      <c r="F763" s="89" t="n"/>
      <c r="G763" s="88" t="n"/>
      <c r="H763" s="88" t="n"/>
      <c r="I763" s="88" t="n"/>
      <c r="J763" s="89" t="n"/>
      <c r="K763" s="88" t="n"/>
      <c r="L763" s="88" t="n"/>
      <c r="M763" s="88" t="n"/>
      <c r="N763" s="89" t="n"/>
      <c r="O763" s="88" t="n"/>
      <c r="P763" s="88" t="n"/>
      <c r="Q763" s="88" t="n"/>
      <c r="R763" s="89" t="n"/>
      <c r="S763" s="88" t="n"/>
      <c r="T763" s="88" t="n"/>
      <c r="U763" s="88" t="n"/>
      <c r="V763" s="89" t="n"/>
      <c r="W763" s="88" t="n"/>
      <c r="X763" s="89" t="n"/>
      <c r="Y763" s="88" t="n"/>
      <c r="Z763" s="89" t="n"/>
      <c r="AB763" s="30">
        <f>IF($B763="","",(COUNTIF(C763:E763,"?*")&lt;N(INDEX(Setup!$L$6:$L$23,6)))+(COUNTIF(G763:I763,"?*")&lt;N(INDEX(Setup!$L$6:$L$23,6)))+(COUNTIF(K763:M763,"?*")&lt;N(INDEX(Setup!$L$6:$L$23,6)))+(COUNTIF(O763:Q763,"?*")&lt;N(INDEX(Setup!$L$6:$L$23,6)))+(COUNTIF(S763:U763,"?*")&lt;N(INDEX(Setup!$L$6:$L$23,6)))+((W763="")*(INDEX(Setup!$M$6:$M$23,6)="Y"))+((Y763="")*(INDEX(Setup!$M$6:$M$23,6)="Y")))</f>
        <v/>
      </c>
      <c r="AC763" s="91">
        <f>IF($B763="","",IF(AB763=0,"✓ covered","⚠ "&amp;AB763&amp;IF(AB763=1," gap"," gaps")))</f>
        <v/>
      </c>
    </row>
    <row r="764" ht="17" customHeight="1">
      <c r="A764" t="n">
        <v>16</v>
      </c>
      <c r="B764" s="24">
        <f>IF(Setup!$K$12="","",Setup!$K$12)</f>
        <v/>
      </c>
      <c r="C764" s="88" t="n"/>
      <c r="D764" s="88" t="n"/>
      <c r="E764" s="88" t="n"/>
      <c r="F764" s="89" t="n"/>
      <c r="G764" s="88" t="n"/>
      <c r="H764" s="88" t="n"/>
      <c r="I764" s="88" t="n"/>
      <c r="J764" s="89" t="n"/>
      <c r="K764" s="88" t="n"/>
      <c r="L764" s="88" t="n"/>
      <c r="M764" s="88" t="n"/>
      <c r="N764" s="89" t="n"/>
      <c r="O764" s="88" t="n"/>
      <c r="P764" s="88" t="n"/>
      <c r="Q764" s="88" t="n"/>
      <c r="R764" s="89" t="n"/>
      <c r="S764" s="88" t="n"/>
      <c r="T764" s="88" t="n"/>
      <c r="U764" s="88" t="n"/>
      <c r="V764" s="89" t="n"/>
      <c r="W764" s="88" t="n"/>
      <c r="X764" s="89" t="n"/>
      <c r="Y764" s="88" t="n"/>
      <c r="Z764" s="89" t="n"/>
      <c r="AB764" s="25">
        <f>IF($B764="","",(COUNTIF(C764:E764,"?*")&lt;N(INDEX(Setup!$L$6:$L$23,7)))+(COUNTIF(G764:I764,"?*")&lt;N(INDEX(Setup!$L$6:$L$23,7)))+(COUNTIF(K764:M764,"?*")&lt;N(INDEX(Setup!$L$6:$L$23,7)))+(COUNTIF(O764:Q764,"?*")&lt;N(INDEX(Setup!$L$6:$L$23,7)))+(COUNTIF(S764:U764,"?*")&lt;N(INDEX(Setup!$L$6:$L$23,7)))+((W764="")*(INDEX(Setup!$M$6:$M$23,7)="Y"))+((Y764="")*(INDEX(Setup!$M$6:$M$23,7)="Y")))</f>
        <v/>
      </c>
      <c r="AC764" s="90">
        <f>IF($B764="","",IF(AB764=0,"✓ covered","⚠ "&amp;AB764&amp;IF(AB764=1," gap"," gaps")))</f>
        <v/>
      </c>
    </row>
    <row r="765" ht="17" customHeight="1">
      <c r="A765" t="n">
        <v>16</v>
      </c>
      <c r="B765" s="29">
        <f>IF(Setup!$K$13="","",Setup!$K$13)</f>
        <v/>
      </c>
      <c r="C765" s="88" t="n"/>
      <c r="D765" s="88" t="n"/>
      <c r="E765" s="88" t="n"/>
      <c r="F765" s="89" t="n"/>
      <c r="G765" s="88" t="n"/>
      <c r="H765" s="88" t="n"/>
      <c r="I765" s="88" t="n"/>
      <c r="J765" s="89" t="n"/>
      <c r="K765" s="88" t="n"/>
      <c r="L765" s="88" t="n"/>
      <c r="M765" s="88" t="n"/>
      <c r="N765" s="89" t="n"/>
      <c r="O765" s="88" t="n"/>
      <c r="P765" s="88" t="n"/>
      <c r="Q765" s="88" t="n"/>
      <c r="R765" s="89" t="n"/>
      <c r="S765" s="88" t="n"/>
      <c r="T765" s="88" t="n"/>
      <c r="U765" s="88" t="n"/>
      <c r="V765" s="89" t="n"/>
      <c r="W765" s="88" t="n"/>
      <c r="X765" s="89" t="n"/>
      <c r="Y765" s="88" t="n"/>
      <c r="Z765" s="89" t="n"/>
      <c r="AB765" s="30">
        <f>IF($B765="","",(COUNTIF(C765:E765,"?*")&lt;N(INDEX(Setup!$L$6:$L$23,8)))+(COUNTIF(G765:I765,"?*")&lt;N(INDEX(Setup!$L$6:$L$23,8)))+(COUNTIF(K765:M765,"?*")&lt;N(INDEX(Setup!$L$6:$L$23,8)))+(COUNTIF(O765:Q765,"?*")&lt;N(INDEX(Setup!$L$6:$L$23,8)))+(COUNTIF(S765:U765,"?*")&lt;N(INDEX(Setup!$L$6:$L$23,8)))+((W765="")*(INDEX(Setup!$M$6:$M$23,8)="Y"))+((Y765="")*(INDEX(Setup!$M$6:$M$23,8)="Y")))</f>
        <v/>
      </c>
      <c r="AC765" s="91">
        <f>IF($B765="","",IF(AB765=0,"✓ covered","⚠ "&amp;AB765&amp;IF(AB765=1," gap"," gaps")))</f>
        <v/>
      </c>
    </row>
    <row r="766" ht="17" customHeight="1">
      <c r="A766" t="n">
        <v>16</v>
      </c>
      <c r="B766" s="24">
        <f>IF(Setup!$K$14="","",Setup!$K$14)</f>
        <v/>
      </c>
      <c r="C766" s="88" t="n"/>
      <c r="D766" s="88" t="n"/>
      <c r="E766" s="88" t="n"/>
      <c r="F766" s="89" t="n"/>
      <c r="G766" s="88" t="n"/>
      <c r="H766" s="88" t="n"/>
      <c r="I766" s="88" t="n"/>
      <c r="J766" s="89" t="n"/>
      <c r="K766" s="88" t="n"/>
      <c r="L766" s="88" t="n"/>
      <c r="M766" s="88" t="n"/>
      <c r="N766" s="89" t="n"/>
      <c r="O766" s="88" t="n"/>
      <c r="P766" s="88" t="n"/>
      <c r="Q766" s="88" t="n"/>
      <c r="R766" s="89" t="n"/>
      <c r="S766" s="88" t="n"/>
      <c r="T766" s="88" t="n"/>
      <c r="U766" s="88" t="n"/>
      <c r="V766" s="89" t="n"/>
      <c r="W766" s="88" t="n"/>
      <c r="X766" s="89" t="n"/>
      <c r="Y766" s="88" t="n"/>
      <c r="Z766" s="89" t="n"/>
      <c r="AB766" s="25">
        <f>IF($B766="","",(COUNTIF(C766:E766,"?*")&lt;N(INDEX(Setup!$L$6:$L$23,9)))+(COUNTIF(G766:I766,"?*")&lt;N(INDEX(Setup!$L$6:$L$23,9)))+(COUNTIF(K766:M766,"?*")&lt;N(INDEX(Setup!$L$6:$L$23,9)))+(COUNTIF(O766:Q766,"?*")&lt;N(INDEX(Setup!$L$6:$L$23,9)))+(COUNTIF(S766:U766,"?*")&lt;N(INDEX(Setup!$L$6:$L$23,9)))+((W766="")*(INDEX(Setup!$M$6:$M$23,9)="Y"))+((Y766="")*(INDEX(Setup!$M$6:$M$23,9)="Y")))</f>
        <v/>
      </c>
      <c r="AC766" s="90">
        <f>IF($B766="","",IF(AB766=0,"✓ covered","⚠ "&amp;AB766&amp;IF(AB766=1," gap"," gaps")))</f>
        <v/>
      </c>
    </row>
    <row r="767" ht="17" customHeight="1">
      <c r="A767" t="n">
        <v>16</v>
      </c>
      <c r="B767" s="29">
        <f>IF(Setup!$K$15="","",Setup!$K$15)</f>
        <v/>
      </c>
      <c r="C767" s="88" t="n"/>
      <c r="D767" s="88" t="n"/>
      <c r="E767" s="88" t="n"/>
      <c r="F767" s="89" t="n"/>
      <c r="G767" s="88" t="n"/>
      <c r="H767" s="88" t="n"/>
      <c r="I767" s="88" t="n"/>
      <c r="J767" s="89" t="n"/>
      <c r="K767" s="88" t="n"/>
      <c r="L767" s="88" t="n"/>
      <c r="M767" s="88" t="n"/>
      <c r="N767" s="89" t="n"/>
      <c r="O767" s="88" t="n"/>
      <c r="P767" s="88" t="n"/>
      <c r="Q767" s="88" t="n"/>
      <c r="R767" s="89" t="n"/>
      <c r="S767" s="88" t="n"/>
      <c r="T767" s="88" t="n"/>
      <c r="U767" s="88" t="n"/>
      <c r="V767" s="89" t="n"/>
      <c r="W767" s="88" t="n"/>
      <c r="X767" s="89" t="n"/>
      <c r="Y767" s="88" t="n"/>
      <c r="Z767" s="89" t="n"/>
      <c r="AB767" s="30">
        <f>IF($B767="","",(COUNTIF(C767:E767,"?*")&lt;N(INDEX(Setup!$L$6:$L$23,10)))+(COUNTIF(G767:I767,"?*")&lt;N(INDEX(Setup!$L$6:$L$23,10)))+(COUNTIF(K767:M767,"?*")&lt;N(INDEX(Setup!$L$6:$L$23,10)))+(COUNTIF(O767:Q767,"?*")&lt;N(INDEX(Setup!$L$6:$L$23,10)))+(COUNTIF(S767:U767,"?*")&lt;N(INDEX(Setup!$L$6:$L$23,10)))+((W767="")*(INDEX(Setup!$M$6:$M$23,10)="Y"))+((Y767="")*(INDEX(Setup!$M$6:$M$23,10)="Y")))</f>
        <v/>
      </c>
      <c r="AC767" s="91">
        <f>IF($B767="","",IF(AB767=0,"✓ covered","⚠ "&amp;AB767&amp;IF(AB767=1," gap"," gaps")))</f>
        <v/>
      </c>
    </row>
    <row r="768" ht="17" customHeight="1">
      <c r="A768" t="n">
        <v>16</v>
      </c>
      <c r="B768" s="24">
        <f>IF(Setup!$K$16="","",Setup!$K$16)</f>
        <v/>
      </c>
      <c r="C768" s="88" t="n"/>
      <c r="D768" s="88" t="n"/>
      <c r="E768" s="88" t="n"/>
      <c r="F768" s="89" t="n"/>
      <c r="G768" s="88" t="n"/>
      <c r="H768" s="88" t="n"/>
      <c r="I768" s="88" t="n"/>
      <c r="J768" s="89" t="n"/>
      <c r="K768" s="88" t="n"/>
      <c r="L768" s="88" t="n"/>
      <c r="M768" s="88" t="n"/>
      <c r="N768" s="89" t="n"/>
      <c r="O768" s="88" t="n"/>
      <c r="P768" s="88" t="n"/>
      <c r="Q768" s="88" t="n"/>
      <c r="R768" s="89" t="n"/>
      <c r="S768" s="88" t="n"/>
      <c r="T768" s="88" t="n"/>
      <c r="U768" s="88" t="n"/>
      <c r="V768" s="89" t="n"/>
      <c r="W768" s="88" t="n"/>
      <c r="X768" s="89" t="n"/>
      <c r="Y768" s="88" t="n"/>
      <c r="Z768" s="89" t="n"/>
      <c r="AB768" s="25">
        <f>IF($B768="","",(COUNTIF(C768:E768,"?*")&lt;N(INDEX(Setup!$L$6:$L$23,11)))+(COUNTIF(G768:I768,"?*")&lt;N(INDEX(Setup!$L$6:$L$23,11)))+(COUNTIF(K768:M768,"?*")&lt;N(INDEX(Setup!$L$6:$L$23,11)))+(COUNTIF(O768:Q768,"?*")&lt;N(INDEX(Setup!$L$6:$L$23,11)))+(COUNTIF(S768:U768,"?*")&lt;N(INDEX(Setup!$L$6:$L$23,11)))+((W768="")*(INDEX(Setup!$M$6:$M$23,11)="Y"))+((Y768="")*(INDEX(Setup!$M$6:$M$23,11)="Y")))</f>
        <v/>
      </c>
      <c r="AC768" s="90">
        <f>IF($B768="","",IF(AB768=0,"✓ covered","⚠ "&amp;AB768&amp;IF(AB768=1," gap"," gaps")))</f>
        <v/>
      </c>
    </row>
    <row r="769" ht="17" customHeight="1">
      <c r="A769" t="n">
        <v>16</v>
      </c>
      <c r="B769" s="29">
        <f>IF(Setup!$K$17="","",Setup!$K$17)</f>
        <v/>
      </c>
      <c r="C769" s="88" t="n"/>
      <c r="D769" s="88" t="n"/>
      <c r="E769" s="88" t="n"/>
      <c r="F769" s="89" t="n"/>
      <c r="G769" s="88" t="n"/>
      <c r="H769" s="88" t="n"/>
      <c r="I769" s="88" t="n"/>
      <c r="J769" s="89" t="n"/>
      <c r="K769" s="88" t="n"/>
      <c r="L769" s="88" t="n"/>
      <c r="M769" s="88" t="n"/>
      <c r="N769" s="89" t="n"/>
      <c r="O769" s="88" t="n"/>
      <c r="P769" s="88" t="n"/>
      <c r="Q769" s="88" t="n"/>
      <c r="R769" s="89" t="n"/>
      <c r="S769" s="88" t="n"/>
      <c r="T769" s="88" t="n"/>
      <c r="U769" s="88" t="n"/>
      <c r="V769" s="89" t="n"/>
      <c r="W769" s="88" t="n"/>
      <c r="X769" s="89" t="n"/>
      <c r="Y769" s="88" t="n"/>
      <c r="Z769" s="89" t="n"/>
      <c r="AB769" s="30">
        <f>IF($B769="","",(COUNTIF(C769:E769,"?*")&lt;N(INDEX(Setup!$L$6:$L$23,12)))+(COUNTIF(G769:I769,"?*")&lt;N(INDEX(Setup!$L$6:$L$23,12)))+(COUNTIF(K769:M769,"?*")&lt;N(INDEX(Setup!$L$6:$L$23,12)))+(COUNTIF(O769:Q769,"?*")&lt;N(INDEX(Setup!$L$6:$L$23,12)))+(COUNTIF(S769:U769,"?*")&lt;N(INDEX(Setup!$L$6:$L$23,12)))+((W769="")*(INDEX(Setup!$M$6:$M$23,12)="Y"))+((Y769="")*(INDEX(Setup!$M$6:$M$23,12)="Y")))</f>
        <v/>
      </c>
      <c r="AC769" s="91">
        <f>IF($B769="","",IF(AB769=0,"✓ covered","⚠ "&amp;AB769&amp;IF(AB769=1," gap"," gaps")))</f>
        <v/>
      </c>
    </row>
    <row r="770" ht="17" customHeight="1">
      <c r="A770" t="n">
        <v>16</v>
      </c>
      <c r="B770" s="24">
        <f>IF(Setup!$K$18="","",Setup!$K$18)</f>
        <v/>
      </c>
      <c r="C770" s="88" t="n"/>
      <c r="D770" s="88" t="n"/>
      <c r="E770" s="88" t="n"/>
      <c r="F770" s="89" t="n"/>
      <c r="G770" s="88" t="n"/>
      <c r="H770" s="88" t="n"/>
      <c r="I770" s="88" t="n"/>
      <c r="J770" s="89" t="n"/>
      <c r="K770" s="88" t="n"/>
      <c r="L770" s="88" t="n"/>
      <c r="M770" s="88" t="n"/>
      <c r="N770" s="89" t="n"/>
      <c r="O770" s="88" t="n"/>
      <c r="P770" s="88" t="n"/>
      <c r="Q770" s="88" t="n"/>
      <c r="R770" s="89" t="n"/>
      <c r="S770" s="88" t="n"/>
      <c r="T770" s="88" t="n"/>
      <c r="U770" s="88" t="n"/>
      <c r="V770" s="89" t="n"/>
      <c r="W770" s="88" t="n"/>
      <c r="X770" s="89" t="n"/>
      <c r="Y770" s="88" t="n"/>
      <c r="Z770" s="89" t="n"/>
      <c r="AB770" s="25">
        <f>IF($B770="","",(COUNTIF(C770:E770,"?*")&lt;N(INDEX(Setup!$L$6:$L$23,13)))+(COUNTIF(G770:I770,"?*")&lt;N(INDEX(Setup!$L$6:$L$23,13)))+(COUNTIF(K770:M770,"?*")&lt;N(INDEX(Setup!$L$6:$L$23,13)))+(COUNTIF(O770:Q770,"?*")&lt;N(INDEX(Setup!$L$6:$L$23,13)))+(COUNTIF(S770:U770,"?*")&lt;N(INDEX(Setup!$L$6:$L$23,13)))+((W770="")*(INDEX(Setup!$M$6:$M$23,13)="Y"))+((Y770="")*(INDEX(Setup!$M$6:$M$23,13)="Y")))</f>
        <v/>
      </c>
      <c r="AC770" s="90">
        <f>IF($B770="","",IF(AB770=0,"✓ covered","⚠ "&amp;AB770&amp;IF(AB770=1," gap"," gaps")))</f>
        <v/>
      </c>
    </row>
    <row r="771" ht="17" customHeight="1">
      <c r="A771" t="n">
        <v>16</v>
      </c>
      <c r="B771" s="29">
        <f>IF(Setup!$K$19="","",Setup!$K$19)</f>
        <v/>
      </c>
      <c r="C771" s="88" t="n"/>
      <c r="D771" s="88" t="n"/>
      <c r="E771" s="88" t="n"/>
      <c r="F771" s="89" t="n"/>
      <c r="G771" s="88" t="n"/>
      <c r="H771" s="88" t="n"/>
      <c r="I771" s="88" t="n"/>
      <c r="J771" s="89" t="n"/>
      <c r="K771" s="88" t="n"/>
      <c r="L771" s="88" t="n"/>
      <c r="M771" s="88" t="n"/>
      <c r="N771" s="89" t="n"/>
      <c r="O771" s="88" t="n"/>
      <c r="P771" s="88" t="n"/>
      <c r="Q771" s="88" t="n"/>
      <c r="R771" s="89" t="n"/>
      <c r="S771" s="88" t="n"/>
      <c r="T771" s="88" t="n"/>
      <c r="U771" s="88" t="n"/>
      <c r="V771" s="89" t="n"/>
      <c r="W771" s="88" t="n"/>
      <c r="X771" s="89" t="n"/>
      <c r="Y771" s="88" t="n"/>
      <c r="Z771" s="89" t="n"/>
      <c r="AB771" s="30">
        <f>IF($B771="","",(COUNTIF(C771:E771,"?*")&lt;N(INDEX(Setup!$L$6:$L$23,14)))+(COUNTIF(G771:I771,"?*")&lt;N(INDEX(Setup!$L$6:$L$23,14)))+(COUNTIF(K771:M771,"?*")&lt;N(INDEX(Setup!$L$6:$L$23,14)))+(COUNTIF(O771:Q771,"?*")&lt;N(INDEX(Setup!$L$6:$L$23,14)))+(COUNTIF(S771:U771,"?*")&lt;N(INDEX(Setup!$L$6:$L$23,14)))+((W771="")*(INDEX(Setup!$M$6:$M$23,14)="Y"))+((Y771="")*(INDEX(Setup!$M$6:$M$23,14)="Y")))</f>
        <v/>
      </c>
      <c r="AC771" s="91">
        <f>IF($B771="","",IF(AB771=0,"✓ covered","⚠ "&amp;AB771&amp;IF(AB771=1," gap"," gaps")))</f>
        <v/>
      </c>
    </row>
    <row r="772" ht="17" customHeight="1">
      <c r="A772" t="n">
        <v>16</v>
      </c>
      <c r="B772" s="24">
        <f>IF(Setup!$K$20="","",Setup!$K$20)</f>
        <v/>
      </c>
      <c r="C772" s="88" t="n"/>
      <c r="D772" s="88" t="n"/>
      <c r="E772" s="88" t="n"/>
      <c r="F772" s="89" t="n"/>
      <c r="G772" s="88" t="n"/>
      <c r="H772" s="88" t="n"/>
      <c r="I772" s="88" t="n"/>
      <c r="J772" s="89" t="n"/>
      <c r="K772" s="88" t="n"/>
      <c r="L772" s="88" t="n"/>
      <c r="M772" s="88" t="n"/>
      <c r="N772" s="89" t="n"/>
      <c r="O772" s="88" t="n"/>
      <c r="P772" s="88" t="n"/>
      <c r="Q772" s="88" t="n"/>
      <c r="R772" s="89" t="n"/>
      <c r="S772" s="88" t="n"/>
      <c r="T772" s="88" t="n"/>
      <c r="U772" s="88" t="n"/>
      <c r="V772" s="89" t="n"/>
      <c r="W772" s="88" t="n"/>
      <c r="X772" s="89" t="n"/>
      <c r="Y772" s="88" t="n"/>
      <c r="Z772" s="89" t="n"/>
      <c r="AB772" s="25">
        <f>IF($B772="","",(COUNTIF(C772:E772,"?*")&lt;N(INDEX(Setup!$L$6:$L$23,15)))+(COUNTIF(G772:I772,"?*")&lt;N(INDEX(Setup!$L$6:$L$23,15)))+(COUNTIF(K772:M772,"?*")&lt;N(INDEX(Setup!$L$6:$L$23,15)))+(COUNTIF(O772:Q772,"?*")&lt;N(INDEX(Setup!$L$6:$L$23,15)))+(COUNTIF(S772:U772,"?*")&lt;N(INDEX(Setup!$L$6:$L$23,15)))+((W772="")*(INDEX(Setup!$M$6:$M$23,15)="Y"))+((Y772="")*(INDEX(Setup!$M$6:$M$23,15)="Y")))</f>
        <v/>
      </c>
      <c r="AC772" s="90">
        <f>IF($B772="","",IF(AB772=0,"✓ covered","⚠ "&amp;AB772&amp;IF(AB772=1," gap"," gaps")))</f>
        <v/>
      </c>
    </row>
    <row r="773" ht="17" customHeight="1">
      <c r="A773" t="n">
        <v>16</v>
      </c>
      <c r="B773" s="29">
        <f>IF(Setup!$K$21="","",Setup!$K$21)</f>
        <v/>
      </c>
      <c r="C773" s="88" t="n"/>
      <c r="D773" s="88" t="n"/>
      <c r="E773" s="88" t="n"/>
      <c r="F773" s="89" t="n"/>
      <c r="G773" s="88" t="n"/>
      <c r="H773" s="88" t="n"/>
      <c r="I773" s="88" t="n"/>
      <c r="J773" s="89" t="n"/>
      <c r="K773" s="88" t="n"/>
      <c r="L773" s="88" t="n"/>
      <c r="M773" s="88" t="n"/>
      <c r="N773" s="89" t="n"/>
      <c r="O773" s="88" t="n"/>
      <c r="P773" s="88" t="n"/>
      <c r="Q773" s="88" t="n"/>
      <c r="R773" s="89" t="n"/>
      <c r="S773" s="88" t="n"/>
      <c r="T773" s="88" t="n"/>
      <c r="U773" s="88" t="n"/>
      <c r="V773" s="89" t="n"/>
      <c r="W773" s="88" t="n"/>
      <c r="X773" s="89" t="n"/>
      <c r="Y773" s="88" t="n"/>
      <c r="Z773" s="89" t="n"/>
      <c r="AB773" s="30">
        <f>IF($B773="","",(COUNTIF(C773:E773,"?*")&lt;N(INDEX(Setup!$L$6:$L$23,16)))+(COUNTIF(G773:I773,"?*")&lt;N(INDEX(Setup!$L$6:$L$23,16)))+(COUNTIF(K773:M773,"?*")&lt;N(INDEX(Setup!$L$6:$L$23,16)))+(COUNTIF(O773:Q773,"?*")&lt;N(INDEX(Setup!$L$6:$L$23,16)))+(COUNTIF(S773:U773,"?*")&lt;N(INDEX(Setup!$L$6:$L$23,16)))+((W773="")*(INDEX(Setup!$M$6:$M$23,16)="Y"))+((Y773="")*(INDEX(Setup!$M$6:$M$23,16)="Y")))</f>
        <v/>
      </c>
      <c r="AC773" s="91">
        <f>IF($B773="","",IF(AB773=0,"✓ covered","⚠ "&amp;AB773&amp;IF(AB773=1," gap"," gaps")))</f>
        <v/>
      </c>
    </row>
    <row r="774" ht="17" customHeight="1">
      <c r="A774" t="n">
        <v>16</v>
      </c>
      <c r="B774" s="24">
        <f>IF(Setup!$K$22="","",Setup!$K$22)</f>
        <v/>
      </c>
      <c r="C774" s="88" t="n"/>
      <c r="D774" s="88" t="n"/>
      <c r="E774" s="88" t="n"/>
      <c r="F774" s="89" t="n"/>
      <c r="G774" s="88" t="n"/>
      <c r="H774" s="88" t="n"/>
      <c r="I774" s="88" t="n"/>
      <c r="J774" s="89" t="n"/>
      <c r="K774" s="88" t="n"/>
      <c r="L774" s="88" t="n"/>
      <c r="M774" s="88" t="n"/>
      <c r="N774" s="89" t="n"/>
      <c r="O774" s="88" t="n"/>
      <c r="P774" s="88" t="n"/>
      <c r="Q774" s="88" t="n"/>
      <c r="R774" s="89" t="n"/>
      <c r="S774" s="88" t="n"/>
      <c r="T774" s="88" t="n"/>
      <c r="U774" s="88" t="n"/>
      <c r="V774" s="89" t="n"/>
      <c r="W774" s="88" t="n"/>
      <c r="X774" s="89" t="n"/>
      <c r="Y774" s="88" t="n"/>
      <c r="Z774" s="89" t="n"/>
      <c r="AB774" s="25">
        <f>IF($B774="","",(COUNTIF(C774:E774,"?*")&lt;N(INDEX(Setup!$L$6:$L$23,17)))+(COUNTIF(G774:I774,"?*")&lt;N(INDEX(Setup!$L$6:$L$23,17)))+(COUNTIF(K774:M774,"?*")&lt;N(INDEX(Setup!$L$6:$L$23,17)))+(COUNTIF(O774:Q774,"?*")&lt;N(INDEX(Setup!$L$6:$L$23,17)))+(COUNTIF(S774:U774,"?*")&lt;N(INDEX(Setup!$L$6:$L$23,17)))+((W774="")*(INDEX(Setup!$M$6:$M$23,17)="Y"))+((Y774="")*(INDEX(Setup!$M$6:$M$23,17)="Y")))</f>
        <v/>
      </c>
      <c r="AC774" s="90">
        <f>IF($B774="","",IF(AB774=0,"✓ covered","⚠ "&amp;AB774&amp;IF(AB774=1," gap"," gaps")))</f>
        <v/>
      </c>
    </row>
    <row r="775" ht="17" customHeight="1">
      <c r="A775" t="n">
        <v>16</v>
      </c>
      <c r="B775" s="29">
        <f>IF(Setup!$K$23="","",Setup!$K$23)</f>
        <v/>
      </c>
      <c r="C775" s="88" t="n"/>
      <c r="D775" s="88" t="n"/>
      <c r="E775" s="88" t="n"/>
      <c r="F775" s="89" t="n"/>
      <c r="G775" s="88" t="n"/>
      <c r="H775" s="88" t="n"/>
      <c r="I775" s="88" t="n"/>
      <c r="J775" s="89" t="n"/>
      <c r="K775" s="88" t="n"/>
      <c r="L775" s="88" t="n"/>
      <c r="M775" s="88" t="n"/>
      <c r="N775" s="89" t="n"/>
      <c r="O775" s="88" t="n"/>
      <c r="P775" s="88" t="n"/>
      <c r="Q775" s="88" t="n"/>
      <c r="R775" s="89" t="n"/>
      <c r="S775" s="88" t="n"/>
      <c r="T775" s="88" t="n"/>
      <c r="U775" s="88" t="n"/>
      <c r="V775" s="89" t="n"/>
      <c r="W775" s="88" t="n"/>
      <c r="X775" s="89" t="n"/>
      <c r="Y775" s="88" t="n"/>
      <c r="Z775" s="89" t="n"/>
      <c r="AB775" s="30">
        <f>IF($B775="","",(COUNTIF(C775:E775,"?*")&lt;N(INDEX(Setup!$L$6:$L$23,18)))+(COUNTIF(G775:I775,"?*")&lt;N(INDEX(Setup!$L$6:$L$23,18)))+(COUNTIF(K775:M775,"?*")&lt;N(INDEX(Setup!$L$6:$L$23,18)))+(COUNTIF(O775:Q775,"?*")&lt;N(INDEX(Setup!$L$6:$L$23,18)))+(COUNTIF(S775:U775,"?*")&lt;N(INDEX(Setup!$L$6:$L$23,18)))+((W775="")*(INDEX(Setup!$M$6:$M$23,18)="Y"))+((Y775="")*(INDEX(Setup!$M$6:$M$23,18)="Y")))</f>
        <v/>
      </c>
      <c r="AC775" s="91">
        <f>IF($B775="","",IF(AB775=0,"✓ covered","⚠ "&amp;AB775&amp;IF(AB775=1," gap"," gaps")))</f>
        <v/>
      </c>
    </row>
    <row r="776" ht="18" customHeight="1">
      <c r="A776" t="n">
        <v>16</v>
      </c>
      <c r="B776" s="78" t="inlineStr">
        <is>
          <t>TEAM AVAILABILITY</t>
        </is>
      </c>
      <c r="C776" s="92" t="inlineStr">
        <is>
          <t>Mon</t>
        </is>
      </c>
      <c r="D776" s="93" t="n"/>
      <c r="E776" s="93" t="n"/>
      <c r="F776" s="94" t="n"/>
      <c r="G776" s="92" t="inlineStr">
        <is>
          <t>Tue</t>
        </is>
      </c>
      <c r="H776" s="93" t="n"/>
      <c r="I776" s="93" t="n"/>
      <c r="J776" s="94" t="n"/>
      <c r="K776" s="92" t="inlineStr">
        <is>
          <t>Wed</t>
        </is>
      </c>
      <c r="L776" s="93" t="n"/>
      <c r="M776" s="93" t="n"/>
      <c r="N776" s="94" t="n"/>
      <c r="O776" s="92" t="inlineStr">
        <is>
          <t>Thu</t>
        </is>
      </c>
      <c r="P776" s="93" t="n"/>
      <c r="Q776" s="93" t="n"/>
      <c r="R776" s="94" t="n"/>
      <c r="S776" s="92" t="inlineStr">
        <is>
          <t>Fri</t>
        </is>
      </c>
      <c r="T776" s="93" t="n"/>
      <c r="U776" s="93" t="n"/>
      <c r="V776" s="94" t="n"/>
      <c r="W776" s="95" t="inlineStr">
        <is>
          <t>Sat</t>
        </is>
      </c>
      <c r="X776" s="96" t="n"/>
      <c r="Y776" s="95" t="inlineStr">
        <is>
          <t>Sun</t>
        </is>
      </c>
      <c r="Z776" s="96" t="n"/>
      <c r="AB776" s="97" t="inlineStr">
        <is>
          <t>Days rostered</t>
        </is>
      </c>
      <c r="AC776" s="97" t="inlineStr">
        <is>
          <t>Conflicts</t>
        </is>
      </c>
    </row>
    <row r="777" ht="15" customHeight="1">
      <c r="A777" t="n">
        <v>16</v>
      </c>
      <c r="B777" s="35">
        <f>IF(Setup!$B$6="","",Setup!$B$6)</f>
        <v/>
      </c>
      <c r="C777" s="98" t="n"/>
      <c r="D777" s="99" t="n"/>
      <c r="E777" s="99" t="n"/>
      <c r="F777" s="100" t="n"/>
      <c r="G777" s="98" t="n"/>
      <c r="H777" s="99" t="n"/>
      <c r="I777" s="99" t="n"/>
      <c r="J777" s="100" t="n"/>
      <c r="K777" s="98" t="n"/>
      <c r="L777" s="99" t="n"/>
      <c r="M777" s="99" t="n"/>
      <c r="N777" s="100" t="n"/>
      <c r="O777" s="98" t="n"/>
      <c r="P777" s="99" t="n"/>
      <c r="Q777" s="99" t="n"/>
      <c r="R777" s="100" t="n"/>
      <c r="S777" s="98" t="n"/>
      <c r="T777" s="99" t="n"/>
      <c r="U777" s="99" t="n"/>
      <c r="V777" s="100" t="n"/>
      <c r="W777" s="98" t="n"/>
      <c r="X777" s="100" t="n"/>
      <c r="Y777" s="98" t="n"/>
      <c r="Z777" s="100" t="n"/>
      <c r="AB777" s="101">
        <f>IF($B777="","",(COUNTIF(C758:E775,$B777)+COUNTIF(C758:E775,$B777&amp;" ~*")&gt;0)+(COUNTIF(G758:I775,$B777)+COUNTIF(G758:I775,$B777&amp;" ~*")&gt;0)+(COUNTIF(K758:M775,$B777)+COUNTIF(K758:M775,$B777&amp;" ~*")&gt;0)+(COUNTIF(O758:Q775,$B777)+COUNTIF(O758:Q775,$B777&amp;" ~*")&gt;0)+(COUNTIF(S758:U775,$B777)+COUNTIF(S758:U775,$B777&amp;" ~*")&gt;0)+(COUNTIF(W758:W775,$B777)+COUNTIF(W758:W775,$B777&amp;" ~*")&gt;0)+(COUNTIF(Y758:Y775,$B777)+COUNTIF(Y758:Y775,$B777&amp;" ~*")&gt;0))</f>
        <v/>
      </c>
      <c r="AC777" s="36">
        <f>IF($B777="","",(IFERROR(INDEX(Setup!$G$33:$G$40,MATCH(C777,Setup!$B$33:$B$40,0)),0)=1)*(COUNTIF(C758:E775,$B777)+COUNTIF(C758:E775,$B777&amp;" ~*")&gt;0)+(IFERROR(INDEX(Setup!$G$33:$G$40,MATCH(G777,Setup!$B$33:$B$40,0)),0)=1)*(COUNTIF(G758:I775,$B777)+COUNTIF(G758:I775,$B777&amp;" ~*")&gt;0)+(IFERROR(INDEX(Setup!$G$33:$G$40,MATCH(K777,Setup!$B$33:$B$40,0)),0)=1)*(COUNTIF(K758:M775,$B777)+COUNTIF(K758:M775,$B777&amp;" ~*")&gt;0)+(IFERROR(INDEX(Setup!$G$33:$G$40,MATCH(O777,Setup!$B$33:$B$40,0)),0)=1)*(COUNTIF(O758:Q775,$B777)+COUNTIF(O758:Q775,$B777&amp;" ~*")&gt;0)+(IFERROR(INDEX(Setup!$G$33:$G$40,MATCH(S777,Setup!$B$33:$B$40,0)),0)=1)*(COUNTIF(S758:U775,$B777)+COUNTIF(S758:U775,$B777&amp;" ~*")&gt;0)+(IFERROR(INDEX(Setup!$G$33:$G$40,MATCH(W777,Setup!$B$33:$B$40,0)),0)=1)*(COUNTIF(W758:W775,$B777)+COUNTIF(W758:W775,$B777&amp;" ~*")&gt;0)+(IFERROR(INDEX(Setup!$G$33:$G$40,MATCH(Y777,Setup!$B$33:$B$40,0)),0)=1)*(COUNTIF(Y758:Y775,$B777)+COUNTIF(Y758:Y775,$B777&amp;" ~*")&gt;0))</f>
        <v/>
      </c>
    </row>
    <row r="778" ht="15" customHeight="1">
      <c r="A778" t="n">
        <v>16</v>
      </c>
      <c r="B778" s="37">
        <f>IF(Setup!$B$7="","",Setup!$B$7)</f>
        <v/>
      </c>
      <c r="C778" s="102" t="n"/>
      <c r="D778" s="103" t="n"/>
      <c r="E778" s="103" t="n"/>
      <c r="F778" s="104" t="n"/>
      <c r="G778" s="102" t="n"/>
      <c r="H778" s="103" t="n"/>
      <c r="I778" s="103" t="n"/>
      <c r="J778" s="104" t="n"/>
      <c r="K778" s="102" t="n"/>
      <c r="L778" s="103" t="n"/>
      <c r="M778" s="103" t="n"/>
      <c r="N778" s="104" t="n"/>
      <c r="O778" s="102" t="n"/>
      <c r="P778" s="103" t="n"/>
      <c r="Q778" s="103" t="n"/>
      <c r="R778" s="104" t="n"/>
      <c r="S778" s="102" t="n"/>
      <c r="T778" s="103" t="n"/>
      <c r="U778" s="103" t="n"/>
      <c r="V778" s="104" t="n"/>
      <c r="W778" s="102" t="n"/>
      <c r="X778" s="104" t="n"/>
      <c r="Y778" s="102" t="n"/>
      <c r="Z778" s="104" t="n"/>
      <c r="AB778" s="105">
        <f>IF($B778="","",(COUNTIF(C758:E775,$B778)+COUNTIF(C758:E775,$B778&amp;" ~*")&gt;0)+(COUNTIF(G758:I775,$B778)+COUNTIF(G758:I775,$B778&amp;" ~*")&gt;0)+(COUNTIF(K758:M775,$B778)+COUNTIF(K758:M775,$B778&amp;" ~*")&gt;0)+(COUNTIF(O758:Q775,$B778)+COUNTIF(O758:Q775,$B778&amp;" ~*")&gt;0)+(COUNTIF(S758:U775,$B778)+COUNTIF(S758:U775,$B778&amp;" ~*")&gt;0)+(COUNTIF(W758:W775,$B778)+COUNTIF(W758:W775,$B778&amp;" ~*")&gt;0)+(COUNTIF(Y758:Y775,$B778)+COUNTIF(Y758:Y775,$B778&amp;" ~*")&gt;0))</f>
        <v/>
      </c>
      <c r="AC778" s="38">
        <f>IF($B778="","",(IFERROR(INDEX(Setup!$G$33:$G$40,MATCH(C778,Setup!$B$33:$B$40,0)),0)=1)*(COUNTIF(C758:E775,$B778)+COUNTIF(C758:E775,$B778&amp;" ~*")&gt;0)+(IFERROR(INDEX(Setup!$G$33:$G$40,MATCH(G778,Setup!$B$33:$B$40,0)),0)=1)*(COUNTIF(G758:I775,$B778)+COUNTIF(G758:I775,$B778&amp;" ~*")&gt;0)+(IFERROR(INDEX(Setup!$G$33:$G$40,MATCH(K778,Setup!$B$33:$B$40,0)),0)=1)*(COUNTIF(K758:M775,$B778)+COUNTIF(K758:M775,$B778&amp;" ~*")&gt;0)+(IFERROR(INDEX(Setup!$G$33:$G$40,MATCH(O778,Setup!$B$33:$B$40,0)),0)=1)*(COUNTIF(O758:Q775,$B778)+COUNTIF(O758:Q775,$B778&amp;" ~*")&gt;0)+(IFERROR(INDEX(Setup!$G$33:$G$40,MATCH(S778,Setup!$B$33:$B$40,0)),0)=1)*(COUNTIF(S758:U775,$B778)+COUNTIF(S758:U775,$B778&amp;" ~*")&gt;0)+(IFERROR(INDEX(Setup!$G$33:$G$40,MATCH(W778,Setup!$B$33:$B$40,0)),0)=1)*(COUNTIF(W758:W775,$B778)+COUNTIF(W758:W775,$B778&amp;" ~*")&gt;0)+(IFERROR(INDEX(Setup!$G$33:$G$40,MATCH(Y778,Setup!$B$33:$B$40,0)),0)=1)*(COUNTIF(Y758:Y775,$B778)+COUNTIF(Y758:Y775,$B778&amp;" ~*")&gt;0))</f>
        <v/>
      </c>
    </row>
    <row r="779" ht="15" customHeight="1">
      <c r="A779" t="n">
        <v>16</v>
      </c>
      <c r="B779" s="35">
        <f>IF(Setup!$B$8="","",Setup!$B$8)</f>
        <v/>
      </c>
      <c r="C779" s="98" t="n"/>
      <c r="D779" s="99" t="n"/>
      <c r="E779" s="99" t="n"/>
      <c r="F779" s="100" t="n"/>
      <c r="G779" s="98" t="n"/>
      <c r="H779" s="99" t="n"/>
      <c r="I779" s="99" t="n"/>
      <c r="J779" s="100" t="n"/>
      <c r="K779" s="98" t="n"/>
      <c r="L779" s="99" t="n"/>
      <c r="M779" s="99" t="n"/>
      <c r="N779" s="100" t="n"/>
      <c r="O779" s="98" t="n"/>
      <c r="P779" s="99" t="n"/>
      <c r="Q779" s="99" t="n"/>
      <c r="R779" s="100" t="n"/>
      <c r="S779" s="98" t="n"/>
      <c r="T779" s="99" t="n"/>
      <c r="U779" s="99" t="n"/>
      <c r="V779" s="100" t="n"/>
      <c r="W779" s="98" t="n"/>
      <c r="X779" s="100" t="n"/>
      <c r="Y779" s="98" t="n"/>
      <c r="Z779" s="100" t="n"/>
      <c r="AB779" s="101">
        <f>IF($B779="","",(COUNTIF(C758:E775,$B779)+COUNTIF(C758:E775,$B779&amp;" ~*")&gt;0)+(COUNTIF(G758:I775,$B779)+COUNTIF(G758:I775,$B779&amp;" ~*")&gt;0)+(COUNTIF(K758:M775,$B779)+COUNTIF(K758:M775,$B779&amp;" ~*")&gt;0)+(COUNTIF(O758:Q775,$B779)+COUNTIF(O758:Q775,$B779&amp;" ~*")&gt;0)+(COUNTIF(S758:U775,$B779)+COUNTIF(S758:U775,$B779&amp;" ~*")&gt;0)+(COUNTIF(W758:W775,$B779)+COUNTIF(W758:W775,$B779&amp;" ~*")&gt;0)+(COUNTIF(Y758:Y775,$B779)+COUNTIF(Y758:Y775,$B779&amp;" ~*")&gt;0))</f>
        <v/>
      </c>
      <c r="AC779" s="36">
        <f>IF($B779="","",(IFERROR(INDEX(Setup!$G$33:$G$40,MATCH(C779,Setup!$B$33:$B$40,0)),0)=1)*(COUNTIF(C758:E775,$B779)+COUNTIF(C758:E775,$B779&amp;" ~*")&gt;0)+(IFERROR(INDEX(Setup!$G$33:$G$40,MATCH(G779,Setup!$B$33:$B$40,0)),0)=1)*(COUNTIF(G758:I775,$B779)+COUNTIF(G758:I775,$B779&amp;" ~*")&gt;0)+(IFERROR(INDEX(Setup!$G$33:$G$40,MATCH(K779,Setup!$B$33:$B$40,0)),0)=1)*(COUNTIF(K758:M775,$B779)+COUNTIF(K758:M775,$B779&amp;" ~*")&gt;0)+(IFERROR(INDEX(Setup!$G$33:$G$40,MATCH(O779,Setup!$B$33:$B$40,0)),0)=1)*(COUNTIF(O758:Q775,$B779)+COUNTIF(O758:Q775,$B779&amp;" ~*")&gt;0)+(IFERROR(INDEX(Setup!$G$33:$G$40,MATCH(S779,Setup!$B$33:$B$40,0)),0)=1)*(COUNTIF(S758:U775,$B779)+COUNTIF(S758:U775,$B779&amp;" ~*")&gt;0)+(IFERROR(INDEX(Setup!$G$33:$G$40,MATCH(W779,Setup!$B$33:$B$40,0)),0)=1)*(COUNTIF(W758:W775,$B779)+COUNTIF(W758:W775,$B779&amp;" ~*")&gt;0)+(IFERROR(INDEX(Setup!$G$33:$G$40,MATCH(Y779,Setup!$B$33:$B$40,0)),0)=1)*(COUNTIF(Y758:Y775,$B779)+COUNTIF(Y758:Y775,$B779&amp;" ~*")&gt;0))</f>
        <v/>
      </c>
    </row>
    <row r="780" ht="15" customHeight="1">
      <c r="A780" t="n">
        <v>16</v>
      </c>
      <c r="B780" s="37">
        <f>IF(Setup!$B$9="","",Setup!$B$9)</f>
        <v/>
      </c>
      <c r="C780" s="102" t="n"/>
      <c r="D780" s="103" t="n"/>
      <c r="E780" s="103" t="n"/>
      <c r="F780" s="104" t="n"/>
      <c r="G780" s="102" t="n"/>
      <c r="H780" s="103" t="n"/>
      <c r="I780" s="103" t="n"/>
      <c r="J780" s="104" t="n"/>
      <c r="K780" s="102" t="n"/>
      <c r="L780" s="103" t="n"/>
      <c r="M780" s="103" t="n"/>
      <c r="N780" s="104" t="n"/>
      <c r="O780" s="102" t="n"/>
      <c r="P780" s="103" t="n"/>
      <c r="Q780" s="103" t="n"/>
      <c r="R780" s="104" t="n"/>
      <c r="S780" s="102" t="n"/>
      <c r="T780" s="103" t="n"/>
      <c r="U780" s="103" t="n"/>
      <c r="V780" s="104" t="n"/>
      <c r="W780" s="102" t="n"/>
      <c r="X780" s="104" t="n"/>
      <c r="Y780" s="102" t="n"/>
      <c r="Z780" s="104" t="n"/>
      <c r="AB780" s="105">
        <f>IF($B780="","",(COUNTIF(C758:E775,$B780)+COUNTIF(C758:E775,$B780&amp;" ~*")&gt;0)+(COUNTIF(G758:I775,$B780)+COUNTIF(G758:I775,$B780&amp;" ~*")&gt;0)+(COUNTIF(K758:M775,$B780)+COUNTIF(K758:M775,$B780&amp;" ~*")&gt;0)+(COUNTIF(O758:Q775,$B780)+COUNTIF(O758:Q775,$B780&amp;" ~*")&gt;0)+(COUNTIF(S758:U775,$B780)+COUNTIF(S758:U775,$B780&amp;" ~*")&gt;0)+(COUNTIF(W758:W775,$B780)+COUNTIF(W758:W775,$B780&amp;" ~*")&gt;0)+(COUNTIF(Y758:Y775,$B780)+COUNTIF(Y758:Y775,$B780&amp;" ~*")&gt;0))</f>
        <v/>
      </c>
      <c r="AC780" s="38">
        <f>IF($B780="","",(IFERROR(INDEX(Setup!$G$33:$G$40,MATCH(C780,Setup!$B$33:$B$40,0)),0)=1)*(COUNTIF(C758:E775,$B780)+COUNTIF(C758:E775,$B780&amp;" ~*")&gt;0)+(IFERROR(INDEX(Setup!$G$33:$G$40,MATCH(G780,Setup!$B$33:$B$40,0)),0)=1)*(COUNTIF(G758:I775,$B780)+COUNTIF(G758:I775,$B780&amp;" ~*")&gt;0)+(IFERROR(INDEX(Setup!$G$33:$G$40,MATCH(K780,Setup!$B$33:$B$40,0)),0)=1)*(COUNTIF(K758:M775,$B780)+COUNTIF(K758:M775,$B780&amp;" ~*")&gt;0)+(IFERROR(INDEX(Setup!$G$33:$G$40,MATCH(O780,Setup!$B$33:$B$40,0)),0)=1)*(COUNTIF(O758:Q775,$B780)+COUNTIF(O758:Q775,$B780&amp;" ~*")&gt;0)+(IFERROR(INDEX(Setup!$G$33:$G$40,MATCH(S780,Setup!$B$33:$B$40,0)),0)=1)*(COUNTIF(S758:U775,$B780)+COUNTIF(S758:U775,$B780&amp;" ~*")&gt;0)+(IFERROR(INDEX(Setup!$G$33:$G$40,MATCH(W780,Setup!$B$33:$B$40,0)),0)=1)*(COUNTIF(W758:W775,$B780)+COUNTIF(W758:W775,$B780&amp;" ~*")&gt;0)+(IFERROR(INDEX(Setup!$G$33:$G$40,MATCH(Y780,Setup!$B$33:$B$40,0)),0)=1)*(COUNTIF(Y758:Y775,$B780)+COUNTIF(Y758:Y775,$B780&amp;" ~*")&gt;0))</f>
        <v/>
      </c>
    </row>
    <row r="781" ht="15" customHeight="1">
      <c r="A781" t="n">
        <v>16</v>
      </c>
      <c r="B781" s="35">
        <f>IF(Setup!$B$10="","",Setup!$B$10)</f>
        <v/>
      </c>
      <c r="C781" s="98" t="n"/>
      <c r="D781" s="99" t="n"/>
      <c r="E781" s="99" t="n"/>
      <c r="F781" s="100" t="n"/>
      <c r="G781" s="98" t="n"/>
      <c r="H781" s="99" t="n"/>
      <c r="I781" s="99" t="n"/>
      <c r="J781" s="100" t="n"/>
      <c r="K781" s="98" t="n"/>
      <c r="L781" s="99" t="n"/>
      <c r="M781" s="99" t="n"/>
      <c r="N781" s="100" t="n"/>
      <c r="O781" s="98" t="n"/>
      <c r="P781" s="99" t="n"/>
      <c r="Q781" s="99" t="n"/>
      <c r="R781" s="100" t="n"/>
      <c r="S781" s="98" t="n"/>
      <c r="T781" s="99" t="n"/>
      <c r="U781" s="99" t="n"/>
      <c r="V781" s="100" t="n"/>
      <c r="W781" s="98" t="n"/>
      <c r="X781" s="100" t="n"/>
      <c r="Y781" s="98" t="n"/>
      <c r="Z781" s="100" t="n"/>
      <c r="AB781" s="101">
        <f>IF($B781="","",(COUNTIF(C758:E775,$B781)+COUNTIF(C758:E775,$B781&amp;" ~*")&gt;0)+(COUNTIF(G758:I775,$B781)+COUNTIF(G758:I775,$B781&amp;" ~*")&gt;0)+(COUNTIF(K758:M775,$B781)+COUNTIF(K758:M775,$B781&amp;" ~*")&gt;0)+(COUNTIF(O758:Q775,$B781)+COUNTIF(O758:Q775,$B781&amp;" ~*")&gt;0)+(COUNTIF(S758:U775,$B781)+COUNTIF(S758:U775,$B781&amp;" ~*")&gt;0)+(COUNTIF(W758:W775,$B781)+COUNTIF(W758:W775,$B781&amp;" ~*")&gt;0)+(COUNTIF(Y758:Y775,$B781)+COUNTIF(Y758:Y775,$B781&amp;" ~*")&gt;0))</f>
        <v/>
      </c>
      <c r="AC781" s="36">
        <f>IF($B781="","",(IFERROR(INDEX(Setup!$G$33:$G$40,MATCH(C781,Setup!$B$33:$B$40,0)),0)=1)*(COUNTIF(C758:E775,$B781)+COUNTIF(C758:E775,$B781&amp;" ~*")&gt;0)+(IFERROR(INDEX(Setup!$G$33:$G$40,MATCH(G781,Setup!$B$33:$B$40,0)),0)=1)*(COUNTIF(G758:I775,$B781)+COUNTIF(G758:I775,$B781&amp;" ~*")&gt;0)+(IFERROR(INDEX(Setup!$G$33:$G$40,MATCH(K781,Setup!$B$33:$B$40,0)),0)=1)*(COUNTIF(K758:M775,$B781)+COUNTIF(K758:M775,$B781&amp;" ~*")&gt;0)+(IFERROR(INDEX(Setup!$G$33:$G$40,MATCH(O781,Setup!$B$33:$B$40,0)),0)=1)*(COUNTIF(O758:Q775,$B781)+COUNTIF(O758:Q775,$B781&amp;" ~*")&gt;0)+(IFERROR(INDEX(Setup!$G$33:$G$40,MATCH(S781,Setup!$B$33:$B$40,0)),0)=1)*(COUNTIF(S758:U775,$B781)+COUNTIF(S758:U775,$B781&amp;" ~*")&gt;0)+(IFERROR(INDEX(Setup!$G$33:$G$40,MATCH(W781,Setup!$B$33:$B$40,0)),0)=1)*(COUNTIF(W758:W775,$B781)+COUNTIF(W758:W775,$B781&amp;" ~*")&gt;0)+(IFERROR(INDEX(Setup!$G$33:$G$40,MATCH(Y781,Setup!$B$33:$B$40,0)),0)=1)*(COUNTIF(Y758:Y775,$B781)+COUNTIF(Y758:Y775,$B781&amp;" ~*")&gt;0))</f>
        <v/>
      </c>
    </row>
    <row r="782" ht="15" customHeight="1">
      <c r="A782" t="n">
        <v>16</v>
      </c>
      <c r="B782" s="37">
        <f>IF(Setup!$B$11="","",Setup!$B$11)</f>
        <v/>
      </c>
      <c r="C782" s="102" t="n"/>
      <c r="D782" s="103" t="n"/>
      <c r="E782" s="103" t="n"/>
      <c r="F782" s="104" t="n"/>
      <c r="G782" s="102" t="n"/>
      <c r="H782" s="103" t="n"/>
      <c r="I782" s="103" t="n"/>
      <c r="J782" s="104" t="n"/>
      <c r="K782" s="102" t="n"/>
      <c r="L782" s="103" t="n"/>
      <c r="M782" s="103" t="n"/>
      <c r="N782" s="104" t="n"/>
      <c r="O782" s="102" t="n"/>
      <c r="P782" s="103" t="n"/>
      <c r="Q782" s="103" t="n"/>
      <c r="R782" s="104" t="n"/>
      <c r="S782" s="102" t="n"/>
      <c r="T782" s="103" t="n"/>
      <c r="U782" s="103" t="n"/>
      <c r="V782" s="104" t="n"/>
      <c r="W782" s="102" t="n"/>
      <c r="X782" s="104" t="n"/>
      <c r="Y782" s="102" t="n"/>
      <c r="Z782" s="104" t="n"/>
      <c r="AB782" s="105">
        <f>IF($B782="","",(COUNTIF(C758:E775,$B782)+COUNTIF(C758:E775,$B782&amp;" ~*")&gt;0)+(COUNTIF(G758:I775,$B782)+COUNTIF(G758:I775,$B782&amp;" ~*")&gt;0)+(COUNTIF(K758:M775,$B782)+COUNTIF(K758:M775,$B782&amp;" ~*")&gt;0)+(COUNTIF(O758:Q775,$B782)+COUNTIF(O758:Q775,$B782&amp;" ~*")&gt;0)+(COUNTIF(S758:U775,$B782)+COUNTIF(S758:U775,$B782&amp;" ~*")&gt;0)+(COUNTIF(W758:W775,$B782)+COUNTIF(W758:W775,$B782&amp;" ~*")&gt;0)+(COUNTIF(Y758:Y775,$B782)+COUNTIF(Y758:Y775,$B782&amp;" ~*")&gt;0))</f>
        <v/>
      </c>
      <c r="AC782" s="38">
        <f>IF($B782="","",(IFERROR(INDEX(Setup!$G$33:$G$40,MATCH(C782,Setup!$B$33:$B$40,0)),0)=1)*(COUNTIF(C758:E775,$B782)+COUNTIF(C758:E775,$B782&amp;" ~*")&gt;0)+(IFERROR(INDEX(Setup!$G$33:$G$40,MATCH(G782,Setup!$B$33:$B$40,0)),0)=1)*(COUNTIF(G758:I775,$B782)+COUNTIF(G758:I775,$B782&amp;" ~*")&gt;0)+(IFERROR(INDEX(Setup!$G$33:$G$40,MATCH(K782,Setup!$B$33:$B$40,0)),0)=1)*(COUNTIF(K758:M775,$B782)+COUNTIF(K758:M775,$B782&amp;" ~*")&gt;0)+(IFERROR(INDEX(Setup!$G$33:$G$40,MATCH(O782,Setup!$B$33:$B$40,0)),0)=1)*(COUNTIF(O758:Q775,$B782)+COUNTIF(O758:Q775,$B782&amp;" ~*")&gt;0)+(IFERROR(INDEX(Setup!$G$33:$G$40,MATCH(S782,Setup!$B$33:$B$40,0)),0)=1)*(COUNTIF(S758:U775,$B782)+COUNTIF(S758:U775,$B782&amp;" ~*")&gt;0)+(IFERROR(INDEX(Setup!$G$33:$G$40,MATCH(W782,Setup!$B$33:$B$40,0)),0)=1)*(COUNTIF(W758:W775,$B782)+COUNTIF(W758:W775,$B782&amp;" ~*")&gt;0)+(IFERROR(INDEX(Setup!$G$33:$G$40,MATCH(Y782,Setup!$B$33:$B$40,0)),0)=1)*(COUNTIF(Y758:Y775,$B782)+COUNTIF(Y758:Y775,$B782&amp;" ~*")&gt;0))</f>
        <v/>
      </c>
    </row>
    <row r="783" ht="15" customHeight="1">
      <c r="A783" t="n">
        <v>16</v>
      </c>
      <c r="B783" s="35">
        <f>IF(Setup!$B$12="","",Setup!$B$12)</f>
        <v/>
      </c>
      <c r="C783" s="98" t="n"/>
      <c r="D783" s="99" t="n"/>
      <c r="E783" s="99" t="n"/>
      <c r="F783" s="100" t="n"/>
      <c r="G783" s="98" t="n"/>
      <c r="H783" s="99" t="n"/>
      <c r="I783" s="99" t="n"/>
      <c r="J783" s="100" t="n"/>
      <c r="K783" s="98" t="n"/>
      <c r="L783" s="99" t="n"/>
      <c r="M783" s="99" t="n"/>
      <c r="N783" s="100" t="n"/>
      <c r="O783" s="98" t="n"/>
      <c r="P783" s="99" t="n"/>
      <c r="Q783" s="99" t="n"/>
      <c r="R783" s="100" t="n"/>
      <c r="S783" s="98" t="n"/>
      <c r="T783" s="99" t="n"/>
      <c r="U783" s="99" t="n"/>
      <c r="V783" s="100" t="n"/>
      <c r="W783" s="98" t="n"/>
      <c r="X783" s="100" t="n"/>
      <c r="Y783" s="98" t="n"/>
      <c r="Z783" s="100" t="n"/>
      <c r="AB783" s="101">
        <f>IF($B783="","",(COUNTIF(C758:E775,$B783)+COUNTIF(C758:E775,$B783&amp;" ~*")&gt;0)+(COUNTIF(G758:I775,$B783)+COUNTIF(G758:I775,$B783&amp;" ~*")&gt;0)+(COUNTIF(K758:M775,$B783)+COUNTIF(K758:M775,$B783&amp;" ~*")&gt;0)+(COUNTIF(O758:Q775,$B783)+COUNTIF(O758:Q775,$B783&amp;" ~*")&gt;0)+(COUNTIF(S758:U775,$B783)+COUNTIF(S758:U775,$B783&amp;" ~*")&gt;0)+(COUNTIF(W758:W775,$B783)+COUNTIF(W758:W775,$B783&amp;" ~*")&gt;0)+(COUNTIF(Y758:Y775,$B783)+COUNTIF(Y758:Y775,$B783&amp;" ~*")&gt;0))</f>
        <v/>
      </c>
      <c r="AC783" s="36">
        <f>IF($B783="","",(IFERROR(INDEX(Setup!$G$33:$G$40,MATCH(C783,Setup!$B$33:$B$40,0)),0)=1)*(COUNTIF(C758:E775,$B783)+COUNTIF(C758:E775,$B783&amp;" ~*")&gt;0)+(IFERROR(INDEX(Setup!$G$33:$G$40,MATCH(G783,Setup!$B$33:$B$40,0)),0)=1)*(COUNTIF(G758:I775,$B783)+COUNTIF(G758:I775,$B783&amp;" ~*")&gt;0)+(IFERROR(INDEX(Setup!$G$33:$G$40,MATCH(K783,Setup!$B$33:$B$40,0)),0)=1)*(COUNTIF(K758:M775,$B783)+COUNTIF(K758:M775,$B783&amp;" ~*")&gt;0)+(IFERROR(INDEX(Setup!$G$33:$G$40,MATCH(O783,Setup!$B$33:$B$40,0)),0)=1)*(COUNTIF(O758:Q775,$B783)+COUNTIF(O758:Q775,$B783&amp;" ~*")&gt;0)+(IFERROR(INDEX(Setup!$G$33:$G$40,MATCH(S783,Setup!$B$33:$B$40,0)),0)=1)*(COUNTIF(S758:U775,$B783)+COUNTIF(S758:U775,$B783&amp;" ~*")&gt;0)+(IFERROR(INDEX(Setup!$G$33:$G$40,MATCH(W783,Setup!$B$33:$B$40,0)),0)=1)*(COUNTIF(W758:W775,$B783)+COUNTIF(W758:W775,$B783&amp;" ~*")&gt;0)+(IFERROR(INDEX(Setup!$G$33:$G$40,MATCH(Y783,Setup!$B$33:$B$40,0)),0)=1)*(COUNTIF(Y758:Y775,$B783)+COUNTIF(Y758:Y775,$B783&amp;" ~*")&gt;0))</f>
        <v/>
      </c>
    </row>
    <row r="784" ht="15" customHeight="1">
      <c r="A784" t="n">
        <v>16</v>
      </c>
      <c r="B784" s="37">
        <f>IF(Setup!$B$13="","",Setup!$B$13)</f>
        <v/>
      </c>
      <c r="C784" s="102" t="n"/>
      <c r="D784" s="103" t="n"/>
      <c r="E784" s="103" t="n"/>
      <c r="F784" s="104" t="n"/>
      <c r="G784" s="102" t="n"/>
      <c r="H784" s="103" t="n"/>
      <c r="I784" s="103" t="n"/>
      <c r="J784" s="104" t="n"/>
      <c r="K784" s="102" t="n"/>
      <c r="L784" s="103" t="n"/>
      <c r="M784" s="103" t="n"/>
      <c r="N784" s="104" t="n"/>
      <c r="O784" s="102" t="n"/>
      <c r="P784" s="103" t="n"/>
      <c r="Q784" s="103" t="n"/>
      <c r="R784" s="104" t="n"/>
      <c r="S784" s="102" t="n"/>
      <c r="T784" s="103" t="n"/>
      <c r="U784" s="103" t="n"/>
      <c r="V784" s="104" t="n"/>
      <c r="W784" s="102" t="n"/>
      <c r="X784" s="104" t="n"/>
      <c r="Y784" s="102" t="n"/>
      <c r="Z784" s="104" t="n"/>
      <c r="AB784" s="105">
        <f>IF($B784="","",(COUNTIF(C758:E775,$B784)+COUNTIF(C758:E775,$B784&amp;" ~*")&gt;0)+(COUNTIF(G758:I775,$B784)+COUNTIF(G758:I775,$B784&amp;" ~*")&gt;0)+(COUNTIF(K758:M775,$B784)+COUNTIF(K758:M775,$B784&amp;" ~*")&gt;0)+(COUNTIF(O758:Q775,$B784)+COUNTIF(O758:Q775,$B784&amp;" ~*")&gt;0)+(COUNTIF(S758:U775,$B784)+COUNTIF(S758:U775,$B784&amp;" ~*")&gt;0)+(COUNTIF(W758:W775,$B784)+COUNTIF(W758:W775,$B784&amp;" ~*")&gt;0)+(COUNTIF(Y758:Y775,$B784)+COUNTIF(Y758:Y775,$B784&amp;" ~*")&gt;0))</f>
        <v/>
      </c>
      <c r="AC784" s="38">
        <f>IF($B784="","",(IFERROR(INDEX(Setup!$G$33:$G$40,MATCH(C784,Setup!$B$33:$B$40,0)),0)=1)*(COUNTIF(C758:E775,$B784)+COUNTIF(C758:E775,$B784&amp;" ~*")&gt;0)+(IFERROR(INDEX(Setup!$G$33:$G$40,MATCH(G784,Setup!$B$33:$B$40,0)),0)=1)*(COUNTIF(G758:I775,$B784)+COUNTIF(G758:I775,$B784&amp;" ~*")&gt;0)+(IFERROR(INDEX(Setup!$G$33:$G$40,MATCH(K784,Setup!$B$33:$B$40,0)),0)=1)*(COUNTIF(K758:M775,$B784)+COUNTIF(K758:M775,$B784&amp;" ~*")&gt;0)+(IFERROR(INDEX(Setup!$G$33:$G$40,MATCH(O784,Setup!$B$33:$B$40,0)),0)=1)*(COUNTIF(O758:Q775,$B784)+COUNTIF(O758:Q775,$B784&amp;" ~*")&gt;0)+(IFERROR(INDEX(Setup!$G$33:$G$40,MATCH(S784,Setup!$B$33:$B$40,0)),0)=1)*(COUNTIF(S758:U775,$B784)+COUNTIF(S758:U775,$B784&amp;" ~*")&gt;0)+(IFERROR(INDEX(Setup!$G$33:$G$40,MATCH(W784,Setup!$B$33:$B$40,0)),0)=1)*(COUNTIF(W758:W775,$B784)+COUNTIF(W758:W775,$B784&amp;" ~*")&gt;0)+(IFERROR(INDEX(Setup!$G$33:$G$40,MATCH(Y784,Setup!$B$33:$B$40,0)),0)=1)*(COUNTIF(Y758:Y775,$B784)+COUNTIF(Y758:Y775,$B784&amp;" ~*")&gt;0))</f>
        <v/>
      </c>
    </row>
    <row r="785" ht="15" customHeight="1">
      <c r="A785" t="n">
        <v>16</v>
      </c>
      <c r="B785" s="35">
        <f>IF(Setup!$B$14="","",Setup!$B$14)</f>
        <v/>
      </c>
      <c r="C785" s="98" t="n"/>
      <c r="D785" s="99" t="n"/>
      <c r="E785" s="99" t="n"/>
      <c r="F785" s="100" t="n"/>
      <c r="G785" s="98" t="n"/>
      <c r="H785" s="99" t="n"/>
      <c r="I785" s="99" t="n"/>
      <c r="J785" s="100" t="n"/>
      <c r="K785" s="98" t="n"/>
      <c r="L785" s="99" t="n"/>
      <c r="M785" s="99" t="n"/>
      <c r="N785" s="100" t="n"/>
      <c r="O785" s="98" t="n"/>
      <c r="P785" s="99" t="n"/>
      <c r="Q785" s="99" t="n"/>
      <c r="R785" s="100" t="n"/>
      <c r="S785" s="98" t="n"/>
      <c r="T785" s="99" t="n"/>
      <c r="U785" s="99" t="n"/>
      <c r="V785" s="100" t="n"/>
      <c r="W785" s="98" t="n"/>
      <c r="X785" s="100" t="n"/>
      <c r="Y785" s="98" t="n"/>
      <c r="Z785" s="100" t="n"/>
      <c r="AB785" s="101">
        <f>IF($B785="","",(COUNTIF(C758:E775,$B785)+COUNTIF(C758:E775,$B785&amp;" ~*")&gt;0)+(COUNTIF(G758:I775,$B785)+COUNTIF(G758:I775,$B785&amp;" ~*")&gt;0)+(COUNTIF(K758:M775,$B785)+COUNTIF(K758:M775,$B785&amp;" ~*")&gt;0)+(COUNTIF(O758:Q775,$B785)+COUNTIF(O758:Q775,$B785&amp;" ~*")&gt;0)+(COUNTIF(S758:U775,$B785)+COUNTIF(S758:U775,$B785&amp;" ~*")&gt;0)+(COUNTIF(W758:W775,$B785)+COUNTIF(W758:W775,$B785&amp;" ~*")&gt;0)+(COUNTIF(Y758:Y775,$B785)+COUNTIF(Y758:Y775,$B785&amp;" ~*")&gt;0))</f>
        <v/>
      </c>
      <c r="AC785" s="36">
        <f>IF($B785="","",(IFERROR(INDEX(Setup!$G$33:$G$40,MATCH(C785,Setup!$B$33:$B$40,0)),0)=1)*(COUNTIF(C758:E775,$B785)+COUNTIF(C758:E775,$B785&amp;" ~*")&gt;0)+(IFERROR(INDEX(Setup!$G$33:$G$40,MATCH(G785,Setup!$B$33:$B$40,0)),0)=1)*(COUNTIF(G758:I775,$B785)+COUNTIF(G758:I775,$B785&amp;" ~*")&gt;0)+(IFERROR(INDEX(Setup!$G$33:$G$40,MATCH(K785,Setup!$B$33:$B$40,0)),0)=1)*(COUNTIF(K758:M775,$B785)+COUNTIF(K758:M775,$B785&amp;" ~*")&gt;0)+(IFERROR(INDEX(Setup!$G$33:$G$40,MATCH(O785,Setup!$B$33:$B$40,0)),0)=1)*(COUNTIF(O758:Q775,$B785)+COUNTIF(O758:Q775,$B785&amp;" ~*")&gt;0)+(IFERROR(INDEX(Setup!$G$33:$G$40,MATCH(S785,Setup!$B$33:$B$40,0)),0)=1)*(COUNTIF(S758:U775,$B785)+COUNTIF(S758:U775,$B785&amp;" ~*")&gt;0)+(IFERROR(INDEX(Setup!$G$33:$G$40,MATCH(W785,Setup!$B$33:$B$40,0)),0)=1)*(COUNTIF(W758:W775,$B785)+COUNTIF(W758:W775,$B785&amp;" ~*")&gt;0)+(IFERROR(INDEX(Setup!$G$33:$G$40,MATCH(Y785,Setup!$B$33:$B$40,0)),0)=1)*(COUNTIF(Y758:Y775,$B785)+COUNTIF(Y758:Y775,$B785&amp;" ~*")&gt;0))</f>
        <v/>
      </c>
    </row>
    <row r="786" ht="15" customHeight="1">
      <c r="A786" t="n">
        <v>16</v>
      </c>
      <c r="B786" s="37">
        <f>IF(Setup!$B$15="","",Setup!$B$15)</f>
        <v/>
      </c>
      <c r="C786" s="102" t="n"/>
      <c r="D786" s="103" t="n"/>
      <c r="E786" s="103" t="n"/>
      <c r="F786" s="104" t="n"/>
      <c r="G786" s="102" t="n"/>
      <c r="H786" s="103" t="n"/>
      <c r="I786" s="103" t="n"/>
      <c r="J786" s="104" t="n"/>
      <c r="K786" s="102" t="n"/>
      <c r="L786" s="103" t="n"/>
      <c r="M786" s="103" t="n"/>
      <c r="N786" s="104" t="n"/>
      <c r="O786" s="102" t="n"/>
      <c r="P786" s="103" t="n"/>
      <c r="Q786" s="103" t="n"/>
      <c r="R786" s="104" t="n"/>
      <c r="S786" s="102" t="n"/>
      <c r="T786" s="103" t="n"/>
      <c r="U786" s="103" t="n"/>
      <c r="V786" s="104" t="n"/>
      <c r="W786" s="102" t="n"/>
      <c r="X786" s="104" t="n"/>
      <c r="Y786" s="102" t="n"/>
      <c r="Z786" s="104" t="n"/>
      <c r="AB786" s="105">
        <f>IF($B786="","",(COUNTIF(C758:E775,$B786)+COUNTIF(C758:E775,$B786&amp;" ~*")&gt;0)+(COUNTIF(G758:I775,$B786)+COUNTIF(G758:I775,$B786&amp;" ~*")&gt;0)+(COUNTIF(K758:M775,$B786)+COUNTIF(K758:M775,$B786&amp;" ~*")&gt;0)+(COUNTIF(O758:Q775,$B786)+COUNTIF(O758:Q775,$B786&amp;" ~*")&gt;0)+(COUNTIF(S758:U775,$B786)+COUNTIF(S758:U775,$B786&amp;" ~*")&gt;0)+(COUNTIF(W758:W775,$B786)+COUNTIF(W758:W775,$B786&amp;" ~*")&gt;0)+(COUNTIF(Y758:Y775,$B786)+COUNTIF(Y758:Y775,$B786&amp;" ~*")&gt;0))</f>
        <v/>
      </c>
      <c r="AC786" s="38">
        <f>IF($B786="","",(IFERROR(INDEX(Setup!$G$33:$G$40,MATCH(C786,Setup!$B$33:$B$40,0)),0)=1)*(COUNTIF(C758:E775,$B786)+COUNTIF(C758:E775,$B786&amp;" ~*")&gt;0)+(IFERROR(INDEX(Setup!$G$33:$G$40,MATCH(G786,Setup!$B$33:$B$40,0)),0)=1)*(COUNTIF(G758:I775,$B786)+COUNTIF(G758:I775,$B786&amp;" ~*")&gt;0)+(IFERROR(INDEX(Setup!$G$33:$G$40,MATCH(K786,Setup!$B$33:$B$40,0)),0)=1)*(COUNTIF(K758:M775,$B786)+COUNTIF(K758:M775,$B786&amp;" ~*")&gt;0)+(IFERROR(INDEX(Setup!$G$33:$G$40,MATCH(O786,Setup!$B$33:$B$40,0)),0)=1)*(COUNTIF(O758:Q775,$B786)+COUNTIF(O758:Q775,$B786&amp;" ~*")&gt;0)+(IFERROR(INDEX(Setup!$G$33:$G$40,MATCH(S786,Setup!$B$33:$B$40,0)),0)=1)*(COUNTIF(S758:U775,$B786)+COUNTIF(S758:U775,$B786&amp;" ~*")&gt;0)+(IFERROR(INDEX(Setup!$G$33:$G$40,MATCH(W786,Setup!$B$33:$B$40,0)),0)=1)*(COUNTIF(W758:W775,$B786)+COUNTIF(W758:W775,$B786&amp;" ~*")&gt;0)+(IFERROR(INDEX(Setup!$G$33:$G$40,MATCH(Y786,Setup!$B$33:$B$40,0)),0)=1)*(COUNTIF(Y758:Y775,$B786)+COUNTIF(Y758:Y775,$B786&amp;" ~*")&gt;0))</f>
        <v/>
      </c>
    </row>
    <row r="787" ht="15" customHeight="1">
      <c r="A787" t="n">
        <v>16</v>
      </c>
      <c r="B787" s="35">
        <f>IF(Setup!$B$16="","",Setup!$B$16)</f>
        <v/>
      </c>
      <c r="C787" s="98" t="n"/>
      <c r="D787" s="99" t="n"/>
      <c r="E787" s="99" t="n"/>
      <c r="F787" s="100" t="n"/>
      <c r="G787" s="98" t="n"/>
      <c r="H787" s="99" t="n"/>
      <c r="I787" s="99" t="n"/>
      <c r="J787" s="100" t="n"/>
      <c r="K787" s="98" t="n"/>
      <c r="L787" s="99" t="n"/>
      <c r="M787" s="99" t="n"/>
      <c r="N787" s="100" t="n"/>
      <c r="O787" s="98" t="n"/>
      <c r="P787" s="99" t="n"/>
      <c r="Q787" s="99" t="n"/>
      <c r="R787" s="100" t="n"/>
      <c r="S787" s="98" t="n"/>
      <c r="T787" s="99" t="n"/>
      <c r="U787" s="99" t="n"/>
      <c r="V787" s="100" t="n"/>
      <c r="W787" s="98" t="n"/>
      <c r="X787" s="100" t="n"/>
      <c r="Y787" s="98" t="n"/>
      <c r="Z787" s="100" t="n"/>
      <c r="AB787" s="101">
        <f>IF($B787="","",(COUNTIF(C758:E775,$B787)+COUNTIF(C758:E775,$B787&amp;" ~*")&gt;0)+(COUNTIF(G758:I775,$B787)+COUNTIF(G758:I775,$B787&amp;" ~*")&gt;0)+(COUNTIF(K758:M775,$B787)+COUNTIF(K758:M775,$B787&amp;" ~*")&gt;0)+(COUNTIF(O758:Q775,$B787)+COUNTIF(O758:Q775,$B787&amp;" ~*")&gt;0)+(COUNTIF(S758:U775,$B787)+COUNTIF(S758:U775,$B787&amp;" ~*")&gt;0)+(COUNTIF(W758:W775,$B787)+COUNTIF(W758:W775,$B787&amp;" ~*")&gt;0)+(COUNTIF(Y758:Y775,$B787)+COUNTIF(Y758:Y775,$B787&amp;" ~*")&gt;0))</f>
        <v/>
      </c>
      <c r="AC787" s="36">
        <f>IF($B787="","",(IFERROR(INDEX(Setup!$G$33:$G$40,MATCH(C787,Setup!$B$33:$B$40,0)),0)=1)*(COUNTIF(C758:E775,$B787)+COUNTIF(C758:E775,$B787&amp;" ~*")&gt;0)+(IFERROR(INDEX(Setup!$G$33:$G$40,MATCH(G787,Setup!$B$33:$B$40,0)),0)=1)*(COUNTIF(G758:I775,$B787)+COUNTIF(G758:I775,$B787&amp;" ~*")&gt;0)+(IFERROR(INDEX(Setup!$G$33:$G$40,MATCH(K787,Setup!$B$33:$B$40,0)),0)=1)*(COUNTIF(K758:M775,$B787)+COUNTIF(K758:M775,$B787&amp;" ~*")&gt;0)+(IFERROR(INDEX(Setup!$G$33:$G$40,MATCH(O787,Setup!$B$33:$B$40,0)),0)=1)*(COUNTIF(O758:Q775,$B787)+COUNTIF(O758:Q775,$B787&amp;" ~*")&gt;0)+(IFERROR(INDEX(Setup!$G$33:$G$40,MATCH(S787,Setup!$B$33:$B$40,0)),0)=1)*(COUNTIF(S758:U775,$B787)+COUNTIF(S758:U775,$B787&amp;" ~*")&gt;0)+(IFERROR(INDEX(Setup!$G$33:$G$40,MATCH(W787,Setup!$B$33:$B$40,0)),0)=1)*(COUNTIF(W758:W775,$B787)+COUNTIF(W758:W775,$B787&amp;" ~*")&gt;0)+(IFERROR(INDEX(Setup!$G$33:$G$40,MATCH(Y787,Setup!$B$33:$B$40,0)),0)=1)*(COUNTIF(Y758:Y775,$B787)+COUNTIF(Y758:Y775,$B787&amp;" ~*")&gt;0))</f>
        <v/>
      </c>
    </row>
    <row r="788" ht="15" customHeight="1">
      <c r="A788" t="n">
        <v>16</v>
      </c>
      <c r="B788" s="37">
        <f>IF(Setup!$B$17="","",Setup!$B$17)</f>
        <v/>
      </c>
      <c r="C788" s="102" t="n"/>
      <c r="D788" s="103" t="n"/>
      <c r="E788" s="103" t="n"/>
      <c r="F788" s="104" t="n"/>
      <c r="G788" s="102" t="n"/>
      <c r="H788" s="103" t="n"/>
      <c r="I788" s="103" t="n"/>
      <c r="J788" s="104" t="n"/>
      <c r="K788" s="102" t="n"/>
      <c r="L788" s="103" t="n"/>
      <c r="M788" s="103" t="n"/>
      <c r="N788" s="104" t="n"/>
      <c r="O788" s="102" t="n"/>
      <c r="P788" s="103" t="n"/>
      <c r="Q788" s="103" t="n"/>
      <c r="R788" s="104" t="n"/>
      <c r="S788" s="102" t="n"/>
      <c r="T788" s="103" t="n"/>
      <c r="U788" s="103" t="n"/>
      <c r="V788" s="104" t="n"/>
      <c r="W788" s="102" t="n"/>
      <c r="X788" s="104" t="n"/>
      <c r="Y788" s="102" t="n"/>
      <c r="Z788" s="104" t="n"/>
      <c r="AB788" s="105">
        <f>IF($B788="","",(COUNTIF(C758:E775,$B788)+COUNTIF(C758:E775,$B788&amp;" ~*")&gt;0)+(COUNTIF(G758:I775,$B788)+COUNTIF(G758:I775,$B788&amp;" ~*")&gt;0)+(COUNTIF(K758:M775,$B788)+COUNTIF(K758:M775,$B788&amp;" ~*")&gt;0)+(COUNTIF(O758:Q775,$B788)+COUNTIF(O758:Q775,$B788&amp;" ~*")&gt;0)+(COUNTIF(S758:U775,$B788)+COUNTIF(S758:U775,$B788&amp;" ~*")&gt;0)+(COUNTIF(W758:W775,$B788)+COUNTIF(W758:W775,$B788&amp;" ~*")&gt;0)+(COUNTIF(Y758:Y775,$B788)+COUNTIF(Y758:Y775,$B788&amp;" ~*")&gt;0))</f>
        <v/>
      </c>
      <c r="AC788" s="38">
        <f>IF($B788="","",(IFERROR(INDEX(Setup!$G$33:$G$40,MATCH(C788,Setup!$B$33:$B$40,0)),0)=1)*(COUNTIF(C758:E775,$B788)+COUNTIF(C758:E775,$B788&amp;" ~*")&gt;0)+(IFERROR(INDEX(Setup!$G$33:$G$40,MATCH(G788,Setup!$B$33:$B$40,0)),0)=1)*(COUNTIF(G758:I775,$B788)+COUNTIF(G758:I775,$B788&amp;" ~*")&gt;0)+(IFERROR(INDEX(Setup!$G$33:$G$40,MATCH(K788,Setup!$B$33:$B$40,0)),0)=1)*(COUNTIF(K758:M775,$B788)+COUNTIF(K758:M775,$B788&amp;" ~*")&gt;0)+(IFERROR(INDEX(Setup!$G$33:$G$40,MATCH(O788,Setup!$B$33:$B$40,0)),0)=1)*(COUNTIF(O758:Q775,$B788)+COUNTIF(O758:Q775,$B788&amp;" ~*")&gt;0)+(IFERROR(INDEX(Setup!$G$33:$G$40,MATCH(S788,Setup!$B$33:$B$40,0)),0)=1)*(COUNTIF(S758:U775,$B788)+COUNTIF(S758:U775,$B788&amp;" ~*")&gt;0)+(IFERROR(INDEX(Setup!$G$33:$G$40,MATCH(W788,Setup!$B$33:$B$40,0)),0)=1)*(COUNTIF(W758:W775,$B788)+COUNTIF(W758:W775,$B788&amp;" ~*")&gt;0)+(IFERROR(INDEX(Setup!$G$33:$G$40,MATCH(Y788,Setup!$B$33:$B$40,0)),0)=1)*(COUNTIF(Y758:Y775,$B788)+COUNTIF(Y758:Y775,$B788&amp;" ~*")&gt;0))</f>
        <v/>
      </c>
    </row>
    <row r="789" ht="15" customHeight="1">
      <c r="A789" t="n">
        <v>16</v>
      </c>
      <c r="B789" s="35">
        <f>IF(Setup!$B$18="","",Setup!$B$18)</f>
        <v/>
      </c>
      <c r="C789" s="98" t="n"/>
      <c r="D789" s="99" t="n"/>
      <c r="E789" s="99" t="n"/>
      <c r="F789" s="100" t="n"/>
      <c r="G789" s="98" t="n"/>
      <c r="H789" s="99" t="n"/>
      <c r="I789" s="99" t="n"/>
      <c r="J789" s="100" t="n"/>
      <c r="K789" s="98" t="n"/>
      <c r="L789" s="99" t="n"/>
      <c r="M789" s="99" t="n"/>
      <c r="N789" s="100" t="n"/>
      <c r="O789" s="98" t="n"/>
      <c r="P789" s="99" t="n"/>
      <c r="Q789" s="99" t="n"/>
      <c r="R789" s="100" t="n"/>
      <c r="S789" s="98" t="n"/>
      <c r="T789" s="99" t="n"/>
      <c r="U789" s="99" t="n"/>
      <c r="V789" s="100" t="n"/>
      <c r="W789" s="98" t="n"/>
      <c r="X789" s="100" t="n"/>
      <c r="Y789" s="98" t="n"/>
      <c r="Z789" s="100" t="n"/>
      <c r="AB789" s="101">
        <f>IF($B789="","",(COUNTIF(C758:E775,$B789)+COUNTIF(C758:E775,$B789&amp;" ~*")&gt;0)+(COUNTIF(G758:I775,$B789)+COUNTIF(G758:I775,$B789&amp;" ~*")&gt;0)+(COUNTIF(K758:M775,$B789)+COUNTIF(K758:M775,$B789&amp;" ~*")&gt;0)+(COUNTIF(O758:Q775,$B789)+COUNTIF(O758:Q775,$B789&amp;" ~*")&gt;0)+(COUNTIF(S758:U775,$B789)+COUNTIF(S758:U775,$B789&amp;" ~*")&gt;0)+(COUNTIF(W758:W775,$B789)+COUNTIF(W758:W775,$B789&amp;" ~*")&gt;0)+(COUNTIF(Y758:Y775,$B789)+COUNTIF(Y758:Y775,$B789&amp;" ~*")&gt;0))</f>
        <v/>
      </c>
      <c r="AC789" s="36">
        <f>IF($B789="","",(IFERROR(INDEX(Setup!$G$33:$G$40,MATCH(C789,Setup!$B$33:$B$40,0)),0)=1)*(COUNTIF(C758:E775,$B789)+COUNTIF(C758:E775,$B789&amp;" ~*")&gt;0)+(IFERROR(INDEX(Setup!$G$33:$G$40,MATCH(G789,Setup!$B$33:$B$40,0)),0)=1)*(COUNTIF(G758:I775,$B789)+COUNTIF(G758:I775,$B789&amp;" ~*")&gt;0)+(IFERROR(INDEX(Setup!$G$33:$G$40,MATCH(K789,Setup!$B$33:$B$40,0)),0)=1)*(COUNTIF(K758:M775,$B789)+COUNTIF(K758:M775,$B789&amp;" ~*")&gt;0)+(IFERROR(INDEX(Setup!$G$33:$G$40,MATCH(O789,Setup!$B$33:$B$40,0)),0)=1)*(COUNTIF(O758:Q775,$B789)+COUNTIF(O758:Q775,$B789&amp;" ~*")&gt;0)+(IFERROR(INDEX(Setup!$G$33:$G$40,MATCH(S789,Setup!$B$33:$B$40,0)),0)=1)*(COUNTIF(S758:U775,$B789)+COUNTIF(S758:U775,$B789&amp;" ~*")&gt;0)+(IFERROR(INDEX(Setup!$G$33:$G$40,MATCH(W789,Setup!$B$33:$B$40,0)),0)=1)*(COUNTIF(W758:W775,$B789)+COUNTIF(W758:W775,$B789&amp;" ~*")&gt;0)+(IFERROR(INDEX(Setup!$G$33:$G$40,MATCH(Y789,Setup!$B$33:$B$40,0)),0)=1)*(COUNTIF(Y758:Y775,$B789)+COUNTIF(Y758:Y775,$B789&amp;" ~*")&gt;0))</f>
        <v/>
      </c>
    </row>
    <row r="790" ht="15" customHeight="1">
      <c r="A790" t="n">
        <v>16</v>
      </c>
      <c r="B790" s="37">
        <f>IF(Setup!$B$19="","",Setup!$B$19)</f>
        <v/>
      </c>
      <c r="C790" s="102" t="n"/>
      <c r="D790" s="103" t="n"/>
      <c r="E790" s="103" t="n"/>
      <c r="F790" s="104" t="n"/>
      <c r="G790" s="102" t="n"/>
      <c r="H790" s="103" t="n"/>
      <c r="I790" s="103" t="n"/>
      <c r="J790" s="104" t="n"/>
      <c r="K790" s="102" t="n"/>
      <c r="L790" s="103" t="n"/>
      <c r="M790" s="103" t="n"/>
      <c r="N790" s="104" t="n"/>
      <c r="O790" s="102" t="n"/>
      <c r="P790" s="103" t="n"/>
      <c r="Q790" s="103" t="n"/>
      <c r="R790" s="104" t="n"/>
      <c r="S790" s="102" t="n"/>
      <c r="T790" s="103" t="n"/>
      <c r="U790" s="103" t="n"/>
      <c r="V790" s="104" t="n"/>
      <c r="W790" s="102" t="n"/>
      <c r="X790" s="104" t="n"/>
      <c r="Y790" s="102" t="n"/>
      <c r="Z790" s="104" t="n"/>
      <c r="AB790" s="105">
        <f>IF($B790="","",(COUNTIF(C758:E775,$B790)+COUNTIF(C758:E775,$B790&amp;" ~*")&gt;0)+(COUNTIF(G758:I775,$B790)+COUNTIF(G758:I775,$B790&amp;" ~*")&gt;0)+(COUNTIF(K758:M775,$B790)+COUNTIF(K758:M775,$B790&amp;" ~*")&gt;0)+(COUNTIF(O758:Q775,$B790)+COUNTIF(O758:Q775,$B790&amp;" ~*")&gt;0)+(COUNTIF(S758:U775,$B790)+COUNTIF(S758:U775,$B790&amp;" ~*")&gt;0)+(COUNTIF(W758:W775,$B790)+COUNTIF(W758:W775,$B790&amp;" ~*")&gt;0)+(COUNTIF(Y758:Y775,$B790)+COUNTIF(Y758:Y775,$B790&amp;" ~*")&gt;0))</f>
        <v/>
      </c>
      <c r="AC790" s="38">
        <f>IF($B790="","",(IFERROR(INDEX(Setup!$G$33:$G$40,MATCH(C790,Setup!$B$33:$B$40,0)),0)=1)*(COUNTIF(C758:E775,$B790)+COUNTIF(C758:E775,$B790&amp;" ~*")&gt;0)+(IFERROR(INDEX(Setup!$G$33:$G$40,MATCH(G790,Setup!$B$33:$B$40,0)),0)=1)*(COUNTIF(G758:I775,$B790)+COUNTIF(G758:I775,$B790&amp;" ~*")&gt;0)+(IFERROR(INDEX(Setup!$G$33:$G$40,MATCH(K790,Setup!$B$33:$B$40,0)),0)=1)*(COUNTIF(K758:M775,$B790)+COUNTIF(K758:M775,$B790&amp;" ~*")&gt;0)+(IFERROR(INDEX(Setup!$G$33:$G$40,MATCH(O790,Setup!$B$33:$B$40,0)),0)=1)*(COUNTIF(O758:Q775,$B790)+COUNTIF(O758:Q775,$B790&amp;" ~*")&gt;0)+(IFERROR(INDEX(Setup!$G$33:$G$40,MATCH(S790,Setup!$B$33:$B$40,0)),0)=1)*(COUNTIF(S758:U775,$B790)+COUNTIF(S758:U775,$B790&amp;" ~*")&gt;0)+(IFERROR(INDEX(Setup!$G$33:$G$40,MATCH(W790,Setup!$B$33:$B$40,0)),0)=1)*(COUNTIF(W758:W775,$B790)+COUNTIF(W758:W775,$B790&amp;" ~*")&gt;0)+(IFERROR(INDEX(Setup!$G$33:$G$40,MATCH(Y790,Setup!$B$33:$B$40,0)),0)=1)*(COUNTIF(Y758:Y775,$B790)+COUNTIF(Y758:Y775,$B790&amp;" ~*")&gt;0))</f>
        <v/>
      </c>
    </row>
    <row r="791" ht="15" customHeight="1">
      <c r="A791" t="n">
        <v>16</v>
      </c>
      <c r="B791" s="35">
        <f>IF(Setup!$B$20="","",Setup!$B$20)</f>
        <v/>
      </c>
      <c r="C791" s="98" t="n"/>
      <c r="D791" s="99" t="n"/>
      <c r="E791" s="99" t="n"/>
      <c r="F791" s="100" t="n"/>
      <c r="G791" s="98" t="n"/>
      <c r="H791" s="99" t="n"/>
      <c r="I791" s="99" t="n"/>
      <c r="J791" s="100" t="n"/>
      <c r="K791" s="98" t="n"/>
      <c r="L791" s="99" t="n"/>
      <c r="M791" s="99" t="n"/>
      <c r="N791" s="100" t="n"/>
      <c r="O791" s="98" t="n"/>
      <c r="P791" s="99" t="n"/>
      <c r="Q791" s="99" t="n"/>
      <c r="R791" s="100" t="n"/>
      <c r="S791" s="98" t="n"/>
      <c r="T791" s="99" t="n"/>
      <c r="U791" s="99" t="n"/>
      <c r="V791" s="100" t="n"/>
      <c r="W791" s="98" t="n"/>
      <c r="X791" s="100" t="n"/>
      <c r="Y791" s="98" t="n"/>
      <c r="Z791" s="100" t="n"/>
      <c r="AB791" s="101">
        <f>IF($B791="","",(COUNTIF(C758:E775,$B791)+COUNTIF(C758:E775,$B791&amp;" ~*")&gt;0)+(COUNTIF(G758:I775,$B791)+COUNTIF(G758:I775,$B791&amp;" ~*")&gt;0)+(COUNTIF(K758:M775,$B791)+COUNTIF(K758:M775,$B791&amp;" ~*")&gt;0)+(COUNTIF(O758:Q775,$B791)+COUNTIF(O758:Q775,$B791&amp;" ~*")&gt;0)+(COUNTIF(S758:U775,$B791)+COUNTIF(S758:U775,$B791&amp;" ~*")&gt;0)+(COUNTIF(W758:W775,$B791)+COUNTIF(W758:W775,$B791&amp;" ~*")&gt;0)+(COUNTIF(Y758:Y775,$B791)+COUNTIF(Y758:Y775,$B791&amp;" ~*")&gt;0))</f>
        <v/>
      </c>
      <c r="AC791" s="36">
        <f>IF($B791="","",(IFERROR(INDEX(Setup!$G$33:$G$40,MATCH(C791,Setup!$B$33:$B$40,0)),0)=1)*(COUNTIF(C758:E775,$B791)+COUNTIF(C758:E775,$B791&amp;" ~*")&gt;0)+(IFERROR(INDEX(Setup!$G$33:$G$40,MATCH(G791,Setup!$B$33:$B$40,0)),0)=1)*(COUNTIF(G758:I775,$B791)+COUNTIF(G758:I775,$B791&amp;" ~*")&gt;0)+(IFERROR(INDEX(Setup!$G$33:$G$40,MATCH(K791,Setup!$B$33:$B$40,0)),0)=1)*(COUNTIF(K758:M775,$B791)+COUNTIF(K758:M775,$B791&amp;" ~*")&gt;0)+(IFERROR(INDEX(Setup!$G$33:$G$40,MATCH(O791,Setup!$B$33:$B$40,0)),0)=1)*(COUNTIF(O758:Q775,$B791)+COUNTIF(O758:Q775,$B791&amp;" ~*")&gt;0)+(IFERROR(INDEX(Setup!$G$33:$G$40,MATCH(S791,Setup!$B$33:$B$40,0)),0)=1)*(COUNTIF(S758:U775,$B791)+COUNTIF(S758:U775,$B791&amp;" ~*")&gt;0)+(IFERROR(INDEX(Setup!$G$33:$G$40,MATCH(W791,Setup!$B$33:$B$40,0)),0)=1)*(COUNTIF(W758:W775,$B791)+COUNTIF(W758:W775,$B791&amp;" ~*")&gt;0)+(IFERROR(INDEX(Setup!$G$33:$G$40,MATCH(Y791,Setup!$B$33:$B$40,0)),0)=1)*(COUNTIF(Y758:Y775,$B791)+COUNTIF(Y758:Y775,$B791&amp;" ~*")&gt;0))</f>
        <v/>
      </c>
    </row>
    <row r="792" ht="15" customHeight="1">
      <c r="A792" t="n">
        <v>16</v>
      </c>
      <c r="B792" s="37">
        <f>IF(Setup!$B$21="","",Setup!$B$21)</f>
        <v/>
      </c>
      <c r="C792" s="102" t="n"/>
      <c r="D792" s="103" t="n"/>
      <c r="E792" s="103" t="n"/>
      <c r="F792" s="104" t="n"/>
      <c r="G792" s="102" t="n"/>
      <c r="H792" s="103" t="n"/>
      <c r="I792" s="103" t="n"/>
      <c r="J792" s="104" t="n"/>
      <c r="K792" s="102" t="n"/>
      <c r="L792" s="103" t="n"/>
      <c r="M792" s="103" t="n"/>
      <c r="N792" s="104" t="n"/>
      <c r="O792" s="102" t="n"/>
      <c r="P792" s="103" t="n"/>
      <c r="Q792" s="103" t="n"/>
      <c r="R792" s="104" t="n"/>
      <c r="S792" s="102" t="n"/>
      <c r="T792" s="103" t="n"/>
      <c r="U792" s="103" t="n"/>
      <c r="V792" s="104" t="n"/>
      <c r="W792" s="102" t="n"/>
      <c r="X792" s="104" t="n"/>
      <c r="Y792" s="102" t="n"/>
      <c r="Z792" s="104" t="n"/>
      <c r="AB792" s="105">
        <f>IF($B792="","",(COUNTIF(C758:E775,$B792)+COUNTIF(C758:E775,$B792&amp;" ~*")&gt;0)+(COUNTIF(G758:I775,$B792)+COUNTIF(G758:I775,$B792&amp;" ~*")&gt;0)+(COUNTIF(K758:M775,$B792)+COUNTIF(K758:M775,$B792&amp;" ~*")&gt;0)+(COUNTIF(O758:Q775,$B792)+COUNTIF(O758:Q775,$B792&amp;" ~*")&gt;0)+(COUNTIF(S758:U775,$B792)+COUNTIF(S758:U775,$B792&amp;" ~*")&gt;0)+(COUNTIF(W758:W775,$B792)+COUNTIF(W758:W775,$B792&amp;" ~*")&gt;0)+(COUNTIF(Y758:Y775,$B792)+COUNTIF(Y758:Y775,$B792&amp;" ~*")&gt;0))</f>
        <v/>
      </c>
      <c r="AC792" s="38">
        <f>IF($B792="","",(IFERROR(INDEX(Setup!$G$33:$G$40,MATCH(C792,Setup!$B$33:$B$40,0)),0)=1)*(COUNTIF(C758:E775,$B792)+COUNTIF(C758:E775,$B792&amp;" ~*")&gt;0)+(IFERROR(INDEX(Setup!$G$33:$G$40,MATCH(G792,Setup!$B$33:$B$40,0)),0)=1)*(COUNTIF(G758:I775,$B792)+COUNTIF(G758:I775,$B792&amp;" ~*")&gt;0)+(IFERROR(INDEX(Setup!$G$33:$G$40,MATCH(K792,Setup!$B$33:$B$40,0)),0)=1)*(COUNTIF(K758:M775,$B792)+COUNTIF(K758:M775,$B792&amp;" ~*")&gt;0)+(IFERROR(INDEX(Setup!$G$33:$G$40,MATCH(O792,Setup!$B$33:$B$40,0)),0)=1)*(COUNTIF(O758:Q775,$B792)+COUNTIF(O758:Q775,$B792&amp;" ~*")&gt;0)+(IFERROR(INDEX(Setup!$G$33:$G$40,MATCH(S792,Setup!$B$33:$B$40,0)),0)=1)*(COUNTIF(S758:U775,$B792)+COUNTIF(S758:U775,$B792&amp;" ~*")&gt;0)+(IFERROR(INDEX(Setup!$G$33:$G$40,MATCH(W792,Setup!$B$33:$B$40,0)),0)=1)*(COUNTIF(W758:W775,$B792)+COUNTIF(W758:W775,$B792&amp;" ~*")&gt;0)+(IFERROR(INDEX(Setup!$G$33:$G$40,MATCH(Y792,Setup!$B$33:$B$40,0)),0)=1)*(COUNTIF(Y758:Y775,$B792)+COUNTIF(Y758:Y775,$B792&amp;" ~*")&gt;0))</f>
        <v/>
      </c>
    </row>
    <row r="793" ht="15" customHeight="1">
      <c r="A793" t="n">
        <v>16</v>
      </c>
      <c r="B793" s="35">
        <f>IF(Setup!$B$22="","",Setup!$B$22)</f>
        <v/>
      </c>
      <c r="C793" s="98" t="n"/>
      <c r="D793" s="99" t="n"/>
      <c r="E793" s="99" t="n"/>
      <c r="F793" s="100" t="n"/>
      <c r="G793" s="98" t="n"/>
      <c r="H793" s="99" t="n"/>
      <c r="I793" s="99" t="n"/>
      <c r="J793" s="100" t="n"/>
      <c r="K793" s="98" t="n"/>
      <c r="L793" s="99" t="n"/>
      <c r="M793" s="99" t="n"/>
      <c r="N793" s="100" t="n"/>
      <c r="O793" s="98" t="n"/>
      <c r="P793" s="99" t="n"/>
      <c r="Q793" s="99" t="n"/>
      <c r="R793" s="100" t="n"/>
      <c r="S793" s="98" t="n"/>
      <c r="T793" s="99" t="n"/>
      <c r="U793" s="99" t="n"/>
      <c r="V793" s="100" t="n"/>
      <c r="W793" s="98" t="n"/>
      <c r="X793" s="100" t="n"/>
      <c r="Y793" s="98" t="n"/>
      <c r="Z793" s="100" t="n"/>
      <c r="AB793" s="101">
        <f>IF($B793="","",(COUNTIF(C758:E775,$B793)+COUNTIF(C758:E775,$B793&amp;" ~*")&gt;0)+(COUNTIF(G758:I775,$B793)+COUNTIF(G758:I775,$B793&amp;" ~*")&gt;0)+(COUNTIF(K758:M775,$B793)+COUNTIF(K758:M775,$B793&amp;" ~*")&gt;0)+(COUNTIF(O758:Q775,$B793)+COUNTIF(O758:Q775,$B793&amp;" ~*")&gt;0)+(COUNTIF(S758:U775,$B793)+COUNTIF(S758:U775,$B793&amp;" ~*")&gt;0)+(COUNTIF(W758:W775,$B793)+COUNTIF(W758:W775,$B793&amp;" ~*")&gt;0)+(COUNTIF(Y758:Y775,$B793)+COUNTIF(Y758:Y775,$B793&amp;" ~*")&gt;0))</f>
        <v/>
      </c>
      <c r="AC793" s="36">
        <f>IF($B793="","",(IFERROR(INDEX(Setup!$G$33:$G$40,MATCH(C793,Setup!$B$33:$B$40,0)),0)=1)*(COUNTIF(C758:E775,$B793)+COUNTIF(C758:E775,$B793&amp;" ~*")&gt;0)+(IFERROR(INDEX(Setup!$G$33:$G$40,MATCH(G793,Setup!$B$33:$B$40,0)),0)=1)*(COUNTIF(G758:I775,$B793)+COUNTIF(G758:I775,$B793&amp;" ~*")&gt;0)+(IFERROR(INDEX(Setup!$G$33:$G$40,MATCH(K793,Setup!$B$33:$B$40,0)),0)=1)*(COUNTIF(K758:M775,$B793)+COUNTIF(K758:M775,$B793&amp;" ~*")&gt;0)+(IFERROR(INDEX(Setup!$G$33:$G$40,MATCH(O793,Setup!$B$33:$B$40,0)),0)=1)*(COUNTIF(O758:Q775,$B793)+COUNTIF(O758:Q775,$B793&amp;" ~*")&gt;0)+(IFERROR(INDEX(Setup!$G$33:$G$40,MATCH(S793,Setup!$B$33:$B$40,0)),0)=1)*(COUNTIF(S758:U775,$B793)+COUNTIF(S758:U775,$B793&amp;" ~*")&gt;0)+(IFERROR(INDEX(Setup!$G$33:$G$40,MATCH(W793,Setup!$B$33:$B$40,0)),0)=1)*(COUNTIF(W758:W775,$B793)+COUNTIF(W758:W775,$B793&amp;" ~*")&gt;0)+(IFERROR(INDEX(Setup!$G$33:$G$40,MATCH(Y793,Setup!$B$33:$B$40,0)),0)=1)*(COUNTIF(Y758:Y775,$B793)+COUNTIF(Y758:Y775,$B793&amp;" ~*")&gt;0))</f>
        <v/>
      </c>
    </row>
    <row r="794" ht="15" customHeight="1">
      <c r="A794" t="n">
        <v>16</v>
      </c>
      <c r="B794" s="37">
        <f>IF(Setup!$B$23="","",Setup!$B$23)</f>
        <v/>
      </c>
      <c r="C794" s="102" t="n"/>
      <c r="D794" s="103" t="n"/>
      <c r="E794" s="103" t="n"/>
      <c r="F794" s="104" t="n"/>
      <c r="G794" s="102" t="n"/>
      <c r="H794" s="103" t="n"/>
      <c r="I794" s="103" t="n"/>
      <c r="J794" s="104" t="n"/>
      <c r="K794" s="102" t="n"/>
      <c r="L794" s="103" t="n"/>
      <c r="M794" s="103" t="n"/>
      <c r="N794" s="104" t="n"/>
      <c r="O794" s="102" t="n"/>
      <c r="P794" s="103" t="n"/>
      <c r="Q794" s="103" t="n"/>
      <c r="R794" s="104" t="n"/>
      <c r="S794" s="102" t="n"/>
      <c r="T794" s="103" t="n"/>
      <c r="U794" s="103" t="n"/>
      <c r="V794" s="104" t="n"/>
      <c r="W794" s="102" t="n"/>
      <c r="X794" s="104" t="n"/>
      <c r="Y794" s="102" t="n"/>
      <c r="Z794" s="104" t="n"/>
      <c r="AB794" s="105">
        <f>IF($B794="","",(COUNTIF(C758:E775,$B794)+COUNTIF(C758:E775,$B794&amp;" ~*")&gt;0)+(COUNTIF(G758:I775,$B794)+COUNTIF(G758:I775,$B794&amp;" ~*")&gt;0)+(COUNTIF(K758:M775,$B794)+COUNTIF(K758:M775,$B794&amp;" ~*")&gt;0)+(COUNTIF(O758:Q775,$B794)+COUNTIF(O758:Q775,$B794&amp;" ~*")&gt;0)+(COUNTIF(S758:U775,$B794)+COUNTIF(S758:U775,$B794&amp;" ~*")&gt;0)+(COUNTIF(W758:W775,$B794)+COUNTIF(W758:W775,$B794&amp;" ~*")&gt;0)+(COUNTIF(Y758:Y775,$B794)+COUNTIF(Y758:Y775,$B794&amp;" ~*")&gt;0))</f>
        <v/>
      </c>
      <c r="AC794" s="38">
        <f>IF($B794="","",(IFERROR(INDEX(Setup!$G$33:$G$40,MATCH(C794,Setup!$B$33:$B$40,0)),0)=1)*(COUNTIF(C758:E775,$B794)+COUNTIF(C758:E775,$B794&amp;" ~*")&gt;0)+(IFERROR(INDEX(Setup!$G$33:$G$40,MATCH(G794,Setup!$B$33:$B$40,0)),0)=1)*(COUNTIF(G758:I775,$B794)+COUNTIF(G758:I775,$B794&amp;" ~*")&gt;0)+(IFERROR(INDEX(Setup!$G$33:$G$40,MATCH(K794,Setup!$B$33:$B$40,0)),0)=1)*(COUNTIF(K758:M775,$B794)+COUNTIF(K758:M775,$B794&amp;" ~*")&gt;0)+(IFERROR(INDEX(Setup!$G$33:$G$40,MATCH(O794,Setup!$B$33:$B$40,0)),0)=1)*(COUNTIF(O758:Q775,$B794)+COUNTIF(O758:Q775,$B794&amp;" ~*")&gt;0)+(IFERROR(INDEX(Setup!$G$33:$G$40,MATCH(S794,Setup!$B$33:$B$40,0)),0)=1)*(COUNTIF(S758:U775,$B794)+COUNTIF(S758:U775,$B794&amp;" ~*")&gt;0)+(IFERROR(INDEX(Setup!$G$33:$G$40,MATCH(W794,Setup!$B$33:$B$40,0)),0)=1)*(COUNTIF(W758:W775,$B794)+COUNTIF(W758:W775,$B794&amp;" ~*")&gt;0)+(IFERROR(INDEX(Setup!$G$33:$G$40,MATCH(Y794,Setup!$B$33:$B$40,0)),0)=1)*(COUNTIF(Y758:Y775,$B794)+COUNTIF(Y758:Y775,$B794&amp;" ~*")&gt;0))</f>
        <v/>
      </c>
    </row>
    <row r="795" ht="15" customHeight="1">
      <c r="A795" t="n">
        <v>16</v>
      </c>
      <c r="B795" s="35">
        <f>IF(Setup!$B$24="","",Setup!$B$24)</f>
        <v/>
      </c>
      <c r="C795" s="98" t="n"/>
      <c r="D795" s="99" t="n"/>
      <c r="E795" s="99" t="n"/>
      <c r="F795" s="100" t="n"/>
      <c r="G795" s="98" t="n"/>
      <c r="H795" s="99" t="n"/>
      <c r="I795" s="99" t="n"/>
      <c r="J795" s="100" t="n"/>
      <c r="K795" s="98" t="n"/>
      <c r="L795" s="99" t="n"/>
      <c r="M795" s="99" t="n"/>
      <c r="N795" s="100" t="n"/>
      <c r="O795" s="98" t="n"/>
      <c r="P795" s="99" t="n"/>
      <c r="Q795" s="99" t="n"/>
      <c r="R795" s="100" t="n"/>
      <c r="S795" s="98" t="n"/>
      <c r="T795" s="99" t="n"/>
      <c r="U795" s="99" t="n"/>
      <c r="V795" s="100" t="n"/>
      <c r="W795" s="98" t="n"/>
      <c r="X795" s="100" t="n"/>
      <c r="Y795" s="98" t="n"/>
      <c r="Z795" s="100" t="n"/>
      <c r="AB795" s="101">
        <f>IF($B795="","",(COUNTIF(C758:E775,$B795)+COUNTIF(C758:E775,$B795&amp;" ~*")&gt;0)+(COUNTIF(G758:I775,$B795)+COUNTIF(G758:I775,$B795&amp;" ~*")&gt;0)+(COUNTIF(K758:M775,$B795)+COUNTIF(K758:M775,$B795&amp;" ~*")&gt;0)+(COUNTIF(O758:Q775,$B795)+COUNTIF(O758:Q775,$B795&amp;" ~*")&gt;0)+(COUNTIF(S758:U775,$B795)+COUNTIF(S758:U775,$B795&amp;" ~*")&gt;0)+(COUNTIF(W758:W775,$B795)+COUNTIF(W758:W775,$B795&amp;" ~*")&gt;0)+(COUNTIF(Y758:Y775,$B795)+COUNTIF(Y758:Y775,$B795&amp;" ~*")&gt;0))</f>
        <v/>
      </c>
      <c r="AC795" s="36">
        <f>IF($B795="","",(IFERROR(INDEX(Setup!$G$33:$G$40,MATCH(C795,Setup!$B$33:$B$40,0)),0)=1)*(COUNTIF(C758:E775,$B795)+COUNTIF(C758:E775,$B795&amp;" ~*")&gt;0)+(IFERROR(INDEX(Setup!$G$33:$G$40,MATCH(G795,Setup!$B$33:$B$40,0)),0)=1)*(COUNTIF(G758:I775,$B795)+COUNTIF(G758:I775,$B795&amp;" ~*")&gt;0)+(IFERROR(INDEX(Setup!$G$33:$G$40,MATCH(K795,Setup!$B$33:$B$40,0)),0)=1)*(COUNTIF(K758:M775,$B795)+COUNTIF(K758:M775,$B795&amp;" ~*")&gt;0)+(IFERROR(INDEX(Setup!$G$33:$G$40,MATCH(O795,Setup!$B$33:$B$40,0)),0)=1)*(COUNTIF(O758:Q775,$B795)+COUNTIF(O758:Q775,$B795&amp;" ~*")&gt;0)+(IFERROR(INDEX(Setup!$G$33:$G$40,MATCH(S795,Setup!$B$33:$B$40,0)),0)=1)*(COUNTIF(S758:U775,$B795)+COUNTIF(S758:U775,$B795&amp;" ~*")&gt;0)+(IFERROR(INDEX(Setup!$G$33:$G$40,MATCH(W795,Setup!$B$33:$B$40,0)),0)=1)*(COUNTIF(W758:W775,$B795)+COUNTIF(W758:W775,$B795&amp;" ~*")&gt;0)+(IFERROR(INDEX(Setup!$G$33:$G$40,MATCH(Y795,Setup!$B$33:$B$40,0)),0)=1)*(COUNTIF(Y758:Y775,$B795)+COUNTIF(Y758:Y775,$B795&amp;" ~*")&gt;0))</f>
        <v/>
      </c>
    </row>
    <row r="796" ht="15" customHeight="1">
      <c r="A796" t="n">
        <v>16</v>
      </c>
      <c r="B796" s="37">
        <f>IF(Setup!$B$25="","",Setup!$B$25)</f>
        <v/>
      </c>
      <c r="C796" s="102" t="n"/>
      <c r="D796" s="103" t="n"/>
      <c r="E796" s="103" t="n"/>
      <c r="F796" s="104" t="n"/>
      <c r="G796" s="102" t="n"/>
      <c r="H796" s="103" t="n"/>
      <c r="I796" s="103" t="n"/>
      <c r="J796" s="104" t="n"/>
      <c r="K796" s="102" t="n"/>
      <c r="L796" s="103" t="n"/>
      <c r="M796" s="103" t="n"/>
      <c r="N796" s="104" t="n"/>
      <c r="O796" s="102" t="n"/>
      <c r="P796" s="103" t="n"/>
      <c r="Q796" s="103" t="n"/>
      <c r="R796" s="104" t="n"/>
      <c r="S796" s="102" t="n"/>
      <c r="T796" s="103" t="n"/>
      <c r="U796" s="103" t="n"/>
      <c r="V796" s="104" t="n"/>
      <c r="W796" s="102" t="n"/>
      <c r="X796" s="104" t="n"/>
      <c r="Y796" s="102" t="n"/>
      <c r="Z796" s="104" t="n"/>
      <c r="AB796" s="105">
        <f>IF($B796="","",(COUNTIF(C758:E775,$B796)+COUNTIF(C758:E775,$B796&amp;" ~*")&gt;0)+(COUNTIF(G758:I775,$B796)+COUNTIF(G758:I775,$B796&amp;" ~*")&gt;0)+(COUNTIF(K758:M775,$B796)+COUNTIF(K758:M775,$B796&amp;" ~*")&gt;0)+(COUNTIF(O758:Q775,$B796)+COUNTIF(O758:Q775,$B796&amp;" ~*")&gt;0)+(COUNTIF(S758:U775,$B796)+COUNTIF(S758:U775,$B796&amp;" ~*")&gt;0)+(COUNTIF(W758:W775,$B796)+COUNTIF(W758:W775,$B796&amp;" ~*")&gt;0)+(COUNTIF(Y758:Y775,$B796)+COUNTIF(Y758:Y775,$B796&amp;" ~*")&gt;0))</f>
        <v/>
      </c>
      <c r="AC796" s="38">
        <f>IF($B796="","",(IFERROR(INDEX(Setup!$G$33:$G$40,MATCH(C796,Setup!$B$33:$B$40,0)),0)=1)*(COUNTIF(C758:E775,$B796)+COUNTIF(C758:E775,$B796&amp;" ~*")&gt;0)+(IFERROR(INDEX(Setup!$G$33:$G$40,MATCH(G796,Setup!$B$33:$B$40,0)),0)=1)*(COUNTIF(G758:I775,$B796)+COUNTIF(G758:I775,$B796&amp;" ~*")&gt;0)+(IFERROR(INDEX(Setup!$G$33:$G$40,MATCH(K796,Setup!$B$33:$B$40,0)),0)=1)*(COUNTIF(K758:M775,$B796)+COUNTIF(K758:M775,$B796&amp;" ~*")&gt;0)+(IFERROR(INDEX(Setup!$G$33:$G$40,MATCH(O796,Setup!$B$33:$B$40,0)),0)=1)*(COUNTIF(O758:Q775,$B796)+COUNTIF(O758:Q775,$B796&amp;" ~*")&gt;0)+(IFERROR(INDEX(Setup!$G$33:$G$40,MATCH(S796,Setup!$B$33:$B$40,0)),0)=1)*(COUNTIF(S758:U775,$B796)+COUNTIF(S758:U775,$B796&amp;" ~*")&gt;0)+(IFERROR(INDEX(Setup!$G$33:$G$40,MATCH(W796,Setup!$B$33:$B$40,0)),0)=1)*(COUNTIF(W758:W775,$B796)+COUNTIF(W758:W775,$B796&amp;" ~*")&gt;0)+(IFERROR(INDEX(Setup!$G$33:$G$40,MATCH(Y796,Setup!$B$33:$B$40,0)),0)=1)*(COUNTIF(Y758:Y775,$B796)+COUNTIF(Y758:Y775,$B796&amp;" ~*")&gt;0))</f>
        <v/>
      </c>
    </row>
    <row r="797" ht="15" customHeight="1">
      <c r="A797" t="n">
        <v>16</v>
      </c>
      <c r="B797" s="35">
        <f>IF(Setup!$B$26="","",Setup!$B$26)</f>
        <v/>
      </c>
      <c r="C797" s="98" t="n"/>
      <c r="D797" s="99" t="n"/>
      <c r="E797" s="99" t="n"/>
      <c r="F797" s="100" t="n"/>
      <c r="G797" s="98" t="n"/>
      <c r="H797" s="99" t="n"/>
      <c r="I797" s="99" t="n"/>
      <c r="J797" s="100" t="n"/>
      <c r="K797" s="98" t="n"/>
      <c r="L797" s="99" t="n"/>
      <c r="M797" s="99" t="n"/>
      <c r="N797" s="100" t="n"/>
      <c r="O797" s="98" t="n"/>
      <c r="P797" s="99" t="n"/>
      <c r="Q797" s="99" t="n"/>
      <c r="R797" s="100" t="n"/>
      <c r="S797" s="98" t="n"/>
      <c r="T797" s="99" t="n"/>
      <c r="U797" s="99" t="n"/>
      <c r="V797" s="100" t="n"/>
      <c r="W797" s="98" t="n"/>
      <c r="X797" s="100" t="n"/>
      <c r="Y797" s="98" t="n"/>
      <c r="Z797" s="100" t="n"/>
      <c r="AB797" s="101">
        <f>IF($B797="","",(COUNTIF(C758:E775,$B797)+COUNTIF(C758:E775,$B797&amp;" ~*")&gt;0)+(COUNTIF(G758:I775,$B797)+COUNTIF(G758:I775,$B797&amp;" ~*")&gt;0)+(COUNTIF(K758:M775,$B797)+COUNTIF(K758:M775,$B797&amp;" ~*")&gt;0)+(COUNTIF(O758:Q775,$B797)+COUNTIF(O758:Q775,$B797&amp;" ~*")&gt;0)+(COUNTIF(S758:U775,$B797)+COUNTIF(S758:U775,$B797&amp;" ~*")&gt;0)+(COUNTIF(W758:W775,$B797)+COUNTIF(W758:W775,$B797&amp;" ~*")&gt;0)+(COUNTIF(Y758:Y775,$B797)+COUNTIF(Y758:Y775,$B797&amp;" ~*")&gt;0))</f>
        <v/>
      </c>
      <c r="AC797" s="36">
        <f>IF($B797="","",(IFERROR(INDEX(Setup!$G$33:$G$40,MATCH(C797,Setup!$B$33:$B$40,0)),0)=1)*(COUNTIF(C758:E775,$B797)+COUNTIF(C758:E775,$B797&amp;" ~*")&gt;0)+(IFERROR(INDEX(Setup!$G$33:$G$40,MATCH(G797,Setup!$B$33:$B$40,0)),0)=1)*(COUNTIF(G758:I775,$B797)+COUNTIF(G758:I775,$B797&amp;" ~*")&gt;0)+(IFERROR(INDEX(Setup!$G$33:$G$40,MATCH(K797,Setup!$B$33:$B$40,0)),0)=1)*(COUNTIF(K758:M775,$B797)+COUNTIF(K758:M775,$B797&amp;" ~*")&gt;0)+(IFERROR(INDEX(Setup!$G$33:$G$40,MATCH(O797,Setup!$B$33:$B$40,0)),0)=1)*(COUNTIF(O758:Q775,$B797)+COUNTIF(O758:Q775,$B797&amp;" ~*")&gt;0)+(IFERROR(INDEX(Setup!$G$33:$G$40,MATCH(S797,Setup!$B$33:$B$40,0)),0)=1)*(COUNTIF(S758:U775,$B797)+COUNTIF(S758:U775,$B797&amp;" ~*")&gt;0)+(IFERROR(INDEX(Setup!$G$33:$G$40,MATCH(W797,Setup!$B$33:$B$40,0)),0)=1)*(COUNTIF(W758:W775,$B797)+COUNTIF(W758:W775,$B797&amp;" ~*")&gt;0)+(IFERROR(INDEX(Setup!$G$33:$G$40,MATCH(Y797,Setup!$B$33:$B$40,0)),0)=1)*(COUNTIF(Y758:Y775,$B797)+COUNTIF(Y758:Y775,$B797&amp;" ~*")&gt;0))</f>
        <v/>
      </c>
    </row>
    <row r="798" ht="15" customHeight="1">
      <c r="A798" t="n">
        <v>16</v>
      </c>
      <c r="B798" s="37">
        <f>IF(Setup!$B$27="","",Setup!$B$27)</f>
        <v/>
      </c>
      <c r="C798" s="102" t="n"/>
      <c r="D798" s="103" t="n"/>
      <c r="E798" s="103" t="n"/>
      <c r="F798" s="104" t="n"/>
      <c r="G798" s="102" t="n"/>
      <c r="H798" s="103" t="n"/>
      <c r="I798" s="103" t="n"/>
      <c r="J798" s="104" t="n"/>
      <c r="K798" s="102" t="n"/>
      <c r="L798" s="103" t="n"/>
      <c r="M798" s="103" t="n"/>
      <c r="N798" s="104" t="n"/>
      <c r="O798" s="102" t="n"/>
      <c r="P798" s="103" t="n"/>
      <c r="Q798" s="103" t="n"/>
      <c r="R798" s="104" t="n"/>
      <c r="S798" s="102" t="n"/>
      <c r="T798" s="103" t="n"/>
      <c r="U798" s="103" t="n"/>
      <c r="V798" s="104" t="n"/>
      <c r="W798" s="102" t="n"/>
      <c r="X798" s="104" t="n"/>
      <c r="Y798" s="102" t="n"/>
      <c r="Z798" s="104" t="n"/>
      <c r="AB798" s="105">
        <f>IF($B798="","",(COUNTIF(C758:E775,$B798)+COUNTIF(C758:E775,$B798&amp;" ~*")&gt;0)+(COUNTIF(G758:I775,$B798)+COUNTIF(G758:I775,$B798&amp;" ~*")&gt;0)+(COUNTIF(K758:M775,$B798)+COUNTIF(K758:M775,$B798&amp;" ~*")&gt;0)+(COUNTIF(O758:Q775,$B798)+COUNTIF(O758:Q775,$B798&amp;" ~*")&gt;0)+(COUNTIF(S758:U775,$B798)+COUNTIF(S758:U775,$B798&amp;" ~*")&gt;0)+(COUNTIF(W758:W775,$B798)+COUNTIF(W758:W775,$B798&amp;" ~*")&gt;0)+(COUNTIF(Y758:Y775,$B798)+COUNTIF(Y758:Y775,$B798&amp;" ~*")&gt;0))</f>
        <v/>
      </c>
      <c r="AC798" s="38">
        <f>IF($B798="","",(IFERROR(INDEX(Setup!$G$33:$G$40,MATCH(C798,Setup!$B$33:$B$40,0)),0)=1)*(COUNTIF(C758:E775,$B798)+COUNTIF(C758:E775,$B798&amp;" ~*")&gt;0)+(IFERROR(INDEX(Setup!$G$33:$G$40,MATCH(G798,Setup!$B$33:$B$40,0)),0)=1)*(COUNTIF(G758:I775,$B798)+COUNTIF(G758:I775,$B798&amp;" ~*")&gt;0)+(IFERROR(INDEX(Setup!$G$33:$G$40,MATCH(K798,Setup!$B$33:$B$40,0)),0)=1)*(COUNTIF(K758:M775,$B798)+COUNTIF(K758:M775,$B798&amp;" ~*")&gt;0)+(IFERROR(INDEX(Setup!$G$33:$G$40,MATCH(O798,Setup!$B$33:$B$40,0)),0)=1)*(COUNTIF(O758:Q775,$B798)+COUNTIF(O758:Q775,$B798&amp;" ~*")&gt;0)+(IFERROR(INDEX(Setup!$G$33:$G$40,MATCH(S798,Setup!$B$33:$B$40,0)),0)=1)*(COUNTIF(S758:U775,$B798)+COUNTIF(S758:U775,$B798&amp;" ~*")&gt;0)+(IFERROR(INDEX(Setup!$G$33:$G$40,MATCH(W798,Setup!$B$33:$B$40,0)),0)=1)*(COUNTIF(W758:W775,$B798)+COUNTIF(W758:W775,$B798&amp;" ~*")&gt;0)+(IFERROR(INDEX(Setup!$G$33:$G$40,MATCH(Y798,Setup!$B$33:$B$40,0)),0)=1)*(COUNTIF(Y758:Y775,$B798)+COUNTIF(Y758:Y775,$B798&amp;" ~*")&gt;0))</f>
        <v/>
      </c>
    </row>
    <row r="799" ht="15" customHeight="1">
      <c r="A799" t="n">
        <v>16</v>
      </c>
      <c r="B799" s="35">
        <f>IF(Setup!$B$28="","",Setup!$B$28)</f>
        <v/>
      </c>
      <c r="C799" s="98" t="n"/>
      <c r="D799" s="99" t="n"/>
      <c r="E799" s="99" t="n"/>
      <c r="F799" s="100" t="n"/>
      <c r="G799" s="98" t="n"/>
      <c r="H799" s="99" t="n"/>
      <c r="I799" s="99" t="n"/>
      <c r="J799" s="100" t="n"/>
      <c r="K799" s="98" t="n"/>
      <c r="L799" s="99" t="n"/>
      <c r="M799" s="99" t="n"/>
      <c r="N799" s="100" t="n"/>
      <c r="O799" s="98" t="n"/>
      <c r="P799" s="99" t="n"/>
      <c r="Q799" s="99" t="n"/>
      <c r="R799" s="100" t="n"/>
      <c r="S799" s="98" t="n"/>
      <c r="T799" s="99" t="n"/>
      <c r="U799" s="99" t="n"/>
      <c r="V799" s="100" t="n"/>
      <c r="W799" s="98" t="n"/>
      <c r="X799" s="100" t="n"/>
      <c r="Y799" s="98" t="n"/>
      <c r="Z799" s="100" t="n"/>
      <c r="AB799" s="101">
        <f>IF($B799="","",(COUNTIF(C758:E775,$B799)+COUNTIF(C758:E775,$B799&amp;" ~*")&gt;0)+(COUNTIF(G758:I775,$B799)+COUNTIF(G758:I775,$B799&amp;" ~*")&gt;0)+(COUNTIF(K758:M775,$B799)+COUNTIF(K758:M775,$B799&amp;" ~*")&gt;0)+(COUNTIF(O758:Q775,$B799)+COUNTIF(O758:Q775,$B799&amp;" ~*")&gt;0)+(COUNTIF(S758:U775,$B799)+COUNTIF(S758:U775,$B799&amp;" ~*")&gt;0)+(COUNTIF(W758:W775,$B799)+COUNTIF(W758:W775,$B799&amp;" ~*")&gt;0)+(COUNTIF(Y758:Y775,$B799)+COUNTIF(Y758:Y775,$B799&amp;" ~*")&gt;0))</f>
        <v/>
      </c>
      <c r="AC799" s="36">
        <f>IF($B799="","",(IFERROR(INDEX(Setup!$G$33:$G$40,MATCH(C799,Setup!$B$33:$B$40,0)),0)=1)*(COUNTIF(C758:E775,$B799)+COUNTIF(C758:E775,$B799&amp;" ~*")&gt;0)+(IFERROR(INDEX(Setup!$G$33:$G$40,MATCH(G799,Setup!$B$33:$B$40,0)),0)=1)*(COUNTIF(G758:I775,$B799)+COUNTIF(G758:I775,$B799&amp;" ~*")&gt;0)+(IFERROR(INDEX(Setup!$G$33:$G$40,MATCH(K799,Setup!$B$33:$B$40,0)),0)=1)*(COUNTIF(K758:M775,$B799)+COUNTIF(K758:M775,$B799&amp;" ~*")&gt;0)+(IFERROR(INDEX(Setup!$G$33:$G$40,MATCH(O799,Setup!$B$33:$B$40,0)),0)=1)*(COUNTIF(O758:Q775,$B799)+COUNTIF(O758:Q775,$B799&amp;" ~*")&gt;0)+(IFERROR(INDEX(Setup!$G$33:$G$40,MATCH(S799,Setup!$B$33:$B$40,0)),0)=1)*(COUNTIF(S758:U775,$B799)+COUNTIF(S758:U775,$B799&amp;" ~*")&gt;0)+(IFERROR(INDEX(Setup!$G$33:$G$40,MATCH(W799,Setup!$B$33:$B$40,0)),0)=1)*(COUNTIF(W758:W775,$B799)+COUNTIF(W758:W775,$B799&amp;" ~*")&gt;0)+(IFERROR(INDEX(Setup!$G$33:$G$40,MATCH(Y799,Setup!$B$33:$B$40,0)),0)=1)*(COUNTIF(Y758:Y775,$B799)+COUNTIF(Y758:Y775,$B799&amp;" ~*")&gt;0))</f>
        <v/>
      </c>
    </row>
    <row r="800" ht="15" customHeight="1">
      <c r="A800" t="n">
        <v>16</v>
      </c>
      <c r="B800" s="37">
        <f>IF(Setup!$B$29="","",Setup!$B$29)</f>
        <v/>
      </c>
      <c r="C800" s="102" t="n"/>
      <c r="D800" s="103" t="n"/>
      <c r="E800" s="103" t="n"/>
      <c r="F800" s="104" t="n"/>
      <c r="G800" s="102" t="n"/>
      <c r="H800" s="103" t="n"/>
      <c r="I800" s="103" t="n"/>
      <c r="J800" s="104" t="n"/>
      <c r="K800" s="102" t="n"/>
      <c r="L800" s="103" t="n"/>
      <c r="M800" s="103" t="n"/>
      <c r="N800" s="104" t="n"/>
      <c r="O800" s="102" t="n"/>
      <c r="P800" s="103" t="n"/>
      <c r="Q800" s="103" t="n"/>
      <c r="R800" s="104" t="n"/>
      <c r="S800" s="102" t="n"/>
      <c r="T800" s="103" t="n"/>
      <c r="U800" s="103" t="n"/>
      <c r="V800" s="104" t="n"/>
      <c r="W800" s="102" t="n"/>
      <c r="X800" s="104" t="n"/>
      <c r="Y800" s="102" t="n"/>
      <c r="Z800" s="104" t="n"/>
      <c r="AB800" s="105">
        <f>IF($B800="","",(COUNTIF(C758:E775,$B800)+COUNTIF(C758:E775,$B800&amp;" ~*")&gt;0)+(COUNTIF(G758:I775,$B800)+COUNTIF(G758:I775,$B800&amp;" ~*")&gt;0)+(COUNTIF(K758:M775,$B800)+COUNTIF(K758:M775,$B800&amp;" ~*")&gt;0)+(COUNTIF(O758:Q775,$B800)+COUNTIF(O758:Q775,$B800&amp;" ~*")&gt;0)+(COUNTIF(S758:U775,$B800)+COUNTIF(S758:U775,$B800&amp;" ~*")&gt;0)+(COUNTIF(W758:W775,$B800)+COUNTIF(W758:W775,$B800&amp;" ~*")&gt;0)+(COUNTIF(Y758:Y775,$B800)+COUNTIF(Y758:Y775,$B800&amp;" ~*")&gt;0))</f>
        <v/>
      </c>
      <c r="AC800" s="38">
        <f>IF($B800="","",(IFERROR(INDEX(Setup!$G$33:$G$40,MATCH(C800,Setup!$B$33:$B$40,0)),0)=1)*(COUNTIF(C758:E775,$B800)+COUNTIF(C758:E775,$B800&amp;" ~*")&gt;0)+(IFERROR(INDEX(Setup!$G$33:$G$40,MATCH(G800,Setup!$B$33:$B$40,0)),0)=1)*(COUNTIF(G758:I775,$B800)+COUNTIF(G758:I775,$B800&amp;" ~*")&gt;0)+(IFERROR(INDEX(Setup!$G$33:$G$40,MATCH(K800,Setup!$B$33:$B$40,0)),0)=1)*(COUNTIF(K758:M775,$B800)+COUNTIF(K758:M775,$B800&amp;" ~*")&gt;0)+(IFERROR(INDEX(Setup!$G$33:$G$40,MATCH(O800,Setup!$B$33:$B$40,0)),0)=1)*(COUNTIF(O758:Q775,$B800)+COUNTIF(O758:Q775,$B800&amp;" ~*")&gt;0)+(IFERROR(INDEX(Setup!$G$33:$G$40,MATCH(S800,Setup!$B$33:$B$40,0)),0)=1)*(COUNTIF(S758:U775,$B800)+COUNTIF(S758:U775,$B800&amp;" ~*")&gt;0)+(IFERROR(INDEX(Setup!$G$33:$G$40,MATCH(W800,Setup!$B$33:$B$40,0)),0)=1)*(COUNTIF(W758:W775,$B800)+COUNTIF(W758:W775,$B800&amp;" ~*")&gt;0)+(IFERROR(INDEX(Setup!$G$33:$G$40,MATCH(Y800,Setup!$B$33:$B$40,0)),0)=1)*(COUNTIF(Y758:Y775,$B800)+COUNTIF(Y758:Y775,$B800&amp;" ~*")&gt;0))</f>
        <v/>
      </c>
    </row>
    <row r="801" ht="16" customHeight="1">
      <c r="A801" t="n">
        <v>16</v>
      </c>
      <c r="B801" s="106" t="inlineStr">
        <is>
          <t>Available people</t>
        </is>
      </c>
      <c r="C801" s="107">
        <f>COUNTIFS(Setup!$E$6:$E$29,"Y",Setup!$B$6:$B$29,"?*")-SUMPRODUCT(COUNTIF(C777:C800,Setup!$F$33:$F$40))</f>
        <v/>
      </c>
      <c r="D801" s="107" t="n"/>
      <c r="E801" s="107" t="n"/>
      <c r="F801" s="107" t="n"/>
      <c r="G801" s="107">
        <f>COUNTIFS(Setup!$E$6:$E$29,"Y",Setup!$B$6:$B$29,"?*")-SUMPRODUCT(COUNTIF(G777:G800,Setup!$F$33:$F$40))</f>
        <v/>
      </c>
      <c r="H801" s="107" t="n"/>
      <c r="I801" s="107" t="n"/>
      <c r="J801" s="107" t="n"/>
      <c r="K801" s="107">
        <f>COUNTIFS(Setup!$E$6:$E$29,"Y",Setup!$B$6:$B$29,"?*")-SUMPRODUCT(COUNTIF(K777:K800,Setup!$F$33:$F$40))</f>
        <v/>
      </c>
      <c r="L801" s="107" t="n"/>
      <c r="M801" s="107" t="n"/>
      <c r="N801" s="107" t="n"/>
      <c r="O801" s="107">
        <f>COUNTIFS(Setup!$E$6:$E$29,"Y",Setup!$B$6:$B$29,"?*")-SUMPRODUCT(COUNTIF(O777:O800,Setup!$F$33:$F$40))</f>
        <v/>
      </c>
      <c r="P801" s="107" t="n"/>
      <c r="Q801" s="107" t="n"/>
      <c r="R801" s="107" t="n"/>
      <c r="S801" s="107">
        <f>COUNTIFS(Setup!$E$6:$E$29,"Y",Setup!$B$6:$B$29,"?*")-SUMPRODUCT(COUNTIF(S777:S800,Setup!$F$33:$F$40))</f>
        <v/>
      </c>
      <c r="T801" s="107" t="n"/>
      <c r="U801" s="107" t="n"/>
      <c r="V801" s="107" t="n"/>
      <c r="W801" s="107">
        <f>COUNTIFS(Setup!$E$6:$E$29,"Y",Setup!$B$6:$B$29,"?*")-SUMPRODUCT(COUNTIF(W777:W800,Setup!$F$33:$F$40))</f>
        <v/>
      </c>
      <c r="X801" s="107" t="n"/>
      <c r="Y801" s="107">
        <f>COUNTIFS(Setup!$E$6:$E$29,"Y",Setup!$B$6:$B$29,"?*")-SUMPRODUCT(COUNTIF(Y777:Y800,Setup!$F$33:$F$40))</f>
        <v/>
      </c>
      <c r="Z801" s="107" t="n"/>
      <c r="AB801" s="108">
        <f>SUM(AB777:AB800)</f>
        <v/>
      </c>
      <c r="AC801" s="109">
        <f>SUM(AC777:AC800)</f>
        <v/>
      </c>
    </row>
    <row r="802" ht="30" customHeight="1">
      <c r="A802" t="n">
        <v>16</v>
      </c>
      <c r="B802" s="110" t="inlineStr">
        <is>
          <t>Week notes</t>
        </is>
      </c>
      <c r="C802" s="111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112" t="n"/>
      <c r="R802" s="112" t="n"/>
      <c r="S802" s="112" t="n"/>
      <c r="T802" s="112" t="n"/>
      <c r="U802" s="112" t="n"/>
      <c r="V802" s="112" t="n"/>
      <c r="W802" s="112" t="n"/>
      <c r="X802" s="112" t="n"/>
      <c r="Y802" s="112" t="n"/>
      <c r="Z802" s="113" t="n"/>
    </row>
    <row r="803" ht="8" customHeight="1">
      <c r="A803" t="n">
        <v>16</v>
      </c>
    </row>
    <row r="804" ht="8" customHeight="1">
      <c r="A804" t="n">
        <v>16</v>
      </c>
    </row>
    <row r="805" ht="24" customHeight="1">
      <c r="A805" t="n">
        <v>17</v>
      </c>
      <c r="B805" s="73">
        <f>"WEEK 17     "&amp;TEXT(C806,"ddd d mmm")&amp;"  –  "&amp;TEXT(C806+6,"ddd d mmm yyyy")</f>
        <v/>
      </c>
      <c r="S805" s="74">
        <f>IF(TODAY()&lt;C806,"FUTURE",IF(TODAY()&gt;C806+6,"PAST","THIS WEEK"))</f>
        <v/>
      </c>
      <c r="W805" s="75">
        <f>IF(AND(Engine!$B$8=$AC$3,Engine!$B$9=$A805),"◀ ACTIVE WEEK","")</f>
        <v/>
      </c>
      <c r="AA805" s="76" t="n"/>
      <c r="AB805" s="77" t="inlineStr">
        <is>
          <t>◀ Prev</t>
        </is>
      </c>
      <c r="AC805" s="77" t="inlineStr">
        <is>
          <t>Next ▶</t>
        </is>
      </c>
    </row>
    <row r="806" ht="18" customHeight="1">
      <c r="A806" t="n">
        <v>17</v>
      </c>
      <c r="B806" s="78" t="inlineStr">
        <is>
          <t>DUTY</t>
        </is>
      </c>
      <c r="C806" s="79">
        <f>$AC$2+7*($A806-1)</f>
        <v/>
      </c>
      <c r="D806" s="80" t="n"/>
      <c r="E806" s="80" t="n"/>
      <c r="F806" s="81" t="n"/>
      <c r="G806" s="79">
        <f>C806+1</f>
        <v/>
      </c>
      <c r="H806" s="80" t="n"/>
      <c r="I806" s="80" t="n"/>
      <c r="J806" s="81" t="n"/>
      <c r="K806" s="79">
        <f>C806+2</f>
        <v/>
      </c>
      <c r="L806" s="80" t="n"/>
      <c r="M806" s="80" t="n"/>
      <c r="N806" s="81" t="n"/>
      <c r="O806" s="79">
        <f>C806+3</f>
        <v/>
      </c>
      <c r="P806" s="80" t="n"/>
      <c r="Q806" s="80" t="n"/>
      <c r="R806" s="81" t="n"/>
      <c r="S806" s="79">
        <f>C806+4</f>
        <v/>
      </c>
      <c r="T806" s="80" t="n"/>
      <c r="U806" s="80" t="n"/>
      <c r="V806" s="81" t="n"/>
      <c r="W806" s="82">
        <f>C806+5</f>
        <v/>
      </c>
      <c r="X806" s="83" t="n"/>
      <c r="Y806" s="82">
        <f>C806+6</f>
        <v/>
      </c>
      <c r="Z806" s="83" t="n"/>
      <c r="AB806" s="72" t="inlineStr">
        <is>
          <t>Gaps</t>
        </is>
      </c>
      <c r="AC806" s="72" t="inlineStr">
        <is>
          <t>Cover</t>
        </is>
      </c>
    </row>
    <row r="807" ht="14" customHeight="1">
      <c r="A807" t="n">
        <v>17</v>
      </c>
      <c r="B807" s="84" t="inlineStr">
        <is>
          <t>(from Setup)</t>
        </is>
      </c>
      <c r="C807" s="85" t="inlineStr">
        <is>
          <t>1</t>
        </is>
      </c>
      <c r="D807" s="85" t="inlineStr">
        <is>
          <t>2</t>
        </is>
      </c>
      <c r="E807" s="85" t="inlineStr">
        <is>
          <t>3</t>
        </is>
      </c>
      <c r="F807" s="85" t="inlineStr">
        <is>
          <t>Notes</t>
        </is>
      </c>
      <c r="G807" s="85" t="inlineStr">
        <is>
          <t>1</t>
        </is>
      </c>
      <c r="H807" s="85" t="inlineStr">
        <is>
          <t>2</t>
        </is>
      </c>
      <c r="I807" s="85" t="inlineStr">
        <is>
          <t>3</t>
        </is>
      </c>
      <c r="J807" s="85" t="inlineStr">
        <is>
          <t>Notes</t>
        </is>
      </c>
      <c r="K807" s="85" t="inlineStr">
        <is>
          <t>1</t>
        </is>
      </c>
      <c r="L807" s="85" t="inlineStr">
        <is>
          <t>2</t>
        </is>
      </c>
      <c r="M807" s="85" t="inlineStr">
        <is>
          <t>3</t>
        </is>
      </c>
      <c r="N807" s="85" t="inlineStr">
        <is>
          <t>Notes</t>
        </is>
      </c>
      <c r="O807" s="85" t="inlineStr">
        <is>
          <t>1</t>
        </is>
      </c>
      <c r="P807" s="85" t="inlineStr">
        <is>
          <t>2</t>
        </is>
      </c>
      <c r="Q807" s="85" t="inlineStr">
        <is>
          <t>3</t>
        </is>
      </c>
      <c r="R807" s="85" t="inlineStr">
        <is>
          <t>Notes</t>
        </is>
      </c>
      <c r="S807" s="85" t="inlineStr">
        <is>
          <t>1</t>
        </is>
      </c>
      <c r="T807" s="85" t="inlineStr">
        <is>
          <t>2</t>
        </is>
      </c>
      <c r="U807" s="85" t="inlineStr">
        <is>
          <t>3</t>
        </is>
      </c>
      <c r="V807" s="85" t="inlineStr">
        <is>
          <t>Notes</t>
        </is>
      </c>
      <c r="W807" s="85" t="inlineStr">
        <is>
          <t>Cover</t>
        </is>
      </c>
      <c r="X807" s="85" t="inlineStr">
        <is>
          <t>Notes</t>
        </is>
      </c>
      <c r="Y807" s="85" t="inlineStr">
        <is>
          <t>Cover</t>
        </is>
      </c>
      <c r="Z807" s="85" t="inlineStr">
        <is>
          <t>Notes</t>
        </is>
      </c>
      <c r="AB807" s="86" t="inlineStr">
        <is>
          <t>weekdays short</t>
        </is>
      </c>
      <c r="AC807" s="87" t="inlineStr"/>
    </row>
    <row r="808" ht="17" customHeight="1">
      <c r="A808" t="n">
        <v>17</v>
      </c>
      <c r="B808" s="24">
        <f>IF(Setup!$K$6="","",Setup!$K$6)</f>
        <v/>
      </c>
      <c r="C808" s="88" t="n"/>
      <c r="D808" s="88" t="n"/>
      <c r="E808" s="88" t="n"/>
      <c r="F808" s="89" t="n"/>
      <c r="G808" s="88" t="n"/>
      <c r="H808" s="88" t="n"/>
      <c r="I808" s="88" t="n"/>
      <c r="J808" s="89" t="n"/>
      <c r="K808" s="88" t="n"/>
      <c r="L808" s="88" t="n"/>
      <c r="M808" s="88" t="n"/>
      <c r="N808" s="89" t="n"/>
      <c r="O808" s="88" t="n"/>
      <c r="P808" s="88" t="n"/>
      <c r="Q808" s="88" t="n"/>
      <c r="R808" s="89" t="n"/>
      <c r="S808" s="88" t="n"/>
      <c r="T808" s="88" t="n"/>
      <c r="U808" s="88" t="n"/>
      <c r="V808" s="89" t="n"/>
      <c r="W808" s="88" t="n"/>
      <c r="X808" s="89" t="n"/>
      <c r="Y808" s="88" t="n"/>
      <c r="Z808" s="89" t="n"/>
      <c r="AB808" s="25">
        <f>IF($B808="","",(COUNTIF(C808:E808,"?*")&lt;N(INDEX(Setup!$L$6:$L$23,1)))+(COUNTIF(G808:I808,"?*")&lt;N(INDEX(Setup!$L$6:$L$23,1)))+(COUNTIF(K808:M808,"?*")&lt;N(INDEX(Setup!$L$6:$L$23,1)))+(COUNTIF(O808:Q808,"?*")&lt;N(INDEX(Setup!$L$6:$L$23,1)))+(COUNTIF(S808:U808,"?*")&lt;N(INDEX(Setup!$L$6:$L$23,1)))+((W808="")*(INDEX(Setup!$M$6:$M$23,1)="Y"))+((Y808="")*(INDEX(Setup!$M$6:$M$23,1)="Y")))</f>
        <v/>
      </c>
      <c r="AC808" s="90">
        <f>IF($B808="","",IF(AB808=0,"✓ covered","⚠ "&amp;AB808&amp;IF(AB808=1," gap"," gaps")))</f>
        <v/>
      </c>
    </row>
    <row r="809" ht="17" customHeight="1">
      <c r="A809" t="n">
        <v>17</v>
      </c>
      <c r="B809" s="29">
        <f>IF(Setup!$K$7="","",Setup!$K$7)</f>
        <v/>
      </c>
      <c r="C809" s="88" t="n"/>
      <c r="D809" s="88" t="n"/>
      <c r="E809" s="88" t="n"/>
      <c r="F809" s="89" t="n"/>
      <c r="G809" s="88" t="n"/>
      <c r="H809" s="88" t="n"/>
      <c r="I809" s="88" t="n"/>
      <c r="J809" s="89" t="n"/>
      <c r="K809" s="88" t="n"/>
      <c r="L809" s="88" t="n"/>
      <c r="M809" s="88" t="n"/>
      <c r="N809" s="89" t="n"/>
      <c r="O809" s="88" t="n"/>
      <c r="P809" s="88" t="n"/>
      <c r="Q809" s="88" t="n"/>
      <c r="R809" s="89" t="n"/>
      <c r="S809" s="88" t="n"/>
      <c r="T809" s="88" t="n"/>
      <c r="U809" s="88" t="n"/>
      <c r="V809" s="89" t="n"/>
      <c r="W809" s="88" t="n"/>
      <c r="X809" s="89" t="n"/>
      <c r="Y809" s="88" t="n"/>
      <c r="Z809" s="89" t="n"/>
      <c r="AB809" s="30">
        <f>IF($B809="","",(COUNTIF(C809:E809,"?*")&lt;N(INDEX(Setup!$L$6:$L$23,2)))+(COUNTIF(G809:I809,"?*")&lt;N(INDEX(Setup!$L$6:$L$23,2)))+(COUNTIF(K809:M809,"?*")&lt;N(INDEX(Setup!$L$6:$L$23,2)))+(COUNTIF(O809:Q809,"?*")&lt;N(INDEX(Setup!$L$6:$L$23,2)))+(COUNTIF(S809:U809,"?*")&lt;N(INDEX(Setup!$L$6:$L$23,2)))+((W809="")*(INDEX(Setup!$M$6:$M$23,2)="Y"))+((Y809="")*(INDEX(Setup!$M$6:$M$23,2)="Y")))</f>
        <v/>
      </c>
      <c r="AC809" s="91">
        <f>IF($B809="","",IF(AB809=0,"✓ covered","⚠ "&amp;AB809&amp;IF(AB809=1," gap"," gaps")))</f>
        <v/>
      </c>
    </row>
    <row r="810" ht="17" customHeight="1">
      <c r="A810" t="n">
        <v>17</v>
      </c>
      <c r="B810" s="24">
        <f>IF(Setup!$K$8="","",Setup!$K$8)</f>
        <v/>
      </c>
      <c r="C810" s="88" t="n"/>
      <c r="D810" s="88" t="n"/>
      <c r="E810" s="88" t="n"/>
      <c r="F810" s="89" t="n"/>
      <c r="G810" s="88" t="n"/>
      <c r="H810" s="88" t="n"/>
      <c r="I810" s="88" t="n"/>
      <c r="J810" s="89" t="n"/>
      <c r="K810" s="88" t="n"/>
      <c r="L810" s="88" t="n"/>
      <c r="M810" s="88" t="n"/>
      <c r="N810" s="89" t="n"/>
      <c r="O810" s="88" t="n"/>
      <c r="P810" s="88" t="n"/>
      <c r="Q810" s="88" t="n"/>
      <c r="R810" s="89" t="n"/>
      <c r="S810" s="88" t="n"/>
      <c r="T810" s="88" t="n"/>
      <c r="U810" s="88" t="n"/>
      <c r="V810" s="89" t="n"/>
      <c r="W810" s="88" t="n"/>
      <c r="X810" s="89" t="n"/>
      <c r="Y810" s="88" t="n"/>
      <c r="Z810" s="89" t="n"/>
      <c r="AB810" s="25">
        <f>IF($B810="","",(COUNTIF(C810:E810,"?*")&lt;N(INDEX(Setup!$L$6:$L$23,3)))+(COUNTIF(G810:I810,"?*")&lt;N(INDEX(Setup!$L$6:$L$23,3)))+(COUNTIF(K810:M810,"?*")&lt;N(INDEX(Setup!$L$6:$L$23,3)))+(COUNTIF(O810:Q810,"?*")&lt;N(INDEX(Setup!$L$6:$L$23,3)))+(COUNTIF(S810:U810,"?*")&lt;N(INDEX(Setup!$L$6:$L$23,3)))+((W810="")*(INDEX(Setup!$M$6:$M$23,3)="Y"))+((Y810="")*(INDEX(Setup!$M$6:$M$23,3)="Y")))</f>
        <v/>
      </c>
      <c r="AC810" s="90">
        <f>IF($B810="","",IF(AB810=0,"✓ covered","⚠ "&amp;AB810&amp;IF(AB810=1," gap"," gaps")))</f>
        <v/>
      </c>
    </row>
    <row r="811" ht="17" customHeight="1">
      <c r="A811" t="n">
        <v>17</v>
      </c>
      <c r="B811" s="29">
        <f>IF(Setup!$K$9="","",Setup!$K$9)</f>
        <v/>
      </c>
      <c r="C811" s="88" t="n"/>
      <c r="D811" s="88" t="n"/>
      <c r="E811" s="88" t="n"/>
      <c r="F811" s="89" t="n"/>
      <c r="G811" s="88" t="n"/>
      <c r="H811" s="88" t="n"/>
      <c r="I811" s="88" t="n"/>
      <c r="J811" s="89" t="n"/>
      <c r="K811" s="88" t="n"/>
      <c r="L811" s="88" t="n"/>
      <c r="M811" s="88" t="n"/>
      <c r="N811" s="89" t="n"/>
      <c r="O811" s="88" t="n"/>
      <c r="P811" s="88" t="n"/>
      <c r="Q811" s="88" t="n"/>
      <c r="R811" s="89" t="n"/>
      <c r="S811" s="88" t="n"/>
      <c r="T811" s="88" t="n"/>
      <c r="U811" s="88" t="n"/>
      <c r="V811" s="89" t="n"/>
      <c r="W811" s="88" t="n"/>
      <c r="X811" s="89" t="n"/>
      <c r="Y811" s="88" t="n"/>
      <c r="Z811" s="89" t="n"/>
      <c r="AB811" s="30">
        <f>IF($B811="","",(COUNTIF(C811:E811,"?*")&lt;N(INDEX(Setup!$L$6:$L$23,4)))+(COUNTIF(G811:I811,"?*")&lt;N(INDEX(Setup!$L$6:$L$23,4)))+(COUNTIF(K811:M811,"?*")&lt;N(INDEX(Setup!$L$6:$L$23,4)))+(COUNTIF(O811:Q811,"?*")&lt;N(INDEX(Setup!$L$6:$L$23,4)))+(COUNTIF(S811:U811,"?*")&lt;N(INDEX(Setup!$L$6:$L$23,4)))+((W811="")*(INDEX(Setup!$M$6:$M$23,4)="Y"))+((Y811="")*(INDEX(Setup!$M$6:$M$23,4)="Y")))</f>
        <v/>
      </c>
      <c r="AC811" s="91">
        <f>IF($B811="","",IF(AB811=0,"✓ covered","⚠ "&amp;AB811&amp;IF(AB811=1," gap"," gaps")))</f>
        <v/>
      </c>
    </row>
    <row r="812" ht="17" customHeight="1">
      <c r="A812" t="n">
        <v>17</v>
      </c>
      <c r="B812" s="24">
        <f>IF(Setup!$K$10="","",Setup!$K$10)</f>
        <v/>
      </c>
      <c r="C812" s="88" t="n"/>
      <c r="D812" s="88" t="n"/>
      <c r="E812" s="88" t="n"/>
      <c r="F812" s="89" t="n"/>
      <c r="G812" s="88" t="n"/>
      <c r="H812" s="88" t="n"/>
      <c r="I812" s="88" t="n"/>
      <c r="J812" s="89" t="n"/>
      <c r="K812" s="88" t="n"/>
      <c r="L812" s="88" t="n"/>
      <c r="M812" s="88" t="n"/>
      <c r="N812" s="89" t="n"/>
      <c r="O812" s="88" t="n"/>
      <c r="P812" s="88" t="n"/>
      <c r="Q812" s="88" t="n"/>
      <c r="R812" s="89" t="n"/>
      <c r="S812" s="88" t="n"/>
      <c r="T812" s="88" t="n"/>
      <c r="U812" s="88" t="n"/>
      <c r="V812" s="89" t="n"/>
      <c r="W812" s="88" t="n"/>
      <c r="X812" s="89" t="n"/>
      <c r="Y812" s="88" t="n"/>
      <c r="Z812" s="89" t="n"/>
      <c r="AB812" s="25">
        <f>IF($B812="","",(COUNTIF(C812:E812,"?*")&lt;N(INDEX(Setup!$L$6:$L$23,5)))+(COUNTIF(G812:I812,"?*")&lt;N(INDEX(Setup!$L$6:$L$23,5)))+(COUNTIF(K812:M812,"?*")&lt;N(INDEX(Setup!$L$6:$L$23,5)))+(COUNTIF(O812:Q812,"?*")&lt;N(INDEX(Setup!$L$6:$L$23,5)))+(COUNTIF(S812:U812,"?*")&lt;N(INDEX(Setup!$L$6:$L$23,5)))+((W812="")*(INDEX(Setup!$M$6:$M$23,5)="Y"))+((Y812="")*(INDEX(Setup!$M$6:$M$23,5)="Y")))</f>
        <v/>
      </c>
      <c r="AC812" s="90">
        <f>IF($B812="","",IF(AB812=0,"✓ covered","⚠ "&amp;AB812&amp;IF(AB812=1," gap"," gaps")))</f>
        <v/>
      </c>
    </row>
    <row r="813" ht="17" customHeight="1">
      <c r="A813" t="n">
        <v>17</v>
      </c>
      <c r="B813" s="29">
        <f>IF(Setup!$K$11="","",Setup!$K$11)</f>
        <v/>
      </c>
      <c r="C813" s="88" t="n"/>
      <c r="D813" s="88" t="n"/>
      <c r="E813" s="88" t="n"/>
      <c r="F813" s="89" t="n"/>
      <c r="G813" s="88" t="n"/>
      <c r="H813" s="88" t="n"/>
      <c r="I813" s="88" t="n"/>
      <c r="J813" s="89" t="n"/>
      <c r="K813" s="88" t="n"/>
      <c r="L813" s="88" t="n"/>
      <c r="M813" s="88" t="n"/>
      <c r="N813" s="89" t="n"/>
      <c r="O813" s="88" t="n"/>
      <c r="P813" s="88" t="n"/>
      <c r="Q813" s="88" t="n"/>
      <c r="R813" s="89" t="n"/>
      <c r="S813" s="88" t="n"/>
      <c r="T813" s="88" t="n"/>
      <c r="U813" s="88" t="n"/>
      <c r="V813" s="89" t="n"/>
      <c r="W813" s="88" t="n"/>
      <c r="X813" s="89" t="n"/>
      <c r="Y813" s="88" t="n"/>
      <c r="Z813" s="89" t="n"/>
      <c r="AB813" s="30">
        <f>IF($B813="","",(COUNTIF(C813:E813,"?*")&lt;N(INDEX(Setup!$L$6:$L$23,6)))+(COUNTIF(G813:I813,"?*")&lt;N(INDEX(Setup!$L$6:$L$23,6)))+(COUNTIF(K813:M813,"?*")&lt;N(INDEX(Setup!$L$6:$L$23,6)))+(COUNTIF(O813:Q813,"?*")&lt;N(INDEX(Setup!$L$6:$L$23,6)))+(COUNTIF(S813:U813,"?*")&lt;N(INDEX(Setup!$L$6:$L$23,6)))+((W813="")*(INDEX(Setup!$M$6:$M$23,6)="Y"))+((Y813="")*(INDEX(Setup!$M$6:$M$23,6)="Y")))</f>
        <v/>
      </c>
      <c r="AC813" s="91">
        <f>IF($B813="","",IF(AB813=0,"✓ covered","⚠ "&amp;AB813&amp;IF(AB813=1," gap"," gaps")))</f>
        <v/>
      </c>
    </row>
    <row r="814" ht="17" customHeight="1">
      <c r="A814" t="n">
        <v>17</v>
      </c>
      <c r="B814" s="24">
        <f>IF(Setup!$K$12="","",Setup!$K$12)</f>
        <v/>
      </c>
      <c r="C814" s="88" t="n"/>
      <c r="D814" s="88" t="n"/>
      <c r="E814" s="88" t="n"/>
      <c r="F814" s="89" t="n"/>
      <c r="G814" s="88" t="n"/>
      <c r="H814" s="88" t="n"/>
      <c r="I814" s="88" t="n"/>
      <c r="J814" s="89" t="n"/>
      <c r="K814" s="88" t="n"/>
      <c r="L814" s="88" t="n"/>
      <c r="M814" s="88" t="n"/>
      <c r="N814" s="89" t="n"/>
      <c r="O814" s="88" t="n"/>
      <c r="P814" s="88" t="n"/>
      <c r="Q814" s="88" t="n"/>
      <c r="R814" s="89" t="n"/>
      <c r="S814" s="88" t="n"/>
      <c r="T814" s="88" t="n"/>
      <c r="U814" s="88" t="n"/>
      <c r="V814" s="89" t="n"/>
      <c r="W814" s="88" t="n"/>
      <c r="X814" s="89" t="n"/>
      <c r="Y814" s="88" t="n"/>
      <c r="Z814" s="89" t="n"/>
      <c r="AB814" s="25">
        <f>IF($B814="","",(COUNTIF(C814:E814,"?*")&lt;N(INDEX(Setup!$L$6:$L$23,7)))+(COUNTIF(G814:I814,"?*")&lt;N(INDEX(Setup!$L$6:$L$23,7)))+(COUNTIF(K814:M814,"?*")&lt;N(INDEX(Setup!$L$6:$L$23,7)))+(COUNTIF(O814:Q814,"?*")&lt;N(INDEX(Setup!$L$6:$L$23,7)))+(COUNTIF(S814:U814,"?*")&lt;N(INDEX(Setup!$L$6:$L$23,7)))+((W814="")*(INDEX(Setup!$M$6:$M$23,7)="Y"))+((Y814="")*(INDEX(Setup!$M$6:$M$23,7)="Y")))</f>
        <v/>
      </c>
      <c r="AC814" s="90">
        <f>IF($B814="","",IF(AB814=0,"✓ covered","⚠ "&amp;AB814&amp;IF(AB814=1," gap"," gaps")))</f>
        <v/>
      </c>
    </row>
    <row r="815" ht="17" customHeight="1">
      <c r="A815" t="n">
        <v>17</v>
      </c>
      <c r="B815" s="29">
        <f>IF(Setup!$K$13="","",Setup!$K$13)</f>
        <v/>
      </c>
      <c r="C815" s="88" t="n"/>
      <c r="D815" s="88" t="n"/>
      <c r="E815" s="88" t="n"/>
      <c r="F815" s="89" t="n"/>
      <c r="G815" s="88" t="n"/>
      <c r="H815" s="88" t="n"/>
      <c r="I815" s="88" t="n"/>
      <c r="J815" s="89" t="n"/>
      <c r="K815" s="88" t="n"/>
      <c r="L815" s="88" t="n"/>
      <c r="M815" s="88" t="n"/>
      <c r="N815" s="89" t="n"/>
      <c r="O815" s="88" t="n"/>
      <c r="P815" s="88" t="n"/>
      <c r="Q815" s="88" t="n"/>
      <c r="R815" s="89" t="n"/>
      <c r="S815" s="88" t="n"/>
      <c r="T815" s="88" t="n"/>
      <c r="U815" s="88" t="n"/>
      <c r="V815" s="89" t="n"/>
      <c r="W815" s="88" t="n"/>
      <c r="X815" s="89" t="n"/>
      <c r="Y815" s="88" t="n"/>
      <c r="Z815" s="89" t="n"/>
      <c r="AB815" s="30">
        <f>IF($B815="","",(COUNTIF(C815:E815,"?*")&lt;N(INDEX(Setup!$L$6:$L$23,8)))+(COUNTIF(G815:I815,"?*")&lt;N(INDEX(Setup!$L$6:$L$23,8)))+(COUNTIF(K815:M815,"?*")&lt;N(INDEX(Setup!$L$6:$L$23,8)))+(COUNTIF(O815:Q815,"?*")&lt;N(INDEX(Setup!$L$6:$L$23,8)))+(COUNTIF(S815:U815,"?*")&lt;N(INDEX(Setup!$L$6:$L$23,8)))+((W815="")*(INDEX(Setup!$M$6:$M$23,8)="Y"))+((Y815="")*(INDEX(Setup!$M$6:$M$23,8)="Y")))</f>
        <v/>
      </c>
      <c r="AC815" s="91">
        <f>IF($B815="","",IF(AB815=0,"✓ covered","⚠ "&amp;AB815&amp;IF(AB815=1," gap"," gaps")))</f>
        <v/>
      </c>
    </row>
    <row r="816" ht="17" customHeight="1">
      <c r="A816" t="n">
        <v>17</v>
      </c>
      <c r="B816" s="24">
        <f>IF(Setup!$K$14="","",Setup!$K$14)</f>
        <v/>
      </c>
      <c r="C816" s="88" t="n"/>
      <c r="D816" s="88" t="n"/>
      <c r="E816" s="88" t="n"/>
      <c r="F816" s="89" t="n"/>
      <c r="G816" s="88" t="n"/>
      <c r="H816" s="88" t="n"/>
      <c r="I816" s="88" t="n"/>
      <c r="J816" s="89" t="n"/>
      <c r="K816" s="88" t="n"/>
      <c r="L816" s="88" t="n"/>
      <c r="M816" s="88" t="n"/>
      <c r="N816" s="89" t="n"/>
      <c r="O816" s="88" t="n"/>
      <c r="P816" s="88" t="n"/>
      <c r="Q816" s="88" t="n"/>
      <c r="R816" s="89" t="n"/>
      <c r="S816" s="88" t="n"/>
      <c r="T816" s="88" t="n"/>
      <c r="U816" s="88" t="n"/>
      <c r="V816" s="89" t="n"/>
      <c r="W816" s="88" t="n"/>
      <c r="X816" s="89" t="n"/>
      <c r="Y816" s="88" t="n"/>
      <c r="Z816" s="89" t="n"/>
      <c r="AB816" s="25">
        <f>IF($B816="","",(COUNTIF(C816:E816,"?*")&lt;N(INDEX(Setup!$L$6:$L$23,9)))+(COUNTIF(G816:I816,"?*")&lt;N(INDEX(Setup!$L$6:$L$23,9)))+(COUNTIF(K816:M816,"?*")&lt;N(INDEX(Setup!$L$6:$L$23,9)))+(COUNTIF(O816:Q816,"?*")&lt;N(INDEX(Setup!$L$6:$L$23,9)))+(COUNTIF(S816:U816,"?*")&lt;N(INDEX(Setup!$L$6:$L$23,9)))+((W816="")*(INDEX(Setup!$M$6:$M$23,9)="Y"))+((Y816="")*(INDEX(Setup!$M$6:$M$23,9)="Y")))</f>
        <v/>
      </c>
      <c r="AC816" s="90">
        <f>IF($B816="","",IF(AB816=0,"✓ covered","⚠ "&amp;AB816&amp;IF(AB816=1," gap"," gaps")))</f>
        <v/>
      </c>
    </row>
    <row r="817" ht="17" customHeight="1">
      <c r="A817" t="n">
        <v>17</v>
      </c>
      <c r="B817" s="29">
        <f>IF(Setup!$K$15="","",Setup!$K$15)</f>
        <v/>
      </c>
      <c r="C817" s="88" t="n"/>
      <c r="D817" s="88" t="n"/>
      <c r="E817" s="88" t="n"/>
      <c r="F817" s="89" t="n"/>
      <c r="G817" s="88" t="n"/>
      <c r="H817" s="88" t="n"/>
      <c r="I817" s="88" t="n"/>
      <c r="J817" s="89" t="n"/>
      <c r="K817" s="88" t="n"/>
      <c r="L817" s="88" t="n"/>
      <c r="M817" s="88" t="n"/>
      <c r="N817" s="89" t="n"/>
      <c r="O817" s="88" t="n"/>
      <c r="P817" s="88" t="n"/>
      <c r="Q817" s="88" t="n"/>
      <c r="R817" s="89" t="n"/>
      <c r="S817" s="88" t="n"/>
      <c r="T817" s="88" t="n"/>
      <c r="U817" s="88" t="n"/>
      <c r="V817" s="89" t="n"/>
      <c r="W817" s="88" t="n"/>
      <c r="X817" s="89" t="n"/>
      <c r="Y817" s="88" t="n"/>
      <c r="Z817" s="89" t="n"/>
      <c r="AB817" s="30">
        <f>IF($B817="","",(COUNTIF(C817:E817,"?*")&lt;N(INDEX(Setup!$L$6:$L$23,10)))+(COUNTIF(G817:I817,"?*")&lt;N(INDEX(Setup!$L$6:$L$23,10)))+(COUNTIF(K817:M817,"?*")&lt;N(INDEX(Setup!$L$6:$L$23,10)))+(COUNTIF(O817:Q817,"?*")&lt;N(INDEX(Setup!$L$6:$L$23,10)))+(COUNTIF(S817:U817,"?*")&lt;N(INDEX(Setup!$L$6:$L$23,10)))+((W817="")*(INDEX(Setup!$M$6:$M$23,10)="Y"))+((Y817="")*(INDEX(Setup!$M$6:$M$23,10)="Y")))</f>
        <v/>
      </c>
      <c r="AC817" s="91">
        <f>IF($B817="","",IF(AB817=0,"✓ covered","⚠ "&amp;AB817&amp;IF(AB817=1," gap"," gaps")))</f>
        <v/>
      </c>
    </row>
    <row r="818" ht="17" customHeight="1">
      <c r="A818" t="n">
        <v>17</v>
      </c>
      <c r="B818" s="24">
        <f>IF(Setup!$K$16="","",Setup!$K$16)</f>
        <v/>
      </c>
      <c r="C818" s="88" t="n"/>
      <c r="D818" s="88" t="n"/>
      <c r="E818" s="88" t="n"/>
      <c r="F818" s="89" t="n"/>
      <c r="G818" s="88" t="n"/>
      <c r="H818" s="88" t="n"/>
      <c r="I818" s="88" t="n"/>
      <c r="J818" s="89" t="n"/>
      <c r="K818" s="88" t="n"/>
      <c r="L818" s="88" t="n"/>
      <c r="M818" s="88" t="n"/>
      <c r="N818" s="89" t="n"/>
      <c r="O818" s="88" t="n"/>
      <c r="P818" s="88" t="n"/>
      <c r="Q818" s="88" t="n"/>
      <c r="R818" s="89" t="n"/>
      <c r="S818" s="88" t="n"/>
      <c r="T818" s="88" t="n"/>
      <c r="U818" s="88" t="n"/>
      <c r="V818" s="89" t="n"/>
      <c r="W818" s="88" t="n"/>
      <c r="X818" s="89" t="n"/>
      <c r="Y818" s="88" t="n"/>
      <c r="Z818" s="89" t="n"/>
      <c r="AB818" s="25">
        <f>IF($B818="","",(COUNTIF(C818:E818,"?*")&lt;N(INDEX(Setup!$L$6:$L$23,11)))+(COUNTIF(G818:I818,"?*")&lt;N(INDEX(Setup!$L$6:$L$23,11)))+(COUNTIF(K818:M818,"?*")&lt;N(INDEX(Setup!$L$6:$L$23,11)))+(COUNTIF(O818:Q818,"?*")&lt;N(INDEX(Setup!$L$6:$L$23,11)))+(COUNTIF(S818:U818,"?*")&lt;N(INDEX(Setup!$L$6:$L$23,11)))+((W818="")*(INDEX(Setup!$M$6:$M$23,11)="Y"))+((Y818="")*(INDEX(Setup!$M$6:$M$23,11)="Y")))</f>
        <v/>
      </c>
      <c r="AC818" s="90">
        <f>IF($B818="","",IF(AB818=0,"✓ covered","⚠ "&amp;AB818&amp;IF(AB818=1," gap"," gaps")))</f>
        <v/>
      </c>
    </row>
    <row r="819" ht="17" customHeight="1">
      <c r="A819" t="n">
        <v>17</v>
      </c>
      <c r="B819" s="29">
        <f>IF(Setup!$K$17="","",Setup!$K$17)</f>
        <v/>
      </c>
      <c r="C819" s="88" t="n"/>
      <c r="D819" s="88" t="n"/>
      <c r="E819" s="88" t="n"/>
      <c r="F819" s="89" t="n"/>
      <c r="G819" s="88" t="n"/>
      <c r="H819" s="88" t="n"/>
      <c r="I819" s="88" t="n"/>
      <c r="J819" s="89" t="n"/>
      <c r="K819" s="88" t="n"/>
      <c r="L819" s="88" t="n"/>
      <c r="M819" s="88" t="n"/>
      <c r="N819" s="89" t="n"/>
      <c r="O819" s="88" t="n"/>
      <c r="P819" s="88" t="n"/>
      <c r="Q819" s="88" t="n"/>
      <c r="R819" s="89" t="n"/>
      <c r="S819" s="88" t="n"/>
      <c r="T819" s="88" t="n"/>
      <c r="U819" s="88" t="n"/>
      <c r="V819" s="89" t="n"/>
      <c r="W819" s="88" t="n"/>
      <c r="X819" s="89" t="n"/>
      <c r="Y819" s="88" t="n"/>
      <c r="Z819" s="89" t="n"/>
      <c r="AB819" s="30">
        <f>IF($B819="","",(COUNTIF(C819:E819,"?*")&lt;N(INDEX(Setup!$L$6:$L$23,12)))+(COUNTIF(G819:I819,"?*")&lt;N(INDEX(Setup!$L$6:$L$23,12)))+(COUNTIF(K819:M819,"?*")&lt;N(INDEX(Setup!$L$6:$L$23,12)))+(COUNTIF(O819:Q819,"?*")&lt;N(INDEX(Setup!$L$6:$L$23,12)))+(COUNTIF(S819:U819,"?*")&lt;N(INDEX(Setup!$L$6:$L$23,12)))+((W819="")*(INDEX(Setup!$M$6:$M$23,12)="Y"))+((Y819="")*(INDEX(Setup!$M$6:$M$23,12)="Y")))</f>
        <v/>
      </c>
      <c r="AC819" s="91">
        <f>IF($B819="","",IF(AB819=0,"✓ covered","⚠ "&amp;AB819&amp;IF(AB819=1," gap"," gaps")))</f>
        <v/>
      </c>
    </row>
    <row r="820" ht="17" customHeight="1">
      <c r="A820" t="n">
        <v>17</v>
      </c>
      <c r="B820" s="24">
        <f>IF(Setup!$K$18="","",Setup!$K$18)</f>
        <v/>
      </c>
      <c r="C820" s="88" t="n"/>
      <c r="D820" s="88" t="n"/>
      <c r="E820" s="88" t="n"/>
      <c r="F820" s="89" t="n"/>
      <c r="G820" s="88" t="n"/>
      <c r="H820" s="88" t="n"/>
      <c r="I820" s="88" t="n"/>
      <c r="J820" s="89" t="n"/>
      <c r="K820" s="88" t="n"/>
      <c r="L820" s="88" t="n"/>
      <c r="M820" s="88" t="n"/>
      <c r="N820" s="89" t="n"/>
      <c r="O820" s="88" t="n"/>
      <c r="P820" s="88" t="n"/>
      <c r="Q820" s="88" t="n"/>
      <c r="R820" s="89" t="n"/>
      <c r="S820" s="88" t="n"/>
      <c r="T820" s="88" t="n"/>
      <c r="U820" s="88" t="n"/>
      <c r="V820" s="89" t="n"/>
      <c r="W820" s="88" t="n"/>
      <c r="X820" s="89" t="n"/>
      <c r="Y820" s="88" t="n"/>
      <c r="Z820" s="89" t="n"/>
      <c r="AB820" s="25">
        <f>IF($B820="","",(COUNTIF(C820:E820,"?*")&lt;N(INDEX(Setup!$L$6:$L$23,13)))+(COUNTIF(G820:I820,"?*")&lt;N(INDEX(Setup!$L$6:$L$23,13)))+(COUNTIF(K820:M820,"?*")&lt;N(INDEX(Setup!$L$6:$L$23,13)))+(COUNTIF(O820:Q820,"?*")&lt;N(INDEX(Setup!$L$6:$L$23,13)))+(COUNTIF(S820:U820,"?*")&lt;N(INDEX(Setup!$L$6:$L$23,13)))+((W820="")*(INDEX(Setup!$M$6:$M$23,13)="Y"))+((Y820="")*(INDEX(Setup!$M$6:$M$23,13)="Y")))</f>
        <v/>
      </c>
      <c r="AC820" s="90">
        <f>IF($B820="","",IF(AB820=0,"✓ covered","⚠ "&amp;AB820&amp;IF(AB820=1," gap"," gaps")))</f>
        <v/>
      </c>
    </row>
    <row r="821" ht="17" customHeight="1">
      <c r="A821" t="n">
        <v>17</v>
      </c>
      <c r="B821" s="29">
        <f>IF(Setup!$K$19="","",Setup!$K$19)</f>
        <v/>
      </c>
      <c r="C821" s="88" t="n"/>
      <c r="D821" s="88" t="n"/>
      <c r="E821" s="88" t="n"/>
      <c r="F821" s="89" t="n"/>
      <c r="G821" s="88" t="n"/>
      <c r="H821" s="88" t="n"/>
      <c r="I821" s="88" t="n"/>
      <c r="J821" s="89" t="n"/>
      <c r="K821" s="88" t="n"/>
      <c r="L821" s="88" t="n"/>
      <c r="M821" s="88" t="n"/>
      <c r="N821" s="89" t="n"/>
      <c r="O821" s="88" t="n"/>
      <c r="P821" s="88" t="n"/>
      <c r="Q821" s="88" t="n"/>
      <c r="R821" s="89" t="n"/>
      <c r="S821" s="88" t="n"/>
      <c r="T821" s="88" t="n"/>
      <c r="U821" s="88" t="n"/>
      <c r="V821" s="89" t="n"/>
      <c r="W821" s="88" t="n"/>
      <c r="X821" s="89" t="n"/>
      <c r="Y821" s="88" t="n"/>
      <c r="Z821" s="89" t="n"/>
      <c r="AB821" s="30">
        <f>IF($B821="","",(COUNTIF(C821:E821,"?*")&lt;N(INDEX(Setup!$L$6:$L$23,14)))+(COUNTIF(G821:I821,"?*")&lt;N(INDEX(Setup!$L$6:$L$23,14)))+(COUNTIF(K821:M821,"?*")&lt;N(INDEX(Setup!$L$6:$L$23,14)))+(COUNTIF(O821:Q821,"?*")&lt;N(INDEX(Setup!$L$6:$L$23,14)))+(COUNTIF(S821:U821,"?*")&lt;N(INDEX(Setup!$L$6:$L$23,14)))+((W821="")*(INDEX(Setup!$M$6:$M$23,14)="Y"))+((Y821="")*(INDEX(Setup!$M$6:$M$23,14)="Y")))</f>
        <v/>
      </c>
      <c r="AC821" s="91">
        <f>IF($B821="","",IF(AB821=0,"✓ covered","⚠ "&amp;AB821&amp;IF(AB821=1," gap"," gaps")))</f>
        <v/>
      </c>
    </row>
    <row r="822" ht="17" customHeight="1">
      <c r="A822" t="n">
        <v>17</v>
      </c>
      <c r="B822" s="24">
        <f>IF(Setup!$K$20="","",Setup!$K$20)</f>
        <v/>
      </c>
      <c r="C822" s="88" t="n"/>
      <c r="D822" s="88" t="n"/>
      <c r="E822" s="88" t="n"/>
      <c r="F822" s="89" t="n"/>
      <c r="G822" s="88" t="n"/>
      <c r="H822" s="88" t="n"/>
      <c r="I822" s="88" t="n"/>
      <c r="J822" s="89" t="n"/>
      <c r="K822" s="88" t="n"/>
      <c r="L822" s="88" t="n"/>
      <c r="M822" s="88" t="n"/>
      <c r="N822" s="89" t="n"/>
      <c r="O822" s="88" t="n"/>
      <c r="P822" s="88" t="n"/>
      <c r="Q822" s="88" t="n"/>
      <c r="R822" s="89" t="n"/>
      <c r="S822" s="88" t="n"/>
      <c r="T822" s="88" t="n"/>
      <c r="U822" s="88" t="n"/>
      <c r="V822" s="89" t="n"/>
      <c r="W822" s="88" t="n"/>
      <c r="X822" s="89" t="n"/>
      <c r="Y822" s="88" t="n"/>
      <c r="Z822" s="89" t="n"/>
      <c r="AB822" s="25">
        <f>IF($B822="","",(COUNTIF(C822:E822,"?*")&lt;N(INDEX(Setup!$L$6:$L$23,15)))+(COUNTIF(G822:I822,"?*")&lt;N(INDEX(Setup!$L$6:$L$23,15)))+(COUNTIF(K822:M822,"?*")&lt;N(INDEX(Setup!$L$6:$L$23,15)))+(COUNTIF(O822:Q822,"?*")&lt;N(INDEX(Setup!$L$6:$L$23,15)))+(COUNTIF(S822:U822,"?*")&lt;N(INDEX(Setup!$L$6:$L$23,15)))+((W822="")*(INDEX(Setup!$M$6:$M$23,15)="Y"))+((Y822="")*(INDEX(Setup!$M$6:$M$23,15)="Y")))</f>
        <v/>
      </c>
      <c r="AC822" s="90">
        <f>IF($B822="","",IF(AB822=0,"✓ covered","⚠ "&amp;AB822&amp;IF(AB822=1," gap"," gaps")))</f>
        <v/>
      </c>
    </row>
    <row r="823" ht="17" customHeight="1">
      <c r="A823" t="n">
        <v>17</v>
      </c>
      <c r="B823" s="29">
        <f>IF(Setup!$K$21="","",Setup!$K$21)</f>
        <v/>
      </c>
      <c r="C823" s="88" t="n"/>
      <c r="D823" s="88" t="n"/>
      <c r="E823" s="88" t="n"/>
      <c r="F823" s="89" t="n"/>
      <c r="G823" s="88" t="n"/>
      <c r="H823" s="88" t="n"/>
      <c r="I823" s="88" t="n"/>
      <c r="J823" s="89" t="n"/>
      <c r="K823" s="88" t="n"/>
      <c r="L823" s="88" t="n"/>
      <c r="M823" s="88" t="n"/>
      <c r="N823" s="89" t="n"/>
      <c r="O823" s="88" t="n"/>
      <c r="P823" s="88" t="n"/>
      <c r="Q823" s="88" t="n"/>
      <c r="R823" s="89" t="n"/>
      <c r="S823" s="88" t="n"/>
      <c r="T823" s="88" t="n"/>
      <c r="U823" s="88" t="n"/>
      <c r="V823" s="89" t="n"/>
      <c r="W823" s="88" t="n"/>
      <c r="X823" s="89" t="n"/>
      <c r="Y823" s="88" t="n"/>
      <c r="Z823" s="89" t="n"/>
      <c r="AB823" s="30">
        <f>IF($B823="","",(COUNTIF(C823:E823,"?*")&lt;N(INDEX(Setup!$L$6:$L$23,16)))+(COUNTIF(G823:I823,"?*")&lt;N(INDEX(Setup!$L$6:$L$23,16)))+(COUNTIF(K823:M823,"?*")&lt;N(INDEX(Setup!$L$6:$L$23,16)))+(COUNTIF(O823:Q823,"?*")&lt;N(INDEX(Setup!$L$6:$L$23,16)))+(COUNTIF(S823:U823,"?*")&lt;N(INDEX(Setup!$L$6:$L$23,16)))+((W823="")*(INDEX(Setup!$M$6:$M$23,16)="Y"))+((Y823="")*(INDEX(Setup!$M$6:$M$23,16)="Y")))</f>
        <v/>
      </c>
      <c r="AC823" s="91">
        <f>IF($B823="","",IF(AB823=0,"✓ covered","⚠ "&amp;AB823&amp;IF(AB823=1," gap"," gaps")))</f>
        <v/>
      </c>
    </row>
    <row r="824" ht="17" customHeight="1">
      <c r="A824" t="n">
        <v>17</v>
      </c>
      <c r="B824" s="24">
        <f>IF(Setup!$K$22="","",Setup!$K$22)</f>
        <v/>
      </c>
      <c r="C824" s="88" t="n"/>
      <c r="D824" s="88" t="n"/>
      <c r="E824" s="88" t="n"/>
      <c r="F824" s="89" t="n"/>
      <c r="G824" s="88" t="n"/>
      <c r="H824" s="88" t="n"/>
      <c r="I824" s="88" t="n"/>
      <c r="J824" s="89" t="n"/>
      <c r="K824" s="88" t="n"/>
      <c r="L824" s="88" t="n"/>
      <c r="M824" s="88" t="n"/>
      <c r="N824" s="89" t="n"/>
      <c r="O824" s="88" t="n"/>
      <c r="P824" s="88" t="n"/>
      <c r="Q824" s="88" t="n"/>
      <c r="R824" s="89" t="n"/>
      <c r="S824" s="88" t="n"/>
      <c r="T824" s="88" t="n"/>
      <c r="U824" s="88" t="n"/>
      <c r="V824" s="89" t="n"/>
      <c r="W824" s="88" t="n"/>
      <c r="X824" s="89" t="n"/>
      <c r="Y824" s="88" t="n"/>
      <c r="Z824" s="89" t="n"/>
      <c r="AB824" s="25">
        <f>IF($B824="","",(COUNTIF(C824:E824,"?*")&lt;N(INDEX(Setup!$L$6:$L$23,17)))+(COUNTIF(G824:I824,"?*")&lt;N(INDEX(Setup!$L$6:$L$23,17)))+(COUNTIF(K824:M824,"?*")&lt;N(INDEX(Setup!$L$6:$L$23,17)))+(COUNTIF(O824:Q824,"?*")&lt;N(INDEX(Setup!$L$6:$L$23,17)))+(COUNTIF(S824:U824,"?*")&lt;N(INDEX(Setup!$L$6:$L$23,17)))+((W824="")*(INDEX(Setup!$M$6:$M$23,17)="Y"))+((Y824="")*(INDEX(Setup!$M$6:$M$23,17)="Y")))</f>
        <v/>
      </c>
      <c r="AC824" s="90">
        <f>IF($B824="","",IF(AB824=0,"✓ covered","⚠ "&amp;AB824&amp;IF(AB824=1," gap"," gaps")))</f>
        <v/>
      </c>
    </row>
    <row r="825" ht="17" customHeight="1">
      <c r="A825" t="n">
        <v>17</v>
      </c>
      <c r="B825" s="29">
        <f>IF(Setup!$K$23="","",Setup!$K$23)</f>
        <v/>
      </c>
      <c r="C825" s="88" t="n"/>
      <c r="D825" s="88" t="n"/>
      <c r="E825" s="88" t="n"/>
      <c r="F825" s="89" t="n"/>
      <c r="G825" s="88" t="n"/>
      <c r="H825" s="88" t="n"/>
      <c r="I825" s="88" t="n"/>
      <c r="J825" s="89" t="n"/>
      <c r="K825" s="88" t="n"/>
      <c r="L825" s="88" t="n"/>
      <c r="M825" s="88" t="n"/>
      <c r="N825" s="89" t="n"/>
      <c r="O825" s="88" t="n"/>
      <c r="P825" s="88" t="n"/>
      <c r="Q825" s="88" t="n"/>
      <c r="R825" s="89" t="n"/>
      <c r="S825" s="88" t="n"/>
      <c r="T825" s="88" t="n"/>
      <c r="U825" s="88" t="n"/>
      <c r="V825" s="89" t="n"/>
      <c r="W825" s="88" t="n"/>
      <c r="X825" s="89" t="n"/>
      <c r="Y825" s="88" t="n"/>
      <c r="Z825" s="89" t="n"/>
      <c r="AB825" s="30">
        <f>IF($B825="","",(COUNTIF(C825:E825,"?*")&lt;N(INDEX(Setup!$L$6:$L$23,18)))+(COUNTIF(G825:I825,"?*")&lt;N(INDEX(Setup!$L$6:$L$23,18)))+(COUNTIF(K825:M825,"?*")&lt;N(INDEX(Setup!$L$6:$L$23,18)))+(COUNTIF(O825:Q825,"?*")&lt;N(INDEX(Setup!$L$6:$L$23,18)))+(COUNTIF(S825:U825,"?*")&lt;N(INDEX(Setup!$L$6:$L$23,18)))+((W825="")*(INDEX(Setup!$M$6:$M$23,18)="Y"))+((Y825="")*(INDEX(Setup!$M$6:$M$23,18)="Y")))</f>
        <v/>
      </c>
      <c r="AC825" s="91">
        <f>IF($B825="","",IF(AB825=0,"✓ covered","⚠ "&amp;AB825&amp;IF(AB825=1," gap"," gaps")))</f>
        <v/>
      </c>
    </row>
    <row r="826" ht="18" customHeight="1">
      <c r="A826" t="n">
        <v>17</v>
      </c>
      <c r="B826" s="78" t="inlineStr">
        <is>
          <t>TEAM AVAILABILITY</t>
        </is>
      </c>
      <c r="C826" s="92" t="inlineStr">
        <is>
          <t>Mon</t>
        </is>
      </c>
      <c r="D826" s="93" t="n"/>
      <c r="E826" s="93" t="n"/>
      <c r="F826" s="94" t="n"/>
      <c r="G826" s="92" t="inlineStr">
        <is>
          <t>Tue</t>
        </is>
      </c>
      <c r="H826" s="93" t="n"/>
      <c r="I826" s="93" t="n"/>
      <c r="J826" s="94" t="n"/>
      <c r="K826" s="92" t="inlineStr">
        <is>
          <t>Wed</t>
        </is>
      </c>
      <c r="L826" s="93" t="n"/>
      <c r="M826" s="93" t="n"/>
      <c r="N826" s="94" t="n"/>
      <c r="O826" s="92" t="inlineStr">
        <is>
          <t>Thu</t>
        </is>
      </c>
      <c r="P826" s="93" t="n"/>
      <c r="Q826" s="93" t="n"/>
      <c r="R826" s="94" t="n"/>
      <c r="S826" s="92" t="inlineStr">
        <is>
          <t>Fri</t>
        </is>
      </c>
      <c r="T826" s="93" t="n"/>
      <c r="U826" s="93" t="n"/>
      <c r="V826" s="94" t="n"/>
      <c r="W826" s="95" t="inlineStr">
        <is>
          <t>Sat</t>
        </is>
      </c>
      <c r="X826" s="96" t="n"/>
      <c r="Y826" s="95" t="inlineStr">
        <is>
          <t>Sun</t>
        </is>
      </c>
      <c r="Z826" s="96" t="n"/>
      <c r="AB826" s="97" t="inlineStr">
        <is>
          <t>Days rostered</t>
        </is>
      </c>
      <c r="AC826" s="97" t="inlineStr">
        <is>
          <t>Conflicts</t>
        </is>
      </c>
    </row>
    <row r="827" ht="15" customHeight="1">
      <c r="A827" t="n">
        <v>17</v>
      </c>
      <c r="B827" s="35">
        <f>IF(Setup!$B$6="","",Setup!$B$6)</f>
        <v/>
      </c>
      <c r="C827" s="98" t="n"/>
      <c r="D827" s="99" t="n"/>
      <c r="E827" s="99" t="n"/>
      <c r="F827" s="100" t="n"/>
      <c r="G827" s="98" t="n"/>
      <c r="H827" s="99" t="n"/>
      <c r="I827" s="99" t="n"/>
      <c r="J827" s="100" t="n"/>
      <c r="K827" s="98" t="n"/>
      <c r="L827" s="99" t="n"/>
      <c r="M827" s="99" t="n"/>
      <c r="N827" s="100" t="n"/>
      <c r="O827" s="98" t="n"/>
      <c r="P827" s="99" t="n"/>
      <c r="Q827" s="99" t="n"/>
      <c r="R827" s="100" t="n"/>
      <c r="S827" s="98" t="n"/>
      <c r="T827" s="99" t="n"/>
      <c r="U827" s="99" t="n"/>
      <c r="V827" s="100" t="n"/>
      <c r="W827" s="98" t="n"/>
      <c r="X827" s="100" t="n"/>
      <c r="Y827" s="98" t="n"/>
      <c r="Z827" s="100" t="n"/>
      <c r="AB827" s="101">
        <f>IF($B827="","",(COUNTIF(C808:E825,$B827)+COUNTIF(C808:E825,$B827&amp;" ~*")&gt;0)+(COUNTIF(G808:I825,$B827)+COUNTIF(G808:I825,$B827&amp;" ~*")&gt;0)+(COUNTIF(K808:M825,$B827)+COUNTIF(K808:M825,$B827&amp;" ~*")&gt;0)+(COUNTIF(O808:Q825,$B827)+COUNTIF(O808:Q825,$B827&amp;" ~*")&gt;0)+(COUNTIF(S808:U825,$B827)+COUNTIF(S808:U825,$B827&amp;" ~*")&gt;0)+(COUNTIF(W808:W825,$B827)+COUNTIF(W808:W825,$B827&amp;" ~*")&gt;0)+(COUNTIF(Y808:Y825,$B827)+COUNTIF(Y808:Y825,$B827&amp;" ~*")&gt;0))</f>
        <v/>
      </c>
      <c r="AC827" s="36">
        <f>IF($B827="","",(IFERROR(INDEX(Setup!$G$33:$G$40,MATCH(C827,Setup!$B$33:$B$40,0)),0)=1)*(COUNTIF(C808:E825,$B827)+COUNTIF(C808:E825,$B827&amp;" ~*")&gt;0)+(IFERROR(INDEX(Setup!$G$33:$G$40,MATCH(G827,Setup!$B$33:$B$40,0)),0)=1)*(COUNTIF(G808:I825,$B827)+COUNTIF(G808:I825,$B827&amp;" ~*")&gt;0)+(IFERROR(INDEX(Setup!$G$33:$G$40,MATCH(K827,Setup!$B$33:$B$40,0)),0)=1)*(COUNTIF(K808:M825,$B827)+COUNTIF(K808:M825,$B827&amp;" ~*")&gt;0)+(IFERROR(INDEX(Setup!$G$33:$G$40,MATCH(O827,Setup!$B$33:$B$40,0)),0)=1)*(COUNTIF(O808:Q825,$B827)+COUNTIF(O808:Q825,$B827&amp;" ~*")&gt;0)+(IFERROR(INDEX(Setup!$G$33:$G$40,MATCH(S827,Setup!$B$33:$B$40,0)),0)=1)*(COUNTIF(S808:U825,$B827)+COUNTIF(S808:U825,$B827&amp;" ~*")&gt;0)+(IFERROR(INDEX(Setup!$G$33:$G$40,MATCH(W827,Setup!$B$33:$B$40,0)),0)=1)*(COUNTIF(W808:W825,$B827)+COUNTIF(W808:W825,$B827&amp;" ~*")&gt;0)+(IFERROR(INDEX(Setup!$G$33:$G$40,MATCH(Y827,Setup!$B$33:$B$40,0)),0)=1)*(COUNTIF(Y808:Y825,$B827)+COUNTIF(Y808:Y825,$B827&amp;" ~*")&gt;0))</f>
        <v/>
      </c>
    </row>
    <row r="828" ht="15" customHeight="1">
      <c r="A828" t="n">
        <v>17</v>
      </c>
      <c r="B828" s="37">
        <f>IF(Setup!$B$7="","",Setup!$B$7)</f>
        <v/>
      </c>
      <c r="C828" s="102" t="n"/>
      <c r="D828" s="103" t="n"/>
      <c r="E828" s="103" t="n"/>
      <c r="F828" s="104" t="n"/>
      <c r="G828" s="102" t="n"/>
      <c r="H828" s="103" t="n"/>
      <c r="I828" s="103" t="n"/>
      <c r="J828" s="104" t="n"/>
      <c r="K828" s="102" t="n"/>
      <c r="L828" s="103" t="n"/>
      <c r="M828" s="103" t="n"/>
      <c r="N828" s="104" t="n"/>
      <c r="O828" s="102" t="n"/>
      <c r="P828" s="103" t="n"/>
      <c r="Q828" s="103" t="n"/>
      <c r="R828" s="104" t="n"/>
      <c r="S828" s="102" t="n"/>
      <c r="T828" s="103" t="n"/>
      <c r="U828" s="103" t="n"/>
      <c r="V828" s="104" t="n"/>
      <c r="W828" s="102" t="n"/>
      <c r="X828" s="104" t="n"/>
      <c r="Y828" s="102" t="n"/>
      <c r="Z828" s="104" t="n"/>
      <c r="AB828" s="105">
        <f>IF($B828="","",(COUNTIF(C808:E825,$B828)+COUNTIF(C808:E825,$B828&amp;" ~*")&gt;0)+(COUNTIF(G808:I825,$B828)+COUNTIF(G808:I825,$B828&amp;" ~*")&gt;0)+(COUNTIF(K808:M825,$B828)+COUNTIF(K808:M825,$B828&amp;" ~*")&gt;0)+(COUNTIF(O808:Q825,$B828)+COUNTIF(O808:Q825,$B828&amp;" ~*")&gt;0)+(COUNTIF(S808:U825,$B828)+COUNTIF(S808:U825,$B828&amp;" ~*")&gt;0)+(COUNTIF(W808:W825,$B828)+COUNTIF(W808:W825,$B828&amp;" ~*")&gt;0)+(COUNTIF(Y808:Y825,$B828)+COUNTIF(Y808:Y825,$B828&amp;" ~*")&gt;0))</f>
        <v/>
      </c>
      <c r="AC828" s="38">
        <f>IF($B828="","",(IFERROR(INDEX(Setup!$G$33:$G$40,MATCH(C828,Setup!$B$33:$B$40,0)),0)=1)*(COUNTIF(C808:E825,$B828)+COUNTIF(C808:E825,$B828&amp;" ~*")&gt;0)+(IFERROR(INDEX(Setup!$G$33:$G$40,MATCH(G828,Setup!$B$33:$B$40,0)),0)=1)*(COUNTIF(G808:I825,$B828)+COUNTIF(G808:I825,$B828&amp;" ~*")&gt;0)+(IFERROR(INDEX(Setup!$G$33:$G$40,MATCH(K828,Setup!$B$33:$B$40,0)),0)=1)*(COUNTIF(K808:M825,$B828)+COUNTIF(K808:M825,$B828&amp;" ~*")&gt;0)+(IFERROR(INDEX(Setup!$G$33:$G$40,MATCH(O828,Setup!$B$33:$B$40,0)),0)=1)*(COUNTIF(O808:Q825,$B828)+COUNTIF(O808:Q825,$B828&amp;" ~*")&gt;0)+(IFERROR(INDEX(Setup!$G$33:$G$40,MATCH(S828,Setup!$B$33:$B$40,0)),0)=1)*(COUNTIF(S808:U825,$B828)+COUNTIF(S808:U825,$B828&amp;" ~*")&gt;0)+(IFERROR(INDEX(Setup!$G$33:$G$40,MATCH(W828,Setup!$B$33:$B$40,0)),0)=1)*(COUNTIF(W808:W825,$B828)+COUNTIF(W808:W825,$B828&amp;" ~*")&gt;0)+(IFERROR(INDEX(Setup!$G$33:$G$40,MATCH(Y828,Setup!$B$33:$B$40,0)),0)=1)*(COUNTIF(Y808:Y825,$B828)+COUNTIF(Y808:Y825,$B828&amp;" ~*")&gt;0))</f>
        <v/>
      </c>
    </row>
    <row r="829" ht="15" customHeight="1">
      <c r="A829" t="n">
        <v>17</v>
      </c>
      <c r="B829" s="35">
        <f>IF(Setup!$B$8="","",Setup!$B$8)</f>
        <v/>
      </c>
      <c r="C829" s="98" t="n"/>
      <c r="D829" s="99" t="n"/>
      <c r="E829" s="99" t="n"/>
      <c r="F829" s="100" t="n"/>
      <c r="G829" s="98" t="n"/>
      <c r="H829" s="99" t="n"/>
      <c r="I829" s="99" t="n"/>
      <c r="J829" s="100" t="n"/>
      <c r="K829" s="98" t="n"/>
      <c r="L829" s="99" t="n"/>
      <c r="M829" s="99" t="n"/>
      <c r="N829" s="100" t="n"/>
      <c r="O829" s="98" t="n"/>
      <c r="P829" s="99" t="n"/>
      <c r="Q829" s="99" t="n"/>
      <c r="R829" s="100" t="n"/>
      <c r="S829" s="98" t="n"/>
      <c r="T829" s="99" t="n"/>
      <c r="U829" s="99" t="n"/>
      <c r="V829" s="100" t="n"/>
      <c r="W829" s="98" t="n"/>
      <c r="X829" s="100" t="n"/>
      <c r="Y829" s="98" t="n"/>
      <c r="Z829" s="100" t="n"/>
      <c r="AB829" s="101">
        <f>IF($B829="","",(COUNTIF(C808:E825,$B829)+COUNTIF(C808:E825,$B829&amp;" ~*")&gt;0)+(COUNTIF(G808:I825,$B829)+COUNTIF(G808:I825,$B829&amp;" ~*")&gt;0)+(COUNTIF(K808:M825,$B829)+COUNTIF(K808:M825,$B829&amp;" ~*")&gt;0)+(COUNTIF(O808:Q825,$B829)+COUNTIF(O808:Q825,$B829&amp;" ~*")&gt;0)+(COUNTIF(S808:U825,$B829)+COUNTIF(S808:U825,$B829&amp;" ~*")&gt;0)+(COUNTIF(W808:W825,$B829)+COUNTIF(W808:W825,$B829&amp;" ~*")&gt;0)+(COUNTIF(Y808:Y825,$B829)+COUNTIF(Y808:Y825,$B829&amp;" ~*")&gt;0))</f>
        <v/>
      </c>
      <c r="AC829" s="36">
        <f>IF($B829="","",(IFERROR(INDEX(Setup!$G$33:$G$40,MATCH(C829,Setup!$B$33:$B$40,0)),0)=1)*(COUNTIF(C808:E825,$B829)+COUNTIF(C808:E825,$B829&amp;" ~*")&gt;0)+(IFERROR(INDEX(Setup!$G$33:$G$40,MATCH(G829,Setup!$B$33:$B$40,0)),0)=1)*(COUNTIF(G808:I825,$B829)+COUNTIF(G808:I825,$B829&amp;" ~*")&gt;0)+(IFERROR(INDEX(Setup!$G$33:$G$40,MATCH(K829,Setup!$B$33:$B$40,0)),0)=1)*(COUNTIF(K808:M825,$B829)+COUNTIF(K808:M825,$B829&amp;" ~*")&gt;0)+(IFERROR(INDEX(Setup!$G$33:$G$40,MATCH(O829,Setup!$B$33:$B$40,0)),0)=1)*(COUNTIF(O808:Q825,$B829)+COUNTIF(O808:Q825,$B829&amp;" ~*")&gt;0)+(IFERROR(INDEX(Setup!$G$33:$G$40,MATCH(S829,Setup!$B$33:$B$40,0)),0)=1)*(COUNTIF(S808:U825,$B829)+COUNTIF(S808:U825,$B829&amp;" ~*")&gt;0)+(IFERROR(INDEX(Setup!$G$33:$G$40,MATCH(W829,Setup!$B$33:$B$40,0)),0)=1)*(COUNTIF(W808:W825,$B829)+COUNTIF(W808:W825,$B829&amp;" ~*")&gt;0)+(IFERROR(INDEX(Setup!$G$33:$G$40,MATCH(Y829,Setup!$B$33:$B$40,0)),0)=1)*(COUNTIF(Y808:Y825,$B829)+COUNTIF(Y808:Y825,$B829&amp;" ~*")&gt;0))</f>
        <v/>
      </c>
    </row>
    <row r="830" ht="15" customHeight="1">
      <c r="A830" t="n">
        <v>17</v>
      </c>
      <c r="B830" s="37">
        <f>IF(Setup!$B$9="","",Setup!$B$9)</f>
        <v/>
      </c>
      <c r="C830" s="102" t="n"/>
      <c r="D830" s="103" t="n"/>
      <c r="E830" s="103" t="n"/>
      <c r="F830" s="104" t="n"/>
      <c r="G830" s="102" t="n"/>
      <c r="H830" s="103" t="n"/>
      <c r="I830" s="103" t="n"/>
      <c r="J830" s="104" t="n"/>
      <c r="K830" s="102" t="n"/>
      <c r="L830" s="103" t="n"/>
      <c r="M830" s="103" t="n"/>
      <c r="N830" s="104" t="n"/>
      <c r="O830" s="102" t="n"/>
      <c r="P830" s="103" t="n"/>
      <c r="Q830" s="103" t="n"/>
      <c r="R830" s="104" t="n"/>
      <c r="S830" s="102" t="n"/>
      <c r="T830" s="103" t="n"/>
      <c r="U830" s="103" t="n"/>
      <c r="V830" s="104" t="n"/>
      <c r="W830" s="102" t="n"/>
      <c r="X830" s="104" t="n"/>
      <c r="Y830" s="102" t="n"/>
      <c r="Z830" s="104" t="n"/>
      <c r="AB830" s="105">
        <f>IF($B830="","",(COUNTIF(C808:E825,$B830)+COUNTIF(C808:E825,$B830&amp;" ~*")&gt;0)+(COUNTIF(G808:I825,$B830)+COUNTIF(G808:I825,$B830&amp;" ~*")&gt;0)+(COUNTIF(K808:M825,$B830)+COUNTIF(K808:M825,$B830&amp;" ~*")&gt;0)+(COUNTIF(O808:Q825,$B830)+COUNTIF(O808:Q825,$B830&amp;" ~*")&gt;0)+(COUNTIF(S808:U825,$B830)+COUNTIF(S808:U825,$B830&amp;" ~*")&gt;0)+(COUNTIF(W808:W825,$B830)+COUNTIF(W808:W825,$B830&amp;" ~*")&gt;0)+(COUNTIF(Y808:Y825,$B830)+COUNTIF(Y808:Y825,$B830&amp;" ~*")&gt;0))</f>
        <v/>
      </c>
      <c r="AC830" s="38">
        <f>IF($B830="","",(IFERROR(INDEX(Setup!$G$33:$G$40,MATCH(C830,Setup!$B$33:$B$40,0)),0)=1)*(COUNTIF(C808:E825,$B830)+COUNTIF(C808:E825,$B830&amp;" ~*")&gt;0)+(IFERROR(INDEX(Setup!$G$33:$G$40,MATCH(G830,Setup!$B$33:$B$40,0)),0)=1)*(COUNTIF(G808:I825,$B830)+COUNTIF(G808:I825,$B830&amp;" ~*")&gt;0)+(IFERROR(INDEX(Setup!$G$33:$G$40,MATCH(K830,Setup!$B$33:$B$40,0)),0)=1)*(COUNTIF(K808:M825,$B830)+COUNTIF(K808:M825,$B830&amp;" ~*")&gt;0)+(IFERROR(INDEX(Setup!$G$33:$G$40,MATCH(O830,Setup!$B$33:$B$40,0)),0)=1)*(COUNTIF(O808:Q825,$B830)+COUNTIF(O808:Q825,$B830&amp;" ~*")&gt;0)+(IFERROR(INDEX(Setup!$G$33:$G$40,MATCH(S830,Setup!$B$33:$B$40,0)),0)=1)*(COUNTIF(S808:U825,$B830)+COUNTIF(S808:U825,$B830&amp;" ~*")&gt;0)+(IFERROR(INDEX(Setup!$G$33:$G$40,MATCH(W830,Setup!$B$33:$B$40,0)),0)=1)*(COUNTIF(W808:W825,$B830)+COUNTIF(W808:W825,$B830&amp;" ~*")&gt;0)+(IFERROR(INDEX(Setup!$G$33:$G$40,MATCH(Y830,Setup!$B$33:$B$40,0)),0)=1)*(COUNTIF(Y808:Y825,$B830)+COUNTIF(Y808:Y825,$B830&amp;" ~*")&gt;0))</f>
        <v/>
      </c>
    </row>
    <row r="831" ht="15" customHeight="1">
      <c r="A831" t="n">
        <v>17</v>
      </c>
      <c r="B831" s="35">
        <f>IF(Setup!$B$10="","",Setup!$B$10)</f>
        <v/>
      </c>
      <c r="C831" s="98" t="n"/>
      <c r="D831" s="99" t="n"/>
      <c r="E831" s="99" t="n"/>
      <c r="F831" s="100" t="n"/>
      <c r="G831" s="98" t="n"/>
      <c r="H831" s="99" t="n"/>
      <c r="I831" s="99" t="n"/>
      <c r="J831" s="100" t="n"/>
      <c r="K831" s="98" t="n"/>
      <c r="L831" s="99" t="n"/>
      <c r="M831" s="99" t="n"/>
      <c r="N831" s="100" t="n"/>
      <c r="O831" s="98" t="n"/>
      <c r="P831" s="99" t="n"/>
      <c r="Q831" s="99" t="n"/>
      <c r="R831" s="100" t="n"/>
      <c r="S831" s="98" t="n"/>
      <c r="T831" s="99" t="n"/>
      <c r="U831" s="99" t="n"/>
      <c r="V831" s="100" t="n"/>
      <c r="W831" s="98" t="n"/>
      <c r="X831" s="100" t="n"/>
      <c r="Y831" s="98" t="n"/>
      <c r="Z831" s="100" t="n"/>
      <c r="AB831" s="101">
        <f>IF($B831="","",(COUNTIF(C808:E825,$B831)+COUNTIF(C808:E825,$B831&amp;" ~*")&gt;0)+(COUNTIF(G808:I825,$B831)+COUNTIF(G808:I825,$B831&amp;" ~*")&gt;0)+(COUNTIF(K808:M825,$B831)+COUNTIF(K808:M825,$B831&amp;" ~*")&gt;0)+(COUNTIF(O808:Q825,$B831)+COUNTIF(O808:Q825,$B831&amp;" ~*")&gt;0)+(COUNTIF(S808:U825,$B831)+COUNTIF(S808:U825,$B831&amp;" ~*")&gt;0)+(COUNTIF(W808:W825,$B831)+COUNTIF(W808:W825,$B831&amp;" ~*")&gt;0)+(COUNTIF(Y808:Y825,$B831)+COUNTIF(Y808:Y825,$B831&amp;" ~*")&gt;0))</f>
        <v/>
      </c>
      <c r="AC831" s="36">
        <f>IF($B831="","",(IFERROR(INDEX(Setup!$G$33:$G$40,MATCH(C831,Setup!$B$33:$B$40,0)),0)=1)*(COUNTIF(C808:E825,$B831)+COUNTIF(C808:E825,$B831&amp;" ~*")&gt;0)+(IFERROR(INDEX(Setup!$G$33:$G$40,MATCH(G831,Setup!$B$33:$B$40,0)),0)=1)*(COUNTIF(G808:I825,$B831)+COUNTIF(G808:I825,$B831&amp;" ~*")&gt;0)+(IFERROR(INDEX(Setup!$G$33:$G$40,MATCH(K831,Setup!$B$33:$B$40,0)),0)=1)*(COUNTIF(K808:M825,$B831)+COUNTIF(K808:M825,$B831&amp;" ~*")&gt;0)+(IFERROR(INDEX(Setup!$G$33:$G$40,MATCH(O831,Setup!$B$33:$B$40,0)),0)=1)*(COUNTIF(O808:Q825,$B831)+COUNTIF(O808:Q825,$B831&amp;" ~*")&gt;0)+(IFERROR(INDEX(Setup!$G$33:$G$40,MATCH(S831,Setup!$B$33:$B$40,0)),0)=1)*(COUNTIF(S808:U825,$B831)+COUNTIF(S808:U825,$B831&amp;" ~*")&gt;0)+(IFERROR(INDEX(Setup!$G$33:$G$40,MATCH(W831,Setup!$B$33:$B$40,0)),0)=1)*(COUNTIF(W808:W825,$B831)+COUNTIF(W808:W825,$B831&amp;" ~*")&gt;0)+(IFERROR(INDEX(Setup!$G$33:$G$40,MATCH(Y831,Setup!$B$33:$B$40,0)),0)=1)*(COUNTIF(Y808:Y825,$B831)+COUNTIF(Y808:Y825,$B831&amp;" ~*")&gt;0))</f>
        <v/>
      </c>
    </row>
    <row r="832" ht="15" customHeight="1">
      <c r="A832" t="n">
        <v>17</v>
      </c>
      <c r="B832" s="37">
        <f>IF(Setup!$B$11="","",Setup!$B$11)</f>
        <v/>
      </c>
      <c r="C832" s="102" t="n"/>
      <c r="D832" s="103" t="n"/>
      <c r="E832" s="103" t="n"/>
      <c r="F832" s="104" t="n"/>
      <c r="G832" s="102" t="n"/>
      <c r="H832" s="103" t="n"/>
      <c r="I832" s="103" t="n"/>
      <c r="J832" s="104" t="n"/>
      <c r="K832" s="102" t="n"/>
      <c r="L832" s="103" t="n"/>
      <c r="M832" s="103" t="n"/>
      <c r="N832" s="104" t="n"/>
      <c r="O832" s="102" t="n"/>
      <c r="P832" s="103" t="n"/>
      <c r="Q832" s="103" t="n"/>
      <c r="R832" s="104" t="n"/>
      <c r="S832" s="102" t="n"/>
      <c r="T832" s="103" t="n"/>
      <c r="U832" s="103" t="n"/>
      <c r="V832" s="104" t="n"/>
      <c r="W832" s="102" t="n"/>
      <c r="X832" s="104" t="n"/>
      <c r="Y832" s="102" t="n"/>
      <c r="Z832" s="104" t="n"/>
      <c r="AB832" s="105">
        <f>IF($B832="","",(COUNTIF(C808:E825,$B832)+COUNTIF(C808:E825,$B832&amp;" ~*")&gt;0)+(COUNTIF(G808:I825,$B832)+COUNTIF(G808:I825,$B832&amp;" ~*")&gt;0)+(COUNTIF(K808:M825,$B832)+COUNTIF(K808:M825,$B832&amp;" ~*")&gt;0)+(COUNTIF(O808:Q825,$B832)+COUNTIF(O808:Q825,$B832&amp;" ~*")&gt;0)+(COUNTIF(S808:U825,$B832)+COUNTIF(S808:U825,$B832&amp;" ~*")&gt;0)+(COUNTIF(W808:W825,$B832)+COUNTIF(W808:W825,$B832&amp;" ~*")&gt;0)+(COUNTIF(Y808:Y825,$B832)+COUNTIF(Y808:Y825,$B832&amp;" ~*")&gt;0))</f>
        <v/>
      </c>
      <c r="AC832" s="38">
        <f>IF($B832="","",(IFERROR(INDEX(Setup!$G$33:$G$40,MATCH(C832,Setup!$B$33:$B$40,0)),0)=1)*(COUNTIF(C808:E825,$B832)+COUNTIF(C808:E825,$B832&amp;" ~*")&gt;0)+(IFERROR(INDEX(Setup!$G$33:$G$40,MATCH(G832,Setup!$B$33:$B$40,0)),0)=1)*(COUNTIF(G808:I825,$B832)+COUNTIF(G808:I825,$B832&amp;" ~*")&gt;0)+(IFERROR(INDEX(Setup!$G$33:$G$40,MATCH(K832,Setup!$B$33:$B$40,0)),0)=1)*(COUNTIF(K808:M825,$B832)+COUNTIF(K808:M825,$B832&amp;" ~*")&gt;0)+(IFERROR(INDEX(Setup!$G$33:$G$40,MATCH(O832,Setup!$B$33:$B$40,0)),0)=1)*(COUNTIF(O808:Q825,$B832)+COUNTIF(O808:Q825,$B832&amp;" ~*")&gt;0)+(IFERROR(INDEX(Setup!$G$33:$G$40,MATCH(S832,Setup!$B$33:$B$40,0)),0)=1)*(COUNTIF(S808:U825,$B832)+COUNTIF(S808:U825,$B832&amp;" ~*")&gt;0)+(IFERROR(INDEX(Setup!$G$33:$G$40,MATCH(W832,Setup!$B$33:$B$40,0)),0)=1)*(COUNTIF(W808:W825,$B832)+COUNTIF(W808:W825,$B832&amp;" ~*")&gt;0)+(IFERROR(INDEX(Setup!$G$33:$G$40,MATCH(Y832,Setup!$B$33:$B$40,0)),0)=1)*(COUNTIF(Y808:Y825,$B832)+COUNTIF(Y808:Y825,$B832&amp;" ~*")&gt;0))</f>
        <v/>
      </c>
    </row>
    <row r="833" ht="15" customHeight="1">
      <c r="A833" t="n">
        <v>17</v>
      </c>
      <c r="B833" s="35">
        <f>IF(Setup!$B$12="","",Setup!$B$12)</f>
        <v/>
      </c>
      <c r="C833" s="98" t="n"/>
      <c r="D833" s="99" t="n"/>
      <c r="E833" s="99" t="n"/>
      <c r="F833" s="100" t="n"/>
      <c r="G833" s="98" t="n"/>
      <c r="H833" s="99" t="n"/>
      <c r="I833" s="99" t="n"/>
      <c r="J833" s="100" t="n"/>
      <c r="K833" s="98" t="n"/>
      <c r="L833" s="99" t="n"/>
      <c r="M833" s="99" t="n"/>
      <c r="N833" s="100" t="n"/>
      <c r="O833" s="98" t="n"/>
      <c r="P833" s="99" t="n"/>
      <c r="Q833" s="99" t="n"/>
      <c r="R833" s="100" t="n"/>
      <c r="S833" s="98" t="inlineStr">
        <is>
          <t>AL</t>
        </is>
      </c>
      <c r="T833" s="99" t="n"/>
      <c r="U833" s="99" t="n"/>
      <c r="V833" s="100" t="n"/>
      <c r="W833" s="98" t="n"/>
      <c r="X833" s="100" t="n"/>
      <c r="Y833" s="98" t="n"/>
      <c r="Z833" s="100" t="n"/>
      <c r="AB833" s="101">
        <f>IF($B833="","",(COUNTIF(C808:E825,$B833)+COUNTIF(C808:E825,$B833&amp;" ~*")&gt;0)+(COUNTIF(G808:I825,$B833)+COUNTIF(G808:I825,$B833&amp;" ~*")&gt;0)+(COUNTIF(K808:M825,$B833)+COUNTIF(K808:M825,$B833&amp;" ~*")&gt;0)+(COUNTIF(O808:Q825,$B833)+COUNTIF(O808:Q825,$B833&amp;" ~*")&gt;0)+(COUNTIF(S808:U825,$B833)+COUNTIF(S808:U825,$B833&amp;" ~*")&gt;0)+(COUNTIF(W808:W825,$B833)+COUNTIF(W808:W825,$B833&amp;" ~*")&gt;0)+(COUNTIF(Y808:Y825,$B833)+COUNTIF(Y808:Y825,$B833&amp;" ~*")&gt;0))</f>
        <v/>
      </c>
      <c r="AC833" s="36">
        <f>IF($B833="","",(IFERROR(INDEX(Setup!$G$33:$G$40,MATCH(C833,Setup!$B$33:$B$40,0)),0)=1)*(COUNTIF(C808:E825,$B833)+COUNTIF(C808:E825,$B833&amp;" ~*")&gt;0)+(IFERROR(INDEX(Setup!$G$33:$G$40,MATCH(G833,Setup!$B$33:$B$40,0)),0)=1)*(COUNTIF(G808:I825,$B833)+COUNTIF(G808:I825,$B833&amp;" ~*")&gt;0)+(IFERROR(INDEX(Setup!$G$33:$G$40,MATCH(K833,Setup!$B$33:$B$40,0)),0)=1)*(COUNTIF(K808:M825,$B833)+COUNTIF(K808:M825,$B833&amp;" ~*")&gt;0)+(IFERROR(INDEX(Setup!$G$33:$G$40,MATCH(O833,Setup!$B$33:$B$40,0)),0)=1)*(COUNTIF(O808:Q825,$B833)+COUNTIF(O808:Q825,$B833&amp;" ~*")&gt;0)+(IFERROR(INDEX(Setup!$G$33:$G$40,MATCH(S833,Setup!$B$33:$B$40,0)),0)=1)*(COUNTIF(S808:U825,$B833)+COUNTIF(S808:U825,$B833&amp;" ~*")&gt;0)+(IFERROR(INDEX(Setup!$G$33:$G$40,MATCH(W833,Setup!$B$33:$B$40,0)),0)=1)*(COUNTIF(W808:W825,$B833)+COUNTIF(W808:W825,$B833&amp;" ~*")&gt;0)+(IFERROR(INDEX(Setup!$G$33:$G$40,MATCH(Y833,Setup!$B$33:$B$40,0)),0)=1)*(COUNTIF(Y808:Y825,$B833)+COUNTIF(Y808:Y825,$B833&amp;" ~*")&gt;0))</f>
        <v/>
      </c>
    </row>
    <row r="834" ht="15" customHeight="1">
      <c r="A834" t="n">
        <v>17</v>
      </c>
      <c r="B834" s="37">
        <f>IF(Setup!$B$13="","",Setup!$B$13)</f>
        <v/>
      </c>
      <c r="C834" s="102" t="n"/>
      <c r="D834" s="103" t="n"/>
      <c r="E834" s="103" t="n"/>
      <c r="F834" s="104" t="n"/>
      <c r="G834" s="102" t="n"/>
      <c r="H834" s="103" t="n"/>
      <c r="I834" s="103" t="n"/>
      <c r="J834" s="104" t="n"/>
      <c r="K834" s="102" t="n"/>
      <c r="L834" s="103" t="n"/>
      <c r="M834" s="103" t="n"/>
      <c r="N834" s="104" t="n"/>
      <c r="O834" s="102" t="n"/>
      <c r="P834" s="103" t="n"/>
      <c r="Q834" s="103" t="n"/>
      <c r="R834" s="104" t="n"/>
      <c r="S834" s="102" t="n"/>
      <c r="T834" s="103" t="n"/>
      <c r="U834" s="103" t="n"/>
      <c r="V834" s="104" t="n"/>
      <c r="W834" s="102" t="n"/>
      <c r="X834" s="104" t="n"/>
      <c r="Y834" s="102" t="n"/>
      <c r="Z834" s="104" t="n"/>
      <c r="AB834" s="105">
        <f>IF($B834="","",(COUNTIF(C808:E825,$B834)+COUNTIF(C808:E825,$B834&amp;" ~*")&gt;0)+(COUNTIF(G808:I825,$B834)+COUNTIF(G808:I825,$B834&amp;" ~*")&gt;0)+(COUNTIF(K808:M825,$B834)+COUNTIF(K808:M825,$B834&amp;" ~*")&gt;0)+(COUNTIF(O808:Q825,$B834)+COUNTIF(O808:Q825,$B834&amp;" ~*")&gt;0)+(COUNTIF(S808:U825,$B834)+COUNTIF(S808:U825,$B834&amp;" ~*")&gt;0)+(COUNTIF(W808:W825,$B834)+COUNTIF(W808:W825,$B834&amp;" ~*")&gt;0)+(COUNTIF(Y808:Y825,$B834)+COUNTIF(Y808:Y825,$B834&amp;" ~*")&gt;0))</f>
        <v/>
      </c>
      <c r="AC834" s="38">
        <f>IF($B834="","",(IFERROR(INDEX(Setup!$G$33:$G$40,MATCH(C834,Setup!$B$33:$B$40,0)),0)=1)*(COUNTIF(C808:E825,$B834)+COUNTIF(C808:E825,$B834&amp;" ~*")&gt;0)+(IFERROR(INDEX(Setup!$G$33:$G$40,MATCH(G834,Setup!$B$33:$B$40,0)),0)=1)*(COUNTIF(G808:I825,$B834)+COUNTIF(G808:I825,$B834&amp;" ~*")&gt;0)+(IFERROR(INDEX(Setup!$G$33:$G$40,MATCH(K834,Setup!$B$33:$B$40,0)),0)=1)*(COUNTIF(K808:M825,$B834)+COUNTIF(K808:M825,$B834&amp;" ~*")&gt;0)+(IFERROR(INDEX(Setup!$G$33:$G$40,MATCH(O834,Setup!$B$33:$B$40,0)),0)=1)*(COUNTIF(O808:Q825,$B834)+COUNTIF(O808:Q825,$B834&amp;" ~*")&gt;0)+(IFERROR(INDEX(Setup!$G$33:$G$40,MATCH(S834,Setup!$B$33:$B$40,0)),0)=1)*(COUNTIF(S808:U825,$B834)+COUNTIF(S808:U825,$B834&amp;" ~*")&gt;0)+(IFERROR(INDEX(Setup!$G$33:$G$40,MATCH(W834,Setup!$B$33:$B$40,0)),0)=1)*(COUNTIF(W808:W825,$B834)+COUNTIF(W808:W825,$B834&amp;" ~*")&gt;0)+(IFERROR(INDEX(Setup!$G$33:$G$40,MATCH(Y834,Setup!$B$33:$B$40,0)),0)=1)*(COUNTIF(Y808:Y825,$B834)+COUNTIF(Y808:Y825,$B834&amp;" ~*")&gt;0))</f>
        <v/>
      </c>
    </row>
    <row r="835" ht="15" customHeight="1">
      <c r="A835" t="n">
        <v>17</v>
      </c>
      <c r="B835" s="35">
        <f>IF(Setup!$B$14="","",Setup!$B$14)</f>
        <v/>
      </c>
      <c r="C835" s="98" t="n"/>
      <c r="D835" s="99" t="n"/>
      <c r="E835" s="99" t="n"/>
      <c r="F835" s="100" t="n"/>
      <c r="G835" s="98" t="n"/>
      <c r="H835" s="99" t="n"/>
      <c r="I835" s="99" t="n"/>
      <c r="J835" s="100" t="n"/>
      <c r="K835" s="98" t="n"/>
      <c r="L835" s="99" t="n"/>
      <c r="M835" s="99" t="n"/>
      <c r="N835" s="100" t="n"/>
      <c r="O835" s="98" t="n"/>
      <c r="P835" s="99" t="n"/>
      <c r="Q835" s="99" t="n"/>
      <c r="R835" s="100" t="n"/>
      <c r="S835" s="98" t="n"/>
      <c r="T835" s="99" t="n"/>
      <c r="U835" s="99" t="n"/>
      <c r="V835" s="100" t="n"/>
      <c r="W835" s="98" t="n"/>
      <c r="X835" s="100" t="n"/>
      <c r="Y835" s="98" t="n"/>
      <c r="Z835" s="100" t="n"/>
      <c r="AB835" s="101">
        <f>IF($B835="","",(COUNTIF(C808:E825,$B835)+COUNTIF(C808:E825,$B835&amp;" ~*")&gt;0)+(COUNTIF(G808:I825,$B835)+COUNTIF(G808:I825,$B835&amp;" ~*")&gt;0)+(COUNTIF(K808:M825,$B835)+COUNTIF(K808:M825,$B835&amp;" ~*")&gt;0)+(COUNTIF(O808:Q825,$B835)+COUNTIF(O808:Q825,$B835&amp;" ~*")&gt;0)+(COUNTIF(S808:U825,$B835)+COUNTIF(S808:U825,$B835&amp;" ~*")&gt;0)+(COUNTIF(W808:W825,$B835)+COUNTIF(W808:W825,$B835&amp;" ~*")&gt;0)+(COUNTIF(Y808:Y825,$B835)+COUNTIF(Y808:Y825,$B835&amp;" ~*")&gt;0))</f>
        <v/>
      </c>
      <c r="AC835" s="36">
        <f>IF($B835="","",(IFERROR(INDEX(Setup!$G$33:$G$40,MATCH(C835,Setup!$B$33:$B$40,0)),0)=1)*(COUNTIF(C808:E825,$B835)+COUNTIF(C808:E825,$B835&amp;" ~*")&gt;0)+(IFERROR(INDEX(Setup!$G$33:$G$40,MATCH(G835,Setup!$B$33:$B$40,0)),0)=1)*(COUNTIF(G808:I825,$B835)+COUNTIF(G808:I825,$B835&amp;" ~*")&gt;0)+(IFERROR(INDEX(Setup!$G$33:$G$40,MATCH(K835,Setup!$B$33:$B$40,0)),0)=1)*(COUNTIF(K808:M825,$B835)+COUNTIF(K808:M825,$B835&amp;" ~*")&gt;0)+(IFERROR(INDEX(Setup!$G$33:$G$40,MATCH(O835,Setup!$B$33:$B$40,0)),0)=1)*(COUNTIF(O808:Q825,$B835)+COUNTIF(O808:Q825,$B835&amp;" ~*")&gt;0)+(IFERROR(INDEX(Setup!$G$33:$G$40,MATCH(S835,Setup!$B$33:$B$40,0)),0)=1)*(COUNTIF(S808:U825,$B835)+COUNTIF(S808:U825,$B835&amp;" ~*")&gt;0)+(IFERROR(INDEX(Setup!$G$33:$G$40,MATCH(W835,Setup!$B$33:$B$40,0)),0)=1)*(COUNTIF(W808:W825,$B835)+COUNTIF(W808:W825,$B835&amp;" ~*")&gt;0)+(IFERROR(INDEX(Setup!$G$33:$G$40,MATCH(Y835,Setup!$B$33:$B$40,0)),0)=1)*(COUNTIF(Y808:Y825,$B835)+COUNTIF(Y808:Y825,$B835&amp;" ~*")&gt;0))</f>
        <v/>
      </c>
    </row>
    <row r="836" ht="15" customHeight="1">
      <c r="A836" t="n">
        <v>17</v>
      </c>
      <c r="B836" s="37">
        <f>IF(Setup!$B$15="","",Setup!$B$15)</f>
        <v/>
      </c>
      <c r="C836" s="102" t="n"/>
      <c r="D836" s="103" t="n"/>
      <c r="E836" s="103" t="n"/>
      <c r="F836" s="104" t="n"/>
      <c r="G836" s="102" t="n"/>
      <c r="H836" s="103" t="n"/>
      <c r="I836" s="103" t="n"/>
      <c r="J836" s="104" t="n"/>
      <c r="K836" s="102" t="n"/>
      <c r="L836" s="103" t="n"/>
      <c r="M836" s="103" t="n"/>
      <c r="N836" s="104" t="n"/>
      <c r="O836" s="102" t="n"/>
      <c r="P836" s="103" t="n"/>
      <c r="Q836" s="103" t="n"/>
      <c r="R836" s="104" t="n"/>
      <c r="S836" s="102" t="n"/>
      <c r="T836" s="103" t="n"/>
      <c r="U836" s="103" t="n"/>
      <c r="V836" s="104" t="n"/>
      <c r="W836" s="102" t="n"/>
      <c r="X836" s="104" t="n"/>
      <c r="Y836" s="102" t="n"/>
      <c r="Z836" s="104" t="n"/>
      <c r="AB836" s="105">
        <f>IF($B836="","",(COUNTIF(C808:E825,$B836)+COUNTIF(C808:E825,$B836&amp;" ~*")&gt;0)+(COUNTIF(G808:I825,$B836)+COUNTIF(G808:I825,$B836&amp;" ~*")&gt;0)+(COUNTIF(K808:M825,$B836)+COUNTIF(K808:M825,$B836&amp;" ~*")&gt;0)+(COUNTIF(O808:Q825,$B836)+COUNTIF(O808:Q825,$B836&amp;" ~*")&gt;0)+(COUNTIF(S808:U825,$B836)+COUNTIF(S808:U825,$B836&amp;" ~*")&gt;0)+(COUNTIF(W808:W825,$B836)+COUNTIF(W808:W825,$B836&amp;" ~*")&gt;0)+(COUNTIF(Y808:Y825,$B836)+COUNTIF(Y808:Y825,$B836&amp;" ~*")&gt;0))</f>
        <v/>
      </c>
      <c r="AC836" s="38">
        <f>IF($B836="","",(IFERROR(INDEX(Setup!$G$33:$G$40,MATCH(C836,Setup!$B$33:$B$40,0)),0)=1)*(COUNTIF(C808:E825,$B836)+COUNTIF(C808:E825,$B836&amp;" ~*")&gt;0)+(IFERROR(INDEX(Setup!$G$33:$G$40,MATCH(G836,Setup!$B$33:$B$40,0)),0)=1)*(COUNTIF(G808:I825,$B836)+COUNTIF(G808:I825,$B836&amp;" ~*")&gt;0)+(IFERROR(INDEX(Setup!$G$33:$G$40,MATCH(K836,Setup!$B$33:$B$40,0)),0)=1)*(COUNTIF(K808:M825,$B836)+COUNTIF(K808:M825,$B836&amp;" ~*")&gt;0)+(IFERROR(INDEX(Setup!$G$33:$G$40,MATCH(O836,Setup!$B$33:$B$40,0)),0)=1)*(COUNTIF(O808:Q825,$B836)+COUNTIF(O808:Q825,$B836&amp;" ~*")&gt;0)+(IFERROR(INDEX(Setup!$G$33:$G$40,MATCH(S836,Setup!$B$33:$B$40,0)),0)=1)*(COUNTIF(S808:U825,$B836)+COUNTIF(S808:U825,$B836&amp;" ~*")&gt;0)+(IFERROR(INDEX(Setup!$G$33:$G$40,MATCH(W836,Setup!$B$33:$B$40,0)),0)=1)*(COUNTIF(W808:W825,$B836)+COUNTIF(W808:W825,$B836&amp;" ~*")&gt;0)+(IFERROR(INDEX(Setup!$G$33:$G$40,MATCH(Y836,Setup!$B$33:$B$40,0)),0)=1)*(COUNTIF(Y808:Y825,$B836)+COUNTIF(Y808:Y825,$B836&amp;" ~*")&gt;0))</f>
        <v/>
      </c>
    </row>
    <row r="837" ht="15" customHeight="1">
      <c r="A837" t="n">
        <v>17</v>
      </c>
      <c r="B837" s="35">
        <f>IF(Setup!$B$16="","",Setup!$B$16)</f>
        <v/>
      </c>
      <c r="C837" s="98" t="n"/>
      <c r="D837" s="99" t="n"/>
      <c r="E837" s="99" t="n"/>
      <c r="F837" s="100" t="n"/>
      <c r="G837" s="98" t="n"/>
      <c r="H837" s="99" t="n"/>
      <c r="I837" s="99" t="n"/>
      <c r="J837" s="100" t="n"/>
      <c r="K837" s="98" t="n"/>
      <c r="L837" s="99" t="n"/>
      <c r="M837" s="99" t="n"/>
      <c r="N837" s="100" t="n"/>
      <c r="O837" s="98" t="n"/>
      <c r="P837" s="99" t="n"/>
      <c r="Q837" s="99" t="n"/>
      <c r="R837" s="100" t="n"/>
      <c r="S837" s="98" t="n"/>
      <c r="T837" s="99" t="n"/>
      <c r="U837" s="99" t="n"/>
      <c r="V837" s="100" t="n"/>
      <c r="W837" s="98" t="n"/>
      <c r="X837" s="100" t="n"/>
      <c r="Y837" s="98" t="n"/>
      <c r="Z837" s="100" t="n"/>
      <c r="AB837" s="101">
        <f>IF($B837="","",(COUNTIF(C808:E825,$B837)+COUNTIF(C808:E825,$B837&amp;" ~*")&gt;0)+(COUNTIF(G808:I825,$B837)+COUNTIF(G808:I825,$B837&amp;" ~*")&gt;0)+(COUNTIF(K808:M825,$B837)+COUNTIF(K808:M825,$B837&amp;" ~*")&gt;0)+(COUNTIF(O808:Q825,$B837)+COUNTIF(O808:Q825,$B837&amp;" ~*")&gt;0)+(COUNTIF(S808:U825,$B837)+COUNTIF(S808:U825,$B837&amp;" ~*")&gt;0)+(COUNTIF(W808:W825,$B837)+COUNTIF(W808:W825,$B837&amp;" ~*")&gt;0)+(COUNTIF(Y808:Y825,$B837)+COUNTIF(Y808:Y825,$B837&amp;" ~*")&gt;0))</f>
        <v/>
      </c>
      <c r="AC837" s="36">
        <f>IF($B837="","",(IFERROR(INDEX(Setup!$G$33:$G$40,MATCH(C837,Setup!$B$33:$B$40,0)),0)=1)*(COUNTIF(C808:E825,$B837)+COUNTIF(C808:E825,$B837&amp;" ~*")&gt;0)+(IFERROR(INDEX(Setup!$G$33:$G$40,MATCH(G837,Setup!$B$33:$B$40,0)),0)=1)*(COUNTIF(G808:I825,$B837)+COUNTIF(G808:I825,$B837&amp;" ~*")&gt;0)+(IFERROR(INDEX(Setup!$G$33:$G$40,MATCH(K837,Setup!$B$33:$B$40,0)),0)=1)*(COUNTIF(K808:M825,$B837)+COUNTIF(K808:M825,$B837&amp;" ~*")&gt;0)+(IFERROR(INDEX(Setup!$G$33:$G$40,MATCH(O837,Setup!$B$33:$B$40,0)),0)=1)*(COUNTIF(O808:Q825,$B837)+COUNTIF(O808:Q825,$B837&amp;" ~*")&gt;0)+(IFERROR(INDEX(Setup!$G$33:$G$40,MATCH(S837,Setup!$B$33:$B$40,0)),0)=1)*(COUNTIF(S808:U825,$B837)+COUNTIF(S808:U825,$B837&amp;" ~*")&gt;0)+(IFERROR(INDEX(Setup!$G$33:$G$40,MATCH(W837,Setup!$B$33:$B$40,0)),0)=1)*(COUNTIF(W808:W825,$B837)+COUNTIF(W808:W825,$B837&amp;" ~*")&gt;0)+(IFERROR(INDEX(Setup!$G$33:$G$40,MATCH(Y837,Setup!$B$33:$B$40,0)),0)=1)*(COUNTIF(Y808:Y825,$B837)+COUNTIF(Y808:Y825,$B837&amp;" ~*")&gt;0))</f>
        <v/>
      </c>
    </row>
    <row r="838" ht="15" customHeight="1">
      <c r="A838" t="n">
        <v>17</v>
      </c>
      <c r="B838" s="37">
        <f>IF(Setup!$B$17="","",Setup!$B$17)</f>
        <v/>
      </c>
      <c r="C838" s="102" t="n"/>
      <c r="D838" s="103" t="n"/>
      <c r="E838" s="103" t="n"/>
      <c r="F838" s="104" t="n"/>
      <c r="G838" s="102" t="n"/>
      <c r="H838" s="103" t="n"/>
      <c r="I838" s="103" t="n"/>
      <c r="J838" s="104" t="n"/>
      <c r="K838" s="102" t="n"/>
      <c r="L838" s="103" t="n"/>
      <c r="M838" s="103" t="n"/>
      <c r="N838" s="104" t="n"/>
      <c r="O838" s="102" t="n"/>
      <c r="P838" s="103" t="n"/>
      <c r="Q838" s="103" t="n"/>
      <c r="R838" s="104" t="n"/>
      <c r="S838" s="102" t="n"/>
      <c r="T838" s="103" t="n"/>
      <c r="U838" s="103" t="n"/>
      <c r="V838" s="104" t="n"/>
      <c r="W838" s="102" t="n"/>
      <c r="X838" s="104" t="n"/>
      <c r="Y838" s="102" t="n"/>
      <c r="Z838" s="104" t="n"/>
      <c r="AB838" s="105">
        <f>IF($B838="","",(COUNTIF(C808:E825,$B838)+COUNTIF(C808:E825,$B838&amp;" ~*")&gt;0)+(COUNTIF(G808:I825,$B838)+COUNTIF(G808:I825,$B838&amp;" ~*")&gt;0)+(COUNTIF(K808:M825,$B838)+COUNTIF(K808:M825,$B838&amp;" ~*")&gt;0)+(COUNTIF(O808:Q825,$B838)+COUNTIF(O808:Q825,$B838&amp;" ~*")&gt;0)+(COUNTIF(S808:U825,$B838)+COUNTIF(S808:U825,$B838&amp;" ~*")&gt;0)+(COUNTIF(W808:W825,$B838)+COUNTIF(W808:W825,$B838&amp;" ~*")&gt;0)+(COUNTIF(Y808:Y825,$B838)+COUNTIF(Y808:Y825,$B838&amp;" ~*")&gt;0))</f>
        <v/>
      </c>
      <c r="AC838" s="38">
        <f>IF($B838="","",(IFERROR(INDEX(Setup!$G$33:$G$40,MATCH(C838,Setup!$B$33:$B$40,0)),0)=1)*(COUNTIF(C808:E825,$B838)+COUNTIF(C808:E825,$B838&amp;" ~*")&gt;0)+(IFERROR(INDEX(Setup!$G$33:$G$40,MATCH(G838,Setup!$B$33:$B$40,0)),0)=1)*(COUNTIF(G808:I825,$B838)+COUNTIF(G808:I825,$B838&amp;" ~*")&gt;0)+(IFERROR(INDEX(Setup!$G$33:$G$40,MATCH(K838,Setup!$B$33:$B$40,0)),0)=1)*(COUNTIF(K808:M825,$B838)+COUNTIF(K808:M825,$B838&amp;" ~*")&gt;0)+(IFERROR(INDEX(Setup!$G$33:$G$40,MATCH(O838,Setup!$B$33:$B$40,0)),0)=1)*(COUNTIF(O808:Q825,$B838)+COUNTIF(O808:Q825,$B838&amp;" ~*")&gt;0)+(IFERROR(INDEX(Setup!$G$33:$G$40,MATCH(S838,Setup!$B$33:$B$40,0)),0)=1)*(COUNTIF(S808:U825,$B838)+COUNTIF(S808:U825,$B838&amp;" ~*")&gt;0)+(IFERROR(INDEX(Setup!$G$33:$G$40,MATCH(W838,Setup!$B$33:$B$40,0)),0)=1)*(COUNTIF(W808:W825,$B838)+COUNTIF(W808:W825,$B838&amp;" ~*")&gt;0)+(IFERROR(INDEX(Setup!$G$33:$G$40,MATCH(Y838,Setup!$B$33:$B$40,0)),0)=1)*(COUNTIF(Y808:Y825,$B838)+COUNTIF(Y808:Y825,$B838&amp;" ~*")&gt;0))</f>
        <v/>
      </c>
    </row>
    <row r="839" ht="15" customHeight="1">
      <c r="A839" t="n">
        <v>17</v>
      </c>
      <c r="B839" s="35">
        <f>IF(Setup!$B$18="","",Setup!$B$18)</f>
        <v/>
      </c>
      <c r="C839" s="98" t="n"/>
      <c r="D839" s="99" t="n"/>
      <c r="E839" s="99" t="n"/>
      <c r="F839" s="100" t="n"/>
      <c r="G839" s="98" t="n"/>
      <c r="H839" s="99" t="n"/>
      <c r="I839" s="99" t="n"/>
      <c r="J839" s="100" t="n"/>
      <c r="K839" s="98" t="n"/>
      <c r="L839" s="99" t="n"/>
      <c r="M839" s="99" t="n"/>
      <c r="N839" s="100" t="n"/>
      <c r="O839" s="98" t="n"/>
      <c r="P839" s="99" t="n"/>
      <c r="Q839" s="99" t="n"/>
      <c r="R839" s="100" t="n"/>
      <c r="S839" s="98" t="n"/>
      <c r="T839" s="99" t="n"/>
      <c r="U839" s="99" t="n"/>
      <c r="V839" s="100" t="n"/>
      <c r="W839" s="98" t="n"/>
      <c r="X839" s="100" t="n"/>
      <c r="Y839" s="98" t="n"/>
      <c r="Z839" s="100" t="n"/>
      <c r="AB839" s="101">
        <f>IF($B839="","",(COUNTIF(C808:E825,$B839)+COUNTIF(C808:E825,$B839&amp;" ~*")&gt;0)+(COUNTIF(G808:I825,$B839)+COUNTIF(G808:I825,$B839&amp;" ~*")&gt;0)+(COUNTIF(K808:M825,$B839)+COUNTIF(K808:M825,$B839&amp;" ~*")&gt;0)+(COUNTIF(O808:Q825,$B839)+COUNTIF(O808:Q825,$B839&amp;" ~*")&gt;0)+(COUNTIF(S808:U825,$B839)+COUNTIF(S808:U825,$B839&amp;" ~*")&gt;0)+(COUNTIF(W808:W825,$B839)+COUNTIF(W808:W825,$B839&amp;" ~*")&gt;0)+(COUNTIF(Y808:Y825,$B839)+COUNTIF(Y808:Y825,$B839&amp;" ~*")&gt;0))</f>
        <v/>
      </c>
      <c r="AC839" s="36">
        <f>IF($B839="","",(IFERROR(INDEX(Setup!$G$33:$G$40,MATCH(C839,Setup!$B$33:$B$40,0)),0)=1)*(COUNTIF(C808:E825,$B839)+COUNTIF(C808:E825,$B839&amp;" ~*")&gt;0)+(IFERROR(INDEX(Setup!$G$33:$G$40,MATCH(G839,Setup!$B$33:$B$40,0)),0)=1)*(COUNTIF(G808:I825,$B839)+COUNTIF(G808:I825,$B839&amp;" ~*")&gt;0)+(IFERROR(INDEX(Setup!$G$33:$G$40,MATCH(K839,Setup!$B$33:$B$40,0)),0)=1)*(COUNTIF(K808:M825,$B839)+COUNTIF(K808:M825,$B839&amp;" ~*")&gt;0)+(IFERROR(INDEX(Setup!$G$33:$G$40,MATCH(O839,Setup!$B$33:$B$40,0)),0)=1)*(COUNTIF(O808:Q825,$B839)+COUNTIF(O808:Q825,$B839&amp;" ~*")&gt;0)+(IFERROR(INDEX(Setup!$G$33:$G$40,MATCH(S839,Setup!$B$33:$B$40,0)),0)=1)*(COUNTIF(S808:U825,$B839)+COUNTIF(S808:U825,$B839&amp;" ~*")&gt;0)+(IFERROR(INDEX(Setup!$G$33:$G$40,MATCH(W839,Setup!$B$33:$B$40,0)),0)=1)*(COUNTIF(W808:W825,$B839)+COUNTIF(W808:W825,$B839&amp;" ~*")&gt;0)+(IFERROR(INDEX(Setup!$G$33:$G$40,MATCH(Y839,Setup!$B$33:$B$40,0)),0)=1)*(COUNTIF(Y808:Y825,$B839)+COUNTIF(Y808:Y825,$B839&amp;" ~*")&gt;0))</f>
        <v/>
      </c>
    </row>
    <row r="840" ht="15" customHeight="1">
      <c r="A840" t="n">
        <v>17</v>
      </c>
      <c r="B840" s="37">
        <f>IF(Setup!$B$19="","",Setup!$B$19)</f>
        <v/>
      </c>
      <c r="C840" s="102" t="n"/>
      <c r="D840" s="103" t="n"/>
      <c r="E840" s="103" t="n"/>
      <c r="F840" s="104" t="n"/>
      <c r="G840" s="102" t="n"/>
      <c r="H840" s="103" t="n"/>
      <c r="I840" s="103" t="n"/>
      <c r="J840" s="104" t="n"/>
      <c r="K840" s="102" t="n"/>
      <c r="L840" s="103" t="n"/>
      <c r="M840" s="103" t="n"/>
      <c r="N840" s="104" t="n"/>
      <c r="O840" s="102" t="n"/>
      <c r="P840" s="103" t="n"/>
      <c r="Q840" s="103" t="n"/>
      <c r="R840" s="104" t="n"/>
      <c r="S840" s="102" t="n"/>
      <c r="T840" s="103" t="n"/>
      <c r="U840" s="103" t="n"/>
      <c r="V840" s="104" t="n"/>
      <c r="W840" s="102" t="n"/>
      <c r="X840" s="104" t="n"/>
      <c r="Y840" s="102" t="n"/>
      <c r="Z840" s="104" t="n"/>
      <c r="AB840" s="105">
        <f>IF($B840="","",(COUNTIF(C808:E825,$B840)+COUNTIF(C808:E825,$B840&amp;" ~*")&gt;0)+(COUNTIF(G808:I825,$B840)+COUNTIF(G808:I825,$B840&amp;" ~*")&gt;0)+(COUNTIF(K808:M825,$B840)+COUNTIF(K808:M825,$B840&amp;" ~*")&gt;0)+(COUNTIF(O808:Q825,$B840)+COUNTIF(O808:Q825,$B840&amp;" ~*")&gt;0)+(COUNTIF(S808:U825,$B840)+COUNTIF(S808:U825,$B840&amp;" ~*")&gt;0)+(COUNTIF(W808:W825,$B840)+COUNTIF(W808:W825,$B840&amp;" ~*")&gt;0)+(COUNTIF(Y808:Y825,$B840)+COUNTIF(Y808:Y825,$B840&amp;" ~*")&gt;0))</f>
        <v/>
      </c>
      <c r="AC840" s="38">
        <f>IF($B840="","",(IFERROR(INDEX(Setup!$G$33:$G$40,MATCH(C840,Setup!$B$33:$B$40,0)),0)=1)*(COUNTIF(C808:E825,$B840)+COUNTIF(C808:E825,$B840&amp;" ~*")&gt;0)+(IFERROR(INDEX(Setup!$G$33:$G$40,MATCH(G840,Setup!$B$33:$B$40,0)),0)=1)*(COUNTIF(G808:I825,$B840)+COUNTIF(G808:I825,$B840&amp;" ~*")&gt;0)+(IFERROR(INDEX(Setup!$G$33:$G$40,MATCH(K840,Setup!$B$33:$B$40,0)),0)=1)*(COUNTIF(K808:M825,$B840)+COUNTIF(K808:M825,$B840&amp;" ~*")&gt;0)+(IFERROR(INDEX(Setup!$G$33:$G$40,MATCH(O840,Setup!$B$33:$B$40,0)),0)=1)*(COUNTIF(O808:Q825,$B840)+COUNTIF(O808:Q825,$B840&amp;" ~*")&gt;0)+(IFERROR(INDEX(Setup!$G$33:$G$40,MATCH(S840,Setup!$B$33:$B$40,0)),0)=1)*(COUNTIF(S808:U825,$B840)+COUNTIF(S808:U825,$B840&amp;" ~*")&gt;0)+(IFERROR(INDEX(Setup!$G$33:$G$40,MATCH(W840,Setup!$B$33:$B$40,0)),0)=1)*(COUNTIF(W808:W825,$B840)+COUNTIF(W808:W825,$B840&amp;" ~*")&gt;0)+(IFERROR(INDEX(Setup!$G$33:$G$40,MATCH(Y840,Setup!$B$33:$B$40,0)),0)=1)*(COUNTIF(Y808:Y825,$B840)+COUNTIF(Y808:Y825,$B840&amp;" ~*")&gt;0))</f>
        <v/>
      </c>
    </row>
    <row r="841" ht="15" customHeight="1">
      <c r="A841" t="n">
        <v>17</v>
      </c>
      <c r="B841" s="35">
        <f>IF(Setup!$B$20="","",Setup!$B$20)</f>
        <v/>
      </c>
      <c r="C841" s="98" t="n"/>
      <c r="D841" s="99" t="n"/>
      <c r="E841" s="99" t="n"/>
      <c r="F841" s="100" t="n"/>
      <c r="G841" s="98" t="n"/>
      <c r="H841" s="99" t="n"/>
      <c r="I841" s="99" t="n"/>
      <c r="J841" s="100" t="n"/>
      <c r="K841" s="98" t="n"/>
      <c r="L841" s="99" t="n"/>
      <c r="M841" s="99" t="n"/>
      <c r="N841" s="100" t="n"/>
      <c r="O841" s="98" t="n"/>
      <c r="P841" s="99" t="n"/>
      <c r="Q841" s="99" t="n"/>
      <c r="R841" s="100" t="n"/>
      <c r="S841" s="98" t="n"/>
      <c r="T841" s="99" t="n"/>
      <c r="U841" s="99" t="n"/>
      <c r="V841" s="100" t="n"/>
      <c r="W841" s="98" t="n"/>
      <c r="X841" s="100" t="n"/>
      <c r="Y841" s="98" t="n"/>
      <c r="Z841" s="100" t="n"/>
      <c r="AB841" s="101">
        <f>IF($B841="","",(COUNTIF(C808:E825,$B841)+COUNTIF(C808:E825,$B841&amp;" ~*")&gt;0)+(COUNTIF(G808:I825,$B841)+COUNTIF(G808:I825,$B841&amp;" ~*")&gt;0)+(COUNTIF(K808:M825,$B841)+COUNTIF(K808:M825,$B841&amp;" ~*")&gt;0)+(COUNTIF(O808:Q825,$B841)+COUNTIF(O808:Q825,$B841&amp;" ~*")&gt;0)+(COUNTIF(S808:U825,$B841)+COUNTIF(S808:U825,$B841&amp;" ~*")&gt;0)+(COUNTIF(W808:W825,$B841)+COUNTIF(W808:W825,$B841&amp;" ~*")&gt;0)+(COUNTIF(Y808:Y825,$B841)+COUNTIF(Y808:Y825,$B841&amp;" ~*")&gt;0))</f>
        <v/>
      </c>
      <c r="AC841" s="36">
        <f>IF($B841="","",(IFERROR(INDEX(Setup!$G$33:$G$40,MATCH(C841,Setup!$B$33:$B$40,0)),0)=1)*(COUNTIF(C808:E825,$B841)+COUNTIF(C808:E825,$B841&amp;" ~*")&gt;0)+(IFERROR(INDEX(Setup!$G$33:$G$40,MATCH(G841,Setup!$B$33:$B$40,0)),0)=1)*(COUNTIF(G808:I825,$B841)+COUNTIF(G808:I825,$B841&amp;" ~*")&gt;0)+(IFERROR(INDEX(Setup!$G$33:$G$40,MATCH(K841,Setup!$B$33:$B$40,0)),0)=1)*(COUNTIF(K808:M825,$B841)+COUNTIF(K808:M825,$B841&amp;" ~*")&gt;0)+(IFERROR(INDEX(Setup!$G$33:$G$40,MATCH(O841,Setup!$B$33:$B$40,0)),0)=1)*(COUNTIF(O808:Q825,$B841)+COUNTIF(O808:Q825,$B841&amp;" ~*")&gt;0)+(IFERROR(INDEX(Setup!$G$33:$G$40,MATCH(S841,Setup!$B$33:$B$40,0)),0)=1)*(COUNTIF(S808:U825,$B841)+COUNTIF(S808:U825,$B841&amp;" ~*")&gt;0)+(IFERROR(INDEX(Setup!$G$33:$G$40,MATCH(W841,Setup!$B$33:$B$40,0)),0)=1)*(COUNTIF(W808:W825,$B841)+COUNTIF(W808:W825,$B841&amp;" ~*")&gt;0)+(IFERROR(INDEX(Setup!$G$33:$G$40,MATCH(Y841,Setup!$B$33:$B$40,0)),0)=1)*(COUNTIF(Y808:Y825,$B841)+COUNTIF(Y808:Y825,$B841&amp;" ~*")&gt;0))</f>
        <v/>
      </c>
    </row>
    <row r="842" ht="15" customHeight="1">
      <c r="A842" t="n">
        <v>17</v>
      </c>
      <c r="B842" s="37">
        <f>IF(Setup!$B$21="","",Setup!$B$21)</f>
        <v/>
      </c>
      <c r="C842" s="102" t="n"/>
      <c r="D842" s="103" t="n"/>
      <c r="E842" s="103" t="n"/>
      <c r="F842" s="104" t="n"/>
      <c r="G842" s="102" t="n"/>
      <c r="H842" s="103" t="n"/>
      <c r="I842" s="103" t="n"/>
      <c r="J842" s="104" t="n"/>
      <c r="K842" s="102" t="n"/>
      <c r="L842" s="103" t="n"/>
      <c r="M842" s="103" t="n"/>
      <c r="N842" s="104" t="n"/>
      <c r="O842" s="102" t="n"/>
      <c r="P842" s="103" t="n"/>
      <c r="Q842" s="103" t="n"/>
      <c r="R842" s="104" t="n"/>
      <c r="S842" s="102" t="n"/>
      <c r="T842" s="103" t="n"/>
      <c r="U842" s="103" t="n"/>
      <c r="V842" s="104" t="n"/>
      <c r="W842" s="102" t="n"/>
      <c r="X842" s="104" t="n"/>
      <c r="Y842" s="102" t="n"/>
      <c r="Z842" s="104" t="n"/>
      <c r="AB842" s="105">
        <f>IF($B842="","",(COUNTIF(C808:E825,$B842)+COUNTIF(C808:E825,$B842&amp;" ~*")&gt;0)+(COUNTIF(G808:I825,$B842)+COUNTIF(G808:I825,$B842&amp;" ~*")&gt;0)+(COUNTIF(K808:M825,$B842)+COUNTIF(K808:M825,$B842&amp;" ~*")&gt;0)+(COUNTIF(O808:Q825,$B842)+COUNTIF(O808:Q825,$B842&amp;" ~*")&gt;0)+(COUNTIF(S808:U825,$B842)+COUNTIF(S808:U825,$B842&amp;" ~*")&gt;0)+(COUNTIF(W808:W825,$B842)+COUNTIF(W808:W825,$B842&amp;" ~*")&gt;0)+(COUNTIF(Y808:Y825,$B842)+COUNTIF(Y808:Y825,$B842&amp;" ~*")&gt;0))</f>
        <v/>
      </c>
      <c r="AC842" s="38">
        <f>IF($B842="","",(IFERROR(INDEX(Setup!$G$33:$G$40,MATCH(C842,Setup!$B$33:$B$40,0)),0)=1)*(COUNTIF(C808:E825,$B842)+COUNTIF(C808:E825,$B842&amp;" ~*")&gt;0)+(IFERROR(INDEX(Setup!$G$33:$G$40,MATCH(G842,Setup!$B$33:$B$40,0)),0)=1)*(COUNTIF(G808:I825,$B842)+COUNTIF(G808:I825,$B842&amp;" ~*")&gt;0)+(IFERROR(INDEX(Setup!$G$33:$G$40,MATCH(K842,Setup!$B$33:$B$40,0)),0)=1)*(COUNTIF(K808:M825,$B842)+COUNTIF(K808:M825,$B842&amp;" ~*")&gt;0)+(IFERROR(INDEX(Setup!$G$33:$G$40,MATCH(O842,Setup!$B$33:$B$40,0)),0)=1)*(COUNTIF(O808:Q825,$B842)+COUNTIF(O808:Q825,$B842&amp;" ~*")&gt;0)+(IFERROR(INDEX(Setup!$G$33:$G$40,MATCH(S842,Setup!$B$33:$B$40,0)),0)=1)*(COUNTIF(S808:U825,$B842)+COUNTIF(S808:U825,$B842&amp;" ~*")&gt;0)+(IFERROR(INDEX(Setup!$G$33:$G$40,MATCH(W842,Setup!$B$33:$B$40,0)),0)=1)*(COUNTIF(W808:W825,$B842)+COUNTIF(W808:W825,$B842&amp;" ~*")&gt;0)+(IFERROR(INDEX(Setup!$G$33:$G$40,MATCH(Y842,Setup!$B$33:$B$40,0)),0)=1)*(COUNTIF(Y808:Y825,$B842)+COUNTIF(Y808:Y825,$B842&amp;" ~*")&gt;0))</f>
        <v/>
      </c>
    </row>
    <row r="843" ht="15" customHeight="1">
      <c r="A843" t="n">
        <v>17</v>
      </c>
      <c r="B843" s="35">
        <f>IF(Setup!$B$22="","",Setup!$B$22)</f>
        <v/>
      </c>
      <c r="C843" s="98" t="n"/>
      <c r="D843" s="99" t="n"/>
      <c r="E843" s="99" t="n"/>
      <c r="F843" s="100" t="n"/>
      <c r="G843" s="98" t="n"/>
      <c r="H843" s="99" t="n"/>
      <c r="I843" s="99" t="n"/>
      <c r="J843" s="100" t="n"/>
      <c r="K843" s="98" t="n"/>
      <c r="L843" s="99" t="n"/>
      <c r="M843" s="99" t="n"/>
      <c r="N843" s="100" t="n"/>
      <c r="O843" s="98" t="n"/>
      <c r="P843" s="99" t="n"/>
      <c r="Q843" s="99" t="n"/>
      <c r="R843" s="100" t="n"/>
      <c r="S843" s="98" t="n"/>
      <c r="T843" s="99" t="n"/>
      <c r="U843" s="99" t="n"/>
      <c r="V843" s="100" t="n"/>
      <c r="W843" s="98" t="n"/>
      <c r="X843" s="100" t="n"/>
      <c r="Y843" s="98" t="n"/>
      <c r="Z843" s="100" t="n"/>
      <c r="AB843" s="101">
        <f>IF($B843="","",(COUNTIF(C808:E825,$B843)+COUNTIF(C808:E825,$B843&amp;" ~*")&gt;0)+(COUNTIF(G808:I825,$B843)+COUNTIF(G808:I825,$B843&amp;" ~*")&gt;0)+(COUNTIF(K808:M825,$B843)+COUNTIF(K808:M825,$B843&amp;" ~*")&gt;0)+(COUNTIF(O808:Q825,$B843)+COUNTIF(O808:Q825,$B843&amp;" ~*")&gt;0)+(COUNTIF(S808:U825,$B843)+COUNTIF(S808:U825,$B843&amp;" ~*")&gt;0)+(COUNTIF(W808:W825,$B843)+COUNTIF(W808:W825,$B843&amp;" ~*")&gt;0)+(COUNTIF(Y808:Y825,$B843)+COUNTIF(Y808:Y825,$B843&amp;" ~*")&gt;0))</f>
        <v/>
      </c>
      <c r="AC843" s="36">
        <f>IF($B843="","",(IFERROR(INDEX(Setup!$G$33:$G$40,MATCH(C843,Setup!$B$33:$B$40,0)),0)=1)*(COUNTIF(C808:E825,$B843)+COUNTIF(C808:E825,$B843&amp;" ~*")&gt;0)+(IFERROR(INDEX(Setup!$G$33:$G$40,MATCH(G843,Setup!$B$33:$B$40,0)),0)=1)*(COUNTIF(G808:I825,$B843)+COUNTIF(G808:I825,$B843&amp;" ~*")&gt;0)+(IFERROR(INDEX(Setup!$G$33:$G$40,MATCH(K843,Setup!$B$33:$B$40,0)),0)=1)*(COUNTIF(K808:M825,$B843)+COUNTIF(K808:M825,$B843&amp;" ~*")&gt;0)+(IFERROR(INDEX(Setup!$G$33:$G$40,MATCH(O843,Setup!$B$33:$B$40,0)),0)=1)*(COUNTIF(O808:Q825,$B843)+COUNTIF(O808:Q825,$B843&amp;" ~*")&gt;0)+(IFERROR(INDEX(Setup!$G$33:$G$40,MATCH(S843,Setup!$B$33:$B$40,0)),0)=1)*(COUNTIF(S808:U825,$B843)+COUNTIF(S808:U825,$B843&amp;" ~*")&gt;0)+(IFERROR(INDEX(Setup!$G$33:$G$40,MATCH(W843,Setup!$B$33:$B$40,0)),0)=1)*(COUNTIF(W808:W825,$B843)+COUNTIF(W808:W825,$B843&amp;" ~*")&gt;0)+(IFERROR(INDEX(Setup!$G$33:$G$40,MATCH(Y843,Setup!$B$33:$B$40,0)),0)=1)*(COUNTIF(Y808:Y825,$B843)+COUNTIF(Y808:Y825,$B843&amp;" ~*")&gt;0))</f>
        <v/>
      </c>
    </row>
    <row r="844" ht="15" customHeight="1">
      <c r="A844" t="n">
        <v>17</v>
      </c>
      <c r="B844" s="37">
        <f>IF(Setup!$B$23="","",Setup!$B$23)</f>
        <v/>
      </c>
      <c r="C844" s="102" t="n"/>
      <c r="D844" s="103" t="n"/>
      <c r="E844" s="103" t="n"/>
      <c r="F844" s="104" t="n"/>
      <c r="G844" s="102" t="n"/>
      <c r="H844" s="103" t="n"/>
      <c r="I844" s="103" t="n"/>
      <c r="J844" s="104" t="n"/>
      <c r="K844" s="102" t="n"/>
      <c r="L844" s="103" t="n"/>
      <c r="M844" s="103" t="n"/>
      <c r="N844" s="104" t="n"/>
      <c r="O844" s="102" t="n"/>
      <c r="P844" s="103" t="n"/>
      <c r="Q844" s="103" t="n"/>
      <c r="R844" s="104" t="n"/>
      <c r="S844" s="102" t="n"/>
      <c r="T844" s="103" t="n"/>
      <c r="U844" s="103" t="n"/>
      <c r="V844" s="104" t="n"/>
      <c r="W844" s="102" t="n"/>
      <c r="X844" s="104" t="n"/>
      <c r="Y844" s="102" t="n"/>
      <c r="Z844" s="104" t="n"/>
      <c r="AB844" s="105">
        <f>IF($B844="","",(COUNTIF(C808:E825,$B844)+COUNTIF(C808:E825,$B844&amp;" ~*")&gt;0)+(COUNTIF(G808:I825,$B844)+COUNTIF(G808:I825,$B844&amp;" ~*")&gt;0)+(COUNTIF(K808:M825,$B844)+COUNTIF(K808:M825,$B844&amp;" ~*")&gt;0)+(COUNTIF(O808:Q825,$B844)+COUNTIF(O808:Q825,$B844&amp;" ~*")&gt;0)+(COUNTIF(S808:U825,$B844)+COUNTIF(S808:U825,$B844&amp;" ~*")&gt;0)+(COUNTIF(W808:W825,$B844)+COUNTIF(W808:W825,$B844&amp;" ~*")&gt;0)+(COUNTIF(Y808:Y825,$B844)+COUNTIF(Y808:Y825,$B844&amp;" ~*")&gt;0))</f>
        <v/>
      </c>
      <c r="AC844" s="38">
        <f>IF($B844="","",(IFERROR(INDEX(Setup!$G$33:$G$40,MATCH(C844,Setup!$B$33:$B$40,0)),0)=1)*(COUNTIF(C808:E825,$B844)+COUNTIF(C808:E825,$B844&amp;" ~*")&gt;0)+(IFERROR(INDEX(Setup!$G$33:$G$40,MATCH(G844,Setup!$B$33:$B$40,0)),0)=1)*(COUNTIF(G808:I825,$B844)+COUNTIF(G808:I825,$B844&amp;" ~*")&gt;0)+(IFERROR(INDEX(Setup!$G$33:$G$40,MATCH(K844,Setup!$B$33:$B$40,0)),0)=1)*(COUNTIF(K808:M825,$B844)+COUNTIF(K808:M825,$B844&amp;" ~*")&gt;0)+(IFERROR(INDEX(Setup!$G$33:$G$40,MATCH(O844,Setup!$B$33:$B$40,0)),0)=1)*(COUNTIF(O808:Q825,$B844)+COUNTIF(O808:Q825,$B844&amp;" ~*")&gt;0)+(IFERROR(INDEX(Setup!$G$33:$G$40,MATCH(S844,Setup!$B$33:$B$40,0)),0)=1)*(COUNTIF(S808:U825,$B844)+COUNTIF(S808:U825,$B844&amp;" ~*")&gt;0)+(IFERROR(INDEX(Setup!$G$33:$G$40,MATCH(W844,Setup!$B$33:$B$40,0)),0)=1)*(COUNTIF(W808:W825,$B844)+COUNTIF(W808:W825,$B844&amp;" ~*")&gt;0)+(IFERROR(INDEX(Setup!$G$33:$G$40,MATCH(Y844,Setup!$B$33:$B$40,0)),0)=1)*(COUNTIF(Y808:Y825,$B844)+COUNTIF(Y808:Y825,$B844&amp;" ~*")&gt;0))</f>
        <v/>
      </c>
    </row>
    <row r="845" ht="15" customHeight="1">
      <c r="A845" t="n">
        <v>17</v>
      </c>
      <c r="B845" s="35">
        <f>IF(Setup!$B$24="","",Setup!$B$24)</f>
        <v/>
      </c>
      <c r="C845" s="98" t="n"/>
      <c r="D845" s="99" t="n"/>
      <c r="E845" s="99" t="n"/>
      <c r="F845" s="100" t="n"/>
      <c r="G845" s="98" t="n"/>
      <c r="H845" s="99" t="n"/>
      <c r="I845" s="99" t="n"/>
      <c r="J845" s="100" t="n"/>
      <c r="K845" s="98" t="n"/>
      <c r="L845" s="99" t="n"/>
      <c r="M845" s="99" t="n"/>
      <c r="N845" s="100" t="n"/>
      <c r="O845" s="98" t="n"/>
      <c r="P845" s="99" t="n"/>
      <c r="Q845" s="99" t="n"/>
      <c r="R845" s="100" t="n"/>
      <c r="S845" s="98" t="n"/>
      <c r="T845" s="99" t="n"/>
      <c r="U845" s="99" t="n"/>
      <c r="V845" s="100" t="n"/>
      <c r="W845" s="98" t="n"/>
      <c r="X845" s="100" t="n"/>
      <c r="Y845" s="98" t="n"/>
      <c r="Z845" s="100" t="n"/>
      <c r="AB845" s="101">
        <f>IF($B845="","",(COUNTIF(C808:E825,$B845)+COUNTIF(C808:E825,$B845&amp;" ~*")&gt;0)+(COUNTIF(G808:I825,$B845)+COUNTIF(G808:I825,$B845&amp;" ~*")&gt;0)+(COUNTIF(K808:M825,$B845)+COUNTIF(K808:M825,$B845&amp;" ~*")&gt;0)+(COUNTIF(O808:Q825,$B845)+COUNTIF(O808:Q825,$B845&amp;" ~*")&gt;0)+(COUNTIF(S808:U825,$B845)+COUNTIF(S808:U825,$B845&amp;" ~*")&gt;0)+(COUNTIF(W808:W825,$B845)+COUNTIF(W808:W825,$B845&amp;" ~*")&gt;0)+(COUNTIF(Y808:Y825,$B845)+COUNTIF(Y808:Y825,$B845&amp;" ~*")&gt;0))</f>
        <v/>
      </c>
      <c r="AC845" s="36">
        <f>IF($B845="","",(IFERROR(INDEX(Setup!$G$33:$G$40,MATCH(C845,Setup!$B$33:$B$40,0)),0)=1)*(COUNTIF(C808:E825,$B845)+COUNTIF(C808:E825,$B845&amp;" ~*")&gt;0)+(IFERROR(INDEX(Setup!$G$33:$G$40,MATCH(G845,Setup!$B$33:$B$40,0)),0)=1)*(COUNTIF(G808:I825,$B845)+COUNTIF(G808:I825,$B845&amp;" ~*")&gt;0)+(IFERROR(INDEX(Setup!$G$33:$G$40,MATCH(K845,Setup!$B$33:$B$40,0)),0)=1)*(COUNTIF(K808:M825,$B845)+COUNTIF(K808:M825,$B845&amp;" ~*")&gt;0)+(IFERROR(INDEX(Setup!$G$33:$G$40,MATCH(O845,Setup!$B$33:$B$40,0)),0)=1)*(COUNTIF(O808:Q825,$B845)+COUNTIF(O808:Q825,$B845&amp;" ~*")&gt;0)+(IFERROR(INDEX(Setup!$G$33:$G$40,MATCH(S845,Setup!$B$33:$B$40,0)),0)=1)*(COUNTIF(S808:U825,$B845)+COUNTIF(S808:U825,$B845&amp;" ~*")&gt;0)+(IFERROR(INDEX(Setup!$G$33:$G$40,MATCH(W845,Setup!$B$33:$B$40,0)),0)=1)*(COUNTIF(W808:W825,$B845)+COUNTIF(W808:W825,$B845&amp;" ~*")&gt;0)+(IFERROR(INDEX(Setup!$G$33:$G$40,MATCH(Y845,Setup!$B$33:$B$40,0)),0)=1)*(COUNTIF(Y808:Y825,$B845)+COUNTIF(Y808:Y825,$B845&amp;" ~*")&gt;0))</f>
        <v/>
      </c>
    </row>
    <row r="846" ht="15" customHeight="1">
      <c r="A846" t="n">
        <v>17</v>
      </c>
      <c r="B846" s="37">
        <f>IF(Setup!$B$25="","",Setup!$B$25)</f>
        <v/>
      </c>
      <c r="C846" s="102" t="n"/>
      <c r="D846" s="103" t="n"/>
      <c r="E846" s="103" t="n"/>
      <c r="F846" s="104" t="n"/>
      <c r="G846" s="102" t="n"/>
      <c r="H846" s="103" t="n"/>
      <c r="I846" s="103" t="n"/>
      <c r="J846" s="104" t="n"/>
      <c r="K846" s="102" t="n"/>
      <c r="L846" s="103" t="n"/>
      <c r="M846" s="103" t="n"/>
      <c r="N846" s="104" t="n"/>
      <c r="O846" s="102" t="n"/>
      <c r="P846" s="103" t="n"/>
      <c r="Q846" s="103" t="n"/>
      <c r="R846" s="104" t="n"/>
      <c r="S846" s="102" t="n"/>
      <c r="T846" s="103" t="n"/>
      <c r="U846" s="103" t="n"/>
      <c r="V846" s="104" t="n"/>
      <c r="W846" s="102" t="n"/>
      <c r="X846" s="104" t="n"/>
      <c r="Y846" s="102" t="n"/>
      <c r="Z846" s="104" t="n"/>
      <c r="AB846" s="105">
        <f>IF($B846="","",(COUNTIF(C808:E825,$B846)+COUNTIF(C808:E825,$B846&amp;" ~*")&gt;0)+(COUNTIF(G808:I825,$B846)+COUNTIF(G808:I825,$B846&amp;" ~*")&gt;0)+(COUNTIF(K808:M825,$B846)+COUNTIF(K808:M825,$B846&amp;" ~*")&gt;0)+(COUNTIF(O808:Q825,$B846)+COUNTIF(O808:Q825,$B846&amp;" ~*")&gt;0)+(COUNTIF(S808:U825,$B846)+COUNTIF(S808:U825,$B846&amp;" ~*")&gt;0)+(COUNTIF(W808:W825,$B846)+COUNTIF(W808:W825,$B846&amp;" ~*")&gt;0)+(COUNTIF(Y808:Y825,$B846)+COUNTIF(Y808:Y825,$B846&amp;" ~*")&gt;0))</f>
        <v/>
      </c>
      <c r="AC846" s="38">
        <f>IF($B846="","",(IFERROR(INDEX(Setup!$G$33:$G$40,MATCH(C846,Setup!$B$33:$B$40,0)),0)=1)*(COUNTIF(C808:E825,$B846)+COUNTIF(C808:E825,$B846&amp;" ~*")&gt;0)+(IFERROR(INDEX(Setup!$G$33:$G$40,MATCH(G846,Setup!$B$33:$B$40,0)),0)=1)*(COUNTIF(G808:I825,$B846)+COUNTIF(G808:I825,$B846&amp;" ~*")&gt;0)+(IFERROR(INDEX(Setup!$G$33:$G$40,MATCH(K846,Setup!$B$33:$B$40,0)),0)=1)*(COUNTIF(K808:M825,$B846)+COUNTIF(K808:M825,$B846&amp;" ~*")&gt;0)+(IFERROR(INDEX(Setup!$G$33:$G$40,MATCH(O846,Setup!$B$33:$B$40,0)),0)=1)*(COUNTIF(O808:Q825,$B846)+COUNTIF(O808:Q825,$B846&amp;" ~*")&gt;0)+(IFERROR(INDEX(Setup!$G$33:$G$40,MATCH(S846,Setup!$B$33:$B$40,0)),0)=1)*(COUNTIF(S808:U825,$B846)+COUNTIF(S808:U825,$B846&amp;" ~*")&gt;0)+(IFERROR(INDEX(Setup!$G$33:$G$40,MATCH(W846,Setup!$B$33:$B$40,0)),0)=1)*(COUNTIF(W808:W825,$B846)+COUNTIF(W808:W825,$B846&amp;" ~*")&gt;0)+(IFERROR(INDEX(Setup!$G$33:$G$40,MATCH(Y846,Setup!$B$33:$B$40,0)),0)=1)*(COUNTIF(Y808:Y825,$B846)+COUNTIF(Y808:Y825,$B846&amp;" ~*")&gt;0))</f>
        <v/>
      </c>
    </row>
    <row r="847" ht="15" customHeight="1">
      <c r="A847" t="n">
        <v>17</v>
      </c>
      <c r="B847" s="35">
        <f>IF(Setup!$B$26="","",Setup!$B$26)</f>
        <v/>
      </c>
      <c r="C847" s="98" t="n"/>
      <c r="D847" s="99" t="n"/>
      <c r="E847" s="99" t="n"/>
      <c r="F847" s="100" t="n"/>
      <c r="G847" s="98" t="n"/>
      <c r="H847" s="99" t="n"/>
      <c r="I847" s="99" t="n"/>
      <c r="J847" s="100" t="n"/>
      <c r="K847" s="98" t="n"/>
      <c r="L847" s="99" t="n"/>
      <c r="M847" s="99" t="n"/>
      <c r="N847" s="100" t="n"/>
      <c r="O847" s="98" t="n"/>
      <c r="P847" s="99" t="n"/>
      <c r="Q847" s="99" t="n"/>
      <c r="R847" s="100" t="n"/>
      <c r="S847" s="98" t="n"/>
      <c r="T847" s="99" t="n"/>
      <c r="U847" s="99" t="n"/>
      <c r="V847" s="100" t="n"/>
      <c r="W847" s="98" t="n"/>
      <c r="X847" s="100" t="n"/>
      <c r="Y847" s="98" t="n"/>
      <c r="Z847" s="100" t="n"/>
      <c r="AB847" s="101">
        <f>IF($B847="","",(COUNTIF(C808:E825,$B847)+COUNTIF(C808:E825,$B847&amp;" ~*")&gt;0)+(COUNTIF(G808:I825,$B847)+COUNTIF(G808:I825,$B847&amp;" ~*")&gt;0)+(COUNTIF(K808:M825,$B847)+COUNTIF(K808:M825,$B847&amp;" ~*")&gt;0)+(COUNTIF(O808:Q825,$B847)+COUNTIF(O808:Q825,$B847&amp;" ~*")&gt;0)+(COUNTIF(S808:U825,$B847)+COUNTIF(S808:U825,$B847&amp;" ~*")&gt;0)+(COUNTIF(W808:W825,$B847)+COUNTIF(W808:W825,$B847&amp;" ~*")&gt;0)+(COUNTIF(Y808:Y825,$B847)+COUNTIF(Y808:Y825,$B847&amp;" ~*")&gt;0))</f>
        <v/>
      </c>
      <c r="AC847" s="36">
        <f>IF($B847="","",(IFERROR(INDEX(Setup!$G$33:$G$40,MATCH(C847,Setup!$B$33:$B$40,0)),0)=1)*(COUNTIF(C808:E825,$B847)+COUNTIF(C808:E825,$B847&amp;" ~*")&gt;0)+(IFERROR(INDEX(Setup!$G$33:$G$40,MATCH(G847,Setup!$B$33:$B$40,0)),0)=1)*(COUNTIF(G808:I825,$B847)+COUNTIF(G808:I825,$B847&amp;" ~*")&gt;0)+(IFERROR(INDEX(Setup!$G$33:$G$40,MATCH(K847,Setup!$B$33:$B$40,0)),0)=1)*(COUNTIF(K808:M825,$B847)+COUNTIF(K808:M825,$B847&amp;" ~*")&gt;0)+(IFERROR(INDEX(Setup!$G$33:$G$40,MATCH(O847,Setup!$B$33:$B$40,0)),0)=1)*(COUNTIF(O808:Q825,$B847)+COUNTIF(O808:Q825,$B847&amp;" ~*")&gt;0)+(IFERROR(INDEX(Setup!$G$33:$G$40,MATCH(S847,Setup!$B$33:$B$40,0)),0)=1)*(COUNTIF(S808:U825,$B847)+COUNTIF(S808:U825,$B847&amp;" ~*")&gt;0)+(IFERROR(INDEX(Setup!$G$33:$G$40,MATCH(W847,Setup!$B$33:$B$40,0)),0)=1)*(COUNTIF(W808:W825,$B847)+COUNTIF(W808:W825,$B847&amp;" ~*")&gt;0)+(IFERROR(INDEX(Setup!$G$33:$G$40,MATCH(Y847,Setup!$B$33:$B$40,0)),0)=1)*(COUNTIF(Y808:Y825,$B847)+COUNTIF(Y808:Y825,$B847&amp;" ~*")&gt;0))</f>
        <v/>
      </c>
    </row>
    <row r="848" ht="15" customHeight="1">
      <c r="A848" t="n">
        <v>17</v>
      </c>
      <c r="B848" s="37">
        <f>IF(Setup!$B$27="","",Setup!$B$27)</f>
        <v/>
      </c>
      <c r="C848" s="102" t="n"/>
      <c r="D848" s="103" t="n"/>
      <c r="E848" s="103" t="n"/>
      <c r="F848" s="104" t="n"/>
      <c r="G848" s="102" t="n"/>
      <c r="H848" s="103" t="n"/>
      <c r="I848" s="103" t="n"/>
      <c r="J848" s="104" t="n"/>
      <c r="K848" s="102" t="n"/>
      <c r="L848" s="103" t="n"/>
      <c r="M848" s="103" t="n"/>
      <c r="N848" s="104" t="n"/>
      <c r="O848" s="102" t="n"/>
      <c r="P848" s="103" t="n"/>
      <c r="Q848" s="103" t="n"/>
      <c r="R848" s="104" t="n"/>
      <c r="S848" s="102" t="n"/>
      <c r="T848" s="103" t="n"/>
      <c r="U848" s="103" t="n"/>
      <c r="V848" s="104" t="n"/>
      <c r="W848" s="102" t="n"/>
      <c r="X848" s="104" t="n"/>
      <c r="Y848" s="102" t="n"/>
      <c r="Z848" s="104" t="n"/>
      <c r="AB848" s="105">
        <f>IF($B848="","",(COUNTIF(C808:E825,$B848)+COUNTIF(C808:E825,$B848&amp;" ~*")&gt;0)+(COUNTIF(G808:I825,$B848)+COUNTIF(G808:I825,$B848&amp;" ~*")&gt;0)+(COUNTIF(K808:M825,$B848)+COUNTIF(K808:M825,$B848&amp;" ~*")&gt;0)+(COUNTIF(O808:Q825,$B848)+COUNTIF(O808:Q825,$B848&amp;" ~*")&gt;0)+(COUNTIF(S808:U825,$B848)+COUNTIF(S808:U825,$B848&amp;" ~*")&gt;0)+(COUNTIF(W808:W825,$B848)+COUNTIF(W808:W825,$B848&amp;" ~*")&gt;0)+(COUNTIF(Y808:Y825,$B848)+COUNTIF(Y808:Y825,$B848&amp;" ~*")&gt;0))</f>
        <v/>
      </c>
      <c r="AC848" s="38">
        <f>IF($B848="","",(IFERROR(INDEX(Setup!$G$33:$G$40,MATCH(C848,Setup!$B$33:$B$40,0)),0)=1)*(COUNTIF(C808:E825,$B848)+COUNTIF(C808:E825,$B848&amp;" ~*")&gt;0)+(IFERROR(INDEX(Setup!$G$33:$G$40,MATCH(G848,Setup!$B$33:$B$40,0)),0)=1)*(COUNTIF(G808:I825,$B848)+COUNTIF(G808:I825,$B848&amp;" ~*")&gt;0)+(IFERROR(INDEX(Setup!$G$33:$G$40,MATCH(K848,Setup!$B$33:$B$40,0)),0)=1)*(COUNTIF(K808:M825,$B848)+COUNTIF(K808:M825,$B848&amp;" ~*")&gt;0)+(IFERROR(INDEX(Setup!$G$33:$G$40,MATCH(O848,Setup!$B$33:$B$40,0)),0)=1)*(COUNTIF(O808:Q825,$B848)+COUNTIF(O808:Q825,$B848&amp;" ~*")&gt;0)+(IFERROR(INDEX(Setup!$G$33:$G$40,MATCH(S848,Setup!$B$33:$B$40,0)),0)=1)*(COUNTIF(S808:U825,$B848)+COUNTIF(S808:U825,$B848&amp;" ~*")&gt;0)+(IFERROR(INDEX(Setup!$G$33:$G$40,MATCH(W848,Setup!$B$33:$B$40,0)),0)=1)*(COUNTIF(W808:W825,$B848)+COUNTIF(W808:W825,$B848&amp;" ~*")&gt;0)+(IFERROR(INDEX(Setup!$G$33:$G$40,MATCH(Y848,Setup!$B$33:$B$40,0)),0)=1)*(COUNTIF(Y808:Y825,$B848)+COUNTIF(Y808:Y825,$B848&amp;" ~*")&gt;0))</f>
        <v/>
      </c>
    </row>
    <row r="849" ht="15" customHeight="1">
      <c r="A849" t="n">
        <v>17</v>
      </c>
      <c r="B849" s="35">
        <f>IF(Setup!$B$28="","",Setup!$B$28)</f>
        <v/>
      </c>
      <c r="C849" s="98" t="n"/>
      <c r="D849" s="99" t="n"/>
      <c r="E849" s="99" t="n"/>
      <c r="F849" s="100" t="n"/>
      <c r="G849" s="98" t="n"/>
      <c r="H849" s="99" t="n"/>
      <c r="I849" s="99" t="n"/>
      <c r="J849" s="100" t="n"/>
      <c r="K849" s="98" t="n"/>
      <c r="L849" s="99" t="n"/>
      <c r="M849" s="99" t="n"/>
      <c r="N849" s="100" t="n"/>
      <c r="O849" s="98" t="n"/>
      <c r="P849" s="99" t="n"/>
      <c r="Q849" s="99" t="n"/>
      <c r="R849" s="100" t="n"/>
      <c r="S849" s="98" t="n"/>
      <c r="T849" s="99" t="n"/>
      <c r="U849" s="99" t="n"/>
      <c r="V849" s="100" t="n"/>
      <c r="W849" s="98" t="n"/>
      <c r="X849" s="100" t="n"/>
      <c r="Y849" s="98" t="n"/>
      <c r="Z849" s="100" t="n"/>
      <c r="AB849" s="101">
        <f>IF($B849="","",(COUNTIF(C808:E825,$B849)+COUNTIF(C808:E825,$B849&amp;" ~*")&gt;0)+(COUNTIF(G808:I825,$B849)+COUNTIF(G808:I825,$B849&amp;" ~*")&gt;0)+(COUNTIF(K808:M825,$B849)+COUNTIF(K808:M825,$B849&amp;" ~*")&gt;0)+(COUNTIF(O808:Q825,$B849)+COUNTIF(O808:Q825,$B849&amp;" ~*")&gt;0)+(COUNTIF(S808:U825,$B849)+COUNTIF(S808:U825,$B849&amp;" ~*")&gt;0)+(COUNTIF(W808:W825,$B849)+COUNTIF(W808:W825,$B849&amp;" ~*")&gt;0)+(COUNTIF(Y808:Y825,$B849)+COUNTIF(Y808:Y825,$B849&amp;" ~*")&gt;0))</f>
        <v/>
      </c>
      <c r="AC849" s="36">
        <f>IF($B849="","",(IFERROR(INDEX(Setup!$G$33:$G$40,MATCH(C849,Setup!$B$33:$B$40,0)),0)=1)*(COUNTIF(C808:E825,$B849)+COUNTIF(C808:E825,$B849&amp;" ~*")&gt;0)+(IFERROR(INDEX(Setup!$G$33:$G$40,MATCH(G849,Setup!$B$33:$B$40,0)),0)=1)*(COUNTIF(G808:I825,$B849)+COUNTIF(G808:I825,$B849&amp;" ~*")&gt;0)+(IFERROR(INDEX(Setup!$G$33:$G$40,MATCH(K849,Setup!$B$33:$B$40,0)),0)=1)*(COUNTIF(K808:M825,$B849)+COUNTIF(K808:M825,$B849&amp;" ~*")&gt;0)+(IFERROR(INDEX(Setup!$G$33:$G$40,MATCH(O849,Setup!$B$33:$B$40,0)),0)=1)*(COUNTIF(O808:Q825,$B849)+COUNTIF(O808:Q825,$B849&amp;" ~*")&gt;0)+(IFERROR(INDEX(Setup!$G$33:$G$40,MATCH(S849,Setup!$B$33:$B$40,0)),0)=1)*(COUNTIF(S808:U825,$B849)+COUNTIF(S808:U825,$B849&amp;" ~*")&gt;0)+(IFERROR(INDEX(Setup!$G$33:$G$40,MATCH(W849,Setup!$B$33:$B$40,0)),0)=1)*(COUNTIF(W808:W825,$B849)+COUNTIF(W808:W825,$B849&amp;" ~*")&gt;0)+(IFERROR(INDEX(Setup!$G$33:$G$40,MATCH(Y849,Setup!$B$33:$B$40,0)),0)=1)*(COUNTIF(Y808:Y825,$B849)+COUNTIF(Y808:Y825,$B849&amp;" ~*")&gt;0))</f>
        <v/>
      </c>
    </row>
    <row r="850" ht="15" customHeight="1">
      <c r="A850" t="n">
        <v>17</v>
      </c>
      <c r="B850" s="37">
        <f>IF(Setup!$B$29="","",Setup!$B$29)</f>
        <v/>
      </c>
      <c r="C850" s="102" t="n"/>
      <c r="D850" s="103" t="n"/>
      <c r="E850" s="103" t="n"/>
      <c r="F850" s="104" t="n"/>
      <c r="G850" s="102" t="n"/>
      <c r="H850" s="103" t="n"/>
      <c r="I850" s="103" t="n"/>
      <c r="J850" s="104" t="n"/>
      <c r="K850" s="102" t="n"/>
      <c r="L850" s="103" t="n"/>
      <c r="M850" s="103" t="n"/>
      <c r="N850" s="104" t="n"/>
      <c r="O850" s="102" t="n"/>
      <c r="P850" s="103" t="n"/>
      <c r="Q850" s="103" t="n"/>
      <c r="R850" s="104" t="n"/>
      <c r="S850" s="102" t="n"/>
      <c r="T850" s="103" t="n"/>
      <c r="U850" s="103" t="n"/>
      <c r="V850" s="104" t="n"/>
      <c r="W850" s="102" t="n"/>
      <c r="X850" s="104" t="n"/>
      <c r="Y850" s="102" t="n"/>
      <c r="Z850" s="104" t="n"/>
      <c r="AB850" s="105">
        <f>IF($B850="","",(COUNTIF(C808:E825,$B850)+COUNTIF(C808:E825,$B850&amp;" ~*")&gt;0)+(COUNTIF(G808:I825,$B850)+COUNTIF(G808:I825,$B850&amp;" ~*")&gt;0)+(COUNTIF(K808:M825,$B850)+COUNTIF(K808:M825,$B850&amp;" ~*")&gt;0)+(COUNTIF(O808:Q825,$B850)+COUNTIF(O808:Q825,$B850&amp;" ~*")&gt;0)+(COUNTIF(S808:U825,$B850)+COUNTIF(S808:U825,$B850&amp;" ~*")&gt;0)+(COUNTIF(W808:W825,$B850)+COUNTIF(W808:W825,$B850&amp;" ~*")&gt;0)+(COUNTIF(Y808:Y825,$B850)+COUNTIF(Y808:Y825,$B850&amp;" ~*")&gt;0))</f>
        <v/>
      </c>
      <c r="AC850" s="38">
        <f>IF($B850="","",(IFERROR(INDEX(Setup!$G$33:$G$40,MATCH(C850,Setup!$B$33:$B$40,0)),0)=1)*(COUNTIF(C808:E825,$B850)+COUNTIF(C808:E825,$B850&amp;" ~*")&gt;0)+(IFERROR(INDEX(Setup!$G$33:$G$40,MATCH(G850,Setup!$B$33:$B$40,0)),0)=1)*(COUNTIF(G808:I825,$B850)+COUNTIF(G808:I825,$B850&amp;" ~*")&gt;0)+(IFERROR(INDEX(Setup!$G$33:$G$40,MATCH(K850,Setup!$B$33:$B$40,0)),0)=1)*(COUNTIF(K808:M825,$B850)+COUNTIF(K808:M825,$B850&amp;" ~*")&gt;0)+(IFERROR(INDEX(Setup!$G$33:$G$40,MATCH(O850,Setup!$B$33:$B$40,0)),0)=1)*(COUNTIF(O808:Q825,$B850)+COUNTIF(O808:Q825,$B850&amp;" ~*")&gt;0)+(IFERROR(INDEX(Setup!$G$33:$G$40,MATCH(S850,Setup!$B$33:$B$40,0)),0)=1)*(COUNTIF(S808:U825,$B850)+COUNTIF(S808:U825,$B850&amp;" ~*")&gt;0)+(IFERROR(INDEX(Setup!$G$33:$G$40,MATCH(W850,Setup!$B$33:$B$40,0)),0)=1)*(COUNTIF(W808:W825,$B850)+COUNTIF(W808:W825,$B850&amp;" ~*")&gt;0)+(IFERROR(INDEX(Setup!$G$33:$G$40,MATCH(Y850,Setup!$B$33:$B$40,0)),0)=1)*(COUNTIF(Y808:Y825,$B850)+COUNTIF(Y808:Y825,$B850&amp;" ~*")&gt;0))</f>
        <v/>
      </c>
    </row>
    <row r="851" ht="16" customHeight="1">
      <c r="A851" t="n">
        <v>17</v>
      </c>
      <c r="B851" s="106" t="inlineStr">
        <is>
          <t>Available people</t>
        </is>
      </c>
      <c r="C851" s="107">
        <f>COUNTIFS(Setup!$E$6:$E$29,"Y",Setup!$B$6:$B$29,"?*")-SUMPRODUCT(COUNTIF(C827:C850,Setup!$F$33:$F$40))</f>
        <v/>
      </c>
      <c r="D851" s="107" t="n"/>
      <c r="E851" s="107" t="n"/>
      <c r="F851" s="107" t="n"/>
      <c r="G851" s="107">
        <f>COUNTIFS(Setup!$E$6:$E$29,"Y",Setup!$B$6:$B$29,"?*")-SUMPRODUCT(COUNTIF(G827:G850,Setup!$F$33:$F$40))</f>
        <v/>
      </c>
      <c r="H851" s="107" t="n"/>
      <c r="I851" s="107" t="n"/>
      <c r="J851" s="107" t="n"/>
      <c r="K851" s="107">
        <f>COUNTIFS(Setup!$E$6:$E$29,"Y",Setup!$B$6:$B$29,"?*")-SUMPRODUCT(COUNTIF(K827:K850,Setup!$F$33:$F$40))</f>
        <v/>
      </c>
      <c r="L851" s="107" t="n"/>
      <c r="M851" s="107" t="n"/>
      <c r="N851" s="107" t="n"/>
      <c r="O851" s="107">
        <f>COUNTIFS(Setup!$E$6:$E$29,"Y",Setup!$B$6:$B$29,"?*")-SUMPRODUCT(COUNTIF(O827:O850,Setup!$F$33:$F$40))</f>
        <v/>
      </c>
      <c r="P851" s="107" t="n"/>
      <c r="Q851" s="107" t="n"/>
      <c r="R851" s="107" t="n"/>
      <c r="S851" s="107">
        <f>COUNTIFS(Setup!$E$6:$E$29,"Y",Setup!$B$6:$B$29,"?*")-SUMPRODUCT(COUNTIF(S827:S850,Setup!$F$33:$F$40))</f>
        <v/>
      </c>
      <c r="T851" s="107" t="n"/>
      <c r="U851" s="107" t="n"/>
      <c r="V851" s="107" t="n"/>
      <c r="W851" s="107">
        <f>COUNTIFS(Setup!$E$6:$E$29,"Y",Setup!$B$6:$B$29,"?*")-SUMPRODUCT(COUNTIF(W827:W850,Setup!$F$33:$F$40))</f>
        <v/>
      </c>
      <c r="X851" s="107" t="n"/>
      <c r="Y851" s="107">
        <f>COUNTIFS(Setup!$E$6:$E$29,"Y",Setup!$B$6:$B$29,"?*")-SUMPRODUCT(COUNTIF(Y827:Y850,Setup!$F$33:$F$40))</f>
        <v/>
      </c>
      <c r="Z851" s="107" t="n"/>
      <c r="AB851" s="108">
        <f>SUM(AB827:AB850)</f>
        <v/>
      </c>
      <c r="AC851" s="109">
        <f>SUM(AC827:AC850)</f>
        <v/>
      </c>
    </row>
    <row r="852" ht="30" customHeight="1">
      <c r="A852" t="n">
        <v>17</v>
      </c>
      <c r="B852" s="110" t="inlineStr">
        <is>
          <t>Week notes</t>
        </is>
      </c>
      <c r="C852" s="111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112" t="n"/>
      <c r="R852" s="112" t="n"/>
      <c r="S852" s="112" t="n"/>
      <c r="T852" s="112" t="n"/>
      <c r="U852" s="112" t="n"/>
      <c r="V852" s="112" t="n"/>
      <c r="W852" s="112" t="n"/>
      <c r="X852" s="112" t="n"/>
      <c r="Y852" s="112" t="n"/>
      <c r="Z852" s="113" t="n"/>
    </row>
    <row r="853" ht="8" customHeight="1">
      <c r="A853" t="n">
        <v>17</v>
      </c>
    </row>
    <row r="854" ht="8" customHeight="1">
      <c r="A854" t="n">
        <v>17</v>
      </c>
    </row>
    <row r="855" ht="24" customHeight="1">
      <c r="A855" t="n">
        <v>18</v>
      </c>
      <c r="B855" s="73">
        <f>"WEEK 18     "&amp;TEXT(C856,"ddd d mmm")&amp;"  –  "&amp;TEXT(C856+6,"ddd d mmm yyyy")</f>
        <v/>
      </c>
      <c r="S855" s="74">
        <f>IF(TODAY()&lt;C856,"FUTURE",IF(TODAY()&gt;C856+6,"PAST","THIS WEEK"))</f>
        <v/>
      </c>
      <c r="W855" s="75">
        <f>IF(AND(Engine!$B$8=$AC$3,Engine!$B$9=$A855),"◀ ACTIVE WEEK","")</f>
        <v/>
      </c>
      <c r="AA855" s="76" t="n"/>
      <c r="AB855" s="77" t="inlineStr">
        <is>
          <t>◀ Prev</t>
        </is>
      </c>
      <c r="AC855" s="77" t="inlineStr">
        <is>
          <t>Next ▶</t>
        </is>
      </c>
    </row>
    <row r="856" ht="18" customHeight="1">
      <c r="A856" t="n">
        <v>18</v>
      </c>
      <c r="B856" s="78" t="inlineStr">
        <is>
          <t>DUTY</t>
        </is>
      </c>
      <c r="C856" s="79">
        <f>$AC$2+7*($A856-1)</f>
        <v/>
      </c>
      <c r="D856" s="80" t="n"/>
      <c r="E856" s="80" t="n"/>
      <c r="F856" s="81" t="n"/>
      <c r="G856" s="79">
        <f>C856+1</f>
        <v/>
      </c>
      <c r="H856" s="80" t="n"/>
      <c r="I856" s="80" t="n"/>
      <c r="J856" s="81" t="n"/>
      <c r="K856" s="79">
        <f>C856+2</f>
        <v/>
      </c>
      <c r="L856" s="80" t="n"/>
      <c r="M856" s="80" t="n"/>
      <c r="N856" s="81" t="n"/>
      <c r="O856" s="79">
        <f>C856+3</f>
        <v/>
      </c>
      <c r="P856" s="80" t="n"/>
      <c r="Q856" s="80" t="n"/>
      <c r="R856" s="81" t="n"/>
      <c r="S856" s="79">
        <f>C856+4</f>
        <v/>
      </c>
      <c r="T856" s="80" t="n"/>
      <c r="U856" s="80" t="n"/>
      <c r="V856" s="81" t="n"/>
      <c r="W856" s="82">
        <f>C856+5</f>
        <v/>
      </c>
      <c r="X856" s="83" t="n"/>
      <c r="Y856" s="82">
        <f>C856+6</f>
        <v/>
      </c>
      <c r="Z856" s="83" t="n"/>
      <c r="AB856" s="72" t="inlineStr">
        <is>
          <t>Gaps</t>
        </is>
      </c>
      <c r="AC856" s="72" t="inlineStr">
        <is>
          <t>Cover</t>
        </is>
      </c>
    </row>
    <row r="857" ht="14" customHeight="1">
      <c r="A857" t="n">
        <v>18</v>
      </c>
      <c r="B857" s="84" t="inlineStr">
        <is>
          <t>(from Setup)</t>
        </is>
      </c>
      <c r="C857" s="85" t="inlineStr">
        <is>
          <t>1</t>
        </is>
      </c>
      <c r="D857" s="85" t="inlineStr">
        <is>
          <t>2</t>
        </is>
      </c>
      <c r="E857" s="85" t="inlineStr">
        <is>
          <t>3</t>
        </is>
      </c>
      <c r="F857" s="85" t="inlineStr">
        <is>
          <t>Notes</t>
        </is>
      </c>
      <c r="G857" s="85" t="inlineStr">
        <is>
          <t>1</t>
        </is>
      </c>
      <c r="H857" s="85" t="inlineStr">
        <is>
          <t>2</t>
        </is>
      </c>
      <c r="I857" s="85" t="inlineStr">
        <is>
          <t>3</t>
        </is>
      </c>
      <c r="J857" s="85" t="inlineStr">
        <is>
          <t>Notes</t>
        </is>
      </c>
      <c r="K857" s="85" t="inlineStr">
        <is>
          <t>1</t>
        </is>
      </c>
      <c r="L857" s="85" t="inlineStr">
        <is>
          <t>2</t>
        </is>
      </c>
      <c r="M857" s="85" t="inlineStr">
        <is>
          <t>3</t>
        </is>
      </c>
      <c r="N857" s="85" t="inlineStr">
        <is>
          <t>Notes</t>
        </is>
      </c>
      <c r="O857" s="85" t="inlineStr">
        <is>
          <t>1</t>
        </is>
      </c>
      <c r="P857" s="85" t="inlineStr">
        <is>
          <t>2</t>
        </is>
      </c>
      <c r="Q857" s="85" t="inlineStr">
        <is>
          <t>3</t>
        </is>
      </c>
      <c r="R857" s="85" t="inlineStr">
        <is>
          <t>Notes</t>
        </is>
      </c>
      <c r="S857" s="85" t="inlineStr">
        <is>
          <t>1</t>
        </is>
      </c>
      <c r="T857" s="85" t="inlineStr">
        <is>
          <t>2</t>
        </is>
      </c>
      <c r="U857" s="85" t="inlineStr">
        <is>
          <t>3</t>
        </is>
      </c>
      <c r="V857" s="85" t="inlineStr">
        <is>
          <t>Notes</t>
        </is>
      </c>
      <c r="W857" s="85" t="inlineStr">
        <is>
          <t>Cover</t>
        </is>
      </c>
      <c r="X857" s="85" t="inlineStr">
        <is>
          <t>Notes</t>
        </is>
      </c>
      <c r="Y857" s="85" t="inlineStr">
        <is>
          <t>Cover</t>
        </is>
      </c>
      <c r="Z857" s="85" t="inlineStr">
        <is>
          <t>Notes</t>
        </is>
      </c>
      <c r="AB857" s="86" t="inlineStr">
        <is>
          <t>weekdays short</t>
        </is>
      </c>
      <c r="AC857" s="87" t="inlineStr"/>
    </row>
    <row r="858" ht="17" customHeight="1">
      <c r="A858" t="n">
        <v>18</v>
      </c>
      <c r="B858" s="24">
        <f>IF(Setup!$K$6="","",Setup!$K$6)</f>
        <v/>
      </c>
      <c r="C858" s="88" t="n"/>
      <c r="D858" s="88" t="n"/>
      <c r="E858" s="88" t="n"/>
      <c r="F858" s="89" t="n"/>
      <c r="G858" s="88" t="n"/>
      <c r="H858" s="88" t="n"/>
      <c r="I858" s="88" t="n"/>
      <c r="J858" s="89" t="n"/>
      <c r="K858" s="88" t="n"/>
      <c r="L858" s="88" t="n"/>
      <c r="M858" s="88" t="n"/>
      <c r="N858" s="89" t="n"/>
      <c r="O858" s="88" t="n"/>
      <c r="P858" s="88" t="n"/>
      <c r="Q858" s="88" t="n"/>
      <c r="R858" s="89" t="n"/>
      <c r="S858" s="88" t="n"/>
      <c r="T858" s="88" t="n"/>
      <c r="U858" s="88" t="n"/>
      <c r="V858" s="89" t="n"/>
      <c r="W858" s="88" t="n"/>
      <c r="X858" s="89" t="n"/>
      <c r="Y858" s="88" t="n"/>
      <c r="Z858" s="89" t="n"/>
      <c r="AB858" s="25">
        <f>IF($B858="","",(COUNTIF(C858:E858,"?*")&lt;N(INDEX(Setup!$L$6:$L$23,1)))+(COUNTIF(G858:I858,"?*")&lt;N(INDEX(Setup!$L$6:$L$23,1)))+(COUNTIF(K858:M858,"?*")&lt;N(INDEX(Setup!$L$6:$L$23,1)))+(COUNTIF(O858:Q858,"?*")&lt;N(INDEX(Setup!$L$6:$L$23,1)))+(COUNTIF(S858:U858,"?*")&lt;N(INDEX(Setup!$L$6:$L$23,1)))+((W858="")*(INDEX(Setup!$M$6:$M$23,1)="Y"))+((Y858="")*(INDEX(Setup!$M$6:$M$23,1)="Y")))</f>
        <v/>
      </c>
      <c r="AC858" s="90">
        <f>IF($B858="","",IF(AB858=0,"✓ covered","⚠ "&amp;AB858&amp;IF(AB858=1," gap"," gaps")))</f>
        <v/>
      </c>
    </row>
    <row r="859" ht="17" customHeight="1">
      <c r="A859" t="n">
        <v>18</v>
      </c>
      <c r="B859" s="29">
        <f>IF(Setup!$K$7="","",Setup!$K$7)</f>
        <v/>
      </c>
      <c r="C859" s="88" t="n"/>
      <c r="D859" s="88" t="n"/>
      <c r="E859" s="88" t="n"/>
      <c r="F859" s="89" t="n"/>
      <c r="G859" s="88" t="n"/>
      <c r="H859" s="88" t="n"/>
      <c r="I859" s="88" t="n"/>
      <c r="J859" s="89" t="n"/>
      <c r="K859" s="88" t="n"/>
      <c r="L859" s="88" t="n"/>
      <c r="M859" s="88" t="n"/>
      <c r="N859" s="89" t="n"/>
      <c r="O859" s="88" t="n"/>
      <c r="P859" s="88" t="n"/>
      <c r="Q859" s="88" t="n"/>
      <c r="R859" s="89" t="n"/>
      <c r="S859" s="88" t="n"/>
      <c r="T859" s="88" t="n"/>
      <c r="U859" s="88" t="n"/>
      <c r="V859" s="89" t="n"/>
      <c r="W859" s="88" t="n"/>
      <c r="X859" s="89" t="n"/>
      <c r="Y859" s="88" t="n"/>
      <c r="Z859" s="89" t="n"/>
      <c r="AB859" s="30">
        <f>IF($B859="","",(COUNTIF(C859:E859,"?*")&lt;N(INDEX(Setup!$L$6:$L$23,2)))+(COUNTIF(G859:I859,"?*")&lt;N(INDEX(Setup!$L$6:$L$23,2)))+(COUNTIF(K859:M859,"?*")&lt;N(INDEX(Setup!$L$6:$L$23,2)))+(COUNTIF(O859:Q859,"?*")&lt;N(INDEX(Setup!$L$6:$L$23,2)))+(COUNTIF(S859:U859,"?*")&lt;N(INDEX(Setup!$L$6:$L$23,2)))+((W859="")*(INDEX(Setup!$M$6:$M$23,2)="Y"))+((Y859="")*(INDEX(Setup!$M$6:$M$23,2)="Y")))</f>
        <v/>
      </c>
      <c r="AC859" s="91">
        <f>IF($B859="","",IF(AB859=0,"✓ covered","⚠ "&amp;AB859&amp;IF(AB859=1," gap"," gaps")))</f>
        <v/>
      </c>
    </row>
    <row r="860" ht="17" customHeight="1">
      <c r="A860" t="n">
        <v>18</v>
      </c>
      <c r="B860" s="24">
        <f>IF(Setup!$K$8="","",Setup!$K$8)</f>
        <v/>
      </c>
      <c r="C860" s="88" t="n"/>
      <c r="D860" s="88" t="n"/>
      <c r="E860" s="88" t="n"/>
      <c r="F860" s="89" t="n"/>
      <c r="G860" s="88" t="n"/>
      <c r="H860" s="88" t="n"/>
      <c r="I860" s="88" t="n"/>
      <c r="J860" s="89" t="n"/>
      <c r="K860" s="88" t="n"/>
      <c r="L860" s="88" t="n"/>
      <c r="M860" s="88" t="n"/>
      <c r="N860" s="89" t="n"/>
      <c r="O860" s="88" t="n"/>
      <c r="P860" s="88" t="n"/>
      <c r="Q860" s="88" t="n"/>
      <c r="R860" s="89" t="n"/>
      <c r="S860" s="88" t="n"/>
      <c r="T860" s="88" t="n"/>
      <c r="U860" s="88" t="n"/>
      <c r="V860" s="89" t="n"/>
      <c r="W860" s="88" t="n"/>
      <c r="X860" s="89" t="n"/>
      <c r="Y860" s="88" t="n"/>
      <c r="Z860" s="89" t="n"/>
      <c r="AB860" s="25">
        <f>IF($B860="","",(COUNTIF(C860:E860,"?*")&lt;N(INDEX(Setup!$L$6:$L$23,3)))+(COUNTIF(G860:I860,"?*")&lt;N(INDEX(Setup!$L$6:$L$23,3)))+(COUNTIF(K860:M860,"?*")&lt;N(INDEX(Setup!$L$6:$L$23,3)))+(COUNTIF(O860:Q860,"?*")&lt;N(INDEX(Setup!$L$6:$L$23,3)))+(COUNTIF(S860:U860,"?*")&lt;N(INDEX(Setup!$L$6:$L$23,3)))+((W860="")*(INDEX(Setup!$M$6:$M$23,3)="Y"))+((Y860="")*(INDEX(Setup!$M$6:$M$23,3)="Y")))</f>
        <v/>
      </c>
      <c r="AC860" s="90">
        <f>IF($B860="","",IF(AB860=0,"✓ covered","⚠ "&amp;AB860&amp;IF(AB860=1," gap"," gaps")))</f>
        <v/>
      </c>
    </row>
    <row r="861" ht="17" customHeight="1">
      <c r="A861" t="n">
        <v>18</v>
      </c>
      <c r="B861" s="29">
        <f>IF(Setup!$K$9="","",Setup!$K$9)</f>
        <v/>
      </c>
      <c r="C861" s="88" t="n"/>
      <c r="D861" s="88" t="n"/>
      <c r="E861" s="88" t="n"/>
      <c r="F861" s="89" t="n"/>
      <c r="G861" s="88" t="n"/>
      <c r="H861" s="88" t="n"/>
      <c r="I861" s="88" t="n"/>
      <c r="J861" s="89" t="n"/>
      <c r="K861" s="88" t="n"/>
      <c r="L861" s="88" t="n"/>
      <c r="M861" s="88" t="n"/>
      <c r="N861" s="89" t="n"/>
      <c r="O861" s="88" t="n"/>
      <c r="P861" s="88" t="n"/>
      <c r="Q861" s="88" t="n"/>
      <c r="R861" s="89" t="n"/>
      <c r="S861" s="88" t="n"/>
      <c r="T861" s="88" t="n"/>
      <c r="U861" s="88" t="n"/>
      <c r="V861" s="89" t="n"/>
      <c r="W861" s="88" t="n"/>
      <c r="X861" s="89" t="n"/>
      <c r="Y861" s="88" t="n"/>
      <c r="Z861" s="89" t="n"/>
      <c r="AB861" s="30">
        <f>IF($B861="","",(COUNTIF(C861:E861,"?*")&lt;N(INDEX(Setup!$L$6:$L$23,4)))+(COUNTIF(G861:I861,"?*")&lt;N(INDEX(Setup!$L$6:$L$23,4)))+(COUNTIF(K861:M861,"?*")&lt;N(INDEX(Setup!$L$6:$L$23,4)))+(COUNTIF(O861:Q861,"?*")&lt;N(INDEX(Setup!$L$6:$L$23,4)))+(COUNTIF(S861:U861,"?*")&lt;N(INDEX(Setup!$L$6:$L$23,4)))+((W861="")*(INDEX(Setup!$M$6:$M$23,4)="Y"))+((Y861="")*(INDEX(Setup!$M$6:$M$23,4)="Y")))</f>
        <v/>
      </c>
      <c r="AC861" s="91">
        <f>IF($B861="","",IF(AB861=0,"✓ covered","⚠ "&amp;AB861&amp;IF(AB861=1," gap"," gaps")))</f>
        <v/>
      </c>
    </row>
    <row r="862" ht="17" customHeight="1">
      <c r="A862" t="n">
        <v>18</v>
      </c>
      <c r="B862" s="24">
        <f>IF(Setup!$K$10="","",Setup!$K$10)</f>
        <v/>
      </c>
      <c r="C862" s="88" t="n"/>
      <c r="D862" s="88" t="n"/>
      <c r="E862" s="88" t="n"/>
      <c r="F862" s="89" t="n"/>
      <c r="G862" s="88" t="n"/>
      <c r="H862" s="88" t="n"/>
      <c r="I862" s="88" t="n"/>
      <c r="J862" s="89" t="n"/>
      <c r="K862" s="88" t="n"/>
      <c r="L862" s="88" t="n"/>
      <c r="M862" s="88" t="n"/>
      <c r="N862" s="89" t="n"/>
      <c r="O862" s="88" t="n"/>
      <c r="P862" s="88" t="n"/>
      <c r="Q862" s="88" t="n"/>
      <c r="R862" s="89" t="n"/>
      <c r="S862" s="88" t="n"/>
      <c r="T862" s="88" t="n"/>
      <c r="U862" s="88" t="n"/>
      <c r="V862" s="89" t="n"/>
      <c r="W862" s="88" t="n"/>
      <c r="X862" s="89" t="n"/>
      <c r="Y862" s="88" t="n"/>
      <c r="Z862" s="89" t="n"/>
      <c r="AB862" s="25">
        <f>IF($B862="","",(COUNTIF(C862:E862,"?*")&lt;N(INDEX(Setup!$L$6:$L$23,5)))+(COUNTIF(G862:I862,"?*")&lt;N(INDEX(Setup!$L$6:$L$23,5)))+(COUNTIF(K862:M862,"?*")&lt;N(INDEX(Setup!$L$6:$L$23,5)))+(COUNTIF(O862:Q862,"?*")&lt;N(INDEX(Setup!$L$6:$L$23,5)))+(COUNTIF(S862:U862,"?*")&lt;N(INDEX(Setup!$L$6:$L$23,5)))+((W862="")*(INDEX(Setup!$M$6:$M$23,5)="Y"))+((Y862="")*(INDEX(Setup!$M$6:$M$23,5)="Y")))</f>
        <v/>
      </c>
      <c r="AC862" s="90">
        <f>IF($B862="","",IF(AB862=0,"✓ covered","⚠ "&amp;AB862&amp;IF(AB862=1," gap"," gaps")))</f>
        <v/>
      </c>
    </row>
    <row r="863" ht="17" customHeight="1">
      <c r="A863" t="n">
        <v>18</v>
      </c>
      <c r="B863" s="29">
        <f>IF(Setup!$K$11="","",Setup!$K$11)</f>
        <v/>
      </c>
      <c r="C863" s="88" t="n"/>
      <c r="D863" s="88" t="n"/>
      <c r="E863" s="88" t="n"/>
      <c r="F863" s="89" t="n"/>
      <c r="G863" s="88" t="n"/>
      <c r="H863" s="88" t="n"/>
      <c r="I863" s="88" t="n"/>
      <c r="J863" s="89" t="n"/>
      <c r="K863" s="88" t="n"/>
      <c r="L863" s="88" t="n"/>
      <c r="M863" s="88" t="n"/>
      <c r="N863" s="89" t="n"/>
      <c r="O863" s="88" t="n"/>
      <c r="P863" s="88" t="n"/>
      <c r="Q863" s="88" t="n"/>
      <c r="R863" s="89" t="n"/>
      <c r="S863" s="88" t="n"/>
      <c r="T863" s="88" t="n"/>
      <c r="U863" s="88" t="n"/>
      <c r="V863" s="89" t="n"/>
      <c r="W863" s="88" t="n"/>
      <c r="X863" s="89" t="n"/>
      <c r="Y863" s="88" t="n"/>
      <c r="Z863" s="89" t="n"/>
      <c r="AB863" s="30">
        <f>IF($B863="","",(COUNTIF(C863:E863,"?*")&lt;N(INDEX(Setup!$L$6:$L$23,6)))+(COUNTIF(G863:I863,"?*")&lt;N(INDEX(Setup!$L$6:$L$23,6)))+(COUNTIF(K863:M863,"?*")&lt;N(INDEX(Setup!$L$6:$L$23,6)))+(COUNTIF(O863:Q863,"?*")&lt;N(INDEX(Setup!$L$6:$L$23,6)))+(COUNTIF(S863:U863,"?*")&lt;N(INDEX(Setup!$L$6:$L$23,6)))+((W863="")*(INDEX(Setup!$M$6:$M$23,6)="Y"))+((Y863="")*(INDEX(Setup!$M$6:$M$23,6)="Y")))</f>
        <v/>
      </c>
      <c r="AC863" s="91">
        <f>IF($B863="","",IF(AB863=0,"✓ covered","⚠ "&amp;AB863&amp;IF(AB863=1," gap"," gaps")))</f>
        <v/>
      </c>
    </row>
    <row r="864" ht="17" customHeight="1">
      <c r="A864" t="n">
        <v>18</v>
      </c>
      <c r="B864" s="24">
        <f>IF(Setup!$K$12="","",Setup!$K$12)</f>
        <v/>
      </c>
      <c r="C864" s="88" t="n"/>
      <c r="D864" s="88" t="n"/>
      <c r="E864" s="88" t="n"/>
      <c r="F864" s="89" t="n"/>
      <c r="G864" s="88" t="n"/>
      <c r="H864" s="88" t="n"/>
      <c r="I864" s="88" t="n"/>
      <c r="J864" s="89" t="n"/>
      <c r="K864" s="88" t="n"/>
      <c r="L864" s="88" t="n"/>
      <c r="M864" s="88" t="n"/>
      <c r="N864" s="89" t="n"/>
      <c r="O864" s="88" t="n"/>
      <c r="P864" s="88" t="n"/>
      <c r="Q864" s="88" t="n"/>
      <c r="R864" s="89" t="n"/>
      <c r="S864" s="88" t="n"/>
      <c r="T864" s="88" t="n"/>
      <c r="U864" s="88" t="n"/>
      <c r="V864" s="89" t="n"/>
      <c r="W864" s="88" t="n"/>
      <c r="X864" s="89" t="n"/>
      <c r="Y864" s="88" t="n"/>
      <c r="Z864" s="89" t="n"/>
      <c r="AB864" s="25">
        <f>IF($B864="","",(COUNTIF(C864:E864,"?*")&lt;N(INDEX(Setup!$L$6:$L$23,7)))+(COUNTIF(G864:I864,"?*")&lt;N(INDEX(Setup!$L$6:$L$23,7)))+(COUNTIF(K864:M864,"?*")&lt;N(INDEX(Setup!$L$6:$L$23,7)))+(COUNTIF(O864:Q864,"?*")&lt;N(INDEX(Setup!$L$6:$L$23,7)))+(COUNTIF(S864:U864,"?*")&lt;N(INDEX(Setup!$L$6:$L$23,7)))+((W864="")*(INDEX(Setup!$M$6:$M$23,7)="Y"))+((Y864="")*(INDEX(Setup!$M$6:$M$23,7)="Y")))</f>
        <v/>
      </c>
      <c r="AC864" s="90">
        <f>IF($B864="","",IF(AB864=0,"✓ covered","⚠ "&amp;AB864&amp;IF(AB864=1," gap"," gaps")))</f>
        <v/>
      </c>
    </row>
    <row r="865" ht="17" customHeight="1">
      <c r="A865" t="n">
        <v>18</v>
      </c>
      <c r="B865" s="29">
        <f>IF(Setup!$K$13="","",Setup!$K$13)</f>
        <v/>
      </c>
      <c r="C865" s="88" t="n"/>
      <c r="D865" s="88" t="n"/>
      <c r="E865" s="88" t="n"/>
      <c r="F865" s="89" t="n"/>
      <c r="G865" s="88" t="n"/>
      <c r="H865" s="88" t="n"/>
      <c r="I865" s="88" t="n"/>
      <c r="J865" s="89" t="n"/>
      <c r="K865" s="88" t="n"/>
      <c r="L865" s="88" t="n"/>
      <c r="M865" s="88" t="n"/>
      <c r="N865" s="89" t="n"/>
      <c r="O865" s="88" t="n"/>
      <c r="P865" s="88" t="n"/>
      <c r="Q865" s="88" t="n"/>
      <c r="R865" s="89" t="n"/>
      <c r="S865" s="88" t="n"/>
      <c r="T865" s="88" t="n"/>
      <c r="U865" s="88" t="n"/>
      <c r="V865" s="89" t="n"/>
      <c r="W865" s="88" t="n"/>
      <c r="X865" s="89" t="n"/>
      <c r="Y865" s="88" t="n"/>
      <c r="Z865" s="89" t="n"/>
      <c r="AB865" s="30">
        <f>IF($B865="","",(COUNTIF(C865:E865,"?*")&lt;N(INDEX(Setup!$L$6:$L$23,8)))+(COUNTIF(G865:I865,"?*")&lt;N(INDEX(Setup!$L$6:$L$23,8)))+(COUNTIF(K865:M865,"?*")&lt;N(INDEX(Setup!$L$6:$L$23,8)))+(COUNTIF(O865:Q865,"?*")&lt;N(INDEX(Setup!$L$6:$L$23,8)))+(COUNTIF(S865:U865,"?*")&lt;N(INDEX(Setup!$L$6:$L$23,8)))+((W865="")*(INDEX(Setup!$M$6:$M$23,8)="Y"))+((Y865="")*(INDEX(Setup!$M$6:$M$23,8)="Y")))</f>
        <v/>
      </c>
      <c r="AC865" s="91">
        <f>IF($B865="","",IF(AB865=0,"✓ covered","⚠ "&amp;AB865&amp;IF(AB865=1," gap"," gaps")))</f>
        <v/>
      </c>
    </row>
    <row r="866" ht="17" customHeight="1">
      <c r="A866" t="n">
        <v>18</v>
      </c>
      <c r="B866" s="24">
        <f>IF(Setup!$K$14="","",Setup!$K$14)</f>
        <v/>
      </c>
      <c r="C866" s="88" t="n"/>
      <c r="D866" s="88" t="n"/>
      <c r="E866" s="88" t="n"/>
      <c r="F866" s="89" t="n"/>
      <c r="G866" s="88" t="n"/>
      <c r="H866" s="88" t="n"/>
      <c r="I866" s="88" t="n"/>
      <c r="J866" s="89" t="n"/>
      <c r="K866" s="88" t="n"/>
      <c r="L866" s="88" t="n"/>
      <c r="M866" s="88" t="n"/>
      <c r="N866" s="89" t="n"/>
      <c r="O866" s="88" t="n"/>
      <c r="P866" s="88" t="n"/>
      <c r="Q866" s="88" t="n"/>
      <c r="R866" s="89" t="n"/>
      <c r="S866" s="88" t="n"/>
      <c r="T866" s="88" t="n"/>
      <c r="U866" s="88" t="n"/>
      <c r="V866" s="89" t="n"/>
      <c r="W866" s="88" t="n"/>
      <c r="X866" s="89" t="n"/>
      <c r="Y866" s="88" t="n"/>
      <c r="Z866" s="89" t="n"/>
      <c r="AB866" s="25">
        <f>IF($B866="","",(COUNTIF(C866:E866,"?*")&lt;N(INDEX(Setup!$L$6:$L$23,9)))+(COUNTIF(G866:I866,"?*")&lt;N(INDEX(Setup!$L$6:$L$23,9)))+(COUNTIF(K866:M866,"?*")&lt;N(INDEX(Setup!$L$6:$L$23,9)))+(COUNTIF(O866:Q866,"?*")&lt;N(INDEX(Setup!$L$6:$L$23,9)))+(COUNTIF(S866:U866,"?*")&lt;N(INDEX(Setup!$L$6:$L$23,9)))+((W866="")*(INDEX(Setup!$M$6:$M$23,9)="Y"))+((Y866="")*(INDEX(Setup!$M$6:$M$23,9)="Y")))</f>
        <v/>
      </c>
      <c r="AC866" s="90">
        <f>IF($B866="","",IF(AB866=0,"✓ covered","⚠ "&amp;AB866&amp;IF(AB866=1," gap"," gaps")))</f>
        <v/>
      </c>
    </row>
    <row r="867" ht="17" customHeight="1">
      <c r="A867" t="n">
        <v>18</v>
      </c>
      <c r="B867" s="29">
        <f>IF(Setup!$K$15="","",Setup!$K$15)</f>
        <v/>
      </c>
      <c r="C867" s="88" t="n"/>
      <c r="D867" s="88" t="n"/>
      <c r="E867" s="88" t="n"/>
      <c r="F867" s="89" t="n"/>
      <c r="G867" s="88" t="n"/>
      <c r="H867" s="88" t="n"/>
      <c r="I867" s="88" t="n"/>
      <c r="J867" s="89" t="n"/>
      <c r="K867" s="88" t="n"/>
      <c r="L867" s="88" t="n"/>
      <c r="M867" s="88" t="n"/>
      <c r="N867" s="89" t="n"/>
      <c r="O867" s="88" t="n"/>
      <c r="P867" s="88" t="n"/>
      <c r="Q867" s="88" t="n"/>
      <c r="R867" s="89" t="n"/>
      <c r="S867" s="88" t="n"/>
      <c r="T867" s="88" t="n"/>
      <c r="U867" s="88" t="n"/>
      <c r="V867" s="89" t="n"/>
      <c r="W867" s="88" t="n"/>
      <c r="X867" s="89" t="n"/>
      <c r="Y867" s="88" t="n"/>
      <c r="Z867" s="89" t="n"/>
      <c r="AB867" s="30">
        <f>IF($B867="","",(COUNTIF(C867:E867,"?*")&lt;N(INDEX(Setup!$L$6:$L$23,10)))+(COUNTIF(G867:I867,"?*")&lt;N(INDEX(Setup!$L$6:$L$23,10)))+(COUNTIF(K867:M867,"?*")&lt;N(INDEX(Setup!$L$6:$L$23,10)))+(COUNTIF(O867:Q867,"?*")&lt;N(INDEX(Setup!$L$6:$L$23,10)))+(COUNTIF(S867:U867,"?*")&lt;N(INDEX(Setup!$L$6:$L$23,10)))+((W867="")*(INDEX(Setup!$M$6:$M$23,10)="Y"))+((Y867="")*(INDEX(Setup!$M$6:$M$23,10)="Y")))</f>
        <v/>
      </c>
      <c r="AC867" s="91">
        <f>IF($B867="","",IF(AB867=0,"✓ covered","⚠ "&amp;AB867&amp;IF(AB867=1," gap"," gaps")))</f>
        <v/>
      </c>
    </row>
    <row r="868" ht="17" customHeight="1">
      <c r="A868" t="n">
        <v>18</v>
      </c>
      <c r="B868" s="24">
        <f>IF(Setup!$K$16="","",Setup!$K$16)</f>
        <v/>
      </c>
      <c r="C868" s="88" t="n"/>
      <c r="D868" s="88" t="n"/>
      <c r="E868" s="88" t="n"/>
      <c r="F868" s="89" t="n"/>
      <c r="G868" s="88" t="n"/>
      <c r="H868" s="88" t="n"/>
      <c r="I868" s="88" t="n"/>
      <c r="J868" s="89" t="n"/>
      <c r="K868" s="88" t="n"/>
      <c r="L868" s="88" t="n"/>
      <c r="M868" s="88" t="n"/>
      <c r="N868" s="89" t="n"/>
      <c r="O868" s="88" t="n"/>
      <c r="P868" s="88" t="n"/>
      <c r="Q868" s="88" t="n"/>
      <c r="R868" s="89" t="n"/>
      <c r="S868" s="88" t="n"/>
      <c r="T868" s="88" t="n"/>
      <c r="U868" s="88" t="n"/>
      <c r="V868" s="89" t="n"/>
      <c r="W868" s="88" t="n"/>
      <c r="X868" s="89" t="n"/>
      <c r="Y868" s="88" t="n"/>
      <c r="Z868" s="89" t="n"/>
      <c r="AB868" s="25">
        <f>IF($B868="","",(COUNTIF(C868:E868,"?*")&lt;N(INDEX(Setup!$L$6:$L$23,11)))+(COUNTIF(G868:I868,"?*")&lt;N(INDEX(Setup!$L$6:$L$23,11)))+(COUNTIF(K868:M868,"?*")&lt;N(INDEX(Setup!$L$6:$L$23,11)))+(COUNTIF(O868:Q868,"?*")&lt;N(INDEX(Setup!$L$6:$L$23,11)))+(COUNTIF(S868:U868,"?*")&lt;N(INDEX(Setup!$L$6:$L$23,11)))+((W868="")*(INDEX(Setup!$M$6:$M$23,11)="Y"))+((Y868="")*(INDEX(Setup!$M$6:$M$23,11)="Y")))</f>
        <v/>
      </c>
      <c r="AC868" s="90">
        <f>IF($B868="","",IF(AB868=0,"✓ covered","⚠ "&amp;AB868&amp;IF(AB868=1," gap"," gaps")))</f>
        <v/>
      </c>
    </row>
    <row r="869" ht="17" customHeight="1">
      <c r="A869" t="n">
        <v>18</v>
      </c>
      <c r="B869" s="29">
        <f>IF(Setup!$K$17="","",Setup!$K$17)</f>
        <v/>
      </c>
      <c r="C869" s="88" t="n"/>
      <c r="D869" s="88" t="n"/>
      <c r="E869" s="88" t="n"/>
      <c r="F869" s="89" t="n"/>
      <c r="G869" s="88" t="n"/>
      <c r="H869" s="88" t="n"/>
      <c r="I869" s="88" t="n"/>
      <c r="J869" s="89" t="n"/>
      <c r="K869" s="88" t="n"/>
      <c r="L869" s="88" t="n"/>
      <c r="M869" s="88" t="n"/>
      <c r="N869" s="89" t="n"/>
      <c r="O869" s="88" t="n"/>
      <c r="P869" s="88" t="n"/>
      <c r="Q869" s="88" t="n"/>
      <c r="R869" s="89" t="n"/>
      <c r="S869" s="88" t="n"/>
      <c r="T869" s="88" t="n"/>
      <c r="U869" s="88" t="n"/>
      <c r="V869" s="89" t="n"/>
      <c r="W869" s="88" t="n"/>
      <c r="X869" s="89" t="n"/>
      <c r="Y869" s="88" t="n"/>
      <c r="Z869" s="89" t="n"/>
      <c r="AB869" s="30">
        <f>IF($B869="","",(COUNTIF(C869:E869,"?*")&lt;N(INDEX(Setup!$L$6:$L$23,12)))+(COUNTIF(G869:I869,"?*")&lt;N(INDEX(Setup!$L$6:$L$23,12)))+(COUNTIF(K869:M869,"?*")&lt;N(INDEX(Setup!$L$6:$L$23,12)))+(COUNTIF(O869:Q869,"?*")&lt;N(INDEX(Setup!$L$6:$L$23,12)))+(COUNTIF(S869:U869,"?*")&lt;N(INDEX(Setup!$L$6:$L$23,12)))+((W869="")*(INDEX(Setup!$M$6:$M$23,12)="Y"))+((Y869="")*(INDEX(Setup!$M$6:$M$23,12)="Y")))</f>
        <v/>
      </c>
      <c r="AC869" s="91">
        <f>IF($B869="","",IF(AB869=0,"✓ covered","⚠ "&amp;AB869&amp;IF(AB869=1," gap"," gaps")))</f>
        <v/>
      </c>
    </row>
    <row r="870" ht="17" customHeight="1">
      <c r="A870" t="n">
        <v>18</v>
      </c>
      <c r="B870" s="24">
        <f>IF(Setup!$K$18="","",Setup!$K$18)</f>
        <v/>
      </c>
      <c r="C870" s="88" t="n"/>
      <c r="D870" s="88" t="n"/>
      <c r="E870" s="88" t="n"/>
      <c r="F870" s="89" t="n"/>
      <c r="G870" s="88" t="n"/>
      <c r="H870" s="88" t="n"/>
      <c r="I870" s="88" t="n"/>
      <c r="J870" s="89" t="n"/>
      <c r="K870" s="88" t="n"/>
      <c r="L870" s="88" t="n"/>
      <c r="M870" s="88" t="n"/>
      <c r="N870" s="89" t="n"/>
      <c r="O870" s="88" t="n"/>
      <c r="P870" s="88" t="n"/>
      <c r="Q870" s="88" t="n"/>
      <c r="R870" s="89" t="n"/>
      <c r="S870" s="88" t="n"/>
      <c r="T870" s="88" t="n"/>
      <c r="U870" s="88" t="n"/>
      <c r="V870" s="89" t="n"/>
      <c r="W870" s="88" t="n"/>
      <c r="X870" s="89" t="n"/>
      <c r="Y870" s="88" t="n"/>
      <c r="Z870" s="89" t="n"/>
      <c r="AB870" s="25">
        <f>IF($B870="","",(COUNTIF(C870:E870,"?*")&lt;N(INDEX(Setup!$L$6:$L$23,13)))+(COUNTIF(G870:I870,"?*")&lt;N(INDEX(Setup!$L$6:$L$23,13)))+(COUNTIF(K870:M870,"?*")&lt;N(INDEX(Setup!$L$6:$L$23,13)))+(COUNTIF(O870:Q870,"?*")&lt;N(INDEX(Setup!$L$6:$L$23,13)))+(COUNTIF(S870:U870,"?*")&lt;N(INDEX(Setup!$L$6:$L$23,13)))+((W870="")*(INDEX(Setup!$M$6:$M$23,13)="Y"))+((Y870="")*(INDEX(Setup!$M$6:$M$23,13)="Y")))</f>
        <v/>
      </c>
      <c r="AC870" s="90">
        <f>IF($B870="","",IF(AB870=0,"✓ covered","⚠ "&amp;AB870&amp;IF(AB870=1," gap"," gaps")))</f>
        <v/>
      </c>
    </row>
    <row r="871" ht="17" customHeight="1">
      <c r="A871" t="n">
        <v>18</v>
      </c>
      <c r="B871" s="29">
        <f>IF(Setup!$K$19="","",Setup!$K$19)</f>
        <v/>
      </c>
      <c r="C871" s="88" t="n"/>
      <c r="D871" s="88" t="n"/>
      <c r="E871" s="88" t="n"/>
      <c r="F871" s="89" t="n"/>
      <c r="G871" s="88" t="n"/>
      <c r="H871" s="88" t="n"/>
      <c r="I871" s="88" t="n"/>
      <c r="J871" s="89" t="n"/>
      <c r="K871" s="88" t="n"/>
      <c r="L871" s="88" t="n"/>
      <c r="M871" s="88" t="n"/>
      <c r="N871" s="89" t="n"/>
      <c r="O871" s="88" t="n"/>
      <c r="P871" s="88" t="n"/>
      <c r="Q871" s="88" t="n"/>
      <c r="R871" s="89" t="n"/>
      <c r="S871" s="88" t="n"/>
      <c r="T871" s="88" t="n"/>
      <c r="U871" s="88" t="n"/>
      <c r="V871" s="89" t="n"/>
      <c r="W871" s="88" t="n"/>
      <c r="X871" s="89" t="n"/>
      <c r="Y871" s="88" t="n"/>
      <c r="Z871" s="89" t="n"/>
      <c r="AB871" s="30">
        <f>IF($B871="","",(COUNTIF(C871:E871,"?*")&lt;N(INDEX(Setup!$L$6:$L$23,14)))+(COUNTIF(G871:I871,"?*")&lt;N(INDEX(Setup!$L$6:$L$23,14)))+(COUNTIF(K871:M871,"?*")&lt;N(INDEX(Setup!$L$6:$L$23,14)))+(COUNTIF(O871:Q871,"?*")&lt;N(INDEX(Setup!$L$6:$L$23,14)))+(COUNTIF(S871:U871,"?*")&lt;N(INDEX(Setup!$L$6:$L$23,14)))+((W871="")*(INDEX(Setup!$M$6:$M$23,14)="Y"))+((Y871="")*(INDEX(Setup!$M$6:$M$23,14)="Y")))</f>
        <v/>
      </c>
      <c r="AC871" s="91">
        <f>IF($B871="","",IF(AB871=0,"✓ covered","⚠ "&amp;AB871&amp;IF(AB871=1," gap"," gaps")))</f>
        <v/>
      </c>
    </row>
    <row r="872" ht="17" customHeight="1">
      <c r="A872" t="n">
        <v>18</v>
      </c>
      <c r="B872" s="24">
        <f>IF(Setup!$K$20="","",Setup!$K$20)</f>
        <v/>
      </c>
      <c r="C872" s="88" t="n"/>
      <c r="D872" s="88" t="n"/>
      <c r="E872" s="88" t="n"/>
      <c r="F872" s="89" t="n"/>
      <c r="G872" s="88" t="n"/>
      <c r="H872" s="88" t="n"/>
      <c r="I872" s="88" t="n"/>
      <c r="J872" s="89" t="n"/>
      <c r="K872" s="88" t="n"/>
      <c r="L872" s="88" t="n"/>
      <c r="M872" s="88" t="n"/>
      <c r="N872" s="89" t="n"/>
      <c r="O872" s="88" t="n"/>
      <c r="P872" s="88" t="n"/>
      <c r="Q872" s="88" t="n"/>
      <c r="R872" s="89" t="n"/>
      <c r="S872" s="88" t="n"/>
      <c r="T872" s="88" t="n"/>
      <c r="U872" s="88" t="n"/>
      <c r="V872" s="89" t="n"/>
      <c r="W872" s="88" t="n"/>
      <c r="X872" s="89" t="n"/>
      <c r="Y872" s="88" t="n"/>
      <c r="Z872" s="89" t="n"/>
      <c r="AB872" s="25">
        <f>IF($B872="","",(COUNTIF(C872:E872,"?*")&lt;N(INDEX(Setup!$L$6:$L$23,15)))+(COUNTIF(G872:I872,"?*")&lt;N(INDEX(Setup!$L$6:$L$23,15)))+(COUNTIF(K872:M872,"?*")&lt;N(INDEX(Setup!$L$6:$L$23,15)))+(COUNTIF(O872:Q872,"?*")&lt;N(INDEX(Setup!$L$6:$L$23,15)))+(COUNTIF(S872:U872,"?*")&lt;N(INDEX(Setup!$L$6:$L$23,15)))+((W872="")*(INDEX(Setup!$M$6:$M$23,15)="Y"))+((Y872="")*(INDEX(Setup!$M$6:$M$23,15)="Y")))</f>
        <v/>
      </c>
      <c r="AC872" s="90">
        <f>IF($B872="","",IF(AB872=0,"✓ covered","⚠ "&amp;AB872&amp;IF(AB872=1," gap"," gaps")))</f>
        <v/>
      </c>
    </row>
    <row r="873" ht="17" customHeight="1">
      <c r="A873" t="n">
        <v>18</v>
      </c>
      <c r="B873" s="29">
        <f>IF(Setup!$K$21="","",Setup!$K$21)</f>
        <v/>
      </c>
      <c r="C873" s="88" t="n"/>
      <c r="D873" s="88" t="n"/>
      <c r="E873" s="88" t="n"/>
      <c r="F873" s="89" t="n"/>
      <c r="G873" s="88" t="n"/>
      <c r="H873" s="88" t="n"/>
      <c r="I873" s="88" t="n"/>
      <c r="J873" s="89" t="n"/>
      <c r="K873" s="88" t="n"/>
      <c r="L873" s="88" t="n"/>
      <c r="M873" s="88" t="n"/>
      <c r="N873" s="89" t="n"/>
      <c r="O873" s="88" t="n"/>
      <c r="P873" s="88" t="n"/>
      <c r="Q873" s="88" t="n"/>
      <c r="R873" s="89" t="n"/>
      <c r="S873" s="88" t="n"/>
      <c r="T873" s="88" t="n"/>
      <c r="U873" s="88" t="n"/>
      <c r="V873" s="89" t="n"/>
      <c r="W873" s="88" t="n"/>
      <c r="X873" s="89" t="n"/>
      <c r="Y873" s="88" t="n"/>
      <c r="Z873" s="89" t="n"/>
      <c r="AB873" s="30">
        <f>IF($B873="","",(COUNTIF(C873:E873,"?*")&lt;N(INDEX(Setup!$L$6:$L$23,16)))+(COUNTIF(G873:I873,"?*")&lt;N(INDEX(Setup!$L$6:$L$23,16)))+(COUNTIF(K873:M873,"?*")&lt;N(INDEX(Setup!$L$6:$L$23,16)))+(COUNTIF(O873:Q873,"?*")&lt;N(INDEX(Setup!$L$6:$L$23,16)))+(COUNTIF(S873:U873,"?*")&lt;N(INDEX(Setup!$L$6:$L$23,16)))+((W873="")*(INDEX(Setup!$M$6:$M$23,16)="Y"))+((Y873="")*(INDEX(Setup!$M$6:$M$23,16)="Y")))</f>
        <v/>
      </c>
      <c r="AC873" s="91">
        <f>IF($B873="","",IF(AB873=0,"✓ covered","⚠ "&amp;AB873&amp;IF(AB873=1," gap"," gaps")))</f>
        <v/>
      </c>
    </row>
    <row r="874" ht="17" customHeight="1">
      <c r="A874" t="n">
        <v>18</v>
      </c>
      <c r="B874" s="24">
        <f>IF(Setup!$K$22="","",Setup!$K$22)</f>
        <v/>
      </c>
      <c r="C874" s="88" t="n"/>
      <c r="D874" s="88" t="n"/>
      <c r="E874" s="88" t="n"/>
      <c r="F874" s="89" t="n"/>
      <c r="G874" s="88" t="n"/>
      <c r="H874" s="88" t="n"/>
      <c r="I874" s="88" t="n"/>
      <c r="J874" s="89" t="n"/>
      <c r="K874" s="88" t="n"/>
      <c r="L874" s="88" t="n"/>
      <c r="M874" s="88" t="n"/>
      <c r="N874" s="89" t="n"/>
      <c r="O874" s="88" t="n"/>
      <c r="P874" s="88" t="n"/>
      <c r="Q874" s="88" t="n"/>
      <c r="R874" s="89" t="n"/>
      <c r="S874" s="88" t="n"/>
      <c r="T874" s="88" t="n"/>
      <c r="U874" s="88" t="n"/>
      <c r="V874" s="89" t="n"/>
      <c r="W874" s="88" t="n"/>
      <c r="X874" s="89" t="n"/>
      <c r="Y874" s="88" t="n"/>
      <c r="Z874" s="89" t="n"/>
      <c r="AB874" s="25">
        <f>IF($B874="","",(COUNTIF(C874:E874,"?*")&lt;N(INDEX(Setup!$L$6:$L$23,17)))+(COUNTIF(G874:I874,"?*")&lt;N(INDEX(Setup!$L$6:$L$23,17)))+(COUNTIF(K874:M874,"?*")&lt;N(INDEX(Setup!$L$6:$L$23,17)))+(COUNTIF(O874:Q874,"?*")&lt;N(INDEX(Setup!$L$6:$L$23,17)))+(COUNTIF(S874:U874,"?*")&lt;N(INDEX(Setup!$L$6:$L$23,17)))+((W874="")*(INDEX(Setup!$M$6:$M$23,17)="Y"))+((Y874="")*(INDEX(Setup!$M$6:$M$23,17)="Y")))</f>
        <v/>
      </c>
      <c r="AC874" s="90">
        <f>IF($B874="","",IF(AB874=0,"✓ covered","⚠ "&amp;AB874&amp;IF(AB874=1," gap"," gaps")))</f>
        <v/>
      </c>
    </row>
    <row r="875" ht="17" customHeight="1">
      <c r="A875" t="n">
        <v>18</v>
      </c>
      <c r="B875" s="29">
        <f>IF(Setup!$K$23="","",Setup!$K$23)</f>
        <v/>
      </c>
      <c r="C875" s="88" t="n"/>
      <c r="D875" s="88" t="n"/>
      <c r="E875" s="88" t="n"/>
      <c r="F875" s="89" t="n"/>
      <c r="G875" s="88" t="n"/>
      <c r="H875" s="88" t="n"/>
      <c r="I875" s="88" t="n"/>
      <c r="J875" s="89" t="n"/>
      <c r="K875" s="88" t="n"/>
      <c r="L875" s="88" t="n"/>
      <c r="M875" s="88" t="n"/>
      <c r="N875" s="89" t="n"/>
      <c r="O875" s="88" t="n"/>
      <c r="P875" s="88" t="n"/>
      <c r="Q875" s="88" t="n"/>
      <c r="R875" s="89" t="n"/>
      <c r="S875" s="88" t="n"/>
      <c r="T875" s="88" t="n"/>
      <c r="U875" s="88" t="n"/>
      <c r="V875" s="89" t="n"/>
      <c r="W875" s="88" t="n"/>
      <c r="X875" s="89" t="n"/>
      <c r="Y875" s="88" t="n"/>
      <c r="Z875" s="89" t="n"/>
      <c r="AB875" s="30">
        <f>IF($B875="","",(COUNTIF(C875:E875,"?*")&lt;N(INDEX(Setup!$L$6:$L$23,18)))+(COUNTIF(G875:I875,"?*")&lt;N(INDEX(Setup!$L$6:$L$23,18)))+(COUNTIF(K875:M875,"?*")&lt;N(INDEX(Setup!$L$6:$L$23,18)))+(COUNTIF(O875:Q875,"?*")&lt;N(INDEX(Setup!$L$6:$L$23,18)))+(COUNTIF(S875:U875,"?*")&lt;N(INDEX(Setup!$L$6:$L$23,18)))+((W875="")*(INDEX(Setup!$M$6:$M$23,18)="Y"))+((Y875="")*(INDEX(Setup!$M$6:$M$23,18)="Y")))</f>
        <v/>
      </c>
      <c r="AC875" s="91">
        <f>IF($B875="","",IF(AB875=0,"✓ covered","⚠ "&amp;AB875&amp;IF(AB875=1," gap"," gaps")))</f>
        <v/>
      </c>
    </row>
    <row r="876" ht="18" customHeight="1">
      <c r="A876" t="n">
        <v>18</v>
      </c>
      <c r="B876" s="78" t="inlineStr">
        <is>
          <t>TEAM AVAILABILITY</t>
        </is>
      </c>
      <c r="C876" s="92" t="inlineStr">
        <is>
          <t>Mon</t>
        </is>
      </c>
      <c r="D876" s="93" t="n"/>
      <c r="E876" s="93" t="n"/>
      <c r="F876" s="94" t="n"/>
      <c r="G876" s="92" t="inlineStr">
        <is>
          <t>Tue</t>
        </is>
      </c>
      <c r="H876" s="93" t="n"/>
      <c r="I876" s="93" t="n"/>
      <c r="J876" s="94" t="n"/>
      <c r="K876" s="92" t="inlineStr">
        <is>
          <t>Wed</t>
        </is>
      </c>
      <c r="L876" s="93" t="n"/>
      <c r="M876" s="93" t="n"/>
      <c r="N876" s="94" t="n"/>
      <c r="O876" s="92" t="inlineStr">
        <is>
          <t>Thu</t>
        </is>
      </c>
      <c r="P876" s="93" t="n"/>
      <c r="Q876" s="93" t="n"/>
      <c r="R876" s="94" t="n"/>
      <c r="S876" s="92" t="inlineStr">
        <is>
          <t>Fri</t>
        </is>
      </c>
      <c r="T876" s="93" t="n"/>
      <c r="U876" s="93" t="n"/>
      <c r="V876" s="94" t="n"/>
      <c r="W876" s="95" t="inlineStr">
        <is>
          <t>Sat</t>
        </is>
      </c>
      <c r="X876" s="96" t="n"/>
      <c r="Y876" s="95" t="inlineStr">
        <is>
          <t>Sun</t>
        </is>
      </c>
      <c r="Z876" s="96" t="n"/>
      <c r="AB876" s="97" t="inlineStr">
        <is>
          <t>Days rostered</t>
        </is>
      </c>
      <c r="AC876" s="97" t="inlineStr">
        <is>
          <t>Conflicts</t>
        </is>
      </c>
    </row>
    <row r="877" ht="15" customHeight="1">
      <c r="A877" t="n">
        <v>18</v>
      </c>
      <c r="B877" s="35">
        <f>IF(Setup!$B$6="","",Setup!$B$6)</f>
        <v/>
      </c>
      <c r="C877" s="98" t="n"/>
      <c r="D877" s="99" t="n"/>
      <c r="E877" s="99" t="n"/>
      <c r="F877" s="100" t="n"/>
      <c r="G877" s="98" t="n"/>
      <c r="H877" s="99" t="n"/>
      <c r="I877" s="99" t="n"/>
      <c r="J877" s="100" t="n"/>
      <c r="K877" s="98" t="n"/>
      <c r="L877" s="99" t="n"/>
      <c r="M877" s="99" t="n"/>
      <c r="N877" s="100" t="n"/>
      <c r="O877" s="98" t="n"/>
      <c r="P877" s="99" t="n"/>
      <c r="Q877" s="99" t="n"/>
      <c r="R877" s="100" t="n"/>
      <c r="S877" s="98" t="n"/>
      <c r="T877" s="99" t="n"/>
      <c r="U877" s="99" t="n"/>
      <c r="V877" s="100" t="n"/>
      <c r="W877" s="98" t="n"/>
      <c r="X877" s="100" t="n"/>
      <c r="Y877" s="98" t="n"/>
      <c r="Z877" s="100" t="n"/>
      <c r="AB877" s="101">
        <f>IF($B877="","",(COUNTIF(C858:E875,$B877)+COUNTIF(C858:E875,$B877&amp;" ~*")&gt;0)+(COUNTIF(G858:I875,$B877)+COUNTIF(G858:I875,$B877&amp;" ~*")&gt;0)+(COUNTIF(K858:M875,$B877)+COUNTIF(K858:M875,$B877&amp;" ~*")&gt;0)+(COUNTIF(O858:Q875,$B877)+COUNTIF(O858:Q875,$B877&amp;" ~*")&gt;0)+(COUNTIF(S858:U875,$B877)+COUNTIF(S858:U875,$B877&amp;" ~*")&gt;0)+(COUNTIF(W858:W875,$B877)+COUNTIF(W858:W875,$B877&amp;" ~*")&gt;0)+(COUNTIF(Y858:Y875,$B877)+COUNTIF(Y858:Y875,$B877&amp;" ~*")&gt;0))</f>
        <v/>
      </c>
      <c r="AC877" s="36">
        <f>IF($B877="","",(IFERROR(INDEX(Setup!$G$33:$G$40,MATCH(C877,Setup!$B$33:$B$40,0)),0)=1)*(COUNTIF(C858:E875,$B877)+COUNTIF(C858:E875,$B877&amp;" ~*")&gt;0)+(IFERROR(INDEX(Setup!$G$33:$G$40,MATCH(G877,Setup!$B$33:$B$40,0)),0)=1)*(COUNTIF(G858:I875,$B877)+COUNTIF(G858:I875,$B877&amp;" ~*")&gt;0)+(IFERROR(INDEX(Setup!$G$33:$G$40,MATCH(K877,Setup!$B$33:$B$40,0)),0)=1)*(COUNTIF(K858:M875,$B877)+COUNTIF(K858:M875,$B877&amp;" ~*")&gt;0)+(IFERROR(INDEX(Setup!$G$33:$G$40,MATCH(O877,Setup!$B$33:$B$40,0)),0)=1)*(COUNTIF(O858:Q875,$B877)+COUNTIF(O858:Q875,$B877&amp;" ~*")&gt;0)+(IFERROR(INDEX(Setup!$G$33:$G$40,MATCH(S877,Setup!$B$33:$B$40,0)),0)=1)*(COUNTIF(S858:U875,$B877)+COUNTIF(S858:U875,$B877&amp;" ~*")&gt;0)+(IFERROR(INDEX(Setup!$G$33:$G$40,MATCH(W877,Setup!$B$33:$B$40,0)),0)=1)*(COUNTIF(W858:W875,$B877)+COUNTIF(W858:W875,$B877&amp;" ~*")&gt;0)+(IFERROR(INDEX(Setup!$G$33:$G$40,MATCH(Y877,Setup!$B$33:$B$40,0)),0)=1)*(COUNTIF(Y858:Y875,$B877)+COUNTIF(Y858:Y875,$B877&amp;" ~*")&gt;0))</f>
        <v/>
      </c>
    </row>
    <row r="878" ht="15" customHeight="1">
      <c r="A878" t="n">
        <v>18</v>
      </c>
      <c r="B878" s="37">
        <f>IF(Setup!$B$7="","",Setup!$B$7)</f>
        <v/>
      </c>
      <c r="C878" s="102" t="n"/>
      <c r="D878" s="103" t="n"/>
      <c r="E878" s="103" t="n"/>
      <c r="F878" s="104" t="n"/>
      <c r="G878" s="102" t="n"/>
      <c r="H878" s="103" t="n"/>
      <c r="I878" s="103" t="n"/>
      <c r="J878" s="104" t="n"/>
      <c r="K878" s="102" t="n"/>
      <c r="L878" s="103" t="n"/>
      <c r="M878" s="103" t="n"/>
      <c r="N878" s="104" t="n"/>
      <c r="O878" s="102" t="n"/>
      <c r="P878" s="103" t="n"/>
      <c r="Q878" s="103" t="n"/>
      <c r="R878" s="104" t="n"/>
      <c r="S878" s="102" t="n"/>
      <c r="T878" s="103" t="n"/>
      <c r="U878" s="103" t="n"/>
      <c r="V878" s="104" t="n"/>
      <c r="W878" s="102" t="n"/>
      <c r="X878" s="104" t="n"/>
      <c r="Y878" s="102" t="n"/>
      <c r="Z878" s="104" t="n"/>
      <c r="AB878" s="105">
        <f>IF($B878="","",(COUNTIF(C858:E875,$B878)+COUNTIF(C858:E875,$B878&amp;" ~*")&gt;0)+(COUNTIF(G858:I875,$B878)+COUNTIF(G858:I875,$B878&amp;" ~*")&gt;0)+(COUNTIF(K858:M875,$B878)+COUNTIF(K858:M875,$B878&amp;" ~*")&gt;0)+(COUNTIF(O858:Q875,$B878)+COUNTIF(O858:Q875,$B878&amp;" ~*")&gt;0)+(COUNTIF(S858:U875,$B878)+COUNTIF(S858:U875,$B878&amp;" ~*")&gt;0)+(COUNTIF(W858:W875,$B878)+COUNTIF(W858:W875,$B878&amp;" ~*")&gt;0)+(COUNTIF(Y858:Y875,$B878)+COUNTIF(Y858:Y875,$B878&amp;" ~*")&gt;0))</f>
        <v/>
      </c>
      <c r="AC878" s="38">
        <f>IF($B878="","",(IFERROR(INDEX(Setup!$G$33:$G$40,MATCH(C878,Setup!$B$33:$B$40,0)),0)=1)*(COUNTIF(C858:E875,$B878)+COUNTIF(C858:E875,$B878&amp;" ~*")&gt;0)+(IFERROR(INDEX(Setup!$G$33:$G$40,MATCH(G878,Setup!$B$33:$B$40,0)),0)=1)*(COUNTIF(G858:I875,$B878)+COUNTIF(G858:I875,$B878&amp;" ~*")&gt;0)+(IFERROR(INDEX(Setup!$G$33:$G$40,MATCH(K878,Setup!$B$33:$B$40,0)),0)=1)*(COUNTIF(K858:M875,$B878)+COUNTIF(K858:M875,$B878&amp;" ~*")&gt;0)+(IFERROR(INDEX(Setup!$G$33:$G$40,MATCH(O878,Setup!$B$33:$B$40,0)),0)=1)*(COUNTIF(O858:Q875,$B878)+COUNTIF(O858:Q875,$B878&amp;" ~*")&gt;0)+(IFERROR(INDEX(Setup!$G$33:$G$40,MATCH(S878,Setup!$B$33:$B$40,0)),0)=1)*(COUNTIF(S858:U875,$B878)+COUNTIF(S858:U875,$B878&amp;" ~*")&gt;0)+(IFERROR(INDEX(Setup!$G$33:$G$40,MATCH(W878,Setup!$B$33:$B$40,0)),0)=1)*(COUNTIF(W858:W875,$B878)+COUNTIF(W858:W875,$B878&amp;" ~*")&gt;0)+(IFERROR(INDEX(Setup!$G$33:$G$40,MATCH(Y878,Setup!$B$33:$B$40,0)),0)=1)*(COUNTIF(Y858:Y875,$B878)+COUNTIF(Y858:Y875,$B878&amp;" ~*")&gt;0))</f>
        <v/>
      </c>
    </row>
    <row r="879" ht="15" customHeight="1">
      <c r="A879" t="n">
        <v>18</v>
      </c>
      <c r="B879" s="35">
        <f>IF(Setup!$B$8="","",Setup!$B$8)</f>
        <v/>
      </c>
      <c r="C879" s="98" t="n"/>
      <c r="D879" s="99" t="n"/>
      <c r="E879" s="99" t="n"/>
      <c r="F879" s="100" t="n"/>
      <c r="G879" s="98" t="n"/>
      <c r="H879" s="99" t="n"/>
      <c r="I879" s="99" t="n"/>
      <c r="J879" s="100" t="n"/>
      <c r="K879" s="98" t="n"/>
      <c r="L879" s="99" t="n"/>
      <c r="M879" s="99" t="n"/>
      <c r="N879" s="100" t="n"/>
      <c r="O879" s="98" t="n"/>
      <c r="P879" s="99" t="n"/>
      <c r="Q879" s="99" t="n"/>
      <c r="R879" s="100" t="n"/>
      <c r="S879" s="98" t="n"/>
      <c r="T879" s="99" t="n"/>
      <c r="U879" s="99" t="n"/>
      <c r="V879" s="100" t="n"/>
      <c r="W879" s="98" t="n"/>
      <c r="X879" s="100" t="n"/>
      <c r="Y879" s="98" t="n"/>
      <c r="Z879" s="100" t="n"/>
      <c r="AB879" s="101">
        <f>IF($B879="","",(COUNTIF(C858:E875,$B879)+COUNTIF(C858:E875,$B879&amp;" ~*")&gt;0)+(COUNTIF(G858:I875,$B879)+COUNTIF(G858:I875,$B879&amp;" ~*")&gt;0)+(COUNTIF(K858:M875,$B879)+COUNTIF(K858:M875,$B879&amp;" ~*")&gt;0)+(COUNTIF(O858:Q875,$B879)+COUNTIF(O858:Q875,$B879&amp;" ~*")&gt;0)+(COUNTIF(S858:U875,$B879)+COUNTIF(S858:U875,$B879&amp;" ~*")&gt;0)+(COUNTIF(W858:W875,$B879)+COUNTIF(W858:W875,$B879&amp;" ~*")&gt;0)+(COUNTIF(Y858:Y875,$B879)+COUNTIF(Y858:Y875,$B879&amp;" ~*")&gt;0))</f>
        <v/>
      </c>
      <c r="AC879" s="36">
        <f>IF($B879="","",(IFERROR(INDEX(Setup!$G$33:$G$40,MATCH(C879,Setup!$B$33:$B$40,0)),0)=1)*(COUNTIF(C858:E875,$B879)+COUNTIF(C858:E875,$B879&amp;" ~*")&gt;0)+(IFERROR(INDEX(Setup!$G$33:$G$40,MATCH(G879,Setup!$B$33:$B$40,0)),0)=1)*(COUNTIF(G858:I875,$B879)+COUNTIF(G858:I875,$B879&amp;" ~*")&gt;0)+(IFERROR(INDEX(Setup!$G$33:$G$40,MATCH(K879,Setup!$B$33:$B$40,0)),0)=1)*(COUNTIF(K858:M875,$B879)+COUNTIF(K858:M875,$B879&amp;" ~*")&gt;0)+(IFERROR(INDEX(Setup!$G$33:$G$40,MATCH(O879,Setup!$B$33:$B$40,0)),0)=1)*(COUNTIF(O858:Q875,$B879)+COUNTIF(O858:Q875,$B879&amp;" ~*")&gt;0)+(IFERROR(INDEX(Setup!$G$33:$G$40,MATCH(S879,Setup!$B$33:$B$40,0)),0)=1)*(COUNTIF(S858:U875,$B879)+COUNTIF(S858:U875,$B879&amp;" ~*")&gt;0)+(IFERROR(INDEX(Setup!$G$33:$G$40,MATCH(W879,Setup!$B$33:$B$40,0)),0)=1)*(COUNTIF(W858:W875,$B879)+COUNTIF(W858:W875,$B879&amp;" ~*")&gt;0)+(IFERROR(INDEX(Setup!$G$33:$G$40,MATCH(Y879,Setup!$B$33:$B$40,0)),0)=1)*(COUNTIF(Y858:Y875,$B879)+COUNTIF(Y858:Y875,$B879&amp;" ~*")&gt;0))</f>
        <v/>
      </c>
    </row>
    <row r="880" ht="15" customHeight="1">
      <c r="A880" t="n">
        <v>18</v>
      </c>
      <c r="B880" s="37">
        <f>IF(Setup!$B$9="","",Setup!$B$9)</f>
        <v/>
      </c>
      <c r="C880" s="102" t="n"/>
      <c r="D880" s="103" t="n"/>
      <c r="E880" s="103" t="n"/>
      <c r="F880" s="104" t="n"/>
      <c r="G880" s="102" t="n"/>
      <c r="H880" s="103" t="n"/>
      <c r="I880" s="103" t="n"/>
      <c r="J880" s="104" t="n"/>
      <c r="K880" s="102" t="n"/>
      <c r="L880" s="103" t="n"/>
      <c r="M880" s="103" t="n"/>
      <c r="N880" s="104" t="n"/>
      <c r="O880" s="102" t="n"/>
      <c r="P880" s="103" t="n"/>
      <c r="Q880" s="103" t="n"/>
      <c r="R880" s="104" t="n"/>
      <c r="S880" s="102" t="n"/>
      <c r="T880" s="103" t="n"/>
      <c r="U880" s="103" t="n"/>
      <c r="V880" s="104" t="n"/>
      <c r="W880" s="102" t="n"/>
      <c r="X880" s="104" t="n"/>
      <c r="Y880" s="102" t="n"/>
      <c r="Z880" s="104" t="n"/>
      <c r="AB880" s="105">
        <f>IF($B880="","",(COUNTIF(C858:E875,$B880)+COUNTIF(C858:E875,$B880&amp;" ~*")&gt;0)+(COUNTIF(G858:I875,$B880)+COUNTIF(G858:I875,$B880&amp;" ~*")&gt;0)+(COUNTIF(K858:M875,$B880)+COUNTIF(K858:M875,$B880&amp;" ~*")&gt;0)+(COUNTIF(O858:Q875,$B880)+COUNTIF(O858:Q875,$B880&amp;" ~*")&gt;0)+(COUNTIF(S858:U875,$B880)+COUNTIF(S858:U875,$B880&amp;" ~*")&gt;0)+(COUNTIF(W858:W875,$B880)+COUNTIF(W858:W875,$B880&amp;" ~*")&gt;0)+(COUNTIF(Y858:Y875,$B880)+COUNTIF(Y858:Y875,$B880&amp;" ~*")&gt;0))</f>
        <v/>
      </c>
      <c r="AC880" s="38">
        <f>IF($B880="","",(IFERROR(INDEX(Setup!$G$33:$G$40,MATCH(C880,Setup!$B$33:$B$40,0)),0)=1)*(COUNTIF(C858:E875,$B880)+COUNTIF(C858:E875,$B880&amp;" ~*")&gt;0)+(IFERROR(INDEX(Setup!$G$33:$G$40,MATCH(G880,Setup!$B$33:$B$40,0)),0)=1)*(COUNTIF(G858:I875,$B880)+COUNTIF(G858:I875,$B880&amp;" ~*")&gt;0)+(IFERROR(INDEX(Setup!$G$33:$G$40,MATCH(K880,Setup!$B$33:$B$40,0)),0)=1)*(COUNTIF(K858:M875,$B880)+COUNTIF(K858:M875,$B880&amp;" ~*")&gt;0)+(IFERROR(INDEX(Setup!$G$33:$G$40,MATCH(O880,Setup!$B$33:$B$40,0)),0)=1)*(COUNTIF(O858:Q875,$B880)+COUNTIF(O858:Q875,$B880&amp;" ~*")&gt;0)+(IFERROR(INDEX(Setup!$G$33:$G$40,MATCH(S880,Setup!$B$33:$B$40,0)),0)=1)*(COUNTIF(S858:U875,$B880)+COUNTIF(S858:U875,$B880&amp;" ~*")&gt;0)+(IFERROR(INDEX(Setup!$G$33:$G$40,MATCH(W880,Setup!$B$33:$B$40,0)),0)=1)*(COUNTIF(W858:W875,$B880)+COUNTIF(W858:W875,$B880&amp;" ~*")&gt;0)+(IFERROR(INDEX(Setup!$G$33:$G$40,MATCH(Y880,Setup!$B$33:$B$40,0)),0)=1)*(COUNTIF(Y858:Y875,$B880)+COUNTIF(Y858:Y875,$B880&amp;" ~*")&gt;0))</f>
        <v/>
      </c>
    </row>
    <row r="881" ht="15" customHeight="1">
      <c r="A881" t="n">
        <v>18</v>
      </c>
      <c r="B881" s="35">
        <f>IF(Setup!$B$10="","",Setup!$B$10)</f>
        <v/>
      </c>
      <c r="C881" s="98" t="n"/>
      <c r="D881" s="99" t="n"/>
      <c r="E881" s="99" t="n"/>
      <c r="F881" s="100" t="n"/>
      <c r="G881" s="98" t="n"/>
      <c r="H881" s="99" t="n"/>
      <c r="I881" s="99" t="n"/>
      <c r="J881" s="100" t="n"/>
      <c r="K881" s="98" t="n"/>
      <c r="L881" s="99" t="n"/>
      <c r="M881" s="99" t="n"/>
      <c r="N881" s="100" t="n"/>
      <c r="O881" s="98" t="n"/>
      <c r="P881" s="99" t="n"/>
      <c r="Q881" s="99" t="n"/>
      <c r="R881" s="100" t="n"/>
      <c r="S881" s="98" t="n"/>
      <c r="T881" s="99" t="n"/>
      <c r="U881" s="99" t="n"/>
      <c r="V881" s="100" t="n"/>
      <c r="W881" s="98" t="n"/>
      <c r="X881" s="100" t="n"/>
      <c r="Y881" s="98" t="n"/>
      <c r="Z881" s="100" t="n"/>
      <c r="AB881" s="101">
        <f>IF($B881="","",(COUNTIF(C858:E875,$B881)+COUNTIF(C858:E875,$B881&amp;" ~*")&gt;0)+(COUNTIF(G858:I875,$B881)+COUNTIF(G858:I875,$B881&amp;" ~*")&gt;0)+(COUNTIF(K858:M875,$B881)+COUNTIF(K858:M875,$B881&amp;" ~*")&gt;0)+(COUNTIF(O858:Q875,$B881)+COUNTIF(O858:Q875,$B881&amp;" ~*")&gt;0)+(COUNTIF(S858:U875,$B881)+COUNTIF(S858:U875,$B881&amp;" ~*")&gt;0)+(COUNTIF(W858:W875,$B881)+COUNTIF(W858:W875,$B881&amp;" ~*")&gt;0)+(COUNTIF(Y858:Y875,$B881)+COUNTIF(Y858:Y875,$B881&amp;" ~*")&gt;0))</f>
        <v/>
      </c>
      <c r="AC881" s="36">
        <f>IF($B881="","",(IFERROR(INDEX(Setup!$G$33:$G$40,MATCH(C881,Setup!$B$33:$B$40,0)),0)=1)*(COUNTIF(C858:E875,$B881)+COUNTIF(C858:E875,$B881&amp;" ~*")&gt;0)+(IFERROR(INDEX(Setup!$G$33:$G$40,MATCH(G881,Setup!$B$33:$B$40,0)),0)=1)*(COUNTIF(G858:I875,$B881)+COUNTIF(G858:I875,$B881&amp;" ~*")&gt;0)+(IFERROR(INDEX(Setup!$G$33:$G$40,MATCH(K881,Setup!$B$33:$B$40,0)),0)=1)*(COUNTIF(K858:M875,$B881)+COUNTIF(K858:M875,$B881&amp;" ~*")&gt;0)+(IFERROR(INDEX(Setup!$G$33:$G$40,MATCH(O881,Setup!$B$33:$B$40,0)),0)=1)*(COUNTIF(O858:Q875,$B881)+COUNTIF(O858:Q875,$B881&amp;" ~*")&gt;0)+(IFERROR(INDEX(Setup!$G$33:$G$40,MATCH(S881,Setup!$B$33:$B$40,0)),0)=1)*(COUNTIF(S858:U875,$B881)+COUNTIF(S858:U875,$B881&amp;" ~*")&gt;0)+(IFERROR(INDEX(Setup!$G$33:$G$40,MATCH(W881,Setup!$B$33:$B$40,0)),0)=1)*(COUNTIF(W858:W875,$B881)+COUNTIF(W858:W875,$B881&amp;" ~*")&gt;0)+(IFERROR(INDEX(Setup!$G$33:$G$40,MATCH(Y881,Setup!$B$33:$B$40,0)),0)=1)*(COUNTIF(Y858:Y875,$B881)+COUNTIF(Y858:Y875,$B881&amp;" ~*")&gt;0))</f>
        <v/>
      </c>
    </row>
    <row r="882" ht="15" customHeight="1">
      <c r="A882" t="n">
        <v>18</v>
      </c>
      <c r="B882" s="37">
        <f>IF(Setup!$B$11="","",Setup!$B$11)</f>
        <v/>
      </c>
      <c r="C882" s="102" t="n"/>
      <c r="D882" s="103" t="n"/>
      <c r="E882" s="103" t="n"/>
      <c r="F882" s="104" t="n"/>
      <c r="G882" s="102" t="n"/>
      <c r="H882" s="103" t="n"/>
      <c r="I882" s="103" t="n"/>
      <c r="J882" s="104" t="n"/>
      <c r="K882" s="102" t="n"/>
      <c r="L882" s="103" t="n"/>
      <c r="M882" s="103" t="n"/>
      <c r="N882" s="104" t="n"/>
      <c r="O882" s="102" t="n"/>
      <c r="P882" s="103" t="n"/>
      <c r="Q882" s="103" t="n"/>
      <c r="R882" s="104" t="n"/>
      <c r="S882" s="102" t="n"/>
      <c r="T882" s="103" t="n"/>
      <c r="U882" s="103" t="n"/>
      <c r="V882" s="104" t="n"/>
      <c r="W882" s="102" t="n"/>
      <c r="X882" s="104" t="n"/>
      <c r="Y882" s="102" t="n"/>
      <c r="Z882" s="104" t="n"/>
      <c r="AB882" s="105">
        <f>IF($B882="","",(COUNTIF(C858:E875,$B882)+COUNTIF(C858:E875,$B882&amp;" ~*")&gt;0)+(COUNTIF(G858:I875,$B882)+COUNTIF(G858:I875,$B882&amp;" ~*")&gt;0)+(COUNTIF(K858:M875,$B882)+COUNTIF(K858:M875,$B882&amp;" ~*")&gt;0)+(COUNTIF(O858:Q875,$B882)+COUNTIF(O858:Q875,$B882&amp;" ~*")&gt;0)+(COUNTIF(S858:U875,$B882)+COUNTIF(S858:U875,$B882&amp;" ~*")&gt;0)+(COUNTIF(W858:W875,$B882)+COUNTIF(W858:W875,$B882&amp;" ~*")&gt;0)+(COUNTIF(Y858:Y875,$B882)+COUNTIF(Y858:Y875,$B882&amp;" ~*")&gt;0))</f>
        <v/>
      </c>
      <c r="AC882" s="38">
        <f>IF($B882="","",(IFERROR(INDEX(Setup!$G$33:$G$40,MATCH(C882,Setup!$B$33:$B$40,0)),0)=1)*(COUNTIF(C858:E875,$B882)+COUNTIF(C858:E875,$B882&amp;" ~*")&gt;0)+(IFERROR(INDEX(Setup!$G$33:$G$40,MATCH(G882,Setup!$B$33:$B$40,0)),0)=1)*(COUNTIF(G858:I875,$B882)+COUNTIF(G858:I875,$B882&amp;" ~*")&gt;0)+(IFERROR(INDEX(Setup!$G$33:$G$40,MATCH(K882,Setup!$B$33:$B$40,0)),0)=1)*(COUNTIF(K858:M875,$B882)+COUNTIF(K858:M875,$B882&amp;" ~*")&gt;0)+(IFERROR(INDEX(Setup!$G$33:$G$40,MATCH(O882,Setup!$B$33:$B$40,0)),0)=1)*(COUNTIF(O858:Q875,$B882)+COUNTIF(O858:Q875,$B882&amp;" ~*")&gt;0)+(IFERROR(INDEX(Setup!$G$33:$G$40,MATCH(S882,Setup!$B$33:$B$40,0)),0)=1)*(COUNTIF(S858:U875,$B882)+COUNTIF(S858:U875,$B882&amp;" ~*")&gt;0)+(IFERROR(INDEX(Setup!$G$33:$G$40,MATCH(W882,Setup!$B$33:$B$40,0)),0)=1)*(COUNTIF(W858:W875,$B882)+COUNTIF(W858:W875,$B882&amp;" ~*")&gt;0)+(IFERROR(INDEX(Setup!$G$33:$G$40,MATCH(Y882,Setup!$B$33:$B$40,0)),0)=1)*(COUNTIF(Y858:Y875,$B882)+COUNTIF(Y858:Y875,$B882&amp;" ~*")&gt;0))</f>
        <v/>
      </c>
    </row>
    <row r="883" ht="15" customHeight="1">
      <c r="A883" t="n">
        <v>18</v>
      </c>
      <c r="B883" s="35">
        <f>IF(Setup!$B$12="","",Setup!$B$12)</f>
        <v/>
      </c>
      <c r="C883" s="98" t="n"/>
      <c r="D883" s="99" t="n"/>
      <c r="E883" s="99" t="n"/>
      <c r="F883" s="100" t="n"/>
      <c r="G883" s="98" t="n"/>
      <c r="H883" s="99" t="n"/>
      <c r="I883" s="99" t="n"/>
      <c r="J883" s="100" t="n"/>
      <c r="K883" s="98" t="n"/>
      <c r="L883" s="99" t="n"/>
      <c r="M883" s="99" t="n"/>
      <c r="N883" s="100" t="n"/>
      <c r="O883" s="98" t="n"/>
      <c r="P883" s="99" t="n"/>
      <c r="Q883" s="99" t="n"/>
      <c r="R883" s="100" t="n"/>
      <c r="S883" s="98" t="n"/>
      <c r="T883" s="99" t="n"/>
      <c r="U883" s="99" t="n"/>
      <c r="V883" s="100" t="n"/>
      <c r="W883" s="98" t="n"/>
      <c r="X883" s="100" t="n"/>
      <c r="Y883" s="98" t="n"/>
      <c r="Z883" s="100" t="n"/>
      <c r="AB883" s="101">
        <f>IF($B883="","",(COUNTIF(C858:E875,$B883)+COUNTIF(C858:E875,$B883&amp;" ~*")&gt;0)+(COUNTIF(G858:I875,$B883)+COUNTIF(G858:I875,$B883&amp;" ~*")&gt;0)+(COUNTIF(K858:M875,$B883)+COUNTIF(K858:M875,$B883&amp;" ~*")&gt;0)+(COUNTIF(O858:Q875,$B883)+COUNTIF(O858:Q875,$B883&amp;" ~*")&gt;0)+(COUNTIF(S858:U875,$B883)+COUNTIF(S858:U875,$B883&amp;" ~*")&gt;0)+(COUNTIF(W858:W875,$B883)+COUNTIF(W858:W875,$B883&amp;" ~*")&gt;0)+(COUNTIF(Y858:Y875,$B883)+COUNTIF(Y858:Y875,$B883&amp;" ~*")&gt;0))</f>
        <v/>
      </c>
      <c r="AC883" s="36">
        <f>IF($B883="","",(IFERROR(INDEX(Setup!$G$33:$G$40,MATCH(C883,Setup!$B$33:$B$40,0)),0)=1)*(COUNTIF(C858:E875,$B883)+COUNTIF(C858:E875,$B883&amp;" ~*")&gt;0)+(IFERROR(INDEX(Setup!$G$33:$G$40,MATCH(G883,Setup!$B$33:$B$40,0)),0)=1)*(COUNTIF(G858:I875,$B883)+COUNTIF(G858:I875,$B883&amp;" ~*")&gt;0)+(IFERROR(INDEX(Setup!$G$33:$G$40,MATCH(K883,Setup!$B$33:$B$40,0)),0)=1)*(COUNTIF(K858:M875,$B883)+COUNTIF(K858:M875,$B883&amp;" ~*")&gt;0)+(IFERROR(INDEX(Setup!$G$33:$G$40,MATCH(O883,Setup!$B$33:$B$40,0)),0)=1)*(COUNTIF(O858:Q875,$B883)+COUNTIF(O858:Q875,$B883&amp;" ~*")&gt;0)+(IFERROR(INDEX(Setup!$G$33:$G$40,MATCH(S883,Setup!$B$33:$B$40,0)),0)=1)*(COUNTIF(S858:U875,$B883)+COUNTIF(S858:U875,$B883&amp;" ~*")&gt;0)+(IFERROR(INDEX(Setup!$G$33:$G$40,MATCH(W883,Setup!$B$33:$B$40,0)),0)=1)*(COUNTIF(W858:W875,$B883)+COUNTIF(W858:W875,$B883&amp;" ~*")&gt;0)+(IFERROR(INDEX(Setup!$G$33:$G$40,MATCH(Y883,Setup!$B$33:$B$40,0)),0)=1)*(COUNTIF(Y858:Y875,$B883)+COUNTIF(Y858:Y875,$B883&amp;" ~*")&gt;0))</f>
        <v/>
      </c>
    </row>
    <row r="884" ht="15" customHeight="1">
      <c r="A884" t="n">
        <v>18</v>
      </c>
      <c r="B884" s="37">
        <f>IF(Setup!$B$13="","",Setup!$B$13)</f>
        <v/>
      </c>
      <c r="C884" s="102" t="n"/>
      <c r="D884" s="103" t="n"/>
      <c r="E884" s="103" t="n"/>
      <c r="F884" s="104" t="n"/>
      <c r="G884" s="102" t="n"/>
      <c r="H884" s="103" t="n"/>
      <c r="I884" s="103" t="n"/>
      <c r="J884" s="104" t="n"/>
      <c r="K884" s="102" t="n"/>
      <c r="L884" s="103" t="n"/>
      <c r="M884" s="103" t="n"/>
      <c r="N884" s="104" t="n"/>
      <c r="O884" s="102" t="n"/>
      <c r="P884" s="103" t="n"/>
      <c r="Q884" s="103" t="n"/>
      <c r="R884" s="104" t="n"/>
      <c r="S884" s="102" t="n"/>
      <c r="T884" s="103" t="n"/>
      <c r="U884" s="103" t="n"/>
      <c r="V884" s="104" t="n"/>
      <c r="W884" s="102" t="n"/>
      <c r="X884" s="104" t="n"/>
      <c r="Y884" s="102" t="n"/>
      <c r="Z884" s="104" t="n"/>
      <c r="AB884" s="105">
        <f>IF($B884="","",(COUNTIF(C858:E875,$B884)+COUNTIF(C858:E875,$B884&amp;" ~*")&gt;0)+(COUNTIF(G858:I875,$B884)+COUNTIF(G858:I875,$B884&amp;" ~*")&gt;0)+(COUNTIF(K858:M875,$B884)+COUNTIF(K858:M875,$B884&amp;" ~*")&gt;0)+(COUNTIF(O858:Q875,$B884)+COUNTIF(O858:Q875,$B884&amp;" ~*")&gt;0)+(COUNTIF(S858:U875,$B884)+COUNTIF(S858:U875,$B884&amp;" ~*")&gt;0)+(COUNTIF(W858:W875,$B884)+COUNTIF(W858:W875,$B884&amp;" ~*")&gt;0)+(COUNTIF(Y858:Y875,$B884)+COUNTIF(Y858:Y875,$B884&amp;" ~*")&gt;0))</f>
        <v/>
      </c>
      <c r="AC884" s="38">
        <f>IF($B884="","",(IFERROR(INDEX(Setup!$G$33:$G$40,MATCH(C884,Setup!$B$33:$B$40,0)),0)=1)*(COUNTIF(C858:E875,$B884)+COUNTIF(C858:E875,$B884&amp;" ~*")&gt;0)+(IFERROR(INDEX(Setup!$G$33:$G$40,MATCH(G884,Setup!$B$33:$B$40,0)),0)=1)*(COUNTIF(G858:I875,$B884)+COUNTIF(G858:I875,$B884&amp;" ~*")&gt;0)+(IFERROR(INDEX(Setup!$G$33:$G$40,MATCH(K884,Setup!$B$33:$B$40,0)),0)=1)*(COUNTIF(K858:M875,$B884)+COUNTIF(K858:M875,$B884&amp;" ~*")&gt;0)+(IFERROR(INDEX(Setup!$G$33:$G$40,MATCH(O884,Setup!$B$33:$B$40,0)),0)=1)*(COUNTIF(O858:Q875,$B884)+COUNTIF(O858:Q875,$B884&amp;" ~*")&gt;0)+(IFERROR(INDEX(Setup!$G$33:$G$40,MATCH(S884,Setup!$B$33:$B$40,0)),0)=1)*(COUNTIF(S858:U875,$B884)+COUNTIF(S858:U875,$B884&amp;" ~*")&gt;0)+(IFERROR(INDEX(Setup!$G$33:$G$40,MATCH(W884,Setup!$B$33:$B$40,0)),0)=1)*(COUNTIF(W858:W875,$B884)+COUNTIF(W858:W875,$B884&amp;" ~*")&gt;0)+(IFERROR(INDEX(Setup!$G$33:$G$40,MATCH(Y884,Setup!$B$33:$B$40,0)),0)=1)*(COUNTIF(Y858:Y875,$B884)+COUNTIF(Y858:Y875,$B884&amp;" ~*")&gt;0))</f>
        <v/>
      </c>
    </row>
    <row r="885" ht="15" customHeight="1">
      <c r="A885" t="n">
        <v>18</v>
      </c>
      <c r="B885" s="35">
        <f>IF(Setup!$B$14="","",Setup!$B$14)</f>
        <v/>
      </c>
      <c r="C885" s="98" t="n"/>
      <c r="D885" s="99" t="n"/>
      <c r="E885" s="99" t="n"/>
      <c r="F885" s="100" t="n"/>
      <c r="G885" s="98" t="n"/>
      <c r="H885" s="99" t="n"/>
      <c r="I885" s="99" t="n"/>
      <c r="J885" s="100" t="n"/>
      <c r="K885" s="98" t="n"/>
      <c r="L885" s="99" t="n"/>
      <c r="M885" s="99" t="n"/>
      <c r="N885" s="100" t="n"/>
      <c r="O885" s="98" t="n"/>
      <c r="P885" s="99" t="n"/>
      <c r="Q885" s="99" t="n"/>
      <c r="R885" s="100" t="n"/>
      <c r="S885" s="98" t="n"/>
      <c r="T885" s="99" t="n"/>
      <c r="U885" s="99" t="n"/>
      <c r="V885" s="100" t="n"/>
      <c r="W885" s="98" t="n"/>
      <c r="X885" s="100" t="n"/>
      <c r="Y885" s="98" t="n"/>
      <c r="Z885" s="100" t="n"/>
      <c r="AB885" s="101">
        <f>IF($B885="","",(COUNTIF(C858:E875,$B885)+COUNTIF(C858:E875,$B885&amp;" ~*")&gt;0)+(COUNTIF(G858:I875,$B885)+COUNTIF(G858:I875,$B885&amp;" ~*")&gt;0)+(COUNTIF(K858:M875,$B885)+COUNTIF(K858:M875,$B885&amp;" ~*")&gt;0)+(COUNTIF(O858:Q875,$B885)+COUNTIF(O858:Q875,$B885&amp;" ~*")&gt;0)+(COUNTIF(S858:U875,$B885)+COUNTIF(S858:U875,$B885&amp;" ~*")&gt;0)+(COUNTIF(W858:W875,$B885)+COUNTIF(W858:W875,$B885&amp;" ~*")&gt;0)+(COUNTIF(Y858:Y875,$B885)+COUNTIF(Y858:Y875,$B885&amp;" ~*")&gt;0))</f>
        <v/>
      </c>
      <c r="AC885" s="36">
        <f>IF($B885="","",(IFERROR(INDEX(Setup!$G$33:$G$40,MATCH(C885,Setup!$B$33:$B$40,0)),0)=1)*(COUNTIF(C858:E875,$B885)+COUNTIF(C858:E875,$B885&amp;" ~*")&gt;0)+(IFERROR(INDEX(Setup!$G$33:$G$40,MATCH(G885,Setup!$B$33:$B$40,0)),0)=1)*(COUNTIF(G858:I875,$B885)+COUNTIF(G858:I875,$B885&amp;" ~*")&gt;0)+(IFERROR(INDEX(Setup!$G$33:$G$40,MATCH(K885,Setup!$B$33:$B$40,0)),0)=1)*(COUNTIF(K858:M875,$B885)+COUNTIF(K858:M875,$B885&amp;" ~*")&gt;0)+(IFERROR(INDEX(Setup!$G$33:$G$40,MATCH(O885,Setup!$B$33:$B$40,0)),0)=1)*(COUNTIF(O858:Q875,$B885)+COUNTIF(O858:Q875,$B885&amp;" ~*")&gt;0)+(IFERROR(INDEX(Setup!$G$33:$G$40,MATCH(S885,Setup!$B$33:$B$40,0)),0)=1)*(COUNTIF(S858:U875,$B885)+COUNTIF(S858:U875,$B885&amp;" ~*")&gt;0)+(IFERROR(INDEX(Setup!$G$33:$G$40,MATCH(W885,Setup!$B$33:$B$40,0)),0)=1)*(COUNTIF(W858:W875,$B885)+COUNTIF(W858:W875,$B885&amp;" ~*")&gt;0)+(IFERROR(INDEX(Setup!$G$33:$G$40,MATCH(Y885,Setup!$B$33:$B$40,0)),0)=1)*(COUNTIF(Y858:Y875,$B885)+COUNTIF(Y858:Y875,$B885&amp;" ~*")&gt;0))</f>
        <v/>
      </c>
    </row>
    <row r="886" ht="15" customHeight="1">
      <c r="A886" t="n">
        <v>18</v>
      </c>
      <c r="B886" s="37">
        <f>IF(Setup!$B$15="","",Setup!$B$15)</f>
        <v/>
      </c>
      <c r="C886" s="102" t="n"/>
      <c r="D886" s="103" t="n"/>
      <c r="E886" s="103" t="n"/>
      <c r="F886" s="104" t="n"/>
      <c r="G886" s="102" t="n"/>
      <c r="H886" s="103" t="n"/>
      <c r="I886" s="103" t="n"/>
      <c r="J886" s="104" t="n"/>
      <c r="K886" s="102" t="n"/>
      <c r="L886" s="103" t="n"/>
      <c r="M886" s="103" t="n"/>
      <c r="N886" s="104" t="n"/>
      <c r="O886" s="102" t="n"/>
      <c r="P886" s="103" t="n"/>
      <c r="Q886" s="103" t="n"/>
      <c r="R886" s="104" t="n"/>
      <c r="S886" s="102" t="n"/>
      <c r="T886" s="103" t="n"/>
      <c r="U886" s="103" t="n"/>
      <c r="V886" s="104" t="n"/>
      <c r="W886" s="102" t="n"/>
      <c r="X886" s="104" t="n"/>
      <c r="Y886" s="102" t="n"/>
      <c r="Z886" s="104" t="n"/>
      <c r="AB886" s="105">
        <f>IF($B886="","",(COUNTIF(C858:E875,$B886)+COUNTIF(C858:E875,$B886&amp;" ~*")&gt;0)+(COUNTIF(G858:I875,$B886)+COUNTIF(G858:I875,$B886&amp;" ~*")&gt;0)+(COUNTIF(K858:M875,$B886)+COUNTIF(K858:M875,$B886&amp;" ~*")&gt;0)+(COUNTIF(O858:Q875,$B886)+COUNTIF(O858:Q875,$B886&amp;" ~*")&gt;0)+(COUNTIF(S858:U875,$B886)+COUNTIF(S858:U875,$B886&amp;" ~*")&gt;0)+(COUNTIF(W858:W875,$B886)+COUNTIF(W858:W875,$B886&amp;" ~*")&gt;0)+(COUNTIF(Y858:Y875,$B886)+COUNTIF(Y858:Y875,$B886&amp;" ~*")&gt;0))</f>
        <v/>
      </c>
      <c r="AC886" s="38">
        <f>IF($B886="","",(IFERROR(INDEX(Setup!$G$33:$G$40,MATCH(C886,Setup!$B$33:$B$40,0)),0)=1)*(COUNTIF(C858:E875,$B886)+COUNTIF(C858:E875,$B886&amp;" ~*")&gt;0)+(IFERROR(INDEX(Setup!$G$33:$G$40,MATCH(G886,Setup!$B$33:$B$40,0)),0)=1)*(COUNTIF(G858:I875,$B886)+COUNTIF(G858:I875,$B886&amp;" ~*")&gt;0)+(IFERROR(INDEX(Setup!$G$33:$G$40,MATCH(K886,Setup!$B$33:$B$40,0)),0)=1)*(COUNTIF(K858:M875,$B886)+COUNTIF(K858:M875,$B886&amp;" ~*")&gt;0)+(IFERROR(INDEX(Setup!$G$33:$G$40,MATCH(O886,Setup!$B$33:$B$40,0)),0)=1)*(COUNTIF(O858:Q875,$B886)+COUNTIF(O858:Q875,$B886&amp;" ~*")&gt;0)+(IFERROR(INDEX(Setup!$G$33:$G$40,MATCH(S886,Setup!$B$33:$B$40,0)),0)=1)*(COUNTIF(S858:U875,$B886)+COUNTIF(S858:U875,$B886&amp;" ~*")&gt;0)+(IFERROR(INDEX(Setup!$G$33:$G$40,MATCH(W886,Setup!$B$33:$B$40,0)),0)=1)*(COUNTIF(W858:W875,$B886)+COUNTIF(W858:W875,$B886&amp;" ~*")&gt;0)+(IFERROR(INDEX(Setup!$G$33:$G$40,MATCH(Y886,Setup!$B$33:$B$40,0)),0)=1)*(COUNTIF(Y858:Y875,$B886)+COUNTIF(Y858:Y875,$B886&amp;" ~*")&gt;0))</f>
        <v/>
      </c>
    </row>
    <row r="887" ht="15" customHeight="1">
      <c r="A887" t="n">
        <v>18</v>
      </c>
      <c r="B887" s="35">
        <f>IF(Setup!$B$16="","",Setup!$B$16)</f>
        <v/>
      </c>
      <c r="C887" s="98" t="n"/>
      <c r="D887" s="99" t="n"/>
      <c r="E887" s="99" t="n"/>
      <c r="F887" s="100" t="n"/>
      <c r="G887" s="98" t="n"/>
      <c r="H887" s="99" t="n"/>
      <c r="I887" s="99" t="n"/>
      <c r="J887" s="100" t="n"/>
      <c r="K887" s="98" t="n"/>
      <c r="L887" s="99" t="n"/>
      <c r="M887" s="99" t="n"/>
      <c r="N887" s="100" t="n"/>
      <c r="O887" s="98" t="n"/>
      <c r="P887" s="99" t="n"/>
      <c r="Q887" s="99" t="n"/>
      <c r="R887" s="100" t="n"/>
      <c r="S887" s="98" t="n"/>
      <c r="T887" s="99" t="n"/>
      <c r="U887" s="99" t="n"/>
      <c r="V887" s="100" t="n"/>
      <c r="W887" s="98" t="n"/>
      <c r="X887" s="100" t="n"/>
      <c r="Y887" s="98" t="n"/>
      <c r="Z887" s="100" t="n"/>
      <c r="AB887" s="101">
        <f>IF($B887="","",(COUNTIF(C858:E875,$B887)+COUNTIF(C858:E875,$B887&amp;" ~*")&gt;0)+(COUNTIF(G858:I875,$B887)+COUNTIF(G858:I875,$B887&amp;" ~*")&gt;0)+(COUNTIF(K858:M875,$B887)+COUNTIF(K858:M875,$B887&amp;" ~*")&gt;0)+(COUNTIF(O858:Q875,$B887)+COUNTIF(O858:Q875,$B887&amp;" ~*")&gt;0)+(COUNTIF(S858:U875,$B887)+COUNTIF(S858:U875,$B887&amp;" ~*")&gt;0)+(COUNTIF(W858:W875,$B887)+COUNTIF(W858:W875,$B887&amp;" ~*")&gt;0)+(COUNTIF(Y858:Y875,$B887)+COUNTIF(Y858:Y875,$B887&amp;" ~*")&gt;0))</f>
        <v/>
      </c>
      <c r="AC887" s="36">
        <f>IF($B887="","",(IFERROR(INDEX(Setup!$G$33:$G$40,MATCH(C887,Setup!$B$33:$B$40,0)),0)=1)*(COUNTIF(C858:E875,$B887)+COUNTIF(C858:E875,$B887&amp;" ~*")&gt;0)+(IFERROR(INDEX(Setup!$G$33:$G$40,MATCH(G887,Setup!$B$33:$B$40,0)),0)=1)*(COUNTIF(G858:I875,$B887)+COUNTIF(G858:I875,$B887&amp;" ~*")&gt;0)+(IFERROR(INDEX(Setup!$G$33:$G$40,MATCH(K887,Setup!$B$33:$B$40,0)),0)=1)*(COUNTIF(K858:M875,$B887)+COUNTIF(K858:M875,$B887&amp;" ~*")&gt;0)+(IFERROR(INDEX(Setup!$G$33:$G$40,MATCH(O887,Setup!$B$33:$B$40,0)),0)=1)*(COUNTIF(O858:Q875,$B887)+COUNTIF(O858:Q875,$B887&amp;" ~*")&gt;0)+(IFERROR(INDEX(Setup!$G$33:$G$40,MATCH(S887,Setup!$B$33:$B$40,0)),0)=1)*(COUNTIF(S858:U875,$B887)+COUNTIF(S858:U875,$B887&amp;" ~*")&gt;0)+(IFERROR(INDEX(Setup!$G$33:$G$40,MATCH(W887,Setup!$B$33:$B$40,0)),0)=1)*(COUNTIF(W858:W875,$B887)+COUNTIF(W858:W875,$B887&amp;" ~*")&gt;0)+(IFERROR(INDEX(Setup!$G$33:$G$40,MATCH(Y887,Setup!$B$33:$B$40,0)),0)=1)*(COUNTIF(Y858:Y875,$B887)+COUNTIF(Y858:Y875,$B887&amp;" ~*")&gt;0))</f>
        <v/>
      </c>
    </row>
    <row r="888" ht="15" customHeight="1">
      <c r="A888" t="n">
        <v>18</v>
      </c>
      <c r="B888" s="37">
        <f>IF(Setup!$B$17="","",Setup!$B$17)</f>
        <v/>
      </c>
      <c r="C888" s="102" t="n"/>
      <c r="D888" s="103" t="n"/>
      <c r="E888" s="103" t="n"/>
      <c r="F888" s="104" t="n"/>
      <c r="G888" s="102" t="n"/>
      <c r="H888" s="103" t="n"/>
      <c r="I888" s="103" t="n"/>
      <c r="J888" s="104" t="n"/>
      <c r="K888" s="102" t="n"/>
      <c r="L888" s="103" t="n"/>
      <c r="M888" s="103" t="n"/>
      <c r="N888" s="104" t="n"/>
      <c r="O888" s="102" t="n"/>
      <c r="P888" s="103" t="n"/>
      <c r="Q888" s="103" t="n"/>
      <c r="R888" s="104" t="n"/>
      <c r="S888" s="102" t="n"/>
      <c r="T888" s="103" t="n"/>
      <c r="U888" s="103" t="n"/>
      <c r="V888" s="104" t="n"/>
      <c r="W888" s="102" t="n"/>
      <c r="X888" s="104" t="n"/>
      <c r="Y888" s="102" t="n"/>
      <c r="Z888" s="104" t="n"/>
      <c r="AB888" s="105">
        <f>IF($B888="","",(COUNTIF(C858:E875,$B888)+COUNTIF(C858:E875,$B888&amp;" ~*")&gt;0)+(COUNTIF(G858:I875,$B888)+COUNTIF(G858:I875,$B888&amp;" ~*")&gt;0)+(COUNTIF(K858:M875,$B888)+COUNTIF(K858:M875,$B888&amp;" ~*")&gt;0)+(COUNTIF(O858:Q875,$B888)+COUNTIF(O858:Q875,$B888&amp;" ~*")&gt;0)+(COUNTIF(S858:U875,$B888)+COUNTIF(S858:U875,$B888&amp;" ~*")&gt;0)+(COUNTIF(W858:W875,$B888)+COUNTIF(W858:W875,$B888&amp;" ~*")&gt;0)+(COUNTIF(Y858:Y875,$B888)+COUNTIF(Y858:Y875,$B888&amp;" ~*")&gt;0))</f>
        <v/>
      </c>
      <c r="AC888" s="38">
        <f>IF($B888="","",(IFERROR(INDEX(Setup!$G$33:$G$40,MATCH(C888,Setup!$B$33:$B$40,0)),0)=1)*(COUNTIF(C858:E875,$B888)+COUNTIF(C858:E875,$B888&amp;" ~*")&gt;0)+(IFERROR(INDEX(Setup!$G$33:$G$40,MATCH(G888,Setup!$B$33:$B$40,0)),0)=1)*(COUNTIF(G858:I875,$B888)+COUNTIF(G858:I875,$B888&amp;" ~*")&gt;0)+(IFERROR(INDEX(Setup!$G$33:$G$40,MATCH(K888,Setup!$B$33:$B$40,0)),0)=1)*(COUNTIF(K858:M875,$B888)+COUNTIF(K858:M875,$B888&amp;" ~*")&gt;0)+(IFERROR(INDEX(Setup!$G$33:$G$40,MATCH(O888,Setup!$B$33:$B$40,0)),0)=1)*(COUNTIF(O858:Q875,$B888)+COUNTIF(O858:Q875,$B888&amp;" ~*")&gt;0)+(IFERROR(INDEX(Setup!$G$33:$G$40,MATCH(S888,Setup!$B$33:$B$40,0)),0)=1)*(COUNTIF(S858:U875,$B888)+COUNTIF(S858:U875,$B888&amp;" ~*")&gt;0)+(IFERROR(INDEX(Setup!$G$33:$G$40,MATCH(W888,Setup!$B$33:$B$40,0)),0)=1)*(COUNTIF(W858:W875,$B888)+COUNTIF(W858:W875,$B888&amp;" ~*")&gt;0)+(IFERROR(INDEX(Setup!$G$33:$G$40,MATCH(Y888,Setup!$B$33:$B$40,0)),0)=1)*(COUNTIF(Y858:Y875,$B888)+COUNTIF(Y858:Y875,$B888&amp;" ~*")&gt;0))</f>
        <v/>
      </c>
    </row>
    <row r="889" ht="15" customHeight="1">
      <c r="A889" t="n">
        <v>18</v>
      </c>
      <c r="B889" s="35">
        <f>IF(Setup!$B$18="","",Setup!$B$18)</f>
        <v/>
      </c>
      <c r="C889" s="98" t="n"/>
      <c r="D889" s="99" t="n"/>
      <c r="E889" s="99" t="n"/>
      <c r="F889" s="100" t="n"/>
      <c r="G889" s="98" t="n"/>
      <c r="H889" s="99" t="n"/>
      <c r="I889" s="99" t="n"/>
      <c r="J889" s="100" t="n"/>
      <c r="K889" s="98" t="n"/>
      <c r="L889" s="99" t="n"/>
      <c r="M889" s="99" t="n"/>
      <c r="N889" s="100" t="n"/>
      <c r="O889" s="98" t="n"/>
      <c r="P889" s="99" t="n"/>
      <c r="Q889" s="99" t="n"/>
      <c r="R889" s="100" t="n"/>
      <c r="S889" s="98" t="n"/>
      <c r="T889" s="99" t="n"/>
      <c r="U889" s="99" t="n"/>
      <c r="V889" s="100" t="n"/>
      <c r="W889" s="98" t="n"/>
      <c r="X889" s="100" t="n"/>
      <c r="Y889" s="98" t="n"/>
      <c r="Z889" s="100" t="n"/>
      <c r="AB889" s="101">
        <f>IF($B889="","",(COUNTIF(C858:E875,$B889)+COUNTIF(C858:E875,$B889&amp;" ~*")&gt;0)+(COUNTIF(G858:I875,$B889)+COUNTIF(G858:I875,$B889&amp;" ~*")&gt;0)+(COUNTIF(K858:M875,$B889)+COUNTIF(K858:M875,$B889&amp;" ~*")&gt;0)+(COUNTIF(O858:Q875,$B889)+COUNTIF(O858:Q875,$B889&amp;" ~*")&gt;0)+(COUNTIF(S858:U875,$B889)+COUNTIF(S858:U875,$B889&amp;" ~*")&gt;0)+(COUNTIF(W858:W875,$B889)+COUNTIF(W858:W875,$B889&amp;" ~*")&gt;0)+(COUNTIF(Y858:Y875,$B889)+COUNTIF(Y858:Y875,$B889&amp;" ~*")&gt;0))</f>
        <v/>
      </c>
      <c r="AC889" s="36">
        <f>IF($B889="","",(IFERROR(INDEX(Setup!$G$33:$G$40,MATCH(C889,Setup!$B$33:$B$40,0)),0)=1)*(COUNTIF(C858:E875,$B889)+COUNTIF(C858:E875,$B889&amp;" ~*")&gt;0)+(IFERROR(INDEX(Setup!$G$33:$G$40,MATCH(G889,Setup!$B$33:$B$40,0)),0)=1)*(COUNTIF(G858:I875,$B889)+COUNTIF(G858:I875,$B889&amp;" ~*")&gt;0)+(IFERROR(INDEX(Setup!$G$33:$G$40,MATCH(K889,Setup!$B$33:$B$40,0)),0)=1)*(COUNTIF(K858:M875,$B889)+COUNTIF(K858:M875,$B889&amp;" ~*")&gt;0)+(IFERROR(INDEX(Setup!$G$33:$G$40,MATCH(O889,Setup!$B$33:$B$40,0)),0)=1)*(COUNTIF(O858:Q875,$B889)+COUNTIF(O858:Q875,$B889&amp;" ~*")&gt;0)+(IFERROR(INDEX(Setup!$G$33:$G$40,MATCH(S889,Setup!$B$33:$B$40,0)),0)=1)*(COUNTIF(S858:U875,$B889)+COUNTIF(S858:U875,$B889&amp;" ~*")&gt;0)+(IFERROR(INDEX(Setup!$G$33:$G$40,MATCH(W889,Setup!$B$33:$B$40,0)),0)=1)*(COUNTIF(W858:W875,$B889)+COUNTIF(W858:W875,$B889&amp;" ~*")&gt;0)+(IFERROR(INDEX(Setup!$G$33:$G$40,MATCH(Y889,Setup!$B$33:$B$40,0)),0)=1)*(COUNTIF(Y858:Y875,$B889)+COUNTIF(Y858:Y875,$B889&amp;" ~*")&gt;0))</f>
        <v/>
      </c>
    </row>
    <row r="890" ht="15" customHeight="1">
      <c r="A890" t="n">
        <v>18</v>
      </c>
      <c r="B890" s="37">
        <f>IF(Setup!$B$19="","",Setup!$B$19)</f>
        <v/>
      </c>
      <c r="C890" s="102" t="n"/>
      <c r="D890" s="103" t="n"/>
      <c r="E890" s="103" t="n"/>
      <c r="F890" s="104" t="n"/>
      <c r="G890" s="102" t="n"/>
      <c r="H890" s="103" t="n"/>
      <c r="I890" s="103" t="n"/>
      <c r="J890" s="104" t="n"/>
      <c r="K890" s="102" t="n"/>
      <c r="L890" s="103" t="n"/>
      <c r="M890" s="103" t="n"/>
      <c r="N890" s="104" t="n"/>
      <c r="O890" s="102" t="n"/>
      <c r="P890" s="103" t="n"/>
      <c r="Q890" s="103" t="n"/>
      <c r="R890" s="104" t="n"/>
      <c r="S890" s="102" t="n"/>
      <c r="T890" s="103" t="n"/>
      <c r="U890" s="103" t="n"/>
      <c r="V890" s="104" t="n"/>
      <c r="W890" s="102" t="n"/>
      <c r="X890" s="104" t="n"/>
      <c r="Y890" s="102" t="n"/>
      <c r="Z890" s="104" t="n"/>
      <c r="AB890" s="105">
        <f>IF($B890="","",(COUNTIF(C858:E875,$B890)+COUNTIF(C858:E875,$B890&amp;" ~*")&gt;0)+(COUNTIF(G858:I875,$B890)+COUNTIF(G858:I875,$B890&amp;" ~*")&gt;0)+(COUNTIF(K858:M875,$B890)+COUNTIF(K858:M875,$B890&amp;" ~*")&gt;0)+(COUNTIF(O858:Q875,$B890)+COUNTIF(O858:Q875,$B890&amp;" ~*")&gt;0)+(COUNTIF(S858:U875,$B890)+COUNTIF(S858:U875,$B890&amp;" ~*")&gt;0)+(COUNTIF(W858:W875,$B890)+COUNTIF(W858:W875,$B890&amp;" ~*")&gt;0)+(COUNTIF(Y858:Y875,$B890)+COUNTIF(Y858:Y875,$B890&amp;" ~*")&gt;0))</f>
        <v/>
      </c>
      <c r="AC890" s="38">
        <f>IF($B890="","",(IFERROR(INDEX(Setup!$G$33:$G$40,MATCH(C890,Setup!$B$33:$B$40,0)),0)=1)*(COUNTIF(C858:E875,$B890)+COUNTIF(C858:E875,$B890&amp;" ~*")&gt;0)+(IFERROR(INDEX(Setup!$G$33:$G$40,MATCH(G890,Setup!$B$33:$B$40,0)),0)=1)*(COUNTIF(G858:I875,$B890)+COUNTIF(G858:I875,$B890&amp;" ~*")&gt;0)+(IFERROR(INDEX(Setup!$G$33:$G$40,MATCH(K890,Setup!$B$33:$B$40,0)),0)=1)*(COUNTIF(K858:M875,$B890)+COUNTIF(K858:M875,$B890&amp;" ~*")&gt;0)+(IFERROR(INDEX(Setup!$G$33:$G$40,MATCH(O890,Setup!$B$33:$B$40,0)),0)=1)*(COUNTIF(O858:Q875,$B890)+COUNTIF(O858:Q875,$B890&amp;" ~*")&gt;0)+(IFERROR(INDEX(Setup!$G$33:$G$40,MATCH(S890,Setup!$B$33:$B$40,0)),0)=1)*(COUNTIF(S858:U875,$B890)+COUNTIF(S858:U875,$B890&amp;" ~*")&gt;0)+(IFERROR(INDEX(Setup!$G$33:$G$40,MATCH(W890,Setup!$B$33:$B$40,0)),0)=1)*(COUNTIF(W858:W875,$B890)+COUNTIF(W858:W875,$B890&amp;" ~*")&gt;0)+(IFERROR(INDEX(Setup!$G$33:$G$40,MATCH(Y890,Setup!$B$33:$B$40,0)),0)=1)*(COUNTIF(Y858:Y875,$B890)+COUNTIF(Y858:Y875,$B890&amp;" ~*")&gt;0))</f>
        <v/>
      </c>
    </row>
    <row r="891" ht="15" customHeight="1">
      <c r="A891" t="n">
        <v>18</v>
      </c>
      <c r="B891" s="35">
        <f>IF(Setup!$B$20="","",Setup!$B$20)</f>
        <v/>
      </c>
      <c r="C891" s="98" t="n"/>
      <c r="D891" s="99" t="n"/>
      <c r="E891" s="99" t="n"/>
      <c r="F891" s="100" t="n"/>
      <c r="G891" s="98" t="n"/>
      <c r="H891" s="99" t="n"/>
      <c r="I891" s="99" t="n"/>
      <c r="J891" s="100" t="n"/>
      <c r="K891" s="98" t="n"/>
      <c r="L891" s="99" t="n"/>
      <c r="M891" s="99" t="n"/>
      <c r="N891" s="100" t="n"/>
      <c r="O891" s="98" t="n"/>
      <c r="P891" s="99" t="n"/>
      <c r="Q891" s="99" t="n"/>
      <c r="R891" s="100" t="n"/>
      <c r="S891" s="98" t="n"/>
      <c r="T891" s="99" t="n"/>
      <c r="U891" s="99" t="n"/>
      <c r="V891" s="100" t="n"/>
      <c r="W891" s="98" t="n"/>
      <c r="X891" s="100" t="n"/>
      <c r="Y891" s="98" t="n"/>
      <c r="Z891" s="100" t="n"/>
      <c r="AB891" s="101">
        <f>IF($B891="","",(COUNTIF(C858:E875,$B891)+COUNTIF(C858:E875,$B891&amp;" ~*")&gt;0)+(COUNTIF(G858:I875,$B891)+COUNTIF(G858:I875,$B891&amp;" ~*")&gt;0)+(COUNTIF(K858:M875,$B891)+COUNTIF(K858:M875,$B891&amp;" ~*")&gt;0)+(COUNTIF(O858:Q875,$B891)+COUNTIF(O858:Q875,$B891&amp;" ~*")&gt;0)+(COUNTIF(S858:U875,$B891)+COUNTIF(S858:U875,$B891&amp;" ~*")&gt;0)+(COUNTIF(W858:W875,$B891)+COUNTIF(W858:W875,$B891&amp;" ~*")&gt;0)+(COUNTIF(Y858:Y875,$B891)+COUNTIF(Y858:Y875,$B891&amp;" ~*")&gt;0))</f>
        <v/>
      </c>
      <c r="AC891" s="36">
        <f>IF($B891="","",(IFERROR(INDEX(Setup!$G$33:$G$40,MATCH(C891,Setup!$B$33:$B$40,0)),0)=1)*(COUNTIF(C858:E875,$B891)+COUNTIF(C858:E875,$B891&amp;" ~*")&gt;0)+(IFERROR(INDEX(Setup!$G$33:$G$40,MATCH(G891,Setup!$B$33:$B$40,0)),0)=1)*(COUNTIF(G858:I875,$B891)+COUNTIF(G858:I875,$B891&amp;" ~*")&gt;0)+(IFERROR(INDEX(Setup!$G$33:$G$40,MATCH(K891,Setup!$B$33:$B$40,0)),0)=1)*(COUNTIF(K858:M875,$B891)+COUNTIF(K858:M875,$B891&amp;" ~*")&gt;0)+(IFERROR(INDEX(Setup!$G$33:$G$40,MATCH(O891,Setup!$B$33:$B$40,0)),0)=1)*(COUNTIF(O858:Q875,$B891)+COUNTIF(O858:Q875,$B891&amp;" ~*")&gt;0)+(IFERROR(INDEX(Setup!$G$33:$G$40,MATCH(S891,Setup!$B$33:$B$40,0)),0)=1)*(COUNTIF(S858:U875,$B891)+COUNTIF(S858:U875,$B891&amp;" ~*")&gt;0)+(IFERROR(INDEX(Setup!$G$33:$G$40,MATCH(W891,Setup!$B$33:$B$40,0)),0)=1)*(COUNTIF(W858:W875,$B891)+COUNTIF(W858:W875,$B891&amp;" ~*")&gt;0)+(IFERROR(INDEX(Setup!$G$33:$G$40,MATCH(Y891,Setup!$B$33:$B$40,0)),0)=1)*(COUNTIF(Y858:Y875,$B891)+COUNTIF(Y858:Y875,$B891&amp;" ~*")&gt;0))</f>
        <v/>
      </c>
    </row>
    <row r="892" ht="15" customHeight="1">
      <c r="A892" t="n">
        <v>18</v>
      </c>
      <c r="B892" s="37">
        <f>IF(Setup!$B$21="","",Setup!$B$21)</f>
        <v/>
      </c>
      <c r="C892" s="102" t="n"/>
      <c r="D892" s="103" t="n"/>
      <c r="E892" s="103" t="n"/>
      <c r="F892" s="104" t="n"/>
      <c r="G892" s="102" t="n"/>
      <c r="H892" s="103" t="n"/>
      <c r="I892" s="103" t="n"/>
      <c r="J892" s="104" t="n"/>
      <c r="K892" s="102" t="n"/>
      <c r="L892" s="103" t="n"/>
      <c r="M892" s="103" t="n"/>
      <c r="N892" s="104" t="n"/>
      <c r="O892" s="102" t="n"/>
      <c r="P892" s="103" t="n"/>
      <c r="Q892" s="103" t="n"/>
      <c r="R892" s="104" t="n"/>
      <c r="S892" s="102" t="n"/>
      <c r="T892" s="103" t="n"/>
      <c r="U892" s="103" t="n"/>
      <c r="V892" s="104" t="n"/>
      <c r="W892" s="102" t="n"/>
      <c r="X892" s="104" t="n"/>
      <c r="Y892" s="102" t="n"/>
      <c r="Z892" s="104" t="n"/>
      <c r="AB892" s="105">
        <f>IF($B892="","",(COUNTIF(C858:E875,$B892)+COUNTIF(C858:E875,$B892&amp;" ~*")&gt;0)+(COUNTIF(G858:I875,$B892)+COUNTIF(G858:I875,$B892&amp;" ~*")&gt;0)+(COUNTIF(K858:M875,$B892)+COUNTIF(K858:M875,$B892&amp;" ~*")&gt;0)+(COUNTIF(O858:Q875,$B892)+COUNTIF(O858:Q875,$B892&amp;" ~*")&gt;0)+(COUNTIF(S858:U875,$B892)+COUNTIF(S858:U875,$B892&amp;" ~*")&gt;0)+(COUNTIF(W858:W875,$B892)+COUNTIF(W858:W875,$B892&amp;" ~*")&gt;0)+(COUNTIF(Y858:Y875,$B892)+COUNTIF(Y858:Y875,$B892&amp;" ~*")&gt;0))</f>
        <v/>
      </c>
      <c r="AC892" s="38">
        <f>IF($B892="","",(IFERROR(INDEX(Setup!$G$33:$G$40,MATCH(C892,Setup!$B$33:$B$40,0)),0)=1)*(COUNTIF(C858:E875,$B892)+COUNTIF(C858:E875,$B892&amp;" ~*")&gt;0)+(IFERROR(INDEX(Setup!$G$33:$G$40,MATCH(G892,Setup!$B$33:$B$40,0)),0)=1)*(COUNTIF(G858:I875,$B892)+COUNTIF(G858:I875,$B892&amp;" ~*")&gt;0)+(IFERROR(INDEX(Setup!$G$33:$G$40,MATCH(K892,Setup!$B$33:$B$40,0)),0)=1)*(COUNTIF(K858:M875,$B892)+COUNTIF(K858:M875,$B892&amp;" ~*")&gt;0)+(IFERROR(INDEX(Setup!$G$33:$G$40,MATCH(O892,Setup!$B$33:$B$40,0)),0)=1)*(COUNTIF(O858:Q875,$B892)+COUNTIF(O858:Q875,$B892&amp;" ~*")&gt;0)+(IFERROR(INDEX(Setup!$G$33:$G$40,MATCH(S892,Setup!$B$33:$B$40,0)),0)=1)*(COUNTIF(S858:U875,$B892)+COUNTIF(S858:U875,$B892&amp;" ~*")&gt;0)+(IFERROR(INDEX(Setup!$G$33:$G$40,MATCH(W892,Setup!$B$33:$B$40,0)),0)=1)*(COUNTIF(W858:W875,$B892)+COUNTIF(W858:W875,$B892&amp;" ~*")&gt;0)+(IFERROR(INDEX(Setup!$G$33:$G$40,MATCH(Y892,Setup!$B$33:$B$40,0)),0)=1)*(COUNTIF(Y858:Y875,$B892)+COUNTIF(Y858:Y875,$B892&amp;" ~*")&gt;0))</f>
        <v/>
      </c>
    </row>
    <row r="893" ht="15" customHeight="1">
      <c r="A893" t="n">
        <v>18</v>
      </c>
      <c r="B893" s="35">
        <f>IF(Setup!$B$22="","",Setup!$B$22)</f>
        <v/>
      </c>
      <c r="C893" s="98" t="n"/>
      <c r="D893" s="99" t="n"/>
      <c r="E893" s="99" t="n"/>
      <c r="F893" s="100" t="n"/>
      <c r="G893" s="98" t="n"/>
      <c r="H893" s="99" t="n"/>
      <c r="I893" s="99" t="n"/>
      <c r="J893" s="100" t="n"/>
      <c r="K893" s="98" t="n"/>
      <c r="L893" s="99" t="n"/>
      <c r="M893" s="99" t="n"/>
      <c r="N893" s="100" t="n"/>
      <c r="O893" s="98" t="n"/>
      <c r="P893" s="99" t="n"/>
      <c r="Q893" s="99" t="n"/>
      <c r="R893" s="100" t="n"/>
      <c r="S893" s="98" t="n"/>
      <c r="T893" s="99" t="n"/>
      <c r="U893" s="99" t="n"/>
      <c r="V893" s="100" t="n"/>
      <c r="W893" s="98" t="n"/>
      <c r="X893" s="100" t="n"/>
      <c r="Y893" s="98" t="n"/>
      <c r="Z893" s="100" t="n"/>
      <c r="AB893" s="101">
        <f>IF($B893="","",(COUNTIF(C858:E875,$B893)+COUNTIF(C858:E875,$B893&amp;" ~*")&gt;0)+(COUNTIF(G858:I875,$B893)+COUNTIF(G858:I875,$B893&amp;" ~*")&gt;0)+(COUNTIF(K858:M875,$B893)+COUNTIF(K858:M875,$B893&amp;" ~*")&gt;0)+(COUNTIF(O858:Q875,$B893)+COUNTIF(O858:Q875,$B893&amp;" ~*")&gt;0)+(COUNTIF(S858:U875,$B893)+COUNTIF(S858:U875,$B893&amp;" ~*")&gt;0)+(COUNTIF(W858:W875,$B893)+COUNTIF(W858:W875,$B893&amp;" ~*")&gt;0)+(COUNTIF(Y858:Y875,$B893)+COUNTIF(Y858:Y875,$B893&amp;" ~*")&gt;0))</f>
        <v/>
      </c>
      <c r="AC893" s="36">
        <f>IF($B893="","",(IFERROR(INDEX(Setup!$G$33:$G$40,MATCH(C893,Setup!$B$33:$B$40,0)),0)=1)*(COUNTIF(C858:E875,$B893)+COUNTIF(C858:E875,$B893&amp;" ~*")&gt;0)+(IFERROR(INDEX(Setup!$G$33:$G$40,MATCH(G893,Setup!$B$33:$B$40,0)),0)=1)*(COUNTIF(G858:I875,$B893)+COUNTIF(G858:I875,$B893&amp;" ~*")&gt;0)+(IFERROR(INDEX(Setup!$G$33:$G$40,MATCH(K893,Setup!$B$33:$B$40,0)),0)=1)*(COUNTIF(K858:M875,$B893)+COUNTIF(K858:M875,$B893&amp;" ~*")&gt;0)+(IFERROR(INDEX(Setup!$G$33:$G$40,MATCH(O893,Setup!$B$33:$B$40,0)),0)=1)*(COUNTIF(O858:Q875,$B893)+COUNTIF(O858:Q875,$B893&amp;" ~*")&gt;0)+(IFERROR(INDEX(Setup!$G$33:$G$40,MATCH(S893,Setup!$B$33:$B$40,0)),0)=1)*(COUNTIF(S858:U875,$B893)+COUNTIF(S858:U875,$B893&amp;" ~*")&gt;0)+(IFERROR(INDEX(Setup!$G$33:$G$40,MATCH(W893,Setup!$B$33:$B$40,0)),0)=1)*(COUNTIF(W858:W875,$B893)+COUNTIF(W858:W875,$B893&amp;" ~*")&gt;0)+(IFERROR(INDEX(Setup!$G$33:$G$40,MATCH(Y893,Setup!$B$33:$B$40,0)),0)=1)*(COUNTIF(Y858:Y875,$B893)+COUNTIF(Y858:Y875,$B893&amp;" ~*")&gt;0))</f>
        <v/>
      </c>
    </row>
    <row r="894" ht="15" customHeight="1">
      <c r="A894" t="n">
        <v>18</v>
      </c>
      <c r="B894" s="37">
        <f>IF(Setup!$B$23="","",Setup!$B$23)</f>
        <v/>
      </c>
      <c r="C894" s="102" t="n"/>
      <c r="D894" s="103" t="n"/>
      <c r="E894" s="103" t="n"/>
      <c r="F894" s="104" t="n"/>
      <c r="G894" s="102" t="n"/>
      <c r="H894" s="103" t="n"/>
      <c r="I894" s="103" t="n"/>
      <c r="J894" s="104" t="n"/>
      <c r="K894" s="102" t="n"/>
      <c r="L894" s="103" t="n"/>
      <c r="M894" s="103" t="n"/>
      <c r="N894" s="104" t="n"/>
      <c r="O894" s="102" t="n"/>
      <c r="P894" s="103" t="n"/>
      <c r="Q894" s="103" t="n"/>
      <c r="R894" s="104" t="n"/>
      <c r="S894" s="102" t="n"/>
      <c r="T894" s="103" t="n"/>
      <c r="U894" s="103" t="n"/>
      <c r="V894" s="104" t="n"/>
      <c r="W894" s="102" t="n"/>
      <c r="X894" s="104" t="n"/>
      <c r="Y894" s="102" t="n"/>
      <c r="Z894" s="104" t="n"/>
      <c r="AB894" s="105">
        <f>IF($B894="","",(COUNTIF(C858:E875,$B894)+COUNTIF(C858:E875,$B894&amp;" ~*")&gt;0)+(COUNTIF(G858:I875,$B894)+COUNTIF(G858:I875,$B894&amp;" ~*")&gt;0)+(COUNTIF(K858:M875,$B894)+COUNTIF(K858:M875,$B894&amp;" ~*")&gt;0)+(COUNTIF(O858:Q875,$B894)+COUNTIF(O858:Q875,$B894&amp;" ~*")&gt;0)+(COUNTIF(S858:U875,$B894)+COUNTIF(S858:U875,$B894&amp;" ~*")&gt;0)+(COUNTIF(W858:W875,$B894)+COUNTIF(W858:W875,$B894&amp;" ~*")&gt;0)+(COUNTIF(Y858:Y875,$B894)+COUNTIF(Y858:Y875,$B894&amp;" ~*")&gt;0))</f>
        <v/>
      </c>
      <c r="AC894" s="38">
        <f>IF($B894="","",(IFERROR(INDEX(Setup!$G$33:$G$40,MATCH(C894,Setup!$B$33:$B$40,0)),0)=1)*(COUNTIF(C858:E875,$B894)+COUNTIF(C858:E875,$B894&amp;" ~*")&gt;0)+(IFERROR(INDEX(Setup!$G$33:$G$40,MATCH(G894,Setup!$B$33:$B$40,0)),0)=1)*(COUNTIF(G858:I875,$B894)+COUNTIF(G858:I875,$B894&amp;" ~*")&gt;0)+(IFERROR(INDEX(Setup!$G$33:$G$40,MATCH(K894,Setup!$B$33:$B$40,0)),0)=1)*(COUNTIF(K858:M875,$B894)+COUNTIF(K858:M875,$B894&amp;" ~*")&gt;0)+(IFERROR(INDEX(Setup!$G$33:$G$40,MATCH(O894,Setup!$B$33:$B$40,0)),0)=1)*(COUNTIF(O858:Q875,$B894)+COUNTIF(O858:Q875,$B894&amp;" ~*")&gt;0)+(IFERROR(INDEX(Setup!$G$33:$G$40,MATCH(S894,Setup!$B$33:$B$40,0)),0)=1)*(COUNTIF(S858:U875,$B894)+COUNTIF(S858:U875,$B894&amp;" ~*")&gt;0)+(IFERROR(INDEX(Setup!$G$33:$G$40,MATCH(W894,Setup!$B$33:$B$40,0)),0)=1)*(COUNTIF(W858:W875,$B894)+COUNTIF(W858:W875,$B894&amp;" ~*")&gt;0)+(IFERROR(INDEX(Setup!$G$33:$G$40,MATCH(Y894,Setup!$B$33:$B$40,0)),0)=1)*(COUNTIF(Y858:Y875,$B894)+COUNTIF(Y858:Y875,$B894&amp;" ~*")&gt;0))</f>
        <v/>
      </c>
    </row>
    <row r="895" ht="15" customHeight="1">
      <c r="A895" t="n">
        <v>18</v>
      </c>
      <c r="B895" s="35">
        <f>IF(Setup!$B$24="","",Setup!$B$24)</f>
        <v/>
      </c>
      <c r="C895" s="98" t="n"/>
      <c r="D895" s="99" t="n"/>
      <c r="E895" s="99" t="n"/>
      <c r="F895" s="100" t="n"/>
      <c r="G895" s="98" t="n"/>
      <c r="H895" s="99" t="n"/>
      <c r="I895" s="99" t="n"/>
      <c r="J895" s="100" t="n"/>
      <c r="K895" s="98" t="n"/>
      <c r="L895" s="99" t="n"/>
      <c r="M895" s="99" t="n"/>
      <c r="N895" s="100" t="n"/>
      <c r="O895" s="98" t="n"/>
      <c r="P895" s="99" t="n"/>
      <c r="Q895" s="99" t="n"/>
      <c r="R895" s="100" t="n"/>
      <c r="S895" s="98" t="n"/>
      <c r="T895" s="99" t="n"/>
      <c r="U895" s="99" t="n"/>
      <c r="V895" s="100" t="n"/>
      <c r="W895" s="98" t="n"/>
      <c r="X895" s="100" t="n"/>
      <c r="Y895" s="98" t="n"/>
      <c r="Z895" s="100" t="n"/>
      <c r="AB895" s="101">
        <f>IF($B895="","",(COUNTIF(C858:E875,$B895)+COUNTIF(C858:E875,$B895&amp;" ~*")&gt;0)+(COUNTIF(G858:I875,$B895)+COUNTIF(G858:I875,$B895&amp;" ~*")&gt;0)+(COUNTIF(K858:M875,$B895)+COUNTIF(K858:M875,$B895&amp;" ~*")&gt;0)+(COUNTIF(O858:Q875,$B895)+COUNTIF(O858:Q875,$B895&amp;" ~*")&gt;0)+(COUNTIF(S858:U875,$B895)+COUNTIF(S858:U875,$B895&amp;" ~*")&gt;0)+(COUNTIF(W858:W875,$B895)+COUNTIF(W858:W875,$B895&amp;" ~*")&gt;0)+(COUNTIF(Y858:Y875,$B895)+COUNTIF(Y858:Y875,$B895&amp;" ~*")&gt;0))</f>
        <v/>
      </c>
      <c r="AC895" s="36">
        <f>IF($B895="","",(IFERROR(INDEX(Setup!$G$33:$G$40,MATCH(C895,Setup!$B$33:$B$40,0)),0)=1)*(COUNTIF(C858:E875,$B895)+COUNTIF(C858:E875,$B895&amp;" ~*")&gt;0)+(IFERROR(INDEX(Setup!$G$33:$G$40,MATCH(G895,Setup!$B$33:$B$40,0)),0)=1)*(COUNTIF(G858:I875,$B895)+COUNTIF(G858:I875,$B895&amp;" ~*")&gt;0)+(IFERROR(INDEX(Setup!$G$33:$G$40,MATCH(K895,Setup!$B$33:$B$40,0)),0)=1)*(COUNTIF(K858:M875,$B895)+COUNTIF(K858:M875,$B895&amp;" ~*")&gt;0)+(IFERROR(INDEX(Setup!$G$33:$G$40,MATCH(O895,Setup!$B$33:$B$40,0)),0)=1)*(COUNTIF(O858:Q875,$B895)+COUNTIF(O858:Q875,$B895&amp;" ~*")&gt;0)+(IFERROR(INDEX(Setup!$G$33:$G$40,MATCH(S895,Setup!$B$33:$B$40,0)),0)=1)*(COUNTIF(S858:U875,$B895)+COUNTIF(S858:U875,$B895&amp;" ~*")&gt;0)+(IFERROR(INDEX(Setup!$G$33:$G$40,MATCH(W895,Setup!$B$33:$B$40,0)),0)=1)*(COUNTIF(W858:W875,$B895)+COUNTIF(W858:W875,$B895&amp;" ~*")&gt;0)+(IFERROR(INDEX(Setup!$G$33:$G$40,MATCH(Y895,Setup!$B$33:$B$40,0)),0)=1)*(COUNTIF(Y858:Y875,$B895)+COUNTIF(Y858:Y875,$B895&amp;" ~*")&gt;0))</f>
        <v/>
      </c>
    </row>
    <row r="896" ht="15" customHeight="1">
      <c r="A896" t="n">
        <v>18</v>
      </c>
      <c r="B896" s="37">
        <f>IF(Setup!$B$25="","",Setup!$B$25)</f>
        <v/>
      </c>
      <c r="C896" s="102" t="n"/>
      <c r="D896" s="103" t="n"/>
      <c r="E896" s="103" t="n"/>
      <c r="F896" s="104" t="n"/>
      <c r="G896" s="102" t="n"/>
      <c r="H896" s="103" t="n"/>
      <c r="I896" s="103" t="n"/>
      <c r="J896" s="104" t="n"/>
      <c r="K896" s="102" t="n"/>
      <c r="L896" s="103" t="n"/>
      <c r="M896" s="103" t="n"/>
      <c r="N896" s="104" t="n"/>
      <c r="O896" s="102" t="n"/>
      <c r="P896" s="103" t="n"/>
      <c r="Q896" s="103" t="n"/>
      <c r="R896" s="104" t="n"/>
      <c r="S896" s="102" t="n"/>
      <c r="T896" s="103" t="n"/>
      <c r="U896" s="103" t="n"/>
      <c r="V896" s="104" t="n"/>
      <c r="W896" s="102" t="n"/>
      <c r="X896" s="104" t="n"/>
      <c r="Y896" s="102" t="n"/>
      <c r="Z896" s="104" t="n"/>
      <c r="AB896" s="105">
        <f>IF($B896="","",(COUNTIF(C858:E875,$B896)+COUNTIF(C858:E875,$B896&amp;" ~*")&gt;0)+(COUNTIF(G858:I875,$B896)+COUNTIF(G858:I875,$B896&amp;" ~*")&gt;0)+(COUNTIF(K858:M875,$B896)+COUNTIF(K858:M875,$B896&amp;" ~*")&gt;0)+(COUNTIF(O858:Q875,$B896)+COUNTIF(O858:Q875,$B896&amp;" ~*")&gt;0)+(COUNTIF(S858:U875,$B896)+COUNTIF(S858:U875,$B896&amp;" ~*")&gt;0)+(COUNTIF(W858:W875,$B896)+COUNTIF(W858:W875,$B896&amp;" ~*")&gt;0)+(COUNTIF(Y858:Y875,$B896)+COUNTIF(Y858:Y875,$B896&amp;" ~*")&gt;0))</f>
        <v/>
      </c>
      <c r="AC896" s="38">
        <f>IF($B896="","",(IFERROR(INDEX(Setup!$G$33:$G$40,MATCH(C896,Setup!$B$33:$B$40,0)),0)=1)*(COUNTIF(C858:E875,$B896)+COUNTIF(C858:E875,$B896&amp;" ~*")&gt;0)+(IFERROR(INDEX(Setup!$G$33:$G$40,MATCH(G896,Setup!$B$33:$B$40,0)),0)=1)*(COUNTIF(G858:I875,$B896)+COUNTIF(G858:I875,$B896&amp;" ~*")&gt;0)+(IFERROR(INDEX(Setup!$G$33:$G$40,MATCH(K896,Setup!$B$33:$B$40,0)),0)=1)*(COUNTIF(K858:M875,$B896)+COUNTIF(K858:M875,$B896&amp;" ~*")&gt;0)+(IFERROR(INDEX(Setup!$G$33:$G$40,MATCH(O896,Setup!$B$33:$B$40,0)),0)=1)*(COUNTIF(O858:Q875,$B896)+COUNTIF(O858:Q875,$B896&amp;" ~*")&gt;0)+(IFERROR(INDEX(Setup!$G$33:$G$40,MATCH(S896,Setup!$B$33:$B$40,0)),0)=1)*(COUNTIF(S858:U875,$B896)+COUNTIF(S858:U875,$B896&amp;" ~*")&gt;0)+(IFERROR(INDEX(Setup!$G$33:$G$40,MATCH(W896,Setup!$B$33:$B$40,0)),0)=1)*(COUNTIF(W858:W875,$B896)+COUNTIF(W858:W875,$B896&amp;" ~*")&gt;0)+(IFERROR(INDEX(Setup!$G$33:$G$40,MATCH(Y896,Setup!$B$33:$B$40,0)),0)=1)*(COUNTIF(Y858:Y875,$B896)+COUNTIF(Y858:Y875,$B896&amp;" ~*")&gt;0))</f>
        <v/>
      </c>
    </row>
    <row r="897" ht="15" customHeight="1">
      <c r="A897" t="n">
        <v>18</v>
      </c>
      <c r="B897" s="35">
        <f>IF(Setup!$B$26="","",Setup!$B$26)</f>
        <v/>
      </c>
      <c r="C897" s="98" t="n"/>
      <c r="D897" s="99" t="n"/>
      <c r="E897" s="99" t="n"/>
      <c r="F897" s="100" t="n"/>
      <c r="G897" s="98" t="n"/>
      <c r="H897" s="99" t="n"/>
      <c r="I897" s="99" t="n"/>
      <c r="J897" s="100" t="n"/>
      <c r="K897" s="98" t="n"/>
      <c r="L897" s="99" t="n"/>
      <c r="M897" s="99" t="n"/>
      <c r="N897" s="100" t="n"/>
      <c r="O897" s="98" t="n"/>
      <c r="P897" s="99" t="n"/>
      <c r="Q897" s="99" t="n"/>
      <c r="R897" s="100" t="n"/>
      <c r="S897" s="98" t="n"/>
      <c r="T897" s="99" t="n"/>
      <c r="U897" s="99" t="n"/>
      <c r="V897" s="100" t="n"/>
      <c r="W897" s="98" t="n"/>
      <c r="X897" s="100" t="n"/>
      <c r="Y897" s="98" t="n"/>
      <c r="Z897" s="100" t="n"/>
      <c r="AB897" s="101">
        <f>IF($B897="","",(COUNTIF(C858:E875,$B897)+COUNTIF(C858:E875,$B897&amp;" ~*")&gt;0)+(COUNTIF(G858:I875,$B897)+COUNTIF(G858:I875,$B897&amp;" ~*")&gt;0)+(COUNTIF(K858:M875,$B897)+COUNTIF(K858:M875,$B897&amp;" ~*")&gt;0)+(COUNTIF(O858:Q875,$B897)+COUNTIF(O858:Q875,$B897&amp;" ~*")&gt;0)+(COUNTIF(S858:U875,$B897)+COUNTIF(S858:U875,$B897&amp;" ~*")&gt;0)+(COUNTIF(W858:W875,$B897)+COUNTIF(W858:W875,$B897&amp;" ~*")&gt;0)+(COUNTIF(Y858:Y875,$B897)+COUNTIF(Y858:Y875,$B897&amp;" ~*")&gt;0))</f>
        <v/>
      </c>
      <c r="AC897" s="36">
        <f>IF($B897="","",(IFERROR(INDEX(Setup!$G$33:$G$40,MATCH(C897,Setup!$B$33:$B$40,0)),0)=1)*(COUNTIF(C858:E875,$B897)+COUNTIF(C858:E875,$B897&amp;" ~*")&gt;0)+(IFERROR(INDEX(Setup!$G$33:$G$40,MATCH(G897,Setup!$B$33:$B$40,0)),0)=1)*(COUNTIF(G858:I875,$B897)+COUNTIF(G858:I875,$B897&amp;" ~*")&gt;0)+(IFERROR(INDEX(Setup!$G$33:$G$40,MATCH(K897,Setup!$B$33:$B$40,0)),0)=1)*(COUNTIF(K858:M875,$B897)+COUNTIF(K858:M875,$B897&amp;" ~*")&gt;0)+(IFERROR(INDEX(Setup!$G$33:$G$40,MATCH(O897,Setup!$B$33:$B$40,0)),0)=1)*(COUNTIF(O858:Q875,$B897)+COUNTIF(O858:Q875,$B897&amp;" ~*")&gt;0)+(IFERROR(INDEX(Setup!$G$33:$G$40,MATCH(S897,Setup!$B$33:$B$40,0)),0)=1)*(COUNTIF(S858:U875,$B897)+COUNTIF(S858:U875,$B897&amp;" ~*")&gt;0)+(IFERROR(INDEX(Setup!$G$33:$G$40,MATCH(W897,Setup!$B$33:$B$40,0)),0)=1)*(COUNTIF(W858:W875,$B897)+COUNTIF(W858:W875,$B897&amp;" ~*")&gt;0)+(IFERROR(INDEX(Setup!$G$33:$G$40,MATCH(Y897,Setup!$B$33:$B$40,0)),0)=1)*(COUNTIF(Y858:Y875,$B897)+COUNTIF(Y858:Y875,$B897&amp;" ~*")&gt;0))</f>
        <v/>
      </c>
    </row>
    <row r="898" ht="15" customHeight="1">
      <c r="A898" t="n">
        <v>18</v>
      </c>
      <c r="B898" s="37">
        <f>IF(Setup!$B$27="","",Setup!$B$27)</f>
        <v/>
      </c>
      <c r="C898" s="102" t="n"/>
      <c r="D898" s="103" t="n"/>
      <c r="E898" s="103" t="n"/>
      <c r="F898" s="104" t="n"/>
      <c r="G898" s="102" t="n"/>
      <c r="H898" s="103" t="n"/>
      <c r="I898" s="103" t="n"/>
      <c r="J898" s="104" t="n"/>
      <c r="K898" s="102" t="n"/>
      <c r="L898" s="103" t="n"/>
      <c r="M898" s="103" t="n"/>
      <c r="N898" s="104" t="n"/>
      <c r="O898" s="102" t="n"/>
      <c r="P898" s="103" t="n"/>
      <c r="Q898" s="103" t="n"/>
      <c r="R898" s="104" t="n"/>
      <c r="S898" s="102" t="n"/>
      <c r="T898" s="103" t="n"/>
      <c r="U898" s="103" t="n"/>
      <c r="V898" s="104" t="n"/>
      <c r="W898" s="102" t="n"/>
      <c r="X898" s="104" t="n"/>
      <c r="Y898" s="102" t="n"/>
      <c r="Z898" s="104" t="n"/>
      <c r="AB898" s="105">
        <f>IF($B898="","",(COUNTIF(C858:E875,$B898)+COUNTIF(C858:E875,$B898&amp;" ~*")&gt;0)+(COUNTIF(G858:I875,$B898)+COUNTIF(G858:I875,$B898&amp;" ~*")&gt;0)+(COUNTIF(K858:M875,$B898)+COUNTIF(K858:M875,$B898&amp;" ~*")&gt;0)+(COUNTIF(O858:Q875,$B898)+COUNTIF(O858:Q875,$B898&amp;" ~*")&gt;0)+(COUNTIF(S858:U875,$B898)+COUNTIF(S858:U875,$B898&amp;" ~*")&gt;0)+(COUNTIF(W858:W875,$B898)+COUNTIF(W858:W875,$B898&amp;" ~*")&gt;0)+(COUNTIF(Y858:Y875,$B898)+COUNTIF(Y858:Y875,$B898&amp;" ~*")&gt;0))</f>
        <v/>
      </c>
      <c r="AC898" s="38">
        <f>IF($B898="","",(IFERROR(INDEX(Setup!$G$33:$G$40,MATCH(C898,Setup!$B$33:$B$40,0)),0)=1)*(COUNTIF(C858:E875,$B898)+COUNTIF(C858:E875,$B898&amp;" ~*")&gt;0)+(IFERROR(INDEX(Setup!$G$33:$G$40,MATCH(G898,Setup!$B$33:$B$40,0)),0)=1)*(COUNTIF(G858:I875,$B898)+COUNTIF(G858:I875,$B898&amp;" ~*")&gt;0)+(IFERROR(INDEX(Setup!$G$33:$G$40,MATCH(K898,Setup!$B$33:$B$40,0)),0)=1)*(COUNTIF(K858:M875,$B898)+COUNTIF(K858:M875,$B898&amp;" ~*")&gt;0)+(IFERROR(INDEX(Setup!$G$33:$G$40,MATCH(O898,Setup!$B$33:$B$40,0)),0)=1)*(COUNTIF(O858:Q875,$B898)+COUNTIF(O858:Q875,$B898&amp;" ~*")&gt;0)+(IFERROR(INDEX(Setup!$G$33:$G$40,MATCH(S898,Setup!$B$33:$B$40,0)),0)=1)*(COUNTIF(S858:U875,$B898)+COUNTIF(S858:U875,$B898&amp;" ~*")&gt;0)+(IFERROR(INDEX(Setup!$G$33:$G$40,MATCH(W898,Setup!$B$33:$B$40,0)),0)=1)*(COUNTIF(W858:W875,$B898)+COUNTIF(W858:W875,$B898&amp;" ~*")&gt;0)+(IFERROR(INDEX(Setup!$G$33:$G$40,MATCH(Y898,Setup!$B$33:$B$40,0)),0)=1)*(COUNTIF(Y858:Y875,$B898)+COUNTIF(Y858:Y875,$B898&amp;" ~*")&gt;0))</f>
        <v/>
      </c>
    </row>
    <row r="899" ht="15" customHeight="1">
      <c r="A899" t="n">
        <v>18</v>
      </c>
      <c r="B899" s="35">
        <f>IF(Setup!$B$28="","",Setup!$B$28)</f>
        <v/>
      </c>
      <c r="C899" s="98" t="n"/>
      <c r="D899" s="99" t="n"/>
      <c r="E899" s="99" t="n"/>
      <c r="F899" s="100" t="n"/>
      <c r="G899" s="98" t="n"/>
      <c r="H899" s="99" t="n"/>
      <c r="I899" s="99" t="n"/>
      <c r="J899" s="100" t="n"/>
      <c r="K899" s="98" t="n"/>
      <c r="L899" s="99" t="n"/>
      <c r="M899" s="99" t="n"/>
      <c r="N899" s="100" t="n"/>
      <c r="O899" s="98" t="n"/>
      <c r="P899" s="99" t="n"/>
      <c r="Q899" s="99" t="n"/>
      <c r="R899" s="100" t="n"/>
      <c r="S899" s="98" t="n"/>
      <c r="T899" s="99" t="n"/>
      <c r="U899" s="99" t="n"/>
      <c r="V899" s="100" t="n"/>
      <c r="W899" s="98" t="n"/>
      <c r="X899" s="100" t="n"/>
      <c r="Y899" s="98" t="n"/>
      <c r="Z899" s="100" t="n"/>
      <c r="AB899" s="101">
        <f>IF($B899="","",(COUNTIF(C858:E875,$B899)+COUNTIF(C858:E875,$B899&amp;" ~*")&gt;0)+(COUNTIF(G858:I875,$B899)+COUNTIF(G858:I875,$B899&amp;" ~*")&gt;0)+(COUNTIF(K858:M875,$B899)+COUNTIF(K858:M875,$B899&amp;" ~*")&gt;0)+(COUNTIF(O858:Q875,$B899)+COUNTIF(O858:Q875,$B899&amp;" ~*")&gt;0)+(COUNTIF(S858:U875,$B899)+COUNTIF(S858:U875,$B899&amp;" ~*")&gt;0)+(COUNTIF(W858:W875,$B899)+COUNTIF(W858:W875,$B899&amp;" ~*")&gt;0)+(COUNTIF(Y858:Y875,$B899)+COUNTIF(Y858:Y875,$B899&amp;" ~*")&gt;0))</f>
        <v/>
      </c>
      <c r="AC899" s="36">
        <f>IF($B899="","",(IFERROR(INDEX(Setup!$G$33:$G$40,MATCH(C899,Setup!$B$33:$B$40,0)),0)=1)*(COUNTIF(C858:E875,$B899)+COUNTIF(C858:E875,$B899&amp;" ~*")&gt;0)+(IFERROR(INDEX(Setup!$G$33:$G$40,MATCH(G899,Setup!$B$33:$B$40,0)),0)=1)*(COUNTIF(G858:I875,$B899)+COUNTIF(G858:I875,$B899&amp;" ~*")&gt;0)+(IFERROR(INDEX(Setup!$G$33:$G$40,MATCH(K899,Setup!$B$33:$B$40,0)),0)=1)*(COUNTIF(K858:M875,$B899)+COUNTIF(K858:M875,$B899&amp;" ~*")&gt;0)+(IFERROR(INDEX(Setup!$G$33:$G$40,MATCH(O899,Setup!$B$33:$B$40,0)),0)=1)*(COUNTIF(O858:Q875,$B899)+COUNTIF(O858:Q875,$B899&amp;" ~*")&gt;0)+(IFERROR(INDEX(Setup!$G$33:$G$40,MATCH(S899,Setup!$B$33:$B$40,0)),0)=1)*(COUNTIF(S858:U875,$B899)+COUNTIF(S858:U875,$B899&amp;" ~*")&gt;0)+(IFERROR(INDEX(Setup!$G$33:$G$40,MATCH(W899,Setup!$B$33:$B$40,0)),0)=1)*(COUNTIF(W858:W875,$B899)+COUNTIF(W858:W875,$B899&amp;" ~*")&gt;0)+(IFERROR(INDEX(Setup!$G$33:$G$40,MATCH(Y899,Setup!$B$33:$B$40,0)),0)=1)*(COUNTIF(Y858:Y875,$B899)+COUNTIF(Y858:Y875,$B899&amp;" ~*")&gt;0))</f>
        <v/>
      </c>
    </row>
    <row r="900" ht="15" customHeight="1">
      <c r="A900" t="n">
        <v>18</v>
      </c>
      <c r="B900" s="37">
        <f>IF(Setup!$B$29="","",Setup!$B$29)</f>
        <v/>
      </c>
      <c r="C900" s="102" t="n"/>
      <c r="D900" s="103" t="n"/>
      <c r="E900" s="103" t="n"/>
      <c r="F900" s="104" t="n"/>
      <c r="G900" s="102" t="n"/>
      <c r="H900" s="103" t="n"/>
      <c r="I900" s="103" t="n"/>
      <c r="J900" s="104" t="n"/>
      <c r="K900" s="102" t="n"/>
      <c r="L900" s="103" t="n"/>
      <c r="M900" s="103" t="n"/>
      <c r="N900" s="104" t="n"/>
      <c r="O900" s="102" t="n"/>
      <c r="P900" s="103" t="n"/>
      <c r="Q900" s="103" t="n"/>
      <c r="R900" s="104" t="n"/>
      <c r="S900" s="102" t="n"/>
      <c r="T900" s="103" t="n"/>
      <c r="U900" s="103" t="n"/>
      <c r="V900" s="104" t="n"/>
      <c r="W900" s="102" t="n"/>
      <c r="X900" s="104" t="n"/>
      <c r="Y900" s="102" t="n"/>
      <c r="Z900" s="104" t="n"/>
      <c r="AB900" s="105">
        <f>IF($B900="","",(COUNTIF(C858:E875,$B900)+COUNTIF(C858:E875,$B900&amp;" ~*")&gt;0)+(COUNTIF(G858:I875,$B900)+COUNTIF(G858:I875,$B900&amp;" ~*")&gt;0)+(COUNTIF(K858:M875,$B900)+COUNTIF(K858:M875,$B900&amp;" ~*")&gt;0)+(COUNTIF(O858:Q875,$B900)+COUNTIF(O858:Q875,$B900&amp;" ~*")&gt;0)+(COUNTIF(S858:U875,$B900)+COUNTIF(S858:U875,$B900&amp;" ~*")&gt;0)+(COUNTIF(W858:W875,$B900)+COUNTIF(W858:W875,$B900&amp;" ~*")&gt;0)+(COUNTIF(Y858:Y875,$B900)+COUNTIF(Y858:Y875,$B900&amp;" ~*")&gt;0))</f>
        <v/>
      </c>
      <c r="AC900" s="38">
        <f>IF($B900="","",(IFERROR(INDEX(Setup!$G$33:$G$40,MATCH(C900,Setup!$B$33:$B$40,0)),0)=1)*(COUNTIF(C858:E875,$B900)+COUNTIF(C858:E875,$B900&amp;" ~*")&gt;0)+(IFERROR(INDEX(Setup!$G$33:$G$40,MATCH(G900,Setup!$B$33:$B$40,0)),0)=1)*(COUNTIF(G858:I875,$B900)+COUNTIF(G858:I875,$B900&amp;" ~*")&gt;0)+(IFERROR(INDEX(Setup!$G$33:$G$40,MATCH(K900,Setup!$B$33:$B$40,0)),0)=1)*(COUNTIF(K858:M875,$B900)+COUNTIF(K858:M875,$B900&amp;" ~*")&gt;0)+(IFERROR(INDEX(Setup!$G$33:$G$40,MATCH(O900,Setup!$B$33:$B$40,0)),0)=1)*(COUNTIF(O858:Q875,$B900)+COUNTIF(O858:Q875,$B900&amp;" ~*")&gt;0)+(IFERROR(INDEX(Setup!$G$33:$G$40,MATCH(S900,Setup!$B$33:$B$40,0)),0)=1)*(COUNTIF(S858:U875,$B900)+COUNTIF(S858:U875,$B900&amp;" ~*")&gt;0)+(IFERROR(INDEX(Setup!$G$33:$G$40,MATCH(W900,Setup!$B$33:$B$40,0)),0)=1)*(COUNTIF(W858:W875,$B900)+COUNTIF(W858:W875,$B900&amp;" ~*")&gt;0)+(IFERROR(INDEX(Setup!$G$33:$G$40,MATCH(Y900,Setup!$B$33:$B$40,0)),0)=1)*(COUNTIF(Y858:Y875,$B900)+COUNTIF(Y858:Y875,$B900&amp;" ~*")&gt;0))</f>
        <v/>
      </c>
    </row>
    <row r="901" ht="16" customHeight="1">
      <c r="A901" t="n">
        <v>18</v>
      </c>
      <c r="B901" s="106" t="inlineStr">
        <is>
          <t>Available people</t>
        </is>
      </c>
      <c r="C901" s="107">
        <f>COUNTIFS(Setup!$E$6:$E$29,"Y",Setup!$B$6:$B$29,"?*")-SUMPRODUCT(COUNTIF(C877:C900,Setup!$F$33:$F$40))</f>
        <v/>
      </c>
      <c r="D901" s="107" t="n"/>
      <c r="E901" s="107" t="n"/>
      <c r="F901" s="107" t="n"/>
      <c r="G901" s="107">
        <f>COUNTIFS(Setup!$E$6:$E$29,"Y",Setup!$B$6:$B$29,"?*")-SUMPRODUCT(COUNTIF(G877:G900,Setup!$F$33:$F$40))</f>
        <v/>
      </c>
      <c r="H901" s="107" t="n"/>
      <c r="I901" s="107" t="n"/>
      <c r="J901" s="107" t="n"/>
      <c r="K901" s="107">
        <f>COUNTIFS(Setup!$E$6:$E$29,"Y",Setup!$B$6:$B$29,"?*")-SUMPRODUCT(COUNTIF(K877:K900,Setup!$F$33:$F$40))</f>
        <v/>
      </c>
      <c r="L901" s="107" t="n"/>
      <c r="M901" s="107" t="n"/>
      <c r="N901" s="107" t="n"/>
      <c r="O901" s="107">
        <f>COUNTIFS(Setup!$E$6:$E$29,"Y",Setup!$B$6:$B$29,"?*")-SUMPRODUCT(COUNTIF(O877:O900,Setup!$F$33:$F$40))</f>
        <v/>
      </c>
      <c r="P901" s="107" t="n"/>
      <c r="Q901" s="107" t="n"/>
      <c r="R901" s="107" t="n"/>
      <c r="S901" s="107">
        <f>COUNTIFS(Setup!$E$6:$E$29,"Y",Setup!$B$6:$B$29,"?*")-SUMPRODUCT(COUNTIF(S877:S900,Setup!$F$33:$F$40))</f>
        <v/>
      </c>
      <c r="T901" s="107" t="n"/>
      <c r="U901" s="107" t="n"/>
      <c r="V901" s="107" t="n"/>
      <c r="W901" s="107">
        <f>COUNTIFS(Setup!$E$6:$E$29,"Y",Setup!$B$6:$B$29,"?*")-SUMPRODUCT(COUNTIF(W877:W900,Setup!$F$33:$F$40))</f>
        <v/>
      </c>
      <c r="X901" s="107" t="n"/>
      <c r="Y901" s="107">
        <f>COUNTIFS(Setup!$E$6:$E$29,"Y",Setup!$B$6:$B$29,"?*")-SUMPRODUCT(COUNTIF(Y877:Y900,Setup!$F$33:$F$40))</f>
        <v/>
      </c>
      <c r="Z901" s="107" t="n"/>
      <c r="AB901" s="108">
        <f>SUM(AB877:AB900)</f>
        <v/>
      </c>
      <c r="AC901" s="109">
        <f>SUM(AC877:AC900)</f>
        <v/>
      </c>
    </row>
    <row r="902" ht="30" customHeight="1">
      <c r="A902" t="n">
        <v>18</v>
      </c>
      <c r="B902" s="110" t="inlineStr">
        <is>
          <t>Week notes</t>
        </is>
      </c>
      <c r="C902" s="111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112" t="n"/>
      <c r="R902" s="112" t="n"/>
      <c r="S902" s="112" t="n"/>
      <c r="T902" s="112" t="n"/>
      <c r="U902" s="112" t="n"/>
      <c r="V902" s="112" t="n"/>
      <c r="W902" s="112" t="n"/>
      <c r="X902" s="112" t="n"/>
      <c r="Y902" s="112" t="n"/>
      <c r="Z902" s="113" t="n"/>
    </row>
    <row r="903" ht="8" customHeight="1">
      <c r="A903" t="n">
        <v>18</v>
      </c>
    </row>
    <row r="904" ht="8" customHeight="1">
      <c r="A904" t="n">
        <v>18</v>
      </c>
    </row>
    <row r="905" ht="24" customHeight="1">
      <c r="A905" t="n">
        <v>19</v>
      </c>
      <c r="B905" s="73">
        <f>"WEEK 19     "&amp;TEXT(C906,"ddd d mmm")&amp;"  –  "&amp;TEXT(C906+6,"ddd d mmm yyyy")</f>
        <v/>
      </c>
      <c r="S905" s="74">
        <f>IF(TODAY()&lt;C906,"FUTURE",IF(TODAY()&gt;C906+6,"PAST","THIS WEEK"))</f>
        <v/>
      </c>
      <c r="W905" s="75">
        <f>IF(AND(Engine!$B$8=$AC$3,Engine!$B$9=$A905),"◀ ACTIVE WEEK","")</f>
        <v/>
      </c>
      <c r="AA905" s="76" t="n"/>
      <c r="AB905" s="77" t="inlineStr">
        <is>
          <t>◀ Prev</t>
        </is>
      </c>
      <c r="AC905" s="77" t="inlineStr">
        <is>
          <t>Next ▶</t>
        </is>
      </c>
    </row>
    <row r="906" ht="18" customHeight="1">
      <c r="A906" t="n">
        <v>19</v>
      </c>
      <c r="B906" s="78" t="inlineStr">
        <is>
          <t>DUTY</t>
        </is>
      </c>
      <c r="C906" s="79">
        <f>$AC$2+7*($A906-1)</f>
        <v/>
      </c>
      <c r="D906" s="80" t="n"/>
      <c r="E906" s="80" t="n"/>
      <c r="F906" s="81" t="n"/>
      <c r="G906" s="79">
        <f>C906+1</f>
        <v/>
      </c>
      <c r="H906" s="80" t="n"/>
      <c r="I906" s="80" t="n"/>
      <c r="J906" s="81" t="n"/>
      <c r="K906" s="79">
        <f>C906+2</f>
        <v/>
      </c>
      <c r="L906" s="80" t="n"/>
      <c r="M906" s="80" t="n"/>
      <c r="N906" s="81" t="n"/>
      <c r="O906" s="79">
        <f>C906+3</f>
        <v/>
      </c>
      <c r="P906" s="80" t="n"/>
      <c r="Q906" s="80" t="n"/>
      <c r="R906" s="81" t="n"/>
      <c r="S906" s="79">
        <f>C906+4</f>
        <v/>
      </c>
      <c r="T906" s="80" t="n"/>
      <c r="U906" s="80" t="n"/>
      <c r="V906" s="81" t="n"/>
      <c r="W906" s="82">
        <f>C906+5</f>
        <v/>
      </c>
      <c r="X906" s="83" t="n"/>
      <c r="Y906" s="82">
        <f>C906+6</f>
        <v/>
      </c>
      <c r="Z906" s="83" t="n"/>
      <c r="AB906" s="72" t="inlineStr">
        <is>
          <t>Gaps</t>
        </is>
      </c>
      <c r="AC906" s="72" t="inlineStr">
        <is>
          <t>Cover</t>
        </is>
      </c>
    </row>
    <row r="907" ht="14" customHeight="1">
      <c r="A907" t="n">
        <v>19</v>
      </c>
      <c r="B907" s="84" t="inlineStr">
        <is>
          <t>(from Setup)</t>
        </is>
      </c>
      <c r="C907" s="85" t="inlineStr">
        <is>
          <t>1</t>
        </is>
      </c>
      <c r="D907" s="85" t="inlineStr">
        <is>
          <t>2</t>
        </is>
      </c>
      <c r="E907" s="85" t="inlineStr">
        <is>
          <t>3</t>
        </is>
      </c>
      <c r="F907" s="85" t="inlineStr">
        <is>
          <t>Notes</t>
        </is>
      </c>
      <c r="G907" s="85" t="inlineStr">
        <is>
          <t>1</t>
        </is>
      </c>
      <c r="H907" s="85" t="inlineStr">
        <is>
          <t>2</t>
        </is>
      </c>
      <c r="I907" s="85" t="inlineStr">
        <is>
          <t>3</t>
        </is>
      </c>
      <c r="J907" s="85" t="inlineStr">
        <is>
          <t>Notes</t>
        </is>
      </c>
      <c r="K907" s="85" t="inlineStr">
        <is>
          <t>1</t>
        </is>
      </c>
      <c r="L907" s="85" t="inlineStr">
        <is>
          <t>2</t>
        </is>
      </c>
      <c r="M907" s="85" t="inlineStr">
        <is>
          <t>3</t>
        </is>
      </c>
      <c r="N907" s="85" t="inlineStr">
        <is>
          <t>Notes</t>
        </is>
      </c>
      <c r="O907" s="85" t="inlineStr">
        <is>
          <t>1</t>
        </is>
      </c>
      <c r="P907" s="85" t="inlineStr">
        <is>
          <t>2</t>
        </is>
      </c>
      <c r="Q907" s="85" t="inlineStr">
        <is>
          <t>3</t>
        </is>
      </c>
      <c r="R907" s="85" t="inlineStr">
        <is>
          <t>Notes</t>
        </is>
      </c>
      <c r="S907" s="85" t="inlineStr">
        <is>
          <t>1</t>
        </is>
      </c>
      <c r="T907" s="85" t="inlineStr">
        <is>
          <t>2</t>
        </is>
      </c>
      <c r="U907" s="85" t="inlineStr">
        <is>
          <t>3</t>
        </is>
      </c>
      <c r="V907" s="85" t="inlineStr">
        <is>
          <t>Notes</t>
        </is>
      </c>
      <c r="W907" s="85" t="inlineStr">
        <is>
          <t>Cover</t>
        </is>
      </c>
      <c r="X907" s="85" t="inlineStr">
        <is>
          <t>Notes</t>
        </is>
      </c>
      <c r="Y907" s="85" t="inlineStr">
        <is>
          <t>Cover</t>
        </is>
      </c>
      <c r="Z907" s="85" t="inlineStr">
        <is>
          <t>Notes</t>
        </is>
      </c>
      <c r="AB907" s="86" t="inlineStr">
        <is>
          <t>weekdays short</t>
        </is>
      </c>
      <c r="AC907" s="87" t="inlineStr"/>
    </row>
    <row r="908" ht="17" customHeight="1">
      <c r="A908" t="n">
        <v>19</v>
      </c>
      <c r="B908" s="24">
        <f>IF(Setup!$K$6="","",Setup!$K$6)</f>
        <v/>
      </c>
      <c r="C908" s="88" t="n"/>
      <c r="D908" s="88" t="n"/>
      <c r="E908" s="88" t="n"/>
      <c r="F908" s="89" t="n"/>
      <c r="G908" s="88" t="n"/>
      <c r="H908" s="88" t="n"/>
      <c r="I908" s="88" t="n"/>
      <c r="J908" s="89" t="n"/>
      <c r="K908" s="88" t="n"/>
      <c r="L908" s="88" t="n"/>
      <c r="M908" s="88" t="n"/>
      <c r="N908" s="89" t="n"/>
      <c r="O908" s="88" t="n"/>
      <c r="P908" s="88" t="n"/>
      <c r="Q908" s="88" t="n"/>
      <c r="R908" s="89" t="n"/>
      <c r="S908" s="88" t="n"/>
      <c r="T908" s="88" t="n"/>
      <c r="U908" s="88" t="n"/>
      <c r="V908" s="89" t="n"/>
      <c r="W908" s="88" t="n"/>
      <c r="X908" s="89" t="n"/>
      <c r="Y908" s="88" t="n"/>
      <c r="Z908" s="89" t="n"/>
      <c r="AB908" s="25">
        <f>IF($B908="","",(COUNTIF(C908:E908,"?*")&lt;N(INDEX(Setup!$L$6:$L$23,1)))+(COUNTIF(G908:I908,"?*")&lt;N(INDEX(Setup!$L$6:$L$23,1)))+(COUNTIF(K908:M908,"?*")&lt;N(INDEX(Setup!$L$6:$L$23,1)))+(COUNTIF(O908:Q908,"?*")&lt;N(INDEX(Setup!$L$6:$L$23,1)))+(COUNTIF(S908:U908,"?*")&lt;N(INDEX(Setup!$L$6:$L$23,1)))+((W908="")*(INDEX(Setup!$M$6:$M$23,1)="Y"))+((Y908="")*(INDEX(Setup!$M$6:$M$23,1)="Y")))</f>
        <v/>
      </c>
      <c r="AC908" s="90">
        <f>IF($B908="","",IF(AB908=0,"✓ covered","⚠ "&amp;AB908&amp;IF(AB908=1," gap"," gaps")))</f>
        <v/>
      </c>
    </row>
    <row r="909" ht="17" customHeight="1">
      <c r="A909" t="n">
        <v>19</v>
      </c>
      <c r="B909" s="29">
        <f>IF(Setup!$K$7="","",Setup!$K$7)</f>
        <v/>
      </c>
      <c r="C909" s="88" t="n"/>
      <c r="D909" s="88" t="n"/>
      <c r="E909" s="88" t="n"/>
      <c r="F909" s="89" t="n"/>
      <c r="G909" s="88" t="n"/>
      <c r="H909" s="88" t="n"/>
      <c r="I909" s="88" t="n"/>
      <c r="J909" s="89" t="n"/>
      <c r="K909" s="88" t="n"/>
      <c r="L909" s="88" t="n"/>
      <c r="M909" s="88" t="n"/>
      <c r="N909" s="89" t="n"/>
      <c r="O909" s="88" t="n"/>
      <c r="P909" s="88" t="n"/>
      <c r="Q909" s="88" t="n"/>
      <c r="R909" s="89" t="n"/>
      <c r="S909" s="88" t="n"/>
      <c r="T909" s="88" t="n"/>
      <c r="U909" s="88" t="n"/>
      <c r="V909" s="89" t="n"/>
      <c r="W909" s="88" t="n"/>
      <c r="X909" s="89" t="n"/>
      <c r="Y909" s="88" t="n"/>
      <c r="Z909" s="89" t="n"/>
      <c r="AB909" s="30">
        <f>IF($B909="","",(COUNTIF(C909:E909,"?*")&lt;N(INDEX(Setup!$L$6:$L$23,2)))+(COUNTIF(G909:I909,"?*")&lt;N(INDEX(Setup!$L$6:$L$23,2)))+(COUNTIF(K909:M909,"?*")&lt;N(INDEX(Setup!$L$6:$L$23,2)))+(COUNTIF(O909:Q909,"?*")&lt;N(INDEX(Setup!$L$6:$L$23,2)))+(COUNTIF(S909:U909,"?*")&lt;N(INDEX(Setup!$L$6:$L$23,2)))+((W909="")*(INDEX(Setup!$M$6:$M$23,2)="Y"))+((Y909="")*(INDEX(Setup!$M$6:$M$23,2)="Y")))</f>
        <v/>
      </c>
      <c r="AC909" s="91">
        <f>IF($B909="","",IF(AB909=0,"✓ covered","⚠ "&amp;AB909&amp;IF(AB909=1," gap"," gaps")))</f>
        <v/>
      </c>
    </row>
    <row r="910" ht="17" customHeight="1">
      <c r="A910" t="n">
        <v>19</v>
      </c>
      <c r="B910" s="24">
        <f>IF(Setup!$K$8="","",Setup!$K$8)</f>
        <v/>
      </c>
      <c r="C910" s="88" t="n"/>
      <c r="D910" s="88" t="n"/>
      <c r="E910" s="88" t="n"/>
      <c r="F910" s="89" t="n"/>
      <c r="G910" s="88" t="n"/>
      <c r="H910" s="88" t="n"/>
      <c r="I910" s="88" t="n"/>
      <c r="J910" s="89" t="n"/>
      <c r="K910" s="88" t="n"/>
      <c r="L910" s="88" t="n"/>
      <c r="M910" s="88" t="n"/>
      <c r="N910" s="89" t="n"/>
      <c r="O910" s="88" t="n"/>
      <c r="P910" s="88" t="n"/>
      <c r="Q910" s="88" t="n"/>
      <c r="R910" s="89" t="n"/>
      <c r="S910" s="88" t="n"/>
      <c r="T910" s="88" t="n"/>
      <c r="U910" s="88" t="n"/>
      <c r="V910" s="89" t="n"/>
      <c r="W910" s="88" t="n"/>
      <c r="X910" s="89" t="n"/>
      <c r="Y910" s="88" t="n"/>
      <c r="Z910" s="89" t="n"/>
      <c r="AB910" s="25">
        <f>IF($B910="","",(COUNTIF(C910:E910,"?*")&lt;N(INDEX(Setup!$L$6:$L$23,3)))+(COUNTIF(G910:I910,"?*")&lt;N(INDEX(Setup!$L$6:$L$23,3)))+(COUNTIF(K910:M910,"?*")&lt;N(INDEX(Setup!$L$6:$L$23,3)))+(COUNTIF(O910:Q910,"?*")&lt;N(INDEX(Setup!$L$6:$L$23,3)))+(COUNTIF(S910:U910,"?*")&lt;N(INDEX(Setup!$L$6:$L$23,3)))+((W910="")*(INDEX(Setup!$M$6:$M$23,3)="Y"))+((Y910="")*(INDEX(Setup!$M$6:$M$23,3)="Y")))</f>
        <v/>
      </c>
      <c r="AC910" s="90">
        <f>IF($B910="","",IF(AB910=0,"✓ covered","⚠ "&amp;AB910&amp;IF(AB910=1," gap"," gaps")))</f>
        <v/>
      </c>
    </row>
    <row r="911" ht="17" customHeight="1">
      <c r="A911" t="n">
        <v>19</v>
      </c>
      <c r="B911" s="29">
        <f>IF(Setup!$K$9="","",Setup!$K$9)</f>
        <v/>
      </c>
      <c r="C911" s="88" t="n"/>
      <c r="D911" s="88" t="n"/>
      <c r="E911" s="88" t="n"/>
      <c r="F911" s="89" t="n"/>
      <c r="G911" s="88" t="n"/>
      <c r="H911" s="88" t="n"/>
      <c r="I911" s="88" t="n"/>
      <c r="J911" s="89" t="n"/>
      <c r="K911" s="88" t="n"/>
      <c r="L911" s="88" t="n"/>
      <c r="M911" s="88" t="n"/>
      <c r="N911" s="89" t="n"/>
      <c r="O911" s="88" t="n"/>
      <c r="P911" s="88" t="n"/>
      <c r="Q911" s="88" t="n"/>
      <c r="R911" s="89" t="n"/>
      <c r="S911" s="88" t="n"/>
      <c r="T911" s="88" t="n"/>
      <c r="U911" s="88" t="n"/>
      <c r="V911" s="89" t="n"/>
      <c r="W911" s="88" t="n"/>
      <c r="X911" s="89" t="n"/>
      <c r="Y911" s="88" t="n"/>
      <c r="Z911" s="89" t="n"/>
      <c r="AB911" s="30">
        <f>IF($B911="","",(COUNTIF(C911:E911,"?*")&lt;N(INDEX(Setup!$L$6:$L$23,4)))+(COUNTIF(G911:I911,"?*")&lt;N(INDEX(Setup!$L$6:$L$23,4)))+(COUNTIF(K911:M911,"?*")&lt;N(INDEX(Setup!$L$6:$L$23,4)))+(COUNTIF(O911:Q911,"?*")&lt;N(INDEX(Setup!$L$6:$L$23,4)))+(COUNTIF(S911:U911,"?*")&lt;N(INDEX(Setup!$L$6:$L$23,4)))+((W911="")*(INDEX(Setup!$M$6:$M$23,4)="Y"))+((Y911="")*(INDEX(Setup!$M$6:$M$23,4)="Y")))</f>
        <v/>
      </c>
      <c r="AC911" s="91">
        <f>IF($B911="","",IF(AB911=0,"✓ covered","⚠ "&amp;AB911&amp;IF(AB911=1," gap"," gaps")))</f>
        <v/>
      </c>
    </row>
    <row r="912" ht="17" customHeight="1">
      <c r="A912" t="n">
        <v>19</v>
      </c>
      <c r="B912" s="24">
        <f>IF(Setup!$K$10="","",Setup!$K$10)</f>
        <v/>
      </c>
      <c r="C912" s="88" t="n"/>
      <c r="D912" s="88" t="n"/>
      <c r="E912" s="88" t="n"/>
      <c r="F912" s="89" t="n"/>
      <c r="G912" s="88" t="n"/>
      <c r="H912" s="88" t="n"/>
      <c r="I912" s="88" t="n"/>
      <c r="J912" s="89" t="n"/>
      <c r="K912" s="88" t="n"/>
      <c r="L912" s="88" t="n"/>
      <c r="M912" s="88" t="n"/>
      <c r="N912" s="89" t="n"/>
      <c r="O912" s="88" t="n"/>
      <c r="P912" s="88" t="n"/>
      <c r="Q912" s="88" t="n"/>
      <c r="R912" s="89" t="n"/>
      <c r="S912" s="88" t="n"/>
      <c r="T912" s="88" t="n"/>
      <c r="U912" s="88" t="n"/>
      <c r="V912" s="89" t="n"/>
      <c r="W912" s="88" t="n"/>
      <c r="X912" s="89" t="n"/>
      <c r="Y912" s="88" t="n"/>
      <c r="Z912" s="89" t="n"/>
      <c r="AB912" s="25">
        <f>IF($B912="","",(COUNTIF(C912:E912,"?*")&lt;N(INDEX(Setup!$L$6:$L$23,5)))+(COUNTIF(G912:I912,"?*")&lt;N(INDEX(Setup!$L$6:$L$23,5)))+(COUNTIF(K912:M912,"?*")&lt;N(INDEX(Setup!$L$6:$L$23,5)))+(COUNTIF(O912:Q912,"?*")&lt;N(INDEX(Setup!$L$6:$L$23,5)))+(COUNTIF(S912:U912,"?*")&lt;N(INDEX(Setup!$L$6:$L$23,5)))+((W912="")*(INDEX(Setup!$M$6:$M$23,5)="Y"))+((Y912="")*(INDEX(Setup!$M$6:$M$23,5)="Y")))</f>
        <v/>
      </c>
      <c r="AC912" s="90">
        <f>IF($B912="","",IF(AB912=0,"✓ covered","⚠ "&amp;AB912&amp;IF(AB912=1," gap"," gaps")))</f>
        <v/>
      </c>
    </row>
    <row r="913" ht="17" customHeight="1">
      <c r="A913" t="n">
        <v>19</v>
      </c>
      <c r="B913" s="29">
        <f>IF(Setup!$K$11="","",Setup!$K$11)</f>
        <v/>
      </c>
      <c r="C913" s="88" t="n"/>
      <c r="D913" s="88" t="n"/>
      <c r="E913" s="88" t="n"/>
      <c r="F913" s="89" t="n"/>
      <c r="G913" s="88" t="n"/>
      <c r="H913" s="88" t="n"/>
      <c r="I913" s="88" t="n"/>
      <c r="J913" s="89" t="n"/>
      <c r="K913" s="88" t="n"/>
      <c r="L913" s="88" t="n"/>
      <c r="M913" s="88" t="n"/>
      <c r="N913" s="89" t="n"/>
      <c r="O913" s="88" t="n"/>
      <c r="P913" s="88" t="n"/>
      <c r="Q913" s="88" t="n"/>
      <c r="R913" s="89" t="n"/>
      <c r="S913" s="88" t="n"/>
      <c r="T913" s="88" t="n"/>
      <c r="U913" s="88" t="n"/>
      <c r="V913" s="89" t="n"/>
      <c r="W913" s="88" t="n"/>
      <c r="X913" s="89" t="n"/>
      <c r="Y913" s="88" t="n"/>
      <c r="Z913" s="89" t="n"/>
      <c r="AB913" s="30">
        <f>IF($B913="","",(COUNTIF(C913:E913,"?*")&lt;N(INDEX(Setup!$L$6:$L$23,6)))+(COUNTIF(G913:I913,"?*")&lt;N(INDEX(Setup!$L$6:$L$23,6)))+(COUNTIF(K913:M913,"?*")&lt;N(INDEX(Setup!$L$6:$L$23,6)))+(COUNTIF(O913:Q913,"?*")&lt;N(INDEX(Setup!$L$6:$L$23,6)))+(COUNTIF(S913:U913,"?*")&lt;N(INDEX(Setup!$L$6:$L$23,6)))+((W913="")*(INDEX(Setup!$M$6:$M$23,6)="Y"))+((Y913="")*(INDEX(Setup!$M$6:$M$23,6)="Y")))</f>
        <v/>
      </c>
      <c r="AC913" s="91">
        <f>IF($B913="","",IF(AB913=0,"✓ covered","⚠ "&amp;AB913&amp;IF(AB913=1," gap"," gaps")))</f>
        <v/>
      </c>
    </row>
    <row r="914" ht="17" customHeight="1">
      <c r="A914" t="n">
        <v>19</v>
      </c>
      <c r="B914" s="24">
        <f>IF(Setup!$K$12="","",Setup!$K$12)</f>
        <v/>
      </c>
      <c r="C914" s="88" t="n"/>
      <c r="D914" s="88" t="n"/>
      <c r="E914" s="88" t="n"/>
      <c r="F914" s="89" t="n"/>
      <c r="G914" s="88" t="n"/>
      <c r="H914" s="88" t="n"/>
      <c r="I914" s="88" t="n"/>
      <c r="J914" s="89" t="n"/>
      <c r="K914" s="88" t="n"/>
      <c r="L914" s="88" t="n"/>
      <c r="M914" s="88" t="n"/>
      <c r="N914" s="89" t="n"/>
      <c r="O914" s="88" t="n"/>
      <c r="P914" s="88" t="n"/>
      <c r="Q914" s="88" t="n"/>
      <c r="R914" s="89" t="n"/>
      <c r="S914" s="88" t="n"/>
      <c r="T914" s="88" t="n"/>
      <c r="U914" s="88" t="n"/>
      <c r="V914" s="89" t="n"/>
      <c r="W914" s="88" t="n"/>
      <c r="X914" s="89" t="n"/>
      <c r="Y914" s="88" t="n"/>
      <c r="Z914" s="89" t="n"/>
      <c r="AB914" s="25">
        <f>IF($B914="","",(COUNTIF(C914:E914,"?*")&lt;N(INDEX(Setup!$L$6:$L$23,7)))+(COUNTIF(G914:I914,"?*")&lt;N(INDEX(Setup!$L$6:$L$23,7)))+(COUNTIF(K914:M914,"?*")&lt;N(INDEX(Setup!$L$6:$L$23,7)))+(COUNTIF(O914:Q914,"?*")&lt;N(INDEX(Setup!$L$6:$L$23,7)))+(COUNTIF(S914:U914,"?*")&lt;N(INDEX(Setup!$L$6:$L$23,7)))+((W914="")*(INDEX(Setup!$M$6:$M$23,7)="Y"))+((Y914="")*(INDEX(Setup!$M$6:$M$23,7)="Y")))</f>
        <v/>
      </c>
      <c r="AC914" s="90">
        <f>IF($B914="","",IF(AB914=0,"✓ covered","⚠ "&amp;AB914&amp;IF(AB914=1," gap"," gaps")))</f>
        <v/>
      </c>
    </row>
    <row r="915" ht="17" customHeight="1">
      <c r="A915" t="n">
        <v>19</v>
      </c>
      <c r="B915" s="29">
        <f>IF(Setup!$K$13="","",Setup!$K$13)</f>
        <v/>
      </c>
      <c r="C915" s="88" t="n"/>
      <c r="D915" s="88" t="n"/>
      <c r="E915" s="88" t="n"/>
      <c r="F915" s="89" t="n"/>
      <c r="G915" s="88" t="n"/>
      <c r="H915" s="88" t="n"/>
      <c r="I915" s="88" t="n"/>
      <c r="J915" s="89" t="n"/>
      <c r="K915" s="88" t="n"/>
      <c r="L915" s="88" t="n"/>
      <c r="M915" s="88" t="n"/>
      <c r="N915" s="89" t="n"/>
      <c r="O915" s="88" t="n"/>
      <c r="P915" s="88" t="n"/>
      <c r="Q915" s="88" t="n"/>
      <c r="R915" s="89" t="n"/>
      <c r="S915" s="88" t="n"/>
      <c r="T915" s="88" t="n"/>
      <c r="U915" s="88" t="n"/>
      <c r="V915" s="89" t="n"/>
      <c r="W915" s="88" t="n"/>
      <c r="X915" s="89" t="n"/>
      <c r="Y915" s="88" t="n"/>
      <c r="Z915" s="89" t="n"/>
      <c r="AB915" s="30">
        <f>IF($B915="","",(COUNTIF(C915:E915,"?*")&lt;N(INDEX(Setup!$L$6:$L$23,8)))+(COUNTIF(G915:I915,"?*")&lt;N(INDEX(Setup!$L$6:$L$23,8)))+(COUNTIF(K915:M915,"?*")&lt;N(INDEX(Setup!$L$6:$L$23,8)))+(COUNTIF(O915:Q915,"?*")&lt;N(INDEX(Setup!$L$6:$L$23,8)))+(COUNTIF(S915:U915,"?*")&lt;N(INDEX(Setup!$L$6:$L$23,8)))+((W915="")*(INDEX(Setup!$M$6:$M$23,8)="Y"))+((Y915="")*(INDEX(Setup!$M$6:$M$23,8)="Y")))</f>
        <v/>
      </c>
      <c r="AC915" s="91">
        <f>IF($B915="","",IF(AB915=0,"✓ covered","⚠ "&amp;AB915&amp;IF(AB915=1," gap"," gaps")))</f>
        <v/>
      </c>
    </row>
    <row r="916" ht="17" customHeight="1">
      <c r="A916" t="n">
        <v>19</v>
      </c>
      <c r="B916" s="24">
        <f>IF(Setup!$K$14="","",Setup!$K$14)</f>
        <v/>
      </c>
      <c r="C916" s="88" t="n"/>
      <c r="D916" s="88" t="n"/>
      <c r="E916" s="88" t="n"/>
      <c r="F916" s="89" t="n"/>
      <c r="G916" s="88" t="n"/>
      <c r="H916" s="88" t="n"/>
      <c r="I916" s="88" t="n"/>
      <c r="J916" s="89" t="n"/>
      <c r="K916" s="88" t="n"/>
      <c r="L916" s="88" t="n"/>
      <c r="M916" s="88" t="n"/>
      <c r="N916" s="89" t="n"/>
      <c r="O916" s="88" t="n"/>
      <c r="P916" s="88" t="n"/>
      <c r="Q916" s="88" t="n"/>
      <c r="R916" s="89" t="n"/>
      <c r="S916" s="88" t="n"/>
      <c r="T916" s="88" t="n"/>
      <c r="U916" s="88" t="n"/>
      <c r="V916" s="89" t="n"/>
      <c r="W916" s="88" t="n"/>
      <c r="X916" s="89" t="n"/>
      <c r="Y916" s="88" t="n"/>
      <c r="Z916" s="89" t="n"/>
      <c r="AB916" s="25">
        <f>IF($B916="","",(COUNTIF(C916:E916,"?*")&lt;N(INDEX(Setup!$L$6:$L$23,9)))+(COUNTIF(G916:I916,"?*")&lt;N(INDEX(Setup!$L$6:$L$23,9)))+(COUNTIF(K916:M916,"?*")&lt;N(INDEX(Setup!$L$6:$L$23,9)))+(COUNTIF(O916:Q916,"?*")&lt;N(INDEX(Setup!$L$6:$L$23,9)))+(COUNTIF(S916:U916,"?*")&lt;N(INDEX(Setup!$L$6:$L$23,9)))+((W916="")*(INDEX(Setup!$M$6:$M$23,9)="Y"))+((Y916="")*(INDEX(Setup!$M$6:$M$23,9)="Y")))</f>
        <v/>
      </c>
      <c r="AC916" s="90">
        <f>IF($B916="","",IF(AB916=0,"✓ covered","⚠ "&amp;AB916&amp;IF(AB916=1," gap"," gaps")))</f>
        <v/>
      </c>
    </row>
    <row r="917" ht="17" customHeight="1">
      <c r="A917" t="n">
        <v>19</v>
      </c>
      <c r="B917" s="29">
        <f>IF(Setup!$K$15="","",Setup!$K$15)</f>
        <v/>
      </c>
      <c r="C917" s="88" t="n"/>
      <c r="D917" s="88" t="n"/>
      <c r="E917" s="88" t="n"/>
      <c r="F917" s="89" t="n"/>
      <c r="G917" s="88" t="n"/>
      <c r="H917" s="88" t="n"/>
      <c r="I917" s="88" t="n"/>
      <c r="J917" s="89" t="n"/>
      <c r="K917" s="88" t="n"/>
      <c r="L917" s="88" t="n"/>
      <c r="M917" s="88" t="n"/>
      <c r="N917" s="89" t="n"/>
      <c r="O917" s="88" t="n"/>
      <c r="P917" s="88" t="n"/>
      <c r="Q917" s="88" t="n"/>
      <c r="R917" s="89" t="n"/>
      <c r="S917" s="88" t="n"/>
      <c r="T917" s="88" t="n"/>
      <c r="U917" s="88" t="n"/>
      <c r="V917" s="89" t="n"/>
      <c r="W917" s="88" t="n"/>
      <c r="X917" s="89" t="n"/>
      <c r="Y917" s="88" t="n"/>
      <c r="Z917" s="89" t="n"/>
      <c r="AB917" s="30">
        <f>IF($B917="","",(COUNTIF(C917:E917,"?*")&lt;N(INDEX(Setup!$L$6:$L$23,10)))+(COUNTIF(G917:I917,"?*")&lt;N(INDEX(Setup!$L$6:$L$23,10)))+(COUNTIF(K917:M917,"?*")&lt;N(INDEX(Setup!$L$6:$L$23,10)))+(COUNTIF(O917:Q917,"?*")&lt;N(INDEX(Setup!$L$6:$L$23,10)))+(COUNTIF(S917:U917,"?*")&lt;N(INDEX(Setup!$L$6:$L$23,10)))+((W917="")*(INDEX(Setup!$M$6:$M$23,10)="Y"))+((Y917="")*(INDEX(Setup!$M$6:$M$23,10)="Y")))</f>
        <v/>
      </c>
      <c r="AC917" s="91">
        <f>IF($B917="","",IF(AB917=0,"✓ covered","⚠ "&amp;AB917&amp;IF(AB917=1," gap"," gaps")))</f>
        <v/>
      </c>
    </row>
    <row r="918" ht="17" customHeight="1">
      <c r="A918" t="n">
        <v>19</v>
      </c>
      <c r="B918" s="24">
        <f>IF(Setup!$K$16="","",Setup!$K$16)</f>
        <v/>
      </c>
      <c r="C918" s="88" t="n"/>
      <c r="D918" s="88" t="n"/>
      <c r="E918" s="88" t="n"/>
      <c r="F918" s="89" t="n"/>
      <c r="G918" s="88" t="n"/>
      <c r="H918" s="88" t="n"/>
      <c r="I918" s="88" t="n"/>
      <c r="J918" s="89" t="n"/>
      <c r="K918" s="88" t="n"/>
      <c r="L918" s="88" t="n"/>
      <c r="M918" s="88" t="n"/>
      <c r="N918" s="89" t="n"/>
      <c r="O918" s="88" t="n"/>
      <c r="P918" s="88" t="n"/>
      <c r="Q918" s="88" t="n"/>
      <c r="R918" s="89" t="n"/>
      <c r="S918" s="88" t="n"/>
      <c r="T918" s="88" t="n"/>
      <c r="U918" s="88" t="n"/>
      <c r="V918" s="89" t="n"/>
      <c r="W918" s="88" t="n"/>
      <c r="X918" s="89" t="n"/>
      <c r="Y918" s="88" t="n"/>
      <c r="Z918" s="89" t="n"/>
      <c r="AB918" s="25">
        <f>IF($B918="","",(COUNTIF(C918:E918,"?*")&lt;N(INDEX(Setup!$L$6:$L$23,11)))+(COUNTIF(G918:I918,"?*")&lt;N(INDEX(Setup!$L$6:$L$23,11)))+(COUNTIF(K918:M918,"?*")&lt;N(INDEX(Setup!$L$6:$L$23,11)))+(COUNTIF(O918:Q918,"?*")&lt;N(INDEX(Setup!$L$6:$L$23,11)))+(COUNTIF(S918:U918,"?*")&lt;N(INDEX(Setup!$L$6:$L$23,11)))+((W918="")*(INDEX(Setup!$M$6:$M$23,11)="Y"))+((Y918="")*(INDEX(Setup!$M$6:$M$23,11)="Y")))</f>
        <v/>
      </c>
      <c r="AC918" s="90">
        <f>IF($B918="","",IF(AB918=0,"✓ covered","⚠ "&amp;AB918&amp;IF(AB918=1," gap"," gaps")))</f>
        <v/>
      </c>
    </row>
    <row r="919" ht="17" customHeight="1">
      <c r="A919" t="n">
        <v>19</v>
      </c>
      <c r="B919" s="29">
        <f>IF(Setup!$K$17="","",Setup!$K$17)</f>
        <v/>
      </c>
      <c r="C919" s="88" t="n"/>
      <c r="D919" s="88" t="n"/>
      <c r="E919" s="88" t="n"/>
      <c r="F919" s="89" t="n"/>
      <c r="G919" s="88" t="n"/>
      <c r="H919" s="88" t="n"/>
      <c r="I919" s="88" t="n"/>
      <c r="J919" s="89" t="n"/>
      <c r="K919" s="88" t="n"/>
      <c r="L919" s="88" t="n"/>
      <c r="M919" s="88" t="n"/>
      <c r="N919" s="89" t="n"/>
      <c r="O919" s="88" t="n"/>
      <c r="P919" s="88" t="n"/>
      <c r="Q919" s="88" t="n"/>
      <c r="R919" s="89" t="n"/>
      <c r="S919" s="88" t="n"/>
      <c r="T919" s="88" t="n"/>
      <c r="U919" s="88" t="n"/>
      <c r="V919" s="89" t="n"/>
      <c r="W919" s="88" t="n"/>
      <c r="X919" s="89" t="n"/>
      <c r="Y919" s="88" t="n"/>
      <c r="Z919" s="89" t="n"/>
      <c r="AB919" s="30">
        <f>IF($B919="","",(COUNTIF(C919:E919,"?*")&lt;N(INDEX(Setup!$L$6:$L$23,12)))+(COUNTIF(G919:I919,"?*")&lt;N(INDEX(Setup!$L$6:$L$23,12)))+(COUNTIF(K919:M919,"?*")&lt;N(INDEX(Setup!$L$6:$L$23,12)))+(COUNTIF(O919:Q919,"?*")&lt;N(INDEX(Setup!$L$6:$L$23,12)))+(COUNTIF(S919:U919,"?*")&lt;N(INDEX(Setup!$L$6:$L$23,12)))+((W919="")*(INDEX(Setup!$M$6:$M$23,12)="Y"))+((Y919="")*(INDEX(Setup!$M$6:$M$23,12)="Y")))</f>
        <v/>
      </c>
      <c r="AC919" s="91">
        <f>IF($B919="","",IF(AB919=0,"✓ covered","⚠ "&amp;AB919&amp;IF(AB919=1," gap"," gaps")))</f>
        <v/>
      </c>
    </row>
    <row r="920" ht="17" customHeight="1">
      <c r="A920" t="n">
        <v>19</v>
      </c>
      <c r="B920" s="24">
        <f>IF(Setup!$K$18="","",Setup!$K$18)</f>
        <v/>
      </c>
      <c r="C920" s="88" t="n"/>
      <c r="D920" s="88" t="n"/>
      <c r="E920" s="88" t="n"/>
      <c r="F920" s="89" t="n"/>
      <c r="G920" s="88" t="n"/>
      <c r="H920" s="88" t="n"/>
      <c r="I920" s="88" t="n"/>
      <c r="J920" s="89" t="n"/>
      <c r="K920" s="88" t="n"/>
      <c r="L920" s="88" t="n"/>
      <c r="M920" s="88" t="n"/>
      <c r="N920" s="89" t="n"/>
      <c r="O920" s="88" t="n"/>
      <c r="P920" s="88" t="n"/>
      <c r="Q920" s="88" t="n"/>
      <c r="R920" s="89" t="n"/>
      <c r="S920" s="88" t="n"/>
      <c r="T920" s="88" t="n"/>
      <c r="U920" s="88" t="n"/>
      <c r="V920" s="89" t="n"/>
      <c r="W920" s="88" t="n"/>
      <c r="X920" s="89" t="n"/>
      <c r="Y920" s="88" t="n"/>
      <c r="Z920" s="89" t="n"/>
      <c r="AB920" s="25">
        <f>IF($B920="","",(COUNTIF(C920:E920,"?*")&lt;N(INDEX(Setup!$L$6:$L$23,13)))+(COUNTIF(G920:I920,"?*")&lt;N(INDEX(Setup!$L$6:$L$23,13)))+(COUNTIF(K920:M920,"?*")&lt;N(INDEX(Setup!$L$6:$L$23,13)))+(COUNTIF(O920:Q920,"?*")&lt;N(INDEX(Setup!$L$6:$L$23,13)))+(COUNTIF(S920:U920,"?*")&lt;N(INDEX(Setup!$L$6:$L$23,13)))+((W920="")*(INDEX(Setup!$M$6:$M$23,13)="Y"))+((Y920="")*(INDEX(Setup!$M$6:$M$23,13)="Y")))</f>
        <v/>
      </c>
      <c r="AC920" s="90">
        <f>IF($B920="","",IF(AB920=0,"✓ covered","⚠ "&amp;AB920&amp;IF(AB920=1," gap"," gaps")))</f>
        <v/>
      </c>
    </row>
    <row r="921" ht="17" customHeight="1">
      <c r="A921" t="n">
        <v>19</v>
      </c>
      <c r="B921" s="29">
        <f>IF(Setup!$K$19="","",Setup!$K$19)</f>
        <v/>
      </c>
      <c r="C921" s="88" t="n"/>
      <c r="D921" s="88" t="n"/>
      <c r="E921" s="88" t="n"/>
      <c r="F921" s="89" t="n"/>
      <c r="G921" s="88" t="n"/>
      <c r="H921" s="88" t="n"/>
      <c r="I921" s="88" t="n"/>
      <c r="J921" s="89" t="n"/>
      <c r="K921" s="88" t="n"/>
      <c r="L921" s="88" t="n"/>
      <c r="M921" s="88" t="n"/>
      <c r="N921" s="89" t="n"/>
      <c r="O921" s="88" t="n"/>
      <c r="P921" s="88" t="n"/>
      <c r="Q921" s="88" t="n"/>
      <c r="R921" s="89" t="n"/>
      <c r="S921" s="88" t="n"/>
      <c r="T921" s="88" t="n"/>
      <c r="U921" s="88" t="n"/>
      <c r="V921" s="89" t="n"/>
      <c r="W921" s="88" t="n"/>
      <c r="X921" s="89" t="n"/>
      <c r="Y921" s="88" t="n"/>
      <c r="Z921" s="89" t="n"/>
      <c r="AB921" s="30">
        <f>IF($B921="","",(COUNTIF(C921:E921,"?*")&lt;N(INDEX(Setup!$L$6:$L$23,14)))+(COUNTIF(G921:I921,"?*")&lt;N(INDEX(Setup!$L$6:$L$23,14)))+(COUNTIF(K921:M921,"?*")&lt;N(INDEX(Setup!$L$6:$L$23,14)))+(COUNTIF(O921:Q921,"?*")&lt;N(INDEX(Setup!$L$6:$L$23,14)))+(COUNTIF(S921:U921,"?*")&lt;N(INDEX(Setup!$L$6:$L$23,14)))+((W921="")*(INDEX(Setup!$M$6:$M$23,14)="Y"))+((Y921="")*(INDEX(Setup!$M$6:$M$23,14)="Y")))</f>
        <v/>
      </c>
      <c r="AC921" s="91">
        <f>IF($B921="","",IF(AB921=0,"✓ covered","⚠ "&amp;AB921&amp;IF(AB921=1," gap"," gaps")))</f>
        <v/>
      </c>
    </row>
    <row r="922" ht="17" customHeight="1">
      <c r="A922" t="n">
        <v>19</v>
      </c>
      <c r="B922" s="24">
        <f>IF(Setup!$K$20="","",Setup!$K$20)</f>
        <v/>
      </c>
      <c r="C922" s="88" t="n"/>
      <c r="D922" s="88" t="n"/>
      <c r="E922" s="88" t="n"/>
      <c r="F922" s="89" t="n"/>
      <c r="G922" s="88" t="n"/>
      <c r="H922" s="88" t="n"/>
      <c r="I922" s="88" t="n"/>
      <c r="J922" s="89" t="n"/>
      <c r="K922" s="88" t="n"/>
      <c r="L922" s="88" t="n"/>
      <c r="M922" s="88" t="n"/>
      <c r="N922" s="89" t="n"/>
      <c r="O922" s="88" t="n"/>
      <c r="P922" s="88" t="n"/>
      <c r="Q922" s="88" t="n"/>
      <c r="R922" s="89" t="n"/>
      <c r="S922" s="88" t="n"/>
      <c r="T922" s="88" t="n"/>
      <c r="U922" s="88" t="n"/>
      <c r="V922" s="89" t="n"/>
      <c r="W922" s="88" t="n"/>
      <c r="X922" s="89" t="n"/>
      <c r="Y922" s="88" t="n"/>
      <c r="Z922" s="89" t="n"/>
      <c r="AB922" s="25">
        <f>IF($B922="","",(COUNTIF(C922:E922,"?*")&lt;N(INDEX(Setup!$L$6:$L$23,15)))+(COUNTIF(G922:I922,"?*")&lt;N(INDEX(Setup!$L$6:$L$23,15)))+(COUNTIF(K922:M922,"?*")&lt;N(INDEX(Setup!$L$6:$L$23,15)))+(COUNTIF(O922:Q922,"?*")&lt;N(INDEX(Setup!$L$6:$L$23,15)))+(COUNTIF(S922:U922,"?*")&lt;N(INDEX(Setup!$L$6:$L$23,15)))+((W922="")*(INDEX(Setup!$M$6:$M$23,15)="Y"))+((Y922="")*(INDEX(Setup!$M$6:$M$23,15)="Y")))</f>
        <v/>
      </c>
      <c r="AC922" s="90">
        <f>IF($B922="","",IF(AB922=0,"✓ covered","⚠ "&amp;AB922&amp;IF(AB922=1," gap"," gaps")))</f>
        <v/>
      </c>
    </row>
    <row r="923" ht="17" customHeight="1">
      <c r="A923" t="n">
        <v>19</v>
      </c>
      <c r="B923" s="29">
        <f>IF(Setup!$K$21="","",Setup!$K$21)</f>
        <v/>
      </c>
      <c r="C923" s="88" t="n"/>
      <c r="D923" s="88" t="n"/>
      <c r="E923" s="88" t="n"/>
      <c r="F923" s="89" t="n"/>
      <c r="G923" s="88" t="n"/>
      <c r="H923" s="88" t="n"/>
      <c r="I923" s="88" t="n"/>
      <c r="J923" s="89" t="n"/>
      <c r="K923" s="88" t="n"/>
      <c r="L923" s="88" t="n"/>
      <c r="M923" s="88" t="n"/>
      <c r="N923" s="89" t="n"/>
      <c r="O923" s="88" t="n"/>
      <c r="P923" s="88" t="n"/>
      <c r="Q923" s="88" t="n"/>
      <c r="R923" s="89" t="n"/>
      <c r="S923" s="88" t="n"/>
      <c r="T923" s="88" t="n"/>
      <c r="U923" s="88" t="n"/>
      <c r="V923" s="89" t="n"/>
      <c r="W923" s="88" t="n"/>
      <c r="X923" s="89" t="n"/>
      <c r="Y923" s="88" t="n"/>
      <c r="Z923" s="89" t="n"/>
      <c r="AB923" s="30">
        <f>IF($B923="","",(COUNTIF(C923:E923,"?*")&lt;N(INDEX(Setup!$L$6:$L$23,16)))+(COUNTIF(G923:I923,"?*")&lt;N(INDEX(Setup!$L$6:$L$23,16)))+(COUNTIF(K923:M923,"?*")&lt;N(INDEX(Setup!$L$6:$L$23,16)))+(COUNTIF(O923:Q923,"?*")&lt;N(INDEX(Setup!$L$6:$L$23,16)))+(COUNTIF(S923:U923,"?*")&lt;N(INDEX(Setup!$L$6:$L$23,16)))+((W923="")*(INDEX(Setup!$M$6:$M$23,16)="Y"))+((Y923="")*(INDEX(Setup!$M$6:$M$23,16)="Y")))</f>
        <v/>
      </c>
      <c r="AC923" s="91">
        <f>IF($B923="","",IF(AB923=0,"✓ covered","⚠ "&amp;AB923&amp;IF(AB923=1," gap"," gaps")))</f>
        <v/>
      </c>
    </row>
    <row r="924" ht="17" customHeight="1">
      <c r="A924" t="n">
        <v>19</v>
      </c>
      <c r="B924" s="24">
        <f>IF(Setup!$K$22="","",Setup!$K$22)</f>
        <v/>
      </c>
      <c r="C924" s="88" t="n"/>
      <c r="D924" s="88" t="n"/>
      <c r="E924" s="88" t="n"/>
      <c r="F924" s="89" t="n"/>
      <c r="G924" s="88" t="n"/>
      <c r="H924" s="88" t="n"/>
      <c r="I924" s="88" t="n"/>
      <c r="J924" s="89" t="n"/>
      <c r="K924" s="88" t="n"/>
      <c r="L924" s="88" t="n"/>
      <c r="M924" s="88" t="n"/>
      <c r="N924" s="89" t="n"/>
      <c r="O924" s="88" t="n"/>
      <c r="P924" s="88" t="n"/>
      <c r="Q924" s="88" t="n"/>
      <c r="R924" s="89" t="n"/>
      <c r="S924" s="88" t="n"/>
      <c r="T924" s="88" t="n"/>
      <c r="U924" s="88" t="n"/>
      <c r="V924" s="89" t="n"/>
      <c r="W924" s="88" t="n"/>
      <c r="X924" s="89" t="n"/>
      <c r="Y924" s="88" t="n"/>
      <c r="Z924" s="89" t="n"/>
      <c r="AB924" s="25">
        <f>IF($B924="","",(COUNTIF(C924:E924,"?*")&lt;N(INDEX(Setup!$L$6:$L$23,17)))+(COUNTIF(G924:I924,"?*")&lt;N(INDEX(Setup!$L$6:$L$23,17)))+(COUNTIF(K924:M924,"?*")&lt;N(INDEX(Setup!$L$6:$L$23,17)))+(COUNTIF(O924:Q924,"?*")&lt;N(INDEX(Setup!$L$6:$L$23,17)))+(COUNTIF(S924:U924,"?*")&lt;N(INDEX(Setup!$L$6:$L$23,17)))+((W924="")*(INDEX(Setup!$M$6:$M$23,17)="Y"))+((Y924="")*(INDEX(Setup!$M$6:$M$23,17)="Y")))</f>
        <v/>
      </c>
      <c r="AC924" s="90">
        <f>IF($B924="","",IF(AB924=0,"✓ covered","⚠ "&amp;AB924&amp;IF(AB924=1," gap"," gaps")))</f>
        <v/>
      </c>
    </row>
    <row r="925" ht="17" customHeight="1">
      <c r="A925" t="n">
        <v>19</v>
      </c>
      <c r="B925" s="29">
        <f>IF(Setup!$K$23="","",Setup!$K$23)</f>
        <v/>
      </c>
      <c r="C925" s="88" t="n"/>
      <c r="D925" s="88" t="n"/>
      <c r="E925" s="88" t="n"/>
      <c r="F925" s="89" t="n"/>
      <c r="G925" s="88" t="n"/>
      <c r="H925" s="88" t="n"/>
      <c r="I925" s="88" t="n"/>
      <c r="J925" s="89" t="n"/>
      <c r="K925" s="88" t="n"/>
      <c r="L925" s="88" t="n"/>
      <c r="M925" s="88" t="n"/>
      <c r="N925" s="89" t="n"/>
      <c r="O925" s="88" t="n"/>
      <c r="P925" s="88" t="n"/>
      <c r="Q925" s="88" t="n"/>
      <c r="R925" s="89" t="n"/>
      <c r="S925" s="88" t="n"/>
      <c r="T925" s="88" t="n"/>
      <c r="U925" s="88" t="n"/>
      <c r="V925" s="89" t="n"/>
      <c r="W925" s="88" t="n"/>
      <c r="X925" s="89" t="n"/>
      <c r="Y925" s="88" t="n"/>
      <c r="Z925" s="89" t="n"/>
      <c r="AB925" s="30">
        <f>IF($B925="","",(COUNTIF(C925:E925,"?*")&lt;N(INDEX(Setup!$L$6:$L$23,18)))+(COUNTIF(G925:I925,"?*")&lt;N(INDEX(Setup!$L$6:$L$23,18)))+(COUNTIF(K925:M925,"?*")&lt;N(INDEX(Setup!$L$6:$L$23,18)))+(COUNTIF(O925:Q925,"?*")&lt;N(INDEX(Setup!$L$6:$L$23,18)))+(COUNTIF(S925:U925,"?*")&lt;N(INDEX(Setup!$L$6:$L$23,18)))+((W925="")*(INDEX(Setup!$M$6:$M$23,18)="Y"))+((Y925="")*(INDEX(Setup!$M$6:$M$23,18)="Y")))</f>
        <v/>
      </c>
      <c r="AC925" s="91">
        <f>IF($B925="","",IF(AB925=0,"✓ covered","⚠ "&amp;AB925&amp;IF(AB925=1," gap"," gaps")))</f>
        <v/>
      </c>
    </row>
    <row r="926" ht="18" customHeight="1">
      <c r="A926" t="n">
        <v>19</v>
      </c>
      <c r="B926" s="78" t="inlineStr">
        <is>
          <t>TEAM AVAILABILITY</t>
        </is>
      </c>
      <c r="C926" s="92" t="inlineStr">
        <is>
          <t>Mon</t>
        </is>
      </c>
      <c r="D926" s="93" t="n"/>
      <c r="E926" s="93" t="n"/>
      <c r="F926" s="94" t="n"/>
      <c r="G926" s="92" t="inlineStr">
        <is>
          <t>Tue</t>
        </is>
      </c>
      <c r="H926" s="93" t="n"/>
      <c r="I926" s="93" t="n"/>
      <c r="J926" s="94" t="n"/>
      <c r="K926" s="92" t="inlineStr">
        <is>
          <t>Wed</t>
        </is>
      </c>
      <c r="L926" s="93" t="n"/>
      <c r="M926" s="93" t="n"/>
      <c r="N926" s="94" t="n"/>
      <c r="O926" s="92" t="inlineStr">
        <is>
          <t>Thu</t>
        </is>
      </c>
      <c r="P926" s="93" t="n"/>
      <c r="Q926" s="93" t="n"/>
      <c r="R926" s="94" t="n"/>
      <c r="S926" s="92" t="inlineStr">
        <is>
          <t>Fri</t>
        </is>
      </c>
      <c r="T926" s="93" t="n"/>
      <c r="U926" s="93" t="n"/>
      <c r="V926" s="94" t="n"/>
      <c r="W926" s="95" t="inlineStr">
        <is>
          <t>Sat</t>
        </is>
      </c>
      <c r="X926" s="96" t="n"/>
      <c r="Y926" s="95" t="inlineStr">
        <is>
          <t>Sun</t>
        </is>
      </c>
      <c r="Z926" s="96" t="n"/>
      <c r="AB926" s="97" t="inlineStr">
        <is>
          <t>Days rostered</t>
        </is>
      </c>
      <c r="AC926" s="97" t="inlineStr">
        <is>
          <t>Conflicts</t>
        </is>
      </c>
    </row>
    <row r="927" ht="15" customHeight="1">
      <c r="A927" t="n">
        <v>19</v>
      </c>
      <c r="B927" s="35">
        <f>IF(Setup!$B$6="","",Setup!$B$6)</f>
        <v/>
      </c>
      <c r="C927" s="98" t="n"/>
      <c r="D927" s="99" t="n"/>
      <c r="E927" s="99" t="n"/>
      <c r="F927" s="100" t="n"/>
      <c r="G927" s="98" t="n"/>
      <c r="H927" s="99" t="n"/>
      <c r="I927" s="99" t="n"/>
      <c r="J927" s="100" t="n"/>
      <c r="K927" s="98" t="n"/>
      <c r="L927" s="99" t="n"/>
      <c r="M927" s="99" t="n"/>
      <c r="N927" s="100" t="n"/>
      <c r="O927" s="98" t="n"/>
      <c r="P927" s="99" t="n"/>
      <c r="Q927" s="99" t="n"/>
      <c r="R927" s="100" t="n"/>
      <c r="S927" s="98" t="n"/>
      <c r="T927" s="99" t="n"/>
      <c r="U927" s="99" t="n"/>
      <c r="V927" s="100" t="n"/>
      <c r="W927" s="98" t="n"/>
      <c r="X927" s="100" t="n"/>
      <c r="Y927" s="98" t="n"/>
      <c r="Z927" s="100" t="n"/>
      <c r="AB927" s="101">
        <f>IF($B927="","",(COUNTIF(C908:E925,$B927)+COUNTIF(C908:E925,$B927&amp;" ~*")&gt;0)+(COUNTIF(G908:I925,$B927)+COUNTIF(G908:I925,$B927&amp;" ~*")&gt;0)+(COUNTIF(K908:M925,$B927)+COUNTIF(K908:M925,$B927&amp;" ~*")&gt;0)+(COUNTIF(O908:Q925,$B927)+COUNTIF(O908:Q925,$B927&amp;" ~*")&gt;0)+(COUNTIF(S908:U925,$B927)+COUNTIF(S908:U925,$B927&amp;" ~*")&gt;0)+(COUNTIF(W908:W925,$B927)+COUNTIF(W908:W925,$B927&amp;" ~*")&gt;0)+(COUNTIF(Y908:Y925,$B927)+COUNTIF(Y908:Y925,$B927&amp;" ~*")&gt;0))</f>
        <v/>
      </c>
      <c r="AC927" s="36">
        <f>IF($B927="","",(IFERROR(INDEX(Setup!$G$33:$G$40,MATCH(C927,Setup!$B$33:$B$40,0)),0)=1)*(COUNTIF(C908:E925,$B927)+COUNTIF(C908:E925,$B927&amp;" ~*")&gt;0)+(IFERROR(INDEX(Setup!$G$33:$G$40,MATCH(G927,Setup!$B$33:$B$40,0)),0)=1)*(COUNTIF(G908:I925,$B927)+COUNTIF(G908:I925,$B927&amp;" ~*")&gt;0)+(IFERROR(INDEX(Setup!$G$33:$G$40,MATCH(K927,Setup!$B$33:$B$40,0)),0)=1)*(COUNTIF(K908:M925,$B927)+COUNTIF(K908:M925,$B927&amp;" ~*")&gt;0)+(IFERROR(INDEX(Setup!$G$33:$G$40,MATCH(O927,Setup!$B$33:$B$40,0)),0)=1)*(COUNTIF(O908:Q925,$B927)+COUNTIF(O908:Q925,$B927&amp;" ~*")&gt;0)+(IFERROR(INDEX(Setup!$G$33:$G$40,MATCH(S927,Setup!$B$33:$B$40,0)),0)=1)*(COUNTIF(S908:U925,$B927)+COUNTIF(S908:U925,$B927&amp;" ~*")&gt;0)+(IFERROR(INDEX(Setup!$G$33:$G$40,MATCH(W927,Setup!$B$33:$B$40,0)),0)=1)*(COUNTIF(W908:W925,$B927)+COUNTIF(W908:W925,$B927&amp;" ~*")&gt;0)+(IFERROR(INDEX(Setup!$G$33:$G$40,MATCH(Y927,Setup!$B$33:$B$40,0)),0)=1)*(COUNTIF(Y908:Y925,$B927)+COUNTIF(Y908:Y925,$B927&amp;" ~*")&gt;0))</f>
        <v/>
      </c>
    </row>
    <row r="928" ht="15" customHeight="1">
      <c r="A928" t="n">
        <v>19</v>
      </c>
      <c r="B928" s="37">
        <f>IF(Setup!$B$7="","",Setup!$B$7)</f>
        <v/>
      </c>
      <c r="C928" s="102" t="n"/>
      <c r="D928" s="103" t="n"/>
      <c r="E928" s="103" t="n"/>
      <c r="F928" s="104" t="n"/>
      <c r="G928" s="102" t="n"/>
      <c r="H928" s="103" t="n"/>
      <c r="I928" s="103" t="n"/>
      <c r="J928" s="104" t="n"/>
      <c r="K928" s="102" t="n"/>
      <c r="L928" s="103" t="n"/>
      <c r="M928" s="103" t="n"/>
      <c r="N928" s="104" t="n"/>
      <c r="O928" s="102" t="n"/>
      <c r="P928" s="103" t="n"/>
      <c r="Q928" s="103" t="n"/>
      <c r="R928" s="104" t="n"/>
      <c r="S928" s="102" t="n"/>
      <c r="T928" s="103" t="n"/>
      <c r="U928" s="103" t="n"/>
      <c r="V928" s="104" t="n"/>
      <c r="W928" s="102" t="n"/>
      <c r="X928" s="104" t="n"/>
      <c r="Y928" s="102" t="n"/>
      <c r="Z928" s="104" t="n"/>
      <c r="AB928" s="105">
        <f>IF($B928="","",(COUNTIF(C908:E925,$B928)+COUNTIF(C908:E925,$B928&amp;" ~*")&gt;0)+(COUNTIF(G908:I925,$B928)+COUNTIF(G908:I925,$B928&amp;" ~*")&gt;0)+(COUNTIF(K908:M925,$B928)+COUNTIF(K908:M925,$B928&amp;" ~*")&gt;0)+(COUNTIF(O908:Q925,$B928)+COUNTIF(O908:Q925,$B928&amp;" ~*")&gt;0)+(COUNTIF(S908:U925,$B928)+COUNTIF(S908:U925,$B928&amp;" ~*")&gt;0)+(COUNTIF(W908:W925,$B928)+COUNTIF(W908:W925,$B928&amp;" ~*")&gt;0)+(COUNTIF(Y908:Y925,$B928)+COUNTIF(Y908:Y925,$B928&amp;" ~*")&gt;0))</f>
        <v/>
      </c>
      <c r="AC928" s="38">
        <f>IF($B928="","",(IFERROR(INDEX(Setup!$G$33:$G$40,MATCH(C928,Setup!$B$33:$B$40,0)),0)=1)*(COUNTIF(C908:E925,$B928)+COUNTIF(C908:E925,$B928&amp;" ~*")&gt;0)+(IFERROR(INDEX(Setup!$G$33:$G$40,MATCH(G928,Setup!$B$33:$B$40,0)),0)=1)*(COUNTIF(G908:I925,$B928)+COUNTIF(G908:I925,$B928&amp;" ~*")&gt;0)+(IFERROR(INDEX(Setup!$G$33:$G$40,MATCH(K928,Setup!$B$33:$B$40,0)),0)=1)*(COUNTIF(K908:M925,$B928)+COUNTIF(K908:M925,$B928&amp;" ~*")&gt;0)+(IFERROR(INDEX(Setup!$G$33:$G$40,MATCH(O928,Setup!$B$33:$B$40,0)),0)=1)*(COUNTIF(O908:Q925,$B928)+COUNTIF(O908:Q925,$B928&amp;" ~*")&gt;0)+(IFERROR(INDEX(Setup!$G$33:$G$40,MATCH(S928,Setup!$B$33:$B$40,0)),0)=1)*(COUNTIF(S908:U925,$B928)+COUNTIF(S908:U925,$B928&amp;" ~*")&gt;0)+(IFERROR(INDEX(Setup!$G$33:$G$40,MATCH(W928,Setup!$B$33:$B$40,0)),0)=1)*(COUNTIF(W908:W925,$B928)+COUNTIF(W908:W925,$B928&amp;" ~*")&gt;0)+(IFERROR(INDEX(Setup!$G$33:$G$40,MATCH(Y928,Setup!$B$33:$B$40,0)),0)=1)*(COUNTIF(Y908:Y925,$B928)+COUNTIF(Y908:Y925,$B928&amp;" ~*")&gt;0))</f>
        <v/>
      </c>
    </row>
    <row r="929" ht="15" customHeight="1">
      <c r="A929" t="n">
        <v>19</v>
      </c>
      <c r="B929" s="35">
        <f>IF(Setup!$B$8="","",Setup!$B$8)</f>
        <v/>
      </c>
      <c r="C929" s="98" t="n"/>
      <c r="D929" s="99" t="n"/>
      <c r="E929" s="99" t="n"/>
      <c r="F929" s="100" t="n"/>
      <c r="G929" s="98" t="n"/>
      <c r="H929" s="99" t="n"/>
      <c r="I929" s="99" t="n"/>
      <c r="J929" s="100" t="n"/>
      <c r="K929" s="98" t="n"/>
      <c r="L929" s="99" t="n"/>
      <c r="M929" s="99" t="n"/>
      <c r="N929" s="100" t="n"/>
      <c r="O929" s="98" t="n"/>
      <c r="P929" s="99" t="n"/>
      <c r="Q929" s="99" t="n"/>
      <c r="R929" s="100" t="n"/>
      <c r="S929" s="98" t="n"/>
      <c r="T929" s="99" t="n"/>
      <c r="U929" s="99" t="n"/>
      <c r="V929" s="100" t="n"/>
      <c r="W929" s="98" t="n"/>
      <c r="X929" s="100" t="n"/>
      <c r="Y929" s="98" t="n"/>
      <c r="Z929" s="100" t="n"/>
      <c r="AB929" s="101">
        <f>IF($B929="","",(COUNTIF(C908:E925,$B929)+COUNTIF(C908:E925,$B929&amp;" ~*")&gt;0)+(COUNTIF(G908:I925,$B929)+COUNTIF(G908:I925,$B929&amp;" ~*")&gt;0)+(COUNTIF(K908:M925,$B929)+COUNTIF(K908:M925,$B929&amp;" ~*")&gt;0)+(COUNTIF(O908:Q925,$B929)+COUNTIF(O908:Q925,$B929&amp;" ~*")&gt;0)+(COUNTIF(S908:U925,$B929)+COUNTIF(S908:U925,$B929&amp;" ~*")&gt;0)+(COUNTIF(W908:W925,$B929)+COUNTIF(W908:W925,$B929&amp;" ~*")&gt;0)+(COUNTIF(Y908:Y925,$B929)+COUNTIF(Y908:Y925,$B929&amp;" ~*")&gt;0))</f>
        <v/>
      </c>
      <c r="AC929" s="36">
        <f>IF($B929="","",(IFERROR(INDEX(Setup!$G$33:$G$40,MATCH(C929,Setup!$B$33:$B$40,0)),0)=1)*(COUNTIF(C908:E925,$B929)+COUNTIF(C908:E925,$B929&amp;" ~*")&gt;0)+(IFERROR(INDEX(Setup!$G$33:$G$40,MATCH(G929,Setup!$B$33:$B$40,0)),0)=1)*(COUNTIF(G908:I925,$B929)+COUNTIF(G908:I925,$B929&amp;" ~*")&gt;0)+(IFERROR(INDEX(Setup!$G$33:$G$40,MATCH(K929,Setup!$B$33:$B$40,0)),0)=1)*(COUNTIF(K908:M925,$B929)+COUNTIF(K908:M925,$B929&amp;" ~*")&gt;0)+(IFERROR(INDEX(Setup!$G$33:$G$40,MATCH(O929,Setup!$B$33:$B$40,0)),0)=1)*(COUNTIF(O908:Q925,$B929)+COUNTIF(O908:Q925,$B929&amp;" ~*")&gt;0)+(IFERROR(INDEX(Setup!$G$33:$G$40,MATCH(S929,Setup!$B$33:$B$40,0)),0)=1)*(COUNTIF(S908:U925,$B929)+COUNTIF(S908:U925,$B929&amp;" ~*")&gt;0)+(IFERROR(INDEX(Setup!$G$33:$G$40,MATCH(W929,Setup!$B$33:$B$40,0)),0)=1)*(COUNTIF(W908:W925,$B929)+COUNTIF(W908:W925,$B929&amp;" ~*")&gt;0)+(IFERROR(INDEX(Setup!$G$33:$G$40,MATCH(Y929,Setup!$B$33:$B$40,0)),0)=1)*(COUNTIF(Y908:Y925,$B929)+COUNTIF(Y908:Y925,$B929&amp;" ~*")&gt;0))</f>
        <v/>
      </c>
    </row>
    <row r="930" ht="15" customHeight="1">
      <c r="A930" t="n">
        <v>19</v>
      </c>
      <c r="B930" s="37">
        <f>IF(Setup!$B$9="","",Setup!$B$9)</f>
        <v/>
      </c>
      <c r="C930" s="102" t="n"/>
      <c r="D930" s="103" t="n"/>
      <c r="E930" s="103" t="n"/>
      <c r="F930" s="104" t="n"/>
      <c r="G930" s="102" t="n"/>
      <c r="H930" s="103" t="n"/>
      <c r="I930" s="103" t="n"/>
      <c r="J930" s="104" t="n"/>
      <c r="K930" s="102" t="n"/>
      <c r="L930" s="103" t="n"/>
      <c r="M930" s="103" t="n"/>
      <c r="N930" s="104" t="n"/>
      <c r="O930" s="102" t="n"/>
      <c r="P930" s="103" t="n"/>
      <c r="Q930" s="103" t="n"/>
      <c r="R930" s="104" t="n"/>
      <c r="S930" s="102" t="n"/>
      <c r="T930" s="103" t="n"/>
      <c r="U930" s="103" t="n"/>
      <c r="V930" s="104" t="n"/>
      <c r="W930" s="102" t="n"/>
      <c r="X930" s="104" t="n"/>
      <c r="Y930" s="102" t="n"/>
      <c r="Z930" s="104" t="n"/>
      <c r="AB930" s="105">
        <f>IF($B930="","",(COUNTIF(C908:E925,$B930)+COUNTIF(C908:E925,$B930&amp;" ~*")&gt;0)+(COUNTIF(G908:I925,$B930)+COUNTIF(G908:I925,$B930&amp;" ~*")&gt;0)+(COUNTIF(K908:M925,$B930)+COUNTIF(K908:M925,$B930&amp;" ~*")&gt;0)+(COUNTIF(O908:Q925,$B930)+COUNTIF(O908:Q925,$B930&amp;" ~*")&gt;0)+(COUNTIF(S908:U925,$B930)+COUNTIF(S908:U925,$B930&amp;" ~*")&gt;0)+(COUNTIF(W908:W925,$B930)+COUNTIF(W908:W925,$B930&amp;" ~*")&gt;0)+(COUNTIF(Y908:Y925,$B930)+COUNTIF(Y908:Y925,$B930&amp;" ~*")&gt;0))</f>
        <v/>
      </c>
      <c r="AC930" s="38">
        <f>IF($B930="","",(IFERROR(INDEX(Setup!$G$33:$G$40,MATCH(C930,Setup!$B$33:$B$40,0)),0)=1)*(COUNTIF(C908:E925,$B930)+COUNTIF(C908:E925,$B930&amp;" ~*")&gt;0)+(IFERROR(INDEX(Setup!$G$33:$G$40,MATCH(G930,Setup!$B$33:$B$40,0)),0)=1)*(COUNTIF(G908:I925,$B930)+COUNTIF(G908:I925,$B930&amp;" ~*")&gt;0)+(IFERROR(INDEX(Setup!$G$33:$G$40,MATCH(K930,Setup!$B$33:$B$40,0)),0)=1)*(COUNTIF(K908:M925,$B930)+COUNTIF(K908:M925,$B930&amp;" ~*")&gt;0)+(IFERROR(INDEX(Setup!$G$33:$G$40,MATCH(O930,Setup!$B$33:$B$40,0)),0)=1)*(COUNTIF(O908:Q925,$B930)+COUNTIF(O908:Q925,$B930&amp;" ~*")&gt;0)+(IFERROR(INDEX(Setup!$G$33:$G$40,MATCH(S930,Setup!$B$33:$B$40,0)),0)=1)*(COUNTIF(S908:U925,$B930)+COUNTIF(S908:U925,$B930&amp;" ~*")&gt;0)+(IFERROR(INDEX(Setup!$G$33:$G$40,MATCH(W930,Setup!$B$33:$B$40,0)),0)=1)*(COUNTIF(W908:W925,$B930)+COUNTIF(W908:W925,$B930&amp;" ~*")&gt;0)+(IFERROR(INDEX(Setup!$G$33:$G$40,MATCH(Y930,Setup!$B$33:$B$40,0)),0)=1)*(COUNTIF(Y908:Y925,$B930)+COUNTIF(Y908:Y925,$B930&amp;" ~*")&gt;0))</f>
        <v/>
      </c>
    </row>
    <row r="931" ht="15" customHeight="1">
      <c r="A931" t="n">
        <v>19</v>
      </c>
      <c r="B931" s="35">
        <f>IF(Setup!$B$10="","",Setup!$B$10)</f>
        <v/>
      </c>
      <c r="C931" s="98" t="n"/>
      <c r="D931" s="99" t="n"/>
      <c r="E931" s="99" t="n"/>
      <c r="F931" s="100" t="n"/>
      <c r="G931" s="98" t="n"/>
      <c r="H931" s="99" t="n"/>
      <c r="I931" s="99" t="n"/>
      <c r="J931" s="100" t="n"/>
      <c r="K931" s="98" t="n"/>
      <c r="L931" s="99" t="n"/>
      <c r="M931" s="99" t="n"/>
      <c r="N931" s="100" t="n"/>
      <c r="O931" s="98" t="n"/>
      <c r="P931" s="99" t="n"/>
      <c r="Q931" s="99" t="n"/>
      <c r="R931" s="100" t="n"/>
      <c r="S931" s="98" t="n"/>
      <c r="T931" s="99" t="n"/>
      <c r="U931" s="99" t="n"/>
      <c r="V931" s="100" t="n"/>
      <c r="W931" s="98" t="n"/>
      <c r="X931" s="100" t="n"/>
      <c r="Y931" s="98" t="n"/>
      <c r="Z931" s="100" t="n"/>
      <c r="AB931" s="101">
        <f>IF($B931="","",(COUNTIF(C908:E925,$B931)+COUNTIF(C908:E925,$B931&amp;" ~*")&gt;0)+(COUNTIF(G908:I925,$B931)+COUNTIF(G908:I925,$B931&amp;" ~*")&gt;0)+(COUNTIF(K908:M925,$B931)+COUNTIF(K908:M925,$B931&amp;" ~*")&gt;0)+(COUNTIF(O908:Q925,$B931)+COUNTIF(O908:Q925,$B931&amp;" ~*")&gt;0)+(COUNTIF(S908:U925,$B931)+COUNTIF(S908:U925,$B931&amp;" ~*")&gt;0)+(COUNTIF(W908:W925,$B931)+COUNTIF(W908:W925,$B931&amp;" ~*")&gt;0)+(COUNTIF(Y908:Y925,$B931)+COUNTIF(Y908:Y925,$B931&amp;" ~*")&gt;0))</f>
        <v/>
      </c>
      <c r="AC931" s="36">
        <f>IF($B931="","",(IFERROR(INDEX(Setup!$G$33:$G$40,MATCH(C931,Setup!$B$33:$B$40,0)),0)=1)*(COUNTIF(C908:E925,$B931)+COUNTIF(C908:E925,$B931&amp;" ~*")&gt;0)+(IFERROR(INDEX(Setup!$G$33:$G$40,MATCH(G931,Setup!$B$33:$B$40,0)),0)=1)*(COUNTIF(G908:I925,$B931)+COUNTIF(G908:I925,$B931&amp;" ~*")&gt;0)+(IFERROR(INDEX(Setup!$G$33:$G$40,MATCH(K931,Setup!$B$33:$B$40,0)),0)=1)*(COUNTIF(K908:M925,$B931)+COUNTIF(K908:M925,$B931&amp;" ~*")&gt;0)+(IFERROR(INDEX(Setup!$G$33:$G$40,MATCH(O931,Setup!$B$33:$B$40,0)),0)=1)*(COUNTIF(O908:Q925,$B931)+COUNTIF(O908:Q925,$B931&amp;" ~*")&gt;0)+(IFERROR(INDEX(Setup!$G$33:$G$40,MATCH(S931,Setup!$B$33:$B$40,0)),0)=1)*(COUNTIF(S908:U925,$B931)+COUNTIF(S908:U925,$B931&amp;" ~*")&gt;0)+(IFERROR(INDEX(Setup!$G$33:$G$40,MATCH(W931,Setup!$B$33:$B$40,0)),0)=1)*(COUNTIF(W908:W925,$B931)+COUNTIF(W908:W925,$B931&amp;" ~*")&gt;0)+(IFERROR(INDEX(Setup!$G$33:$G$40,MATCH(Y931,Setup!$B$33:$B$40,0)),0)=1)*(COUNTIF(Y908:Y925,$B931)+COUNTIF(Y908:Y925,$B931&amp;" ~*")&gt;0))</f>
        <v/>
      </c>
    </row>
    <row r="932" ht="15" customHeight="1">
      <c r="A932" t="n">
        <v>19</v>
      </c>
      <c r="B932" s="37">
        <f>IF(Setup!$B$11="","",Setup!$B$11)</f>
        <v/>
      </c>
      <c r="C932" s="102" t="n"/>
      <c r="D932" s="103" t="n"/>
      <c r="E932" s="103" t="n"/>
      <c r="F932" s="104" t="n"/>
      <c r="G932" s="102" t="n"/>
      <c r="H932" s="103" t="n"/>
      <c r="I932" s="103" t="n"/>
      <c r="J932" s="104" t="n"/>
      <c r="K932" s="102" t="n"/>
      <c r="L932" s="103" t="n"/>
      <c r="M932" s="103" t="n"/>
      <c r="N932" s="104" t="n"/>
      <c r="O932" s="102" t="n"/>
      <c r="P932" s="103" t="n"/>
      <c r="Q932" s="103" t="n"/>
      <c r="R932" s="104" t="n"/>
      <c r="S932" s="102" t="n"/>
      <c r="T932" s="103" t="n"/>
      <c r="U932" s="103" t="n"/>
      <c r="V932" s="104" t="n"/>
      <c r="W932" s="102" t="n"/>
      <c r="X932" s="104" t="n"/>
      <c r="Y932" s="102" t="n"/>
      <c r="Z932" s="104" t="n"/>
      <c r="AB932" s="105">
        <f>IF($B932="","",(COUNTIF(C908:E925,$B932)+COUNTIF(C908:E925,$B932&amp;" ~*")&gt;0)+(COUNTIF(G908:I925,$B932)+COUNTIF(G908:I925,$B932&amp;" ~*")&gt;0)+(COUNTIF(K908:M925,$B932)+COUNTIF(K908:M925,$B932&amp;" ~*")&gt;0)+(COUNTIF(O908:Q925,$B932)+COUNTIF(O908:Q925,$B932&amp;" ~*")&gt;0)+(COUNTIF(S908:U925,$B932)+COUNTIF(S908:U925,$B932&amp;" ~*")&gt;0)+(COUNTIF(W908:W925,$B932)+COUNTIF(W908:W925,$B932&amp;" ~*")&gt;0)+(COUNTIF(Y908:Y925,$B932)+COUNTIF(Y908:Y925,$B932&amp;" ~*")&gt;0))</f>
        <v/>
      </c>
      <c r="AC932" s="38">
        <f>IF($B932="","",(IFERROR(INDEX(Setup!$G$33:$G$40,MATCH(C932,Setup!$B$33:$B$40,0)),0)=1)*(COUNTIF(C908:E925,$B932)+COUNTIF(C908:E925,$B932&amp;" ~*")&gt;0)+(IFERROR(INDEX(Setup!$G$33:$G$40,MATCH(G932,Setup!$B$33:$B$40,0)),0)=1)*(COUNTIF(G908:I925,$B932)+COUNTIF(G908:I925,$B932&amp;" ~*")&gt;0)+(IFERROR(INDEX(Setup!$G$33:$G$40,MATCH(K932,Setup!$B$33:$B$40,0)),0)=1)*(COUNTIF(K908:M925,$B932)+COUNTIF(K908:M925,$B932&amp;" ~*")&gt;0)+(IFERROR(INDEX(Setup!$G$33:$G$40,MATCH(O932,Setup!$B$33:$B$40,0)),0)=1)*(COUNTIF(O908:Q925,$B932)+COUNTIF(O908:Q925,$B932&amp;" ~*")&gt;0)+(IFERROR(INDEX(Setup!$G$33:$G$40,MATCH(S932,Setup!$B$33:$B$40,0)),0)=1)*(COUNTIF(S908:U925,$B932)+COUNTIF(S908:U925,$B932&amp;" ~*")&gt;0)+(IFERROR(INDEX(Setup!$G$33:$G$40,MATCH(W932,Setup!$B$33:$B$40,0)),0)=1)*(COUNTIF(W908:W925,$B932)+COUNTIF(W908:W925,$B932&amp;" ~*")&gt;0)+(IFERROR(INDEX(Setup!$G$33:$G$40,MATCH(Y932,Setup!$B$33:$B$40,0)),0)=1)*(COUNTIF(Y908:Y925,$B932)+COUNTIF(Y908:Y925,$B932&amp;" ~*")&gt;0))</f>
        <v/>
      </c>
    </row>
    <row r="933" ht="15" customHeight="1">
      <c r="A933" t="n">
        <v>19</v>
      </c>
      <c r="B933" s="35">
        <f>IF(Setup!$B$12="","",Setup!$B$12)</f>
        <v/>
      </c>
      <c r="C933" s="98" t="n"/>
      <c r="D933" s="99" t="n"/>
      <c r="E933" s="99" t="n"/>
      <c r="F933" s="100" t="n"/>
      <c r="G933" s="98" t="n"/>
      <c r="H933" s="99" t="n"/>
      <c r="I933" s="99" t="n"/>
      <c r="J933" s="100" t="n"/>
      <c r="K933" s="98" t="n"/>
      <c r="L933" s="99" t="n"/>
      <c r="M933" s="99" t="n"/>
      <c r="N933" s="100" t="n"/>
      <c r="O933" s="98" t="n"/>
      <c r="P933" s="99" t="n"/>
      <c r="Q933" s="99" t="n"/>
      <c r="R933" s="100" t="n"/>
      <c r="S933" s="98" t="n"/>
      <c r="T933" s="99" t="n"/>
      <c r="U933" s="99" t="n"/>
      <c r="V933" s="100" t="n"/>
      <c r="W933" s="98" t="n"/>
      <c r="X933" s="100" t="n"/>
      <c r="Y933" s="98" t="n"/>
      <c r="Z933" s="100" t="n"/>
      <c r="AB933" s="101">
        <f>IF($B933="","",(COUNTIF(C908:E925,$B933)+COUNTIF(C908:E925,$B933&amp;" ~*")&gt;0)+(COUNTIF(G908:I925,$B933)+COUNTIF(G908:I925,$B933&amp;" ~*")&gt;0)+(COUNTIF(K908:M925,$B933)+COUNTIF(K908:M925,$B933&amp;" ~*")&gt;0)+(COUNTIF(O908:Q925,$B933)+COUNTIF(O908:Q925,$B933&amp;" ~*")&gt;0)+(COUNTIF(S908:U925,$B933)+COUNTIF(S908:U925,$B933&amp;" ~*")&gt;0)+(COUNTIF(W908:W925,$B933)+COUNTIF(W908:W925,$B933&amp;" ~*")&gt;0)+(COUNTIF(Y908:Y925,$B933)+COUNTIF(Y908:Y925,$B933&amp;" ~*")&gt;0))</f>
        <v/>
      </c>
      <c r="AC933" s="36">
        <f>IF($B933="","",(IFERROR(INDEX(Setup!$G$33:$G$40,MATCH(C933,Setup!$B$33:$B$40,0)),0)=1)*(COUNTIF(C908:E925,$B933)+COUNTIF(C908:E925,$B933&amp;" ~*")&gt;0)+(IFERROR(INDEX(Setup!$G$33:$G$40,MATCH(G933,Setup!$B$33:$B$40,0)),0)=1)*(COUNTIF(G908:I925,$B933)+COUNTIF(G908:I925,$B933&amp;" ~*")&gt;0)+(IFERROR(INDEX(Setup!$G$33:$G$40,MATCH(K933,Setup!$B$33:$B$40,0)),0)=1)*(COUNTIF(K908:M925,$B933)+COUNTIF(K908:M925,$B933&amp;" ~*")&gt;0)+(IFERROR(INDEX(Setup!$G$33:$G$40,MATCH(O933,Setup!$B$33:$B$40,0)),0)=1)*(COUNTIF(O908:Q925,$B933)+COUNTIF(O908:Q925,$B933&amp;" ~*")&gt;0)+(IFERROR(INDEX(Setup!$G$33:$G$40,MATCH(S933,Setup!$B$33:$B$40,0)),0)=1)*(COUNTIF(S908:U925,$B933)+COUNTIF(S908:U925,$B933&amp;" ~*")&gt;0)+(IFERROR(INDEX(Setup!$G$33:$G$40,MATCH(W933,Setup!$B$33:$B$40,0)),0)=1)*(COUNTIF(W908:W925,$B933)+COUNTIF(W908:W925,$B933&amp;" ~*")&gt;0)+(IFERROR(INDEX(Setup!$G$33:$G$40,MATCH(Y933,Setup!$B$33:$B$40,0)),0)=1)*(COUNTIF(Y908:Y925,$B933)+COUNTIF(Y908:Y925,$B933&amp;" ~*")&gt;0))</f>
        <v/>
      </c>
    </row>
    <row r="934" ht="15" customHeight="1">
      <c r="A934" t="n">
        <v>19</v>
      </c>
      <c r="B934" s="37">
        <f>IF(Setup!$B$13="","",Setup!$B$13)</f>
        <v/>
      </c>
      <c r="C934" s="102" t="n"/>
      <c r="D934" s="103" t="n"/>
      <c r="E934" s="103" t="n"/>
      <c r="F934" s="104" t="n"/>
      <c r="G934" s="102" t="n"/>
      <c r="H934" s="103" t="n"/>
      <c r="I934" s="103" t="n"/>
      <c r="J934" s="104" t="n"/>
      <c r="K934" s="102" t="n"/>
      <c r="L934" s="103" t="n"/>
      <c r="M934" s="103" t="n"/>
      <c r="N934" s="104" t="n"/>
      <c r="O934" s="102" t="n"/>
      <c r="P934" s="103" t="n"/>
      <c r="Q934" s="103" t="n"/>
      <c r="R934" s="104" t="n"/>
      <c r="S934" s="102" t="n"/>
      <c r="T934" s="103" t="n"/>
      <c r="U934" s="103" t="n"/>
      <c r="V934" s="104" t="n"/>
      <c r="W934" s="102" t="n"/>
      <c r="X934" s="104" t="n"/>
      <c r="Y934" s="102" t="n"/>
      <c r="Z934" s="104" t="n"/>
      <c r="AB934" s="105">
        <f>IF($B934="","",(COUNTIF(C908:E925,$B934)+COUNTIF(C908:E925,$B934&amp;" ~*")&gt;0)+(COUNTIF(G908:I925,$B934)+COUNTIF(G908:I925,$B934&amp;" ~*")&gt;0)+(COUNTIF(K908:M925,$B934)+COUNTIF(K908:M925,$B934&amp;" ~*")&gt;0)+(COUNTIF(O908:Q925,$B934)+COUNTIF(O908:Q925,$B934&amp;" ~*")&gt;0)+(COUNTIF(S908:U925,$B934)+COUNTIF(S908:U925,$B934&amp;" ~*")&gt;0)+(COUNTIF(W908:W925,$B934)+COUNTIF(W908:W925,$B934&amp;" ~*")&gt;0)+(COUNTIF(Y908:Y925,$B934)+COUNTIF(Y908:Y925,$B934&amp;" ~*")&gt;0))</f>
        <v/>
      </c>
      <c r="AC934" s="38">
        <f>IF($B934="","",(IFERROR(INDEX(Setup!$G$33:$G$40,MATCH(C934,Setup!$B$33:$B$40,0)),0)=1)*(COUNTIF(C908:E925,$B934)+COUNTIF(C908:E925,$B934&amp;" ~*")&gt;0)+(IFERROR(INDEX(Setup!$G$33:$G$40,MATCH(G934,Setup!$B$33:$B$40,0)),0)=1)*(COUNTIF(G908:I925,$B934)+COUNTIF(G908:I925,$B934&amp;" ~*")&gt;0)+(IFERROR(INDEX(Setup!$G$33:$G$40,MATCH(K934,Setup!$B$33:$B$40,0)),0)=1)*(COUNTIF(K908:M925,$B934)+COUNTIF(K908:M925,$B934&amp;" ~*")&gt;0)+(IFERROR(INDEX(Setup!$G$33:$G$40,MATCH(O934,Setup!$B$33:$B$40,0)),0)=1)*(COUNTIF(O908:Q925,$B934)+COUNTIF(O908:Q925,$B934&amp;" ~*")&gt;0)+(IFERROR(INDEX(Setup!$G$33:$G$40,MATCH(S934,Setup!$B$33:$B$40,0)),0)=1)*(COUNTIF(S908:U925,$B934)+COUNTIF(S908:U925,$B934&amp;" ~*")&gt;0)+(IFERROR(INDEX(Setup!$G$33:$G$40,MATCH(W934,Setup!$B$33:$B$40,0)),0)=1)*(COUNTIF(W908:W925,$B934)+COUNTIF(W908:W925,$B934&amp;" ~*")&gt;0)+(IFERROR(INDEX(Setup!$G$33:$G$40,MATCH(Y934,Setup!$B$33:$B$40,0)),0)=1)*(COUNTIF(Y908:Y925,$B934)+COUNTIF(Y908:Y925,$B934&amp;" ~*")&gt;0))</f>
        <v/>
      </c>
    </row>
    <row r="935" ht="15" customHeight="1">
      <c r="A935" t="n">
        <v>19</v>
      </c>
      <c r="B935" s="35">
        <f>IF(Setup!$B$14="","",Setup!$B$14)</f>
        <v/>
      </c>
      <c r="C935" s="98" t="n"/>
      <c r="D935" s="99" t="n"/>
      <c r="E935" s="99" t="n"/>
      <c r="F935" s="100" t="n"/>
      <c r="G935" s="98" t="n"/>
      <c r="H935" s="99" t="n"/>
      <c r="I935" s="99" t="n"/>
      <c r="J935" s="100" t="n"/>
      <c r="K935" s="98" t="n"/>
      <c r="L935" s="99" t="n"/>
      <c r="M935" s="99" t="n"/>
      <c r="N935" s="100" t="n"/>
      <c r="O935" s="98" t="n"/>
      <c r="P935" s="99" t="n"/>
      <c r="Q935" s="99" t="n"/>
      <c r="R935" s="100" t="n"/>
      <c r="S935" s="98" t="n"/>
      <c r="T935" s="99" t="n"/>
      <c r="U935" s="99" t="n"/>
      <c r="V935" s="100" t="n"/>
      <c r="W935" s="98" t="n"/>
      <c r="X935" s="100" t="n"/>
      <c r="Y935" s="98" t="n"/>
      <c r="Z935" s="100" t="n"/>
      <c r="AB935" s="101">
        <f>IF($B935="","",(COUNTIF(C908:E925,$B935)+COUNTIF(C908:E925,$B935&amp;" ~*")&gt;0)+(COUNTIF(G908:I925,$B935)+COUNTIF(G908:I925,$B935&amp;" ~*")&gt;0)+(COUNTIF(K908:M925,$B935)+COUNTIF(K908:M925,$B935&amp;" ~*")&gt;0)+(COUNTIF(O908:Q925,$B935)+COUNTIF(O908:Q925,$B935&amp;" ~*")&gt;0)+(COUNTIF(S908:U925,$B935)+COUNTIF(S908:U925,$B935&amp;" ~*")&gt;0)+(COUNTIF(W908:W925,$B935)+COUNTIF(W908:W925,$B935&amp;" ~*")&gt;0)+(COUNTIF(Y908:Y925,$B935)+COUNTIF(Y908:Y925,$B935&amp;" ~*")&gt;0))</f>
        <v/>
      </c>
      <c r="AC935" s="36">
        <f>IF($B935="","",(IFERROR(INDEX(Setup!$G$33:$G$40,MATCH(C935,Setup!$B$33:$B$40,0)),0)=1)*(COUNTIF(C908:E925,$B935)+COUNTIF(C908:E925,$B935&amp;" ~*")&gt;0)+(IFERROR(INDEX(Setup!$G$33:$G$40,MATCH(G935,Setup!$B$33:$B$40,0)),0)=1)*(COUNTIF(G908:I925,$B935)+COUNTIF(G908:I925,$B935&amp;" ~*")&gt;0)+(IFERROR(INDEX(Setup!$G$33:$G$40,MATCH(K935,Setup!$B$33:$B$40,0)),0)=1)*(COUNTIF(K908:M925,$B935)+COUNTIF(K908:M925,$B935&amp;" ~*")&gt;0)+(IFERROR(INDEX(Setup!$G$33:$G$40,MATCH(O935,Setup!$B$33:$B$40,0)),0)=1)*(COUNTIF(O908:Q925,$B935)+COUNTIF(O908:Q925,$B935&amp;" ~*")&gt;0)+(IFERROR(INDEX(Setup!$G$33:$G$40,MATCH(S935,Setup!$B$33:$B$40,0)),0)=1)*(COUNTIF(S908:U925,$B935)+COUNTIF(S908:U925,$B935&amp;" ~*")&gt;0)+(IFERROR(INDEX(Setup!$G$33:$G$40,MATCH(W935,Setup!$B$33:$B$40,0)),0)=1)*(COUNTIF(W908:W925,$B935)+COUNTIF(W908:W925,$B935&amp;" ~*")&gt;0)+(IFERROR(INDEX(Setup!$G$33:$G$40,MATCH(Y935,Setup!$B$33:$B$40,0)),0)=1)*(COUNTIF(Y908:Y925,$B935)+COUNTIF(Y908:Y925,$B935&amp;" ~*")&gt;0))</f>
        <v/>
      </c>
    </row>
    <row r="936" ht="15" customHeight="1">
      <c r="A936" t="n">
        <v>19</v>
      </c>
      <c r="B936" s="37">
        <f>IF(Setup!$B$15="","",Setup!$B$15)</f>
        <v/>
      </c>
      <c r="C936" s="102" t="n"/>
      <c r="D936" s="103" t="n"/>
      <c r="E936" s="103" t="n"/>
      <c r="F936" s="104" t="n"/>
      <c r="G936" s="102" t="n"/>
      <c r="H936" s="103" t="n"/>
      <c r="I936" s="103" t="n"/>
      <c r="J936" s="104" t="n"/>
      <c r="K936" s="102" t="n"/>
      <c r="L936" s="103" t="n"/>
      <c r="M936" s="103" t="n"/>
      <c r="N936" s="104" t="n"/>
      <c r="O936" s="102" t="n"/>
      <c r="P936" s="103" t="n"/>
      <c r="Q936" s="103" t="n"/>
      <c r="R936" s="104" t="n"/>
      <c r="S936" s="102" t="n"/>
      <c r="T936" s="103" t="n"/>
      <c r="U936" s="103" t="n"/>
      <c r="V936" s="104" t="n"/>
      <c r="W936" s="102" t="n"/>
      <c r="X936" s="104" t="n"/>
      <c r="Y936" s="102" t="n"/>
      <c r="Z936" s="104" t="n"/>
      <c r="AB936" s="105">
        <f>IF($B936="","",(COUNTIF(C908:E925,$B936)+COUNTIF(C908:E925,$B936&amp;" ~*")&gt;0)+(COUNTIF(G908:I925,$B936)+COUNTIF(G908:I925,$B936&amp;" ~*")&gt;0)+(COUNTIF(K908:M925,$B936)+COUNTIF(K908:M925,$B936&amp;" ~*")&gt;0)+(COUNTIF(O908:Q925,$B936)+COUNTIF(O908:Q925,$B936&amp;" ~*")&gt;0)+(COUNTIF(S908:U925,$B936)+COUNTIF(S908:U925,$B936&amp;" ~*")&gt;0)+(COUNTIF(W908:W925,$B936)+COUNTIF(W908:W925,$B936&amp;" ~*")&gt;0)+(COUNTIF(Y908:Y925,$B936)+COUNTIF(Y908:Y925,$B936&amp;" ~*")&gt;0))</f>
        <v/>
      </c>
      <c r="AC936" s="38">
        <f>IF($B936="","",(IFERROR(INDEX(Setup!$G$33:$G$40,MATCH(C936,Setup!$B$33:$B$40,0)),0)=1)*(COUNTIF(C908:E925,$B936)+COUNTIF(C908:E925,$B936&amp;" ~*")&gt;0)+(IFERROR(INDEX(Setup!$G$33:$G$40,MATCH(G936,Setup!$B$33:$B$40,0)),0)=1)*(COUNTIF(G908:I925,$B936)+COUNTIF(G908:I925,$B936&amp;" ~*")&gt;0)+(IFERROR(INDEX(Setup!$G$33:$G$40,MATCH(K936,Setup!$B$33:$B$40,0)),0)=1)*(COUNTIF(K908:M925,$B936)+COUNTIF(K908:M925,$B936&amp;" ~*")&gt;0)+(IFERROR(INDEX(Setup!$G$33:$G$40,MATCH(O936,Setup!$B$33:$B$40,0)),0)=1)*(COUNTIF(O908:Q925,$B936)+COUNTIF(O908:Q925,$B936&amp;" ~*")&gt;0)+(IFERROR(INDEX(Setup!$G$33:$G$40,MATCH(S936,Setup!$B$33:$B$40,0)),0)=1)*(COUNTIF(S908:U925,$B936)+COUNTIF(S908:U925,$B936&amp;" ~*")&gt;0)+(IFERROR(INDEX(Setup!$G$33:$G$40,MATCH(W936,Setup!$B$33:$B$40,0)),0)=1)*(COUNTIF(W908:W925,$B936)+COUNTIF(W908:W925,$B936&amp;" ~*")&gt;0)+(IFERROR(INDEX(Setup!$G$33:$G$40,MATCH(Y936,Setup!$B$33:$B$40,0)),0)=1)*(COUNTIF(Y908:Y925,$B936)+COUNTIF(Y908:Y925,$B936&amp;" ~*")&gt;0))</f>
        <v/>
      </c>
    </row>
    <row r="937" ht="15" customHeight="1">
      <c r="A937" t="n">
        <v>19</v>
      </c>
      <c r="B937" s="35">
        <f>IF(Setup!$B$16="","",Setup!$B$16)</f>
        <v/>
      </c>
      <c r="C937" s="98" t="n"/>
      <c r="D937" s="99" t="n"/>
      <c r="E937" s="99" t="n"/>
      <c r="F937" s="100" t="n"/>
      <c r="G937" s="98" t="n"/>
      <c r="H937" s="99" t="n"/>
      <c r="I937" s="99" t="n"/>
      <c r="J937" s="100" t="n"/>
      <c r="K937" s="98" t="n"/>
      <c r="L937" s="99" t="n"/>
      <c r="M937" s="99" t="n"/>
      <c r="N937" s="100" t="n"/>
      <c r="O937" s="98" t="n"/>
      <c r="P937" s="99" t="n"/>
      <c r="Q937" s="99" t="n"/>
      <c r="R937" s="100" t="n"/>
      <c r="S937" s="98" t="n"/>
      <c r="T937" s="99" t="n"/>
      <c r="U937" s="99" t="n"/>
      <c r="V937" s="100" t="n"/>
      <c r="W937" s="98" t="n"/>
      <c r="X937" s="100" t="n"/>
      <c r="Y937" s="98" t="n"/>
      <c r="Z937" s="100" t="n"/>
      <c r="AB937" s="101">
        <f>IF($B937="","",(COUNTIF(C908:E925,$B937)+COUNTIF(C908:E925,$B937&amp;" ~*")&gt;0)+(COUNTIF(G908:I925,$B937)+COUNTIF(G908:I925,$B937&amp;" ~*")&gt;0)+(COUNTIF(K908:M925,$B937)+COUNTIF(K908:M925,$B937&amp;" ~*")&gt;0)+(COUNTIF(O908:Q925,$B937)+COUNTIF(O908:Q925,$B937&amp;" ~*")&gt;0)+(COUNTIF(S908:U925,$B937)+COUNTIF(S908:U925,$B937&amp;" ~*")&gt;0)+(COUNTIF(W908:W925,$B937)+COUNTIF(W908:W925,$B937&amp;" ~*")&gt;0)+(COUNTIF(Y908:Y925,$B937)+COUNTIF(Y908:Y925,$B937&amp;" ~*")&gt;0))</f>
        <v/>
      </c>
      <c r="AC937" s="36">
        <f>IF($B937="","",(IFERROR(INDEX(Setup!$G$33:$G$40,MATCH(C937,Setup!$B$33:$B$40,0)),0)=1)*(COUNTIF(C908:E925,$B937)+COUNTIF(C908:E925,$B937&amp;" ~*")&gt;0)+(IFERROR(INDEX(Setup!$G$33:$G$40,MATCH(G937,Setup!$B$33:$B$40,0)),0)=1)*(COUNTIF(G908:I925,$B937)+COUNTIF(G908:I925,$B937&amp;" ~*")&gt;0)+(IFERROR(INDEX(Setup!$G$33:$G$40,MATCH(K937,Setup!$B$33:$B$40,0)),0)=1)*(COUNTIF(K908:M925,$B937)+COUNTIF(K908:M925,$B937&amp;" ~*")&gt;0)+(IFERROR(INDEX(Setup!$G$33:$G$40,MATCH(O937,Setup!$B$33:$B$40,0)),0)=1)*(COUNTIF(O908:Q925,$B937)+COUNTIF(O908:Q925,$B937&amp;" ~*")&gt;0)+(IFERROR(INDEX(Setup!$G$33:$G$40,MATCH(S937,Setup!$B$33:$B$40,0)),0)=1)*(COUNTIF(S908:U925,$B937)+COUNTIF(S908:U925,$B937&amp;" ~*")&gt;0)+(IFERROR(INDEX(Setup!$G$33:$G$40,MATCH(W937,Setup!$B$33:$B$40,0)),0)=1)*(COUNTIF(W908:W925,$B937)+COUNTIF(W908:W925,$B937&amp;" ~*")&gt;0)+(IFERROR(INDEX(Setup!$G$33:$G$40,MATCH(Y937,Setup!$B$33:$B$40,0)),0)=1)*(COUNTIF(Y908:Y925,$B937)+COUNTIF(Y908:Y925,$B937&amp;" ~*")&gt;0))</f>
        <v/>
      </c>
    </row>
    <row r="938" ht="15" customHeight="1">
      <c r="A938" t="n">
        <v>19</v>
      </c>
      <c r="B938" s="37">
        <f>IF(Setup!$B$17="","",Setup!$B$17)</f>
        <v/>
      </c>
      <c r="C938" s="102" t="n"/>
      <c r="D938" s="103" t="n"/>
      <c r="E938" s="103" t="n"/>
      <c r="F938" s="104" t="n"/>
      <c r="G938" s="102" t="n"/>
      <c r="H938" s="103" t="n"/>
      <c r="I938" s="103" t="n"/>
      <c r="J938" s="104" t="n"/>
      <c r="K938" s="102" t="n"/>
      <c r="L938" s="103" t="n"/>
      <c r="M938" s="103" t="n"/>
      <c r="N938" s="104" t="n"/>
      <c r="O938" s="102" t="n"/>
      <c r="P938" s="103" t="n"/>
      <c r="Q938" s="103" t="n"/>
      <c r="R938" s="104" t="n"/>
      <c r="S938" s="102" t="n"/>
      <c r="T938" s="103" t="n"/>
      <c r="U938" s="103" t="n"/>
      <c r="V938" s="104" t="n"/>
      <c r="W938" s="102" t="n"/>
      <c r="X938" s="104" t="n"/>
      <c r="Y938" s="102" t="n"/>
      <c r="Z938" s="104" t="n"/>
      <c r="AB938" s="105">
        <f>IF($B938="","",(COUNTIF(C908:E925,$B938)+COUNTIF(C908:E925,$B938&amp;" ~*")&gt;0)+(COUNTIF(G908:I925,$B938)+COUNTIF(G908:I925,$B938&amp;" ~*")&gt;0)+(COUNTIF(K908:M925,$B938)+COUNTIF(K908:M925,$B938&amp;" ~*")&gt;0)+(COUNTIF(O908:Q925,$B938)+COUNTIF(O908:Q925,$B938&amp;" ~*")&gt;0)+(COUNTIF(S908:U925,$B938)+COUNTIF(S908:U925,$B938&amp;" ~*")&gt;0)+(COUNTIF(W908:W925,$B938)+COUNTIF(W908:W925,$B938&amp;" ~*")&gt;0)+(COUNTIF(Y908:Y925,$B938)+COUNTIF(Y908:Y925,$B938&amp;" ~*")&gt;0))</f>
        <v/>
      </c>
      <c r="AC938" s="38">
        <f>IF($B938="","",(IFERROR(INDEX(Setup!$G$33:$G$40,MATCH(C938,Setup!$B$33:$B$40,0)),0)=1)*(COUNTIF(C908:E925,$B938)+COUNTIF(C908:E925,$B938&amp;" ~*")&gt;0)+(IFERROR(INDEX(Setup!$G$33:$G$40,MATCH(G938,Setup!$B$33:$B$40,0)),0)=1)*(COUNTIF(G908:I925,$B938)+COUNTIF(G908:I925,$B938&amp;" ~*")&gt;0)+(IFERROR(INDEX(Setup!$G$33:$G$40,MATCH(K938,Setup!$B$33:$B$40,0)),0)=1)*(COUNTIF(K908:M925,$B938)+COUNTIF(K908:M925,$B938&amp;" ~*")&gt;0)+(IFERROR(INDEX(Setup!$G$33:$G$40,MATCH(O938,Setup!$B$33:$B$40,0)),0)=1)*(COUNTIF(O908:Q925,$B938)+COUNTIF(O908:Q925,$B938&amp;" ~*")&gt;0)+(IFERROR(INDEX(Setup!$G$33:$G$40,MATCH(S938,Setup!$B$33:$B$40,0)),0)=1)*(COUNTIF(S908:U925,$B938)+COUNTIF(S908:U925,$B938&amp;" ~*")&gt;0)+(IFERROR(INDEX(Setup!$G$33:$G$40,MATCH(W938,Setup!$B$33:$B$40,0)),0)=1)*(COUNTIF(W908:W925,$B938)+COUNTIF(W908:W925,$B938&amp;" ~*")&gt;0)+(IFERROR(INDEX(Setup!$G$33:$G$40,MATCH(Y938,Setup!$B$33:$B$40,0)),0)=1)*(COUNTIF(Y908:Y925,$B938)+COUNTIF(Y908:Y925,$B938&amp;" ~*")&gt;0))</f>
        <v/>
      </c>
    </row>
    <row r="939" ht="15" customHeight="1">
      <c r="A939" t="n">
        <v>19</v>
      </c>
      <c r="B939" s="35">
        <f>IF(Setup!$B$18="","",Setup!$B$18)</f>
        <v/>
      </c>
      <c r="C939" s="98" t="n"/>
      <c r="D939" s="99" t="n"/>
      <c r="E939" s="99" t="n"/>
      <c r="F939" s="100" t="n"/>
      <c r="G939" s="98" t="n"/>
      <c r="H939" s="99" t="n"/>
      <c r="I939" s="99" t="n"/>
      <c r="J939" s="100" t="n"/>
      <c r="K939" s="98" t="n"/>
      <c r="L939" s="99" t="n"/>
      <c r="M939" s="99" t="n"/>
      <c r="N939" s="100" t="n"/>
      <c r="O939" s="98" t="n"/>
      <c r="P939" s="99" t="n"/>
      <c r="Q939" s="99" t="n"/>
      <c r="R939" s="100" t="n"/>
      <c r="S939" s="98" t="n"/>
      <c r="T939" s="99" t="n"/>
      <c r="U939" s="99" t="n"/>
      <c r="V939" s="100" t="n"/>
      <c r="W939" s="98" t="n"/>
      <c r="X939" s="100" t="n"/>
      <c r="Y939" s="98" t="n"/>
      <c r="Z939" s="100" t="n"/>
      <c r="AB939" s="101">
        <f>IF($B939="","",(COUNTIF(C908:E925,$B939)+COUNTIF(C908:E925,$B939&amp;" ~*")&gt;0)+(COUNTIF(G908:I925,$B939)+COUNTIF(G908:I925,$B939&amp;" ~*")&gt;0)+(COUNTIF(K908:M925,$B939)+COUNTIF(K908:M925,$B939&amp;" ~*")&gt;0)+(COUNTIF(O908:Q925,$B939)+COUNTIF(O908:Q925,$B939&amp;" ~*")&gt;0)+(COUNTIF(S908:U925,$B939)+COUNTIF(S908:U925,$B939&amp;" ~*")&gt;0)+(COUNTIF(W908:W925,$B939)+COUNTIF(W908:W925,$B939&amp;" ~*")&gt;0)+(COUNTIF(Y908:Y925,$B939)+COUNTIF(Y908:Y925,$B939&amp;" ~*")&gt;0))</f>
        <v/>
      </c>
      <c r="AC939" s="36">
        <f>IF($B939="","",(IFERROR(INDEX(Setup!$G$33:$G$40,MATCH(C939,Setup!$B$33:$B$40,0)),0)=1)*(COUNTIF(C908:E925,$B939)+COUNTIF(C908:E925,$B939&amp;" ~*")&gt;0)+(IFERROR(INDEX(Setup!$G$33:$G$40,MATCH(G939,Setup!$B$33:$B$40,0)),0)=1)*(COUNTIF(G908:I925,$B939)+COUNTIF(G908:I925,$B939&amp;" ~*")&gt;0)+(IFERROR(INDEX(Setup!$G$33:$G$40,MATCH(K939,Setup!$B$33:$B$40,0)),0)=1)*(COUNTIF(K908:M925,$B939)+COUNTIF(K908:M925,$B939&amp;" ~*")&gt;0)+(IFERROR(INDEX(Setup!$G$33:$G$40,MATCH(O939,Setup!$B$33:$B$40,0)),0)=1)*(COUNTIF(O908:Q925,$B939)+COUNTIF(O908:Q925,$B939&amp;" ~*")&gt;0)+(IFERROR(INDEX(Setup!$G$33:$G$40,MATCH(S939,Setup!$B$33:$B$40,0)),0)=1)*(COUNTIF(S908:U925,$B939)+COUNTIF(S908:U925,$B939&amp;" ~*")&gt;0)+(IFERROR(INDEX(Setup!$G$33:$G$40,MATCH(W939,Setup!$B$33:$B$40,0)),0)=1)*(COUNTIF(W908:W925,$B939)+COUNTIF(W908:W925,$B939&amp;" ~*")&gt;0)+(IFERROR(INDEX(Setup!$G$33:$G$40,MATCH(Y939,Setup!$B$33:$B$40,0)),0)=1)*(COUNTIF(Y908:Y925,$B939)+COUNTIF(Y908:Y925,$B939&amp;" ~*")&gt;0))</f>
        <v/>
      </c>
    </row>
    <row r="940" ht="15" customHeight="1">
      <c r="A940" t="n">
        <v>19</v>
      </c>
      <c r="B940" s="37">
        <f>IF(Setup!$B$19="","",Setup!$B$19)</f>
        <v/>
      </c>
      <c r="C940" s="102" t="n"/>
      <c r="D940" s="103" t="n"/>
      <c r="E940" s="103" t="n"/>
      <c r="F940" s="104" t="n"/>
      <c r="G940" s="102" t="n"/>
      <c r="H940" s="103" t="n"/>
      <c r="I940" s="103" t="n"/>
      <c r="J940" s="104" t="n"/>
      <c r="K940" s="102" t="n"/>
      <c r="L940" s="103" t="n"/>
      <c r="M940" s="103" t="n"/>
      <c r="N940" s="104" t="n"/>
      <c r="O940" s="102" t="n"/>
      <c r="P940" s="103" t="n"/>
      <c r="Q940" s="103" t="n"/>
      <c r="R940" s="104" t="n"/>
      <c r="S940" s="102" t="n"/>
      <c r="T940" s="103" t="n"/>
      <c r="U940" s="103" t="n"/>
      <c r="V940" s="104" t="n"/>
      <c r="W940" s="102" t="n"/>
      <c r="X940" s="104" t="n"/>
      <c r="Y940" s="102" t="n"/>
      <c r="Z940" s="104" t="n"/>
      <c r="AB940" s="105">
        <f>IF($B940="","",(COUNTIF(C908:E925,$B940)+COUNTIF(C908:E925,$B940&amp;" ~*")&gt;0)+(COUNTIF(G908:I925,$B940)+COUNTIF(G908:I925,$B940&amp;" ~*")&gt;0)+(COUNTIF(K908:M925,$B940)+COUNTIF(K908:M925,$B940&amp;" ~*")&gt;0)+(COUNTIF(O908:Q925,$B940)+COUNTIF(O908:Q925,$B940&amp;" ~*")&gt;0)+(COUNTIF(S908:U925,$B940)+COUNTIF(S908:U925,$B940&amp;" ~*")&gt;0)+(COUNTIF(W908:W925,$B940)+COUNTIF(W908:W925,$B940&amp;" ~*")&gt;0)+(COUNTIF(Y908:Y925,$B940)+COUNTIF(Y908:Y925,$B940&amp;" ~*")&gt;0))</f>
        <v/>
      </c>
      <c r="AC940" s="38">
        <f>IF($B940="","",(IFERROR(INDEX(Setup!$G$33:$G$40,MATCH(C940,Setup!$B$33:$B$40,0)),0)=1)*(COUNTIF(C908:E925,$B940)+COUNTIF(C908:E925,$B940&amp;" ~*")&gt;0)+(IFERROR(INDEX(Setup!$G$33:$G$40,MATCH(G940,Setup!$B$33:$B$40,0)),0)=1)*(COUNTIF(G908:I925,$B940)+COUNTIF(G908:I925,$B940&amp;" ~*")&gt;0)+(IFERROR(INDEX(Setup!$G$33:$G$40,MATCH(K940,Setup!$B$33:$B$40,0)),0)=1)*(COUNTIF(K908:M925,$B940)+COUNTIF(K908:M925,$B940&amp;" ~*")&gt;0)+(IFERROR(INDEX(Setup!$G$33:$G$40,MATCH(O940,Setup!$B$33:$B$40,0)),0)=1)*(COUNTIF(O908:Q925,$B940)+COUNTIF(O908:Q925,$B940&amp;" ~*")&gt;0)+(IFERROR(INDEX(Setup!$G$33:$G$40,MATCH(S940,Setup!$B$33:$B$40,0)),0)=1)*(COUNTIF(S908:U925,$B940)+COUNTIF(S908:U925,$B940&amp;" ~*")&gt;0)+(IFERROR(INDEX(Setup!$G$33:$G$40,MATCH(W940,Setup!$B$33:$B$40,0)),0)=1)*(COUNTIF(W908:W925,$B940)+COUNTIF(W908:W925,$B940&amp;" ~*")&gt;0)+(IFERROR(INDEX(Setup!$G$33:$G$40,MATCH(Y940,Setup!$B$33:$B$40,0)),0)=1)*(COUNTIF(Y908:Y925,$B940)+COUNTIF(Y908:Y925,$B940&amp;" ~*")&gt;0))</f>
        <v/>
      </c>
    </row>
    <row r="941" ht="15" customHeight="1">
      <c r="A941" t="n">
        <v>19</v>
      </c>
      <c r="B941" s="35">
        <f>IF(Setup!$B$20="","",Setup!$B$20)</f>
        <v/>
      </c>
      <c r="C941" s="98" t="n"/>
      <c r="D941" s="99" t="n"/>
      <c r="E941" s="99" t="n"/>
      <c r="F941" s="100" t="n"/>
      <c r="G941" s="98" t="n"/>
      <c r="H941" s="99" t="n"/>
      <c r="I941" s="99" t="n"/>
      <c r="J941" s="100" t="n"/>
      <c r="K941" s="98" t="n"/>
      <c r="L941" s="99" t="n"/>
      <c r="M941" s="99" t="n"/>
      <c r="N941" s="100" t="n"/>
      <c r="O941" s="98" t="n"/>
      <c r="P941" s="99" t="n"/>
      <c r="Q941" s="99" t="n"/>
      <c r="R941" s="100" t="n"/>
      <c r="S941" s="98" t="n"/>
      <c r="T941" s="99" t="n"/>
      <c r="U941" s="99" t="n"/>
      <c r="V941" s="100" t="n"/>
      <c r="W941" s="98" t="n"/>
      <c r="X941" s="100" t="n"/>
      <c r="Y941" s="98" t="n"/>
      <c r="Z941" s="100" t="n"/>
      <c r="AB941" s="101">
        <f>IF($B941="","",(COUNTIF(C908:E925,$B941)+COUNTIF(C908:E925,$B941&amp;" ~*")&gt;0)+(COUNTIF(G908:I925,$B941)+COUNTIF(G908:I925,$B941&amp;" ~*")&gt;0)+(COUNTIF(K908:M925,$B941)+COUNTIF(K908:M925,$B941&amp;" ~*")&gt;0)+(COUNTIF(O908:Q925,$B941)+COUNTIF(O908:Q925,$B941&amp;" ~*")&gt;0)+(COUNTIF(S908:U925,$B941)+COUNTIF(S908:U925,$B941&amp;" ~*")&gt;0)+(COUNTIF(W908:W925,$B941)+COUNTIF(W908:W925,$B941&amp;" ~*")&gt;0)+(COUNTIF(Y908:Y925,$B941)+COUNTIF(Y908:Y925,$B941&amp;" ~*")&gt;0))</f>
        <v/>
      </c>
      <c r="AC941" s="36">
        <f>IF($B941="","",(IFERROR(INDEX(Setup!$G$33:$G$40,MATCH(C941,Setup!$B$33:$B$40,0)),0)=1)*(COUNTIF(C908:E925,$B941)+COUNTIF(C908:E925,$B941&amp;" ~*")&gt;0)+(IFERROR(INDEX(Setup!$G$33:$G$40,MATCH(G941,Setup!$B$33:$B$40,0)),0)=1)*(COUNTIF(G908:I925,$B941)+COUNTIF(G908:I925,$B941&amp;" ~*")&gt;0)+(IFERROR(INDEX(Setup!$G$33:$G$40,MATCH(K941,Setup!$B$33:$B$40,0)),0)=1)*(COUNTIF(K908:M925,$B941)+COUNTIF(K908:M925,$B941&amp;" ~*")&gt;0)+(IFERROR(INDEX(Setup!$G$33:$G$40,MATCH(O941,Setup!$B$33:$B$40,0)),0)=1)*(COUNTIF(O908:Q925,$B941)+COUNTIF(O908:Q925,$B941&amp;" ~*")&gt;0)+(IFERROR(INDEX(Setup!$G$33:$G$40,MATCH(S941,Setup!$B$33:$B$40,0)),0)=1)*(COUNTIF(S908:U925,$B941)+COUNTIF(S908:U925,$B941&amp;" ~*")&gt;0)+(IFERROR(INDEX(Setup!$G$33:$G$40,MATCH(W941,Setup!$B$33:$B$40,0)),0)=1)*(COUNTIF(W908:W925,$B941)+COUNTIF(W908:W925,$B941&amp;" ~*")&gt;0)+(IFERROR(INDEX(Setup!$G$33:$G$40,MATCH(Y941,Setup!$B$33:$B$40,0)),0)=1)*(COUNTIF(Y908:Y925,$B941)+COUNTIF(Y908:Y925,$B941&amp;" ~*")&gt;0))</f>
        <v/>
      </c>
    </row>
    <row r="942" ht="15" customHeight="1">
      <c r="A942" t="n">
        <v>19</v>
      </c>
      <c r="B942" s="37">
        <f>IF(Setup!$B$21="","",Setup!$B$21)</f>
        <v/>
      </c>
      <c r="C942" s="102" t="n"/>
      <c r="D942" s="103" t="n"/>
      <c r="E942" s="103" t="n"/>
      <c r="F942" s="104" t="n"/>
      <c r="G942" s="102" t="n"/>
      <c r="H942" s="103" t="n"/>
      <c r="I942" s="103" t="n"/>
      <c r="J942" s="104" t="n"/>
      <c r="K942" s="102" t="n"/>
      <c r="L942" s="103" t="n"/>
      <c r="M942" s="103" t="n"/>
      <c r="N942" s="104" t="n"/>
      <c r="O942" s="102" t="n"/>
      <c r="P942" s="103" t="n"/>
      <c r="Q942" s="103" t="n"/>
      <c r="R942" s="104" t="n"/>
      <c r="S942" s="102" t="n"/>
      <c r="T942" s="103" t="n"/>
      <c r="U942" s="103" t="n"/>
      <c r="V942" s="104" t="n"/>
      <c r="W942" s="102" t="n"/>
      <c r="X942" s="104" t="n"/>
      <c r="Y942" s="102" t="n"/>
      <c r="Z942" s="104" t="n"/>
      <c r="AB942" s="105">
        <f>IF($B942="","",(COUNTIF(C908:E925,$B942)+COUNTIF(C908:E925,$B942&amp;" ~*")&gt;0)+(COUNTIF(G908:I925,$B942)+COUNTIF(G908:I925,$B942&amp;" ~*")&gt;0)+(COUNTIF(K908:M925,$B942)+COUNTIF(K908:M925,$B942&amp;" ~*")&gt;0)+(COUNTIF(O908:Q925,$B942)+COUNTIF(O908:Q925,$B942&amp;" ~*")&gt;0)+(COUNTIF(S908:U925,$B942)+COUNTIF(S908:U925,$B942&amp;" ~*")&gt;0)+(COUNTIF(W908:W925,$B942)+COUNTIF(W908:W925,$B942&amp;" ~*")&gt;0)+(COUNTIF(Y908:Y925,$B942)+COUNTIF(Y908:Y925,$B942&amp;" ~*")&gt;0))</f>
        <v/>
      </c>
      <c r="AC942" s="38">
        <f>IF($B942="","",(IFERROR(INDEX(Setup!$G$33:$G$40,MATCH(C942,Setup!$B$33:$B$40,0)),0)=1)*(COUNTIF(C908:E925,$B942)+COUNTIF(C908:E925,$B942&amp;" ~*")&gt;0)+(IFERROR(INDEX(Setup!$G$33:$G$40,MATCH(G942,Setup!$B$33:$B$40,0)),0)=1)*(COUNTIF(G908:I925,$B942)+COUNTIF(G908:I925,$B942&amp;" ~*")&gt;0)+(IFERROR(INDEX(Setup!$G$33:$G$40,MATCH(K942,Setup!$B$33:$B$40,0)),0)=1)*(COUNTIF(K908:M925,$B942)+COUNTIF(K908:M925,$B942&amp;" ~*")&gt;0)+(IFERROR(INDEX(Setup!$G$33:$G$40,MATCH(O942,Setup!$B$33:$B$40,0)),0)=1)*(COUNTIF(O908:Q925,$B942)+COUNTIF(O908:Q925,$B942&amp;" ~*")&gt;0)+(IFERROR(INDEX(Setup!$G$33:$G$40,MATCH(S942,Setup!$B$33:$B$40,0)),0)=1)*(COUNTIF(S908:U925,$B942)+COUNTIF(S908:U925,$B942&amp;" ~*")&gt;0)+(IFERROR(INDEX(Setup!$G$33:$G$40,MATCH(W942,Setup!$B$33:$B$40,0)),0)=1)*(COUNTIF(W908:W925,$B942)+COUNTIF(W908:W925,$B942&amp;" ~*")&gt;0)+(IFERROR(INDEX(Setup!$G$33:$G$40,MATCH(Y942,Setup!$B$33:$B$40,0)),0)=1)*(COUNTIF(Y908:Y925,$B942)+COUNTIF(Y908:Y925,$B942&amp;" ~*")&gt;0))</f>
        <v/>
      </c>
    </row>
    <row r="943" ht="15" customHeight="1">
      <c r="A943" t="n">
        <v>19</v>
      </c>
      <c r="B943" s="35">
        <f>IF(Setup!$B$22="","",Setup!$B$22)</f>
        <v/>
      </c>
      <c r="C943" s="98" t="n"/>
      <c r="D943" s="99" t="n"/>
      <c r="E943" s="99" t="n"/>
      <c r="F943" s="100" t="n"/>
      <c r="G943" s="98" t="n"/>
      <c r="H943" s="99" t="n"/>
      <c r="I943" s="99" t="n"/>
      <c r="J943" s="100" t="n"/>
      <c r="K943" s="98" t="n"/>
      <c r="L943" s="99" t="n"/>
      <c r="M943" s="99" t="n"/>
      <c r="N943" s="100" t="n"/>
      <c r="O943" s="98" t="n"/>
      <c r="P943" s="99" t="n"/>
      <c r="Q943" s="99" t="n"/>
      <c r="R943" s="100" t="n"/>
      <c r="S943" s="98" t="n"/>
      <c r="T943" s="99" t="n"/>
      <c r="U943" s="99" t="n"/>
      <c r="V943" s="100" t="n"/>
      <c r="W943" s="98" t="n"/>
      <c r="X943" s="100" t="n"/>
      <c r="Y943" s="98" t="n"/>
      <c r="Z943" s="100" t="n"/>
      <c r="AB943" s="101">
        <f>IF($B943="","",(COUNTIF(C908:E925,$B943)+COUNTIF(C908:E925,$B943&amp;" ~*")&gt;0)+(COUNTIF(G908:I925,$B943)+COUNTIF(G908:I925,$B943&amp;" ~*")&gt;0)+(COUNTIF(K908:M925,$B943)+COUNTIF(K908:M925,$B943&amp;" ~*")&gt;0)+(COUNTIF(O908:Q925,$B943)+COUNTIF(O908:Q925,$B943&amp;" ~*")&gt;0)+(COUNTIF(S908:U925,$B943)+COUNTIF(S908:U925,$B943&amp;" ~*")&gt;0)+(COUNTIF(W908:W925,$B943)+COUNTIF(W908:W925,$B943&amp;" ~*")&gt;0)+(COUNTIF(Y908:Y925,$B943)+COUNTIF(Y908:Y925,$B943&amp;" ~*")&gt;0))</f>
        <v/>
      </c>
      <c r="AC943" s="36">
        <f>IF($B943="","",(IFERROR(INDEX(Setup!$G$33:$G$40,MATCH(C943,Setup!$B$33:$B$40,0)),0)=1)*(COUNTIF(C908:E925,$B943)+COUNTIF(C908:E925,$B943&amp;" ~*")&gt;0)+(IFERROR(INDEX(Setup!$G$33:$G$40,MATCH(G943,Setup!$B$33:$B$40,0)),0)=1)*(COUNTIF(G908:I925,$B943)+COUNTIF(G908:I925,$B943&amp;" ~*")&gt;0)+(IFERROR(INDEX(Setup!$G$33:$G$40,MATCH(K943,Setup!$B$33:$B$40,0)),0)=1)*(COUNTIF(K908:M925,$B943)+COUNTIF(K908:M925,$B943&amp;" ~*")&gt;0)+(IFERROR(INDEX(Setup!$G$33:$G$40,MATCH(O943,Setup!$B$33:$B$40,0)),0)=1)*(COUNTIF(O908:Q925,$B943)+COUNTIF(O908:Q925,$B943&amp;" ~*")&gt;0)+(IFERROR(INDEX(Setup!$G$33:$G$40,MATCH(S943,Setup!$B$33:$B$40,0)),0)=1)*(COUNTIF(S908:U925,$B943)+COUNTIF(S908:U925,$B943&amp;" ~*")&gt;0)+(IFERROR(INDEX(Setup!$G$33:$G$40,MATCH(W943,Setup!$B$33:$B$40,0)),0)=1)*(COUNTIF(W908:W925,$B943)+COUNTIF(W908:W925,$B943&amp;" ~*")&gt;0)+(IFERROR(INDEX(Setup!$G$33:$G$40,MATCH(Y943,Setup!$B$33:$B$40,0)),0)=1)*(COUNTIF(Y908:Y925,$B943)+COUNTIF(Y908:Y925,$B943&amp;" ~*")&gt;0))</f>
        <v/>
      </c>
    </row>
    <row r="944" ht="15" customHeight="1">
      <c r="A944" t="n">
        <v>19</v>
      </c>
      <c r="B944" s="37">
        <f>IF(Setup!$B$23="","",Setup!$B$23)</f>
        <v/>
      </c>
      <c r="C944" s="102" t="n"/>
      <c r="D944" s="103" t="n"/>
      <c r="E944" s="103" t="n"/>
      <c r="F944" s="104" t="n"/>
      <c r="G944" s="102" t="n"/>
      <c r="H944" s="103" t="n"/>
      <c r="I944" s="103" t="n"/>
      <c r="J944" s="104" t="n"/>
      <c r="K944" s="102" t="n"/>
      <c r="L944" s="103" t="n"/>
      <c r="M944" s="103" t="n"/>
      <c r="N944" s="104" t="n"/>
      <c r="O944" s="102" t="n"/>
      <c r="P944" s="103" t="n"/>
      <c r="Q944" s="103" t="n"/>
      <c r="R944" s="104" t="n"/>
      <c r="S944" s="102" t="n"/>
      <c r="T944" s="103" t="n"/>
      <c r="U944" s="103" t="n"/>
      <c r="V944" s="104" t="n"/>
      <c r="W944" s="102" t="n"/>
      <c r="X944" s="104" t="n"/>
      <c r="Y944" s="102" t="n"/>
      <c r="Z944" s="104" t="n"/>
      <c r="AB944" s="105">
        <f>IF($B944="","",(COUNTIF(C908:E925,$B944)+COUNTIF(C908:E925,$B944&amp;" ~*")&gt;0)+(COUNTIF(G908:I925,$B944)+COUNTIF(G908:I925,$B944&amp;" ~*")&gt;0)+(COUNTIF(K908:M925,$B944)+COUNTIF(K908:M925,$B944&amp;" ~*")&gt;0)+(COUNTIF(O908:Q925,$B944)+COUNTIF(O908:Q925,$B944&amp;" ~*")&gt;0)+(COUNTIF(S908:U925,$B944)+COUNTIF(S908:U925,$B944&amp;" ~*")&gt;0)+(COUNTIF(W908:W925,$B944)+COUNTIF(W908:W925,$B944&amp;" ~*")&gt;0)+(COUNTIF(Y908:Y925,$B944)+COUNTIF(Y908:Y925,$B944&amp;" ~*")&gt;0))</f>
        <v/>
      </c>
      <c r="AC944" s="38">
        <f>IF($B944="","",(IFERROR(INDEX(Setup!$G$33:$G$40,MATCH(C944,Setup!$B$33:$B$40,0)),0)=1)*(COUNTIF(C908:E925,$B944)+COUNTIF(C908:E925,$B944&amp;" ~*")&gt;0)+(IFERROR(INDEX(Setup!$G$33:$G$40,MATCH(G944,Setup!$B$33:$B$40,0)),0)=1)*(COUNTIF(G908:I925,$B944)+COUNTIF(G908:I925,$B944&amp;" ~*")&gt;0)+(IFERROR(INDEX(Setup!$G$33:$G$40,MATCH(K944,Setup!$B$33:$B$40,0)),0)=1)*(COUNTIF(K908:M925,$B944)+COUNTIF(K908:M925,$B944&amp;" ~*")&gt;0)+(IFERROR(INDEX(Setup!$G$33:$G$40,MATCH(O944,Setup!$B$33:$B$40,0)),0)=1)*(COUNTIF(O908:Q925,$B944)+COUNTIF(O908:Q925,$B944&amp;" ~*")&gt;0)+(IFERROR(INDEX(Setup!$G$33:$G$40,MATCH(S944,Setup!$B$33:$B$40,0)),0)=1)*(COUNTIF(S908:U925,$B944)+COUNTIF(S908:U925,$B944&amp;" ~*")&gt;0)+(IFERROR(INDEX(Setup!$G$33:$G$40,MATCH(W944,Setup!$B$33:$B$40,0)),0)=1)*(COUNTIF(W908:W925,$B944)+COUNTIF(W908:W925,$B944&amp;" ~*")&gt;0)+(IFERROR(INDEX(Setup!$G$33:$G$40,MATCH(Y944,Setup!$B$33:$B$40,0)),0)=1)*(COUNTIF(Y908:Y925,$B944)+COUNTIF(Y908:Y925,$B944&amp;" ~*")&gt;0))</f>
        <v/>
      </c>
    </row>
    <row r="945" ht="15" customHeight="1">
      <c r="A945" t="n">
        <v>19</v>
      </c>
      <c r="B945" s="35">
        <f>IF(Setup!$B$24="","",Setup!$B$24)</f>
        <v/>
      </c>
      <c r="C945" s="98" t="n"/>
      <c r="D945" s="99" t="n"/>
      <c r="E945" s="99" t="n"/>
      <c r="F945" s="100" t="n"/>
      <c r="G945" s="98" t="n"/>
      <c r="H945" s="99" t="n"/>
      <c r="I945" s="99" t="n"/>
      <c r="J945" s="100" t="n"/>
      <c r="K945" s="98" t="n"/>
      <c r="L945" s="99" t="n"/>
      <c r="M945" s="99" t="n"/>
      <c r="N945" s="100" t="n"/>
      <c r="O945" s="98" t="n"/>
      <c r="P945" s="99" t="n"/>
      <c r="Q945" s="99" t="n"/>
      <c r="R945" s="100" t="n"/>
      <c r="S945" s="98" t="n"/>
      <c r="T945" s="99" t="n"/>
      <c r="U945" s="99" t="n"/>
      <c r="V945" s="100" t="n"/>
      <c r="W945" s="98" t="n"/>
      <c r="X945" s="100" t="n"/>
      <c r="Y945" s="98" t="n"/>
      <c r="Z945" s="100" t="n"/>
      <c r="AB945" s="101">
        <f>IF($B945="","",(COUNTIF(C908:E925,$B945)+COUNTIF(C908:E925,$B945&amp;" ~*")&gt;0)+(COUNTIF(G908:I925,$B945)+COUNTIF(G908:I925,$B945&amp;" ~*")&gt;0)+(COUNTIF(K908:M925,$B945)+COUNTIF(K908:M925,$B945&amp;" ~*")&gt;0)+(COUNTIF(O908:Q925,$B945)+COUNTIF(O908:Q925,$B945&amp;" ~*")&gt;0)+(COUNTIF(S908:U925,$B945)+COUNTIF(S908:U925,$B945&amp;" ~*")&gt;0)+(COUNTIF(W908:W925,$B945)+COUNTIF(W908:W925,$B945&amp;" ~*")&gt;0)+(COUNTIF(Y908:Y925,$B945)+COUNTIF(Y908:Y925,$B945&amp;" ~*")&gt;0))</f>
        <v/>
      </c>
      <c r="AC945" s="36">
        <f>IF($B945="","",(IFERROR(INDEX(Setup!$G$33:$G$40,MATCH(C945,Setup!$B$33:$B$40,0)),0)=1)*(COUNTIF(C908:E925,$B945)+COUNTIF(C908:E925,$B945&amp;" ~*")&gt;0)+(IFERROR(INDEX(Setup!$G$33:$G$40,MATCH(G945,Setup!$B$33:$B$40,0)),0)=1)*(COUNTIF(G908:I925,$B945)+COUNTIF(G908:I925,$B945&amp;" ~*")&gt;0)+(IFERROR(INDEX(Setup!$G$33:$G$40,MATCH(K945,Setup!$B$33:$B$40,0)),0)=1)*(COUNTIF(K908:M925,$B945)+COUNTIF(K908:M925,$B945&amp;" ~*")&gt;0)+(IFERROR(INDEX(Setup!$G$33:$G$40,MATCH(O945,Setup!$B$33:$B$40,0)),0)=1)*(COUNTIF(O908:Q925,$B945)+COUNTIF(O908:Q925,$B945&amp;" ~*")&gt;0)+(IFERROR(INDEX(Setup!$G$33:$G$40,MATCH(S945,Setup!$B$33:$B$40,0)),0)=1)*(COUNTIF(S908:U925,$B945)+COUNTIF(S908:U925,$B945&amp;" ~*")&gt;0)+(IFERROR(INDEX(Setup!$G$33:$G$40,MATCH(W945,Setup!$B$33:$B$40,0)),0)=1)*(COUNTIF(W908:W925,$B945)+COUNTIF(W908:W925,$B945&amp;" ~*")&gt;0)+(IFERROR(INDEX(Setup!$G$33:$G$40,MATCH(Y945,Setup!$B$33:$B$40,0)),0)=1)*(COUNTIF(Y908:Y925,$B945)+COUNTIF(Y908:Y925,$B945&amp;" ~*")&gt;0))</f>
        <v/>
      </c>
    </row>
    <row r="946" ht="15" customHeight="1">
      <c r="A946" t="n">
        <v>19</v>
      </c>
      <c r="B946" s="37">
        <f>IF(Setup!$B$25="","",Setup!$B$25)</f>
        <v/>
      </c>
      <c r="C946" s="102" t="n"/>
      <c r="D946" s="103" t="n"/>
      <c r="E946" s="103" t="n"/>
      <c r="F946" s="104" t="n"/>
      <c r="G946" s="102" t="n"/>
      <c r="H946" s="103" t="n"/>
      <c r="I946" s="103" t="n"/>
      <c r="J946" s="104" t="n"/>
      <c r="K946" s="102" t="n"/>
      <c r="L946" s="103" t="n"/>
      <c r="M946" s="103" t="n"/>
      <c r="N946" s="104" t="n"/>
      <c r="O946" s="102" t="n"/>
      <c r="P946" s="103" t="n"/>
      <c r="Q946" s="103" t="n"/>
      <c r="R946" s="104" t="n"/>
      <c r="S946" s="102" t="n"/>
      <c r="T946" s="103" t="n"/>
      <c r="U946" s="103" t="n"/>
      <c r="V946" s="104" t="n"/>
      <c r="W946" s="102" t="n"/>
      <c r="X946" s="104" t="n"/>
      <c r="Y946" s="102" t="n"/>
      <c r="Z946" s="104" t="n"/>
      <c r="AB946" s="105">
        <f>IF($B946="","",(COUNTIF(C908:E925,$B946)+COUNTIF(C908:E925,$B946&amp;" ~*")&gt;0)+(COUNTIF(G908:I925,$B946)+COUNTIF(G908:I925,$B946&amp;" ~*")&gt;0)+(COUNTIF(K908:M925,$B946)+COUNTIF(K908:M925,$B946&amp;" ~*")&gt;0)+(COUNTIF(O908:Q925,$B946)+COUNTIF(O908:Q925,$B946&amp;" ~*")&gt;0)+(COUNTIF(S908:U925,$B946)+COUNTIF(S908:U925,$B946&amp;" ~*")&gt;0)+(COUNTIF(W908:W925,$B946)+COUNTIF(W908:W925,$B946&amp;" ~*")&gt;0)+(COUNTIF(Y908:Y925,$B946)+COUNTIF(Y908:Y925,$B946&amp;" ~*")&gt;0))</f>
        <v/>
      </c>
      <c r="AC946" s="38">
        <f>IF($B946="","",(IFERROR(INDEX(Setup!$G$33:$G$40,MATCH(C946,Setup!$B$33:$B$40,0)),0)=1)*(COUNTIF(C908:E925,$B946)+COUNTIF(C908:E925,$B946&amp;" ~*")&gt;0)+(IFERROR(INDEX(Setup!$G$33:$G$40,MATCH(G946,Setup!$B$33:$B$40,0)),0)=1)*(COUNTIF(G908:I925,$B946)+COUNTIF(G908:I925,$B946&amp;" ~*")&gt;0)+(IFERROR(INDEX(Setup!$G$33:$G$40,MATCH(K946,Setup!$B$33:$B$40,0)),0)=1)*(COUNTIF(K908:M925,$B946)+COUNTIF(K908:M925,$B946&amp;" ~*")&gt;0)+(IFERROR(INDEX(Setup!$G$33:$G$40,MATCH(O946,Setup!$B$33:$B$40,0)),0)=1)*(COUNTIF(O908:Q925,$B946)+COUNTIF(O908:Q925,$B946&amp;" ~*")&gt;0)+(IFERROR(INDEX(Setup!$G$33:$G$40,MATCH(S946,Setup!$B$33:$B$40,0)),0)=1)*(COUNTIF(S908:U925,$B946)+COUNTIF(S908:U925,$B946&amp;" ~*")&gt;0)+(IFERROR(INDEX(Setup!$G$33:$G$40,MATCH(W946,Setup!$B$33:$B$40,0)),0)=1)*(COUNTIF(W908:W925,$B946)+COUNTIF(W908:W925,$B946&amp;" ~*")&gt;0)+(IFERROR(INDEX(Setup!$G$33:$G$40,MATCH(Y946,Setup!$B$33:$B$40,0)),0)=1)*(COUNTIF(Y908:Y925,$B946)+COUNTIF(Y908:Y925,$B946&amp;" ~*")&gt;0))</f>
        <v/>
      </c>
    </row>
    <row r="947" ht="15" customHeight="1">
      <c r="A947" t="n">
        <v>19</v>
      </c>
      <c r="B947" s="35">
        <f>IF(Setup!$B$26="","",Setup!$B$26)</f>
        <v/>
      </c>
      <c r="C947" s="98" t="n"/>
      <c r="D947" s="99" t="n"/>
      <c r="E947" s="99" t="n"/>
      <c r="F947" s="100" t="n"/>
      <c r="G947" s="98" t="n"/>
      <c r="H947" s="99" t="n"/>
      <c r="I947" s="99" t="n"/>
      <c r="J947" s="100" t="n"/>
      <c r="K947" s="98" t="n"/>
      <c r="L947" s="99" t="n"/>
      <c r="M947" s="99" t="n"/>
      <c r="N947" s="100" t="n"/>
      <c r="O947" s="98" t="n"/>
      <c r="P947" s="99" t="n"/>
      <c r="Q947" s="99" t="n"/>
      <c r="R947" s="100" t="n"/>
      <c r="S947" s="98" t="n"/>
      <c r="T947" s="99" t="n"/>
      <c r="U947" s="99" t="n"/>
      <c r="V947" s="100" t="n"/>
      <c r="W947" s="98" t="n"/>
      <c r="X947" s="100" t="n"/>
      <c r="Y947" s="98" t="n"/>
      <c r="Z947" s="100" t="n"/>
      <c r="AB947" s="101">
        <f>IF($B947="","",(COUNTIF(C908:E925,$B947)+COUNTIF(C908:E925,$B947&amp;" ~*")&gt;0)+(COUNTIF(G908:I925,$B947)+COUNTIF(G908:I925,$B947&amp;" ~*")&gt;0)+(COUNTIF(K908:M925,$B947)+COUNTIF(K908:M925,$B947&amp;" ~*")&gt;0)+(COUNTIF(O908:Q925,$B947)+COUNTIF(O908:Q925,$B947&amp;" ~*")&gt;0)+(COUNTIF(S908:U925,$B947)+COUNTIF(S908:U925,$B947&amp;" ~*")&gt;0)+(COUNTIF(W908:W925,$B947)+COUNTIF(W908:W925,$B947&amp;" ~*")&gt;0)+(COUNTIF(Y908:Y925,$B947)+COUNTIF(Y908:Y925,$B947&amp;" ~*")&gt;0))</f>
        <v/>
      </c>
      <c r="AC947" s="36">
        <f>IF($B947="","",(IFERROR(INDEX(Setup!$G$33:$G$40,MATCH(C947,Setup!$B$33:$B$40,0)),0)=1)*(COUNTIF(C908:E925,$B947)+COUNTIF(C908:E925,$B947&amp;" ~*")&gt;0)+(IFERROR(INDEX(Setup!$G$33:$G$40,MATCH(G947,Setup!$B$33:$B$40,0)),0)=1)*(COUNTIF(G908:I925,$B947)+COUNTIF(G908:I925,$B947&amp;" ~*")&gt;0)+(IFERROR(INDEX(Setup!$G$33:$G$40,MATCH(K947,Setup!$B$33:$B$40,0)),0)=1)*(COUNTIF(K908:M925,$B947)+COUNTIF(K908:M925,$B947&amp;" ~*")&gt;0)+(IFERROR(INDEX(Setup!$G$33:$G$40,MATCH(O947,Setup!$B$33:$B$40,0)),0)=1)*(COUNTIF(O908:Q925,$B947)+COUNTIF(O908:Q925,$B947&amp;" ~*")&gt;0)+(IFERROR(INDEX(Setup!$G$33:$G$40,MATCH(S947,Setup!$B$33:$B$40,0)),0)=1)*(COUNTIF(S908:U925,$B947)+COUNTIF(S908:U925,$B947&amp;" ~*")&gt;0)+(IFERROR(INDEX(Setup!$G$33:$G$40,MATCH(W947,Setup!$B$33:$B$40,0)),0)=1)*(COUNTIF(W908:W925,$B947)+COUNTIF(W908:W925,$B947&amp;" ~*")&gt;0)+(IFERROR(INDEX(Setup!$G$33:$G$40,MATCH(Y947,Setup!$B$33:$B$40,0)),0)=1)*(COUNTIF(Y908:Y925,$B947)+COUNTIF(Y908:Y925,$B947&amp;" ~*")&gt;0))</f>
        <v/>
      </c>
    </row>
    <row r="948" ht="15" customHeight="1">
      <c r="A948" t="n">
        <v>19</v>
      </c>
      <c r="B948" s="37">
        <f>IF(Setup!$B$27="","",Setup!$B$27)</f>
        <v/>
      </c>
      <c r="C948" s="102" t="n"/>
      <c r="D948" s="103" t="n"/>
      <c r="E948" s="103" t="n"/>
      <c r="F948" s="104" t="n"/>
      <c r="G948" s="102" t="n"/>
      <c r="H948" s="103" t="n"/>
      <c r="I948" s="103" t="n"/>
      <c r="J948" s="104" t="n"/>
      <c r="K948" s="102" t="n"/>
      <c r="L948" s="103" t="n"/>
      <c r="M948" s="103" t="n"/>
      <c r="N948" s="104" t="n"/>
      <c r="O948" s="102" t="n"/>
      <c r="P948" s="103" t="n"/>
      <c r="Q948" s="103" t="n"/>
      <c r="R948" s="104" t="n"/>
      <c r="S948" s="102" t="n"/>
      <c r="T948" s="103" t="n"/>
      <c r="U948" s="103" t="n"/>
      <c r="V948" s="104" t="n"/>
      <c r="W948" s="102" t="n"/>
      <c r="X948" s="104" t="n"/>
      <c r="Y948" s="102" t="n"/>
      <c r="Z948" s="104" t="n"/>
      <c r="AB948" s="105">
        <f>IF($B948="","",(COUNTIF(C908:E925,$B948)+COUNTIF(C908:E925,$B948&amp;" ~*")&gt;0)+(COUNTIF(G908:I925,$B948)+COUNTIF(G908:I925,$B948&amp;" ~*")&gt;0)+(COUNTIF(K908:M925,$B948)+COUNTIF(K908:M925,$B948&amp;" ~*")&gt;0)+(COUNTIF(O908:Q925,$B948)+COUNTIF(O908:Q925,$B948&amp;" ~*")&gt;0)+(COUNTIF(S908:U925,$B948)+COUNTIF(S908:U925,$B948&amp;" ~*")&gt;0)+(COUNTIF(W908:W925,$B948)+COUNTIF(W908:W925,$B948&amp;" ~*")&gt;0)+(COUNTIF(Y908:Y925,$B948)+COUNTIF(Y908:Y925,$B948&amp;" ~*")&gt;0))</f>
        <v/>
      </c>
      <c r="AC948" s="38">
        <f>IF($B948="","",(IFERROR(INDEX(Setup!$G$33:$G$40,MATCH(C948,Setup!$B$33:$B$40,0)),0)=1)*(COUNTIF(C908:E925,$B948)+COUNTIF(C908:E925,$B948&amp;" ~*")&gt;0)+(IFERROR(INDEX(Setup!$G$33:$G$40,MATCH(G948,Setup!$B$33:$B$40,0)),0)=1)*(COUNTIF(G908:I925,$B948)+COUNTIF(G908:I925,$B948&amp;" ~*")&gt;0)+(IFERROR(INDEX(Setup!$G$33:$G$40,MATCH(K948,Setup!$B$33:$B$40,0)),0)=1)*(COUNTIF(K908:M925,$B948)+COUNTIF(K908:M925,$B948&amp;" ~*")&gt;0)+(IFERROR(INDEX(Setup!$G$33:$G$40,MATCH(O948,Setup!$B$33:$B$40,0)),0)=1)*(COUNTIF(O908:Q925,$B948)+COUNTIF(O908:Q925,$B948&amp;" ~*")&gt;0)+(IFERROR(INDEX(Setup!$G$33:$G$40,MATCH(S948,Setup!$B$33:$B$40,0)),0)=1)*(COUNTIF(S908:U925,$B948)+COUNTIF(S908:U925,$B948&amp;" ~*")&gt;0)+(IFERROR(INDEX(Setup!$G$33:$G$40,MATCH(W948,Setup!$B$33:$B$40,0)),0)=1)*(COUNTIF(W908:W925,$B948)+COUNTIF(W908:W925,$B948&amp;" ~*")&gt;0)+(IFERROR(INDEX(Setup!$G$33:$G$40,MATCH(Y948,Setup!$B$33:$B$40,0)),0)=1)*(COUNTIF(Y908:Y925,$B948)+COUNTIF(Y908:Y925,$B948&amp;" ~*")&gt;0))</f>
        <v/>
      </c>
    </row>
    <row r="949" ht="15" customHeight="1">
      <c r="A949" t="n">
        <v>19</v>
      </c>
      <c r="B949" s="35">
        <f>IF(Setup!$B$28="","",Setup!$B$28)</f>
        <v/>
      </c>
      <c r="C949" s="98" t="n"/>
      <c r="D949" s="99" t="n"/>
      <c r="E949" s="99" t="n"/>
      <c r="F949" s="100" t="n"/>
      <c r="G949" s="98" t="n"/>
      <c r="H949" s="99" t="n"/>
      <c r="I949" s="99" t="n"/>
      <c r="J949" s="100" t="n"/>
      <c r="K949" s="98" t="n"/>
      <c r="L949" s="99" t="n"/>
      <c r="M949" s="99" t="n"/>
      <c r="N949" s="100" t="n"/>
      <c r="O949" s="98" t="n"/>
      <c r="P949" s="99" t="n"/>
      <c r="Q949" s="99" t="n"/>
      <c r="R949" s="100" t="n"/>
      <c r="S949" s="98" t="n"/>
      <c r="T949" s="99" t="n"/>
      <c r="U949" s="99" t="n"/>
      <c r="V949" s="100" t="n"/>
      <c r="W949" s="98" t="n"/>
      <c r="X949" s="100" t="n"/>
      <c r="Y949" s="98" t="n"/>
      <c r="Z949" s="100" t="n"/>
      <c r="AB949" s="101">
        <f>IF($B949="","",(COUNTIF(C908:E925,$B949)+COUNTIF(C908:E925,$B949&amp;" ~*")&gt;0)+(COUNTIF(G908:I925,$B949)+COUNTIF(G908:I925,$B949&amp;" ~*")&gt;0)+(COUNTIF(K908:M925,$B949)+COUNTIF(K908:M925,$B949&amp;" ~*")&gt;0)+(COUNTIF(O908:Q925,$B949)+COUNTIF(O908:Q925,$B949&amp;" ~*")&gt;0)+(COUNTIF(S908:U925,$B949)+COUNTIF(S908:U925,$B949&amp;" ~*")&gt;0)+(COUNTIF(W908:W925,$B949)+COUNTIF(W908:W925,$B949&amp;" ~*")&gt;0)+(COUNTIF(Y908:Y925,$B949)+COUNTIF(Y908:Y925,$B949&amp;" ~*")&gt;0))</f>
        <v/>
      </c>
      <c r="AC949" s="36">
        <f>IF($B949="","",(IFERROR(INDEX(Setup!$G$33:$G$40,MATCH(C949,Setup!$B$33:$B$40,0)),0)=1)*(COUNTIF(C908:E925,$B949)+COUNTIF(C908:E925,$B949&amp;" ~*")&gt;0)+(IFERROR(INDEX(Setup!$G$33:$G$40,MATCH(G949,Setup!$B$33:$B$40,0)),0)=1)*(COUNTIF(G908:I925,$B949)+COUNTIF(G908:I925,$B949&amp;" ~*")&gt;0)+(IFERROR(INDEX(Setup!$G$33:$G$40,MATCH(K949,Setup!$B$33:$B$40,0)),0)=1)*(COUNTIF(K908:M925,$B949)+COUNTIF(K908:M925,$B949&amp;" ~*")&gt;0)+(IFERROR(INDEX(Setup!$G$33:$G$40,MATCH(O949,Setup!$B$33:$B$40,0)),0)=1)*(COUNTIF(O908:Q925,$B949)+COUNTIF(O908:Q925,$B949&amp;" ~*")&gt;0)+(IFERROR(INDEX(Setup!$G$33:$G$40,MATCH(S949,Setup!$B$33:$B$40,0)),0)=1)*(COUNTIF(S908:U925,$B949)+COUNTIF(S908:U925,$B949&amp;" ~*")&gt;0)+(IFERROR(INDEX(Setup!$G$33:$G$40,MATCH(W949,Setup!$B$33:$B$40,0)),0)=1)*(COUNTIF(W908:W925,$B949)+COUNTIF(W908:W925,$B949&amp;" ~*")&gt;0)+(IFERROR(INDEX(Setup!$G$33:$G$40,MATCH(Y949,Setup!$B$33:$B$40,0)),0)=1)*(COUNTIF(Y908:Y925,$B949)+COUNTIF(Y908:Y925,$B949&amp;" ~*")&gt;0))</f>
        <v/>
      </c>
    </row>
    <row r="950" ht="15" customHeight="1">
      <c r="A950" t="n">
        <v>19</v>
      </c>
      <c r="B950" s="37">
        <f>IF(Setup!$B$29="","",Setup!$B$29)</f>
        <v/>
      </c>
      <c r="C950" s="102" t="n"/>
      <c r="D950" s="103" t="n"/>
      <c r="E950" s="103" t="n"/>
      <c r="F950" s="104" t="n"/>
      <c r="G950" s="102" t="n"/>
      <c r="H950" s="103" t="n"/>
      <c r="I950" s="103" t="n"/>
      <c r="J950" s="104" t="n"/>
      <c r="K950" s="102" t="n"/>
      <c r="L950" s="103" t="n"/>
      <c r="M950" s="103" t="n"/>
      <c r="N950" s="104" t="n"/>
      <c r="O950" s="102" t="n"/>
      <c r="P950" s="103" t="n"/>
      <c r="Q950" s="103" t="n"/>
      <c r="R950" s="104" t="n"/>
      <c r="S950" s="102" t="n"/>
      <c r="T950" s="103" t="n"/>
      <c r="U950" s="103" t="n"/>
      <c r="V950" s="104" t="n"/>
      <c r="W950" s="102" t="n"/>
      <c r="X950" s="104" t="n"/>
      <c r="Y950" s="102" t="n"/>
      <c r="Z950" s="104" t="n"/>
      <c r="AB950" s="105">
        <f>IF($B950="","",(COUNTIF(C908:E925,$B950)+COUNTIF(C908:E925,$B950&amp;" ~*")&gt;0)+(COUNTIF(G908:I925,$B950)+COUNTIF(G908:I925,$B950&amp;" ~*")&gt;0)+(COUNTIF(K908:M925,$B950)+COUNTIF(K908:M925,$B950&amp;" ~*")&gt;0)+(COUNTIF(O908:Q925,$B950)+COUNTIF(O908:Q925,$B950&amp;" ~*")&gt;0)+(COUNTIF(S908:U925,$B950)+COUNTIF(S908:U925,$B950&amp;" ~*")&gt;0)+(COUNTIF(W908:W925,$B950)+COUNTIF(W908:W925,$B950&amp;" ~*")&gt;0)+(COUNTIF(Y908:Y925,$B950)+COUNTIF(Y908:Y925,$B950&amp;" ~*")&gt;0))</f>
        <v/>
      </c>
      <c r="AC950" s="38">
        <f>IF($B950="","",(IFERROR(INDEX(Setup!$G$33:$G$40,MATCH(C950,Setup!$B$33:$B$40,0)),0)=1)*(COUNTIF(C908:E925,$B950)+COUNTIF(C908:E925,$B950&amp;" ~*")&gt;0)+(IFERROR(INDEX(Setup!$G$33:$G$40,MATCH(G950,Setup!$B$33:$B$40,0)),0)=1)*(COUNTIF(G908:I925,$B950)+COUNTIF(G908:I925,$B950&amp;" ~*")&gt;0)+(IFERROR(INDEX(Setup!$G$33:$G$40,MATCH(K950,Setup!$B$33:$B$40,0)),0)=1)*(COUNTIF(K908:M925,$B950)+COUNTIF(K908:M925,$B950&amp;" ~*")&gt;0)+(IFERROR(INDEX(Setup!$G$33:$G$40,MATCH(O950,Setup!$B$33:$B$40,0)),0)=1)*(COUNTIF(O908:Q925,$B950)+COUNTIF(O908:Q925,$B950&amp;" ~*")&gt;0)+(IFERROR(INDEX(Setup!$G$33:$G$40,MATCH(S950,Setup!$B$33:$B$40,0)),0)=1)*(COUNTIF(S908:U925,$B950)+COUNTIF(S908:U925,$B950&amp;" ~*")&gt;0)+(IFERROR(INDEX(Setup!$G$33:$G$40,MATCH(W950,Setup!$B$33:$B$40,0)),0)=1)*(COUNTIF(W908:W925,$B950)+COUNTIF(W908:W925,$B950&amp;" ~*")&gt;0)+(IFERROR(INDEX(Setup!$G$33:$G$40,MATCH(Y950,Setup!$B$33:$B$40,0)),0)=1)*(COUNTIF(Y908:Y925,$B950)+COUNTIF(Y908:Y925,$B950&amp;" ~*")&gt;0))</f>
        <v/>
      </c>
    </row>
    <row r="951" ht="16" customHeight="1">
      <c r="A951" t="n">
        <v>19</v>
      </c>
      <c r="B951" s="106" t="inlineStr">
        <is>
          <t>Available people</t>
        </is>
      </c>
      <c r="C951" s="107">
        <f>COUNTIFS(Setup!$E$6:$E$29,"Y",Setup!$B$6:$B$29,"?*")-SUMPRODUCT(COUNTIF(C927:C950,Setup!$F$33:$F$40))</f>
        <v/>
      </c>
      <c r="D951" s="107" t="n"/>
      <c r="E951" s="107" t="n"/>
      <c r="F951" s="107" t="n"/>
      <c r="G951" s="107">
        <f>COUNTIFS(Setup!$E$6:$E$29,"Y",Setup!$B$6:$B$29,"?*")-SUMPRODUCT(COUNTIF(G927:G950,Setup!$F$33:$F$40))</f>
        <v/>
      </c>
      <c r="H951" s="107" t="n"/>
      <c r="I951" s="107" t="n"/>
      <c r="J951" s="107" t="n"/>
      <c r="K951" s="107">
        <f>COUNTIFS(Setup!$E$6:$E$29,"Y",Setup!$B$6:$B$29,"?*")-SUMPRODUCT(COUNTIF(K927:K950,Setup!$F$33:$F$40))</f>
        <v/>
      </c>
      <c r="L951" s="107" t="n"/>
      <c r="M951" s="107" t="n"/>
      <c r="N951" s="107" t="n"/>
      <c r="O951" s="107">
        <f>COUNTIFS(Setup!$E$6:$E$29,"Y",Setup!$B$6:$B$29,"?*")-SUMPRODUCT(COUNTIF(O927:O950,Setup!$F$33:$F$40))</f>
        <v/>
      </c>
      <c r="P951" s="107" t="n"/>
      <c r="Q951" s="107" t="n"/>
      <c r="R951" s="107" t="n"/>
      <c r="S951" s="107">
        <f>COUNTIFS(Setup!$E$6:$E$29,"Y",Setup!$B$6:$B$29,"?*")-SUMPRODUCT(COUNTIF(S927:S950,Setup!$F$33:$F$40))</f>
        <v/>
      </c>
      <c r="T951" s="107" t="n"/>
      <c r="U951" s="107" t="n"/>
      <c r="V951" s="107" t="n"/>
      <c r="W951" s="107">
        <f>COUNTIFS(Setup!$E$6:$E$29,"Y",Setup!$B$6:$B$29,"?*")-SUMPRODUCT(COUNTIF(W927:W950,Setup!$F$33:$F$40))</f>
        <v/>
      </c>
      <c r="X951" s="107" t="n"/>
      <c r="Y951" s="107">
        <f>COUNTIFS(Setup!$E$6:$E$29,"Y",Setup!$B$6:$B$29,"?*")-SUMPRODUCT(COUNTIF(Y927:Y950,Setup!$F$33:$F$40))</f>
        <v/>
      </c>
      <c r="Z951" s="107" t="n"/>
      <c r="AB951" s="108">
        <f>SUM(AB927:AB950)</f>
        <v/>
      </c>
      <c r="AC951" s="109">
        <f>SUM(AC927:AC950)</f>
        <v/>
      </c>
    </row>
    <row r="952" ht="30" customHeight="1">
      <c r="A952" t="n">
        <v>19</v>
      </c>
      <c r="B952" s="110" t="inlineStr">
        <is>
          <t>Week notes</t>
        </is>
      </c>
      <c r="C952" s="111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112" t="n"/>
      <c r="R952" s="112" t="n"/>
      <c r="S952" s="112" t="n"/>
      <c r="T952" s="112" t="n"/>
      <c r="U952" s="112" t="n"/>
      <c r="V952" s="112" t="n"/>
      <c r="W952" s="112" t="n"/>
      <c r="X952" s="112" t="n"/>
      <c r="Y952" s="112" t="n"/>
      <c r="Z952" s="113" t="n"/>
    </row>
    <row r="953" ht="8" customHeight="1">
      <c r="A953" t="n">
        <v>19</v>
      </c>
    </row>
    <row r="954" ht="8" customHeight="1">
      <c r="A954" t="n">
        <v>19</v>
      </c>
    </row>
    <row r="955" ht="24" customHeight="1">
      <c r="A955" t="n">
        <v>20</v>
      </c>
      <c r="B955" s="73">
        <f>"WEEK 20     "&amp;TEXT(C956,"ddd d mmm")&amp;"  –  "&amp;TEXT(C956+6,"ddd d mmm yyyy")</f>
        <v/>
      </c>
      <c r="S955" s="74">
        <f>IF(TODAY()&lt;C956,"FUTURE",IF(TODAY()&gt;C956+6,"PAST","THIS WEEK"))</f>
        <v/>
      </c>
      <c r="W955" s="75">
        <f>IF(AND(Engine!$B$8=$AC$3,Engine!$B$9=$A955),"◀ ACTIVE WEEK","")</f>
        <v/>
      </c>
      <c r="AA955" s="76" t="n"/>
      <c r="AB955" s="77" t="inlineStr">
        <is>
          <t>◀ Prev</t>
        </is>
      </c>
      <c r="AC955" s="77" t="inlineStr">
        <is>
          <t>Next ▶</t>
        </is>
      </c>
    </row>
    <row r="956" ht="18" customHeight="1">
      <c r="A956" t="n">
        <v>20</v>
      </c>
      <c r="B956" s="78" t="inlineStr">
        <is>
          <t>DUTY</t>
        </is>
      </c>
      <c r="C956" s="79">
        <f>$AC$2+7*($A956-1)</f>
        <v/>
      </c>
      <c r="D956" s="80" t="n"/>
      <c r="E956" s="80" t="n"/>
      <c r="F956" s="81" t="n"/>
      <c r="G956" s="79">
        <f>C956+1</f>
        <v/>
      </c>
      <c r="H956" s="80" t="n"/>
      <c r="I956" s="80" t="n"/>
      <c r="J956" s="81" t="n"/>
      <c r="K956" s="79">
        <f>C956+2</f>
        <v/>
      </c>
      <c r="L956" s="80" t="n"/>
      <c r="M956" s="80" t="n"/>
      <c r="N956" s="81" t="n"/>
      <c r="O956" s="79">
        <f>C956+3</f>
        <v/>
      </c>
      <c r="P956" s="80" t="n"/>
      <c r="Q956" s="80" t="n"/>
      <c r="R956" s="81" t="n"/>
      <c r="S956" s="79">
        <f>C956+4</f>
        <v/>
      </c>
      <c r="T956" s="80" t="n"/>
      <c r="U956" s="80" t="n"/>
      <c r="V956" s="81" t="n"/>
      <c r="W956" s="82">
        <f>C956+5</f>
        <v/>
      </c>
      <c r="X956" s="83" t="n"/>
      <c r="Y956" s="82">
        <f>C956+6</f>
        <v/>
      </c>
      <c r="Z956" s="83" t="n"/>
      <c r="AB956" s="72" t="inlineStr">
        <is>
          <t>Gaps</t>
        </is>
      </c>
      <c r="AC956" s="72" t="inlineStr">
        <is>
          <t>Cover</t>
        </is>
      </c>
    </row>
    <row r="957" ht="14" customHeight="1">
      <c r="A957" t="n">
        <v>20</v>
      </c>
      <c r="B957" s="84" t="inlineStr">
        <is>
          <t>(from Setup)</t>
        </is>
      </c>
      <c r="C957" s="85" t="inlineStr">
        <is>
          <t>1</t>
        </is>
      </c>
      <c r="D957" s="85" t="inlineStr">
        <is>
          <t>2</t>
        </is>
      </c>
      <c r="E957" s="85" t="inlineStr">
        <is>
          <t>3</t>
        </is>
      </c>
      <c r="F957" s="85" t="inlineStr">
        <is>
          <t>Notes</t>
        </is>
      </c>
      <c r="G957" s="85" t="inlineStr">
        <is>
          <t>1</t>
        </is>
      </c>
      <c r="H957" s="85" t="inlineStr">
        <is>
          <t>2</t>
        </is>
      </c>
      <c r="I957" s="85" t="inlineStr">
        <is>
          <t>3</t>
        </is>
      </c>
      <c r="J957" s="85" t="inlineStr">
        <is>
          <t>Notes</t>
        </is>
      </c>
      <c r="K957" s="85" t="inlineStr">
        <is>
          <t>1</t>
        </is>
      </c>
      <c r="L957" s="85" t="inlineStr">
        <is>
          <t>2</t>
        </is>
      </c>
      <c r="M957" s="85" t="inlineStr">
        <is>
          <t>3</t>
        </is>
      </c>
      <c r="N957" s="85" t="inlineStr">
        <is>
          <t>Notes</t>
        </is>
      </c>
      <c r="O957" s="85" t="inlineStr">
        <is>
          <t>1</t>
        </is>
      </c>
      <c r="P957" s="85" t="inlineStr">
        <is>
          <t>2</t>
        </is>
      </c>
      <c r="Q957" s="85" t="inlineStr">
        <is>
          <t>3</t>
        </is>
      </c>
      <c r="R957" s="85" t="inlineStr">
        <is>
          <t>Notes</t>
        </is>
      </c>
      <c r="S957" s="85" t="inlineStr">
        <is>
          <t>1</t>
        </is>
      </c>
      <c r="T957" s="85" t="inlineStr">
        <is>
          <t>2</t>
        </is>
      </c>
      <c r="U957" s="85" t="inlineStr">
        <is>
          <t>3</t>
        </is>
      </c>
      <c r="V957" s="85" t="inlineStr">
        <is>
          <t>Notes</t>
        </is>
      </c>
      <c r="W957" s="85" t="inlineStr">
        <is>
          <t>Cover</t>
        </is>
      </c>
      <c r="X957" s="85" t="inlineStr">
        <is>
          <t>Notes</t>
        </is>
      </c>
      <c r="Y957" s="85" t="inlineStr">
        <is>
          <t>Cover</t>
        </is>
      </c>
      <c r="Z957" s="85" t="inlineStr">
        <is>
          <t>Notes</t>
        </is>
      </c>
      <c r="AB957" s="86" t="inlineStr">
        <is>
          <t>weekdays short</t>
        </is>
      </c>
      <c r="AC957" s="87" t="inlineStr"/>
    </row>
    <row r="958" ht="17" customHeight="1">
      <c r="A958" t="n">
        <v>20</v>
      </c>
      <c r="B958" s="24">
        <f>IF(Setup!$K$6="","",Setup!$K$6)</f>
        <v/>
      </c>
      <c r="C958" s="88" t="n"/>
      <c r="D958" s="88" t="n"/>
      <c r="E958" s="88" t="n"/>
      <c r="F958" s="89" t="n"/>
      <c r="G958" s="88" t="n"/>
      <c r="H958" s="88" t="n"/>
      <c r="I958" s="88" t="n"/>
      <c r="J958" s="89" t="n"/>
      <c r="K958" s="88" t="n"/>
      <c r="L958" s="88" t="n"/>
      <c r="M958" s="88" t="n"/>
      <c r="N958" s="89" t="n"/>
      <c r="O958" s="88" t="n"/>
      <c r="P958" s="88" t="n"/>
      <c r="Q958" s="88" t="n"/>
      <c r="R958" s="89" t="n"/>
      <c r="S958" s="88" t="n"/>
      <c r="T958" s="88" t="n"/>
      <c r="U958" s="88" t="n"/>
      <c r="V958" s="89" t="n"/>
      <c r="W958" s="88" t="n"/>
      <c r="X958" s="89" t="n"/>
      <c r="Y958" s="88" t="n"/>
      <c r="Z958" s="89" t="n"/>
      <c r="AB958" s="25">
        <f>IF($B958="","",(COUNTIF(C958:E958,"?*")&lt;N(INDEX(Setup!$L$6:$L$23,1)))+(COUNTIF(G958:I958,"?*")&lt;N(INDEX(Setup!$L$6:$L$23,1)))+(COUNTIF(K958:M958,"?*")&lt;N(INDEX(Setup!$L$6:$L$23,1)))+(COUNTIF(O958:Q958,"?*")&lt;N(INDEX(Setup!$L$6:$L$23,1)))+(COUNTIF(S958:U958,"?*")&lt;N(INDEX(Setup!$L$6:$L$23,1)))+((W958="")*(INDEX(Setup!$M$6:$M$23,1)="Y"))+((Y958="")*(INDEX(Setup!$M$6:$M$23,1)="Y")))</f>
        <v/>
      </c>
      <c r="AC958" s="90">
        <f>IF($B958="","",IF(AB958=0,"✓ covered","⚠ "&amp;AB958&amp;IF(AB958=1," gap"," gaps")))</f>
        <v/>
      </c>
    </row>
    <row r="959" ht="17" customHeight="1">
      <c r="A959" t="n">
        <v>20</v>
      </c>
      <c r="B959" s="29">
        <f>IF(Setup!$K$7="","",Setup!$K$7)</f>
        <v/>
      </c>
      <c r="C959" s="88" t="n"/>
      <c r="D959" s="88" t="n"/>
      <c r="E959" s="88" t="n"/>
      <c r="F959" s="89" t="n"/>
      <c r="G959" s="88" t="n"/>
      <c r="H959" s="88" t="n"/>
      <c r="I959" s="88" t="n"/>
      <c r="J959" s="89" t="n"/>
      <c r="K959" s="88" t="n"/>
      <c r="L959" s="88" t="n"/>
      <c r="M959" s="88" t="n"/>
      <c r="N959" s="89" t="n"/>
      <c r="O959" s="88" t="n"/>
      <c r="P959" s="88" t="n"/>
      <c r="Q959" s="88" t="n"/>
      <c r="R959" s="89" t="n"/>
      <c r="S959" s="88" t="n"/>
      <c r="T959" s="88" t="n"/>
      <c r="U959" s="88" t="n"/>
      <c r="V959" s="89" t="n"/>
      <c r="W959" s="88" t="n"/>
      <c r="X959" s="89" t="n"/>
      <c r="Y959" s="88" t="n"/>
      <c r="Z959" s="89" t="n"/>
      <c r="AB959" s="30">
        <f>IF($B959="","",(COUNTIF(C959:E959,"?*")&lt;N(INDEX(Setup!$L$6:$L$23,2)))+(COUNTIF(G959:I959,"?*")&lt;N(INDEX(Setup!$L$6:$L$23,2)))+(COUNTIF(K959:M959,"?*")&lt;N(INDEX(Setup!$L$6:$L$23,2)))+(COUNTIF(O959:Q959,"?*")&lt;N(INDEX(Setup!$L$6:$L$23,2)))+(COUNTIF(S959:U959,"?*")&lt;N(INDEX(Setup!$L$6:$L$23,2)))+((W959="")*(INDEX(Setup!$M$6:$M$23,2)="Y"))+((Y959="")*(INDEX(Setup!$M$6:$M$23,2)="Y")))</f>
        <v/>
      </c>
      <c r="AC959" s="91">
        <f>IF($B959="","",IF(AB959=0,"✓ covered","⚠ "&amp;AB959&amp;IF(AB959=1," gap"," gaps")))</f>
        <v/>
      </c>
    </row>
    <row r="960" ht="17" customHeight="1">
      <c r="A960" t="n">
        <v>20</v>
      </c>
      <c r="B960" s="24">
        <f>IF(Setup!$K$8="","",Setup!$K$8)</f>
        <v/>
      </c>
      <c r="C960" s="88" t="n"/>
      <c r="D960" s="88" t="n"/>
      <c r="E960" s="88" t="n"/>
      <c r="F960" s="89" t="n"/>
      <c r="G960" s="88" t="n"/>
      <c r="H960" s="88" t="n"/>
      <c r="I960" s="88" t="n"/>
      <c r="J960" s="89" t="n"/>
      <c r="K960" s="88" t="n"/>
      <c r="L960" s="88" t="n"/>
      <c r="M960" s="88" t="n"/>
      <c r="N960" s="89" t="n"/>
      <c r="O960" s="88" t="n"/>
      <c r="P960" s="88" t="n"/>
      <c r="Q960" s="88" t="n"/>
      <c r="R960" s="89" t="n"/>
      <c r="S960" s="88" t="n"/>
      <c r="T960" s="88" t="n"/>
      <c r="U960" s="88" t="n"/>
      <c r="V960" s="89" t="n"/>
      <c r="W960" s="88" t="n"/>
      <c r="X960" s="89" t="n"/>
      <c r="Y960" s="88" t="n"/>
      <c r="Z960" s="89" t="n"/>
      <c r="AB960" s="25">
        <f>IF($B960="","",(COUNTIF(C960:E960,"?*")&lt;N(INDEX(Setup!$L$6:$L$23,3)))+(COUNTIF(G960:I960,"?*")&lt;N(INDEX(Setup!$L$6:$L$23,3)))+(COUNTIF(K960:M960,"?*")&lt;N(INDEX(Setup!$L$6:$L$23,3)))+(COUNTIF(O960:Q960,"?*")&lt;N(INDEX(Setup!$L$6:$L$23,3)))+(COUNTIF(S960:U960,"?*")&lt;N(INDEX(Setup!$L$6:$L$23,3)))+((W960="")*(INDEX(Setup!$M$6:$M$23,3)="Y"))+((Y960="")*(INDEX(Setup!$M$6:$M$23,3)="Y")))</f>
        <v/>
      </c>
      <c r="AC960" s="90">
        <f>IF($B960="","",IF(AB960=0,"✓ covered","⚠ "&amp;AB960&amp;IF(AB960=1," gap"," gaps")))</f>
        <v/>
      </c>
    </row>
    <row r="961" ht="17" customHeight="1">
      <c r="A961" t="n">
        <v>20</v>
      </c>
      <c r="B961" s="29">
        <f>IF(Setup!$K$9="","",Setup!$K$9)</f>
        <v/>
      </c>
      <c r="C961" s="88" t="n"/>
      <c r="D961" s="88" t="n"/>
      <c r="E961" s="88" t="n"/>
      <c r="F961" s="89" t="n"/>
      <c r="G961" s="88" t="n"/>
      <c r="H961" s="88" t="n"/>
      <c r="I961" s="88" t="n"/>
      <c r="J961" s="89" t="n"/>
      <c r="K961" s="88" t="n"/>
      <c r="L961" s="88" t="n"/>
      <c r="M961" s="88" t="n"/>
      <c r="N961" s="89" t="n"/>
      <c r="O961" s="88" t="n"/>
      <c r="P961" s="88" t="n"/>
      <c r="Q961" s="88" t="n"/>
      <c r="R961" s="89" t="n"/>
      <c r="S961" s="88" t="n"/>
      <c r="T961" s="88" t="n"/>
      <c r="U961" s="88" t="n"/>
      <c r="V961" s="89" t="n"/>
      <c r="W961" s="88" t="n"/>
      <c r="X961" s="89" t="n"/>
      <c r="Y961" s="88" t="n"/>
      <c r="Z961" s="89" t="n"/>
      <c r="AB961" s="30">
        <f>IF($B961="","",(COUNTIF(C961:E961,"?*")&lt;N(INDEX(Setup!$L$6:$L$23,4)))+(COUNTIF(G961:I961,"?*")&lt;N(INDEX(Setup!$L$6:$L$23,4)))+(COUNTIF(K961:M961,"?*")&lt;N(INDEX(Setup!$L$6:$L$23,4)))+(COUNTIF(O961:Q961,"?*")&lt;N(INDEX(Setup!$L$6:$L$23,4)))+(COUNTIF(S961:U961,"?*")&lt;N(INDEX(Setup!$L$6:$L$23,4)))+((W961="")*(INDEX(Setup!$M$6:$M$23,4)="Y"))+((Y961="")*(INDEX(Setup!$M$6:$M$23,4)="Y")))</f>
        <v/>
      </c>
      <c r="AC961" s="91">
        <f>IF($B961="","",IF(AB961=0,"✓ covered","⚠ "&amp;AB961&amp;IF(AB961=1," gap"," gaps")))</f>
        <v/>
      </c>
    </row>
    <row r="962" ht="17" customHeight="1">
      <c r="A962" t="n">
        <v>20</v>
      </c>
      <c r="B962" s="24">
        <f>IF(Setup!$K$10="","",Setup!$K$10)</f>
        <v/>
      </c>
      <c r="C962" s="88" t="n"/>
      <c r="D962" s="88" t="n"/>
      <c r="E962" s="88" t="n"/>
      <c r="F962" s="89" t="n"/>
      <c r="G962" s="88" t="n"/>
      <c r="H962" s="88" t="n"/>
      <c r="I962" s="88" t="n"/>
      <c r="J962" s="89" t="n"/>
      <c r="K962" s="88" t="n"/>
      <c r="L962" s="88" t="n"/>
      <c r="M962" s="88" t="n"/>
      <c r="N962" s="89" t="n"/>
      <c r="O962" s="88" t="n"/>
      <c r="P962" s="88" t="n"/>
      <c r="Q962" s="88" t="n"/>
      <c r="R962" s="89" t="n"/>
      <c r="S962" s="88" t="n"/>
      <c r="T962" s="88" t="n"/>
      <c r="U962" s="88" t="n"/>
      <c r="V962" s="89" t="n"/>
      <c r="W962" s="88" t="n"/>
      <c r="X962" s="89" t="n"/>
      <c r="Y962" s="88" t="n"/>
      <c r="Z962" s="89" t="n"/>
      <c r="AB962" s="25">
        <f>IF($B962="","",(COUNTIF(C962:E962,"?*")&lt;N(INDEX(Setup!$L$6:$L$23,5)))+(COUNTIF(G962:I962,"?*")&lt;N(INDEX(Setup!$L$6:$L$23,5)))+(COUNTIF(K962:M962,"?*")&lt;N(INDEX(Setup!$L$6:$L$23,5)))+(COUNTIF(O962:Q962,"?*")&lt;N(INDEX(Setup!$L$6:$L$23,5)))+(COUNTIF(S962:U962,"?*")&lt;N(INDEX(Setup!$L$6:$L$23,5)))+((W962="")*(INDEX(Setup!$M$6:$M$23,5)="Y"))+((Y962="")*(INDEX(Setup!$M$6:$M$23,5)="Y")))</f>
        <v/>
      </c>
      <c r="AC962" s="90">
        <f>IF($B962="","",IF(AB962=0,"✓ covered","⚠ "&amp;AB962&amp;IF(AB962=1," gap"," gaps")))</f>
        <v/>
      </c>
    </row>
    <row r="963" ht="17" customHeight="1">
      <c r="A963" t="n">
        <v>20</v>
      </c>
      <c r="B963" s="29">
        <f>IF(Setup!$K$11="","",Setup!$K$11)</f>
        <v/>
      </c>
      <c r="C963" s="88" t="n"/>
      <c r="D963" s="88" t="n"/>
      <c r="E963" s="88" t="n"/>
      <c r="F963" s="89" t="n"/>
      <c r="G963" s="88" t="n"/>
      <c r="H963" s="88" t="n"/>
      <c r="I963" s="88" t="n"/>
      <c r="J963" s="89" t="n"/>
      <c r="K963" s="88" t="n"/>
      <c r="L963" s="88" t="n"/>
      <c r="M963" s="88" t="n"/>
      <c r="N963" s="89" t="n"/>
      <c r="O963" s="88" t="n"/>
      <c r="P963" s="88" t="n"/>
      <c r="Q963" s="88" t="n"/>
      <c r="R963" s="89" t="n"/>
      <c r="S963" s="88" t="n"/>
      <c r="T963" s="88" t="n"/>
      <c r="U963" s="88" t="n"/>
      <c r="V963" s="89" t="n"/>
      <c r="W963" s="88" t="n"/>
      <c r="X963" s="89" t="n"/>
      <c r="Y963" s="88" t="n"/>
      <c r="Z963" s="89" t="n"/>
      <c r="AB963" s="30">
        <f>IF($B963="","",(COUNTIF(C963:E963,"?*")&lt;N(INDEX(Setup!$L$6:$L$23,6)))+(COUNTIF(G963:I963,"?*")&lt;N(INDEX(Setup!$L$6:$L$23,6)))+(COUNTIF(K963:M963,"?*")&lt;N(INDEX(Setup!$L$6:$L$23,6)))+(COUNTIF(O963:Q963,"?*")&lt;N(INDEX(Setup!$L$6:$L$23,6)))+(COUNTIF(S963:U963,"?*")&lt;N(INDEX(Setup!$L$6:$L$23,6)))+((W963="")*(INDEX(Setup!$M$6:$M$23,6)="Y"))+((Y963="")*(INDEX(Setup!$M$6:$M$23,6)="Y")))</f>
        <v/>
      </c>
      <c r="AC963" s="91">
        <f>IF($B963="","",IF(AB963=0,"✓ covered","⚠ "&amp;AB963&amp;IF(AB963=1," gap"," gaps")))</f>
        <v/>
      </c>
    </row>
    <row r="964" ht="17" customHeight="1">
      <c r="A964" t="n">
        <v>20</v>
      </c>
      <c r="B964" s="24">
        <f>IF(Setup!$K$12="","",Setup!$K$12)</f>
        <v/>
      </c>
      <c r="C964" s="88" t="n"/>
      <c r="D964" s="88" t="n"/>
      <c r="E964" s="88" t="n"/>
      <c r="F964" s="89" t="n"/>
      <c r="G964" s="88" t="n"/>
      <c r="H964" s="88" t="n"/>
      <c r="I964" s="88" t="n"/>
      <c r="J964" s="89" t="n"/>
      <c r="K964" s="88" t="n"/>
      <c r="L964" s="88" t="n"/>
      <c r="M964" s="88" t="n"/>
      <c r="N964" s="89" t="n"/>
      <c r="O964" s="88" t="n"/>
      <c r="P964" s="88" t="n"/>
      <c r="Q964" s="88" t="n"/>
      <c r="R964" s="89" t="n"/>
      <c r="S964" s="88" t="n"/>
      <c r="T964" s="88" t="n"/>
      <c r="U964" s="88" t="n"/>
      <c r="V964" s="89" t="n"/>
      <c r="W964" s="88" t="n"/>
      <c r="X964" s="89" t="n"/>
      <c r="Y964" s="88" t="n"/>
      <c r="Z964" s="89" t="n"/>
      <c r="AB964" s="25">
        <f>IF($B964="","",(COUNTIF(C964:E964,"?*")&lt;N(INDEX(Setup!$L$6:$L$23,7)))+(COUNTIF(G964:I964,"?*")&lt;N(INDEX(Setup!$L$6:$L$23,7)))+(COUNTIF(K964:M964,"?*")&lt;N(INDEX(Setup!$L$6:$L$23,7)))+(COUNTIF(O964:Q964,"?*")&lt;N(INDEX(Setup!$L$6:$L$23,7)))+(COUNTIF(S964:U964,"?*")&lt;N(INDEX(Setup!$L$6:$L$23,7)))+((W964="")*(INDEX(Setup!$M$6:$M$23,7)="Y"))+((Y964="")*(INDEX(Setup!$M$6:$M$23,7)="Y")))</f>
        <v/>
      </c>
      <c r="AC964" s="90">
        <f>IF($B964="","",IF(AB964=0,"✓ covered","⚠ "&amp;AB964&amp;IF(AB964=1," gap"," gaps")))</f>
        <v/>
      </c>
    </row>
    <row r="965" ht="17" customHeight="1">
      <c r="A965" t="n">
        <v>20</v>
      </c>
      <c r="B965" s="29">
        <f>IF(Setup!$K$13="","",Setup!$K$13)</f>
        <v/>
      </c>
      <c r="C965" s="88" t="n"/>
      <c r="D965" s="88" t="n"/>
      <c r="E965" s="88" t="n"/>
      <c r="F965" s="89" t="n"/>
      <c r="G965" s="88" t="n"/>
      <c r="H965" s="88" t="n"/>
      <c r="I965" s="88" t="n"/>
      <c r="J965" s="89" t="n"/>
      <c r="K965" s="88" t="n"/>
      <c r="L965" s="88" t="n"/>
      <c r="M965" s="88" t="n"/>
      <c r="N965" s="89" t="n"/>
      <c r="O965" s="88" t="n"/>
      <c r="P965" s="88" t="n"/>
      <c r="Q965" s="88" t="n"/>
      <c r="R965" s="89" t="n"/>
      <c r="S965" s="88" t="n"/>
      <c r="T965" s="88" t="n"/>
      <c r="U965" s="88" t="n"/>
      <c r="V965" s="89" t="n"/>
      <c r="W965" s="88" t="n"/>
      <c r="X965" s="89" t="n"/>
      <c r="Y965" s="88" t="n"/>
      <c r="Z965" s="89" t="n"/>
      <c r="AB965" s="30">
        <f>IF($B965="","",(COUNTIF(C965:E965,"?*")&lt;N(INDEX(Setup!$L$6:$L$23,8)))+(COUNTIF(G965:I965,"?*")&lt;N(INDEX(Setup!$L$6:$L$23,8)))+(COUNTIF(K965:M965,"?*")&lt;N(INDEX(Setup!$L$6:$L$23,8)))+(COUNTIF(O965:Q965,"?*")&lt;N(INDEX(Setup!$L$6:$L$23,8)))+(COUNTIF(S965:U965,"?*")&lt;N(INDEX(Setup!$L$6:$L$23,8)))+((W965="")*(INDEX(Setup!$M$6:$M$23,8)="Y"))+((Y965="")*(INDEX(Setup!$M$6:$M$23,8)="Y")))</f>
        <v/>
      </c>
      <c r="AC965" s="91">
        <f>IF($B965="","",IF(AB965=0,"✓ covered","⚠ "&amp;AB965&amp;IF(AB965=1," gap"," gaps")))</f>
        <v/>
      </c>
    </row>
    <row r="966" ht="17" customHeight="1">
      <c r="A966" t="n">
        <v>20</v>
      </c>
      <c r="B966" s="24">
        <f>IF(Setup!$K$14="","",Setup!$K$14)</f>
        <v/>
      </c>
      <c r="C966" s="88" t="n"/>
      <c r="D966" s="88" t="n"/>
      <c r="E966" s="88" t="n"/>
      <c r="F966" s="89" t="n"/>
      <c r="G966" s="88" t="n"/>
      <c r="H966" s="88" t="n"/>
      <c r="I966" s="88" t="n"/>
      <c r="J966" s="89" t="n"/>
      <c r="K966" s="88" t="n"/>
      <c r="L966" s="88" t="n"/>
      <c r="M966" s="88" t="n"/>
      <c r="N966" s="89" t="n"/>
      <c r="O966" s="88" t="n"/>
      <c r="P966" s="88" t="n"/>
      <c r="Q966" s="88" t="n"/>
      <c r="R966" s="89" t="n"/>
      <c r="S966" s="88" t="n"/>
      <c r="T966" s="88" t="n"/>
      <c r="U966" s="88" t="n"/>
      <c r="V966" s="89" t="n"/>
      <c r="W966" s="88" t="n"/>
      <c r="X966" s="89" t="n"/>
      <c r="Y966" s="88" t="n"/>
      <c r="Z966" s="89" t="n"/>
      <c r="AB966" s="25">
        <f>IF($B966="","",(COUNTIF(C966:E966,"?*")&lt;N(INDEX(Setup!$L$6:$L$23,9)))+(COUNTIF(G966:I966,"?*")&lt;N(INDEX(Setup!$L$6:$L$23,9)))+(COUNTIF(K966:M966,"?*")&lt;N(INDEX(Setup!$L$6:$L$23,9)))+(COUNTIF(O966:Q966,"?*")&lt;N(INDEX(Setup!$L$6:$L$23,9)))+(COUNTIF(S966:U966,"?*")&lt;N(INDEX(Setup!$L$6:$L$23,9)))+((W966="")*(INDEX(Setup!$M$6:$M$23,9)="Y"))+((Y966="")*(INDEX(Setup!$M$6:$M$23,9)="Y")))</f>
        <v/>
      </c>
      <c r="AC966" s="90">
        <f>IF($B966="","",IF(AB966=0,"✓ covered","⚠ "&amp;AB966&amp;IF(AB966=1," gap"," gaps")))</f>
        <v/>
      </c>
    </row>
    <row r="967" ht="17" customHeight="1">
      <c r="A967" t="n">
        <v>20</v>
      </c>
      <c r="B967" s="29">
        <f>IF(Setup!$K$15="","",Setup!$K$15)</f>
        <v/>
      </c>
      <c r="C967" s="88" t="n"/>
      <c r="D967" s="88" t="n"/>
      <c r="E967" s="88" t="n"/>
      <c r="F967" s="89" t="n"/>
      <c r="G967" s="88" t="n"/>
      <c r="H967" s="88" t="n"/>
      <c r="I967" s="88" t="n"/>
      <c r="J967" s="89" t="n"/>
      <c r="K967" s="88" t="n"/>
      <c r="L967" s="88" t="n"/>
      <c r="M967" s="88" t="n"/>
      <c r="N967" s="89" t="n"/>
      <c r="O967" s="88" t="n"/>
      <c r="P967" s="88" t="n"/>
      <c r="Q967" s="88" t="n"/>
      <c r="R967" s="89" t="n"/>
      <c r="S967" s="88" t="n"/>
      <c r="T967" s="88" t="n"/>
      <c r="U967" s="88" t="n"/>
      <c r="V967" s="89" t="n"/>
      <c r="W967" s="88" t="n"/>
      <c r="X967" s="89" t="n"/>
      <c r="Y967" s="88" t="n"/>
      <c r="Z967" s="89" t="n"/>
      <c r="AB967" s="30">
        <f>IF($B967="","",(COUNTIF(C967:E967,"?*")&lt;N(INDEX(Setup!$L$6:$L$23,10)))+(COUNTIF(G967:I967,"?*")&lt;N(INDEX(Setup!$L$6:$L$23,10)))+(COUNTIF(K967:M967,"?*")&lt;N(INDEX(Setup!$L$6:$L$23,10)))+(COUNTIF(O967:Q967,"?*")&lt;N(INDEX(Setup!$L$6:$L$23,10)))+(COUNTIF(S967:U967,"?*")&lt;N(INDEX(Setup!$L$6:$L$23,10)))+((W967="")*(INDEX(Setup!$M$6:$M$23,10)="Y"))+((Y967="")*(INDEX(Setup!$M$6:$M$23,10)="Y")))</f>
        <v/>
      </c>
      <c r="AC967" s="91">
        <f>IF($B967="","",IF(AB967=0,"✓ covered","⚠ "&amp;AB967&amp;IF(AB967=1," gap"," gaps")))</f>
        <v/>
      </c>
    </row>
    <row r="968" ht="17" customHeight="1">
      <c r="A968" t="n">
        <v>20</v>
      </c>
      <c r="B968" s="24">
        <f>IF(Setup!$K$16="","",Setup!$K$16)</f>
        <v/>
      </c>
      <c r="C968" s="88" t="n"/>
      <c r="D968" s="88" t="n"/>
      <c r="E968" s="88" t="n"/>
      <c r="F968" s="89" t="n"/>
      <c r="G968" s="88" t="n"/>
      <c r="H968" s="88" t="n"/>
      <c r="I968" s="88" t="n"/>
      <c r="J968" s="89" t="n"/>
      <c r="K968" s="88" t="n"/>
      <c r="L968" s="88" t="n"/>
      <c r="M968" s="88" t="n"/>
      <c r="N968" s="89" t="n"/>
      <c r="O968" s="88" t="n"/>
      <c r="P968" s="88" t="n"/>
      <c r="Q968" s="88" t="n"/>
      <c r="R968" s="89" t="n"/>
      <c r="S968" s="88" t="n"/>
      <c r="T968" s="88" t="n"/>
      <c r="U968" s="88" t="n"/>
      <c r="V968" s="89" t="n"/>
      <c r="W968" s="88" t="n"/>
      <c r="X968" s="89" t="n"/>
      <c r="Y968" s="88" t="n"/>
      <c r="Z968" s="89" t="n"/>
      <c r="AB968" s="25">
        <f>IF($B968="","",(COUNTIF(C968:E968,"?*")&lt;N(INDEX(Setup!$L$6:$L$23,11)))+(COUNTIF(G968:I968,"?*")&lt;N(INDEX(Setup!$L$6:$L$23,11)))+(COUNTIF(K968:M968,"?*")&lt;N(INDEX(Setup!$L$6:$L$23,11)))+(COUNTIF(O968:Q968,"?*")&lt;N(INDEX(Setup!$L$6:$L$23,11)))+(COUNTIF(S968:U968,"?*")&lt;N(INDEX(Setup!$L$6:$L$23,11)))+((W968="")*(INDEX(Setup!$M$6:$M$23,11)="Y"))+((Y968="")*(INDEX(Setup!$M$6:$M$23,11)="Y")))</f>
        <v/>
      </c>
      <c r="AC968" s="90">
        <f>IF($B968="","",IF(AB968=0,"✓ covered","⚠ "&amp;AB968&amp;IF(AB968=1," gap"," gaps")))</f>
        <v/>
      </c>
    </row>
    <row r="969" ht="17" customHeight="1">
      <c r="A969" t="n">
        <v>20</v>
      </c>
      <c r="B969" s="29">
        <f>IF(Setup!$K$17="","",Setup!$K$17)</f>
        <v/>
      </c>
      <c r="C969" s="88" t="n"/>
      <c r="D969" s="88" t="n"/>
      <c r="E969" s="88" t="n"/>
      <c r="F969" s="89" t="n"/>
      <c r="G969" s="88" t="n"/>
      <c r="H969" s="88" t="n"/>
      <c r="I969" s="88" t="n"/>
      <c r="J969" s="89" t="n"/>
      <c r="K969" s="88" t="n"/>
      <c r="L969" s="88" t="n"/>
      <c r="M969" s="88" t="n"/>
      <c r="N969" s="89" t="n"/>
      <c r="O969" s="88" t="n"/>
      <c r="P969" s="88" t="n"/>
      <c r="Q969" s="88" t="n"/>
      <c r="R969" s="89" t="n"/>
      <c r="S969" s="88" t="n"/>
      <c r="T969" s="88" t="n"/>
      <c r="U969" s="88" t="n"/>
      <c r="V969" s="89" t="n"/>
      <c r="W969" s="88" t="n"/>
      <c r="X969" s="89" t="n"/>
      <c r="Y969" s="88" t="n"/>
      <c r="Z969" s="89" t="n"/>
      <c r="AB969" s="30">
        <f>IF($B969="","",(COUNTIF(C969:E969,"?*")&lt;N(INDEX(Setup!$L$6:$L$23,12)))+(COUNTIF(G969:I969,"?*")&lt;N(INDEX(Setup!$L$6:$L$23,12)))+(COUNTIF(K969:M969,"?*")&lt;N(INDEX(Setup!$L$6:$L$23,12)))+(COUNTIF(O969:Q969,"?*")&lt;N(INDEX(Setup!$L$6:$L$23,12)))+(COUNTIF(S969:U969,"?*")&lt;N(INDEX(Setup!$L$6:$L$23,12)))+((W969="")*(INDEX(Setup!$M$6:$M$23,12)="Y"))+((Y969="")*(INDEX(Setup!$M$6:$M$23,12)="Y")))</f>
        <v/>
      </c>
      <c r="AC969" s="91">
        <f>IF($B969="","",IF(AB969=0,"✓ covered","⚠ "&amp;AB969&amp;IF(AB969=1," gap"," gaps")))</f>
        <v/>
      </c>
    </row>
    <row r="970" ht="17" customHeight="1">
      <c r="A970" t="n">
        <v>20</v>
      </c>
      <c r="B970" s="24">
        <f>IF(Setup!$K$18="","",Setup!$K$18)</f>
        <v/>
      </c>
      <c r="C970" s="88" t="n"/>
      <c r="D970" s="88" t="n"/>
      <c r="E970" s="88" t="n"/>
      <c r="F970" s="89" t="n"/>
      <c r="G970" s="88" t="n"/>
      <c r="H970" s="88" t="n"/>
      <c r="I970" s="88" t="n"/>
      <c r="J970" s="89" t="n"/>
      <c r="K970" s="88" t="n"/>
      <c r="L970" s="88" t="n"/>
      <c r="M970" s="88" t="n"/>
      <c r="N970" s="89" t="n"/>
      <c r="O970" s="88" t="n"/>
      <c r="P970" s="88" t="n"/>
      <c r="Q970" s="88" t="n"/>
      <c r="R970" s="89" t="n"/>
      <c r="S970" s="88" t="n"/>
      <c r="T970" s="88" t="n"/>
      <c r="U970" s="88" t="n"/>
      <c r="V970" s="89" t="n"/>
      <c r="W970" s="88" t="n"/>
      <c r="X970" s="89" t="n"/>
      <c r="Y970" s="88" t="n"/>
      <c r="Z970" s="89" t="n"/>
      <c r="AB970" s="25">
        <f>IF($B970="","",(COUNTIF(C970:E970,"?*")&lt;N(INDEX(Setup!$L$6:$L$23,13)))+(COUNTIF(G970:I970,"?*")&lt;N(INDEX(Setup!$L$6:$L$23,13)))+(COUNTIF(K970:M970,"?*")&lt;N(INDEX(Setup!$L$6:$L$23,13)))+(COUNTIF(O970:Q970,"?*")&lt;N(INDEX(Setup!$L$6:$L$23,13)))+(COUNTIF(S970:U970,"?*")&lt;N(INDEX(Setup!$L$6:$L$23,13)))+((W970="")*(INDEX(Setup!$M$6:$M$23,13)="Y"))+((Y970="")*(INDEX(Setup!$M$6:$M$23,13)="Y")))</f>
        <v/>
      </c>
      <c r="AC970" s="90">
        <f>IF($B970="","",IF(AB970=0,"✓ covered","⚠ "&amp;AB970&amp;IF(AB970=1," gap"," gaps")))</f>
        <v/>
      </c>
    </row>
    <row r="971" ht="17" customHeight="1">
      <c r="A971" t="n">
        <v>20</v>
      </c>
      <c r="B971" s="29">
        <f>IF(Setup!$K$19="","",Setup!$K$19)</f>
        <v/>
      </c>
      <c r="C971" s="88" t="n"/>
      <c r="D971" s="88" t="n"/>
      <c r="E971" s="88" t="n"/>
      <c r="F971" s="89" t="n"/>
      <c r="G971" s="88" t="n"/>
      <c r="H971" s="88" t="n"/>
      <c r="I971" s="88" t="n"/>
      <c r="J971" s="89" t="n"/>
      <c r="K971" s="88" t="n"/>
      <c r="L971" s="88" t="n"/>
      <c r="M971" s="88" t="n"/>
      <c r="N971" s="89" t="n"/>
      <c r="O971" s="88" t="n"/>
      <c r="P971" s="88" t="n"/>
      <c r="Q971" s="88" t="n"/>
      <c r="R971" s="89" t="n"/>
      <c r="S971" s="88" t="n"/>
      <c r="T971" s="88" t="n"/>
      <c r="U971" s="88" t="n"/>
      <c r="V971" s="89" t="n"/>
      <c r="W971" s="88" t="n"/>
      <c r="X971" s="89" t="n"/>
      <c r="Y971" s="88" t="n"/>
      <c r="Z971" s="89" t="n"/>
      <c r="AB971" s="30">
        <f>IF($B971="","",(COUNTIF(C971:E971,"?*")&lt;N(INDEX(Setup!$L$6:$L$23,14)))+(COUNTIF(G971:I971,"?*")&lt;N(INDEX(Setup!$L$6:$L$23,14)))+(COUNTIF(K971:M971,"?*")&lt;N(INDEX(Setup!$L$6:$L$23,14)))+(COUNTIF(O971:Q971,"?*")&lt;N(INDEX(Setup!$L$6:$L$23,14)))+(COUNTIF(S971:U971,"?*")&lt;N(INDEX(Setup!$L$6:$L$23,14)))+((W971="")*(INDEX(Setup!$M$6:$M$23,14)="Y"))+((Y971="")*(INDEX(Setup!$M$6:$M$23,14)="Y")))</f>
        <v/>
      </c>
      <c r="AC971" s="91">
        <f>IF($B971="","",IF(AB971=0,"✓ covered","⚠ "&amp;AB971&amp;IF(AB971=1," gap"," gaps")))</f>
        <v/>
      </c>
    </row>
    <row r="972" ht="17" customHeight="1">
      <c r="A972" t="n">
        <v>20</v>
      </c>
      <c r="B972" s="24">
        <f>IF(Setup!$K$20="","",Setup!$K$20)</f>
        <v/>
      </c>
      <c r="C972" s="88" t="n"/>
      <c r="D972" s="88" t="n"/>
      <c r="E972" s="88" t="n"/>
      <c r="F972" s="89" t="n"/>
      <c r="G972" s="88" t="n"/>
      <c r="H972" s="88" t="n"/>
      <c r="I972" s="88" t="n"/>
      <c r="J972" s="89" t="n"/>
      <c r="K972" s="88" t="n"/>
      <c r="L972" s="88" t="n"/>
      <c r="M972" s="88" t="n"/>
      <c r="N972" s="89" t="n"/>
      <c r="O972" s="88" t="n"/>
      <c r="P972" s="88" t="n"/>
      <c r="Q972" s="88" t="n"/>
      <c r="R972" s="89" t="n"/>
      <c r="S972" s="88" t="n"/>
      <c r="T972" s="88" t="n"/>
      <c r="U972" s="88" t="n"/>
      <c r="V972" s="89" t="n"/>
      <c r="W972" s="88" t="n"/>
      <c r="X972" s="89" t="n"/>
      <c r="Y972" s="88" t="n"/>
      <c r="Z972" s="89" t="n"/>
      <c r="AB972" s="25">
        <f>IF($B972="","",(COUNTIF(C972:E972,"?*")&lt;N(INDEX(Setup!$L$6:$L$23,15)))+(COUNTIF(G972:I972,"?*")&lt;N(INDEX(Setup!$L$6:$L$23,15)))+(COUNTIF(K972:M972,"?*")&lt;N(INDEX(Setup!$L$6:$L$23,15)))+(COUNTIF(O972:Q972,"?*")&lt;N(INDEX(Setup!$L$6:$L$23,15)))+(COUNTIF(S972:U972,"?*")&lt;N(INDEX(Setup!$L$6:$L$23,15)))+((W972="")*(INDEX(Setup!$M$6:$M$23,15)="Y"))+((Y972="")*(INDEX(Setup!$M$6:$M$23,15)="Y")))</f>
        <v/>
      </c>
      <c r="AC972" s="90">
        <f>IF($B972="","",IF(AB972=0,"✓ covered","⚠ "&amp;AB972&amp;IF(AB972=1," gap"," gaps")))</f>
        <v/>
      </c>
    </row>
    <row r="973" ht="17" customHeight="1">
      <c r="A973" t="n">
        <v>20</v>
      </c>
      <c r="B973" s="29">
        <f>IF(Setup!$K$21="","",Setup!$K$21)</f>
        <v/>
      </c>
      <c r="C973" s="88" t="n"/>
      <c r="D973" s="88" t="n"/>
      <c r="E973" s="88" t="n"/>
      <c r="F973" s="89" t="n"/>
      <c r="G973" s="88" t="n"/>
      <c r="H973" s="88" t="n"/>
      <c r="I973" s="88" t="n"/>
      <c r="J973" s="89" t="n"/>
      <c r="K973" s="88" t="n"/>
      <c r="L973" s="88" t="n"/>
      <c r="M973" s="88" t="n"/>
      <c r="N973" s="89" t="n"/>
      <c r="O973" s="88" t="n"/>
      <c r="P973" s="88" t="n"/>
      <c r="Q973" s="88" t="n"/>
      <c r="R973" s="89" t="n"/>
      <c r="S973" s="88" t="n"/>
      <c r="T973" s="88" t="n"/>
      <c r="U973" s="88" t="n"/>
      <c r="V973" s="89" t="n"/>
      <c r="W973" s="88" t="n"/>
      <c r="X973" s="89" t="n"/>
      <c r="Y973" s="88" t="n"/>
      <c r="Z973" s="89" t="n"/>
      <c r="AB973" s="30">
        <f>IF($B973="","",(COUNTIF(C973:E973,"?*")&lt;N(INDEX(Setup!$L$6:$L$23,16)))+(COUNTIF(G973:I973,"?*")&lt;N(INDEX(Setup!$L$6:$L$23,16)))+(COUNTIF(K973:M973,"?*")&lt;N(INDEX(Setup!$L$6:$L$23,16)))+(COUNTIF(O973:Q973,"?*")&lt;N(INDEX(Setup!$L$6:$L$23,16)))+(COUNTIF(S973:U973,"?*")&lt;N(INDEX(Setup!$L$6:$L$23,16)))+((W973="")*(INDEX(Setup!$M$6:$M$23,16)="Y"))+((Y973="")*(INDEX(Setup!$M$6:$M$23,16)="Y")))</f>
        <v/>
      </c>
      <c r="AC973" s="91">
        <f>IF($B973="","",IF(AB973=0,"✓ covered","⚠ "&amp;AB973&amp;IF(AB973=1," gap"," gaps")))</f>
        <v/>
      </c>
    </row>
    <row r="974" ht="17" customHeight="1">
      <c r="A974" t="n">
        <v>20</v>
      </c>
      <c r="B974" s="24">
        <f>IF(Setup!$K$22="","",Setup!$K$22)</f>
        <v/>
      </c>
      <c r="C974" s="88" t="n"/>
      <c r="D974" s="88" t="n"/>
      <c r="E974" s="88" t="n"/>
      <c r="F974" s="89" t="n"/>
      <c r="G974" s="88" t="n"/>
      <c r="H974" s="88" t="n"/>
      <c r="I974" s="88" t="n"/>
      <c r="J974" s="89" t="n"/>
      <c r="K974" s="88" t="n"/>
      <c r="L974" s="88" t="n"/>
      <c r="M974" s="88" t="n"/>
      <c r="N974" s="89" t="n"/>
      <c r="O974" s="88" t="n"/>
      <c r="P974" s="88" t="n"/>
      <c r="Q974" s="88" t="n"/>
      <c r="R974" s="89" t="n"/>
      <c r="S974" s="88" t="n"/>
      <c r="T974" s="88" t="n"/>
      <c r="U974" s="88" t="n"/>
      <c r="V974" s="89" t="n"/>
      <c r="W974" s="88" t="n"/>
      <c r="X974" s="89" t="n"/>
      <c r="Y974" s="88" t="n"/>
      <c r="Z974" s="89" t="n"/>
      <c r="AB974" s="25">
        <f>IF($B974="","",(COUNTIF(C974:E974,"?*")&lt;N(INDEX(Setup!$L$6:$L$23,17)))+(COUNTIF(G974:I974,"?*")&lt;N(INDEX(Setup!$L$6:$L$23,17)))+(COUNTIF(K974:M974,"?*")&lt;N(INDEX(Setup!$L$6:$L$23,17)))+(COUNTIF(O974:Q974,"?*")&lt;N(INDEX(Setup!$L$6:$L$23,17)))+(COUNTIF(S974:U974,"?*")&lt;N(INDEX(Setup!$L$6:$L$23,17)))+((W974="")*(INDEX(Setup!$M$6:$M$23,17)="Y"))+((Y974="")*(INDEX(Setup!$M$6:$M$23,17)="Y")))</f>
        <v/>
      </c>
      <c r="AC974" s="90">
        <f>IF($B974="","",IF(AB974=0,"✓ covered","⚠ "&amp;AB974&amp;IF(AB974=1," gap"," gaps")))</f>
        <v/>
      </c>
    </row>
    <row r="975" ht="17" customHeight="1">
      <c r="A975" t="n">
        <v>20</v>
      </c>
      <c r="B975" s="29">
        <f>IF(Setup!$K$23="","",Setup!$K$23)</f>
        <v/>
      </c>
      <c r="C975" s="88" t="n"/>
      <c r="D975" s="88" t="n"/>
      <c r="E975" s="88" t="n"/>
      <c r="F975" s="89" t="n"/>
      <c r="G975" s="88" t="n"/>
      <c r="H975" s="88" t="n"/>
      <c r="I975" s="88" t="n"/>
      <c r="J975" s="89" t="n"/>
      <c r="K975" s="88" t="n"/>
      <c r="L975" s="88" t="n"/>
      <c r="M975" s="88" t="n"/>
      <c r="N975" s="89" t="n"/>
      <c r="O975" s="88" t="n"/>
      <c r="P975" s="88" t="n"/>
      <c r="Q975" s="88" t="n"/>
      <c r="R975" s="89" t="n"/>
      <c r="S975" s="88" t="n"/>
      <c r="T975" s="88" t="n"/>
      <c r="U975" s="88" t="n"/>
      <c r="V975" s="89" t="n"/>
      <c r="W975" s="88" t="n"/>
      <c r="X975" s="89" t="n"/>
      <c r="Y975" s="88" t="n"/>
      <c r="Z975" s="89" t="n"/>
      <c r="AB975" s="30">
        <f>IF($B975="","",(COUNTIF(C975:E975,"?*")&lt;N(INDEX(Setup!$L$6:$L$23,18)))+(COUNTIF(G975:I975,"?*")&lt;N(INDEX(Setup!$L$6:$L$23,18)))+(COUNTIF(K975:M975,"?*")&lt;N(INDEX(Setup!$L$6:$L$23,18)))+(COUNTIF(O975:Q975,"?*")&lt;N(INDEX(Setup!$L$6:$L$23,18)))+(COUNTIF(S975:U975,"?*")&lt;N(INDEX(Setup!$L$6:$L$23,18)))+((W975="")*(INDEX(Setup!$M$6:$M$23,18)="Y"))+((Y975="")*(INDEX(Setup!$M$6:$M$23,18)="Y")))</f>
        <v/>
      </c>
      <c r="AC975" s="91">
        <f>IF($B975="","",IF(AB975=0,"✓ covered","⚠ "&amp;AB975&amp;IF(AB975=1," gap"," gaps")))</f>
        <v/>
      </c>
    </row>
    <row r="976" ht="18" customHeight="1">
      <c r="A976" t="n">
        <v>20</v>
      </c>
      <c r="B976" s="78" t="inlineStr">
        <is>
          <t>TEAM AVAILABILITY</t>
        </is>
      </c>
      <c r="C976" s="92" t="inlineStr">
        <is>
          <t>Mon</t>
        </is>
      </c>
      <c r="D976" s="93" t="n"/>
      <c r="E976" s="93" t="n"/>
      <c r="F976" s="94" t="n"/>
      <c r="G976" s="92" t="inlineStr">
        <is>
          <t>Tue</t>
        </is>
      </c>
      <c r="H976" s="93" t="n"/>
      <c r="I976" s="93" t="n"/>
      <c r="J976" s="94" t="n"/>
      <c r="K976" s="92" t="inlineStr">
        <is>
          <t>Wed</t>
        </is>
      </c>
      <c r="L976" s="93" t="n"/>
      <c r="M976" s="93" t="n"/>
      <c r="N976" s="94" t="n"/>
      <c r="O976" s="92" t="inlineStr">
        <is>
          <t>Thu</t>
        </is>
      </c>
      <c r="P976" s="93" t="n"/>
      <c r="Q976" s="93" t="n"/>
      <c r="R976" s="94" t="n"/>
      <c r="S976" s="92" t="inlineStr">
        <is>
          <t>Fri</t>
        </is>
      </c>
      <c r="T976" s="93" t="n"/>
      <c r="U976" s="93" t="n"/>
      <c r="V976" s="94" t="n"/>
      <c r="W976" s="95" t="inlineStr">
        <is>
          <t>Sat</t>
        </is>
      </c>
      <c r="X976" s="96" t="n"/>
      <c r="Y976" s="95" t="inlineStr">
        <is>
          <t>Sun</t>
        </is>
      </c>
      <c r="Z976" s="96" t="n"/>
      <c r="AB976" s="97" t="inlineStr">
        <is>
          <t>Days rostered</t>
        </is>
      </c>
      <c r="AC976" s="97" t="inlineStr">
        <is>
          <t>Conflicts</t>
        </is>
      </c>
    </row>
    <row r="977" ht="15" customHeight="1">
      <c r="A977" t="n">
        <v>20</v>
      </c>
      <c r="B977" s="35">
        <f>IF(Setup!$B$6="","",Setup!$B$6)</f>
        <v/>
      </c>
      <c r="C977" s="98" t="n"/>
      <c r="D977" s="99" t="n"/>
      <c r="E977" s="99" t="n"/>
      <c r="F977" s="100" t="n"/>
      <c r="G977" s="98" t="n"/>
      <c r="H977" s="99" t="n"/>
      <c r="I977" s="99" t="n"/>
      <c r="J977" s="100" t="n"/>
      <c r="K977" s="98" t="n"/>
      <c r="L977" s="99" t="n"/>
      <c r="M977" s="99" t="n"/>
      <c r="N977" s="100" t="n"/>
      <c r="O977" s="98" t="n"/>
      <c r="P977" s="99" t="n"/>
      <c r="Q977" s="99" t="n"/>
      <c r="R977" s="100" t="n"/>
      <c r="S977" s="98" t="n"/>
      <c r="T977" s="99" t="n"/>
      <c r="U977" s="99" t="n"/>
      <c r="V977" s="100" t="n"/>
      <c r="W977" s="98" t="n"/>
      <c r="X977" s="100" t="n"/>
      <c r="Y977" s="98" t="n"/>
      <c r="Z977" s="100" t="n"/>
      <c r="AB977" s="101">
        <f>IF($B977="","",(COUNTIF(C958:E975,$B977)+COUNTIF(C958:E975,$B977&amp;" ~*")&gt;0)+(COUNTIF(G958:I975,$B977)+COUNTIF(G958:I975,$B977&amp;" ~*")&gt;0)+(COUNTIF(K958:M975,$B977)+COUNTIF(K958:M975,$B977&amp;" ~*")&gt;0)+(COUNTIF(O958:Q975,$B977)+COUNTIF(O958:Q975,$B977&amp;" ~*")&gt;0)+(COUNTIF(S958:U975,$B977)+COUNTIF(S958:U975,$B977&amp;" ~*")&gt;0)+(COUNTIF(W958:W975,$B977)+COUNTIF(W958:W975,$B977&amp;" ~*")&gt;0)+(COUNTIF(Y958:Y975,$B977)+COUNTIF(Y958:Y975,$B977&amp;" ~*")&gt;0))</f>
        <v/>
      </c>
      <c r="AC977" s="36">
        <f>IF($B977="","",(IFERROR(INDEX(Setup!$G$33:$G$40,MATCH(C977,Setup!$B$33:$B$40,0)),0)=1)*(COUNTIF(C958:E975,$B977)+COUNTIF(C958:E975,$B977&amp;" ~*")&gt;0)+(IFERROR(INDEX(Setup!$G$33:$G$40,MATCH(G977,Setup!$B$33:$B$40,0)),0)=1)*(COUNTIF(G958:I975,$B977)+COUNTIF(G958:I975,$B977&amp;" ~*")&gt;0)+(IFERROR(INDEX(Setup!$G$33:$G$40,MATCH(K977,Setup!$B$33:$B$40,0)),0)=1)*(COUNTIF(K958:M975,$B977)+COUNTIF(K958:M975,$B977&amp;" ~*")&gt;0)+(IFERROR(INDEX(Setup!$G$33:$G$40,MATCH(O977,Setup!$B$33:$B$40,0)),0)=1)*(COUNTIF(O958:Q975,$B977)+COUNTIF(O958:Q975,$B977&amp;" ~*")&gt;0)+(IFERROR(INDEX(Setup!$G$33:$G$40,MATCH(S977,Setup!$B$33:$B$40,0)),0)=1)*(COUNTIF(S958:U975,$B977)+COUNTIF(S958:U975,$B977&amp;" ~*")&gt;0)+(IFERROR(INDEX(Setup!$G$33:$G$40,MATCH(W977,Setup!$B$33:$B$40,0)),0)=1)*(COUNTIF(W958:W975,$B977)+COUNTIF(W958:W975,$B977&amp;" ~*")&gt;0)+(IFERROR(INDEX(Setup!$G$33:$G$40,MATCH(Y977,Setup!$B$33:$B$40,0)),0)=1)*(COUNTIF(Y958:Y975,$B977)+COUNTIF(Y958:Y975,$B977&amp;" ~*")&gt;0))</f>
        <v/>
      </c>
    </row>
    <row r="978" ht="15" customHeight="1">
      <c r="A978" t="n">
        <v>20</v>
      </c>
      <c r="B978" s="37">
        <f>IF(Setup!$B$7="","",Setup!$B$7)</f>
        <v/>
      </c>
      <c r="C978" s="102" t="n"/>
      <c r="D978" s="103" t="n"/>
      <c r="E978" s="103" t="n"/>
      <c r="F978" s="104" t="n"/>
      <c r="G978" s="102" t="n"/>
      <c r="H978" s="103" t="n"/>
      <c r="I978" s="103" t="n"/>
      <c r="J978" s="104" t="n"/>
      <c r="K978" s="102" t="n"/>
      <c r="L978" s="103" t="n"/>
      <c r="M978" s="103" t="n"/>
      <c r="N978" s="104" t="n"/>
      <c r="O978" s="102" t="n"/>
      <c r="P978" s="103" t="n"/>
      <c r="Q978" s="103" t="n"/>
      <c r="R978" s="104" t="n"/>
      <c r="S978" s="102" t="n"/>
      <c r="T978" s="103" t="n"/>
      <c r="U978" s="103" t="n"/>
      <c r="V978" s="104" t="n"/>
      <c r="W978" s="102" t="n"/>
      <c r="X978" s="104" t="n"/>
      <c r="Y978" s="102" t="n"/>
      <c r="Z978" s="104" t="n"/>
      <c r="AB978" s="105">
        <f>IF($B978="","",(COUNTIF(C958:E975,$B978)+COUNTIF(C958:E975,$B978&amp;" ~*")&gt;0)+(COUNTIF(G958:I975,$B978)+COUNTIF(G958:I975,$B978&amp;" ~*")&gt;0)+(COUNTIF(K958:M975,$B978)+COUNTIF(K958:M975,$B978&amp;" ~*")&gt;0)+(COUNTIF(O958:Q975,$B978)+COUNTIF(O958:Q975,$B978&amp;" ~*")&gt;0)+(COUNTIF(S958:U975,$B978)+COUNTIF(S958:U975,$B978&amp;" ~*")&gt;0)+(COUNTIF(W958:W975,$B978)+COUNTIF(W958:W975,$B978&amp;" ~*")&gt;0)+(COUNTIF(Y958:Y975,$B978)+COUNTIF(Y958:Y975,$B978&amp;" ~*")&gt;0))</f>
        <v/>
      </c>
      <c r="AC978" s="38">
        <f>IF($B978="","",(IFERROR(INDEX(Setup!$G$33:$G$40,MATCH(C978,Setup!$B$33:$B$40,0)),0)=1)*(COUNTIF(C958:E975,$B978)+COUNTIF(C958:E975,$B978&amp;" ~*")&gt;0)+(IFERROR(INDEX(Setup!$G$33:$G$40,MATCH(G978,Setup!$B$33:$B$40,0)),0)=1)*(COUNTIF(G958:I975,$B978)+COUNTIF(G958:I975,$B978&amp;" ~*")&gt;0)+(IFERROR(INDEX(Setup!$G$33:$G$40,MATCH(K978,Setup!$B$33:$B$40,0)),0)=1)*(COUNTIF(K958:M975,$B978)+COUNTIF(K958:M975,$B978&amp;" ~*")&gt;0)+(IFERROR(INDEX(Setup!$G$33:$G$40,MATCH(O978,Setup!$B$33:$B$40,0)),0)=1)*(COUNTIF(O958:Q975,$B978)+COUNTIF(O958:Q975,$B978&amp;" ~*")&gt;0)+(IFERROR(INDEX(Setup!$G$33:$G$40,MATCH(S978,Setup!$B$33:$B$40,0)),0)=1)*(COUNTIF(S958:U975,$B978)+COUNTIF(S958:U975,$B978&amp;" ~*")&gt;0)+(IFERROR(INDEX(Setup!$G$33:$G$40,MATCH(W978,Setup!$B$33:$B$40,0)),0)=1)*(COUNTIF(W958:W975,$B978)+COUNTIF(W958:W975,$B978&amp;" ~*")&gt;0)+(IFERROR(INDEX(Setup!$G$33:$G$40,MATCH(Y978,Setup!$B$33:$B$40,0)),0)=1)*(COUNTIF(Y958:Y975,$B978)+COUNTIF(Y958:Y975,$B978&amp;" ~*")&gt;0))</f>
        <v/>
      </c>
    </row>
    <row r="979" ht="15" customHeight="1">
      <c r="A979" t="n">
        <v>20</v>
      </c>
      <c r="B979" s="35">
        <f>IF(Setup!$B$8="","",Setup!$B$8)</f>
        <v/>
      </c>
      <c r="C979" s="98" t="n"/>
      <c r="D979" s="99" t="n"/>
      <c r="E979" s="99" t="n"/>
      <c r="F979" s="100" t="n"/>
      <c r="G979" s="98" t="n"/>
      <c r="H979" s="99" t="n"/>
      <c r="I979" s="99" t="n"/>
      <c r="J979" s="100" t="n"/>
      <c r="K979" s="98" t="n"/>
      <c r="L979" s="99" t="n"/>
      <c r="M979" s="99" t="n"/>
      <c r="N979" s="100" t="n"/>
      <c r="O979" s="98" t="n"/>
      <c r="P979" s="99" t="n"/>
      <c r="Q979" s="99" t="n"/>
      <c r="R979" s="100" t="n"/>
      <c r="S979" s="98" t="n"/>
      <c r="T979" s="99" t="n"/>
      <c r="U979" s="99" t="n"/>
      <c r="V979" s="100" t="n"/>
      <c r="W979" s="98" t="n"/>
      <c r="X979" s="100" t="n"/>
      <c r="Y979" s="98" t="n"/>
      <c r="Z979" s="100" t="n"/>
      <c r="AB979" s="101">
        <f>IF($B979="","",(COUNTIF(C958:E975,$B979)+COUNTIF(C958:E975,$B979&amp;" ~*")&gt;0)+(COUNTIF(G958:I975,$B979)+COUNTIF(G958:I975,$B979&amp;" ~*")&gt;0)+(COUNTIF(K958:M975,$B979)+COUNTIF(K958:M975,$B979&amp;" ~*")&gt;0)+(COUNTIF(O958:Q975,$B979)+COUNTIF(O958:Q975,$B979&amp;" ~*")&gt;0)+(COUNTIF(S958:U975,$B979)+COUNTIF(S958:U975,$B979&amp;" ~*")&gt;0)+(COUNTIF(W958:W975,$B979)+COUNTIF(W958:W975,$B979&amp;" ~*")&gt;0)+(COUNTIF(Y958:Y975,$B979)+COUNTIF(Y958:Y975,$B979&amp;" ~*")&gt;0))</f>
        <v/>
      </c>
      <c r="AC979" s="36">
        <f>IF($B979="","",(IFERROR(INDEX(Setup!$G$33:$G$40,MATCH(C979,Setup!$B$33:$B$40,0)),0)=1)*(COUNTIF(C958:E975,$B979)+COUNTIF(C958:E975,$B979&amp;" ~*")&gt;0)+(IFERROR(INDEX(Setup!$G$33:$G$40,MATCH(G979,Setup!$B$33:$B$40,0)),0)=1)*(COUNTIF(G958:I975,$B979)+COUNTIF(G958:I975,$B979&amp;" ~*")&gt;0)+(IFERROR(INDEX(Setup!$G$33:$G$40,MATCH(K979,Setup!$B$33:$B$40,0)),0)=1)*(COUNTIF(K958:M975,$B979)+COUNTIF(K958:M975,$B979&amp;" ~*")&gt;0)+(IFERROR(INDEX(Setup!$G$33:$G$40,MATCH(O979,Setup!$B$33:$B$40,0)),0)=1)*(COUNTIF(O958:Q975,$B979)+COUNTIF(O958:Q975,$B979&amp;" ~*")&gt;0)+(IFERROR(INDEX(Setup!$G$33:$G$40,MATCH(S979,Setup!$B$33:$B$40,0)),0)=1)*(COUNTIF(S958:U975,$B979)+COUNTIF(S958:U975,$B979&amp;" ~*")&gt;0)+(IFERROR(INDEX(Setup!$G$33:$G$40,MATCH(W979,Setup!$B$33:$B$40,0)),0)=1)*(COUNTIF(W958:W975,$B979)+COUNTIF(W958:W975,$B979&amp;" ~*")&gt;0)+(IFERROR(INDEX(Setup!$G$33:$G$40,MATCH(Y979,Setup!$B$33:$B$40,0)),0)=1)*(COUNTIF(Y958:Y975,$B979)+COUNTIF(Y958:Y975,$B979&amp;" ~*")&gt;0))</f>
        <v/>
      </c>
    </row>
    <row r="980" ht="15" customHeight="1">
      <c r="A980" t="n">
        <v>20</v>
      </c>
      <c r="B980" s="37">
        <f>IF(Setup!$B$9="","",Setup!$B$9)</f>
        <v/>
      </c>
      <c r="C980" s="102" t="n"/>
      <c r="D980" s="103" t="n"/>
      <c r="E980" s="103" t="n"/>
      <c r="F980" s="104" t="n"/>
      <c r="G980" s="102" t="n"/>
      <c r="H980" s="103" t="n"/>
      <c r="I980" s="103" t="n"/>
      <c r="J980" s="104" t="n"/>
      <c r="K980" s="102" t="n"/>
      <c r="L980" s="103" t="n"/>
      <c r="M980" s="103" t="n"/>
      <c r="N980" s="104" t="n"/>
      <c r="O980" s="102" t="n"/>
      <c r="P980" s="103" t="n"/>
      <c r="Q980" s="103" t="n"/>
      <c r="R980" s="104" t="n"/>
      <c r="S980" s="102" t="n"/>
      <c r="T980" s="103" t="n"/>
      <c r="U980" s="103" t="n"/>
      <c r="V980" s="104" t="n"/>
      <c r="W980" s="102" t="n"/>
      <c r="X980" s="104" t="n"/>
      <c r="Y980" s="102" t="n"/>
      <c r="Z980" s="104" t="n"/>
      <c r="AB980" s="105">
        <f>IF($B980="","",(COUNTIF(C958:E975,$B980)+COUNTIF(C958:E975,$B980&amp;" ~*")&gt;0)+(COUNTIF(G958:I975,$B980)+COUNTIF(G958:I975,$B980&amp;" ~*")&gt;0)+(COUNTIF(K958:M975,$B980)+COUNTIF(K958:M975,$B980&amp;" ~*")&gt;0)+(COUNTIF(O958:Q975,$B980)+COUNTIF(O958:Q975,$B980&amp;" ~*")&gt;0)+(COUNTIF(S958:U975,$B980)+COUNTIF(S958:U975,$B980&amp;" ~*")&gt;0)+(COUNTIF(W958:W975,$B980)+COUNTIF(W958:W975,$B980&amp;" ~*")&gt;0)+(COUNTIF(Y958:Y975,$B980)+COUNTIF(Y958:Y975,$B980&amp;" ~*")&gt;0))</f>
        <v/>
      </c>
      <c r="AC980" s="38">
        <f>IF($B980="","",(IFERROR(INDEX(Setup!$G$33:$G$40,MATCH(C980,Setup!$B$33:$B$40,0)),0)=1)*(COUNTIF(C958:E975,$B980)+COUNTIF(C958:E975,$B980&amp;" ~*")&gt;0)+(IFERROR(INDEX(Setup!$G$33:$G$40,MATCH(G980,Setup!$B$33:$B$40,0)),0)=1)*(COUNTIF(G958:I975,$B980)+COUNTIF(G958:I975,$B980&amp;" ~*")&gt;0)+(IFERROR(INDEX(Setup!$G$33:$G$40,MATCH(K980,Setup!$B$33:$B$40,0)),0)=1)*(COUNTIF(K958:M975,$B980)+COUNTIF(K958:M975,$B980&amp;" ~*")&gt;0)+(IFERROR(INDEX(Setup!$G$33:$G$40,MATCH(O980,Setup!$B$33:$B$40,0)),0)=1)*(COUNTIF(O958:Q975,$B980)+COUNTIF(O958:Q975,$B980&amp;" ~*")&gt;0)+(IFERROR(INDEX(Setup!$G$33:$G$40,MATCH(S980,Setup!$B$33:$B$40,0)),0)=1)*(COUNTIF(S958:U975,$B980)+COUNTIF(S958:U975,$B980&amp;" ~*")&gt;0)+(IFERROR(INDEX(Setup!$G$33:$G$40,MATCH(W980,Setup!$B$33:$B$40,0)),0)=1)*(COUNTIF(W958:W975,$B980)+COUNTIF(W958:W975,$B980&amp;" ~*")&gt;0)+(IFERROR(INDEX(Setup!$G$33:$G$40,MATCH(Y980,Setup!$B$33:$B$40,0)),0)=1)*(COUNTIF(Y958:Y975,$B980)+COUNTIF(Y958:Y975,$B980&amp;" ~*")&gt;0))</f>
        <v/>
      </c>
    </row>
    <row r="981" ht="15" customHeight="1">
      <c r="A981" t="n">
        <v>20</v>
      </c>
      <c r="B981" s="35">
        <f>IF(Setup!$B$10="","",Setup!$B$10)</f>
        <v/>
      </c>
      <c r="C981" s="98" t="n"/>
      <c r="D981" s="99" t="n"/>
      <c r="E981" s="99" t="n"/>
      <c r="F981" s="100" t="n"/>
      <c r="G981" s="98" t="n"/>
      <c r="H981" s="99" t="n"/>
      <c r="I981" s="99" t="n"/>
      <c r="J981" s="100" t="n"/>
      <c r="K981" s="98" t="n"/>
      <c r="L981" s="99" t="n"/>
      <c r="M981" s="99" t="n"/>
      <c r="N981" s="100" t="n"/>
      <c r="O981" s="98" t="n"/>
      <c r="P981" s="99" t="n"/>
      <c r="Q981" s="99" t="n"/>
      <c r="R981" s="100" t="n"/>
      <c r="S981" s="98" t="n"/>
      <c r="T981" s="99" t="n"/>
      <c r="U981" s="99" t="n"/>
      <c r="V981" s="100" t="n"/>
      <c r="W981" s="98" t="n"/>
      <c r="X981" s="100" t="n"/>
      <c r="Y981" s="98" t="n"/>
      <c r="Z981" s="100" t="n"/>
      <c r="AB981" s="101">
        <f>IF($B981="","",(COUNTIF(C958:E975,$B981)+COUNTIF(C958:E975,$B981&amp;" ~*")&gt;0)+(COUNTIF(G958:I975,$B981)+COUNTIF(G958:I975,$B981&amp;" ~*")&gt;0)+(COUNTIF(K958:M975,$B981)+COUNTIF(K958:M975,$B981&amp;" ~*")&gt;0)+(COUNTIF(O958:Q975,$B981)+COUNTIF(O958:Q975,$B981&amp;" ~*")&gt;0)+(COUNTIF(S958:U975,$B981)+COUNTIF(S958:U975,$B981&amp;" ~*")&gt;0)+(COUNTIF(W958:W975,$B981)+COUNTIF(W958:W975,$B981&amp;" ~*")&gt;0)+(COUNTIF(Y958:Y975,$B981)+COUNTIF(Y958:Y975,$B981&amp;" ~*")&gt;0))</f>
        <v/>
      </c>
      <c r="AC981" s="36">
        <f>IF($B981="","",(IFERROR(INDEX(Setup!$G$33:$G$40,MATCH(C981,Setup!$B$33:$B$40,0)),0)=1)*(COUNTIF(C958:E975,$B981)+COUNTIF(C958:E975,$B981&amp;" ~*")&gt;0)+(IFERROR(INDEX(Setup!$G$33:$G$40,MATCH(G981,Setup!$B$33:$B$40,0)),0)=1)*(COUNTIF(G958:I975,$B981)+COUNTIF(G958:I975,$B981&amp;" ~*")&gt;0)+(IFERROR(INDEX(Setup!$G$33:$G$40,MATCH(K981,Setup!$B$33:$B$40,0)),0)=1)*(COUNTIF(K958:M975,$B981)+COUNTIF(K958:M975,$B981&amp;" ~*")&gt;0)+(IFERROR(INDEX(Setup!$G$33:$G$40,MATCH(O981,Setup!$B$33:$B$40,0)),0)=1)*(COUNTIF(O958:Q975,$B981)+COUNTIF(O958:Q975,$B981&amp;" ~*")&gt;0)+(IFERROR(INDEX(Setup!$G$33:$G$40,MATCH(S981,Setup!$B$33:$B$40,0)),0)=1)*(COUNTIF(S958:U975,$B981)+COUNTIF(S958:U975,$B981&amp;" ~*")&gt;0)+(IFERROR(INDEX(Setup!$G$33:$G$40,MATCH(W981,Setup!$B$33:$B$40,0)),0)=1)*(COUNTIF(W958:W975,$B981)+COUNTIF(W958:W975,$B981&amp;" ~*")&gt;0)+(IFERROR(INDEX(Setup!$G$33:$G$40,MATCH(Y981,Setup!$B$33:$B$40,0)),0)=1)*(COUNTIF(Y958:Y975,$B981)+COUNTIF(Y958:Y975,$B981&amp;" ~*")&gt;0))</f>
        <v/>
      </c>
    </row>
    <row r="982" ht="15" customHeight="1">
      <c r="A982" t="n">
        <v>20</v>
      </c>
      <c r="B982" s="37">
        <f>IF(Setup!$B$11="","",Setup!$B$11)</f>
        <v/>
      </c>
      <c r="C982" s="102" t="n"/>
      <c r="D982" s="103" t="n"/>
      <c r="E982" s="103" t="n"/>
      <c r="F982" s="104" t="n"/>
      <c r="G982" s="102" t="n"/>
      <c r="H982" s="103" t="n"/>
      <c r="I982" s="103" t="n"/>
      <c r="J982" s="104" t="n"/>
      <c r="K982" s="102" t="n"/>
      <c r="L982" s="103" t="n"/>
      <c r="M982" s="103" t="n"/>
      <c r="N982" s="104" t="n"/>
      <c r="O982" s="102" t="n"/>
      <c r="P982" s="103" t="n"/>
      <c r="Q982" s="103" t="n"/>
      <c r="R982" s="104" t="n"/>
      <c r="S982" s="102" t="n"/>
      <c r="T982" s="103" t="n"/>
      <c r="U982" s="103" t="n"/>
      <c r="V982" s="104" t="n"/>
      <c r="W982" s="102" t="n"/>
      <c r="X982" s="104" t="n"/>
      <c r="Y982" s="102" t="n"/>
      <c r="Z982" s="104" t="n"/>
      <c r="AB982" s="105">
        <f>IF($B982="","",(COUNTIF(C958:E975,$B982)+COUNTIF(C958:E975,$B982&amp;" ~*")&gt;0)+(COUNTIF(G958:I975,$B982)+COUNTIF(G958:I975,$B982&amp;" ~*")&gt;0)+(COUNTIF(K958:M975,$B982)+COUNTIF(K958:M975,$B982&amp;" ~*")&gt;0)+(COUNTIF(O958:Q975,$B982)+COUNTIF(O958:Q975,$B982&amp;" ~*")&gt;0)+(COUNTIF(S958:U975,$B982)+COUNTIF(S958:U975,$B982&amp;" ~*")&gt;0)+(COUNTIF(W958:W975,$B982)+COUNTIF(W958:W975,$B982&amp;" ~*")&gt;0)+(COUNTIF(Y958:Y975,$B982)+COUNTIF(Y958:Y975,$B982&amp;" ~*")&gt;0))</f>
        <v/>
      </c>
      <c r="AC982" s="38">
        <f>IF($B982="","",(IFERROR(INDEX(Setup!$G$33:$G$40,MATCH(C982,Setup!$B$33:$B$40,0)),0)=1)*(COUNTIF(C958:E975,$B982)+COUNTIF(C958:E975,$B982&amp;" ~*")&gt;0)+(IFERROR(INDEX(Setup!$G$33:$G$40,MATCH(G982,Setup!$B$33:$B$40,0)),0)=1)*(COUNTIF(G958:I975,$B982)+COUNTIF(G958:I975,$B982&amp;" ~*")&gt;0)+(IFERROR(INDEX(Setup!$G$33:$G$40,MATCH(K982,Setup!$B$33:$B$40,0)),0)=1)*(COUNTIF(K958:M975,$B982)+COUNTIF(K958:M975,$B982&amp;" ~*")&gt;0)+(IFERROR(INDEX(Setup!$G$33:$G$40,MATCH(O982,Setup!$B$33:$B$40,0)),0)=1)*(COUNTIF(O958:Q975,$B982)+COUNTIF(O958:Q975,$B982&amp;" ~*")&gt;0)+(IFERROR(INDEX(Setup!$G$33:$G$40,MATCH(S982,Setup!$B$33:$B$40,0)),0)=1)*(COUNTIF(S958:U975,$B982)+COUNTIF(S958:U975,$B982&amp;" ~*")&gt;0)+(IFERROR(INDEX(Setup!$G$33:$G$40,MATCH(W982,Setup!$B$33:$B$40,0)),0)=1)*(COUNTIF(W958:W975,$B982)+COUNTIF(W958:W975,$B982&amp;" ~*")&gt;0)+(IFERROR(INDEX(Setup!$G$33:$G$40,MATCH(Y982,Setup!$B$33:$B$40,0)),0)=1)*(COUNTIF(Y958:Y975,$B982)+COUNTIF(Y958:Y975,$B982&amp;" ~*")&gt;0))</f>
        <v/>
      </c>
    </row>
    <row r="983" ht="15" customHeight="1">
      <c r="A983" t="n">
        <v>20</v>
      </c>
      <c r="B983" s="35">
        <f>IF(Setup!$B$12="","",Setup!$B$12)</f>
        <v/>
      </c>
      <c r="C983" s="98" t="n"/>
      <c r="D983" s="99" t="n"/>
      <c r="E983" s="99" t="n"/>
      <c r="F983" s="100" t="n"/>
      <c r="G983" s="98" t="n"/>
      <c r="H983" s="99" t="n"/>
      <c r="I983" s="99" t="n"/>
      <c r="J983" s="100" t="n"/>
      <c r="K983" s="98" t="n"/>
      <c r="L983" s="99" t="n"/>
      <c r="M983" s="99" t="n"/>
      <c r="N983" s="100" t="n"/>
      <c r="O983" s="98" t="n"/>
      <c r="P983" s="99" t="n"/>
      <c r="Q983" s="99" t="n"/>
      <c r="R983" s="100" t="n"/>
      <c r="S983" s="98" t="n"/>
      <c r="T983" s="99" t="n"/>
      <c r="U983" s="99" t="n"/>
      <c r="V983" s="100" t="n"/>
      <c r="W983" s="98" t="n"/>
      <c r="X983" s="100" t="n"/>
      <c r="Y983" s="98" t="n"/>
      <c r="Z983" s="100" t="n"/>
      <c r="AB983" s="101">
        <f>IF($B983="","",(COUNTIF(C958:E975,$B983)+COUNTIF(C958:E975,$B983&amp;" ~*")&gt;0)+(COUNTIF(G958:I975,$B983)+COUNTIF(G958:I975,$B983&amp;" ~*")&gt;0)+(COUNTIF(K958:M975,$B983)+COUNTIF(K958:M975,$B983&amp;" ~*")&gt;0)+(COUNTIF(O958:Q975,$B983)+COUNTIF(O958:Q975,$B983&amp;" ~*")&gt;0)+(COUNTIF(S958:U975,$B983)+COUNTIF(S958:U975,$B983&amp;" ~*")&gt;0)+(COUNTIF(W958:W975,$B983)+COUNTIF(W958:W975,$B983&amp;" ~*")&gt;0)+(COUNTIF(Y958:Y975,$B983)+COUNTIF(Y958:Y975,$B983&amp;" ~*")&gt;0))</f>
        <v/>
      </c>
      <c r="AC983" s="36">
        <f>IF($B983="","",(IFERROR(INDEX(Setup!$G$33:$G$40,MATCH(C983,Setup!$B$33:$B$40,0)),0)=1)*(COUNTIF(C958:E975,$B983)+COUNTIF(C958:E975,$B983&amp;" ~*")&gt;0)+(IFERROR(INDEX(Setup!$G$33:$G$40,MATCH(G983,Setup!$B$33:$B$40,0)),0)=1)*(COUNTIF(G958:I975,$B983)+COUNTIF(G958:I975,$B983&amp;" ~*")&gt;0)+(IFERROR(INDEX(Setup!$G$33:$G$40,MATCH(K983,Setup!$B$33:$B$40,0)),0)=1)*(COUNTIF(K958:M975,$B983)+COUNTIF(K958:M975,$B983&amp;" ~*")&gt;0)+(IFERROR(INDEX(Setup!$G$33:$G$40,MATCH(O983,Setup!$B$33:$B$40,0)),0)=1)*(COUNTIF(O958:Q975,$B983)+COUNTIF(O958:Q975,$B983&amp;" ~*")&gt;0)+(IFERROR(INDEX(Setup!$G$33:$G$40,MATCH(S983,Setup!$B$33:$B$40,0)),0)=1)*(COUNTIF(S958:U975,$B983)+COUNTIF(S958:U975,$B983&amp;" ~*")&gt;0)+(IFERROR(INDEX(Setup!$G$33:$G$40,MATCH(W983,Setup!$B$33:$B$40,0)),0)=1)*(COUNTIF(W958:W975,$B983)+COUNTIF(W958:W975,$B983&amp;" ~*")&gt;0)+(IFERROR(INDEX(Setup!$G$33:$G$40,MATCH(Y983,Setup!$B$33:$B$40,0)),0)=1)*(COUNTIF(Y958:Y975,$B983)+COUNTIF(Y958:Y975,$B983&amp;" ~*")&gt;0))</f>
        <v/>
      </c>
    </row>
    <row r="984" ht="15" customHeight="1">
      <c r="A984" t="n">
        <v>20</v>
      </c>
      <c r="B984" s="37">
        <f>IF(Setup!$B$13="","",Setup!$B$13)</f>
        <v/>
      </c>
      <c r="C984" s="102" t="n"/>
      <c r="D984" s="103" t="n"/>
      <c r="E984" s="103" t="n"/>
      <c r="F984" s="104" t="n"/>
      <c r="G984" s="102" t="n"/>
      <c r="H984" s="103" t="n"/>
      <c r="I984" s="103" t="n"/>
      <c r="J984" s="104" t="n"/>
      <c r="K984" s="102" t="n"/>
      <c r="L984" s="103" t="n"/>
      <c r="M984" s="103" t="n"/>
      <c r="N984" s="104" t="n"/>
      <c r="O984" s="102" t="n"/>
      <c r="P984" s="103" t="n"/>
      <c r="Q984" s="103" t="n"/>
      <c r="R984" s="104" t="n"/>
      <c r="S984" s="102" t="n"/>
      <c r="T984" s="103" t="n"/>
      <c r="U984" s="103" t="n"/>
      <c r="V984" s="104" t="n"/>
      <c r="W984" s="102" t="n"/>
      <c r="X984" s="104" t="n"/>
      <c r="Y984" s="102" t="n"/>
      <c r="Z984" s="104" t="n"/>
      <c r="AB984" s="105">
        <f>IF($B984="","",(COUNTIF(C958:E975,$B984)+COUNTIF(C958:E975,$B984&amp;" ~*")&gt;0)+(COUNTIF(G958:I975,$B984)+COUNTIF(G958:I975,$B984&amp;" ~*")&gt;0)+(COUNTIF(K958:M975,$B984)+COUNTIF(K958:M975,$B984&amp;" ~*")&gt;0)+(COUNTIF(O958:Q975,$B984)+COUNTIF(O958:Q975,$B984&amp;" ~*")&gt;0)+(COUNTIF(S958:U975,$B984)+COUNTIF(S958:U975,$B984&amp;" ~*")&gt;0)+(COUNTIF(W958:W975,$B984)+COUNTIF(W958:W975,$B984&amp;" ~*")&gt;0)+(COUNTIF(Y958:Y975,$B984)+COUNTIF(Y958:Y975,$B984&amp;" ~*")&gt;0))</f>
        <v/>
      </c>
      <c r="AC984" s="38">
        <f>IF($B984="","",(IFERROR(INDEX(Setup!$G$33:$G$40,MATCH(C984,Setup!$B$33:$B$40,0)),0)=1)*(COUNTIF(C958:E975,$B984)+COUNTIF(C958:E975,$B984&amp;" ~*")&gt;0)+(IFERROR(INDEX(Setup!$G$33:$G$40,MATCH(G984,Setup!$B$33:$B$40,0)),0)=1)*(COUNTIF(G958:I975,$B984)+COUNTIF(G958:I975,$B984&amp;" ~*")&gt;0)+(IFERROR(INDEX(Setup!$G$33:$G$40,MATCH(K984,Setup!$B$33:$B$40,0)),0)=1)*(COUNTIF(K958:M975,$B984)+COUNTIF(K958:M975,$B984&amp;" ~*")&gt;0)+(IFERROR(INDEX(Setup!$G$33:$G$40,MATCH(O984,Setup!$B$33:$B$40,0)),0)=1)*(COUNTIF(O958:Q975,$B984)+COUNTIF(O958:Q975,$B984&amp;" ~*")&gt;0)+(IFERROR(INDEX(Setup!$G$33:$G$40,MATCH(S984,Setup!$B$33:$B$40,0)),0)=1)*(COUNTIF(S958:U975,$B984)+COUNTIF(S958:U975,$B984&amp;" ~*")&gt;0)+(IFERROR(INDEX(Setup!$G$33:$G$40,MATCH(W984,Setup!$B$33:$B$40,0)),0)=1)*(COUNTIF(W958:W975,$B984)+COUNTIF(W958:W975,$B984&amp;" ~*")&gt;0)+(IFERROR(INDEX(Setup!$G$33:$G$40,MATCH(Y984,Setup!$B$33:$B$40,0)),0)=1)*(COUNTIF(Y958:Y975,$B984)+COUNTIF(Y958:Y975,$B984&amp;" ~*")&gt;0))</f>
        <v/>
      </c>
    </row>
    <row r="985" ht="15" customHeight="1">
      <c r="A985" t="n">
        <v>20</v>
      </c>
      <c r="B985" s="35">
        <f>IF(Setup!$B$14="","",Setup!$B$14)</f>
        <v/>
      </c>
      <c r="C985" s="98" t="n"/>
      <c r="D985" s="99" t="n"/>
      <c r="E985" s="99" t="n"/>
      <c r="F985" s="100" t="n"/>
      <c r="G985" s="98" t="n"/>
      <c r="H985" s="99" t="n"/>
      <c r="I985" s="99" t="n"/>
      <c r="J985" s="100" t="n"/>
      <c r="K985" s="98" t="n"/>
      <c r="L985" s="99" t="n"/>
      <c r="M985" s="99" t="n"/>
      <c r="N985" s="100" t="n"/>
      <c r="O985" s="98" t="n"/>
      <c r="P985" s="99" t="n"/>
      <c r="Q985" s="99" t="n"/>
      <c r="R985" s="100" t="n"/>
      <c r="S985" s="98" t="n"/>
      <c r="T985" s="99" t="n"/>
      <c r="U985" s="99" t="n"/>
      <c r="V985" s="100" t="n"/>
      <c r="W985" s="98" t="n"/>
      <c r="X985" s="100" t="n"/>
      <c r="Y985" s="98" t="n"/>
      <c r="Z985" s="100" t="n"/>
      <c r="AB985" s="101">
        <f>IF($B985="","",(COUNTIF(C958:E975,$B985)+COUNTIF(C958:E975,$B985&amp;" ~*")&gt;0)+(COUNTIF(G958:I975,$B985)+COUNTIF(G958:I975,$B985&amp;" ~*")&gt;0)+(COUNTIF(K958:M975,$B985)+COUNTIF(K958:M975,$B985&amp;" ~*")&gt;0)+(COUNTIF(O958:Q975,$B985)+COUNTIF(O958:Q975,$B985&amp;" ~*")&gt;0)+(COUNTIF(S958:U975,$B985)+COUNTIF(S958:U975,$B985&amp;" ~*")&gt;0)+(COUNTIF(W958:W975,$B985)+COUNTIF(W958:W975,$B985&amp;" ~*")&gt;0)+(COUNTIF(Y958:Y975,$B985)+COUNTIF(Y958:Y975,$B985&amp;" ~*")&gt;0))</f>
        <v/>
      </c>
      <c r="AC985" s="36">
        <f>IF($B985="","",(IFERROR(INDEX(Setup!$G$33:$G$40,MATCH(C985,Setup!$B$33:$B$40,0)),0)=1)*(COUNTIF(C958:E975,$B985)+COUNTIF(C958:E975,$B985&amp;" ~*")&gt;0)+(IFERROR(INDEX(Setup!$G$33:$G$40,MATCH(G985,Setup!$B$33:$B$40,0)),0)=1)*(COUNTIF(G958:I975,$B985)+COUNTIF(G958:I975,$B985&amp;" ~*")&gt;0)+(IFERROR(INDEX(Setup!$G$33:$G$40,MATCH(K985,Setup!$B$33:$B$40,0)),0)=1)*(COUNTIF(K958:M975,$B985)+COUNTIF(K958:M975,$B985&amp;" ~*")&gt;0)+(IFERROR(INDEX(Setup!$G$33:$G$40,MATCH(O985,Setup!$B$33:$B$40,0)),0)=1)*(COUNTIF(O958:Q975,$B985)+COUNTIF(O958:Q975,$B985&amp;" ~*")&gt;0)+(IFERROR(INDEX(Setup!$G$33:$G$40,MATCH(S985,Setup!$B$33:$B$40,0)),0)=1)*(COUNTIF(S958:U975,$B985)+COUNTIF(S958:U975,$B985&amp;" ~*")&gt;0)+(IFERROR(INDEX(Setup!$G$33:$G$40,MATCH(W985,Setup!$B$33:$B$40,0)),0)=1)*(COUNTIF(W958:W975,$B985)+COUNTIF(W958:W975,$B985&amp;" ~*")&gt;0)+(IFERROR(INDEX(Setup!$G$33:$G$40,MATCH(Y985,Setup!$B$33:$B$40,0)),0)=1)*(COUNTIF(Y958:Y975,$B985)+COUNTIF(Y958:Y975,$B985&amp;" ~*")&gt;0))</f>
        <v/>
      </c>
    </row>
    <row r="986" ht="15" customHeight="1">
      <c r="A986" t="n">
        <v>20</v>
      </c>
      <c r="B986" s="37">
        <f>IF(Setup!$B$15="","",Setup!$B$15)</f>
        <v/>
      </c>
      <c r="C986" s="102" t="n"/>
      <c r="D986" s="103" t="n"/>
      <c r="E986" s="103" t="n"/>
      <c r="F986" s="104" t="n"/>
      <c r="G986" s="102" t="n"/>
      <c r="H986" s="103" t="n"/>
      <c r="I986" s="103" t="n"/>
      <c r="J986" s="104" t="n"/>
      <c r="K986" s="102" t="n"/>
      <c r="L986" s="103" t="n"/>
      <c r="M986" s="103" t="n"/>
      <c r="N986" s="104" t="n"/>
      <c r="O986" s="102" t="n"/>
      <c r="P986" s="103" t="n"/>
      <c r="Q986" s="103" t="n"/>
      <c r="R986" s="104" t="n"/>
      <c r="S986" s="102" t="n"/>
      <c r="T986" s="103" t="n"/>
      <c r="U986" s="103" t="n"/>
      <c r="V986" s="104" t="n"/>
      <c r="W986" s="102" t="n"/>
      <c r="X986" s="104" t="n"/>
      <c r="Y986" s="102" t="n"/>
      <c r="Z986" s="104" t="n"/>
      <c r="AB986" s="105">
        <f>IF($B986="","",(COUNTIF(C958:E975,$B986)+COUNTIF(C958:E975,$B986&amp;" ~*")&gt;0)+(COUNTIF(G958:I975,$B986)+COUNTIF(G958:I975,$B986&amp;" ~*")&gt;0)+(COUNTIF(K958:M975,$B986)+COUNTIF(K958:M975,$B986&amp;" ~*")&gt;0)+(COUNTIF(O958:Q975,$B986)+COUNTIF(O958:Q975,$B986&amp;" ~*")&gt;0)+(COUNTIF(S958:U975,$B986)+COUNTIF(S958:U975,$B986&amp;" ~*")&gt;0)+(COUNTIF(W958:W975,$B986)+COUNTIF(W958:W975,$B986&amp;" ~*")&gt;0)+(COUNTIF(Y958:Y975,$B986)+COUNTIF(Y958:Y975,$B986&amp;" ~*")&gt;0))</f>
        <v/>
      </c>
      <c r="AC986" s="38">
        <f>IF($B986="","",(IFERROR(INDEX(Setup!$G$33:$G$40,MATCH(C986,Setup!$B$33:$B$40,0)),0)=1)*(COUNTIF(C958:E975,$B986)+COUNTIF(C958:E975,$B986&amp;" ~*")&gt;0)+(IFERROR(INDEX(Setup!$G$33:$G$40,MATCH(G986,Setup!$B$33:$B$40,0)),0)=1)*(COUNTIF(G958:I975,$B986)+COUNTIF(G958:I975,$B986&amp;" ~*")&gt;0)+(IFERROR(INDEX(Setup!$G$33:$G$40,MATCH(K986,Setup!$B$33:$B$40,0)),0)=1)*(COUNTIF(K958:M975,$B986)+COUNTIF(K958:M975,$B986&amp;" ~*")&gt;0)+(IFERROR(INDEX(Setup!$G$33:$G$40,MATCH(O986,Setup!$B$33:$B$40,0)),0)=1)*(COUNTIF(O958:Q975,$B986)+COUNTIF(O958:Q975,$B986&amp;" ~*")&gt;0)+(IFERROR(INDEX(Setup!$G$33:$G$40,MATCH(S986,Setup!$B$33:$B$40,0)),0)=1)*(COUNTIF(S958:U975,$B986)+COUNTIF(S958:U975,$B986&amp;" ~*")&gt;0)+(IFERROR(INDEX(Setup!$G$33:$G$40,MATCH(W986,Setup!$B$33:$B$40,0)),0)=1)*(COUNTIF(W958:W975,$B986)+COUNTIF(W958:W975,$B986&amp;" ~*")&gt;0)+(IFERROR(INDEX(Setup!$G$33:$G$40,MATCH(Y986,Setup!$B$33:$B$40,0)),0)=1)*(COUNTIF(Y958:Y975,$B986)+COUNTIF(Y958:Y975,$B986&amp;" ~*")&gt;0))</f>
        <v/>
      </c>
    </row>
    <row r="987" ht="15" customHeight="1">
      <c r="A987" t="n">
        <v>20</v>
      </c>
      <c r="B987" s="35">
        <f>IF(Setup!$B$16="","",Setup!$B$16)</f>
        <v/>
      </c>
      <c r="C987" s="98" t="n"/>
      <c r="D987" s="99" t="n"/>
      <c r="E987" s="99" t="n"/>
      <c r="F987" s="100" t="n"/>
      <c r="G987" s="98" t="n"/>
      <c r="H987" s="99" t="n"/>
      <c r="I987" s="99" t="n"/>
      <c r="J987" s="100" t="n"/>
      <c r="K987" s="98" t="n"/>
      <c r="L987" s="99" t="n"/>
      <c r="M987" s="99" t="n"/>
      <c r="N987" s="100" t="n"/>
      <c r="O987" s="98" t="n"/>
      <c r="P987" s="99" t="n"/>
      <c r="Q987" s="99" t="n"/>
      <c r="R987" s="100" t="n"/>
      <c r="S987" s="98" t="n"/>
      <c r="T987" s="99" t="n"/>
      <c r="U987" s="99" t="n"/>
      <c r="V987" s="100" t="n"/>
      <c r="W987" s="98" t="n"/>
      <c r="X987" s="100" t="n"/>
      <c r="Y987" s="98" t="n"/>
      <c r="Z987" s="100" t="n"/>
      <c r="AB987" s="101">
        <f>IF($B987="","",(COUNTIF(C958:E975,$B987)+COUNTIF(C958:E975,$B987&amp;" ~*")&gt;0)+(COUNTIF(G958:I975,$B987)+COUNTIF(G958:I975,$B987&amp;" ~*")&gt;0)+(COUNTIF(K958:M975,$B987)+COUNTIF(K958:M975,$B987&amp;" ~*")&gt;0)+(COUNTIF(O958:Q975,$B987)+COUNTIF(O958:Q975,$B987&amp;" ~*")&gt;0)+(COUNTIF(S958:U975,$B987)+COUNTIF(S958:U975,$B987&amp;" ~*")&gt;0)+(COUNTIF(W958:W975,$B987)+COUNTIF(W958:W975,$B987&amp;" ~*")&gt;0)+(COUNTIF(Y958:Y975,$B987)+COUNTIF(Y958:Y975,$B987&amp;" ~*")&gt;0))</f>
        <v/>
      </c>
      <c r="AC987" s="36">
        <f>IF($B987="","",(IFERROR(INDEX(Setup!$G$33:$G$40,MATCH(C987,Setup!$B$33:$B$40,0)),0)=1)*(COUNTIF(C958:E975,$B987)+COUNTIF(C958:E975,$B987&amp;" ~*")&gt;0)+(IFERROR(INDEX(Setup!$G$33:$G$40,MATCH(G987,Setup!$B$33:$B$40,0)),0)=1)*(COUNTIF(G958:I975,$B987)+COUNTIF(G958:I975,$B987&amp;" ~*")&gt;0)+(IFERROR(INDEX(Setup!$G$33:$G$40,MATCH(K987,Setup!$B$33:$B$40,0)),0)=1)*(COUNTIF(K958:M975,$B987)+COUNTIF(K958:M975,$B987&amp;" ~*")&gt;0)+(IFERROR(INDEX(Setup!$G$33:$G$40,MATCH(O987,Setup!$B$33:$B$40,0)),0)=1)*(COUNTIF(O958:Q975,$B987)+COUNTIF(O958:Q975,$B987&amp;" ~*")&gt;0)+(IFERROR(INDEX(Setup!$G$33:$G$40,MATCH(S987,Setup!$B$33:$B$40,0)),0)=1)*(COUNTIF(S958:U975,$B987)+COUNTIF(S958:U975,$B987&amp;" ~*")&gt;0)+(IFERROR(INDEX(Setup!$G$33:$G$40,MATCH(W987,Setup!$B$33:$B$40,0)),0)=1)*(COUNTIF(W958:W975,$B987)+COUNTIF(W958:W975,$B987&amp;" ~*")&gt;0)+(IFERROR(INDEX(Setup!$G$33:$G$40,MATCH(Y987,Setup!$B$33:$B$40,0)),0)=1)*(COUNTIF(Y958:Y975,$B987)+COUNTIF(Y958:Y975,$B987&amp;" ~*")&gt;0))</f>
        <v/>
      </c>
    </row>
    <row r="988" ht="15" customHeight="1">
      <c r="A988" t="n">
        <v>20</v>
      </c>
      <c r="B988" s="37">
        <f>IF(Setup!$B$17="","",Setup!$B$17)</f>
        <v/>
      </c>
      <c r="C988" s="102" t="n"/>
      <c r="D988" s="103" t="n"/>
      <c r="E988" s="103" t="n"/>
      <c r="F988" s="104" t="n"/>
      <c r="G988" s="102" t="n"/>
      <c r="H988" s="103" t="n"/>
      <c r="I988" s="103" t="n"/>
      <c r="J988" s="104" t="n"/>
      <c r="K988" s="102" t="n"/>
      <c r="L988" s="103" t="n"/>
      <c r="M988" s="103" t="n"/>
      <c r="N988" s="104" t="n"/>
      <c r="O988" s="102" t="n"/>
      <c r="P988" s="103" t="n"/>
      <c r="Q988" s="103" t="n"/>
      <c r="R988" s="104" t="n"/>
      <c r="S988" s="102" t="n"/>
      <c r="T988" s="103" t="n"/>
      <c r="U988" s="103" t="n"/>
      <c r="V988" s="104" t="n"/>
      <c r="W988" s="102" t="n"/>
      <c r="X988" s="104" t="n"/>
      <c r="Y988" s="102" t="n"/>
      <c r="Z988" s="104" t="n"/>
      <c r="AB988" s="105">
        <f>IF($B988="","",(COUNTIF(C958:E975,$B988)+COUNTIF(C958:E975,$B988&amp;" ~*")&gt;0)+(COUNTIF(G958:I975,$B988)+COUNTIF(G958:I975,$B988&amp;" ~*")&gt;0)+(COUNTIF(K958:M975,$B988)+COUNTIF(K958:M975,$B988&amp;" ~*")&gt;0)+(COUNTIF(O958:Q975,$B988)+COUNTIF(O958:Q975,$B988&amp;" ~*")&gt;0)+(COUNTIF(S958:U975,$B988)+COUNTIF(S958:U975,$B988&amp;" ~*")&gt;0)+(COUNTIF(W958:W975,$B988)+COUNTIF(W958:W975,$B988&amp;" ~*")&gt;0)+(COUNTIF(Y958:Y975,$B988)+COUNTIF(Y958:Y975,$B988&amp;" ~*")&gt;0))</f>
        <v/>
      </c>
      <c r="AC988" s="38">
        <f>IF($B988="","",(IFERROR(INDEX(Setup!$G$33:$G$40,MATCH(C988,Setup!$B$33:$B$40,0)),0)=1)*(COUNTIF(C958:E975,$B988)+COUNTIF(C958:E975,$B988&amp;" ~*")&gt;0)+(IFERROR(INDEX(Setup!$G$33:$G$40,MATCH(G988,Setup!$B$33:$B$40,0)),0)=1)*(COUNTIF(G958:I975,$B988)+COUNTIF(G958:I975,$B988&amp;" ~*")&gt;0)+(IFERROR(INDEX(Setup!$G$33:$G$40,MATCH(K988,Setup!$B$33:$B$40,0)),0)=1)*(COUNTIF(K958:M975,$B988)+COUNTIF(K958:M975,$B988&amp;" ~*")&gt;0)+(IFERROR(INDEX(Setup!$G$33:$G$40,MATCH(O988,Setup!$B$33:$B$40,0)),0)=1)*(COUNTIF(O958:Q975,$B988)+COUNTIF(O958:Q975,$B988&amp;" ~*")&gt;0)+(IFERROR(INDEX(Setup!$G$33:$G$40,MATCH(S988,Setup!$B$33:$B$40,0)),0)=1)*(COUNTIF(S958:U975,$B988)+COUNTIF(S958:U975,$B988&amp;" ~*")&gt;0)+(IFERROR(INDEX(Setup!$G$33:$G$40,MATCH(W988,Setup!$B$33:$B$40,0)),0)=1)*(COUNTIF(W958:W975,$B988)+COUNTIF(W958:W975,$B988&amp;" ~*")&gt;0)+(IFERROR(INDEX(Setup!$G$33:$G$40,MATCH(Y988,Setup!$B$33:$B$40,0)),0)=1)*(COUNTIF(Y958:Y975,$B988)+COUNTIF(Y958:Y975,$B988&amp;" ~*")&gt;0))</f>
        <v/>
      </c>
    </row>
    <row r="989" ht="15" customHeight="1">
      <c r="A989" t="n">
        <v>20</v>
      </c>
      <c r="B989" s="35">
        <f>IF(Setup!$B$18="","",Setup!$B$18)</f>
        <v/>
      </c>
      <c r="C989" s="98" t="n"/>
      <c r="D989" s="99" t="n"/>
      <c r="E989" s="99" t="n"/>
      <c r="F989" s="100" t="n"/>
      <c r="G989" s="98" t="n"/>
      <c r="H989" s="99" t="n"/>
      <c r="I989" s="99" t="n"/>
      <c r="J989" s="100" t="n"/>
      <c r="K989" s="98" t="n"/>
      <c r="L989" s="99" t="n"/>
      <c r="M989" s="99" t="n"/>
      <c r="N989" s="100" t="n"/>
      <c r="O989" s="98" t="n"/>
      <c r="P989" s="99" t="n"/>
      <c r="Q989" s="99" t="n"/>
      <c r="R989" s="100" t="n"/>
      <c r="S989" s="98" t="n"/>
      <c r="T989" s="99" t="n"/>
      <c r="U989" s="99" t="n"/>
      <c r="V989" s="100" t="n"/>
      <c r="W989" s="98" t="n"/>
      <c r="X989" s="100" t="n"/>
      <c r="Y989" s="98" t="n"/>
      <c r="Z989" s="100" t="n"/>
      <c r="AB989" s="101">
        <f>IF($B989="","",(COUNTIF(C958:E975,$B989)+COUNTIF(C958:E975,$B989&amp;" ~*")&gt;0)+(COUNTIF(G958:I975,$B989)+COUNTIF(G958:I975,$B989&amp;" ~*")&gt;0)+(COUNTIF(K958:M975,$B989)+COUNTIF(K958:M975,$B989&amp;" ~*")&gt;0)+(COUNTIF(O958:Q975,$B989)+COUNTIF(O958:Q975,$B989&amp;" ~*")&gt;0)+(COUNTIF(S958:U975,$B989)+COUNTIF(S958:U975,$B989&amp;" ~*")&gt;0)+(COUNTIF(W958:W975,$B989)+COUNTIF(W958:W975,$B989&amp;" ~*")&gt;0)+(COUNTIF(Y958:Y975,$B989)+COUNTIF(Y958:Y975,$B989&amp;" ~*")&gt;0))</f>
        <v/>
      </c>
      <c r="AC989" s="36">
        <f>IF($B989="","",(IFERROR(INDEX(Setup!$G$33:$G$40,MATCH(C989,Setup!$B$33:$B$40,0)),0)=1)*(COUNTIF(C958:E975,$B989)+COUNTIF(C958:E975,$B989&amp;" ~*")&gt;0)+(IFERROR(INDEX(Setup!$G$33:$G$40,MATCH(G989,Setup!$B$33:$B$40,0)),0)=1)*(COUNTIF(G958:I975,$B989)+COUNTIF(G958:I975,$B989&amp;" ~*")&gt;0)+(IFERROR(INDEX(Setup!$G$33:$G$40,MATCH(K989,Setup!$B$33:$B$40,0)),0)=1)*(COUNTIF(K958:M975,$B989)+COUNTIF(K958:M975,$B989&amp;" ~*")&gt;0)+(IFERROR(INDEX(Setup!$G$33:$G$40,MATCH(O989,Setup!$B$33:$B$40,0)),0)=1)*(COUNTIF(O958:Q975,$B989)+COUNTIF(O958:Q975,$B989&amp;" ~*")&gt;0)+(IFERROR(INDEX(Setup!$G$33:$G$40,MATCH(S989,Setup!$B$33:$B$40,0)),0)=1)*(COUNTIF(S958:U975,$B989)+COUNTIF(S958:U975,$B989&amp;" ~*")&gt;0)+(IFERROR(INDEX(Setup!$G$33:$G$40,MATCH(W989,Setup!$B$33:$B$40,0)),0)=1)*(COUNTIF(W958:W975,$B989)+COUNTIF(W958:W975,$B989&amp;" ~*")&gt;0)+(IFERROR(INDEX(Setup!$G$33:$G$40,MATCH(Y989,Setup!$B$33:$B$40,0)),0)=1)*(COUNTIF(Y958:Y975,$B989)+COUNTIF(Y958:Y975,$B989&amp;" ~*")&gt;0))</f>
        <v/>
      </c>
    </row>
    <row r="990" ht="15" customHeight="1">
      <c r="A990" t="n">
        <v>20</v>
      </c>
      <c r="B990" s="37">
        <f>IF(Setup!$B$19="","",Setup!$B$19)</f>
        <v/>
      </c>
      <c r="C990" s="102" t="n"/>
      <c r="D990" s="103" t="n"/>
      <c r="E990" s="103" t="n"/>
      <c r="F990" s="104" t="n"/>
      <c r="G990" s="102" t="n"/>
      <c r="H990" s="103" t="n"/>
      <c r="I990" s="103" t="n"/>
      <c r="J990" s="104" t="n"/>
      <c r="K990" s="102" t="n"/>
      <c r="L990" s="103" t="n"/>
      <c r="M990" s="103" t="n"/>
      <c r="N990" s="104" t="n"/>
      <c r="O990" s="102" t="n"/>
      <c r="P990" s="103" t="n"/>
      <c r="Q990" s="103" t="n"/>
      <c r="R990" s="104" t="n"/>
      <c r="S990" s="102" t="n"/>
      <c r="T990" s="103" t="n"/>
      <c r="U990" s="103" t="n"/>
      <c r="V990" s="104" t="n"/>
      <c r="W990" s="102" t="n"/>
      <c r="X990" s="104" t="n"/>
      <c r="Y990" s="102" t="n"/>
      <c r="Z990" s="104" t="n"/>
      <c r="AB990" s="105">
        <f>IF($B990="","",(COUNTIF(C958:E975,$B990)+COUNTIF(C958:E975,$B990&amp;" ~*")&gt;0)+(COUNTIF(G958:I975,$B990)+COUNTIF(G958:I975,$B990&amp;" ~*")&gt;0)+(COUNTIF(K958:M975,$B990)+COUNTIF(K958:M975,$B990&amp;" ~*")&gt;0)+(COUNTIF(O958:Q975,$B990)+COUNTIF(O958:Q975,$B990&amp;" ~*")&gt;0)+(COUNTIF(S958:U975,$B990)+COUNTIF(S958:U975,$B990&amp;" ~*")&gt;0)+(COUNTIF(W958:W975,$B990)+COUNTIF(W958:W975,$B990&amp;" ~*")&gt;0)+(COUNTIF(Y958:Y975,$B990)+COUNTIF(Y958:Y975,$B990&amp;" ~*")&gt;0))</f>
        <v/>
      </c>
      <c r="AC990" s="38">
        <f>IF($B990="","",(IFERROR(INDEX(Setup!$G$33:$G$40,MATCH(C990,Setup!$B$33:$B$40,0)),0)=1)*(COUNTIF(C958:E975,$B990)+COUNTIF(C958:E975,$B990&amp;" ~*")&gt;0)+(IFERROR(INDEX(Setup!$G$33:$G$40,MATCH(G990,Setup!$B$33:$B$40,0)),0)=1)*(COUNTIF(G958:I975,$B990)+COUNTIF(G958:I975,$B990&amp;" ~*")&gt;0)+(IFERROR(INDEX(Setup!$G$33:$G$40,MATCH(K990,Setup!$B$33:$B$40,0)),0)=1)*(COUNTIF(K958:M975,$B990)+COUNTIF(K958:M975,$B990&amp;" ~*")&gt;0)+(IFERROR(INDEX(Setup!$G$33:$G$40,MATCH(O990,Setup!$B$33:$B$40,0)),0)=1)*(COUNTIF(O958:Q975,$B990)+COUNTIF(O958:Q975,$B990&amp;" ~*")&gt;0)+(IFERROR(INDEX(Setup!$G$33:$G$40,MATCH(S990,Setup!$B$33:$B$40,0)),0)=1)*(COUNTIF(S958:U975,$B990)+COUNTIF(S958:U975,$B990&amp;" ~*")&gt;0)+(IFERROR(INDEX(Setup!$G$33:$G$40,MATCH(W990,Setup!$B$33:$B$40,0)),0)=1)*(COUNTIF(W958:W975,$B990)+COUNTIF(W958:W975,$B990&amp;" ~*")&gt;0)+(IFERROR(INDEX(Setup!$G$33:$G$40,MATCH(Y990,Setup!$B$33:$B$40,0)),0)=1)*(COUNTIF(Y958:Y975,$B990)+COUNTIF(Y958:Y975,$B990&amp;" ~*")&gt;0))</f>
        <v/>
      </c>
    </row>
    <row r="991" ht="15" customHeight="1">
      <c r="A991" t="n">
        <v>20</v>
      </c>
      <c r="B991" s="35">
        <f>IF(Setup!$B$20="","",Setup!$B$20)</f>
        <v/>
      </c>
      <c r="C991" s="98" t="n"/>
      <c r="D991" s="99" t="n"/>
      <c r="E991" s="99" t="n"/>
      <c r="F991" s="100" t="n"/>
      <c r="G991" s="98" t="n"/>
      <c r="H991" s="99" t="n"/>
      <c r="I991" s="99" t="n"/>
      <c r="J991" s="100" t="n"/>
      <c r="K991" s="98" t="n"/>
      <c r="L991" s="99" t="n"/>
      <c r="M991" s="99" t="n"/>
      <c r="N991" s="100" t="n"/>
      <c r="O991" s="98" t="n"/>
      <c r="P991" s="99" t="n"/>
      <c r="Q991" s="99" t="n"/>
      <c r="R991" s="100" t="n"/>
      <c r="S991" s="98" t="n"/>
      <c r="T991" s="99" t="n"/>
      <c r="U991" s="99" t="n"/>
      <c r="V991" s="100" t="n"/>
      <c r="W991" s="98" t="n"/>
      <c r="X991" s="100" t="n"/>
      <c r="Y991" s="98" t="n"/>
      <c r="Z991" s="100" t="n"/>
      <c r="AB991" s="101">
        <f>IF($B991="","",(COUNTIF(C958:E975,$B991)+COUNTIF(C958:E975,$B991&amp;" ~*")&gt;0)+(COUNTIF(G958:I975,$B991)+COUNTIF(G958:I975,$B991&amp;" ~*")&gt;0)+(COUNTIF(K958:M975,$B991)+COUNTIF(K958:M975,$B991&amp;" ~*")&gt;0)+(COUNTIF(O958:Q975,$B991)+COUNTIF(O958:Q975,$B991&amp;" ~*")&gt;0)+(COUNTIF(S958:U975,$B991)+COUNTIF(S958:U975,$B991&amp;" ~*")&gt;0)+(COUNTIF(W958:W975,$B991)+COUNTIF(W958:W975,$B991&amp;" ~*")&gt;0)+(COUNTIF(Y958:Y975,$B991)+COUNTIF(Y958:Y975,$B991&amp;" ~*")&gt;0))</f>
        <v/>
      </c>
      <c r="AC991" s="36">
        <f>IF($B991="","",(IFERROR(INDEX(Setup!$G$33:$G$40,MATCH(C991,Setup!$B$33:$B$40,0)),0)=1)*(COUNTIF(C958:E975,$B991)+COUNTIF(C958:E975,$B991&amp;" ~*")&gt;0)+(IFERROR(INDEX(Setup!$G$33:$G$40,MATCH(G991,Setup!$B$33:$B$40,0)),0)=1)*(COUNTIF(G958:I975,$B991)+COUNTIF(G958:I975,$B991&amp;" ~*")&gt;0)+(IFERROR(INDEX(Setup!$G$33:$G$40,MATCH(K991,Setup!$B$33:$B$40,0)),0)=1)*(COUNTIF(K958:M975,$B991)+COUNTIF(K958:M975,$B991&amp;" ~*")&gt;0)+(IFERROR(INDEX(Setup!$G$33:$G$40,MATCH(O991,Setup!$B$33:$B$40,0)),0)=1)*(COUNTIF(O958:Q975,$B991)+COUNTIF(O958:Q975,$B991&amp;" ~*")&gt;0)+(IFERROR(INDEX(Setup!$G$33:$G$40,MATCH(S991,Setup!$B$33:$B$40,0)),0)=1)*(COUNTIF(S958:U975,$B991)+COUNTIF(S958:U975,$B991&amp;" ~*")&gt;0)+(IFERROR(INDEX(Setup!$G$33:$G$40,MATCH(W991,Setup!$B$33:$B$40,0)),0)=1)*(COUNTIF(W958:W975,$B991)+COUNTIF(W958:W975,$B991&amp;" ~*")&gt;0)+(IFERROR(INDEX(Setup!$G$33:$G$40,MATCH(Y991,Setup!$B$33:$B$40,0)),0)=1)*(COUNTIF(Y958:Y975,$B991)+COUNTIF(Y958:Y975,$B991&amp;" ~*")&gt;0))</f>
        <v/>
      </c>
    </row>
    <row r="992" ht="15" customHeight="1">
      <c r="A992" t="n">
        <v>20</v>
      </c>
      <c r="B992" s="37">
        <f>IF(Setup!$B$21="","",Setup!$B$21)</f>
        <v/>
      </c>
      <c r="C992" s="102" t="n"/>
      <c r="D992" s="103" t="n"/>
      <c r="E992" s="103" t="n"/>
      <c r="F992" s="104" t="n"/>
      <c r="G992" s="102" t="n"/>
      <c r="H992" s="103" t="n"/>
      <c r="I992" s="103" t="n"/>
      <c r="J992" s="104" t="n"/>
      <c r="K992" s="102" t="n"/>
      <c r="L992" s="103" t="n"/>
      <c r="M992" s="103" t="n"/>
      <c r="N992" s="104" t="n"/>
      <c r="O992" s="102" t="n"/>
      <c r="P992" s="103" t="n"/>
      <c r="Q992" s="103" t="n"/>
      <c r="R992" s="104" t="n"/>
      <c r="S992" s="102" t="n"/>
      <c r="T992" s="103" t="n"/>
      <c r="U992" s="103" t="n"/>
      <c r="V992" s="104" t="n"/>
      <c r="W992" s="102" t="n"/>
      <c r="X992" s="104" t="n"/>
      <c r="Y992" s="102" t="n"/>
      <c r="Z992" s="104" t="n"/>
      <c r="AB992" s="105">
        <f>IF($B992="","",(COUNTIF(C958:E975,$B992)+COUNTIF(C958:E975,$B992&amp;" ~*")&gt;0)+(COUNTIF(G958:I975,$B992)+COUNTIF(G958:I975,$B992&amp;" ~*")&gt;0)+(COUNTIF(K958:M975,$B992)+COUNTIF(K958:M975,$B992&amp;" ~*")&gt;0)+(COUNTIF(O958:Q975,$B992)+COUNTIF(O958:Q975,$B992&amp;" ~*")&gt;0)+(COUNTIF(S958:U975,$B992)+COUNTIF(S958:U975,$B992&amp;" ~*")&gt;0)+(COUNTIF(W958:W975,$B992)+COUNTIF(W958:W975,$B992&amp;" ~*")&gt;0)+(COUNTIF(Y958:Y975,$B992)+COUNTIF(Y958:Y975,$B992&amp;" ~*")&gt;0))</f>
        <v/>
      </c>
      <c r="AC992" s="38">
        <f>IF($B992="","",(IFERROR(INDEX(Setup!$G$33:$G$40,MATCH(C992,Setup!$B$33:$B$40,0)),0)=1)*(COUNTIF(C958:E975,$B992)+COUNTIF(C958:E975,$B992&amp;" ~*")&gt;0)+(IFERROR(INDEX(Setup!$G$33:$G$40,MATCH(G992,Setup!$B$33:$B$40,0)),0)=1)*(COUNTIF(G958:I975,$B992)+COUNTIF(G958:I975,$B992&amp;" ~*")&gt;0)+(IFERROR(INDEX(Setup!$G$33:$G$40,MATCH(K992,Setup!$B$33:$B$40,0)),0)=1)*(COUNTIF(K958:M975,$B992)+COUNTIF(K958:M975,$B992&amp;" ~*")&gt;0)+(IFERROR(INDEX(Setup!$G$33:$G$40,MATCH(O992,Setup!$B$33:$B$40,0)),0)=1)*(COUNTIF(O958:Q975,$B992)+COUNTIF(O958:Q975,$B992&amp;" ~*")&gt;0)+(IFERROR(INDEX(Setup!$G$33:$G$40,MATCH(S992,Setup!$B$33:$B$40,0)),0)=1)*(COUNTIF(S958:U975,$B992)+COUNTIF(S958:U975,$B992&amp;" ~*")&gt;0)+(IFERROR(INDEX(Setup!$G$33:$G$40,MATCH(W992,Setup!$B$33:$B$40,0)),0)=1)*(COUNTIF(W958:W975,$B992)+COUNTIF(W958:W975,$B992&amp;" ~*")&gt;0)+(IFERROR(INDEX(Setup!$G$33:$G$40,MATCH(Y992,Setup!$B$33:$B$40,0)),0)=1)*(COUNTIF(Y958:Y975,$B992)+COUNTIF(Y958:Y975,$B992&amp;" ~*")&gt;0))</f>
        <v/>
      </c>
    </row>
    <row r="993" ht="15" customHeight="1">
      <c r="A993" t="n">
        <v>20</v>
      </c>
      <c r="B993" s="35">
        <f>IF(Setup!$B$22="","",Setup!$B$22)</f>
        <v/>
      </c>
      <c r="C993" s="98" t="n"/>
      <c r="D993" s="99" t="n"/>
      <c r="E993" s="99" t="n"/>
      <c r="F993" s="100" t="n"/>
      <c r="G993" s="98" t="n"/>
      <c r="H993" s="99" t="n"/>
      <c r="I993" s="99" t="n"/>
      <c r="J993" s="100" t="n"/>
      <c r="K993" s="98" t="n"/>
      <c r="L993" s="99" t="n"/>
      <c r="M993" s="99" t="n"/>
      <c r="N993" s="100" t="n"/>
      <c r="O993" s="98" t="n"/>
      <c r="P993" s="99" t="n"/>
      <c r="Q993" s="99" t="n"/>
      <c r="R993" s="100" t="n"/>
      <c r="S993" s="98" t="n"/>
      <c r="T993" s="99" t="n"/>
      <c r="U993" s="99" t="n"/>
      <c r="V993" s="100" t="n"/>
      <c r="W993" s="98" t="n"/>
      <c r="X993" s="100" t="n"/>
      <c r="Y993" s="98" t="n"/>
      <c r="Z993" s="100" t="n"/>
      <c r="AB993" s="101">
        <f>IF($B993="","",(COUNTIF(C958:E975,$B993)+COUNTIF(C958:E975,$B993&amp;" ~*")&gt;0)+(COUNTIF(G958:I975,$B993)+COUNTIF(G958:I975,$B993&amp;" ~*")&gt;0)+(COUNTIF(K958:M975,$B993)+COUNTIF(K958:M975,$B993&amp;" ~*")&gt;0)+(COUNTIF(O958:Q975,$B993)+COUNTIF(O958:Q975,$B993&amp;" ~*")&gt;0)+(COUNTIF(S958:U975,$B993)+COUNTIF(S958:U975,$B993&amp;" ~*")&gt;0)+(COUNTIF(W958:W975,$B993)+COUNTIF(W958:W975,$B993&amp;" ~*")&gt;0)+(COUNTIF(Y958:Y975,$B993)+COUNTIF(Y958:Y975,$B993&amp;" ~*")&gt;0))</f>
        <v/>
      </c>
      <c r="AC993" s="36">
        <f>IF($B993="","",(IFERROR(INDEX(Setup!$G$33:$G$40,MATCH(C993,Setup!$B$33:$B$40,0)),0)=1)*(COUNTIF(C958:E975,$B993)+COUNTIF(C958:E975,$B993&amp;" ~*")&gt;0)+(IFERROR(INDEX(Setup!$G$33:$G$40,MATCH(G993,Setup!$B$33:$B$40,0)),0)=1)*(COUNTIF(G958:I975,$B993)+COUNTIF(G958:I975,$B993&amp;" ~*")&gt;0)+(IFERROR(INDEX(Setup!$G$33:$G$40,MATCH(K993,Setup!$B$33:$B$40,0)),0)=1)*(COUNTIF(K958:M975,$B993)+COUNTIF(K958:M975,$B993&amp;" ~*")&gt;0)+(IFERROR(INDEX(Setup!$G$33:$G$40,MATCH(O993,Setup!$B$33:$B$40,0)),0)=1)*(COUNTIF(O958:Q975,$B993)+COUNTIF(O958:Q975,$B993&amp;" ~*")&gt;0)+(IFERROR(INDEX(Setup!$G$33:$G$40,MATCH(S993,Setup!$B$33:$B$40,0)),0)=1)*(COUNTIF(S958:U975,$B993)+COUNTIF(S958:U975,$B993&amp;" ~*")&gt;0)+(IFERROR(INDEX(Setup!$G$33:$G$40,MATCH(W993,Setup!$B$33:$B$40,0)),0)=1)*(COUNTIF(W958:W975,$B993)+COUNTIF(W958:W975,$B993&amp;" ~*")&gt;0)+(IFERROR(INDEX(Setup!$G$33:$G$40,MATCH(Y993,Setup!$B$33:$B$40,0)),0)=1)*(COUNTIF(Y958:Y975,$B993)+COUNTIF(Y958:Y975,$B993&amp;" ~*")&gt;0))</f>
        <v/>
      </c>
    </row>
    <row r="994" ht="15" customHeight="1">
      <c r="A994" t="n">
        <v>20</v>
      </c>
      <c r="B994" s="37">
        <f>IF(Setup!$B$23="","",Setup!$B$23)</f>
        <v/>
      </c>
      <c r="C994" s="102" t="n"/>
      <c r="D994" s="103" t="n"/>
      <c r="E994" s="103" t="n"/>
      <c r="F994" s="104" t="n"/>
      <c r="G994" s="102" t="n"/>
      <c r="H994" s="103" t="n"/>
      <c r="I994" s="103" t="n"/>
      <c r="J994" s="104" t="n"/>
      <c r="K994" s="102" t="n"/>
      <c r="L994" s="103" t="n"/>
      <c r="M994" s="103" t="n"/>
      <c r="N994" s="104" t="n"/>
      <c r="O994" s="102" t="n"/>
      <c r="P994" s="103" t="n"/>
      <c r="Q994" s="103" t="n"/>
      <c r="R994" s="104" t="n"/>
      <c r="S994" s="102" t="n"/>
      <c r="T994" s="103" t="n"/>
      <c r="U994" s="103" t="n"/>
      <c r="V994" s="104" t="n"/>
      <c r="W994" s="102" t="n"/>
      <c r="X994" s="104" t="n"/>
      <c r="Y994" s="102" t="n"/>
      <c r="Z994" s="104" t="n"/>
      <c r="AB994" s="105">
        <f>IF($B994="","",(COUNTIF(C958:E975,$B994)+COUNTIF(C958:E975,$B994&amp;" ~*")&gt;0)+(COUNTIF(G958:I975,$B994)+COUNTIF(G958:I975,$B994&amp;" ~*")&gt;0)+(COUNTIF(K958:M975,$B994)+COUNTIF(K958:M975,$B994&amp;" ~*")&gt;0)+(COUNTIF(O958:Q975,$B994)+COUNTIF(O958:Q975,$B994&amp;" ~*")&gt;0)+(COUNTIF(S958:U975,$B994)+COUNTIF(S958:U975,$B994&amp;" ~*")&gt;0)+(COUNTIF(W958:W975,$B994)+COUNTIF(W958:W975,$B994&amp;" ~*")&gt;0)+(COUNTIF(Y958:Y975,$B994)+COUNTIF(Y958:Y975,$B994&amp;" ~*")&gt;0))</f>
        <v/>
      </c>
      <c r="AC994" s="38">
        <f>IF($B994="","",(IFERROR(INDEX(Setup!$G$33:$G$40,MATCH(C994,Setup!$B$33:$B$40,0)),0)=1)*(COUNTIF(C958:E975,$B994)+COUNTIF(C958:E975,$B994&amp;" ~*")&gt;0)+(IFERROR(INDEX(Setup!$G$33:$G$40,MATCH(G994,Setup!$B$33:$B$40,0)),0)=1)*(COUNTIF(G958:I975,$B994)+COUNTIF(G958:I975,$B994&amp;" ~*")&gt;0)+(IFERROR(INDEX(Setup!$G$33:$G$40,MATCH(K994,Setup!$B$33:$B$40,0)),0)=1)*(COUNTIF(K958:M975,$B994)+COUNTIF(K958:M975,$B994&amp;" ~*")&gt;0)+(IFERROR(INDEX(Setup!$G$33:$G$40,MATCH(O994,Setup!$B$33:$B$40,0)),0)=1)*(COUNTIF(O958:Q975,$B994)+COUNTIF(O958:Q975,$B994&amp;" ~*")&gt;0)+(IFERROR(INDEX(Setup!$G$33:$G$40,MATCH(S994,Setup!$B$33:$B$40,0)),0)=1)*(COUNTIF(S958:U975,$B994)+COUNTIF(S958:U975,$B994&amp;" ~*")&gt;0)+(IFERROR(INDEX(Setup!$G$33:$G$40,MATCH(W994,Setup!$B$33:$B$40,0)),0)=1)*(COUNTIF(W958:W975,$B994)+COUNTIF(W958:W975,$B994&amp;" ~*")&gt;0)+(IFERROR(INDEX(Setup!$G$33:$G$40,MATCH(Y994,Setup!$B$33:$B$40,0)),0)=1)*(COUNTIF(Y958:Y975,$B994)+COUNTIF(Y958:Y975,$B994&amp;" ~*")&gt;0))</f>
        <v/>
      </c>
    </row>
    <row r="995" ht="15" customHeight="1">
      <c r="A995" t="n">
        <v>20</v>
      </c>
      <c r="B995" s="35">
        <f>IF(Setup!$B$24="","",Setup!$B$24)</f>
        <v/>
      </c>
      <c r="C995" s="98" t="n"/>
      <c r="D995" s="99" t="n"/>
      <c r="E995" s="99" t="n"/>
      <c r="F995" s="100" t="n"/>
      <c r="G995" s="98" t="n"/>
      <c r="H995" s="99" t="n"/>
      <c r="I995" s="99" t="n"/>
      <c r="J995" s="100" t="n"/>
      <c r="K995" s="98" t="n"/>
      <c r="L995" s="99" t="n"/>
      <c r="M995" s="99" t="n"/>
      <c r="N995" s="100" t="n"/>
      <c r="O995" s="98" t="n"/>
      <c r="P995" s="99" t="n"/>
      <c r="Q995" s="99" t="n"/>
      <c r="R995" s="100" t="n"/>
      <c r="S995" s="98" t="n"/>
      <c r="T995" s="99" t="n"/>
      <c r="U995" s="99" t="n"/>
      <c r="V995" s="100" t="n"/>
      <c r="W995" s="98" t="n"/>
      <c r="X995" s="100" t="n"/>
      <c r="Y995" s="98" t="n"/>
      <c r="Z995" s="100" t="n"/>
      <c r="AB995" s="101">
        <f>IF($B995="","",(COUNTIF(C958:E975,$B995)+COUNTIF(C958:E975,$B995&amp;" ~*")&gt;0)+(COUNTIF(G958:I975,$B995)+COUNTIF(G958:I975,$B995&amp;" ~*")&gt;0)+(COUNTIF(K958:M975,$B995)+COUNTIF(K958:M975,$B995&amp;" ~*")&gt;0)+(COUNTIF(O958:Q975,$B995)+COUNTIF(O958:Q975,$B995&amp;" ~*")&gt;0)+(COUNTIF(S958:U975,$B995)+COUNTIF(S958:U975,$B995&amp;" ~*")&gt;0)+(COUNTIF(W958:W975,$B995)+COUNTIF(W958:W975,$B995&amp;" ~*")&gt;0)+(COUNTIF(Y958:Y975,$B995)+COUNTIF(Y958:Y975,$B995&amp;" ~*")&gt;0))</f>
        <v/>
      </c>
      <c r="AC995" s="36">
        <f>IF($B995="","",(IFERROR(INDEX(Setup!$G$33:$G$40,MATCH(C995,Setup!$B$33:$B$40,0)),0)=1)*(COUNTIF(C958:E975,$B995)+COUNTIF(C958:E975,$B995&amp;" ~*")&gt;0)+(IFERROR(INDEX(Setup!$G$33:$G$40,MATCH(G995,Setup!$B$33:$B$40,0)),0)=1)*(COUNTIF(G958:I975,$B995)+COUNTIF(G958:I975,$B995&amp;" ~*")&gt;0)+(IFERROR(INDEX(Setup!$G$33:$G$40,MATCH(K995,Setup!$B$33:$B$40,0)),0)=1)*(COUNTIF(K958:M975,$B995)+COUNTIF(K958:M975,$B995&amp;" ~*")&gt;0)+(IFERROR(INDEX(Setup!$G$33:$G$40,MATCH(O995,Setup!$B$33:$B$40,0)),0)=1)*(COUNTIF(O958:Q975,$B995)+COUNTIF(O958:Q975,$B995&amp;" ~*")&gt;0)+(IFERROR(INDEX(Setup!$G$33:$G$40,MATCH(S995,Setup!$B$33:$B$40,0)),0)=1)*(COUNTIF(S958:U975,$B995)+COUNTIF(S958:U975,$B995&amp;" ~*")&gt;0)+(IFERROR(INDEX(Setup!$G$33:$G$40,MATCH(W995,Setup!$B$33:$B$40,0)),0)=1)*(COUNTIF(W958:W975,$B995)+COUNTIF(W958:W975,$B995&amp;" ~*")&gt;0)+(IFERROR(INDEX(Setup!$G$33:$G$40,MATCH(Y995,Setup!$B$33:$B$40,0)),0)=1)*(COUNTIF(Y958:Y975,$B995)+COUNTIF(Y958:Y975,$B995&amp;" ~*")&gt;0))</f>
        <v/>
      </c>
    </row>
    <row r="996" ht="15" customHeight="1">
      <c r="A996" t="n">
        <v>20</v>
      </c>
      <c r="B996" s="37">
        <f>IF(Setup!$B$25="","",Setup!$B$25)</f>
        <v/>
      </c>
      <c r="C996" s="102" t="n"/>
      <c r="D996" s="103" t="n"/>
      <c r="E996" s="103" t="n"/>
      <c r="F996" s="104" t="n"/>
      <c r="G996" s="102" t="n"/>
      <c r="H996" s="103" t="n"/>
      <c r="I996" s="103" t="n"/>
      <c r="J996" s="104" t="n"/>
      <c r="K996" s="102" t="n"/>
      <c r="L996" s="103" t="n"/>
      <c r="M996" s="103" t="n"/>
      <c r="N996" s="104" t="n"/>
      <c r="O996" s="102" t="n"/>
      <c r="P996" s="103" t="n"/>
      <c r="Q996" s="103" t="n"/>
      <c r="R996" s="104" t="n"/>
      <c r="S996" s="102" t="n"/>
      <c r="T996" s="103" t="n"/>
      <c r="U996" s="103" t="n"/>
      <c r="V996" s="104" t="n"/>
      <c r="W996" s="102" t="n"/>
      <c r="X996" s="104" t="n"/>
      <c r="Y996" s="102" t="n"/>
      <c r="Z996" s="104" t="n"/>
      <c r="AB996" s="105">
        <f>IF($B996="","",(COUNTIF(C958:E975,$B996)+COUNTIF(C958:E975,$B996&amp;" ~*")&gt;0)+(COUNTIF(G958:I975,$B996)+COUNTIF(G958:I975,$B996&amp;" ~*")&gt;0)+(COUNTIF(K958:M975,$B996)+COUNTIF(K958:M975,$B996&amp;" ~*")&gt;0)+(COUNTIF(O958:Q975,$B996)+COUNTIF(O958:Q975,$B996&amp;" ~*")&gt;0)+(COUNTIF(S958:U975,$B996)+COUNTIF(S958:U975,$B996&amp;" ~*")&gt;0)+(COUNTIF(W958:W975,$B996)+COUNTIF(W958:W975,$B996&amp;" ~*")&gt;0)+(COUNTIF(Y958:Y975,$B996)+COUNTIF(Y958:Y975,$B996&amp;" ~*")&gt;0))</f>
        <v/>
      </c>
      <c r="AC996" s="38">
        <f>IF($B996="","",(IFERROR(INDEX(Setup!$G$33:$G$40,MATCH(C996,Setup!$B$33:$B$40,0)),0)=1)*(COUNTIF(C958:E975,$B996)+COUNTIF(C958:E975,$B996&amp;" ~*")&gt;0)+(IFERROR(INDEX(Setup!$G$33:$G$40,MATCH(G996,Setup!$B$33:$B$40,0)),0)=1)*(COUNTIF(G958:I975,$B996)+COUNTIF(G958:I975,$B996&amp;" ~*")&gt;0)+(IFERROR(INDEX(Setup!$G$33:$G$40,MATCH(K996,Setup!$B$33:$B$40,0)),0)=1)*(COUNTIF(K958:M975,$B996)+COUNTIF(K958:M975,$B996&amp;" ~*")&gt;0)+(IFERROR(INDEX(Setup!$G$33:$G$40,MATCH(O996,Setup!$B$33:$B$40,0)),0)=1)*(COUNTIF(O958:Q975,$B996)+COUNTIF(O958:Q975,$B996&amp;" ~*")&gt;0)+(IFERROR(INDEX(Setup!$G$33:$G$40,MATCH(S996,Setup!$B$33:$B$40,0)),0)=1)*(COUNTIF(S958:U975,$B996)+COUNTIF(S958:U975,$B996&amp;" ~*")&gt;0)+(IFERROR(INDEX(Setup!$G$33:$G$40,MATCH(W996,Setup!$B$33:$B$40,0)),0)=1)*(COUNTIF(W958:W975,$B996)+COUNTIF(W958:W975,$B996&amp;" ~*")&gt;0)+(IFERROR(INDEX(Setup!$G$33:$G$40,MATCH(Y996,Setup!$B$33:$B$40,0)),0)=1)*(COUNTIF(Y958:Y975,$B996)+COUNTIF(Y958:Y975,$B996&amp;" ~*")&gt;0))</f>
        <v/>
      </c>
    </row>
    <row r="997" ht="15" customHeight="1">
      <c r="A997" t="n">
        <v>20</v>
      </c>
      <c r="B997" s="35">
        <f>IF(Setup!$B$26="","",Setup!$B$26)</f>
        <v/>
      </c>
      <c r="C997" s="98" t="n"/>
      <c r="D997" s="99" t="n"/>
      <c r="E997" s="99" t="n"/>
      <c r="F997" s="100" t="n"/>
      <c r="G997" s="98" t="n"/>
      <c r="H997" s="99" t="n"/>
      <c r="I997" s="99" t="n"/>
      <c r="J997" s="100" t="n"/>
      <c r="K997" s="98" t="n"/>
      <c r="L997" s="99" t="n"/>
      <c r="M997" s="99" t="n"/>
      <c r="N997" s="100" t="n"/>
      <c r="O997" s="98" t="n"/>
      <c r="P997" s="99" t="n"/>
      <c r="Q997" s="99" t="n"/>
      <c r="R997" s="100" t="n"/>
      <c r="S997" s="98" t="n"/>
      <c r="T997" s="99" t="n"/>
      <c r="U997" s="99" t="n"/>
      <c r="V997" s="100" t="n"/>
      <c r="W997" s="98" t="n"/>
      <c r="X997" s="100" t="n"/>
      <c r="Y997" s="98" t="n"/>
      <c r="Z997" s="100" t="n"/>
      <c r="AB997" s="101">
        <f>IF($B997="","",(COUNTIF(C958:E975,$B997)+COUNTIF(C958:E975,$B997&amp;" ~*")&gt;0)+(COUNTIF(G958:I975,$B997)+COUNTIF(G958:I975,$B997&amp;" ~*")&gt;0)+(COUNTIF(K958:M975,$B997)+COUNTIF(K958:M975,$B997&amp;" ~*")&gt;0)+(COUNTIF(O958:Q975,$B997)+COUNTIF(O958:Q975,$B997&amp;" ~*")&gt;0)+(COUNTIF(S958:U975,$B997)+COUNTIF(S958:U975,$B997&amp;" ~*")&gt;0)+(COUNTIF(W958:W975,$B997)+COUNTIF(W958:W975,$B997&amp;" ~*")&gt;0)+(COUNTIF(Y958:Y975,$B997)+COUNTIF(Y958:Y975,$B997&amp;" ~*")&gt;0))</f>
        <v/>
      </c>
      <c r="AC997" s="36">
        <f>IF($B997="","",(IFERROR(INDEX(Setup!$G$33:$G$40,MATCH(C997,Setup!$B$33:$B$40,0)),0)=1)*(COUNTIF(C958:E975,$B997)+COUNTIF(C958:E975,$B997&amp;" ~*")&gt;0)+(IFERROR(INDEX(Setup!$G$33:$G$40,MATCH(G997,Setup!$B$33:$B$40,0)),0)=1)*(COUNTIF(G958:I975,$B997)+COUNTIF(G958:I975,$B997&amp;" ~*")&gt;0)+(IFERROR(INDEX(Setup!$G$33:$G$40,MATCH(K997,Setup!$B$33:$B$40,0)),0)=1)*(COUNTIF(K958:M975,$B997)+COUNTIF(K958:M975,$B997&amp;" ~*")&gt;0)+(IFERROR(INDEX(Setup!$G$33:$G$40,MATCH(O997,Setup!$B$33:$B$40,0)),0)=1)*(COUNTIF(O958:Q975,$B997)+COUNTIF(O958:Q975,$B997&amp;" ~*")&gt;0)+(IFERROR(INDEX(Setup!$G$33:$G$40,MATCH(S997,Setup!$B$33:$B$40,0)),0)=1)*(COUNTIF(S958:U975,$B997)+COUNTIF(S958:U975,$B997&amp;" ~*")&gt;0)+(IFERROR(INDEX(Setup!$G$33:$G$40,MATCH(W997,Setup!$B$33:$B$40,0)),0)=1)*(COUNTIF(W958:W975,$B997)+COUNTIF(W958:W975,$B997&amp;" ~*")&gt;0)+(IFERROR(INDEX(Setup!$G$33:$G$40,MATCH(Y997,Setup!$B$33:$B$40,0)),0)=1)*(COUNTIF(Y958:Y975,$B997)+COUNTIF(Y958:Y975,$B997&amp;" ~*")&gt;0))</f>
        <v/>
      </c>
    </row>
    <row r="998" ht="15" customHeight="1">
      <c r="A998" t="n">
        <v>20</v>
      </c>
      <c r="B998" s="37">
        <f>IF(Setup!$B$27="","",Setup!$B$27)</f>
        <v/>
      </c>
      <c r="C998" s="102" t="n"/>
      <c r="D998" s="103" t="n"/>
      <c r="E998" s="103" t="n"/>
      <c r="F998" s="104" t="n"/>
      <c r="G998" s="102" t="n"/>
      <c r="H998" s="103" t="n"/>
      <c r="I998" s="103" t="n"/>
      <c r="J998" s="104" t="n"/>
      <c r="K998" s="102" t="n"/>
      <c r="L998" s="103" t="n"/>
      <c r="M998" s="103" t="n"/>
      <c r="N998" s="104" t="n"/>
      <c r="O998" s="102" t="n"/>
      <c r="P998" s="103" t="n"/>
      <c r="Q998" s="103" t="n"/>
      <c r="R998" s="104" t="n"/>
      <c r="S998" s="102" t="n"/>
      <c r="T998" s="103" t="n"/>
      <c r="U998" s="103" t="n"/>
      <c r="V998" s="104" t="n"/>
      <c r="W998" s="102" t="n"/>
      <c r="X998" s="104" t="n"/>
      <c r="Y998" s="102" t="n"/>
      <c r="Z998" s="104" t="n"/>
      <c r="AB998" s="105">
        <f>IF($B998="","",(COUNTIF(C958:E975,$B998)+COUNTIF(C958:E975,$B998&amp;" ~*")&gt;0)+(COUNTIF(G958:I975,$B998)+COUNTIF(G958:I975,$B998&amp;" ~*")&gt;0)+(COUNTIF(K958:M975,$B998)+COUNTIF(K958:M975,$B998&amp;" ~*")&gt;0)+(COUNTIF(O958:Q975,$B998)+COUNTIF(O958:Q975,$B998&amp;" ~*")&gt;0)+(COUNTIF(S958:U975,$B998)+COUNTIF(S958:U975,$B998&amp;" ~*")&gt;0)+(COUNTIF(W958:W975,$B998)+COUNTIF(W958:W975,$B998&amp;" ~*")&gt;0)+(COUNTIF(Y958:Y975,$B998)+COUNTIF(Y958:Y975,$B998&amp;" ~*")&gt;0))</f>
        <v/>
      </c>
      <c r="AC998" s="38">
        <f>IF($B998="","",(IFERROR(INDEX(Setup!$G$33:$G$40,MATCH(C998,Setup!$B$33:$B$40,0)),0)=1)*(COUNTIF(C958:E975,$B998)+COUNTIF(C958:E975,$B998&amp;" ~*")&gt;0)+(IFERROR(INDEX(Setup!$G$33:$G$40,MATCH(G998,Setup!$B$33:$B$40,0)),0)=1)*(COUNTIF(G958:I975,$B998)+COUNTIF(G958:I975,$B998&amp;" ~*")&gt;0)+(IFERROR(INDEX(Setup!$G$33:$G$40,MATCH(K998,Setup!$B$33:$B$40,0)),0)=1)*(COUNTIF(K958:M975,$B998)+COUNTIF(K958:M975,$B998&amp;" ~*")&gt;0)+(IFERROR(INDEX(Setup!$G$33:$G$40,MATCH(O998,Setup!$B$33:$B$40,0)),0)=1)*(COUNTIF(O958:Q975,$B998)+COUNTIF(O958:Q975,$B998&amp;" ~*")&gt;0)+(IFERROR(INDEX(Setup!$G$33:$G$40,MATCH(S998,Setup!$B$33:$B$40,0)),0)=1)*(COUNTIF(S958:U975,$B998)+COUNTIF(S958:U975,$B998&amp;" ~*")&gt;0)+(IFERROR(INDEX(Setup!$G$33:$G$40,MATCH(W998,Setup!$B$33:$B$40,0)),0)=1)*(COUNTIF(W958:W975,$B998)+COUNTIF(W958:W975,$B998&amp;" ~*")&gt;0)+(IFERROR(INDEX(Setup!$G$33:$G$40,MATCH(Y998,Setup!$B$33:$B$40,0)),0)=1)*(COUNTIF(Y958:Y975,$B998)+COUNTIF(Y958:Y975,$B998&amp;" ~*")&gt;0))</f>
        <v/>
      </c>
    </row>
    <row r="999" ht="15" customHeight="1">
      <c r="A999" t="n">
        <v>20</v>
      </c>
      <c r="B999" s="35">
        <f>IF(Setup!$B$28="","",Setup!$B$28)</f>
        <v/>
      </c>
      <c r="C999" s="98" t="n"/>
      <c r="D999" s="99" t="n"/>
      <c r="E999" s="99" t="n"/>
      <c r="F999" s="100" t="n"/>
      <c r="G999" s="98" t="n"/>
      <c r="H999" s="99" t="n"/>
      <c r="I999" s="99" t="n"/>
      <c r="J999" s="100" t="n"/>
      <c r="K999" s="98" t="n"/>
      <c r="L999" s="99" t="n"/>
      <c r="M999" s="99" t="n"/>
      <c r="N999" s="100" t="n"/>
      <c r="O999" s="98" t="n"/>
      <c r="P999" s="99" t="n"/>
      <c r="Q999" s="99" t="n"/>
      <c r="R999" s="100" t="n"/>
      <c r="S999" s="98" t="n"/>
      <c r="T999" s="99" t="n"/>
      <c r="U999" s="99" t="n"/>
      <c r="V999" s="100" t="n"/>
      <c r="W999" s="98" t="n"/>
      <c r="X999" s="100" t="n"/>
      <c r="Y999" s="98" t="n"/>
      <c r="Z999" s="100" t="n"/>
      <c r="AB999" s="101">
        <f>IF($B999="","",(COUNTIF(C958:E975,$B999)+COUNTIF(C958:E975,$B999&amp;" ~*")&gt;0)+(COUNTIF(G958:I975,$B999)+COUNTIF(G958:I975,$B999&amp;" ~*")&gt;0)+(COUNTIF(K958:M975,$B999)+COUNTIF(K958:M975,$B999&amp;" ~*")&gt;0)+(COUNTIF(O958:Q975,$B999)+COUNTIF(O958:Q975,$B999&amp;" ~*")&gt;0)+(COUNTIF(S958:U975,$B999)+COUNTIF(S958:U975,$B999&amp;" ~*")&gt;0)+(COUNTIF(W958:W975,$B999)+COUNTIF(W958:W975,$B999&amp;" ~*")&gt;0)+(COUNTIF(Y958:Y975,$B999)+COUNTIF(Y958:Y975,$B999&amp;" ~*")&gt;0))</f>
        <v/>
      </c>
      <c r="AC999" s="36">
        <f>IF($B999="","",(IFERROR(INDEX(Setup!$G$33:$G$40,MATCH(C999,Setup!$B$33:$B$40,0)),0)=1)*(COUNTIF(C958:E975,$B999)+COUNTIF(C958:E975,$B999&amp;" ~*")&gt;0)+(IFERROR(INDEX(Setup!$G$33:$G$40,MATCH(G999,Setup!$B$33:$B$40,0)),0)=1)*(COUNTIF(G958:I975,$B999)+COUNTIF(G958:I975,$B999&amp;" ~*")&gt;0)+(IFERROR(INDEX(Setup!$G$33:$G$40,MATCH(K999,Setup!$B$33:$B$40,0)),0)=1)*(COUNTIF(K958:M975,$B999)+COUNTIF(K958:M975,$B999&amp;" ~*")&gt;0)+(IFERROR(INDEX(Setup!$G$33:$G$40,MATCH(O999,Setup!$B$33:$B$40,0)),0)=1)*(COUNTIF(O958:Q975,$B999)+COUNTIF(O958:Q975,$B999&amp;" ~*")&gt;0)+(IFERROR(INDEX(Setup!$G$33:$G$40,MATCH(S999,Setup!$B$33:$B$40,0)),0)=1)*(COUNTIF(S958:U975,$B999)+COUNTIF(S958:U975,$B999&amp;" ~*")&gt;0)+(IFERROR(INDEX(Setup!$G$33:$G$40,MATCH(W999,Setup!$B$33:$B$40,0)),0)=1)*(COUNTIF(W958:W975,$B999)+COUNTIF(W958:W975,$B999&amp;" ~*")&gt;0)+(IFERROR(INDEX(Setup!$G$33:$G$40,MATCH(Y999,Setup!$B$33:$B$40,0)),0)=1)*(COUNTIF(Y958:Y975,$B999)+COUNTIF(Y958:Y975,$B999&amp;" ~*")&gt;0))</f>
        <v/>
      </c>
    </row>
    <row r="1000" ht="15" customHeight="1">
      <c r="A1000" t="n">
        <v>20</v>
      </c>
      <c r="B1000" s="37">
        <f>IF(Setup!$B$29="","",Setup!$B$29)</f>
        <v/>
      </c>
      <c r="C1000" s="102" t="n"/>
      <c r="D1000" s="103" t="n"/>
      <c r="E1000" s="103" t="n"/>
      <c r="F1000" s="104" t="n"/>
      <c r="G1000" s="102" t="n"/>
      <c r="H1000" s="103" t="n"/>
      <c r="I1000" s="103" t="n"/>
      <c r="J1000" s="104" t="n"/>
      <c r="K1000" s="102" t="n"/>
      <c r="L1000" s="103" t="n"/>
      <c r="M1000" s="103" t="n"/>
      <c r="N1000" s="104" t="n"/>
      <c r="O1000" s="102" t="n"/>
      <c r="P1000" s="103" t="n"/>
      <c r="Q1000" s="103" t="n"/>
      <c r="R1000" s="104" t="n"/>
      <c r="S1000" s="102" t="n"/>
      <c r="T1000" s="103" t="n"/>
      <c r="U1000" s="103" t="n"/>
      <c r="V1000" s="104" t="n"/>
      <c r="W1000" s="102" t="n"/>
      <c r="X1000" s="104" t="n"/>
      <c r="Y1000" s="102" t="n"/>
      <c r="Z1000" s="104" t="n"/>
      <c r="AB1000" s="105">
        <f>IF($B1000="","",(COUNTIF(C958:E975,$B1000)+COUNTIF(C958:E975,$B1000&amp;" ~*")&gt;0)+(COUNTIF(G958:I975,$B1000)+COUNTIF(G958:I975,$B1000&amp;" ~*")&gt;0)+(COUNTIF(K958:M975,$B1000)+COUNTIF(K958:M975,$B1000&amp;" ~*")&gt;0)+(COUNTIF(O958:Q975,$B1000)+COUNTIF(O958:Q975,$B1000&amp;" ~*")&gt;0)+(COUNTIF(S958:U975,$B1000)+COUNTIF(S958:U975,$B1000&amp;" ~*")&gt;0)+(COUNTIF(W958:W975,$B1000)+COUNTIF(W958:W975,$B1000&amp;" ~*")&gt;0)+(COUNTIF(Y958:Y975,$B1000)+COUNTIF(Y958:Y975,$B1000&amp;" ~*")&gt;0))</f>
        <v/>
      </c>
      <c r="AC1000" s="38">
        <f>IF($B1000="","",(IFERROR(INDEX(Setup!$G$33:$G$40,MATCH(C1000,Setup!$B$33:$B$40,0)),0)=1)*(COUNTIF(C958:E975,$B1000)+COUNTIF(C958:E975,$B1000&amp;" ~*")&gt;0)+(IFERROR(INDEX(Setup!$G$33:$G$40,MATCH(G1000,Setup!$B$33:$B$40,0)),0)=1)*(COUNTIF(G958:I975,$B1000)+COUNTIF(G958:I975,$B1000&amp;" ~*")&gt;0)+(IFERROR(INDEX(Setup!$G$33:$G$40,MATCH(K1000,Setup!$B$33:$B$40,0)),0)=1)*(COUNTIF(K958:M975,$B1000)+COUNTIF(K958:M975,$B1000&amp;" ~*")&gt;0)+(IFERROR(INDEX(Setup!$G$33:$G$40,MATCH(O1000,Setup!$B$33:$B$40,0)),0)=1)*(COUNTIF(O958:Q975,$B1000)+COUNTIF(O958:Q975,$B1000&amp;" ~*")&gt;0)+(IFERROR(INDEX(Setup!$G$33:$G$40,MATCH(S1000,Setup!$B$33:$B$40,0)),0)=1)*(COUNTIF(S958:U975,$B1000)+COUNTIF(S958:U975,$B1000&amp;" ~*")&gt;0)+(IFERROR(INDEX(Setup!$G$33:$G$40,MATCH(W1000,Setup!$B$33:$B$40,0)),0)=1)*(COUNTIF(W958:W975,$B1000)+COUNTIF(W958:W975,$B1000&amp;" ~*")&gt;0)+(IFERROR(INDEX(Setup!$G$33:$G$40,MATCH(Y1000,Setup!$B$33:$B$40,0)),0)=1)*(COUNTIF(Y958:Y975,$B1000)+COUNTIF(Y958:Y975,$B1000&amp;" ~*")&gt;0))</f>
        <v/>
      </c>
    </row>
    <row r="1001" ht="16" customHeight="1">
      <c r="A1001" t="n">
        <v>20</v>
      </c>
      <c r="B1001" s="106" t="inlineStr">
        <is>
          <t>Available people</t>
        </is>
      </c>
      <c r="C1001" s="107">
        <f>COUNTIFS(Setup!$E$6:$E$29,"Y",Setup!$B$6:$B$29,"?*")-SUMPRODUCT(COUNTIF(C977:C1000,Setup!$F$33:$F$40))</f>
        <v/>
      </c>
      <c r="D1001" s="107" t="n"/>
      <c r="E1001" s="107" t="n"/>
      <c r="F1001" s="107" t="n"/>
      <c r="G1001" s="107">
        <f>COUNTIFS(Setup!$E$6:$E$29,"Y",Setup!$B$6:$B$29,"?*")-SUMPRODUCT(COUNTIF(G977:G1000,Setup!$F$33:$F$40))</f>
        <v/>
      </c>
      <c r="H1001" s="107" t="n"/>
      <c r="I1001" s="107" t="n"/>
      <c r="J1001" s="107" t="n"/>
      <c r="K1001" s="107">
        <f>COUNTIFS(Setup!$E$6:$E$29,"Y",Setup!$B$6:$B$29,"?*")-SUMPRODUCT(COUNTIF(K977:K1000,Setup!$F$33:$F$40))</f>
        <v/>
      </c>
      <c r="L1001" s="107" t="n"/>
      <c r="M1001" s="107" t="n"/>
      <c r="N1001" s="107" t="n"/>
      <c r="O1001" s="107">
        <f>COUNTIFS(Setup!$E$6:$E$29,"Y",Setup!$B$6:$B$29,"?*")-SUMPRODUCT(COUNTIF(O977:O1000,Setup!$F$33:$F$40))</f>
        <v/>
      </c>
      <c r="P1001" s="107" t="n"/>
      <c r="Q1001" s="107" t="n"/>
      <c r="R1001" s="107" t="n"/>
      <c r="S1001" s="107">
        <f>COUNTIFS(Setup!$E$6:$E$29,"Y",Setup!$B$6:$B$29,"?*")-SUMPRODUCT(COUNTIF(S977:S1000,Setup!$F$33:$F$40))</f>
        <v/>
      </c>
      <c r="T1001" s="107" t="n"/>
      <c r="U1001" s="107" t="n"/>
      <c r="V1001" s="107" t="n"/>
      <c r="W1001" s="107">
        <f>COUNTIFS(Setup!$E$6:$E$29,"Y",Setup!$B$6:$B$29,"?*")-SUMPRODUCT(COUNTIF(W977:W1000,Setup!$F$33:$F$40))</f>
        <v/>
      </c>
      <c r="X1001" s="107" t="n"/>
      <c r="Y1001" s="107">
        <f>COUNTIFS(Setup!$E$6:$E$29,"Y",Setup!$B$6:$B$29,"?*")-SUMPRODUCT(COUNTIF(Y977:Y1000,Setup!$F$33:$F$40))</f>
        <v/>
      </c>
      <c r="Z1001" s="107" t="n"/>
      <c r="AB1001" s="108">
        <f>SUM(AB977:AB1000)</f>
        <v/>
      </c>
      <c r="AC1001" s="109">
        <f>SUM(AC977:AC1000)</f>
        <v/>
      </c>
    </row>
    <row r="1002" ht="30" customHeight="1">
      <c r="A1002" t="n">
        <v>20</v>
      </c>
      <c r="B1002" s="110" t="inlineStr">
        <is>
          <t>Week notes</t>
        </is>
      </c>
      <c r="C1002" s="111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112" t="n"/>
      <c r="R1002" s="112" t="n"/>
      <c r="S1002" s="112" t="n"/>
      <c r="T1002" s="112" t="n"/>
      <c r="U1002" s="112" t="n"/>
      <c r="V1002" s="112" t="n"/>
      <c r="W1002" s="112" t="n"/>
      <c r="X1002" s="112" t="n"/>
      <c r="Y1002" s="112" t="n"/>
      <c r="Z1002" s="113" t="n"/>
    </row>
    <row r="1003" ht="8" customHeight="1">
      <c r="A1003" t="n">
        <v>20</v>
      </c>
    </row>
    <row r="1004" ht="8" customHeight="1">
      <c r="A1004" t="n">
        <v>20</v>
      </c>
    </row>
    <row r="1005" ht="24" customHeight="1">
      <c r="A1005" t="n">
        <v>21</v>
      </c>
      <c r="B1005" s="73">
        <f>"WEEK 21     "&amp;TEXT(C1006,"ddd d mmm")&amp;"  –  "&amp;TEXT(C1006+6,"ddd d mmm yyyy")</f>
        <v/>
      </c>
      <c r="S1005" s="74">
        <f>IF(TODAY()&lt;C1006,"FUTURE",IF(TODAY()&gt;C1006+6,"PAST","THIS WEEK"))</f>
        <v/>
      </c>
      <c r="W1005" s="75">
        <f>IF(AND(Engine!$B$8=$AC$3,Engine!$B$9=$A1005),"◀ ACTIVE WEEK","")</f>
        <v/>
      </c>
      <c r="AA1005" s="76" t="n"/>
      <c r="AB1005" s="77" t="inlineStr">
        <is>
          <t>◀ Prev</t>
        </is>
      </c>
      <c r="AC1005" s="77" t="inlineStr">
        <is>
          <t>Next ▶</t>
        </is>
      </c>
    </row>
    <row r="1006" ht="18" customHeight="1">
      <c r="A1006" t="n">
        <v>21</v>
      </c>
      <c r="B1006" s="78" t="inlineStr">
        <is>
          <t>DUTY</t>
        </is>
      </c>
      <c r="C1006" s="79">
        <f>$AC$2+7*($A1006-1)</f>
        <v/>
      </c>
      <c r="D1006" s="80" t="n"/>
      <c r="E1006" s="80" t="n"/>
      <c r="F1006" s="81" t="n"/>
      <c r="G1006" s="79">
        <f>C1006+1</f>
        <v/>
      </c>
      <c r="H1006" s="80" t="n"/>
      <c r="I1006" s="80" t="n"/>
      <c r="J1006" s="81" t="n"/>
      <c r="K1006" s="79">
        <f>C1006+2</f>
        <v/>
      </c>
      <c r="L1006" s="80" t="n"/>
      <c r="M1006" s="80" t="n"/>
      <c r="N1006" s="81" t="n"/>
      <c r="O1006" s="79">
        <f>C1006+3</f>
        <v/>
      </c>
      <c r="P1006" s="80" t="n"/>
      <c r="Q1006" s="80" t="n"/>
      <c r="R1006" s="81" t="n"/>
      <c r="S1006" s="79">
        <f>C1006+4</f>
        <v/>
      </c>
      <c r="T1006" s="80" t="n"/>
      <c r="U1006" s="80" t="n"/>
      <c r="V1006" s="81" t="n"/>
      <c r="W1006" s="82">
        <f>C1006+5</f>
        <v/>
      </c>
      <c r="X1006" s="83" t="n"/>
      <c r="Y1006" s="82">
        <f>C1006+6</f>
        <v/>
      </c>
      <c r="Z1006" s="83" t="n"/>
      <c r="AB1006" s="72" t="inlineStr">
        <is>
          <t>Gaps</t>
        </is>
      </c>
      <c r="AC1006" s="72" t="inlineStr">
        <is>
          <t>Cover</t>
        </is>
      </c>
    </row>
    <row r="1007" ht="14" customHeight="1">
      <c r="A1007" t="n">
        <v>21</v>
      </c>
      <c r="B1007" s="84" t="inlineStr">
        <is>
          <t>(from Setup)</t>
        </is>
      </c>
      <c r="C1007" s="85" t="inlineStr">
        <is>
          <t>1</t>
        </is>
      </c>
      <c r="D1007" s="85" t="inlineStr">
        <is>
          <t>2</t>
        </is>
      </c>
      <c r="E1007" s="85" t="inlineStr">
        <is>
          <t>3</t>
        </is>
      </c>
      <c r="F1007" s="85" t="inlineStr">
        <is>
          <t>Notes</t>
        </is>
      </c>
      <c r="G1007" s="85" t="inlineStr">
        <is>
          <t>1</t>
        </is>
      </c>
      <c r="H1007" s="85" t="inlineStr">
        <is>
          <t>2</t>
        </is>
      </c>
      <c r="I1007" s="85" t="inlineStr">
        <is>
          <t>3</t>
        </is>
      </c>
      <c r="J1007" s="85" t="inlineStr">
        <is>
          <t>Notes</t>
        </is>
      </c>
      <c r="K1007" s="85" t="inlineStr">
        <is>
          <t>1</t>
        </is>
      </c>
      <c r="L1007" s="85" t="inlineStr">
        <is>
          <t>2</t>
        </is>
      </c>
      <c r="M1007" s="85" t="inlineStr">
        <is>
          <t>3</t>
        </is>
      </c>
      <c r="N1007" s="85" t="inlineStr">
        <is>
          <t>Notes</t>
        </is>
      </c>
      <c r="O1007" s="85" t="inlineStr">
        <is>
          <t>1</t>
        </is>
      </c>
      <c r="P1007" s="85" t="inlineStr">
        <is>
          <t>2</t>
        </is>
      </c>
      <c r="Q1007" s="85" t="inlineStr">
        <is>
          <t>3</t>
        </is>
      </c>
      <c r="R1007" s="85" t="inlineStr">
        <is>
          <t>Notes</t>
        </is>
      </c>
      <c r="S1007" s="85" t="inlineStr">
        <is>
          <t>1</t>
        </is>
      </c>
      <c r="T1007" s="85" t="inlineStr">
        <is>
          <t>2</t>
        </is>
      </c>
      <c r="U1007" s="85" t="inlineStr">
        <is>
          <t>3</t>
        </is>
      </c>
      <c r="V1007" s="85" t="inlineStr">
        <is>
          <t>Notes</t>
        </is>
      </c>
      <c r="W1007" s="85" t="inlineStr">
        <is>
          <t>Cover</t>
        </is>
      </c>
      <c r="X1007" s="85" t="inlineStr">
        <is>
          <t>Notes</t>
        </is>
      </c>
      <c r="Y1007" s="85" t="inlineStr">
        <is>
          <t>Cover</t>
        </is>
      </c>
      <c r="Z1007" s="85" t="inlineStr">
        <is>
          <t>Notes</t>
        </is>
      </c>
      <c r="AB1007" s="86" t="inlineStr">
        <is>
          <t>weekdays short</t>
        </is>
      </c>
      <c r="AC1007" s="87" t="inlineStr"/>
    </row>
    <row r="1008" ht="17" customHeight="1">
      <c r="A1008" t="n">
        <v>21</v>
      </c>
      <c r="B1008" s="24">
        <f>IF(Setup!$K$6="","",Setup!$K$6)</f>
        <v/>
      </c>
      <c r="C1008" s="88" t="n"/>
      <c r="D1008" s="88" t="n"/>
      <c r="E1008" s="88" t="n"/>
      <c r="F1008" s="89" t="n"/>
      <c r="G1008" s="88" t="n"/>
      <c r="H1008" s="88" t="n"/>
      <c r="I1008" s="88" t="n"/>
      <c r="J1008" s="89" t="n"/>
      <c r="K1008" s="88" t="n"/>
      <c r="L1008" s="88" t="n"/>
      <c r="M1008" s="88" t="n"/>
      <c r="N1008" s="89" t="n"/>
      <c r="O1008" s="88" t="n"/>
      <c r="P1008" s="88" t="n"/>
      <c r="Q1008" s="88" t="n"/>
      <c r="R1008" s="89" t="n"/>
      <c r="S1008" s="88" t="n"/>
      <c r="T1008" s="88" t="n"/>
      <c r="U1008" s="88" t="n"/>
      <c r="V1008" s="89" t="n"/>
      <c r="W1008" s="88" t="n"/>
      <c r="X1008" s="89" t="n"/>
      <c r="Y1008" s="88" t="n"/>
      <c r="Z1008" s="89" t="n"/>
      <c r="AB1008" s="25">
        <f>IF($B1008="","",(COUNTIF(C1008:E1008,"?*")&lt;N(INDEX(Setup!$L$6:$L$23,1)))+(COUNTIF(G1008:I1008,"?*")&lt;N(INDEX(Setup!$L$6:$L$23,1)))+(COUNTIF(K1008:M1008,"?*")&lt;N(INDEX(Setup!$L$6:$L$23,1)))+(COUNTIF(O1008:Q1008,"?*")&lt;N(INDEX(Setup!$L$6:$L$23,1)))+(COUNTIF(S1008:U1008,"?*")&lt;N(INDEX(Setup!$L$6:$L$23,1)))+((W1008="")*(INDEX(Setup!$M$6:$M$23,1)="Y"))+((Y1008="")*(INDEX(Setup!$M$6:$M$23,1)="Y")))</f>
        <v/>
      </c>
      <c r="AC1008" s="90">
        <f>IF($B1008="","",IF(AB1008=0,"✓ covered","⚠ "&amp;AB1008&amp;IF(AB1008=1," gap"," gaps")))</f>
        <v/>
      </c>
    </row>
    <row r="1009" ht="17" customHeight="1">
      <c r="A1009" t="n">
        <v>21</v>
      </c>
      <c r="B1009" s="29">
        <f>IF(Setup!$K$7="","",Setup!$K$7)</f>
        <v/>
      </c>
      <c r="C1009" s="88" t="n"/>
      <c r="D1009" s="88" t="n"/>
      <c r="E1009" s="88" t="n"/>
      <c r="F1009" s="89" t="n"/>
      <c r="G1009" s="88" t="n"/>
      <c r="H1009" s="88" t="n"/>
      <c r="I1009" s="88" t="n"/>
      <c r="J1009" s="89" t="n"/>
      <c r="K1009" s="88" t="n"/>
      <c r="L1009" s="88" t="n"/>
      <c r="M1009" s="88" t="n"/>
      <c r="N1009" s="89" t="n"/>
      <c r="O1009" s="88" t="n"/>
      <c r="P1009" s="88" t="n"/>
      <c r="Q1009" s="88" t="n"/>
      <c r="R1009" s="89" t="n"/>
      <c r="S1009" s="88" t="n"/>
      <c r="T1009" s="88" t="n"/>
      <c r="U1009" s="88" t="n"/>
      <c r="V1009" s="89" t="n"/>
      <c r="W1009" s="88" t="n"/>
      <c r="X1009" s="89" t="n"/>
      <c r="Y1009" s="88" t="n"/>
      <c r="Z1009" s="89" t="n"/>
      <c r="AB1009" s="30">
        <f>IF($B1009="","",(COUNTIF(C1009:E1009,"?*")&lt;N(INDEX(Setup!$L$6:$L$23,2)))+(COUNTIF(G1009:I1009,"?*")&lt;N(INDEX(Setup!$L$6:$L$23,2)))+(COUNTIF(K1009:M1009,"?*")&lt;N(INDEX(Setup!$L$6:$L$23,2)))+(COUNTIF(O1009:Q1009,"?*")&lt;N(INDEX(Setup!$L$6:$L$23,2)))+(COUNTIF(S1009:U1009,"?*")&lt;N(INDEX(Setup!$L$6:$L$23,2)))+((W1009="")*(INDEX(Setup!$M$6:$M$23,2)="Y"))+((Y1009="")*(INDEX(Setup!$M$6:$M$23,2)="Y")))</f>
        <v/>
      </c>
      <c r="AC1009" s="91">
        <f>IF($B1009="","",IF(AB1009=0,"✓ covered","⚠ "&amp;AB1009&amp;IF(AB1009=1," gap"," gaps")))</f>
        <v/>
      </c>
    </row>
    <row r="1010" ht="17" customHeight="1">
      <c r="A1010" t="n">
        <v>21</v>
      </c>
      <c r="B1010" s="24">
        <f>IF(Setup!$K$8="","",Setup!$K$8)</f>
        <v/>
      </c>
      <c r="C1010" s="88" t="n"/>
      <c r="D1010" s="88" t="n"/>
      <c r="E1010" s="88" t="n"/>
      <c r="F1010" s="89" t="n"/>
      <c r="G1010" s="88" t="n"/>
      <c r="H1010" s="88" t="n"/>
      <c r="I1010" s="88" t="n"/>
      <c r="J1010" s="89" t="n"/>
      <c r="K1010" s="88" t="n"/>
      <c r="L1010" s="88" t="n"/>
      <c r="M1010" s="88" t="n"/>
      <c r="N1010" s="89" t="n"/>
      <c r="O1010" s="88" t="n"/>
      <c r="P1010" s="88" t="n"/>
      <c r="Q1010" s="88" t="n"/>
      <c r="R1010" s="89" t="n"/>
      <c r="S1010" s="88" t="n"/>
      <c r="T1010" s="88" t="n"/>
      <c r="U1010" s="88" t="n"/>
      <c r="V1010" s="89" t="n"/>
      <c r="W1010" s="88" t="n"/>
      <c r="X1010" s="89" t="n"/>
      <c r="Y1010" s="88" t="n"/>
      <c r="Z1010" s="89" t="n"/>
      <c r="AB1010" s="25">
        <f>IF($B1010="","",(COUNTIF(C1010:E1010,"?*")&lt;N(INDEX(Setup!$L$6:$L$23,3)))+(COUNTIF(G1010:I1010,"?*")&lt;N(INDEX(Setup!$L$6:$L$23,3)))+(COUNTIF(K1010:M1010,"?*")&lt;N(INDEX(Setup!$L$6:$L$23,3)))+(COUNTIF(O1010:Q1010,"?*")&lt;N(INDEX(Setup!$L$6:$L$23,3)))+(COUNTIF(S1010:U1010,"?*")&lt;N(INDEX(Setup!$L$6:$L$23,3)))+((W1010="")*(INDEX(Setup!$M$6:$M$23,3)="Y"))+((Y1010="")*(INDEX(Setup!$M$6:$M$23,3)="Y")))</f>
        <v/>
      </c>
      <c r="AC1010" s="90">
        <f>IF($B1010="","",IF(AB1010=0,"✓ covered","⚠ "&amp;AB1010&amp;IF(AB1010=1," gap"," gaps")))</f>
        <v/>
      </c>
    </row>
    <row r="1011" ht="17" customHeight="1">
      <c r="A1011" t="n">
        <v>21</v>
      </c>
      <c r="B1011" s="29">
        <f>IF(Setup!$K$9="","",Setup!$K$9)</f>
        <v/>
      </c>
      <c r="C1011" s="88" t="n"/>
      <c r="D1011" s="88" t="n"/>
      <c r="E1011" s="88" t="n"/>
      <c r="F1011" s="89" t="n"/>
      <c r="G1011" s="88" t="n"/>
      <c r="H1011" s="88" t="n"/>
      <c r="I1011" s="88" t="n"/>
      <c r="J1011" s="89" t="n"/>
      <c r="K1011" s="88" t="n"/>
      <c r="L1011" s="88" t="n"/>
      <c r="M1011" s="88" t="n"/>
      <c r="N1011" s="89" t="n"/>
      <c r="O1011" s="88" t="n"/>
      <c r="P1011" s="88" t="n"/>
      <c r="Q1011" s="88" t="n"/>
      <c r="R1011" s="89" t="n"/>
      <c r="S1011" s="88" t="n"/>
      <c r="T1011" s="88" t="n"/>
      <c r="U1011" s="88" t="n"/>
      <c r="V1011" s="89" t="n"/>
      <c r="W1011" s="88" t="n"/>
      <c r="X1011" s="89" t="n"/>
      <c r="Y1011" s="88" t="n"/>
      <c r="Z1011" s="89" t="n"/>
      <c r="AB1011" s="30">
        <f>IF($B1011="","",(COUNTIF(C1011:E1011,"?*")&lt;N(INDEX(Setup!$L$6:$L$23,4)))+(COUNTIF(G1011:I1011,"?*")&lt;N(INDEX(Setup!$L$6:$L$23,4)))+(COUNTIF(K1011:M1011,"?*")&lt;N(INDEX(Setup!$L$6:$L$23,4)))+(COUNTIF(O1011:Q1011,"?*")&lt;N(INDEX(Setup!$L$6:$L$23,4)))+(COUNTIF(S1011:U1011,"?*")&lt;N(INDEX(Setup!$L$6:$L$23,4)))+((W1011="")*(INDEX(Setup!$M$6:$M$23,4)="Y"))+((Y1011="")*(INDEX(Setup!$M$6:$M$23,4)="Y")))</f>
        <v/>
      </c>
      <c r="AC1011" s="91">
        <f>IF($B1011="","",IF(AB1011=0,"✓ covered","⚠ "&amp;AB1011&amp;IF(AB1011=1," gap"," gaps")))</f>
        <v/>
      </c>
    </row>
    <row r="1012" ht="17" customHeight="1">
      <c r="A1012" t="n">
        <v>21</v>
      </c>
      <c r="B1012" s="24">
        <f>IF(Setup!$K$10="","",Setup!$K$10)</f>
        <v/>
      </c>
      <c r="C1012" s="88" t="n"/>
      <c r="D1012" s="88" t="n"/>
      <c r="E1012" s="88" t="n"/>
      <c r="F1012" s="89" t="n"/>
      <c r="G1012" s="88" t="n"/>
      <c r="H1012" s="88" t="n"/>
      <c r="I1012" s="88" t="n"/>
      <c r="J1012" s="89" t="n"/>
      <c r="K1012" s="88" t="n"/>
      <c r="L1012" s="88" t="n"/>
      <c r="M1012" s="88" t="n"/>
      <c r="N1012" s="89" t="n"/>
      <c r="O1012" s="88" t="n"/>
      <c r="P1012" s="88" t="n"/>
      <c r="Q1012" s="88" t="n"/>
      <c r="R1012" s="89" t="n"/>
      <c r="S1012" s="88" t="n"/>
      <c r="T1012" s="88" t="n"/>
      <c r="U1012" s="88" t="n"/>
      <c r="V1012" s="89" t="n"/>
      <c r="W1012" s="88" t="n"/>
      <c r="X1012" s="89" t="n"/>
      <c r="Y1012" s="88" t="n"/>
      <c r="Z1012" s="89" t="n"/>
      <c r="AB1012" s="25">
        <f>IF($B1012="","",(COUNTIF(C1012:E1012,"?*")&lt;N(INDEX(Setup!$L$6:$L$23,5)))+(COUNTIF(G1012:I1012,"?*")&lt;N(INDEX(Setup!$L$6:$L$23,5)))+(COUNTIF(K1012:M1012,"?*")&lt;N(INDEX(Setup!$L$6:$L$23,5)))+(COUNTIF(O1012:Q1012,"?*")&lt;N(INDEX(Setup!$L$6:$L$23,5)))+(COUNTIF(S1012:U1012,"?*")&lt;N(INDEX(Setup!$L$6:$L$23,5)))+((W1012="")*(INDEX(Setup!$M$6:$M$23,5)="Y"))+((Y1012="")*(INDEX(Setup!$M$6:$M$23,5)="Y")))</f>
        <v/>
      </c>
      <c r="AC1012" s="90">
        <f>IF($B1012="","",IF(AB1012=0,"✓ covered","⚠ "&amp;AB1012&amp;IF(AB1012=1," gap"," gaps")))</f>
        <v/>
      </c>
    </row>
    <row r="1013" ht="17" customHeight="1">
      <c r="A1013" t="n">
        <v>21</v>
      </c>
      <c r="B1013" s="29">
        <f>IF(Setup!$K$11="","",Setup!$K$11)</f>
        <v/>
      </c>
      <c r="C1013" s="88" t="n"/>
      <c r="D1013" s="88" t="n"/>
      <c r="E1013" s="88" t="n"/>
      <c r="F1013" s="89" t="n"/>
      <c r="G1013" s="88" t="n"/>
      <c r="H1013" s="88" t="n"/>
      <c r="I1013" s="88" t="n"/>
      <c r="J1013" s="89" t="n"/>
      <c r="K1013" s="88" t="n"/>
      <c r="L1013" s="88" t="n"/>
      <c r="M1013" s="88" t="n"/>
      <c r="N1013" s="89" t="n"/>
      <c r="O1013" s="88" t="n"/>
      <c r="P1013" s="88" t="n"/>
      <c r="Q1013" s="88" t="n"/>
      <c r="R1013" s="89" t="n"/>
      <c r="S1013" s="88" t="n"/>
      <c r="T1013" s="88" t="n"/>
      <c r="U1013" s="88" t="n"/>
      <c r="V1013" s="89" t="n"/>
      <c r="W1013" s="88" t="n"/>
      <c r="X1013" s="89" t="n"/>
      <c r="Y1013" s="88" t="n"/>
      <c r="Z1013" s="89" t="n"/>
      <c r="AB1013" s="30">
        <f>IF($B1013="","",(COUNTIF(C1013:E1013,"?*")&lt;N(INDEX(Setup!$L$6:$L$23,6)))+(COUNTIF(G1013:I1013,"?*")&lt;N(INDEX(Setup!$L$6:$L$23,6)))+(COUNTIF(K1013:M1013,"?*")&lt;N(INDEX(Setup!$L$6:$L$23,6)))+(COUNTIF(O1013:Q1013,"?*")&lt;N(INDEX(Setup!$L$6:$L$23,6)))+(COUNTIF(S1013:U1013,"?*")&lt;N(INDEX(Setup!$L$6:$L$23,6)))+((W1013="")*(INDEX(Setup!$M$6:$M$23,6)="Y"))+((Y1013="")*(INDEX(Setup!$M$6:$M$23,6)="Y")))</f>
        <v/>
      </c>
      <c r="AC1013" s="91">
        <f>IF($B1013="","",IF(AB1013=0,"✓ covered","⚠ "&amp;AB1013&amp;IF(AB1013=1," gap"," gaps")))</f>
        <v/>
      </c>
    </row>
    <row r="1014" ht="17" customHeight="1">
      <c r="A1014" t="n">
        <v>21</v>
      </c>
      <c r="B1014" s="24">
        <f>IF(Setup!$K$12="","",Setup!$K$12)</f>
        <v/>
      </c>
      <c r="C1014" s="88" t="n"/>
      <c r="D1014" s="88" t="n"/>
      <c r="E1014" s="88" t="n"/>
      <c r="F1014" s="89" t="n"/>
      <c r="G1014" s="88" t="n"/>
      <c r="H1014" s="88" t="n"/>
      <c r="I1014" s="88" t="n"/>
      <c r="J1014" s="89" t="n"/>
      <c r="K1014" s="88" t="n"/>
      <c r="L1014" s="88" t="n"/>
      <c r="M1014" s="88" t="n"/>
      <c r="N1014" s="89" t="n"/>
      <c r="O1014" s="88" t="n"/>
      <c r="P1014" s="88" t="n"/>
      <c r="Q1014" s="88" t="n"/>
      <c r="R1014" s="89" t="n"/>
      <c r="S1014" s="88" t="n"/>
      <c r="T1014" s="88" t="n"/>
      <c r="U1014" s="88" t="n"/>
      <c r="V1014" s="89" t="n"/>
      <c r="W1014" s="88" t="n"/>
      <c r="X1014" s="89" t="n"/>
      <c r="Y1014" s="88" t="n"/>
      <c r="Z1014" s="89" t="n"/>
      <c r="AB1014" s="25">
        <f>IF($B1014="","",(COUNTIF(C1014:E1014,"?*")&lt;N(INDEX(Setup!$L$6:$L$23,7)))+(COUNTIF(G1014:I1014,"?*")&lt;N(INDEX(Setup!$L$6:$L$23,7)))+(COUNTIF(K1014:M1014,"?*")&lt;N(INDEX(Setup!$L$6:$L$23,7)))+(COUNTIF(O1014:Q1014,"?*")&lt;N(INDEX(Setup!$L$6:$L$23,7)))+(COUNTIF(S1014:U1014,"?*")&lt;N(INDEX(Setup!$L$6:$L$23,7)))+((W1014="")*(INDEX(Setup!$M$6:$M$23,7)="Y"))+((Y1014="")*(INDEX(Setup!$M$6:$M$23,7)="Y")))</f>
        <v/>
      </c>
      <c r="AC1014" s="90">
        <f>IF($B1014="","",IF(AB1014=0,"✓ covered","⚠ "&amp;AB1014&amp;IF(AB1014=1," gap"," gaps")))</f>
        <v/>
      </c>
    </row>
    <row r="1015" ht="17" customHeight="1">
      <c r="A1015" t="n">
        <v>21</v>
      </c>
      <c r="B1015" s="29">
        <f>IF(Setup!$K$13="","",Setup!$K$13)</f>
        <v/>
      </c>
      <c r="C1015" s="88" t="n"/>
      <c r="D1015" s="88" t="n"/>
      <c r="E1015" s="88" t="n"/>
      <c r="F1015" s="89" t="n"/>
      <c r="G1015" s="88" t="n"/>
      <c r="H1015" s="88" t="n"/>
      <c r="I1015" s="88" t="n"/>
      <c r="J1015" s="89" t="n"/>
      <c r="K1015" s="88" t="n"/>
      <c r="L1015" s="88" t="n"/>
      <c r="M1015" s="88" t="n"/>
      <c r="N1015" s="89" t="n"/>
      <c r="O1015" s="88" t="n"/>
      <c r="P1015" s="88" t="n"/>
      <c r="Q1015" s="88" t="n"/>
      <c r="R1015" s="89" t="n"/>
      <c r="S1015" s="88" t="n"/>
      <c r="T1015" s="88" t="n"/>
      <c r="U1015" s="88" t="n"/>
      <c r="V1015" s="89" t="n"/>
      <c r="W1015" s="88" t="n"/>
      <c r="X1015" s="89" t="n"/>
      <c r="Y1015" s="88" t="n"/>
      <c r="Z1015" s="89" t="n"/>
      <c r="AB1015" s="30">
        <f>IF($B1015="","",(COUNTIF(C1015:E1015,"?*")&lt;N(INDEX(Setup!$L$6:$L$23,8)))+(COUNTIF(G1015:I1015,"?*")&lt;N(INDEX(Setup!$L$6:$L$23,8)))+(COUNTIF(K1015:M1015,"?*")&lt;N(INDEX(Setup!$L$6:$L$23,8)))+(COUNTIF(O1015:Q1015,"?*")&lt;N(INDEX(Setup!$L$6:$L$23,8)))+(COUNTIF(S1015:U1015,"?*")&lt;N(INDEX(Setup!$L$6:$L$23,8)))+((W1015="")*(INDEX(Setup!$M$6:$M$23,8)="Y"))+((Y1015="")*(INDEX(Setup!$M$6:$M$23,8)="Y")))</f>
        <v/>
      </c>
      <c r="AC1015" s="91">
        <f>IF($B1015="","",IF(AB1015=0,"✓ covered","⚠ "&amp;AB1015&amp;IF(AB1015=1," gap"," gaps")))</f>
        <v/>
      </c>
    </row>
    <row r="1016" ht="17" customHeight="1">
      <c r="A1016" t="n">
        <v>21</v>
      </c>
      <c r="B1016" s="24">
        <f>IF(Setup!$K$14="","",Setup!$K$14)</f>
        <v/>
      </c>
      <c r="C1016" s="88" t="n"/>
      <c r="D1016" s="88" t="n"/>
      <c r="E1016" s="88" t="n"/>
      <c r="F1016" s="89" t="n"/>
      <c r="G1016" s="88" t="n"/>
      <c r="H1016" s="88" t="n"/>
      <c r="I1016" s="88" t="n"/>
      <c r="J1016" s="89" t="n"/>
      <c r="K1016" s="88" t="n"/>
      <c r="L1016" s="88" t="n"/>
      <c r="M1016" s="88" t="n"/>
      <c r="N1016" s="89" t="n"/>
      <c r="O1016" s="88" t="n"/>
      <c r="P1016" s="88" t="n"/>
      <c r="Q1016" s="88" t="n"/>
      <c r="R1016" s="89" t="n"/>
      <c r="S1016" s="88" t="n"/>
      <c r="T1016" s="88" t="n"/>
      <c r="U1016" s="88" t="n"/>
      <c r="V1016" s="89" t="n"/>
      <c r="W1016" s="88" t="n"/>
      <c r="X1016" s="89" t="n"/>
      <c r="Y1016" s="88" t="n"/>
      <c r="Z1016" s="89" t="n"/>
      <c r="AB1016" s="25">
        <f>IF($B1016="","",(COUNTIF(C1016:E1016,"?*")&lt;N(INDEX(Setup!$L$6:$L$23,9)))+(COUNTIF(G1016:I1016,"?*")&lt;N(INDEX(Setup!$L$6:$L$23,9)))+(COUNTIF(K1016:M1016,"?*")&lt;N(INDEX(Setup!$L$6:$L$23,9)))+(COUNTIF(O1016:Q1016,"?*")&lt;N(INDEX(Setup!$L$6:$L$23,9)))+(COUNTIF(S1016:U1016,"?*")&lt;N(INDEX(Setup!$L$6:$L$23,9)))+((W1016="")*(INDEX(Setup!$M$6:$M$23,9)="Y"))+((Y1016="")*(INDEX(Setup!$M$6:$M$23,9)="Y")))</f>
        <v/>
      </c>
      <c r="AC1016" s="90">
        <f>IF($B1016="","",IF(AB1016=0,"✓ covered","⚠ "&amp;AB1016&amp;IF(AB1016=1," gap"," gaps")))</f>
        <v/>
      </c>
    </row>
    <row r="1017" ht="17" customHeight="1">
      <c r="A1017" t="n">
        <v>21</v>
      </c>
      <c r="B1017" s="29">
        <f>IF(Setup!$K$15="","",Setup!$K$15)</f>
        <v/>
      </c>
      <c r="C1017" s="88" t="n"/>
      <c r="D1017" s="88" t="n"/>
      <c r="E1017" s="88" t="n"/>
      <c r="F1017" s="89" t="n"/>
      <c r="G1017" s="88" t="n"/>
      <c r="H1017" s="88" t="n"/>
      <c r="I1017" s="88" t="n"/>
      <c r="J1017" s="89" t="n"/>
      <c r="K1017" s="88" t="n"/>
      <c r="L1017" s="88" t="n"/>
      <c r="M1017" s="88" t="n"/>
      <c r="N1017" s="89" t="n"/>
      <c r="O1017" s="88" t="n"/>
      <c r="P1017" s="88" t="n"/>
      <c r="Q1017" s="88" t="n"/>
      <c r="R1017" s="89" t="n"/>
      <c r="S1017" s="88" t="n"/>
      <c r="T1017" s="88" t="n"/>
      <c r="U1017" s="88" t="n"/>
      <c r="V1017" s="89" t="n"/>
      <c r="W1017" s="88" t="n"/>
      <c r="X1017" s="89" t="n"/>
      <c r="Y1017" s="88" t="n"/>
      <c r="Z1017" s="89" t="n"/>
      <c r="AB1017" s="30">
        <f>IF($B1017="","",(COUNTIF(C1017:E1017,"?*")&lt;N(INDEX(Setup!$L$6:$L$23,10)))+(COUNTIF(G1017:I1017,"?*")&lt;N(INDEX(Setup!$L$6:$L$23,10)))+(COUNTIF(K1017:M1017,"?*")&lt;N(INDEX(Setup!$L$6:$L$23,10)))+(COUNTIF(O1017:Q1017,"?*")&lt;N(INDEX(Setup!$L$6:$L$23,10)))+(COUNTIF(S1017:U1017,"?*")&lt;N(INDEX(Setup!$L$6:$L$23,10)))+((W1017="")*(INDEX(Setup!$M$6:$M$23,10)="Y"))+((Y1017="")*(INDEX(Setup!$M$6:$M$23,10)="Y")))</f>
        <v/>
      </c>
      <c r="AC1017" s="91">
        <f>IF($B1017="","",IF(AB1017=0,"✓ covered","⚠ "&amp;AB1017&amp;IF(AB1017=1," gap"," gaps")))</f>
        <v/>
      </c>
    </row>
    <row r="1018" ht="17" customHeight="1">
      <c r="A1018" t="n">
        <v>21</v>
      </c>
      <c r="B1018" s="24">
        <f>IF(Setup!$K$16="","",Setup!$K$16)</f>
        <v/>
      </c>
      <c r="C1018" s="88" t="n"/>
      <c r="D1018" s="88" t="n"/>
      <c r="E1018" s="88" t="n"/>
      <c r="F1018" s="89" t="n"/>
      <c r="G1018" s="88" t="n"/>
      <c r="H1018" s="88" t="n"/>
      <c r="I1018" s="88" t="n"/>
      <c r="J1018" s="89" t="n"/>
      <c r="K1018" s="88" t="n"/>
      <c r="L1018" s="88" t="n"/>
      <c r="M1018" s="88" t="n"/>
      <c r="N1018" s="89" t="n"/>
      <c r="O1018" s="88" t="n"/>
      <c r="P1018" s="88" t="n"/>
      <c r="Q1018" s="88" t="n"/>
      <c r="R1018" s="89" t="n"/>
      <c r="S1018" s="88" t="n"/>
      <c r="T1018" s="88" t="n"/>
      <c r="U1018" s="88" t="n"/>
      <c r="V1018" s="89" t="n"/>
      <c r="W1018" s="88" t="n"/>
      <c r="X1018" s="89" t="n"/>
      <c r="Y1018" s="88" t="n"/>
      <c r="Z1018" s="89" t="n"/>
      <c r="AB1018" s="25">
        <f>IF($B1018="","",(COUNTIF(C1018:E1018,"?*")&lt;N(INDEX(Setup!$L$6:$L$23,11)))+(COUNTIF(G1018:I1018,"?*")&lt;N(INDEX(Setup!$L$6:$L$23,11)))+(COUNTIF(K1018:M1018,"?*")&lt;N(INDEX(Setup!$L$6:$L$23,11)))+(COUNTIF(O1018:Q1018,"?*")&lt;N(INDEX(Setup!$L$6:$L$23,11)))+(COUNTIF(S1018:U1018,"?*")&lt;N(INDEX(Setup!$L$6:$L$23,11)))+((W1018="")*(INDEX(Setup!$M$6:$M$23,11)="Y"))+((Y1018="")*(INDEX(Setup!$M$6:$M$23,11)="Y")))</f>
        <v/>
      </c>
      <c r="AC1018" s="90">
        <f>IF($B1018="","",IF(AB1018=0,"✓ covered","⚠ "&amp;AB1018&amp;IF(AB1018=1," gap"," gaps")))</f>
        <v/>
      </c>
    </row>
    <row r="1019" ht="17" customHeight="1">
      <c r="A1019" t="n">
        <v>21</v>
      </c>
      <c r="B1019" s="29">
        <f>IF(Setup!$K$17="","",Setup!$K$17)</f>
        <v/>
      </c>
      <c r="C1019" s="88" t="n"/>
      <c r="D1019" s="88" t="n"/>
      <c r="E1019" s="88" t="n"/>
      <c r="F1019" s="89" t="n"/>
      <c r="G1019" s="88" t="n"/>
      <c r="H1019" s="88" t="n"/>
      <c r="I1019" s="88" t="n"/>
      <c r="J1019" s="89" t="n"/>
      <c r="K1019" s="88" t="n"/>
      <c r="L1019" s="88" t="n"/>
      <c r="M1019" s="88" t="n"/>
      <c r="N1019" s="89" t="n"/>
      <c r="O1019" s="88" t="n"/>
      <c r="P1019" s="88" t="n"/>
      <c r="Q1019" s="88" t="n"/>
      <c r="R1019" s="89" t="n"/>
      <c r="S1019" s="88" t="n"/>
      <c r="T1019" s="88" t="n"/>
      <c r="U1019" s="88" t="n"/>
      <c r="V1019" s="89" t="n"/>
      <c r="W1019" s="88" t="n"/>
      <c r="X1019" s="89" t="n"/>
      <c r="Y1019" s="88" t="n"/>
      <c r="Z1019" s="89" t="n"/>
      <c r="AB1019" s="30">
        <f>IF($B1019="","",(COUNTIF(C1019:E1019,"?*")&lt;N(INDEX(Setup!$L$6:$L$23,12)))+(COUNTIF(G1019:I1019,"?*")&lt;N(INDEX(Setup!$L$6:$L$23,12)))+(COUNTIF(K1019:M1019,"?*")&lt;N(INDEX(Setup!$L$6:$L$23,12)))+(COUNTIF(O1019:Q1019,"?*")&lt;N(INDEX(Setup!$L$6:$L$23,12)))+(COUNTIF(S1019:U1019,"?*")&lt;N(INDEX(Setup!$L$6:$L$23,12)))+((W1019="")*(INDEX(Setup!$M$6:$M$23,12)="Y"))+((Y1019="")*(INDEX(Setup!$M$6:$M$23,12)="Y")))</f>
        <v/>
      </c>
      <c r="AC1019" s="91">
        <f>IF($B1019="","",IF(AB1019=0,"✓ covered","⚠ "&amp;AB1019&amp;IF(AB1019=1," gap"," gaps")))</f>
        <v/>
      </c>
    </row>
    <row r="1020" ht="17" customHeight="1">
      <c r="A1020" t="n">
        <v>21</v>
      </c>
      <c r="B1020" s="24">
        <f>IF(Setup!$K$18="","",Setup!$K$18)</f>
        <v/>
      </c>
      <c r="C1020" s="88" t="n"/>
      <c r="D1020" s="88" t="n"/>
      <c r="E1020" s="88" t="n"/>
      <c r="F1020" s="89" t="n"/>
      <c r="G1020" s="88" t="n"/>
      <c r="H1020" s="88" t="n"/>
      <c r="I1020" s="88" t="n"/>
      <c r="J1020" s="89" t="n"/>
      <c r="K1020" s="88" t="n"/>
      <c r="L1020" s="88" t="n"/>
      <c r="M1020" s="88" t="n"/>
      <c r="N1020" s="89" t="n"/>
      <c r="O1020" s="88" t="n"/>
      <c r="P1020" s="88" t="n"/>
      <c r="Q1020" s="88" t="n"/>
      <c r="R1020" s="89" t="n"/>
      <c r="S1020" s="88" t="n"/>
      <c r="T1020" s="88" t="n"/>
      <c r="U1020" s="88" t="n"/>
      <c r="V1020" s="89" t="n"/>
      <c r="W1020" s="88" t="n"/>
      <c r="X1020" s="89" t="n"/>
      <c r="Y1020" s="88" t="n"/>
      <c r="Z1020" s="89" t="n"/>
      <c r="AB1020" s="25">
        <f>IF($B1020="","",(COUNTIF(C1020:E1020,"?*")&lt;N(INDEX(Setup!$L$6:$L$23,13)))+(COUNTIF(G1020:I1020,"?*")&lt;N(INDEX(Setup!$L$6:$L$23,13)))+(COUNTIF(K1020:M1020,"?*")&lt;N(INDEX(Setup!$L$6:$L$23,13)))+(COUNTIF(O1020:Q1020,"?*")&lt;N(INDEX(Setup!$L$6:$L$23,13)))+(COUNTIF(S1020:U1020,"?*")&lt;N(INDEX(Setup!$L$6:$L$23,13)))+((W1020="")*(INDEX(Setup!$M$6:$M$23,13)="Y"))+((Y1020="")*(INDEX(Setup!$M$6:$M$23,13)="Y")))</f>
        <v/>
      </c>
      <c r="AC1020" s="90">
        <f>IF($B1020="","",IF(AB1020=0,"✓ covered","⚠ "&amp;AB1020&amp;IF(AB1020=1," gap"," gaps")))</f>
        <v/>
      </c>
    </row>
    <row r="1021" ht="17" customHeight="1">
      <c r="A1021" t="n">
        <v>21</v>
      </c>
      <c r="B1021" s="29">
        <f>IF(Setup!$K$19="","",Setup!$K$19)</f>
        <v/>
      </c>
      <c r="C1021" s="88" t="n"/>
      <c r="D1021" s="88" t="n"/>
      <c r="E1021" s="88" t="n"/>
      <c r="F1021" s="89" t="n"/>
      <c r="G1021" s="88" t="n"/>
      <c r="H1021" s="88" t="n"/>
      <c r="I1021" s="88" t="n"/>
      <c r="J1021" s="89" t="n"/>
      <c r="K1021" s="88" t="n"/>
      <c r="L1021" s="88" t="n"/>
      <c r="M1021" s="88" t="n"/>
      <c r="N1021" s="89" t="n"/>
      <c r="O1021" s="88" t="n"/>
      <c r="P1021" s="88" t="n"/>
      <c r="Q1021" s="88" t="n"/>
      <c r="R1021" s="89" t="n"/>
      <c r="S1021" s="88" t="n"/>
      <c r="T1021" s="88" t="n"/>
      <c r="U1021" s="88" t="n"/>
      <c r="V1021" s="89" t="n"/>
      <c r="W1021" s="88" t="n"/>
      <c r="X1021" s="89" t="n"/>
      <c r="Y1021" s="88" t="n"/>
      <c r="Z1021" s="89" t="n"/>
      <c r="AB1021" s="30">
        <f>IF($B1021="","",(COUNTIF(C1021:E1021,"?*")&lt;N(INDEX(Setup!$L$6:$L$23,14)))+(COUNTIF(G1021:I1021,"?*")&lt;N(INDEX(Setup!$L$6:$L$23,14)))+(COUNTIF(K1021:M1021,"?*")&lt;N(INDEX(Setup!$L$6:$L$23,14)))+(COUNTIF(O1021:Q1021,"?*")&lt;N(INDEX(Setup!$L$6:$L$23,14)))+(COUNTIF(S1021:U1021,"?*")&lt;N(INDEX(Setup!$L$6:$L$23,14)))+((W1021="")*(INDEX(Setup!$M$6:$M$23,14)="Y"))+((Y1021="")*(INDEX(Setup!$M$6:$M$23,14)="Y")))</f>
        <v/>
      </c>
      <c r="AC1021" s="91">
        <f>IF($B1021="","",IF(AB1021=0,"✓ covered","⚠ "&amp;AB1021&amp;IF(AB1021=1," gap"," gaps")))</f>
        <v/>
      </c>
    </row>
    <row r="1022" ht="17" customHeight="1">
      <c r="A1022" t="n">
        <v>21</v>
      </c>
      <c r="B1022" s="24">
        <f>IF(Setup!$K$20="","",Setup!$K$20)</f>
        <v/>
      </c>
      <c r="C1022" s="88" t="n"/>
      <c r="D1022" s="88" t="n"/>
      <c r="E1022" s="88" t="n"/>
      <c r="F1022" s="89" t="n"/>
      <c r="G1022" s="88" t="n"/>
      <c r="H1022" s="88" t="n"/>
      <c r="I1022" s="88" t="n"/>
      <c r="J1022" s="89" t="n"/>
      <c r="K1022" s="88" t="n"/>
      <c r="L1022" s="88" t="n"/>
      <c r="M1022" s="88" t="n"/>
      <c r="N1022" s="89" t="n"/>
      <c r="O1022" s="88" t="n"/>
      <c r="P1022" s="88" t="n"/>
      <c r="Q1022" s="88" t="n"/>
      <c r="R1022" s="89" t="n"/>
      <c r="S1022" s="88" t="n"/>
      <c r="T1022" s="88" t="n"/>
      <c r="U1022" s="88" t="n"/>
      <c r="V1022" s="89" t="n"/>
      <c r="W1022" s="88" t="n"/>
      <c r="X1022" s="89" t="n"/>
      <c r="Y1022" s="88" t="n"/>
      <c r="Z1022" s="89" t="n"/>
      <c r="AB1022" s="25">
        <f>IF($B1022="","",(COUNTIF(C1022:E1022,"?*")&lt;N(INDEX(Setup!$L$6:$L$23,15)))+(COUNTIF(G1022:I1022,"?*")&lt;N(INDEX(Setup!$L$6:$L$23,15)))+(COUNTIF(K1022:M1022,"?*")&lt;N(INDEX(Setup!$L$6:$L$23,15)))+(COUNTIF(O1022:Q1022,"?*")&lt;N(INDEX(Setup!$L$6:$L$23,15)))+(COUNTIF(S1022:U1022,"?*")&lt;N(INDEX(Setup!$L$6:$L$23,15)))+((W1022="")*(INDEX(Setup!$M$6:$M$23,15)="Y"))+((Y1022="")*(INDEX(Setup!$M$6:$M$23,15)="Y")))</f>
        <v/>
      </c>
      <c r="AC1022" s="90">
        <f>IF($B1022="","",IF(AB1022=0,"✓ covered","⚠ "&amp;AB1022&amp;IF(AB1022=1," gap"," gaps")))</f>
        <v/>
      </c>
    </row>
    <row r="1023" ht="17" customHeight="1">
      <c r="A1023" t="n">
        <v>21</v>
      </c>
      <c r="B1023" s="29">
        <f>IF(Setup!$K$21="","",Setup!$K$21)</f>
        <v/>
      </c>
      <c r="C1023" s="88" t="n"/>
      <c r="D1023" s="88" t="n"/>
      <c r="E1023" s="88" t="n"/>
      <c r="F1023" s="89" t="n"/>
      <c r="G1023" s="88" t="n"/>
      <c r="H1023" s="88" t="n"/>
      <c r="I1023" s="88" t="n"/>
      <c r="J1023" s="89" t="n"/>
      <c r="K1023" s="88" t="n"/>
      <c r="L1023" s="88" t="n"/>
      <c r="M1023" s="88" t="n"/>
      <c r="N1023" s="89" t="n"/>
      <c r="O1023" s="88" t="n"/>
      <c r="P1023" s="88" t="n"/>
      <c r="Q1023" s="88" t="n"/>
      <c r="R1023" s="89" t="n"/>
      <c r="S1023" s="88" t="n"/>
      <c r="T1023" s="88" t="n"/>
      <c r="U1023" s="88" t="n"/>
      <c r="V1023" s="89" t="n"/>
      <c r="W1023" s="88" t="n"/>
      <c r="X1023" s="89" t="n"/>
      <c r="Y1023" s="88" t="n"/>
      <c r="Z1023" s="89" t="n"/>
      <c r="AB1023" s="30">
        <f>IF($B1023="","",(COUNTIF(C1023:E1023,"?*")&lt;N(INDEX(Setup!$L$6:$L$23,16)))+(COUNTIF(G1023:I1023,"?*")&lt;N(INDEX(Setup!$L$6:$L$23,16)))+(COUNTIF(K1023:M1023,"?*")&lt;N(INDEX(Setup!$L$6:$L$23,16)))+(COUNTIF(O1023:Q1023,"?*")&lt;N(INDEX(Setup!$L$6:$L$23,16)))+(COUNTIF(S1023:U1023,"?*")&lt;N(INDEX(Setup!$L$6:$L$23,16)))+((W1023="")*(INDEX(Setup!$M$6:$M$23,16)="Y"))+((Y1023="")*(INDEX(Setup!$M$6:$M$23,16)="Y")))</f>
        <v/>
      </c>
      <c r="AC1023" s="91">
        <f>IF($B1023="","",IF(AB1023=0,"✓ covered","⚠ "&amp;AB1023&amp;IF(AB1023=1," gap"," gaps")))</f>
        <v/>
      </c>
    </row>
    <row r="1024" ht="17" customHeight="1">
      <c r="A1024" t="n">
        <v>21</v>
      </c>
      <c r="B1024" s="24">
        <f>IF(Setup!$K$22="","",Setup!$K$22)</f>
        <v/>
      </c>
      <c r="C1024" s="88" t="n"/>
      <c r="D1024" s="88" t="n"/>
      <c r="E1024" s="88" t="n"/>
      <c r="F1024" s="89" t="n"/>
      <c r="G1024" s="88" t="n"/>
      <c r="H1024" s="88" t="n"/>
      <c r="I1024" s="88" t="n"/>
      <c r="J1024" s="89" t="n"/>
      <c r="K1024" s="88" t="n"/>
      <c r="L1024" s="88" t="n"/>
      <c r="M1024" s="88" t="n"/>
      <c r="N1024" s="89" t="n"/>
      <c r="O1024" s="88" t="n"/>
      <c r="P1024" s="88" t="n"/>
      <c r="Q1024" s="88" t="n"/>
      <c r="R1024" s="89" t="n"/>
      <c r="S1024" s="88" t="n"/>
      <c r="T1024" s="88" t="n"/>
      <c r="U1024" s="88" t="n"/>
      <c r="V1024" s="89" t="n"/>
      <c r="W1024" s="88" t="n"/>
      <c r="X1024" s="89" t="n"/>
      <c r="Y1024" s="88" t="n"/>
      <c r="Z1024" s="89" t="n"/>
      <c r="AB1024" s="25">
        <f>IF($B1024="","",(COUNTIF(C1024:E1024,"?*")&lt;N(INDEX(Setup!$L$6:$L$23,17)))+(COUNTIF(G1024:I1024,"?*")&lt;N(INDEX(Setup!$L$6:$L$23,17)))+(COUNTIF(K1024:M1024,"?*")&lt;N(INDEX(Setup!$L$6:$L$23,17)))+(COUNTIF(O1024:Q1024,"?*")&lt;N(INDEX(Setup!$L$6:$L$23,17)))+(COUNTIF(S1024:U1024,"?*")&lt;N(INDEX(Setup!$L$6:$L$23,17)))+((W1024="")*(INDEX(Setup!$M$6:$M$23,17)="Y"))+((Y1024="")*(INDEX(Setup!$M$6:$M$23,17)="Y")))</f>
        <v/>
      </c>
      <c r="AC1024" s="90">
        <f>IF($B1024="","",IF(AB1024=0,"✓ covered","⚠ "&amp;AB1024&amp;IF(AB1024=1," gap"," gaps")))</f>
        <v/>
      </c>
    </row>
    <row r="1025" ht="17" customHeight="1">
      <c r="A1025" t="n">
        <v>21</v>
      </c>
      <c r="B1025" s="29">
        <f>IF(Setup!$K$23="","",Setup!$K$23)</f>
        <v/>
      </c>
      <c r="C1025" s="88" t="n"/>
      <c r="D1025" s="88" t="n"/>
      <c r="E1025" s="88" t="n"/>
      <c r="F1025" s="89" t="n"/>
      <c r="G1025" s="88" t="n"/>
      <c r="H1025" s="88" t="n"/>
      <c r="I1025" s="88" t="n"/>
      <c r="J1025" s="89" t="n"/>
      <c r="K1025" s="88" t="n"/>
      <c r="L1025" s="88" t="n"/>
      <c r="M1025" s="88" t="n"/>
      <c r="N1025" s="89" t="n"/>
      <c r="O1025" s="88" t="n"/>
      <c r="P1025" s="88" t="n"/>
      <c r="Q1025" s="88" t="n"/>
      <c r="R1025" s="89" t="n"/>
      <c r="S1025" s="88" t="n"/>
      <c r="T1025" s="88" t="n"/>
      <c r="U1025" s="88" t="n"/>
      <c r="V1025" s="89" t="n"/>
      <c r="W1025" s="88" t="n"/>
      <c r="X1025" s="89" t="n"/>
      <c r="Y1025" s="88" t="n"/>
      <c r="Z1025" s="89" t="n"/>
      <c r="AB1025" s="30">
        <f>IF($B1025="","",(COUNTIF(C1025:E1025,"?*")&lt;N(INDEX(Setup!$L$6:$L$23,18)))+(COUNTIF(G1025:I1025,"?*")&lt;N(INDEX(Setup!$L$6:$L$23,18)))+(COUNTIF(K1025:M1025,"?*")&lt;N(INDEX(Setup!$L$6:$L$23,18)))+(COUNTIF(O1025:Q1025,"?*")&lt;N(INDEX(Setup!$L$6:$L$23,18)))+(COUNTIF(S1025:U1025,"?*")&lt;N(INDEX(Setup!$L$6:$L$23,18)))+((W1025="")*(INDEX(Setup!$M$6:$M$23,18)="Y"))+((Y1025="")*(INDEX(Setup!$M$6:$M$23,18)="Y")))</f>
        <v/>
      </c>
      <c r="AC1025" s="91">
        <f>IF($B1025="","",IF(AB1025=0,"✓ covered","⚠ "&amp;AB1025&amp;IF(AB1025=1," gap"," gaps")))</f>
        <v/>
      </c>
    </row>
    <row r="1026" ht="18" customHeight="1">
      <c r="A1026" t="n">
        <v>21</v>
      </c>
      <c r="B1026" s="78" t="inlineStr">
        <is>
          <t>TEAM AVAILABILITY</t>
        </is>
      </c>
      <c r="C1026" s="92" t="inlineStr">
        <is>
          <t>Mon</t>
        </is>
      </c>
      <c r="D1026" s="93" t="n"/>
      <c r="E1026" s="93" t="n"/>
      <c r="F1026" s="94" t="n"/>
      <c r="G1026" s="92" t="inlineStr">
        <is>
          <t>Tue</t>
        </is>
      </c>
      <c r="H1026" s="93" t="n"/>
      <c r="I1026" s="93" t="n"/>
      <c r="J1026" s="94" t="n"/>
      <c r="K1026" s="92" t="inlineStr">
        <is>
          <t>Wed</t>
        </is>
      </c>
      <c r="L1026" s="93" t="n"/>
      <c r="M1026" s="93" t="n"/>
      <c r="N1026" s="94" t="n"/>
      <c r="O1026" s="92" t="inlineStr">
        <is>
          <t>Thu</t>
        </is>
      </c>
      <c r="P1026" s="93" t="n"/>
      <c r="Q1026" s="93" t="n"/>
      <c r="R1026" s="94" t="n"/>
      <c r="S1026" s="92" t="inlineStr">
        <is>
          <t>Fri</t>
        </is>
      </c>
      <c r="T1026" s="93" t="n"/>
      <c r="U1026" s="93" t="n"/>
      <c r="V1026" s="94" t="n"/>
      <c r="W1026" s="95" t="inlineStr">
        <is>
          <t>Sat</t>
        </is>
      </c>
      <c r="X1026" s="96" t="n"/>
      <c r="Y1026" s="95" t="inlineStr">
        <is>
          <t>Sun</t>
        </is>
      </c>
      <c r="Z1026" s="96" t="n"/>
      <c r="AB1026" s="97" t="inlineStr">
        <is>
          <t>Days rostered</t>
        </is>
      </c>
      <c r="AC1026" s="97" t="inlineStr">
        <is>
          <t>Conflicts</t>
        </is>
      </c>
    </row>
    <row r="1027" ht="15" customHeight="1">
      <c r="A1027" t="n">
        <v>21</v>
      </c>
      <c r="B1027" s="35">
        <f>IF(Setup!$B$6="","",Setup!$B$6)</f>
        <v/>
      </c>
      <c r="C1027" s="98" t="n"/>
      <c r="D1027" s="99" t="n"/>
      <c r="E1027" s="99" t="n"/>
      <c r="F1027" s="100" t="n"/>
      <c r="G1027" s="98" t="n"/>
      <c r="H1027" s="99" t="n"/>
      <c r="I1027" s="99" t="n"/>
      <c r="J1027" s="100" t="n"/>
      <c r="K1027" s="98" t="n"/>
      <c r="L1027" s="99" t="n"/>
      <c r="M1027" s="99" t="n"/>
      <c r="N1027" s="100" t="n"/>
      <c r="O1027" s="98" t="n"/>
      <c r="P1027" s="99" t="n"/>
      <c r="Q1027" s="99" t="n"/>
      <c r="R1027" s="100" t="n"/>
      <c r="S1027" s="98" t="n"/>
      <c r="T1027" s="99" t="n"/>
      <c r="U1027" s="99" t="n"/>
      <c r="V1027" s="100" t="n"/>
      <c r="W1027" s="98" t="n"/>
      <c r="X1027" s="100" t="n"/>
      <c r="Y1027" s="98" t="n"/>
      <c r="Z1027" s="100" t="n"/>
      <c r="AB1027" s="101">
        <f>IF($B1027="","",(COUNTIF(C1008:E1025,$B1027)+COUNTIF(C1008:E1025,$B1027&amp;" ~*")&gt;0)+(COUNTIF(G1008:I1025,$B1027)+COUNTIF(G1008:I1025,$B1027&amp;" ~*")&gt;0)+(COUNTIF(K1008:M1025,$B1027)+COUNTIF(K1008:M1025,$B1027&amp;" ~*")&gt;0)+(COUNTIF(O1008:Q1025,$B1027)+COUNTIF(O1008:Q1025,$B1027&amp;" ~*")&gt;0)+(COUNTIF(S1008:U1025,$B1027)+COUNTIF(S1008:U1025,$B1027&amp;" ~*")&gt;0)+(COUNTIF(W1008:W1025,$B1027)+COUNTIF(W1008:W1025,$B1027&amp;" ~*")&gt;0)+(COUNTIF(Y1008:Y1025,$B1027)+COUNTIF(Y1008:Y1025,$B1027&amp;" ~*")&gt;0))</f>
        <v/>
      </c>
      <c r="AC1027" s="36">
        <f>IF($B1027="","",(IFERROR(INDEX(Setup!$G$33:$G$40,MATCH(C1027,Setup!$B$33:$B$40,0)),0)=1)*(COUNTIF(C1008:E1025,$B1027)+COUNTIF(C1008:E1025,$B1027&amp;" ~*")&gt;0)+(IFERROR(INDEX(Setup!$G$33:$G$40,MATCH(G1027,Setup!$B$33:$B$40,0)),0)=1)*(COUNTIF(G1008:I1025,$B1027)+COUNTIF(G1008:I1025,$B1027&amp;" ~*")&gt;0)+(IFERROR(INDEX(Setup!$G$33:$G$40,MATCH(K1027,Setup!$B$33:$B$40,0)),0)=1)*(COUNTIF(K1008:M1025,$B1027)+COUNTIF(K1008:M1025,$B1027&amp;" ~*")&gt;0)+(IFERROR(INDEX(Setup!$G$33:$G$40,MATCH(O1027,Setup!$B$33:$B$40,0)),0)=1)*(COUNTIF(O1008:Q1025,$B1027)+COUNTIF(O1008:Q1025,$B1027&amp;" ~*")&gt;0)+(IFERROR(INDEX(Setup!$G$33:$G$40,MATCH(S1027,Setup!$B$33:$B$40,0)),0)=1)*(COUNTIF(S1008:U1025,$B1027)+COUNTIF(S1008:U1025,$B1027&amp;" ~*")&gt;0)+(IFERROR(INDEX(Setup!$G$33:$G$40,MATCH(W1027,Setup!$B$33:$B$40,0)),0)=1)*(COUNTIF(W1008:W1025,$B1027)+COUNTIF(W1008:W1025,$B1027&amp;" ~*")&gt;0)+(IFERROR(INDEX(Setup!$G$33:$G$40,MATCH(Y1027,Setup!$B$33:$B$40,0)),0)=1)*(COUNTIF(Y1008:Y1025,$B1027)+COUNTIF(Y1008:Y1025,$B1027&amp;" ~*")&gt;0))</f>
        <v/>
      </c>
    </row>
    <row r="1028" ht="15" customHeight="1">
      <c r="A1028" t="n">
        <v>21</v>
      </c>
      <c r="B1028" s="37">
        <f>IF(Setup!$B$7="","",Setup!$B$7)</f>
        <v/>
      </c>
      <c r="C1028" s="102" t="n"/>
      <c r="D1028" s="103" t="n"/>
      <c r="E1028" s="103" t="n"/>
      <c r="F1028" s="104" t="n"/>
      <c r="G1028" s="102" t="n"/>
      <c r="H1028" s="103" t="n"/>
      <c r="I1028" s="103" t="n"/>
      <c r="J1028" s="104" t="n"/>
      <c r="K1028" s="102" t="n"/>
      <c r="L1028" s="103" t="n"/>
      <c r="M1028" s="103" t="n"/>
      <c r="N1028" s="104" t="n"/>
      <c r="O1028" s="102" t="n"/>
      <c r="P1028" s="103" t="n"/>
      <c r="Q1028" s="103" t="n"/>
      <c r="R1028" s="104" t="n"/>
      <c r="S1028" s="102" t="n"/>
      <c r="T1028" s="103" t="n"/>
      <c r="U1028" s="103" t="n"/>
      <c r="V1028" s="104" t="n"/>
      <c r="W1028" s="102" t="n"/>
      <c r="X1028" s="104" t="n"/>
      <c r="Y1028" s="102" t="n"/>
      <c r="Z1028" s="104" t="n"/>
      <c r="AB1028" s="105">
        <f>IF($B1028="","",(COUNTIF(C1008:E1025,$B1028)+COUNTIF(C1008:E1025,$B1028&amp;" ~*")&gt;0)+(COUNTIF(G1008:I1025,$B1028)+COUNTIF(G1008:I1025,$B1028&amp;" ~*")&gt;0)+(COUNTIF(K1008:M1025,$B1028)+COUNTIF(K1008:M1025,$B1028&amp;" ~*")&gt;0)+(COUNTIF(O1008:Q1025,$B1028)+COUNTIF(O1008:Q1025,$B1028&amp;" ~*")&gt;0)+(COUNTIF(S1008:U1025,$B1028)+COUNTIF(S1008:U1025,$B1028&amp;" ~*")&gt;0)+(COUNTIF(W1008:W1025,$B1028)+COUNTIF(W1008:W1025,$B1028&amp;" ~*")&gt;0)+(COUNTIF(Y1008:Y1025,$B1028)+COUNTIF(Y1008:Y1025,$B1028&amp;" ~*")&gt;0))</f>
        <v/>
      </c>
      <c r="AC1028" s="38">
        <f>IF($B1028="","",(IFERROR(INDEX(Setup!$G$33:$G$40,MATCH(C1028,Setup!$B$33:$B$40,0)),0)=1)*(COUNTIF(C1008:E1025,$B1028)+COUNTIF(C1008:E1025,$B1028&amp;" ~*")&gt;0)+(IFERROR(INDEX(Setup!$G$33:$G$40,MATCH(G1028,Setup!$B$33:$B$40,0)),0)=1)*(COUNTIF(G1008:I1025,$B1028)+COUNTIF(G1008:I1025,$B1028&amp;" ~*")&gt;0)+(IFERROR(INDEX(Setup!$G$33:$G$40,MATCH(K1028,Setup!$B$33:$B$40,0)),0)=1)*(COUNTIF(K1008:M1025,$B1028)+COUNTIF(K1008:M1025,$B1028&amp;" ~*")&gt;0)+(IFERROR(INDEX(Setup!$G$33:$G$40,MATCH(O1028,Setup!$B$33:$B$40,0)),0)=1)*(COUNTIF(O1008:Q1025,$B1028)+COUNTIF(O1008:Q1025,$B1028&amp;" ~*")&gt;0)+(IFERROR(INDEX(Setup!$G$33:$G$40,MATCH(S1028,Setup!$B$33:$B$40,0)),0)=1)*(COUNTIF(S1008:U1025,$B1028)+COUNTIF(S1008:U1025,$B1028&amp;" ~*")&gt;0)+(IFERROR(INDEX(Setup!$G$33:$G$40,MATCH(W1028,Setup!$B$33:$B$40,0)),0)=1)*(COUNTIF(W1008:W1025,$B1028)+COUNTIF(W1008:W1025,$B1028&amp;" ~*")&gt;0)+(IFERROR(INDEX(Setup!$G$33:$G$40,MATCH(Y1028,Setup!$B$33:$B$40,0)),0)=1)*(COUNTIF(Y1008:Y1025,$B1028)+COUNTIF(Y1008:Y1025,$B1028&amp;" ~*")&gt;0))</f>
        <v/>
      </c>
    </row>
    <row r="1029" ht="15" customHeight="1">
      <c r="A1029" t="n">
        <v>21</v>
      </c>
      <c r="B1029" s="35">
        <f>IF(Setup!$B$8="","",Setup!$B$8)</f>
        <v/>
      </c>
      <c r="C1029" s="98" t="n"/>
      <c r="D1029" s="99" t="n"/>
      <c r="E1029" s="99" t="n"/>
      <c r="F1029" s="100" t="n"/>
      <c r="G1029" s="98" t="n"/>
      <c r="H1029" s="99" t="n"/>
      <c r="I1029" s="99" t="n"/>
      <c r="J1029" s="100" t="n"/>
      <c r="K1029" s="98" t="n"/>
      <c r="L1029" s="99" t="n"/>
      <c r="M1029" s="99" t="n"/>
      <c r="N1029" s="100" t="n"/>
      <c r="O1029" s="98" t="n"/>
      <c r="P1029" s="99" t="n"/>
      <c r="Q1029" s="99" t="n"/>
      <c r="R1029" s="100" t="n"/>
      <c r="S1029" s="98" t="n"/>
      <c r="T1029" s="99" t="n"/>
      <c r="U1029" s="99" t="n"/>
      <c r="V1029" s="100" t="n"/>
      <c r="W1029" s="98" t="n"/>
      <c r="X1029" s="100" t="n"/>
      <c r="Y1029" s="98" t="n"/>
      <c r="Z1029" s="100" t="n"/>
      <c r="AB1029" s="101">
        <f>IF($B1029="","",(COUNTIF(C1008:E1025,$B1029)+COUNTIF(C1008:E1025,$B1029&amp;" ~*")&gt;0)+(COUNTIF(G1008:I1025,$B1029)+COUNTIF(G1008:I1025,$B1029&amp;" ~*")&gt;0)+(COUNTIF(K1008:M1025,$B1029)+COUNTIF(K1008:M1025,$B1029&amp;" ~*")&gt;0)+(COUNTIF(O1008:Q1025,$B1029)+COUNTIF(O1008:Q1025,$B1029&amp;" ~*")&gt;0)+(COUNTIF(S1008:U1025,$B1029)+COUNTIF(S1008:U1025,$B1029&amp;" ~*")&gt;0)+(COUNTIF(W1008:W1025,$B1029)+COUNTIF(W1008:W1025,$B1029&amp;" ~*")&gt;0)+(COUNTIF(Y1008:Y1025,$B1029)+COUNTIF(Y1008:Y1025,$B1029&amp;" ~*")&gt;0))</f>
        <v/>
      </c>
      <c r="AC1029" s="36">
        <f>IF($B1029="","",(IFERROR(INDEX(Setup!$G$33:$G$40,MATCH(C1029,Setup!$B$33:$B$40,0)),0)=1)*(COUNTIF(C1008:E1025,$B1029)+COUNTIF(C1008:E1025,$B1029&amp;" ~*")&gt;0)+(IFERROR(INDEX(Setup!$G$33:$G$40,MATCH(G1029,Setup!$B$33:$B$40,0)),0)=1)*(COUNTIF(G1008:I1025,$B1029)+COUNTIF(G1008:I1025,$B1029&amp;" ~*")&gt;0)+(IFERROR(INDEX(Setup!$G$33:$G$40,MATCH(K1029,Setup!$B$33:$B$40,0)),0)=1)*(COUNTIF(K1008:M1025,$B1029)+COUNTIF(K1008:M1025,$B1029&amp;" ~*")&gt;0)+(IFERROR(INDEX(Setup!$G$33:$G$40,MATCH(O1029,Setup!$B$33:$B$40,0)),0)=1)*(COUNTIF(O1008:Q1025,$B1029)+COUNTIF(O1008:Q1025,$B1029&amp;" ~*")&gt;0)+(IFERROR(INDEX(Setup!$G$33:$G$40,MATCH(S1029,Setup!$B$33:$B$40,0)),0)=1)*(COUNTIF(S1008:U1025,$B1029)+COUNTIF(S1008:U1025,$B1029&amp;" ~*")&gt;0)+(IFERROR(INDEX(Setup!$G$33:$G$40,MATCH(W1029,Setup!$B$33:$B$40,0)),0)=1)*(COUNTIF(W1008:W1025,$B1029)+COUNTIF(W1008:W1025,$B1029&amp;" ~*")&gt;0)+(IFERROR(INDEX(Setup!$G$33:$G$40,MATCH(Y1029,Setup!$B$33:$B$40,0)),0)=1)*(COUNTIF(Y1008:Y1025,$B1029)+COUNTIF(Y1008:Y1025,$B1029&amp;" ~*")&gt;0))</f>
        <v/>
      </c>
    </row>
    <row r="1030" ht="15" customHeight="1">
      <c r="A1030" t="n">
        <v>21</v>
      </c>
      <c r="B1030" s="37">
        <f>IF(Setup!$B$9="","",Setup!$B$9)</f>
        <v/>
      </c>
      <c r="C1030" s="102" t="n"/>
      <c r="D1030" s="103" t="n"/>
      <c r="E1030" s="103" t="n"/>
      <c r="F1030" s="104" t="n"/>
      <c r="G1030" s="102" t="n"/>
      <c r="H1030" s="103" t="n"/>
      <c r="I1030" s="103" t="n"/>
      <c r="J1030" s="104" t="n"/>
      <c r="K1030" s="102" t="n"/>
      <c r="L1030" s="103" t="n"/>
      <c r="M1030" s="103" t="n"/>
      <c r="N1030" s="104" t="n"/>
      <c r="O1030" s="102" t="n"/>
      <c r="P1030" s="103" t="n"/>
      <c r="Q1030" s="103" t="n"/>
      <c r="R1030" s="104" t="n"/>
      <c r="S1030" s="102" t="n"/>
      <c r="T1030" s="103" t="n"/>
      <c r="U1030" s="103" t="n"/>
      <c r="V1030" s="104" t="n"/>
      <c r="W1030" s="102" t="n"/>
      <c r="X1030" s="104" t="n"/>
      <c r="Y1030" s="102" t="n"/>
      <c r="Z1030" s="104" t="n"/>
      <c r="AB1030" s="105">
        <f>IF($B1030="","",(COUNTIF(C1008:E1025,$B1030)+COUNTIF(C1008:E1025,$B1030&amp;" ~*")&gt;0)+(COUNTIF(G1008:I1025,$B1030)+COUNTIF(G1008:I1025,$B1030&amp;" ~*")&gt;0)+(COUNTIF(K1008:M1025,$B1030)+COUNTIF(K1008:M1025,$B1030&amp;" ~*")&gt;0)+(COUNTIF(O1008:Q1025,$B1030)+COUNTIF(O1008:Q1025,$B1030&amp;" ~*")&gt;0)+(COUNTIF(S1008:U1025,$B1030)+COUNTIF(S1008:U1025,$B1030&amp;" ~*")&gt;0)+(COUNTIF(W1008:W1025,$B1030)+COUNTIF(W1008:W1025,$B1030&amp;" ~*")&gt;0)+(COUNTIF(Y1008:Y1025,$B1030)+COUNTIF(Y1008:Y1025,$B1030&amp;" ~*")&gt;0))</f>
        <v/>
      </c>
      <c r="AC1030" s="38">
        <f>IF($B1030="","",(IFERROR(INDEX(Setup!$G$33:$G$40,MATCH(C1030,Setup!$B$33:$B$40,0)),0)=1)*(COUNTIF(C1008:E1025,$B1030)+COUNTIF(C1008:E1025,$B1030&amp;" ~*")&gt;0)+(IFERROR(INDEX(Setup!$G$33:$G$40,MATCH(G1030,Setup!$B$33:$B$40,0)),0)=1)*(COUNTIF(G1008:I1025,$B1030)+COUNTIF(G1008:I1025,$B1030&amp;" ~*")&gt;0)+(IFERROR(INDEX(Setup!$G$33:$G$40,MATCH(K1030,Setup!$B$33:$B$40,0)),0)=1)*(COUNTIF(K1008:M1025,$B1030)+COUNTIF(K1008:M1025,$B1030&amp;" ~*")&gt;0)+(IFERROR(INDEX(Setup!$G$33:$G$40,MATCH(O1030,Setup!$B$33:$B$40,0)),0)=1)*(COUNTIF(O1008:Q1025,$B1030)+COUNTIF(O1008:Q1025,$B1030&amp;" ~*")&gt;0)+(IFERROR(INDEX(Setup!$G$33:$G$40,MATCH(S1030,Setup!$B$33:$B$40,0)),0)=1)*(COUNTIF(S1008:U1025,$B1030)+COUNTIF(S1008:U1025,$B1030&amp;" ~*")&gt;0)+(IFERROR(INDEX(Setup!$G$33:$G$40,MATCH(W1030,Setup!$B$33:$B$40,0)),0)=1)*(COUNTIF(W1008:W1025,$B1030)+COUNTIF(W1008:W1025,$B1030&amp;" ~*")&gt;0)+(IFERROR(INDEX(Setup!$G$33:$G$40,MATCH(Y1030,Setup!$B$33:$B$40,0)),0)=1)*(COUNTIF(Y1008:Y1025,$B1030)+COUNTIF(Y1008:Y1025,$B1030&amp;" ~*")&gt;0))</f>
        <v/>
      </c>
    </row>
    <row r="1031" ht="15" customHeight="1">
      <c r="A1031" t="n">
        <v>21</v>
      </c>
      <c r="B1031" s="35">
        <f>IF(Setup!$B$10="","",Setup!$B$10)</f>
        <v/>
      </c>
      <c r="C1031" s="98" t="n"/>
      <c r="D1031" s="99" t="n"/>
      <c r="E1031" s="99" t="n"/>
      <c r="F1031" s="100" t="n"/>
      <c r="G1031" s="98" t="n"/>
      <c r="H1031" s="99" t="n"/>
      <c r="I1031" s="99" t="n"/>
      <c r="J1031" s="100" t="n"/>
      <c r="K1031" s="98" t="n"/>
      <c r="L1031" s="99" t="n"/>
      <c r="M1031" s="99" t="n"/>
      <c r="N1031" s="100" t="n"/>
      <c r="O1031" s="98" t="n"/>
      <c r="P1031" s="99" t="n"/>
      <c r="Q1031" s="99" t="n"/>
      <c r="R1031" s="100" t="n"/>
      <c r="S1031" s="98" t="n"/>
      <c r="T1031" s="99" t="n"/>
      <c r="U1031" s="99" t="n"/>
      <c r="V1031" s="100" t="n"/>
      <c r="W1031" s="98" t="n"/>
      <c r="X1031" s="100" t="n"/>
      <c r="Y1031" s="98" t="n"/>
      <c r="Z1031" s="100" t="n"/>
      <c r="AB1031" s="101">
        <f>IF($B1031="","",(COUNTIF(C1008:E1025,$B1031)+COUNTIF(C1008:E1025,$B1031&amp;" ~*")&gt;0)+(COUNTIF(G1008:I1025,$B1031)+COUNTIF(G1008:I1025,$B1031&amp;" ~*")&gt;0)+(COUNTIF(K1008:M1025,$B1031)+COUNTIF(K1008:M1025,$B1031&amp;" ~*")&gt;0)+(COUNTIF(O1008:Q1025,$B1031)+COUNTIF(O1008:Q1025,$B1031&amp;" ~*")&gt;0)+(COUNTIF(S1008:U1025,$B1031)+COUNTIF(S1008:U1025,$B1031&amp;" ~*")&gt;0)+(COUNTIF(W1008:W1025,$B1031)+COUNTIF(W1008:W1025,$B1031&amp;" ~*")&gt;0)+(COUNTIF(Y1008:Y1025,$B1031)+COUNTIF(Y1008:Y1025,$B1031&amp;" ~*")&gt;0))</f>
        <v/>
      </c>
      <c r="AC1031" s="36">
        <f>IF($B1031="","",(IFERROR(INDEX(Setup!$G$33:$G$40,MATCH(C1031,Setup!$B$33:$B$40,0)),0)=1)*(COUNTIF(C1008:E1025,$B1031)+COUNTIF(C1008:E1025,$B1031&amp;" ~*")&gt;0)+(IFERROR(INDEX(Setup!$G$33:$G$40,MATCH(G1031,Setup!$B$33:$B$40,0)),0)=1)*(COUNTIF(G1008:I1025,$B1031)+COUNTIF(G1008:I1025,$B1031&amp;" ~*")&gt;0)+(IFERROR(INDEX(Setup!$G$33:$G$40,MATCH(K1031,Setup!$B$33:$B$40,0)),0)=1)*(COUNTIF(K1008:M1025,$B1031)+COUNTIF(K1008:M1025,$B1031&amp;" ~*")&gt;0)+(IFERROR(INDEX(Setup!$G$33:$G$40,MATCH(O1031,Setup!$B$33:$B$40,0)),0)=1)*(COUNTIF(O1008:Q1025,$B1031)+COUNTIF(O1008:Q1025,$B1031&amp;" ~*")&gt;0)+(IFERROR(INDEX(Setup!$G$33:$G$40,MATCH(S1031,Setup!$B$33:$B$40,0)),0)=1)*(COUNTIF(S1008:U1025,$B1031)+COUNTIF(S1008:U1025,$B1031&amp;" ~*")&gt;0)+(IFERROR(INDEX(Setup!$G$33:$G$40,MATCH(W1031,Setup!$B$33:$B$40,0)),0)=1)*(COUNTIF(W1008:W1025,$B1031)+COUNTIF(W1008:W1025,$B1031&amp;" ~*")&gt;0)+(IFERROR(INDEX(Setup!$G$33:$G$40,MATCH(Y1031,Setup!$B$33:$B$40,0)),0)=1)*(COUNTIF(Y1008:Y1025,$B1031)+COUNTIF(Y1008:Y1025,$B1031&amp;" ~*")&gt;0))</f>
        <v/>
      </c>
    </row>
    <row r="1032" ht="15" customHeight="1">
      <c r="A1032" t="n">
        <v>21</v>
      </c>
      <c r="B1032" s="37">
        <f>IF(Setup!$B$11="","",Setup!$B$11)</f>
        <v/>
      </c>
      <c r="C1032" s="102" t="n"/>
      <c r="D1032" s="103" t="n"/>
      <c r="E1032" s="103" t="n"/>
      <c r="F1032" s="104" t="n"/>
      <c r="G1032" s="102" t="n"/>
      <c r="H1032" s="103" t="n"/>
      <c r="I1032" s="103" t="n"/>
      <c r="J1032" s="104" t="n"/>
      <c r="K1032" s="102" t="n"/>
      <c r="L1032" s="103" t="n"/>
      <c r="M1032" s="103" t="n"/>
      <c r="N1032" s="104" t="n"/>
      <c r="O1032" s="102" t="n"/>
      <c r="P1032" s="103" t="n"/>
      <c r="Q1032" s="103" t="n"/>
      <c r="R1032" s="104" t="n"/>
      <c r="S1032" s="102" t="n"/>
      <c r="T1032" s="103" t="n"/>
      <c r="U1032" s="103" t="n"/>
      <c r="V1032" s="104" t="n"/>
      <c r="W1032" s="102" t="n"/>
      <c r="X1032" s="104" t="n"/>
      <c r="Y1032" s="102" t="n"/>
      <c r="Z1032" s="104" t="n"/>
      <c r="AB1032" s="105">
        <f>IF($B1032="","",(COUNTIF(C1008:E1025,$B1032)+COUNTIF(C1008:E1025,$B1032&amp;" ~*")&gt;0)+(COUNTIF(G1008:I1025,$B1032)+COUNTIF(G1008:I1025,$B1032&amp;" ~*")&gt;0)+(COUNTIF(K1008:M1025,$B1032)+COUNTIF(K1008:M1025,$B1032&amp;" ~*")&gt;0)+(COUNTIF(O1008:Q1025,$B1032)+COUNTIF(O1008:Q1025,$B1032&amp;" ~*")&gt;0)+(COUNTIF(S1008:U1025,$B1032)+COUNTIF(S1008:U1025,$B1032&amp;" ~*")&gt;0)+(COUNTIF(W1008:W1025,$B1032)+COUNTIF(W1008:W1025,$B1032&amp;" ~*")&gt;0)+(COUNTIF(Y1008:Y1025,$B1032)+COUNTIF(Y1008:Y1025,$B1032&amp;" ~*")&gt;0))</f>
        <v/>
      </c>
      <c r="AC1032" s="38">
        <f>IF($B1032="","",(IFERROR(INDEX(Setup!$G$33:$G$40,MATCH(C1032,Setup!$B$33:$B$40,0)),0)=1)*(COUNTIF(C1008:E1025,$B1032)+COUNTIF(C1008:E1025,$B1032&amp;" ~*")&gt;0)+(IFERROR(INDEX(Setup!$G$33:$G$40,MATCH(G1032,Setup!$B$33:$B$40,0)),0)=1)*(COUNTIF(G1008:I1025,$B1032)+COUNTIF(G1008:I1025,$B1032&amp;" ~*")&gt;0)+(IFERROR(INDEX(Setup!$G$33:$G$40,MATCH(K1032,Setup!$B$33:$B$40,0)),0)=1)*(COUNTIF(K1008:M1025,$B1032)+COUNTIF(K1008:M1025,$B1032&amp;" ~*")&gt;0)+(IFERROR(INDEX(Setup!$G$33:$G$40,MATCH(O1032,Setup!$B$33:$B$40,0)),0)=1)*(COUNTIF(O1008:Q1025,$B1032)+COUNTIF(O1008:Q1025,$B1032&amp;" ~*")&gt;0)+(IFERROR(INDEX(Setup!$G$33:$G$40,MATCH(S1032,Setup!$B$33:$B$40,0)),0)=1)*(COUNTIF(S1008:U1025,$B1032)+COUNTIF(S1008:U1025,$B1032&amp;" ~*")&gt;0)+(IFERROR(INDEX(Setup!$G$33:$G$40,MATCH(W1032,Setup!$B$33:$B$40,0)),0)=1)*(COUNTIF(W1008:W1025,$B1032)+COUNTIF(W1008:W1025,$B1032&amp;" ~*")&gt;0)+(IFERROR(INDEX(Setup!$G$33:$G$40,MATCH(Y1032,Setup!$B$33:$B$40,0)),0)=1)*(COUNTIF(Y1008:Y1025,$B1032)+COUNTIF(Y1008:Y1025,$B1032&amp;" ~*")&gt;0))</f>
        <v/>
      </c>
    </row>
    <row r="1033" ht="15" customHeight="1">
      <c r="A1033" t="n">
        <v>21</v>
      </c>
      <c r="B1033" s="35">
        <f>IF(Setup!$B$12="","",Setup!$B$12)</f>
        <v/>
      </c>
      <c r="C1033" s="98" t="n"/>
      <c r="D1033" s="99" t="n"/>
      <c r="E1033" s="99" t="n"/>
      <c r="F1033" s="100" t="n"/>
      <c r="G1033" s="98" t="n"/>
      <c r="H1033" s="99" t="n"/>
      <c r="I1033" s="99" t="n"/>
      <c r="J1033" s="100" t="n"/>
      <c r="K1033" s="98" t="n"/>
      <c r="L1033" s="99" t="n"/>
      <c r="M1033" s="99" t="n"/>
      <c r="N1033" s="100" t="n"/>
      <c r="O1033" s="98" t="n"/>
      <c r="P1033" s="99" t="n"/>
      <c r="Q1033" s="99" t="n"/>
      <c r="R1033" s="100" t="n"/>
      <c r="S1033" s="98" t="inlineStr">
        <is>
          <t>AL</t>
        </is>
      </c>
      <c r="T1033" s="99" t="n"/>
      <c r="U1033" s="99" t="n"/>
      <c r="V1033" s="100" t="n"/>
      <c r="W1033" s="98" t="n"/>
      <c r="X1033" s="100" t="n"/>
      <c r="Y1033" s="98" t="n"/>
      <c r="Z1033" s="100" t="n"/>
      <c r="AB1033" s="101">
        <f>IF($B1033="","",(COUNTIF(C1008:E1025,$B1033)+COUNTIF(C1008:E1025,$B1033&amp;" ~*")&gt;0)+(COUNTIF(G1008:I1025,$B1033)+COUNTIF(G1008:I1025,$B1033&amp;" ~*")&gt;0)+(COUNTIF(K1008:M1025,$B1033)+COUNTIF(K1008:M1025,$B1033&amp;" ~*")&gt;0)+(COUNTIF(O1008:Q1025,$B1033)+COUNTIF(O1008:Q1025,$B1033&amp;" ~*")&gt;0)+(COUNTIF(S1008:U1025,$B1033)+COUNTIF(S1008:U1025,$B1033&amp;" ~*")&gt;0)+(COUNTIF(W1008:W1025,$B1033)+COUNTIF(W1008:W1025,$B1033&amp;" ~*")&gt;0)+(COUNTIF(Y1008:Y1025,$B1033)+COUNTIF(Y1008:Y1025,$B1033&amp;" ~*")&gt;0))</f>
        <v/>
      </c>
      <c r="AC1033" s="36">
        <f>IF($B1033="","",(IFERROR(INDEX(Setup!$G$33:$G$40,MATCH(C1033,Setup!$B$33:$B$40,0)),0)=1)*(COUNTIF(C1008:E1025,$B1033)+COUNTIF(C1008:E1025,$B1033&amp;" ~*")&gt;0)+(IFERROR(INDEX(Setup!$G$33:$G$40,MATCH(G1033,Setup!$B$33:$B$40,0)),0)=1)*(COUNTIF(G1008:I1025,$B1033)+COUNTIF(G1008:I1025,$B1033&amp;" ~*")&gt;0)+(IFERROR(INDEX(Setup!$G$33:$G$40,MATCH(K1033,Setup!$B$33:$B$40,0)),0)=1)*(COUNTIF(K1008:M1025,$B1033)+COUNTIF(K1008:M1025,$B1033&amp;" ~*")&gt;0)+(IFERROR(INDEX(Setup!$G$33:$G$40,MATCH(O1033,Setup!$B$33:$B$40,0)),0)=1)*(COUNTIF(O1008:Q1025,$B1033)+COUNTIF(O1008:Q1025,$B1033&amp;" ~*")&gt;0)+(IFERROR(INDEX(Setup!$G$33:$G$40,MATCH(S1033,Setup!$B$33:$B$40,0)),0)=1)*(COUNTIF(S1008:U1025,$B1033)+COUNTIF(S1008:U1025,$B1033&amp;" ~*")&gt;0)+(IFERROR(INDEX(Setup!$G$33:$G$40,MATCH(W1033,Setup!$B$33:$B$40,0)),0)=1)*(COUNTIF(W1008:W1025,$B1033)+COUNTIF(W1008:W1025,$B1033&amp;" ~*")&gt;0)+(IFERROR(INDEX(Setup!$G$33:$G$40,MATCH(Y1033,Setup!$B$33:$B$40,0)),0)=1)*(COUNTIF(Y1008:Y1025,$B1033)+COUNTIF(Y1008:Y1025,$B1033&amp;" ~*")&gt;0))</f>
        <v/>
      </c>
    </row>
    <row r="1034" ht="15" customHeight="1">
      <c r="A1034" t="n">
        <v>21</v>
      </c>
      <c r="B1034" s="37">
        <f>IF(Setup!$B$13="","",Setup!$B$13)</f>
        <v/>
      </c>
      <c r="C1034" s="102" t="n"/>
      <c r="D1034" s="103" t="n"/>
      <c r="E1034" s="103" t="n"/>
      <c r="F1034" s="104" t="n"/>
      <c r="G1034" s="102" t="n"/>
      <c r="H1034" s="103" t="n"/>
      <c r="I1034" s="103" t="n"/>
      <c r="J1034" s="104" t="n"/>
      <c r="K1034" s="102" t="n"/>
      <c r="L1034" s="103" t="n"/>
      <c r="M1034" s="103" t="n"/>
      <c r="N1034" s="104" t="n"/>
      <c r="O1034" s="102" t="n"/>
      <c r="P1034" s="103" t="n"/>
      <c r="Q1034" s="103" t="n"/>
      <c r="R1034" s="104" t="n"/>
      <c r="S1034" s="102" t="n"/>
      <c r="T1034" s="103" t="n"/>
      <c r="U1034" s="103" t="n"/>
      <c r="V1034" s="104" t="n"/>
      <c r="W1034" s="102" t="n"/>
      <c r="X1034" s="104" t="n"/>
      <c r="Y1034" s="102" t="n"/>
      <c r="Z1034" s="104" t="n"/>
      <c r="AB1034" s="105">
        <f>IF($B1034="","",(COUNTIF(C1008:E1025,$B1034)+COUNTIF(C1008:E1025,$B1034&amp;" ~*")&gt;0)+(COUNTIF(G1008:I1025,$B1034)+COUNTIF(G1008:I1025,$B1034&amp;" ~*")&gt;0)+(COUNTIF(K1008:M1025,$B1034)+COUNTIF(K1008:M1025,$B1034&amp;" ~*")&gt;0)+(COUNTIF(O1008:Q1025,$B1034)+COUNTIF(O1008:Q1025,$B1034&amp;" ~*")&gt;0)+(COUNTIF(S1008:U1025,$B1034)+COUNTIF(S1008:U1025,$B1034&amp;" ~*")&gt;0)+(COUNTIF(W1008:W1025,$B1034)+COUNTIF(W1008:W1025,$B1034&amp;" ~*")&gt;0)+(COUNTIF(Y1008:Y1025,$B1034)+COUNTIF(Y1008:Y1025,$B1034&amp;" ~*")&gt;0))</f>
        <v/>
      </c>
      <c r="AC1034" s="38">
        <f>IF($B1034="","",(IFERROR(INDEX(Setup!$G$33:$G$40,MATCH(C1034,Setup!$B$33:$B$40,0)),0)=1)*(COUNTIF(C1008:E1025,$B1034)+COUNTIF(C1008:E1025,$B1034&amp;" ~*")&gt;0)+(IFERROR(INDEX(Setup!$G$33:$G$40,MATCH(G1034,Setup!$B$33:$B$40,0)),0)=1)*(COUNTIF(G1008:I1025,$B1034)+COUNTIF(G1008:I1025,$B1034&amp;" ~*")&gt;0)+(IFERROR(INDEX(Setup!$G$33:$G$40,MATCH(K1034,Setup!$B$33:$B$40,0)),0)=1)*(COUNTIF(K1008:M1025,$B1034)+COUNTIF(K1008:M1025,$B1034&amp;" ~*")&gt;0)+(IFERROR(INDEX(Setup!$G$33:$G$40,MATCH(O1034,Setup!$B$33:$B$40,0)),0)=1)*(COUNTIF(O1008:Q1025,$B1034)+COUNTIF(O1008:Q1025,$B1034&amp;" ~*")&gt;0)+(IFERROR(INDEX(Setup!$G$33:$G$40,MATCH(S1034,Setup!$B$33:$B$40,0)),0)=1)*(COUNTIF(S1008:U1025,$B1034)+COUNTIF(S1008:U1025,$B1034&amp;" ~*")&gt;0)+(IFERROR(INDEX(Setup!$G$33:$G$40,MATCH(W1034,Setup!$B$33:$B$40,0)),0)=1)*(COUNTIF(W1008:W1025,$B1034)+COUNTIF(W1008:W1025,$B1034&amp;" ~*")&gt;0)+(IFERROR(INDEX(Setup!$G$33:$G$40,MATCH(Y1034,Setup!$B$33:$B$40,0)),0)=1)*(COUNTIF(Y1008:Y1025,$B1034)+COUNTIF(Y1008:Y1025,$B1034&amp;" ~*")&gt;0))</f>
        <v/>
      </c>
    </row>
    <row r="1035" ht="15" customHeight="1">
      <c r="A1035" t="n">
        <v>21</v>
      </c>
      <c r="B1035" s="35">
        <f>IF(Setup!$B$14="","",Setup!$B$14)</f>
        <v/>
      </c>
      <c r="C1035" s="98" t="n"/>
      <c r="D1035" s="99" t="n"/>
      <c r="E1035" s="99" t="n"/>
      <c r="F1035" s="100" t="n"/>
      <c r="G1035" s="98" t="n"/>
      <c r="H1035" s="99" t="n"/>
      <c r="I1035" s="99" t="n"/>
      <c r="J1035" s="100" t="n"/>
      <c r="K1035" s="98" t="n"/>
      <c r="L1035" s="99" t="n"/>
      <c r="M1035" s="99" t="n"/>
      <c r="N1035" s="100" t="n"/>
      <c r="O1035" s="98" t="n"/>
      <c r="P1035" s="99" t="n"/>
      <c r="Q1035" s="99" t="n"/>
      <c r="R1035" s="100" t="n"/>
      <c r="S1035" s="98" t="n"/>
      <c r="T1035" s="99" t="n"/>
      <c r="U1035" s="99" t="n"/>
      <c r="V1035" s="100" t="n"/>
      <c r="W1035" s="98" t="n"/>
      <c r="X1035" s="100" t="n"/>
      <c r="Y1035" s="98" t="n"/>
      <c r="Z1035" s="100" t="n"/>
      <c r="AB1035" s="101">
        <f>IF($B1035="","",(COUNTIF(C1008:E1025,$B1035)+COUNTIF(C1008:E1025,$B1035&amp;" ~*")&gt;0)+(COUNTIF(G1008:I1025,$B1035)+COUNTIF(G1008:I1025,$B1035&amp;" ~*")&gt;0)+(COUNTIF(K1008:M1025,$B1035)+COUNTIF(K1008:M1025,$B1035&amp;" ~*")&gt;0)+(COUNTIF(O1008:Q1025,$B1035)+COUNTIF(O1008:Q1025,$B1035&amp;" ~*")&gt;0)+(COUNTIF(S1008:U1025,$B1035)+COUNTIF(S1008:U1025,$B1035&amp;" ~*")&gt;0)+(COUNTIF(W1008:W1025,$B1035)+COUNTIF(W1008:W1025,$B1035&amp;" ~*")&gt;0)+(COUNTIF(Y1008:Y1025,$B1035)+COUNTIF(Y1008:Y1025,$B1035&amp;" ~*")&gt;0))</f>
        <v/>
      </c>
      <c r="AC1035" s="36">
        <f>IF($B1035="","",(IFERROR(INDEX(Setup!$G$33:$G$40,MATCH(C1035,Setup!$B$33:$B$40,0)),0)=1)*(COUNTIF(C1008:E1025,$B1035)+COUNTIF(C1008:E1025,$B1035&amp;" ~*")&gt;0)+(IFERROR(INDEX(Setup!$G$33:$G$40,MATCH(G1035,Setup!$B$33:$B$40,0)),0)=1)*(COUNTIF(G1008:I1025,$B1035)+COUNTIF(G1008:I1025,$B1035&amp;" ~*")&gt;0)+(IFERROR(INDEX(Setup!$G$33:$G$40,MATCH(K1035,Setup!$B$33:$B$40,0)),0)=1)*(COUNTIF(K1008:M1025,$B1035)+COUNTIF(K1008:M1025,$B1035&amp;" ~*")&gt;0)+(IFERROR(INDEX(Setup!$G$33:$G$40,MATCH(O1035,Setup!$B$33:$B$40,0)),0)=1)*(COUNTIF(O1008:Q1025,$B1035)+COUNTIF(O1008:Q1025,$B1035&amp;" ~*")&gt;0)+(IFERROR(INDEX(Setup!$G$33:$G$40,MATCH(S1035,Setup!$B$33:$B$40,0)),0)=1)*(COUNTIF(S1008:U1025,$B1035)+COUNTIF(S1008:U1025,$B1035&amp;" ~*")&gt;0)+(IFERROR(INDEX(Setup!$G$33:$G$40,MATCH(W1035,Setup!$B$33:$B$40,0)),0)=1)*(COUNTIF(W1008:W1025,$B1035)+COUNTIF(W1008:W1025,$B1035&amp;" ~*")&gt;0)+(IFERROR(INDEX(Setup!$G$33:$G$40,MATCH(Y1035,Setup!$B$33:$B$40,0)),0)=1)*(COUNTIF(Y1008:Y1025,$B1035)+COUNTIF(Y1008:Y1025,$B1035&amp;" ~*")&gt;0))</f>
        <v/>
      </c>
    </row>
    <row r="1036" ht="15" customHeight="1">
      <c r="A1036" t="n">
        <v>21</v>
      </c>
      <c r="B1036" s="37">
        <f>IF(Setup!$B$15="","",Setup!$B$15)</f>
        <v/>
      </c>
      <c r="C1036" s="102" t="n"/>
      <c r="D1036" s="103" t="n"/>
      <c r="E1036" s="103" t="n"/>
      <c r="F1036" s="104" t="n"/>
      <c r="G1036" s="102" t="n"/>
      <c r="H1036" s="103" t="n"/>
      <c r="I1036" s="103" t="n"/>
      <c r="J1036" s="104" t="n"/>
      <c r="K1036" s="102" t="n"/>
      <c r="L1036" s="103" t="n"/>
      <c r="M1036" s="103" t="n"/>
      <c r="N1036" s="104" t="n"/>
      <c r="O1036" s="102" t="inlineStr">
        <is>
          <t>AL</t>
        </is>
      </c>
      <c r="P1036" s="103" t="n"/>
      <c r="Q1036" s="103" t="n"/>
      <c r="R1036" s="104" t="n"/>
      <c r="S1036" s="102" t="inlineStr">
        <is>
          <t>AL</t>
        </is>
      </c>
      <c r="T1036" s="103" t="n"/>
      <c r="U1036" s="103" t="n"/>
      <c r="V1036" s="104" t="n"/>
      <c r="W1036" s="102" t="n"/>
      <c r="X1036" s="104" t="n"/>
      <c r="Y1036" s="102" t="n"/>
      <c r="Z1036" s="104" t="n"/>
      <c r="AB1036" s="105">
        <f>IF($B1036="","",(COUNTIF(C1008:E1025,$B1036)+COUNTIF(C1008:E1025,$B1036&amp;" ~*")&gt;0)+(COUNTIF(G1008:I1025,$B1036)+COUNTIF(G1008:I1025,$B1036&amp;" ~*")&gt;0)+(COUNTIF(K1008:M1025,$B1036)+COUNTIF(K1008:M1025,$B1036&amp;" ~*")&gt;0)+(COUNTIF(O1008:Q1025,$B1036)+COUNTIF(O1008:Q1025,$B1036&amp;" ~*")&gt;0)+(COUNTIF(S1008:U1025,$B1036)+COUNTIF(S1008:U1025,$B1036&amp;" ~*")&gt;0)+(COUNTIF(W1008:W1025,$B1036)+COUNTIF(W1008:W1025,$B1036&amp;" ~*")&gt;0)+(COUNTIF(Y1008:Y1025,$B1036)+COUNTIF(Y1008:Y1025,$B1036&amp;" ~*")&gt;0))</f>
        <v/>
      </c>
      <c r="AC1036" s="38">
        <f>IF($B1036="","",(IFERROR(INDEX(Setup!$G$33:$G$40,MATCH(C1036,Setup!$B$33:$B$40,0)),0)=1)*(COUNTIF(C1008:E1025,$B1036)+COUNTIF(C1008:E1025,$B1036&amp;" ~*")&gt;0)+(IFERROR(INDEX(Setup!$G$33:$G$40,MATCH(G1036,Setup!$B$33:$B$40,0)),0)=1)*(COUNTIF(G1008:I1025,$B1036)+COUNTIF(G1008:I1025,$B1036&amp;" ~*")&gt;0)+(IFERROR(INDEX(Setup!$G$33:$G$40,MATCH(K1036,Setup!$B$33:$B$40,0)),0)=1)*(COUNTIF(K1008:M1025,$B1036)+COUNTIF(K1008:M1025,$B1036&amp;" ~*")&gt;0)+(IFERROR(INDEX(Setup!$G$33:$G$40,MATCH(O1036,Setup!$B$33:$B$40,0)),0)=1)*(COUNTIF(O1008:Q1025,$B1036)+COUNTIF(O1008:Q1025,$B1036&amp;" ~*")&gt;0)+(IFERROR(INDEX(Setup!$G$33:$G$40,MATCH(S1036,Setup!$B$33:$B$40,0)),0)=1)*(COUNTIF(S1008:U1025,$B1036)+COUNTIF(S1008:U1025,$B1036&amp;" ~*")&gt;0)+(IFERROR(INDEX(Setup!$G$33:$G$40,MATCH(W1036,Setup!$B$33:$B$40,0)),0)=1)*(COUNTIF(W1008:W1025,$B1036)+COUNTIF(W1008:W1025,$B1036&amp;" ~*")&gt;0)+(IFERROR(INDEX(Setup!$G$33:$G$40,MATCH(Y1036,Setup!$B$33:$B$40,0)),0)=1)*(COUNTIF(Y1008:Y1025,$B1036)+COUNTIF(Y1008:Y1025,$B1036&amp;" ~*")&gt;0))</f>
        <v/>
      </c>
    </row>
    <row r="1037" ht="15" customHeight="1">
      <c r="A1037" t="n">
        <v>21</v>
      </c>
      <c r="B1037" s="35">
        <f>IF(Setup!$B$16="","",Setup!$B$16)</f>
        <v/>
      </c>
      <c r="C1037" s="98" t="n"/>
      <c r="D1037" s="99" t="n"/>
      <c r="E1037" s="99" t="n"/>
      <c r="F1037" s="100" t="n"/>
      <c r="G1037" s="98" t="n"/>
      <c r="H1037" s="99" t="n"/>
      <c r="I1037" s="99" t="n"/>
      <c r="J1037" s="100" t="n"/>
      <c r="K1037" s="98" t="n"/>
      <c r="L1037" s="99" t="n"/>
      <c r="M1037" s="99" t="n"/>
      <c r="N1037" s="100" t="n"/>
      <c r="O1037" s="98" t="n"/>
      <c r="P1037" s="99" t="n"/>
      <c r="Q1037" s="99" t="n"/>
      <c r="R1037" s="100" t="n"/>
      <c r="S1037" s="98" t="n"/>
      <c r="T1037" s="99" t="n"/>
      <c r="U1037" s="99" t="n"/>
      <c r="V1037" s="100" t="n"/>
      <c r="W1037" s="98" t="n"/>
      <c r="X1037" s="100" t="n"/>
      <c r="Y1037" s="98" t="n"/>
      <c r="Z1037" s="100" t="n"/>
      <c r="AB1037" s="101">
        <f>IF($B1037="","",(COUNTIF(C1008:E1025,$B1037)+COUNTIF(C1008:E1025,$B1037&amp;" ~*")&gt;0)+(COUNTIF(G1008:I1025,$B1037)+COUNTIF(G1008:I1025,$B1037&amp;" ~*")&gt;0)+(COUNTIF(K1008:M1025,$B1037)+COUNTIF(K1008:M1025,$B1037&amp;" ~*")&gt;0)+(COUNTIF(O1008:Q1025,$B1037)+COUNTIF(O1008:Q1025,$B1037&amp;" ~*")&gt;0)+(COUNTIF(S1008:U1025,$B1037)+COUNTIF(S1008:U1025,$B1037&amp;" ~*")&gt;0)+(COUNTIF(W1008:W1025,$B1037)+COUNTIF(W1008:W1025,$B1037&amp;" ~*")&gt;0)+(COUNTIF(Y1008:Y1025,$B1037)+COUNTIF(Y1008:Y1025,$B1037&amp;" ~*")&gt;0))</f>
        <v/>
      </c>
      <c r="AC1037" s="36">
        <f>IF($B1037="","",(IFERROR(INDEX(Setup!$G$33:$G$40,MATCH(C1037,Setup!$B$33:$B$40,0)),0)=1)*(COUNTIF(C1008:E1025,$B1037)+COUNTIF(C1008:E1025,$B1037&amp;" ~*")&gt;0)+(IFERROR(INDEX(Setup!$G$33:$G$40,MATCH(G1037,Setup!$B$33:$B$40,0)),0)=1)*(COUNTIF(G1008:I1025,$B1037)+COUNTIF(G1008:I1025,$B1037&amp;" ~*")&gt;0)+(IFERROR(INDEX(Setup!$G$33:$G$40,MATCH(K1037,Setup!$B$33:$B$40,0)),0)=1)*(COUNTIF(K1008:M1025,$B1037)+COUNTIF(K1008:M1025,$B1037&amp;" ~*")&gt;0)+(IFERROR(INDEX(Setup!$G$33:$G$40,MATCH(O1037,Setup!$B$33:$B$40,0)),0)=1)*(COUNTIF(O1008:Q1025,$B1037)+COUNTIF(O1008:Q1025,$B1037&amp;" ~*")&gt;0)+(IFERROR(INDEX(Setup!$G$33:$G$40,MATCH(S1037,Setup!$B$33:$B$40,0)),0)=1)*(COUNTIF(S1008:U1025,$B1037)+COUNTIF(S1008:U1025,$B1037&amp;" ~*")&gt;0)+(IFERROR(INDEX(Setup!$G$33:$G$40,MATCH(W1037,Setup!$B$33:$B$40,0)),0)=1)*(COUNTIF(W1008:W1025,$B1037)+COUNTIF(W1008:W1025,$B1037&amp;" ~*")&gt;0)+(IFERROR(INDEX(Setup!$G$33:$G$40,MATCH(Y1037,Setup!$B$33:$B$40,0)),0)=1)*(COUNTIF(Y1008:Y1025,$B1037)+COUNTIF(Y1008:Y1025,$B1037&amp;" ~*")&gt;0))</f>
        <v/>
      </c>
    </row>
    <row r="1038" ht="15" customHeight="1">
      <c r="A1038" t="n">
        <v>21</v>
      </c>
      <c r="B1038" s="37">
        <f>IF(Setup!$B$17="","",Setup!$B$17)</f>
        <v/>
      </c>
      <c r="C1038" s="102" t="n"/>
      <c r="D1038" s="103" t="n"/>
      <c r="E1038" s="103" t="n"/>
      <c r="F1038" s="104" t="n"/>
      <c r="G1038" s="102" t="n"/>
      <c r="H1038" s="103" t="n"/>
      <c r="I1038" s="103" t="n"/>
      <c r="J1038" s="104" t="n"/>
      <c r="K1038" s="102" t="n"/>
      <c r="L1038" s="103" t="n"/>
      <c r="M1038" s="103" t="n"/>
      <c r="N1038" s="104" t="n"/>
      <c r="O1038" s="102" t="n"/>
      <c r="P1038" s="103" t="n"/>
      <c r="Q1038" s="103" t="n"/>
      <c r="R1038" s="104" t="n"/>
      <c r="S1038" s="102" t="n"/>
      <c r="T1038" s="103" t="n"/>
      <c r="U1038" s="103" t="n"/>
      <c r="V1038" s="104" t="n"/>
      <c r="W1038" s="102" t="n"/>
      <c r="X1038" s="104" t="n"/>
      <c r="Y1038" s="102" t="n"/>
      <c r="Z1038" s="104" t="n"/>
      <c r="AB1038" s="105">
        <f>IF($B1038="","",(COUNTIF(C1008:E1025,$B1038)+COUNTIF(C1008:E1025,$B1038&amp;" ~*")&gt;0)+(COUNTIF(G1008:I1025,$B1038)+COUNTIF(G1008:I1025,$B1038&amp;" ~*")&gt;0)+(COUNTIF(K1008:M1025,$B1038)+COUNTIF(K1008:M1025,$B1038&amp;" ~*")&gt;0)+(COUNTIF(O1008:Q1025,$B1038)+COUNTIF(O1008:Q1025,$B1038&amp;" ~*")&gt;0)+(COUNTIF(S1008:U1025,$B1038)+COUNTIF(S1008:U1025,$B1038&amp;" ~*")&gt;0)+(COUNTIF(W1008:W1025,$B1038)+COUNTIF(W1008:W1025,$B1038&amp;" ~*")&gt;0)+(COUNTIF(Y1008:Y1025,$B1038)+COUNTIF(Y1008:Y1025,$B1038&amp;" ~*")&gt;0))</f>
        <v/>
      </c>
      <c r="AC1038" s="38">
        <f>IF($B1038="","",(IFERROR(INDEX(Setup!$G$33:$G$40,MATCH(C1038,Setup!$B$33:$B$40,0)),0)=1)*(COUNTIF(C1008:E1025,$B1038)+COUNTIF(C1008:E1025,$B1038&amp;" ~*")&gt;0)+(IFERROR(INDEX(Setup!$G$33:$G$40,MATCH(G1038,Setup!$B$33:$B$40,0)),0)=1)*(COUNTIF(G1008:I1025,$B1038)+COUNTIF(G1008:I1025,$B1038&amp;" ~*")&gt;0)+(IFERROR(INDEX(Setup!$G$33:$G$40,MATCH(K1038,Setup!$B$33:$B$40,0)),0)=1)*(COUNTIF(K1008:M1025,$B1038)+COUNTIF(K1008:M1025,$B1038&amp;" ~*")&gt;0)+(IFERROR(INDEX(Setup!$G$33:$G$40,MATCH(O1038,Setup!$B$33:$B$40,0)),0)=1)*(COUNTIF(O1008:Q1025,$B1038)+COUNTIF(O1008:Q1025,$B1038&amp;" ~*")&gt;0)+(IFERROR(INDEX(Setup!$G$33:$G$40,MATCH(S1038,Setup!$B$33:$B$40,0)),0)=1)*(COUNTIF(S1008:U1025,$B1038)+COUNTIF(S1008:U1025,$B1038&amp;" ~*")&gt;0)+(IFERROR(INDEX(Setup!$G$33:$G$40,MATCH(W1038,Setup!$B$33:$B$40,0)),0)=1)*(COUNTIF(W1008:W1025,$B1038)+COUNTIF(W1008:W1025,$B1038&amp;" ~*")&gt;0)+(IFERROR(INDEX(Setup!$G$33:$G$40,MATCH(Y1038,Setup!$B$33:$B$40,0)),0)=1)*(COUNTIF(Y1008:Y1025,$B1038)+COUNTIF(Y1008:Y1025,$B1038&amp;" ~*")&gt;0))</f>
        <v/>
      </c>
    </row>
    <row r="1039" ht="15" customHeight="1">
      <c r="A1039" t="n">
        <v>21</v>
      </c>
      <c r="B1039" s="35">
        <f>IF(Setup!$B$18="","",Setup!$B$18)</f>
        <v/>
      </c>
      <c r="C1039" s="98" t="n"/>
      <c r="D1039" s="99" t="n"/>
      <c r="E1039" s="99" t="n"/>
      <c r="F1039" s="100" t="n"/>
      <c r="G1039" s="98" t="n"/>
      <c r="H1039" s="99" t="n"/>
      <c r="I1039" s="99" t="n"/>
      <c r="J1039" s="100" t="n"/>
      <c r="K1039" s="98" t="n"/>
      <c r="L1039" s="99" t="n"/>
      <c r="M1039" s="99" t="n"/>
      <c r="N1039" s="100" t="n"/>
      <c r="O1039" s="98" t="n"/>
      <c r="P1039" s="99" t="n"/>
      <c r="Q1039" s="99" t="n"/>
      <c r="R1039" s="100" t="n"/>
      <c r="S1039" s="98" t="n"/>
      <c r="T1039" s="99" t="n"/>
      <c r="U1039" s="99" t="n"/>
      <c r="V1039" s="100" t="n"/>
      <c r="W1039" s="98" t="n"/>
      <c r="X1039" s="100" t="n"/>
      <c r="Y1039" s="98" t="n"/>
      <c r="Z1039" s="100" t="n"/>
      <c r="AB1039" s="101">
        <f>IF($B1039="","",(COUNTIF(C1008:E1025,$B1039)+COUNTIF(C1008:E1025,$B1039&amp;" ~*")&gt;0)+(COUNTIF(G1008:I1025,$B1039)+COUNTIF(G1008:I1025,$B1039&amp;" ~*")&gt;0)+(COUNTIF(K1008:M1025,$B1039)+COUNTIF(K1008:M1025,$B1039&amp;" ~*")&gt;0)+(COUNTIF(O1008:Q1025,$B1039)+COUNTIF(O1008:Q1025,$B1039&amp;" ~*")&gt;0)+(COUNTIF(S1008:U1025,$B1039)+COUNTIF(S1008:U1025,$B1039&amp;" ~*")&gt;0)+(COUNTIF(W1008:W1025,$B1039)+COUNTIF(W1008:W1025,$B1039&amp;" ~*")&gt;0)+(COUNTIF(Y1008:Y1025,$B1039)+COUNTIF(Y1008:Y1025,$B1039&amp;" ~*")&gt;0))</f>
        <v/>
      </c>
      <c r="AC1039" s="36">
        <f>IF($B1039="","",(IFERROR(INDEX(Setup!$G$33:$G$40,MATCH(C1039,Setup!$B$33:$B$40,0)),0)=1)*(COUNTIF(C1008:E1025,$B1039)+COUNTIF(C1008:E1025,$B1039&amp;" ~*")&gt;0)+(IFERROR(INDEX(Setup!$G$33:$G$40,MATCH(G1039,Setup!$B$33:$B$40,0)),0)=1)*(COUNTIF(G1008:I1025,$B1039)+COUNTIF(G1008:I1025,$B1039&amp;" ~*")&gt;0)+(IFERROR(INDEX(Setup!$G$33:$G$40,MATCH(K1039,Setup!$B$33:$B$40,0)),0)=1)*(COUNTIF(K1008:M1025,$B1039)+COUNTIF(K1008:M1025,$B1039&amp;" ~*")&gt;0)+(IFERROR(INDEX(Setup!$G$33:$G$40,MATCH(O1039,Setup!$B$33:$B$40,0)),0)=1)*(COUNTIF(O1008:Q1025,$B1039)+COUNTIF(O1008:Q1025,$B1039&amp;" ~*")&gt;0)+(IFERROR(INDEX(Setup!$G$33:$G$40,MATCH(S1039,Setup!$B$33:$B$40,0)),0)=1)*(COUNTIF(S1008:U1025,$B1039)+COUNTIF(S1008:U1025,$B1039&amp;" ~*")&gt;0)+(IFERROR(INDEX(Setup!$G$33:$G$40,MATCH(W1039,Setup!$B$33:$B$40,0)),0)=1)*(COUNTIF(W1008:W1025,$B1039)+COUNTIF(W1008:W1025,$B1039&amp;" ~*")&gt;0)+(IFERROR(INDEX(Setup!$G$33:$G$40,MATCH(Y1039,Setup!$B$33:$B$40,0)),0)=1)*(COUNTIF(Y1008:Y1025,$B1039)+COUNTIF(Y1008:Y1025,$B1039&amp;" ~*")&gt;0))</f>
        <v/>
      </c>
    </row>
    <row r="1040" ht="15" customHeight="1">
      <c r="A1040" t="n">
        <v>21</v>
      </c>
      <c r="B1040" s="37">
        <f>IF(Setup!$B$19="","",Setup!$B$19)</f>
        <v/>
      </c>
      <c r="C1040" s="102" t="n"/>
      <c r="D1040" s="103" t="n"/>
      <c r="E1040" s="103" t="n"/>
      <c r="F1040" s="104" t="n"/>
      <c r="G1040" s="102" t="n"/>
      <c r="H1040" s="103" t="n"/>
      <c r="I1040" s="103" t="n"/>
      <c r="J1040" s="104" t="n"/>
      <c r="K1040" s="102" t="n"/>
      <c r="L1040" s="103" t="n"/>
      <c r="M1040" s="103" t="n"/>
      <c r="N1040" s="104" t="n"/>
      <c r="O1040" s="102" t="n"/>
      <c r="P1040" s="103" t="n"/>
      <c r="Q1040" s="103" t="n"/>
      <c r="R1040" s="104" t="n"/>
      <c r="S1040" s="102" t="inlineStr">
        <is>
          <t>AL</t>
        </is>
      </c>
      <c r="T1040" s="103" t="n"/>
      <c r="U1040" s="103" t="n"/>
      <c r="V1040" s="104" t="n"/>
      <c r="W1040" s="102" t="n"/>
      <c r="X1040" s="104" t="n"/>
      <c r="Y1040" s="102" t="n"/>
      <c r="Z1040" s="104" t="n"/>
      <c r="AB1040" s="105">
        <f>IF($B1040="","",(COUNTIF(C1008:E1025,$B1040)+COUNTIF(C1008:E1025,$B1040&amp;" ~*")&gt;0)+(COUNTIF(G1008:I1025,$B1040)+COUNTIF(G1008:I1025,$B1040&amp;" ~*")&gt;0)+(COUNTIF(K1008:M1025,$B1040)+COUNTIF(K1008:M1025,$B1040&amp;" ~*")&gt;0)+(COUNTIF(O1008:Q1025,$B1040)+COUNTIF(O1008:Q1025,$B1040&amp;" ~*")&gt;0)+(COUNTIF(S1008:U1025,$B1040)+COUNTIF(S1008:U1025,$B1040&amp;" ~*")&gt;0)+(COUNTIF(W1008:W1025,$B1040)+COUNTIF(W1008:W1025,$B1040&amp;" ~*")&gt;0)+(COUNTIF(Y1008:Y1025,$B1040)+COUNTIF(Y1008:Y1025,$B1040&amp;" ~*")&gt;0))</f>
        <v/>
      </c>
      <c r="AC1040" s="38">
        <f>IF($B1040="","",(IFERROR(INDEX(Setup!$G$33:$G$40,MATCH(C1040,Setup!$B$33:$B$40,0)),0)=1)*(COUNTIF(C1008:E1025,$B1040)+COUNTIF(C1008:E1025,$B1040&amp;" ~*")&gt;0)+(IFERROR(INDEX(Setup!$G$33:$G$40,MATCH(G1040,Setup!$B$33:$B$40,0)),0)=1)*(COUNTIF(G1008:I1025,$B1040)+COUNTIF(G1008:I1025,$B1040&amp;" ~*")&gt;0)+(IFERROR(INDEX(Setup!$G$33:$G$40,MATCH(K1040,Setup!$B$33:$B$40,0)),0)=1)*(COUNTIF(K1008:M1025,$B1040)+COUNTIF(K1008:M1025,$B1040&amp;" ~*")&gt;0)+(IFERROR(INDEX(Setup!$G$33:$G$40,MATCH(O1040,Setup!$B$33:$B$40,0)),0)=1)*(COUNTIF(O1008:Q1025,$B1040)+COUNTIF(O1008:Q1025,$B1040&amp;" ~*")&gt;0)+(IFERROR(INDEX(Setup!$G$33:$G$40,MATCH(S1040,Setup!$B$33:$B$40,0)),0)=1)*(COUNTIF(S1008:U1025,$B1040)+COUNTIF(S1008:U1025,$B1040&amp;" ~*")&gt;0)+(IFERROR(INDEX(Setup!$G$33:$G$40,MATCH(W1040,Setup!$B$33:$B$40,0)),0)=1)*(COUNTIF(W1008:W1025,$B1040)+COUNTIF(W1008:W1025,$B1040&amp;" ~*")&gt;0)+(IFERROR(INDEX(Setup!$G$33:$G$40,MATCH(Y1040,Setup!$B$33:$B$40,0)),0)=1)*(COUNTIF(Y1008:Y1025,$B1040)+COUNTIF(Y1008:Y1025,$B1040&amp;" ~*")&gt;0))</f>
        <v/>
      </c>
    </row>
    <row r="1041" ht="15" customHeight="1">
      <c r="A1041" t="n">
        <v>21</v>
      </c>
      <c r="B1041" s="35">
        <f>IF(Setup!$B$20="","",Setup!$B$20)</f>
        <v/>
      </c>
      <c r="C1041" s="98" t="n"/>
      <c r="D1041" s="99" t="n"/>
      <c r="E1041" s="99" t="n"/>
      <c r="F1041" s="100" t="n"/>
      <c r="G1041" s="98" t="n"/>
      <c r="H1041" s="99" t="n"/>
      <c r="I1041" s="99" t="n"/>
      <c r="J1041" s="100" t="n"/>
      <c r="K1041" s="98" t="n"/>
      <c r="L1041" s="99" t="n"/>
      <c r="M1041" s="99" t="n"/>
      <c r="N1041" s="100" t="n"/>
      <c r="O1041" s="98" t="n"/>
      <c r="P1041" s="99" t="n"/>
      <c r="Q1041" s="99" t="n"/>
      <c r="R1041" s="100" t="n"/>
      <c r="S1041" s="98" t="n"/>
      <c r="T1041" s="99" t="n"/>
      <c r="U1041" s="99" t="n"/>
      <c r="V1041" s="100" t="n"/>
      <c r="W1041" s="98" t="n"/>
      <c r="X1041" s="100" t="n"/>
      <c r="Y1041" s="98" t="n"/>
      <c r="Z1041" s="100" t="n"/>
      <c r="AB1041" s="101">
        <f>IF($B1041="","",(COUNTIF(C1008:E1025,$B1041)+COUNTIF(C1008:E1025,$B1041&amp;" ~*")&gt;0)+(COUNTIF(G1008:I1025,$B1041)+COUNTIF(G1008:I1025,$B1041&amp;" ~*")&gt;0)+(COUNTIF(K1008:M1025,$B1041)+COUNTIF(K1008:M1025,$B1041&amp;" ~*")&gt;0)+(COUNTIF(O1008:Q1025,$B1041)+COUNTIF(O1008:Q1025,$B1041&amp;" ~*")&gt;0)+(COUNTIF(S1008:U1025,$B1041)+COUNTIF(S1008:U1025,$B1041&amp;" ~*")&gt;0)+(COUNTIF(W1008:W1025,$B1041)+COUNTIF(W1008:W1025,$B1041&amp;" ~*")&gt;0)+(COUNTIF(Y1008:Y1025,$B1041)+COUNTIF(Y1008:Y1025,$B1041&amp;" ~*")&gt;0))</f>
        <v/>
      </c>
      <c r="AC1041" s="36">
        <f>IF($B1041="","",(IFERROR(INDEX(Setup!$G$33:$G$40,MATCH(C1041,Setup!$B$33:$B$40,0)),0)=1)*(COUNTIF(C1008:E1025,$B1041)+COUNTIF(C1008:E1025,$B1041&amp;" ~*")&gt;0)+(IFERROR(INDEX(Setup!$G$33:$G$40,MATCH(G1041,Setup!$B$33:$B$40,0)),0)=1)*(COUNTIF(G1008:I1025,$B1041)+COUNTIF(G1008:I1025,$B1041&amp;" ~*")&gt;0)+(IFERROR(INDEX(Setup!$G$33:$G$40,MATCH(K1041,Setup!$B$33:$B$40,0)),0)=1)*(COUNTIF(K1008:M1025,$B1041)+COUNTIF(K1008:M1025,$B1041&amp;" ~*")&gt;0)+(IFERROR(INDEX(Setup!$G$33:$G$40,MATCH(O1041,Setup!$B$33:$B$40,0)),0)=1)*(COUNTIF(O1008:Q1025,$B1041)+COUNTIF(O1008:Q1025,$B1041&amp;" ~*")&gt;0)+(IFERROR(INDEX(Setup!$G$33:$G$40,MATCH(S1041,Setup!$B$33:$B$40,0)),0)=1)*(COUNTIF(S1008:U1025,$B1041)+COUNTIF(S1008:U1025,$B1041&amp;" ~*")&gt;0)+(IFERROR(INDEX(Setup!$G$33:$G$40,MATCH(W1041,Setup!$B$33:$B$40,0)),0)=1)*(COUNTIF(W1008:W1025,$B1041)+COUNTIF(W1008:W1025,$B1041&amp;" ~*")&gt;0)+(IFERROR(INDEX(Setup!$G$33:$G$40,MATCH(Y1041,Setup!$B$33:$B$40,0)),0)=1)*(COUNTIF(Y1008:Y1025,$B1041)+COUNTIF(Y1008:Y1025,$B1041&amp;" ~*")&gt;0))</f>
        <v/>
      </c>
    </row>
    <row r="1042" ht="15" customHeight="1">
      <c r="A1042" t="n">
        <v>21</v>
      </c>
      <c r="B1042" s="37">
        <f>IF(Setup!$B$21="","",Setup!$B$21)</f>
        <v/>
      </c>
      <c r="C1042" s="102" t="n"/>
      <c r="D1042" s="103" t="n"/>
      <c r="E1042" s="103" t="n"/>
      <c r="F1042" s="104" t="n"/>
      <c r="G1042" s="102" t="n"/>
      <c r="H1042" s="103" t="n"/>
      <c r="I1042" s="103" t="n"/>
      <c r="J1042" s="104" t="n"/>
      <c r="K1042" s="102" t="n"/>
      <c r="L1042" s="103" t="n"/>
      <c r="M1042" s="103" t="n"/>
      <c r="N1042" s="104" t="n"/>
      <c r="O1042" s="102" t="n"/>
      <c r="P1042" s="103" t="n"/>
      <c r="Q1042" s="103" t="n"/>
      <c r="R1042" s="104" t="n"/>
      <c r="S1042" s="102" t="inlineStr">
        <is>
          <t>AL</t>
        </is>
      </c>
      <c r="T1042" s="103" t="n"/>
      <c r="U1042" s="103" t="n"/>
      <c r="V1042" s="104" t="n"/>
      <c r="W1042" s="102" t="n"/>
      <c r="X1042" s="104" t="n"/>
      <c r="Y1042" s="102" t="n"/>
      <c r="Z1042" s="104" t="n"/>
      <c r="AB1042" s="105">
        <f>IF($B1042="","",(COUNTIF(C1008:E1025,$B1042)+COUNTIF(C1008:E1025,$B1042&amp;" ~*")&gt;0)+(COUNTIF(G1008:I1025,$B1042)+COUNTIF(G1008:I1025,$B1042&amp;" ~*")&gt;0)+(COUNTIF(K1008:M1025,$B1042)+COUNTIF(K1008:M1025,$B1042&amp;" ~*")&gt;0)+(COUNTIF(O1008:Q1025,$B1042)+COUNTIF(O1008:Q1025,$B1042&amp;" ~*")&gt;0)+(COUNTIF(S1008:U1025,$B1042)+COUNTIF(S1008:U1025,$B1042&amp;" ~*")&gt;0)+(COUNTIF(W1008:W1025,$B1042)+COUNTIF(W1008:W1025,$B1042&amp;" ~*")&gt;0)+(COUNTIF(Y1008:Y1025,$B1042)+COUNTIF(Y1008:Y1025,$B1042&amp;" ~*")&gt;0))</f>
        <v/>
      </c>
      <c r="AC1042" s="38">
        <f>IF($B1042="","",(IFERROR(INDEX(Setup!$G$33:$G$40,MATCH(C1042,Setup!$B$33:$B$40,0)),0)=1)*(COUNTIF(C1008:E1025,$B1042)+COUNTIF(C1008:E1025,$B1042&amp;" ~*")&gt;0)+(IFERROR(INDEX(Setup!$G$33:$G$40,MATCH(G1042,Setup!$B$33:$B$40,0)),0)=1)*(COUNTIF(G1008:I1025,$B1042)+COUNTIF(G1008:I1025,$B1042&amp;" ~*")&gt;0)+(IFERROR(INDEX(Setup!$G$33:$G$40,MATCH(K1042,Setup!$B$33:$B$40,0)),0)=1)*(COUNTIF(K1008:M1025,$B1042)+COUNTIF(K1008:M1025,$B1042&amp;" ~*")&gt;0)+(IFERROR(INDEX(Setup!$G$33:$G$40,MATCH(O1042,Setup!$B$33:$B$40,0)),0)=1)*(COUNTIF(O1008:Q1025,$B1042)+COUNTIF(O1008:Q1025,$B1042&amp;" ~*")&gt;0)+(IFERROR(INDEX(Setup!$G$33:$G$40,MATCH(S1042,Setup!$B$33:$B$40,0)),0)=1)*(COUNTIF(S1008:U1025,$B1042)+COUNTIF(S1008:U1025,$B1042&amp;" ~*")&gt;0)+(IFERROR(INDEX(Setup!$G$33:$G$40,MATCH(W1042,Setup!$B$33:$B$40,0)),0)=1)*(COUNTIF(W1008:W1025,$B1042)+COUNTIF(W1008:W1025,$B1042&amp;" ~*")&gt;0)+(IFERROR(INDEX(Setup!$G$33:$G$40,MATCH(Y1042,Setup!$B$33:$B$40,0)),0)=1)*(COUNTIF(Y1008:Y1025,$B1042)+COUNTIF(Y1008:Y1025,$B1042&amp;" ~*")&gt;0))</f>
        <v/>
      </c>
    </row>
    <row r="1043" ht="15" customHeight="1">
      <c r="A1043" t="n">
        <v>21</v>
      </c>
      <c r="B1043" s="35">
        <f>IF(Setup!$B$22="","",Setup!$B$22)</f>
        <v/>
      </c>
      <c r="C1043" s="98" t="n"/>
      <c r="D1043" s="99" t="n"/>
      <c r="E1043" s="99" t="n"/>
      <c r="F1043" s="100" t="n"/>
      <c r="G1043" s="98" t="n"/>
      <c r="H1043" s="99" t="n"/>
      <c r="I1043" s="99" t="n"/>
      <c r="J1043" s="100" t="n"/>
      <c r="K1043" s="98" t="n"/>
      <c r="L1043" s="99" t="n"/>
      <c r="M1043" s="99" t="n"/>
      <c r="N1043" s="100" t="n"/>
      <c r="O1043" s="98" t="n"/>
      <c r="P1043" s="99" t="n"/>
      <c r="Q1043" s="99" t="n"/>
      <c r="R1043" s="100" t="n"/>
      <c r="S1043" s="98" t="n"/>
      <c r="T1043" s="99" t="n"/>
      <c r="U1043" s="99" t="n"/>
      <c r="V1043" s="100" t="n"/>
      <c r="W1043" s="98" t="n"/>
      <c r="X1043" s="100" t="n"/>
      <c r="Y1043" s="98" t="n"/>
      <c r="Z1043" s="100" t="n"/>
      <c r="AB1043" s="101">
        <f>IF($B1043="","",(COUNTIF(C1008:E1025,$B1043)+COUNTIF(C1008:E1025,$B1043&amp;" ~*")&gt;0)+(COUNTIF(G1008:I1025,$B1043)+COUNTIF(G1008:I1025,$B1043&amp;" ~*")&gt;0)+(COUNTIF(K1008:M1025,$B1043)+COUNTIF(K1008:M1025,$B1043&amp;" ~*")&gt;0)+(COUNTIF(O1008:Q1025,$B1043)+COUNTIF(O1008:Q1025,$B1043&amp;" ~*")&gt;0)+(COUNTIF(S1008:U1025,$B1043)+COUNTIF(S1008:U1025,$B1043&amp;" ~*")&gt;0)+(COUNTIF(W1008:W1025,$B1043)+COUNTIF(W1008:W1025,$B1043&amp;" ~*")&gt;0)+(COUNTIF(Y1008:Y1025,$B1043)+COUNTIF(Y1008:Y1025,$B1043&amp;" ~*")&gt;0))</f>
        <v/>
      </c>
      <c r="AC1043" s="36">
        <f>IF($B1043="","",(IFERROR(INDEX(Setup!$G$33:$G$40,MATCH(C1043,Setup!$B$33:$B$40,0)),0)=1)*(COUNTIF(C1008:E1025,$B1043)+COUNTIF(C1008:E1025,$B1043&amp;" ~*")&gt;0)+(IFERROR(INDEX(Setup!$G$33:$G$40,MATCH(G1043,Setup!$B$33:$B$40,0)),0)=1)*(COUNTIF(G1008:I1025,$B1043)+COUNTIF(G1008:I1025,$B1043&amp;" ~*")&gt;0)+(IFERROR(INDEX(Setup!$G$33:$G$40,MATCH(K1043,Setup!$B$33:$B$40,0)),0)=1)*(COUNTIF(K1008:M1025,$B1043)+COUNTIF(K1008:M1025,$B1043&amp;" ~*")&gt;0)+(IFERROR(INDEX(Setup!$G$33:$G$40,MATCH(O1043,Setup!$B$33:$B$40,0)),0)=1)*(COUNTIF(O1008:Q1025,$B1043)+COUNTIF(O1008:Q1025,$B1043&amp;" ~*")&gt;0)+(IFERROR(INDEX(Setup!$G$33:$G$40,MATCH(S1043,Setup!$B$33:$B$40,0)),0)=1)*(COUNTIF(S1008:U1025,$B1043)+COUNTIF(S1008:U1025,$B1043&amp;" ~*")&gt;0)+(IFERROR(INDEX(Setup!$G$33:$G$40,MATCH(W1043,Setup!$B$33:$B$40,0)),0)=1)*(COUNTIF(W1008:W1025,$B1043)+COUNTIF(W1008:W1025,$B1043&amp;" ~*")&gt;0)+(IFERROR(INDEX(Setup!$G$33:$G$40,MATCH(Y1043,Setup!$B$33:$B$40,0)),0)=1)*(COUNTIF(Y1008:Y1025,$B1043)+COUNTIF(Y1008:Y1025,$B1043&amp;" ~*")&gt;0))</f>
        <v/>
      </c>
    </row>
    <row r="1044" ht="15" customHeight="1">
      <c r="A1044" t="n">
        <v>21</v>
      </c>
      <c r="B1044" s="37">
        <f>IF(Setup!$B$23="","",Setup!$B$23)</f>
        <v/>
      </c>
      <c r="C1044" s="102" t="n"/>
      <c r="D1044" s="103" t="n"/>
      <c r="E1044" s="103" t="n"/>
      <c r="F1044" s="104" t="n"/>
      <c r="G1044" s="102" t="n"/>
      <c r="H1044" s="103" t="n"/>
      <c r="I1044" s="103" t="n"/>
      <c r="J1044" s="104" t="n"/>
      <c r="K1044" s="102" t="n"/>
      <c r="L1044" s="103" t="n"/>
      <c r="M1044" s="103" t="n"/>
      <c r="N1044" s="104" t="n"/>
      <c r="O1044" s="102" t="n"/>
      <c r="P1044" s="103" t="n"/>
      <c r="Q1044" s="103" t="n"/>
      <c r="R1044" s="104" t="n"/>
      <c r="S1044" s="102" t="n"/>
      <c r="T1044" s="103" t="n"/>
      <c r="U1044" s="103" t="n"/>
      <c r="V1044" s="104" t="n"/>
      <c r="W1044" s="102" t="n"/>
      <c r="X1044" s="104" t="n"/>
      <c r="Y1044" s="102" t="n"/>
      <c r="Z1044" s="104" t="n"/>
      <c r="AB1044" s="105">
        <f>IF($B1044="","",(COUNTIF(C1008:E1025,$B1044)+COUNTIF(C1008:E1025,$B1044&amp;" ~*")&gt;0)+(COUNTIF(G1008:I1025,$B1044)+COUNTIF(G1008:I1025,$B1044&amp;" ~*")&gt;0)+(COUNTIF(K1008:M1025,$B1044)+COUNTIF(K1008:M1025,$B1044&amp;" ~*")&gt;0)+(COUNTIF(O1008:Q1025,$B1044)+COUNTIF(O1008:Q1025,$B1044&amp;" ~*")&gt;0)+(COUNTIF(S1008:U1025,$B1044)+COUNTIF(S1008:U1025,$B1044&amp;" ~*")&gt;0)+(COUNTIF(W1008:W1025,$B1044)+COUNTIF(W1008:W1025,$B1044&amp;" ~*")&gt;0)+(COUNTIF(Y1008:Y1025,$B1044)+COUNTIF(Y1008:Y1025,$B1044&amp;" ~*")&gt;0))</f>
        <v/>
      </c>
      <c r="AC1044" s="38">
        <f>IF($B1044="","",(IFERROR(INDEX(Setup!$G$33:$G$40,MATCH(C1044,Setup!$B$33:$B$40,0)),0)=1)*(COUNTIF(C1008:E1025,$B1044)+COUNTIF(C1008:E1025,$B1044&amp;" ~*")&gt;0)+(IFERROR(INDEX(Setup!$G$33:$G$40,MATCH(G1044,Setup!$B$33:$B$40,0)),0)=1)*(COUNTIF(G1008:I1025,$B1044)+COUNTIF(G1008:I1025,$B1044&amp;" ~*")&gt;0)+(IFERROR(INDEX(Setup!$G$33:$G$40,MATCH(K1044,Setup!$B$33:$B$40,0)),0)=1)*(COUNTIF(K1008:M1025,$B1044)+COUNTIF(K1008:M1025,$B1044&amp;" ~*")&gt;0)+(IFERROR(INDEX(Setup!$G$33:$G$40,MATCH(O1044,Setup!$B$33:$B$40,0)),0)=1)*(COUNTIF(O1008:Q1025,$B1044)+COUNTIF(O1008:Q1025,$B1044&amp;" ~*")&gt;0)+(IFERROR(INDEX(Setup!$G$33:$G$40,MATCH(S1044,Setup!$B$33:$B$40,0)),0)=1)*(COUNTIF(S1008:U1025,$B1044)+COUNTIF(S1008:U1025,$B1044&amp;" ~*")&gt;0)+(IFERROR(INDEX(Setup!$G$33:$G$40,MATCH(W1044,Setup!$B$33:$B$40,0)),0)=1)*(COUNTIF(W1008:W1025,$B1044)+COUNTIF(W1008:W1025,$B1044&amp;" ~*")&gt;0)+(IFERROR(INDEX(Setup!$G$33:$G$40,MATCH(Y1044,Setup!$B$33:$B$40,0)),0)=1)*(COUNTIF(Y1008:Y1025,$B1044)+COUNTIF(Y1008:Y1025,$B1044&amp;" ~*")&gt;0))</f>
        <v/>
      </c>
    </row>
    <row r="1045" ht="15" customHeight="1">
      <c r="A1045" t="n">
        <v>21</v>
      </c>
      <c r="B1045" s="35">
        <f>IF(Setup!$B$24="","",Setup!$B$24)</f>
        <v/>
      </c>
      <c r="C1045" s="98" t="n"/>
      <c r="D1045" s="99" t="n"/>
      <c r="E1045" s="99" t="n"/>
      <c r="F1045" s="100" t="n"/>
      <c r="G1045" s="98" t="n"/>
      <c r="H1045" s="99" t="n"/>
      <c r="I1045" s="99" t="n"/>
      <c r="J1045" s="100" t="n"/>
      <c r="K1045" s="98" t="n"/>
      <c r="L1045" s="99" t="n"/>
      <c r="M1045" s="99" t="n"/>
      <c r="N1045" s="100" t="n"/>
      <c r="O1045" s="98" t="n"/>
      <c r="P1045" s="99" t="n"/>
      <c r="Q1045" s="99" t="n"/>
      <c r="R1045" s="100" t="n"/>
      <c r="S1045" s="98" t="n"/>
      <c r="T1045" s="99" t="n"/>
      <c r="U1045" s="99" t="n"/>
      <c r="V1045" s="100" t="n"/>
      <c r="W1045" s="98" t="n"/>
      <c r="X1045" s="100" t="n"/>
      <c r="Y1045" s="98" t="n"/>
      <c r="Z1045" s="100" t="n"/>
      <c r="AB1045" s="101">
        <f>IF($B1045="","",(COUNTIF(C1008:E1025,$B1045)+COUNTIF(C1008:E1025,$B1045&amp;" ~*")&gt;0)+(COUNTIF(G1008:I1025,$B1045)+COUNTIF(G1008:I1025,$B1045&amp;" ~*")&gt;0)+(COUNTIF(K1008:M1025,$B1045)+COUNTIF(K1008:M1025,$B1045&amp;" ~*")&gt;0)+(COUNTIF(O1008:Q1025,$B1045)+COUNTIF(O1008:Q1025,$B1045&amp;" ~*")&gt;0)+(COUNTIF(S1008:U1025,$B1045)+COUNTIF(S1008:U1025,$B1045&amp;" ~*")&gt;0)+(COUNTIF(W1008:W1025,$B1045)+COUNTIF(W1008:W1025,$B1045&amp;" ~*")&gt;0)+(COUNTIF(Y1008:Y1025,$B1045)+COUNTIF(Y1008:Y1025,$B1045&amp;" ~*")&gt;0))</f>
        <v/>
      </c>
      <c r="AC1045" s="36">
        <f>IF($B1045="","",(IFERROR(INDEX(Setup!$G$33:$G$40,MATCH(C1045,Setup!$B$33:$B$40,0)),0)=1)*(COUNTIF(C1008:E1025,$B1045)+COUNTIF(C1008:E1025,$B1045&amp;" ~*")&gt;0)+(IFERROR(INDEX(Setup!$G$33:$G$40,MATCH(G1045,Setup!$B$33:$B$40,0)),0)=1)*(COUNTIF(G1008:I1025,$B1045)+COUNTIF(G1008:I1025,$B1045&amp;" ~*")&gt;0)+(IFERROR(INDEX(Setup!$G$33:$G$40,MATCH(K1045,Setup!$B$33:$B$40,0)),0)=1)*(COUNTIF(K1008:M1025,$B1045)+COUNTIF(K1008:M1025,$B1045&amp;" ~*")&gt;0)+(IFERROR(INDEX(Setup!$G$33:$G$40,MATCH(O1045,Setup!$B$33:$B$40,0)),0)=1)*(COUNTIF(O1008:Q1025,$B1045)+COUNTIF(O1008:Q1025,$B1045&amp;" ~*")&gt;0)+(IFERROR(INDEX(Setup!$G$33:$G$40,MATCH(S1045,Setup!$B$33:$B$40,0)),0)=1)*(COUNTIF(S1008:U1025,$B1045)+COUNTIF(S1008:U1025,$B1045&amp;" ~*")&gt;0)+(IFERROR(INDEX(Setup!$G$33:$G$40,MATCH(W1045,Setup!$B$33:$B$40,0)),0)=1)*(COUNTIF(W1008:W1025,$B1045)+COUNTIF(W1008:W1025,$B1045&amp;" ~*")&gt;0)+(IFERROR(INDEX(Setup!$G$33:$G$40,MATCH(Y1045,Setup!$B$33:$B$40,0)),0)=1)*(COUNTIF(Y1008:Y1025,$B1045)+COUNTIF(Y1008:Y1025,$B1045&amp;" ~*")&gt;0))</f>
        <v/>
      </c>
    </row>
    <row r="1046" ht="15" customHeight="1">
      <c r="A1046" t="n">
        <v>21</v>
      </c>
      <c r="B1046" s="37">
        <f>IF(Setup!$B$25="","",Setup!$B$25)</f>
        <v/>
      </c>
      <c r="C1046" s="102" t="n"/>
      <c r="D1046" s="103" t="n"/>
      <c r="E1046" s="103" t="n"/>
      <c r="F1046" s="104" t="n"/>
      <c r="G1046" s="102" t="n"/>
      <c r="H1046" s="103" t="n"/>
      <c r="I1046" s="103" t="n"/>
      <c r="J1046" s="104" t="n"/>
      <c r="K1046" s="102" t="n"/>
      <c r="L1046" s="103" t="n"/>
      <c r="M1046" s="103" t="n"/>
      <c r="N1046" s="104" t="n"/>
      <c r="O1046" s="102" t="n"/>
      <c r="P1046" s="103" t="n"/>
      <c r="Q1046" s="103" t="n"/>
      <c r="R1046" s="104" t="n"/>
      <c r="S1046" s="102" t="n"/>
      <c r="T1046" s="103" t="n"/>
      <c r="U1046" s="103" t="n"/>
      <c r="V1046" s="104" t="n"/>
      <c r="W1046" s="102" t="n"/>
      <c r="X1046" s="104" t="n"/>
      <c r="Y1046" s="102" t="n"/>
      <c r="Z1046" s="104" t="n"/>
      <c r="AB1046" s="105">
        <f>IF($B1046="","",(COUNTIF(C1008:E1025,$B1046)+COUNTIF(C1008:E1025,$B1046&amp;" ~*")&gt;0)+(COUNTIF(G1008:I1025,$B1046)+COUNTIF(G1008:I1025,$B1046&amp;" ~*")&gt;0)+(COUNTIF(K1008:M1025,$B1046)+COUNTIF(K1008:M1025,$B1046&amp;" ~*")&gt;0)+(COUNTIF(O1008:Q1025,$B1046)+COUNTIF(O1008:Q1025,$B1046&amp;" ~*")&gt;0)+(COUNTIF(S1008:U1025,$B1046)+COUNTIF(S1008:U1025,$B1046&amp;" ~*")&gt;0)+(COUNTIF(W1008:W1025,$B1046)+COUNTIF(W1008:W1025,$B1046&amp;" ~*")&gt;0)+(COUNTIF(Y1008:Y1025,$B1046)+COUNTIF(Y1008:Y1025,$B1046&amp;" ~*")&gt;0))</f>
        <v/>
      </c>
      <c r="AC1046" s="38">
        <f>IF($B1046="","",(IFERROR(INDEX(Setup!$G$33:$G$40,MATCH(C1046,Setup!$B$33:$B$40,0)),0)=1)*(COUNTIF(C1008:E1025,$B1046)+COUNTIF(C1008:E1025,$B1046&amp;" ~*")&gt;0)+(IFERROR(INDEX(Setup!$G$33:$G$40,MATCH(G1046,Setup!$B$33:$B$40,0)),0)=1)*(COUNTIF(G1008:I1025,$B1046)+COUNTIF(G1008:I1025,$B1046&amp;" ~*")&gt;0)+(IFERROR(INDEX(Setup!$G$33:$G$40,MATCH(K1046,Setup!$B$33:$B$40,0)),0)=1)*(COUNTIF(K1008:M1025,$B1046)+COUNTIF(K1008:M1025,$B1046&amp;" ~*")&gt;0)+(IFERROR(INDEX(Setup!$G$33:$G$40,MATCH(O1046,Setup!$B$33:$B$40,0)),0)=1)*(COUNTIF(O1008:Q1025,$B1046)+COUNTIF(O1008:Q1025,$B1046&amp;" ~*")&gt;0)+(IFERROR(INDEX(Setup!$G$33:$G$40,MATCH(S1046,Setup!$B$33:$B$40,0)),0)=1)*(COUNTIF(S1008:U1025,$B1046)+COUNTIF(S1008:U1025,$B1046&amp;" ~*")&gt;0)+(IFERROR(INDEX(Setup!$G$33:$G$40,MATCH(W1046,Setup!$B$33:$B$40,0)),0)=1)*(COUNTIF(W1008:W1025,$B1046)+COUNTIF(W1008:W1025,$B1046&amp;" ~*")&gt;0)+(IFERROR(INDEX(Setup!$G$33:$G$40,MATCH(Y1046,Setup!$B$33:$B$40,0)),0)=1)*(COUNTIF(Y1008:Y1025,$B1046)+COUNTIF(Y1008:Y1025,$B1046&amp;" ~*")&gt;0))</f>
        <v/>
      </c>
    </row>
    <row r="1047" ht="15" customHeight="1">
      <c r="A1047" t="n">
        <v>21</v>
      </c>
      <c r="B1047" s="35">
        <f>IF(Setup!$B$26="","",Setup!$B$26)</f>
        <v/>
      </c>
      <c r="C1047" s="98" t="n"/>
      <c r="D1047" s="99" t="n"/>
      <c r="E1047" s="99" t="n"/>
      <c r="F1047" s="100" t="n"/>
      <c r="G1047" s="98" t="n"/>
      <c r="H1047" s="99" t="n"/>
      <c r="I1047" s="99" t="n"/>
      <c r="J1047" s="100" t="n"/>
      <c r="K1047" s="98" t="n"/>
      <c r="L1047" s="99" t="n"/>
      <c r="M1047" s="99" t="n"/>
      <c r="N1047" s="100" t="n"/>
      <c r="O1047" s="98" t="n"/>
      <c r="P1047" s="99" t="n"/>
      <c r="Q1047" s="99" t="n"/>
      <c r="R1047" s="100" t="n"/>
      <c r="S1047" s="98" t="n"/>
      <c r="T1047" s="99" t="n"/>
      <c r="U1047" s="99" t="n"/>
      <c r="V1047" s="100" t="n"/>
      <c r="W1047" s="98" t="n"/>
      <c r="X1047" s="100" t="n"/>
      <c r="Y1047" s="98" t="n"/>
      <c r="Z1047" s="100" t="n"/>
      <c r="AB1047" s="101">
        <f>IF($B1047="","",(COUNTIF(C1008:E1025,$B1047)+COUNTIF(C1008:E1025,$B1047&amp;" ~*")&gt;0)+(COUNTIF(G1008:I1025,$B1047)+COUNTIF(G1008:I1025,$B1047&amp;" ~*")&gt;0)+(COUNTIF(K1008:M1025,$B1047)+COUNTIF(K1008:M1025,$B1047&amp;" ~*")&gt;0)+(COUNTIF(O1008:Q1025,$B1047)+COUNTIF(O1008:Q1025,$B1047&amp;" ~*")&gt;0)+(COUNTIF(S1008:U1025,$B1047)+COUNTIF(S1008:U1025,$B1047&amp;" ~*")&gt;0)+(COUNTIF(W1008:W1025,$B1047)+COUNTIF(W1008:W1025,$B1047&amp;" ~*")&gt;0)+(COUNTIF(Y1008:Y1025,$B1047)+COUNTIF(Y1008:Y1025,$B1047&amp;" ~*")&gt;0))</f>
        <v/>
      </c>
      <c r="AC1047" s="36">
        <f>IF($B1047="","",(IFERROR(INDEX(Setup!$G$33:$G$40,MATCH(C1047,Setup!$B$33:$B$40,0)),0)=1)*(COUNTIF(C1008:E1025,$B1047)+COUNTIF(C1008:E1025,$B1047&amp;" ~*")&gt;0)+(IFERROR(INDEX(Setup!$G$33:$G$40,MATCH(G1047,Setup!$B$33:$B$40,0)),0)=1)*(COUNTIF(G1008:I1025,$B1047)+COUNTIF(G1008:I1025,$B1047&amp;" ~*")&gt;0)+(IFERROR(INDEX(Setup!$G$33:$G$40,MATCH(K1047,Setup!$B$33:$B$40,0)),0)=1)*(COUNTIF(K1008:M1025,$B1047)+COUNTIF(K1008:M1025,$B1047&amp;" ~*")&gt;0)+(IFERROR(INDEX(Setup!$G$33:$G$40,MATCH(O1047,Setup!$B$33:$B$40,0)),0)=1)*(COUNTIF(O1008:Q1025,$B1047)+COUNTIF(O1008:Q1025,$B1047&amp;" ~*")&gt;0)+(IFERROR(INDEX(Setup!$G$33:$G$40,MATCH(S1047,Setup!$B$33:$B$40,0)),0)=1)*(COUNTIF(S1008:U1025,$B1047)+COUNTIF(S1008:U1025,$B1047&amp;" ~*")&gt;0)+(IFERROR(INDEX(Setup!$G$33:$G$40,MATCH(W1047,Setup!$B$33:$B$40,0)),0)=1)*(COUNTIF(W1008:W1025,$B1047)+COUNTIF(W1008:W1025,$B1047&amp;" ~*")&gt;0)+(IFERROR(INDEX(Setup!$G$33:$G$40,MATCH(Y1047,Setup!$B$33:$B$40,0)),0)=1)*(COUNTIF(Y1008:Y1025,$B1047)+COUNTIF(Y1008:Y1025,$B1047&amp;" ~*")&gt;0))</f>
        <v/>
      </c>
    </row>
    <row r="1048" ht="15" customHeight="1">
      <c r="A1048" t="n">
        <v>21</v>
      </c>
      <c r="B1048" s="37">
        <f>IF(Setup!$B$27="","",Setup!$B$27)</f>
        <v/>
      </c>
      <c r="C1048" s="102" t="n"/>
      <c r="D1048" s="103" t="n"/>
      <c r="E1048" s="103" t="n"/>
      <c r="F1048" s="104" t="n"/>
      <c r="G1048" s="102" t="n"/>
      <c r="H1048" s="103" t="n"/>
      <c r="I1048" s="103" t="n"/>
      <c r="J1048" s="104" t="n"/>
      <c r="K1048" s="102" t="n"/>
      <c r="L1048" s="103" t="n"/>
      <c r="M1048" s="103" t="n"/>
      <c r="N1048" s="104" t="n"/>
      <c r="O1048" s="102" t="n"/>
      <c r="P1048" s="103" t="n"/>
      <c r="Q1048" s="103" t="n"/>
      <c r="R1048" s="104" t="n"/>
      <c r="S1048" s="102" t="n"/>
      <c r="T1048" s="103" t="n"/>
      <c r="U1048" s="103" t="n"/>
      <c r="V1048" s="104" t="n"/>
      <c r="W1048" s="102" t="n"/>
      <c r="X1048" s="104" t="n"/>
      <c r="Y1048" s="102" t="n"/>
      <c r="Z1048" s="104" t="n"/>
      <c r="AB1048" s="105">
        <f>IF($B1048="","",(COUNTIF(C1008:E1025,$B1048)+COUNTIF(C1008:E1025,$B1048&amp;" ~*")&gt;0)+(COUNTIF(G1008:I1025,$B1048)+COUNTIF(G1008:I1025,$B1048&amp;" ~*")&gt;0)+(COUNTIF(K1008:M1025,$B1048)+COUNTIF(K1008:M1025,$B1048&amp;" ~*")&gt;0)+(COUNTIF(O1008:Q1025,$B1048)+COUNTIF(O1008:Q1025,$B1048&amp;" ~*")&gt;0)+(COUNTIF(S1008:U1025,$B1048)+COUNTIF(S1008:U1025,$B1048&amp;" ~*")&gt;0)+(COUNTIF(W1008:W1025,$B1048)+COUNTIF(W1008:W1025,$B1048&amp;" ~*")&gt;0)+(COUNTIF(Y1008:Y1025,$B1048)+COUNTIF(Y1008:Y1025,$B1048&amp;" ~*")&gt;0))</f>
        <v/>
      </c>
      <c r="AC1048" s="38">
        <f>IF($B1048="","",(IFERROR(INDEX(Setup!$G$33:$G$40,MATCH(C1048,Setup!$B$33:$B$40,0)),0)=1)*(COUNTIF(C1008:E1025,$B1048)+COUNTIF(C1008:E1025,$B1048&amp;" ~*")&gt;0)+(IFERROR(INDEX(Setup!$G$33:$G$40,MATCH(G1048,Setup!$B$33:$B$40,0)),0)=1)*(COUNTIF(G1008:I1025,$B1048)+COUNTIF(G1008:I1025,$B1048&amp;" ~*")&gt;0)+(IFERROR(INDEX(Setup!$G$33:$G$40,MATCH(K1048,Setup!$B$33:$B$40,0)),0)=1)*(COUNTIF(K1008:M1025,$B1048)+COUNTIF(K1008:M1025,$B1048&amp;" ~*")&gt;0)+(IFERROR(INDEX(Setup!$G$33:$G$40,MATCH(O1048,Setup!$B$33:$B$40,0)),0)=1)*(COUNTIF(O1008:Q1025,$B1048)+COUNTIF(O1008:Q1025,$B1048&amp;" ~*")&gt;0)+(IFERROR(INDEX(Setup!$G$33:$G$40,MATCH(S1048,Setup!$B$33:$B$40,0)),0)=1)*(COUNTIF(S1008:U1025,$B1048)+COUNTIF(S1008:U1025,$B1048&amp;" ~*")&gt;0)+(IFERROR(INDEX(Setup!$G$33:$G$40,MATCH(W1048,Setup!$B$33:$B$40,0)),0)=1)*(COUNTIF(W1008:W1025,$B1048)+COUNTIF(W1008:W1025,$B1048&amp;" ~*")&gt;0)+(IFERROR(INDEX(Setup!$G$33:$G$40,MATCH(Y1048,Setup!$B$33:$B$40,0)),0)=1)*(COUNTIF(Y1008:Y1025,$B1048)+COUNTIF(Y1008:Y1025,$B1048&amp;" ~*")&gt;0))</f>
        <v/>
      </c>
    </row>
    <row r="1049" ht="15" customHeight="1">
      <c r="A1049" t="n">
        <v>21</v>
      </c>
      <c r="B1049" s="35">
        <f>IF(Setup!$B$28="","",Setup!$B$28)</f>
        <v/>
      </c>
      <c r="C1049" s="98" t="n"/>
      <c r="D1049" s="99" t="n"/>
      <c r="E1049" s="99" t="n"/>
      <c r="F1049" s="100" t="n"/>
      <c r="G1049" s="98" t="n"/>
      <c r="H1049" s="99" t="n"/>
      <c r="I1049" s="99" t="n"/>
      <c r="J1049" s="100" t="n"/>
      <c r="K1049" s="98" t="n"/>
      <c r="L1049" s="99" t="n"/>
      <c r="M1049" s="99" t="n"/>
      <c r="N1049" s="100" t="n"/>
      <c r="O1049" s="98" t="n"/>
      <c r="P1049" s="99" t="n"/>
      <c r="Q1049" s="99" t="n"/>
      <c r="R1049" s="100" t="n"/>
      <c r="S1049" s="98" t="n"/>
      <c r="T1049" s="99" t="n"/>
      <c r="U1049" s="99" t="n"/>
      <c r="V1049" s="100" t="n"/>
      <c r="W1049" s="98" t="n"/>
      <c r="X1049" s="100" t="n"/>
      <c r="Y1049" s="98" t="n"/>
      <c r="Z1049" s="100" t="n"/>
      <c r="AB1049" s="101">
        <f>IF($B1049="","",(COUNTIF(C1008:E1025,$B1049)+COUNTIF(C1008:E1025,$B1049&amp;" ~*")&gt;0)+(COUNTIF(G1008:I1025,$B1049)+COUNTIF(G1008:I1025,$B1049&amp;" ~*")&gt;0)+(COUNTIF(K1008:M1025,$B1049)+COUNTIF(K1008:M1025,$B1049&amp;" ~*")&gt;0)+(COUNTIF(O1008:Q1025,$B1049)+COUNTIF(O1008:Q1025,$B1049&amp;" ~*")&gt;0)+(COUNTIF(S1008:U1025,$B1049)+COUNTIF(S1008:U1025,$B1049&amp;" ~*")&gt;0)+(COUNTIF(W1008:W1025,$B1049)+COUNTIF(W1008:W1025,$B1049&amp;" ~*")&gt;0)+(COUNTIF(Y1008:Y1025,$B1049)+COUNTIF(Y1008:Y1025,$B1049&amp;" ~*")&gt;0))</f>
        <v/>
      </c>
      <c r="AC1049" s="36">
        <f>IF($B1049="","",(IFERROR(INDEX(Setup!$G$33:$G$40,MATCH(C1049,Setup!$B$33:$B$40,0)),0)=1)*(COUNTIF(C1008:E1025,$B1049)+COUNTIF(C1008:E1025,$B1049&amp;" ~*")&gt;0)+(IFERROR(INDEX(Setup!$G$33:$G$40,MATCH(G1049,Setup!$B$33:$B$40,0)),0)=1)*(COUNTIF(G1008:I1025,$B1049)+COUNTIF(G1008:I1025,$B1049&amp;" ~*")&gt;0)+(IFERROR(INDEX(Setup!$G$33:$G$40,MATCH(K1049,Setup!$B$33:$B$40,0)),0)=1)*(COUNTIF(K1008:M1025,$B1049)+COUNTIF(K1008:M1025,$B1049&amp;" ~*")&gt;0)+(IFERROR(INDEX(Setup!$G$33:$G$40,MATCH(O1049,Setup!$B$33:$B$40,0)),0)=1)*(COUNTIF(O1008:Q1025,$B1049)+COUNTIF(O1008:Q1025,$B1049&amp;" ~*")&gt;0)+(IFERROR(INDEX(Setup!$G$33:$G$40,MATCH(S1049,Setup!$B$33:$B$40,0)),0)=1)*(COUNTIF(S1008:U1025,$B1049)+COUNTIF(S1008:U1025,$B1049&amp;" ~*")&gt;0)+(IFERROR(INDEX(Setup!$G$33:$G$40,MATCH(W1049,Setup!$B$33:$B$40,0)),0)=1)*(COUNTIF(W1008:W1025,$B1049)+COUNTIF(W1008:W1025,$B1049&amp;" ~*")&gt;0)+(IFERROR(INDEX(Setup!$G$33:$G$40,MATCH(Y1049,Setup!$B$33:$B$40,0)),0)=1)*(COUNTIF(Y1008:Y1025,$B1049)+COUNTIF(Y1008:Y1025,$B1049&amp;" ~*")&gt;0))</f>
        <v/>
      </c>
    </row>
    <row r="1050" ht="15" customHeight="1">
      <c r="A1050" t="n">
        <v>21</v>
      </c>
      <c r="B1050" s="37">
        <f>IF(Setup!$B$29="","",Setup!$B$29)</f>
        <v/>
      </c>
      <c r="C1050" s="102" t="n"/>
      <c r="D1050" s="103" t="n"/>
      <c r="E1050" s="103" t="n"/>
      <c r="F1050" s="104" t="n"/>
      <c r="G1050" s="102" t="n"/>
      <c r="H1050" s="103" t="n"/>
      <c r="I1050" s="103" t="n"/>
      <c r="J1050" s="104" t="n"/>
      <c r="K1050" s="102" t="n"/>
      <c r="L1050" s="103" t="n"/>
      <c r="M1050" s="103" t="n"/>
      <c r="N1050" s="104" t="n"/>
      <c r="O1050" s="102" t="n"/>
      <c r="P1050" s="103" t="n"/>
      <c r="Q1050" s="103" t="n"/>
      <c r="R1050" s="104" t="n"/>
      <c r="S1050" s="102" t="n"/>
      <c r="T1050" s="103" t="n"/>
      <c r="U1050" s="103" t="n"/>
      <c r="V1050" s="104" t="n"/>
      <c r="W1050" s="102" t="n"/>
      <c r="X1050" s="104" t="n"/>
      <c r="Y1050" s="102" t="n"/>
      <c r="Z1050" s="104" t="n"/>
      <c r="AB1050" s="105">
        <f>IF($B1050="","",(COUNTIF(C1008:E1025,$B1050)+COUNTIF(C1008:E1025,$B1050&amp;" ~*")&gt;0)+(COUNTIF(G1008:I1025,$B1050)+COUNTIF(G1008:I1025,$B1050&amp;" ~*")&gt;0)+(COUNTIF(K1008:M1025,$B1050)+COUNTIF(K1008:M1025,$B1050&amp;" ~*")&gt;0)+(COUNTIF(O1008:Q1025,$B1050)+COUNTIF(O1008:Q1025,$B1050&amp;" ~*")&gt;0)+(COUNTIF(S1008:U1025,$B1050)+COUNTIF(S1008:U1025,$B1050&amp;" ~*")&gt;0)+(COUNTIF(W1008:W1025,$B1050)+COUNTIF(W1008:W1025,$B1050&amp;" ~*")&gt;0)+(COUNTIF(Y1008:Y1025,$B1050)+COUNTIF(Y1008:Y1025,$B1050&amp;" ~*")&gt;0))</f>
        <v/>
      </c>
      <c r="AC1050" s="38">
        <f>IF($B1050="","",(IFERROR(INDEX(Setup!$G$33:$G$40,MATCH(C1050,Setup!$B$33:$B$40,0)),0)=1)*(COUNTIF(C1008:E1025,$B1050)+COUNTIF(C1008:E1025,$B1050&amp;" ~*")&gt;0)+(IFERROR(INDEX(Setup!$G$33:$G$40,MATCH(G1050,Setup!$B$33:$B$40,0)),0)=1)*(COUNTIF(G1008:I1025,$B1050)+COUNTIF(G1008:I1025,$B1050&amp;" ~*")&gt;0)+(IFERROR(INDEX(Setup!$G$33:$G$40,MATCH(K1050,Setup!$B$33:$B$40,0)),0)=1)*(COUNTIF(K1008:M1025,$B1050)+COUNTIF(K1008:M1025,$B1050&amp;" ~*")&gt;0)+(IFERROR(INDEX(Setup!$G$33:$G$40,MATCH(O1050,Setup!$B$33:$B$40,0)),0)=1)*(COUNTIF(O1008:Q1025,$B1050)+COUNTIF(O1008:Q1025,$B1050&amp;" ~*")&gt;0)+(IFERROR(INDEX(Setup!$G$33:$G$40,MATCH(S1050,Setup!$B$33:$B$40,0)),0)=1)*(COUNTIF(S1008:U1025,$B1050)+COUNTIF(S1008:U1025,$B1050&amp;" ~*")&gt;0)+(IFERROR(INDEX(Setup!$G$33:$G$40,MATCH(W1050,Setup!$B$33:$B$40,0)),0)=1)*(COUNTIF(W1008:W1025,$B1050)+COUNTIF(W1008:W1025,$B1050&amp;" ~*")&gt;0)+(IFERROR(INDEX(Setup!$G$33:$G$40,MATCH(Y1050,Setup!$B$33:$B$40,0)),0)=1)*(COUNTIF(Y1008:Y1025,$B1050)+COUNTIF(Y1008:Y1025,$B1050&amp;" ~*")&gt;0))</f>
        <v/>
      </c>
    </row>
    <row r="1051" ht="16" customHeight="1">
      <c r="A1051" t="n">
        <v>21</v>
      </c>
      <c r="B1051" s="106" t="inlineStr">
        <is>
          <t>Available people</t>
        </is>
      </c>
      <c r="C1051" s="107">
        <f>COUNTIFS(Setup!$E$6:$E$29,"Y",Setup!$B$6:$B$29,"?*")-SUMPRODUCT(COUNTIF(C1027:C1050,Setup!$F$33:$F$40))</f>
        <v/>
      </c>
      <c r="D1051" s="107" t="n"/>
      <c r="E1051" s="107" t="n"/>
      <c r="F1051" s="107" t="n"/>
      <c r="G1051" s="107">
        <f>COUNTIFS(Setup!$E$6:$E$29,"Y",Setup!$B$6:$B$29,"?*")-SUMPRODUCT(COUNTIF(G1027:G1050,Setup!$F$33:$F$40))</f>
        <v/>
      </c>
      <c r="H1051" s="107" t="n"/>
      <c r="I1051" s="107" t="n"/>
      <c r="J1051" s="107" t="n"/>
      <c r="K1051" s="107">
        <f>COUNTIFS(Setup!$E$6:$E$29,"Y",Setup!$B$6:$B$29,"?*")-SUMPRODUCT(COUNTIF(K1027:K1050,Setup!$F$33:$F$40))</f>
        <v/>
      </c>
      <c r="L1051" s="107" t="n"/>
      <c r="M1051" s="107" t="n"/>
      <c r="N1051" s="107" t="n"/>
      <c r="O1051" s="107">
        <f>COUNTIFS(Setup!$E$6:$E$29,"Y",Setup!$B$6:$B$29,"?*")-SUMPRODUCT(COUNTIF(O1027:O1050,Setup!$F$33:$F$40))</f>
        <v/>
      </c>
      <c r="P1051" s="107" t="n"/>
      <c r="Q1051" s="107" t="n"/>
      <c r="R1051" s="107" t="n"/>
      <c r="S1051" s="107">
        <f>COUNTIFS(Setup!$E$6:$E$29,"Y",Setup!$B$6:$B$29,"?*")-SUMPRODUCT(COUNTIF(S1027:S1050,Setup!$F$33:$F$40))</f>
        <v/>
      </c>
      <c r="T1051" s="107" t="n"/>
      <c r="U1051" s="107" t="n"/>
      <c r="V1051" s="107" t="n"/>
      <c r="W1051" s="107">
        <f>COUNTIFS(Setup!$E$6:$E$29,"Y",Setup!$B$6:$B$29,"?*")-SUMPRODUCT(COUNTIF(W1027:W1050,Setup!$F$33:$F$40))</f>
        <v/>
      </c>
      <c r="X1051" s="107" t="n"/>
      <c r="Y1051" s="107">
        <f>COUNTIFS(Setup!$E$6:$E$29,"Y",Setup!$B$6:$B$29,"?*")-SUMPRODUCT(COUNTIF(Y1027:Y1050,Setup!$F$33:$F$40))</f>
        <v/>
      </c>
      <c r="Z1051" s="107" t="n"/>
      <c r="AB1051" s="108">
        <f>SUM(AB1027:AB1050)</f>
        <v/>
      </c>
      <c r="AC1051" s="109">
        <f>SUM(AC1027:AC1050)</f>
        <v/>
      </c>
    </row>
    <row r="1052" ht="30" customHeight="1">
      <c r="A1052" t="n">
        <v>21</v>
      </c>
      <c r="B1052" s="110" t="inlineStr">
        <is>
          <t>Week notes</t>
        </is>
      </c>
      <c r="C1052" s="111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112" t="n"/>
      <c r="R1052" s="112" t="n"/>
      <c r="S1052" s="112" t="n"/>
      <c r="T1052" s="112" t="n"/>
      <c r="U1052" s="112" t="n"/>
      <c r="V1052" s="112" t="n"/>
      <c r="W1052" s="112" t="n"/>
      <c r="X1052" s="112" t="n"/>
      <c r="Y1052" s="112" t="n"/>
      <c r="Z1052" s="113" t="n"/>
    </row>
    <row r="1053" ht="8" customHeight="1">
      <c r="A1053" t="n">
        <v>21</v>
      </c>
    </row>
    <row r="1054" ht="8" customHeight="1">
      <c r="A1054" t="n">
        <v>21</v>
      </c>
    </row>
    <row r="1055" ht="24" customHeight="1">
      <c r="A1055" t="n">
        <v>22</v>
      </c>
      <c r="B1055" s="73">
        <f>"WEEK 22     "&amp;TEXT(C1056,"ddd d mmm")&amp;"  –  "&amp;TEXT(C1056+6,"ddd d mmm yyyy")</f>
        <v/>
      </c>
      <c r="S1055" s="74">
        <f>IF(TODAY()&lt;C1056,"FUTURE",IF(TODAY()&gt;C1056+6,"PAST","THIS WEEK"))</f>
        <v/>
      </c>
      <c r="W1055" s="75">
        <f>IF(AND(Engine!$B$8=$AC$3,Engine!$B$9=$A1055),"◀ ACTIVE WEEK","")</f>
        <v/>
      </c>
      <c r="AA1055" s="76" t="n"/>
      <c r="AB1055" s="77" t="inlineStr">
        <is>
          <t>◀ Prev</t>
        </is>
      </c>
      <c r="AC1055" s="77" t="inlineStr">
        <is>
          <t>Next ▶</t>
        </is>
      </c>
    </row>
    <row r="1056" ht="18" customHeight="1">
      <c r="A1056" t="n">
        <v>22</v>
      </c>
      <c r="B1056" s="78" t="inlineStr">
        <is>
          <t>DUTY</t>
        </is>
      </c>
      <c r="C1056" s="79">
        <f>$AC$2+7*($A1056-1)</f>
        <v/>
      </c>
      <c r="D1056" s="80" t="n"/>
      <c r="E1056" s="80" t="n"/>
      <c r="F1056" s="81" t="n"/>
      <c r="G1056" s="79">
        <f>C1056+1</f>
        <v/>
      </c>
      <c r="H1056" s="80" t="n"/>
      <c r="I1056" s="80" t="n"/>
      <c r="J1056" s="81" t="n"/>
      <c r="K1056" s="79">
        <f>C1056+2</f>
        <v/>
      </c>
      <c r="L1056" s="80" t="n"/>
      <c r="M1056" s="80" t="n"/>
      <c r="N1056" s="81" t="n"/>
      <c r="O1056" s="79">
        <f>C1056+3</f>
        <v/>
      </c>
      <c r="P1056" s="80" t="n"/>
      <c r="Q1056" s="80" t="n"/>
      <c r="R1056" s="81" t="n"/>
      <c r="S1056" s="79">
        <f>C1056+4</f>
        <v/>
      </c>
      <c r="T1056" s="80" t="n"/>
      <c r="U1056" s="80" t="n"/>
      <c r="V1056" s="81" t="n"/>
      <c r="W1056" s="82">
        <f>C1056+5</f>
        <v/>
      </c>
      <c r="X1056" s="83" t="n"/>
      <c r="Y1056" s="82">
        <f>C1056+6</f>
        <v/>
      </c>
      <c r="Z1056" s="83" t="n"/>
      <c r="AB1056" s="72" t="inlineStr">
        <is>
          <t>Gaps</t>
        </is>
      </c>
      <c r="AC1056" s="72" t="inlineStr">
        <is>
          <t>Cover</t>
        </is>
      </c>
    </row>
    <row r="1057" ht="14" customHeight="1">
      <c r="A1057" t="n">
        <v>22</v>
      </c>
      <c r="B1057" s="84" t="inlineStr">
        <is>
          <t>(from Setup)</t>
        </is>
      </c>
      <c r="C1057" s="85" t="inlineStr">
        <is>
          <t>1</t>
        </is>
      </c>
      <c r="D1057" s="85" t="inlineStr">
        <is>
          <t>2</t>
        </is>
      </c>
      <c r="E1057" s="85" t="inlineStr">
        <is>
          <t>3</t>
        </is>
      </c>
      <c r="F1057" s="85" t="inlineStr">
        <is>
          <t>Notes</t>
        </is>
      </c>
      <c r="G1057" s="85" t="inlineStr">
        <is>
          <t>1</t>
        </is>
      </c>
      <c r="H1057" s="85" t="inlineStr">
        <is>
          <t>2</t>
        </is>
      </c>
      <c r="I1057" s="85" t="inlineStr">
        <is>
          <t>3</t>
        </is>
      </c>
      <c r="J1057" s="85" t="inlineStr">
        <is>
          <t>Notes</t>
        </is>
      </c>
      <c r="K1057" s="85" t="inlineStr">
        <is>
          <t>1</t>
        </is>
      </c>
      <c r="L1057" s="85" t="inlineStr">
        <is>
          <t>2</t>
        </is>
      </c>
      <c r="M1057" s="85" t="inlineStr">
        <is>
          <t>3</t>
        </is>
      </c>
      <c r="N1057" s="85" t="inlineStr">
        <is>
          <t>Notes</t>
        </is>
      </c>
      <c r="O1057" s="85" t="inlineStr">
        <is>
          <t>1</t>
        </is>
      </c>
      <c r="P1057" s="85" t="inlineStr">
        <is>
          <t>2</t>
        </is>
      </c>
      <c r="Q1057" s="85" t="inlineStr">
        <is>
          <t>3</t>
        </is>
      </c>
      <c r="R1057" s="85" t="inlineStr">
        <is>
          <t>Notes</t>
        </is>
      </c>
      <c r="S1057" s="85" t="inlineStr">
        <is>
          <t>1</t>
        </is>
      </c>
      <c r="T1057" s="85" t="inlineStr">
        <is>
          <t>2</t>
        </is>
      </c>
      <c r="U1057" s="85" t="inlineStr">
        <is>
          <t>3</t>
        </is>
      </c>
      <c r="V1057" s="85" t="inlineStr">
        <is>
          <t>Notes</t>
        </is>
      </c>
      <c r="W1057" s="85" t="inlineStr">
        <is>
          <t>Cover</t>
        </is>
      </c>
      <c r="X1057" s="85" t="inlineStr">
        <is>
          <t>Notes</t>
        </is>
      </c>
      <c r="Y1057" s="85" t="inlineStr">
        <is>
          <t>Cover</t>
        </is>
      </c>
      <c r="Z1057" s="85" t="inlineStr">
        <is>
          <t>Notes</t>
        </is>
      </c>
      <c r="AB1057" s="86" t="inlineStr">
        <is>
          <t>weekdays short</t>
        </is>
      </c>
      <c r="AC1057" s="87" t="inlineStr"/>
    </row>
    <row r="1058" ht="17" customHeight="1">
      <c r="A1058" t="n">
        <v>22</v>
      </c>
      <c r="B1058" s="24">
        <f>IF(Setup!$K$6="","",Setup!$K$6)</f>
        <v/>
      </c>
      <c r="C1058" s="88" t="n"/>
      <c r="D1058" s="88" t="n"/>
      <c r="E1058" s="88" t="n"/>
      <c r="F1058" s="89" t="n"/>
      <c r="G1058" s="88" t="n"/>
      <c r="H1058" s="88" t="n"/>
      <c r="I1058" s="88" t="n"/>
      <c r="J1058" s="89" t="n"/>
      <c r="K1058" s="88" t="n"/>
      <c r="L1058" s="88" t="n"/>
      <c r="M1058" s="88" t="n"/>
      <c r="N1058" s="89" t="n"/>
      <c r="O1058" s="88" t="n"/>
      <c r="P1058" s="88" t="n"/>
      <c r="Q1058" s="88" t="n"/>
      <c r="R1058" s="89" t="n"/>
      <c r="S1058" s="88" t="n"/>
      <c r="T1058" s="88" t="n"/>
      <c r="U1058" s="88" t="n"/>
      <c r="V1058" s="89" t="n"/>
      <c r="W1058" s="88" t="n"/>
      <c r="X1058" s="89" t="n"/>
      <c r="Y1058" s="88" t="n"/>
      <c r="Z1058" s="89" t="n"/>
      <c r="AB1058" s="25">
        <f>IF($B1058="","",(COUNTIF(C1058:E1058,"?*")&lt;N(INDEX(Setup!$L$6:$L$23,1)))+(COUNTIF(G1058:I1058,"?*")&lt;N(INDEX(Setup!$L$6:$L$23,1)))+(COUNTIF(K1058:M1058,"?*")&lt;N(INDEX(Setup!$L$6:$L$23,1)))+(COUNTIF(O1058:Q1058,"?*")&lt;N(INDEX(Setup!$L$6:$L$23,1)))+(COUNTIF(S1058:U1058,"?*")&lt;N(INDEX(Setup!$L$6:$L$23,1)))+((W1058="")*(INDEX(Setup!$M$6:$M$23,1)="Y"))+((Y1058="")*(INDEX(Setup!$M$6:$M$23,1)="Y")))</f>
        <v/>
      </c>
      <c r="AC1058" s="90">
        <f>IF($B1058="","",IF(AB1058=0,"✓ covered","⚠ "&amp;AB1058&amp;IF(AB1058=1," gap"," gaps")))</f>
        <v/>
      </c>
    </row>
    <row r="1059" ht="17" customHeight="1">
      <c r="A1059" t="n">
        <v>22</v>
      </c>
      <c r="B1059" s="29">
        <f>IF(Setup!$K$7="","",Setup!$K$7)</f>
        <v/>
      </c>
      <c r="C1059" s="88" t="n"/>
      <c r="D1059" s="88" t="n"/>
      <c r="E1059" s="88" t="n"/>
      <c r="F1059" s="89" t="n"/>
      <c r="G1059" s="88" t="n"/>
      <c r="H1059" s="88" t="n"/>
      <c r="I1059" s="88" t="n"/>
      <c r="J1059" s="89" t="n"/>
      <c r="K1059" s="88" t="n"/>
      <c r="L1059" s="88" t="n"/>
      <c r="M1059" s="88" t="n"/>
      <c r="N1059" s="89" t="n"/>
      <c r="O1059" s="88" t="n"/>
      <c r="P1059" s="88" t="n"/>
      <c r="Q1059" s="88" t="n"/>
      <c r="R1059" s="89" t="n"/>
      <c r="S1059" s="88" t="n"/>
      <c r="T1059" s="88" t="n"/>
      <c r="U1059" s="88" t="n"/>
      <c r="V1059" s="89" t="n"/>
      <c r="W1059" s="88" t="n"/>
      <c r="X1059" s="89" t="n"/>
      <c r="Y1059" s="88" t="n"/>
      <c r="Z1059" s="89" t="n"/>
      <c r="AB1059" s="30">
        <f>IF($B1059="","",(COUNTIF(C1059:E1059,"?*")&lt;N(INDEX(Setup!$L$6:$L$23,2)))+(COUNTIF(G1059:I1059,"?*")&lt;N(INDEX(Setup!$L$6:$L$23,2)))+(COUNTIF(K1059:M1059,"?*")&lt;N(INDEX(Setup!$L$6:$L$23,2)))+(COUNTIF(O1059:Q1059,"?*")&lt;N(INDEX(Setup!$L$6:$L$23,2)))+(COUNTIF(S1059:U1059,"?*")&lt;N(INDEX(Setup!$L$6:$L$23,2)))+((W1059="")*(INDEX(Setup!$M$6:$M$23,2)="Y"))+((Y1059="")*(INDEX(Setup!$M$6:$M$23,2)="Y")))</f>
        <v/>
      </c>
      <c r="AC1059" s="91">
        <f>IF($B1059="","",IF(AB1059=0,"✓ covered","⚠ "&amp;AB1059&amp;IF(AB1059=1," gap"," gaps")))</f>
        <v/>
      </c>
    </row>
    <row r="1060" ht="17" customHeight="1">
      <c r="A1060" t="n">
        <v>22</v>
      </c>
      <c r="B1060" s="24">
        <f>IF(Setup!$K$8="","",Setup!$K$8)</f>
        <v/>
      </c>
      <c r="C1060" s="88" t="inlineStr">
        <is>
          <t>NT</t>
        </is>
      </c>
      <c r="D1060" s="88" t="n"/>
      <c r="E1060" s="88" t="n"/>
      <c r="F1060" s="89" t="n"/>
      <c r="G1060" s="88" t="n"/>
      <c r="H1060" s="88" t="n"/>
      <c r="I1060" s="88" t="n"/>
      <c r="J1060" s="89" t="n"/>
      <c r="K1060" s="88" t="n"/>
      <c r="L1060" s="88" t="n"/>
      <c r="M1060" s="88" t="n"/>
      <c r="N1060" s="89" t="n"/>
      <c r="O1060" s="88" t="n"/>
      <c r="P1060" s="88" t="n"/>
      <c r="Q1060" s="88" t="n"/>
      <c r="R1060" s="89" t="n"/>
      <c r="S1060" s="88" t="n"/>
      <c r="T1060" s="88" t="n"/>
      <c r="U1060" s="88" t="n"/>
      <c r="V1060" s="89" t="n"/>
      <c r="W1060" s="88" t="n"/>
      <c r="X1060" s="89" t="n"/>
      <c r="Y1060" s="88" t="n"/>
      <c r="Z1060" s="89" t="n"/>
      <c r="AB1060" s="25">
        <f>IF($B1060="","",(COUNTIF(C1060:E1060,"?*")&lt;N(INDEX(Setup!$L$6:$L$23,3)))+(COUNTIF(G1060:I1060,"?*")&lt;N(INDEX(Setup!$L$6:$L$23,3)))+(COUNTIF(K1060:M1060,"?*")&lt;N(INDEX(Setup!$L$6:$L$23,3)))+(COUNTIF(O1060:Q1060,"?*")&lt;N(INDEX(Setup!$L$6:$L$23,3)))+(COUNTIF(S1060:U1060,"?*")&lt;N(INDEX(Setup!$L$6:$L$23,3)))+((W1060="")*(INDEX(Setup!$M$6:$M$23,3)="Y"))+((Y1060="")*(INDEX(Setup!$M$6:$M$23,3)="Y")))</f>
        <v/>
      </c>
      <c r="AC1060" s="90">
        <f>IF($B1060="","",IF(AB1060=0,"✓ covered","⚠ "&amp;AB1060&amp;IF(AB1060=1," gap"," gaps")))</f>
        <v/>
      </c>
    </row>
    <row r="1061" ht="17" customHeight="1">
      <c r="A1061" t="n">
        <v>22</v>
      </c>
      <c r="B1061" s="29">
        <f>IF(Setup!$K$9="","",Setup!$K$9)</f>
        <v/>
      </c>
      <c r="C1061" s="88" t="n"/>
      <c r="D1061" s="88" t="n"/>
      <c r="E1061" s="88" t="n"/>
      <c r="F1061" s="89" t="n"/>
      <c r="G1061" s="88" t="n"/>
      <c r="H1061" s="88" t="n"/>
      <c r="I1061" s="88" t="n"/>
      <c r="J1061" s="89" t="n"/>
      <c r="K1061" s="88" t="n"/>
      <c r="L1061" s="88" t="n"/>
      <c r="M1061" s="88" t="n"/>
      <c r="N1061" s="89" t="n"/>
      <c r="O1061" s="88" t="n"/>
      <c r="P1061" s="88" t="n"/>
      <c r="Q1061" s="88" t="n"/>
      <c r="R1061" s="89" t="n"/>
      <c r="S1061" s="88" t="n"/>
      <c r="T1061" s="88" t="n"/>
      <c r="U1061" s="88" t="n"/>
      <c r="V1061" s="89" t="n"/>
      <c r="W1061" s="88" t="n"/>
      <c r="X1061" s="89" t="n"/>
      <c r="Y1061" s="88" t="n"/>
      <c r="Z1061" s="89" t="n"/>
      <c r="AB1061" s="30">
        <f>IF($B1061="","",(COUNTIF(C1061:E1061,"?*")&lt;N(INDEX(Setup!$L$6:$L$23,4)))+(COUNTIF(G1061:I1061,"?*")&lt;N(INDEX(Setup!$L$6:$L$23,4)))+(COUNTIF(K1061:M1061,"?*")&lt;N(INDEX(Setup!$L$6:$L$23,4)))+(COUNTIF(O1061:Q1061,"?*")&lt;N(INDEX(Setup!$L$6:$L$23,4)))+(COUNTIF(S1061:U1061,"?*")&lt;N(INDEX(Setup!$L$6:$L$23,4)))+((W1061="")*(INDEX(Setup!$M$6:$M$23,4)="Y"))+((Y1061="")*(INDEX(Setup!$M$6:$M$23,4)="Y")))</f>
        <v/>
      </c>
      <c r="AC1061" s="91">
        <f>IF($B1061="","",IF(AB1061=0,"✓ covered","⚠ "&amp;AB1061&amp;IF(AB1061=1," gap"," gaps")))</f>
        <v/>
      </c>
    </row>
    <row r="1062" ht="17" customHeight="1">
      <c r="A1062" t="n">
        <v>22</v>
      </c>
      <c r="B1062" s="24">
        <f>IF(Setup!$K$10="","",Setup!$K$10)</f>
        <v/>
      </c>
      <c r="C1062" s="88" t="n"/>
      <c r="D1062" s="88" t="n"/>
      <c r="E1062" s="88" t="n"/>
      <c r="F1062" s="89" t="n"/>
      <c r="G1062" s="88" t="n"/>
      <c r="H1062" s="88" t="n"/>
      <c r="I1062" s="88" t="n"/>
      <c r="J1062" s="89" t="n"/>
      <c r="K1062" s="88" t="n"/>
      <c r="L1062" s="88" t="n"/>
      <c r="M1062" s="88" t="n"/>
      <c r="N1062" s="89" t="n"/>
      <c r="O1062" s="88" t="n"/>
      <c r="P1062" s="88" t="n"/>
      <c r="Q1062" s="88" t="n"/>
      <c r="R1062" s="89" t="n"/>
      <c r="S1062" s="88" t="n"/>
      <c r="T1062" s="88" t="n"/>
      <c r="U1062" s="88" t="n"/>
      <c r="V1062" s="89" t="n"/>
      <c r="W1062" s="88" t="n"/>
      <c r="X1062" s="89" t="n"/>
      <c r="Y1062" s="88" t="n"/>
      <c r="Z1062" s="89" t="n"/>
      <c r="AB1062" s="25">
        <f>IF($B1062="","",(COUNTIF(C1062:E1062,"?*")&lt;N(INDEX(Setup!$L$6:$L$23,5)))+(COUNTIF(G1062:I1062,"?*")&lt;N(INDEX(Setup!$L$6:$L$23,5)))+(COUNTIF(K1062:M1062,"?*")&lt;N(INDEX(Setup!$L$6:$L$23,5)))+(COUNTIF(O1062:Q1062,"?*")&lt;N(INDEX(Setup!$L$6:$L$23,5)))+(COUNTIF(S1062:U1062,"?*")&lt;N(INDEX(Setup!$L$6:$L$23,5)))+((W1062="")*(INDEX(Setup!$M$6:$M$23,5)="Y"))+((Y1062="")*(INDEX(Setup!$M$6:$M$23,5)="Y")))</f>
        <v/>
      </c>
      <c r="AC1062" s="90">
        <f>IF($B1062="","",IF(AB1062=0,"✓ covered","⚠ "&amp;AB1062&amp;IF(AB1062=1," gap"," gaps")))</f>
        <v/>
      </c>
    </row>
    <row r="1063" ht="17" customHeight="1">
      <c r="A1063" t="n">
        <v>22</v>
      </c>
      <c r="B1063" s="29">
        <f>IF(Setup!$K$11="","",Setup!$K$11)</f>
        <v/>
      </c>
      <c r="C1063" s="88" t="n"/>
      <c r="D1063" s="88" t="n"/>
      <c r="E1063" s="88" t="n"/>
      <c r="F1063" s="89" t="n"/>
      <c r="G1063" s="88" t="n"/>
      <c r="H1063" s="88" t="n"/>
      <c r="I1063" s="88" t="n"/>
      <c r="J1063" s="89" t="n"/>
      <c r="K1063" s="88" t="n"/>
      <c r="L1063" s="88" t="n"/>
      <c r="M1063" s="88" t="n"/>
      <c r="N1063" s="89" t="n"/>
      <c r="O1063" s="88" t="n"/>
      <c r="P1063" s="88" t="n"/>
      <c r="Q1063" s="88" t="n"/>
      <c r="R1063" s="89" t="n"/>
      <c r="S1063" s="88" t="n"/>
      <c r="T1063" s="88" t="n"/>
      <c r="U1063" s="88" t="n"/>
      <c r="V1063" s="89" t="n"/>
      <c r="W1063" s="88" t="n"/>
      <c r="X1063" s="89" t="n"/>
      <c r="Y1063" s="88" t="n"/>
      <c r="Z1063" s="89" t="n"/>
      <c r="AB1063" s="30">
        <f>IF($B1063="","",(COUNTIF(C1063:E1063,"?*")&lt;N(INDEX(Setup!$L$6:$L$23,6)))+(COUNTIF(G1063:I1063,"?*")&lt;N(INDEX(Setup!$L$6:$L$23,6)))+(COUNTIF(K1063:M1063,"?*")&lt;N(INDEX(Setup!$L$6:$L$23,6)))+(COUNTIF(O1063:Q1063,"?*")&lt;N(INDEX(Setup!$L$6:$L$23,6)))+(COUNTIF(S1063:U1063,"?*")&lt;N(INDEX(Setup!$L$6:$L$23,6)))+((W1063="")*(INDEX(Setup!$M$6:$M$23,6)="Y"))+((Y1063="")*(INDEX(Setup!$M$6:$M$23,6)="Y")))</f>
        <v/>
      </c>
      <c r="AC1063" s="91">
        <f>IF($B1063="","",IF(AB1063=0,"✓ covered","⚠ "&amp;AB1063&amp;IF(AB1063=1," gap"," gaps")))</f>
        <v/>
      </c>
    </row>
    <row r="1064" ht="17" customHeight="1">
      <c r="A1064" t="n">
        <v>22</v>
      </c>
      <c r="B1064" s="24">
        <f>IF(Setup!$K$12="","",Setup!$K$12)</f>
        <v/>
      </c>
      <c r="C1064" s="88" t="n"/>
      <c r="D1064" s="88" t="n"/>
      <c r="E1064" s="88" t="n"/>
      <c r="F1064" s="89" t="n"/>
      <c r="G1064" s="88" t="n"/>
      <c r="H1064" s="88" t="n"/>
      <c r="I1064" s="88" t="n"/>
      <c r="J1064" s="89" t="n"/>
      <c r="K1064" s="88" t="n"/>
      <c r="L1064" s="88" t="n"/>
      <c r="M1064" s="88" t="n"/>
      <c r="N1064" s="89" t="n"/>
      <c r="O1064" s="88" t="n"/>
      <c r="P1064" s="88" t="n"/>
      <c r="Q1064" s="88" t="n"/>
      <c r="R1064" s="89" t="n"/>
      <c r="S1064" s="88" t="n"/>
      <c r="T1064" s="88" t="n"/>
      <c r="U1064" s="88" t="n"/>
      <c r="V1064" s="89" t="n"/>
      <c r="W1064" s="88" t="n"/>
      <c r="X1064" s="89" t="n"/>
      <c r="Y1064" s="88" t="n"/>
      <c r="Z1064" s="89" t="n"/>
      <c r="AB1064" s="25">
        <f>IF($B1064="","",(COUNTIF(C1064:E1064,"?*")&lt;N(INDEX(Setup!$L$6:$L$23,7)))+(COUNTIF(G1064:I1064,"?*")&lt;N(INDEX(Setup!$L$6:$L$23,7)))+(COUNTIF(K1064:M1064,"?*")&lt;N(INDEX(Setup!$L$6:$L$23,7)))+(COUNTIF(O1064:Q1064,"?*")&lt;N(INDEX(Setup!$L$6:$L$23,7)))+(COUNTIF(S1064:U1064,"?*")&lt;N(INDEX(Setup!$L$6:$L$23,7)))+((W1064="")*(INDEX(Setup!$M$6:$M$23,7)="Y"))+((Y1064="")*(INDEX(Setup!$M$6:$M$23,7)="Y")))</f>
        <v/>
      </c>
      <c r="AC1064" s="90">
        <f>IF($B1064="","",IF(AB1064=0,"✓ covered","⚠ "&amp;AB1064&amp;IF(AB1064=1," gap"," gaps")))</f>
        <v/>
      </c>
    </row>
    <row r="1065" ht="17" customHeight="1">
      <c r="A1065" t="n">
        <v>22</v>
      </c>
      <c r="B1065" s="29">
        <f>IF(Setup!$K$13="","",Setup!$K$13)</f>
        <v/>
      </c>
      <c r="C1065" s="88" t="n"/>
      <c r="D1065" s="88" t="n"/>
      <c r="E1065" s="88" t="n"/>
      <c r="F1065" s="89" t="n"/>
      <c r="G1065" s="88" t="n"/>
      <c r="H1065" s="88" t="n"/>
      <c r="I1065" s="88" t="n"/>
      <c r="J1065" s="89" t="n"/>
      <c r="K1065" s="88" t="n"/>
      <c r="L1065" s="88" t="n"/>
      <c r="M1065" s="88" t="n"/>
      <c r="N1065" s="89" t="n"/>
      <c r="O1065" s="88" t="n"/>
      <c r="P1065" s="88" t="n"/>
      <c r="Q1065" s="88" t="n"/>
      <c r="R1065" s="89" t="n"/>
      <c r="S1065" s="88" t="n"/>
      <c r="T1065" s="88" t="n"/>
      <c r="U1065" s="88" t="n"/>
      <c r="V1065" s="89" t="n"/>
      <c r="W1065" s="88" t="n"/>
      <c r="X1065" s="89" t="n"/>
      <c r="Y1065" s="88" t="n"/>
      <c r="Z1065" s="89" t="n"/>
      <c r="AB1065" s="30">
        <f>IF($B1065="","",(COUNTIF(C1065:E1065,"?*")&lt;N(INDEX(Setup!$L$6:$L$23,8)))+(COUNTIF(G1065:I1065,"?*")&lt;N(INDEX(Setup!$L$6:$L$23,8)))+(COUNTIF(K1065:M1065,"?*")&lt;N(INDEX(Setup!$L$6:$L$23,8)))+(COUNTIF(O1065:Q1065,"?*")&lt;N(INDEX(Setup!$L$6:$L$23,8)))+(COUNTIF(S1065:U1065,"?*")&lt;N(INDEX(Setup!$L$6:$L$23,8)))+((W1065="")*(INDEX(Setup!$M$6:$M$23,8)="Y"))+((Y1065="")*(INDEX(Setup!$M$6:$M$23,8)="Y")))</f>
        <v/>
      </c>
      <c r="AC1065" s="91">
        <f>IF($B1065="","",IF(AB1065=0,"✓ covered","⚠ "&amp;AB1065&amp;IF(AB1065=1," gap"," gaps")))</f>
        <v/>
      </c>
    </row>
    <row r="1066" ht="17" customHeight="1">
      <c r="A1066" t="n">
        <v>22</v>
      </c>
      <c r="B1066" s="24">
        <f>IF(Setup!$K$14="","",Setup!$K$14)</f>
        <v/>
      </c>
      <c r="C1066" s="88" t="n"/>
      <c r="D1066" s="88" t="n"/>
      <c r="E1066" s="88" t="n"/>
      <c r="F1066" s="89" t="n"/>
      <c r="G1066" s="88" t="n"/>
      <c r="H1066" s="88" t="n"/>
      <c r="I1066" s="88" t="n"/>
      <c r="J1066" s="89" t="n"/>
      <c r="K1066" s="88" t="n"/>
      <c r="L1066" s="88" t="n"/>
      <c r="M1066" s="88" t="n"/>
      <c r="N1066" s="89" t="n"/>
      <c r="O1066" s="88" t="n"/>
      <c r="P1066" s="88" t="n"/>
      <c r="Q1066" s="88" t="n"/>
      <c r="R1066" s="89" t="n"/>
      <c r="S1066" s="88" t="n"/>
      <c r="T1066" s="88" t="n"/>
      <c r="U1066" s="88" t="n"/>
      <c r="V1066" s="89" t="n"/>
      <c r="W1066" s="88" t="n"/>
      <c r="X1066" s="89" t="n"/>
      <c r="Y1066" s="88" t="n"/>
      <c r="Z1066" s="89" t="n"/>
      <c r="AB1066" s="25">
        <f>IF($B1066="","",(COUNTIF(C1066:E1066,"?*")&lt;N(INDEX(Setup!$L$6:$L$23,9)))+(COUNTIF(G1066:I1066,"?*")&lt;N(INDEX(Setup!$L$6:$L$23,9)))+(COUNTIF(K1066:M1066,"?*")&lt;N(INDEX(Setup!$L$6:$L$23,9)))+(COUNTIF(O1066:Q1066,"?*")&lt;N(INDEX(Setup!$L$6:$L$23,9)))+(COUNTIF(S1066:U1066,"?*")&lt;N(INDEX(Setup!$L$6:$L$23,9)))+((W1066="")*(INDEX(Setup!$M$6:$M$23,9)="Y"))+((Y1066="")*(INDEX(Setup!$M$6:$M$23,9)="Y")))</f>
        <v/>
      </c>
      <c r="AC1066" s="90">
        <f>IF($B1066="","",IF(AB1066=0,"✓ covered","⚠ "&amp;AB1066&amp;IF(AB1066=1," gap"," gaps")))</f>
        <v/>
      </c>
    </row>
    <row r="1067" ht="17" customHeight="1">
      <c r="A1067" t="n">
        <v>22</v>
      </c>
      <c r="B1067" s="29">
        <f>IF(Setup!$K$15="","",Setup!$K$15)</f>
        <v/>
      </c>
      <c r="C1067" s="88" t="n"/>
      <c r="D1067" s="88" t="n"/>
      <c r="E1067" s="88" t="n"/>
      <c r="F1067" s="89" t="n"/>
      <c r="G1067" s="88" t="n"/>
      <c r="H1067" s="88" t="n"/>
      <c r="I1067" s="88" t="n"/>
      <c r="J1067" s="89" t="n"/>
      <c r="K1067" s="88" t="n"/>
      <c r="L1067" s="88" t="n"/>
      <c r="M1067" s="88" t="n"/>
      <c r="N1067" s="89" t="n"/>
      <c r="O1067" s="88" t="n"/>
      <c r="P1067" s="88" t="n"/>
      <c r="Q1067" s="88" t="n"/>
      <c r="R1067" s="89" t="n"/>
      <c r="S1067" s="88" t="n"/>
      <c r="T1067" s="88" t="n"/>
      <c r="U1067" s="88" t="n"/>
      <c r="V1067" s="89" t="n"/>
      <c r="W1067" s="88" t="n"/>
      <c r="X1067" s="89" t="n"/>
      <c r="Y1067" s="88" t="n"/>
      <c r="Z1067" s="89" t="n"/>
      <c r="AB1067" s="30">
        <f>IF($B1067="","",(COUNTIF(C1067:E1067,"?*")&lt;N(INDEX(Setup!$L$6:$L$23,10)))+(COUNTIF(G1067:I1067,"?*")&lt;N(INDEX(Setup!$L$6:$L$23,10)))+(COUNTIF(K1067:M1067,"?*")&lt;N(INDEX(Setup!$L$6:$L$23,10)))+(COUNTIF(O1067:Q1067,"?*")&lt;N(INDEX(Setup!$L$6:$L$23,10)))+(COUNTIF(S1067:U1067,"?*")&lt;N(INDEX(Setup!$L$6:$L$23,10)))+((W1067="")*(INDEX(Setup!$M$6:$M$23,10)="Y"))+((Y1067="")*(INDEX(Setup!$M$6:$M$23,10)="Y")))</f>
        <v/>
      </c>
      <c r="AC1067" s="91">
        <f>IF($B1067="","",IF(AB1067=0,"✓ covered","⚠ "&amp;AB1067&amp;IF(AB1067=1," gap"," gaps")))</f>
        <v/>
      </c>
    </row>
    <row r="1068" ht="17" customHeight="1">
      <c r="A1068" t="n">
        <v>22</v>
      </c>
      <c r="B1068" s="24">
        <f>IF(Setup!$K$16="","",Setup!$K$16)</f>
        <v/>
      </c>
      <c r="C1068" s="88" t="n"/>
      <c r="D1068" s="88" t="n"/>
      <c r="E1068" s="88" t="n"/>
      <c r="F1068" s="89" t="n"/>
      <c r="G1068" s="88" t="n"/>
      <c r="H1068" s="88" t="n"/>
      <c r="I1068" s="88" t="n"/>
      <c r="J1068" s="89" t="n"/>
      <c r="K1068" s="88" t="n"/>
      <c r="L1068" s="88" t="n"/>
      <c r="M1068" s="88" t="n"/>
      <c r="N1068" s="89" t="n"/>
      <c r="O1068" s="88" t="n"/>
      <c r="P1068" s="88" t="n"/>
      <c r="Q1068" s="88" t="n"/>
      <c r="R1068" s="89" t="n"/>
      <c r="S1068" s="88" t="n"/>
      <c r="T1068" s="88" t="n"/>
      <c r="U1068" s="88" t="n"/>
      <c r="V1068" s="89" t="n"/>
      <c r="W1068" s="88" t="n"/>
      <c r="X1068" s="89" t="n"/>
      <c r="Y1068" s="88" t="n"/>
      <c r="Z1068" s="89" t="n"/>
      <c r="AB1068" s="25">
        <f>IF($B1068="","",(COUNTIF(C1068:E1068,"?*")&lt;N(INDEX(Setup!$L$6:$L$23,11)))+(COUNTIF(G1068:I1068,"?*")&lt;N(INDEX(Setup!$L$6:$L$23,11)))+(COUNTIF(K1068:M1068,"?*")&lt;N(INDEX(Setup!$L$6:$L$23,11)))+(COUNTIF(O1068:Q1068,"?*")&lt;N(INDEX(Setup!$L$6:$L$23,11)))+(COUNTIF(S1068:U1068,"?*")&lt;N(INDEX(Setup!$L$6:$L$23,11)))+((W1068="")*(INDEX(Setup!$M$6:$M$23,11)="Y"))+((Y1068="")*(INDEX(Setup!$M$6:$M$23,11)="Y")))</f>
        <v/>
      </c>
      <c r="AC1068" s="90">
        <f>IF($B1068="","",IF(AB1068=0,"✓ covered","⚠ "&amp;AB1068&amp;IF(AB1068=1," gap"," gaps")))</f>
        <v/>
      </c>
    </row>
    <row r="1069" ht="17" customHeight="1">
      <c r="A1069" t="n">
        <v>22</v>
      </c>
      <c r="B1069" s="29">
        <f>IF(Setup!$K$17="","",Setup!$K$17)</f>
        <v/>
      </c>
      <c r="C1069" s="88" t="n"/>
      <c r="D1069" s="88" t="n"/>
      <c r="E1069" s="88" t="n"/>
      <c r="F1069" s="89" t="n"/>
      <c r="G1069" s="88" t="n"/>
      <c r="H1069" s="88" t="n"/>
      <c r="I1069" s="88" t="n"/>
      <c r="J1069" s="89" t="n"/>
      <c r="K1069" s="88" t="n"/>
      <c r="L1069" s="88" t="n"/>
      <c r="M1069" s="88" t="n"/>
      <c r="N1069" s="89" t="n"/>
      <c r="O1069" s="88" t="n"/>
      <c r="P1069" s="88" t="n"/>
      <c r="Q1069" s="88" t="n"/>
      <c r="R1069" s="89" t="n"/>
      <c r="S1069" s="88" t="n"/>
      <c r="T1069" s="88" t="n"/>
      <c r="U1069" s="88" t="n"/>
      <c r="V1069" s="89" t="n"/>
      <c r="W1069" s="88" t="n"/>
      <c r="X1069" s="89" t="n"/>
      <c r="Y1069" s="88" t="n"/>
      <c r="Z1069" s="89" t="n"/>
      <c r="AB1069" s="30">
        <f>IF($B1069="","",(COUNTIF(C1069:E1069,"?*")&lt;N(INDEX(Setup!$L$6:$L$23,12)))+(COUNTIF(G1069:I1069,"?*")&lt;N(INDEX(Setup!$L$6:$L$23,12)))+(COUNTIF(K1069:M1069,"?*")&lt;N(INDEX(Setup!$L$6:$L$23,12)))+(COUNTIF(O1069:Q1069,"?*")&lt;N(INDEX(Setup!$L$6:$L$23,12)))+(COUNTIF(S1069:U1069,"?*")&lt;N(INDEX(Setup!$L$6:$L$23,12)))+((W1069="")*(INDEX(Setup!$M$6:$M$23,12)="Y"))+((Y1069="")*(INDEX(Setup!$M$6:$M$23,12)="Y")))</f>
        <v/>
      </c>
      <c r="AC1069" s="91">
        <f>IF($B1069="","",IF(AB1069=0,"✓ covered","⚠ "&amp;AB1069&amp;IF(AB1069=1," gap"," gaps")))</f>
        <v/>
      </c>
    </row>
    <row r="1070" ht="17" customHeight="1">
      <c r="A1070" t="n">
        <v>22</v>
      </c>
      <c r="B1070" s="24">
        <f>IF(Setup!$K$18="","",Setup!$K$18)</f>
        <v/>
      </c>
      <c r="C1070" s="88" t="n"/>
      <c r="D1070" s="88" t="n"/>
      <c r="E1070" s="88" t="n"/>
      <c r="F1070" s="89" t="n"/>
      <c r="G1070" s="88" t="n"/>
      <c r="H1070" s="88" t="n"/>
      <c r="I1070" s="88" t="n"/>
      <c r="J1070" s="89" t="n"/>
      <c r="K1070" s="88" t="n"/>
      <c r="L1070" s="88" t="n"/>
      <c r="M1070" s="88" t="n"/>
      <c r="N1070" s="89" t="n"/>
      <c r="O1070" s="88" t="n"/>
      <c r="P1070" s="88" t="n"/>
      <c r="Q1070" s="88" t="n"/>
      <c r="R1070" s="89" t="n"/>
      <c r="S1070" s="88" t="n"/>
      <c r="T1070" s="88" t="n"/>
      <c r="U1070" s="88" t="n"/>
      <c r="V1070" s="89" t="n"/>
      <c r="W1070" s="88" t="n"/>
      <c r="X1070" s="89" t="n"/>
      <c r="Y1070" s="88" t="n"/>
      <c r="Z1070" s="89" t="n"/>
      <c r="AB1070" s="25">
        <f>IF($B1070="","",(COUNTIF(C1070:E1070,"?*")&lt;N(INDEX(Setup!$L$6:$L$23,13)))+(COUNTIF(G1070:I1070,"?*")&lt;N(INDEX(Setup!$L$6:$L$23,13)))+(COUNTIF(K1070:M1070,"?*")&lt;N(INDEX(Setup!$L$6:$L$23,13)))+(COUNTIF(O1070:Q1070,"?*")&lt;N(INDEX(Setup!$L$6:$L$23,13)))+(COUNTIF(S1070:U1070,"?*")&lt;N(INDEX(Setup!$L$6:$L$23,13)))+((W1070="")*(INDEX(Setup!$M$6:$M$23,13)="Y"))+((Y1070="")*(INDEX(Setup!$M$6:$M$23,13)="Y")))</f>
        <v/>
      </c>
      <c r="AC1070" s="90">
        <f>IF($B1070="","",IF(AB1070=0,"✓ covered","⚠ "&amp;AB1070&amp;IF(AB1070=1," gap"," gaps")))</f>
        <v/>
      </c>
    </row>
    <row r="1071" ht="17" customHeight="1">
      <c r="A1071" t="n">
        <v>22</v>
      </c>
      <c r="B1071" s="29">
        <f>IF(Setup!$K$19="","",Setup!$K$19)</f>
        <v/>
      </c>
      <c r="C1071" s="88" t="n"/>
      <c r="D1071" s="88" t="n"/>
      <c r="E1071" s="88" t="n"/>
      <c r="F1071" s="89" t="n"/>
      <c r="G1071" s="88" t="n"/>
      <c r="H1071" s="88" t="n"/>
      <c r="I1071" s="88" t="n"/>
      <c r="J1071" s="89" t="n"/>
      <c r="K1071" s="88" t="n"/>
      <c r="L1071" s="88" t="n"/>
      <c r="M1071" s="88" t="n"/>
      <c r="N1071" s="89" t="n"/>
      <c r="O1071" s="88" t="n"/>
      <c r="P1071" s="88" t="n"/>
      <c r="Q1071" s="88" t="n"/>
      <c r="R1071" s="89" t="n"/>
      <c r="S1071" s="88" t="n"/>
      <c r="T1071" s="88" t="n"/>
      <c r="U1071" s="88" t="n"/>
      <c r="V1071" s="89" t="n"/>
      <c r="W1071" s="88" t="n"/>
      <c r="X1071" s="89" t="n"/>
      <c r="Y1071" s="88" t="n"/>
      <c r="Z1071" s="89" t="n"/>
      <c r="AB1071" s="30">
        <f>IF($B1071="","",(COUNTIF(C1071:E1071,"?*")&lt;N(INDEX(Setup!$L$6:$L$23,14)))+(COUNTIF(G1071:I1071,"?*")&lt;N(INDEX(Setup!$L$6:$L$23,14)))+(COUNTIF(K1071:M1071,"?*")&lt;N(INDEX(Setup!$L$6:$L$23,14)))+(COUNTIF(O1071:Q1071,"?*")&lt;N(INDEX(Setup!$L$6:$L$23,14)))+(COUNTIF(S1071:U1071,"?*")&lt;N(INDEX(Setup!$L$6:$L$23,14)))+((W1071="")*(INDEX(Setup!$M$6:$M$23,14)="Y"))+((Y1071="")*(INDEX(Setup!$M$6:$M$23,14)="Y")))</f>
        <v/>
      </c>
      <c r="AC1071" s="91">
        <f>IF($B1071="","",IF(AB1071=0,"✓ covered","⚠ "&amp;AB1071&amp;IF(AB1071=1," gap"," gaps")))</f>
        <v/>
      </c>
    </row>
    <row r="1072" ht="17" customHeight="1">
      <c r="A1072" t="n">
        <v>22</v>
      </c>
      <c r="B1072" s="24">
        <f>IF(Setup!$K$20="","",Setup!$K$20)</f>
        <v/>
      </c>
      <c r="C1072" s="88" t="n"/>
      <c r="D1072" s="88" t="n"/>
      <c r="E1072" s="88" t="n"/>
      <c r="F1072" s="89" t="n"/>
      <c r="G1072" s="88" t="n"/>
      <c r="H1072" s="88" t="n"/>
      <c r="I1072" s="88" t="n"/>
      <c r="J1072" s="89" t="n"/>
      <c r="K1072" s="88" t="n"/>
      <c r="L1072" s="88" t="n"/>
      <c r="M1072" s="88" t="n"/>
      <c r="N1072" s="89" t="n"/>
      <c r="O1072" s="88" t="n"/>
      <c r="P1072" s="88" t="n"/>
      <c r="Q1072" s="88" t="n"/>
      <c r="R1072" s="89" t="n"/>
      <c r="S1072" s="88" t="n"/>
      <c r="T1072" s="88" t="n"/>
      <c r="U1072" s="88" t="n"/>
      <c r="V1072" s="89" t="n"/>
      <c r="W1072" s="88" t="n"/>
      <c r="X1072" s="89" t="n"/>
      <c r="Y1072" s="88" t="n"/>
      <c r="Z1072" s="89" t="n"/>
      <c r="AB1072" s="25">
        <f>IF($B1072="","",(COUNTIF(C1072:E1072,"?*")&lt;N(INDEX(Setup!$L$6:$L$23,15)))+(COUNTIF(G1072:I1072,"?*")&lt;N(INDEX(Setup!$L$6:$L$23,15)))+(COUNTIF(K1072:M1072,"?*")&lt;N(INDEX(Setup!$L$6:$L$23,15)))+(COUNTIF(O1072:Q1072,"?*")&lt;N(INDEX(Setup!$L$6:$L$23,15)))+(COUNTIF(S1072:U1072,"?*")&lt;N(INDEX(Setup!$L$6:$L$23,15)))+((W1072="")*(INDEX(Setup!$M$6:$M$23,15)="Y"))+((Y1072="")*(INDEX(Setup!$M$6:$M$23,15)="Y")))</f>
        <v/>
      </c>
      <c r="AC1072" s="90">
        <f>IF($B1072="","",IF(AB1072=0,"✓ covered","⚠ "&amp;AB1072&amp;IF(AB1072=1," gap"," gaps")))</f>
        <v/>
      </c>
    </row>
    <row r="1073" ht="17" customHeight="1">
      <c r="A1073" t="n">
        <v>22</v>
      </c>
      <c r="B1073" s="29">
        <f>IF(Setup!$K$21="","",Setup!$K$21)</f>
        <v/>
      </c>
      <c r="C1073" s="88" t="n"/>
      <c r="D1073" s="88" t="n"/>
      <c r="E1073" s="88" t="n"/>
      <c r="F1073" s="89" t="n"/>
      <c r="G1073" s="88" t="n"/>
      <c r="H1073" s="88" t="n"/>
      <c r="I1073" s="88" t="n"/>
      <c r="J1073" s="89" t="n"/>
      <c r="K1073" s="88" t="n"/>
      <c r="L1073" s="88" t="n"/>
      <c r="M1073" s="88" t="n"/>
      <c r="N1073" s="89" t="n"/>
      <c r="O1073" s="88" t="n"/>
      <c r="P1073" s="88" t="n"/>
      <c r="Q1073" s="88" t="n"/>
      <c r="R1073" s="89" t="n"/>
      <c r="S1073" s="88" t="n"/>
      <c r="T1073" s="88" t="n"/>
      <c r="U1073" s="88" t="n"/>
      <c r="V1073" s="89" t="n"/>
      <c r="W1073" s="88" t="n"/>
      <c r="X1073" s="89" t="n"/>
      <c r="Y1073" s="88" t="n"/>
      <c r="Z1073" s="89" t="n"/>
      <c r="AB1073" s="30">
        <f>IF($B1073="","",(COUNTIF(C1073:E1073,"?*")&lt;N(INDEX(Setup!$L$6:$L$23,16)))+(COUNTIF(G1073:I1073,"?*")&lt;N(INDEX(Setup!$L$6:$L$23,16)))+(COUNTIF(K1073:M1073,"?*")&lt;N(INDEX(Setup!$L$6:$L$23,16)))+(COUNTIF(O1073:Q1073,"?*")&lt;N(INDEX(Setup!$L$6:$L$23,16)))+(COUNTIF(S1073:U1073,"?*")&lt;N(INDEX(Setup!$L$6:$L$23,16)))+((W1073="")*(INDEX(Setup!$M$6:$M$23,16)="Y"))+((Y1073="")*(INDEX(Setup!$M$6:$M$23,16)="Y")))</f>
        <v/>
      </c>
      <c r="AC1073" s="91">
        <f>IF($B1073="","",IF(AB1073=0,"✓ covered","⚠ "&amp;AB1073&amp;IF(AB1073=1," gap"," gaps")))</f>
        <v/>
      </c>
    </row>
    <row r="1074" ht="17" customHeight="1">
      <c r="A1074" t="n">
        <v>22</v>
      </c>
      <c r="B1074" s="24">
        <f>IF(Setup!$K$22="","",Setup!$K$22)</f>
        <v/>
      </c>
      <c r="C1074" s="88" t="n"/>
      <c r="D1074" s="88" t="n"/>
      <c r="E1074" s="88" t="n"/>
      <c r="F1074" s="89" t="n"/>
      <c r="G1074" s="88" t="n"/>
      <c r="H1074" s="88" t="n"/>
      <c r="I1074" s="88" t="n"/>
      <c r="J1074" s="89" t="n"/>
      <c r="K1074" s="88" t="n"/>
      <c r="L1074" s="88" t="n"/>
      <c r="M1074" s="88" t="n"/>
      <c r="N1074" s="89" t="n"/>
      <c r="O1074" s="88" t="n"/>
      <c r="P1074" s="88" t="n"/>
      <c r="Q1074" s="88" t="n"/>
      <c r="R1074" s="89" t="n"/>
      <c r="S1074" s="88" t="n"/>
      <c r="T1074" s="88" t="n"/>
      <c r="U1074" s="88" t="n"/>
      <c r="V1074" s="89" t="n"/>
      <c r="W1074" s="88" t="n"/>
      <c r="X1074" s="89" t="n"/>
      <c r="Y1074" s="88" t="n"/>
      <c r="Z1074" s="89" t="n"/>
      <c r="AB1074" s="25">
        <f>IF($B1074="","",(COUNTIF(C1074:E1074,"?*")&lt;N(INDEX(Setup!$L$6:$L$23,17)))+(COUNTIF(G1074:I1074,"?*")&lt;N(INDEX(Setup!$L$6:$L$23,17)))+(COUNTIF(K1074:M1074,"?*")&lt;N(INDEX(Setup!$L$6:$L$23,17)))+(COUNTIF(O1074:Q1074,"?*")&lt;N(INDEX(Setup!$L$6:$L$23,17)))+(COUNTIF(S1074:U1074,"?*")&lt;N(INDEX(Setup!$L$6:$L$23,17)))+((W1074="")*(INDEX(Setup!$M$6:$M$23,17)="Y"))+((Y1074="")*(INDEX(Setup!$M$6:$M$23,17)="Y")))</f>
        <v/>
      </c>
      <c r="AC1074" s="90">
        <f>IF($B1074="","",IF(AB1074=0,"✓ covered","⚠ "&amp;AB1074&amp;IF(AB1074=1," gap"," gaps")))</f>
        <v/>
      </c>
    </row>
    <row r="1075" ht="17" customHeight="1">
      <c r="A1075" t="n">
        <v>22</v>
      </c>
      <c r="B1075" s="29">
        <f>IF(Setup!$K$23="","",Setup!$K$23)</f>
        <v/>
      </c>
      <c r="C1075" s="88" t="n"/>
      <c r="D1075" s="88" t="n"/>
      <c r="E1075" s="88" t="n"/>
      <c r="F1075" s="89" t="n"/>
      <c r="G1075" s="88" t="n"/>
      <c r="H1075" s="88" t="n"/>
      <c r="I1075" s="88" t="n"/>
      <c r="J1075" s="89" t="n"/>
      <c r="K1075" s="88" t="n"/>
      <c r="L1075" s="88" t="n"/>
      <c r="M1075" s="88" t="n"/>
      <c r="N1075" s="89" t="n"/>
      <c r="O1075" s="88" t="n"/>
      <c r="P1075" s="88" t="n"/>
      <c r="Q1075" s="88" t="n"/>
      <c r="R1075" s="89" t="n"/>
      <c r="S1075" s="88" t="n"/>
      <c r="T1075" s="88" t="n"/>
      <c r="U1075" s="88" t="n"/>
      <c r="V1075" s="89" t="n"/>
      <c r="W1075" s="88" t="n"/>
      <c r="X1075" s="89" t="n"/>
      <c r="Y1075" s="88" t="n"/>
      <c r="Z1075" s="89" t="n"/>
      <c r="AB1075" s="30">
        <f>IF($B1075="","",(COUNTIF(C1075:E1075,"?*")&lt;N(INDEX(Setup!$L$6:$L$23,18)))+(COUNTIF(G1075:I1075,"?*")&lt;N(INDEX(Setup!$L$6:$L$23,18)))+(COUNTIF(K1075:M1075,"?*")&lt;N(INDEX(Setup!$L$6:$L$23,18)))+(COUNTIF(O1075:Q1075,"?*")&lt;N(INDEX(Setup!$L$6:$L$23,18)))+(COUNTIF(S1075:U1075,"?*")&lt;N(INDEX(Setup!$L$6:$L$23,18)))+((W1075="")*(INDEX(Setup!$M$6:$M$23,18)="Y"))+((Y1075="")*(INDEX(Setup!$M$6:$M$23,18)="Y")))</f>
        <v/>
      </c>
      <c r="AC1075" s="91">
        <f>IF($B1075="","",IF(AB1075=0,"✓ covered","⚠ "&amp;AB1075&amp;IF(AB1075=1," gap"," gaps")))</f>
        <v/>
      </c>
    </row>
    <row r="1076" ht="18" customHeight="1">
      <c r="A1076" t="n">
        <v>22</v>
      </c>
      <c r="B1076" s="78" t="inlineStr">
        <is>
          <t>TEAM AVAILABILITY</t>
        </is>
      </c>
      <c r="C1076" s="92" t="inlineStr">
        <is>
          <t>Mon</t>
        </is>
      </c>
      <c r="D1076" s="93" t="n"/>
      <c r="E1076" s="93" t="n"/>
      <c r="F1076" s="94" t="n"/>
      <c r="G1076" s="92" t="inlineStr">
        <is>
          <t>Tue</t>
        </is>
      </c>
      <c r="H1076" s="93" t="n"/>
      <c r="I1076" s="93" t="n"/>
      <c r="J1076" s="94" t="n"/>
      <c r="K1076" s="92" t="inlineStr">
        <is>
          <t>Wed</t>
        </is>
      </c>
      <c r="L1076" s="93" t="n"/>
      <c r="M1076" s="93" t="n"/>
      <c r="N1076" s="94" t="n"/>
      <c r="O1076" s="92" t="inlineStr">
        <is>
          <t>Thu</t>
        </is>
      </c>
      <c r="P1076" s="93" t="n"/>
      <c r="Q1076" s="93" t="n"/>
      <c r="R1076" s="94" t="n"/>
      <c r="S1076" s="92" t="inlineStr">
        <is>
          <t>Fri</t>
        </is>
      </c>
      <c r="T1076" s="93" t="n"/>
      <c r="U1076" s="93" t="n"/>
      <c r="V1076" s="94" t="n"/>
      <c r="W1076" s="95" t="inlineStr">
        <is>
          <t>Sat</t>
        </is>
      </c>
      <c r="X1076" s="96" t="n"/>
      <c r="Y1076" s="95" t="inlineStr">
        <is>
          <t>Sun</t>
        </is>
      </c>
      <c r="Z1076" s="96" t="n"/>
      <c r="AB1076" s="97" t="inlineStr">
        <is>
          <t>Days rostered</t>
        </is>
      </c>
      <c r="AC1076" s="97" t="inlineStr">
        <is>
          <t>Conflicts</t>
        </is>
      </c>
    </row>
    <row r="1077" ht="15" customHeight="1">
      <c r="A1077" t="n">
        <v>22</v>
      </c>
      <c r="B1077" s="35">
        <f>IF(Setup!$B$6="","",Setup!$B$6)</f>
        <v/>
      </c>
      <c r="C1077" s="98" t="inlineStr">
        <is>
          <t>HRA</t>
        </is>
      </c>
      <c r="D1077" s="99" t="n"/>
      <c r="E1077" s="99" t="n"/>
      <c r="F1077" s="100" t="n"/>
      <c r="G1077" s="98" t="n"/>
      <c r="H1077" s="99" t="n"/>
      <c r="I1077" s="99" t="n"/>
      <c r="J1077" s="100" t="n"/>
      <c r="K1077" s="98" t="n"/>
      <c r="L1077" s="99" t="n"/>
      <c r="M1077" s="99" t="n"/>
      <c r="N1077" s="100" t="n"/>
      <c r="O1077" s="98" t="n"/>
      <c r="P1077" s="99" t="n"/>
      <c r="Q1077" s="99" t="n"/>
      <c r="R1077" s="100" t="n"/>
      <c r="S1077" s="98" t="n"/>
      <c r="T1077" s="99" t="n"/>
      <c r="U1077" s="99" t="n"/>
      <c r="V1077" s="100" t="n"/>
      <c r="W1077" s="98" t="n"/>
      <c r="X1077" s="100" t="n"/>
      <c r="Y1077" s="98" t="n"/>
      <c r="Z1077" s="100" t="n"/>
      <c r="AB1077" s="101">
        <f>IF($B1077="","",(COUNTIF(C1058:E1075,$B1077)+COUNTIF(C1058:E1075,$B1077&amp;" ~*")&gt;0)+(COUNTIF(G1058:I1075,$B1077)+COUNTIF(G1058:I1075,$B1077&amp;" ~*")&gt;0)+(COUNTIF(K1058:M1075,$B1077)+COUNTIF(K1058:M1075,$B1077&amp;" ~*")&gt;0)+(COUNTIF(O1058:Q1075,$B1077)+COUNTIF(O1058:Q1075,$B1077&amp;" ~*")&gt;0)+(COUNTIF(S1058:U1075,$B1077)+COUNTIF(S1058:U1075,$B1077&amp;" ~*")&gt;0)+(COUNTIF(W1058:W1075,$B1077)+COUNTIF(W1058:W1075,$B1077&amp;" ~*")&gt;0)+(COUNTIF(Y1058:Y1075,$B1077)+COUNTIF(Y1058:Y1075,$B1077&amp;" ~*")&gt;0))</f>
        <v/>
      </c>
      <c r="AC1077" s="36">
        <f>IF($B1077="","",(IFERROR(INDEX(Setup!$G$33:$G$40,MATCH(C1077,Setup!$B$33:$B$40,0)),0)=1)*(COUNTIF(C1058:E1075,$B1077)+COUNTIF(C1058:E1075,$B1077&amp;" ~*")&gt;0)+(IFERROR(INDEX(Setup!$G$33:$G$40,MATCH(G1077,Setup!$B$33:$B$40,0)),0)=1)*(COUNTIF(G1058:I1075,$B1077)+COUNTIF(G1058:I1075,$B1077&amp;" ~*")&gt;0)+(IFERROR(INDEX(Setup!$G$33:$G$40,MATCH(K1077,Setup!$B$33:$B$40,0)),0)=1)*(COUNTIF(K1058:M1075,$B1077)+COUNTIF(K1058:M1075,$B1077&amp;" ~*")&gt;0)+(IFERROR(INDEX(Setup!$G$33:$G$40,MATCH(O1077,Setup!$B$33:$B$40,0)),0)=1)*(COUNTIF(O1058:Q1075,$B1077)+COUNTIF(O1058:Q1075,$B1077&amp;" ~*")&gt;0)+(IFERROR(INDEX(Setup!$G$33:$G$40,MATCH(S1077,Setup!$B$33:$B$40,0)),0)=1)*(COUNTIF(S1058:U1075,$B1077)+COUNTIF(S1058:U1075,$B1077&amp;" ~*")&gt;0)+(IFERROR(INDEX(Setup!$G$33:$G$40,MATCH(W1077,Setup!$B$33:$B$40,0)),0)=1)*(COUNTIF(W1058:W1075,$B1077)+COUNTIF(W1058:W1075,$B1077&amp;" ~*")&gt;0)+(IFERROR(INDEX(Setup!$G$33:$G$40,MATCH(Y1077,Setup!$B$33:$B$40,0)),0)=1)*(COUNTIF(Y1058:Y1075,$B1077)+COUNTIF(Y1058:Y1075,$B1077&amp;" ~*")&gt;0))</f>
        <v/>
      </c>
    </row>
    <row r="1078" ht="15" customHeight="1">
      <c r="A1078" t="n">
        <v>22</v>
      </c>
      <c r="B1078" s="37">
        <f>IF(Setup!$B$7="","",Setup!$B$7)</f>
        <v/>
      </c>
      <c r="C1078" s="102" t="n"/>
      <c r="D1078" s="103" t="n"/>
      <c r="E1078" s="103" t="n"/>
      <c r="F1078" s="104" t="n"/>
      <c r="G1078" s="102" t="n"/>
      <c r="H1078" s="103" t="n"/>
      <c r="I1078" s="103" t="n"/>
      <c r="J1078" s="104" t="n"/>
      <c r="K1078" s="102" t="n"/>
      <c r="L1078" s="103" t="n"/>
      <c r="M1078" s="103" t="n"/>
      <c r="N1078" s="104" t="n"/>
      <c r="O1078" s="102" t="n"/>
      <c r="P1078" s="103" t="n"/>
      <c r="Q1078" s="103" t="n"/>
      <c r="R1078" s="104" t="n"/>
      <c r="S1078" s="102" t="n"/>
      <c r="T1078" s="103" t="n"/>
      <c r="U1078" s="103" t="n"/>
      <c r="V1078" s="104" t="n"/>
      <c r="W1078" s="102" t="n"/>
      <c r="X1078" s="104" t="n"/>
      <c r="Y1078" s="102" t="n"/>
      <c r="Z1078" s="104" t="n"/>
      <c r="AB1078" s="105">
        <f>IF($B1078="","",(COUNTIF(C1058:E1075,$B1078)+COUNTIF(C1058:E1075,$B1078&amp;" ~*")&gt;0)+(COUNTIF(G1058:I1075,$B1078)+COUNTIF(G1058:I1075,$B1078&amp;" ~*")&gt;0)+(COUNTIF(K1058:M1075,$B1078)+COUNTIF(K1058:M1075,$B1078&amp;" ~*")&gt;0)+(COUNTIF(O1058:Q1075,$B1078)+COUNTIF(O1058:Q1075,$B1078&amp;" ~*")&gt;0)+(COUNTIF(S1058:U1075,$B1078)+COUNTIF(S1058:U1075,$B1078&amp;" ~*")&gt;0)+(COUNTIF(W1058:W1075,$B1078)+COUNTIF(W1058:W1075,$B1078&amp;" ~*")&gt;0)+(COUNTIF(Y1058:Y1075,$B1078)+COUNTIF(Y1058:Y1075,$B1078&amp;" ~*")&gt;0))</f>
        <v/>
      </c>
      <c r="AC1078" s="38">
        <f>IF($B1078="","",(IFERROR(INDEX(Setup!$G$33:$G$40,MATCH(C1078,Setup!$B$33:$B$40,0)),0)=1)*(COUNTIF(C1058:E1075,$B1078)+COUNTIF(C1058:E1075,$B1078&amp;" ~*")&gt;0)+(IFERROR(INDEX(Setup!$G$33:$G$40,MATCH(G1078,Setup!$B$33:$B$40,0)),0)=1)*(COUNTIF(G1058:I1075,$B1078)+COUNTIF(G1058:I1075,$B1078&amp;" ~*")&gt;0)+(IFERROR(INDEX(Setup!$G$33:$G$40,MATCH(K1078,Setup!$B$33:$B$40,0)),0)=1)*(COUNTIF(K1058:M1075,$B1078)+COUNTIF(K1058:M1075,$B1078&amp;" ~*")&gt;0)+(IFERROR(INDEX(Setup!$G$33:$G$40,MATCH(O1078,Setup!$B$33:$B$40,0)),0)=1)*(COUNTIF(O1058:Q1075,$B1078)+COUNTIF(O1058:Q1075,$B1078&amp;" ~*")&gt;0)+(IFERROR(INDEX(Setup!$G$33:$G$40,MATCH(S1078,Setup!$B$33:$B$40,0)),0)=1)*(COUNTIF(S1058:U1075,$B1078)+COUNTIF(S1058:U1075,$B1078&amp;" ~*")&gt;0)+(IFERROR(INDEX(Setup!$G$33:$G$40,MATCH(W1078,Setup!$B$33:$B$40,0)),0)=1)*(COUNTIF(W1058:W1075,$B1078)+COUNTIF(W1058:W1075,$B1078&amp;" ~*")&gt;0)+(IFERROR(INDEX(Setup!$G$33:$G$40,MATCH(Y1078,Setup!$B$33:$B$40,0)),0)=1)*(COUNTIF(Y1058:Y1075,$B1078)+COUNTIF(Y1058:Y1075,$B1078&amp;" ~*")&gt;0))</f>
        <v/>
      </c>
    </row>
    <row r="1079" ht="15" customHeight="1">
      <c r="A1079" t="n">
        <v>22</v>
      </c>
      <c r="B1079" s="35">
        <f>IF(Setup!$B$8="","",Setup!$B$8)</f>
        <v/>
      </c>
      <c r="C1079" s="98" t="n"/>
      <c r="D1079" s="99" t="n"/>
      <c r="E1079" s="99" t="n"/>
      <c r="F1079" s="100" t="n"/>
      <c r="G1079" s="98" t="n"/>
      <c r="H1079" s="99" t="n"/>
      <c r="I1079" s="99" t="n"/>
      <c r="J1079" s="100" t="n"/>
      <c r="K1079" s="98" t="n"/>
      <c r="L1079" s="99" t="n"/>
      <c r="M1079" s="99" t="n"/>
      <c r="N1079" s="100" t="n"/>
      <c r="O1079" s="98" t="n"/>
      <c r="P1079" s="99" t="n"/>
      <c r="Q1079" s="99" t="n"/>
      <c r="R1079" s="100" t="n"/>
      <c r="S1079" s="98" t="n"/>
      <c r="T1079" s="99" t="n"/>
      <c r="U1079" s="99" t="n"/>
      <c r="V1079" s="100" t="n"/>
      <c r="W1079" s="98" t="n"/>
      <c r="X1079" s="100" t="n"/>
      <c r="Y1079" s="98" t="n"/>
      <c r="Z1079" s="100" t="n"/>
      <c r="AB1079" s="101">
        <f>IF($B1079="","",(COUNTIF(C1058:E1075,$B1079)+COUNTIF(C1058:E1075,$B1079&amp;" ~*")&gt;0)+(COUNTIF(G1058:I1075,$B1079)+COUNTIF(G1058:I1075,$B1079&amp;" ~*")&gt;0)+(COUNTIF(K1058:M1075,$B1079)+COUNTIF(K1058:M1075,$B1079&amp;" ~*")&gt;0)+(COUNTIF(O1058:Q1075,$B1079)+COUNTIF(O1058:Q1075,$B1079&amp;" ~*")&gt;0)+(COUNTIF(S1058:U1075,$B1079)+COUNTIF(S1058:U1075,$B1079&amp;" ~*")&gt;0)+(COUNTIF(W1058:W1075,$B1079)+COUNTIF(W1058:W1075,$B1079&amp;" ~*")&gt;0)+(COUNTIF(Y1058:Y1075,$B1079)+COUNTIF(Y1058:Y1075,$B1079&amp;" ~*")&gt;0))</f>
        <v/>
      </c>
      <c r="AC1079" s="36">
        <f>IF($B1079="","",(IFERROR(INDEX(Setup!$G$33:$G$40,MATCH(C1079,Setup!$B$33:$B$40,0)),0)=1)*(COUNTIF(C1058:E1075,$B1079)+COUNTIF(C1058:E1075,$B1079&amp;" ~*")&gt;0)+(IFERROR(INDEX(Setup!$G$33:$G$40,MATCH(G1079,Setup!$B$33:$B$40,0)),0)=1)*(COUNTIF(G1058:I1075,$B1079)+COUNTIF(G1058:I1075,$B1079&amp;" ~*")&gt;0)+(IFERROR(INDEX(Setup!$G$33:$G$40,MATCH(K1079,Setup!$B$33:$B$40,0)),0)=1)*(COUNTIF(K1058:M1075,$B1079)+COUNTIF(K1058:M1075,$B1079&amp;" ~*")&gt;0)+(IFERROR(INDEX(Setup!$G$33:$G$40,MATCH(O1079,Setup!$B$33:$B$40,0)),0)=1)*(COUNTIF(O1058:Q1075,$B1079)+COUNTIF(O1058:Q1075,$B1079&amp;" ~*")&gt;0)+(IFERROR(INDEX(Setup!$G$33:$G$40,MATCH(S1079,Setup!$B$33:$B$40,0)),0)=1)*(COUNTIF(S1058:U1075,$B1079)+COUNTIF(S1058:U1075,$B1079&amp;" ~*")&gt;0)+(IFERROR(INDEX(Setup!$G$33:$G$40,MATCH(W1079,Setup!$B$33:$B$40,0)),0)=1)*(COUNTIF(W1058:W1075,$B1079)+COUNTIF(W1058:W1075,$B1079&amp;" ~*")&gt;0)+(IFERROR(INDEX(Setup!$G$33:$G$40,MATCH(Y1079,Setup!$B$33:$B$40,0)),0)=1)*(COUNTIF(Y1058:Y1075,$B1079)+COUNTIF(Y1058:Y1075,$B1079&amp;" ~*")&gt;0))</f>
        <v/>
      </c>
    </row>
    <row r="1080" ht="15" customHeight="1">
      <c r="A1080" t="n">
        <v>22</v>
      </c>
      <c r="B1080" s="37">
        <f>IF(Setup!$B$9="","",Setup!$B$9)</f>
        <v/>
      </c>
      <c r="C1080" s="102" t="n"/>
      <c r="D1080" s="103" t="n"/>
      <c r="E1080" s="103" t="n"/>
      <c r="F1080" s="104" t="n"/>
      <c r="G1080" s="102" t="inlineStr">
        <is>
          <t>AL</t>
        </is>
      </c>
      <c r="H1080" s="103" t="n"/>
      <c r="I1080" s="103" t="n"/>
      <c r="J1080" s="104" t="n"/>
      <c r="K1080" s="102" t="inlineStr">
        <is>
          <t>AL</t>
        </is>
      </c>
      <c r="L1080" s="103" t="n"/>
      <c r="M1080" s="103" t="n"/>
      <c r="N1080" s="104" t="n"/>
      <c r="O1080" s="102" t="inlineStr">
        <is>
          <t>AL</t>
        </is>
      </c>
      <c r="P1080" s="103" t="n"/>
      <c r="Q1080" s="103" t="n"/>
      <c r="R1080" s="104" t="n"/>
      <c r="S1080" s="102" t="inlineStr">
        <is>
          <t>AL</t>
        </is>
      </c>
      <c r="T1080" s="103" t="n"/>
      <c r="U1080" s="103" t="n"/>
      <c r="V1080" s="104" t="n"/>
      <c r="W1080" s="102" t="n"/>
      <c r="X1080" s="104" t="n"/>
      <c r="Y1080" s="102" t="n"/>
      <c r="Z1080" s="104" t="n"/>
      <c r="AB1080" s="105">
        <f>IF($B1080="","",(COUNTIF(C1058:E1075,$B1080)+COUNTIF(C1058:E1075,$B1080&amp;" ~*")&gt;0)+(COUNTIF(G1058:I1075,$B1080)+COUNTIF(G1058:I1075,$B1080&amp;" ~*")&gt;0)+(COUNTIF(K1058:M1075,$B1080)+COUNTIF(K1058:M1075,$B1080&amp;" ~*")&gt;0)+(COUNTIF(O1058:Q1075,$B1080)+COUNTIF(O1058:Q1075,$B1080&amp;" ~*")&gt;0)+(COUNTIF(S1058:U1075,$B1080)+COUNTIF(S1058:U1075,$B1080&amp;" ~*")&gt;0)+(COUNTIF(W1058:W1075,$B1080)+COUNTIF(W1058:W1075,$B1080&amp;" ~*")&gt;0)+(COUNTIF(Y1058:Y1075,$B1080)+COUNTIF(Y1058:Y1075,$B1080&amp;" ~*")&gt;0))</f>
        <v/>
      </c>
      <c r="AC1080" s="38">
        <f>IF($B1080="","",(IFERROR(INDEX(Setup!$G$33:$G$40,MATCH(C1080,Setup!$B$33:$B$40,0)),0)=1)*(COUNTIF(C1058:E1075,$B1080)+COUNTIF(C1058:E1075,$B1080&amp;" ~*")&gt;0)+(IFERROR(INDEX(Setup!$G$33:$G$40,MATCH(G1080,Setup!$B$33:$B$40,0)),0)=1)*(COUNTIF(G1058:I1075,$B1080)+COUNTIF(G1058:I1075,$B1080&amp;" ~*")&gt;0)+(IFERROR(INDEX(Setup!$G$33:$G$40,MATCH(K1080,Setup!$B$33:$B$40,0)),0)=1)*(COUNTIF(K1058:M1075,$B1080)+COUNTIF(K1058:M1075,$B1080&amp;" ~*")&gt;0)+(IFERROR(INDEX(Setup!$G$33:$G$40,MATCH(O1080,Setup!$B$33:$B$40,0)),0)=1)*(COUNTIF(O1058:Q1075,$B1080)+COUNTIF(O1058:Q1075,$B1080&amp;" ~*")&gt;0)+(IFERROR(INDEX(Setup!$G$33:$G$40,MATCH(S1080,Setup!$B$33:$B$40,0)),0)=1)*(COUNTIF(S1058:U1075,$B1080)+COUNTIF(S1058:U1075,$B1080&amp;" ~*")&gt;0)+(IFERROR(INDEX(Setup!$G$33:$G$40,MATCH(W1080,Setup!$B$33:$B$40,0)),0)=1)*(COUNTIF(W1058:W1075,$B1080)+COUNTIF(W1058:W1075,$B1080&amp;" ~*")&gt;0)+(IFERROR(INDEX(Setup!$G$33:$G$40,MATCH(Y1080,Setup!$B$33:$B$40,0)),0)=1)*(COUNTIF(Y1058:Y1075,$B1080)+COUNTIF(Y1058:Y1075,$B1080&amp;" ~*")&gt;0))</f>
        <v/>
      </c>
    </row>
    <row r="1081" ht="15" customHeight="1">
      <c r="A1081" t="n">
        <v>22</v>
      </c>
      <c r="B1081" s="35">
        <f>IF(Setup!$B$10="","",Setup!$B$10)</f>
        <v/>
      </c>
      <c r="C1081" s="98" t="n"/>
      <c r="D1081" s="99" t="n"/>
      <c r="E1081" s="99" t="n"/>
      <c r="F1081" s="100" t="n"/>
      <c r="G1081" s="98" t="n"/>
      <c r="H1081" s="99" t="n"/>
      <c r="I1081" s="99" t="n"/>
      <c r="J1081" s="100" t="n"/>
      <c r="K1081" s="98" t="n"/>
      <c r="L1081" s="99" t="n"/>
      <c r="M1081" s="99" t="n"/>
      <c r="N1081" s="100" t="n"/>
      <c r="O1081" s="98" t="n"/>
      <c r="P1081" s="99" t="n"/>
      <c r="Q1081" s="99" t="n"/>
      <c r="R1081" s="100" t="n"/>
      <c r="S1081" s="98" t="n"/>
      <c r="T1081" s="99" t="n"/>
      <c r="U1081" s="99" t="n"/>
      <c r="V1081" s="100" t="n"/>
      <c r="W1081" s="98" t="n"/>
      <c r="X1081" s="100" t="n"/>
      <c r="Y1081" s="98" t="n"/>
      <c r="Z1081" s="100" t="n"/>
      <c r="AB1081" s="101">
        <f>IF($B1081="","",(COUNTIF(C1058:E1075,$B1081)+COUNTIF(C1058:E1075,$B1081&amp;" ~*")&gt;0)+(COUNTIF(G1058:I1075,$B1081)+COUNTIF(G1058:I1075,$B1081&amp;" ~*")&gt;0)+(COUNTIF(K1058:M1075,$B1081)+COUNTIF(K1058:M1075,$B1081&amp;" ~*")&gt;0)+(COUNTIF(O1058:Q1075,$B1081)+COUNTIF(O1058:Q1075,$B1081&amp;" ~*")&gt;0)+(COUNTIF(S1058:U1075,$B1081)+COUNTIF(S1058:U1075,$B1081&amp;" ~*")&gt;0)+(COUNTIF(W1058:W1075,$B1081)+COUNTIF(W1058:W1075,$B1081&amp;" ~*")&gt;0)+(COUNTIF(Y1058:Y1075,$B1081)+COUNTIF(Y1058:Y1075,$B1081&amp;" ~*")&gt;0))</f>
        <v/>
      </c>
      <c r="AC1081" s="36">
        <f>IF($B1081="","",(IFERROR(INDEX(Setup!$G$33:$G$40,MATCH(C1081,Setup!$B$33:$B$40,0)),0)=1)*(COUNTIF(C1058:E1075,$B1081)+COUNTIF(C1058:E1075,$B1081&amp;" ~*")&gt;0)+(IFERROR(INDEX(Setup!$G$33:$G$40,MATCH(G1081,Setup!$B$33:$B$40,0)),0)=1)*(COUNTIF(G1058:I1075,$B1081)+COUNTIF(G1058:I1075,$B1081&amp;" ~*")&gt;0)+(IFERROR(INDEX(Setup!$G$33:$G$40,MATCH(K1081,Setup!$B$33:$B$40,0)),0)=1)*(COUNTIF(K1058:M1075,$B1081)+COUNTIF(K1058:M1075,$B1081&amp;" ~*")&gt;0)+(IFERROR(INDEX(Setup!$G$33:$G$40,MATCH(O1081,Setup!$B$33:$B$40,0)),0)=1)*(COUNTIF(O1058:Q1075,$B1081)+COUNTIF(O1058:Q1075,$B1081&amp;" ~*")&gt;0)+(IFERROR(INDEX(Setup!$G$33:$G$40,MATCH(S1081,Setup!$B$33:$B$40,0)),0)=1)*(COUNTIF(S1058:U1075,$B1081)+COUNTIF(S1058:U1075,$B1081&amp;" ~*")&gt;0)+(IFERROR(INDEX(Setup!$G$33:$G$40,MATCH(W1081,Setup!$B$33:$B$40,0)),0)=1)*(COUNTIF(W1058:W1075,$B1081)+COUNTIF(W1058:W1075,$B1081&amp;" ~*")&gt;0)+(IFERROR(INDEX(Setup!$G$33:$G$40,MATCH(Y1081,Setup!$B$33:$B$40,0)),0)=1)*(COUNTIF(Y1058:Y1075,$B1081)+COUNTIF(Y1058:Y1075,$B1081&amp;" ~*")&gt;0))</f>
        <v/>
      </c>
    </row>
    <row r="1082" ht="15" customHeight="1">
      <c r="A1082" t="n">
        <v>22</v>
      </c>
      <c r="B1082" s="37">
        <f>IF(Setup!$B$11="","",Setup!$B$11)</f>
        <v/>
      </c>
      <c r="C1082" s="102" t="n"/>
      <c r="D1082" s="103" t="n"/>
      <c r="E1082" s="103" t="n"/>
      <c r="F1082" s="104" t="n"/>
      <c r="G1082" s="102" t="n"/>
      <c r="H1082" s="103" t="n"/>
      <c r="I1082" s="103" t="n"/>
      <c r="J1082" s="104" t="n"/>
      <c r="K1082" s="102" t="n"/>
      <c r="L1082" s="103" t="n"/>
      <c r="M1082" s="103" t="n"/>
      <c r="N1082" s="104" t="n"/>
      <c r="O1082" s="102" t="n"/>
      <c r="P1082" s="103" t="n"/>
      <c r="Q1082" s="103" t="n"/>
      <c r="R1082" s="104" t="n"/>
      <c r="S1082" s="102" t="n"/>
      <c r="T1082" s="103" t="n"/>
      <c r="U1082" s="103" t="n"/>
      <c r="V1082" s="104" t="n"/>
      <c r="W1082" s="102" t="n"/>
      <c r="X1082" s="104" t="n"/>
      <c r="Y1082" s="102" t="n"/>
      <c r="Z1082" s="104" t="n"/>
      <c r="AB1082" s="105">
        <f>IF($B1082="","",(COUNTIF(C1058:E1075,$B1082)+COUNTIF(C1058:E1075,$B1082&amp;" ~*")&gt;0)+(COUNTIF(G1058:I1075,$B1082)+COUNTIF(G1058:I1075,$B1082&amp;" ~*")&gt;0)+(COUNTIF(K1058:M1075,$B1082)+COUNTIF(K1058:M1075,$B1082&amp;" ~*")&gt;0)+(COUNTIF(O1058:Q1075,$B1082)+COUNTIF(O1058:Q1075,$B1082&amp;" ~*")&gt;0)+(COUNTIF(S1058:U1075,$B1082)+COUNTIF(S1058:U1075,$B1082&amp;" ~*")&gt;0)+(COUNTIF(W1058:W1075,$B1082)+COUNTIF(W1058:W1075,$B1082&amp;" ~*")&gt;0)+(COUNTIF(Y1058:Y1075,$B1082)+COUNTIF(Y1058:Y1075,$B1082&amp;" ~*")&gt;0))</f>
        <v/>
      </c>
      <c r="AC1082" s="38">
        <f>IF($B1082="","",(IFERROR(INDEX(Setup!$G$33:$G$40,MATCH(C1082,Setup!$B$33:$B$40,0)),0)=1)*(COUNTIF(C1058:E1075,$B1082)+COUNTIF(C1058:E1075,$B1082&amp;" ~*")&gt;0)+(IFERROR(INDEX(Setup!$G$33:$G$40,MATCH(G1082,Setup!$B$33:$B$40,0)),0)=1)*(COUNTIF(G1058:I1075,$B1082)+COUNTIF(G1058:I1075,$B1082&amp;" ~*")&gt;0)+(IFERROR(INDEX(Setup!$G$33:$G$40,MATCH(K1082,Setup!$B$33:$B$40,0)),0)=1)*(COUNTIF(K1058:M1075,$B1082)+COUNTIF(K1058:M1075,$B1082&amp;" ~*")&gt;0)+(IFERROR(INDEX(Setup!$G$33:$G$40,MATCH(O1082,Setup!$B$33:$B$40,0)),0)=1)*(COUNTIF(O1058:Q1075,$B1082)+COUNTIF(O1058:Q1075,$B1082&amp;" ~*")&gt;0)+(IFERROR(INDEX(Setup!$G$33:$G$40,MATCH(S1082,Setup!$B$33:$B$40,0)),0)=1)*(COUNTIF(S1058:U1075,$B1082)+COUNTIF(S1058:U1075,$B1082&amp;" ~*")&gt;0)+(IFERROR(INDEX(Setup!$G$33:$G$40,MATCH(W1082,Setup!$B$33:$B$40,0)),0)=1)*(COUNTIF(W1058:W1075,$B1082)+COUNTIF(W1058:W1075,$B1082&amp;" ~*")&gt;0)+(IFERROR(INDEX(Setup!$G$33:$G$40,MATCH(Y1082,Setup!$B$33:$B$40,0)),0)=1)*(COUNTIF(Y1058:Y1075,$B1082)+COUNTIF(Y1058:Y1075,$B1082&amp;" ~*")&gt;0))</f>
        <v/>
      </c>
    </row>
    <row r="1083" ht="15" customHeight="1">
      <c r="A1083" t="n">
        <v>22</v>
      </c>
      <c r="B1083" s="35">
        <f>IF(Setup!$B$12="","",Setup!$B$12)</f>
        <v/>
      </c>
      <c r="C1083" s="98" t="n"/>
      <c r="D1083" s="99" t="n"/>
      <c r="E1083" s="99" t="n"/>
      <c r="F1083" s="100" t="n"/>
      <c r="G1083" s="98" t="inlineStr">
        <is>
          <t>AL</t>
        </is>
      </c>
      <c r="H1083" s="99" t="n"/>
      <c r="I1083" s="99" t="n"/>
      <c r="J1083" s="100" t="n"/>
      <c r="K1083" s="98" t="inlineStr">
        <is>
          <t>AL</t>
        </is>
      </c>
      <c r="L1083" s="99" t="n"/>
      <c r="M1083" s="99" t="n"/>
      <c r="N1083" s="100" t="n"/>
      <c r="O1083" s="98" t="inlineStr">
        <is>
          <t>AL</t>
        </is>
      </c>
      <c r="P1083" s="99" t="n"/>
      <c r="Q1083" s="99" t="n"/>
      <c r="R1083" s="100" t="n"/>
      <c r="S1083" s="98" t="inlineStr">
        <is>
          <t>AL</t>
        </is>
      </c>
      <c r="T1083" s="99" t="n"/>
      <c r="U1083" s="99" t="n"/>
      <c r="V1083" s="100" t="n"/>
      <c r="W1083" s="98" t="n"/>
      <c r="X1083" s="100" t="n"/>
      <c r="Y1083" s="98" t="n"/>
      <c r="Z1083" s="100" t="n"/>
      <c r="AB1083" s="101">
        <f>IF($B1083="","",(COUNTIF(C1058:E1075,$B1083)+COUNTIF(C1058:E1075,$B1083&amp;" ~*")&gt;0)+(COUNTIF(G1058:I1075,$B1083)+COUNTIF(G1058:I1075,$B1083&amp;" ~*")&gt;0)+(COUNTIF(K1058:M1075,$B1083)+COUNTIF(K1058:M1075,$B1083&amp;" ~*")&gt;0)+(COUNTIF(O1058:Q1075,$B1083)+COUNTIF(O1058:Q1075,$B1083&amp;" ~*")&gt;0)+(COUNTIF(S1058:U1075,$B1083)+COUNTIF(S1058:U1075,$B1083&amp;" ~*")&gt;0)+(COUNTIF(W1058:W1075,$B1083)+COUNTIF(W1058:W1075,$B1083&amp;" ~*")&gt;0)+(COUNTIF(Y1058:Y1075,$B1083)+COUNTIF(Y1058:Y1075,$B1083&amp;" ~*")&gt;0))</f>
        <v/>
      </c>
      <c r="AC1083" s="36">
        <f>IF($B1083="","",(IFERROR(INDEX(Setup!$G$33:$G$40,MATCH(C1083,Setup!$B$33:$B$40,0)),0)=1)*(COUNTIF(C1058:E1075,$B1083)+COUNTIF(C1058:E1075,$B1083&amp;" ~*")&gt;0)+(IFERROR(INDEX(Setup!$G$33:$G$40,MATCH(G1083,Setup!$B$33:$B$40,0)),0)=1)*(COUNTIF(G1058:I1075,$B1083)+COUNTIF(G1058:I1075,$B1083&amp;" ~*")&gt;0)+(IFERROR(INDEX(Setup!$G$33:$G$40,MATCH(K1083,Setup!$B$33:$B$40,0)),0)=1)*(COUNTIF(K1058:M1075,$B1083)+COUNTIF(K1058:M1075,$B1083&amp;" ~*")&gt;0)+(IFERROR(INDEX(Setup!$G$33:$G$40,MATCH(O1083,Setup!$B$33:$B$40,0)),0)=1)*(COUNTIF(O1058:Q1075,$B1083)+COUNTIF(O1058:Q1075,$B1083&amp;" ~*")&gt;0)+(IFERROR(INDEX(Setup!$G$33:$G$40,MATCH(S1083,Setup!$B$33:$B$40,0)),0)=1)*(COUNTIF(S1058:U1075,$B1083)+COUNTIF(S1058:U1075,$B1083&amp;" ~*")&gt;0)+(IFERROR(INDEX(Setup!$G$33:$G$40,MATCH(W1083,Setup!$B$33:$B$40,0)),0)=1)*(COUNTIF(W1058:W1075,$B1083)+COUNTIF(W1058:W1075,$B1083&amp;" ~*")&gt;0)+(IFERROR(INDEX(Setup!$G$33:$G$40,MATCH(Y1083,Setup!$B$33:$B$40,0)),0)=1)*(COUNTIF(Y1058:Y1075,$B1083)+COUNTIF(Y1058:Y1075,$B1083&amp;" ~*")&gt;0))</f>
        <v/>
      </c>
    </row>
    <row r="1084" ht="15" customHeight="1">
      <c r="A1084" t="n">
        <v>22</v>
      </c>
      <c r="B1084" s="37">
        <f>IF(Setup!$B$13="","",Setup!$B$13)</f>
        <v/>
      </c>
      <c r="C1084" s="102" t="n"/>
      <c r="D1084" s="103" t="n"/>
      <c r="E1084" s="103" t="n"/>
      <c r="F1084" s="104" t="n"/>
      <c r="G1084" s="102" t="n"/>
      <c r="H1084" s="103" t="n"/>
      <c r="I1084" s="103" t="n"/>
      <c r="J1084" s="104" t="n"/>
      <c r="K1084" s="102" t="n"/>
      <c r="L1084" s="103" t="n"/>
      <c r="M1084" s="103" t="n"/>
      <c r="N1084" s="104" t="n"/>
      <c r="O1084" s="102" t="n"/>
      <c r="P1084" s="103" t="n"/>
      <c r="Q1084" s="103" t="n"/>
      <c r="R1084" s="104" t="n"/>
      <c r="S1084" s="102" t="n"/>
      <c r="T1084" s="103" t="n"/>
      <c r="U1084" s="103" t="n"/>
      <c r="V1084" s="104" t="n"/>
      <c r="W1084" s="102" t="n"/>
      <c r="X1084" s="104" t="n"/>
      <c r="Y1084" s="102" t="n"/>
      <c r="Z1084" s="104" t="n"/>
      <c r="AB1084" s="105">
        <f>IF($B1084="","",(COUNTIF(C1058:E1075,$B1084)+COUNTIF(C1058:E1075,$B1084&amp;" ~*")&gt;0)+(COUNTIF(G1058:I1075,$B1084)+COUNTIF(G1058:I1075,$B1084&amp;" ~*")&gt;0)+(COUNTIF(K1058:M1075,$B1084)+COUNTIF(K1058:M1075,$B1084&amp;" ~*")&gt;0)+(COUNTIF(O1058:Q1075,$B1084)+COUNTIF(O1058:Q1075,$B1084&amp;" ~*")&gt;0)+(COUNTIF(S1058:U1075,$B1084)+COUNTIF(S1058:U1075,$B1084&amp;" ~*")&gt;0)+(COUNTIF(W1058:W1075,$B1084)+COUNTIF(W1058:W1075,$B1084&amp;" ~*")&gt;0)+(COUNTIF(Y1058:Y1075,$B1084)+COUNTIF(Y1058:Y1075,$B1084&amp;" ~*")&gt;0))</f>
        <v/>
      </c>
      <c r="AC1084" s="38">
        <f>IF($B1084="","",(IFERROR(INDEX(Setup!$G$33:$G$40,MATCH(C1084,Setup!$B$33:$B$40,0)),0)=1)*(COUNTIF(C1058:E1075,$B1084)+COUNTIF(C1058:E1075,$B1084&amp;" ~*")&gt;0)+(IFERROR(INDEX(Setup!$G$33:$G$40,MATCH(G1084,Setup!$B$33:$B$40,0)),0)=1)*(COUNTIF(G1058:I1075,$B1084)+COUNTIF(G1058:I1075,$B1084&amp;" ~*")&gt;0)+(IFERROR(INDEX(Setup!$G$33:$G$40,MATCH(K1084,Setup!$B$33:$B$40,0)),0)=1)*(COUNTIF(K1058:M1075,$B1084)+COUNTIF(K1058:M1075,$B1084&amp;" ~*")&gt;0)+(IFERROR(INDEX(Setup!$G$33:$G$40,MATCH(O1084,Setup!$B$33:$B$40,0)),0)=1)*(COUNTIF(O1058:Q1075,$B1084)+COUNTIF(O1058:Q1075,$B1084&amp;" ~*")&gt;0)+(IFERROR(INDEX(Setup!$G$33:$G$40,MATCH(S1084,Setup!$B$33:$B$40,0)),0)=1)*(COUNTIF(S1058:U1075,$B1084)+COUNTIF(S1058:U1075,$B1084&amp;" ~*")&gt;0)+(IFERROR(INDEX(Setup!$G$33:$G$40,MATCH(W1084,Setup!$B$33:$B$40,0)),0)=1)*(COUNTIF(W1058:W1075,$B1084)+COUNTIF(W1058:W1075,$B1084&amp;" ~*")&gt;0)+(IFERROR(INDEX(Setup!$G$33:$G$40,MATCH(Y1084,Setup!$B$33:$B$40,0)),0)=1)*(COUNTIF(Y1058:Y1075,$B1084)+COUNTIF(Y1058:Y1075,$B1084&amp;" ~*")&gt;0))</f>
        <v/>
      </c>
    </row>
    <row r="1085" ht="15" customHeight="1">
      <c r="A1085" t="n">
        <v>22</v>
      </c>
      <c r="B1085" s="35">
        <f>IF(Setup!$B$14="","",Setup!$B$14)</f>
        <v/>
      </c>
      <c r="C1085" s="98" t="n"/>
      <c r="D1085" s="99" t="n"/>
      <c r="E1085" s="99" t="n"/>
      <c r="F1085" s="100" t="n"/>
      <c r="G1085" s="98" t="n"/>
      <c r="H1085" s="99" t="n"/>
      <c r="I1085" s="99" t="n"/>
      <c r="J1085" s="100" t="n"/>
      <c r="K1085" s="98" t="n"/>
      <c r="L1085" s="99" t="n"/>
      <c r="M1085" s="99" t="n"/>
      <c r="N1085" s="100" t="n"/>
      <c r="O1085" s="98" t="n"/>
      <c r="P1085" s="99" t="n"/>
      <c r="Q1085" s="99" t="n"/>
      <c r="R1085" s="100" t="n"/>
      <c r="S1085" s="98" t="n"/>
      <c r="T1085" s="99" t="n"/>
      <c r="U1085" s="99" t="n"/>
      <c r="V1085" s="100" t="n"/>
      <c r="W1085" s="98" t="n"/>
      <c r="X1085" s="100" t="n"/>
      <c r="Y1085" s="98" t="n"/>
      <c r="Z1085" s="100" t="n"/>
      <c r="AB1085" s="101">
        <f>IF($B1085="","",(COUNTIF(C1058:E1075,$B1085)+COUNTIF(C1058:E1075,$B1085&amp;" ~*")&gt;0)+(COUNTIF(G1058:I1075,$B1085)+COUNTIF(G1058:I1075,$B1085&amp;" ~*")&gt;0)+(COUNTIF(K1058:M1075,$B1085)+COUNTIF(K1058:M1075,$B1085&amp;" ~*")&gt;0)+(COUNTIF(O1058:Q1075,$B1085)+COUNTIF(O1058:Q1075,$B1085&amp;" ~*")&gt;0)+(COUNTIF(S1058:U1075,$B1085)+COUNTIF(S1058:U1075,$B1085&amp;" ~*")&gt;0)+(COUNTIF(W1058:W1075,$B1085)+COUNTIF(W1058:W1075,$B1085&amp;" ~*")&gt;0)+(COUNTIF(Y1058:Y1075,$B1085)+COUNTIF(Y1058:Y1075,$B1085&amp;" ~*")&gt;0))</f>
        <v/>
      </c>
      <c r="AC1085" s="36">
        <f>IF($B1085="","",(IFERROR(INDEX(Setup!$G$33:$G$40,MATCH(C1085,Setup!$B$33:$B$40,0)),0)=1)*(COUNTIF(C1058:E1075,$B1085)+COUNTIF(C1058:E1075,$B1085&amp;" ~*")&gt;0)+(IFERROR(INDEX(Setup!$G$33:$G$40,MATCH(G1085,Setup!$B$33:$B$40,0)),0)=1)*(COUNTIF(G1058:I1075,$B1085)+COUNTIF(G1058:I1075,$B1085&amp;" ~*")&gt;0)+(IFERROR(INDEX(Setup!$G$33:$G$40,MATCH(K1085,Setup!$B$33:$B$40,0)),0)=1)*(COUNTIF(K1058:M1075,$B1085)+COUNTIF(K1058:M1075,$B1085&amp;" ~*")&gt;0)+(IFERROR(INDEX(Setup!$G$33:$G$40,MATCH(O1085,Setup!$B$33:$B$40,0)),0)=1)*(COUNTIF(O1058:Q1075,$B1085)+COUNTIF(O1058:Q1075,$B1085&amp;" ~*")&gt;0)+(IFERROR(INDEX(Setup!$G$33:$G$40,MATCH(S1085,Setup!$B$33:$B$40,0)),0)=1)*(COUNTIF(S1058:U1075,$B1085)+COUNTIF(S1058:U1075,$B1085&amp;" ~*")&gt;0)+(IFERROR(INDEX(Setup!$G$33:$G$40,MATCH(W1085,Setup!$B$33:$B$40,0)),0)=1)*(COUNTIF(W1058:W1075,$B1085)+COUNTIF(W1058:W1075,$B1085&amp;" ~*")&gt;0)+(IFERROR(INDEX(Setup!$G$33:$G$40,MATCH(Y1085,Setup!$B$33:$B$40,0)),0)=1)*(COUNTIF(Y1058:Y1075,$B1085)+COUNTIF(Y1058:Y1075,$B1085&amp;" ~*")&gt;0))</f>
        <v/>
      </c>
    </row>
    <row r="1086" ht="15" customHeight="1">
      <c r="A1086" t="n">
        <v>22</v>
      </c>
      <c r="B1086" s="37">
        <f>IF(Setup!$B$15="","",Setup!$B$15)</f>
        <v/>
      </c>
      <c r="C1086" s="102" t="n"/>
      <c r="D1086" s="103" t="n"/>
      <c r="E1086" s="103" t="n"/>
      <c r="F1086" s="104" t="n"/>
      <c r="G1086" s="102" t="n"/>
      <c r="H1086" s="103" t="n"/>
      <c r="I1086" s="103" t="n"/>
      <c r="J1086" s="104" t="n"/>
      <c r="K1086" s="102" t="n"/>
      <c r="L1086" s="103" t="n"/>
      <c r="M1086" s="103" t="n"/>
      <c r="N1086" s="104" t="n"/>
      <c r="O1086" s="102" t="n"/>
      <c r="P1086" s="103" t="n"/>
      <c r="Q1086" s="103" t="n"/>
      <c r="R1086" s="104" t="n"/>
      <c r="S1086" s="102" t="n"/>
      <c r="T1086" s="103" t="n"/>
      <c r="U1086" s="103" t="n"/>
      <c r="V1086" s="104" t="n"/>
      <c r="W1086" s="102" t="n"/>
      <c r="X1086" s="104" t="n"/>
      <c r="Y1086" s="102" t="n"/>
      <c r="Z1086" s="104" t="n"/>
      <c r="AB1086" s="105">
        <f>IF($B1086="","",(COUNTIF(C1058:E1075,$B1086)+COUNTIF(C1058:E1075,$B1086&amp;" ~*")&gt;0)+(COUNTIF(G1058:I1075,$B1086)+COUNTIF(G1058:I1075,$B1086&amp;" ~*")&gt;0)+(COUNTIF(K1058:M1075,$B1086)+COUNTIF(K1058:M1075,$B1086&amp;" ~*")&gt;0)+(COUNTIF(O1058:Q1075,$B1086)+COUNTIF(O1058:Q1075,$B1086&amp;" ~*")&gt;0)+(COUNTIF(S1058:U1075,$B1086)+COUNTIF(S1058:U1075,$B1086&amp;" ~*")&gt;0)+(COUNTIF(W1058:W1075,$B1086)+COUNTIF(W1058:W1075,$B1086&amp;" ~*")&gt;0)+(COUNTIF(Y1058:Y1075,$B1086)+COUNTIF(Y1058:Y1075,$B1086&amp;" ~*")&gt;0))</f>
        <v/>
      </c>
      <c r="AC1086" s="38">
        <f>IF($B1086="","",(IFERROR(INDEX(Setup!$G$33:$G$40,MATCH(C1086,Setup!$B$33:$B$40,0)),0)=1)*(COUNTIF(C1058:E1075,$B1086)+COUNTIF(C1058:E1075,$B1086&amp;" ~*")&gt;0)+(IFERROR(INDEX(Setup!$G$33:$G$40,MATCH(G1086,Setup!$B$33:$B$40,0)),0)=1)*(COUNTIF(G1058:I1075,$B1086)+COUNTIF(G1058:I1075,$B1086&amp;" ~*")&gt;0)+(IFERROR(INDEX(Setup!$G$33:$G$40,MATCH(K1086,Setup!$B$33:$B$40,0)),0)=1)*(COUNTIF(K1058:M1075,$B1086)+COUNTIF(K1058:M1075,$B1086&amp;" ~*")&gt;0)+(IFERROR(INDEX(Setup!$G$33:$G$40,MATCH(O1086,Setup!$B$33:$B$40,0)),0)=1)*(COUNTIF(O1058:Q1075,$B1086)+COUNTIF(O1058:Q1075,$B1086&amp;" ~*")&gt;0)+(IFERROR(INDEX(Setup!$G$33:$G$40,MATCH(S1086,Setup!$B$33:$B$40,0)),0)=1)*(COUNTIF(S1058:U1075,$B1086)+COUNTIF(S1058:U1075,$B1086&amp;" ~*")&gt;0)+(IFERROR(INDEX(Setup!$G$33:$G$40,MATCH(W1086,Setup!$B$33:$B$40,0)),0)=1)*(COUNTIF(W1058:W1075,$B1086)+COUNTIF(W1058:W1075,$B1086&amp;" ~*")&gt;0)+(IFERROR(INDEX(Setup!$G$33:$G$40,MATCH(Y1086,Setup!$B$33:$B$40,0)),0)=1)*(COUNTIF(Y1058:Y1075,$B1086)+COUNTIF(Y1058:Y1075,$B1086&amp;" ~*")&gt;0))</f>
        <v/>
      </c>
    </row>
    <row r="1087" ht="15" customHeight="1">
      <c r="A1087" t="n">
        <v>22</v>
      </c>
      <c r="B1087" s="35">
        <f>IF(Setup!$B$16="","",Setup!$B$16)</f>
        <v/>
      </c>
      <c r="C1087" s="98" t="n"/>
      <c r="D1087" s="99" t="n"/>
      <c r="E1087" s="99" t="n"/>
      <c r="F1087" s="100" t="n"/>
      <c r="G1087" s="98" t="n"/>
      <c r="H1087" s="99" t="n"/>
      <c r="I1087" s="99" t="n"/>
      <c r="J1087" s="100" t="n"/>
      <c r="K1087" s="98" t="n"/>
      <c r="L1087" s="99" t="n"/>
      <c r="M1087" s="99" t="n"/>
      <c r="N1087" s="100" t="n"/>
      <c r="O1087" s="98" t="n"/>
      <c r="P1087" s="99" t="n"/>
      <c r="Q1087" s="99" t="n"/>
      <c r="R1087" s="100" t="n"/>
      <c r="S1087" s="98" t="n"/>
      <c r="T1087" s="99" t="n"/>
      <c r="U1087" s="99" t="n"/>
      <c r="V1087" s="100" t="n"/>
      <c r="W1087" s="98" t="n"/>
      <c r="X1087" s="100" t="n"/>
      <c r="Y1087" s="98" t="n"/>
      <c r="Z1087" s="100" t="n"/>
      <c r="AB1087" s="101">
        <f>IF($B1087="","",(COUNTIF(C1058:E1075,$B1087)+COUNTIF(C1058:E1075,$B1087&amp;" ~*")&gt;0)+(COUNTIF(G1058:I1075,$B1087)+COUNTIF(G1058:I1075,$B1087&amp;" ~*")&gt;0)+(COUNTIF(K1058:M1075,$B1087)+COUNTIF(K1058:M1075,$B1087&amp;" ~*")&gt;0)+(COUNTIF(O1058:Q1075,$B1087)+COUNTIF(O1058:Q1075,$B1087&amp;" ~*")&gt;0)+(COUNTIF(S1058:U1075,$B1087)+COUNTIF(S1058:U1075,$B1087&amp;" ~*")&gt;0)+(COUNTIF(W1058:W1075,$B1087)+COUNTIF(W1058:W1075,$B1087&amp;" ~*")&gt;0)+(COUNTIF(Y1058:Y1075,$B1087)+COUNTIF(Y1058:Y1075,$B1087&amp;" ~*")&gt;0))</f>
        <v/>
      </c>
      <c r="AC1087" s="36">
        <f>IF($B1087="","",(IFERROR(INDEX(Setup!$G$33:$G$40,MATCH(C1087,Setup!$B$33:$B$40,0)),0)=1)*(COUNTIF(C1058:E1075,$B1087)+COUNTIF(C1058:E1075,$B1087&amp;" ~*")&gt;0)+(IFERROR(INDEX(Setup!$G$33:$G$40,MATCH(G1087,Setup!$B$33:$B$40,0)),0)=1)*(COUNTIF(G1058:I1075,$B1087)+COUNTIF(G1058:I1075,$B1087&amp;" ~*")&gt;0)+(IFERROR(INDEX(Setup!$G$33:$G$40,MATCH(K1087,Setup!$B$33:$B$40,0)),0)=1)*(COUNTIF(K1058:M1075,$B1087)+COUNTIF(K1058:M1075,$B1087&amp;" ~*")&gt;0)+(IFERROR(INDEX(Setup!$G$33:$G$40,MATCH(O1087,Setup!$B$33:$B$40,0)),0)=1)*(COUNTIF(O1058:Q1075,$B1087)+COUNTIF(O1058:Q1075,$B1087&amp;" ~*")&gt;0)+(IFERROR(INDEX(Setup!$G$33:$G$40,MATCH(S1087,Setup!$B$33:$B$40,0)),0)=1)*(COUNTIF(S1058:U1075,$B1087)+COUNTIF(S1058:U1075,$B1087&amp;" ~*")&gt;0)+(IFERROR(INDEX(Setup!$G$33:$G$40,MATCH(W1087,Setup!$B$33:$B$40,0)),0)=1)*(COUNTIF(W1058:W1075,$B1087)+COUNTIF(W1058:W1075,$B1087&amp;" ~*")&gt;0)+(IFERROR(INDEX(Setup!$G$33:$G$40,MATCH(Y1087,Setup!$B$33:$B$40,0)),0)=1)*(COUNTIF(Y1058:Y1075,$B1087)+COUNTIF(Y1058:Y1075,$B1087&amp;" ~*")&gt;0))</f>
        <v/>
      </c>
    </row>
    <row r="1088" ht="15" customHeight="1">
      <c r="A1088" t="n">
        <v>22</v>
      </c>
      <c r="B1088" s="37">
        <f>IF(Setup!$B$17="","",Setup!$B$17)</f>
        <v/>
      </c>
      <c r="C1088" s="102" t="n"/>
      <c r="D1088" s="103" t="n"/>
      <c r="E1088" s="103" t="n"/>
      <c r="F1088" s="104" t="n"/>
      <c r="G1088" s="102" t="n"/>
      <c r="H1088" s="103" t="n"/>
      <c r="I1088" s="103" t="n"/>
      <c r="J1088" s="104" t="n"/>
      <c r="K1088" s="102" t="n"/>
      <c r="L1088" s="103" t="n"/>
      <c r="M1088" s="103" t="n"/>
      <c r="N1088" s="104" t="n"/>
      <c r="O1088" s="102" t="n"/>
      <c r="P1088" s="103" t="n"/>
      <c r="Q1088" s="103" t="n"/>
      <c r="R1088" s="104" t="n"/>
      <c r="S1088" s="102" t="n"/>
      <c r="T1088" s="103" t="n"/>
      <c r="U1088" s="103" t="n"/>
      <c r="V1088" s="104" t="n"/>
      <c r="W1088" s="102" t="n"/>
      <c r="X1088" s="104" t="n"/>
      <c r="Y1088" s="102" t="n"/>
      <c r="Z1088" s="104" t="n"/>
      <c r="AB1088" s="105">
        <f>IF($B1088="","",(COUNTIF(C1058:E1075,$B1088)+COUNTIF(C1058:E1075,$B1088&amp;" ~*")&gt;0)+(COUNTIF(G1058:I1075,$B1088)+COUNTIF(G1058:I1075,$B1088&amp;" ~*")&gt;0)+(COUNTIF(K1058:M1075,$B1088)+COUNTIF(K1058:M1075,$B1088&amp;" ~*")&gt;0)+(COUNTIF(O1058:Q1075,$B1088)+COUNTIF(O1058:Q1075,$B1088&amp;" ~*")&gt;0)+(COUNTIF(S1058:U1075,$B1088)+COUNTIF(S1058:U1075,$B1088&amp;" ~*")&gt;0)+(COUNTIF(W1058:W1075,$B1088)+COUNTIF(W1058:W1075,$B1088&amp;" ~*")&gt;0)+(COUNTIF(Y1058:Y1075,$B1088)+COUNTIF(Y1058:Y1075,$B1088&amp;" ~*")&gt;0))</f>
        <v/>
      </c>
      <c r="AC1088" s="38">
        <f>IF($B1088="","",(IFERROR(INDEX(Setup!$G$33:$G$40,MATCH(C1088,Setup!$B$33:$B$40,0)),0)=1)*(COUNTIF(C1058:E1075,$B1088)+COUNTIF(C1058:E1075,$B1088&amp;" ~*")&gt;0)+(IFERROR(INDEX(Setup!$G$33:$G$40,MATCH(G1088,Setup!$B$33:$B$40,0)),0)=1)*(COUNTIF(G1058:I1075,$B1088)+COUNTIF(G1058:I1075,$B1088&amp;" ~*")&gt;0)+(IFERROR(INDEX(Setup!$G$33:$G$40,MATCH(K1088,Setup!$B$33:$B$40,0)),0)=1)*(COUNTIF(K1058:M1075,$B1088)+COUNTIF(K1058:M1075,$B1088&amp;" ~*")&gt;0)+(IFERROR(INDEX(Setup!$G$33:$G$40,MATCH(O1088,Setup!$B$33:$B$40,0)),0)=1)*(COUNTIF(O1058:Q1075,$B1088)+COUNTIF(O1058:Q1075,$B1088&amp;" ~*")&gt;0)+(IFERROR(INDEX(Setup!$G$33:$G$40,MATCH(S1088,Setup!$B$33:$B$40,0)),0)=1)*(COUNTIF(S1058:U1075,$B1088)+COUNTIF(S1058:U1075,$B1088&amp;" ~*")&gt;0)+(IFERROR(INDEX(Setup!$G$33:$G$40,MATCH(W1088,Setup!$B$33:$B$40,0)),0)=1)*(COUNTIF(W1058:W1075,$B1088)+COUNTIF(W1058:W1075,$B1088&amp;" ~*")&gt;0)+(IFERROR(INDEX(Setup!$G$33:$G$40,MATCH(Y1088,Setup!$B$33:$B$40,0)),0)=1)*(COUNTIF(Y1058:Y1075,$B1088)+COUNTIF(Y1058:Y1075,$B1088&amp;" ~*")&gt;0))</f>
        <v/>
      </c>
    </row>
    <row r="1089" ht="15" customHeight="1">
      <c r="A1089" t="n">
        <v>22</v>
      </c>
      <c r="B1089" s="35">
        <f>IF(Setup!$B$18="","",Setup!$B$18)</f>
        <v/>
      </c>
      <c r="C1089" s="98" t="n"/>
      <c r="D1089" s="99" t="n"/>
      <c r="E1089" s="99" t="n"/>
      <c r="F1089" s="100" t="n"/>
      <c r="G1089" s="98" t="n"/>
      <c r="H1089" s="99" t="n"/>
      <c r="I1089" s="99" t="n"/>
      <c r="J1089" s="100" t="n"/>
      <c r="K1089" s="98" t="n"/>
      <c r="L1089" s="99" t="n"/>
      <c r="M1089" s="99" t="n"/>
      <c r="N1089" s="100" t="n"/>
      <c r="O1089" s="98" t="n"/>
      <c r="P1089" s="99" t="n"/>
      <c r="Q1089" s="99" t="n"/>
      <c r="R1089" s="100" t="n"/>
      <c r="S1089" s="98" t="n"/>
      <c r="T1089" s="99" t="n"/>
      <c r="U1089" s="99" t="n"/>
      <c r="V1089" s="100" t="n"/>
      <c r="W1089" s="98" t="n"/>
      <c r="X1089" s="100" t="n"/>
      <c r="Y1089" s="98" t="n"/>
      <c r="Z1089" s="100" t="n"/>
      <c r="AB1089" s="101">
        <f>IF($B1089="","",(COUNTIF(C1058:E1075,$B1089)+COUNTIF(C1058:E1075,$B1089&amp;" ~*")&gt;0)+(COUNTIF(G1058:I1075,$B1089)+COUNTIF(G1058:I1075,$B1089&amp;" ~*")&gt;0)+(COUNTIF(K1058:M1075,$B1089)+COUNTIF(K1058:M1075,$B1089&amp;" ~*")&gt;0)+(COUNTIF(O1058:Q1075,$B1089)+COUNTIF(O1058:Q1075,$B1089&amp;" ~*")&gt;0)+(COUNTIF(S1058:U1075,$B1089)+COUNTIF(S1058:U1075,$B1089&amp;" ~*")&gt;0)+(COUNTIF(W1058:W1075,$B1089)+COUNTIF(W1058:W1075,$B1089&amp;" ~*")&gt;0)+(COUNTIF(Y1058:Y1075,$B1089)+COUNTIF(Y1058:Y1075,$B1089&amp;" ~*")&gt;0))</f>
        <v/>
      </c>
      <c r="AC1089" s="36">
        <f>IF($B1089="","",(IFERROR(INDEX(Setup!$G$33:$G$40,MATCH(C1089,Setup!$B$33:$B$40,0)),0)=1)*(COUNTIF(C1058:E1075,$B1089)+COUNTIF(C1058:E1075,$B1089&amp;" ~*")&gt;0)+(IFERROR(INDEX(Setup!$G$33:$G$40,MATCH(G1089,Setup!$B$33:$B$40,0)),0)=1)*(COUNTIF(G1058:I1075,$B1089)+COUNTIF(G1058:I1075,$B1089&amp;" ~*")&gt;0)+(IFERROR(INDEX(Setup!$G$33:$G$40,MATCH(K1089,Setup!$B$33:$B$40,0)),0)=1)*(COUNTIF(K1058:M1075,$B1089)+COUNTIF(K1058:M1075,$B1089&amp;" ~*")&gt;0)+(IFERROR(INDEX(Setup!$G$33:$G$40,MATCH(O1089,Setup!$B$33:$B$40,0)),0)=1)*(COUNTIF(O1058:Q1075,$B1089)+COUNTIF(O1058:Q1075,$B1089&amp;" ~*")&gt;0)+(IFERROR(INDEX(Setup!$G$33:$G$40,MATCH(S1089,Setup!$B$33:$B$40,0)),0)=1)*(COUNTIF(S1058:U1075,$B1089)+COUNTIF(S1058:U1075,$B1089&amp;" ~*")&gt;0)+(IFERROR(INDEX(Setup!$G$33:$G$40,MATCH(W1089,Setup!$B$33:$B$40,0)),0)=1)*(COUNTIF(W1058:W1075,$B1089)+COUNTIF(W1058:W1075,$B1089&amp;" ~*")&gt;0)+(IFERROR(INDEX(Setup!$G$33:$G$40,MATCH(Y1089,Setup!$B$33:$B$40,0)),0)=1)*(COUNTIF(Y1058:Y1075,$B1089)+COUNTIF(Y1058:Y1075,$B1089&amp;" ~*")&gt;0))</f>
        <v/>
      </c>
    </row>
    <row r="1090" ht="15" customHeight="1">
      <c r="A1090" t="n">
        <v>22</v>
      </c>
      <c r="B1090" s="37">
        <f>IF(Setup!$B$19="","",Setup!$B$19)</f>
        <v/>
      </c>
      <c r="C1090" s="102" t="n"/>
      <c r="D1090" s="103" t="n"/>
      <c r="E1090" s="103" t="n"/>
      <c r="F1090" s="104" t="n"/>
      <c r="G1090" s="102" t="n"/>
      <c r="H1090" s="103" t="n"/>
      <c r="I1090" s="103" t="n"/>
      <c r="J1090" s="104" t="n"/>
      <c r="K1090" s="102" t="n"/>
      <c r="L1090" s="103" t="n"/>
      <c r="M1090" s="103" t="n"/>
      <c r="N1090" s="104" t="n"/>
      <c r="O1090" s="102" t="n"/>
      <c r="P1090" s="103" t="n"/>
      <c r="Q1090" s="103" t="n"/>
      <c r="R1090" s="104" t="n"/>
      <c r="S1090" s="102" t="n"/>
      <c r="T1090" s="103" t="n"/>
      <c r="U1090" s="103" t="n"/>
      <c r="V1090" s="104" t="n"/>
      <c r="W1090" s="102" t="n"/>
      <c r="X1090" s="104" t="n"/>
      <c r="Y1090" s="102" t="n"/>
      <c r="Z1090" s="104" t="n"/>
      <c r="AB1090" s="105">
        <f>IF($B1090="","",(COUNTIF(C1058:E1075,$B1090)+COUNTIF(C1058:E1075,$B1090&amp;" ~*")&gt;0)+(COUNTIF(G1058:I1075,$B1090)+COUNTIF(G1058:I1075,$B1090&amp;" ~*")&gt;0)+(COUNTIF(K1058:M1075,$B1090)+COUNTIF(K1058:M1075,$B1090&amp;" ~*")&gt;0)+(COUNTIF(O1058:Q1075,$B1090)+COUNTIF(O1058:Q1075,$B1090&amp;" ~*")&gt;0)+(COUNTIF(S1058:U1075,$B1090)+COUNTIF(S1058:U1075,$B1090&amp;" ~*")&gt;0)+(COUNTIF(W1058:W1075,$B1090)+COUNTIF(W1058:W1075,$B1090&amp;" ~*")&gt;0)+(COUNTIF(Y1058:Y1075,$B1090)+COUNTIF(Y1058:Y1075,$B1090&amp;" ~*")&gt;0))</f>
        <v/>
      </c>
      <c r="AC1090" s="38">
        <f>IF($B1090="","",(IFERROR(INDEX(Setup!$G$33:$G$40,MATCH(C1090,Setup!$B$33:$B$40,0)),0)=1)*(COUNTIF(C1058:E1075,$B1090)+COUNTIF(C1058:E1075,$B1090&amp;" ~*")&gt;0)+(IFERROR(INDEX(Setup!$G$33:$G$40,MATCH(G1090,Setup!$B$33:$B$40,0)),0)=1)*(COUNTIF(G1058:I1075,$B1090)+COUNTIF(G1058:I1075,$B1090&amp;" ~*")&gt;0)+(IFERROR(INDEX(Setup!$G$33:$G$40,MATCH(K1090,Setup!$B$33:$B$40,0)),0)=1)*(COUNTIF(K1058:M1075,$B1090)+COUNTIF(K1058:M1075,$B1090&amp;" ~*")&gt;0)+(IFERROR(INDEX(Setup!$G$33:$G$40,MATCH(O1090,Setup!$B$33:$B$40,0)),0)=1)*(COUNTIF(O1058:Q1075,$B1090)+COUNTIF(O1058:Q1075,$B1090&amp;" ~*")&gt;0)+(IFERROR(INDEX(Setup!$G$33:$G$40,MATCH(S1090,Setup!$B$33:$B$40,0)),0)=1)*(COUNTIF(S1058:U1075,$B1090)+COUNTIF(S1058:U1075,$B1090&amp;" ~*")&gt;0)+(IFERROR(INDEX(Setup!$G$33:$G$40,MATCH(W1090,Setup!$B$33:$B$40,0)),0)=1)*(COUNTIF(W1058:W1075,$B1090)+COUNTIF(W1058:W1075,$B1090&amp;" ~*")&gt;0)+(IFERROR(INDEX(Setup!$G$33:$G$40,MATCH(Y1090,Setup!$B$33:$B$40,0)),0)=1)*(COUNTIF(Y1058:Y1075,$B1090)+COUNTIF(Y1058:Y1075,$B1090&amp;" ~*")&gt;0))</f>
        <v/>
      </c>
    </row>
    <row r="1091" ht="15" customHeight="1">
      <c r="A1091" t="n">
        <v>22</v>
      </c>
      <c r="B1091" s="35">
        <f>IF(Setup!$B$20="","",Setup!$B$20)</f>
        <v/>
      </c>
      <c r="C1091" s="98" t="n"/>
      <c r="D1091" s="99" t="n"/>
      <c r="E1091" s="99" t="n"/>
      <c r="F1091" s="100" t="n"/>
      <c r="G1091" s="98" t="n"/>
      <c r="H1091" s="99" t="n"/>
      <c r="I1091" s="99" t="n"/>
      <c r="J1091" s="100" t="n"/>
      <c r="K1091" s="98" t="n"/>
      <c r="L1091" s="99" t="n"/>
      <c r="M1091" s="99" t="n"/>
      <c r="N1091" s="100" t="n"/>
      <c r="O1091" s="98" t="n"/>
      <c r="P1091" s="99" t="n"/>
      <c r="Q1091" s="99" t="n"/>
      <c r="R1091" s="100" t="n"/>
      <c r="S1091" s="98" t="n"/>
      <c r="T1091" s="99" t="n"/>
      <c r="U1091" s="99" t="n"/>
      <c r="V1091" s="100" t="n"/>
      <c r="W1091" s="98" t="n"/>
      <c r="X1091" s="100" t="n"/>
      <c r="Y1091" s="98" t="n"/>
      <c r="Z1091" s="100" t="n"/>
      <c r="AB1091" s="101">
        <f>IF($B1091="","",(COUNTIF(C1058:E1075,$B1091)+COUNTIF(C1058:E1075,$B1091&amp;" ~*")&gt;0)+(COUNTIF(G1058:I1075,$B1091)+COUNTIF(G1058:I1075,$B1091&amp;" ~*")&gt;0)+(COUNTIF(K1058:M1075,$B1091)+COUNTIF(K1058:M1075,$B1091&amp;" ~*")&gt;0)+(COUNTIF(O1058:Q1075,$B1091)+COUNTIF(O1058:Q1075,$B1091&amp;" ~*")&gt;0)+(COUNTIF(S1058:U1075,$B1091)+COUNTIF(S1058:U1075,$B1091&amp;" ~*")&gt;0)+(COUNTIF(W1058:W1075,$B1091)+COUNTIF(W1058:W1075,$B1091&amp;" ~*")&gt;0)+(COUNTIF(Y1058:Y1075,$B1091)+COUNTIF(Y1058:Y1075,$B1091&amp;" ~*")&gt;0))</f>
        <v/>
      </c>
      <c r="AC1091" s="36">
        <f>IF($B1091="","",(IFERROR(INDEX(Setup!$G$33:$G$40,MATCH(C1091,Setup!$B$33:$B$40,0)),0)=1)*(COUNTIF(C1058:E1075,$B1091)+COUNTIF(C1058:E1075,$B1091&amp;" ~*")&gt;0)+(IFERROR(INDEX(Setup!$G$33:$G$40,MATCH(G1091,Setup!$B$33:$B$40,0)),0)=1)*(COUNTIF(G1058:I1075,$B1091)+COUNTIF(G1058:I1075,$B1091&amp;" ~*")&gt;0)+(IFERROR(INDEX(Setup!$G$33:$G$40,MATCH(K1091,Setup!$B$33:$B$40,0)),0)=1)*(COUNTIF(K1058:M1075,$B1091)+COUNTIF(K1058:M1075,$B1091&amp;" ~*")&gt;0)+(IFERROR(INDEX(Setup!$G$33:$G$40,MATCH(O1091,Setup!$B$33:$B$40,0)),0)=1)*(COUNTIF(O1058:Q1075,$B1091)+COUNTIF(O1058:Q1075,$B1091&amp;" ~*")&gt;0)+(IFERROR(INDEX(Setup!$G$33:$G$40,MATCH(S1091,Setup!$B$33:$B$40,0)),0)=1)*(COUNTIF(S1058:U1075,$B1091)+COUNTIF(S1058:U1075,$B1091&amp;" ~*")&gt;0)+(IFERROR(INDEX(Setup!$G$33:$G$40,MATCH(W1091,Setup!$B$33:$B$40,0)),0)=1)*(COUNTIF(W1058:W1075,$B1091)+COUNTIF(W1058:W1075,$B1091&amp;" ~*")&gt;0)+(IFERROR(INDEX(Setup!$G$33:$G$40,MATCH(Y1091,Setup!$B$33:$B$40,0)),0)=1)*(COUNTIF(Y1058:Y1075,$B1091)+COUNTIF(Y1058:Y1075,$B1091&amp;" ~*")&gt;0))</f>
        <v/>
      </c>
    </row>
    <row r="1092" ht="15" customHeight="1">
      <c r="A1092" t="n">
        <v>22</v>
      </c>
      <c r="B1092" s="37">
        <f>IF(Setup!$B$21="","",Setup!$B$21)</f>
        <v/>
      </c>
      <c r="C1092" s="102" t="n"/>
      <c r="D1092" s="103" t="n"/>
      <c r="E1092" s="103" t="n"/>
      <c r="F1092" s="104" t="n"/>
      <c r="G1092" s="102" t="inlineStr">
        <is>
          <t>AL</t>
        </is>
      </c>
      <c r="H1092" s="103" t="n"/>
      <c r="I1092" s="103" t="n"/>
      <c r="J1092" s="104" t="n"/>
      <c r="K1092" s="102" t="inlineStr">
        <is>
          <t>AL</t>
        </is>
      </c>
      <c r="L1092" s="103" t="n"/>
      <c r="M1092" s="103" t="n"/>
      <c r="N1092" s="104" t="n"/>
      <c r="O1092" s="102" t="inlineStr">
        <is>
          <t>AL</t>
        </is>
      </c>
      <c r="P1092" s="103" t="n"/>
      <c r="Q1092" s="103" t="n"/>
      <c r="R1092" s="104" t="n"/>
      <c r="S1092" s="102" t="inlineStr">
        <is>
          <t>AL</t>
        </is>
      </c>
      <c r="T1092" s="103" t="n"/>
      <c r="U1092" s="103" t="n"/>
      <c r="V1092" s="104" t="n"/>
      <c r="W1092" s="102" t="n"/>
      <c r="X1092" s="104" t="n"/>
      <c r="Y1092" s="102" t="n"/>
      <c r="Z1092" s="104" t="n"/>
      <c r="AB1092" s="105">
        <f>IF($B1092="","",(COUNTIF(C1058:E1075,$B1092)+COUNTIF(C1058:E1075,$B1092&amp;" ~*")&gt;0)+(COUNTIF(G1058:I1075,$B1092)+COUNTIF(G1058:I1075,$B1092&amp;" ~*")&gt;0)+(COUNTIF(K1058:M1075,$B1092)+COUNTIF(K1058:M1075,$B1092&amp;" ~*")&gt;0)+(COUNTIF(O1058:Q1075,$B1092)+COUNTIF(O1058:Q1075,$B1092&amp;" ~*")&gt;0)+(COUNTIF(S1058:U1075,$B1092)+COUNTIF(S1058:U1075,$B1092&amp;" ~*")&gt;0)+(COUNTIF(W1058:W1075,$B1092)+COUNTIF(W1058:W1075,$B1092&amp;" ~*")&gt;0)+(COUNTIF(Y1058:Y1075,$B1092)+COUNTIF(Y1058:Y1075,$B1092&amp;" ~*")&gt;0))</f>
        <v/>
      </c>
      <c r="AC1092" s="38">
        <f>IF($B1092="","",(IFERROR(INDEX(Setup!$G$33:$G$40,MATCH(C1092,Setup!$B$33:$B$40,0)),0)=1)*(COUNTIF(C1058:E1075,$B1092)+COUNTIF(C1058:E1075,$B1092&amp;" ~*")&gt;0)+(IFERROR(INDEX(Setup!$G$33:$G$40,MATCH(G1092,Setup!$B$33:$B$40,0)),0)=1)*(COUNTIF(G1058:I1075,$B1092)+COUNTIF(G1058:I1075,$B1092&amp;" ~*")&gt;0)+(IFERROR(INDEX(Setup!$G$33:$G$40,MATCH(K1092,Setup!$B$33:$B$40,0)),0)=1)*(COUNTIF(K1058:M1075,$B1092)+COUNTIF(K1058:M1075,$B1092&amp;" ~*")&gt;0)+(IFERROR(INDEX(Setup!$G$33:$G$40,MATCH(O1092,Setup!$B$33:$B$40,0)),0)=1)*(COUNTIF(O1058:Q1075,$B1092)+COUNTIF(O1058:Q1075,$B1092&amp;" ~*")&gt;0)+(IFERROR(INDEX(Setup!$G$33:$G$40,MATCH(S1092,Setup!$B$33:$B$40,0)),0)=1)*(COUNTIF(S1058:U1075,$B1092)+COUNTIF(S1058:U1075,$B1092&amp;" ~*")&gt;0)+(IFERROR(INDEX(Setup!$G$33:$G$40,MATCH(W1092,Setup!$B$33:$B$40,0)),0)=1)*(COUNTIF(W1058:W1075,$B1092)+COUNTIF(W1058:W1075,$B1092&amp;" ~*")&gt;0)+(IFERROR(INDEX(Setup!$G$33:$G$40,MATCH(Y1092,Setup!$B$33:$B$40,0)),0)=1)*(COUNTIF(Y1058:Y1075,$B1092)+COUNTIF(Y1058:Y1075,$B1092&amp;" ~*")&gt;0))</f>
        <v/>
      </c>
    </row>
    <row r="1093" ht="15" customHeight="1">
      <c r="A1093" t="n">
        <v>22</v>
      </c>
      <c r="B1093" s="35">
        <f>IF(Setup!$B$22="","",Setup!$B$22)</f>
        <v/>
      </c>
      <c r="C1093" s="98" t="n"/>
      <c r="D1093" s="99" t="n"/>
      <c r="E1093" s="99" t="n"/>
      <c r="F1093" s="100" t="n"/>
      <c r="G1093" s="98" t="n"/>
      <c r="H1093" s="99" t="n"/>
      <c r="I1093" s="99" t="n"/>
      <c r="J1093" s="100" t="n"/>
      <c r="K1093" s="98" t="n"/>
      <c r="L1093" s="99" t="n"/>
      <c r="M1093" s="99" t="n"/>
      <c r="N1093" s="100" t="n"/>
      <c r="O1093" s="98" t="n"/>
      <c r="P1093" s="99" t="n"/>
      <c r="Q1093" s="99" t="n"/>
      <c r="R1093" s="100" t="n"/>
      <c r="S1093" s="98" t="n"/>
      <c r="T1093" s="99" t="n"/>
      <c r="U1093" s="99" t="n"/>
      <c r="V1093" s="100" t="n"/>
      <c r="W1093" s="98" t="n"/>
      <c r="X1093" s="100" t="n"/>
      <c r="Y1093" s="98" t="n"/>
      <c r="Z1093" s="100" t="n"/>
      <c r="AB1093" s="101">
        <f>IF($B1093="","",(COUNTIF(C1058:E1075,$B1093)+COUNTIF(C1058:E1075,$B1093&amp;" ~*")&gt;0)+(COUNTIF(G1058:I1075,$B1093)+COUNTIF(G1058:I1075,$B1093&amp;" ~*")&gt;0)+(COUNTIF(K1058:M1075,$B1093)+COUNTIF(K1058:M1075,$B1093&amp;" ~*")&gt;0)+(COUNTIF(O1058:Q1075,$B1093)+COUNTIF(O1058:Q1075,$B1093&amp;" ~*")&gt;0)+(COUNTIF(S1058:U1075,$B1093)+COUNTIF(S1058:U1075,$B1093&amp;" ~*")&gt;0)+(COUNTIF(W1058:W1075,$B1093)+COUNTIF(W1058:W1075,$B1093&amp;" ~*")&gt;0)+(COUNTIF(Y1058:Y1075,$B1093)+COUNTIF(Y1058:Y1075,$B1093&amp;" ~*")&gt;0))</f>
        <v/>
      </c>
      <c r="AC1093" s="36">
        <f>IF($B1093="","",(IFERROR(INDEX(Setup!$G$33:$G$40,MATCH(C1093,Setup!$B$33:$B$40,0)),0)=1)*(COUNTIF(C1058:E1075,$B1093)+COUNTIF(C1058:E1075,$B1093&amp;" ~*")&gt;0)+(IFERROR(INDEX(Setup!$G$33:$G$40,MATCH(G1093,Setup!$B$33:$B$40,0)),0)=1)*(COUNTIF(G1058:I1075,$B1093)+COUNTIF(G1058:I1075,$B1093&amp;" ~*")&gt;0)+(IFERROR(INDEX(Setup!$G$33:$G$40,MATCH(K1093,Setup!$B$33:$B$40,0)),0)=1)*(COUNTIF(K1058:M1075,$B1093)+COUNTIF(K1058:M1075,$B1093&amp;" ~*")&gt;0)+(IFERROR(INDEX(Setup!$G$33:$G$40,MATCH(O1093,Setup!$B$33:$B$40,0)),0)=1)*(COUNTIF(O1058:Q1075,$B1093)+COUNTIF(O1058:Q1075,$B1093&amp;" ~*")&gt;0)+(IFERROR(INDEX(Setup!$G$33:$G$40,MATCH(S1093,Setup!$B$33:$B$40,0)),0)=1)*(COUNTIF(S1058:U1075,$B1093)+COUNTIF(S1058:U1075,$B1093&amp;" ~*")&gt;0)+(IFERROR(INDEX(Setup!$G$33:$G$40,MATCH(W1093,Setup!$B$33:$B$40,0)),0)=1)*(COUNTIF(W1058:W1075,$B1093)+COUNTIF(W1058:W1075,$B1093&amp;" ~*")&gt;0)+(IFERROR(INDEX(Setup!$G$33:$G$40,MATCH(Y1093,Setup!$B$33:$B$40,0)),0)=1)*(COUNTIF(Y1058:Y1075,$B1093)+COUNTIF(Y1058:Y1075,$B1093&amp;" ~*")&gt;0))</f>
        <v/>
      </c>
    </row>
    <row r="1094" ht="15" customHeight="1">
      <c r="A1094" t="n">
        <v>22</v>
      </c>
      <c r="B1094" s="37">
        <f>IF(Setup!$B$23="","",Setup!$B$23)</f>
        <v/>
      </c>
      <c r="C1094" s="102" t="n"/>
      <c r="D1094" s="103" t="n"/>
      <c r="E1094" s="103" t="n"/>
      <c r="F1094" s="104" t="n"/>
      <c r="G1094" s="102" t="n"/>
      <c r="H1094" s="103" t="n"/>
      <c r="I1094" s="103" t="n"/>
      <c r="J1094" s="104" t="n"/>
      <c r="K1094" s="102" t="n"/>
      <c r="L1094" s="103" t="n"/>
      <c r="M1094" s="103" t="n"/>
      <c r="N1094" s="104" t="n"/>
      <c r="O1094" s="102" t="n"/>
      <c r="P1094" s="103" t="n"/>
      <c r="Q1094" s="103" t="n"/>
      <c r="R1094" s="104" t="n"/>
      <c r="S1094" s="102" t="n"/>
      <c r="T1094" s="103" t="n"/>
      <c r="U1094" s="103" t="n"/>
      <c r="V1094" s="104" t="n"/>
      <c r="W1094" s="102" t="n"/>
      <c r="X1094" s="104" t="n"/>
      <c r="Y1094" s="102" t="n"/>
      <c r="Z1094" s="104" t="n"/>
      <c r="AB1094" s="105">
        <f>IF($B1094="","",(COUNTIF(C1058:E1075,$B1094)+COUNTIF(C1058:E1075,$B1094&amp;" ~*")&gt;0)+(COUNTIF(G1058:I1075,$B1094)+COUNTIF(G1058:I1075,$B1094&amp;" ~*")&gt;0)+(COUNTIF(K1058:M1075,$B1094)+COUNTIF(K1058:M1075,$B1094&amp;" ~*")&gt;0)+(COUNTIF(O1058:Q1075,$B1094)+COUNTIF(O1058:Q1075,$B1094&amp;" ~*")&gt;0)+(COUNTIF(S1058:U1075,$B1094)+COUNTIF(S1058:U1075,$B1094&amp;" ~*")&gt;0)+(COUNTIF(W1058:W1075,$B1094)+COUNTIF(W1058:W1075,$B1094&amp;" ~*")&gt;0)+(COUNTIF(Y1058:Y1075,$B1094)+COUNTIF(Y1058:Y1075,$B1094&amp;" ~*")&gt;0))</f>
        <v/>
      </c>
      <c r="AC1094" s="38">
        <f>IF($B1094="","",(IFERROR(INDEX(Setup!$G$33:$G$40,MATCH(C1094,Setup!$B$33:$B$40,0)),0)=1)*(COUNTIF(C1058:E1075,$B1094)+COUNTIF(C1058:E1075,$B1094&amp;" ~*")&gt;0)+(IFERROR(INDEX(Setup!$G$33:$G$40,MATCH(G1094,Setup!$B$33:$B$40,0)),0)=1)*(COUNTIF(G1058:I1075,$B1094)+COUNTIF(G1058:I1075,$B1094&amp;" ~*")&gt;0)+(IFERROR(INDEX(Setup!$G$33:$G$40,MATCH(K1094,Setup!$B$33:$B$40,0)),0)=1)*(COUNTIF(K1058:M1075,$B1094)+COUNTIF(K1058:M1075,$B1094&amp;" ~*")&gt;0)+(IFERROR(INDEX(Setup!$G$33:$G$40,MATCH(O1094,Setup!$B$33:$B$40,0)),0)=1)*(COUNTIF(O1058:Q1075,$B1094)+COUNTIF(O1058:Q1075,$B1094&amp;" ~*")&gt;0)+(IFERROR(INDEX(Setup!$G$33:$G$40,MATCH(S1094,Setup!$B$33:$B$40,0)),0)=1)*(COUNTIF(S1058:U1075,$B1094)+COUNTIF(S1058:U1075,$B1094&amp;" ~*")&gt;0)+(IFERROR(INDEX(Setup!$G$33:$G$40,MATCH(W1094,Setup!$B$33:$B$40,0)),0)=1)*(COUNTIF(W1058:W1075,$B1094)+COUNTIF(W1058:W1075,$B1094&amp;" ~*")&gt;0)+(IFERROR(INDEX(Setup!$G$33:$G$40,MATCH(Y1094,Setup!$B$33:$B$40,0)),0)=1)*(COUNTIF(Y1058:Y1075,$B1094)+COUNTIF(Y1058:Y1075,$B1094&amp;" ~*")&gt;0))</f>
        <v/>
      </c>
    </row>
    <row r="1095" ht="15" customHeight="1">
      <c r="A1095" t="n">
        <v>22</v>
      </c>
      <c r="B1095" s="35">
        <f>IF(Setup!$B$24="","",Setup!$B$24)</f>
        <v/>
      </c>
      <c r="C1095" s="98" t="n"/>
      <c r="D1095" s="99" t="n"/>
      <c r="E1095" s="99" t="n"/>
      <c r="F1095" s="100" t="n"/>
      <c r="G1095" s="98" t="n"/>
      <c r="H1095" s="99" t="n"/>
      <c r="I1095" s="99" t="n"/>
      <c r="J1095" s="100" t="n"/>
      <c r="K1095" s="98" t="n"/>
      <c r="L1095" s="99" t="n"/>
      <c r="M1095" s="99" t="n"/>
      <c r="N1095" s="100" t="n"/>
      <c r="O1095" s="98" t="n"/>
      <c r="P1095" s="99" t="n"/>
      <c r="Q1095" s="99" t="n"/>
      <c r="R1095" s="100" t="n"/>
      <c r="S1095" s="98" t="n"/>
      <c r="T1095" s="99" t="n"/>
      <c r="U1095" s="99" t="n"/>
      <c r="V1095" s="100" t="n"/>
      <c r="W1095" s="98" t="n"/>
      <c r="X1095" s="100" t="n"/>
      <c r="Y1095" s="98" t="n"/>
      <c r="Z1095" s="100" t="n"/>
      <c r="AB1095" s="101">
        <f>IF($B1095="","",(COUNTIF(C1058:E1075,$B1095)+COUNTIF(C1058:E1075,$B1095&amp;" ~*")&gt;0)+(COUNTIF(G1058:I1075,$B1095)+COUNTIF(G1058:I1075,$B1095&amp;" ~*")&gt;0)+(COUNTIF(K1058:M1075,$B1095)+COUNTIF(K1058:M1075,$B1095&amp;" ~*")&gt;0)+(COUNTIF(O1058:Q1075,$B1095)+COUNTIF(O1058:Q1075,$B1095&amp;" ~*")&gt;0)+(COUNTIF(S1058:U1075,$B1095)+COUNTIF(S1058:U1075,$B1095&amp;" ~*")&gt;0)+(COUNTIF(W1058:W1075,$B1095)+COUNTIF(W1058:W1075,$B1095&amp;" ~*")&gt;0)+(COUNTIF(Y1058:Y1075,$B1095)+COUNTIF(Y1058:Y1075,$B1095&amp;" ~*")&gt;0))</f>
        <v/>
      </c>
      <c r="AC1095" s="36">
        <f>IF($B1095="","",(IFERROR(INDEX(Setup!$G$33:$G$40,MATCH(C1095,Setup!$B$33:$B$40,0)),0)=1)*(COUNTIF(C1058:E1075,$B1095)+COUNTIF(C1058:E1075,$B1095&amp;" ~*")&gt;0)+(IFERROR(INDEX(Setup!$G$33:$G$40,MATCH(G1095,Setup!$B$33:$B$40,0)),0)=1)*(COUNTIF(G1058:I1075,$B1095)+COUNTIF(G1058:I1075,$B1095&amp;" ~*")&gt;0)+(IFERROR(INDEX(Setup!$G$33:$G$40,MATCH(K1095,Setup!$B$33:$B$40,0)),0)=1)*(COUNTIF(K1058:M1075,$B1095)+COUNTIF(K1058:M1075,$B1095&amp;" ~*")&gt;0)+(IFERROR(INDEX(Setup!$G$33:$G$40,MATCH(O1095,Setup!$B$33:$B$40,0)),0)=1)*(COUNTIF(O1058:Q1075,$B1095)+COUNTIF(O1058:Q1075,$B1095&amp;" ~*")&gt;0)+(IFERROR(INDEX(Setup!$G$33:$G$40,MATCH(S1095,Setup!$B$33:$B$40,0)),0)=1)*(COUNTIF(S1058:U1075,$B1095)+COUNTIF(S1058:U1075,$B1095&amp;" ~*")&gt;0)+(IFERROR(INDEX(Setup!$G$33:$G$40,MATCH(W1095,Setup!$B$33:$B$40,0)),0)=1)*(COUNTIF(W1058:W1075,$B1095)+COUNTIF(W1058:W1075,$B1095&amp;" ~*")&gt;0)+(IFERROR(INDEX(Setup!$G$33:$G$40,MATCH(Y1095,Setup!$B$33:$B$40,0)),0)=1)*(COUNTIF(Y1058:Y1075,$B1095)+COUNTIF(Y1058:Y1075,$B1095&amp;" ~*")&gt;0))</f>
        <v/>
      </c>
    </row>
    <row r="1096" ht="15" customHeight="1">
      <c r="A1096" t="n">
        <v>22</v>
      </c>
      <c r="B1096" s="37">
        <f>IF(Setup!$B$25="","",Setup!$B$25)</f>
        <v/>
      </c>
      <c r="C1096" s="102" t="n"/>
      <c r="D1096" s="103" t="n"/>
      <c r="E1096" s="103" t="n"/>
      <c r="F1096" s="104" t="n"/>
      <c r="G1096" s="102" t="n"/>
      <c r="H1096" s="103" t="n"/>
      <c r="I1096" s="103" t="n"/>
      <c r="J1096" s="104" t="n"/>
      <c r="K1096" s="102" t="n"/>
      <c r="L1096" s="103" t="n"/>
      <c r="M1096" s="103" t="n"/>
      <c r="N1096" s="104" t="n"/>
      <c r="O1096" s="102" t="n"/>
      <c r="P1096" s="103" t="n"/>
      <c r="Q1096" s="103" t="n"/>
      <c r="R1096" s="104" t="n"/>
      <c r="S1096" s="102" t="n"/>
      <c r="T1096" s="103" t="n"/>
      <c r="U1096" s="103" t="n"/>
      <c r="V1096" s="104" t="n"/>
      <c r="W1096" s="102" t="n"/>
      <c r="X1096" s="104" t="n"/>
      <c r="Y1096" s="102" t="n"/>
      <c r="Z1096" s="104" t="n"/>
      <c r="AB1096" s="105">
        <f>IF($B1096="","",(COUNTIF(C1058:E1075,$B1096)+COUNTIF(C1058:E1075,$B1096&amp;" ~*")&gt;0)+(COUNTIF(G1058:I1075,$B1096)+COUNTIF(G1058:I1075,$B1096&amp;" ~*")&gt;0)+(COUNTIF(K1058:M1075,$B1096)+COUNTIF(K1058:M1075,$B1096&amp;" ~*")&gt;0)+(COUNTIF(O1058:Q1075,$B1096)+COUNTIF(O1058:Q1075,$B1096&amp;" ~*")&gt;0)+(COUNTIF(S1058:U1075,$B1096)+COUNTIF(S1058:U1075,$B1096&amp;" ~*")&gt;0)+(COUNTIF(W1058:W1075,$B1096)+COUNTIF(W1058:W1075,$B1096&amp;" ~*")&gt;0)+(COUNTIF(Y1058:Y1075,$B1096)+COUNTIF(Y1058:Y1075,$B1096&amp;" ~*")&gt;0))</f>
        <v/>
      </c>
      <c r="AC1096" s="38">
        <f>IF($B1096="","",(IFERROR(INDEX(Setup!$G$33:$G$40,MATCH(C1096,Setup!$B$33:$B$40,0)),0)=1)*(COUNTIF(C1058:E1075,$B1096)+COUNTIF(C1058:E1075,$B1096&amp;" ~*")&gt;0)+(IFERROR(INDEX(Setup!$G$33:$G$40,MATCH(G1096,Setup!$B$33:$B$40,0)),0)=1)*(COUNTIF(G1058:I1075,$B1096)+COUNTIF(G1058:I1075,$B1096&amp;" ~*")&gt;0)+(IFERROR(INDEX(Setup!$G$33:$G$40,MATCH(K1096,Setup!$B$33:$B$40,0)),0)=1)*(COUNTIF(K1058:M1075,$B1096)+COUNTIF(K1058:M1075,$B1096&amp;" ~*")&gt;0)+(IFERROR(INDEX(Setup!$G$33:$G$40,MATCH(O1096,Setup!$B$33:$B$40,0)),0)=1)*(COUNTIF(O1058:Q1075,$B1096)+COUNTIF(O1058:Q1075,$B1096&amp;" ~*")&gt;0)+(IFERROR(INDEX(Setup!$G$33:$G$40,MATCH(S1096,Setup!$B$33:$B$40,0)),0)=1)*(COUNTIF(S1058:U1075,$B1096)+COUNTIF(S1058:U1075,$B1096&amp;" ~*")&gt;0)+(IFERROR(INDEX(Setup!$G$33:$G$40,MATCH(W1096,Setup!$B$33:$B$40,0)),0)=1)*(COUNTIF(W1058:W1075,$B1096)+COUNTIF(W1058:W1075,$B1096&amp;" ~*")&gt;0)+(IFERROR(INDEX(Setup!$G$33:$G$40,MATCH(Y1096,Setup!$B$33:$B$40,0)),0)=1)*(COUNTIF(Y1058:Y1075,$B1096)+COUNTIF(Y1058:Y1075,$B1096&amp;" ~*")&gt;0))</f>
        <v/>
      </c>
    </row>
    <row r="1097" ht="15" customHeight="1">
      <c r="A1097" t="n">
        <v>22</v>
      </c>
      <c r="B1097" s="35">
        <f>IF(Setup!$B$26="","",Setup!$B$26)</f>
        <v/>
      </c>
      <c r="C1097" s="98" t="n"/>
      <c r="D1097" s="99" t="n"/>
      <c r="E1097" s="99" t="n"/>
      <c r="F1097" s="100" t="n"/>
      <c r="G1097" s="98" t="n"/>
      <c r="H1097" s="99" t="n"/>
      <c r="I1097" s="99" t="n"/>
      <c r="J1097" s="100" t="n"/>
      <c r="K1097" s="98" t="n"/>
      <c r="L1097" s="99" t="n"/>
      <c r="M1097" s="99" t="n"/>
      <c r="N1097" s="100" t="n"/>
      <c r="O1097" s="98" t="n"/>
      <c r="P1097" s="99" t="n"/>
      <c r="Q1097" s="99" t="n"/>
      <c r="R1097" s="100" t="n"/>
      <c r="S1097" s="98" t="n"/>
      <c r="T1097" s="99" t="n"/>
      <c r="U1097" s="99" t="n"/>
      <c r="V1097" s="100" t="n"/>
      <c r="W1097" s="98" t="n"/>
      <c r="X1097" s="100" t="n"/>
      <c r="Y1097" s="98" t="n"/>
      <c r="Z1097" s="100" t="n"/>
      <c r="AB1097" s="101">
        <f>IF($B1097="","",(COUNTIF(C1058:E1075,$B1097)+COUNTIF(C1058:E1075,$B1097&amp;" ~*")&gt;0)+(COUNTIF(G1058:I1075,$B1097)+COUNTIF(G1058:I1075,$B1097&amp;" ~*")&gt;0)+(COUNTIF(K1058:M1075,$B1097)+COUNTIF(K1058:M1075,$B1097&amp;" ~*")&gt;0)+(COUNTIF(O1058:Q1075,$B1097)+COUNTIF(O1058:Q1075,$B1097&amp;" ~*")&gt;0)+(COUNTIF(S1058:U1075,$B1097)+COUNTIF(S1058:U1075,$B1097&amp;" ~*")&gt;0)+(COUNTIF(W1058:W1075,$B1097)+COUNTIF(W1058:W1075,$B1097&amp;" ~*")&gt;0)+(COUNTIF(Y1058:Y1075,$B1097)+COUNTIF(Y1058:Y1075,$B1097&amp;" ~*")&gt;0))</f>
        <v/>
      </c>
      <c r="AC1097" s="36">
        <f>IF($B1097="","",(IFERROR(INDEX(Setup!$G$33:$G$40,MATCH(C1097,Setup!$B$33:$B$40,0)),0)=1)*(COUNTIF(C1058:E1075,$B1097)+COUNTIF(C1058:E1075,$B1097&amp;" ~*")&gt;0)+(IFERROR(INDEX(Setup!$G$33:$G$40,MATCH(G1097,Setup!$B$33:$B$40,0)),0)=1)*(COUNTIF(G1058:I1075,$B1097)+COUNTIF(G1058:I1075,$B1097&amp;" ~*")&gt;0)+(IFERROR(INDEX(Setup!$G$33:$G$40,MATCH(K1097,Setup!$B$33:$B$40,0)),0)=1)*(COUNTIF(K1058:M1075,$B1097)+COUNTIF(K1058:M1075,$B1097&amp;" ~*")&gt;0)+(IFERROR(INDEX(Setup!$G$33:$G$40,MATCH(O1097,Setup!$B$33:$B$40,0)),0)=1)*(COUNTIF(O1058:Q1075,$B1097)+COUNTIF(O1058:Q1075,$B1097&amp;" ~*")&gt;0)+(IFERROR(INDEX(Setup!$G$33:$G$40,MATCH(S1097,Setup!$B$33:$B$40,0)),0)=1)*(COUNTIF(S1058:U1075,$B1097)+COUNTIF(S1058:U1075,$B1097&amp;" ~*")&gt;0)+(IFERROR(INDEX(Setup!$G$33:$G$40,MATCH(W1097,Setup!$B$33:$B$40,0)),0)=1)*(COUNTIF(W1058:W1075,$B1097)+COUNTIF(W1058:W1075,$B1097&amp;" ~*")&gt;0)+(IFERROR(INDEX(Setup!$G$33:$G$40,MATCH(Y1097,Setup!$B$33:$B$40,0)),0)=1)*(COUNTIF(Y1058:Y1075,$B1097)+COUNTIF(Y1058:Y1075,$B1097&amp;" ~*")&gt;0))</f>
        <v/>
      </c>
    </row>
    <row r="1098" ht="15" customHeight="1">
      <c r="A1098" t="n">
        <v>22</v>
      </c>
      <c r="B1098" s="37">
        <f>IF(Setup!$B$27="","",Setup!$B$27)</f>
        <v/>
      </c>
      <c r="C1098" s="102" t="n"/>
      <c r="D1098" s="103" t="n"/>
      <c r="E1098" s="103" t="n"/>
      <c r="F1098" s="104" t="n"/>
      <c r="G1098" s="102" t="n"/>
      <c r="H1098" s="103" t="n"/>
      <c r="I1098" s="103" t="n"/>
      <c r="J1098" s="104" t="n"/>
      <c r="K1098" s="102" t="n"/>
      <c r="L1098" s="103" t="n"/>
      <c r="M1098" s="103" t="n"/>
      <c r="N1098" s="104" t="n"/>
      <c r="O1098" s="102" t="n"/>
      <c r="P1098" s="103" t="n"/>
      <c r="Q1098" s="103" t="n"/>
      <c r="R1098" s="104" t="n"/>
      <c r="S1098" s="102" t="n"/>
      <c r="T1098" s="103" t="n"/>
      <c r="U1098" s="103" t="n"/>
      <c r="V1098" s="104" t="n"/>
      <c r="W1098" s="102" t="n"/>
      <c r="X1098" s="104" t="n"/>
      <c r="Y1098" s="102" t="n"/>
      <c r="Z1098" s="104" t="n"/>
      <c r="AB1098" s="105">
        <f>IF($B1098="","",(COUNTIF(C1058:E1075,$B1098)+COUNTIF(C1058:E1075,$B1098&amp;" ~*")&gt;0)+(COUNTIF(G1058:I1075,$B1098)+COUNTIF(G1058:I1075,$B1098&amp;" ~*")&gt;0)+(COUNTIF(K1058:M1075,$B1098)+COUNTIF(K1058:M1075,$B1098&amp;" ~*")&gt;0)+(COUNTIF(O1058:Q1075,$B1098)+COUNTIF(O1058:Q1075,$B1098&amp;" ~*")&gt;0)+(COUNTIF(S1058:U1075,$B1098)+COUNTIF(S1058:U1075,$B1098&amp;" ~*")&gt;0)+(COUNTIF(W1058:W1075,$B1098)+COUNTIF(W1058:W1075,$B1098&amp;" ~*")&gt;0)+(COUNTIF(Y1058:Y1075,$B1098)+COUNTIF(Y1058:Y1075,$B1098&amp;" ~*")&gt;0))</f>
        <v/>
      </c>
      <c r="AC1098" s="38">
        <f>IF($B1098="","",(IFERROR(INDEX(Setup!$G$33:$G$40,MATCH(C1098,Setup!$B$33:$B$40,0)),0)=1)*(COUNTIF(C1058:E1075,$B1098)+COUNTIF(C1058:E1075,$B1098&amp;" ~*")&gt;0)+(IFERROR(INDEX(Setup!$G$33:$G$40,MATCH(G1098,Setup!$B$33:$B$40,0)),0)=1)*(COUNTIF(G1058:I1075,$B1098)+COUNTIF(G1058:I1075,$B1098&amp;" ~*")&gt;0)+(IFERROR(INDEX(Setup!$G$33:$G$40,MATCH(K1098,Setup!$B$33:$B$40,0)),0)=1)*(COUNTIF(K1058:M1075,$B1098)+COUNTIF(K1058:M1075,$B1098&amp;" ~*")&gt;0)+(IFERROR(INDEX(Setup!$G$33:$G$40,MATCH(O1098,Setup!$B$33:$B$40,0)),0)=1)*(COUNTIF(O1058:Q1075,$B1098)+COUNTIF(O1058:Q1075,$B1098&amp;" ~*")&gt;0)+(IFERROR(INDEX(Setup!$G$33:$G$40,MATCH(S1098,Setup!$B$33:$B$40,0)),0)=1)*(COUNTIF(S1058:U1075,$B1098)+COUNTIF(S1058:U1075,$B1098&amp;" ~*")&gt;0)+(IFERROR(INDEX(Setup!$G$33:$G$40,MATCH(W1098,Setup!$B$33:$B$40,0)),0)=1)*(COUNTIF(W1058:W1075,$B1098)+COUNTIF(W1058:W1075,$B1098&amp;" ~*")&gt;0)+(IFERROR(INDEX(Setup!$G$33:$G$40,MATCH(Y1098,Setup!$B$33:$B$40,0)),0)=1)*(COUNTIF(Y1058:Y1075,$B1098)+COUNTIF(Y1058:Y1075,$B1098&amp;" ~*")&gt;0))</f>
        <v/>
      </c>
    </row>
    <row r="1099" ht="15" customHeight="1">
      <c r="A1099" t="n">
        <v>22</v>
      </c>
      <c r="B1099" s="35">
        <f>IF(Setup!$B$28="","",Setup!$B$28)</f>
        <v/>
      </c>
      <c r="C1099" s="98" t="n"/>
      <c r="D1099" s="99" t="n"/>
      <c r="E1099" s="99" t="n"/>
      <c r="F1099" s="100" t="n"/>
      <c r="G1099" s="98" t="n"/>
      <c r="H1099" s="99" t="n"/>
      <c r="I1099" s="99" t="n"/>
      <c r="J1099" s="100" t="n"/>
      <c r="K1099" s="98" t="n"/>
      <c r="L1099" s="99" t="n"/>
      <c r="M1099" s="99" t="n"/>
      <c r="N1099" s="100" t="n"/>
      <c r="O1099" s="98" t="n"/>
      <c r="P1099" s="99" t="n"/>
      <c r="Q1099" s="99" t="n"/>
      <c r="R1099" s="100" t="n"/>
      <c r="S1099" s="98" t="n"/>
      <c r="T1099" s="99" t="n"/>
      <c r="U1099" s="99" t="n"/>
      <c r="V1099" s="100" t="n"/>
      <c r="W1099" s="98" t="n"/>
      <c r="X1099" s="100" t="n"/>
      <c r="Y1099" s="98" t="n"/>
      <c r="Z1099" s="100" t="n"/>
      <c r="AB1099" s="101">
        <f>IF($B1099="","",(COUNTIF(C1058:E1075,$B1099)+COUNTIF(C1058:E1075,$B1099&amp;" ~*")&gt;0)+(COUNTIF(G1058:I1075,$B1099)+COUNTIF(G1058:I1075,$B1099&amp;" ~*")&gt;0)+(COUNTIF(K1058:M1075,$B1099)+COUNTIF(K1058:M1075,$B1099&amp;" ~*")&gt;0)+(COUNTIF(O1058:Q1075,$B1099)+COUNTIF(O1058:Q1075,$B1099&amp;" ~*")&gt;0)+(COUNTIF(S1058:U1075,$B1099)+COUNTIF(S1058:U1075,$B1099&amp;" ~*")&gt;0)+(COUNTIF(W1058:W1075,$B1099)+COUNTIF(W1058:W1075,$B1099&amp;" ~*")&gt;0)+(COUNTIF(Y1058:Y1075,$B1099)+COUNTIF(Y1058:Y1075,$B1099&amp;" ~*")&gt;0))</f>
        <v/>
      </c>
      <c r="AC1099" s="36">
        <f>IF($B1099="","",(IFERROR(INDEX(Setup!$G$33:$G$40,MATCH(C1099,Setup!$B$33:$B$40,0)),0)=1)*(COUNTIF(C1058:E1075,$B1099)+COUNTIF(C1058:E1075,$B1099&amp;" ~*")&gt;0)+(IFERROR(INDEX(Setup!$G$33:$G$40,MATCH(G1099,Setup!$B$33:$B$40,0)),0)=1)*(COUNTIF(G1058:I1075,$B1099)+COUNTIF(G1058:I1075,$B1099&amp;" ~*")&gt;0)+(IFERROR(INDEX(Setup!$G$33:$G$40,MATCH(K1099,Setup!$B$33:$B$40,0)),0)=1)*(COUNTIF(K1058:M1075,$B1099)+COUNTIF(K1058:M1075,$B1099&amp;" ~*")&gt;0)+(IFERROR(INDEX(Setup!$G$33:$G$40,MATCH(O1099,Setup!$B$33:$B$40,0)),0)=1)*(COUNTIF(O1058:Q1075,$B1099)+COUNTIF(O1058:Q1075,$B1099&amp;" ~*")&gt;0)+(IFERROR(INDEX(Setup!$G$33:$G$40,MATCH(S1099,Setup!$B$33:$B$40,0)),0)=1)*(COUNTIF(S1058:U1075,$B1099)+COUNTIF(S1058:U1075,$B1099&amp;" ~*")&gt;0)+(IFERROR(INDEX(Setup!$G$33:$G$40,MATCH(W1099,Setup!$B$33:$B$40,0)),0)=1)*(COUNTIF(W1058:W1075,$B1099)+COUNTIF(W1058:W1075,$B1099&amp;" ~*")&gt;0)+(IFERROR(INDEX(Setup!$G$33:$G$40,MATCH(Y1099,Setup!$B$33:$B$40,0)),0)=1)*(COUNTIF(Y1058:Y1075,$B1099)+COUNTIF(Y1058:Y1075,$B1099&amp;" ~*")&gt;0))</f>
        <v/>
      </c>
    </row>
    <row r="1100" ht="15" customHeight="1">
      <c r="A1100" t="n">
        <v>22</v>
      </c>
      <c r="B1100" s="37">
        <f>IF(Setup!$B$29="","",Setup!$B$29)</f>
        <v/>
      </c>
      <c r="C1100" s="102" t="n"/>
      <c r="D1100" s="103" t="n"/>
      <c r="E1100" s="103" t="n"/>
      <c r="F1100" s="104" t="n"/>
      <c r="G1100" s="102" t="n"/>
      <c r="H1100" s="103" t="n"/>
      <c r="I1100" s="103" t="n"/>
      <c r="J1100" s="104" t="n"/>
      <c r="K1100" s="102" t="n"/>
      <c r="L1100" s="103" t="n"/>
      <c r="M1100" s="103" t="n"/>
      <c r="N1100" s="104" t="n"/>
      <c r="O1100" s="102" t="n"/>
      <c r="P1100" s="103" t="n"/>
      <c r="Q1100" s="103" t="n"/>
      <c r="R1100" s="104" t="n"/>
      <c r="S1100" s="102" t="n"/>
      <c r="T1100" s="103" t="n"/>
      <c r="U1100" s="103" t="n"/>
      <c r="V1100" s="104" t="n"/>
      <c r="W1100" s="102" t="n"/>
      <c r="X1100" s="104" t="n"/>
      <c r="Y1100" s="102" t="n"/>
      <c r="Z1100" s="104" t="n"/>
      <c r="AB1100" s="105">
        <f>IF($B1100="","",(COUNTIF(C1058:E1075,$B1100)+COUNTIF(C1058:E1075,$B1100&amp;" ~*")&gt;0)+(COUNTIF(G1058:I1075,$B1100)+COUNTIF(G1058:I1075,$B1100&amp;" ~*")&gt;0)+(COUNTIF(K1058:M1075,$B1100)+COUNTIF(K1058:M1075,$B1100&amp;" ~*")&gt;0)+(COUNTIF(O1058:Q1075,$B1100)+COUNTIF(O1058:Q1075,$B1100&amp;" ~*")&gt;0)+(COUNTIF(S1058:U1075,$B1100)+COUNTIF(S1058:U1075,$B1100&amp;" ~*")&gt;0)+(COUNTIF(W1058:W1075,$B1100)+COUNTIF(W1058:W1075,$B1100&amp;" ~*")&gt;0)+(COUNTIF(Y1058:Y1075,$B1100)+COUNTIF(Y1058:Y1075,$B1100&amp;" ~*")&gt;0))</f>
        <v/>
      </c>
      <c r="AC1100" s="38">
        <f>IF($B1100="","",(IFERROR(INDEX(Setup!$G$33:$G$40,MATCH(C1100,Setup!$B$33:$B$40,0)),0)=1)*(COUNTIF(C1058:E1075,$B1100)+COUNTIF(C1058:E1075,$B1100&amp;" ~*")&gt;0)+(IFERROR(INDEX(Setup!$G$33:$G$40,MATCH(G1100,Setup!$B$33:$B$40,0)),0)=1)*(COUNTIF(G1058:I1075,$B1100)+COUNTIF(G1058:I1075,$B1100&amp;" ~*")&gt;0)+(IFERROR(INDEX(Setup!$G$33:$G$40,MATCH(K1100,Setup!$B$33:$B$40,0)),0)=1)*(COUNTIF(K1058:M1075,$B1100)+COUNTIF(K1058:M1075,$B1100&amp;" ~*")&gt;0)+(IFERROR(INDEX(Setup!$G$33:$G$40,MATCH(O1100,Setup!$B$33:$B$40,0)),0)=1)*(COUNTIF(O1058:Q1075,$B1100)+COUNTIF(O1058:Q1075,$B1100&amp;" ~*")&gt;0)+(IFERROR(INDEX(Setup!$G$33:$G$40,MATCH(S1100,Setup!$B$33:$B$40,0)),0)=1)*(COUNTIF(S1058:U1075,$B1100)+COUNTIF(S1058:U1075,$B1100&amp;" ~*")&gt;0)+(IFERROR(INDEX(Setup!$G$33:$G$40,MATCH(W1100,Setup!$B$33:$B$40,0)),0)=1)*(COUNTIF(W1058:W1075,$B1100)+COUNTIF(W1058:W1075,$B1100&amp;" ~*")&gt;0)+(IFERROR(INDEX(Setup!$G$33:$G$40,MATCH(Y1100,Setup!$B$33:$B$40,0)),0)=1)*(COUNTIF(Y1058:Y1075,$B1100)+COUNTIF(Y1058:Y1075,$B1100&amp;" ~*")&gt;0))</f>
        <v/>
      </c>
    </row>
    <row r="1101" ht="16" customHeight="1">
      <c r="A1101" t="n">
        <v>22</v>
      </c>
      <c r="B1101" s="106" t="inlineStr">
        <is>
          <t>Available people</t>
        </is>
      </c>
      <c r="C1101" s="107">
        <f>COUNTIFS(Setup!$E$6:$E$29,"Y",Setup!$B$6:$B$29,"?*")-SUMPRODUCT(COUNTIF(C1077:C1100,Setup!$F$33:$F$40))</f>
        <v/>
      </c>
      <c r="D1101" s="107" t="n"/>
      <c r="E1101" s="107" t="n"/>
      <c r="F1101" s="107" t="n"/>
      <c r="G1101" s="107">
        <f>COUNTIFS(Setup!$E$6:$E$29,"Y",Setup!$B$6:$B$29,"?*")-SUMPRODUCT(COUNTIF(G1077:G1100,Setup!$F$33:$F$40))</f>
        <v/>
      </c>
      <c r="H1101" s="107" t="n"/>
      <c r="I1101" s="107" t="n"/>
      <c r="J1101" s="107" t="n"/>
      <c r="K1101" s="107">
        <f>COUNTIFS(Setup!$E$6:$E$29,"Y",Setup!$B$6:$B$29,"?*")-SUMPRODUCT(COUNTIF(K1077:K1100,Setup!$F$33:$F$40))</f>
        <v/>
      </c>
      <c r="L1101" s="107" t="n"/>
      <c r="M1101" s="107" t="n"/>
      <c r="N1101" s="107" t="n"/>
      <c r="O1101" s="107">
        <f>COUNTIFS(Setup!$E$6:$E$29,"Y",Setup!$B$6:$B$29,"?*")-SUMPRODUCT(COUNTIF(O1077:O1100,Setup!$F$33:$F$40))</f>
        <v/>
      </c>
      <c r="P1101" s="107" t="n"/>
      <c r="Q1101" s="107" t="n"/>
      <c r="R1101" s="107" t="n"/>
      <c r="S1101" s="107">
        <f>COUNTIFS(Setup!$E$6:$E$29,"Y",Setup!$B$6:$B$29,"?*")-SUMPRODUCT(COUNTIF(S1077:S1100,Setup!$F$33:$F$40))</f>
        <v/>
      </c>
      <c r="T1101" s="107" t="n"/>
      <c r="U1101" s="107" t="n"/>
      <c r="V1101" s="107" t="n"/>
      <c r="W1101" s="107">
        <f>COUNTIFS(Setup!$E$6:$E$29,"Y",Setup!$B$6:$B$29,"?*")-SUMPRODUCT(COUNTIF(W1077:W1100,Setup!$F$33:$F$40))</f>
        <v/>
      </c>
      <c r="X1101" s="107" t="n"/>
      <c r="Y1101" s="107">
        <f>COUNTIFS(Setup!$E$6:$E$29,"Y",Setup!$B$6:$B$29,"?*")-SUMPRODUCT(COUNTIF(Y1077:Y1100,Setup!$F$33:$F$40))</f>
        <v/>
      </c>
      <c r="Z1101" s="107" t="n"/>
      <c r="AB1101" s="108">
        <f>SUM(AB1077:AB1100)</f>
        <v/>
      </c>
      <c r="AC1101" s="109">
        <f>SUM(AC1077:AC1100)</f>
        <v/>
      </c>
    </row>
    <row r="1102" ht="30" customHeight="1">
      <c r="A1102" t="n">
        <v>22</v>
      </c>
      <c r="B1102" s="110" t="inlineStr">
        <is>
          <t>Week notes</t>
        </is>
      </c>
      <c r="C1102" s="111" t="n"/>
      <c r="D1102" s="112" t="n"/>
      <c r="E1102" s="112" t="n"/>
      <c r="F1102" s="112" t="n"/>
      <c r="G1102" s="112" t="n"/>
      <c r="H1102" s="112" t="n"/>
      <c r="I1102" s="112" t="n"/>
      <c r="J1102" s="112" t="n"/>
      <c r="K1102" s="112" t="n"/>
      <c r="L1102" s="112" t="n"/>
      <c r="M1102" s="112" t="n"/>
      <c r="N1102" s="112" t="n"/>
      <c r="O1102" s="112" t="n"/>
      <c r="P1102" s="112" t="n"/>
      <c r="Q1102" s="112" t="n"/>
      <c r="R1102" s="112" t="n"/>
      <c r="S1102" s="112" t="n"/>
      <c r="T1102" s="112" t="n"/>
      <c r="U1102" s="112" t="n"/>
      <c r="V1102" s="112" t="n"/>
      <c r="W1102" s="112" t="n"/>
      <c r="X1102" s="112" t="n"/>
      <c r="Y1102" s="112" t="n"/>
      <c r="Z1102" s="113" t="n"/>
    </row>
    <row r="1103" ht="8" customHeight="1">
      <c r="A1103" t="n">
        <v>22</v>
      </c>
    </row>
    <row r="1104" ht="8" customHeight="1">
      <c r="A1104" t="n">
        <v>22</v>
      </c>
    </row>
    <row r="1105" ht="24" customHeight="1">
      <c r="A1105" t="n">
        <v>23</v>
      </c>
      <c r="B1105" s="73">
        <f>"WEEK 23     "&amp;TEXT(C1106,"ddd d mmm")&amp;"  –  "&amp;TEXT(C1106+6,"ddd d mmm yyyy")</f>
        <v/>
      </c>
      <c r="S1105" s="74">
        <f>IF(TODAY()&lt;C1106,"FUTURE",IF(TODAY()&gt;C1106+6,"PAST","THIS WEEK"))</f>
        <v/>
      </c>
      <c r="W1105" s="75">
        <f>IF(AND(Engine!$B$8=$AC$3,Engine!$B$9=$A1105),"◀ ACTIVE WEEK","")</f>
        <v/>
      </c>
      <c r="AA1105" s="76" t="n"/>
      <c r="AB1105" s="77" t="inlineStr">
        <is>
          <t>◀ Prev</t>
        </is>
      </c>
      <c r="AC1105" s="77" t="inlineStr">
        <is>
          <t>Next ▶</t>
        </is>
      </c>
    </row>
    <row r="1106" ht="18" customHeight="1">
      <c r="A1106" t="n">
        <v>23</v>
      </c>
      <c r="B1106" s="78" t="inlineStr">
        <is>
          <t>DUTY</t>
        </is>
      </c>
      <c r="C1106" s="79">
        <f>$AC$2+7*($A1106-1)</f>
        <v/>
      </c>
      <c r="D1106" s="80" t="n"/>
      <c r="E1106" s="80" t="n"/>
      <c r="F1106" s="81" t="n"/>
      <c r="G1106" s="79">
        <f>C1106+1</f>
        <v/>
      </c>
      <c r="H1106" s="80" t="n"/>
      <c r="I1106" s="80" t="n"/>
      <c r="J1106" s="81" t="n"/>
      <c r="K1106" s="79">
        <f>C1106+2</f>
        <v/>
      </c>
      <c r="L1106" s="80" t="n"/>
      <c r="M1106" s="80" t="n"/>
      <c r="N1106" s="81" t="n"/>
      <c r="O1106" s="79">
        <f>C1106+3</f>
        <v/>
      </c>
      <c r="P1106" s="80" t="n"/>
      <c r="Q1106" s="80" t="n"/>
      <c r="R1106" s="81" t="n"/>
      <c r="S1106" s="79">
        <f>C1106+4</f>
        <v/>
      </c>
      <c r="T1106" s="80" t="n"/>
      <c r="U1106" s="80" t="n"/>
      <c r="V1106" s="81" t="n"/>
      <c r="W1106" s="82">
        <f>C1106+5</f>
        <v/>
      </c>
      <c r="X1106" s="83" t="n"/>
      <c r="Y1106" s="82">
        <f>C1106+6</f>
        <v/>
      </c>
      <c r="Z1106" s="83" t="n"/>
      <c r="AB1106" s="72" t="inlineStr">
        <is>
          <t>Gaps</t>
        </is>
      </c>
      <c r="AC1106" s="72" t="inlineStr">
        <is>
          <t>Cover</t>
        </is>
      </c>
    </row>
    <row r="1107" ht="14" customHeight="1">
      <c r="A1107" t="n">
        <v>23</v>
      </c>
      <c r="B1107" s="84" t="inlineStr">
        <is>
          <t>(from Setup)</t>
        </is>
      </c>
      <c r="C1107" s="85" t="inlineStr">
        <is>
          <t>1</t>
        </is>
      </c>
      <c r="D1107" s="85" t="inlineStr">
        <is>
          <t>2</t>
        </is>
      </c>
      <c r="E1107" s="85" t="inlineStr">
        <is>
          <t>3</t>
        </is>
      </c>
      <c r="F1107" s="85" t="inlineStr">
        <is>
          <t>Notes</t>
        </is>
      </c>
      <c r="G1107" s="85" t="inlineStr">
        <is>
          <t>1</t>
        </is>
      </c>
      <c r="H1107" s="85" t="inlineStr">
        <is>
          <t>2</t>
        </is>
      </c>
      <c r="I1107" s="85" t="inlineStr">
        <is>
          <t>3</t>
        </is>
      </c>
      <c r="J1107" s="85" t="inlineStr">
        <is>
          <t>Notes</t>
        </is>
      </c>
      <c r="K1107" s="85" t="inlineStr">
        <is>
          <t>1</t>
        </is>
      </c>
      <c r="L1107" s="85" t="inlineStr">
        <is>
          <t>2</t>
        </is>
      </c>
      <c r="M1107" s="85" t="inlineStr">
        <is>
          <t>3</t>
        </is>
      </c>
      <c r="N1107" s="85" t="inlineStr">
        <is>
          <t>Notes</t>
        </is>
      </c>
      <c r="O1107" s="85" t="inlineStr">
        <is>
          <t>1</t>
        </is>
      </c>
      <c r="P1107" s="85" t="inlineStr">
        <is>
          <t>2</t>
        </is>
      </c>
      <c r="Q1107" s="85" t="inlineStr">
        <is>
          <t>3</t>
        </is>
      </c>
      <c r="R1107" s="85" t="inlineStr">
        <is>
          <t>Notes</t>
        </is>
      </c>
      <c r="S1107" s="85" t="inlineStr">
        <is>
          <t>1</t>
        </is>
      </c>
      <c r="T1107" s="85" t="inlineStr">
        <is>
          <t>2</t>
        </is>
      </c>
      <c r="U1107" s="85" t="inlineStr">
        <is>
          <t>3</t>
        </is>
      </c>
      <c r="V1107" s="85" t="inlineStr">
        <is>
          <t>Notes</t>
        </is>
      </c>
      <c r="W1107" s="85" t="inlineStr">
        <is>
          <t>Cover</t>
        </is>
      </c>
      <c r="X1107" s="85" t="inlineStr">
        <is>
          <t>Notes</t>
        </is>
      </c>
      <c r="Y1107" s="85" t="inlineStr">
        <is>
          <t>Cover</t>
        </is>
      </c>
      <c r="Z1107" s="85" t="inlineStr">
        <is>
          <t>Notes</t>
        </is>
      </c>
      <c r="AB1107" s="86" t="inlineStr">
        <is>
          <t>weekdays short</t>
        </is>
      </c>
      <c r="AC1107" s="87" t="inlineStr"/>
    </row>
    <row r="1108" ht="17" customHeight="1">
      <c r="A1108" t="n">
        <v>23</v>
      </c>
      <c r="B1108" s="24">
        <f>IF(Setup!$K$6="","",Setup!$K$6)</f>
        <v/>
      </c>
      <c r="C1108" s="88" t="n"/>
      <c r="D1108" s="88" t="n"/>
      <c r="E1108" s="88" t="n"/>
      <c r="F1108" s="89" t="n"/>
      <c r="G1108" s="88" t="n"/>
      <c r="H1108" s="88" t="n"/>
      <c r="I1108" s="88" t="n"/>
      <c r="J1108" s="89" t="n"/>
      <c r="K1108" s="88" t="n"/>
      <c r="L1108" s="88" t="n"/>
      <c r="M1108" s="88" t="n"/>
      <c r="N1108" s="89" t="n"/>
      <c r="O1108" s="88" t="n"/>
      <c r="P1108" s="88" t="n"/>
      <c r="Q1108" s="88" t="n"/>
      <c r="R1108" s="89" t="n"/>
      <c r="S1108" s="88" t="n"/>
      <c r="T1108" s="88" t="n"/>
      <c r="U1108" s="88" t="n"/>
      <c r="V1108" s="89" t="n"/>
      <c r="W1108" s="88" t="n"/>
      <c r="X1108" s="89" t="n"/>
      <c r="Y1108" s="88" t="n"/>
      <c r="Z1108" s="89" t="n"/>
      <c r="AB1108" s="25">
        <f>IF($B1108="","",(COUNTIF(C1108:E1108,"?*")&lt;N(INDEX(Setup!$L$6:$L$23,1)))+(COUNTIF(G1108:I1108,"?*")&lt;N(INDEX(Setup!$L$6:$L$23,1)))+(COUNTIF(K1108:M1108,"?*")&lt;N(INDEX(Setup!$L$6:$L$23,1)))+(COUNTIF(O1108:Q1108,"?*")&lt;N(INDEX(Setup!$L$6:$L$23,1)))+(COUNTIF(S1108:U1108,"?*")&lt;N(INDEX(Setup!$L$6:$L$23,1)))+((W1108="")*(INDEX(Setup!$M$6:$M$23,1)="Y"))+((Y1108="")*(INDEX(Setup!$M$6:$M$23,1)="Y")))</f>
        <v/>
      </c>
      <c r="AC1108" s="90">
        <f>IF($B1108="","",IF(AB1108=0,"✓ covered","⚠ "&amp;AB1108&amp;IF(AB1108=1," gap"," gaps")))</f>
        <v/>
      </c>
    </row>
    <row r="1109" ht="17" customHeight="1">
      <c r="A1109" t="n">
        <v>23</v>
      </c>
      <c r="B1109" s="29">
        <f>IF(Setup!$K$7="","",Setup!$K$7)</f>
        <v/>
      </c>
      <c r="C1109" s="88" t="n"/>
      <c r="D1109" s="88" t="n"/>
      <c r="E1109" s="88" t="n"/>
      <c r="F1109" s="89" t="n"/>
      <c r="G1109" s="88" t="n"/>
      <c r="H1109" s="88" t="n"/>
      <c r="I1109" s="88" t="n"/>
      <c r="J1109" s="89" t="n"/>
      <c r="K1109" s="88" t="n"/>
      <c r="L1109" s="88" t="n"/>
      <c r="M1109" s="88" t="n"/>
      <c r="N1109" s="89" t="n"/>
      <c r="O1109" s="88" t="n"/>
      <c r="P1109" s="88" t="n"/>
      <c r="Q1109" s="88" t="n"/>
      <c r="R1109" s="89" t="n"/>
      <c r="S1109" s="88" t="n"/>
      <c r="T1109" s="88" t="n"/>
      <c r="U1109" s="88" t="n"/>
      <c r="V1109" s="89" t="n"/>
      <c r="W1109" s="88" t="n"/>
      <c r="X1109" s="89" t="n"/>
      <c r="Y1109" s="88" t="n"/>
      <c r="Z1109" s="89" t="n"/>
      <c r="AB1109" s="30">
        <f>IF($B1109="","",(COUNTIF(C1109:E1109,"?*")&lt;N(INDEX(Setup!$L$6:$L$23,2)))+(COUNTIF(G1109:I1109,"?*")&lt;N(INDEX(Setup!$L$6:$L$23,2)))+(COUNTIF(K1109:M1109,"?*")&lt;N(INDEX(Setup!$L$6:$L$23,2)))+(COUNTIF(O1109:Q1109,"?*")&lt;N(INDEX(Setup!$L$6:$L$23,2)))+(COUNTIF(S1109:U1109,"?*")&lt;N(INDEX(Setup!$L$6:$L$23,2)))+((W1109="")*(INDEX(Setup!$M$6:$M$23,2)="Y"))+((Y1109="")*(INDEX(Setup!$M$6:$M$23,2)="Y")))</f>
        <v/>
      </c>
      <c r="AC1109" s="91">
        <f>IF($B1109="","",IF(AB1109=0,"✓ covered","⚠ "&amp;AB1109&amp;IF(AB1109=1," gap"," gaps")))</f>
        <v/>
      </c>
    </row>
    <row r="1110" ht="17" customHeight="1">
      <c r="A1110" t="n">
        <v>23</v>
      </c>
      <c r="B1110" s="24">
        <f>IF(Setup!$K$8="","",Setup!$K$8)</f>
        <v/>
      </c>
      <c r="C1110" s="88" t="n"/>
      <c r="D1110" s="88" t="n"/>
      <c r="E1110" s="88" t="n"/>
      <c r="F1110" s="89" t="n"/>
      <c r="G1110" s="88" t="n"/>
      <c r="H1110" s="88" t="n"/>
      <c r="I1110" s="88" t="n"/>
      <c r="J1110" s="89" t="n"/>
      <c r="K1110" s="88" t="n"/>
      <c r="L1110" s="88" t="n"/>
      <c r="M1110" s="88" t="n"/>
      <c r="N1110" s="89" t="n"/>
      <c r="O1110" s="88" t="n"/>
      <c r="P1110" s="88" t="n"/>
      <c r="Q1110" s="88" t="n"/>
      <c r="R1110" s="89" t="n"/>
      <c r="S1110" s="88" t="n"/>
      <c r="T1110" s="88" t="n"/>
      <c r="U1110" s="88" t="n"/>
      <c r="V1110" s="89" t="n"/>
      <c r="W1110" s="88" t="n"/>
      <c r="X1110" s="89" t="n"/>
      <c r="Y1110" s="88" t="n"/>
      <c r="Z1110" s="89" t="n"/>
      <c r="AB1110" s="25">
        <f>IF($B1110="","",(COUNTIF(C1110:E1110,"?*")&lt;N(INDEX(Setup!$L$6:$L$23,3)))+(COUNTIF(G1110:I1110,"?*")&lt;N(INDEX(Setup!$L$6:$L$23,3)))+(COUNTIF(K1110:M1110,"?*")&lt;N(INDEX(Setup!$L$6:$L$23,3)))+(COUNTIF(O1110:Q1110,"?*")&lt;N(INDEX(Setup!$L$6:$L$23,3)))+(COUNTIF(S1110:U1110,"?*")&lt;N(INDEX(Setup!$L$6:$L$23,3)))+((W1110="")*(INDEX(Setup!$M$6:$M$23,3)="Y"))+((Y1110="")*(INDEX(Setup!$M$6:$M$23,3)="Y")))</f>
        <v/>
      </c>
      <c r="AC1110" s="90">
        <f>IF($B1110="","",IF(AB1110=0,"✓ covered","⚠ "&amp;AB1110&amp;IF(AB1110=1," gap"," gaps")))</f>
        <v/>
      </c>
    </row>
    <row r="1111" ht="17" customHeight="1">
      <c r="A1111" t="n">
        <v>23</v>
      </c>
      <c r="B1111" s="29">
        <f>IF(Setup!$K$9="","",Setup!$K$9)</f>
        <v/>
      </c>
      <c r="C1111" s="88" t="n"/>
      <c r="D1111" s="88" t="n"/>
      <c r="E1111" s="88" t="n"/>
      <c r="F1111" s="89" t="n"/>
      <c r="G1111" s="88" t="n"/>
      <c r="H1111" s="88" t="n"/>
      <c r="I1111" s="88" t="n"/>
      <c r="J1111" s="89" t="n"/>
      <c r="K1111" s="88" t="n"/>
      <c r="L1111" s="88" t="n"/>
      <c r="M1111" s="88" t="n"/>
      <c r="N1111" s="89" t="n"/>
      <c r="O1111" s="88" t="n"/>
      <c r="P1111" s="88" t="n"/>
      <c r="Q1111" s="88" t="n"/>
      <c r="R1111" s="89" t="n"/>
      <c r="S1111" s="88" t="n"/>
      <c r="T1111" s="88" t="n"/>
      <c r="U1111" s="88" t="n"/>
      <c r="V1111" s="89" t="n"/>
      <c r="W1111" s="88" t="n"/>
      <c r="X1111" s="89" t="n"/>
      <c r="Y1111" s="88" t="n"/>
      <c r="Z1111" s="89" t="n"/>
      <c r="AB1111" s="30">
        <f>IF($B1111="","",(COUNTIF(C1111:E1111,"?*")&lt;N(INDEX(Setup!$L$6:$L$23,4)))+(COUNTIF(G1111:I1111,"?*")&lt;N(INDEX(Setup!$L$6:$L$23,4)))+(COUNTIF(K1111:M1111,"?*")&lt;N(INDEX(Setup!$L$6:$L$23,4)))+(COUNTIF(O1111:Q1111,"?*")&lt;N(INDEX(Setup!$L$6:$L$23,4)))+(COUNTIF(S1111:U1111,"?*")&lt;N(INDEX(Setup!$L$6:$L$23,4)))+((W1111="")*(INDEX(Setup!$M$6:$M$23,4)="Y"))+((Y1111="")*(INDEX(Setup!$M$6:$M$23,4)="Y")))</f>
        <v/>
      </c>
      <c r="AC1111" s="91">
        <f>IF($B1111="","",IF(AB1111=0,"✓ covered","⚠ "&amp;AB1111&amp;IF(AB1111=1," gap"," gaps")))</f>
        <v/>
      </c>
    </row>
    <row r="1112" ht="17" customHeight="1">
      <c r="A1112" t="n">
        <v>23</v>
      </c>
      <c r="B1112" s="24">
        <f>IF(Setup!$K$10="","",Setup!$K$10)</f>
        <v/>
      </c>
      <c r="C1112" s="88" t="n"/>
      <c r="D1112" s="88" t="n"/>
      <c r="E1112" s="88" t="n"/>
      <c r="F1112" s="89" t="n"/>
      <c r="G1112" s="88" t="n"/>
      <c r="H1112" s="88" t="n"/>
      <c r="I1112" s="88" t="n"/>
      <c r="J1112" s="89" t="n"/>
      <c r="K1112" s="88" t="n"/>
      <c r="L1112" s="88" t="n"/>
      <c r="M1112" s="88" t="n"/>
      <c r="N1112" s="89" t="n"/>
      <c r="O1112" s="88" t="n"/>
      <c r="P1112" s="88" t="n"/>
      <c r="Q1112" s="88" t="n"/>
      <c r="R1112" s="89" t="n"/>
      <c r="S1112" s="88" t="n"/>
      <c r="T1112" s="88" t="n"/>
      <c r="U1112" s="88" t="n"/>
      <c r="V1112" s="89" t="n"/>
      <c r="W1112" s="88" t="n"/>
      <c r="X1112" s="89" t="n"/>
      <c r="Y1112" s="88" t="n"/>
      <c r="Z1112" s="89" t="n"/>
      <c r="AB1112" s="25">
        <f>IF($B1112="","",(COUNTIF(C1112:E1112,"?*")&lt;N(INDEX(Setup!$L$6:$L$23,5)))+(COUNTIF(G1112:I1112,"?*")&lt;N(INDEX(Setup!$L$6:$L$23,5)))+(COUNTIF(K1112:M1112,"?*")&lt;N(INDEX(Setup!$L$6:$L$23,5)))+(COUNTIF(O1112:Q1112,"?*")&lt;N(INDEX(Setup!$L$6:$L$23,5)))+(COUNTIF(S1112:U1112,"?*")&lt;N(INDEX(Setup!$L$6:$L$23,5)))+((W1112="")*(INDEX(Setup!$M$6:$M$23,5)="Y"))+((Y1112="")*(INDEX(Setup!$M$6:$M$23,5)="Y")))</f>
        <v/>
      </c>
      <c r="AC1112" s="90">
        <f>IF($B1112="","",IF(AB1112=0,"✓ covered","⚠ "&amp;AB1112&amp;IF(AB1112=1," gap"," gaps")))</f>
        <v/>
      </c>
    </row>
    <row r="1113" ht="17" customHeight="1">
      <c r="A1113" t="n">
        <v>23</v>
      </c>
      <c r="B1113" s="29">
        <f>IF(Setup!$K$11="","",Setup!$K$11)</f>
        <v/>
      </c>
      <c r="C1113" s="88" t="n"/>
      <c r="D1113" s="88" t="n"/>
      <c r="E1113" s="88" t="n"/>
      <c r="F1113" s="89" t="n"/>
      <c r="G1113" s="88" t="n"/>
      <c r="H1113" s="88" t="n"/>
      <c r="I1113" s="88" t="n"/>
      <c r="J1113" s="89" t="n"/>
      <c r="K1113" s="88" t="n"/>
      <c r="L1113" s="88" t="n"/>
      <c r="M1113" s="88" t="n"/>
      <c r="N1113" s="89" t="n"/>
      <c r="O1113" s="88" t="n"/>
      <c r="P1113" s="88" t="n"/>
      <c r="Q1113" s="88" t="n"/>
      <c r="R1113" s="89" t="n"/>
      <c r="S1113" s="88" t="n"/>
      <c r="T1113" s="88" t="n"/>
      <c r="U1113" s="88" t="n"/>
      <c r="V1113" s="89" t="n"/>
      <c r="W1113" s="88" t="n"/>
      <c r="X1113" s="89" t="n"/>
      <c r="Y1113" s="88" t="n"/>
      <c r="Z1113" s="89" t="n"/>
      <c r="AB1113" s="30">
        <f>IF($B1113="","",(COUNTIF(C1113:E1113,"?*")&lt;N(INDEX(Setup!$L$6:$L$23,6)))+(COUNTIF(G1113:I1113,"?*")&lt;N(INDEX(Setup!$L$6:$L$23,6)))+(COUNTIF(K1113:M1113,"?*")&lt;N(INDEX(Setup!$L$6:$L$23,6)))+(COUNTIF(O1113:Q1113,"?*")&lt;N(INDEX(Setup!$L$6:$L$23,6)))+(COUNTIF(S1113:U1113,"?*")&lt;N(INDEX(Setup!$L$6:$L$23,6)))+((W1113="")*(INDEX(Setup!$M$6:$M$23,6)="Y"))+((Y1113="")*(INDEX(Setup!$M$6:$M$23,6)="Y")))</f>
        <v/>
      </c>
      <c r="AC1113" s="91">
        <f>IF($B1113="","",IF(AB1113=0,"✓ covered","⚠ "&amp;AB1113&amp;IF(AB1113=1," gap"," gaps")))</f>
        <v/>
      </c>
    </row>
    <row r="1114" ht="17" customHeight="1">
      <c r="A1114" t="n">
        <v>23</v>
      </c>
      <c r="B1114" s="24">
        <f>IF(Setup!$K$12="","",Setup!$K$12)</f>
        <v/>
      </c>
      <c r="C1114" s="88" t="n"/>
      <c r="D1114" s="88" t="n"/>
      <c r="E1114" s="88" t="n"/>
      <c r="F1114" s="89" t="n"/>
      <c r="G1114" s="88" t="n"/>
      <c r="H1114" s="88" t="n"/>
      <c r="I1114" s="88" t="n"/>
      <c r="J1114" s="89" t="n"/>
      <c r="K1114" s="88" t="n"/>
      <c r="L1114" s="88" t="n"/>
      <c r="M1114" s="88" t="n"/>
      <c r="N1114" s="89" t="n"/>
      <c r="O1114" s="88" t="n"/>
      <c r="P1114" s="88" t="n"/>
      <c r="Q1114" s="88" t="n"/>
      <c r="R1114" s="89" t="n"/>
      <c r="S1114" s="88" t="n"/>
      <c r="T1114" s="88" t="n"/>
      <c r="U1114" s="88" t="n"/>
      <c r="V1114" s="89" t="n"/>
      <c r="W1114" s="88" t="n"/>
      <c r="X1114" s="89" t="n"/>
      <c r="Y1114" s="88" t="n"/>
      <c r="Z1114" s="89" t="n"/>
      <c r="AB1114" s="25">
        <f>IF($B1114="","",(COUNTIF(C1114:E1114,"?*")&lt;N(INDEX(Setup!$L$6:$L$23,7)))+(COUNTIF(G1114:I1114,"?*")&lt;N(INDEX(Setup!$L$6:$L$23,7)))+(COUNTIF(K1114:M1114,"?*")&lt;N(INDEX(Setup!$L$6:$L$23,7)))+(COUNTIF(O1114:Q1114,"?*")&lt;N(INDEX(Setup!$L$6:$L$23,7)))+(COUNTIF(S1114:U1114,"?*")&lt;N(INDEX(Setup!$L$6:$L$23,7)))+((W1114="")*(INDEX(Setup!$M$6:$M$23,7)="Y"))+((Y1114="")*(INDEX(Setup!$M$6:$M$23,7)="Y")))</f>
        <v/>
      </c>
      <c r="AC1114" s="90">
        <f>IF($B1114="","",IF(AB1114=0,"✓ covered","⚠ "&amp;AB1114&amp;IF(AB1114=1," gap"," gaps")))</f>
        <v/>
      </c>
    </row>
    <row r="1115" ht="17" customHeight="1">
      <c r="A1115" t="n">
        <v>23</v>
      </c>
      <c r="B1115" s="29">
        <f>IF(Setup!$K$13="","",Setup!$K$13)</f>
        <v/>
      </c>
      <c r="C1115" s="88" t="n"/>
      <c r="D1115" s="88" t="n"/>
      <c r="E1115" s="88" t="n"/>
      <c r="F1115" s="89" t="n"/>
      <c r="G1115" s="88" t="n"/>
      <c r="H1115" s="88" t="n"/>
      <c r="I1115" s="88" t="n"/>
      <c r="J1115" s="89" t="n"/>
      <c r="K1115" s="88" t="n"/>
      <c r="L1115" s="88" t="n"/>
      <c r="M1115" s="88" t="n"/>
      <c r="N1115" s="89" t="n"/>
      <c r="O1115" s="88" t="n"/>
      <c r="P1115" s="88" t="n"/>
      <c r="Q1115" s="88" t="n"/>
      <c r="R1115" s="89" t="n"/>
      <c r="S1115" s="88" t="n"/>
      <c r="T1115" s="88" t="n"/>
      <c r="U1115" s="88" t="n"/>
      <c r="V1115" s="89" t="n"/>
      <c r="W1115" s="88" t="n"/>
      <c r="X1115" s="89" t="n"/>
      <c r="Y1115" s="88" t="n"/>
      <c r="Z1115" s="89" t="n"/>
      <c r="AB1115" s="30">
        <f>IF($B1115="","",(COUNTIF(C1115:E1115,"?*")&lt;N(INDEX(Setup!$L$6:$L$23,8)))+(COUNTIF(G1115:I1115,"?*")&lt;N(INDEX(Setup!$L$6:$L$23,8)))+(COUNTIF(K1115:M1115,"?*")&lt;N(INDEX(Setup!$L$6:$L$23,8)))+(COUNTIF(O1115:Q1115,"?*")&lt;N(INDEX(Setup!$L$6:$L$23,8)))+(COUNTIF(S1115:U1115,"?*")&lt;N(INDEX(Setup!$L$6:$L$23,8)))+((W1115="")*(INDEX(Setup!$M$6:$M$23,8)="Y"))+((Y1115="")*(INDEX(Setup!$M$6:$M$23,8)="Y")))</f>
        <v/>
      </c>
      <c r="AC1115" s="91">
        <f>IF($B1115="","",IF(AB1115=0,"✓ covered","⚠ "&amp;AB1115&amp;IF(AB1115=1," gap"," gaps")))</f>
        <v/>
      </c>
    </row>
    <row r="1116" ht="17" customHeight="1">
      <c r="A1116" t="n">
        <v>23</v>
      </c>
      <c r="B1116" s="24">
        <f>IF(Setup!$K$14="","",Setup!$K$14)</f>
        <v/>
      </c>
      <c r="C1116" s="88" t="n"/>
      <c r="D1116" s="88" t="n"/>
      <c r="E1116" s="88" t="n"/>
      <c r="F1116" s="89" t="n"/>
      <c r="G1116" s="88" t="n"/>
      <c r="H1116" s="88" t="n"/>
      <c r="I1116" s="88" t="n"/>
      <c r="J1116" s="89" t="n"/>
      <c r="K1116" s="88" t="n"/>
      <c r="L1116" s="88" t="n"/>
      <c r="M1116" s="88" t="n"/>
      <c r="N1116" s="89" t="n"/>
      <c r="O1116" s="88" t="n"/>
      <c r="P1116" s="88" t="n"/>
      <c r="Q1116" s="88" t="n"/>
      <c r="R1116" s="89" t="n"/>
      <c r="S1116" s="88" t="n"/>
      <c r="T1116" s="88" t="n"/>
      <c r="U1116" s="88" t="n"/>
      <c r="V1116" s="89" t="n"/>
      <c r="W1116" s="88" t="n"/>
      <c r="X1116" s="89" t="n"/>
      <c r="Y1116" s="88" t="n"/>
      <c r="Z1116" s="89" t="n"/>
      <c r="AB1116" s="25">
        <f>IF($B1116="","",(COUNTIF(C1116:E1116,"?*")&lt;N(INDEX(Setup!$L$6:$L$23,9)))+(COUNTIF(G1116:I1116,"?*")&lt;N(INDEX(Setup!$L$6:$L$23,9)))+(COUNTIF(K1116:M1116,"?*")&lt;N(INDEX(Setup!$L$6:$L$23,9)))+(COUNTIF(O1116:Q1116,"?*")&lt;N(INDEX(Setup!$L$6:$L$23,9)))+(COUNTIF(S1116:U1116,"?*")&lt;N(INDEX(Setup!$L$6:$L$23,9)))+((W1116="")*(INDEX(Setup!$M$6:$M$23,9)="Y"))+((Y1116="")*(INDEX(Setup!$M$6:$M$23,9)="Y")))</f>
        <v/>
      </c>
      <c r="AC1116" s="90">
        <f>IF($B1116="","",IF(AB1116=0,"✓ covered","⚠ "&amp;AB1116&amp;IF(AB1116=1," gap"," gaps")))</f>
        <v/>
      </c>
    </row>
    <row r="1117" ht="17" customHeight="1">
      <c r="A1117" t="n">
        <v>23</v>
      </c>
      <c r="B1117" s="29">
        <f>IF(Setup!$K$15="","",Setup!$K$15)</f>
        <v/>
      </c>
      <c r="C1117" s="88" t="n"/>
      <c r="D1117" s="88" t="n"/>
      <c r="E1117" s="88" t="n"/>
      <c r="F1117" s="89" t="n"/>
      <c r="G1117" s="88" t="n"/>
      <c r="H1117" s="88" t="n"/>
      <c r="I1117" s="88" t="n"/>
      <c r="J1117" s="89" t="n"/>
      <c r="K1117" s="88" t="n"/>
      <c r="L1117" s="88" t="n"/>
      <c r="M1117" s="88" t="n"/>
      <c r="N1117" s="89" t="n"/>
      <c r="O1117" s="88" t="n"/>
      <c r="P1117" s="88" t="n"/>
      <c r="Q1117" s="88" t="n"/>
      <c r="R1117" s="89" t="n"/>
      <c r="S1117" s="88" t="n"/>
      <c r="T1117" s="88" t="n"/>
      <c r="U1117" s="88" t="n"/>
      <c r="V1117" s="89" t="n"/>
      <c r="W1117" s="88" t="n"/>
      <c r="X1117" s="89" t="n"/>
      <c r="Y1117" s="88" t="n"/>
      <c r="Z1117" s="89" t="n"/>
      <c r="AB1117" s="30">
        <f>IF($B1117="","",(COUNTIF(C1117:E1117,"?*")&lt;N(INDEX(Setup!$L$6:$L$23,10)))+(COUNTIF(G1117:I1117,"?*")&lt;N(INDEX(Setup!$L$6:$L$23,10)))+(COUNTIF(K1117:M1117,"?*")&lt;N(INDEX(Setup!$L$6:$L$23,10)))+(COUNTIF(O1117:Q1117,"?*")&lt;N(INDEX(Setup!$L$6:$L$23,10)))+(COUNTIF(S1117:U1117,"?*")&lt;N(INDEX(Setup!$L$6:$L$23,10)))+((W1117="")*(INDEX(Setup!$M$6:$M$23,10)="Y"))+((Y1117="")*(INDEX(Setup!$M$6:$M$23,10)="Y")))</f>
        <v/>
      </c>
      <c r="AC1117" s="91">
        <f>IF($B1117="","",IF(AB1117=0,"✓ covered","⚠ "&amp;AB1117&amp;IF(AB1117=1," gap"," gaps")))</f>
        <v/>
      </c>
    </row>
    <row r="1118" ht="17" customHeight="1">
      <c r="A1118" t="n">
        <v>23</v>
      </c>
      <c r="B1118" s="24">
        <f>IF(Setup!$K$16="","",Setup!$K$16)</f>
        <v/>
      </c>
      <c r="C1118" s="88" t="n"/>
      <c r="D1118" s="88" t="n"/>
      <c r="E1118" s="88" t="n"/>
      <c r="F1118" s="89" t="n"/>
      <c r="G1118" s="88" t="n"/>
      <c r="H1118" s="88" t="n"/>
      <c r="I1118" s="88" t="n"/>
      <c r="J1118" s="89" t="n"/>
      <c r="K1118" s="88" t="n"/>
      <c r="L1118" s="88" t="n"/>
      <c r="M1118" s="88" t="n"/>
      <c r="N1118" s="89" t="n"/>
      <c r="O1118" s="88" t="n"/>
      <c r="P1118" s="88" t="n"/>
      <c r="Q1118" s="88" t="n"/>
      <c r="R1118" s="89" t="n"/>
      <c r="S1118" s="88" t="n"/>
      <c r="T1118" s="88" t="n"/>
      <c r="U1118" s="88" t="n"/>
      <c r="V1118" s="89" t="n"/>
      <c r="W1118" s="88" t="n"/>
      <c r="X1118" s="89" t="n"/>
      <c r="Y1118" s="88" t="n"/>
      <c r="Z1118" s="89" t="n"/>
      <c r="AB1118" s="25">
        <f>IF($B1118="","",(COUNTIF(C1118:E1118,"?*")&lt;N(INDEX(Setup!$L$6:$L$23,11)))+(COUNTIF(G1118:I1118,"?*")&lt;N(INDEX(Setup!$L$6:$L$23,11)))+(COUNTIF(K1118:M1118,"?*")&lt;N(INDEX(Setup!$L$6:$L$23,11)))+(COUNTIF(O1118:Q1118,"?*")&lt;N(INDEX(Setup!$L$6:$L$23,11)))+(COUNTIF(S1118:U1118,"?*")&lt;N(INDEX(Setup!$L$6:$L$23,11)))+((W1118="")*(INDEX(Setup!$M$6:$M$23,11)="Y"))+((Y1118="")*(INDEX(Setup!$M$6:$M$23,11)="Y")))</f>
        <v/>
      </c>
      <c r="AC1118" s="90">
        <f>IF($B1118="","",IF(AB1118=0,"✓ covered","⚠ "&amp;AB1118&amp;IF(AB1118=1," gap"," gaps")))</f>
        <v/>
      </c>
    </row>
    <row r="1119" ht="17" customHeight="1">
      <c r="A1119" t="n">
        <v>23</v>
      </c>
      <c r="B1119" s="29">
        <f>IF(Setup!$K$17="","",Setup!$K$17)</f>
        <v/>
      </c>
      <c r="C1119" s="88" t="n"/>
      <c r="D1119" s="88" t="n"/>
      <c r="E1119" s="88" t="n"/>
      <c r="F1119" s="89" t="n"/>
      <c r="G1119" s="88" t="n"/>
      <c r="H1119" s="88" t="n"/>
      <c r="I1119" s="88" t="n"/>
      <c r="J1119" s="89" t="n"/>
      <c r="K1119" s="88" t="n"/>
      <c r="L1119" s="88" t="n"/>
      <c r="M1119" s="88" t="n"/>
      <c r="N1119" s="89" t="n"/>
      <c r="O1119" s="88" t="n"/>
      <c r="P1119" s="88" t="n"/>
      <c r="Q1119" s="88" t="n"/>
      <c r="R1119" s="89" t="n"/>
      <c r="S1119" s="88" t="n"/>
      <c r="T1119" s="88" t="n"/>
      <c r="U1119" s="88" t="n"/>
      <c r="V1119" s="89" t="n"/>
      <c r="W1119" s="88" t="n"/>
      <c r="X1119" s="89" t="n"/>
      <c r="Y1119" s="88" t="n"/>
      <c r="Z1119" s="89" t="n"/>
      <c r="AB1119" s="30">
        <f>IF($B1119="","",(COUNTIF(C1119:E1119,"?*")&lt;N(INDEX(Setup!$L$6:$L$23,12)))+(COUNTIF(G1119:I1119,"?*")&lt;N(INDEX(Setup!$L$6:$L$23,12)))+(COUNTIF(K1119:M1119,"?*")&lt;N(INDEX(Setup!$L$6:$L$23,12)))+(COUNTIF(O1119:Q1119,"?*")&lt;N(INDEX(Setup!$L$6:$L$23,12)))+(COUNTIF(S1119:U1119,"?*")&lt;N(INDEX(Setup!$L$6:$L$23,12)))+((W1119="")*(INDEX(Setup!$M$6:$M$23,12)="Y"))+((Y1119="")*(INDEX(Setup!$M$6:$M$23,12)="Y")))</f>
        <v/>
      </c>
      <c r="AC1119" s="91">
        <f>IF($B1119="","",IF(AB1119=0,"✓ covered","⚠ "&amp;AB1119&amp;IF(AB1119=1," gap"," gaps")))</f>
        <v/>
      </c>
    </row>
    <row r="1120" ht="17" customHeight="1">
      <c r="A1120" t="n">
        <v>23</v>
      </c>
      <c r="B1120" s="24">
        <f>IF(Setup!$K$18="","",Setup!$K$18)</f>
        <v/>
      </c>
      <c r="C1120" s="88" t="n"/>
      <c r="D1120" s="88" t="n"/>
      <c r="E1120" s="88" t="n"/>
      <c r="F1120" s="89" t="n"/>
      <c r="G1120" s="88" t="n"/>
      <c r="H1120" s="88" t="n"/>
      <c r="I1120" s="88" t="n"/>
      <c r="J1120" s="89" t="n"/>
      <c r="K1120" s="88" t="n"/>
      <c r="L1120" s="88" t="n"/>
      <c r="M1120" s="88" t="n"/>
      <c r="N1120" s="89" t="n"/>
      <c r="O1120" s="88" t="n"/>
      <c r="P1120" s="88" t="n"/>
      <c r="Q1120" s="88" t="n"/>
      <c r="R1120" s="89" t="n"/>
      <c r="S1120" s="88" t="n"/>
      <c r="T1120" s="88" t="n"/>
      <c r="U1120" s="88" t="n"/>
      <c r="V1120" s="89" t="n"/>
      <c r="W1120" s="88" t="n"/>
      <c r="X1120" s="89" t="n"/>
      <c r="Y1120" s="88" t="n"/>
      <c r="Z1120" s="89" t="n"/>
      <c r="AB1120" s="25">
        <f>IF($B1120="","",(COUNTIF(C1120:E1120,"?*")&lt;N(INDEX(Setup!$L$6:$L$23,13)))+(COUNTIF(G1120:I1120,"?*")&lt;N(INDEX(Setup!$L$6:$L$23,13)))+(COUNTIF(K1120:M1120,"?*")&lt;N(INDEX(Setup!$L$6:$L$23,13)))+(COUNTIF(O1120:Q1120,"?*")&lt;N(INDEX(Setup!$L$6:$L$23,13)))+(COUNTIF(S1120:U1120,"?*")&lt;N(INDEX(Setup!$L$6:$L$23,13)))+((W1120="")*(INDEX(Setup!$M$6:$M$23,13)="Y"))+((Y1120="")*(INDEX(Setup!$M$6:$M$23,13)="Y")))</f>
        <v/>
      </c>
      <c r="AC1120" s="90">
        <f>IF($B1120="","",IF(AB1120=0,"✓ covered","⚠ "&amp;AB1120&amp;IF(AB1120=1," gap"," gaps")))</f>
        <v/>
      </c>
    </row>
    <row r="1121" ht="17" customHeight="1">
      <c r="A1121" t="n">
        <v>23</v>
      </c>
      <c r="B1121" s="29">
        <f>IF(Setup!$K$19="","",Setup!$K$19)</f>
        <v/>
      </c>
      <c r="C1121" s="88" t="n"/>
      <c r="D1121" s="88" t="n"/>
      <c r="E1121" s="88" t="n"/>
      <c r="F1121" s="89" t="n"/>
      <c r="G1121" s="88" t="n"/>
      <c r="H1121" s="88" t="n"/>
      <c r="I1121" s="88" t="n"/>
      <c r="J1121" s="89" t="n"/>
      <c r="K1121" s="88" t="n"/>
      <c r="L1121" s="88" t="n"/>
      <c r="M1121" s="88" t="n"/>
      <c r="N1121" s="89" t="n"/>
      <c r="O1121" s="88" t="n"/>
      <c r="P1121" s="88" t="n"/>
      <c r="Q1121" s="88" t="n"/>
      <c r="R1121" s="89" t="n"/>
      <c r="S1121" s="88" t="n"/>
      <c r="T1121" s="88" t="n"/>
      <c r="U1121" s="88" t="n"/>
      <c r="V1121" s="89" t="n"/>
      <c r="W1121" s="88" t="n"/>
      <c r="X1121" s="89" t="n"/>
      <c r="Y1121" s="88" t="n"/>
      <c r="Z1121" s="89" t="n"/>
      <c r="AB1121" s="30">
        <f>IF($B1121="","",(COUNTIF(C1121:E1121,"?*")&lt;N(INDEX(Setup!$L$6:$L$23,14)))+(COUNTIF(G1121:I1121,"?*")&lt;N(INDEX(Setup!$L$6:$L$23,14)))+(COUNTIF(K1121:M1121,"?*")&lt;N(INDEX(Setup!$L$6:$L$23,14)))+(COUNTIF(O1121:Q1121,"?*")&lt;N(INDEX(Setup!$L$6:$L$23,14)))+(COUNTIF(S1121:U1121,"?*")&lt;N(INDEX(Setup!$L$6:$L$23,14)))+((W1121="")*(INDEX(Setup!$M$6:$M$23,14)="Y"))+((Y1121="")*(INDEX(Setup!$M$6:$M$23,14)="Y")))</f>
        <v/>
      </c>
      <c r="AC1121" s="91">
        <f>IF($B1121="","",IF(AB1121=0,"✓ covered","⚠ "&amp;AB1121&amp;IF(AB1121=1," gap"," gaps")))</f>
        <v/>
      </c>
    </row>
    <row r="1122" ht="17" customHeight="1">
      <c r="A1122" t="n">
        <v>23</v>
      </c>
      <c r="B1122" s="24">
        <f>IF(Setup!$K$20="","",Setup!$K$20)</f>
        <v/>
      </c>
      <c r="C1122" s="88" t="n"/>
      <c r="D1122" s="88" t="n"/>
      <c r="E1122" s="88" t="n"/>
      <c r="F1122" s="89" t="n"/>
      <c r="G1122" s="88" t="n"/>
      <c r="H1122" s="88" t="n"/>
      <c r="I1122" s="88" t="n"/>
      <c r="J1122" s="89" t="n"/>
      <c r="K1122" s="88" t="n"/>
      <c r="L1122" s="88" t="n"/>
      <c r="M1122" s="88" t="n"/>
      <c r="N1122" s="89" t="n"/>
      <c r="O1122" s="88" t="n"/>
      <c r="P1122" s="88" t="n"/>
      <c r="Q1122" s="88" t="n"/>
      <c r="R1122" s="89" t="n"/>
      <c r="S1122" s="88" t="n"/>
      <c r="T1122" s="88" t="n"/>
      <c r="U1122" s="88" t="n"/>
      <c r="V1122" s="89" t="n"/>
      <c r="W1122" s="88" t="n"/>
      <c r="X1122" s="89" t="n"/>
      <c r="Y1122" s="88" t="n"/>
      <c r="Z1122" s="89" t="n"/>
      <c r="AB1122" s="25">
        <f>IF($B1122="","",(COUNTIF(C1122:E1122,"?*")&lt;N(INDEX(Setup!$L$6:$L$23,15)))+(COUNTIF(G1122:I1122,"?*")&lt;N(INDEX(Setup!$L$6:$L$23,15)))+(COUNTIF(K1122:M1122,"?*")&lt;N(INDEX(Setup!$L$6:$L$23,15)))+(COUNTIF(O1122:Q1122,"?*")&lt;N(INDEX(Setup!$L$6:$L$23,15)))+(COUNTIF(S1122:U1122,"?*")&lt;N(INDEX(Setup!$L$6:$L$23,15)))+((W1122="")*(INDEX(Setup!$M$6:$M$23,15)="Y"))+((Y1122="")*(INDEX(Setup!$M$6:$M$23,15)="Y")))</f>
        <v/>
      </c>
      <c r="AC1122" s="90">
        <f>IF($B1122="","",IF(AB1122=0,"✓ covered","⚠ "&amp;AB1122&amp;IF(AB1122=1," gap"," gaps")))</f>
        <v/>
      </c>
    </row>
    <row r="1123" ht="17" customHeight="1">
      <c r="A1123" t="n">
        <v>23</v>
      </c>
      <c r="B1123" s="29">
        <f>IF(Setup!$K$21="","",Setup!$K$21)</f>
        <v/>
      </c>
      <c r="C1123" s="88" t="n"/>
      <c r="D1123" s="88" t="n"/>
      <c r="E1123" s="88" t="n"/>
      <c r="F1123" s="89" t="n"/>
      <c r="G1123" s="88" t="n"/>
      <c r="H1123" s="88" t="n"/>
      <c r="I1123" s="88" t="n"/>
      <c r="J1123" s="89" t="n"/>
      <c r="K1123" s="88" t="n"/>
      <c r="L1123" s="88" t="n"/>
      <c r="M1123" s="88" t="n"/>
      <c r="N1123" s="89" t="n"/>
      <c r="O1123" s="88" t="n"/>
      <c r="P1123" s="88" t="n"/>
      <c r="Q1123" s="88" t="n"/>
      <c r="R1123" s="89" t="n"/>
      <c r="S1123" s="88" t="n"/>
      <c r="T1123" s="88" t="n"/>
      <c r="U1123" s="88" t="n"/>
      <c r="V1123" s="89" t="n"/>
      <c r="W1123" s="88" t="n"/>
      <c r="X1123" s="89" t="n"/>
      <c r="Y1123" s="88" t="n"/>
      <c r="Z1123" s="89" t="n"/>
      <c r="AB1123" s="30">
        <f>IF($B1123="","",(COUNTIF(C1123:E1123,"?*")&lt;N(INDEX(Setup!$L$6:$L$23,16)))+(COUNTIF(G1123:I1123,"?*")&lt;N(INDEX(Setup!$L$6:$L$23,16)))+(COUNTIF(K1123:M1123,"?*")&lt;N(INDEX(Setup!$L$6:$L$23,16)))+(COUNTIF(O1123:Q1123,"?*")&lt;N(INDEX(Setup!$L$6:$L$23,16)))+(COUNTIF(S1123:U1123,"?*")&lt;N(INDEX(Setup!$L$6:$L$23,16)))+((W1123="")*(INDEX(Setup!$M$6:$M$23,16)="Y"))+((Y1123="")*(INDEX(Setup!$M$6:$M$23,16)="Y")))</f>
        <v/>
      </c>
      <c r="AC1123" s="91">
        <f>IF($B1123="","",IF(AB1123=0,"✓ covered","⚠ "&amp;AB1123&amp;IF(AB1123=1," gap"," gaps")))</f>
        <v/>
      </c>
    </row>
    <row r="1124" ht="17" customHeight="1">
      <c r="A1124" t="n">
        <v>23</v>
      </c>
      <c r="B1124" s="24">
        <f>IF(Setup!$K$22="","",Setup!$K$22)</f>
        <v/>
      </c>
      <c r="C1124" s="88" t="n"/>
      <c r="D1124" s="88" t="n"/>
      <c r="E1124" s="88" t="n"/>
      <c r="F1124" s="89" t="n"/>
      <c r="G1124" s="88" t="n"/>
      <c r="H1124" s="88" t="n"/>
      <c r="I1124" s="88" t="n"/>
      <c r="J1124" s="89" t="n"/>
      <c r="K1124" s="88" t="n"/>
      <c r="L1124" s="88" t="n"/>
      <c r="M1124" s="88" t="n"/>
      <c r="N1124" s="89" t="n"/>
      <c r="O1124" s="88" t="n"/>
      <c r="P1124" s="88" t="n"/>
      <c r="Q1124" s="88" t="n"/>
      <c r="R1124" s="89" t="n"/>
      <c r="S1124" s="88" t="n"/>
      <c r="T1124" s="88" t="n"/>
      <c r="U1124" s="88" t="n"/>
      <c r="V1124" s="89" t="n"/>
      <c r="W1124" s="88" t="n"/>
      <c r="X1124" s="89" t="n"/>
      <c r="Y1124" s="88" t="n"/>
      <c r="Z1124" s="89" t="n"/>
      <c r="AB1124" s="25">
        <f>IF($B1124="","",(COUNTIF(C1124:E1124,"?*")&lt;N(INDEX(Setup!$L$6:$L$23,17)))+(COUNTIF(G1124:I1124,"?*")&lt;N(INDEX(Setup!$L$6:$L$23,17)))+(COUNTIF(K1124:M1124,"?*")&lt;N(INDEX(Setup!$L$6:$L$23,17)))+(COUNTIF(O1124:Q1124,"?*")&lt;N(INDEX(Setup!$L$6:$L$23,17)))+(COUNTIF(S1124:U1124,"?*")&lt;N(INDEX(Setup!$L$6:$L$23,17)))+((W1124="")*(INDEX(Setup!$M$6:$M$23,17)="Y"))+((Y1124="")*(INDEX(Setup!$M$6:$M$23,17)="Y")))</f>
        <v/>
      </c>
      <c r="AC1124" s="90">
        <f>IF($B1124="","",IF(AB1124=0,"✓ covered","⚠ "&amp;AB1124&amp;IF(AB1124=1," gap"," gaps")))</f>
        <v/>
      </c>
    </row>
    <row r="1125" ht="17" customHeight="1">
      <c r="A1125" t="n">
        <v>23</v>
      </c>
      <c r="B1125" s="29">
        <f>IF(Setup!$K$23="","",Setup!$K$23)</f>
        <v/>
      </c>
      <c r="C1125" s="88" t="n"/>
      <c r="D1125" s="88" t="n"/>
      <c r="E1125" s="88" t="n"/>
      <c r="F1125" s="89" t="n"/>
      <c r="G1125" s="88" t="n"/>
      <c r="H1125" s="88" t="n"/>
      <c r="I1125" s="88" t="n"/>
      <c r="J1125" s="89" t="n"/>
      <c r="K1125" s="88" t="n"/>
      <c r="L1125" s="88" t="n"/>
      <c r="M1125" s="88" t="n"/>
      <c r="N1125" s="89" t="n"/>
      <c r="O1125" s="88" t="n"/>
      <c r="P1125" s="88" t="n"/>
      <c r="Q1125" s="88" t="n"/>
      <c r="R1125" s="89" t="n"/>
      <c r="S1125" s="88" t="n"/>
      <c r="T1125" s="88" t="n"/>
      <c r="U1125" s="88" t="n"/>
      <c r="V1125" s="89" t="n"/>
      <c r="W1125" s="88" t="n"/>
      <c r="X1125" s="89" t="n"/>
      <c r="Y1125" s="88" t="n"/>
      <c r="Z1125" s="89" t="n"/>
      <c r="AB1125" s="30">
        <f>IF($B1125="","",(COUNTIF(C1125:E1125,"?*")&lt;N(INDEX(Setup!$L$6:$L$23,18)))+(COUNTIF(G1125:I1125,"?*")&lt;N(INDEX(Setup!$L$6:$L$23,18)))+(COUNTIF(K1125:M1125,"?*")&lt;N(INDEX(Setup!$L$6:$L$23,18)))+(COUNTIF(O1125:Q1125,"?*")&lt;N(INDEX(Setup!$L$6:$L$23,18)))+(COUNTIF(S1125:U1125,"?*")&lt;N(INDEX(Setup!$L$6:$L$23,18)))+((W1125="")*(INDEX(Setup!$M$6:$M$23,18)="Y"))+((Y1125="")*(INDEX(Setup!$M$6:$M$23,18)="Y")))</f>
        <v/>
      </c>
      <c r="AC1125" s="91">
        <f>IF($B1125="","",IF(AB1125=0,"✓ covered","⚠ "&amp;AB1125&amp;IF(AB1125=1," gap"," gaps")))</f>
        <v/>
      </c>
    </row>
    <row r="1126" ht="18" customHeight="1">
      <c r="A1126" t="n">
        <v>23</v>
      </c>
      <c r="B1126" s="78" t="inlineStr">
        <is>
          <t>TEAM AVAILABILITY</t>
        </is>
      </c>
      <c r="C1126" s="92" t="inlineStr">
        <is>
          <t>Mon</t>
        </is>
      </c>
      <c r="D1126" s="93" t="n"/>
      <c r="E1126" s="93" t="n"/>
      <c r="F1126" s="94" t="n"/>
      <c r="G1126" s="92" t="inlineStr">
        <is>
          <t>Tue</t>
        </is>
      </c>
      <c r="H1126" s="93" t="n"/>
      <c r="I1126" s="93" t="n"/>
      <c r="J1126" s="94" t="n"/>
      <c r="K1126" s="92" t="inlineStr">
        <is>
          <t>Wed</t>
        </is>
      </c>
      <c r="L1126" s="93" t="n"/>
      <c r="M1126" s="93" t="n"/>
      <c r="N1126" s="94" t="n"/>
      <c r="O1126" s="92" t="inlineStr">
        <is>
          <t>Thu</t>
        </is>
      </c>
      <c r="P1126" s="93" t="n"/>
      <c r="Q1126" s="93" t="n"/>
      <c r="R1126" s="94" t="n"/>
      <c r="S1126" s="92" t="inlineStr">
        <is>
          <t>Fri</t>
        </is>
      </c>
      <c r="T1126" s="93" t="n"/>
      <c r="U1126" s="93" t="n"/>
      <c r="V1126" s="94" t="n"/>
      <c r="W1126" s="95" t="inlineStr">
        <is>
          <t>Sat</t>
        </is>
      </c>
      <c r="X1126" s="96" t="n"/>
      <c r="Y1126" s="95" t="inlineStr">
        <is>
          <t>Sun</t>
        </is>
      </c>
      <c r="Z1126" s="96" t="n"/>
      <c r="AB1126" s="97" t="inlineStr">
        <is>
          <t>Days rostered</t>
        </is>
      </c>
      <c r="AC1126" s="97" t="inlineStr">
        <is>
          <t>Conflicts</t>
        </is>
      </c>
    </row>
    <row r="1127" ht="15" customHeight="1">
      <c r="A1127" t="n">
        <v>23</v>
      </c>
      <c r="B1127" s="35">
        <f>IF(Setup!$B$6="","",Setup!$B$6)</f>
        <v/>
      </c>
      <c r="C1127" s="98" t="n"/>
      <c r="D1127" s="99" t="n"/>
      <c r="E1127" s="99" t="n"/>
      <c r="F1127" s="100" t="n"/>
      <c r="G1127" s="98" t="n"/>
      <c r="H1127" s="99" t="n"/>
      <c r="I1127" s="99" t="n"/>
      <c r="J1127" s="100" t="n"/>
      <c r="K1127" s="98" t="n"/>
      <c r="L1127" s="99" t="n"/>
      <c r="M1127" s="99" t="n"/>
      <c r="N1127" s="100" t="n"/>
      <c r="O1127" s="98" t="n"/>
      <c r="P1127" s="99" t="n"/>
      <c r="Q1127" s="99" t="n"/>
      <c r="R1127" s="100" t="n"/>
      <c r="S1127" s="98" t="n"/>
      <c r="T1127" s="99" t="n"/>
      <c r="U1127" s="99" t="n"/>
      <c r="V1127" s="100" t="n"/>
      <c r="W1127" s="98" t="n"/>
      <c r="X1127" s="100" t="n"/>
      <c r="Y1127" s="98" t="n"/>
      <c r="Z1127" s="100" t="n"/>
      <c r="AB1127" s="101">
        <f>IF($B1127="","",(COUNTIF(C1108:E1125,$B1127)+COUNTIF(C1108:E1125,$B1127&amp;" ~*")&gt;0)+(COUNTIF(G1108:I1125,$B1127)+COUNTIF(G1108:I1125,$B1127&amp;" ~*")&gt;0)+(COUNTIF(K1108:M1125,$B1127)+COUNTIF(K1108:M1125,$B1127&amp;" ~*")&gt;0)+(COUNTIF(O1108:Q1125,$B1127)+COUNTIF(O1108:Q1125,$B1127&amp;" ~*")&gt;0)+(COUNTIF(S1108:U1125,$B1127)+COUNTIF(S1108:U1125,$B1127&amp;" ~*")&gt;0)+(COUNTIF(W1108:W1125,$B1127)+COUNTIF(W1108:W1125,$B1127&amp;" ~*")&gt;0)+(COUNTIF(Y1108:Y1125,$B1127)+COUNTIF(Y1108:Y1125,$B1127&amp;" ~*")&gt;0))</f>
        <v/>
      </c>
      <c r="AC1127" s="36">
        <f>IF($B1127="","",(IFERROR(INDEX(Setup!$G$33:$G$40,MATCH(C1127,Setup!$B$33:$B$40,0)),0)=1)*(COUNTIF(C1108:E1125,$B1127)+COUNTIF(C1108:E1125,$B1127&amp;" ~*")&gt;0)+(IFERROR(INDEX(Setup!$G$33:$G$40,MATCH(G1127,Setup!$B$33:$B$40,0)),0)=1)*(COUNTIF(G1108:I1125,$B1127)+COUNTIF(G1108:I1125,$B1127&amp;" ~*")&gt;0)+(IFERROR(INDEX(Setup!$G$33:$G$40,MATCH(K1127,Setup!$B$33:$B$40,0)),0)=1)*(COUNTIF(K1108:M1125,$B1127)+COUNTIF(K1108:M1125,$B1127&amp;" ~*")&gt;0)+(IFERROR(INDEX(Setup!$G$33:$G$40,MATCH(O1127,Setup!$B$33:$B$40,0)),0)=1)*(COUNTIF(O1108:Q1125,$B1127)+COUNTIF(O1108:Q1125,$B1127&amp;" ~*")&gt;0)+(IFERROR(INDEX(Setup!$G$33:$G$40,MATCH(S1127,Setup!$B$33:$B$40,0)),0)=1)*(COUNTIF(S1108:U1125,$B1127)+COUNTIF(S1108:U1125,$B1127&amp;" ~*")&gt;0)+(IFERROR(INDEX(Setup!$G$33:$G$40,MATCH(W1127,Setup!$B$33:$B$40,0)),0)=1)*(COUNTIF(W1108:W1125,$B1127)+COUNTIF(W1108:W1125,$B1127&amp;" ~*")&gt;0)+(IFERROR(INDEX(Setup!$G$33:$G$40,MATCH(Y1127,Setup!$B$33:$B$40,0)),0)=1)*(COUNTIF(Y1108:Y1125,$B1127)+COUNTIF(Y1108:Y1125,$B1127&amp;" ~*")&gt;0))</f>
        <v/>
      </c>
    </row>
    <row r="1128" ht="15" customHeight="1">
      <c r="A1128" t="n">
        <v>23</v>
      </c>
      <c r="B1128" s="37">
        <f>IF(Setup!$B$7="","",Setup!$B$7)</f>
        <v/>
      </c>
      <c r="C1128" s="102" t="n"/>
      <c r="D1128" s="103" t="n"/>
      <c r="E1128" s="103" t="n"/>
      <c r="F1128" s="104" t="n"/>
      <c r="G1128" s="102" t="n"/>
      <c r="H1128" s="103" t="n"/>
      <c r="I1128" s="103" t="n"/>
      <c r="J1128" s="104" t="n"/>
      <c r="K1128" s="102" t="n"/>
      <c r="L1128" s="103" t="n"/>
      <c r="M1128" s="103" t="n"/>
      <c r="N1128" s="104" t="n"/>
      <c r="O1128" s="102" t="n"/>
      <c r="P1128" s="103" t="n"/>
      <c r="Q1128" s="103" t="n"/>
      <c r="R1128" s="104" t="n"/>
      <c r="S1128" s="102" t="n"/>
      <c r="T1128" s="103" t="n"/>
      <c r="U1128" s="103" t="n"/>
      <c r="V1128" s="104" t="n"/>
      <c r="W1128" s="102" t="n"/>
      <c r="X1128" s="104" t="n"/>
      <c r="Y1128" s="102" t="n"/>
      <c r="Z1128" s="104" t="n"/>
      <c r="AB1128" s="105">
        <f>IF($B1128="","",(COUNTIF(C1108:E1125,$B1128)+COUNTIF(C1108:E1125,$B1128&amp;" ~*")&gt;0)+(COUNTIF(G1108:I1125,$B1128)+COUNTIF(G1108:I1125,$B1128&amp;" ~*")&gt;0)+(COUNTIF(K1108:M1125,$B1128)+COUNTIF(K1108:M1125,$B1128&amp;" ~*")&gt;0)+(COUNTIF(O1108:Q1125,$B1128)+COUNTIF(O1108:Q1125,$B1128&amp;" ~*")&gt;0)+(COUNTIF(S1108:U1125,$B1128)+COUNTIF(S1108:U1125,$B1128&amp;" ~*")&gt;0)+(COUNTIF(W1108:W1125,$B1128)+COUNTIF(W1108:W1125,$B1128&amp;" ~*")&gt;0)+(COUNTIF(Y1108:Y1125,$B1128)+COUNTIF(Y1108:Y1125,$B1128&amp;" ~*")&gt;0))</f>
        <v/>
      </c>
      <c r="AC1128" s="38">
        <f>IF($B1128="","",(IFERROR(INDEX(Setup!$G$33:$G$40,MATCH(C1128,Setup!$B$33:$B$40,0)),0)=1)*(COUNTIF(C1108:E1125,$B1128)+COUNTIF(C1108:E1125,$B1128&amp;" ~*")&gt;0)+(IFERROR(INDEX(Setup!$G$33:$G$40,MATCH(G1128,Setup!$B$33:$B$40,0)),0)=1)*(COUNTIF(G1108:I1125,$B1128)+COUNTIF(G1108:I1125,$B1128&amp;" ~*")&gt;0)+(IFERROR(INDEX(Setup!$G$33:$G$40,MATCH(K1128,Setup!$B$33:$B$40,0)),0)=1)*(COUNTIF(K1108:M1125,$B1128)+COUNTIF(K1108:M1125,$B1128&amp;" ~*")&gt;0)+(IFERROR(INDEX(Setup!$G$33:$G$40,MATCH(O1128,Setup!$B$33:$B$40,0)),0)=1)*(COUNTIF(O1108:Q1125,$B1128)+COUNTIF(O1108:Q1125,$B1128&amp;" ~*")&gt;0)+(IFERROR(INDEX(Setup!$G$33:$G$40,MATCH(S1128,Setup!$B$33:$B$40,0)),0)=1)*(COUNTIF(S1108:U1125,$B1128)+COUNTIF(S1108:U1125,$B1128&amp;" ~*")&gt;0)+(IFERROR(INDEX(Setup!$G$33:$G$40,MATCH(W1128,Setup!$B$33:$B$40,0)),0)=1)*(COUNTIF(W1108:W1125,$B1128)+COUNTIF(W1108:W1125,$B1128&amp;" ~*")&gt;0)+(IFERROR(INDEX(Setup!$G$33:$G$40,MATCH(Y1128,Setup!$B$33:$B$40,0)),0)=1)*(COUNTIF(Y1108:Y1125,$B1128)+COUNTIF(Y1108:Y1125,$B1128&amp;" ~*")&gt;0))</f>
        <v/>
      </c>
    </row>
    <row r="1129" ht="15" customHeight="1">
      <c r="A1129" t="n">
        <v>23</v>
      </c>
      <c r="B1129" s="35">
        <f>IF(Setup!$B$8="","",Setup!$B$8)</f>
        <v/>
      </c>
      <c r="C1129" s="98" t="n"/>
      <c r="D1129" s="99" t="n"/>
      <c r="E1129" s="99" t="n"/>
      <c r="F1129" s="100" t="n"/>
      <c r="G1129" s="98" t="n"/>
      <c r="H1129" s="99" t="n"/>
      <c r="I1129" s="99" t="n"/>
      <c r="J1129" s="100" t="n"/>
      <c r="K1129" s="98" t="n"/>
      <c r="L1129" s="99" t="n"/>
      <c r="M1129" s="99" t="n"/>
      <c r="N1129" s="100" t="n"/>
      <c r="O1129" s="98" t="n"/>
      <c r="P1129" s="99" t="n"/>
      <c r="Q1129" s="99" t="n"/>
      <c r="R1129" s="100" t="n"/>
      <c r="S1129" s="98" t="n"/>
      <c r="T1129" s="99" t="n"/>
      <c r="U1129" s="99" t="n"/>
      <c r="V1129" s="100" t="n"/>
      <c r="W1129" s="98" t="n"/>
      <c r="X1129" s="100" t="n"/>
      <c r="Y1129" s="98" t="n"/>
      <c r="Z1129" s="100" t="n"/>
      <c r="AB1129" s="101">
        <f>IF($B1129="","",(COUNTIF(C1108:E1125,$B1129)+COUNTIF(C1108:E1125,$B1129&amp;" ~*")&gt;0)+(COUNTIF(G1108:I1125,$B1129)+COUNTIF(G1108:I1125,$B1129&amp;" ~*")&gt;0)+(COUNTIF(K1108:M1125,$B1129)+COUNTIF(K1108:M1125,$B1129&amp;" ~*")&gt;0)+(COUNTIF(O1108:Q1125,$B1129)+COUNTIF(O1108:Q1125,$B1129&amp;" ~*")&gt;0)+(COUNTIF(S1108:U1125,$B1129)+COUNTIF(S1108:U1125,$B1129&amp;" ~*")&gt;0)+(COUNTIF(W1108:W1125,$B1129)+COUNTIF(W1108:W1125,$B1129&amp;" ~*")&gt;0)+(COUNTIF(Y1108:Y1125,$B1129)+COUNTIF(Y1108:Y1125,$B1129&amp;" ~*")&gt;0))</f>
        <v/>
      </c>
      <c r="AC1129" s="36">
        <f>IF($B1129="","",(IFERROR(INDEX(Setup!$G$33:$G$40,MATCH(C1129,Setup!$B$33:$B$40,0)),0)=1)*(COUNTIF(C1108:E1125,$B1129)+COUNTIF(C1108:E1125,$B1129&amp;" ~*")&gt;0)+(IFERROR(INDEX(Setup!$G$33:$G$40,MATCH(G1129,Setup!$B$33:$B$40,0)),0)=1)*(COUNTIF(G1108:I1125,$B1129)+COUNTIF(G1108:I1125,$B1129&amp;" ~*")&gt;0)+(IFERROR(INDEX(Setup!$G$33:$G$40,MATCH(K1129,Setup!$B$33:$B$40,0)),0)=1)*(COUNTIF(K1108:M1125,$B1129)+COUNTIF(K1108:M1125,$B1129&amp;" ~*")&gt;0)+(IFERROR(INDEX(Setup!$G$33:$G$40,MATCH(O1129,Setup!$B$33:$B$40,0)),0)=1)*(COUNTIF(O1108:Q1125,$B1129)+COUNTIF(O1108:Q1125,$B1129&amp;" ~*")&gt;0)+(IFERROR(INDEX(Setup!$G$33:$G$40,MATCH(S1129,Setup!$B$33:$B$40,0)),0)=1)*(COUNTIF(S1108:U1125,$B1129)+COUNTIF(S1108:U1125,$B1129&amp;" ~*")&gt;0)+(IFERROR(INDEX(Setup!$G$33:$G$40,MATCH(W1129,Setup!$B$33:$B$40,0)),0)=1)*(COUNTIF(W1108:W1125,$B1129)+COUNTIF(W1108:W1125,$B1129&amp;" ~*")&gt;0)+(IFERROR(INDEX(Setup!$G$33:$G$40,MATCH(Y1129,Setup!$B$33:$B$40,0)),0)=1)*(COUNTIF(Y1108:Y1125,$B1129)+COUNTIF(Y1108:Y1125,$B1129&amp;" ~*")&gt;0))</f>
        <v/>
      </c>
    </row>
    <row r="1130" ht="15" customHeight="1">
      <c r="A1130" t="n">
        <v>23</v>
      </c>
      <c r="B1130" s="37">
        <f>IF(Setup!$B$9="","",Setup!$B$9)</f>
        <v/>
      </c>
      <c r="C1130" s="102" t="n"/>
      <c r="D1130" s="103" t="n"/>
      <c r="E1130" s="103" t="n"/>
      <c r="F1130" s="104" t="n"/>
      <c r="G1130" s="102" t="n"/>
      <c r="H1130" s="103" t="n"/>
      <c r="I1130" s="103" t="n"/>
      <c r="J1130" s="104" t="n"/>
      <c r="K1130" s="102" t="n"/>
      <c r="L1130" s="103" t="n"/>
      <c r="M1130" s="103" t="n"/>
      <c r="N1130" s="104" t="n"/>
      <c r="O1130" s="102" t="n"/>
      <c r="P1130" s="103" t="n"/>
      <c r="Q1130" s="103" t="n"/>
      <c r="R1130" s="104" t="n"/>
      <c r="S1130" s="102" t="n"/>
      <c r="T1130" s="103" t="n"/>
      <c r="U1130" s="103" t="n"/>
      <c r="V1130" s="104" t="n"/>
      <c r="W1130" s="102" t="n"/>
      <c r="X1130" s="104" t="n"/>
      <c r="Y1130" s="102" t="n"/>
      <c r="Z1130" s="104" t="n"/>
      <c r="AB1130" s="105">
        <f>IF($B1130="","",(COUNTIF(C1108:E1125,$B1130)+COUNTIF(C1108:E1125,$B1130&amp;" ~*")&gt;0)+(COUNTIF(G1108:I1125,$B1130)+COUNTIF(G1108:I1125,$B1130&amp;" ~*")&gt;0)+(COUNTIF(K1108:M1125,$B1130)+COUNTIF(K1108:M1125,$B1130&amp;" ~*")&gt;0)+(COUNTIF(O1108:Q1125,$B1130)+COUNTIF(O1108:Q1125,$B1130&amp;" ~*")&gt;0)+(COUNTIF(S1108:U1125,$B1130)+COUNTIF(S1108:U1125,$B1130&amp;" ~*")&gt;0)+(COUNTIF(W1108:W1125,$B1130)+COUNTIF(W1108:W1125,$B1130&amp;" ~*")&gt;0)+(COUNTIF(Y1108:Y1125,$B1130)+COUNTIF(Y1108:Y1125,$B1130&amp;" ~*")&gt;0))</f>
        <v/>
      </c>
      <c r="AC1130" s="38">
        <f>IF($B1130="","",(IFERROR(INDEX(Setup!$G$33:$G$40,MATCH(C1130,Setup!$B$33:$B$40,0)),0)=1)*(COUNTIF(C1108:E1125,$B1130)+COUNTIF(C1108:E1125,$B1130&amp;" ~*")&gt;0)+(IFERROR(INDEX(Setup!$G$33:$G$40,MATCH(G1130,Setup!$B$33:$B$40,0)),0)=1)*(COUNTIF(G1108:I1125,$B1130)+COUNTIF(G1108:I1125,$B1130&amp;" ~*")&gt;0)+(IFERROR(INDEX(Setup!$G$33:$G$40,MATCH(K1130,Setup!$B$33:$B$40,0)),0)=1)*(COUNTIF(K1108:M1125,$B1130)+COUNTIF(K1108:M1125,$B1130&amp;" ~*")&gt;0)+(IFERROR(INDEX(Setup!$G$33:$G$40,MATCH(O1130,Setup!$B$33:$B$40,0)),0)=1)*(COUNTIF(O1108:Q1125,$B1130)+COUNTIF(O1108:Q1125,$B1130&amp;" ~*")&gt;0)+(IFERROR(INDEX(Setup!$G$33:$G$40,MATCH(S1130,Setup!$B$33:$B$40,0)),0)=1)*(COUNTIF(S1108:U1125,$B1130)+COUNTIF(S1108:U1125,$B1130&amp;" ~*")&gt;0)+(IFERROR(INDEX(Setup!$G$33:$G$40,MATCH(W1130,Setup!$B$33:$B$40,0)),0)=1)*(COUNTIF(W1108:W1125,$B1130)+COUNTIF(W1108:W1125,$B1130&amp;" ~*")&gt;0)+(IFERROR(INDEX(Setup!$G$33:$G$40,MATCH(Y1130,Setup!$B$33:$B$40,0)),0)=1)*(COUNTIF(Y1108:Y1125,$B1130)+COUNTIF(Y1108:Y1125,$B1130&amp;" ~*")&gt;0))</f>
        <v/>
      </c>
    </row>
    <row r="1131" ht="15" customHeight="1">
      <c r="A1131" t="n">
        <v>23</v>
      </c>
      <c r="B1131" s="35">
        <f>IF(Setup!$B$10="","",Setup!$B$10)</f>
        <v/>
      </c>
      <c r="C1131" s="98" t="inlineStr">
        <is>
          <t>AL</t>
        </is>
      </c>
      <c r="D1131" s="99" t="n"/>
      <c r="E1131" s="99" t="n"/>
      <c r="F1131" s="100" t="n"/>
      <c r="G1131" s="98" t="inlineStr">
        <is>
          <t>AL</t>
        </is>
      </c>
      <c r="H1131" s="99" t="n"/>
      <c r="I1131" s="99" t="n"/>
      <c r="J1131" s="100" t="n"/>
      <c r="K1131" s="98" t="inlineStr">
        <is>
          <t>AL</t>
        </is>
      </c>
      <c r="L1131" s="99" t="n"/>
      <c r="M1131" s="99" t="n"/>
      <c r="N1131" s="100" t="n"/>
      <c r="O1131" s="98" t="inlineStr">
        <is>
          <t>AL</t>
        </is>
      </c>
      <c r="P1131" s="99" t="n"/>
      <c r="Q1131" s="99" t="n"/>
      <c r="R1131" s="100" t="n"/>
      <c r="S1131" s="98" t="inlineStr">
        <is>
          <t>AL</t>
        </is>
      </c>
      <c r="T1131" s="99" t="n"/>
      <c r="U1131" s="99" t="n"/>
      <c r="V1131" s="100" t="n"/>
      <c r="W1131" s="98" t="n"/>
      <c r="X1131" s="100" t="n"/>
      <c r="Y1131" s="98" t="n"/>
      <c r="Z1131" s="100" t="n"/>
      <c r="AB1131" s="101">
        <f>IF($B1131="","",(COUNTIF(C1108:E1125,$B1131)+COUNTIF(C1108:E1125,$B1131&amp;" ~*")&gt;0)+(COUNTIF(G1108:I1125,$B1131)+COUNTIF(G1108:I1125,$B1131&amp;" ~*")&gt;0)+(COUNTIF(K1108:M1125,$B1131)+COUNTIF(K1108:M1125,$B1131&amp;" ~*")&gt;0)+(COUNTIF(O1108:Q1125,$B1131)+COUNTIF(O1108:Q1125,$B1131&amp;" ~*")&gt;0)+(COUNTIF(S1108:U1125,$B1131)+COUNTIF(S1108:U1125,$B1131&amp;" ~*")&gt;0)+(COUNTIF(W1108:W1125,$B1131)+COUNTIF(W1108:W1125,$B1131&amp;" ~*")&gt;0)+(COUNTIF(Y1108:Y1125,$B1131)+COUNTIF(Y1108:Y1125,$B1131&amp;" ~*")&gt;0))</f>
        <v/>
      </c>
      <c r="AC1131" s="36">
        <f>IF($B1131="","",(IFERROR(INDEX(Setup!$G$33:$G$40,MATCH(C1131,Setup!$B$33:$B$40,0)),0)=1)*(COUNTIF(C1108:E1125,$B1131)+COUNTIF(C1108:E1125,$B1131&amp;" ~*")&gt;0)+(IFERROR(INDEX(Setup!$G$33:$G$40,MATCH(G1131,Setup!$B$33:$B$40,0)),0)=1)*(COUNTIF(G1108:I1125,$B1131)+COUNTIF(G1108:I1125,$B1131&amp;" ~*")&gt;0)+(IFERROR(INDEX(Setup!$G$33:$G$40,MATCH(K1131,Setup!$B$33:$B$40,0)),0)=1)*(COUNTIF(K1108:M1125,$B1131)+COUNTIF(K1108:M1125,$B1131&amp;" ~*")&gt;0)+(IFERROR(INDEX(Setup!$G$33:$G$40,MATCH(O1131,Setup!$B$33:$B$40,0)),0)=1)*(COUNTIF(O1108:Q1125,$B1131)+COUNTIF(O1108:Q1125,$B1131&amp;" ~*")&gt;0)+(IFERROR(INDEX(Setup!$G$33:$G$40,MATCH(S1131,Setup!$B$33:$B$40,0)),0)=1)*(COUNTIF(S1108:U1125,$B1131)+COUNTIF(S1108:U1125,$B1131&amp;" ~*")&gt;0)+(IFERROR(INDEX(Setup!$G$33:$G$40,MATCH(W1131,Setup!$B$33:$B$40,0)),0)=1)*(COUNTIF(W1108:W1125,$B1131)+COUNTIF(W1108:W1125,$B1131&amp;" ~*")&gt;0)+(IFERROR(INDEX(Setup!$G$33:$G$40,MATCH(Y1131,Setup!$B$33:$B$40,0)),0)=1)*(COUNTIF(Y1108:Y1125,$B1131)+COUNTIF(Y1108:Y1125,$B1131&amp;" ~*")&gt;0))</f>
        <v/>
      </c>
    </row>
    <row r="1132" ht="15" customHeight="1">
      <c r="A1132" t="n">
        <v>23</v>
      </c>
      <c r="B1132" s="37">
        <f>IF(Setup!$B$11="","",Setup!$B$11)</f>
        <v/>
      </c>
      <c r="C1132" s="102" t="n"/>
      <c r="D1132" s="103" t="n"/>
      <c r="E1132" s="103" t="n"/>
      <c r="F1132" s="104" t="n"/>
      <c r="G1132" s="102" t="n"/>
      <c r="H1132" s="103" t="n"/>
      <c r="I1132" s="103" t="n"/>
      <c r="J1132" s="104" t="n"/>
      <c r="K1132" s="102" t="n"/>
      <c r="L1132" s="103" t="n"/>
      <c r="M1132" s="103" t="n"/>
      <c r="N1132" s="104" t="n"/>
      <c r="O1132" s="102" t="n"/>
      <c r="P1132" s="103" t="n"/>
      <c r="Q1132" s="103" t="n"/>
      <c r="R1132" s="104" t="n"/>
      <c r="S1132" s="102" t="n"/>
      <c r="T1132" s="103" t="n"/>
      <c r="U1132" s="103" t="n"/>
      <c r="V1132" s="104" t="n"/>
      <c r="W1132" s="102" t="n"/>
      <c r="X1132" s="104" t="n"/>
      <c r="Y1132" s="102" t="n"/>
      <c r="Z1132" s="104" t="n"/>
      <c r="AB1132" s="105">
        <f>IF($B1132="","",(COUNTIF(C1108:E1125,$B1132)+COUNTIF(C1108:E1125,$B1132&amp;" ~*")&gt;0)+(COUNTIF(G1108:I1125,$B1132)+COUNTIF(G1108:I1125,$B1132&amp;" ~*")&gt;0)+(COUNTIF(K1108:M1125,$B1132)+COUNTIF(K1108:M1125,$B1132&amp;" ~*")&gt;0)+(COUNTIF(O1108:Q1125,$B1132)+COUNTIF(O1108:Q1125,$B1132&amp;" ~*")&gt;0)+(COUNTIF(S1108:U1125,$B1132)+COUNTIF(S1108:U1125,$B1132&amp;" ~*")&gt;0)+(COUNTIF(W1108:W1125,$B1132)+COUNTIF(W1108:W1125,$B1132&amp;" ~*")&gt;0)+(COUNTIF(Y1108:Y1125,$B1132)+COUNTIF(Y1108:Y1125,$B1132&amp;" ~*")&gt;0))</f>
        <v/>
      </c>
      <c r="AC1132" s="38">
        <f>IF($B1132="","",(IFERROR(INDEX(Setup!$G$33:$G$40,MATCH(C1132,Setup!$B$33:$B$40,0)),0)=1)*(COUNTIF(C1108:E1125,$B1132)+COUNTIF(C1108:E1125,$B1132&amp;" ~*")&gt;0)+(IFERROR(INDEX(Setup!$G$33:$G$40,MATCH(G1132,Setup!$B$33:$B$40,0)),0)=1)*(COUNTIF(G1108:I1125,$B1132)+COUNTIF(G1108:I1125,$B1132&amp;" ~*")&gt;0)+(IFERROR(INDEX(Setup!$G$33:$G$40,MATCH(K1132,Setup!$B$33:$B$40,0)),0)=1)*(COUNTIF(K1108:M1125,$B1132)+COUNTIF(K1108:M1125,$B1132&amp;" ~*")&gt;0)+(IFERROR(INDEX(Setup!$G$33:$G$40,MATCH(O1132,Setup!$B$33:$B$40,0)),0)=1)*(COUNTIF(O1108:Q1125,$B1132)+COUNTIF(O1108:Q1125,$B1132&amp;" ~*")&gt;0)+(IFERROR(INDEX(Setup!$G$33:$G$40,MATCH(S1132,Setup!$B$33:$B$40,0)),0)=1)*(COUNTIF(S1108:U1125,$B1132)+COUNTIF(S1108:U1125,$B1132&amp;" ~*")&gt;0)+(IFERROR(INDEX(Setup!$G$33:$G$40,MATCH(W1132,Setup!$B$33:$B$40,0)),0)=1)*(COUNTIF(W1108:W1125,$B1132)+COUNTIF(W1108:W1125,$B1132&amp;" ~*")&gt;0)+(IFERROR(INDEX(Setup!$G$33:$G$40,MATCH(Y1132,Setup!$B$33:$B$40,0)),0)=1)*(COUNTIF(Y1108:Y1125,$B1132)+COUNTIF(Y1108:Y1125,$B1132&amp;" ~*")&gt;0))</f>
        <v/>
      </c>
    </row>
    <row r="1133" ht="15" customHeight="1">
      <c r="A1133" t="n">
        <v>23</v>
      </c>
      <c r="B1133" s="35">
        <f>IF(Setup!$B$12="","",Setup!$B$12)</f>
        <v/>
      </c>
      <c r="C1133" s="98" t="n"/>
      <c r="D1133" s="99" t="n"/>
      <c r="E1133" s="99" t="n"/>
      <c r="F1133" s="100" t="n"/>
      <c r="G1133" s="98" t="n"/>
      <c r="H1133" s="99" t="n"/>
      <c r="I1133" s="99" t="n"/>
      <c r="J1133" s="100" t="n"/>
      <c r="K1133" s="98" t="n"/>
      <c r="L1133" s="99" t="n"/>
      <c r="M1133" s="99" t="n"/>
      <c r="N1133" s="100" t="n"/>
      <c r="O1133" s="98" t="n"/>
      <c r="P1133" s="99" t="n"/>
      <c r="Q1133" s="99" t="n"/>
      <c r="R1133" s="100" t="n"/>
      <c r="S1133" s="98" t="n"/>
      <c r="T1133" s="99" t="n"/>
      <c r="U1133" s="99" t="n"/>
      <c r="V1133" s="100" t="n"/>
      <c r="W1133" s="98" t="n"/>
      <c r="X1133" s="100" t="n"/>
      <c r="Y1133" s="98" t="n"/>
      <c r="Z1133" s="100" t="n"/>
      <c r="AB1133" s="101">
        <f>IF($B1133="","",(COUNTIF(C1108:E1125,$B1133)+COUNTIF(C1108:E1125,$B1133&amp;" ~*")&gt;0)+(COUNTIF(G1108:I1125,$B1133)+COUNTIF(G1108:I1125,$B1133&amp;" ~*")&gt;0)+(COUNTIF(K1108:M1125,$B1133)+COUNTIF(K1108:M1125,$B1133&amp;" ~*")&gt;0)+(COUNTIF(O1108:Q1125,$B1133)+COUNTIF(O1108:Q1125,$B1133&amp;" ~*")&gt;0)+(COUNTIF(S1108:U1125,$B1133)+COUNTIF(S1108:U1125,$B1133&amp;" ~*")&gt;0)+(COUNTIF(W1108:W1125,$B1133)+COUNTIF(W1108:W1125,$B1133&amp;" ~*")&gt;0)+(COUNTIF(Y1108:Y1125,$B1133)+COUNTIF(Y1108:Y1125,$B1133&amp;" ~*")&gt;0))</f>
        <v/>
      </c>
      <c r="AC1133" s="36">
        <f>IF($B1133="","",(IFERROR(INDEX(Setup!$G$33:$G$40,MATCH(C1133,Setup!$B$33:$B$40,0)),0)=1)*(COUNTIF(C1108:E1125,$B1133)+COUNTIF(C1108:E1125,$B1133&amp;" ~*")&gt;0)+(IFERROR(INDEX(Setup!$G$33:$G$40,MATCH(G1133,Setup!$B$33:$B$40,0)),0)=1)*(COUNTIF(G1108:I1125,$B1133)+COUNTIF(G1108:I1125,$B1133&amp;" ~*")&gt;0)+(IFERROR(INDEX(Setup!$G$33:$G$40,MATCH(K1133,Setup!$B$33:$B$40,0)),0)=1)*(COUNTIF(K1108:M1125,$B1133)+COUNTIF(K1108:M1125,$B1133&amp;" ~*")&gt;0)+(IFERROR(INDEX(Setup!$G$33:$G$40,MATCH(O1133,Setup!$B$33:$B$40,0)),0)=1)*(COUNTIF(O1108:Q1125,$B1133)+COUNTIF(O1108:Q1125,$B1133&amp;" ~*")&gt;0)+(IFERROR(INDEX(Setup!$G$33:$G$40,MATCH(S1133,Setup!$B$33:$B$40,0)),0)=1)*(COUNTIF(S1108:U1125,$B1133)+COUNTIF(S1108:U1125,$B1133&amp;" ~*")&gt;0)+(IFERROR(INDEX(Setup!$G$33:$G$40,MATCH(W1133,Setup!$B$33:$B$40,0)),0)=1)*(COUNTIF(W1108:W1125,$B1133)+COUNTIF(W1108:W1125,$B1133&amp;" ~*")&gt;0)+(IFERROR(INDEX(Setup!$G$33:$G$40,MATCH(Y1133,Setup!$B$33:$B$40,0)),0)=1)*(COUNTIF(Y1108:Y1125,$B1133)+COUNTIF(Y1108:Y1125,$B1133&amp;" ~*")&gt;0))</f>
        <v/>
      </c>
    </row>
    <row r="1134" ht="15" customHeight="1">
      <c r="A1134" t="n">
        <v>23</v>
      </c>
      <c r="B1134" s="37">
        <f>IF(Setup!$B$13="","",Setup!$B$13)</f>
        <v/>
      </c>
      <c r="C1134" s="102" t="n"/>
      <c r="D1134" s="103" t="n"/>
      <c r="E1134" s="103" t="n"/>
      <c r="F1134" s="104" t="n"/>
      <c r="G1134" s="102" t="n"/>
      <c r="H1134" s="103" t="n"/>
      <c r="I1134" s="103" t="n"/>
      <c r="J1134" s="104" t="n"/>
      <c r="K1134" s="102" t="n"/>
      <c r="L1134" s="103" t="n"/>
      <c r="M1134" s="103" t="n"/>
      <c r="N1134" s="104" t="n"/>
      <c r="O1134" s="102" t="n"/>
      <c r="P1134" s="103" t="n"/>
      <c r="Q1134" s="103" t="n"/>
      <c r="R1134" s="104" t="n"/>
      <c r="S1134" s="102" t="n"/>
      <c r="T1134" s="103" t="n"/>
      <c r="U1134" s="103" t="n"/>
      <c r="V1134" s="104" t="n"/>
      <c r="W1134" s="102" t="n"/>
      <c r="X1134" s="104" t="n"/>
      <c r="Y1134" s="102" t="n"/>
      <c r="Z1134" s="104" t="n"/>
      <c r="AB1134" s="105">
        <f>IF($B1134="","",(COUNTIF(C1108:E1125,$B1134)+COUNTIF(C1108:E1125,$B1134&amp;" ~*")&gt;0)+(COUNTIF(G1108:I1125,$B1134)+COUNTIF(G1108:I1125,$B1134&amp;" ~*")&gt;0)+(COUNTIF(K1108:M1125,$B1134)+COUNTIF(K1108:M1125,$B1134&amp;" ~*")&gt;0)+(COUNTIF(O1108:Q1125,$B1134)+COUNTIF(O1108:Q1125,$B1134&amp;" ~*")&gt;0)+(COUNTIF(S1108:U1125,$B1134)+COUNTIF(S1108:U1125,$B1134&amp;" ~*")&gt;0)+(COUNTIF(W1108:W1125,$B1134)+COUNTIF(W1108:W1125,$B1134&amp;" ~*")&gt;0)+(COUNTIF(Y1108:Y1125,$B1134)+COUNTIF(Y1108:Y1125,$B1134&amp;" ~*")&gt;0))</f>
        <v/>
      </c>
      <c r="AC1134" s="38">
        <f>IF($B1134="","",(IFERROR(INDEX(Setup!$G$33:$G$40,MATCH(C1134,Setup!$B$33:$B$40,0)),0)=1)*(COUNTIF(C1108:E1125,$B1134)+COUNTIF(C1108:E1125,$B1134&amp;" ~*")&gt;0)+(IFERROR(INDEX(Setup!$G$33:$G$40,MATCH(G1134,Setup!$B$33:$B$40,0)),0)=1)*(COUNTIF(G1108:I1125,$B1134)+COUNTIF(G1108:I1125,$B1134&amp;" ~*")&gt;0)+(IFERROR(INDEX(Setup!$G$33:$G$40,MATCH(K1134,Setup!$B$33:$B$40,0)),0)=1)*(COUNTIF(K1108:M1125,$B1134)+COUNTIF(K1108:M1125,$B1134&amp;" ~*")&gt;0)+(IFERROR(INDEX(Setup!$G$33:$G$40,MATCH(O1134,Setup!$B$33:$B$40,0)),0)=1)*(COUNTIF(O1108:Q1125,$B1134)+COUNTIF(O1108:Q1125,$B1134&amp;" ~*")&gt;0)+(IFERROR(INDEX(Setup!$G$33:$G$40,MATCH(S1134,Setup!$B$33:$B$40,0)),0)=1)*(COUNTIF(S1108:U1125,$B1134)+COUNTIF(S1108:U1125,$B1134&amp;" ~*")&gt;0)+(IFERROR(INDEX(Setup!$G$33:$G$40,MATCH(W1134,Setup!$B$33:$B$40,0)),0)=1)*(COUNTIF(W1108:W1125,$B1134)+COUNTIF(W1108:W1125,$B1134&amp;" ~*")&gt;0)+(IFERROR(INDEX(Setup!$G$33:$G$40,MATCH(Y1134,Setup!$B$33:$B$40,0)),0)=1)*(COUNTIF(Y1108:Y1125,$B1134)+COUNTIF(Y1108:Y1125,$B1134&amp;" ~*")&gt;0))</f>
        <v/>
      </c>
    </row>
    <row r="1135" ht="15" customHeight="1">
      <c r="A1135" t="n">
        <v>23</v>
      </c>
      <c r="B1135" s="35">
        <f>IF(Setup!$B$14="","",Setup!$B$14)</f>
        <v/>
      </c>
      <c r="C1135" s="98" t="n"/>
      <c r="D1135" s="99" t="n"/>
      <c r="E1135" s="99" t="n"/>
      <c r="F1135" s="100" t="n"/>
      <c r="G1135" s="98" t="n"/>
      <c r="H1135" s="99" t="n"/>
      <c r="I1135" s="99" t="n"/>
      <c r="J1135" s="100" t="n"/>
      <c r="K1135" s="98" t="n"/>
      <c r="L1135" s="99" t="n"/>
      <c r="M1135" s="99" t="n"/>
      <c r="N1135" s="100" t="n"/>
      <c r="O1135" s="98" t="n"/>
      <c r="P1135" s="99" t="n"/>
      <c r="Q1135" s="99" t="n"/>
      <c r="R1135" s="100" t="n"/>
      <c r="S1135" s="98" t="n"/>
      <c r="T1135" s="99" t="n"/>
      <c r="U1135" s="99" t="n"/>
      <c r="V1135" s="100" t="n"/>
      <c r="W1135" s="98" t="n"/>
      <c r="X1135" s="100" t="n"/>
      <c r="Y1135" s="98" t="n"/>
      <c r="Z1135" s="100" t="n"/>
      <c r="AB1135" s="101">
        <f>IF($B1135="","",(COUNTIF(C1108:E1125,$B1135)+COUNTIF(C1108:E1125,$B1135&amp;" ~*")&gt;0)+(COUNTIF(G1108:I1125,$B1135)+COUNTIF(G1108:I1125,$B1135&amp;" ~*")&gt;0)+(COUNTIF(K1108:M1125,$B1135)+COUNTIF(K1108:M1125,$B1135&amp;" ~*")&gt;0)+(COUNTIF(O1108:Q1125,$B1135)+COUNTIF(O1108:Q1125,$B1135&amp;" ~*")&gt;0)+(COUNTIF(S1108:U1125,$B1135)+COUNTIF(S1108:U1125,$B1135&amp;" ~*")&gt;0)+(COUNTIF(W1108:W1125,$B1135)+COUNTIF(W1108:W1125,$B1135&amp;" ~*")&gt;0)+(COUNTIF(Y1108:Y1125,$B1135)+COUNTIF(Y1108:Y1125,$B1135&amp;" ~*")&gt;0))</f>
        <v/>
      </c>
      <c r="AC1135" s="36">
        <f>IF($B1135="","",(IFERROR(INDEX(Setup!$G$33:$G$40,MATCH(C1135,Setup!$B$33:$B$40,0)),0)=1)*(COUNTIF(C1108:E1125,$B1135)+COUNTIF(C1108:E1125,$B1135&amp;" ~*")&gt;0)+(IFERROR(INDEX(Setup!$G$33:$G$40,MATCH(G1135,Setup!$B$33:$B$40,0)),0)=1)*(COUNTIF(G1108:I1125,$B1135)+COUNTIF(G1108:I1125,$B1135&amp;" ~*")&gt;0)+(IFERROR(INDEX(Setup!$G$33:$G$40,MATCH(K1135,Setup!$B$33:$B$40,0)),0)=1)*(COUNTIF(K1108:M1125,$B1135)+COUNTIF(K1108:M1125,$B1135&amp;" ~*")&gt;0)+(IFERROR(INDEX(Setup!$G$33:$G$40,MATCH(O1135,Setup!$B$33:$B$40,0)),0)=1)*(COUNTIF(O1108:Q1125,$B1135)+COUNTIF(O1108:Q1125,$B1135&amp;" ~*")&gt;0)+(IFERROR(INDEX(Setup!$G$33:$G$40,MATCH(S1135,Setup!$B$33:$B$40,0)),0)=1)*(COUNTIF(S1108:U1125,$B1135)+COUNTIF(S1108:U1125,$B1135&amp;" ~*")&gt;0)+(IFERROR(INDEX(Setup!$G$33:$G$40,MATCH(W1135,Setup!$B$33:$B$40,0)),0)=1)*(COUNTIF(W1108:W1125,$B1135)+COUNTIF(W1108:W1125,$B1135&amp;" ~*")&gt;0)+(IFERROR(INDEX(Setup!$G$33:$G$40,MATCH(Y1135,Setup!$B$33:$B$40,0)),0)=1)*(COUNTIF(Y1108:Y1125,$B1135)+COUNTIF(Y1108:Y1125,$B1135&amp;" ~*")&gt;0))</f>
        <v/>
      </c>
    </row>
    <row r="1136" ht="15" customHeight="1">
      <c r="A1136" t="n">
        <v>23</v>
      </c>
      <c r="B1136" s="37">
        <f>IF(Setup!$B$15="","",Setup!$B$15)</f>
        <v/>
      </c>
      <c r="C1136" s="102" t="n"/>
      <c r="D1136" s="103" t="n"/>
      <c r="E1136" s="103" t="n"/>
      <c r="F1136" s="104" t="n"/>
      <c r="G1136" s="102" t="n"/>
      <c r="H1136" s="103" t="n"/>
      <c r="I1136" s="103" t="n"/>
      <c r="J1136" s="104" t="n"/>
      <c r="K1136" s="102" t="n"/>
      <c r="L1136" s="103" t="n"/>
      <c r="M1136" s="103" t="n"/>
      <c r="N1136" s="104" t="n"/>
      <c r="O1136" s="102" t="n"/>
      <c r="P1136" s="103" t="n"/>
      <c r="Q1136" s="103" t="n"/>
      <c r="R1136" s="104" t="n"/>
      <c r="S1136" s="102" t="n"/>
      <c r="T1136" s="103" t="n"/>
      <c r="U1136" s="103" t="n"/>
      <c r="V1136" s="104" t="n"/>
      <c r="W1136" s="102" t="n"/>
      <c r="X1136" s="104" t="n"/>
      <c r="Y1136" s="102" t="n"/>
      <c r="Z1136" s="104" t="n"/>
      <c r="AB1136" s="105">
        <f>IF($B1136="","",(COUNTIF(C1108:E1125,$B1136)+COUNTIF(C1108:E1125,$B1136&amp;" ~*")&gt;0)+(COUNTIF(G1108:I1125,$B1136)+COUNTIF(G1108:I1125,$B1136&amp;" ~*")&gt;0)+(COUNTIF(K1108:M1125,$B1136)+COUNTIF(K1108:M1125,$B1136&amp;" ~*")&gt;0)+(COUNTIF(O1108:Q1125,$B1136)+COUNTIF(O1108:Q1125,$B1136&amp;" ~*")&gt;0)+(COUNTIF(S1108:U1125,$B1136)+COUNTIF(S1108:U1125,$B1136&amp;" ~*")&gt;0)+(COUNTIF(W1108:W1125,$B1136)+COUNTIF(W1108:W1125,$B1136&amp;" ~*")&gt;0)+(COUNTIF(Y1108:Y1125,$B1136)+COUNTIF(Y1108:Y1125,$B1136&amp;" ~*")&gt;0))</f>
        <v/>
      </c>
      <c r="AC1136" s="38">
        <f>IF($B1136="","",(IFERROR(INDEX(Setup!$G$33:$G$40,MATCH(C1136,Setup!$B$33:$B$40,0)),0)=1)*(COUNTIF(C1108:E1125,$B1136)+COUNTIF(C1108:E1125,$B1136&amp;" ~*")&gt;0)+(IFERROR(INDEX(Setup!$G$33:$G$40,MATCH(G1136,Setup!$B$33:$B$40,0)),0)=1)*(COUNTIF(G1108:I1125,$B1136)+COUNTIF(G1108:I1125,$B1136&amp;" ~*")&gt;0)+(IFERROR(INDEX(Setup!$G$33:$G$40,MATCH(K1136,Setup!$B$33:$B$40,0)),0)=1)*(COUNTIF(K1108:M1125,$B1136)+COUNTIF(K1108:M1125,$B1136&amp;" ~*")&gt;0)+(IFERROR(INDEX(Setup!$G$33:$G$40,MATCH(O1136,Setup!$B$33:$B$40,0)),0)=1)*(COUNTIF(O1108:Q1125,$B1136)+COUNTIF(O1108:Q1125,$B1136&amp;" ~*")&gt;0)+(IFERROR(INDEX(Setup!$G$33:$G$40,MATCH(S1136,Setup!$B$33:$B$40,0)),0)=1)*(COUNTIF(S1108:U1125,$B1136)+COUNTIF(S1108:U1125,$B1136&amp;" ~*")&gt;0)+(IFERROR(INDEX(Setup!$G$33:$G$40,MATCH(W1136,Setup!$B$33:$B$40,0)),0)=1)*(COUNTIF(W1108:W1125,$B1136)+COUNTIF(W1108:W1125,$B1136&amp;" ~*")&gt;0)+(IFERROR(INDEX(Setup!$G$33:$G$40,MATCH(Y1136,Setup!$B$33:$B$40,0)),0)=1)*(COUNTIF(Y1108:Y1125,$B1136)+COUNTIF(Y1108:Y1125,$B1136&amp;" ~*")&gt;0))</f>
        <v/>
      </c>
    </row>
    <row r="1137" ht="15" customHeight="1">
      <c r="A1137" t="n">
        <v>23</v>
      </c>
      <c r="B1137" s="35">
        <f>IF(Setup!$B$16="","",Setup!$B$16)</f>
        <v/>
      </c>
      <c r="C1137" s="98" t="n"/>
      <c r="D1137" s="99" t="n"/>
      <c r="E1137" s="99" t="n"/>
      <c r="F1137" s="100" t="n"/>
      <c r="G1137" s="98" t="n"/>
      <c r="H1137" s="99" t="n"/>
      <c r="I1137" s="99" t="n"/>
      <c r="J1137" s="100" t="n"/>
      <c r="K1137" s="98" t="n"/>
      <c r="L1137" s="99" t="n"/>
      <c r="M1137" s="99" t="n"/>
      <c r="N1137" s="100" t="n"/>
      <c r="O1137" s="98" t="n"/>
      <c r="P1137" s="99" t="n"/>
      <c r="Q1137" s="99" t="n"/>
      <c r="R1137" s="100" t="n"/>
      <c r="S1137" s="98" t="n"/>
      <c r="T1137" s="99" t="n"/>
      <c r="U1137" s="99" t="n"/>
      <c r="V1137" s="100" t="n"/>
      <c r="W1137" s="98" t="n"/>
      <c r="X1137" s="100" t="n"/>
      <c r="Y1137" s="98" t="n"/>
      <c r="Z1137" s="100" t="n"/>
      <c r="AB1137" s="101">
        <f>IF($B1137="","",(COUNTIF(C1108:E1125,$B1137)+COUNTIF(C1108:E1125,$B1137&amp;" ~*")&gt;0)+(COUNTIF(G1108:I1125,$B1137)+COUNTIF(G1108:I1125,$B1137&amp;" ~*")&gt;0)+(COUNTIF(K1108:M1125,$B1137)+COUNTIF(K1108:M1125,$B1137&amp;" ~*")&gt;0)+(COUNTIF(O1108:Q1125,$B1137)+COUNTIF(O1108:Q1125,$B1137&amp;" ~*")&gt;0)+(COUNTIF(S1108:U1125,$B1137)+COUNTIF(S1108:U1125,$B1137&amp;" ~*")&gt;0)+(COUNTIF(W1108:W1125,$B1137)+COUNTIF(W1108:W1125,$B1137&amp;" ~*")&gt;0)+(COUNTIF(Y1108:Y1125,$B1137)+COUNTIF(Y1108:Y1125,$B1137&amp;" ~*")&gt;0))</f>
        <v/>
      </c>
      <c r="AC1137" s="36">
        <f>IF($B1137="","",(IFERROR(INDEX(Setup!$G$33:$G$40,MATCH(C1137,Setup!$B$33:$B$40,0)),0)=1)*(COUNTIF(C1108:E1125,$B1137)+COUNTIF(C1108:E1125,$B1137&amp;" ~*")&gt;0)+(IFERROR(INDEX(Setup!$G$33:$G$40,MATCH(G1137,Setup!$B$33:$B$40,0)),0)=1)*(COUNTIF(G1108:I1125,$B1137)+COUNTIF(G1108:I1125,$B1137&amp;" ~*")&gt;0)+(IFERROR(INDEX(Setup!$G$33:$G$40,MATCH(K1137,Setup!$B$33:$B$40,0)),0)=1)*(COUNTIF(K1108:M1125,$B1137)+COUNTIF(K1108:M1125,$B1137&amp;" ~*")&gt;0)+(IFERROR(INDEX(Setup!$G$33:$G$40,MATCH(O1137,Setup!$B$33:$B$40,0)),0)=1)*(COUNTIF(O1108:Q1125,$B1137)+COUNTIF(O1108:Q1125,$B1137&amp;" ~*")&gt;0)+(IFERROR(INDEX(Setup!$G$33:$G$40,MATCH(S1137,Setup!$B$33:$B$40,0)),0)=1)*(COUNTIF(S1108:U1125,$B1137)+COUNTIF(S1108:U1125,$B1137&amp;" ~*")&gt;0)+(IFERROR(INDEX(Setup!$G$33:$G$40,MATCH(W1137,Setup!$B$33:$B$40,0)),0)=1)*(COUNTIF(W1108:W1125,$B1137)+COUNTIF(W1108:W1125,$B1137&amp;" ~*")&gt;0)+(IFERROR(INDEX(Setup!$G$33:$G$40,MATCH(Y1137,Setup!$B$33:$B$40,0)),0)=1)*(COUNTIF(Y1108:Y1125,$B1137)+COUNTIF(Y1108:Y1125,$B1137&amp;" ~*")&gt;0))</f>
        <v/>
      </c>
    </row>
    <row r="1138" ht="15" customHeight="1">
      <c r="A1138" t="n">
        <v>23</v>
      </c>
      <c r="B1138" s="37">
        <f>IF(Setup!$B$17="","",Setup!$B$17)</f>
        <v/>
      </c>
      <c r="C1138" s="102" t="n"/>
      <c r="D1138" s="103" t="n"/>
      <c r="E1138" s="103" t="n"/>
      <c r="F1138" s="104" t="n"/>
      <c r="G1138" s="102" t="n"/>
      <c r="H1138" s="103" t="n"/>
      <c r="I1138" s="103" t="n"/>
      <c r="J1138" s="104" t="n"/>
      <c r="K1138" s="102" t="n"/>
      <c r="L1138" s="103" t="n"/>
      <c r="M1138" s="103" t="n"/>
      <c r="N1138" s="104" t="n"/>
      <c r="O1138" s="102" t="n"/>
      <c r="P1138" s="103" t="n"/>
      <c r="Q1138" s="103" t="n"/>
      <c r="R1138" s="104" t="n"/>
      <c r="S1138" s="102" t="n"/>
      <c r="T1138" s="103" t="n"/>
      <c r="U1138" s="103" t="n"/>
      <c r="V1138" s="104" t="n"/>
      <c r="W1138" s="102" t="n"/>
      <c r="X1138" s="104" t="n"/>
      <c r="Y1138" s="102" t="n"/>
      <c r="Z1138" s="104" t="n"/>
      <c r="AB1138" s="105">
        <f>IF($B1138="","",(COUNTIF(C1108:E1125,$B1138)+COUNTIF(C1108:E1125,$B1138&amp;" ~*")&gt;0)+(COUNTIF(G1108:I1125,$B1138)+COUNTIF(G1108:I1125,$B1138&amp;" ~*")&gt;0)+(COUNTIF(K1108:M1125,$B1138)+COUNTIF(K1108:M1125,$B1138&amp;" ~*")&gt;0)+(COUNTIF(O1108:Q1125,$B1138)+COUNTIF(O1108:Q1125,$B1138&amp;" ~*")&gt;0)+(COUNTIF(S1108:U1125,$B1138)+COUNTIF(S1108:U1125,$B1138&amp;" ~*")&gt;0)+(COUNTIF(W1108:W1125,$B1138)+COUNTIF(W1108:W1125,$B1138&amp;" ~*")&gt;0)+(COUNTIF(Y1108:Y1125,$B1138)+COUNTIF(Y1108:Y1125,$B1138&amp;" ~*")&gt;0))</f>
        <v/>
      </c>
      <c r="AC1138" s="38">
        <f>IF($B1138="","",(IFERROR(INDEX(Setup!$G$33:$G$40,MATCH(C1138,Setup!$B$33:$B$40,0)),0)=1)*(COUNTIF(C1108:E1125,$B1138)+COUNTIF(C1108:E1125,$B1138&amp;" ~*")&gt;0)+(IFERROR(INDEX(Setup!$G$33:$G$40,MATCH(G1138,Setup!$B$33:$B$40,0)),0)=1)*(COUNTIF(G1108:I1125,$B1138)+COUNTIF(G1108:I1125,$B1138&amp;" ~*")&gt;0)+(IFERROR(INDEX(Setup!$G$33:$G$40,MATCH(K1138,Setup!$B$33:$B$40,0)),0)=1)*(COUNTIF(K1108:M1125,$B1138)+COUNTIF(K1108:M1125,$B1138&amp;" ~*")&gt;0)+(IFERROR(INDEX(Setup!$G$33:$G$40,MATCH(O1138,Setup!$B$33:$B$40,0)),0)=1)*(COUNTIF(O1108:Q1125,$B1138)+COUNTIF(O1108:Q1125,$B1138&amp;" ~*")&gt;0)+(IFERROR(INDEX(Setup!$G$33:$G$40,MATCH(S1138,Setup!$B$33:$B$40,0)),0)=1)*(COUNTIF(S1108:U1125,$B1138)+COUNTIF(S1108:U1125,$B1138&amp;" ~*")&gt;0)+(IFERROR(INDEX(Setup!$G$33:$G$40,MATCH(W1138,Setup!$B$33:$B$40,0)),0)=1)*(COUNTIF(W1108:W1125,$B1138)+COUNTIF(W1108:W1125,$B1138&amp;" ~*")&gt;0)+(IFERROR(INDEX(Setup!$G$33:$G$40,MATCH(Y1138,Setup!$B$33:$B$40,0)),0)=1)*(COUNTIF(Y1108:Y1125,$B1138)+COUNTIF(Y1108:Y1125,$B1138&amp;" ~*")&gt;0))</f>
        <v/>
      </c>
    </row>
    <row r="1139" ht="15" customHeight="1">
      <c r="A1139" t="n">
        <v>23</v>
      </c>
      <c r="B1139" s="35">
        <f>IF(Setup!$B$18="","",Setup!$B$18)</f>
        <v/>
      </c>
      <c r="C1139" s="98" t="n"/>
      <c r="D1139" s="99" t="n"/>
      <c r="E1139" s="99" t="n"/>
      <c r="F1139" s="100" t="n"/>
      <c r="G1139" s="98" t="n"/>
      <c r="H1139" s="99" t="n"/>
      <c r="I1139" s="99" t="n"/>
      <c r="J1139" s="100" t="n"/>
      <c r="K1139" s="98" t="n"/>
      <c r="L1139" s="99" t="n"/>
      <c r="M1139" s="99" t="n"/>
      <c r="N1139" s="100" t="n"/>
      <c r="O1139" s="98" t="n"/>
      <c r="P1139" s="99" t="n"/>
      <c r="Q1139" s="99" t="n"/>
      <c r="R1139" s="100" t="n"/>
      <c r="S1139" s="98" t="n"/>
      <c r="T1139" s="99" t="n"/>
      <c r="U1139" s="99" t="n"/>
      <c r="V1139" s="100" t="n"/>
      <c r="W1139" s="98" t="n"/>
      <c r="X1139" s="100" t="n"/>
      <c r="Y1139" s="98" t="n"/>
      <c r="Z1139" s="100" t="n"/>
      <c r="AB1139" s="101">
        <f>IF($B1139="","",(COUNTIF(C1108:E1125,$B1139)+COUNTIF(C1108:E1125,$B1139&amp;" ~*")&gt;0)+(COUNTIF(G1108:I1125,$B1139)+COUNTIF(G1108:I1125,$B1139&amp;" ~*")&gt;0)+(COUNTIF(K1108:M1125,$B1139)+COUNTIF(K1108:M1125,$B1139&amp;" ~*")&gt;0)+(COUNTIF(O1108:Q1125,$B1139)+COUNTIF(O1108:Q1125,$B1139&amp;" ~*")&gt;0)+(COUNTIF(S1108:U1125,$B1139)+COUNTIF(S1108:U1125,$B1139&amp;" ~*")&gt;0)+(COUNTIF(W1108:W1125,$B1139)+COUNTIF(W1108:W1125,$B1139&amp;" ~*")&gt;0)+(COUNTIF(Y1108:Y1125,$B1139)+COUNTIF(Y1108:Y1125,$B1139&amp;" ~*")&gt;0))</f>
        <v/>
      </c>
      <c r="AC1139" s="36">
        <f>IF($B1139="","",(IFERROR(INDEX(Setup!$G$33:$G$40,MATCH(C1139,Setup!$B$33:$B$40,0)),0)=1)*(COUNTIF(C1108:E1125,$B1139)+COUNTIF(C1108:E1125,$B1139&amp;" ~*")&gt;0)+(IFERROR(INDEX(Setup!$G$33:$G$40,MATCH(G1139,Setup!$B$33:$B$40,0)),0)=1)*(COUNTIF(G1108:I1125,$B1139)+COUNTIF(G1108:I1125,$B1139&amp;" ~*")&gt;0)+(IFERROR(INDEX(Setup!$G$33:$G$40,MATCH(K1139,Setup!$B$33:$B$40,0)),0)=1)*(COUNTIF(K1108:M1125,$B1139)+COUNTIF(K1108:M1125,$B1139&amp;" ~*")&gt;0)+(IFERROR(INDEX(Setup!$G$33:$G$40,MATCH(O1139,Setup!$B$33:$B$40,0)),0)=1)*(COUNTIF(O1108:Q1125,$B1139)+COUNTIF(O1108:Q1125,$B1139&amp;" ~*")&gt;0)+(IFERROR(INDEX(Setup!$G$33:$G$40,MATCH(S1139,Setup!$B$33:$B$40,0)),0)=1)*(COUNTIF(S1108:U1125,$B1139)+COUNTIF(S1108:U1125,$B1139&amp;" ~*")&gt;0)+(IFERROR(INDEX(Setup!$G$33:$G$40,MATCH(W1139,Setup!$B$33:$B$40,0)),0)=1)*(COUNTIF(W1108:W1125,$B1139)+COUNTIF(W1108:W1125,$B1139&amp;" ~*")&gt;0)+(IFERROR(INDEX(Setup!$G$33:$G$40,MATCH(Y1139,Setup!$B$33:$B$40,0)),0)=1)*(COUNTIF(Y1108:Y1125,$B1139)+COUNTIF(Y1108:Y1125,$B1139&amp;" ~*")&gt;0))</f>
        <v/>
      </c>
    </row>
    <row r="1140" ht="15" customHeight="1">
      <c r="A1140" t="n">
        <v>23</v>
      </c>
      <c r="B1140" s="37">
        <f>IF(Setup!$B$19="","",Setup!$B$19)</f>
        <v/>
      </c>
      <c r="C1140" s="102" t="n"/>
      <c r="D1140" s="103" t="n"/>
      <c r="E1140" s="103" t="n"/>
      <c r="F1140" s="104" t="n"/>
      <c r="G1140" s="102" t="n"/>
      <c r="H1140" s="103" t="n"/>
      <c r="I1140" s="103" t="n"/>
      <c r="J1140" s="104" t="n"/>
      <c r="K1140" s="102" t="n"/>
      <c r="L1140" s="103" t="n"/>
      <c r="M1140" s="103" t="n"/>
      <c r="N1140" s="104" t="n"/>
      <c r="O1140" s="102" t="n"/>
      <c r="P1140" s="103" t="n"/>
      <c r="Q1140" s="103" t="n"/>
      <c r="R1140" s="104" t="n"/>
      <c r="S1140" s="102" t="n"/>
      <c r="T1140" s="103" t="n"/>
      <c r="U1140" s="103" t="n"/>
      <c r="V1140" s="104" t="n"/>
      <c r="W1140" s="102" t="n"/>
      <c r="X1140" s="104" t="n"/>
      <c r="Y1140" s="102" t="n"/>
      <c r="Z1140" s="104" t="n"/>
      <c r="AB1140" s="105">
        <f>IF($B1140="","",(COUNTIF(C1108:E1125,$B1140)+COUNTIF(C1108:E1125,$B1140&amp;" ~*")&gt;0)+(COUNTIF(G1108:I1125,$B1140)+COUNTIF(G1108:I1125,$B1140&amp;" ~*")&gt;0)+(COUNTIF(K1108:M1125,$B1140)+COUNTIF(K1108:M1125,$B1140&amp;" ~*")&gt;0)+(COUNTIF(O1108:Q1125,$B1140)+COUNTIF(O1108:Q1125,$B1140&amp;" ~*")&gt;0)+(COUNTIF(S1108:U1125,$B1140)+COUNTIF(S1108:U1125,$B1140&amp;" ~*")&gt;0)+(COUNTIF(W1108:W1125,$B1140)+COUNTIF(W1108:W1125,$B1140&amp;" ~*")&gt;0)+(COUNTIF(Y1108:Y1125,$B1140)+COUNTIF(Y1108:Y1125,$B1140&amp;" ~*")&gt;0))</f>
        <v/>
      </c>
      <c r="AC1140" s="38">
        <f>IF($B1140="","",(IFERROR(INDEX(Setup!$G$33:$G$40,MATCH(C1140,Setup!$B$33:$B$40,0)),0)=1)*(COUNTIF(C1108:E1125,$B1140)+COUNTIF(C1108:E1125,$B1140&amp;" ~*")&gt;0)+(IFERROR(INDEX(Setup!$G$33:$G$40,MATCH(G1140,Setup!$B$33:$B$40,0)),0)=1)*(COUNTIF(G1108:I1125,$B1140)+COUNTIF(G1108:I1125,$B1140&amp;" ~*")&gt;0)+(IFERROR(INDEX(Setup!$G$33:$G$40,MATCH(K1140,Setup!$B$33:$B$40,0)),0)=1)*(COUNTIF(K1108:M1125,$B1140)+COUNTIF(K1108:M1125,$B1140&amp;" ~*")&gt;0)+(IFERROR(INDEX(Setup!$G$33:$G$40,MATCH(O1140,Setup!$B$33:$B$40,0)),0)=1)*(COUNTIF(O1108:Q1125,$B1140)+COUNTIF(O1108:Q1125,$B1140&amp;" ~*")&gt;0)+(IFERROR(INDEX(Setup!$G$33:$G$40,MATCH(S1140,Setup!$B$33:$B$40,0)),0)=1)*(COUNTIF(S1108:U1125,$B1140)+COUNTIF(S1108:U1125,$B1140&amp;" ~*")&gt;0)+(IFERROR(INDEX(Setup!$G$33:$G$40,MATCH(W1140,Setup!$B$33:$B$40,0)),0)=1)*(COUNTIF(W1108:W1125,$B1140)+COUNTIF(W1108:W1125,$B1140&amp;" ~*")&gt;0)+(IFERROR(INDEX(Setup!$G$33:$G$40,MATCH(Y1140,Setup!$B$33:$B$40,0)),0)=1)*(COUNTIF(Y1108:Y1125,$B1140)+COUNTIF(Y1108:Y1125,$B1140&amp;" ~*")&gt;0))</f>
        <v/>
      </c>
    </row>
    <row r="1141" ht="15" customHeight="1">
      <c r="A1141" t="n">
        <v>23</v>
      </c>
      <c r="B1141" s="35">
        <f>IF(Setup!$B$20="","",Setup!$B$20)</f>
        <v/>
      </c>
      <c r="C1141" s="98" t="n"/>
      <c r="D1141" s="99" t="n"/>
      <c r="E1141" s="99" t="n"/>
      <c r="F1141" s="100" t="n"/>
      <c r="G1141" s="98" t="n"/>
      <c r="H1141" s="99" t="n"/>
      <c r="I1141" s="99" t="n"/>
      <c r="J1141" s="100" t="n"/>
      <c r="K1141" s="98" t="n"/>
      <c r="L1141" s="99" t="n"/>
      <c r="M1141" s="99" t="n"/>
      <c r="N1141" s="100" t="n"/>
      <c r="O1141" s="98" t="n"/>
      <c r="P1141" s="99" t="n"/>
      <c r="Q1141" s="99" t="n"/>
      <c r="R1141" s="100" t="n"/>
      <c r="S1141" s="98" t="n"/>
      <c r="T1141" s="99" t="n"/>
      <c r="U1141" s="99" t="n"/>
      <c r="V1141" s="100" t="n"/>
      <c r="W1141" s="98" t="n"/>
      <c r="X1141" s="100" t="n"/>
      <c r="Y1141" s="98" t="n"/>
      <c r="Z1141" s="100" t="n"/>
      <c r="AB1141" s="101">
        <f>IF($B1141="","",(COUNTIF(C1108:E1125,$B1141)+COUNTIF(C1108:E1125,$B1141&amp;" ~*")&gt;0)+(COUNTIF(G1108:I1125,$B1141)+COUNTIF(G1108:I1125,$B1141&amp;" ~*")&gt;0)+(COUNTIF(K1108:M1125,$B1141)+COUNTIF(K1108:M1125,$B1141&amp;" ~*")&gt;0)+(COUNTIF(O1108:Q1125,$B1141)+COUNTIF(O1108:Q1125,$B1141&amp;" ~*")&gt;0)+(COUNTIF(S1108:U1125,$B1141)+COUNTIF(S1108:U1125,$B1141&amp;" ~*")&gt;0)+(COUNTIF(W1108:W1125,$B1141)+COUNTIF(W1108:W1125,$B1141&amp;" ~*")&gt;0)+(COUNTIF(Y1108:Y1125,$B1141)+COUNTIF(Y1108:Y1125,$B1141&amp;" ~*")&gt;0))</f>
        <v/>
      </c>
      <c r="AC1141" s="36">
        <f>IF($B1141="","",(IFERROR(INDEX(Setup!$G$33:$G$40,MATCH(C1141,Setup!$B$33:$B$40,0)),0)=1)*(COUNTIF(C1108:E1125,$B1141)+COUNTIF(C1108:E1125,$B1141&amp;" ~*")&gt;0)+(IFERROR(INDEX(Setup!$G$33:$G$40,MATCH(G1141,Setup!$B$33:$B$40,0)),0)=1)*(COUNTIF(G1108:I1125,$B1141)+COUNTIF(G1108:I1125,$B1141&amp;" ~*")&gt;0)+(IFERROR(INDEX(Setup!$G$33:$G$40,MATCH(K1141,Setup!$B$33:$B$40,0)),0)=1)*(COUNTIF(K1108:M1125,$B1141)+COUNTIF(K1108:M1125,$B1141&amp;" ~*")&gt;0)+(IFERROR(INDEX(Setup!$G$33:$G$40,MATCH(O1141,Setup!$B$33:$B$40,0)),0)=1)*(COUNTIF(O1108:Q1125,$B1141)+COUNTIF(O1108:Q1125,$B1141&amp;" ~*")&gt;0)+(IFERROR(INDEX(Setup!$G$33:$G$40,MATCH(S1141,Setup!$B$33:$B$40,0)),0)=1)*(COUNTIF(S1108:U1125,$B1141)+COUNTIF(S1108:U1125,$B1141&amp;" ~*")&gt;0)+(IFERROR(INDEX(Setup!$G$33:$G$40,MATCH(W1141,Setup!$B$33:$B$40,0)),0)=1)*(COUNTIF(W1108:W1125,$B1141)+COUNTIF(W1108:W1125,$B1141&amp;" ~*")&gt;0)+(IFERROR(INDEX(Setup!$G$33:$G$40,MATCH(Y1141,Setup!$B$33:$B$40,0)),0)=1)*(COUNTIF(Y1108:Y1125,$B1141)+COUNTIF(Y1108:Y1125,$B1141&amp;" ~*")&gt;0))</f>
        <v/>
      </c>
    </row>
    <row r="1142" ht="15" customHeight="1">
      <c r="A1142" t="n">
        <v>23</v>
      </c>
      <c r="B1142" s="37">
        <f>IF(Setup!$B$21="","",Setup!$B$21)</f>
        <v/>
      </c>
      <c r="C1142" s="102" t="n"/>
      <c r="D1142" s="103" t="n"/>
      <c r="E1142" s="103" t="n"/>
      <c r="F1142" s="104" t="n"/>
      <c r="G1142" s="102" t="n"/>
      <c r="H1142" s="103" t="n"/>
      <c r="I1142" s="103" t="n"/>
      <c r="J1142" s="104" t="n"/>
      <c r="K1142" s="102" t="n"/>
      <c r="L1142" s="103" t="n"/>
      <c r="M1142" s="103" t="n"/>
      <c r="N1142" s="104" t="n"/>
      <c r="O1142" s="102" t="n"/>
      <c r="P1142" s="103" t="n"/>
      <c r="Q1142" s="103" t="n"/>
      <c r="R1142" s="104" t="n"/>
      <c r="S1142" s="102" t="n"/>
      <c r="T1142" s="103" t="n"/>
      <c r="U1142" s="103" t="n"/>
      <c r="V1142" s="104" t="n"/>
      <c r="W1142" s="102" t="n"/>
      <c r="X1142" s="104" t="n"/>
      <c r="Y1142" s="102" t="n"/>
      <c r="Z1142" s="104" t="n"/>
      <c r="AB1142" s="105">
        <f>IF($B1142="","",(COUNTIF(C1108:E1125,$B1142)+COUNTIF(C1108:E1125,$B1142&amp;" ~*")&gt;0)+(COUNTIF(G1108:I1125,$B1142)+COUNTIF(G1108:I1125,$B1142&amp;" ~*")&gt;0)+(COUNTIF(K1108:M1125,$B1142)+COUNTIF(K1108:M1125,$B1142&amp;" ~*")&gt;0)+(COUNTIF(O1108:Q1125,$B1142)+COUNTIF(O1108:Q1125,$B1142&amp;" ~*")&gt;0)+(COUNTIF(S1108:U1125,$B1142)+COUNTIF(S1108:U1125,$B1142&amp;" ~*")&gt;0)+(COUNTIF(W1108:W1125,$B1142)+COUNTIF(W1108:W1125,$B1142&amp;" ~*")&gt;0)+(COUNTIF(Y1108:Y1125,$B1142)+COUNTIF(Y1108:Y1125,$B1142&amp;" ~*")&gt;0))</f>
        <v/>
      </c>
      <c r="AC1142" s="38">
        <f>IF($B1142="","",(IFERROR(INDEX(Setup!$G$33:$G$40,MATCH(C1142,Setup!$B$33:$B$40,0)),0)=1)*(COUNTIF(C1108:E1125,$B1142)+COUNTIF(C1108:E1125,$B1142&amp;" ~*")&gt;0)+(IFERROR(INDEX(Setup!$G$33:$G$40,MATCH(G1142,Setup!$B$33:$B$40,0)),0)=1)*(COUNTIF(G1108:I1125,$B1142)+COUNTIF(G1108:I1125,$B1142&amp;" ~*")&gt;0)+(IFERROR(INDEX(Setup!$G$33:$G$40,MATCH(K1142,Setup!$B$33:$B$40,0)),0)=1)*(COUNTIF(K1108:M1125,$B1142)+COUNTIF(K1108:M1125,$B1142&amp;" ~*")&gt;0)+(IFERROR(INDEX(Setup!$G$33:$G$40,MATCH(O1142,Setup!$B$33:$B$40,0)),0)=1)*(COUNTIF(O1108:Q1125,$B1142)+COUNTIF(O1108:Q1125,$B1142&amp;" ~*")&gt;0)+(IFERROR(INDEX(Setup!$G$33:$G$40,MATCH(S1142,Setup!$B$33:$B$40,0)),0)=1)*(COUNTIF(S1108:U1125,$B1142)+COUNTIF(S1108:U1125,$B1142&amp;" ~*")&gt;0)+(IFERROR(INDEX(Setup!$G$33:$G$40,MATCH(W1142,Setup!$B$33:$B$40,0)),0)=1)*(COUNTIF(W1108:W1125,$B1142)+COUNTIF(W1108:W1125,$B1142&amp;" ~*")&gt;0)+(IFERROR(INDEX(Setup!$G$33:$G$40,MATCH(Y1142,Setup!$B$33:$B$40,0)),0)=1)*(COUNTIF(Y1108:Y1125,$B1142)+COUNTIF(Y1108:Y1125,$B1142&amp;" ~*")&gt;0))</f>
        <v/>
      </c>
    </row>
    <row r="1143" ht="15" customHeight="1">
      <c r="A1143" t="n">
        <v>23</v>
      </c>
      <c r="B1143" s="35">
        <f>IF(Setup!$B$22="","",Setup!$B$22)</f>
        <v/>
      </c>
      <c r="C1143" s="98" t="n"/>
      <c r="D1143" s="99" t="n"/>
      <c r="E1143" s="99" t="n"/>
      <c r="F1143" s="100" t="n"/>
      <c r="G1143" s="98" t="n"/>
      <c r="H1143" s="99" t="n"/>
      <c r="I1143" s="99" t="n"/>
      <c r="J1143" s="100" t="n"/>
      <c r="K1143" s="98" t="n"/>
      <c r="L1143" s="99" t="n"/>
      <c r="M1143" s="99" t="n"/>
      <c r="N1143" s="100" t="n"/>
      <c r="O1143" s="98" t="n"/>
      <c r="P1143" s="99" t="n"/>
      <c r="Q1143" s="99" t="n"/>
      <c r="R1143" s="100" t="n"/>
      <c r="S1143" s="98" t="n"/>
      <c r="T1143" s="99" t="n"/>
      <c r="U1143" s="99" t="n"/>
      <c r="V1143" s="100" t="n"/>
      <c r="W1143" s="98" t="n"/>
      <c r="X1143" s="100" t="n"/>
      <c r="Y1143" s="98" t="n"/>
      <c r="Z1143" s="100" t="n"/>
      <c r="AB1143" s="101">
        <f>IF($B1143="","",(COUNTIF(C1108:E1125,$B1143)+COUNTIF(C1108:E1125,$B1143&amp;" ~*")&gt;0)+(COUNTIF(G1108:I1125,$B1143)+COUNTIF(G1108:I1125,$B1143&amp;" ~*")&gt;0)+(COUNTIF(K1108:M1125,$B1143)+COUNTIF(K1108:M1125,$B1143&amp;" ~*")&gt;0)+(COUNTIF(O1108:Q1125,$B1143)+COUNTIF(O1108:Q1125,$B1143&amp;" ~*")&gt;0)+(COUNTIF(S1108:U1125,$B1143)+COUNTIF(S1108:U1125,$B1143&amp;" ~*")&gt;0)+(COUNTIF(W1108:W1125,$B1143)+COUNTIF(W1108:W1125,$B1143&amp;" ~*")&gt;0)+(COUNTIF(Y1108:Y1125,$B1143)+COUNTIF(Y1108:Y1125,$B1143&amp;" ~*")&gt;0))</f>
        <v/>
      </c>
      <c r="AC1143" s="36">
        <f>IF($B1143="","",(IFERROR(INDEX(Setup!$G$33:$G$40,MATCH(C1143,Setup!$B$33:$B$40,0)),0)=1)*(COUNTIF(C1108:E1125,$B1143)+COUNTIF(C1108:E1125,$B1143&amp;" ~*")&gt;0)+(IFERROR(INDEX(Setup!$G$33:$G$40,MATCH(G1143,Setup!$B$33:$B$40,0)),0)=1)*(COUNTIF(G1108:I1125,$B1143)+COUNTIF(G1108:I1125,$B1143&amp;" ~*")&gt;0)+(IFERROR(INDEX(Setup!$G$33:$G$40,MATCH(K1143,Setup!$B$33:$B$40,0)),0)=1)*(COUNTIF(K1108:M1125,$B1143)+COUNTIF(K1108:M1125,$B1143&amp;" ~*")&gt;0)+(IFERROR(INDEX(Setup!$G$33:$G$40,MATCH(O1143,Setup!$B$33:$B$40,0)),0)=1)*(COUNTIF(O1108:Q1125,$B1143)+COUNTIF(O1108:Q1125,$B1143&amp;" ~*")&gt;0)+(IFERROR(INDEX(Setup!$G$33:$G$40,MATCH(S1143,Setup!$B$33:$B$40,0)),0)=1)*(COUNTIF(S1108:U1125,$B1143)+COUNTIF(S1108:U1125,$B1143&amp;" ~*")&gt;0)+(IFERROR(INDEX(Setup!$G$33:$G$40,MATCH(W1143,Setup!$B$33:$B$40,0)),0)=1)*(COUNTIF(W1108:W1125,$B1143)+COUNTIF(W1108:W1125,$B1143&amp;" ~*")&gt;0)+(IFERROR(INDEX(Setup!$G$33:$G$40,MATCH(Y1143,Setup!$B$33:$B$40,0)),0)=1)*(COUNTIF(Y1108:Y1125,$B1143)+COUNTIF(Y1108:Y1125,$B1143&amp;" ~*")&gt;0))</f>
        <v/>
      </c>
    </row>
    <row r="1144" ht="15" customHeight="1">
      <c r="A1144" t="n">
        <v>23</v>
      </c>
      <c r="B1144" s="37">
        <f>IF(Setup!$B$23="","",Setup!$B$23)</f>
        <v/>
      </c>
      <c r="C1144" s="102" t="n"/>
      <c r="D1144" s="103" t="n"/>
      <c r="E1144" s="103" t="n"/>
      <c r="F1144" s="104" t="n"/>
      <c r="G1144" s="102" t="n"/>
      <c r="H1144" s="103" t="n"/>
      <c r="I1144" s="103" t="n"/>
      <c r="J1144" s="104" t="n"/>
      <c r="K1144" s="102" t="n"/>
      <c r="L1144" s="103" t="n"/>
      <c r="M1144" s="103" t="n"/>
      <c r="N1144" s="104" t="n"/>
      <c r="O1144" s="102" t="n"/>
      <c r="P1144" s="103" t="n"/>
      <c r="Q1144" s="103" t="n"/>
      <c r="R1144" s="104" t="n"/>
      <c r="S1144" s="102" t="n"/>
      <c r="T1144" s="103" t="n"/>
      <c r="U1144" s="103" t="n"/>
      <c r="V1144" s="104" t="n"/>
      <c r="W1144" s="102" t="n"/>
      <c r="X1144" s="104" t="n"/>
      <c r="Y1144" s="102" t="n"/>
      <c r="Z1144" s="104" t="n"/>
      <c r="AB1144" s="105">
        <f>IF($B1144="","",(COUNTIF(C1108:E1125,$B1144)+COUNTIF(C1108:E1125,$B1144&amp;" ~*")&gt;0)+(COUNTIF(G1108:I1125,$B1144)+COUNTIF(G1108:I1125,$B1144&amp;" ~*")&gt;0)+(COUNTIF(K1108:M1125,$B1144)+COUNTIF(K1108:M1125,$B1144&amp;" ~*")&gt;0)+(COUNTIF(O1108:Q1125,$B1144)+COUNTIF(O1108:Q1125,$B1144&amp;" ~*")&gt;0)+(COUNTIF(S1108:U1125,$B1144)+COUNTIF(S1108:U1125,$B1144&amp;" ~*")&gt;0)+(COUNTIF(W1108:W1125,$B1144)+COUNTIF(W1108:W1125,$B1144&amp;" ~*")&gt;0)+(COUNTIF(Y1108:Y1125,$B1144)+COUNTIF(Y1108:Y1125,$B1144&amp;" ~*")&gt;0))</f>
        <v/>
      </c>
      <c r="AC1144" s="38">
        <f>IF($B1144="","",(IFERROR(INDEX(Setup!$G$33:$G$40,MATCH(C1144,Setup!$B$33:$B$40,0)),0)=1)*(COUNTIF(C1108:E1125,$B1144)+COUNTIF(C1108:E1125,$B1144&amp;" ~*")&gt;0)+(IFERROR(INDEX(Setup!$G$33:$G$40,MATCH(G1144,Setup!$B$33:$B$40,0)),0)=1)*(COUNTIF(G1108:I1125,$B1144)+COUNTIF(G1108:I1125,$B1144&amp;" ~*")&gt;0)+(IFERROR(INDEX(Setup!$G$33:$G$40,MATCH(K1144,Setup!$B$33:$B$40,0)),0)=1)*(COUNTIF(K1108:M1125,$B1144)+COUNTIF(K1108:M1125,$B1144&amp;" ~*")&gt;0)+(IFERROR(INDEX(Setup!$G$33:$G$40,MATCH(O1144,Setup!$B$33:$B$40,0)),0)=1)*(COUNTIF(O1108:Q1125,$B1144)+COUNTIF(O1108:Q1125,$B1144&amp;" ~*")&gt;0)+(IFERROR(INDEX(Setup!$G$33:$G$40,MATCH(S1144,Setup!$B$33:$B$40,0)),0)=1)*(COUNTIF(S1108:U1125,$B1144)+COUNTIF(S1108:U1125,$B1144&amp;" ~*")&gt;0)+(IFERROR(INDEX(Setup!$G$33:$G$40,MATCH(W1144,Setup!$B$33:$B$40,0)),0)=1)*(COUNTIF(W1108:W1125,$B1144)+COUNTIF(W1108:W1125,$B1144&amp;" ~*")&gt;0)+(IFERROR(INDEX(Setup!$G$33:$G$40,MATCH(Y1144,Setup!$B$33:$B$40,0)),0)=1)*(COUNTIF(Y1108:Y1125,$B1144)+COUNTIF(Y1108:Y1125,$B1144&amp;" ~*")&gt;0))</f>
        <v/>
      </c>
    </row>
    <row r="1145" ht="15" customHeight="1">
      <c r="A1145" t="n">
        <v>23</v>
      </c>
      <c r="B1145" s="35">
        <f>IF(Setup!$B$24="","",Setup!$B$24)</f>
        <v/>
      </c>
      <c r="C1145" s="98" t="n"/>
      <c r="D1145" s="99" t="n"/>
      <c r="E1145" s="99" t="n"/>
      <c r="F1145" s="100" t="n"/>
      <c r="G1145" s="98" t="n"/>
      <c r="H1145" s="99" t="n"/>
      <c r="I1145" s="99" t="n"/>
      <c r="J1145" s="100" t="n"/>
      <c r="K1145" s="98" t="n"/>
      <c r="L1145" s="99" t="n"/>
      <c r="M1145" s="99" t="n"/>
      <c r="N1145" s="100" t="n"/>
      <c r="O1145" s="98" t="n"/>
      <c r="P1145" s="99" t="n"/>
      <c r="Q1145" s="99" t="n"/>
      <c r="R1145" s="100" t="n"/>
      <c r="S1145" s="98" t="n"/>
      <c r="T1145" s="99" t="n"/>
      <c r="U1145" s="99" t="n"/>
      <c r="V1145" s="100" t="n"/>
      <c r="W1145" s="98" t="n"/>
      <c r="X1145" s="100" t="n"/>
      <c r="Y1145" s="98" t="n"/>
      <c r="Z1145" s="100" t="n"/>
      <c r="AB1145" s="101">
        <f>IF($B1145="","",(COUNTIF(C1108:E1125,$B1145)+COUNTIF(C1108:E1125,$B1145&amp;" ~*")&gt;0)+(COUNTIF(G1108:I1125,$B1145)+COUNTIF(G1108:I1125,$B1145&amp;" ~*")&gt;0)+(COUNTIF(K1108:M1125,$B1145)+COUNTIF(K1108:M1125,$B1145&amp;" ~*")&gt;0)+(COUNTIF(O1108:Q1125,$B1145)+COUNTIF(O1108:Q1125,$B1145&amp;" ~*")&gt;0)+(COUNTIF(S1108:U1125,$B1145)+COUNTIF(S1108:U1125,$B1145&amp;" ~*")&gt;0)+(COUNTIF(W1108:W1125,$B1145)+COUNTIF(W1108:W1125,$B1145&amp;" ~*")&gt;0)+(COUNTIF(Y1108:Y1125,$B1145)+COUNTIF(Y1108:Y1125,$B1145&amp;" ~*")&gt;0))</f>
        <v/>
      </c>
      <c r="AC1145" s="36">
        <f>IF($B1145="","",(IFERROR(INDEX(Setup!$G$33:$G$40,MATCH(C1145,Setup!$B$33:$B$40,0)),0)=1)*(COUNTIF(C1108:E1125,$B1145)+COUNTIF(C1108:E1125,$B1145&amp;" ~*")&gt;0)+(IFERROR(INDEX(Setup!$G$33:$G$40,MATCH(G1145,Setup!$B$33:$B$40,0)),0)=1)*(COUNTIF(G1108:I1125,$B1145)+COUNTIF(G1108:I1125,$B1145&amp;" ~*")&gt;0)+(IFERROR(INDEX(Setup!$G$33:$G$40,MATCH(K1145,Setup!$B$33:$B$40,0)),0)=1)*(COUNTIF(K1108:M1125,$B1145)+COUNTIF(K1108:M1125,$B1145&amp;" ~*")&gt;0)+(IFERROR(INDEX(Setup!$G$33:$G$40,MATCH(O1145,Setup!$B$33:$B$40,0)),0)=1)*(COUNTIF(O1108:Q1125,$B1145)+COUNTIF(O1108:Q1125,$B1145&amp;" ~*")&gt;0)+(IFERROR(INDEX(Setup!$G$33:$G$40,MATCH(S1145,Setup!$B$33:$B$40,0)),0)=1)*(COUNTIF(S1108:U1125,$B1145)+COUNTIF(S1108:U1125,$B1145&amp;" ~*")&gt;0)+(IFERROR(INDEX(Setup!$G$33:$G$40,MATCH(W1145,Setup!$B$33:$B$40,0)),0)=1)*(COUNTIF(W1108:W1125,$B1145)+COUNTIF(W1108:W1125,$B1145&amp;" ~*")&gt;0)+(IFERROR(INDEX(Setup!$G$33:$G$40,MATCH(Y1145,Setup!$B$33:$B$40,0)),0)=1)*(COUNTIF(Y1108:Y1125,$B1145)+COUNTIF(Y1108:Y1125,$B1145&amp;" ~*")&gt;0))</f>
        <v/>
      </c>
    </row>
    <row r="1146" ht="15" customHeight="1">
      <c r="A1146" t="n">
        <v>23</v>
      </c>
      <c r="B1146" s="37">
        <f>IF(Setup!$B$25="","",Setup!$B$25)</f>
        <v/>
      </c>
      <c r="C1146" s="102" t="n"/>
      <c r="D1146" s="103" t="n"/>
      <c r="E1146" s="103" t="n"/>
      <c r="F1146" s="104" t="n"/>
      <c r="G1146" s="102" t="n"/>
      <c r="H1146" s="103" t="n"/>
      <c r="I1146" s="103" t="n"/>
      <c r="J1146" s="104" t="n"/>
      <c r="K1146" s="102" t="n"/>
      <c r="L1146" s="103" t="n"/>
      <c r="M1146" s="103" t="n"/>
      <c r="N1146" s="104" t="n"/>
      <c r="O1146" s="102" t="n"/>
      <c r="P1146" s="103" t="n"/>
      <c r="Q1146" s="103" t="n"/>
      <c r="R1146" s="104" t="n"/>
      <c r="S1146" s="102" t="n"/>
      <c r="T1146" s="103" t="n"/>
      <c r="U1146" s="103" t="n"/>
      <c r="V1146" s="104" t="n"/>
      <c r="W1146" s="102" t="n"/>
      <c r="X1146" s="104" t="n"/>
      <c r="Y1146" s="102" t="n"/>
      <c r="Z1146" s="104" t="n"/>
      <c r="AB1146" s="105">
        <f>IF($B1146="","",(COUNTIF(C1108:E1125,$B1146)+COUNTIF(C1108:E1125,$B1146&amp;" ~*")&gt;0)+(COUNTIF(G1108:I1125,$B1146)+COUNTIF(G1108:I1125,$B1146&amp;" ~*")&gt;0)+(COUNTIF(K1108:M1125,$B1146)+COUNTIF(K1108:M1125,$B1146&amp;" ~*")&gt;0)+(COUNTIF(O1108:Q1125,$B1146)+COUNTIF(O1108:Q1125,$B1146&amp;" ~*")&gt;0)+(COUNTIF(S1108:U1125,$B1146)+COUNTIF(S1108:U1125,$B1146&amp;" ~*")&gt;0)+(COUNTIF(W1108:W1125,$B1146)+COUNTIF(W1108:W1125,$B1146&amp;" ~*")&gt;0)+(COUNTIF(Y1108:Y1125,$B1146)+COUNTIF(Y1108:Y1125,$B1146&amp;" ~*")&gt;0))</f>
        <v/>
      </c>
      <c r="AC1146" s="38">
        <f>IF($B1146="","",(IFERROR(INDEX(Setup!$G$33:$G$40,MATCH(C1146,Setup!$B$33:$B$40,0)),0)=1)*(COUNTIF(C1108:E1125,$B1146)+COUNTIF(C1108:E1125,$B1146&amp;" ~*")&gt;0)+(IFERROR(INDEX(Setup!$G$33:$G$40,MATCH(G1146,Setup!$B$33:$B$40,0)),0)=1)*(COUNTIF(G1108:I1125,$B1146)+COUNTIF(G1108:I1125,$B1146&amp;" ~*")&gt;0)+(IFERROR(INDEX(Setup!$G$33:$G$40,MATCH(K1146,Setup!$B$33:$B$40,0)),0)=1)*(COUNTIF(K1108:M1125,$B1146)+COUNTIF(K1108:M1125,$B1146&amp;" ~*")&gt;0)+(IFERROR(INDEX(Setup!$G$33:$G$40,MATCH(O1146,Setup!$B$33:$B$40,0)),0)=1)*(COUNTIF(O1108:Q1125,$B1146)+COUNTIF(O1108:Q1125,$B1146&amp;" ~*")&gt;0)+(IFERROR(INDEX(Setup!$G$33:$G$40,MATCH(S1146,Setup!$B$33:$B$40,0)),0)=1)*(COUNTIF(S1108:U1125,$B1146)+COUNTIF(S1108:U1125,$B1146&amp;" ~*")&gt;0)+(IFERROR(INDEX(Setup!$G$33:$G$40,MATCH(W1146,Setup!$B$33:$B$40,0)),0)=1)*(COUNTIF(W1108:W1125,$B1146)+COUNTIF(W1108:W1125,$B1146&amp;" ~*")&gt;0)+(IFERROR(INDEX(Setup!$G$33:$G$40,MATCH(Y1146,Setup!$B$33:$B$40,0)),0)=1)*(COUNTIF(Y1108:Y1125,$B1146)+COUNTIF(Y1108:Y1125,$B1146&amp;" ~*")&gt;0))</f>
        <v/>
      </c>
    </row>
    <row r="1147" ht="15" customHeight="1">
      <c r="A1147" t="n">
        <v>23</v>
      </c>
      <c r="B1147" s="35">
        <f>IF(Setup!$B$26="","",Setup!$B$26)</f>
        <v/>
      </c>
      <c r="C1147" s="98" t="n"/>
      <c r="D1147" s="99" t="n"/>
      <c r="E1147" s="99" t="n"/>
      <c r="F1147" s="100" t="n"/>
      <c r="G1147" s="98" t="n"/>
      <c r="H1147" s="99" t="n"/>
      <c r="I1147" s="99" t="n"/>
      <c r="J1147" s="100" t="n"/>
      <c r="K1147" s="98" t="n"/>
      <c r="L1147" s="99" t="n"/>
      <c r="M1147" s="99" t="n"/>
      <c r="N1147" s="100" t="n"/>
      <c r="O1147" s="98" t="n"/>
      <c r="P1147" s="99" t="n"/>
      <c r="Q1147" s="99" t="n"/>
      <c r="R1147" s="100" t="n"/>
      <c r="S1147" s="98" t="n"/>
      <c r="T1147" s="99" t="n"/>
      <c r="U1147" s="99" t="n"/>
      <c r="V1147" s="100" t="n"/>
      <c r="W1147" s="98" t="n"/>
      <c r="X1147" s="100" t="n"/>
      <c r="Y1147" s="98" t="n"/>
      <c r="Z1147" s="100" t="n"/>
      <c r="AB1147" s="101">
        <f>IF($B1147="","",(COUNTIF(C1108:E1125,$B1147)+COUNTIF(C1108:E1125,$B1147&amp;" ~*")&gt;0)+(COUNTIF(G1108:I1125,$B1147)+COUNTIF(G1108:I1125,$B1147&amp;" ~*")&gt;0)+(COUNTIF(K1108:M1125,$B1147)+COUNTIF(K1108:M1125,$B1147&amp;" ~*")&gt;0)+(COUNTIF(O1108:Q1125,$B1147)+COUNTIF(O1108:Q1125,$B1147&amp;" ~*")&gt;0)+(COUNTIF(S1108:U1125,$B1147)+COUNTIF(S1108:U1125,$B1147&amp;" ~*")&gt;0)+(COUNTIF(W1108:W1125,$B1147)+COUNTIF(W1108:W1125,$B1147&amp;" ~*")&gt;0)+(COUNTIF(Y1108:Y1125,$B1147)+COUNTIF(Y1108:Y1125,$B1147&amp;" ~*")&gt;0))</f>
        <v/>
      </c>
      <c r="AC1147" s="36">
        <f>IF($B1147="","",(IFERROR(INDEX(Setup!$G$33:$G$40,MATCH(C1147,Setup!$B$33:$B$40,0)),0)=1)*(COUNTIF(C1108:E1125,$B1147)+COUNTIF(C1108:E1125,$B1147&amp;" ~*")&gt;0)+(IFERROR(INDEX(Setup!$G$33:$G$40,MATCH(G1147,Setup!$B$33:$B$40,0)),0)=1)*(COUNTIF(G1108:I1125,$B1147)+COUNTIF(G1108:I1125,$B1147&amp;" ~*")&gt;0)+(IFERROR(INDEX(Setup!$G$33:$G$40,MATCH(K1147,Setup!$B$33:$B$40,0)),0)=1)*(COUNTIF(K1108:M1125,$B1147)+COUNTIF(K1108:M1125,$B1147&amp;" ~*")&gt;0)+(IFERROR(INDEX(Setup!$G$33:$G$40,MATCH(O1147,Setup!$B$33:$B$40,0)),0)=1)*(COUNTIF(O1108:Q1125,$B1147)+COUNTIF(O1108:Q1125,$B1147&amp;" ~*")&gt;0)+(IFERROR(INDEX(Setup!$G$33:$G$40,MATCH(S1147,Setup!$B$33:$B$40,0)),0)=1)*(COUNTIF(S1108:U1125,$B1147)+COUNTIF(S1108:U1125,$B1147&amp;" ~*")&gt;0)+(IFERROR(INDEX(Setup!$G$33:$G$40,MATCH(W1147,Setup!$B$33:$B$40,0)),0)=1)*(COUNTIF(W1108:W1125,$B1147)+COUNTIF(W1108:W1125,$B1147&amp;" ~*")&gt;0)+(IFERROR(INDEX(Setup!$G$33:$G$40,MATCH(Y1147,Setup!$B$33:$B$40,0)),0)=1)*(COUNTIF(Y1108:Y1125,$B1147)+COUNTIF(Y1108:Y1125,$B1147&amp;" ~*")&gt;0))</f>
        <v/>
      </c>
    </row>
    <row r="1148" ht="15" customHeight="1">
      <c r="A1148" t="n">
        <v>23</v>
      </c>
      <c r="B1148" s="37">
        <f>IF(Setup!$B$27="","",Setup!$B$27)</f>
        <v/>
      </c>
      <c r="C1148" s="102" t="n"/>
      <c r="D1148" s="103" t="n"/>
      <c r="E1148" s="103" t="n"/>
      <c r="F1148" s="104" t="n"/>
      <c r="G1148" s="102" t="n"/>
      <c r="H1148" s="103" t="n"/>
      <c r="I1148" s="103" t="n"/>
      <c r="J1148" s="104" t="n"/>
      <c r="K1148" s="102" t="n"/>
      <c r="L1148" s="103" t="n"/>
      <c r="M1148" s="103" t="n"/>
      <c r="N1148" s="104" t="n"/>
      <c r="O1148" s="102" t="n"/>
      <c r="P1148" s="103" t="n"/>
      <c r="Q1148" s="103" t="n"/>
      <c r="R1148" s="104" t="n"/>
      <c r="S1148" s="102" t="n"/>
      <c r="T1148" s="103" t="n"/>
      <c r="U1148" s="103" t="n"/>
      <c r="V1148" s="104" t="n"/>
      <c r="W1148" s="102" t="n"/>
      <c r="X1148" s="104" t="n"/>
      <c r="Y1148" s="102" t="n"/>
      <c r="Z1148" s="104" t="n"/>
      <c r="AB1148" s="105">
        <f>IF($B1148="","",(COUNTIF(C1108:E1125,$B1148)+COUNTIF(C1108:E1125,$B1148&amp;" ~*")&gt;0)+(COUNTIF(G1108:I1125,$B1148)+COUNTIF(G1108:I1125,$B1148&amp;" ~*")&gt;0)+(COUNTIF(K1108:M1125,$B1148)+COUNTIF(K1108:M1125,$B1148&amp;" ~*")&gt;0)+(COUNTIF(O1108:Q1125,$B1148)+COUNTIF(O1108:Q1125,$B1148&amp;" ~*")&gt;0)+(COUNTIF(S1108:U1125,$B1148)+COUNTIF(S1108:U1125,$B1148&amp;" ~*")&gt;0)+(COUNTIF(W1108:W1125,$B1148)+COUNTIF(W1108:W1125,$B1148&amp;" ~*")&gt;0)+(COUNTIF(Y1108:Y1125,$B1148)+COUNTIF(Y1108:Y1125,$B1148&amp;" ~*")&gt;0))</f>
        <v/>
      </c>
      <c r="AC1148" s="38">
        <f>IF($B1148="","",(IFERROR(INDEX(Setup!$G$33:$G$40,MATCH(C1148,Setup!$B$33:$B$40,0)),0)=1)*(COUNTIF(C1108:E1125,$B1148)+COUNTIF(C1108:E1125,$B1148&amp;" ~*")&gt;0)+(IFERROR(INDEX(Setup!$G$33:$G$40,MATCH(G1148,Setup!$B$33:$B$40,0)),0)=1)*(COUNTIF(G1108:I1125,$B1148)+COUNTIF(G1108:I1125,$B1148&amp;" ~*")&gt;0)+(IFERROR(INDEX(Setup!$G$33:$G$40,MATCH(K1148,Setup!$B$33:$B$40,0)),0)=1)*(COUNTIF(K1108:M1125,$B1148)+COUNTIF(K1108:M1125,$B1148&amp;" ~*")&gt;0)+(IFERROR(INDEX(Setup!$G$33:$G$40,MATCH(O1148,Setup!$B$33:$B$40,0)),0)=1)*(COUNTIF(O1108:Q1125,$B1148)+COUNTIF(O1108:Q1125,$B1148&amp;" ~*")&gt;0)+(IFERROR(INDEX(Setup!$G$33:$G$40,MATCH(S1148,Setup!$B$33:$B$40,0)),0)=1)*(COUNTIF(S1108:U1125,$B1148)+COUNTIF(S1108:U1125,$B1148&amp;" ~*")&gt;0)+(IFERROR(INDEX(Setup!$G$33:$G$40,MATCH(W1148,Setup!$B$33:$B$40,0)),0)=1)*(COUNTIF(W1108:W1125,$B1148)+COUNTIF(W1108:W1125,$B1148&amp;" ~*")&gt;0)+(IFERROR(INDEX(Setup!$G$33:$G$40,MATCH(Y1148,Setup!$B$33:$B$40,0)),0)=1)*(COUNTIF(Y1108:Y1125,$B1148)+COUNTIF(Y1108:Y1125,$B1148&amp;" ~*")&gt;0))</f>
        <v/>
      </c>
    </row>
    <row r="1149" ht="15" customHeight="1">
      <c r="A1149" t="n">
        <v>23</v>
      </c>
      <c r="B1149" s="35">
        <f>IF(Setup!$B$28="","",Setup!$B$28)</f>
        <v/>
      </c>
      <c r="C1149" s="98" t="n"/>
      <c r="D1149" s="99" t="n"/>
      <c r="E1149" s="99" t="n"/>
      <c r="F1149" s="100" t="n"/>
      <c r="G1149" s="98" t="n"/>
      <c r="H1149" s="99" t="n"/>
      <c r="I1149" s="99" t="n"/>
      <c r="J1149" s="100" t="n"/>
      <c r="K1149" s="98" t="n"/>
      <c r="L1149" s="99" t="n"/>
      <c r="M1149" s="99" t="n"/>
      <c r="N1149" s="100" t="n"/>
      <c r="O1149" s="98" t="n"/>
      <c r="P1149" s="99" t="n"/>
      <c r="Q1149" s="99" t="n"/>
      <c r="R1149" s="100" t="n"/>
      <c r="S1149" s="98" t="n"/>
      <c r="T1149" s="99" t="n"/>
      <c r="U1149" s="99" t="n"/>
      <c r="V1149" s="100" t="n"/>
      <c r="W1149" s="98" t="n"/>
      <c r="X1149" s="100" t="n"/>
      <c r="Y1149" s="98" t="n"/>
      <c r="Z1149" s="100" t="n"/>
      <c r="AB1149" s="101">
        <f>IF($B1149="","",(COUNTIF(C1108:E1125,$B1149)+COUNTIF(C1108:E1125,$B1149&amp;" ~*")&gt;0)+(COUNTIF(G1108:I1125,$B1149)+COUNTIF(G1108:I1125,$B1149&amp;" ~*")&gt;0)+(COUNTIF(K1108:M1125,$B1149)+COUNTIF(K1108:M1125,$B1149&amp;" ~*")&gt;0)+(COUNTIF(O1108:Q1125,$B1149)+COUNTIF(O1108:Q1125,$B1149&amp;" ~*")&gt;0)+(COUNTIF(S1108:U1125,$B1149)+COUNTIF(S1108:U1125,$B1149&amp;" ~*")&gt;0)+(COUNTIF(W1108:W1125,$B1149)+COUNTIF(W1108:W1125,$B1149&amp;" ~*")&gt;0)+(COUNTIF(Y1108:Y1125,$B1149)+COUNTIF(Y1108:Y1125,$B1149&amp;" ~*")&gt;0))</f>
        <v/>
      </c>
      <c r="AC1149" s="36">
        <f>IF($B1149="","",(IFERROR(INDEX(Setup!$G$33:$G$40,MATCH(C1149,Setup!$B$33:$B$40,0)),0)=1)*(COUNTIF(C1108:E1125,$B1149)+COUNTIF(C1108:E1125,$B1149&amp;" ~*")&gt;0)+(IFERROR(INDEX(Setup!$G$33:$G$40,MATCH(G1149,Setup!$B$33:$B$40,0)),0)=1)*(COUNTIF(G1108:I1125,$B1149)+COUNTIF(G1108:I1125,$B1149&amp;" ~*")&gt;0)+(IFERROR(INDEX(Setup!$G$33:$G$40,MATCH(K1149,Setup!$B$33:$B$40,0)),0)=1)*(COUNTIF(K1108:M1125,$B1149)+COUNTIF(K1108:M1125,$B1149&amp;" ~*")&gt;0)+(IFERROR(INDEX(Setup!$G$33:$G$40,MATCH(O1149,Setup!$B$33:$B$40,0)),0)=1)*(COUNTIF(O1108:Q1125,$B1149)+COUNTIF(O1108:Q1125,$B1149&amp;" ~*")&gt;0)+(IFERROR(INDEX(Setup!$G$33:$G$40,MATCH(S1149,Setup!$B$33:$B$40,0)),0)=1)*(COUNTIF(S1108:U1125,$B1149)+COUNTIF(S1108:U1125,$B1149&amp;" ~*")&gt;0)+(IFERROR(INDEX(Setup!$G$33:$G$40,MATCH(W1149,Setup!$B$33:$B$40,0)),0)=1)*(COUNTIF(W1108:W1125,$B1149)+COUNTIF(W1108:W1125,$B1149&amp;" ~*")&gt;0)+(IFERROR(INDEX(Setup!$G$33:$G$40,MATCH(Y1149,Setup!$B$33:$B$40,0)),0)=1)*(COUNTIF(Y1108:Y1125,$B1149)+COUNTIF(Y1108:Y1125,$B1149&amp;" ~*")&gt;0))</f>
        <v/>
      </c>
    </row>
    <row r="1150" ht="15" customHeight="1">
      <c r="A1150" t="n">
        <v>23</v>
      </c>
      <c r="B1150" s="37">
        <f>IF(Setup!$B$29="","",Setup!$B$29)</f>
        <v/>
      </c>
      <c r="C1150" s="102" t="n"/>
      <c r="D1150" s="103" t="n"/>
      <c r="E1150" s="103" t="n"/>
      <c r="F1150" s="104" t="n"/>
      <c r="G1150" s="102" t="n"/>
      <c r="H1150" s="103" t="n"/>
      <c r="I1150" s="103" t="n"/>
      <c r="J1150" s="104" t="n"/>
      <c r="K1150" s="102" t="n"/>
      <c r="L1150" s="103" t="n"/>
      <c r="M1150" s="103" t="n"/>
      <c r="N1150" s="104" t="n"/>
      <c r="O1150" s="102" t="n"/>
      <c r="P1150" s="103" t="n"/>
      <c r="Q1150" s="103" t="n"/>
      <c r="R1150" s="104" t="n"/>
      <c r="S1150" s="102" t="n"/>
      <c r="T1150" s="103" t="n"/>
      <c r="U1150" s="103" t="n"/>
      <c r="V1150" s="104" t="n"/>
      <c r="W1150" s="102" t="n"/>
      <c r="X1150" s="104" t="n"/>
      <c r="Y1150" s="102" t="n"/>
      <c r="Z1150" s="104" t="n"/>
      <c r="AB1150" s="105">
        <f>IF($B1150="","",(COUNTIF(C1108:E1125,$B1150)+COUNTIF(C1108:E1125,$B1150&amp;" ~*")&gt;0)+(COUNTIF(G1108:I1125,$B1150)+COUNTIF(G1108:I1125,$B1150&amp;" ~*")&gt;0)+(COUNTIF(K1108:M1125,$B1150)+COUNTIF(K1108:M1125,$B1150&amp;" ~*")&gt;0)+(COUNTIF(O1108:Q1125,$B1150)+COUNTIF(O1108:Q1125,$B1150&amp;" ~*")&gt;0)+(COUNTIF(S1108:U1125,$B1150)+COUNTIF(S1108:U1125,$B1150&amp;" ~*")&gt;0)+(COUNTIF(W1108:W1125,$B1150)+COUNTIF(W1108:W1125,$B1150&amp;" ~*")&gt;0)+(COUNTIF(Y1108:Y1125,$B1150)+COUNTIF(Y1108:Y1125,$B1150&amp;" ~*")&gt;0))</f>
        <v/>
      </c>
      <c r="AC1150" s="38">
        <f>IF($B1150="","",(IFERROR(INDEX(Setup!$G$33:$G$40,MATCH(C1150,Setup!$B$33:$B$40,0)),0)=1)*(COUNTIF(C1108:E1125,$B1150)+COUNTIF(C1108:E1125,$B1150&amp;" ~*")&gt;0)+(IFERROR(INDEX(Setup!$G$33:$G$40,MATCH(G1150,Setup!$B$33:$B$40,0)),0)=1)*(COUNTIF(G1108:I1125,$B1150)+COUNTIF(G1108:I1125,$B1150&amp;" ~*")&gt;0)+(IFERROR(INDEX(Setup!$G$33:$G$40,MATCH(K1150,Setup!$B$33:$B$40,0)),0)=1)*(COUNTIF(K1108:M1125,$B1150)+COUNTIF(K1108:M1125,$B1150&amp;" ~*")&gt;0)+(IFERROR(INDEX(Setup!$G$33:$G$40,MATCH(O1150,Setup!$B$33:$B$40,0)),0)=1)*(COUNTIF(O1108:Q1125,$B1150)+COUNTIF(O1108:Q1125,$B1150&amp;" ~*")&gt;0)+(IFERROR(INDEX(Setup!$G$33:$G$40,MATCH(S1150,Setup!$B$33:$B$40,0)),0)=1)*(COUNTIF(S1108:U1125,$B1150)+COUNTIF(S1108:U1125,$B1150&amp;" ~*")&gt;0)+(IFERROR(INDEX(Setup!$G$33:$G$40,MATCH(W1150,Setup!$B$33:$B$40,0)),0)=1)*(COUNTIF(W1108:W1125,$B1150)+COUNTIF(W1108:W1125,$B1150&amp;" ~*")&gt;0)+(IFERROR(INDEX(Setup!$G$33:$G$40,MATCH(Y1150,Setup!$B$33:$B$40,0)),0)=1)*(COUNTIF(Y1108:Y1125,$B1150)+COUNTIF(Y1108:Y1125,$B1150&amp;" ~*")&gt;0))</f>
        <v/>
      </c>
    </row>
    <row r="1151" ht="16" customHeight="1">
      <c r="A1151" t="n">
        <v>23</v>
      </c>
      <c r="B1151" s="106" t="inlineStr">
        <is>
          <t>Available people</t>
        </is>
      </c>
      <c r="C1151" s="107">
        <f>COUNTIFS(Setup!$E$6:$E$29,"Y",Setup!$B$6:$B$29,"?*")-SUMPRODUCT(COUNTIF(C1127:C1150,Setup!$F$33:$F$40))</f>
        <v/>
      </c>
      <c r="D1151" s="107" t="n"/>
      <c r="E1151" s="107" t="n"/>
      <c r="F1151" s="107" t="n"/>
      <c r="G1151" s="107">
        <f>COUNTIFS(Setup!$E$6:$E$29,"Y",Setup!$B$6:$B$29,"?*")-SUMPRODUCT(COUNTIF(G1127:G1150,Setup!$F$33:$F$40))</f>
        <v/>
      </c>
      <c r="H1151" s="107" t="n"/>
      <c r="I1151" s="107" t="n"/>
      <c r="J1151" s="107" t="n"/>
      <c r="K1151" s="107">
        <f>COUNTIFS(Setup!$E$6:$E$29,"Y",Setup!$B$6:$B$29,"?*")-SUMPRODUCT(COUNTIF(K1127:K1150,Setup!$F$33:$F$40))</f>
        <v/>
      </c>
      <c r="L1151" s="107" t="n"/>
      <c r="M1151" s="107" t="n"/>
      <c r="N1151" s="107" t="n"/>
      <c r="O1151" s="107">
        <f>COUNTIFS(Setup!$E$6:$E$29,"Y",Setup!$B$6:$B$29,"?*")-SUMPRODUCT(COUNTIF(O1127:O1150,Setup!$F$33:$F$40))</f>
        <v/>
      </c>
      <c r="P1151" s="107" t="n"/>
      <c r="Q1151" s="107" t="n"/>
      <c r="R1151" s="107" t="n"/>
      <c r="S1151" s="107">
        <f>COUNTIFS(Setup!$E$6:$E$29,"Y",Setup!$B$6:$B$29,"?*")-SUMPRODUCT(COUNTIF(S1127:S1150,Setup!$F$33:$F$40))</f>
        <v/>
      </c>
      <c r="T1151" s="107" t="n"/>
      <c r="U1151" s="107" t="n"/>
      <c r="V1151" s="107" t="n"/>
      <c r="W1151" s="107">
        <f>COUNTIFS(Setup!$E$6:$E$29,"Y",Setup!$B$6:$B$29,"?*")-SUMPRODUCT(COUNTIF(W1127:W1150,Setup!$F$33:$F$40))</f>
        <v/>
      </c>
      <c r="X1151" s="107" t="n"/>
      <c r="Y1151" s="107">
        <f>COUNTIFS(Setup!$E$6:$E$29,"Y",Setup!$B$6:$B$29,"?*")-SUMPRODUCT(COUNTIF(Y1127:Y1150,Setup!$F$33:$F$40))</f>
        <v/>
      </c>
      <c r="Z1151" s="107" t="n"/>
      <c r="AB1151" s="108">
        <f>SUM(AB1127:AB1150)</f>
        <v/>
      </c>
      <c r="AC1151" s="109">
        <f>SUM(AC1127:AC1150)</f>
        <v/>
      </c>
    </row>
    <row r="1152" ht="30" customHeight="1">
      <c r="A1152" t="n">
        <v>23</v>
      </c>
      <c r="B1152" s="110" t="inlineStr">
        <is>
          <t>Week notes</t>
        </is>
      </c>
      <c r="C1152" s="111" t="n"/>
      <c r="D1152" s="112" t="n"/>
      <c r="E1152" s="112" t="n"/>
      <c r="F1152" s="112" t="n"/>
      <c r="G1152" s="112" t="n"/>
      <c r="H1152" s="112" t="n"/>
      <c r="I1152" s="112" t="n"/>
      <c r="J1152" s="112" t="n"/>
      <c r="K1152" s="112" t="n"/>
      <c r="L1152" s="112" t="n"/>
      <c r="M1152" s="112" t="n"/>
      <c r="N1152" s="112" t="n"/>
      <c r="O1152" s="112" t="n"/>
      <c r="P1152" s="112" t="n"/>
      <c r="Q1152" s="112" t="n"/>
      <c r="R1152" s="112" t="n"/>
      <c r="S1152" s="112" t="n"/>
      <c r="T1152" s="112" t="n"/>
      <c r="U1152" s="112" t="n"/>
      <c r="V1152" s="112" t="n"/>
      <c r="W1152" s="112" t="n"/>
      <c r="X1152" s="112" t="n"/>
      <c r="Y1152" s="112" t="n"/>
      <c r="Z1152" s="113" t="n"/>
    </row>
    <row r="1153" ht="8" customHeight="1">
      <c r="A1153" t="n">
        <v>23</v>
      </c>
    </row>
    <row r="1154" ht="8" customHeight="1">
      <c r="A1154" t="n">
        <v>23</v>
      </c>
    </row>
    <row r="1155" ht="24" customHeight="1">
      <c r="A1155" t="n">
        <v>24</v>
      </c>
      <c r="B1155" s="73">
        <f>"WEEK 24     "&amp;TEXT(C1156,"ddd d mmm")&amp;"  –  "&amp;TEXT(C1156+6,"ddd d mmm yyyy")</f>
        <v/>
      </c>
      <c r="S1155" s="74">
        <f>IF(TODAY()&lt;C1156,"FUTURE",IF(TODAY()&gt;C1156+6,"PAST","THIS WEEK"))</f>
        <v/>
      </c>
      <c r="W1155" s="75">
        <f>IF(AND(Engine!$B$8=$AC$3,Engine!$B$9=$A1155),"◀ ACTIVE WEEK","")</f>
        <v/>
      </c>
      <c r="AA1155" s="76" t="n"/>
      <c r="AB1155" s="77" t="inlineStr">
        <is>
          <t>◀ Prev</t>
        </is>
      </c>
      <c r="AC1155" s="77" t="inlineStr">
        <is>
          <t>Next ▶</t>
        </is>
      </c>
    </row>
    <row r="1156" ht="18" customHeight="1">
      <c r="A1156" t="n">
        <v>24</v>
      </c>
      <c r="B1156" s="78" t="inlineStr">
        <is>
          <t>DUTY</t>
        </is>
      </c>
      <c r="C1156" s="79">
        <f>$AC$2+7*($A1156-1)</f>
        <v/>
      </c>
      <c r="D1156" s="80" t="n"/>
      <c r="E1156" s="80" t="n"/>
      <c r="F1156" s="81" t="n"/>
      <c r="G1156" s="79">
        <f>C1156+1</f>
        <v/>
      </c>
      <c r="H1156" s="80" t="n"/>
      <c r="I1156" s="80" t="n"/>
      <c r="J1156" s="81" t="n"/>
      <c r="K1156" s="79">
        <f>C1156+2</f>
        <v/>
      </c>
      <c r="L1156" s="80" t="n"/>
      <c r="M1156" s="80" t="n"/>
      <c r="N1156" s="81" t="n"/>
      <c r="O1156" s="79">
        <f>C1156+3</f>
        <v/>
      </c>
      <c r="P1156" s="80" t="n"/>
      <c r="Q1156" s="80" t="n"/>
      <c r="R1156" s="81" t="n"/>
      <c r="S1156" s="79">
        <f>C1156+4</f>
        <v/>
      </c>
      <c r="T1156" s="80" t="n"/>
      <c r="U1156" s="80" t="n"/>
      <c r="V1156" s="81" t="n"/>
      <c r="W1156" s="82">
        <f>C1156+5</f>
        <v/>
      </c>
      <c r="X1156" s="83" t="n"/>
      <c r="Y1156" s="82">
        <f>C1156+6</f>
        <v/>
      </c>
      <c r="Z1156" s="83" t="n"/>
      <c r="AB1156" s="72" t="inlineStr">
        <is>
          <t>Gaps</t>
        </is>
      </c>
      <c r="AC1156" s="72" t="inlineStr">
        <is>
          <t>Cover</t>
        </is>
      </c>
    </row>
    <row r="1157" ht="14" customHeight="1">
      <c r="A1157" t="n">
        <v>24</v>
      </c>
      <c r="B1157" s="84" t="inlineStr">
        <is>
          <t>(from Setup)</t>
        </is>
      </c>
      <c r="C1157" s="85" t="inlineStr">
        <is>
          <t>1</t>
        </is>
      </c>
      <c r="D1157" s="85" t="inlineStr">
        <is>
          <t>2</t>
        </is>
      </c>
      <c r="E1157" s="85" t="inlineStr">
        <is>
          <t>3</t>
        </is>
      </c>
      <c r="F1157" s="85" t="inlineStr">
        <is>
          <t>Notes</t>
        </is>
      </c>
      <c r="G1157" s="85" t="inlineStr">
        <is>
          <t>1</t>
        </is>
      </c>
      <c r="H1157" s="85" t="inlineStr">
        <is>
          <t>2</t>
        </is>
      </c>
      <c r="I1157" s="85" t="inlineStr">
        <is>
          <t>3</t>
        </is>
      </c>
      <c r="J1157" s="85" t="inlineStr">
        <is>
          <t>Notes</t>
        </is>
      </c>
      <c r="K1157" s="85" t="inlineStr">
        <is>
          <t>1</t>
        </is>
      </c>
      <c r="L1157" s="85" t="inlineStr">
        <is>
          <t>2</t>
        </is>
      </c>
      <c r="M1157" s="85" t="inlineStr">
        <is>
          <t>3</t>
        </is>
      </c>
      <c r="N1157" s="85" t="inlineStr">
        <is>
          <t>Notes</t>
        </is>
      </c>
      <c r="O1157" s="85" t="inlineStr">
        <is>
          <t>1</t>
        </is>
      </c>
      <c r="P1157" s="85" t="inlineStr">
        <is>
          <t>2</t>
        </is>
      </c>
      <c r="Q1157" s="85" t="inlineStr">
        <is>
          <t>3</t>
        </is>
      </c>
      <c r="R1157" s="85" t="inlineStr">
        <is>
          <t>Notes</t>
        </is>
      </c>
      <c r="S1157" s="85" t="inlineStr">
        <is>
          <t>1</t>
        </is>
      </c>
      <c r="T1157" s="85" t="inlineStr">
        <is>
          <t>2</t>
        </is>
      </c>
      <c r="U1157" s="85" t="inlineStr">
        <is>
          <t>3</t>
        </is>
      </c>
      <c r="V1157" s="85" t="inlineStr">
        <is>
          <t>Notes</t>
        </is>
      </c>
      <c r="W1157" s="85" t="inlineStr">
        <is>
          <t>Cover</t>
        </is>
      </c>
      <c r="X1157" s="85" t="inlineStr">
        <is>
          <t>Notes</t>
        </is>
      </c>
      <c r="Y1157" s="85" t="inlineStr">
        <is>
          <t>Cover</t>
        </is>
      </c>
      <c r="Z1157" s="85" t="inlineStr">
        <is>
          <t>Notes</t>
        </is>
      </c>
      <c r="AB1157" s="86" t="inlineStr">
        <is>
          <t>weekdays short</t>
        </is>
      </c>
      <c r="AC1157" s="87" t="inlineStr"/>
    </row>
    <row r="1158" ht="17" customHeight="1">
      <c r="A1158" t="n">
        <v>24</v>
      </c>
      <c r="B1158" s="24">
        <f>IF(Setup!$K$6="","",Setup!$K$6)</f>
        <v/>
      </c>
      <c r="C1158" s="88" t="n"/>
      <c r="D1158" s="88" t="n"/>
      <c r="E1158" s="88" t="n"/>
      <c r="F1158" s="89" t="n"/>
      <c r="G1158" s="88" t="n"/>
      <c r="H1158" s="88" t="n"/>
      <c r="I1158" s="88" t="n"/>
      <c r="J1158" s="89" t="n"/>
      <c r="K1158" s="88" t="n"/>
      <c r="L1158" s="88" t="n"/>
      <c r="M1158" s="88" t="n"/>
      <c r="N1158" s="89" t="n"/>
      <c r="O1158" s="88" t="n"/>
      <c r="P1158" s="88" t="n"/>
      <c r="Q1158" s="88" t="n"/>
      <c r="R1158" s="89" t="n"/>
      <c r="S1158" s="88" t="n"/>
      <c r="T1158" s="88" t="n"/>
      <c r="U1158" s="88" t="n"/>
      <c r="V1158" s="89" t="n"/>
      <c r="W1158" s="88" t="n"/>
      <c r="X1158" s="89" t="n"/>
      <c r="Y1158" s="88" t="n"/>
      <c r="Z1158" s="89" t="n"/>
      <c r="AB1158" s="25">
        <f>IF($B1158="","",(COUNTIF(C1158:E1158,"?*")&lt;N(INDEX(Setup!$L$6:$L$23,1)))+(COUNTIF(G1158:I1158,"?*")&lt;N(INDEX(Setup!$L$6:$L$23,1)))+(COUNTIF(K1158:M1158,"?*")&lt;N(INDEX(Setup!$L$6:$L$23,1)))+(COUNTIF(O1158:Q1158,"?*")&lt;N(INDEX(Setup!$L$6:$L$23,1)))+(COUNTIF(S1158:U1158,"?*")&lt;N(INDEX(Setup!$L$6:$L$23,1)))+((W1158="")*(INDEX(Setup!$M$6:$M$23,1)="Y"))+((Y1158="")*(INDEX(Setup!$M$6:$M$23,1)="Y")))</f>
        <v/>
      </c>
      <c r="AC1158" s="90">
        <f>IF($B1158="","",IF(AB1158=0,"✓ covered","⚠ "&amp;AB1158&amp;IF(AB1158=1," gap"," gaps")))</f>
        <v/>
      </c>
    </row>
    <row r="1159" ht="17" customHeight="1">
      <c r="A1159" t="n">
        <v>24</v>
      </c>
      <c r="B1159" s="29">
        <f>IF(Setup!$K$7="","",Setup!$K$7)</f>
        <v/>
      </c>
      <c r="C1159" s="88" t="n"/>
      <c r="D1159" s="88" t="n"/>
      <c r="E1159" s="88" t="n"/>
      <c r="F1159" s="89" t="n"/>
      <c r="G1159" s="88" t="n"/>
      <c r="H1159" s="88" t="n"/>
      <c r="I1159" s="88" t="n"/>
      <c r="J1159" s="89" t="n"/>
      <c r="K1159" s="88" t="n"/>
      <c r="L1159" s="88" t="n"/>
      <c r="M1159" s="88" t="n"/>
      <c r="N1159" s="89" t="n"/>
      <c r="O1159" s="88" t="n"/>
      <c r="P1159" s="88" t="n"/>
      <c r="Q1159" s="88" t="n"/>
      <c r="R1159" s="89" t="n"/>
      <c r="S1159" s="88" t="n"/>
      <c r="T1159" s="88" t="n"/>
      <c r="U1159" s="88" t="n"/>
      <c r="V1159" s="89" t="n"/>
      <c r="W1159" s="88" t="n"/>
      <c r="X1159" s="89" t="n"/>
      <c r="Y1159" s="88" t="n"/>
      <c r="Z1159" s="89" t="n"/>
      <c r="AB1159" s="30">
        <f>IF($B1159="","",(COUNTIF(C1159:E1159,"?*")&lt;N(INDEX(Setup!$L$6:$L$23,2)))+(COUNTIF(G1159:I1159,"?*")&lt;N(INDEX(Setup!$L$6:$L$23,2)))+(COUNTIF(K1159:M1159,"?*")&lt;N(INDEX(Setup!$L$6:$L$23,2)))+(COUNTIF(O1159:Q1159,"?*")&lt;N(INDEX(Setup!$L$6:$L$23,2)))+(COUNTIF(S1159:U1159,"?*")&lt;N(INDEX(Setup!$L$6:$L$23,2)))+((W1159="")*(INDEX(Setup!$M$6:$M$23,2)="Y"))+((Y1159="")*(INDEX(Setup!$M$6:$M$23,2)="Y")))</f>
        <v/>
      </c>
      <c r="AC1159" s="91">
        <f>IF($B1159="","",IF(AB1159=0,"✓ covered","⚠ "&amp;AB1159&amp;IF(AB1159=1," gap"," gaps")))</f>
        <v/>
      </c>
    </row>
    <row r="1160" ht="17" customHeight="1">
      <c r="A1160" t="n">
        <v>24</v>
      </c>
      <c r="B1160" s="24">
        <f>IF(Setup!$K$8="","",Setup!$K$8)</f>
        <v/>
      </c>
      <c r="C1160" s="88" t="n"/>
      <c r="D1160" s="88" t="n"/>
      <c r="E1160" s="88" t="n"/>
      <c r="F1160" s="89" t="n"/>
      <c r="G1160" s="88" t="n"/>
      <c r="H1160" s="88" t="n"/>
      <c r="I1160" s="88" t="n"/>
      <c r="J1160" s="89" t="n"/>
      <c r="K1160" s="88" t="n"/>
      <c r="L1160" s="88" t="n"/>
      <c r="M1160" s="88" t="n"/>
      <c r="N1160" s="89" t="n"/>
      <c r="O1160" s="88" t="n"/>
      <c r="P1160" s="88" t="n"/>
      <c r="Q1160" s="88" t="n"/>
      <c r="R1160" s="89" t="n"/>
      <c r="S1160" s="88" t="n"/>
      <c r="T1160" s="88" t="n"/>
      <c r="U1160" s="88" t="n"/>
      <c r="V1160" s="89" t="n"/>
      <c r="W1160" s="88" t="n"/>
      <c r="X1160" s="89" t="n"/>
      <c r="Y1160" s="88" t="n"/>
      <c r="Z1160" s="89" t="n"/>
      <c r="AB1160" s="25">
        <f>IF($B1160="","",(COUNTIF(C1160:E1160,"?*")&lt;N(INDEX(Setup!$L$6:$L$23,3)))+(COUNTIF(G1160:I1160,"?*")&lt;N(INDEX(Setup!$L$6:$L$23,3)))+(COUNTIF(K1160:M1160,"?*")&lt;N(INDEX(Setup!$L$6:$L$23,3)))+(COUNTIF(O1160:Q1160,"?*")&lt;N(INDEX(Setup!$L$6:$L$23,3)))+(COUNTIF(S1160:U1160,"?*")&lt;N(INDEX(Setup!$L$6:$L$23,3)))+((W1160="")*(INDEX(Setup!$M$6:$M$23,3)="Y"))+((Y1160="")*(INDEX(Setup!$M$6:$M$23,3)="Y")))</f>
        <v/>
      </c>
      <c r="AC1160" s="90">
        <f>IF($B1160="","",IF(AB1160=0,"✓ covered","⚠ "&amp;AB1160&amp;IF(AB1160=1," gap"," gaps")))</f>
        <v/>
      </c>
    </row>
    <row r="1161" ht="17" customHeight="1">
      <c r="A1161" t="n">
        <v>24</v>
      </c>
      <c r="B1161" s="29">
        <f>IF(Setup!$K$9="","",Setup!$K$9)</f>
        <v/>
      </c>
      <c r="C1161" s="88" t="n"/>
      <c r="D1161" s="88" t="n"/>
      <c r="E1161" s="88" t="n"/>
      <c r="F1161" s="89" t="n"/>
      <c r="G1161" s="88" t="n"/>
      <c r="H1161" s="88" t="n"/>
      <c r="I1161" s="88" t="n"/>
      <c r="J1161" s="89" t="n"/>
      <c r="K1161" s="88" t="n"/>
      <c r="L1161" s="88" t="n"/>
      <c r="M1161" s="88" t="n"/>
      <c r="N1161" s="89" t="n"/>
      <c r="O1161" s="88" t="n"/>
      <c r="P1161" s="88" t="n"/>
      <c r="Q1161" s="88" t="n"/>
      <c r="R1161" s="89" t="n"/>
      <c r="S1161" s="88" t="n"/>
      <c r="T1161" s="88" t="n"/>
      <c r="U1161" s="88" t="n"/>
      <c r="V1161" s="89" t="n"/>
      <c r="W1161" s="88" t="n"/>
      <c r="X1161" s="89" t="n"/>
      <c r="Y1161" s="88" t="n"/>
      <c r="Z1161" s="89" t="n"/>
      <c r="AB1161" s="30">
        <f>IF($B1161="","",(COUNTIF(C1161:E1161,"?*")&lt;N(INDEX(Setup!$L$6:$L$23,4)))+(COUNTIF(G1161:I1161,"?*")&lt;N(INDEX(Setup!$L$6:$L$23,4)))+(COUNTIF(K1161:M1161,"?*")&lt;N(INDEX(Setup!$L$6:$L$23,4)))+(COUNTIF(O1161:Q1161,"?*")&lt;N(INDEX(Setup!$L$6:$L$23,4)))+(COUNTIF(S1161:U1161,"?*")&lt;N(INDEX(Setup!$L$6:$L$23,4)))+((W1161="")*(INDEX(Setup!$M$6:$M$23,4)="Y"))+((Y1161="")*(INDEX(Setup!$M$6:$M$23,4)="Y")))</f>
        <v/>
      </c>
      <c r="AC1161" s="91">
        <f>IF($B1161="","",IF(AB1161=0,"✓ covered","⚠ "&amp;AB1161&amp;IF(AB1161=1," gap"," gaps")))</f>
        <v/>
      </c>
    </row>
    <row r="1162" ht="17" customHeight="1">
      <c r="A1162" t="n">
        <v>24</v>
      </c>
      <c r="B1162" s="24">
        <f>IF(Setup!$K$10="","",Setup!$K$10)</f>
        <v/>
      </c>
      <c r="C1162" s="88" t="n"/>
      <c r="D1162" s="88" t="n"/>
      <c r="E1162" s="88" t="n"/>
      <c r="F1162" s="89" t="n"/>
      <c r="G1162" s="88" t="n"/>
      <c r="H1162" s="88" t="n"/>
      <c r="I1162" s="88" t="n"/>
      <c r="J1162" s="89" t="n"/>
      <c r="K1162" s="88" t="n"/>
      <c r="L1162" s="88" t="n"/>
      <c r="M1162" s="88" t="n"/>
      <c r="N1162" s="89" t="n"/>
      <c r="O1162" s="88" t="n"/>
      <c r="P1162" s="88" t="n"/>
      <c r="Q1162" s="88" t="n"/>
      <c r="R1162" s="89" t="n"/>
      <c r="S1162" s="88" t="n"/>
      <c r="T1162" s="88" t="n"/>
      <c r="U1162" s="88" t="n"/>
      <c r="V1162" s="89" t="n"/>
      <c r="W1162" s="88" t="n"/>
      <c r="X1162" s="89" t="n"/>
      <c r="Y1162" s="88" t="n"/>
      <c r="Z1162" s="89" t="n"/>
      <c r="AB1162" s="25">
        <f>IF($B1162="","",(COUNTIF(C1162:E1162,"?*")&lt;N(INDEX(Setup!$L$6:$L$23,5)))+(COUNTIF(G1162:I1162,"?*")&lt;N(INDEX(Setup!$L$6:$L$23,5)))+(COUNTIF(K1162:M1162,"?*")&lt;N(INDEX(Setup!$L$6:$L$23,5)))+(COUNTIF(O1162:Q1162,"?*")&lt;N(INDEX(Setup!$L$6:$L$23,5)))+(COUNTIF(S1162:U1162,"?*")&lt;N(INDEX(Setup!$L$6:$L$23,5)))+((W1162="")*(INDEX(Setup!$M$6:$M$23,5)="Y"))+((Y1162="")*(INDEX(Setup!$M$6:$M$23,5)="Y")))</f>
        <v/>
      </c>
      <c r="AC1162" s="90">
        <f>IF($B1162="","",IF(AB1162=0,"✓ covered","⚠ "&amp;AB1162&amp;IF(AB1162=1," gap"," gaps")))</f>
        <v/>
      </c>
    </row>
    <row r="1163" ht="17" customHeight="1">
      <c r="A1163" t="n">
        <v>24</v>
      </c>
      <c r="B1163" s="29">
        <f>IF(Setup!$K$11="","",Setup!$K$11)</f>
        <v/>
      </c>
      <c r="C1163" s="88" t="n"/>
      <c r="D1163" s="88" t="n"/>
      <c r="E1163" s="88" t="n"/>
      <c r="F1163" s="89" t="n"/>
      <c r="G1163" s="88" t="n"/>
      <c r="H1163" s="88" t="n"/>
      <c r="I1163" s="88" t="n"/>
      <c r="J1163" s="89" t="n"/>
      <c r="K1163" s="88" t="n"/>
      <c r="L1163" s="88" t="n"/>
      <c r="M1163" s="88" t="n"/>
      <c r="N1163" s="89" t="n"/>
      <c r="O1163" s="88" t="n"/>
      <c r="P1163" s="88" t="n"/>
      <c r="Q1163" s="88" t="n"/>
      <c r="R1163" s="89" t="n"/>
      <c r="S1163" s="88" t="n"/>
      <c r="T1163" s="88" t="n"/>
      <c r="U1163" s="88" t="n"/>
      <c r="V1163" s="89" t="n"/>
      <c r="W1163" s="88" t="n"/>
      <c r="X1163" s="89" t="n"/>
      <c r="Y1163" s="88" t="n"/>
      <c r="Z1163" s="89" t="n"/>
      <c r="AB1163" s="30">
        <f>IF($B1163="","",(COUNTIF(C1163:E1163,"?*")&lt;N(INDEX(Setup!$L$6:$L$23,6)))+(COUNTIF(G1163:I1163,"?*")&lt;N(INDEX(Setup!$L$6:$L$23,6)))+(COUNTIF(K1163:M1163,"?*")&lt;N(INDEX(Setup!$L$6:$L$23,6)))+(COUNTIF(O1163:Q1163,"?*")&lt;N(INDEX(Setup!$L$6:$L$23,6)))+(COUNTIF(S1163:U1163,"?*")&lt;N(INDEX(Setup!$L$6:$L$23,6)))+((W1163="")*(INDEX(Setup!$M$6:$M$23,6)="Y"))+((Y1163="")*(INDEX(Setup!$M$6:$M$23,6)="Y")))</f>
        <v/>
      </c>
      <c r="AC1163" s="91">
        <f>IF($B1163="","",IF(AB1163=0,"✓ covered","⚠ "&amp;AB1163&amp;IF(AB1163=1," gap"," gaps")))</f>
        <v/>
      </c>
    </row>
    <row r="1164" ht="17" customHeight="1">
      <c r="A1164" t="n">
        <v>24</v>
      </c>
      <c r="B1164" s="24">
        <f>IF(Setup!$K$12="","",Setup!$K$12)</f>
        <v/>
      </c>
      <c r="C1164" s="88" t="n"/>
      <c r="D1164" s="88" t="n"/>
      <c r="E1164" s="88" t="n"/>
      <c r="F1164" s="89" t="n"/>
      <c r="G1164" s="88" t="n"/>
      <c r="H1164" s="88" t="n"/>
      <c r="I1164" s="88" t="n"/>
      <c r="J1164" s="89" t="n"/>
      <c r="K1164" s="88" t="n"/>
      <c r="L1164" s="88" t="n"/>
      <c r="M1164" s="88" t="n"/>
      <c r="N1164" s="89" t="n"/>
      <c r="O1164" s="88" t="n"/>
      <c r="P1164" s="88" t="n"/>
      <c r="Q1164" s="88" t="n"/>
      <c r="R1164" s="89" t="n"/>
      <c r="S1164" s="88" t="n"/>
      <c r="T1164" s="88" t="n"/>
      <c r="U1164" s="88" t="n"/>
      <c r="V1164" s="89" t="n"/>
      <c r="W1164" s="88" t="n"/>
      <c r="X1164" s="89" t="n"/>
      <c r="Y1164" s="88" t="n"/>
      <c r="Z1164" s="89" t="n"/>
      <c r="AB1164" s="25">
        <f>IF($B1164="","",(COUNTIF(C1164:E1164,"?*")&lt;N(INDEX(Setup!$L$6:$L$23,7)))+(COUNTIF(G1164:I1164,"?*")&lt;N(INDEX(Setup!$L$6:$L$23,7)))+(COUNTIF(K1164:M1164,"?*")&lt;N(INDEX(Setup!$L$6:$L$23,7)))+(COUNTIF(O1164:Q1164,"?*")&lt;N(INDEX(Setup!$L$6:$L$23,7)))+(COUNTIF(S1164:U1164,"?*")&lt;N(INDEX(Setup!$L$6:$L$23,7)))+((W1164="")*(INDEX(Setup!$M$6:$M$23,7)="Y"))+((Y1164="")*(INDEX(Setup!$M$6:$M$23,7)="Y")))</f>
        <v/>
      </c>
      <c r="AC1164" s="90">
        <f>IF($B1164="","",IF(AB1164=0,"✓ covered","⚠ "&amp;AB1164&amp;IF(AB1164=1," gap"," gaps")))</f>
        <v/>
      </c>
    </row>
    <row r="1165" ht="17" customHeight="1">
      <c r="A1165" t="n">
        <v>24</v>
      </c>
      <c r="B1165" s="29">
        <f>IF(Setup!$K$13="","",Setup!$K$13)</f>
        <v/>
      </c>
      <c r="C1165" s="88" t="n"/>
      <c r="D1165" s="88" t="n"/>
      <c r="E1165" s="88" t="n"/>
      <c r="F1165" s="89" t="n"/>
      <c r="G1165" s="88" t="n"/>
      <c r="H1165" s="88" t="n"/>
      <c r="I1165" s="88" t="n"/>
      <c r="J1165" s="89" t="n"/>
      <c r="K1165" s="88" t="n"/>
      <c r="L1165" s="88" t="n"/>
      <c r="M1165" s="88" t="n"/>
      <c r="N1165" s="89" t="n"/>
      <c r="O1165" s="88" t="n"/>
      <c r="P1165" s="88" t="n"/>
      <c r="Q1165" s="88" t="n"/>
      <c r="R1165" s="89" t="n"/>
      <c r="S1165" s="88" t="n"/>
      <c r="T1165" s="88" t="n"/>
      <c r="U1165" s="88" t="n"/>
      <c r="V1165" s="89" t="n"/>
      <c r="W1165" s="88" t="n"/>
      <c r="X1165" s="89" t="n"/>
      <c r="Y1165" s="88" t="n"/>
      <c r="Z1165" s="89" t="n"/>
      <c r="AB1165" s="30">
        <f>IF($B1165="","",(COUNTIF(C1165:E1165,"?*")&lt;N(INDEX(Setup!$L$6:$L$23,8)))+(COUNTIF(G1165:I1165,"?*")&lt;N(INDEX(Setup!$L$6:$L$23,8)))+(COUNTIF(K1165:M1165,"?*")&lt;N(INDEX(Setup!$L$6:$L$23,8)))+(COUNTIF(O1165:Q1165,"?*")&lt;N(INDEX(Setup!$L$6:$L$23,8)))+(COUNTIF(S1165:U1165,"?*")&lt;N(INDEX(Setup!$L$6:$L$23,8)))+((W1165="")*(INDEX(Setup!$M$6:$M$23,8)="Y"))+((Y1165="")*(INDEX(Setup!$M$6:$M$23,8)="Y")))</f>
        <v/>
      </c>
      <c r="AC1165" s="91">
        <f>IF($B1165="","",IF(AB1165=0,"✓ covered","⚠ "&amp;AB1165&amp;IF(AB1165=1," gap"," gaps")))</f>
        <v/>
      </c>
    </row>
    <row r="1166" ht="17" customHeight="1">
      <c r="A1166" t="n">
        <v>24</v>
      </c>
      <c r="B1166" s="24">
        <f>IF(Setup!$K$14="","",Setup!$K$14)</f>
        <v/>
      </c>
      <c r="C1166" s="88" t="n"/>
      <c r="D1166" s="88" t="n"/>
      <c r="E1166" s="88" t="n"/>
      <c r="F1166" s="89" t="n"/>
      <c r="G1166" s="88" t="n"/>
      <c r="H1166" s="88" t="n"/>
      <c r="I1166" s="88" t="n"/>
      <c r="J1166" s="89" t="n"/>
      <c r="K1166" s="88" t="n"/>
      <c r="L1166" s="88" t="n"/>
      <c r="M1166" s="88" t="n"/>
      <c r="N1166" s="89" t="n"/>
      <c r="O1166" s="88" t="n"/>
      <c r="P1166" s="88" t="n"/>
      <c r="Q1166" s="88" t="n"/>
      <c r="R1166" s="89" t="n"/>
      <c r="S1166" s="88" t="n"/>
      <c r="T1166" s="88" t="n"/>
      <c r="U1166" s="88" t="n"/>
      <c r="V1166" s="89" t="n"/>
      <c r="W1166" s="88" t="n"/>
      <c r="X1166" s="89" t="n"/>
      <c r="Y1166" s="88" t="n"/>
      <c r="Z1166" s="89" t="n"/>
      <c r="AB1166" s="25">
        <f>IF($B1166="","",(COUNTIF(C1166:E1166,"?*")&lt;N(INDEX(Setup!$L$6:$L$23,9)))+(COUNTIF(G1166:I1166,"?*")&lt;N(INDEX(Setup!$L$6:$L$23,9)))+(COUNTIF(K1166:M1166,"?*")&lt;N(INDEX(Setup!$L$6:$L$23,9)))+(COUNTIF(O1166:Q1166,"?*")&lt;N(INDEX(Setup!$L$6:$L$23,9)))+(COUNTIF(S1166:U1166,"?*")&lt;N(INDEX(Setup!$L$6:$L$23,9)))+((W1166="")*(INDEX(Setup!$M$6:$M$23,9)="Y"))+((Y1166="")*(INDEX(Setup!$M$6:$M$23,9)="Y")))</f>
        <v/>
      </c>
      <c r="AC1166" s="90">
        <f>IF($B1166="","",IF(AB1166=0,"✓ covered","⚠ "&amp;AB1166&amp;IF(AB1166=1," gap"," gaps")))</f>
        <v/>
      </c>
    </row>
    <row r="1167" ht="17" customHeight="1">
      <c r="A1167" t="n">
        <v>24</v>
      </c>
      <c r="B1167" s="29">
        <f>IF(Setup!$K$15="","",Setup!$K$15)</f>
        <v/>
      </c>
      <c r="C1167" s="88" t="n"/>
      <c r="D1167" s="88" t="n"/>
      <c r="E1167" s="88" t="n"/>
      <c r="F1167" s="89" t="n"/>
      <c r="G1167" s="88" t="n"/>
      <c r="H1167" s="88" t="n"/>
      <c r="I1167" s="88" t="n"/>
      <c r="J1167" s="89" t="n"/>
      <c r="K1167" s="88" t="n"/>
      <c r="L1167" s="88" t="n"/>
      <c r="M1167" s="88" t="n"/>
      <c r="N1167" s="89" t="n"/>
      <c r="O1167" s="88" t="n"/>
      <c r="P1167" s="88" t="n"/>
      <c r="Q1167" s="88" t="n"/>
      <c r="R1167" s="89" t="n"/>
      <c r="S1167" s="88" t="n"/>
      <c r="T1167" s="88" t="n"/>
      <c r="U1167" s="88" t="n"/>
      <c r="V1167" s="89" t="n"/>
      <c r="W1167" s="88" t="n"/>
      <c r="X1167" s="89" t="n"/>
      <c r="Y1167" s="88" t="n"/>
      <c r="Z1167" s="89" t="n"/>
      <c r="AB1167" s="30">
        <f>IF($B1167="","",(COUNTIF(C1167:E1167,"?*")&lt;N(INDEX(Setup!$L$6:$L$23,10)))+(COUNTIF(G1167:I1167,"?*")&lt;N(INDEX(Setup!$L$6:$L$23,10)))+(COUNTIF(K1167:M1167,"?*")&lt;N(INDEX(Setup!$L$6:$L$23,10)))+(COUNTIF(O1167:Q1167,"?*")&lt;N(INDEX(Setup!$L$6:$L$23,10)))+(COUNTIF(S1167:U1167,"?*")&lt;N(INDEX(Setup!$L$6:$L$23,10)))+((W1167="")*(INDEX(Setup!$M$6:$M$23,10)="Y"))+((Y1167="")*(INDEX(Setup!$M$6:$M$23,10)="Y")))</f>
        <v/>
      </c>
      <c r="AC1167" s="91">
        <f>IF($B1167="","",IF(AB1167=0,"✓ covered","⚠ "&amp;AB1167&amp;IF(AB1167=1," gap"," gaps")))</f>
        <v/>
      </c>
    </row>
    <row r="1168" ht="17" customHeight="1">
      <c r="A1168" t="n">
        <v>24</v>
      </c>
      <c r="B1168" s="24">
        <f>IF(Setup!$K$16="","",Setup!$K$16)</f>
        <v/>
      </c>
      <c r="C1168" s="88" t="n"/>
      <c r="D1168" s="88" t="n"/>
      <c r="E1168" s="88" t="n"/>
      <c r="F1168" s="89" t="n"/>
      <c r="G1168" s="88" t="n"/>
      <c r="H1168" s="88" t="n"/>
      <c r="I1168" s="88" t="n"/>
      <c r="J1168" s="89" t="n"/>
      <c r="K1168" s="88" t="n"/>
      <c r="L1168" s="88" t="n"/>
      <c r="M1168" s="88" t="n"/>
      <c r="N1168" s="89" t="n"/>
      <c r="O1168" s="88" t="n"/>
      <c r="P1168" s="88" t="n"/>
      <c r="Q1168" s="88" t="n"/>
      <c r="R1168" s="89" t="n"/>
      <c r="S1168" s="88" t="n"/>
      <c r="T1168" s="88" t="n"/>
      <c r="U1168" s="88" t="n"/>
      <c r="V1168" s="89" t="n"/>
      <c r="W1168" s="88" t="n"/>
      <c r="X1168" s="89" t="n"/>
      <c r="Y1168" s="88" t="n"/>
      <c r="Z1168" s="89" t="n"/>
      <c r="AB1168" s="25">
        <f>IF($B1168="","",(COUNTIF(C1168:E1168,"?*")&lt;N(INDEX(Setup!$L$6:$L$23,11)))+(COUNTIF(G1168:I1168,"?*")&lt;N(INDEX(Setup!$L$6:$L$23,11)))+(COUNTIF(K1168:M1168,"?*")&lt;N(INDEX(Setup!$L$6:$L$23,11)))+(COUNTIF(O1168:Q1168,"?*")&lt;N(INDEX(Setup!$L$6:$L$23,11)))+(COUNTIF(S1168:U1168,"?*")&lt;N(INDEX(Setup!$L$6:$L$23,11)))+((W1168="")*(INDEX(Setup!$M$6:$M$23,11)="Y"))+((Y1168="")*(INDEX(Setup!$M$6:$M$23,11)="Y")))</f>
        <v/>
      </c>
      <c r="AC1168" s="90">
        <f>IF($B1168="","",IF(AB1168=0,"✓ covered","⚠ "&amp;AB1168&amp;IF(AB1168=1," gap"," gaps")))</f>
        <v/>
      </c>
    </row>
    <row r="1169" ht="17" customHeight="1">
      <c r="A1169" t="n">
        <v>24</v>
      </c>
      <c r="B1169" s="29">
        <f>IF(Setup!$K$17="","",Setup!$K$17)</f>
        <v/>
      </c>
      <c r="C1169" s="88" t="n"/>
      <c r="D1169" s="88" t="n"/>
      <c r="E1169" s="88" t="n"/>
      <c r="F1169" s="89" t="n"/>
      <c r="G1169" s="88" t="n"/>
      <c r="H1169" s="88" t="n"/>
      <c r="I1169" s="88" t="n"/>
      <c r="J1169" s="89" t="n"/>
      <c r="K1169" s="88" t="n"/>
      <c r="L1169" s="88" t="n"/>
      <c r="M1169" s="88" t="n"/>
      <c r="N1169" s="89" t="n"/>
      <c r="O1169" s="88" t="n"/>
      <c r="P1169" s="88" t="n"/>
      <c r="Q1169" s="88" t="n"/>
      <c r="R1169" s="89" t="n"/>
      <c r="S1169" s="88" t="n"/>
      <c r="T1169" s="88" t="n"/>
      <c r="U1169" s="88" t="n"/>
      <c r="V1169" s="89" t="n"/>
      <c r="W1169" s="88" t="n"/>
      <c r="X1169" s="89" t="n"/>
      <c r="Y1169" s="88" t="n"/>
      <c r="Z1169" s="89" t="n"/>
      <c r="AB1169" s="30">
        <f>IF($B1169="","",(COUNTIF(C1169:E1169,"?*")&lt;N(INDEX(Setup!$L$6:$L$23,12)))+(COUNTIF(G1169:I1169,"?*")&lt;N(INDEX(Setup!$L$6:$L$23,12)))+(COUNTIF(K1169:M1169,"?*")&lt;N(INDEX(Setup!$L$6:$L$23,12)))+(COUNTIF(O1169:Q1169,"?*")&lt;N(INDEX(Setup!$L$6:$L$23,12)))+(COUNTIF(S1169:U1169,"?*")&lt;N(INDEX(Setup!$L$6:$L$23,12)))+((W1169="")*(INDEX(Setup!$M$6:$M$23,12)="Y"))+((Y1169="")*(INDEX(Setup!$M$6:$M$23,12)="Y")))</f>
        <v/>
      </c>
      <c r="AC1169" s="91">
        <f>IF($B1169="","",IF(AB1169=0,"✓ covered","⚠ "&amp;AB1169&amp;IF(AB1169=1," gap"," gaps")))</f>
        <v/>
      </c>
    </row>
    <row r="1170" ht="17" customHeight="1">
      <c r="A1170" t="n">
        <v>24</v>
      </c>
      <c r="B1170" s="24">
        <f>IF(Setup!$K$18="","",Setup!$K$18)</f>
        <v/>
      </c>
      <c r="C1170" s="88" t="n"/>
      <c r="D1170" s="88" t="n"/>
      <c r="E1170" s="88" t="n"/>
      <c r="F1170" s="89" t="n"/>
      <c r="G1170" s="88" t="n"/>
      <c r="H1170" s="88" t="n"/>
      <c r="I1170" s="88" t="n"/>
      <c r="J1170" s="89" t="n"/>
      <c r="K1170" s="88" t="n"/>
      <c r="L1170" s="88" t="n"/>
      <c r="M1170" s="88" t="n"/>
      <c r="N1170" s="89" t="n"/>
      <c r="O1170" s="88" t="n"/>
      <c r="P1170" s="88" t="n"/>
      <c r="Q1170" s="88" t="n"/>
      <c r="R1170" s="89" t="n"/>
      <c r="S1170" s="88" t="n"/>
      <c r="T1170" s="88" t="n"/>
      <c r="U1170" s="88" t="n"/>
      <c r="V1170" s="89" t="n"/>
      <c r="W1170" s="88" t="n"/>
      <c r="X1170" s="89" t="n"/>
      <c r="Y1170" s="88" t="n"/>
      <c r="Z1170" s="89" t="n"/>
      <c r="AB1170" s="25">
        <f>IF($B1170="","",(COUNTIF(C1170:E1170,"?*")&lt;N(INDEX(Setup!$L$6:$L$23,13)))+(COUNTIF(G1170:I1170,"?*")&lt;N(INDEX(Setup!$L$6:$L$23,13)))+(COUNTIF(K1170:M1170,"?*")&lt;N(INDEX(Setup!$L$6:$L$23,13)))+(COUNTIF(O1170:Q1170,"?*")&lt;N(INDEX(Setup!$L$6:$L$23,13)))+(COUNTIF(S1170:U1170,"?*")&lt;N(INDEX(Setup!$L$6:$L$23,13)))+((W1170="")*(INDEX(Setup!$M$6:$M$23,13)="Y"))+((Y1170="")*(INDEX(Setup!$M$6:$M$23,13)="Y")))</f>
        <v/>
      </c>
      <c r="AC1170" s="90">
        <f>IF($B1170="","",IF(AB1170=0,"✓ covered","⚠ "&amp;AB1170&amp;IF(AB1170=1," gap"," gaps")))</f>
        <v/>
      </c>
    </row>
    <row r="1171" ht="17" customHeight="1">
      <c r="A1171" t="n">
        <v>24</v>
      </c>
      <c r="B1171" s="29">
        <f>IF(Setup!$K$19="","",Setup!$K$19)</f>
        <v/>
      </c>
      <c r="C1171" s="88" t="n"/>
      <c r="D1171" s="88" t="n"/>
      <c r="E1171" s="88" t="n"/>
      <c r="F1171" s="89" t="n"/>
      <c r="G1171" s="88" t="n"/>
      <c r="H1171" s="88" t="n"/>
      <c r="I1171" s="88" t="n"/>
      <c r="J1171" s="89" t="n"/>
      <c r="K1171" s="88" t="n"/>
      <c r="L1171" s="88" t="n"/>
      <c r="M1171" s="88" t="n"/>
      <c r="N1171" s="89" t="n"/>
      <c r="O1171" s="88" t="n"/>
      <c r="P1171" s="88" t="n"/>
      <c r="Q1171" s="88" t="n"/>
      <c r="R1171" s="89" t="n"/>
      <c r="S1171" s="88" t="n"/>
      <c r="T1171" s="88" t="n"/>
      <c r="U1171" s="88" t="n"/>
      <c r="V1171" s="89" t="n"/>
      <c r="W1171" s="88" t="n"/>
      <c r="X1171" s="89" t="n"/>
      <c r="Y1171" s="88" t="n"/>
      <c r="Z1171" s="89" t="n"/>
      <c r="AB1171" s="30">
        <f>IF($B1171="","",(COUNTIF(C1171:E1171,"?*")&lt;N(INDEX(Setup!$L$6:$L$23,14)))+(COUNTIF(G1171:I1171,"?*")&lt;N(INDEX(Setup!$L$6:$L$23,14)))+(COUNTIF(K1171:M1171,"?*")&lt;N(INDEX(Setup!$L$6:$L$23,14)))+(COUNTIF(O1171:Q1171,"?*")&lt;N(INDEX(Setup!$L$6:$L$23,14)))+(COUNTIF(S1171:U1171,"?*")&lt;N(INDEX(Setup!$L$6:$L$23,14)))+((W1171="")*(INDEX(Setup!$M$6:$M$23,14)="Y"))+((Y1171="")*(INDEX(Setup!$M$6:$M$23,14)="Y")))</f>
        <v/>
      </c>
      <c r="AC1171" s="91">
        <f>IF($B1171="","",IF(AB1171=0,"✓ covered","⚠ "&amp;AB1171&amp;IF(AB1171=1," gap"," gaps")))</f>
        <v/>
      </c>
    </row>
    <row r="1172" ht="17" customHeight="1">
      <c r="A1172" t="n">
        <v>24</v>
      </c>
      <c r="B1172" s="24">
        <f>IF(Setup!$K$20="","",Setup!$K$20)</f>
        <v/>
      </c>
      <c r="C1172" s="88" t="n"/>
      <c r="D1172" s="88" t="n"/>
      <c r="E1172" s="88" t="n"/>
      <c r="F1172" s="89" t="n"/>
      <c r="G1172" s="88" t="n"/>
      <c r="H1172" s="88" t="n"/>
      <c r="I1172" s="88" t="n"/>
      <c r="J1172" s="89" t="n"/>
      <c r="K1172" s="88" t="n"/>
      <c r="L1172" s="88" t="n"/>
      <c r="M1172" s="88" t="n"/>
      <c r="N1172" s="89" t="n"/>
      <c r="O1172" s="88" t="n"/>
      <c r="P1172" s="88" t="n"/>
      <c r="Q1172" s="88" t="n"/>
      <c r="R1172" s="89" t="n"/>
      <c r="S1172" s="88" t="n"/>
      <c r="T1172" s="88" t="n"/>
      <c r="U1172" s="88" t="n"/>
      <c r="V1172" s="89" t="n"/>
      <c r="W1172" s="88" t="n"/>
      <c r="X1172" s="89" t="n"/>
      <c r="Y1172" s="88" t="n"/>
      <c r="Z1172" s="89" t="n"/>
      <c r="AB1172" s="25">
        <f>IF($B1172="","",(COUNTIF(C1172:E1172,"?*")&lt;N(INDEX(Setup!$L$6:$L$23,15)))+(COUNTIF(G1172:I1172,"?*")&lt;N(INDEX(Setup!$L$6:$L$23,15)))+(COUNTIF(K1172:M1172,"?*")&lt;N(INDEX(Setup!$L$6:$L$23,15)))+(COUNTIF(O1172:Q1172,"?*")&lt;N(INDEX(Setup!$L$6:$L$23,15)))+(COUNTIF(S1172:U1172,"?*")&lt;N(INDEX(Setup!$L$6:$L$23,15)))+((W1172="")*(INDEX(Setup!$M$6:$M$23,15)="Y"))+((Y1172="")*(INDEX(Setup!$M$6:$M$23,15)="Y")))</f>
        <v/>
      </c>
      <c r="AC1172" s="90">
        <f>IF($B1172="","",IF(AB1172=0,"✓ covered","⚠ "&amp;AB1172&amp;IF(AB1172=1," gap"," gaps")))</f>
        <v/>
      </c>
    </row>
    <row r="1173" ht="17" customHeight="1">
      <c r="A1173" t="n">
        <v>24</v>
      </c>
      <c r="B1173" s="29">
        <f>IF(Setup!$K$21="","",Setup!$K$21)</f>
        <v/>
      </c>
      <c r="C1173" s="88" t="n"/>
      <c r="D1173" s="88" t="n"/>
      <c r="E1173" s="88" t="n"/>
      <c r="F1173" s="89" t="n"/>
      <c r="G1173" s="88" t="n"/>
      <c r="H1173" s="88" t="n"/>
      <c r="I1173" s="88" t="n"/>
      <c r="J1173" s="89" t="n"/>
      <c r="K1173" s="88" t="n"/>
      <c r="L1173" s="88" t="n"/>
      <c r="M1173" s="88" t="n"/>
      <c r="N1173" s="89" t="n"/>
      <c r="O1173" s="88" t="n"/>
      <c r="P1173" s="88" t="n"/>
      <c r="Q1173" s="88" t="n"/>
      <c r="R1173" s="89" t="n"/>
      <c r="S1173" s="88" t="n"/>
      <c r="T1173" s="88" t="n"/>
      <c r="U1173" s="88" t="n"/>
      <c r="V1173" s="89" t="n"/>
      <c r="W1173" s="88" t="n"/>
      <c r="X1173" s="89" t="n"/>
      <c r="Y1173" s="88" t="n"/>
      <c r="Z1173" s="89" t="n"/>
      <c r="AB1173" s="30">
        <f>IF($B1173="","",(COUNTIF(C1173:E1173,"?*")&lt;N(INDEX(Setup!$L$6:$L$23,16)))+(COUNTIF(G1173:I1173,"?*")&lt;N(INDEX(Setup!$L$6:$L$23,16)))+(COUNTIF(K1173:M1173,"?*")&lt;N(INDEX(Setup!$L$6:$L$23,16)))+(COUNTIF(O1173:Q1173,"?*")&lt;N(INDEX(Setup!$L$6:$L$23,16)))+(COUNTIF(S1173:U1173,"?*")&lt;N(INDEX(Setup!$L$6:$L$23,16)))+((W1173="")*(INDEX(Setup!$M$6:$M$23,16)="Y"))+((Y1173="")*(INDEX(Setup!$M$6:$M$23,16)="Y")))</f>
        <v/>
      </c>
      <c r="AC1173" s="91">
        <f>IF($B1173="","",IF(AB1173=0,"✓ covered","⚠ "&amp;AB1173&amp;IF(AB1173=1," gap"," gaps")))</f>
        <v/>
      </c>
    </row>
    <row r="1174" ht="17" customHeight="1">
      <c r="A1174" t="n">
        <v>24</v>
      </c>
      <c r="B1174" s="24">
        <f>IF(Setup!$K$22="","",Setup!$K$22)</f>
        <v/>
      </c>
      <c r="C1174" s="88" t="n"/>
      <c r="D1174" s="88" t="n"/>
      <c r="E1174" s="88" t="n"/>
      <c r="F1174" s="89" t="n"/>
      <c r="G1174" s="88" t="n"/>
      <c r="H1174" s="88" t="n"/>
      <c r="I1174" s="88" t="n"/>
      <c r="J1174" s="89" t="n"/>
      <c r="K1174" s="88" t="n"/>
      <c r="L1174" s="88" t="n"/>
      <c r="M1174" s="88" t="n"/>
      <c r="N1174" s="89" t="n"/>
      <c r="O1174" s="88" t="n"/>
      <c r="P1174" s="88" t="n"/>
      <c r="Q1174" s="88" t="n"/>
      <c r="R1174" s="89" t="n"/>
      <c r="S1174" s="88" t="n"/>
      <c r="T1174" s="88" t="n"/>
      <c r="U1174" s="88" t="n"/>
      <c r="V1174" s="89" t="n"/>
      <c r="W1174" s="88" t="n"/>
      <c r="X1174" s="89" t="n"/>
      <c r="Y1174" s="88" t="n"/>
      <c r="Z1174" s="89" t="n"/>
      <c r="AB1174" s="25">
        <f>IF($B1174="","",(COUNTIF(C1174:E1174,"?*")&lt;N(INDEX(Setup!$L$6:$L$23,17)))+(COUNTIF(G1174:I1174,"?*")&lt;N(INDEX(Setup!$L$6:$L$23,17)))+(COUNTIF(K1174:M1174,"?*")&lt;N(INDEX(Setup!$L$6:$L$23,17)))+(COUNTIF(O1174:Q1174,"?*")&lt;N(INDEX(Setup!$L$6:$L$23,17)))+(COUNTIF(S1174:U1174,"?*")&lt;N(INDEX(Setup!$L$6:$L$23,17)))+((W1174="")*(INDEX(Setup!$M$6:$M$23,17)="Y"))+((Y1174="")*(INDEX(Setup!$M$6:$M$23,17)="Y")))</f>
        <v/>
      </c>
      <c r="AC1174" s="90">
        <f>IF($B1174="","",IF(AB1174=0,"✓ covered","⚠ "&amp;AB1174&amp;IF(AB1174=1," gap"," gaps")))</f>
        <v/>
      </c>
    </row>
    <row r="1175" ht="17" customHeight="1">
      <c r="A1175" t="n">
        <v>24</v>
      </c>
      <c r="B1175" s="29">
        <f>IF(Setup!$K$23="","",Setup!$K$23)</f>
        <v/>
      </c>
      <c r="C1175" s="88" t="n"/>
      <c r="D1175" s="88" t="n"/>
      <c r="E1175" s="88" t="n"/>
      <c r="F1175" s="89" t="n"/>
      <c r="G1175" s="88" t="n"/>
      <c r="H1175" s="88" t="n"/>
      <c r="I1175" s="88" t="n"/>
      <c r="J1175" s="89" t="n"/>
      <c r="K1175" s="88" t="n"/>
      <c r="L1175" s="88" t="n"/>
      <c r="M1175" s="88" t="n"/>
      <c r="N1175" s="89" t="n"/>
      <c r="O1175" s="88" t="n"/>
      <c r="P1175" s="88" t="n"/>
      <c r="Q1175" s="88" t="n"/>
      <c r="R1175" s="89" t="n"/>
      <c r="S1175" s="88" t="n"/>
      <c r="T1175" s="88" t="n"/>
      <c r="U1175" s="88" t="n"/>
      <c r="V1175" s="89" t="n"/>
      <c r="W1175" s="88" t="n"/>
      <c r="X1175" s="89" t="n"/>
      <c r="Y1175" s="88" t="n"/>
      <c r="Z1175" s="89" t="n"/>
      <c r="AB1175" s="30">
        <f>IF($B1175="","",(COUNTIF(C1175:E1175,"?*")&lt;N(INDEX(Setup!$L$6:$L$23,18)))+(COUNTIF(G1175:I1175,"?*")&lt;N(INDEX(Setup!$L$6:$L$23,18)))+(COUNTIF(K1175:M1175,"?*")&lt;N(INDEX(Setup!$L$6:$L$23,18)))+(COUNTIF(O1175:Q1175,"?*")&lt;N(INDEX(Setup!$L$6:$L$23,18)))+(COUNTIF(S1175:U1175,"?*")&lt;N(INDEX(Setup!$L$6:$L$23,18)))+((W1175="")*(INDEX(Setup!$M$6:$M$23,18)="Y"))+((Y1175="")*(INDEX(Setup!$M$6:$M$23,18)="Y")))</f>
        <v/>
      </c>
      <c r="AC1175" s="91">
        <f>IF($B1175="","",IF(AB1175=0,"✓ covered","⚠ "&amp;AB1175&amp;IF(AB1175=1," gap"," gaps")))</f>
        <v/>
      </c>
    </row>
    <row r="1176" ht="18" customHeight="1">
      <c r="A1176" t="n">
        <v>24</v>
      </c>
      <c r="B1176" s="78" t="inlineStr">
        <is>
          <t>TEAM AVAILABILITY</t>
        </is>
      </c>
      <c r="C1176" s="92" t="inlineStr">
        <is>
          <t>Mon</t>
        </is>
      </c>
      <c r="D1176" s="93" t="n"/>
      <c r="E1176" s="93" t="n"/>
      <c r="F1176" s="94" t="n"/>
      <c r="G1176" s="92" t="inlineStr">
        <is>
          <t>Tue</t>
        </is>
      </c>
      <c r="H1176" s="93" t="n"/>
      <c r="I1176" s="93" t="n"/>
      <c r="J1176" s="94" t="n"/>
      <c r="K1176" s="92" t="inlineStr">
        <is>
          <t>Wed</t>
        </is>
      </c>
      <c r="L1176" s="93" t="n"/>
      <c r="M1176" s="93" t="n"/>
      <c r="N1176" s="94" t="n"/>
      <c r="O1176" s="92" t="inlineStr">
        <is>
          <t>Thu</t>
        </is>
      </c>
      <c r="P1176" s="93" t="n"/>
      <c r="Q1176" s="93" t="n"/>
      <c r="R1176" s="94" t="n"/>
      <c r="S1176" s="92" t="inlineStr">
        <is>
          <t>Fri</t>
        </is>
      </c>
      <c r="T1176" s="93" t="n"/>
      <c r="U1176" s="93" t="n"/>
      <c r="V1176" s="94" t="n"/>
      <c r="W1176" s="95" t="inlineStr">
        <is>
          <t>Sat</t>
        </is>
      </c>
      <c r="X1176" s="96" t="n"/>
      <c r="Y1176" s="95" t="inlineStr">
        <is>
          <t>Sun</t>
        </is>
      </c>
      <c r="Z1176" s="96" t="n"/>
      <c r="AB1176" s="97" t="inlineStr">
        <is>
          <t>Days rostered</t>
        </is>
      </c>
      <c r="AC1176" s="97" t="inlineStr">
        <is>
          <t>Conflicts</t>
        </is>
      </c>
    </row>
    <row r="1177" ht="15" customHeight="1">
      <c r="A1177" t="n">
        <v>24</v>
      </c>
      <c r="B1177" s="35">
        <f>IF(Setup!$B$6="","",Setup!$B$6)</f>
        <v/>
      </c>
      <c r="C1177" s="98" t="n"/>
      <c r="D1177" s="99" t="n"/>
      <c r="E1177" s="99" t="n"/>
      <c r="F1177" s="100" t="n"/>
      <c r="G1177" s="98" t="n"/>
      <c r="H1177" s="99" t="n"/>
      <c r="I1177" s="99" t="n"/>
      <c r="J1177" s="100" t="n"/>
      <c r="K1177" s="98" t="n"/>
      <c r="L1177" s="99" t="n"/>
      <c r="M1177" s="99" t="n"/>
      <c r="N1177" s="100" t="n"/>
      <c r="O1177" s="98" t="n"/>
      <c r="P1177" s="99" t="n"/>
      <c r="Q1177" s="99" t="n"/>
      <c r="R1177" s="100" t="n"/>
      <c r="S1177" s="98" t="n"/>
      <c r="T1177" s="99" t="n"/>
      <c r="U1177" s="99" t="n"/>
      <c r="V1177" s="100" t="n"/>
      <c r="W1177" s="98" t="n"/>
      <c r="X1177" s="100" t="n"/>
      <c r="Y1177" s="98" t="n"/>
      <c r="Z1177" s="100" t="n"/>
      <c r="AB1177" s="101">
        <f>IF($B1177="","",(COUNTIF(C1158:E1175,$B1177)+COUNTIF(C1158:E1175,$B1177&amp;" ~*")&gt;0)+(COUNTIF(G1158:I1175,$B1177)+COUNTIF(G1158:I1175,$B1177&amp;" ~*")&gt;0)+(COUNTIF(K1158:M1175,$B1177)+COUNTIF(K1158:M1175,$B1177&amp;" ~*")&gt;0)+(COUNTIF(O1158:Q1175,$B1177)+COUNTIF(O1158:Q1175,$B1177&amp;" ~*")&gt;0)+(COUNTIF(S1158:U1175,$B1177)+COUNTIF(S1158:U1175,$B1177&amp;" ~*")&gt;0)+(COUNTIF(W1158:W1175,$B1177)+COUNTIF(W1158:W1175,$B1177&amp;" ~*")&gt;0)+(COUNTIF(Y1158:Y1175,$B1177)+COUNTIF(Y1158:Y1175,$B1177&amp;" ~*")&gt;0))</f>
        <v/>
      </c>
      <c r="AC1177" s="36">
        <f>IF($B1177="","",(IFERROR(INDEX(Setup!$G$33:$G$40,MATCH(C1177,Setup!$B$33:$B$40,0)),0)=1)*(COUNTIF(C1158:E1175,$B1177)+COUNTIF(C1158:E1175,$B1177&amp;" ~*")&gt;0)+(IFERROR(INDEX(Setup!$G$33:$G$40,MATCH(G1177,Setup!$B$33:$B$40,0)),0)=1)*(COUNTIF(G1158:I1175,$B1177)+COUNTIF(G1158:I1175,$B1177&amp;" ~*")&gt;0)+(IFERROR(INDEX(Setup!$G$33:$G$40,MATCH(K1177,Setup!$B$33:$B$40,0)),0)=1)*(COUNTIF(K1158:M1175,$B1177)+COUNTIF(K1158:M1175,$B1177&amp;" ~*")&gt;0)+(IFERROR(INDEX(Setup!$G$33:$G$40,MATCH(O1177,Setup!$B$33:$B$40,0)),0)=1)*(COUNTIF(O1158:Q1175,$B1177)+COUNTIF(O1158:Q1175,$B1177&amp;" ~*")&gt;0)+(IFERROR(INDEX(Setup!$G$33:$G$40,MATCH(S1177,Setup!$B$33:$B$40,0)),0)=1)*(COUNTIF(S1158:U1175,$B1177)+COUNTIF(S1158:U1175,$B1177&amp;" ~*")&gt;0)+(IFERROR(INDEX(Setup!$G$33:$G$40,MATCH(W1177,Setup!$B$33:$B$40,0)),0)=1)*(COUNTIF(W1158:W1175,$B1177)+COUNTIF(W1158:W1175,$B1177&amp;" ~*")&gt;0)+(IFERROR(INDEX(Setup!$G$33:$G$40,MATCH(Y1177,Setup!$B$33:$B$40,0)),0)=1)*(COUNTIF(Y1158:Y1175,$B1177)+COUNTIF(Y1158:Y1175,$B1177&amp;" ~*")&gt;0))</f>
        <v/>
      </c>
    </row>
    <row r="1178" ht="15" customHeight="1">
      <c r="A1178" t="n">
        <v>24</v>
      </c>
      <c r="B1178" s="37">
        <f>IF(Setup!$B$7="","",Setup!$B$7)</f>
        <v/>
      </c>
      <c r="C1178" s="102" t="n"/>
      <c r="D1178" s="103" t="n"/>
      <c r="E1178" s="103" t="n"/>
      <c r="F1178" s="104" t="n"/>
      <c r="G1178" s="102" t="n"/>
      <c r="H1178" s="103" t="n"/>
      <c r="I1178" s="103" t="n"/>
      <c r="J1178" s="104" t="n"/>
      <c r="K1178" s="102" t="n"/>
      <c r="L1178" s="103" t="n"/>
      <c r="M1178" s="103" t="n"/>
      <c r="N1178" s="104" t="n"/>
      <c r="O1178" s="102" t="n"/>
      <c r="P1178" s="103" t="n"/>
      <c r="Q1178" s="103" t="n"/>
      <c r="R1178" s="104" t="n"/>
      <c r="S1178" s="102" t="n"/>
      <c r="T1178" s="103" t="n"/>
      <c r="U1178" s="103" t="n"/>
      <c r="V1178" s="104" t="n"/>
      <c r="W1178" s="102" t="n"/>
      <c r="X1178" s="104" t="n"/>
      <c r="Y1178" s="102" t="n"/>
      <c r="Z1178" s="104" t="n"/>
      <c r="AB1178" s="105">
        <f>IF($B1178="","",(COUNTIF(C1158:E1175,$B1178)+COUNTIF(C1158:E1175,$B1178&amp;" ~*")&gt;0)+(COUNTIF(G1158:I1175,$B1178)+COUNTIF(G1158:I1175,$B1178&amp;" ~*")&gt;0)+(COUNTIF(K1158:M1175,$B1178)+COUNTIF(K1158:M1175,$B1178&amp;" ~*")&gt;0)+(COUNTIF(O1158:Q1175,$B1178)+COUNTIF(O1158:Q1175,$B1178&amp;" ~*")&gt;0)+(COUNTIF(S1158:U1175,$B1178)+COUNTIF(S1158:U1175,$B1178&amp;" ~*")&gt;0)+(COUNTIF(W1158:W1175,$B1178)+COUNTIF(W1158:W1175,$B1178&amp;" ~*")&gt;0)+(COUNTIF(Y1158:Y1175,$B1178)+COUNTIF(Y1158:Y1175,$B1178&amp;" ~*")&gt;0))</f>
        <v/>
      </c>
      <c r="AC1178" s="38">
        <f>IF($B1178="","",(IFERROR(INDEX(Setup!$G$33:$G$40,MATCH(C1178,Setup!$B$33:$B$40,0)),0)=1)*(COUNTIF(C1158:E1175,$B1178)+COUNTIF(C1158:E1175,$B1178&amp;" ~*")&gt;0)+(IFERROR(INDEX(Setup!$G$33:$G$40,MATCH(G1178,Setup!$B$33:$B$40,0)),0)=1)*(COUNTIF(G1158:I1175,$B1178)+COUNTIF(G1158:I1175,$B1178&amp;" ~*")&gt;0)+(IFERROR(INDEX(Setup!$G$33:$G$40,MATCH(K1178,Setup!$B$33:$B$40,0)),0)=1)*(COUNTIF(K1158:M1175,$B1178)+COUNTIF(K1158:M1175,$B1178&amp;" ~*")&gt;0)+(IFERROR(INDEX(Setup!$G$33:$G$40,MATCH(O1178,Setup!$B$33:$B$40,0)),0)=1)*(COUNTIF(O1158:Q1175,$B1178)+COUNTIF(O1158:Q1175,$B1178&amp;" ~*")&gt;0)+(IFERROR(INDEX(Setup!$G$33:$G$40,MATCH(S1178,Setup!$B$33:$B$40,0)),0)=1)*(COUNTIF(S1158:U1175,$B1178)+COUNTIF(S1158:U1175,$B1178&amp;" ~*")&gt;0)+(IFERROR(INDEX(Setup!$G$33:$G$40,MATCH(W1178,Setup!$B$33:$B$40,0)),0)=1)*(COUNTIF(W1158:W1175,$B1178)+COUNTIF(W1158:W1175,$B1178&amp;" ~*")&gt;0)+(IFERROR(INDEX(Setup!$G$33:$G$40,MATCH(Y1178,Setup!$B$33:$B$40,0)),0)=1)*(COUNTIF(Y1158:Y1175,$B1178)+COUNTIF(Y1158:Y1175,$B1178&amp;" ~*")&gt;0))</f>
        <v/>
      </c>
    </row>
    <row r="1179" ht="15" customHeight="1">
      <c r="A1179" t="n">
        <v>24</v>
      </c>
      <c r="B1179" s="35">
        <f>IF(Setup!$B$8="","",Setup!$B$8)</f>
        <v/>
      </c>
      <c r="C1179" s="98" t="n"/>
      <c r="D1179" s="99" t="n"/>
      <c r="E1179" s="99" t="n"/>
      <c r="F1179" s="100" t="n"/>
      <c r="G1179" s="98" t="n"/>
      <c r="H1179" s="99" t="n"/>
      <c r="I1179" s="99" t="n"/>
      <c r="J1179" s="100" t="n"/>
      <c r="K1179" s="98" t="n"/>
      <c r="L1179" s="99" t="n"/>
      <c r="M1179" s="99" t="n"/>
      <c r="N1179" s="100" t="n"/>
      <c r="O1179" s="98" t="n"/>
      <c r="P1179" s="99" t="n"/>
      <c r="Q1179" s="99" t="n"/>
      <c r="R1179" s="100" t="n"/>
      <c r="S1179" s="98" t="n"/>
      <c r="T1179" s="99" t="n"/>
      <c r="U1179" s="99" t="n"/>
      <c r="V1179" s="100" t="n"/>
      <c r="W1179" s="98" t="n"/>
      <c r="X1179" s="100" t="n"/>
      <c r="Y1179" s="98" t="n"/>
      <c r="Z1179" s="100" t="n"/>
      <c r="AB1179" s="101">
        <f>IF($B1179="","",(COUNTIF(C1158:E1175,$B1179)+COUNTIF(C1158:E1175,$B1179&amp;" ~*")&gt;0)+(COUNTIF(G1158:I1175,$B1179)+COUNTIF(G1158:I1175,$B1179&amp;" ~*")&gt;0)+(COUNTIF(K1158:M1175,$B1179)+COUNTIF(K1158:M1175,$B1179&amp;" ~*")&gt;0)+(COUNTIF(O1158:Q1175,$B1179)+COUNTIF(O1158:Q1175,$B1179&amp;" ~*")&gt;0)+(COUNTIF(S1158:U1175,$B1179)+COUNTIF(S1158:U1175,$B1179&amp;" ~*")&gt;0)+(COUNTIF(W1158:W1175,$B1179)+COUNTIF(W1158:W1175,$B1179&amp;" ~*")&gt;0)+(COUNTIF(Y1158:Y1175,$B1179)+COUNTIF(Y1158:Y1175,$B1179&amp;" ~*")&gt;0))</f>
        <v/>
      </c>
      <c r="AC1179" s="36">
        <f>IF($B1179="","",(IFERROR(INDEX(Setup!$G$33:$G$40,MATCH(C1179,Setup!$B$33:$B$40,0)),0)=1)*(COUNTIF(C1158:E1175,$B1179)+COUNTIF(C1158:E1175,$B1179&amp;" ~*")&gt;0)+(IFERROR(INDEX(Setup!$G$33:$G$40,MATCH(G1179,Setup!$B$33:$B$40,0)),0)=1)*(COUNTIF(G1158:I1175,$B1179)+COUNTIF(G1158:I1175,$B1179&amp;" ~*")&gt;0)+(IFERROR(INDEX(Setup!$G$33:$G$40,MATCH(K1179,Setup!$B$33:$B$40,0)),0)=1)*(COUNTIF(K1158:M1175,$B1179)+COUNTIF(K1158:M1175,$B1179&amp;" ~*")&gt;0)+(IFERROR(INDEX(Setup!$G$33:$G$40,MATCH(O1179,Setup!$B$33:$B$40,0)),0)=1)*(COUNTIF(O1158:Q1175,$B1179)+COUNTIF(O1158:Q1175,$B1179&amp;" ~*")&gt;0)+(IFERROR(INDEX(Setup!$G$33:$G$40,MATCH(S1179,Setup!$B$33:$B$40,0)),0)=1)*(COUNTIF(S1158:U1175,$B1179)+COUNTIF(S1158:U1175,$B1179&amp;" ~*")&gt;0)+(IFERROR(INDEX(Setup!$G$33:$G$40,MATCH(W1179,Setup!$B$33:$B$40,0)),0)=1)*(COUNTIF(W1158:W1175,$B1179)+COUNTIF(W1158:W1175,$B1179&amp;" ~*")&gt;0)+(IFERROR(INDEX(Setup!$G$33:$G$40,MATCH(Y1179,Setup!$B$33:$B$40,0)),0)=1)*(COUNTIF(Y1158:Y1175,$B1179)+COUNTIF(Y1158:Y1175,$B1179&amp;" ~*")&gt;0))</f>
        <v/>
      </c>
    </row>
    <row r="1180" ht="15" customHeight="1">
      <c r="A1180" t="n">
        <v>24</v>
      </c>
      <c r="B1180" s="37">
        <f>IF(Setup!$B$9="","",Setup!$B$9)</f>
        <v/>
      </c>
      <c r="C1180" s="102" t="n"/>
      <c r="D1180" s="103" t="n"/>
      <c r="E1180" s="103" t="n"/>
      <c r="F1180" s="104" t="n"/>
      <c r="G1180" s="102" t="n"/>
      <c r="H1180" s="103" t="n"/>
      <c r="I1180" s="103" t="n"/>
      <c r="J1180" s="104" t="n"/>
      <c r="K1180" s="102" t="n"/>
      <c r="L1180" s="103" t="n"/>
      <c r="M1180" s="103" t="n"/>
      <c r="N1180" s="104" t="n"/>
      <c r="O1180" s="102" t="n"/>
      <c r="P1180" s="103" t="n"/>
      <c r="Q1180" s="103" t="n"/>
      <c r="R1180" s="104" t="n"/>
      <c r="S1180" s="102" t="n"/>
      <c r="T1180" s="103" t="n"/>
      <c r="U1180" s="103" t="n"/>
      <c r="V1180" s="104" t="n"/>
      <c r="W1180" s="102" t="n"/>
      <c r="X1180" s="104" t="n"/>
      <c r="Y1180" s="102" t="n"/>
      <c r="Z1180" s="104" t="n"/>
      <c r="AB1180" s="105">
        <f>IF($B1180="","",(COUNTIF(C1158:E1175,$B1180)+COUNTIF(C1158:E1175,$B1180&amp;" ~*")&gt;0)+(COUNTIF(G1158:I1175,$B1180)+COUNTIF(G1158:I1175,$B1180&amp;" ~*")&gt;0)+(COUNTIF(K1158:M1175,$B1180)+COUNTIF(K1158:M1175,$B1180&amp;" ~*")&gt;0)+(COUNTIF(O1158:Q1175,$B1180)+COUNTIF(O1158:Q1175,$B1180&amp;" ~*")&gt;0)+(COUNTIF(S1158:U1175,$B1180)+COUNTIF(S1158:U1175,$B1180&amp;" ~*")&gt;0)+(COUNTIF(W1158:W1175,$B1180)+COUNTIF(W1158:W1175,$B1180&amp;" ~*")&gt;0)+(COUNTIF(Y1158:Y1175,$B1180)+COUNTIF(Y1158:Y1175,$B1180&amp;" ~*")&gt;0))</f>
        <v/>
      </c>
      <c r="AC1180" s="38">
        <f>IF($B1180="","",(IFERROR(INDEX(Setup!$G$33:$G$40,MATCH(C1180,Setup!$B$33:$B$40,0)),0)=1)*(COUNTIF(C1158:E1175,$B1180)+COUNTIF(C1158:E1175,$B1180&amp;" ~*")&gt;0)+(IFERROR(INDEX(Setup!$G$33:$G$40,MATCH(G1180,Setup!$B$33:$B$40,0)),0)=1)*(COUNTIF(G1158:I1175,$B1180)+COUNTIF(G1158:I1175,$B1180&amp;" ~*")&gt;0)+(IFERROR(INDEX(Setup!$G$33:$G$40,MATCH(K1180,Setup!$B$33:$B$40,0)),0)=1)*(COUNTIF(K1158:M1175,$B1180)+COUNTIF(K1158:M1175,$B1180&amp;" ~*")&gt;0)+(IFERROR(INDEX(Setup!$G$33:$G$40,MATCH(O1180,Setup!$B$33:$B$40,0)),0)=1)*(COUNTIF(O1158:Q1175,$B1180)+COUNTIF(O1158:Q1175,$B1180&amp;" ~*")&gt;0)+(IFERROR(INDEX(Setup!$G$33:$G$40,MATCH(S1180,Setup!$B$33:$B$40,0)),0)=1)*(COUNTIF(S1158:U1175,$B1180)+COUNTIF(S1158:U1175,$B1180&amp;" ~*")&gt;0)+(IFERROR(INDEX(Setup!$G$33:$G$40,MATCH(W1180,Setup!$B$33:$B$40,0)),0)=1)*(COUNTIF(W1158:W1175,$B1180)+COUNTIF(W1158:W1175,$B1180&amp;" ~*")&gt;0)+(IFERROR(INDEX(Setup!$G$33:$G$40,MATCH(Y1180,Setup!$B$33:$B$40,0)),0)=1)*(COUNTIF(Y1158:Y1175,$B1180)+COUNTIF(Y1158:Y1175,$B1180&amp;" ~*")&gt;0))</f>
        <v/>
      </c>
    </row>
    <row r="1181" ht="15" customHeight="1">
      <c r="A1181" t="n">
        <v>24</v>
      </c>
      <c r="B1181" s="35">
        <f>IF(Setup!$B$10="","",Setup!$B$10)</f>
        <v/>
      </c>
      <c r="C1181" s="98" t="inlineStr">
        <is>
          <t>AL</t>
        </is>
      </c>
      <c r="D1181" s="99" t="n"/>
      <c r="E1181" s="99" t="n"/>
      <c r="F1181" s="100" t="n"/>
      <c r="G1181" s="98" t="inlineStr">
        <is>
          <t>AL</t>
        </is>
      </c>
      <c r="H1181" s="99" t="n"/>
      <c r="I1181" s="99" t="n"/>
      <c r="J1181" s="100" t="n"/>
      <c r="K1181" s="98" t="inlineStr">
        <is>
          <t>AL</t>
        </is>
      </c>
      <c r="L1181" s="99" t="n"/>
      <c r="M1181" s="99" t="n"/>
      <c r="N1181" s="100" t="n"/>
      <c r="O1181" s="98" t="inlineStr">
        <is>
          <t>AL</t>
        </is>
      </c>
      <c r="P1181" s="99" t="n"/>
      <c r="Q1181" s="99" t="n"/>
      <c r="R1181" s="100" t="n"/>
      <c r="S1181" s="98" t="inlineStr">
        <is>
          <t>AL</t>
        </is>
      </c>
      <c r="T1181" s="99" t="n"/>
      <c r="U1181" s="99" t="n"/>
      <c r="V1181" s="100" t="n"/>
      <c r="W1181" s="98" t="n"/>
      <c r="X1181" s="100" t="n"/>
      <c r="Y1181" s="98" t="n"/>
      <c r="Z1181" s="100" t="n"/>
      <c r="AB1181" s="101">
        <f>IF($B1181="","",(COUNTIF(C1158:E1175,$B1181)+COUNTIF(C1158:E1175,$B1181&amp;" ~*")&gt;0)+(COUNTIF(G1158:I1175,$B1181)+COUNTIF(G1158:I1175,$B1181&amp;" ~*")&gt;0)+(COUNTIF(K1158:M1175,$B1181)+COUNTIF(K1158:M1175,$B1181&amp;" ~*")&gt;0)+(COUNTIF(O1158:Q1175,$B1181)+COUNTIF(O1158:Q1175,$B1181&amp;" ~*")&gt;0)+(COUNTIF(S1158:U1175,$B1181)+COUNTIF(S1158:U1175,$B1181&amp;" ~*")&gt;0)+(COUNTIF(W1158:W1175,$B1181)+COUNTIF(W1158:W1175,$B1181&amp;" ~*")&gt;0)+(COUNTIF(Y1158:Y1175,$B1181)+COUNTIF(Y1158:Y1175,$B1181&amp;" ~*")&gt;0))</f>
        <v/>
      </c>
      <c r="AC1181" s="36">
        <f>IF($B1181="","",(IFERROR(INDEX(Setup!$G$33:$G$40,MATCH(C1181,Setup!$B$33:$B$40,0)),0)=1)*(COUNTIF(C1158:E1175,$B1181)+COUNTIF(C1158:E1175,$B1181&amp;" ~*")&gt;0)+(IFERROR(INDEX(Setup!$G$33:$G$40,MATCH(G1181,Setup!$B$33:$B$40,0)),0)=1)*(COUNTIF(G1158:I1175,$B1181)+COUNTIF(G1158:I1175,$B1181&amp;" ~*")&gt;0)+(IFERROR(INDEX(Setup!$G$33:$G$40,MATCH(K1181,Setup!$B$33:$B$40,0)),0)=1)*(COUNTIF(K1158:M1175,$B1181)+COUNTIF(K1158:M1175,$B1181&amp;" ~*")&gt;0)+(IFERROR(INDEX(Setup!$G$33:$G$40,MATCH(O1181,Setup!$B$33:$B$40,0)),0)=1)*(COUNTIF(O1158:Q1175,$B1181)+COUNTIF(O1158:Q1175,$B1181&amp;" ~*")&gt;0)+(IFERROR(INDEX(Setup!$G$33:$G$40,MATCH(S1181,Setup!$B$33:$B$40,0)),0)=1)*(COUNTIF(S1158:U1175,$B1181)+COUNTIF(S1158:U1175,$B1181&amp;" ~*")&gt;0)+(IFERROR(INDEX(Setup!$G$33:$G$40,MATCH(W1181,Setup!$B$33:$B$40,0)),0)=1)*(COUNTIF(W1158:W1175,$B1181)+COUNTIF(W1158:W1175,$B1181&amp;" ~*")&gt;0)+(IFERROR(INDEX(Setup!$G$33:$G$40,MATCH(Y1181,Setup!$B$33:$B$40,0)),0)=1)*(COUNTIF(Y1158:Y1175,$B1181)+COUNTIF(Y1158:Y1175,$B1181&amp;" ~*")&gt;0))</f>
        <v/>
      </c>
    </row>
    <row r="1182" ht="15" customHeight="1">
      <c r="A1182" t="n">
        <v>24</v>
      </c>
      <c r="B1182" s="37">
        <f>IF(Setup!$B$11="","",Setup!$B$11)</f>
        <v/>
      </c>
      <c r="C1182" s="102" t="n"/>
      <c r="D1182" s="103" t="n"/>
      <c r="E1182" s="103" t="n"/>
      <c r="F1182" s="104" t="n"/>
      <c r="G1182" s="102" t="n"/>
      <c r="H1182" s="103" t="n"/>
      <c r="I1182" s="103" t="n"/>
      <c r="J1182" s="104" t="n"/>
      <c r="K1182" s="102" t="n"/>
      <c r="L1182" s="103" t="n"/>
      <c r="M1182" s="103" t="n"/>
      <c r="N1182" s="104" t="n"/>
      <c r="O1182" s="102" t="n"/>
      <c r="P1182" s="103" t="n"/>
      <c r="Q1182" s="103" t="n"/>
      <c r="R1182" s="104" t="n"/>
      <c r="S1182" s="102" t="n"/>
      <c r="T1182" s="103" t="n"/>
      <c r="U1182" s="103" t="n"/>
      <c r="V1182" s="104" t="n"/>
      <c r="W1182" s="102" t="n"/>
      <c r="X1182" s="104" t="n"/>
      <c r="Y1182" s="102" t="n"/>
      <c r="Z1182" s="104" t="n"/>
      <c r="AB1182" s="105">
        <f>IF($B1182="","",(COUNTIF(C1158:E1175,$B1182)+COUNTIF(C1158:E1175,$B1182&amp;" ~*")&gt;0)+(COUNTIF(G1158:I1175,$B1182)+COUNTIF(G1158:I1175,$B1182&amp;" ~*")&gt;0)+(COUNTIF(K1158:M1175,$B1182)+COUNTIF(K1158:M1175,$B1182&amp;" ~*")&gt;0)+(COUNTIF(O1158:Q1175,$B1182)+COUNTIF(O1158:Q1175,$B1182&amp;" ~*")&gt;0)+(COUNTIF(S1158:U1175,$B1182)+COUNTIF(S1158:U1175,$B1182&amp;" ~*")&gt;0)+(COUNTIF(W1158:W1175,$B1182)+COUNTIF(W1158:W1175,$B1182&amp;" ~*")&gt;0)+(COUNTIF(Y1158:Y1175,$B1182)+COUNTIF(Y1158:Y1175,$B1182&amp;" ~*")&gt;0))</f>
        <v/>
      </c>
      <c r="AC1182" s="38">
        <f>IF($B1182="","",(IFERROR(INDEX(Setup!$G$33:$G$40,MATCH(C1182,Setup!$B$33:$B$40,0)),0)=1)*(COUNTIF(C1158:E1175,$B1182)+COUNTIF(C1158:E1175,$B1182&amp;" ~*")&gt;0)+(IFERROR(INDEX(Setup!$G$33:$G$40,MATCH(G1182,Setup!$B$33:$B$40,0)),0)=1)*(COUNTIF(G1158:I1175,$B1182)+COUNTIF(G1158:I1175,$B1182&amp;" ~*")&gt;0)+(IFERROR(INDEX(Setup!$G$33:$G$40,MATCH(K1182,Setup!$B$33:$B$40,0)),0)=1)*(COUNTIF(K1158:M1175,$B1182)+COUNTIF(K1158:M1175,$B1182&amp;" ~*")&gt;0)+(IFERROR(INDEX(Setup!$G$33:$G$40,MATCH(O1182,Setup!$B$33:$B$40,0)),0)=1)*(COUNTIF(O1158:Q1175,$B1182)+COUNTIF(O1158:Q1175,$B1182&amp;" ~*")&gt;0)+(IFERROR(INDEX(Setup!$G$33:$G$40,MATCH(S1182,Setup!$B$33:$B$40,0)),0)=1)*(COUNTIF(S1158:U1175,$B1182)+COUNTIF(S1158:U1175,$B1182&amp;" ~*")&gt;0)+(IFERROR(INDEX(Setup!$G$33:$G$40,MATCH(W1182,Setup!$B$33:$B$40,0)),0)=1)*(COUNTIF(W1158:W1175,$B1182)+COUNTIF(W1158:W1175,$B1182&amp;" ~*")&gt;0)+(IFERROR(INDEX(Setup!$G$33:$G$40,MATCH(Y1182,Setup!$B$33:$B$40,0)),0)=1)*(COUNTIF(Y1158:Y1175,$B1182)+COUNTIF(Y1158:Y1175,$B1182&amp;" ~*")&gt;0))</f>
        <v/>
      </c>
    </row>
    <row r="1183" ht="15" customHeight="1">
      <c r="A1183" t="n">
        <v>24</v>
      </c>
      <c r="B1183" s="35">
        <f>IF(Setup!$B$12="","",Setup!$B$12)</f>
        <v/>
      </c>
      <c r="C1183" s="98" t="n"/>
      <c r="D1183" s="99" t="n"/>
      <c r="E1183" s="99" t="n"/>
      <c r="F1183" s="100" t="n"/>
      <c r="G1183" s="98" t="n"/>
      <c r="H1183" s="99" t="n"/>
      <c r="I1183" s="99" t="n"/>
      <c r="J1183" s="100" t="n"/>
      <c r="K1183" s="98" t="n"/>
      <c r="L1183" s="99" t="n"/>
      <c r="M1183" s="99" t="n"/>
      <c r="N1183" s="100" t="n"/>
      <c r="O1183" s="98" t="n"/>
      <c r="P1183" s="99" t="n"/>
      <c r="Q1183" s="99" t="n"/>
      <c r="R1183" s="100" t="n"/>
      <c r="S1183" s="98" t="n"/>
      <c r="T1183" s="99" t="n"/>
      <c r="U1183" s="99" t="n"/>
      <c r="V1183" s="100" t="n"/>
      <c r="W1183" s="98" t="n"/>
      <c r="X1183" s="100" t="n"/>
      <c r="Y1183" s="98" t="n"/>
      <c r="Z1183" s="100" t="n"/>
      <c r="AB1183" s="101">
        <f>IF($B1183="","",(COUNTIF(C1158:E1175,$B1183)+COUNTIF(C1158:E1175,$B1183&amp;" ~*")&gt;0)+(COUNTIF(G1158:I1175,$B1183)+COUNTIF(G1158:I1175,$B1183&amp;" ~*")&gt;0)+(COUNTIF(K1158:M1175,$B1183)+COUNTIF(K1158:M1175,$B1183&amp;" ~*")&gt;0)+(COUNTIF(O1158:Q1175,$B1183)+COUNTIF(O1158:Q1175,$B1183&amp;" ~*")&gt;0)+(COUNTIF(S1158:U1175,$B1183)+COUNTIF(S1158:U1175,$B1183&amp;" ~*")&gt;0)+(COUNTIF(W1158:W1175,$B1183)+COUNTIF(W1158:W1175,$B1183&amp;" ~*")&gt;0)+(COUNTIF(Y1158:Y1175,$B1183)+COUNTIF(Y1158:Y1175,$B1183&amp;" ~*")&gt;0))</f>
        <v/>
      </c>
      <c r="AC1183" s="36">
        <f>IF($B1183="","",(IFERROR(INDEX(Setup!$G$33:$G$40,MATCH(C1183,Setup!$B$33:$B$40,0)),0)=1)*(COUNTIF(C1158:E1175,$B1183)+COUNTIF(C1158:E1175,$B1183&amp;" ~*")&gt;0)+(IFERROR(INDEX(Setup!$G$33:$G$40,MATCH(G1183,Setup!$B$33:$B$40,0)),0)=1)*(COUNTIF(G1158:I1175,$B1183)+COUNTIF(G1158:I1175,$B1183&amp;" ~*")&gt;0)+(IFERROR(INDEX(Setup!$G$33:$G$40,MATCH(K1183,Setup!$B$33:$B$40,0)),0)=1)*(COUNTIF(K1158:M1175,$B1183)+COUNTIF(K1158:M1175,$B1183&amp;" ~*")&gt;0)+(IFERROR(INDEX(Setup!$G$33:$G$40,MATCH(O1183,Setup!$B$33:$B$40,0)),0)=1)*(COUNTIF(O1158:Q1175,$B1183)+COUNTIF(O1158:Q1175,$B1183&amp;" ~*")&gt;0)+(IFERROR(INDEX(Setup!$G$33:$G$40,MATCH(S1183,Setup!$B$33:$B$40,0)),0)=1)*(COUNTIF(S1158:U1175,$B1183)+COUNTIF(S1158:U1175,$B1183&amp;" ~*")&gt;0)+(IFERROR(INDEX(Setup!$G$33:$G$40,MATCH(W1183,Setup!$B$33:$B$40,0)),0)=1)*(COUNTIF(W1158:W1175,$B1183)+COUNTIF(W1158:W1175,$B1183&amp;" ~*")&gt;0)+(IFERROR(INDEX(Setup!$G$33:$G$40,MATCH(Y1183,Setup!$B$33:$B$40,0)),0)=1)*(COUNTIF(Y1158:Y1175,$B1183)+COUNTIF(Y1158:Y1175,$B1183&amp;" ~*")&gt;0))</f>
        <v/>
      </c>
    </row>
    <row r="1184" ht="15" customHeight="1">
      <c r="A1184" t="n">
        <v>24</v>
      </c>
      <c r="B1184" s="37">
        <f>IF(Setup!$B$13="","",Setup!$B$13)</f>
        <v/>
      </c>
      <c r="C1184" s="102" t="n"/>
      <c r="D1184" s="103" t="n"/>
      <c r="E1184" s="103" t="n"/>
      <c r="F1184" s="104" t="n"/>
      <c r="G1184" s="102" t="n"/>
      <c r="H1184" s="103" t="n"/>
      <c r="I1184" s="103" t="n"/>
      <c r="J1184" s="104" t="n"/>
      <c r="K1184" s="102" t="n"/>
      <c r="L1184" s="103" t="n"/>
      <c r="M1184" s="103" t="n"/>
      <c r="N1184" s="104" t="n"/>
      <c r="O1184" s="102" t="n"/>
      <c r="P1184" s="103" t="n"/>
      <c r="Q1184" s="103" t="n"/>
      <c r="R1184" s="104" t="n"/>
      <c r="S1184" s="102" t="n"/>
      <c r="T1184" s="103" t="n"/>
      <c r="U1184" s="103" t="n"/>
      <c r="V1184" s="104" t="n"/>
      <c r="W1184" s="102" t="n"/>
      <c r="X1184" s="104" t="n"/>
      <c r="Y1184" s="102" t="n"/>
      <c r="Z1184" s="104" t="n"/>
      <c r="AB1184" s="105">
        <f>IF($B1184="","",(COUNTIF(C1158:E1175,$B1184)+COUNTIF(C1158:E1175,$B1184&amp;" ~*")&gt;0)+(COUNTIF(G1158:I1175,$B1184)+COUNTIF(G1158:I1175,$B1184&amp;" ~*")&gt;0)+(COUNTIF(K1158:M1175,$B1184)+COUNTIF(K1158:M1175,$B1184&amp;" ~*")&gt;0)+(COUNTIF(O1158:Q1175,$B1184)+COUNTIF(O1158:Q1175,$B1184&amp;" ~*")&gt;0)+(COUNTIF(S1158:U1175,$B1184)+COUNTIF(S1158:U1175,$B1184&amp;" ~*")&gt;0)+(COUNTIF(W1158:W1175,$B1184)+COUNTIF(W1158:W1175,$B1184&amp;" ~*")&gt;0)+(COUNTIF(Y1158:Y1175,$B1184)+COUNTIF(Y1158:Y1175,$B1184&amp;" ~*")&gt;0))</f>
        <v/>
      </c>
      <c r="AC1184" s="38">
        <f>IF($B1184="","",(IFERROR(INDEX(Setup!$G$33:$G$40,MATCH(C1184,Setup!$B$33:$B$40,0)),0)=1)*(COUNTIF(C1158:E1175,$B1184)+COUNTIF(C1158:E1175,$B1184&amp;" ~*")&gt;0)+(IFERROR(INDEX(Setup!$G$33:$G$40,MATCH(G1184,Setup!$B$33:$B$40,0)),0)=1)*(COUNTIF(G1158:I1175,$B1184)+COUNTIF(G1158:I1175,$B1184&amp;" ~*")&gt;0)+(IFERROR(INDEX(Setup!$G$33:$G$40,MATCH(K1184,Setup!$B$33:$B$40,0)),0)=1)*(COUNTIF(K1158:M1175,$B1184)+COUNTIF(K1158:M1175,$B1184&amp;" ~*")&gt;0)+(IFERROR(INDEX(Setup!$G$33:$G$40,MATCH(O1184,Setup!$B$33:$B$40,0)),0)=1)*(COUNTIF(O1158:Q1175,$B1184)+COUNTIF(O1158:Q1175,$B1184&amp;" ~*")&gt;0)+(IFERROR(INDEX(Setup!$G$33:$G$40,MATCH(S1184,Setup!$B$33:$B$40,0)),0)=1)*(COUNTIF(S1158:U1175,$B1184)+COUNTIF(S1158:U1175,$B1184&amp;" ~*")&gt;0)+(IFERROR(INDEX(Setup!$G$33:$G$40,MATCH(W1184,Setup!$B$33:$B$40,0)),0)=1)*(COUNTIF(W1158:W1175,$B1184)+COUNTIF(W1158:W1175,$B1184&amp;" ~*")&gt;0)+(IFERROR(INDEX(Setup!$G$33:$G$40,MATCH(Y1184,Setup!$B$33:$B$40,0)),0)=1)*(COUNTIF(Y1158:Y1175,$B1184)+COUNTIF(Y1158:Y1175,$B1184&amp;" ~*")&gt;0))</f>
        <v/>
      </c>
    </row>
    <row r="1185" ht="15" customHeight="1">
      <c r="A1185" t="n">
        <v>24</v>
      </c>
      <c r="B1185" s="35">
        <f>IF(Setup!$B$14="","",Setup!$B$14)</f>
        <v/>
      </c>
      <c r="C1185" s="98" t="n"/>
      <c r="D1185" s="99" t="n"/>
      <c r="E1185" s="99" t="n"/>
      <c r="F1185" s="100" t="n"/>
      <c r="G1185" s="98" t="n"/>
      <c r="H1185" s="99" t="n"/>
      <c r="I1185" s="99" t="n"/>
      <c r="J1185" s="100" t="n"/>
      <c r="K1185" s="98" t="n"/>
      <c r="L1185" s="99" t="n"/>
      <c r="M1185" s="99" t="n"/>
      <c r="N1185" s="100" t="n"/>
      <c r="O1185" s="98" t="n"/>
      <c r="P1185" s="99" t="n"/>
      <c r="Q1185" s="99" t="n"/>
      <c r="R1185" s="100" t="n"/>
      <c r="S1185" s="98" t="n"/>
      <c r="T1185" s="99" t="n"/>
      <c r="U1185" s="99" t="n"/>
      <c r="V1185" s="100" t="n"/>
      <c r="W1185" s="98" t="n"/>
      <c r="X1185" s="100" t="n"/>
      <c r="Y1185" s="98" t="n"/>
      <c r="Z1185" s="100" t="n"/>
      <c r="AB1185" s="101">
        <f>IF($B1185="","",(COUNTIF(C1158:E1175,$B1185)+COUNTIF(C1158:E1175,$B1185&amp;" ~*")&gt;0)+(COUNTIF(G1158:I1175,$B1185)+COUNTIF(G1158:I1175,$B1185&amp;" ~*")&gt;0)+(COUNTIF(K1158:M1175,$B1185)+COUNTIF(K1158:M1175,$B1185&amp;" ~*")&gt;0)+(COUNTIF(O1158:Q1175,$B1185)+COUNTIF(O1158:Q1175,$B1185&amp;" ~*")&gt;0)+(COUNTIF(S1158:U1175,$B1185)+COUNTIF(S1158:U1175,$B1185&amp;" ~*")&gt;0)+(COUNTIF(W1158:W1175,$B1185)+COUNTIF(W1158:W1175,$B1185&amp;" ~*")&gt;0)+(COUNTIF(Y1158:Y1175,$B1185)+COUNTIF(Y1158:Y1175,$B1185&amp;" ~*")&gt;0))</f>
        <v/>
      </c>
      <c r="AC1185" s="36">
        <f>IF($B1185="","",(IFERROR(INDEX(Setup!$G$33:$G$40,MATCH(C1185,Setup!$B$33:$B$40,0)),0)=1)*(COUNTIF(C1158:E1175,$B1185)+COUNTIF(C1158:E1175,$B1185&amp;" ~*")&gt;0)+(IFERROR(INDEX(Setup!$G$33:$G$40,MATCH(G1185,Setup!$B$33:$B$40,0)),0)=1)*(COUNTIF(G1158:I1175,$B1185)+COUNTIF(G1158:I1175,$B1185&amp;" ~*")&gt;0)+(IFERROR(INDEX(Setup!$G$33:$G$40,MATCH(K1185,Setup!$B$33:$B$40,0)),0)=1)*(COUNTIF(K1158:M1175,$B1185)+COUNTIF(K1158:M1175,$B1185&amp;" ~*")&gt;0)+(IFERROR(INDEX(Setup!$G$33:$G$40,MATCH(O1185,Setup!$B$33:$B$40,0)),0)=1)*(COUNTIF(O1158:Q1175,$B1185)+COUNTIF(O1158:Q1175,$B1185&amp;" ~*")&gt;0)+(IFERROR(INDEX(Setup!$G$33:$G$40,MATCH(S1185,Setup!$B$33:$B$40,0)),0)=1)*(COUNTIF(S1158:U1175,$B1185)+COUNTIF(S1158:U1175,$B1185&amp;" ~*")&gt;0)+(IFERROR(INDEX(Setup!$G$33:$G$40,MATCH(W1185,Setup!$B$33:$B$40,0)),0)=1)*(COUNTIF(W1158:W1175,$B1185)+COUNTIF(W1158:W1175,$B1185&amp;" ~*")&gt;0)+(IFERROR(INDEX(Setup!$G$33:$G$40,MATCH(Y1185,Setup!$B$33:$B$40,0)),0)=1)*(COUNTIF(Y1158:Y1175,$B1185)+COUNTIF(Y1158:Y1175,$B1185&amp;" ~*")&gt;0))</f>
        <v/>
      </c>
    </row>
    <row r="1186" ht="15" customHeight="1">
      <c r="A1186" t="n">
        <v>24</v>
      </c>
      <c r="B1186" s="37">
        <f>IF(Setup!$B$15="","",Setup!$B$15)</f>
        <v/>
      </c>
      <c r="C1186" s="102" t="n"/>
      <c r="D1186" s="103" t="n"/>
      <c r="E1186" s="103" t="n"/>
      <c r="F1186" s="104" t="n"/>
      <c r="G1186" s="102" t="n"/>
      <c r="H1186" s="103" t="n"/>
      <c r="I1186" s="103" t="n"/>
      <c r="J1186" s="104" t="n"/>
      <c r="K1186" s="102" t="n"/>
      <c r="L1186" s="103" t="n"/>
      <c r="M1186" s="103" t="n"/>
      <c r="N1186" s="104" t="n"/>
      <c r="O1186" s="102" t="n"/>
      <c r="P1186" s="103" t="n"/>
      <c r="Q1186" s="103" t="n"/>
      <c r="R1186" s="104" t="n"/>
      <c r="S1186" s="102" t="n"/>
      <c r="T1186" s="103" t="n"/>
      <c r="U1186" s="103" t="n"/>
      <c r="V1186" s="104" t="n"/>
      <c r="W1186" s="102" t="n"/>
      <c r="X1186" s="104" t="n"/>
      <c r="Y1186" s="102" t="n"/>
      <c r="Z1186" s="104" t="n"/>
      <c r="AB1186" s="105">
        <f>IF($B1186="","",(COUNTIF(C1158:E1175,$B1186)+COUNTIF(C1158:E1175,$B1186&amp;" ~*")&gt;0)+(COUNTIF(G1158:I1175,$B1186)+COUNTIF(G1158:I1175,$B1186&amp;" ~*")&gt;0)+(COUNTIF(K1158:M1175,$B1186)+COUNTIF(K1158:M1175,$B1186&amp;" ~*")&gt;0)+(COUNTIF(O1158:Q1175,$B1186)+COUNTIF(O1158:Q1175,$B1186&amp;" ~*")&gt;0)+(COUNTIF(S1158:U1175,$B1186)+COUNTIF(S1158:U1175,$B1186&amp;" ~*")&gt;0)+(COUNTIF(W1158:W1175,$B1186)+COUNTIF(W1158:W1175,$B1186&amp;" ~*")&gt;0)+(COUNTIF(Y1158:Y1175,$B1186)+COUNTIF(Y1158:Y1175,$B1186&amp;" ~*")&gt;0))</f>
        <v/>
      </c>
      <c r="AC1186" s="38">
        <f>IF($B1186="","",(IFERROR(INDEX(Setup!$G$33:$G$40,MATCH(C1186,Setup!$B$33:$B$40,0)),0)=1)*(COUNTIF(C1158:E1175,$B1186)+COUNTIF(C1158:E1175,$B1186&amp;" ~*")&gt;0)+(IFERROR(INDEX(Setup!$G$33:$G$40,MATCH(G1186,Setup!$B$33:$B$40,0)),0)=1)*(COUNTIF(G1158:I1175,$B1186)+COUNTIF(G1158:I1175,$B1186&amp;" ~*")&gt;0)+(IFERROR(INDEX(Setup!$G$33:$G$40,MATCH(K1186,Setup!$B$33:$B$40,0)),0)=1)*(COUNTIF(K1158:M1175,$B1186)+COUNTIF(K1158:M1175,$B1186&amp;" ~*")&gt;0)+(IFERROR(INDEX(Setup!$G$33:$G$40,MATCH(O1186,Setup!$B$33:$B$40,0)),0)=1)*(COUNTIF(O1158:Q1175,$B1186)+COUNTIF(O1158:Q1175,$B1186&amp;" ~*")&gt;0)+(IFERROR(INDEX(Setup!$G$33:$G$40,MATCH(S1186,Setup!$B$33:$B$40,0)),0)=1)*(COUNTIF(S1158:U1175,$B1186)+COUNTIF(S1158:U1175,$B1186&amp;" ~*")&gt;0)+(IFERROR(INDEX(Setup!$G$33:$G$40,MATCH(W1186,Setup!$B$33:$B$40,0)),0)=1)*(COUNTIF(W1158:W1175,$B1186)+COUNTIF(W1158:W1175,$B1186&amp;" ~*")&gt;0)+(IFERROR(INDEX(Setup!$G$33:$G$40,MATCH(Y1186,Setup!$B$33:$B$40,0)),0)=1)*(COUNTIF(Y1158:Y1175,$B1186)+COUNTIF(Y1158:Y1175,$B1186&amp;" ~*")&gt;0))</f>
        <v/>
      </c>
    </row>
    <row r="1187" ht="15" customHeight="1">
      <c r="A1187" t="n">
        <v>24</v>
      </c>
      <c r="B1187" s="35">
        <f>IF(Setup!$B$16="","",Setup!$B$16)</f>
        <v/>
      </c>
      <c r="C1187" s="98" t="n"/>
      <c r="D1187" s="99" t="n"/>
      <c r="E1187" s="99" t="n"/>
      <c r="F1187" s="100" t="n"/>
      <c r="G1187" s="98" t="n"/>
      <c r="H1187" s="99" t="n"/>
      <c r="I1187" s="99" t="n"/>
      <c r="J1187" s="100" t="n"/>
      <c r="K1187" s="98" t="n"/>
      <c r="L1187" s="99" t="n"/>
      <c r="M1187" s="99" t="n"/>
      <c r="N1187" s="100" t="n"/>
      <c r="O1187" s="98" t="n"/>
      <c r="P1187" s="99" t="n"/>
      <c r="Q1187" s="99" t="n"/>
      <c r="R1187" s="100" t="n"/>
      <c r="S1187" s="98" t="n"/>
      <c r="T1187" s="99" t="n"/>
      <c r="U1187" s="99" t="n"/>
      <c r="V1187" s="100" t="n"/>
      <c r="W1187" s="98" t="n"/>
      <c r="X1187" s="100" t="n"/>
      <c r="Y1187" s="98" t="n"/>
      <c r="Z1187" s="100" t="n"/>
      <c r="AB1187" s="101">
        <f>IF($B1187="","",(COUNTIF(C1158:E1175,$B1187)+COUNTIF(C1158:E1175,$B1187&amp;" ~*")&gt;0)+(COUNTIF(G1158:I1175,$B1187)+COUNTIF(G1158:I1175,$B1187&amp;" ~*")&gt;0)+(COUNTIF(K1158:M1175,$B1187)+COUNTIF(K1158:M1175,$B1187&amp;" ~*")&gt;0)+(COUNTIF(O1158:Q1175,$B1187)+COUNTIF(O1158:Q1175,$B1187&amp;" ~*")&gt;0)+(COUNTIF(S1158:U1175,$B1187)+COUNTIF(S1158:U1175,$B1187&amp;" ~*")&gt;0)+(COUNTIF(W1158:W1175,$B1187)+COUNTIF(W1158:W1175,$B1187&amp;" ~*")&gt;0)+(COUNTIF(Y1158:Y1175,$B1187)+COUNTIF(Y1158:Y1175,$B1187&amp;" ~*")&gt;0))</f>
        <v/>
      </c>
      <c r="AC1187" s="36">
        <f>IF($B1187="","",(IFERROR(INDEX(Setup!$G$33:$G$40,MATCH(C1187,Setup!$B$33:$B$40,0)),0)=1)*(COUNTIF(C1158:E1175,$B1187)+COUNTIF(C1158:E1175,$B1187&amp;" ~*")&gt;0)+(IFERROR(INDEX(Setup!$G$33:$G$40,MATCH(G1187,Setup!$B$33:$B$40,0)),0)=1)*(COUNTIF(G1158:I1175,$B1187)+COUNTIF(G1158:I1175,$B1187&amp;" ~*")&gt;0)+(IFERROR(INDEX(Setup!$G$33:$G$40,MATCH(K1187,Setup!$B$33:$B$40,0)),0)=1)*(COUNTIF(K1158:M1175,$B1187)+COUNTIF(K1158:M1175,$B1187&amp;" ~*")&gt;0)+(IFERROR(INDEX(Setup!$G$33:$G$40,MATCH(O1187,Setup!$B$33:$B$40,0)),0)=1)*(COUNTIF(O1158:Q1175,$B1187)+COUNTIF(O1158:Q1175,$B1187&amp;" ~*")&gt;0)+(IFERROR(INDEX(Setup!$G$33:$G$40,MATCH(S1187,Setup!$B$33:$B$40,0)),0)=1)*(COUNTIF(S1158:U1175,$B1187)+COUNTIF(S1158:U1175,$B1187&amp;" ~*")&gt;0)+(IFERROR(INDEX(Setup!$G$33:$G$40,MATCH(W1187,Setup!$B$33:$B$40,0)),0)=1)*(COUNTIF(W1158:W1175,$B1187)+COUNTIF(W1158:W1175,$B1187&amp;" ~*")&gt;0)+(IFERROR(INDEX(Setup!$G$33:$G$40,MATCH(Y1187,Setup!$B$33:$B$40,0)),0)=1)*(COUNTIF(Y1158:Y1175,$B1187)+COUNTIF(Y1158:Y1175,$B1187&amp;" ~*")&gt;0))</f>
        <v/>
      </c>
    </row>
    <row r="1188" ht="15" customHeight="1">
      <c r="A1188" t="n">
        <v>24</v>
      </c>
      <c r="B1188" s="37">
        <f>IF(Setup!$B$17="","",Setup!$B$17)</f>
        <v/>
      </c>
      <c r="C1188" s="102" t="n"/>
      <c r="D1188" s="103" t="n"/>
      <c r="E1188" s="103" t="n"/>
      <c r="F1188" s="104" t="n"/>
      <c r="G1188" s="102" t="n"/>
      <c r="H1188" s="103" t="n"/>
      <c r="I1188" s="103" t="n"/>
      <c r="J1188" s="104" t="n"/>
      <c r="K1188" s="102" t="n"/>
      <c r="L1188" s="103" t="n"/>
      <c r="M1188" s="103" t="n"/>
      <c r="N1188" s="104" t="n"/>
      <c r="O1188" s="102" t="n"/>
      <c r="P1188" s="103" t="n"/>
      <c r="Q1188" s="103" t="n"/>
      <c r="R1188" s="104" t="n"/>
      <c r="S1188" s="102" t="n"/>
      <c r="T1188" s="103" t="n"/>
      <c r="U1188" s="103" t="n"/>
      <c r="V1188" s="104" t="n"/>
      <c r="W1188" s="102" t="n"/>
      <c r="X1188" s="104" t="n"/>
      <c r="Y1188" s="102" t="n"/>
      <c r="Z1188" s="104" t="n"/>
      <c r="AB1188" s="105">
        <f>IF($B1188="","",(COUNTIF(C1158:E1175,$B1188)+COUNTIF(C1158:E1175,$B1188&amp;" ~*")&gt;0)+(COUNTIF(G1158:I1175,$B1188)+COUNTIF(G1158:I1175,$B1188&amp;" ~*")&gt;0)+(COUNTIF(K1158:M1175,$B1188)+COUNTIF(K1158:M1175,$B1188&amp;" ~*")&gt;0)+(COUNTIF(O1158:Q1175,$B1188)+COUNTIF(O1158:Q1175,$B1188&amp;" ~*")&gt;0)+(COUNTIF(S1158:U1175,$B1188)+COUNTIF(S1158:U1175,$B1188&amp;" ~*")&gt;0)+(COUNTIF(W1158:W1175,$B1188)+COUNTIF(W1158:W1175,$B1188&amp;" ~*")&gt;0)+(COUNTIF(Y1158:Y1175,$B1188)+COUNTIF(Y1158:Y1175,$B1188&amp;" ~*")&gt;0))</f>
        <v/>
      </c>
      <c r="AC1188" s="38">
        <f>IF($B1188="","",(IFERROR(INDEX(Setup!$G$33:$G$40,MATCH(C1188,Setup!$B$33:$B$40,0)),0)=1)*(COUNTIF(C1158:E1175,$B1188)+COUNTIF(C1158:E1175,$B1188&amp;" ~*")&gt;0)+(IFERROR(INDEX(Setup!$G$33:$G$40,MATCH(G1188,Setup!$B$33:$B$40,0)),0)=1)*(COUNTIF(G1158:I1175,$B1188)+COUNTIF(G1158:I1175,$B1188&amp;" ~*")&gt;0)+(IFERROR(INDEX(Setup!$G$33:$G$40,MATCH(K1188,Setup!$B$33:$B$40,0)),0)=1)*(COUNTIF(K1158:M1175,$B1188)+COUNTIF(K1158:M1175,$B1188&amp;" ~*")&gt;0)+(IFERROR(INDEX(Setup!$G$33:$G$40,MATCH(O1188,Setup!$B$33:$B$40,0)),0)=1)*(COUNTIF(O1158:Q1175,$B1188)+COUNTIF(O1158:Q1175,$B1188&amp;" ~*")&gt;0)+(IFERROR(INDEX(Setup!$G$33:$G$40,MATCH(S1188,Setup!$B$33:$B$40,0)),0)=1)*(COUNTIF(S1158:U1175,$B1188)+COUNTIF(S1158:U1175,$B1188&amp;" ~*")&gt;0)+(IFERROR(INDEX(Setup!$G$33:$G$40,MATCH(W1188,Setup!$B$33:$B$40,0)),0)=1)*(COUNTIF(W1158:W1175,$B1188)+COUNTIF(W1158:W1175,$B1188&amp;" ~*")&gt;0)+(IFERROR(INDEX(Setup!$G$33:$G$40,MATCH(Y1188,Setup!$B$33:$B$40,0)),0)=1)*(COUNTIF(Y1158:Y1175,$B1188)+COUNTIF(Y1158:Y1175,$B1188&amp;" ~*")&gt;0))</f>
        <v/>
      </c>
    </row>
    <row r="1189" ht="15" customHeight="1">
      <c r="A1189" t="n">
        <v>24</v>
      </c>
      <c r="B1189" s="35">
        <f>IF(Setup!$B$18="","",Setup!$B$18)</f>
        <v/>
      </c>
      <c r="C1189" s="98" t="n"/>
      <c r="D1189" s="99" t="n"/>
      <c r="E1189" s="99" t="n"/>
      <c r="F1189" s="100" t="n"/>
      <c r="G1189" s="98" t="n"/>
      <c r="H1189" s="99" t="n"/>
      <c r="I1189" s="99" t="n"/>
      <c r="J1189" s="100" t="n"/>
      <c r="K1189" s="98" t="n"/>
      <c r="L1189" s="99" t="n"/>
      <c r="M1189" s="99" t="n"/>
      <c r="N1189" s="100" t="n"/>
      <c r="O1189" s="98" t="n"/>
      <c r="P1189" s="99" t="n"/>
      <c r="Q1189" s="99" t="n"/>
      <c r="R1189" s="100" t="n"/>
      <c r="S1189" s="98" t="n"/>
      <c r="T1189" s="99" t="n"/>
      <c r="U1189" s="99" t="n"/>
      <c r="V1189" s="100" t="n"/>
      <c r="W1189" s="98" t="n"/>
      <c r="X1189" s="100" t="n"/>
      <c r="Y1189" s="98" t="n"/>
      <c r="Z1189" s="100" t="n"/>
      <c r="AB1189" s="101">
        <f>IF($B1189="","",(COUNTIF(C1158:E1175,$B1189)+COUNTIF(C1158:E1175,$B1189&amp;" ~*")&gt;0)+(COUNTIF(G1158:I1175,$B1189)+COUNTIF(G1158:I1175,$B1189&amp;" ~*")&gt;0)+(COUNTIF(K1158:M1175,$B1189)+COUNTIF(K1158:M1175,$B1189&amp;" ~*")&gt;0)+(COUNTIF(O1158:Q1175,$B1189)+COUNTIF(O1158:Q1175,$B1189&amp;" ~*")&gt;0)+(COUNTIF(S1158:U1175,$B1189)+COUNTIF(S1158:U1175,$B1189&amp;" ~*")&gt;0)+(COUNTIF(W1158:W1175,$B1189)+COUNTIF(W1158:W1175,$B1189&amp;" ~*")&gt;0)+(COUNTIF(Y1158:Y1175,$B1189)+COUNTIF(Y1158:Y1175,$B1189&amp;" ~*")&gt;0))</f>
        <v/>
      </c>
      <c r="AC1189" s="36">
        <f>IF($B1189="","",(IFERROR(INDEX(Setup!$G$33:$G$40,MATCH(C1189,Setup!$B$33:$B$40,0)),0)=1)*(COUNTIF(C1158:E1175,$B1189)+COUNTIF(C1158:E1175,$B1189&amp;" ~*")&gt;0)+(IFERROR(INDEX(Setup!$G$33:$G$40,MATCH(G1189,Setup!$B$33:$B$40,0)),0)=1)*(COUNTIF(G1158:I1175,$B1189)+COUNTIF(G1158:I1175,$B1189&amp;" ~*")&gt;0)+(IFERROR(INDEX(Setup!$G$33:$G$40,MATCH(K1189,Setup!$B$33:$B$40,0)),0)=1)*(COUNTIF(K1158:M1175,$B1189)+COUNTIF(K1158:M1175,$B1189&amp;" ~*")&gt;0)+(IFERROR(INDEX(Setup!$G$33:$G$40,MATCH(O1189,Setup!$B$33:$B$40,0)),0)=1)*(COUNTIF(O1158:Q1175,$B1189)+COUNTIF(O1158:Q1175,$B1189&amp;" ~*")&gt;0)+(IFERROR(INDEX(Setup!$G$33:$G$40,MATCH(S1189,Setup!$B$33:$B$40,0)),0)=1)*(COUNTIF(S1158:U1175,$B1189)+COUNTIF(S1158:U1175,$B1189&amp;" ~*")&gt;0)+(IFERROR(INDEX(Setup!$G$33:$G$40,MATCH(W1189,Setup!$B$33:$B$40,0)),0)=1)*(COUNTIF(W1158:W1175,$B1189)+COUNTIF(W1158:W1175,$B1189&amp;" ~*")&gt;0)+(IFERROR(INDEX(Setup!$G$33:$G$40,MATCH(Y1189,Setup!$B$33:$B$40,0)),0)=1)*(COUNTIF(Y1158:Y1175,$B1189)+COUNTIF(Y1158:Y1175,$B1189&amp;" ~*")&gt;0))</f>
        <v/>
      </c>
    </row>
    <row r="1190" ht="15" customHeight="1">
      <c r="A1190" t="n">
        <v>24</v>
      </c>
      <c r="B1190" s="37">
        <f>IF(Setup!$B$19="","",Setup!$B$19)</f>
        <v/>
      </c>
      <c r="C1190" s="102" t="n"/>
      <c r="D1190" s="103" t="n"/>
      <c r="E1190" s="103" t="n"/>
      <c r="F1190" s="104" t="n"/>
      <c r="G1190" s="102" t="n"/>
      <c r="H1190" s="103" t="n"/>
      <c r="I1190" s="103" t="n"/>
      <c r="J1190" s="104" t="n"/>
      <c r="K1190" s="102" t="n"/>
      <c r="L1190" s="103" t="n"/>
      <c r="M1190" s="103" t="n"/>
      <c r="N1190" s="104" t="n"/>
      <c r="O1190" s="102" t="n"/>
      <c r="P1190" s="103" t="n"/>
      <c r="Q1190" s="103" t="n"/>
      <c r="R1190" s="104" t="n"/>
      <c r="S1190" s="102" t="n"/>
      <c r="T1190" s="103" t="n"/>
      <c r="U1190" s="103" t="n"/>
      <c r="V1190" s="104" t="n"/>
      <c r="W1190" s="102" t="n"/>
      <c r="X1190" s="104" t="n"/>
      <c r="Y1190" s="102" t="n"/>
      <c r="Z1190" s="104" t="n"/>
      <c r="AB1190" s="105">
        <f>IF($B1190="","",(COUNTIF(C1158:E1175,$B1190)+COUNTIF(C1158:E1175,$B1190&amp;" ~*")&gt;0)+(COUNTIF(G1158:I1175,$B1190)+COUNTIF(G1158:I1175,$B1190&amp;" ~*")&gt;0)+(COUNTIF(K1158:M1175,$B1190)+COUNTIF(K1158:M1175,$B1190&amp;" ~*")&gt;0)+(COUNTIF(O1158:Q1175,$B1190)+COUNTIF(O1158:Q1175,$B1190&amp;" ~*")&gt;0)+(COUNTIF(S1158:U1175,$B1190)+COUNTIF(S1158:U1175,$B1190&amp;" ~*")&gt;0)+(COUNTIF(W1158:W1175,$B1190)+COUNTIF(W1158:W1175,$B1190&amp;" ~*")&gt;0)+(COUNTIF(Y1158:Y1175,$B1190)+COUNTIF(Y1158:Y1175,$B1190&amp;" ~*")&gt;0))</f>
        <v/>
      </c>
      <c r="AC1190" s="38">
        <f>IF($B1190="","",(IFERROR(INDEX(Setup!$G$33:$G$40,MATCH(C1190,Setup!$B$33:$B$40,0)),0)=1)*(COUNTIF(C1158:E1175,$B1190)+COUNTIF(C1158:E1175,$B1190&amp;" ~*")&gt;0)+(IFERROR(INDEX(Setup!$G$33:$G$40,MATCH(G1190,Setup!$B$33:$B$40,0)),0)=1)*(COUNTIF(G1158:I1175,$B1190)+COUNTIF(G1158:I1175,$B1190&amp;" ~*")&gt;0)+(IFERROR(INDEX(Setup!$G$33:$G$40,MATCH(K1190,Setup!$B$33:$B$40,0)),0)=1)*(COUNTIF(K1158:M1175,$B1190)+COUNTIF(K1158:M1175,$B1190&amp;" ~*")&gt;0)+(IFERROR(INDEX(Setup!$G$33:$G$40,MATCH(O1190,Setup!$B$33:$B$40,0)),0)=1)*(COUNTIF(O1158:Q1175,$B1190)+COUNTIF(O1158:Q1175,$B1190&amp;" ~*")&gt;0)+(IFERROR(INDEX(Setup!$G$33:$G$40,MATCH(S1190,Setup!$B$33:$B$40,0)),0)=1)*(COUNTIF(S1158:U1175,$B1190)+COUNTIF(S1158:U1175,$B1190&amp;" ~*")&gt;0)+(IFERROR(INDEX(Setup!$G$33:$G$40,MATCH(W1190,Setup!$B$33:$B$40,0)),0)=1)*(COUNTIF(W1158:W1175,$B1190)+COUNTIF(W1158:W1175,$B1190&amp;" ~*")&gt;0)+(IFERROR(INDEX(Setup!$G$33:$G$40,MATCH(Y1190,Setup!$B$33:$B$40,0)),0)=1)*(COUNTIF(Y1158:Y1175,$B1190)+COUNTIF(Y1158:Y1175,$B1190&amp;" ~*")&gt;0))</f>
        <v/>
      </c>
    </row>
    <row r="1191" ht="15" customHeight="1">
      <c r="A1191" t="n">
        <v>24</v>
      </c>
      <c r="B1191" s="35">
        <f>IF(Setup!$B$20="","",Setup!$B$20)</f>
        <v/>
      </c>
      <c r="C1191" s="98" t="n"/>
      <c r="D1191" s="99" t="n"/>
      <c r="E1191" s="99" t="n"/>
      <c r="F1191" s="100" t="n"/>
      <c r="G1191" s="98" t="n"/>
      <c r="H1191" s="99" t="n"/>
      <c r="I1191" s="99" t="n"/>
      <c r="J1191" s="100" t="n"/>
      <c r="K1191" s="98" t="n"/>
      <c r="L1191" s="99" t="n"/>
      <c r="M1191" s="99" t="n"/>
      <c r="N1191" s="100" t="n"/>
      <c r="O1191" s="98" t="n"/>
      <c r="P1191" s="99" t="n"/>
      <c r="Q1191" s="99" t="n"/>
      <c r="R1191" s="100" t="n"/>
      <c r="S1191" s="98" t="n"/>
      <c r="T1191" s="99" t="n"/>
      <c r="U1191" s="99" t="n"/>
      <c r="V1191" s="100" t="n"/>
      <c r="W1191" s="98" t="n"/>
      <c r="X1191" s="100" t="n"/>
      <c r="Y1191" s="98" t="n"/>
      <c r="Z1191" s="100" t="n"/>
      <c r="AB1191" s="101">
        <f>IF($B1191="","",(COUNTIF(C1158:E1175,$B1191)+COUNTIF(C1158:E1175,$B1191&amp;" ~*")&gt;0)+(COUNTIF(G1158:I1175,$B1191)+COUNTIF(G1158:I1175,$B1191&amp;" ~*")&gt;0)+(COUNTIF(K1158:M1175,$B1191)+COUNTIF(K1158:M1175,$B1191&amp;" ~*")&gt;0)+(COUNTIF(O1158:Q1175,$B1191)+COUNTIF(O1158:Q1175,$B1191&amp;" ~*")&gt;0)+(COUNTIF(S1158:U1175,$B1191)+COUNTIF(S1158:U1175,$B1191&amp;" ~*")&gt;0)+(COUNTIF(W1158:W1175,$B1191)+COUNTIF(W1158:W1175,$B1191&amp;" ~*")&gt;0)+(COUNTIF(Y1158:Y1175,$B1191)+COUNTIF(Y1158:Y1175,$B1191&amp;" ~*")&gt;0))</f>
        <v/>
      </c>
      <c r="AC1191" s="36">
        <f>IF($B1191="","",(IFERROR(INDEX(Setup!$G$33:$G$40,MATCH(C1191,Setup!$B$33:$B$40,0)),0)=1)*(COUNTIF(C1158:E1175,$B1191)+COUNTIF(C1158:E1175,$B1191&amp;" ~*")&gt;0)+(IFERROR(INDEX(Setup!$G$33:$G$40,MATCH(G1191,Setup!$B$33:$B$40,0)),0)=1)*(COUNTIF(G1158:I1175,$B1191)+COUNTIF(G1158:I1175,$B1191&amp;" ~*")&gt;0)+(IFERROR(INDEX(Setup!$G$33:$G$40,MATCH(K1191,Setup!$B$33:$B$40,0)),0)=1)*(COUNTIF(K1158:M1175,$B1191)+COUNTIF(K1158:M1175,$B1191&amp;" ~*")&gt;0)+(IFERROR(INDEX(Setup!$G$33:$G$40,MATCH(O1191,Setup!$B$33:$B$40,0)),0)=1)*(COUNTIF(O1158:Q1175,$B1191)+COUNTIF(O1158:Q1175,$B1191&amp;" ~*")&gt;0)+(IFERROR(INDEX(Setup!$G$33:$G$40,MATCH(S1191,Setup!$B$33:$B$40,0)),0)=1)*(COUNTIF(S1158:U1175,$B1191)+COUNTIF(S1158:U1175,$B1191&amp;" ~*")&gt;0)+(IFERROR(INDEX(Setup!$G$33:$G$40,MATCH(W1191,Setup!$B$33:$B$40,0)),0)=1)*(COUNTIF(W1158:W1175,$B1191)+COUNTIF(W1158:W1175,$B1191&amp;" ~*")&gt;0)+(IFERROR(INDEX(Setup!$G$33:$G$40,MATCH(Y1191,Setup!$B$33:$B$40,0)),0)=1)*(COUNTIF(Y1158:Y1175,$B1191)+COUNTIF(Y1158:Y1175,$B1191&amp;" ~*")&gt;0))</f>
        <v/>
      </c>
    </row>
    <row r="1192" ht="15" customHeight="1">
      <c r="A1192" t="n">
        <v>24</v>
      </c>
      <c r="B1192" s="37">
        <f>IF(Setup!$B$21="","",Setup!$B$21)</f>
        <v/>
      </c>
      <c r="C1192" s="102" t="n"/>
      <c r="D1192" s="103" t="n"/>
      <c r="E1192" s="103" t="n"/>
      <c r="F1192" s="104" t="n"/>
      <c r="G1192" s="102" t="n"/>
      <c r="H1192" s="103" t="n"/>
      <c r="I1192" s="103" t="n"/>
      <c r="J1192" s="104" t="n"/>
      <c r="K1192" s="102" t="n"/>
      <c r="L1192" s="103" t="n"/>
      <c r="M1192" s="103" t="n"/>
      <c r="N1192" s="104" t="n"/>
      <c r="O1192" s="102" t="n"/>
      <c r="P1192" s="103" t="n"/>
      <c r="Q1192" s="103" t="n"/>
      <c r="R1192" s="104" t="n"/>
      <c r="S1192" s="102" t="n"/>
      <c r="T1192" s="103" t="n"/>
      <c r="U1192" s="103" t="n"/>
      <c r="V1192" s="104" t="n"/>
      <c r="W1192" s="102" t="n"/>
      <c r="X1192" s="104" t="n"/>
      <c r="Y1192" s="102" t="n"/>
      <c r="Z1192" s="104" t="n"/>
      <c r="AB1192" s="105">
        <f>IF($B1192="","",(COUNTIF(C1158:E1175,$B1192)+COUNTIF(C1158:E1175,$B1192&amp;" ~*")&gt;0)+(COUNTIF(G1158:I1175,$B1192)+COUNTIF(G1158:I1175,$B1192&amp;" ~*")&gt;0)+(COUNTIF(K1158:M1175,$B1192)+COUNTIF(K1158:M1175,$B1192&amp;" ~*")&gt;0)+(COUNTIF(O1158:Q1175,$B1192)+COUNTIF(O1158:Q1175,$B1192&amp;" ~*")&gt;0)+(COUNTIF(S1158:U1175,$B1192)+COUNTIF(S1158:U1175,$B1192&amp;" ~*")&gt;0)+(COUNTIF(W1158:W1175,$B1192)+COUNTIF(W1158:W1175,$B1192&amp;" ~*")&gt;0)+(COUNTIF(Y1158:Y1175,$B1192)+COUNTIF(Y1158:Y1175,$B1192&amp;" ~*")&gt;0))</f>
        <v/>
      </c>
      <c r="AC1192" s="38">
        <f>IF($B1192="","",(IFERROR(INDEX(Setup!$G$33:$G$40,MATCH(C1192,Setup!$B$33:$B$40,0)),0)=1)*(COUNTIF(C1158:E1175,$B1192)+COUNTIF(C1158:E1175,$B1192&amp;" ~*")&gt;0)+(IFERROR(INDEX(Setup!$G$33:$G$40,MATCH(G1192,Setup!$B$33:$B$40,0)),0)=1)*(COUNTIF(G1158:I1175,$B1192)+COUNTIF(G1158:I1175,$B1192&amp;" ~*")&gt;0)+(IFERROR(INDEX(Setup!$G$33:$G$40,MATCH(K1192,Setup!$B$33:$B$40,0)),0)=1)*(COUNTIF(K1158:M1175,$B1192)+COUNTIF(K1158:M1175,$B1192&amp;" ~*")&gt;0)+(IFERROR(INDEX(Setup!$G$33:$G$40,MATCH(O1192,Setup!$B$33:$B$40,0)),0)=1)*(COUNTIF(O1158:Q1175,$B1192)+COUNTIF(O1158:Q1175,$B1192&amp;" ~*")&gt;0)+(IFERROR(INDEX(Setup!$G$33:$G$40,MATCH(S1192,Setup!$B$33:$B$40,0)),0)=1)*(COUNTIF(S1158:U1175,$B1192)+COUNTIF(S1158:U1175,$B1192&amp;" ~*")&gt;0)+(IFERROR(INDEX(Setup!$G$33:$G$40,MATCH(W1192,Setup!$B$33:$B$40,0)),0)=1)*(COUNTIF(W1158:W1175,$B1192)+COUNTIF(W1158:W1175,$B1192&amp;" ~*")&gt;0)+(IFERROR(INDEX(Setup!$G$33:$G$40,MATCH(Y1192,Setup!$B$33:$B$40,0)),0)=1)*(COUNTIF(Y1158:Y1175,$B1192)+COUNTIF(Y1158:Y1175,$B1192&amp;" ~*")&gt;0))</f>
        <v/>
      </c>
    </row>
    <row r="1193" ht="15" customHeight="1">
      <c r="A1193" t="n">
        <v>24</v>
      </c>
      <c r="B1193" s="35">
        <f>IF(Setup!$B$22="","",Setup!$B$22)</f>
        <v/>
      </c>
      <c r="C1193" s="98" t="n"/>
      <c r="D1193" s="99" t="n"/>
      <c r="E1193" s="99" t="n"/>
      <c r="F1193" s="100" t="n"/>
      <c r="G1193" s="98" t="n"/>
      <c r="H1193" s="99" t="n"/>
      <c r="I1193" s="99" t="n"/>
      <c r="J1193" s="100" t="n"/>
      <c r="K1193" s="98" t="n"/>
      <c r="L1193" s="99" t="n"/>
      <c r="M1193" s="99" t="n"/>
      <c r="N1193" s="100" t="n"/>
      <c r="O1193" s="98" t="n"/>
      <c r="P1193" s="99" t="n"/>
      <c r="Q1193" s="99" t="n"/>
      <c r="R1193" s="100" t="n"/>
      <c r="S1193" s="98" t="n"/>
      <c r="T1193" s="99" t="n"/>
      <c r="U1193" s="99" t="n"/>
      <c r="V1193" s="100" t="n"/>
      <c r="W1193" s="98" t="n"/>
      <c r="X1193" s="100" t="n"/>
      <c r="Y1193" s="98" t="n"/>
      <c r="Z1193" s="100" t="n"/>
      <c r="AB1193" s="101">
        <f>IF($B1193="","",(COUNTIF(C1158:E1175,$B1193)+COUNTIF(C1158:E1175,$B1193&amp;" ~*")&gt;0)+(COUNTIF(G1158:I1175,$B1193)+COUNTIF(G1158:I1175,$B1193&amp;" ~*")&gt;0)+(COUNTIF(K1158:M1175,$B1193)+COUNTIF(K1158:M1175,$B1193&amp;" ~*")&gt;0)+(COUNTIF(O1158:Q1175,$B1193)+COUNTIF(O1158:Q1175,$B1193&amp;" ~*")&gt;0)+(COUNTIF(S1158:U1175,$B1193)+COUNTIF(S1158:U1175,$B1193&amp;" ~*")&gt;0)+(COUNTIF(W1158:W1175,$B1193)+COUNTIF(W1158:W1175,$B1193&amp;" ~*")&gt;0)+(COUNTIF(Y1158:Y1175,$B1193)+COUNTIF(Y1158:Y1175,$B1193&amp;" ~*")&gt;0))</f>
        <v/>
      </c>
      <c r="AC1193" s="36">
        <f>IF($B1193="","",(IFERROR(INDEX(Setup!$G$33:$G$40,MATCH(C1193,Setup!$B$33:$B$40,0)),0)=1)*(COUNTIF(C1158:E1175,$B1193)+COUNTIF(C1158:E1175,$B1193&amp;" ~*")&gt;0)+(IFERROR(INDEX(Setup!$G$33:$G$40,MATCH(G1193,Setup!$B$33:$B$40,0)),0)=1)*(COUNTIF(G1158:I1175,$B1193)+COUNTIF(G1158:I1175,$B1193&amp;" ~*")&gt;0)+(IFERROR(INDEX(Setup!$G$33:$G$40,MATCH(K1193,Setup!$B$33:$B$40,0)),0)=1)*(COUNTIF(K1158:M1175,$B1193)+COUNTIF(K1158:M1175,$B1193&amp;" ~*")&gt;0)+(IFERROR(INDEX(Setup!$G$33:$G$40,MATCH(O1193,Setup!$B$33:$B$40,0)),0)=1)*(COUNTIF(O1158:Q1175,$B1193)+COUNTIF(O1158:Q1175,$B1193&amp;" ~*")&gt;0)+(IFERROR(INDEX(Setup!$G$33:$G$40,MATCH(S1193,Setup!$B$33:$B$40,0)),0)=1)*(COUNTIF(S1158:U1175,$B1193)+COUNTIF(S1158:U1175,$B1193&amp;" ~*")&gt;0)+(IFERROR(INDEX(Setup!$G$33:$G$40,MATCH(W1193,Setup!$B$33:$B$40,0)),0)=1)*(COUNTIF(W1158:W1175,$B1193)+COUNTIF(W1158:W1175,$B1193&amp;" ~*")&gt;0)+(IFERROR(INDEX(Setup!$G$33:$G$40,MATCH(Y1193,Setup!$B$33:$B$40,0)),0)=1)*(COUNTIF(Y1158:Y1175,$B1193)+COUNTIF(Y1158:Y1175,$B1193&amp;" ~*")&gt;0))</f>
        <v/>
      </c>
    </row>
    <row r="1194" ht="15" customHeight="1">
      <c r="A1194" t="n">
        <v>24</v>
      </c>
      <c r="B1194" s="37">
        <f>IF(Setup!$B$23="","",Setup!$B$23)</f>
        <v/>
      </c>
      <c r="C1194" s="102" t="n"/>
      <c r="D1194" s="103" t="n"/>
      <c r="E1194" s="103" t="n"/>
      <c r="F1194" s="104" t="n"/>
      <c r="G1194" s="102" t="n"/>
      <c r="H1194" s="103" t="n"/>
      <c r="I1194" s="103" t="n"/>
      <c r="J1194" s="104" t="n"/>
      <c r="K1194" s="102" t="n"/>
      <c r="L1194" s="103" t="n"/>
      <c r="M1194" s="103" t="n"/>
      <c r="N1194" s="104" t="n"/>
      <c r="O1194" s="102" t="n"/>
      <c r="P1194" s="103" t="n"/>
      <c r="Q1194" s="103" t="n"/>
      <c r="R1194" s="104" t="n"/>
      <c r="S1194" s="102" t="n"/>
      <c r="T1194" s="103" t="n"/>
      <c r="U1194" s="103" t="n"/>
      <c r="V1194" s="104" t="n"/>
      <c r="W1194" s="102" t="n"/>
      <c r="X1194" s="104" t="n"/>
      <c r="Y1194" s="102" t="n"/>
      <c r="Z1194" s="104" t="n"/>
      <c r="AB1194" s="105">
        <f>IF($B1194="","",(COUNTIF(C1158:E1175,$B1194)+COUNTIF(C1158:E1175,$B1194&amp;" ~*")&gt;0)+(COUNTIF(G1158:I1175,$B1194)+COUNTIF(G1158:I1175,$B1194&amp;" ~*")&gt;0)+(COUNTIF(K1158:M1175,$B1194)+COUNTIF(K1158:M1175,$B1194&amp;" ~*")&gt;0)+(COUNTIF(O1158:Q1175,$B1194)+COUNTIF(O1158:Q1175,$B1194&amp;" ~*")&gt;0)+(COUNTIF(S1158:U1175,$B1194)+COUNTIF(S1158:U1175,$B1194&amp;" ~*")&gt;0)+(COUNTIF(W1158:W1175,$B1194)+COUNTIF(W1158:W1175,$B1194&amp;" ~*")&gt;0)+(COUNTIF(Y1158:Y1175,$B1194)+COUNTIF(Y1158:Y1175,$B1194&amp;" ~*")&gt;0))</f>
        <v/>
      </c>
      <c r="AC1194" s="38">
        <f>IF($B1194="","",(IFERROR(INDEX(Setup!$G$33:$G$40,MATCH(C1194,Setup!$B$33:$B$40,0)),0)=1)*(COUNTIF(C1158:E1175,$B1194)+COUNTIF(C1158:E1175,$B1194&amp;" ~*")&gt;0)+(IFERROR(INDEX(Setup!$G$33:$G$40,MATCH(G1194,Setup!$B$33:$B$40,0)),0)=1)*(COUNTIF(G1158:I1175,$B1194)+COUNTIF(G1158:I1175,$B1194&amp;" ~*")&gt;0)+(IFERROR(INDEX(Setup!$G$33:$G$40,MATCH(K1194,Setup!$B$33:$B$40,0)),0)=1)*(COUNTIF(K1158:M1175,$B1194)+COUNTIF(K1158:M1175,$B1194&amp;" ~*")&gt;0)+(IFERROR(INDEX(Setup!$G$33:$G$40,MATCH(O1194,Setup!$B$33:$B$40,0)),0)=1)*(COUNTIF(O1158:Q1175,$B1194)+COUNTIF(O1158:Q1175,$B1194&amp;" ~*")&gt;0)+(IFERROR(INDEX(Setup!$G$33:$G$40,MATCH(S1194,Setup!$B$33:$B$40,0)),0)=1)*(COUNTIF(S1158:U1175,$B1194)+COUNTIF(S1158:U1175,$B1194&amp;" ~*")&gt;0)+(IFERROR(INDEX(Setup!$G$33:$G$40,MATCH(W1194,Setup!$B$33:$B$40,0)),0)=1)*(COUNTIF(W1158:W1175,$B1194)+COUNTIF(W1158:W1175,$B1194&amp;" ~*")&gt;0)+(IFERROR(INDEX(Setup!$G$33:$G$40,MATCH(Y1194,Setup!$B$33:$B$40,0)),0)=1)*(COUNTIF(Y1158:Y1175,$B1194)+COUNTIF(Y1158:Y1175,$B1194&amp;" ~*")&gt;0))</f>
        <v/>
      </c>
    </row>
    <row r="1195" ht="15" customHeight="1">
      <c r="A1195" t="n">
        <v>24</v>
      </c>
      <c r="B1195" s="35">
        <f>IF(Setup!$B$24="","",Setup!$B$24)</f>
        <v/>
      </c>
      <c r="C1195" s="98" t="n"/>
      <c r="D1195" s="99" t="n"/>
      <c r="E1195" s="99" t="n"/>
      <c r="F1195" s="100" t="n"/>
      <c r="G1195" s="98" t="n"/>
      <c r="H1195" s="99" t="n"/>
      <c r="I1195" s="99" t="n"/>
      <c r="J1195" s="100" t="n"/>
      <c r="K1195" s="98" t="n"/>
      <c r="L1195" s="99" t="n"/>
      <c r="M1195" s="99" t="n"/>
      <c r="N1195" s="100" t="n"/>
      <c r="O1195" s="98" t="n"/>
      <c r="P1195" s="99" t="n"/>
      <c r="Q1195" s="99" t="n"/>
      <c r="R1195" s="100" t="n"/>
      <c r="S1195" s="98" t="n"/>
      <c r="T1195" s="99" t="n"/>
      <c r="U1195" s="99" t="n"/>
      <c r="V1195" s="100" t="n"/>
      <c r="W1195" s="98" t="n"/>
      <c r="X1195" s="100" t="n"/>
      <c r="Y1195" s="98" t="n"/>
      <c r="Z1195" s="100" t="n"/>
      <c r="AB1195" s="101">
        <f>IF($B1195="","",(COUNTIF(C1158:E1175,$B1195)+COUNTIF(C1158:E1175,$B1195&amp;" ~*")&gt;0)+(COUNTIF(G1158:I1175,$B1195)+COUNTIF(G1158:I1175,$B1195&amp;" ~*")&gt;0)+(COUNTIF(K1158:M1175,$B1195)+COUNTIF(K1158:M1175,$B1195&amp;" ~*")&gt;0)+(COUNTIF(O1158:Q1175,$B1195)+COUNTIF(O1158:Q1175,$B1195&amp;" ~*")&gt;0)+(COUNTIF(S1158:U1175,$B1195)+COUNTIF(S1158:U1175,$B1195&amp;" ~*")&gt;0)+(COUNTIF(W1158:W1175,$B1195)+COUNTIF(W1158:W1175,$B1195&amp;" ~*")&gt;0)+(COUNTIF(Y1158:Y1175,$B1195)+COUNTIF(Y1158:Y1175,$B1195&amp;" ~*")&gt;0))</f>
        <v/>
      </c>
      <c r="AC1195" s="36">
        <f>IF($B1195="","",(IFERROR(INDEX(Setup!$G$33:$G$40,MATCH(C1195,Setup!$B$33:$B$40,0)),0)=1)*(COUNTIF(C1158:E1175,$B1195)+COUNTIF(C1158:E1175,$B1195&amp;" ~*")&gt;0)+(IFERROR(INDEX(Setup!$G$33:$G$40,MATCH(G1195,Setup!$B$33:$B$40,0)),0)=1)*(COUNTIF(G1158:I1175,$B1195)+COUNTIF(G1158:I1175,$B1195&amp;" ~*")&gt;0)+(IFERROR(INDEX(Setup!$G$33:$G$40,MATCH(K1195,Setup!$B$33:$B$40,0)),0)=1)*(COUNTIF(K1158:M1175,$B1195)+COUNTIF(K1158:M1175,$B1195&amp;" ~*")&gt;0)+(IFERROR(INDEX(Setup!$G$33:$G$40,MATCH(O1195,Setup!$B$33:$B$40,0)),0)=1)*(COUNTIF(O1158:Q1175,$B1195)+COUNTIF(O1158:Q1175,$B1195&amp;" ~*")&gt;0)+(IFERROR(INDEX(Setup!$G$33:$G$40,MATCH(S1195,Setup!$B$33:$B$40,0)),0)=1)*(COUNTIF(S1158:U1175,$B1195)+COUNTIF(S1158:U1175,$B1195&amp;" ~*")&gt;0)+(IFERROR(INDEX(Setup!$G$33:$G$40,MATCH(W1195,Setup!$B$33:$B$40,0)),0)=1)*(COUNTIF(W1158:W1175,$B1195)+COUNTIF(W1158:W1175,$B1195&amp;" ~*")&gt;0)+(IFERROR(INDEX(Setup!$G$33:$G$40,MATCH(Y1195,Setup!$B$33:$B$40,0)),0)=1)*(COUNTIF(Y1158:Y1175,$B1195)+COUNTIF(Y1158:Y1175,$B1195&amp;" ~*")&gt;0))</f>
        <v/>
      </c>
    </row>
    <row r="1196" ht="15" customHeight="1">
      <c r="A1196" t="n">
        <v>24</v>
      </c>
      <c r="B1196" s="37">
        <f>IF(Setup!$B$25="","",Setup!$B$25)</f>
        <v/>
      </c>
      <c r="C1196" s="102" t="n"/>
      <c r="D1196" s="103" t="n"/>
      <c r="E1196" s="103" t="n"/>
      <c r="F1196" s="104" t="n"/>
      <c r="G1196" s="102" t="n"/>
      <c r="H1196" s="103" t="n"/>
      <c r="I1196" s="103" t="n"/>
      <c r="J1196" s="104" t="n"/>
      <c r="K1196" s="102" t="n"/>
      <c r="L1196" s="103" t="n"/>
      <c r="M1196" s="103" t="n"/>
      <c r="N1196" s="104" t="n"/>
      <c r="O1196" s="102" t="n"/>
      <c r="P1196" s="103" t="n"/>
      <c r="Q1196" s="103" t="n"/>
      <c r="R1196" s="104" t="n"/>
      <c r="S1196" s="102" t="n"/>
      <c r="T1196" s="103" t="n"/>
      <c r="U1196" s="103" t="n"/>
      <c r="V1196" s="104" t="n"/>
      <c r="W1196" s="102" t="n"/>
      <c r="X1196" s="104" t="n"/>
      <c r="Y1196" s="102" t="n"/>
      <c r="Z1196" s="104" t="n"/>
      <c r="AB1196" s="105">
        <f>IF($B1196="","",(COUNTIF(C1158:E1175,$B1196)+COUNTIF(C1158:E1175,$B1196&amp;" ~*")&gt;0)+(COUNTIF(G1158:I1175,$B1196)+COUNTIF(G1158:I1175,$B1196&amp;" ~*")&gt;0)+(COUNTIF(K1158:M1175,$B1196)+COUNTIF(K1158:M1175,$B1196&amp;" ~*")&gt;0)+(COUNTIF(O1158:Q1175,$B1196)+COUNTIF(O1158:Q1175,$B1196&amp;" ~*")&gt;0)+(COUNTIF(S1158:U1175,$B1196)+COUNTIF(S1158:U1175,$B1196&amp;" ~*")&gt;0)+(COUNTIF(W1158:W1175,$B1196)+COUNTIF(W1158:W1175,$B1196&amp;" ~*")&gt;0)+(COUNTIF(Y1158:Y1175,$B1196)+COUNTIF(Y1158:Y1175,$B1196&amp;" ~*")&gt;0))</f>
        <v/>
      </c>
      <c r="AC1196" s="38">
        <f>IF($B1196="","",(IFERROR(INDEX(Setup!$G$33:$G$40,MATCH(C1196,Setup!$B$33:$B$40,0)),0)=1)*(COUNTIF(C1158:E1175,$B1196)+COUNTIF(C1158:E1175,$B1196&amp;" ~*")&gt;0)+(IFERROR(INDEX(Setup!$G$33:$G$40,MATCH(G1196,Setup!$B$33:$B$40,0)),0)=1)*(COUNTIF(G1158:I1175,$B1196)+COUNTIF(G1158:I1175,$B1196&amp;" ~*")&gt;0)+(IFERROR(INDEX(Setup!$G$33:$G$40,MATCH(K1196,Setup!$B$33:$B$40,0)),0)=1)*(COUNTIF(K1158:M1175,$B1196)+COUNTIF(K1158:M1175,$B1196&amp;" ~*")&gt;0)+(IFERROR(INDEX(Setup!$G$33:$G$40,MATCH(O1196,Setup!$B$33:$B$40,0)),0)=1)*(COUNTIF(O1158:Q1175,$B1196)+COUNTIF(O1158:Q1175,$B1196&amp;" ~*")&gt;0)+(IFERROR(INDEX(Setup!$G$33:$G$40,MATCH(S1196,Setup!$B$33:$B$40,0)),0)=1)*(COUNTIF(S1158:U1175,$B1196)+COUNTIF(S1158:U1175,$B1196&amp;" ~*")&gt;0)+(IFERROR(INDEX(Setup!$G$33:$G$40,MATCH(W1196,Setup!$B$33:$B$40,0)),0)=1)*(COUNTIF(W1158:W1175,$B1196)+COUNTIF(W1158:W1175,$B1196&amp;" ~*")&gt;0)+(IFERROR(INDEX(Setup!$G$33:$G$40,MATCH(Y1196,Setup!$B$33:$B$40,0)),0)=1)*(COUNTIF(Y1158:Y1175,$B1196)+COUNTIF(Y1158:Y1175,$B1196&amp;" ~*")&gt;0))</f>
        <v/>
      </c>
    </row>
    <row r="1197" ht="15" customHeight="1">
      <c r="A1197" t="n">
        <v>24</v>
      </c>
      <c r="B1197" s="35">
        <f>IF(Setup!$B$26="","",Setup!$B$26)</f>
        <v/>
      </c>
      <c r="C1197" s="98" t="n"/>
      <c r="D1197" s="99" t="n"/>
      <c r="E1197" s="99" t="n"/>
      <c r="F1197" s="100" t="n"/>
      <c r="G1197" s="98" t="n"/>
      <c r="H1197" s="99" t="n"/>
      <c r="I1197" s="99" t="n"/>
      <c r="J1197" s="100" t="n"/>
      <c r="K1197" s="98" t="n"/>
      <c r="L1197" s="99" t="n"/>
      <c r="M1197" s="99" t="n"/>
      <c r="N1197" s="100" t="n"/>
      <c r="O1197" s="98" t="n"/>
      <c r="P1197" s="99" t="n"/>
      <c r="Q1197" s="99" t="n"/>
      <c r="R1197" s="100" t="n"/>
      <c r="S1197" s="98" t="n"/>
      <c r="T1197" s="99" t="n"/>
      <c r="U1197" s="99" t="n"/>
      <c r="V1197" s="100" t="n"/>
      <c r="W1197" s="98" t="n"/>
      <c r="X1197" s="100" t="n"/>
      <c r="Y1197" s="98" t="n"/>
      <c r="Z1197" s="100" t="n"/>
      <c r="AB1197" s="101">
        <f>IF($B1197="","",(COUNTIF(C1158:E1175,$B1197)+COUNTIF(C1158:E1175,$B1197&amp;" ~*")&gt;0)+(COUNTIF(G1158:I1175,$B1197)+COUNTIF(G1158:I1175,$B1197&amp;" ~*")&gt;0)+(COUNTIF(K1158:M1175,$B1197)+COUNTIF(K1158:M1175,$B1197&amp;" ~*")&gt;0)+(COUNTIF(O1158:Q1175,$B1197)+COUNTIF(O1158:Q1175,$B1197&amp;" ~*")&gt;0)+(COUNTIF(S1158:U1175,$B1197)+COUNTIF(S1158:U1175,$B1197&amp;" ~*")&gt;0)+(COUNTIF(W1158:W1175,$B1197)+COUNTIF(W1158:W1175,$B1197&amp;" ~*")&gt;0)+(COUNTIF(Y1158:Y1175,$B1197)+COUNTIF(Y1158:Y1175,$B1197&amp;" ~*")&gt;0))</f>
        <v/>
      </c>
      <c r="AC1197" s="36">
        <f>IF($B1197="","",(IFERROR(INDEX(Setup!$G$33:$G$40,MATCH(C1197,Setup!$B$33:$B$40,0)),0)=1)*(COUNTIF(C1158:E1175,$B1197)+COUNTIF(C1158:E1175,$B1197&amp;" ~*")&gt;0)+(IFERROR(INDEX(Setup!$G$33:$G$40,MATCH(G1197,Setup!$B$33:$B$40,0)),0)=1)*(COUNTIF(G1158:I1175,$B1197)+COUNTIF(G1158:I1175,$B1197&amp;" ~*")&gt;0)+(IFERROR(INDEX(Setup!$G$33:$G$40,MATCH(K1197,Setup!$B$33:$B$40,0)),0)=1)*(COUNTIF(K1158:M1175,$B1197)+COUNTIF(K1158:M1175,$B1197&amp;" ~*")&gt;0)+(IFERROR(INDEX(Setup!$G$33:$G$40,MATCH(O1197,Setup!$B$33:$B$40,0)),0)=1)*(COUNTIF(O1158:Q1175,$B1197)+COUNTIF(O1158:Q1175,$B1197&amp;" ~*")&gt;0)+(IFERROR(INDEX(Setup!$G$33:$G$40,MATCH(S1197,Setup!$B$33:$B$40,0)),0)=1)*(COUNTIF(S1158:U1175,$B1197)+COUNTIF(S1158:U1175,$B1197&amp;" ~*")&gt;0)+(IFERROR(INDEX(Setup!$G$33:$G$40,MATCH(W1197,Setup!$B$33:$B$40,0)),0)=1)*(COUNTIF(W1158:W1175,$B1197)+COUNTIF(W1158:W1175,$B1197&amp;" ~*")&gt;0)+(IFERROR(INDEX(Setup!$G$33:$G$40,MATCH(Y1197,Setup!$B$33:$B$40,0)),0)=1)*(COUNTIF(Y1158:Y1175,$B1197)+COUNTIF(Y1158:Y1175,$B1197&amp;" ~*")&gt;0))</f>
        <v/>
      </c>
    </row>
    <row r="1198" ht="15" customHeight="1">
      <c r="A1198" t="n">
        <v>24</v>
      </c>
      <c r="B1198" s="37">
        <f>IF(Setup!$B$27="","",Setup!$B$27)</f>
        <v/>
      </c>
      <c r="C1198" s="102" t="n"/>
      <c r="D1198" s="103" t="n"/>
      <c r="E1198" s="103" t="n"/>
      <c r="F1198" s="104" t="n"/>
      <c r="G1198" s="102" t="n"/>
      <c r="H1198" s="103" t="n"/>
      <c r="I1198" s="103" t="n"/>
      <c r="J1198" s="104" t="n"/>
      <c r="K1198" s="102" t="n"/>
      <c r="L1198" s="103" t="n"/>
      <c r="M1198" s="103" t="n"/>
      <c r="N1198" s="104" t="n"/>
      <c r="O1198" s="102" t="n"/>
      <c r="P1198" s="103" t="n"/>
      <c r="Q1198" s="103" t="n"/>
      <c r="R1198" s="104" t="n"/>
      <c r="S1198" s="102" t="n"/>
      <c r="T1198" s="103" t="n"/>
      <c r="U1198" s="103" t="n"/>
      <c r="V1198" s="104" t="n"/>
      <c r="W1198" s="102" t="n"/>
      <c r="X1198" s="104" t="n"/>
      <c r="Y1198" s="102" t="n"/>
      <c r="Z1198" s="104" t="n"/>
      <c r="AB1198" s="105">
        <f>IF($B1198="","",(COUNTIF(C1158:E1175,$B1198)+COUNTIF(C1158:E1175,$B1198&amp;" ~*")&gt;0)+(COUNTIF(G1158:I1175,$B1198)+COUNTIF(G1158:I1175,$B1198&amp;" ~*")&gt;0)+(COUNTIF(K1158:M1175,$B1198)+COUNTIF(K1158:M1175,$B1198&amp;" ~*")&gt;0)+(COUNTIF(O1158:Q1175,$B1198)+COUNTIF(O1158:Q1175,$B1198&amp;" ~*")&gt;0)+(COUNTIF(S1158:U1175,$B1198)+COUNTIF(S1158:U1175,$B1198&amp;" ~*")&gt;0)+(COUNTIF(W1158:W1175,$B1198)+COUNTIF(W1158:W1175,$B1198&amp;" ~*")&gt;0)+(COUNTIF(Y1158:Y1175,$B1198)+COUNTIF(Y1158:Y1175,$B1198&amp;" ~*")&gt;0))</f>
        <v/>
      </c>
      <c r="AC1198" s="38">
        <f>IF($B1198="","",(IFERROR(INDEX(Setup!$G$33:$G$40,MATCH(C1198,Setup!$B$33:$B$40,0)),0)=1)*(COUNTIF(C1158:E1175,$B1198)+COUNTIF(C1158:E1175,$B1198&amp;" ~*")&gt;0)+(IFERROR(INDEX(Setup!$G$33:$G$40,MATCH(G1198,Setup!$B$33:$B$40,0)),0)=1)*(COUNTIF(G1158:I1175,$B1198)+COUNTIF(G1158:I1175,$B1198&amp;" ~*")&gt;0)+(IFERROR(INDEX(Setup!$G$33:$G$40,MATCH(K1198,Setup!$B$33:$B$40,0)),0)=1)*(COUNTIF(K1158:M1175,$B1198)+COUNTIF(K1158:M1175,$B1198&amp;" ~*")&gt;0)+(IFERROR(INDEX(Setup!$G$33:$G$40,MATCH(O1198,Setup!$B$33:$B$40,0)),0)=1)*(COUNTIF(O1158:Q1175,$B1198)+COUNTIF(O1158:Q1175,$B1198&amp;" ~*")&gt;0)+(IFERROR(INDEX(Setup!$G$33:$G$40,MATCH(S1198,Setup!$B$33:$B$40,0)),0)=1)*(COUNTIF(S1158:U1175,$B1198)+COUNTIF(S1158:U1175,$B1198&amp;" ~*")&gt;0)+(IFERROR(INDEX(Setup!$G$33:$G$40,MATCH(W1198,Setup!$B$33:$B$40,0)),0)=1)*(COUNTIF(W1158:W1175,$B1198)+COUNTIF(W1158:W1175,$B1198&amp;" ~*")&gt;0)+(IFERROR(INDEX(Setup!$G$33:$G$40,MATCH(Y1198,Setup!$B$33:$B$40,0)),0)=1)*(COUNTIF(Y1158:Y1175,$B1198)+COUNTIF(Y1158:Y1175,$B1198&amp;" ~*")&gt;0))</f>
        <v/>
      </c>
    </row>
    <row r="1199" ht="15" customHeight="1">
      <c r="A1199" t="n">
        <v>24</v>
      </c>
      <c r="B1199" s="35">
        <f>IF(Setup!$B$28="","",Setup!$B$28)</f>
        <v/>
      </c>
      <c r="C1199" s="98" t="n"/>
      <c r="D1199" s="99" t="n"/>
      <c r="E1199" s="99" t="n"/>
      <c r="F1199" s="100" t="n"/>
      <c r="G1199" s="98" t="n"/>
      <c r="H1199" s="99" t="n"/>
      <c r="I1199" s="99" t="n"/>
      <c r="J1199" s="100" t="n"/>
      <c r="K1199" s="98" t="n"/>
      <c r="L1199" s="99" t="n"/>
      <c r="M1199" s="99" t="n"/>
      <c r="N1199" s="100" t="n"/>
      <c r="O1199" s="98" t="n"/>
      <c r="P1199" s="99" t="n"/>
      <c r="Q1199" s="99" t="n"/>
      <c r="R1199" s="100" t="n"/>
      <c r="S1199" s="98" t="n"/>
      <c r="T1199" s="99" t="n"/>
      <c r="U1199" s="99" t="n"/>
      <c r="V1199" s="100" t="n"/>
      <c r="W1199" s="98" t="n"/>
      <c r="X1199" s="100" t="n"/>
      <c r="Y1199" s="98" t="n"/>
      <c r="Z1199" s="100" t="n"/>
      <c r="AB1199" s="101">
        <f>IF($B1199="","",(COUNTIF(C1158:E1175,$B1199)+COUNTIF(C1158:E1175,$B1199&amp;" ~*")&gt;0)+(COUNTIF(G1158:I1175,$B1199)+COUNTIF(G1158:I1175,$B1199&amp;" ~*")&gt;0)+(COUNTIF(K1158:M1175,$B1199)+COUNTIF(K1158:M1175,$B1199&amp;" ~*")&gt;0)+(COUNTIF(O1158:Q1175,$B1199)+COUNTIF(O1158:Q1175,$B1199&amp;" ~*")&gt;0)+(COUNTIF(S1158:U1175,$B1199)+COUNTIF(S1158:U1175,$B1199&amp;" ~*")&gt;0)+(COUNTIF(W1158:W1175,$B1199)+COUNTIF(W1158:W1175,$B1199&amp;" ~*")&gt;0)+(COUNTIF(Y1158:Y1175,$B1199)+COUNTIF(Y1158:Y1175,$B1199&amp;" ~*")&gt;0))</f>
        <v/>
      </c>
      <c r="AC1199" s="36">
        <f>IF($B1199="","",(IFERROR(INDEX(Setup!$G$33:$G$40,MATCH(C1199,Setup!$B$33:$B$40,0)),0)=1)*(COUNTIF(C1158:E1175,$B1199)+COUNTIF(C1158:E1175,$B1199&amp;" ~*")&gt;0)+(IFERROR(INDEX(Setup!$G$33:$G$40,MATCH(G1199,Setup!$B$33:$B$40,0)),0)=1)*(COUNTIF(G1158:I1175,$B1199)+COUNTIF(G1158:I1175,$B1199&amp;" ~*")&gt;0)+(IFERROR(INDEX(Setup!$G$33:$G$40,MATCH(K1199,Setup!$B$33:$B$40,0)),0)=1)*(COUNTIF(K1158:M1175,$B1199)+COUNTIF(K1158:M1175,$B1199&amp;" ~*")&gt;0)+(IFERROR(INDEX(Setup!$G$33:$G$40,MATCH(O1199,Setup!$B$33:$B$40,0)),0)=1)*(COUNTIF(O1158:Q1175,$B1199)+COUNTIF(O1158:Q1175,$B1199&amp;" ~*")&gt;0)+(IFERROR(INDEX(Setup!$G$33:$G$40,MATCH(S1199,Setup!$B$33:$B$40,0)),0)=1)*(COUNTIF(S1158:U1175,$B1199)+COUNTIF(S1158:U1175,$B1199&amp;" ~*")&gt;0)+(IFERROR(INDEX(Setup!$G$33:$G$40,MATCH(W1199,Setup!$B$33:$B$40,0)),0)=1)*(COUNTIF(W1158:W1175,$B1199)+COUNTIF(W1158:W1175,$B1199&amp;" ~*")&gt;0)+(IFERROR(INDEX(Setup!$G$33:$G$40,MATCH(Y1199,Setup!$B$33:$B$40,0)),0)=1)*(COUNTIF(Y1158:Y1175,$B1199)+COUNTIF(Y1158:Y1175,$B1199&amp;" ~*")&gt;0))</f>
        <v/>
      </c>
    </row>
    <row r="1200" ht="15" customHeight="1">
      <c r="A1200" t="n">
        <v>24</v>
      </c>
      <c r="B1200" s="37">
        <f>IF(Setup!$B$29="","",Setup!$B$29)</f>
        <v/>
      </c>
      <c r="C1200" s="102" t="n"/>
      <c r="D1200" s="103" t="n"/>
      <c r="E1200" s="103" t="n"/>
      <c r="F1200" s="104" t="n"/>
      <c r="G1200" s="102" t="n"/>
      <c r="H1200" s="103" t="n"/>
      <c r="I1200" s="103" t="n"/>
      <c r="J1200" s="104" t="n"/>
      <c r="K1200" s="102" t="n"/>
      <c r="L1200" s="103" t="n"/>
      <c r="M1200" s="103" t="n"/>
      <c r="N1200" s="104" t="n"/>
      <c r="O1200" s="102" t="n"/>
      <c r="P1200" s="103" t="n"/>
      <c r="Q1200" s="103" t="n"/>
      <c r="R1200" s="104" t="n"/>
      <c r="S1200" s="102" t="n"/>
      <c r="T1200" s="103" t="n"/>
      <c r="U1200" s="103" t="n"/>
      <c r="V1200" s="104" t="n"/>
      <c r="W1200" s="102" t="n"/>
      <c r="X1200" s="104" t="n"/>
      <c r="Y1200" s="102" t="n"/>
      <c r="Z1200" s="104" t="n"/>
      <c r="AB1200" s="105">
        <f>IF($B1200="","",(COUNTIF(C1158:E1175,$B1200)+COUNTIF(C1158:E1175,$B1200&amp;" ~*")&gt;0)+(COUNTIF(G1158:I1175,$B1200)+COUNTIF(G1158:I1175,$B1200&amp;" ~*")&gt;0)+(COUNTIF(K1158:M1175,$B1200)+COUNTIF(K1158:M1175,$B1200&amp;" ~*")&gt;0)+(COUNTIF(O1158:Q1175,$B1200)+COUNTIF(O1158:Q1175,$B1200&amp;" ~*")&gt;0)+(COUNTIF(S1158:U1175,$B1200)+COUNTIF(S1158:U1175,$B1200&amp;" ~*")&gt;0)+(COUNTIF(W1158:W1175,$B1200)+COUNTIF(W1158:W1175,$B1200&amp;" ~*")&gt;0)+(COUNTIF(Y1158:Y1175,$B1200)+COUNTIF(Y1158:Y1175,$B1200&amp;" ~*")&gt;0))</f>
        <v/>
      </c>
      <c r="AC1200" s="38">
        <f>IF($B1200="","",(IFERROR(INDEX(Setup!$G$33:$G$40,MATCH(C1200,Setup!$B$33:$B$40,0)),0)=1)*(COUNTIF(C1158:E1175,$B1200)+COUNTIF(C1158:E1175,$B1200&amp;" ~*")&gt;0)+(IFERROR(INDEX(Setup!$G$33:$G$40,MATCH(G1200,Setup!$B$33:$B$40,0)),0)=1)*(COUNTIF(G1158:I1175,$B1200)+COUNTIF(G1158:I1175,$B1200&amp;" ~*")&gt;0)+(IFERROR(INDEX(Setup!$G$33:$G$40,MATCH(K1200,Setup!$B$33:$B$40,0)),0)=1)*(COUNTIF(K1158:M1175,$B1200)+COUNTIF(K1158:M1175,$B1200&amp;" ~*")&gt;0)+(IFERROR(INDEX(Setup!$G$33:$G$40,MATCH(O1200,Setup!$B$33:$B$40,0)),0)=1)*(COUNTIF(O1158:Q1175,$B1200)+COUNTIF(O1158:Q1175,$B1200&amp;" ~*")&gt;0)+(IFERROR(INDEX(Setup!$G$33:$G$40,MATCH(S1200,Setup!$B$33:$B$40,0)),0)=1)*(COUNTIF(S1158:U1175,$B1200)+COUNTIF(S1158:U1175,$B1200&amp;" ~*")&gt;0)+(IFERROR(INDEX(Setup!$G$33:$G$40,MATCH(W1200,Setup!$B$33:$B$40,0)),0)=1)*(COUNTIF(W1158:W1175,$B1200)+COUNTIF(W1158:W1175,$B1200&amp;" ~*")&gt;0)+(IFERROR(INDEX(Setup!$G$33:$G$40,MATCH(Y1200,Setup!$B$33:$B$40,0)),0)=1)*(COUNTIF(Y1158:Y1175,$B1200)+COUNTIF(Y1158:Y1175,$B1200&amp;" ~*")&gt;0))</f>
        <v/>
      </c>
    </row>
    <row r="1201" ht="16" customHeight="1">
      <c r="A1201" t="n">
        <v>24</v>
      </c>
      <c r="B1201" s="106" t="inlineStr">
        <is>
          <t>Available people</t>
        </is>
      </c>
      <c r="C1201" s="107">
        <f>COUNTIFS(Setup!$E$6:$E$29,"Y",Setup!$B$6:$B$29,"?*")-SUMPRODUCT(COUNTIF(C1177:C1200,Setup!$F$33:$F$40))</f>
        <v/>
      </c>
      <c r="D1201" s="107" t="n"/>
      <c r="E1201" s="107" t="n"/>
      <c r="F1201" s="107" t="n"/>
      <c r="G1201" s="107">
        <f>COUNTIFS(Setup!$E$6:$E$29,"Y",Setup!$B$6:$B$29,"?*")-SUMPRODUCT(COUNTIF(G1177:G1200,Setup!$F$33:$F$40))</f>
        <v/>
      </c>
      <c r="H1201" s="107" t="n"/>
      <c r="I1201" s="107" t="n"/>
      <c r="J1201" s="107" t="n"/>
      <c r="K1201" s="107">
        <f>COUNTIFS(Setup!$E$6:$E$29,"Y",Setup!$B$6:$B$29,"?*")-SUMPRODUCT(COUNTIF(K1177:K1200,Setup!$F$33:$F$40))</f>
        <v/>
      </c>
      <c r="L1201" s="107" t="n"/>
      <c r="M1201" s="107" t="n"/>
      <c r="N1201" s="107" t="n"/>
      <c r="O1201" s="107">
        <f>COUNTIFS(Setup!$E$6:$E$29,"Y",Setup!$B$6:$B$29,"?*")-SUMPRODUCT(COUNTIF(O1177:O1200,Setup!$F$33:$F$40))</f>
        <v/>
      </c>
      <c r="P1201" s="107" t="n"/>
      <c r="Q1201" s="107" t="n"/>
      <c r="R1201" s="107" t="n"/>
      <c r="S1201" s="107">
        <f>COUNTIFS(Setup!$E$6:$E$29,"Y",Setup!$B$6:$B$29,"?*")-SUMPRODUCT(COUNTIF(S1177:S1200,Setup!$F$33:$F$40))</f>
        <v/>
      </c>
      <c r="T1201" s="107" t="n"/>
      <c r="U1201" s="107" t="n"/>
      <c r="V1201" s="107" t="n"/>
      <c r="W1201" s="107">
        <f>COUNTIFS(Setup!$E$6:$E$29,"Y",Setup!$B$6:$B$29,"?*")-SUMPRODUCT(COUNTIF(W1177:W1200,Setup!$F$33:$F$40))</f>
        <v/>
      </c>
      <c r="X1201" s="107" t="n"/>
      <c r="Y1201" s="107">
        <f>COUNTIFS(Setup!$E$6:$E$29,"Y",Setup!$B$6:$B$29,"?*")-SUMPRODUCT(COUNTIF(Y1177:Y1200,Setup!$F$33:$F$40))</f>
        <v/>
      </c>
      <c r="Z1201" s="107" t="n"/>
      <c r="AB1201" s="108">
        <f>SUM(AB1177:AB1200)</f>
        <v/>
      </c>
      <c r="AC1201" s="109">
        <f>SUM(AC1177:AC1200)</f>
        <v/>
      </c>
    </row>
    <row r="1202" ht="30" customHeight="1">
      <c r="A1202" t="n">
        <v>24</v>
      </c>
      <c r="B1202" s="110" t="inlineStr">
        <is>
          <t>Week notes</t>
        </is>
      </c>
      <c r="C1202" s="111" t="n"/>
      <c r="D1202" s="112" t="n"/>
      <c r="E1202" s="112" t="n"/>
      <c r="F1202" s="112" t="n"/>
      <c r="G1202" s="112" t="n"/>
      <c r="H1202" s="112" t="n"/>
      <c r="I1202" s="112" t="n"/>
      <c r="J1202" s="112" t="n"/>
      <c r="K1202" s="112" t="n"/>
      <c r="L1202" s="112" t="n"/>
      <c r="M1202" s="112" t="n"/>
      <c r="N1202" s="112" t="n"/>
      <c r="O1202" s="112" t="n"/>
      <c r="P1202" s="112" t="n"/>
      <c r="Q1202" s="112" t="n"/>
      <c r="R1202" s="112" t="n"/>
      <c r="S1202" s="112" t="n"/>
      <c r="T1202" s="112" t="n"/>
      <c r="U1202" s="112" t="n"/>
      <c r="V1202" s="112" t="n"/>
      <c r="W1202" s="112" t="n"/>
      <c r="X1202" s="112" t="n"/>
      <c r="Y1202" s="112" t="n"/>
      <c r="Z1202" s="113" t="n"/>
    </row>
    <row r="1203" ht="8" customHeight="1">
      <c r="A1203" t="n">
        <v>24</v>
      </c>
    </row>
    <row r="1204" ht="8" customHeight="1">
      <c r="A1204" t="n">
        <v>24</v>
      </c>
    </row>
    <row r="1205" ht="24" customHeight="1">
      <c r="A1205" t="n">
        <v>25</v>
      </c>
      <c r="B1205" s="73">
        <f>"WEEK 25     "&amp;TEXT(C1206,"ddd d mmm")&amp;"  –  "&amp;TEXT(C1206+6,"ddd d mmm yyyy")</f>
        <v/>
      </c>
      <c r="S1205" s="74">
        <f>IF(TODAY()&lt;C1206,"FUTURE",IF(TODAY()&gt;C1206+6,"PAST","THIS WEEK"))</f>
        <v/>
      </c>
      <c r="W1205" s="75">
        <f>IF(AND(Engine!$B$8=$AC$3,Engine!$B$9=$A1205),"◀ ACTIVE WEEK","")</f>
        <v/>
      </c>
      <c r="AA1205" s="76" t="n"/>
      <c r="AB1205" s="77" t="inlineStr">
        <is>
          <t>◀ Prev</t>
        </is>
      </c>
      <c r="AC1205" s="77" t="inlineStr">
        <is>
          <t>Next ▶</t>
        </is>
      </c>
    </row>
    <row r="1206" ht="18" customHeight="1">
      <c r="A1206" t="n">
        <v>25</v>
      </c>
      <c r="B1206" s="78" t="inlineStr">
        <is>
          <t>DUTY</t>
        </is>
      </c>
      <c r="C1206" s="79">
        <f>$AC$2+7*($A1206-1)</f>
        <v/>
      </c>
      <c r="D1206" s="80" t="n"/>
      <c r="E1206" s="80" t="n"/>
      <c r="F1206" s="81" t="n"/>
      <c r="G1206" s="79">
        <f>C1206+1</f>
        <v/>
      </c>
      <c r="H1206" s="80" t="n"/>
      <c r="I1206" s="80" t="n"/>
      <c r="J1206" s="81" t="n"/>
      <c r="K1206" s="79">
        <f>C1206+2</f>
        <v/>
      </c>
      <c r="L1206" s="80" t="n"/>
      <c r="M1206" s="80" t="n"/>
      <c r="N1206" s="81" t="n"/>
      <c r="O1206" s="79">
        <f>C1206+3</f>
        <v/>
      </c>
      <c r="P1206" s="80" t="n"/>
      <c r="Q1206" s="80" t="n"/>
      <c r="R1206" s="81" t="n"/>
      <c r="S1206" s="79">
        <f>C1206+4</f>
        <v/>
      </c>
      <c r="T1206" s="80" t="n"/>
      <c r="U1206" s="80" t="n"/>
      <c r="V1206" s="81" t="n"/>
      <c r="W1206" s="82">
        <f>C1206+5</f>
        <v/>
      </c>
      <c r="X1206" s="83" t="n"/>
      <c r="Y1206" s="82">
        <f>C1206+6</f>
        <v/>
      </c>
      <c r="Z1206" s="83" t="n"/>
      <c r="AB1206" s="72" t="inlineStr">
        <is>
          <t>Gaps</t>
        </is>
      </c>
      <c r="AC1206" s="72" t="inlineStr">
        <is>
          <t>Cover</t>
        </is>
      </c>
    </row>
    <row r="1207" ht="14" customHeight="1">
      <c r="A1207" t="n">
        <v>25</v>
      </c>
      <c r="B1207" s="84" t="inlineStr">
        <is>
          <t>(from Setup)</t>
        </is>
      </c>
      <c r="C1207" s="85" t="inlineStr">
        <is>
          <t>1</t>
        </is>
      </c>
      <c r="D1207" s="85" t="inlineStr">
        <is>
          <t>2</t>
        </is>
      </c>
      <c r="E1207" s="85" t="inlineStr">
        <is>
          <t>3</t>
        </is>
      </c>
      <c r="F1207" s="85" t="inlineStr">
        <is>
          <t>Notes</t>
        </is>
      </c>
      <c r="G1207" s="85" t="inlineStr">
        <is>
          <t>1</t>
        </is>
      </c>
      <c r="H1207" s="85" t="inlineStr">
        <is>
          <t>2</t>
        </is>
      </c>
      <c r="I1207" s="85" t="inlineStr">
        <is>
          <t>3</t>
        </is>
      </c>
      <c r="J1207" s="85" t="inlineStr">
        <is>
          <t>Notes</t>
        </is>
      </c>
      <c r="K1207" s="85" t="inlineStr">
        <is>
          <t>1</t>
        </is>
      </c>
      <c r="L1207" s="85" t="inlineStr">
        <is>
          <t>2</t>
        </is>
      </c>
      <c r="M1207" s="85" t="inlineStr">
        <is>
          <t>3</t>
        </is>
      </c>
      <c r="N1207" s="85" t="inlineStr">
        <is>
          <t>Notes</t>
        </is>
      </c>
      <c r="O1207" s="85" t="inlineStr">
        <is>
          <t>1</t>
        </is>
      </c>
      <c r="P1207" s="85" t="inlineStr">
        <is>
          <t>2</t>
        </is>
      </c>
      <c r="Q1207" s="85" t="inlineStr">
        <is>
          <t>3</t>
        </is>
      </c>
      <c r="R1207" s="85" t="inlineStr">
        <is>
          <t>Notes</t>
        </is>
      </c>
      <c r="S1207" s="85" t="inlineStr">
        <is>
          <t>1</t>
        </is>
      </c>
      <c r="T1207" s="85" t="inlineStr">
        <is>
          <t>2</t>
        </is>
      </c>
      <c r="U1207" s="85" t="inlineStr">
        <is>
          <t>3</t>
        </is>
      </c>
      <c r="V1207" s="85" t="inlineStr">
        <is>
          <t>Notes</t>
        </is>
      </c>
      <c r="W1207" s="85" t="inlineStr">
        <is>
          <t>Cover</t>
        </is>
      </c>
      <c r="X1207" s="85" t="inlineStr">
        <is>
          <t>Notes</t>
        </is>
      </c>
      <c r="Y1207" s="85" t="inlineStr">
        <is>
          <t>Cover</t>
        </is>
      </c>
      <c r="Z1207" s="85" t="inlineStr">
        <is>
          <t>Notes</t>
        </is>
      </c>
      <c r="AB1207" s="86" t="inlineStr">
        <is>
          <t>weekdays short</t>
        </is>
      </c>
      <c r="AC1207" s="87" t="inlineStr"/>
    </row>
    <row r="1208" ht="17" customHeight="1">
      <c r="A1208" t="n">
        <v>25</v>
      </c>
      <c r="B1208" s="24">
        <f>IF(Setup!$K$6="","",Setup!$K$6)</f>
        <v/>
      </c>
      <c r="C1208" s="88" t="n"/>
      <c r="D1208" s="88" t="n"/>
      <c r="E1208" s="88" t="n"/>
      <c r="F1208" s="89" t="n"/>
      <c r="G1208" s="88" t="n"/>
      <c r="H1208" s="88" t="n"/>
      <c r="I1208" s="88" t="n"/>
      <c r="J1208" s="89" t="n"/>
      <c r="K1208" s="88" t="n"/>
      <c r="L1208" s="88" t="n"/>
      <c r="M1208" s="88" t="n"/>
      <c r="N1208" s="89" t="n"/>
      <c r="O1208" s="88" t="n"/>
      <c r="P1208" s="88" t="n"/>
      <c r="Q1208" s="88" t="n"/>
      <c r="R1208" s="89" t="n"/>
      <c r="S1208" s="88" t="n"/>
      <c r="T1208" s="88" t="n"/>
      <c r="U1208" s="88" t="n"/>
      <c r="V1208" s="89" t="n"/>
      <c r="W1208" s="88" t="n"/>
      <c r="X1208" s="89" t="n"/>
      <c r="Y1208" s="88" t="n"/>
      <c r="Z1208" s="89" t="n"/>
      <c r="AB1208" s="25">
        <f>IF($B1208="","",(COUNTIF(C1208:E1208,"?*")&lt;N(INDEX(Setup!$L$6:$L$23,1)))+(COUNTIF(G1208:I1208,"?*")&lt;N(INDEX(Setup!$L$6:$L$23,1)))+(COUNTIF(K1208:M1208,"?*")&lt;N(INDEX(Setup!$L$6:$L$23,1)))+(COUNTIF(O1208:Q1208,"?*")&lt;N(INDEX(Setup!$L$6:$L$23,1)))+(COUNTIF(S1208:U1208,"?*")&lt;N(INDEX(Setup!$L$6:$L$23,1)))+((W1208="")*(INDEX(Setup!$M$6:$M$23,1)="Y"))+((Y1208="")*(INDEX(Setup!$M$6:$M$23,1)="Y")))</f>
        <v/>
      </c>
      <c r="AC1208" s="90">
        <f>IF($B1208="","",IF(AB1208=0,"✓ covered","⚠ "&amp;AB1208&amp;IF(AB1208=1," gap"," gaps")))</f>
        <v/>
      </c>
    </row>
    <row r="1209" ht="17" customHeight="1">
      <c r="A1209" t="n">
        <v>25</v>
      </c>
      <c r="B1209" s="29">
        <f>IF(Setup!$K$7="","",Setup!$K$7)</f>
        <v/>
      </c>
      <c r="C1209" s="88" t="n"/>
      <c r="D1209" s="88" t="n"/>
      <c r="E1209" s="88" t="n"/>
      <c r="F1209" s="89" t="n"/>
      <c r="G1209" s="88" t="n"/>
      <c r="H1209" s="88" t="n"/>
      <c r="I1209" s="88" t="n"/>
      <c r="J1209" s="89" t="n"/>
      <c r="K1209" s="88" t="n"/>
      <c r="L1209" s="88" t="n"/>
      <c r="M1209" s="88" t="n"/>
      <c r="N1209" s="89" t="n"/>
      <c r="O1209" s="88" t="n"/>
      <c r="P1209" s="88" t="n"/>
      <c r="Q1209" s="88" t="n"/>
      <c r="R1209" s="89" t="n"/>
      <c r="S1209" s="88" t="n"/>
      <c r="T1209" s="88" t="n"/>
      <c r="U1209" s="88" t="n"/>
      <c r="V1209" s="89" t="n"/>
      <c r="W1209" s="88" t="n"/>
      <c r="X1209" s="89" t="n"/>
      <c r="Y1209" s="88" t="n"/>
      <c r="Z1209" s="89" t="n"/>
      <c r="AB1209" s="30">
        <f>IF($B1209="","",(COUNTIF(C1209:E1209,"?*")&lt;N(INDEX(Setup!$L$6:$L$23,2)))+(COUNTIF(G1209:I1209,"?*")&lt;N(INDEX(Setup!$L$6:$L$23,2)))+(COUNTIF(K1209:M1209,"?*")&lt;N(INDEX(Setup!$L$6:$L$23,2)))+(COUNTIF(O1209:Q1209,"?*")&lt;N(INDEX(Setup!$L$6:$L$23,2)))+(COUNTIF(S1209:U1209,"?*")&lt;N(INDEX(Setup!$L$6:$L$23,2)))+((W1209="")*(INDEX(Setup!$M$6:$M$23,2)="Y"))+((Y1209="")*(INDEX(Setup!$M$6:$M$23,2)="Y")))</f>
        <v/>
      </c>
      <c r="AC1209" s="91">
        <f>IF($B1209="","",IF(AB1209=0,"✓ covered","⚠ "&amp;AB1209&amp;IF(AB1209=1," gap"," gaps")))</f>
        <v/>
      </c>
    </row>
    <row r="1210" ht="17" customHeight="1">
      <c r="A1210" t="n">
        <v>25</v>
      </c>
      <c r="B1210" s="24">
        <f>IF(Setup!$K$8="","",Setup!$K$8)</f>
        <v/>
      </c>
      <c r="C1210" s="88" t="n"/>
      <c r="D1210" s="88" t="n"/>
      <c r="E1210" s="88" t="n"/>
      <c r="F1210" s="89" t="n"/>
      <c r="G1210" s="88" t="n"/>
      <c r="H1210" s="88" t="n"/>
      <c r="I1210" s="88" t="n"/>
      <c r="J1210" s="89" t="n"/>
      <c r="K1210" s="88" t="n"/>
      <c r="L1210" s="88" t="n"/>
      <c r="M1210" s="88" t="n"/>
      <c r="N1210" s="89" t="n"/>
      <c r="O1210" s="88" t="n"/>
      <c r="P1210" s="88" t="n"/>
      <c r="Q1210" s="88" t="n"/>
      <c r="R1210" s="89" t="n"/>
      <c r="S1210" s="88" t="n"/>
      <c r="T1210" s="88" t="n"/>
      <c r="U1210" s="88" t="n"/>
      <c r="V1210" s="89" t="n"/>
      <c r="W1210" s="88" t="n"/>
      <c r="X1210" s="89" t="n"/>
      <c r="Y1210" s="88" t="n"/>
      <c r="Z1210" s="89" t="n"/>
      <c r="AB1210" s="25">
        <f>IF($B1210="","",(COUNTIF(C1210:E1210,"?*")&lt;N(INDEX(Setup!$L$6:$L$23,3)))+(COUNTIF(G1210:I1210,"?*")&lt;N(INDEX(Setup!$L$6:$L$23,3)))+(COUNTIF(K1210:M1210,"?*")&lt;N(INDEX(Setup!$L$6:$L$23,3)))+(COUNTIF(O1210:Q1210,"?*")&lt;N(INDEX(Setup!$L$6:$L$23,3)))+(COUNTIF(S1210:U1210,"?*")&lt;N(INDEX(Setup!$L$6:$L$23,3)))+((W1210="")*(INDEX(Setup!$M$6:$M$23,3)="Y"))+((Y1210="")*(INDEX(Setup!$M$6:$M$23,3)="Y")))</f>
        <v/>
      </c>
      <c r="AC1210" s="90">
        <f>IF($B1210="","",IF(AB1210=0,"✓ covered","⚠ "&amp;AB1210&amp;IF(AB1210=1," gap"," gaps")))</f>
        <v/>
      </c>
    </row>
    <row r="1211" ht="17" customHeight="1">
      <c r="A1211" t="n">
        <v>25</v>
      </c>
      <c r="B1211" s="29">
        <f>IF(Setup!$K$9="","",Setup!$K$9)</f>
        <v/>
      </c>
      <c r="C1211" s="88" t="n"/>
      <c r="D1211" s="88" t="n"/>
      <c r="E1211" s="88" t="n"/>
      <c r="F1211" s="89" t="n"/>
      <c r="G1211" s="88" t="n"/>
      <c r="H1211" s="88" t="n"/>
      <c r="I1211" s="88" t="n"/>
      <c r="J1211" s="89" t="n"/>
      <c r="K1211" s="88" t="n"/>
      <c r="L1211" s="88" t="n"/>
      <c r="M1211" s="88" t="n"/>
      <c r="N1211" s="89" t="n"/>
      <c r="O1211" s="88" t="n"/>
      <c r="P1211" s="88" t="n"/>
      <c r="Q1211" s="88" t="n"/>
      <c r="R1211" s="89" t="n"/>
      <c r="S1211" s="88" t="n"/>
      <c r="T1211" s="88" t="n"/>
      <c r="U1211" s="88" t="n"/>
      <c r="V1211" s="89" t="n"/>
      <c r="W1211" s="88" t="n"/>
      <c r="X1211" s="89" t="n"/>
      <c r="Y1211" s="88" t="n"/>
      <c r="Z1211" s="89" t="n"/>
      <c r="AB1211" s="30">
        <f>IF($B1211="","",(COUNTIF(C1211:E1211,"?*")&lt;N(INDEX(Setup!$L$6:$L$23,4)))+(COUNTIF(G1211:I1211,"?*")&lt;N(INDEX(Setup!$L$6:$L$23,4)))+(COUNTIF(K1211:M1211,"?*")&lt;N(INDEX(Setup!$L$6:$L$23,4)))+(COUNTIF(O1211:Q1211,"?*")&lt;N(INDEX(Setup!$L$6:$L$23,4)))+(COUNTIF(S1211:U1211,"?*")&lt;N(INDEX(Setup!$L$6:$L$23,4)))+((W1211="")*(INDEX(Setup!$M$6:$M$23,4)="Y"))+((Y1211="")*(INDEX(Setup!$M$6:$M$23,4)="Y")))</f>
        <v/>
      </c>
      <c r="AC1211" s="91">
        <f>IF($B1211="","",IF(AB1211=0,"✓ covered","⚠ "&amp;AB1211&amp;IF(AB1211=1," gap"," gaps")))</f>
        <v/>
      </c>
    </row>
    <row r="1212" ht="17" customHeight="1">
      <c r="A1212" t="n">
        <v>25</v>
      </c>
      <c r="B1212" s="24">
        <f>IF(Setup!$K$10="","",Setup!$K$10)</f>
        <v/>
      </c>
      <c r="C1212" s="88" t="n"/>
      <c r="D1212" s="88" t="n"/>
      <c r="E1212" s="88" t="n"/>
      <c r="F1212" s="89" t="n"/>
      <c r="G1212" s="88" t="n"/>
      <c r="H1212" s="88" t="n"/>
      <c r="I1212" s="88" t="n"/>
      <c r="J1212" s="89" t="n"/>
      <c r="K1212" s="88" t="n"/>
      <c r="L1212" s="88" t="n"/>
      <c r="M1212" s="88" t="n"/>
      <c r="N1212" s="89" t="n"/>
      <c r="O1212" s="88" t="n"/>
      <c r="P1212" s="88" t="n"/>
      <c r="Q1212" s="88" t="n"/>
      <c r="R1212" s="89" t="n"/>
      <c r="S1212" s="88" t="n"/>
      <c r="T1212" s="88" t="n"/>
      <c r="U1212" s="88" t="n"/>
      <c r="V1212" s="89" t="n"/>
      <c r="W1212" s="88" t="n"/>
      <c r="X1212" s="89" t="n"/>
      <c r="Y1212" s="88" t="n"/>
      <c r="Z1212" s="89" t="n"/>
      <c r="AB1212" s="25">
        <f>IF($B1212="","",(COUNTIF(C1212:E1212,"?*")&lt;N(INDEX(Setup!$L$6:$L$23,5)))+(COUNTIF(G1212:I1212,"?*")&lt;N(INDEX(Setup!$L$6:$L$23,5)))+(COUNTIF(K1212:M1212,"?*")&lt;N(INDEX(Setup!$L$6:$L$23,5)))+(COUNTIF(O1212:Q1212,"?*")&lt;N(INDEX(Setup!$L$6:$L$23,5)))+(COUNTIF(S1212:U1212,"?*")&lt;N(INDEX(Setup!$L$6:$L$23,5)))+((W1212="")*(INDEX(Setup!$M$6:$M$23,5)="Y"))+((Y1212="")*(INDEX(Setup!$M$6:$M$23,5)="Y")))</f>
        <v/>
      </c>
      <c r="AC1212" s="90">
        <f>IF($B1212="","",IF(AB1212=0,"✓ covered","⚠ "&amp;AB1212&amp;IF(AB1212=1," gap"," gaps")))</f>
        <v/>
      </c>
    </row>
    <row r="1213" ht="17" customHeight="1">
      <c r="A1213" t="n">
        <v>25</v>
      </c>
      <c r="B1213" s="29">
        <f>IF(Setup!$K$11="","",Setup!$K$11)</f>
        <v/>
      </c>
      <c r="C1213" s="88" t="n"/>
      <c r="D1213" s="88" t="n"/>
      <c r="E1213" s="88" t="n"/>
      <c r="F1213" s="89" t="n"/>
      <c r="G1213" s="88" t="n"/>
      <c r="H1213" s="88" t="n"/>
      <c r="I1213" s="88" t="n"/>
      <c r="J1213" s="89" t="n"/>
      <c r="K1213" s="88" t="n"/>
      <c r="L1213" s="88" t="n"/>
      <c r="M1213" s="88" t="n"/>
      <c r="N1213" s="89" t="n"/>
      <c r="O1213" s="88" t="n"/>
      <c r="P1213" s="88" t="n"/>
      <c r="Q1213" s="88" t="n"/>
      <c r="R1213" s="89" t="n"/>
      <c r="S1213" s="88" t="n"/>
      <c r="T1213" s="88" t="n"/>
      <c r="U1213" s="88" t="n"/>
      <c r="V1213" s="89" t="n"/>
      <c r="W1213" s="88" t="n"/>
      <c r="X1213" s="89" t="n"/>
      <c r="Y1213" s="88" t="n"/>
      <c r="Z1213" s="89" t="n"/>
      <c r="AB1213" s="30">
        <f>IF($B1213="","",(COUNTIF(C1213:E1213,"?*")&lt;N(INDEX(Setup!$L$6:$L$23,6)))+(COUNTIF(G1213:I1213,"?*")&lt;N(INDEX(Setup!$L$6:$L$23,6)))+(COUNTIF(K1213:M1213,"?*")&lt;N(INDEX(Setup!$L$6:$L$23,6)))+(COUNTIF(O1213:Q1213,"?*")&lt;N(INDEX(Setup!$L$6:$L$23,6)))+(COUNTIF(S1213:U1213,"?*")&lt;N(INDEX(Setup!$L$6:$L$23,6)))+((W1213="")*(INDEX(Setup!$M$6:$M$23,6)="Y"))+((Y1213="")*(INDEX(Setup!$M$6:$M$23,6)="Y")))</f>
        <v/>
      </c>
      <c r="AC1213" s="91">
        <f>IF($B1213="","",IF(AB1213=0,"✓ covered","⚠ "&amp;AB1213&amp;IF(AB1213=1," gap"," gaps")))</f>
        <v/>
      </c>
    </row>
    <row r="1214" ht="17" customHeight="1">
      <c r="A1214" t="n">
        <v>25</v>
      </c>
      <c r="B1214" s="24">
        <f>IF(Setup!$K$12="","",Setup!$K$12)</f>
        <v/>
      </c>
      <c r="C1214" s="88" t="n"/>
      <c r="D1214" s="88" t="n"/>
      <c r="E1214" s="88" t="n"/>
      <c r="F1214" s="89" t="n"/>
      <c r="G1214" s="88" t="n"/>
      <c r="H1214" s="88" t="n"/>
      <c r="I1214" s="88" t="n"/>
      <c r="J1214" s="89" t="n"/>
      <c r="K1214" s="88" t="n"/>
      <c r="L1214" s="88" t="n"/>
      <c r="M1214" s="88" t="n"/>
      <c r="N1214" s="89" t="n"/>
      <c r="O1214" s="88" t="n"/>
      <c r="P1214" s="88" t="n"/>
      <c r="Q1214" s="88" t="n"/>
      <c r="R1214" s="89" t="n"/>
      <c r="S1214" s="88" t="n"/>
      <c r="T1214" s="88" t="n"/>
      <c r="U1214" s="88" t="n"/>
      <c r="V1214" s="89" t="n"/>
      <c r="W1214" s="88" t="n"/>
      <c r="X1214" s="89" t="n"/>
      <c r="Y1214" s="88" t="n"/>
      <c r="Z1214" s="89" t="n"/>
      <c r="AB1214" s="25">
        <f>IF($B1214="","",(COUNTIF(C1214:E1214,"?*")&lt;N(INDEX(Setup!$L$6:$L$23,7)))+(COUNTIF(G1214:I1214,"?*")&lt;N(INDEX(Setup!$L$6:$L$23,7)))+(COUNTIF(K1214:M1214,"?*")&lt;N(INDEX(Setup!$L$6:$L$23,7)))+(COUNTIF(O1214:Q1214,"?*")&lt;N(INDEX(Setup!$L$6:$L$23,7)))+(COUNTIF(S1214:U1214,"?*")&lt;N(INDEX(Setup!$L$6:$L$23,7)))+((W1214="")*(INDEX(Setup!$M$6:$M$23,7)="Y"))+((Y1214="")*(INDEX(Setup!$M$6:$M$23,7)="Y")))</f>
        <v/>
      </c>
      <c r="AC1214" s="90">
        <f>IF($B1214="","",IF(AB1214=0,"✓ covered","⚠ "&amp;AB1214&amp;IF(AB1214=1," gap"," gaps")))</f>
        <v/>
      </c>
    </row>
    <row r="1215" ht="17" customHeight="1">
      <c r="A1215" t="n">
        <v>25</v>
      </c>
      <c r="B1215" s="29">
        <f>IF(Setup!$K$13="","",Setup!$K$13)</f>
        <v/>
      </c>
      <c r="C1215" s="88" t="n"/>
      <c r="D1215" s="88" t="n"/>
      <c r="E1215" s="88" t="n"/>
      <c r="F1215" s="89" t="n"/>
      <c r="G1215" s="88" t="n"/>
      <c r="H1215" s="88" t="n"/>
      <c r="I1215" s="88" t="n"/>
      <c r="J1215" s="89" t="n"/>
      <c r="K1215" s="88" t="n"/>
      <c r="L1215" s="88" t="n"/>
      <c r="M1215" s="88" t="n"/>
      <c r="N1215" s="89" t="n"/>
      <c r="O1215" s="88" t="n"/>
      <c r="P1215" s="88" t="n"/>
      <c r="Q1215" s="88" t="n"/>
      <c r="R1215" s="89" t="n"/>
      <c r="S1215" s="88" t="n"/>
      <c r="T1215" s="88" t="n"/>
      <c r="U1215" s="88" t="n"/>
      <c r="V1215" s="89" t="n"/>
      <c r="W1215" s="88" t="n"/>
      <c r="X1215" s="89" t="n"/>
      <c r="Y1215" s="88" t="n"/>
      <c r="Z1215" s="89" t="n"/>
      <c r="AB1215" s="30">
        <f>IF($B1215="","",(COUNTIF(C1215:E1215,"?*")&lt;N(INDEX(Setup!$L$6:$L$23,8)))+(COUNTIF(G1215:I1215,"?*")&lt;N(INDEX(Setup!$L$6:$L$23,8)))+(COUNTIF(K1215:M1215,"?*")&lt;N(INDEX(Setup!$L$6:$L$23,8)))+(COUNTIF(O1215:Q1215,"?*")&lt;N(INDEX(Setup!$L$6:$L$23,8)))+(COUNTIF(S1215:U1215,"?*")&lt;N(INDEX(Setup!$L$6:$L$23,8)))+((W1215="")*(INDEX(Setup!$M$6:$M$23,8)="Y"))+((Y1215="")*(INDEX(Setup!$M$6:$M$23,8)="Y")))</f>
        <v/>
      </c>
      <c r="AC1215" s="91">
        <f>IF($B1215="","",IF(AB1215=0,"✓ covered","⚠ "&amp;AB1215&amp;IF(AB1215=1," gap"," gaps")))</f>
        <v/>
      </c>
    </row>
    <row r="1216" ht="17" customHeight="1">
      <c r="A1216" t="n">
        <v>25</v>
      </c>
      <c r="B1216" s="24">
        <f>IF(Setup!$K$14="","",Setup!$K$14)</f>
        <v/>
      </c>
      <c r="C1216" s="88" t="n"/>
      <c r="D1216" s="88" t="n"/>
      <c r="E1216" s="88" t="n"/>
      <c r="F1216" s="89" t="n"/>
      <c r="G1216" s="88" t="n"/>
      <c r="H1216" s="88" t="n"/>
      <c r="I1216" s="88" t="n"/>
      <c r="J1216" s="89" t="n"/>
      <c r="K1216" s="88" t="n"/>
      <c r="L1216" s="88" t="n"/>
      <c r="M1216" s="88" t="n"/>
      <c r="N1216" s="89" t="n"/>
      <c r="O1216" s="88" t="n"/>
      <c r="P1216" s="88" t="n"/>
      <c r="Q1216" s="88" t="n"/>
      <c r="R1216" s="89" t="n"/>
      <c r="S1216" s="88" t="n"/>
      <c r="T1216" s="88" t="n"/>
      <c r="U1216" s="88" t="n"/>
      <c r="V1216" s="89" t="n"/>
      <c r="W1216" s="88" t="n"/>
      <c r="X1216" s="89" t="n"/>
      <c r="Y1216" s="88" t="n"/>
      <c r="Z1216" s="89" t="n"/>
      <c r="AB1216" s="25">
        <f>IF($B1216="","",(COUNTIF(C1216:E1216,"?*")&lt;N(INDEX(Setup!$L$6:$L$23,9)))+(COUNTIF(G1216:I1216,"?*")&lt;N(INDEX(Setup!$L$6:$L$23,9)))+(COUNTIF(K1216:M1216,"?*")&lt;N(INDEX(Setup!$L$6:$L$23,9)))+(COUNTIF(O1216:Q1216,"?*")&lt;N(INDEX(Setup!$L$6:$L$23,9)))+(COUNTIF(S1216:U1216,"?*")&lt;N(INDEX(Setup!$L$6:$L$23,9)))+((W1216="")*(INDEX(Setup!$M$6:$M$23,9)="Y"))+((Y1216="")*(INDEX(Setup!$M$6:$M$23,9)="Y")))</f>
        <v/>
      </c>
      <c r="AC1216" s="90">
        <f>IF($B1216="","",IF(AB1216=0,"✓ covered","⚠ "&amp;AB1216&amp;IF(AB1216=1," gap"," gaps")))</f>
        <v/>
      </c>
    </row>
    <row r="1217" ht="17" customHeight="1">
      <c r="A1217" t="n">
        <v>25</v>
      </c>
      <c r="B1217" s="29">
        <f>IF(Setup!$K$15="","",Setup!$K$15)</f>
        <v/>
      </c>
      <c r="C1217" s="88" t="n"/>
      <c r="D1217" s="88" t="n"/>
      <c r="E1217" s="88" t="n"/>
      <c r="F1217" s="89" t="n"/>
      <c r="G1217" s="88" t="n"/>
      <c r="H1217" s="88" t="n"/>
      <c r="I1217" s="88" t="n"/>
      <c r="J1217" s="89" t="n"/>
      <c r="K1217" s="88" t="n"/>
      <c r="L1217" s="88" t="n"/>
      <c r="M1217" s="88" t="n"/>
      <c r="N1217" s="89" t="n"/>
      <c r="O1217" s="88" t="n"/>
      <c r="P1217" s="88" t="n"/>
      <c r="Q1217" s="88" t="n"/>
      <c r="R1217" s="89" t="n"/>
      <c r="S1217" s="88" t="n"/>
      <c r="T1217" s="88" t="n"/>
      <c r="U1217" s="88" t="n"/>
      <c r="V1217" s="89" t="n"/>
      <c r="W1217" s="88" t="n"/>
      <c r="X1217" s="89" t="n"/>
      <c r="Y1217" s="88" t="n"/>
      <c r="Z1217" s="89" t="n"/>
      <c r="AB1217" s="30">
        <f>IF($B1217="","",(COUNTIF(C1217:E1217,"?*")&lt;N(INDEX(Setup!$L$6:$L$23,10)))+(COUNTIF(G1217:I1217,"?*")&lt;N(INDEX(Setup!$L$6:$L$23,10)))+(COUNTIF(K1217:M1217,"?*")&lt;N(INDEX(Setup!$L$6:$L$23,10)))+(COUNTIF(O1217:Q1217,"?*")&lt;N(INDEX(Setup!$L$6:$L$23,10)))+(COUNTIF(S1217:U1217,"?*")&lt;N(INDEX(Setup!$L$6:$L$23,10)))+((W1217="")*(INDEX(Setup!$M$6:$M$23,10)="Y"))+((Y1217="")*(INDEX(Setup!$M$6:$M$23,10)="Y")))</f>
        <v/>
      </c>
      <c r="AC1217" s="91">
        <f>IF($B1217="","",IF(AB1217=0,"✓ covered","⚠ "&amp;AB1217&amp;IF(AB1217=1," gap"," gaps")))</f>
        <v/>
      </c>
    </row>
    <row r="1218" ht="17" customHeight="1">
      <c r="A1218" t="n">
        <v>25</v>
      </c>
      <c r="B1218" s="24">
        <f>IF(Setup!$K$16="","",Setup!$K$16)</f>
        <v/>
      </c>
      <c r="C1218" s="88" t="n"/>
      <c r="D1218" s="88" t="n"/>
      <c r="E1218" s="88" t="n"/>
      <c r="F1218" s="89" t="n"/>
      <c r="G1218" s="88" t="n"/>
      <c r="H1218" s="88" t="n"/>
      <c r="I1218" s="88" t="n"/>
      <c r="J1218" s="89" t="n"/>
      <c r="K1218" s="88" t="n"/>
      <c r="L1218" s="88" t="n"/>
      <c r="M1218" s="88" t="n"/>
      <c r="N1218" s="89" t="n"/>
      <c r="O1218" s="88" t="n"/>
      <c r="P1218" s="88" t="n"/>
      <c r="Q1218" s="88" t="n"/>
      <c r="R1218" s="89" t="n"/>
      <c r="S1218" s="88" t="n"/>
      <c r="T1218" s="88" t="n"/>
      <c r="U1218" s="88" t="n"/>
      <c r="V1218" s="89" t="n"/>
      <c r="W1218" s="88" t="n"/>
      <c r="X1218" s="89" t="n"/>
      <c r="Y1218" s="88" t="n"/>
      <c r="Z1218" s="89" t="n"/>
      <c r="AB1218" s="25">
        <f>IF($B1218="","",(COUNTIF(C1218:E1218,"?*")&lt;N(INDEX(Setup!$L$6:$L$23,11)))+(COUNTIF(G1218:I1218,"?*")&lt;N(INDEX(Setup!$L$6:$L$23,11)))+(COUNTIF(K1218:M1218,"?*")&lt;N(INDEX(Setup!$L$6:$L$23,11)))+(COUNTIF(O1218:Q1218,"?*")&lt;N(INDEX(Setup!$L$6:$L$23,11)))+(COUNTIF(S1218:U1218,"?*")&lt;N(INDEX(Setup!$L$6:$L$23,11)))+((W1218="")*(INDEX(Setup!$M$6:$M$23,11)="Y"))+((Y1218="")*(INDEX(Setup!$M$6:$M$23,11)="Y")))</f>
        <v/>
      </c>
      <c r="AC1218" s="90">
        <f>IF($B1218="","",IF(AB1218=0,"✓ covered","⚠ "&amp;AB1218&amp;IF(AB1218=1," gap"," gaps")))</f>
        <v/>
      </c>
    </row>
    <row r="1219" ht="17" customHeight="1">
      <c r="A1219" t="n">
        <v>25</v>
      </c>
      <c r="B1219" s="29">
        <f>IF(Setup!$K$17="","",Setup!$K$17)</f>
        <v/>
      </c>
      <c r="C1219" s="88" t="n"/>
      <c r="D1219" s="88" t="n"/>
      <c r="E1219" s="88" t="n"/>
      <c r="F1219" s="89" t="n"/>
      <c r="G1219" s="88" t="n"/>
      <c r="H1219" s="88" t="n"/>
      <c r="I1219" s="88" t="n"/>
      <c r="J1219" s="89" t="n"/>
      <c r="K1219" s="88" t="n"/>
      <c r="L1219" s="88" t="n"/>
      <c r="M1219" s="88" t="n"/>
      <c r="N1219" s="89" t="n"/>
      <c r="O1219" s="88" t="n"/>
      <c r="P1219" s="88" t="n"/>
      <c r="Q1219" s="88" t="n"/>
      <c r="R1219" s="89" t="n"/>
      <c r="S1219" s="88" t="n"/>
      <c r="T1219" s="88" t="n"/>
      <c r="U1219" s="88" t="n"/>
      <c r="V1219" s="89" t="n"/>
      <c r="W1219" s="88" t="n"/>
      <c r="X1219" s="89" t="n"/>
      <c r="Y1219" s="88" t="n"/>
      <c r="Z1219" s="89" t="n"/>
      <c r="AB1219" s="30">
        <f>IF($B1219="","",(COUNTIF(C1219:E1219,"?*")&lt;N(INDEX(Setup!$L$6:$L$23,12)))+(COUNTIF(G1219:I1219,"?*")&lt;N(INDEX(Setup!$L$6:$L$23,12)))+(COUNTIF(K1219:M1219,"?*")&lt;N(INDEX(Setup!$L$6:$L$23,12)))+(COUNTIF(O1219:Q1219,"?*")&lt;N(INDEX(Setup!$L$6:$L$23,12)))+(COUNTIF(S1219:U1219,"?*")&lt;N(INDEX(Setup!$L$6:$L$23,12)))+((W1219="")*(INDEX(Setup!$M$6:$M$23,12)="Y"))+((Y1219="")*(INDEX(Setup!$M$6:$M$23,12)="Y")))</f>
        <v/>
      </c>
      <c r="AC1219" s="91">
        <f>IF($B1219="","",IF(AB1219=0,"✓ covered","⚠ "&amp;AB1219&amp;IF(AB1219=1," gap"," gaps")))</f>
        <v/>
      </c>
    </row>
    <row r="1220" ht="17" customHeight="1">
      <c r="A1220" t="n">
        <v>25</v>
      </c>
      <c r="B1220" s="24">
        <f>IF(Setup!$K$18="","",Setup!$K$18)</f>
        <v/>
      </c>
      <c r="C1220" s="88" t="n"/>
      <c r="D1220" s="88" t="n"/>
      <c r="E1220" s="88" t="n"/>
      <c r="F1220" s="89" t="n"/>
      <c r="G1220" s="88" t="n"/>
      <c r="H1220" s="88" t="n"/>
      <c r="I1220" s="88" t="n"/>
      <c r="J1220" s="89" t="n"/>
      <c r="K1220" s="88" t="n"/>
      <c r="L1220" s="88" t="n"/>
      <c r="M1220" s="88" t="n"/>
      <c r="N1220" s="89" t="n"/>
      <c r="O1220" s="88" t="n"/>
      <c r="P1220" s="88" t="n"/>
      <c r="Q1220" s="88" t="n"/>
      <c r="R1220" s="89" t="n"/>
      <c r="S1220" s="88" t="n"/>
      <c r="T1220" s="88" t="n"/>
      <c r="U1220" s="88" t="n"/>
      <c r="V1220" s="89" t="n"/>
      <c r="W1220" s="88" t="n"/>
      <c r="X1220" s="89" t="n"/>
      <c r="Y1220" s="88" t="n"/>
      <c r="Z1220" s="89" t="n"/>
      <c r="AB1220" s="25">
        <f>IF($B1220="","",(COUNTIF(C1220:E1220,"?*")&lt;N(INDEX(Setup!$L$6:$L$23,13)))+(COUNTIF(G1220:I1220,"?*")&lt;N(INDEX(Setup!$L$6:$L$23,13)))+(COUNTIF(K1220:M1220,"?*")&lt;N(INDEX(Setup!$L$6:$L$23,13)))+(COUNTIF(O1220:Q1220,"?*")&lt;N(INDEX(Setup!$L$6:$L$23,13)))+(COUNTIF(S1220:U1220,"?*")&lt;N(INDEX(Setup!$L$6:$L$23,13)))+((W1220="")*(INDEX(Setup!$M$6:$M$23,13)="Y"))+((Y1220="")*(INDEX(Setup!$M$6:$M$23,13)="Y")))</f>
        <v/>
      </c>
      <c r="AC1220" s="90">
        <f>IF($B1220="","",IF(AB1220=0,"✓ covered","⚠ "&amp;AB1220&amp;IF(AB1220=1," gap"," gaps")))</f>
        <v/>
      </c>
    </row>
    <row r="1221" ht="17" customHeight="1">
      <c r="A1221" t="n">
        <v>25</v>
      </c>
      <c r="B1221" s="29">
        <f>IF(Setup!$K$19="","",Setup!$K$19)</f>
        <v/>
      </c>
      <c r="C1221" s="88" t="n"/>
      <c r="D1221" s="88" t="n"/>
      <c r="E1221" s="88" t="n"/>
      <c r="F1221" s="89" t="n"/>
      <c r="G1221" s="88" t="n"/>
      <c r="H1221" s="88" t="n"/>
      <c r="I1221" s="88" t="n"/>
      <c r="J1221" s="89" t="n"/>
      <c r="K1221" s="88" t="n"/>
      <c r="L1221" s="88" t="n"/>
      <c r="M1221" s="88" t="n"/>
      <c r="N1221" s="89" t="n"/>
      <c r="O1221" s="88" t="n"/>
      <c r="P1221" s="88" t="n"/>
      <c r="Q1221" s="88" t="n"/>
      <c r="R1221" s="89" t="n"/>
      <c r="S1221" s="88" t="n"/>
      <c r="T1221" s="88" t="n"/>
      <c r="U1221" s="88" t="n"/>
      <c r="V1221" s="89" t="n"/>
      <c r="W1221" s="88" t="n"/>
      <c r="X1221" s="89" t="n"/>
      <c r="Y1221" s="88" t="n"/>
      <c r="Z1221" s="89" t="n"/>
      <c r="AB1221" s="30">
        <f>IF($B1221="","",(COUNTIF(C1221:E1221,"?*")&lt;N(INDEX(Setup!$L$6:$L$23,14)))+(COUNTIF(G1221:I1221,"?*")&lt;N(INDEX(Setup!$L$6:$L$23,14)))+(COUNTIF(K1221:M1221,"?*")&lt;N(INDEX(Setup!$L$6:$L$23,14)))+(COUNTIF(O1221:Q1221,"?*")&lt;N(INDEX(Setup!$L$6:$L$23,14)))+(COUNTIF(S1221:U1221,"?*")&lt;N(INDEX(Setup!$L$6:$L$23,14)))+((W1221="")*(INDEX(Setup!$M$6:$M$23,14)="Y"))+((Y1221="")*(INDEX(Setup!$M$6:$M$23,14)="Y")))</f>
        <v/>
      </c>
      <c r="AC1221" s="91">
        <f>IF($B1221="","",IF(AB1221=0,"✓ covered","⚠ "&amp;AB1221&amp;IF(AB1221=1," gap"," gaps")))</f>
        <v/>
      </c>
    </row>
    <row r="1222" ht="17" customHeight="1">
      <c r="A1222" t="n">
        <v>25</v>
      </c>
      <c r="B1222" s="24">
        <f>IF(Setup!$K$20="","",Setup!$K$20)</f>
        <v/>
      </c>
      <c r="C1222" s="88" t="n"/>
      <c r="D1222" s="88" t="n"/>
      <c r="E1222" s="88" t="n"/>
      <c r="F1222" s="89" t="n"/>
      <c r="G1222" s="88" t="n"/>
      <c r="H1222" s="88" t="n"/>
      <c r="I1222" s="88" t="n"/>
      <c r="J1222" s="89" t="n"/>
      <c r="K1222" s="88" t="n"/>
      <c r="L1222" s="88" t="n"/>
      <c r="M1222" s="88" t="n"/>
      <c r="N1222" s="89" t="n"/>
      <c r="O1222" s="88" t="n"/>
      <c r="P1222" s="88" t="n"/>
      <c r="Q1222" s="88" t="n"/>
      <c r="R1222" s="89" t="n"/>
      <c r="S1222" s="88" t="n"/>
      <c r="T1222" s="88" t="n"/>
      <c r="U1222" s="88" t="n"/>
      <c r="V1222" s="89" t="n"/>
      <c r="W1222" s="88" t="n"/>
      <c r="X1222" s="89" t="n"/>
      <c r="Y1222" s="88" t="n"/>
      <c r="Z1222" s="89" t="n"/>
      <c r="AB1222" s="25">
        <f>IF($B1222="","",(COUNTIF(C1222:E1222,"?*")&lt;N(INDEX(Setup!$L$6:$L$23,15)))+(COUNTIF(G1222:I1222,"?*")&lt;N(INDEX(Setup!$L$6:$L$23,15)))+(COUNTIF(K1222:M1222,"?*")&lt;N(INDEX(Setup!$L$6:$L$23,15)))+(COUNTIF(O1222:Q1222,"?*")&lt;N(INDEX(Setup!$L$6:$L$23,15)))+(COUNTIF(S1222:U1222,"?*")&lt;N(INDEX(Setup!$L$6:$L$23,15)))+((W1222="")*(INDEX(Setup!$M$6:$M$23,15)="Y"))+((Y1222="")*(INDEX(Setup!$M$6:$M$23,15)="Y")))</f>
        <v/>
      </c>
      <c r="AC1222" s="90">
        <f>IF($B1222="","",IF(AB1222=0,"✓ covered","⚠ "&amp;AB1222&amp;IF(AB1222=1," gap"," gaps")))</f>
        <v/>
      </c>
    </row>
    <row r="1223" ht="17" customHeight="1">
      <c r="A1223" t="n">
        <v>25</v>
      </c>
      <c r="B1223" s="29">
        <f>IF(Setup!$K$21="","",Setup!$K$21)</f>
        <v/>
      </c>
      <c r="C1223" s="88" t="n"/>
      <c r="D1223" s="88" t="n"/>
      <c r="E1223" s="88" t="n"/>
      <c r="F1223" s="89" t="n"/>
      <c r="G1223" s="88" t="n"/>
      <c r="H1223" s="88" t="n"/>
      <c r="I1223" s="88" t="n"/>
      <c r="J1223" s="89" t="n"/>
      <c r="K1223" s="88" t="n"/>
      <c r="L1223" s="88" t="n"/>
      <c r="M1223" s="88" t="n"/>
      <c r="N1223" s="89" t="n"/>
      <c r="O1223" s="88" t="n"/>
      <c r="P1223" s="88" t="n"/>
      <c r="Q1223" s="88" t="n"/>
      <c r="R1223" s="89" t="n"/>
      <c r="S1223" s="88" t="n"/>
      <c r="T1223" s="88" t="n"/>
      <c r="U1223" s="88" t="n"/>
      <c r="V1223" s="89" t="n"/>
      <c r="W1223" s="88" t="n"/>
      <c r="X1223" s="89" t="n"/>
      <c r="Y1223" s="88" t="n"/>
      <c r="Z1223" s="89" t="n"/>
      <c r="AB1223" s="30">
        <f>IF($B1223="","",(COUNTIF(C1223:E1223,"?*")&lt;N(INDEX(Setup!$L$6:$L$23,16)))+(COUNTIF(G1223:I1223,"?*")&lt;N(INDEX(Setup!$L$6:$L$23,16)))+(COUNTIF(K1223:M1223,"?*")&lt;N(INDEX(Setup!$L$6:$L$23,16)))+(COUNTIF(O1223:Q1223,"?*")&lt;N(INDEX(Setup!$L$6:$L$23,16)))+(COUNTIF(S1223:U1223,"?*")&lt;N(INDEX(Setup!$L$6:$L$23,16)))+((W1223="")*(INDEX(Setup!$M$6:$M$23,16)="Y"))+((Y1223="")*(INDEX(Setup!$M$6:$M$23,16)="Y")))</f>
        <v/>
      </c>
      <c r="AC1223" s="91">
        <f>IF($B1223="","",IF(AB1223=0,"✓ covered","⚠ "&amp;AB1223&amp;IF(AB1223=1," gap"," gaps")))</f>
        <v/>
      </c>
    </row>
    <row r="1224" ht="17" customHeight="1">
      <c r="A1224" t="n">
        <v>25</v>
      </c>
      <c r="B1224" s="24">
        <f>IF(Setup!$K$22="","",Setup!$K$22)</f>
        <v/>
      </c>
      <c r="C1224" s="88" t="n"/>
      <c r="D1224" s="88" t="n"/>
      <c r="E1224" s="88" t="n"/>
      <c r="F1224" s="89" t="n"/>
      <c r="G1224" s="88" t="n"/>
      <c r="H1224" s="88" t="n"/>
      <c r="I1224" s="88" t="n"/>
      <c r="J1224" s="89" t="n"/>
      <c r="K1224" s="88" t="n"/>
      <c r="L1224" s="88" t="n"/>
      <c r="M1224" s="88" t="n"/>
      <c r="N1224" s="89" t="n"/>
      <c r="O1224" s="88" t="n"/>
      <c r="P1224" s="88" t="n"/>
      <c r="Q1224" s="88" t="n"/>
      <c r="R1224" s="89" t="n"/>
      <c r="S1224" s="88" t="n"/>
      <c r="T1224" s="88" t="n"/>
      <c r="U1224" s="88" t="n"/>
      <c r="V1224" s="89" t="n"/>
      <c r="W1224" s="88" t="n"/>
      <c r="X1224" s="89" t="n"/>
      <c r="Y1224" s="88" t="n"/>
      <c r="Z1224" s="89" t="n"/>
      <c r="AB1224" s="25">
        <f>IF($B1224="","",(COUNTIF(C1224:E1224,"?*")&lt;N(INDEX(Setup!$L$6:$L$23,17)))+(COUNTIF(G1224:I1224,"?*")&lt;N(INDEX(Setup!$L$6:$L$23,17)))+(COUNTIF(K1224:M1224,"?*")&lt;N(INDEX(Setup!$L$6:$L$23,17)))+(COUNTIF(O1224:Q1224,"?*")&lt;N(INDEX(Setup!$L$6:$L$23,17)))+(COUNTIF(S1224:U1224,"?*")&lt;N(INDEX(Setup!$L$6:$L$23,17)))+((W1224="")*(INDEX(Setup!$M$6:$M$23,17)="Y"))+((Y1224="")*(INDEX(Setup!$M$6:$M$23,17)="Y")))</f>
        <v/>
      </c>
      <c r="AC1224" s="90">
        <f>IF($B1224="","",IF(AB1224=0,"✓ covered","⚠ "&amp;AB1224&amp;IF(AB1224=1," gap"," gaps")))</f>
        <v/>
      </c>
    </row>
    <row r="1225" ht="17" customHeight="1">
      <c r="A1225" t="n">
        <v>25</v>
      </c>
      <c r="B1225" s="29">
        <f>IF(Setup!$K$23="","",Setup!$K$23)</f>
        <v/>
      </c>
      <c r="C1225" s="88" t="n"/>
      <c r="D1225" s="88" t="n"/>
      <c r="E1225" s="88" t="n"/>
      <c r="F1225" s="89" t="n"/>
      <c r="G1225" s="88" t="n"/>
      <c r="H1225" s="88" t="n"/>
      <c r="I1225" s="88" t="n"/>
      <c r="J1225" s="89" t="n"/>
      <c r="K1225" s="88" t="n"/>
      <c r="L1225" s="88" t="n"/>
      <c r="M1225" s="88" t="n"/>
      <c r="N1225" s="89" t="n"/>
      <c r="O1225" s="88" t="n"/>
      <c r="P1225" s="88" t="n"/>
      <c r="Q1225" s="88" t="n"/>
      <c r="R1225" s="89" t="n"/>
      <c r="S1225" s="88" t="n"/>
      <c r="T1225" s="88" t="n"/>
      <c r="U1225" s="88" t="n"/>
      <c r="V1225" s="89" t="n"/>
      <c r="W1225" s="88" t="n"/>
      <c r="X1225" s="89" t="n"/>
      <c r="Y1225" s="88" t="n"/>
      <c r="Z1225" s="89" t="n"/>
      <c r="AB1225" s="30">
        <f>IF($B1225="","",(COUNTIF(C1225:E1225,"?*")&lt;N(INDEX(Setup!$L$6:$L$23,18)))+(COUNTIF(G1225:I1225,"?*")&lt;N(INDEX(Setup!$L$6:$L$23,18)))+(COUNTIF(K1225:M1225,"?*")&lt;N(INDEX(Setup!$L$6:$L$23,18)))+(COUNTIF(O1225:Q1225,"?*")&lt;N(INDEX(Setup!$L$6:$L$23,18)))+(COUNTIF(S1225:U1225,"?*")&lt;N(INDEX(Setup!$L$6:$L$23,18)))+((W1225="")*(INDEX(Setup!$M$6:$M$23,18)="Y"))+((Y1225="")*(INDEX(Setup!$M$6:$M$23,18)="Y")))</f>
        <v/>
      </c>
      <c r="AC1225" s="91">
        <f>IF($B1225="","",IF(AB1225=0,"✓ covered","⚠ "&amp;AB1225&amp;IF(AB1225=1," gap"," gaps")))</f>
        <v/>
      </c>
    </row>
    <row r="1226" ht="18" customHeight="1">
      <c r="A1226" t="n">
        <v>25</v>
      </c>
      <c r="B1226" s="78" t="inlineStr">
        <is>
          <t>TEAM AVAILABILITY</t>
        </is>
      </c>
      <c r="C1226" s="92" t="inlineStr">
        <is>
          <t>Mon</t>
        </is>
      </c>
      <c r="D1226" s="93" t="n"/>
      <c r="E1226" s="93" t="n"/>
      <c r="F1226" s="94" t="n"/>
      <c r="G1226" s="92" t="inlineStr">
        <is>
          <t>Tue</t>
        </is>
      </c>
      <c r="H1226" s="93" t="n"/>
      <c r="I1226" s="93" t="n"/>
      <c r="J1226" s="94" t="n"/>
      <c r="K1226" s="92" t="inlineStr">
        <is>
          <t>Wed</t>
        </is>
      </c>
      <c r="L1226" s="93" t="n"/>
      <c r="M1226" s="93" t="n"/>
      <c r="N1226" s="94" t="n"/>
      <c r="O1226" s="92" t="inlineStr">
        <is>
          <t>Thu</t>
        </is>
      </c>
      <c r="P1226" s="93" t="n"/>
      <c r="Q1226" s="93" t="n"/>
      <c r="R1226" s="94" t="n"/>
      <c r="S1226" s="92" t="inlineStr">
        <is>
          <t>Fri</t>
        </is>
      </c>
      <c r="T1226" s="93" t="n"/>
      <c r="U1226" s="93" t="n"/>
      <c r="V1226" s="94" t="n"/>
      <c r="W1226" s="95" t="inlineStr">
        <is>
          <t>Sat</t>
        </is>
      </c>
      <c r="X1226" s="96" t="n"/>
      <c r="Y1226" s="95" t="inlineStr">
        <is>
          <t>Sun</t>
        </is>
      </c>
      <c r="Z1226" s="96" t="n"/>
      <c r="AB1226" s="97" t="inlineStr">
        <is>
          <t>Days rostered</t>
        </is>
      </c>
      <c r="AC1226" s="97" t="inlineStr">
        <is>
          <t>Conflicts</t>
        </is>
      </c>
    </row>
    <row r="1227" ht="15" customHeight="1">
      <c r="A1227" t="n">
        <v>25</v>
      </c>
      <c r="B1227" s="35">
        <f>IF(Setup!$B$6="","",Setup!$B$6)</f>
        <v/>
      </c>
      <c r="C1227" s="98" t="n"/>
      <c r="D1227" s="99" t="n"/>
      <c r="E1227" s="99" t="n"/>
      <c r="F1227" s="100" t="n"/>
      <c r="G1227" s="98" t="n"/>
      <c r="H1227" s="99" t="n"/>
      <c r="I1227" s="99" t="n"/>
      <c r="J1227" s="100" t="n"/>
      <c r="K1227" s="98" t="n"/>
      <c r="L1227" s="99" t="n"/>
      <c r="M1227" s="99" t="n"/>
      <c r="N1227" s="100" t="n"/>
      <c r="O1227" s="98" t="n"/>
      <c r="P1227" s="99" t="n"/>
      <c r="Q1227" s="99" t="n"/>
      <c r="R1227" s="100" t="n"/>
      <c r="S1227" s="98" t="n"/>
      <c r="T1227" s="99" t="n"/>
      <c r="U1227" s="99" t="n"/>
      <c r="V1227" s="100" t="n"/>
      <c r="W1227" s="98" t="n"/>
      <c r="X1227" s="100" t="n"/>
      <c r="Y1227" s="98" t="n"/>
      <c r="Z1227" s="100" t="n"/>
      <c r="AB1227" s="101">
        <f>IF($B1227="","",(COUNTIF(C1208:E1225,$B1227)+COUNTIF(C1208:E1225,$B1227&amp;" ~*")&gt;0)+(COUNTIF(G1208:I1225,$B1227)+COUNTIF(G1208:I1225,$B1227&amp;" ~*")&gt;0)+(COUNTIF(K1208:M1225,$B1227)+COUNTIF(K1208:M1225,$B1227&amp;" ~*")&gt;0)+(COUNTIF(O1208:Q1225,$B1227)+COUNTIF(O1208:Q1225,$B1227&amp;" ~*")&gt;0)+(COUNTIF(S1208:U1225,$B1227)+COUNTIF(S1208:U1225,$B1227&amp;" ~*")&gt;0)+(COUNTIF(W1208:W1225,$B1227)+COUNTIF(W1208:W1225,$B1227&amp;" ~*")&gt;0)+(COUNTIF(Y1208:Y1225,$B1227)+COUNTIF(Y1208:Y1225,$B1227&amp;" ~*")&gt;0))</f>
        <v/>
      </c>
      <c r="AC1227" s="36">
        <f>IF($B1227="","",(IFERROR(INDEX(Setup!$G$33:$G$40,MATCH(C1227,Setup!$B$33:$B$40,0)),0)=1)*(COUNTIF(C1208:E1225,$B1227)+COUNTIF(C1208:E1225,$B1227&amp;" ~*")&gt;0)+(IFERROR(INDEX(Setup!$G$33:$G$40,MATCH(G1227,Setup!$B$33:$B$40,0)),0)=1)*(COUNTIF(G1208:I1225,$B1227)+COUNTIF(G1208:I1225,$B1227&amp;" ~*")&gt;0)+(IFERROR(INDEX(Setup!$G$33:$G$40,MATCH(K1227,Setup!$B$33:$B$40,0)),0)=1)*(COUNTIF(K1208:M1225,$B1227)+COUNTIF(K1208:M1225,$B1227&amp;" ~*")&gt;0)+(IFERROR(INDEX(Setup!$G$33:$G$40,MATCH(O1227,Setup!$B$33:$B$40,0)),0)=1)*(COUNTIF(O1208:Q1225,$B1227)+COUNTIF(O1208:Q1225,$B1227&amp;" ~*")&gt;0)+(IFERROR(INDEX(Setup!$G$33:$G$40,MATCH(S1227,Setup!$B$33:$B$40,0)),0)=1)*(COUNTIF(S1208:U1225,$B1227)+COUNTIF(S1208:U1225,$B1227&amp;" ~*")&gt;0)+(IFERROR(INDEX(Setup!$G$33:$G$40,MATCH(W1227,Setup!$B$33:$B$40,0)),0)=1)*(COUNTIF(W1208:W1225,$B1227)+COUNTIF(W1208:W1225,$B1227&amp;" ~*")&gt;0)+(IFERROR(INDEX(Setup!$G$33:$G$40,MATCH(Y1227,Setup!$B$33:$B$40,0)),0)=1)*(COUNTIF(Y1208:Y1225,$B1227)+COUNTIF(Y1208:Y1225,$B1227&amp;" ~*")&gt;0))</f>
        <v/>
      </c>
    </row>
    <row r="1228" ht="15" customHeight="1">
      <c r="A1228" t="n">
        <v>25</v>
      </c>
      <c r="B1228" s="37">
        <f>IF(Setup!$B$7="","",Setup!$B$7)</f>
        <v/>
      </c>
      <c r="C1228" s="102" t="n"/>
      <c r="D1228" s="103" t="n"/>
      <c r="E1228" s="103" t="n"/>
      <c r="F1228" s="104" t="n"/>
      <c r="G1228" s="102" t="n"/>
      <c r="H1228" s="103" t="n"/>
      <c r="I1228" s="103" t="n"/>
      <c r="J1228" s="104" t="n"/>
      <c r="K1228" s="102" t="n"/>
      <c r="L1228" s="103" t="n"/>
      <c r="M1228" s="103" t="n"/>
      <c r="N1228" s="104" t="n"/>
      <c r="O1228" s="102" t="n"/>
      <c r="P1228" s="103" t="n"/>
      <c r="Q1228" s="103" t="n"/>
      <c r="R1228" s="104" t="n"/>
      <c r="S1228" s="102" t="n"/>
      <c r="T1228" s="103" t="n"/>
      <c r="U1228" s="103" t="n"/>
      <c r="V1228" s="104" t="n"/>
      <c r="W1228" s="102" t="n"/>
      <c r="X1228" s="104" t="n"/>
      <c r="Y1228" s="102" t="n"/>
      <c r="Z1228" s="104" t="n"/>
      <c r="AB1228" s="105">
        <f>IF($B1228="","",(COUNTIF(C1208:E1225,$B1228)+COUNTIF(C1208:E1225,$B1228&amp;" ~*")&gt;0)+(COUNTIF(G1208:I1225,$B1228)+COUNTIF(G1208:I1225,$B1228&amp;" ~*")&gt;0)+(COUNTIF(K1208:M1225,$B1228)+COUNTIF(K1208:M1225,$B1228&amp;" ~*")&gt;0)+(COUNTIF(O1208:Q1225,$B1228)+COUNTIF(O1208:Q1225,$B1228&amp;" ~*")&gt;0)+(COUNTIF(S1208:U1225,$B1228)+COUNTIF(S1208:U1225,$B1228&amp;" ~*")&gt;0)+(COUNTIF(W1208:W1225,$B1228)+COUNTIF(W1208:W1225,$B1228&amp;" ~*")&gt;0)+(COUNTIF(Y1208:Y1225,$B1228)+COUNTIF(Y1208:Y1225,$B1228&amp;" ~*")&gt;0))</f>
        <v/>
      </c>
      <c r="AC1228" s="38">
        <f>IF($B1228="","",(IFERROR(INDEX(Setup!$G$33:$G$40,MATCH(C1228,Setup!$B$33:$B$40,0)),0)=1)*(COUNTIF(C1208:E1225,$B1228)+COUNTIF(C1208:E1225,$B1228&amp;" ~*")&gt;0)+(IFERROR(INDEX(Setup!$G$33:$G$40,MATCH(G1228,Setup!$B$33:$B$40,0)),0)=1)*(COUNTIF(G1208:I1225,$B1228)+COUNTIF(G1208:I1225,$B1228&amp;" ~*")&gt;0)+(IFERROR(INDEX(Setup!$G$33:$G$40,MATCH(K1228,Setup!$B$33:$B$40,0)),0)=1)*(COUNTIF(K1208:M1225,$B1228)+COUNTIF(K1208:M1225,$B1228&amp;" ~*")&gt;0)+(IFERROR(INDEX(Setup!$G$33:$G$40,MATCH(O1228,Setup!$B$33:$B$40,0)),0)=1)*(COUNTIF(O1208:Q1225,$B1228)+COUNTIF(O1208:Q1225,$B1228&amp;" ~*")&gt;0)+(IFERROR(INDEX(Setup!$G$33:$G$40,MATCH(S1228,Setup!$B$33:$B$40,0)),0)=1)*(COUNTIF(S1208:U1225,$B1228)+COUNTIF(S1208:U1225,$B1228&amp;" ~*")&gt;0)+(IFERROR(INDEX(Setup!$G$33:$G$40,MATCH(W1228,Setup!$B$33:$B$40,0)),0)=1)*(COUNTIF(W1208:W1225,$B1228)+COUNTIF(W1208:W1225,$B1228&amp;" ~*")&gt;0)+(IFERROR(INDEX(Setup!$G$33:$G$40,MATCH(Y1228,Setup!$B$33:$B$40,0)),0)=1)*(COUNTIF(Y1208:Y1225,$B1228)+COUNTIF(Y1208:Y1225,$B1228&amp;" ~*")&gt;0))</f>
        <v/>
      </c>
    </row>
    <row r="1229" ht="15" customHeight="1">
      <c r="A1229" t="n">
        <v>25</v>
      </c>
      <c r="B1229" s="35">
        <f>IF(Setup!$B$8="","",Setup!$B$8)</f>
        <v/>
      </c>
      <c r="C1229" s="98" t="n"/>
      <c r="D1229" s="99" t="n"/>
      <c r="E1229" s="99" t="n"/>
      <c r="F1229" s="100" t="n"/>
      <c r="G1229" s="98" t="n"/>
      <c r="H1229" s="99" t="n"/>
      <c r="I1229" s="99" t="n"/>
      <c r="J1229" s="100" t="n"/>
      <c r="K1229" s="98" t="n"/>
      <c r="L1229" s="99" t="n"/>
      <c r="M1229" s="99" t="n"/>
      <c r="N1229" s="100" t="n"/>
      <c r="O1229" s="98" t="n"/>
      <c r="P1229" s="99" t="n"/>
      <c r="Q1229" s="99" t="n"/>
      <c r="R1229" s="100" t="n"/>
      <c r="S1229" s="98" t="n"/>
      <c r="T1229" s="99" t="n"/>
      <c r="U1229" s="99" t="n"/>
      <c r="V1229" s="100" t="n"/>
      <c r="W1229" s="98" t="n"/>
      <c r="X1229" s="100" t="n"/>
      <c r="Y1229" s="98" t="n"/>
      <c r="Z1229" s="100" t="n"/>
      <c r="AB1229" s="101">
        <f>IF($B1229="","",(COUNTIF(C1208:E1225,$B1229)+COUNTIF(C1208:E1225,$B1229&amp;" ~*")&gt;0)+(COUNTIF(G1208:I1225,$B1229)+COUNTIF(G1208:I1225,$B1229&amp;" ~*")&gt;0)+(COUNTIF(K1208:M1225,$B1229)+COUNTIF(K1208:M1225,$B1229&amp;" ~*")&gt;0)+(COUNTIF(O1208:Q1225,$B1229)+COUNTIF(O1208:Q1225,$B1229&amp;" ~*")&gt;0)+(COUNTIF(S1208:U1225,$B1229)+COUNTIF(S1208:U1225,$B1229&amp;" ~*")&gt;0)+(COUNTIF(W1208:W1225,$B1229)+COUNTIF(W1208:W1225,$B1229&amp;" ~*")&gt;0)+(COUNTIF(Y1208:Y1225,$B1229)+COUNTIF(Y1208:Y1225,$B1229&amp;" ~*")&gt;0))</f>
        <v/>
      </c>
      <c r="AC1229" s="36">
        <f>IF($B1229="","",(IFERROR(INDEX(Setup!$G$33:$G$40,MATCH(C1229,Setup!$B$33:$B$40,0)),0)=1)*(COUNTIF(C1208:E1225,$B1229)+COUNTIF(C1208:E1225,$B1229&amp;" ~*")&gt;0)+(IFERROR(INDEX(Setup!$G$33:$G$40,MATCH(G1229,Setup!$B$33:$B$40,0)),0)=1)*(COUNTIF(G1208:I1225,$B1229)+COUNTIF(G1208:I1225,$B1229&amp;" ~*")&gt;0)+(IFERROR(INDEX(Setup!$G$33:$G$40,MATCH(K1229,Setup!$B$33:$B$40,0)),0)=1)*(COUNTIF(K1208:M1225,$B1229)+COUNTIF(K1208:M1225,$B1229&amp;" ~*")&gt;0)+(IFERROR(INDEX(Setup!$G$33:$G$40,MATCH(O1229,Setup!$B$33:$B$40,0)),0)=1)*(COUNTIF(O1208:Q1225,$B1229)+COUNTIF(O1208:Q1225,$B1229&amp;" ~*")&gt;0)+(IFERROR(INDEX(Setup!$G$33:$G$40,MATCH(S1229,Setup!$B$33:$B$40,0)),0)=1)*(COUNTIF(S1208:U1225,$B1229)+COUNTIF(S1208:U1225,$B1229&amp;" ~*")&gt;0)+(IFERROR(INDEX(Setup!$G$33:$G$40,MATCH(W1229,Setup!$B$33:$B$40,0)),0)=1)*(COUNTIF(W1208:W1225,$B1229)+COUNTIF(W1208:W1225,$B1229&amp;" ~*")&gt;0)+(IFERROR(INDEX(Setup!$G$33:$G$40,MATCH(Y1229,Setup!$B$33:$B$40,0)),0)=1)*(COUNTIF(Y1208:Y1225,$B1229)+COUNTIF(Y1208:Y1225,$B1229&amp;" ~*")&gt;0))</f>
        <v/>
      </c>
    </row>
    <row r="1230" ht="15" customHeight="1">
      <c r="A1230" t="n">
        <v>25</v>
      </c>
      <c r="B1230" s="37">
        <f>IF(Setup!$B$9="","",Setup!$B$9)</f>
        <v/>
      </c>
      <c r="C1230" s="102" t="n"/>
      <c r="D1230" s="103" t="n"/>
      <c r="E1230" s="103" t="n"/>
      <c r="F1230" s="104" t="n"/>
      <c r="G1230" s="102" t="n"/>
      <c r="H1230" s="103" t="n"/>
      <c r="I1230" s="103" t="n"/>
      <c r="J1230" s="104" t="n"/>
      <c r="K1230" s="102" t="n"/>
      <c r="L1230" s="103" t="n"/>
      <c r="M1230" s="103" t="n"/>
      <c r="N1230" s="104" t="n"/>
      <c r="O1230" s="102" t="n"/>
      <c r="P1230" s="103" t="n"/>
      <c r="Q1230" s="103" t="n"/>
      <c r="R1230" s="104" t="n"/>
      <c r="S1230" s="102" t="n"/>
      <c r="T1230" s="103" t="n"/>
      <c r="U1230" s="103" t="n"/>
      <c r="V1230" s="104" t="n"/>
      <c r="W1230" s="102" t="n"/>
      <c r="X1230" s="104" t="n"/>
      <c r="Y1230" s="102" t="n"/>
      <c r="Z1230" s="104" t="n"/>
      <c r="AB1230" s="105">
        <f>IF($B1230="","",(COUNTIF(C1208:E1225,$B1230)+COUNTIF(C1208:E1225,$B1230&amp;" ~*")&gt;0)+(COUNTIF(G1208:I1225,$B1230)+COUNTIF(G1208:I1225,$B1230&amp;" ~*")&gt;0)+(COUNTIF(K1208:M1225,$B1230)+COUNTIF(K1208:M1225,$B1230&amp;" ~*")&gt;0)+(COUNTIF(O1208:Q1225,$B1230)+COUNTIF(O1208:Q1225,$B1230&amp;" ~*")&gt;0)+(COUNTIF(S1208:U1225,$B1230)+COUNTIF(S1208:U1225,$B1230&amp;" ~*")&gt;0)+(COUNTIF(W1208:W1225,$B1230)+COUNTIF(W1208:W1225,$B1230&amp;" ~*")&gt;0)+(COUNTIF(Y1208:Y1225,$B1230)+COUNTIF(Y1208:Y1225,$B1230&amp;" ~*")&gt;0))</f>
        <v/>
      </c>
      <c r="AC1230" s="38">
        <f>IF($B1230="","",(IFERROR(INDEX(Setup!$G$33:$G$40,MATCH(C1230,Setup!$B$33:$B$40,0)),0)=1)*(COUNTIF(C1208:E1225,$B1230)+COUNTIF(C1208:E1225,$B1230&amp;" ~*")&gt;0)+(IFERROR(INDEX(Setup!$G$33:$G$40,MATCH(G1230,Setup!$B$33:$B$40,0)),0)=1)*(COUNTIF(G1208:I1225,$B1230)+COUNTIF(G1208:I1225,$B1230&amp;" ~*")&gt;0)+(IFERROR(INDEX(Setup!$G$33:$G$40,MATCH(K1230,Setup!$B$33:$B$40,0)),0)=1)*(COUNTIF(K1208:M1225,$B1230)+COUNTIF(K1208:M1225,$B1230&amp;" ~*")&gt;0)+(IFERROR(INDEX(Setup!$G$33:$G$40,MATCH(O1230,Setup!$B$33:$B$40,0)),0)=1)*(COUNTIF(O1208:Q1225,$B1230)+COUNTIF(O1208:Q1225,$B1230&amp;" ~*")&gt;0)+(IFERROR(INDEX(Setup!$G$33:$G$40,MATCH(S1230,Setup!$B$33:$B$40,0)),0)=1)*(COUNTIF(S1208:U1225,$B1230)+COUNTIF(S1208:U1225,$B1230&amp;" ~*")&gt;0)+(IFERROR(INDEX(Setup!$G$33:$G$40,MATCH(W1230,Setup!$B$33:$B$40,0)),0)=1)*(COUNTIF(W1208:W1225,$B1230)+COUNTIF(W1208:W1225,$B1230&amp;" ~*")&gt;0)+(IFERROR(INDEX(Setup!$G$33:$G$40,MATCH(Y1230,Setup!$B$33:$B$40,0)),0)=1)*(COUNTIF(Y1208:Y1225,$B1230)+COUNTIF(Y1208:Y1225,$B1230&amp;" ~*")&gt;0))</f>
        <v/>
      </c>
    </row>
    <row r="1231" ht="15" customHeight="1">
      <c r="A1231" t="n">
        <v>25</v>
      </c>
      <c r="B1231" s="35">
        <f>IF(Setup!$B$10="","",Setup!$B$10)</f>
        <v/>
      </c>
      <c r="C1231" s="98" t="n"/>
      <c r="D1231" s="99" t="n"/>
      <c r="E1231" s="99" t="n"/>
      <c r="F1231" s="100" t="n"/>
      <c r="G1231" s="98" t="n"/>
      <c r="H1231" s="99" t="n"/>
      <c r="I1231" s="99" t="n"/>
      <c r="J1231" s="100" t="n"/>
      <c r="K1231" s="98" t="n"/>
      <c r="L1231" s="99" t="n"/>
      <c r="M1231" s="99" t="n"/>
      <c r="N1231" s="100" t="n"/>
      <c r="O1231" s="98" t="n"/>
      <c r="P1231" s="99" t="n"/>
      <c r="Q1231" s="99" t="n"/>
      <c r="R1231" s="100" t="n"/>
      <c r="S1231" s="98" t="n"/>
      <c r="T1231" s="99" t="n"/>
      <c r="U1231" s="99" t="n"/>
      <c r="V1231" s="100" t="n"/>
      <c r="W1231" s="98" t="n"/>
      <c r="X1231" s="100" t="n"/>
      <c r="Y1231" s="98" t="n"/>
      <c r="Z1231" s="100" t="n"/>
      <c r="AB1231" s="101">
        <f>IF($B1231="","",(COUNTIF(C1208:E1225,$B1231)+COUNTIF(C1208:E1225,$B1231&amp;" ~*")&gt;0)+(COUNTIF(G1208:I1225,$B1231)+COUNTIF(G1208:I1225,$B1231&amp;" ~*")&gt;0)+(COUNTIF(K1208:M1225,$B1231)+COUNTIF(K1208:M1225,$B1231&amp;" ~*")&gt;0)+(COUNTIF(O1208:Q1225,$B1231)+COUNTIF(O1208:Q1225,$B1231&amp;" ~*")&gt;0)+(COUNTIF(S1208:U1225,$B1231)+COUNTIF(S1208:U1225,$B1231&amp;" ~*")&gt;0)+(COUNTIF(W1208:W1225,$B1231)+COUNTIF(W1208:W1225,$B1231&amp;" ~*")&gt;0)+(COUNTIF(Y1208:Y1225,$B1231)+COUNTIF(Y1208:Y1225,$B1231&amp;" ~*")&gt;0))</f>
        <v/>
      </c>
      <c r="AC1231" s="36">
        <f>IF($B1231="","",(IFERROR(INDEX(Setup!$G$33:$G$40,MATCH(C1231,Setup!$B$33:$B$40,0)),0)=1)*(COUNTIF(C1208:E1225,$B1231)+COUNTIF(C1208:E1225,$B1231&amp;" ~*")&gt;0)+(IFERROR(INDEX(Setup!$G$33:$G$40,MATCH(G1231,Setup!$B$33:$B$40,0)),0)=1)*(COUNTIF(G1208:I1225,$B1231)+COUNTIF(G1208:I1225,$B1231&amp;" ~*")&gt;0)+(IFERROR(INDEX(Setup!$G$33:$G$40,MATCH(K1231,Setup!$B$33:$B$40,0)),0)=1)*(COUNTIF(K1208:M1225,$B1231)+COUNTIF(K1208:M1225,$B1231&amp;" ~*")&gt;0)+(IFERROR(INDEX(Setup!$G$33:$G$40,MATCH(O1231,Setup!$B$33:$B$40,0)),0)=1)*(COUNTIF(O1208:Q1225,$B1231)+COUNTIF(O1208:Q1225,$B1231&amp;" ~*")&gt;0)+(IFERROR(INDEX(Setup!$G$33:$G$40,MATCH(S1231,Setup!$B$33:$B$40,0)),0)=1)*(COUNTIF(S1208:U1225,$B1231)+COUNTIF(S1208:U1225,$B1231&amp;" ~*")&gt;0)+(IFERROR(INDEX(Setup!$G$33:$G$40,MATCH(W1231,Setup!$B$33:$B$40,0)),0)=1)*(COUNTIF(W1208:W1225,$B1231)+COUNTIF(W1208:W1225,$B1231&amp;" ~*")&gt;0)+(IFERROR(INDEX(Setup!$G$33:$G$40,MATCH(Y1231,Setup!$B$33:$B$40,0)),0)=1)*(COUNTIF(Y1208:Y1225,$B1231)+COUNTIF(Y1208:Y1225,$B1231&amp;" ~*")&gt;0))</f>
        <v/>
      </c>
    </row>
    <row r="1232" ht="15" customHeight="1">
      <c r="A1232" t="n">
        <v>25</v>
      </c>
      <c r="B1232" s="37">
        <f>IF(Setup!$B$11="","",Setup!$B$11)</f>
        <v/>
      </c>
      <c r="C1232" s="102" t="n"/>
      <c r="D1232" s="103" t="n"/>
      <c r="E1232" s="103" t="n"/>
      <c r="F1232" s="104" t="n"/>
      <c r="G1232" s="102" t="n"/>
      <c r="H1232" s="103" t="n"/>
      <c r="I1232" s="103" t="n"/>
      <c r="J1232" s="104" t="n"/>
      <c r="K1232" s="102" t="n"/>
      <c r="L1232" s="103" t="n"/>
      <c r="M1232" s="103" t="n"/>
      <c r="N1232" s="104" t="n"/>
      <c r="O1232" s="102" t="n"/>
      <c r="P1232" s="103" t="n"/>
      <c r="Q1232" s="103" t="n"/>
      <c r="R1232" s="104" t="n"/>
      <c r="S1232" s="102" t="n"/>
      <c r="T1232" s="103" t="n"/>
      <c r="U1232" s="103" t="n"/>
      <c r="V1232" s="104" t="n"/>
      <c r="W1232" s="102" t="n"/>
      <c r="X1232" s="104" t="n"/>
      <c r="Y1232" s="102" t="n"/>
      <c r="Z1232" s="104" t="n"/>
      <c r="AB1232" s="105">
        <f>IF($B1232="","",(COUNTIF(C1208:E1225,$B1232)+COUNTIF(C1208:E1225,$B1232&amp;" ~*")&gt;0)+(COUNTIF(G1208:I1225,$B1232)+COUNTIF(G1208:I1225,$B1232&amp;" ~*")&gt;0)+(COUNTIF(K1208:M1225,$B1232)+COUNTIF(K1208:M1225,$B1232&amp;" ~*")&gt;0)+(COUNTIF(O1208:Q1225,$B1232)+COUNTIF(O1208:Q1225,$B1232&amp;" ~*")&gt;0)+(COUNTIF(S1208:U1225,$B1232)+COUNTIF(S1208:U1225,$B1232&amp;" ~*")&gt;0)+(COUNTIF(W1208:W1225,$B1232)+COUNTIF(W1208:W1225,$B1232&amp;" ~*")&gt;0)+(COUNTIF(Y1208:Y1225,$B1232)+COUNTIF(Y1208:Y1225,$B1232&amp;" ~*")&gt;0))</f>
        <v/>
      </c>
      <c r="AC1232" s="38">
        <f>IF($B1232="","",(IFERROR(INDEX(Setup!$G$33:$G$40,MATCH(C1232,Setup!$B$33:$B$40,0)),0)=1)*(COUNTIF(C1208:E1225,$B1232)+COUNTIF(C1208:E1225,$B1232&amp;" ~*")&gt;0)+(IFERROR(INDEX(Setup!$G$33:$G$40,MATCH(G1232,Setup!$B$33:$B$40,0)),0)=1)*(COUNTIF(G1208:I1225,$B1232)+COUNTIF(G1208:I1225,$B1232&amp;" ~*")&gt;0)+(IFERROR(INDEX(Setup!$G$33:$G$40,MATCH(K1232,Setup!$B$33:$B$40,0)),0)=1)*(COUNTIF(K1208:M1225,$B1232)+COUNTIF(K1208:M1225,$B1232&amp;" ~*")&gt;0)+(IFERROR(INDEX(Setup!$G$33:$G$40,MATCH(O1232,Setup!$B$33:$B$40,0)),0)=1)*(COUNTIF(O1208:Q1225,$B1232)+COUNTIF(O1208:Q1225,$B1232&amp;" ~*")&gt;0)+(IFERROR(INDEX(Setup!$G$33:$G$40,MATCH(S1232,Setup!$B$33:$B$40,0)),0)=1)*(COUNTIF(S1208:U1225,$B1232)+COUNTIF(S1208:U1225,$B1232&amp;" ~*")&gt;0)+(IFERROR(INDEX(Setup!$G$33:$G$40,MATCH(W1232,Setup!$B$33:$B$40,0)),0)=1)*(COUNTIF(W1208:W1225,$B1232)+COUNTIF(W1208:W1225,$B1232&amp;" ~*")&gt;0)+(IFERROR(INDEX(Setup!$G$33:$G$40,MATCH(Y1232,Setup!$B$33:$B$40,0)),0)=1)*(COUNTIF(Y1208:Y1225,$B1232)+COUNTIF(Y1208:Y1225,$B1232&amp;" ~*")&gt;0))</f>
        <v/>
      </c>
    </row>
    <row r="1233" ht="15" customHeight="1">
      <c r="A1233" t="n">
        <v>25</v>
      </c>
      <c r="B1233" s="35">
        <f>IF(Setup!$B$12="","",Setup!$B$12)</f>
        <v/>
      </c>
      <c r="C1233" s="98" t="n"/>
      <c r="D1233" s="99" t="n"/>
      <c r="E1233" s="99" t="n"/>
      <c r="F1233" s="100" t="n"/>
      <c r="G1233" s="98" t="n"/>
      <c r="H1233" s="99" t="n"/>
      <c r="I1233" s="99" t="n"/>
      <c r="J1233" s="100" t="n"/>
      <c r="K1233" s="98" t="n"/>
      <c r="L1233" s="99" t="n"/>
      <c r="M1233" s="99" t="n"/>
      <c r="N1233" s="100" t="n"/>
      <c r="O1233" s="98" t="n"/>
      <c r="P1233" s="99" t="n"/>
      <c r="Q1233" s="99" t="n"/>
      <c r="R1233" s="100" t="n"/>
      <c r="S1233" s="98" t="n"/>
      <c r="T1233" s="99" t="n"/>
      <c r="U1233" s="99" t="n"/>
      <c r="V1233" s="100" t="n"/>
      <c r="W1233" s="98" t="n"/>
      <c r="X1233" s="100" t="n"/>
      <c r="Y1233" s="98" t="n"/>
      <c r="Z1233" s="100" t="n"/>
      <c r="AB1233" s="101">
        <f>IF($B1233="","",(COUNTIF(C1208:E1225,$B1233)+COUNTIF(C1208:E1225,$B1233&amp;" ~*")&gt;0)+(COUNTIF(G1208:I1225,$B1233)+COUNTIF(G1208:I1225,$B1233&amp;" ~*")&gt;0)+(COUNTIF(K1208:M1225,$B1233)+COUNTIF(K1208:M1225,$B1233&amp;" ~*")&gt;0)+(COUNTIF(O1208:Q1225,$B1233)+COUNTIF(O1208:Q1225,$B1233&amp;" ~*")&gt;0)+(COUNTIF(S1208:U1225,$B1233)+COUNTIF(S1208:U1225,$B1233&amp;" ~*")&gt;0)+(COUNTIF(W1208:W1225,$B1233)+COUNTIF(W1208:W1225,$B1233&amp;" ~*")&gt;0)+(COUNTIF(Y1208:Y1225,$B1233)+COUNTIF(Y1208:Y1225,$B1233&amp;" ~*")&gt;0))</f>
        <v/>
      </c>
      <c r="AC1233" s="36">
        <f>IF($B1233="","",(IFERROR(INDEX(Setup!$G$33:$G$40,MATCH(C1233,Setup!$B$33:$B$40,0)),0)=1)*(COUNTIF(C1208:E1225,$B1233)+COUNTIF(C1208:E1225,$B1233&amp;" ~*")&gt;0)+(IFERROR(INDEX(Setup!$G$33:$G$40,MATCH(G1233,Setup!$B$33:$B$40,0)),0)=1)*(COUNTIF(G1208:I1225,$B1233)+COUNTIF(G1208:I1225,$B1233&amp;" ~*")&gt;0)+(IFERROR(INDEX(Setup!$G$33:$G$40,MATCH(K1233,Setup!$B$33:$B$40,0)),0)=1)*(COUNTIF(K1208:M1225,$B1233)+COUNTIF(K1208:M1225,$B1233&amp;" ~*")&gt;0)+(IFERROR(INDEX(Setup!$G$33:$G$40,MATCH(O1233,Setup!$B$33:$B$40,0)),0)=1)*(COUNTIF(O1208:Q1225,$B1233)+COUNTIF(O1208:Q1225,$B1233&amp;" ~*")&gt;0)+(IFERROR(INDEX(Setup!$G$33:$G$40,MATCH(S1233,Setup!$B$33:$B$40,0)),0)=1)*(COUNTIF(S1208:U1225,$B1233)+COUNTIF(S1208:U1225,$B1233&amp;" ~*")&gt;0)+(IFERROR(INDEX(Setup!$G$33:$G$40,MATCH(W1233,Setup!$B$33:$B$40,0)),0)=1)*(COUNTIF(W1208:W1225,$B1233)+COUNTIF(W1208:W1225,$B1233&amp;" ~*")&gt;0)+(IFERROR(INDEX(Setup!$G$33:$G$40,MATCH(Y1233,Setup!$B$33:$B$40,0)),0)=1)*(COUNTIF(Y1208:Y1225,$B1233)+COUNTIF(Y1208:Y1225,$B1233&amp;" ~*")&gt;0))</f>
        <v/>
      </c>
    </row>
    <row r="1234" ht="15" customHeight="1">
      <c r="A1234" t="n">
        <v>25</v>
      </c>
      <c r="B1234" s="37">
        <f>IF(Setup!$B$13="","",Setup!$B$13)</f>
        <v/>
      </c>
      <c r="C1234" s="102" t="n"/>
      <c r="D1234" s="103" t="n"/>
      <c r="E1234" s="103" t="n"/>
      <c r="F1234" s="104" t="n"/>
      <c r="G1234" s="102" t="n"/>
      <c r="H1234" s="103" t="n"/>
      <c r="I1234" s="103" t="n"/>
      <c r="J1234" s="104" t="n"/>
      <c r="K1234" s="102" t="n"/>
      <c r="L1234" s="103" t="n"/>
      <c r="M1234" s="103" t="n"/>
      <c r="N1234" s="104" t="n"/>
      <c r="O1234" s="102" t="n"/>
      <c r="P1234" s="103" t="n"/>
      <c r="Q1234" s="103" t="n"/>
      <c r="R1234" s="104" t="n"/>
      <c r="S1234" s="102" t="n"/>
      <c r="T1234" s="103" t="n"/>
      <c r="U1234" s="103" t="n"/>
      <c r="V1234" s="104" t="n"/>
      <c r="W1234" s="102" t="n"/>
      <c r="X1234" s="104" t="n"/>
      <c r="Y1234" s="102" t="n"/>
      <c r="Z1234" s="104" t="n"/>
      <c r="AB1234" s="105">
        <f>IF($B1234="","",(COUNTIF(C1208:E1225,$B1234)+COUNTIF(C1208:E1225,$B1234&amp;" ~*")&gt;0)+(COUNTIF(G1208:I1225,$B1234)+COUNTIF(G1208:I1225,$B1234&amp;" ~*")&gt;0)+(COUNTIF(K1208:M1225,$B1234)+COUNTIF(K1208:M1225,$B1234&amp;" ~*")&gt;0)+(COUNTIF(O1208:Q1225,$B1234)+COUNTIF(O1208:Q1225,$B1234&amp;" ~*")&gt;0)+(COUNTIF(S1208:U1225,$B1234)+COUNTIF(S1208:U1225,$B1234&amp;" ~*")&gt;0)+(COUNTIF(W1208:W1225,$B1234)+COUNTIF(W1208:W1225,$B1234&amp;" ~*")&gt;0)+(COUNTIF(Y1208:Y1225,$B1234)+COUNTIF(Y1208:Y1225,$B1234&amp;" ~*")&gt;0))</f>
        <v/>
      </c>
      <c r="AC1234" s="38">
        <f>IF($B1234="","",(IFERROR(INDEX(Setup!$G$33:$G$40,MATCH(C1234,Setup!$B$33:$B$40,0)),0)=1)*(COUNTIF(C1208:E1225,$B1234)+COUNTIF(C1208:E1225,$B1234&amp;" ~*")&gt;0)+(IFERROR(INDEX(Setup!$G$33:$G$40,MATCH(G1234,Setup!$B$33:$B$40,0)),0)=1)*(COUNTIF(G1208:I1225,$B1234)+COUNTIF(G1208:I1225,$B1234&amp;" ~*")&gt;0)+(IFERROR(INDEX(Setup!$G$33:$G$40,MATCH(K1234,Setup!$B$33:$B$40,0)),0)=1)*(COUNTIF(K1208:M1225,$B1234)+COUNTIF(K1208:M1225,$B1234&amp;" ~*")&gt;0)+(IFERROR(INDEX(Setup!$G$33:$G$40,MATCH(O1234,Setup!$B$33:$B$40,0)),0)=1)*(COUNTIF(O1208:Q1225,$B1234)+COUNTIF(O1208:Q1225,$B1234&amp;" ~*")&gt;0)+(IFERROR(INDEX(Setup!$G$33:$G$40,MATCH(S1234,Setup!$B$33:$B$40,0)),0)=1)*(COUNTIF(S1208:U1225,$B1234)+COUNTIF(S1208:U1225,$B1234&amp;" ~*")&gt;0)+(IFERROR(INDEX(Setup!$G$33:$G$40,MATCH(W1234,Setup!$B$33:$B$40,0)),0)=1)*(COUNTIF(W1208:W1225,$B1234)+COUNTIF(W1208:W1225,$B1234&amp;" ~*")&gt;0)+(IFERROR(INDEX(Setup!$G$33:$G$40,MATCH(Y1234,Setup!$B$33:$B$40,0)),0)=1)*(COUNTIF(Y1208:Y1225,$B1234)+COUNTIF(Y1208:Y1225,$B1234&amp;" ~*")&gt;0))</f>
        <v/>
      </c>
    </row>
    <row r="1235" ht="15" customHeight="1">
      <c r="A1235" t="n">
        <v>25</v>
      </c>
      <c r="B1235" s="35">
        <f>IF(Setup!$B$14="","",Setup!$B$14)</f>
        <v/>
      </c>
      <c r="C1235" s="98" t="n"/>
      <c r="D1235" s="99" t="n"/>
      <c r="E1235" s="99" t="n"/>
      <c r="F1235" s="100" t="n"/>
      <c r="G1235" s="98" t="n"/>
      <c r="H1235" s="99" t="n"/>
      <c r="I1235" s="99" t="n"/>
      <c r="J1235" s="100" t="n"/>
      <c r="K1235" s="98" t="n"/>
      <c r="L1235" s="99" t="n"/>
      <c r="M1235" s="99" t="n"/>
      <c r="N1235" s="100" t="n"/>
      <c r="O1235" s="98" t="n"/>
      <c r="P1235" s="99" t="n"/>
      <c r="Q1235" s="99" t="n"/>
      <c r="R1235" s="100" t="n"/>
      <c r="S1235" s="98" t="n"/>
      <c r="T1235" s="99" t="n"/>
      <c r="U1235" s="99" t="n"/>
      <c r="V1235" s="100" t="n"/>
      <c r="W1235" s="98" t="n"/>
      <c r="X1235" s="100" t="n"/>
      <c r="Y1235" s="98" t="n"/>
      <c r="Z1235" s="100" t="n"/>
      <c r="AB1235" s="101">
        <f>IF($B1235="","",(COUNTIF(C1208:E1225,$B1235)+COUNTIF(C1208:E1225,$B1235&amp;" ~*")&gt;0)+(COUNTIF(G1208:I1225,$B1235)+COUNTIF(G1208:I1225,$B1235&amp;" ~*")&gt;0)+(COUNTIF(K1208:M1225,$B1235)+COUNTIF(K1208:M1225,$B1235&amp;" ~*")&gt;0)+(COUNTIF(O1208:Q1225,$B1235)+COUNTIF(O1208:Q1225,$B1235&amp;" ~*")&gt;0)+(COUNTIF(S1208:U1225,$B1235)+COUNTIF(S1208:U1225,$B1235&amp;" ~*")&gt;0)+(COUNTIF(W1208:W1225,$B1235)+COUNTIF(W1208:W1225,$B1235&amp;" ~*")&gt;0)+(COUNTIF(Y1208:Y1225,$B1235)+COUNTIF(Y1208:Y1225,$B1235&amp;" ~*")&gt;0))</f>
        <v/>
      </c>
      <c r="AC1235" s="36">
        <f>IF($B1235="","",(IFERROR(INDEX(Setup!$G$33:$G$40,MATCH(C1235,Setup!$B$33:$B$40,0)),0)=1)*(COUNTIF(C1208:E1225,$B1235)+COUNTIF(C1208:E1225,$B1235&amp;" ~*")&gt;0)+(IFERROR(INDEX(Setup!$G$33:$G$40,MATCH(G1235,Setup!$B$33:$B$40,0)),0)=1)*(COUNTIF(G1208:I1225,$B1235)+COUNTIF(G1208:I1225,$B1235&amp;" ~*")&gt;0)+(IFERROR(INDEX(Setup!$G$33:$G$40,MATCH(K1235,Setup!$B$33:$B$40,0)),0)=1)*(COUNTIF(K1208:M1225,$B1235)+COUNTIF(K1208:M1225,$B1235&amp;" ~*")&gt;0)+(IFERROR(INDEX(Setup!$G$33:$G$40,MATCH(O1235,Setup!$B$33:$B$40,0)),0)=1)*(COUNTIF(O1208:Q1225,$B1235)+COUNTIF(O1208:Q1225,$B1235&amp;" ~*")&gt;0)+(IFERROR(INDEX(Setup!$G$33:$G$40,MATCH(S1235,Setup!$B$33:$B$40,0)),0)=1)*(COUNTIF(S1208:U1225,$B1235)+COUNTIF(S1208:U1225,$B1235&amp;" ~*")&gt;0)+(IFERROR(INDEX(Setup!$G$33:$G$40,MATCH(W1235,Setup!$B$33:$B$40,0)),0)=1)*(COUNTIF(W1208:W1225,$B1235)+COUNTIF(W1208:W1225,$B1235&amp;" ~*")&gt;0)+(IFERROR(INDEX(Setup!$G$33:$G$40,MATCH(Y1235,Setup!$B$33:$B$40,0)),0)=1)*(COUNTIF(Y1208:Y1225,$B1235)+COUNTIF(Y1208:Y1225,$B1235&amp;" ~*")&gt;0))</f>
        <v/>
      </c>
    </row>
    <row r="1236" ht="15" customHeight="1">
      <c r="A1236" t="n">
        <v>25</v>
      </c>
      <c r="B1236" s="37">
        <f>IF(Setup!$B$15="","",Setup!$B$15)</f>
        <v/>
      </c>
      <c r="C1236" s="102" t="n"/>
      <c r="D1236" s="103" t="n"/>
      <c r="E1236" s="103" t="n"/>
      <c r="F1236" s="104" t="n"/>
      <c r="G1236" s="102" t="n"/>
      <c r="H1236" s="103" t="n"/>
      <c r="I1236" s="103" t="n"/>
      <c r="J1236" s="104" t="n"/>
      <c r="K1236" s="102" t="n"/>
      <c r="L1236" s="103" t="n"/>
      <c r="M1236" s="103" t="n"/>
      <c r="N1236" s="104" t="n"/>
      <c r="O1236" s="102" t="n"/>
      <c r="P1236" s="103" t="n"/>
      <c r="Q1236" s="103" t="n"/>
      <c r="R1236" s="104" t="n"/>
      <c r="S1236" s="102" t="n"/>
      <c r="T1236" s="103" t="n"/>
      <c r="U1236" s="103" t="n"/>
      <c r="V1236" s="104" t="n"/>
      <c r="W1236" s="102" t="n"/>
      <c r="X1236" s="104" t="n"/>
      <c r="Y1236" s="102" t="n"/>
      <c r="Z1236" s="104" t="n"/>
      <c r="AB1236" s="105">
        <f>IF($B1236="","",(COUNTIF(C1208:E1225,$B1236)+COUNTIF(C1208:E1225,$B1236&amp;" ~*")&gt;0)+(COUNTIF(G1208:I1225,$B1236)+COUNTIF(G1208:I1225,$B1236&amp;" ~*")&gt;0)+(COUNTIF(K1208:M1225,$B1236)+COUNTIF(K1208:M1225,$B1236&amp;" ~*")&gt;0)+(COUNTIF(O1208:Q1225,$B1236)+COUNTIF(O1208:Q1225,$B1236&amp;" ~*")&gt;0)+(COUNTIF(S1208:U1225,$B1236)+COUNTIF(S1208:U1225,$B1236&amp;" ~*")&gt;0)+(COUNTIF(W1208:W1225,$B1236)+COUNTIF(W1208:W1225,$B1236&amp;" ~*")&gt;0)+(COUNTIF(Y1208:Y1225,$B1236)+COUNTIF(Y1208:Y1225,$B1236&amp;" ~*")&gt;0))</f>
        <v/>
      </c>
      <c r="AC1236" s="38">
        <f>IF($B1236="","",(IFERROR(INDEX(Setup!$G$33:$G$40,MATCH(C1236,Setup!$B$33:$B$40,0)),0)=1)*(COUNTIF(C1208:E1225,$B1236)+COUNTIF(C1208:E1225,$B1236&amp;" ~*")&gt;0)+(IFERROR(INDEX(Setup!$G$33:$G$40,MATCH(G1236,Setup!$B$33:$B$40,0)),0)=1)*(COUNTIF(G1208:I1225,$B1236)+COUNTIF(G1208:I1225,$B1236&amp;" ~*")&gt;0)+(IFERROR(INDEX(Setup!$G$33:$G$40,MATCH(K1236,Setup!$B$33:$B$40,0)),0)=1)*(COUNTIF(K1208:M1225,$B1236)+COUNTIF(K1208:M1225,$B1236&amp;" ~*")&gt;0)+(IFERROR(INDEX(Setup!$G$33:$G$40,MATCH(O1236,Setup!$B$33:$B$40,0)),0)=1)*(COUNTIF(O1208:Q1225,$B1236)+COUNTIF(O1208:Q1225,$B1236&amp;" ~*")&gt;0)+(IFERROR(INDEX(Setup!$G$33:$G$40,MATCH(S1236,Setup!$B$33:$B$40,0)),0)=1)*(COUNTIF(S1208:U1225,$B1236)+COUNTIF(S1208:U1225,$B1236&amp;" ~*")&gt;0)+(IFERROR(INDEX(Setup!$G$33:$G$40,MATCH(W1236,Setup!$B$33:$B$40,0)),0)=1)*(COUNTIF(W1208:W1225,$B1236)+COUNTIF(W1208:W1225,$B1236&amp;" ~*")&gt;0)+(IFERROR(INDEX(Setup!$G$33:$G$40,MATCH(Y1236,Setup!$B$33:$B$40,0)),0)=1)*(COUNTIF(Y1208:Y1225,$B1236)+COUNTIF(Y1208:Y1225,$B1236&amp;" ~*")&gt;0))</f>
        <v/>
      </c>
    </row>
    <row r="1237" ht="15" customHeight="1">
      <c r="A1237" t="n">
        <v>25</v>
      </c>
      <c r="B1237" s="35">
        <f>IF(Setup!$B$16="","",Setup!$B$16)</f>
        <v/>
      </c>
      <c r="C1237" s="98" t="n"/>
      <c r="D1237" s="99" t="n"/>
      <c r="E1237" s="99" t="n"/>
      <c r="F1237" s="100" t="n"/>
      <c r="G1237" s="98" t="n"/>
      <c r="H1237" s="99" t="n"/>
      <c r="I1237" s="99" t="n"/>
      <c r="J1237" s="100" t="n"/>
      <c r="K1237" s="98" t="n"/>
      <c r="L1237" s="99" t="n"/>
      <c r="M1237" s="99" t="n"/>
      <c r="N1237" s="100" t="n"/>
      <c r="O1237" s="98" t="n"/>
      <c r="P1237" s="99" t="n"/>
      <c r="Q1237" s="99" t="n"/>
      <c r="R1237" s="100" t="n"/>
      <c r="S1237" s="98" t="n"/>
      <c r="T1237" s="99" t="n"/>
      <c r="U1237" s="99" t="n"/>
      <c r="V1237" s="100" t="n"/>
      <c r="W1237" s="98" t="n"/>
      <c r="X1237" s="100" t="n"/>
      <c r="Y1237" s="98" t="n"/>
      <c r="Z1237" s="100" t="n"/>
      <c r="AB1237" s="101">
        <f>IF($B1237="","",(COUNTIF(C1208:E1225,$B1237)+COUNTIF(C1208:E1225,$B1237&amp;" ~*")&gt;0)+(COUNTIF(G1208:I1225,$B1237)+COUNTIF(G1208:I1225,$B1237&amp;" ~*")&gt;0)+(COUNTIF(K1208:M1225,$B1237)+COUNTIF(K1208:M1225,$B1237&amp;" ~*")&gt;0)+(COUNTIF(O1208:Q1225,$B1237)+COUNTIF(O1208:Q1225,$B1237&amp;" ~*")&gt;0)+(COUNTIF(S1208:U1225,$B1237)+COUNTIF(S1208:U1225,$B1237&amp;" ~*")&gt;0)+(COUNTIF(W1208:W1225,$B1237)+COUNTIF(W1208:W1225,$B1237&amp;" ~*")&gt;0)+(COUNTIF(Y1208:Y1225,$B1237)+COUNTIF(Y1208:Y1225,$B1237&amp;" ~*")&gt;0))</f>
        <v/>
      </c>
      <c r="AC1237" s="36">
        <f>IF($B1237="","",(IFERROR(INDEX(Setup!$G$33:$G$40,MATCH(C1237,Setup!$B$33:$B$40,0)),0)=1)*(COUNTIF(C1208:E1225,$B1237)+COUNTIF(C1208:E1225,$B1237&amp;" ~*")&gt;0)+(IFERROR(INDEX(Setup!$G$33:$G$40,MATCH(G1237,Setup!$B$33:$B$40,0)),0)=1)*(COUNTIF(G1208:I1225,$B1237)+COUNTIF(G1208:I1225,$B1237&amp;" ~*")&gt;0)+(IFERROR(INDEX(Setup!$G$33:$G$40,MATCH(K1237,Setup!$B$33:$B$40,0)),0)=1)*(COUNTIF(K1208:M1225,$B1237)+COUNTIF(K1208:M1225,$B1237&amp;" ~*")&gt;0)+(IFERROR(INDEX(Setup!$G$33:$G$40,MATCH(O1237,Setup!$B$33:$B$40,0)),0)=1)*(COUNTIF(O1208:Q1225,$B1237)+COUNTIF(O1208:Q1225,$B1237&amp;" ~*")&gt;0)+(IFERROR(INDEX(Setup!$G$33:$G$40,MATCH(S1237,Setup!$B$33:$B$40,0)),0)=1)*(COUNTIF(S1208:U1225,$B1237)+COUNTIF(S1208:U1225,$B1237&amp;" ~*")&gt;0)+(IFERROR(INDEX(Setup!$G$33:$G$40,MATCH(W1237,Setup!$B$33:$B$40,0)),0)=1)*(COUNTIF(W1208:W1225,$B1237)+COUNTIF(W1208:W1225,$B1237&amp;" ~*")&gt;0)+(IFERROR(INDEX(Setup!$G$33:$G$40,MATCH(Y1237,Setup!$B$33:$B$40,0)),0)=1)*(COUNTIF(Y1208:Y1225,$B1237)+COUNTIF(Y1208:Y1225,$B1237&amp;" ~*")&gt;0))</f>
        <v/>
      </c>
    </row>
    <row r="1238" ht="15" customHeight="1">
      <c r="A1238" t="n">
        <v>25</v>
      </c>
      <c r="B1238" s="37">
        <f>IF(Setup!$B$17="","",Setup!$B$17)</f>
        <v/>
      </c>
      <c r="C1238" s="102" t="n"/>
      <c r="D1238" s="103" t="n"/>
      <c r="E1238" s="103" t="n"/>
      <c r="F1238" s="104" t="n"/>
      <c r="G1238" s="102" t="n"/>
      <c r="H1238" s="103" t="n"/>
      <c r="I1238" s="103" t="n"/>
      <c r="J1238" s="104" t="n"/>
      <c r="K1238" s="102" t="n"/>
      <c r="L1238" s="103" t="n"/>
      <c r="M1238" s="103" t="n"/>
      <c r="N1238" s="104" t="n"/>
      <c r="O1238" s="102" t="n"/>
      <c r="P1238" s="103" t="n"/>
      <c r="Q1238" s="103" t="n"/>
      <c r="R1238" s="104" t="n"/>
      <c r="S1238" s="102" t="n"/>
      <c r="T1238" s="103" t="n"/>
      <c r="U1238" s="103" t="n"/>
      <c r="V1238" s="104" t="n"/>
      <c r="W1238" s="102" t="n"/>
      <c r="X1238" s="104" t="n"/>
      <c r="Y1238" s="102" t="n"/>
      <c r="Z1238" s="104" t="n"/>
      <c r="AB1238" s="105">
        <f>IF($B1238="","",(COUNTIF(C1208:E1225,$B1238)+COUNTIF(C1208:E1225,$B1238&amp;" ~*")&gt;0)+(COUNTIF(G1208:I1225,$B1238)+COUNTIF(G1208:I1225,$B1238&amp;" ~*")&gt;0)+(COUNTIF(K1208:M1225,$B1238)+COUNTIF(K1208:M1225,$B1238&amp;" ~*")&gt;0)+(COUNTIF(O1208:Q1225,$B1238)+COUNTIF(O1208:Q1225,$B1238&amp;" ~*")&gt;0)+(COUNTIF(S1208:U1225,$B1238)+COUNTIF(S1208:U1225,$B1238&amp;" ~*")&gt;0)+(COUNTIF(W1208:W1225,$B1238)+COUNTIF(W1208:W1225,$B1238&amp;" ~*")&gt;0)+(COUNTIF(Y1208:Y1225,$B1238)+COUNTIF(Y1208:Y1225,$B1238&amp;" ~*")&gt;0))</f>
        <v/>
      </c>
      <c r="AC1238" s="38">
        <f>IF($B1238="","",(IFERROR(INDEX(Setup!$G$33:$G$40,MATCH(C1238,Setup!$B$33:$B$40,0)),0)=1)*(COUNTIF(C1208:E1225,$B1238)+COUNTIF(C1208:E1225,$B1238&amp;" ~*")&gt;0)+(IFERROR(INDEX(Setup!$G$33:$G$40,MATCH(G1238,Setup!$B$33:$B$40,0)),0)=1)*(COUNTIF(G1208:I1225,$B1238)+COUNTIF(G1208:I1225,$B1238&amp;" ~*")&gt;0)+(IFERROR(INDEX(Setup!$G$33:$G$40,MATCH(K1238,Setup!$B$33:$B$40,0)),0)=1)*(COUNTIF(K1208:M1225,$B1238)+COUNTIF(K1208:M1225,$B1238&amp;" ~*")&gt;0)+(IFERROR(INDEX(Setup!$G$33:$G$40,MATCH(O1238,Setup!$B$33:$B$40,0)),0)=1)*(COUNTIF(O1208:Q1225,$B1238)+COUNTIF(O1208:Q1225,$B1238&amp;" ~*")&gt;0)+(IFERROR(INDEX(Setup!$G$33:$G$40,MATCH(S1238,Setup!$B$33:$B$40,0)),0)=1)*(COUNTIF(S1208:U1225,$B1238)+COUNTIF(S1208:U1225,$B1238&amp;" ~*")&gt;0)+(IFERROR(INDEX(Setup!$G$33:$G$40,MATCH(W1238,Setup!$B$33:$B$40,0)),0)=1)*(COUNTIF(W1208:W1225,$B1238)+COUNTIF(W1208:W1225,$B1238&amp;" ~*")&gt;0)+(IFERROR(INDEX(Setup!$G$33:$G$40,MATCH(Y1238,Setup!$B$33:$B$40,0)),0)=1)*(COUNTIF(Y1208:Y1225,$B1238)+COUNTIF(Y1208:Y1225,$B1238&amp;" ~*")&gt;0))</f>
        <v/>
      </c>
    </row>
    <row r="1239" ht="15" customHeight="1">
      <c r="A1239" t="n">
        <v>25</v>
      </c>
      <c r="B1239" s="35">
        <f>IF(Setup!$B$18="","",Setup!$B$18)</f>
        <v/>
      </c>
      <c r="C1239" s="98" t="n"/>
      <c r="D1239" s="99" t="n"/>
      <c r="E1239" s="99" t="n"/>
      <c r="F1239" s="100" t="n"/>
      <c r="G1239" s="98" t="n"/>
      <c r="H1239" s="99" t="n"/>
      <c r="I1239" s="99" t="n"/>
      <c r="J1239" s="100" t="n"/>
      <c r="K1239" s="98" t="n"/>
      <c r="L1239" s="99" t="n"/>
      <c r="M1239" s="99" t="n"/>
      <c r="N1239" s="100" t="n"/>
      <c r="O1239" s="98" t="n"/>
      <c r="P1239" s="99" t="n"/>
      <c r="Q1239" s="99" t="n"/>
      <c r="R1239" s="100" t="n"/>
      <c r="S1239" s="98" t="n"/>
      <c r="T1239" s="99" t="n"/>
      <c r="U1239" s="99" t="n"/>
      <c r="V1239" s="100" t="n"/>
      <c r="W1239" s="98" t="n"/>
      <c r="X1239" s="100" t="n"/>
      <c r="Y1239" s="98" t="n"/>
      <c r="Z1239" s="100" t="n"/>
      <c r="AB1239" s="101">
        <f>IF($B1239="","",(COUNTIF(C1208:E1225,$B1239)+COUNTIF(C1208:E1225,$B1239&amp;" ~*")&gt;0)+(COUNTIF(G1208:I1225,$B1239)+COUNTIF(G1208:I1225,$B1239&amp;" ~*")&gt;0)+(COUNTIF(K1208:M1225,$B1239)+COUNTIF(K1208:M1225,$B1239&amp;" ~*")&gt;0)+(COUNTIF(O1208:Q1225,$B1239)+COUNTIF(O1208:Q1225,$B1239&amp;" ~*")&gt;0)+(COUNTIF(S1208:U1225,$B1239)+COUNTIF(S1208:U1225,$B1239&amp;" ~*")&gt;0)+(COUNTIF(W1208:W1225,$B1239)+COUNTIF(W1208:W1225,$B1239&amp;" ~*")&gt;0)+(COUNTIF(Y1208:Y1225,$B1239)+COUNTIF(Y1208:Y1225,$B1239&amp;" ~*")&gt;0))</f>
        <v/>
      </c>
      <c r="AC1239" s="36">
        <f>IF($B1239="","",(IFERROR(INDEX(Setup!$G$33:$G$40,MATCH(C1239,Setup!$B$33:$B$40,0)),0)=1)*(COUNTIF(C1208:E1225,$B1239)+COUNTIF(C1208:E1225,$B1239&amp;" ~*")&gt;0)+(IFERROR(INDEX(Setup!$G$33:$G$40,MATCH(G1239,Setup!$B$33:$B$40,0)),0)=1)*(COUNTIF(G1208:I1225,$B1239)+COUNTIF(G1208:I1225,$B1239&amp;" ~*")&gt;0)+(IFERROR(INDEX(Setup!$G$33:$G$40,MATCH(K1239,Setup!$B$33:$B$40,0)),0)=1)*(COUNTIF(K1208:M1225,$B1239)+COUNTIF(K1208:M1225,$B1239&amp;" ~*")&gt;0)+(IFERROR(INDEX(Setup!$G$33:$G$40,MATCH(O1239,Setup!$B$33:$B$40,0)),0)=1)*(COUNTIF(O1208:Q1225,$B1239)+COUNTIF(O1208:Q1225,$B1239&amp;" ~*")&gt;0)+(IFERROR(INDEX(Setup!$G$33:$G$40,MATCH(S1239,Setup!$B$33:$B$40,0)),0)=1)*(COUNTIF(S1208:U1225,$B1239)+COUNTIF(S1208:U1225,$B1239&amp;" ~*")&gt;0)+(IFERROR(INDEX(Setup!$G$33:$G$40,MATCH(W1239,Setup!$B$33:$B$40,0)),0)=1)*(COUNTIF(W1208:W1225,$B1239)+COUNTIF(W1208:W1225,$B1239&amp;" ~*")&gt;0)+(IFERROR(INDEX(Setup!$G$33:$G$40,MATCH(Y1239,Setup!$B$33:$B$40,0)),0)=1)*(COUNTIF(Y1208:Y1225,$B1239)+COUNTIF(Y1208:Y1225,$B1239&amp;" ~*")&gt;0))</f>
        <v/>
      </c>
    </row>
    <row r="1240" ht="15" customHeight="1">
      <c r="A1240" t="n">
        <v>25</v>
      </c>
      <c r="B1240" s="37">
        <f>IF(Setup!$B$19="","",Setup!$B$19)</f>
        <v/>
      </c>
      <c r="C1240" s="102" t="n"/>
      <c r="D1240" s="103" t="n"/>
      <c r="E1240" s="103" t="n"/>
      <c r="F1240" s="104" t="n"/>
      <c r="G1240" s="102" t="n"/>
      <c r="H1240" s="103" t="n"/>
      <c r="I1240" s="103" t="n"/>
      <c r="J1240" s="104" t="n"/>
      <c r="K1240" s="102" t="n"/>
      <c r="L1240" s="103" t="n"/>
      <c r="M1240" s="103" t="n"/>
      <c r="N1240" s="104" t="n"/>
      <c r="O1240" s="102" t="n"/>
      <c r="P1240" s="103" t="n"/>
      <c r="Q1240" s="103" t="n"/>
      <c r="R1240" s="104" t="n"/>
      <c r="S1240" s="102" t="n"/>
      <c r="T1240" s="103" t="n"/>
      <c r="U1240" s="103" t="n"/>
      <c r="V1240" s="104" t="n"/>
      <c r="W1240" s="102" t="n"/>
      <c r="X1240" s="104" t="n"/>
      <c r="Y1240" s="102" t="n"/>
      <c r="Z1240" s="104" t="n"/>
      <c r="AB1240" s="105">
        <f>IF($B1240="","",(COUNTIF(C1208:E1225,$B1240)+COUNTIF(C1208:E1225,$B1240&amp;" ~*")&gt;0)+(COUNTIF(G1208:I1225,$B1240)+COUNTIF(G1208:I1225,$B1240&amp;" ~*")&gt;0)+(COUNTIF(K1208:M1225,$B1240)+COUNTIF(K1208:M1225,$B1240&amp;" ~*")&gt;0)+(COUNTIF(O1208:Q1225,$B1240)+COUNTIF(O1208:Q1225,$B1240&amp;" ~*")&gt;0)+(COUNTIF(S1208:U1225,$B1240)+COUNTIF(S1208:U1225,$B1240&amp;" ~*")&gt;0)+(COUNTIF(W1208:W1225,$B1240)+COUNTIF(W1208:W1225,$B1240&amp;" ~*")&gt;0)+(COUNTIF(Y1208:Y1225,$B1240)+COUNTIF(Y1208:Y1225,$B1240&amp;" ~*")&gt;0))</f>
        <v/>
      </c>
      <c r="AC1240" s="38">
        <f>IF($B1240="","",(IFERROR(INDEX(Setup!$G$33:$G$40,MATCH(C1240,Setup!$B$33:$B$40,0)),0)=1)*(COUNTIF(C1208:E1225,$B1240)+COUNTIF(C1208:E1225,$B1240&amp;" ~*")&gt;0)+(IFERROR(INDEX(Setup!$G$33:$G$40,MATCH(G1240,Setup!$B$33:$B$40,0)),0)=1)*(COUNTIF(G1208:I1225,$B1240)+COUNTIF(G1208:I1225,$B1240&amp;" ~*")&gt;0)+(IFERROR(INDEX(Setup!$G$33:$G$40,MATCH(K1240,Setup!$B$33:$B$40,0)),0)=1)*(COUNTIF(K1208:M1225,$B1240)+COUNTIF(K1208:M1225,$B1240&amp;" ~*")&gt;0)+(IFERROR(INDEX(Setup!$G$33:$G$40,MATCH(O1240,Setup!$B$33:$B$40,0)),0)=1)*(COUNTIF(O1208:Q1225,$B1240)+COUNTIF(O1208:Q1225,$B1240&amp;" ~*")&gt;0)+(IFERROR(INDEX(Setup!$G$33:$G$40,MATCH(S1240,Setup!$B$33:$B$40,0)),0)=1)*(COUNTIF(S1208:U1225,$B1240)+COUNTIF(S1208:U1225,$B1240&amp;" ~*")&gt;0)+(IFERROR(INDEX(Setup!$G$33:$G$40,MATCH(W1240,Setup!$B$33:$B$40,0)),0)=1)*(COUNTIF(W1208:W1225,$B1240)+COUNTIF(W1208:W1225,$B1240&amp;" ~*")&gt;0)+(IFERROR(INDEX(Setup!$G$33:$G$40,MATCH(Y1240,Setup!$B$33:$B$40,0)),0)=1)*(COUNTIF(Y1208:Y1225,$B1240)+COUNTIF(Y1208:Y1225,$B1240&amp;" ~*")&gt;0))</f>
        <v/>
      </c>
    </row>
    <row r="1241" ht="15" customHeight="1">
      <c r="A1241" t="n">
        <v>25</v>
      </c>
      <c r="B1241" s="35">
        <f>IF(Setup!$B$20="","",Setup!$B$20)</f>
        <v/>
      </c>
      <c r="C1241" s="98" t="n"/>
      <c r="D1241" s="99" t="n"/>
      <c r="E1241" s="99" t="n"/>
      <c r="F1241" s="100" t="n"/>
      <c r="G1241" s="98" t="n"/>
      <c r="H1241" s="99" t="n"/>
      <c r="I1241" s="99" t="n"/>
      <c r="J1241" s="100" t="n"/>
      <c r="K1241" s="98" t="n"/>
      <c r="L1241" s="99" t="n"/>
      <c r="M1241" s="99" t="n"/>
      <c r="N1241" s="100" t="n"/>
      <c r="O1241" s="98" t="n"/>
      <c r="P1241" s="99" t="n"/>
      <c r="Q1241" s="99" t="n"/>
      <c r="R1241" s="100" t="n"/>
      <c r="S1241" s="98" t="n"/>
      <c r="T1241" s="99" t="n"/>
      <c r="U1241" s="99" t="n"/>
      <c r="V1241" s="100" t="n"/>
      <c r="W1241" s="98" t="n"/>
      <c r="X1241" s="100" t="n"/>
      <c r="Y1241" s="98" t="n"/>
      <c r="Z1241" s="100" t="n"/>
      <c r="AB1241" s="101">
        <f>IF($B1241="","",(COUNTIF(C1208:E1225,$B1241)+COUNTIF(C1208:E1225,$B1241&amp;" ~*")&gt;0)+(COUNTIF(G1208:I1225,$B1241)+COUNTIF(G1208:I1225,$B1241&amp;" ~*")&gt;0)+(COUNTIF(K1208:M1225,$B1241)+COUNTIF(K1208:M1225,$B1241&amp;" ~*")&gt;0)+(COUNTIF(O1208:Q1225,$B1241)+COUNTIF(O1208:Q1225,$B1241&amp;" ~*")&gt;0)+(COUNTIF(S1208:U1225,$B1241)+COUNTIF(S1208:U1225,$B1241&amp;" ~*")&gt;0)+(COUNTIF(W1208:W1225,$B1241)+COUNTIF(W1208:W1225,$B1241&amp;" ~*")&gt;0)+(COUNTIF(Y1208:Y1225,$B1241)+COUNTIF(Y1208:Y1225,$B1241&amp;" ~*")&gt;0))</f>
        <v/>
      </c>
      <c r="AC1241" s="36">
        <f>IF($B1241="","",(IFERROR(INDEX(Setup!$G$33:$G$40,MATCH(C1241,Setup!$B$33:$B$40,0)),0)=1)*(COUNTIF(C1208:E1225,$B1241)+COUNTIF(C1208:E1225,$B1241&amp;" ~*")&gt;0)+(IFERROR(INDEX(Setup!$G$33:$G$40,MATCH(G1241,Setup!$B$33:$B$40,0)),0)=1)*(COUNTIF(G1208:I1225,$B1241)+COUNTIF(G1208:I1225,$B1241&amp;" ~*")&gt;0)+(IFERROR(INDEX(Setup!$G$33:$G$40,MATCH(K1241,Setup!$B$33:$B$40,0)),0)=1)*(COUNTIF(K1208:M1225,$B1241)+COUNTIF(K1208:M1225,$B1241&amp;" ~*")&gt;0)+(IFERROR(INDEX(Setup!$G$33:$G$40,MATCH(O1241,Setup!$B$33:$B$40,0)),0)=1)*(COUNTIF(O1208:Q1225,$B1241)+COUNTIF(O1208:Q1225,$B1241&amp;" ~*")&gt;0)+(IFERROR(INDEX(Setup!$G$33:$G$40,MATCH(S1241,Setup!$B$33:$B$40,0)),0)=1)*(COUNTIF(S1208:U1225,$B1241)+COUNTIF(S1208:U1225,$B1241&amp;" ~*")&gt;0)+(IFERROR(INDEX(Setup!$G$33:$G$40,MATCH(W1241,Setup!$B$33:$B$40,0)),0)=1)*(COUNTIF(W1208:W1225,$B1241)+COUNTIF(W1208:W1225,$B1241&amp;" ~*")&gt;0)+(IFERROR(INDEX(Setup!$G$33:$G$40,MATCH(Y1241,Setup!$B$33:$B$40,0)),0)=1)*(COUNTIF(Y1208:Y1225,$B1241)+COUNTIF(Y1208:Y1225,$B1241&amp;" ~*")&gt;0))</f>
        <v/>
      </c>
    </row>
    <row r="1242" ht="15" customHeight="1">
      <c r="A1242" t="n">
        <v>25</v>
      </c>
      <c r="B1242" s="37">
        <f>IF(Setup!$B$21="","",Setup!$B$21)</f>
        <v/>
      </c>
      <c r="C1242" s="102" t="n"/>
      <c r="D1242" s="103" t="n"/>
      <c r="E1242" s="103" t="n"/>
      <c r="F1242" s="104" t="n"/>
      <c r="G1242" s="102" t="n"/>
      <c r="H1242" s="103" t="n"/>
      <c r="I1242" s="103" t="n"/>
      <c r="J1242" s="104" t="n"/>
      <c r="K1242" s="102" t="n"/>
      <c r="L1242" s="103" t="n"/>
      <c r="M1242" s="103" t="n"/>
      <c r="N1242" s="104" t="n"/>
      <c r="O1242" s="102" t="n"/>
      <c r="P1242" s="103" t="n"/>
      <c r="Q1242" s="103" t="n"/>
      <c r="R1242" s="104" t="n"/>
      <c r="S1242" s="102" t="n"/>
      <c r="T1242" s="103" t="n"/>
      <c r="U1242" s="103" t="n"/>
      <c r="V1242" s="104" t="n"/>
      <c r="W1242" s="102" t="n"/>
      <c r="X1242" s="104" t="n"/>
      <c r="Y1242" s="102" t="n"/>
      <c r="Z1242" s="104" t="n"/>
      <c r="AB1242" s="105">
        <f>IF($B1242="","",(COUNTIF(C1208:E1225,$B1242)+COUNTIF(C1208:E1225,$B1242&amp;" ~*")&gt;0)+(COUNTIF(G1208:I1225,$B1242)+COUNTIF(G1208:I1225,$B1242&amp;" ~*")&gt;0)+(COUNTIF(K1208:M1225,$B1242)+COUNTIF(K1208:M1225,$B1242&amp;" ~*")&gt;0)+(COUNTIF(O1208:Q1225,$B1242)+COUNTIF(O1208:Q1225,$B1242&amp;" ~*")&gt;0)+(COUNTIF(S1208:U1225,$B1242)+COUNTIF(S1208:U1225,$B1242&amp;" ~*")&gt;0)+(COUNTIF(W1208:W1225,$B1242)+COUNTIF(W1208:W1225,$B1242&amp;" ~*")&gt;0)+(COUNTIF(Y1208:Y1225,$B1242)+COUNTIF(Y1208:Y1225,$B1242&amp;" ~*")&gt;0))</f>
        <v/>
      </c>
      <c r="AC1242" s="38">
        <f>IF($B1242="","",(IFERROR(INDEX(Setup!$G$33:$G$40,MATCH(C1242,Setup!$B$33:$B$40,0)),0)=1)*(COUNTIF(C1208:E1225,$B1242)+COUNTIF(C1208:E1225,$B1242&amp;" ~*")&gt;0)+(IFERROR(INDEX(Setup!$G$33:$G$40,MATCH(G1242,Setup!$B$33:$B$40,0)),0)=1)*(COUNTIF(G1208:I1225,$B1242)+COUNTIF(G1208:I1225,$B1242&amp;" ~*")&gt;0)+(IFERROR(INDEX(Setup!$G$33:$G$40,MATCH(K1242,Setup!$B$33:$B$40,0)),0)=1)*(COUNTIF(K1208:M1225,$B1242)+COUNTIF(K1208:M1225,$B1242&amp;" ~*")&gt;0)+(IFERROR(INDEX(Setup!$G$33:$G$40,MATCH(O1242,Setup!$B$33:$B$40,0)),0)=1)*(COUNTIF(O1208:Q1225,$B1242)+COUNTIF(O1208:Q1225,$B1242&amp;" ~*")&gt;0)+(IFERROR(INDEX(Setup!$G$33:$G$40,MATCH(S1242,Setup!$B$33:$B$40,0)),0)=1)*(COUNTIF(S1208:U1225,$B1242)+COUNTIF(S1208:U1225,$B1242&amp;" ~*")&gt;0)+(IFERROR(INDEX(Setup!$G$33:$G$40,MATCH(W1242,Setup!$B$33:$B$40,0)),0)=1)*(COUNTIF(W1208:W1225,$B1242)+COUNTIF(W1208:W1225,$B1242&amp;" ~*")&gt;0)+(IFERROR(INDEX(Setup!$G$33:$G$40,MATCH(Y1242,Setup!$B$33:$B$40,0)),0)=1)*(COUNTIF(Y1208:Y1225,$B1242)+COUNTIF(Y1208:Y1225,$B1242&amp;" ~*")&gt;0))</f>
        <v/>
      </c>
    </row>
    <row r="1243" ht="15" customHeight="1">
      <c r="A1243" t="n">
        <v>25</v>
      </c>
      <c r="B1243" s="35">
        <f>IF(Setup!$B$22="","",Setup!$B$22)</f>
        <v/>
      </c>
      <c r="C1243" s="98" t="n"/>
      <c r="D1243" s="99" t="n"/>
      <c r="E1243" s="99" t="n"/>
      <c r="F1243" s="100" t="n"/>
      <c r="G1243" s="98" t="n"/>
      <c r="H1243" s="99" t="n"/>
      <c r="I1243" s="99" t="n"/>
      <c r="J1243" s="100" t="n"/>
      <c r="K1243" s="98" t="n"/>
      <c r="L1243" s="99" t="n"/>
      <c r="M1243" s="99" t="n"/>
      <c r="N1243" s="100" t="n"/>
      <c r="O1243" s="98" t="n"/>
      <c r="P1243" s="99" t="n"/>
      <c r="Q1243" s="99" t="n"/>
      <c r="R1243" s="100" t="n"/>
      <c r="S1243" s="98" t="n"/>
      <c r="T1243" s="99" t="n"/>
      <c r="U1243" s="99" t="n"/>
      <c r="V1243" s="100" t="n"/>
      <c r="W1243" s="98" t="n"/>
      <c r="X1243" s="100" t="n"/>
      <c r="Y1243" s="98" t="n"/>
      <c r="Z1243" s="100" t="n"/>
      <c r="AB1243" s="101">
        <f>IF($B1243="","",(COUNTIF(C1208:E1225,$B1243)+COUNTIF(C1208:E1225,$B1243&amp;" ~*")&gt;0)+(COUNTIF(G1208:I1225,$B1243)+COUNTIF(G1208:I1225,$B1243&amp;" ~*")&gt;0)+(COUNTIF(K1208:M1225,$B1243)+COUNTIF(K1208:M1225,$B1243&amp;" ~*")&gt;0)+(COUNTIF(O1208:Q1225,$B1243)+COUNTIF(O1208:Q1225,$B1243&amp;" ~*")&gt;0)+(COUNTIF(S1208:U1225,$B1243)+COUNTIF(S1208:U1225,$B1243&amp;" ~*")&gt;0)+(COUNTIF(W1208:W1225,$B1243)+COUNTIF(W1208:W1225,$B1243&amp;" ~*")&gt;0)+(COUNTIF(Y1208:Y1225,$B1243)+COUNTIF(Y1208:Y1225,$B1243&amp;" ~*")&gt;0))</f>
        <v/>
      </c>
      <c r="AC1243" s="36">
        <f>IF($B1243="","",(IFERROR(INDEX(Setup!$G$33:$G$40,MATCH(C1243,Setup!$B$33:$B$40,0)),0)=1)*(COUNTIF(C1208:E1225,$B1243)+COUNTIF(C1208:E1225,$B1243&amp;" ~*")&gt;0)+(IFERROR(INDEX(Setup!$G$33:$G$40,MATCH(G1243,Setup!$B$33:$B$40,0)),0)=1)*(COUNTIF(G1208:I1225,$B1243)+COUNTIF(G1208:I1225,$B1243&amp;" ~*")&gt;0)+(IFERROR(INDEX(Setup!$G$33:$G$40,MATCH(K1243,Setup!$B$33:$B$40,0)),0)=1)*(COUNTIF(K1208:M1225,$B1243)+COUNTIF(K1208:M1225,$B1243&amp;" ~*")&gt;0)+(IFERROR(INDEX(Setup!$G$33:$G$40,MATCH(O1243,Setup!$B$33:$B$40,0)),0)=1)*(COUNTIF(O1208:Q1225,$B1243)+COUNTIF(O1208:Q1225,$B1243&amp;" ~*")&gt;0)+(IFERROR(INDEX(Setup!$G$33:$G$40,MATCH(S1243,Setup!$B$33:$B$40,0)),0)=1)*(COUNTIF(S1208:U1225,$B1243)+COUNTIF(S1208:U1225,$B1243&amp;" ~*")&gt;0)+(IFERROR(INDEX(Setup!$G$33:$G$40,MATCH(W1243,Setup!$B$33:$B$40,0)),0)=1)*(COUNTIF(W1208:W1225,$B1243)+COUNTIF(W1208:W1225,$B1243&amp;" ~*")&gt;0)+(IFERROR(INDEX(Setup!$G$33:$G$40,MATCH(Y1243,Setup!$B$33:$B$40,0)),0)=1)*(COUNTIF(Y1208:Y1225,$B1243)+COUNTIF(Y1208:Y1225,$B1243&amp;" ~*")&gt;0))</f>
        <v/>
      </c>
    </row>
    <row r="1244" ht="15" customHeight="1">
      <c r="A1244" t="n">
        <v>25</v>
      </c>
      <c r="B1244" s="37">
        <f>IF(Setup!$B$23="","",Setup!$B$23)</f>
        <v/>
      </c>
      <c r="C1244" s="102" t="n"/>
      <c r="D1244" s="103" t="n"/>
      <c r="E1244" s="103" t="n"/>
      <c r="F1244" s="104" t="n"/>
      <c r="G1244" s="102" t="n"/>
      <c r="H1244" s="103" t="n"/>
      <c r="I1244" s="103" t="n"/>
      <c r="J1244" s="104" t="n"/>
      <c r="K1244" s="102" t="n"/>
      <c r="L1244" s="103" t="n"/>
      <c r="M1244" s="103" t="n"/>
      <c r="N1244" s="104" t="n"/>
      <c r="O1244" s="102" t="n"/>
      <c r="P1244" s="103" t="n"/>
      <c r="Q1244" s="103" t="n"/>
      <c r="R1244" s="104" t="n"/>
      <c r="S1244" s="102" t="n"/>
      <c r="T1244" s="103" t="n"/>
      <c r="U1244" s="103" t="n"/>
      <c r="V1244" s="104" t="n"/>
      <c r="W1244" s="102" t="n"/>
      <c r="X1244" s="104" t="n"/>
      <c r="Y1244" s="102" t="n"/>
      <c r="Z1244" s="104" t="n"/>
      <c r="AB1244" s="105">
        <f>IF($B1244="","",(COUNTIF(C1208:E1225,$B1244)+COUNTIF(C1208:E1225,$B1244&amp;" ~*")&gt;0)+(COUNTIF(G1208:I1225,$B1244)+COUNTIF(G1208:I1225,$B1244&amp;" ~*")&gt;0)+(COUNTIF(K1208:M1225,$B1244)+COUNTIF(K1208:M1225,$B1244&amp;" ~*")&gt;0)+(COUNTIF(O1208:Q1225,$B1244)+COUNTIF(O1208:Q1225,$B1244&amp;" ~*")&gt;0)+(COUNTIF(S1208:U1225,$B1244)+COUNTIF(S1208:U1225,$B1244&amp;" ~*")&gt;0)+(COUNTIF(W1208:W1225,$B1244)+COUNTIF(W1208:W1225,$B1244&amp;" ~*")&gt;0)+(COUNTIF(Y1208:Y1225,$B1244)+COUNTIF(Y1208:Y1225,$B1244&amp;" ~*")&gt;0))</f>
        <v/>
      </c>
      <c r="AC1244" s="38">
        <f>IF($B1244="","",(IFERROR(INDEX(Setup!$G$33:$G$40,MATCH(C1244,Setup!$B$33:$B$40,0)),0)=1)*(COUNTIF(C1208:E1225,$B1244)+COUNTIF(C1208:E1225,$B1244&amp;" ~*")&gt;0)+(IFERROR(INDEX(Setup!$G$33:$G$40,MATCH(G1244,Setup!$B$33:$B$40,0)),0)=1)*(COUNTIF(G1208:I1225,$B1244)+COUNTIF(G1208:I1225,$B1244&amp;" ~*")&gt;0)+(IFERROR(INDEX(Setup!$G$33:$G$40,MATCH(K1244,Setup!$B$33:$B$40,0)),0)=1)*(COUNTIF(K1208:M1225,$B1244)+COUNTIF(K1208:M1225,$B1244&amp;" ~*")&gt;0)+(IFERROR(INDEX(Setup!$G$33:$G$40,MATCH(O1244,Setup!$B$33:$B$40,0)),0)=1)*(COUNTIF(O1208:Q1225,$B1244)+COUNTIF(O1208:Q1225,$B1244&amp;" ~*")&gt;0)+(IFERROR(INDEX(Setup!$G$33:$G$40,MATCH(S1244,Setup!$B$33:$B$40,0)),0)=1)*(COUNTIF(S1208:U1225,$B1244)+COUNTIF(S1208:U1225,$B1244&amp;" ~*")&gt;0)+(IFERROR(INDEX(Setup!$G$33:$G$40,MATCH(W1244,Setup!$B$33:$B$40,0)),0)=1)*(COUNTIF(W1208:W1225,$B1244)+COUNTIF(W1208:W1225,$B1244&amp;" ~*")&gt;0)+(IFERROR(INDEX(Setup!$G$33:$G$40,MATCH(Y1244,Setup!$B$33:$B$40,0)),0)=1)*(COUNTIF(Y1208:Y1225,$B1244)+COUNTIF(Y1208:Y1225,$B1244&amp;" ~*")&gt;0))</f>
        <v/>
      </c>
    </row>
    <row r="1245" ht="15" customHeight="1">
      <c r="A1245" t="n">
        <v>25</v>
      </c>
      <c r="B1245" s="35">
        <f>IF(Setup!$B$24="","",Setup!$B$24)</f>
        <v/>
      </c>
      <c r="C1245" s="98" t="n"/>
      <c r="D1245" s="99" t="n"/>
      <c r="E1245" s="99" t="n"/>
      <c r="F1245" s="100" t="n"/>
      <c r="G1245" s="98" t="n"/>
      <c r="H1245" s="99" t="n"/>
      <c r="I1245" s="99" t="n"/>
      <c r="J1245" s="100" t="n"/>
      <c r="K1245" s="98" t="n"/>
      <c r="L1245" s="99" t="n"/>
      <c r="M1245" s="99" t="n"/>
      <c r="N1245" s="100" t="n"/>
      <c r="O1245" s="98" t="n"/>
      <c r="P1245" s="99" t="n"/>
      <c r="Q1245" s="99" t="n"/>
      <c r="R1245" s="100" t="n"/>
      <c r="S1245" s="98" t="n"/>
      <c r="T1245" s="99" t="n"/>
      <c r="U1245" s="99" t="n"/>
      <c r="V1245" s="100" t="n"/>
      <c r="W1245" s="98" t="n"/>
      <c r="X1245" s="100" t="n"/>
      <c r="Y1245" s="98" t="n"/>
      <c r="Z1245" s="100" t="n"/>
      <c r="AB1245" s="101">
        <f>IF($B1245="","",(COUNTIF(C1208:E1225,$B1245)+COUNTIF(C1208:E1225,$B1245&amp;" ~*")&gt;0)+(COUNTIF(G1208:I1225,$B1245)+COUNTIF(G1208:I1225,$B1245&amp;" ~*")&gt;0)+(COUNTIF(K1208:M1225,$B1245)+COUNTIF(K1208:M1225,$B1245&amp;" ~*")&gt;0)+(COUNTIF(O1208:Q1225,$B1245)+COUNTIF(O1208:Q1225,$B1245&amp;" ~*")&gt;0)+(COUNTIF(S1208:U1225,$B1245)+COUNTIF(S1208:U1225,$B1245&amp;" ~*")&gt;0)+(COUNTIF(W1208:W1225,$B1245)+COUNTIF(W1208:W1225,$B1245&amp;" ~*")&gt;0)+(COUNTIF(Y1208:Y1225,$B1245)+COUNTIF(Y1208:Y1225,$B1245&amp;" ~*")&gt;0))</f>
        <v/>
      </c>
      <c r="AC1245" s="36">
        <f>IF($B1245="","",(IFERROR(INDEX(Setup!$G$33:$G$40,MATCH(C1245,Setup!$B$33:$B$40,0)),0)=1)*(COUNTIF(C1208:E1225,$B1245)+COUNTIF(C1208:E1225,$B1245&amp;" ~*")&gt;0)+(IFERROR(INDEX(Setup!$G$33:$G$40,MATCH(G1245,Setup!$B$33:$B$40,0)),0)=1)*(COUNTIF(G1208:I1225,$B1245)+COUNTIF(G1208:I1225,$B1245&amp;" ~*")&gt;0)+(IFERROR(INDEX(Setup!$G$33:$G$40,MATCH(K1245,Setup!$B$33:$B$40,0)),0)=1)*(COUNTIF(K1208:M1225,$B1245)+COUNTIF(K1208:M1225,$B1245&amp;" ~*")&gt;0)+(IFERROR(INDEX(Setup!$G$33:$G$40,MATCH(O1245,Setup!$B$33:$B$40,0)),0)=1)*(COUNTIF(O1208:Q1225,$B1245)+COUNTIF(O1208:Q1225,$B1245&amp;" ~*")&gt;0)+(IFERROR(INDEX(Setup!$G$33:$G$40,MATCH(S1245,Setup!$B$33:$B$40,0)),0)=1)*(COUNTIF(S1208:U1225,$B1245)+COUNTIF(S1208:U1225,$B1245&amp;" ~*")&gt;0)+(IFERROR(INDEX(Setup!$G$33:$G$40,MATCH(W1245,Setup!$B$33:$B$40,0)),0)=1)*(COUNTIF(W1208:W1225,$B1245)+COUNTIF(W1208:W1225,$B1245&amp;" ~*")&gt;0)+(IFERROR(INDEX(Setup!$G$33:$G$40,MATCH(Y1245,Setup!$B$33:$B$40,0)),0)=1)*(COUNTIF(Y1208:Y1225,$B1245)+COUNTIF(Y1208:Y1225,$B1245&amp;" ~*")&gt;0))</f>
        <v/>
      </c>
    </row>
    <row r="1246" ht="15" customHeight="1">
      <c r="A1246" t="n">
        <v>25</v>
      </c>
      <c r="B1246" s="37">
        <f>IF(Setup!$B$25="","",Setup!$B$25)</f>
        <v/>
      </c>
      <c r="C1246" s="102" t="n"/>
      <c r="D1246" s="103" t="n"/>
      <c r="E1246" s="103" t="n"/>
      <c r="F1246" s="104" t="n"/>
      <c r="G1246" s="102" t="n"/>
      <c r="H1246" s="103" t="n"/>
      <c r="I1246" s="103" t="n"/>
      <c r="J1246" s="104" t="n"/>
      <c r="K1246" s="102" t="n"/>
      <c r="L1246" s="103" t="n"/>
      <c r="M1246" s="103" t="n"/>
      <c r="N1246" s="104" t="n"/>
      <c r="O1246" s="102" t="n"/>
      <c r="P1246" s="103" t="n"/>
      <c r="Q1246" s="103" t="n"/>
      <c r="R1246" s="104" t="n"/>
      <c r="S1246" s="102" t="n"/>
      <c r="T1246" s="103" t="n"/>
      <c r="U1246" s="103" t="n"/>
      <c r="V1246" s="104" t="n"/>
      <c r="W1246" s="102" t="n"/>
      <c r="X1246" s="104" t="n"/>
      <c r="Y1246" s="102" t="n"/>
      <c r="Z1246" s="104" t="n"/>
      <c r="AB1246" s="105">
        <f>IF($B1246="","",(COUNTIF(C1208:E1225,$B1246)+COUNTIF(C1208:E1225,$B1246&amp;" ~*")&gt;0)+(COUNTIF(G1208:I1225,$B1246)+COUNTIF(G1208:I1225,$B1246&amp;" ~*")&gt;0)+(COUNTIF(K1208:M1225,$B1246)+COUNTIF(K1208:M1225,$B1246&amp;" ~*")&gt;0)+(COUNTIF(O1208:Q1225,$B1246)+COUNTIF(O1208:Q1225,$B1246&amp;" ~*")&gt;0)+(COUNTIF(S1208:U1225,$B1246)+COUNTIF(S1208:U1225,$B1246&amp;" ~*")&gt;0)+(COUNTIF(W1208:W1225,$B1246)+COUNTIF(W1208:W1225,$B1246&amp;" ~*")&gt;0)+(COUNTIF(Y1208:Y1225,$B1246)+COUNTIF(Y1208:Y1225,$B1246&amp;" ~*")&gt;0))</f>
        <v/>
      </c>
      <c r="AC1246" s="38">
        <f>IF($B1246="","",(IFERROR(INDEX(Setup!$G$33:$G$40,MATCH(C1246,Setup!$B$33:$B$40,0)),0)=1)*(COUNTIF(C1208:E1225,$B1246)+COUNTIF(C1208:E1225,$B1246&amp;" ~*")&gt;0)+(IFERROR(INDEX(Setup!$G$33:$G$40,MATCH(G1246,Setup!$B$33:$B$40,0)),0)=1)*(COUNTIF(G1208:I1225,$B1246)+COUNTIF(G1208:I1225,$B1246&amp;" ~*")&gt;0)+(IFERROR(INDEX(Setup!$G$33:$G$40,MATCH(K1246,Setup!$B$33:$B$40,0)),0)=1)*(COUNTIF(K1208:M1225,$B1246)+COUNTIF(K1208:M1225,$B1246&amp;" ~*")&gt;0)+(IFERROR(INDEX(Setup!$G$33:$G$40,MATCH(O1246,Setup!$B$33:$B$40,0)),0)=1)*(COUNTIF(O1208:Q1225,$B1246)+COUNTIF(O1208:Q1225,$B1246&amp;" ~*")&gt;0)+(IFERROR(INDEX(Setup!$G$33:$G$40,MATCH(S1246,Setup!$B$33:$B$40,0)),0)=1)*(COUNTIF(S1208:U1225,$B1246)+COUNTIF(S1208:U1225,$B1246&amp;" ~*")&gt;0)+(IFERROR(INDEX(Setup!$G$33:$G$40,MATCH(W1246,Setup!$B$33:$B$40,0)),0)=1)*(COUNTIF(W1208:W1225,$B1246)+COUNTIF(W1208:W1225,$B1246&amp;" ~*")&gt;0)+(IFERROR(INDEX(Setup!$G$33:$G$40,MATCH(Y1246,Setup!$B$33:$B$40,0)),0)=1)*(COUNTIF(Y1208:Y1225,$B1246)+COUNTIF(Y1208:Y1225,$B1246&amp;" ~*")&gt;0))</f>
        <v/>
      </c>
    </row>
    <row r="1247" ht="15" customHeight="1">
      <c r="A1247" t="n">
        <v>25</v>
      </c>
      <c r="B1247" s="35">
        <f>IF(Setup!$B$26="","",Setup!$B$26)</f>
        <v/>
      </c>
      <c r="C1247" s="98" t="n"/>
      <c r="D1247" s="99" t="n"/>
      <c r="E1247" s="99" t="n"/>
      <c r="F1247" s="100" t="n"/>
      <c r="G1247" s="98" t="n"/>
      <c r="H1247" s="99" t="n"/>
      <c r="I1247" s="99" t="n"/>
      <c r="J1247" s="100" t="n"/>
      <c r="K1247" s="98" t="n"/>
      <c r="L1247" s="99" t="n"/>
      <c r="M1247" s="99" t="n"/>
      <c r="N1247" s="100" t="n"/>
      <c r="O1247" s="98" t="n"/>
      <c r="P1247" s="99" t="n"/>
      <c r="Q1247" s="99" t="n"/>
      <c r="R1247" s="100" t="n"/>
      <c r="S1247" s="98" t="n"/>
      <c r="T1247" s="99" t="n"/>
      <c r="U1247" s="99" t="n"/>
      <c r="V1247" s="100" t="n"/>
      <c r="W1247" s="98" t="n"/>
      <c r="X1247" s="100" t="n"/>
      <c r="Y1247" s="98" t="n"/>
      <c r="Z1247" s="100" t="n"/>
      <c r="AB1247" s="101">
        <f>IF($B1247="","",(COUNTIF(C1208:E1225,$B1247)+COUNTIF(C1208:E1225,$B1247&amp;" ~*")&gt;0)+(COUNTIF(G1208:I1225,$B1247)+COUNTIF(G1208:I1225,$B1247&amp;" ~*")&gt;0)+(COUNTIF(K1208:M1225,$B1247)+COUNTIF(K1208:M1225,$B1247&amp;" ~*")&gt;0)+(COUNTIF(O1208:Q1225,$B1247)+COUNTIF(O1208:Q1225,$B1247&amp;" ~*")&gt;0)+(COUNTIF(S1208:U1225,$B1247)+COUNTIF(S1208:U1225,$B1247&amp;" ~*")&gt;0)+(COUNTIF(W1208:W1225,$B1247)+COUNTIF(W1208:W1225,$B1247&amp;" ~*")&gt;0)+(COUNTIF(Y1208:Y1225,$B1247)+COUNTIF(Y1208:Y1225,$B1247&amp;" ~*")&gt;0))</f>
        <v/>
      </c>
      <c r="AC1247" s="36">
        <f>IF($B1247="","",(IFERROR(INDEX(Setup!$G$33:$G$40,MATCH(C1247,Setup!$B$33:$B$40,0)),0)=1)*(COUNTIF(C1208:E1225,$B1247)+COUNTIF(C1208:E1225,$B1247&amp;" ~*")&gt;0)+(IFERROR(INDEX(Setup!$G$33:$G$40,MATCH(G1247,Setup!$B$33:$B$40,0)),0)=1)*(COUNTIF(G1208:I1225,$B1247)+COUNTIF(G1208:I1225,$B1247&amp;" ~*")&gt;0)+(IFERROR(INDEX(Setup!$G$33:$G$40,MATCH(K1247,Setup!$B$33:$B$40,0)),0)=1)*(COUNTIF(K1208:M1225,$B1247)+COUNTIF(K1208:M1225,$B1247&amp;" ~*")&gt;0)+(IFERROR(INDEX(Setup!$G$33:$G$40,MATCH(O1247,Setup!$B$33:$B$40,0)),0)=1)*(COUNTIF(O1208:Q1225,$B1247)+COUNTIF(O1208:Q1225,$B1247&amp;" ~*")&gt;0)+(IFERROR(INDEX(Setup!$G$33:$G$40,MATCH(S1247,Setup!$B$33:$B$40,0)),0)=1)*(COUNTIF(S1208:U1225,$B1247)+COUNTIF(S1208:U1225,$B1247&amp;" ~*")&gt;0)+(IFERROR(INDEX(Setup!$G$33:$G$40,MATCH(W1247,Setup!$B$33:$B$40,0)),0)=1)*(COUNTIF(W1208:W1225,$B1247)+COUNTIF(W1208:W1225,$B1247&amp;" ~*")&gt;0)+(IFERROR(INDEX(Setup!$G$33:$G$40,MATCH(Y1247,Setup!$B$33:$B$40,0)),0)=1)*(COUNTIF(Y1208:Y1225,$B1247)+COUNTIF(Y1208:Y1225,$B1247&amp;" ~*")&gt;0))</f>
        <v/>
      </c>
    </row>
    <row r="1248" ht="15" customHeight="1">
      <c r="A1248" t="n">
        <v>25</v>
      </c>
      <c r="B1248" s="37">
        <f>IF(Setup!$B$27="","",Setup!$B$27)</f>
        <v/>
      </c>
      <c r="C1248" s="102" t="n"/>
      <c r="D1248" s="103" t="n"/>
      <c r="E1248" s="103" t="n"/>
      <c r="F1248" s="104" t="n"/>
      <c r="G1248" s="102" t="n"/>
      <c r="H1248" s="103" t="n"/>
      <c r="I1248" s="103" t="n"/>
      <c r="J1248" s="104" t="n"/>
      <c r="K1248" s="102" t="n"/>
      <c r="L1248" s="103" t="n"/>
      <c r="M1248" s="103" t="n"/>
      <c r="N1248" s="104" t="n"/>
      <c r="O1248" s="102" t="n"/>
      <c r="P1248" s="103" t="n"/>
      <c r="Q1248" s="103" t="n"/>
      <c r="R1248" s="104" t="n"/>
      <c r="S1248" s="102" t="n"/>
      <c r="T1248" s="103" t="n"/>
      <c r="U1248" s="103" t="n"/>
      <c r="V1248" s="104" t="n"/>
      <c r="W1248" s="102" t="n"/>
      <c r="X1248" s="104" t="n"/>
      <c r="Y1248" s="102" t="n"/>
      <c r="Z1248" s="104" t="n"/>
      <c r="AB1248" s="105">
        <f>IF($B1248="","",(COUNTIF(C1208:E1225,$B1248)+COUNTIF(C1208:E1225,$B1248&amp;" ~*")&gt;0)+(COUNTIF(G1208:I1225,$B1248)+COUNTIF(G1208:I1225,$B1248&amp;" ~*")&gt;0)+(COUNTIF(K1208:M1225,$B1248)+COUNTIF(K1208:M1225,$B1248&amp;" ~*")&gt;0)+(COUNTIF(O1208:Q1225,$B1248)+COUNTIF(O1208:Q1225,$B1248&amp;" ~*")&gt;0)+(COUNTIF(S1208:U1225,$B1248)+COUNTIF(S1208:U1225,$B1248&amp;" ~*")&gt;0)+(COUNTIF(W1208:W1225,$B1248)+COUNTIF(W1208:W1225,$B1248&amp;" ~*")&gt;0)+(COUNTIF(Y1208:Y1225,$B1248)+COUNTIF(Y1208:Y1225,$B1248&amp;" ~*")&gt;0))</f>
        <v/>
      </c>
      <c r="AC1248" s="38">
        <f>IF($B1248="","",(IFERROR(INDEX(Setup!$G$33:$G$40,MATCH(C1248,Setup!$B$33:$B$40,0)),0)=1)*(COUNTIF(C1208:E1225,$B1248)+COUNTIF(C1208:E1225,$B1248&amp;" ~*")&gt;0)+(IFERROR(INDEX(Setup!$G$33:$G$40,MATCH(G1248,Setup!$B$33:$B$40,0)),0)=1)*(COUNTIF(G1208:I1225,$B1248)+COUNTIF(G1208:I1225,$B1248&amp;" ~*")&gt;0)+(IFERROR(INDEX(Setup!$G$33:$G$40,MATCH(K1248,Setup!$B$33:$B$40,0)),0)=1)*(COUNTIF(K1208:M1225,$B1248)+COUNTIF(K1208:M1225,$B1248&amp;" ~*")&gt;0)+(IFERROR(INDEX(Setup!$G$33:$G$40,MATCH(O1248,Setup!$B$33:$B$40,0)),0)=1)*(COUNTIF(O1208:Q1225,$B1248)+COUNTIF(O1208:Q1225,$B1248&amp;" ~*")&gt;0)+(IFERROR(INDEX(Setup!$G$33:$G$40,MATCH(S1248,Setup!$B$33:$B$40,0)),0)=1)*(COUNTIF(S1208:U1225,$B1248)+COUNTIF(S1208:U1225,$B1248&amp;" ~*")&gt;0)+(IFERROR(INDEX(Setup!$G$33:$G$40,MATCH(W1248,Setup!$B$33:$B$40,0)),0)=1)*(COUNTIF(W1208:W1225,$B1248)+COUNTIF(W1208:W1225,$B1248&amp;" ~*")&gt;0)+(IFERROR(INDEX(Setup!$G$33:$G$40,MATCH(Y1248,Setup!$B$33:$B$40,0)),0)=1)*(COUNTIF(Y1208:Y1225,$B1248)+COUNTIF(Y1208:Y1225,$B1248&amp;" ~*")&gt;0))</f>
        <v/>
      </c>
    </row>
    <row r="1249" ht="15" customHeight="1">
      <c r="A1249" t="n">
        <v>25</v>
      </c>
      <c r="B1249" s="35">
        <f>IF(Setup!$B$28="","",Setup!$B$28)</f>
        <v/>
      </c>
      <c r="C1249" s="98" t="n"/>
      <c r="D1249" s="99" t="n"/>
      <c r="E1249" s="99" t="n"/>
      <c r="F1249" s="100" t="n"/>
      <c r="G1249" s="98" t="n"/>
      <c r="H1249" s="99" t="n"/>
      <c r="I1249" s="99" t="n"/>
      <c r="J1249" s="100" t="n"/>
      <c r="K1249" s="98" t="n"/>
      <c r="L1249" s="99" t="n"/>
      <c r="M1249" s="99" t="n"/>
      <c r="N1249" s="100" t="n"/>
      <c r="O1249" s="98" t="n"/>
      <c r="P1249" s="99" t="n"/>
      <c r="Q1249" s="99" t="n"/>
      <c r="R1249" s="100" t="n"/>
      <c r="S1249" s="98" t="n"/>
      <c r="T1249" s="99" t="n"/>
      <c r="U1249" s="99" t="n"/>
      <c r="V1249" s="100" t="n"/>
      <c r="W1249" s="98" t="n"/>
      <c r="X1249" s="100" t="n"/>
      <c r="Y1249" s="98" t="n"/>
      <c r="Z1249" s="100" t="n"/>
      <c r="AB1249" s="101">
        <f>IF($B1249="","",(COUNTIF(C1208:E1225,$B1249)+COUNTIF(C1208:E1225,$B1249&amp;" ~*")&gt;0)+(COUNTIF(G1208:I1225,$B1249)+COUNTIF(G1208:I1225,$B1249&amp;" ~*")&gt;0)+(COUNTIF(K1208:M1225,$B1249)+COUNTIF(K1208:M1225,$B1249&amp;" ~*")&gt;0)+(COUNTIF(O1208:Q1225,$B1249)+COUNTIF(O1208:Q1225,$B1249&amp;" ~*")&gt;0)+(COUNTIF(S1208:U1225,$B1249)+COUNTIF(S1208:U1225,$B1249&amp;" ~*")&gt;0)+(COUNTIF(W1208:W1225,$B1249)+COUNTIF(W1208:W1225,$B1249&amp;" ~*")&gt;0)+(COUNTIF(Y1208:Y1225,$B1249)+COUNTIF(Y1208:Y1225,$B1249&amp;" ~*")&gt;0))</f>
        <v/>
      </c>
      <c r="AC1249" s="36">
        <f>IF($B1249="","",(IFERROR(INDEX(Setup!$G$33:$G$40,MATCH(C1249,Setup!$B$33:$B$40,0)),0)=1)*(COUNTIF(C1208:E1225,$B1249)+COUNTIF(C1208:E1225,$B1249&amp;" ~*")&gt;0)+(IFERROR(INDEX(Setup!$G$33:$G$40,MATCH(G1249,Setup!$B$33:$B$40,0)),0)=1)*(COUNTIF(G1208:I1225,$B1249)+COUNTIF(G1208:I1225,$B1249&amp;" ~*")&gt;0)+(IFERROR(INDEX(Setup!$G$33:$G$40,MATCH(K1249,Setup!$B$33:$B$40,0)),0)=1)*(COUNTIF(K1208:M1225,$B1249)+COUNTIF(K1208:M1225,$B1249&amp;" ~*")&gt;0)+(IFERROR(INDEX(Setup!$G$33:$G$40,MATCH(O1249,Setup!$B$33:$B$40,0)),0)=1)*(COUNTIF(O1208:Q1225,$B1249)+COUNTIF(O1208:Q1225,$B1249&amp;" ~*")&gt;0)+(IFERROR(INDEX(Setup!$G$33:$G$40,MATCH(S1249,Setup!$B$33:$B$40,0)),0)=1)*(COUNTIF(S1208:U1225,$B1249)+COUNTIF(S1208:U1225,$B1249&amp;" ~*")&gt;0)+(IFERROR(INDEX(Setup!$G$33:$G$40,MATCH(W1249,Setup!$B$33:$B$40,0)),0)=1)*(COUNTIF(W1208:W1225,$B1249)+COUNTIF(W1208:W1225,$B1249&amp;" ~*")&gt;0)+(IFERROR(INDEX(Setup!$G$33:$G$40,MATCH(Y1249,Setup!$B$33:$B$40,0)),0)=1)*(COUNTIF(Y1208:Y1225,$B1249)+COUNTIF(Y1208:Y1225,$B1249&amp;" ~*")&gt;0))</f>
        <v/>
      </c>
    </row>
    <row r="1250" ht="15" customHeight="1">
      <c r="A1250" t="n">
        <v>25</v>
      </c>
      <c r="B1250" s="37">
        <f>IF(Setup!$B$29="","",Setup!$B$29)</f>
        <v/>
      </c>
      <c r="C1250" s="102" t="n"/>
      <c r="D1250" s="103" t="n"/>
      <c r="E1250" s="103" t="n"/>
      <c r="F1250" s="104" t="n"/>
      <c r="G1250" s="102" t="n"/>
      <c r="H1250" s="103" t="n"/>
      <c r="I1250" s="103" t="n"/>
      <c r="J1250" s="104" t="n"/>
      <c r="K1250" s="102" t="n"/>
      <c r="L1250" s="103" t="n"/>
      <c r="M1250" s="103" t="n"/>
      <c r="N1250" s="104" t="n"/>
      <c r="O1250" s="102" t="n"/>
      <c r="P1250" s="103" t="n"/>
      <c r="Q1250" s="103" t="n"/>
      <c r="R1250" s="104" t="n"/>
      <c r="S1250" s="102" t="n"/>
      <c r="T1250" s="103" t="n"/>
      <c r="U1250" s="103" t="n"/>
      <c r="V1250" s="104" t="n"/>
      <c r="W1250" s="102" t="n"/>
      <c r="X1250" s="104" t="n"/>
      <c r="Y1250" s="102" t="n"/>
      <c r="Z1250" s="104" t="n"/>
      <c r="AB1250" s="105">
        <f>IF($B1250="","",(COUNTIF(C1208:E1225,$B1250)+COUNTIF(C1208:E1225,$B1250&amp;" ~*")&gt;0)+(COUNTIF(G1208:I1225,$B1250)+COUNTIF(G1208:I1225,$B1250&amp;" ~*")&gt;0)+(COUNTIF(K1208:M1225,$B1250)+COUNTIF(K1208:M1225,$B1250&amp;" ~*")&gt;0)+(COUNTIF(O1208:Q1225,$B1250)+COUNTIF(O1208:Q1225,$B1250&amp;" ~*")&gt;0)+(COUNTIF(S1208:U1225,$B1250)+COUNTIF(S1208:U1225,$B1250&amp;" ~*")&gt;0)+(COUNTIF(W1208:W1225,$B1250)+COUNTIF(W1208:W1225,$B1250&amp;" ~*")&gt;0)+(COUNTIF(Y1208:Y1225,$B1250)+COUNTIF(Y1208:Y1225,$B1250&amp;" ~*")&gt;0))</f>
        <v/>
      </c>
      <c r="AC1250" s="38">
        <f>IF($B1250="","",(IFERROR(INDEX(Setup!$G$33:$G$40,MATCH(C1250,Setup!$B$33:$B$40,0)),0)=1)*(COUNTIF(C1208:E1225,$B1250)+COUNTIF(C1208:E1225,$B1250&amp;" ~*")&gt;0)+(IFERROR(INDEX(Setup!$G$33:$G$40,MATCH(G1250,Setup!$B$33:$B$40,0)),0)=1)*(COUNTIF(G1208:I1225,$B1250)+COUNTIF(G1208:I1225,$B1250&amp;" ~*")&gt;0)+(IFERROR(INDEX(Setup!$G$33:$G$40,MATCH(K1250,Setup!$B$33:$B$40,0)),0)=1)*(COUNTIF(K1208:M1225,$B1250)+COUNTIF(K1208:M1225,$B1250&amp;" ~*")&gt;0)+(IFERROR(INDEX(Setup!$G$33:$G$40,MATCH(O1250,Setup!$B$33:$B$40,0)),0)=1)*(COUNTIF(O1208:Q1225,$B1250)+COUNTIF(O1208:Q1225,$B1250&amp;" ~*")&gt;0)+(IFERROR(INDEX(Setup!$G$33:$G$40,MATCH(S1250,Setup!$B$33:$B$40,0)),0)=1)*(COUNTIF(S1208:U1225,$B1250)+COUNTIF(S1208:U1225,$B1250&amp;" ~*")&gt;0)+(IFERROR(INDEX(Setup!$G$33:$G$40,MATCH(W1250,Setup!$B$33:$B$40,0)),0)=1)*(COUNTIF(W1208:W1225,$B1250)+COUNTIF(W1208:W1225,$B1250&amp;" ~*")&gt;0)+(IFERROR(INDEX(Setup!$G$33:$G$40,MATCH(Y1250,Setup!$B$33:$B$40,0)),0)=1)*(COUNTIF(Y1208:Y1225,$B1250)+COUNTIF(Y1208:Y1225,$B1250&amp;" ~*")&gt;0))</f>
        <v/>
      </c>
    </row>
    <row r="1251" ht="16" customHeight="1">
      <c r="A1251" t="n">
        <v>25</v>
      </c>
      <c r="B1251" s="106" t="inlineStr">
        <is>
          <t>Available people</t>
        </is>
      </c>
      <c r="C1251" s="107">
        <f>COUNTIFS(Setup!$E$6:$E$29,"Y",Setup!$B$6:$B$29,"?*")-SUMPRODUCT(COUNTIF(C1227:C1250,Setup!$F$33:$F$40))</f>
        <v/>
      </c>
      <c r="D1251" s="107" t="n"/>
      <c r="E1251" s="107" t="n"/>
      <c r="F1251" s="107" t="n"/>
      <c r="G1251" s="107">
        <f>COUNTIFS(Setup!$E$6:$E$29,"Y",Setup!$B$6:$B$29,"?*")-SUMPRODUCT(COUNTIF(G1227:G1250,Setup!$F$33:$F$40))</f>
        <v/>
      </c>
      <c r="H1251" s="107" t="n"/>
      <c r="I1251" s="107" t="n"/>
      <c r="J1251" s="107" t="n"/>
      <c r="K1251" s="107">
        <f>COUNTIFS(Setup!$E$6:$E$29,"Y",Setup!$B$6:$B$29,"?*")-SUMPRODUCT(COUNTIF(K1227:K1250,Setup!$F$33:$F$40))</f>
        <v/>
      </c>
      <c r="L1251" s="107" t="n"/>
      <c r="M1251" s="107" t="n"/>
      <c r="N1251" s="107" t="n"/>
      <c r="O1251" s="107">
        <f>COUNTIFS(Setup!$E$6:$E$29,"Y",Setup!$B$6:$B$29,"?*")-SUMPRODUCT(COUNTIF(O1227:O1250,Setup!$F$33:$F$40))</f>
        <v/>
      </c>
      <c r="P1251" s="107" t="n"/>
      <c r="Q1251" s="107" t="n"/>
      <c r="R1251" s="107" t="n"/>
      <c r="S1251" s="107">
        <f>COUNTIFS(Setup!$E$6:$E$29,"Y",Setup!$B$6:$B$29,"?*")-SUMPRODUCT(COUNTIF(S1227:S1250,Setup!$F$33:$F$40))</f>
        <v/>
      </c>
      <c r="T1251" s="107" t="n"/>
      <c r="U1251" s="107" t="n"/>
      <c r="V1251" s="107" t="n"/>
      <c r="W1251" s="107">
        <f>COUNTIFS(Setup!$E$6:$E$29,"Y",Setup!$B$6:$B$29,"?*")-SUMPRODUCT(COUNTIF(W1227:W1250,Setup!$F$33:$F$40))</f>
        <v/>
      </c>
      <c r="X1251" s="107" t="n"/>
      <c r="Y1251" s="107">
        <f>COUNTIFS(Setup!$E$6:$E$29,"Y",Setup!$B$6:$B$29,"?*")-SUMPRODUCT(COUNTIF(Y1227:Y1250,Setup!$F$33:$F$40))</f>
        <v/>
      </c>
      <c r="Z1251" s="107" t="n"/>
      <c r="AB1251" s="108">
        <f>SUM(AB1227:AB1250)</f>
        <v/>
      </c>
      <c r="AC1251" s="109">
        <f>SUM(AC1227:AC1250)</f>
        <v/>
      </c>
    </row>
    <row r="1252" ht="30" customHeight="1">
      <c r="A1252" t="n">
        <v>25</v>
      </c>
      <c r="B1252" s="110" t="inlineStr">
        <is>
          <t>Week notes</t>
        </is>
      </c>
      <c r="C1252" s="111" t="n"/>
      <c r="D1252" s="112" t="n"/>
      <c r="E1252" s="112" t="n"/>
      <c r="F1252" s="112" t="n"/>
      <c r="G1252" s="112" t="n"/>
      <c r="H1252" s="112" t="n"/>
      <c r="I1252" s="112" t="n"/>
      <c r="J1252" s="112" t="n"/>
      <c r="K1252" s="112" t="n"/>
      <c r="L1252" s="112" t="n"/>
      <c r="M1252" s="112" t="n"/>
      <c r="N1252" s="112" t="n"/>
      <c r="O1252" s="112" t="n"/>
      <c r="P1252" s="112" t="n"/>
      <c r="Q1252" s="112" t="n"/>
      <c r="R1252" s="112" t="n"/>
      <c r="S1252" s="112" t="n"/>
      <c r="T1252" s="112" t="n"/>
      <c r="U1252" s="112" t="n"/>
      <c r="V1252" s="112" t="n"/>
      <c r="W1252" s="112" t="n"/>
      <c r="X1252" s="112" t="n"/>
      <c r="Y1252" s="112" t="n"/>
      <c r="Z1252" s="113" t="n"/>
    </row>
    <row r="1253" ht="8" customHeight="1">
      <c r="A1253" t="n">
        <v>25</v>
      </c>
    </row>
    <row r="1254" ht="8" customHeight="1">
      <c r="A1254" t="n">
        <v>25</v>
      </c>
    </row>
    <row r="1255" ht="24" customHeight="1">
      <c r="A1255" t="n">
        <v>26</v>
      </c>
      <c r="B1255" s="73">
        <f>"WEEK 26     "&amp;TEXT(C1256,"ddd d mmm")&amp;"  –  "&amp;TEXT(C1256+6,"ddd d mmm yyyy")</f>
        <v/>
      </c>
      <c r="S1255" s="74">
        <f>IF(TODAY()&lt;C1256,"FUTURE",IF(TODAY()&gt;C1256+6,"PAST","THIS WEEK"))</f>
        <v/>
      </c>
      <c r="W1255" s="75">
        <f>IF(AND(Engine!$B$8=$AC$3,Engine!$B$9=$A1255),"◀ ACTIVE WEEK","")</f>
        <v/>
      </c>
      <c r="AA1255" s="76" t="n"/>
      <c r="AB1255" s="77" t="inlineStr">
        <is>
          <t>◀ Prev</t>
        </is>
      </c>
      <c r="AC1255" s="77" t="inlineStr">
        <is>
          <t>Next ▶</t>
        </is>
      </c>
    </row>
    <row r="1256" ht="18" customHeight="1">
      <c r="A1256" t="n">
        <v>26</v>
      </c>
      <c r="B1256" s="78" t="inlineStr">
        <is>
          <t>DUTY</t>
        </is>
      </c>
      <c r="C1256" s="79">
        <f>$AC$2+7*($A1256-1)</f>
        <v/>
      </c>
      <c r="D1256" s="80" t="n"/>
      <c r="E1256" s="80" t="n"/>
      <c r="F1256" s="81" t="n"/>
      <c r="G1256" s="79">
        <f>C1256+1</f>
        <v/>
      </c>
      <c r="H1256" s="80" t="n"/>
      <c r="I1256" s="80" t="n"/>
      <c r="J1256" s="81" t="n"/>
      <c r="K1256" s="79">
        <f>C1256+2</f>
        <v/>
      </c>
      <c r="L1256" s="80" t="n"/>
      <c r="M1256" s="80" t="n"/>
      <c r="N1256" s="81" t="n"/>
      <c r="O1256" s="79">
        <f>C1256+3</f>
        <v/>
      </c>
      <c r="P1256" s="80" t="n"/>
      <c r="Q1256" s="80" t="n"/>
      <c r="R1256" s="81" t="n"/>
      <c r="S1256" s="79">
        <f>C1256+4</f>
        <v/>
      </c>
      <c r="T1256" s="80" t="n"/>
      <c r="U1256" s="80" t="n"/>
      <c r="V1256" s="81" t="n"/>
      <c r="W1256" s="82">
        <f>C1256+5</f>
        <v/>
      </c>
      <c r="X1256" s="83" t="n"/>
      <c r="Y1256" s="82">
        <f>C1256+6</f>
        <v/>
      </c>
      <c r="Z1256" s="83" t="n"/>
      <c r="AB1256" s="72" t="inlineStr">
        <is>
          <t>Gaps</t>
        </is>
      </c>
      <c r="AC1256" s="72" t="inlineStr">
        <is>
          <t>Cover</t>
        </is>
      </c>
    </row>
    <row r="1257" ht="14" customHeight="1">
      <c r="A1257" t="n">
        <v>26</v>
      </c>
      <c r="B1257" s="84" t="inlineStr">
        <is>
          <t>(from Setup)</t>
        </is>
      </c>
      <c r="C1257" s="85" t="inlineStr">
        <is>
          <t>1</t>
        </is>
      </c>
      <c r="D1257" s="85" t="inlineStr">
        <is>
          <t>2</t>
        </is>
      </c>
      <c r="E1257" s="85" t="inlineStr">
        <is>
          <t>3</t>
        </is>
      </c>
      <c r="F1257" s="85" t="inlineStr">
        <is>
          <t>Notes</t>
        </is>
      </c>
      <c r="G1257" s="85" t="inlineStr">
        <is>
          <t>1</t>
        </is>
      </c>
      <c r="H1257" s="85" t="inlineStr">
        <is>
          <t>2</t>
        </is>
      </c>
      <c r="I1257" s="85" t="inlineStr">
        <is>
          <t>3</t>
        </is>
      </c>
      <c r="J1257" s="85" t="inlineStr">
        <is>
          <t>Notes</t>
        </is>
      </c>
      <c r="K1257" s="85" t="inlineStr">
        <is>
          <t>1</t>
        </is>
      </c>
      <c r="L1257" s="85" t="inlineStr">
        <is>
          <t>2</t>
        </is>
      </c>
      <c r="M1257" s="85" t="inlineStr">
        <is>
          <t>3</t>
        </is>
      </c>
      <c r="N1257" s="85" t="inlineStr">
        <is>
          <t>Notes</t>
        </is>
      </c>
      <c r="O1257" s="85" t="inlineStr">
        <is>
          <t>1</t>
        </is>
      </c>
      <c r="P1257" s="85" t="inlineStr">
        <is>
          <t>2</t>
        </is>
      </c>
      <c r="Q1257" s="85" t="inlineStr">
        <is>
          <t>3</t>
        </is>
      </c>
      <c r="R1257" s="85" t="inlineStr">
        <is>
          <t>Notes</t>
        </is>
      </c>
      <c r="S1257" s="85" t="inlineStr">
        <is>
          <t>1</t>
        </is>
      </c>
      <c r="T1257" s="85" t="inlineStr">
        <is>
          <t>2</t>
        </is>
      </c>
      <c r="U1257" s="85" t="inlineStr">
        <is>
          <t>3</t>
        </is>
      </c>
      <c r="V1257" s="85" t="inlineStr">
        <is>
          <t>Notes</t>
        </is>
      </c>
      <c r="W1257" s="85" t="inlineStr">
        <is>
          <t>Cover</t>
        </is>
      </c>
      <c r="X1257" s="85" t="inlineStr">
        <is>
          <t>Notes</t>
        </is>
      </c>
      <c r="Y1257" s="85" t="inlineStr">
        <is>
          <t>Cover</t>
        </is>
      </c>
      <c r="Z1257" s="85" t="inlineStr">
        <is>
          <t>Notes</t>
        </is>
      </c>
      <c r="AB1257" s="86" t="inlineStr">
        <is>
          <t>weekdays short</t>
        </is>
      </c>
      <c r="AC1257" s="87" t="inlineStr"/>
    </row>
    <row r="1258" ht="17" customHeight="1">
      <c r="A1258" t="n">
        <v>26</v>
      </c>
      <c r="B1258" s="24">
        <f>IF(Setup!$K$6="","",Setup!$K$6)</f>
        <v/>
      </c>
      <c r="C1258" s="88" t="n"/>
      <c r="D1258" s="88" t="n"/>
      <c r="E1258" s="88" t="n"/>
      <c r="F1258" s="89" t="n"/>
      <c r="G1258" s="88" t="n"/>
      <c r="H1258" s="88" t="n"/>
      <c r="I1258" s="88" t="n"/>
      <c r="J1258" s="89" t="n"/>
      <c r="K1258" s="88" t="n"/>
      <c r="L1258" s="88" t="n"/>
      <c r="M1258" s="88" t="n"/>
      <c r="N1258" s="89" t="n"/>
      <c r="O1258" s="88" t="n"/>
      <c r="P1258" s="88" t="n"/>
      <c r="Q1258" s="88" t="n"/>
      <c r="R1258" s="89" t="n"/>
      <c r="S1258" s="88" t="n"/>
      <c r="T1258" s="88" t="n"/>
      <c r="U1258" s="88" t="n"/>
      <c r="V1258" s="89" t="n"/>
      <c r="W1258" s="88" t="n"/>
      <c r="X1258" s="89" t="n"/>
      <c r="Y1258" s="88" t="n"/>
      <c r="Z1258" s="89" t="n"/>
      <c r="AB1258" s="25">
        <f>IF($B1258="","",(COUNTIF(C1258:E1258,"?*")&lt;N(INDEX(Setup!$L$6:$L$23,1)))+(COUNTIF(G1258:I1258,"?*")&lt;N(INDEX(Setup!$L$6:$L$23,1)))+(COUNTIF(K1258:M1258,"?*")&lt;N(INDEX(Setup!$L$6:$L$23,1)))+(COUNTIF(O1258:Q1258,"?*")&lt;N(INDEX(Setup!$L$6:$L$23,1)))+(COUNTIF(S1258:U1258,"?*")&lt;N(INDEX(Setup!$L$6:$L$23,1)))+((W1258="")*(INDEX(Setup!$M$6:$M$23,1)="Y"))+((Y1258="")*(INDEX(Setup!$M$6:$M$23,1)="Y")))</f>
        <v/>
      </c>
      <c r="AC1258" s="90">
        <f>IF($B1258="","",IF(AB1258=0,"✓ covered","⚠ "&amp;AB1258&amp;IF(AB1258=1," gap"," gaps")))</f>
        <v/>
      </c>
    </row>
    <row r="1259" ht="17" customHeight="1">
      <c r="A1259" t="n">
        <v>26</v>
      </c>
      <c r="B1259" s="29">
        <f>IF(Setup!$K$7="","",Setup!$K$7)</f>
        <v/>
      </c>
      <c r="C1259" s="88" t="n"/>
      <c r="D1259" s="88" t="n"/>
      <c r="E1259" s="88" t="n"/>
      <c r="F1259" s="89" t="n"/>
      <c r="G1259" s="88" t="n"/>
      <c r="H1259" s="88" t="n"/>
      <c r="I1259" s="88" t="n"/>
      <c r="J1259" s="89" t="n"/>
      <c r="K1259" s="88" t="n"/>
      <c r="L1259" s="88" t="n"/>
      <c r="M1259" s="88" t="n"/>
      <c r="N1259" s="89" t="n"/>
      <c r="O1259" s="88" t="n"/>
      <c r="P1259" s="88" t="n"/>
      <c r="Q1259" s="88" t="n"/>
      <c r="R1259" s="89" t="n"/>
      <c r="S1259" s="88" t="n"/>
      <c r="T1259" s="88" t="n"/>
      <c r="U1259" s="88" t="n"/>
      <c r="V1259" s="89" t="n"/>
      <c r="W1259" s="88" t="n"/>
      <c r="X1259" s="89" t="n"/>
      <c r="Y1259" s="88" t="n"/>
      <c r="Z1259" s="89" t="n"/>
      <c r="AB1259" s="30">
        <f>IF($B1259="","",(COUNTIF(C1259:E1259,"?*")&lt;N(INDEX(Setup!$L$6:$L$23,2)))+(COUNTIF(G1259:I1259,"?*")&lt;N(INDEX(Setup!$L$6:$L$23,2)))+(COUNTIF(K1259:M1259,"?*")&lt;N(INDEX(Setup!$L$6:$L$23,2)))+(COUNTIF(O1259:Q1259,"?*")&lt;N(INDEX(Setup!$L$6:$L$23,2)))+(COUNTIF(S1259:U1259,"?*")&lt;N(INDEX(Setup!$L$6:$L$23,2)))+((W1259="")*(INDEX(Setup!$M$6:$M$23,2)="Y"))+((Y1259="")*(INDEX(Setup!$M$6:$M$23,2)="Y")))</f>
        <v/>
      </c>
      <c r="AC1259" s="91">
        <f>IF($B1259="","",IF(AB1259=0,"✓ covered","⚠ "&amp;AB1259&amp;IF(AB1259=1," gap"," gaps")))</f>
        <v/>
      </c>
    </row>
    <row r="1260" ht="17" customHeight="1">
      <c r="A1260" t="n">
        <v>26</v>
      </c>
      <c r="B1260" s="24">
        <f>IF(Setup!$K$8="","",Setup!$K$8)</f>
        <v/>
      </c>
      <c r="C1260" s="88" t="n"/>
      <c r="D1260" s="88" t="n"/>
      <c r="E1260" s="88" t="n"/>
      <c r="F1260" s="89" t="n"/>
      <c r="G1260" s="88" t="n"/>
      <c r="H1260" s="88" t="n"/>
      <c r="I1260" s="88" t="n"/>
      <c r="J1260" s="89" t="n"/>
      <c r="K1260" s="88" t="n"/>
      <c r="L1260" s="88" t="n"/>
      <c r="M1260" s="88" t="n"/>
      <c r="N1260" s="89" t="n"/>
      <c r="O1260" s="88" t="n"/>
      <c r="P1260" s="88" t="n"/>
      <c r="Q1260" s="88" t="n"/>
      <c r="R1260" s="89" t="n"/>
      <c r="S1260" s="88" t="n"/>
      <c r="T1260" s="88" t="n"/>
      <c r="U1260" s="88" t="n"/>
      <c r="V1260" s="89" t="n"/>
      <c r="W1260" s="88" t="n"/>
      <c r="X1260" s="89" t="n"/>
      <c r="Y1260" s="88" t="n"/>
      <c r="Z1260" s="89" t="n"/>
      <c r="AB1260" s="25">
        <f>IF($B1260="","",(COUNTIF(C1260:E1260,"?*")&lt;N(INDEX(Setup!$L$6:$L$23,3)))+(COUNTIF(G1260:I1260,"?*")&lt;N(INDEX(Setup!$L$6:$L$23,3)))+(COUNTIF(K1260:M1260,"?*")&lt;N(INDEX(Setup!$L$6:$L$23,3)))+(COUNTIF(O1260:Q1260,"?*")&lt;N(INDEX(Setup!$L$6:$L$23,3)))+(COUNTIF(S1260:U1260,"?*")&lt;N(INDEX(Setup!$L$6:$L$23,3)))+((W1260="")*(INDEX(Setup!$M$6:$M$23,3)="Y"))+((Y1260="")*(INDEX(Setup!$M$6:$M$23,3)="Y")))</f>
        <v/>
      </c>
      <c r="AC1260" s="90">
        <f>IF($B1260="","",IF(AB1260=0,"✓ covered","⚠ "&amp;AB1260&amp;IF(AB1260=1," gap"," gaps")))</f>
        <v/>
      </c>
    </row>
    <row r="1261" ht="17" customHeight="1">
      <c r="A1261" t="n">
        <v>26</v>
      </c>
      <c r="B1261" s="29">
        <f>IF(Setup!$K$9="","",Setup!$K$9)</f>
        <v/>
      </c>
      <c r="C1261" s="88" t="n"/>
      <c r="D1261" s="88" t="n"/>
      <c r="E1261" s="88" t="n"/>
      <c r="F1261" s="89" t="n"/>
      <c r="G1261" s="88" t="n"/>
      <c r="H1261" s="88" t="n"/>
      <c r="I1261" s="88" t="n"/>
      <c r="J1261" s="89" t="n"/>
      <c r="K1261" s="88" t="n"/>
      <c r="L1261" s="88" t="n"/>
      <c r="M1261" s="88" t="n"/>
      <c r="N1261" s="89" t="n"/>
      <c r="O1261" s="88" t="n"/>
      <c r="P1261" s="88" t="n"/>
      <c r="Q1261" s="88" t="n"/>
      <c r="R1261" s="89" t="n"/>
      <c r="S1261" s="88" t="n"/>
      <c r="T1261" s="88" t="n"/>
      <c r="U1261" s="88" t="n"/>
      <c r="V1261" s="89" t="n"/>
      <c r="W1261" s="88" t="n"/>
      <c r="X1261" s="89" t="n"/>
      <c r="Y1261" s="88" t="n"/>
      <c r="Z1261" s="89" t="n"/>
      <c r="AB1261" s="30">
        <f>IF($B1261="","",(COUNTIF(C1261:E1261,"?*")&lt;N(INDEX(Setup!$L$6:$L$23,4)))+(COUNTIF(G1261:I1261,"?*")&lt;N(INDEX(Setup!$L$6:$L$23,4)))+(COUNTIF(K1261:M1261,"?*")&lt;N(INDEX(Setup!$L$6:$L$23,4)))+(COUNTIF(O1261:Q1261,"?*")&lt;N(INDEX(Setup!$L$6:$L$23,4)))+(COUNTIF(S1261:U1261,"?*")&lt;N(INDEX(Setup!$L$6:$L$23,4)))+((W1261="")*(INDEX(Setup!$M$6:$M$23,4)="Y"))+((Y1261="")*(INDEX(Setup!$M$6:$M$23,4)="Y")))</f>
        <v/>
      </c>
      <c r="AC1261" s="91">
        <f>IF($B1261="","",IF(AB1261=0,"✓ covered","⚠ "&amp;AB1261&amp;IF(AB1261=1," gap"," gaps")))</f>
        <v/>
      </c>
    </row>
    <row r="1262" ht="17" customHeight="1">
      <c r="A1262" t="n">
        <v>26</v>
      </c>
      <c r="B1262" s="24">
        <f>IF(Setup!$K$10="","",Setup!$K$10)</f>
        <v/>
      </c>
      <c r="C1262" s="88" t="n"/>
      <c r="D1262" s="88" t="n"/>
      <c r="E1262" s="88" t="n"/>
      <c r="F1262" s="89" t="n"/>
      <c r="G1262" s="88" t="n"/>
      <c r="H1262" s="88" t="n"/>
      <c r="I1262" s="88" t="n"/>
      <c r="J1262" s="89" t="n"/>
      <c r="K1262" s="88" t="n"/>
      <c r="L1262" s="88" t="n"/>
      <c r="M1262" s="88" t="n"/>
      <c r="N1262" s="89" t="n"/>
      <c r="O1262" s="88" t="n"/>
      <c r="P1262" s="88" t="n"/>
      <c r="Q1262" s="88" t="n"/>
      <c r="R1262" s="89" t="n"/>
      <c r="S1262" s="88" t="n"/>
      <c r="T1262" s="88" t="n"/>
      <c r="U1262" s="88" t="n"/>
      <c r="V1262" s="89" t="n"/>
      <c r="W1262" s="88" t="n"/>
      <c r="X1262" s="89" t="n"/>
      <c r="Y1262" s="88" t="n"/>
      <c r="Z1262" s="89" t="n"/>
      <c r="AB1262" s="25">
        <f>IF($B1262="","",(COUNTIF(C1262:E1262,"?*")&lt;N(INDEX(Setup!$L$6:$L$23,5)))+(COUNTIF(G1262:I1262,"?*")&lt;N(INDEX(Setup!$L$6:$L$23,5)))+(COUNTIF(K1262:M1262,"?*")&lt;N(INDEX(Setup!$L$6:$L$23,5)))+(COUNTIF(O1262:Q1262,"?*")&lt;N(INDEX(Setup!$L$6:$L$23,5)))+(COUNTIF(S1262:U1262,"?*")&lt;N(INDEX(Setup!$L$6:$L$23,5)))+((W1262="")*(INDEX(Setup!$M$6:$M$23,5)="Y"))+((Y1262="")*(INDEX(Setup!$M$6:$M$23,5)="Y")))</f>
        <v/>
      </c>
      <c r="AC1262" s="90">
        <f>IF($B1262="","",IF(AB1262=0,"✓ covered","⚠ "&amp;AB1262&amp;IF(AB1262=1," gap"," gaps")))</f>
        <v/>
      </c>
    </row>
    <row r="1263" ht="17" customHeight="1">
      <c r="A1263" t="n">
        <v>26</v>
      </c>
      <c r="B1263" s="29">
        <f>IF(Setup!$K$11="","",Setup!$K$11)</f>
        <v/>
      </c>
      <c r="C1263" s="88" t="n"/>
      <c r="D1263" s="88" t="n"/>
      <c r="E1263" s="88" t="n"/>
      <c r="F1263" s="89" t="n"/>
      <c r="G1263" s="88" t="n"/>
      <c r="H1263" s="88" t="n"/>
      <c r="I1263" s="88" t="n"/>
      <c r="J1263" s="89" t="n"/>
      <c r="K1263" s="88" t="n"/>
      <c r="L1263" s="88" t="n"/>
      <c r="M1263" s="88" t="n"/>
      <c r="N1263" s="89" t="n"/>
      <c r="O1263" s="88" t="n"/>
      <c r="P1263" s="88" t="n"/>
      <c r="Q1263" s="88" t="n"/>
      <c r="R1263" s="89" t="n"/>
      <c r="S1263" s="88" t="n"/>
      <c r="T1263" s="88" t="n"/>
      <c r="U1263" s="88" t="n"/>
      <c r="V1263" s="89" t="n"/>
      <c r="W1263" s="88" t="n"/>
      <c r="X1263" s="89" t="n"/>
      <c r="Y1263" s="88" t="n"/>
      <c r="Z1263" s="89" t="n"/>
      <c r="AB1263" s="30">
        <f>IF($B1263="","",(COUNTIF(C1263:E1263,"?*")&lt;N(INDEX(Setup!$L$6:$L$23,6)))+(COUNTIF(G1263:I1263,"?*")&lt;N(INDEX(Setup!$L$6:$L$23,6)))+(COUNTIF(K1263:M1263,"?*")&lt;N(INDEX(Setup!$L$6:$L$23,6)))+(COUNTIF(O1263:Q1263,"?*")&lt;N(INDEX(Setup!$L$6:$L$23,6)))+(COUNTIF(S1263:U1263,"?*")&lt;N(INDEX(Setup!$L$6:$L$23,6)))+((W1263="")*(INDEX(Setup!$M$6:$M$23,6)="Y"))+((Y1263="")*(INDEX(Setup!$M$6:$M$23,6)="Y")))</f>
        <v/>
      </c>
      <c r="AC1263" s="91">
        <f>IF($B1263="","",IF(AB1263=0,"✓ covered","⚠ "&amp;AB1263&amp;IF(AB1263=1," gap"," gaps")))</f>
        <v/>
      </c>
    </row>
    <row r="1264" ht="17" customHeight="1">
      <c r="A1264" t="n">
        <v>26</v>
      </c>
      <c r="B1264" s="24">
        <f>IF(Setup!$K$12="","",Setup!$K$12)</f>
        <v/>
      </c>
      <c r="C1264" s="88" t="n"/>
      <c r="D1264" s="88" t="n"/>
      <c r="E1264" s="88" t="n"/>
      <c r="F1264" s="89" t="n"/>
      <c r="G1264" s="88" t="n"/>
      <c r="H1264" s="88" t="n"/>
      <c r="I1264" s="88" t="n"/>
      <c r="J1264" s="89" t="n"/>
      <c r="K1264" s="88" t="n"/>
      <c r="L1264" s="88" t="n"/>
      <c r="M1264" s="88" t="n"/>
      <c r="N1264" s="89" t="n"/>
      <c r="O1264" s="88" t="n"/>
      <c r="P1264" s="88" t="n"/>
      <c r="Q1264" s="88" t="n"/>
      <c r="R1264" s="89" t="n"/>
      <c r="S1264" s="88" t="n"/>
      <c r="T1264" s="88" t="n"/>
      <c r="U1264" s="88" t="n"/>
      <c r="V1264" s="89" t="n"/>
      <c r="W1264" s="88" t="n"/>
      <c r="X1264" s="89" t="n"/>
      <c r="Y1264" s="88" t="n"/>
      <c r="Z1264" s="89" t="n"/>
      <c r="AB1264" s="25">
        <f>IF($B1264="","",(COUNTIF(C1264:E1264,"?*")&lt;N(INDEX(Setup!$L$6:$L$23,7)))+(COUNTIF(G1264:I1264,"?*")&lt;N(INDEX(Setup!$L$6:$L$23,7)))+(COUNTIF(K1264:M1264,"?*")&lt;N(INDEX(Setup!$L$6:$L$23,7)))+(COUNTIF(O1264:Q1264,"?*")&lt;N(INDEX(Setup!$L$6:$L$23,7)))+(COUNTIF(S1264:U1264,"?*")&lt;N(INDEX(Setup!$L$6:$L$23,7)))+((W1264="")*(INDEX(Setup!$M$6:$M$23,7)="Y"))+((Y1264="")*(INDEX(Setup!$M$6:$M$23,7)="Y")))</f>
        <v/>
      </c>
      <c r="AC1264" s="90">
        <f>IF($B1264="","",IF(AB1264=0,"✓ covered","⚠ "&amp;AB1264&amp;IF(AB1264=1," gap"," gaps")))</f>
        <v/>
      </c>
    </row>
    <row r="1265" ht="17" customHeight="1">
      <c r="A1265" t="n">
        <v>26</v>
      </c>
      <c r="B1265" s="29">
        <f>IF(Setup!$K$13="","",Setup!$K$13)</f>
        <v/>
      </c>
      <c r="C1265" s="88" t="n"/>
      <c r="D1265" s="88" t="n"/>
      <c r="E1265" s="88" t="n"/>
      <c r="F1265" s="89" t="n"/>
      <c r="G1265" s="88" t="n"/>
      <c r="H1265" s="88" t="n"/>
      <c r="I1265" s="88" t="n"/>
      <c r="J1265" s="89" t="n"/>
      <c r="K1265" s="88" t="n"/>
      <c r="L1265" s="88" t="n"/>
      <c r="M1265" s="88" t="n"/>
      <c r="N1265" s="89" t="n"/>
      <c r="O1265" s="88" t="n"/>
      <c r="P1265" s="88" t="n"/>
      <c r="Q1265" s="88" t="n"/>
      <c r="R1265" s="89" t="n"/>
      <c r="S1265" s="88" t="n"/>
      <c r="T1265" s="88" t="n"/>
      <c r="U1265" s="88" t="n"/>
      <c r="V1265" s="89" t="n"/>
      <c r="W1265" s="88" t="n"/>
      <c r="X1265" s="89" t="n"/>
      <c r="Y1265" s="88" t="n"/>
      <c r="Z1265" s="89" t="n"/>
      <c r="AB1265" s="30">
        <f>IF($B1265="","",(COUNTIF(C1265:E1265,"?*")&lt;N(INDEX(Setup!$L$6:$L$23,8)))+(COUNTIF(G1265:I1265,"?*")&lt;N(INDEX(Setup!$L$6:$L$23,8)))+(COUNTIF(K1265:M1265,"?*")&lt;N(INDEX(Setup!$L$6:$L$23,8)))+(COUNTIF(O1265:Q1265,"?*")&lt;N(INDEX(Setup!$L$6:$L$23,8)))+(COUNTIF(S1265:U1265,"?*")&lt;N(INDEX(Setup!$L$6:$L$23,8)))+((W1265="")*(INDEX(Setup!$M$6:$M$23,8)="Y"))+((Y1265="")*(INDEX(Setup!$M$6:$M$23,8)="Y")))</f>
        <v/>
      </c>
      <c r="AC1265" s="91">
        <f>IF($B1265="","",IF(AB1265=0,"✓ covered","⚠ "&amp;AB1265&amp;IF(AB1265=1," gap"," gaps")))</f>
        <v/>
      </c>
    </row>
    <row r="1266" ht="17" customHeight="1">
      <c r="A1266" t="n">
        <v>26</v>
      </c>
      <c r="B1266" s="24">
        <f>IF(Setup!$K$14="","",Setup!$K$14)</f>
        <v/>
      </c>
      <c r="C1266" s="88" t="n"/>
      <c r="D1266" s="88" t="n"/>
      <c r="E1266" s="88" t="n"/>
      <c r="F1266" s="89" t="n"/>
      <c r="G1266" s="88" t="n"/>
      <c r="H1266" s="88" t="n"/>
      <c r="I1266" s="88" t="n"/>
      <c r="J1266" s="89" t="n"/>
      <c r="K1266" s="88" t="n"/>
      <c r="L1266" s="88" t="n"/>
      <c r="M1266" s="88" t="n"/>
      <c r="N1266" s="89" t="n"/>
      <c r="O1266" s="88" t="n"/>
      <c r="P1266" s="88" t="n"/>
      <c r="Q1266" s="88" t="n"/>
      <c r="R1266" s="89" t="n"/>
      <c r="S1266" s="88" t="n"/>
      <c r="T1266" s="88" t="n"/>
      <c r="U1266" s="88" t="n"/>
      <c r="V1266" s="89" t="n"/>
      <c r="W1266" s="88" t="n"/>
      <c r="X1266" s="89" t="n"/>
      <c r="Y1266" s="88" t="n"/>
      <c r="Z1266" s="89" t="n"/>
      <c r="AB1266" s="25">
        <f>IF($B1266="","",(COUNTIF(C1266:E1266,"?*")&lt;N(INDEX(Setup!$L$6:$L$23,9)))+(COUNTIF(G1266:I1266,"?*")&lt;N(INDEX(Setup!$L$6:$L$23,9)))+(COUNTIF(K1266:M1266,"?*")&lt;N(INDEX(Setup!$L$6:$L$23,9)))+(COUNTIF(O1266:Q1266,"?*")&lt;N(INDEX(Setup!$L$6:$L$23,9)))+(COUNTIF(S1266:U1266,"?*")&lt;N(INDEX(Setup!$L$6:$L$23,9)))+((W1266="")*(INDEX(Setup!$M$6:$M$23,9)="Y"))+((Y1266="")*(INDEX(Setup!$M$6:$M$23,9)="Y")))</f>
        <v/>
      </c>
      <c r="AC1266" s="90">
        <f>IF($B1266="","",IF(AB1266=0,"✓ covered","⚠ "&amp;AB1266&amp;IF(AB1266=1," gap"," gaps")))</f>
        <v/>
      </c>
    </row>
    <row r="1267" ht="17" customHeight="1">
      <c r="A1267" t="n">
        <v>26</v>
      </c>
      <c r="B1267" s="29">
        <f>IF(Setup!$K$15="","",Setup!$K$15)</f>
        <v/>
      </c>
      <c r="C1267" s="88" t="n"/>
      <c r="D1267" s="88" t="n"/>
      <c r="E1267" s="88" t="n"/>
      <c r="F1267" s="89" t="n"/>
      <c r="G1267" s="88" t="n"/>
      <c r="H1267" s="88" t="n"/>
      <c r="I1267" s="88" t="n"/>
      <c r="J1267" s="89" t="n"/>
      <c r="K1267" s="88" t="n"/>
      <c r="L1267" s="88" t="n"/>
      <c r="M1267" s="88" t="n"/>
      <c r="N1267" s="89" t="n"/>
      <c r="O1267" s="88" t="n"/>
      <c r="P1267" s="88" t="n"/>
      <c r="Q1267" s="88" t="n"/>
      <c r="R1267" s="89" t="n"/>
      <c r="S1267" s="88" t="n"/>
      <c r="T1267" s="88" t="n"/>
      <c r="U1267" s="88" t="n"/>
      <c r="V1267" s="89" t="n"/>
      <c r="W1267" s="88" t="n"/>
      <c r="X1267" s="89" t="n"/>
      <c r="Y1267" s="88" t="n"/>
      <c r="Z1267" s="89" t="n"/>
      <c r="AB1267" s="30">
        <f>IF($B1267="","",(COUNTIF(C1267:E1267,"?*")&lt;N(INDEX(Setup!$L$6:$L$23,10)))+(COUNTIF(G1267:I1267,"?*")&lt;N(INDEX(Setup!$L$6:$L$23,10)))+(COUNTIF(K1267:M1267,"?*")&lt;N(INDEX(Setup!$L$6:$L$23,10)))+(COUNTIF(O1267:Q1267,"?*")&lt;N(INDEX(Setup!$L$6:$L$23,10)))+(COUNTIF(S1267:U1267,"?*")&lt;N(INDEX(Setup!$L$6:$L$23,10)))+((W1267="")*(INDEX(Setup!$M$6:$M$23,10)="Y"))+((Y1267="")*(INDEX(Setup!$M$6:$M$23,10)="Y")))</f>
        <v/>
      </c>
      <c r="AC1267" s="91">
        <f>IF($B1267="","",IF(AB1267=0,"✓ covered","⚠ "&amp;AB1267&amp;IF(AB1267=1," gap"," gaps")))</f>
        <v/>
      </c>
    </row>
    <row r="1268" ht="17" customHeight="1">
      <c r="A1268" t="n">
        <v>26</v>
      </c>
      <c r="B1268" s="24">
        <f>IF(Setup!$K$16="","",Setup!$K$16)</f>
        <v/>
      </c>
      <c r="C1268" s="88" t="n"/>
      <c r="D1268" s="88" t="n"/>
      <c r="E1268" s="88" t="n"/>
      <c r="F1268" s="89" t="n"/>
      <c r="G1268" s="88" t="n"/>
      <c r="H1268" s="88" t="n"/>
      <c r="I1268" s="88" t="n"/>
      <c r="J1268" s="89" t="n"/>
      <c r="K1268" s="88" t="n"/>
      <c r="L1268" s="88" t="n"/>
      <c r="M1268" s="88" t="n"/>
      <c r="N1268" s="89" t="n"/>
      <c r="O1268" s="88" t="n"/>
      <c r="P1268" s="88" t="n"/>
      <c r="Q1268" s="88" t="n"/>
      <c r="R1268" s="89" t="n"/>
      <c r="S1268" s="88" t="n"/>
      <c r="T1268" s="88" t="n"/>
      <c r="U1268" s="88" t="n"/>
      <c r="V1268" s="89" t="n"/>
      <c r="W1268" s="88" t="n"/>
      <c r="X1268" s="89" t="n"/>
      <c r="Y1268" s="88" t="n"/>
      <c r="Z1268" s="89" t="n"/>
      <c r="AB1268" s="25">
        <f>IF($B1268="","",(COUNTIF(C1268:E1268,"?*")&lt;N(INDEX(Setup!$L$6:$L$23,11)))+(COUNTIF(G1268:I1268,"?*")&lt;N(INDEX(Setup!$L$6:$L$23,11)))+(COUNTIF(K1268:M1268,"?*")&lt;N(INDEX(Setup!$L$6:$L$23,11)))+(COUNTIF(O1268:Q1268,"?*")&lt;N(INDEX(Setup!$L$6:$L$23,11)))+(COUNTIF(S1268:U1268,"?*")&lt;N(INDEX(Setup!$L$6:$L$23,11)))+((W1268="")*(INDEX(Setup!$M$6:$M$23,11)="Y"))+((Y1268="")*(INDEX(Setup!$M$6:$M$23,11)="Y")))</f>
        <v/>
      </c>
      <c r="AC1268" s="90">
        <f>IF($B1268="","",IF(AB1268=0,"✓ covered","⚠ "&amp;AB1268&amp;IF(AB1268=1," gap"," gaps")))</f>
        <v/>
      </c>
    </row>
    <row r="1269" ht="17" customHeight="1">
      <c r="A1269" t="n">
        <v>26</v>
      </c>
      <c r="B1269" s="29">
        <f>IF(Setup!$K$17="","",Setup!$K$17)</f>
        <v/>
      </c>
      <c r="C1269" s="88" t="n"/>
      <c r="D1269" s="88" t="n"/>
      <c r="E1269" s="88" t="n"/>
      <c r="F1269" s="89" t="n"/>
      <c r="G1269" s="88" t="n"/>
      <c r="H1269" s="88" t="n"/>
      <c r="I1269" s="88" t="n"/>
      <c r="J1269" s="89" t="n"/>
      <c r="K1269" s="88" t="n"/>
      <c r="L1269" s="88" t="n"/>
      <c r="M1269" s="88" t="n"/>
      <c r="N1269" s="89" t="n"/>
      <c r="O1269" s="88" t="n"/>
      <c r="P1269" s="88" t="n"/>
      <c r="Q1269" s="88" t="n"/>
      <c r="R1269" s="89" t="n"/>
      <c r="S1269" s="88" t="n"/>
      <c r="T1269" s="88" t="n"/>
      <c r="U1269" s="88" t="n"/>
      <c r="V1269" s="89" t="n"/>
      <c r="W1269" s="88" t="n"/>
      <c r="X1269" s="89" t="n"/>
      <c r="Y1269" s="88" t="n"/>
      <c r="Z1269" s="89" t="n"/>
      <c r="AB1269" s="30">
        <f>IF($B1269="","",(COUNTIF(C1269:E1269,"?*")&lt;N(INDEX(Setup!$L$6:$L$23,12)))+(COUNTIF(G1269:I1269,"?*")&lt;N(INDEX(Setup!$L$6:$L$23,12)))+(COUNTIF(K1269:M1269,"?*")&lt;N(INDEX(Setup!$L$6:$L$23,12)))+(COUNTIF(O1269:Q1269,"?*")&lt;N(INDEX(Setup!$L$6:$L$23,12)))+(COUNTIF(S1269:U1269,"?*")&lt;N(INDEX(Setup!$L$6:$L$23,12)))+((W1269="")*(INDEX(Setup!$M$6:$M$23,12)="Y"))+((Y1269="")*(INDEX(Setup!$M$6:$M$23,12)="Y")))</f>
        <v/>
      </c>
      <c r="AC1269" s="91">
        <f>IF($B1269="","",IF(AB1269=0,"✓ covered","⚠ "&amp;AB1269&amp;IF(AB1269=1," gap"," gaps")))</f>
        <v/>
      </c>
    </row>
    <row r="1270" ht="17" customHeight="1">
      <c r="A1270" t="n">
        <v>26</v>
      </c>
      <c r="B1270" s="24">
        <f>IF(Setup!$K$18="","",Setup!$K$18)</f>
        <v/>
      </c>
      <c r="C1270" s="88" t="n"/>
      <c r="D1270" s="88" t="n"/>
      <c r="E1270" s="88" t="n"/>
      <c r="F1270" s="89" t="n"/>
      <c r="G1270" s="88" t="n"/>
      <c r="H1270" s="88" t="n"/>
      <c r="I1270" s="88" t="n"/>
      <c r="J1270" s="89" t="n"/>
      <c r="K1270" s="88" t="n"/>
      <c r="L1270" s="88" t="n"/>
      <c r="M1270" s="88" t="n"/>
      <c r="N1270" s="89" t="n"/>
      <c r="O1270" s="88" t="n"/>
      <c r="P1270" s="88" t="n"/>
      <c r="Q1270" s="88" t="n"/>
      <c r="R1270" s="89" t="n"/>
      <c r="S1270" s="88" t="n"/>
      <c r="T1270" s="88" t="n"/>
      <c r="U1270" s="88" t="n"/>
      <c r="V1270" s="89" t="n"/>
      <c r="W1270" s="88" t="n"/>
      <c r="X1270" s="89" t="n"/>
      <c r="Y1270" s="88" t="n"/>
      <c r="Z1270" s="89" t="n"/>
      <c r="AB1270" s="25">
        <f>IF($B1270="","",(COUNTIF(C1270:E1270,"?*")&lt;N(INDEX(Setup!$L$6:$L$23,13)))+(COUNTIF(G1270:I1270,"?*")&lt;N(INDEX(Setup!$L$6:$L$23,13)))+(COUNTIF(K1270:M1270,"?*")&lt;N(INDEX(Setup!$L$6:$L$23,13)))+(COUNTIF(O1270:Q1270,"?*")&lt;N(INDEX(Setup!$L$6:$L$23,13)))+(COUNTIF(S1270:U1270,"?*")&lt;N(INDEX(Setup!$L$6:$L$23,13)))+((W1270="")*(INDEX(Setup!$M$6:$M$23,13)="Y"))+((Y1270="")*(INDEX(Setup!$M$6:$M$23,13)="Y")))</f>
        <v/>
      </c>
      <c r="AC1270" s="90">
        <f>IF($B1270="","",IF(AB1270=0,"✓ covered","⚠ "&amp;AB1270&amp;IF(AB1270=1," gap"," gaps")))</f>
        <v/>
      </c>
    </row>
    <row r="1271" ht="17" customHeight="1">
      <c r="A1271" t="n">
        <v>26</v>
      </c>
      <c r="B1271" s="29">
        <f>IF(Setup!$K$19="","",Setup!$K$19)</f>
        <v/>
      </c>
      <c r="C1271" s="88" t="n"/>
      <c r="D1271" s="88" t="n"/>
      <c r="E1271" s="88" t="n"/>
      <c r="F1271" s="89" t="n"/>
      <c r="G1271" s="88" t="n"/>
      <c r="H1271" s="88" t="n"/>
      <c r="I1271" s="88" t="n"/>
      <c r="J1271" s="89" t="n"/>
      <c r="K1271" s="88" t="n"/>
      <c r="L1271" s="88" t="n"/>
      <c r="M1271" s="88" t="n"/>
      <c r="N1271" s="89" t="n"/>
      <c r="O1271" s="88" t="n"/>
      <c r="P1271" s="88" t="n"/>
      <c r="Q1271" s="88" t="n"/>
      <c r="R1271" s="89" t="n"/>
      <c r="S1271" s="88" t="n"/>
      <c r="T1271" s="88" t="n"/>
      <c r="U1271" s="88" t="n"/>
      <c r="V1271" s="89" t="n"/>
      <c r="W1271" s="88" t="n"/>
      <c r="X1271" s="89" t="n"/>
      <c r="Y1271" s="88" t="n"/>
      <c r="Z1271" s="89" t="n"/>
      <c r="AB1271" s="30">
        <f>IF($B1271="","",(COUNTIF(C1271:E1271,"?*")&lt;N(INDEX(Setup!$L$6:$L$23,14)))+(COUNTIF(G1271:I1271,"?*")&lt;N(INDEX(Setup!$L$6:$L$23,14)))+(COUNTIF(K1271:M1271,"?*")&lt;N(INDEX(Setup!$L$6:$L$23,14)))+(COUNTIF(O1271:Q1271,"?*")&lt;N(INDEX(Setup!$L$6:$L$23,14)))+(COUNTIF(S1271:U1271,"?*")&lt;N(INDEX(Setup!$L$6:$L$23,14)))+((W1271="")*(INDEX(Setup!$M$6:$M$23,14)="Y"))+((Y1271="")*(INDEX(Setup!$M$6:$M$23,14)="Y")))</f>
        <v/>
      </c>
      <c r="AC1271" s="91">
        <f>IF($B1271="","",IF(AB1271=0,"✓ covered","⚠ "&amp;AB1271&amp;IF(AB1271=1," gap"," gaps")))</f>
        <v/>
      </c>
    </row>
    <row r="1272" ht="17" customHeight="1">
      <c r="A1272" t="n">
        <v>26</v>
      </c>
      <c r="B1272" s="24">
        <f>IF(Setup!$K$20="","",Setup!$K$20)</f>
        <v/>
      </c>
      <c r="C1272" s="88" t="n"/>
      <c r="D1272" s="88" t="n"/>
      <c r="E1272" s="88" t="n"/>
      <c r="F1272" s="89" t="n"/>
      <c r="G1272" s="88" t="n"/>
      <c r="H1272" s="88" t="n"/>
      <c r="I1272" s="88" t="n"/>
      <c r="J1272" s="89" t="n"/>
      <c r="K1272" s="88" t="n"/>
      <c r="L1272" s="88" t="n"/>
      <c r="M1272" s="88" t="n"/>
      <c r="N1272" s="89" t="n"/>
      <c r="O1272" s="88" t="n"/>
      <c r="P1272" s="88" t="n"/>
      <c r="Q1272" s="88" t="n"/>
      <c r="R1272" s="89" t="n"/>
      <c r="S1272" s="88" t="n"/>
      <c r="T1272" s="88" t="n"/>
      <c r="U1272" s="88" t="n"/>
      <c r="V1272" s="89" t="n"/>
      <c r="W1272" s="88" t="n"/>
      <c r="X1272" s="89" t="n"/>
      <c r="Y1272" s="88" t="n"/>
      <c r="Z1272" s="89" t="n"/>
      <c r="AB1272" s="25">
        <f>IF($B1272="","",(COUNTIF(C1272:E1272,"?*")&lt;N(INDEX(Setup!$L$6:$L$23,15)))+(COUNTIF(G1272:I1272,"?*")&lt;N(INDEX(Setup!$L$6:$L$23,15)))+(COUNTIF(K1272:M1272,"?*")&lt;N(INDEX(Setup!$L$6:$L$23,15)))+(COUNTIF(O1272:Q1272,"?*")&lt;N(INDEX(Setup!$L$6:$L$23,15)))+(COUNTIF(S1272:U1272,"?*")&lt;N(INDEX(Setup!$L$6:$L$23,15)))+((W1272="")*(INDEX(Setup!$M$6:$M$23,15)="Y"))+((Y1272="")*(INDEX(Setup!$M$6:$M$23,15)="Y")))</f>
        <v/>
      </c>
      <c r="AC1272" s="90">
        <f>IF($B1272="","",IF(AB1272=0,"✓ covered","⚠ "&amp;AB1272&amp;IF(AB1272=1," gap"," gaps")))</f>
        <v/>
      </c>
    </row>
    <row r="1273" ht="17" customHeight="1">
      <c r="A1273" t="n">
        <v>26</v>
      </c>
      <c r="B1273" s="29">
        <f>IF(Setup!$K$21="","",Setup!$K$21)</f>
        <v/>
      </c>
      <c r="C1273" s="88" t="n"/>
      <c r="D1273" s="88" t="n"/>
      <c r="E1273" s="88" t="n"/>
      <c r="F1273" s="89" t="n"/>
      <c r="G1273" s="88" t="n"/>
      <c r="H1273" s="88" t="n"/>
      <c r="I1273" s="88" t="n"/>
      <c r="J1273" s="89" t="n"/>
      <c r="K1273" s="88" t="n"/>
      <c r="L1273" s="88" t="n"/>
      <c r="M1273" s="88" t="n"/>
      <c r="N1273" s="89" t="n"/>
      <c r="O1273" s="88" t="n"/>
      <c r="P1273" s="88" t="n"/>
      <c r="Q1273" s="88" t="n"/>
      <c r="R1273" s="89" t="n"/>
      <c r="S1273" s="88" t="n"/>
      <c r="T1273" s="88" t="n"/>
      <c r="U1273" s="88" t="n"/>
      <c r="V1273" s="89" t="n"/>
      <c r="W1273" s="88" t="n"/>
      <c r="X1273" s="89" t="n"/>
      <c r="Y1273" s="88" t="n"/>
      <c r="Z1273" s="89" t="n"/>
      <c r="AB1273" s="30">
        <f>IF($B1273="","",(COUNTIF(C1273:E1273,"?*")&lt;N(INDEX(Setup!$L$6:$L$23,16)))+(COUNTIF(G1273:I1273,"?*")&lt;N(INDEX(Setup!$L$6:$L$23,16)))+(COUNTIF(K1273:M1273,"?*")&lt;N(INDEX(Setup!$L$6:$L$23,16)))+(COUNTIF(O1273:Q1273,"?*")&lt;N(INDEX(Setup!$L$6:$L$23,16)))+(COUNTIF(S1273:U1273,"?*")&lt;N(INDEX(Setup!$L$6:$L$23,16)))+((W1273="")*(INDEX(Setup!$M$6:$M$23,16)="Y"))+((Y1273="")*(INDEX(Setup!$M$6:$M$23,16)="Y")))</f>
        <v/>
      </c>
      <c r="AC1273" s="91">
        <f>IF($B1273="","",IF(AB1273=0,"✓ covered","⚠ "&amp;AB1273&amp;IF(AB1273=1," gap"," gaps")))</f>
        <v/>
      </c>
    </row>
    <row r="1274" ht="17" customHeight="1">
      <c r="A1274" t="n">
        <v>26</v>
      </c>
      <c r="B1274" s="24">
        <f>IF(Setup!$K$22="","",Setup!$K$22)</f>
        <v/>
      </c>
      <c r="C1274" s="88" t="n"/>
      <c r="D1274" s="88" t="n"/>
      <c r="E1274" s="88" t="n"/>
      <c r="F1274" s="89" t="n"/>
      <c r="G1274" s="88" t="n"/>
      <c r="H1274" s="88" t="n"/>
      <c r="I1274" s="88" t="n"/>
      <c r="J1274" s="89" t="n"/>
      <c r="K1274" s="88" t="n"/>
      <c r="L1274" s="88" t="n"/>
      <c r="M1274" s="88" t="n"/>
      <c r="N1274" s="89" t="n"/>
      <c r="O1274" s="88" t="n"/>
      <c r="P1274" s="88" t="n"/>
      <c r="Q1274" s="88" t="n"/>
      <c r="R1274" s="89" t="n"/>
      <c r="S1274" s="88" t="n"/>
      <c r="T1274" s="88" t="n"/>
      <c r="U1274" s="88" t="n"/>
      <c r="V1274" s="89" t="n"/>
      <c r="W1274" s="88" t="n"/>
      <c r="X1274" s="89" t="n"/>
      <c r="Y1274" s="88" t="n"/>
      <c r="Z1274" s="89" t="n"/>
      <c r="AB1274" s="25">
        <f>IF($B1274="","",(COUNTIF(C1274:E1274,"?*")&lt;N(INDEX(Setup!$L$6:$L$23,17)))+(COUNTIF(G1274:I1274,"?*")&lt;N(INDEX(Setup!$L$6:$L$23,17)))+(COUNTIF(K1274:M1274,"?*")&lt;N(INDEX(Setup!$L$6:$L$23,17)))+(COUNTIF(O1274:Q1274,"?*")&lt;N(INDEX(Setup!$L$6:$L$23,17)))+(COUNTIF(S1274:U1274,"?*")&lt;N(INDEX(Setup!$L$6:$L$23,17)))+((W1274="")*(INDEX(Setup!$M$6:$M$23,17)="Y"))+((Y1274="")*(INDEX(Setup!$M$6:$M$23,17)="Y")))</f>
        <v/>
      </c>
      <c r="AC1274" s="90">
        <f>IF($B1274="","",IF(AB1274=0,"✓ covered","⚠ "&amp;AB1274&amp;IF(AB1274=1," gap"," gaps")))</f>
        <v/>
      </c>
    </row>
    <row r="1275" ht="17" customHeight="1">
      <c r="A1275" t="n">
        <v>26</v>
      </c>
      <c r="B1275" s="29">
        <f>IF(Setup!$K$23="","",Setup!$K$23)</f>
        <v/>
      </c>
      <c r="C1275" s="88" t="n"/>
      <c r="D1275" s="88" t="n"/>
      <c r="E1275" s="88" t="n"/>
      <c r="F1275" s="89" t="n"/>
      <c r="G1275" s="88" t="n"/>
      <c r="H1275" s="88" t="n"/>
      <c r="I1275" s="88" t="n"/>
      <c r="J1275" s="89" t="n"/>
      <c r="K1275" s="88" t="n"/>
      <c r="L1275" s="88" t="n"/>
      <c r="M1275" s="88" t="n"/>
      <c r="N1275" s="89" t="n"/>
      <c r="O1275" s="88" t="n"/>
      <c r="P1275" s="88" t="n"/>
      <c r="Q1275" s="88" t="n"/>
      <c r="R1275" s="89" t="n"/>
      <c r="S1275" s="88" t="n"/>
      <c r="T1275" s="88" t="n"/>
      <c r="U1275" s="88" t="n"/>
      <c r="V1275" s="89" t="n"/>
      <c r="W1275" s="88" t="n"/>
      <c r="X1275" s="89" t="n"/>
      <c r="Y1275" s="88" t="n"/>
      <c r="Z1275" s="89" t="n"/>
      <c r="AB1275" s="30">
        <f>IF($B1275="","",(COUNTIF(C1275:E1275,"?*")&lt;N(INDEX(Setup!$L$6:$L$23,18)))+(COUNTIF(G1275:I1275,"?*")&lt;N(INDEX(Setup!$L$6:$L$23,18)))+(COUNTIF(K1275:M1275,"?*")&lt;N(INDEX(Setup!$L$6:$L$23,18)))+(COUNTIF(O1275:Q1275,"?*")&lt;N(INDEX(Setup!$L$6:$L$23,18)))+(COUNTIF(S1275:U1275,"?*")&lt;N(INDEX(Setup!$L$6:$L$23,18)))+((W1275="")*(INDEX(Setup!$M$6:$M$23,18)="Y"))+((Y1275="")*(INDEX(Setup!$M$6:$M$23,18)="Y")))</f>
        <v/>
      </c>
      <c r="AC1275" s="91">
        <f>IF($B1275="","",IF(AB1275=0,"✓ covered","⚠ "&amp;AB1275&amp;IF(AB1275=1," gap"," gaps")))</f>
        <v/>
      </c>
    </row>
    <row r="1276" ht="18" customHeight="1">
      <c r="A1276" t="n">
        <v>26</v>
      </c>
      <c r="B1276" s="78" t="inlineStr">
        <is>
          <t>TEAM AVAILABILITY</t>
        </is>
      </c>
      <c r="C1276" s="92" t="inlineStr">
        <is>
          <t>Mon</t>
        </is>
      </c>
      <c r="D1276" s="93" t="n"/>
      <c r="E1276" s="93" t="n"/>
      <c r="F1276" s="94" t="n"/>
      <c r="G1276" s="92" t="inlineStr">
        <is>
          <t>Tue</t>
        </is>
      </c>
      <c r="H1276" s="93" t="n"/>
      <c r="I1276" s="93" t="n"/>
      <c r="J1276" s="94" t="n"/>
      <c r="K1276" s="92" t="inlineStr">
        <is>
          <t>Wed</t>
        </is>
      </c>
      <c r="L1276" s="93" t="n"/>
      <c r="M1276" s="93" t="n"/>
      <c r="N1276" s="94" t="n"/>
      <c r="O1276" s="92" t="inlineStr">
        <is>
          <t>Thu</t>
        </is>
      </c>
      <c r="P1276" s="93" t="n"/>
      <c r="Q1276" s="93" t="n"/>
      <c r="R1276" s="94" t="n"/>
      <c r="S1276" s="92" t="inlineStr">
        <is>
          <t>Fri</t>
        </is>
      </c>
      <c r="T1276" s="93" t="n"/>
      <c r="U1276" s="93" t="n"/>
      <c r="V1276" s="94" t="n"/>
      <c r="W1276" s="95" t="inlineStr">
        <is>
          <t>Sat</t>
        </is>
      </c>
      <c r="X1276" s="96" t="n"/>
      <c r="Y1276" s="95" t="inlineStr">
        <is>
          <t>Sun</t>
        </is>
      </c>
      <c r="Z1276" s="96" t="n"/>
      <c r="AB1276" s="97" t="inlineStr">
        <is>
          <t>Days rostered</t>
        </is>
      </c>
      <c r="AC1276" s="97" t="inlineStr">
        <is>
          <t>Conflicts</t>
        </is>
      </c>
    </row>
    <row r="1277" ht="15" customHeight="1">
      <c r="A1277" t="n">
        <v>26</v>
      </c>
      <c r="B1277" s="35">
        <f>IF(Setup!$B$6="","",Setup!$B$6)</f>
        <v/>
      </c>
      <c r="C1277" s="98" t="n"/>
      <c r="D1277" s="99" t="n"/>
      <c r="E1277" s="99" t="n"/>
      <c r="F1277" s="100" t="n"/>
      <c r="G1277" s="98" t="n"/>
      <c r="H1277" s="99" t="n"/>
      <c r="I1277" s="99" t="n"/>
      <c r="J1277" s="100" t="n"/>
      <c r="K1277" s="98" t="n"/>
      <c r="L1277" s="99" t="n"/>
      <c r="M1277" s="99" t="n"/>
      <c r="N1277" s="100" t="n"/>
      <c r="O1277" s="98" t="n"/>
      <c r="P1277" s="99" t="n"/>
      <c r="Q1277" s="99" t="n"/>
      <c r="R1277" s="100" t="n"/>
      <c r="S1277" s="98" t="n"/>
      <c r="T1277" s="99" t="n"/>
      <c r="U1277" s="99" t="n"/>
      <c r="V1277" s="100" t="n"/>
      <c r="W1277" s="98" t="n"/>
      <c r="X1277" s="100" t="n"/>
      <c r="Y1277" s="98" t="n"/>
      <c r="Z1277" s="100" t="n"/>
      <c r="AB1277" s="101">
        <f>IF($B1277="","",(COUNTIF(C1258:E1275,$B1277)+COUNTIF(C1258:E1275,$B1277&amp;" ~*")&gt;0)+(COUNTIF(G1258:I1275,$B1277)+COUNTIF(G1258:I1275,$B1277&amp;" ~*")&gt;0)+(COUNTIF(K1258:M1275,$B1277)+COUNTIF(K1258:M1275,$B1277&amp;" ~*")&gt;0)+(COUNTIF(O1258:Q1275,$B1277)+COUNTIF(O1258:Q1275,$B1277&amp;" ~*")&gt;0)+(COUNTIF(S1258:U1275,$B1277)+COUNTIF(S1258:U1275,$B1277&amp;" ~*")&gt;0)+(COUNTIF(W1258:W1275,$B1277)+COUNTIF(W1258:W1275,$B1277&amp;" ~*")&gt;0)+(COUNTIF(Y1258:Y1275,$B1277)+COUNTIF(Y1258:Y1275,$B1277&amp;" ~*")&gt;0))</f>
        <v/>
      </c>
      <c r="AC1277" s="36">
        <f>IF($B1277="","",(IFERROR(INDEX(Setup!$G$33:$G$40,MATCH(C1277,Setup!$B$33:$B$40,0)),0)=1)*(COUNTIF(C1258:E1275,$B1277)+COUNTIF(C1258:E1275,$B1277&amp;" ~*")&gt;0)+(IFERROR(INDEX(Setup!$G$33:$G$40,MATCH(G1277,Setup!$B$33:$B$40,0)),0)=1)*(COUNTIF(G1258:I1275,$B1277)+COUNTIF(G1258:I1275,$B1277&amp;" ~*")&gt;0)+(IFERROR(INDEX(Setup!$G$33:$G$40,MATCH(K1277,Setup!$B$33:$B$40,0)),0)=1)*(COUNTIF(K1258:M1275,$B1277)+COUNTIF(K1258:M1275,$B1277&amp;" ~*")&gt;0)+(IFERROR(INDEX(Setup!$G$33:$G$40,MATCH(O1277,Setup!$B$33:$B$40,0)),0)=1)*(COUNTIF(O1258:Q1275,$B1277)+COUNTIF(O1258:Q1275,$B1277&amp;" ~*")&gt;0)+(IFERROR(INDEX(Setup!$G$33:$G$40,MATCH(S1277,Setup!$B$33:$B$40,0)),0)=1)*(COUNTIF(S1258:U1275,$B1277)+COUNTIF(S1258:U1275,$B1277&amp;" ~*")&gt;0)+(IFERROR(INDEX(Setup!$G$33:$G$40,MATCH(W1277,Setup!$B$33:$B$40,0)),0)=1)*(COUNTIF(W1258:W1275,$B1277)+COUNTIF(W1258:W1275,$B1277&amp;" ~*")&gt;0)+(IFERROR(INDEX(Setup!$G$33:$G$40,MATCH(Y1277,Setup!$B$33:$B$40,0)),0)=1)*(COUNTIF(Y1258:Y1275,$B1277)+COUNTIF(Y1258:Y1275,$B1277&amp;" ~*")&gt;0))</f>
        <v/>
      </c>
    </row>
    <row r="1278" ht="15" customHeight="1">
      <c r="A1278" t="n">
        <v>26</v>
      </c>
      <c r="B1278" s="37">
        <f>IF(Setup!$B$7="","",Setup!$B$7)</f>
        <v/>
      </c>
      <c r="C1278" s="102" t="n"/>
      <c r="D1278" s="103" t="n"/>
      <c r="E1278" s="103" t="n"/>
      <c r="F1278" s="104" t="n"/>
      <c r="G1278" s="102" t="n"/>
      <c r="H1278" s="103" t="n"/>
      <c r="I1278" s="103" t="n"/>
      <c r="J1278" s="104" t="n"/>
      <c r="K1278" s="102" t="n"/>
      <c r="L1278" s="103" t="n"/>
      <c r="M1278" s="103" t="n"/>
      <c r="N1278" s="104" t="n"/>
      <c r="O1278" s="102" t="n"/>
      <c r="P1278" s="103" t="n"/>
      <c r="Q1278" s="103" t="n"/>
      <c r="R1278" s="104" t="n"/>
      <c r="S1278" s="102" t="n"/>
      <c r="T1278" s="103" t="n"/>
      <c r="U1278" s="103" t="n"/>
      <c r="V1278" s="104" t="n"/>
      <c r="W1278" s="102" t="n"/>
      <c r="X1278" s="104" t="n"/>
      <c r="Y1278" s="102" t="n"/>
      <c r="Z1278" s="104" t="n"/>
      <c r="AB1278" s="105">
        <f>IF($B1278="","",(COUNTIF(C1258:E1275,$B1278)+COUNTIF(C1258:E1275,$B1278&amp;" ~*")&gt;0)+(COUNTIF(G1258:I1275,$B1278)+COUNTIF(G1258:I1275,$B1278&amp;" ~*")&gt;0)+(COUNTIF(K1258:M1275,$B1278)+COUNTIF(K1258:M1275,$B1278&amp;" ~*")&gt;0)+(COUNTIF(O1258:Q1275,$B1278)+COUNTIF(O1258:Q1275,$B1278&amp;" ~*")&gt;0)+(COUNTIF(S1258:U1275,$B1278)+COUNTIF(S1258:U1275,$B1278&amp;" ~*")&gt;0)+(COUNTIF(W1258:W1275,$B1278)+COUNTIF(W1258:W1275,$B1278&amp;" ~*")&gt;0)+(COUNTIF(Y1258:Y1275,$B1278)+COUNTIF(Y1258:Y1275,$B1278&amp;" ~*")&gt;0))</f>
        <v/>
      </c>
      <c r="AC1278" s="38">
        <f>IF($B1278="","",(IFERROR(INDEX(Setup!$G$33:$G$40,MATCH(C1278,Setup!$B$33:$B$40,0)),0)=1)*(COUNTIF(C1258:E1275,$B1278)+COUNTIF(C1258:E1275,$B1278&amp;" ~*")&gt;0)+(IFERROR(INDEX(Setup!$G$33:$G$40,MATCH(G1278,Setup!$B$33:$B$40,0)),0)=1)*(COUNTIF(G1258:I1275,$B1278)+COUNTIF(G1258:I1275,$B1278&amp;" ~*")&gt;0)+(IFERROR(INDEX(Setup!$G$33:$G$40,MATCH(K1278,Setup!$B$33:$B$40,0)),0)=1)*(COUNTIF(K1258:M1275,$B1278)+COUNTIF(K1258:M1275,$B1278&amp;" ~*")&gt;0)+(IFERROR(INDEX(Setup!$G$33:$G$40,MATCH(O1278,Setup!$B$33:$B$40,0)),0)=1)*(COUNTIF(O1258:Q1275,$B1278)+COUNTIF(O1258:Q1275,$B1278&amp;" ~*")&gt;0)+(IFERROR(INDEX(Setup!$G$33:$G$40,MATCH(S1278,Setup!$B$33:$B$40,0)),0)=1)*(COUNTIF(S1258:U1275,$B1278)+COUNTIF(S1258:U1275,$B1278&amp;" ~*")&gt;0)+(IFERROR(INDEX(Setup!$G$33:$G$40,MATCH(W1278,Setup!$B$33:$B$40,0)),0)=1)*(COUNTIF(W1258:W1275,$B1278)+COUNTIF(W1258:W1275,$B1278&amp;" ~*")&gt;0)+(IFERROR(INDEX(Setup!$G$33:$G$40,MATCH(Y1278,Setup!$B$33:$B$40,0)),0)=1)*(COUNTIF(Y1258:Y1275,$B1278)+COUNTIF(Y1258:Y1275,$B1278&amp;" ~*")&gt;0))</f>
        <v/>
      </c>
    </row>
    <row r="1279" ht="15" customHeight="1">
      <c r="A1279" t="n">
        <v>26</v>
      </c>
      <c r="B1279" s="35">
        <f>IF(Setup!$B$8="","",Setup!$B$8)</f>
        <v/>
      </c>
      <c r="C1279" s="98" t="n"/>
      <c r="D1279" s="99" t="n"/>
      <c r="E1279" s="99" t="n"/>
      <c r="F1279" s="100" t="n"/>
      <c r="G1279" s="98" t="n"/>
      <c r="H1279" s="99" t="n"/>
      <c r="I1279" s="99" t="n"/>
      <c r="J1279" s="100" t="n"/>
      <c r="K1279" s="98" t="n"/>
      <c r="L1279" s="99" t="n"/>
      <c r="M1279" s="99" t="n"/>
      <c r="N1279" s="100" t="n"/>
      <c r="O1279" s="98" t="n"/>
      <c r="P1279" s="99" t="n"/>
      <c r="Q1279" s="99" t="n"/>
      <c r="R1279" s="100" t="n"/>
      <c r="S1279" s="98" t="n"/>
      <c r="T1279" s="99" t="n"/>
      <c r="U1279" s="99" t="n"/>
      <c r="V1279" s="100" t="n"/>
      <c r="W1279" s="98" t="n"/>
      <c r="X1279" s="100" t="n"/>
      <c r="Y1279" s="98" t="n"/>
      <c r="Z1279" s="100" t="n"/>
      <c r="AB1279" s="101">
        <f>IF($B1279="","",(COUNTIF(C1258:E1275,$B1279)+COUNTIF(C1258:E1275,$B1279&amp;" ~*")&gt;0)+(COUNTIF(G1258:I1275,$B1279)+COUNTIF(G1258:I1275,$B1279&amp;" ~*")&gt;0)+(COUNTIF(K1258:M1275,$B1279)+COUNTIF(K1258:M1275,$B1279&amp;" ~*")&gt;0)+(COUNTIF(O1258:Q1275,$B1279)+COUNTIF(O1258:Q1275,$B1279&amp;" ~*")&gt;0)+(COUNTIF(S1258:U1275,$B1279)+COUNTIF(S1258:U1275,$B1279&amp;" ~*")&gt;0)+(COUNTIF(W1258:W1275,$B1279)+COUNTIF(W1258:W1275,$B1279&amp;" ~*")&gt;0)+(COUNTIF(Y1258:Y1275,$B1279)+COUNTIF(Y1258:Y1275,$B1279&amp;" ~*")&gt;0))</f>
        <v/>
      </c>
      <c r="AC1279" s="36">
        <f>IF($B1279="","",(IFERROR(INDEX(Setup!$G$33:$G$40,MATCH(C1279,Setup!$B$33:$B$40,0)),0)=1)*(COUNTIF(C1258:E1275,$B1279)+COUNTIF(C1258:E1275,$B1279&amp;" ~*")&gt;0)+(IFERROR(INDEX(Setup!$G$33:$G$40,MATCH(G1279,Setup!$B$33:$B$40,0)),0)=1)*(COUNTIF(G1258:I1275,$B1279)+COUNTIF(G1258:I1275,$B1279&amp;" ~*")&gt;0)+(IFERROR(INDEX(Setup!$G$33:$G$40,MATCH(K1279,Setup!$B$33:$B$40,0)),0)=1)*(COUNTIF(K1258:M1275,$B1279)+COUNTIF(K1258:M1275,$B1279&amp;" ~*")&gt;0)+(IFERROR(INDEX(Setup!$G$33:$G$40,MATCH(O1279,Setup!$B$33:$B$40,0)),0)=1)*(COUNTIF(O1258:Q1275,$B1279)+COUNTIF(O1258:Q1275,$B1279&amp;" ~*")&gt;0)+(IFERROR(INDEX(Setup!$G$33:$G$40,MATCH(S1279,Setup!$B$33:$B$40,0)),0)=1)*(COUNTIF(S1258:U1275,$B1279)+COUNTIF(S1258:U1275,$B1279&amp;" ~*")&gt;0)+(IFERROR(INDEX(Setup!$G$33:$G$40,MATCH(W1279,Setup!$B$33:$B$40,0)),0)=1)*(COUNTIF(W1258:W1275,$B1279)+COUNTIF(W1258:W1275,$B1279&amp;" ~*")&gt;0)+(IFERROR(INDEX(Setup!$G$33:$G$40,MATCH(Y1279,Setup!$B$33:$B$40,0)),0)=1)*(COUNTIF(Y1258:Y1275,$B1279)+COUNTIF(Y1258:Y1275,$B1279&amp;" ~*")&gt;0))</f>
        <v/>
      </c>
    </row>
    <row r="1280" ht="15" customHeight="1">
      <c r="A1280" t="n">
        <v>26</v>
      </c>
      <c r="B1280" s="37">
        <f>IF(Setup!$B$9="","",Setup!$B$9)</f>
        <v/>
      </c>
      <c r="C1280" s="102" t="n"/>
      <c r="D1280" s="103" t="n"/>
      <c r="E1280" s="103" t="n"/>
      <c r="F1280" s="104" t="n"/>
      <c r="G1280" s="102" t="n"/>
      <c r="H1280" s="103" t="n"/>
      <c r="I1280" s="103" t="n"/>
      <c r="J1280" s="104" t="n"/>
      <c r="K1280" s="102" t="n"/>
      <c r="L1280" s="103" t="n"/>
      <c r="M1280" s="103" t="n"/>
      <c r="N1280" s="104" t="n"/>
      <c r="O1280" s="102" t="n"/>
      <c r="P1280" s="103" t="n"/>
      <c r="Q1280" s="103" t="n"/>
      <c r="R1280" s="104" t="n"/>
      <c r="S1280" s="102" t="n"/>
      <c r="T1280" s="103" t="n"/>
      <c r="U1280" s="103" t="n"/>
      <c r="V1280" s="104" t="n"/>
      <c r="W1280" s="102" t="n"/>
      <c r="X1280" s="104" t="n"/>
      <c r="Y1280" s="102" t="n"/>
      <c r="Z1280" s="104" t="n"/>
      <c r="AB1280" s="105">
        <f>IF($B1280="","",(COUNTIF(C1258:E1275,$B1280)+COUNTIF(C1258:E1275,$B1280&amp;" ~*")&gt;0)+(COUNTIF(G1258:I1275,$B1280)+COUNTIF(G1258:I1275,$B1280&amp;" ~*")&gt;0)+(COUNTIF(K1258:M1275,$B1280)+COUNTIF(K1258:M1275,$B1280&amp;" ~*")&gt;0)+(COUNTIF(O1258:Q1275,$B1280)+COUNTIF(O1258:Q1275,$B1280&amp;" ~*")&gt;0)+(COUNTIF(S1258:U1275,$B1280)+COUNTIF(S1258:U1275,$B1280&amp;" ~*")&gt;0)+(COUNTIF(W1258:W1275,$B1280)+COUNTIF(W1258:W1275,$B1280&amp;" ~*")&gt;0)+(COUNTIF(Y1258:Y1275,$B1280)+COUNTIF(Y1258:Y1275,$B1280&amp;" ~*")&gt;0))</f>
        <v/>
      </c>
      <c r="AC1280" s="38">
        <f>IF($B1280="","",(IFERROR(INDEX(Setup!$G$33:$G$40,MATCH(C1280,Setup!$B$33:$B$40,0)),0)=1)*(COUNTIF(C1258:E1275,$B1280)+COUNTIF(C1258:E1275,$B1280&amp;" ~*")&gt;0)+(IFERROR(INDEX(Setup!$G$33:$G$40,MATCH(G1280,Setup!$B$33:$B$40,0)),0)=1)*(COUNTIF(G1258:I1275,$B1280)+COUNTIF(G1258:I1275,$B1280&amp;" ~*")&gt;0)+(IFERROR(INDEX(Setup!$G$33:$G$40,MATCH(K1280,Setup!$B$33:$B$40,0)),0)=1)*(COUNTIF(K1258:M1275,$B1280)+COUNTIF(K1258:M1275,$B1280&amp;" ~*")&gt;0)+(IFERROR(INDEX(Setup!$G$33:$G$40,MATCH(O1280,Setup!$B$33:$B$40,0)),0)=1)*(COUNTIF(O1258:Q1275,$B1280)+COUNTIF(O1258:Q1275,$B1280&amp;" ~*")&gt;0)+(IFERROR(INDEX(Setup!$G$33:$G$40,MATCH(S1280,Setup!$B$33:$B$40,0)),0)=1)*(COUNTIF(S1258:U1275,$B1280)+COUNTIF(S1258:U1275,$B1280&amp;" ~*")&gt;0)+(IFERROR(INDEX(Setup!$G$33:$G$40,MATCH(W1280,Setup!$B$33:$B$40,0)),0)=1)*(COUNTIF(W1258:W1275,$B1280)+COUNTIF(W1258:W1275,$B1280&amp;" ~*")&gt;0)+(IFERROR(INDEX(Setup!$G$33:$G$40,MATCH(Y1280,Setup!$B$33:$B$40,0)),0)=1)*(COUNTIF(Y1258:Y1275,$B1280)+COUNTIF(Y1258:Y1275,$B1280&amp;" ~*")&gt;0))</f>
        <v/>
      </c>
    </row>
    <row r="1281" ht="15" customHeight="1">
      <c r="A1281" t="n">
        <v>26</v>
      </c>
      <c r="B1281" s="35">
        <f>IF(Setup!$B$10="","",Setup!$B$10)</f>
        <v/>
      </c>
      <c r="C1281" s="98" t="n"/>
      <c r="D1281" s="99" t="n"/>
      <c r="E1281" s="99" t="n"/>
      <c r="F1281" s="100" t="n"/>
      <c r="G1281" s="98" t="n"/>
      <c r="H1281" s="99" t="n"/>
      <c r="I1281" s="99" t="n"/>
      <c r="J1281" s="100" t="n"/>
      <c r="K1281" s="98" t="n"/>
      <c r="L1281" s="99" t="n"/>
      <c r="M1281" s="99" t="n"/>
      <c r="N1281" s="100" t="n"/>
      <c r="O1281" s="98" t="n"/>
      <c r="P1281" s="99" t="n"/>
      <c r="Q1281" s="99" t="n"/>
      <c r="R1281" s="100" t="n"/>
      <c r="S1281" s="98" t="n"/>
      <c r="T1281" s="99" t="n"/>
      <c r="U1281" s="99" t="n"/>
      <c r="V1281" s="100" t="n"/>
      <c r="W1281" s="98" t="n"/>
      <c r="X1281" s="100" t="n"/>
      <c r="Y1281" s="98" t="n"/>
      <c r="Z1281" s="100" t="n"/>
      <c r="AB1281" s="101">
        <f>IF($B1281="","",(COUNTIF(C1258:E1275,$B1281)+COUNTIF(C1258:E1275,$B1281&amp;" ~*")&gt;0)+(COUNTIF(G1258:I1275,$B1281)+COUNTIF(G1258:I1275,$B1281&amp;" ~*")&gt;0)+(COUNTIF(K1258:M1275,$B1281)+COUNTIF(K1258:M1275,$B1281&amp;" ~*")&gt;0)+(COUNTIF(O1258:Q1275,$B1281)+COUNTIF(O1258:Q1275,$B1281&amp;" ~*")&gt;0)+(COUNTIF(S1258:U1275,$B1281)+COUNTIF(S1258:U1275,$B1281&amp;" ~*")&gt;0)+(COUNTIF(W1258:W1275,$B1281)+COUNTIF(W1258:W1275,$B1281&amp;" ~*")&gt;0)+(COUNTIF(Y1258:Y1275,$B1281)+COUNTIF(Y1258:Y1275,$B1281&amp;" ~*")&gt;0))</f>
        <v/>
      </c>
      <c r="AC1281" s="36">
        <f>IF($B1281="","",(IFERROR(INDEX(Setup!$G$33:$G$40,MATCH(C1281,Setup!$B$33:$B$40,0)),0)=1)*(COUNTIF(C1258:E1275,$B1281)+COUNTIF(C1258:E1275,$B1281&amp;" ~*")&gt;0)+(IFERROR(INDEX(Setup!$G$33:$G$40,MATCH(G1281,Setup!$B$33:$B$40,0)),0)=1)*(COUNTIF(G1258:I1275,$B1281)+COUNTIF(G1258:I1275,$B1281&amp;" ~*")&gt;0)+(IFERROR(INDEX(Setup!$G$33:$G$40,MATCH(K1281,Setup!$B$33:$B$40,0)),0)=1)*(COUNTIF(K1258:M1275,$B1281)+COUNTIF(K1258:M1275,$B1281&amp;" ~*")&gt;0)+(IFERROR(INDEX(Setup!$G$33:$G$40,MATCH(O1281,Setup!$B$33:$B$40,0)),0)=1)*(COUNTIF(O1258:Q1275,$B1281)+COUNTIF(O1258:Q1275,$B1281&amp;" ~*")&gt;0)+(IFERROR(INDEX(Setup!$G$33:$G$40,MATCH(S1281,Setup!$B$33:$B$40,0)),0)=1)*(COUNTIF(S1258:U1275,$B1281)+COUNTIF(S1258:U1275,$B1281&amp;" ~*")&gt;0)+(IFERROR(INDEX(Setup!$G$33:$G$40,MATCH(W1281,Setup!$B$33:$B$40,0)),0)=1)*(COUNTIF(W1258:W1275,$B1281)+COUNTIF(W1258:W1275,$B1281&amp;" ~*")&gt;0)+(IFERROR(INDEX(Setup!$G$33:$G$40,MATCH(Y1281,Setup!$B$33:$B$40,0)),0)=1)*(COUNTIF(Y1258:Y1275,$B1281)+COUNTIF(Y1258:Y1275,$B1281&amp;" ~*")&gt;0))</f>
        <v/>
      </c>
    </row>
    <row r="1282" ht="15" customHeight="1">
      <c r="A1282" t="n">
        <v>26</v>
      </c>
      <c r="B1282" s="37">
        <f>IF(Setup!$B$11="","",Setup!$B$11)</f>
        <v/>
      </c>
      <c r="C1282" s="102" t="n"/>
      <c r="D1282" s="103" t="n"/>
      <c r="E1282" s="103" t="n"/>
      <c r="F1282" s="104" t="n"/>
      <c r="G1282" s="102" t="n"/>
      <c r="H1282" s="103" t="n"/>
      <c r="I1282" s="103" t="n"/>
      <c r="J1282" s="104" t="n"/>
      <c r="K1282" s="102" t="n"/>
      <c r="L1282" s="103" t="n"/>
      <c r="M1282" s="103" t="n"/>
      <c r="N1282" s="104" t="n"/>
      <c r="O1282" s="102" t="n"/>
      <c r="P1282" s="103" t="n"/>
      <c r="Q1282" s="103" t="n"/>
      <c r="R1282" s="104" t="n"/>
      <c r="S1282" s="102" t="n"/>
      <c r="T1282" s="103" t="n"/>
      <c r="U1282" s="103" t="n"/>
      <c r="V1282" s="104" t="n"/>
      <c r="W1282" s="102" t="n"/>
      <c r="X1282" s="104" t="n"/>
      <c r="Y1282" s="102" t="n"/>
      <c r="Z1282" s="104" t="n"/>
      <c r="AB1282" s="105">
        <f>IF($B1282="","",(COUNTIF(C1258:E1275,$B1282)+COUNTIF(C1258:E1275,$B1282&amp;" ~*")&gt;0)+(COUNTIF(G1258:I1275,$B1282)+COUNTIF(G1258:I1275,$B1282&amp;" ~*")&gt;0)+(COUNTIF(K1258:M1275,$B1282)+COUNTIF(K1258:M1275,$B1282&amp;" ~*")&gt;0)+(COUNTIF(O1258:Q1275,$B1282)+COUNTIF(O1258:Q1275,$B1282&amp;" ~*")&gt;0)+(COUNTIF(S1258:U1275,$B1282)+COUNTIF(S1258:U1275,$B1282&amp;" ~*")&gt;0)+(COUNTIF(W1258:W1275,$B1282)+COUNTIF(W1258:W1275,$B1282&amp;" ~*")&gt;0)+(COUNTIF(Y1258:Y1275,$B1282)+COUNTIF(Y1258:Y1275,$B1282&amp;" ~*")&gt;0))</f>
        <v/>
      </c>
      <c r="AC1282" s="38">
        <f>IF($B1282="","",(IFERROR(INDEX(Setup!$G$33:$G$40,MATCH(C1282,Setup!$B$33:$B$40,0)),0)=1)*(COUNTIF(C1258:E1275,$B1282)+COUNTIF(C1258:E1275,$B1282&amp;" ~*")&gt;0)+(IFERROR(INDEX(Setup!$G$33:$G$40,MATCH(G1282,Setup!$B$33:$B$40,0)),0)=1)*(COUNTIF(G1258:I1275,$B1282)+COUNTIF(G1258:I1275,$B1282&amp;" ~*")&gt;0)+(IFERROR(INDEX(Setup!$G$33:$G$40,MATCH(K1282,Setup!$B$33:$B$40,0)),0)=1)*(COUNTIF(K1258:M1275,$B1282)+COUNTIF(K1258:M1275,$B1282&amp;" ~*")&gt;0)+(IFERROR(INDEX(Setup!$G$33:$G$40,MATCH(O1282,Setup!$B$33:$B$40,0)),0)=1)*(COUNTIF(O1258:Q1275,$B1282)+COUNTIF(O1258:Q1275,$B1282&amp;" ~*")&gt;0)+(IFERROR(INDEX(Setup!$G$33:$G$40,MATCH(S1282,Setup!$B$33:$B$40,0)),0)=1)*(COUNTIF(S1258:U1275,$B1282)+COUNTIF(S1258:U1275,$B1282&amp;" ~*")&gt;0)+(IFERROR(INDEX(Setup!$G$33:$G$40,MATCH(W1282,Setup!$B$33:$B$40,0)),0)=1)*(COUNTIF(W1258:W1275,$B1282)+COUNTIF(W1258:W1275,$B1282&amp;" ~*")&gt;0)+(IFERROR(INDEX(Setup!$G$33:$G$40,MATCH(Y1282,Setup!$B$33:$B$40,0)),0)=1)*(COUNTIF(Y1258:Y1275,$B1282)+COUNTIF(Y1258:Y1275,$B1282&amp;" ~*")&gt;0))</f>
        <v/>
      </c>
    </row>
    <row r="1283" ht="15" customHeight="1">
      <c r="A1283" t="n">
        <v>26</v>
      </c>
      <c r="B1283" s="35">
        <f>IF(Setup!$B$12="","",Setup!$B$12)</f>
        <v/>
      </c>
      <c r="C1283" s="98" t="n"/>
      <c r="D1283" s="99" t="n"/>
      <c r="E1283" s="99" t="n"/>
      <c r="F1283" s="100" t="n"/>
      <c r="G1283" s="98" t="n"/>
      <c r="H1283" s="99" t="n"/>
      <c r="I1283" s="99" t="n"/>
      <c r="J1283" s="100" t="n"/>
      <c r="K1283" s="98" t="n"/>
      <c r="L1283" s="99" t="n"/>
      <c r="M1283" s="99" t="n"/>
      <c r="N1283" s="100" t="n"/>
      <c r="O1283" s="98" t="n"/>
      <c r="P1283" s="99" t="n"/>
      <c r="Q1283" s="99" t="n"/>
      <c r="R1283" s="100" t="n"/>
      <c r="S1283" s="98" t="n"/>
      <c r="T1283" s="99" t="n"/>
      <c r="U1283" s="99" t="n"/>
      <c r="V1283" s="100" t="n"/>
      <c r="W1283" s="98" t="n"/>
      <c r="X1283" s="100" t="n"/>
      <c r="Y1283" s="98" t="n"/>
      <c r="Z1283" s="100" t="n"/>
      <c r="AB1283" s="101">
        <f>IF($B1283="","",(COUNTIF(C1258:E1275,$B1283)+COUNTIF(C1258:E1275,$B1283&amp;" ~*")&gt;0)+(COUNTIF(G1258:I1275,$B1283)+COUNTIF(G1258:I1275,$B1283&amp;" ~*")&gt;0)+(COUNTIF(K1258:M1275,$B1283)+COUNTIF(K1258:M1275,$B1283&amp;" ~*")&gt;0)+(COUNTIF(O1258:Q1275,$B1283)+COUNTIF(O1258:Q1275,$B1283&amp;" ~*")&gt;0)+(COUNTIF(S1258:U1275,$B1283)+COUNTIF(S1258:U1275,$B1283&amp;" ~*")&gt;0)+(COUNTIF(W1258:W1275,$B1283)+COUNTIF(W1258:W1275,$B1283&amp;" ~*")&gt;0)+(COUNTIF(Y1258:Y1275,$B1283)+COUNTIF(Y1258:Y1275,$B1283&amp;" ~*")&gt;0))</f>
        <v/>
      </c>
      <c r="AC1283" s="36">
        <f>IF($B1283="","",(IFERROR(INDEX(Setup!$G$33:$G$40,MATCH(C1283,Setup!$B$33:$B$40,0)),0)=1)*(COUNTIF(C1258:E1275,$B1283)+COUNTIF(C1258:E1275,$B1283&amp;" ~*")&gt;0)+(IFERROR(INDEX(Setup!$G$33:$G$40,MATCH(G1283,Setup!$B$33:$B$40,0)),0)=1)*(COUNTIF(G1258:I1275,$B1283)+COUNTIF(G1258:I1275,$B1283&amp;" ~*")&gt;0)+(IFERROR(INDEX(Setup!$G$33:$G$40,MATCH(K1283,Setup!$B$33:$B$40,0)),0)=1)*(COUNTIF(K1258:M1275,$B1283)+COUNTIF(K1258:M1275,$B1283&amp;" ~*")&gt;0)+(IFERROR(INDEX(Setup!$G$33:$G$40,MATCH(O1283,Setup!$B$33:$B$40,0)),0)=1)*(COUNTIF(O1258:Q1275,$B1283)+COUNTIF(O1258:Q1275,$B1283&amp;" ~*")&gt;0)+(IFERROR(INDEX(Setup!$G$33:$G$40,MATCH(S1283,Setup!$B$33:$B$40,0)),0)=1)*(COUNTIF(S1258:U1275,$B1283)+COUNTIF(S1258:U1275,$B1283&amp;" ~*")&gt;0)+(IFERROR(INDEX(Setup!$G$33:$G$40,MATCH(W1283,Setup!$B$33:$B$40,0)),0)=1)*(COUNTIF(W1258:W1275,$B1283)+COUNTIF(W1258:W1275,$B1283&amp;" ~*")&gt;0)+(IFERROR(INDEX(Setup!$G$33:$G$40,MATCH(Y1283,Setup!$B$33:$B$40,0)),0)=1)*(COUNTIF(Y1258:Y1275,$B1283)+COUNTIF(Y1258:Y1275,$B1283&amp;" ~*")&gt;0))</f>
        <v/>
      </c>
    </row>
    <row r="1284" ht="15" customHeight="1">
      <c r="A1284" t="n">
        <v>26</v>
      </c>
      <c r="B1284" s="37">
        <f>IF(Setup!$B$13="","",Setup!$B$13)</f>
        <v/>
      </c>
      <c r="C1284" s="102" t="n"/>
      <c r="D1284" s="103" t="n"/>
      <c r="E1284" s="103" t="n"/>
      <c r="F1284" s="104" t="n"/>
      <c r="G1284" s="102" t="n"/>
      <c r="H1284" s="103" t="n"/>
      <c r="I1284" s="103" t="n"/>
      <c r="J1284" s="104" t="n"/>
      <c r="K1284" s="102" t="n"/>
      <c r="L1284" s="103" t="n"/>
      <c r="M1284" s="103" t="n"/>
      <c r="N1284" s="104" t="n"/>
      <c r="O1284" s="102" t="n"/>
      <c r="P1284" s="103" t="n"/>
      <c r="Q1284" s="103" t="n"/>
      <c r="R1284" s="104" t="n"/>
      <c r="S1284" s="102" t="n"/>
      <c r="T1284" s="103" t="n"/>
      <c r="U1284" s="103" t="n"/>
      <c r="V1284" s="104" t="n"/>
      <c r="W1284" s="102" t="n"/>
      <c r="X1284" s="104" t="n"/>
      <c r="Y1284" s="102" t="n"/>
      <c r="Z1284" s="104" t="n"/>
      <c r="AB1284" s="105">
        <f>IF($B1284="","",(COUNTIF(C1258:E1275,$B1284)+COUNTIF(C1258:E1275,$B1284&amp;" ~*")&gt;0)+(COUNTIF(G1258:I1275,$B1284)+COUNTIF(G1258:I1275,$B1284&amp;" ~*")&gt;0)+(COUNTIF(K1258:M1275,$B1284)+COUNTIF(K1258:M1275,$B1284&amp;" ~*")&gt;0)+(COUNTIF(O1258:Q1275,$B1284)+COUNTIF(O1258:Q1275,$B1284&amp;" ~*")&gt;0)+(COUNTIF(S1258:U1275,$B1284)+COUNTIF(S1258:U1275,$B1284&amp;" ~*")&gt;0)+(COUNTIF(W1258:W1275,$B1284)+COUNTIF(W1258:W1275,$B1284&amp;" ~*")&gt;0)+(COUNTIF(Y1258:Y1275,$B1284)+COUNTIF(Y1258:Y1275,$B1284&amp;" ~*")&gt;0))</f>
        <v/>
      </c>
      <c r="AC1284" s="38">
        <f>IF($B1284="","",(IFERROR(INDEX(Setup!$G$33:$G$40,MATCH(C1284,Setup!$B$33:$B$40,0)),0)=1)*(COUNTIF(C1258:E1275,$B1284)+COUNTIF(C1258:E1275,$B1284&amp;" ~*")&gt;0)+(IFERROR(INDEX(Setup!$G$33:$G$40,MATCH(G1284,Setup!$B$33:$B$40,0)),0)=1)*(COUNTIF(G1258:I1275,$B1284)+COUNTIF(G1258:I1275,$B1284&amp;" ~*")&gt;0)+(IFERROR(INDEX(Setup!$G$33:$G$40,MATCH(K1284,Setup!$B$33:$B$40,0)),0)=1)*(COUNTIF(K1258:M1275,$B1284)+COUNTIF(K1258:M1275,$B1284&amp;" ~*")&gt;0)+(IFERROR(INDEX(Setup!$G$33:$G$40,MATCH(O1284,Setup!$B$33:$B$40,0)),0)=1)*(COUNTIF(O1258:Q1275,$B1284)+COUNTIF(O1258:Q1275,$B1284&amp;" ~*")&gt;0)+(IFERROR(INDEX(Setup!$G$33:$G$40,MATCH(S1284,Setup!$B$33:$B$40,0)),0)=1)*(COUNTIF(S1258:U1275,$B1284)+COUNTIF(S1258:U1275,$B1284&amp;" ~*")&gt;0)+(IFERROR(INDEX(Setup!$G$33:$G$40,MATCH(W1284,Setup!$B$33:$B$40,0)),0)=1)*(COUNTIF(W1258:W1275,$B1284)+COUNTIF(W1258:W1275,$B1284&amp;" ~*")&gt;0)+(IFERROR(INDEX(Setup!$G$33:$G$40,MATCH(Y1284,Setup!$B$33:$B$40,0)),0)=1)*(COUNTIF(Y1258:Y1275,$B1284)+COUNTIF(Y1258:Y1275,$B1284&amp;" ~*")&gt;0))</f>
        <v/>
      </c>
    </row>
    <row r="1285" ht="15" customHeight="1">
      <c r="A1285" t="n">
        <v>26</v>
      </c>
      <c r="B1285" s="35">
        <f>IF(Setup!$B$14="","",Setup!$B$14)</f>
        <v/>
      </c>
      <c r="C1285" s="98" t="n"/>
      <c r="D1285" s="99" t="n"/>
      <c r="E1285" s="99" t="n"/>
      <c r="F1285" s="100" t="n"/>
      <c r="G1285" s="98" t="n"/>
      <c r="H1285" s="99" t="n"/>
      <c r="I1285" s="99" t="n"/>
      <c r="J1285" s="100" t="n"/>
      <c r="K1285" s="98" t="n"/>
      <c r="L1285" s="99" t="n"/>
      <c r="M1285" s="99" t="n"/>
      <c r="N1285" s="100" t="n"/>
      <c r="O1285" s="98" t="n"/>
      <c r="P1285" s="99" t="n"/>
      <c r="Q1285" s="99" t="n"/>
      <c r="R1285" s="100" t="n"/>
      <c r="S1285" s="98" t="n"/>
      <c r="T1285" s="99" t="n"/>
      <c r="U1285" s="99" t="n"/>
      <c r="V1285" s="100" t="n"/>
      <c r="W1285" s="98" t="n"/>
      <c r="X1285" s="100" t="n"/>
      <c r="Y1285" s="98" t="n"/>
      <c r="Z1285" s="100" t="n"/>
      <c r="AB1285" s="101">
        <f>IF($B1285="","",(COUNTIF(C1258:E1275,$B1285)+COUNTIF(C1258:E1275,$B1285&amp;" ~*")&gt;0)+(COUNTIF(G1258:I1275,$B1285)+COUNTIF(G1258:I1275,$B1285&amp;" ~*")&gt;0)+(COUNTIF(K1258:M1275,$B1285)+COUNTIF(K1258:M1275,$B1285&amp;" ~*")&gt;0)+(COUNTIF(O1258:Q1275,$B1285)+COUNTIF(O1258:Q1275,$B1285&amp;" ~*")&gt;0)+(COUNTIF(S1258:U1275,$B1285)+COUNTIF(S1258:U1275,$B1285&amp;" ~*")&gt;0)+(COUNTIF(W1258:W1275,$B1285)+COUNTIF(W1258:W1275,$B1285&amp;" ~*")&gt;0)+(COUNTIF(Y1258:Y1275,$B1285)+COUNTIF(Y1258:Y1275,$B1285&amp;" ~*")&gt;0))</f>
        <v/>
      </c>
      <c r="AC1285" s="36">
        <f>IF($B1285="","",(IFERROR(INDEX(Setup!$G$33:$G$40,MATCH(C1285,Setup!$B$33:$B$40,0)),0)=1)*(COUNTIF(C1258:E1275,$B1285)+COUNTIF(C1258:E1275,$B1285&amp;" ~*")&gt;0)+(IFERROR(INDEX(Setup!$G$33:$G$40,MATCH(G1285,Setup!$B$33:$B$40,0)),0)=1)*(COUNTIF(G1258:I1275,$B1285)+COUNTIF(G1258:I1275,$B1285&amp;" ~*")&gt;0)+(IFERROR(INDEX(Setup!$G$33:$G$40,MATCH(K1285,Setup!$B$33:$B$40,0)),0)=1)*(COUNTIF(K1258:M1275,$B1285)+COUNTIF(K1258:M1275,$B1285&amp;" ~*")&gt;0)+(IFERROR(INDEX(Setup!$G$33:$G$40,MATCH(O1285,Setup!$B$33:$B$40,0)),0)=1)*(COUNTIF(O1258:Q1275,$B1285)+COUNTIF(O1258:Q1275,$B1285&amp;" ~*")&gt;0)+(IFERROR(INDEX(Setup!$G$33:$G$40,MATCH(S1285,Setup!$B$33:$B$40,0)),0)=1)*(COUNTIF(S1258:U1275,$B1285)+COUNTIF(S1258:U1275,$B1285&amp;" ~*")&gt;0)+(IFERROR(INDEX(Setup!$G$33:$G$40,MATCH(W1285,Setup!$B$33:$B$40,0)),0)=1)*(COUNTIF(W1258:W1275,$B1285)+COUNTIF(W1258:W1275,$B1285&amp;" ~*")&gt;0)+(IFERROR(INDEX(Setup!$G$33:$G$40,MATCH(Y1285,Setup!$B$33:$B$40,0)),0)=1)*(COUNTIF(Y1258:Y1275,$B1285)+COUNTIF(Y1258:Y1275,$B1285&amp;" ~*")&gt;0))</f>
        <v/>
      </c>
    </row>
    <row r="1286" ht="15" customHeight="1">
      <c r="A1286" t="n">
        <v>26</v>
      </c>
      <c r="B1286" s="37">
        <f>IF(Setup!$B$15="","",Setup!$B$15)</f>
        <v/>
      </c>
      <c r="C1286" s="102" t="n"/>
      <c r="D1286" s="103" t="n"/>
      <c r="E1286" s="103" t="n"/>
      <c r="F1286" s="104" t="n"/>
      <c r="G1286" s="102" t="n"/>
      <c r="H1286" s="103" t="n"/>
      <c r="I1286" s="103" t="n"/>
      <c r="J1286" s="104" t="n"/>
      <c r="K1286" s="102" t="n"/>
      <c r="L1286" s="103" t="n"/>
      <c r="M1286" s="103" t="n"/>
      <c r="N1286" s="104" t="n"/>
      <c r="O1286" s="102" t="n"/>
      <c r="P1286" s="103" t="n"/>
      <c r="Q1286" s="103" t="n"/>
      <c r="R1286" s="104" t="n"/>
      <c r="S1286" s="102" t="n"/>
      <c r="T1286" s="103" t="n"/>
      <c r="U1286" s="103" t="n"/>
      <c r="V1286" s="104" t="n"/>
      <c r="W1286" s="102" t="n"/>
      <c r="X1286" s="104" t="n"/>
      <c r="Y1286" s="102" t="n"/>
      <c r="Z1286" s="104" t="n"/>
      <c r="AB1286" s="105">
        <f>IF($B1286="","",(COUNTIF(C1258:E1275,$B1286)+COUNTIF(C1258:E1275,$B1286&amp;" ~*")&gt;0)+(COUNTIF(G1258:I1275,$B1286)+COUNTIF(G1258:I1275,$B1286&amp;" ~*")&gt;0)+(COUNTIF(K1258:M1275,$B1286)+COUNTIF(K1258:M1275,$B1286&amp;" ~*")&gt;0)+(COUNTIF(O1258:Q1275,$B1286)+COUNTIF(O1258:Q1275,$B1286&amp;" ~*")&gt;0)+(COUNTIF(S1258:U1275,$B1286)+COUNTIF(S1258:U1275,$B1286&amp;" ~*")&gt;0)+(COUNTIF(W1258:W1275,$B1286)+COUNTIF(W1258:W1275,$B1286&amp;" ~*")&gt;0)+(COUNTIF(Y1258:Y1275,$B1286)+COUNTIF(Y1258:Y1275,$B1286&amp;" ~*")&gt;0))</f>
        <v/>
      </c>
      <c r="AC1286" s="38">
        <f>IF($B1286="","",(IFERROR(INDEX(Setup!$G$33:$G$40,MATCH(C1286,Setup!$B$33:$B$40,0)),0)=1)*(COUNTIF(C1258:E1275,$B1286)+COUNTIF(C1258:E1275,$B1286&amp;" ~*")&gt;0)+(IFERROR(INDEX(Setup!$G$33:$G$40,MATCH(G1286,Setup!$B$33:$B$40,0)),0)=1)*(COUNTIF(G1258:I1275,$B1286)+COUNTIF(G1258:I1275,$B1286&amp;" ~*")&gt;0)+(IFERROR(INDEX(Setup!$G$33:$G$40,MATCH(K1286,Setup!$B$33:$B$40,0)),0)=1)*(COUNTIF(K1258:M1275,$B1286)+COUNTIF(K1258:M1275,$B1286&amp;" ~*")&gt;0)+(IFERROR(INDEX(Setup!$G$33:$G$40,MATCH(O1286,Setup!$B$33:$B$40,0)),0)=1)*(COUNTIF(O1258:Q1275,$B1286)+COUNTIF(O1258:Q1275,$B1286&amp;" ~*")&gt;0)+(IFERROR(INDEX(Setup!$G$33:$G$40,MATCH(S1286,Setup!$B$33:$B$40,0)),0)=1)*(COUNTIF(S1258:U1275,$B1286)+COUNTIF(S1258:U1275,$B1286&amp;" ~*")&gt;0)+(IFERROR(INDEX(Setup!$G$33:$G$40,MATCH(W1286,Setup!$B$33:$B$40,0)),0)=1)*(COUNTIF(W1258:W1275,$B1286)+COUNTIF(W1258:W1275,$B1286&amp;" ~*")&gt;0)+(IFERROR(INDEX(Setup!$G$33:$G$40,MATCH(Y1286,Setup!$B$33:$B$40,0)),0)=1)*(COUNTIF(Y1258:Y1275,$B1286)+COUNTIF(Y1258:Y1275,$B1286&amp;" ~*")&gt;0))</f>
        <v/>
      </c>
    </row>
    <row r="1287" ht="15" customHeight="1">
      <c r="A1287" t="n">
        <v>26</v>
      </c>
      <c r="B1287" s="35">
        <f>IF(Setup!$B$16="","",Setup!$B$16)</f>
        <v/>
      </c>
      <c r="C1287" s="98" t="n"/>
      <c r="D1287" s="99" t="n"/>
      <c r="E1287" s="99" t="n"/>
      <c r="F1287" s="100" t="n"/>
      <c r="G1287" s="98" t="n"/>
      <c r="H1287" s="99" t="n"/>
      <c r="I1287" s="99" t="n"/>
      <c r="J1287" s="100" t="n"/>
      <c r="K1287" s="98" t="n"/>
      <c r="L1287" s="99" t="n"/>
      <c r="M1287" s="99" t="n"/>
      <c r="N1287" s="100" t="n"/>
      <c r="O1287" s="98" t="n"/>
      <c r="P1287" s="99" t="n"/>
      <c r="Q1287" s="99" t="n"/>
      <c r="R1287" s="100" t="n"/>
      <c r="S1287" s="98" t="n"/>
      <c r="T1287" s="99" t="n"/>
      <c r="U1287" s="99" t="n"/>
      <c r="V1287" s="100" t="n"/>
      <c r="W1287" s="98" t="n"/>
      <c r="X1287" s="100" t="n"/>
      <c r="Y1287" s="98" t="n"/>
      <c r="Z1287" s="100" t="n"/>
      <c r="AB1287" s="101">
        <f>IF($B1287="","",(COUNTIF(C1258:E1275,$B1287)+COUNTIF(C1258:E1275,$B1287&amp;" ~*")&gt;0)+(COUNTIF(G1258:I1275,$B1287)+COUNTIF(G1258:I1275,$B1287&amp;" ~*")&gt;0)+(COUNTIF(K1258:M1275,$B1287)+COUNTIF(K1258:M1275,$B1287&amp;" ~*")&gt;0)+(COUNTIF(O1258:Q1275,$B1287)+COUNTIF(O1258:Q1275,$B1287&amp;" ~*")&gt;0)+(COUNTIF(S1258:U1275,$B1287)+COUNTIF(S1258:U1275,$B1287&amp;" ~*")&gt;0)+(COUNTIF(W1258:W1275,$B1287)+COUNTIF(W1258:W1275,$B1287&amp;" ~*")&gt;0)+(COUNTIF(Y1258:Y1275,$B1287)+COUNTIF(Y1258:Y1275,$B1287&amp;" ~*")&gt;0))</f>
        <v/>
      </c>
      <c r="AC1287" s="36">
        <f>IF($B1287="","",(IFERROR(INDEX(Setup!$G$33:$G$40,MATCH(C1287,Setup!$B$33:$B$40,0)),0)=1)*(COUNTIF(C1258:E1275,$B1287)+COUNTIF(C1258:E1275,$B1287&amp;" ~*")&gt;0)+(IFERROR(INDEX(Setup!$G$33:$G$40,MATCH(G1287,Setup!$B$33:$B$40,0)),0)=1)*(COUNTIF(G1258:I1275,$B1287)+COUNTIF(G1258:I1275,$B1287&amp;" ~*")&gt;0)+(IFERROR(INDEX(Setup!$G$33:$G$40,MATCH(K1287,Setup!$B$33:$B$40,0)),0)=1)*(COUNTIF(K1258:M1275,$B1287)+COUNTIF(K1258:M1275,$B1287&amp;" ~*")&gt;0)+(IFERROR(INDEX(Setup!$G$33:$G$40,MATCH(O1287,Setup!$B$33:$B$40,0)),0)=1)*(COUNTIF(O1258:Q1275,$B1287)+COUNTIF(O1258:Q1275,$B1287&amp;" ~*")&gt;0)+(IFERROR(INDEX(Setup!$G$33:$G$40,MATCH(S1287,Setup!$B$33:$B$40,0)),0)=1)*(COUNTIF(S1258:U1275,$B1287)+COUNTIF(S1258:U1275,$B1287&amp;" ~*")&gt;0)+(IFERROR(INDEX(Setup!$G$33:$G$40,MATCH(W1287,Setup!$B$33:$B$40,0)),0)=1)*(COUNTIF(W1258:W1275,$B1287)+COUNTIF(W1258:W1275,$B1287&amp;" ~*")&gt;0)+(IFERROR(INDEX(Setup!$G$33:$G$40,MATCH(Y1287,Setup!$B$33:$B$40,0)),0)=1)*(COUNTIF(Y1258:Y1275,$B1287)+COUNTIF(Y1258:Y1275,$B1287&amp;" ~*")&gt;0))</f>
        <v/>
      </c>
    </row>
    <row r="1288" ht="15" customHeight="1">
      <c r="A1288" t="n">
        <v>26</v>
      </c>
      <c r="B1288" s="37">
        <f>IF(Setup!$B$17="","",Setup!$B$17)</f>
        <v/>
      </c>
      <c r="C1288" s="102" t="n"/>
      <c r="D1288" s="103" t="n"/>
      <c r="E1288" s="103" t="n"/>
      <c r="F1288" s="104" t="n"/>
      <c r="G1288" s="102" t="n"/>
      <c r="H1288" s="103" t="n"/>
      <c r="I1288" s="103" t="n"/>
      <c r="J1288" s="104" t="n"/>
      <c r="K1288" s="102" t="n"/>
      <c r="L1288" s="103" t="n"/>
      <c r="M1288" s="103" t="n"/>
      <c r="N1288" s="104" t="n"/>
      <c r="O1288" s="102" t="n"/>
      <c r="P1288" s="103" t="n"/>
      <c r="Q1288" s="103" t="n"/>
      <c r="R1288" s="104" t="n"/>
      <c r="S1288" s="102" t="n"/>
      <c r="T1288" s="103" t="n"/>
      <c r="U1288" s="103" t="n"/>
      <c r="V1288" s="104" t="n"/>
      <c r="W1288" s="102" t="n"/>
      <c r="X1288" s="104" t="n"/>
      <c r="Y1288" s="102" t="n"/>
      <c r="Z1288" s="104" t="n"/>
      <c r="AB1288" s="105">
        <f>IF($B1288="","",(COUNTIF(C1258:E1275,$B1288)+COUNTIF(C1258:E1275,$B1288&amp;" ~*")&gt;0)+(COUNTIF(G1258:I1275,$B1288)+COUNTIF(G1258:I1275,$B1288&amp;" ~*")&gt;0)+(COUNTIF(K1258:M1275,$B1288)+COUNTIF(K1258:M1275,$B1288&amp;" ~*")&gt;0)+(COUNTIF(O1258:Q1275,$B1288)+COUNTIF(O1258:Q1275,$B1288&amp;" ~*")&gt;0)+(COUNTIF(S1258:U1275,$B1288)+COUNTIF(S1258:U1275,$B1288&amp;" ~*")&gt;0)+(COUNTIF(W1258:W1275,$B1288)+COUNTIF(W1258:W1275,$B1288&amp;" ~*")&gt;0)+(COUNTIF(Y1258:Y1275,$B1288)+COUNTIF(Y1258:Y1275,$B1288&amp;" ~*")&gt;0))</f>
        <v/>
      </c>
      <c r="AC1288" s="38">
        <f>IF($B1288="","",(IFERROR(INDEX(Setup!$G$33:$G$40,MATCH(C1288,Setup!$B$33:$B$40,0)),0)=1)*(COUNTIF(C1258:E1275,$B1288)+COUNTIF(C1258:E1275,$B1288&amp;" ~*")&gt;0)+(IFERROR(INDEX(Setup!$G$33:$G$40,MATCH(G1288,Setup!$B$33:$B$40,0)),0)=1)*(COUNTIF(G1258:I1275,$B1288)+COUNTIF(G1258:I1275,$B1288&amp;" ~*")&gt;0)+(IFERROR(INDEX(Setup!$G$33:$G$40,MATCH(K1288,Setup!$B$33:$B$40,0)),0)=1)*(COUNTIF(K1258:M1275,$B1288)+COUNTIF(K1258:M1275,$B1288&amp;" ~*")&gt;0)+(IFERROR(INDEX(Setup!$G$33:$G$40,MATCH(O1288,Setup!$B$33:$B$40,0)),0)=1)*(COUNTIF(O1258:Q1275,$B1288)+COUNTIF(O1258:Q1275,$B1288&amp;" ~*")&gt;0)+(IFERROR(INDEX(Setup!$G$33:$G$40,MATCH(S1288,Setup!$B$33:$B$40,0)),0)=1)*(COUNTIF(S1258:U1275,$B1288)+COUNTIF(S1258:U1275,$B1288&amp;" ~*")&gt;0)+(IFERROR(INDEX(Setup!$G$33:$G$40,MATCH(W1288,Setup!$B$33:$B$40,0)),0)=1)*(COUNTIF(W1258:W1275,$B1288)+COUNTIF(W1258:W1275,$B1288&amp;" ~*")&gt;0)+(IFERROR(INDEX(Setup!$G$33:$G$40,MATCH(Y1288,Setup!$B$33:$B$40,0)),0)=1)*(COUNTIF(Y1258:Y1275,$B1288)+COUNTIF(Y1258:Y1275,$B1288&amp;" ~*")&gt;0))</f>
        <v/>
      </c>
    </row>
    <row r="1289" ht="15" customHeight="1">
      <c r="A1289" t="n">
        <v>26</v>
      </c>
      <c r="B1289" s="35">
        <f>IF(Setup!$B$18="","",Setup!$B$18)</f>
        <v/>
      </c>
      <c r="C1289" s="98" t="n"/>
      <c r="D1289" s="99" t="n"/>
      <c r="E1289" s="99" t="n"/>
      <c r="F1289" s="100" t="n"/>
      <c r="G1289" s="98" t="n"/>
      <c r="H1289" s="99" t="n"/>
      <c r="I1289" s="99" t="n"/>
      <c r="J1289" s="100" t="n"/>
      <c r="K1289" s="98" t="n"/>
      <c r="L1289" s="99" t="n"/>
      <c r="M1289" s="99" t="n"/>
      <c r="N1289" s="100" t="n"/>
      <c r="O1289" s="98" t="n"/>
      <c r="P1289" s="99" t="n"/>
      <c r="Q1289" s="99" t="n"/>
      <c r="R1289" s="100" t="n"/>
      <c r="S1289" s="98" t="n"/>
      <c r="T1289" s="99" t="n"/>
      <c r="U1289" s="99" t="n"/>
      <c r="V1289" s="100" t="n"/>
      <c r="W1289" s="98" t="n"/>
      <c r="X1289" s="100" t="n"/>
      <c r="Y1289" s="98" t="n"/>
      <c r="Z1289" s="100" t="n"/>
      <c r="AB1289" s="101">
        <f>IF($B1289="","",(COUNTIF(C1258:E1275,$B1289)+COUNTIF(C1258:E1275,$B1289&amp;" ~*")&gt;0)+(COUNTIF(G1258:I1275,$B1289)+COUNTIF(G1258:I1275,$B1289&amp;" ~*")&gt;0)+(COUNTIF(K1258:M1275,$B1289)+COUNTIF(K1258:M1275,$B1289&amp;" ~*")&gt;0)+(COUNTIF(O1258:Q1275,$B1289)+COUNTIF(O1258:Q1275,$B1289&amp;" ~*")&gt;0)+(COUNTIF(S1258:U1275,$B1289)+COUNTIF(S1258:U1275,$B1289&amp;" ~*")&gt;0)+(COUNTIF(W1258:W1275,$B1289)+COUNTIF(W1258:W1275,$B1289&amp;" ~*")&gt;0)+(COUNTIF(Y1258:Y1275,$B1289)+COUNTIF(Y1258:Y1275,$B1289&amp;" ~*")&gt;0))</f>
        <v/>
      </c>
      <c r="AC1289" s="36">
        <f>IF($B1289="","",(IFERROR(INDEX(Setup!$G$33:$G$40,MATCH(C1289,Setup!$B$33:$B$40,0)),0)=1)*(COUNTIF(C1258:E1275,$B1289)+COUNTIF(C1258:E1275,$B1289&amp;" ~*")&gt;0)+(IFERROR(INDEX(Setup!$G$33:$G$40,MATCH(G1289,Setup!$B$33:$B$40,0)),0)=1)*(COUNTIF(G1258:I1275,$B1289)+COUNTIF(G1258:I1275,$B1289&amp;" ~*")&gt;0)+(IFERROR(INDEX(Setup!$G$33:$G$40,MATCH(K1289,Setup!$B$33:$B$40,0)),0)=1)*(COUNTIF(K1258:M1275,$B1289)+COUNTIF(K1258:M1275,$B1289&amp;" ~*")&gt;0)+(IFERROR(INDEX(Setup!$G$33:$G$40,MATCH(O1289,Setup!$B$33:$B$40,0)),0)=1)*(COUNTIF(O1258:Q1275,$B1289)+COUNTIF(O1258:Q1275,$B1289&amp;" ~*")&gt;0)+(IFERROR(INDEX(Setup!$G$33:$G$40,MATCH(S1289,Setup!$B$33:$B$40,0)),0)=1)*(COUNTIF(S1258:U1275,$B1289)+COUNTIF(S1258:U1275,$B1289&amp;" ~*")&gt;0)+(IFERROR(INDEX(Setup!$G$33:$G$40,MATCH(W1289,Setup!$B$33:$B$40,0)),0)=1)*(COUNTIF(W1258:W1275,$B1289)+COUNTIF(W1258:W1275,$B1289&amp;" ~*")&gt;0)+(IFERROR(INDEX(Setup!$G$33:$G$40,MATCH(Y1289,Setup!$B$33:$B$40,0)),0)=1)*(COUNTIF(Y1258:Y1275,$B1289)+COUNTIF(Y1258:Y1275,$B1289&amp;" ~*")&gt;0))</f>
        <v/>
      </c>
    </row>
    <row r="1290" ht="15" customHeight="1">
      <c r="A1290" t="n">
        <v>26</v>
      </c>
      <c r="B1290" s="37">
        <f>IF(Setup!$B$19="","",Setup!$B$19)</f>
        <v/>
      </c>
      <c r="C1290" s="102" t="n"/>
      <c r="D1290" s="103" t="n"/>
      <c r="E1290" s="103" t="n"/>
      <c r="F1290" s="104" t="n"/>
      <c r="G1290" s="102" t="n"/>
      <c r="H1290" s="103" t="n"/>
      <c r="I1290" s="103" t="n"/>
      <c r="J1290" s="104" t="n"/>
      <c r="K1290" s="102" t="n"/>
      <c r="L1290" s="103" t="n"/>
      <c r="M1290" s="103" t="n"/>
      <c r="N1290" s="104" t="n"/>
      <c r="O1290" s="102" t="n"/>
      <c r="P1290" s="103" t="n"/>
      <c r="Q1290" s="103" t="n"/>
      <c r="R1290" s="104" t="n"/>
      <c r="S1290" s="102" t="n"/>
      <c r="T1290" s="103" t="n"/>
      <c r="U1290" s="103" t="n"/>
      <c r="V1290" s="104" t="n"/>
      <c r="W1290" s="102" t="n"/>
      <c r="X1290" s="104" t="n"/>
      <c r="Y1290" s="102" t="n"/>
      <c r="Z1290" s="104" t="n"/>
      <c r="AB1290" s="105">
        <f>IF($B1290="","",(COUNTIF(C1258:E1275,$B1290)+COUNTIF(C1258:E1275,$B1290&amp;" ~*")&gt;0)+(COUNTIF(G1258:I1275,$B1290)+COUNTIF(G1258:I1275,$B1290&amp;" ~*")&gt;0)+(COUNTIF(K1258:M1275,$B1290)+COUNTIF(K1258:M1275,$B1290&amp;" ~*")&gt;0)+(COUNTIF(O1258:Q1275,$B1290)+COUNTIF(O1258:Q1275,$B1290&amp;" ~*")&gt;0)+(COUNTIF(S1258:U1275,$B1290)+COUNTIF(S1258:U1275,$B1290&amp;" ~*")&gt;0)+(COUNTIF(W1258:W1275,$B1290)+COUNTIF(W1258:W1275,$B1290&amp;" ~*")&gt;0)+(COUNTIF(Y1258:Y1275,$B1290)+COUNTIF(Y1258:Y1275,$B1290&amp;" ~*")&gt;0))</f>
        <v/>
      </c>
      <c r="AC1290" s="38">
        <f>IF($B1290="","",(IFERROR(INDEX(Setup!$G$33:$G$40,MATCH(C1290,Setup!$B$33:$B$40,0)),0)=1)*(COUNTIF(C1258:E1275,$B1290)+COUNTIF(C1258:E1275,$B1290&amp;" ~*")&gt;0)+(IFERROR(INDEX(Setup!$G$33:$G$40,MATCH(G1290,Setup!$B$33:$B$40,0)),0)=1)*(COUNTIF(G1258:I1275,$B1290)+COUNTIF(G1258:I1275,$B1290&amp;" ~*")&gt;0)+(IFERROR(INDEX(Setup!$G$33:$G$40,MATCH(K1290,Setup!$B$33:$B$40,0)),0)=1)*(COUNTIF(K1258:M1275,$B1290)+COUNTIF(K1258:M1275,$B1290&amp;" ~*")&gt;0)+(IFERROR(INDEX(Setup!$G$33:$G$40,MATCH(O1290,Setup!$B$33:$B$40,0)),0)=1)*(COUNTIF(O1258:Q1275,$B1290)+COUNTIF(O1258:Q1275,$B1290&amp;" ~*")&gt;0)+(IFERROR(INDEX(Setup!$G$33:$G$40,MATCH(S1290,Setup!$B$33:$B$40,0)),0)=1)*(COUNTIF(S1258:U1275,$B1290)+COUNTIF(S1258:U1275,$B1290&amp;" ~*")&gt;0)+(IFERROR(INDEX(Setup!$G$33:$G$40,MATCH(W1290,Setup!$B$33:$B$40,0)),0)=1)*(COUNTIF(W1258:W1275,$B1290)+COUNTIF(W1258:W1275,$B1290&amp;" ~*")&gt;0)+(IFERROR(INDEX(Setup!$G$33:$G$40,MATCH(Y1290,Setup!$B$33:$B$40,0)),0)=1)*(COUNTIF(Y1258:Y1275,$B1290)+COUNTIF(Y1258:Y1275,$B1290&amp;" ~*")&gt;0))</f>
        <v/>
      </c>
    </row>
    <row r="1291" ht="15" customHeight="1">
      <c r="A1291" t="n">
        <v>26</v>
      </c>
      <c r="B1291" s="35">
        <f>IF(Setup!$B$20="","",Setup!$B$20)</f>
        <v/>
      </c>
      <c r="C1291" s="98" t="n"/>
      <c r="D1291" s="99" t="n"/>
      <c r="E1291" s="99" t="n"/>
      <c r="F1291" s="100" t="n"/>
      <c r="G1291" s="98" t="n"/>
      <c r="H1291" s="99" t="n"/>
      <c r="I1291" s="99" t="n"/>
      <c r="J1291" s="100" t="n"/>
      <c r="K1291" s="98" t="n"/>
      <c r="L1291" s="99" t="n"/>
      <c r="M1291" s="99" t="n"/>
      <c r="N1291" s="100" t="n"/>
      <c r="O1291" s="98" t="n"/>
      <c r="P1291" s="99" t="n"/>
      <c r="Q1291" s="99" t="n"/>
      <c r="R1291" s="100" t="n"/>
      <c r="S1291" s="98" t="n"/>
      <c r="T1291" s="99" t="n"/>
      <c r="U1291" s="99" t="n"/>
      <c r="V1291" s="100" t="n"/>
      <c r="W1291" s="98" t="n"/>
      <c r="X1291" s="100" t="n"/>
      <c r="Y1291" s="98" t="n"/>
      <c r="Z1291" s="100" t="n"/>
      <c r="AB1291" s="101">
        <f>IF($B1291="","",(COUNTIF(C1258:E1275,$B1291)+COUNTIF(C1258:E1275,$B1291&amp;" ~*")&gt;0)+(COUNTIF(G1258:I1275,$B1291)+COUNTIF(G1258:I1275,$B1291&amp;" ~*")&gt;0)+(COUNTIF(K1258:M1275,$B1291)+COUNTIF(K1258:M1275,$B1291&amp;" ~*")&gt;0)+(COUNTIF(O1258:Q1275,$B1291)+COUNTIF(O1258:Q1275,$B1291&amp;" ~*")&gt;0)+(COUNTIF(S1258:U1275,$B1291)+COUNTIF(S1258:U1275,$B1291&amp;" ~*")&gt;0)+(COUNTIF(W1258:W1275,$B1291)+COUNTIF(W1258:W1275,$B1291&amp;" ~*")&gt;0)+(COUNTIF(Y1258:Y1275,$B1291)+COUNTIF(Y1258:Y1275,$B1291&amp;" ~*")&gt;0))</f>
        <v/>
      </c>
      <c r="AC1291" s="36">
        <f>IF($B1291="","",(IFERROR(INDEX(Setup!$G$33:$G$40,MATCH(C1291,Setup!$B$33:$B$40,0)),0)=1)*(COUNTIF(C1258:E1275,$B1291)+COUNTIF(C1258:E1275,$B1291&amp;" ~*")&gt;0)+(IFERROR(INDEX(Setup!$G$33:$G$40,MATCH(G1291,Setup!$B$33:$B$40,0)),0)=1)*(COUNTIF(G1258:I1275,$B1291)+COUNTIF(G1258:I1275,$B1291&amp;" ~*")&gt;0)+(IFERROR(INDEX(Setup!$G$33:$G$40,MATCH(K1291,Setup!$B$33:$B$40,0)),0)=1)*(COUNTIF(K1258:M1275,$B1291)+COUNTIF(K1258:M1275,$B1291&amp;" ~*")&gt;0)+(IFERROR(INDEX(Setup!$G$33:$G$40,MATCH(O1291,Setup!$B$33:$B$40,0)),0)=1)*(COUNTIF(O1258:Q1275,$B1291)+COUNTIF(O1258:Q1275,$B1291&amp;" ~*")&gt;0)+(IFERROR(INDEX(Setup!$G$33:$G$40,MATCH(S1291,Setup!$B$33:$B$40,0)),0)=1)*(COUNTIF(S1258:U1275,$B1291)+COUNTIF(S1258:U1275,$B1291&amp;" ~*")&gt;0)+(IFERROR(INDEX(Setup!$G$33:$G$40,MATCH(W1291,Setup!$B$33:$B$40,0)),0)=1)*(COUNTIF(W1258:W1275,$B1291)+COUNTIF(W1258:W1275,$B1291&amp;" ~*")&gt;0)+(IFERROR(INDEX(Setup!$G$33:$G$40,MATCH(Y1291,Setup!$B$33:$B$40,0)),0)=1)*(COUNTIF(Y1258:Y1275,$B1291)+COUNTIF(Y1258:Y1275,$B1291&amp;" ~*")&gt;0))</f>
        <v/>
      </c>
    </row>
    <row r="1292" ht="15" customHeight="1">
      <c r="A1292" t="n">
        <v>26</v>
      </c>
      <c r="B1292" s="37">
        <f>IF(Setup!$B$21="","",Setup!$B$21)</f>
        <v/>
      </c>
      <c r="C1292" s="102" t="n"/>
      <c r="D1292" s="103" t="n"/>
      <c r="E1292" s="103" t="n"/>
      <c r="F1292" s="104" t="n"/>
      <c r="G1292" s="102" t="n"/>
      <c r="H1292" s="103" t="n"/>
      <c r="I1292" s="103" t="n"/>
      <c r="J1292" s="104" t="n"/>
      <c r="K1292" s="102" t="n"/>
      <c r="L1292" s="103" t="n"/>
      <c r="M1292" s="103" t="n"/>
      <c r="N1292" s="104" t="n"/>
      <c r="O1292" s="102" t="n"/>
      <c r="P1292" s="103" t="n"/>
      <c r="Q1292" s="103" t="n"/>
      <c r="R1292" s="104" t="n"/>
      <c r="S1292" s="102" t="n"/>
      <c r="T1292" s="103" t="n"/>
      <c r="U1292" s="103" t="n"/>
      <c r="V1292" s="104" t="n"/>
      <c r="W1292" s="102" t="n"/>
      <c r="X1292" s="104" t="n"/>
      <c r="Y1292" s="102" t="n"/>
      <c r="Z1292" s="104" t="n"/>
      <c r="AB1292" s="105">
        <f>IF($B1292="","",(COUNTIF(C1258:E1275,$B1292)+COUNTIF(C1258:E1275,$B1292&amp;" ~*")&gt;0)+(COUNTIF(G1258:I1275,$B1292)+COUNTIF(G1258:I1275,$B1292&amp;" ~*")&gt;0)+(COUNTIF(K1258:M1275,$B1292)+COUNTIF(K1258:M1275,$B1292&amp;" ~*")&gt;0)+(COUNTIF(O1258:Q1275,$B1292)+COUNTIF(O1258:Q1275,$B1292&amp;" ~*")&gt;0)+(COUNTIF(S1258:U1275,$B1292)+COUNTIF(S1258:U1275,$B1292&amp;" ~*")&gt;0)+(COUNTIF(W1258:W1275,$B1292)+COUNTIF(W1258:W1275,$B1292&amp;" ~*")&gt;0)+(COUNTIF(Y1258:Y1275,$B1292)+COUNTIF(Y1258:Y1275,$B1292&amp;" ~*")&gt;0))</f>
        <v/>
      </c>
      <c r="AC1292" s="38">
        <f>IF($B1292="","",(IFERROR(INDEX(Setup!$G$33:$G$40,MATCH(C1292,Setup!$B$33:$B$40,0)),0)=1)*(COUNTIF(C1258:E1275,$B1292)+COUNTIF(C1258:E1275,$B1292&amp;" ~*")&gt;0)+(IFERROR(INDEX(Setup!$G$33:$G$40,MATCH(G1292,Setup!$B$33:$B$40,0)),0)=1)*(COUNTIF(G1258:I1275,$B1292)+COUNTIF(G1258:I1275,$B1292&amp;" ~*")&gt;0)+(IFERROR(INDEX(Setup!$G$33:$G$40,MATCH(K1292,Setup!$B$33:$B$40,0)),0)=1)*(COUNTIF(K1258:M1275,$B1292)+COUNTIF(K1258:M1275,$B1292&amp;" ~*")&gt;0)+(IFERROR(INDEX(Setup!$G$33:$G$40,MATCH(O1292,Setup!$B$33:$B$40,0)),0)=1)*(COUNTIF(O1258:Q1275,$B1292)+COUNTIF(O1258:Q1275,$B1292&amp;" ~*")&gt;0)+(IFERROR(INDEX(Setup!$G$33:$G$40,MATCH(S1292,Setup!$B$33:$B$40,0)),0)=1)*(COUNTIF(S1258:U1275,$B1292)+COUNTIF(S1258:U1275,$B1292&amp;" ~*")&gt;0)+(IFERROR(INDEX(Setup!$G$33:$G$40,MATCH(W1292,Setup!$B$33:$B$40,0)),0)=1)*(COUNTIF(W1258:W1275,$B1292)+COUNTIF(W1258:W1275,$B1292&amp;" ~*")&gt;0)+(IFERROR(INDEX(Setup!$G$33:$G$40,MATCH(Y1292,Setup!$B$33:$B$40,0)),0)=1)*(COUNTIF(Y1258:Y1275,$B1292)+COUNTIF(Y1258:Y1275,$B1292&amp;" ~*")&gt;0))</f>
        <v/>
      </c>
    </row>
    <row r="1293" ht="15" customHeight="1">
      <c r="A1293" t="n">
        <v>26</v>
      </c>
      <c r="B1293" s="35">
        <f>IF(Setup!$B$22="","",Setup!$B$22)</f>
        <v/>
      </c>
      <c r="C1293" s="98" t="n"/>
      <c r="D1293" s="99" t="n"/>
      <c r="E1293" s="99" t="n"/>
      <c r="F1293" s="100" t="n"/>
      <c r="G1293" s="98" t="n"/>
      <c r="H1293" s="99" t="n"/>
      <c r="I1293" s="99" t="n"/>
      <c r="J1293" s="100" t="n"/>
      <c r="K1293" s="98" t="n"/>
      <c r="L1293" s="99" t="n"/>
      <c r="M1293" s="99" t="n"/>
      <c r="N1293" s="100" t="n"/>
      <c r="O1293" s="98" t="n"/>
      <c r="P1293" s="99" t="n"/>
      <c r="Q1293" s="99" t="n"/>
      <c r="R1293" s="100" t="n"/>
      <c r="S1293" s="98" t="n"/>
      <c r="T1293" s="99" t="n"/>
      <c r="U1293" s="99" t="n"/>
      <c r="V1293" s="100" t="n"/>
      <c r="W1293" s="98" t="n"/>
      <c r="X1293" s="100" t="n"/>
      <c r="Y1293" s="98" t="n"/>
      <c r="Z1293" s="100" t="n"/>
      <c r="AB1293" s="101">
        <f>IF($B1293="","",(COUNTIF(C1258:E1275,$B1293)+COUNTIF(C1258:E1275,$B1293&amp;" ~*")&gt;0)+(COUNTIF(G1258:I1275,$B1293)+COUNTIF(G1258:I1275,$B1293&amp;" ~*")&gt;0)+(COUNTIF(K1258:M1275,$B1293)+COUNTIF(K1258:M1275,$B1293&amp;" ~*")&gt;0)+(COUNTIF(O1258:Q1275,$B1293)+COUNTIF(O1258:Q1275,$B1293&amp;" ~*")&gt;0)+(COUNTIF(S1258:U1275,$B1293)+COUNTIF(S1258:U1275,$B1293&amp;" ~*")&gt;0)+(COUNTIF(W1258:W1275,$B1293)+COUNTIF(W1258:W1275,$B1293&amp;" ~*")&gt;0)+(COUNTIF(Y1258:Y1275,$B1293)+COUNTIF(Y1258:Y1275,$B1293&amp;" ~*")&gt;0))</f>
        <v/>
      </c>
      <c r="AC1293" s="36">
        <f>IF($B1293="","",(IFERROR(INDEX(Setup!$G$33:$G$40,MATCH(C1293,Setup!$B$33:$B$40,0)),0)=1)*(COUNTIF(C1258:E1275,$B1293)+COUNTIF(C1258:E1275,$B1293&amp;" ~*")&gt;0)+(IFERROR(INDEX(Setup!$G$33:$G$40,MATCH(G1293,Setup!$B$33:$B$40,0)),0)=1)*(COUNTIF(G1258:I1275,$B1293)+COUNTIF(G1258:I1275,$B1293&amp;" ~*")&gt;0)+(IFERROR(INDEX(Setup!$G$33:$G$40,MATCH(K1293,Setup!$B$33:$B$40,0)),0)=1)*(COUNTIF(K1258:M1275,$B1293)+COUNTIF(K1258:M1275,$B1293&amp;" ~*")&gt;0)+(IFERROR(INDEX(Setup!$G$33:$G$40,MATCH(O1293,Setup!$B$33:$B$40,0)),0)=1)*(COUNTIF(O1258:Q1275,$B1293)+COUNTIF(O1258:Q1275,$B1293&amp;" ~*")&gt;0)+(IFERROR(INDEX(Setup!$G$33:$G$40,MATCH(S1293,Setup!$B$33:$B$40,0)),0)=1)*(COUNTIF(S1258:U1275,$B1293)+COUNTIF(S1258:U1275,$B1293&amp;" ~*")&gt;0)+(IFERROR(INDEX(Setup!$G$33:$G$40,MATCH(W1293,Setup!$B$33:$B$40,0)),0)=1)*(COUNTIF(W1258:W1275,$B1293)+COUNTIF(W1258:W1275,$B1293&amp;" ~*")&gt;0)+(IFERROR(INDEX(Setup!$G$33:$G$40,MATCH(Y1293,Setup!$B$33:$B$40,0)),0)=1)*(COUNTIF(Y1258:Y1275,$B1293)+COUNTIF(Y1258:Y1275,$B1293&amp;" ~*")&gt;0))</f>
        <v/>
      </c>
    </row>
    <row r="1294" ht="15" customHeight="1">
      <c r="A1294" t="n">
        <v>26</v>
      </c>
      <c r="B1294" s="37">
        <f>IF(Setup!$B$23="","",Setup!$B$23)</f>
        <v/>
      </c>
      <c r="C1294" s="102" t="n"/>
      <c r="D1294" s="103" t="n"/>
      <c r="E1294" s="103" t="n"/>
      <c r="F1294" s="104" t="n"/>
      <c r="G1294" s="102" t="n"/>
      <c r="H1294" s="103" t="n"/>
      <c r="I1294" s="103" t="n"/>
      <c r="J1294" s="104" t="n"/>
      <c r="K1294" s="102" t="n"/>
      <c r="L1294" s="103" t="n"/>
      <c r="M1294" s="103" t="n"/>
      <c r="N1294" s="104" t="n"/>
      <c r="O1294" s="102" t="n"/>
      <c r="P1294" s="103" t="n"/>
      <c r="Q1294" s="103" t="n"/>
      <c r="R1294" s="104" t="n"/>
      <c r="S1294" s="102" t="n"/>
      <c r="T1294" s="103" t="n"/>
      <c r="U1294" s="103" t="n"/>
      <c r="V1294" s="104" t="n"/>
      <c r="W1294" s="102" t="n"/>
      <c r="X1294" s="104" t="n"/>
      <c r="Y1294" s="102" t="n"/>
      <c r="Z1294" s="104" t="n"/>
      <c r="AB1294" s="105">
        <f>IF($B1294="","",(COUNTIF(C1258:E1275,$B1294)+COUNTIF(C1258:E1275,$B1294&amp;" ~*")&gt;0)+(COUNTIF(G1258:I1275,$B1294)+COUNTIF(G1258:I1275,$B1294&amp;" ~*")&gt;0)+(COUNTIF(K1258:M1275,$B1294)+COUNTIF(K1258:M1275,$B1294&amp;" ~*")&gt;0)+(COUNTIF(O1258:Q1275,$B1294)+COUNTIF(O1258:Q1275,$B1294&amp;" ~*")&gt;0)+(COUNTIF(S1258:U1275,$B1294)+COUNTIF(S1258:U1275,$B1294&amp;" ~*")&gt;0)+(COUNTIF(W1258:W1275,$B1294)+COUNTIF(W1258:W1275,$B1294&amp;" ~*")&gt;0)+(COUNTIF(Y1258:Y1275,$B1294)+COUNTIF(Y1258:Y1275,$B1294&amp;" ~*")&gt;0))</f>
        <v/>
      </c>
      <c r="AC1294" s="38">
        <f>IF($B1294="","",(IFERROR(INDEX(Setup!$G$33:$G$40,MATCH(C1294,Setup!$B$33:$B$40,0)),0)=1)*(COUNTIF(C1258:E1275,$B1294)+COUNTIF(C1258:E1275,$B1294&amp;" ~*")&gt;0)+(IFERROR(INDEX(Setup!$G$33:$G$40,MATCH(G1294,Setup!$B$33:$B$40,0)),0)=1)*(COUNTIF(G1258:I1275,$B1294)+COUNTIF(G1258:I1275,$B1294&amp;" ~*")&gt;0)+(IFERROR(INDEX(Setup!$G$33:$G$40,MATCH(K1294,Setup!$B$33:$B$40,0)),0)=1)*(COUNTIF(K1258:M1275,$B1294)+COUNTIF(K1258:M1275,$B1294&amp;" ~*")&gt;0)+(IFERROR(INDEX(Setup!$G$33:$G$40,MATCH(O1294,Setup!$B$33:$B$40,0)),0)=1)*(COUNTIF(O1258:Q1275,$B1294)+COUNTIF(O1258:Q1275,$B1294&amp;" ~*")&gt;0)+(IFERROR(INDEX(Setup!$G$33:$G$40,MATCH(S1294,Setup!$B$33:$B$40,0)),0)=1)*(COUNTIF(S1258:U1275,$B1294)+COUNTIF(S1258:U1275,$B1294&amp;" ~*")&gt;0)+(IFERROR(INDEX(Setup!$G$33:$G$40,MATCH(W1294,Setup!$B$33:$B$40,0)),0)=1)*(COUNTIF(W1258:W1275,$B1294)+COUNTIF(W1258:W1275,$B1294&amp;" ~*")&gt;0)+(IFERROR(INDEX(Setup!$G$33:$G$40,MATCH(Y1294,Setup!$B$33:$B$40,0)),0)=1)*(COUNTIF(Y1258:Y1275,$B1294)+COUNTIF(Y1258:Y1275,$B1294&amp;" ~*")&gt;0))</f>
        <v/>
      </c>
    </row>
    <row r="1295" ht="15" customHeight="1">
      <c r="A1295" t="n">
        <v>26</v>
      </c>
      <c r="B1295" s="35">
        <f>IF(Setup!$B$24="","",Setup!$B$24)</f>
        <v/>
      </c>
      <c r="C1295" s="98" t="n"/>
      <c r="D1295" s="99" t="n"/>
      <c r="E1295" s="99" t="n"/>
      <c r="F1295" s="100" t="n"/>
      <c r="G1295" s="98" t="n"/>
      <c r="H1295" s="99" t="n"/>
      <c r="I1295" s="99" t="n"/>
      <c r="J1295" s="100" t="n"/>
      <c r="K1295" s="98" t="n"/>
      <c r="L1295" s="99" t="n"/>
      <c r="M1295" s="99" t="n"/>
      <c r="N1295" s="100" t="n"/>
      <c r="O1295" s="98" t="n"/>
      <c r="P1295" s="99" t="n"/>
      <c r="Q1295" s="99" t="n"/>
      <c r="R1295" s="100" t="n"/>
      <c r="S1295" s="98" t="n"/>
      <c r="T1295" s="99" t="n"/>
      <c r="U1295" s="99" t="n"/>
      <c r="V1295" s="100" t="n"/>
      <c r="W1295" s="98" t="n"/>
      <c r="X1295" s="100" t="n"/>
      <c r="Y1295" s="98" t="n"/>
      <c r="Z1295" s="100" t="n"/>
      <c r="AB1295" s="101">
        <f>IF($B1295="","",(COUNTIF(C1258:E1275,$B1295)+COUNTIF(C1258:E1275,$B1295&amp;" ~*")&gt;0)+(COUNTIF(G1258:I1275,$B1295)+COUNTIF(G1258:I1275,$B1295&amp;" ~*")&gt;0)+(COUNTIF(K1258:M1275,$B1295)+COUNTIF(K1258:M1275,$B1295&amp;" ~*")&gt;0)+(COUNTIF(O1258:Q1275,$B1295)+COUNTIF(O1258:Q1275,$B1295&amp;" ~*")&gt;0)+(COUNTIF(S1258:U1275,$B1295)+COUNTIF(S1258:U1275,$B1295&amp;" ~*")&gt;0)+(COUNTIF(W1258:W1275,$B1295)+COUNTIF(W1258:W1275,$B1295&amp;" ~*")&gt;0)+(COUNTIF(Y1258:Y1275,$B1295)+COUNTIF(Y1258:Y1275,$B1295&amp;" ~*")&gt;0))</f>
        <v/>
      </c>
      <c r="AC1295" s="36">
        <f>IF($B1295="","",(IFERROR(INDEX(Setup!$G$33:$G$40,MATCH(C1295,Setup!$B$33:$B$40,0)),0)=1)*(COUNTIF(C1258:E1275,$B1295)+COUNTIF(C1258:E1275,$B1295&amp;" ~*")&gt;0)+(IFERROR(INDEX(Setup!$G$33:$G$40,MATCH(G1295,Setup!$B$33:$B$40,0)),0)=1)*(COUNTIF(G1258:I1275,$B1295)+COUNTIF(G1258:I1275,$B1295&amp;" ~*")&gt;0)+(IFERROR(INDEX(Setup!$G$33:$G$40,MATCH(K1295,Setup!$B$33:$B$40,0)),0)=1)*(COUNTIF(K1258:M1275,$B1295)+COUNTIF(K1258:M1275,$B1295&amp;" ~*")&gt;0)+(IFERROR(INDEX(Setup!$G$33:$G$40,MATCH(O1295,Setup!$B$33:$B$40,0)),0)=1)*(COUNTIF(O1258:Q1275,$B1295)+COUNTIF(O1258:Q1275,$B1295&amp;" ~*")&gt;0)+(IFERROR(INDEX(Setup!$G$33:$G$40,MATCH(S1295,Setup!$B$33:$B$40,0)),0)=1)*(COUNTIF(S1258:U1275,$B1295)+COUNTIF(S1258:U1275,$B1295&amp;" ~*")&gt;0)+(IFERROR(INDEX(Setup!$G$33:$G$40,MATCH(W1295,Setup!$B$33:$B$40,0)),0)=1)*(COUNTIF(W1258:W1275,$B1295)+COUNTIF(W1258:W1275,$B1295&amp;" ~*")&gt;0)+(IFERROR(INDEX(Setup!$G$33:$G$40,MATCH(Y1295,Setup!$B$33:$B$40,0)),0)=1)*(COUNTIF(Y1258:Y1275,$B1295)+COUNTIF(Y1258:Y1275,$B1295&amp;" ~*")&gt;0))</f>
        <v/>
      </c>
    </row>
    <row r="1296" ht="15" customHeight="1">
      <c r="A1296" t="n">
        <v>26</v>
      </c>
      <c r="B1296" s="37">
        <f>IF(Setup!$B$25="","",Setup!$B$25)</f>
        <v/>
      </c>
      <c r="C1296" s="102" t="n"/>
      <c r="D1296" s="103" t="n"/>
      <c r="E1296" s="103" t="n"/>
      <c r="F1296" s="104" t="n"/>
      <c r="G1296" s="102" t="n"/>
      <c r="H1296" s="103" t="n"/>
      <c r="I1296" s="103" t="n"/>
      <c r="J1296" s="104" t="n"/>
      <c r="K1296" s="102" t="n"/>
      <c r="L1296" s="103" t="n"/>
      <c r="M1296" s="103" t="n"/>
      <c r="N1296" s="104" t="n"/>
      <c r="O1296" s="102" t="n"/>
      <c r="P1296" s="103" t="n"/>
      <c r="Q1296" s="103" t="n"/>
      <c r="R1296" s="104" t="n"/>
      <c r="S1296" s="102" t="n"/>
      <c r="T1296" s="103" t="n"/>
      <c r="U1296" s="103" t="n"/>
      <c r="V1296" s="104" t="n"/>
      <c r="W1296" s="102" t="n"/>
      <c r="X1296" s="104" t="n"/>
      <c r="Y1296" s="102" t="n"/>
      <c r="Z1296" s="104" t="n"/>
      <c r="AB1296" s="105">
        <f>IF($B1296="","",(COUNTIF(C1258:E1275,$B1296)+COUNTIF(C1258:E1275,$B1296&amp;" ~*")&gt;0)+(COUNTIF(G1258:I1275,$B1296)+COUNTIF(G1258:I1275,$B1296&amp;" ~*")&gt;0)+(COUNTIF(K1258:M1275,$B1296)+COUNTIF(K1258:M1275,$B1296&amp;" ~*")&gt;0)+(COUNTIF(O1258:Q1275,$B1296)+COUNTIF(O1258:Q1275,$B1296&amp;" ~*")&gt;0)+(COUNTIF(S1258:U1275,$B1296)+COUNTIF(S1258:U1275,$B1296&amp;" ~*")&gt;0)+(COUNTIF(W1258:W1275,$B1296)+COUNTIF(W1258:W1275,$B1296&amp;" ~*")&gt;0)+(COUNTIF(Y1258:Y1275,$B1296)+COUNTIF(Y1258:Y1275,$B1296&amp;" ~*")&gt;0))</f>
        <v/>
      </c>
      <c r="AC1296" s="38">
        <f>IF($B1296="","",(IFERROR(INDEX(Setup!$G$33:$G$40,MATCH(C1296,Setup!$B$33:$B$40,0)),0)=1)*(COUNTIF(C1258:E1275,$B1296)+COUNTIF(C1258:E1275,$B1296&amp;" ~*")&gt;0)+(IFERROR(INDEX(Setup!$G$33:$G$40,MATCH(G1296,Setup!$B$33:$B$40,0)),0)=1)*(COUNTIF(G1258:I1275,$B1296)+COUNTIF(G1258:I1275,$B1296&amp;" ~*")&gt;0)+(IFERROR(INDEX(Setup!$G$33:$G$40,MATCH(K1296,Setup!$B$33:$B$40,0)),0)=1)*(COUNTIF(K1258:M1275,$B1296)+COUNTIF(K1258:M1275,$B1296&amp;" ~*")&gt;0)+(IFERROR(INDEX(Setup!$G$33:$G$40,MATCH(O1296,Setup!$B$33:$B$40,0)),0)=1)*(COUNTIF(O1258:Q1275,$B1296)+COUNTIF(O1258:Q1275,$B1296&amp;" ~*")&gt;0)+(IFERROR(INDEX(Setup!$G$33:$G$40,MATCH(S1296,Setup!$B$33:$B$40,0)),0)=1)*(COUNTIF(S1258:U1275,$B1296)+COUNTIF(S1258:U1275,$B1296&amp;" ~*")&gt;0)+(IFERROR(INDEX(Setup!$G$33:$G$40,MATCH(W1296,Setup!$B$33:$B$40,0)),0)=1)*(COUNTIF(W1258:W1275,$B1296)+COUNTIF(W1258:W1275,$B1296&amp;" ~*")&gt;0)+(IFERROR(INDEX(Setup!$G$33:$G$40,MATCH(Y1296,Setup!$B$33:$B$40,0)),0)=1)*(COUNTIF(Y1258:Y1275,$B1296)+COUNTIF(Y1258:Y1275,$B1296&amp;" ~*")&gt;0))</f>
        <v/>
      </c>
    </row>
    <row r="1297" ht="15" customHeight="1">
      <c r="A1297" t="n">
        <v>26</v>
      </c>
      <c r="B1297" s="35">
        <f>IF(Setup!$B$26="","",Setup!$B$26)</f>
        <v/>
      </c>
      <c r="C1297" s="98" t="n"/>
      <c r="D1297" s="99" t="n"/>
      <c r="E1297" s="99" t="n"/>
      <c r="F1297" s="100" t="n"/>
      <c r="G1297" s="98" t="n"/>
      <c r="H1297" s="99" t="n"/>
      <c r="I1297" s="99" t="n"/>
      <c r="J1297" s="100" t="n"/>
      <c r="K1297" s="98" t="n"/>
      <c r="L1297" s="99" t="n"/>
      <c r="M1297" s="99" t="n"/>
      <c r="N1297" s="100" t="n"/>
      <c r="O1297" s="98" t="n"/>
      <c r="P1297" s="99" t="n"/>
      <c r="Q1297" s="99" t="n"/>
      <c r="R1297" s="100" t="n"/>
      <c r="S1297" s="98" t="n"/>
      <c r="T1297" s="99" t="n"/>
      <c r="U1297" s="99" t="n"/>
      <c r="V1297" s="100" t="n"/>
      <c r="W1297" s="98" t="n"/>
      <c r="X1297" s="100" t="n"/>
      <c r="Y1297" s="98" t="n"/>
      <c r="Z1297" s="100" t="n"/>
      <c r="AB1297" s="101">
        <f>IF($B1297="","",(COUNTIF(C1258:E1275,$B1297)+COUNTIF(C1258:E1275,$B1297&amp;" ~*")&gt;0)+(COUNTIF(G1258:I1275,$B1297)+COUNTIF(G1258:I1275,$B1297&amp;" ~*")&gt;0)+(COUNTIF(K1258:M1275,$B1297)+COUNTIF(K1258:M1275,$B1297&amp;" ~*")&gt;0)+(COUNTIF(O1258:Q1275,$B1297)+COUNTIF(O1258:Q1275,$B1297&amp;" ~*")&gt;0)+(COUNTIF(S1258:U1275,$B1297)+COUNTIF(S1258:U1275,$B1297&amp;" ~*")&gt;0)+(COUNTIF(W1258:W1275,$B1297)+COUNTIF(W1258:W1275,$B1297&amp;" ~*")&gt;0)+(COUNTIF(Y1258:Y1275,$B1297)+COUNTIF(Y1258:Y1275,$B1297&amp;" ~*")&gt;0))</f>
        <v/>
      </c>
      <c r="AC1297" s="36">
        <f>IF($B1297="","",(IFERROR(INDEX(Setup!$G$33:$G$40,MATCH(C1297,Setup!$B$33:$B$40,0)),0)=1)*(COUNTIF(C1258:E1275,$B1297)+COUNTIF(C1258:E1275,$B1297&amp;" ~*")&gt;0)+(IFERROR(INDEX(Setup!$G$33:$G$40,MATCH(G1297,Setup!$B$33:$B$40,0)),0)=1)*(COUNTIF(G1258:I1275,$B1297)+COUNTIF(G1258:I1275,$B1297&amp;" ~*")&gt;0)+(IFERROR(INDEX(Setup!$G$33:$G$40,MATCH(K1297,Setup!$B$33:$B$40,0)),0)=1)*(COUNTIF(K1258:M1275,$B1297)+COUNTIF(K1258:M1275,$B1297&amp;" ~*")&gt;0)+(IFERROR(INDEX(Setup!$G$33:$G$40,MATCH(O1297,Setup!$B$33:$B$40,0)),0)=1)*(COUNTIF(O1258:Q1275,$B1297)+COUNTIF(O1258:Q1275,$B1297&amp;" ~*")&gt;0)+(IFERROR(INDEX(Setup!$G$33:$G$40,MATCH(S1297,Setup!$B$33:$B$40,0)),0)=1)*(COUNTIF(S1258:U1275,$B1297)+COUNTIF(S1258:U1275,$B1297&amp;" ~*")&gt;0)+(IFERROR(INDEX(Setup!$G$33:$G$40,MATCH(W1297,Setup!$B$33:$B$40,0)),0)=1)*(COUNTIF(W1258:W1275,$B1297)+COUNTIF(W1258:W1275,$B1297&amp;" ~*")&gt;0)+(IFERROR(INDEX(Setup!$G$33:$G$40,MATCH(Y1297,Setup!$B$33:$B$40,0)),0)=1)*(COUNTIF(Y1258:Y1275,$B1297)+COUNTIF(Y1258:Y1275,$B1297&amp;" ~*")&gt;0))</f>
        <v/>
      </c>
    </row>
    <row r="1298" ht="15" customHeight="1">
      <c r="A1298" t="n">
        <v>26</v>
      </c>
      <c r="B1298" s="37">
        <f>IF(Setup!$B$27="","",Setup!$B$27)</f>
        <v/>
      </c>
      <c r="C1298" s="102" t="n"/>
      <c r="D1298" s="103" t="n"/>
      <c r="E1298" s="103" t="n"/>
      <c r="F1298" s="104" t="n"/>
      <c r="G1298" s="102" t="n"/>
      <c r="H1298" s="103" t="n"/>
      <c r="I1298" s="103" t="n"/>
      <c r="J1298" s="104" t="n"/>
      <c r="K1298" s="102" t="n"/>
      <c r="L1298" s="103" t="n"/>
      <c r="M1298" s="103" t="n"/>
      <c r="N1298" s="104" t="n"/>
      <c r="O1298" s="102" t="n"/>
      <c r="P1298" s="103" t="n"/>
      <c r="Q1298" s="103" t="n"/>
      <c r="R1298" s="104" t="n"/>
      <c r="S1298" s="102" t="n"/>
      <c r="T1298" s="103" t="n"/>
      <c r="U1298" s="103" t="n"/>
      <c r="V1298" s="104" t="n"/>
      <c r="W1298" s="102" t="n"/>
      <c r="X1298" s="104" t="n"/>
      <c r="Y1298" s="102" t="n"/>
      <c r="Z1298" s="104" t="n"/>
      <c r="AB1298" s="105">
        <f>IF($B1298="","",(COUNTIF(C1258:E1275,$B1298)+COUNTIF(C1258:E1275,$B1298&amp;" ~*")&gt;0)+(COUNTIF(G1258:I1275,$B1298)+COUNTIF(G1258:I1275,$B1298&amp;" ~*")&gt;0)+(COUNTIF(K1258:M1275,$B1298)+COUNTIF(K1258:M1275,$B1298&amp;" ~*")&gt;0)+(COUNTIF(O1258:Q1275,$B1298)+COUNTIF(O1258:Q1275,$B1298&amp;" ~*")&gt;0)+(COUNTIF(S1258:U1275,$B1298)+COUNTIF(S1258:U1275,$B1298&amp;" ~*")&gt;0)+(COUNTIF(W1258:W1275,$B1298)+COUNTIF(W1258:W1275,$B1298&amp;" ~*")&gt;0)+(COUNTIF(Y1258:Y1275,$B1298)+COUNTIF(Y1258:Y1275,$B1298&amp;" ~*")&gt;0))</f>
        <v/>
      </c>
      <c r="AC1298" s="38">
        <f>IF($B1298="","",(IFERROR(INDEX(Setup!$G$33:$G$40,MATCH(C1298,Setup!$B$33:$B$40,0)),0)=1)*(COUNTIF(C1258:E1275,$B1298)+COUNTIF(C1258:E1275,$B1298&amp;" ~*")&gt;0)+(IFERROR(INDEX(Setup!$G$33:$G$40,MATCH(G1298,Setup!$B$33:$B$40,0)),0)=1)*(COUNTIF(G1258:I1275,$B1298)+COUNTIF(G1258:I1275,$B1298&amp;" ~*")&gt;0)+(IFERROR(INDEX(Setup!$G$33:$G$40,MATCH(K1298,Setup!$B$33:$B$40,0)),0)=1)*(COUNTIF(K1258:M1275,$B1298)+COUNTIF(K1258:M1275,$B1298&amp;" ~*")&gt;0)+(IFERROR(INDEX(Setup!$G$33:$G$40,MATCH(O1298,Setup!$B$33:$B$40,0)),0)=1)*(COUNTIF(O1258:Q1275,$B1298)+COUNTIF(O1258:Q1275,$B1298&amp;" ~*")&gt;0)+(IFERROR(INDEX(Setup!$G$33:$G$40,MATCH(S1298,Setup!$B$33:$B$40,0)),0)=1)*(COUNTIF(S1258:U1275,$B1298)+COUNTIF(S1258:U1275,$B1298&amp;" ~*")&gt;0)+(IFERROR(INDEX(Setup!$G$33:$G$40,MATCH(W1298,Setup!$B$33:$B$40,0)),0)=1)*(COUNTIF(W1258:W1275,$B1298)+COUNTIF(W1258:W1275,$B1298&amp;" ~*")&gt;0)+(IFERROR(INDEX(Setup!$G$33:$G$40,MATCH(Y1298,Setup!$B$33:$B$40,0)),0)=1)*(COUNTIF(Y1258:Y1275,$B1298)+COUNTIF(Y1258:Y1275,$B1298&amp;" ~*")&gt;0))</f>
        <v/>
      </c>
    </row>
    <row r="1299" ht="15" customHeight="1">
      <c r="A1299" t="n">
        <v>26</v>
      </c>
      <c r="B1299" s="35">
        <f>IF(Setup!$B$28="","",Setup!$B$28)</f>
        <v/>
      </c>
      <c r="C1299" s="98" t="n"/>
      <c r="D1299" s="99" t="n"/>
      <c r="E1299" s="99" t="n"/>
      <c r="F1299" s="100" t="n"/>
      <c r="G1299" s="98" t="n"/>
      <c r="H1299" s="99" t="n"/>
      <c r="I1299" s="99" t="n"/>
      <c r="J1299" s="100" t="n"/>
      <c r="K1299" s="98" t="n"/>
      <c r="L1299" s="99" t="n"/>
      <c r="M1299" s="99" t="n"/>
      <c r="N1299" s="100" t="n"/>
      <c r="O1299" s="98" t="n"/>
      <c r="P1299" s="99" t="n"/>
      <c r="Q1299" s="99" t="n"/>
      <c r="R1299" s="100" t="n"/>
      <c r="S1299" s="98" t="n"/>
      <c r="T1299" s="99" t="n"/>
      <c r="U1299" s="99" t="n"/>
      <c r="V1299" s="100" t="n"/>
      <c r="W1299" s="98" t="n"/>
      <c r="X1299" s="100" t="n"/>
      <c r="Y1299" s="98" t="n"/>
      <c r="Z1299" s="100" t="n"/>
      <c r="AB1299" s="101">
        <f>IF($B1299="","",(COUNTIF(C1258:E1275,$B1299)+COUNTIF(C1258:E1275,$B1299&amp;" ~*")&gt;0)+(COUNTIF(G1258:I1275,$B1299)+COUNTIF(G1258:I1275,$B1299&amp;" ~*")&gt;0)+(COUNTIF(K1258:M1275,$B1299)+COUNTIF(K1258:M1275,$B1299&amp;" ~*")&gt;0)+(COUNTIF(O1258:Q1275,$B1299)+COUNTIF(O1258:Q1275,$B1299&amp;" ~*")&gt;0)+(COUNTIF(S1258:U1275,$B1299)+COUNTIF(S1258:U1275,$B1299&amp;" ~*")&gt;0)+(COUNTIF(W1258:W1275,$B1299)+COUNTIF(W1258:W1275,$B1299&amp;" ~*")&gt;0)+(COUNTIF(Y1258:Y1275,$B1299)+COUNTIF(Y1258:Y1275,$B1299&amp;" ~*")&gt;0))</f>
        <v/>
      </c>
      <c r="AC1299" s="36">
        <f>IF($B1299="","",(IFERROR(INDEX(Setup!$G$33:$G$40,MATCH(C1299,Setup!$B$33:$B$40,0)),0)=1)*(COUNTIF(C1258:E1275,$B1299)+COUNTIF(C1258:E1275,$B1299&amp;" ~*")&gt;0)+(IFERROR(INDEX(Setup!$G$33:$G$40,MATCH(G1299,Setup!$B$33:$B$40,0)),0)=1)*(COUNTIF(G1258:I1275,$B1299)+COUNTIF(G1258:I1275,$B1299&amp;" ~*")&gt;0)+(IFERROR(INDEX(Setup!$G$33:$G$40,MATCH(K1299,Setup!$B$33:$B$40,0)),0)=1)*(COUNTIF(K1258:M1275,$B1299)+COUNTIF(K1258:M1275,$B1299&amp;" ~*")&gt;0)+(IFERROR(INDEX(Setup!$G$33:$G$40,MATCH(O1299,Setup!$B$33:$B$40,0)),0)=1)*(COUNTIF(O1258:Q1275,$B1299)+COUNTIF(O1258:Q1275,$B1299&amp;" ~*")&gt;0)+(IFERROR(INDEX(Setup!$G$33:$G$40,MATCH(S1299,Setup!$B$33:$B$40,0)),0)=1)*(COUNTIF(S1258:U1275,$B1299)+COUNTIF(S1258:U1275,$B1299&amp;" ~*")&gt;0)+(IFERROR(INDEX(Setup!$G$33:$G$40,MATCH(W1299,Setup!$B$33:$B$40,0)),0)=1)*(COUNTIF(W1258:W1275,$B1299)+COUNTIF(W1258:W1275,$B1299&amp;" ~*")&gt;0)+(IFERROR(INDEX(Setup!$G$33:$G$40,MATCH(Y1299,Setup!$B$33:$B$40,0)),0)=1)*(COUNTIF(Y1258:Y1275,$B1299)+COUNTIF(Y1258:Y1275,$B1299&amp;" ~*")&gt;0))</f>
        <v/>
      </c>
    </row>
    <row r="1300" ht="15" customHeight="1">
      <c r="A1300" t="n">
        <v>26</v>
      </c>
      <c r="B1300" s="37">
        <f>IF(Setup!$B$29="","",Setup!$B$29)</f>
        <v/>
      </c>
      <c r="C1300" s="102" t="n"/>
      <c r="D1300" s="103" t="n"/>
      <c r="E1300" s="103" t="n"/>
      <c r="F1300" s="104" t="n"/>
      <c r="G1300" s="102" t="n"/>
      <c r="H1300" s="103" t="n"/>
      <c r="I1300" s="103" t="n"/>
      <c r="J1300" s="104" t="n"/>
      <c r="K1300" s="102" t="n"/>
      <c r="L1300" s="103" t="n"/>
      <c r="M1300" s="103" t="n"/>
      <c r="N1300" s="104" t="n"/>
      <c r="O1300" s="102" t="n"/>
      <c r="P1300" s="103" t="n"/>
      <c r="Q1300" s="103" t="n"/>
      <c r="R1300" s="104" t="n"/>
      <c r="S1300" s="102" t="n"/>
      <c r="T1300" s="103" t="n"/>
      <c r="U1300" s="103" t="n"/>
      <c r="V1300" s="104" t="n"/>
      <c r="W1300" s="102" t="n"/>
      <c r="X1300" s="104" t="n"/>
      <c r="Y1300" s="102" t="n"/>
      <c r="Z1300" s="104" t="n"/>
      <c r="AB1300" s="105">
        <f>IF($B1300="","",(COUNTIF(C1258:E1275,$B1300)+COUNTIF(C1258:E1275,$B1300&amp;" ~*")&gt;0)+(COUNTIF(G1258:I1275,$B1300)+COUNTIF(G1258:I1275,$B1300&amp;" ~*")&gt;0)+(COUNTIF(K1258:M1275,$B1300)+COUNTIF(K1258:M1275,$B1300&amp;" ~*")&gt;0)+(COUNTIF(O1258:Q1275,$B1300)+COUNTIF(O1258:Q1275,$B1300&amp;" ~*")&gt;0)+(COUNTIF(S1258:U1275,$B1300)+COUNTIF(S1258:U1275,$B1300&amp;" ~*")&gt;0)+(COUNTIF(W1258:W1275,$B1300)+COUNTIF(W1258:W1275,$B1300&amp;" ~*")&gt;0)+(COUNTIF(Y1258:Y1275,$B1300)+COUNTIF(Y1258:Y1275,$B1300&amp;" ~*")&gt;0))</f>
        <v/>
      </c>
      <c r="AC1300" s="38">
        <f>IF($B1300="","",(IFERROR(INDEX(Setup!$G$33:$G$40,MATCH(C1300,Setup!$B$33:$B$40,0)),0)=1)*(COUNTIF(C1258:E1275,$B1300)+COUNTIF(C1258:E1275,$B1300&amp;" ~*")&gt;0)+(IFERROR(INDEX(Setup!$G$33:$G$40,MATCH(G1300,Setup!$B$33:$B$40,0)),0)=1)*(COUNTIF(G1258:I1275,$B1300)+COUNTIF(G1258:I1275,$B1300&amp;" ~*")&gt;0)+(IFERROR(INDEX(Setup!$G$33:$G$40,MATCH(K1300,Setup!$B$33:$B$40,0)),0)=1)*(COUNTIF(K1258:M1275,$B1300)+COUNTIF(K1258:M1275,$B1300&amp;" ~*")&gt;0)+(IFERROR(INDEX(Setup!$G$33:$G$40,MATCH(O1300,Setup!$B$33:$B$40,0)),0)=1)*(COUNTIF(O1258:Q1275,$B1300)+COUNTIF(O1258:Q1275,$B1300&amp;" ~*")&gt;0)+(IFERROR(INDEX(Setup!$G$33:$G$40,MATCH(S1300,Setup!$B$33:$B$40,0)),0)=1)*(COUNTIF(S1258:U1275,$B1300)+COUNTIF(S1258:U1275,$B1300&amp;" ~*")&gt;0)+(IFERROR(INDEX(Setup!$G$33:$G$40,MATCH(W1300,Setup!$B$33:$B$40,0)),0)=1)*(COUNTIF(W1258:W1275,$B1300)+COUNTIF(W1258:W1275,$B1300&amp;" ~*")&gt;0)+(IFERROR(INDEX(Setup!$G$33:$G$40,MATCH(Y1300,Setup!$B$33:$B$40,0)),0)=1)*(COUNTIF(Y1258:Y1275,$B1300)+COUNTIF(Y1258:Y1275,$B1300&amp;" ~*")&gt;0))</f>
        <v/>
      </c>
    </row>
    <row r="1301" ht="16" customHeight="1">
      <c r="A1301" t="n">
        <v>26</v>
      </c>
      <c r="B1301" s="106" t="inlineStr">
        <is>
          <t>Available people</t>
        </is>
      </c>
      <c r="C1301" s="107">
        <f>COUNTIFS(Setup!$E$6:$E$29,"Y",Setup!$B$6:$B$29,"?*")-SUMPRODUCT(COUNTIF(C1277:C1300,Setup!$F$33:$F$40))</f>
        <v/>
      </c>
      <c r="D1301" s="107" t="n"/>
      <c r="E1301" s="107" t="n"/>
      <c r="F1301" s="107" t="n"/>
      <c r="G1301" s="107">
        <f>COUNTIFS(Setup!$E$6:$E$29,"Y",Setup!$B$6:$B$29,"?*")-SUMPRODUCT(COUNTIF(G1277:G1300,Setup!$F$33:$F$40))</f>
        <v/>
      </c>
      <c r="H1301" s="107" t="n"/>
      <c r="I1301" s="107" t="n"/>
      <c r="J1301" s="107" t="n"/>
      <c r="K1301" s="107">
        <f>COUNTIFS(Setup!$E$6:$E$29,"Y",Setup!$B$6:$B$29,"?*")-SUMPRODUCT(COUNTIF(K1277:K1300,Setup!$F$33:$F$40))</f>
        <v/>
      </c>
      <c r="L1301" s="107" t="n"/>
      <c r="M1301" s="107" t="n"/>
      <c r="N1301" s="107" t="n"/>
      <c r="O1301" s="107">
        <f>COUNTIFS(Setup!$E$6:$E$29,"Y",Setup!$B$6:$B$29,"?*")-SUMPRODUCT(COUNTIF(O1277:O1300,Setup!$F$33:$F$40))</f>
        <v/>
      </c>
      <c r="P1301" s="107" t="n"/>
      <c r="Q1301" s="107" t="n"/>
      <c r="R1301" s="107" t="n"/>
      <c r="S1301" s="107">
        <f>COUNTIFS(Setup!$E$6:$E$29,"Y",Setup!$B$6:$B$29,"?*")-SUMPRODUCT(COUNTIF(S1277:S1300,Setup!$F$33:$F$40))</f>
        <v/>
      </c>
      <c r="T1301" s="107" t="n"/>
      <c r="U1301" s="107" t="n"/>
      <c r="V1301" s="107" t="n"/>
      <c r="W1301" s="107">
        <f>COUNTIFS(Setup!$E$6:$E$29,"Y",Setup!$B$6:$B$29,"?*")-SUMPRODUCT(COUNTIF(W1277:W1300,Setup!$F$33:$F$40))</f>
        <v/>
      </c>
      <c r="X1301" s="107" t="n"/>
      <c r="Y1301" s="107">
        <f>COUNTIFS(Setup!$E$6:$E$29,"Y",Setup!$B$6:$B$29,"?*")-SUMPRODUCT(COUNTIF(Y1277:Y1300,Setup!$F$33:$F$40))</f>
        <v/>
      </c>
      <c r="Z1301" s="107" t="n"/>
      <c r="AB1301" s="108">
        <f>SUM(AB1277:AB1300)</f>
        <v/>
      </c>
      <c r="AC1301" s="109">
        <f>SUM(AC1277:AC1300)</f>
        <v/>
      </c>
    </row>
    <row r="1302" ht="30" customHeight="1">
      <c r="A1302" t="n">
        <v>26</v>
      </c>
      <c r="B1302" s="110" t="inlineStr">
        <is>
          <t>Week notes</t>
        </is>
      </c>
      <c r="C1302" s="111" t="n"/>
      <c r="D1302" s="112" t="n"/>
      <c r="E1302" s="112" t="n"/>
      <c r="F1302" s="112" t="n"/>
      <c r="G1302" s="112" t="n"/>
      <c r="H1302" s="112" t="n"/>
      <c r="I1302" s="112" t="n"/>
      <c r="J1302" s="112" t="n"/>
      <c r="K1302" s="112" t="n"/>
      <c r="L1302" s="112" t="n"/>
      <c r="M1302" s="112" t="n"/>
      <c r="N1302" s="112" t="n"/>
      <c r="O1302" s="112" t="n"/>
      <c r="P1302" s="112" t="n"/>
      <c r="Q1302" s="112" t="n"/>
      <c r="R1302" s="112" t="n"/>
      <c r="S1302" s="112" t="n"/>
      <c r="T1302" s="112" t="n"/>
      <c r="U1302" s="112" t="n"/>
      <c r="V1302" s="112" t="n"/>
      <c r="W1302" s="112" t="n"/>
      <c r="X1302" s="112" t="n"/>
      <c r="Y1302" s="112" t="n"/>
      <c r="Z1302" s="113" t="n"/>
    </row>
    <row r="1303" ht="8" customHeight="1">
      <c r="A1303" t="n">
        <v>26</v>
      </c>
    </row>
    <row r="1304" ht="8" customHeight="1">
      <c r="A1304" t="n">
        <v>26</v>
      </c>
    </row>
    <row r="1305" ht="24" customHeight="1">
      <c r="A1305" t="n">
        <v>27</v>
      </c>
      <c r="B1305" s="73">
        <f>"WEEK 27     "&amp;TEXT(C1306,"ddd d mmm")&amp;"  –  "&amp;TEXT(C1306+6,"ddd d mmm yyyy")</f>
        <v/>
      </c>
      <c r="S1305" s="74">
        <f>IF(TODAY()&lt;C1306,"FUTURE",IF(TODAY()&gt;C1306+6,"PAST","THIS WEEK"))</f>
        <v/>
      </c>
      <c r="W1305" s="75">
        <f>IF(AND(Engine!$B$8=$AC$3,Engine!$B$9=$A1305),"◀ ACTIVE WEEK","")</f>
        <v/>
      </c>
      <c r="AA1305" s="76" t="n"/>
      <c r="AB1305" s="77" t="inlineStr">
        <is>
          <t>◀ Prev</t>
        </is>
      </c>
      <c r="AC1305" s="77" t="inlineStr">
        <is>
          <t>Next ▶</t>
        </is>
      </c>
    </row>
    <row r="1306" ht="18" customHeight="1">
      <c r="A1306" t="n">
        <v>27</v>
      </c>
      <c r="B1306" s="78" t="inlineStr">
        <is>
          <t>DUTY</t>
        </is>
      </c>
      <c r="C1306" s="79">
        <f>$AC$2+7*($A1306-1)</f>
        <v/>
      </c>
      <c r="D1306" s="80" t="n"/>
      <c r="E1306" s="80" t="n"/>
      <c r="F1306" s="81" t="n"/>
      <c r="G1306" s="79">
        <f>C1306+1</f>
        <v/>
      </c>
      <c r="H1306" s="80" t="n"/>
      <c r="I1306" s="80" t="n"/>
      <c r="J1306" s="81" t="n"/>
      <c r="K1306" s="79">
        <f>C1306+2</f>
        <v/>
      </c>
      <c r="L1306" s="80" t="n"/>
      <c r="M1306" s="80" t="n"/>
      <c r="N1306" s="81" t="n"/>
      <c r="O1306" s="79">
        <f>C1306+3</f>
        <v/>
      </c>
      <c r="P1306" s="80" t="n"/>
      <c r="Q1306" s="80" t="n"/>
      <c r="R1306" s="81" t="n"/>
      <c r="S1306" s="79">
        <f>C1306+4</f>
        <v/>
      </c>
      <c r="T1306" s="80" t="n"/>
      <c r="U1306" s="80" t="n"/>
      <c r="V1306" s="81" t="n"/>
      <c r="W1306" s="82">
        <f>C1306+5</f>
        <v/>
      </c>
      <c r="X1306" s="83" t="n"/>
      <c r="Y1306" s="82">
        <f>C1306+6</f>
        <v/>
      </c>
      <c r="Z1306" s="83" t="n"/>
      <c r="AB1306" s="72" t="inlineStr">
        <is>
          <t>Gaps</t>
        </is>
      </c>
      <c r="AC1306" s="72" t="inlineStr">
        <is>
          <t>Cover</t>
        </is>
      </c>
    </row>
    <row r="1307" ht="14" customHeight="1">
      <c r="A1307" t="n">
        <v>27</v>
      </c>
      <c r="B1307" s="84" t="inlineStr">
        <is>
          <t>(from Setup)</t>
        </is>
      </c>
      <c r="C1307" s="85" t="inlineStr">
        <is>
          <t>1</t>
        </is>
      </c>
      <c r="D1307" s="85" t="inlineStr">
        <is>
          <t>2</t>
        </is>
      </c>
      <c r="E1307" s="85" t="inlineStr">
        <is>
          <t>3</t>
        </is>
      </c>
      <c r="F1307" s="85" t="inlineStr">
        <is>
          <t>Notes</t>
        </is>
      </c>
      <c r="G1307" s="85" t="inlineStr">
        <is>
          <t>1</t>
        </is>
      </c>
      <c r="H1307" s="85" t="inlineStr">
        <is>
          <t>2</t>
        </is>
      </c>
      <c r="I1307" s="85" t="inlineStr">
        <is>
          <t>3</t>
        </is>
      </c>
      <c r="J1307" s="85" t="inlineStr">
        <is>
          <t>Notes</t>
        </is>
      </c>
      <c r="K1307" s="85" t="inlineStr">
        <is>
          <t>1</t>
        </is>
      </c>
      <c r="L1307" s="85" t="inlineStr">
        <is>
          <t>2</t>
        </is>
      </c>
      <c r="M1307" s="85" t="inlineStr">
        <is>
          <t>3</t>
        </is>
      </c>
      <c r="N1307" s="85" t="inlineStr">
        <is>
          <t>Notes</t>
        </is>
      </c>
      <c r="O1307" s="85" t="inlineStr">
        <is>
          <t>1</t>
        </is>
      </c>
      <c r="P1307" s="85" t="inlineStr">
        <is>
          <t>2</t>
        </is>
      </c>
      <c r="Q1307" s="85" t="inlineStr">
        <is>
          <t>3</t>
        </is>
      </c>
      <c r="R1307" s="85" t="inlineStr">
        <is>
          <t>Notes</t>
        </is>
      </c>
      <c r="S1307" s="85" t="inlineStr">
        <is>
          <t>1</t>
        </is>
      </c>
      <c r="T1307" s="85" t="inlineStr">
        <is>
          <t>2</t>
        </is>
      </c>
      <c r="U1307" s="85" t="inlineStr">
        <is>
          <t>3</t>
        </is>
      </c>
      <c r="V1307" s="85" t="inlineStr">
        <is>
          <t>Notes</t>
        </is>
      </c>
      <c r="W1307" s="85" t="inlineStr">
        <is>
          <t>Cover</t>
        </is>
      </c>
      <c r="X1307" s="85" t="inlineStr">
        <is>
          <t>Notes</t>
        </is>
      </c>
      <c r="Y1307" s="85" t="inlineStr">
        <is>
          <t>Cover</t>
        </is>
      </c>
      <c r="Z1307" s="85" t="inlineStr">
        <is>
          <t>Notes</t>
        </is>
      </c>
      <c r="AB1307" s="86" t="inlineStr">
        <is>
          <t>weekdays short</t>
        </is>
      </c>
      <c r="AC1307" s="87" t="inlineStr"/>
    </row>
    <row r="1308" ht="17" customHeight="1">
      <c r="A1308" t="n">
        <v>27</v>
      </c>
      <c r="B1308" s="24">
        <f>IF(Setup!$K$6="","",Setup!$K$6)</f>
        <v/>
      </c>
      <c r="C1308" s="88" t="n"/>
      <c r="D1308" s="88" t="n"/>
      <c r="E1308" s="88" t="n"/>
      <c r="F1308" s="89" t="n"/>
      <c r="G1308" s="88" t="n"/>
      <c r="H1308" s="88" t="n"/>
      <c r="I1308" s="88" t="n"/>
      <c r="J1308" s="89" t="n"/>
      <c r="K1308" s="88" t="n"/>
      <c r="L1308" s="88" t="n"/>
      <c r="M1308" s="88" t="n"/>
      <c r="N1308" s="89" t="n"/>
      <c r="O1308" s="88" t="n"/>
      <c r="P1308" s="88" t="n"/>
      <c r="Q1308" s="88" t="n"/>
      <c r="R1308" s="89" t="n"/>
      <c r="S1308" s="88" t="n"/>
      <c r="T1308" s="88" t="n"/>
      <c r="U1308" s="88" t="n"/>
      <c r="V1308" s="89" t="n"/>
      <c r="W1308" s="88" t="n"/>
      <c r="X1308" s="89" t="n"/>
      <c r="Y1308" s="88" t="n"/>
      <c r="Z1308" s="89" t="n"/>
      <c r="AB1308" s="25">
        <f>IF($B1308="","",(COUNTIF(C1308:E1308,"?*")&lt;N(INDEX(Setup!$L$6:$L$23,1)))+(COUNTIF(G1308:I1308,"?*")&lt;N(INDEX(Setup!$L$6:$L$23,1)))+(COUNTIF(K1308:M1308,"?*")&lt;N(INDEX(Setup!$L$6:$L$23,1)))+(COUNTIF(O1308:Q1308,"?*")&lt;N(INDEX(Setup!$L$6:$L$23,1)))+(COUNTIF(S1308:U1308,"?*")&lt;N(INDEX(Setup!$L$6:$L$23,1)))+((W1308="")*(INDEX(Setup!$M$6:$M$23,1)="Y"))+((Y1308="")*(INDEX(Setup!$M$6:$M$23,1)="Y")))</f>
        <v/>
      </c>
      <c r="AC1308" s="90">
        <f>IF($B1308="","",IF(AB1308=0,"✓ covered","⚠ "&amp;AB1308&amp;IF(AB1308=1," gap"," gaps")))</f>
        <v/>
      </c>
    </row>
    <row r="1309" ht="17" customHeight="1">
      <c r="A1309" t="n">
        <v>27</v>
      </c>
      <c r="B1309" s="29">
        <f>IF(Setup!$K$7="","",Setup!$K$7)</f>
        <v/>
      </c>
      <c r="C1309" s="88" t="n"/>
      <c r="D1309" s="88" t="n"/>
      <c r="E1309" s="88" t="n"/>
      <c r="F1309" s="89" t="n"/>
      <c r="G1309" s="88" t="n"/>
      <c r="H1309" s="88" t="n"/>
      <c r="I1309" s="88" t="n"/>
      <c r="J1309" s="89" t="n"/>
      <c r="K1309" s="88" t="n"/>
      <c r="L1309" s="88" t="n"/>
      <c r="M1309" s="88" t="n"/>
      <c r="N1309" s="89" t="n"/>
      <c r="O1309" s="88" t="n"/>
      <c r="P1309" s="88" t="n"/>
      <c r="Q1309" s="88" t="n"/>
      <c r="R1309" s="89" t="n"/>
      <c r="S1309" s="88" t="n"/>
      <c r="T1309" s="88" t="n"/>
      <c r="U1309" s="88" t="n"/>
      <c r="V1309" s="89" t="n"/>
      <c r="W1309" s="88" t="n"/>
      <c r="X1309" s="89" t="n"/>
      <c r="Y1309" s="88" t="n"/>
      <c r="Z1309" s="89" t="n"/>
      <c r="AB1309" s="30">
        <f>IF($B1309="","",(COUNTIF(C1309:E1309,"?*")&lt;N(INDEX(Setup!$L$6:$L$23,2)))+(COUNTIF(G1309:I1309,"?*")&lt;N(INDEX(Setup!$L$6:$L$23,2)))+(COUNTIF(K1309:M1309,"?*")&lt;N(INDEX(Setup!$L$6:$L$23,2)))+(COUNTIF(O1309:Q1309,"?*")&lt;N(INDEX(Setup!$L$6:$L$23,2)))+(COUNTIF(S1309:U1309,"?*")&lt;N(INDEX(Setup!$L$6:$L$23,2)))+((W1309="")*(INDEX(Setup!$M$6:$M$23,2)="Y"))+((Y1309="")*(INDEX(Setup!$M$6:$M$23,2)="Y")))</f>
        <v/>
      </c>
      <c r="AC1309" s="91">
        <f>IF($B1309="","",IF(AB1309=0,"✓ covered","⚠ "&amp;AB1309&amp;IF(AB1309=1," gap"," gaps")))</f>
        <v/>
      </c>
    </row>
    <row r="1310" ht="17" customHeight="1">
      <c r="A1310" t="n">
        <v>27</v>
      </c>
      <c r="B1310" s="24">
        <f>IF(Setup!$K$8="","",Setup!$K$8)</f>
        <v/>
      </c>
      <c r="C1310" s="88" t="n"/>
      <c r="D1310" s="88" t="n"/>
      <c r="E1310" s="88" t="n"/>
      <c r="F1310" s="89" t="n"/>
      <c r="G1310" s="88" t="n"/>
      <c r="H1310" s="88" t="n"/>
      <c r="I1310" s="88" t="n"/>
      <c r="J1310" s="89" t="n"/>
      <c r="K1310" s="88" t="n"/>
      <c r="L1310" s="88" t="n"/>
      <c r="M1310" s="88" t="n"/>
      <c r="N1310" s="89" t="n"/>
      <c r="O1310" s="88" t="n"/>
      <c r="P1310" s="88" t="n"/>
      <c r="Q1310" s="88" t="n"/>
      <c r="R1310" s="89" t="n"/>
      <c r="S1310" s="88" t="n"/>
      <c r="T1310" s="88" t="n"/>
      <c r="U1310" s="88" t="n"/>
      <c r="V1310" s="89" t="n"/>
      <c r="W1310" s="88" t="n"/>
      <c r="X1310" s="89" t="n"/>
      <c r="Y1310" s="88" t="n"/>
      <c r="Z1310" s="89" t="n"/>
      <c r="AB1310" s="25">
        <f>IF($B1310="","",(COUNTIF(C1310:E1310,"?*")&lt;N(INDEX(Setup!$L$6:$L$23,3)))+(COUNTIF(G1310:I1310,"?*")&lt;N(INDEX(Setup!$L$6:$L$23,3)))+(COUNTIF(K1310:M1310,"?*")&lt;N(INDEX(Setup!$L$6:$L$23,3)))+(COUNTIF(O1310:Q1310,"?*")&lt;N(INDEX(Setup!$L$6:$L$23,3)))+(COUNTIF(S1310:U1310,"?*")&lt;N(INDEX(Setup!$L$6:$L$23,3)))+((W1310="")*(INDEX(Setup!$M$6:$M$23,3)="Y"))+((Y1310="")*(INDEX(Setup!$M$6:$M$23,3)="Y")))</f>
        <v/>
      </c>
      <c r="AC1310" s="90">
        <f>IF($B1310="","",IF(AB1310=0,"✓ covered","⚠ "&amp;AB1310&amp;IF(AB1310=1," gap"," gaps")))</f>
        <v/>
      </c>
    </row>
    <row r="1311" ht="17" customHeight="1">
      <c r="A1311" t="n">
        <v>27</v>
      </c>
      <c r="B1311" s="29">
        <f>IF(Setup!$K$9="","",Setup!$K$9)</f>
        <v/>
      </c>
      <c r="C1311" s="88" t="n"/>
      <c r="D1311" s="88" t="n"/>
      <c r="E1311" s="88" t="n"/>
      <c r="F1311" s="89" t="n"/>
      <c r="G1311" s="88" t="n"/>
      <c r="H1311" s="88" t="n"/>
      <c r="I1311" s="88" t="n"/>
      <c r="J1311" s="89" t="n"/>
      <c r="K1311" s="88" t="n"/>
      <c r="L1311" s="88" t="n"/>
      <c r="M1311" s="88" t="n"/>
      <c r="N1311" s="89" t="n"/>
      <c r="O1311" s="88" t="n"/>
      <c r="P1311" s="88" t="n"/>
      <c r="Q1311" s="88" t="n"/>
      <c r="R1311" s="89" t="n"/>
      <c r="S1311" s="88" t="n"/>
      <c r="T1311" s="88" t="n"/>
      <c r="U1311" s="88" t="n"/>
      <c r="V1311" s="89" t="n"/>
      <c r="W1311" s="88" t="n"/>
      <c r="X1311" s="89" t="n"/>
      <c r="Y1311" s="88" t="n"/>
      <c r="Z1311" s="89" t="n"/>
      <c r="AB1311" s="30">
        <f>IF($B1311="","",(COUNTIF(C1311:E1311,"?*")&lt;N(INDEX(Setup!$L$6:$L$23,4)))+(COUNTIF(G1311:I1311,"?*")&lt;N(INDEX(Setup!$L$6:$L$23,4)))+(COUNTIF(K1311:M1311,"?*")&lt;N(INDEX(Setup!$L$6:$L$23,4)))+(COUNTIF(O1311:Q1311,"?*")&lt;N(INDEX(Setup!$L$6:$L$23,4)))+(COUNTIF(S1311:U1311,"?*")&lt;N(INDEX(Setup!$L$6:$L$23,4)))+((W1311="")*(INDEX(Setup!$M$6:$M$23,4)="Y"))+((Y1311="")*(INDEX(Setup!$M$6:$M$23,4)="Y")))</f>
        <v/>
      </c>
      <c r="AC1311" s="91">
        <f>IF($B1311="","",IF(AB1311=0,"✓ covered","⚠ "&amp;AB1311&amp;IF(AB1311=1," gap"," gaps")))</f>
        <v/>
      </c>
    </row>
    <row r="1312" ht="17" customHeight="1">
      <c r="A1312" t="n">
        <v>27</v>
      </c>
      <c r="B1312" s="24">
        <f>IF(Setup!$K$10="","",Setup!$K$10)</f>
        <v/>
      </c>
      <c r="C1312" s="88" t="n"/>
      <c r="D1312" s="88" t="n"/>
      <c r="E1312" s="88" t="n"/>
      <c r="F1312" s="89" t="n"/>
      <c r="G1312" s="88" t="n"/>
      <c r="H1312" s="88" t="n"/>
      <c r="I1312" s="88" t="n"/>
      <c r="J1312" s="89" t="n"/>
      <c r="K1312" s="88" t="n"/>
      <c r="L1312" s="88" t="n"/>
      <c r="M1312" s="88" t="n"/>
      <c r="N1312" s="89" t="n"/>
      <c r="O1312" s="88" t="n"/>
      <c r="P1312" s="88" t="n"/>
      <c r="Q1312" s="88" t="n"/>
      <c r="R1312" s="89" t="n"/>
      <c r="S1312" s="88" t="n"/>
      <c r="T1312" s="88" t="n"/>
      <c r="U1312" s="88" t="n"/>
      <c r="V1312" s="89" t="n"/>
      <c r="W1312" s="88" t="n"/>
      <c r="X1312" s="89" t="n"/>
      <c r="Y1312" s="88" t="n"/>
      <c r="Z1312" s="89" t="n"/>
      <c r="AB1312" s="25">
        <f>IF($B1312="","",(COUNTIF(C1312:E1312,"?*")&lt;N(INDEX(Setup!$L$6:$L$23,5)))+(COUNTIF(G1312:I1312,"?*")&lt;N(INDEX(Setup!$L$6:$L$23,5)))+(COUNTIF(K1312:M1312,"?*")&lt;N(INDEX(Setup!$L$6:$L$23,5)))+(COUNTIF(O1312:Q1312,"?*")&lt;N(INDEX(Setup!$L$6:$L$23,5)))+(COUNTIF(S1312:U1312,"?*")&lt;N(INDEX(Setup!$L$6:$L$23,5)))+((W1312="")*(INDEX(Setup!$M$6:$M$23,5)="Y"))+((Y1312="")*(INDEX(Setup!$M$6:$M$23,5)="Y")))</f>
        <v/>
      </c>
      <c r="AC1312" s="90">
        <f>IF($B1312="","",IF(AB1312=0,"✓ covered","⚠ "&amp;AB1312&amp;IF(AB1312=1," gap"," gaps")))</f>
        <v/>
      </c>
    </row>
    <row r="1313" ht="17" customHeight="1">
      <c r="A1313" t="n">
        <v>27</v>
      </c>
      <c r="B1313" s="29">
        <f>IF(Setup!$K$11="","",Setup!$K$11)</f>
        <v/>
      </c>
      <c r="C1313" s="88" t="n"/>
      <c r="D1313" s="88" t="n"/>
      <c r="E1313" s="88" t="n"/>
      <c r="F1313" s="89" t="n"/>
      <c r="G1313" s="88" t="n"/>
      <c r="H1313" s="88" t="n"/>
      <c r="I1313" s="88" t="n"/>
      <c r="J1313" s="89" t="n"/>
      <c r="K1313" s="88" t="n"/>
      <c r="L1313" s="88" t="n"/>
      <c r="M1313" s="88" t="n"/>
      <c r="N1313" s="89" t="n"/>
      <c r="O1313" s="88" t="n"/>
      <c r="P1313" s="88" t="n"/>
      <c r="Q1313" s="88" t="n"/>
      <c r="R1313" s="89" t="n"/>
      <c r="S1313" s="88" t="n"/>
      <c r="T1313" s="88" t="n"/>
      <c r="U1313" s="88" t="n"/>
      <c r="V1313" s="89" t="n"/>
      <c r="W1313" s="88" t="n"/>
      <c r="X1313" s="89" t="n"/>
      <c r="Y1313" s="88" t="n"/>
      <c r="Z1313" s="89" t="n"/>
      <c r="AB1313" s="30">
        <f>IF($B1313="","",(COUNTIF(C1313:E1313,"?*")&lt;N(INDEX(Setup!$L$6:$L$23,6)))+(COUNTIF(G1313:I1313,"?*")&lt;N(INDEX(Setup!$L$6:$L$23,6)))+(COUNTIF(K1313:M1313,"?*")&lt;N(INDEX(Setup!$L$6:$L$23,6)))+(COUNTIF(O1313:Q1313,"?*")&lt;N(INDEX(Setup!$L$6:$L$23,6)))+(COUNTIF(S1313:U1313,"?*")&lt;N(INDEX(Setup!$L$6:$L$23,6)))+((W1313="")*(INDEX(Setup!$M$6:$M$23,6)="Y"))+((Y1313="")*(INDEX(Setup!$M$6:$M$23,6)="Y")))</f>
        <v/>
      </c>
      <c r="AC1313" s="91">
        <f>IF($B1313="","",IF(AB1313=0,"✓ covered","⚠ "&amp;AB1313&amp;IF(AB1313=1," gap"," gaps")))</f>
        <v/>
      </c>
    </row>
    <row r="1314" ht="17" customHeight="1">
      <c r="A1314" t="n">
        <v>27</v>
      </c>
      <c r="B1314" s="24">
        <f>IF(Setup!$K$12="","",Setup!$K$12)</f>
        <v/>
      </c>
      <c r="C1314" s="88" t="n"/>
      <c r="D1314" s="88" t="n"/>
      <c r="E1314" s="88" t="n"/>
      <c r="F1314" s="89" t="n"/>
      <c r="G1314" s="88" t="n"/>
      <c r="H1314" s="88" t="n"/>
      <c r="I1314" s="88" t="n"/>
      <c r="J1314" s="89" t="n"/>
      <c r="K1314" s="88" t="n"/>
      <c r="L1314" s="88" t="n"/>
      <c r="M1314" s="88" t="n"/>
      <c r="N1314" s="89" t="n"/>
      <c r="O1314" s="88" t="n"/>
      <c r="P1314" s="88" t="n"/>
      <c r="Q1314" s="88" t="n"/>
      <c r="R1314" s="89" t="n"/>
      <c r="S1314" s="88" t="n"/>
      <c r="T1314" s="88" t="n"/>
      <c r="U1314" s="88" t="n"/>
      <c r="V1314" s="89" t="n"/>
      <c r="W1314" s="88" t="n"/>
      <c r="X1314" s="89" t="n"/>
      <c r="Y1314" s="88" t="n"/>
      <c r="Z1314" s="89" t="n"/>
      <c r="AB1314" s="25">
        <f>IF($B1314="","",(COUNTIF(C1314:E1314,"?*")&lt;N(INDEX(Setup!$L$6:$L$23,7)))+(COUNTIF(G1314:I1314,"?*")&lt;N(INDEX(Setup!$L$6:$L$23,7)))+(COUNTIF(K1314:M1314,"?*")&lt;N(INDEX(Setup!$L$6:$L$23,7)))+(COUNTIF(O1314:Q1314,"?*")&lt;N(INDEX(Setup!$L$6:$L$23,7)))+(COUNTIF(S1314:U1314,"?*")&lt;N(INDEX(Setup!$L$6:$L$23,7)))+((W1314="")*(INDEX(Setup!$M$6:$M$23,7)="Y"))+((Y1314="")*(INDEX(Setup!$M$6:$M$23,7)="Y")))</f>
        <v/>
      </c>
      <c r="AC1314" s="90">
        <f>IF($B1314="","",IF(AB1314=0,"✓ covered","⚠ "&amp;AB1314&amp;IF(AB1314=1," gap"," gaps")))</f>
        <v/>
      </c>
    </row>
    <row r="1315" ht="17" customHeight="1">
      <c r="A1315" t="n">
        <v>27</v>
      </c>
      <c r="B1315" s="29">
        <f>IF(Setup!$K$13="","",Setup!$K$13)</f>
        <v/>
      </c>
      <c r="C1315" s="88" t="n"/>
      <c r="D1315" s="88" t="n"/>
      <c r="E1315" s="88" t="n"/>
      <c r="F1315" s="89" t="n"/>
      <c r="G1315" s="88" t="n"/>
      <c r="H1315" s="88" t="n"/>
      <c r="I1315" s="88" t="n"/>
      <c r="J1315" s="89" t="n"/>
      <c r="K1315" s="88" t="n"/>
      <c r="L1315" s="88" t="n"/>
      <c r="M1315" s="88" t="n"/>
      <c r="N1315" s="89" t="n"/>
      <c r="O1315" s="88" t="n"/>
      <c r="P1315" s="88" t="n"/>
      <c r="Q1315" s="88" t="n"/>
      <c r="R1315" s="89" t="n"/>
      <c r="S1315" s="88" t="n"/>
      <c r="T1315" s="88" t="n"/>
      <c r="U1315" s="88" t="n"/>
      <c r="V1315" s="89" t="n"/>
      <c r="W1315" s="88" t="n"/>
      <c r="X1315" s="89" t="n"/>
      <c r="Y1315" s="88" t="n"/>
      <c r="Z1315" s="89" t="n"/>
      <c r="AB1315" s="30">
        <f>IF($B1315="","",(COUNTIF(C1315:E1315,"?*")&lt;N(INDEX(Setup!$L$6:$L$23,8)))+(COUNTIF(G1315:I1315,"?*")&lt;N(INDEX(Setup!$L$6:$L$23,8)))+(COUNTIF(K1315:M1315,"?*")&lt;N(INDEX(Setup!$L$6:$L$23,8)))+(COUNTIF(O1315:Q1315,"?*")&lt;N(INDEX(Setup!$L$6:$L$23,8)))+(COUNTIF(S1315:U1315,"?*")&lt;N(INDEX(Setup!$L$6:$L$23,8)))+((W1315="")*(INDEX(Setup!$M$6:$M$23,8)="Y"))+((Y1315="")*(INDEX(Setup!$M$6:$M$23,8)="Y")))</f>
        <v/>
      </c>
      <c r="AC1315" s="91">
        <f>IF($B1315="","",IF(AB1315=0,"✓ covered","⚠ "&amp;AB1315&amp;IF(AB1315=1," gap"," gaps")))</f>
        <v/>
      </c>
    </row>
    <row r="1316" ht="17" customHeight="1">
      <c r="A1316" t="n">
        <v>27</v>
      </c>
      <c r="B1316" s="24">
        <f>IF(Setup!$K$14="","",Setup!$K$14)</f>
        <v/>
      </c>
      <c r="C1316" s="88" t="n"/>
      <c r="D1316" s="88" t="n"/>
      <c r="E1316" s="88" t="n"/>
      <c r="F1316" s="89" t="n"/>
      <c r="G1316" s="88" t="n"/>
      <c r="H1316" s="88" t="n"/>
      <c r="I1316" s="88" t="n"/>
      <c r="J1316" s="89" t="n"/>
      <c r="K1316" s="88" t="n"/>
      <c r="L1316" s="88" t="n"/>
      <c r="M1316" s="88" t="n"/>
      <c r="N1316" s="89" t="n"/>
      <c r="O1316" s="88" t="n"/>
      <c r="P1316" s="88" t="n"/>
      <c r="Q1316" s="88" t="n"/>
      <c r="R1316" s="89" t="n"/>
      <c r="S1316" s="88" t="n"/>
      <c r="T1316" s="88" t="n"/>
      <c r="U1316" s="88" t="n"/>
      <c r="V1316" s="89" t="n"/>
      <c r="W1316" s="88" t="n"/>
      <c r="X1316" s="89" t="n"/>
      <c r="Y1316" s="88" t="n"/>
      <c r="Z1316" s="89" t="n"/>
      <c r="AB1316" s="25">
        <f>IF($B1316="","",(COUNTIF(C1316:E1316,"?*")&lt;N(INDEX(Setup!$L$6:$L$23,9)))+(COUNTIF(G1316:I1316,"?*")&lt;N(INDEX(Setup!$L$6:$L$23,9)))+(COUNTIF(K1316:M1316,"?*")&lt;N(INDEX(Setup!$L$6:$L$23,9)))+(COUNTIF(O1316:Q1316,"?*")&lt;N(INDEX(Setup!$L$6:$L$23,9)))+(COUNTIF(S1316:U1316,"?*")&lt;N(INDEX(Setup!$L$6:$L$23,9)))+((W1316="")*(INDEX(Setup!$M$6:$M$23,9)="Y"))+((Y1316="")*(INDEX(Setup!$M$6:$M$23,9)="Y")))</f>
        <v/>
      </c>
      <c r="AC1316" s="90">
        <f>IF($B1316="","",IF(AB1316=0,"✓ covered","⚠ "&amp;AB1316&amp;IF(AB1316=1," gap"," gaps")))</f>
        <v/>
      </c>
    </row>
    <row r="1317" ht="17" customHeight="1">
      <c r="A1317" t="n">
        <v>27</v>
      </c>
      <c r="B1317" s="29">
        <f>IF(Setup!$K$15="","",Setup!$K$15)</f>
        <v/>
      </c>
      <c r="C1317" s="88" t="n"/>
      <c r="D1317" s="88" t="n"/>
      <c r="E1317" s="88" t="n"/>
      <c r="F1317" s="89" t="n"/>
      <c r="G1317" s="88" t="n"/>
      <c r="H1317" s="88" t="n"/>
      <c r="I1317" s="88" t="n"/>
      <c r="J1317" s="89" t="n"/>
      <c r="K1317" s="88" t="n"/>
      <c r="L1317" s="88" t="n"/>
      <c r="M1317" s="88" t="n"/>
      <c r="N1317" s="89" t="n"/>
      <c r="O1317" s="88" t="n"/>
      <c r="P1317" s="88" t="n"/>
      <c r="Q1317" s="88" t="n"/>
      <c r="R1317" s="89" t="n"/>
      <c r="S1317" s="88" t="n"/>
      <c r="T1317" s="88" t="n"/>
      <c r="U1317" s="88" t="n"/>
      <c r="V1317" s="89" t="n"/>
      <c r="W1317" s="88" t="n"/>
      <c r="X1317" s="89" t="n"/>
      <c r="Y1317" s="88" t="n"/>
      <c r="Z1317" s="89" t="n"/>
      <c r="AB1317" s="30">
        <f>IF($B1317="","",(COUNTIF(C1317:E1317,"?*")&lt;N(INDEX(Setup!$L$6:$L$23,10)))+(COUNTIF(G1317:I1317,"?*")&lt;N(INDEX(Setup!$L$6:$L$23,10)))+(COUNTIF(K1317:M1317,"?*")&lt;N(INDEX(Setup!$L$6:$L$23,10)))+(COUNTIF(O1317:Q1317,"?*")&lt;N(INDEX(Setup!$L$6:$L$23,10)))+(COUNTIF(S1317:U1317,"?*")&lt;N(INDEX(Setup!$L$6:$L$23,10)))+((W1317="")*(INDEX(Setup!$M$6:$M$23,10)="Y"))+((Y1317="")*(INDEX(Setup!$M$6:$M$23,10)="Y")))</f>
        <v/>
      </c>
      <c r="AC1317" s="91">
        <f>IF($B1317="","",IF(AB1317=0,"✓ covered","⚠ "&amp;AB1317&amp;IF(AB1317=1," gap"," gaps")))</f>
        <v/>
      </c>
    </row>
    <row r="1318" ht="17" customHeight="1">
      <c r="A1318" t="n">
        <v>27</v>
      </c>
      <c r="B1318" s="24">
        <f>IF(Setup!$K$16="","",Setup!$K$16)</f>
        <v/>
      </c>
      <c r="C1318" s="88" t="n"/>
      <c r="D1318" s="88" t="n"/>
      <c r="E1318" s="88" t="n"/>
      <c r="F1318" s="89" t="n"/>
      <c r="G1318" s="88" t="n"/>
      <c r="H1318" s="88" t="n"/>
      <c r="I1318" s="88" t="n"/>
      <c r="J1318" s="89" t="n"/>
      <c r="K1318" s="88" t="n"/>
      <c r="L1318" s="88" t="n"/>
      <c r="M1318" s="88" t="n"/>
      <c r="N1318" s="89" t="n"/>
      <c r="O1318" s="88" t="n"/>
      <c r="P1318" s="88" t="n"/>
      <c r="Q1318" s="88" t="n"/>
      <c r="R1318" s="89" t="n"/>
      <c r="S1318" s="88" t="n"/>
      <c r="T1318" s="88" t="n"/>
      <c r="U1318" s="88" t="n"/>
      <c r="V1318" s="89" t="n"/>
      <c r="W1318" s="88" t="n"/>
      <c r="X1318" s="89" t="n"/>
      <c r="Y1318" s="88" t="n"/>
      <c r="Z1318" s="89" t="n"/>
      <c r="AB1318" s="25">
        <f>IF($B1318="","",(COUNTIF(C1318:E1318,"?*")&lt;N(INDEX(Setup!$L$6:$L$23,11)))+(COUNTIF(G1318:I1318,"?*")&lt;N(INDEX(Setup!$L$6:$L$23,11)))+(COUNTIF(K1318:M1318,"?*")&lt;N(INDEX(Setup!$L$6:$L$23,11)))+(COUNTIF(O1318:Q1318,"?*")&lt;N(INDEX(Setup!$L$6:$L$23,11)))+(COUNTIF(S1318:U1318,"?*")&lt;N(INDEX(Setup!$L$6:$L$23,11)))+((W1318="")*(INDEX(Setup!$M$6:$M$23,11)="Y"))+((Y1318="")*(INDEX(Setup!$M$6:$M$23,11)="Y")))</f>
        <v/>
      </c>
      <c r="AC1318" s="90">
        <f>IF($B1318="","",IF(AB1318=0,"✓ covered","⚠ "&amp;AB1318&amp;IF(AB1318=1," gap"," gaps")))</f>
        <v/>
      </c>
    </row>
    <row r="1319" ht="17" customHeight="1">
      <c r="A1319" t="n">
        <v>27</v>
      </c>
      <c r="B1319" s="29">
        <f>IF(Setup!$K$17="","",Setup!$K$17)</f>
        <v/>
      </c>
      <c r="C1319" s="88" t="n"/>
      <c r="D1319" s="88" t="n"/>
      <c r="E1319" s="88" t="n"/>
      <c r="F1319" s="89" t="n"/>
      <c r="G1319" s="88" t="n"/>
      <c r="H1319" s="88" t="n"/>
      <c r="I1319" s="88" t="n"/>
      <c r="J1319" s="89" t="n"/>
      <c r="K1319" s="88" t="n"/>
      <c r="L1319" s="88" t="n"/>
      <c r="M1319" s="88" t="n"/>
      <c r="N1319" s="89" t="n"/>
      <c r="O1319" s="88" t="n"/>
      <c r="P1319" s="88" t="n"/>
      <c r="Q1319" s="88" t="n"/>
      <c r="R1319" s="89" t="n"/>
      <c r="S1319" s="88" t="n"/>
      <c r="T1319" s="88" t="n"/>
      <c r="U1319" s="88" t="n"/>
      <c r="V1319" s="89" t="n"/>
      <c r="W1319" s="88" t="n"/>
      <c r="X1319" s="89" t="n"/>
      <c r="Y1319" s="88" t="n"/>
      <c r="Z1319" s="89" t="n"/>
      <c r="AB1319" s="30">
        <f>IF($B1319="","",(COUNTIF(C1319:E1319,"?*")&lt;N(INDEX(Setup!$L$6:$L$23,12)))+(COUNTIF(G1319:I1319,"?*")&lt;N(INDEX(Setup!$L$6:$L$23,12)))+(COUNTIF(K1319:M1319,"?*")&lt;N(INDEX(Setup!$L$6:$L$23,12)))+(COUNTIF(O1319:Q1319,"?*")&lt;N(INDEX(Setup!$L$6:$L$23,12)))+(COUNTIF(S1319:U1319,"?*")&lt;N(INDEX(Setup!$L$6:$L$23,12)))+((W1319="")*(INDEX(Setup!$M$6:$M$23,12)="Y"))+((Y1319="")*(INDEX(Setup!$M$6:$M$23,12)="Y")))</f>
        <v/>
      </c>
      <c r="AC1319" s="91">
        <f>IF($B1319="","",IF(AB1319=0,"✓ covered","⚠ "&amp;AB1319&amp;IF(AB1319=1," gap"," gaps")))</f>
        <v/>
      </c>
    </row>
    <row r="1320" ht="17" customHeight="1">
      <c r="A1320" t="n">
        <v>27</v>
      </c>
      <c r="B1320" s="24">
        <f>IF(Setup!$K$18="","",Setup!$K$18)</f>
        <v/>
      </c>
      <c r="C1320" s="88" t="inlineStr">
        <is>
          <t>TB</t>
        </is>
      </c>
      <c r="D1320" s="88" t="inlineStr">
        <is>
          <t>TB</t>
        </is>
      </c>
      <c r="E1320" s="88" t="n"/>
      <c r="F1320" s="89" t="n"/>
      <c r="G1320" s="88" t="n"/>
      <c r="H1320" s="88" t="n"/>
      <c r="I1320" s="88" t="n"/>
      <c r="J1320" s="89" t="n"/>
      <c r="K1320" s="88" t="n"/>
      <c r="L1320" s="88" t="n"/>
      <c r="M1320" s="88" t="n"/>
      <c r="N1320" s="89" t="n"/>
      <c r="O1320" s="88" t="n"/>
      <c r="P1320" s="88" t="n"/>
      <c r="Q1320" s="88" t="n"/>
      <c r="R1320" s="89" t="n"/>
      <c r="S1320" s="88" t="n"/>
      <c r="T1320" s="88" t="n"/>
      <c r="U1320" s="88" t="n"/>
      <c r="V1320" s="89" t="n"/>
      <c r="W1320" s="88" t="n"/>
      <c r="X1320" s="89" t="n"/>
      <c r="Y1320" s="88" t="n"/>
      <c r="Z1320" s="89" t="n"/>
      <c r="AB1320" s="25">
        <f>IF($B1320="","",(COUNTIF(C1320:E1320,"?*")&lt;N(INDEX(Setup!$L$6:$L$23,13)))+(COUNTIF(G1320:I1320,"?*")&lt;N(INDEX(Setup!$L$6:$L$23,13)))+(COUNTIF(K1320:M1320,"?*")&lt;N(INDEX(Setup!$L$6:$L$23,13)))+(COUNTIF(O1320:Q1320,"?*")&lt;N(INDEX(Setup!$L$6:$L$23,13)))+(COUNTIF(S1320:U1320,"?*")&lt;N(INDEX(Setup!$L$6:$L$23,13)))+((W1320="")*(INDEX(Setup!$M$6:$M$23,13)="Y"))+((Y1320="")*(INDEX(Setup!$M$6:$M$23,13)="Y")))</f>
        <v/>
      </c>
      <c r="AC1320" s="90">
        <f>IF($B1320="","",IF(AB1320=0,"✓ covered","⚠ "&amp;AB1320&amp;IF(AB1320=1," gap"," gaps")))</f>
        <v/>
      </c>
    </row>
    <row r="1321" ht="17" customHeight="1">
      <c r="A1321" t="n">
        <v>27</v>
      </c>
      <c r="B1321" s="29">
        <f>IF(Setup!$K$19="","",Setup!$K$19)</f>
        <v/>
      </c>
      <c r="C1321" s="88" t="n"/>
      <c r="D1321" s="88" t="n"/>
      <c r="E1321" s="88" t="n"/>
      <c r="F1321" s="89" t="n"/>
      <c r="G1321" s="88" t="n"/>
      <c r="H1321" s="88" t="n"/>
      <c r="I1321" s="88" t="n"/>
      <c r="J1321" s="89" t="n"/>
      <c r="K1321" s="88" t="n"/>
      <c r="L1321" s="88" t="n"/>
      <c r="M1321" s="88" t="n"/>
      <c r="N1321" s="89" t="n"/>
      <c r="O1321" s="88" t="n"/>
      <c r="P1321" s="88" t="n"/>
      <c r="Q1321" s="88" t="n"/>
      <c r="R1321" s="89" t="n"/>
      <c r="S1321" s="88" t="n"/>
      <c r="T1321" s="88" t="n"/>
      <c r="U1321" s="88" t="n"/>
      <c r="V1321" s="89" t="n"/>
      <c r="W1321" s="88" t="n"/>
      <c r="X1321" s="89" t="n"/>
      <c r="Y1321" s="88" t="n"/>
      <c r="Z1321" s="89" t="n"/>
      <c r="AB1321" s="30">
        <f>IF($B1321="","",(COUNTIF(C1321:E1321,"?*")&lt;N(INDEX(Setup!$L$6:$L$23,14)))+(COUNTIF(G1321:I1321,"?*")&lt;N(INDEX(Setup!$L$6:$L$23,14)))+(COUNTIF(K1321:M1321,"?*")&lt;N(INDEX(Setup!$L$6:$L$23,14)))+(COUNTIF(O1321:Q1321,"?*")&lt;N(INDEX(Setup!$L$6:$L$23,14)))+(COUNTIF(S1321:U1321,"?*")&lt;N(INDEX(Setup!$L$6:$L$23,14)))+((W1321="")*(INDEX(Setup!$M$6:$M$23,14)="Y"))+((Y1321="")*(INDEX(Setup!$M$6:$M$23,14)="Y")))</f>
        <v/>
      </c>
      <c r="AC1321" s="91">
        <f>IF($B1321="","",IF(AB1321=0,"✓ covered","⚠ "&amp;AB1321&amp;IF(AB1321=1," gap"," gaps")))</f>
        <v/>
      </c>
    </row>
    <row r="1322" ht="17" customHeight="1">
      <c r="A1322" t="n">
        <v>27</v>
      </c>
      <c r="B1322" s="24">
        <f>IF(Setup!$K$20="","",Setup!$K$20)</f>
        <v/>
      </c>
      <c r="C1322" s="88" t="n"/>
      <c r="D1322" s="88" t="n"/>
      <c r="E1322" s="88" t="n"/>
      <c r="F1322" s="89" t="n"/>
      <c r="G1322" s="88" t="n"/>
      <c r="H1322" s="88" t="n"/>
      <c r="I1322" s="88" t="n"/>
      <c r="J1322" s="89" t="n"/>
      <c r="K1322" s="88" t="n"/>
      <c r="L1322" s="88" t="n"/>
      <c r="M1322" s="88" t="n"/>
      <c r="N1322" s="89" t="n"/>
      <c r="O1322" s="88" t="n"/>
      <c r="P1322" s="88" t="n"/>
      <c r="Q1322" s="88" t="n"/>
      <c r="R1322" s="89" t="n"/>
      <c r="S1322" s="88" t="n"/>
      <c r="T1322" s="88" t="n"/>
      <c r="U1322" s="88" t="n"/>
      <c r="V1322" s="89" t="n"/>
      <c r="W1322" s="88" t="n"/>
      <c r="X1322" s="89" t="n"/>
      <c r="Y1322" s="88" t="n"/>
      <c r="Z1322" s="89" t="n"/>
      <c r="AB1322" s="25">
        <f>IF($B1322="","",(COUNTIF(C1322:E1322,"?*")&lt;N(INDEX(Setup!$L$6:$L$23,15)))+(COUNTIF(G1322:I1322,"?*")&lt;N(INDEX(Setup!$L$6:$L$23,15)))+(COUNTIF(K1322:M1322,"?*")&lt;N(INDEX(Setup!$L$6:$L$23,15)))+(COUNTIF(O1322:Q1322,"?*")&lt;N(INDEX(Setup!$L$6:$L$23,15)))+(COUNTIF(S1322:U1322,"?*")&lt;N(INDEX(Setup!$L$6:$L$23,15)))+((W1322="")*(INDEX(Setup!$M$6:$M$23,15)="Y"))+((Y1322="")*(INDEX(Setup!$M$6:$M$23,15)="Y")))</f>
        <v/>
      </c>
      <c r="AC1322" s="90">
        <f>IF($B1322="","",IF(AB1322=0,"✓ covered","⚠ "&amp;AB1322&amp;IF(AB1322=1," gap"," gaps")))</f>
        <v/>
      </c>
    </row>
    <row r="1323" ht="17" customHeight="1">
      <c r="A1323" t="n">
        <v>27</v>
      </c>
      <c r="B1323" s="29">
        <f>IF(Setup!$K$21="","",Setup!$K$21)</f>
        <v/>
      </c>
      <c r="C1323" s="88" t="n"/>
      <c r="D1323" s="88" t="n"/>
      <c r="E1323" s="88" t="n"/>
      <c r="F1323" s="89" t="n"/>
      <c r="G1323" s="88" t="n"/>
      <c r="H1323" s="88" t="n"/>
      <c r="I1323" s="88" t="n"/>
      <c r="J1323" s="89" t="n"/>
      <c r="K1323" s="88" t="n"/>
      <c r="L1323" s="88" t="n"/>
      <c r="M1323" s="88" t="n"/>
      <c r="N1323" s="89" t="n"/>
      <c r="O1323" s="88" t="n"/>
      <c r="P1323" s="88" t="n"/>
      <c r="Q1323" s="88" t="n"/>
      <c r="R1323" s="89" t="n"/>
      <c r="S1323" s="88" t="n"/>
      <c r="T1323" s="88" t="n"/>
      <c r="U1323" s="88" t="n"/>
      <c r="V1323" s="89" t="n"/>
      <c r="W1323" s="88" t="n"/>
      <c r="X1323" s="89" t="n"/>
      <c r="Y1323" s="88" t="n"/>
      <c r="Z1323" s="89" t="n"/>
      <c r="AB1323" s="30">
        <f>IF($B1323="","",(COUNTIF(C1323:E1323,"?*")&lt;N(INDEX(Setup!$L$6:$L$23,16)))+(COUNTIF(G1323:I1323,"?*")&lt;N(INDEX(Setup!$L$6:$L$23,16)))+(COUNTIF(K1323:M1323,"?*")&lt;N(INDEX(Setup!$L$6:$L$23,16)))+(COUNTIF(O1323:Q1323,"?*")&lt;N(INDEX(Setup!$L$6:$L$23,16)))+(COUNTIF(S1323:U1323,"?*")&lt;N(INDEX(Setup!$L$6:$L$23,16)))+((W1323="")*(INDEX(Setup!$M$6:$M$23,16)="Y"))+((Y1323="")*(INDEX(Setup!$M$6:$M$23,16)="Y")))</f>
        <v/>
      </c>
      <c r="AC1323" s="91">
        <f>IF($B1323="","",IF(AB1323=0,"✓ covered","⚠ "&amp;AB1323&amp;IF(AB1323=1," gap"," gaps")))</f>
        <v/>
      </c>
    </row>
    <row r="1324" ht="17" customHeight="1">
      <c r="A1324" t="n">
        <v>27</v>
      </c>
      <c r="B1324" s="24">
        <f>IF(Setup!$K$22="","",Setup!$K$22)</f>
        <v/>
      </c>
      <c r="C1324" s="88" t="n"/>
      <c r="D1324" s="88" t="n"/>
      <c r="E1324" s="88" t="n"/>
      <c r="F1324" s="89" t="n"/>
      <c r="G1324" s="88" t="n"/>
      <c r="H1324" s="88" t="n"/>
      <c r="I1324" s="88" t="n"/>
      <c r="J1324" s="89" t="n"/>
      <c r="K1324" s="88" t="n"/>
      <c r="L1324" s="88" t="n"/>
      <c r="M1324" s="88" t="n"/>
      <c r="N1324" s="89" t="n"/>
      <c r="O1324" s="88" t="n"/>
      <c r="P1324" s="88" t="n"/>
      <c r="Q1324" s="88" t="n"/>
      <c r="R1324" s="89" t="n"/>
      <c r="S1324" s="88" t="n"/>
      <c r="T1324" s="88" t="n"/>
      <c r="U1324" s="88" t="n"/>
      <c r="V1324" s="89" t="n"/>
      <c r="W1324" s="88" t="n"/>
      <c r="X1324" s="89" t="n"/>
      <c r="Y1324" s="88" t="n"/>
      <c r="Z1324" s="89" t="n"/>
      <c r="AB1324" s="25">
        <f>IF($B1324="","",(COUNTIF(C1324:E1324,"?*")&lt;N(INDEX(Setup!$L$6:$L$23,17)))+(COUNTIF(G1324:I1324,"?*")&lt;N(INDEX(Setup!$L$6:$L$23,17)))+(COUNTIF(K1324:M1324,"?*")&lt;N(INDEX(Setup!$L$6:$L$23,17)))+(COUNTIF(O1324:Q1324,"?*")&lt;N(INDEX(Setup!$L$6:$L$23,17)))+(COUNTIF(S1324:U1324,"?*")&lt;N(INDEX(Setup!$L$6:$L$23,17)))+((W1324="")*(INDEX(Setup!$M$6:$M$23,17)="Y"))+((Y1324="")*(INDEX(Setup!$M$6:$M$23,17)="Y")))</f>
        <v/>
      </c>
      <c r="AC1324" s="90">
        <f>IF($B1324="","",IF(AB1324=0,"✓ covered","⚠ "&amp;AB1324&amp;IF(AB1324=1," gap"," gaps")))</f>
        <v/>
      </c>
    </row>
    <row r="1325" ht="17" customHeight="1">
      <c r="A1325" t="n">
        <v>27</v>
      </c>
      <c r="B1325" s="29">
        <f>IF(Setup!$K$23="","",Setup!$K$23)</f>
        <v/>
      </c>
      <c r="C1325" s="88" t="n"/>
      <c r="D1325" s="88" t="n"/>
      <c r="E1325" s="88" t="n"/>
      <c r="F1325" s="89" t="n"/>
      <c r="G1325" s="88" t="n"/>
      <c r="H1325" s="88" t="n"/>
      <c r="I1325" s="88" t="n"/>
      <c r="J1325" s="89" t="n"/>
      <c r="K1325" s="88" t="n"/>
      <c r="L1325" s="88" t="n"/>
      <c r="M1325" s="88" t="n"/>
      <c r="N1325" s="89" t="n"/>
      <c r="O1325" s="88" t="n"/>
      <c r="P1325" s="88" t="n"/>
      <c r="Q1325" s="88" t="n"/>
      <c r="R1325" s="89" t="n"/>
      <c r="S1325" s="88" t="n"/>
      <c r="T1325" s="88" t="n"/>
      <c r="U1325" s="88" t="n"/>
      <c r="V1325" s="89" t="n"/>
      <c r="W1325" s="88" t="n"/>
      <c r="X1325" s="89" t="n"/>
      <c r="Y1325" s="88" t="n"/>
      <c r="Z1325" s="89" t="n"/>
      <c r="AB1325" s="30">
        <f>IF($B1325="","",(COUNTIF(C1325:E1325,"?*")&lt;N(INDEX(Setup!$L$6:$L$23,18)))+(COUNTIF(G1325:I1325,"?*")&lt;N(INDEX(Setup!$L$6:$L$23,18)))+(COUNTIF(K1325:M1325,"?*")&lt;N(INDEX(Setup!$L$6:$L$23,18)))+(COUNTIF(O1325:Q1325,"?*")&lt;N(INDEX(Setup!$L$6:$L$23,18)))+(COUNTIF(S1325:U1325,"?*")&lt;N(INDEX(Setup!$L$6:$L$23,18)))+((W1325="")*(INDEX(Setup!$M$6:$M$23,18)="Y"))+((Y1325="")*(INDEX(Setup!$M$6:$M$23,18)="Y")))</f>
        <v/>
      </c>
      <c r="AC1325" s="91">
        <f>IF($B1325="","",IF(AB1325=0,"✓ covered","⚠ "&amp;AB1325&amp;IF(AB1325=1," gap"," gaps")))</f>
        <v/>
      </c>
    </row>
    <row r="1326" ht="18" customHeight="1">
      <c r="A1326" t="n">
        <v>27</v>
      </c>
      <c r="B1326" s="78" t="inlineStr">
        <is>
          <t>TEAM AVAILABILITY</t>
        </is>
      </c>
      <c r="C1326" s="92" t="inlineStr">
        <is>
          <t>Mon</t>
        </is>
      </c>
      <c r="D1326" s="93" t="n"/>
      <c r="E1326" s="93" t="n"/>
      <c r="F1326" s="94" t="n"/>
      <c r="G1326" s="92" t="inlineStr">
        <is>
          <t>Tue</t>
        </is>
      </c>
      <c r="H1326" s="93" t="n"/>
      <c r="I1326" s="93" t="n"/>
      <c r="J1326" s="94" t="n"/>
      <c r="K1326" s="92" t="inlineStr">
        <is>
          <t>Wed</t>
        </is>
      </c>
      <c r="L1326" s="93" t="n"/>
      <c r="M1326" s="93" t="n"/>
      <c r="N1326" s="94" t="n"/>
      <c r="O1326" s="92" t="inlineStr">
        <is>
          <t>Thu</t>
        </is>
      </c>
      <c r="P1326" s="93" t="n"/>
      <c r="Q1326" s="93" t="n"/>
      <c r="R1326" s="94" t="n"/>
      <c r="S1326" s="92" t="inlineStr">
        <is>
          <t>Fri</t>
        </is>
      </c>
      <c r="T1326" s="93" t="n"/>
      <c r="U1326" s="93" t="n"/>
      <c r="V1326" s="94" t="n"/>
      <c r="W1326" s="95" t="inlineStr">
        <is>
          <t>Sat</t>
        </is>
      </c>
      <c r="X1326" s="96" t="n"/>
      <c r="Y1326" s="95" t="inlineStr">
        <is>
          <t>Sun</t>
        </is>
      </c>
      <c r="Z1326" s="96" t="n"/>
      <c r="AB1326" s="97" t="inlineStr">
        <is>
          <t>Days rostered</t>
        </is>
      </c>
      <c r="AC1326" s="97" t="inlineStr">
        <is>
          <t>Conflicts</t>
        </is>
      </c>
    </row>
    <row r="1327" ht="15" customHeight="1">
      <c r="A1327" t="n">
        <v>27</v>
      </c>
      <c r="B1327" s="35">
        <f>IF(Setup!$B$6="","",Setup!$B$6)</f>
        <v/>
      </c>
      <c r="C1327" s="98" t="inlineStr">
        <is>
          <t>AL</t>
        </is>
      </c>
      <c r="D1327" s="99" t="n"/>
      <c r="E1327" s="99" t="n"/>
      <c r="F1327" s="100" t="n"/>
      <c r="G1327" s="98" t="n"/>
      <c r="H1327" s="99" t="n"/>
      <c r="I1327" s="99" t="n"/>
      <c r="J1327" s="100" t="n"/>
      <c r="K1327" s="98" t="n"/>
      <c r="L1327" s="99" t="n"/>
      <c r="M1327" s="99" t="n"/>
      <c r="N1327" s="100" t="n"/>
      <c r="O1327" s="98" t="n"/>
      <c r="P1327" s="99" t="n"/>
      <c r="Q1327" s="99" t="n"/>
      <c r="R1327" s="100" t="n"/>
      <c r="S1327" s="98" t="n"/>
      <c r="T1327" s="99" t="n"/>
      <c r="U1327" s="99" t="n"/>
      <c r="V1327" s="100" t="n"/>
      <c r="W1327" s="98" t="n"/>
      <c r="X1327" s="100" t="n"/>
      <c r="Y1327" s="98" t="n"/>
      <c r="Z1327" s="100" t="n"/>
      <c r="AB1327" s="101">
        <f>IF($B1327="","",(COUNTIF(C1308:E1325,$B1327)+COUNTIF(C1308:E1325,$B1327&amp;" ~*")&gt;0)+(COUNTIF(G1308:I1325,$B1327)+COUNTIF(G1308:I1325,$B1327&amp;" ~*")&gt;0)+(COUNTIF(K1308:M1325,$B1327)+COUNTIF(K1308:M1325,$B1327&amp;" ~*")&gt;0)+(COUNTIF(O1308:Q1325,$B1327)+COUNTIF(O1308:Q1325,$B1327&amp;" ~*")&gt;0)+(COUNTIF(S1308:U1325,$B1327)+COUNTIF(S1308:U1325,$B1327&amp;" ~*")&gt;0)+(COUNTIF(W1308:W1325,$B1327)+COUNTIF(W1308:W1325,$B1327&amp;" ~*")&gt;0)+(COUNTIF(Y1308:Y1325,$B1327)+COUNTIF(Y1308:Y1325,$B1327&amp;" ~*")&gt;0))</f>
        <v/>
      </c>
      <c r="AC1327" s="36">
        <f>IF($B1327="","",(IFERROR(INDEX(Setup!$G$33:$G$40,MATCH(C1327,Setup!$B$33:$B$40,0)),0)=1)*(COUNTIF(C1308:E1325,$B1327)+COUNTIF(C1308:E1325,$B1327&amp;" ~*")&gt;0)+(IFERROR(INDEX(Setup!$G$33:$G$40,MATCH(G1327,Setup!$B$33:$B$40,0)),0)=1)*(COUNTIF(G1308:I1325,$B1327)+COUNTIF(G1308:I1325,$B1327&amp;" ~*")&gt;0)+(IFERROR(INDEX(Setup!$G$33:$G$40,MATCH(K1327,Setup!$B$33:$B$40,0)),0)=1)*(COUNTIF(K1308:M1325,$B1327)+COUNTIF(K1308:M1325,$B1327&amp;" ~*")&gt;0)+(IFERROR(INDEX(Setup!$G$33:$G$40,MATCH(O1327,Setup!$B$33:$B$40,0)),0)=1)*(COUNTIF(O1308:Q1325,$B1327)+COUNTIF(O1308:Q1325,$B1327&amp;" ~*")&gt;0)+(IFERROR(INDEX(Setup!$G$33:$G$40,MATCH(S1327,Setup!$B$33:$B$40,0)),0)=1)*(COUNTIF(S1308:U1325,$B1327)+COUNTIF(S1308:U1325,$B1327&amp;" ~*")&gt;0)+(IFERROR(INDEX(Setup!$G$33:$G$40,MATCH(W1327,Setup!$B$33:$B$40,0)),0)=1)*(COUNTIF(W1308:W1325,$B1327)+COUNTIF(W1308:W1325,$B1327&amp;" ~*")&gt;0)+(IFERROR(INDEX(Setup!$G$33:$G$40,MATCH(Y1327,Setup!$B$33:$B$40,0)),0)=1)*(COUNTIF(Y1308:Y1325,$B1327)+COUNTIF(Y1308:Y1325,$B1327&amp;" ~*")&gt;0))</f>
        <v/>
      </c>
    </row>
    <row r="1328" ht="15" customHeight="1">
      <c r="A1328" t="n">
        <v>27</v>
      </c>
      <c r="B1328" s="37">
        <f>IF(Setup!$B$7="","",Setup!$B$7)</f>
        <v/>
      </c>
      <c r="C1328" s="102" t="n"/>
      <c r="D1328" s="103" t="n"/>
      <c r="E1328" s="103" t="n"/>
      <c r="F1328" s="104" t="n"/>
      <c r="G1328" s="102" t="n"/>
      <c r="H1328" s="103" t="n"/>
      <c r="I1328" s="103" t="n"/>
      <c r="J1328" s="104" t="n"/>
      <c r="K1328" s="102" t="n"/>
      <c r="L1328" s="103" t="n"/>
      <c r="M1328" s="103" t="n"/>
      <c r="N1328" s="104" t="n"/>
      <c r="O1328" s="102" t="n"/>
      <c r="P1328" s="103" t="n"/>
      <c r="Q1328" s="103" t="n"/>
      <c r="R1328" s="104" t="n"/>
      <c r="S1328" s="102" t="n"/>
      <c r="T1328" s="103" t="n"/>
      <c r="U1328" s="103" t="n"/>
      <c r="V1328" s="104" t="n"/>
      <c r="W1328" s="102" t="n"/>
      <c r="X1328" s="104" t="n"/>
      <c r="Y1328" s="102" t="n"/>
      <c r="Z1328" s="104" t="n"/>
      <c r="AB1328" s="105">
        <f>IF($B1328="","",(COUNTIF(C1308:E1325,$B1328)+COUNTIF(C1308:E1325,$B1328&amp;" ~*")&gt;0)+(COUNTIF(G1308:I1325,$B1328)+COUNTIF(G1308:I1325,$B1328&amp;" ~*")&gt;0)+(COUNTIF(K1308:M1325,$B1328)+COUNTIF(K1308:M1325,$B1328&amp;" ~*")&gt;0)+(COUNTIF(O1308:Q1325,$B1328)+COUNTIF(O1308:Q1325,$B1328&amp;" ~*")&gt;0)+(COUNTIF(S1308:U1325,$B1328)+COUNTIF(S1308:U1325,$B1328&amp;" ~*")&gt;0)+(COUNTIF(W1308:W1325,$B1328)+COUNTIF(W1308:W1325,$B1328&amp;" ~*")&gt;0)+(COUNTIF(Y1308:Y1325,$B1328)+COUNTIF(Y1308:Y1325,$B1328&amp;" ~*")&gt;0))</f>
        <v/>
      </c>
      <c r="AC1328" s="38">
        <f>IF($B1328="","",(IFERROR(INDEX(Setup!$G$33:$G$40,MATCH(C1328,Setup!$B$33:$B$40,0)),0)=1)*(COUNTIF(C1308:E1325,$B1328)+COUNTIF(C1308:E1325,$B1328&amp;" ~*")&gt;0)+(IFERROR(INDEX(Setup!$G$33:$G$40,MATCH(G1328,Setup!$B$33:$B$40,0)),0)=1)*(COUNTIF(G1308:I1325,$B1328)+COUNTIF(G1308:I1325,$B1328&amp;" ~*")&gt;0)+(IFERROR(INDEX(Setup!$G$33:$G$40,MATCH(K1328,Setup!$B$33:$B$40,0)),0)=1)*(COUNTIF(K1308:M1325,$B1328)+COUNTIF(K1308:M1325,$B1328&amp;" ~*")&gt;0)+(IFERROR(INDEX(Setup!$G$33:$G$40,MATCH(O1328,Setup!$B$33:$B$40,0)),0)=1)*(COUNTIF(O1308:Q1325,$B1328)+COUNTIF(O1308:Q1325,$B1328&amp;" ~*")&gt;0)+(IFERROR(INDEX(Setup!$G$33:$G$40,MATCH(S1328,Setup!$B$33:$B$40,0)),0)=1)*(COUNTIF(S1308:U1325,$B1328)+COUNTIF(S1308:U1325,$B1328&amp;" ~*")&gt;0)+(IFERROR(INDEX(Setup!$G$33:$G$40,MATCH(W1328,Setup!$B$33:$B$40,0)),0)=1)*(COUNTIF(W1308:W1325,$B1328)+COUNTIF(W1308:W1325,$B1328&amp;" ~*")&gt;0)+(IFERROR(INDEX(Setup!$G$33:$G$40,MATCH(Y1328,Setup!$B$33:$B$40,0)),0)=1)*(COUNTIF(Y1308:Y1325,$B1328)+COUNTIF(Y1308:Y1325,$B1328&amp;" ~*")&gt;0))</f>
        <v/>
      </c>
    </row>
    <row r="1329" ht="15" customHeight="1">
      <c r="A1329" t="n">
        <v>27</v>
      </c>
      <c r="B1329" s="35">
        <f>IF(Setup!$B$8="","",Setup!$B$8)</f>
        <v/>
      </c>
      <c r="C1329" s="98" t="n"/>
      <c r="D1329" s="99" t="n"/>
      <c r="E1329" s="99" t="n"/>
      <c r="F1329" s="100" t="n"/>
      <c r="G1329" s="98" t="n"/>
      <c r="H1329" s="99" t="n"/>
      <c r="I1329" s="99" t="n"/>
      <c r="J1329" s="100" t="n"/>
      <c r="K1329" s="98" t="n"/>
      <c r="L1329" s="99" t="n"/>
      <c r="M1329" s="99" t="n"/>
      <c r="N1329" s="100" t="n"/>
      <c r="O1329" s="98" t="n"/>
      <c r="P1329" s="99" t="n"/>
      <c r="Q1329" s="99" t="n"/>
      <c r="R1329" s="100" t="n"/>
      <c r="S1329" s="98" t="n"/>
      <c r="T1329" s="99" t="n"/>
      <c r="U1329" s="99" t="n"/>
      <c r="V1329" s="100" t="n"/>
      <c r="W1329" s="98" t="n"/>
      <c r="X1329" s="100" t="n"/>
      <c r="Y1329" s="98" t="n"/>
      <c r="Z1329" s="100" t="n"/>
      <c r="AB1329" s="101">
        <f>IF($B1329="","",(COUNTIF(C1308:E1325,$B1329)+COUNTIF(C1308:E1325,$B1329&amp;" ~*")&gt;0)+(COUNTIF(G1308:I1325,$B1329)+COUNTIF(G1308:I1325,$B1329&amp;" ~*")&gt;0)+(COUNTIF(K1308:M1325,$B1329)+COUNTIF(K1308:M1325,$B1329&amp;" ~*")&gt;0)+(COUNTIF(O1308:Q1325,$B1329)+COUNTIF(O1308:Q1325,$B1329&amp;" ~*")&gt;0)+(COUNTIF(S1308:U1325,$B1329)+COUNTIF(S1308:U1325,$B1329&amp;" ~*")&gt;0)+(COUNTIF(W1308:W1325,$B1329)+COUNTIF(W1308:W1325,$B1329&amp;" ~*")&gt;0)+(COUNTIF(Y1308:Y1325,$B1329)+COUNTIF(Y1308:Y1325,$B1329&amp;" ~*")&gt;0))</f>
        <v/>
      </c>
      <c r="AC1329" s="36">
        <f>IF($B1329="","",(IFERROR(INDEX(Setup!$G$33:$G$40,MATCH(C1329,Setup!$B$33:$B$40,0)),0)=1)*(COUNTIF(C1308:E1325,$B1329)+COUNTIF(C1308:E1325,$B1329&amp;" ~*")&gt;0)+(IFERROR(INDEX(Setup!$G$33:$G$40,MATCH(G1329,Setup!$B$33:$B$40,0)),0)=1)*(COUNTIF(G1308:I1325,$B1329)+COUNTIF(G1308:I1325,$B1329&amp;" ~*")&gt;0)+(IFERROR(INDEX(Setup!$G$33:$G$40,MATCH(K1329,Setup!$B$33:$B$40,0)),0)=1)*(COUNTIF(K1308:M1325,$B1329)+COUNTIF(K1308:M1325,$B1329&amp;" ~*")&gt;0)+(IFERROR(INDEX(Setup!$G$33:$G$40,MATCH(O1329,Setup!$B$33:$B$40,0)),0)=1)*(COUNTIF(O1308:Q1325,$B1329)+COUNTIF(O1308:Q1325,$B1329&amp;" ~*")&gt;0)+(IFERROR(INDEX(Setup!$G$33:$G$40,MATCH(S1329,Setup!$B$33:$B$40,0)),0)=1)*(COUNTIF(S1308:U1325,$B1329)+COUNTIF(S1308:U1325,$B1329&amp;" ~*")&gt;0)+(IFERROR(INDEX(Setup!$G$33:$G$40,MATCH(W1329,Setup!$B$33:$B$40,0)),0)=1)*(COUNTIF(W1308:W1325,$B1329)+COUNTIF(W1308:W1325,$B1329&amp;" ~*")&gt;0)+(IFERROR(INDEX(Setup!$G$33:$G$40,MATCH(Y1329,Setup!$B$33:$B$40,0)),0)=1)*(COUNTIF(Y1308:Y1325,$B1329)+COUNTIF(Y1308:Y1325,$B1329&amp;" ~*")&gt;0))</f>
        <v/>
      </c>
    </row>
    <row r="1330" ht="15" customHeight="1">
      <c r="A1330" t="n">
        <v>27</v>
      </c>
      <c r="B1330" s="37">
        <f>IF(Setup!$B$9="","",Setup!$B$9)</f>
        <v/>
      </c>
      <c r="C1330" s="102" t="n"/>
      <c r="D1330" s="103" t="n"/>
      <c r="E1330" s="103" t="n"/>
      <c r="F1330" s="104" t="n"/>
      <c r="G1330" s="102" t="n"/>
      <c r="H1330" s="103" t="n"/>
      <c r="I1330" s="103" t="n"/>
      <c r="J1330" s="104" t="n"/>
      <c r="K1330" s="102" t="n"/>
      <c r="L1330" s="103" t="n"/>
      <c r="M1330" s="103" t="n"/>
      <c r="N1330" s="104" t="n"/>
      <c r="O1330" s="102" t="n"/>
      <c r="P1330" s="103" t="n"/>
      <c r="Q1330" s="103" t="n"/>
      <c r="R1330" s="104" t="n"/>
      <c r="S1330" s="102" t="n"/>
      <c r="T1330" s="103" t="n"/>
      <c r="U1330" s="103" t="n"/>
      <c r="V1330" s="104" t="n"/>
      <c r="W1330" s="102" t="n"/>
      <c r="X1330" s="104" t="n"/>
      <c r="Y1330" s="102" t="n"/>
      <c r="Z1330" s="104" t="n"/>
      <c r="AB1330" s="105">
        <f>IF($B1330="","",(COUNTIF(C1308:E1325,$B1330)+COUNTIF(C1308:E1325,$B1330&amp;" ~*")&gt;0)+(COUNTIF(G1308:I1325,$B1330)+COUNTIF(G1308:I1325,$B1330&amp;" ~*")&gt;0)+(COUNTIF(K1308:M1325,$B1330)+COUNTIF(K1308:M1325,$B1330&amp;" ~*")&gt;0)+(COUNTIF(O1308:Q1325,$B1330)+COUNTIF(O1308:Q1325,$B1330&amp;" ~*")&gt;0)+(COUNTIF(S1308:U1325,$B1330)+COUNTIF(S1308:U1325,$B1330&amp;" ~*")&gt;0)+(COUNTIF(W1308:W1325,$B1330)+COUNTIF(W1308:W1325,$B1330&amp;" ~*")&gt;0)+(COUNTIF(Y1308:Y1325,$B1330)+COUNTIF(Y1308:Y1325,$B1330&amp;" ~*")&gt;0))</f>
        <v/>
      </c>
      <c r="AC1330" s="38">
        <f>IF($B1330="","",(IFERROR(INDEX(Setup!$G$33:$G$40,MATCH(C1330,Setup!$B$33:$B$40,0)),0)=1)*(COUNTIF(C1308:E1325,$B1330)+COUNTIF(C1308:E1325,$B1330&amp;" ~*")&gt;0)+(IFERROR(INDEX(Setup!$G$33:$G$40,MATCH(G1330,Setup!$B$33:$B$40,0)),0)=1)*(COUNTIF(G1308:I1325,$B1330)+COUNTIF(G1308:I1325,$B1330&amp;" ~*")&gt;0)+(IFERROR(INDEX(Setup!$G$33:$G$40,MATCH(K1330,Setup!$B$33:$B$40,0)),0)=1)*(COUNTIF(K1308:M1325,$B1330)+COUNTIF(K1308:M1325,$B1330&amp;" ~*")&gt;0)+(IFERROR(INDEX(Setup!$G$33:$G$40,MATCH(O1330,Setup!$B$33:$B$40,0)),0)=1)*(COUNTIF(O1308:Q1325,$B1330)+COUNTIF(O1308:Q1325,$B1330&amp;" ~*")&gt;0)+(IFERROR(INDEX(Setup!$G$33:$G$40,MATCH(S1330,Setup!$B$33:$B$40,0)),0)=1)*(COUNTIF(S1308:U1325,$B1330)+COUNTIF(S1308:U1325,$B1330&amp;" ~*")&gt;0)+(IFERROR(INDEX(Setup!$G$33:$G$40,MATCH(W1330,Setup!$B$33:$B$40,0)),0)=1)*(COUNTIF(W1308:W1325,$B1330)+COUNTIF(W1308:W1325,$B1330&amp;" ~*")&gt;0)+(IFERROR(INDEX(Setup!$G$33:$G$40,MATCH(Y1330,Setup!$B$33:$B$40,0)),0)=1)*(COUNTIF(Y1308:Y1325,$B1330)+COUNTIF(Y1308:Y1325,$B1330&amp;" ~*")&gt;0))</f>
        <v/>
      </c>
    </row>
    <row r="1331" ht="15" customHeight="1">
      <c r="A1331" t="n">
        <v>27</v>
      </c>
      <c r="B1331" s="35">
        <f>IF(Setup!$B$10="","",Setup!$B$10)</f>
        <v/>
      </c>
      <c r="C1331" s="98" t="n"/>
      <c r="D1331" s="99" t="n"/>
      <c r="E1331" s="99" t="n"/>
      <c r="F1331" s="100" t="n"/>
      <c r="G1331" s="98" t="n"/>
      <c r="H1331" s="99" t="n"/>
      <c r="I1331" s="99" t="n"/>
      <c r="J1331" s="100" t="n"/>
      <c r="K1331" s="98" t="n"/>
      <c r="L1331" s="99" t="n"/>
      <c r="M1331" s="99" t="n"/>
      <c r="N1331" s="100" t="n"/>
      <c r="O1331" s="98" t="n"/>
      <c r="P1331" s="99" t="n"/>
      <c r="Q1331" s="99" t="n"/>
      <c r="R1331" s="100" t="n"/>
      <c r="S1331" s="98" t="n"/>
      <c r="T1331" s="99" t="n"/>
      <c r="U1331" s="99" t="n"/>
      <c r="V1331" s="100" t="n"/>
      <c r="W1331" s="98" t="n"/>
      <c r="X1331" s="100" t="n"/>
      <c r="Y1331" s="98" t="n"/>
      <c r="Z1331" s="100" t="n"/>
      <c r="AB1331" s="101">
        <f>IF($B1331="","",(COUNTIF(C1308:E1325,$B1331)+COUNTIF(C1308:E1325,$B1331&amp;" ~*")&gt;0)+(COUNTIF(G1308:I1325,$B1331)+COUNTIF(G1308:I1325,$B1331&amp;" ~*")&gt;0)+(COUNTIF(K1308:M1325,$B1331)+COUNTIF(K1308:M1325,$B1331&amp;" ~*")&gt;0)+(COUNTIF(O1308:Q1325,$B1331)+COUNTIF(O1308:Q1325,$B1331&amp;" ~*")&gt;0)+(COUNTIF(S1308:U1325,$B1331)+COUNTIF(S1308:U1325,$B1331&amp;" ~*")&gt;0)+(COUNTIF(W1308:W1325,$B1331)+COUNTIF(W1308:W1325,$B1331&amp;" ~*")&gt;0)+(COUNTIF(Y1308:Y1325,$B1331)+COUNTIF(Y1308:Y1325,$B1331&amp;" ~*")&gt;0))</f>
        <v/>
      </c>
      <c r="AC1331" s="36">
        <f>IF($B1331="","",(IFERROR(INDEX(Setup!$G$33:$G$40,MATCH(C1331,Setup!$B$33:$B$40,0)),0)=1)*(COUNTIF(C1308:E1325,$B1331)+COUNTIF(C1308:E1325,$B1331&amp;" ~*")&gt;0)+(IFERROR(INDEX(Setup!$G$33:$G$40,MATCH(G1331,Setup!$B$33:$B$40,0)),0)=1)*(COUNTIF(G1308:I1325,$B1331)+COUNTIF(G1308:I1325,$B1331&amp;" ~*")&gt;0)+(IFERROR(INDEX(Setup!$G$33:$G$40,MATCH(K1331,Setup!$B$33:$B$40,0)),0)=1)*(COUNTIF(K1308:M1325,$B1331)+COUNTIF(K1308:M1325,$B1331&amp;" ~*")&gt;0)+(IFERROR(INDEX(Setup!$G$33:$G$40,MATCH(O1331,Setup!$B$33:$B$40,0)),0)=1)*(COUNTIF(O1308:Q1325,$B1331)+COUNTIF(O1308:Q1325,$B1331&amp;" ~*")&gt;0)+(IFERROR(INDEX(Setup!$G$33:$G$40,MATCH(S1331,Setup!$B$33:$B$40,0)),0)=1)*(COUNTIF(S1308:U1325,$B1331)+COUNTIF(S1308:U1325,$B1331&amp;" ~*")&gt;0)+(IFERROR(INDEX(Setup!$G$33:$G$40,MATCH(W1331,Setup!$B$33:$B$40,0)),0)=1)*(COUNTIF(W1308:W1325,$B1331)+COUNTIF(W1308:W1325,$B1331&amp;" ~*")&gt;0)+(IFERROR(INDEX(Setup!$G$33:$G$40,MATCH(Y1331,Setup!$B$33:$B$40,0)),0)=1)*(COUNTIF(Y1308:Y1325,$B1331)+COUNTIF(Y1308:Y1325,$B1331&amp;" ~*")&gt;0))</f>
        <v/>
      </c>
    </row>
    <row r="1332" ht="15" customHeight="1">
      <c r="A1332" t="n">
        <v>27</v>
      </c>
      <c r="B1332" s="37">
        <f>IF(Setup!$B$11="","",Setup!$B$11)</f>
        <v/>
      </c>
      <c r="C1332" s="102" t="n"/>
      <c r="D1332" s="103" t="n"/>
      <c r="E1332" s="103" t="n"/>
      <c r="F1332" s="104" t="n"/>
      <c r="G1332" s="102" t="n"/>
      <c r="H1332" s="103" t="n"/>
      <c r="I1332" s="103" t="n"/>
      <c r="J1332" s="104" t="n"/>
      <c r="K1332" s="102" t="n"/>
      <c r="L1332" s="103" t="n"/>
      <c r="M1332" s="103" t="n"/>
      <c r="N1332" s="104" t="n"/>
      <c r="O1332" s="102" t="n"/>
      <c r="P1332" s="103" t="n"/>
      <c r="Q1332" s="103" t="n"/>
      <c r="R1332" s="104" t="n"/>
      <c r="S1332" s="102" t="n"/>
      <c r="T1332" s="103" t="n"/>
      <c r="U1332" s="103" t="n"/>
      <c r="V1332" s="104" t="n"/>
      <c r="W1332" s="102" t="n"/>
      <c r="X1332" s="104" t="n"/>
      <c r="Y1332" s="102" t="n"/>
      <c r="Z1332" s="104" t="n"/>
      <c r="AB1332" s="105">
        <f>IF($B1332="","",(COUNTIF(C1308:E1325,$B1332)+COUNTIF(C1308:E1325,$B1332&amp;" ~*")&gt;0)+(COUNTIF(G1308:I1325,$B1332)+COUNTIF(G1308:I1325,$B1332&amp;" ~*")&gt;0)+(COUNTIF(K1308:M1325,$B1332)+COUNTIF(K1308:M1325,$B1332&amp;" ~*")&gt;0)+(COUNTIF(O1308:Q1325,$B1332)+COUNTIF(O1308:Q1325,$B1332&amp;" ~*")&gt;0)+(COUNTIF(S1308:U1325,$B1332)+COUNTIF(S1308:U1325,$B1332&amp;" ~*")&gt;0)+(COUNTIF(W1308:W1325,$B1332)+COUNTIF(W1308:W1325,$B1332&amp;" ~*")&gt;0)+(COUNTIF(Y1308:Y1325,$B1332)+COUNTIF(Y1308:Y1325,$B1332&amp;" ~*")&gt;0))</f>
        <v/>
      </c>
      <c r="AC1332" s="38">
        <f>IF($B1332="","",(IFERROR(INDEX(Setup!$G$33:$G$40,MATCH(C1332,Setup!$B$33:$B$40,0)),0)=1)*(COUNTIF(C1308:E1325,$B1332)+COUNTIF(C1308:E1325,$B1332&amp;" ~*")&gt;0)+(IFERROR(INDEX(Setup!$G$33:$G$40,MATCH(G1332,Setup!$B$33:$B$40,0)),0)=1)*(COUNTIF(G1308:I1325,$B1332)+COUNTIF(G1308:I1325,$B1332&amp;" ~*")&gt;0)+(IFERROR(INDEX(Setup!$G$33:$G$40,MATCH(K1332,Setup!$B$33:$B$40,0)),0)=1)*(COUNTIF(K1308:M1325,$B1332)+COUNTIF(K1308:M1325,$B1332&amp;" ~*")&gt;0)+(IFERROR(INDEX(Setup!$G$33:$G$40,MATCH(O1332,Setup!$B$33:$B$40,0)),0)=1)*(COUNTIF(O1308:Q1325,$B1332)+COUNTIF(O1308:Q1325,$B1332&amp;" ~*")&gt;0)+(IFERROR(INDEX(Setup!$G$33:$G$40,MATCH(S1332,Setup!$B$33:$B$40,0)),0)=1)*(COUNTIF(S1308:U1325,$B1332)+COUNTIF(S1308:U1325,$B1332&amp;" ~*")&gt;0)+(IFERROR(INDEX(Setup!$G$33:$G$40,MATCH(W1332,Setup!$B$33:$B$40,0)),0)=1)*(COUNTIF(W1308:W1325,$B1332)+COUNTIF(W1308:W1325,$B1332&amp;" ~*")&gt;0)+(IFERROR(INDEX(Setup!$G$33:$G$40,MATCH(Y1332,Setup!$B$33:$B$40,0)),0)=1)*(COUNTIF(Y1308:Y1325,$B1332)+COUNTIF(Y1308:Y1325,$B1332&amp;" ~*")&gt;0))</f>
        <v/>
      </c>
    </row>
    <row r="1333" ht="15" customHeight="1">
      <c r="A1333" t="n">
        <v>27</v>
      </c>
      <c r="B1333" s="35">
        <f>IF(Setup!$B$12="","",Setup!$B$12)</f>
        <v/>
      </c>
      <c r="C1333" s="98" t="n"/>
      <c r="D1333" s="99" t="n"/>
      <c r="E1333" s="99" t="n"/>
      <c r="F1333" s="100" t="n"/>
      <c r="G1333" s="98" t="n"/>
      <c r="H1333" s="99" t="n"/>
      <c r="I1333" s="99" t="n"/>
      <c r="J1333" s="100" t="n"/>
      <c r="K1333" s="98" t="n"/>
      <c r="L1333" s="99" t="n"/>
      <c r="M1333" s="99" t="n"/>
      <c r="N1333" s="100" t="n"/>
      <c r="O1333" s="98" t="n"/>
      <c r="P1333" s="99" t="n"/>
      <c r="Q1333" s="99" t="n"/>
      <c r="R1333" s="100" t="n"/>
      <c r="S1333" s="98" t="n"/>
      <c r="T1333" s="99" t="n"/>
      <c r="U1333" s="99" t="n"/>
      <c r="V1333" s="100" t="n"/>
      <c r="W1333" s="98" t="n"/>
      <c r="X1333" s="100" t="n"/>
      <c r="Y1333" s="98" t="n"/>
      <c r="Z1333" s="100" t="n"/>
      <c r="AB1333" s="101">
        <f>IF($B1333="","",(COUNTIF(C1308:E1325,$B1333)+COUNTIF(C1308:E1325,$B1333&amp;" ~*")&gt;0)+(COUNTIF(G1308:I1325,$B1333)+COUNTIF(G1308:I1325,$B1333&amp;" ~*")&gt;0)+(COUNTIF(K1308:M1325,$B1333)+COUNTIF(K1308:M1325,$B1333&amp;" ~*")&gt;0)+(COUNTIF(O1308:Q1325,$B1333)+COUNTIF(O1308:Q1325,$B1333&amp;" ~*")&gt;0)+(COUNTIF(S1308:U1325,$B1333)+COUNTIF(S1308:U1325,$B1333&amp;" ~*")&gt;0)+(COUNTIF(W1308:W1325,$B1333)+COUNTIF(W1308:W1325,$B1333&amp;" ~*")&gt;0)+(COUNTIF(Y1308:Y1325,$B1333)+COUNTIF(Y1308:Y1325,$B1333&amp;" ~*")&gt;0))</f>
        <v/>
      </c>
      <c r="AC1333" s="36">
        <f>IF($B1333="","",(IFERROR(INDEX(Setup!$G$33:$G$40,MATCH(C1333,Setup!$B$33:$B$40,0)),0)=1)*(COUNTIF(C1308:E1325,$B1333)+COUNTIF(C1308:E1325,$B1333&amp;" ~*")&gt;0)+(IFERROR(INDEX(Setup!$G$33:$G$40,MATCH(G1333,Setup!$B$33:$B$40,0)),0)=1)*(COUNTIF(G1308:I1325,$B1333)+COUNTIF(G1308:I1325,$B1333&amp;" ~*")&gt;0)+(IFERROR(INDEX(Setup!$G$33:$G$40,MATCH(K1333,Setup!$B$33:$B$40,0)),0)=1)*(COUNTIF(K1308:M1325,$B1333)+COUNTIF(K1308:M1325,$B1333&amp;" ~*")&gt;0)+(IFERROR(INDEX(Setup!$G$33:$G$40,MATCH(O1333,Setup!$B$33:$B$40,0)),0)=1)*(COUNTIF(O1308:Q1325,$B1333)+COUNTIF(O1308:Q1325,$B1333&amp;" ~*")&gt;0)+(IFERROR(INDEX(Setup!$G$33:$G$40,MATCH(S1333,Setup!$B$33:$B$40,0)),0)=1)*(COUNTIF(S1308:U1325,$B1333)+COUNTIF(S1308:U1325,$B1333&amp;" ~*")&gt;0)+(IFERROR(INDEX(Setup!$G$33:$G$40,MATCH(W1333,Setup!$B$33:$B$40,0)),0)=1)*(COUNTIF(W1308:W1325,$B1333)+COUNTIF(W1308:W1325,$B1333&amp;" ~*")&gt;0)+(IFERROR(INDEX(Setup!$G$33:$G$40,MATCH(Y1333,Setup!$B$33:$B$40,0)),0)=1)*(COUNTIF(Y1308:Y1325,$B1333)+COUNTIF(Y1308:Y1325,$B1333&amp;" ~*")&gt;0))</f>
        <v/>
      </c>
    </row>
    <row r="1334" ht="15" customHeight="1">
      <c r="A1334" t="n">
        <v>27</v>
      </c>
      <c r="B1334" s="37">
        <f>IF(Setup!$B$13="","",Setup!$B$13)</f>
        <v/>
      </c>
      <c r="C1334" s="102" t="n"/>
      <c r="D1334" s="103" t="n"/>
      <c r="E1334" s="103" t="n"/>
      <c r="F1334" s="104" t="n"/>
      <c r="G1334" s="102" t="n"/>
      <c r="H1334" s="103" t="n"/>
      <c r="I1334" s="103" t="n"/>
      <c r="J1334" s="104" t="n"/>
      <c r="K1334" s="102" t="n"/>
      <c r="L1334" s="103" t="n"/>
      <c r="M1334" s="103" t="n"/>
      <c r="N1334" s="104" t="n"/>
      <c r="O1334" s="102" t="n"/>
      <c r="P1334" s="103" t="n"/>
      <c r="Q1334" s="103" t="n"/>
      <c r="R1334" s="104" t="n"/>
      <c r="S1334" s="102" t="n"/>
      <c r="T1334" s="103" t="n"/>
      <c r="U1334" s="103" t="n"/>
      <c r="V1334" s="104" t="n"/>
      <c r="W1334" s="102" t="n"/>
      <c r="X1334" s="104" t="n"/>
      <c r="Y1334" s="102" t="n"/>
      <c r="Z1334" s="104" t="n"/>
      <c r="AB1334" s="105">
        <f>IF($B1334="","",(COUNTIF(C1308:E1325,$B1334)+COUNTIF(C1308:E1325,$B1334&amp;" ~*")&gt;0)+(COUNTIF(G1308:I1325,$B1334)+COUNTIF(G1308:I1325,$B1334&amp;" ~*")&gt;0)+(COUNTIF(K1308:M1325,$B1334)+COUNTIF(K1308:M1325,$B1334&amp;" ~*")&gt;0)+(COUNTIF(O1308:Q1325,$B1334)+COUNTIF(O1308:Q1325,$B1334&amp;" ~*")&gt;0)+(COUNTIF(S1308:U1325,$B1334)+COUNTIF(S1308:U1325,$B1334&amp;" ~*")&gt;0)+(COUNTIF(W1308:W1325,$B1334)+COUNTIF(W1308:W1325,$B1334&amp;" ~*")&gt;0)+(COUNTIF(Y1308:Y1325,$B1334)+COUNTIF(Y1308:Y1325,$B1334&amp;" ~*")&gt;0))</f>
        <v/>
      </c>
      <c r="AC1334" s="38">
        <f>IF($B1334="","",(IFERROR(INDEX(Setup!$G$33:$G$40,MATCH(C1334,Setup!$B$33:$B$40,0)),0)=1)*(COUNTIF(C1308:E1325,$B1334)+COUNTIF(C1308:E1325,$B1334&amp;" ~*")&gt;0)+(IFERROR(INDEX(Setup!$G$33:$G$40,MATCH(G1334,Setup!$B$33:$B$40,0)),0)=1)*(COUNTIF(G1308:I1325,$B1334)+COUNTIF(G1308:I1325,$B1334&amp;" ~*")&gt;0)+(IFERROR(INDEX(Setup!$G$33:$G$40,MATCH(K1334,Setup!$B$33:$B$40,0)),0)=1)*(COUNTIF(K1308:M1325,$B1334)+COUNTIF(K1308:M1325,$B1334&amp;" ~*")&gt;0)+(IFERROR(INDEX(Setup!$G$33:$G$40,MATCH(O1334,Setup!$B$33:$B$40,0)),0)=1)*(COUNTIF(O1308:Q1325,$B1334)+COUNTIF(O1308:Q1325,$B1334&amp;" ~*")&gt;0)+(IFERROR(INDEX(Setup!$G$33:$G$40,MATCH(S1334,Setup!$B$33:$B$40,0)),0)=1)*(COUNTIF(S1308:U1325,$B1334)+COUNTIF(S1308:U1325,$B1334&amp;" ~*")&gt;0)+(IFERROR(INDEX(Setup!$G$33:$G$40,MATCH(W1334,Setup!$B$33:$B$40,0)),0)=1)*(COUNTIF(W1308:W1325,$B1334)+COUNTIF(W1308:W1325,$B1334&amp;" ~*")&gt;0)+(IFERROR(INDEX(Setup!$G$33:$G$40,MATCH(Y1334,Setup!$B$33:$B$40,0)),0)=1)*(COUNTIF(Y1308:Y1325,$B1334)+COUNTIF(Y1308:Y1325,$B1334&amp;" ~*")&gt;0))</f>
        <v/>
      </c>
    </row>
    <row r="1335" ht="15" customHeight="1">
      <c r="A1335" t="n">
        <v>27</v>
      </c>
      <c r="B1335" s="35">
        <f>IF(Setup!$B$14="","",Setup!$B$14)</f>
        <v/>
      </c>
      <c r="C1335" s="98" t="inlineStr">
        <is>
          <t>AL</t>
        </is>
      </c>
      <c r="D1335" s="99" t="n"/>
      <c r="E1335" s="99" t="n"/>
      <c r="F1335" s="100" t="n"/>
      <c r="G1335" s="98" t="n"/>
      <c r="H1335" s="99" t="n"/>
      <c r="I1335" s="99" t="n"/>
      <c r="J1335" s="100" t="n"/>
      <c r="K1335" s="98" t="n"/>
      <c r="L1335" s="99" t="n"/>
      <c r="M1335" s="99" t="n"/>
      <c r="N1335" s="100" t="n"/>
      <c r="O1335" s="98" t="n"/>
      <c r="P1335" s="99" t="n"/>
      <c r="Q1335" s="99" t="n"/>
      <c r="R1335" s="100" t="n"/>
      <c r="S1335" s="98" t="n"/>
      <c r="T1335" s="99" t="n"/>
      <c r="U1335" s="99" t="n"/>
      <c r="V1335" s="100" t="n"/>
      <c r="W1335" s="98" t="n"/>
      <c r="X1335" s="100" t="n"/>
      <c r="Y1335" s="98" t="n"/>
      <c r="Z1335" s="100" t="n"/>
      <c r="AB1335" s="101">
        <f>IF($B1335="","",(COUNTIF(C1308:E1325,$B1335)+COUNTIF(C1308:E1325,$B1335&amp;" ~*")&gt;0)+(COUNTIF(G1308:I1325,$B1335)+COUNTIF(G1308:I1325,$B1335&amp;" ~*")&gt;0)+(COUNTIF(K1308:M1325,$B1335)+COUNTIF(K1308:M1325,$B1335&amp;" ~*")&gt;0)+(COUNTIF(O1308:Q1325,$B1335)+COUNTIF(O1308:Q1325,$B1335&amp;" ~*")&gt;0)+(COUNTIF(S1308:U1325,$B1335)+COUNTIF(S1308:U1325,$B1335&amp;" ~*")&gt;0)+(COUNTIF(W1308:W1325,$B1335)+COUNTIF(W1308:W1325,$B1335&amp;" ~*")&gt;0)+(COUNTIF(Y1308:Y1325,$B1335)+COUNTIF(Y1308:Y1325,$B1335&amp;" ~*")&gt;0))</f>
        <v/>
      </c>
      <c r="AC1335" s="36">
        <f>IF($B1335="","",(IFERROR(INDEX(Setup!$G$33:$G$40,MATCH(C1335,Setup!$B$33:$B$40,0)),0)=1)*(COUNTIF(C1308:E1325,$B1335)+COUNTIF(C1308:E1325,$B1335&amp;" ~*")&gt;0)+(IFERROR(INDEX(Setup!$G$33:$G$40,MATCH(G1335,Setup!$B$33:$B$40,0)),0)=1)*(COUNTIF(G1308:I1325,$B1335)+COUNTIF(G1308:I1325,$B1335&amp;" ~*")&gt;0)+(IFERROR(INDEX(Setup!$G$33:$G$40,MATCH(K1335,Setup!$B$33:$B$40,0)),0)=1)*(COUNTIF(K1308:M1325,$B1335)+COUNTIF(K1308:M1325,$B1335&amp;" ~*")&gt;0)+(IFERROR(INDEX(Setup!$G$33:$G$40,MATCH(O1335,Setup!$B$33:$B$40,0)),0)=1)*(COUNTIF(O1308:Q1325,$B1335)+COUNTIF(O1308:Q1325,$B1335&amp;" ~*")&gt;0)+(IFERROR(INDEX(Setup!$G$33:$G$40,MATCH(S1335,Setup!$B$33:$B$40,0)),0)=1)*(COUNTIF(S1308:U1325,$B1335)+COUNTIF(S1308:U1325,$B1335&amp;" ~*")&gt;0)+(IFERROR(INDEX(Setup!$G$33:$G$40,MATCH(W1335,Setup!$B$33:$B$40,0)),0)=1)*(COUNTIF(W1308:W1325,$B1335)+COUNTIF(W1308:W1325,$B1335&amp;" ~*")&gt;0)+(IFERROR(INDEX(Setup!$G$33:$G$40,MATCH(Y1335,Setup!$B$33:$B$40,0)),0)=1)*(COUNTIF(Y1308:Y1325,$B1335)+COUNTIF(Y1308:Y1325,$B1335&amp;" ~*")&gt;0))</f>
        <v/>
      </c>
    </row>
    <row r="1336" ht="15" customHeight="1">
      <c r="A1336" t="n">
        <v>27</v>
      </c>
      <c r="B1336" s="37">
        <f>IF(Setup!$B$15="","",Setup!$B$15)</f>
        <v/>
      </c>
      <c r="C1336" s="102" t="n"/>
      <c r="D1336" s="103" t="n"/>
      <c r="E1336" s="103" t="n"/>
      <c r="F1336" s="104" t="n"/>
      <c r="G1336" s="102" t="n"/>
      <c r="H1336" s="103" t="n"/>
      <c r="I1336" s="103" t="n"/>
      <c r="J1336" s="104" t="n"/>
      <c r="K1336" s="102" t="n"/>
      <c r="L1336" s="103" t="n"/>
      <c r="M1336" s="103" t="n"/>
      <c r="N1336" s="104" t="n"/>
      <c r="O1336" s="102" t="n"/>
      <c r="P1336" s="103" t="n"/>
      <c r="Q1336" s="103" t="n"/>
      <c r="R1336" s="104" t="n"/>
      <c r="S1336" s="102" t="n"/>
      <c r="T1336" s="103" t="n"/>
      <c r="U1336" s="103" t="n"/>
      <c r="V1336" s="104" t="n"/>
      <c r="W1336" s="102" t="n"/>
      <c r="X1336" s="104" t="n"/>
      <c r="Y1336" s="102" t="n"/>
      <c r="Z1336" s="104" t="n"/>
      <c r="AB1336" s="105">
        <f>IF($B1336="","",(COUNTIF(C1308:E1325,$B1336)+COUNTIF(C1308:E1325,$B1336&amp;" ~*")&gt;0)+(COUNTIF(G1308:I1325,$B1336)+COUNTIF(G1308:I1325,$B1336&amp;" ~*")&gt;0)+(COUNTIF(K1308:M1325,$B1336)+COUNTIF(K1308:M1325,$B1336&amp;" ~*")&gt;0)+(COUNTIF(O1308:Q1325,$B1336)+COUNTIF(O1308:Q1325,$B1336&amp;" ~*")&gt;0)+(COUNTIF(S1308:U1325,$B1336)+COUNTIF(S1308:U1325,$B1336&amp;" ~*")&gt;0)+(COUNTIF(W1308:W1325,$B1336)+COUNTIF(W1308:W1325,$B1336&amp;" ~*")&gt;0)+(COUNTIF(Y1308:Y1325,$B1336)+COUNTIF(Y1308:Y1325,$B1336&amp;" ~*")&gt;0))</f>
        <v/>
      </c>
      <c r="AC1336" s="38">
        <f>IF($B1336="","",(IFERROR(INDEX(Setup!$G$33:$G$40,MATCH(C1336,Setup!$B$33:$B$40,0)),0)=1)*(COUNTIF(C1308:E1325,$B1336)+COUNTIF(C1308:E1325,$B1336&amp;" ~*")&gt;0)+(IFERROR(INDEX(Setup!$G$33:$G$40,MATCH(G1336,Setup!$B$33:$B$40,0)),0)=1)*(COUNTIF(G1308:I1325,$B1336)+COUNTIF(G1308:I1325,$B1336&amp;" ~*")&gt;0)+(IFERROR(INDEX(Setup!$G$33:$G$40,MATCH(K1336,Setup!$B$33:$B$40,0)),0)=1)*(COUNTIF(K1308:M1325,$B1336)+COUNTIF(K1308:M1325,$B1336&amp;" ~*")&gt;0)+(IFERROR(INDEX(Setup!$G$33:$G$40,MATCH(O1336,Setup!$B$33:$B$40,0)),0)=1)*(COUNTIF(O1308:Q1325,$B1336)+COUNTIF(O1308:Q1325,$B1336&amp;" ~*")&gt;0)+(IFERROR(INDEX(Setup!$G$33:$G$40,MATCH(S1336,Setup!$B$33:$B$40,0)),0)=1)*(COUNTIF(S1308:U1325,$B1336)+COUNTIF(S1308:U1325,$B1336&amp;" ~*")&gt;0)+(IFERROR(INDEX(Setup!$G$33:$G$40,MATCH(W1336,Setup!$B$33:$B$40,0)),0)=1)*(COUNTIF(W1308:W1325,$B1336)+COUNTIF(W1308:W1325,$B1336&amp;" ~*")&gt;0)+(IFERROR(INDEX(Setup!$G$33:$G$40,MATCH(Y1336,Setup!$B$33:$B$40,0)),0)=1)*(COUNTIF(Y1308:Y1325,$B1336)+COUNTIF(Y1308:Y1325,$B1336&amp;" ~*")&gt;0))</f>
        <v/>
      </c>
    </row>
    <row r="1337" ht="15" customHeight="1">
      <c r="A1337" t="n">
        <v>27</v>
      </c>
      <c r="B1337" s="35">
        <f>IF(Setup!$B$16="","",Setup!$B$16)</f>
        <v/>
      </c>
      <c r="C1337" s="98" t="n"/>
      <c r="D1337" s="99" t="n"/>
      <c r="E1337" s="99" t="n"/>
      <c r="F1337" s="100" t="n"/>
      <c r="G1337" s="98" t="n"/>
      <c r="H1337" s="99" t="n"/>
      <c r="I1337" s="99" t="n"/>
      <c r="J1337" s="100" t="n"/>
      <c r="K1337" s="98" t="n"/>
      <c r="L1337" s="99" t="n"/>
      <c r="M1337" s="99" t="n"/>
      <c r="N1337" s="100" t="n"/>
      <c r="O1337" s="98" t="n"/>
      <c r="P1337" s="99" t="n"/>
      <c r="Q1337" s="99" t="n"/>
      <c r="R1337" s="100" t="n"/>
      <c r="S1337" s="98" t="n"/>
      <c r="T1337" s="99" t="n"/>
      <c r="U1337" s="99" t="n"/>
      <c r="V1337" s="100" t="n"/>
      <c r="W1337" s="98" t="n"/>
      <c r="X1337" s="100" t="n"/>
      <c r="Y1337" s="98" t="n"/>
      <c r="Z1337" s="100" t="n"/>
      <c r="AB1337" s="101">
        <f>IF($B1337="","",(COUNTIF(C1308:E1325,$B1337)+COUNTIF(C1308:E1325,$B1337&amp;" ~*")&gt;0)+(COUNTIF(G1308:I1325,$B1337)+COUNTIF(G1308:I1325,$B1337&amp;" ~*")&gt;0)+(COUNTIF(K1308:M1325,$B1337)+COUNTIF(K1308:M1325,$B1337&amp;" ~*")&gt;0)+(COUNTIF(O1308:Q1325,$B1337)+COUNTIF(O1308:Q1325,$B1337&amp;" ~*")&gt;0)+(COUNTIF(S1308:U1325,$B1337)+COUNTIF(S1308:U1325,$B1337&amp;" ~*")&gt;0)+(COUNTIF(W1308:W1325,$B1337)+COUNTIF(W1308:W1325,$B1337&amp;" ~*")&gt;0)+(COUNTIF(Y1308:Y1325,$B1337)+COUNTIF(Y1308:Y1325,$B1337&amp;" ~*")&gt;0))</f>
        <v/>
      </c>
      <c r="AC1337" s="36">
        <f>IF($B1337="","",(IFERROR(INDEX(Setup!$G$33:$G$40,MATCH(C1337,Setup!$B$33:$B$40,0)),0)=1)*(COUNTIF(C1308:E1325,$B1337)+COUNTIF(C1308:E1325,$B1337&amp;" ~*")&gt;0)+(IFERROR(INDEX(Setup!$G$33:$G$40,MATCH(G1337,Setup!$B$33:$B$40,0)),0)=1)*(COUNTIF(G1308:I1325,$B1337)+COUNTIF(G1308:I1325,$B1337&amp;" ~*")&gt;0)+(IFERROR(INDEX(Setup!$G$33:$G$40,MATCH(K1337,Setup!$B$33:$B$40,0)),0)=1)*(COUNTIF(K1308:M1325,$B1337)+COUNTIF(K1308:M1325,$B1337&amp;" ~*")&gt;0)+(IFERROR(INDEX(Setup!$G$33:$G$40,MATCH(O1337,Setup!$B$33:$B$40,0)),0)=1)*(COUNTIF(O1308:Q1325,$B1337)+COUNTIF(O1308:Q1325,$B1337&amp;" ~*")&gt;0)+(IFERROR(INDEX(Setup!$G$33:$G$40,MATCH(S1337,Setup!$B$33:$B$40,0)),0)=1)*(COUNTIF(S1308:U1325,$B1337)+COUNTIF(S1308:U1325,$B1337&amp;" ~*")&gt;0)+(IFERROR(INDEX(Setup!$G$33:$G$40,MATCH(W1337,Setup!$B$33:$B$40,0)),0)=1)*(COUNTIF(W1308:W1325,$B1337)+COUNTIF(W1308:W1325,$B1337&amp;" ~*")&gt;0)+(IFERROR(INDEX(Setup!$G$33:$G$40,MATCH(Y1337,Setup!$B$33:$B$40,0)),0)=1)*(COUNTIF(Y1308:Y1325,$B1337)+COUNTIF(Y1308:Y1325,$B1337&amp;" ~*")&gt;0))</f>
        <v/>
      </c>
    </row>
    <row r="1338" ht="15" customHeight="1">
      <c r="A1338" t="n">
        <v>27</v>
      </c>
      <c r="B1338" s="37">
        <f>IF(Setup!$B$17="","",Setup!$B$17)</f>
        <v/>
      </c>
      <c r="C1338" s="102" t="n"/>
      <c r="D1338" s="103" t="n"/>
      <c r="E1338" s="103" t="n"/>
      <c r="F1338" s="104" t="n"/>
      <c r="G1338" s="102" t="n"/>
      <c r="H1338" s="103" t="n"/>
      <c r="I1338" s="103" t="n"/>
      <c r="J1338" s="104" t="n"/>
      <c r="K1338" s="102" t="n"/>
      <c r="L1338" s="103" t="n"/>
      <c r="M1338" s="103" t="n"/>
      <c r="N1338" s="104" t="n"/>
      <c r="O1338" s="102" t="n"/>
      <c r="P1338" s="103" t="n"/>
      <c r="Q1338" s="103" t="n"/>
      <c r="R1338" s="104" t="n"/>
      <c r="S1338" s="102" t="n"/>
      <c r="T1338" s="103" t="n"/>
      <c r="U1338" s="103" t="n"/>
      <c r="V1338" s="104" t="n"/>
      <c r="W1338" s="102" t="n"/>
      <c r="X1338" s="104" t="n"/>
      <c r="Y1338" s="102" t="n"/>
      <c r="Z1338" s="104" t="n"/>
      <c r="AB1338" s="105">
        <f>IF($B1338="","",(COUNTIF(C1308:E1325,$B1338)+COUNTIF(C1308:E1325,$B1338&amp;" ~*")&gt;0)+(COUNTIF(G1308:I1325,$B1338)+COUNTIF(G1308:I1325,$B1338&amp;" ~*")&gt;0)+(COUNTIF(K1308:M1325,$B1338)+COUNTIF(K1308:M1325,$B1338&amp;" ~*")&gt;0)+(COUNTIF(O1308:Q1325,$B1338)+COUNTIF(O1308:Q1325,$B1338&amp;" ~*")&gt;0)+(COUNTIF(S1308:U1325,$B1338)+COUNTIF(S1308:U1325,$B1338&amp;" ~*")&gt;0)+(COUNTIF(W1308:W1325,$B1338)+COUNTIF(W1308:W1325,$B1338&amp;" ~*")&gt;0)+(COUNTIF(Y1308:Y1325,$B1338)+COUNTIF(Y1308:Y1325,$B1338&amp;" ~*")&gt;0))</f>
        <v/>
      </c>
      <c r="AC1338" s="38">
        <f>IF($B1338="","",(IFERROR(INDEX(Setup!$G$33:$G$40,MATCH(C1338,Setup!$B$33:$B$40,0)),0)=1)*(COUNTIF(C1308:E1325,$B1338)+COUNTIF(C1308:E1325,$B1338&amp;" ~*")&gt;0)+(IFERROR(INDEX(Setup!$G$33:$G$40,MATCH(G1338,Setup!$B$33:$B$40,0)),0)=1)*(COUNTIF(G1308:I1325,$B1338)+COUNTIF(G1308:I1325,$B1338&amp;" ~*")&gt;0)+(IFERROR(INDEX(Setup!$G$33:$G$40,MATCH(K1338,Setup!$B$33:$B$40,0)),0)=1)*(COUNTIF(K1308:M1325,$B1338)+COUNTIF(K1308:M1325,$B1338&amp;" ~*")&gt;0)+(IFERROR(INDEX(Setup!$G$33:$G$40,MATCH(O1338,Setup!$B$33:$B$40,0)),0)=1)*(COUNTIF(O1308:Q1325,$B1338)+COUNTIF(O1308:Q1325,$B1338&amp;" ~*")&gt;0)+(IFERROR(INDEX(Setup!$G$33:$G$40,MATCH(S1338,Setup!$B$33:$B$40,0)),0)=1)*(COUNTIF(S1308:U1325,$B1338)+COUNTIF(S1308:U1325,$B1338&amp;" ~*")&gt;0)+(IFERROR(INDEX(Setup!$G$33:$G$40,MATCH(W1338,Setup!$B$33:$B$40,0)),0)=1)*(COUNTIF(W1308:W1325,$B1338)+COUNTIF(W1308:W1325,$B1338&amp;" ~*")&gt;0)+(IFERROR(INDEX(Setup!$G$33:$G$40,MATCH(Y1338,Setup!$B$33:$B$40,0)),0)=1)*(COUNTIF(Y1308:Y1325,$B1338)+COUNTIF(Y1308:Y1325,$B1338&amp;" ~*")&gt;0))</f>
        <v/>
      </c>
    </row>
    <row r="1339" ht="15" customHeight="1">
      <c r="A1339" t="n">
        <v>27</v>
      </c>
      <c r="B1339" s="35">
        <f>IF(Setup!$B$18="","",Setup!$B$18)</f>
        <v/>
      </c>
      <c r="C1339" s="98" t="n"/>
      <c r="D1339" s="99" t="n"/>
      <c r="E1339" s="99" t="n"/>
      <c r="F1339" s="100" t="n"/>
      <c r="G1339" s="98" t="n"/>
      <c r="H1339" s="99" t="n"/>
      <c r="I1339" s="99" t="n"/>
      <c r="J1339" s="100" t="n"/>
      <c r="K1339" s="98" t="n"/>
      <c r="L1339" s="99" t="n"/>
      <c r="M1339" s="99" t="n"/>
      <c r="N1339" s="100" t="n"/>
      <c r="O1339" s="98" t="n"/>
      <c r="P1339" s="99" t="n"/>
      <c r="Q1339" s="99" t="n"/>
      <c r="R1339" s="100" t="n"/>
      <c r="S1339" s="98" t="n"/>
      <c r="T1339" s="99" t="n"/>
      <c r="U1339" s="99" t="n"/>
      <c r="V1339" s="100" t="n"/>
      <c r="W1339" s="98" t="n"/>
      <c r="X1339" s="100" t="n"/>
      <c r="Y1339" s="98" t="n"/>
      <c r="Z1339" s="100" t="n"/>
      <c r="AB1339" s="101">
        <f>IF($B1339="","",(COUNTIF(C1308:E1325,$B1339)+COUNTIF(C1308:E1325,$B1339&amp;" ~*")&gt;0)+(COUNTIF(G1308:I1325,$B1339)+COUNTIF(G1308:I1325,$B1339&amp;" ~*")&gt;0)+(COUNTIF(K1308:M1325,$B1339)+COUNTIF(K1308:M1325,$B1339&amp;" ~*")&gt;0)+(COUNTIF(O1308:Q1325,$B1339)+COUNTIF(O1308:Q1325,$B1339&amp;" ~*")&gt;0)+(COUNTIF(S1308:U1325,$B1339)+COUNTIF(S1308:U1325,$B1339&amp;" ~*")&gt;0)+(COUNTIF(W1308:W1325,$B1339)+COUNTIF(W1308:W1325,$B1339&amp;" ~*")&gt;0)+(COUNTIF(Y1308:Y1325,$B1339)+COUNTIF(Y1308:Y1325,$B1339&amp;" ~*")&gt;0))</f>
        <v/>
      </c>
      <c r="AC1339" s="36">
        <f>IF($B1339="","",(IFERROR(INDEX(Setup!$G$33:$G$40,MATCH(C1339,Setup!$B$33:$B$40,0)),0)=1)*(COUNTIF(C1308:E1325,$B1339)+COUNTIF(C1308:E1325,$B1339&amp;" ~*")&gt;0)+(IFERROR(INDEX(Setup!$G$33:$G$40,MATCH(G1339,Setup!$B$33:$B$40,0)),0)=1)*(COUNTIF(G1308:I1325,$B1339)+COUNTIF(G1308:I1325,$B1339&amp;" ~*")&gt;0)+(IFERROR(INDEX(Setup!$G$33:$G$40,MATCH(K1339,Setup!$B$33:$B$40,0)),0)=1)*(COUNTIF(K1308:M1325,$B1339)+COUNTIF(K1308:M1325,$B1339&amp;" ~*")&gt;0)+(IFERROR(INDEX(Setup!$G$33:$G$40,MATCH(O1339,Setup!$B$33:$B$40,0)),0)=1)*(COUNTIF(O1308:Q1325,$B1339)+COUNTIF(O1308:Q1325,$B1339&amp;" ~*")&gt;0)+(IFERROR(INDEX(Setup!$G$33:$G$40,MATCH(S1339,Setup!$B$33:$B$40,0)),0)=1)*(COUNTIF(S1308:U1325,$B1339)+COUNTIF(S1308:U1325,$B1339&amp;" ~*")&gt;0)+(IFERROR(INDEX(Setup!$G$33:$G$40,MATCH(W1339,Setup!$B$33:$B$40,0)),0)=1)*(COUNTIF(W1308:W1325,$B1339)+COUNTIF(W1308:W1325,$B1339&amp;" ~*")&gt;0)+(IFERROR(INDEX(Setup!$G$33:$G$40,MATCH(Y1339,Setup!$B$33:$B$40,0)),0)=1)*(COUNTIF(Y1308:Y1325,$B1339)+COUNTIF(Y1308:Y1325,$B1339&amp;" ~*")&gt;0))</f>
        <v/>
      </c>
    </row>
    <row r="1340" ht="15" customHeight="1">
      <c r="A1340" t="n">
        <v>27</v>
      </c>
      <c r="B1340" s="37">
        <f>IF(Setup!$B$19="","",Setup!$B$19)</f>
        <v/>
      </c>
      <c r="C1340" s="102" t="n"/>
      <c r="D1340" s="103" t="n"/>
      <c r="E1340" s="103" t="n"/>
      <c r="F1340" s="104" t="n"/>
      <c r="G1340" s="102" t="n"/>
      <c r="H1340" s="103" t="n"/>
      <c r="I1340" s="103" t="n"/>
      <c r="J1340" s="104" t="n"/>
      <c r="K1340" s="102" t="n"/>
      <c r="L1340" s="103" t="n"/>
      <c r="M1340" s="103" t="n"/>
      <c r="N1340" s="104" t="n"/>
      <c r="O1340" s="102" t="n"/>
      <c r="P1340" s="103" t="n"/>
      <c r="Q1340" s="103" t="n"/>
      <c r="R1340" s="104" t="n"/>
      <c r="S1340" s="102" t="n"/>
      <c r="T1340" s="103" t="n"/>
      <c r="U1340" s="103" t="n"/>
      <c r="V1340" s="104" t="n"/>
      <c r="W1340" s="102" t="n"/>
      <c r="X1340" s="104" t="n"/>
      <c r="Y1340" s="102" t="n"/>
      <c r="Z1340" s="104" t="n"/>
      <c r="AB1340" s="105">
        <f>IF($B1340="","",(COUNTIF(C1308:E1325,$B1340)+COUNTIF(C1308:E1325,$B1340&amp;" ~*")&gt;0)+(COUNTIF(G1308:I1325,$B1340)+COUNTIF(G1308:I1325,$B1340&amp;" ~*")&gt;0)+(COUNTIF(K1308:M1325,$B1340)+COUNTIF(K1308:M1325,$B1340&amp;" ~*")&gt;0)+(COUNTIF(O1308:Q1325,$B1340)+COUNTIF(O1308:Q1325,$B1340&amp;" ~*")&gt;0)+(COUNTIF(S1308:U1325,$B1340)+COUNTIF(S1308:U1325,$B1340&amp;" ~*")&gt;0)+(COUNTIF(W1308:W1325,$B1340)+COUNTIF(W1308:W1325,$B1340&amp;" ~*")&gt;0)+(COUNTIF(Y1308:Y1325,$B1340)+COUNTIF(Y1308:Y1325,$B1340&amp;" ~*")&gt;0))</f>
        <v/>
      </c>
      <c r="AC1340" s="38">
        <f>IF($B1340="","",(IFERROR(INDEX(Setup!$G$33:$G$40,MATCH(C1340,Setup!$B$33:$B$40,0)),0)=1)*(COUNTIF(C1308:E1325,$B1340)+COUNTIF(C1308:E1325,$B1340&amp;" ~*")&gt;0)+(IFERROR(INDEX(Setup!$G$33:$G$40,MATCH(G1340,Setup!$B$33:$B$40,0)),0)=1)*(COUNTIF(G1308:I1325,$B1340)+COUNTIF(G1308:I1325,$B1340&amp;" ~*")&gt;0)+(IFERROR(INDEX(Setup!$G$33:$G$40,MATCH(K1340,Setup!$B$33:$B$40,0)),0)=1)*(COUNTIF(K1308:M1325,$B1340)+COUNTIF(K1308:M1325,$B1340&amp;" ~*")&gt;0)+(IFERROR(INDEX(Setup!$G$33:$G$40,MATCH(O1340,Setup!$B$33:$B$40,0)),0)=1)*(COUNTIF(O1308:Q1325,$B1340)+COUNTIF(O1308:Q1325,$B1340&amp;" ~*")&gt;0)+(IFERROR(INDEX(Setup!$G$33:$G$40,MATCH(S1340,Setup!$B$33:$B$40,0)),0)=1)*(COUNTIF(S1308:U1325,$B1340)+COUNTIF(S1308:U1325,$B1340&amp;" ~*")&gt;0)+(IFERROR(INDEX(Setup!$G$33:$G$40,MATCH(W1340,Setup!$B$33:$B$40,0)),0)=1)*(COUNTIF(W1308:W1325,$B1340)+COUNTIF(W1308:W1325,$B1340&amp;" ~*")&gt;0)+(IFERROR(INDEX(Setup!$G$33:$G$40,MATCH(Y1340,Setup!$B$33:$B$40,0)),0)=1)*(COUNTIF(Y1308:Y1325,$B1340)+COUNTIF(Y1308:Y1325,$B1340&amp;" ~*")&gt;0))</f>
        <v/>
      </c>
    </row>
    <row r="1341" ht="15" customHeight="1">
      <c r="A1341" t="n">
        <v>27</v>
      </c>
      <c r="B1341" s="35">
        <f>IF(Setup!$B$20="","",Setup!$B$20)</f>
        <v/>
      </c>
      <c r="C1341" s="98" t="n"/>
      <c r="D1341" s="99" t="n"/>
      <c r="E1341" s="99" t="n"/>
      <c r="F1341" s="100" t="n"/>
      <c r="G1341" s="98" t="n"/>
      <c r="H1341" s="99" t="n"/>
      <c r="I1341" s="99" t="n"/>
      <c r="J1341" s="100" t="n"/>
      <c r="K1341" s="98" t="n"/>
      <c r="L1341" s="99" t="n"/>
      <c r="M1341" s="99" t="n"/>
      <c r="N1341" s="100" t="n"/>
      <c r="O1341" s="98" t="n"/>
      <c r="P1341" s="99" t="n"/>
      <c r="Q1341" s="99" t="n"/>
      <c r="R1341" s="100" t="n"/>
      <c r="S1341" s="98" t="n"/>
      <c r="T1341" s="99" t="n"/>
      <c r="U1341" s="99" t="n"/>
      <c r="V1341" s="100" t="n"/>
      <c r="W1341" s="98" t="n"/>
      <c r="X1341" s="100" t="n"/>
      <c r="Y1341" s="98" t="n"/>
      <c r="Z1341" s="100" t="n"/>
      <c r="AB1341" s="101">
        <f>IF($B1341="","",(COUNTIF(C1308:E1325,$B1341)+COUNTIF(C1308:E1325,$B1341&amp;" ~*")&gt;0)+(COUNTIF(G1308:I1325,$B1341)+COUNTIF(G1308:I1325,$B1341&amp;" ~*")&gt;0)+(COUNTIF(K1308:M1325,$B1341)+COUNTIF(K1308:M1325,$B1341&amp;" ~*")&gt;0)+(COUNTIF(O1308:Q1325,$B1341)+COUNTIF(O1308:Q1325,$B1341&amp;" ~*")&gt;0)+(COUNTIF(S1308:U1325,$B1341)+COUNTIF(S1308:U1325,$B1341&amp;" ~*")&gt;0)+(COUNTIF(W1308:W1325,$B1341)+COUNTIF(W1308:W1325,$B1341&amp;" ~*")&gt;0)+(COUNTIF(Y1308:Y1325,$B1341)+COUNTIF(Y1308:Y1325,$B1341&amp;" ~*")&gt;0))</f>
        <v/>
      </c>
      <c r="AC1341" s="36">
        <f>IF($B1341="","",(IFERROR(INDEX(Setup!$G$33:$G$40,MATCH(C1341,Setup!$B$33:$B$40,0)),0)=1)*(COUNTIF(C1308:E1325,$B1341)+COUNTIF(C1308:E1325,$B1341&amp;" ~*")&gt;0)+(IFERROR(INDEX(Setup!$G$33:$G$40,MATCH(G1341,Setup!$B$33:$B$40,0)),0)=1)*(COUNTIF(G1308:I1325,$B1341)+COUNTIF(G1308:I1325,$B1341&amp;" ~*")&gt;0)+(IFERROR(INDEX(Setup!$G$33:$G$40,MATCH(K1341,Setup!$B$33:$B$40,0)),0)=1)*(COUNTIF(K1308:M1325,$B1341)+COUNTIF(K1308:M1325,$B1341&amp;" ~*")&gt;0)+(IFERROR(INDEX(Setup!$G$33:$G$40,MATCH(O1341,Setup!$B$33:$B$40,0)),0)=1)*(COUNTIF(O1308:Q1325,$B1341)+COUNTIF(O1308:Q1325,$B1341&amp;" ~*")&gt;0)+(IFERROR(INDEX(Setup!$G$33:$G$40,MATCH(S1341,Setup!$B$33:$B$40,0)),0)=1)*(COUNTIF(S1308:U1325,$B1341)+COUNTIF(S1308:U1325,$B1341&amp;" ~*")&gt;0)+(IFERROR(INDEX(Setup!$G$33:$G$40,MATCH(W1341,Setup!$B$33:$B$40,0)),0)=1)*(COUNTIF(W1308:W1325,$B1341)+COUNTIF(W1308:W1325,$B1341&amp;" ~*")&gt;0)+(IFERROR(INDEX(Setup!$G$33:$G$40,MATCH(Y1341,Setup!$B$33:$B$40,0)),0)=1)*(COUNTIF(Y1308:Y1325,$B1341)+COUNTIF(Y1308:Y1325,$B1341&amp;" ~*")&gt;0))</f>
        <v/>
      </c>
    </row>
    <row r="1342" ht="15" customHeight="1">
      <c r="A1342" t="n">
        <v>27</v>
      </c>
      <c r="B1342" s="37">
        <f>IF(Setup!$B$21="","",Setup!$B$21)</f>
        <v/>
      </c>
      <c r="C1342" s="102" t="n"/>
      <c r="D1342" s="103" t="n"/>
      <c r="E1342" s="103" t="n"/>
      <c r="F1342" s="104" t="n"/>
      <c r="G1342" s="102" t="n"/>
      <c r="H1342" s="103" t="n"/>
      <c r="I1342" s="103" t="n"/>
      <c r="J1342" s="104" t="n"/>
      <c r="K1342" s="102" t="n"/>
      <c r="L1342" s="103" t="n"/>
      <c r="M1342" s="103" t="n"/>
      <c r="N1342" s="104" t="n"/>
      <c r="O1342" s="102" t="n"/>
      <c r="P1342" s="103" t="n"/>
      <c r="Q1342" s="103" t="n"/>
      <c r="R1342" s="104" t="n"/>
      <c r="S1342" s="102" t="n"/>
      <c r="T1342" s="103" t="n"/>
      <c r="U1342" s="103" t="n"/>
      <c r="V1342" s="104" t="n"/>
      <c r="W1342" s="102" t="n"/>
      <c r="X1342" s="104" t="n"/>
      <c r="Y1342" s="102" t="n"/>
      <c r="Z1342" s="104" t="n"/>
      <c r="AB1342" s="105">
        <f>IF($B1342="","",(COUNTIF(C1308:E1325,$B1342)+COUNTIF(C1308:E1325,$B1342&amp;" ~*")&gt;0)+(COUNTIF(G1308:I1325,$B1342)+COUNTIF(G1308:I1325,$B1342&amp;" ~*")&gt;0)+(COUNTIF(K1308:M1325,$B1342)+COUNTIF(K1308:M1325,$B1342&amp;" ~*")&gt;0)+(COUNTIF(O1308:Q1325,$B1342)+COUNTIF(O1308:Q1325,$B1342&amp;" ~*")&gt;0)+(COUNTIF(S1308:U1325,$B1342)+COUNTIF(S1308:U1325,$B1342&amp;" ~*")&gt;0)+(COUNTIF(W1308:W1325,$B1342)+COUNTIF(W1308:W1325,$B1342&amp;" ~*")&gt;0)+(COUNTIF(Y1308:Y1325,$B1342)+COUNTIF(Y1308:Y1325,$B1342&amp;" ~*")&gt;0))</f>
        <v/>
      </c>
      <c r="AC1342" s="38">
        <f>IF($B1342="","",(IFERROR(INDEX(Setup!$G$33:$G$40,MATCH(C1342,Setup!$B$33:$B$40,0)),0)=1)*(COUNTIF(C1308:E1325,$B1342)+COUNTIF(C1308:E1325,$B1342&amp;" ~*")&gt;0)+(IFERROR(INDEX(Setup!$G$33:$G$40,MATCH(G1342,Setup!$B$33:$B$40,0)),0)=1)*(COUNTIF(G1308:I1325,$B1342)+COUNTIF(G1308:I1325,$B1342&amp;" ~*")&gt;0)+(IFERROR(INDEX(Setup!$G$33:$G$40,MATCH(K1342,Setup!$B$33:$B$40,0)),0)=1)*(COUNTIF(K1308:M1325,$B1342)+COUNTIF(K1308:M1325,$B1342&amp;" ~*")&gt;0)+(IFERROR(INDEX(Setup!$G$33:$G$40,MATCH(O1342,Setup!$B$33:$B$40,0)),0)=1)*(COUNTIF(O1308:Q1325,$B1342)+COUNTIF(O1308:Q1325,$B1342&amp;" ~*")&gt;0)+(IFERROR(INDEX(Setup!$G$33:$G$40,MATCH(S1342,Setup!$B$33:$B$40,0)),0)=1)*(COUNTIF(S1308:U1325,$B1342)+COUNTIF(S1308:U1325,$B1342&amp;" ~*")&gt;0)+(IFERROR(INDEX(Setup!$G$33:$G$40,MATCH(W1342,Setup!$B$33:$B$40,0)),0)=1)*(COUNTIF(W1308:W1325,$B1342)+COUNTIF(W1308:W1325,$B1342&amp;" ~*")&gt;0)+(IFERROR(INDEX(Setup!$G$33:$G$40,MATCH(Y1342,Setup!$B$33:$B$40,0)),0)=1)*(COUNTIF(Y1308:Y1325,$B1342)+COUNTIF(Y1308:Y1325,$B1342&amp;" ~*")&gt;0))</f>
        <v/>
      </c>
    </row>
    <row r="1343" ht="15" customHeight="1">
      <c r="A1343" t="n">
        <v>27</v>
      </c>
      <c r="B1343" s="35">
        <f>IF(Setup!$B$22="","",Setup!$B$22)</f>
        <v/>
      </c>
      <c r="C1343" s="98" t="n"/>
      <c r="D1343" s="99" t="n"/>
      <c r="E1343" s="99" t="n"/>
      <c r="F1343" s="100" t="n"/>
      <c r="G1343" s="98" t="n"/>
      <c r="H1343" s="99" t="n"/>
      <c r="I1343" s="99" t="n"/>
      <c r="J1343" s="100" t="n"/>
      <c r="K1343" s="98" t="n"/>
      <c r="L1343" s="99" t="n"/>
      <c r="M1343" s="99" t="n"/>
      <c r="N1343" s="100" t="n"/>
      <c r="O1343" s="98" t="n"/>
      <c r="P1343" s="99" t="n"/>
      <c r="Q1343" s="99" t="n"/>
      <c r="R1343" s="100" t="n"/>
      <c r="S1343" s="98" t="n"/>
      <c r="T1343" s="99" t="n"/>
      <c r="U1343" s="99" t="n"/>
      <c r="V1343" s="100" t="n"/>
      <c r="W1343" s="98" t="n"/>
      <c r="X1343" s="100" t="n"/>
      <c r="Y1343" s="98" t="n"/>
      <c r="Z1343" s="100" t="n"/>
      <c r="AB1343" s="101">
        <f>IF($B1343="","",(COUNTIF(C1308:E1325,$B1343)+COUNTIF(C1308:E1325,$B1343&amp;" ~*")&gt;0)+(COUNTIF(G1308:I1325,$B1343)+COUNTIF(G1308:I1325,$B1343&amp;" ~*")&gt;0)+(COUNTIF(K1308:M1325,$B1343)+COUNTIF(K1308:M1325,$B1343&amp;" ~*")&gt;0)+(COUNTIF(O1308:Q1325,$B1343)+COUNTIF(O1308:Q1325,$B1343&amp;" ~*")&gt;0)+(COUNTIF(S1308:U1325,$B1343)+COUNTIF(S1308:U1325,$B1343&amp;" ~*")&gt;0)+(COUNTIF(W1308:W1325,$B1343)+COUNTIF(W1308:W1325,$B1343&amp;" ~*")&gt;0)+(COUNTIF(Y1308:Y1325,$B1343)+COUNTIF(Y1308:Y1325,$B1343&amp;" ~*")&gt;0))</f>
        <v/>
      </c>
      <c r="AC1343" s="36">
        <f>IF($B1343="","",(IFERROR(INDEX(Setup!$G$33:$G$40,MATCH(C1343,Setup!$B$33:$B$40,0)),0)=1)*(COUNTIF(C1308:E1325,$B1343)+COUNTIF(C1308:E1325,$B1343&amp;" ~*")&gt;0)+(IFERROR(INDEX(Setup!$G$33:$G$40,MATCH(G1343,Setup!$B$33:$B$40,0)),0)=1)*(COUNTIF(G1308:I1325,$B1343)+COUNTIF(G1308:I1325,$B1343&amp;" ~*")&gt;0)+(IFERROR(INDEX(Setup!$G$33:$G$40,MATCH(K1343,Setup!$B$33:$B$40,0)),0)=1)*(COUNTIF(K1308:M1325,$B1343)+COUNTIF(K1308:M1325,$B1343&amp;" ~*")&gt;0)+(IFERROR(INDEX(Setup!$G$33:$G$40,MATCH(O1343,Setup!$B$33:$B$40,0)),0)=1)*(COUNTIF(O1308:Q1325,$B1343)+COUNTIF(O1308:Q1325,$B1343&amp;" ~*")&gt;0)+(IFERROR(INDEX(Setup!$G$33:$G$40,MATCH(S1343,Setup!$B$33:$B$40,0)),0)=1)*(COUNTIF(S1308:U1325,$B1343)+COUNTIF(S1308:U1325,$B1343&amp;" ~*")&gt;0)+(IFERROR(INDEX(Setup!$G$33:$G$40,MATCH(W1343,Setup!$B$33:$B$40,0)),0)=1)*(COUNTIF(W1308:W1325,$B1343)+COUNTIF(W1308:W1325,$B1343&amp;" ~*")&gt;0)+(IFERROR(INDEX(Setup!$G$33:$G$40,MATCH(Y1343,Setup!$B$33:$B$40,0)),0)=1)*(COUNTIF(Y1308:Y1325,$B1343)+COUNTIF(Y1308:Y1325,$B1343&amp;" ~*")&gt;0))</f>
        <v/>
      </c>
    </row>
    <row r="1344" ht="15" customHeight="1">
      <c r="A1344" t="n">
        <v>27</v>
      </c>
      <c r="B1344" s="37">
        <f>IF(Setup!$B$23="","",Setup!$B$23)</f>
        <v/>
      </c>
      <c r="C1344" s="102" t="n"/>
      <c r="D1344" s="103" t="n"/>
      <c r="E1344" s="103" t="n"/>
      <c r="F1344" s="104" t="n"/>
      <c r="G1344" s="102" t="n"/>
      <c r="H1344" s="103" t="n"/>
      <c r="I1344" s="103" t="n"/>
      <c r="J1344" s="104" t="n"/>
      <c r="K1344" s="102" t="n"/>
      <c r="L1344" s="103" t="n"/>
      <c r="M1344" s="103" t="n"/>
      <c r="N1344" s="104" t="n"/>
      <c r="O1344" s="102" t="n"/>
      <c r="P1344" s="103" t="n"/>
      <c r="Q1344" s="103" t="n"/>
      <c r="R1344" s="104" t="n"/>
      <c r="S1344" s="102" t="n"/>
      <c r="T1344" s="103" t="n"/>
      <c r="U1344" s="103" t="n"/>
      <c r="V1344" s="104" t="n"/>
      <c r="W1344" s="102" t="n"/>
      <c r="X1344" s="104" t="n"/>
      <c r="Y1344" s="102" t="n"/>
      <c r="Z1344" s="104" t="n"/>
      <c r="AB1344" s="105">
        <f>IF($B1344="","",(COUNTIF(C1308:E1325,$B1344)+COUNTIF(C1308:E1325,$B1344&amp;" ~*")&gt;0)+(COUNTIF(G1308:I1325,$B1344)+COUNTIF(G1308:I1325,$B1344&amp;" ~*")&gt;0)+(COUNTIF(K1308:M1325,$B1344)+COUNTIF(K1308:M1325,$B1344&amp;" ~*")&gt;0)+(COUNTIF(O1308:Q1325,$B1344)+COUNTIF(O1308:Q1325,$B1344&amp;" ~*")&gt;0)+(COUNTIF(S1308:U1325,$B1344)+COUNTIF(S1308:U1325,$B1344&amp;" ~*")&gt;0)+(COUNTIF(W1308:W1325,$B1344)+COUNTIF(W1308:W1325,$B1344&amp;" ~*")&gt;0)+(COUNTIF(Y1308:Y1325,$B1344)+COUNTIF(Y1308:Y1325,$B1344&amp;" ~*")&gt;0))</f>
        <v/>
      </c>
      <c r="AC1344" s="38">
        <f>IF($B1344="","",(IFERROR(INDEX(Setup!$G$33:$G$40,MATCH(C1344,Setup!$B$33:$B$40,0)),0)=1)*(COUNTIF(C1308:E1325,$B1344)+COUNTIF(C1308:E1325,$B1344&amp;" ~*")&gt;0)+(IFERROR(INDEX(Setup!$G$33:$G$40,MATCH(G1344,Setup!$B$33:$B$40,0)),0)=1)*(COUNTIF(G1308:I1325,$B1344)+COUNTIF(G1308:I1325,$B1344&amp;" ~*")&gt;0)+(IFERROR(INDEX(Setup!$G$33:$G$40,MATCH(K1344,Setup!$B$33:$B$40,0)),0)=1)*(COUNTIF(K1308:M1325,$B1344)+COUNTIF(K1308:M1325,$B1344&amp;" ~*")&gt;0)+(IFERROR(INDEX(Setup!$G$33:$G$40,MATCH(O1344,Setup!$B$33:$B$40,0)),0)=1)*(COUNTIF(O1308:Q1325,$B1344)+COUNTIF(O1308:Q1325,$B1344&amp;" ~*")&gt;0)+(IFERROR(INDEX(Setup!$G$33:$G$40,MATCH(S1344,Setup!$B$33:$B$40,0)),0)=1)*(COUNTIF(S1308:U1325,$B1344)+COUNTIF(S1308:U1325,$B1344&amp;" ~*")&gt;0)+(IFERROR(INDEX(Setup!$G$33:$G$40,MATCH(W1344,Setup!$B$33:$B$40,0)),0)=1)*(COUNTIF(W1308:W1325,$B1344)+COUNTIF(W1308:W1325,$B1344&amp;" ~*")&gt;0)+(IFERROR(INDEX(Setup!$G$33:$G$40,MATCH(Y1344,Setup!$B$33:$B$40,0)),0)=1)*(COUNTIF(Y1308:Y1325,$B1344)+COUNTIF(Y1308:Y1325,$B1344&amp;" ~*")&gt;0))</f>
        <v/>
      </c>
    </row>
    <row r="1345" ht="15" customHeight="1">
      <c r="A1345" t="n">
        <v>27</v>
      </c>
      <c r="B1345" s="35">
        <f>IF(Setup!$B$24="","",Setup!$B$24)</f>
        <v/>
      </c>
      <c r="C1345" s="98" t="n"/>
      <c r="D1345" s="99" t="n"/>
      <c r="E1345" s="99" t="n"/>
      <c r="F1345" s="100" t="n"/>
      <c r="G1345" s="98" t="n"/>
      <c r="H1345" s="99" t="n"/>
      <c r="I1345" s="99" t="n"/>
      <c r="J1345" s="100" t="n"/>
      <c r="K1345" s="98" t="n"/>
      <c r="L1345" s="99" t="n"/>
      <c r="M1345" s="99" t="n"/>
      <c r="N1345" s="100" t="n"/>
      <c r="O1345" s="98" t="n"/>
      <c r="P1345" s="99" t="n"/>
      <c r="Q1345" s="99" t="n"/>
      <c r="R1345" s="100" t="n"/>
      <c r="S1345" s="98" t="n"/>
      <c r="T1345" s="99" t="n"/>
      <c r="U1345" s="99" t="n"/>
      <c r="V1345" s="100" t="n"/>
      <c r="W1345" s="98" t="n"/>
      <c r="X1345" s="100" t="n"/>
      <c r="Y1345" s="98" t="n"/>
      <c r="Z1345" s="100" t="n"/>
      <c r="AB1345" s="101">
        <f>IF($B1345="","",(COUNTIF(C1308:E1325,$B1345)+COUNTIF(C1308:E1325,$B1345&amp;" ~*")&gt;0)+(COUNTIF(G1308:I1325,$B1345)+COUNTIF(G1308:I1325,$B1345&amp;" ~*")&gt;0)+(COUNTIF(K1308:M1325,$B1345)+COUNTIF(K1308:M1325,$B1345&amp;" ~*")&gt;0)+(COUNTIF(O1308:Q1325,$B1345)+COUNTIF(O1308:Q1325,$B1345&amp;" ~*")&gt;0)+(COUNTIF(S1308:U1325,$B1345)+COUNTIF(S1308:U1325,$B1345&amp;" ~*")&gt;0)+(COUNTIF(W1308:W1325,$B1345)+COUNTIF(W1308:W1325,$B1345&amp;" ~*")&gt;0)+(COUNTIF(Y1308:Y1325,$B1345)+COUNTIF(Y1308:Y1325,$B1345&amp;" ~*")&gt;0))</f>
        <v/>
      </c>
      <c r="AC1345" s="36">
        <f>IF($B1345="","",(IFERROR(INDEX(Setup!$G$33:$G$40,MATCH(C1345,Setup!$B$33:$B$40,0)),0)=1)*(COUNTIF(C1308:E1325,$B1345)+COUNTIF(C1308:E1325,$B1345&amp;" ~*")&gt;0)+(IFERROR(INDEX(Setup!$G$33:$G$40,MATCH(G1345,Setup!$B$33:$B$40,0)),0)=1)*(COUNTIF(G1308:I1325,$B1345)+COUNTIF(G1308:I1325,$B1345&amp;" ~*")&gt;0)+(IFERROR(INDEX(Setup!$G$33:$G$40,MATCH(K1345,Setup!$B$33:$B$40,0)),0)=1)*(COUNTIF(K1308:M1325,$B1345)+COUNTIF(K1308:M1325,$B1345&amp;" ~*")&gt;0)+(IFERROR(INDEX(Setup!$G$33:$G$40,MATCH(O1345,Setup!$B$33:$B$40,0)),0)=1)*(COUNTIF(O1308:Q1325,$B1345)+COUNTIF(O1308:Q1325,$B1345&amp;" ~*")&gt;0)+(IFERROR(INDEX(Setup!$G$33:$G$40,MATCH(S1345,Setup!$B$33:$B$40,0)),0)=1)*(COUNTIF(S1308:U1325,$B1345)+COUNTIF(S1308:U1325,$B1345&amp;" ~*")&gt;0)+(IFERROR(INDEX(Setup!$G$33:$G$40,MATCH(W1345,Setup!$B$33:$B$40,0)),0)=1)*(COUNTIF(W1308:W1325,$B1345)+COUNTIF(W1308:W1325,$B1345&amp;" ~*")&gt;0)+(IFERROR(INDEX(Setup!$G$33:$G$40,MATCH(Y1345,Setup!$B$33:$B$40,0)),0)=1)*(COUNTIF(Y1308:Y1325,$B1345)+COUNTIF(Y1308:Y1325,$B1345&amp;" ~*")&gt;0))</f>
        <v/>
      </c>
    </row>
    <row r="1346" ht="15" customHeight="1">
      <c r="A1346" t="n">
        <v>27</v>
      </c>
      <c r="B1346" s="37">
        <f>IF(Setup!$B$25="","",Setup!$B$25)</f>
        <v/>
      </c>
      <c r="C1346" s="102" t="n"/>
      <c r="D1346" s="103" t="n"/>
      <c r="E1346" s="103" t="n"/>
      <c r="F1346" s="104" t="n"/>
      <c r="G1346" s="102" t="n"/>
      <c r="H1346" s="103" t="n"/>
      <c r="I1346" s="103" t="n"/>
      <c r="J1346" s="104" t="n"/>
      <c r="K1346" s="102" t="n"/>
      <c r="L1346" s="103" t="n"/>
      <c r="M1346" s="103" t="n"/>
      <c r="N1346" s="104" t="n"/>
      <c r="O1346" s="102" t="n"/>
      <c r="P1346" s="103" t="n"/>
      <c r="Q1346" s="103" t="n"/>
      <c r="R1346" s="104" t="n"/>
      <c r="S1346" s="102" t="n"/>
      <c r="T1346" s="103" t="n"/>
      <c r="U1346" s="103" t="n"/>
      <c r="V1346" s="104" t="n"/>
      <c r="W1346" s="102" t="n"/>
      <c r="X1346" s="104" t="n"/>
      <c r="Y1346" s="102" t="n"/>
      <c r="Z1346" s="104" t="n"/>
      <c r="AB1346" s="105">
        <f>IF($B1346="","",(COUNTIF(C1308:E1325,$B1346)+COUNTIF(C1308:E1325,$B1346&amp;" ~*")&gt;0)+(COUNTIF(G1308:I1325,$B1346)+COUNTIF(G1308:I1325,$B1346&amp;" ~*")&gt;0)+(COUNTIF(K1308:M1325,$B1346)+COUNTIF(K1308:M1325,$B1346&amp;" ~*")&gt;0)+(COUNTIF(O1308:Q1325,$B1346)+COUNTIF(O1308:Q1325,$B1346&amp;" ~*")&gt;0)+(COUNTIF(S1308:U1325,$B1346)+COUNTIF(S1308:U1325,$B1346&amp;" ~*")&gt;0)+(COUNTIF(W1308:W1325,$B1346)+COUNTIF(W1308:W1325,$B1346&amp;" ~*")&gt;0)+(COUNTIF(Y1308:Y1325,$B1346)+COUNTIF(Y1308:Y1325,$B1346&amp;" ~*")&gt;0))</f>
        <v/>
      </c>
      <c r="AC1346" s="38">
        <f>IF($B1346="","",(IFERROR(INDEX(Setup!$G$33:$G$40,MATCH(C1346,Setup!$B$33:$B$40,0)),0)=1)*(COUNTIF(C1308:E1325,$B1346)+COUNTIF(C1308:E1325,$B1346&amp;" ~*")&gt;0)+(IFERROR(INDEX(Setup!$G$33:$G$40,MATCH(G1346,Setup!$B$33:$B$40,0)),0)=1)*(COUNTIF(G1308:I1325,$B1346)+COUNTIF(G1308:I1325,$B1346&amp;" ~*")&gt;0)+(IFERROR(INDEX(Setup!$G$33:$G$40,MATCH(K1346,Setup!$B$33:$B$40,0)),0)=1)*(COUNTIF(K1308:M1325,$B1346)+COUNTIF(K1308:M1325,$B1346&amp;" ~*")&gt;0)+(IFERROR(INDEX(Setup!$G$33:$G$40,MATCH(O1346,Setup!$B$33:$B$40,0)),0)=1)*(COUNTIF(O1308:Q1325,$B1346)+COUNTIF(O1308:Q1325,$B1346&amp;" ~*")&gt;0)+(IFERROR(INDEX(Setup!$G$33:$G$40,MATCH(S1346,Setup!$B$33:$B$40,0)),0)=1)*(COUNTIF(S1308:U1325,$B1346)+COUNTIF(S1308:U1325,$B1346&amp;" ~*")&gt;0)+(IFERROR(INDEX(Setup!$G$33:$G$40,MATCH(W1346,Setup!$B$33:$B$40,0)),0)=1)*(COUNTIF(W1308:W1325,$B1346)+COUNTIF(W1308:W1325,$B1346&amp;" ~*")&gt;0)+(IFERROR(INDEX(Setup!$G$33:$G$40,MATCH(Y1346,Setup!$B$33:$B$40,0)),0)=1)*(COUNTIF(Y1308:Y1325,$B1346)+COUNTIF(Y1308:Y1325,$B1346&amp;" ~*")&gt;0))</f>
        <v/>
      </c>
    </row>
    <row r="1347" ht="15" customHeight="1">
      <c r="A1347" t="n">
        <v>27</v>
      </c>
      <c r="B1347" s="35">
        <f>IF(Setup!$B$26="","",Setup!$B$26)</f>
        <v/>
      </c>
      <c r="C1347" s="98" t="n"/>
      <c r="D1347" s="99" t="n"/>
      <c r="E1347" s="99" t="n"/>
      <c r="F1347" s="100" t="n"/>
      <c r="G1347" s="98" t="n"/>
      <c r="H1347" s="99" t="n"/>
      <c r="I1347" s="99" t="n"/>
      <c r="J1347" s="100" t="n"/>
      <c r="K1347" s="98" t="n"/>
      <c r="L1347" s="99" t="n"/>
      <c r="M1347" s="99" t="n"/>
      <c r="N1347" s="100" t="n"/>
      <c r="O1347" s="98" t="n"/>
      <c r="P1347" s="99" t="n"/>
      <c r="Q1347" s="99" t="n"/>
      <c r="R1347" s="100" t="n"/>
      <c r="S1347" s="98" t="n"/>
      <c r="T1347" s="99" t="n"/>
      <c r="U1347" s="99" t="n"/>
      <c r="V1347" s="100" t="n"/>
      <c r="W1347" s="98" t="n"/>
      <c r="X1347" s="100" t="n"/>
      <c r="Y1347" s="98" t="n"/>
      <c r="Z1347" s="100" t="n"/>
      <c r="AB1347" s="101">
        <f>IF($B1347="","",(COUNTIF(C1308:E1325,$B1347)+COUNTIF(C1308:E1325,$B1347&amp;" ~*")&gt;0)+(COUNTIF(G1308:I1325,$B1347)+COUNTIF(G1308:I1325,$B1347&amp;" ~*")&gt;0)+(COUNTIF(K1308:M1325,$B1347)+COUNTIF(K1308:M1325,$B1347&amp;" ~*")&gt;0)+(COUNTIF(O1308:Q1325,$B1347)+COUNTIF(O1308:Q1325,$B1347&amp;" ~*")&gt;0)+(COUNTIF(S1308:U1325,$B1347)+COUNTIF(S1308:U1325,$B1347&amp;" ~*")&gt;0)+(COUNTIF(W1308:W1325,$B1347)+COUNTIF(W1308:W1325,$B1347&amp;" ~*")&gt;0)+(COUNTIF(Y1308:Y1325,$B1347)+COUNTIF(Y1308:Y1325,$B1347&amp;" ~*")&gt;0))</f>
        <v/>
      </c>
      <c r="AC1347" s="36">
        <f>IF($B1347="","",(IFERROR(INDEX(Setup!$G$33:$G$40,MATCH(C1347,Setup!$B$33:$B$40,0)),0)=1)*(COUNTIF(C1308:E1325,$B1347)+COUNTIF(C1308:E1325,$B1347&amp;" ~*")&gt;0)+(IFERROR(INDEX(Setup!$G$33:$G$40,MATCH(G1347,Setup!$B$33:$B$40,0)),0)=1)*(COUNTIF(G1308:I1325,$B1347)+COUNTIF(G1308:I1325,$B1347&amp;" ~*")&gt;0)+(IFERROR(INDEX(Setup!$G$33:$G$40,MATCH(K1347,Setup!$B$33:$B$40,0)),0)=1)*(COUNTIF(K1308:M1325,$B1347)+COUNTIF(K1308:M1325,$B1347&amp;" ~*")&gt;0)+(IFERROR(INDEX(Setup!$G$33:$G$40,MATCH(O1347,Setup!$B$33:$B$40,0)),0)=1)*(COUNTIF(O1308:Q1325,$B1347)+COUNTIF(O1308:Q1325,$B1347&amp;" ~*")&gt;0)+(IFERROR(INDEX(Setup!$G$33:$G$40,MATCH(S1347,Setup!$B$33:$B$40,0)),0)=1)*(COUNTIF(S1308:U1325,$B1347)+COUNTIF(S1308:U1325,$B1347&amp;" ~*")&gt;0)+(IFERROR(INDEX(Setup!$G$33:$G$40,MATCH(W1347,Setup!$B$33:$B$40,0)),0)=1)*(COUNTIF(W1308:W1325,$B1347)+COUNTIF(W1308:W1325,$B1347&amp;" ~*")&gt;0)+(IFERROR(INDEX(Setup!$G$33:$G$40,MATCH(Y1347,Setup!$B$33:$B$40,0)),0)=1)*(COUNTIF(Y1308:Y1325,$B1347)+COUNTIF(Y1308:Y1325,$B1347&amp;" ~*")&gt;0))</f>
        <v/>
      </c>
    </row>
    <row r="1348" ht="15" customHeight="1">
      <c r="A1348" t="n">
        <v>27</v>
      </c>
      <c r="B1348" s="37">
        <f>IF(Setup!$B$27="","",Setup!$B$27)</f>
        <v/>
      </c>
      <c r="C1348" s="102" t="n"/>
      <c r="D1348" s="103" t="n"/>
      <c r="E1348" s="103" t="n"/>
      <c r="F1348" s="104" t="n"/>
      <c r="G1348" s="102" t="n"/>
      <c r="H1348" s="103" t="n"/>
      <c r="I1348" s="103" t="n"/>
      <c r="J1348" s="104" t="n"/>
      <c r="K1348" s="102" t="n"/>
      <c r="L1348" s="103" t="n"/>
      <c r="M1348" s="103" t="n"/>
      <c r="N1348" s="104" t="n"/>
      <c r="O1348" s="102" t="n"/>
      <c r="P1348" s="103" t="n"/>
      <c r="Q1348" s="103" t="n"/>
      <c r="R1348" s="104" t="n"/>
      <c r="S1348" s="102" t="n"/>
      <c r="T1348" s="103" t="n"/>
      <c r="U1348" s="103" t="n"/>
      <c r="V1348" s="104" t="n"/>
      <c r="W1348" s="102" t="n"/>
      <c r="X1348" s="104" t="n"/>
      <c r="Y1348" s="102" t="n"/>
      <c r="Z1348" s="104" t="n"/>
      <c r="AB1348" s="105">
        <f>IF($B1348="","",(COUNTIF(C1308:E1325,$B1348)+COUNTIF(C1308:E1325,$B1348&amp;" ~*")&gt;0)+(COUNTIF(G1308:I1325,$B1348)+COUNTIF(G1308:I1325,$B1348&amp;" ~*")&gt;0)+(COUNTIF(K1308:M1325,$B1348)+COUNTIF(K1308:M1325,$B1348&amp;" ~*")&gt;0)+(COUNTIF(O1308:Q1325,$B1348)+COUNTIF(O1308:Q1325,$B1348&amp;" ~*")&gt;0)+(COUNTIF(S1308:U1325,$B1348)+COUNTIF(S1308:U1325,$B1348&amp;" ~*")&gt;0)+(COUNTIF(W1308:W1325,$B1348)+COUNTIF(W1308:W1325,$B1348&amp;" ~*")&gt;0)+(COUNTIF(Y1308:Y1325,$B1348)+COUNTIF(Y1308:Y1325,$B1348&amp;" ~*")&gt;0))</f>
        <v/>
      </c>
      <c r="AC1348" s="38">
        <f>IF($B1348="","",(IFERROR(INDEX(Setup!$G$33:$G$40,MATCH(C1348,Setup!$B$33:$B$40,0)),0)=1)*(COUNTIF(C1308:E1325,$B1348)+COUNTIF(C1308:E1325,$B1348&amp;" ~*")&gt;0)+(IFERROR(INDEX(Setup!$G$33:$G$40,MATCH(G1348,Setup!$B$33:$B$40,0)),0)=1)*(COUNTIF(G1308:I1325,$B1348)+COUNTIF(G1308:I1325,$B1348&amp;" ~*")&gt;0)+(IFERROR(INDEX(Setup!$G$33:$G$40,MATCH(K1348,Setup!$B$33:$B$40,0)),0)=1)*(COUNTIF(K1308:M1325,$B1348)+COUNTIF(K1308:M1325,$B1348&amp;" ~*")&gt;0)+(IFERROR(INDEX(Setup!$G$33:$G$40,MATCH(O1348,Setup!$B$33:$B$40,0)),0)=1)*(COUNTIF(O1308:Q1325,$B1348)+COUNTIF(O1308:Q1325,$B1348&amp;" ~*")&gt;0)+(IFERROR(INDEX(Setup!$G$33:$G$40,MATCH(S1348,Setup!$B$33:$B$40,0)),0)=1)*(COUNTIF(S1308:U1325,$B1348)+COUNTIF(S1308:U1325,$B1348&amp;" ~*")&gt;0)+(IFERROR(INDEX(Setup!$G$33:$G$40,MATCH(W1348,Setup!$B$33:$B$40,0)),0)=1)*(COUNTIF(W1308:W1325,$B1348)+COUNTIF(W1308:W1325,$B1348&amp;" ~*")&gt;0)+(IFERROR(INDEX(Setup!$G$33:$G$40,MATCH(Y1348,Setup!$B$33:$B$40,0)),0)=1)*(COUNTIF(Y1308:Y1325,$B1348)+COUNTIF(Y1308:Y1325,$B1348&amp;" ~*")&gt;0))</f>
        <v/>
      </c>
    </row>
    <row r="1349" ht="15" customHeight="1">
      <c r="A1349" t="n">
        <v>27</v>
      </c>
      <c r="B1349" s="35">
        <f>IF(Setup!$B$28="","",Setup!$B$28)</f>
        <v/>
      </c>
      <c r="C1349" s="98" t="n"/>
      <c r="D1349" s="99" t="n"/>
      <c r="E1349" s="99" t="n"/>
      <c r="F1349" s="100" t="n"/>
      <c r="G1349" s="98" t="n"/>
      <c r="H1349" s="99" t="n"/>
      <c r="I1349" s="99" t="n"/>
      <c r="J1349" s="100" t="n"/>
      <c r="K1349" s="98" t="n"/>
      <c r="L1349" s="99" t="n"/>
      <c r="M1349" s="99" t="n"/>
      <c r="N1349" s="100" t="n"/>
      <c r="O1349" s="98" t="n"/>
      <c r="P1349" s="99" t="n"/>
      <c r="Q1349" s="99" t="n"/>
      <c r="R1349" s="100" t="n"/>
      <c r="S1349" s="98" t="n"/>
      <c r="T1349" s="99" t="n"/>
      <c r="U1349" s="99" t="n"/>
      <c r="V1349" s="100" t="n"/>
      <c r="W1349" s="98" t="n"/>
      <c r="X1349" s="100" t="n"/>
      <c r="Y1349" s="98" t="n"/>
      <c r="Z1349" s="100" t="n"/>
      <c r="AB1349" s="101">
        <f>IF($B1349="","",(COUNTIF(C1308:E1325,$B1349)+COUNTIF(C1308:E1325,$B1349&amp;" ~*")&gt;0)+(COUNTIF(G1308:I1325,$B1349)+COUNTIF(G1308:I1325,$B1349&amp;" ~*")&gt;0)+(COUNTIF(K1308:M1325,$B1349)+COUNTIF(K1308:M1325,$B1349&amp;" ~*")&gt;0)+(COUNTIF(O1308:Q1325,$B1349)+COUNTIF(O1308:Q1325,$B1349&amp;" ~*")&gt;0)+(COUNTIF(S1308:U1325,$B1349)+COUNTIF(S1308:U1325,$B1349&amp;" ~*")&gt;0)+(COUNTIF(W1308:W1325,$B1349)+COUNTIF(W1308:W1325,$B1349&amp;" ~*")&gt;0)+(COUNTIF(Y1308:Y1325,$B1349)+COUNTIF(Y1308:Y1325,$B1349&amp;" ~*")&gt;0))</f>
        <v/>
      </c>
      <c r="AC1349" s="36">
        <f>IF($B1349="","",(IFERROR(INDEX(Setup!$G$33:$G$40,MATCH(C1349,Setup!$B$33:$B$40,0)),0)=1)*(COUNTIF(C1308:E1325,$B1349)+COUNTIF(C1308:E1325,$B1349&amp;" ~*")&gt;0)+(IFERROR(INDEX(Setup!$G$33:$G$40,MATCH(G1349,Setup!$B$33:$B$40,0)),0)=1)*(COUNTIF(G1308:I1325,$B1349)+COUNTIF(G1308:I1325,$B1349&amp;" ~*")&gt;0)+(IFERROR(INDEX(Setup!$G$33:$G$40,MATCH(K1349,Setup!$B$33:$B$40,0)),0)=1)*(COUNTIF(K1308:M1325,$B1349)+COUNTIF(K1308:M1325,$B1349&amp;" ~*")&gt;0)+(IFERROR(INDEX(Setup!$G$33:$G$40,MATCH(O1349,Setup!$B$33:$B$40,0)),0)=1)*(COUNTIF(O1308:Q1325,$B1349)+COUNTIF(O1308:Q1325,$B1349&amp;" ~*")&gt;0)+(IFERROR(INDEX(Setup!$G$33:$G$40,MATCH(S1349,Setup!$B$33:$B$40,0)),0)=1)*(COUNTIF(S1308:U1325,$B1349)+COUNTIF(S1308:U1325,$B1349&amp;" ~*")&gt;0)+(IFERROR(INDEX(Setup!$G$33:$G$40,MATCH(W1349,Setup!$B$33:$B$40,0)),0)=1)*(COUNTIF(W1308:W1325,$B1349)+COUNTIF(W1308:W1325,$B1349&amp;" ~*")&gt;0)+(IFERROR(INDEX(Setup!$G$33:$G$40,MATCH(Y1349,Setup!$B$33:$B$40,0)),0)=1)*(COUNTIF(Y1308:Y1325,$B1349)+COUNTIF(Y1308:Y1325,$B1349&amp;" ~*")&gt;0))</f>
        <v/>
      </c>
    </row>
    <row r="1350" ht="15" customHeight="1">
      <c r="A1350" t="n">
        <v>27</v>
      </c>
      <c r="B1350" s="37">
        <f>IF(Setup!$B$29="","",Setup!$B$29)</f>
        <v/>
      </c>
      <c r="C1350" s="102" t="n"/>
      <c r="D1350" s="103" t="n"/>
      <c r="E1350" s="103" t="n"/>
      <c r="F1350" s="104" t="n"/>
      <c r="G1350" s="102" t="n"/>
      <c r="H1350" s="103" t="n"/>
      <c r="I1350" s="103" t="n"/>
      <c r="J1350" s="104" t="n"/>
      <c r="K1350" s="102" t="n"/>
      <c r="L1350" s="103" t="n"/>
      <c r="M1350" s="103" t="n"/>
      <c r="N1350" s="104" t="n"/>
      <c r="O1350" s="102" t="n"/>
      <c r="P1350" s="103" t="n"/>
      <c r="Q1350" s="103" t="n"/>
      <c r="R1350" s="104" t="n"/>
      <c r="S1350" s="102" t="n"/>
      <c r="T1350" s="103" t="n"/>
      <c r="U1350" s="103" t="n"/>
      <c r="V1350" s="104" t="n"/>
      <c r="W1350" s="102" t="n"/>
      <c r="X1350" s="104" t="n"/>
      <c r="Y1350" s="102" t="n"/>
      <c r="Z1350" s="104" t="n"/>
      <c r="AB1350" s="105">
        <f>IF($B1350="","",(COUNTIF(C1308:E1325,$B1350)+COUNTIF(C1308:E1325,$B1350&amp;" ~*")&gt;0)+(COUNTIF(G1308:I1325,$B1350)+COUNTIF(G1308:I1325,$B1350&amp;" ~*")&gt;0)+(COUNTIF(K1308:M1325,$B1350)+COUNTIF(K1308:M1325,$B1350&amp;" ~*")&gt;0)+(COUNTIF(O1308:Q1325,$B1350)+COUNTIF(O1308:Q1325,$B1350&amp;" ~*")&gt;0)+(COUNTIF(S1308:U1325,$B1350)+COUNTIF(S1308:U1325,$B1350&amp;" ~*")&gt;0)+(COUNTIF(W1308:W1325,$B1350)+COUNTIF(W1308:W1325,$B1350&amp;" ~*")&gt;0)+(COUNTIF(Y1308:Y1325,$B1350)+COUNTIF(Y1308:Y1325,$B1350&amp;" ~*")&gt;0))</f>
        <v/>
      </c>
      <c r="AC1350" s="38">
        <f>IF($B1350="","",(IFERROR(INDEX(Setup!$G$33:$G$40,MATCH(C1350,Setup!$B$33:$B$40,0)),0)=1)*(COUNTIF(C1308:E1325,$B1350)+COUNTIF(C1308:E1325,$B1350&amp;" ~*")&gt;0)+(IFERROR(INDEX(Setup!$G$33:$G$40,MATCH(G1350,Setup!$B$33:$B$40,0)),0)=1)*(COUNTIF(G1308:I1325,$B1350)+COUNTIF(G1308:I1325,$B1350&amp;" ~*")&gt;0)+(IFERROR(INDEX(Setup!$G$33:$G$40,MATCH(K1350,Setup!$B$33:$B$40,0)),0)=1)*(COUNTIF(K1308:M1325,$B1350)+COUNTIF(K1308:M1325,$B1350&amp;" ~*")&gt;0)+(IFERROR(INDEX(Setup!$G$33:$G$40,MATCH(O1350,Setup!$B$33:$B$40,0)),0)=1)*(COUNTIF(O1308:Q1325,$B1350)+COUNTIF(O1308:Q1325,$B1350&amp;" ~*")&gt;0)+(IFERROR(INDEX(Setup!$G$33:$G$40,MATCH(S1350,Setup!$B$33:$B$40,0)),0)=1)*(COUNTIF(S1308:U1325,$B1350)+COUNTIF(S1308:U1325,$B1350&amp;" ~*")&gt;0)+(IFERROR(INDEX(Setup!$G$33:$G$40,MATCH(W1350,Setup!$B$33:$B$40,0)),0)=1)*(COUNTIF(W1308:W1325,$B1350)+COUNTIF(W1308:W1325,$B1350&amp;" ~*")&gt;0)+(IFERROR(INDEX(Setup!$G$33:$G$40,MATCH(Y1350,Setup!$B$33:$B$40,0)),0)=1)*(COUNTIF(Y1308:Y1325,$B1350)+COUNTIF(Y1308:Y1325,$B1350&amp;" ~*")&gt;0))</f>
        <v/>
      </c>
    </row>
    <row r="1351" ht="16" customHeight="1">
      <c r="A1351" t="n">
        <v>27</v>
      </c>
      <c r="B1351" s="106" t="inlineStr">
        <is>
          <t>Available people</t>
        </is>
      </c>
      <c r="C1351" s="107">
        <f>COUNTIFS(Setup!$E$6:$E$29,"Y",Setup!$B$6:$B$29,"?*")-SUMPRODUCT(COUNTIF(C1327:C1350,Setup!$F$33:$F$40))</f>
        <v/>
      </c>
      <c r="D1351" s="107" t="n"/>
      <c r="E1351" s="107" t="n"/>
      <c r="F1351" s="107" t="n"/>
      <c r="G1351" s="107">
        <f>COUNTIFS(Setup!$E$6:$E$29,"Y",Setup!$B$6:$B$29,"?*")-SUMPRODUCT(COUNTIF(G1327:G1350,Setup!$F$33:$F$40))</f>
        <v/>
      </c>
      <c r="H1351" s="107" t="n"/>
      <c r="I1351" s="107" t="n"/>
      <c r="J1351" s="107" t="n"/>
      <c r="K1351" s="107">
        <f>COUNTIFS(Setup!$E$6:$E$29,"Y",Setup!$B$6:$B$29,"?*")-SUMPRODUCT(COUNTIF(K1327:K1350,Setup!$F$33:$F$40))</f>
        <v/>
      </c>
      <c r="L1351" s="107" t="n"/>
      <c r="M1351" s="107" t="n"/>
      <c r="N1351" s="107" t="n"/>
      <c r="O1351" s="107">
        <f>COUNTIFS(Setup!$E$6:$E$29,"Y",Setup!$B$6:$B$29,"?*")-SUMPRODUCT(COUNTIF(O1327:O1350,Setup!$F$33:$F$40))</f>
        <v/>
      </c>
      <c r="P1351" s="107" t="n"/>
      <c r="Q1351" s="107" t="n"/>
      <c r="R1351" s="107" t="n"/>
      <c r="S1351" s="107">
        <f>COUNTIFS(Setup!$E$6:$E$29,"Y",Setup!$B$6:$B$29,"?*")-SUMPRODUCT(COUNTIF(S1327:S1350,Setup!$F$33:$F$40))</f>
        <v/>
      </c>
      <c r="T1351" s="107" t="n"/>
      <c r="U1351" s="107" t="n"/>
      <c r="V1351" s="107" t="n"/>
      <c r="W1351" s="107">
        <f>COUNTIFS(Setup!$E$6:$E$29,"Y",Setup!$B$6:$B$29,"?*")-SUMPRODUCT(COUNTIF(W1327:W1350,Setup!$F$33:$F$40))</f>
        <v/>
      </c>
      <c r="X1351" s="107" t="n"/>
      <c r="Y1351" s="107">
        <f>COUNTIFS(Setup!$E$6:$E$29,"Y",Setup!$B$6:$B$29,"?*")-SUMPRODUCT(COUNTIF(Y1327:Y1350,Setup!$F$33:$F$40))</f>
        <v/>
      </c>
      <c r="Z1351" s="107" t="n"/>
      <c r="AB1351" s="108">
        <f>SUM(AB1327:AB1350)</f>
        <v/>
      </c>
      <c r="AC1351" s="109">
        <f>SUM(AC1327:AC1350)</f>
        <v/>
      </c>
    </row>
    <row r="1352" ht="30" customHeight="1">
      <c r="A1352" t="n">
        <v>27</v>
      </c>
      <c r="B1352" s="110" t="inlineStr">
        <is>
          <t>Week notes</t>
        </is>
      </c>
      <c r="C1352" s="111" t="n"/>
      <c r="D1352" s="112" t="n"/>
      <c r="E1352" s="112" t="n"/>
      <c r="F1352" s="112" t="n"/>
      <c r="G1352" s="112" t="n"/>
      <c r="H1352" s="112" t="n"/>
      <c r="I1352" s="112" t="n"/>
      <c r="J1352" s="112" t="n"/>
      <c r="K1352" s="112" t="n"/>
      <c r="L1352" s="112" t="n"/>
      <c r="M1352" s="112" t="n"/>
      <c r="N1352" s="112" t="n"/>
      <c r="O1352" s="112" t="n"/>
      <c r="P1352" s="112" t="n"/>
      <c r="Q1352" s="112" t="n"/>
      <c r="R1352" s="112" t="n"/>
      <c r="S1352" s="112" t="n"/>
      <c r="T1352" s="112" t="n"/>
      <c r="U1352" s="112" t="n"/>
      <c r="V1352" s="112" t="n"/>
      <c r="W1352" s="112" t="n"/>
      <c r="X1352" s="112" t="n"/>
      <c r="Y1352" s="112" t="n"/>
      <c r="Z1352" s="113" t="n"/>
    </row>
    <row r="1353" ht="8" customHeight="1">
      <c r="A1353" t="n">
        <v>27</v>
      </c>
    </row>
    <row r="1354" ht="8" customHeight="1">
      <c r="A1354" t="n">
        <v>27</v>
      </c>
    </row>
    <row r="1355" ht="24" customHeight="1">
      <c r="A1355" t="n">
        <v>28</v>
      </c>
      <c r="B1355" s="73">
        <f>"WEEK 28     "&amp;TEXT(C1356,"ddd d mmm")&amp;"  –  "&amp;TEXT(C1356+6,"ddd d mmm yyyy")</f>
        <v/>
      </c>
      <c r="S1355" s="74">
        <f>IF(TODAY()&lt;C1356,"FUTURE",IF(TODAY()&gt;C1356+6,"PAST","THIS WEEK"))</f>
        <v/>
      </c>
      <c r="W1355" s="75">
        <f>IF(AND(Engine!$B$8=$AC$3,Engine!$B$9=$A1355),"◀ ACTIVE WEEK","")</f>
        <v/>
      </c>
      <c r="AA1355" s="76" t="n"/>
      <c r="AB1355" s="77" t="inlineStr">
        <is>
          <t>◀ Prev</t>
        </is>
      </c>
      <c r="AC1355" s="77" t="inlineStr">
        <is>
          <t>Next ▶</t>
        </is>
      </c>
    </row>
    <row r="1356" ht="18" customHeight="1">
      <c r="A1356" t="n">
        <v>28</v>
      </c>
      <c r="B1356" s="78" t="inlineStr">
        <is>
          <t>DUTY</t>
        </is>
      </c>
      <c r="C1356" s="79">
        <f>$AC$2+7*($A1356-1)</f>
        <v/>
      </c>
      <c r="D1356" s="80" t="n"/>
      <c r="E1356" s="80" t="n"/>
      <c r="F1356" s="81" t="n"/>
      <c r="G1356" s="79">
        <f>C1356+1</f>
        <v/>
      </c>
      <c r="H1356" s="80" t="n"/>
      <c r="I1356" s="80" t="n"/>
      <c r="J1356" s="81" t="n"/>
      <c r="K1356" s="79">
        <f>C1356+2</f>
        <v/>
      </c>
      <c r="L1356" s="80" t="n"/>
      <c r="M1356" s="80" t="n"/>
      <c r="N1356" s="81" t="n"/>
      <c r="O1356" s="79">
        <f>C1356+3</f>
        <v/>
      </c>
      <c r="P1356" s="80" t="n"/>
      <c r="Q1356" s="80" t="n"/>
      <c r="R1356" s="81" t="n"/>
      <c r="S1356" s="79">
        <f>C1356+4</f>
        <v/>
      </c>
      <c r="T1356" s="80" t="n"/>
      <c r="U1356" s="80" t="n"/>
      <c r="V1356" s="81" t="n"/>
      <c r="W1356" s="82">
        <f>C1356+5</f>
        <v/>
      </c>
      <c r="X1356" s="83" t="n"/>
      <c r="Y1356" s="82">
        <f>C1356+6</f>
        <v/>
      </c>
      <c r="Z1356" s="83" t="n"/>
      <c r="AB1356" s="72" t="inlineStr">
        <is>
          <t>Gaps</t>
        </is>
      </c>
      <c r="AC1356" s="72" t="inlineStr">
        <is>
          <t>Cover</t>
        </is>
      </c>
    </row>
    <row r="1357" ht="14" customHeight="1">
      <c r="A1357" t="n">
        <v>28</v>
      </c>
      <c r="B1357" s="84" t="inlineStr">
        <is>
          <t>(from Setup)</t>
        </is>
      </c>
      <c r="C1357" s="85" t="inlineStr">
        <is>
          <t>1</t>
        </is>
      </c>
      <c r="D1357" s="85" t="inlineStr">
        <is>
          <t>2</t>
        </is>
      </c>
      <c r="E1357" s="85" t="inlineStr">
        <is>
          <t>3</t>
        </is>
      </c>
      <c r="F1357" s="85" t="inlineStr">
        <is>
          <t>Notes</t>
        </is>
      </c>
      <c r="G1357" s="85" t="inlineStr">
        <is>
          <t>1</t>
        </is>
      </c>
      <c r="H1357" s="85" t="inlineStr">
        <is>
          <t>2</t>
        </is>
      </c>
      <c r="I1357" s="85" t="inlineStr">
        <is>
          <t>3</t>
        </is>
      </c>
      <c r="J1357" s="85" t="inlineStr">
        <is>
          <t>Notes</t>
        </is>
      </c>
      <c r="K1357" s="85" t="inlineStr">
        <is>
          <t>1</t>
        </is>
      </c>
      <c r="L1357" s="85" t="inlineStr">
        <is>
          <t>2</t>
        </is>
      </c>
      <c r="M1357" s="85" t="inlineStr">
        <is>
          <t>3</t>
        </is>
      </c>
      <c r="N1357" s="85" t="inlineStr">
        <is>
          <t>Notes</t>
        </is>
      </c>
      <c r="O1357" s="85" t="inlineStr">
        <is>
          <t>1</t>
        </is>
      </c>
      <c r="P1357" s="85" t="inlineStr">
        <is>
          <t>2</t>
        </is>
      </c>
      <c r="Q1357" s="85" t="inlineStr">
        <is>
          <t>3</t>
        </is>
      </c>
      <c r="R1357" s="85" t="inlineStr">
        <is>
          <t>Notes</t>
        </is>
      </c>
      <c r="S1357" s="85" t="inlineStr">
        <is>
          <t>1</t>
        </is>
      </c>
      <c r="T1357" s="85" t="inlineStr">
        <is>
          <t>2</t>
        </is>
      </c>
      <c r="U1357" s="85" t="inlineStr">
        <is>
          <t>3</t>
        </is>
      </c>
      <c r="V1357" s="85" t="inlineStr">
        <is>
          <t>Notes</t>
        </is>
      </c>
      <c r="W1357" s="85" t="inlineStr">
        <is>
          <t>Cover</t>
        </is>
      </c>
      <c r="X1357" s="85" t="inlineStr">
        <is>
          <t>Notes</t>
        </is>
      </c>
      <c r="Y1357" s="85" t="inlineStr">
        <is>
          <t>Cover</t>
        </is>
      </c>
      <c r="Z1357" s="85" t="inlineStr">
        <is>
          <t>Notes</t>
        </is>
      </c>
      <c r="AB1357" s="86" t="inlineStr">
        <is>
          <t>weekdays short</t>
        </is>
      </c>
      <c r="AC1357" s="87" t="inlineStr"/>
    </row>
    <row r="1358" ht="17" customHeight="1">
      <c r="A1358" t="n">
        <v>28</v>
      </c>
      <c r="B1358" s="24">
        <f>IF(Setup!$K$6="","",Setup!$K$6)</f>
        <v/>
      </c>
      <c r="C1358" s="88" t="n"/>
      <c r="D1358" s="88" t="n"/>
      <c r="E1358" s="88" t="n"/>
      <c r="F1358" s="89" t="n"/>
      <c r="G1358" s="88" t="n"/>
      <c r="H1358" s="88" t="n"/>
      <c r="I1358" s="88" t="n"/>
      <c r="J1358" s="89" t="n"/>
      <c r="K1358" s="88" t="n"/>
      <c r="L1358" s="88" t="n"/>
      <c r="M1358" s="88" t="n"/>
      <c r="N1358" s="89" t="n"/>
      <c r="O1358" s="88" t="n"/>
      <c r="P1358" s="88" t="n"/>
      <c r="Q1358" s="88" t="n"/>
      <c r="R1358" s="89" t="n"/>
      <c r="S1358" s="88" t="n"/>
      <c r="T1358" s="88" t="n"/>
      <c r="U1358" s="88" t="n"/>
      <c r="V1358" s="89" t="n"/>
      <c r="W1358" s="88" t="n"/>
      <c r="X1358" s="89" t="n"/>
      <c r="Y1358" s="88" t="n"/>
      <c r="Z1358" s="89" t="n"/>
      <c r="AB1358" s="25">
        <f>IF($B1358="","",(COUNTIF(C1358:E1358,"?*")&lt;N(INDEX(Setup!$L$6:$L$23,1)))+(COUNTIF(G1358:I1358,"?*")&lt;N(INDEX(Setup!$L$6:$L$23,1)))+(COUNTIF(K1358:M1358,"?*")&lt;N(INDEX(Setup!$L$6:$L$23,1)))+(COUNTIF(O1358:Q1358,"?*")&lt;N(INDEX(Setup!$L$6:$L$23,1)))+(COUNTIF(S1358:U1358,"?*")&lt;N(INDEX(Setup!$L$6:$L$23,1)))+((W1358="")*(INDEX(Setup!$M$6:$M$23,1)="Y"))+((Y1358="")*(INDEX(Setup!$M$6:$M$23,1)="Y")))</f>
        <v/>
      </c>
      <c r="AC1358" s="90">
        <f>IF($B1358="","",IF(AB1358=0,"✓ covered","⚠ "&amp;AB1358&amp;IF(AB1358=1," gap"," gaps")))</f>
        <v/>
      </c>
    </row>
    <row r="1359" ht="17" customHeight="1">
      <c r="A1359" t="n">
        <v>28</v>
      </c>
      <c r="B1359" s="29">
        <f>IF(Setup!$K$7="","",Setup!$K$7)</f>
        <v/>
      </c>
      <c r="C1359" s="88" t="n"/>
      <c r="D1359" s="88" t="n"/>
      <c r="E1359" s="88" t="n"/>
      <c r="F1359" s="89" t="n"/>
      <c r="G1359" s="88" t="n"/>
      <c r="H1359" s="88" t="n"/>
      <c r="I1359" s="88" t="n"/>
      <c r="J1359" s="89" t="n"/>
      <c r="K1359" s="88" t="n"/>
      <c r="L1359" s="88" t="n"/>
      <c r="M1359" s="88" t="n"/>
      <c r="N1359" s="89" t="n"/>
      <c r="O1359" s="88" t="n"/>
      <c r="P1359" s="88" t="n"/>
      <c r="Q1359" s="88" t="n"/>
      <c r="R1359" s="89" t="n"/>
      <c r="S1359" s="88" t="n"/>
      <c r="T1359" s="88" t="n"/>
      <c r="U1359" s="88" t="n"/>
      <c r="V1359" s="89" t="n"/>
      <c r="W1359" s="88" t="n"/>
      <c r="X1359" s="89" t="n"/>
      <c r="Y1359" s="88" t="n"/>
      <c r="Z1359" s="89" t="n"/>
      <c r="AB1359" s="30">
        <f>IF($B1359="","",(COUNTIF(C1359:E1359,"?*")&lt;N(INDEX(Setup!$L$6:$L$23,2)))+(COUNTIF(G1359:I1359,"?*")&lt;N(INDEX(Setup!$L$6:$L$23,2)))+(COUNTIF(K1359:M1359,"?*")&lt;N(INDEX(Setup!$L$6:$L$23,2)))+(COUNTIF(O1359:Q1359,"?*")&lt;N(INDEX(Setup!$L$6:$L$23,2)))+(COUNTIF(S1359:U1359,"?*")&lt;N(INDEX(Setup!$L$6:$L$23,2)))+((W1359="")*(INDEX(Setup!$M$6:$M$23,2)="Y"))+((Y1359="")*(INDEX(Setup!$M$6:$M$23,2)="Y")))</f>
        <v/>
      </c>
      <c r="AC1359" s="91">
        <f>IF($B1359="","",IF(AB1359=0,"✓ covered","⚠ "&amp;AB1359&amp;IF(AB1359=1," gap"," gaps")))</f>
        <v/>
      </c>
    </row>
    <row r="1360" ht="17" customHeight="1">
      <c r="A1360" t="n">
        <v>28</v>
      </c>
      <c r="B1360" s="24">
        <f>IF(Setup!$K$8="","",Setup!$K$8)</f>
        <v/>
      </c>
      <c r="C1360" s="88" t="n"/>
      <c r="D1360" s="88" t="n"/>
      <c r="E1360" s="88" t="n"/>
      <c r="F1360" s="89" t="n"/>
      <c r="G1360" s="88" t="n"/>
      <c r="H1360" s="88" t="n"/>
      <c r="I1360" s="88" t="n"/>
      <c r="J1360" s="89" t="n"/>
      <c r="K1360" s="88" t="n"/>
      <c r="L1360" s="88" t="n"/>
      <c r="M1360" s="88" t="n"/>
      <c r="N1360" s="89" t="n"/>
      <c r="O1360" s="88" t="n"/>
      <c r="P1360" s="88" t="n"/>
      <c r="Q1360" s="88" t="n"/>
      <c r="R1360" s="89" t="n"/>
      <c r="S1360" s="88" t="n"/>
      <c r="T1360" s="88" t="n"/>
      <c r="U1360" s="88" t="n"/>
      <c r="V1360" s="89" t="n"/>
      <c r="W1360" s="88" t="n"/>
      <c r="X1360" s="89" t="n"/>
      <c r="Y1360" s="88" t="n"/>
      <c r="Z1360" s="89" t="n"/>
      <c r="AB1360" s="25">
        <f>IF($B1360="","",(COUNTIF(C1360:E1360,"?*")&lt;N(INDEX(Setup!$L$6:$L$23,3)))+(COUNTIF(G1360:I1360,"?*")&lt;N(INDEX(Setup!$L$6:$L$23,3)))+(COUNTIF(K1360:M1360,"?*")&lt;N(INDEX(Setup!$L$6:$L$23,3)))+(COUNTIF(O1360:Q1360,"?*")&lt;N(INDEX(Setup!$L$6:$L$23,3)))+(COUNTIF(S1360:U1360,"?*")&lt;N(INDEX(Setup!$L$6:$L$23,3)))+((W1360="")*(INDEX(Setup!$M$6:$M$23,3)="Y"))+((Y1360="")*(INDEX(Setup!$M$6:$M$23,3)="Y")))</f>
        <v/>
      </c>
      <c r="AC1360" s="90">
        <f>IF($B1360="","",IF(AB1360=0,"✓ covered","⚠ "&amp;AB1360&amp;IF(AB1360=1," gap"," gaps")))</f>
        <v/>
      </c>
    </row>
    <row r="1361" ht="17" customHeight="1">
      <c r="A1361" t="n">
        <v>28</v>
      </c>
      <c r="B1361" s="29">
        <f>IF(Setup!$K$9="","",Setup!$K$9)</f>
        <v/>
      </c>
      <c r="C1361" s="88" t="n"/>
      <c r="D1361" s="88" t="n"/>
      <c r="E1361" s="88" t="n"/>
      <c r="F1361" s="89" t="n"/>
      <c r="G1361" s="88" t="n"/>
      <c r="H1361" s="88" t="n"/>
      <c r="I1361" s="88" t="n"/>
      <c r="J1361" s="89" t="n"/>
      <c r="K1361" s="88" t="n"/>
      <c r="L1361" s="88" t="n"/>
      <c r="M1361" s="88" t="n"/>
      <c r="N1361" s="89" t="n"/>
      <c r="O1361" s="88" t="n"/>
      <c r="P1361" s="88" t="n"/>
      <c r="Q1361" s="88" t="n"/>
      <c r="R1361" s="89" t="n"/>
      <c r="S1361" s="88" t="n"/>
      <c r="T1361" s="88" t="n"/>
      <c r="U1361" s="88" t="n"/>
      <c r="V1361" s="89" t="n"/>
      <c r="W1361" s="88" t="n"/>
      <c r="X1361" s="89" t="n"/>
      <c r="Y1361" s="88" t="n"/>
      <c r="Z1361" s="89" t="n"/>
      <c r="AB1361" s="30">
        <f>IF($B1361="","",(COUNTIF(C1361:E1361,"?*")&lt;N(INDEX(Setup!$L$6:$L$23,4)))+(COUNTIF(G1361:I1361,"?*")&lt;N(INDEX(Setup!$L$6:$L$23,4)))+(COUNTIF(K1361:M1361,"?*")&lt;N(INDEX(Setup!$L$6:$L$23,4)))+(COUNTIF(O1361:Q1361,"?*")&lt;N(INDEX(Setup!$L$6:$L$23,4)))+(COUNTIF(S1361:U1361,"?*")&lt;N(INDEX(Setup!$L$6:$L$23,4)))+((W1361="")*(INDEX(Setup!$M$6:$M$23,4)="Y"))+((Y1361="")*(INDEX(Setup!$M$6:$M$23,4)="Y")))</f>
        <v/>
      </c>
      <c r="AC1361" s="91">
        <f>IF($B1361="","",IF(AB1361=0,"✓ covered","⚠ "&amp;AB1361&amp;IF(AB1361=1," gap"," gaps")))</f>
        <v/>
      </c>
    </row>
    <row r="1362" ht="17" customHeight="1">
      <c r="A1362" t="n">
        <v>28</v>
      </c>
      <c r="B1362" s="24">
        <f>IF(Setup!$K$10="","",Setup!$K$10)</f>
        <v/>
      </c>
      <c r="C1362" s="88" t="n"/>
      <c r="D1362" s="88" t="n"/>
      <c r="E1362" s="88" t="n"/>
      <c r="F1362" s="89" t="n"/>
      <c r="G1362" s="88" t="n"/>
      <c r="H1362" s="88" t="n"/>
      <c r="I1362" s="88" t="n"/>
      <c r="J1362" s="89" t="n"/>
      <c r="K1362" s="88" t="n"/>
      <c r="L1362" s="88" t="n"/>
      <c r="M1362" s="88" t="n"/>
      <c r="N1362" s="89" t="n"/>
      <c r="O1362" s="88" t="n"/>
      <c r="P1362" s="88" t="n"/>
      <c r="Q1362" s="88" t="n"/>
      <c r="R1362" s="89" t="n"/>
      <c r="S1362" s="88" t="n"/>
      <c r="T1362" s="88" t="n"/>
      <c r="U1362" s="88" t="n"/>
      <c r="V1362" s="89" t="n"/>
      <c r="W1362" s="88" t="n"/>
      <c r="X1362" s="89" t="n"/>
      <c r="Y1362" s="88" t="n"/>
      <c r="Z1362" s="89" t="n"/>
      <c r="AB1362" s="25">
        <f>IF($B1362="","",(COUNTIF(C1362:E1362,"?*")&lt;N(INDEX(Setup!$L$6:$L$23,5)))+(COUNTIF(G1362:I1362,"?*")&lt;N(INDEX(Setup!$L$6:$L$23,5)))+(COUNTIF(K1362:M1362,"?*")&lt;N(INDEX(Setup!$L$6:$L$23,5)))+(COUNTIF(O1362:Q1362,"?*")&lt;N(INDEX(Setup!$L$6:$L$23,5)))+(COUNTIF(S1362:U1362,"?*")&lt;N(INDEX(Setup!$L$6:$L$23,5)))+((W1362="")*(INDEX(Setup!$M$6:$M$23,5)="Y"))+((Y1362="")*(INDEX(Setup!$M$6:$M$23,5)="Y")))</f>
        <v/>
      </c>
      <c r="AC1362" s="90">
        <f>IF($B1362="","",IF(AB1362=0,"✓ covered","⚠ "&amp;AB1362&amp;IF(AB1362=1," gap"," gaps")))</f>
        <v/>
      </c>
    </row>
    <row r="1363" ht="17" customHeight="1">
      <c r="A1363" t="n">
        <v>28</v>
      </c>
      <c r="B1363" s="29">
        <f>IF(Setup!$K$11="","",Setup!$K$11)</f>
        <v/>
      </c>
      <c r="C1363" s="88" t="n"/>
      <c r="D1363" s="88" t="n"/>
      <c r="E1363" s="88" t="n"/>
      <c r="F1363" s="89" t="n"/>
      <c r="G1363" s="88" t="n"/>
      <c r="H1363" s="88" t="n"/>
      <c r="I1363" s="88" t="n"/>
      <c r="J1363" s="89" t="n"/>
      <c r="K1363" s="88" t="n"/>
      <c r="L1363" s="88" t="n"/>
      <c r="M1363" s="88" t="n"/>
      <c r="N1363" s="89" t="n"/>
      <c r="O1363" s="88" t="n"/>
      <c r="P1363" s="88" t="n"/>
      <c r="Q1363" s="88" t="n"/>
      <c r="R1363" s="89" t="n"/>
      <c r="S1363" s="88" t="n"/>
      <c r="T1363" s="88" t="n"/>
      <c r="U1363" s="88" t="n"/>
      <c r="V1363" s="89" t="n"/>
      <c r="W1363" s="88" t="n"/>
      <c r="X1363" s="89" t="n"/>
      <c r="Y1363" s="88" t="n"/>
      <c r="Z1363" s="89" t="n"/>
      <c r="AB1363" s="30">
        <f>IF($B1363="","",(COUNTIF(C1363:E1363,"?*")&lt;N(INDEX(Setup!$L$6:$L$23,6)))+(COUNTIF(G1363:I1363,"?*")&lt;N(INDEX(Setup!$L$6:$L$23,6)))+(COUNTIF(K1363:M1363,"?*")&lt;N(INDEX(Setup!$L$6:$L$23,6)))+(COUNTIF(O1363:Q1363,"?*")&lt;N(INDEX(Setup!$L$6:$L$23,6)))+(COUNTIF(S1363:U1363,"?*")&lt;N(INDEX(Setup!$L$6:$L$23,6)))+((W1363="")*(INDEX(Setup!$M$6:$M$23,6)="Y"))+((Y1363="")*(INDEX(Setup!$M$6:$M$23,6)="Y")))</f>
        <v/>
      </c>
      <c r="AC1363" s="91">
        <f>IF($B1363="","",IF(AB1363=0,"✓ covered","⚠ "&amp;AB1363&amp;IF(AB1363=1," gap"," gaps")))</f>
        <v/>
      </c>
    </row>
    <row r="1364" ht="17" customHeight="1">
      <c r="A1364" t="n">
        <v>28</v>
      </c>
      <c r="B1364" s="24">
        <f>IF(Setup!$K$12="","",Setup!$K$12)</f>
        <v/>
      </c>
      <c r="C1364" s="88" t="n"/>
      <c r="D1364" s="88" t="n"/>
      <c r="E1364" s="88" t="n"/>
      <c r="F1364" s="89" t="n"/>
      <c r="G1364" s="88" t="n"/>
      <c r="H1364" s="88" t="n"/>
      <c r="I1364" s="88" t="n"/>
      <c r="J1364" s="89" t="n"/>
      <c r="K1364" s="88" t="n"/>
      <c r="L1364" s="88" t="n"/>
      <c r="M1364" s="88" t="n"/>
      <c r="N1364" s="89" t="n"/>
      <c r="O1364" s="88" t="n"/>
      <c r="P1364" s="88" t="n"/>
      <c r="Q1364" s="88" t="n"/>
      <c r="R1364" s="89" t="n"/>
      <c r="S1364" s="88" t="n"/>
      <c r="T1364" s="88" t="n"/>
      <c r="U1364" s="88" t="n"/>
      <c r="V1364" s="89" t="n"/>
      <c r="W1364" s="88" t="n"/>
      <c r="X1364" s="89" t="n"/>
      <c r="Y1364" s="88" t="n"/>
      <c r="Z1364" s="89" t="n"/>
      <c r="AB1364" s="25">
        <f>IF($B1364="","",(COUNTIF(C1364:E1364,"?*")&lt;N(INDEX(Setup!$L$6:$L$23,7)))+(COUNTIF(G1364:I1364,"?*")&lt;N(INDEX(Setup!$L$6:$L$23,7)))+(COUNTIF(K1364:M1364,"?*")&lt;N(INDEX(Setup!$L$6:$L$23,7)))+(COUNTIF(O1364:Q1364,"?*")&lt;N(INDEX(Setup!$L$6:$L$23,7)))+(COUNTIF(S1364:U1364,"?*")&lt;N(INDEX(Setup!$L$6:$L$23,7)))+((W1364="")*(INDEX(Setup!$M$6:$M$23,7)="Y"))+((Y1364="")*(INDEX(Setup!$M$6:$M$23,7)="Y")))</f>
        <v/>
      </c>
      <c r="AC1364" s="90">
        <f>IF($B1364="","",IF(AB1364=0,"✓ covered","⚠ "&amp;AB1364&amp;IF(AB1364=1," gap"," gaps")))</f>
        <v/>
      </c>
    </row>
    <row r="1365" ht="17" customHeight="1">
      <c r="A1365" t="n">
        <v>28</v>
      </c>
      <c r="B1365" s="29">
        <f>IF(Setup!$K$13="","",Setup!$K$13)</f>
        <v/>
      </c>
      <c r="C1365" s="88" t="n"/>
      <c r="D1365" s="88" t="n"/>
      <c r="E1365" s="88" t="n"/>
      <c r="F1365" s="89" t="n"/>
      <c r="G1365" s="88" t="n"/>
      <c r="H1365" s="88" t="n"/>
      <c r="I1365" s="88" t="n"/>
      <c r="J1365" s="89" t="n"/>
      <c r="K1365" s="88" t="n"/>
      <c r="L1365" s="88" t="n"/>
      <c r="M1365" s="88" t="n"/>
      <c r="N1365" s="89" t="n"/>
      <c r="O1365" s="88" t="n"/>
      <c r="P1365" s="88" t="n"/>
      <c r="Q1365" s="88" t="n"/>
      <c r="R1365" s="89" t="n"/>
      <c r="S1365" s="88" t="n"/>
      <c r="T1365" s="88" t="n"/>
      <c r="U1365" s="88" t="n"/>
      <c r="V1365" s="89" t="n"/>
      <c r="W1365" s="88" t="n"/>
      <c r="X1365" s="89" t="n"/>
      <c r="Y1365" s="88" t="n"/>
      <c r="Z1365" s="89" t="n"/>
      <c r="AB1365" s="30">
        <f>IF($B1365="","",(COUNTIF(C1365:E1365,"?*")&lt;N(INDEX(Setup!$L$6:$L$23,8)))+(COUNTIF(G1365:I1365,"?*")&lt;N(INDEX(Setup!$L$6:$L$23,8)))+(COUNTIF(K1365:M1365,"?*")&lt;N(INDEX(Setup!$L$6:$L$23,8)))+(COUNTIF(O1365:Q1365,"?*")&lt;N(INDEX(Setup!$L$6:$L$23,8)))+(COUNTIF(S1365:U1365,"?*")&lt;N(INDEX(Setup!$L$6:$L$23,8)))+((W1365="")*(INDEX(Setup!$M$6:$M$23,8)="Y"))+((Y1365="")*(INDEX(Setup!$M$6:$M$23,8)="Y")))</f>
        <v/>
      </c>
      <c r="AC1365" s="91">
        <f>IF($B1365="","",IF(AB1365=0,"✓ covered","⚠ "&amp;AB1365&amp;IF(AB1365=1," gap"," gaps")))</f>
        <v/>
      </c>
    </row>
    <row r="1366" ht="17" customHeight="1">
      <c r="A1366" t="n">
        <v>28</v>
      </c>
      <c r="B1366" s="24">
        <f>IF(Setup!$K$14="","",Setup!$K$14)</f>
        <v/>
      </c>
      <c r="C1366" s="88" t="n"/>
      <c r="D1366" s="88" t="n"/>
      <c r="E1366" s="88" t="n"/>
      <c r="F1366" s="89" t="n"/>
      <c r="G1366" s="88" t="n"/>
      <c r="H1366" s="88" t="n"/>
      <c r="I1366" s="88" t="n"/>
      <c r="J1366" s="89" t="n"/>
      <c r="K1366" s="88" t="n"/>
      <c r="L1366" s="88" t="n"/>
      <c r="M1366" s="88" t="n"/>
      <c r="N1366" s="89" t="n"/>
      <c r="O1366" s="88" t="n"/>
      <c r="P1366" s="88" t="n"/>
      <c r="Q1366" s="88" t="n"/>
      <c r="R1366" s="89" t="n"/>
      <c r="S1366" s="88" t="n"/>
      <c r="T1366" s="88" t="n"/>
      <c r="U1366" s="88" t="n"/>
      <c r="V1366" s="89" t="n"/>
      <c r="W1366" s="88" t="n"/>
      <c r="X1366" s="89" t="n"/>
      <c r="Y1366" s="88" t="n"/>
      <c r="Z1366" s="89" t="n"/>
      <c r="AB1366" s="25">
        <f>IF($B1366="","",(COUNTIF(C1366:E1366,"?*")&lt;N(INDEX(Setup!$L$6:$L$23,9)))+(COUNTIF(G1366:I1366,"?*")&lt;N(INDEX(Setup!$L$6:$L$23,9)))+(COUNTIF(K1366:M1366,"?*")&lt;N(INDEX(Setup!$L$6:$L$23,9)))+(COUNTIF(O1366:Q1366,"?*")&lt;N(INDEX(Setup!$L$6:$L$23,9)))+(COUNTIF(S1366:U1366,"?*")&lt;N(INDEX(Setup!$L$6:$L$23,9)))+((W1366="")*(INDEX(Setup!$M$6:$M$23,9)="Y"))+((Y1366="")*(INDEX(Setup!$M$6:$M$23,9)="Y")))</f>
        <v/>
      </c>
      <c r="AC1366" s="90">
        <f>IF($B1366="","",IF(AB1366=0,"✓ covered","⚠ "&amp;AB1366&amp;IF(AB1366=1," gap"," gaps")))</f>
        <v/>
      </c>
    </row>
    <row r="1367" ht="17" customHeight="1">
      <c r="A1367" t="n">
        <v>28</v>
      </c>
      <c r="B1367" s="29">
        <f>IF(Setup!$K$15="","",Setup!$K$15)</f>
        <v/>
      </c>
      <c r="C1367" s="88" t="n"/>
      <c r="D1367" s="88" t="n"/>
      <c r="E1367" s="88" t="n"/>
      <c r="F1367" s="89" t="n"/>
      <c r="G1367" s="88" t="n"/>
      <c r="H1367" s="88" t="n"/>
      <c r="I1367" s="88" t="n"/>
      <c r="J1367" s="89" t="n"/>
      <c r="K1367" s="88" t="n"/>
      <c r="L1367" s="88" t="n"/>
      <c r="M1367" s="88" t="n"/>
      <c r="N1367" s="89" t="n"/>
      <c r="O1367" s="88" t="n"/>
      <c r="P1367" s="88" t="n"/>
      <c r="Q1367" s="88" t="n"/>
      <c r="R1367" s="89" t="n"/>
      <c r="S1367" s="88" t="n"/>
      <c r="T1367" s="88" t="n"/>
      <c r="U1367" s="88" t="n"/>
      <c r="V1367" s="89" t="n"/>
      <c r="W1367" s="88" t="n"/>
      <c r="X1367" s="89" t="n"/>
      <c r="Y1367" s="88" t="n"/>
      <c r="Z1367" s="89" t="n"/>
      <c r="AB1367" s="30">
        <f>IF($B1367="","",(COUNTIF(C1367:E1367,"?*")&lt;N(INDEX(Setup!$L$6:$L$23,10)))+(COUNTIF(G1367:I1367,"?*")&lt;N(INDEX(Setup!$L$6:$L$23,10)))+(COUNTIF(K1367:M1367,"?*")&lt;N(INDEX(Setup!$L$6:$L$23,10)))+(COUNTIF(O1367:Q1367,"?*")&lt;N(INDEX(Setup!$L$6:$L$23,10)))+(COUNTIF(S1367:U1367,"?*")&lt;N(INDEX(Setup!$L$6:$L$23,10)))+((W1367="")*(INDEX(Setup!$M$6:$M$23,10)="Y"))+((Y1367="")*(INDEX(Setup!$M$6:$M$23,10)="Y")))</f>
        <v/>
      </c>
      <c r="AC1367" s="91">
        <f>IF($B1367="","",IF(AB1367=0,"✓ covered","⚠ "&amp;AB1367&amp;IF(AB1367=1," gap"," gaps")))</f>
        <v/>
      </c>
    </row>
    <row r="1368" ht="17" customHeight="1">
      <c r="A1368" t="n">
        <v>28</v>
      </c>
      <c r="B1368" s="24">
        <f>IF(Setup!$K$16="","",Setup!$K$16)</f>
        <v/>
      </c>
      <c r="C1368" s="88" t="n"/>
      <c r="D1368" s="88" t="n"/>
      <c r="E1368" s="88" t="n"/>
      <c r="F1368" s="89" t="n"/>
      <c r="G1368" s="88" t="n"/>
      <c r="H1368" s="88" t="n"/>
      <c r="I1368" s="88" t="n"/>
      <c r="J1368" s="89" t="n"/>
      <c r="K1368" s="88" t="n"/>
      <c r="L1368" s="88" t="n"/>
      <c r="M1368" s="88" t="n"/>
      <c r="N1368" s="89" t="n"/>
      <c r="O1368" s="88" t="n"/>
      <c r="P1368" s="88" t="n"/>
      <c r="Q1368" s="88" t="n"/>
      <c r="R1368" s="89" t="n"/>
      <c r="S1368" s="88" t="n"/>
      <c r="T1368" s="88" t="n"/>
      <c r="U1368" s="88" t="n"/>
      <c r="V1368" s="89" t="n"/>
      <c r="W1368" s="88" t="n"/>
      <c r="X1368" s="89" t="n"/>
      <c r="Y1368" s="88" t="n"/>
      <c r="Z1368" s="89" t="n"/>
      <c r="AB1368" s="25">
        <f>IF($B1368="","",(COUNTIF(C1368:E1368,"?*")&lt;N(INDEX(Setup!$L$6:$L$23,11)))+(COUNTIF(G1368:I1368,"?*")&lt;N(INDEX(Setup!$L$6:$L$23,11)))+(COUNTIF(K1368:M1368,"?*")&lt;N(INDEX(Setup!$L$6:$L$23,11)))+(COUNTIF(O1368:Q1368,"?*")&lt;N(INDEX(Setup!$L$6:$L$23,11)))+(COUNTIF(S1368:U1368,"?*")&lt;N(INDEX(Setup!$L$6:$L$23,11)))+((W1368="")*(INDEX(Setup!$M$6:$M$23,11)="Y"))+((Y1368="")*(INDEX(Setup!$M$6:$M$23,11)="Y")))</f>
        <v/>
      </c>
      <c r="AC1368" s="90">
        <f>IF($B1368="","",IF(AB1368=0,"✓ covered","⚠ "&amp;AB1368&amp;IF(AB1368=1," gap"," gaps")))</f>
        <v/>
      </c>
    </row>
    <row r="1369" ht="17" customHeight="1">
      <c r="A1369" t="n">
        <v>28</v>
      </c>
      <c r="B1369" s="29">
        <f>IF(Setup!$K$17="","",Setup!$K$17)</f>
        <v/>
      </c>
      <c r="C1369" s="88" t="n"/>
      <c r="D1369" s="88" t="n"/>
      <c r="E1369" s="88" t="n"/>
      <c r="F1369" s="89" t="n"/>
      <c r="G1369" s="88" t="n"/>
      <c r="H1369" s="88" t="n"/>
      <c r="I1369" s="88" t="n"/>
      <c r="J1369" s="89" t="n"/>
      <c r="K1369" s="88" t="n"/>
      <c r="L1369" s="88" t="n"/>
      <c r="M1369" s="88" t="n"/>
      <c r="N1369" s="89" t="n"/>
      <c r="O1369" s="88" t="n"/>
      <c r="P1369" s="88" t="n"/>
      <c r="Q1369" s="88" t="n"/>
      <c r="R1369" s="89" t="n"/>
      <c r="S1369" s="88" t="n"/>
      <c r="T1369" s="88" t="n"/>
      <c r="U1369" s="88" t="n"/>
      <c r="V1369" s="89" t="n"/>
      <c r="W1369" s="88" t="n"/>
      <c r="X1369" s="89" t="n"/>
      <c r="Y1369" s="88" t="n"/>
      <c r="Z1369" s="89" t="n"/>
      <c r="AB1369" s="30">
        <f>IF($B1369="","",(COUNTIF(C1369:E1369,"?*")&lt;N(INDEX(Setup!$L$6:$L$23,12)))+(COUNTIF(G1369:I1369,"?*")&lt;N(INDEX(Setup!$L$6:$L$23,12)))+(COUNTIF(K1369:M1369,"?*")&lt;N(INDEX(Setup!$L$6:$L$23,12)))+(COUNTIF(O1369:Q1369,"?*")&lt;N(INDEX(Setup!$L$6:$L$23,12)))+(COUNTIF(S1369:U1369,"?*")&lt;N(INDEX(Setup!$L$6:$L$23,12)))+((W1369="")*(INDEX(Setup!$M$6:$M$23,12)="Y"))+((Y1369="")*(INDEX(Setup!$M$6:$M$23,12)="Y")))</f>
        <v/>
      </c>
      <c r="AC1369" s="91">
        <f>IF($B1369="","",IF(AB1369=0,"✓ covered","⚠ "&amp;AB1369&amp;IF(AB1369=1," gap"," gaps")))</f>
        <v/>
      </c>
    </row>
    <row r="1370" ht="17" customHeight="1">
      <c r="A1370" t="n">
        <v>28</v>
      </c>
      <c r="B1370" s="24">
        <f>IF(Setup!$K$18="","",Setup!$K$18)</f>
        <v/>
      </c>
      <c r="C1370" s="88" t="n"/>
      <c r="D1370" s="88" t="n"/>
      <c r="E1370" s="88" t="n"/>
      <c r="F1370" s="89" t="n"/>
      <c r="G1370" s="88" t="n"/>
      <c r="H1370" s="88" t="n"/>
      <c r="I1370" s="88" t="n"/>
      <c r="J1370" s="89" t="n"/>
      <c r="K1370" s="88" t="n"/>
      <c r="L1370" s="88" t="n"/>
      <c r="M1370" s="88" t="n"/>
      <c r="N1370" s="89" t="n"/>
      <c r="O1370" s="88" t="n"/>
      <c r="P1370" s="88" t="n"/>
      <c r="Q1370" s="88" t="n"/>
      <c r="R1370" s="89" t="n"/>
      <c r="S1370" s="88" t="n"/>
      <c r="T1370" s="88" t="n"/>
      <c r="U1370" s="88" t="n"/>
      <c r="V1370" s="89" t="n"/>
      <c r="W1370" s="88" t="n"/>
      <c r="X1370" s="89" t="n"/>
      <c r="Y1370" s="88" t="n"/>
      <c r="Z1370" s="89" t="n"/>
      <c r="AB1370" s="25">
        <f>IF($B1370="","",(COUNTIF(C1370:E1370,"?*")&lt;N(INDEX(Setup!$L$6:$L$23,13)))+(COUNTIF(G1370:I1370,"?*")&lt;N(INDEX(Setup!$L$6:$L$23,13)))+(COUNTIF(K1370:M1370,"?*")&lt;N(INDEX(Setup!$L$6:$L$23,13)))+(COUNTIF(O1370:Q1370,"?*")&lt;N(INDEX(Setup!$L$6:$L$23,13)))+(COUNTIF(S1370:U1370,"?*")&lt;N(INDEX(Setup!$L$6:$L$23,13)))+((W1370="")*(INDEX(Setup!$M$6:$M$23,13)="Y"))+((Y1370="")*(INDEX(Setup!$M$6:$M$23,13)="Y")))</f>
        <v/>
      </c>
      <c r="AC1370" s="90">
        <f>IF($B1370="","",IF(AB1370=0,"✓ covered","⚠ "&amp;AB1370&amp;IF(AB1370=1," gap"," gaps")))</f>
        <v/>
      </c>
    </row>
    <row r="1371" ht="17" customHeight="1">
      <c r="A1371" t="n">
        <v>28</v>
      </c>
      <c r="B1371" s="29">
        <f>IF(Setup!$K$19="","",Setup!$K$19)</f>
        <v/>
      </c>
      <c r="C1371" s="88" t="n"/>
      <c r="D1371" s="88" t="n"/>
      <c r="E1371" s="88" t="n"/>
      <c r="F1371" s="89" t="n"/>
      <c r="G1371" s="88" t="n"/>
      <c r="H1371" s="88" t="n"/>
      <c r="I1371" s="88" t="n"/>
      <c r="J1371" s="89" t="n"/>
      <c r="K1371" s="88" t="n"/>
      <c r="L1371" s="88" t="n"/>
      <c r="M1371" s="88" t="n"/>
      <c r="N1371" s="89" t="n"/>
      <c r="O1371" s="88" t="n"/>
      <c r="P1371" s="88" t="n"/>
      <c r="Q1371" s="88" t="n"/>
      <c r="R1371" s="89" t="n"/>
      <c r="S1371" s="88" t="n"/>
      <c r="T1371" s="88" t="n"/>
      <c r="U1371" s="88" t="n"/>
      <c r="V1371" s="89" t="n"/>
      <c r="W1371" s="88" t="n"/>
      <c r="X1371" s="89" t="n"/>
      <c r="Y1371" s="88" t="n"/>
      <c r="Z1371" s="89" t="n"/>
      <c r="AB1371" s="30">
        <f>IF($B1371="","",(COUNTIF(C1371:E1371,"?*")&lt;N(INDEX(Setup!$L$6:$L$23,14)))+(COUNTIF(G1371:I1371,"?*")&lt;N(INDEX(Setup!$L$6:$L$23,14)))+(COUNTIF(K1371:M1371,"?*")&lt;N(INDEX(Setup!$L$6:$L$23,14)))+(COUNTIF(O1371:Q1371,"?*")&lt;N(INDEX(Setup!$L$6:$L$23,14)))+(COUNTIF(S1371:U1371,"?*")&lt;N(INDEX(Setup!$L$6:$L$23,14)))+((W1371="")*(INDEX(Setup!$M$6:$M$23,14)="Y"))+((Y1371="")*(INDEX(Setup!$M$6:$M$23,14)="Y")))</f>
        <v/>
      </c>
      <c r="AC1371" s="91">
        <f>IF($B1371="","",IF(AB1371=0,"✓ covered","⚠ "&amp;AB1371&amp;IF(AB1371=1," gap"," gaps")))</f>
        <v/>
      </c>
    </row>
    <row r="1372" ht="17" customHeight="1">
      <c r="A1372" t="n">
        <v>28</v>
      </c>
      <c r="B1372" s="24">
        <f>IF(Setup!$K$20="","",Setup!$K$20)</f>
        <v/>
      </c>
      <c r="C1372" s="88" t="n"/>
      <c r="D1372" s="88" t="n"/>
      <c r="E1372" s="88" t="n"/>
      <c r="F1372" s="89" t="n"/>
      <c r="G1372" s="88" t="n"/>
      <c r="H1372" s="88" t="n"/>
      <c r="I1372" s="88" t="n"/>
      <c r="J1372" s="89" t="n"/>
      <c r="K1372" s="88" t="n"/>
      <c r="L1372" s="88" t="n"/>
      <c r="M1372" s="88" t="n"/>
      <c r="N1372" s="89" t="n"/>
      <c r="O1372" s="88" t="n"/>
      <c r="P1372" s="88" t="n"/>
      <c r="Q1372" s="88" t="n"/>
      <c r="R1372" s="89" t="n"/>
      <c r="S1372" s="88" t="n"/>
      <c r="T1372" s="88" t="n"/>
      <c r="U1372" s="88" t="n"/>
      <c r="V1372" s="89" t="n"/>
      <c r="W1372" s="88" t="n"/>
      <c r="X1372" s="89" t="n"/>
      <c r="Y1372" s="88" t="n"/>
      <c r="Z1372" s="89" t="n"/>
      <c r="AB1372" s="25">
        <f>IF($B1372="","",(COUNTIF(C1372:E1372,"?*")&lt;N(INDEX(Setup!$L$6:$L$23,15)))+(COUNTIF(G1372:I1372,"?*")&lt;N(INDEX(Setup!$L$6:$L$23,15)))+(COUNTIF(K1372:M1372,"?*")&lt;N(INDEX(Setup!$L$6:$L$23,15)))+(COUNTIF(O1372:Q1372,"?*")&lt;N(INDEX(Setup!$L$6:$L$23,15)))+(COUNTIF(S1372:U1372,"?*")&lt;N(INDEX(Setup!$L$6:$L$23,15)))+((W1372="")*(INDEX(Setup!$M$6:$M$23,15)="Y"))+((Y1372="")*(INDEX(Setup!$M$6:$M$23,15)="Y")))</f>
        <v/>
      </c>
      <c r="AC1372" s="90">
        <f>IF($B1372="","",IF(AB1372=0,"✓ covered","⚠ "&amp;AB1372&amp;IF(AB1372=1," gap"," gaps")))</f>
        <v/>
      </c>
    </row>
    <row r="1373" ht="17" customHeight="1">
      <c r="A1373" t="n">
        <v>28</v>
      </c>
      <c r="B1373" s="29">
        <f>IF(Setup!$K$21="","",Setup!$K$21)</f>
        <v/>
      </c>
      <c r="C1373" s="88" t="n"/>
      <c r="D1373" s="88" t="n"/>
      <c r="E1373" s="88" t="n"/>
      <c r="F1373" s="89" t="n"/>
      <c r="G1373" s="88" t="n"/>
      <c r="H1373" s="88" t="n"/>
      <c r="I1373" s="88" t="n"/>
      <c r="J1373" s="89" t="n"/>
      <c r="K1373" s="88" t="n"/>
      <c r="L1373" s="88" t="n"/>
      <c r="M1373" s="88" t="n"/>
      <c r="N1373" s="89" t="n"/>
      <c r="O1373" s="88" t="n"/>
      <c r="P1373" s="88" t="n"/>
      <c r="Q1373" s="88" t="n"/>
      <c r="R1373" s="89" t="n"/>
      <c r="S1373" s="88" t="n"/>
      <c r="T1373" s="88" t="n"/>
      <c r="U1373" s="88" t="n"/>
      <c r="V1373" s="89" t="n"/>
      <c r="W1373" s="88" t="n"/>
      <c r="X1373" s="89" t="n"/>
      <c r="Y1373" s="88" t="n"/>
      <c r="Z1373" s="89" t="n"/>
      <c r="AB1373" s="30">
        <f>IF($B1373="","",(COUNTIF(C1373:E1373,"?*")&lt;N(INDEX(Setup!$L$6:$L$23,16)))+(COUNTIF(G1373:I1373,"?*")&lt;N(INDEX(Setup!$L$6:$L$23,16)))+(COUNTIF(K1373:M1373,"?*")&lt;N(INDEX(Setup!$L$6:$L$23,16)))+(COUNTIF(O1373:Q1373,"?*")&lt;N(INDEX(Setup!$L$6:$L$23,16)))+(COUNTIF(S1373:U1373,"?*")&lt;N(INDEX(Setup!$L$6:$L$23,16)))+((W1373="")*(INDEX(Setup!$M$6:$M$23,16)="Y"))+((Y1373="")*(INDEX(Setup!$M$6:$M$23,16)="Y")))</f>
        <v/>
      </c>
      <c r="AC1373" s="91">
        <f>IF($B1373="","",IF(AB1373=0,"✓ covered","⚠ "&amp;AB1373&amp;IF(AB1373=1," gap"," gaps")))</f>
        <v/>
      </c>
    </row>
    <row r="1374" ht="17" customHeight="1">
      <c r="A1374" t="n">
        <v>28</v>
      </c>
      <c r="B1374" s="24">
        <f>IF(Setup!$K$22="","",Setup!$K$22)</f>
        <v/>
      </c>
      <c r="C1374" s="88" t="n"/>
      <c r="D1374" s="88" t="n"/>
      <c r="E1374" s="88" t="n"/>
      <c r="F1374" s="89" t="n"/>
      <c r="G1374" s="88" t="n"/>
      <c r="H1374" s="88" t="n"/>
      <c r="I1374" s="88" t="n"/>
      <c r="J1374" s="89" t="n"/>
      <c r="K1374" s="88" t="n"/>
      <c r="L1374" s="88" t="n"/>
      <c r="M1374" s="88" t="n"/>
      <c r="N1374" s="89" t="n"/>
      <c r="O1374" s="88" t="n"/>
      <c r="P1374" s="88" t="n"/>
      <c r="Q1374" s="88" t="n"/>
      <c r="R1374" s="89" t="n"/>
      <c r="S1374" s="88" t="n"/>
      <c r="T1374" s="88" t="n"/>
      <c r="U1374" s="88" t="n"/>
      <c r="V1374" s="89" t="n"/>
      <c r="W1374" s="88" t="n"/>
      <c r="X1374" s="89" t="n"/>
      <c r="Y1374" s="88" t="n"/>
      <c r="Z1374" s="89" t="n"/>
      <c r="AB1374" s="25">
        <f>IF($B1374="","",(COUNTIF(C1374:E1374,"?*")&lt;N(INDEX(Setup!$L$6:$L$23,17)))+(COUNTIF(G1374:I1374,"?*")&lt;N(INDEX(Setup!$L$6:$L$23,17)))+(COUNTIF(K1374:M1374,"?*")&lt;N(INDEX(Setup!$L$6:$L$23,17)))+(COUNTIF(O1374:Q1374,"?*")&lt;N(INDEX(Setup!$L$6:$L$23,17)))+(COUNTIF(S1374:U1374,"?*")&lt;N(INDEX(Setup!$L$6:$L$23,17)))+((W1374="")*(INDEX(Setup!$M$6:$M$23,17)="Y"))+((Y1374="")*(INDEX(Setup!$M$6:$M$23,17)="Y")))</f>
        <v/>
      </c>
      <c r="AC1374" s="90">
        <f>IF($B1374="","",IF(AB1374=0,"✓ covered","⚠ "&amp;AB1374&amp;IF(AB1374=1," gap"," gaps")))</f>
        <v/>
      </c>
    </row>
    <row r="1375" ht="17" customHeight="1">
      <c r="A1375" t="n">
        <v>28</v>
      </c>
      <c r="B1375" s="29">
        <f>IF(Setup!$K$23="","",Setup!$K$23)</f>
        <v/>
      </c>
      <c r="C1375" s="88" t="n"/>
      <c r="D1375" s="88" t="n"/>
      <c r="E1375" s="88" t="n"/>
      <c r="F1375" s="89" t="n"/>
      <c r="G1375" s="88" t="n"/>
      <c r="H1375" s="88" t="n"/>
      <c r="I1375" s="88" t="n"/>
      <c r="J1375" s="89" t="n"/>
      <c r="K1375" s="88" t="n"/>
      <c r="L1375" s="88" t="n"/>
      <c r="M1375" s="88" t="n"/>
      <c r="N1375" s="89" t="n"/>
      <c r="O1375" s="88" t="n"/>
      <c r="P1375" s="88" t="n"/>
      <c r="Q1375" s="88" t="n"/>
      <c r="R1375" s="89" t="n"/>
      <c r="S1375" s="88" t="n"/>
      <c r="T1375" s="88" t="n"/>
      <c r="U1375" s="88" t="n"/>
      <c r="V1375" s="89" t="n"/>
      <c r="W1375" s="88" t="n"/>
      <c r="X1375" s="89" t="n"/>
      <c r="Y1375" s="88" t="n"/>
      <c r="Z1375" s="89" t="n"/>
      <c r="AB1375" s="30">
        <f>IF($B1375="","",(COUNTIF(C1375:E1375,"?*")&lt;N(INDEX(Setup!$L$6:$L$23,18)))+(COUNTIF(G1375:I1375,"?*")&lt;N(INDEX(Setup!$L$6:$L$23,18)))+(COUNTIF(K1375:M1375,"?*")&lt;N(INDEX(Setup!$L$6:$L$23,18)))+(COUNTIF(O1375:Q1375,"?*")&lt;N(INDEX(Setup!$L$6:$L$23,18)))+(COUNTIF(S1375:U1375,"?*")&lt;N(INDEX(Setup!$L$6:$L$23,18)))+((W1375="")*(INDEX(Setup!$M$6:$M$23,18)="Y"))+((Y1375="")*(INDEX(Setup!$M$6:$M$23,18)="Y")))</f>
        <v/>
      </c>
      <c r="AC1375" s="91">
        <f>IF($B1375="","",IF(AB1375=0,"✓ covered","⚠ "&amp;AB1375&amp;IF(AB1375=1," gap"," gaps")))</f>
        <v/>
      </c>
    </row>
    <row r="1376" ht="18" customHeight="1">
      <c r="A1376" t="n">
        <v>28</v>
      </c>
      <c r="B1376" s="78" t="inlineStr">
        <is>
          <t>TEAM AVAILABILITY</t>
        </is>
      </c>
      <c r="C1376" s="92" t="inlineStr">
        <is>
          <t>Mon</t>
        </is>
      </c>
      <c r="D1376" s="93" t="n"/>
      <c r="E1376" s="93" t="n"/>
      <c r="F1376" s="94" t="n"/>
      <c r="G1376" s="92" t="inlineStr">
        <is>
          <t>Tue</t>
        </is>
      </c>
      <c r="H1376" s="93" t="n"/>
      <c r="I1376" s="93" t="n"/>
      <c r="J1376" s="94" t="n"/>
      <c r="K1376" s="92" t="inlineStr">
        <is>
          <t>Wed</t>
        </is>
      </c>
      <c r="L1376" s="93" t="n"/>
      <c r="M1376" s="93" t="n"/>
      <c r="N1376" s="94" t="n"/>
      <c r="O1376" s="92" t="inlineStr">
        <is>
          <t>Thu</t>
        </is>
      </c>
      <c r="P1376" s="93" t="n"/>
      <c r="Q1376" s="93" t="n"/>
      <c r="R1376" s="94" t="n"/>
      <c r="S1376" s="92" t="inlineStr">
        <is>
          <t>Fri</t>
        </is>
      </c>
      <c r="T1376" s="93" t="n"/>
      <c r="U1376" s="93" t="n"/>
      <c r="V1376" s="94" t="n"/>
      <c r="W1376" s="95" t="inlineStr">
        <is>
          <t>Sat</t>
        </is>
      </c>
      <c r="X1376" s="96" t="n"/>
      <c r="Y1376" s="95" t="inlineStr">
        <is>
          <t>Sun</t>
        </is>
      </c>
      <c r="Z1376" s="96" t="n"/>
      <c r="AB1376" s="97" t="inlineStr">
        <is>
          <t>Days rostered</t>
        </is>
      </c>
      <c r="AC1376" s="97" t="inlineStr">
        <is>
          <t>Conflicts</t>
        </is>
      </c>
    </row>
    <row r="1377" ht="15" customHeight="1">
      <c r="A1377" t="n">
        <v>28</v>
      </c>
      <c r="B1377" s="35">
        <f>IF(Setup!$B$6="","",Setup!$B$6)</f>
        <v/>
      </c>
      <c r="C1377" s="98" t="n"/>
      <c r="D1377" s="99" t="n"/>
      <c r="E1377" s="99" t="n"/>
      <c r="F1377" s="100" t="n"/>
      <c r="G1377" s="98" t="n"/>
      <c r="H1377" s="99" t="n"/>
      <c r="I1377" s="99" t="n"/>
      <c r="J1377" s="100" t="n"/>
      <c r="K1377" s="98" t="n"/>
      <c r="L1377" s="99" t="n"/>
      <c r="M1377" s="99" t="n"/>
      <c r="N1377" s="100" t="n"/>
      <c r="O1377" s="98" t="n"/>
      <c r="P1377" s="99" t="n"/>
      <c r="Q1377" s="99" t="n"/>
      <c r="R1377" s="100" t="n"/>
      <c r="S1377" s="98" t="n"/>
      <c r="T1377" s="99" t="n"/>
      <c r="U1377" s="99" t="n"/>
      <c r="V1377" s="100" t="n"/>
      <c r="W1377" s="98" t="n"/>
      <c r="X1377" s="100" t="n"/>
      <c r="Y1377" s="98" t="n"/>
      <c r="Z1377" s="100" t="n"/>
      <c r="AB1377" s="101">
        <f>IF($B1377="","",(COUNTIF(C1358:E1375,$B1377)+COUNTIF(C1358:E1375,$B1377&amp;" ~*")&gt;0)+(COUNTIF(G1358:I1375,$B1377)+COUNTIF(G1358:I1375,$B1377&amp;" ~*")&gt;0)+(COUNTIF(K1358:M1375,$B1377)+COUNTIF(K1358:M1375,$B1377&amp;" ~*")&gt;0)+(COUNTIF(O1358:Q1375,$B1377)+COUNTIF(O1358:Q1375,$B1377&amp;" ~*")&gt;0)+(COUNTIF(S1358:U1375,$B1377)+COUNTIF(S1358:U1375,$B1377&amp;" ~*")&gt;0)+(COUNTIF(W1358:W1375,$B1377)+COUNTIF(W1358:W1375,$B1377&amp;" ~*")&gt;0)+(COUNTIF(Y1358:Y1375,$B1377)+COUNTIF(Y1358:Y1375,$B1377&amp;" ~*")&gt;0))</f>
        <v/>
      </c>
      <c r="AC1377" s="36">
        <f>IF($B1377="","",(IFERROR(INDEX(Setup!$G$33:$G$40,MATCH(C1377,Setup!$B$33:$B$40,0)),0)=1)*(COUNTIF(C1358:E1375,$B1377)+COUNTIF(C1358:E1375,$B1377&amp;" ~*")&gt;0)+(IFERROR(INDEX(Setup!$G$33:$G$40,MATCH(G1377,Setup!$B$33:$B$40,0)),0)=1)*(COUNTIF(G1358:I1375,$B1377)+COUNTIF(G1358:I1375,$B1377&amp;" ~*")&gt;0)+(IFERROR(INDEX(Setup!$G$33:$G$40,MATCH(K1377,Setup!$B$33:$B$40,0)),0)=1)*(COUNTIF(K1358:M1375,$B1377)+COUNTIF(K1358:M1375,$B1377&amp;" ~*")&gt;0)+(IFERROR(INDEX(Setup!$G$33:$G$40,MATCH(O1377,Setup!$B$33:$B$40,0)),0)=1)*(COUNTIF(O1358:Q1375,$B1377)+COUNTIF(O1358:Q1375,$B1377&amp;" ~*")&gt;0)+(IFERROR(INDEX(Setup!$G$33:$G$40,MATCH(S1377,Setup!$B$33:$B$40,0)),0)=1)*(COUNTIF(S1358:U1375,$B1377)+COUNTIF(S1358:U1375,$B1377&amp;" ~*")&gt;0)+(IFERROR(INDEX(Setup!$G$33:$G$40,MATCH(W1377,Setup!$B$33:$B$40,0)),0)=1)*(COUNTIF(W1358:W1375,$B1377)+COUNTIF(W1358:W1375,$B1377&amp;" ~*")&gt;0)+(IFERROR(INDEX(Setup!$G$33:$G$40,MATCH(Y1377,Setup!$B$33:$B$40,0)),0)=1)*(COUNTIF(Y1358:Y1375,$B1377)+COUNTIF(Y1358:Y1375,$B1377&amp;" ~*")&gt;0))</f>
        <v/>
      </c>
    </row>
    <row r="1378" ht="15" customHeight="1">
      <c r="A1378" t="n">
        <v>28</v>
      </c>
      <c r="B1378" s="37">
        <f>IF(Setup!$B$7="","",Setup!$B$7)</f>
        <v/>
      </c>
      <c r="C1378" s="102" t="n"/>
      <c r="D1378" s="103" t="n"/>
      <c r="E1378" s="103" t="n"/>
      <c r="F1378" s="104" t="n"/>
      <c r="G1378" s="102" t="n"/>
      <c r="H1378" s="103" t="n"/>
      <c r="I1378" s="103" t="n"/>
      <c r="J1378" s="104" t="n"/>
      <c r="K1378" s="102" t="n"/>
      <c r="L1378" s="103" t="n"/>
      <c r="M1378" s="103" t="n"/>
      <c r="N1378" s="104" t="n"/>
      <c r="O1378" s="102" t="n"/>
      <c r="P1378" s="103" t="n"/>
      <c r="Q1378" s="103" t="n"/>
      <c r="R1378" s="104" t="n"/>
      <c r="S1378" s="102" t="n"/>
      <c r="T1378" s="103" t="n"/>
      <c r="U1378" s="103" t="n"/>
      <c r="V1378" s="104" t="n"/>
      <c r="W1378" s="102" t="n"/>
      <c r="X1378" s="104" t="n"/>
      <c r="Y1378" s="102" t="n"/>
      <c r="Z1378" s="104" t="n"/>
      <c r="AB1378" s="105">
        <f>IF($B1378="","",(COUNTIF(C1358:E1375,$B1378)+COUNTIF(C1358:E1375,$B1378&amp;" ~*")&gt;0)+(COUNTIF(G1358:I1375,$B1378)+COUNTIF(G1358:I1375,$B1378&amp;" ~*")&gt;0)+(COUNTIF(K1358:M1375,$B1378)+COUNTIF(K1358:M1375,$B1378&amp;" ~*")&gt;0)+(COUNTIF(O1358:Q1375,$B1378)+COUNTIF(O1358:Q1375,$B1378&amp;" ~*")&gt;0)+(COUNTIF(S1358:U1375,$B1378)+COUNTIF(S1358:U1375,$B1378&amp;" ~*")&gt;0)+(COUNTIF(W1358:W1375,$B1378)+COUNTIF(W1358:W1375,$B1378&amp;" ~*")&gt;0)+(COUNTIF(Y1358:Y1375,$B1378)+COUNTIF(Y1358:Y1375,$B1378&amp;" ~*")&gt;0))</f>
        <v/>
      </c>
      <c r="AC1378" s="38">
        <f>IF($B1378="","",(IFERROR(INDEX(Setup!$G$33:$G$40,MATCH(C1378,Setup!$B$33:$B$40,0)),0)=1)*(COUNTIF(C1358:E1375,$B1378)+COUNTIF(C1358:E1375,$B1378&amp;" ~*")&gt;0)+(IFERROR(INDEX(Setup!$G$33:$G$40,MATCH(G1378,Setup!$B$33:$B$40,0)),0)=1)*(COUNTIF(G1358:I1375,$B1378)+COUNTIF(G1358:I1375,$B1378&amp;" ~*")&gt;0)+(IFERROR(INDEX(Setup!$G$33:$G$40,MATCH(K1378,Setup!$B$33:$B$40,0)),0)=1)*(COUNTIF(K1358:M1375,$B1378)+COUNTIF(K1358:M1375,$B1378&amp;" ~*")&gt;0)+(IFERROR(INDEX(Setup!$G$33:$G$40,MATCH(O1378,Setup!$B$33:$B$40,0)),0)=1)*(COUNTIF(O1358:Q1375,$B1378)+COUNTIF(O1358:Q1375,$B1378&amp;" ~*")&gt;0)+(IFERROR(INDEX(Setup!$G$33:$G$40,MATCH(S1378,Setup!$B$33:$B$40,0)),0)=1)*(COUNTIF(S1358:U1375,$B1378)+COUNTIF(S1358:U1375,$B1378&amp;" ~*")&gt;0)+(IFERROR(INDEX(Setup!$G$33:$G$40,MATCH(W1378,Setup!$B$33:$B$40,0)),0)=1)*(COUNTIF(W1358:W1375,$B1378)+COUNTIF(W1358:W1375,$B1378&amp;" ~*")&gt;0)+(IFERROR(INDEX(Setup!$G$33:$G$40,MATCH(Y1378,Setup!$B$33:$B$40,0)),0)=1)*(COUNTIF(Y1358:Y1375,$B1378)+COUNTIF(Y1358:Y1375,$B1378&amp;" ~*")&gt;0))</f>
        <v/>
      </c>
    </row>
    <row r="1379" ht="15" customHeight="1">
      <c r="A1379" t="n">
        <v>28</v>
      </c>
      <c r="B1379" s="35">
        <f>IF(Setup!$B$8="","",Setup!$B$8)</f>
        <v/>
      </c>
      <c r="C1379" s="98" t="n"/>
      <c r="D1379" s="99" t="n"/>
      <c r="E1379" s="99" t="n"/>
      <c r="F1379" s="100" t="n"/>
      <c r="G1379" s="98" t="n"/>
      <c r="H1379" s="99" t="n"/>
      <c r="I1379" s="99" t="n"/>
      <c r="J1379" s="100" t="n"/>
      <c r="K1379" s="98" t="n"/>
      <c r="L1379" s="99" t="n"/>
      <c r="M1379" s="99" t="n"/>
      <c r="N1379" s="100" t="n"/>
      <c r="O1379" s="98" t="n"/>
      <c r="P1379" s="99" t="n"/>
      <c r="Q1379" s="99" t="n"/>
      <c r="R1379" s="100" t="n"/>
      <c r="S1379" s="98" t="n"/>
      <c r="T1379" s="99" t="n"/>
      <c r="U1379" s="99" t="n"/>
      <c r="V1379" s="100" t="n"/>
      <c r="W1379" s="98" t="n"/>
      <c r="X1379" s="100" t="n"/>
      <c r="Y1379" s="98" t="n"/>
      <c r="Z1379" s="100" t="n"/>
      <c r="AB1379" s="101">
        <f>IF($B1379="","",(COUNTIF(C1358:E1375,$B1379)+COUNTIF(C1358:E1375,$B1379&amp;" ~*")&gt;0)+(COUNTIF(G1358:I1375,$B1379)+COUNTIF(G1358:I1375,$B1379&amp;" ~*")&gt;0)+(COUNTIF(K1358:M1375,$B1379)+COUNTIF(K1358:M1375,$B1379&amp;" ~*")&gt;0)+(COUNTIF(O1358:Q1375,$B1379)+COUNTIF(O1358:Q1375,$B1379&amp;" ~*")&gt;0)+(COUNTIF(S1358:U1375,$B1379)+COUNTIF(S1358:U1375,$B1379&amp;" ~*")&gt;0)+(COUNTIF(W1358:W1375,$B1379)+COUNTIF(W1358:W1375,$B1379&amp;" ~*")&gt;0)+(COUNTIF(Y1358:Y1375,$B1379)+COUNTIF(Y1358:Y1375,$B1379&amp;" ~*")&gt;0))</f>
        <v/>
      </c>
      <c r="AC1379" s="36">
        <f>IF($B1379="","",(IFERROR(INDEX(Setup!$G$33:$G$40,MATCH(C1379,Setup!$B$33:$B$40,0)),0)=1)*(COUNTIF(C1358:E1375,$B1379)+COUNTIF(C1358:E1375,$B1379&amp;" ~*")&gt;0)+(IFERROR(INDEX(Setup!$G$33:$G$40,MATCH(G1379,Setup!$B$33:$B$40,0)),0)=1)*(COUNTIF(G1358:I1375,$B1379)+COUNTIF(G1358:I1375,$B1379&amp;" ~*")&gt;0)+(IFERROR(INDEX(Setup!$G$33:$G$40,MATCH(K1379,Setup!$B$33:$B$40,0)),0)=1)*(COUNTIF(K1358:M1375,$B1379)+COUNTIF(K1358:M1375,$B1379&amp;" ~*")&gt;0)+(IFERROR(INDEX(Setup!$G$33:$G$40,MATCH(O1379,Setup!$B$33:$B$40,0)),0)=1)*(COUNTIF(O1358:Q1375,$B1379)+COUNTIF(O1358:Q1375,$B1379&amp;" ~*")&gt;0)+(IFERROR(INDEX(Setup!$G$33:$G$40,MATCH(S1379,Setup!$B$33:$B$40,0)),0)=1)*(COUNTIF(S1358:U1375,$B1379)+COUNTIF(S1358:U1375,$B1379&amp;" ~*")&gt;0)+(IFERROR(INDEX(Setup!$G$33:$G$40,MATCH(W1379,Setup!$B$33:$B$40,0)),0)=1)*(COUNTIF(W1358:W1375,$B1379)+COUNTIF(W1358:W1375,$B1379&amp;" ~*")&gt;0)+(IFERROR(INDEX(Setup!$G$33:$G$40,MATCH(Y1379,Setup!$B$33:$B$40,0)),0)=1)*(COUNTIF(Y1358:Y1375,$B1379)+COUNTIF(Y1358:Y1375,$B1379&amp;" ~*")&gt;0))</f>
        <v/>
      </c>
    </row>
    <row r="1380" ht="15" customHeight="1">
      <c r="A1380" t="n">
        <v>28</v>
      </c>
      <c r="B1380" s="37">
        <f>IF(Setup!$B$9="","",Setup!$B$9)</f>
        <v/>
      </c>
      <c r="C1380" s="102" t="n"/>
      <c r="D1380" s="103" t="n"/>
      <c r="E1380" s="103" t="n"/>
      <c r="F1380" s="104" t="n"/>
      <c r="G1380" s="102" t="n"/>
      <c r="H1380" s="103" t="n"/>
      <c r="I1380" s="103" t="n"/>
      <c r="J1380" s="104" t="n"/>
      <c r="K1380" s="102" t="n"/>
      <c r="L1380" s="103" t="n"/>
      <c r="M1380" s="103" t="n"/>
      <c r="N1380" s="104" t="n"/>
      <c r="O1380" s="102" t="n"/>
      <c r="P1380" s="103" t="n"/>
      <c r="Q1380" s="103" t="n"/>
      <c r="R1380" s="104" t="n"/>
      <c r="S1380" s="102" t="n"/>
      <c r="T1380" s="103" t="n"/>
      <c r="U1380" s="103" t="n"/>
      <c r="V1380" s="104" t="n"/>
      <c r="W1380" s="102" t="n"/>
      <c r="X1380" s="104" t="n"/>
      <c r="Y1380" s="102" t="n"/>
      <c r="Z1380" s="104" t="n"/>
      <c r="AB1380" s="105">
        <f>IF($B1380="","",(COUNTIF(C1358:E1375,$B1380)+COUNTIF(C1358:E1375,$B1380&amp;" ~*")&gt;0)+(COUNTIF(G1358:I1375,$B1380)+COUNTIF(G1358:I1375,$B1380&amp;" ~*")&gt;0)+(COUNTIF(K1358:M1375,$B1380)+COUNTIF(K1358:M1375,$B1380&amp;" ~*")&gt;0)+(COUNTIF(O1358:Q1375,$B1380)+COUNTIF(O1358:Q1375,$B1380&amp;" ~*")&gt;0)+(COUNTIF(S1358:U1375,$B1380)+COUNTIF(S1358:U1375,$B1380&amp;" ~*")&gt;0)+(COUNTIF(W1358:W1375,$B1380)+COUNTIF(W1358:W1375,$B1380&amp;" ~*")&gt;0)+(COUNTIF(Y1358:Y1375,$B1380)+COUNTIF(Y1358:Y1375,$B1380&amp;" ~*")&gt;0))</f>
        <v/>
      </c>
      <c r="AC1380" s="38">
        <f>IF($B1380="","",(IFERROR(INDEX(Setup!$G$33:$G$40,MATCH(C1380,Setup!$B$33:$B$40,0)),0)=1)*(COUNTIF(C1358:E1375,$B1380)+COUNTIF(C1358:E1375,$B1380&amp;" ~*")&gt;0)+(IFERROR(INDEX(Setup!$G$33:$G$40,MATCH(G1380,Setup!$B$33:$B$40,0)),0)=1)*(COUNTIF(G1358:I1375,$B1380)+COUNTIF(G1358:I1375,$B1380&amp;" ~*")&gt;0)+(IFERROR(INDEX(Setup!$G$33:$G$40,MATCH(K1380,Setup!$B$33:$B$40,0)),0)=1)*(COUNTIF(K1358:M1375,$B1380)+COUNTIF(K1358:M1375,$B1380&amp;" ~*")&gt;0)+(IFERROR(INDEX(Setup!$G$33:$G$40,MATCH(O1380,Setup!$B$33:$B$40,0)),0)=1)*(COUNTIF(O1358:Q1375,$B1380)+COUNTIF(O1358:Q1375,$B1380&amp;" ~*")&gt;0)+(IFERROR(INDEX(Setup!$G$33:$G$40,MATCH(S1380,Setup!$B$33:$B$40,0)),0)=1)*(COUNTIF(S1358:U1375,$B1380)+COUNTIF(S1358:U1375,$B1380&amp;" ~*")&gt;0)+(IFERROR(INDEX(Setup!$G$33:$G$40,MATCH(W1380,Setup!$B$33:$B$40,0)),0)=1)*(COUNTIF(W1358:W1375,$B1380)+COUNTIF(W1358:W1375,$B1380&amp;" ~*")&gt;0)+(IFERROR(INDEX(Setup!$G$33:$G$40,MATCH(Y1380,Setup!$B$33:$B$40,0)),0)=1)*(COUNTIF(Y1358:Y1375,$B1380)+COUNTIF(Y1358:Y1375,$B1380&amp;" ~*")&gt;0))</f>
        <v/>
      </c>
    </row>
    <row r="1381" ht="15" customHeight="1">
      <c r="A1381" t="n">
        <v>28</v>
      </c>
      <c r="B1381" s="35">
        <f>IF(Setup!$B$10="","",Setup!$B$10)</f>
        <v/>
      </c>
      <c r="C1381" s="98" t="n"/>
      <c r="D1381" s="99" t="n"/>
      <c r="E1381" s="99" t="n"/>
      <c r="F1381" s="100" t="n"/>
      <c r="G1381" s="98" t="n"/>
      <c r="H1381" s="99" t="n"/>
      <c r="I1381" s="99" t="n"/>
      <c r="J1381" s="100" t="n"/>
      <c r="K1381" s="98" t="n"/>
      <c r="L1381" s="99" t="n"/>
      <c r="M1381" s="99" t="n"/>
      <c r="N1381" s="100" t="n"/>
      <c r="O1381" s="98" t="n"/>
      <c r="P1381" s="99" t="n"/>
      <c r="Q1381" s="99" t="n"/>
      <c r="R1381" s="100" t="n"/>
      <c r="S1381" s="98" t="n"/>
      <c r="T1381" s="99" t="n"/>
      <c r="U1381" s="99" t="n"/>
      <c r="V1381" s="100" t="n"/>
      <c r="W1381" s="98" t="n"/>
      <c r="X1381" s="100" t="n"/>
      <c r="Y1381" s="98" t="n"/>
      <c r="Z1381" s="100" t="n"/>
      <c r="AB1381" s="101">
        <f>IF($B1381="","",(COUNTIF(C1358:E1375,$B1381)+COUNTIF(C1358:E1375,$B1381&amp;" ~*")&gt;0)+(COUNTIF(G1358:I1375,$B1381)+COUNTIF(G1358:I1375,$B1381&amp;" ~*")&gt;0)+(COUNTIF(K1358:M1375,$B1381)+COUNTIF(K1358:M1375,$B1381&amp;" ~*")&gt;0)+(COUNTIF(O1358:Q1375,$B1381)+COUNTIF(O1358:Q1375,$B1381&amp;" ~*")&gt;0)+(COUNTIF(S1358:U1375,$B1381)+COUNTIF(S1358:U1375,$B1381&amp;" ~*")&gt;0)+(COUNTIF(W1358:W1375,$B1381)+COUNTIF(W1358:W1375,$B1381&amp;" ~*")&gt;0)+(COUNTIF(Y1358:Y1375,$B1381)+COUNTIF(Y1358:Y1375,$B1381&amp;" ~*")&gt;0))</f>
        <v/>
      </c>
      <c r="AC1381" s="36">
        <f>IF($B1381="","",(IFERROR(INDEX(Setup!$G$33:$G$40,MATCH(C1381,Setup!$B$33:$B$40,0)),0)=1)*(COUNTIF(C1358:E1375,$B1381)+COUNTIF(C1358:E1375,$B1381&amp;" ~*")&gt;0)+(IFERROR(INDEX(Setup!$G$33:$G$40,MATCH(G1381,Setup!$B$33:$B$40,0)),0)=1)*(COUNTIF(G1358:I1375,$B1381)+COUNTIF(G1358:I1375,$B1381&amp;" ~*")&gt;0)+(IFERROR(INDEX(Setup!$G$33:$G$40,MATCH(K1381,Setup!$B$33:$B$40,0)),0)=1)*(COUNTIF(K1358:M1375,$B1381)+COUNTIF(K1358:M1375,$B1381&amp;" ~*")&gt;0)+(IFERROR(INDEX(Setup!$G$33:$G$40,MATCH(O1381,Setup!$B$33:$B$40,0)),0)=1)*(COUNTIF(O1358:Q1375,$B1381)+COUNTIF(O1358:Q1375,$B1381&amp;" ~*")&gt;0)+(IFERROR(INDEX(Setup!$G$33:$G$40,MATCH(S1381,Setup!$B$33:$B$40,0)),0)=1)*(COUNTIF(S1358:U1375,$B1381)+COUNTIF(S1358:U1375,$B1381&amp;" ~*")&gt;0)+(IFERROR(INDEX(Setup!$G$33:$G$40,MATCH(W1381,Setup!$B$33:$B$40,0)),0)=1)*(COUNTIF(W1358:W1375,$B1381)+COUNTIF(W1358:W1375,$B1381&amp;" ~*")&gt;0)+(IFERROR(INDEX(Setup!$G$33:$G$40,MATCH(Y1381,Setup!$B$33:$B$40,0)),0)=1)*(COUNTIF(Y1358:Y1375,$B1381)+COUNTIF(Y1358:Y1375,$B1381&amp;" ~*")&gt;0))</f>
        <v/>
      </c>
    </row>
    <row r="1382" ht="15" customHeight="1">
      <c r="A1382" t="n">
        <v>28</v>
      </c>
      <c r="B1382" s="37">
        <f>IF(Setup!$B$11="","",Setup!$B$11)</f>
        <v/>
      </c>
      <c r="C1382" s="102" t="n"/>
      <c r="D1382" s="103" t="n"/>
      <c r="E1382" s="103" t="n"/>
      <c r="F1382" s="104" t="n"/>
      <c r="G1382" s="102" t="n"/>
      <c r="H1382" s="103" t="n"/>
      <c r="I1382" s="103" t="n"/>
      <c r="J1382" s="104" t="n"/>
      <c r="K1382" s="102" t="n"/>
      <c r="L1382" s="103" t="n"/>
      <c r="M1382" s="103" t="n"/>
      <c r="N1382" s="104" t="n"/>
      <c r="O1382" s="102" t="n"/>
      <c r="P1382" s="103" t="n"/>
      <c r="Q1382" s="103" t="n"/>
      <c r="R1382" s="104" t="n"/>
      <c r="S1382" s="102" t="n"/>
      <c r="T1382" s="103" t="n"/>
      <c r="U1382" s="103" t="n"/>
      <c r="V1382" s="104" t="n"/>
      <c r="W1382" s="102" t="n"/>
      <c r="X1382" s="104" t="n"/>
      <c r="Y1382" s="102" t="n"/>
      <c r="Z1382" s="104" t="n"/>
      <c r="AB1382" s="105">
        <f>IF($B1382="","",(COUNTIF(C1358:E1375,$B1382)+COUNTIF(C1358:E1375,$B1382&amp;" ~*")&gt;0)+(COUNTIF(G1358:I1375,$B1382)+COUNTIF(G1358:I1375,$B1382&amp;" ~*")&gt;0)+(COUNTIF(K1358:M1375,$B1382)+COUNTIF(K1358:M1375,$B1382&amp;" ~*")&gt;0)+(COUNTIF(O1358:Q1375,$B1382)+COUNTIF(O1358:Q1375,$B1382&amp;" ~*")&gt;0)+(COUNTIF(S1358:U1375,$B1382)+COUNTIF(S1358:U1375,$B1382&amp;" ~*")&gt;0)+(COUNTIF(W1358:W1375,$B1382)+COUNTIF(W1358:W1375,$B1382&amp;" ~*")&gt;0)+(COUNTIF(Y1358:Y1375,$B1382)+COUNTIF(Y1358:Y1375,$B1382&amp;" ~*")&gt;0))</f>
        <v/>
      </c>
      <c r="AC1382" s="38">
        <f>IF($B1382="","",(IFERROR(INDEX(Setup!$G$33:$G$40,MATCH(C1382,Setup!$B$33:$B$40,0)),0)=1)*(COUNTIF(C1358:E1375,$B1382)+COUNTIF(C1358:E1375,$B1382&amp;" ~*")&gt;0)+(IFERROR(INDEX(Setup!$G$33:$G$40,MATCH(G1382,Setup!$B$33:$B$40,0)),0)=1)*(COUNTIF(G1358:I1375,$B1382)+COUNTIF(G1358:I1375,$B1382&amp;" ~*")&gt;0)+(IFERROR(INDEX(Setup!$G$33:$G$40,MATCH(K1382,Setup!$B$33:$B$40,0)),0)=1)*(COUNTIF(K1358:M1375,$B1382)+COUNTIF(K1358:M1375,$B1382&amp;" ~*")&gt;0)+(IFERROR(INDEX(Setup!$G$33:$G$40,MATCH(O1382,Setup!$B$33:$B$40,0)),0)=1)*(COUNTIF(O1358:Q1375,$B1382)+COUNTIF(O1358:Q1375,$B1382&amp;" ~*")&gt;0)+(IFERROR(INDEX(Setup!$G$33:$G$40,MATCH(S1382,Setup!$B$33:$B$40,0)),0)=1)*(COUNTIF(S1358:U1375,$B1382)+COUNTIF(S1358:U1375,$B1382&amp;" ~*")&gt;0)+(IFERROR(INDEX(Setup!$G$33:$G$40,MATCH(W1382,Setup!$B$33:$B$40,0)),0)=1)*(COUNTIF(W1358:W1375,$B1382)+COUNTIF(W1358:W1375,$B1382&amp;" ~*")&gt;0)+(IFERROR(INDEX(Setup!$G$33:$G$40,MATCH(Y1382,Setup!$B$33:$B$40,0)),0)=1)*(COUNTIF(Y1358:Y1375,$B1382)+COUNTIF(Y1358:Y1375,$B1382&amp;" ~*")&gt;0))</f>
        <v/>
      </c>
    </row>
    <row r="1383" ht="15" customHeight="1">
      <c r="A1383" t="n">
        <v>28</v>
      </c>
      <c r="B1383" s="35">
        <f>IF(Setup!$B$12="","",Setup!$B$12)</f>
        <v/>
      </c>
      <c r="C1383" s="98" t="n"/>
      <c r="D1383" s="99" t="n"/>
      <c r="E1383" s="99" t="n"/>
      <c r="F1383" s="100" t="n"/>
      <c r="G1383" s="98" t="n"/>
      <c r="H1383" s="99" t="n"/>
      <c r="I1383" s="99" t="n"/>
      <c r="J1383" s="100" t="n"/>
      <c r="K1383" s="98" t="n"/>
      <c r="L1383" s="99" t="n"/>
      <c r="M1383" s="99" t="n"/>
      <c r="N1383" s="100" t="n"/>
      <c r="O1383" s="98" t="n"/>
      <c r="P1383" s="99" t="n"/>
      <c r="Q1383" s="99" t="n"/>
      <c r="R1383" s="100" t="n"/>
      <c r="S1383" s="98" t="n"/>
      <c r="T1383" s="99" t="n"/>
      <c r="U1383" s="99" t="n"/>
      <c r="V1383" s="100" t="n"/>
      <c r="W1383" s="98" t="n"/>
      <c r="X1383" s="100" t="n"/>
      <c r="Y1383" s="98" t="n"/>
      <c r="Z1383" s="100" t="n"/>
      <c r="AB1383" s="101">
        <f>IF($B1383="","",(COUNTIF(C1358:E1375,$B1383)+COUNTIF(C1358:E1375,$B1383&amp;" ~*")&gt;0)+(COUNTIF(G1358:I1375,$B1383)+COUNTIF(G1358:I1375,$B1383&amp;" ~*")&gt;0)+(COUNTIF(K1358:M1375,$B1383)+COUNTIF(K1358:M1375,$B1383&amp;" ~*")&gt;0)+(COUNTIF(O1358:Q1375,$B1383)+COUNTIF(O1358:Q1375,$B1383&amp;" ~*")&gt;0)+(COUNTIF(S1358:U1375,$B1383)+COUNTIF(S1358:U1375,$B1383&amp;" ~*")&gt;0)+(COUNTIF(W1358:W1375,$B1383)+COUNTIF(W1358:W1375,$B1383&amp;" ~*")&gt;0)+(COUNTIF(Y1358:Y1375,$B1383)+COUNTIF(Y1358:Y1375,$B1383&amp;" ~*")&gt;0))</f>
        <v/>
      </c>
      <c r="AC1383" s="36">
        <f>IF($B1383="","",(IFERROR(INDEX(Setup!$G$33:$G$40,MATCH(C1383,Setup!$B$33:$B$40,0)),0)=1)*(COUNTIF(C1358:E1375,$B1383)+COUNTIF(C1358:E1375,$B1383&amp;" ~*")&gt;0)+(IFERROR(INDEX(Setup!$G$33:$G$40,MATCH(G1383,Setup!$B$33:$B$40,0)),0)=1)*(COUNTIF(G1358:I1375,$B1383)+COUNTIF(G1358:I1375,$B1383&amp;" ~*")&gt;0)+(IFERROR(INDEX(Setup!$G$33:$G$40,MATCH(K1383,Setup!$B$33:$B$40,0)),0)=1)*(COUNTIF(K1358:M1375,$B1383)+COUNTIF(K1358:M1375,$B1383&amp;" ~*")&gt;0)+(IFERROR(INDEX(Setup!$G$33:$G$40,MATCH(O1383,Setup!$B$33:$B$40,0)),0)=1)*(COUNTIF(O1358:Q1375,$B1383)+COUNTIF(O1358:Q1375,$B1383&amp;" ~*")&gt;0)+(IFERROR(INDEX(Setup!$G$33:$G$40,MATCH(S1383,Setup!$B$33:$B$40,0)),0)=1)*(COUNTIF(S1358:U1375,$B1383)+COUNTIF(S1358:U1375,$B1383&amp;" ~*")&gt;0)+(IFERROR(INDEX(Setup!$G$33:$G$40,MATCH(W1383,Setup!$B$33:$B$40,0)),0)=1)*(COUNTIF(W1358:W1375,$B1383)+COUNTIF(W1358:W1375,$B1383&amp;" ~*")&gt;0)+(IFERROR(INDEX(Setup!$G$33:$G$40,MATCH(Y1383,Setup!$B$33:$B$40,0)),0)=1)*(COUNTIF(Y1358:Y1375,$B1383)+COUNTIF(Y1358:Y1375,$B1383&amp;" ~*")&gt;0))</f>
        <v/>
      </c>
    </row>
    <row r="1384" ht="15" customHeight="1">
      <c r="A1384" t="n">
        <v>28</v>
      </c>
      <c r="B1384" s="37">
        <f>IF(Setup!$B$13="","",Setup!$B$13)</f>
        <v/>
      </c>
      <c r="C1384" s="102" t="n"/>
      <c r="D1384" s="103" t="n"/>
      <c r="E1384" s="103" t="n"/>
      <c r="F1384" s="104" t="n"/>
      <c r="G1384" s="102" t="n"/>
      <c r="H1384" s="103" t="n"/>
      <c r="I1384" s="103" t="n"/>
      <c r="J1384" s="104" t="n"/>
      <c r="K1384" s="102" t="n"/>
      <c r="L1384" s="103" t="n"/>
      <c r="M1384" s="103" t="n"/>
      <c r="N1384" s="104" t="n"/>
      <c r="O1384" s="102" t="n"/>
      <c r="P1384" s="103" t="n"/>
      <c r="Q1384" s="103" t="n"/>
      <c r="R1384" s="104" t="n"/>
      <c r="S1384" s="102" t="n"/>
      <c r="T1384" s="103" t="n"/>
      <c r="U1384" s="103" t="n"/>
      <c r="V1384" s="104" t="n"/>
      <c r="W1384" s="102" t="n"/>
      <c r="X1384" s="104" t="n"/>
      <c r="Y1384" s="102" t="n"/>
      <c r="Z1384" s="104" t="n"/>
      <c r="AB1384" s="105">
        <f>IF($B1384="","",(COUNTIF(C1358:E1375,$B1384)+COUNTIF(C1358:E1375,$B1384&amp;" ~*")&gt;0)+(COUNTIF(G1358:I1375,$B1384)+COUNTIF(G1358:I1375,$B1384&amp;" ~*")&gt;0)+(COUNTIF(K1358:M1375,$B1384)+COUNTIF(K1358:M1375,$B1384&amp;" ~*")&gt;0)+(COUNTIF(O1358:Q1375,$B1384)+COUNTIF(O1358:Q1375,$B1384&amp;" ~*")&gt;0)+(COUNTIF(S1358:U1375,$B1384)+COUNTIF(S1358:U1375,$B1384&amp;" ~*")&gt;0)+(COUNTIF(W1358:W1375,$B1384)+COUNTIF(W1358:W1375,$B1384&amp;" ~*")&gt;0)+(COUNTIF(Y1358:Y1375,$B1384)+COUNTIF(Y1358:Y1375,$B1384&amp;" ~*")&gt;0))</f>
        <v/>
      </c>
      <c r="AC1384" s="38">
        <f>IF($B1384="","",(IFERROR(INDEX(Setup!$G$33:$G$40,MATCH(C1384,Setup!$B$33:$B$40,0)),0)=1)*(COUNTIF(C1358:E1375,$B1384)+COUNTIF(C1358:E1375,$B1384&amp;" ~*")&gt;0)+(IFERROR(INDEX(Setup!$G$33:$G$40,MATCH(G1384,Setup!$B$33:$B$40,0)),0)=1)*(COUNTIF(G1358:I1375,$B1384)+COUNTIF(G1358:I1375,$B1384&amp;" ~*")&gt;0)+(IFERROR(INDEX(Setup!$G$33:$G$40,MATCH(K1384,Setup!$B$33:$B$40,0)),0)=1)*(COUNTIF(K1358:M1375,$B1384)+COUNTIF(K1358:M1375,$B1384&amp;" ~*")&gt;0)+(IFERROR(INDEX(Setup!$G$33:$G$40,MATCH(O1384,Setup!$B$33:$B$40,0)),0)=1)*(COUNTIF(O1358:Q1375,$B1384)+COUNTIF(O1358:Q1375,$B1384&amp;" ~*")&gt;0)+(IFERROR(INDEX(Setup!$G$33:$G$40,MATCH(S1384,Setup!$B$33:$B$40,0)),0)=1)*(COUNTIF(S1358:U1375,$B1384)+COUNTIF(S1358:U1375,$B1384&amp;" ~*")&gt;0)+(IFERROR(INDEX(Setup!$G$33:$G$40,MATCH(W1384,Setup!$B$33:$B$40,0)),0)=1)*(COUNTIF(W1358:W1375,$B1384)+COUNTIF(W1358:W1375,$B1384&amp;" ~*")&gt;0)+(IFERROR(INDEX(Setup!$G$33:$G$40,MATCH(Y1384,Setup!$B$33:$B$40,0)),0)=1)*(COUNTIF(Y1358:Y1375,$B1384)+COUNTIF(Y1358:Y1375,$B1384&amp;" ~*")&gt;0))</f>
        <v/>
      </c>
    </row>
    <row r="1385" ht="15" customHeight="1">
      <c r="A1385" t="n">
        <v>28</v>
      </c>
      <c r="B1385" s="35">
        <f>IF(Setup!$B$14="","",Setup!$B$14)</f>
        <v/>
      </c>
      <c r="C1385" s="98" t="n"/>
      <c r="D1385" s="99" t="n"/>
      <c r="E1385" s="99" t="n"/>
      <c r="F1385" s="100" t="n"/>
      <c r="G1385" s="98" t="n"/>
      <c r="H1385" s="99" t="n"/>
      <c r="I1385" s="99" t="n"/>
      <c r="J1385" s="100" t="n"/>
      <c r="K1385" s="98" t="n"/>
      <c r="L1385" s="99" t="n"/>
      <c r="M1385" s="99" t="n"/>
      <c r="N1385" s="100" t="n"/>
      <c r="O1385" s="98" t="n"/>
      <c r="P1385" s="99" t="n"/>
      <c r="Q1385" s="99" t="n"/>
      <c r="R1385" s="100" t="n"/>
      <c r="S1385" s="98" t="n"/>
      <c r="T1385" s="99" t="n"/>
      <c r="U1385" s="99" t="n"/>
      <c r="V1385" s="100" t="n"/>
      <c r="W1385" s="98" t="n"/>
      <c r="X1385" s="100" t="n"/>
      <c r="Y1385" s="98" t="n"/>
      <c r="Z1385" s="100" t="n"/>
      <c r="AB1385" s="101">
        <f>IF($B1385="","",(COUNTIF(C1358:E1375,$B1385)+COUNTIF(C1358:E1375,$B1385&amp;" ~*")&gt;0)+(COUNTIF(G1358:I1375,$B1385)+COUNTIF(G1358:I1375,$B1385&amp;" ~*")&gt;0)+(COUNTIF(K1358:M1375,$B1385)+COUNTIF(K1358:M1375,$B1385&amp;" ~*")&gt;0)+(COUNTIF(O1358:Q1375,$B1385)+COUNTIF(O1358:Q1375,$B1385&amp;" ~*")&gt;0)+(COUNTIF(S1358:U1375,$B1385)+COUNTIF(S1358:U1375,$B1385&amp;" ~*")&gt;0)+(COUNTIF(W1358:W1375,$B1385)+COUNTIF(W1358:W1375,$B1385&amp;" ~*")&gt;0)+(COUNTIF(Y1358:Y1375,$B1385)+COUNTIF(Y1358:Y1375,$B1385&amp;" ~*")&gt;0))</f>
        <v/>
      </c>
      <c r="AC1385" s="36">
        <f>IF($B1385="","",(IFERROR(INDEX(Setup!$G$33:$G$40,MATCH(C1385,Setup!$B$33:$B$40,0)),0)=1)*(COUNTIF(C1358:E1375,$B1385)+COUNTIF(C1358:E1375,$B1385&amp;" ~*")&gt;0)+(IFERROR(INDEX(Setup!$G$33:$G$40,MATCH(G1385,Setup!$B$33:$B$40,0)),0)=1)*(COUNTIF(G1358:I1375,$B1385)+COUNTIF(G1358:I1375,$B1385&amp;" ~*")&gt;0)+(IFERROR(INDEX(Setup!$G$33:$G$40,MATCH(K1385,Setup!$B$33:$B$40,0)),0)=1)*(COUNTIF(K1358:M1375,$B1385)+COUNTIF(K1358:M1375,$B1385&amp;" ~*")&gt;0)+(IFERROR(INDEX(Setup!$G$33:$G$40,MATCH(O1385,Setup!$B$33:$B$40,0)),0)=1)*(COUNTIF(O1358:Q1375,$B1385)+COUNTIF(O1358:Q1375,$B1385&amp;" ~*")&gt;0)+(IFERROR(INDEX(Setup!$G$33:$G$40,MATCH(S1385,Setup!$B$33:$B$40,0)),0)=1)*(COUNTIF(S1358:U1375,$B1385)+COUNTIF(S1358:U1375,$B1385&amp;" ~*")&gt;0)+(IFERROR(INDEX(Setup!$G$33:$G$40,MATCH(W1385,Setup!$B$33:$B$40,0)),0)=1)*(COUNTIF(W1358:W1375,$B1385)+COUNTIF(W1358:W1375,$B1385&amp;" ~*")&gt;0)+(IFERROR(INDEX(Setup!$G$33:$G$40,MATCH(Y1385,Setup!$B$33:$B$40,0)),0)=1)*(COUNTIF(Y1358:Y1375,$B1385)+COUNTIF(Y1358:Y1375,$B1385&amp;" ~*")&gt;0))</f>
        <v/>
      </c>
    </row>
    <row r="1386" ht="15" customHeight="1">
      <c r="A1386" t="n">
        <v>28</v>
      </c>
      <c r="B1386" s="37">
        <f>IF(Setup!$B$15="","",Setup!$B$15)</f>
        <v/>
      </c>
      <c r="C1386" s="102" t="n"/>
      <c r="D1386" s="103" t="n"/>
      <c r="E1386" s="103" t="n"/>
      <c r="F1386" s="104" t="n"/>
      <c r="G1386" s="102" t="n"/>
      <c r="H1386" s="103" t="n"/>
      <c r="I1386" s="103" t="n"/>
      <c r="J1386" s="104" t="n"/>
      <c r="K1386" s="102" t="inlineStr">
        <is>
          <t>AL</t>
        </is>
      </c>
      <c r="L1386" s="103" t="n"/>
      <c r="M1386" s="103" t="n"/>
      <c r="N1386" s="104" t="n"/>
      <c r="O1386" s="102" t="inlineStr">
        <is>
          <t>AL</t>
        </is>
      </c>
      <c r="P1386" s="103" t="n"/>
      <c r="Q1386" s="103" t="n"/>
      <c r="R1386" s="104" t="n"/>
      <c r="S1386" s="102" t="inlineStr">
        <is>
          <t>AL</t>
        </is>
      </c>
      <c r="T1386" s="103" t="n"/>
      <c r="U1386" s="103" t="n"/>
      <c r="V1386" s="104" t="n"/>
      <c r="W1386" s="102" t="n"/>
      <c r="X1386" s="104" t="n"/>
      <c r="Y1386" s="102" t="n"/>
      <c r="Z1386" s="104" t="n"/>
      <c r="AB1386" s="105">
        <f>IF($B1386="","",(COUNTIF(C1358:E1375,$B1386)+COUNTIF(C1358:E1375,$B1386&amp;" ~*")&gt;0)+(COUNTIF(G1358:I1375,$B1386)+COUNTIF(G1358:I1375,$B1386&amp;" ~*")&gt;0)+(COUNTIF(K1358:M1375,$B1386)+COUNTIF(K1358:M1375,$B1386&amp;" ~*")&gt;0)+(COUNTIF(O1358:Q1375,$B1386)+COUNTIF(O1358:Q1375,$B1386&amp;" ~*")&gt;0)+(COUNTIF(S1358:U1375,$B1386)+COUNTIF(S1358:U1375,$B1386&amp;" ~*")&gt;0)+(COUNTIF(W1358:W1375,$B1386)+COUNTIF(W1358:W1375,$B1386&amp;" ~*")&gt;0)+(COUNTIF(Y1358:Y1375,$B1386)+COUNTIF(Y1358:Y1375,$B1386&amp;" ~*")&gt;0))</f>
        <v/>
      </c>
      <c r="AC1386" s="38">
        <f>IF($B1386="","",(IFERROR(INDEX(Setup!$G$33:$G$40,MATCH(C1386,Setup!$B$33:$B$40,0)),0)=1)*(COUNTIF(C1358:E1375,$B1386)+COUNTIF(C1358:E1375,$B1386&amp;" ~*")&gt;0)+(IFERROR(INDEX(Setup!$G$33:$G$40,MATCH(G1386,Setup!$B$33:$B$40,0)),0)=1)*(COUNTIF(G1358:I1375,$B1386)+COUNTIF(G1358:I1375,$B1386&amp;" ~*")&gt;0)+(IFERROR(INDEX(Setup!$G$33:$G$40,MATCH(K1386,Setup!$B$33:$B$40,0)),0)=1)*(COUNTIF(K1358:M1375,$B1386)+COUNTIF(K1358:M1375,$B1386&amp;" ~*")&gt;0)+(IFERROR(INDEX(Setup!$G$33:$G$40,MATCH(O1386,Setup!$B$33:$B$40,0)),0)=1)*(COUNTIF(O1358:Q1375,$B1386)+COUNTIF(O1358:Q1375,$B1386&amp;" ~*")&gt;0)+(IFERROR(INDEX(Setup!$G$33:$G$40,MATCH(S1386,Setup!$B$33:$B$40,0)),0)=1)*(COUNTIF(S1358:U1375,$B1386)+COUNTIF(S1358:U1375,$B1386&amp;" ~*")&gt;0)+(IFERROR(INDEX(Setup!$G$33:$G$40,MATCH(W1386,Setup!$B$33:$B$40,0)),0)=1)*(COUNTIF(W1358:W1375,$B1386)+COUNTIF(W1358:W1375,$B1386&amp;" ~*")&gt;0)+(IFERROR(INDEX(Setup!$G$33:$G$40,MATCH(Y1386,Setup!$B$33:$B$40,0)),0)=1)*(COUNTIF(Y1358:Y1375,$B1386)+COUNTIF(Y1358:Y1375,$B1386&amp;" ~*")&gt;0))</f>
        <v/>
      </c>
    </row>
    <row r="1387" ht="15" customHeight="1">
      <c r="A1387" t="n">
        <v>28</v>
      </c>
      <c r="B1387" s="35">
        <f>IF(Setup!$B$16="","",Setup!$B$16)</f>
        <v/>
      </c>
      <c r="C1387" s="98" t="n"/>
      <c r="D1387" s="99" t="n"/>
      <c r="E1387" s="99" t="n"/>
      <c r="F1387" s="100" t="n"/>
      <c r="G1387" s="98" t="n"/>
      <c r="H1387" s="99" t="n"/>
      <c r="I1387" s="99" t="n"/>
      <c r="J1387" s="100" t="n"/>
      <c r="K1387" s="98" t="n"/>
      <c r="L1387" s="99" t="n"/>
      <c r="M1387" s="99" t="n"/>
      <c r="N1387" s="100" t="n"/>
      <c r="O1387" s="98" t="n"/>
      <c r="P1387" s="99" t="n"/>
      <c r="Q1387" s="99" t="n"/>
      <c r="R1387" s="100" t="n"/>
      <c r="S1387" s="98" t="n"/>
      <c r="T1387" s="99" t="n"/>
      <c r="U1387" s="99" t="n"/>
      <c r="V1387" s="100" t="n"/>
      <c r="W1387" s="98" t="n"/>
      <c r="X1387" s="100" t="n"/>
      <c r="Y1387" s="98" t="n"/>
      <c r="Z1387" s="100" t="n"/>
      <c r="AB1387" s="101">
        <f>IF($B1387="","",(COUNTIF(C1358:E1375,$B1387)+COUNTIF(C1358:E1375,$B1387&amp;" ~*")&gt;0)+(COUNTIF(G1358:I1375,$B1387)+COUNTIF(G1358:I1375,$B1387&amp;" ~*")&gt;0)+(COUNTIF(K1358:M1375,$B1387)+COUNTIF(K1358:M1375,$B1387&amp;" ~*")&gt;0)+(COUNTIF(O1358:Q1375,$B1387)+COUNTIF(O1358:Q1375,$B1387&amp;" ~*")&gt;0)+(COUNTIF(S1358:U1375,$B1387)+COUNTIF(S1358:U1375,$B1387&amp;" ~*")&gt;0)+(COUNTIF(W1358:W1375,$B1387)+COUNTIF(W1358:W1375,$B1387&amp;" ~*")&gt;0)+(COUNTIF(Y1358:Y1375,$B1387)+COUNTIF(Y1358:Y1375,$B1387&amp;" ~*")&gt;0))</f>
        <v/>
      </c>
      <c r="AC1387" s="36">
        <f>IF($B1387="","",(IFERROR(INDEX(Setup!$G$33:$G$40,MATCH(C1387,Setup!$B$33:$B$40,0)),0)=1)*(COUNTIF(C1358:E1375,$B1387)+COUNTIF(C1358:E1375,$B1387&amp;" ~*")&gt;0)+(IFERROR(INDEX(Setup!$G$33:$G$40,MATCH(G1387,Setup!$B$33:$B$40,0)),0)=1)*(COUNTIF(G1358:I1375,$B1387)+COUNTIF(G1358:I1375,$B1387&amp;" ~*")&gt;0)+(IFERROR(INDEX(Setup!$G$33:$G$40,MATCH(K1387,Setup!$B$33:$B$40,0)),0)=1)*(COUNTIF(K1358:M1375,$B1387)+COUNTIF(K1358:M1375,$B1387&amp;" ~*")&gt;0)+(IFERROR(INDEX(Setup!$G$33:$G$40,MATCH(O1387,Setup!$B$33:$B$40,0)),0)=1)*(COUNTIF(O1358:Q1375,$B1387)+COUNTIF(O1358:Q1375,$B1387&amp;" ~*")&gt;0)+(IFERROR(INDEX(Setup!$G$33:$G$40,MATCH(S1387,Setup!$B$33:$B$40,0)),0)=1)*(COUNTIF(S1358:U1375,$B1387)+COUNTIF(S1358:U1375,$B1387&amp;" ~*")&gt;0)+(IFERROR(INDEX(Setup!$G$33:$G$40,MATCH(W1387,Setup!$B$33:$B$40,0)),0)=1)*(COUNTIF(W1358:W1375,$B1387)+COUNTIF(W1358:W1375,$B1387&amp;" ~*")&gt;0)+(IFERROR(INDEX(Setup!$G$33:$G$40,MATCH(Y1387,Setup!$B$33:$B$40,0)),0)=1)*(COUNTIF(Y1358:Y1375,$B1387)+COUNTIF(Y1358:Y1375,$B1387&amp;" ~*")&gt;0))</f>
        <v/>
      </c>
    </row>
    <row r="1388" ht="15" customHeight="1">
      <c r="A1388" t="n">
        <v>28</v>
      </c>
      <c r="B1388" s="37">
        <f>IF(Setup!$B$17="","",Setup!$B$17)</f>
        <v/>
      </c>
      <c r="C1388" s="102" t="n"/>
      <c r="D1388" s="103" t="n"/>
      <c r="E1388" s="103" t="n"/>
      <c r="F1388" s="104" t="n"/>
      <c r="G1388" s="102" t="n"/>
      <c r="H1388" s="103" t="n"/>
      <c r="I1388" s="103" t="n"/>
      <c r="J1388" s="104" t="n"/>
      <c r="K1388" s="102" t="n"/>
      <c r="L1388" s="103" t="n"/>
      <c r="M1388" s="103" t="n"/>
      <c r="N1388" s="104" t="n"/>
      <c r="O1388" s="102" t="n"/>
      <c r="P1388" s="103" t="n"/>
      <c r="Q1388" s="103" t="n"/>
      <c r="R1388" s="104" t="n"/>
      <c r="S1388" s="102" t="n"/>
      <c r="T1388" s="103" t="n"/>
      <c r="U1388" s="103" t="n"/>
      <c r="V1388" s="104" t="n"/>
      <c r="W1388" s="102" t="n"/>
      <c r="X1388" s="104" t="n"/>
      <c r="Y1388" s="102" t="n"/>
      <c r="Z1388" s="104" t="n"/>
      <c r="AB1388" s="105">
        <f>IF($B1388="","",(COUNTIF(C1358:E1375,$B1388)+COUNTIF(C1358:E1375,$B1388&amp;" ~*")&gt;0)+(COUNTIF(G1358:I1375,$B1388)+COUNTIF(G1358:I1375,$B1388&amp;" ~*")&gt;0)+(COUNTIF(K1358:M1375,$B1388)+COUNTIF(K1358:M1375,$B1388&amp;" ~*")&gt;0)+(COUNTIF(O1358:Q1375,$B1388)+COUNTIF(O1358:Q1375,$B1388&amp;" ~*")&gt;0)+(COUNTIF(S1358:U1375,$B1388)+COUNTIF(S1358:U1375,$B1388&amp;" ~*")&gt;0)+(COUNTIF(W1358:W1375,$B1388)+COUNTIF(W1358:W1375,$B1388&amp;" ~*")&gt;0)+(COUNTIF(Y1358:Y1375,$B1388)+COUNTIF(Y1358:Y1375,$B1388&amp;" ~*")&gt;0))</f>
        <v/>
      </c>
      <c r="AC1388" s="38">
        <f>IF($B1388="","",(IFERROR(INDEX(Setup!$G$33:$G$40,MATCH(C1388,Setup!$B$33:$B$40,0)),0)=1)*(COUNTIF(C1358:E1375,$B1388)+COUNTIF(C1358:E1375,$B1388&amp;" ~*")&gt;0)+(IFERROR(INDEX(Setup!$G$33:$G$40,MATCH(G1388,Setup!$B$33:$B$40,0)),0)=1)*(COUNTIF(G1358:I1375,$B1388)+COUNTIF(G1358:I1375,$B1388&amp;" ~*")&gt;0)+(IFERROR(INDEX(Setup!$G$33:$G$40,MATCH(K1388,Setup!$B$33:$B$40,0)),0)=1)*(COUNTIF(K1358:M1375,$B1388)+COUNTIF(K1358:M1375,$B1388&amp;" ~*")&gt;0)+(IFERROR(INDEX(Setup!$G$33:$G$40,MATCH(O1388,Setup!$B$33:$B$40,0)),0)=1)*(COUNTIF(O1358:Q1375,$B1388)+COUNTIF(O1358:Q1375,$B1388&amp;" ~*")&gt;0)+(IFERROR(INDEX(Setup!$G$33:$G$40,MATCH(S1388,Setup!$B$33:$B$40,0)),0)=1)*(COUNTIF(S1358:U1375,$B1388)+COUNTIF(S1358:U1375,$B1388&amp;" ~*")&gt;0)+(IFERROR(INDEX(Setup!$G$33:$G$40,MATCH(W1388,Setup!$B$33:$B$40,0)),0)=1)*(COUNTIF(W1358:W1375,$B1388)+COUNTIF(W1358:W1375,$B1388&amp;" ~*")&gt;0)+(IFERROR(INDEX(Setup!$G$33:$G$40,MATCH(Y1388,Setup!$B$33:$B$40,0)),0)=1)*(COUNTIF(Y1358:Y1375,$B1388)+COUNTIF(Y1358:Y1375,$B1388&amp;" ~*")&gt;0))</f>
        <v/>
      </c>
    </row>
    <row r="1389" ht="15" customHeight="1">
      <c r="A1389" t="n">
        <v>28</v>
      </c>
      <c r="B1389" s="35">
        <f>IF(Setup!$B$18="","",Setup!$B$18)</f>
        <v/>
      </c>
      <c r="C1389" s="98" t="n"/>
      <c r="D1389" s="99" t="n"/>
      <c r="E1389" s="99" t="n"/>
      <c r="F1389" s="100" t="n"/>
      <c r="G1389" s="98" t="n"/>
      <c r="H1389" s="99" t="n"/>
      <c r="I1389" s="99" t="n"/>
      <c r="J1389" s="100" t="n"/>
      <c r="K1389" s="98" t="n"/>
      <c r="L1389" s="99" t="n"/>
      <c r="M1389" s="99" t="n"/>
      <c r="N1389" s="100" t="n"/>
      <c r="O1389" s="98" t="n"/>
      <c r="P1389" s="99" t="n"/>
      <c r="Q1389" s="99" t="n"/>
      <c r="R1389" s="100" t="n"/>
      <c r="S1389" s="98" t="n"/>
      <c r="T1389" s="99" t="n"/>
      <c r="U1389" s="99" t="n"/>
      <c r="V1389" s="100" t="n"/>
      <c r="W1389" s="98" t="n"/>
      <c r="X1389" s="100" t="n"/>
      <c r="Y1389" s="98" t="n"/>
      <c r="Z1389" s="100" t="n"/>
      <c r="AB1389" s="101">
        <f>IF($B1389="","",(COUNTIF(C1358:E1375,$B1389)+COUNTIF(C1358:E1375,$B1389&amp;" ~*")&gt;0)+(COUNTIF(G1358:I1375,$B1389)+COUNTIF(G1358:I1375,$B1389&amp;" ~*")&gt;0)+(COUNTIF(K1358:M1375,$B1389)+COUNTIF(K1358:M1375,$B1389&amp;" ~*")&gt;0)+(COUNTIF(O1358:Q1375,$B1389)+COUNTIF(O1358:Q1375,$B1389&amp;" ~*")&gt;0)+(COUNTIF(S1358:U1375,$B1389)+COUNTIF(S1358:U1375,$B1389&amp;" ~*")&gt;0)+(COUNTIF(W1358:W1375,$B1389)+COUNTIF(W1358:W1375,$B1389&amp;" ~*")&gt;0)+(COUNTIF(Y1358:Y1375,$B1389)+COUNTIF(Y1358:Y1375,$B1389&amp;" ~*")&gt;0))</f>
        <v/>
      </c>
      <c r="AC1389" s="36">
        <f>IF($B1389="","",(IFERROR(INDEX(Setup!$G$33:$G$40,MATCH(C1389,Setup!$B$33:$B$40,0)),0)=1)*(COUNTIF(C1358:E1375,$B1389)+COUNTIF(C1358:E1375,$B1389&amp;" ~*")&gt;0)+(IFERROR(INDEX(Setup!$G$33:$G$40,MATCH(G1389,Setup!$B$33:$B$40,0)),0)=1)*(COUNTIF(G1358:I1375,$B1389)+COUNTIF(G1358:I1375,$B1389&amp;" ~*")&gt;0)+(IFERROR(INDEX(Setup!$G$33:$G$40,MATCH(K1389,Setup!$B$33:$B$40,0)),0)=1)*(COUNTIF(K1358:M1375,$B1389)+COUNTIF(K1358:M1375,$B1389&amp;" ~*")&gt;0)+(IFERROR(INDEX(Setup!$G$33:$G$40,MATCH(O1389,Setup!$B$33:$B$40,0)),0)=1)*(COUNTIF(O1358:Q1375,$B1389)+COUNTIF(O1358:Q1375,$B1389&amp;" ~*")&gt;0)+(IFERROR(INDEX(Setup!$G$33:$G$40,MATCH(S1389,Setup!$B$33:$B$40,0)),0)=1)*(COUNTIF(S1358:U1375,$B1389)+COUNTIF(S1358:U1375,$B1389&amp;" ~*")&gt;0)+(IFERROR(INDEX(Setup!$G$33:$G$40,MATCH(W1389,Setup!$B$33:$B$40,0)),0)=1)*(COUNTIF(W1358:W1375,$B1389)+COUNTIF(W1358:W1375,$B1389&amp;" ~*")&gt;0)+(IFERROR(INDEX(Setup!$G$33:$G$40,MATCH(Y1389,Setup!$B$33:$B$40,0)),0)=1)*(COUNTIF(Y1358:Y1375,$B1389)+COUNTIF(Y1358:Y1375,$B1389&amp;" ~*")&gt;0))</f>
        <v/>
      </c>
    </row>
    <row r="1390" ht="15" customHeight="1">
      <c r="A1390" t="n">
        <v>28</v>
      </c>
      <c r="B1390" s="37">
        <f>IF(Setup!$B$19="","",Setup!$B$19)</f>
        <v/>
      </c>
      <c r="C1390" s="102" t="n"/>
      <c r="D1390" s="103" t="n"/>
      <c r="E1390" s="103" t="n"/>
      <c r="F1390" s="104" t="n"/>
      <c r="G1390" s="102" t="n"/>
      <c r="H1390" s="103" t="n"/>
      <c r="I1390" s="103" t="n"/>
      <c r="J1390" s="104" t="n"/>
      <c r="K1390" s="102" t="n"/>
      <c r="L1390" s="103" t="n"/>
      <c r="M1390" s="103" t="n"/>
      <c r="N1390" s="104" t="n"/>
      <c r="O1390" s="102" t="n"/>
      <c r="P1390" s="103" t="n"/>
      <c r="Q1390" s="103" t="n"/>
      <c r="R1390" s="104" t="n"/>
      <c r="S1390" s="102" t="n"/>
      <c r="T1390" s="103" t="n"/>
      <c r="U1390" s="103" t="n"/>
      <c r="V1390" s="104" t="n"/>
      <c r="W1390" s="102" t="n"/>
      <c r="X1390" s="104" t="n"/>
      <c r="Y1390" s="102" t="n"/>
      <c r="Z1390" s="104" t="n"/>
      <c r="AB1390" s="105">
        <f>IF($B1390="","",(COUNTIF(C1358:E1375,$B1390)+COUNTIF(C1358:E1375,$B1390&amp;" ~*")&gt;0)+(COUNTIF(G1358:I1375,$B1390)+COUNTIF(G1358:I1375,$B1390&amp;" ~*")&gt;0)+(COUNTIF(K1358:M1375,$B1390)+COUNTIF(K1358:M1375,$B1390&amp;" ~*")&gt;0)+(COUNTIF(O1358:Q1375,$B1390)+COUNTIF(O1358:Q1375,$B1390&amp;" ~*")&gt;0)+(COUNTIF(S1358:U1375,$B1390)+COUNTIF(S1358:U1375,$B1390&amp;" ~*")&gt;0)+(COUNTIF(W1358:W1375,$B1390)+COUNTIF(W1358:W1375,$B1390&amp;" ~*")&gt;0)+(COUNTIF(Y1358:Y1375,$B1390)+COUNTIF(Y1358:Y1375,$B1390&amp;" ~*")&gt;0))</f>
        <v/>
      </c>
      <c r="AC1390" s="38">
        <f>IF($B1390="","",(IFERROR(INDEX(Setup!$G$33:$G$40,MATCH(C1390,Setup!$B$33:$B$40,0)),0)=1)*(COUNTIF(C1358:E1375,$B1390)+COUNTIF(C1358:E1375,$B1390&amp;" ~*")&gt;0)+(IFERROR(INDEX(Setup!$G$33:$G$40,MATCH(G1390,Setup!$B$33:$B$40,0)),0)=1)*(COUNTIF(G1358:I1375,$B1390)+COUNTIF(G1358:I1375,$B1390&amp;" ~*")&gt;0)+(IFERROR(INDEX(Setup!$G$33:$G$40,MATCH(K1390,Setup!$B$33:$B$40,0)),0)=1)*(COUNTIF(K1358:M1375,$B1390)+COUNTIF(K1358:M1375,$B1390&amp;" ~*")&gt;0)+(IFERROR(INDEX(Setup!$G$33:$G$40,MATCH(O1390,Setup!$B$33:$B$40,0)),0)=1)*(COUNTIF(O1358:Q1375,$B1390)+COUNTIF(O1358:Q1375,$B1390&amp;" ~*")&gt;0)+(IFERROR(INDEX(Setup!$G$33:$G$40,MATCH(S1390,Setup!$B$33:$B$40,0)),0)=1)*(COUNTIF(S1358:U1375,$B1390)+COUNTIF(S1358:U1375,$B1390&amp;" ~*")&gt;0)+(IFERROR(INDEX(Setup!$G$33:$G$40,MATCH(W1390,Setup!$B$33:$B$40,0)),0)=1)*(COUNTIF(W1358:W1375,$B1390)+COUNTIF(W1358:W1375,$B1390&amp;" ~*")&gt;0)+(IFERROR(INDEX(Setup!$G$33:$G$40,MATCH(Y1390,Setup!$B$33:$B$40,0)),0)=1)*(COUNTIF(Y1358:Y1375,$B1390)+COUNTIF(Y1358:Y1375,$B1390&amp;" ~*")&gt;0))</f>
        <v/>
      </c>
    </row>
    <row r="1391" ht="15" customHeight="1">
      <c r="A1391" t="n">
        <v>28</v>
      </c>
      <c r="B1391" s="35">
        <f>IF(Setup!$B$20="","",Setup!$B$20)</f>
        <v/>
      </c>
      <c r="C1391" s="98" t="n"/>
      <c r="D1391" s="99" t="n"/>
      <c r="E1391" s="99" t="n"/>
      <c r="F1391" s="100" t="n"/>
      <c r="G1391" s="98" t="n"/>
      <c r="H1391" s="99" t="n"/>
      <c r="I1391" s="99" t="n"/>
      <c r="J1391" s="100" t="n"/>
      <c r="K1391" s="98" t="n"/>
      <c r="L1391" s="99" t="n"/>
      <c r="M1391" s="99" t="n"/>
      <c r="N1391" s="100" t="n"/>
      <c r="O1391" s="98" t="n"/>
      <c r="P1391" s="99" t="n"/>
      <c r="Q1391" s="99" t="n"/>
      <c r="R1391" s="100" t="n"/>
      <c r="S1391" s="98" t="n"/>
      <c r="T1391" s="99" t="n"/>
      <c r="U1391" s="99" t="n"/>
      <c r="V1391" s="100" t="n"/>
      <c r="W1391" s="98" t="n"/>
      <c r="X1391" s="100" t="n"/>
      <c r="Y1391" s="98" t="n"/>
      <c r="Z1391" s="100" t="n"/>
      <c r="AB1391" s="101">
        <f>IF($B1391="","",(COUNTIF(C1358:E1375,$B1391)+COUNTIF(C1358:E1375,$B1391&amp;" ~*")&gt;0)+(COUNTIF(G1358:I1375,$B1391)+COUNTIF(G1358:I1375,$B1391&amp;" ~*")&gt;0)+(COUNTIF(K1358:M1375,$B1391)+COUNTIF(K1358:M1375,$B1391&amp;" ~*")&gt;0)+(COUNTIF(O1358:Q1375,$B1391)+COUNTIF(O1358:Q1375,$B1391&amp;" ~*")&gt;0)+(COUNTIF(S1358:U1375,$B1391)+COUNTIF(S1358:U1375,$B1391&amp;" ~*")&gt;0)+(COUNTIF(W1358:W1375,$B1391)+COUNTIF(W1358:W1375,$B1391&amp;" ~*")&gt;0)+(COUNTIF(Y1358:Y1375,$B1391)+COUNTIF(Y1358:Y1375,$B1391&amp;" ~*")&gt;0))</f>
        <v/>
      </c>
      <c r="AC1391" s="36">
        <f>IF($B1391="","",(IFERROR(INDEX(Setup!$G$33:$G$40,MATCH(C1391,Setup!$B$33:$B$40,0)),0)=1)*(COUNTIF(C1358:E1375,$B1391)+COUNTIF(C1358:E1375,$B1391&amp;" ~*")&gt;0)+(IFERROR(INDEX(Setup!$G$33:$G$40,MATCH(G1391,Setup!$B$33:$B$40,0)),0)=1)*(COUNTIF(G1358:I1375,$B1391)+COUNTIF(G1358:I1375,$B1391&amp;" ~*")&gt;0)+(IFERROR(INDEX(Setup!$G$33:$G$40,MATCH(K1391,Setup!$B$33:$B$40,0)),0)=1)*(COUNTIF(K1358:M1375,$B1391)+COUNTIF(K1358:M1375,$B1391&amp;" ~*")&gt;0)+(IFERROR(INDEX(Setup!$G$33:$G$40,MATCH(O1391,Setup!$B$33:$B$40,0)),0)=1)*(COUNTIF(O1358:Q1375,$B1391)+COUNTIF(O1358:Q1375,$B1391&amp;" ~*")&gt;0)+(IFERROR(INDEX(Setup!$G$33:$G$40,MATCH(S1391,Setup!$B$33:$B$40,0)),0)=1)*(COUNTIF(S1358:U1375,$B1391)+COUNTIF(S1358:U1375,$B1391&amp;" ~*")&gt;0)+(IFERROR(INDEX(Setup!$G$33:$G$40,MATCH(W1391,Setup!$B$33:$B$40,0)),0)=1)*(COUNTIF(W1358:W1375,$B1391)+COUNTIF(W1358:W1375,$B1391&amp;" ~*")&gt;0)+(IFERROR(INDEX(Setup!$G$33:$G$40,MATCH(Y1391,Setup!$B$33:$B$40,0)),0)=1)*(COUNTIF(Y1358:Y1375,$B1391)+COUNTIF(Y1358:Y1375,$B1391&amp;" ~*")&gt;0))</f>
        <v/>
      </c>
    </row>
    <row r="1392" ht="15" customHeight="1">
      <c r="A1392" t="n">
        <v>28</v>
      </c>
      <c r="B1392" s="37">
        <f>IF(Setup!$B$21="","",Setup!$B$21)</f>
        <v/>
      </c>
      <c r="C1392" s="102" t="n"/>
      <c r="D1392" s="103" t="n"/>
      <c r="E1392" s="103" t="n"/>
      <c r="F1392" s="104" t="n"/>
      <c r="G1392" s="102" t="n"/>
      <c r="H1392" s="103" t="n"/>
      <c r="I1392" s="103" t="n"/>
      <c r="J1392" s="104" t="n"/>
      <c r="K1392" s="102" t="n"/>
      <c r="L1392" s="103" t="n"/>
      <c r="M1392" s="103" t="n"/>
      <c r="N1392" s="104" t="n"/>
      <c r="O1392" s="102" t="n"/>
      <c r="P1392" s="103" t="n"/>
      <c r="Q1392" s="103" t="n"/>
      <c r="R1392" s="104" t="n"/>
      <c r="S1392" s="102" t="n"/>
      <c r="T1392" s="103" t="n"/>
      <c r="U1392" s="103" t="n"/>
      <c r="V1392" s="104" t="n"/>
      <c r="W1392" s="102" t="n"/>
      <c r="X1392" s="104" t="n"/>
      <c r="Y1392" s="102" t="n"/>
      <c r="Z1392" s="104" t="n"/>
      <c r="AB1392" s="105">
        <f>IF($B1392="","",(COUNTIF(C1358:E1375,$B1392)+COUNTIF(C1358:E1375,$B1392&amp;" ~*")&gt;0)+(COUNTIF(G1358:I1375,$B1392)+COUNTIF(G1358:I1375,$B1392&amp;" ~*")&gt;0)+(COUNTIF(K1358:M1375,$B1392)+COUNTIF(K1358:M1375,$B1392&amp;" ~*")&gt;0)+(COUNTIF(O1358:Q1375,$B1392)+COUNTIF(O1358:Q1375,$B1392&amp;" ~*")&gt;0)+(COUNTIF(S1358:U1375,$B1392)+COUNTIF(S1358:U1375,$B1392&amp;" ~*")&gt;0)+(COUNTIF(W1358:W1375,$B1392)+COUNTIF(W1358:W1375,$B1392&amp;" ~*")&gt;0)+(COUNTIF(Y1358:Y1375,$B1392)+COUNTIF(Y1358:Y1375,$B1392&amp;" ~*")&gt;0))</f>
        <v/>
      </c>
      <c r="AC1392" s="38">
        <f>IF($B1392="","",(IFERROR(INDEX(Setup!$G$33:$G$40,MATCH(C1392,Setup!$B$33:$B$40,0)),0)=1)*(COUNTIF(C1358:E1375,$B1392)+COUNTIF(C1358:E1375,$B1392&amp;" ~*")&gt;0)+(IFERROR(INDEX(Setup!$G$33:$G$40,MATCH(G1392,Setup!$B$33:$B$40,0)),0)=1)*(COUNTIF(G1358:I1375,$B1392)+COUNTIF(G1358:I1375,$B1392&amp;" ~*")&gt;0)+(IFERROR(INDEX(Setup!$G$33:$G$40,MATCH(K1392,Setup!$B$33:$B$40,0)),0)=1)*(COUNTIF(K1358:M1375,$B1392)+COUNTIF(K1358:M1375,$B1392&amp;" ~*")&gt;0)+(IFERROR(INDEX(Setup!$G$33:$G$40,MATCH(O1392,Setup!$B$33:$B$40,0)),0)=1)*(COUNTIF(O1358:Q1375,$B1392)+COUNTIF(O1358:Q1375,$B1392&amp;" ~*")&gt;0)+(IFERROR(INDEX(Setup!$G$33:$G$40,MATCH(S1392,Setup!$B$33:$B$40,0)),0)=1)*(COUNTIF(S1358:U1375,$B1392)+COUNTIF(S1358:U1375,$B1392&amp;" ~*")&gt;0)+(IFERROR(INDEX(Setup!$G$33:$G$40,MATCH(W1392,Setup!$B$33:$B$40,0)),0)=1)*(COUNTIF(W1358:W1375,$B1392)+COUNTIF(W1358:W1375,$B1392&amp;" ~*")&gt;0)+(IFERROR(INDEX(Setup!$G$33:$G$40,MATCH(Y1392,Setup!$B$33:$B$40,0)),0)=1)*(COUNTIF(Y1358:Y1375,$B1392)+COUNTIF(Y1358:Y1375,$B1392&amp;" ~*")&gt;0))</f>
        <v/>
      </c>
    </row>
    <row r="1393" ht="15" customHeight="1">
      <c r="A1393" t="n">
        <v>28</v>
      </c>
      <c r="B1393" s="35">
        <f>IF(Setup!$B$22="","",Setup!$B$22)</f>
        <v/>
      </c>
      <c r="C1393" s="98" t="n"/>
      <c r="D1393" s="99" t="n"/>
      <c r="E1393" s="99" t="n"/>
      <c r="F1393" s="100" t="n"/>
      <c r="G1393" s="98" t="n"/>
      <c r="H1393" s="99" t="n"/>
      <c r="I1393" s="99" t="n"/>
      <c r="J1393" s="100" t="n"/>
      <c r="K1393" s="98" t="n"/>
      <c r="L1393" s="99" t="n"/>
      <c r="M1393" s="99" t="n"/>
      <c r="N1393" s="100" t="n"/>
      <c r="O1393" s="98" t="n"/>
      <c r="P1393" s="99" t="n"/>
      <c r="Q1393" s="99" t="n"/>
      <c r="R1393" s="100" t="n"/>
      <c r="S1393" s="98" t="n"/>
      <c r="T1393" s="99" t="n"/>
      <c r="U1393" s="99" t="n"/>
      <c r="V1393" s="100" t="n"/>
      <c r="W1393" s="98" t="n"/>
      <c r="X1393" s="100" t="n"/>
      <c r="Y1393" s="98" t="n"/>
      <c r="Z1393" s="100" t="n"/>
      <c r="AB1393" s="101">
        <f>IF($B1393="","",(COUNTIF(C1358:E1375,$B1393)+COUNTIF(C1358:E1375,$B1393&amp;" ~*")&gt;0)+(COUNTIF(G1358:I1375,$B1393)+COUNTIF(G1358:I1375,$B1393&amp;" ~*")&gt;0)+(COUNTIF(K1358:M1375,$B1393)+COUNTIF(K1358:M1375,$B1393&amp;" ~*")&gt;0)+(COUNTIF(O1358:Q1375,$B1393)+COUNTIF(O1358:Q1375,$B1393&amp;" ~*")&gt;0)+(COUNTIF(S1358:U1375,$B1393)+COUNTIF(S1358:U1375,$B1393&amp;" ~*")&gt;0)+(COUNTIF(W1358:W1375,$B1393)+COUNTIF(W1358:W1375,$B1393&amp;" ~*")&gt;0)+(COUNTIF(Y1358:Y1375,$B1393)+COUNTIF(Y1358:Y1375,$B1393&amp;" ~*")&gt;0))</f>
        <v/>
      </c>
      <c r="AC1393" s="36">
        <f>IF($B1393="","",(IFERROR(INDEX(Setup!$G$33:$G$40,MATCH(C1393,Setup!$B$33:$B$40,0)),0)=1)*(COUNTIF(C1358:E1375,$B1393)+COUNTIF(C1358:E1375,$B1393&amp;" ~*")&gt;0)+(IFERROR(INDEX(Setup!$G$33:$G$40,MATCH(G1393,Setup!$B$33:$B$40,0)),0)=1)*(COUNTIF(G1358:I1375,$B1393)+COUNTIF(G1358:I1375,$B1393&amp;" ~*")&gt;0)+(IFERROR(INDEX(Setup!$G$33:$G$40,MATCH(K1393,Setup!$B$33:$B$40,0)),0)=1)*(COUNTIF(K1358:M1375,$B1393)+COUNTIF(K1358:M1375,$B1393&amp;" ~*")&gt;0)+(IFERROR(INDEX(Setup!$G$33:$G$40,MATCH(O1393,Setup!$B$33:$B$40,0)),0)=1)*(COUNTIF(O1358:Q1375,$B1393)+COUNTIF(O1358:Q1375,$B1393&amp;" ~*")&gt;0)+(IFERROR(INDEX(Setup!$G$33:$G$40,MATCH(S1393,Setup!$B$33:$B$40,0)),0)=1)*(COUNTIF(S1358:U1375,$B1393)+COUNTIF(S1358:U1375,$B1393&amp;" ~*")&gt;0)+(IFERROR(INDEX(Setup!$G$33:$G$40,MATCH(W1393,Setup!$B$33:$B$40,0)),0)=1)*(COUNTIF(W1358:W1375,$B1393)+COUNTIF(W1358:W1375,$B1393&amp;" ~*")&gt;0)+(IFERROR(INDEX(Setup!$G$33:$G$40,MATCH(Y1393,Setup!$B$33:$B$40,0)),0)=1)*(COUNTIF(Y1358:Y1375,$B1393)+COUNTIF(Y1358:Y1375,$B1393&amp;" ~*")&gt;0))</f>
        <v/>
      </c>
    </row>
    <row r="1394" ht="15" customHeight="1">
      <c r="A1394" t="n">
        <v>28</v>
      </c>
      <c r="B1394" s="37">
        <f>IF(Setup!$B$23="","",Setup!$B$23)</f>
        <v/>
      </c>
      <c r="C1394" s="102" t="n"/>
      <c r="D1394" s="103" t="n"/>
      <c r="E1394" s="103" t="n"/>
      <c r="F1394" s="104" t="n"/>
      <c r="G1394" s="102" t="n"/>
      <c r="H1394" s="103" t="n"/>
      <c r="I1394" s="103" t="n"/>
      <c r="J1394" s="104" t="n"/>
      <c r="K1394" s="102" t="n"/>
      <c r="L1394" s="103" t="n"/>
      <c r="M1394" s="103" t="n"/>
      <c r="N1394" s="104" t="n"/>
      <c r="O1394" s="102" t="n"/>
      <c r="P1394" s="103" t="n"/>
      <c r="Q1394" s="103" t="n"/>
      <c r="R1394" s="104" t="n"/>
      <c r="S1394" s="102" t="n"/>
      <c r="T1394" s="103" t="n"/>
      <c r="U1394" s="103" t="n"/>
      <c r="V1394" s="104" t="n"/>
      <c r="W1394" s="102" t="n"/>
      <c r="X1394" s="104" t="n"/>
      <c r="Y1394" s="102" t="n"/>
      <c r="Z1394" s="104" t="n"/>
      <c r="AB1394" s="105">
        <f>IF($B1394="","",(COUNTIF(C1358:E1375,$B1394)+COUNTIF(C1358:E1375,$B1394&amp;" ~*")&gt;0)+(COUNTIF(G1358:I1375,$B1394)+COUNTIF(G1358:I1375,$B1394&amp;" ~*")&gt;0)+(COUNTIF(K1358:M1375,$B1394)+COUNTIF(K1358:M1375,$B1394&amp;" ~*")&gt;0)+(COUNTIF(O1358:Q1375,$B1394)+COUNTIF(O1358:Q1375,$B1394&amp;" ~*")&gt;0)+(COUNTIF(S1358:U1375,$B1394)+COUNTIF(S1358:U1375,$B1394&amp;" ~*")&gt;0)+(COUNTIF(W1358:W1375,$B1394)+COUNTIF(W1358:W1375,$B1394&amp;" ~*")&gt;0)+(COUNTIF(Y1358:Y1375,$B1394)+COUNTIF(Y1358:Y1375,$B1394&amp;" ~*")&gt;0))</f>
        <v/>
      </c>
      <c r="AC1394" s="38">
        <f>IF($B1394="","",(IFERROR(INDEX(Setup!$G$33:$G$40,MATCH(C1394,Setup!$B$33:$B$40,0)),0)=1)*(COUNTIF(C1358:E1375,$B1394)+COUNTIF(C1358:E1375,$B1394&amp;" ~*")&gt;0)+(IFERROR(INDEX(Setup!$G$33:$G$40,MATCH(G1394,Setup!$B$33:$B$40,0)),0)=1)*(COUNTIF(G1358:I1375,$B1394)+COUNTIF(G1358:I1375,$B1394&amp;" ~*")&gt;0)+(IFERROR(INDEX(Setup!$G$33:$G$40,MATCH(K1394,Setup!$B$33:$B$40,0)),0)=1)*(COUNTIF(K1358:M1375,$B1394)+COUNTIF(K1358:M1375,$B1394&amp;" ~*")&gt;0)+(IFERROR(INDEX(Setup!$G$33:$G$40,MATCH(O1394,Setup!$B$33:$B$40,0)),0)=1)*(COUNTIF(O1358:Q1375,$B1394)+COUNTIF(O1358:Q1375,$B1394&amp;" ~*")&gt;0)+(IFERROR(INDEX(Setup!$G$33:$G$40,MATCH(S1394,Setup!$B$33:$B$40,0)),0)=1)*(COUNTIF(S1358:U1375,$B1394)+COUNTIF(S1358:U1375,$B1394&amp;" ~*")&gt;0)+(IFERROR(INDEX(Setup!$G$33:$G$40,MATCH(W1394,Setup!$B$33:$B$40,0)),0)=1)*(COUNTIF(W1358:W1375,$B1394)+COUNTIF(W1358:W1375,$B1394&amp;" ~*")&gt;0)+(IFERROR(INDEX(Setup!$G$33:$G$40,MATCH(Y1394,Setup!$B$33:$B$40,0)),0)=1)*(COUNTIF(Y1358:Y1375,$B1394)+COUNTIF(Y1358:Y1375,$B1394&amp;" ~*")&gt;0))</f>
        <v/>
      </c>
    </row>
    <row r="1395" ht="15" customHeight="1">
      <c r="A1395" t="n">
        <v>28</v>
      </c>
      <c r="B1395" s="35">
        <f>IF(Setup!$B$24="","",Setup!$B$24)</f>
        <v/>
      </c>
      <c r="C1395" s="98" t="n"/>
      <c r="D1395" s="99" t="n"/>
      <c r="E1395" s="99" t="n"/>
      <c r="F1395" s="100" t="n"/>
      <c r="G1395" s="98" t="n"/>
      <c r="H1395" s="99" t="n"/>
      <c r="I1395" s="99" t="n"/>
      <c r="J1395" s="100" t="n"/>
      <c r="K1395" s="98" t="n"/>
      <c r="L1395" s="99" t="n"/>
      <c r="M1395" s="99" t="n"/>
      <c r="N1395" s="100" t="n"/>
      <c r="O1395" s="98" t="n"/>
      <c r="P1395" s="99" t="n"/>
      <c r="Q1395" s="99" t="n"/>
      <c r="R1395" s="100" t="n"/>
      <c r="S1395" s="98" t="n"/>
      <c r="T1395" s="99" t="n"/>
      <c r="U1395" s="99" t="n"/>
      <c r="V1395" s="100" t="n"/>
      <c r="W1395" s="98" t="n"/>
      <c r="X1395" s="100" t="n"/>
      <c r="Y1395" s="98" t="n"/>
      <c r="Z1395" s="100" t="n"/>
      <c r="AB1395" s="101">
        <f>IF($B1395="","",(COUNTIF(C1358:E1375,$B1395)+COUNTIF(C1358:E1375,$B1395&amp;" ~*")&gt;0)+(COUNTIF(G1358:I1375,$B1395)+COUNTIF(G1358:I1375,$B1395&amp;" ~*")&gt;0)+(COUNTIF(K1358:M1375,$B1395)+COUNTIF(K1358:M1375,$B1395&amp;" ~*")&gt;0)+(COUNTIF(O1358:Q1375,$B1395)+COUNTIF(O1358:Q1375,$B1395&amp;" ~*")&gt;0)+(COUNTIF(S1358:U1375,$B1395)+COUNTIF(S1358:U1375,$B1395&amp;" ~*")&gt;0)+(COUNTIF(W1358:W1375,$B1395)+COUNTIF(W1358:W1375,$B1395&amp;" ~*")&gt;0)+(COUNTIF(Y1358:Y1375,$B1395)+COUNTIF(Y1358:Y1375,$B1395&amp;" ~*")&gt;0))</f>
        <v/>
      </c>
      <c r="AC1395" s="36">
        <f>IF($B1395="","",(IFERROR(INDEX(Setup!$G$33:$G$40,MATCH(C1395,Setup!$B$33:$B$40,0)),0)=1)*(COUNTIF(C1358:E1375,$B1395)+COUNTIF(C1358:E1375,$B1395&amp;" ~*")&gt;0)+(IFERROR(INDEX(Setup!$G$33:$G$40,MATCH(G1395,Setup!$B$33:$B$40,0)),0)=1)*(COUNTIF(G1358:I1375,$B1395)+COUNTIF(G1358:I1375,$B1395&amp;" ~*")&gt;0)+(IFERROR(INDEX(Setup!$G$33:$G$40,MATCH(K1395,Setup!$B$33:$B$40,0)),0)=1)*(COUNTIF(K1358:M1375,$B1395)+COUNTIF(K1358:M1375,$B1395&amp;" ~*")&gt;0)+(IFERROR(INDEX(Setup!$G$33:$G$40,MATCH(O1395,Setup!$B$33:$B$40,0)),0)=1)*(COUNTIF(O1358:Q1375,$B1395)+COUNTIF(O1358:Q1375,$B1395&amp;" ~*")&gt;0)+(IFERROR(INDEX(Setup!$G$33:$G$40,MATCH(S1395,Setup!$B$33:$B$40,0)),0)=1)*(COUNTIF(S1358:U1375,$B1395)+COUNTIF(S1358:U1375,$B1395&amp;" ~*")&gt;0)+(IFERROR(INDEX(Setup!$G$33:$G$40,MATCH(W1395,Setup!$B$33:$B$40,0)),0)=1)*(COUNTIF(W1358:W1375,$B1395)+COUNTIF(W1358:W1375,$B1395&amp;" ~*")&gt;0)+(IFERROR(INDEX(Setup!$G$33:$G$40,MATCH(Y1395,Setup!$B$33:$B$40,0)),0)=1)*(COUNTIF(Y1358:Y1375,$B1395)+COUNTIF(Y1358:Y1375,$B1395&amp;" ~*")&gt;0))</f>
        <v/>
      </c>
    </row>
    <row r="1396" ht="15" customHeight="1">
      <c r="A1396" t="n">
        <v>28</v>
      </c>
      <c r="B1396" s="37">
        <f>IF(Setup!$B$25="","",Setup!$B$25)</f>
        <v/>
      </c>
      <c r="C1396" s="102" t="n"/>
      <c r="D1396" s="103" t="n"/>
      <c r="E1396" s="103" t="n"/>
      <c r="F1396" s="104" t="n"/>
      <c r="G1396" s="102" t="n"/>
      <c r="H1396" s="103" t="n"/>
      <c r="I1396" s="103" t="n"/>
      <c r="J1396" s="104" t="n"/>
      <c r="K1396" s="102" t="n"/>
      <c r="L1396" s="103" t="n"/>
      <c r="M1396" s="103" t="n"/>
      <c r="N1396" s="104" t="n"/>
      <c r="O1396" s="102" t="n"/>
      <c r="P1396" s="103" t="n"/>
      <c r="Q1396" s="103" t="n"/>
      <c r="R1396" s="104" t="n"/>
      <c r="S1396" s="102" t="n"/>
      <c r="T1396" s="103" t="n"/>
      <c r="U1396" s="103" t="n"/>
      <c r="V1396" s="104" t="n"/>
      <c r="W1396" s="102" t="n"/>
      <c r="X1396" s="104" t="n"/>
      <c r="Y1396" s="102" t="n"/>
      <c r="Z1396" s="104" t="n"/>
      <c r="AB1396" s="105">
        <f>IF($B1396="","",(COUNTIF(C1358:E1375,$B1396)+COUNTIF(C1358:E1375,$B1396&amp;" ~*")&gt;0)+(COUNTIF(G1358:I1375,$B1396)+COUNTIF(G1358:I1375,$B1396&amp;" ~*")&gt;0)+(COUNTIF(K1358:M1375,$B1396)+COUNTIF(K1358:M1375,$B1396&amp;" ~*")&gt;0)+(COUNTIF(O1358:Q1375,$B1396)+COUNTIF(O1358:Q1375,$B1396&amp;" ~*")&gt;0)+(COUNTIF(S1358:U1375,$B1396)+COUNTIF(S1358:U1375,$B1396&amp;" ~*")&gt;0)+(COUNTIF(W1358:W1375,$B1396)+COUNTIF(W1358:W1375,$B1396&amp;" ~*")&gt;0)+(COUNTIF(Y1358:Y1375,$B1396)+COUNTIF(Y1358:Y1375,$B1396&amp;" ~*")&gt;0))</f>
        <v/>
      </c>
      <c r="AC1396" s="38">
        <f>IF($B1396="","",(IFERROR(INDEX(Setup!$G$33:$G$40,MATCH(C1396,Setup!$B$33:$B$40,0)),0)=1)*(COUNTIF(C1358:E1375,$B1396)+COUNTIF(C1358:E1375,$B1396&amp;" ~*")&gt;0)+(IFERROR(INDEX(Setup!$G$33:$G$40,MATCH(G1396,Setup!$B$33:$B$40,0)),0)=1)*(COUNTIF(G1358:I1375,$B1396)+COUNTIF(G1358:I1375,$B1396&amp;" ~*")&gt;0)+(IFERROR(INDEX(Setup!$G$33:$G$40,MATCH(K1396,Setup!$B$33:$B$40,0)),0)=1)*(COUNTIF(K1358:M1375,$B1396)+COUNTIF(K1358:M1375,$B1396&amp;" ~*")&gt;0)+(IFERROR(INDEX(Setup!$G$33:$G$40,MATCH(O1396,Setup!$B$33:$B$40,0)),0)=1)*(COUNTIF(O1358:Q1375,$B1396)+COUNTIF(O1358:Q1375,$B1396&amp;" ~*")&gt;0)+(IFERROR(INDEX(Setup!$G$33:$G$40,MATCH(S1396,Setup!$B$33:$B$40,0)),0)=1)*(COUNTIF(S1358:U1375,$B1396)+COUNTIF(S1358:U1375,$B1396&amp;" ~*")&gt;0)+(IFERROR(INDEX(Setup!$G$33:$G$40,MATCH(W1396,Setup!$B$33:$B$40,0)),0)=1)*(COUNTIF(W1358:W1375,$B1396)+COUNTIF(W1358:W1375,$B1396&amp;" ~*")&gt;0)+(IFERROR(INDEX(Setup!$G$33:$G$40,MATCH(Y1396,Setup!$B$33:$B$40,0)),0)=1)*(COUNTIF(Y1358:Y1375,$B1396)+COUNTIF(Y1358:Y1375,$B1396&amp;" ~*")&gt;0))</f>
        <v/>
      </c>
    </row>
    <row r="1397" ht="15" customHeight="1">
      <c r="A1397" t="n">
        <v>28</v>
      </c>
      <c r="B1397" s="35">
        <f>IF(Setup!$B$26="","",Setup!$B$26)</f>
        <v/>
      </c>
      <c r="C1397" s="98" t="n"/>
      <c r="D1397" s="99" t="n"/>
      <c r="E1397" s="99" t="n"/>
      <c r="F1397" s="100" t="n"/>
      <c r="G1397" s="98" t="n"/>
      <c r="H1397" s="99" t="n"/>
      <c r="I1397" s="99" t="n"/>
      <c r="J1397" s="100" t="n"/>
      <c r="K1397" s="98" t="n"/>
      <c r="L1397" s="99" t="n"/>
      <c r="M1397" s="99" t="n"/>
      <c r="N1397" s="100" t="n"/>
      <c r="O1397" s="98" t="n"/>
      <c r="P1397" s="99" t="n"/>
      <c r="Q1397" s="99" t="n"/>
      <c r="R1397" s="100" t="n"/>
      <c r="S1397" s="98" t="n"/>
      <c r="T1397" s="99" t="n"/>
      <c r="U1397" s="99" t="n"/>
      <c r="V1397" s="100" t="n"/>
      <c r="W1397" s="98" t="n"/>
      <c r="X1397" s="100" t="n"/>
      <c r="Y1397" s="98" t="n"/>
      <c r="Z1397" s="100" t="n"/>
      <c r="AB1397" s="101">
        <f>IF($B1397="","",(COUNTIF(C1358:E1375,$B1397)+COUNTIF(C1358:E1375,$B1397&amp;" ~*")&gt;0)+(COUNTIF(G1358:I1375,$B1397)+COUNTIF(G1358:I1375,$B1397&amp;" ~*")&gt;0)+(COUNTIF(K1358:M1375,$B1397)+COUNTIF(K1358:M1375,$B1397&amp;" ~*")&gt;0)+(COUNTIF(O1358:Q1375,$B1397)+COUNTIF(O1358:Q1375,$B1397&amp;" ~*")&gt;0)+(COUNTIF(S1358:U1375,$B1397)+COUNTIF(S1358:U1375,$B1397&amp;" ~*")&gt;0)+(COUNTIF(W1358:W1375,$B1397)+COUNTIF(W1358:W1375,$B1397&amp;" ~*")&gt;0)+(COUNTIF(Y1358:Y1375,$B1397)+COUNTIF(Y1358:Y1375,$B1397&amp;" ~*")&gt;0))</f>
        <v/>
      </c>
      <c r="AC1397" s="36">
        <f>IF($B1397="","",(IFERROR(INDEX(Setup!$G$33:$G$40,MATCH(C1397,Setup!$B$33:$B$40,0)),0)=1)*(COUNTIF(C1358:E1375,$B1397)+COUNTIF(C1358:E1375,$B1397&amp;" ~*")&gt;0)+(IFERROR(INDEX(Setup!$G$33:$G$40,MATCH(G1397,Setup!$B$33:$B$40,0)),0)=1)*(COUNTIF(G1358:I1375,$B1397)+COUNTIF(G1358:I1375,$B1397&amp;" ~*")&gt;0)+(IFERROR(INDEX(Setup!$G$33:$G$40,MATCH(K1397,Setup!$B$33:$B$40,0)),0)=1)*(COUNTIF(K1358:M1375,$B1397)+COUNTIF(K1358:M1375,$B1397&amp;" ~*")&gt;0)+(IFERROR(INDEX(Setup!$G$33:$G$40,MATCH(O1397,Setup!$B$33:$B$40,0)),0)=1)*(COUNTIF(O1358:Q1375,$B1397)+COUNTIF(O1358:Q1375,$B1397&amp;" ~*")&gt;0)+(IFERROR(INDEX(Setup!$G$33:$G$40,MATCH(S1397,Setup!$B$33:$B$40,0)),0)=1)*(COUNTIF(S1358:U1375,$B1397)+COUNTIF(S1358:U1375,$B1397&amp;" ~*")&gt;0)+(IFERROR(INDEX(Setup!$G$33:$G$40,MATCH(W1397,Setup!$B$33:$B$40,0)),0)=1)*(COUNTIF(W1358:W1375,$B1397)+COUNTIF(W1358:W1375,$B1397&amp;" ~*")&gt;0)+(IFERROR(INDEX(Setup!$G$33:$G$40,MATCH(Y1397,Setup!$B$33:$B$40,0)),0)=1)*(COUNTIF(Y1358:Y1375,$B1397)+COUNTIF(Y1358:Y1375,$B1397&amp;" ~*")&gt;0))</f>
        <v/>
      </c>
    </row>
    <row r="1398" ht="15" customHeight="1">
      <c r="A1398" t="n">
        <v>28</v>
      </c>
      <c r="B1398" s="37">
        <f>IF(Setup!$B$27="","",Setup!$B$27)</f>
        <v/>
      </c>
      <c r="C1398" s="102" t="n"/>
      <c r="D1398" s="103" t="n"/>
      <c r="E1398" s="103" t="n"/>
      <c r="F1398" s="104" t="n"/>
      <c r="G1398" s="102" t="n"/>
      <c r="H1398" s="103" t="n"/>
      <c r="I1398" s="103" t="n"/>
      <c r="J1398" s="104" t="n"/>
      <c r="K1398" s="102" t="n"/>
      <c r="L1398" s="103" t="n"/>
      <c r="M1398" s="103" t="n"/>
      <c r="N1398" s="104" t="n"/>
      <c r="O1398" s="102" t="n"/>
      <c r="P1398" s="103" t="n"/>
      <c r="Q1398" s="103" t="n"/>
      <c r="R1398" s="104" t="n"/>
      <c r="S1398" s="102" t="n"/>
      <c r="T1398" s="103" t="n"/>
      <c r="U1398" s="103" t="n"/>
      <c r="V1398" s="104" t="n"/>
      <c r="W1398" s="102" t="n"/>
      <c r="X1398" s="104" t="n"/>
      <c r="Y1398" s="102" t="n"/>
      <c r="Z1398" s="104" t="n"/>
      <c r="AB1398" s="105">
        <f>IF($B1398="","",(COUNTIF(C1358:E1375,$B1398)+COUNTIF(C1358:E1375,$B1398&amp;" ~*")&gt;0)+(COUNTIF(G1358:I1375,$B1398)+COUNTIF(G1358:I1375,$B1398&amp;" ~*")&gt;0)+(COUNTIF(K1358:M1375,$B1398)+COUNTIF(K1358:M1375,$B1398&amp;" ~*")&gt;0)+(COUNTIF(O1358:Q1375,$B1398)+COUNTIF(O1358:Q1375,$B1398&amp;" ~*")&gt;0)+(COUNTIF(S1358:U1375,$B1398)+COUNTIF(S1358:U1375,$B1398&amp;" ~*")&gt;0)+(COUNTIF(W1358:W1375,$B1398)+COUNTIF(W1358:W1375,$B1398&amp;" ~*")&gt;0)+(COUNTIF(Y1358:Y1375,$B1398)+COUNTIF(Y1358:Y1375,$B1398&amp;" ~*")&gt;0))</f>
        <v/>
      </c>
      <c r="AC1398" s="38">
        <f>IF($B1398="","",(IFERROR(INDEX(Setup!$G$33:$G$40,MATCH(C1398,Setup!$B$33:$B$40,0)),0)=1)*(COUNTIF(C1358:E1375,$B1398)+COUNTIF(C1358:E1375,$B1398&amp;" ~*")&gt;0)+(IFERROR(INDEX(Setup!$G$33:$G$40,MATCH(G1398,Setup!$B$33:$B$40,0)),0)=1)*(COUNTIF(G1358:I1375,$B1398)+COUNTIF(G1358:I1375,$B1398&amp;" ~*")&gt;0)+(IFERROR(INDEX(Setup!$G$33:$G$40,MATCH(K1398,Setup!$B$33:$B$40,0)),0)=1)*(COUNTIF(K1358:M1375,$B1398)+COUNTIF(K1358:M1375,$B1398&amp;" ~*")&gt;0)+(IFERROR(INDEX(Setup!$G$33:$G$40,MATCH(O1398,Setup!$B$33:$B$40,0)),0)=1)*(COUNTIF(O1358:Q1375,$B1398)+COUNTIF(O1358:Q1375,$B1398&amp;" ~*")&gt;0)+(IFERROR(INDEX(Setup!$G$33:$G$40,MATCH(S1398,Setup!$B$33:$B$40,0)),0)=1)*(COUNTIF(S1358:U1375,$B1398)+COUNTIF(S1358:U1375,$B1398&amp;" ~*")&gt;0)+(IFERROR(INDEX(Setup!$G$33:$G$40,MATCH(W1398,Setup!$B$33:$B$40,0)),0)=1)*(COUNTIF(W1358:W1375,$B1398)+COUNTIF(W1358:W1375,$B1398&amp;" ~*")&gt;0)+(IFERROR(INDEX(Setup!$G$33:$G$40,MATCH(Y1398,Setup!$B$33:$B$40,0)),0)=1)*(COUNTIF(Y1358:Y1375,$B1398)+COUNTIF(Y1358:Y1375,$B1398&amp;" ~*")&gt;0))</f>
        <v/>
      </c>
    </row>
    <row r="1399" ht="15" customHeight="1">
      <c r="A1399" t="n">
        <v>28</v>
      </c>
      <c r="B1399" s="35">
        <f>IF(Setup!$B$28="","",Setup!$B$28)</f>
        <v/>
      </c>
      <c r="C1399" s="98" t="n"/>
      <c r="D1399" s="99" t="n"/>
      <c r="E1399" s="99" t="n"/>
      <c r="F1399" s="100" t="n"/>
      <c r="G1399" s="98" t="n"/>
      <c r="H1399" s="99" t="n"/>
      <c r="I1399" s="99" t="n"/>
      <c r="J1399" s="100" t="n"/>
      <c r="K1399" s="98" t="n"/>
      <c r="L1399" s="99" t="n"/>
      <c r="M1399" s="99" t="n"/>
      <c r="N1399" s="100" t="n"/>
      <c r="O1399" s="98" t="n"/>
      <c r="P1399" s="99" t="n"/>
      <c r="Q1399" s="99" t="n"/>
      <c r="R1399" s="100" t="n"/>
      <c r="S1399" s="98" t="n"/>
      <c r="T1399" s="99" t="n"/>
      <c r="U1399" s="99" t="n"/>
      <c r="V1399" s="100" t="n"/>
      <c r="W1399" s="98" t="n"/>
      <c r="X1399" s="100" t="n"/>
      <c r="Y1399" s="98" t="n"/>
      <c r="Z1399" s="100" t="n"/>
      <c r="AB1399" s="101">
        <f>IF($B1399="","",(COUNTIF(C1358:E1375,$B1399)+COUNTIF(C1358:E1375,$B1399&amp;" ~*")&gt;0)+(COUNTIF(G1358:I1375,$B1399)+COUNTIF(G1358:I1375,$B1399&amp;" ~*")&gt;0)+(COUNTIF(K1358:M1375,$B1399)+COUNTIF(K1358:M1375,$B1399&amp;" ~*")&gt;0)+(COUNTIF(O1358:Q1375,$B1399)+COUNTIF(O1358:Q1375,$B1399&amp;" ~*")&gt;0)+(COUNTIF(S1358:U1375,$B1399)+COUNTIF(S1358:U1375,$B1399&amp;" ~*")&gt;0)+(COUNTIF(W1358:W1375,$B1399)+COUNTIF(W1358:W1375,$B1399&amp;" ~*")&gt;0)+(COUNTIF(Y1358:Y1375,$B1399)+COUNTIF(Y1358:Y1375,$B1399&amp;" ~*")&gt;0))</f>
        <v/>
      </c>
      <c r="AC1399" s="36">
        <f>IF($B1399="","",(IFERROR(INDEX(Setup!$G$33:$G$40,MATCH(C1399,Setup!$B$33:$B$40,0)),0)=1)*(COUNTIF(C1358:E1375,$B1399)+COUNTIF(C1358:E1375,$B1399&amp;" ~*")&gt;0)+(IFERROR(INDEX(Setup!$G$33:$G$40,MATCH(G1399,Setup!$B$33:$B$40,0)),0)=1)*(COUNTIF(G1358:I1375,$B1399)+COUNTIF(G1358:I1375,$B1399&amp;" ~*")&gt;0)+(IFERROR(INDEX(Setup!$G$33:$G$40,MATCH(K1399,Setup!$B$33:$B$40,0)),0)=1)*(COUNTIF(K1358:M1375,$B1399)+COUNTIF(K1358:M1375,$B1399&amp;" ~*")&gt;0)+(IFERROR(INDEX(Setup!$G$33:$G$40,MATCH(O1399,Setup!$B$33:$B$40,0)),0)=1)*(COUNTIF(O1358:Q1375,$B1399)+COUNTIF(O1358:Q1375,$B1399&amp;" ~*")&gt;0)+(IFERROR(INDEX(Setup!$G$33:$G$40,MATCH(S1399,Setup!$B$33:$B$40,0)),0)=1)*(COUNTIF(S1358:U1375,$B1399)+COUNTIF(S1358:U1375,$B1399&amp;" ~*")&gt;0)+(IFERROR(INDEX(Setup!$G$33:$G$40,MATCH(W1399,Setup!$B$33:$B$40,0)),0)=1)*(COUNTIF(W1358:W1375,$B1399)+COUNTIF(W1358:W1375,$B1399&amp;" ~*")&gt;0)+(IFERROR(INDEX(Setup!$G$33:$G$40,MATCH(Y1399,Setup!$B$33:$B$40,0)),0)=1)*(COUNTIF(Y1358:Y1375,$B1399)+COUNTIF(Y1358:Y1375,$B1399&amp;" ~*")&gt;0))</f>
        <v/>
      </c>
    </row>
    <row r="1400" ht="15" customHeight="1">
      <c r="A1400" t="n">
        <v>28</v>
      </c>
      <c r="B1400" s="37">
        <f>IF(Setup!$B$29="","",Setup!$B$29)</f>
        <v/>
      </c>
      <c r="C1400" s="102" t="n"/>
      <c r="D1400" s="103" t="n"/>
      <c r="E1400" s="103" t="n"/>
      <c r="F1400" s="104" t="n"/>
      <c r="G1400" s="102" t="n"/>
      <c r="H1400" s="103" t="n"/>
      <c r="I1400" s="103" t="n"/>
      <c r="J1400" s="104" t="n"/>
      <c r="K1400" s="102" t="n"/>
      <c r="L1400" s="103" t="n"/>
      <c r="M1400" s="103" t="n"/>
      <c r="N1400" s="104" t="n"/>
      <c r="O1400" s="102" t="n"/>
      <c r="P1400" s="103" t="n"/>
      <c r="Q1400" s="103" t="n"/>
      <c r="R1400" s="104" t="n"/>
      <c r="S1400" s="102" t="n"/>
      <c r="T1400" s="103" t="n"/>
      <c r="U1400" s="103" t="n"/>
      <c r="V1400" s="104" t="n"/>
      <c r="W1400" s="102" t="n"/>
      <c r="X1400" s="104" t="n"/>
      <c r="Y1400" s="102" t="n"/>
      <c r="Z1400" s="104" t="n"/>
      <c r="AB1400" s="105">
        <f>IF($B1400="","",(COUNTIF(C1358:E1375,$B1400)+COUNTIF(C1358:E1375,$B1400&amp;" ~*")&gt;0)+(COUNTIF(G1358:I1375,$B1400)+COUNTIF(G1358:I1375,$B1400&amp;" ~*")&gt;0)+(COUNTIF(K1358:M1375,$B1400)+COUNTIF(K1358:M1375,$B1400&amp;" ~*")&gt;0)+(COUNTIF(O1358:Q1375,$B1400)+COUNTIF(O1358:Q1375,$B1400&amp;" ~*")&gt;0)+(COUNTIF(S1358:U1375,$B1400)+COUNTIF(S1358:U1375,$B1400&amp;" ~*")&gt;0)+(COUNTIF(W1358:W1375,$B1400)+COUNTIF(W1358:W1375,$B1400&amp;" ~*")&gt;0)+(COUNTIF(Y1358:Y1375,$B1400)+COUNTIF(Y1358:Y1375,$B1400&amp;" ~*")&gt;0))</f>
        <v/>
      </c>
      <c r="AC1400" s="38">
        <f>IF($B1400="","",(IFERROR(INDEX(Setup!$G$33:$G$40,MATCH(C1400,Setup!$B$33:$B$40,0)),0)=1)*(COUNTIF(C1358:E1375,$B1400)+COUNTIF(C1358:E1375,$B1400&amp;" ~*")&gt;0)+(IFERROR(INDEX(Setup!$G$33:$G$40,MATCH(G1400,Setup!$B$33:$B$40,0)),0)=1)*(COUNTIF(G1358:I1375,$B1400)+COUNTIF(G1358:I1375,$B1400&amp;" ~*")&gt;0)+(IFERROR(INDEX(Setup!$G$33:$G$40,MATCH(K1400,Setup!$B$33:$B$40,0)),0)=1)*(COUNTIF(K1358:M1375,$B1400)+COUNTIF(K1358:M1375,$B1400&amp;" ~*")&gt;0)+(IFERROR(INDEX(Setup!$G$33:$G$40,MATCH(O1400,Setup!$B$33:$B$40,0)),0)=1)*(COUNTIF(O1358:Q1375,$B1400)+COUNTIF(O1358:Q1375,$B1400&amp;" ~*")&gt;0)+(IFERROR(INDEX(Setup!$G$33:$G$40,MATCH(S1400,Setup!$B$33:$B$40,0)),0)=1)*(COUNTIF(S1358:U1375,$B1400)+COUNTIF(S1358:U1375,$B1400&amp;" ~*")&gt;0)+(IFERROR(INDEX(Setup!$G$33:$G$40,MATCH(W1400,Setup!$B$33:$B$40,0)),0)=1)*(COUNTIF(W1358:W1375,$B1400)+COUNTIF(W1358:W1375,$B1400&amp;" ~*")&gt;0)+(IFERROR(INDEX(Setup!$G$33:$G$40,MATCH(Y1400,Setup!$B$33:$B$40,0)),0)=1)*(COUNTIF(Y1358:Y1375,$B1400)+COUNTIF(Y1358:Y1375,$B1400&amp;" ~*")&gt;0))</f>
        <v/>
      </c>
    </row>
    <row r="1401" ht="16" customHeight="1">
      <c r="A1401" t="n">
        <v>28</v>
      </c>
      <c r="B1401" s="106" t="inlineStr">
        <is>
          <t>Available people</t>
        </is>
      </c>
      <c r="C1401" s="107">
        <f>COUNTIFS(Setup!$E$6:$E$29,"Y",Setup!$B$6:$B$29,"?*")-SUMPRODUCT(COUNTIF(C1377:C1400,Setup!$F$33:$F$40))</f>
        <v/>
      </c>
      <c r="D1401" s="107" t="n"/>
      <c r="E1401" s="107" t="n"/>
      <c r="F1401" s="107" t="n"/>
      <c r="G1401" s="107">
        <f>COUNTIFS(Setup!$E$6:$E$29,"Y",Setup!$B$6:$B$29,"?*")-SUMPRODUCT(COUNTIF(G1377:G1400,Setup!$F$33:$F$40))</f>
        <v/>
      </c>
      <c r="H1401" s="107" t="n"/>
      <c r="I1401" s="107" t="n"/>
      <c r="J1401" s="107" t="n"/>
      <c r="K1401" s="107">
        <f>COUNTIFS(Setup!$E$6:$E$29,"Y",Setup!$B$6:$B$29,"?*")-SUMPRODUCT(COUNTIF(K1377:K1400,Setup!$F$33:$F$40))</f>
        <v/>
      </c>
      <c r="L1401" s="107" t="n"/>
      <c r="M1401" s="107" t="n"/>
      <c r="N1401" s="107" t="n"/>
      <c r="O1401" s="107">
        <f>COUNTIFS(Setup!$E$6:$E$29,"Y",Setup!$B$6:$B$29,"?*")-SUMPRODUCT(COUNTIF(O1377:O1400,Setup!$F$33:$F$40))</f>
        <v/>
      </c>
      <c r="P1401" s="107" t="n"/>
      <c r="Q1401" s="107" t="n"/>
      <c r="R1401" s="107" t="n"/>
      <c r="S1401" s="107">
        <f>COUNTIFS(Setup!$E$6:$E$29,"Y",Setup!$B$6:$B$29,"?*")-SUMPRODUCT(COUNTIF(S1377:S1400,Setup!$F$33:$F$40))</f>
        <v/>
      </c>
      <c r="T1401" s="107" t="n"/>
      <c r="U1401" s="107" t="n"/>
      <c r="V1401" s="107" t="n"/>
      <c r="W1401" s="107">
        <f>COUNTIFS(Setup!$E$6:$E$29,"Y",Setup!$B$6:$B$29,"?*")-SUMPRODUCT(COUNTIF(W1377:W1400,Setup!$F$33:$F$40))</f>
        <v/>
      </c>
      <c r="X1401" s="107" t="n"/>
      <c r="Y1401" s="107">
        <f>COUNTIFS(Setup!$E$6:$E$29,"Y",Setup!$B$6:$B$29,"?*")-SUMPRODUCT(COUNTIF(Y1377:Y1400,Setup!$F$33:$F$40))</f>
        <v/>
      </c>
      <c r="Z1401" s="107" t="n"/>
      <c r="AB1401" s="108">
        <f>SUM(AB1377:AB1400)</f>
        <v/>
      </c>
      <c r="AC1401" s="109">
        <f>SUM(AC1377:AC1400)</f>
        <v/>
      </c>
    </row>
    <row r="1402" ht="30" customHeight="1">
      <c r="A1402" t="n">
        <v>28</v>
      </c>
      <c r="B1402" s="110" t="inlineStr">
        <is>
          <t>Week notes</t>
        </is>
      </c>
      <c r="C1402" s="111" t="n"/>
      <c r="D1402" s="112" t="n"/>
      <c r="E1402" s="112" t="n"/>
      <c r="F1402" s="112" t="n"/>
      <c r="G1402" s="112" t="n"/>
      <c r="H1402" s="112" t="n"/>
      <c r="I1402" s="112" t="n"/>
      <c r="J1402" s="112" t="n"/>
      <c r="K1402" s="112" t="n"/>
      <c r="L1402" s="112" t="n"/>
      <c r="M1402" s="112" t="n"/>
      <c r="N1402" s="112" t="n"/>
      <c r="O1402" s="112" t="n"/>
      <c r="P1402" s="112" t="n"/>
      <c r="Q1402" s="112" t="n"/>
      <c r="R1402" s="112" t="n"/>
      <c r="S1402" s="112" t="n"/>
      <c r="T1402" s="112" t="n"/>
      <c r="U1402" s="112" t="n"/>
      <c r="V1402" s="112" t="n"/>
      <c r="W1402" s="112" t="n"/>
      <c r="X1402" s="112" t="n"/>
      <c r="Y1402" s="112" t="n"/>
      <c r="Z1402" s="113" t="n"/>
    </row>
    <row r="1403" ht="8" customHeight="1">
      <c r="A1403" t="n">
        <v>28</v>
      </c>
    </row>
    <row r="1404" ht="8" customHeight="1">
      <c r="A1404" t="n">
        <v>28</v>
      </c>
    </row>
    <row r="1405" ht="24" customHeight="1">
      <c r="A1405" t="n">
        <v>29</v>
      </c>
      <c r="B1405" s="73">
        <f>"WEEK 29     "&amp;TEXT(C1406,"ddd d mmm")&amp;"  –  "&amp;TEXT(C1406+6,"ddd d mmm yyyy")</f>
        <v/>
      </c>
      <c r="S1405" s="74">
        <f>IF(TODAY()&lt;C1406,"FUTURE",IF(TODAY()&gt;C1406+6,"PAST","THIS WEEK"))</f>
        <v/>
      </c>
      <c r="W1405" s="75">
        <f>IF(AND(Engine!$B$8=$AC$3,Engine!$B$9=$A1405),"◀ ACTIVE WEEK","")</f>
        <v/>
      </c>
      <c r="AA1405" s="76" t="n"/>
      <c r="AB1405" s="77" t="inlineStr">
        <is>
          <t>◀ Prev</t>
        </is>
      </c>
      <c r="AC1405" s="77" t="inlineStr">
        <is>
          <t>Next ▶</t>
        </is>
      </c>
    </row>
    <row r="1406" ht="18" customHeight="1">
      <c r="A1406" t="n">
        <v>29</v>
      </c>
      <c r="B1406" s="78" t="inlineStr">
        <is>
          <t>DUTY</t>
        </is>
      </c>
      <c r="C1406" s="79">
        <f>$AC$2+7*($A1406-1)</f>
        <v/>
      </c>
      <c r="D1406" s="80" t="n"/>
      <c r="E1406" s="80" t="n"/>
      <c r="F1406" s="81" t="n"/>
      <c r="G1406" s="79">
        <f>C1406+1</f>
        <v/>
      </c>
      <c r="H1406" s="80" t="n"/>
      <c r="I1406" s="80" t="n"/>
      <c r="J1406" s="81" t="n"/>
      <c r="K1406" s="79">
        <f>C1406+2</f>
        <v/>
      </c>
      <c r="L1406" s="80" t="n"/>
      <c r="M1406" s="80" t="n"/>
      <c r="N1406" s="81" t="n"/>
      <c r="O1406" s="79">
        <f>C1406+3</f>
        <v/>
      </c>
      <c r="P1406" s="80" t="n"/>
      <c r="Q1406" s="80" t="n"/>
      <c r="R1406" s="81" t="n"/>
      <c r="S1406" s="79">
        <f>C1406+4</f>
        <v/>
      </c>
      <c r="T1406" s="80" t="n"/>
      <c r="U1406" s="80" t="n"/>
      <c r="V1406" s="81" t="n"/>
      <c r="W1406" s="82">
        <f>C1406+5</f>
        <v/>
      </c>
      <c r="X1406" s="83" t="n"/>
      <c r="Y1406" s="82">
        <f>C1406+6</f>
        <v/>
      </c>
      <c r="Z1406" s="83" t="n"/>
      <c r="AB1406" s="72" t="inlineStr">
        <is>
          <t>Gaps</t>
        </is>
      </c>
      <c r="AC1406" s="72" t="inlineStr">
        <is>
          <t>Cover</t>
        </is>
      </c>
    </row>
    <row r="1407" ht="14" customHeight="1">
      <c r="A1407" t="n">
        <v>29</v>
      </c>
      <c r="B1407" s="84" t="inlineStr">
        <is>
          <t>(from Setup)</t>
        </is>
      </c>
      <c r="C1407" s="85" t="inlineStr">
        <is>
          <t>1</t>
        </is>
      </c>
      <c r="D1407" s="85" t="inlineStr">
        <is>
          <t>2</t>
        </is>
      </c>
      <c r="E1407" s="85" t="inlineStr">
        <is>
          <t>3</t>
        </is>
      </c>
      <c r="F1407" s="85" t="inlineStr">
        <is>
          <t>Notes</t>
        </is>
      </c>
      <c r="G1407" s="85" t="inlineStr">
        <is>
          <t>1</t>
        </is>
      </c>
      <c r="H1407" s="85" t="inlineStr">
        <is>
          <t>2</t>
        </is>
      </c>
      <c r="I1407" s="85" t="inlineStr">
        <is>
          <t>3</t>
        </is>
      </c>
      <c r="J1407" s="85" t="inlineStr">
        <is>
          <t>Notes</t>
        </is>
      </c>
      <c r="K1407" s="85" t="inlineStr">
        <is>
          <t>1</t>
        </is>
      </c>
      <c r="L1407" s="85" t="inlineStr">
        <is>
          <t>2</t>
        </is>
      </c>
      <c r="M1407" s="85" t="inlineStr">
        <is>
          <t>3</t>
        </is>
      </c>
      <c r="N1407" s="85" t="inlineStr">
        <is>
          <t>Notes</t>
        </is>
      </c>
      <c r="O1407" s="85" t="inlineStr">
        <is>
          <t>1</t>
        </is>
      </c>
      <c r="P1407" s="85" t="inlineStr">
        <is>
          <t>2</t>
        </is>
      </c>
      <c r="Q1407" s="85" t="inlineStr">
        <is>
          <t>3</t>
        </is>
      </c>
      <c r="R1407" s="85" t="inlineStr">
        <is>
          <t>Notes</t>
        </is>
      </c>
      <c r="S1407" s="85" t="inlineStr">
        <is>
          <t>1</t>
        </is>
      </c>
      <c r="T1407" s="85" t="inlineStr">
        <is>
          <t>2</t>
        </is>
      </c>
      <c r="U1407" s="85" t="inlineStr">
        <is>
          <t>3</t>
        </is>
      </c>
      <c r="V1407" s="85" t="inlineStr">
        <is>
          <t>Notes</t>
        </is>
      </c>
      <c r="W1407" s="85" t="inlineStr">
        <is>
          <t>Cover</t>
        </is>
      </c>
      <c r="X1407" s="85" t="inlineStr">
        <is>
          <t>Notes</t>
        </is>
      </c>
      <c r="Y1407" s="85" t="inlineStr">
        <is>
          <t>Cover</t>
        </is>
      </c>
      <c r="Z1407" s="85" t="inlineStr">
        <is>
          <t>Notes</t>
        </is>
      </c>
      <c r="AB1407" s="86" t="inlineStr">
        <is>
          <t>weekdays short</t>
        </is>
      </c>
      <c r="AC1407" s="87" t="inlineStr"/>
    </row>
    <row r="1408" ht="17" customHeight="1">
      <c r="A1408" t="n">
        <v>29</v>
      </c>
      <c r="B1408" s="24">
        <f>IF(Setup!$K$6="","",Setup!$K$6)</f>
        <v/>
      </c>
      <c r="C1408" s="88" t="n"/>
      <c r="D1408" s="88" t="n"/>
      <c r="E1408" s="88" t="n"/>
      <c r="F1408" s="89" t="n"/>
      <c r="G1408" s="88" t="n"/>
      <c r="H1408" s="88" t="n"/>
      <c r="I1408" s="88" t="n"/>
      <c r="J1408" s="89" t="n"/>
      <c r="K1408" s="88" t="n"/>
      <c r="L1408" s="88" t="n"/>
      <c r="M1408" s="88" t="n"/>
      <c r="N1408" s="89" t="n"/>
      <c r="O1408" s="88" t="n"/>
      <c r="P1408" s="88" t="n"/>
      <c r="Q1408" s="88" t="n"/>
      <c r="R1408" s="89" t="n"/>
      <c r="S1408" s="88" t="n"/>
      <c r="T1408" s="88" t="n"/>
      <c r="U1408" s="88" t="n"/>
      <c r="V1408" s="89" t="n"/>
      <c r="W1408" s="88" t="n"/>
      <c r="X1408" s="89" t="n"/>
      <c r="Y1408" s="88" t="n"/>
      <c r="Z1408" s="89" t="n"/>
      <c r="AB1408" s="25">
        <f>IF($B1408="","",(COUNTIF(C1408:E1408,"?*")&lt;N(INDEX(Setup!$L$6:$L$23,1)))+(COUNTIF(G1408:I1408,"?*")&lt;N(INDEX(Setup!$L$6:$L$23,1)))+(COUNTIF(K1408:M1408,"?*")&lt;N(INDEX(Setup!$L$6:$L$23,1)))+(COUNTIF(O1408:Q1408,"?*")&lt;N(INDEX(Setup!$L$6:$L$23,1)))+(COUNTIF(S1408:U1408,"?*")&lt;N(INDEX(Setup!$L$6:$L$23,1)))+((W1408="")*(INDEX(Setup!$M$6:$M$23,1)="Y"))+((Y1408="")*(INDEX(Setup!$M$6:$M$23,1)="Y")))</f>
        <v/>
      </c>
      <c r="AC1408" s="90">
        <f>IF($B1408="","",IF(AB1408=0,"✓ covered","⚠ "&amp;AB1408&amp;IF(AB1408=1," gap"," gaps")))</f>
        <v/>
      </c>
    </row>
    <row r="1409" ht="17" customHeight="1">
      <c r="A1409" t="n">
        <v>29</v>
      </c>
      <c r="B1409" s="29">
        <f>IF(Setup!$K$7="","",Setup!$K$7)</f>
        <v/>
      </c>
      <c r="C1409" s="88" t="n"/>
      <c r="D1409" s="88" t="n"/>
      <c r="E1409" s="88" t="n"/>
      <c r="F1409" s="89" t="n"/>
      <c r="G1409" s="88" t="n"/>
      <c r="H1409" s="88" t="n"/>
      <c r="I1409" s="88" t="n"/>
      <c r="J1409" s="89" t="n"/>
      <c r="K1409" s="88" t="n"/>
      <c r="L1409" s="88" t="n"/>
      <c r="M1409" s="88" t="n"/>
      <c r="N1409" s="89" t="n"/>
      <c r="O1409" s="88" t="n"/>
      <c r="P1409" s="88" t="n"/>
      <c r="Q1409" s="88" t="n"/>
      <c r="R1409" s="89" t="n"/>
      <c r="S1409" s="88" t="n"/>
      <c r="T1409" s="88" t="n"/>
      <c r="U1409" s="88" t="n"/>
      <c r="V1409" s="89" t="n"/>
      <c r="W1409" s="88" t="n"/>
      <c r="X1409" s="89" t="n"/>
      <c r="Y1409" s="88" t="n"/>
      <c r="Z1409" s="89" t="n"/>
      <c r="AB1409" s="30">
        <f>IF($B1409="","",(COUNTIF(C1409:E1409,"?*")&lt;N(INDEX(Setup!$L$6:$L$23,2)))+(COUNTIF(G1409:I1409,"?*")&lt;N(INDEX(Setup!$L$6:$L$23,2)))+(COUNTIF(K1409:M1409,"?*")&lt;N(INDEX(Setup!$L$6:$L$23,2)))+(COUNTIF(O1409:Q1409,"?*")&lt;N(INDEX(Setup!$L$6:$L$23,2)))+(COUNTIF(S1409:U1409,"?*")&lt;N(INDEX(Setup!$L$6:$L$23,2)))+((W1409="")*(INDEX(Setup!$M$6:$M$23,2)="Y"))+((Y1409="")*(INDEX(Setup!$M$6:$M$23,2)="Y")))</f>
        <v/>
      </c>
      <c r="AC1409" s="91">
        <f>IF($B1409="","",IF(AB1409=0,"✓ covered","⚠ "&amp;AB1409&amp;IF(AB1409=1," gap"," gaps")))</f>
        <v/>
      </c>
    </row>
    <row r="1410" ht="17" customHeight="1">
      <c r="A1410" t="n">
        <v>29</v>
      </c>
      <c r="B1410" s="24">
        <f>IF(Setup!$K$8="","",Setup!$K$8)</f>
        <v/>
      </c>
      <c r="C1410" s="88" t="n"/>
      <c r="D1410" s="88" t="n"/>
      <c r="E1410" s="88" t="n"/>
      <c r="F1410" s="89" t="n"/>
      <c r="G1410" s="88" t="n"/>
      <c r="H1410" s="88" t="n"/>
      <c r="I1410" s="88" t="n"/>
      <c r="J1410" s="89" t="n"/>
      <c r="K1410" s="88" t="n"/>
      <c r="L1410" s="88" t="n"/>
      <c r="M1410" s="88" t="n"/>
      <c r="N1410" s="89" t="n"/>
      <c r="O1410" s="88" t="n"/>
      <c r="P1410" s="88" t="n"/>
      <c r="Q1410" s="88" t="n"/>
      <c r="R1410" s="89" t="n"/>
      <c r="S1410" s="88" t="n"/>
      <c r="T1410" s="88" t="n"/>
      <c r="U1410" s="88" t="n"/>
      <c r="V1410" s="89" t="n"/>
      <c r="W1410" s="88" t="n"/>
      <c r="X1410" s="89" t="n"/>
      <c r="Y1410" s="88" t="n"/>
      <c r="Z1410" s="89" t="n"/>
      <c r="AB1410" s="25">
        <f>IF($B1410="","",(COUNTIF(C1410:E1410,"?*")&lt;N(INDEX(Setup!$L$6:$L$23,3)))+(COUNTIF(G1410:I1410,"?*")&lt;N(INDEX(Setup!$L$6:$L$23,3)))+(COUNTIF(K1410:M1410,"?*")&lt;N(INDEX(Setup!$L$6:$L$23,3)))+(COUNTIF(O1410:Q1410,"?*")&lt;N(INDEX(Setup!$L$6:$L$23,3)))+(COUNTIF(S1410:U1410,"?*")&lt;N(INDEX(Setup!$L$6:$L$23,3)))+((W1410="")*(INDEX(Setup!$M$6:$M$23,3)="Y"))+((Y1410="")*(INDEX(Setup!$M$6:$M$23,3)="Y")))</f>
        <v/>
      </c>
      <c r="AC1410" s="90">
        <f>IF($B1410="","",IF(AB1410=0,"✓ covered","⚠ "&amp;AB1410&amp;IF(AB1410=1," gap"," gaps")))</f>
        <v/>
      </c>
    </row>
    <row r="1411" ht="17" customHeight="1">
      <c r="A1411" t="n">
        <v>29</v>
      </c>
      <c r="B1411" s="29">
        <f>IF(Setup!$K$9="","",Setup!$K$9)</f>
        <v/>
      </c>
      <c r="C1411" s="88" t="n"/>
      <c r="D1411" s="88" t="n"/>
      <c r="E1411" s="88" t="n"/>
      <c r="F1411" s="89" t="n"/>
      <c r="G1411" s="88" t="n"/>
      <c r="H1411" s="88" t="n"/>
      <c r="I1411" s="88" t="n"/>
      <c r="J1411" s="89" t="n"/>
      <c r="K1411" s="88" t="n"/>
      <c r="L1411" s="88" t="n"/>
      <c r="M1411" s="88" t="n"/>
      <c r="N1411" s="89" t="n"/>
      <c r="O1411" s="88" t="n"/>
      <c r="P1411" s="88" t="n"/>
      <c r="Q1411" s="88" t="n"/>
      <c r="R1411" s="89" t="n"/>
      <c r="S1411" s="88" t="n"/>
      <c r="T1411" s="88" t="n"/>
      <c r="U1411" s="88" t="n"/>
      <c r="V1411" s="89" t="n"/>
      <c r="W1411" s="88" t="n"/>
      <c r="X1411" s="89" t="n"/>
      <c r="Y1411" s="88" t="n"/>
      <c r="Z1411" s="89" t="n"/>
      <c r="AB1411" s="30">
        <f>IF($B1411="","",(COUNTIF(C1411:E1411,"?*")&lt;N(INDEX(Setup!$L$6:$L$23,4)))+(COUNTIF(G1411:I1411,"?*")&lt;N(INDEX(Setup!$L$6:$L$23,4)))+(COUNTIF(K1411:M1411,"?*")&lt;N(INDEX(Setup!$L$6:$L$23,4)))+(COUNTIF(O1411:Q1411,"?*")&lt;N(INDEX(Setup!$L$6:$L$23,4)))+(COUNTIF(S1411:U1411,"?*")&lt;N(INDEX(Setup!$L$6:$L$23,4)))+((W1411="")*(INDEX(Setup!$M$6:$M$23,4)="Y"))+((Y1411="")*(INDEX(Setup!$M$6:$M$23,4)="Y")))</f>
        <v/>
      </c>
      <c r="AC1411" s="91">
        <f>IF($B1411="","",IF(AB1411=0,"✓ covered","⚠ "&amp;AB1411&amp;IF(AB1411=1," gap"," gaps")))</f>
        <v/>
      </c>
    </row>
    <row r="1412" ht="17" customHeight="1">
      <c r="A1412" t="n">
        <v>29</v>
      </c>
      <c r="B1412" s="24">
        <f>IF(Setup!$K$10="","",Setup!$K$10)</f>
        <v/>
      </c>
      <c r="C1412" s="88" t="n"/>
      <c r="D1412" s="88" t="n"/>
      <c r="E1412" s="88" t="n"/>
      <c r="F1412" s="89" t="n"/>
      <c r="G1412" s="88" t="n"/>
      <c r="H1412" s="88" t="n"/>
      <c r="I1412" s="88" t="n"/>
      <c r="J1412" s="89" t="n"/>
      <c r="K1412" s="88" t="n"/>
      <c r="L1412" s="88" t="n"/>
      <c r="M1412" s="88" t="n"/>
      <c r="N1412" s="89" t="n"/>
      <c r="O1412" s="88" t="n"/>
      <c r="P1412" s="88" t="n"/>
      <c r="Q1412" s="88" t="n"/>
      <c r="R1412" s="89" t="n"/>
      <c r="S1412" s="88" t="n"/>
      <c r="T1412" s="88" t="n"/>
      <c r="U1412" s="88" t="n"/>
      <c r="V1412" s="89" t="n"/>
      <c r="W1412" s="88" t="n"/>
      <c r="X1412" s="89" t="n"/>
      <c r="Y1412" s="88" t="n"/>
      <c r="Z1412" s="89" t="n"/>
      <c r="AB1412" s="25">
        <f>IF($B1412="","",(COUNTIF(C1412:E1412,"?*")&lt;N(INDEX(Setup!$L$6:$L$23,5)))+(COUNTIF(G1412:I1412,"?*")&lt;N(INDEX(Setup!$L$6:$L$23,5)))+(COUNTIF(K1412:M1412,"?*")&lt;N(INDEX(Setup!$L$6:$L$23,5)))+(COUNTIF(O1412:Q1412,"?*")&lt;N(INDEX(Setup!$L$6:$L$23,5)))+(COUNTIF(S1412:U1412,"?*")&lt;N(INDEX(Setup!$L$6:$L$23,5)))+((W1412="")*(INDEX(Setup!$M$6:$M$23,5)="Y"))+((Y1412="")*(INDEX(Setup!$M$6:$M$23,5)="Y")))</f>
        <v/>
      </c>
      <c r="AC1412" s="90">
        <f>IF($B1412="","",IF(AB1412=0,"✓ covered","⚠ "&amp;AB1412&amp;IF(AB1412=1," gap"," gaps")))</f>
        <v/>
      </c>
    </row>
    <row r="1413" ht="17" customHeight="1">
      <c r="A1413" t="n">
        <v>29</v>
      </c>
      <c r="B1413" s="29">
        <f>IF(Setup!$K$11="","",Setup!$K$11)</f>
        <v/>
      </c>
      <c r="C1413" s="88" t="n"/>
      <c r="D1413" s="88" t="n"/>
      <c r="E1413" s="88" t="n"/>
      <c r="F1413" s="89" t="n"/>
      <c r="G1413" s="88" t="n"/>
      <c r="H1413" s="88" t="n"/>
      <c r="I1413" s="88" t="n"/>
      <c r="J1413" s="89" t="n"/>
      <c r="K1413" s="88" t="n"/>
      <c r="L1413" s="88" t="n"/>
      <c r="M1413" s="88" t="n"/>
      <c r="N1413" s="89" t="n"/>
      <c r="O1413" s="88" t="n"/>
      <c r="P1413" s="88" t="n"/>
      <c r="Q1413" s="88" t="n"/>
      <c r="R1413" s="89" t="n"/>
      <c r="S1413" s="88" t="n"/>
      <c r="T1413" s="88" t="n"/>
      <c r="U1413" s="88" t="n"/>
      <c r="V1413" s="89" t="n"/>
      <c r="W1413" s="88" t="n"/>
      <c r="X1413" s="89" t="n"/>
      <c r="Y1413" s="88" t="n"/>
      <c r="Z1413" s="89" t="n"/>
      <c r="AB1413" s="30">
        <f>IF($B1413="","",(COUNTIF(C1413:E1413,"?*")&lt;N(INDEX(Setup!$L$6:$L$23,6)))+(COUNTIF(G1413:I1413,"?*")&lt;N(INDEX(Setup!$L$6:$L$23,6)))+(COUNTIF(K1413:M1413,"?*")&lt;N(INDEX(Setup!$L$6:$L$23,6)))+(COUNTIF(O1413:Q1413,"?*")&lt;N(INDEX(Setup!$L$6:$L$23,6)))+(COUNTIF(S1413:U1413,"?*")&lt;N(INDEX(Setup!$L$6:$L$23,6)))+((W1413="")*(INDEX(Setup!$M$6:$M$23,6)="Y"))+((Y1413="")*(INDEX(Setup!$M$6:$M$23,6)="Y")))</f>
        <v/>
      </c>
      <c r="AC1413" s="91">
        <f>IF($B1413="","",IF(AB1413=0,"✓ covered","⚠ "&amp;AB1413&amp;IF(AB1413=1," gap"," gaps")))</f>
        <v/>
      </c>
    </row>
    <row r="1414" ht="17" customHeight="1">
      <c r="A1414" t="n">
        <v>29</v>
      </c>
      <c r="B1414" s="24">
        <f>IF(Setup!$K$12="","",Setup!$K$12)</f>
        <v/>
      </c>
      <c r="C1414" s="88" t="n"/>
      <c r="D1414" s="88" t="n"/>
      <c r="E1414" s="88" t="n"/>
      <c r="F1414" s="89" t="n"/>
      <c r="G1414" s="88" t="n"/>
      <c r="H1414" s="88" t="n"/>
      <c r="I1414" s="88" t="n"/>
      <c r="J1414" s="89" t="n"/>
      <c r="K1414" s="88" t="n"/>
      <c r="L1414" s="88" t="n"/>
      <c r="M1414" s="88" t="n"/>
      <c r="N1414" s="89" t="n"/>
      <c r="O1414" s="88" t="n"/>
      <c r="P1414" s="88" t="n"/>
      <c r="Q1414" s="88" t="n"/>
      <c r="R1414" s="89" t="n"/>
      <c r="S1414" s="88" t="n"/>
      <c r="T1414" s="88" t="n"/>
      <c r="U1414" s="88" t="n"/>
      <c r="V1414" s="89" t="n"/>
      <c r="W1414" s="88" t="n"/>
      <c r="X1414" s="89" t="n"/>
      <c r="Y1414" s="88" t="n"/>
      <c r="Z1414" s="89" t="n"/>
      <c r="AB1414" s="25">
        <f>IF($B1414="","",(COUNTIF(C1414:E1414,"?*")&lt;N(INDEX(Setup!$L$6:$L$23,7)))+(COUNTIF(G1414:I1414,"?*")&lt;N(INDEX(Setup!$L$6:$L$23,7)))+(COUNTIF(K1414:M1414,"?*")&lt;N(INDEX(Setup!$L$6:$L$23,7)))+(COUNTIF(O1414:Q1414,"?*")&lt;N(INDEX(Setup!$L$6:$L$23,7)))+(COUNTIF(S1414:U1414,"?*")&lt;N(INDEX(Setup!$L$6:$L$23,7)))+((W1414="")*(INDEX(Setup!$M$6:$M$23,7)="Y"))+((Y1414="")*(INDEX(Setup!$M$6:$M$23,7)="Y")))</f>
        <v/>
      </c>
      <c r="AC1414" s="90">
        <f>IF($B1414="","",IF(AB1414=0,"✓ covered","⚠ "&amp;AB1414&amp;IF(AB1414=1," gap"," gaps")))</f>
        <v/>
      </c>
    </row>
    <row r="1415" ht="17" customHeight="1">
      <c r="A1415" t="n">
        <v>29</v>
      </c>
      <c r="B1415" s="29">
        <f>IF(Setup!$K$13="","",Setup!$K$13)</f>
        <v/>
      </c>
      <c r="C1415" s="88" t="n"/>
      <c r="D1415" s="88" t="n"/>
      <c r="E1415" s="88" t="n"/>
      <c r="F1415" s="89" t="n"/>
      <c r="G1415" s="88" t="n"/>
      <c r="H1415" s="88" t="n"/>
      <c r="I1415" s="88" t="n"/>
      <c r="J1415" s="89" t="n"/>
      <c r="K1415" s="88" t="n"/>
      <c r="L1415" s="88" t="n"/>
      <c r="M1415" s="88" t="n"/>
      <c r="N1415" s="89" t="n"/>
      <c r="O1415" s="88" t="n"/>
      <c r="P1415" s="88" t="n"/>
      <c r="Q1415" s="88" t="n"/>
      <c r="R1415" s="89" t="n"/>
      <c r="S1415" s="88" t="n"/>
      <c r="T1415" s="88" t="n"/>
      <c r="U1415" s="88" t="n"/>
      <c r="V1415" s="89" t="n"/>
      <c r="W1415" s="88" t="n"/>
      <c r="X1415" s="89" t="n"/>
      <c r="Y1415" s="88" t="n"/>
      <c r="Z1415" s="89" t="n"/>
      <c r="AB1415" s="30">
        <f>IF($B1415="","",(COUNTIF(C1415:E1415,"?*")&lt;N(INDEX(Setup!$L$6:$L$23,8)))+(COUNTIF(G1415:I1415,"?*")&lt;N(INDEX(Setup!$L$6:$L$23,8)))+(COUNTIF(K1415:M1415,"?*")&lt;N(INDEX(Setup!$L$6:$L$23,8)))+(COUNTIF(O1415:Q1415,"?*")&lt;N(INDEX(Setup!$L$6:$L$23,8)))+(COUNTIF(S1415:U1415,"?*")&lt;N(INDEX(Setup!$L$6:$L$23,8)))+((W1415="")*(INDEX(Setup!$M$6:$M$23,8)="Y"))+((Y1415="")*(INDEX(Setup!$M$6:$M$23,8)="Y")))</f>
        <v/>
      </c>
      <c r="AC1415" s="91">
        <f>IF($B1415="","",IF(AB1415=0,"✓ covered","⚠ "&amp;AB1415&amp;IF(AB1415=1," gap"," gaps")))</f>
        <v/>
      </c>
    </row>
    <row r="1416" ht="17" customHeight="1">
      <c r="A1416" t="n">
        <v>29</v>
      </c>
      <c r="B1416" s="24">
        <f>IF(Setup!$K$14="","",Setup!$K$14)</f>
        <v/>
      </c>
      <c r="C1416" s="88" t="n"/>
      <c r="D1416" s="88" t="n"/>
      <c r="E1416" s="88" t="n"/>
      <c r="F1416" s="89" t="n"/>
      <c r="G1416" s="88" t="n"/>
      <c r="H1416" s="88" t="n"/>
      <c r="I1416" s="88" t="n"/>
      <c r="J1416" s="89" t="n"/>
      <c r="K1416" s="88" t="n"/>
      <c r="L1416" s="88" t="n"/>
      <c r="M1416" s="88" t="n"/>
      <c r="N1416" s="89" t="n"/>
      <c r="O1416" s="88" t="n"/>
      <c r="P1416" s="88" t="n"/>
      <c r="Q1416" s="88" t="n"/>
      <c r="R1416" s="89" t="n"/>
      <c r="S1416" s="88" t="n"/>
      <c r="T1416" s="88" t="n"/>
      <c r="U1416" s="88" t="n"/>
      <c r="V1416" s="89" t="n"/>
      <c r="W1416" s="88" t="n"/>
      <c r="X1416" s="89" t="n"/>
      <c r="Y1416" s="88" t="n"/>
      <c r="Z1416" s="89" t="n"/>
      <c r="AB1416" s="25">
        <f>IF($B1416="","",(COUNTIF(C1416:E1416,"?*")&lt;N(INDEX(Setup!$L$6:$L$23,9)))+(COUNTIF(G1416:I1416,"?*")&lt;N(INDEX(Setup!$L$6:$L$23,9)))+(COUNTIF(K1416:M1416,"?*")&lt;N(INDEX(Setup!$L$6:$L$23,9)))+(COUNTIF(O1416:Q1416,"?*")&lt;N(INDEX(Setup!$L$6:$L$23,9)))+(COUNTIF(S1416:U1416,"?*")&lt;N(INDEX(Setup!$L$6:$L$23,9)))+((W1416="")*(INDEX(Setup!$M$6:$M$23,9)="Y"))+((Y1416="")*(INDEX(Setup!$M$6:$M$23,9)="Y")))</f>
        <v/>
      </c>
      <c r="AC1416" s="90">
        <f>IF($B1416="","",IF(AB1416=0,"✓ covered","⚠ "&amp;AB1416&amp;IF(AB1416=1," gap"," gaps")))</f>
        <v/>
      </c>
    </row>
    <row r="1417" ht="17" customHeight="1">
      <c r="A1417" t="n">
        <v>29</v>
      </c>
      <c r="B1417" s="29">
        <f>IF(Setup!$K$15="","",Setup!$K$15)</f>
        <v/>
      </c>
      <c r="C1417" s="88" t="n"/>
      <c r="D1417" s="88" t="n"/>
      <c r="E1417" s="88" t="n"/>
      <c r="F1417" s="89" t="n"/>
      <c r="G1417" s="88" t="n"/>
      <c r="H1417" s="88" t="n"/>
      <c r="I1417" s="88" t="n"/>
      <c r="J1417" s="89" t="n"/>
      <c r="K1417" s="88" t="n"/>
      <c r="L1417" s="88" t="n"/>
      <c r="M1417" s="88" t="n"/>
      <c r="N1417" s="89" t="n"/>
      <c r="O1417" s="88" t="n"/>
      <c r="P1417" s="88" t="n"/>
      <c r="Q1417" s="88" t="n"/>
      <c r="R1417" s="89" t="n"/>
      <c r="S1417" s="88" t="n"/>
      <c r="T1417" s="88" t="n"/>
      <c r="U1417" s="88" t="n"/>
      <c r="V1417" s="89" t="n"/>
      <c r="W1417" s="88" t="n"/>
      <c r="X1417" s="89" t="n"/>
      <c r="Y1417" s="88" t="n"/>
      <c r="Z1417" s="89" t="n"/>
      <c r="AB1417" s="30">
        <f>IF($B1417="","",(COUNTIF(C1417:E1417,"?*")&lt;N(INDEX(Setup!$L$6:$L$23,10)))+(COUNTIF(G1417:I1417,"?*")&lt;N(INDEX(Setup!$L$6:$L$23,10)))+(COUNTIF(K1417:M1417,"?*")&lt;N(INDEX(Setup!$L$6:$L$23,10)))+(COUNTIF(O1417:Q1417,"?*")&lt;N(INDEX(Setup!$L$6:$L$23,10)))+(COUNTIF(S1417:U1417,"?*")&lt;N(INDEX(Setup!$L$6:$L$23,10)))+((W1417="")*(INDEX(Setup!$M$6:$M$23,10)="Y"))+((Y1417="")*(INDEX(Setup!$M$6:$M$23,10)="Y")))</f>
        <v/>
      </c>
      <c r="AC1417" s="91">
        <f>IF($B1417="","",IF(AB1417=0,"✓ covered","⚠ "&amp;AB1417&amp;IF(AB1417=1," gap"," gaps")))</f>
        <v/>
      </c>
    </row>
    <row r="1418" ht="17" customHeight="1">
      <c r="A1418" t="n">
        <v>29</v>
      </c>
      <c r="B1418" s="24">
        <f>IF(Setup!$K$16="","",Setup!$K$16)</f>
        <v/>
      </c>
      <c r="C1418" s="88" t="n"/>
      <c r="D1418" s="88" t="n"/>
      <c r="E1418" s="88" t="n"/>
      <c r="F1418" s="89" t="n"/>
      <c r="G1418" s="88" t="n"/>
      <c r="H1418" s="88" t="n"/>
      <c r="I1418" s="88" t="n"/>
      <c r="J1418" s="89" t="n"/>
      <c r="K1418" s="88" t="n"/>
      <c r="L1418" s="88" t="n"/>
      <c r="M1418" s="88" t="n"/>
      <c r="N1418" s="89" t="n"/>
      <c r="O1418" s="88" t="n"/>
      <c r="P1418" s="88" t="n"/>
      <c r="Q1418" s="88" t="n"/>
      <c r="R1418" s="89" t="n"/>
      <c r="S1418" s="88" t="n"/>
      <c r="T1418" s="88" t="n"/>
      <c r="U1418" s="88" t="n"/>
      <c r="V1418" s="89" t="n"/>
      <c r="W1418" s="88" t="n"/>
      <c r="X1418" s="89" t="n"/>
      <c r="Y1418" s="88" t="n"/>
      <c r="Z1418" s="89" t="n"/>
      <c r="AB1418" s="25">
        <f>IF($B1418="","",(COUNTIF(C1418:E1418,"?*")&lt;N(INDEX(Setup!$L$6:$L$23,11)))+(COUNTIF(G1418:I1418,"?*")&lt;N(INDEX(Setup!$L$6:$L$23,11)))+(COUNTIF(K1418:M1418,"?*")&lt;N(INDEX(Setup!$L$6:$L$23,11)))+(COUNTIF(O1418:Q1418,"?*")&lt;N(INDEX(Setup!$L$6:$L$23,11)))+(COUNTIF(S1418:U1418,"?*")&lt;N(INDEX(Setup!$L$6:$L$23,11)))+((W1418="")*(INDEX(Setup!$M$6:$M$23,11)="Y"))+((Y1418="")*(INDEX(Setup!$M$6:$M$23,11)="Y")))</f>
        <v/>
      </c>
      <c r="AC1418" s="90">
        <f>IF($B1418="","",IF(AB1418=0,"✓ covered","⚠ "&amp;AB1418&amp;IF(AB1418=1," gap"," gaps")))</f>
        <v/>
      </c>
    </row>
    <row r="1419" ht="17" customHeight="1">
      <c r="A1419" t="n">
        <v>29</v>
      </c>
      <c r="B1419" s="29">
        <f>IF(Setup!$K$17="","",Setup!$K$17)</f>
        <v/>
      </c>
      <c r="C1419" s="88" t="n"/>
      <c r="D1419" s="88" t="n"/>
      <c r="E1419" s="88" t="n"/>
      <c r="F1419" s="89" t="n"/>
      <c r="G1419" s="88" t="n"/>
      <c r="H1419" s="88" t="n"/>
      <c r="I1419" s="88" t="n"/>
      <c r="J1419" s="89" t="n"/>
      <c r="K1419" s="88" t="n"/>
      <c r="L1419" s="88" t="n"/>
      <c r="M1419" s="88" t="n"/>
      <c r="N1419" s="89" t="n"/>
      <c r="O1419" s="88" t="n"/>
      <c r="P1419" s="88" t="n"/>
      <c r="Q1419" s="88" t="n"/>
      <c r="R1419" s="89" t="n"/>
      <c r="S1419" s="88" t="n"/>
      <c r="T1419" s="88" t="n"/>
      <c r="U1419" s="88" t="n"/>
      <c r="V1419" s="89" t="n"/>
      <c r="W1419" s="88" t="n"/>
      <c r="X1419" s="89" t="n"/>
      <c r="Y1419" s="88" t="n"/>
      <c r="Z1419" s="89" t="n"/>
      <c r="AB1419" s="30">
        <f>IF($B1419="","",(COUNTIF(C1419:E1419,"?*")&lt;N(INDEX(Setup!$L$6:$L$23,12)))+(COUNTIF(G1419:I1419,"?*")&lt;N(INDEX(Setup!$L$6:$L$23,12)))+(COUNTIF(K1419:M1419,"?*")&lt;N(INDEX(Setup!$L$6:$L$23,12)))+(COUNTIF(O1419:Q1419,"?*")&lt;N(INDEX(Setup!$L$6:$L$23,12)))+(COUNTIF(S1419:U1419,"?*")&lt;N(INDEX(Setup!$L$6:$L$23,12)))+((W1419="")*(INDEX(Setup!$M$6:$M$23,12)="Y"))+((Y1419="")*(INDEX(Setup!$M$6:$M$23,12)="Y")))</f>
        <v/>
      </c>
      <c r="AC1419" s="91">
        <f>IF($B1419="","",IF(AB1419=0,"✓ covered","⚠ "&amp;AB1419&amp;IF(AB1419=1," gap"," gaps")))</f>
        <v/>
      </c>
    </row>
    <row r="1420" ht="17" customHeight="1">
      <c r="A1420" t="n">
        <v>29</v>
      </c>
      <c r="B1420" s="24">
        <f>IF(Setup!$K$18="","",Setup!$K$18)</f>
        <v/>
      </c>
      <c r="C1420" s="88" t="n"/>
      <c r="D1420" s="88" t="n"/>
      <c r="E1420" s="88" t="n"/>
      <c r="F1420" s="89" t="n"/>
      <c r="G1420" s="88" t="n"/>
      <c r="H1420" s="88" t="n"/>
      <c r="I1420" s="88" t="n"/>
      <c r="J1420" s="89" t="n"/>
      <c r="K1420" s="88" t="n"/>
      <c r="L1420" s="88" t="n"/>
      <c r="M1420" s="88" t="n"/>
      <c r="N1420" s="89" t="n"/>
      <c r="O1420" s="88" t="n"/>
      <c r="P1420" s="88" t="n"/>
      <c r="Q1420" s="88" t="n"/>
      <c r="R1420" s="89" t="n"/>
      <c r="S1420" s="88" t="n"/>
      <c r="T1420" s="88" t="n"/>
      <c r="U1420" s="88" t="n"/>
      <c r="V1420" s="89" t="n"/>
      <c r="W1420" s="88" t="n"/>
      <c r="X1420" s="89" t="n"/>
      <c r="Y1420" s="88" t="n"/>
      <c r="Z1420" s="89" t="n"/>
      <c r="AB1420" s="25">
        <f>IF($B1420="","",(COUNTIF(C1420:E1420,"?*")&lt;N(INDEX(Setup!$L$6:$L$23,13)))+(COUNTIF(G1420:I1420,"?*")&lt;N(INDEX(Setup!$L$6:$L$23,13)))+(COUNTIF(K1420:M1420,"?*")&lt;N(INDEX(Setup!$L$6:$L$23,13)))+(COUNTIF(O1420:Q1420,"?*")&lt;N(INDEX(Setup!$L$6:$L$23,13)))+(COUNTIF(S1420:U1420,"?*")&lt;N(INDEX(Setup!$L$6:$L$23,13)))+((W1420="")*(INDEX(Setup!$M$6:$M$23,13)="Y"))+((Y1420="")*(INDEX(Setup!$M$6:$M$23,13)="Y")))</f>
        <v/>
      </c>
      <c r="AC1420" s="90">
        <f>IF($B1420="","",IF(AB1420=0,"✓ covered","⚠ "&amp;AB1420&amp;IF(AB1420=1," gap"," gaps")))</f>
        <v/>
      </c>
    </row>
    <row r="1421" ht="17" customHeight="1">
      <c r="A1421" t="n">
        <v>29</v>
      </c>
      <c r="B1421" s="29">
        <f>IF(Setup!$K$19="","",Setup!$K$19)</f>
        <v/>
      </c>
      <c r="C1421" s="88" t="n"/>
      <c r="D1421" s="88" t="n"/>
      <c r="E1421" s="88" t="n"/>
      <c r="F1421" s="89" t="n"/>
      <c r="G1421" s="88" t="n"/>
      <c r="H1421" s="88" t="n"/>
      <c r="I1421" s="88" t="n"/>
      <c r="J1421" s="89" t="n"/>
      <c r="K1421" s="88" t="n"/>
      <c r="L1421" s="88" t="n"/>
      <c r="M1421" s="88" t="n"/>
      <c r="N1421" s="89" t="n"/>
      <c r="O1421" s="88" t="n"/>
      <c r="P1421" s="88" t="n"/>
      <c r="Q1421" s="88" t="n"/>
      <c r="R1421" s="89" t="n"/>
      <c r="S1421" s="88" t="n"/>
      <c r="T1421" s="88" t="n"/>
      <c r="U1421" s="88" t="n"/>
      <c r="V1421" s="89" t="n"/>
      <c r="W1421" s="88" t="n"/>
      <c r="X1421" s="89" t="n"/>
      <c r="Y1421" s="88" t="n"/>
      <c r="Z1421" s="89" t="n"/>
      <c r="AB1421" s="30">
        <f>IF($B1421="","",(COUNTIF(C1421:E1421,"?*")&lt;N(INDEX(Setup!$L$6:$L$23,14)))+(COUNTIF(G1421:I1421,"?*")&lt;N(INDEX(Setup!$L$6:$L$23,14)))+(COUNTIF(K1421:M1421,"?*")&lt;N(INDEX(Setup!$L$6:$L$23,14)))+(COUNTIF(O1421:Q1421,"?*")&lt;N(INDEX(Setup!$L$6:$L$23,14)))+(COUNTIF(S1421:U1421,"?*")&lt;N(INDEX(Setup!$L$6:$L$23,14)))+((W1421="")*(INDEX(Setup!$M$6:$M$23,14)="Y"))+((Y1421="")*(INDEX(Setup!$M$6:$M$23,14)="Y")))</f>
        <v/>
      </c>
      <c r="AC1421" s="91">
        <f>IF($B1421="","",IF(AB1421=0,"✓ covered","⚠ "&amp;AB1421&amp;IF(AB1421=1," gap"," gaps")))</f>
        <v/>
      </c>
    </row>
    <row r="1422" ht="17" customHeight="1">
      <c r="A1422" t="n">
        <v>29</v>
      </c>
      <c r="B1422" s="24">
        <f>IF(Setup!$K$20="","",Setup!$K$20)</f>
        <v/>
      </c>
      <c r="C1422" s="88" t="n"/>
      <c r="D1422" s="88" t="n"/>
      <c r="E1422" s="88" t="n"/>
      <c r="F1422" s="89" t="n"/>
      <c r="G1422" s="88" t="n"/>
      <c r="H1422" s="88" t="n"/>
      <c r="I1422" s="88" t="n"/>
      <c r="J1422" s="89" t="n"/>
      <c r="K1422" s="88" t="n"/>
      <c r="L1422" s="88" t="n"/>
      <c r="M1422" s="88" t="n"/>
      <c r="N1422" s="89" t="n"/>
      <c r="O1422" s="88" t="n"/>
      <c r="P1422" s="88" t="n"/>
      <c r="Q1422" s="88" t="n"/>
      <c r="R1422" s="89" t="n"/>
      <c r="S1422" s="88" t="n"/>
      <c r="T1422" s="88" t="n"/>
      <c r="U1422" s="88" t="n"/>
      <c r="V1422" s="89" t="n"/>
      <c r="W1422" s="88" t="n"/>
      <c r="X1422" s="89" t="n"/>
      <c r="Y1422" s="88" t="n"/>
      <c r="Z1422" s="89" t="n"/>
      <c r="AB1422" s="25">
        <f>IF($B1422="","",(COUNTIF(C1422:E1422,"?*")&lt;N(INDEX(Setup!$L$6:$L$23,15)))+(COUNTIF(G1422:I1422,"?*")&lt;N(INDEX(Setup!$L$6:$L$23,15)))+(COUNTIF(K1422:M1422,"?*")&lt;N(INDEX(Setup!$L$6:$L$23,15)))+(COUNTIF(O1422:Q1422,"?*")&lt;N(INDEX(Setup!$L$6:$L$23,15)))+(COUNTIF(S1422:U1422,"?*")&lt;N(INDEX(Setup!$L$6:$L$23,15)))+((W1422="")*(INDEX(Setup!$M$6:$M$23,15)="Y"))+((Y1422="")*(INDEX(Setup!$M$6:$M$23,15)="Y")))</f>
        <v/>
      </c>
      <c r="AC1422" s="90">
        <f>IF($B1422="","",IF(AB1422=0,"✓ covered","⚠ "&amp;AB1422&amp;IF(AB1422=1," gap"," gaps")))</f>
        <v/>
      </c>
    </row>
    <row r="1423" ht="17" customHeight="1">
      <c r="A1423" t="n">
        <v>29</v>
      </c>
      <c r="B1423" s="29">
        <f>IF(Setup!$K$21="","",Setup!$K$21)</f>
        <v/>
      </c>
      <c r="C1423" s="88" t="n"/>
      <c r="D1423" s="88" t="n"/>
      <c r="E1423" s="88" t="n"/>
      <c r="F1423" s="89" t="n"/>
      <c r="G1423" s="88" t="n"/>
      <c r="H1423" s="88" t="n"/>
      <c r="I1423" s="88" t="n"/>
      <c r="J1423" s="89" t="n"/>
      <c r="K1423" s="88" t="n"/>
      <c r="L1423" s="88" t="n"/>
      <c r="M1423" s="88" t="n"/>
      <c r="N1423" s="89" t="n"/>
      <c r="O1423" s="88" t="n"/>
      <c r="P1423" s="88" t="n"/>
      <c r="Q1423" s="88" t="n"/>
      <c r="R1423" s="89" t="n"/>
      <c r="S1423" s="88" t="n"/>
      <c r="T1423" s="88" t="n"/>
      <c r="U1423" s="88" t="n"/>
      <c r="V1423" s="89" t="n"/>
      <c r="W1423" s="88" t="n"/>
      <c r="X1423" s="89" t="n"/>
      <c r="Y1423" s="88" t="n"/>
      <c r="Z1423" s="89" t="n"/>
      <c r="AB1423" s="30">
        <f>IF($B1423="","",(COUNTIF(C1423:E1423,"?*")&lt;N(INDEX(Setup!$L$6:$L$23,16)))+(COUNTIF(G1423:I1423,"?*")&lt;N(INDEX(Setup!$L$6:$L$23,16)))+(COUNTIF(K1423:M1423,"?*")&lt;N(INDEX(Setup!$L$6:$L$23,16)))+(COUNTIF(O1423:Q1423,"?*")&lt;N(INDEX(Setup!$L$6:$L$23,16)))+(COUNTIF(S1423:U1423,"?*")&lt;N(INDEX(Setup!$L$6:$L$23,16)))+((W1423="")*(INDEX(Setup!$M$6:$M$23,16)="Y"))+((Y1423="")*(INDEX(Setup!$M$6:$M$23,16)="Y")))</f>
        <v/>
      </c>
      <c r="AC1423" s="91">
        <f>IF($B1423="","",IF(AB1423=0,"✓ covered","⚠ "&amp;AB1423&amp;IF(AB1423=1," gap"," gaps")))</f>
        <v/>
      </c>
    </row>
    <row r="1424" ht="17" customHeight="1">
      <c r="A1424" t="n">
        <v>29</v>
      </c>
      <c r="B1424" s="24">
        <f>IF(Setup!$K$22="","",Setup!$K$22)</f>
        <v/>
      </c>
      <c r="C1424" s="88" t="n"/>
      <c r="D1424" s="88" t="n"/>
      <c r="E1424" s="88" t="n"/>
      <c r="F1424" s="89" t="n"/>
      <c r="G1424" s="88" t="n"/>
      <c r="H1424" s="88" t="n"/>
      <c r="I1424" s="88" t="n"/>
      <c r="J1424" s="89" t="n"/>
      <c r="K1424" s="88" t="n"/>
      <c r="L1424" s="88" t="n"/>
      <c r="M1424" s="88" t="n"/>
      <c r="N1424" s="89" t="n"/>
      <c r="O1424" s="88" t="n"/>
      <c r="P1424" s="88" t="n"/>
      <c r="Q1424" s="88" t="n"/>
      <c r="R1424" s="89" t="n"/>
      <c r="S1424" s="88" t="n"/>
      <c r="T1424" s="88" t="n"/>
      <c r="U1424" s="88" t="n"/>
      <c r="V1424" s="89" t="n"/>
      <c r="W1424" s="88" t="n"/>
      <c r="X1424" s="89" t="n"/>
      <c r="Y1424" s="88" t="n"/>
      <c r="Z1424" s="89" t="n"/>
      <c r="AB1424" s="25">
        <f>IF($B1424="","",(COUNTIF(C1424:E1424,"?*")&lt;N(INDEX(Setup!$L$6:$L$23,17)))+(COUNTIF(G1424:I1424,"?*")&lt;N(INDEX(Setup!$L$6:$L$23,17)))+(COUNTIF(K1424:M1424,"?*")&lt;N(INDEX(Setup!$L$6:$L$23,17)))+(COUNTIF(O1424:Q1424,"?*")&lt;N(INDEX(Setup!$L$6:$L$23,17)))+(COUNTIF(S1424:U1424,"?*")&lt;N(INDEX(Setup!$L$6:$L$23,17)))+((W1424="")*(INDEX(Setup!$M$6:$M$23,17)="Y"))+((Y1424="")*(INDEX(Setup!$M$6:$M$23,17)="Y")))</f>
        <v/>
      </c>
      <c r="AC1424" s="90">
        <f>IF($B1424="","",IF(AB1424=0,"✓ covered","⚠ "&amp;AB1424&amp;IF(AB1424=1," gap"," gaps")))</f>
        <v/>
      </c>
    </row>
    <row r="1425" ht="17" customHeight="1">
      <c r="A1425" t="n">
        <v>29</v>
      </c>
      <c r="B1425" s="29">
        <f>IF(Setup!$K$23="","",Setup!$K$23)</f>
        <v/>
      </c>
      <c r="C1425" s="88" t="n"/>
      <c r="D1425" s="88" t="n"/>
      <c r="E1425" s="88" t="n"/>
      <c r="F1425" s="89" t="n"/>
      <c r="G1425" s="88" t="n"/>
      <c r="H1425" s="88" t="n"/>
      <c r="I1425" s="88" t="n"/>
      <c r="J1425" s="89" t="n"/>
      <c r="K1425" s="88" t="n"/>
      <c r="L1425" s="88" t="n"/>
      <c r="M1425" s="88" t="n"/>
      <c r="N1425" s="89" t="n"/>
      <c r="O1425" s="88" t="n"/>
      <c r="P1425" s="88" t="n"/>
      <c r="Q1425" s="88" t="n"/>
      <c r="R1425" s="89" t="n"/>
      <c r="S1425" s="88" t="n"/>
      <c r="T1425" s="88" t="n"/>
      <c r="U1425" s="88" t="n"/>
      <c r="V1425" s="89" t="n"/>
      <c r="W1425" s="88" t="n"/>
      <c r="X1425" s="89" t="n"/>
      <c r="Y1425" s="88" t="n"/>
      <c r="Z1425" s="89" t="n"/>
      <c r="AB1425" s="30">
        <f>IF($B1425="","",(COUNTIF(C1425:E1425,"?*")&lt;N(INDEX(Setup!$L$6:$L$23,18)))+(COUNTIF(G1425:I1425,"?*")&lt;N(INDEX(Setup!$L$6:$L$23,18)))+(COUNTIF(K1425:M1425,"?*")&lt;N(INDEX(Setup!$L$6:$L$23,18)))+(COUNTIF(O1425:Q1425,"?*")&lt;N(INDEX(Setup!$L$6:$L$23,18)))+(COUNTIF(S1425:U1425,"?*")&lt;N(INDEX(Setup!$L$6:$L$23,18)))+((W1425="")*(INDEX(Setup!$M$6:$M$23,18)="Y"))+((Y1425="")*(INDEX(Setup!$M$6:$M$23,18)="Y")))</f>
        <v/>
      </c>
      <c r="AC1425" s="91">
        <f>IF($B1425="","",IF(AB1425=0,"✓ covered","⚠ "&amp;AB1425&amp;IF(AB1425=1," gap"," gaps")))</f>
        <v/>
      </c>
    </row>
    <row r="1426" ht="18" customHeight="1">
      <c r="A1426" t="n">
        <v>29</v>
      </c>
      <c r="B1426" s="78" t="inlineStr">
        <is>
          <t>TEAM AVAILABILITY</t>
        </is>
      </c>
      <c r="C1426" s="92" t="inlineStr">
        <is>
          <t>Mon</t>
        </is>
      </c>
      <c r="D1426" s="93" t="n"/>
      <c r="E1426" s="93" t="n"/>
      <c r="F1426" s="94" t="n"/>
      <c r="G1426" s="92" t="inlineStr">
        <is>
          <t>Tue</t>
        </is>
      </c>
      <c r="H1426" s="93" t="n"/>
      <c r="I1426" s="93" t="n"/>
      <c r="J1426" s="94" t="n"/>
      <c r="K1426" s="92" t="inlineStr">
        <is>
          <t>Wed</t>
        </is>
      </c>
      <c r="L1426" s="93" t="n"/>
      <c r="M1426" s="93" t="n"/>
      <c r="N1426" s="94" t="n"/>
      <c r="O1426" s="92" t="inlineStr">
        <is>
          <t>Thu</t>
        </is>
      </c>
      <c r="P1426" s="93" t="n"/>
      <c r="Q1426" s="93" t="n"/>
      <c r="R1426" s="94" t="n"/>
      <c r="S1426" s="92" t="inlineStr">
        <is>
          <t>Fri</t>
        </is>
      </c>
      <c r="T1426" s="93" t="n"/>
      <c r="U1426" s="93" t="n"/>
      <c r="V1426" s="94" t="n"/>
      <c r="W1426" s="95" t="inlineStr">
        <is>
          <t>Sat</t>
        </is>
      </c>
      <c r="X1426" s="96" t="n"/>
      <c r="Y1426" s="95" t="inlineStr">
        <is>
          <t>Sun</t>
        </is>
      </c>
      <c r="Z1426" s="96" t="n"/>
      <c r="AB1426" s="97" t="inlineStr">
        <is>
          <t>Days rostered</t>
        </is>
      </c>
      <c r="AC1426" s="97" t="inlineStr">
        <is>
          <t>Conflicts</t>
        </is>
      </c>
    </row>
    <row r="1427" ht="15" customHeight="1">
      <c r="A1427" t="n">
        <v>29</v>
      </c>
      <c r="B1427" s="35">
        <f>IF(Setup!$B$6="","",Setup!$B$6)</f>
        <v/>
      </c>
      <c r="C1427" s="98" t="n"/>
      <c r="D1427" s="99" t="n"/>
      <c r="E1427" s="99" t="n"/>
      <c r="F1427" s="100" t="n"/>
      <c r="G1427" s="98" t="n"/>
      <c r="H1427" s="99" t="n"/>
      <c r="I1427" s="99" t="n"/>
      <c r="J1427" s="100" t="n"/>
      <c r="K1427" s="98" t="n"/>
      <c r="L1427" s="99" t="n"/>
      <c r="M1427" s="99" t="n"/>
      <c r="N1427" s="100" t="n"/>
      <c r="O1427" s="98" t="n"/>
      <c r="P1427" s="99" t="n"/>
      <c r="Q1427" s="99" t="n"/>
      <c r="R1427" s="100" t="n"/>
      <c r="S1427" s="98" t="n"/>
      <c r="T1427" s="99" t="n"/>
      <c r="U1427" s="99" t="n"/>
      <c r="V1427" s="100" t="n"/>
      <c r="W1427" s="98" t="n"/>
      <c r="X1427" s="100" t="n"/>
      <c r="Y1427" s="98" t="n"/>
      <c r="Z1427" s="100" t="n"/>
      <c r="AB1427" s="101">
        <f>IF($B1427="","",(COUNTIF(C1408:E1425,$B1427)+COUNTIF(C1408:E1425,$B1427&amp;" ~*")&gt;0)+(COUNTIF(G1408:I1425,$B1427)+COUNTIF(G1408:I1425,$B1427&amp;" ~*")&gt;0)+(COUNTIF(K1408:M1425,$B1427)+COUNTIF(K1408:M1425,$B1427&amp;" ~*")&gt;0)+(COUNTIF(O1408:Q1425,$B1427)+COUNTIF(O1408:Q1425,$B1427&amp;" ~*")&gt;0)+(COUNTIF(S1408:U1425,$B1427)+COUNTIF(S1408:U1425,$B1427&amp;" ~*")&gt;0)+(COUNTIF(W1408:W1425,$B1427)+COUNTIF(W1408:W1425,$B1427&amp;" ~*")&gt;0)+(COUNTIF(Y1408:Y1425,$B1427)+COUNTIF(Y1408:Y1425,$B1427&amp;" ~*")&gt;0))</f>
        <v/>
      </c>
      <c r="AC1427" s="36">
        <f>IF($B1427="","",(IFERROR(INDEX(Setup!$G$33:$G$40,MATCH(C1427,Setup!$B$33:$B$40,0)),0)=1)*(COUNTIF(C1408:E1425,$B1427)+COUNTIF(C1408:E1425,$B1427&amp;" ~*")&gt;0)+(IFERROR(INDEX(Setup!$G$33:$G$40,MATCH(G1427,Setup!$B$33:$B$40,0)),0)=1)*(COUNTIF(G1408:I1425,$B1427)+COUNTIF(G1408:I1425,$B1427&amp;" ~*")&gt;0)+(IFERROR(INDEX(Setup!$G$33:$G$40,MATCH(K1427,Setup!$B$33:$B$40,0)),0)=1)*(COUNTIF(K1408:M1425,$B1427)+COUNTIF(K1408:M1425,$B1427&amp;" ~*")&gt;0)+(IFERROR(INDEX(Setup!$G$33:$G$40,MATCH(O1427,Setup!$B$33:$B$40,0)),0)=1)*(COUNTIF(O1408:Q1425,$B1427)+COUNTIF(O1408:Q1425,$B1427&amp;" ~*")&gt;0)+(IFERROR(INDEX(Setup!$G$33:$G$40,MATCH(S1427,Setup!$B$33:$B$40,0)),0)=1)*(COUNTIF(S1408:U1425,$B1427)+COUNTIF(S1408:U1425,$B1427&amp;" ~*")&gt;0)+(IFERROR(INDEX(Setup!$G$33:$G$40,MATCH(W1427,Setup!$B$33:$B$40,0)),0)=1)*(COUNTIF(W1408:W1425,$B1427)+COUNTIF(W1408:W1425,$B1427&amp;" ~*")&gt;0)+(IFERROR(INDEX(Setup!$G$33:$G$40,MATCH(Y1427,Setup!$B$33:$B$40,0)),0)=1)*(COUNTIF(Y1408:Y1425,$B1427)+COUNTIF(Y1408:Y1425,$B1427&amp;" ~*")&gt;0))</f>
        <v/>
      </c>
    </row>
    <row r="1428" ht="15" customHeight="1">
      <c r="A1428" t="n">
        <v>29</v>
      </c>
      <c r="B1428" s="37">
        <f>IF(Setup!$B$7="","",Setup!$B$7)</f>
        <v/>
      </c>
      <c r="C1428" s="102" t="n"/>
      <c r="D1428" s="103" t="n"/>
      <c r="E1428" s="103" t="n"/>
      <c r="F1428" s="104" t="n"/>
      <c r="G1428" s="102" t="n"/>
      <c r="H1428" s="103" t="n"/>
      <c r="I1428" s="103" t="n"/>
      <c r="J1428" s="104" t="n"/>
      <c r="K1428" s="102" t="n"/>
      <c r="L1428" s="103" t="n"/>
      <c r="M1428" s="103" t="n"/>
      <c r="N1428" s="104" t="n"/>
      <c r="O1428" s="102" t="n"/>
      <c r="P1428" s="103" t="n"/>
      <c r="Q1428" s="103" t="n"/>
      <c r="R1428" s="104" t="n"/>
      <c r="S1428" s="102" t="n"/>
      <c r="T1428" s="103" t="n"/>
      <c r="U1428" s="103" t="n"/>
      <c r="V1428" s="104" t="n"/>
      <c r="W1428" s="102" t="n"/>
      <c r="X1428" s="104" t="n"/>
      <c r="Y1428" s="102" t="n"/>
      <c r="Z1428" s="104" t="n"/>
      <c r="AB1428" s="105">
        <f>IF($B1428="","",(COUNTIF(C1408:E1425,$B1428)+COUNTIF(C1408:E1425,$B1428&amp;" ~*")&gt;0)+(COUNTIF(G1408:I1425,$B1428)+COUNTIF(G1408:I1425,$B1428&amp;" ~*")&gt;0)+(COUNTIF(K1408:M1425,$B1428)+COUNTIF(K1408:M1425,$B1428&amp;" ~*")&gt;0)+(COUNTIF(O1408:Q1425,$B1428)+COUNTIF(O1408:Q1425,$B1428&amp;" ~*")&gt;0)+(COUNTIF(S1408:U1425,$B1428)+COUNTIF(S1408:U1425,$B1428&amp;" ~*")&gt;0)+(COUNTIF(W1408:W1425,$B1428)+COUNTIF(W1408:W1425,$B1428&amp;" ~*")&gt;0)+(COUNTIF(Y1408:Y1425,$B1428)+COUNTIF(Y1408:Y1425,$B1428&amp;" ~*")&gt;0))</f>
        <v/>
      </c>
      <c r="AC1428" s="38">
        <f>IF($B1428="","",(IFERROR(INDEX(Setup!$G$33:$G$40,MATCH(C1428,Setup!$B$33:$B$40,0)),0)=1)*(COUNTIF(C1408:E1425,$B1428)+COUNTIF(C1408:E1425,$B1428&amp;" ~*")&gt;0)+(IFERROR(INDEX(Setup!$G$33:$G$40,MATCH(G1428,Setup!$B$33:$B$40,0)),0)=1)*(COUNTIF(G1408:I1425,$B1428)+COUNTIF(G1408:I1425,$B1428&amp;" ~*")&gt;0)+(IFERROR(INDEX(Setup!$G$33:$G$40,MATCH(K1428,Setup!$B$33:$B$40,0)),0)=1)*(COUNTIF(K1408:M1425,$B1428)+COUNTIF(K1408:M1425,$B1428&amp;" ~*")&gt;0)+(IFERROR(INDEX(Setup!$G$33:$G$40,MATCH(O1428,Setup!$B$33:$B$40,0)),0)=1)*(COUNTIF(O1408:Q1425,$B1428)+COUNTIF(O1408:Q1425,$B1428&amp;" ~*")&gt;0)+(IFERROR(INDEX(Setup!$G$33:$G$40,MATCH(S1428,Setup!$B$33:$B$40,0)),0)=1)*(COUNTIF(S1408:U1425,$B1428)+COUNTIF(S1408:U1425,$B1428&amp;" ~*")&gt;0)+(IFERROR(INDEX(Setup!$G$33:$G$40,MATCH(W1428,Setup!$B$33:$B$40,0)),0)=1)*(COUNTIF(W1408:W1425,$B1428)+COUNTIF(W1408:W1425,$B1428&amp;" ~*")&gt;0)+(IFERROR(INDEX(Setup!$G$33:$G$40,MATCH(Y1428,Setup!$B$33:$B$40,0)),0)=1)*(COUNTIF(Y1408:Y1425,$B1428)+COUNTIF(Y1408:Y1425,$B1428&amp;" ~*")&gt;0))</f>
        <v/>
      </c>
    </row>
    <row r="1429" ht="15" customHeight="1">
      <c r="A1429" t="n">
        <v>29</v>
      </c>
      <c r="B1429" s="35">
        <f>IF(Setup!$B$8="","",Setup!$B$8)</f>
        <v/>
      </c>
      <c r="C1429" s="98" t="n"/>
      <c r="D1429" s="99" t="n"/>
      <c r="E1429" s="99" t="n"/>
      <c r="F1429" s="100" t="n"/>
      <c r="G1429" s="98" t="n"/>
      <c r="H1429" s="99" t="n"/>
      <c r="I1429" s="99" t="n"/>
      <c r="J1429" s="100" t="n"/>
      <c r="K1429" s="98" t="n"/>
      <c r="L1429" s="99" t="n"/>
      <c r="M1429" s="99" t="n"/>
      <c r="N1429" s="100" t="n"/>
      <c r="O1429" s="98" t="n"/>
      <c r="P1429" s="99" t="n"/>
      <c r="Q1429" s="99" t="n"/>
      <c r="R1429" s="100" t="n"/>
      <c r="S1429" s="98" t="n"/>
      <c r="T1429" s="99" t="n"/>
      <c r="U1429" s="99" t="n"/>
      <c r="V1429" s="100" t="n"/>
      <c r="W1429" s="98" t="n"/>
      <c r="X1429" s="100" t="n"/>
      <c r="Y1429" s="98" t="n"/>
      <c r="Z1429" s="100" t="n"/>
      <c r="AB1429" s="101">
        <f>IF($B1429="","",(COUNTIF(C1408:E1425,$B1429)+COUNTIF(C1408:E1425,$B1429&amp;" ~*")&gt;0)+(COUNTIF(G1408:I1425,$B1429)+COUNTIF(G1408:I1425,$B1429&amp;" ~*")&gt;0)+(COUNTIF(K1408:M1425,$B1429)+COUNTIF(K1408:M1425,$B1429&amp;" ~*")&gt;0)+(COUNTIF(O1408:Q1425,$B1429)+COUNTIF(O1408:Q1425,$B1429&amp;" ~*")&gt;0)+(COUNTIF(S1408:U1425,$B1429)+COUNTIF(S1408:U1425,$B1429&amp;" ~*")&gt;0)+(COUNTIF(W1408:W1425,$B1429)+COUNTIF(W1408:W1425,$B1429&amp;" ~*")&gt;0)+(COUNTIF(Y1408:Y1425,$B1429)+COUNTIF(Y1408:Y1425,$B1429&amp;" ~*")&gt;0))</f>
        <v/>
      </c>
      <c r="AC1429" s="36">
        <f>IF($B1429="","",(IFERROR(INDEX(Setup!$G$33:$G$40,MATCH(C1429,Setup!$B$33:$B$40,0)),0)=1)*(COUNTIF(C1408:E1425,$B1429)+COUNTIF(C1408:E1425,$B1429&amp;" ~*")&gt;0)+(IFERROR(INDEX(Setup!$G$33:$G$40,MATCH(G1429,Setup!$B$33:$B$40,0)),0)=1)*(COUNTIF(G1408:I1425,$B1429)+COUNTIF(G1408:I1425,$B1429&amp;" ~*")&gt;0)+(IFERROR(INDEX(Setup!$G$33:$G$40,MATCH(K1429,Setup!$B$33:$B$40,0)),0)=1)*(COUNTIF(K1408:M1425,$B1429)+COUNTIF(K1408:M1425,$B1429&amp;" ~*")&gt;0)+(IFERROR(INDEX(Setup!$G$33:$G$40,MATCH(O1429,Setup!$B$33:$B$40,0)),0)=1)*(COUNTIF(O1408:Q1425,$B1429)+COUNTIF(O1408:Q1425,$B1429&amp;" ~*")&gt;0)+(IFERROR(INDEX(Setup!$G$33:$G$40,MATCH(S1429,Setup!$B$33:$B$40,0)),0)=1)*(COUNTIF(S1408:U1425,$B1429)+COUNTIF(S1408:U1425,$B1429&amp;" ~*")&gt;0)+(IFERROR(INDEX(Setup!$G$33:$G$40,MATCH(W1429,Setup!$B$33:$B$40,0)),0)=1)*(COUNTIF(W1408:W1425,$B1429)+COUNTIF(W1408:W1425,$B1429&amp;" ~*")&gt;0)+(IFERROR(INDEX(Setup!$G$33:$G$40,MATCH(Y1429,Setup!$B$33:$B$40,0)),0)=1)*(COUNTIF(Y1408:Y1425,$B1429)+COUNTIF(Y1408:Y1425,$B1429&amp;" ~*")&gt;0))</f>
        <v/>
      </c>
    </row>
    <row r="1430" ht="15" customHeight="1">
      <c r="A1430" t="n">
        <v>29</v>
      </c>
      <c r="B1430" s="37">
        <f>IF(Setup!$B$9="","",Setup!$B$9)</f>
        <v/>
      </c>
      <c r="C1430" s="102" t="n"/>
      <c r="D1430" s="103" t="n"/>
      <c r="E1430" s="103" t="n"/>
      <c r="F1430" s="104" t="n"/>
      <c r="G1430" s="102" t="n"/>
      <c r="H1430" s="103" t="n"/>
      <c r="I1430" s="103" t="n"/>
      <c r="J1430" s="104" t="n"/>
      <c r="K1430" s="102" t="n"/>
      <c r="L1430" s="103" t="n"/>
      <c r="M1430" s="103" t="n"/>
      <c r="N1430" s="104" t="n"/>
      <c r="O1430" s="102" t="n"/>
      <c r="P1430" s="103" t="n"/>
      <c r="Q1430" s="103" t="n"/>
      <c r="R1430" s="104" t="n"/>
      <c r="S1430" s="102" t="n"/>
      <c r="T1430" s="103" t="n"/>
      <c r="U1430" s="103" t="n"/>
      <c r="V1430" s="104" t="n"/>
      <c r="W1430" s="102" t="n"/>
      <c r="X1430" s="104" t="n"/>
      <c r="Y1430" s="102" t="n"/>
      <c r="Z1430" s="104" t="n"/>
      <c r="AB1430" s="105">
        <f>IF($B1430="","",(COUNTIF(C1408:E1425,$B1430)+COUNTIF(C1408:E1425,$B1430&amp;" ~*")&gt;0)+(COUNTIF(G1408:I1425,$B1430)+COUNTIF(G1408:I1425,$B1430&amp;" ~*")&gt;0)+(COUNTIF(K1408:M1425,$B1430)+COUNTIF(K1408:M1425,$B1430&amp;" ~*")&gt;0)+(COUNTIF(O1408:Q1425,$B1430)+COUNTIF(O1408:Q1425,$B1430&amp;" ~*")&gt;0)+(COUNTIF(S1408:U1425,$B1430)+COUNTIF(S1408:U1425,$B1430&amp;" ~*")&gt;0)+(COUNTIF(W1408:W1425,$B1430)+COUNTIF(W1408:W1425,$B1430&amp;" ~*")&gt;0)+(COUNTIF(Y1408:Y1425,$B1430)+COUNTIF(Y1408:Y1425,$B1430&amp;" ~*")&gt;0))</f>
        <v/>
      </c>
      <c r="AC1430" s="38">
        <f>IF($B1430="","",(IFERROR(INDEX(Setup!$G$33:$G$40,MATCH(C1430,Setup!$B$33:$B$40,0)),0)=1)*(COUNTIF(C1408:E1425,$B1430)+COUNTIF(C1408:E1425,$B1430&amp;" ~*")&gt;0)+(IFERROR(INDEX(Setup!$G$33:$G$40,MATCH(G1430,Setup!$B$33:$B$40,0)),0)=1)*(COUNTIF(G1408:I1425,$B1430)+COUNTIF(G1408:I1425,$B1430&amp;" ~*")&gt;0)+(IFERROR(INDEX(Setup!$G$33:$G$40,MATCH(K1430,Setup!$B$33:$B$40,0)),0)=1)*(COUNTIF(K1408:M1425,$B1430)+COUNTIF(K1408:M1425,$B1430&amp;" ~*")&gt;0)+(IFERROR(INDEX(Setup!$G$33:$G$40,MATCH(O1430,Setup!$B$33:$B$40,0)),0)=1)*(COUNTIF(O1408:Q1425,$B1430)+COUNTIF(O1408:Q1425,$B1430&amp;" ~*")&gt;0)+(IFERROR(INDEX(Setup!$G$33:$G$40,MATCH(S1430,Setup!$B$33:$B$40,0)),0)=1)*(COUNTIF(S1408:U1425,$B1430)+COUNTIF(S1408:U1425,$B1430&amp;" ~*")&gt;0)+(IFERROR(INDEX(Setup!$G$33:$G$40,MATCH(W1430,Setup!$B$33:$B$40,0)),0)=1)*(COUNTIF(W1408:W1425,$B1430)+COUNTIF(W1408:W1425,$B1430&amp;" ~*")&gt;0)+(IFERROR(INDEX(Setup!$G$33:$G$40,MATCH(Y1430,Setup!$B$33:$B$40,0)),0)=1)*(COUNTIF(Y1408:Y1425,$B1430)+COUNTIF(Y1408:Y1425,$B1430&amp;" ~*")&gt;0))</f>
        <v/>
      </c>
    </row>
    <row r="1431" ht="15" customHeight="1">
      <c r="A1431" t="n">
        <v>29</v>
      </c>
      <c r="B1431" s="35">
        <f>IF(Setup!$B$10="","",Setup!$B$10)</f>
        <v/>
      </c>
      <c r="C1431" s="98" t="n"/>
      <c r="D1431" s="99" t="n"/>
      <c r="E1431" s="99" t="n"/>
      <c r="F1431" s="100" t="n"/>
      <c r="G1431" s="98" t="n"/>
      <c r="H1431" s="99" t="n"/>
      <c r="I1431" s="99" t="n"/>
      <c r="J1431" s="100" t="n"/>
      <c r="K1431" s="98" t="n"/>
      <c r="L1431" s="99" t="n"/>
      <c r="M1431" s="99" t="n"/>
      <c r="N1431" s="100" t="n"/>
      <c r="O1431" s="98" t="n"/>
      <c r="P1431" s="99" t="n"/>
      <c r="Q1431" s="99" t="n"/>
      <c r="R1431" s="100" t="n"/>
      <c r="S1431" s="98" t="n"/>
      <c r="T1431" s="99" t="n"/>
      <c r="U1431" s="99" t="n"/>
      <c r="V1431" s="100" t="n"/>
      <c r="W1431" s="98" t="n"/>
      <c r="X1431" s="100" t="n"/>
      <c r="Y1431" s="98" t="n"/>
      <c r="Z1431" s="100" t="n"/>
      <c r="AB1431" s="101">
        <f>IF($B1431="","",(COUNTIF(C1408:E1425,$B1431)+COUNTIF(C1408:E1425,$B1431&amp;" ~*")&gt;0)+(COUNTIF(G1408:I1425,$B1431)+COUNTIF(G1408:I1425,$B1431&amp;" ~*")&gt;0)+(COUNTIF(K1408:M1425,$B1431)+COUNTIF(K1408:M1425,$B1431&amp;" ~*")&gt;0)+(COUNTIF(O1408:Q1425,$B1431)+COUNTIF(O1408:Q1425,$B1431&amp;" ~*")&gt;0)+(COUNTIF(S1408:U1425,$B1431)+COUNTIF(S1408:U1425,$B1431&amp;" ~*")&gt;0)+(COUNTIF(W1408:W1425,$B1431)+COUNTIF(W1408:W1425,$B1431&amp;" ~*")&gt;0)+(COUNTIF(Y1408:Y1425,$B1431)+COUNTIF(Y1408:Y1425,$B1431&amp;" ~*")&gt;0))</f>
        <v/>
      </c>
      <c r="AC1431" s="36">
        <f>IF($B1431="","",(IFERROR(INDEX(Setup!$G$33:$G$40,MATCH(C1431,Setup!$B$33:$B$40,0)),0)=1)*(COUNTIF(C1408:E1425,$B1431)+COUNTIF(C1408:E1425,$B1431&amp;" ~*")&gt;0)+(IFERROR(INDEX(Setup!$G$33:$G$40,MATCH(G1431,Setup!$B$33:$B$40,0)),0)=1)*(COUNTIF(G1408:I1425,$B1431)+COUNTIF(G1408:I1425,$B1431&amp;" ~*")&gt;0)+(IFERROR(INDEX(Setup!$G$33:$G$40,MATCH(K1431,Setup!$B$33:$B$40,0)),0)=1)*(COUNTIF(K1408:M1425,$B1431)+COUNTIF(K1408:M1425,$B1431&amp;" ~*")&gt;0)+(IFERROR(INDEX(Setup!$G$33:$G$40,MATCH(O1431,Setup!$B$33:$B$40,0)),0)=1)*(COUNTIF(O1408:Q1425,$B1431)+COUNTIF(O1408:Q1425,$B1431&amp;" ~*")&gt;0)+(IFERROR(INDEX(Setup!$G$33:$G$40,MATCH(S1431,Setup!$B$33:$B$40,0)),0)=1)*(COUNTIF(S1408:U1425,$B1431)+COUNTIF(S1408:U1425,$B1431&amp;" ~*")&gt;0)+(IFERROR(INDEX(Setup!$G$33:$G$40,MATCH(W1431,Setup!$B$33:$B$40,0)),0)=1)*(COUNTIF(W1408:W1425,$B1431)+COUNTIF(W1408:W1425,$B1431&amp;" ~*")&gt;0)+(IFERROR(INDEX(Setup!$G$33:$G$40,MATCH(Y1431,Setup!$B$33:$B$40,0)),0)=1)*(COUNTIF(Y1408:Y1425,$B1431)+COUNTIF(Y1408:Y1425,$B1431&amp;" ~*")&gt;0))</f>
        <v/>
      </c>
    </row>
    <row r="1432" ht="15" customHeight="1">
      <c r="A1432" t="n">
        <v>29</v>
      </c>
      <c r="B1432" s="37">
        <f>IF(Setup!$B$11="","",Setup!$B$11)</f>
        <v/>
      </c>
      <c r="C1432" s="102" t="n"/>
      <c r="D1432" s="103" t="n"/>
      <c r="E1432" s="103" t="n"/>
      <c r="F1432" s="104" t="n"/>
      <c r="G1432" s="102" t="n"/>
      <c r="H1432" s="103" t="n"/>
      <c r="I1432" s="103" t="n"/>
      <c r="J1432" s="104" t="n"/>
      <c r="K1432" s="102" t="n"/>
      <c r="L1432" s="103" t="n"/>
      <c r="M1432" s="103" t="n"/>
      <c r="N1432" s="104" t="n"/>
      <c r="O1432" s="102" t="n"/>
      <c r="P1432" s="103" t="n"/>
      <c r="Q1432" s="103" t="n"/>
      <c r="R1432" s="104" t="n"/>
      <c r="S1432" s="102" t="n"/>
      <c r="T1432" s="103" t="n"/>
      <c r="U1432" s="103" t="n"/>
      <c r="V1432" s="104" t="n"/>
      <c r="W1432" s="102" t="n"/>
      <c r="X1432" s="104" t="n"/>
      <c r="Y1432" s="102" t="n"/>
      <c r="Z1432" s="104" t="n"/>
      <c r="AB1432" s="105">
        <f>IF($B1432="","",(COUNTIF(C1408:E1425,$B1432)+COUNTIF(C1408:E1425,$B1432&amp;" ~*")&gt;0)+(COUNTIF(G1408:I1425,$B1432)+COUNTIF(G1408:I1425,$B1432&amp;" ~*")&gt;0)+(COUNTIF(K1408:M1425,$B1432)+COUNTIF(K1408:M1425,$B1432&amp;" ~*")&gt;0)+(COUNTIF(O1408:Q1425,$B1432)+COUNTIF(O1408:Q1425,$B1432&amp;" ~*")&gt;0)+(COUNTIF(S1408:U1425,$B1432)+COUNTIF(S1408:U1425,$B1432&amp;" ~*")&gt;0)+(COUNTIF(W1408:W1425,$B1432)+COUNTIF(W1408:W1425,$B1432&amp;" ~*")&gt;0)+(COUNTIF(Y1408:Y1425,$B1432)+COUNTIF(Y1408:Y1425,$B1432&amp;" ~*")&gt;0))</f>
        <v/>
      </c>
      <c r="AC1432" s="38">
        <f>IF($B1432="","",(IFERROR(INDEX(Setup!$G$33:$G$40,MATCH(C1432,Setup!$B$33:$B$40,0)),0)=1)*(COUNTIF(C1408:E1425,$B1432)+COUNTIF(C1408:E1425,$B1432&amp;" ~*")&gt;0)+(IFERROR(INDEX(Setup!$G$33:$G$40,MATCH(G1432,Setup!$B$33:$B$40,0)),0)=1)*(COUNTIF(G1408:I1425,$B1432)+COUNTIF(G1408:I1425,$B1432&amp;" ~*")&gt;0)+(IFERROR(INDEX(Setup!$G$33:$G$40,MATCH(K1432,Setup!$B$33:$B$40,0)),0)=1)*(COUNTIF(K1408:M1425,$B1432)+COUNTIF(K1408:M1425,$B1432&amp;" ~*")&gt;0)+(IFERROR(INDEX(Setup!$G$33:$G$40,MATCH(O1432,Setup!$B$33:$B$40,0)),0)=1)*(COUNTIF(O1408:Q1425,$B1432)+COUNTIF(O1408:Q1425,$B1432&amp;" ~*")&gt;0)+(IFERROR(INDEX(Setup!$G$33:$G$40,MATCH(S1432,Setup!$B$33:$B$40,0)),0)=1)*(COUNTIF(S1408:U1425,$B1432)+COUNTIF(S1408:U1425,$B1432&amp;" ~*")&gt;0)+(IFERROR(INDEX(Setup!$G$33:$G$40,MATCH(W1432,Setup!$B$33:$B$40,0)),0)=1)*(COUNTIF(W1408:W1425,$B1432)+COUNTIF(W1408:W1425,$B1432&amp;" ~*")&gt;0)+(IFERROR(INDEX(Setup!$G$33:$G$40,MATCH(Y1432,Setup!$B$33:$B$40,0)),0)=1)*(COUNTIF(Y1408:Y1425,$B1432)+COUNTIF(Y1408:Y1425,$B1432&amp;" ~*")&gt;0))</f>
        <v/>
      </c>
    </row>
    <row r="1433" ht="15" customHeight="1">
      <c r="A1433" t="n">
        <v>29</v>
      </c>
      <c r="B1433" s="35">
        <f>IF(Setup!$B$12="","",Setup!$B$12)</f>
        <v/>
      </c>
      <c r="C1433" s="98" t="n"/>
      <c r="D1433" s="99" t="n"/>
      <c r="E1433" s="99" t="n"/>
      <c r="F1433" s="100" t="n"/>
      <c r="G1433" s="98" t="n"/>
      <c r="H1433" s="99" t="n"/>
      <c r="I1433" s="99" t="n"/>
      <c r="J1433" s="100" t="n"/>
      <c r="K1433" s="98" t="n"/>
      <c r="L1433" s="99" t="n"/>
      <c r="M1433" s="99" t="n"/>
      <c r="N1433" s="100" t="n"/>
      <c r="O1433" s="98" t="n"/>
      <c r="P1433" s="99" t="n"/>
      <c r="Q1433" s="99" t="n"/>
      <c r="R1433" s="100" t="n"/>
      <c r="S1433" s="98" t="n"/>
      <c r="T1433" s="99" t="n"/>
      <c r="U1433" s="99" t="n"/>
      <c r="V1433" s="100" t="n"/>
      <c r="W1433" s="98" t="n"/>
      <c r="X1433" s="100" t="n"/>
      <c r="Y1433" s="98" t="n"/>
      <c r="Z1433" s="100" t="n"/>
      <c r="AB1433" s="101">
        <f>IF($B1433="","",(COUNTIF(C1408:E1425,$B1433)+COUNTIF(C1408:E1425,$B1433&amp;" ~*")&gt;0)+(COUNTIF(G1408:I1425,$B1433)+COUNTIF(G1408:I1425,$B1433&amp;" ~*")&gt;0)+(COUNTIF(K1408:M1425,$B1433)+COUNTIF(K1408:M1425,$B1433&amp;" ~*")&gt;0)+(COUNTIF(O1408:Q1425,$B1433)+COUNTIF(O1408:Q1425,$B1433&amp;" ~*")&gt;0)+(COUNTIF(S1408:U1425,$B1433)+COUNTIF(S1408:U1425,$B1433&amp;" ~*")&gt;0)+(COUNTIF(W1408:W1425,$B1433)+COUNTIF(W1408:W1425,$B1433&amp;" ~*")&gt;0)+(COUNTIF(Y1408:Y1425,$B1433)+COUNTIF(Y1408:Y1425,$B1433&amp;" ~*")&gt;0))</f>
        <v/>
      </c>
      <c r="AC1433" s="36">
        <f>IF($B1433="","",(IFERROR(INDEX(Setup!$G$33:$G$40,MATCH(C1433,Setup!$B$33:$B$40,0)),0)=1)*(COUNTIF(C1408:E1425,$B1433)+COUNTIF(C1408:E1425,$B1433&amp;" ~*")&gt;0)+(IFERROR(INDEX(Setup!$G$33:$G$40,MATCH(G1433,Setup!$B$33:$B$40,0)),0)=1)*(COUNTIF(G1408:I1425,$B1433)+COUNTIF(G1408:I1425,$B1433&amp;" ~*")&gt;0)+(IFERROR(INDEX(Setup!$G$33:$G$40,MATCH(K1433,Setup!$B$33:$B$40,0)),0)=1)*(COUNTIF(K1408:M1425,$B1433)+COUNTIF(K1408:M1425,$B1433&amp;" ~*")&gt;0)+(IFERROR(INDEX(Setup!$G$33:$G$40,MATCH(O1433,Setup!$B$33:$B$40,0)),0)=1)*(COUNTIF(O1408:Q1425,$B1433)+COUNTIF(O1408:Q1425,$B1433&amp;" ~*")&gt;0)+(IFERROR(INDEX(Setup!$G$33:$G$40,MATCH(S1433,Setup!$B$33:$B$40,0)),0)=1)*(COUNTIF(S1408:U1425,$B1433)+COUNTIF(S1408:U1425,$B1433&amp;" ~*")&gt;0)+(IFERROR(INDEX(Setup!$G$33:$G$40,MATCH(W1433,Setup!$B$33:$B$40,0)),0)=1)*(COUNTIF(W1408:W1425,$B1433)+COUNTIF(W1408:W1425,$B1433&amp;" ~*")&gt;0)+(IFERROR(INDEX(Setup!$G$33:$G$40,MATCH(Y1433,Setup!$B$33:$B$40,0)),0)=1)*(COUNTIF(Y1408:Y1425,$B1433)+COUNTIF(Y1408:Y1425,$B1433&amp;" ~*")&gt;0))</f>
        <v/>
      </c>
    </row>
    <row r="1434" ht="15" customHeight="1">
      <c r="A1434" t="n">
        <v>29</v>
      </c>
      <c r="B1434" s="37">
        <f>IF(Setup!$B$13="","",Setup!$B$13)</f>
        <v/>
      </c>
      <c r="C1434" s="102" t="n"/>
      <c r="D1434" s="103" t="n"/>
      <c r="E1434" s="103" t="n"/>
      <c r="F1434" s="104" t="n"/>
      <c r="G1434" s="102" t="n"/>
      <c r="H1434" s="103" t="n"/>
      <c r="I1434" s="103" t="n"/>
      <c r="J1434" s="104" t="n"/>
      <c r="K1434" s="102" t="n"/>
      <c r="L1434" s="103" t="n"/>
      <c r="M1434" s="103" t="n"/>
      <c r="N1434" s="104" t="n"/>
      <c r="O1434" s="102" t="n"/>
      <c r="P1434" s="103" t="n"/>
      <c r="Q1434" s="103" t="n"/>
      <c r="R1434" s="104" t="n"/>
      <c r="S1434" s="102" t="n"/>
      <c r="T1434" s="103" t="n"/>
      <c r="U1434" s="103" t="n"/>
      <c r="V1434" s="104" t="n"/>
      <c r="W1434" s="102" t="n"/>
      <c r="X1434" s="104" t="n"/>
      <c r="Y1434" s="102" t="n"/>
      <c r="Z1434" s="104" t="n"/>
      <c r="AB1434" s="105">
        <f>IF($B1434="","",(COUNTIF(C1408:E1425,$B1434)+COUNTIF(C1408:E1425,$B1434&amp;" ~*")&gt;0)+(COUNTIF(G1408:I1425,$B1434)+COUNTIF(G1408:I1425,$B1434&amp;" ~*")&gt;0)+(COUNTIF(K1408:M1425,$B1434)+COUNTIF(K1408:M1425,$B1434&amp;" ~*")&gt;0)+(COUNTIF(O1408:Q1425,$B1434)+COUNTIF(O1408:Q1425,$B1434&amp;" ~*")&gt;0)+(COUNTIF(S1408:U1425,$B1434)+COUNTIF(S1408:U1425,$B1434&amp;" ~*")&gt;0)+(COUNTIF(W1408:W1425,$B1434)+COUNTIF(W1408:W1425,$B1434&amp;" ~*")&gt;0)+(COUNTIF(Y1408:Y1425,$B1434)+COUNTIF(Y1408:Y1425,$B1434&amp;" ~*")&gt;0))</f>
        <v/>
      </c>
      <c r="AC1434" s="38">
        <f>IF($B1434="","",(IFERROR(INDEX(Setup!$G$33:$G$40,MATCH(C1434,Setup!$B$33:$B$40,0)),0)=1)*(COUNTIF(C1408:E1425,$B1434)+COUNTIF(C1408:E1425,$B1434&amp;" ~*")&gt;0)+(IFERROR(INDEX(Setup!$G$33:$G$40,MATCH(G1434,Setup!$B$33:$B$40,0)),0)=1)*(COUNTIF(G1408:I1425,$B1434)+COUNTIF(G1408:I1425,$B1434&amp;" ~*")&gt;0)+(IFERROR(INDEX(Setup!$G$33:$G$40,MATCH(K1434,Setup!$B$33:$B$40,0)),0)=1)*(COUNTIF(K1408:M1425,$B1434)+COUNTIF(K1408:M1425,$B1434&amp;" ~*")&gt;0)+(IFERROR(INDEX(Setup!$G$33:$G$40,MATCH(O1434,Setup!$B$33:$B$40,0)),0)=1)*(COUNTIF(O1408:Q1425,$B1434)+COUNTIF(O1408:Q1425,$B1434&amp;" ~*")&gt;0)+(IFERROR(INDEX(Setup!$G$33:$G$40,MATCH(S1434,Setup!$B$33:$B$40,0)),0)=1)*(COUNTIF(S1408:U1425,$B1434)+COUNTIF(S1408:U1425,$B1434&amp;" ~*")&gt;0)+(IFERROR(INDEX(Setup!$G$33:$G$40,MATCH(W1434,Setup!$B$33:$B$40,0)),0)=1)*(COUNTIF(W1408:W1425,$B1434)+COUNTIF(W1408:W1425,$B1434&amp;" ~*")&gt;0)+(IFERROR(INDEX(Setup!$G$33:$G$40,MATCH(Y1434,Setup!$B$33:$B$40,0)),0)=1)*(COUNTIF(Y1408:Y1425,$B1434)+COUNTIF(Y1408:Y1425,$B1434&amp;" ~*")&gt;0))</f>
        <v/>
      </c>
    </row>
    <row r="1435" ht="15" customHeight="1">
      <c r="A1435" t="n">
        <v>29</v>
      </c>
      <c r="B1435" s="35">
        <f>IF(Setup!$B$14="","",Setup!$B$14)</f>
        <v/>
      </c>
      <c r="C1435" s="98" t="n"/>
      <c r="D1435" s="99" t="n"/>
      <c r="E1435" s="99" t="n"/>
      <c r="F1435" s="100" t="n"/>
      <c r="G1435" s="98" t="n"/>
      <c r="H1435" s="99" t="n"/>
      <c r="I1435" s="99" t="n"/>
      <c r="J1435" s="100" t="n"/>
      <c r="K1435" s="98" t="n"/>
      <c r="L1435" s="99" t="n"/>
      <c r="M1435" s="99" t="n"/>
      <c r="N1435" s="100" t="n"/>
      <c r="O1435" s="98" t="n"/>
      <c r="P1435" s="99" t="n"/>
      <c r="Q1435" s="99" t="n"/>
      <c r="R1435" s="100" t="n"/>
      <c r="S1435" s="98" t="n"/>
      <c r="T1435" s="99" t="n"/>
      <c r="U1435" s="99" t="n"/>
      <c r="V1435" s="100" t="n"/>
      <c r="W1435" s="98" t="n"/>
      <c r="X1435" s="100" t="n"/>
      <c r="Y1435" s="98" t="n"/>
      <c r="Z1435" s="100" t="n"/>
      <c r="AB1435" s="101">
        <f>IF($B1435="","",(COUNTIF(C1408:E1425,$B1435)+COUNTIF(C1408:E1425,$B1435&amp;" ~*")&gt;0)+(COUNTIF(G1408:I1425,$B1435)+COUNTIF(G1408:I1425,$B1435&amp;" ~*")&gt;0)+(COUNTIF(K1408:M1425,$B1435)+COUNTIF(K1408:M1425,$B1435&amp;" ~*")&gt;0)+(COUNTIF(O1408:Q1425,$B1435)+COUNTIF(O1408:Q1425,$B1435&amp;" ~*")&gt;0)+(COUNTIF(S1408:U1425,$B1435)+COUNTIF(S1408:U1425,$B1435&amp;" ~*")&gt;0)+(COUNTIF(W1408:W1425,$B1435)+COUNTIF(W1408:W1425,$B1435&amp;" ~*")&gt;0)+(COUNTIF(Y1408:Y1425,$B1435)+COUNTIF(Y1408:Y1425,$B1435&amp;" ~*")&gt;0))</f>
        <v/>
      </c>
      <c r="AC1435" s="36">
        <f>IF($B1435="","",(IFERROR(INDEX(Setup!$G$33:$G$40,MATCH(C1435,Setup!$B$33:$B$40,0)),0)=1)*(COUNTIF(C1408:E1425,$B1435)+COUNTIF(C1408:E1425,$B1435&amp;" ~*")&gt;0)+(IFERROR(INDEX(Setup!$G$33:$G$40,MATCH(G1435,Setup!$B$33:$B$40,0)),0)=1)*(COUNTIF(G1408:I1425,$B1435)+COUNTIF(G1408:I1425,$B1435&amp;" ~*")&gt;0)+(IFERROR(INDEX(Setup!$G$33:$G$40,MATCH(K1435,Setup!$B$33:$B$40,0)),0)=1)*(COUNTIF(K1408:M1425,$B1435)+COUNTIF(K1408:M1425,$B1435&amp;" ~*")&gt;0)+(IFERROR(INDEX(Setup!$G$33:$G$40,MATCH(O1435,Setup!$B$33:$B$40,0)),0)=1)*(COUNTIF(O1408:Q1425,$B1435)+COUNTIF(O1408:Q1425,$B1435&amp;" ~*")&gt;0)+(IFERROR(INDEX(Setup!$G$33:$G$40,MATCH(S1435,Setup!$B$33:$B$40,0)),0)=1)*(COUNTIF(S1408:U1425,$B1435)+COUNTIF(S1408:U1425,$B1435&amp;" ~*")&gt;0)+(IFERROR(INDEX(Setup!$G$33:$G$40,MATCH(W1435,Setup!$B$33:$B$40,0)),0)=1)*(COUNTIF(W1408:W1425,$B1435)+COUNTIF(W1408:W1425,$B1435&amp;" ~*")&gt;0)+(IFERROR(INDEX(Setup!$G$33:$G$40,MATCH(Y1435,Setup!$B$33:$B$40,0)),0)=1)*(COUNTIF(Y1408:Y1425,$B1435)+COUNTIF(Y1408:Y1425,$B1435&amp;" ~*")&gt;0))</f>
        <v/>
      </c>
    </row>
    <row r="1436" ht="15" customHeight="1">
      <c r="A1436" t="n">
        <v>29</v>
      </c>
      <c r="B1436" s="37">
        <f>IF(Setup!$B$15="","",Setup!$B$15)</f>
        <v/>
      </c>
      <c r="C1436" s="102" t="n"/>
      <c r="D1436" s="103" t="n"/>
      <c r="E1436" s="103" t="n"/>
      <c r="F1436" s="104" t="n"/>
      <c r="G1436" s="102" t="n"/>
      <c r="H1436" s="103" t="n"/>
      <c r="I1436" s="103" t="n"/>
      <c r="J1436" s="104" t="n"/>
      <c r="K1436" s="102" t="n"/>
      <c r="L1436" s="103" t="n"/>
      <c r="M1436" s="103" t="n"/>
      <c r="N1436" s="104" t="n"/>
      <c r="O1436" s="102" t="n"/>
      <c r="P1436" s="103" t="n"/>
      <c r="Q1436" s="103" t="n"/>
      <c r="R1436" s="104" t="n"/>
      <c r="S1436" s="102" t="n"/>
      <c r="T1436" s="103" t="n"/>
      <c r="U1436" s="103" t="n"/>
      <c r="V1436" s="104" t="n"/>
      <c r="W1436" s="102" t="n"/>
      <c r="X1436" s="104" t="n"/>
      <c r="Y1436" s="102" t="n"/>
      <c r="Z1436" s="104" t="n"/>
      <c r="AB1436" s="105">
        <f>IF($B1436="","",(COUNTIF(C1408:E1425,$B1436)+COUNTIF(C1408:E1425,$B1436&amp;" ~*")&gt;0)+(COUNTIF(G1408:I1425,$B1436)+COUNTIF(G1408:I1425,$B1436&amp;" ~*")&gt;0)+(COUNTIF(K1408:M1425,$B1436)+COUNTIF(K1408:M1425,$B1436&amp;" ~*")&gt;0)+(COUNTIF(O1408:Q1425,$B1436)+COUNTIF(O1408:Q1425,$B1436&amp;" ~*")&gt;0)+(COUNTIF(S1408:U1425,$B1436)+COUNTIF(S1408:U1425,$B1436&amp;" ~*")&gt;0)+(COUNTIF(W1408:W1425,$B1436)+COUNTIF(W1408:W1425,$B1436&amp;" ~*")&gt;0)+(COUNTIF(Y1408:Y1425,$B1436)+COUNTIF(Y1408:Y1425,$B1436&amp;" ~*")&gt;0))</f>
        <v/>
      </c>
      <c r="AC1436" s="38">
        <f>IF($B1436="","",(IFERROR(INDEX(Setup!$G$33:$G$40,MATCH(C1436,Setup!$B$33:$B$40,0)),0)=1)*(COUNTIF(C1408:E1425,$B1436)+COUNTIF(C1408:E1425,$B1436&amp;" ~*")&gt;0)+(IFERROR(INDEX(Setup!$G$33:$G$40,MATCH(G1436,Setup!$B$33:$B$40,0)),0)=1)*(COUNTIF(G1408:I1425,$B1436)+COUNTIF(G1408:I1425,$B1436&amp;" ~*")&gt;0)+(IFERROR(INDEX(Setup!$G$33:$G$40,MATCH(K1436,Setup!$B$33:$B$40,0)),0)=1)*(COUNTIF(K1408:M1425,$B1436)+COUNTIF(K1408:M1425,$B1436&amp;" ~*")&gt;0)+(IFERROR(INDEX(Setup!$G$33:$G$40,MATCH(O1436,Setup!$B$33:$B$40,0)),0)=1)*(COUNTIF(O1408:Q1425,$B1436)+COUNTIF(O1408:Q1425,$B1436&amp;" ~*")&gt;0)+(IFERROR(INDEX(Setup!$G$33:$G$40,MATCH(S1436,Setup!$B$33:$B$40,0)),0)=1)*(COUNTIF(S1408:U1425,$B1436)+COUNTIF(S1408:U1425,$B1436&amp;" ~*")&gt;0)+(IFERROR(INDEX(Setup!$G$33:$G$40,MATCH(W1436,Setup!$B$33:$B$40,0)),0)=1)*(COUNTIF(W1408:W1425,$B1436)+COUNTIF(W1408:W1425,$B1436&amp;" ~*")&gt;0)+(IFERROR(INDEX(Setup!$G$33:$G$40,MATCH(Y1436,Setup!$B$33:$B$40,0)),0)=1)*(COUNTIF(Y1408:Y1425,$B1436)+COUNTIF(Y1408:Y1425,$B1436&amp;" ~*")&gt;0))</f>
        <v/>
      </c>
    </row>
    <row r="1437" ht="15" customHeight="1">
      <c r="A1437" t="n">
        <v>29</v>
      </c>
      <c r="B1437" s="35">
        <f>IF(Setup!$B$16="","",Setup!$B$16)</f>
        <v/>
      </c>
      <c r="C1437" s="98" t="n"/>
      <c r="D1437" s="99" t="n"/>
      <c r="E1437" s="99" t="n"/>
      <c r="F1437" s="100" t="n"/>
      <c r="G1437" s="98" t="n"/>
      <c r="H1437" s="99" t="n"/>
      <c r="I1437" s="99" t="n"/>
      <c r="J1437" s="100" t="n"/>
      <c r="K1437" s="98" t="n"/>
      <c r="L1437" s="99" t="n"/>
      <c r="M1437" s="99" t="n"/>
      <c r="N1437" s="100" t="n"/>
      <c r="O1437" s="98" t="n"/>
      <c r="P1437" s="99" t="n"/>
      <c r="Q1437" s="99" t="n"/>
      <c r="R1437" s="100" t="n"/>
      <c r="S1437" s="98" t="n"/>
      <c r="T1437" s="99" t="n"/>
      <c r="U1437" s="99" t="n"/>
      <c r="V1437" s="100" t="n"/>
      <c r="W1437" s="98" t="n"/>
      <c r="X1437" s="100" t="n"/>
      <c r="Y1437" s="98" t="n"/>
      <c r="Z1437" s="100" t="n"/>
      <c r="AB1437" s="101">
        <f>IF($B1437="","",(COUNTIF(C1408:E1425,$B1437)+COUNTIF(C1408:E1425,$B1437&amp;" ~*")&gt;0)+(COUNTIF(G1408:I1425,$B1437)+COUNTIF(G1408:I1425,$B1437&amp;" ~*")&gt;0)+(COUNTIF(K1408:M1425,$B1437)+COUNTIF(K1408:M1425,$B1437&amp;" ~*")&gt;0)+(COUNTIF(O1408:Q1425,$B1437)+COUNTIF(O1408:Q1425,$B1437&amp;" ~*")&gt;0)+(COUNTIF(S1408:U1425,$B1437)+COUNTIF(S1408:U1425,$B1437&amp;" ~*")&gt;0)+(COUNTIF(W1408:W1425,$B1437)+COUNTIF(W1408:W1425,$B1437&amp;" ~*")&gt;0)+(COUNTIF(Y1408:Y1425,$B1437)+COUNTIF(Y1408:Y1425,$B1437&amp;" ~*")&gt;0))</f>
        <v/>
      </c>
      <c r="AC1437" s="36">
        <f>IF($B1437="","",(IFERROR(INDEX(Setup!$G$33:$G$40,MATCH(C1437,Setup!$B$33:$B$40,0)),0)=1)*(COUNTIF(C1408:E1425,$B1437)+COUNTIF(C1408:E1425,$B1437&amp;" ~*")&gt;0)+(IFERROR(INDEX(Setup!$G$33:$G$40,MATCH(G1437,Setup!$B$33:$B$40,0)),0)=1)*(COUNTIF(G1408:I1425,$B1437)+COUNTIF(G1408:I1425,$B1437&amp;" ~*")&gt;0)+(IFERROR(INDEX(Setup!$G$33:$G$40,MATCH(K1437,Setup!$B$33:$B$40,0)),0)=1)*(COUNTIF(K1408:M1425,$B1437)+COUNTIF(K1408:M1425,$B1437&amp;" ~*")&gt;0)+(IFERROR(INDEX(Setup!$G$33:$G$40,MATCH(O1437,Setup!$B$33:$B$40,0)),0)=1)*(COUNTIF(O1408:Q1425,$B1437)+COUNTIF(O1408:Q1425,$B1437&amp;" ~*")&gt;0)+(IFERROR(INDEX(Setup!$G$33:$G$40,MATCH(S1437,Setup!$B$33:$B$40,0)),0)=1)*(COUNTIF(S1408:U1425,$B1437)+COUNTIF(S1408:U1425,$B1437&amp;" ~*")&gt;0)+(IFERROR(INDEX(Setup!$G$33:$G$40,MATCH(W1437,Setup!$B$33:$B$40,0)),0)=1)*(COUNTIF(W1408:W1425,$B1437)+COUNTIF(W1408:W1425,$B1437&amp;" ~*")&gt;0)+(IFERROR(INDEX(Setup!$G$33:$G$40,MATCH(Y1437,Setup!$B$33:$B$40,0)),0)=1)*(COUNTIF(Y1408:Y1425,$B1437)+COUNTIF(Y1408:Y1425,$B1437&amp;" ~*")&gt;0))</f>
        <v/>
      </c>
    </row>
    <row r="1438" ht="15" customHeight="1">
      <c r="A1438" t="n">
        <v>29</v>
      </c>
      <c r="B1438" s="37">
        <f>IF(Setup!$B$17="","",Setup!$B$17)</f>
        <v/>
      </c>
      <c r="C1438" s="102" t="n"/>
      <c r="D1438" s="103" t="n"/>
      <c r="E1438" s="103" t="n"/>
      <c r="F1438" s="104" t="n"/>
      <c r="G1438" s="102" t="n"/>
      <c r="H1438" s="103" t="n"/>
      <c r="I1438" s="103" t="n"/>
      <c r="J1438" s="104" t="n"/>
      <c r="K1438" s="102" t="n"/>
      <c r="L1438" s="103" t="n"/>
      <c r="M1438" s="103" t="n"/>
      <c r="N1438" s="104" t="n"/>
      <c r="O1438" s="102" t="n"/>
      <c r="P1438" s="103" t="n"/>
      <c r="Q1438" s="103" t="n"/>
      <c r="R1438" s="104" t="n"/>
      <c r="S1438" s="102" t="n"/>
      <c r="T1438" s="103" t="n"/>
      <c r="U1438" s="103" t="n"/>
      <c r="V1438" s="104" t="n"/>
      <c r="W1438" s="102" t="n"/>
      <c r="X1438" s="104" t="n"/>
      <c r="Y1438" s="102" t="n"/>
      <c r="Z1438" s="104" t="n"/>
      <c r="AB1438" s="105">
        <f>IF($B1438="","",(COUNTIF(C1408:E1425,$B1438)+COUNTIF(C1408:E1425,$B1438&amp;" ~*")&gt;0)+(COUNTIF(G1408:I1425,$B1438)+COUNTIF(G1408:I1425,$B1438&amp;" ~*")&gt;0)+(COUNTIF(K1408:M1425,$B1438)+COUNTIF(K1408:M1425,$B1438&amp;" ~*")&gt;0)+(COUNTIF(O1408:Q1425,$B1438)+COUNTIF(O1408:Q1425,$B1438&amp;" ~*")&gt;0)+(COUNTIF(S1408:U1425,$B1438)+COUNTIF(S1408:U1425,$B1438&amp;" ~*")&gt;0)+(COUNTIF(W1408:W1425,$B1438)+COUNTIF(W1408:W1425,$B1438&amp;" ~*")&gt;0)+(COUNTIF(Y1408:Y1425,$B1438)+COUNTIF(Y1408:Y1425,$B1438&amp;" ~*")&gt;0))</f>
        <v/>
      </c>
      <c r="AC1438" s="38">
        <f>IF($B1438="","",(IFERROR(INDEX(Setup!$G$33:$G$40,MATCH(C1438,Setup!$B$33:$B$40,0)),0)=1)*(COUNTIF(C1408:E1425,$B1438)+COUNTIF(C1408:E1425,$B1438&amp;" ~*")&gt;0)+(IFERROR(INDEX(Setup!$G$33:$G$40,MATCH(G1438,Setup!$B$33:$B$40,0)),0)=1)*(COUNTIF(G1408:I1425,$B1438)+COUNTIF(G1408:I1425,$B1438&amp;" ~*")&gt;0)+(IFERROR(INDEX(Setup!$G$33:$G$40,MATCH(K1438,Setup!$B$33:$B$40,0)),0)=1)*(COUNTIF(K1408:M1425,$B1438)+COUNTIF(K1408:M1425,$B1438&amp;" ~*")&gt;0)+(IFERROR(INDEX(Setup!$G$33:$G$40,MATCH(O1438,Setup!$B$33:$B$40,0)),0)=1)*(COUNTIF(O1408:Q1425,$B1438)+COUNTIF(O1408:Q1425,$B1438&amp;" ~*")&gt;0)+(IFERROR(INDEX(Setup!$G$33:$G$40,MATCH(S1438,Setup!$B$33:$B$40,0)),0)=1)*(COUNTIF(S1408:U1425,$B1438)+COUNTIF(S1408:U1425,$B1438&amp;" ~*")&gt;0)+(IFERROR(INDEX(Setup!$G$33:$G$40,MATCH(W1438,Setup!$B$33:$B$40,0)),0)=1)*(COUNTIF(W1408:W1425,$B1438)+COUNTIF(W1408:W1425,$B1438&amp;" ~*")&gt;0)+(IFERROR(INDEX(Setup!$G$33:$G$40,MATCH(Y1438,Setup!$B$33:$B$40,0)),0)=1)*(COUNTIF(Y1408:Y1425,$B1438)+COUNTIF(Y1408:Y1425,$B1438&amp;" ~*")&gt;0))</f>
        <v/>
      </c>
    </row>
    <row r="1439" ht="15" customHeight="1">
      <c r="A1439" t="n">
        <v>29</v>
      </c>
      <c r="B1439" s="35">
        <f>IF(Setup!$B$18="","",Setup!$B$18)</f>
        <v/>
      </c>
      <c r="C1439" s="98" t="n"/>
      <c r="D1439" s="99" t="n"/>
      <c r="E1439" s="99" t="n"/>
      <c r="F1439" s="100" t="n"/>
      <c r="G1439" s="98" t="n"/>
      <c r="H1439" s="99" t="n"/>
      <c r="I1439" s="99" t="n"/>
      <c r="J1439" s="100" t="n"/>
      <c r="K1439" s="98" t="n"/>
      <c r="L1439" s="99" t="n"/>
      <c r="M1439" s="99" t="n"/>
      <c r="N1439" s="100" t="n"/>
      <c r="O1439" s="98" t="n"/>
      <c r="P1439" s="99" t="n"/>
      <c r="Q1439" s="99" t="n"/>
      <c r="R1439" s="100" t="n"/>
      <c r="S1439" s="98" t="n"/>
      <c r="T1439" s="99" t="n"/>
      <c r="U1439" s="99" t="n"/>
      <c r="V1439" s="100" t="n"/>
      <c r="W1439" s="98" t="n"/>
      <c r="X1439" s="100" t="n"/>
      <c r="Y1439" s="98" t="n"/>
      <c r="Z1439" s="100" t="n"/>
      <c r="AB1439" s="101">
        <f>IF($B1439="","",(COUNTIF(C1408:E1425,$B1439)+COUNTIF(C1408:E1425,$B1439&amp;" ~*")&gt;0)+(COUNTIF(G1408:I1425,$B1439)+COUNTIF(G1408:I1425,$B1439&amp;" ~*")&gt;0)+(COUNTIF(K1408:M1425,$B1439)+COUNTIF(K1408:M1425,$B1439&amp;" ~*")&gt;0)+(COUNTIF(O1408:Q1425,$B1439)+COUNTIF(O1408:Q1425,$B1439&amp;" ~*")&gt;0)+(COUNTIF(S1408:U1425,$B1439)+COUNTIF(S1408:U1425,$B1439&amp;" ~*")&gt;0)+(COUNTIF(W1408:W1425,$B1439)+COUNTIF(W1408:W1425,$B1439&amp;" ~*")&gt;0)+(COUNTIF(Y1408:Y1425,$B1439)+COUNTIF(Y1408:Y1425,$B1439&amp;" ~*")&gt;0))</f>
        <v/>
      </c>
      <c r="AC1439" s="36">
        <f>IF($B1439="","",(IFERROR(INDEX(Setup!$G$33:$G$40,MATCH(C1439,Setup!$B$33:$B$40,0)),0)=1)*(COUNTIF(C1408:E1425,$B1439)+COUNTIF(C1408:E1425,$B1439&amp;" ~*")&gt;0)+(IFERROR(INDEX(Setup!$G$33:$G$40,MATCH(G1439,Setup!$B$33:$B$40,0)),0)=1)*(COUNTIF(G1408:I1425,$B1439)+COUNTIF(G1408:I1425,$B1439&amp;" ~*")&gt;0)+(IFERROR(INDEX(Setup!$G$33:$G$40,MATCH(K1439,Setup!$B$33:$B$40,0)),0)=1)*(COUNTIF(K1408:M1425,$B1439)+COUNTIF(K1408:M1425,$B1439&amp;" ~*")&gt;0)+(IFERROR(INDEX(Setup!$G$33:$G$40,MATCH(O1439,Setup!$B$33:$B$40,0)),0)=1)*(COUNTIF(O1408:Q1425,$B1439)+COUNTIF(O1408:Q1425,$B1439&amp;" ~*")&gt;0)+(IFERROR(INDEX(Setup!$G$33:$G$40,MATCH(S1439,Setup!$B$33:$B$40,0)),0)=1)*(COUNTIF(S1408:U1425,$B1439)+COUNTIF(S1408:U1425,$B1439&amp;" ~*")&gt;0)+(IFERROR(INDEX(Setup!$G$33:$G$40,MATCH(W1439,Setup!$B$33:$B$40,0)),0)=1)*(COUNTIF(W1408:W1425,$B1439)+COUNTIF(W1408:W1425,$B1439&amp;" ~*")&gt;0)+(IFERROR(INDEX(Setup!$G$33:$G$40,MATCH(Y1439,Setup!$B$33:$B$40,0)),0)=1)*(COUNTIF(Y1408:Y1425,$B1439)+COUNTIF(Y1408:Y1425,$B1439&amp;" ~*")&gt;0))</f>
        <v/>
      </c>
    </row>
    <row r="1440" ht="15" customHeight="1">
      <c r="A1440" t="n">
        <v>29</v>
      </c>
      <c r="B1440" s="37">
        <f>IF(Setup!$B$19="","",Setup!$B$19)</f>
        <v/>
      </c>
      <c r="C1440" s="102" t="n"/>
      <c r="D1440" s="103" t="n"/>
      <c r="E1440" s="103" t="n"/>
      <c r="F1440" s="104" t="n"/>
      <c r="G1440" s="102" t="n"/>
      <c r="H1440" s="103" t="n"/>
      <c r="I1440" s="103" t="n"/>
      <c r="J1440" s="104" t="n"/>
      <c r="K1440" s="102" t="n"/>
      <c r="L1440" s="103" t="n"/>
      <c r="M1440" s="103" t="n"/>
      <c r="N1440" s="104" t="n"/>
      <c r="O1440" s="102" t="n"/>
      <c r="P1440" s="103" t="n"/>
      <c r="Q1440" s="103" t="n"/>
      <c r="R1440" s="104" t="n"/>
      <c r="S1440" s="102" t="n"/>
      <c r="T1440" s="103" t="n"/>
      <c r="U1440" s="103" t="n"/>
      <c r="V1440" s="104" t="n"/>
      <c r="W1440" s="102" t="n"/>
      <c r="X1440" s="104" t="n"/>
      <c r="Y1440" s="102" t="n"/>
      <c r="Z1440" s="104" t="n"/>
      <c r="AB1440" s="105">
        <f>IF($B1440="","",(COUNTIF(C1408:E1425,$B1440)+COUNTIF(C1408:E1425,$B1440&amp;" ~*")&gt;0)+(COUNTIF(G1408:I1425,$B1440)+COUNTIF(G1408:I1425,$B1440&amp;" ~*")&gt;0)+(COUNTIF(K1408:M1425,$B1440)+COUNTIF(K1408:M1425,$B1440&amp;" ~*")&gt;0)+(COUNTIF(O1408:Q1425,$B1440)+COUNTIF(O1408:Q1425,$B1440&amp;" ~*")&gt;0)+(COUNTIF(S1408:U1425,$B1440)+COUNTIF(S1408:U1425,$B1440&amp;" ~*")&gt;0)+(COUNTIF(W1408:W1425,$B1440)+COUNTIF(W1408:W1425,$B1440&amp;" ~*")&gt;0)+(COUNTIF(Y1408:Y1425,$B1440)+COUNTIF(Y1408:Y1425,$B1440&amp;" ~*")&gt;0))</f>
        <v/>
      </c>
      <c r="AC1440" s="38">
        <f>IF($B1440="","",(IFERROR(INDEX(Setup!$G$33:$G$40,MATCH(C1440,Setup!$B$33:$B$40,0)),0)=1)*(COUNTIF(C1408:E1425,$B1440)+COUNTIF(C1408:E1425,$B1440&amp;" ~*")&gt;0)+(IFERROR(INDEX(Setup!$G$33:$G$40,MATCH(G1440,Setup!$B$33:$B$40,0)),0)=1)*(COUNTIF(G1408:I1425,$B1440)+COUNTIF(G1408:I1425,$B1440&amp;" ~*")&gt;0)+(IFERROR(INDEX(Setup!$G$33:$G$40,MATCH(K1440,Setup!$B$33:$B$40,0)),0)=1)*(COUNTIF(K1408:M1425,$B1440)+COUNTIF(K1408:M1425,$B1440&amp;" ~*")&gt;0)+(IFERROR(INDEX(Setup!$G$33:$G$40,MATCH(O1440,Setup!$B$33:$B$40,0)),0)=1)*(COUNTIF(O1408:Q1425,$B1440)+COUNTIF(O1408:Q1425,$B1440&amp;" ~*")&gt;0)+(IFERROR(INDEX(Setup!$G$33:$G$40,MATCH(S1440,Setup!$B$33:$B$40,0)),0)=1)*(COUNTIF(S1408:U1425,$B1440)+COUNTIF(S1408:U1425,$B1440&amp;" ~*")&gt;0)+(IFERROR(INDEX(Setup!$G$33:$G$40,MATCH(W1440,Setup!$B$33:$B$40,0)),0)=1)*(COUNTIF(W1408:W1425,$B1440)+COUNTIF(W1408:W1425,$B1440&amp;" ~*")&gt;0)+(IFERROR(INDEX(Setup!$G$33:$G$40,MATCH(Y1440,Setup!$B$33:$B$40,0)),0)=1)*(COUNTIF(Y1408:Y1425,$B1440)+COUNTIF(Y1408:Y1425,$B1440&amp;" ~*")&gt;0))</f>
        <v/>
      </c>
    </row>
    <row r="1441" ht="15" customHeight="1">
      <c r="A1441" t="n">
        <v>29</v>
      </c>
      <c r="B1441" s="35">
        <f>IF(Setup!$B$20="","",Setup!$B$20)</f>
        <v/>
      </c>
      <c r="C1441" s="98" t="n"/>
      <c r="D1441" s="99" t="n"/>
      <c r="E1441" s="99" t="n"/>
      <c r="F1441" s="100" t="n"/>
      <c r="G1441" s="98" t="n"/>
      <c r="H1441" s="99" t="n"/>
      <c r="I1441" s="99" t="n"/>
      <c r="J1441" s="100" t="n"/>
      <c r="K1441" s="98" t="n"/>
      <c r="L1441" s="99" t="n"/>
      <c r="M1441" s="99" t="n"/>
      <c r="N1441" s="100" t="n"/>
      <c r="O1441" s="98" t="n"/>
      <c r="P1441" s="99" t="n"/>
      <c r="Q1441" s="99" t="n"/>
      <c r="R1441" s="100" t="n"/>
      <c r="S1441" s="98" t="n"/>
      <c r="T1441" s="99" t="n"/>
      <c r="U1441" s="99" t="n"/>
      <c r="V1441" s="100" t="n"/>
      <c r="W1441" s="98" t="n"/>
      <c r="X1441" s="100" t="n"/>
      <c r="Y1441" s="98" t="n"/>
      <c r="Z1441" s="100" t="n"/>
      <c r="AB1441" s="101">
        <f>IF($B1441="","",(COUNTIF(C1408:E1425,$B1441)+COUNTIF(C1408:E1425,$B1441&amp;" ~*")&gt;0)+(COUNTIF(G1408:I1425,$B1441)+COUNTIF(G1408:I1425,$B1441&amp;" ~*")&gt;0)+(COUNTIF(K1408:M1425,$B1441)+COUNTIF(K1408:M1425,$B1441&amp;" ~*")&gt;0)+(COUNTIF(O1408:Q1425,$B1441)+COUNTIF(O1408:Q1425,$B1441&amp;" ~*")&gt;0)+(COUNTIF(S1408:U1425,$B1441)+COUNTIF(S1408:U1425,$B1441&amp;" ~*")&gt;0)+(COUNTIF(W1408:W1425,$B1441)+COUNTIF(W1408:W1425,$B1441&amp;" ~*")&gt;0)+(COUNTIF(Y1408:Y1425,$B1441)+COUNTIF(Y1408:Y1425,$B1441&amp;" ~*")&gt;0))</f>
        <v/>
      </c>
      <c r="AC1441" s="36">
        <f>IF($B1441="","",(IFERROR(INDEX(Setup!$G$33:$G$40,MATCH(C1441,Setup!$B$33:$B$40,0)),0)=1)*(COUNTIF(C1408:E1425,$B1441)+COUNTIF(C1408:E1425,$B1441&amp;" ~*")&gt;0)+(IFERROR(INDEX(Setup!$G$33:$G$40,MATCH(G1441,Setup!$B$33:$B$40,0)),0)=1)*(COUNTIF(G1408:I1425,$B1441)+COUNTIF(G1408:I1425,$B1441&amp;" ~*")&gt;0)+(IFERROR(INDEX(Setup!$G$33:$G$40,MATCH(K1441,Setup!$B$33:$B$40,0)),0)=1)*(COUNTIF(K1408:M1425,$B1441)+COUNTIF(K1408:M1425,$B1441&amp;" ~*")&gt;0)+(IFERROR(INDEX(Setup!$G$33:$G$40,MATCH(O1441,Setup!$B$33:$B$40,0)),0)=1)*(COUNTIF(O1408:Q1425,$B1441)+COUNTIF(O1408:Q1425,$B1441&amp;" ~*")&gt;0)+(IFERROR(INDEX(Setup!$G$33:$G$40,MATCH(S1441,Setup!$B$33:$B$40,0)),0)=1)*(COUNTIF(S1408:U1425,$B1441)+COUNTIF(S1408:U1425,$B1441&amp;" ~*")&gt;0)+(IFERROR(INDEX(Setup!$G$33:$G$40,MATCH(W1441,Setup!$B$33:$B$40,0)),0)=1)*(COUNTIF(W1408:W1425,$B1441)+COUNTIF(W1408:W1425,$B1441&amp;" ~*")&gt;0)+(IFERROR(INDEX(Setup!$G$33:$G$40,MATCH(Y1441,Setup!$B$33:$B$40,0)),0)=1)*(COUNTIF(Y1408:Y1425,$B1441)+COUNTIF(Y1408:Y1425,$B1441&amp;" ~*")&gt;0))</f>
        <v/>
      </c>
    </row>
    <row r="1442" ht="15" customHeight="1">
      <c r="A1442" t="n">
        <v>29</v>
      </c>
      <c r="B1442" s="37">
        <f>IF(Setup!$B$21="","",Setup!$B$21)</f>
        <v/>
      </c>
      <c r="C1442" s="102" t="n"/>
      <c r="D1442" s="103" t="n"/>
      <c r="E1442" s="103" t="n"/>
      <c r="F1442" s="104" t="n"/>
      <c r="G1442" s="102" t="n"/>
      <c r="H1442" s="103" t="n"/>
      <c r="I1442" s="103" t="n"/>
      <c r="J1442" s="104" t="n"/>
      <c r="K1442" s="102" t="n"/>
      <c r="L1442" s="103" t="n"/>
      <c r="M1442" s="103" t="n"/>
      <c r="N1442" s="104" t="n"/>
      <c r="O1442" s="102" t="n"/>
      <c r="P1442" s="103" t="n"/>
      <c r="Q1442" s="103" t="n"/>
      <c r="R1442" s="104" t="n"/>
      <c r="S1442" s="102" t="n"/>
      <c r="T1442" s="103" t="n"/>
      <c r="U1442" s="103" t="n"/>
      <c r="V1442" s="104" t="n"/>
      <c r="W1442" s="102" t="n"/>
      <c r="X1442" s="104" t="n"/>
      <c r="Y1442" s="102" t="n"/>
      <c r="Z1442" s="104" t="n"/>
      <c r="AB1442" s="105">
        <f>IF($B1442="","",(COUNTIF(C1408:E1425,$B1442)+COUNTIF(C1408:E1425,$B1442&amp;" ~*")&gt;0)+(COUNTIF(G1408:I1425,$B1442)+COUNTIF(G1408:I1425,$B1442&amp;" ~*")&gt;0)+(COUNTIF(K1408:M1425,$B1442)+COUNTIF(K1408:M1425,$B1442&amp;" ~*")&gt;0)+(COUNTIF(O1408:Q1425,$B1442)+COUNTIF(O1408:Q1425,$B1442&amp;" ~*")&gt;0)+(COUNTIF(S1408:U1425,$B1442)+COUNTIF(S1408:U1425,$B1442&amp;" ~*")&gt;0)+(COUNTIF(W1408:W1425,$B1442)+COUNTIF(W1408:W1425,$B1442&amp;" ~*")&gt;0)+(COUNTIF(Y1408:Y1425,$B1442)+COUNTIF(Y1408:Y1425,$B1442&amp;" ~*")&gt;0))</f>
        <v/>
      </c>
      <c r="AC1442" s="38">
        <f>IF($B1442="","",(IFERROR(INDEX(Setup!$G$33:$G$40,MATCH(C1442,Setup!$B$33:$B$40,0)),0)=1)*(COUNTIF(C1408:E1425,$B1442)+COUNTIF(C1408:E1425,$B1442&amp;" ~*")&gt;0)+(IFERROR(INDEX(Setup!$G$33:$G$40,MATCH(G1442,Setup!$B$33:$B$40,0)),0)=1)*(COUNTIF(G1408:I1425,$B1442)+COUNTIF(G1408:I1425,$B1442&amp;" ~*")&gt;0)+(IFERROR(INDEX(Setup!$G$33:$G$40,MATCH(K1442,Setup!$B$33:$B$40,0)),0)=1)*(COUNTIF(K1408:M1425,$B1442)+COUNTIF(K1408:M1425,$B1442&amp;" ~*")&gt;0)+(IFERROR(INDEX(Setup!$G$33:$G$40,MATCH(O1442,Setup!$B$33:$B$40,0)),0)=1)*(COUNTIF(O1408:Q1425,$B1442)+COUNTIF(O1408:Q1425,$B1442&amp;" ~*")&gt;0)+(IFERROR(INDEX(Setup!$G$33:$G$40,MATCH(S1442,Setup!$B$33:$B$40,0)),0)=1)*(COUNTIF(S1408:U1425,$B1442)+COUNTIF(S1408:U1425,$B1442&amp;" ~*")&gt;0)+(IFERROR(INDEX(Setup!$G$33:$G$40,MATCH(W1442,Setup!$B$33:$B$40,0)),0)=1)*(COUNTIF(W1408:W1425,$B1442)+COUNTIF(W1408:W1425,$B1442&amp;" ~*")&gt;0)+(IFERROR(INDEX(Setup!$G$33:$G$40,MATCH(Y1442,Setup!$B$33:$B$40,0)),0)=1)*(COUNTIF(Y1408:Y1425,$B1442)+COUNTIF(Y1408:Y1425,$B1442&amp;" ~*")&gt;0))</f>
        <v/>
      </c>
    </row>
    <row r="1443" ht="15" customHeight="1">
      <c r="A1443" t="n">
        <v>29</v>
      </c>
      <c r="B1443" s="35">
        <f>IF(Setup!$B$22="","",Setup!$B$22)</f>
        <v/>
      </c>
      <c r="C1443" s="98" t="n"/>
      <c r="D1443" s="99" t="n"/>
      <c r="E1443" s="99" t="n"/>
      <c r="F1443" s="100" t="n"/>
      <c r="G1443" s="98" t="n"/>
      <c r="H1443" s="99" t="n"/>
      <c r="I1443" s="99" t="n"/>
      <c r="J1443" s="100" t="n"/>
      <c r="K1443" s="98" t="n"/>
      <c r="L1443" s="99" t="n"/>
      <c r="M1443" s="99" t="n"/>
      <c r="N1443" s="100" t="n"/>
      <c r="O1443" s="98" t="n"/>
      <c r="P1443" s="99" t="n"/>
      <c r="Q1443" s="99" t="n"/>
      <c r="R1443" s="100" t="n"/>
      <c r="S1443" s="98" t="n"/>
      <c r="T1443" s="99" t="n"/>
      <c r="U1443" s="99" t="n"/>
      <c r="V1443" s="100" t="n"/>
      <c r="W1443" s="98" t="n"/>
      <c r="X1443" s="100" t="n"/>
      <c r="Y1443" s="98" t="n"/>
      <c r="Z1443" s="100" t="n"/>
      <c r="AB1443" s="101">
        <f>IF($B1443="","",(COUNTIF(C1408:E1425,$B1443)+COUNTIF(C1408:E1425,$B1443&amp;" ~*")&gt;0)+(COUNTIF(G1408:I1425,$B1443)+COUNTIF(G1408:I1425,$B1443&amp;" ~*")&gt;0)+(COUNTIF(K1408:M1425,$B1443)+COUNTIF(K1408:M1425,$B1443&amp;" ~*")&gt;0)+(COUNTIF(O1408:Q1425,$B1443)+COUNTIF(O1408:Q1425,$B1443&amp;" ~*")&gt;0)+(COUNTIF(S1408:U1425,$B1443)+COUNTIF(S1408:U1425,$B1443&amp;" ~*")&gt;0)+(COUNTIF(W1408:W1425,$B1443)+COUNTIF(W1408:W1425,$B1443&amp;" ~*")&gt;0)+(COUNTIF(Y1408:Y1425,$B1443)+COUNTIF(Y1408:Y1425,$B1443&amp;" ~*")&gt;0))</f>
        <v/>
      </c>
      <c r="AC1443" s="36">
        <f>IF($B1443="","",(IFERROR(INDEX(Setup!$G$33:$G$40,MATCH(C1443,Setup!$B$33:$B$40,0)),0)=1)*(COUNTIF(C1408:E1425,$B1443)+COUNTIF(C1408:E1425,$B1443&amp;" ~*")&gt;0)+(IFERROR(INDEX(Setup!$G$33:$G$40,MATCH(G1443,Setup!$B$33:$B$40,0)),0)=1)*(COUNTIF(G1408:I1425,$B1443)+COUNTIF(G1408:I1425,$B1443&amp;" ~*")&gt;0)+(IFERROR(INDEX(Setup!$G$33:$G$40,MATCH(K1443,Setup!$B$33:$B$40,0)),0)=1)*(COUNTIF(K1408:M1425,$B1443)+COUNTIF(K1408:M1425,$B1443&amp;" ~*")&gt;0)+(IFERROR(INDEX(Setup!$G$33:$G$40,MATCH(O1443,Setup!$B$33:$B$40,0)),0)=1)*(COUNTIF(O1408:Q1425,$B1443)+COUNTIF(O1408:Q1425,$B1443&amp;" ~*")&gt;0)+(IFERROR(INDEX(Setup!$G$33:$G$40,MATCH(S1443,Setup!$B$33:$B$40,0)),0)=1)*(COUNTIF(S1408:U1425,$B1443)+COUNTIF(S1408:U1425,$B1443&amp;" ~*")&gt;0)+(IFERROR(INDEX(Setup!$G$33:$G$40,MATCH(W1443,Setup!$B$33:$B$40,0)),0)=1)*(COUNTIF(W1408:W1425,$B1443)+COUNTIF(W1408:W1425,$B1443&amp;" ~*")&gt;0)+(IFERROR(INDEX(Setup!$G$33:$G$40,MATCH(Y1443,Setup!$B$33:$B$40,0)),0)=1)*(COUNTIF(Y1408:Y1425,$B1443)+COUNTIF(Y1408:Y1425,$B1443&amp;" ~*")&gt;0))</f>
        <v/>
      </c>
    </row>
    <row r="1444" ht="15" customHeight="1">
      <c r="A1444" t="n">
        <v>29</v>
      </c>
      <c r="B1444" s="37">
        <f>IF(Setup!$B$23="","",Setup!$B$23)</f>
        <v/>
      </c>
      <c r="C1444" s="102" t="n"/>
      <c r="D1444" s="103" t="n"/>
      <c r="E1444" s="103" t="n"/>
      <c r="F1444" s="104" t="n"/>
      <c r="G1444" s="102" t="n"/>
      <c r="H1444" s="103" t="n"/>
      <c r="I1444" s="103" t="n"/>
      <c r="J1444" s="104" t="n"/>
      <c r="K1444" s="102" t="n"/>
      <c r="L1444" s="103" t="n"/>
      <c r="M1444" s="103" t="n"/>
      <c r="N1444" s="104" t="n"/>
      <c r="O1444" s="102" t="n"/>
      <c r="P1444" s="103" t="n"/>
      <c r="Q1444" s="103" t="n"/>
      <c r="R1444" s="104" t="n"/>
      <c r="S1444" s="102" t="n"/>
      <c r="T1444" s="103" t="n"/>
      <c r="U1444" s="103" t="n"/>
      <c r="V1444" s="104" t="n"/>
      <c r="W1444" s="102" t="n"/>
      <c r="X1444" s="104" t="n"/>
      <c r="Y1444" s="102" t="n"/>
      <c r="Z1444" s="104" t="n"/>
      <c r="AB1444" s="105">
        <f>IF($B1444="","",(COUNTIF(C1408:E1425,$B1444)+COUNTIF(C1408:E1425,$B1444&amp;" ~*")&gt;0)+(COUNTIF(G1408:I1425,$B1444)+COUNTIF(G1408:I1425,$B1444&amp;" ~*")&gt;0)+(COUNTIF(K1408:M1425,$B1444)+COUNTIF(K1408:M1425,$B1444&amp;" ~*")&gt;0)+(COUNTIF(O1408:Q1425,$B1444)+COUNTIF(O1408:Q1425,$B1444&amp;" ~*")&gt;0)+(COUNTIF(S1408:U1425,$B1444)+COUNTIF(S1408:U1425,$B1444&amp;" ~*")&gt;0)+(COUNTIF(W1408:W1425,$B1444)+COUNTIF(W1408:W1425,$B1444&amp;" ~*")&gt;0)+(COUNTIF(Y1408:Y1425,$B1444)+COUNTIF(Y1408:Y1425,$B1444&amp;" ~*")&gt;0))</f>
        <v/>
      </c>
      <c r="AC1444" s="38">
        <f>IF($B1444="","",(IFERROR(INDEX(Setup!$G$33:$G$40,MATCH(C1444,Setup!$B$33:$B$40,0)),0)=1)*(COUNTIF(C1408:E1425,$B1444)+COUNTIF(C1408:E1425,$B1444&amp;" ~*")&gt;0)+(IFERROR(INDEX(Setup!$G$33:$G$40,MATCH(G1444,Setup!$B$33:$B$40,0)),0)=1)*(COUNTIF(G1408:I1425,$B1444)+COUNTIF(G1408:I1425,$B1444&amp;" ~*")&gt;0)+(IFERROR(INDEX(Setup!$G$33:$G$40,MATCH(K1444,Setup!$B$33:$B$40,0)),0)=1)*(COUNTIF(K1408:M1425,$B1444)+COUNTIF(K1408:M1425,$B1444&amp;" ~*")&gt;0)+(IFERROR(INDEX(Setup!$G$33:$G$40,MATCH(O1444,Setup!$B$33:$B$40,0)),0)=1)*(COUNTIF(O1408:Q1425,$B1444)+COUNTIF(O1408:Q1425,$B1444&amp;" ~*")&gt;0)+(IFERROR(INDEX(Setup!$G$33:$G$40,MATCH(S1444,Setup!$B$33:$B$40,0)),0)=1)*(COUNTIF(S1408:U1425,$B1444)+COUNTIF(S1408:U1425,$B1444&amp;" ~*")&gt;0)+(IFERROR(INDEX(Setup!$G$33:$G$40,MATCH(W1444,Setup!$B$33:$B$40,0)),0)=1)*(COUNTIF(W1408:W1425,$B1444)+COUNTIF(W1408:W1425,$B1444&amp;" ~*")&gt;0)+(IFERROR(INDEX(Setup!$G$33:$G$40,MATCH(Y1444,Setup!$B$33:$B$40,0)),0)=1)*(COUNTIF(Y1408:Y1425,$B1444)+COUNTIF(Y1408:Y1425,$B1444&amp;" ~*")&gt;0))</f>
        <v/>
      </c>
    </row>
    <row r="1445" ht="15" customHeight="1">
      <c r="A1445" t="n">
        <v>29</v>
      </c>
      <c r="B1445" s="35">
        <f>IF(Setup!$B$24="","",Setup!$B$24)</f>
        <v/>
      </c>
      <c r="C1445" s="98" t="n"/>
      <c r="D1445" s="99" t="n"/>
      <c r="E1445" s="99" t="n"/>
      <c r="F1445" s="100" t="n"/>
      <c r="G1445" s="98" t="n"/>
      <c r="H1445" s="99" t="n"/>
      <c r="I1445" s="99" t="n"/>
      <c r="J1445" s="100" t="n"/>
      <c r="K1445" s="98" t="n"/>
      <c r="L1445" s="99" t="n"/>
      <c r="M1445" s="99" t="n"/>
      <c r="N1445" s="100" t="n"/>
      <c r="O1445" s="98" t="n"/>
      <c r="P1445" s="99" t="n"/>
      <c r="Q1445" s="99" t="n"/>
      <c r="R1445" s="100" t="n"/>
      <c r="S1445" s="98" t="n"/>
      <c r="T1445" s="99" t="n"/>
      <c r="U1445" s="99" t="n"/>
      <c r="V1445" s="100" t="n"/>
      <c r="W1445" s="98" t="n"/>
      <c r="X1445" s="100" t="n"/>
      <c r="Y1445" s="98" t="n"/>
      <c r="Z1445" s="100" t="n"/>
      <c r="AB1445" s="101">
        <f>IF($B1445="","",(COUNTIF(C1408:E1425,$B1445)+COUNTIF(C1408:E1425,$B1445&amp;" ~*")&gt;0)+(COUNTIF(G1408:I1425,$B1445)+COUNTIF(G1408:I1425,$B1445&amp;" ~*")&gt;0)+(COUNTIF(K1408:M1425,$B1445)+COUNTIF(K1408:M1425,$B1445&amp;" ~*")&gt;0)+(COUNTIF(O1408:Q1425,$B1445)+COUNTIF(O1408:Q1425,$B1445&amp;" ~*")&gt;0)+(COUNTIF(S1408:U1425,$B1445)+COUNTIF(S1408:U1425,$B1445&amp;" ~*")&gt;0)+(COUNTIF(W1408:W1425,$B1445)+COUNTIF(W1408:W1425,$B1445&amp;" ~*")&gt;0)+(COUNTIF(Y1408:Y1425,$B1445)+COUNTIF(Y1408:Y1425,$B1445&amp;" ~*")&gt;0))</f>
        <v/>
      </c>
      <c r="AC1445" s="36">
        <f>IF($B1445="","",(IFERROR(INDEX(Setup!$G$33:$G$40,MATCH(C1445,Setup!$B$33:$B$40,0)),0)=1)*(COUNTIF(C1408:E1425,$B1445)+COUNTIF(C1408:E1425,$B1445&amp;" ~*")&gt;0)+(IFERROR(INDEX(Setup!$G$33:$G$40,MATCH(G1445,Setup!$B$33:$B$40,0)),0)=1)*(COUNTIF(G1408:I1425,$B1445)+COUNTIF(G1408:I1425,$B1445&amp;" ~*")&gt;0)+(IFERROR(INDEX(Setup!$G$33:$G$40,MATCH(K1445,Setup!$B$33:$B$40,0)),0)=1)*(COUNTIF(K1408:M1425,$B1445)+COUNTIF(K1408:M1425,$B1445&amp;" ~*")&gt;0)+(IFERROR(INDEX(Setup!$G$33:$G$40,MATCH(O1445,Setup!$B$33:$B$40,0)),0)=1)*(COUNTIF(O1408:Q1425,$B1445)+COUNTIF(O1408:Q1425,$B1445&amp;" ~*")&gt;0)+(IFERROR(INDEX(Setup!$G$33:$G$40,MATCH(S1445,Setup!$B$33:$B$40,0)),0)=1)*(COUNTIF(S1408:U1425,$B1445)+COUNTIF(S1408:U1425,$B1445&amp;" ~*")&gt;0)+(IFERROR(INDEX(Setup!$G$33:$G$40,MATCH(W1445,Setup!$B$33:$B$40,0)),0)=1)*(COUNTIF(W1408:W1425,$B1445)+COUNTIF(W1408:W1425,$B1445&amp;" ~*")&gt;0)+(IFERROR(INDEX(Setup!$G$33:$G$40,MATCH(Y1445,Setup!$B$33:$B$40,0)),0)=1)*(COUNTIF(Y1408:Y1425,$B1445)+COUNTIF(Y1408:Y1425,$B1445&amp;" ~*")&gt;0))</f>
        <v/>
      </c>
    </row>
    <row r="1446" ht="15" customHeight="1">
      <c r="A1446" t="n">
        <v>29</v>
      </c>
      <c r="B1446" s="37">
        <f>IF(Setup!$B$25="","",Setup!$B$25)</f>
        <v/>
      </c>
      <c r="C1446" s="102" t="n"/>
      <c r="D1446" s="103" t="n"/>
      <c r="E1446" s="103" t="n"/>
      <c r="F1446" s="104" t="n"/>
      <c r="G1446" s="102" t="n"/>
      <c r="H1446" s="103" t="n"/>
      <c r="I1446" s="103" t="n"/>
      <c r="J1446" s="104" t="n"/>
      <c r="K1446" s="102" t="n"/>
      <c r="L1446" s="103" t="n"/>
      <c r="M1446" s="103" t="n"/>
      <c r="N1446" s="104" t="n"/>
      <c r="O1446" s="102" t="n"/>
      <c r="P1446" s="103" t="n"/>
      <c r="Q1446" s="103" t="n"/>
      <c r="R1446" s="104" t="n"/>
      <c r="S1446" s="102" t="n"/>
      <c r="T1446" s="103" t="n"/>
      <c r="U1446" s="103" t="n"/>
      <c r="V1446" s="104" t="n"/>
      <c r="W1446" s="102" t="n"/>
      <c r="X1446" s="104" t="n"/>
      <c r="Y1446" s="102" t="n"/>
      <c r="Z1446" s="104" t="n"/>
      <c r="AB1446" s="105">
        <f>IF($B1446="","",(COUNTIF(C1408:E1425,$B1446)+COUNTIF(C1408:E1425,$B1446&amp;" ~*")&gt;0)+(COUNTIF(G1408:I1425,$B1446)+COUNTIF(G1408:I1425,$B1446&amp;" ~*")&gt;0)+(COUNTIF(K1408:M1425,$B1446)+COUNTIF(K1408:M1425,$B1446&amp;" ~*")&gt;0)+(COUNTIF(O1408:Q1425,$B1446)+COUNTIF(O1408:Q1425,$B1446&amp;" ~*")&gt;0)+(COUNTIF(S1408:U1425,$B1446)+COUNTIF(S1408:U1425,$B1446&amp;" ~*")&gt;0)+(COUNTIF(W1408:W1425,$B1446)+COUNTIF(W1408:W1425,$B1446&amp;" ~*")&gt;0)+(COUNTIF(Y1408:Y1425,$B1446)+COUNTIF(Y1408:Y1425,$B1446&amp;" ~*")&gt;0))</f>
        <v/>
      </c>
      <c r="AC1446" s="38">
        <f>IF($B1446="","",(IFERROR(INDEX(Setup!$G$33:$G$40,MATCH(C1446,Setup!$B$33:$B$40,0)),0)=1)*(COUNTIF(C1408:E1425,$B1446)+COUNTIF(C1408:E1425,$B1446&amp;" ~*")&gt;0)+(IFERROR(INDEX(Setup!$G$33:$G$40,MATCH(G1446,Setup!$B$33:$B$40,0)),0)=1)*(COUNTIF(G1408:I1425,$B1446)+COUNTIF(G1408:I1425,$B1446&amp;" ~*")&gt;0)+(IFERROR(INDEX(Setup!$G$33:$G$40,MATCH(K1446,Setup!$B$33:$B$40,0)),0)=1)*(COUNTIF(K1408:M1425,$B1446)+COUNTIF(K1408:M1425,$B1446&amp;" ~*")&gt;0)+(IFERROR(INDEX(Setup!$G$33:$G$40,MATCH(O1446,Setup!$B$33:$B$40,0)),0)=1)*(COUNTIF(O1408:Q1425,$B1446)+COUNTIF(O1408:Q1425,$B1446&amp;" ~*")&gt;0)+(IFERROR(INDEX(Setup!$G$33:$G$40,MATCH(S1446,Setup!$B$33:$B$40,0)),0)=1)*(COUNTIF(S1408:U1425,$B1446)+COUNTIF(S1408:U1425,$B1446&amp;" ~*")&gt;0)+(IFERROR(INDEX(Setup!$G$33:$G$40,MATCH(W1446,Setup!$B$33:$B$40,0)),0)=1)*(COUNTIF(W1408:W1425,$B1446)+COUNTIF(W1408:W1425,$B1446&amp;" ~*")&gt;0)+(IFERROR(INDEX(Setup!$G$33:$G$40,MATCH(Y1446,Setup!$B$33:$B$40,0)),0)=1)*(COUNTIF(Y1408:Y1425,$B1446)+COUNTIF(Y1408:Y1425,$B1446&amp;" ~*")&gt;0))</f>
        <v/>
      </c>
    </row>
    <row r="1447" ht="15" customHeight="1">
      <c r="A1447" t="n">
        <v>29</v>
      </c>
      <c r="B1447" s="35">
        <f>IF(Setup!$B$26="","",Setup!$B$26)</f>
        <v/>
      </c>
      <c r="C1447" s="98" t="n"/>
      <c r="D1447" s="99" t="n"/>
      <c r="E1447" s="99" t="n"/>
      <c r="F1447" s="100" t="n"/>
      <c r="G1447" s="98" t="n"/>
      <c r="H1447" s="99" t="n"/>
      <c r="I1447" s="99" t="n"/>
      <c r="J1447" s="100" t="n"/>
      <c r="K1447" s="98" t="n"/>
      <c r="L1447" s="99" t="n"/>
      <c r="M1447" s="99" t="n"/>
      <c r="N1447" s="100" t="n"/>
      <c r="O1447" s="98" t="n"/>
      <c r="P1447" s="99" t="n"/>
      <c r="Q1447" s="99" t="n"/>
      <c r="R1447" s="100" t="n"/>
      <c r="S1447" s="98" t="n"/>
      <c r="T1447" s="99" t="n"/>
      <c r="U1447" s="99" t="n"/>
      <c r="V1447" s="100" t="n"/>
      <c r="W1447" s="98" t="n"/>
      <c r="X1447" s="100" t="n"/>
      <c r="Y1447" s="98" t="n"/>
      <c r="Z1447" s="100" t="n"/>
      <c r="AB1447" s="101">
        <f>IF($B1447="","",(COUNTIF(C1408:E1425,$B1447)+COUNTIF(C1408:E1425,$B1447&amp;" ~*")&gt;0)+(COUNTIF(G1408:I1425,$B1447)+COUNTIF(G1408:I1425,$B1447&amp;" ~*")&gt;0)+(COUNTIF(K1408:M1425,$B1447)+COUNTIF(K1408:M1425,$B1447&amp;" ~*")&gt;0)+(COUNTIF(O1408:Q1425,$B1447)+COUNTIF(O1408:Q1425,$B1447&amp;" ~*")&gt;0)+(COUNTIF(S1408:U1425,$B1447)+COUNTIF(S1408:U1425,$B1447&amp;" ~*")&gt;0)+(COUNTIF(W1408:W1425,$B1447)+COUNTIF(W1408:W1425,$B1447&amp;" ~*")&gt;0)+(COUNTIF(Y1408:Y1425,$B1447)+COUNTIF(Y1408:Y1425,$B1447&amp;" ~*")&gt;0))</f>
        <v/>
      </c>
      <c r="AC1447" s="36">
        <f>IF($B1447="","",(IFERROR(INDEX(Setup!$G$33:$G$40,MATCH(C1447,Setup!$B$33:$B$40,0)),0)=1)*(COUNTIF(C1408:E1425,$B1447)+COUNTIF(C1408:E1425,$B1447&amp;" ~*")&gt;0)+(IFERROR(INDEX(Setup!$G$33:$G$40,MATCH(G1447,Setup!$B$33:$B$40,0)),0)=1)*(COUNTIF(G1408:I1425,$B1447)+COUNTIF(G1408:I1425,$B1447&amp;" ~*")&gt;0)+(IFERROR(INDEX(Setup!$G$33:$G$40,MATCH(K1447,Setup!$B$33:$B$40,0)),0)=1)*(COUNTIF(K1408:M1425,$B1447)+COUNTIF(K1408:M1425,$B1447&amp;" ~*")&gt;0)+(IFERROR(INDEX(Setup!$G$33:$G$40,MATCH(O1447,Setup!$B$33:$B$40,0)),0)=1)*(COUNTIF(O1408:Q1425,$B1447)+COUNTIF(O1408:Q1425,$B1447&amp;" ~*")&gt;0)+(IFERROR(INDEX(Setup!$G$33:$G$40,MATCH(S1447,Setup!$B$33:$B$40,0)),0)=1)*(COUNTIF(S1408:U1425,$B1447)+COUNTIF(S1408:U1425,$B1447&amp;" ~*")&gt;0)+(IFERROR(INDEX(Setup!$G$33:$G$40,MATCH(W1447,Setup!$B$33:$B$40,0)),0)=1)*(COUNTIF(W1408:W1425,$B1447)+COUNTIF(W1408:W1425,$B1447&amp;" ~*")&gt;0)+(IFERROR(INDEX(Setup!$G$33:$G$40,MATCH(Y1447,Setup!$B$33:$B$40,0)),0)=1)*(COUNTIF(Y1408:Y1425,$B1447)+COUNTIF(Y1408:Y1425,$B1447&amp;" ~*")&gt;0))</f>
        <v/>
      </c>
    </row>
    <row r="1448" ht="15" customHeight="1">
      <c r="A1448" t="n">
        <v>29</v>
      </c>
      <c r="B1448" s="37">
        <f>IF(Setup!$B$27="","",Setup!$B$27)</f>
        <v/>
      </c>
      <c r="C1448" s="102" t="n"/>
      <c r="D1448" s="103" t="n"/>
      <c r="E1448" s="103" t="n"/>
      <c r="F1448" s="104" t="n"/>
      <c r="G1448" s="102" t="n"/>
      <c r="H1448" s="103" t="n"/>
      <c r="I1448" s="103" t="n"/>
      <c r="J1448" s="104" t="n"/>
      <c r="K1448" s="102" t="n"/>
      <c r="L1448" s="103" t="n"/>
      <c r="M1448" s="103" t="n"/>
      <c r="N1448" s="104" t="n"/>
      <c r="O1448" s="102" t="n"/>
      <c r="P1448" s="103" t="n"/>
      <c r="Q1448" s="103" t="n"/>
      <c r="R1448" s="104" t="n"/>
      <c r="S1448" s="102" t="n"/>
      <c r="T1448" s="103" t="n"/>
      <c r="U1448" s="103" t="n"/>
      <c r="V1448" s="104" t="n"/>
      <c r="W1448" s="102" t="n"/>
      <c r="X1448" s="104" t="n"/>
      <c r="Y1448" s="102" t="n"/>
      <c r="Z1448" s="104" t="n"/>
      <c r="AB1448" s="105">
        <f>IF($B1448="","",(COUNTIF(C1408:E1425,$B1448)+COUNTIF(C1408:E1425,$B1448&amp;" ~*")&gt;0)+(COUNTIF(G1408:I1425,$B1448)+COUNTIF(G1408:I1425,$B1448&amp;" ~*")&gt;0)+(COUNTIF(K1408:M1425,$B1448)+COUNTIF(K1408:M1425,$B1448&amp;" ~*")&gt;0)+(COUNTIF(O1408:Q1425,$B1448)+COUNTIF(O1408:Q1425,$B1448&amp;" ~*")&gt;0)+(COUNTIF(S1408:U1425,$B1448)+COUNTIF(S1408:U1425,$B1448&amp;" ~*")&gt;0)+(COUNTIF(W1408:W1425,$B1448)+COUNTIF(W1408:W1425,$B1448&amp;" ~*")&gt;0)+(COUNTIF(Y1408:Y1425,$B1448)+COUNTIF(Y1408:Y1425,$B1448&amp;" ~*")&gt;0))</f>
        <v/>
      </c>
      <c r="AC1448" s="38">
        <f>IF($B1448="","",(IFERROR(INDEX(Setup!$G$33:$G$40,MATCH(C1448,Setup!$B$33:$B$40,0)),0)=1)*(COUNTIF(C1408:E1425,$B1448)+COUNTIF(C1408:E1425,$B1448&amp;" ~*")&gt;0)+(IFERROR(INDEX(Setup!$G$33:$G$40,MATCH(G1448,Setup!$B$33:$B$40,0)),0)=1)*(COUNTIF(G1408:I1425,$B1448)+COUNTIF(G1408:I1425,$B1448&amp;" ~*")&gt;0)+(IFERROR(INDEX(Setup!$G$33:$G$40,MATCH(K1448,Setup!$B$33:$B$40,0)),0)=1)*(COUNTIF(K1408:M1425,$B1448)+COUNTIF(K1408:M1425,$B1448&amp;" ~*")&gt;0)+(IFERROR(INDEX(Setup!$G$33:$G$40,MATCH(O1448,Setup!$B$33:$B$40,0)),0)=1)*(COUNTIF(O1408:Q1425,$B1448)+COUNTIF(O1408:Q1425,$B1448&amp;" ~*")&gt;0)+(IFERROR(INDEX(Setup!$G$33:$G$40,MATCH(S1448,Setup!$B$33:$B$40,0)),0)=1)*(COUNTIF(S1408:U1425,$B1448)+COUNTIF(S1408:U1425,$B1448&amp;" ~*")&gt;0)+(IFERROR(INDEX(Setup!$G$33:$G$40,MATCH(W1448,Setup!$B$33:$B$40,0)),0)=1)*(COUNTIF(W1408:W1425,$B1448)+COUNTIF(W1408:W1425,$B1448&amp;" ~*")&gt;0)+(IFERROR(INDEX(Setup!$G$33:$G$40,MATCH(Y1448,Setup!$B$33:$B$40,0)),0)=1)*(COUNTIF(Y1408:Y1425,$B1448)+COUNTIF(Y1408:Y1425,$B1448&amp;" ~*")&gt;0))</f>
        <v/>
      </c>
    </row>
    <row r="1449" ht="15" customHeight="1">
      <c r="A1449" t="n">
        <v>29</v>
      </c>
      <c r="B1449" s="35">
        <f>IF(Setup!$B$28="","",Setup!$B$28)</f>
        <v/>
      </c>
      <c r="C1449" s="98" t="n"/>
      <c r="D1449" s="99" t="n"/>
      <c r="E1449" s="99" t="n"/>
      <c r="F1449" s="100" t="n"/>
      <c r="G1449" s="98" t="n"/>
      <c r="H1449" s="99" t="n"/>
      <c r="I1449" s="99" t="n"/>
      <c r="J1449" s="100" t="n"/>
      <c r="K1449" s="98" t="n"/>
      <c r="L1449" s="99" t="n"/>
      <c r="M1449" s="99" t="n"/>
      <c r="N1449" s="100" t="n"/>
      <c r="O1449" s="98" t="n"/>
      <c r="P1449" s="99" t="n"/>
      <c r="Q1449" s="99" t="n"/>
      <c r="R1449" s="100" t="n"/>
      <c r="S1449" s="98" t="n"/>
      <c r="T1449" s="99" t="n"/>
      <c r="U1449" s="99" t="n"/>
      <c r="V1449" s="100" t="n"/>
      <c r="W1449" s="98" t="n"/>
      <c r="X1449" s="100" t="n"/>
      <c r="Y1449" s="98" t="n"/>
      <c r="Z1449" s="100" t="n"/>
      <c r="AB1449" s="101">
        <f>IF($B1449="","",(COUNTIF(C1408:E1425,$B1449)+COUNTIF(C1408:E1425,$B1449&amp;" ~*")&gt;0)+(COUNTIF(G1408:I1425,$B1449)+COUNTIF(G1408:I1425,$B1449&amp;" ~*")&gt;0)+(COUNTIF(K1408:M1425,$B1449)+COUNTIF(K1408:M1425,$B1449&amp;" ~*")&gt;0)+(COUNTIF(O1408:Q1425,$B1449)+COUNTIF(O1408:Q1425,$B1449&amp;" ~*")&gt;0)+(COUNTIF(S1408:U1425,$B1449)+COUNTIF(S1408:U1425,$B1449&amp;" ~*")&gt;0)+(COUNTIF(W1408:W1425,$B1449)+COUNTIF(W1408:W1425,$B1449&amp;" ~*")&gt;0)+(COUNTIF(Y1408:Y1425,$B1449)+COUNTIF(Y1408:Y1425,$B1449&amp;" ~*")&gt;0))</f>
        <v/>
      </c>
      <c r="AC1449" s="36">
        <f>IF($B1449="","",(IFERROR(INDEX(Setup!$G$33:$G$40,MATCH(C1449,Setup!$B$33:$B$40,0)),0)=1)*(COUNTIF(C1408:E1425,$B1449)+COUNTIF(C1408:E1425,$B1449&amp;" ~*")&gt;0)+(IFERROR(INDEX(Setup!$G$33:$G$40,MATCH(G1449,Setup!$B$33:$B$40,0)),0)=1)*(COUNTIF(G1408:I1425,$B1449)+COUNTIF(G1408:I1425,$B1449&amp;" ~*")&gt;0)+(IFERROR(INDEX(Setup!$G$33:$G$40,MATCH(K1449,Setup!$B$33:$B$40,0)),0)=1)*(COUNTIF(K1408:M1425,$B1449)+COUNTIF(K1408:M1425,$B1449&amp;" ~*")&gt;0)+(IFERROR(INDEX(Setup!$G$33:$G$40,MATCH(O1449,Setup!$B$33:$B$40,0)),0)=1)*(COUNTIF(O1408:Q1425,$B1449)+COUNTIF(O1408:Q1425,$B1449&amp;" ~*")&gt;0)+(IFERROR(INDEX(Setup!$G$33:$G$40,MATCH(S1449,Setup!$B$33:$B$40,0)),0)=1)*(COUNTIF(S1408:U1425,$B1449)+COUNTIF(S1408:U1425,$B1449&amp;" ~*")&gt;0)+(IFERROR(INDEX(Setup!$G$33:$G$40,MATCH(W1449,Setup!$B$33:$B$40,0)),0)=1)*(COUNTIF(W1408:W1425,$B1449)+COUNTIF(W1408:W1425,$B1449&amp;" ~*")&gt;0)+(IFERROR(INDEX(Setup!$G$33:$G$40,MATCH(Y1449,Setup!$B$33:$B$40,0)),0)=1)*(COUNTIF(Y1408:Y1425,$B1449)+COUNTIF(Y1408:Y1425,$B1449&amp;" ~*")&gt;0))</f>
        <v/>
      </c>
    </row>
    <row r="1450" ht="15" customHeight="1">
      <c r="A1450" t="n">
        <v>29</v>
      </c>
      <c r="B1450" s="37">
        <f>IF(Setup!$B$29="","",Setup!$B$29)</f>
        <v/>
      </c>
      <c r="C1450" s="102" t="n"/>
      <c r="D1450" s="103" t="n"/>
      <c r="E1450" s="103" t="n"/>
      <c r="F1450" s="104" t="n"/>
      <c r="G1450" s="102" t="n"/>
      <c r="H1450" s="103" t="n"/>
      <c r="I1450" s="103" t="n"/>
      <c r="J1450" s="104" t="n"/>
      <c r="K1450" s="102" t="n"/>
      <c r="L1450" s="103" t="n"/>
      <c r="M1450" s="103" t="n"/>
      <c r="N1450" s="104" t="n"/>
      <c r="O1450" s="102" t="n"/>
      <c r="P1450" s="103" t="n"/>
      <c r="Q1450" s="103" t="n"/>
      <c r="R1450" s="104" t="n"/>
      <c r="S1450" s="102" t="n"/>
      <c r="T1450" s="103" t="n"/>
      <c r="U1450" s="103" t="n"/>
      <c r="V1450" s="104" t="n"/>
      <c r="W1450" s="102" t="n"/>
      <c r="X1450" s="104" t="n"/>
      <c r="Y1450" s="102" t="n"/>
      <c r="Z1450" s="104" t="n"/>
      <c r="AB1450" s="105">
        <f>IF($B1450="","",(COUNTIF(C1408:E1425,$B1450)+COUNTIF(C1408:E1425,$B1450&amp;" ~*")&gt;0)+(COUNTIF(G1408:I1425,$B1450)+COUNTIF(G1408:I1425,$B1450&amp;" ~*")&gt;0)+(COUNTIF(K1408:M1425,$B1450)+COUNTIF(K1408:M1425,$B1450&amp;" ~*")&gt;0)+(COUNTIF(O1408:Q1425,$B1450)+COUNTIF(O1408:Q1425,$B1450&amp;" ~*")&gt;0)+(COUNTIF(S1408:U1425,$B1450)+COUNTIF(S1408:U1425,$B1450&amp;" ~*")&gt;0)+(COUNTIF(W1408:W1425,$B1450)+COUNTIF(W1408:W1425,$B1450&amp;" ~*")&gt;0)+(COUNTIF(Y1408:Y1425,$B1450)+COUNTIF(Y1408:Y1425,$B1450&amp;" ~*")&gt;0))</f>
        <v/>
      </c>
      <c r="AC1450" s="38">
        <f>IF($B1450="","",(IFERROR(INDEX(Setup!$G$33:$G$40,MATCH(C1450,Setup!$B$33:$B$40,0)),0)=1)*(COUNTIF(C1408:E1425,$B1450)+COUNTIF(C1408:E1425,$B1450&amp;" ~*")&gt;0)+(IFERROR(INDEX(Setup!$G$33:$G$40,MATCH(G1450,Setup!$B$33:$B$40,0)),0)=1)*(COUNTIF(G1408:I1425,$B1450)+COUNTIF(G1408:I1425,$B1450&amp;" ~*")&gt;0)+(IFERROR(INDEX(Setup!$G$33:$G$40,MATCH(K1450,Setup!$B$33:$B$40,0)),0)=1)*(COUNTIF(K1408:M1425,$B1450)+COUNTIF(K1408:M1425,$B1450&amp;" ~*")&gt;0)+(IFERROR(INDEX(Setup!$G$33:$G$40,MATCH(O1450,Setup!$B$33:$B$40,0)),0)=1)*(COUNTIF(O1408:Q1425,$B1450)+COUNTIF(O1408:Q1425,$B1450&amp;" ~*")&gt;0)+(IFERROR(INDEX(Setup!$G$33:$G$40,MATCH(S1450,Setup!$B$33:$B$40,0)),0)=1)*(COUNTIF(S1408:U1425,$B1450)+COUNTIF(S1408:U1425,$B1450&amp;" ~*")&gt;0)+(IFERROR(INDEX(Setup!$G$33:$G$40,MATCH(W1450,Setup!$B$33:$B$40,0)),0)=1)*(COUNTIF(W1408:W1425,$B1450)+COUNTIF(W1408:W1425,$B1450&amp;" ~*")&gt;0)+(IFERROR(INDEX(Setup!$G$33:$G$40,MATCH(Y1450,Setup!$B$33:$B$40,0)),0)=1)*(COUNTIF(Y1408:Y1425,$B1450)+COUNTIF(Y1408:Y1425,$B1450&amp;" ~*")&gt;0))</f>
        <v/>
      </c>
    </row>
    <row r="1451" ht="16" customHeight="1">
      <c r="A1451" t="n">
        <v>29</v>
      </c>
      <c r="B1451" s="106" t="inlineStr">
        <is>
          <t>Available people</t>
        </is>
      </c>
      <c r="C1451" s="107">
        <f>COUNTIFS(Setup!$E$6:$E$29,"Y",Setup!$B$6:$B$29,"?*")-SUMPRODUCT(COUNTIF(C1427:C1450,Setup!$F$33:$F$40))</f>
        <v/>
      </c>
      <c r="D1451" s="107" t="n"/>
      <c r="E1451" s="107" t="n"/>
      <c r="F1451" s="107" t="n"/>
      <c r="G1451" s="107">
        <f>COUNTIFS(Setup!$E$6:$E$29,"Y",Setup!$B$6:$B$29,"?*")-SUMPRODUCT(COUNTIF(G1427:G1450,Setup!$F$33:$F$40))</f>
        <v/>
      </c>
      <c r="H1451" s="107" t="n"/>
      <c r="I1451" s="107" t="n"/>
      <c r="J1451" s="107" t="n"/>
      <c r="K1451" s="107">
        <f>COUNTIFS(Setup!$E$6:$E$29,"Y",Setup!$B$6:$B$29,"?*")-SUMPRODUCT(COUNTIF(K1427:K1450,Setup!$F$33:$F$40))</f>
        <v/>
      </c>
      <c r="L1451" s="107" t="n"/>
      <c r="M1451" s="107" t="n"/>
      <c r="N1451" s="107" t="n"/>
      <c r="O1451" s="107">
        <f>COUNTIFS(Setup!$E$6:$E$29,"Y",Setup!$B$6:$B$29,"?*")-SUMPRODUCT(COUNTIF(O1427:O1450,Setup!$F$33:$F$40))</f>
        <v/>
      </c>
      <c r="P1451" s="107" t="n"/>
      <c r="Q1451" s="107" t="n"/>
      <c r="R1451" s="107" t="n"/>
      <c r="S1451" s="107">
        <f>COUNTIFS(Setup!$E$6:$E$29,"Y",Setup!$B$6:$B$29,"?*")-SUMPRODUCT(COUNTIF(S1427:S1450,Setup!$F$33:$F$40))</f>
        <v/>
      </c>
      <c r="T1451" s="107" t="n"/>
      <c r="U1451" s="107" t="n"/>
      <c r="V1451" s="107" t="n"/>
      <c r="W1451" s="107">
        <f>COUNTIFS(Setup!$E$6:$E$29,"Y",Setup!$B$6:$B$29,"?*")-SUMPRODUCT(COUNTIF(W1427:W1450,Setup!$F$33:$F$40))</f>
        <v/>
      </c>
      <c r="X1451" s="107" t="n"/>
      <c r="Y1451" s="107">
        <f>COUNTIFS(Setup!$E$6:$E$29,"Y",Setup!$B$6:$B$29,"?*")-SUMPRODUCT(COUNTIF(Y1427:Y1450,Setup!$F$33:$F$40))</f>
        <v/>
      </c>
      <c r="Z1451" s="107" t="n"/>
      <c r="AB1451" s="108">
        <f>SUM(AB1427:AB1450)</f>
        <v/>
      </c>
      <c r="AC1451" s="109">
        <f>SUM(AC1427:AC1450)</f>
        <v/>
      </c>
    </row>
    <row r="1452" ht="30" customHeight="1">
      <c r="A1452" t="n">
        <v>29</v>
      </c>
      <c r="B1452" s="110" t="inlineStr">
        <is>
          <t>Week notes</t>
        </is>
      </c>
      <c r="C1452" s="111" t="n"/>
      <c r="D1452" s="112" t="n"/>
      <c r="E1452" s="112" t="n"/>
      <c r="F1452" s="112" t="n"/>
      <c r="G1452" s="112" t="n"/>
      <c r="H1452" s="112" t="n"/>
      <c r="I1452" s="112" t="n"/>
      <c r="J1452" s="112" t="n"/>
      <c r="K1452" s="112" t="n"/>
      <c r="L1452" s="112" t="n"/>
      <c r="M1452" s="112" t="n"/>
      <c r="N1452" s="112" t="n"/>
      <c r="O1452" s="112" t="n"/>
      <c r="P1452" s="112" t="n"/>
      <c r="Q1452" s="112" t="n"/>
      <c r="R1452" s="112" t="n"/>
      <c r="S1452" s="112" t="n"/>
      <c r="T1452" s="112" t="n"/>
      <c r="U1452" s="112" t="n"/>
      <c r="V1452" s="112" t="n"/>
      <c r="W1452" s="112" t="n"/>
      <c r="X1452" s="112" t="n"/>
      <c r="Y1452" s="112" t="n"/>
      <c r="Z1452" s="113" t="n"/>
    </row>
    <row r="1453" ht="8" customHeight="1">
      <c r="A1453" t="n">
        <v>29</v>
      </c>
    </row>
    <row r="1454" ht="8" customHeight="1">
      <c r="A1454" t="n">
        <v>29</v>
      </c>
    </row>
    <row r="1455" ht="24" customHeight="1">
      <c r="A1455" t="n">
        <v>30</v>
      </c>
      <c r="B1455" s="73">
        <f>"WEEK 30     "&amp;TEXT(C1456,"ddd d mmm")&amp;"  –  "&amp;TEXT(C1456+6,"ddd d mmm yyyy")</f>
        <v/>
      </c>
      <c r="S1455" s="74">
        <f>IF(TODAY()&lt;C1456,"FUTURE",IF(TODAY()&gt;C1456+6,"PAST","THIS WEEK"))</f>
        <v/>
      </c>
      <c r="W1455" s="75">
        <f>IF(AND(Engine!$B$8=$AC$3,Engine!$B$9=$A1455),"◀ ACTIVE WEEK","")</f>
        <v/>
      </c>
      <c r="AA1455" s="76" t="n"/>
      <c r="AB1455" s="77" t="inlineStr">
        <is>
          <t>◀ Prev</t>
        </is>
      </c>
      <c r="AC1455" s="77" t="inlineStr">
        <is>
          <t>Next ▶</t>
        </is>
      </c>
    </row>
    <row r="1456" ht="18" customHeight="1">
      <c r="A1456" t="n">
        <v>30</v>
      </c>
      <c r="B1456" s="78" t="inlineStr">
        <is>
          <t>DUTY</t>
        </is>
      </c>
      <c r="C1456" s="79">
        <f>$AC$2+7*($A1456-1)</f>
        <v/>
      </c>
      <c r="D1456" s="80" t="n"/>
      <c r="E1456" s="80" t="n"/>
      <c r="F1456" s="81" t="n"/>
      <c r="G1456" s="79">
        <f>C1456+1</f>
        <v/>
      </c>
      <c r="H1456" s="80" t="n"/>
      <c r="I1456" s="80" t="n"/>
      <c r="J1456" s="81" t="n"/>
      <c r="K1456" s="79">
        <f>C1456+2</f>
        <v/>
      </c>
      <c r="L1456" s="80" t="n"/>
      <c r="M1456" s="80" t="n"/>
      <c r="N1456" s="81" t="n"/>
      <c r="O1456" s="79">
        <f>C1456+3</f>
        <v/>
      </c>
      <c r="P1456" s="80" t="n"/>
      <c r="Q1456" s="80" t="n"/>
      <c r="R1456" s="81" t="n"/>
      <c r="S1456" s="79">
        <f>C1456+4</f>
        <v/>
      </c>
      <c r="T1456" s="80" t="n"/>
      <c r="U1456" s="80" t="n"/>
      <c r="V1456" s="81" t="n"/>
      <c r="W1456" s="82">
        <f>C1456+5</f>
        <v/>
      </c>
      <c r="X1456" s="83" t="n"/>
      <c r="Y1456" s="82">
        <f>C1456+6</f>
        <v/>
      </c>
      <c r="Z1456" s="83" t="n"/>
      <c r="AB1456" s="72" t="inlineStr">
        <is>
          <t>Gaps</t>
        </is>
      </c>
      <c r="AC1456" s="72" t="inlineStr">
        <is>
          <t>Cover</t>
        </is>
      </c>
    </row>
    <row r="1457" ht="14" customHeight="1">
      <c r="A1457" t="n">
        <v>30</v>
      </c>
      <c r="B1457" s="84" t="inlineStr">
        <is>
          <t>(from Setup)</t>
        </is>
      </c>
      <c r="C1457" s="85" t="inlineStr">
        <is>
          <t>1</t>
        </is>
      </c>
      <c r="D1457" s="85" t="inlineStr">
        <is>
          <t>2</t>
        </is>
      </c>
      <c r="E1457" s="85" t="inlineStr">
        <is>
          <t>3</t>
        </is>
      </c>
      <c r="F1457" s="85" t="inlineStr">
        <is>
          <t>Notes</t>
        </is>
      </c>
      <c r="G1457" s="85" t="inlineStr">
        <is>
          <t>1</t>
        </is>
      </c>
      <c r="H1457" s="85" t="inlineStr">
        <is>
          <t>2</t>
        </is>
      </c>
      <c r="I1457" s="85" t="inlineStr">
        <is>
          <t>3</t>
        </is>
      </c>
      <c r="J1457" s="85" t="inlineStr">
        <is>
          <t>Notes</t>
        </is>
      </c>
      <c r="K1457" s="85" t="inlineStr">
        <is>
          <t>1</t>
        </is>
      </c>
      <c r="L1457" s="85" t="inlineStr">
        <is>
          <t>2</t>
        </is>
      </c>
      <c r="M1457" s="85" t="inlineStr">
        <is>
          <t>3</t>
        </is>
      </c>
      <c r="N1457" s="85" t="inlineStr">
        <is>
          <t>Notes</t>
        </is>
      </c>
      <c r="O1457" s="85" t="inlineStr">
        <is>
          <t>1</t>
        </is>
      </c>
      <c r="P1457" s="85" t="inlineStr">
        <is>
          <t>2</t>
        </is>
      </c>
      <c r="Q1457" s="85" t="inlineStr">
        <is>
          <t>3</t>
        </is>
      </c>
      <c r="R1457" s="85" t="inlineStr">
        <is>
          <t>Notes</t>
        </is>
      </c>
      <c r="S1457" s="85" t="inlineStr">
        <is>
          <t>1</t>
        </is>
      </c>
      <c r="T1457" s="85" t="inlineStr">
        <is>
          <t>2</t>
        </is>
      </c>
      <c r="U1457" s="85" t="inlineStr">
        <is>
          <t>3</t>
        </is>
      </c>
      <c r="V1457" s="85" t="inlineStr">
        <is>
          <t>Notes</t>
        </is>
      </c>
      <c r="W1457" s="85" t="inlineStr">
        <is>
          <t>Cover</t>
        </is>
      </c>
      <c r="X1457" s="85" t="inlineStr">
        <is>
          <t>Notes</t>
        </is>
      </c>
      <c r="Y1457" s="85" t="inlineStr">
        <is>
          <t>Cover</t>
        </is>
      </c>
      <c r="Z1457" s="85" t="inlineStr">
        <is>
          <t>Notes</t>
        </is>
      </c>
      <c r="AB1457" s="86" t="inlineStr">
        <is>
          <t>weekdays short</t>
        </is>
      </c>
      <c r="AC1457" s="87" t="inlineStr"/>
    </row>
    <row r="1458" ht="17" customHeight="1">
      <c r="A1458" t="n">
        <v>30</v>
      </c>
      <c r="B1458" s="24">
        <f>IF(Setup!$K$6="","",Setup!$K$6)</f>
        <v/>
      </c>
      <c r="C1458" s="88" t="n"/>
      <c r="D1458" s="88" t="n"/>
      <c r="E1458" s="88" t="n"/>
      <c r="F1458" s="89" t="n"/>
      <c r="G1458" s="88" t="n"/>
      <c r="H1458" s="88" t="n"/>
      <c r="I1458" s="88" t="n"/>
      <c r="J1458" s="89" t="n"/>
      <c r="K1458" s="88" t="n"/>
      <c r="L1458" s="88" t="n"/>
      <c r="M1458" s="88" t="n"/>
      <c r="N1458" s="89" t="n"/>
      <c r="O1458" s="88" t="n"/>
      <c r="P1458" s="88" t="n"/>
      <c r="Q1458" s="88" t="n"/>
      <c r="R1458" s="89" t="n"/>
      <c r="S1458" s="88" t="n"/>
      <c r="T1458" s="88" t="n"/>
      <c r="U1458" s="88" t="n"/>
      <c r="V1458" s="89" t="n"/>
      <c r="W1458" s="88" t="n"/>
      <c r="X1458" s="89" t="n"/>
      <c r="Y1458" s="88" t="n"/>
      <c r="Z1458" s="89" t="n"/>
      <c r="AB1458" s="25">
        <f>IF($B1458="","",(COUNTIF(C1458:E1458,"?*")&lt;N(INDEX(Setup!$L$6:$L$23,1)))+(COUNTIF(G1458:I1458,"?*")&lt;N(INDEX(Setup!$L$6:$L$23,1)))+(COUNTIF(K1458:M1458,"?*")&lt;N(INDEX(Setup!$L$6:$L$23,1)))+(COUNTIF(O1458:Q1458,"?*")&lt;N(INDEX(Setup!$L$6:$L$23,1)))+(COUNTIF(S1458:U1458,"?*")&lt;N(INDEX(Setup!$L$6:$L$23,1)))+((W1458="")*(INDEX(Setup!$M$6:$M$23,1)="Y"))+((Y1458="")*(INDEX(Setup!$M$6:$M$23,1)="Y")))</f>
        <v/>
      </c>
      <c r="AC1458" s="90">
        <f>IF($B1458="","",IF(AB1458=0,"✓ covered","⚠ "&amp;AB1458&amp;IF(AB1458=1," gap"," gaps")))</f>
        <v/>
      </c>
    </row>
    <row r="1459" ht="17" customHeight="1">
      <c r="A1459" t="n">
        <v>30</v>
      </c>
      <c r="B1459" s="29">
        <f>IF(Setup!$K$7="","",Setup!$K$7)</f>
        <v/>
      </c>
      <c r="C1459" s="88" t="n"/>
      <c r="D1459" s="88" t="n"/>
      <c r="E1459" s="88" t="n"/>
      <c r="F1459" s="89" t="n"/>
      <c r="G1459" s="88" t="n"/>
      <c r="H1459" s="88" t="n"/>
      <c r="I1459" s="88" t="n"/>
      <c r="J1459" s="89" t="n"/>
      <c r="K1459" s="88" t="n"/>
      <c r="L1459" s="88" t="n"/>
      <c r="M1459" s="88" t="n"/>
      <c r="N1459" s="89" t="n"/>
      <c r="O1459" s="88" t="n"/>
      <c r="P1459" s="88" t="n"/>
      <c r="Q1459" s="88" t="n"/>
      <c r="R1459" s="89" t="n"/>
      <c r="S1459" s="88" t="n"/>
      <c r="T1459" s="88" t="n"/>
      <c r="U1459" s="88" t="n"/>
      <c r="V1459" s="89" t="n"/>
      <c r="W1459" s="88" t="n"/>
      <c r="X1459" s="89" t="n"/>
      <c r="Y1459" s="88" t="n"/>
      <c r="Z1459" s="89" t="n"/>
      <c r="AB1459" s="30">
        <f>IF($B1459="","",(COUNTIF(C1459:E1459,"?*")&lt;N(INDEX(Setup!$L$6:$L$23,2)))+(COUNTIF(G1459:I1459,"?*")&lt;N(INDEX(Setup!$L$6:$L$23,2)))+(COUNTIF(K1459:M1459,"?*")&lt;N(INDEX(Setup!$L$6:$L$23,2)))+(COUNTIF(O1459:Q1459,"?*")&lt;N(INDEX(Setup!$L$6:$L$23,2)))+(COUNTIF(S1459:U1459,"?*")&lt;N(INDEX(Setup!$L$6:$L$23,2)))+((W1459="")*(INDEX(Setup!$M$6:$M$23,2)="Y"))+((Y1459="")*(INDEX(Setup!$M$6:$M$23,2)="Y")))</f>
        <v/>
      </c>
      <c r="AC1459" s="91">
        <f>IF($B1459="","",IF(AB1459=0,"✓ covered","⚠ "&amp;AB1459&amp;IF(AB1459=1," gap"," gaps")))</f>
        <v/>
      </c>
    </row>
    <row r="1460" ht="17" customHeight="1">
      <c r="A1460" t="n">
        <v>30</v>
      </c>
      <c r="B1460" s="24">
        <f>IF(Setup!$K$8="","",Setup!$K$8)</f>
        <v/>
      </c>
      <c r="C1460" s="88" t="n"/>
      <c r="D1460" s="88" t="n"/>
      <c r="E1460" s="88" t="n"/>
      <c r="F1460" s="89" t="n"/>
      <c r="G1460" s="88" t="n"/>
      <c r="H1460" s="88" t="n"/>
      <c r="I1460" s="88" t="n"/>
      <c r="J1460" s="89" t="n"/>
      <c r="K1460" s="88" t="n"/>
      <c r="L1460" s="88" t="n"/>
      <c r="M1460" s="88" t="n"/>
      <c r="N1460" s="89" t="n"/>
      <c r="O1460" s="88" t="n"/>
      <c r="P1460" s="88" t="n"/>
      <c r="Q1460" s="88" t="n"/>
      <c r="R1460" s="89" t="n"/>
      <c r="S1460" s="88" t="n"/>
      <c r="T1460" s="88" t="n"/>
      <c r="U1460" s="88" t="n"/>
      <c r="V1460" s="89" t="n"/>
      <c r="W1460" s="88" t="n"/>
      <c r="X1460" s="89" t="n"/>
      <c r="Y1460" s="88" t="n"/>
      <c r="Z1460" s="89" t="n"/>
      <c r="AB1460" s="25">
        <f>IF($B1460="","",(COUNTIF(C1460:E1460,"?*")&lt;N(INDEX(Setup!$L$6:$L$23,3)))+(COUNTIF(G1460:I1460,"?*")&lt;N(INDEX(Setup!$L$6:$L$23,3)))+(COUNTIF(K1460:M1460,"?*")&lt;N(INDEX(Setup!$L$6:$L$23,3)))+(COUNTIF(O1460:Q1460,"?*")&lt;N(INDEX(Setup!$L$6:$L$23,3)))+(COUNTIF(S1460:U1460,"?*")&lt;N(INDEX(Setup!$L$6:$L$23,3)))+((W1460="")*(INDEX(Setup!$M$6:$M$23,3)="Y"))+((Y1460="")*(INDEX(Setup!$M$6:$M$23,3)="Y")))</f>
        <v/>
      </c>
      <c r="AC1460" s="90">
        <f>IF($B1460="","",IF(AB1460=0,"✓ covered","⚠ "&amp;AB1460&amp;IF(AB1460=1," gap"," gaps")))</f>
        <v/>
      </c>
    </row>
    <row r="1461" ht="17" customHeight="1">
      <c r="A1461" t="n">
        <v>30</v>
      </c>
      <c r="B1461" s="29">
        <f>IF(Setup!$K$9="","",Setup!$K$9)</f>
        <v/>
      </c>
      <c r="C1461" s="88" t="n"/>
      <c r="D1461" s="88" t="n"/>
      <c r="E1461" s="88" t="n"/>
      <c r="F1461" s="89" t="n"/>
      <c r="G1461" s="88" t="n"/>
      <c r="H1461" s="88" t="n"/>
      <c r="I1461" s="88" t="n"/>
      <c r="J1461" s="89" t="n"/>
      <c r="K1461" s="88" t="n"/>
      <c r="L1461" s="88" t="n"/>
      <c r="M1461" s="88" t="n"/>
      <c r="N1461" s="89" t="n"/>
      <c r="O1461" s="88" t="n"/>
      <c r="P1461" s="88" t="n"/>
      <c r="Q1461" s="88" t="n"/>
      <c r="R1461" s="89" t="n"/>
      <c r="S1461" s="88" t="n"/>
      <c r="T1461" s="88" t="n"/>
      <c r="U1461" s="88" t="n"/>
      <c r="V1461" s="89" t="n"/>
      <c r="W1461" s="88" t="n"/>
      <c r="X1461" s="89" t="n"/>
      <c r="Y1461" s="88" t="n"/>
      <c r="Z1461" s="89" t="n"/>
      <c r="AB1461" s="30">
        <f>IF($B1461="","",(COUNTIF(C1461:E1461,"?*")&lt;N(INDEX(Setup!$L$6:$L$23,4)))+(COUNTIF(G1461:I1461,"?*")&lt;N(INDEX(Setup!$L$6:$L$23,4)))+(COUNTIF(K1461:M1461,"?*")&lt;N(INDEX(Setup!$L$6:$L$23,4)))+(COUNTIF(O1461:Q1461,"?*")&lt;N(INDEX(Setup!$L$6:$L$23,4)))+(COUNTIF(S1461:U1461,"?*")&lt;N(INDEX(Setup!$L$6:$L$23,4)))+((W1461="")*(INDEX(Setup!$M$6:$M$23,4)="Y"))+((Y1461="")*(INDEX(Setup!$M$6:$M$23,4)="Y")))</f>
        <v/>
      </c>
      <c r="AC1461" s="91">
        <f>IF($B1461="","",IF(AB1461=0,"✓ covered","⚠ "&amp;AB1461&amp;IF(AB1461=1," gap"," gaps")))</f>
        <v/>
      </c>
    </row>
    <row r="1462" ht="17" customHeight="1">
      <c r="A1462" t="n">
        <v>30</v>
      </c>
      <c r="B1462" s="24">
        <f>IF(Setup!$K$10="","",Setup!$K$10)</f>
        <v/>
      </c>
      <c r="C1462" s="88" t="n"/>
      <c r="D1462" s="88" t="n"/>
      <c r="E1462" s="88" t="n"/>
      <c r="F1462" s="89" t="n"/>
      <c r="G1462" s="88" t="n"/>
      <c r="H1462" s="88" t="n"/>
      <c r="I1462" s="88" t="n"/>
      <c r="J1462" s="89" t="n"/>
      <c r="K1462" s="88" t="n"/>
      <c r="L1462" s="88" t="n"/>
      <c r="M1462" s="88" t="n"/>
      <c r="N1462" s="89" t="n"/>
      <c r="O1462" s="88" t="n"/>
      <c r="P1462" s="88" t="n"/>
      <c r="Q1462" s="88" t="n"/>
      <c r="R1462" s="89" t="n"/>
      <c r="S1462" s="88" t="n"/>
      <c r="T1462" s="88" t="n"/>
      <c r="U1462" s="88" t="n"/>
      <c r="V1462" s="89" t="n"/>
      <c r="W1462" s="88" t="n"/>
      <c r="X1462" s="89" t="n"/>
      <c r="Y1462" s="88" t="n"/>
      <c r="Z1462" s="89" t="n"/>
      <c r="AB1462" s="25">
        <f>IF($B1462="","",(COUNTIF(C1462:E1462,"?*")&lt;N(INDEX(Setup!$L$6:$L$23,5)))+(COUNTIF(G1462:I1462,"?*")&lt;N(INDEX(Setup!$L$6:$L$23,5)))+(COUNTIF(K1462:M1462,"?*")&lt;N(INDEX(Setup!$L$6:$L$23,5)))+(COUNTIF(O1462:Q1462,"?*")&lt;N(INDEX(Setup!$L$6:$L$23,5)))+(COUNTIF(S1462:U1462,"?*")&lt;N(INDEX(Setup!$L$6:$L$23,5)))+((W1462="")*(INDEX(Setup!$M$6:$M$23,5)="Y"))+((Y1462="")*(INDEX(Setup!$M$6:$M$23,5)="Y")))</f>
        <v/>
      </c>
      <c r="AC1462" s="90">
        <f>IF($B1462="","",IF(AB1462=0,"✓ covered","⚠ "&amp;AB1462&amp;IF(AB1462=1," gap"," gaps")))</f>
        <v/>
      </c>
    </row>
    <row r="1463" ht="17" customHeight="1">
      <c r="A1463" t="n">
        <v>30</v>
      </c>
      <c r="B1463" s="29">
        <f>IF(Setup!$K$11="","",Setup!$K$11)</f>
        <v/>
      </c>
      <c r="C1463" s="88" t="n"/>
      <c r="D1463" s="88" t="n"/>
      <c r="E1463" s="88" t="n"/>
      <c r="F1463" s="89" t="n"/>
      <c r="G1463" s="88" t="n"/>
      <c r="H1463" s="88" t="n"/>
      <c r="I1463" s="88" t="n"/>
      <c r="J1463" s="89" t="n"/>
      <c r="K1463" s="88" t="n"/>
      <c r="L1463" s="88" t="n"/>
      <c r="M1463" s="88" t="n"/>
      <c r="N1463" s="89" t="n"/>
      <c r="O1463" s="88" t="n"/>
      <c r="P1463" s="88" t="n"/>
      <c r="Q1463" s="88" t="n"/>
      <c r="R1463" s="89" t="n"/>
      <c r="S1463" s="88" t="n"/>
      <c r="T1463" s="88" t="n"/>
      <c r="U1463" s="88" t="n"/>
      <c r="V1463" s="89" t="n"/>
      <c r="W1463" s="88" t="n"/>
      <c r="X1463" s="89" t="n"/>
      <c r="Y1463" s="88" t="n"/>
      <c r="Z1463" s="89" t="n"/>
      <c r="AB1463" s="30">
        <f>IF($B1463="","",(COUNTIF(C1463:E1463,"?*")&lt;N(INDEX(Setup!$L$6:$L$23,6)))+(COUNTIF(G1463:I1463,"?*")&lt;N(INDEX(Setup!$L$6:$L$23,6)))+(COUNTIF(K1463:M1463,"?*")&lt;N(INDEX(Setup!$L$6:$L$23,6)))+(COUNTIF(O1463:Q1463,"?*")&lt;N(INDEX(Setup!$L$6:$L$23,6)))+(COUNTIF(S1463:U1463,"?*")&lt;N(INDEX(Setup!$L$6:$L$23,6)))+((W1463="")*(INDEX(Setup!$M$6:$M$23,6)="Y"))+((Y1463="")*(INDEX(Setup!$M$6:$M$23,6)="Y")))</f>
        <v/>
      </c>
      <c r="AC1463" s="91">
        <f>IF($B1463="","",IF(AB1463=0,"✓ covered","⚠ "&amp;AB1463&amp;IF(AB1463=1," gap"," gaps")))</f>
        <v/>
      </c>
    </row>
    <row r="1464" ht="17" customHeight="1">
      <c r="A1464" t="n">
        <v>30</v>
      </c>
      <c r="B1464" s="24">
        <f>IF(Setup!$K$12="","",Setup!$K$12)</f>
        <v/>
      </c>
      <c r="C1464" s="88" t="n"/>
      <c r="D1464" s="88" t="n"/>
      <c r="E1464" s="88" t="n"/>
      <c r="F1464" s="89" t="n"/>
      <c r="G1464" s="88" t="n"/>
      <c r="H1464" s="88" t="n"/>
      <c r="I1464" s="88" t="n"/>
      <c r="J1464" s="89" t="n"/>
      <c r="K1464" s="88" t="n"/>
      <c r="L1464" s="88" t="n"/>
      <c r="M1464" s="88" t="n"/>
      <c r="N1464" s="89" t="n"/>
      <c r="O1464" s="88" t="n"/>
      <c r="P1464" s="88" t="n"/>
      <c r="Q1464" s="88" t="n"/>
      <c r="R1464" s="89" t="n"/>
      <c r="S1464" s="88" t="n"/>
      <c r="T1464" s="88" t="n"/>
      <c r="U1464" s="88" t="n"/>
      <c r="V1464" s="89" t="n"/>
      <c r="W1464" s="88" t="n"/>
      <c r="X1464" s="89" t="n"/>
      <c r="Y1464" s="88" t="n"/>
      <c r="Z1464" s="89" t="n"/>
      <c r="AB1464" s="25">
        <f>IF($B1464="","",(COUNTIF(C1464:E1464,"?*")&lt;N(INDEX(Setup!$L$6:$L$23,7)))+(COUNTIF(G1464:I1464,"?*")&lt;N(INDEX(Setup!$L$6:$L$23,7)))+(COUNTIF(K1464:M1464,"?*")&lt;N(INDEX(Setup!$L$6:$L$23,7)))+(COUNTIF(O1464:Q1464,"?*")&lt;N(INDEX(Setup!$L$6:$L$23,7)))+(COUNTIF(S1464:U1464,"?*")&lt;N(INDEX(Setup!$L$6:$L$23,7)))+((W1464="")*(INDEX(Setup!$M$6:$M$23,7)="Y"))+((Y1464="")*(INDEX(Setup!$M$6:$M$23,7)="Y")))</f>
        <v/>
      </c>
      <c r="AC1464" s="90">
        <f>IF($B1464="","",IF(AB1464=0,"✓ covered","⚠ "&amp;AB1464&amp;IF(AB1464=1," gap"," gaps")))</f>
        <v/>
      </c>
    </row>
    <row r="1465" ht="17" customHeight="1">
      <c r="A1465" t="n">
        <v>30</v>
      </c>
      <c r="B1465" s="29">
        <f>IF(Setup!$K$13="","",Setup!$K$13)</f>
        <v/>
      </c>
      <c r="C1465" s="88" t="n"/>
      <c r="D1465" s="88" t="n"/>
      <c r="E1465" s="88" t="n"/>
      <c r="F1465" s="89" t="n"/>
      <c r="G1465" s="88" t="n"/>
      <c r="H1465" s="88" t="n"/>
      <c r="I1465" s="88" t="n"/>
      <c r="J1465" s="89" t="n"/>
      <c r="K1465" s="88" t="n"/>
      <c r="L1465" s="88" t="n"/>
      <c r="M1465" s="88" t="n"/>
      <c r="N1465" s="89" t="n"/>
      <c r="O1465" s="88" t="n"/>
      <c r="P1465" s="88" t="n"/>
      <c r="Q1465" s="88" t="n"/>
      <c r="R1465" s="89" t="n"/>
      <c r="S1465" s="88" t="n"/>
      <c r="T1465" s="88" t="n"/>
      <c r="U1465" s="88" t="n"/>
      <c r="V1465" s="89" t="n"/>
      <c r="W1465" s="88" t="n"/>
      <c r="X1465" s="89" t="n"/>
      <c r="Y1465" s="88" t="n"/>
      <c r="Z1465" s="89" t="n"/>
      <c r="AB1465" s="30">
        <f>IF($B1465="","",(COUNTIF(C1465:E1465,"?*")&lt;N(INDEX(Setup!$L$6:$L$23,8)))+(COUNTIF(G1465:I1465,"?*")&lt;N(INDEX(Setup!$L$6:$L$23,8)))+(COUNTIF(K1465:M1465,"?*")&lt;N(INDEX(Setup!$L$6:$L$23,8)))+(COUNTIF(O1465:Q1465,"?*")&lt;N(INDEX(Setup!$L$6:$L$23,8)))+(COUNTIF(S1465:U1465,"?*")&lt;N(INDEX(Setup!$L$6:$L$23,8)))+((W1465="")*(INDEX(Setup!$M$6:$M$23,8)="Y"))+((Y1465="")*(INDEX(Setup!$M$6:$M$23,8)="Y")))</f>
        <v/>
      </c>
      <c r="AC1465" s="91">
        <f>IF($B1465="","",IF(AB1465=0,"✓ covered","⚠ "&amp;AB1465&amp;IF(AB1465=1," gap"," gaps")))</f>
        <v/>
      </c>
    </row>
    <row r="1466" ht="17" customHeight="1">
      <c r="A1466" t="n">
        <v>30</v>
      </c>
      <c r="B1466" s="24">
        <f>IF(Setup!$K$14="","",Setup!$K$14)</f>
        <v/>
      </c>
      <c r="C1466" s="88" t="n"/>
      <c r="D1466" s="88" t="n"/>
      <c r="E1466" s="88" t="n"/>
      <c r="F1466" s="89" t="n"/>
      <c r="G1466" s="88" t="n"/>
      <c r="H1466" s="88" t="n"/>
      <c r="I1466" s="88" t="n"/>
      <c r="J1466" s="89" t="n"/>
      <c r="K1466" s="88" t="n"/>
      <c r="L1466" s="88" t="n"/>
      <c r="M1466" s="88" t="n"/>
      <c r="N1466" s="89" t="n"/>
      <c r="O1466" s="88" t="n"/>
      <c r="P1466" s="88" t="n"/>
      <c r="Q1466" s="88" t="n"/>
      <c r="R1466" s="89" t="n"/>
      <c r="S1466" s="88" t="n"/>
      <c r="T1466" s="88" t="n"/>
      <c r="U1466" s="88" t="n"/>
      <c r="V1466" s="89" t="n"/>
      <c r="W1466" s="88" t="n"/>
      <c r="X1466" s="89" t="n"/>
      <c r="Y1466" s="88" t="n"/>
      <c r="Z1466" s="89" t="n"/>
      <c r="AB1466" s="25">
        <f>IF($B1466="","",(COUNTIF(C1466:E1466,"?*")&lt;N(INDEX(Setup!$L$6:$L$23,9)))+(COUNTIF(G1466:I1466,"?*")&lt;N(INDEX(Setup!$L$6:$L$23,9)))+(COUNTIF(K1466:M1466,"?*")&lt;N(INDEX(Setup!$L$6:$L$23,9)))+(COUNTIF(O1466:Q1466,"?*")&lt;N(INDEX(Setup!$L$6:$L$23,9)))+(COUNTIF(S1466:U1466,"?*")&lt;N(INDEX(Setup!$L$6:$L$23,9)))+((W1466="")*(INDEX(Setup!$M$6:$M$23,9)="Y"))+((Y1466="")*(INDEX(Setup!$M$6:$M$23,9)="Y")))</f>
        <v/>
      </c>
      <c r="AC1466" s="90">
        <f>IF($B1466="","",IF(AB1466=0,"✓ covered","⚠ "&amp;AB1466&amp;IF(AB1466=1," gap"," gaps")))</f>
        <v/>
      </c>
    </row>
    <row r="1467" ht="17" customHeight="1">
      <c r="A1467" t="n">
        <v>30</v>
      </c>
      <c r="B1467" s="29">
        <f>IF(Setup!$K$15="","",Setup!$K$15)</f>
        <v/>
      </c>
      <c r="C1467" s="88" t="n"/>
      <c r="D1467" s="88" t="n"/>
      <c r="E1467" s="88" t="n"/>
      <c r="F1467" s="89" t="n"/>
      <c r="G1467" s="88" t="n"/>
      <c r="H1467" s="88" t="n"/>
      <c r="I1467" s="88" t="n"/>
      <c r="J1467" s="89" t="n"/>
      <c r="K1467" s="88" t="n"/>
      <c r="L1467" s="88" t="n"/>
      <c r="M1467" s="88" t="n"/>
      <c r="N1467" s="89" t="n"/>
      <c r="O1467" s="88" t="n"/>
      <c r="P1467" s="88" t="n"/>
      <c r="Q1467" s="88" t="n"/>
      <c r="R1467" s="89" t="n"/>
      <c r="S1467" s="88" t="n"/>
      <c r="T1467" s="88" t="n"/>
      <c r="U1467" s="88" t="n"/>
      <c r="V1467" s="89" t="n"/>
      <c r="W1467" s="88" t="n"/>
      <c r="X1467" s="89" t="n"/>
      <c r="Y1467" s="88" t="n"/>
      <c r="Z1467" s="89" t="n"/>
      <c r="AB1467" s="30">
        <f>IF($B1467="","",(COUNTIF(C1467:E1467,"?*")&lt;N(INDEX(Setup!$L$6:$L$23,10)))+(COUNTIF(G1467:I1467,"?*")&lt;N(INDEX(Setup!$L$6:$L$23,10)))+(COUNTIF(K1467:M1467,"?*")&lt;N(INDEX(Setup!$L$6:$L$23,10)))+(COUNTIF(O1467:Q1467,"?*")&lt;N(INDEX(Setup!$L$6:$L$23,10)))+(COUNTIF(S1467:U1467,"?*")&lt;N(INDEX(Setup!$L$6:$L$23,10)))+((W1467="")*(INDEX(Setup!$M$6:$M$23,10)="Y"))+((Y1467="")*(INDEX(Setup!$M$6:$M$23,10)="Y")))</f>
        <v/>
      </c>
      <c r="AC1467" s="91">
        <f>IF($B1467="","",IF(AB1467=0,"✓ covered","⚠ "&amp;AB1467&amp;IF(AB1467=1," gap"," gaps")))</f>
        <v/>
      </c>
    </row>
    <row r="1468" ht="17" customHeight="1">
      <c r="A1468" t="n">
        <v>30</v>
      </c>
      <c r="B1468" s="24">
        <f>IF(Setup!$K$16="","",Setup!$K$16)</f>
        <v/>
      </c>
      <c r="C1468" s="88" t="n"/>
      <c r="D1468" s="88" t="n"/>
      <c r="E1468" s="88" t="n"/>
      <c r="F1468" s="89" t="n"/>
      <c r="G1468" s="88" t="n"/>
      <c r="H1468" s="88" t="n"/>
      <c r="I1468" s="88" t="n"/>
      <c r="J1468" s="89" t="n"/>
      <c r="K1468" s="88" t="n"/>
      <c r="L1468" s="88" t="n"/>
      <c r="M1468" s="88" t="n"/>
      <c r="N1468" s="89" t="n"/>
      <c r="O1468" s="88" t="n"/>
      <c r="P1468" s="88" t="n"/>
      <c r="Q1468" s="88" t="n"/>
      <c r="R1468" s="89" t="n"/>
      <c r="S1468" s="88" t="n"/>
      <c r="T1468" s="88" t="n"/>
      <c r="U1468" s="88" t="n"/>
      <c r="V1468" s="89" t="n"/>
      <c r="W1468" s="88" t="n"/>
      <c r="X1468" s="89" t="n"/>
      <c r="Y1468" s="88" t="n"/>
      <c r="Z1468" s="89" t="n"/>
      <c r="AB1468" s="25">
        <f>IF($B1468="","",(COUNTIF(C1468:E1468,"?*")&lt;N(INDEX(Setup!$L$6:$L$23,11)))+(COUNTIF(G1468:I1468,"?*")&lt;N(INDEX(Setup!$L$6:$L$23,11)))+(COUNTIF(K1468:M1468,"?*")&lt;N(INDEX(Setup!$L$6:$L$23,11)))+(COUNTIF(O1468:Q1468,"?*")&lt;N(INDEX(Setup!$L$6:$L$23,11)))+(COUNTIF(S1468:U1468,"?*")&lt;N(INDEX(Setup!$L$6:$L$23,11)))+((W1468="")*(INDEX(Setup!$M$6:$M$23,11)="Y"))+((Y1468="")*(INDEX(Setup!$M$6:$M$23,11)="Y")))</f>
        <v/>
      </c>
      <c r="AC1468" s="90">
        <f>IF($B1468="","",IF(AB1468=0,"✓ covered","⚠ "&amp;AB1468&amp;IF(AB1468=1," gap"," gaps")))</f>
        <v/>
      </c>
    </row>
    <row r="1469" ht="17" customHeight="1">
      <c r="A1469" t="n">
        <v>30</v>
      </c>
      <c r="B1469" s="29">
        <f>IF(Setup!$K$17="","",Setup!$K$17)</f>
        <v/>
      </c>
      <c r="C1469" s="88" t="n"/>
      <c r="D1469" s="88" t="n"/>
      <c r="E1469" s="88" t="n"/>
      <c r="F1469" s="89" t="n"/>
      <c r="G1469" s="88" t="n"/>
      <c r="H1469" s="88" t="n"/>
      <c r="I1469" s="88" t="n"/>
      <c r="J1469" s="89" t="n"/>
      <c r="K1469" s="88" t="n"/>
      <c r="L1469" s="88" t="n"/>
      <c r="M1469" s="88" t="n"/>
      <c r="N1469" s="89" t="n"/>
      <c r="O1469" s="88" t="n"/>
      <c r="P1469" s="88" t="n"/>
      <c r="Q1469" s="88" t="n"/>
      <c r="R1469" s="89" t="n"/>
      <c r="S1469" s="88" t="n"/>
      <c r="T1469" s="88" t="n"/>
      <c r="U1469" s="88" t="n"/>
      <c r="V1469" s="89" t="n"/>
      <c r="W1469" s="88" t="n"/>
      <c r="X1469" s="89" t="n"/>
      <c r="Y1469" s="88" t="n"/>
      <c r="Z1469" s="89" t="n"/>
      <c r="AB1469" s="30">
        <f>IF($B1469="","",(COUNTIF(C1469:E1469,"?*")&lt;N(INDEX(Setup!$L$6:$L$23,12)))+(COUNTIF(G1469:I1469,"?*")&lt;N(INDEX(Setup!$L$6:$L$23,12)))+(COUNTIF(K1469:M1469,"?*")&lt;N(INDEX(Setup!$L$6:$L$23,12)))+(COUNTIF(O1469:Q1469,"?*")&lt;N(INDEX(Setup!$L$6:$L$23,12)))+(COUNTIF(S1469:U1469,"?*")&lt;N(INDEX(Setup!$L$6:$L$23,12)))+((W1469="")*(INDEX(Setup!$M$6:$M$23,12)="Y"))+((Y1469="")*(INDEX(Setup!$M$6:$M$23,12)="Y")))</f>
        <v/>
      </c>
      <c r="AC1469" s="91">
        <f>IF($B1469="","",IF(AB1469=0,"✓ covered","⚠ "&amp;AB1469&amp;IF(AB1469=1," gap"," gaps")))</f>
        <v/>
      </c>
    </row>
    <row r="1470" ht="17" customHeight="1">
      <c r="A1470" t="n">
        <v>30</v>
      </c>
      <c r="B1470" s="24">
        <f>IF(Setup!$K$18="","",Setup!$K$18)</f>
        <v/>
      </c>
      <c r="C1470" s="88" t="n"/>
      <c r="D1470" s="88" t="n"/>
      <c r="E1470" s="88" t="n"/>
      <c r="F1470" s="89" t="n"/>
      <c r="G1470" s="88" t="n"/>
      <c r="H1470" s="88" t="n"/>
      <c r="I1470" s="88" t="n"/>
      <c r="J1470" s="89" t="n"/>
      <c r="K1470" s="88" t="n"/>
      <c r="L1470" s="88" t="n"/>
      <c r="M1470" s="88" t="n"/>
      <c r="N1470" s="89" t="n"/>
      <c r="O1470" s="88" t="n"/>
      <c r="P1470" s="88" t="n"/>
      <c r="Q1470" s="88" t="n"/>
      <c r="R1470" s="89" t="n"/>
      <c r="S1470" s="88" t="n"/>
      <c r="T1470" s="88" t="n"/>
      <c r="U1470" s="88" t="n"/>
      <c r="V1470" s="89" t="n"/>
      <c r="W1470" s="88" t="n"/>
      <c r="X1470" s="89" t="n"/>
      <c r="Y1470" s="88" t="n"/>
      <c r="Z1470" s="89" t="n"/>
      <c r="AB1470" s="25">
        <f>IF($B1470="","",(COUNTIF(C1470:E1470,"?*")&lt;N(INDEX(Setup!$L$6:$L$23,13)))+(COUNTIF(G1470:I1470,"?*")&lt;N(INDEX(Setup!$L$6:$L$23,13)))+(COUNTIF(K1470:M1470,"?*")&lt;N(INDEX(Setup!$L$6:$L$23,13)))+(COUNTIF(O1470:Q1470,"?*")&lt;N(INDEX(Setup!$L$6:$L$23,13)))+(COUNTIF(S1470:U1470,"?*")&lt;N(INDEX(Setup!$L$6:$L$23,13)))+((W1470="")*(INDEX(Setup!$M$6:$M$23,13)="Y"))+((Y1470="")*(INDEX(Setup!$M$6:$M$23,13)="Y")))</f>
        <v/>
      </c>
      <c r="AC1470" s="90">
        <f>IF($B1470="","",IF(AB1470=0,"✓ covered","⚠ "&amp;AB1470&amp;IF(AB1470=1," gap"," gaps")))</f>
        <v/>
      </c>
    </row>
    <row r="1471" ht="17" customHeight="1">
      <c r="A1471" t="n">
        <v>30</v>
      </c>
      <c r="B1471" s="29">
        <f>IF(Setup!$K$19="","",Setup!$K$19)</f>
        <v/>
      </c>
      <c r="C1471" s="88" t="n"/>
      <c r="D1471" s="88" t="n"/>
      <c r="E1471" s="88" t="n"/>
      <c r="F1471" s="89" t="n"/>
      <c r="G1471" s="88" t="n"/>
      <c r="H1471" s="88" t="n"/>
      <c r="I1471" s="88" t="n"/>
      <c r="J1471" s="89" t="n"/>
      <c r="K1471" s="88" t="n"/>
      <c r="L1471" s="88" t="n"/>
      <c r="M1471" s="88" t="n"/>
      <c r="N1471" s="89" t="n"/>
      <c r="O1471" s="88" t="n"/>
      <c r="P1471" s="88" t="n"/>
      <c r="Q1471" s="88" t="n"/>
      <c r="R1471" s="89" t="n"/>
      <c r="S1471" s="88" t="n"/>
      <c r="T1471" s="88" t="n"/>
      <c r="U1471" s="88" t="n"/>
      <c r="V1471" s="89" t="n"/>
      <c r="W1471" s="88" t="n"/>
      <c r="X1471" s="89" t="n"/>
      <c r="Y1471" s="88" t="n"/>
      <c r="Z1471" s="89" t="n"/>
      <c r="AB1471" s="30">
        <f>IF($B1471="","",(COUNTIF(C1471:E1471,"?*")&lt;N(INDEX(Setup!$L$6:$L$23,14)))+(COUNTIF(G1471:I1471,"?*")&lt;N(INDEX(Setup!$L$6:$L$23,14)))+(COUNTIF(K1471:M1471,"?*")&lt;N(INDEX(Setup!$L$6:$L$23,14)))+(COUNTIF(O1471:Q1471,"?*")&lt;N(INDEX(Setup!$L$6:$L$23,14)))+(COUNTIF(S1471:U1471,"?*")&lt;N(INDEX(Setup!$L$6:$L$23,14)))+((W1471="")*(INDEX(Setup!$M$6:$M$23,14)="Y"))+((Y1471="")*(INDEX(Setup!$M$6:$M$23,14)="Y")))</f>
        <v/>
      </c>
      <c r="AC1471" s="91">
        <f>IF($B1471="","",IF(AB1471=0,"✓ covered","⚠ "&amp;AB1471&amp;IF(AB1471=1," gap"," gaps")))</f>
        <v/>
      </c>
    </row>
    <row r="1472" ht="17" customHeight="1">
      <c r="A1472" t="n">
        <v>30</v>
      </c>
      <c r="B1472" s="24">
        <f>IF(Setup!$K$20="","",Setup!$K$20)</f>
        <v/>
      </c>
      <c r="C1472" s="88" t="n"/>
      <c r="D1472" s="88" t="n"/>
      <c r="E1472" s="88" t="n"/>
      <c r="F1472" s="89" t="n"/>
      <c r="G1472" s="88" t="n"/>
      <c r="H1472" s="88" t="n"/>
      <c r="I1472" s="88" t="n"/>
      <c r="J1472" s="89" t="n"/>
      <c r="K1472" s="88" t="n"/>
      <c r="L1472" s="88" t="n"/>
      <c r="M1472" s="88" t="n"/>
      <c r="N1472" s="89" t="n"/>
      <c r="O1472" s="88" t="n"/>
      <c r="P1472" s="88" t="n"/>
      <c r="Q1472" s="88" t="n"/>
      <c r="R1472" s="89" t="n"/>
      <c r="S1472" s="88" t="n"/>
      <c r="T1472" s="88" t="n"/>
      <c r="U1472" s="88" t="n"/>
      <c r="V1472" s="89" t="n"/>
      <c r="W1472" s="88" t="n"/>
      <c r="X1472" s="89" t="n"/>
      <c r="Y1472" s="88" t="n"/>
      <c r="Z1472" s="89" t="n"/>
      <c r="AB1472" s="25">
        <f>IF($B1472="","",(COUNTIF(C1472:E1472,"?*")&lt;N(INDEX(Setup!$L$6:$L$23,15)))+(COUNTIF(G1472:I1472,"?*")&lt;N(INDEX(Setup!$L$6:$L$23,15)))+(COUNTIF(K1472:M1472,"?*")&lt;N(INDEX(Setup!$L$6:$L$23,15)))+(COUNTIF(O1472:Q1472,"?*")&lt;N(INDEX(Setup!$L$6:$L$23,15)))+(COUNTIF(S1472:U1472,"?*")&lt;N(INDEX(Setup!$L$6:$L$23,15)))+((W1472="")*(INDEX(Setup!$M$6:$M$23,15)="Y"))+((Y1472="")*(INDEX(Setup!$M$6:$M$23,15)="Y")))</f>
        <v/>
      </c>
      <c r="AC1472" s="90">
        <f>IF($B1472="","",IF(AB1472=0,"✓ covered","⚠ "&amp;AB1472&amp;IF(AB1472=1," gap"," gaps")))</f>
        <v/>
      </c>
    </row>
    <row r="1473" ht="17" customHeight="1">
      <c r="A1473" t="n">
        <v>30</v>
      </c>
      <c r="B1473" s="29">
        <f>IF(Setup!$K$21="","",Setup!$K$21)</f>
        <v/>
      </c>
      <c r="C1473" s="88" t="n"/>
      <c r="D1473" s="88" t="n"/>
      <c r="E1473" s="88" t="n"/>
      <c r="F1473" s="89" t="n"/>
      <c r="G1473" s="88" t="n"/>
      <c r="H1473" s="88" t="n"/>
      <c r="I1473" s="88" t="n"/>
      <c r="J1473" s="89" t="n"/>
      <c r="K1473" s="88" t="n"/>
      <c r="L1473" s="88" t="n"/>
      <c r="M1473" s="88" t="n"/>
      <c r="N1473" s="89" t="n"/>
      <c r="O1473" s="88" t="n"/>
      <c r="P1473" s="88" t="n"/>
      <c r="Q1473" s="88" t="n"/>
      <c r="R1473" s="89" t="n"/>
      <c r="S1473" s="88" t="n"/>
      <c r="T1473" s="88" t="n"/>
      <c r="U1473" s="88" t="n"/>
      <c r="V1473" s="89" t="n"/>
      <c r="W1473" s="88" t="n"/>
      <c r="X1473" s="89" t="n"/>
      <c r="Y1473" s="88" t="n"/>
      <c r="Z1473" s="89" t="n"/>
      <c r="AB1473" s="30">
        <f>IF($B1473="","",(COUNTIF(C1473:E1473,"?*")&lt;N(INDEX(Setup!$L$6:$L$23,16)))+(COUNTIF(G1473:I1473,"?*")&lt;N(INDEX(Setup!$L$6:$L$23,16)))+(COUNTIF(K1473:M1473,"?*")&lt;N(INDEX(Setup!$L$6:$L$23,16)))+(COUNTIF(O1473:Q1473,"?*")&lt;N(INDEX(Setup!$L$6:$L$23,16)))+(COUNTIF(S1473:U1473,"?*")&lt;N(INDEX(Setup!$L$6:$L$23,16)))+((W1473="")*(INDEX(Setup!$M$6:$M$23,16)="Y"))+((Y1473="")*(INDEX(Setup!$M$6:$M$23,16)="Y")))</f>
        <v/>
      </c>
      <c r="AC1473" s="91">
        <f>IF($B1473="","",IF(AB1473=0,"✓ covered","⚠ "&amp;AB1473&amp;IF(AB1473=1," gap"," gaps")))</f>
        <v/>
      </c>
    </row>
    <row r="1474" ht="17" customHeight="1">
      <c r="A1474" t="n">
        <v>30</v>
      </c>
      <c r="B1474" s="24">
        <f>IF(Setup!$K$22="","",Setup!$K$22)</f>
        <v/>
      </c>
      <c r="C1474" s="88" t="n"/>
      <c r="D1474" s="88" t="n"/>
      <c r="E1474" s="88" t="n"/>
      <c r="F1474" s="89" t="n"/>
      <c r="G1474" s="88" t="n"/>
      <c r="H1474" s="88" t="n"/>
      <c r="I1474" s="88" t="n"/>
      <c r="J1474" s="89" t="n"/>
      <c r="K1474" s="88" t="n"/>
      <c r="L1474" s="88" t="n"/>
      <c r="M1474" s="88" t="n"/>
      <c r="N1474" s="89" t="n"/>
      <c r="O1474" s="88" t="n"/>
      <c r="P1474" s="88" t="n"/>
      <c r="Q1474" s="88" t="n"/>
      <c r="R1474" s="89" t="n"/>
      <c r="S1474" s="88" t="n"/>
      <c r="T1474" s="88" t="n"/>
      <c r="U1474" s="88" t="n"/>
      <c r="V1474" s="89" t="n"/>
      <c r="W1474" s="88" t="n"/>
      <c r="X1474" s="89" t="n"/>
      <c r="Y1474" s="88" t="n"/>
      <c r="Z1474" s="89" t="n"/>
      <c r="AB1474" s="25">
        <f>IF($B1474="","",(COUNTIF(C1474:E1474,"?*")&lt;N(INDEX(Setup!$L$6:$L$23,17)))+(COUNTIF(G1474:I1474,"?*")&lt;N(INDEX(Setup!$L$6:$L$23,17)))+(COUNTIF(K1474:M1474,"?*")&lt;N(INDEX(Setup!$L$6:$L$23,17)))+(COUNTIF(O1474:Q1474,"?*")&lt;N(INDEX(Setup!$L$6:$L$23,17)))+(COUNTIF(S1474:U1474,"?*")&lt;N(INDEX(Setup!$L$6:$L$23,17)))+((W1474="")*(INDEX(Setup!$M$6:$M$23,17)="Y"))+((Y1474="")*(INDEX(Setup!$M$6:$M$23,17)="Y")))</f>
        <v/>
      </c>
      <c r="AC1474" s="90">
        <f>IF($B1474="","",IF(AB1474=0,"✓ covered","⚠ "&amp;AB1474&amp;IF(AB1474=1," gap"," gaps")))</f>
        <v/>
      </c>
    </row>
    <row r="1475" ht="17" customHeight="1">
      <c r="A1475" t="n">
        <v>30</v>
      </c>
      <c r="B1475" s="29">
        <f>IF(Setup!$K$23="","",Setup!$K$23)</f>
        <v/>
      </c>
      <c r="C1475" s="88" t="n"/>
      <c r="D1475" s="88" t="n"/>
      <c r="E1475" s="88" t="n"/>
      <c r="F1475" s="89" t="n"/>
      <c r="G1475" s="88" t="n"/>
      <c r="H1475" s="88" t="n"/>
      <c r="I1475" s="88" t="n"/>
      <c r="J1475" s="89" t="n"/>
      <c r="K1475" s="88" t="n"/>
      <c r="L1475" s="88" t="n"/>
      <c r="M1475" s="88" t="n"/>
      <c r="N1475" s="89" t="n"/>
      <c r="O1475" s="88" t="n"/>
      <c r="P1475" s="88" t="n"/>
      <c r="Q1475" s="88" t="n"/>
      <c r="R1475" s="89" t="n"/>
      <c r="S1475" s="88" t="n"/>
      <c r="T1475" s="88" t="n"/>
      <c r="U1475" s="88" t="n"/>
      <c r="V1475" s="89" t="n"/>
      <c r="W1475" s="88" t="n"/>
      <c r="X1475" s="89" t="n"/>
      <c r="Y1475" s="88" t="n"/>
      <c r="Z1475" s="89" t="n"/>
      <c r="AB1475" s="30">
        <f>IF($B1475="","",(COUNTIF(C1475:E1475,"?*")&lt;N(INDEX(Setup!$L$6:$L$23,18)))+(COUNTIF(G1475:I1475,"?*")&lt;N(INDEX(Setup!$L$6:$L$23,18)))+(COUNTIF(K1475:M1475,"?*")&lt;N(INDEX(Setup!$L$6:$L$23,18)))+(COUNTIF(O1475:Q1475,"?*")&lt;N(INDEX(Setup!$L$6:$L$23,18)))+(COUNTIF(S1475:U1475,"?*")&lt;N(INDEX(Setup!$L$6:$L$23,18)))+((W1475="")*(INDEX(Setup!$M$6:$M$23,18)="Y"))+((Y1475="")*(INDEX(Setup!$M$6:$M$23,18)="Y")))</f>
        <v/>
      </c>
      <c r="AC1475" s="91">
        <f>IF($B1475="","",IF(AB1475=0,"✓ covered","⚠ "&amp;AB1475&amp;IF(AB1475=1," gap"," gaps")))</f>
        <v/>
      </c>
    </row>
    <row r="1476" ht="18" customHeight="1">
      <c r="A1476" t="n">
        <v>30</v>
      </c>
      <c r="B1476" s="78" t="inlineStr">
        <is>
          <t>TEAM AVAILABILITY</t>
        </is>
      </c>
      <c r="C1476" s="92" t="inlineStr">
        <is>
          <t>Mon</t>
        </is>
      </c>
      <c r="D1476" s="93" t="n"/>
      <c r="E1476" s="93" t="n"/>
      <c r="F1476" s="94" t="n"/>
      <c r="G1476" s="92" t="inlineStr">
        <is>
          <t>Tue</t>
        </is>
      </c>
      <c r="H1476" s="93" t="n"/>
      <c r="I1476" s="93" t="n"/>
      <c r="J1476" s="94" t="n"/>
      <c r="K1476" s="92" t="inlineStr">
        <is>
          <t>Wed</t>
        </is>
      </c>
      <c r="L1476" s="93" t="n"/>
      <c r="M1476" s="93" t="n"/>
      <c r="N1476" s="94" t="n"/>
      <c r="O1476" s="92" t="inlineStr">
        <is>
          <t>Thu</t>
        </is>
      </c>
      <c r="P1476" s="93" t="n"/>
      <c r="Q1476" s="93" t="n"/>
      <c r="R1476" s="94" t="n"/>
      <c r="S1476" s="92" t="inlineStr">
        <is>
          <t>Fri</t>
        </is>
      </c>
      <c r="T1476" s="93" t="n"/>
      <c r="U1476" s="93" t="n"/>
      <c r="V1476" s="94" t="n"/>
      <c r="W1476" s="95" t="inlineStr">
        <is>
          <t>Sat</t>
        </is>
      </c>
      <c r="X1476" s="96" t="n"/>
      <c r="Y1476" s="95" t="inlineStr">
        <is>
          <t>Sun</t>
        </is>
      </c>
      <c r="Z1476" s="96" t="n"/>
      <c r="AB1476" s="97" t="inlineStr">
        <is>
          <t>Days rostered</t>
        </is>
      </c>
      <c r="AC1476" s="97" t="inlineStr">
        <is>
          <t>Conflicts</t>
        </is>
      </c>
    </row>
    <row r="1477" ht="15" customHeight="1">
      <c r="A1477" t="n">
        <v>30</v>
      </c>
      <c r="B1477" s="35">
        <f>IF(Setup!$B$6="","",Setup!$B$6)</f>
        <v/>
      </c>
      <c r="C1477" s="98" t="n"/>
      <c r="D1477" s="99" t="n"/>
      <c r="E1477" s="99" t="n"/>
      <c r="F1477" s="100" t="n"/>
      <c r="G1477" s="98" t="n"/>
      <c r="H1477" s="99" t="n"/>
      <c r="I1477" s="99" t="n"/>
      <c r="J1477" s="100" t="n"/>
      <c r="K1477" s="98" t="n"/>
      <c r="L1477" s="99" t="n"/>
      <c r="M1477" s="99" t="n"/>
      <c r="N1477" s="100" t="n"/>
      <c r="O1477" s="98" t="n"/>
      <c r="P1477" s="99" t="n"/>
      <c r="Q1477" s="99" t="n"/>
      <c r="R1477" s="100" t="n"/>
      <c r="S1477" s="98" t="n"/>
      <c r="T1477" s="99" t="n"/>
      <c r="U1477" s="99" t="n"/>
      <c r="V1477" s="100" t="n"/>
      <c r="W1477" s="98" t="n"/>
      <c r="X1477" s="100" t="n"/>
      <c r="Y1477" s="98" t="n"/>
      <c r="Z1477" s="100" t="n"/>
      <c r="AB1477" s="101">
        <f>IF($B1477="","",(COUNTIF(C1458:E1475,$B1477)+COUNTIF(C1458:E1475,$B1477&amp;" ~*")&gt;0)+(COUNTIF(G1458:I1475,$B1477)+COUNTIF(G1458:I1475,$B1477&amp;" ~*")&gt;0)+(COUNTIF(K1458:M1475,$B1477)+COUNTIF(K1458:M1475,$B1477&amp;" ~*")&gt;0)+(COUNTIF(O1458:Q1475,$B1477)+COUNTIF(O1458:Q1475,$B1477&amp;" ~*")&gt;0)+(COUNTIF(S1458:U1475,$B1477)+COUNTIF(S1458:U1475,$B1477&amp;" ~*")&gt;0)+(COUNTIF(W1458:W1475,$B1477)+COUNTIF(W1458:W1475,$B1477&amp;" ~*")&gt;0)+(COUNTIF(Y1458:Y1475,$B1477)+COUNTIF(Y1458:Y1475,$B1477&amp;" ~*")&gt;0))</f>
        <v/>
      </c>
      <c r="AC1477" s="36">
        <f>IF($B1477="","",(IFERROR(INDEX(Setup!$G$33:$G$40,MATCH(C1477,Setup!$B$33:$B$40,0)),0)=1)*(COUNTIF(C1458:E1475,$B1477)+COUNTIF(C1458:E1475,$B1477&amp;" ~*")&gt;0)+(IFERROR(INDEX(Setup!$G$33:$G$40,MATCH(G1477,Setup!$B$33:$B$40,0)),0)=1)*(COUNTIF(G1458:I1475,$B1477)+COUNTIF(G1458:I1475,$B1477&amp;" ~*")&gt;0)+(IFERROR(INDEX(Setup!$G$33:$G$40,MATCH(K1477,Setup!$B$33:$B$40,0)),0)=1)*(COUNTIF(K1458:M1475,$B1477)+COUNTIF(K1458:M1475,$B1477&amp;" ~*")&gt;0)+(IFERROR(INDEX(Setup!$G$33:$G$40,MATCH(O1477,Setup!$B$33:$B$40,0)),0)=1)*(COUNTIF(O1458:Q1475,$B1477)+COUNTIF(O1458:Q1475,$B1477&amp;" ~*")&gt;0)+(IFERROR(INDEX(Setup!$G$33:$G$40,MATCH(S1477,Setup!$B$33:$B$40,0)),0)=1)*(COUNTIF(S1458:U1475,$B1477)+COUNTIF(S1458:U1475,$B1477&amp;" ~*")&gt;0)+(IFERROR(INDEX(Setup!$G$33:$G$40,MATCH(W1477,Setup!$B$33:$B$40,0)),0)=1)*(COUNTIF(W1458:W1475,$B1477)+COUNTIF(W1458:W1475,$B1477&amp;" ~*")&gt;0)+(IFERROR(INDEX(Setup!$G$33:$G$40,MATCH(Y1477,Setup!$B$33:$B$40,0)),0)=1)*(COUNTIF(Y1458:Y1475,$B1477)+COUNTIF(Y1458:Y1475,$B1477&amp;" ~*")&gt;0))</f>
        <v/>
      </c>
    </row>
    <row r="1478" ht="15" customHeight="1">
      <c r="A1478" t="n">
        <v>30</v>
      </c>
      <c r="B1478" s="37">
        <f>IF(Setup!$B$7="","",Setup!$B$7)</f>
        <v/>
      </c>
      <c r="C1478" s="102" t="n"/>
      <c r="D1478" s="103" t="n"/>
      <c r="E1478" s="103" t="n"/>
      <c r="F1478" s="104" t="n"/>
      <c r="G1478" s="102" t="n"/>
      <c r="H1478" s="103" t="n"/>
      <c r="I1478" s="103" t="n"/>
      <c r="J1478" s="104" t="n"/>
      <c r="K1478" s="102" t="n"/>
      <c r="L1478" s="103" t="n"/>
      <c r="M1478" s="103" t="n"/>
      <c r="N1478" s="104" t="n"/>
      <c r="O1478" s="102" t="n"/>
      <c r="P1478" s="103" t="n"/>
      <c r="Q1478" s="103" t="n"/>
      <c r="R1478" s="104" t="n"/>
      <c r="S1478" s="102" t="n"/>
      <c r="T1478" s="103" t="n"/>
      <c r="U1478" s="103" t="n"/>
      <c r="V1478" s="104" t="n"/>
      <c r="W1478" s="102" t="n"/>
      <c r="X1478" s="104" t="n"/>
      <c r="Y1478" s="102" t="n"/>
      <c r="Z1478" s="104" t="n"/>
      <c r="AB1478" s="105">
        <f>IF($B1478="","",(COUNTIF(C1458:E1475,$B1478)+COUNTIF(C1458:E1475,$B1478&amp;" ~*")&gt;0)+(COUNTIF(G1458:I1475,$B1478)+COUNTIF(G1458:I1475,$B1478&amp;" ~*")&gt;0)+(COUNTIF(K1458:M1475,$B1478)+COUNTIF(K1458:M1475,$B1478&amp;" ~*")&gt;0)+(COUNTIF(O1458:Q1475,$B1478)+COUNTIF(O1458:Q1475,$B1478&amp;" ~*")&gt;0)+(COUNTIF(S1458:U1475,$B1478)+COUNTIF(S1458:U1475,$B1478&amp;" ~*")&gt;0)+(COUNTIF(W1458:W1475,$B1478)+COUNTIF(W1458:W1475,$B1478&amp;" ~*")&gt;0)+(COUNTIF(Y1458:Y1475,$B1478)+COUNTIF(Y1458:Y1475,$B1478&amp;" ~*")&gt;0))</f>
        <v/>
      </c>
      <c r="AC1478" s="38">
        <f>IF($B1478="","",(IFERROR(INDEX(Setup!$G$33:$G$40,MATCH(C1478,Setup!$B$33:$B$40,0)),0)=1)*(COUNTIF(C1458:E1475,$B1478)+COUNTIF(C1458:E1475,$B1478&amp;" ~*")&gt;0)+(IFERROR(INDEX(Setup!$G$33:$G$40,MATCH(G1478,Setup!$B$33:$B$40,0)),0)=1)*(COUNTIF(G1458:I1475,$B1478)+COUNTIF(G1458:I1475,$B1478&amp;" ~*")&gt;0)+(IFERROR(INDEX(Setup!$G$33:$G$40,MATCH(K1478,Setup!$B$33:$B$40,0)),0)=1)*(COUNTIF(K1458:M1475,$B1478)+COUNTIF(K1458:M1475,$B1478&amp;" ~*")&gt;0)+(IFERROR(INDEX(Setup!$G$33:$G$40,MATCH(O1478,Setup!$B$33:$B$40,0)),0)=1)*(COUNTIF(O1458:Q1475,$B1478)+COUNTIF(O1458:Q1475,$B1478&amp;" ~*")&gt;0)+(IFERROR(INDEX(Setup!$G$33:$G$40,MATCH(S1478,Setup!$B$33:$B$40,0)),0)=1)*(COUNTIF(S1458:U1475,$B1478)+COUNTIF(S1458:U1475,$B1478&amp;" ~*")&gt;0)+(IFERROR(INDEX(Setup!$G$33:$G$40,MATCH(W1478,Setup!$B$33:$B$40,0)),0)=1)*(COUNTIF(W1458:W1475,$B1478)+COUNTIF(W1458:W1475,$B1478&amp;" ~*")&gt;0)+(IFERROR(INDEX(Setup!$G$33:$G$40,MATCH(Y1478,Setup!$B$33:$B$40,0)),0)=1)*(COUNTIF(Y1458:Y1475,$B1478)+COUNTIF(Y1458:Y1475,$B1478&amp;" ~*")&gt;0))</f>
        <v/>
      </c>
    </row>
    <row r="1479" ht="15" customHeight="1">
      <c r="A1479" t="n">
        <v>30</v>
      </c>
      <c r="B1479" s="35">
        <f>IF(Setup!$B$8="","",Setup!$B$8)</f>
        <v/>
      </c>
      <c r="C1479" s="98" t="n"/>
      <c r="D1479" s="99" t="n"/>
      <c r="E1479" s="99" t="n"/>
      <c r="F1479" s="100" t="n"/>
      <c r="G1479" s="98" t="n"/>
      <c r="H1479" s="99" t="n"/>
      <c r="I1479" s="99" t="n"/>
      <c r="J1479" s="100" t="n"/>
      <c r="K1479" s="98" t="n"/>
      <c r="L1479" s="99" t="n"/>
      <c r="M1479" s="99" t="n"/>
      <c r="N1479" s="100" t="n"/>
      <c r="O1479" s="98" t="n"/>
      <c r="P1479" s="99" t="n"/>
      <c r="Q1479" s="99" t="n"/>
      <c r="R1479" s="100" t="n"/>
      <c r="S1479" s="98" t="n"/>
      <c r="T1479" s="99" t="n"/>
      <c r="U1479" s="99" t="n"/>
      <c r="V1479" s="100" t="n"/>
      <c r="W1479" s="98" t="n"/>
      <c r="X1479" s="100" t="n"/>
      <c r="Y1479" s="98" t="n"/>
      <c r="Z1479" s="100" t="n"/>
      <c r="AB1479" s="101">
        <f>IF($B1479="","",(COUNTIF(C1458:E1475,$B1479)+COUNTIF(C1458:E1475,$B1479&amp;" ~*")&gt;0)+(COUNTIF(G1458:I1475,$B1479)+COUNTIF(G1458:I1475,$B1479&amp;" ~*")&gt;0)+(COUNTIF(K1458:M1475,$B1479)+COUNTIF(K1458:M1475,$B1479&amp;" ~*")&gt;0)+(COUNTIF(O1458:Q1475,$B1479)+COUNTIF(O1458:Q1475,$B1479&amp;" ~*")&gt;0)+(COUNTIF(S1458:U1475,$B1479)+COUNTIF(S1458:U1475,$B1479&amp;" ~*")&gt;0)+(COUNTIF(W1458:W1475,$B1479)+COUNTIF(W1458:W1475,$B1479&amp;" ~*")&gt;0)+(COUNTIF(Y1458:Y1475,$B1479)+COUNTIF(Y1458:Y1475,$B1479&amp;" ~*")&gt;0))</f>
        <v/>
      </c>
      <c r="AC1479" s="36">
        <f>IF($B1479="","",(IFERROR(INDEX(Setup!$G$33:$G$40,MATCH(C1479,Setup!$B$33:$B$40,0)),0)=1)*(COUNTIF(C1458:E1475,$B1479)+COUNTIF(C1458:E1475,$B1479&amp;" ~*")&gt;0)+(IFERROR(INDEX(Setup!$G$33:$G$40,MATCH(G1479,Setup!$B$33:$B$40,0)),0)=1)*(COUNTIF(G1458:I1475,$B1479)+COUNTIF(G1458:I1475,$B1479&amp;" ~*")&gt;0)+(IFERROR(INDEX(Setup!$G$33:$G$40,MATCH(K1479,Setup!$B$33:$B$40,0)),0)=1)*(COUNTIF(K1458:M1475,$B1479)+COUNTIF(K1458:M1475,$B1479&amp;" ~*")&gt;0)+(IFERROR(INDEX(Setup!$G$33:$G$40,MATCH(O1479,Setup!$B$33:$B$40,0)),0)=1)*(COUNTIF(O1458:Q1475,$B1479)+COUNTIF(O1458:Q1475,$B1479&amp;" ~*")&gt;0)+(IFERROR(INDEX(Setup!$G$33:$G$40,MATCH(S1479,Setup!$B$33:$B$40,0)),0)=1)*(COUNTIF(S1458:U1475,$B1479)+COUNTIF(S1458:U1475,$B1479&amp;" ~*")&gt;0)+(IFERROR(INDEX(Setup!$G$33:$G$40,MATCH(W1479,Setup!$B$33:$B$40,0)),0)=1)*(COUNTIF(W1458:W1475,$B1479)+COUNTIF(W1458:W1475,$B1479&amp;" ~*")&gt;0)+(IFERROR(INDEX(Setup!$G$33:$G$40,MATCH(Y1479,Setup!$B$33:$B$40,0)),0)=1)*(COUNTIF(Y1458:Y1475,$B1479)+COUNTIF(Y1458:Y1475,$B1479&amp;" ~*")&gt;0))</f>
        <v/>
      </c>
    </row>
    <row r="1480" ht="15" customHeight="1">
      <c r="A1480" t="n">
        <v>30</v>
      </c>
      <c r="B1480" s="37">
        <f>IF(Setup!$B$9="","",Setup!$B$9)</f>
        <v/>
      </c>
      <c r="C1480" s="102" t="n"/>
      <c r="D1480" s="103" t="n"/>
      <c r="E1480" s="103" t="n"/>
      <c r="F1480" s="104" t="n"/>
      <c r="G1480" s="102" t="n"/>
      <c r="H1480" s="103" t="n"/>
      <c r="I1480" s="103" t="n"/>
      <c r="J1480" s="104" t="n"/>
      <c r="K1480" s="102" t="n"/>
      <c r="L1480" s="103" t="n"/>
      <c r="M1480" s="103" t="n"/>
      <c r="N1480" s="104" t="n"/>
      <c r="O1480" s="102" t="n"/>
      <c r="P1480" s="103" t="n"/>
      <c r="Q1480" s="103" t="n"/>
      <c r="R1480" s="104" t="n"/>
      <c r="S1480" s="102" t="n"/>
      <c r="T1480" s="103" t="n"/>
      <c r="U1480" s="103" t="n"/>
      <c r="V1480" s="104" t="n"/>
      <c r="W1480" s="102" t="n"/>
      <c r="X1480" s="104" t="n"/>
      <c r="Y1480" s="102" t="n"/>
      <c r="Z1480" s="104" t="n"/>
      <c r="AB1480" s="105">
        <f>IF($B1480="","",(COUNTIF(C1458:E1475,$B1480)+COUNTIF(C1458:E1475,$B1480&amp;" ~*")&gt;0)+(COUNTIF(G1458:I1475,$B1480)+COUNTIF(G1458:I1475,$B1480&amp;" ~*")&gt;0)+(COUNTIF(K1458:M1475,$B1480)+COUNTIF(K1458:M1475,$B1480&amp;" ~*")&gt;0)+(COUNTIF(O1458:Q1475,$B1480)+COUNTIF(O1458:Q1475,$B1480&amp;" ~*")&gt;0)+(COUNTIF(S1458:U1475,$B1480)+COUNTIF(S1458:U1475,$B1480&amp;" ~*")&gt;0)+(COUNTIF(W1458:W1475,$B1480)+COUNTIF(W1458:W1475,$B1480&amp;" ~*")&gt;0)+(COUNTIF(Y1458:Y1475,$B1480)+COUNTIF(Y1458:Y1475,$B1480&amp;" ~*")&gt;0))</f>
        <v/>
      </c>
      <c r="AC1480" s="38">
        <f>IF($B1480="","",(IFERROR(INDEX(Setup!$G$33:$G$40,MATCH(C1480,Setup!$B$33:$B$40,0)),0)=1)*(COUNTIF(C1458:E1475,$B1480)+COUNTIF(C1458:E1475,$B1480&amp;" ~*")&gt;0)+(IFERROR(INDEX(Setup!$G$33:$G$40,MATCH(G1480,Setup!$B$33:$B$40,0)),0)=1)*(COUNTIF(G1458:I1475,$B1480)+COUNTIF(G1458:I1475,$B1480&amp;" ~*")&gt;0)+(IFERROR(INDEX(Setup!$G$33:$G$40,MATCH(K1480,Setup!$B$33:$B$40,0)),0)=1)*(COUNTIF(K1458:M1475,$B1480)+COUNTIF(K1458:M1475,$B1480&amp;" ~*")&gt;0)+(IFERROR(INDEX(Setup!$G$33:$G$40,MATCH(O1480,Setup!$B$33:$B$40,0)),0)=1)*(COUNTIF(O1458:Q1475,$B1480)+COUNTIF(O1458:Q1475,$B1480&amp;" ~*")&gt;0)+(IFERROR(INDEX(Setup!$G$33:$G$40,MATCH(S1480,Setup!$B$33:$B$40,0)),0)=1)*(COUNTIF(S1458:U1475,$B1480)+COUNTIF(S1458:U1475,$B1480&amp;" ~*")&gt;0)+(IFERROR(INDEX(Setup!$G$33:$G$40,MATCH(W1480,Setup!$B$33:$B$40,0)),0)=1)*(COUNTIF(W1458:W1475,$B1480)+COUNTIF(W1458:W1475,$B1480&amp;" ~*")&gt;0)+(IFERROR(INDEX(Setup!$G$33:$G$40,MATCH(Y1480,Setup!$B$33:$B$40,0)),0)=1)*(COUNTIF(Y1458:Y1475,$B1480)+COUNTIF(Y1458:Y1475,$B1480&amp;" ~*")&gt;0))</f>
        <v/>
      </c>
    </row>
    <row r="1481" ht="15" customHeight="1">
      <c r="A1481" t="n">
        <v>30</v>
      </c>
      <c r="B1481" s="35">
        <f>IF(Setup!$B$10="","",Setup!$B$10)</f>
        <v/>
      </c>
      <c r="C1481" s="98" t="n"/>
      <c r="D1481" s="99" t="n"/>
      <c r="E1481" s="99" t="n"/>
      <c r="F1481" s="100" t="n"/>
      <c r="G1481" s="98" t="n"/>
      <c r="H1481" s="99" t="n"/>
      <c r="I1481" s="99" t="n"/>
      <c r="J1481" s="100" t="n"/>
      <c r="K1481" s="98" t="n"/>
      <c r="L1481" s="99" t="n"/>
      <c r="M1481" s="99" t="n"/>
      <c r="N1481" s="100" t="n"/>
      <c r="O1481" s="98" t="n"/>
      <c r="P1481" s="99" t="n"/>
      <c r="Q1481" s="99" t="n"/>
      <c r="R1481" s="100" t="n"/>
      <c r="S1481" s="98" t="n"/>
      <c r="T1481" s="99" t="n"/>
      <c r="U1481" s="99" t="n"/>
      <c r="V1481" s="100" t="n"/>
      <c r="W1481" s="98" t="n"/>
      <c r="X1481" s="100" t="n"/>
      <c r="Y1481" s="98" t="n"/>
      <c r="Z1481" s="100" t="n"/>
      <c r="AB1481" s="101">
        <f>IF($B1481="","",(COUNTIF(C1458:E1475,$B1481)+COUNTIF(C1458:E1475,$B1481&amp;" ~*")&gt;0)+(COUNTIF(G1458:I1475,$B1481)+COUNTIF(G1458:I1475,$B1481&amp;" ~*")&gt;0)+(COUNTIF(K1458:M1475,$B1481)+COUNTIF(K1458:M1475,$B1481&amp;" ~*")&gt;0)+(COUNTIF(O1458:Q1475,$B1481)+COUNTIF(O1458:Q1475,$B1481&amp;" ~*")&gt;0)+(COUNTIF(S1458:U1475,$B1481)+COUNTIF(S1458:U1475,$B1481&amp;" ~*")&gt;0)+(COUNTIF(W1458:W1475,$B1481)+COUNTIF(W1458:W1475,$B1481&amp;" ~*")&gt;0)+(COUNTIF(Y1458:Y1475,$B1481)+COUNTIF(Y1458:Y1475,$B1481&amp;" ~*")&gt;0))</f>
        <v/>
      </c>
      <c r="AC1481" s="36">
        <f>IF($B1481="","",(IFERROR(INDEX(Setup!$G$33:$G$40,MATCH(C1481,Setup!$B$33:$B$40,0)),0)=1)*(COUNTIF(C1458:E1475,$B1481)+COUNTIF(C1458:E1475,$B1481&amp;" ~*")&gt;0)+(IFERROR(INDEX(Setup!$G$33:$G$40,MATCH(G1481,Setup!$B$33:$B$40,0)),0)=1)*(COUNTIF(G1458:I1475,$B1481)+COUNTIF(G1458:I1475,$B1481&amp;" ~*")&gt;0)+(IFERROR(INDEX(Setup!$G$33:$G$40,MATCH(K1481,Setup!$B$33:$B$40,0)),0)=1)*(COUNTIF(K1458:M1475,$B1481)+COUNTIF(K1458:M1475,$B1481&amp;" ~*")&gt;0)+(IFERROR(INDEX(Setup!$G$33:$G$40,MATCH(O1481,Setup!$B$33:$B$40,0)),0)=1)*(COUNTIF(O1458:Q1475,$B1481)+COUNTIF(O1458:Q1475,$B1481&amp;" ~*")&gt;0)+(IFERROR(INDEX(Setup!$G$33:$G$40,MATCH(S1481,Setup!$B$33:$B$40,0)),0)=1)*(COUNTIF(S1458:U1475,$B1481)+COUNTIF(S1458:U1475,$B1481&amp;" ~*")&gt;0)+(IFERROR(INDEX(Setup!$G$33:$G$40,MATCH(W1481,Setup!$B$33:$B$40,0)),0)=1)*(COUNTIF(W1458:W1475,$B1481)+COUNTIF(W1458:W1475,$B1481&amp;" ~*")&gt;0)+(IFERROR(INDEX(Setup!$G$33:$G$40,MATCH(Y1481,Setup!$B$33:$B$40,0)),0)=1)*(COUNTIF(Y1458:Y1475,$B1481)+COUNTIF(Y1458:Y1475,$B1481&amp;" ~*")&gt;0))</f>
        <v/>
      </c>
    </row>
    <row r="1482" ht="15" customHeight="1">
      <c r="A1482" t="n">
        <v>30</v>
      </c>
      <c r="B1482" s="37">
        <f>IF(Setup!$B$11="","",Setup!$B$11)</f>
        <v/>
      </c>
      <c r="C1482" s="102" t="n"/>
      <c r="D1482" s="103" t="n"/>
      <c r="E1482" s="103" t="n"/>
      <c r="F1482" s="104" t="n"/>
      <c r="G1482" s="102" t="n"/>
      <c r="H1482" s="103" t="n"/>
      <c r="I1482" s="103" t="n"/>
      <c r="J1482" s="104" t="n"/>
      <c r="K1482" s="102" t="n"/>
      <c r="L1482" s="103" t="n"/>
      <c r="M1482" s="103" t="n"/>
      <c r="N1482" s="104" t="n"/>
      <c r="O1482" s="102" t="n"/>
      <c r="P1482" s="103" t="n"/>
      <c r="Q1482" s="103" t="n"/>
      <c r="R1482" s="104" t="n"/>
      <c r="S1482" s="102" t="n"/>
      <c r="T1482" s="103" t="n"/>
      <c r="U1482" s="103" t="n"/>
      <c r="V1482" s="104" t="n"/>
      <c r="W1482" s="102" t="n"/>
      <c r="X1482" s="104" t="n"/>
      <c r="Y1482" s="102" t="n"/>
      <c r="Z1482" s="104" t="n"/>
      <c r="AB1482" s="105">
        <f>IF($B1482="","",(COUNTIF(C1458:E1475,$B1482)+COUNTIF(C1458:E1475,$B1482&amp;" ~*")&gt;0)+(COUNTIF(G1458:I1475,$B1482)+COUNTIF(G1458:I1475,$B1482&amp;" ~*")&gt;0)+(COUNTIF(K1458:M1475,$B1482)+COUNTIF(K1458:M1475,$B1482&amp;" ~*")&gt;0)+(COUNTIF(O1458:Q1475,$B1482)+COUNTIF(O1458:Q1475,$B1482&amp;" ~*")&gt;0)+(COUNTIF(S1458:U1475,$B1482)+COUNTIF(S1458:U1475,$B1482&amp;" ~*")&gt;0)+(COUNTIF(W1458:W1475,$B1482)+COUNTIF(W1458:W1475,$B1482&amp;" ~*")&gt;0)+(COUNTIF(Y1458:Y1475,$B1482)+COUNTIF(Y1458:Y1475,$B1482&amp;" ~*")&gt;0))</f>
        <v/>
      </c>
      <c r="AC1482" s="38">
        <f>IF($B1482="","",(IFERROR(INDEX(Setup!$G$33:$G$40,MATCH(C1482,Setup!$B$33:$B$40,0)),0)=1)*(COUNTIF(C1458:E1475,$B1482)+COUNTIF(C1458:E1475,$B1482&amp;" ~*")&gt;0)+(IFERROR(INDEX(Setup!$G$33:$G$40,MATCH(G1482,Setup!$B$33:$B$40,0)),0)=1)*(COUNTIF(G1458:I1475,$B1482)+COUNTIF(G1458:I1475,$B1482&amp;" ~*")&gt;0)+(IFERROR(INDEX(Setup!$G$33:$G$40,MATCH(K1482,Setup!$B$33:$B$40,0)),0)=1)*(COUNTIF(K1458:M1475,$B1482)+COUNTIF(K1458:M1475,$B1482&amp;" ~*")&gt;0)+(IFERROR(INDEX(Setup!$G$33:$G$40,MATCH(O1482,Setup!$B$33:$B$40,0)),0)=1)*(COUNTIF(O1458:Q1475,$B1482)+COUNTIF(O1458:Q1475,$B1482&amp;" ~*")&gt;0)+(IFERROR(INDEX(Setup!$G$33:$G$40,MATCH(S1482,Setup!$B$33:$B$40,0)),0)=1)*(COUNTIF(S1458:U1475,$B1482)+COUNTIF(S1458:U1475,$B1482&amp;" ~*")&gt;0)+(IFERROR(INDEX(Setup!$G$33:$G$40,MATCH(W1482,Setup!$B$33:$B$40,0)),0)=1)*(COUNTIF(W1458:W1475,$B1482)+COUNTIF(W1458:W1475,$B1482&amp;" ~*")&gt;0)+(IFERROR(INDEX(Setup!$G$33:$G$40,MATCH(Y1482,Setup!$B$33:$B$40,0)),0)=1)*(COUNTIF(Y1458:Y1475,$B1482)+COUNTIF(Y1458:Y1475,$B1482&amp;" ~*")&gt;0))</f>
        <v/>
      </c>
    </row>
    <row r="1483" ht="15" customHeight="1">
      <c r="A1483" t="n">
        <v>30</v>
      </c>
      <c r="B1483" s="35">
        <f>IF(Setup!$B$12="","",Setup!$B$12)</f>
        <v/>
      </c>
      <c r="C1483" s="98" t="n"/>
      <c r="D1483" s="99" t="n"/>
      <c r="E1483" s="99" t="n"/>
      <c r="F1483" s="100" t="n"/>
      <c r="G1483" s="98" t="n"/>
      <c r="H1483" s="99" t="n"/>
      <c r="I1483" s="99" t="n"/>
      <c r="J1483" s="100" t="n"/>
      <c r="K1483" s="98" t="n"/>
      <c r="L1483" s="99" t="n"/>
      <c r="M1483" s="99" t="n"/>
      <c r="N1483" s="100" t="n"/>
      <c r="O1483" s="98" t="n"/>
      <c r="P1483" s="99" t="n"/>
      <c r="Q1483" s="99" t="n"/>
      <c r="R1483" s="100" t="n"/>
      <c r="S1483" s="98" t="n"/>
      <c r="T1483" s="99" t="n"/>
      <c r="U1483" s="99" t="n"/>
      <c r="V1483" s="100" t="n"/>
      <c r="W1483" s="98" t="n"/>
      <c r="X1483" s="100" t="n"/>
      <c r="Y1483" s="98" t="n"/>
      <c r="Z1483" s="100" t="n"/>
      <c r="AB1483" s="101">
        <f>IF($B1483="","",(COUNTIF(C1458:E1475,$B1483)+COUNTIF(C1458:E1475,$B1483&amp;" ~*")&gt;0)+(COUNTIF(G1458:I1475,$B1483)+COUNTIF(G1458:I1475,$B1483&amp;" ~*")&gt;0)+(COUNTIF(K1458:M1475,$B1483)+COUNTIF(K1458:M1475,$B1483&amp;" ~*")&gt;0)+(COUNTIF(O1458:Q1475,$B1483)+COUNTIF(O1458:Q1475,$B1483&amp;" ~*")&gt;0)+(COUNTIF(S1458:U1475,$B1483)+COUNTIF(S1458:U1475,$B1483&amp;" ~*")&gt;0)+(COUNTIF(W1458:W1475,$B1483)+COUNTIF(W1458:W1475,$B1483&amp;" ~*")&gt;0)+(COUNTIF(Y1458:Y1475,$B1483)+COUNTIF(Y1458:Y1475,$B1483&amp;" ~*")&gt;0))</f>
        <v/>
      </c>
      <c r="AC1483" s="36">
        <f>IF($B1483="","",(IFERROR(INDEX(Setup!$G$33:$G$40,MATCH(C1483,Setup!$B$33:$B$40,0)),0)=1)*(COUNTIF(C1458:E1475,$B1483)+COUNTIF(C1458:E1475,$B1483&amp;" ~*")&gt;0)+(IFERROR(INDEX(Setup!$G$33:$G$40,MATCH(G1483,Setup!$B$33:$B$40,0)),0)=1)*(COUNTIF(G1458:I1475,$B1483)+COUNTIF(G1458:I1475,$B1483&amp;" ~*")&gt;0)+(IFERROR(INDEX(Setup!$G$33:$G$40,MATCH(K1483,Setup!$B$33:$B$40,0)),0)=1)*(COUNTIF(K1458:M1475,$B1483)+COUNTIF(K1458:M1475,$B1483&amp;" ~*")&gt;0)+(IFERROR(INDEX(Setup!$G$33:$G$40,MATCH(O1483,Setup!$B$33:$B$40,0)),0)=1)*(COUNTIF(O1458:Q1475,$B1483)+COUNTIF(O1458:Q1475,$B1483&amp;" ~*")&gt;0)+(IFERROR(INDEX(Setup!$G$33:$G$40,MATCH(S1483,Setup!$B$33:$B$40,0)),0)=1)*(COUNTIF(S1458:U1475,$B1483)+COUNTIF(S1458:U1475,$B1483&amp;" ~*")&gt;0)+(IFERROR(INDEX(Setup!$G$33:$G$40,MATCH(W1483,Setup!$B$33:$B$40,0)),0)=1)*(COUNTIF(W1458:W1475,$B1483)+COUNTIF(W1458:W1475,$B1483&amp;" ~*")&gt;0)+(IFERROR(INDEX(Setup!$G$33:$G$40,MATCH(Y1483,Setup!$B$33:$B$40,0)),0)=1)*(COUNTIF(Y1458:Y1475,$B1483)+COUNTIF(Y1458:Y1475,$B1483&amp;" ~*")&gt;0))</f>
        <v/>
      </c>
    </row>
    <row r="1484" ht="15" customHeight="1">
      <c r="A1484" t="n">
        <v>30</v>
      </c>
      <c r="B1484" s="37">
        <f>IF(Setup!$B$13="","",Setup!$B$13)</f>
        <v/>
      </c>
      <c r="C1484" s="102" t="n"/>
      <c r="D1484" s="103" t="n"/>
      <c r="E1484" s="103" t="n"/>
      <c r="F1484" s="104" t="n"/>
      <c r="G1484" s="102" t="n"/>
      <c r="H1484" s="103" t="n"/>
      <c r="I1484" s="103" t="n"/>
      <c r="J1484" s="104" t="n"/>
      <c r="K1484" s="102" t="n"/>
      <c r="L1484" s="103" t="n"/>
      <c r="M1484" s="103" t="n"/>
      <c r="N1484" s="104" t="n"/>
      <c r="O1484" s="102" t="n"/>
      <c r="P1484" s="103" t="n"/>
      <c r="Q1484" s="103" t="n"/>
      <c r="R1484" s="104" t="n"/>
      <c r="S1484" s="102" t="n"/>
      <c r="T1484" s="103" t="n"/>
      <c r="U1484" s="103" t="n"/>
      <c r="V1484" s="104" t="n"/>
      <c r="W1484" s="102" t="n"/>
      <c r="X1484" s="104" t="n"/>
      <c r="Y1484" s="102" t="n"/>
      <c r="Z1484" s="104" t="n"/>
      <c r="AB1484" s="105">
        <f>IF($B1484="","",(COUNTIF(C1458:E1475,$B1484)+COUNTIF(C1458:E1475,$B1484&amp;" ~*")&gt;0)+(COUNTIF(G1458:I1475,$B1484)+COUNTIF(G1458:I1475,$B1484&amp;" ~*")&gt;0)+(COUNTIF(K1458:M1475,$B1484)+COUNTIF(K1458:M1475,$B1484&amp;" ~*")&gt;0)+(COUNTIF(O1458:Q1475,$B1484)+COUNTIF(O1458:Q1475,$B1484&amp;" ~*")&gt;0)+(COUNTIF(S1458:U1475,$B1484)+COUNTIF(S1458:U1475,$B1484&amp;" ~*")&gt;0)+(COUNTIF(W1458:W1475,$B1484)+COUNTIF(W1458:W1475,$B1484&amp;" ~*")&gt;0)+(COUNTIF(Y1458:Y1475,$B1484)+COUNTIF(Y1458:Y1475,$B1484&amp;" ~*")&gt;0))</f>
        <v/>
      </c>
      <c r="AC1484" s="38">
        <f>IF($B1484="","",(IFERROR(INDEX(Setup!$G$33:$G$40,MATCH(C1484,Setup!$B$33:$B$40,0)),0)=1)*(COUNTIF(C1458:E1475,$B1484)+COUNTIF(C1458:E1475,$B1484&amp;" ~*")&gt;0)+(IFERROR(INDEX(Setup!$G$33:$G$40,MATCH(G1484,Setup!$B$33:$B$40,0)),0)=1)*(COUNTIF(G1458:I1475,$B1484)+COUNTIF(G1458:I1475,$B1484&amp;" ~*")&gt;0)+(IFERROR(INDEX(Setup!$G$33:$G$40,MATCH(K1484,Setup!$B$33:$B$40,0)),0)=1)*(COUNTIF(K1458:M1475,$B1484)+COUNTIF(K1458:M1475,$B1484&amp;" ~*")&gt;0)+(IFERROR(INDEX(Setup!$G$33:$G$40,MATCH(O1484,Setup!$B$33:$B$40,0)),0)=1)*(COUNTIF(O1458:Q1475,$B1484)+COUNTIF(O1458:Q1475,$B1484&amp;" ~*")&gt;0)+(IFERROR(INDEX(Setup!$G$33:$G$40,MATCH(S1484,Setup!$B$33:$B$40,0)),0)=1)*(COUNTIF(S1458:U1475,$B1484)+COUNTIF(S1458:U1475,$B1484&amp;" ~*")&gt;0)+(IFERROR(INDEX(Setup!$G$33:$G$40,MATCH(W1484,Setup!$B$33:$B$40,0)),0)=1)*(COUNTIF(W1458:W1475,$B1484)+COUNTIF(W1458:W1475,$B1484&amp;" ~*")&gt;0)+(IFERROR(INDEX(Setup!$G$33:$G$40,MATCH(Y1484,Setup!$B$33:$B$40,0)),0)=1)*(COUNTIF(Y1458:Y1475,$B1484)+COUNTIF(Y1458:Y1475,$B1484&amp;" ~*")&gt;0))</f>
        <v/>
      </c>
    </row>
    <row r="1485" ht="15" customHeight="1">
      <c r="A1485" t="n">
        <v>30</v>
      </c>
      <c r="B1485" s="35">
        <f>IF(Setup!$B$14="","",Setup!$B$14)</f>
        <v/>
      </c>
      <c r="C1485" s="98" t="n"/>
      <c r="D1485" s="99" t="n"/>
      <c r="E1485" s="99" t="n"/>
      <c r="F1485" s="100" t="n"/>
      <c r="G1485" s="98" t="n"/>
      <c r="H1485" s="99" t="n"/>
      <c r="I1485" s="99" t="n"/>
      <c r="J1485" s="100" t="n"/>
      <c r="K1485" s="98" t="n"/>
      <c r="L1485" s="99" t="n"/>
      <c r="M1485" s="99" t="n"/>
      <c r="N1485" s="100" t="n"/>
      <c r="O1485" s="98" t="n"/>
      <c r="P1485" s="99" t="n"/>
      <c r="Q1485" s="99" t="n"/>
      <c r="R1485" s="100" t="n"/>
      <c r="S1485" s="98" t="n"/>
      <c r="T1485" s="99" t="n"/>
      <c r="U1485" s="99" t="n"/>
      <c r="V1485" s="100" t="n"/>
      <c r="W1485" s="98" t="n"/>
      <c r="X1485" s="100" t="n"/>
      <c r="Y1485" s="98" t="n"/>
      <c r="Z1485" s="100" t="n"/>
      <c r="AB1485" s="101">
        <f>IF($B1485="","",(COUNTIF(C1458:E1475,$B1485)+COUNTIF(C1458:E1475,$B1485&amp;" ~*")&gt;0)+(COUNTIF(G1458:I1475,$B1485)+COUNTIF(G1458:I1475,$B1485&amp;" ~*")&gt;0)+(COUNTIF(K1458:M1475,$B1485)+COUNTIF(K1458:M1475,$B1485&amp;" ~*")&gt;0)+(COUNTIF(O1458:Q1475,$B1485)+COUNTIF(O1458:Q1475,$B1485&amp;" ~*")&gt;0)+(COUNTIF(S1458:U1475,$B1485)+COUNTIF(S1458:U1475,$B1485&amp;" ~*")&gt;0)+(COUNTIF(W1458:W1475,$B1485)+COUNTIF(W1458:W1475,$B1485&amp;" ~*")&gt;0)+(COUNTIF(Y1458:Y1475,$B1485)+COUNTIF(Y1458:Y1475,$B1485&amp;" ~*")&gt;0))</f>
        <v/>
      </c>
      <c r="AC1485" s="36">
        <f>IF($B1485="","",(IFERROR(INDEX(Setup!$G$33:$G$40,MATCH(C1485,Setup!$B$33:$B$40,0)),0)=1)*(COUNTIF(C1458:E1475,$B1485)+COUNTIF(C1458:E1475,$B1485&amp;" ~*")&gt;0)+(IFERROR(INDEX(Setup!$G$33:$G$40,MATCH(G1485,Setup!$B$33:$B$40,0)),0)=1)*(COUNTIF(G1458:I1475,$B1485)+COUNTIF(G1458:I1475,$B1485&amp;" ~*")&gt;0)+(IFERROR(INDEX(Setup!$G$33:$G$40,MATCH(K1485,Setup!$B$33:$B$40,0)),0)=1)*(COUNTIF(K1458:M1475,$B1485)+COUNTIF(K1458:M1475,$B1485&amp;" ~*")&gt;0)+(IFERROR(INDEX(Setup!$G$33:$G$40,MATCH(O1485,Setup!$B$33:$B$40,0)),0)=1)*(COUNTIF(O1458:Q1475,$B1485)+COUNTIF(O1458:Q1475,$B1485&amp;" ~*")&gt;0)+(IFERROR(INDEX(Setup!$G$33:$G$40,MATCH(S1485,Setup!$B$33:$B$40,0)),0)=1)*(COUNTIF(S1458:U1475,$B1485)+COUNTIF(S1458:U1475,$B1485&amp;" ~*")&gt;0)+(IFERROR(INDEX(Setup!$G$33:$G$40,MATCH(W1485,Setup!$B$33:$B$40,0)),0)=1)*(COUNTIF(W1458:W1475,$B1485)+COUNTIF(W1458:W1475,$B1485&amp;" ~*")&gt;0)+(IFERROR(INDEX(Setup!$G$33:$G$40,MATCH(Y1485,Setup!$B$33:$B$40,0)),0)=1)*(COUNTIF(Y1458:Y1475,$B1485)+COUNTIF(Y1458:Y1475,$B1485&amp;" ~*")&gt;0))</f>
        <v/>
      </c>
    </row>
    <row r="1486" ht="15" customHeight="1">
      <c r="A1486" t="n">
        <v>30</v>
      </c>
      <c r="B1486" s="37">
        <f>IF(Setup!$B$15="","",Setup!$B$15)</f>
        <v/>
      </c>
      <c r="C1486" s="102" t="n"/>
      <c r="D1486" s="103" t="n"/>
      <c r="E1486" s="103" t="n"/>
      <c r="F1486" s="104" t="n"/>
      <c r="G1486" s="102" t="n"/>
      <c r="H1486" s="103" t="n"/>
      <c r="I1486" s="103" t="n"/>
      <c r="J1486" s="104" t="n"/>
      <c r="K1486" s="102" t="n"/>
      <c r="L1486" s="103" t="n"/>
      <c r="M1486" s="103" t="n"/>
      <c r="N1486" s="104" t="n"/>
      <c r="O1486" s="102" t="n"/>
      <c r="P1486" s="103" t="n"/>
      <c r="Q1486" s="103" t="n"/>
      <c r="R1486" s="104" t="n"/>
      <c r="S1486" s="102" t="n"/>
      <c r="T1486" s="103" t="n"/>
      <c r="U1486" s="103" t="n"/>
      <c r="V1486" s="104" t="n"/>
      <c r="W1486" s="102" t="n"/>
      <c r="X1486" s="104" t="n"/>
      <c r="Y1486" s="102" t="n"/>
      <c r="Z1486" s="104" t="n"/>
      <c r="AB1486" s="105">
        <f>IF($B1486="","",(COUNTIF(C1458:E1475,$B1486)+COUNTIF(C1458:E1475,$B1486&amp;" ~*")&gt;0)+(COUNTIF(G1458:I1475,$B1486)+COUNTIF(G1458:I1475,$B1486&amp;" ~*")&gt;0)+(COUNTIF(K1458:M1475,$B1486)+COUNTIF(K1458:M1475,$B1486&amp;" ~*")&gt;0)+(COUNTIF(O1458:Q1475,$B1486)+COUNTIF(O1458:Q1475,$B1486&amp;" ~*")&gt;0)+(COUNTIF(S1458:U1475,$B1486)+COUNTIF(S1458:U1475,$B1486&amp;" ~*")&gt;0)+(COUNTIF(W1458:W1475,$B1486)+COUNTIF(W1458:W1475,$B1486&amp;" ~*")&gt;0)+(COUNTIF(Y1458:Y1475,$B1486)+COUNTIF(Y1458:Y1475,$B1486&amp;" ~*")&gt;0))</f>
        <v/>
      </c>
      <c r="AC1486" s="38">
        <f>IF($B1486="","",(IFERROR(INDEX(Setup!$G$33:$G$40,MATCH(C1486,Setup!$B$33:$B$40,0)),0)=1)*(COUNTIF(C1458:E1475,$B1486)+COUNTIF(C1458:E1475,$B1486&amp;" ~*")&gt;0)+(IFERROR(INDEX(Setup!$G$33:$G$40,MATCH(G1486,Setup!$B$33:$B$40,0)),0)=1)*(COUNTIF(G1458:I1475,$B1486)+COUNTIF(G1458:I1475,$B1486&amp;" ~*")&gt;0)+(IFERROR(INDEX(Setup!$G$33:$G$40,MATCH(K1486,Setup!$B$33:$B$40,0)),0)=1)*(COUNTIF(K1458:M1475,$B1486)+COUNTIF(K1458:M1475,$B1486&amp;" ~*")&gt;0)+(IFERROR(INDEX(Setup!$G$33:$G$40,MATCH(O1486,Setup!$B$33:$B$40,0)),0)=1)*(COUNTIF(O1458:Q1475,$B1486)+COUNTIF(O1458:Q1475,$B1486&amp;" ~*")&gt;0)+(IFERROR(INDEX(Setup!$G$33:$G$40,MATCH(S1486,Setup!$B$33:$B$40,0)),0)=1)*(COUNTIF(S1458:U1475,$B1486)+COUNTIF(S1458:U1475,$B1486&amp;" ~*")&gt;0)+(IFERROR(INDEX(Setup!$G$33:$G$40,MATCH(W1486,Setup!$B$33:$B$40,0)),0)=1)*(COUNTIF(W1458:W1475,$B1486)+COUNTIF(W1458:W1475,$B1486&amp;" ~*")&gt;0)+(IFERROR(INDEX(Setup!$G$33:$G$40,MATCH(Y1486,Setup!$B$33:$B$40,0)),0)=1)*(COUNTIF(Y1458:Y1475,$B1486)+COUNTIF(Y1458:Y1475,$B1486&amp;" ~*")&gt;0))</f>
        <v/>
      </c>
    </row>
    <row r="1487" ht="15" customHeight="1">
      <c r="A1487" t="n">
        <v>30</v>
      </c>
      <c r="B1487" s="35">
        <f>IF(Setup!$B$16="","",Setup!$B$16)</f>
        <v/>
      </c>
      <c r="C1487" s="98" t="n"/>
      <c r="D1487" s="99" t="n"/>
      <c r="E1487" s="99" t="n"/>
      <c r="F1487" s="100" t="n"/>
      <c r="G1487" s="98" t="n"/>
      <c r="H1487" s="99" t="n"/>
      <c r="I1487" s="99" t="n"/>
      <c r="J1487" s="100" t="n"/>
      <c r="K1487" s="98" t="n"/>
      <c r="L1487" s="99" t="n"/>
      <c r="M1487" s="99" t="n"/>
      <c r="N1487" s="100" t="n"/>
      <c r="O1487" s="98" t="n"/>
      <c r="P1487" s="99" t="n"/>
      <c r="Q1487" s="99" t="n"/>
      <c r="R1487" s="100" t="n"/>
      <c r="S1487" s="98" t="n"/>
      <c r="T1487" s="99" t="n"/>
      <c r="U1487" s="99" t="n"/>
      <c r="V1487" s="100" t="n"/>
      <c r="W1487" s="98" t="n"/>
      <c r="X1487" s="100" t="n"/>
      <c r="Y1487" s="98" t="n"/>
      <c r="Z1487" s="100" t="n"/>
      <c r="AB1487" s="101">
        <f>IF($B1487="","",(COUNTIF(C1458:E1475,$B1487)+COUNTIF(C1458:E1475,$B1487&amp;" ~*")&gt;0)+(COUNTIF(G1458:I1475,$B1487)+COUNTIF(G1458:I1475,$B1487&amp;" ~*")&gt;0)+(COUNTIF(K1458:M1475,$B1487)+COUNTIF(K1458:M1475,$B1487&amp;" ~*")&gt;0)+(COUNTIF(O1458:Q1475,$B1487)+COUNTIF(O1458:Q1475,$B1487&amp;" ~*")&gt;0)+(COUNTIF(S1458:U1475,$B1487)+COUNTIF(S1458:U1475,$B1487&amp;" ~*")&gt;0)+(COUNTIF(W1458:W1475,$B1487)+COUNTIF(W1458:W1475,$B1487&amp;" ~*")&gt;0)+(COUNTIF(Y1458:Y1475,$B1487)+COUNTIF(Y1458:Y1475,$B1487&amp;" ~*")&gt;0))</f>
        <v/>
      </c>
      <c r="AC1487" s="36">
        <f>IF($B1487="","",(IFERROR(INDEX(Setup!$G$33:$G$40,MATCH(C1487,Setup!$B$33:$B$40,0)),0)=1)*(COUNTIF(C1458:E1475,$B1487)+COUNTIF(C1458:E1475,$B1487&amp;" ~*")&gt;0)+(IFERROR(INDEX(Setup!$G$33:$G$40,MATCH(G1487,Setup!$B$33:$B$40,0)),0)=1)*(COUNTIF(G1458:I1475,$B1487)+COUNTIF(G1458:I1475,$B1487&amp;" ~*")&gt;0)+(IFERROR(INDEX(Setup!$G$33:$G$40,MATCH(K1487,Setup!$B$33:$B$40,0)),0)=1)*(COUNTIF(K1458:M1475,$B1487)+COUNTIF(K1458:M1475,$B1487&amp;" ~*")&gt;0)+(IFERROR(INDEX(Setup!$G$33:$G$40,MATCH(O1487,Setup!$B$33:$B$40,0)),0)=1)*(COUNTIF(O1458:Q1475,$B1487)+COUNTIF(O1458:Q1475,$B1487&amp;" ~*")&gt;0)+(IFERROR(INDEX(Setup!$G$33:$G$40,MATCH(S1487,Setup!$B$33:$B$40,0)),0)=1)*(COUNTIF(S1458:U1475,$B1487)+COUNTIF(S1458:U1475,$B1487&amp;" ~*")&gt;0)+(IFERROR(INDEX(Setup!$G$33:$G$40,MATCH(W1487,Setup!$B$33:$B$40,0)),0)=1)*(COUNTIF(W1458:W1475,$B1487)+COUNTIF(W1458:W1475,$B1487&amp;" ~*")&gt;0)+(IFERROR(INDEX(Setup!$G$33:$G$40,MATCH(Y1487,Setup!$B$33:$B$40,0)),0)=1)*(COUNTIF(Y1458:Y1475,$B1487)+COUNTIF(Y1458:Y1475,$B1487&amp;" ~*")&gt;0))</f>
        <v/>
      </c>
    </row>
    <row r="1488" ht="15" customHeight="1">
      <c r="A1488" t="n">
        <v>30</v>
      </c>
      <c r="B1488" s="37">
        <f>IF(Setup!$B$17="","",Setup!$B$17)</f>
        <v/>
      </c>
      <c r="C1488" s="102" t="n"/>
      <c r="D1488" s="103" t="n"/>
      <c r="E1488" s="103" t="n"/>
      <c r="F1488" s="104" t="n"/>
      <c r="G1488" s="102" t="n"/>
      <c r="H1488" s="103" t="n"/>
      <c r="I1488" s="103" t="n"/>
      <c r="J1488" s="104" t="n"/>
      <c r="K1488" s="102" t="n"/>
      <c r="L1488" s="103" t="n"/>
      <c r="M1488" s="103" t="n"/>
      <c r="N1488" s="104" t="n"/>
      <c r="O1488" s="102" t="n"/>
      <c r="P1488" s="103" t="n"/>
      <c r="Q1488" s="103" t="n"/>
      <c r="R1488" s="104" t="n"/>
      <c r="S1488" s="102" t="n"/>
      <c r="T1488" s="103" t="n"/>
      <c r="U1488" s="103" t="n"/>
      <c r="V1488" s="104" t="n"/>
      <c r="W1488" s="102" t="n"/>
      <c r="X1488" s="104" t="n"/>
      <c r="Y1488" s="102" t="n"/>
      <c r="Z1488" s="104" t="n"/>
      <c r="AB1488" s="105">
        <f>IF($B1488="","",(COUNTIF(C1458:E1475,$B1488)+COUNTIF(C1458:E1475,$B1488&amp;" ~*")&gt;0)+(COUNTIF(G1458:I1475,$B1488)+COUNTIF(G1458:I1475,$B1488&amp;" ~*")&gt;0)+(COUNTIF(K1458:M1475,$B1488)+COUNTIF(K1458:M1475,$B1488&amp;" ~*")&gt;0)+(COUNTIF(O1458:Q1475,$B1488)+COUNTIF(O1458:Q1475,$B1488&amp;" ~*")&gt;0)+(COUNTIF(S1458:U1475,$B1488)+COUNTIF(S1458:U1475,$B1488&amp;" ~*")&gt;0)+(COUNTIF(W1458:W1475,$B1488)+COUNTIF(W1458:W1475,$B1488&amp;" ~*")&gt;0)+(COUNTIF(Y1458:Y1475,$B1488)+COUNTIF(Y1458:Y1475,$B1488&amp;" ~*")&gt;0))</f>
        <v/>
      </c>
      <c r="AC1488" s="38">
        <f>IF($B1488="","",(IFERROR(INDEX(Setup!$G$33:$G$40,MATCH(C1488,Setup!$B$33:$B$40,0)),0)=1)*(COUNTIF(C1458:E1475,$B1488)+COUNTIF(C1458:E1475,$B1488&amp;" ~*")&gt;0)+(IFERROR(INDEX(Setup!$G$33:$G$40,MATCH(G1488,Setup!$B$33:$B$40,0)),0)=1)*(COUNTIF(G1458:I1475,$B1488)+COUNTIF(G1458:I1475,$B1488&amp;" ~*")&gt;0)+(IFERROR(INDEX(Setup!$G$33:$G$40,MATCH(K1488,Setup!$B$33:$B$40,0)),0)=1)*(COUNTIF(K1458:M1475,$B1488)+COUNTIF(K1458:M1475,$B1488&amp;" ~*")&gt;0)+(IFERROR(INDEX(Setup!$G$33:$G$40,MATCH(O1488,Setup!$B$33:$B$40,0)),0)=1)*(COUNTIF(O1458:Q1475,$B1488)+COUNTIF(O1458:Q1475,$B1488&amp;" ~*")&gt;0)+(IFERROR(INDEX(Setup!$G$33:$G$40,MATCH(S1488,Setup!$B$33:$B$40,0)),0)=1)*(COUNTIF(S1458:U1475,$B1488)+COUNTIF(S1458:U1475,$B1488&amp;" ~*")&gt;0)+(IFERROR(INDEX(Setup!$G$33:$G$40,MATCH(W1488,Setup!$B$33:$B$40,0)),0)=1)*(COUNTIF(W1458:W1475,$B1488)+COUNTIF(W1458:W1475,$B1488&amp;" ~*")&gt;0)+(IFERROR(INDEX(Setup!$G$33:$G$40,MATCH(Y1488,Setup!$B$33:$B$40,0)),0)=1)*(COUNTIF(Y1458:Y1475,$B1488)+COUNTIF(Y1458:Y1475,$B1488&amp;" ~*")&gt;0))</f>
        <v/>
      </c>
    </row>
    <row r="1489" ht="15" customHeight="1">
      <c r="A1489" t="n">
        <v>30</v>
      </c>
      <c r="B1489" s="35">
        <f>IF(Setup!$B$18="","",Setup!$B$18)</f>
        <v/>
      </c>
      <c r="C1489" s="98" t="n"/>
      <c r="D1489" s="99" t="n"/>
      <c r="E1489" s="99" t="n"/>
      <c r="F1489" s="100" t="n"/>
      <c r="G1489" s="98" t="n"/>
      <c r="H1489" s="99" t="n"/>
      <c r="I1489" s="99" t="n"/>
      <c r="J1489" s="100" t="n"/>
      <c r="K1489" s="98" t="n"/>
      <c r="L1489" s="99" t="n"/>
      <c r="M1489" s="99" t="n"/>
      <c r="N1489" s="100" t="n"/>
      <c r="O1489" s="98" t="n"/>
      <c r="P1489" s="99" t="n"/>
      <c r="Q1489" s="99" t="n"/>
      <c r="R1489" s="100" t="n"/>
      <c r="S1489" s="98" t="n"/>
      <c r="T1489" s="99" t="n"/>
      <c r="U1489" s="99" t="n"/>
      <c r="V1489" s="100" t="n"/>
      <c r="W1489" s="98" t="n"/>
      <c r="X1489" s="100" t="n"/>
      <c r="Y1489" s="98" t="n"/>
      <c r="Z1489" s="100" t="n"/>
      <c r="AB1489" s="101">
        <f>IF($B1489="","",(COUNTIF(C1458:E1475,$B1489)+COUNTIF(C1458:E1475,$B1489&amp;" ~*")&gt;0)+(COUNTIF(G1458:I1475,$B1489)+COUNTIF(G1458:I1475,$B1489&amp;" ~*")&gt;0)+(COUNTIF(K1458:M1475,$B1489)+COUNTIF(K1458:M1475,$B1489&amp;" ~*")&gt;0)+(COUNTIF(O1458:Q1475,$B1489)+COUNTIF(O1458:Q1475,$B1489&amp;" ~*")&gt;0)+(COUNTIF(S1458:U1475,$B1489)+COUNTIF(S1458:U1475,$B1489&amp;" ~*")&gt;0)+(COUNTIF(W1458:W1475,$B1489)+COUNTIF(W1458:W1475,$B1489&amp;" ~*")&gt;0)+(COUNTIF(Y1458:Y1475,$B1489)+COUNTIF(Y1458:Y1475,$B1489&amp;" ~*")&gt;0))</f>
        <v/>
      </c>
      <c r="AC1489" s="36">
        <f>IF($B1489="","",(IFERROR(INDEX(Setup!$G$33:$G$40,MATCH(C1489,Setup!$B$33:$B$40,0)),0)=1)*(COUNTIF(C1458:E1475,$B1489)+COUNTIF(C1458:E1475,$B1489&amp;" ~*")&gt;0)+(IFERROR(INDEX(Setup!$G$33:$G$40,MATCH(G1489,Setup!$B$33:$B$40,0)),0)=1)*(COUNTIF(G1458:I1475,$B1489)+COUNTIF(G1458:I1475,$B1489&amp;" ~*")&gt;0)+(IFERROR(INDEX(Setup!$G$33:$G$40,MATCH(K1489,Setup!$B$33:$B$40,0)),0)=1)*(COUNTIF(K1458:M1475,$B1489)+COUNTIF(K1458:M1475,$B1489&amp;" ~*")&gt;0)+(IFERROR(INDEX(Setup!$G$33:$G$40,MATCH(O1489,Setup!$B$33:$B$40,0)),0)=1)*(COUNTIF(O1458:Q1475,$B1489)+COUNTIF(O1458:Q1475,$B1489&amp;" ~*")&gt;0)+(IFERROR(INDEX(Setup!$G$33:$G$40,MATCH(S1489,Setup!$B$33:$B$40,0)),0)=1)*(COUNTIF(S1458:U1475,$B1489)+COUNTIF(S1458:U1475,$B1489&amp;" ~*")&gt;0)+(IFERROR(INDEX(Setup!$G$33:$G$40,MATCH(W1489,Setup!$B$33:$B$40,0)),0)=1)*(COUNTIF(W1458:W1475,$B1489)+COUNTIF(W1458:W1475,$B1489&amp;" ~*")&gt;0)+(IFERROR(INDEX(Setup!$G$33:$G$40,MATCH(Y1489,Setup!$B$33:$B$40,0)),0)=1)*(COUNTIF(Y1458:Y1475,$B1489)+COUNTIF(Y1458:Y1475,$B1489&amp;" ~*")&gt;0))</f>
        <v/>
      </c>
    </row>
    <row r="1490" ht="15" customHeight="1">
      <c r="A1490" t="n">
        <v>30</v>
      </c>
      <c r="B1490" s="37">
        <f>IF(Setup!$B$19="","",Setup!$B$19)</f>
        <v/>
      </c>
      <c r="C1490" s="102" t="n"/>
      <c r="D1490" s="103" t="n"/>
      <c r="E1490" s="103" t="n"/>
      <c r="F1490" s="104" t="n"/>
      <c r="G1490" s="102" t="n"/>
      <c r="H1490" s="103" t="n"/>
      <c r="I1490" s="103" t="n"/>
      <c r="J1490" s="104" t="n"/>
      <c r="K1490" s="102" t="n"/>
      <c r="L1490" s="103" t="n"/>
      <c r="M1490" s="103" t="n"/>
      <c r="N1490" s="104" t="n"/>
      <c r="O1490" s="102" t="n"/>
      <c r="P1490" s="103" t="n"/>
      <c r="Q1490" s="103" t="n"/>
      <c r="R1490" s="104" t="n"/>
      <c r="S1490" s="102" t="n"/>
      <c r="T1490" s="103" t="n"/>
      <c r="U1490" s="103" t="n"/>
      <c r="V1490" s="104" t="n"/>
      <c r="W1490" s="102" t="n"/>
      <c r="X1490" s="104" t="n"/>
      <c r="Y1490" s="102" t="n"/>
      <c r="Z1490" s="104" t="n"/>
      <c r="AB1490" s="105">
        <f>IF($B1490="","",(COUNTIF(C1458:E1475,$B1490)+COUNTIF(C1458:E1475,$B1490&amp;" ~*")&gt;0)+(COUNTIF(G1458:I1475,$B1490)+COUNTIF(G1458:I1475,$B1490&amp;" ~*")&gt;0)+(COUNTIF(K1458:M1475,$B1490)+COUNTIF(K1458:M1475,$B1490&amp;" ~*")&gt;0)+(COUNTIF(O1458:Q1475,$B1490)+COUNTIF(O1458:Q1475,$B1490&amp;" ~*")&gt;0)+(COUNTIF(S1458:U1475,$B1490)+COUNTIF(S1458:U1475,$B1490&amp;" ~*")&gt;0)+(COUNTIF(W1458:W1475,$B1490)+COUNTIF(W1458:W1475,$B1490&amp;" ~*")&gt;0)+(COUNTIF(Y1458:Y1475,$B1490)+COUNTIF(Y1458:Y1475,$B1490&amp;" ~*")&gt;0))</f>
        <v/>
      </c>
      <c r="AC1490" s="38">
        <f>IF($B1490="","",(IFERROR(INDEX(Setup!$G$33:$G$40,MATCH(C1490,Setup!$B$33:$B$40,0)),0)=1)*(COUNTIF(C1458:E1475,$B1490)+COUNTIF(C1458:E1475,$B1490&amp;" ~*")&gt;0)+(IFERROR(INDEX(Setup!$G$33:$G$40,MATCH(G1490,Setup!$B$33:$B$40,0)),0)=1)*(COUNTIF(G1458:I1475,$B1490)+COUNTIF(G1458:I1475,$B1490&amp;" ~*")&gt;0)+(IFERROR(INDEX(Setup!$G$33:$G$40,MATCH(K1490,Setup!$B$33:$B$40,0)),0)=1)*(COUNTIF(K1458:M1475,$B1490)+COUNTIF(K1458:M1475,$B1490&amp;" ~*")&gt;0)+(IFERROR(INDEX(Setup!$G$33:$G$40,MATCH(O1490,Setup!$B$33:$B$40,0)),0)=1)*(COUNTIF(O1458:Q1475,$B1490)+COUNTIF(O1458:Q1475,$B1490&amp;" ~*")&gt;0)+(IFERROR(INDEX(Setup!$G$33:$G$40,MATCH(S1490,Setup!$B$33:$B$40,0)),0)=1)*(COUNTIF(S1458:U1475,$B1490)+COUNTIF(S1458:U1475,$B1490&amp;" ~*")&gt;0)+(IFERROR(INDEX(Setup!$G$33:$G$40,MATCH(W1490,Setup!$B$33:$B$40,0)),0)=1)*(COUNTIF(W1458:W1475,$B1490)+COUNTIF(W1458:W1475,$B1490&amp;" ~*")&gt;0)+(IFERROR(INDEX(Setup!$G$33:$G$40,MATCH(Y1490,Setup!$B$33:$B$40,0)),0)=1)*(COUNTIF(Y1458:Y1475,$B1490)+COUNTIF(Y1458:Y1475,$B1490&amp;" ~*")&gt;0))</f>
        <v/>
      </c>
    </row>
    <row r="1491" ht="15" customHeight="1">
      <c r="A1491" t="n">
        <v>30</v>
      </c>
      <c r="B1491" s="35">
        <f>IF(Setup!$B$20="","",Setup!$B$20)</f>
        <v/>
      </c>
      <c r="C1491" s="98" t="n"/>
      <c r="D1491" s="99" t="n"/>
      <c r="E1491" s="99" t="n"/>
      <c r="F1491" s="100" t="n"/>
      <c r="G1491" s="98" t="n"/>
      <c r="H1491" s="99" t="n"/>
      <c r="I1491" s="99" t="n"/>
      <c r="J1491" s="100" t="n"/>
      <c r="K1491" s="98" t="n"/>
      <c r="L1491" s="99" t="n"/>
      <c r="M1491" s="99" t="n"/>
      <c r="N1491" s="100" t="n"/>
      <c r="O1491" s="98" t="n"/>
      <c r="P1491" s="99" t="n"/>
      <c r="Q1491" s="99" t="n"/>
      <c r="R1491" s="100" t="n"/>
      <c r="S1491" s="98" t="n"/>
      <c r="T1491" s="99" t="n"/>
      <c r="U1491" s="99" t="n"/>
      <c r="V1491" s="100" t="n"/>
      <c r="W1491" s="98" t="n"/>
      <c r="X1491" s="100" t="n"/>
      <c r="Y1491" s="98" t="n"/>
      <c r="Z1491" s="100" t="n"/>
      <c r="AB1491" s="101">
        <f>IF($B1491="","",(COUNTIF(C1458:E1475,$B1491)+COUNTIF(C1458:E1475,$B1491&amp;" ~*")&gt;0)+(COUNTIF(G1458:I1475,$B1491)+COUNTIF(G1458:I1475,$B1491&amp;" ~*")&gt;0)+(COUNTIF(K1458:M1475,$B1491)+COUNTIF(K1458:M1475,$B1491&amp;" ~*")&gt;0)+(COUNTIF(O1458:Q1475,$B1491)+COUNTIF(O1458:Q1475,$B1491&amp;" ~*")&gt;0)+(COUNTIF(S1458:U1475,$B1491)+COUNTIF(S1458:U1475,$B1491&amp;" ~*")&gt;0)+(COUNTIF(W1458:W1475,$B1491)+COUNTIF(W1458:W1475,$B1491&amp;" ~*")&gt;0)+(COUNTIF(Y1458:Y1475,$B1491)+COUNTIF(Y1458:Y1475,$B1491&amp;" ~*")&gt;0))</f>
        <v/>
      </c>
      <c r="AC1491" s="36">
        <f>IF($B1491="","",(IFERROR(INDEX(Setup!$G$33:$G$40,MATCH(C1491,Setup!$B$33:$B$40,0)),0)=1)*(COUNTIF(C1458:E1475,$B1491)+COUNTIF(C1458:E1475,$B1491&amp;" ~*")&gt;0)+(IFERROR(INDEX(Setup!$G$33:$G$40,MATCH(G1491,Setup!$B$33:$B$40,0)),0)=1)*(COUNTIF(G1458:I1475,$B1491)+COUNTIF(G1458:I1475,$B1491&amp;" ~*")&gt;0)+(IFERROR(INDEX(Setup!$G$33:$G$40,MATCH(K1491,Setup!$B$33:$B$40,0)),0)=1)*(COUNTIF(K1458:M1475,$B1491)+COUNTIF(K1458:M1475,$B1491&amp;" ~*")&gt;0)+(IFERROR(INDEX(Setup!$G$33:$G$40,MATCH(O1491,Setup!$B$33:$B$40,0)),0)=1)*(COUNTIF(O1458:Q1475,$B1491)+COUNTIF(O1458:Q1475,$B1491&amp;" ~*")&gt;0)+(IFERROR(INDEX(Setup!$G$33:$G$40,MATCH(S1491,Setup!$B$33:$B$40,0)),0)=1)*(COUNTIF(S1458:U1475,$B1491)+COUNTIF(S1458:U1475,$B1491&amp;" ~*")&gt;0)+(IFERROR(INDEX(Setup!$G$33:$G$40,MATCH(W1491,Setup!$B$33:$B$40,0)),0)=1)*(COUNTIF(W1458:W1475,$B1491)+COUNTIF(W1458:W1475,$B1491&amp;" ~*")&gt;0)+(IFERROR(INDEX(Setup!$G$33:$G$40,MATCH(Y1491,Setup!$B$33:$B$40,0)),0)=1)*(COUNTIF(Y1458:Y1475,$B1491)+COUNTIF(Y1458:Y1475,$B1491&amp;" ~*")&gt;0))</f>
        <v/>
      </c>
    </row>
    <row r="1492" ht="15" customHeight="1">
      <c r="A1492" t="n">
        <v>30</v>
      </c>
      <c r="B1492" s="37">
        <f>IF(Setup!$B$21="","",Setup!$B$21)</f>
        <v/>
      </c>
      <c r="C1492" s="102" t="n"/>
      <c r="D1492" s="103" t="n"/>
      <c r="E1492" s="103" t="n"/>
      <c r="F1492" s="104" t="n"/>
      <c r="G1492" s="102" t="n"/>
      <c r="H1492" s="103" t="n"/>
      <c r="I1492" s="103" t="n"/>
      <c r="J1492" s="104" t="n"/>
      <c r="K1492" s="102" t="n"/>
      <c r="L1492" s="103" t="n"/>
      <c r="M1492" s="103" t="n"/>
      <c r="N1492" s="104" t="n"/>
      <c r="O1492" s="102" t="n"/>
      <c r="P1492" s="103" t="n"/>
      <c r="Q1492" s="103" t="n"/>
      <c r="R1492" s="104" t="n"/>
      <c r="S1492" s="102" t="n"/>
      <c r="T1492" s="103" t="n"/>
      <c r="U1492" s="103" t="n"/>
      <c r="V1492" s="104" t="n"/>
      <c r="W1492" s="102" t="n"/>
      <c r="X1492" s="104" t="n"/>
      <c r="Y1492" s="102" t="n"/>
      <c r="Z1492" s="104" t="n"/>
      <c r="AB1492" s="105">
        <f>IF($B1492="","",(COUNTIF(C1458:E1475,$B1492)+COUNTIF(C1458:E1475,$B1492&amp;" ~*")&gt;0)+(COUNTIF(G1458:I1475,$B1492)+COUNTIF(G1458:I1475,$B1492&amp;" ~*")&gt;0)+(COUNTIF(K1458:M1475,$B1492)+COUNTIF(K1458:M1475,$B1492&amp;" ~*")&gt;0)+(COUNTIF(O1458:Q1475,$B1492)+COUNTIF(O1458:Q1475,$B1492&amp;" ~*")&gt;0)+(COUNTIF(S1458:U1475,$B1492)+COUNTIF(S1458:U1475,$B1492&amp;" ~*")&gt;0)+(COUNTIF(W1458:W1475,$B1492)+COUNTIF(W1458:W1475,$B1492&amp;" ~*")&gt;0)+(COUNTIF(Y1458:Y1475,$B1492)+COUNTIF(Y1458:Y1475,$B1492&amp;" ~*")&gt;0))</f>
        <v/>
      </c>
      <c r="AC1492" s="38">
        <f>IF($B1492="","",(IFERROR(INDEX(Setup!$G$33:$G$40,MATCH(C1492,Setup!$B$33:$B$40,0)),0)=1)*(COUNTIF(C1458:E1475,$B1492)+COUNTIF(C1458:E1475,$B1492&amp;" ~*")&gt;0)+(IFERROR(INDEX(Setup!$G$33:$G$40,MATCH(G1492,Setup!$B$33:$B$40,0)),0)=1)*(COUNTIF(G1458:I1475,$B1492)+COUNTIF(G1458:I1475,$B1492&amp;" ~*")&gt;0)+(IFERROR(INDEX(Setup!$G$33:$G$40,MATCH(K1492,Setup!$B$33:$B$40,0)),0)=1)*(COUNTIF(K1458:M1475,$B1492)+COUNTIF(K1458:M1475,$B1492&amp;" ~*")&gt;0)+(IFERROR(INDEX(Setup!$G$33:$G$40,MATCH(O1492,Setup!$B$33:$B$40,0)),0)=1)*(COUNTIF(O1458:Q1475,$B1492)+COUNTIF(O1458:Q1475,$B1492&amp;" ~*")&gt;0)+(IFERROR(INDEX(Setup!$G$33:$G$40,MATCH(S1492,Setup!$B$33:$B$40,0)),0)=1)*(COUNTIF(S1458:U1475,$B1492)+COUNTIF(S1458:U1475,$B1492&amp;" ~*")&gt;0)+(IFERROR(INDEX(Setup!$G$33:$G$40,MATCH(W1492,Setup!$B$33:$B$40,0)),0)=1)*(COUNTIF(W1458:W1475,$B1492)+COUNTIF(W1458:W1475,$B1492&amp;" ~*")&gt;0)+(IFERROR(INDEX(Setup!$G$33:$G$40,MATCH(Y1492,Setup!$B$33:$B$40,0)),0)=1)*(COUNTIF(Y1458:Y1475,$B1492)+COUNTIF(Y1458:Y1475,$B1492&amp;" ~*")&gt;0))</f>
        <v/>
      </c>
    </row>
    <row r="1493" ht="15" customHeight="1">
      <c r="A1493" t="n">
        <v>30</v>
      </c>
      <c r="B1493" s="35">
        <f>IF(Setup!$B$22="","",Setup!$B$22)</f>
        <v/>
      </c>
      <c r="C1493" s="98" t="n"/>
      <c r="D1493" s="99" t="n"/>
      <c r="E1493" s="99" t="n"/>
      <c r="F1493" s="100" t="n"/>
      <c r="G1493" s="98" t="n"/>
      <c r="H1493" s="99" t="n"/>
      <c r="I1493" s="99" t="n"/>
      <c r="J1493" s="100" t="n"/>
      <c r="K1493" s="98" t="n"/>
      <c r="L1493" s="99" t="n"/>
      <c r="M1493" s="99" t="n"/>
      <c r="N1493" s="100" t="n"/>
      <c r="O1493" s="98" t="n"/>
      <c r="P1493" s="99" t="n"/>
      <c r="Q1493" s="99" t="n"/>
      <c r="R1493" s="100" t="n"/>
      <c r="S1493" s="98" t="n"/>
      <c r="T1493" s="99" t="n"/>
      <c r="U1493" s="99" t="n"/>
      <c r="V1493" s="100" t="n"/>
      <c r="W1493" s="98" t="n"/>
      <c r="X1493" s="100" t="n"/>
      <c r="Y1493" s="98" t="n"/>
      <c r="Z1493" s="100" t="n"/>
      <c r="AB1493" s="101">
        <f>IF($B1493="","",(COUNTIF(C1458:E1475,$B1493)+COUNTIF(C1458:E1475,$B1493&amp;" ~*")&gt;0)+(COUNTIF(G1458:I1475,$B1493)+COUNTIF(G1458:I1475,$B1493&amp;" ~*")&gt;0)+(COUNTIF(K1458:M1475,$B1493)+COUNTIF(K1458:M1475,$B1493&amp;" ~*")&gt;0)+(COUNTIF(O1458:Q1475,$B1493)+COUNTIF(O1458:Q1475,$B1493&amp;" ~*")&gt;0)+(COUNTIF(S1458:U1475,$B1493)+COUNTIF(S1458:U1475,$B1493&amp;" ~*")&gt;0)+(COUNTIF(W1458:W1475,$B1493)+COUNTIF(W1458:W1475,$B1493&amp;" ~*")&gt;0)+(COUNTIF(Y1458:Y1475,$B1493)+COUNTIF(Y1458:Y1475,$B1493&amp;" ~*")&gt;0))</f>
        <v/>
      </c>
      <c r="AC1493" s="36">
        <f>IF($B1493="","",(IFERROR(INDEX(Setup!$G$33:$G$40,MATCH(C1493,Setup!$B$33:$B$40,0)),0)=1)*(COUNTIF(C1458:E1475,$B1493)+COUNTIF(C1458:E1475,$B1493&amp;" ~*")&gt;0)+(IFERROR(INDEX(Setup!$G$33:$G$40,MATCH(G1493,Setup!$B$33:$B$40,0)),0)=1)*(COUNTIF(G1458:I1475,$B1493)+COUNTIF(G1458:I1475,$B1493&amp;" ~*")&gt;0)+(IFERROR(INDEX(Setup!$G$33:$G$40,MATCH(K1493,Setup!$B$33:$B$40,0)),0)=1)*(COUNTIF(K1458:M1475,$B1493)+COUNTIF(K1458:M1475,$B1493&amp;" ~*")&gt;0)+(IFERROR(INDEX(Setup!$G$33:$G$40,MATCH(O1493,Setup!$B$33:$B$40,0)),0)=1)*(COUNTIF(O1458:Q1475,$B1493)+COUNTIF(O1458:Q1475,$B1493&amp;" ~*")&gt;0)+(IFERROR(INDEX(Setup!$G$33:$G$40,MATCH(S1493,Setup!$B$33:$B$40,0)),0)=1)*(COUNTIF(S1458:U1475,$B1493)+COUNTIF(S1458:U1475,$B1493&amp;" ~*")&gt;0)+(IFERROR(INDEX(Setup!$G$33:$G$40,MATCH(W1493,Setup!$B$33:$B$40,0)),0)=1)*(COUNTIF(W1458:W1475,$B1493)+COUNTIF(W1458:W1475,$B1493&amp;" ~*")&gt;0)+(IFERROR(INDEX(Setup!$G$33:$G$40,MATCH(Y1493,Setup!$B$33:$B$40,0)),0)=1)*(COUNTIF(Y1458:Y1475,$B1493)+COUNTIF(Y1458:Y1475,$B1493&amp;" ~*")&gt;0))</f>
        <v/>
      </c>
    </row>
    <row r="1494" ht="15" customHeight="1">
      <c r="A1494" t="n">
        <v>30</v>
      </c>
      <c r="B1494" s="37">
        <f>IF(Setup!$B$23="","",Setup!$B$23)</f>
        <v/>
      </c>
      <c r="C1494" s="102" t="n"/>
      <c r="D1494" s="103" t="n"/>
      <c r="E1494" s="103" t="n"/>
      <c r="F1494" s="104" t="n"/>
      <c r="G1494" s="102" t="n"/>
      <c r="H1494" s="103" t="n"/>
      <c r="I1494" s="103" t="n"/>
      <c r="J1494" s="104" t="n"/>
      <c r="K1494" s="102" t="n"/>
      <c r="L1494" s="103" t="n"/>
      <c r="M1494" s="103" t="n"/>
      <c r="N1494" s="104" t="n"/>
      <c r="O1494" s="102" t="n"/>
      <c r="P1494" s="103" t="n"/>
      <c r="Q1494" s="103" t="n"/>
      <c r="R1494" s="104" t="n"/>
      <c r="S1494" s="102" t="n"/>
      <c r="T1494" s="103" t="n"/>
      <c r="U1494" s="103" t="n"/>
      <c r="V1494" s="104" t="n"/>
      <c r="W1494" s="102" t="n"/>
      <c r="X1494" s="104" t="n"/>
      <c r="Y1494" s="102" t="n"/>
      <c r="Z1494" s="104" t="n"/>
      <c r="AB1494" s="105">
        <f>IF($B1494="","",(COUNTIF(C1458:E1475,$B1494)+COUNTIF(C1458:E1475,$B1494&amp;" ~*")&gt;0)+(COUNTIF(G1458:I1475,$B1494)+COUNTIF(G1458:I1475,$B1494&amp;" ~*")&gt;0)+(COUNTIF(K1458:M1475,$B1494)+COUNTIF(K1458:M1475,$B1494&amp;" ~*")&gt;0)+(COUNTIF(O1458:Q1475,$B1494)+COUNTIF(O1458:Q1475,$B1494&amp;" ~*")&gt;0)+(COUNTIF(S1458:U1475,$B1494)+COUNTIF(S1458:U1475,$B1494&amp;" ~*")&gt;0)+(COUNTIF(W1458:W1475,$B1494)+COUNTIF(W1458:W1475,$B1494&amp;" ~*")&gt;0)+(COUNTIF(Y1458:Y1475,$B1494)+COUNTIF(Y1458:Y1475,$B1494&amp;" ~*")&gt;0))</f>
        <v/>
      </c>
      <c r="AC1494" s="38">
        <f>IF($B1494="","",(IFERROR(INDEX(Setup!$G$33:$G$40,MATCH(C1494,Setup!$B$33:$B$40,0)),0)=1)*(COUNTIF(C1458:E1475,$B1494)+COUNTIF(C1458:E1475,$B1494&amp;" ~*")&gt;0)+(IFERROR(INDEX(Setup!$G$33:$G$40,MATCH(G1494,Setup!$B$33:$B$40,0)),0)=1)*(COUNTIF(G1458:I1475,$B1494)+COUNTIF(G1458:I1475,$B1494&amp;" ~*")&gt;0)+(IFERROR(INDEX(Setup!$G$33:$G$40,MATCH(K1494,Setup!$B$33:$B$40,0)),0)=1)*(COUNTIF(K1458:M1475,$B1494)+COUNTIF(K1458:M1475,$B1494&amp;" ~*")&gt;0)+(IFERROR(INDEX(Setup!$G$33:$G$40,MATCH(O1494,Setup!$B$33:$B$40,0)),0)=1)*(COUNTIF(O1458:Q1475,$B1494)+COUNTIF(O1458:Q1475,$B1494&amp;" ~*")&gt;0)+(IFERROR(INDEX(Setup!$G$33:$G$40,MATCH(S1494,Setup!$B$33:$B$40,0)),0)=1)*(COUNTIF(S1458:U1475,$B1494)+COUNTIF(S1458:U1475,$B1494&amp;" ~*")&gt;0)+(IFERROR(INDEX(Setup!$G$33:$G$40,MATCH(W1494,Setup!$B$33:$B$40,0)),0)=1)*(COUNTIF(W1458:W1475,$B1494)+COUNTIF(W1458:W1475,$B1494&amp;" ~*")&gt;0)+(IFERROR(INDEX(Setup!$G$33:$G$40,MATCH(Y1494,Setup!$B$33:$B$40,0)),0)=1)*(COUNTIF(Y1458:Y1475,$B1494)+COUNTIF(Y1458:Y1475,$B1494&amp;" ~*")&gt;0))</f>
        <v/>
      </c>
    </row>
    <row r="1495" ht="15" customHeight="1">
      <c r="A1495" t="n">
        <v>30</v>
      </c>
      <c r="B1495" s="35">
        <f>IF(Setup!$B$24="","",Setup!$B$24)</f>
        <v/>
      </c>
      <c r="C1495" s="98" t="n"/>
      <c r="D1495" s="99" t="n"/>
      <c r="E1495" s="99" t="n"/>
      <c r="F1495" s="100" t="n"/>
      <c r="G1495" s="98" t="n"/>
      <c r="H1495" s="99" t="n"/>
      <c r="I1495" s="99" t="n"/>
      <c r="J1495" s="100" t="n"/>
      <c r="K1495" s="98" t="n"/>
      <c r="L1495" s="99" t="n"/>
      <c r="M1495" s="99" t="n"/>
      <c r="N1495" s="100" t="n"/>
      <c r="O1495" s="98" t="n"/>
      <c r="P1495" s="99" t="n"/>
      <c r="Q1495" s="99" t="n"/>
      <c r="R1495" s="100" t="n"/>
      <c r="S1495" s="98" t="n"/>
      <c r="T1495" s="99" t="n"/>
      <c r="U1495" s="99" t="n"/>
      <c r="V1495" s="100" t="n"/>
      <c r="W1495" s="98" t="n"/>
      <c r="X1495" s="100" t="n"/>
      <c r="Y1495" s="98" t="n"/>
      <c r="Z1495" s="100" t="n"/>
      <c r="AB1495" s="101">
        <f>IF($B1495="","",(COUNTIF(C1458:E1475,$B1495)+COUNTIF(C1458:E1475,$B1495&amp;" ~*")&gt;0)+(COUNTIF(G1458:I1475,$B1495)+COUNTIF(G1458:I1475,$B1495&amp;" ~*")&gt;0)+(COUNTIF(K1458:M1475,$B1495)+COUNTIF(K1458:M1475,$B1495&amp;" ~*")&gt;0)+(COUNTIF(O1458:Q1475,$B1495)+COUNTIF(O1458:Q1475,$B1495&amp;" ~*")&gt;0)+(COUNTIF(S1458:U1475,$B1495)+COUNTIF(S1458:U1475,$B1495&amp;" ~*")&gt;0)+(COUNTIF(W1458:W1475,$B1495)+COUNTIF(W1458:W1475,$B1495&amp;" ~*")&gt;0)+(COUNTIF(Y1458:Y1475,$B1495)+COUNTIF(Y1458:Y1475,$B1495&amp;" ~*")&gt;0))</f>
        <v/>
      </c>
      <c r="AC1495" s="36">
        <f>IF($B1495="","",(IFERROR(INDEX(Setup!$G$33:$G$40,MATCH(C1495,Setup!$B$33:$B$40,0)),0)=1)*(COUNTIF(C1458:E1475,$B1495)+COUNTIF(C1458:E1475,$B1495&amp;" ~*")&gt;0)+(IFERROR(INDEX(Setup!$G$33:$G$40,MATCH(G1495,Setup!$B$33:$B$40,0)),0)=1)*(COUNTIF(G1458:I1475,$B1495)+COUNTIF(G1458:I1475,$B1495&amp;" ~*")&gt;0)+(IFERROR(INDEX(Setup!$G$33:$G$40,MATCH(K1495,Setup!$B$33:$B$40,0)),0)=1)*(COUNTIF(K1458:M1475,$B1495)+COUNTIF(K1458:M1475,$B1495&amp;" ~*")&gt;0)+(IFERROR(INDEX(Setup!$G$33:$G$40,MATCH(O1495,Setup!$B$33:$B$40,0)),0)=1)*(COUNTIF(O1458:Q1475,$B1495)+COUNTIF(O1458:Q1475,$B1495&amp;" ~*")&gt;0)+(IFERROR(INDEX(Setup!$G$33:$G$40,MATCH(S1495,Setup!$B$33:$B$40,0)),0)=1)*(COUNTIF(S1458:U1475,$B1495)+COUNTIF(S1458:U1475,$B1495&amp;" ~*")&gt;0)+(IFERROR(INDEX(Setup!$G$33:$G$40,MATCH(W1495,Setup!$B$33:$B$40,0)),0)=1)*(COUNTIF(W1458:W1475,$B1495)+COUNTIF(W1458:W1475,$B1495&amp;" ~*")&gt;0)+(IFERROR(INDEX(Setup!$G$33:$G$40,MATCH(Y1495,Setup!$B$33:$B$40,0)),0)=1)*(COUNTIF(Y1458:Y1475,$B1495)+COUNTIF(Y1458:Y1475,$B1495&amp;" ~*")&gt;0))</f>
        <v/>
      </c>
    </row>
    <row r="1496" ht="15" customHeight="1">
      <c r="A1496" t="n">
        <v>30</v>
      </c>
      <c r="B1496" s="37">
        <f>IF(Setup!$B$25="","",Setup!$B$25)</f>
        <v/>
      </c>
      <c r="C1496" s="102" t="n"/>
      <c r="D1496" s="103" t="n"/>
      <c r="E1496" s="103" t="n"/>
      <c r="F1496" s="104" t="n"/>
      <c r="G1496" s="102" t="n"/>
      <c r="H1496" s="103" t="n"/>
      <c r="I1496" s="103" t="n"/>
      <c r="J1496" s="104" t="n"/>
      <c r="K1496" s="102" t="n"/>
      <c r="L1496" s="103" t="n"/>
      <c r="M1496" s="103" t="n"/>
      <c r="N1496" s="104" t="n"/>
      <c r="O1496" s="102" t="n"/>
      <c r="P1496" s="103" t="n"/>
      <c r="Q1496" s="103" t="n"/>
      <c r="R1496" s="104" t="n"/>
      <c r="S1496" s="102" t="n"/>
      <c r="T1496" s="103" t="n"/>
      <c r="U1496" s="103" t="n"/>
      <c r="V1496" s="104" t="n"/>
      <c r="W1496" s="102" t="n"/>
      <c r="X1496" s="104" t="n"/>
      <c r="Y1496" s="102" t="n"/>
      <c r="Z1496" s="104" t="n"/>
      <c r="AB1496" s="105">
        <f>IF($B1496="","",(COUNTIF(C1458:E1475,$B1496)+COUNTIF(C1458:E1475,$B1496&amp;" ~*")&gt;0)+(COUNTIF(G1458:I1475,$B1496)+COUNTIF(G1458:I1475,$B1496&amp;" ~*")&gt;0)+(COUNTIF(K1458:M1475,$B1496)+COUNTIF(K1458:M1475,$B1496&amp;" ~*")&gt;0)+(COUNTIF(O1458:Q1475,$B1496)+COUNTIF(O1458:Q1475,$B1496&amp;" ~*")&gt;0)+(COUNTIF(S1458:U1475,$B1496)+COUNTIF(S1458:U1475,$B1496&amp;" ~*")&gt;0)+(COUNTIF(W1458:W1475,$B1496)+COUNTIF(W1458:W1475,$B1496&amp;" ~*")&gt;0)+(COUNTIF(Y1458:Y1475,$B1496)+COUNTIF(Y1458:Y1475,$B1496&amp;" ~*")&gt;0))</f>
        <v/>
      </c>
      <c r="AC1496" s="38">
        <f>IF($B1496="","",(IFERROR(INDEX(Setup!$G$33:$G$40,MATCH(C1496,Setup!$B$33:$B$40,0)),0)=1)*(COUNTIF(C1458:E1475,$B1496)+COUNTIF(C1458:E1475,$B1496&amp;" ~*")&gt;0)+(IFERROR(INDEX(Setup!$G$33:$G$40,MATCH(G1496,Setup!$B$33:$B$40,0)),0)=1)*(COUNTIF(G1458:I1475,$B1496)+COUNTIF(G1458:I1475,$B1496&amp;" ~*")&gt;0)+(IFERROR(INDEX(Setup!$G$33:$G$40,MATCH(K1496,Setup!$B$33:$B$40,0)),0)=1)*(COUNTIF(K1458:M1475,$B1496)+COUNTIF(K1458:M1475,$B1496&amp;" ~*")&gt;0)+(IFERROR(INDEX(Setup!$G$33:$G$40,MATCH(O1496,Setup!$B$33:$B$40,0)),0)=1)*(COUNTIF(O1458:Q1475,$B1496)+COUNTIF(O1458:Q1475,$B1496&amp;" ~*")&gt;0)+(IFERROR(INDEX(Setup!$G$33:$G$40,MATCH(S1496,Setup!$B$33:$B$40,0)),0)=1)*(COUNTIF(S1458:U1475,$B1496)+COUNTIF(S1458:U1475,$B1496&amp;" ~*")&gt;0)+(IFERROR(INDEX(Setup!$G$33:$G$40,MATCH(W1496,Setup!$B$33:$B$40,0)),0)=1)*(COUNTIF(W1458:W1475,$B1496)+COUNTIF(W1458:W1475,$B1496&amp;" ~*")&gt;0)+(IFERROR(INDEX(Setup!$G$33:$G$40,MATCH(Y1496,Setup!$B$33:$B$40,0)),0)=1)*(COUNTIF(Y1458:Y1475,$B1496)+COUNTIF(Y1458:Y1475,$B1496&amp;" ~*")&gt;0))</f>
        <v/>
      </c>
    </row>
    <row r="1497" ht="15" customHeight="1">
      <c r="A1497" t="n">
        <v>30</v>
      </c>
      <c r="B1497" s="35">
        <f>IF(Setup!$B$26="","",Setup!$B$26)</f>
        <v/>
      </c>
      <c r="C1497" s="98" t="n"/>
      <c r="D1497" s="99" t="n"/>
      <c r="E1497" s="99" t="n"/>
      <c r="F1497" s="100" t="n"/>
      <c r="G1497" s="98" t="n"/>
      <c r="H1497" s="99" t="n"/>
      <c r="I1497" s="99" t="n"/>
      <c r="J1497" s="100" t="n"/>
      <c r="K1497" s="98" t="n"/>
      <c r="L1497" s="99" t="n"/>
      <c r="M1497" s="99" t="n"/>
      <c r="N1497" s="100" t="n"/>
      <c r="O1497" s="98" t="n"/>
      <c r="P1497" s="99" t="n"/>
      <c r="Q1497" s="99" t="n"/>
      <c r="R1497" s="100" t="n"/>
      <c r="S1497" s="98" t="n"/>
      <c r="T1497" s="99" t="n"/>
      <c r="U1497" s="99" t="n"/>
      <c r="V1497" s="100" t="n"/>
      <c r="W1497" s="98" t="n"/>
      <c r="X1497" s="100" t="n"/>
      <c r="Y1497" s="98" t="n"/>
      <c r="Z1497" s="100" t="n"/>
      <c r="AB1497" s="101">
        <f>IF($B1497="","",(COUNTIF(C1458:E1475,$B1497)+COUNTIF(C1458:E1475,$B1497&amp;" ~*")&gt;0)+(COUNTIF(G1458:I1475,$B1497)+COUNTIF(G1458:I1475,$B1497&amp;" ~*")&gt;0)+(COUNTIF(K1458:M1475,$B1497)+COUNTIF(K1458:M1475,$B1497&amp;" ~*")&gt;0)+(COUNTIF(O1458:Q1475,$B1497)+COUNTIF(O1458:Q1475,$B1497&amp;" ~*")&gt;0)+(COUNTIF(S1458:U1475,$B1497)+COUNTIF(S1458:U1475,$B1497&amp;" ~*")&gt;0)+(COUNTIF(W1458:W1475,$B1497)+COUNTIF(W1458:W1475,$B1497&amp;" ~*")&gt;0)+(COUNTIF(Y1458:Y1475,$B1497)+COUNTIF(Y1458:Y1475,$B1497&amp;" ~*")&gt;0))</f>
        <v/>
      </c>
      <c r="AC1497" s="36">
        <f>IF($B1497="","",(IFERROR(INDEX(Setup!$G$33:$G$40,MATCH(C1497,Setup!$B$33:$B$40,0)),0)=1)*(COUNTIF(C1458:E1475,$B1497)+COUNTIF(C1458:E1475,$B1497&amp;" ~*")&gt;0)+(IFERROR(INDEX(Setup!$G$33:$G$40,MATCH(G1497,Setup!$B$33:$B$40,0)),0)=1)*(COUNTIF(G1458:I1475,$B1497)+COUNTIF(G1458:I1475,$B1497&amp;" ~*")&gt;0)+(IFERROR(INDEX(Setup!$G$33:$G$40,MATCH(K1497,Setup!$B$33:$B$40,0)),0)=1)*(COUNTIF(K1458:M1475,$B1497)+COUNTIF(K1458:M1475,$B1497&amp;" ~*")&gt;0)+(IFERROR(INDEX(Setup!$G$33:$G$40,MATCH(O1497,Setup!$B$33:$B$40,0)),0)=1)*(COUNTIF(O1458:Q1475,$B1497)+COUNTIF(O1458:Q1475,$B1497&amp;" ~*")&gt;0)+(IFERROR(INDEX(Setup!$G$33:$G$40,MATCH(S1497,Setup!$B$33:$B$40,0)),0)=1)*(COUNTIF(S1458:U1475,$B1497)+COUNTIF(S1458:U1475,$B1497&amp;" ~*")&gt;0)+(IFERROR(INDEX(Setup!$G$33:$G$40,MATCH(W1497,Setup!$B$33:$B$40,0)),0)=1)*(COUNTIF(W1458:W1475,$B1497)+COUNTIF(W1458:W1475,$B1497&amp;" ~*")&gt;0)+(IFERROR(INDEX(Setup!$G$33:$G$40,MATCH(Y1497,Setup!$B$33:$B$40,0)),0)=1)*(COUNTIF(Y1458:Y1475,$B1497)+COUNTIF(Y1458:Y1475,$B1497&amp;" ~*")&gt;0))</f>
        <v/>
      </c>
    </row>
    <row r="1498" ht="15" customHeight="1">
      <c r="A1498" t="n">
        <v>30</v>
      </c>
      <c r="B1498" s="37">
        <f>IF(Setup!$B$27="","",Setup!$B$27)</f>
        <v/>
      </c>
      <c r="C1498" s="102" t="n"/>
      <c r="D1498" s="103" t="n"/>
      <c r="E1498" s="103" t="n"/>
      <c r="F1498" s="104" t="n"/>
      <c r="G1498" s="102" t="n"/>
      <c r="H1498" s="103" t="n"/>
      <c r="I1498" s="103" t="n"/>
      <c r="J1498" s="104" t="n"/>
      <c r="K1498" s="102" t="n"/>
      <c r="L1498" s="103" t="n"/>
      <c r="M1498" s="103" t="n"/>
      <c r="N1498" s="104" t="n"/>
      <c r="O1498" s="102" t="n"/>
      <c r="P1498" s="103" t="n"/>
      <c r="Q1498" s="103" t="n"/>
      <c r="R1498" s="104" t="n"/>
      <c r="S1498" s="102" t="n"/>
      <c r="T1498" s="103" t="n"/>
      <c r="U1498" s="103" t="n"/>
      <c r="V1498" s="104" t="n"/>
      <c r="W1498" s="102" t="n"/>
      <c r="X1498" s="104" t="n"/>
      <c r="Y1498" s="102" t="n"/>
      <c r="Z1498" s="104" t="n"/>
      <c r="AB1498" s="105">
        <f>IF($B1498="","",(COUNTIF(C1458:E1475,$B1498)+COUNTIF(C1458:E1475,$B1498&amp;" ~*")&gt;0)+(COUNTIF(G1458:I1475,$B1498)+COUNTIF(G1458:I1475,$B1498&amp;" ~*")&gt;0)+(COUNTIF(K1458:M1475,$B1498)+COUNTIF(K1458:M1475,$B1498&amp;" ~*")&gt;0)+(COUNTIF(O1458:Q1475,$B1498)+COUNTIF(O1458:Q1475,$B1498&amp;" ~*")&gt;0)+(COUNTIF(S1458:U1475,$B1498)+COUNTIF(S1458:U1475,$B1498&amp;" ~*")&gt;0)+(COUNTIF(W1458:W1475,$B1498)+COUNTIF(W1458:W1475,$B1498&amp;" ~*")&gt;0)+(COUNTIF(Y1458:Y1475,$B1498)+COUNTIF(Y1458:Y1475,$B1498&amp;" ~*")&gt;0))</f>
        <v/>
      </c>
      <c r="AC1498" s="38">
        <f>IF($B1498="","",(IFERROR(INDEX(Setup!$G$33:$G$40,MATCH(C1498,Setup!$B$33:$B$40,0)),0)=1)*(COUNTIF(C1458:E1475,$B1498)+COUNTIF(C1458:E1475,$B1498&amp;" ~*")&gt;0)+(IFERROR(INDEX(Setup!$G$33:$G$40,MATCH(G1498,Setup!$B$33:$B$40,0)),0)=1)*(COUNTIF(G1458:I1475,$B1498)+COUNTIF(G1458:I1475,$B1498&amp;" ~*")&gt;0)+(IFERROR(INDEX(Setup!$G$33:$G$40,MATCH(K1498,Setup!$B$33:$B$40,0)),0)=1)*(COUNTIF(K1458:M1475,$B1498)+COUNTIF(K1458:M1475,$B1498&amp;" ~*")&gt;0)+(IFERROR(INDEX(Setup!$G$33:$G$40,MATCH(O1498,Setup!$B$33:$B$40,0)),0)=1)*(COUNTIF(O1458:Q1475,$B1498)+COUNTIF(O1458:Q1475,$B1498&amp;" ~*")&gt;0)+(IFERROR(INDEX(Setup!$G$33:$G$40,MATCH(S1498,Setup!$B$33:$B$40,0)),0)=1)*(COUNTIF(S1458:U1475,$B1498)+COUNTIF(S1458:U1475,$B1498&amp;" ~*")&gt;0)+(IFERROR(INDEX(Setup!$G$33:$G$40,MATCH(W1498,Setup!$B$33:$B$40,0)),0)=1)*(COUNTIF(W1458:W1475,$B1498)+COUNTIF(W1458:W1475,$B1498&amp;" ~*")&gt;0)+(IFERROR(INDEX(Setup!$G$33:$G$40,MATCH(Y1498,Setup!$B$33:$B$40,0)),0)=1)*(COUNTIF(Y1458:Y1475,$B1498)+COUNTIF(Y1458:Y1475,$B1498&amp;" ~*")&gt;0))</f>
        <v/>
      </c>
    </row>
    <row r="1499" ht="15" customHeight="1">
      <c r="A1499" t="n">
        <v>30</v>
      </c>
      <c r="B1499" s="35">
        <f>IF(Setup!$B$28="","",Setup!$B$28)</f>
        <v/>
      </c>
      <c r="C1499" s="98" t="n"/>
      <c r="D1499" s="99" t="n"/>
      <c r="E1499" s="99" t="n"/>
      <c r="F1499" s="100" t="n"/>
      <c r="G1499" s="98" t="n"/>
      <c r="H1499" s="99" t="n"/>
      <c r="I1499" s="99" t="n"/>
      <c r="J1499" s="100" t="n"/>
      <c r="K1499" s="98" t="n"/>
      <c r="L1499" s="99" t="n"/>
      <c r="M1499" s="99" t="n"/>
      <c r="N1499" s="100" t="n"/>
      <c r="O1499" s="98" t="n"/>
      <c r="P1499" s="99" t="n"/>
      <c r="Q1499" s="99" t="n"/>
      <c r="R1499" s="100" t="n"/>
      <c r="S1499" s="98" t="n"/>
      <c r="T1499" s="99" t="n"/>
      <c r="U1499" s="99" t="n"/>
      <c r="V1499" s="100" t="n"/>
      <c r="W1499" s="98" t="n"/>
      <c r="X1499" s="100" t="n"/>
      <c r="Y1499" s="98" t="n"/>
      <c r="Z1499" s="100" t="n"/>
      <c r="AB1499" s="101">
        <f>IF($B1499="","",(COUNTIF(C1458:E1475,$B1499)+COUNTIF(C1458:E1475,$B1499&amp;" ~*")&gt;0)+(COUNTIF(G1458:I1475,$B1499)+COUNTIF(G1458:I1475,$B1499&amp;" ~*")&gt;0)+(COUNTIF(K1458:M1475,$B1499)+COUNTIF(K1458:M1475,$B1499&amp;" ~*")&gt;0)+(COUNTIF(O1458:Q1475,$B1499)+COUNTIF(O1458:Q1475,$B1499&amp;" ~*")&gt;0)+(COUNTIF(S1458:U1475,$B1499)+COUNTIF(S1458:U1475,$B1499&amp;" ~*")&gt;0)+(COUNTIF(W1458:W1475,$B1499)+COUNTIF(W1458:W1475,$B1499&amp;" ~*")&gt;0)+(COUNTIF(Y1458:Y1475,$B1499)+COUNTIF(Y1458:Y1475,$B1499&amp;" ~*")&gt;0))</f>
        <v/>
      </c>
      <c r="AC1499" s="36">
        <f>IF($B1499="","",(IFERROR(INDEX(Setup!$G$33:$G$40,MATCH(C1499,Setup!$B$33:$B$40,0)),0)=1)*(COUNTIF(C1458:E1475,$B1499)+COUNTIF(C1458:E1475,$B1499&amp;" ~*")&gt;0)+(IFERROR(INDEX(Setup!$G$33:$G$40,MATCH(G1499,Setup!$B$33:$B$40,0)),0)=1)*(COUNTIF(G1458:I1475,$B1499)+COUNTIF(G1458:I1475,$B1499&amp;" ~*")&gt;0)+(IFERROR(INDEX(Setup!$G$33:$G$40,MATCH(K1499,Setup!$B$33:$B$40,0)),0)=1)*(COUNTIF(K1458:M1475,$B1499)+COUNTIF(K1458:M1475,$B1499&amp;" ~*")&gt;0)+(IFERROR(INDEX(Setup!$G$33:$G$40,MATCH(O1499,Setup!$B$33:$B$40,0)),0)=1)*(COUNTIF(O1458:Q1475,$B1499)+COUNTIF(O1458:Q1475,$B1499&amp;" ~*")&gt;0)+(IFERROR(INDEX(Setup!$G$33:$G$40,MATCH(S1499,Setup!$B$33:$B$40,0)),0)=1)*(COUNTIF(S1458:U1475,$B1499)+COUNTIF(S1458:U1475,$B1499&amp;" ~*")&gt;0)+(IFERROR(INDEX(Setup!$G$33:$G$40,MATCH(W1499,Setup!$B$33:$B$40,0)),0)=1)*(COUNTIF(W1458:W1475,$B1499)+COUNTIF(W1458:W1475,$B1499&amp;" ~*")&gt;0)+(IFERROR(INDEX(Setup!$G$33:$G$40,MATCH(Y1499,Setup!$B$33:$B$40,0)),0)=1)*(COUNTIF(Y1458:Y1475,$B1499)+COUNTIF(Y1458:Y1475,$B1499&amp;" ~*")&gt;0))</f>
        <v/>
      </c>
    </row>
    <row r="1500" ht="15" customHeight="1">
      <c r="A1500" t="n">
        <v>30</v>
      </c>
      <c r="B1500" s="37">
        <f>IF(Setup!$B$29="","",Setup!$B$29)</f>
        <v/>
      </c>
      <c r="C1500" s="102" t="n"/>
      <c r="D1500" s="103" t="n"/>
      <c r="E1500" s="103" t="n"/>
      <c r="F1500" s="104" t="n"/>
      <c r="G1500" s="102" t="n"/>
      <c r="H1500" s="103" t="n"/>
      <c r="I1500" s="103" t="n"/>
      <c r="J1500" s="104" t="n"/>
      <c r="K1500" s="102" t="n"/>
      <c r="L1500" s="103" t="n"/>
      <c r="M1500" s="103" t="n"/>
      <c r="N1500" s="104" t="n"/>
      <c r="O1500" s="102" t="n"/>
      <c r="P1500" s="103" t="n"/>
      <c r="Q1500" s="103" t="n"/>
      <c r="R1500" s="104" t="n"/>
      <c r="S1500" s="102" t="n"/>
      <c r="T1500" s="103" t="n"/>
      <c r="U1500" s="103" t="n"/>
      <c r="V1500" s="104" t="n"/>
      <c r="W1500" s="102" t="n"/>
      <c r="X1500" s="104" t="n"/>
      <c r="Y1500" s="102" t="n"/>
      <c r="Z1500" s="104" t="n"/>
      <c r="AB1500" s="105">
        <f>IF($B1500="","",(COUNTIF(C1458:E1475,$B1500)+COUNTIF(C1458:E1475,$B1500&amp;" ~*")&gt;0)+(COUNTIF(G1458:I1475,$B1500)+COUNTIF(G1458:I1475,$B1500&amp;" ~*")&gt;0)+(COUNTIF(K1458:M1475,$B1500)+COUNTIF(K1458:M1475,$B1500&amp;" ~*")&gt;0)+(COUNTIF(O1458:Q1475,$B1500)+COUNTIF(O1458:Q1475,$B1500&amp;" ~*")&gt;0)+(COUNTIF(S1458:U1475,$B1500)+COUNTIF(S1458:U1475,$B1500&amp;" ~*")&gt;0)+(COUNTIF(W1458:W1475,$B1500)+COUNTIF(W1458:W1475,$B1500&amp;" ~*")&gt;0)+(COUNTIF(Y1458:Y1475,$B1500)+COUNTIF(Y1458:Y1475,$B1500&amp;" ~*")&gt;0))</f>
        <v/>
      </c>
      <c r="AC1500" s="38">
        <f>IF($B1500="","",(IFERROR(INDEX(Setup!$G$33:$G$40,MATCH(C1500,Setup!$B$33:$B$40,0)),0)=1)*(COUNTIF(C1458:E1475,$B1500)+COUNTIF(C1458:E1475,$B1500&amp;" ~*")&gt;0)+(IFERROR(INDEX(Setup!$G$33:$G$40,MATCH(G1500,Setup!$B$33:$B$40,0)),0)=1)*(COUNTIF(G1458:I1475,$B1500)+COUNTIF(G1458:I1475,$B1500&amp;" ~*")&gt;0)+(IFERROR(INDEX(Setup!$G$33:$G$40,MATCH(K1500,Setup!$B$33:$B$40,0)),0)=1)*(COUNTIF(K1458:M1475,$B1500)+COUNTIF(K1458:M1475,$B1500&amp;" ~*")&gt;0)+(IFERROR(INDEX(Setup!$G$33:$G$40,MATCH(O1500,Setup!$B$33:$B$40,0)),0)=1)*(COUNTIF(O1458:Q1475,$B1500)+COUNTIF(O1458:Q1475,$B1500&amp;" ~*")&gt;0)+(IFERROR(INDEX(Setup!$G$33:$G$40,MATCH(S1500,Setup!$B$33:$B$40,0)),0)=1)*(COUNTIF(S1458:U1475,$B1500)+COUNTIF(S1458:U1475,$B1500&amp;" ~*")&gt;0)+(IFERROR(INDEX(Setup!$G$33:$G$40,MATCH(W1500,Setup!$B$33:$B$40,0)),0)=1)*(COUNTIF(W1458:W1475,$B1500)+COUNTIF(W1458:W1475,$B1500&amp;" ~*")&gt;0)+(IFERROR(INDEX(Setup!$G$33:$G$40,MATCH(Y1500,Setup!$B$33:$B$40,0)),0)=1)*(COUNTIF(Y1458:Y1475,$B1500)+COUNTIF(Y1458:Y1475,$B1500&amp;" ~*")&gt;0))</f>
        <v/>
      </c>
    </row>
    <row r="1501" ht="16" customHeight="1">
      <c r="A1501" t="n">
        <v>30</v>
      </c>
      <c r="B1501" s="106" t="inlineStr">
        <is>
          <t>Available people</t>
        </is>
      </c>
      <c r="C1501" s="107">
        <f>COUNTIFS(Setup!$E$6:$E$29,"Y",Setup!$B$6:$B$29,"?*")-SUMPRODUCT(COUNTIF(C1477:C1500,Setup!$F$33:$F$40))</f>
        <v/>
      </c>
      <c r="D1501" s="107" t="n"/>
      <c r="E1501" s="107" t="n"/>
      <c r="F1501" s="107" t="n"/>
      <c r="G1501" s="107">
        <f>COUNTIFS(Setup!$E$6:$E$29,"Y",Setup!$B$6:$B$29,"?*")-SUMPRODUCT(COUNTIF(G1477:G1500,Setup!$F$33:$F$40))</f>
        <v/>
      </c>
      <c r="H1501" s="107" t="n"/>
      <c r="I1501" s="107" t="n"/>
      <c r="J1501" s="107" t="n"/>
      <c r="K1501" s="107">
        <f>COUNTIFS(Setup!$E$6:$E$29,"Y",Setup!$B$6:$B$29,"?*")-SUMPRODUCT(COUNTIF(K1477:K1500,Setup!$F$33:$F$40))</f>
        <v/>
      </c>
      <c r="L1501" s="107" t="n"/>
      <c r="M1501" s="107" t="n"/>
      <c r="N1501" s="107" t="n"/>
      <c r="O1501" s="107">
        <f>COUNTIFS(Setup!$E$6:$E$29,"Y",Setup!$B$6:$B$29,"?*")-SUMPRODUCT(COUNTIF(O1477:O1500,Setup!$F$33:$F$40))</f>
        <v/>
      </c>
      <c r="P1501" s="107" t="n"/>
      <c r="Q1501" s="107" t="n"/>
      <c r="R1501" s="107" t="n"/>
      <c r="S1501" s="107">
        <f>COUNTIFS(Setup!$E$6:$E$29,"Y",Setup!$B$6:$B$29,"?*")-SUMPRODUCT(COUNTIF(S1477:S1500,Setup!$F$33:$F$40))</f>
        <v/>
      </c>
      <c r="T1501" s="107" t="n"/>
      <c r="U1501" s="107" t="n"/>
      <c r="V1501" s="107" t="n"/>
      <c r="W1501" s="107">
        <f>COUNTIFS(Setup!$E$6:$E$29,"Y",Setup!$B$6:$B$29,"?*")-SUMPRODUCT(COUNTIF(W1477:W1500,Setup!$F$33:$F$40))</f>
        <v/>
      </c>
      <c r="X1501" s="107" t="n"/>
      <c r="Y1501" s="107">
        <f>COUNTIFS(Setup!$E$6:$E$29,"Y",Setup!$B$6:$B$29,"?*")-SUMPRODUCT(COUNTIF(Y1477:Y1500,Setup!$F$33:$F$40))</f>
        <v/>
      </c>
      <c r="Z1501" s="107" t="n"/>
      <c r="AB1501" s="108">
        <f>SUM(AB1477:AB1500)</f>
        <v/>
      </c>
      <c r="AC1501" s="109">
        <f>SUM(AC1477:AC1500)</f>
        <v/>
      </c>
    </row>
    <row r="1502" ht="30" customHeight="1">
      <c r="A1502" t="n">
        <v>30</v>
      </c>
      <c r="B1502" s="110" t="inlineStr">
        <is>
          <t>Week notes</t>
        </is>
      </c>
      <c r="C1502" s="111" t="n"/>
      <c r="D1502" s="112" t="n"/>
      <c r="E1502" s="112" t="n"/>
      <c r="F1502" s="112" t="n"/>
      <c r="G1502" s="112" t="n"/>
      <c r="H1502" s="112" t="n"/>
      <c r="I1502" s="112" t="n"/>
      <c r="J1502" s="112" t="n"/>
      <c r="K1502" s="112" t="n"/>
      <c r="L1502" s="112" t="n"/>
      <c r="M1502" s="112" t="n"/>
      <c r="N1502" s="112" t="n"/>
      <c r="O1502" s="112" t="n"/>
      <c r="P1502" s="112" t="n"/>
      <c r="Q1502" s="112" t="n"/>
      <c r="R1502" s="112" t="n"/>
      <c r="S1502" s="112" t="n"/>
      <c r="T1502" s="112" t="n"/>
      <c r="U1502" s="112" t="n"/>
      <c r="V1502" s="112" t="n"/>
      <c r="W1502" s="112" t="n"/>
      <c r="X1502" s="112" t="n"/>
      <c r="Y1502" s="112" t="n"/>
      <c r="Z1502" s="113" t="n"/>
    </row>
    <row r="1503" ht="8" customHeight="1">
      <c r="A1503" t="n">
        <v>30</v>
      </c>
    </row>
    <row r="1504" ht="8" customHeight="1">
      <c r="A1504" t="n">
        <v>30</v>
      </c>
    </row>
    <row r="1505" ht="24" customHeight="1">
      <c r="A1505" t="n">
        <v>31</v>
      </c>
      <c r="B1505" s="73">
        <f>"WEEK 31     "&amp;TEXT(C1506,"ddd d mmm")&amp;"  –  "&amp;TEXT(C1506+6,"ddd d mmm yyyy")</f>
        <v/>
      </c>
      <c r="S1505" s="74">
        <f>IF(TODAY()&lt;C1506,"FUTURE",IF(TODAY()&gt;C1506+6,"PAST","THIS WEEK"))</f>
        <v/>
      </c>
      <c r="W1505" s="75">
        <f>IF(AND(Engine!$B$8=$AC$3,Engine!$B$9=$A1505),"◀ ACTIVE WEEK","")</f>
        <v/>
      </c>
      <c r="AA1505" s="76" t="n"/>
      <c r="AB1505" s="77" t="inlineStr">
        <is>
          <t>◀ Prev</t>
        </is>
      </c>
      <c r="AC1505" s="77" t="inlineStr">
        <is>
          <t>Next ▶</t>
        </is>
      </c>
    </row>
    <row r="1506" ht="18" customHeight="1">
      <c r="A1506" t="n">
        <v>31</v>
      </c>
      <c r="B1506" s="78" t="inlineStr">
        <is>
          <t>DUTY</t>
        </is>
      </c>
      <c r="C1506" s="79">
        <f>$AC$2+7*($A1506-1)</f>
        <v/>
      </c>
      <c r="D1506" s="80" t="n"/>
      <c r="E1506" s="80" t="n"/>
      <c r="F1506" s="81" t="n"/>
      <c r="G1506" s="79">
        <f>C1506+1</f>
        <v/>
      </c>
      <c r="H1506" s="80" t="n"/>
      <c r="I1506" s="80" t="n"/>
      <c r="J1506" s="81" t="n"/>
      <c r="K1506" s="79">
        <f>C1506+2</f>
        <v/>
      </c>
      <c r="L1506" s="80" t="n"/>
      <c r="M1506" s="80" t="n"/>
      <c r="N1506" s="81" t="n"/>
      <c r="O1506" s="79">
        <f>C1506+3</f>
        <v/>
      </c>
      <c r="P1506" s="80" t="n"/>
      <c r="Q1506" s="80" t="n"/>
      <c r="R1506" s="81" t="n"/>
      <c r="S1506" s="79">
        <f>C1506+4</f>
        <v/>
      </c>
      <c r="T1506" s="80" t="n"/>
      <c r="U1506" s="80" t="n"/>
      <c r="V1506" s="81" t="n"/>
      <c r="W1506" s="82">
        <f>C1506+5</f>
        <v/>
      </c>
      <c r="X1506" s="83" t="n"/>
      <c r="Y1506" s="82">
        <f>C1506+6</f>
        <v/>
      </c>
      <c r="Z1506" s="83" t="n"/>
      <c r="AB1506" s="72" t="inlineStr">
        <is>
          <t>Gaps</t>
        </is>
      </c>
      <c r="AC1506" s="72" t="inlineStr">
        <is>
          <t>Cover</t>
        </is>
      </c>
    </row>
    <row r="1507" ht="14" customHeight="1">
      <c r="A1507" t="n">
        <v>31</v>
      </c>
      <c r="B1507" s="84" t="inlineStr">
        <is>
          <t>(from Setup)</t>
        </is>
      </c>
      <c r="C1507" s="85" t="inlineStr">
        <is>
          <t>1</t>
        </is>
      </c>
      <c r="D1507" s="85" t="inlineStr">
        <is>
          <t>2</t>
        </is>
      </c>
      <c r="E1507" s="85" t="inlineStr">
        <is>
          <t>3</t>
        </is>
      </c>
      <c r="F1507" s="85" t="inlineStr">
        <is>
          <t>Notes</t>
        </is>
      </c>
      <c r="G1507" s="85" t="inlineStr">
        <is>
          <t>1</t>
        </is>
      </c>
      <c r="H1507" s="85" t="inlineStr">
        <is>
          <t>2</t>
        </is>
      </c>
      <c r="I1507" s="85" t="inlineStr">
        <is>
          <t>3</t>
        </is>
      </c>
      <c r="J1507" s="85" t="inlineStr">
        <is>
          <t>Notes</t>
        </is>
      </c>
      <c r="K1507" s="85" t="inlineStr">
        <is>
          <t>1</t>
        </is>
      </c>
      <c r="L1507" s="85" t="inlineStr">
        <is>
          <t>2</t>
        </is>
      </c>
      <c r="M1507" s="85" t="inlineStr">
        <is>
          <t>3</t>
        </is>
      </c>
      <c r="N1507" s="85" t="inlineStr">
        <is>
          <t>Notes</t>
        </is>
      </c>
      <c r="O1507" s="85" t="inlineStr">
        <is>
          <t>1</t>
        </is>
      </c>
      <c r="P1507" s="85" t="inlineStr">
        <is>
          <t>2</t>
        </is>
      </c>
      <c r="Q1507" s="85" t="inlineStr">
        <is>
          <t>3</t>
        </is>
      </c>
      <c r="R1507" s="85" t="inlineStr">
        <is>
          <t>Notes</t>
        </is>
      </c>
      <c r="S1507" s="85" t="inlineStr">
        <is>
          <t>1</t>
        </is>
      </c>
      <c r="T1507" s="85" t="inlineStr">
        <is>
          <t>2</t>
        </is>
      </c>
      <c r="U1507" s="85" t="inlineStr">
        <is>
          <t>3</t>
        </is>
      </c>
      <c r="V1507" s="85" t="inlineStr">
        <is>
          <t>Notes</t>
        </is>
      </c>
      <c r="W1507" s="85" t="inlineStr">
        <is>
          <t>Cover</t>
        </is>
      </c>
      <c r="X1507" s="85" t="inlineStr">
        <is>
          <t>Notes</t>
        </is>
      </c>
      <c r="Y1507" s="85" t="inlineStr">
        <is>
          <t>Cover</t>
        </is>
      </c>
      <c r="Z1507" s="85" t="inlineStr">
        <is>
          <t>Notes</t>
        </is>
      </c>
      <c r="AB1507" s="86" t="inlineStr">
        <is>
          <t>weekdays short</t>
        </is>
      </c>
      <c r="AC1507" s="87" t="inlineStr"/>
    </row>
    <row r="1508" ht="17" customHeight="1">
      <c r="A1508" t="n">
        <v>31</v>
      </c>
      <c r="B1508" s="24">
        <f>IF(Setup!$K$6="","",Setup!$K$6)</f>
        <v/>
      </c>
      <c r="C1508" s="88" t="n"/>
      <c r="D1508" s="88" t="n"/>
      <c r="E1508" s="88" t="n"/>
      <c r="F1508" s="89" t="n"/>
      <c r="G1508" s="88" t="n"/>
      <c r="H1508" s="88" t="n"/>
      <c r="I1508" s="88" t="n"/>
      <c r="J1508" s="89" t="n"/>
      <c r="K1508" s="88" t="n"/>
      <c r="L1508" s="88" t="n"/>
      <c r="M1508" s="88" t="n"/>
      <c r="N1508" s="89" t="n"/>
      <c r="O1508" s="88" t="n"/>
      <c r="P1508" s="88" t="n"/>
      <c r="Q1508" s="88" t="n"/>
      <c r="R1508" s="89" t="n"/>
      <c r="S1508" s="88" t="n"/>
      <c r="T1508" s="88" t="n"/>
      <c r="U1508" s="88" t="n"/>
      <c r="V1508" s="89" t="n"/>
      <c r="W1508" s="88" t="n"/>
      <c r="X1508" s="89" t="n"/>
      <c r="Y1508" s="88" t="n"/>
      <c r="Z1508" s="89" t="n"/>
      <c r="AB1508" s="25">
        <f>IF($B1508="","",(COUNTIF(C1508:E1508,"?*")&lt;N(INDEX(Setup!$L$6:$L$23,1)))+(COUNTIF(G1508:I1508,"?*")&lt;N(INDEX(Setup!$L$6:$L$23,1)))+(COUNTIF(K1508:M1508,"?*")&lt;N(INDEX(Setup!$L$6:$L$23,1)))+(COUNTIF(O1508:Q1508,"?*")&lt;N(INDEX(Setup!$L$6:$L$23,1)))+(COUNTIF(S1508:U1508,"?*")&lt;N(INDEX(Setup!$L$6:$L$23,1)))+((W1508="")*(INDEX(Setup!$M$6:$M$23,1)="Y"))+((Y1508="")*(INDEX(Setup!$M$6:$M$23,1)="Y")))</f>
        <v/>
      </c>
      <c r="AC1508" s="90">
        <f>IF($B1508="","",IF(AB1508=0,"✓ covered","⚠ "&amp;AB1508&amp;IF(AB1508=1," gap"," gaps")))</f>
        <v/>
      </c>
    </row>
    <row r="1509" ht="17" customHeight="1">
      <c r="A1509" t="n">
        <v>31</v>
      </c>
      <c r="B1509" s="29">
        <f>IF(Setup!$K$7="","",Setup!$K$7)</f>
        <v/>
      </c>
      <c r="C1509" s="88" t="n"/>
      <c r="D1509" s="88" t="n"/>
      <c r="E1509" s="88" t="n"/>
      <c r="F1509" s="89" t="n"/>
      <c r="G1509" s="88" t="n"/>
      <c r="H1509" s="88" t="n"/>
      <c r="I1509" s="88" t="n"/>
      <c r="J1509" s="89" t="n"/>
      <c r="K1509" s="88" t="n"/>
      <c r="L1509" s="88" t="n"/>
      <c r="M1509" s="88" t="n"/>
      <c r="N1509" s="89" t="n"/>
      <c r="O1509" s="88" t="n"/>
      <c r="P1509" s="88" t="n"/>
      <c r="Q1509" s="88" t="n"/>
      <c r="R1509" s="89" t="n"/>
      <c r="S1509" s="88" t="n"/>
      <c r="T1509" s="88" t="n"/>
      <c r="U1509" s="88" t="n"/>
      <c r="V1509" s="89" t="n"/>
      <c r="W1509" s="88" t="n"/>
      <c r="X1509" s="89" t="n"/>
      <c r="Y1509" s="88" t="n"/>
      <c r="Z1509" s="89" t="n"/>
      <c r="AB1509" s="30">
        <f>IF($B1509="","",(COUNTIF(C1509:E1509,"?*")&lt;N(INDEX(Setup!$L$6:$L$23,2)))+(COUNTIF(G1509:I1509,"?*")&lt;N(INDEX(Setup!$L$6:$L$23,2)))+(COUNTIF(K1509:M1509,"?*")&lt;N(INDEX(Setup!$L$6:$L$23,2)))+(COUNTIF(O1509:Q1509,"?*")&lt;N(INDEX(Setup!$L$6:$L$23,2)))+(COUNTIF(S1509:U1509,"?*")&lt;N(INDEX(Setup!$L$6:$L$23,2)))+((W1509="")*(INDEX(Setup!$M$6:$M$23,2)="Y"))+((Y1509="")*(INDEX(Setup!$M$6:$M$23,2)="Y")))</f>
        <v/>
      </c>
      <c r="AC1509" s="91">
        <f>IF($B1509="","",IF(AB1509=0,"✓ covered","⚠ "&amp;AB1509&amp;IF(AB1509=1," gap"," gaps")))</f>
        <v/>
      </c>
    </row>
    <row r="1510" ht="17" customHeight="1">
      <c r="A1510" t="n">
        <v>31</v>
      </c>
      <c r="B1510" s="24">
        <f>IF(Setup!$K$8="","",Setup!$K$8)</f>
        <v/>
      </c>
      <c r="C1510" s="88" t="n"/>
      <c r="D1510" s="88" t="n"/>
      <c r="E1510" s="88" t="n"/>
      <c r="F1510" s="89" t="n"/>
      <c r="G1510" s="88" t="n"/>
      <c r="H1510" s="88" t="n"/>
      <c r="I1510" s="88" t="n"/>
      <c r="J1510" s="89" t="n"/>
      <c r="K1510" s="88" t="n"/>
      <c r="L1510" s="88" t="n"/>
      <c r="M1510" s="88" t="n"/>
      <c r="N1510" s="89" t="n"/>
      <c r="O1510" s="88" t="n"/>
      <c r="P1510" s="88" t="n"/>
      <c r="Q1510" s="88" t="n"/>
      <c r="R1510" s="89" t="n"/>
      <c r="S1510" s="88" t="n"/>
      <c r="T1510" s="88" t="n"/>
      <c r="U1510" s="88" t="n"/>
      <c r="V1510" s="89" t="n"/>
      <c r="W1510" s="88" t="n"/>
      <c r="X1510" s="89" t="n"/>
      <c r="Y1510" s="88" t="n"/>
      <c r="Z1510" s="89" t="n"/>
      <c r="AB1510" s="25">
        <f>IF($B1510="","",(COUNTIF(C1510:E1510,"?*")&lt;N(INDEX(Setup!$L$6:$L$23,3)))+(COUNTIF(G1510:I1510,"?*")&lt;N(INDEX(Setup!$L$6:$L$23,3)))+(COUNTIF(K1510:M1510,"?*")&lt;N(INDEX(Setup!$L$6:$L$23,3)))+(COUNTIF(O1510:Q1510,"?*")&lt;N(INDEX(Setup!$L$6:$L$23,3)))+(COUNTIF(S1510:U1510,"?*")&lt;N(INDEX(Setup!$L$6:$L$23,3)))+((W1510="")*(INDEX(Setup!$M$6:$M$23,3)="Y"))+((Y1510="")*(INDEX(Setup!$M$6:$M$23,3)="Y")))</f>
        <v/>
      </c>
      <c r="AC1510" s="90">
        <f>IF($B1510="","",IF(AB1510=0,"✓ covered","⚠ "&amp;AB1510&amp;IF(AB1510=1," gap"," gaps")))</f>
        <v/>
      </c>
    </row>
    <row r="1511" ht="17" customHeight="1">
      <c r="A1511" t="n">
        <v>31</v>
      </c>
      <c r="B1511" s="29">
        <f>IF(Setup!$K$9="","",Setup!$K$9)</f>
        <v/>
      </c>
      <c r="C1511" s="88" t="n"/>
      <c r="D1511" s="88" t="n"/>
      <c r="E1511" s="88" t="n"/>
      <c r="F1511" s="89" t="n"/>
      <c r="G1511" s="88" t="n"/>
      <c r="H1511" s="88" t="n"/>
      <c r="I1511" s="88" t="n"/>
      <c r="J1511" s="89" t="n"/>
      <c r="K1511" s="88" t="n"/>
      <c r="L1511" s="88" t="n"/>
      <c r="M1511" s="88" t="n"/>
      <c r="N1511" s="89" t="n"/>
      <c r="O1511" s="88" t="n"/>
      <c r="P1511" s="88" t="n"/>
      <c r="Q1511" s="88" t="n"/>
      <c r="R1511" s="89" t="n"/>
      <c r="S1511" s="88" t="n"/>
      <c r="T1511" s="88" t="n"/>
      <c r="U1511" s="88" t="n"/>
      <c r="V1511" s="89" t="n"/>
      <c r="W1511" s="88" t="n"/>
      <c r="X1511" s="89" t="n"/>
      <c r="Y1511" s="88" t="n"/>
      <c r="Z1511" s="89" t="n"/>
      <c r="AB1511" s="30">
        <f>IF($B1511="","",(COUNTIF(C1511:E1511,"?*")&lt;N(INDEX(Setup!$L$6:$L$23,4)))+(COUNTIF(G1511:I1511,"?*")&lt;N(INDEX(Setup!$L$6:$L$23,4)))+(COUNTIF(K1511:M1511,"?*")&lt;N(INDEX(Setup!$L$6:$L$23,4)))+(COUNTIF(O1511:Q1511,"?*")&lt;N(INDEX(Setup!$L$6:$L$23,4)))+(COUNTIF(S1511:U1511,"?*")&lt;N(INDEX(Setup!$L$6:$L$23,4)))+((W1511="")*(INDEX(Setup!$M$6:$M$23,4)="Y"))+((Y1511="")*(INDEX(Setup!$M$6:$M$23,4)="Y")))</f>
        <v/>
      </c>
      <c r="AC1511" s="91">
        <f>IF($B1511="","",IF(AB1511=0,"✓ covered","⚠ "&amp;AB1511&amp;IF(AB1511=1," gap"," gaps")))</f>
        <v/>
      </c>
    </row>
    <row r="1512" ht="17" customHeight="1">
      <c r="A1512" t="n">
        <v>31</v>
      </c>
      <c r="B1512" s="24">
        <f>IF(Setup!$K$10="","",Setup!$K$10)</f>
        <v/>
      </c>
      <c r="C1512" s="88" t="n"/>
      <c r="D1512" s="88" t="n"/>
      <c r="E1512" s="88" t="n"/>
      <c r="F1512" s="89" t="n"/>
      <c r="G1512" s="88" t="n"/>
      <c r="H1512" s="88" t="n"/>
      <c r="I1512" s="88" t="n"/>
      <c r="J1512" s="89" t="n"/>
      <c r="K1512" s="88" t="n"/>
      <c r="L1512" s="88" t="n"/>
      <c r="M1512" s="88" t="n"/>
      <c r="N1512" s="89" t="n"/>
      <c r="O1512" s="88" t="n"/>
      <c r="P1512" s="88" t="n"/>
      <c r="Q1512" s="88" t="n"/>
      <c r="R1512" s="89" t="n"/>
      <c r="S1512" s="88" t="n"/>
      <c r="T1512" s="88" t="n"/>
      <c r="U1512" s="88" t="n"/>
      <c r="V1512" s="89" t="n"/>
      <c r="W1512" s="88" t="n"/>
      <c r="X1512" s="89" t="n"/>
      <c r="Y1512" s="88" t="n"/>
      <c r="Z1512" s="89" t="n"/>
      <c r="AB1512" s="25">
        <f>IF($B1512="","",(COUNTIF(C1512:E1512,"?*")&lt;N(INDEX(Setup!$L$6:$L$23,5)))+(COUNTIF(G1512:I1512,"?*")&lt;N(INDEX(Setup!$L$6:$L$23,5)))+(COUNTIF(K1512:M1512,"?*")&lt;N(INDEX(Setup!$L$6:$L$23,5)))+(COUNTIF(O1512:Q1512,"?*")&lt;N(INDEX(Setup!$L$6:$L$23,5)))+(COUNTIF(S1512:U1512,"?*")&lt;N(INDEX(Setup!$L$6:$L$23,5)))+((W1512="")*(INDEX(Setup!$M$6:$M$23,5)="Y"))+((Y1512="")*(INDEX(Setup!$M$6:$M$23,5)="Y")))</f>
        <v/>
      </c>
      <c r="AC1512" s="90">
        <f>IF($B1512="","",IF(AB1512=0,"✓ covered","⚠ "&amp;AB1512&amp;IF(AB1512=1," gap"," gaps")))</f>
        <v/>
      </c>
    </row>
    <row r="1513" ht="17" customHeight="1">
      <c r="A1513" t="n">
        <v>31</v>
      </c>
      <c r="B1513" s="29">
        <f>IF(Setup!$K$11="","",Setup!$K$11)</f>
        <v/>
      </c>
      <c r="C1513" s="88" t="n"/>
      <c r="D1513" s="88" t="n"/>
      <c r="E1513" s="88" t="n"/>
      <c r="F1513" s="89" t="n"/>
      <c r="G1513" s="88" t="n"/>
      <c r="H1513" s="88" t="n"/>
      <c r="I1513" s="88" t="n"/>
      <c r="J1513" s="89" t="n"/>
      <c r="K1513" s="88" t="n"/>
      <c r="L1513" s="88" t="n"/>
      <c r="M1513" s="88" t="n"/>
      <c r="N1513" s="89" t="n"/>
      <c r="O1513" s="88" t="n"/>
      <c r="P1513" s="88" t="n"/>
      <c r="Q1513" s="88" t="n"/>
      <c r="R1513" s="89" t="n"/>
      <c r="S1513" s="88" t="n"/>
      <c r="T1513" s="88" t="n"/>
      <c r="U1513" s="88" t="n"/>
      <c r="V1513" s="89" t="n"/>
      <c r="W1513" s="88" t="n"/>
      <c r="X1513" s="89" t="n"/>
      <c r="Y1513" s="88" t="n"/>
      <c r="Z1513" s="89" t="n"/>
      <c r="AB1513" s="30">
        <f>IF($B1513="","",(COUNTIF(C1513:E1513,"?*")&lt;N(INDEX(Setup!$L$6:$L$23,6)))+(COUNTIF(G1513:I1513,"?*")&lt;N(INDEX(Setup!$L$6:$L$23,6)))+(COUNTIF(K1513:M1513,"?*")&lt;N(INDEX(Setup!$L$6:$L$23,6)))+(COUNTIF(O1513:Q1513,"?*")&lt;N(INDEX(Setup!$L$6:$L$23,6)))+(COUNTIF(S1513:U1513,"?*")&lt;N(INDEX(Setup!$L$6:$L$23,6)))+((W1513="")*(INDEX(Setup!$M$6:$M$23,6)="Y"))+((Y1513="")*(INDEX(Setup!$M$6:$M$23,6)="Y")))</f>
        <v/>
      </c>
      <c r="AC1513" s="91">
        <f>IF($B1513="","",IF(AB1513=0,"✓ covered","⚠ "&amp;AB1513&amp;IF(AB1513=1," gap"," gaps")))</f>
        <v/>
      </c>
    </row>
    <row r="1514" ht="17" customHeight="1">
      <c r="A1514" t="n">
        <v>31</v>
      </c>
      <c r="B1514" s="24">
        <f>IF(Setup!$K$12="","",Setup!$K$12)</f>
        <v/>
      </c>
      <c r="C1514" s="88" t="n"/>
      <c r="D1514" s="88" t="n"/>
      <c r="E1514" s="88" t="n"/>
      <c r="F1514" s="89" t="n"/>
      <c r="G1514" s="88" t="n"/>
      <c r="H1514" s="88" t="n"/>
      <c r="I1514" s="88" t="n"/>
      <c r="J1514" s="89" t="n"/>
      <c r="K1514" s="88" t="n"/>
      <c r="L1514" s="88" t="n"/>
      <c r="M1514" s="88" t="n"/>
      <c r="N1514" s="89" t="n"/>
      <c r="O1514" s="88" t="n"/>
      <c r="P1514" s="88" t="n"/>
      <c r="Q1514" s="88" t="n"/>
      <c r="R1514" s="89" t="n"/>
      <c r="S1514" s="88" t="n"/>
      <c r="T1514" s="88" t="n"/>
      <c r="U1514" s="88" t="n"/>
      <c r="V1514" s="89" t="n"/>
      <c r="W1514" s="88" t="n"/>
      <c r="X1514" s="89" t="n"/>
      <c r="Y1514" s="88" t="n"/>
      <c r="Z1514" s="89" t="n"/>
      <c r="AB1514" s="25">
        <f>IF($B1514="","",(COUNTIF(C1514:E1514,"?*")&lt;N(INDEX(Setup!$L$6:$L$23,7)))+(COUNTIF(G1514:I1514,"?*")&lt;N(INDEX(Setup!$L$6:$L$23,7)))+(COUNTIF(K1514:M1514,"?*")&lt;N(INDEX(Setup!$L$6:$L$23,7)))+(COUNTIF(O1514:Q1514,"?*")&lt;N(INDEX(Setup!$L$6:$L$23,7)))+(COUNTIF(S1514:U1514,"?*")&lt;N(INDEX(Setup!$L$6:$L$23,7)))+((W1514="")*(INDEX(Setup!$M$6:$M$23,7)="Y"))+((Y1514="")*(INDEX(Setup!$M$6:$M$23,7)="Y")))</f>
        <v/>
      </c>
      <c r="AC1514" s="90">
        <f>IF($B1514="","",IF(AB1514=0,"✓ covered","⚠ "&amp;AB1514&amp;IF(AB1514=1," gap"," gaps")))</f>
        <v/>
      </c>
    </row>
    <row r="1515" ht="17" customHeight="1">
      <c r="A1515" t="n">
        <v>31</v>
      </c>
      <c r="B1515" s="29">
        <f>IF(Setup!$K$13="","",Setup!$K$13)</f>
        <v/>
      </c>
      <c r="C1515" s="88" t="n"/>
      <c r="D1515" s="88" t="n"/>
      <c r="E1515" s="88" t="n"/>
      <c r="F1515" s="89" t="n"/>
      <c r="G1515" s="88" t="n"/>
      <c r="H1515" s="88" t="n"/>
      <c r="I1515" s="88" t="n"/>
      <c r="J1515" s="89" t="n"/>
      <c r="K1515" s="88" t="n"/>
      <c r="L1515" s="88" t="n"/>
      <c r="M1515" s="88" t="n"/>
      <c r="N1515" s="89" t="n"/>
      <c r="O1515" s="88" t="n"/>
      <c r="P1515" s="88" t="n"/>
      <c r="Q1515" s="88" t="n"/>
      <c r="R1515" s="89" t="n"/>
      <c r="S1515" s="88" t="n"/>
      <c r="T1515" s="88" t="n"/>
      <c r="U1515" s="88" t="n"/>
      <c r="V1515" s="89" t="n"/>
      <c r="W1515" s="88" t="n"/>
      <c r="X1515" s="89" t="n"/>
      <c r="Y1515" s="88" t="n"/>
      <c r="Z1515" s="89" t="n"/>
      <c r="AB1515" s="30">
        <f>IF($B1515="","",(COUNTIF(C1515:E1515,"?*")&lt;N(INDEX(Setup!$L$6:$L$23,8)))+(COUNTIF(G1515:I1515,"?*")&lt;N(INDEX(Setup!$L$6:$L$23,8)))+(COUNTIF(K1515:M1515,"?*")&lt;N(INDEX(Setup!$L$6:$L$23,8)))+(COUNTIF(O1515:Q1515,"?*")&lt;N(INDEX(Setup!$L$6:$L$23,8)))+(COUNTIF(S1515:U1515,"?*")&lt;N(INDEX(Setup!$L$6:$L$23,8)))+((W1515="")*(INDEX(Setup!$M$6:$M$23,8)="Y"))+((Y1515="")*(INDEX(Setup!$M$6:$M$23,8)="Y")))</f>
        <v/>
      </c>
      <c r="AC1515" s="91">
        <f>IF($B1515="","",IF(AB1515=0,"✓ covered","⚠ "&amp;AB1515&amp;IF(AB1515=1," gap"," gaps")))</f>
        <v/>
      </c>
    </row>
    <row r="1516" ht="17" customHeight="1">
      <c r="A1516" t="n">
        <v>31</v>
      </c>
      <c r="B1516" s="24">
        <f>IF(Setup!$K$14="","",Setup!$K$14)</f>
        <v/>
      </c>
      <c r="C1516" s="88" t="n"/>
      <c r="D1516" s="88" t="n"/>
      <c r="E1516" s="88" t="n"/>
      <c r="F1516" s="89" t="n"/>
      <c r="G1516" s="88" t="n"/>
      <c r="H1516" s="88" t="n"/>
      <c r="I1516" s="88" t="n"/>
      <c r="J1516" s="89" t="n"/>
      <c r="K1516" s="88" t="n"/>
      <c r="L1516" s="88" t="n"/>
      <c r="M1516" s="88" t="n"/>
      <c r="N1516" s="89" t="n"/>
      <c r="O1516" s="88" t="n"/>
      <c r="P1516" s="88" t="n"/>
      <c r="Q1516" s="88" t="n"/>
      <c r="R1516" s="89" t="n"/>
      <c r="S1516" s="88" t="n"/>
      <c r="T1516" s="88" t="n"/>
      <c r="U1516" s="88" t="n"/>
      <c r="V1516" s="89" t="n"/>
      <c r="W1516" s="88" t="n"/>
      <c r="X1516" s="89" t="n"/>
      <c r="Y1516" s="88" t="n"/>
      <c r="Z1516" s="89" t="n"/>
      <c r="AB1516" s="25">
        <f>IF($B1516="","",(COUNTIF(C1516:E1516,"?*")&lt;N(INDEX(Setup!$L$6:$L$23,9)))+(COUNTIF(G1516:I1516,"?*")&lt;N(INDEX(Setup!$L$6:$L$23,9)))+(COUNTIF(K1516:M1516,"?*")&lt;N(INDEX(Setup!$L$6:$L$23,9)))+(COUNTIF(O1516:Q1516,"?*")&lt;N(INDEX(Setup!$L$6:$L$23,9)))+(COUNTIF(S1516:U1516,"?*")&lt;N(INDEX(Setup!$L$6:$L$23,9)))+((W1516="")*(INDEX(Setup!$M$6:$M$23,9)="Y"))+((Y1516="")*(INDEX(Setup!$M$6:$M$23,9)="Y")))</f>
        <v/>
      </c>
      <c r="AC1516" s="90">
        <f>IF($B1516="","",IF(AB1516=0,"✓ covered","⚠ "&amp;AB1516&amp;IF(AB1516=1," gap"," gaps")))</f>
        <v/>
      </c>
    </row>
    <row r="1517" ht="17" customHeight="1">
      <c r="A1517" t="n">
        <v>31</v>
      </c>
      <c r="B1517" s="29">
        <f>IF(Setup!$K$15="","",Setup!$K$15)</f>
        <v/>
      </c>
      <c r="C1517" s="88" t="n"/>
      <c r="D1517" s="88" t="n"/>
      <c r="E1517" s="88" t="n"/>
      <c r="F1517" s="89" t="n"/>
      <c r="G1517" s="88" t="n"/>
      <c r="H1517" s="88" t="n"/>
      <c r="I1517" s="88" t="n"/>
      <c r="J1517" s="89" t="n"/>
      <c r="K1517" s="88" t="n"/>
      <c r="L1517" s="88" t="n"/>
      <c r="M1517" s="88" t="n"/>
      <c r="N1517" s="89" t="n"/>
      <c r="O1517" s="88" t="n"/>
      <c r="P1517" s="88" t="n"/>
      <c r="Q1517" s="88" t="n"/>
      <c r="R1517" s="89" t="n"/>
      <c r="S1517" s="88" t="n"/>
      <c r="T1517" s="88" t="n"/>
      <c r="U1517" s="88" t="n"/>
      <c r="V1517" s="89" t="n"/>
      <c r="W1517" s="88" t="n"/>
      <c r="X1517" s="89" t="n"/>
      <c r="Y1517" s="88" t="n"/>
      <c r="Z1517" s="89" t="n"/>
      <c r="AB1517" s="30">
        <f>IF($B1517="","",(COUNTIF(C1517:E1517,"?*")&lt;N(INDEX(Setup!$L$6:$L$23,10)))+(COUNTIF(G1517:I1517,"?*")&lt;N(INDEX(Setup!$L$6:$L$23,10)))+(COUNTIF(K1517:M1517,"?*")&lt;N(INDEX(Setup!$L$6:$L$23,10)))+(COUNTIF(O1517:Q1517,"?*")&lt;N(INDEX(Setup!$L$6:$L$23,10)))+(COUNTIF(S1517:U1517,"?*")&lt;N(INDEX(Setup!$L$6:$L$23,10)))+((W1517="")*(INDEX(Setup!$M$6:$M$23,10)="Y"))+((Y1517="")*(INDEX(Setup!$M$6:$M$23,10)="Y")))</f>
        <v/>
      </c>
      <c r="AC1517" s="91">
        <f>IF($B1517="","",IF(AB1517=0,"✓ covered","⚠ "&amp;AB1517&amp;IF(AB1517=1," gap"," gaps")))</f>
        <v/>
      </c>
    </row>
    <row r="1518" ht="17" customHeight="1">
      <c r="A1518" t="n">
        <v>31</v>
      </c>
      <c r="B1518" s="24">
        <f>IF(Setup!$K$16="","",Setup!$K$16)</f>
        <v/>
      </c>
      <c r="C1518" s="88" t="n"/>
      <c r="D1518" s="88" t="n"/>
      <c r="E1518" s="88" t="n"/>
      <c r="F1518" s="89" t="n"/>
      <c r="G1518" s="88" t="n"/>
      <c r="H1518" s="88" t="n"/>
      <c r="I1518" s="88" t="n"/>
      <c r="J1518" s="89" t="n"/>
      <c r="K1518" s="88" t="n"/>
      <c r="L1518" s="88" t="n"/>
      <c r="M1518" s="88" t="n"/>
      <c r="N1518" s="89" t="n"/>
      <c r="O1518" s="88" t="n"/>
      <c r="P1518" s="88" t="n"/>
      <c r="Q1518" s="88" t="n"/>
      <c r="R1518" s="89" t="n"/>
      <c r="S1518" s="88" t="n"/>
      <c r="T1518" s="88" t="n"/>
      <c r="U1518" s="88" t="n"/>
      <c r="V1518" s="89" t="n"/>
      <c r="W1518" s="88" t="n"/>
      <c r="X1518" s="89" t="n"/>
      <c r="Y1518" s="88" t="n"/>
      <c r="Z1518" s="89" t="n"/>
      <c r="AB1518" s="25">
        <f>IF($B1518="","",(COUNTIF(C1518:E1518,"?*")&lt;N(INDEX(Setup!$L$6:$L$23,11)))+(COUNTIF(G1518:I1518,"?*")&lt;N(INDEX(Setup!$L$6:$L$23,11)))+(COUNTIF(K1518:M1518,"?*")&lt;N(INDEX(Setup!$L$6:$L$23,11)))+(COUNTIF(O1518:Q1518,"?*")&lt;N(INDEX(Setup!$L$6:$L$23,11)))+(COUNTIF(S1518:U1518,"?*")&lt;N(INDEX(Setup!$L$6:$L$23,11)))+((W1518="")*(INDEX(Setup!$M$6:$M$23,11)="Y"))+((Y1518="")*(INDEX(Setup!$M$6:$M$23,11)="Y")))</f>
        <v/>
      </c>
      <c r="AC1518" s="90">
        <f>IF($B1518="","",IF(AB1518=0,"✓ covered","⚠ "&amp;AB1518&amp;IF(AB1518=1," gap"," gaps")))</f>
        <v/>
      </c>
    </row>
    <row r="1519" ht="17" customHeight="1">
      <c r="A1519" t="n">
        <v>31</v>
      </c>
      <c r="B1519" s="29">
        <f>IF(Setup!$K$17="","",Setup!$K$17)</f>
        <v/>
      </c>
      <c r="C1519" s="88" t="n"/>
      <c r="D1519" s="88" t="n"/>
      <c r="E1519" s="88" t="n"/>
      <c r="F1519" s="89" t="n"/>
      <c r="G1519" s="88" t="n"/>
      <c r="H1519" s="88" t="n"/>
      <c r="I1519" s="88" t="n"/>
      <c r="J1519" s="89" t="n"/>
      <c r="K1519" s="88" t="n"/>
      <c r="L1519" s="88" t="n"/>
      <c r="M1519" s="88" t="n"/>
      <c r="N1519" s="89" t="n"/>
      <c r="O1519" s="88" t="n"/>
      <c r="P1519" s="88" t="n"/>
      <c r="Q1519" s="88" t="n"/>
      <c r="R1519" s="89" t="n"/>
      <c r="S1519" s="88" t="n"/>
      <c r="T1519" s="88" t="n"/>
      <c r="U1519" s="88" t="n"/>
      <c r="V1519" s="89" t="n"/>
      <c r="W1519" s="88" t="n"/>
      <c r="X1519" s="89" t="n"/>
      <c r="Y1519" s="88" t="n"/>
      <c r="Z1519" s="89" t="n"/>
      <c r="AB1519" s="30">
        <f>IF($B1519="","",(COUNTIF(C1519:E1519,"?*")&lt;N(INDEX(Setup!$L$6:$L$23,12)))+(COUNTIF(G1519:I1519,"?*")&lt;N(INDEX(Setup!$L$6:$L$23,12)))+(COUNTIF(K1519:M1519,"?*")&lt;N(INDEX(Setup!$L$6:$L$23,12)))+(COUNTIF(O1519:Q1519,"?*")&lt;N(INDEX(Setup!$L$6:$L$23,12)))+(COUNTIF(S1519:U1519,"?*")&lt;N(INDEX(Setup!$L$6:$L$23,12)))+((W1519="")*(INDEX(Setup!$M$6:$M$23,12)="Y"))+((Y1519="")*(INDEX(Setup!$M$6:$M$23,12)="Y")))</f>
        <v/>
      </c>
      <c r="AC1519" s="91">
        <f>IF($B1519="","",IF(AB1519=0,"✓ covered","⚠ "&amp;AB1519&amp;IF(AB1519=1," gap"," gaps")))</f>
        <v/>
      </c>
    </row>
    <row r="1520" ht="17" customHeight="1">
      <c r="A1520" t="n">
        <v>31</v>
      </c>
      <c r="B1520" s="24">
        <f>IF(Setup!$K$18="","",Setup!$K$18)</f>
        <v/>
      </c>
      <c r="C1520" s="88" t="n"/>
      <c r="D1520" s="88" t="n"/>
      <c r="E1520" s="88" t="n"/>
      <c r="F1520" s="89" t="n"/>
      <c r="G1520" s="88" t="n"/>
      <c r="H1520" s="88" t="n"/>
      <c r="I1520" s="88" t="n"/>
      <c r="J1520" s="89" t="n"/>
      <c r="K1520" s="88" t="n"/>
      <c r="L1520" s="88" t="n"/>
      <c r="M1520" s="88" t="n"/>
      <c r="N1520" s="89" t="n"/>
      <c r="O1520" s="88" t="n"/>
      <c r="P1520" s="88" t="n"/>
      <c r="Q1520" s="88" t="n"/>
      <c r="R1520" s="89" t="n"/>
      <c r="S1520" s="88" t="n"/>
      <c r="T1520" s="88" t="n"/>
      <c r="U1520" s="88" t="n"/>
      <c r="V1520" s="89" t="n"/>
      <c r="W1520" s="88" t="n"/>
      <c r="X1520" s="89" t="n"/>
      <c r="Y1520" s="88" t="n"/>
      <c r="Z1520" s="89" t="n"/>
      <c r="AB1520" s="25">
        <f>IF($B1520="","",(COUNTIF(C1520:E1520,"?*")&lt;N(INDEX(Setup!$L$6:$L$23,13)))+(COUNTIF(G1520:I1520,"?*")&lt;N(INDEX(Setup!$L$6:$L$23,13)))+(COUNTIF(K1520:M1520,"?*")&lt;N(INDEX(Setup!$L$6:$L$23,13)))+(COUNTIF(O1520:Q1520,"?*")&lt;N(INDEX(Setup!$L$6:$L$23,13)))+(COUNTIF(S1520:U1520,"?*")&lt;N(INDEX(Setup!$L$6:$L$23,13)))+((W1520="")*(INDEX(Setup!$M$6:$M$23,13)="Y"))+((Y1520="")*(INDEX(Setup!$M$6:$M$23,13)="Y")))</f>
        <v/>
      </c>
      <c r="AC1520" s="90">
        <f>IF($B1520="","",IF(AB1520=0,"✓ covered","⚠ "&amp;AB1520&amp;IF(AB1520=1," gap"," gaps")))</f>
        <v/>
      </c>
    </row>
    <row r="1521" ht="17" customHeight="1">
      <c r="A1521" t="n">
        <v>31</v>
      </c>
      <c r="B1521" s="29">
        <f>IF(Setup!$K$19="","",Setup!$K$19)</f>
        <v/>
      </c>
      <c r="C1521" s="88" t="n"/>
      <c r="D1521" s="88" t="n"/>
      <c r="E1521" s="88" t="n"/>
      <c r="F1521" s="89" t="n"/>
      <c r="G1521" s="88" t="n"/>
      <c r="H1521" s="88" t="n"/>
      <c r="I1521" s="88" t="n"/>
      <c r="J1521" s="89" t="n"/>
      <c r="K1521" s="88" t="n"/>
      <c r="L1521" s="88" t="n"/>
      <c r="M1521" s="88" t="n"/>
      <c r="N1521" s="89" t="n"/>
      <c r="O1521" s="88" t="n"/>
      <c r="P1521" s="88" t="n"/>
      <c r="Q1521" s="88" t="n"/>
      <c r="R1521" s="89" t="n"/>
      <c r="S1521" s="88" t="n"/>
      <c r="T1521" s="88" t="n"/>
      <c r="U1521" s="88" t="n"/>
      <c r="V1521" s="89" t="n"/>
      <c r="W1521" s="88" t="n"/>
      <c r="X1521" s="89" t="n"/>
      <c r="Y1521" s="88" t="n"/>
      <c r="Z1521" s="89" t="n"/>
      <c r="AB1521" s="30">
        <f>IF($B1521="","",(COUNTIF(C1521:E1521,"?*")&lt;N(INDEX(Setup!$L$6:$L$23,14)))+(COUNTIF(G1521:I1521,"?*")&lt;N(INDEX(Setup!$L$6:$L$23,14)))+(COUNTIF(K1521:M1521,"?*")&lt;N(INDEX(Setup!$L$6:$L$23,14)))+(COUNTIF(O1521:Q1521,"?*")&lt;N(INDEX(Setup!$L$6:$L$23,14)))+(COUNTIF(S1521:U1521,"?*")&lt;N(INDEX(Setup!$L$6:$L$23,14)))+((W1521="")*(INDEX(Setup!$M$6:$M$23,14)="Y"))+((Y1521="")*(INDEX(Setup!$M$6:$M$23,14)="Y")))</f>
        <v/>
      </c>
      <c r="AC1521" s="91">
        <f>IF($B1521="","",IF(AB1521=0,"✓ covered","⚠ "&amp;AB1521&amp;IF(AB1521=1," gap"," gaps")))</f>
        <v/>
      </c>
    </row>
    <row r="1522" ht="17" customHeight="1">
      <c r="A1522" t="n">
        <v>31</v>
      </c>
      <c r="B1522" s="24">
        <f>IF(Setup!$K$20="","",Setup!$K$20)</f>
        <v/>
      </c>
      <c r="C1522" s="88" t="n"/>
      <c r="D1522" s="88" t="n"/>
      <c r="E1522" s="88" t="n"/>
      <c r="F1522" s="89" t="n"/>
      <c r="G1522" s="88" t="n"/>
      <c r="H1522" s="88" t="n"/>
      <c r="I1522" s="88" t="n"/>
      <c r="J1522" s="89" t="n"/>
      <c r="K1522" s="88" t="n"/>
      <c r="L1522" s="88" t="n"/>
      <c r="M1522" s="88" t="n"/>
      <c r="N1522" s="89" t="n"/>
      <c r="O1522" s="88" t="n"/>
      <c r="P1522" s="88" t="n"/>
      <c r="Q1522" s="88" t="n"/>
      <c r="R1522" s="89" t="n"/>
      <c r="S1522" s="88" t="n"/>
      <c r="T1522" s="88" t="n"/>
      <c r="U1522" s="88" t="n"/>
      <c r="V1522" s="89" t="n"/>
      <c r="W1522" s="88" t="n"/>
      <c r="X1522" s="89" t="n"/>
      <c r="Y1522" s="88" t="n"/>
      <c r="Z1522" s="89" t="n"/>
      <c r="AB1522" s="25">
        <f>IF($B1522="","",(COUNTIF(C1522:E1522,"?*")&lt;N(INDEX(Setup!$L$6:$L$23,15)))+(COUNTIF(G1522:I1522,"?*")&lt;N(INDEX(Setup!$L$6:$L$23,15)))+(COUNTIF(K1522:M1522,"?*")&lt;N(INDEX(Setup!$L$6:$L$23,15)))+(COUNTIF(O1522:Q1522,"?*")&lt;N(INDEX(Setup!$L$6:$L$23,15)))+(COUNTIF(S1522:U1522,"?*")&lt;N(INDEX(Setup!$L$6:$L$23,15)))+((W1522="")*(INDEX(Setup!$M$6:$M$23,15)="Y"))+((Y1522="")*(INDEX(Setup!$M$6:$M$23,15)="Y")))</f>
        <v/>
      </c>
      <c r="AC1522" s="90">
        <f>IF($B1522="","",IF(AB1522=0,"✓ covered","⚠ "&amp;AB1522&amp;IF(AB1522=1," gap"," gaps")))</f>
        <v/>
      </c>
    </row>
    <row r="1523" ht="17" customHeight="1">
      <c r="A1523" t="n">
        <v>31</v>
      </c>
      <c r="B1523" s="29">
        <f>IF(Setup!$K$21="","",Setup!$K$21)</f>
        <v/>
      </c>
      <c r="C1523" s="88" t="n"/>
      <c r="D1523" s="88" t="n"/>
      <c r="E1523" s="88" t="n"/>
      <c r="F1523" s="89" t="n"/>
      <c r="G1523" s="88" t="n"/>
      <c r="H1523" s="88" t="n"/>
      <c r="I1523" s="88" t="n"/>
      <c r="J1523" s="89" t="n"/>
      <c r="K1523" s="88" t="n"/>
      <c r="L1523" s="88" t="n"/>
      <c r="M1523" s="88" t="n"/>
      <c r="N1523" s="89" t="n"/>
      <c r="O1523" s="88" t="n"/>
      <c r="P1523" s="88" t="n"/>
      <c r="Q1523" s="88" t="n"/>
      <c r="R1523" s="89" t="n"/>
      <c r="S1523" s="88" t="n"/>
      <c r="T1523" s="88" t="n"/>
      <c r="U1523" s="88" t="n"/>
      <c r="V1523" s="89" t="n"/>
      <c r="W1523" s="88" t="n"/>
      <c r="X1523" s="89" t="n"/>
      <c r="Y1523" s="88" t="n"/>
      <c r="Z1523" s="89" t="n"/>
      <c r="AB1523" s="30">
        <f>IF($B1523="","",(COUNTIF(C1523:E1523,"?*")&lt;N(INDEX(Setup!$L$6:$L$23,16)))+(COUNTIF(G1523:I1523,"?*")&lt;N(INDEX(Setup!$L$6:$L$23,16)))+(COUNTIF(K1523:M1523,"?*")&lt;N(INDEX(Setup!$L$6:$L$23,16)))+(COUNTIF(O1523:Q1523,"?*")&lt;N(INDEX(Setup!$L$6:$L$23,16)))+(COUNTIF(S1523:U1523,"?*")&lt;N(INDEX(Setup!$L$6:$L$23,16)))+((W1523="")*(INDEX(Setup!$M$6:$M$23,16)="Y"))+((Y1523="")*(INDEX(Setup!$M$6:$M$23,16)="Y")))</f>
        <v/>
      </c>
      <c r="AC1523" s="91">
        <f>IF($B1523="","",IF(AB1523=0,"✓ covered","⚠ "&amp;AB1523&amp;IF(AB1523=1," gap"," gaps")))</f>
        <v/>
      </c>
    </row>
    <row r="1524" ht="17" customHeight="1">
      <c r="A1524" t="n">
        <v>31</v>
      </c>
      <c r="B1524" s="24">
        <f>IF(Setup!$K$22="","",Setup!$K$22)</f>
        <v/>
      </c>
      <c r="C1524" s="88" t="n"/>
      <c r="D1524" s="88" t="n"/>
      <c r="E1524" s="88" t="n"/>
      <c r="F1524" s="89" t="n"/>
      <c r="G1524" s="88" t="n"/>
      <c r="H1524" s="88" t="n"/>
      <c r="I1524" s="88" t="n"/>
      <c r="J1524" s="89" t="n"/>
      <c r="K1524" s="88" t="n"/>
      <c r="L1524" s="88" t="n"/>
      <c r="M1524" s="88" t="n"/>
      <c r="N1524" s="89" t="n"/>
      <c r="O1524" s="88" t="n"/>
      <c r="P1524" s="88" t="n"/>
      <c r="Q1524" s="88" t="n"/>
      <c r="R1524" s="89" t="n"/>
      <c r="S1524" s="88" t="n"/>
      <c r="T1524" s="88" t="n"/>
      <c r="U1524" s="88" t="n"/>
      <c r="V1524" s="89" t="n"/>
      <c r="W1524" s="88" t="n"/>
      <c r="X1524" s="89" t="n"/>
      <c r="Y1524" s="88" t="n"/>
      <c r="Z1524" s="89" t="n"/>
      <c r="AB1524" s="25">
        <f>IF($B1524="","",(COUNTIF(C1524:E1524,"?*")&lt;N(INDEX(Setup!$L$6:$L$23,17)))+(COUNTIF(G1524:I1524,"?*")&lt;N(INDEX(Setup!$L$6:$L$23,17)))+(COUNTIF(K1524:M1524,"?*")&lt;N(INDEX(Setup!$L$6:$L$23,17)))+(COUNTIF(O1524:Q1524,"?*")&lt;N(INDEX(Setup!$L$6:$L$23,17)))+(COUNTIF(S1524:U1524,"?*")&lt;N(INDEX(Setup!$L$6:$L$23,17)))+((W1524="")*(INDEX(Setup!$M$6:$M$23,17)="Y"))+((Y1524="")*(INDEX(Setup!$M$6:$M$23,17)="Y")))</f>
        <v/>
      </c>
      <c r="AC1524" s="90">
        <f>IF($B1524="","",IF(AB1524=0,"✓ covered","⚠ "&amp;AB1524&amp;IF(AB1524=1," gap"," gaps")))</f>
        <v/>
      </c>
    </row>
    <row r="1525" ht="17" customHeight="1">
      <c r="A1525" t="n">
        <v>31</v>
      </c>
      <c r="B1525" s="29">
        <f>IF(Setup!$K$23="","",Setup!$K$23)</f>
        <v/>
      </c>
      <c r="C1525" s="88" t="n"/>
      <c r="D1525" s="88" t="n"/>
      <c r="E1525" s="88" t="n"/>
      <c r="F1525" s="89" t="n"/>
      <c r="G1525" s="88" t="n"/>
      <c r="H1525" s="88" t="n"/>
      <c r="I1525" s="88" t="n"/>
      <c r="J1525" s="89" t="n"/>
      <c r="K1525" s="88" t="n"/>
      <c r="L1525" s="88" t="n"/>
      <c r="M1525" s="88" t="n"/>
      <c r="N1525" s="89" t="n"/>
      <c r="O1525" s="88" t="n"/>
      <c r="P1525" s="88" t="n"/>
      <c r="Q1525" s="88" t="n"/>
      <c r="R1525" s="89" t="n"/>
      <c r="S1525" s="88" t="n"/>
      <c r="T1525" s="88" t="n"/>
      <c r="U1525" s="88" t="n"/>
      <c r="V1525" s="89" t="n"/>
      <c r="W1525" s="88" t="n"/>
      <c r="X1525" s="89" t="n"/>
      <c r="Y1525" s="88" t="n"/>
      <c r="Z1525" s="89" t="n"/>
      <c r="AB1525" s="30">
        <f>IF($B1525="","",(COUNTIF(C1525:E1525,"?*")&lt;N(INDEX(Setup!$L$6:$L$23,18)))+(COUNTIF(G1525:I1525,"?*")&lt;N(INDEX(Setup!$L$6:$L$23,18)))+(COUNTIF(K1525:M1525,"?*")&lt;N(INDEX(Setup!$L$6:$L$23,18)))+(COUNTIF(O1525:Q1525,"?*")&lt;N(INDEX(Setup!$L$6:$L$23,18)))+(COUNTIF(S1525:U1525,"?*")&lt;N(INDEX(Setup!$L$6:$L$23,18)))+((W1525="")*(INDEX(Setup!$M$6:$M$23,18)="Y"))+((Y1525="")*(INDEX(Setup!$M$6:$M$23,18)="Y")))</f>
        <v/>
      </c>
      <c r="AC1525" s="91">
        <f>IF($B1525="","",IF(AB1525=0,"✓ covered","⚠ "&amp;AB1525&amp;IF(AB1525=1," gap"," gaps")))</f>
        <v/>
      </c>
    </row>
    <row r="1526" ht="18" customHeight="1">
      <c r="A1526" t="n">
        <v>31</v>
      </c>
      <c r="B1526" s="78" t="inlineStr">
        <is>
          <t>TEAM AVAILABILITY</t>
        </is>
      </c>
      <c r="C1526" s="92" t="inlineStr">
        <is>
          <t>Mon</t>
        </is>
      </c>
      <c r="D1526" s="93" t="n"/>
      <c r="E1526" s="93" t="n"/>
      <c r="F1526" s="94" t="n"/>
      <c r="G1526" s="92" t="inlineStr">
        <is>
          <t>Tue</t>
        </is>
      </c>
      <c r="H1526" s="93" t="n"/>
      <c r="I1526" s="93" t="n"/>
      <c r="J1526" s="94" t="n"/>
      <c r="K1526" s="92" t="inlineStr">
        <is>
          <t>Wed</t>
        </is>
      </c>
      <c r="L1526" s="93" t="n"/>
      <c r="M1526" s="93" t="n"/>
      <c r="N1526" s="94" t="n"/>
      <c r="O1526" s="92" t="inlineStr">
        <is>
          <t>Thu</t>
        </is>
      </c>
      <c r="P1526" s="93" t="n"/>
      <c r="Q1526" s="93" t="n"/>
      <c r="R1526" s="94" t="n"/>
      <c r="S1526" s="92" t="inlineStr">
        <is>
          <t>Fri</t>
        </is>
      </c>
      <c r="T1526" s="93" t="n"/>
      <c r="U1526" s="93" t="n"/>
      <c r="V1526" s="94" t="n"/>
      <c r="W1526" s="95" t="inlineStr">
        <is>
          <t>Sat</t>
        </is>
      </c>
      <c r="X1526" s="96" t="n"/>
      <c r="Y1526" s="95" t="inlineStr">
        <is>
          <t>Sun</t>
        </is>
      </c>
      <c r="Z1526" s="96" t="n"/>
      <c r="AB1526" s="97" t="inlineStr">
        <is>
          <t>Days rostered</t>
        </is>
      </c>
      <c r="AC1526" s="97" t="inlineStr">
        <is>
          <t>Conflicts</t>
        </is>
      </c>
    </row>
    <row r="1527" ht="15" customHeight="1">
      <c r="A1527" t="n">
        <v>31</v>
      </c>
      <c r="B1527" s="35">
        <f>IF(Setup!$B$6="","",Setup!$B$6)</f>
        <v/>
      </c>
      <c r="C1527" s="98" t="n"/>
      <c r="D1527" s="99" t="n"/>
      <c r="E1527" s="99" t="n"/>
      <c r="F1527" s="100" t="n"/>
      <c r="G1527" s="98" t="n"/>
      <c r="H1527" s="99" t="n"/>
      <c r="I1527" s="99" t="n"/>
      <c r="J1527" s="100" t="n"/>
      <c r="K1527" s="98" t="n"/>
      <c r="L1527" s="99" t="n"/>
      <c r="M1527" s="99" t="n"/>
      <c r="N1527" s="100" t="n"/>
      <c r="O1527" s="98" t="n"/>
      <c r="P1527" s="99" t="n"/>
      <c r="Q1527" s="99" t="n"/>
      <c r="R1527" s="100" t="n"/>
      <c r="S1527" s="98" t="n"/>
      <c r="T1527" s="99" t="n"/>
      <c r="U1527" s="99" t="n"/>
      <c r="V1527" s="100" t="n"/>
      <c r="W1527" s="98" t="n"/>
      <c r="X1527" s="100" t="n"/>
      <c r="Y1527" s="98" t="n"/>
      <c r="Z1527" s="100" t="n"/>
      <c r="AB1527" s="101">
        <f>IF($B1527="","",(COUNTIF(C1508:E1525,$B1527)+COUNTIF(C1508:E1525,$B1527&amp;" ~*")&gt;0)+(COUNTIF(G1508:I1525,$B1527)+COUNTIF(G1508:I1525,$B1527&amp;" ~*")&gt;0)+(COUNTIF(K1508:M1525,$B1527)+COUNTIF(K1508:M1525,$B1527&amp;" ~*")&gt;0)+(COUNTIF(O1508:Q1525,$B1527)+COUNTIF(O1508:Q1525,$B1527&amp;" ~*")&gt;0)+(COUNTIF(S1508:U1525,$B1527)+COUNTIF(S1508:U1525,$B1527&amp;" ~*")&gt;0)+(COUNTIF(W1508:W1525,$B1527)+COUNTIF(W1508:W1525,$B1527&amp;" ~*")&gt;0)+(COUNTIF(Y1508:Y1525,$B1527)+COUNTIF(Y1508:Y1525,$B1527&amp;" ~*")&gt;0))</f>
        <v/>
      </c>
      <c r="AC1527" s="36">
        <f>IF($B1527="","",(IFERROR(INDEX(Setup!$G$33:$G$40,MATCH(C1527,Setup!$B$33:$B$40,0)),0)=1)*(COUNTIF(C1508:E1525,$B1527)+COUNTIF(C1508:E1525,$B1527&amp;" ~*")&gt;0)+(IFERROR(INDEX(Setup!$G$33:$G$40,MATCH(G1527,Setup!$B$33:$B$40,0)),0)=1)*(COUNTIF(G1508:I1525,$B1527)+COUNTIF(G1508:I1525,$B1527&amp;" ~*")&gt;0)+(IFERROR(INDEX(Setup!$G$33:$G$40,MATCH(K1527,Setup!$B$33:$B$40,0)),0)=1)*(COUNTIF(K1508:M1525,$B1527)+COUNTIF(K1508:M1525,$B1527&amp;" ~*")&gt;0)+(IFERROR(INDEX(Setup!$G$33:$G$40,MATCH(O1527,Setup!$B$33:$B$40,0)),0)=1)*(COUNTIF(O1508:Q1525,$B1527)+COUNTIF(O1508:Q1525,$B1527&amp;" ~*")&gt;0)+(IFERROR(INDEX(Setup!$G$33:$G$40,MATCH(S1527,Setup!$B$33:$B$40,0)),0)=1)*(COUNTIF(S1508:U1525,$B1527)+COUNTIF(S1508:U1525,$B1527&amp;" ~*")&gt;0)+(IFERROR(INDEX(Setup!$G$33:$G$40,MATCH(W1527,Setup!$B$33:$B$40,0)),0)=1)*(COUNTIF(W1508:W1525,$B1527)+COUNTIF(W1508:W1525,$B1527&amp;" ~*")&gt;0)+(IFERROR(INDEX(Setup!$G$33:$G$40,MATCH(Y1527,Setup!$B$33:$B$40,0)),0)=1)*(COUNTIF(Y1508:Y1525,$B1527)+COUNTIF(Y1508:Y1525,$B1527&amp;" ~*")&gt;0))</f>
        <v/>
      </c>
    </row>
    <row r="1528" ht="15" customHeight="1">
      <c r="A1528" t="n">
        <v>31</v>
      </c>
      <c r="B1528" s="37">
        <f>IF(Setup!$B$7="","",Setup!$B$7)</f>
        <v/>
      </c>
      <c r="C1528" s="102" t="n"/>
      <c r="D1528" s="103" t="n"/>
      <c r="E1528" s="103" t="n"/>
      <c r="F1528" s="104" t="n"/>
      <c r="G1528" s="102" t="n"/>
      <c r="H1528" s="103" t="n"/>
      <c r="I1528" s="103" t="n"/>
      <c r="J1528" s="104" t="n"/>
      <c r="K1528" s="102" t="n"/>
      <c r="L1528" s="103" t="n"/>
      <c r="M1528" s="103" t="n"/>
      <c r="N1528" s="104" t="n"/>
      <c r="O1528" s="102" t="n"/>
      <c r="P1528" s="103" t="n"/>
      <c r="Q1528" s="103" t="n"/>
      <c r="R1528" s="104" t="n"/>
      <c r="S1528" s="102" t="n"/>
      <c r="T1528" s="103" t="n"/>
      <c r="U1528" s="103" t="n"/>
      <c r="V1528" s="104" t="n"/>
      <c r="W1528" s="102" t="n"/>
      <c r="X1528" s="104" t="n"/>
      <c r="Y1528" s="102" t="n"/>
      <c r="Z1528" s="104" t="n"/>
      <c r="AB1528" s="105">
        <f>IF($B1528="","",(COUNTIF(C1508:E1525,$B1528)+COUNTIF(C1508:E1525,$B1528&amp;" ~*")&gt;0)+(COUNTIF(G1508:I1525,$B1528)+COUNTIF(G1508:I1525,$B1528&amp;" ~*")&gt;0)+(COUNTIF(K1508:M1525,$B1528)+COUNTIF(K1508:M1525,$B1528&amp;" ~*")&gt;0)+(COUNTIF(O1508:Q1525,$B1528)+COUNTIF(O1508:Q1525,$B1528&amp;" ~*")&gt;0)+(COUNTIF(S1508:U1525,$B1528)+COUNTIF(S1508:U1525,$B1528&amp;" ~*")&gt;0)+(COUNTIF(W1508:W1525,$B1528)+COUNTIF(W1508:W1525,$B1528&amp;" ~*")&gt;0)+(COUNTIF(Y1508:Y1525,$B1528)+COUNTIF(Y1508:Y1525,$B1528&amp;" ~*")&gt;0))</f>
        <v/>
      </c>
      <c r="AC1528" s="38">
        <f>IF($B1528="","",(IFERROR(INDEX(Setup!$G$33:$G$40,MATCH(C1528,Setup!$B$33:$B$40,0)),0)=1)*(COUNTIF(C1508:E1525,$B1528)+COUNTIF(C1508:E1525,$B1528&amp;" ~*")&gt;0)+(IFERROR(INDEX(Setup!$G$33:$G$40,MATCH(G1528,Setup!$B$33:$B$40,0)),0)=1)*(COUNTIF(G1508:I1525,$B1528)+COUNTIF(G1508:I1525,$B1528&amp;" ~*")&gt;0)+(IFERROR(INDEX(Setup!$G$33:$G$40,MATCH(K1528,Setup!$B$33:$B$40,0)),0)=1)*(COUNTIF(K1508:M1525,$B1528)+COUNTIF(K1508:M1525,$B1528&amp;" ~*")&gt;0)+(IFERROR(INDEX(Setup!$G$33:$G$40,MATCH(O1528,Setup!$B$33:$B$40,0)),0)=1)*(COUNTIF(O1508:Q1525,$B1528)+COUNTIF(O1508:Q1525,$B1528&amp;" ~*")&gt;0)+(IFERROR(INDEX(Setup!$G$33:$G$40,MATCH(S1528,Setup!$B$33:$B$40,0)),0)=1)*(COUNTIF(S1508:U1525,$B1528)+COUNTIF(S1508:U1525,$B1528&amp;" ~*")&gt;0)+(IFERROR(INDEX(Setup!$G$33:$G$40,MATCH(W1528,Setup!$B$33:$B$40,0)),0)=1)*(COUNTIF(W1508:W1525,$B1528)+COUNTIF(W1508:W1525,$B1528&amp;" ~*")&gt;0)+(IFERROR(INDEX(Setup!$G$33:$G$40,MATCH(Y1528,Setup!$B$33:$B$40,0)),0)=1)*(COUNTIF(Y1508:Y1525,$B1528)+COUNTIF(Y1508:Y1525,$B1528&amp;" ~*")&gt;0))</f>
        <v/>
      </c>
    </row>
    <row r="1529" ht="15" customHeight="1">
      <c r="A1529" t="n">
        <v>31</v>
      </c>
      <c r="B1529" s="35">
        <f>IF(Setup!$B$8="","",Setup!$B$8)</f>
        <v/>
      </c>
      <c r="C1529" s="98" t="n"/>
      <c r="D1529" s="99" t="n"/>
      <c r="E1529" s="99" t="n"/>
      <c r="F1529" s="100" t="n"/>
      <c r="G1529" s="98" t="n"/>
      <c r="H1529" s="99" t="n"/>
      <c r="I1529" s="99" t="n"/>
      <c r="J1529" s="100" t="n"/>
      <c r="K1529" s="98" t="n"/>
      <c r="L1529" s="99" t="n"/>
      <c r="M1529" s="99" t="n"/>
      <c r="N1529" s="100" t="n"/>
      <c r="O1529" s="98" t="n"/>
      <c r="P1529" s="99" t="n"/>
      <c r="Q1529" s="99" t="n"/>
      <c r="R1529" s="100" t="n"/>
      <c r="S1529" s="98" t="n"/>
      <c r="T1529" s="99" t="n"/>
      <c r="U1529" s="99" t="n"/>
      <c r="V1529" s="100" t="n"/>
      <c r="W1529" s="98" t="n"/>
      <c r="X1529" s="100" t="n"/>
      <c r="Y1529" s="98" t="n"/>
      <c r="Z1529" s="100" t="n"/>
      <c r="AB1529" s="101">
        <f>IF($B1529="","",(COUNTIF(C1508:E1525,$B1529)+COUNTIF(C1508:E1525,$B1529&amp;" ~*")&gt;0)+(COUNTIF(G1508:I1525,$B1529)+COUNTIF(G1508:I1525,$B1529&amp;" ~*")&gt;0)+(COUNTIF(K1508:M1525,$B1529)+COUNTIF(K1508:M1525,$B1529&amp;" ~*")&gt;0)+(COUNTIF(O1508:Q1525,$B1529)+COUNTIF(O1508:Q1525,$B1529&amp;" ~*")&gt;0)+(COUNTIF(S1508:U1525,$B1529)+COUNTIF(S1508:U1525,$B1529&amp;" ~*")&gt;0)+(COUNTIF(W1508:W1525,$B1529)+COUNTIF(W1508:W1525,$B1529&amp;" ~*")&gt;0)+(COUNTIF(Y1508:Y1525,$B1529)+COUNTIF(Y1508:Y1525,$B1529&amp;" ~*")&gt;0))</f>
        <v/>
      </c>
      <c r="AC1529" s="36">
        <f>IF($B1529="","",(IFERROR(INDEX(Setup!$G$33:$G$40,MATCH(C1529,Setup!$B$33:$B$40,0)),0)=1)*(COUNTIF(C1508:E1525,$B1529)+COUNTIF(C1508:E1525,$B1529&amp;" ~*")&gt;0)+(IFERROR(INDEX(Setup!$G$33:$G$40,MATCH(G1529,Setup!$B$33:$B$40,0)),0)=1)*(COUNTIF(G1508:I1525,$B1529)+COUNTIF(G1508:I1525,$B1529&amp;" ~*")&gt;0)+(IFERROR(INDEX(Setup!$G$33:$G$40,MATCH(K1529,Setup!$B$33:$B$40,0)),0)=1)*(COUNTIF(K1508:M1525,$B1529)+COUNTIF(K1508:M1525,$B1529&amp;" ~*")&gt;0)+(IFERROR(INDEX(Setup!$G$33:$G$40,MATCH(O1529,Setup!$B$33:$B$40,0)),0)=1)*(COUNTIF(O1508:Q1525,$B1529)+COUNTIF(O1508:Q1525,$B1529&amp;" ~*")&gt;0)+(IFERROR(INDEX(Setup!$G$33:$G$40,MATCH(S1529,Setup!$B$33:$B$40,0)),0)=1)*(COUNTIF(S1508:U1525,$B1529)+COUNTIF(S1508:U1525,$B1529&amp;" ~*")&gt;0)+(IFERROR(INDEX(Setup!$G$33:$G$40,MATCH(W1529,Setup!$B$33:$B$40,0)),0)=1)*(COUNTIF(W1508:W1525,$B1529)+COUNTIF(W1508:W1525,$B1529&amp;" ~*")&gt;0)+(IFERROR(INDEX(Setup!$G$33:$G$40,MATCH(Y1529,Setup!$B$33:$B$40,0)),0)=1)*(COUNTIF(Y1508:Y1525,$B1529)+COUNTIF(Y1508:Y1525,$B1529&amp;" ~*")&gt;0))</f>
        <v/>
      </c>
    </row>
    <row r="1530" ht="15" customHeight="1">
      <c r="A1530" t="n">
        <v>31</v>
      </c>
      <c r="B1530" s="37">
        <f>IF(Setup!$B$9="","",Setup!$B$9)</f>
        <v/>
      </c>
      <c r="C1530" s="102" t="n"/>
      <c r="D1530" s="103" t="n"/>
      <c r="E1530" s="103" t="n"/>
      <c r="F1530" s="104" t="n"/>
      <c r="G1530" s="102" t="n"/>
      <c r="H1530" s="103" t="n"/>
      <c r="I1530" s="103" t="n"/>
      <c r="J1530" s="104" t="n"/>
      <c r="K1530" s="102" t="n"/>
      <c r="L1530" s="103" t="n"/>
      <c r="M1530" s="103" t="n"/>
      <c r="N1530" s="104" t="n"/>
      <c r="O1530" s="102" t="n"/>
      <c r="P1530" s="103" t="n"/>
      <c r="Q1530" s="103" t="n"/>
      <c r="R1530" s="104" t="n"/>
      <c r="S1530" s="102" t="n"/>
      <c r="T1530" s="103" t="n"/>
      <c r="U1530" s="103" t="n"/>
      <c r="V1530" s="104" t="n"/>
      <c r="W1530" s="102" t="n"/>
      <c r="X1530" s="104" t="n"/>
      <c r="Y1530" s="102" t="n"/>
      <c r="Z1530" s="104" t="n"/>
      <c r="AB1530" s="105">
        <f>IF($B1530="","",(COUNTIF(C1508:E1525,$B1530)+COUNTIF(C1508:E1525,$B1530&amp;" ~*")&gt;0)+(COUNTIF(G1508:I1525,$B1530)+COUNTIF(G1508:I1525,$B1530&amp;" ~*")&gt;0)+(COUNTIF(K1508:M1525,$B1530)+COUNTIF(K1508:M1525,$B1530&amp;" ~*")&gt;0)+(COUNTIF(O1508:Q1525,$B1530)+COUNTIF(O1508:Q1525,$B1530&amp;" ~*")&gt;0)+(COUNTIF(S1508:U1525,$B1530)+COUNTIF(S1508:U1525,$B1530&amp;" ~*")&gt;0)+(COUNTIF(W1508:W1525,$B1530)+COUNTIF(W1508:W1525,$B1530&amp;" ~*")&gt;0)+(COUNTIF(Y1508:Y1525,$B1530)+COUNTIF(Y1508:Y1525,$B1530&amp;" ~*")&gt;0))</f>
        <v/>
      </c>
      <c r="AC1530" s="38">
        <f>IF($B1530="","",(IFERROR(INDEX(Setup!$G$33:$G$40,MATCH(C1530,Setup!$B$33:$B$40,0)),0)=1)*(COUNTIF(C1508:E1525,$B1530)+COUNTIF(C1508:E1525,$B1530&amp;" ~*")&gt;0)+(IFERROR(INDEX(Setup!$G$33:$G$40,MATCH(G1530,Setup!$B$33:$B$40,0)),0)=1)*(COUNTIF(G1508:I1525,$B1530)+COUNTIF(G1508:I1525,$B1530&amp;" ~*")&gt;0)+(IFERROR(INDEX(Setup!$G$33:$G$40,MATCH(K1530,Setup!$B$33:$B$40,0)),0)=1)*(COUNTIF(K1508:M1525,$B1530)+COUNTIF(K1508:M1525,$B1530&amp;" ~*")&gt;0)+(IFERROR(INDEX(Setup!$G$33:$G$40,MATCH(O1530,Setup!$B$33:$B$40,0)),0)=1)*(COUNTIF(O1508:Q1525,$B1530)+COUNTIF(O1508:Q1525,$B1530&amp;" ~*")&gt;0)+(IFERROR(INDEX(Setup!$G$33:$G$40,MATCH(S1530,Setup!$B$33:$B$40,0)),0)=1)*(COUNTIF(S1508:U1525,$B1530)+COUNTIF(S1508:U1525,$B1530&amp;" ~*")&gt;0)+(IFERROR(INDEX(Setup!$G$33:$G$40,MATCH(W1530,Setup!$B$33:$B$40,0)),0)=1)*(COUNTIF(W1508:W1525,$B1530)+COUNTIF(W1508:W1525,$B1530&amp;" ~*")&gt;0)+(IFERROR(INDEX(Setup!$G$33:$G$40,MATCH(Y1530,Setup!$B$33:$B$40,0)),0)=1)*(COUNTIF(Y1508:Y1525,$B1530)+COUNTIF(Y1508:Y1525,$B1530&amp;" ~*")&gt;0))</f>
        <v/>
      </c>
    </row>
    <row r="1531" ht="15" customHeight="1">
      <c r="A1531" t="n">
        <v>31</v>
      </c>
      <c r="B1531" s="35">
        <f>IF(Setup!$B$10="","",Setup!$B$10)</f>
        <v/>
      </c>
      <c r="C1531" s="98" t="n"/>
      <c r="D1531" s="99" t="n"/>
      <c r="E1531" s="99" t="n"/>
      <c r="F1531" s="100" t="n"/>
      <c r="G1531" s="98" t="n"/>
      <c r="H1531" s="99" t="n"/>
      <c r="I1531" s="99" t="n"/>
      <c r="J1531" s="100" t="n"/>
      <c r="K1531" s="98" t="n"/>
      <c r="L1531" s="99" t="n"/>
      <c r="M1531" s="99" t="n"/>
      <c r="N1531" s="100" t="n"/>
      <c r="O1531" s="98" t="n"/>
      <c r="P1531" s="99" t="n"/>
      <c r="Q1531" s="99" t="n"/>
      <c r="R1531" s="100" t="n"/>
      <c r="S1531" s="98" t="n"/>
      <c r="T1531" s="99" t="n"/>
      <c r="U1531" s="99" t="n"/>
      <c r="V1531" s="100" t="n"/>
      <c r="W1531" s="98" t="n"/>
      <c r="X1531" s="100" t="n"/>
      <c r="Y1531" s="98" t="n"/>
      <c r="Z1531" s="100" t="n"/>
      <c r="AB1531" s="101">
        <f>IF($B1531="","",(COUNTIF(C1508:E1525,$B1531)+COUNTIF(C1508:E1525,$B1531&amp;" ~*")&gt;0)+(COUNTIF(G1508:I1525,$B1531)+COUNTIF(G1508:I1525,$B1531&amp;" ~*")&gt;0)+(COUNTIF(K1508:M1525,$B1531)+COUNTIF(K1508:M1525,$B1531&amp;" ~*")&gt;0)+(COUNTIF(O1508:Q1525,$B1531)+COUNTIF(O1508:Q1525,$B1531&amp;" ~*")&gt;0)+(COUNTIF(S1508:U1525,$B1531)+COUNTIF(S1508:U1525,$B1531&amp;" ~*")&gt;0)+(COUNTIF(W1508:W1525,$B1531)+COUNTIF(W1508:W1525,$B1531&amp;" ~*")&gt;0)+(COUNTIF(Y1508:Y1525,$B1531)+COUNTIF(Y1508:Y1525,$B1531&amp;" ~*")&gt;0))</f>
        <v/>
      </c>
      <c r="AC1531" s="36">
        <f>IF($B1531="","",(IFERROR(INDEX(Setup!$G$33:$G$40,MATCH(C1531,Setup!$B$33:$B$40,0)),0)=1)*(COUNTIF(C1508:E1525,$B1531)+COUNTIF(C1508:E1525,$B1531&amp;" ~*")&gt;0)+(IFERROR(INDEX(Setup!$G$33:$G$40,MATCH(G1531,Setup!$B$33:$B$40,0)),0)=1)*(COUNTIF(G1508:I1525,$B1531)+COUNTIF(G1508:I1525,$B1531&amp;" ~*")&gt;0)+(IFERROR(INDEX(Setup!$G$33:$G$40,MATCH(K1531,Setup!$B$33:$B$40,0)),0)=1)*(COUNTIF(K1508:M1525,$B1531)+COUNTIF(K1508:M1525,$B1531&amp;" ~*")&gt;0)+(IFERROR(INDEX(Setup!$G$33:$G$40,MATCH(O1531,Setup!$B$33:$B$40,0)),0)=1)*(COUNTIF(O1508:Q1525,$B1531)+COUNTIF(O1508:Q1525,$B1531&amp;" ~*")&gt;0)+(IFERROR(INDEX(Setup!$G$33:$G$40,MATCH(S1531,Setup!$B$33:$B$40,0)),0)=1)*(COUNTIF(S1508:U1525,$B1531)+COUNTIF(S1508:U1525,$B1531&amp;" ~*")&gt;0)+(IFERROR(INDEX(Setup!$G$33:$G$40,MATCH(W1531,Setup!$B$33:$B$40,0)),0)=1)*(COUNTIF(W1508:W1525,$B1531)+COUNTIF(W1508:W1525,$B1531&amp;" ~*")&gt;0)+(IFERROR(INDEX(Setup!$G$33:$G$40,MATCH(Y1531,Setup!$B$33:$B$40,0)),0)=1)*(COUNTIF(Y1508:Y1525,$B1531)+COUNTIF(Y1508:Y1525,$B1531&amp;" ~*")&gt;0))</f>
        <v/>
      </c>
    </row>
    <row r="1532" ht="15" customHeight="1">
      <c r="A1532" t="n">
        <v>31</v>
      </c>
      <c r="B1532" s="37">
        <f>IF(Setup!$B$11="","",Setup!$B$11)</f>
        <v/>
      </c>
      <c r="C1532" s="102" t="n"/>
      <c r="D1532" s="103" t="n"/>
      <c r="E1532" s="103" t="n"/>
      <c r="F1532" s="104" t="n"/>
      <c r="G1532" s="102" t="n"/>
      <c r="H1532" s="103" t="n"/>
      <c r="I1532" s="103" t="n"/>
      <c r="J1532" s="104" t="n"/>
      <c r="K1532" s="102" t="n"/>
      <c r="L1532" s="103" t="n"/>
      <c r="M1532" s="103" t="n"/>
      <c r="N1532" s="104" t="n"/>
      <c r="O1532" s="102" t="n"/>
      <c r="P1532" s="103" t="n"/>
      <c r="Q1532" s="103" t="n"/>
      <c r="R1532" s="104" t="n"/>
      <c r="S1532" s="102" t="n"/>
      <c r="T1532" s="103" t="n"/>
      <c r="U1532" s="103" t="n"/>
      <c r="V1532" s="104" t="n"/>
      <c r="W1532" s="102" t="n"/>
      <c r="X1532" s="104" t="n"/>
      <c r="Y1532" s="102" t="n"/>
      <c r="Z1532" s="104" t="n"/>
      <c r="AB1532" s="105">
        <f>IF($B1532="","",(COUNTIF(C1508:E1525,$B1532)+COUNTIF(C1508:E1525,$B1532&amp;" ~*")&gt;0)+(COUNTIF(G1508:I1525,$B1532)+COUNTIF(G1508:I1525,$B1532&amp;" ~*")&gt;0)+(COUNTIF(K1508:M1525,$B1532)+COUNTIF(K1508:M1525,$B1532&amp;" ~*")&gt;0)+(COUNTIF(O1508:Q1525,$B1532)+COUNTIF(O1508:Q1525,$B1532&amp;" ~*")&gt;0)+(COUNTIF(S1508:U1525,$B1532)+COUNTIF(S1508:U1525,$B1532&amp;" ~*")&gt;0)+(COUNTIF(W1508:W1525,$B1532)+COUNTIF(W1508:W1525,$B1532&amp;" ~*")&gt;0)+(COUNTIF(Y1508:Y1525,$B1532)+COUNTIF(Y1508:Y1525,$B1532&amp;" ~*")&gt;0))</f>
        <v/>
      </c>
      <c r="AC1532" s="38">
        <f>IF($B1532="","",(IFERROR(INDEX(Setup!$G$33:$G$40,MATCH(C1532,Setup!$B$33:$B$40,0)),0)=1)*(COUNTIF(C1508:E1525,$B1532)+COUNTIF(C1508:E1525,$B1532&amp;" ~*")&gt;0)+(IFERROR(INDEX(Setup!$G$33:$G$40,MATCH(G1532,Setup!$B$33:$B$40,0)),0)=1)*(COUNTIF(G1508:I1525,$B1532)+COUNTIF(G1508:I1525,$B1532&amp;" ~*")&gt;0)+(IFERROR(INDEX(Setup!$G$33:$G$40,MATCH(K1532,Setup!$B$33:$B$40,0)),0)=1)*(COUNTIF(K1508:M1525,$B1532)+COUNTIF(K1508:M1525,$B1532&amp;" ~*")&gt;0)+(IFERROR(INDEX(Setup!$G$33:$G$40,MATCH(O1532,Setup!$B$33:$B$40,0)),0)=1)*(COUNTIF(O1508:Q1525,$B1532)+COUNTIF(O1508:Q1525,$B1532&amp;" ~*")&gt;0)+(IFERROR(INDEX(Setup!$G$33:$G$40,MATCH(S1532,Setup!$B$33:$B$40,0)),0)=1)*(COUNTIF(S1508:U1525,$B1532)+COUNTIF(S1508:U1525,$B1532&amp;" ~*")&gt;0)+(IFERROR(INDEX(Setup!$G$33:$G$40,MATCH(W1532,Setup!$B$33:$B$40,0)),0)=1)*(COUNTIF(W1508:W1525,$B1532)+COUNTIF(W1508:W1525,$B1532&amp;" ~*")&gt;0)+(IFERROR(INDEX(Setup!$G$33:$G$40,MATCH(Y1532,Setup!$B$33:$B$40,0)),0)=1)*(COUNTIF(Y1508:Y1525,$B1532)+COUNTIF(Y1508:Y1525,$B1532&amp;" ~*")&gt;0))</f>
        <v/>
      </c>
    </row>
    <row r="1533" ht="15" customHeight="1">
      <c r="A1533" t="n">
        <v>31</v>
      </c>
      <c r="B1533" s="35">
        <f>IF(Setup!$B$12="","",Setup!$B$12)</f>
        <v/>
      </c>
      <c r="C1533" s="98" t="n"/>
      <c r="D1533" s="99" t="n"/>
      <c r="E1533" s="99" t="n"/>
      <c r="F1533" s="100" t="n"/>
      <c r="G1533" s="98" t="n"/>
      <c r="H1533" s="99" t="n"/>
      <c r="I1533" s="99" t="n"/>
      <c r="J1533" s="100" t="n"/>
      <c r="K1533" s="98" t="n"/>
      <c r="L1533" s="99" t="n"/>
      <c r="M1533" s="99" t="n"/>
      <c r="N1533" s="100" t="n"/>
      <c r="O1533" s="98" t="n"/>
      <c r="P1533" s="99" t="n"/>
      <c r="Q1533" s="99" t="n"/>
      <c r="R1533" s="100" t="n"/>
      <c r="S1533" s="98" t="n"/>
      <c r="T1533" s="99" t="n"/>
      <c r="U1533" s="99" t="n"/>
      <c r="V1533" s="100" t="n"/>
      <c r="W1533" s="98" t="n"/>
      <c r="X1533" s="100" t="n"/>
      <c r="Y1533" s="98" t="n"/>
      <c r="Z1533" s="100" t="n"/>
      <c r="AB1533" s="101">
        <f>IF($B1533="","",(COUNTIF(C1508:E1525,$B1533)+COUNTIF(C1508:E1525,$B1533&amp;" ~*")&gt;0)+(COUNTIF(G1508:I1525,$B1533)+COUNTIF(G1508:I1525,$B1533&amp;" ~*")&gt;0)+(COUNTIF(K1508:M1525,$B1533)+COUNTIF(K1508:M1525,$B1533&amp;" ~*")&gt;0)+(COUNTIF(O1508:Q1525,$B1533)+COUNTIF(O1508:Q1525,$B1533&amp;" ~*")&gt;0)+(COUNTIF(S1508:U1525,$B1533)+COUNTIF(S1508:U1525,$B1533&amp;" ~*")&gt;0)+(COUNTIF(W1508:W1525,$B1533)+COUNTIF(W1508:W1525,$B1533&amp;" ~*")&gt;0)+(COUNTIF(Y1508:Y1525,$B1533)+COUNTIF(Y1508:Y1525,$B1533&amp;" ~*")&gt;0))</f>
        <v/>
      </c>
      <c r="AC1533" s="36">
        <f>IF($B1533="","",(IFERROR(INDEX(Setup!$G$33:$G$40,MATCH(C1533,Setup!$B$33:$B$40,0)),0)=1)*(COUNTIF(C1508:E1525,$B1533)+COUNTIF(C1508:E1525,$B1533&amp;" ~*")&gt;0)+(IFERROR(INDEX(Setup!$G$33:$G$40,MATCH(G1533,Setup!$B$33:$B$40,0)),0)=1)*(COUNTIF(G1508:I1525,$B1533)+COUNTIF(G1508:I1525,$B1533&amp;" ~*")&gt;0)+(IFERROR(INDEX(Setup!$G$33:$G$40,MATCH(K1533,Setup!$B$33:$B$40,0)),0)=1)*(COUNTIF(K1508:M1525,$B1533)+COUNTIF(K1508:M1525,$B1533&amp;" ~*")&gt;0)+(IFERROR(INDEX(Setup!$G$33:$G$40,MATCH(O1533,Setup!$B$33:$B$40,0)),0)=1)*(COUNTIF(O1508:Q1525,$B1533)+COUNTIF(O1508:Q1525,$B1533&amp;" ~*")&gt;0)+(IFERROR(INDEX(Setup!$G$33:$G$40,MATCH(S1533,Setup!$B$33:$B$40,0)),0)=1)*(COUNTIF(S1508:U1525,$B1533)+COUNTIF(S1508:U1525,$B1533&amp;" ~*")&gt;0)+(IFERROR(INDEX(Setup!$G$33:$G$40,MATCH(W1533,Setup!$B$33:$B$40,0)),0)=1)*(COUNTIF(W1508:W1525,$B1533)+COUNTIF(W1508:W1525,$B1533&amp;" ~*")&gt;0)+(IFERROR(INDEX(Setup!$G$33:$G$40,MATCH(Y1533,Setup!$B$33:$B$40,0)),0)=1)*(COUNTIF(Y1508:Y1525,$B1533)+COUNTIF(Y1508:Y1525,$B1533&amp;" ~*")&gt;0))</f>
        <v/>
      </c>
    </row>
    <row r="1534" ht="15" customHeight="1">
      <c r="A1534" t="n">
        <v>31</v>
      </c>
      <c r="B1534" s="37">
        <f>IF(Setup!$B$13="","",Setup!$B$13)</f>
        <v/>
      </c>
      <c r="C1534" s="102" t="n"/>
      <c r="D1534" s="103" t="n"/>
      <c r="E1534" s="103" t="n"/>
      <c r="F1534" s="104" t="n"/>
      <c r="G1534" s="102" t="n"/>
      <c r="H1534" s="103" t="n"/>
      <c r="I1534" s="103" t="n"/>
      <c r="J1534" s="104" t="n"/>
      <c r="K1534" s="102" t="n"/>
      <c r="L1534" s="103" t="n"/>
      <c r="M1534" s="103" t="n"/>
      <c r="N1534" s="104" t="n"/>
      <c r="O1534" s="102" t="n"/>
      <c r="P1534" s="103" t="n"/>
      <c r="Q1534" s="103" t="n"/>
      <c r="R1534" s="104" t="n"/>
      <c r="S1534" s="102" t="n"/>
      <c r="T1534" s="103" t="n"/>
      <c r="U1534" s="103" t="n"/>
      <c r="V1534" s="104" t="n"/>
      <c r="W1534" s="102" t="n"/>
      <c r="X1534" s="104" t="n"/>
      <c r="Y1534" s="102" t="n"/>
      <c r="Z1534" s="104" t="n"/>
      <c r="AB1534" s="105">
        <f>IF($B1534="","",(COUNTIF(C1508:E1525,$B1534)+COUNTIF(C1508:E1525,$B1534&amp;" ~*")&gt;0)+(COUNTIF(G1508:I1525,$B1534)+COUNTIF(G1508:I1525,$B1534&amp;" ~*")&gt;0)+(COUNTIF(K1508:M1525,$B1534)+COUNTIF(K1508:M1525,$B1534&amp;" ~*")&gt;0)+(COUNTIF(O1508:Q1525,$B1534)+COUNTIF(O1508:Q1525,$B1534&amp;" ~*")&gt;0)+(COUNTIF(S1508:U1525,$B1534)+COUNTIF(S1508:U1525,$B1534&amp;" ~*")&gt;0)+(COUNTIF(W1508:W1525,$B1534)+COUNTIF(W1508:W1525,$B1534&amp;" ~*")&gt;0)+(COUNTIF(Y1508:Y1525,$B1534)+COUNTIF(Y1508:Y1525,$B1534&amp;" ~*")&gt;0))</f>
        <v/>
      </c>
      <c r="AC1534" s="38">
        <f>IF($B1534="","",(IFERROR(INDEX(Setup!$G$33:$G$40,MATCH(C1534,Setup!$B$33:$B$40,0)),0)=1)*(COUNTIF(C1508:E1525,$B1534)+COUNTIF(C1508:E1525,$B1534&amp;" ~*")&gt;0)+(IFERROR(INDEX(Setup!$G$33:$G$40,MATCH(G1534,Setup!$B$33:$B$40,0)),0)=1)*(COUNTIF(G1508:I1525,$B1534)+COUNTIF(G1508:I1525,$B1534&amp;" ~*")&gt;0)+(IFERROR(INDEX(Setup!$G$33:$G$40,MATCH(K1534,Setup!$B$33:$B$40,0)),0)=1)*(COUNTIF(K1508:M1525,$B1534)+COUNTIF(K1508:M1525,$B1534&amp;" ~*")&gt;0)+(IFERROR(INDEX(Setup!$G$33:$G$40,MATCH(O1534,Setup!$B$33:$B$40,0)),0)=1)*(COUNTIF(O1508:Q1525,$B1534)+COUNTIF(O1508:Q1525,$B1534&amp;" ~*")&gt;0)+(IFERROR(INDEX(Setup!$G$33:$G$40,MATCH(S1534,Setup!$B$33:$B$40,0)),0)=1)*(COUNTIF(S1508:U1525,$B1534)+COUNTIF(S1508:U1525,$B1534&amp;" ~*")&gt;0)+(IFERROR(INDEX(Setup!$G$33:$G$40,MATCH(W1534,Setup!$B$33:$B$40,0)),0)=1)*(COUNTIF(W1508:W1525,$B1534)+COUNTIF(W1508:W1525,$B1534&amp;" ~*")&gt;0)+(IFERROR(INDEX(Setup!$G$33:$G$40,MATCH(Y1534,Setup!$B$33:$B$40,0)),0)=1)*(COUNTIF(Y1508:Y1525,$B1534)+COUNTIF(Y1508:Y1525,$B1534&amp;" ~*")&gt;0))</f>
        <v/>
      </c>
    </row>
    <row r="1535" ht="15" customHeight="1">
      <c r="A1535" t="n">
        <v>31</v>
      </c>
      <c r="B1535" s="35">
        <f>IF(Setup!$B$14="","",Setup!$B$14)</f>
        <v/>
      </c>
      <c r="C1535" s="98" t="n"/>
      <c r="D1535" s="99" t="n"/>
      <c r="E1535" s="99" t="n"/>
      <c r="F1535" s="100" t="n"/>
      <c r="G1535" s="98" t="n"/>
      <c r="H1535" s="99" t="n"/>
      <c r="I1535" s="99" t="n"/>
      <c r="J1535" s="100" t="n"/>
      <c r="K1535" s="98" t="n"/>
      <c r="L1535" s="99" t="n"/>
      <c r="M1535" s="99" t="n"/>
      <c r="N1535" s="100" t="n"/>
      <c r="O1535" s="98" t="n"/>
      <c r="P1535" s="99" t="n"/>
      <c r="Q1535" s="99" t="n"/>
      <c r="R1535" s="100" t="n"/>
      <c r="S1535" s="98" t="n"/>
      <c r="T1535" s="99" t="n"/>
      <c r="U1535" s="99" t="n"/>
      <c r="V1535" s="100" t="n"/>
      <c r="W1535" s="98" t="n"/>
      <c r="X1535" s="100" t="n"/>
      <c r="Y1535" s="98" t="n"/>
      <c r="Z1535" s="100" t="n"/>
      <c r="AB1535" s="101">
        <f>IF($B1535="","",(COUNTIF(C1508:E1525,$B1535)+COUNTIF(C1508:E1525,$B1535&amp;" ~*")&gt;0)+(COUNTIF(G1508:I1525,$B1535)+COUNTIF(G1508:I1525,$B1535&amp;" ~*")&gt;0)+(COUNTIF(K1508:M1525,$B1535)+COUNTIF(K1508:M1525,$B1535&amp;" ~*")&gt;0)+(COUNTIF(O1508:Q1525,$B1535)+COUNTIF(O1508:Q1525,$B1535&amp;" ~*")&gt;0)+(COUNTIF(S1508:U1525,$B1535)+COUNTIF(S1508:U1525,$B1535&amp;" ~*")&gt;0)+(COUNTIF(W1508:W1525,$B1535)+COUNTIF(W1508:W1525,$B1535&amp;" ~*")&gt;0)+(COUNTIF(Y1508:Y1525,$B1535)+COUNTIF(Y1508:Y1525,$B1535&amp;" ~*")&gt;0))</f>
        <v/>
      </c>
      <c r="AC1535" s="36">
        <f>IF($B1535="","",(IFERROR(INDEX(Setup!$G$33:$G$40,MATCH(C1535,Setup!$B$33:$B$40,0)),0)=1)*(COUNTIF(C1508:E1525,$B1535)+COUNTIF(C1508:E1525,$B1535&amp;" ~*")&gt;0)+(IFERROR(INDEX(Setup!$G$33:$G$40,MATCH(G1535,Setup!$B$33:$B$40,0)),0)=1)*(COUNTIF(G1508:I1525,$B1535)+COUNTIF(G1508:I1525,$B1535&amp;" ~*")&gt;0)+(IFERROR(INDEX(Setup!$G$33:$G$40,MATCH(K1535,Setup!$B$33:$B$40,0)),0)=1)*(COUNTIF(K1508:M1525,$B1535)+COUNTIF(K1508:M1525,$B1535&amp;" ~*")&gt;0)+(IFERROR(INDEX(Setup!$G$33:$G$40,MATCH(O1535,Setup!$B$33:$B$40,0)),0)=1)*(COUNTIF(O1508:Q1525,$B1535)+COUNTIF(O1508:Q1525,$B1535&amp;" ~*")&gt;0)+(IFERROR(INDEX(Setup!$G$33:$G$40,MATCH(S1535,Setup!$B$33:$B$40,0)),0)=1)*(COUNTIF(S1508:U1525,$B1535)+COUNTIF(S1508:U1525,$B1535&amp;" ~*")&gt;0)+(IFERROR(INDEX(Setup!$G$33:$G$40,MATCH(W1535,Setup!$B$33:$B$40,0)),0)=1)*(COUNTIF(W1508:W1525,$B1535)+COUNTIF(W1508:W1525,$B1535&amp;" ~*")&gt;0)+(IFERROR(INDEX(Setup!$G$33:$G$40,MATCH(Y1535,Setup!$B$33:$B$40,0)),0)=1)*(COUNTIF(Y1508:Y1525,$B1535)+COUNTIF(Y1508:Y1525,$B1535&amp;" ~*")&gt;0))</f>
        <v/>
      </c>
    </row>
    <row r="1536" ht="15" customHeight="1">
      <c r="A1536" t="n">
        <v>31</v>
      </c>
      <c r="B1536" s="37">
        <f>IF(Setup!$B$15="","",Setup!$B$15)</f>
        <v/>
      </c>
      <c r="C1536" s="102" t="n"/>
      <c r="D1536" s="103" t="n"/>
      <c r="E1536" s="103" t="n"/>
      <c r="F1536" s="104" t="n"/>
      <c r="G1536" s="102" t="n"/>
      <c r="H1536" s="103" t="n"/>
      <c r="I1536" s="103" t="n"/>
      <c r="J1536" s="104" t="n"/>
      <c r="K1536" s="102" t="n"/>
      <c r="L1536" s="103" t="n"/>
      <c r="M1536" s="103" t="n"/>
      <c r="N1536" s="104" t="n"/>
      <c r="O1536" s="102" t="n"/>
      <c r="P1536" s="103" t="n"/>
      <c r="Q1536" s="103" t="n"/>
      <c r="R1536" s="104" t="n"/>
      <c r="S1536" s="102" t="n"/>
      <c r="T1536" s="103" t="n"/>
      <c r="U1536" s="103" t="n"/>
      <c r="V1536" s="104" t="n"/>
      <c r="W1536" s="102" t="n"/>
      <c r="X1536" s="104" t="n"/>
      <c r="Y1536" s="102" t="n"/>
      <c r="Z1536" s="104" t="n"/>
      <c r="AB1536" s="105">
        <f>IF($B1536="","",(COUNTIF(C1508:E1525,$B1536)+COUNTIF(C1508:E1525,$B1536&amp;" ~*")&gt;0)+(COUNTIF(G1508:I1525,$B1536)+COUNTIF(G1508:I1525,$B1536&amp;" ~*")&gt;0)+(COUNTIF(K1508:M1525,$B1536)+COUNTIF(K1508:M1525,$B1536&amp;" ~*")&gt;0)+(COUNTIF(O1508:Q1525,$B1536)+COUNTIF(O1508:Q1525,$B1536&amp;" ~*")&gt;0)+(COUNTIF(S1508:U1525,$B1536)+COUNTIF(S1508:U1525,$B1536&amp;" ~*")&gt;0)+(COUNTIF(W1508:W1525,$B1536)+COUNTIF(W1508:W1525,$B1536&amp;" ~*")&gt;0)+(COUNTIF(Y1508:Y1525,$B1536)+COUNTIF(Y1508:Y1525,$B1536&amp;" ~*")&gt;0))</f>
        <v/>
      </c>
      <c r="AC1536" s="38">
        <f>IF($B1536="","",(IFERROR(INDEX(Setup!$G$33:$G$40,MATCH(C1536,Setup!$B$33:$B$40,0)),0)=1)*(COUNTIF(C1508:E1525,$B1536)+COUNTIF(C1508:E1525,$B1536&amp;" ~*")&gt;0)+(IFERROR(INDEX(Setup!$G$33:$G$40,MATCH(G1536,Setup!$B$33:$B$40,0)),0)=1)*(COUNTIF(G1508:I1525,$B1536)+COUNTIF(G1508:I1525,$B1536&amp;" ~*")&gt;0)+(IFERROR(INDEX(Setup!$G$33:$G$40,MATCH(K1536,Setup!$B$33:$B$40,0)),0)=1)*(COUNTIF(K1508:M1525,$B1536)+COUNTIF(K1508:M1525,$B1536&amp;" ~*")&gt;0)+(IFERROR(INDEX(Setup!$G$33:$G$40,MATCH(O1536,Setup!$B$33:$B$40,0)),0)=1)*(COUNTIF(O1508:Q1525,$B1536)+COUNTIF(O1508:Q1525,$B1536&amp;" ~*")&gt;0)+(IFERROR(INDEX(Setup!$G$33:$G$40,MATCH(S1536,Setup!$B$33:$B$40,0)),0)=1)*(COUNTIF(S1508:U1525,$B1536)+COUNTIF(S1508:U1525,$B1536&amp;" ~*")&gt;0)+(IFERROR(INDEX(Setup!$G$33:$G$40,MATCH(W1536,Setup!$B$33:$B$40,0)),0)=1)*(COUNTIF(W1508:W1525,$B1536)+COUNTIF(W1508:W1525,$B1536&amp;" ~*")&gt;0)+(IFERROR(INDEX(Setup!$G$33:$G$40,MATCH(Y1536,Setup!$B$33:$B$40,0)),0)=1)*(COUNTIF(Y1508:Y1525,$B1536)+COUNTIF(Y1508:Y1525,$B1536&amp;" ~*")&gt;0))</f>
        <v/>
      </c>
    </row>
    <row r="1537" ht="15" customHeight="1">
      <c r="A1537" t="n">
        <v>31</v>
      </c>
      <c r="B1537" s="35">
        <f>IF(Setup!$B$16="","",Setup!$B$16)</f>
        <v/>
      </c>
      <c r="C1537" s="98" t="n"/>
      <c r="D1537" s="99" t="n"/>
      <c r="E1537" s="99" t="n"/>
      <c r="F1537" s="100" t="n"/>
      <c r="G1537" s="98" t="n"/>
      <c r="H1537" s="99" t="n"/>
      <c r="I1537" s="99" t="n"/>
      <c r="J1537" s="100" t="n"/>
      <c r="K1537" s="98" t="n"/>
      <c r="L1537" s="99" t="n"/>
      <c r="M1537" s="99" t="n"/>
      <c r="N1537" s="100" t="n"/>
      <c r="O1537" s="98" t="n"/>
      <c r="P1537" s="99" t="n"/>
      <c r="Q1537" s="99" t="n"/>
      <c r="R1537" s="100" t="n"/>
      <c r="S1537" s="98" t="n"/>
      <c r="T1537" s="99" t="n"/>
      <c r="U1537" s="99" t="n"/>
      <c r="V1537" s="100" t="n"/>
      <c r="W1537" s="98" t="n"/>
      <c r="X1537" s="100" t="n"/>
      <c r="Y1537" s="98" t="n"/>
      <c r="Z1537" s="100" t="n"/>
      <c r="AB1537" s="101">
        <f>IF($B1537="","",(COUNTIF(C1508:E1525,$B1537)+COUNTIF(C1508:E1525,$B1537&amp;" ~*")&gt;0)+(COUNTIF(G1508:I1525,$B1537)+COUNTIF(G1508:I1525,$B1537&amp;" ~*")&gt;0)+(COUNTIF(K1508:M1525,$B1537)+COUNTIF(K1508:M1525,$B1537&amp;" ~*")&gt;0)+(COUNTIF(O1508:Q1525,$B1537)+COUNTIF(O1508:Q1525,$B1537&amp;" ~*")&gt;0)+(COUNTIF(S1508:U1525,$B1537)+COUNTIF(S1508:U1525,$B1537&amp;" ~*")&gt;0)+(COUNTIF(W1508:W1525,$B1537)+COUNTIF(W1508:W1525,$B1537&amp;" ~*")&gt;0)+(COUNTIF(Y1508:Y1525,$B1537)+COUNTIF(Y1508:Y1525,$B1537&amp;" ~*")&gt;0))</f>
        <v/>
      </c>
      <c r="AC1537" s="36">
        <f>IF($B1537="","",(IFERROR(INDEX(Setup!$G$33:$G$40,MATCH(C1537,Setup!$B$33:$B$40,0)),0)=1)*(COUNTIF(C1508:E1525,$B1537)+COUNTIF(C1508:E1525,$B1537&amp;" ~*")&gt;0)+(IFERROR(INDEX(Setup!$G$33:$G$40,MATCH(G1537,Setup!$B$33:$B$40,0)),0)=1)*(COUNTIF(G1508:I1525,$B1537)+COUNTIF(G1508:I1525,$B1537&amp;" ~*")&gt;0)+(IFERROR(INDEX(Setup!$G$33:$G$40,MATCH(K1537,Setup!$B$33:$B$40,0)),0)=1)*(COUNTIF(K1508:M1525,$B1537)+COUNTIF(K1508:M1525,$B1537&amp;" ~*")&gt;0)+(IFERROR(INDEX(Setup!$G$33:$G$40,MATCH(O1537,Setup!$B$33:$B$40,0)),0)=1)*(COUNTIF(O1508:Q1525,$B1537)+COUNTIF(O1508:Q1525,$B1537&amp;" ~*")&gt;0)+(IFERROR(INDEX(Setup!$G$33:$G$40,MATCH(S1537,Setup!$B$33:$B$40,0)),0)=1)*(COUNTIF(S1508:U1525,$B1537)+COUNTIF(S1508:U1525,$B1537&amp;" ~*")&gt;0)+(IFERROR(INDEX(Setup!$G$33:$G$40,MATCH(W1537,Setup!$B$33:$B$40,0)),0)=1)*(COUNTIF(W1508:W1525,$B1537)+COUNTIF(W1508:W1525,$B1537&amp;" ~*")&gt;0)+(IFERROR(INDEX(Setup!$G$33:$G$40,MATCH(Y1537,Setup!$B$33:$B$40,0)),0)=1)*(COUNTIF(Y1508:Y1525,$B1537)+COUNTIF(Y1508:Y1525,$B1537&amp;" ~*")&gt;0))</f>
        <v/>
      </c>
    </row>
    <row r="1538" ht="15" customHeight="1">
      <c r="A1538" t="n">
        <v>31</v>
      </c>
      <c r="B1538" s="37">
        <f>IF(Setup!$B$17="","",Setup!$B$17)</f>
        <v/>
      </c>
      <c r="C1538" s="102" t="n"/>
      <c r="D1538" s="103" t="n"/>
      <c r="E1538" s="103" t="n"/>
      <c r="F1538" s="104" t="n"/>
      <c r="G1538" s="102" t="n"/>
      <c r="H1538" s="103" t="n"/>
      <c r="I1538" s="103" t="n"/>
      <c r="J1538" s="104" t="n"/>
      <c r="K1538" s="102" t="n"/>
      <c r="L1538" s="103" t="n"/>
      <c r="M1538" s="103" t="n"/>
      <c r="N1538" s="104" t="n"/>
      <c r="O1538" s="102" t="n"/>
      <c r="P1538" s="103" t="n"/>
      <c r="Q1538" s="103" t="n"/>
      <c r="R1538" s="104" t="n"/>
      <c r="S1538" s="102" t="n"/>
      <c r="T1538" s="103" t="n"/>
      <c r="U1538" s="103" t="n"/>
      <c r="V1538" s="104" t="n"/>
      <c r="W1538" s="102" t="n"/>
      <c r="X1538" s="104" t="n"/>
      <c r="Y1538" s="102" t="n"/>
      <c r="Z1538" s="104" t="n"/>
      <c r="AB1538" s="105">
        <f>IF($B1538="","",(COUNTIF(C1508:E1525,$B1538)+COUNTIF(C1508:E1525,$B1538&amp;" ~*")&gt;0)+(COUNTIF(G1508:I1525,$B1538)+COUNTIF(G1508:I1525,$B1538&amp;" ~*")&gt;0)+(COUNTIF(K1508:M1525,$B1538)+COUNTIF(K1508:M1525,$B1538&amp;" ~*")&gt;0)+(COUNTIF(O1508:Q1525,$B1538)+COUNTIF(O1508:Q1525,$B1538&amp;" ~*")&gt;0)+(COUNTIF(S1508:U1525,$B1538)+COUNTIF(S1508:U1525,$B1538&amp;" ~*")&gt;0)+(COUNTIF(W1508:W1525,$B1538)+COUNTIF(W1508:W1525,$B1538&amp;" ~*")&gt;0)+(COUNTIF(Y1508:Y1525,$B1538)+COUNTIF(Y1508:Y1525,$B1538&amp;" ~*")&gt;0))</f>
        <v/>
      </c>
      <c r="AC1538" s="38">
        <f>IF($B1538="","",(IFERROR(INDEX(Setup!$G$33:$G$40,MATCH(C1538,Setup!$B$33:$B$40,0)),0)=1)*(COUNTIF(C1508:E1525,$B1538)+COUNTIF(C1508:E1525,$B1538&amp;" ~*")&gt;0)+(IFERROR(INDEX(Setup!$G$33:$G$40,MATCH(G1538,Setup!$B$33:$B$40,0)),0)=1)*(COUNTIF(G1508:I1525,$B1538)+COUNTIF(G1508:I1525,$B1538&amp;" ~*")&gt;0)+(IFERROR(INDEX(Setup!$G$33:$G$40,MATCH(K1538,Setup!$B$33:$B$40,0)),0)=1)*(COUNTIF(K1508:M1525,$B1538)+COUNTIF(K1508:M1525,$B1538&amp;" ~*")&gt;0)+(IFERROR(INDEX(Setup!$G$33:$G$40,MATCH(O1538,Setup!$B$33:$B$40,0)),0)=1)*(COUNTIF(O1508:Q1525,$B1538)+COUNTIF(O1508:Q1525,$B1538&amp;" ~*")&gt;0)+(IFERROR(INDEX(Setup!$G$33:$G$40,MATCH(S1538,Setup!$B$33:$B$40,0)),0)=1)*(COUNTIF(S1508:U1525,$B1538)+COUNTIF(S1508:U1525,$B1538&amp;" ~*")&gt;0)+(IFERROR(INDEX(Setup!$G$33:$G$40,MATCH(W1538,Setup!$B$33:$B$40,0)),0)=1)*(COUNTIF(W1508:W1525,$B1538)+COUNTIF(W1508:W1525,$B1538&amp;" ~*")&gt;0)+(IFERROR(INDEX(Setup!$G$33:$G$40,MATCH(Y1538,Setup!$B$33:$B$40,0)),0)=1)*(COUNTIF(Y1508:Y1525,$B1538)+COUNTIF(Y1508:Y1525,$B1538&amp;" ~*")&gt;0))</f>
        <v/>
      </c>
    </row>
    <row r="1539" ht="15" customHeight="1">
      <c r="A1539" t="n">
        <v>31</v>
      </c>
      <c r="B1539" s="35">
        <f>IF(Setup!$B$18="","",Setup!$B$18)</f>
        <v/>
      </c>
      <c r="C1539" s="98" t="n"/>
      <c r="D1539" s="99" t="n"/>
      <c r="E1539" s="99" t="n"/>
      <c r="F1539" s="100" t="n"/>
      <c r="G1539" s="98" t="n"/>
      <c r="H1539" s="99" t="n"/>
      <c r="I1539" s="99" t="n"/>
      <c r="J1539" s="100" t="n"/>
      <c r="K1539" s="98" t="n"/>
      <c r="L1539" s="99" t="n"/>
      <c r="M1539" s="99" t="n"/>
      <c r="N1539" s="100" t="n"/>
      <c r="O1539" s="98" t="n"/>
      <c r="P1539" s="99" t="n"/>
      <c r="Q1539" s="99" t="n"/>
      <c r="R1539" s="100" t="n"/>
      <c r="S1539" s="98" t="n"/>
      <c r="T1539" s="99" t="n"/>
      <c r="U1539" s="99" t="n"/>
      <c r="V1539" s="100" t="n"/>
      <c r="W1539" s="98" t="n"/>
      <c r="X1539" s="100" t="n"/>
      <c r="Y1539" s="98" t="n"/>
      <c r="Z1539" s="100" t="n"/>
      <c r="AB1539" s="101">
        <f>IF($B1539="","",(COUNTIF(C1508:E1525,$B1539)+COUNTIF(C1508:E1525,$B1539&amp;" ~*")&gt;0)+(COUNTIF(G1508:I1525,$B1539)+COUNTIF(G1508:I1525,$B1539&amp;" ~*")&gt;0)+(COUNTIF(K1508:M1525,$B1539)+COUNTIF(K1508:M1525,$B1539&amp;" ~*")&gt;0)+(COUNTIF(O1508:Q1525,$B1539)+COUNTIF(O1508:Q1525,$B1539&amp;" ~*")&gt;0)+(COUNTIF(S1508:U1525,$B1539)+COUNTIF(S1508:U1525,$B1539&amp;" ~*")&gt;0)+(COUNTIF(W1508:W1525,$B1539)+COUNTIF(W1508:W1525,$B1539&amp;" ~*")&gt;0)+(COUNTIF(Y1508:Y1525,$B1539)+COUNTIF(Y1508:Y1525,$B1539&amp;" ~*")&gt;0))</f>
        <v/>
      </c>
      <c r="AC1539" s="36">
        <f>IF($B1539="","",(IFERROR(INDEX(Setup!$G$33:$G$40,MATCH(C1539,Setup!$B$33:$B$40,0)),0)=1)*(COUNTIF(C1508:E1525,$B1539)+COUNTIF(C1508:E1525,$B1539&amp;" ~*")&gt;0)+(IFERROR(INDEX(Setup!$G$33:$G$40,MATCH(G1539,Setup!$B$33:$B$40,0)),0)=1)*(COUNTIF(G1508:I1525,$B1539)+COUNTIF(G1508:I1525,$B1539&amp;" ~*")&gt;0)+(IFERROR(INDEX(Setup!$G$33:$G$40,MATCH(K1539,Setup!$B$33:$B$40,0)),0)=1)*(COUNTIF(K1508:M1525,$B1539)+COUNTIF(K1508:M1525,$B1539&amp;" ~*")&gt;0)+(IFERROR(INDEX(Setup!$G$33:$G$40,MATCH(O1539,Setup!$B$33:$B$40,0)),0)=1)*(COUNTIF(O1508:Q1525,$B1539)+COUNTIF(O1508:Q1525,$B1539&amp;" ~*")&gt;0)+(IFERROR(INDEX(Setup!$G$33:$G$40,MATCH(S1539,Setup!$B$33:$B$40,0)),0)=1)*(COUNTIF(S1508:U1525,$B1539)+COUNTIF(S1508:U1525,$B1539&amp;" ~*")&gt;0)+(IFERROR(INDEX(Setup!$G$33:$G$40,MATCH(W1539,Setup!$B$33:$B$40,0)),0)=1)*(COUNTIF(W1508:W1525,$B1539)+COUNTIF(W1508:W1525,$B1539&amp;" ~*")&gt;0)+(IFERROR(INDEX(Setup!$G$33:$G$40,MATCH(Y1539,Setup!$B$33:$B$40,0)),0)=1)*(COUNTIF(Y1508:Y1525,$B1539)+COUNTIF(Y1508:Y1525,$B1539&amp;" ~*")&gt;0))</f>
        <v/>
      </c>
    </row>
    <row r="1540" ht="15" customHeight="1">
      <c r="A1540" t="n">
        <v>31</v>
      </c>
      <c r="B1540" s="37">
        <f>IF(Setup!$B$19="","",Setup!$B$19)</f>
        <v/>
      </c>
      <c r="C1540" s="102" t="n"/>
      <c r="D1540" s="103" t="n"/>
      <c r="E1540" s="103" t="n"/>
      <c r="F1540" s="104" t="n"/>
      <c r="G1540" s="102" t="n"/>
      <c r="H1540" s="103" t="n"/>
      <c r="I1540" s="103" t="n"/>
      <c r="J1540" s="104" t="n"/>
      <c r="K1540" s="102" t="n"/>
      <c r="L1540" s="103" t="n"/>
      <c r="M1540" s="103" t="n"/>
      <c r="N1540" s="104" t="n"/>
      <c r="O1540" s="102" t="n"/>
      <c r="P1540" s="103" t="n"/>
      <c r="Q1540" s="103" t="n"/>
      <c r="R1540" s="104" t="n"/>
      <c r="S1540" s="102" t="n"/>
      <c r="T1540" s="103" t="n"/>
      <c r="U1540" s="103" t="n"/>
      <c r="V1540" s="104" t="n"/>
      <c r="W1540" s="102" t="n"/>
      <c r="X1540" s="104" t="n"/>
      <c r="Y1540" s="102" t="n"/>
      <c r="Z1540" s="104" t="n"/>
      <c r="AB1540" s="105">
        <f>IF($B1540="","",(COUNTIF(C1508:E1525,$B1540)+COUNTIF(C1508:E1525,$B1540&amp;" ~*")&gt;0)+(COUNTIF(G1508:I1525,$B1540)+COUNTIF(G1508:I1525,$B1540&amp;" ~*")&gt;0)+(COUNTIF(K1508:M1525,$B1540)+COUNTIF(K1508:M1525,$B1540&amp;" ~*")&gt;0)+(COUNTIF(O1508:Q1525,$B1540)+COUNTIF(O1508:Q1525,$B1540&amp;" ~*")&gt;0)+(COUNTIF(S1508:U1525,$B1540)+COUNTIF(S1508:U1525,$B1540&amp;" ~*")&gt;0)+(COUNTIF(W1508:W1525,$B1540)+COUNTIF(W1508:W1525,$B1540&amp;" ~*")&gt;0)+(COUNTIF(Y1508:Y1525,$B1540)+COUNTIF(Y1508:Y1525,$B1540&amp;" ~*")&gt;0))</f>
        <v/>
      </c>
      <c r="AC1540" s="38">
        <f>IF($B1540="","",(IFERROR(INDEX(Setup!$G$33:$G$40,MATCH(C1540,Setup!$B$33:$B$40,0)),0)=1)*(COUNTIF(C1508:E1525,$B1540)+COUNTIF(C1508:E1525,$B1540&amp;" ~*")&gt;0)+(IFERROR(INDEX(Setup!$G$33:$G$40,MATCH(G1540,Setup!$B$33:$B$40,0)),0)=1)*(COUNTIF(G1508:I1525,$B1540)+COUNTIF(G1508:I1525,$B1540&amp;" ~*")&gt;0)+(IFERROR(INDEX(Setup!$G$33:$G$40,MATCH(K1540,Setup!$B$33:$B$40,0)),0)=1)*(COUNTIF(K1508:M1525,$B1540)+COUNTIF(K1508:M1525,$B1540&amp;" ~*")&gt;0)+(IFERROR(INDEX(Setup!$G$33:$G$40,MATCH(O1540,Setup!$B$33:$B$40,0)),0)=1)*(COUNTIF(O1508:Q1525,$B1540)+COUNTIF(O1508:Q1525,$B1540&amp;" ~*")&gt;0)+(IFERROR(INDEX(Setup!$G$33:$G$40,MATCH(S1540,Setup!$B$33:$B$40,0)),0)=1)*(COUNTIF(S1508:U1525,$B1540)+COUNTIF(S1508:U1525,$B1540&amp;" ~*")&gt;0)+(IFERROR(INDEX(Setup!$G$33:$G$40,MATCH(W1540,Setup!$B$33:$B$40,0)),0)=1)*(COUNTIF(W1508:W1525,$B1540)+COUNTIF(W1508:W1525,$B1540&amp;" ~*")&gt;0)+(IFERROR(INDEX(Setup!$G$33:$G$40,MATCH(Y1540,Setup!$B$33:$B$40,0)),0)=1)*(COUNTIF(Y1508:Y1525,$B1540)+COUNTIF(Y1508:Y1525,$B1540&amp;" ~*")&gt;0))</f>
        <v/>
      </c>
    </row>
    <row r="1541" ht="15" customHeight="1">
      <c r="A1541" t="n">
        <v>31</v>
      </c>
      <c r="B1541" s="35">
        <f>IF(Setup!$B$20="","",Setup!$B$20)</f>
        <v/>
      </c>
      <c r="C1541" s="98" t="n"/>
      <c r="D1541" s="99" t="n"/>
      <c r="E1541" s="99" t="n"/>
      <c r="F1541" s="100" t="n"/>
      <c r="G1541" s="98" t="n"/>
      <c r="H1541" s="99" t="n"/>
      <c r="I1541" s="99" t="n"/>
      <c r="J1541" s="100" t="n"/>
      <c r="K1541" s="98" t="n"/>
      <c r="L1541" s="99" t="n"/>
      <c r="M1541" s="99" t="n"/>
      <c r="N1541" s="100" t="n"/>
      <c r="O1541" s="98" t="n"/>
      <c r="P1541" s="99" t="n"/>
      <c r="Q1541" s="99" t="n"/>
      <c r="R1541" s="100" t="n"/>
      <c r="S1541" s="98" t="n"/>
      <c r="T1541" s="99" t="n"/>
      <c r="U1541" s="99" t="n"/>
      <c r="V1541" s="100" t="n"/>
      <c r="W1541" s="98" t="n"/>
      <c r="X1541" s="100" t="n"/>
      <c r="Y1541" s="98" t="n"/>
      <c r="Z1541" s="100" t="n"/>
      <c r="AB1541" s="101">
        <f>IF($B1541="","",(COUNTIF(C1508:E1525,$B1541)+COUNTIF(C1508:E1525,$B1541&amp;" ~*")&gt;0)+(COUNTIF(G1508:I1525,$B1541)+COUNTIF(G1508:I1525,$B1541&amp;" ~*")&gt;0)+(COUNTIF(K1508:M1525,$B1541)+COUNTIF(K1508:M1525,$B1541&amp;" ~*")&gt;0)+(COUNTIF(O1508:Q1525,$B1541)+COUNTIF(O1508:Q1525,$B1541&amp;" ~*")&gt;0)+(COUNTIF(S1508:U1525,$B1541)+COUNTIF(S1508:U1525,$B1541&amp;" ~*")&gt;0)+(COUNTIF(W1508:W1525,$B1541)+COUNTIF(W1508:W1525,$B1541&amp;" ~*")&gt;0)+(COUNTIF(Y1508:Y1525,$B1541)+COUNTIF(Y1508:Y1525,$B1541&amp;" ~*")&gt;0))</f>
        <v/>
      </c>
      <c r="AC1541" s="36">
        <f>IF($B1541="","",(IFERROR(INDEX(Setup!$G$33:$G$40,MATCH(C1541,Setup!$B$33:$B$40,0)),0)=1)*(COUNTIF(C1508:E1525,$B1541)+COUNTIF(C1508:E1525,$B1541&amp;" ~*")&gt;0)+(IFERROR(INDEX(Setup!$G$33:$G$40,MATCH(G1541,Setup!$B$33:$B$40,0)),0)=1)*(COUNTIF(G1508:I1525,$B1541)+COUNTIF(G1508:I1525,$B1541&amp;" ~*")&gt;0)+(IFERROR(INDEX(Setup!$G$33:$G$40,MATCH(K1541,Setup!$B$33:$B$40,0)),0)=1)*(COUNTIF(K1508:M1525,$B1541)+COUNTIF(K1508:M1525,$B1541&amp;" ~*")&gt;0)+(IFERROR(INDEX(Setup!$G$33:$G$40,MATCH(O1541,Setup!$B$33:$B$40,0)),0)=1)*(COUNTIF(O1508:Q1525,$B1541)+COUNTIF(O1508:Q1525,$B1541&amp;" ~*")&gt;0)+(IFERROR(INDEX(Setup!$G$33:$G$40,MATCH(S1541,Setup!$B$33:$B$40,0)),0)=1)*(COUNTIF(S1508:U1525,$B1541)+COUNTIF(S1508:U1525,$B1541&amp;" ~*")&gt;0)+(IFERROR(INDEX(Setup!$G$33:$G$40,MATCH(W1541,Setup!$B$33:$B$40,0)),0)=1)*(COUNTIF(W1508:W1525,$B1541)+COUNTIF(W1508:W1525,$B1541&amp;" ~*")&gt;0)+(IFERROR(INDEX(Setup!$G$33:$G$40,MATCH(Y1541,Setup!$B$33:$B$40,0)),0)=1)*(COUNTIF(Y1508:Y1525,$B1541)+COUNTIF(Y1508:Y1525,$B1541&amp;" ~*")&gt;0))</f>
        <v/>
      </c>
    </row>
    <row r="1542" ht="15" customHeight="1">
      <c r="A1542" t="n">
        <v>31</v>
      </c>
      <c r="B1542" s="37">
        <f>IF(Setup!$B$21="","",Setup!$B$21)</f>
        <v/>
      </c>
      <c r="C1542" s="102" t="n"/>
      <c r="D1542" s="103" t="n"/>
      <c r="E1542" s="103" t="n"/>
      <c r="F1542" s="104" t="n"/>
      <c r="G1542" s="102" t="n"/>
      <c r="H1542" s="103" t="n"/>
      <c r="I1542" s="103" t="n"/>
      <c r="J1542" s="104" t="n"/>
      <c r="K1542" s="102" t="n"/>
      <c r="L1542" s="103" t="n"/>
      <c r="M1542" s="103" t="n"/>
      <c r="N1542" s="104" t="n"/>
      <c r="O1542" s="102" t="n"/>
      <c r="P1542" s="103" t="n"/>
      <c r="Q1542" s="103" t="n"/>
      <c r="R1542" s="104" t="n"/>
      <c r="S1542" s="102" t="n"/>
      <c r="T1542" s="103" t="n"/>
      <c r="U1542" s="103" t="n"/>
      <c r="V1542" s="104" t="n"/>
      <c r="W1542" s="102" t="n"/>
      <c r="X1542" s="104" t="n"/>
      <c r="Y1542" s="102" t="n"/>
      <c r="Z1542" s="104" t="n"/>
      <c r="AB1542" s="105">
        <f>IF($B1542="","",(COUNTIF(C1508:E1525,$B1542)+COUNTIF(C1508:E1525,$B1542&amp;" ~*")&gt;0)+(COUNTIF(G1508:I1525,$B1542)+COUNTIF(G1508:I1525,$B1542&amp;" ~*")&gt;0)+(COUNTIF(K1508:M1525,$B1542)+COUNTIF(K1508:M1525,$B1542&amp;" ~*")&gt;0)+(COUNTIF(O1508:Q1525,$B1542)+COUNTIF(O1508:Q1525,$B1542&amp;" ~*")&gt;0)+(COUNTIF(S1508:U1525,$B1542)+COUNTIF(S1508:U1525,$B1542&amp;" ~*")&gt;0)+(COUNTIF(W1508:W1525,$B1542)+COUNTIF(W1508:W1525,$B1542&amp;" ~*")&gt;0)+(COUNTIF(Y1508:Y1525,$B1542)+COUNTIF(Y1508:Y1525,$B1542&amp;" ~*")&gt;0))</f>
        <v/>
      </c>
      <c r="AC1542" s="38">
        <f>IF($B1542="","",(IFERROR(INDEX(Setup!$G$33:$G$40,MATCH(C1542,Setup!$B$33:$B$40,0)),0)=1)*(COUNTIF(C1508:E1525,$B1542)+COUNTIF(C1508:E1525,$B1542&amp;" ~*")&gt;0)+(IFERROR(INDEX(Setup!$G$33:$G$40,MATCH(G1542,Setup!$B$33:$B$40,0)),0)=1)*(COUNTIF(G1508:I1525,$B1542)+COUNTIF(G1508:I1525,$B1542&amp;" ~*")&gt;0)+(IFERROR(INDEX(Setup!$G$33:$G$40,MATCH(K1542,Setup!$B$33:$B$40,0)),0)=1)*(COUNTIF(K1508:M1525,$B1542)+COUNTIF(K1508:M1525,$B1542&amp;" ~*")&gt;0)+(IFERROR(INDEX(Setup!$G$33:$G$40,MATCH(O1542,Setup!$B$33:$B$40,0)),0)=1)*(COUNTIF(O1508:Q1525,$B1542)+COUNTIF(O1508:Q1525,$B1542&amp;" ~*")&gt;0)+(IFERROR(INDEX(Setup!$G$33:$G$40,MATCH(S1542,Setup!$B$33:$B$40,0)),0)=1)*(COUNTIF(S1508:U1525,$B1542)+COUNTIF(S1508:U1525,$B1542&amp;" ~*")&gt;0)+(IFERROR(INDEX(Setup!$G$33:$G$40,MATCH(W1542,Setup!$B$33:$B$40,0)),0)=1)*(COUNTIF(W1508:W1525,$B1542)+COUNTIF(W1508:W1525,$B1542&amp;" ~*")&gt;0)+(IFERROR(INDEX(Setup!$G$33:$G$40,MATCH(Y1542,Setup!$B$33:$B$40,0)),0)=1)*(COUNTIF(Y1508:Y1525,$B1542)+COUNTIF(Y1508:Y1525,$B1542&amp;" ~*")&gt;0))</f>
        <v/>
      </c>
    </row>
    <row r="1543" ht="15" customHeight="1">
      <c r="A1543" t="n">
        <v>31</v>
      </c>
      <c r="B1543" s="35">
        <f>IF(Setup!$B$22="","",Setup!$B$22)</f>
        <v/>
      </c>
      <c r="C1543" s="98" t="n"/>
      <c r="D1543" s="99" t="n"/>
      <c r="E1543" s="99" t="n"/>
      <c r="F1543" s="100" t="n"/>
      <c r="G1543" s="98" t="n"/>
      <c r="H1543" s="99" t="n"/>
      <c r="I1543" s="99" t="n"/>
      <c r="J1543" s="100" t="n"/>
      <c r="K1543" s="98" t="n"/>
      <c r="L1543" s="99" t="n"/>
      <c r="M1543" s="99" t="n"/>
      <c r="N1543" s="100" t="n"/>
      <c r="O1543" s="98" t="n"/>
      <c r="P1543" s="99" t="n"/>
      <c r="Q1543" s="99" t="n"/>
      <c r="R1543" s="100" t="n"/>
      <c r="S1543" s="98" t="n"/>
      <c r="T1543" s="99" t="n"/>
      <c r="U1543" s="99" t="n"/>
      <c r="V1543" s="100" t="n"/>
      <c r="W1543" s="98" t="n"/>
      <c r="X1543" s="100" t="n"/>
      <c r="Y1543" s="98" t="n"/>
      <c r="Z1543" s="100" t="n"/>
      <c r="AB1543" s="101">
        <f>IF($B1543="","",(COUNTIF(C1508:E1525,$B1543)+COUNTIF(C1508:E1525,$B1543&amp;" ~*")&gt;0)+(COUNTIF(G1508:I1525,$B1543)+COUNTIF(G1508:I1525,$B1543&amp;" ~*")&gt;0)+(COUNTIF(K1508:M1525,$B1543)+COUNTIF(K1508:M1525,$B1543&amp;" ~*")&gt;0)+(COUNTIF(O1508:Q1525,$B1543)+COUNTIF(O1508:Q1525,$B1543&amp;" ~*")&gt;0)+(COUNTIF(S1508:U1525,$B1543)+COUNTIF(S1508:U1525,$B1543&amp;" ~*")&gt;0)+(COUNTIF(W1508:W1525,$B1543)+COUNTIF(W1508:W1525,$B1543&amp;" ~*")&gt;0)+(COUNTIF(Y1508:Y1525,$B1543)+COUNTIF(Y1508:Y1525,$B1543&amp;" ~*")&gt;0))</f>
        <v/>
      </c>
      <c r="AC1543" s="36">
        <f>IF($B1543="","",(IFERROR(INDEX(Setup!$G$33:$G$40,MATCH(C1543,Setup!$B$33:$B$40,0)),0)=1)*(COUNTIF(C1508:E1525,$B1543)+COUNTIF(C1508:E1525,$B1543&amp;" ~*")&gt;0)+(IFERROR(INDEX(Setup!$G$33:$G$40,MATCH(G1543,Setup!$B$33:$B$40,0)),0)=1)*(COUNTIF(G1508:I1525,$B1543)+COUNTIF(G1508:I1525,$B1543&amp;" ~*")&gt;0)+(IFERROR(INDEX(Setup!$G$33:$G$40,MATCH(K1543,Setup!$B$33:$B$40,0)),0)=1)*(COUNTIF(K1508:M1525,$B1543)+COUNTIF(K1508:M1525,$B1543&amp;" ~*")&gt;0)+(IFERROR(INDEX(Setup!$G$33:$G$40,MATCH(O1543,Setup!$B$33:$B$40,0)),0)=1)*(COUNTIF(O1508:Q1525,$B1543)+COUNTIF(O1508:Q1525,$B1543&amp;" ~*")&gt;0)+(IFERROR(INDEX(Setup!$G$33:$G$40,MATCH(S1543,Setup!$B$33:$B$40,0)),0)=1)*(COUNTIF(S1508:U1525,$B1543)+COUNTIF(S1508:U1525,$B1543&amp;" ~*")&gt;0)+(IFERROR(INDEX(Setup!$G$33:$G$40,MATCH(W1543,Setup!$B$33:$B$40,0)),0)=1)*(COUNTIF(W1508:W1525,$B1543)+COUNTIF(W1508:W1525,$B1543&amp;" ~*")&gt;0)+(IFERROR(INDEX(Setup!$G$33:$G$40,MATCH(Y1543,Setup!$B$33:$B$40,0)),0)=1)*(COUNTIF(Y1508:Y1525,$B1543)+COUNTIF(Y1508:Y1525,$B1543&amp;" ~*")&gt;0))</f>
        <v/>
      </c>
    </row>
    <row r="1544" ht="15" customHeight="1">
      <c r="A1544" t="n">
        <v>31</v>
      </c>
      <c r="B1544" s="37">
        <f>IF(Setup!$B$23="","",Setup!$B$23)</f>
        <v/>
      </c>
      <c r="C1544" s="102" t="n"/>
      <c r="D1544" s="103" t="n"/>
      <c r="E1544" s="103" t="n"/>
      <c r="F1544" s="104" t="n"/>
      <c r="G1544" s="102" t="n"/>
      <c r="H1544" s="103" t="n"/>
      <c r="I1544" s="103" t="n"/>
      <c r="J1544" s="104" t="n"/>
      <c r="K1544" s="102" t="n"/>
      <c r="L1544" s="103" t="n"/>
      <c r="M1544" s="103" t="n"/>
      <c r="N1544" s="104" t="n"/>
      <c r="O1544" s="102" t="n"/>
      <c r="P1544" s="103" t="n"/>
      <c r="Q1544" s="103" t="n"/>
      <c r="R1544" s="104" t="n"/>
      <c r="S1544" s="102" t="n"/>
      <c r="T1544" s="103" t="n"/>
      <c r="U1544" s="103" t="n"/>
      <c r="V1544" s="104" t="n"/>
      <c r="W1544" s="102" t="n"/>
      <c r="X1544" s="104" t="n"/>
      <c r="Y1544" s="102" t="n"/>
      <c r="Z1544" s="104" t="n"/>
      <c r="AB1544" s="105">
        <f>IF($B1544="","",(COUNTIF(C1508:E1525,$B1544)+COUNTIF(C1508:E1525,$B1544&amp;" ~*")&gt;0)+(COUNTIF(G1508:I1525,$B1544)+COUNTIF(G1508:I1525,$B1544&amp;" ~*")&gt;0)+(COUNTIF(K1508:M1525,$B1544)+COUNTIF(K1508:M1525,$B1544&amp;" ~*")&gt;0)+(COUNTIF(O1508:Q1525,$B1544)+COUNTIF(O1508:Q1525,$B1544&amp;" ~*")&gt;0)+(COUNTIF(S1508:U1525,$B1544)+COUNTIF(S1508:U1525,$B1544&amp;" ~*")&gt;0)+(COUNTIF(W1508:W1525,$B1544)+COUNTIF(W1508:W1525,$B1544&amp;" ~*")&gt;0)+(COUNTIF(Y1508:Y1525,$B1544)+COUNTIF(Y1508:Y1525,$B1544&amp;" ~*")&gt;0))</f>
        <v/>
      </c>
      <c r="AC1544" s="38">
        <f>IF($B1544="","",(IFERROR(INDEX(Setup!$G$33:$G$40,MATCH(C1544,Setup!$B$33:$B$40,0)),0)=1)*(COUNTIF(C1508:E1525,$B1544)+COUNTIF(C1508:E1525,$B1544&amp;" ~*")&gt;0)+(IFERROR(INDEX(Setup!$G$33:$G$40,MATCH(G1544,Setup!$B$33:$B$40,0)),0)=1)*(COUNTIF(G1508:I1525,$B1544)+COUNTIF(G1508:I1525,$B1544&amp;" ~*")&gt;0)+(IFERROR(INDEX(Setup!$G$33:$G$40,MATCH(K1544,Setup!$B$33:$B$40,0)),0)=1)*(COUNTIF(K1508:M1525,$B1544)+COUNTIF(K1508:M1525,$B1544&amp;" ~*")&gt;0)+(IFERROR(INDEX(Setup!$G$33:$G$40,MATCH(O1544,Setup!$B$33:$B$40,0)),0)=1)*(COUNTIF(O1508:Q1525,$B1544)+COUNTIF(O1508:Q1525,$B1544&amp;" ~*")&gt;0)+(IFERROR(INDEX(Setup!$G$33:$G$40,MATCH(S1544,Setup!$B$33:$B$40,0)),0)=1)*(COUNTIF(S1508:U1525,$B1544)+COUNTIF(S1508:U1525,$B1544&amp;" ~*")&gt;0)+(IFERROR(INDEX(Setup!$G$33:$G$40,MATCH(W1544,Setup!$B$33:$B$40,0)),0)=1)*(COUNTIF(W1508:W1525,$B1544)+COUNTIF(W1508:W1525,$B1544&amp;" ~*")&gt;0)+(IFERROR(INDEX(Setup!$G$33:$G$40,MATCH(Y1544,Setup!$B$33:$B$40,0)),0)=1)*(COUNTIF(Y1508:Y1525,$B1544)+COUNTIF(Y1508:Y1525,$B1544&amp;" ~*")&gt;0))</f>
        <v/>
      </c>
    </row>
    <row r="1545" ht="15" customHeight="1">
      <c r="A1545" t="n">
        <v>31</v>
      </c>
      <c r="B1545" s="35">
        <f>IF(Setup!$B$24="","",Setup!$B$24)</f>
        <v/>
      </c>
      <c r="C1545" s="98" t="n"/>
      <c r="D1545" s="99" t="n"/>
      <c r="E1545" s="99" t="n"/>
      <c r="F1545" s="100" t="n"/>
      <c r="G1545" s="98" t="n"/>
      <c r="H1545" s="99" t="n"/>
      <c r="I1545" s="99" t="n"/>
      <c r="J1545" s="100" t="n"/>
      <c r="K1545" s="98" t="n"/>
      <c r="L1545" s="99" t="n"/>
      <c r="M1545" s="99" t="n"/>
      <c r="N1545" s="100" t="n"/>
      <c r="O1545" s="98" t="n"/>
      <c r="P1545" s="99" t="n"/>
      <c r="Q1545" s="99" t="n"/>
      <c r="R1545" s="100" t="n"/>
      <c r="S1545" s="98" t="n"/>
      <c r="T1545" s="99" t="n"/>
      <c r="U1545" s="99" t="n"/>
      <c r="V1545" s="100" t="n"/>
      <c r="W1545" s="98" t="n"/>
      <c r="X1545" s="100" t="n"/>
      <c r="Y1545" s="98" t="n"/>
      <c r="Z1545" s="100" t="n"/>
      <c r="AB1545" s="101">
        <f>IF($B1545="","",(COUNTIF(C1508:E1525,$B1545)+COUNTIF(C1508:E1525,$B1545&amp;" ~*")&gt;0)+(COUNTIF(G1508:I1525,$B1545)+COUNTIF(G1508:I1525,$B1545&amp;" ~*")&gt;0)+(COUNTIF(K1508:M1525,$B1545)+COUNTIF(K1508:M1525,$B1545&amp;" ~*")&gt;0)+(COUNTIF(O1508:Q1525,$B1545)+COUNTIF(O1508:Q1525,$B1545&amp;" ~*")&gt;0)+(COUNTIF(S1508:U1525,$B1545)+COUNTIF(S1508:U1525,$B1545&amp;" ~*")&gt;0)+(COUNTIF(W1508:W1525,$B1545)+COUNTIF(W1508:W1525,$B1545&amp;" ~*")&gt;0)+(COUNTIF(Y1508:Y1525,$B1545)+COUNTIF(Y1508:Y1525,$B1545&amp;" ~*")&gt;0))</f>
        <v/>
      </c>
      <c r="AC1545" s="36">
        <f>IF($B1545="","",(IFERROR(INDEX(Setup!$G$33:$G$40,MATCH(C1545,Setup!$B$33:$B$40,0)),0)=1)*(COUNTIF(C1508:E1525,$B1545)+COUNTIF(C1508:E1525,$B1545&amp;" ~*")&gt;0)+(IFERROR(INDEX(Setup!$G$33:$G$40,MATCH(G1545,Setup!$B$33:$B$40,0)),0)=1)*(COUNTIF(G1508:I1525,$B1545)+COUNTIF(G1508:I1525,$B1545&amp;" ~*")&gt;0)+(IFERROR(INDEX(Setup!$G$33:$G$40,MATCH(K1545,Setup!$B$33:$B$40,0)),0)=1)*(COUNTIF(K1508:M1525,$B1545)+COUNTIF(K1508:M1525,$B1545&amp;" ~*")&gt;0)+(IFERROR(INDEX(Setup!$G$33:$G$40,MATCH(O1545,Setup!$B$33:$B$40,0)),0)=1)*(COUNTIF(O1508:Q1525,$B1545)+COUNTIF(O1508:Q1525,$B1545&amp;" ~*")&gt;0)+(IFERROR(INDEX(Setup!$G$33:$G$40,MATCH(S1545,Setup!$B$33:$B$40,0)),0)=1)*(COUNTIF(S1508:U1525,$B1545)+COUNTIF(S1508:U1525,$B1545&amp;" ~*")&gt;0)+(IFERROR(INDEX(Setup!$G$33:$G$40,MATCH(W1545,Setup!$B$33:$B$40,0)),0)=1)*(COUNTIF(W1508:W1525,$B1545)+COUNTIF(W1508:W1525,$B1545&amp;" ~*")&gt;0)+(IFERROR(INDEX(Setup!$G$33:$G$40,MATCH(Y1545,Setup!$B$33:$B$40,0)),0)=1)*(COUNTIF(Y1508:Y1525,$B1545)+COUNTIF(Y1508:Y1525,$B1545&amp;" ~*")&gt;0))</f>
        <v/>
      </c>
    </row>
    <row r="1546" ht="15" customHeight="1">
      <c r="A1546" t="n">
        <v>31</v>
      </c>
      <c r="B1546" s="37">
        <f>IF(Setup!$B$25="","",Setup!$B$25)</f>
        <v/>
      </c>
      <c r="C1546" s="102" t="n"/>
      <c r="D1546" s="103" t="n"/>
      <c r="E1546" s="103" t="n"/>
      <c r="F1546" s="104" t="n"/>
      <c r="G1546" s="102" t="n"/>
      <c r="H1546" s="103" t="n"/>
      <c r="I1546" s="103" t="n"/>
      <c r="J1546" s="104" t="n"/>
      <c r="K1546" s="102" t="n"/>
      <c r="L1546" s="103" t="n"/>
      <c r="M1546" s="103" t="n"/>
      <c r="N1546" s="104" t="n"/>
      <c r="O1546" s="102" t="n"/>
      <c r="P1546" s="103" t="n"/>
      <c r="Q1546" s="103" t="n"/>
      <c r="R1546" s="104" t="n"/>
      <c r="S1546" s="102" t="n"/>
      <c r="T1546" s="103" t="n"/>
      <c r="U1546" s="103" t="n"/>
      <c r="V1546" s="104" t="n"/>
      <c r="W1546" s="102" t="n"/>
      <c r="X1546" s="104" t="n"/>
      <c r="Y1546" s="102" t="n"/>
      <c r="Z1546" s="104" t="n"/>
      <c r="AB1546" s="105">
        <f>IF($B1546="","",(COUNTIF(C1508:E1525,$B1546)+COUNTIF(C1508:E1525,$B1546&amp;" ~*")&gt;0)+(COUNTIF(G1508:I1525,$B1546)+COUNTIF(G1508:I1525,$B1546&amp;" ~*")&gt;0)+(COUNTIF(K1508:M1525,$B1546)+COUNTIF(K1508:M1525,$B1546&amp;" ~*")&gt;0)+(COUNTIF(O1508:Q1525,$B1546)+COUNTIF(O1508:Q1525,$B1546&amp;" ~*")&gt;0)+(COUNTIF(S1508:U1525,$B1546)+COUNTIF(S1508:U1525,$B1546&amp;" ~*")&gt;0)+(COUNTIF(W1508:W1525,$B1546)+COUNTIF(W1508:W1525,$B1546&amp;" ~*")&gt;0)+(COUNTIF(Y1508:Y1525,$B1546)+COUNTIF(Y1508:Y1525,$B1546&amp;" ~*")&gt;0))</f>
        <v/>
      </c>
      <c r="AC1546" s="38">
        <f>IF($B1546="","",(IFERROR(INDEX(Setup!$G$33:$G$40,MATCH(C1546,Setup!$B$33:$B$40,0)),0)=1)*(COUNTIF(C1508:E1525,$B1546)+COUNTIF(C1508:E1525,$B1546&amp;" ~*")&gt;0)+(IFERROR(INDEX(Setup!$G$33:$G$40,MATCH(G1546,Setup!$B$33:$B$40,0)),0)=1)*(COUNTIF(G1508:I1525,$B1546)+COUNTIF(G1508:I1525,$B1546&amp;" ~*")&gt;0)+(IFERROR(INDEX(Setup!$G$33:$G$40,MATCH(K1546,Setup!$B$33:$B$40,0)),0)=1)*(COUNTIF(K1508:M1525,$B1546)+COUNTIF(K1508:M1525,$B1546&amp;" ~*")&gt;0)+(IFERROR(INDEX(Setup!$G$33:$G$40,MATCH(O1546,Setup!$B$33:$B$40,0)),0)=1)*(COUNTIF(O1508:Q1525,$B1546)+COUNTIF(O1508:Q1525,$B1546&amp;" ~*")&gt;0)+(IFERROR(INDEX(Setup!$G$33:$G$40,MATCH(S1546,Setup!$B$33:$B$40,0)),0)=1)*(COUNTIF(S1508:U1525,$B1546)+COUNTIF(S1508:U1525,$B1546&amp;" ~*")&gt;0)+(IFERROR(INDEX(Setup!$G$33:$G$40,MATCH(W1546,Setup!$B$33:$B$40,0)),0)=1)*(COUNTIF(W1508:W1525,$B1546)+COUNTIF(W1508:W1525,$B1546&amp;" ~*")&gt;0)+(IFERROR(INDEX(Setup!$G$33:$G$40,MATCH(Y1546,Setup!$B$33:$B$40,0)),0)=1)*(COUNTIF(Y1508:Y1525,$B1546)+COUNTIF(Y1508:Y1525,$B1546&amp;" ~*")&gt;0))</f>
        <v/>
      </c>
    </row>
    <row r="1547" ht="15" customHeight="1">
      <c r="A1547" t="n">
        <v>31</v>
      </c>
      <c r="B1547" s="35">
        <f>IF(Setup!$B$26="","",Setup!$B$26)</f>
        <v/>
      </c>
      <c r="C1547" s="98" t="n"/>
      <c r="D1547" s="99" t="n"/>
      <c r="E1547" s="99" t="n"/>
      <c r="F1547" s="100" t="n"/>
      <c r="G1547" s="98" t="n"/>
      <c r="H1547" s="99" t="n"/>
      <c r="I1547" s="99" t="n"/>
      <c r="J1547" s="100" t="n"/>
      <c r="K1547" s="98" t="n"/>
      <c r="L1547" s="99" t="n"/>
      <c r="M1547" s="99" t="n"/>
      <c r="N1547" s="100" t="n"/>
      <c r="O1547" s="98" t="n"/>
      <c r="P1547" s="99" t="n"/>
      <c r="Q1547" s="99" t="n"/>
      <c r="R1547" s="100" t="n"/>
      <c r="S1547" s="98" t="n"/>
      <c r="T1547" s="99" t="n"/>
      <c r="U1547" s="99" t="n"/>
      <c r="V1547" s="100" t="n"/>
      <c r="W1547" s="98" t="n"/>
      <c r="X1547" s="100" t="n"/>
      <c r="Y1547" s="98" t="n"/>
      <c r="Z1547" s="100" t="n"/>
      <c r="AB1547" s="101">
        <f>IF($B1547="","",(COUNTIF(C1508:E1525,$B1547)+COUNTIF(C1508:E1525,$B1547&amp;" ~*")&gt;0)+(COUNTIF(G1508:I1525,$B1547)+COUNTIF(G1508:I1525,$B1547&amp;" ~*")&gt;0)+(COUNTIF(K1508:M1525,$B1547)+COUNTIF(K1508:M1525,$B1547&amp;" ~*")&gt;0)+(COUNTIF(O1508:Q1525,$B1547)+COUNTIF(O1508:Q1525,$B1547&amp;" ~*")&gt;0)+(COUNTIF(S1508:U1525,$B1547)+COUNTIF(S1508:U1525,$B1547&amp;" ~*")&gt;0)+(COUNTIF(W1508:W1525,$B1547)+COUNTIF(W1508:W1525,$B1547&amp;" ~*")&gt;0)+(COUNTIF(Y1508:Y1525,$B1547)+COUNTIF(Y1508:Y1525,$B1547&amp;" ~*")&gt;0))</f>
        <v/>
      </c>
      <c r="AC1547" s="36">
        <f>IF($B1547="","",(IFERROR(INDEX(Setup!$G$33:$G$40,MATCH(C1547,Setup!$B$33:$B$40,0)),0)=1)*(COUNTIF(C1508:E1525,$B1547)+COUNTIF(C1508:E1525,$B1547&amp;" ~*")&gt;0)+(IFERROR(INDEX(Setup!$G$33:$G$40,MATCH(G1547,Setup!$B$33:$B$40,0)),0)=1)*(COUNTIF(G1508:I1525,$B1547)+COUNTIF(G1508:I1525,$B1547&amp;" ~*")&gt;0)+(IFERROR(INDEX(Setup!$G$33:$G$40,MATCH(K1547,Setup!$B$33:$B$40,0)),0)=1)*(COUNTIF(K1508:M1525,$B1547)+COUNTIF(K1508:M1525,$B1547&amp;" ~*")&gt;0)+(IFERROR(INDEX(Setup!$G$33:$G$40,MATCH(O1547,Setup!$B$33:$B$40,0)),0)=1)*(COUNTIF(O1508:Q1525,$B1547)+COUNTIF(O1508:Q1525,$B1547&amp;" ~*")&gt;0)+(IFERROR(INDEX(Setup!$G$33:$G$40,MATCH(S1547,Setup!$B$33:$B$40,0)),0)=1)*(COUNTIF(S1508:U1525,$B1547)+COUNTIF(S1508:U1525,$B1547&amp;" ~*")&gt;0)+(IFERROR(INDEX(Setup!$G$33:$G$40,MATCH(W1547,Setup!$B$33:$B$40,0)),0)=1)*(COUNTIF(W1508:W1525,$B1547)+COUNTIF(W1508:W1525,$B1547&amp;" ~*")&gt;0)+(IFERROR(INDEX(Setup!$G$33:$G$40,MATCH(Y1547,Setup!$B$33:$B$40,0)),0)=1)*(COUNTIF(Y1508:Y1525,$B1547)+COUNTIF(Y1508:Y1525,$B1547&amp;" ~*")&gt;0))</f>
        <v/>
      </c>
    </row>
    <row r="1548" ht="15" customHeight="1">
      <c r="A1548" t="n">
        <v>31</v>
      </c>
      <c r="B1548" s="37">
        <f>IF(Setup!$B$27="","",Setup!$B$27)</f>
        <v/>
      </c>
      <c r="C1548" s="102" t="n"/>
      <c r="D1548" s="103" t="n"/>
      <c r="E1548" s="103" t="n"/>
      <c r="F1548" s="104" t="n"/>
      <c r="G1548" s="102" t="n"/>
      <c r="H1548" s="103" t="n"/>
      <c r="I1548" s="103" t="n"/>
      <c r="J1548" s="104" t="n"/>
      <c r="K1548" s="102" t="n"/>
      <c r="L1548" s="103" t="n"/>
      <c r="M1548" s="103" t="n"/>
      <c r="N1548" s="104" t="n"/>
      <c r="O1548" s="102" t="n"/>
      <c r="P1548" s="103" t="n"/>
      <c r="Q1548" s="103" t="n"/>
      <c r="R1548" s="104" t="n"/>
      <c r="S1548" s="102" t="n"/>
      <c r="T1548" s="103" t="n"/>
      <c r="U1548" s="103" t="n"/>
      <c r="V1548" s="104" t="n"/>
      <c r="W1548" s="102" t="n"/>
      <c r="X1548" s="104" t="n"/>
      <c r="Y1548" s="102" t="n"/>
      <c r="Z1548" s="104" t="n"/>
      <c r="AB1548" s="105">
        <f>IF($B1548="","",(COUNTIF(C1508:E1525,$B1548)+COUNTIF(C1508:E1525,$B1548&amp;" ~*")&gt;0)+(COUNTIF(G1508:I1525,$B1548)+COUNTIF(G1508:I1525,$B1548&amp;" ~*")&gt;0)+(COUNTIF(K1508:M1525,$B1548)+COUNTIF(K1508:M1525,$B1548&amp;" ~*")&gt;0)+(COUNTIF(O1508:Q1525,$B1548)+COUNTIF(O1508:Q1525,$B1548&amp;" ~*")&gt;0)+(COUNTIF(S1508:U1525,$B1548)+COUNTIF(S1508:U1525,$B1548&amp;" ~*")&gt;0)+(COUNTIF(W1508:W1525,$B1548)+COUNTIF(W1508:W1525,$B1548&amp;" ~*")&gt;0)+(COUNTIF(Y1508:Y1525,$B1548)+COUNTIF(Y1508:Y1525,$B1548&amp;" ~*")&gt;0))</f>
        <v/>
      </c>
      <c r="AC1548" s="38">
        <f>IF($B1548="","",(IFERROR(INDEX(Setup!$G$33:$G$40,MATCH(C1548,Setup!$B$33:$B$40,0)),0)=1)*(COUNTIF(C1508:E1525,$B1548)+COUNTIF(C1508:E1525,$B1548&amp;" ~*")&gt;0)+(IFERROR(INDEX(Setup!$G$33:$G$40,MATCH(G1548,Setup!$B$33:$B$40,0)),0)=1)*(COUNTIF(G1508:I1525,$B1548)+COUNTIF(G1508:I1525,$B1548&amp;" ~*")&gt;0)+(IFERROR(INDEX(Setup!$G$33:$G$40,MATCH(K1548,Setup!$B$33:$B$40,0)),0)=1)*(COUNTIF(K1508:M1525,$B1548)+COUNTIF(K1508:M1525,$B1548&amp;" ~*")&gt;0)+(IFERROR(INDEX(Setup!$G$33:$G$40,MATCH(O1548,Setup!$B$33:$B$40,0)),0)=1)*(COUNTIF(O1508:Q1525,$B1548)+COUNTIF(O1508:Q1525,$B1548&amp;" ~*")&gt;0)+(IFERROR(INDEX(Setup!$G$33:$G$40,MATCH(S1548,Setup!$B$33:$B$40,0)),0)=1)*(COUNTIF(S1508:U1525,$B1548)+COUNTIF(S1508:U1525,$B1548&amp;" ~*")&gt;0)+(IFERROR(INDEX(Setup!$G$33:$G$40,MATCH(W1548,Setup!$B$33:$B$40,0)),0)=1)*(COUNTIF(W1508:W1525,$B1548)+COUNTIF(W1508:W1525,$B1548&amp;" ~*")&gt;0)+(IFERROR(INDEX(Setup!$G$33:$G$40,MATCH(Y1548,Setup!$B$33:$B$40,0)),0)=1)*(COUNTIF(Y1508:Y1525,$B1548)+COUNTIF(Y1508:Y1525,$B1548&amp;" ~*")&gt;0))</f>
        <v/>
      </c>
    </row>
    <row r="1549" ht="15" customHeight="1">
      <c r="A1549" t="n">
        <v>31</v>
      </c>
      <c r="B1549" s="35">
        <f>IF(Setup!$B$28="","",Setup!$B$28)</f>
        <v/>
      </c>
      <c r="C1549" s="98" t="n"/>
      <c r="D1549" s="99" t="n"/>
      <c r="E1549" s="99" t="n"/>
      <c r="F1549" s="100" t="n"/>
      <c r="G1549" s="98" t="n"/>
      <c r="H1549" s="99" t="n"/>
      <c r="I1549" s="99" t="n"/>
      <c r="J1549" s="100" t="n"/>
      <c r="K1549" s="98" t="n"/>
      <c r="L1549" s="99" t="n"/>
      <c r="M1549" s="99" t="n"/>
      <c r="N1549" s="100" t="n"/>
      <c r="O1549" s="98" t="n"/>
      <c r="P1549" s="99" t="n"/>
      <c r="Q1549" s="99" t="n"/>
      <c r="R1549" s="100" t="n"/>
      <c r="S1549" s="98" t="n"/>
      <c r="T1549" s="99" t="n"/>
      <c r="U1549" s="99" t="n"/>
      <c r="V1549" s="100" t="n"/>
      <c r="W1549" s="98" t="n"/>
      <c r="X1549" s="100" t="n"/>
      <c r="Y1549" s="98" t="n"/>
      <c r="Z1549" s="100" t="n"/>
      <c r="AB1549" s="101">
        <f>IF($B1549="","",(COUNTIF(C1508:E1525,$B1549)+COUNTIF(C1508:E1525,$B1549&amp;" ~*")&gt;0)+(COUNTIF(G1508:I1525,$B1549)+COUNTIF(G1508:I1525,$B1549&amp;" ~*")&gt;0)+(COUNTIF(K1508:M1525,$B1549)+COUNTIF(K1508:M1525,$B1549&amp;" ~*")&gt;0)+(COUNTIF(O1508:Q1525,$B1549)+COUNTIF(O1508:Q1525,$B1549&amp;" ~*")&gt;0)+(COUNTIF(S1508:U1525,$B1549)+COUNTIF(S1508:U1525,$B1549&amp;" ~*")&gt;0)+(COUNTIF(W1508:W1525,$B1549)+COUNTIF(W1508:W1525,$B1549&amp;" ~*")&gt;0)+(COUNTIF(Y1508:Y1525,$B1549)+COUNTIF(Y1508:Y1525,$B1549&amp;" ~*")&gt;0))</f>
        <v/>
      </c>
      <c r="AC1549" s="36">
        <f>IF($B1549="","",(IFERROR(INDEX(Setup!$G$33:$G$40,MATCH(C1549,Setup!$B$33:$B$40,0)),0)=1)*(COUNTIF(C1508:E1525,$B1549)+COUNTIF(C1508:E1525,$B1549&amp;" ~*")&gt;0)+(IFERROR(INDEX(Setup!$G$33:$G$40,MATCH(G1549,Setup!$B$33:$B$40,0)),0)=1)*(COUNTIF(G1508:I1525,$B1549)+COUNTIF(G1508:I1525,$B1549&amp;" ~*")&gt;0)+(IFERROR(INDEX(Setup!$G$33:$G$40,MATCH(K1549,Setup!$B$33:$B$40,0)),0)=1)*(COUNTIF(K1508:M1525,$B1549)+COUNTIF(K1508:M1525,$B1549&amp;" ~*")&gt;0)+(IFERROR(INDEX(Setup!$G$33:$G$40,MATCH(O1549,Setup!$B$33:$B$40,0)),0)=1)*(COUNTIF(O1508:Q1525,$B1549)+COUNTIF(O1508:Q1525,$B1549&amp;" ~*")&gt;0)+(IFERROR(INDEX(Setup!$G$33:$G$40,MATCH(S1549,Setup!$B$33:$B$40,0)),0)=1)*(COUNTIF(S1508:U1525,$B1549)+COUNTIF(S1508:U1525,$B1549&amp;" ~*")&gt;0)+(IFERROR(INDEX(Setup!$G$33:$G$40,MATCH(W1549,Setup!$B$33:$B$40,0)),0)=1)*(COUNTIF(W1508:W1525,$B1549)+COUNTIF(W1508:W1525,$B1549&amp;" ~*")&gt;0)+(IFERROR(INDEX(Setup!$G$33:$G$40,MATCH(Y1549,Setup!$B$33:$B$40,0)),0)=1)*(COUNTIF(Y1508:Y1525,$B1549)+COUNTIF(Y1508:Y1525,$B1549&amp;" ~*")&gt;0))</f>
        <v/>
      </c>
    </row>
    <row r="1550" ht="15" customHeight="1">
      <c r="A1550" t="n">
        <v>31</v>
      </c>
      <c r="B1550" s="37">
        <f>IF(Setup!$B$29="","",Setup!$B$29)</f>
        <v/>
      </c>
      <c r="C1550" s="102" t="n"/>
      <c r="D1550" s="103" t="n"/>
      <c r="E1550" s="103" t="n"/>
      <c r="F1550" s="104" t="n"/>
      <c r="G1550" s="102" t="n"/>
      <c r="H1550" s="103" t="n"/>
      <c r="I1550" s="103" t="n"/>
      <c r="J1550" s="104" t="n"/>
      <c r="K1550" s="102" t="n"/>
      <c r="L1550" s="103" t="n"/>
      <c r="M1550" s="103" t="n"/>
      <c r="N1550" s="104" t="n"/>
      <c r="O1550" s="102" t="n"/>
      <c r="P1550" s="103" t="n"/>
      <c r="Q1550" s="103" t="n"/>
      <c r="R1550" s="104" t="n"/>
      <c r="S1550" s="102" t="n"/>
      <c r="T1550" s="103" t="n"/>
      <c r="U1550" s="103" t="n"/>
      <c r="V1550" s="104" t="n"/>
      <c r="W1550" s="102" t="n"/>
      <c r="X1550" s="104" t="n"/>
      <c r="Y1550" s="102" t="n"/>
      <c r="Z1550" s="104" t="n"/>
      <c r="AB1550" s="105">
        <f>IF($B1550="","",(COUNTIF(C1508:E1525,$B1550)+COUNTIF(C1508:E1525,$B1550&amp;" ~*")&gt;0)+(COUNTIF(G1508:I1525,$B1550)+COUNTIF(G1508:I1525,$B1550&amp;" ~*")&gt;0)+(COUNTIF(K1508:M1525,$B1550)+COUNTIF(K1508:M1525,$B1550&amp;" ~*")&gt;0)+(COUNTIF(O1508:Q1525,$B1550)+COUNTIF(O1508:Q1525,$B1550&amp;" ~*")&gt;0)+(COUNTIF(S1508:U1525,$B1550)+COUNTIF(S1508:U1525,$B1550&amp;" ~*")&gt;0)+(COUNTIF(W1508:W1525,$B1550)+COUNTIF(W1508:W1525,$B1550&amp;" ~*")&gt;0)+(COUNTIF(Y1508:Y1525,$B1550)+COUNTIF(Y1508:Y1525,$B1550&amp;" ~*")&gt;0))</f>
        <v/>
      </c>
      <c r="AC1550" s="38">
        <f>IF($B1550="","",(IFERROR(INDEX(Setup!$G$33:$G$40,MATCH(C1550,Setup!$B$33:$B$40,0)),0)=1)*(COUNTIF(C1508:E1525,$B1550)+COUNTIF(C1508:E1525,$B1550&amp;" ~*")&gt;0)+(IFERROR(INDEX(Setup!$G$33:$G$40,MATCH(G1550,Setup!$B$33:$B$40,0)),0)=1)*(COUNTIF(G1508:I1525,$B1550)+COUNTIF(G1508:I1525,$B1550&amp;" ~*")&gt;0)+(IFERROR(INDEX(Setup!$G$33:$G$40,MATCH(K1550,Setup!$B$33:$B$40,0)),0)=1)*(COUNTIF(K1508:M1525,$B1550)+COUNTIF(K1508:M1525,$B1550&amp;" ~*")&gt;0)+(IFERROR(INDEX(Setup!$G$33:$G$40,MATCH(O1550,Setup!$B$33:$B$40,0)),0)=1)*(COUNTIF(O1508:Q1525,$B1550)+COUNTIF(O1508:Q1525,$B1550&amp;" ~*")&gt;0)+(IFERROR(INDEX(Setup!$G$33:$G$40,MATCH(S1550,Setup!$B$33:$B$40,0)),0)=1)*(COUNTIF(S1508:U1525,$B1550)+COUNTIF(S1508:U1525,$B1550&amp;" ~*")&gt;0)+(IFERROR(INDEX(Setup!$G$33:$G$40,MATCH(W1550,Setup!$B$33:$B$40,0)),0)=1)*(COUNTIF(W1508:W1525,$B1550)+COUNTIF(W1508:W1525,$B1550&amp;" ~*")&gt;0)+(IFERROR(INDEX(Setup!$G$33:$G$40,MATCH(Y1550,Setup!$B$33:$B$40,0)),0)=1)*(COUNTIF(Y1508:Y1525,$B1550)+COUNTIF(Y1508:Y1525,$B1550&amp;" ~*")&gt;0))</f>
        <v/>
      </c>
    </row>
    <row r="1551" ht="16" customHeight="1">
      <c r="A1551" t="n">
        <v>31</v>
      </c>
      <c r="B1551" s="106" t="inlineStr">
        <is>
          <t>Available people</t>
        </is>
      </c>
      <c r="C1551" s="107">
        <f>COUNTIFS(Setup!$E$6:$E$29,"Y",Setup!$B$6:$B$29,"?*")-SUMPRODUCT(COUNTIF(C1527:C1550,Setup!$F$33:$F$40))</f>
        <v/>
      </c>
      <c r="D1551" s="107" t="n"/>
      <c r="E1551" s="107" t="n"/>
      <c r="F1551" s="107" t="n"/>
      <c r="G1551" s="107">
        <f>COUNTIFS(Setup!$E$6:$E$29,"Y",Setup!$B$6:$B$29,"?*")-SUMPRODUCT(COUNTIF(G1527:G1550,Setup!$F$33:$F$40))</f>
        <v/>
      </c>
      <c r="H1551" s="107" t="n"/>
      <c r="I1551" s="107" t="n"/>
      <c r="J1551" s="107" t="n"/>
      <c r="K1551" s="107">
        <f>COUNTIFS(Setup!$E$6:$E$29,"Y",Setup!$B$6:$B$29,"?*")-SUMPRODUCT(COUNTIF(K1527:K1550,Setup!$F$33:$F$40))</f>
        <v/>
      </c>
      <c r="L1551" s="107" t="n"/>
      <c r="M1551" s="107" t="n"/>
      <c r="N1551" s="107" t="n"/>
      <c r="O1551" s="107">
        <f>COUNTIFS(Setup!$E$6:$E$29,"Y",Setup!$B$6:$B$29,"?*")-SUMPRODUCT(COUNTIF(O1527:O1550,Setup!$F$33:$F$40))</f>
        <v/>
      </c>
      <c r="P1551" s="107" t="n"/>
      <c r="Q1551" s="107" t="n"/>
      <c r="R1551" s="107" t="n"/>
      <c r="S1551" s="107">
        <f>COUNTIFS(Setup!$E$6:$E$29,"Y",Setup!$B$6:$B$29,"?*")-SUMPRODUCT(COUNTIF(S1527:S1550,Setup!$F$33:$F$40))</f>
        <v/>
      </c>
      <c r="T1551" s="107" t="n"/>
      <c r="U1551" s="107" t="n"/>
      <c r="V1551" s="107" t="n"/>
      <c r="W1551" s="107">
        <f>COUNTIFS(Setup!$E$6:$E$29,"Y",Setup!$B$6:$B$29,"?*")-SUMPRODUCT(COUNTIF(W1527:W1550,Setup!$F$33:$F$40))</f>
        <v/>
      </c>
      <c r="X1551" s="107" t="n"/>
      <c r="Y1551" s="107">
        <f>COUNTIFS(Setup!$E$6:$E$29,"Y",Setup!$B$6:$B$29,"?*")-SUMPRODUCT(COUNTIF(Y1527:Y1550,Setup!$F$33:$F$40))</f>
        <v/>
      </c>
      <c r="Z1551" s="107" t="n"/>
      <c r="AB1551" s="108">
        <f>SUM(AB1527:AB1550)</f>
        <v/>
      </c>
      <c r="AC1551" s="109">
        <f>SUM(AC1527:AC1550)</f>
        <v/>
      </c>
    </row>
    <row r="1552" ht="30" customHeight="1">
      <c r="A1552" t="n">
        <v>31</v>
      </c>
      <c r="B1552" s="110" t="inlineStr">
        <is>
          <t>Week notes</t>
        </is>
      </c>
      <c r="C1552" s="111" t="n"/>
      <c r="D1552" s="112" t="n"/>
      <c r="E1552" s="112" t="n"/>
      <c r="F1552" s="112" t="n"/>
      <c r="G1552" s="112" t="n"/>
      <c r="H1552" s="112" t="n"/>
      <c r="I1552" s="112" t="n"/>
      <c r="J1552" s="112" t="n"/>
      <c r="K1552" s="112" t="n"/>
      <c r="L1552" s="112" t="n"/>
      <c r="M1552" s="112" t="n"/>
      <c r="N1552" s="112" t="n"/>
      <c r="O1552" s="112" t="n"/>
      <c r="P1552" s="112" t="n"/>
      <c r="Q1552" s="112" t="n"/>
      <c r="R1552" s="112" t="n"/>
      <c r="S1552" s="112" t="n"/>
      <c r="T1552" s="112" t="n"/>
      <c r="U1552" s="112" t="n"/>
      <c r="V1552" s="112" t="n"/>
      <c r="W1552" s="112" t="n"/>
      <c r="X1552" s="112" t="n"/>
      <c r="Y1552" s="112" t="n"/>
      <c r="Z1552" s="113" t="n"/>
    </row>
    <row r="1553" ht="8" customHeight="1">
      <c r="A1553" t="n">
        <v>31</v>
      </c>
    </row>
    <row r="1554" ht="8" customHeight="1">
      <c r="A1554" t="n">
        <v>31</v>
      </c>
    </row>
    <row r="1555" ht="24" customHeight="1">
      <c r="A1555" t="n">
        <v>32</v>
      </c>
      <c r="B1555" s="73">
        <f>"WEEK 32     "&amp;TEXT(C1556,"ddd d mmm")&amp;"  –  "&amp;TEXT(C1556+6,"ddd d mmm yyyy")</f>
        <v/>
      </c>
      <c r="S1555" s="74">
        <f>IF(TODAY()&lt;C1556,"FUTURE",IF(TODAY()&gt;C1556+6,"PAST","THIS WEEK"))</f>
        <v/>
      </c>
      <c r="W1555" s="75">
        <f>IF(AND(Engine!$B$8=$AC$3,Engine!$B$9=$A1555),"◀ ACTIVE WEEK","")</f>
        <v/>
      </c>
      <c r="AA1555" s="76" t="n"/>
      <c r="AB1555" s="77" t="inlineStr">
        <is>
          <t>◀ Prev</t>
        </is>
      </c>
      <c r="AC1555" s="77" t="inlineStr">
        <is>
          <t>Next ▶</t>
        </is>
      </c>
    </row>
    <row r="1556" ht="18" customHeight="1">
      <c r="A1556" t="n">
        <v>32</v>
      </c>
      <c r="B1556" s="78" t="inlineStr">
        <is>
          <t>DUTY</t>
        </is>
      </c>
      <c r="C1556" s="79">
        <f>$AC$2+7*($A1556-1)</f>
        <v/>
      </c>
      <c r="D1556" s="80" t="n"/>
      <c r="E1556" s="80" t="n"/>
      <c r="F1556" s="81" t="n"/>
      <c r="G1556" s="79">
        <f>C1556+1</f>
        <v/>
      </c>
      <c r="H1556" s="80" t="n"/>
      <c r="I1556" s="80" t="n"/>
      <c r="J1556" s="81" t="n"/>
      <c r="K1556" s="79">
        <f>C1556+2</f>
        <v/>
      </c>
      <c r="L1556" s="80" t="n"/>
      <c r="M1556" s="80" t="n"/>
      <c r="N1556" s="81" t="n"/>
      <c r="O1556" s="79">
        <f>C1556+3</f>
        <v/>
      </c>
      <c r="P1556" s="80" t="n"/>
      <c r="Q1556" s="80" t="n"/>
      <c r="R1556" s="81" t="n"/>
      <c r="S1556" s="79">
        <f>C1556+4</f>
        <v/>
      </c>
      <c r="T1556" s="80" t="n"/>
      <c r="U1556" s="80" t="n"/>
      <c r="V1556" s="81" t="n"/>
      <c r="W1556" s="82">
        <f>C1556+5</f>
        <v/>
      </c>
      <c r="X1556" s="83" t="n"/>
      <c r="Y1556" s="82">
        <f>C1556+6</f>
        <v/>
      </c>
      <c r="Z1556" s="83" t="n"/>
      <c r="AB1556" s="72" t="inlineStr">
        <is>
          <t>Gaps</t>
        </is>
      </c>
      <c r="AC1556" s="72" t="inlineStr">
        <is>
          <t>Cover</t>
        </is>
      </c>
    </row>
    <row r="1557" ht="14" customHeight="1">
      <c r="A1557" t="n">
        <v>32</v>
      </c>
      <c r="B1557" s="84" t="inlineStr">
        <is>
          <t>(from Setup)</t>
        </is>
      </c>
      <c r="C1557" s="85" t="inlineStr">
        <is>
          <t>1</t>
        </is>
      </c>
      <c r="D1557" s="85" t="inlineStr">
        <is>
          <t>2</t>
        </is>
      </c>
      <c r="E1557" s="85" t="inlineStr">
        <is>
          <t>3</t>
        </is>
      </c>
      <c r="F1557" s="85" t="inlineStr">
        <is>
          <t>Notes</t>
        </is>
      </c>
      <c r="G1557" s="85" t="inlineStr">
        <is>
          <t>1</t>
        </is>
      </c>
      <c r="H1557" s="85" t="inlineStr">
        <is>
          <t>2</t>
        </is>
      </c>
      <c r="I1557" s="85" t="inlineStr">
        <is>
          <t>3</t>
        </is>
      </c>
      <c r="J1557" s="85" t="inlineStr">
        <is>
          <t>Notes</t>
        </is>
      </c>
      <c r="K1557" s="85" t="inlineStr">
        <is>
          <t>1</t>
        </is>
      </c>
      <c r="L1557" s="85" t="inlineStr">
        <is>
          <t>2</t>
        </is>
      </c>
      <c r="M1557" s="85" t="inlineStr">
        <is>
          <t>3</t>
        </is>
      </c>
      <c r="N1557" s="85" t="inlineStr">
        <is>
          <t>Notes</t>
        </is>
      </c>
      <c r="O1557" s="85" t="inlineStr">
        <is>
          <t>1</t>
        </is>
      </c>
      <c r="P1557" s="85" t="inlineStr">
        <is>
          <t>2</t>
        </is>
      </c>
      <c r="Q1557" s="85" t="inlineStr">
        <is>
          <t>3</t>
        </is>
      </c>
      <c r="R1557" s="85" t="inlineStr">
        <is>
          <t>Notes</t>
        </is>
      </c>
      <c r="S1557" s="85" t="inlineStr">
        <is>
          <t>1</t>
        </is>
      </c>
      <c r="T1557" s="85" t="inlineStr">
        <is>
          <t>2</t>
        </is>
      </c>
      <c r="U1557" s="85" t="inlineStr">
        <is>
          <t>3</t>
        </is>
      </c>
      <c r="V1557" s="85" t="inlineStr">
        <is>
          <t>Notes</t>
        </is>
      </c>
      <c r="W1557" s="85" t="inlineStr">
        <is>
          <t>Cover</t>
        </is>
      </c>
      <c r="X1557" s="85" t="inlineStr">
        <is>
          <t>Notes</t>
        </is>
      </c>
      <c r="Y1557" s="85" t="inlineStr">
        <is>
          <t>Cover</t>
        </is>
      </c>
      <c r="Z1557" s="85" t="inlineStr">
        <is>
          <t>Notes</t>
        </is>
      </c>
      <c r="AB1557" s="86" t="inlineStr">
        <is>
          <t>weekdays short</t>
        </is>
      </c>
      <c r="AC1557" s="87" t="inlineStr"/>
    </row>
    <row r="1558" ht="17" customHeight="1">
      <c r="A1558" t="n">
        <v>32</v>
      </c>
      <c r="B1558" s="24">
        <f>IF(Setup!$K$6="","",Setup!$K$6)</f>
        <v/>
      </c>
      <c r="C1558" s="88" t="n"/>
      <c r="D1558" s="88" t="n"/>
      <c r="E1558" s="88" t="n"/>
      <c r="F1558" s="89" t="n"/>
      <c r="G1558" s="88" t="n"/>
      <c r="H1558" s="88" t="n"/>
      <c r="I1558" s="88" t="n"/>
      <c r="J1558" s="89" t="n"/>
      <c r="K1558" s="88" t="n"/>
      <c r="L1558" s="88" t="n"/>
      <c r="M1558" s="88" t="n"/>
      <c r="N1558" s="89" t="n"/>
      <c r="O1558" s="88" t="n"/>
      <c r="P1558" s="88" t="n"/>
      <c r="Q1558" s="88" t="n"/>
      <c r="R1558" s="89" t="n"/>
      <c r="S1558" s="88" t="n"/>
      <c r="T1558" s="88" t="n"/>
      <c r="U1558" s="88" t="n"/>
      <c r="V1558" s="89" t="n"/>
      <c r="W1558" s="88" t="n"/>
      <c r="X1558" s="89" t="n"/>
      <c r="Y1558" s="88" t="n"/>
      <c r="Z1558" s="89" t="n"/>
      <c r="AB1558" s="25">
        <f>IF($B1558="","",(COUNTIF(C1558:E1558,"?*")&lt;N(INDEX(Setup!$L$6:$L$23,1)))+(COUNTIF(G1558:I1558,"?*")&lt;N(INDEX(Setup!$L$6:$L$23,1)))+(COUNTIF(K1558:M1558,"?*")&lt;N(INDEX(Setup!$L$6:$L$23,1)))+(COUNTIF(O1558:Q1558,"?*")&lt;N(INDEX(Setup!$L$6:$L$23,1)))+(COUNTIF(S1558:U1558,"?*")&lt;N(INDEX(Setup!$L$6:$L$23,1)))+((W1558="")*(INDEX(Setup!$M$6:$M$23,1)="Y"))+((Y1558="")*(INDEX(Setup!$M$6:$M$23,1)="Y")))</f>
        <v/>
      </c>
      <c r="AC1558" s="90">
        <f>IF($B1558="","",IF(AB1558=0,"✓ covered","⚠ "&amp;AB1558&amp;IF(AB1558=1," gap"," gaps")))</f>
        <v/>
      </c>
    </row>
    <row r="1559" ht="17" customHeight="1">
      <c r="A1559" t="n">
        <v>32</v>
      </c>
      <c r="B1559" s="29">
        <f>IF(Setup!$K$7="","",Setup!$K$7)</f>
        <v/>
      </c>
      <c r="C1559" s="88" t="n"/>
      <c r="D1559" s="88" t="n"/>
      <c r="E1559" s="88" t="n"/>
      <c r="F1559" s="89" t="n"/>
      <c r="G1559" s="88" t="n"/>
      <c r="H1559" s="88" t="n"/>
      <c r="I1559" s="88" t="n"/>
      <c r="J1559" s="89" t="n"/>
      <c r="K1559" s="88" t="n"/>
      <c r="L1559" s="88" t="n"/>
      <c r="M1559" s="88" t="n"/>
      <c r="N1559" s="89" t="n"/>
      <c r="O1559" s="88" t="n"/>
      <c r="P1559" s="88" t="n"/>
      <c r="Q1559" s="88" t="n"/>
      <c r="R1559" s="89" t="n"/>
      <c r="S1559" s="88" t="n"/>
      <c r="T1559" s="88" t="n"/>
      <c r="U1559" s="88" t="n"/>
      <c r="V1559" s="89" t="n"/>
      <c r="W1559" s="88" t="n"/>
      <c r="X1559" s="89" t="n"/>
      <c r="Y1559" s="88" t="n"/>
      <c r="Z1559" s="89" t="n"/>
      <c r="AB1559" s="30">
        <f>IF($B1559="","",(COUNTIF(C1559:E1559,"?*")&lt;N(INDEX(Setup!$L$6:$L$23,2)))+(COUNTIF(G1559:I1559,"?*")&lt;N(INDEX(Setup!$L$6:$L$23,2)))+(COUNTIF(K1559:M1559,"?*")&lt;N(INDEX(Setup!$L$6:$L$23,2)))+(COUNTIF(O1559:Q1559,"?*")&lt;N(INDEX(Setup!$L$6:$L$23,2)))+(COUNTIF(S1559:U1559,"?*")&lt;N(INDEX(Setup!$L$6:$L$23,2)))+((W1559="")*(INDEX(Setup!$M$6:$M$23,2)="Y"))+((Y1559="")*(INDEX(Setup!$M$6:$M$23,2)="Y")))</f>
        <v/>
      </c>
      <c r="AC1559" s="91">
        <f>IF($B1559="","",IF(AB1559=0,"✓ covered","⚠ "&amp;AB1559&amp;IF(AB1559=1," gap"," gaps")))</f>
        <v/>
      </c>
    </row>
    <row r="1560" ht="17" customHeight="1">
      <c r="A1560" t="n">
        <v>32</v>
      </c>
      <c r="B1560" s="24">
        <f>IF(Setup!$K$8="","",Setup!$K$8)</f>
        <v/>
      </c>
      <c r="C1560" s="88" t="n"/>
      <c r="D1560" s="88" t="n"/>
      <c r="E1560" s="88" t="n"/>
      <c r="F1560" s="89" t="n"/>
      <c r="G1560" s="88" t="n"/>
      <c r="H1560" s="88" t="n"/>
      <c r="I1560" s="88" t="n"/>
      <c r="J1560" s="89" t="n"/>
      <c r="K1560" s="88" t="n"/>
      <c r="L1560" s="88" t="n"/>
      <c r="M1560" s="88" t="n"/>
      <c r="N1560" s="89" t="n"/>
      <c r="O1560" s="88" t="n"/>
      <c r="P1560" s="88" t="n"/>
      <c r="Q1560" s="88" t="n"/>
      <c r="R1560" s="89" t="n"/>
      <c r="S1560" s="88" t="n"/>
      <c r="T1560" s="88" t="n"/>
      <c r="U1560" s="88" t="n"/>
      <c r="V1560" s="89" t="n"/>
      <c r="W1560" s="88" t="n"/>
      <c r="X1560" s="89" t="n"/>
      <c r="Y1560" s="88" t="n"/>
      <c r="Z1560" s="89" t="n"/>
      <c r="AB1560" s="25">
        <f>IF($B1560="","",(COUNTIF(C1560:E1560,"?*")&lt;N(INDEX(Setup!$L$6:$L$23,3)))+(COUNTIF(G1560:I1560,"?*")&lt;N(INDEX(Setup!$L$6:$L$23,3)))+(COUNTIF(K1560:M1560,"?*")&lt;N(INDEX(Setup!$L$6:$L$23,3)))+(COUNTIF(O1560:Q1560,"?*")&lt;N(INDEX(Setup!$L$6:$L$23,3)))+(COUNTIF(S1560:U1560,"?*")&lt;N(INDEX(Setup!$L$6:$L$23,3)))+((W1560="")*(INDEX(Setup!$M$6:$M$23,3)="Y"))+((Y1560="")*(INDEX(Setup!$M$6:$M$23,3)="Y")))</f>
        <v/>
      </c>
      <c r="AC1560" s="90">
        <f>IF($B1560="","",IF(AB1560=0,"✓ covered","⚠ "&amp;AB1560&amp;IF(AB1560=1," gap"," gaps")))</f>
        <v/>
      </c>
    </row>
    <row r="1561" ht="17" customHeight="1">
      <c r="A1561" t="n">
        <v>32</v>
      </c>
      <c r="B1561" s="29">
        <f>IF(Setup!$K$9="","",Setup!$K$9)</f>
        <v/>
      </c>
      <c r="C1561" s="88" t="n"/>
      <c r="D1561" s="88" t="n"/>
      <c r="E1561" s="88" t="n"/>
      <c r="F1561" s="89" t="n"/>
      <c r="G1561" s="88" t="n"/>
      <c r="H1561" s="88" t="n"/>
      <c r="I1561" s="88" t="n"/>
      <c r="J1561" s="89" t="n"/>
      <c r="K1561" s="88" t="n"/>
      <c r="L1561" s="88" t="n"/>
      <c r="M1561" s="88" t="n"/>
      <c r="N1561" s="89" t="n"/>
      <c r="O1561" s="88" t="n"/>
      <c r="P1561" s="88" t="n"/>
      <c r="Q1561" s="88" t="n"/>
      <c r="R1561" s="89" t="n"/>
      <c r="S1561" s="88" t="n"/>
      <c r="T1561" s="88" t="n"/>
      <c r="U1561" s="88" t="n"/>
      <c r="V1561" s="89" t="n"/>
      <c r="W1561" s="88" t="n"/>
      <c r="X1561" s="89" t="n"/>
      <c r="Y1561" s="88" t="n"/>
      <c r="Z1561" s="89" t="n"/>
      <c r="AB1561" s="30">
        <f>IF($B1561="","",(COUNTIF(C1561:E1561,"?*")&lt;N(INDEX(Setup!$L$6:$L$23,4)))+(COUNTIF(G1561:I1561,"?*")&lt;N(INDEX(Setup!$L$6:$L$23,4)))+(COUNTIF(K1561:M1561,"?*")&lt;N(INDEX(Setup!$L$6:$L$23,4)))+(COUNTIF(O1561:Q1561,"?*")&lt;N(INDEX(Setup!$L$6:$L$23,4)))+(COUNTIF(S1561:U1561,"?*")&lt;N(INDEX(Setup!$L$6:$L$23,4)))+((W1561="")*(INDEX(Setup!$M$6:$M$23,4)="Y"))+((Y1561="")*(INDEX(Setup!$M$6:$M$23,4)="Y")))</f>
        <v/>
      </c>
      <c r="AC1561" s="91">
        <f>IF($B1561="","",IF(AB1561=0,"✓ covered","⚠ "&amp;AB1561&amp;IF(AB1561=1," gap"," gaps")))</f>
        <v/>
      </c>
    </row>
    <row r="1562" ht="17" customHeight="1">
      <c r="A1562" t="n">
        <v>32</v>
      </c>
      <c r="B1562" s="24">
        <f>IF(Setup!$K$10="","",Setup!$K$10)</f>
        <v/>
      </c>
      <c r="C1562" s="88" t="n"/>
      <c r="D1562" s="88" t="n"/>
      <c r="E1562" s="88" t="n"/>
      <c r="F1562" s="89" t="n"/>
      <c r="G1562" s="88" t="n"/>
      <c r="H1562" s="88" t="n"/>
      <c r="I1562" s="88" t="n"/>
      <c r="J1562" s="89" t="n"/>
      <c r="K1562" s="88" t="n"/>
      <c r="L1562" s="88" t="n"/>
      <c r="M1562" s="88" t="n"/>
      <c r="N1562" s="89" t="n"/>
      <c r="O1562" s="88" t="n"/>
      <c r="P1562" s="88" t="n"/>
      <c r="Q1562" s="88" t="n"/>
      <c r="R1562" s="89" t="n"/>
      <c r="S1562" s="88" t="n"/>
      <c r="T1562" s="88" t="n"/>
      <c r="U1562" s="88" t="n"/>
      <c r="V1562" s="89" t="n"/>
      <c r="W1562" s="88" t="n"/>
      <c r="X1562" s="89" t="n"/>
      <c r="Y1562" s="88" t="n"/>
      <c r="Z1562" s="89" t="n"/>
      <c r="AB1562" s="25">
        <f>IF($B1562="","",(COUNTIF(C1562:E1562,"?*")&lt;N(INDEX(Setup!$L$6:$L$23,5)))+(COUNTIF(G1562:I1562,"?*")&lt;N(INDEX(Setup!$L$6:$L$23,5)))+(COUNTIF(K1562:M1562,"?*")&lt;N(INDEX(Setup!$L$6:$L$23,5)))+(COUNTIF(O1562:Q1562,"?*")&lt;N(INDEX(Setup!$L$6:$L$23,5)))+(COUNTIF(S1562:U1562,"?*")&lt;N(INDEX(Setup!$L$6:$L$23,5)))+((W1562="")*(INDEX(Setup!$M$6:$M$23,5)="Y"))+((Y1562="")*(INDEX(Setup!$M$6:$M$23,5)="Y")))</f>
        <v/>
      </c>
      <c r="AC1562" s="90">
        <f>IF($B1562="","",IF(AB1562=0,"✓ covered","⚠ "&amp;AB1562&amp;IF(AB1562=1," gap"," gaps")))</f>
        <v/>
      </c>
    </row>
    <row r="1563" ht="17" customHeight="1">
      <c r="A1563" t="n">
        <v>32</v>
      </c>
      <c r="B1563" s="29">
        <f>IF(Setup!$K$11="","",Setup!$K$11)</f>
        <v/>
      </c>
      <c r="C1563" s="88" t="n"/>
      <c r="D1563" s="88" t="n"/>
      <c r="E1563" s="88" t="n"/>
      <c r="F1563" s="89" t="n"/>
      <c r="G1563" s="88" t="n"/>
      <c r="H1563" s="88" t="n"/>
      <c r="I1563" s="88" t="n"/>
      <c r="J1563" s="89" t="n"/>
      <c r="K1563" s="88" t="n"/>
      <c r="L1563" s="88" t="n"/>
      <c r="M1563" s="88" t="n"/>
      <c r="N1563" s="89" t="n"/>
      <c r="O1563" s="88" t="n"/>
      <c r="P1563" s="88" t="n"/>
      <c r="Q1563" s="88" t="n"/>
      <c r="R1563" s="89" t="n"/>
      <c r="S1563" s="88" t="n"/>
      <c r="T1563" s="88" t="n"/>
      <c r="U1563" s="88" t="n"/>
      <c r="V1563" s="89" t="n"/>
      <c r="W1563" s="88" t="n"/>
      <c r="X1563" s="89" t="n"/>
      <c r="Y1563" s="88" t="n"/>
      <c r="Z1563" s="89" t="n"/>
      <c r="AB1563" s="30">
        <f>IF($B1563="","",(COUNTIF(C1563:E1563,"?*")&lt;N(INDEX(Setup!$L$6:$L$23,6)))+(COUNTIF(G1563:I1563,"?*")&lt;N(INDEX(Setup!$L$6:$L$23,6)))+(COUNTIF(K1563:M1563,"?*")&lt;N(INDEX(Setup!$L$6:$L$23,6)))+(COUNTIF(O1563:Q1563,"?*")&lt;N(INDEX(Setup!$L$6:$L$23,6)))+(COUNTIF(S1563:U1563,"?*")&lt;N(INDEX(Setup!$L$6:$L$23,6)))+((W1563="")*(INDEX(Setup!$M$6:$M$23,6)="Y"))+((Y1563="")*(INDEX(Setup!$M$6:$M$23,6)="Y")))</f>
        <v/>
      </c>
      <c r="AC1563" s="91">
        <f>IF($B1563="","",IF(AB1563=0,"✓ covered","⚠ "&amp;AB1563&amp;IF(AB1563=1," gap"," gaps")))</f>
        <v/>
      </c>
    </row>
    <row r="1564" ht="17" customHeight="1">
      <c r="A1564" t="n">
        <v>32</v>
      </c>
      <c r="B1564" s="24">
        <f>IF(Setup!$K$12="","",Setup!$K$12)</f>
        <v/>
      </c>
      <c r="C1564" s="88" t="n"/>
      <c r="D1564" s="88" t="n"/>
      <c r="E1564" s="88" t="n"/>
      <c r="F1564" s="89" t="n"/>
      <c r="G1564" s="88" t="n"/>
      <c r="H1564" s="88" t="n"/>
      <c r="I1564" s="88" t="n"/>
      <c r="J1564" s="89" t="n"/>
      <c r="K1564" s="88" t="n"/>
      <c r="L1564" s="88" t="n"/>
      <c r="M1564" s="88" t="n"/>
      <c r="N1564" s="89" t="n"/>
      <c r="O1564" s="88" t="n"/>
      <c r="P1564" s="88" t="n"/>
      <c r="Q1564" s="88" t="n"/>
      <c r="R1564" s="89" t="n"/>
      <c r="S1564" s="88" t="n"/>
      <c r="T1564" s="88" t="n"/>
      <c r="U1564" s="88" t="n"/>
      <c r="V1564" s="89" t="n"/>
      <c r="W1564" s="88" t="n"/>
      <c r="X1564" s="89" t="n"/>
      <c r="Y1564" s="88" t="n"/>
      <c r="Z1564" s="89" t="n"/>
      <c r="AB1564" s="25">
        <f>IF($B1564="","",(COUNTIF(C1564:E1564,"?*")&lt;N(INDEX(Setup!$L$6:$L$23,7)))+(COUNTIF(G1564:I1564,"?*")&lt;N(INDEX(Setup!$L$6:$L$23,7)))+(COUNTIF(K1564:M1564,"?*")&lt;N(INDEX(Setup!$L$6:$L$23,7)))+(COUNTIF(O1564:Q1564,"?*")&lt;N(INDEX(Setup!$L$6:$L$23,7)))+(COUNTIF(S1564:U1564,"?*")&lt;N(INDEX(Setup!$L$6:$L$23,7)))+((W1564="")*(INDEX(Setup!$M$6:$M$23,7)="Y"))+((Y1564="")*(INDEX(Setup!$M$6:$M$23,7)="Y")))</f>
        <v/>
      </c>
      <c r="AC1564" s="90">
        <f>IF($B1564="","",IF(AB1564=0,"✓ covered","⚠ "&amp;AB1564&amp;IF(AB1564=1," gap"," gaps")))</f>
        <v/>
      </c>
    </row>
    <row r="1565" ht="17" customHeight="1">
      <c r="A1565" t="n">
        <v>32</v>
      </c>
      <c r="B1565" s="29">
        <f>IF(Setup!$K$13="","",Setup!$K$13)</f>
        <v/>
      </c>
      <c r="C1565" s="88" t="n"/>
      <c r="D1565" s="88" t="n"/>
      <c r="E1565" s="88" t="n"/>
      <c r="F1565" s="89" t="n"/>
      <c r="G1565" s="88" t="n"/>
      <c r="H1565" s="88" t="n"/>
      <c r="I1565" s="88" t="n"/>
      <c r="J1565" s="89" t="n"/>
      <c r="K1565" s="88" t="n"/>
      <c r="L1565" s="88" t="n"/>
      <c r="M1565" s="88" t="n"/>
      <c r="N1565" s="89" t="n"/>
      <c r="O1565" s="88" t="n"/>
      <c r="P1565" s="88" t="n"/>
      <c r="Q1565" s="88" t="n"/>
      <c r="R1565" s="89" t="n"/>
      <c r="S1565" s="88" t="n"/>
      <c r="T1565" s="88" t="n"/>
      <c r="U1565" s="88" t="n"/>
      <c r="V1565" s="89" t="n"/>
      <c r="W1565" s="88" t="n"/>
      <c r="X1565" s="89" t="n"/>
      <c r="Y1565" s="88" t="n"/>
      <c r="Z1565" s="89" t="n"/>
      <c r="AB1565" s="30">
        <f>IF($B1565="","",(COUNTIF(C1565:E1565,"?*")&lt;N(INDEX(Setup!$L$6:$L$23,8)))+(COUNTIF(G1565:I1565,"?*")&lt;N(INDEX(Setup!$L$6:$L$23,8)))+(COUNTIF(K1565:M1565,"?*")&lt;N(INDEX(Setup!$L$6:$L$23,8)))+(COUNTIF(O1565:Q1565,"?*")&lt;N(INDEX(Setup!$L$6:$L$23,8)))+(COUNTIF(S1565:U1565,"?*")&lt;N(INDEX(Setup!$L$6:$L$23,8)))+((W1565="")*(INDEX(Setup!$M$6:$M$23,8)="Y"))+((Y1565="")*(INDEX(Setup!$M$6:$M$23,8)="Y")))</f>
        <v/>
      </c>
      <c r="AC1565" s="91">
        <f>IF($B1565="","",IF(AB1565=0,"✓ covered","⚠ "&amp;AB1565&amp;IF(AB1565=1," gap"," gaps")))</f>
        <v/>
      </c>
    </row>
    <row r="1566" ht="17" customHeight="1">
      <c r="A1566" t="n">
        <v>32</v>
      </c>
      <c r="B1566" s="24">
        <f>IF(Setup!$K$14="","",Setup!$K$14)</f>
        <v/>
      </c>
      <c r="C1566" s="88" t="n"/>
      <c r="D1566" s="88" t="n"/>
      <c r="E1566" s="88" t="n"/>
      <c r="F1566" s="89" t="n"/>
      <c r="G1566" s="88" t="n"/>
      <c r="H1566" s="88" t="n"/>
      <c r="I1566" s="88" t="n"/>
      <c r="J1566" s="89" t="n"/>
      <c r="K1566" s="88" t="n"/>
      <c r="L1566" s="88" t="n"/>
      <c r="M1566" s="88" t="n"/>
      <c r="N1566" s="89" t="n"/>
      <c r="O1566" s="88" t="n"/>
      <c r="P1566" s="88" t="n"/>
      <c r="Q1566" s="88" t="n"/>
      <c r="R1566" s="89" t="n"/>
      <c r="S1566" s="88" t="n"/>
      <c r="T1566" s="88" t="n"/>
      <c r="U1566" s="88" t="n"/>
      <c r="V1566" s="89" t="n"/>
      <c r="W1566" s="88" t="n"/>
      <c r="X1566" s="89" t="n"/>
      <c r="Y1566" s="88" t="n"/>
      <c r="Z1566" s="89" t="n"/>
      <c r="AB1566" s="25">
        <f>IF($B1566="","",(COUNTIF(C1566:E1566,"?*")&lt;N(INDEX(Setup!$L$6:$L$23,9)))+(COUNTIF(G1566:I1566,"?*")&lt;N(INDEX(Setup!$L$6:$L$23,9)))+(COUNTIF(K1566:M1566,"?*")&lt;N(INDEX(Setup!$L$6:$L$23,9)))+(COUNTIF(O1566:Q1566,"?*")&lt;N(INDEX(Setup!$L$6:$L$23,9)))+(COUNTIF(S1566:U1566,"?*")&lt;N(INDEX(Setup!$L$6:$L$23,9)))+((W1566="")*(INDEX(Setup!$M$6:$M$23,9)="Y"))+((Y1566="")*(INDEX(Setup!$M$6:$M$23,9)="Y")))</f>
        <v/>
      </c>
      <c r="AC1566" s="90">
        <f>IF($B1566="","",IF(AB1566=0,"✓ covered","⚠ "&amp;AB1566&amp;IF(AB1566=1," gap"," gaps")))</f>
        <v/>
      </c>
    </row>
    <row r="1567" ht="17" customHeight="1">
      <c r="A1567" t="n">
        <v>32</v>
      </c>
      <c r="B1567" s="29">
        <f>IF(Setup!$K$15="","",Setup!$K$15)</f>
        <v/>
      </c>
      <c r="C1567" s="88" t="n"/>
      <c r="D1567" s="88" t="n"/>
      <c r="E1567" s="88" t="n"/>
      <c r="F1567" s="89" t="n"/>
      <c r="G1567" s="88" t="n"/>
      <c r="H1567" s="88" t="n"/>
      <c r="I1567" s="88" t="n"/>
      <c r="J1567" s="89" t="n"/>
      <c r="K1567" s="88" t="n"/>
      <c r="L1567" s="88" t="n"/>
      <c r="M1567" s="88" t="n"/>
      <c r="N1567" s="89" t="n"/>
      <c r="O1567" s="88" t="n"/>
      <c r="P1567" s="88" t="n"/>
      <c r="Q1567" s="88" t="n"/>
      <c r="R1567" s="89" t="n"/>
      <c r="S1567" s="88" t="n"/>
      <c r="T1567" s="88" t="n"/>
      <c r="U1567" s="88" t="n"/>
      <c r="V1567" s="89" t="n"/>
      <c r="W1567" s="88" t="n"/>
      <c r="X1567" s="89" t="n"/>
      <c r="Y1567" s="88" t="n"/>
      <c r="Z1567" s="89" t="n"/>
      <c r="AB1567" s="30">
        <f>IF($B1567="","",(COUNTIF(C1567:E1567,"?*")&lt;N(INDEX(Setup!$L$6:$L$23,10)))+(COUNTIF(G1567:I1567,"?*")&lt;N(INDEX(Setup!$L$6:$L$23,10)))+(COUNTIF(K1567:M1567,"?*")&lt;N(INDEX(Setup!$L$6:$L$23,10)))+(COUNTIF(O1567:Q1567,"?*")&lt;N(INDEX(Setup!$L$6:$L$23,10)))+(COUNTIF(S1567:U1567,"?*")&lt;N(INDEX(Setup!$L$6:$L$23,10)))+((W1567="")*(INDEX(Setup!$M$6:$M$23,10)="Y"))+((Y1567="")*(INDEX(Setup!$M$6:$M$23,10)="Y")))</f>
        <v/>
      </c>
      <c r="AC1567" s="91">
        <f>IF($B1567="","",IF(AB1567=0,"✓ covered","⚠ "&amp;AB1567&amp;IF(AB1567=1," gap"," gaps")))</f>
        <v/>
      </c>
    </row>
    <row r="1568" ht="17" customHeight="1">
      <c r="A1568" t="n">
        <v>32</v>
      </c>
      <c r="B1568" s="24">
        <f>IF(Setup!$K$16="","",Setup!$K$16)</f>
        <v/>
      </c>
      <c r="C1568" s="88" t="n"/>
      <c r="D1568" s="88" t="n"/>
      <c r="E1568" s="88" t="n"/>
      <c r="F1568" s="89" t="n"/>
      <c r="G1568" s="88" t="n"/>
      <c r="H1568" s="88" t="n"/>
      <c r="I1568" s="88" t="n"/>
      <c r="J1568" s="89" t="n"/>
      <c r="K1568" s="88" t="n"/>
      <c r="L1568" s="88" t="n"/>
      <c r="M1568" s="88" t="n"/>
      <c r="N1568" s="89" t="n"/>
      <c r="O1568" s="88" t="n"/>
      <c r="P1568" s="88" t="n"/>
      <c r="Q1568" s="88" t="n"/>
      <c r="R1568" s="89" t="n"/>
      <c r="S1568" s="88" t="n"/>
      <c r="T1568" s="88" t="n"/>
      <c r="U1568" s="88" t="n"/>
      <c r="V1568" s="89" t="n"/>
      <c r="W1568" s="88" t="n"/>
      <c r="X1568" s="89" t="n"/>
      <c r="Y1568" s="88" t="n"/>
      <c r="Z1568" s="89" t="n"/>
      <c r="AB1568" s="25">
        <f>IF($B1568="","",(COUNTIF(C1568:E1568,"?*")&lt;N(INDEX(Setup!$L$6:$L$23,11)))+(COUNTIF(G1568:I1568,"?*")&lt;N(INDEX(Setup!$L$6:$L$23,11)))+(COUNTIF(K1568:M1568,"?*")&lt;N(INDEX(Setup!$L$6:$L$23,11)))+(COUNTIF(O1568:Q1568,"?*")&lt;N(INDEX(Setup!$L$6:$L$23,11)))+(COUNTIF(S1568:U1568,"?*")&lt;N(INDEX(Setup!$L$6:$L$23,11)))+((W1568="")*(INDEX(Setup!$M$6:$M$23,11)="Y"))+((Y1568="")*(INDEX(Setup!$M$6:$M$23,11)="Y")))</f>
        <v/>
      </c>
      <c r="AC1568" s="90">
        <f>IF($B1568="","",IF(AB1568=0,"✓ covered","⚠ "&amp;AB1568&amp;IF(AB1568=1," gap"," gaps")))</f>
        <v/>
      </c>
    </row>
    <row r="1569" ht="17" customHeight="1">
      <c r="A1569" t="n">
        <v>32</v>
      </c>
      <c r="B1569" s="29">
        <f>IF(Setup!$K$17="","",Setup!$K$17)</f>
        <v/>
      </c>
      <c r="C1569" s="88" t="n"/>
      <c r="D1569" s="88" t="n"/>
      <c r="E1569" s="88" t="n"/>
      <c r="F1569" s="89" t="n"/>
      <c r="G1569" s="88" t="n"/>
      <c r="H1569" s="88" t="n"/>
      <c r="I1569" s="88" t="n"/>
      <c r="J1569" s="89" t="n"/>
      <c r="K1569" s="88" t="n"/>
      <c r="L1569" s="88" t="n"/>
      <c r="M1569" s="88" t="n"/>
      <c r="N1569" s="89" t="n"/>
      <c r="O1569" s="88" t="n"/>
      <c r="P1569" s="88" t="n"/>
      <c r="Q1569" s="88" t="n"/>
      <c r="R1569" s="89" t="n"/>
      <c r="S1569" s="88" t="n"/>
      <c r="T1569" s="88" t="n"/>
      <c r="U1569" s="88" t="n"/>
      <c r="V1569" s="89" t="n"/>
      <c r="W1569" s="88" t="n"/>
      <c r="X1569" s="89" t="n"/>
      <c r="Y1569" s="88" t="n"/>
      <c r="Z1569" s="89" t="n"/>
      <c r="AB1569" s="30">
        <f>IF($B1569="","",(COUNTIF(C1569:E1569,"?*")&lt;N(INDEX(Setup!$L$6:$L$23,12)))+(COUNTIF(G1569:I1569,"?*")&lt;N(INDEX(Setup!$L$6:$L$23,12)))+(COUNTIF(K1569:M1569,"?*")&lt;N(INDEX(Setup!$L$6:$L$23,12)))+(COUNTIF(O1569:Q1569,"?*")&lt;N(INDEX(Setup!$L$6:$L$23,12)))+(COUNTIF(S1569:U1569,"?*")&lt;N(INDEX(Setup!$L$6:$L$23,12)))+((W1569="")*(INDEX(Setup!$M$6:$M$23,12)="Y"))+((Y1569="")*(INDEX(Setup!$M$6:$M$23,12)="Y")))</f>
        <v/>
      </c>
      <c r="AC1569" s="91">
        <f>IF($B1569="","",IF(AB1569=0,"✓ covered","⚠ "&amp;AB1569&amp;IF(AB1569=1," gap"," gaps")))</f>
        <v/>
      </c>
    </row>
    <row r="1570" ht="17" customHeight="1">
      <c r="A1570" t="n">
        <v>32</v>
      </c>
      <c r="B1570" s="24">
        <f>IF(Setup!$K$18="","",Setup!$K$18)</f>
        <v/>
      </c>
      <c r="C1570" s="88" t="n"/>
      <c r="D1570" s="88" t="n"/>
      <c r="E1570" s="88" t="n"/>
      <c r="F1570" s="89" t="n"/>
      <c r="G1570" s="88" t="n"/>
      <c r="H1570" s="88" t="n"/>
      <c r="I1570" s="88" t="n"/>
      <c r="J1570" s="89" t="n"/>
      <c r="K1570" s="88" t="n"/>
      <c r="L1570" s="88" t="n"/>
      <c r="M1570" s="88" t="n"/>
      <c r="N1570" s="89" t="n"/>
      <c r="O1570" s="88" t="n"/>
      <c r="P1570" s="88" t="n"/>
      <c r="Q1570" s="88" t="n"/>
      <c r="R1570" s="89" t="n"/>
      <c r="S1570" s="88" t="n"/>
      <c r="T1570" s="88" t="n"/>
      <c r="U1570" s="88" t="n"/>
      <c r="V1570" s="89" t="n"/>
      <c r="W1570" s="88" t="n"/>
      <c r="X1570" s="89" t="n"/>
      <c r="Y1570" s="88" t="n"/>
      <c r="Z1570" s="89" t="n"/>
      <c r="AB1570" s="25">
        <f>IF($B1570="","",(COUNTIF(C1570:E1570,"?*")&lt;N(INDEX(Setup!$L$6:$L$23,13)))+(COUNTIF(G1570:I1570,"?*")&lt;N(INDEX(Setup!$L$6:$L$23,13)))+(COUNTIF(K1570:M1570,"?*")&lt;N(INDEX(Setup!$L$6:$L$23,13)))+(COUNTIF(O1570:Q1570,"?*")&lt;N(INDEX(Setup!$L$6:$L$23,13)))+(COUNTIF(S1570:U1570,"?*")&lt;N(INDEX(Setup!$L$6:$L$23,13)))+((W1570="")*(INDEX(Setup!$M$6:$M$23,13)="Y"))+((Y1570="")*(INDEX(Setup!$M$6:$M$23,13)="Y")))</f>
        <v/>
      </c>
      <c r="AC1570" s="90">
        <f>IF($B1570="","",IF(AB1570=0,"✓ covered","⚠ "&amp;AB1570&amp;IF(AB1570=1," gap"," gaps")))</f>
        <v/>
      </c>
    </row>
    <row r="1571" ht="17" customHeight="1">
      <c r="A1571" t="n">
        <v>32</v>
      </c>
      <c r="B1571" s="29">
        <f>IF(Setup!$K$19="","",Setup!$K$19)</f>
        <v/>
      </c>
      <c r="C1571" s="88" t="n"/>
      <c r="D1571" s="88" t="n"/>
      <c r="E1571" s="88" t="n"/>
      <c r="F1571" s="89" t="n"/>
      <c r="G1571" s="88" t="n"/>
      <c r="H1571" s="88" t="n"/>
      <c r="I1571" s="88" t="n"/>
      <c r="J1571" s="89" t="n"/>
      <c r="K1571" s="88" t="n"/>
      <c r="L1571" s="88" t="n"/>
      <c r="M1571" s="88" t="n"/>
      <c r="N1571" s="89" t="n"/>
      <c r="O1571" s="88" t="n"/>
      <c r="P1571" s="88" t="n"/>
      <c r="Q1571" s="88" t="n"/>
      <c r="R1571" s="89" t="n"/>
      <c r="S1571" s="88" t="n"/>
      <c r="T1571" s="88" t="n"/>
      <c r="U1571" s="88" t="n"/>
      <c r="V1571" s="89" t="n"/>
      <c r="W1571" s="88" t="n"/>
      <c r="X1571" s="89" t="n"/>
      <c r="Y1571" s="88" t="n"/>
      <c r="Z1571" s="89" t="n"/>
      <c r="AB1571" s="30">
        <f>IF($B1571="","",(COUNTIF(C1571:E1571,"?*")&lt;N(INDEX(Setup!$L$6:$L$23,14)))+(COUNTIF(G1571:I1571,"?*")&lt;N(INDEX(Setup!$L$6:$L$23,14)))+(COUNTIF(K1571:M1571,"?*")&lt;N(INDEX(Setup!$L$6:$L$23,14)))+(COUNTIF(O1571:Q1571,"?*")&lt;N(INDEX(Setup!$L$6:$L$23,14)))+(COUNTIF(S1571:U1571,"?*")&lt;N(INDEX(Setup!$L$6:$L$23,14)))+((W1571="")*(INDEX(Setup!$M$6:$M$23,14)="Y"))+((Y1571="")*(INDEX(Setup!$M$6:$M$23,14)="Y")))</f>
        <v/>
      </c>
      <c r="AC1571" s="91">
        <f>IF($B1571="","",IF(AB1571=0,"✓ covered","⚠ "&amp;AB1571&amp;IF(AB1571=1," gap"," gaps")))</f>
        <v/>
      </c>
    </row>
    <row r="1572" ht="17" customHeight="1">
      <c r="A1572" t="n">
        <v>32</v>
      </c>
      <c r="B1572" s="24">
        <f>IF(Setup!$K$20="","",Setup!$K$20)</f>
        <v/>
      </c>
      <c r="C1572" s="88" t="n"/>
      <c r="D1572" s="88" t="n"/>
      <c r="E1572" s="88" t="n"/>
      <c r="F1572" s="89" t="n"/>
      <c r="G1572" s="88" t="n"/>
      <c r="H1572" s="88" t="n"/>
      <c r="I1572" s="88" t="n"/>
      <c r="J1572" s="89" t="n"/>
      <c r="K1572" s="88" t="n"/>
      <c r="L1572" s="88" t="n"/>
      <c r="M1572" s="88" t="n"/>
      <c r="N1572" s="89" t="n"/>
      <c r="O1572" s="88" t="n"/>
      <c r="P1572" s="88" t="n"/>
      <c r="Q1572" s="88" t="n"/>
      <c r="R1572" s="89" t="n"/>
      <c r="S1572" s="88" t="n"/>
      <c r="T1572" s="88" t="n"/>
      <c r="U1572" s="88" t="n"/>
      <c r="V1572" s="89" t="n"/>
      <c r="W1572" s="88" t="n"/>
      <c r="X1572" s="89" t="n"/>
      <c r="Y1572" s="88" t="n"/>
      <c r="Z1572" s="89" t="n"/>
      <c r="AB1572" s="25">
        <f>IF($B1572="","",(COUNTIF(C1572:E1572,"?*")&lt;N(INDEX(Setup!$L$6:$L$23,15)))+(COUNTIF(G1572:I1572,"?*")&lt;N(INDEX(Setup!$L$6:$L$23,15)))+(COUNTIF(K1572:M1572,"?*")&lt;N(INDEX(Setup!$L$6:$L$23,15)))+(COUNTIF(O1572:Q1572,"?*")&lt;N(INDEX(Setup!$L$6:$L$23,15)))+(COUNTIF(S1572:U1572,"?*")&lt;N(INDEX(Setup!$L$6:$L$23,15)))+((W1572="")*(INDEX(Setup!$M$6:$M$23,15)="Y"))+((Y1572="")*(INDEX(Setup!$M$6:$M$23,15)="Y")))</f>
        <v/>
      </c>
      <c r="AC1572" s="90">
        <f>IF($B1572="","",IF(AB1572=0,"✓ covered","⚠ "&amp;AB1572&amp;IF(AB1572=1," gap"," gaps")))</f>
        <v/>
      </c>
    </row>
    <row r="1573" ht="17" customHeight="1">
      <c r="A1573" t="n">
        <v>32</v>
      </c>
      <c r="B1573" s="29">
        <f>IF(Setup!$K$21="","",Setup!$K$21)</f>
        <v/>
      </c>
      <c r="C1573" s="88" t="n"/>
      <c r="D1573" s="88" t="n"/>
      <c r="E1573" s="88" t="n"/>
      <c r="F1573" s="89" t="n"/>
      <c r="G1573" s="88" t="n"/>
      <c r="H1573" s="88" t="n"/>
      <c r="I1573" s="88" t="n"/>
      <c r="J1573" s="89" t="n"/>
      <c r="K1573" s="88" t="n"/>
      <c r="L1573" s="88" t="n"/>
      <c r="M1573" s="88" t="n"/>
      <c r="N1573" s="89" t="n"/>
      <c r="O1573" s="88" t="n"/>
      <c r="P1573" s="88" t="n"/>
      <c r="Q1573" s="88" t="n"/>
      <c r="R1573" s="89" t="n"/>
      <c r="S1573" s="88" t="n"/>
      <c r="T1573" s="88" t="n"/>
      <c r="U1573" s="88" t="n"/>
      <c r="V1573" s="89" t="n"/>
      <c r="W1573" s="88" t="n"/>
      <c r="X1573" s="89" t="n"/>
      <c r="Y1573" s="88" t="n"/>
      <c r="Z1573" s="89" t="n"/>
      <c r="AB1573" s="30">
        <f>IF($B1573="","",(COUNTIF(C1573:E1573,"?*")&lt;N(INDEX(Setup!$L$6:$L$23,16)))+(COUNTIF(G1573:I1573,"?*")&lt;N(INDEX(Setup!$L$6:$L$23,16)))+(COUNTIF(K1573:M1573,"?*")&lt;N(INDEX(Setup!$L$6:$L$23,16)))+(COUNTIF(O1573:Q1573,"?*")&lt;N(INDEX(Setup!$L$6:$L$23,16)))+(COUNTIF(S1573:U1573,"?*")&lt;N(INDEX(Setup!$L$6:$L$23,16)))+((W1573="")*(INDEX(Setup!$M$6:$M$23,16)="Y"))+((Y1573="")*(INDEX(Setup!$M$6:$M$23,16)="Y")))</f>
        <v/>
      </c>
      <c r="AC1573" s="91">
        <f>IF($B1573="","",IF(AB1573=0,"✓ covered","⚠ "&amp;AB1573&amp;IF(AB1573=1," gap"," gaps")))</f>
        <v/>
      </c>
    </row>
    <row r="1574" ht="17" customHeight="1">
      <c r="A1574" t="n">
        <v>32</v>
      </c>
      <c r="B1574" s="24">
        <f>IF(Setup!$K$22="","",Setup!$K$22)</f>
        <v/>
      </c>
      <c r="C1574" s="88" t="n"/>
      <c r="D1574" s="88" t="n"/>
      <c r="E1574" s="88" t="n"/>
      <c r="F1574" s="89" t="n"/>
      <c r="G1574" s="88" t="n"/>
      <c r="H1574" s="88" t="n"/>
      <c r="I1574" s="88" t="n"/>
      <c r="J1574" s="89" t="n"/>
      <c r="K1574" s="88" t="n"/>
      <c r="L1574" s="88" t="n"/>
      <c r="M1574" s="88" t="n"/>
      <c r="N1574" s="89" t="n"/>
      <c r="O1574" s="88" t="n"/>
      <c r="P1574" s="88" t="n"/>
      <c r="Q1574" s="88" t="n"/>
      <c r="R1574" s="89" t="n"/>
      <c r="S1574" s="88" t="n"/>
      <c r="T1574" s="88" t="n"/>
      <c r="U1574" s="88" t="n"/>
      <c r="V1574" s="89" t="n"/>
      <c r="W1574" s="88" t="n"/>
      <c r="X1574" s="89" t="n"/>
      <c r="Y1574" s="88" t="n"/>
      <c r="Z1574" s="89" t="n"/>
      <c r="AB1574" s="25">
        <f>IF($B1574="","",(COUNTIF(C1574:E1574,"?*")&lt;N(INDEX(Setup!$L$6:$L$23,17)))+(COUNTIF(G1574:I1574,"?*")&lt;N(INDEX(Setup!$L$6:$L$23,17)))+(COUNTIF(K1574:M1574,"?*")&lt;N(INDEX(Setup!$L$6:$L$23,17)))+(COUNTIF(O1574:Q1574,"?*")&lt;N(INDEX(Setup!$L$6:$L$23,17)))+(COUNTIF(S1574:U1574,"?*")&lt;N(INDEX(Setup!$L$6:$L$23,17)))+((W1574="")*(INDEX(Setup!$M$6:$M$23,17)="Y"))+((Y1574="")*(INDEX(Setup!$M$6:$M$23,17)="Y")))</f>
        <v/>
      </c>
      <c r="AC1574" s="90">
        <f>IF($B1574="","",IF(AB1574=0,"✓ covered","⚠ "&amp;AB1574&amp;IF(AB1574=1," gap"," gaps")))</f>
        <v/>
      </c>
    </row>
    <row r="1575" ht="17" customHeight="1">
      <c r="A1575" t="n">
        <v>32</v>
      </c>
      <c r="B1575" s="29">
        <f>IF(Setup!$K$23="","",Setup!$K$23)</f>
        <v/>
      </c>
      <c r="C1575" s="88" t="n"/>
      <c r="D1575" s="88" t="n"/>
      <c r="E1575" s="88" t="n"/>
      <c r="F1575" s="89" t="n"/>
      <c r="G1575" s="88" t="n"/>
      <c r="H1575" s="88" t="n"/>
      <c r="I1575" s="88" t="n"/>
      <c r="J1575" s="89" t="n"/>
      <c r="K1575" s="88" t="n"/>
      <c r="L1575" s="88" t="n"/>
      <c r="M1575" s="88" t="n"/>
      <c r="N1575" s="89" t="n"/>
      <c r="O1575" s="88" t="n"/>
      <c r="P1575" s="88" t="n"/>
      <c r="Q1575" s="88" t="n"/>
      <c r="R1575" s="89" t="n"/>
      <c r="S1575" s="88" t="n"/>
      <c r="T1575" s="88" t="n"/>
      <c r="U1575" s="88" t="n"/>
      <c r="V1575" s="89" t="n"/>
      <c r="W1575" s="88" t="n"/>
      <c r="X1575" s="89" t="n"/>
      <c r="Y1575" s="88" t="n"/>
      <c r="Z1575" s="89" t="n"/>
      <c r="AB1575" s="30">
        <f>IF($B1575="","",(COUNTIF(C1575:E1575,"?*")&lt;N(INDEX(Setup!$L$6:$L$23,18)))+(COUNTIF(G1575:I1575,"?*")&lt;N(INDEX(Setup!$L$6:$L$23,18)))+(COUNTIF(K1575:M1575,"?*")&lt;N(INDEX(Setup!$L$6:$L$23,18)))+(COUNTIF(O1575:Q1575,"?*")&lt;N(INDEX(Setup!$L$6:$L$23,18)))+(COUNTIF(S1575:U1575,"?*")&lt;N(INDEX(Setup!$L$6:$L$23,18)))+((W1575="")*(INDEX(Setup!$M$6:$M$23,18)="Y"))+((Y1575="")*(INDEX(Setup!$M$6:$M$23,18)="Y")))</f>
        <v/>
      </c>
      <c r="AC1575" s="91">
        <f>IF($B1575="","",IF(AB1575=0,"✓ covered","⚠ "&amp;AB1575&amp;IF(AB1575=1," gap"," gaps")))</f>
        <v/>
      </c>
    </row>
    <row r="1576" ht="18" customHeight="1">
      <c r="A1576" t="n">
        <v>32</v>
      </c>
      <c r="B1576" s="78" t="inlineStr">
        <is>
          <t>TEAM AVAILABILITY</t>
        </is>
      </c>
      <c r="C1576" s="92" t="inlineStr">
        <is>
          <t>Mon</t>
        </is>
      </c>
      <c r="D1576" s="93" t="n"/>
      <c r="E1576" s="93" t="n"/>
      <c r="F1576" s="94" t="n"/>
      <c r="G1576" s="92" t="inlineStr">
        <is>
          <t>Tue</t>
        </is>
      </c>
      <c r="H1576" s="93" t="n"/>
      <c r="I1576" s="93" t="n"/>
      <c r="J1576" s="94" t="n"/>
      <c r="K1576" s="92" t="inlineStr">
        <is>
          <t>Wed</t>
        </is>
      </c>
      <c r="L1576" s="93" t="n"/>
      <c r="M1576" s="93" t="n"/>
      <c r="N1576" s="94" t="n"/>
      <c r="O1576" s="92" t="inlineStr">
        <is>
          <t>Thu</t>
        </is>
      </c>
      <c r="P1576" s="93" t="n"/>
      <c r="Q1576" s="93" t="n"/>
      <c r="R1576" s="94" t="n"/>
      <c r="S1576" s="92" t="inlineStr">
        <is>
          <t>Fri</t>
        </is>
      </c>
      <c r="T1576" s="93" t="n"/>
      <c r="U1576" s="93" t="n"/>
      <c r="V1576" s="94" t="n"/>
      <c r="W1576" s="95" t="inlineStr">
        <is>
          <t>Sat</t>
        </is>
      </c>
      <c r="X1576" s="96" t="n"/>
      <c r="Y1576" s="95" t="inlineStr">
        <is>
          <t>Sun</t>
        </is>
      </c>
      <c r="Z1576" s="96" t="n"/>
      <c r="AB1576" s="97" t="inlineStr">
        <is>
          <t>Days rostered</t>
        </is>
      </c>
      <c r="AC1576" s="97" t="inlineStr">
        <is>
          <t>Conflicts</t>
        </is>
      </c>
    </row>
    <row r="1577" ht="15" customHeight="1">
      <c r="A1577" t="n">
        <v>32</v>
      </c>
      <c r="B1577" s="35">
        <f>IF(Setup!$B$6="","",Setup!$B$6)</f>
        <v/>
      </c>
      <c r="C1577" s="98" t="n"/>
      <c r="D1577" s="99" t="n"/>
      <c r="E1577" s="99" t="n"/>
      <c r="F1577" s="100" t="n"/>
      <c r="G1577" s="98" t="n"/>
      <c r="H1577" s="99" t="n"/>
      <c r="I1577" s="99" t="n"/>
      <c r="J1577" s="100" t="n"/>
      <c r="K1577" s="98" t="n"/>
      <c r="L1577" s="99" t="n"/>
      <c r="M1577" s="99" t="n"/>
      <c r="N1577" s="100" t="n"/>
      <c r="O1577" s="98" t="n"/>
      <c r="P1577" s="99" t="n"/>
      <c r="Q1577" s="99" t="n"/>
      <c r="R1577" s="100" t="n"/>
      <c r="S1577" s="98" t="n"/>
      <c r="T1577" s="99" t="n"/>
      <c r="U1577" s="99" t="n"/>
      <c r="V1577" s="100" t="n"/>
      <c r="W1577" s="98" t="n"/>
      <c r="X1577" s="100" t="n"/>
      <c r="Y1577" s="98" t="n"/>
      <c r="Z1577" s="100" t="n"/>
      <c r="AB1577" s="101">
        <f>IF($B1577="","",(COUNTIF(C1558:E1575,$B1577)+COUNTIF(C1558:E1575,$B1577&amp;" ~*")&gt;0)+(COUNTIF(G1558:I1575,$B1577)+COUNTIF(G1558:I1575,$B1577&amp;" ~*")&gt;0)+(COUNTIF(K1558:M1575,$B1577)+COUNTIF(K1558:M1575,$B1577&amp;" ~*")&gt;0)+(COUNTIF(O1558:Q1575,$B1577)+COUNTIF(O1558:Q1575,$B1577&amp;" ~*")&gt;0)+(COUNTIF(S1558:U1575,$B1577)+COUNTIF(S1558:U1575,$B1577&amp;" ~*")&gt;0)+(COUNTIF(W1558:W1575,$B1577)+COUNTIF(W1558:W1575,$B1577&amp;" ~*")&gt;0)+(COUNTIF(Y1558:Y1575,$B1577)+COUNTIF(Y1558:Y1575,$B1577&amp;" ~*")&gt;0))</f>
        <v/>
      </c>
      <c r="AC1577" s="36">
        <f>IF($B1577="","",(IFERROR(INDEX(Setup!$G$33:$G$40,MATCH(C1577,Setup!$B$33:$B$40,0)),0)=1)*(COUNTIF(C1558:E1575,$B1577)+COUNTIF(C1558:E1575,$B1577&amp;" ~*")&gt;0)+(IFERROR(INDEX(Setup!$G$33:$G$40,MATCH(G1577,Setup!$B$33:$B$40,0)),0)=1)*(COUNTIF(G1558:I1575,$B1577)+COUNTIF(G1558:I1575,$B1577&amp;" ~*")&gt;0)+(IFERROR(INDEX(Setup!$G$33:$G$40,MATCH(K1577,Setup!$B$33:$B$40,0)),0)=1)*(COUNTIF(K1558:M1575,$B1577)+COUNTIF(K1558:M1575,$B1577&amp;" ~*")&gt;0)+(IFERROR(INDEX(Setup!$G$33:$G$40,MATCH(O1577,Setup!$B$33:$B$40,0)),0)=1)*(COUNTIF(O1558:Q1575,$B1577)+COUNTIF(O1558:Q1575,$B1577&amp;" ~*")&gt;0)+(IFERROR(INDEX(Setup!$G$33:$G$40,MATCH(S1577,Setup!$B$33:$B$40,0)),0)=1)*(COUNTIF(S1558:U1575,$B1577)+COUNTIF(S1558:U1575,$B1577&amp;" ~*")&gt;0)+(IFERROR(INDEX(Setup!$G$33:$G$40,MATCH(W1577,Setup!$B$33:$B$40,0)),0)=1)*(COUNTIF(W1558:W1575,$B1577)+COUNTIF(W1558:W1575,$B1577&amp;" ~*")&gt;0)+(IFERROR(INDEX(Setup!$G$33:$G$40,MATCH(Y1577,Setup!$B$33:$B$40,0)),0)=1)*(COUNTIF(Y1558:Y1575,$B1577)+COUNTIF(Y1558:Y1575,$B1577&amp;" ~*")&gt;0))</f>
        <v/>
      </c>
    </row>
    <row r="1578" ht="15" customHeight="1">
      <c r="A1578" t="n">
        <v>32</v>
      </c>
      <c r="B1578" s="37">
        <f>IF(Setup!$B$7="","",Setup!$B$7)</f>
        <v/>
      </c>
      <c r="C1578" s="102" t="n"/>
      <c r="D1578" s="103" t="n"/>
      <c r="E1578" s="103" t="n"/>
      <c r="F1578" s="104" t="n"/>
      <c r="G1578" s="102" t="n"/>
      <c r="H1578" s="103" t="n"/>
      <c r="I1578" s="103" t="n"/>
      <c r="J1578" s="104" t="n"/>
      <c r="K1578" s="102" t="n"/>
      <c r="L1578" s="103" t="n"/>
      <c r="M1578" s="103" t="n"/>
      <c r="N1578" s="104" t="n"/>
      <c r="O1578" s="102" t="n"/>
      <c r="P1578" s="103" t="n"/>
      <c r="Q1578" s="103" t="n"/>
      <c r="R1578" s="104" t="n"/>
      <c r="S1578" s="102" t="n"/>
      <c r="T1578" s="103" t="n"/>
      <c r="U1578" s="103" t="n"/>
      <c r="V1578" s="104" t="n"/>
      <c r="W1578" s="102" t="n"/>
      <c r="X1578" s="104" t="n"/>
      <c r="Y1578" s="102" t="n"/>
      <c r="Z1578" s="104" t="n"/>
      <c r="AB1578" s="105">
        <f>IF($B1578="","",(COUNTIF(C1558:E1575,$B1578)+COUNTIF(C1558:E1575,$B1578&amp;" ~*")&gt;0)+(COUNTIF(G1558:I1575,$B1578)+COUNTIF(G1558:I1575,$B1578&amp;" ~*")&gt;0)+(COUNTIF(K1558:M1575,$B1578)+COUNTIF(K1558:M1575,$B1578&amp;" ~*")&gt;0)+(COUNTIF(O1558:Q1575,$B1578)+COUNTIF(O1558:Q1575,$B1578&amp;" ~*")&gt;0)+(COUNTIF(S1558:U1575,$B1578)+COUNTIF(S1558:U1575,$B1578&amp;" ~*")&gt;0)+(COUNTIF(W1558:W1575,$B1578)+COUNTIF(W1558:W1575,$B1578&amp;" ~*")&gt;0)+(COUNTIF(Y1558:Y1575,$B1578)+COUNTIF(Y1558:Y1575,$B1578&amp;" ~*")&gt;0))</f>
        <v/>
      </c>
      <c r="AC1578" s="38">
        <f>IF($B1578="","",(IFERROR(INDEX(Setup!$G$33:$G$40,MATCH(C1578,Setup!$B$33:$B$40,0)),0)=1)*(COUNTIF(C1558:E1575,$B1578)+COUNTIF(C1558:E1575,$B1578&amp;" ~*")&gt;0)+(IFERROR(INDEX(Setup!$G$33:$G$40,MATCH(G1578,Setup!$B$33:$B$40,0)),0)=1)*(COUNTIF(G1558:I1575,$B1578)+COUNTIF(G1558:I1575,$B1578&amp;" ~*")&gt;0)+(IFERROR(INDEX(Setup!$G$33:$G$40,MATCH(K1578,Setup!$B$33:$B$40,0)),0)=1)*(COUNTIF(K1558:M1575,$B1578)+COUNTIF(K1558:M1575,$B1578&amp;" ~*")&gt;0)+(IFERROR(INDEX(Setup!$G$33:$G$40,MATCH(O1578,Setup!$B$33:$B$40,0)),0)=1)*(COUNTIF(O1558:Q1575,$B1578)+COUNTIF(O1558:Q1575,$B1578&amp;" ~*")&gt;0)+(IFERROR(INDEX(Setup!$G$33:$G$40,MATCH(S1578,Setup!$B$33:$B$40,0)),0)=1)*(COUNTIF(S1558:U1575,$B1578)+COUNTIF(S1558:U1575,$B1578&amp;" ~*")&gt;0)+(IFERROR(INDEX(Setup!$G$33:$G$40,MATCH(W1578,Setup!$B$33:$B$40,0)),0)=1)*(COUNTIF(W1558:W1575,$B1578)+COUNTIF(W1558:W1575,$B1578&amp;" ~*")&gt;0)+(IFERROR(INDEX(Setup!$G$33:$G$40,MATCH(Y1578,Setup!$B$33:$B$40,0)),0)=1)*(COUNTIF(Y1558:Y1575,$B1578)+COUNTIF(Y1558:Y1575,$B1578&amp;" ~*")&gt;0))</f>
        <v/>
      </c>
    </row>
    <row r="1579" ht="15" customHeight="1">
      <c r="A1579" t="n">
        <v>32</v>
      </c>
      <c r="B1579" s="35">
        <f>IF(Setup!$B$8="","",Setup!$B$8)</f>
        <v/>
      </c>
      <c r="C1579" s="98" t="n"/>
      <c r="D1579" s="99" t="n"/>
      <c r="E1579" s="99" t="n"/>
      <c r="F1579" s="100" t="n"/>
      <c r="G1579" s="98" t="n"/>
      <c r="H1579" s="99" t="n"/>
      <c r="I1579" s="99" t="n"/>
      <c r="J1579" s="100" t="n"/>
      <c r="K1579" s="98" t="n"/>
      <c r="L1579" s="99" t="n"/>
      <c r="M1579" s="99" t="n"/>
      <c r="N1579" s="100" t="n"/>
      <c r="O1579" s="98" t="n"/>
      <c r="P1579" s="99" t="n"/>
      <c r="Q1579" s="99" t="n"/>
      <c r="R1579" s="100" t="n"/>
      <c r="S1579" s="98" t="n"/>
      <c r="T1579" s="99" t="n"/>
      <c r="U1579" s="99" t="n"/>
      <c r="V1579" s="100" t="n"/>
      <c r="W1579" s="98" t="n"/>
      <c r="X1579" s="100" t="n"/>
      <c r="Y1579" s="98" t="n"/>
      <c r="Z1579" s="100" t="n"/>
      <c r="AB1579" s="101">
        <f>IF($B1579="","",(COUNTIF(C1558:E1575,$B1579)+COUNTIF(C1558:E1575,$B1579&amp;" ~*")&gt;0)+(COUNTIF(G1558:I1575,$B1579)+COUNTIF(G1558:I1575,$B1579&amp;" ~*")&gt;0)+(COUNTIF(K1558:M1575,$B1579)+COUNTIF(K1558:M1575,$B1579&amp;" ~*")&gt;0)+(COUNTIF(O1558:Q1575,$B1579)+COUNTIF(O1558:Q1575,$B1579&amp;" ~*")&gt;0)+(COUNTIF(S1558:U1575,$B1579)+COUNTIF(S1558:U1575,$B1579&amp;" ~*")&gt;0)+(COUNTIF(W1558:W1575,$B1579)+COUNTIF(W1558:W1575,$B1579&amp;" ~*")&gt;0)+(COUNTIF(Y1558:Y1575,$B1579)+COUNTIF(Y1558:Y1575,$B1579&amp;" ~*")&gt;0))</f>
        <v/>
      </c>
      <c r="AC1579" s="36">
        <f>IF($B1579="","",(IFERROR(INDEX(Setup!$G$33:$G$40,MATCH(C1579,Setup!$B$33:$B$40,0)),0)=1)*(COUNTIF(C1558:E1575,$B1579)+COUNTIF(C1558:E1575,$B1579&amp;" ~*")&gt;0)+(IFERROR(INDEX(Setup!$G$33:$G$40,MATCH(G1579,Setup!$B$33:$B$40,0)),0)=1)*(COUNTIF(G1558:I1575,$B1579)+COUNTIF(G1558:I1575,$B1579&amp;" ~*")&gt;0)+(IFERROR(INDEX(Setup!$G$33:$G$40,MATCH(K1579,Setup!$B$33:$B$40,0)),0)=1)*(COUNTIF(K1558:M1575,$B1579)+COUNTIF(K1558:M1575,$B1579&amp;" ~*")&gt;0)+(IFERROR(INDEX(Setup!$G$33:$G$40,MATCH(O1579,Setup!$B$33:$B$40,0)),0)=1)*(COUNTIF(O1558:Q1575,$B1579)+COUNTIF(O1558:Q1575,$B1579&amp;" ~*")&gt;0)+(IFERROR(INDEX(Setup!$G$33:$G$40,MATCH(S1579,Setup!$B$33:$B$40,0)),0)=1)*(COUNTIF(S1558:U1575,$B1579)+COUNTIF(S1558:U1575,$B1579&amp;" ~*")&gt;0)+(IFERROR(INDEX(Setup!$G$33:$G$40,MATCH(W1579,Setup!$B$33:$B$40,0)),0)=1)*(COUNTIF(W1558:W1575,$B1579)+COUNTIF(W1558:W1575,$B1579&amp;" ~*")&gt;0)+(IFERROR(INDEX(Setup!$G$33:$G$40,MATCH(Y1579,Setup!$B$33:$B$40,0)),0)=1)*(COUNTIF(Y1558:Y1575,$B1579)+COUNTIF(Y1558:Y1575,$B1579&amp;" ~*")&gt;0))</f>
        <v/>
      </c>
    </row>
    <row r="1580" ht="15" customHeight="1">
      <c r="A1580" t="n">
        <v>32</v>
      </c>
      <c r="B1580" s="37">
        <f>IF(Setup!$B$9="","",Setup!$B$9)</f>
        <v/>
      </c>
      <c r="C1580" s="102" t="n"/>
      <c r="D1580" s="103" t="n"/>
      <c r="E1580" s="103" t="n"/>
      <c r="F1580" s="104" t="n"/>
      <c r="G1580" s="102" t="n"/>
      <c r="H1580" s="103" t="n"/>
      <c r="I1580" s="103" t="n"/>
      <c r="J1580" s="104" t="n"/>
      <c r="K1580" s="102" t="n"/>
      <c r="L1580" s="103" t="n"/>
      <c r="M1580" s="103" t="n"/>
      <c r="N1580" s="104" t="n"/>
      <c r="O1580" s="102" t="n"/>
      <c r="P1580" s="103" t="n"/>
      <c r="Q1580" s="103" t="n"/>
      <c r="R1580" s="104" t="n"/>
      <c r="S1580" s="102" t="n"/>
      <c r="T1580" s="103" t="n"/>
      <c r="U1580" s="103" t="n"/>
      <c r="V1580" s="104" t="n"/>
      <c r="W1580" s="102" t="n"/>
      <c r="X1580" s="104" t="n"/>
      <c r="Y1580" s="102" t="n"/>
      <c r="Z1580" s="104" t="n"/>
      <c r="AB1580" s="105">
        <f>IF($B1580="","",(COUNTIF(C1558:E1575,$B1580)+COUNTIF(C1558:E1575,$B1580&amp;" ~*")&gt;0)+(COUNTIF(G1558:I1575,$B1580)+COUNTIF(G1558:I1575,$B1580&amp;" ~*")&gt;0)+(COUNTIF(K1558:M1575,$B1580)+COUNTIF(K1558:M1575,$B1580&amp;" ~*")&gt;0)+(COUNTIF(O1558:Q1575,$B1580)+COUNTIF(O1558:Q1575,$B1580&amp;" ~*")&gt;0)+(COUNTIF(S1558:U1575,$B1580)+COUNTIF(S1558:U1575,$B1580&amp;" ~*")&gt;0)+(COUNTIF(W1558:W1575,$B1580)+COUNTIF(W1558:W1575,$B1580&amp;" ~*")&gt;0)+(COUNTIF(Y1558:Y1575,$B1580)+COUNTIF(Y1558:Y1575,$B1580&amp;" ~*")&gt;0))</f>
        <v/>
      </c>
      <c r="AC1580" s="38">
        <f>IF($B1580="","",(IFERROR(INDEX(Setup!$G$33:$G$40,MATCH(C1580,Setup!$B$33:$B$40,0)),0)=1)*(COUNTIF(C1558:E1575,$B1580)+COUNTIF(C1558:E1575,$B1580&amp;" ~*")&gt;0)+(IFERROR(INDEX(Setup!$G$33:$G$40,MATCH(G1580,Setup!$B$33:$B$40,0)),0)=1)*(COUNTIF(G1558:I1575,$B1580)+COUNTIF(G1558:I1575,$B1580&amp;" ~*")&gt;0)+(IFERROR(INDEX(Setup!$G$33:$G$40,MATCH(K1580,Setup!$B$33:$B$40,0)),0)=1)*(COUNTIF(K1558:M1575,$B1580)+COUNTIF(K1558:M1575,$B1580&amp;" ~*")&gt;0)+(IFERROR(INDEX(Setup!$G$33:$G$40,MATCH(O1580,Setup!$B$33:$B$40,0)),0)=1)*(COUNTIF(O1558:Q1575,$B1580)+COUNTIF(O1558:Q1575,$B1580&amp;" ~*")&gt;0)+(IFERROR(INDEX(Setup!$G$33:$G$40,MATCH(S1580,Setup!$B$33:$B$40,0)),0)=1)*(COUNTIF(S1558:U1575,$B1580)+COUNTIF(S1558:U1575,$B1580&amp;" ~*")&gt;0)+(IFERROR(INDEX(Setup!$G$33:$G$40,MATCH(W1580,Setup!$B$33:$B$40,0)),0)=1)*(COUNTIF(W1558:W1575,$B1580)+COUNTIF(W1558:W1575,$B1580&amp;" ~*")&gt;0)+(IFERROR(INDEX(Setup!$G$33:$G$40,MATCH(Y1580,Setup!$B$33:$B$40,0)),0)=1)*(COUNTIF(Y1558:Y1575,$B1580)+COUNTIF(Y1558:Y1575,$B1580&amp;" ~*")&gt;0))</f>
        <v/>
      </c>
    </row>
    <row r="1581" ht="15" customHeight="1">
      <c r="A1581" t="n">
        <v>32</v>
      </c>
      <c r="B1581" s="35">
        <f>IF(Setup!$B$10="","",Setup!$B$10)</f>
        <v/>
      </c>
      <c r="C1581" s="98" t="n"/>
      <c r="D1581" s="99" t="n"/>
      <c r="E1581" s="99" t="n"/>
      <c r="F1581" s="100" t="n"/>
      <c r="G1581" s="98" t="n"/>
      <c r="H1581" s="99" t="n"/>
      <c r="I1581" s="99" t="n"/>
      <c r="J1581" s="100" t="n"/>
      <c r="K1581" s="98" t="n"/>
      <c r="L1581" s="99" t="n"/>
      <c r="M1581" s="99" t="n"/>
      <c r="N1581" s="100" t="n"/>
      <c r="O1581" s="98" t="n"/>
      <c r="P1581" s="99" t="n"/>
      <c r="Q1581" s="99" t="n"/>
      <c r="R1581" s="100" t="n"/>
      <c r="S1581" s="98" t="n"/>
      <c r="T1581" s="99" t="n"/>
      <c r="U1581" s="99" t="n"/>
      <c r="V1581" s="100" t="n"/>
      <c r="W1581" s="98" t="n"/>
      <c r="X1581" s="100" t="n"/>
      <c r="Y1581" s="98" t="n"/>
      <c r="Z1581" s="100" t="n"/>
      <c r="AB1581" s="101">
        <f>IF($B1581="","",(COUNTIF(C1558:E1575,$B1581)+COUNTIF(C1558:E1575,$B1581&amp;" ~*")&gt;0)+(COUNTIF(G1558:I1575,$B1581)+COUNTIF(G1558:I1575,$B1581&amp;" ~*")&gt;0)+(COUNTIF(K1558:M1575,$B1581)+COUNTIF(K1558:M1575,$B1581&amp;" ~*")&gt;0)+(COUNTIF(O1558:Q1575,$B1581)+COUNTIF(O1558:Q1575,$B1581&amp;" ~*")&gt;0)+(COUNTIF(S1558:U1575,$B1581)+COUNTIF(S1558:U1575,$B1581&amp;" ~*")&gt;0)+(COUNTIF(W1558:W1575,$B1581)+COUNTIF(W1558:W1575,$B1581&amp;" ~*")&gt;0)+(COUNTIF(Y1558:Y1575,$B1581)+COUNTIF(Y1558:Y1575,$B1581&amp;" ~*")&gt;0))</f>
        <v/>
      </c>
      <c r="AC1581" s="36">
        <f>IF($B1581="","",(IFERROR(INDEX(Setup!$G$33:$G$40,MATCH(C1581,Setup!$B$33:$B$40,0)),0)=1)*(COUNTIF(C1558:E1575,$B1581)+COUNTIF(C1558:E1575,$B1581&amp;" ~*")&gt;0)+(IFERROR(INDEX(Setup!$G$33:$G$40,MATCH(G1581,Setup!$B$33:$B$40,0)),0)=1)*(COUNTIF(G1558:I1575,$B1581)+COUNTIF(G1558:I1575,$B1581&amp;" ~*")&gt;0)+(IFERROR(INDEX(Setup!$G$33:$G$40,MATCH(K1581,Setup!$B$33:$B$40,0)),0)=1)*(COUNTIF(K1558:M1575,$B1581)+COUNTIF(K1558:M1575,$B1581&amp;" ~*")&gt;0)+(IFERROR(INDEX(Setup!$G$33:$G$40,MATCH(O1581,Setup!$B$33:$B$40,0)),0)=1)*(COUNTIF(O1558:Q1575,$B1581)+COUNTIF(O1558:Q1575,$B1581&amp;" ~*")&gt;0)+(IFERROR(INDEX(Setup!$G$33:$G$40,MATCH(S1581,Setup!$B$33:$B$40,0)),0)=1)*(COUNTIF(S1558:U1575,$B1581)+COUNTIF(S1558:U1575,$B1581&amp;" ~*")&gt;0)+(IFERROR(INDEX(Setup!$G$33:$G$40,MATCH(W1581,Setup!$B$33:$B$40,0)),0)=1)*(COUNTIF(W1558:W1575,$B1581)+COUNTIF(W1558:W1575,$B1581&amp;" ~*")&gt;0)+(IFERROR(INDEX(Setup!$G$33:$G$40,MATCH(Y1581,Setup!$B$33:$B$40,0)),0)=1)*(COUNTIF(Y1558:Y1575,$B1581)+COUNTIF(Y1558:Y1575,$B1581&amp;" ~*")&gt;0))</f>
        <v/>
      </c>
    </row>
    <row r="1582" ht="15" customHeight="1">
      <c r="A1582" t="n">
        <v>32</v>
      </c>
      <c r="B1582" s="37">
        <f>IF(Setup!$B$11="","",Setup!$B$11)</f>
        <v/>
      </c>
      <c r="C1582" s="102" t="n"/>
      <c r="D1582" s="103" t="n"/>
      <c r="E1582" s="103" t="n"/>
      <c r="F1582" s="104" t="n"/>
      <c r="G1582" s="102" t="n"/>
      <c r="H1582" s="103" t="n"/>
      <c r="I1582" s="103" t="n"/>
      <c r="J1582" s="104" t="n"/>
      <c r="K1582" s="102" t="n"/>
      <c r="L1582" s="103" t="n"/>
      <c r="M1582" s="103" t="n"/>
      <c r="N1582" s="104" t="n"/>
      <c r="O1582" s="102" t="n"/>
      <c r="P1582" s="103" t="n"/>
      <c r="Q1582" s="103" t="n"/>
      <c r="R1582" s="104" t="n"/>
      <c r="S1582" s="102" t="n"/>
      <c r="T1582" s="103" t="n"/>
      <c r="U1582" s="103" t="n"/>
      <c r="V1582" s="104" t="n"/>
      <c r="W1582" s="102" t="n"/>
      <c r="X1582" s="104" t="n"/>
      <c r="Y1582" s="102" t="n"/>
      <c r="Z1582" s="104" t="n"/>
      <c r="AB1582" s="105">
        <f>IF($B1582="","",(COUNTIF(C1558:E1575,$B1582)+COUNTIF(C1558:E1575,$B1582&amp;" ~*")&gt;0)+(COUNTIF(G1558:I1575,$B1582)+COUNTIF(G1558:I1575,$B1582&amp;" ~*")&gt;0)+(COUNTIF(K1558:M1575,$B1582)+COUNTIF(K1558:M1575,$B1582&amp;" ~*")&gt;0)+(COUNTIF(O1558:Q1575,$B1582)+COUNTIF(O1558:Q1575,$B1582&amp;" ~*")&gt;0)+(COUNTIF(S1558:U1575,$B1582)+COUNTIF(S1558:U1575,$B1582&amp;" ~*")&gt;0)+(COUNTIF(W1558:W1575,$B1582)+COUNTIF(W1558:W1575,$B1582&amp;" ~*")&gt;0)+(COUNTIF(Y1558:Y1575,$B1582)+COUNTIF(Y1558:Y1575,$B1582&amp;" ~*")&gt;0))</f>
        <v/>
      </c>
      <c r="AC1582" s="38">
        <f>IF($B1582="","",(IFERROR(INDEX(Setup!$G$33:$G$40,MATCH(C1582,Setup!$B$33:$B$40,0)),0)=1)*(COUNTIF(C1558:E1575,$B1582)+COUNTIF(C1558:E1575,$B1582&amp;" ~*")&gt;0)+(IFERROR(INDEX(Setup!$G$33:$G$40,MATCH(G1582,Setup!$B$33:$B$40,0)),0)=1)*(COUNTIF(G1558:I1575,$B1582)+COUNTIF(G1558:I1575,$B1582&amp;" ~*")&gt;0)+(IFERROR(INDEX(Setup!$G$33:$G$40,MATCH(K1582,Setup!$B$33:$B$40,0)),0)=1)*(COUNTIF(K1558:M1575,$B1582)+COUNTIF(K1558:M1575,$B1582&amp;" ~*")&gt;0)+(IFERROR(INDEX(Setup!$G$33:$G$40,MATCH(O1582,Setup!$B$33:$B$40,0)),0)=1)*(COUNTIF(O1558:Q1575,$B1582)+COUNTIF(O1558:Q1575,$B1582&amp;" ~*")&gt;0)+(IFERROR(INDEX(Setup!$G$33:$G$40,MATCH(S1582,Setup!$B$33:$B$40,0)),0)=1)*(COUNTIF(S1558:U1575,$B1582)+COUNTIF(S1558:U1575,$B1582&amp;" ~*")&gt;0)+(IFERROR(INDEX(Setup!$G$33:$G$40,MATCH(W1582,Setup!$B$33:$B$40,0)),0)=1)*(COUNTIF(W1558:W1575,$B1582)+COUNTIF(W1558:W1575,$B1582&amp;" ~*")&gt;0)+(IFERROR(INDEX(Setup!$G$33:$G$40,MATCH(Y1582,Setup!$B$33:$B$40,0)),0)=1)*(COUNTIF(Y1558:Y1575,$B1582)+COUNTIF(Y1558:Y1575,$B1582&amp;" ~*")&gt;0))</f>
        <v/>
      </c>
    </row>
    <row r="1583" ht="15" customHeight="1">
      <c r="A1583" t="n">
        <v>32</v>
      </c>
      <c r="B1583" s="35">
        <f>IF(Setup!$B$12="","",Setup!$B$12)</f>
        <v/>
      </c>
      <c r="C1583" s="98" t="n"/>
      <c r="D1583" s="99" t="n"/>
      <c r="E1583" s="99" t="n"/>
      <c r="F1583" s="100" t="n"/>
      <c r="G1583" s="98" t="n"/>
      <c r="H1583" s="99" t="n"/>
      <c r="I1583" s="99" t="n"/>
      <c r="J1583" s="100" t="n"/>
      <c r="K1583" s="98" t="n"/>
      <c r="L1583" s="99" t="n"/>
      <c r="M1583" s="99" t="n"/>
      <c r="N1583" s="100" t="n"/>
      <c r="O1583" s="98" t="n"/>
      <c r="P1583" s="99" t="n"/>
      <c r="Q1583" s="99" t="n"/>
      <c r="R1583" s="100" t="n"/>
      <c r="S1583" s="98" t="n"/>
      <c r="T1583" s="99" t="n"/>
      <c r="U1583" s="99" t="n"/>
      <c r="V1583" s="100" t="n"/>
      <c r="W1583" s="98" t="n"/>
      <c r="X1583" s="100" t="n"/>
      <c r="Y1583" s="98" t="n"/>
      <c r="Z1583" s="100" t="n"/>
      <c r="AB1583" s="101">
        <f>IF($B1583="","",(COUNTIF(C1558:E1575,$B1583)+COUNTIF(C1558:E1575,$B1583&amp;" ~*")&gt;0)+(COUNTIF(G1558:I1575,$B1583)+COUNTIF(G1558:I1575,$B1583&amp;" ~*")&gt;0)+(COUNTIF(K1558:M1575,$B1583)+COUNTIF(K1558:M1575,$B1583&amp;" ~*")&gt;0)+(COUNTIF(O1558:Q1575,$B1583)+COUNTIF(O1558:Q1575,$B1583&amp;" ~*")&gt;0)+(COUNTIF(S1558:U1575,$B1583)+COUNTIF(S1558:U1575,$B1583&amp;" ~*")&gt;0)+(COUNTIF(W1558:W1575,$B1583)+COUNTIF(W1558:W1575,$B1583&amp;" ~*")&gt;0)+(COUNTIF(Y1558:Y1575,$B1583)+COUNTIF(Y1558:Y1575,$B1583&amp;" ~*")&gt;0))</f>
        <v/>
      </c>
      <c r="AC1583" s="36">
        <f>IF($B1583="","",(IFERROR(INDEX(Setup!$G$33:$G$40,MATCH(C1583,Setup!$B$33:$B$40,0)),0)=1)*(COUNTIF(C1558:E1575,$B1583)+COUNTIF(C1558:E1575,$B1583&amp;" ~*")&gt;0)+(IFERROR(INDEX(Setup!$G$33:$G$40,MATCH(G1583,Setup!$B$33:$B$40,0)),0)=1)*(COUNTIF(G1558:I1575,$B1583)+COUNTIF(G1558:I1575,$B1583&amp;" ~*")&gt;0)+(IFERROR(INDEX(Setup!$G$33:$G$40,MATCH(K1583,Setup!$B$33:$B$40,0)),0)=1)*(COUNTIF(K1558:M1575,$B1583)+COUNTIF(K1558:M1575,$B1583&amp;" ~*")&gt;0)+(IFERROR(INDEX(Setup!$G$33:$G$40,MATCH(O1583,Setup!$B$33:$B$40,0)),0)=1)*(COUNTIF(O1558:Q1575,$B1583)+COUNTIF(O1558:Q1575,$B1583&amp;" ~*")&gt;0)+(IFERROR(INDEX(Setup!$G$33:$G$40,MATCH(S1583,Setup!$B$33:$B$40,0)),0)=1)*(COUNTIF(S1558:U1575,$B1583)+COUNTIF(S1558:U1575,$B1583&amp;" ~*")&gt;0)+(IFERROR(INDEX(Setup!$G$33:$G$40,MATCH(W1583,Setup!$B$33:$B$40,0)),0)=1)*(COUNTIF(W1558:W1575,$B1583)+COUNTIF(W1558:W1575,$B1583&amp;" ~*")&gt;0)+(IFERROR(INDEX(Setup!$G$33:$G$40,MATCH(Y1583,Setup!$B$33:$B$40,0)),0)=1)*(COUNTIF(Y1558:Y1575,$B1583)+COUNTIF(Y1558:Y1575,$B1583&amp;" ~*")&gt;0))</f>
        <v/>
      </c>
    </row>
    <row r="1584" ht="15" customHeight="1">
      <c r="A1584" t="n">
        <v>32</v>
      </c>
      <c r="B1584" s="37">
        <f>IF(Setup!$B$13="","",Setup!$B$13)</f>
        <v/>
      </c>
      <c r="C1584" s="102" t="n"/>
      <c r="D1584" s="103" t="n"/>
      <c r="E1584" s="103" t="n"/>
      <c r="F1584" s="104" t="n"/>
      <c r="G1584" s="102" t="n"/>
      <c r="H1584" s="103" t="n"/>
      <c r="I1584" s="103" t="n"/>
      <c r="J1584" s="104" t="n"/>
      <c r="K1584" s="102" t="n"/>
      <c r="L1584" s="103" t="n"/>
      <c r="M1584" s="103" t="n"/>
      <c r="N1584" s="104" t="n"/>
      <c r="O1584" s="102" t="n"/>
      <c r="P1584" s="103" t="n"/>
      <c r="Q1584" s="103" t="n"/>
      <c r="R1584" s="104" t="n"/>
      <c r="S1584" s="102" t="n"/>
      <c r="T1584" s="103" t="n"/>
      <c r="U1584" s="103" t="n"/>
      <c r="V1584" s="104" t="n"/>
      <c r="W1584" s="102" t="n"/>
      <c r="X1584" s="104" t="n"/>
      <c r="Y1584" s="102" t="n"/>
      <c r="Z1584" s="104" t="n"/>
      <c r="AB1584" s="105">
        <f>IF($B1584="","",(COUNTIF(C1558:E1575,$B1584)+COUNTIF(C1558:E1575,$B1584&amp;" ~*")&gt;0)+(COUNTIF(G1558:I1575,$B1584)+COUNTIF(G1558:I1575,$B1584&amp;" ~*")&gt;0)+(COUNTIF(K1558:M1575,$B1584)+COUNTIF(K1558:M1575,$B1584&amp;" ~*")&gt;0)+(COUNTIF(O1558:Q1575,$B1584)+COUNTIF(O1558:Q1575,$B1584&amp;" ~*")&gt;0)+(COUNTIF(S1558:U1575,$B1584)+COUNTIF(S1558:U1575,$B1584&amp;" ~*")&gt;0)+(COUNTIF(W1558:W1575,$B1584)+COUNTIF(W1558:W1575,$B1584&amp;" ~*")&gt;0)+(COUNTIF(Y1558:Y1575,$B1584)+COUNTIF(Y1558:Y1575,$B1584&amp;" ~*")&gt;0))</f>
        <v/>
      </c>
      <c r="AC1584" s="38">
        <f>IF($B1584="","",(IFERROR(INDEX(Setup!$G$33:$G$40,MATCH(C1584,Setup!$B$33:$B$40,0)),0)=1)*(COUNTIF(C1558:E1575,$B1584)+COUNTIF(C1558:E1575,$B1584&amp;" ~*")&gt;0)+(IFERROR(INDEX(Setup!$G$33:$G$40,MATCH(G1584,Setup!$B$33:$B$40,0)),0)=1)*(COUNTIF(G1558:I1575,$B1584)+COUNTIF(G1558:I1575,$B1584&amp;" ~*")&gt;0)+(IFERROR(INDEX(Setup!$G$33:$G$40,MATCH(K1584,Setup!$B$33:$B$40,0)),0)=1)*(COUNTIF(K1558:M1575,$B1584)+COUNTIF(K1558:M1575,$B1584&amp;" ~*")&gt;0)+(IFERROR(INDEX(Setup!$G$33:$G$40,MATCH(O1584,Setup!$B$33:$B$40,0)),0)=1)*(COUNTIF(O1558:Q1575,$B1584)+COUNTIF(O1558:Q1575,$B1584&amp;" ~*")&gt;0)+(IFERROR(INDEX(Setup!$G$33:$G$40,MATCH(S1584,Setup!$B$33:$B$40,0)),0)=1)*(COUNTIF(S1558:U1575,$B1584)+COUNTIF(S1558:U1575,$B1584&amp;" ~*")&gt;0)+(IFERROR(INDEX(Setup!$G$33:$G$40,MATCH(W1584,Setup!$B$33:$B$40,0)),0)=1)*(COUNTIF(W1558:W1575,$B1584)+COUNTIF(W1558:W1575,$B1584&amp;" ~*")&gt;0)+(IFERROR(INDEX(Setup!$G$33:$G$40,MATCH(Y1584,Setup!$B$33:$B$40,0)),0)=1)*(COUNTIF(Y1558:Y1575,$B1584)+COUNTIF(Y1558:Y1575,$B1584&amp;" ~*")&gt;0))</f>
        <v/>
      </c>
    </row>
    <row r="1585" ht="15" customHeight="1">
      <c r="A1585" t="n">
        <v>32</v>
      </c>
      <c r="B1585" s="35">
        <f>IF(Setup!$B$14="","",Setup!$B$14)</f>
        <v/>
      </c>
      <c r="C1585" s="98" t="n"/>
      <c r="D1585" s="99" t="n"/>
      <c r="E1585" s="99" t="n"/>
      <c r="F1585" s="100" t="n"/>
      <c r="G1585" s="98" t="n"/>
      <c r="H1585" s="99" t="n"/>
      <c r="I1585" s="99" t="n"/>
      <c r="J1585" s="100" t="n"/>
      <c r="K1585" s="98" t="n"/>
      <c r="L1585" s="99" t="n"/>
      <c r="M1585" s="99" t="n"/>
      <c r="N1585" s="100" t="n"/>
      <c r="O1585" s="98" t="n"/>
      <c r="P1585" s="99" t="n"/>
      <c r="Q1585" s="99" t="n"/>
      <c r="R1585" s="100" t="n"/>
      <c r="S1585" s="98" t="n"/>
      <c r="T1585" s="99" t="n"/>
      <c r="U1585" s="99" t="n"/>
      <c r="V1585" s="100" t="n"/>
      <c r="W1585" s="98" t="n"/>
      <c r="X1585" s="100" t="n"/>
      <c r="Y1585" s="98" t="n"/>
      <c r="Z1585" s="100" t="n"/>
      <c r="AB1585" s="101">
        <f>IF($B1585="","",(COUNTIF(C1558:E1575,$B1585)+COUNTIF(C1558:E1575,$B1585&amp;" ~*")&gt;0)+(COUNTIF(G1558:I1575,$B1585)+COUNTIF(G1558:I1575,$B1585&amp;" ~*")&gt;0)+(COUNTIF(K1558:M1575,$B1585)+COUNTIF(K1558:M1575,$B1585&amp;" ~*")&gt;0)+(COUNTIF(O1558:Q1575,$B1585)+COUNTIF(O1558:Q1575,$B1585&amp;" ~*")&gt;0)+(COUNTIF(S1558:U1575,$B1585)+COUNTIF(S1558:U1575,$B1585&amp;" ~*")&gt;0)+(COUNTIF(W1558:W1575,$B1585)+COUNTIF(W1558:W1575,$B1585&amp;" ~*")&gt;0)+(COUNTIF(Y1558:Y1575,$B1585)+COUNTIF(Y1558:Y1575,$B1585&amp;" ~*")&gt;0))</f>
        <v/>
      </c>
      <c r="AC1585" s="36">
        <f>IF($B1585="","",(IFERROR(INDEX(Setup!$G$33:$G$40,MATCH(C1585,Setup!$B$33:$B$40,0)),0)=1)*(COUNTIF(C1558:E1575,$B1585)+COUNTIF(C1558:E1575,$B1585&amp;" ~*")&gt;0)+(IFERROR(INDEX(Setup!$G$33:$G$40,MATCH(G1585,Setup!$B$33:$B$40,0)),0)=1)*(COUNTIF(G1558:I1575,$B1585)+COUNTIF(G1558:I1575,$B1585&amp;" ~*")&gt;0)+(IFERROR(INDEX(Setup!$G$33:$G$40,MATCH(K1585,Setup!$B$33:$B$40,0)),0)=1)*(COUNTIF(K1558:M1575,$B1585)+COUNTIF(K1558:M1575,$B1585&amp;" ~*")&gt;0)+(IFERROR(INDEX(Setup!$G$33:$G$40,MATCH(O1585,Setup!$B$33:$B$40,0)),0)=1)*(COUNTIF(O1558:Q1575,$B1585)+COUNTIF(O1558:Q1575,$B1585&amp;" ~*")&gt;0)+(IFERROR(INDEX(Setup!$G$33:$G$40,MATCH(S1585,Setup!$B$33:$B$40,0)),0)=1)*(COUNTIF(S1558:U1575,$B1585)+COUNTIF(S1558:U1575,$B1585&amp;" ~*")&gt;0)+(IFERROR(INDEX(Setup!$G$33:$G$40,MATCH(W1585,Setup!$B$33:$B$40,0)),0)=1)*(COUNTIF(W1558:W1575,$B1585)+COUNTIF(W1558:W1575,$B1585&amp;" ~*")&gt;0)+(IFERROR(INDEX(Setup!$G$33:$G$40,MATCH(Y1585,Setup!$B$33:$B$40,0)),0)=1)*(COUNTIF(Y1558:Y1575,$B1585)+COUNTIF(Y1558:Y1575,$B1585&amp;" ~*")&gt;0))</f>
        <v/>
      </c>
    </row>
    <row r="1586" ht="15" customHeight="1">
      <c r="A1586" t="n">
        <v>32</v>
      </c>
      <c r="B1586" s="37">
        <f>IF(Setup!$B$15="","",Setup!$B$15)</f>
        <v/>
      </c>
      <c r="C1586" s="102" t="n"/>
      <c r="D1586" s="103" t="n"/>
      <c r="E1586" s="103" t="n"/>
      <c r="F1586" s="104" t="n"/>
      <c r="G1586" s="102" t="n"/>
      <c r="H1586" s="103" t="n"/>
      <c r="I1586" s="103" t="n"/>
      <c r="J1586" s="104" t="n"/>
      <c r="K1586" s="102" t="n"/>
      <c r="L1586" s="103" t="n"/>
      <c r="M1586" s="103" t="n"/>
      <c r="N1586" s="104" t="n"/>
      <c r="O1586" s="102" t="n"/>
      <c r="P1586" s="103" t="n"/>
      <c r="Q1586" s="103" t="n"/>
      <c r="R1586" s="104" t="n"/>
      <c r="S1586" s="102" t="n"/>
      <c r="T1586" s="103" t="n"/>
      <c r="U1586" s="103" t="n"/>
      <c r="V1586" s="104" t="n"/>
      <c r="W1586" s="102" t="n"/>
      <c r="X1586" s="104" t="n"/>
      <c r="Y1586" s="102" t="n"/>
      <c r="Z1586" s="104" t="n"/>
      <c r="AB1586" s="105">
        <f>IF($B1586="","",(COUNTIF(C1558:E1575,$B1586)+COUNTIF(C1558:E1575,$B1586&amp;" ~*")&gt;0)+(COUNTIF(G1558:I1575,$B1586)+COUNTIF(G1558:I1575,$B1586&amp;" ~*")&gt;0)+(COUNTIF(K1558:M1575,$B1586)+COUNTIF(K1558:M1575,$B1586&amp;" ~*")&gt;0)+(COUNTIF(O1558:Q1575,$B1586)+COUNTIF(O1558:Q1575,$B1586&amp;" ~*")&gt;0)+(COUNTIF(S1558:U1575,$B1586)+COUNTIF(S1558:U1575,$B1586&amp;" ~*")&gt;0)+(COUNTIF(W1558:W1575,$B1586)+COUNTIF(W1558:W1575,$B1586&amp;" ~*")&gt;0)+(COUNTIF(Y1558:Y1575,$B1586)+COUNTIF(Y1558:Y1575,$B1586&amp;" ~*")&gt;0))</f>
        <v/>
      </c>
      <c r="AC1586" s="38">
        <f>IF($B1586="","",(IFERROR(INDEX(Setup!$G$33:$G$40,MATCH(C1586,Setup!$B$33:$B$40,0)),0)=1)*(COUNTIF(C1558:E1575,$B1586)+COUNTIF(C1558:E1575,$B1586&amp;" ~*")&gt;0)+(IFERROR(INDEX(Setup!$G$33:$G$40,MATCH(G1586,Setup!$B$33:$B$40,0)),0)=1)*(COUNTIF(G1558:I1575,$B1586)+COUNTIF(G1558:I1575,$B1586&amp;" ~*")&gt;0)+(IFERROR(INDEX(Setup!$G$33:$G$40,MATCH(K1586,Setup!$B$33:$B$40,0)),0)=1)*(COUNTIF(K1558:M1575,$B1586)+COUNTIF(K1558:M1575,$B1586&amp;" ~*")&gt;0)+(IFERROR(INDEX(Setup!$G$33:$G$40,MATCH(O1586,Setup!$B$33:$B$40,0)),0)=1)*(COUNTIF(O1558:Q1575,$B1586)+COUNTIF(O1558:Q1575,$B1586&amp;" ~*")&gt;0)+(IFERROR(INDEX(Setup!$G$33:$G$40,MATCH(S1586,Setup!$B$33:$B$40,0)),0)=1)*(COUNTIF(S1558:U1575,$B1586)+COUNTIF(S1558:U1575,$B1586&amp;" ~*")&gt;0)+(IFERROR(INDEX(Setup!$G$33:$G$40,MATCH(W1586,Setup!$B$33:$B$40,0)),0)=1)*(COUNTIF(W1558:W1575,$B1586)+COUNTIF(W1558:W1575,$B1586&amp;" ~*")&gt;0)+(IFERROR(INDEX(Setup!$G$33:$G$40,MATCH(Y1586,Setup!$B$33:$B$40,0)),0)=1)*(COUNTIF(Y1558:Y1575,$B1586)+COUNTIF(Y1558:Y1575,$B1586&amp;" ~*")&gt;0))</f>
        <v/>
      </c>
    </row>
    <row r="1587" ht="15" customHeight="1">
      <c r="A1587" t="n">
        <v>32</v>
      </c>
      <c r="B1587" s="35">
        <f>IF(Setup!$B$16="","",Setup!$B$16)</f>
        <v/>
      </c>
      <c r="C1587" s="98" t="n"/>
      <c r="D1587" s="99" t="n"/>
      <c r="E1587" s="99" t="n"/>
      <c r="F1587" s="100" t="n"/>
      <c r="G1587" s="98" t="n"/>
      <c r="H1587" s="99" t="n"/>
      <c r="I1587" s="99" t="n"/>
      <c r="J1587" s="100" t="n"/>
      <c r="K1587" s="98" t="n"/>
      <c r="L1587" s="99" t="n"/>
      <c r="M1587" s="99" t="n"/>
      <c r="N1587" s="100" t="n"/>
      <c r="O1587" s="98" t="n"/>
      <c r="P1587" s="99" t="n"/>
      <c r="Q1587" s="99" t="n"/>
      <c r="R1587" s="100" t="n"/>
      <c r="S1587" s="98" t="n"/>
      <c r="T1587" s="99" t="n"/>
      <c r="U1587" s="99" t="n"/>
      <c r="V1587" s="100" t="n"/>
      <c r="W1587" s="98" t="n"/>
      <c r="X1587" s="100" t="n"/>
      <c r="Y1587" s="98" t="n"/>
      <c r="Z1587" s="100" t="n"/>
      <c r="AB1587" s="101">
        <f>IF($B1587="","",(COUNTIF(C1558:E1575,$B1587)+COUNTIF(C1558:E1575,$B1587&amp;" ~*")&gt;0)+(COUNTIF(G1558:I1575,$B1587)+COUNTIF(G1558:I1575,$B1587&amp;" ~*")&gt;0)+(COUNTIF(K1558:M1575,$B1587)+COUNTIF(K1558:M1575,$B1587&amp;" ~*")&gt;0)+(COUNTIF(O1558:Q1575,$B1587)+COUNTIF(O1558:Q1575,$B1587&amp;" ~*")&gt;0)+(COUNTIF(S1558:U1575,$B1587)+COUNTIF(S1558:U1575,$B1587&amp;" ~*")&gt;0)+(COUNTIF(W1558:W1575,$B1587)+COUNTIF(W1558:W1575,$B1587&amp;" ~*")&gt;0)+(COUNTIF(Y1558:Y1575,$B1587)+COUNTIF(Y1558:Y1575,$B1587&amp;" ~*")&gt;0))</f>
        <v/>
      </c>
      <c r="AC1587" s="36">
        <f>IF($B1587="","",(IFERROR(INDEX(Setup!$G$33:$G$40,MATCH(C1587,Setup!$B$33:$B$40,0)),0)=1)*(COUNTIF(C1558:E1575,$B1587)+COUNTIF(C1558:E1575,$B1587&amp;" ~*")&gt;0)+(IFERROR(INDEX(Setup!$G$33:$G$40,MATCH(G1587,Setup!$B$33:$B$40,0)),0)=1)*(COUNTIF(G1558:I1575,$B1587)+COUNTIF(G1558:I1575,$B1587&amp;" ~*")&gt;0)+(IFERROR(INDEX(Setup!$G$33:$G$40,MATCH(K1587,Setup!$B$33:$B$40,0)),0)=1)*(COUNTIF(K1558:M1575,$B1587)+COUNTIF(K1558:M1575,$B1587&amp;" ~*")&gt;0)+(IFERROR(INDEX(Setup!$G$33:$G$40,MATCH(O1587,Setup!$B$33:$B$40,0)),0)=1)*(COUNTIF(O1558:Q1575,$B1587)+COUNTIF(O1558:Q1575,$B1587&amp;" ~*")&gt;0)+(IFERROR(INDEX(Setup!$G$33:$G$40,MATCH(S1587,Setup!$B$33:$B$40,0)),0)=1)*(COUNTIF(S1558:U1575,$B1587)+COUNTIF(S1558:U1575,$B1587&amp;" ~*")&gt;0)+(IFERROR(INDEX(Setup!$G$33:$G$40,MATCH(W1587,Setup!$B$33:$B$40,0)),0)=1)*(COUNTIF(W1558:W1575,$B1587)+COUNTIF(W1558:W1575,$B1587&amp;" ~*")&gt;0)+(IFERROR(INDEX(Setup!$G$33:$G$40,MATCH(Y1587,Setup!$B$33:$B$40,0)),0)=1)*(COUNTIF(Y1558:Y1575,$B1587)+COUNTIF(Y1558:Y1575,$B1587&amp;" ~*")&gt;0))</f>
        <v/>
      </c>
    </row>
    <row r="1588" ht="15" customHeight="1">
      <c r="A1588" t="n">
        <v>32</v>
      </c>
      <c r="B1588" s="37">
        <f>IF(Setup!$B$17="","",Setup!$B$17)</f>
        <v/>
      </c>
      <c r="C1588" s="102" t="n"/>
      <c r="D1588" s="103" t="n"/>
      <c r="E1588" s="103" t="n"/>
      <c r="F1588" s="104" t="n"/>
      <c r="G1588" s="102" t="n"/>
      <c r="H1588" s="103" t="n"/>
      <c r="I1588" s="103" t="n"/>
      <c r="J1588" s="104" t="n"/>
      <c r="K1588" s="102" t="n"/>
      <c r="L1588" s="103" t="n"/>
      <c r="M1588" s="103" t="n"/>
      <c r="N1588" s="104" t="n"/>
      <c r="O1588" s="102" t="n"/>
      <c r="P1588" s="103" t="n"/>
      <c r="Q1588" s="103" t="n"/>
      <c r="R1588" s="104" t="n"/>
      <c r="S1588" s="102" t="n"/>
      <c r="T1588" s="103" t="n"/>
      <c r="U1588" s="103" t="n"/>
      <c r="V1588" s="104" t="n"/>
      <c r="W1588" s="102" t="n"/>
      <c r="X1588" s="104" t="n"/>
      <c r="Y1588" s="102" t="n"/>
      <c r="Z1588" s="104" t="n"/>
      <c r="AB1588" s="105">
        <f>IF($B1588="","",(COUNTIF(C1558:E1575,$B1588)+COUNTIF(C1558:E1575,$B1588&amp;" ~*")&gt;0)+(COUNTIF(G1558:I1575,$B1588)+COUNTIF(G1558:I1575,$B1588&amp;" ~*")&gt;0)+(COUNTIF(K1558:M1575,$B1588)+COUNTIF(K1558:M1575,$B1588&amp;" ~*")&gt;0)+(COUNTIF(O1558:Q1575,$B1588)+COUNTIF(O1558:Q1575,$B1588&amp;" ~*")&gt;0)+(COUNTIF(S1558:U1575,$B1588)+COUNTIF(S1558:U1575,$B1588&amp;" ~*")&gt;0)+(COUNTIF(W1558:W1575,$B1588)+COUNTIF(W1558:W1575,$B1588&amp;" ~*")&gt;0)+(COUNTIF(Y1558:Y1575,$B1588)+COUNTIF(Y1558:Y1575,$B1588&amp;" ~*")&gt;0))</f>
        <v/>
      </c>
      <c r="AC1588" s="38">
        <f>IF($B1588="","",(IFERROR(INDEX(Setup!$G$33:$G$40,MATCH(C1588,Setup!$B$33:$B$40,0)),0)=1)*(COUNTIF(C1558:E1575,$B1588)+COUNTIF(C1558:E1575,$B1588&amp;" ~*")&gt;0)+(IFERROR(INDEX(Setup!$G$33:$G$40,MATCH(G1588,Setup!$B$33:$B$40,0)),0)=1)*(COUNTIF(G1558:I1575,$B1588)+COUNTIF(G1558:I1575,$B1588&amp;" ~*")&gt;0)+(IFERROR(INDEX(Setup!$G$33:$G$40,MATCH(K1588,Setup!$B$33:$B$40,0)),0)=1)*(COUNTIF(K1558:M1575,$B1588)+COUNTIF(K1558:M1575,$B1588&amp;" ~*")&gt;0)+(IFERROR(INDEX(Setup!$G$33:$G$40,MATCH(O1588,Setup!$B$33:$B$40,0)),0)=1)*(COUNTIF(O1558:Q1575,$B1588)+COUNTIF(O1558:Q1575,$B1588&amp;" ~*")&gt;0)+(IFERROR(INDEX(Setup!$G$33:$G$40,MATCH(S1588,Setup!$B$33:$B$40,0)),0)=1)*(COUNTIF(S1558:U1575,$B1588)+COUNTIF(S1558:U1575,$B1588&amp;" ~*")&gt;0)+(IFERROR(INDEX(Setup!$G$33:$G$40,MATCH(W1588,Setup!$B$33:$B$40,0)),0)=1)*(COUNTIF(W1558:W1575,$B1588)+COUNTIF(W1558:W1575,$B1588&amp;" ~*")&gt;0)+(IFERROR(INDEX(Setup!$G$33:$G$40,MATCH(Y1588,Setup!$B$33:$B$40,0)),0)=1)*(COUNTIF(Y1558:Y1575,$B1588)+COUNTIF(Y1558:Y1575,$B1588&amp;" ~*")&gt;0))</f>
        <v/>
      </c>
    </row>
    <row r="1589" ht="15" customHeight="1">
      <c r="A1589" t="n">
        <v>32</v>
      </c>
      <c r="B1589" s="35">
        <f>IF(Setup!$B$18="","",Setup!$B$18)</f>
        <v/>
      </c>
      <c r="C1589" s="98" t="n"/>
      <c r="D1589" s="99" t="n"/>
      <c r="E1589" s="99" t="n"/>
      <c r="F1589" s="100" t="n"/>
      <c r="G1589" s="98" t="n"/>
      <c r="H1589" s="99" t="n"/>
      <c r="I1589" s="99" t="n"/>
      <c r="J1589" s="100" t="n"/>
      <c r="K1589" s="98" t="n"/>
      <c r="L1589" s="99" t="n"/>
      <c r="M1589" s="99" t="n"/>
      <c r="N1589" s="100" t="n"/>
      <c r="O1589" s="98" t="n"/>
      <c r="P1589" s="99" t="n"/>
      <c r="Q1589" s="99" t="n"/>
      <c r="R1589" s="100" t="n"/>
      <c r="S1589" s="98" t="n"/>
      <c r="T1589" s="99" t="n"/>
      <c r="U1589" s="99" t="n"/>
      <c r="V1589" s="100" t="n"/>
      <c r="W1589" s="98" t="n"/>
      <c r="X1589" s="100" t="n"/>
      <c r="Y1589" s="98" t="n"/>
      <c r="Z1589" s="100" t="n"/>
      <c r="AB1589" s="101">
        <f>IF($B1589="","",(COUNTIF(C1558:E1575,$B1589)+COUNTIF(C1558:E1575,$B1589&amp;" ~*")&gt;0)+(COUNTIF(G1558:I1575,$B1589)+COUNTIF(G1558:I1575,$B1589&amp;" ~*")&gt;0)+(COUNTIF(K1558:M1575,$B1589)+COUNTIF(K1558:M1575,$B1589&amp;" ~*")&gt;0)+(COUNTIF(O1558:Q1575,$B1589)+COUNTIF(O1558:Q1575,$B1589&amp;" ~*")&gt;0)+(COUNTIF(S1558:U1575,$B1589)+COUNTIF(S1558:U1575,$B1589&amp;" ~*")&gt;0)+(COUNTIF(W1558:W1575,$B1589)+COUNTIF(W1558:W1575,$B1589&amp;" ~*")&gt;0)+(COUNTIF(Y1558:Y1575,$B1589)+COUNTIF(Y1558:Y1575,$B1589&amp;" ~*")&gt;0))</f>
        <v/>
      </c>
      <c r="AC1589" s="36">
        <f>IF($B1589="","",(IFERROR(INDEX(Setup!$G$33:$G$40,MATCH(C1589,Setup!$B$33:$B$40,0)),0)=1)*(COUNTIF(C1558:E1575,$B1589)+COUNTIF(C1558:E1575,$B1589&amp;" ~*")&gt;0)+(IFERROR(INDEX(Setup!$G$33:$G$40,MATCH(G1589,Setup!$B$33:$B$40,0)),0)=1)*(COUNTIF(G1558:I1575,$B1589)+COUNTIF(G1558:I1575,$B1589&amp;" ~*")&gt;0)+(IFERROR(INDEX(Setup!$G$33:$G$40,MATCH(K1589,Setup!$B$33:$B$40,0)),0)=1)*(COUNTIF(K1558:M1575,$B1589)+COUNTIF(K1558:M1575,$B1589&amp;" ~*")&gt;0)+(IFERROR(INDEX(Setup!$G$33:$G$40,MATCH(O1589,Setup!$B$33:$B$40,0)),0)=1)*(COUNTIF(O1558:Q1575,$B1589)+COUNTIF(O1558:Q1575,$B1589&amp;" ~*")&gt;0)+(IFERROR(INDEX(Setup!$G$33:$G$40,MATCH(S1589,Setup!$B$33:$B$40,0)),0)=1)*(COUNTIF(S1558:U1575,$B1589)+COUNTIF(S1558:U1575,$B1589&amp;" ~*")&gt;0)+(IFERROR(INDEX(Setup!$G$33:$G$40,MATCH(W1589,Setup!$B$33:$B$40,0)),0)=1)*(COUNTIF(W1558:W1575,$B1589)+COUNTIF(W1558:W1575,$B1589&amp;" ~*")&gt;0)+(IFERROR(INDEX(Setup!$G$33:$G$40,MATCH(Y1589,Setup!$B$33:$B$40,0)),0)=1)*(COUNTIF(Y1558:Y1575,$B1589)+COUNTIF(Y1558:Y1575,$B1589&amp;" ~*")&gt;0))</f>
        <v/>
      </c>
    </row>
    <row r="1590" ht="15" customHeight="1">
      <c r="A1590" t="n">
        <v>32</v>
      </c>
      <c r="B1590" s="37">
        <f>IF(Setup!$B$19="","",Setup!$B$19)</f>
        <v/>
      </c>
      <c r="C1590" s="102" t="n"/>
      <c r="D1590" s="103" t="n"/>
      <c r="E1590" s="103" t="n"/>
      <c r="F1590" s="104" t="n"/>
      <c r="G1590" s="102" t="n"/>
      <c r="H1590" s="103" t="n"/>
      <c r="I1590" s="103" t="n"/>
      <c r="J1590" s="104" t="n"/>
      <c r="K1590" s="102" t="n"/>
      <c r="L1590" s="103" t="n"/>
      <c r="M1590" s="103" t="n"/>
      <c r="N1590" s="104" t="n"/>
      <c r="O1590" s="102" t="n"/>
      <c r="P1590" s="103" t="n"/>
      <c r="Q1590" s="103" t="n"/>
      <c r="R1590" s="104" t="n"/>
      <c r="S1590" s="102" t="n"/>
      <c r="T1590" s="103" t="n"/>
      <c r="U1590" s="103" t="n"/>
      <c r="V1590" s="104" t="n"/>
      <c r="W1590" s="102" t="n"/>
      <c r="X1590" s="104" t="n"/>
      <c r="Y1590" s="102" t="n"/>
      <c r="Z1590" s="104" t="n"/>
      <c r="AB1590" s="105">
        <f>IF($B1590="","",(COUNTIF(C1558:E1575,$B1590)+COUNTIF(C1558:E1575,$B1590&amp;" ~*")&gt;0)+(COUNTIF(G1558:I1575,$B1590)+COUNTIF(G1558:I1575,$B1590&amp;" ~*")&gt;0)+(COUNTIF(K1558:M1575,$B1590)+COUNTIF(K1558:M1575,$B1590&amp;" ~*")&gt;0)+(COUNTIF(O1558:Q1575,$B1590)+COUNTIF(O1558:Q1575,$B1590&amp;" ~*")&gt;0)+(COUNTIF(S1558:U1575,$B1590)+COUNTIF(S1558:U1575,$B1590&amp;" ~*")&gt;0)+(COUNTIF(W1558:W1575,$B1590)+COUNTIF(W1558:W1575,$B1590&amp;" ~*")&gt;0)+(COUNTIF(Y1558:Y1575,$B1590)+COUNTIF(Y1558:Y1575,$B1590&amp;" ~*")&gt;0))</f>
        <v/>
      </c>
      <c r="AC1590" s="38">
        <f>IF($B1590="","",(IFERROR(INDEX(Setup!$G$33:$G$40,MATCH(C1590,Setup!$B$33:$B$40,0)),0)=1)*(COUNTIF(C1558:E1575,$B1590)+COUNTIF(C1558:E1575,$B1590&amp;" ~*")&gt;0)+(IFERROR(INDEX(Setup!$G$33:$G$40,MATCH(G1590,Setup!$B$33:$B$40,0)),0)=1)*(COUNTIF(G1558:I1575,$B1590)+COUNTIF(G1558:I1575,$B1590&amp;" ~*")&gt;0)+(IFERROR(INDEX(Setup!$G$33:$G$40,MATCH(K1590,Setup!$B$33:$B$40,0)),0)=1)*(COUNTIF(K1558:M1575,$B1590)+COUNTIF(K1558:M1575,$B1590&amp;" ~*")&gt;0)+(IFERROR(INDEX(Setup!$G$33:$G$40,MATCH(O1590,Setup!$B$33:$B$40,0)),0)=1)*(COUNTIF(O1558:Q1575,$B1590)+COUNTIF(O1558:Q1575,$B1590&amp;" ~*")&gt;0)+(IFERROR(INDEX(Setup!$G$33:$G$40,MATCH(S1590,Setup!$B$33:$B$40,0)),0)=1)*(COUNTIF(S1558:U1575,$B1590)+COUNTIF(S1558:U1575,$B1590&amp;" ~*")&gt;0)+(IFERROR(INDEX(Setup!$G$33:$G$40,MATCH(W1590,Setup!$B$33:$B$40,0)),0)=1)*(COUNTIF(W1558:W1575,$B1590)+COUNTIF(W1558:W1575,$B1590&amp;" ~*")&gt;0)+(IFERROR(INDEX(Setup!$G$33:$G$40,MATCH(Y1590,Setup!$B$33:$B$40,0)),0)=1)*(COUNTIF(Y1558:Y1575,$B1590)+COUNTIF(Y1558:Y1575,$B1590&amp;" ~*")&gt;0))</f>
        <v/>
      </c>
    </row>
    <row r="1591" ht="15" customHeight="1">
      <c r="A1591" t="n">
        <v>32</v>
      </c>
      <c r="B1591" s="35">
        <f>IF(Setup!$B$20="","",Setup!$B$20)</f>
        <v/>
      </c>
      <c r="C1591" s="98" t="n"/>
      <c r="D1591" s="99" t="n"/>
      <c r="E1591" s="99" t="n"/>
      <c r="F1591" s="100" t="n"/>
      <c r="G1591" s="98" t="n"/>
      <c r="H1591" s="99" t="n"/>
      <c r="I1591" s="99" t="n"/>
      <c r="J1591" s="100" t="n"/>
      <c r="K1591" s="98" t="n"/>
      <c r="L1591" s="99" t="n"/>
      <c r="M1591" s="99" t="n"/>
      <c r="N1591" s="100" t="n"/>
      <c r="O1591" s="98" t="n"/>
      <c r="P1591" s="99" t="n"/>
      <c r="Q1591" s="99" t="n"/>
      <c r="R1591" s="100" t="n"/>
      <c r="S1591" s="98" t="n"/>
      <c r="T1591" s="99" t="n"/>
      <c r="U1591" s="99" t="n"/>
      <c r="V1591" s="100" t="n"/>
      <c r="W1591" s="98" t="n"/>
      <c r="X1591" s="100" t="n"/>
      <c r="Y1591" s="98" t="n"/>
      <c r="Z1591" s="100" t="n"/>
      <c r="AB1591" s="101">
        <f>IF($B1591="","",(COUNTIF(C1558:E1575,$B1591)+COUNTIF(C1558:E1575,$B1591&amp;" ~*")&gt;0)+(COUNTIF(G1558:I1575,$B1591)+COUNTIF(G1558:I1575,$B1591&amp;" ~*")&gt;0)+(COUNTIF(K1558:M1575,$B1591)+COUNTIF(K1558:M1575,$B1591&amp;" ~*")&gt;0)+(COUNTIF(O1558:Q1575,$B1591)+COUNTIF(O1558:Q1575,$B1591&amp;" ~*")&gt;0)+(COUNTIF(S1558:U1575,$B1591)+COUNTIF(S1558:U1575,$B1591&amp;" ~*")&gt;0)+(COUNTIF(W1558:W1575,$B1591)+COUNTIF(W1558:W1575,$B1591&amp;" ~*")&gt;0)+(COUNTIF(Y1558:Y1575,$B1591)+COUNTIF(Y1558:Y1575,$B1591&amp;" ~*")&gt;0))</f>
        <v/>
      </c>
      <c r="AC1591" s="36">
        <f>IF($B1591="","",(IFERROR(INDEX(Setup!$G$33:$G$40,MATCH(C1591,Setup!$B$33:$B$40,0)),0)=1)*(COUNTIF(C1558:E1575,$B1591)+COUNTIF(C1558:E1575,$B1591&amp;" ~*")&gt;0)+(IFERROR(INDEX(Setup!$G$33:$G$40,MATCH(G1591,Setup!$B$33:$B$40,0)),0)=1)*(COUNTIF(G1558:I1575,$B1591)+COUNTIF(G1558:I1575,$B1591&amp;" ~*")&gt;0)+(IFERROR(INDEX(Setup!$G$33:$G$40,MATCH(K1591,Setup!$B$33:$B$40,0)),0)=1)*(COUNTIF(K1558:M1575,$B1591)+COUNTIF(K1558:M1575,$B1591&amp;" ~*")&gt;0)+(IFERROR(INDEX(Setup!$G$33:$G$40,MATCH(O1591,Setup!$B$33:$B$40,0)),0)=1)*(COUNTIF(O1558:Q1575,$B1591)+COUNTIF(O1558:Q1575,$B1591&amp;" ~*")&gt;0)+(IFERROR(INDEX(Setup!$G$33:$G$40,MATCH(S1591,Setup!$B$33:$B$40,0)),0)=1)*(COUNTIF(S1558:U1575,$B1591)+COUNTIF(S1558:U1575,$B1591&amp;" ~*")&gt;0)+(IFERROR(INDEX(Setup!$G$33:$G$40,MATCH(W1591,Setup!$B$33:$B$40,0)),0)=1)*(COUNTIF(W1558:W1575,$B1591)+COUNTIF(W1558:W1575,$B1591&amp;" ~*")&gt;0)+(IFERROR(INDEX(Setup!$G$33:$G$40,MATCH(Y1591,Setup!$B$33:$B$40,0)),0)=1)*(COUNTIF(Y1558:Y1575,$B1591)+COUNTIF(Y1558:Y1575,$B1591&amp;" ~*")&gt;0))</f>
        <v/>
      </c>
    </row>
    <row r="1592" ht="15" customHeight="1">
      <c r="A1592" t="n">
        <v>32</v>
      </c>
      <c r="B1592" s="37">
        <f>IF(Setup!$B$21="","",Setup!$B$21)</f>
        <v/>
      </c>
      <c r="C1592" s="102" t="n"/>
      <c r="D1592" s="103" t="n"/>
      <c r="E1592" s="103" t="n"/>
      <c r="F1592" s="104" t="n"/>
      <c r="G1592" s="102" t="n"/>
      <c r="H1592" s="103" t="n"/>
      <c r="I1592" s="103" t="n"/>
      <c r="J1592" s="104" t="n"/>
      <c r="K1592" s="102" t="n"/>
      <c r="L1592" s="103" t="n"/>
      <c r="M1592" s="103" t="n"/>
      <c r="N1592" s="104" t="n"/>
      <c r="O1592" s="102" t="n"/>
      <c r="P1592" s="103" t="n"/>
      <c r="Q1592" s="103" t="n"/>
      <c r="R1592" s="104" t="n"/>
      <c r="S1592" s="102" t="n"/>
      <c r="T1592" s="103" t="n"/>
      <c r="U1592" s="103" t="n"/>
      <c r="V1592" s="104" t="n"/>
      <c r="W1592" s="102" t="n"/>
      <c r="X1592" s="104" t="n"/>
      <c r="Y1592" s="102" t="n"/>
      <c r="Z1592" s="104" t="n"/>
      <c r="AB1592" s="105">
        <f>IF($B1592="","",(COUNTIF(C1558:E1575,$B1592)+COUNTIF(C1558:E1575,$B1592&amp;" ~*")&gt;0)+(COUNTIF(G1558:I1575,$B1592)+COUNTIF(G1558:I1575,$B1592&amp;" ~*")&gt;0)+(COUNTIF(K1558:M1575,$B1592)+COUNTIF(K1558:M1575,$B1592&amp;" ~*")&gt;0)+(COUNTIF(O1558:Q1575,$B1592)+COUNTIF(O1558:Q1575,$B1592&amp;" ~*")&gt;0)+(COUNTIF(S1558:U1575,$B1592)+COUNTIF(S1558:U1575,$B1592&amp;" ~*")&gt;0)+(COUNTIF(W1558:W1575,$B1592)+COUNTIF(W1558:W1575,$B1592&amp;" ~*")&gt;0)+(COUNTIF(Y1558:Y1575,$B1592)+COUNTIF(Y1558:Y1575,$B1592&amp;" ~*")&gt;0))</f>
        <v/>
      </c>
      <c r="AC1592" s="38">
        <f>IF($B1592="","",(IFERROR(INDEX(Setup!$G$33:$G$40,MATCH(C1592,Setup!$B$33:$B$40,0)),0)=1)*(COUNTIF(C1558:E1575,$B1592)+COUNTIF(C1558:E1575,$B1592&amp;" ~*")&gt;0)+(IFERROR(INDEX(Setup!$G$33:$G$40,MATCH(G1592,Setup!$B$33:$B$40,0)),0)=1)*(COUNTIF(G1558:I1575,$B1592)+COUNTIF(G1558:I1575,$B1592&amp;" ~*")&gt;0)+(IFERROR(INDEX(Setup!$G$33:$G$40,MATCH(K1592,Setup!$B$33:$B$40,0)),0)=1)*(COUNTIF(K1558:M1575,$B1592)+COUNTIF(K1558:M1575,$B1592&amp;" ~*")&gt;0)+(IFERROR(INDEX(Setup!$G$33:$G$40,MATCH(O1592,Setup!$B$33:$B$40,0)),0)=1)*(COUNTIF(O1558:Q1575,$B1592)+COUNTIF(O1558:Q1575,$B1592&amp;" ~*")&gt;0)+(IFERROR(INDEX(Setup!$G$33:$G$40,MATCH(S1592,Setup!$B$33:$B$40,0)),0)=1)*(COUNTIF(S1558:U1575,$B1592)+COUNTIF(S1558:U1575,$B1592&amp;" ~*")&gt;0)+(IFERROR(INDEX(Setup!$G$33:$G$40,MATCH(W1592,Setup!$B$33:$B$40,0)),0)=1)*(COUNTIF(W1558:W1575,$B1592)+COUNTIF(W1558:W1575,$B1592&amp;" ~*")&gt;0)+(IFERROR(INDEX(Setup!$G$33:$G$40,MATCH(Y1592,Setup!$B$33:$B$40,0)),0)=1)*(COUNTIF(Y1558:Y1575,$B1592)+COUNTIF(Y1558:Y1575,$B1592&amp;" ~*")&gt;0))</f>
        <v/>
      </c>
    </row>
    <row r="1593" ht="15" customHeight="1">
      <c r="A1593" t="n">
        <v>32</v>
      </c>
      <c r="B1593" s="35">
        <f>IF(Setup!$B$22="","",Setup!$B$22)</f>
        <v/>
      </c>
      <c r="C1593" s="98" t="n"/>
      <c r="D1593" s="99" t="n"/>
      <c r="E1593" s="99" t="n"/>
      <c r="F1593" s="100" t="n"/>
      <c r="G1593" s="98" t="n"/>
      <c r="H1593" s="99" t="n"/>
      <c r="I1593" s="99" t="n"/>
      <c r="J1593" s="100" t="n"/>
      <c r="K1593" s="98" t="n"/>
      <c r="L1593" s="99" t="n"/>
      <c r="M1593" s="99" t="n"/>
      <c r="N1593" s="100" t="n"/>
      <c r="O1593" s="98" t="n"/>
      <c r="P1593" s="99" t="n"/>
      <c r="Q1593" s="99" t="n"/>
      <c r="R1593" s="100" t="n"/>
      <c r="S1593" s="98" t="n"/>
      <c r="T1593" s="99" t="n"/>
      <c r="U1593" s="99" t="n"/>
      <c r="V1593" s="100" t="n"/>
      <c r="W1593" s="98" t="n"/>
      <c r="X1593" s="100" t="n"/>
      <c r="Y1593" s="98" t="n"/>
      <c r="Z1593" s="100" t="n"/>
      <c r="AB1593" s="101">
        <f>IF($B1593="","",(COUNTIF(C1558:E1575,$B1593)+COUNTIF(C1558:E1575,$B1593&amp;" ~*")&gt;0)+(COUNTIF(G1558:I1575,$B1593)+COUNTIF(G1558:I1575,$B1593&amp;" ~*")&gt;0)+(COUNTIF(K1558:M1575,$B1593)+COUNTIF(K1558:M1575,$B1593&amp;" ~*")&gt;0)+(COUNTIF(O1558:Q1575,$B1593)+COUNTIF(O1558:Q1575,$B1593&amp;" ~*")&gt;0)+(COUNTIF(S1558:U1575,$B1593)+COUNTIF(S1558:U1575,$B1593&amp;" ~*")&gt;0)+(COUNTIF(W1558:W1575,$B1593)+COUNTIF(W1558:W1575,$B1593&amp;" ~*")&gt;0)+(COUNTIF(Y1558:Y1575,$B1593)+COUNTIF(Y1558:Y1575,$B1593&amp;" ~*")&gt;0))</f>
        <v/>
      </c>
      <c r="AC1593" s="36">
        <f>IF($B1593="","",(IFERROR(INDEX(Setup!$G$33:$G$40,MATCH(C1593,Setup!$B$33:$B$40,0)),0)=1)*(COUNTIF(C1558:E1575,$B1593)+COUNTIF(C1558:E1575,$B1593&amp;" ~*")&gt;0)+(IFERROR(INDEX(Setup!$G$33:$G$40,MATCH(G1593,Setup!$B$33:$B$40,0)),0)=1)*(COUNTIF(G1558:I1575,$B1593)+COUNTIF(G1558:I1575,$B1593&amp;" ~*")&gt;0)+(IFERROR(INDEX(Setup!$G$33:$G$40,MATCH(K1593,Setup!$B$33:$B$40,0)),0)=1)*(COUNTIF(K1558:M1575,$B1593)+COUNTIF(K1558:M1575,$B1593&amp;" ~*")&gt;0)+(IFERROR(INDEX(Setup!$G$33:$G$40,MATCH(O1593,Setup!$B$33:$B$40,0)),0)=1)*(COUNTIF(O1558:Q1575,$B1593)+COUNTIF(O1558:Q1575,$B1593&amp;" ~*")&gt;0)+(IFERROR(INDEX(Setup!$G$33:$G$40,MATCH(S1593,Setup!$B$33:$B$40,0)),0)=1)*(COUNTIF(S1558:U1575,$B1593)+COUNTIF(S1558:U1575,$B1593&amp;" ~*")&gt;0)+(IFERROR(INDEX(Setup!$G$33:$G$40,MATCH(W1593,Setup!$B$33:$B$40,0)),0)=1)*(COUNTIF(W1558:W1575,$B1593)+COUNTIF(W1558:W1575,$B1593&amp;" ~*")&gt;0)+(IFERROR(INDEX(Setup!$G$33:$G$40,MATCH(Y1593,Setup!$B$33:$B$40,0)),0)=1)*(COUNTIF(Y1558:Y1575,$B1593)+COUNTIF(Y1558:Y1575,$B1593&amp;" ~*")&gt;0))</f>
        <v/>
      </c>
    </row>
    <row r="1594" ht="15" customHeight="1">
      <c r="A1594" t="n">
        <v>32</v>
      </c>
      <c r="B1594" s="37">
        <f>IF(Setup!$B$23="","",Setup!$B$23)</f>
        <v/>
      </c>
      <c r="C1594" s="102" t="n"/>
      <c r="D1594" s="103" t="n"/>
      <c r="E1594" s="103" t="n"/>
      <c r="F1594" s="104" t="n"/>
      <c r="G1594" s="102" t="n"/>
      <c r="H1594" s="103" t="n"/>
      <c r="I1594" s="103" t="n"/>
      <c r="J1594" s="104" t="n"/>
      <c r="K1594" s="102" t="n"/>
      <c r="L1594" s="103" t="n"/>
      <c r="M1594" s="103" t="n"/>
      <c r="N1594" s="104" t="n"/>
      <c r="O1594" s="102" t="n"/>
      <c r="P1594" s="103" t="n"/>
      <c r="Q1594" s="103" t="n"/>
      <c r="R1594" s="104" t="n"/>
      <c r="S1594" s="102" t="n"/>
      <c r="T1594" s="103" t="n"/>
      <c r="U1594" s="103" t="n"/>
      <c r="V1594" s="104" t="n"/>
      <c r="W1594" s="102" t="n"/>
      <c r="X1594" s="104" t="n"/>
      <c r="Y1594" s="102" t="n"/>
      <c r="Z1594" s="104" t="n"/>
      <c r="AB1594" s="105">
        <f>IF($B1594="","",(COUNTIF(C1558:E1575,$B1594)+COUNTIF(C1558:E1575,$B1594&amp;" ~*")&gt;0)+(COUNTIF(G1558:I1575,$B1594)+COUNTIF(G1558:I1575,$B1594&amp;" ~*")&gt;0)+(COUNTIF(K1558:M1575,$B1594)+COUNTIF(K1558:M1575,$B1594&amp;" ~*")&gt;0)+(COUNTIF(O1558:Q1575,$B1594)+COUNTIF(O1558:Q1575,$B1594&amp;" ~*")&gt;0)+(COUNTIF(S1558:U1575,$B1594)+COUNTIF(S1558:U1575,$B1594&amp;" ~*")&gt;0)+(COUNTIF(W1558:W1575,$B1594)+COUNTIF(W1558:W1575,$B1594&amp;" ~*")&gt;0)+(COUNTIF(Y1558:Y1575,$B1594)+COUNTIF(Y1558:Y1575,$B1594&amp;" ~*")&gt;0))</f>
        <v/>
      </c>
      <c r="AC1594" s="38">
        <f>IF($B1594="","",(IFERROR(INDEX(Setup!$G$33:$G$40,MATCH(C1594,Setup!$B$33:$B$40,0)),0)=1)*(COUNTIF(C1558:E1575,$B1594)+COUNTIF(C1558:E1575,$B1594&amp;" ~*")&gt;0)+(IFERROR(INDEX(Setup!$G$33:$G$40,MATCH(G1594,Setup!$B$33:$B$40,0)),0)=1)*(COUNTIF(G1558:I1575,$B1594)+COUNTIF(G1558:I1575,$B1594&amp;" ~*")&gt;0)+(IFERROR(INDEX(Setup!$G$33:$G$40,MATCH(K1594,Setup!$B$33:$B$40,0)),0)=1)*(COUNTIF(K1558:M1575,$B1594)+COUNTIF(K1558:M1575,$B1594&amp;" ~*")&gt;0)+(IFERROR(INDEX(Setup!$G$33:$G$40,MATCH(O1594,Setup!$B$33:$B$40,0)),0)=1)*(COUNTIF(O1558:Q1575,$B1594)+COUNTIF(O1558:Q1575,$B1594&amp;" ~*")&gt;0)+(IFERROR(INDEX(Setup!$G$33:$G$40,MATCH(S1594,Setup!$B$33:$B$40,0)),0)=1)*(COUNTIF(S1558:U1575,$B1594)+COUNTIF(S1558:U1575,$B1594&amp;" ~*")&gt;0)+(IFERROR(INDEX(Setup!$G$33:$G$40,MATCH(W1594,Setup!$B$33:$B$40,0)),0)=1)*(COUNTIF(W1558:W1575,$B1594)+COUNTIF(W1558:W1575,$B1594&amp;" ~*")&gt;0)+(IFERROR(INDEX(Setup!$G$33:$G$40,MATCH(Y1594,Setup!$B$33:$B$40,0)),0)=1)*(COUNTIF(Y1558:Y1575,$B1594)+COUNTIF(Y1558:Y1575,$B1594&amp;" ~*")&gt;0))</f>
        <v/>
      </c>
    </row>
    <row r="1595" ht="15" customHeight="1">
      <c r="A1595" t="n">
        <v>32</v>
      </c>
      <c r="B1595" s="35">
        <f>IF(Setup!$B$24="","",Setup!$B$24)</f>
        <v/>
      </c>
      <c r="C1595" s="98" t="n"/>
      <c r="D1595" s="99" t="n"/>
      <c r="E1595" s="99" t="n"/>
      <c r="F1595" s="100" t="n"/>
      <c r="G1595" s="98" t="n"/>
      <c r="H1595" s="99" t="n"/>
      <c r="I1595" s="99" t="n"/>
      <c r="J1595" s="100" t="n"/>
      <c r="K1595" s="98" t="n"/>
      <c r="L1595" s="99" t="n"/>
      <c r="M1595" s="99" t="n"/>
      <c r="N1595" s="100" t="n"/>
      <c r="O1595" s="98" t="n"/>
      <c r="P1595" s="99" t="n"/>
      <c r="Q1595" s="99" t="n"/>
      <c r="R1595" s="100" t="n"/>
      <c r="S1595" s="98" t="n"/>
      <c r="T1595" s="99" t="n"/>
      <c r="U1595" s="99" t="n"/>
      <c r="V1595" s="100" t="n"/>
      <c r="W1595" s="98" t="n"/>
      <c r="X1595" s="100" t="n"/>
      <c r="Y1595" s="98" t="n"/>
      <c r="Z1595" s="100" t="n"/>
      <c r="AB1595" s="101">
        <f>IF($B1595="","",(COUNTIF(C1558:E1575,$B1595)+COUNTIF(C1558:E1575,$B1595&amp;" ~*")&gt;0)+(COUNTIF(G1558:I1575,$B1595)+COUNTIF(G1558:I1575,$B1595&amp;" ~*")&gt;0)+(COUNTIF(K1558:M1575,$B1595)+COUNTIF(K1558:M1575,$B1595&amp;" ~*")&gt;0)+(COUNTIF(O1558:Q1575,$B1595)+COUNTIF(O1558:Q1575,$B1595&amp;" ~*")&gt;0)+(COUNTIF(S1558:U1575,$B1595)+COUNTIF(S1558:U1575,$B1595&amp;" ~*")&gt;0)+(COUNTIF(W1558:W1575,$B1595)+COUNTIF(W1558:W1575,$B1595&amp;" ~*")&gt;0)+(COUNTIF(Y1558:Y1575,$B1595)+COUNTIF(Y1558:Y1575,$B1595&amp;" ~*")&gt;0))</f>
        <v/>
      </c>
      <c r="AC1595" s="36">
        <f>IF($B1595="","",(IFERROR(INDEX(Setup!$G$33:$G$40,MATCH(C1595,Setup!$B$33:$B$40,0)),0)=1)*(COUNTIF(C1558:E1575,$B1595)+COUNTIF(C1558:E1575,$B1595&amp;" ~*")&gt;0)+(IFERROR(INDEX(Setup!$G$33:$G$40,MATCH(G1595,Setup!$B$33:$B$40,0)),0)=1)*(COUNTIF(G1558:I1575,$B1595)+COUNTIF(G1558:I1575,$B1595&amp;" ~*")&gt;0)+(IFERROR(INDEX(Setup!$G$33:$G$40,MATCH(K1595,Setup!$B$33:$B$40,0)),0)=1)*(COUNTIF(K1558:M1575,$B1595)+COUNTIF(K1558:M1575,$B1595&amp;" ~*")&gt;0)+(IFERROR(INDEX(Setup!$G$33:$G$40,MATCH(O1595,Setup!$B$33:$B$40,0)),0)=1)*(COUNTIF(O1558:Q1575,$B1595)+COUNTIF(O1558:Q1575,$B1595&amp;" ~*")&gt;0)+(IFERROR(INDEX(Setup!$G$33:$G$40,MATCH(S1595,Setup!$B$33:$B$40,0)),0)=1)*(COUNTIF(S1558:U1575,$B1595)+COUNTIF(S1558:U1575,$B1595&amp;" ~*")&gt;0)+(IFERROR(INDEX(Setup!$G$33:$G$40,MATCH(W1595,Setup!$B$33:$B$40,0)),0)=1)*(COUNTIF(W1558:W1575,$B1595)+COUNTIF(W1558:W1575,$B1595&amp;" ~*")&gt;0)+(IFERROR(INDEX(Setup!$G$33:$G$40,MATCH(Y1595,Setup!$B$33:$B$40,0)),0)=1)*(COUNTIF(Y1558:Y1575,$B1595)+COUNTIF(Y1558:Y1575,$B1595&amp;" ~*")&gt;0))</f>
        <v/>
      </c>
    </row>
    <row r="1596" ht="15" customHeight="1">
      <c r="A1596" t="n">
        <v>32</v>
      </c>
      <c r="B1596" s="37">
        <f>IF(Setup!$B$25="","",Setup!$B$25)</f>
        <v/>
      </c>
      <c r="C1596" s="102" t="n"/>
      <c r="D1596" s="103" t="n"/>
      <c r="E1596" s="103" t="n"/>
      <c r="F1596" s="104" t="n"/>
      <c r="G1596" s="102" t="n"/>
      <c r="H1596" s="103" t="n"/>
      <c r="I1596" s="103" t="n"/>
      <c r="J1596" s="104" t="n"/>
      <c r="K1596" s="102" t="n"/>
      <c r="L1596" s="103" t="n"/>
      <c r="M1596" s="103" t="n"/>
      <c r="N1596" s="104" t="n"/>
      <c r="O1596" s="102" t="n"/>
      <c r="P1596" s="103" t="n"/>
      <c r="Q1596" s="103" t="n"/>
      <c r="R1596" s="104" t="n"/>
      <c r="S1596" s="102" t="n"/>
      <c r="T1596" s="103" t="n"/>
      <c r="U1596" s="103" t="n"/>
      <c r="V1596" s="104" t="n"/>
      <c r="W1596" s="102" t="n"/>
      <c r="X1596" s="104" t="n"/>
      <c r="Y1596" s="102" t="n"/>
      <c r="Z1596" s="104" t="n"/>
      <c r="AB1596" s="105">
        <f>IF($B1596="","",(COUNTIF(C1558:E1575,$B1596)+COUNTIF(C1558:E1575,$B1596&amp;" ~*")&gt;0)+(COUNTIF(G1558:I1575,$B1596)+COUNTIF(G1558:I1575,$B1596&amp;" ~*")&gt;0)+(COUNTIF(K1558:M1575,$B1596)+COUNTIF(K1558:M1575,$B1596&amp;" ~*")&gt;0)+(COUNTIF(O1558:Q1575,$B1596)+COUNTIF(O1558:Q1575,$B1596&amp;" ~*")&gt;0)+(COUNTIF(S1558:U1575,$B1596)+COUNTIF(S1558:U1575,$B1596&amp;" ~*")&gt;0)+(COUNTIF(W1558:W1575,$B1596)+COUNTIF(W1558:W1575,$B1596&amp;" ~*")&gt;0)+(COUNTIF(Y1558:Y1575,$B1596)+COUNTIF(Y1558:Y1575,$B1596&amp;" ~*")&gt;0))</f>
        <v/>
      </c>
      <c r="AC1596" s="38">
        <f>IF($B1596="","",(IFERROR(INDEX(Setup!$G$33:$G$40,MATCH(C1596,Setup!$B$33:$B$40,0)),0)=1)*(COUNTIF(C1558:E1575,$B1596)+COUNTIF(C1558:E1575,$B1596&amp;" ~*")&gt;0)+(IFERROR(INDEX(Setup!$G$33:$G$40,MATCH(G1596,Setup!$B$33:$B$40,0)),0)=1)*(COUNTIF(G1558:I1575,$B1596)+COUNTIF(G1558:I1575,$B1596&amp;" ~*")&gt;0)+(IFERROR(INDEX(Setup!$G$33:$G$40,MATCH(K1596,Setup!$B$33:$B$40,0)),0)=1)*(COUNTIF(K1558:M1575,$B1596)+COUNTIF(K1558:M1575,$B1596&amp;" ~*")&gt;0)+(IFERROR(INDEX(Setup!$G$33:$G$40,MATCH(O1596,Setup!$B$33:$B$40,0)),0)=1)*(COUNTIF(O1558:Q1575,$B1596)+COUNTIF(O1558:Q1575,$B1596&amp;" ~*")&gt;0)+(IFERROR(INDEX(Setup!$G$33:$G$40,MATCH(S1596,Setup!$B$33:$B$40,0)),0)=1)*(COUNTIF(S1558:U1575,$B1596)+COUNTIF(S1558:U1575,$B1596&amp;" ~*")&gt;0)+(IFERROR(INDEX(Setup!$G$33:$G$40,MATCH(W1596,Setup!$B$33:$B$40,0)),0)=1)*(COUNTIF(W1558:W1575,$B1596)+COUNTIF(W1558:W1575,$B1596&amp;" ~*")&gt;0)+(IFERROR(INDEX(Setup!$G$33:$G$40,MATCH(Y1596,Setup!$B$33:$B$40,0)),0)=1)*(COUNTIF(Y1558:Y1575,$B1596)+COUNTIF(Y1558:Y1575,$B1596&amp;" ~*")&gt;0))</f>
        <v/>
      </c>
    </row>
    <row r="1597" ht="15" customHeight="1">
      <c r="A1597" t="n">
        <v>32</v>
      </c>
      <c r="B1597" s="35">
        <f>IF(Setup!$B$26="","",Setup!$B$26)</f>
        <v/>
      </c>
      <c r="C1597" s="98" t="n"/>
      <c r="D1597" s="99" t="n"/>
      <c r="E1597" s="99" t="n"/>
      <c r="F1597" s="100" t="n"/>
      <c r="G1597" s="98" t="n"/>
      <c r="H1597" s="99" t="n"/>
      <c r="I1597" s="99" t="n"/>
      <c r="J1597" s="100" t="n"/>
      <c r="K1597" s="98" t="n"/>
      <c r="L1597" s="99" t="n"/>
      <c r="M1597" s="99" t="n"/>
      <c r="N1597" s="100" t="n"/>
      <c r="O1597" s="98" t="n"/>
      <c r="P1597" s="99" t="n"/>
      <c r="Q1597" s="99" t="n"/>
      <c r="R1597" s="100" t="n"/>
      <c r="S1597" s="98" t="n"/>
      <c r="T1597" s="99" t="n"/>
      <c r="U1597" s="99" t="n"/>
      <c r="V1597" s="100" t="n"/>
      <c r="W1597" s="98" t="n"/>
      <c r="X1597" s="100" t="n"/>
      <c r="Y1597" s="98" t="n"/>
      <c r="Z1597" s="100" t="n"/>
      <c r="AB1597" s="101">
        <f>IF($B1597="","",(COUNTIF(C1558:E1575,$B1597)+COUNTIF(C1558:E1575,$B1597&amp;" ~*")&gt;0)+(COUNTIF(G1558:I1575,$B1597)+COUNTIF(G1558:I1575,$B1597&amp;" ~*")&gt;0)+(COUNTIF(K1558:M1575,$B1597)+COUNTIF(K1558:M1575,$B1597&amp;" ~*")&gt;0)+(COUNTIF(O1558:Q1575,$B1597)+COUNTIF(O1558:Q1575,$B1597&amp;" ~*")&gt;0)+(COUNTIF(S1558:U1575,$B1597)+COUNTIF(S1558:U1575,$B1597&amp;" ~*")&gt;0)+(COUNTIF(W1558:W1575,$B1597)+COUNTIF(W1558:W1575,$B1597&amp;" ~*")&gt;0)+(COUNTIF(Y1558:Y1575,$B1597)+COUNTIF(Y1558:Y1575,$B1597&amp;" ~*")&gt;0))</f>
        <v/>
      </c>
      <c r="AC1597" s="36">
        <f>IF($B1597="","",(IFERROR(INDEX(Setup!$G$33:$G$40,MATCH(C1597,Setup!$B$33:$B$40,0)),0)=1)*(COUNTIF(C1558:E1575,$B1597)+COUNTIF(C1558:E1575,$B1597&amp;" ~*")&gt;0)+(IFERROR(INDEX(Setup!$G$33:$G$40,MATCH(G1597,Setup!$B$33:$B$40,0)),0)=1)*(COUNTIF(G1558:I1575,$B1597)+COUNTIF(G1558:I1575,$B1597&amp;" ~*")&gt;0)+(IFERROR(INDEX(Setup!$G$33:$G$40,MATCH(K1597,Setup!$B$33:$B$40,0)),0)=1)*(COUNTIF(K1558:M1575,$B1597)+COUNTIF(K1558:M1575,$B1597&amp;" ~*")&gt;0)+(IFERROR(INDEX(Setup!$G$33:$G$40,MATCH(O1597,Setup!$B$33:$B$40,0)),0)=1)*(COUNTIF(O1558:Q1575,$B1597)+COUNTIF(O1558:Q1575,$B1597&amp;" ~*")&gt;0)+(IFERROR(INDEX(Setup!$G$33:$G$40,MATCH(S1597,Setup!$B$33:$B$40,0)),0)=1)*(COUNTIF(S1558:U1575,$B1597)+COUNTIF(S1558:U1575,$B1597&amp;" ~*")&gt;0)+(IFERROR(INDEX(Setup!$G$33:$G$40,MATCH(W1597,Setup!$B$33:$B$40,0)),0)=1)*(COUNTIF(W1558:W1575,$B1597)+COUNTIF(W1558:W1575,$B1597&amp;" ~*")&gt;0)+(IFERROR(INDEX(Setup!$G$33:$G$40,MATCH(Y1597,Setup!$B$33:$B$40,0)),0)=1)*(COUNTIF(Y1558:Y1575,$B1597)+COUNTIF(Y1558:Y1575,$B1597&amp;" ~*")&gt;0))</f>
        <v/>
      </c>
    </row>
    <row r="1598" ht="15" customHeight="1">
      <c r="A1598" t="n">
        <v>32</v>
      </c>
      <c r="B1598" s="37">
        <f>IF(Setup!$B$27="","",Setup!$B$27)</f>
        <v/>
      </c>
      <c r="C1598" s="102" t="n"/>
      <c r="D1598" s="103" t="n"/>
      <c r="E1598" s="103" t="n"/>
      <c r="F1598" s="104" t="n"/>
      <c r="G1598" s="102" t="n"/>
      <c r="H1598" s="103" t="n"/>
      <c r="I1598" s="103" t="n"/>
      <c r="J1598" s="104" t="n"/>
      <c r="K1598" s="102" t="n"/>
      <c r="L1598" s="103" t="n"/>
      <c r="M1598" s="103" t="n"/>
      <c r="N1598" s="104" t="n"/>
      <c r="O1598" s="102" t="n"/>
      <c r="P1598" s="103" t="n"/>
      <c r="Q1598" s="103" t="n"/>
      <c r="R1598" s="104" t="n"/>
      <c r="S1598" s="102" t="n"/>
      <c r="T1598" s="103" t="n"/>
      <c r="U1598" s="103" t="n"/>
      <c r="V1598" s="104" t="n"/>
      <c r="W1598" s="102" t="n"/>
      <c r="X1598" s="104" t="n"/>
      <c r="Y1598" s="102" t="n"/>
      <c r="Z1598" s="104" t="n"/>
      <c r="AB1598" s="105">
        <f>IF($B1598="","",(COUNTIF(C1558:E1575,$B1598)+COUNTIF(C1558:E1575,$B1598&amp;" ~*")&gt;0)+(COUNTIF(G1558:I1575,$B1598)+COUNTIF(G1558:I1575,$B1598&amp;" ~*")&gt;0)+(COUNTIF(K1558:M1575,$B1598)+COUNTIF(K1558:M1575,$B1598&amp;" ~*")&gt;0)+(COUNTIF(O1558:Q1575,$B1598)+COUNTIF(O1558:Q1575,$B1598&amp;" ~*")&gt;0)+(COUNTIF(S1558:U1575,$B1598)+COUNTIF(S1558:U1575,$B1598&amp;" ~*")&gt;0)+(COUNTIF(W1558:W1575,$B1598)+COUNTIF(W1558:W1575,$B1598&amp;" ~*")&gt;0)+(COUNTIF(Y1558:Y1575,$B1598)+COUNTIF(Y1558:Y1575,$B1598&amp;" ~*")&gt;0))</f>
        <v/>
      </c>
      <c r="AC1598" s="38">
        <f>IF($B1598="","",(IFERROR(INDEX(Setup!$G$33:$G$40,MATCH(C1598,Setup!$B$33:$B$40,0)),0)=1)*(COUNTIF(C1558:E1575,$B1598)+COUNTIF(C1558:E1575,$B1598&amp;" ~*")&gt;0)+(IFERROR(INDEX(Setup!$G$33:$G$40,MATCH(G1598,Setup!$B$33:$B$40,0)),0)=1)*(COUNTIF(G1558:I1575,$B1598)+COUNTIF(G1558:I1575,$B1598&amp;" ~*")&gt;0)+(IFERROR(INDEX(Setup!$G$33:$G$40,MATCH(K1598,Setup!$B$33:$B$40,0)),0)=1)*(COUNTIF(K1558:M1575,$B1598)+COUNTIF(K1558:M1575,$B1598&amp;" ~*")&gt;0)+(IFERROR(INDEX(Setup!$G$33:$G$40,MATCH(O1598,Setup!$B$33:$B$40,0)),0)=1)*(COUNTIF(O1558:Q1575,$B1598)+COUNTIF(O1558:Q1575,$B1598&amp;" ~*")&gt;0)+(IFERROR(INDEX(Setup!$G$33:$G$40,MATCH(S1598,Setup!$B$33:$B$40,0)),0)=1)*(COUNTIF(S1558:U1575,$B1598)+COUNTIF(S1558:U1575,$B1598&amp;" ~*")&gt;0)+(IFERROR(INDEX(Setup!$G$33:$G$40,MATCH(W1598,Setup!$B$33:$B$40,0)),0)=1)*(COUNTIF(W1558:W1575,$B1598)+COUNTIF(W1558:W1575,$B1598&amp;" ~*")&gt;0)+(IFERROR(INDEX(Setup!$G$33:$G$40,MATCH(Y1598,Setup!$B$33:$B$40,0)),0)=1)*(COUNTIF(Y1558:Y1575,$B1598)+COUNTIF(Y1558:Y1575,$B1598&amp;" ~*")&gt;0))</f>
        <v/>
      </c>
    </row>
    <row r="1599" ht="15" customHeight="1">
      <c r="A1599" t="n">
        <v>32</v>
      </c>
      <c r="B1599" s="35">
        <f>IF(Setup!$B$28="","",Setup!$B$28)</f>
        <v/>
      </c>
      <c r="C1599" s="98" t="n"/>
      <c r="D1599" s="99" t="n"/>
      <c r="E1599" s="99" t="n"/>
      <c r="F1599" s="100" t="n"/>
      <c r="G1599" s="98" t="n"/>
      <c r="H1599" s="99" t="n"/>
      <c r="I1599" s="99" t="n"/>
      <c r="J1599" s="100" t="n"/>
      <c r="K1599" s="98" t="n"/>
      <c r="L1599" s="99" t="n"/>
      <c r="M1599" s="99" t="n"/>
      <c r="N1599" s="100" t="n"/>
      <c r="O1599" s="98" t="n"/>
      <c r="P1599" s="99" t="n"/>
      <c r="Q1599" s="99" t="n"/>
      <c r="R1599" s="100" t="n"/>
      <c r="S1599" s="98" t="n"/>
      <c r="T1599" s="99" t="n"/>
      <c r="U1599" s="99" t="n"/>
      <c r="V1599" s="100" t="n"/>
      <c r="W1599" s="98" t="n"/>
      <c r="X1599" s="100" t="n"/>
      <c r="Y1599" s="98" t="n"/>
      <c r="Z1599" s="100" t="n"/>
      <c r="AB1599" s="101">
        <f>IF($B1599="","",(COUNTIF(C1558:E1575,$B1599)+COUNTIF(C1558:E1575,$B1599&amp;" ~*")&gt;0)+(COUNTIF(G1558:I1575,$B1599)+COUNTIF(G1558:I1575,$B1599&amp;" ~*")&gt;0)+(COUNTIF(K1558:M1575,$B1599)+COUNTIF(K1558:M1575,$B1599&amp;" ~*")&gt;0)+(COUNTIF(O1558:Q1575,$B1599)+COUNTIF(O1558:Q1575,$B1599&amp;" ~*")&gt;0)+(COUNTIF(S1558:U1575,$B1599)+COUNTIF(S1558:U1575,$B1599&amp;" ~*")&gt;0)+(COUNTIF(W1558:W1575,$B1599)+COUNTIF(W1558:W1575,$B1599&amp;" ~*")&gt;0)+(COUNTIF(Y1558:Y1575,$B1599)+COUNTIF(Y1558:Y1575,$B1599&amp;" ~*")&gt;0))</f>
        <v/>
      </c>
      <c r="AC1599" s="36">
        <f>IF($B1599="","",(IFERROR(INDEX(Setup!$G$33:$G$40,MATCH(C1599,Setup!$B$33:$B$40,0)),0)=1)*(COUNTIF(C1558:E1575,$B1599)+COUNTIF(C1558:E1575,$B1599&amp;" ~*")&gt;0)+(IFERROR(INDEX(Setup!$G$33:$G$40,MATCH(G1599,Setup!$B$33:$B$40,0)),0)=1)*(COUNTIF(G1558:I1575,$B1599)+COUNTIF(G1558:I1575,$B1599&amp;" ~*")&gt;0)+(IFERROR(INDEX(Setup!$G$33:$G$40,MATCH(K1599,Setup!$B$33:$B$40,0)),0)=1)*(COUNTIF(K1558:M1575,$B1599)+COUNTIF(K1558:M1575,$B1599&amp;" ~*")&gt;0)+(IFERROR(INDEX(Setup!$G$33:$G$40,MATCH(O1599,Setup!$B$33:$B$40,0)),0)=1)*(COUNTIF(O1558:Q1575,$B1599)+COUNTIF(O1558:Q1575,$B1599&amp;" ~*")&gt;0)+(IFERROR(INDEX(Setup!$G$33:$G$40,MATCH(S1599,Setup!$B$33:$B$40,0)),0)=1)*(COUNTIF(S1558:U1575,$B1599)+COUNTIF(S1558:U1575,$B1599&amp;" ~*")&gt;0)+(IFERROR(INDEX(Setup!$G$33:$G$40,MATCH(W1599,Setup!$B$33:$B$40,0)),0)=1)*(COUNTIF(W1558:W1575,$B1599)+COUNTIF(W1558:W1575,$B1599&amp;" ~*")&gt;0)+(IFERROR(INDEX(Setup!$G$33:$G$40,MATCH(Y1599,Setup!$B$33:$B$40,0)),0)=1)*(COUNTIF(Y1558:Y1575,$B1599)+COUNTIF(Y1558:Y1575,$B1599&amp;" ~*")&gt;0))</f>
        <v/>
      </c>
    </row>
    <row r="1600" ht="15" customHeight="1">
      <c r="A1600" t="n">
        <v>32</v>
      </c>
      <c r="B1600" s="37">
        <f>IF(Setup!$B$29="","",Setup!$B$29)</f>
        <v/>
      </c>
      <c r="C1600" s="102" t="n"/>
      <c r="D1600" s="103" t="n"/>
      <c r="E1600" s="103" t="n"/>
      <c r="F1600" s="104" t="n"/>
      <c r="G1600" s="102" t="n"/>
      <c r="H1600" s="103" t="n"/>
      <c r="I1600" s="103" t="n"/>
      <c r="J1600" s="104" t="n"/>
      <c r="K1600" s="102" t="n"/>
      <c r="L1600" s="103" t="n"/>
      <c r="M1600" s="103" t="n"/>
      <c r="N1600" s="104" t="n"/>
      <c r="O1600" s="102" t="n"/>
      <c r="P1600" s="103" t="n"/>
      <c r="Q1600" s="103" t="n"/>
      <c r="R1600" s="104" t="n"/>
      <c r="S1600" s="102" t="n"/>
      <c r="T1600" s="103" t="n"/>
      <c r="U1600" s="103" t="n"/>
      <c r="V1600" s="104" t="n"/>
      <c r="W1600" s="102" t="n"/>
      <c r="X1600" s="104" t="n"/>
      <c r="Y1600" s="102" t="n"/>
      <c r="Z1600" s="104" t="n"/>
      <c r="AB1600" s="105">
        <f>IF($B1600="","",(COUNTIF(C1558:E1575,$B1600)+COUNTIF(C1558:E1575,$B1600&amp;" ~*")&gt;0)+(COUNTIF(G1558:I1575,$B1600)+COUNTIF(G1558:I1575,$B1600&amp;" ~*")&gt;0)+(COUNTIF(K1558:M1575,$B1600)+COUNTIF(K1558:M1575,$B1600&amp;" ~*")&gt;0)+(COUNTIF(O1558:Q1575,$B1600)+COUNTIF(O1558:Q1575,$B1600&amp;" ~*")&gt;0)+(COUNTIF(S1558:U1575,$B1600)+COUNTIF(S1558:U1575,$B1600&amp;" ~*")&gt;0)+(COUNTIF(W1558:W1575,$B1600)+COUNTIF(W1558:W1575,$B1600&amp;" ~*")&gt;0)+(COUNTIF(Y1558:Y1575,$B1600)+COUNTIF(Y1558:Y1575,$B1600&amp;" ~*")&gt;0))</f>
        <v/>
      </c>
      <c r="AC1600" s="38">
        <f>IF($B1600="","",(IFERROR(INDEX(Setup!$G$33:$G$40,MATCH(C1600,Setup!$B$33:$B$40,0)),0)=1)*(COUNTIF(C1558:E1575,$B1600)+COUNTIF(C1558:E1575,$B1600&amp;" ~*")&gt;0)+(IFERROR(INDEX(Setup!$G$33:$G$40,MATCH(G1600,Setup!$B$33:$B$40,0)),0)=1)*(COUNTIF(G1558:I1575,$B1600)+COUNTIF(G1558:I1575,$B1600&amp;" ~*")&gt;0)+(IFERROR(INDEX(Setup!$G$33:$G$40,MATCH(K1600,Setup!$B$33:$B$40,0)),0)=1)*(COUNTIF(K1558:M1575,$B1600)+COUNTIF(K1558:M1575,$B1600&amp;" ~*")&gt;0)+(IFERROR(INDEX(Setup!$G$33:$G$40,MATCH(O1600,Setup!$B$33:$B$40,0)),0)=1)*(COUNTIF(O1558:Q1575,$B1600)+COUNTIF(O1558:Q1575,$B1600&amp;" ~*")&gt;0)+(IFERROR(INDEX(Setup!$G$33:$G$40,MATCH(S1600,Setup!$B$33:$B$40,0)),0)=1)*(COUNTIF(S1558:U1575,$B1600)+COUNTIF(S1558:U1575,$B1600&amp;" ~*")&gt;0)+(IFERROR(INDEX(Setup!$G$33:$G$40,MATCH(W1600,Setup!$B$33:$B$40,0)),0)=1)*(COUNTIF(W1558:W1575,$B1600)+COUNTIF(W1558:W1575,$B1600&amp;" ~*")&gt;0)+(IFERROR(INDEX(Setup!$G$33:$G$40,MATCH(Y1600,Setup!$B$33:$B$40,0)),0)=1)*(COUNTIF(Y1558:Y1575,$B1600)+COUNTIF(Y1558:Y1575,$B1600&amp;" ~*")&gt;0))</f>
        <v/>
      </c>
    </row>
    <row r="1601" ht="16" customHeight="1">
      <c r="A1601" t="n">
        <v>32</v>
      </c>
      <c r="B1601" s="106" t="inlineStr">
        <is>
          <t>Available people</t>
        </is>
      </c>
      <c r="C1601" s="107">
        <f>COUNTIFS(Setup!$E$6:$E$29,"Y",Setup!$B$6:$B$29,"?*")-SUMPRODUCT(COUNTIF(C1577:C1600,Setup!$F$33:$F$40))</f>
        <v/>
      </c>
      <c r="D1601" s="107" t="n"/>
      <c r="E1601" s="107" t="n"/>
      <c r="F1601" s="107" t="n"/>
      <c r="G1601" s="107">
        <f>COUNTIFS(Setup!$E$6:$E$29,"Y",Setup!$B$6:$B$29,"?*")-SUMPRODUCT(COUNTIF(G1577:G1600,Setup!$F$33:$F$40))</f>
        <v/>
      </c>
      <c r="H1601" s="107" t="n"/>
      <c r="I1601" s="107" t="n"/>
      <c r="J1601" s="107" t="n"/>
      <c r="K1601" s="107">
        <f>COUNTIFS(Setup!$E$6:$E$29,"Y",Setup!$B$6:$B$29,"?*")-SUMPRODUCT(COUNTIF(K1577:K1600,Setup!$F$33:$F$40))</f>
        <v/>
      </c>
      <c r="L1601" s="107" t="n"/>
      <c r="M1601" s="107" t="n"/>
      <c r="N1601" s="107" t="n"/>
      <c r="O1601" s="107">
        <f>COUNTIFS(Setup!$E$6:$E$29,"Y",Setup!$B$6:$B$29,"?*")-SUMPRODUCT(COUNTIF(O1577:O1600,Setup!$F$33:$F$40))</f>
        <v/>
      </c>
      <c r="P1601" s="107" t="n"/>
      <c r="Q1601" s="107" t="n"/>
      <c r="R1601" s="107" t="n"/>
      <c r="S1601" s="107">
        <f>COUNTIFS(Setup!$E$6:$E$29,"Y",Setup!$B$6:$B$29,"?*")-SUMPRODUCT(COUNTIF(S1577:S1600,Setup!$F$33:$F$40))</f>
        <v/>
      </c>
      <c r="T1601" s="107" t="n"/>
      <c r="U1601" s="107" t="n"/>
      <c r="V1601" s="107" t="n"/>
      <c r="W1601" s="107">
        <f>COUNTIFS(Setup!$E$6:$E$29,"Y",Setup!$B$6:$B$29,"?*")-SUMPRODUCT(COUNTIF(W1577:W1600,Setup!$F$33:$F$40))</f>
        <v/>
      </c>
      <c r="X1601" s="107" t="n"/>
      <c r="Y1601" s="107">
        <f>COUNTIFS(Setup!$E$6:$E$29,"Y",Setup!$B$6:$B$29,"?*")-SUMPRODUCT(COUNTIF(Y1577:Y1600,Setup!$F$33:$F$40))</f>
        <v/>
      </c>
      <c r="Z1601" s="107" t="n"/>
      <c r="AB1601" s="108">
        <f>SUM(AB1577:AB1600)</f>
        <v/>
      </c>
      <c r="AC1601" s="109">
        <f>SUM(AC1577:AC1600)</f>
        <v/>
      </c>
    </row>
    <row r="1602" ht="30" customHeight="1">
      <c r="A1602" t="n">
        <v>32</v>
      </c>
      <c r="B1602" s="110" t="inlineStr">
        <is>
          <t>Week notes</t>
        </is>
      </c>
      <c r="C1602" s="111" t="n"/>
      <c r="D1602" s="112" t="n"/>
      <c r="E1602" s="112" t="n"/>
      <c r="F1602" s="112" t="n"/>
      <c r="G1602" s="112" t="n"/>
      <c r="H1602" s="112" t="n"/>
      <c r="I1602" s="112" t="n"/>
      <c r="J1602" s="112" t="n"/>
      <c r="K1602" s="112" t="n"/>
      <c r="L1602" s="112" t="n"/>
      <c r="M1602" s="112" t="n"/>
      <c r="N1602" s="112" t="n"/>
      <c r="O1602" s="112" t="n"/>
      <c r="P1602" s="112" t="n"/>
      <c r="Q1602" s="112" t="n"/>
      <c r="R1602" s="112" t="n"/>
      <c r="S1602" s="112" t="n"/>
      <c r="T1602" s="112" t="n"/>
      <c r="U1602" s="112" t="n"/>
      <c r="V1602" s="112" t="n"/>
      <c r="W1602" s="112" t="n"/>
      <c r="X1602" s="112" t="n"/>
      <c r="Y1602" s="112" t="n"/>
      <c r="Z1602" s="113" t="n"/>
    </row>
    <row r="1603" ht="8" customHeight="1">
      <c r="A1603" t="n">
        <v>32</v>
      </c>
    </row>
    <row r="1604" ht="8" customHeight="1">
      <c r="A1604" t="n">
        <v>32</v>
      </c>
    </row>
    <row r="1605" ht="24" customHeight="1">
      <c r="A1605" t="n">
        <v>33</v>
      </c>
      <c r="B1605" s="73">
        <f>"WEEK 33     "&amp;TEXT(C1606,"ddd d mmm")&amp;"  –  "&amp;TEXT(C1606+6,"ddd d mmm yyyy")</f>
        <v/>
      </c>
      <c r="S1605" s="74">
        <f>IF(TODAY()&lt;C1606,"FUTURE",IF(TODAY()&gt;C1606+6,"PAST","THIS WEEK"))</f>
        <v/>
      </c>
      <c r="W1605" s="75">
        <f>IF(AND(Engine!$B$8=$AC$3,Engine!$B$9=$A1605),"◀ ACTIVE WEEK","")</f>
        <v/>
      </c>
      <c r="AA1605" s="76" t="n"/>
      <c r="AB1605" s="77" t="inlineStr">
        <is>
          <t>◀ Prev</t>
        </is>
      </c>
      <c r="AC1605" s="77" t="inlineStr">
        <is>
          <t>Next ▶</t>
        </is>
      </c>
    </row>
    <row r="1606" ht="18" customHeight="1">
      <c r="A1606" t="n">
        <v>33</v>
      </c>
      <c r="B1606" s="78" t="inlineStr">
        <is>
          <t>DUTY</t>
        </is>
      </c>
      <c r="C1606" s="79">
        <f>$AC$2+7*($A1606-1)</f>
        <v/>
      </c>
      <c r="D1606" s="80" t="n"/>
      <c r="E1606" s="80" t="n"/>
      <c r="F1606" s="81" t="n"/>
      <c r="G1606" s="79">
        <f>C1606+1</f>
        <v/>
      </c>
      <c r="H1606" s="80" t="n"/>
      <c r="I1606" s="80" t="n"/>
      <c r="J1606" s="81" t="n"/>
      <c r="K1606" s="79">
        <f>C1606+2</f>
        <v/>
      </c>
      <c r="L1606" s="80" t="n"/>
      <c r="M1606" s="80" t="n"/>
      <c r="N1606" s="81" t="n"/>
      <c r="O1606" s="79">
        <f>C1606+3</f>
        <v/>
      </c>
      <c r="P1606" s="80" t="n"/>
      <c r="Q1606" s="80" t="n"/>
      <c r="R1606" s="81" t="n"/>
      <c r="S1606" s="79">
        <f>C1606+4</f>
        <v/>
      </c>
      <c r="T1606" s="80" t="n"/>
      <c r="U1606" s="80" t="n"/>
      <c r="V1606" s="81" t="n"/>
      <c r="W1606" s="82">
        <f>C1606+5</f>
        <v/>
      </c>
      <c r="X1606" s="83" t="n"/>
      <c r="Y1606" s="82">
        <f>C1606+6</f>
        <v/>
      </c>
      <c r="Z1606" s="83" t="n"/>
      <c r="AB1606" s="72" t="inlineStr">
        <is>
          <t>Gaps</t>
        </is>
      </c>
      <c r="AC1606" s="72" t="inlineStr">
        <is>
          <t>Cover</t>
        </is>
      </c>
    </row>
    <row r="1607" ht="14" customHeight="1">
      <c r="A1607" t="n">
        <v>33</v>
      </c>
      <c r="B1607" s="84" t="inlineStr">
        <is>
          <t>(from Setup)</t>
        </is>
      </c>
      <c r="C1607" s="85" t="inlineStr">
        <is>
          <t>1</t>
        </is>
      </c>
      <c r="D1607" s="85" t="inlineStr">
        <is>
          <t>2</t>
        </is>
      </c>
      <c r="E1607" s="85" t="inlineStr">
        <is>
          <t>3</t>
        </is>
      </c>
      <c r="F1607" s="85" t="inlineStr">
        <is>
          <t>Notes</t>
        </is>
      </c>
      <c r="G1607" s="85" t="inlineStr">
        <is>
          <t>1</t>
        </is>
      </c>
      <c r="H1607" s="85" t="inlineStr">
        <is>
          <t>2</t>
        </is>
      </c>
      <c r="I1607" s="85" t="inlineStr">
        <is>
          <t>3</t>
        </is>
      </c>
      <c r="J1607" s="85" t="inlineStr">
        <is>
          <t>Notes</t>
        </is>
      </c>
      <c r="K1607" s="85" t="inlineStr">
        <is>
          <t>1</t>
        </is>
      </c>
      <c r="L1607" s="85" t="inlineStr">
        <is>
          <t>2</t>
        </is>
      </c>
      <c r="M1607" s="85" t="inlineStr">
        <is>
          <t>3</t>
        </is>
      </c>
      <c r="N1607" s="85" t="inlineStr">
        <is>
          <t>Notes</t>
        </is>
      </c>
      <c r="O1607" s="85" t="inlineStr">
        <is>
          <t>1</t>
        </is>
      </c>
      <c r="P1607" s="85" t="inlineStr">
        <is>
          <t>2</t>
        </is>
      </c>
      <c r="Q1607" s="85" t="inlineStr">
        <is>
          <t>3</t>
        </is>
      </c>
      <c r="R1607" s="85" t="inlineStr">
        <is>
          <t>Notes</t>
        </is>
      </c>
      <c r="S1607" s="85" t="inlineStr">
        <is>
          <t>1</t>
        </is>
      </c>
      <c r="T1607" s="85" t="inlineStr">
        <is>
          <t>2</t>
        </is>
      </c>
      <c r="U1607" s="85" t="inlineStr">
        <is>
          <t>3</t>
        </is>
      </c>
      <c r="V1607" s="85" t="inlineStr">
        <is>
          <t>Notes</t>
        </is>
      </c>
      <c r="W1607" s="85" t="inlineStr">
        <is>
          <t>Cover</t>
        </is>
      </c>
      <c r="X1607" s="85" t="inlineStr">
        <is>
          <t>Notes</t>
        </is>
      </c>
      <c r="Y1607" s="85" t="inlineStr">
        <is>
          <t>Cover</t>
        </is>
      </c>
      <c r="Z1607" s="85" t="inlineStr">
        <is>
          <t>Notes</t>
        </is>
      </c>
      <c r="AB1607" s="86" t="inlineStr">
        <is>
          <t>weekdays short</t>
        </is>
      </c>
      <c r="AC1607" s="87" t="inlineStr"/>
    </row>
    <row r="1608" ht="17" customHeight="1">
      <c r="A1608" t="n">
        <v>33</v>
      </c>
      <c r="B1608" s="24">
        <f>IF(Setup!$K$6="","",Setup!$K$6)</f>
        <v/>
      </c>
      <c r="C1608" s="88" t="n"/>
      <c r="D1608" s="88" t="n"/>
      <c r="E1608" s="88" t="n"/>
      <c r="F1608" s="89" t="n"/>
      <c r="G1608" s="88" t="n"/>
      <c r="H1608" s="88" t="n"/>
      <c r="I1608" s="88" t="n"/>
      <c r="J1608" s="89" t="n"/>
      <c r="K1608" s="88" t="n"/>
      <c r="L1608" s="88" t="n"/>
      <c r="M1608" s="88" t="n"/>
      <c r="N1608" s="89" t="n"/>
      <c r="O1608" s="88" t="n"/>
      <c r="P1608" s="88" t="n"/>
      <c r="Q1608" s="88" t="n"/>
      <c r="R1608" s="89" t="n"/>
      <c r="S1608" s="88" t="n"/>
      <c r="T1608" s="88" t="n"/>
      <c r="U1608" s="88" t="n"/>
      <c r="V1608" s="89" t="n"/>
      <c r="W1608" s="88" t="n"/>
      <c r="X1608" s="89" t="n"/>
      <c r="Y1608" s="88" t="n"/>
      <c r="Z1608" s="89" t="n"/>
      <c r="AB1608" s="25">
        <f>IF($B1608="","",(COUNTIF(C1608:E1608,"?*")&lt;N(INDEX(Setup!$L$6:$L$23,1)))+(COUNTIF(G1608:I1608,"?*")&lt;N(INDEX(Setup!$L$6:$L$23,1)))+(COUNTIF(K1608:M1608,"?*")&lt;N(INDEX(Setup!$L$6:$L$23,1)))+(COUNTIF(O1608:Q1608,"?*")&lt;N(INDEX(Setup!$L$6:$L$23,1)))+(COUNTIF(S1608:U1608,"?*")&lt;N(INDEX(Setup!$L$6:$L$23,1)))+((W1608="")*(INDEX(Setup!$M$6:$M$23,1)="Y"))+((Y1608="")*(INDEX(Setup!$M$6:$M$23,1)="Y")))</f>
        <v/>
      </c>
      <c r="AC1608" s="90">
        <f>IF($B1608="","",IF(AB1608=0,"✓ covered","⚠ "&amp;AB1608&amp;IF(AB1608=1," gap"," gaps")))</f>
        <v/>
      </c>
    </row>
    <row r="1609" ht="17" customHeight="1">
      <c r="A1609" t="n">
        <v>33</v>
      </c>
      <c r="B1609" s="29">
        <f>IF(Setup!$K$7="","",Setup!$K$7)</f>
        <v/>
      </c>
      <c r="C1609" s="88" t="n"/>
      <c r="D1609" s="88" t="n"/>
      <c r="E1609" s="88" t="n"/>
      <c r="F1609" s="89" t="n"/>
      <c r="G1609" s="88" t="n"/>
      <c r="H1609" s="88" t="n"/>
      <c r="I1609" s="88" t="n"/>
      <c r="J1609" s="89" t="n"/>
      <c r="K1609" s="88" t="n"/>
      <c r="L1609" s="88" t="n"/>
      <c r="M1609" s="88" t="n"/>
      <c r="N1609" s="89" t="n"/>
      <c r="O1609" s="88" t="n"/>
      <c r="P1609" s="88" t="n"/>
      <c r="Q1609" s="88" t="n"/>
      <c r="R1609" s="89" t="n"/>
      <c r="S1609" s="88" t="n"/>
      <c r="T1609" s="88" t="n"/>
      <c r="U1609" s="88" t="n"/>
      <c r="V1609" s="89" t="n"/>
      <c r="W1609" s="88" t="n"/>
      <c r="X1609" s="89" t="n"/>
      <c r="Y1609" s="88" t="n"/>
      <c r="Z1609" s="89" t="n"/>
      <c r="AB1609" s="30">
        <f>IF($B1609="","",(COUNTIF(C1609:E1609,"?*")&lt;N(INDEX(Setup!$L$6:$L$23,2)))+(COUNTIF(G1609:I1609,"?*")&lt;N(INDEX(Setup!$L$6:$L$23,2)))+(COUNTIF(K1609:M1609,"?*")&lt;N(INDEX(Setup!$L$6:$L$23,2)))+(COUNTIF(O1609:Q1609,"?*")&lt;N(INDEX(Setup!$L$6:$L$23,2)))+(COUNTIF(S1609:U1609,"?*")&lt;N(INDEX(Setup!$L$6:$L$23,2)))+((W1609="")*(INDEX(Setup!$M$6:$M$23,2)="Y"))+((Y1609="")*(INDEX(Setup!$M$6:$M$23,2)="Y")))</f>
        <v/>
      </c>
      <c r="AC1609" s="91">
        <f>IF($B1609="","",IF(AB1609=0,"✓ covered","⚠ "&amp;AB1609&amp;IF(AB1609=1," gap"," gaps")))</f>
        <v/>
      </c>
    </row>
    <row r="1610" ht="17" customHeight="1">
      <c r="A1610" t="n">
        <v>33</v>
      </c>
      <c r="B1610" s="24">
        <f>IF(Setup!$K$8="","",Setup!$K$8)</f>
        <v/>
      </c>
      <c r="C1610" s="88" t="n"/>
      <c r="D1610" s="88" t="n"/>
      <c r="E1610" s="88" t="n"/>
      <c r="F1610" s="89" t="n"/>
      <c r="G1610" s="88" t="n"/>
      <c r="H1610" s="88" t="n"/>
      <c r="I1610" s="88" t="n"/>
      <c r="J1610" s="89" t="n"/>
      <c r="K1610" s="88" t="n"/>
      <c r="L1610" s="88" t="n"/>
      <c r="M1610" s="88" t="n"/>
      <c r="N1610" s="89" t="n"/>
      <c r="O1610" s="88" t="n"/>
      <c r="P1610" s="88" t="n"/>
      <c r="Q1610" s="88" t="n"/>
      <c r="R1610" s="89" t="n"/>
      <c r="S1610" s="88" t="n"/>
      <c r="T1610" s="88" t="n"/>
      <c r="U1610" s="88" t="n"/>
      <c r="V1610" s="89" t="n"/>
      <c r="W1610" s="88" t="n"/>
      <c r="X1610" s="89" t="n"/>
      <c r="Y1610" s="88" t="n"/>
      <c r="Z1610" s="89" t="n"/>
      <c r="AB1610" s="25">
        <f>IF($B1610="","",(COUNTIF(C1610:E1610,"?*")&lt;N(INDEX(Setup!$L$6:$L$23,3)))+(COUNTIF(G1610:I1610,"?*")&lt;N(INDEX(Setup!$L$6:$L$23,3)))+(COUNTIF(K1610:M1610,"?*")&lt;N(INDEX(Setup!$L$6:$L$23,3)))+(COUNTIF(O1610:Q1610,"?*")&lt;N(INDEX(Setup!$L$6:$L$23,3)))+(COUNTIF(S1610:U1610,"?*")&lt;N(INDEX(Setup!$L$6:$L$23,3)))+((W1610="")*(INDEX(Setup!$M$6:$M$23,3)="Y"))+((Y1610="")*(INDEX(Setup!$M$6:$M$23,3)="Y")))</f>
        <v/>
      </c>
      <c r="AC1610" s="90">
        <f>IF($B1610="","",IF(AB1610=0,"✓ covered","⚠ "&amp;AB1610&amp;IF(AB1610=1," gap"," gaps")))</f>
        <v/>
      </c>
    </row>
    <row r="1611" ht="17" customHeight="1">
      <c r="A1611" t="n">
        <v>33</v>
      </c>
      <c r="B1611" s="29">
        <f>IF(Setup!$K$9="","",Setup!$K$9)</f>
        <v/>
      </c>
      <c r="C1611" s="88" t="n"/>
      <c r="D1611" s="88" t="n"/>
      <c r="E1611" s="88" t="n"/>
      <c r="F1611" s="89" t="n"/>
      <c r="G1611" s="88" t="n"/>
      <c r="H1611" s="88" t="n"/>
      <c r="I1611" s="88" t="n"/>
      <c r="J1611" s="89" t="n"/>
      <c r="K1611" s="88" t="n"/>
      <c r="L1611" s="88" t="n"/>
      <c r="M1611" s="88" t="n"/>
      <c r="N1611" s="89" t="n"/>
      <c r="O1611" s="88" t="n"/>
      <c r="P1611" s="88" t="n"/>
      <c r="Q1611" s="88" t="n"/>
      <c r="R1611" s="89" t="n"/>
      <c r="S1611" s="88" t="n"/>
      <c r="T1611" s="88" t="n"/>
      <c r="U1611" s="88" t="n"/>
      <c r="V1611" s="89" t="n"/>
      <c r="W1611" s="88" t="n"/>
      <c r="X1611" s="89" t="n"/>
      <c r="Y1611" s="88" t="n"/>
      <c r="Z1611" s="89" t="n"/>
      <c r="AB1611" s="30">
        <f>IF($B1611="","",(COUNTIF(C1611:E1611,"?*")&lt;N(INDEX(Setup!$L$6:$L$23,4)))+(COUNTIF(G1611:I1611,"?*")&lt;N(INDEX(Setup!$L$6:$L$23,4)))+(COUNTIF(K1611:M1611,"?*")&lt;N(INDEX(Setup!$L$6:$L$23,4)))+(COUNTIF(O1611:Q1611,"?*")&lt;N(INDEX(Setup!$L$6:$L$23,4)))+(COUNTIF(S1611:U1611,"?*")&lt;N(INDEX(Setup!$L$6:$L$23,4)))+((W1611="")*(INDEX(Setup!$M$6:$M$23,4)="Y"))+((Y1611="")*(INDEX(Setup!$M$6:$M$23,4)="Y")))</f>
        <v/>
      </c>
      <c r="AC1611" s="91">
        <f>IF($B1611="","",IF(AB1611=0,"✓ covered","⚠ "&amp;AB1611&amp;IF(AB1611=1," gap"," gaps")))</f>
        <v/>
      </c>
    </row>
    <row r="1612" ht="17" customHeight="1">
      <c r="A1612" t="n">
        <v>33</v>
      </c>
      <c r="B1612" s="24">
        <f>IF(Setup!$K$10="","",Setup!$K$10)</f>
        <v/>
      </c>
      <c r="C1612" s="88" t="n"/>
      <c r="D1612" s="88" t="n"/>
      <c r="E1612" s="88" t="n"/>
      <c r="F1612" s="89" t="n"/>
      <c r="G1612" s="88" t="n"/>
      <c r="H1612" s="88" t="n"/>
      <c r="I1612" s="88" t="n"/>
      <c r="J1612" s="89" t="n"/>
      <c r="K1612" s="88" t="n"/>
      <c r="L1612" s="88" t="n"/>
      <c r="M1612" s="88" t="n"/>
      <c r="N1612" s="89" t="n"/>
      <c r="O1612" s="88" t="n"/>
      <c r="P1612" s="88" t="n"/>
      <c r="Q1612" s="88" t="n"/>
      <c r="R1612" s="89" t="n"/>
      <c r="S1612" s="88" t="n"/>
      <c r="T1612" s="88" t="n"/>
      <c r="U1612" s="88" t="n"/>
      <c r="V1612" s="89" t="n"/>
      <c r="W1612" s="88" t="n"/>
      <c r="X1612" s="89" t="n"/>
      <c r="Y1612" s="88" t="n"/>
      <c r="Z1612" s="89" t="n"/>
      <c r="AB1612" s="25">
        <f>IF($B1612="","",(COUNTIF(C1612:E1612,"?*")&lt;N(INDEX(Setup!$L$6:$L$23,5)))+(COUNTIF(G1612:I1612,"?*")&lt;N(INDEX(Setup!$L$6:$L$23,5)))+(COUNTIF(K1612:M1612,"?*")&lt;N(INDEX(Setup!$L$6:$L$23,5)))+(COUNTIF(O1612:Q1612,"?*")&lt;N(INDEX(Setup!$L$6:$L$23,5)))+(COUNTIF(S1612:U1612,"?*")&lt;N(INDEX(Setup!$L$6:$L$23,5)))+((W1612="")*(INDEX(Setup!$M$6:$M$23,5)="Y"))+((Y1612="")*(INDEX(Setup!$M$6:$M$23,5)="Y")))</f>
        <v/>
      </c>
      <c r="AC1612" s="90">
        <f>IF($B1612="","",IF(AB1612=0,"✓ covered","⚠ "&amp;AB1612&amp;IF(AB1612=1," gap"," gaps")))</f>
        <v/>
      </c>
    </row>
    <row r="1613" ht="17" customHeight="1">
      <c r="A1613" t="n">
        <v>33</v>
      </c>
      <c r="B1613" s="29">
        <f>IF(Setup!$K$11="","",Setup!$K$11)</f>
        <v/>
      </c>
      <c r="C1613" s="88" t="n"/>
      <c r="D1613" s="88" t="n"/>
      <c r="E1613" s="88" t="n"/>
      <c r="F1613" s="89" t="n"/>
      <c r="G1613" s="88" t="n"/>
      <c r="H1613" s="88" t="n"/>
      <c r="I1613" s="88" t="n"/>
      <c r="J1613" s="89" t="n"/>
      <c r="K1613" s="88" t="n"/>
      <c r="L1613" s="88" t="n"/>
      <c r="M1613" s="88" t="n"/>
      <c r="N1613" s="89" t="n"/>
      <c r="O1613" s="88" t="n"/>
      <c r="P1613" s="88" t="n"/>
      <c r="Q1613" s="88" t="n"/>
      <c r="R1613" s="89" t="n"/>
      <c r="S1613" s="88" t="n"/>
      <c r="T1613" s="88" t="n"/>
      <c r="U1613" s="88" t="n"/>
      <c r="V1613" s="89" t="n"/>
      <c r="W1613" s="88" t="n"/>
      <c r="X1613" s="89" t="n"/>
      <c r="Y1613" s="88" t="n"/>
      <c r="Z1613" s="89" t="n"/>
      <c r="AB1613" s="30">
        <f>IF($B1613="","",(COUNTIF(C1613:E1613,"?*")&lt;N(INDEX(Setup!$L$6:$L$23,6)))+(COUNTIF(G1613:I1613,"?*")&lt;N(INDEX(Setup!$L$6:$L$23,6)))+(COUNTIF(K1613:M1613,"?*")&lt;N(INDEX(Setup!$L$6:$L$23,6)))+(COUNTIF(O1613:Q1613,"?*")&lt;N(INDEX(Setup!$L$6:$L$23,6)))+(COUNTIF(S1613:U1613,"?*")&lt;N(INDEX(Setup!$L$6:$L$23,6)))+((W1613="")*(INDEX(Setup!$M$6:$M$23,6)="Y"))+((Y1613="")*(INDEX(Setup!$M$6:$M$23,6)="Y")))</f>
        <v/>
      </c>
      <c r="AC1613" s="91">
        <f>IF($B1613="","",IF(AB1613=0,"✓ covered","⚠ "&amp;AB1613&amp;IF(AB1613=1," gap"," gaps")))</f>
        <v/>
      </c>
    </row>
    <row r="1614" ht="17" customHeight="1">
      <c r="A1614" t="n">
        <v>33</v>
      </c>
      <c r="B1614" s="24">
        <f>IF(Setup!$K$12="","",Setup!$K$12)</f>
        <v/>
      </c>
      <c r="C1614" s="88" t="n"/>
      <c r="D1614" s="88" t="n"/>
      <c r="E1614" s="88" t="n"/>
      <c r="F1614" s="89" t="n"/>
      <c r="G1614" s="88" t="n"/>
      <c r="H1614" s="88" t="n"/>
      <c r="I1614" s="88" t="n"/>
      <c r="J1614" s="89" t="n"/>
      <c r="K1614" s="88" t="n"/>
      <c r="L1614" s="88" t="n"/>
      <c r="M1614" s="88" t="n"/>
      <c r="N1614" s="89" t="n"/>
      <c r="O1614" s="88" t="n"/>
      <c r="P1614" s="88" t="n"/>
      <c r="Q1614" s="88" t="n"/>
      <c r="R1614" s="89" t="n"/>
      <c r="S1614" s="88" t="n"/>
      <c r="T1614" s="88" t="n"/>
      <c r="U1614" s="88" t="n"/>
      <c r="V1614" s="89" t="n"/>
      <c r="W1614" s="88" t="n"/>
      <c r="X1614" s="89" t="n"/>
      <c r="Y1614" s="88" t="n"/>
      <c r="Z1614" s="89" t="n"/>
      <c r="AB1614" s="25">
        <f>IF($B1614="","",(COUNTIF(C1614:E1614,"?*")&lt;N(INDEX(Setup!$L$6:$L$23,7)))+(COUNTIF(G1614:I1614,"?*")&lt;N(INDEX(Setup!$L$6:$L$23,7)))+(COUNTIF(K1614:M1614,"?*")&lt;N(INDEX(Setup!$L$6:$L$23,7)))+(COUNTIF(O1614:Q1614,"?*")&lt;N(INDEX(Setup!$L$6:$L$23,7)))+(COUNTIF(S1614:U1614,"?*")&lt;N(INDEX(Setup!$L$6:$L$23,7)))+((W1614="")*(INDEX(Setup!$M$6:$M$23,7)="Y"))+((Y1614="")*(INDEX(Setup!$M$6:$M$23,7)="Y")))</f>
        <v/>
      </c>
      <c r="AC1614" s="90">
        <f>IF($B1614="","",IF(AB1614=0,"✓ covered","⚠ "&amp;AB1614&amp;IF(AB1614=1," gap"," gaps")))</f>
        <v/>
      </c>
    </row>
    <row r="1615" ht="17" customHeight="1">
      <c r="A1615" t="n">
        <v>33</v>
      </c>
      <c r="B1615" s="29">
        <f>IF(Setup!$K$13="","",Setup!$K$13)</f>
        <v/>
      </c>
      <c r="C1615" s="88" t="n"/>
      <c r="D1615" s="88" t="n"/>
      <c r="E1615" s="88" t="n"/>
      <c r="F1615" s="89" t="n"/>
      <c r="G1615" s="88" t="n"/>
      <c r="H1615" s="88" t="n"/>
      <c r="I1615" s="88" t="n"/>
      <c r="J1615" s="89" t="n"/>
      <c r="K1615" s="88" t="n"/>
      <c r="L1615" s="88" t="n"/>
      <c r="M1615" s="88" t="n"/>
      <c r="N1615" s="89" t="n"/>
      <c r="O1615" s="88" t="n"/>
      <c r="P1615" s="88" t="n"/>
      <c r="Q1615" s="88" t="n"/>
      <c r="R1615" s="89" t="n"/>
      <c r="S1615" s="88" t="n"/>
      <c r="T1615" s="88" t="n"/>
      <c r="U1615" s="88" t="n"/>
      <c r="V1615" s="89" t="n"/>
      <c r="W1615" s="88" t="n"/>
      <c r="X1615" s="89" t="n"/>
      <c r="Y1615" s="88" t="n"/>
      <c r="Z1615" s="89" t="n"/>
      <c r="AB1615" s="30">
        <f>IF($B1615="","",(COUNTIF(C1615:E1615,"?*")&lt;N(INDEX(Setup!$L$6:$L$23,8)))+(COUNTIF(G1615:I1615,"?*")&lt;N(INDEX(Setup!$L$6:$L$23,8)))+(COUNTIF(K1615:M1615,"?*")&lt;N(INDEX(Setup!$L$6:$L$23,8)))+(COUNTIF(O1615:Q1615,"?*")&lt;N(INDEX(Setup!$L$6:$L$23,8)))+(COUNTIF(S1615:U1615,"?*")&lt;N(INDEX(Setup!$L$6:$L$23,8)))+((W1615="")*(INDEX(Setup!$M$6:$M$23,8)="Y"))+((Y1615="")*(INDEX(Setup!$M$6:$M$23,8)="Y")))</f>
        <v/>
      </c>
      <c r="AC1615" s="91">
        <f>IF($B1615="","",IF(AB1615=0,"✓ covered","⚠ "&amp;AB1615&amp;IF(AB1615=1," gap"," gaps")))</f>
        <v/>
      </c>
    </row>
    <row r="1616" ht="17" customHeight="1">
      <c r="A1616" t="n">
        <v>33</v>
      </c>
      <c r="B1616" s="24">
        <f>IF(Setup!$K$14="","",Setup!$K$14)</f>
        <v/>
      </c>
      <c r="C1616" s="88" t="n"/>
      <c r="D1616" s="88" t="n"/>
      <c r="E1616" s="88" t="n"/>
      <c r="F1616" s="89" t="n"/>
      <c r="G1616" s="88" t="n"/>
      <c r="H1616" s="88" t="n"/>
      <c r="I1616" s="88" t="n"/>
      <c r="J1616" s="89" t="n"/>
      <c r="K1616" s="88" t="n"/>
      <c r="L1616" s="88" t="n"/>
      <c r="M1616" s="88" t="n"/>
      <c r="N1616" s="89" t="n"/>
      <c r="O1616" s="88" t="n"/>
      <c r="P1616" s="88" t="n"/>
      <c r="Q1616" s="88" t="n"/>
      <c r="R1616" s="89" t="n"/>
      <c r="S1616" s="88" t="n"/>
      <c r="T1616" s="88" t="n"/>
      <c r="U1616" s="88" t="n"/>
      <c r="V1616" s="89" t="n"/>
      <c r="W1616" s="88" t="n"/>
      <c r="X1616" s="89" t="n"/>
      <c r="Y1616" s="88" t="n"/>
      <c r="Z1616" s="89" t="n"/>
      <c r="AB1616" s="25">
        <f>IF($B1616="","",(COUNTIF(C1616:E1616,"?*")&lt;N(INDEX(Setup!$L$6:$L$23,9)))+(COUNTIF(G1616:I1616,"?*")&lt;N(INDEX(Setup!$L$6:$L$23,9)))+(COUNTIF(K1616:M1616,"?*")&lt;N(INDEX(Setup!$L$6:$L$23,9)))+(COUNTIF(O1616:Q1616,"?*")&lt;N(INDEX(Setup!$L$6:$L$23,9)))+(COUNTIF(S1616:U1616,"?*")&lt;N(INDEX(Setup!$L$6:$L$23,9)))+((W1616="")*(INDEX(Setup!$M$6:$M$23,9)="Y"))+((Y1616="")*(INDEX(Setup!$M$6:$M$23,9)="Y")))</f>
        <v/>
      </c>
      <c r="AC1616" s="90">
        <f>IF($B1616="","",IF(AB1616=0,"✓ covered","⚠ "&amp;AB1616&amp;IF(AB1616=1," gap"," gaps")))</f>
        <v/>
      </c>
    </row>
    <row r="1617" ht="17" customHeight="1">
      <c r="A1617" t="n">
        <v>33</v>
      </c>
      <c r="B1617" s="29">
        <f>IF(Setup!$K$15="","",Setup!$K$15)</f>
        <v/>
      </c>
      <c r="C1617" s="88" t="n"/>
      <c r="D1617" s="88" t="n"/>
      <c r="E1617" s="88" t="n"/>
      <c r="F1617" s="89" t="n"/>
      <c r="G1617" s="88" t="n"/>
      <c r="H1617" s="88" t="n"/>
      <c r="I1617" s="88" t="n"/>
      <c r="J1617" s="89" t="n"/>
      <c r="K1617" s="88" t="n"/>
      <c r="L1617" s="88" t="n"/>
      <c r="M1617" s="88" t="n"/>
      <c r="N1617" s="89" t="n"/>
      <c r="O1617" s="88" t="n"/>
      <c r="P1617" s="88" t="n"/>
      <c r="Q1617" s="88" t="n"/>
      <c r="R1617" s="89" t="n"/>
      <c r="S1617" s="88" t="n"/>
      <c r="T1617" s="88" t="n"/>
      <c r="U1617" s="88" t="n"/>
      <c r="V1617" s="89" t="n"/>
      <c r="W1617" s="88" t="n"/>
      <c r="X1617" s="89" t="n"/>
      <c r="Y1617" s="88" t="n"/>
      <c r="Z1617" s="89" t="n"/>
      <c r="AB1617" s="30">
        <f>IF($B1617="","",(COUNTIF(C1617:E1617,"?*")&lt;N(INDEX(Setup!$L$6:$L$23,10)))+(COUNTIF(G1617:I1617,"?*")&lt;N(INDEX(Setup!$L$6:$L$23,10)))+(COUNTIF(K1617:M1617,"?*")&lt;N(INDEX(Setup!$L$6:$L$23,10)))+(COUNTIF(O1617:Q1617,"?*")&lt;N(INDEX(Setup!$L$6:$L$23,10)))+(COUNTIF(S1617:U1617,"?*")&lt;N(INDEX(Setup!$L$6:$L$23,10)))+((W1617="")*(INDEX(Setup!$M$6:$M$23,10)="Y"))+((Y1617="")*(INDEX(Setup!$M$6:$M$23,10)="Y")))</f>
        <v/>
      </c>
      <c r="AC1617" s="91">
        <f>IF($B1617="","",IF(AB1617=0,"✓ covered","⚠ "&amp;AB1617&amp;IF(AB1617=1," gap"," gaps")))</f>
        <v/>
      </c>
    </row>
    <row r="1618" ht="17" customHeight="1">
      <c r="A1618" t="n">
        <v>33</v>
      </c>
      <c r="B1618" s="24">
        <f>IF(Setup!$K$16="","",Setup!$K$16)</f>
        <v/>
      </c>
      <c r="C1618" s="88" t="n"/>
      <c r="D1618" s="88" t="n"/>
      <c r="E1618" s="88" t="n"/>
      <c r="F1618" s="89" t="n"/>
      <c r="G1618" s="88" t="n"/>
      <c r="H1618" s="88" t="n"/>
      <c r="I1618" s="88" t="n"/>
      <c r="J1618" s="89" t="n"/>
      <c r="K1618" s="88" t="n"/>
      <c r="L1618" s="88" t="n"/>
      <c r="M1618" s="88" t="n"/>
      <c r="N1618" s="89" t="n"/>
      <c r="O1618" s="88" t="n"/>
      <c r="P1618" s="88" t="n"/>
      <c r="Q1618" s="88" t="n"/>
      <c r="R1618" s="89" t="n"/>
      <c r="S1618" s="88" t="n"/>
      <c r="T1618" s="88" t="n"/>
      <c r="U1618" s="88" t="n"/>
      <c r="V1618" s="89" t="n"/>
      <c r="W1618" s="88" t="n"/>
      <c r="X1618" s="89" t="n"/>
      <c r="Y1618" s="88" t="n"/>
      <c r="Z1618" s="89" t="n"/>
      <c r="AB1618" s="25">
        <f>IF($B1618="","",(COUNTIF(C1618:E1618,"?*")&lt;N(INDEX(Setup!$L$6:$L$23,11)))+(COUNTIF(G1618:I1618,"?*")&lt;N(INDEX(Setup!$L$6:$L$23,11)))+(COUNTIF(K1618:M1618,"?*")&lt;N(INDEX(Setup!$L$6:$L$23,11)))+(COUNTIF(O1618:Q1618,"?*")&lt;N(INDEX(Setup!$L$6:$L$23,11)))+(COUNTIF(S1618:U1618,"?*")&lt;N(INDEX(Setup!$L$6:$L$23,11)))+((W1618="")*(INDEX(Setup!$M$6:$M$23,11)="Y"))+((Y1618="")*(INDEX(Setup!$M$6:$M$23,11)="Y")))</f>
        <v/>
      </c>
      <c r="AC1618" s="90">
        <f>IF($B1618="","",IF(AB1618=0,"✓ covered","⚠ "&amp;AB1618&amp;IF(AB1618=1," gap"," gaps")))</f>
        <v/>
      </c>
    </row>
    <row r="1619" ht="17" customHeight="1">
      <c r="A1619" t="n">
        <v>33</v>
      </c>
      <c r="B1619" s="29">
        <f>IF(Setup!$K$17="","",Setup!$K$17)</f>
        <v/>
      </c>
      <c r="C1619" s="88" t="n"/>
      <c r="D1619" s="88" t="n"/>
      <c r="E1619" s="88" t="n"/>
      <c r="F1619" s="89" t="n"/>
      <c r="G1619" s="88" t="n"/>
      <c r="H1619" s="88" t="n"/>
      <c r="I1619" s="88" t="n"/>
      <c r="J1619" s="89" t="n"/>
      <c r="K1619" s="88" t="n"/>
      <c r="L1619" s="88" t="n"/>
      <c r="M1619" s="88" t="n"/>
      <c r="N1619" s="89" t="n"/>
      <c r="O1619" s="88" t="n"/>
      <c r="P1619" s="88" t="n"/>
      <c r="Q1619" s="88" t="n"/>
      <c r="R1619" s="89" t="n"/>
      <c r="S1619" s="88" t="n"/>
      <c r="T1619" s="88" t="n"/>
      <c r="U1619" s="88" t="n"/>
      <c r="V1619" s="89" t="n"/>
      <c r="W1619" s="88" t="n"/>
      <c r="X1619" s="89" t="n"/>
      <c r="Y1619" s="88" t="n"/>
      <c r="Z1619" s="89" t="n"/>
      <c r="AB1619" s="30">
        <f>IF($B1619="","",(COUNTIF(C1619:E1619,"?*")&lt;N(INDEX(Setup!$L$6:$L$23,12)))+(COUNTIF(G1619:I1619,"?*")&lt;N(INDEX(Setup!$L$6:$L$23,12)))+(COUNTIF(K1619:M1619,"?*")&lt;N(INDEX(Setup!$L$6:$L$23,12)))+(COUNTIF(O1619:Q1619,"?*")&lt;N(INDEX(Setup!$L$6:$L$23,12)))+(COUNTIF(S1619:U1619,"?*")&lt;N(INDEX(Setup!$L$6:$L$23,12)))+((W1619="")*(INDEX(Setup!$M$6:$M$23,12)="Y"))+((Y1619="")*(INDEX(Setup!$M$6:$M$23,12)="Y")))</f>
        <v/>
      </c>
      <c r="AC1619" s="91">
        <f>IF($B1619="","",IF(AB1619=0,"✓ covered","⚠ "&amp;AB1619&amp;IF(AB1619=1," gap"," gaps")))</f>
        <v/>
      </c>
    </row>
    <row r="1620" ht="17" customHeight="1">
      <c r="A1620" t="n">
        <v>33</v>
      </c>
      <c r="B1620" s="24">
        <f>IF(Setup!$K$18="","",Setup!$K$18)</f>
        <v/>
      </c>
      <c r="C1620" s="88" t="n"/>
      <c r="D1620" s="88" t="n"/>
      <c r="E1620" s="88" t="n"/>
      <c r="F1620" s="89" t="n"/>
      <c r="G1620" s="88" t="n"/>
      <c r="H1620" s="88" t="n"/>
      <c r="I1620" s="88" t="n"/>
      <c r="J1620" s="89" t="n"/>
      <c r="K1620" s="88" t="n"/>
      <c r="L1620" s="88" t="n"/>
      <c r="M1620" s="88" t="n"/>
      <c r="N1620" s="89" t="n"/>
      <c r="O1620" s="88" t="n"/>
      <c r="P1620" s="88" t="n"/>
      <c r="Q1620" s="88" t="n"/>
      <c r="R1620" s="89" t="n"/>
      <c r="S1620" s="88" t="n"/>
      <c r="T1620" s="88" t="n"/>
      <c r="U1620" s="88" t="n"/>
      <c r="V1620" s="89" t="n"/>
      <c r="W1620" s="88" t="n"/>
      <c r="X1620" s="89" t="n"/>
      <c r="Y1620" s="88" t="n"/>
      <c r="Z1620" s="89" t="n"/>
      <c r="AB1620" s="25">
        <f>IF($B1620="","",(COUNTIF(C1620:E1620,"?*")&lt;N(INDEX(Setup!$L$6:$L$23,13)))+(COUNTIF(G1620:I1620,"?*")&lt;N(INDEX(Setup!$L$6:$L$23,13)))+(COUNTIF(K1620:M1620,"?*")&lt;N(INDEX(Setup!$L$6:$L$23,13)))+(COUNTIF(O1620:Q1620,"?*")&lt;N(INDEX(Setup!$L$6:$L$23,13)))+(COUNTIF(S1620:U1620,"?*")&lt;N(INDEX(Setup!$L$6:$L$23,13)))+((W1620="")*(INDEX(Setup!$M$6:$M$23,13)="Y"))+((Y1620="")*(INDEX(Setup!$M$6:$M$23,13)="Y")))</f>
        <v/>
      </c>
      <c r="AC1620" s="90">
        <f>IF($B1620="","",IF(AB1620=0,"✓ covered","⚠ "&amp;AB1620&amp;IF(AB1620=1," gap"," gaps")))</f>
        <v/>
      </c>
    </row>
    <row r="1621" ht="17" customHeight="1">
      <c r="A1621" t="n">
        <v>33</v>
      </c>
      <c r="B1621" s="29">
        <f>IF(Setup!$K$19="","",Setup!$K$19)</f>
        <v/>
      </c>
      <c r="C1621" s="88" t="n"/>
      <c r="D1621" s="88" t="n"/>
      <c r="E1621" s="88" t="n"/>
      <c r="F1621" s="89" t="n"/>
      <c r="G1621" s="88" t="n"/>
      <c r="H1621" s="88" t="n"/>
      <c r="I1621" s="88" t="n"/>
      <c r="J1621" s="89" t="n"/>
      <c r="K1621" s="88" t="n"/>
      <c r="L1621" s="88" t="n"/>
      <c r="M1621" s="88" t="n"/>
      <c r="N1621" s="89" t="n"/>
      <c r="O1621" s="88" t="n"/>
      <c r="P1621" s="88" t="n"/>
      <c r="Q1621" s="88" t="n"/>
      <c r="R1621" s="89" t="n"/>
      <c r="S1621" s="88" t="n"/>
      <c r="T1621" s="88" t="n"/>
      <c r="U1621" s="88" t="n"/>
      <c r="V1621" s="89" t="n"/>
      <c r="W1621" s="88" t="n"/>
      <c r="X1621" s="89" t="n"/>
      <c r="Y1621" s="88" t="n"/>
      <c r="Z1621" s="89" t="n"/>
      <c r="AB1621" s="30">
        <f>IF($B1621="","",(COUNTIF(C1621:E1621,"?*")&lt;N(INDEX(Setup!$L$6:$L$23,14)))+(COUNTIF(G1621:I1621,"?*")&lt;N(INDEX(Setup!$L$6:$L$23,14)))+(COUNTIF(K1621:M1621,"?*")&lt;N(INDEX(Setup!$L$6:$L$23,14)))+(COUNTIF(O1621:Q1621,"?*")&lt;N(INDEX(Setup!$L$6:$L$23,14)))+(COUNTIF(S1621:U1621,"?*")&lt;N(INDEX(Setup!$L$6:$L$23,14)))+((W1621="")*(INDEX(Setup!$M$6:$M$23,14)="Y"))+((Y1621="")*(INDEX(Setup!$M$6:$M$23,14)="Y")))</f>
        <v/>
      </c>
      <c r="AC1621" s="91">
        <f>IF($B1621="","",IF(AB1621=0,"✓ covered","⚠ "&amp;AB1621&amp;IF(AB1621=1," gap"," gaps")))</f>
        <v/>
      </c>
    </row>
    <row r="1622" ht="17" customHeight="1">
      <c r="A1622" t="n">
        <v>33</v>
      </c>
      <c r="B1622" s="24">
        <f>IF(Setup!$K$20="","",Setup!$K$20)</f>
        <v/>
      </c>
      <c r="C1622" s="88" t="n"/>
      <c r="D1622" s="88" t="n"/>
      <c r="E1622" s="88" t="n"/>
      <c r="F1622" s="89" t="n"/>
      <c r="G1622" s="88" t="n"/>
      <c r="H1622" s="88" t="n"/>
      <c r="I1622" s="88" t="n"/>
      <c r="J1622" s="89" t="n"/>
      <c r="K1622" s="88" t="n"/>
      <c r="L1622" s="88" t="n"/>
      <c r="M1622" s="88" t="n"/>
      <c r="N1622" s="89" t="n"/>
      <c r="O1622" s="88" t="n"/>
      <c r="P1622" s="88" t="n"/>
      <c r="Q1622" s="88" t="n"/>
      <c r="R1622" s="89" t="n"/>
      <c r="S1622" s="88" t="n"/>
      <c r="T1622" s="88" t="n"/>
      <c r="U1622" s="88" t="n"/>
      <c r="V1622" s="89" t="n"/>
      <c r="W1622" s="88" t="n"/>
      <c r="X1622" s="89" t="n"/>
      <c r="Y1622" s="88" t="n"/>
      <c r="Z1622" s="89" t="n"/>
      <c r="AB1622" s="25">
        <f>IF($B1622="","",(COUNTIF(C1622:E1622,"?*")&lt;N(INDEX(Setup!$L$6:$L$23,15)))+(COUNTIF(G1622:I1622,"?*")&lt;N(INDEX(Setup!$L$6:$L$23,15)))+(COUNTIF(K1622:M1622,"?*")&lt;N(INDEX(Setup!$L$6:$L$23,15)))+(COUNTIF(O1622:Q1622,"?*")&lt;N(INDEX(Setup!$L$6:$L$23,15)))+(COUNTIF(S1622:U1622,"?*")&lt;N(INDEX(Setup!$L$6:$L$23,15)))+((W1622="")*(INDEX(Setup!$M$6:$M$23,15)="Y"))+((Y1622="")*(INDEX(Setup!$M$6:$M$23,15)="Y")))</f>
        <v/>
      </c>
      <c r="AC1622" s="90">
        <f>IF($B1622="","",IF(AB1622=0,"✓ covered","⚠ "&amp;AB1622&amp;IF(AB1622=1," gap"," gaps")))</f>
        <v/>
      </c>
    </row>
    <row r="1623" ht="17" customHeight="1">
      <c r="A1623" t="n">
        <v>33</v>
      </c>
      <c r="B1623" s="29">
        <f>IF(Setup!$K$21="","",Setup!$K$21)</f>
        <v/>
      </c>
      <c r="C1623" s="88" t="n"/>
      <c r="D1623" s="88" t="n"/>
      <c r="E1623" s="88" t="n"/>
      <c r="F1623" s="89" t="n"/>
      <c r="G1623" s="88" t="n"/>
      <c r="H1623" s="88" t="n"/>
      <c r="I1623" s="88" t="n"/>
      <c r="J1623" s="89" t="n"/>
      <c r="K1623" s="88" t="n"/>
      <c r="L1623" s="88" t="n"/>
      <c r="M1623" s="88" t="n"/>
      <c r="N1623" s="89" t="n"/>
      <c r="O1623" s="88" t="n"/>
      <c r="P1623" s="88" t="n"/>
      <c r="Q1623" s="88" t="n"/>
      <c r="R1623" s="89" t="n"/>
      <c r="S1623" s="88" t="n"/>
      <c r="T1623" s="88" t="n"/>
      <c r="U1623" s="88" t="n"/>
      <c r="V1623" s="89" t="n"/>
      <c r="W1623" s="88" t="n"/>
      <c r="X1623" s="89" t="n"/>
      <c r="Y1623" s="88" t="n"/>
      <c r="Z1623" s="89" t="n"/>
      <c r="AB1623" s="30">
        <f>IF($B1623="","",(COUNTIF(C1623:E1623,"?*")&lt;N(INDEX(Setup!$L$6:$L$23,16)))+(COUNTIF(G1623:I1623,"?*")&lt;N(INDEX(Setup!$L$6:$L$23,16)))+(COUNTIF(K1623:M1623,"?*")&lt;N(INDEX(Setup!$L$6:$L$23,16)))+(COUNTIF(O1623:Q1623,"?*")&lt;N(INDEX(Setup!$L$6:$L$23,16)))+(COUNTIF(S1623:U1623,"?*")&lt;N(INDEX(Setup!$L$6:$L$23,16)))+((W1623="")*(INDEX(Setup!$M$6:$M$23,16)="Y"))+((Y1623="")*(INDEX(Setup!$M$6:$M$23,16)="Y")))</f>
        <v/>
      </c>
      <c r="AC1623" s="91">
        <f>IF($B1623="","",IF(AB1623=0,"✓ covered","⚠ "&amp;AB1623&amp;IF(AB1623=1," gap"," gaps")))</f>
        <v/>
      </c>
    </row>
    <row r="1624" ht="17" customHeight="1">
      <c r="A1624" t="n">
        <v>33</v>
      </c>
      <c r="B1624" s="24">
        <f>IF(Setup!$K$22="","",Setup!$K$22)</f>
        <v/>
      </c>
      <c r="C1624" s="88" t="n"/>
      <c r="D1624" s="88" t="n"/>
      <c r="E1624" s="88" t="n"/>
      <c r="F1624" s="89" t="n"/>
      <c r="G1624" s="88" t="n"/>
      <c r="H1624" s="88" t="n"/>
      <c r="I1624" s="88" t="n"/>
      <c r="J1624" s="89" t="n"/>
      <c r="K1624" s="88" t="n"/>
      <c r="L1624" s="88" t="n"/>
      <c r="M1624" s="88" t="n"/>
      <c r="N1624" s="89" t="n"/>
      <c r="O1624" s="88" t="n"/>
      <c r="P1624" s="88" t="n"/>
      <c r="Q1624" s="88" t="n"/>
      <c r="R1624" s="89" t="n"/>
      <c r="S1624" s="88" t="n"/>
      <c r="T1624" s="88" t="n"/>
      <c r="U1624" s="88" t="n"/>
      <c r="V1624" s="89" t="n"/>
      <c r="W1624" s="88" t="n"/>
      <c r="X1624" s="89" t="n"/>
      <c r="Y1624" s="88" t="n"/>
      <c r="Z1624" s="89" t="n"/>
      <c r="AB1624" s="25">
        <f>IF($B1624="","",(COUNTIF(C1624:E1624,"?*")&lt;N(INDEX(Setup!$L$6:$L$23,17)))+(COUNTIF(G1624:I1624,"?*")&lt;N(INDEX(Setup!$L$6:$L$23,17)))+(COUNTIF(K1624:M1624,"?*")&lt;N(INDEX(Setup!$L$6:$L$23,17)))+(COUNTIF(O1624:Q1624,"?*")&lt;N(INDEX(Setup!$L$6:$L$23,17)))+(COUNTIF(S1624:U1624,"?*")&lt;N(INDEX(Setup!$L$6:$L$23,17)))+((W1624="")*(INDEX(Setup!$M$6:$M$23,17)="Y"))+((Y1624="")*(INDEX(Setup!$M$6:$M$23,17)="Y")))</f>
        <v/>
      </c>
      <c r="AC1624" s="90">
        <f>IF($B1624="","",IF(AB1624=0,"✓ covered","⚠ "&amp;AB1624&amp;IF(AB1624=1," gap"," gaps")))</f>
        <v/>
      </c>
    </row>
    <row r="1625" ht="17" customHeight="1">
      <c r="A1625" t="n">
        <v>33</v>
      </c>
      <c r="B1625" s="29">
        <f>IF(Setup!$K$23="","",Setup!$K$23)</f>
        <v/>
      </c>
      <c r="C1625" s="88" t="n"/>
      <c r="D1625" s="88" t="n"/>
      <c r="E1625" s="88" t="n"/>
      <c r="F1625" s="89" t="n"/>
      <c r="G1625" s="88" t="n"/>
      <c r="H1625" s="88" t="n"/>
      <c r="I1625" s="88" t="n"/>
      <c r="J1625" s="89" t="n"/>
      <c r="K1625" s="88" t="n"/>
      <c r="L1625" s="88" t="n"/>
      <c r="M1625" s="88" t="n"/>
      <c r="N1625" s="89" t="n"/>
      <c r="O1625" s="88" t="n"/>
      <c r="P1625" s="88" t="n"/>
      <c r="Q1625" s="88" t="n"/>
      <c r="R1625" s="89" t="n"/>
      <c r="S1625" s="88" t="n"/>
      <c r="T1625" s="88" t="n"/>
      <c r="U1625" s="88" t="n"/>
      <c r="V1625" s="89" t="n"/>
      <c r="W1625" s="88" t="n"/>
      <c r="X1625" s="89" t="n"/>
      <c r="Y1625" s="88" t="n"/>
      <c r="Z1625" s="89" t="n"/>
      <c r="AB1625" s="30">
        <f>IF($B1625="","",(COUNTIF(C1625:E1625,"?*")&lt;N(INDEX(Setup!$L$6:$L$23,18)))+(COUNTIF(G1625:I1625,"?*")&lt;N(INDEX(Setup!$L$6:$L$23,18)))+(COUNTIF(K1625:M1625,"?*")&lt;N(INDEX(Setup!$L$6:$L$23,18)))+(COUNTIF(O1625:Q1625,"?*")&lt;N(INDEX(Setup!$L$6:$L$23,18)))+(COUNTIF(S1625:U1625,"?*")&lt;N(INDEX(Setup!$L$6:$L$23,18)))+((W1625="")*(INDEX(Setup!$M$6:$M$23,18)="Y"))+((Y1625="")*(INDEX(Setup!$M$6:$M$23,18)="Y")))</f>
        <v/>
      </c>
      <c r="AC1625" s="91">
        <f>IF($B1625="","",IF(AB1625=0,"✓ covered","⚠ "&amp;AB1625&amp;IF(AB1625=1," gap"," gaps")))</f>
        <v/>
      </c>
    </row>
    <row r="1626" ht="18" customHeight="1">
      <c r="A1626" t="n">
        <v>33</v>
      </c>
      <c r="B1626" s="78" t="inlineStr">
        <is>
          <t>TEAM AVAILABILITY</t>
        </is>
      </c>
      <c r="C1626" s="92" t="inlineStr">
        <is>
          <t>Mon</t>
        </is>
      </c>
      <c r="D1626" s="93" t="n"/>
      <c r="E1626" s="93" t="n"/>
      <c r="F1626" s="94" t="n"/>
      <c r="G1626" s="92" t="inlineStr">
        <is>
          <t>Tue</t>
        </is>
      </c>
      <c r="H1626" s="93" t="n"/>
      <c r="I1626" s="93" t="n"/>
      <c r="J1626" s="94" t="n"/>
      <c r="K1626" s="92" t="inlineStr">
        <is>
          <t>Wed</t>
        </is>
      </c>
      <c r="L1626" s="93" t="n"/>
      <c r="M1626" s="93" t="n"/>
      <c r="N1626" s="94" t="n"/>
      <c r="O1626" s="92" t="inlineStr">
        <is>
          <t>Thu</t>
        </is>
      </c>
      <c r="P1626" s="93" t="n"/>
      <c r="Q1626" s="93" t="n"/>
      <c r="R1626" s="94" t="n"/>
      <c r="S1626" s="92" t="inlineStr">
        <is>
          <t>Fri</t>
        </is>
      </c>
      <c r="T1626" s="93" t="n"/>
      <c r="U1626" s="93" t="n"/>
      <c r="V1626" s="94" t="n"/>
      <c r="W1626" s="95" t="inlineStr">
        <is>
          <t>Sat</t>
        </is>
      </c>
      <c r="X1626" s="96" t="n"/>
      <c r="Y1626" s="95" t="inlineStr">
        <is>
          <t>Sun</t>
        </is>
      </c>
      <c r="Z1626" s="96" t="n"/>
      <c r="AB1626" s="97" t="inlineStr">
        <is>
          <t>Days rostered</t>
        </is>
      </c>
      <c r="AC1626" s="97" t="inlineStr">
        <is>
          <t>Conflicts</t>
        </is>
      </c>
    </row>
    <row r="1627" ht="15" customHeight="1">
      <c r="A1627" t="n">
        <v>33</v>
      </c>
      <c r="B1627" s="35">
        <f>IF(Setup!$B$6="","",Setup!$B$6)</f>
        <v/>
      </c>
      <c r="C1627" s="98" t="n"/>
      <c r="D1627" s="99" t="n"/>
      <c r="E1627" s="99" t="n"/>
      <c r="F1627" s="100" t="n"/>
      <c r="G1627" s="98" t="n"/>
      <c r="H1627" s="99" t="n"/>
      <c r="I1627" s="99" t="n"/>
      <c r="J1627" s="100" t="n"/>
      <c r="K1627" s="98" t="n"/>
      <c r="L1627" s="99" t="n"/>
      <c r="M1627" s="99" t="n"/>
      <c r="N1627" s="100" t="n"/>
      <c r="O1627" s="98" t="n"/>
      <c r="P1627" s="99" t="n"/>
      <c r="Q1627" s="99" t="n"/>
      <c r="R1627" s="100" t="n"/>
      <c r="S1627" s="98" t="n"/>
      <c r="T1627" s="99" t="n"/>
      <c r="U1627" s="99" t="n"/>
      <c r="V1627" s="100" t="n"/>
      <c r="W1627" s="98" t="n"/>
      <c r="X1627" s="100" t="n"/>
      <c r="Y1627" s="98" t="n"/>
      <c r="Z1627" s="100" t="n"/>
      <c r="AB1627" s="101">
        <f>IF($B1627="","",(COUNTIF(C1608:E1625,$B1627)+COUNTIF(C1608:E1625,$B1627&amp;" ~*")&gt;0)+(COUNTIF(G1608:I1625,$B1627)+COUNTIF(G1608:I1625,$B1627&amp;" ~*")&gt;0)+(COUNTIF(K1608:M1625,$B1627)+COUNTIF(K1608:M1625,$B1627&amp;" ~*")&gt;0)+(COUNTIF(O1608:Q1625,$B1627)+COUNTIF(O1608:Q1625,$B1627&amp;" ~*")&gt;0)+(COUNTIF(S1608:U1625,$B1627)+COUNTIF(S1608:U1625,$B1627&amp;" ~*")&gt;0)+(COUNTIF(W1608:W1625,$B1627)+COUNTIF(W1608:W1625,$B1627&amp;" ~*")&gt;0)+(COUNTIF(Y1608:Y1625,$B1627)+COUNTIF(Y1608:Y1625,$B1627&amp;" ~*")&gt;0))</f>
        <v/>
      </c>
      <c r="AC1627" s="36">
        <f>IF($B1627="","",(IFERROR(INDEX(Setup!$G$33:$G$40,MATCH(C1627,Setup!$B$33:$B$40,0)),0)=1)*(COUNTIF(C1608:E1625,$B1627)+COUNTIF(C1608:E1625,$B1627&amp;" ~*")&gt;0)+(IFERROR(INDEX(Setup!$G$33:$G$40,MATCH(G1627,Setup!$B$33:$B$40,0)),0)=1)*(COUNTIF(G1608:I1625,$B1627)+COUNTIF(G1608:I1625,$B1627&amp;" ~*")&gt;0)+(IFERROR(INDEX(Setup!$G$33:$G$40,MATCH(K1627,Setup!$B$33:$B$40,0)),0)=1)*(COUNTIF(K1608:M1625,$B1627)+COUNTIF(K1608:M1625,$B1627&amp;" ~*")&gt;0)+(IFERROR(INDEX(Setup!$G$33:$G$40,MATCH(O1627,Setup!$B$33:$B$40,0)),0)=1)*(COUNTIF(O1608:Q1625,$B1627)+COUNTIF(O1608:Q1625,$B1627&amp;" ~*")&gt;0)+(IFERROR(INDEX(Setup!$G$33:$G$40,MATCH(S1627,Setup!$B$33:$B$40,0)),0)=1)*(COUNTIF(S1608:U1625,$B1627)+COUNTIF(S1608:U1625,$B1627&amp;" ~*")&gt;0)+(IFERROR(INDEX(Setup!$G$33:$G$40,MATCH(W1627,Setup!$B$33:$B$40,0)),0)=1)*(COUNTIF(W1608:W1625,$B1627)+COUNTIF(W1608:W1625,$B1627&amp;" ~*")&gt;0)+(IFERROR(INDEX(Setup!$G$33:$G$40,MATCH(Y1627,Setup!$B$33:$B$40,0)),0)=1)*(COUNTIF(Y1608:Y1625,$B1627)+COUNTIF(Y1608:Y1625,$B1627&amp;" ~*")&gt;0))</f>
        <v/>
      </c>
    </row>
    <row r="1628" ht="15" customHeight="1">
      <c r="A1628" t="n">
        <v>33</v>
      </c>
      <c r="B1628" s="37">
        <f>IF(Setup!$B$7="","",Setup!$B$7)</f>
        <v/>
      </c>
      <c r="C1628" s="102" t="n"/>
      <c r="D1628" s="103" t="n"/>
      <c r="E1628" s="103" t="n"/>
      <c r="F1628" s="104" t="n"/>
      <c r="G1628" s="102" t="n"/>
      <c r="H1628" s="103" t="n"/>
      <c r="I1628" s="103" t="n"/>
      <c r="J1628" s="104" t="n"/>
      <c r="K1628" s="102" t="n"/>
      <c r="L1628" s="103" t="n"/>
      <c r="M1628" s="103" t="n"/>
      <c r="N1628" s="104" t="n"/>
      <c r="O1628" s="102" t="n"/>
      <c r="P1628" s="103" t="n"/>
      <c r="Q1628" s="103" t="n"/>
      <c r="R1628" s="104" t="n"/>
      <c r="S1628" s="102" t="n"/>
      <c r="T1628" s="103" t="n"/>
      <c r="U1628" s="103" t="n"/>
      <c r="V1628" s="104" t="n"/>
      <c r="W1628" s="102" t="n"/>
      <c r="X1628" s="104" t="n"/>
      <c r="Y1628" s="102" t="n"/>
      <c r="Z1628" s="104" t="n"/>
      <c r="AB1628" s="105">
        <f>IF($B1628="","",(COUNTIF(C1608:E1625,$B1628)+COUNTIF(C1608:E1625,$B1628&amp;" ~*")&gt;0)+(COUNTIF(G1608:I1625,$B1628)+COUNTIF(G1608:I1625,$B1628&amp;" ~*")&gt;0)+(COUNTIF(K1608:M1625,$B1628)+COUNTIF(K1608:M1625,$B1628&amp;" ~*")&gt;0)+(COUNTIF(O1608:Q1625,$B1628)+COUNTIF(O1608:Q1625,$B1628&amp;" ~*")&gt;0)+(COUNTIF(S1608:U1625,$B1628)+COUNTIF(S1608:U1625,$B1628&amp;" ~*")&gt;0)+(COUNTIF(W1608:W1625,$B1628)+COUNTIF(W1608:W1625,$B1628&amp;" ~*")&gt;0)+(COUNTIF(Y1608:Y1625,$B1628)+COUNTIF(Y1608:Y1625,$B1628&amp;" ~*")&gt;0))</f>
        <v/>
      </c>
      <c r="AC1628" s="38">
        <f>IF($B1628="","",(IFERROR(INDEX(Setup!$G$33:$G$40,MATCH(C1628,Setup!$B$33:$B$40,0)),0)=1)*(COUNTIF(C1608:E1625,$B1628)+COUNTIF(C1608:E1625,$B1628&amp;" ~*")&gt;0)+(IFERROR(INDEX(Setup!$G$33:$G$40,MATCH(G1628,Setup!$B$33:$B$40,0)),0)=1)*(COUNTIF(G1608:I1625,$B1628)+COUNTIF(G1608:I1625,$B1628&amp;" ~*")&gt;0)+(IFERROR(INDEX(Setup!$G$33:$G$40,MATCH(K1628,Setup!$B$33:$B$40,0)),0)=1)*(COUNTIF(K1608:M1625,$B1628)+COUNTIF(K1608:M1625,$B1628&amp;" ~*")&gt;0)+(IFERROR(INDEX(Setup!$G$33:$G$40,MATCH(O1628,Setup!$B$33:$B$40,0)),0)=1)*(COUNTIF(O1608:Q1625,$B1628)+COUNTIF(O1608:Q1625,$B1628&amp;" ~*")&gt;0)+(IFERROR(INDEX(Setup!$G$33:$G$40,MATCH(S1628,Setup!$B$33:$B$40,0)),0)=1)*(COUNTIF(S1608:U1625,$B1628)+COUNTIF(S1608:U1625,$B1628&amp;" ~*")&gt;0)+(IFERROR(INDEX(Setup!$G$33:$G$40,MATCH(W1628,Setup!$B$33:$B$40,0)),0)=1)*(COUNTIF(W1608:W1625,$B1628)+COUNTIF(W1608:W1625,$B1628&amp;" ~*")&gt;0)+(IFERROR(INDEX(Setup!$G$33:$G$40,MATCH(Y1628,Setup!$B$33:$B$40,0)),0)=1)*(COUNTIF(Y1608:Y1625,$B1628)+COUNTIF(Y1608:Y1625,$B1628&amp;" ~*")&gt;0))</f>
        <v/>
      </c>
    </row>
    <row r="1629" ht="15" customHeight="1">
      <c r="A1629" t="n">
        <v>33</v>
      </c>
      <c r="B1629" s="35">
        <f>IF(Setup!$B$8="","",Setup!$B$8)</f>
        <v/>
      </c>
      <c r="C1629" s="98" t="n"/>
      <c r="D1629" s="99" t="n"/>
      <c r="E1629" s="99" t="n"/>
      <c r="F1629" s="100" t="n"/>
      <c r="G1629" s="98" t="n"/>
      <c r="H1629" s="99" t="n"/>
      <c r="I1629" s="99" t="n"/>
      <c r="J1629" s="100" t="n"/>
      <c r="K1629" s="98" t="n"/>
      <c r="L1629" s="99" t="n"/>
      <c r="M1629" s="99" t="n"/>
      <c r="N1629" s="100" t="n"/>
      <c r="O1629" s="98" t="n"/>
      <c r="P1629" s="99" t="n"/>
      <c r="Q1629" s="99" t="n"/>
      <c r="R1629" s="100" t="n"/>
      <c r="S1629" s="98" t="n"/>
      <c r="T1629" s="99" t="n"/>
      <c r="U1629" s="99" t="n"/>
      <c r="V1629" s="100" t="n"/>
      <c r="W1629" s="98" t="n"/>
      <c r="X1629" s="100" t="n"/>
      <c r="Y1629" s="98" t="n"/>
      <c r="Z1629" s="100" t="n"/>
      <c r="AB1629" s="101">
        <f>IF($B1629="","",(COUNTIF(C1608:E1625,$B1629)+COUNTIF(C1608:E1625,$B1629&amp;" ~*")&gt;0)+(COUNTIF(G1608:I1625,$B1629)+COUNTIF(G1608:I1625,$B1629&amp;" ~*")&gt;0)+(COUNTIF(K1608:M1625,$B1629)+COUNTIF(K1608:M1625,$B1629&amp;" ~*")&gt;0)+(COUNTIF(O1608:Q1625,$B1629)+COUNTIF(O1608:Q1625,$B1629&amp;" ~*")&gt;0)+(COUNTIF(S1608:U1625,$B1629)+COUNTIF(S1608:U1625,$B1629&amp;" ~*")&gt;0)+(COUNTIF(W1608:W1625,$B1629)+COUNTIF(W1608:W1625,$B1629&amp;" ~*")&gt;0)+(COUNTIF(Y1608:Y1625,$B1629)+COUNTIF(Y1608:Y1625,$B1629&amp;" ~*")&gt;0))</f>
        <v/>
      </c>
      <c r="AC1629" s="36">
        <f>IF($B1629="","",(IFERROR(INDEX(Setup!$G$33:$G$40,MATCH(C1629,Setup!$B$33:$B$40,0)),0)=1)*(COUNTIF(C1608:E1625,$B1629)+COUNTIF(C1608:E1625,$B1629&amp;" ~*")&gt;0)+(IFERROR(INDEX(Setup!$G$33:$G$40,MATCH(G1629,Setup!$B$33:$B$40,0)),0)=1)*(COUNTIF(G1608:I1625,$B1629)+COUNTIF(G1608:I1625,$B1629&amp;" ~*")&gt;0)+(IFERROR(INDEX(Setup!$G$33:$G$40,MATCH(K1629,Setup!$B$33:$B$40,0)),0)=1)*(COUNTIF(K1608:M1625,$B1629)+COUNTIF(K1608:M1625,$B1629&amp;" ~*")&gt;0)+(IFERROR(INDEX(Setup!$G$33:$G$40,MATCH(O1629,Setup!$B$33:$B$40,0)),0)=1)*(COUNTIF(O1608:Q1625,$B1629)+COUNTIF(O1608:Q1625,$B1629&amp;" ~*")&gt;0)+(IFERROR(INDEX(Setup!$G$33:$G$40,MATCH(S1629,Setup!$B$33:$B$40,0)),0)=1)*(COUNTIF(S1608:U1625,$B1629)+COUNTIF(S1608:U1625,$B1629&amp;" ~*")&gt;0)+(IFERROR(INDEX(Setup!$G$33:$G$40,MATCH(W1629,Setup!$B$33:$B$40,0)),0)=1)*(COUNTIF(W1608:W1625,$B1629)+COUNTIF(W1608:W1625,$B1629&amp;" ~*")&gt;0)+(IFERROR(INDEX(Setup!$G$33:$G$40,MATCH(Y1629,Setup!$B$33:$B$40,0)),0)=1)*(COUNTIF(Y1608:Y1625,$B1629)+COUNTIF(Y1608:Y1625,$B1629&amp;" ~*")&gt;0))</f>
        <v/>
      </c>
    </row>
    <row r="1630" ht="15" customHeight="1">
      <c r="A1630" t="n">
        <v>33</v>
      </c>
      <c r="B1630" s="37">
        <f>IF(Setup!$B$9="","",Setup!$B$9)</f>
        <v/>
      </c>
      <c r="C1630" s="102" t="n"/>
      <c r="D1630" s="103" t="n"/>
      <c r="E1630" s="103" t="n"/>
      <c r="F1630" s="104" t="n"/>
      <c r="G1630" s="102" t="n"/>
      <c r="H1630" s="103" t="n"/>
      <c r="I1630" s="103" t="n"/>
      <c r="J1630" s="104" t="n"/>
      <c r="K1630" s="102" t="n"/>
      <c r="L1630" s="103" t="n"/>
      <c r="M1630" s="103" t="n"/>
      <c r="N1630" s="104" t="n"/>
      <c r="O1630" s="102" t="n"/>
      <c r="P1630" s="103" t="n"/>
      <c r="Q1630" s="103" t="n"/>
      <c r="R1630" s="104" t="n"/>
      <c r="S1630" s="102" t="n"/>
      <c r="T1630" s="103" t="n"/>
      <c r="U1630" s="103" t="n"/>
      <c r="V1630" s="104" t="n"/>
      <c r="W1630" s="102" t="n"/>
      <c r="X1630" s="104" t="n"/>
      <c r="Y1630" s="102" t="n"/>
      <c r="Z1630" s="104" t="n"/>
      <c r="AB1630" s="105">
        <f>IF($B1630="","",(COUNTIF(C1608:E1625,$B1630)+COUNTIF(C1608:E1625,$B1630&amp;" ~*")&gt;0)+(COUNTIF(G1608:I1625,$B1630)+COUNTIF(G1608:I1625,$B1630&amp;" ~*")&gt;0)+(COUNTIF(K1608:M1625,$B1630)+COUNTIF(K1608:M1625,$B1630&amp;" ~*")&gt;0)+(COUNTIF(O1608:Q1625,$B1630)+COUNTIF(O1608:Q1625,$B1630&amp;" ~*")&gt;0)+(COUNTIF(S1608:U1625,$B1630)+COUNTIF(S1608:U1625,$B1630&amp;" ~*")&gt;0)+(COUNTIF(W1608:W1625,$B1630)+COUNTIF(W1608:W1625,$B1630&amp;" ~*")&gt;0)+(COUNTIF(Y1608:Y1625,$B1630)+COUNTIF(Y1608:Y1625,$B1630&amp;" ~*")&gt;0))</f>
        <v/>
      </c>
      <c r="AC1630" s="38">
        <f>IF($B1630="","",(IFERROR(INDEX(Setup!$G$33:$G$40,MATCH(C1630,Setup!$B$33:$B$40,0)),0)=1)*(COUNTIF(C1608:E1625,$B1630)+COUNTIF(C1608:E1625,$B1630&amp;" ~*")&gt;0)+(IFERROR(INDEX(Setup!$G$33:$G$40,MATCH(G1630,Setup!$B$33:$B$40,0)),0)=1)*(COUNTIF(G1608:I1625,$B1630)+COUNTIF(G1608:I1625,$B1630&amp;" ~*")&gt;0)+(IFERROR(INDEX(Setup!$G$33:$G$40,MATCH(K1630,Setup!$B$33:$B$40,0)),0)=1)*(COUNTIF(K1608:M1625,$B1630)+COUNTIF(K1608:M1625,$B1630&amp;" ~*")&gt;0)+(IFERROR(INDEX(Setup!$G$33:$G$40,MATCH(O1630,Setup!$B$33:$B$40,0)),0)=1)*(COUNTIF(O1608:Q1625,$B1630)+COUNTIF(O1608:Q1625,$B1630&amp;" ~*")&gt;0)+(IFERROR(INDEX(Setup!$G$33:$G$40,MATCH(S1630,Setup!$B$33:$B$40,0)),0)=1)*(COUNTIF(S1608:U1625,$B1630)+COUNTIF(S1608:U1625,$B1630&amp;" ~*")&gt;0)+(IFERROR(INDEX(Setup!$G$33:$G$40,MATCH(W1630,Setup!$B$33:$B$40,0)),0)=1)*(COUNTIF(W1608:W1625,$B1630)+COUNTIF(W1608:W1625,$B1630&amp;" ~*")&gt;0)+(IFERROR(INDEX(Setup!$G$33:$G$40,MATCH(Y1630,Setup!$B$33:$B$40,0)),0)=1)*(COUNTIF(Y1608:Y1625,$B1630)+COUNTIF(Y1608:Y1625,$B1630&amp;" ~*")&gt;0))</f>
        <v/>
      </c>
    </row>
    <row r="1631" ht="15" customHeight="1">
      <c r="A1631" t="n">
        <v>33</v>
      </c>
      <c r="B1631" s="35">
        <f>IF(Setup!$B$10="","",Setup!$B$10)</f>
        <v/>
      </c>
      <c r="C1631" s="98" t="n"/>
      <c r="D1631" s="99" t="n"/>
      <c r="E1631" s="99" t="n"/>
      <c r="F1631" s="100" t="n"/>
      <c r="G1631" s="98" t="n"/>
      <c r="H1631" s="99" t="n"/>
      <c r="I1631" s="99" t="n"/>
      <c r="J1631" s="100" t="n"/>
      <c r="K1631" s="98" t="n"/>
      <c r="L1631" s="99" t="n"/>
      <c r="M1631" s="99" t="n"/>
      <c r="N1631" s="100" t="n"/>
      <c r="O1631" s="98" t="n"/>
      <c r="P1631" s="99" t="n"/>
      <c r="Q1631" s="99" t="n"/>
      <c r="R1631" s="100" t="n"/>
      <c r="S1631" s="98" t="n"/>
      <c r="T1631" s="99" t="n"/>
      <c r="U1631" s="99" t="n"/>
      <c r="V1631" s="100" t="n"/>
      <c r="W1631" s="98" t="n"/>
      <c r="X1631" s="100" t="n"/>
      <c r="Y1631" s="98" t="n"/>
      <c r="Z1631" s="100" t="n"/>
      <c r="AB1631" s="101">
        <f>IF($B1631="","",(COUNTIF(C1608:E1625,$B1631)+COUNTIF(C1608:E1625,$B1631&amp;" ~*")&gt;0)+(COUNTIF(G1608:I1625,$B1631)+COUNTIF(G1608:I1625,$B1631&amp;" ~*")&gt;0)+(COUNTIF(K1608:M1625,$B1631)+COUNTIF(K1608:M1625,$B1631&amp;" ~*")&gt;0)+(COUNTIF(O1608:Q1625,$B1631)+COUNTIF(O1608:Q1625,$B1631&amp;" ~*")&gt;0)+(COUNTIF(S1608:U1625,$B1631)+COUNTIF(S1608:U1625,$B1631&amp;" ~*")&gt;0)+(COUNTIF(W1608:W1625,$B1631)+COUNTIF(W1608:W1625,$B1631&amp;" ~*")&gt;0)+(COUNTIF(Y1608:Y1625,$B1631)+COUNTIF(Y1608:Y1625,$B1631&amp;" ~*")&gt;0))</f>
        <v/>
      </c>
      <c r="AC1631" s="36">
        <f>IF($B1631="","",(IFERROR(INDEX(Setup!$G$33:$G$40,MATCH(C1631,Setup!$B$33:$B$40,0)),0)=1)*(COUNTIF(C1608:E1625,$B1631)+COUNTIF(C1608:E1625,$B1631&amp;" ~*")&gt;0)+(IFERROR(INDEX(Setup!$G$33:$G$40,MATCH(G1631,Setup!$B$33:$B$40,0)),0)=1)*(COUNTIF(G1608:I1625,$B1631)+COUNTIF(G1608:I1625,$B1631&amp;" ~*")&gt;0)+(IFERROR(INDEX(Setup!$G$33:$G$40,MATCH(K1631,Setup!$B$33:$B$40,0)),0)=1)*(COUNTIF(K1608:M1625,$B1631)+COUNTIF(K1608:M1625,$B1631&amp;" ~*")&gt;0)+(IFERROR(INDEX(Setup!$G$33:$G$40,MATCH(O1631,Setup!$B$33:$B$40,0)),0)=1)*(COUNTIF(O1608:Q1625,$B1631)+COUNTIF(O1608:Q1625,$B1631&amp;" ~*")&gt;0)+(IFERROR(INDEX(Setup!$G$33:$G$40,MATCH(S1631,Setup!$B$33:$B$40,0)),0)=1)*(COUNTIF(S1608:U1625,$B1631)+COUNTIF(S1608:U1625,$B1631&amp;" ~*")&gt;0)+(IFERROR(INDEX(Setup!$G$33:$G$40,MATCH(W1631,Setup!$B$33:$B$40,0)),0)=1)*(COUNTIF(W1608:W1625,$B1631)+COUNTIF(W1608:W1625,$B1631&amp;" ~*")&gt;0)+(IFERROR(INDEX(Setup!$G$33:$G$40,MATCH(Y1631,Setup!$B$33:$B$40,0)),0)=1)*(COUNTIF(Y1608:Y1625,$B1631)+COUNTIF(Y1608:Y1625,$B1631&amp;" ~*")&gt;0))</f>
        <v/>
      </c>
    </row>
    <row r="1632" ht="15" customHeight="1">
      <c r="A1632" t="n">
        <v>33</v>
      </c>
      <c r="B1632" s="37">
        <f>IF(Setup!$B$11="","",Setup!$B$11)</f>
        <v/>
      </c>
      <c r="C1632" s="102" t="n"/>
      <c r="D1632" s="103" t="n"/>
      <c r="E1632" s="103" t="n"/>
      <c r="F1632" s="104" t="n"/>
      <c r="G1632" s="102" t="n"/>
      <c r="H1632" s="103" t="n"/>
      <c r="I1632" s="103" t="n"/>
      <c r="J1632" s="104" t="n"/>
      <c r="K1632" s="102" t="n"/>
      <c r="L1632" s="103" t="n"/>
      <c r="M1632" s="103" t="n"/>
      <c r="N1632" s="104" t="n"/>
      <c r="O1632" s="102" t="n"/>
      <c r="P1632" s="103" t="n"/>
      <c r="Q1632" s="103" t="n"/>
      <c r="R1632" s="104" t="n"/>
      <c r="S1632" s="102" t="n"/>
      <c r="T1632" s="103" t="n"/>
      <c r="U1632" s="103" t="n"/>
      <c r="V1632" s="104" t="n"/>
      <c r="W1632" s="102" t="n"/>
      <c r="X1632" s="104" t="n"/>
      <c r="Y1632" s="102" t="n"/>
      <c r="Z1632" s="104" t="n"/>
      <c r="AB1632" s="105">
        <f>IF($B1632="","",(COUNTIF(C1608:E1625,$B1632)+COUNTIF(C1608:E1625,$B1632&amp;" ~*")&gt;0)+(COUNTIF(G1608:I1625,$B1632)+COUNTIF(G1608:I1625,$B1632&amp;" ~*")&gt;0)+(COUNTIF(K1608:M1625,$B1632)+COUNTIF(K1608:M1625,$B1632&amp;" ~*")&gt;0)+(COUNTIF(O1608:Q1625,$B1632)+COUNTIF(O1608:Q1625,$B1632&amp;" ~*")&gt;0)+(COUNTIF(S1608:U1625,$B1632)+COUNTIF(S1608:U1625,$B1632&amp;" ~*")&gt;0)+(COUNTIF(W1608:W1625,$B1632)+COUNTIF(W1608:W1625,$B1632&amp;" ~*")&gt;0)+(COUNTIF(Y1608:Y1625,$B1632)+COUNTIF(Y1608:Y1625,$B1632&amp;" ~*")&gt;0))</f>
        <v/>
      </c>
      <c r="AC1632" s="38">
        <f>IF($B1632="","",(IFERROR(INDEX(Setup!$G$33:$G$40,MATCH(C1632,Setup!$B$33:$B$40,0)),0)=1)*(COUNTIF(C1608:E1625,$B1632)+COUNTIF(C1608:E1625,$B1632&amp;" ~*")&gt;0)+(IFERROR(INDEX(Setup!$G$33:$G$40,MATCH(G1632,Setup!$B$33:$B$40,0)),0)=1)*(COUNTIF(G1608:I1625,$B1632)+COUNTIF(G1608:I1625,$B1632&amp;" ~*")&gt;0)+(IFERROR(INDEX(Setup!$G$33:$G$40,MATCH(K1632,Setup!$B$33:$B$40,0)),0)=1)*(COUNTIF(K1608:M1625,$B1632)+COUNTIF(K1608:M1625,$B1632&amp;" ~*")&gt;0)+(IFERROR(INDEX(Setup!$G$33:$G$40,MATCH(O1632,Setup!$B$33:$B$40,0)),0)=1)*(COUNTIF(O1608:Q1625,$B1632)+COUNTIF(O1608:Q1625,$B1632&amp;" ~*")&gt;0)+(IFERROR(INDEX(Setup!$G$33:$G$40,MATCH(S1632,Setup!$B$33:$B$40,0)),0)=1)*(COUNTIF(S1608:U1625,$B1632)+COUNTIF(S1608:U1625,$B1632&amp;" ~*")&gt;0)+(IFERROR(INDEX(Setup!$G$33:$G$40,MATCH(W1632,Setup!$B$33:$B$40,0)),0)=1)*(COUNTIF(W1608:W1625,$B1632)+COUNTIF(W1608:W1625,$B1632&amp;" ~*")&gt;0)+(IFERROR(INDEX(Setup!$G$33:$G$40,MATCH(Y1632,Setup!$B$33:$B$40,0)),0)=1)*(COUNTIF(Y1608:Y1625,$B1632)+COUNTIF(Y1608:Y1625,$B1632&amp;" ~*")&gt;0))</f>
        <v/>
      </c>
    </row>
    <row r="1633" ht="15" customHeight="1">
      <c r="A1633" t="n">
        <v>33</v>
      </c>
      <c r="B1633" s="35">
        <f>IF(Setup!$B$12="","",Setup!$B$12)</f>
        <v/>
      </c>
      <c r="C1633" s="98" t="n"/>
      <c r="D1633" s="99" t="n"/>
      <c r="E1633" s="99" t="n"/>
      <c r="F1633" s="100" t="n"/>
      <c r="G1633" s="98" t="n"/>
      <c r="H1633" s="99" t="n"/>
      <c r="I1633" s="99" t="n"/>
      <c r="J1633" s="100" t="n"/>
      <c r="K1633" s="98" t="n"/>
      <c r="L1633" s="99" t="n"/>
      <c r="M1633" s="99" t="n"/>
      <c r="N1633" s="100" t="n"/>
      <c r="O1633" s="98" t="n"/>
      <c r="P1633" s="99" t="n"/>
      <c r="Q1633" s="99" t="n"/>
      <c r="R1633" s="100" t="n"/>
      <c r="S1633" s="98" t="n"/>
      <c r="T1633" s="99" t="n"/>
      <c r="U1633" s="99" t="n"/>
      <c r="V1633" s="100" t="n"/>
      <c r="W1633" s="98" t="n"/>
      <c r="X1633" s="100" t="n"/>
      <c r="Y1633" s="98" t="n"/>
      <c r="Z1633" s="100" t="n"/>
      <c r="AB1633" s="101">
        <f>IF($B1633="","",(COUNTIF(C1608:E1625,$B1633)+COUNTIF(C1608:E1625,$B1633&amp;" ~*")&gt;0)+(COUNTIF(G1608:I1625,$B1633)+COUNTIF(G1608:I1625,$B1633&amp;" ~*")&gt;0)+(COUNTIF(K1608:M1625,$B1633)+COUNTIF(K1608:M1625,$B1633&amp;" ~*")&gt;0)+(COUNTIF(O1608:Q1625,$B1633)+COUNTIF(O1608:Q1625,$B1633&amp;" ~*")&gt;0)+(COUNTIF(S1608:U1625,$B1633)+COUNTIF(S1608:U1625,$B1633&amp;" ~*")&gt;0)+(COUNTIF(W1608:W1625,$B1633)+COUNTIF(W1608:W1625,$B1633&amp;" ~*")&gt;0)+(COUNTIF(Y1608:Y1625,$B1633)+COUNTIF(Y1608:Y1625,$B1633&amp;" ~*")&gt;0))</f>
        <v/>
      </c>
      <c r="AC1633" s="36">
        <f>IF($B1633="","",(IFERROR(INDEX(Setup!$G$33:$G$40,MATCH(C1633,Setup!$B$33:$B$40,0)),0)=1)*(COUNTIF(C1608:E1625,$B1633)+COUNTIF(C1608:E1625,$B1633&amp;" ~*")&gt;0)+(IFERROR(INDEX(Setup!$G$33:$G$40,MATCH(G1633,Setup!$B$33:$B$40,0)),0)=1)*(COUNTIF(G1608:I1625,$B1633)+COUNTIF(G1608:I1625,$B1633&amp;" ~*")&gt;0)+(IFERROR(INDEX(Setup!$G$33:$G$40,MATCH(K1633,Setup!$B$33:$B$40,0)),0)=1)*(COUNTIF(K1608:M1625,$B1633)+COUNTIF(K1608:M1625,$B1633&amp;" ~*")&gt;0)+(IFERROR(INDEX(Setup!$G$33:$G$40,MATCH(O1633,Setup!$B$33:$B$40,0)),0)=1)*(COUNTIF(O1608:Q1625,$B1633)+COUNTIF(O1608:Q1625,$B1633&amp;" ~*")&gt;0)+(IFERROR(INDEX(Setup!$G$33:$G$40,MATCH(S1633,Setup!$B$33:$B$40,0)),0)=1)*(COUNTIF(S1608:U1625,$B1633)+COUNTIF(S1608:U1625,$B1633&amp;" ~*")&gt;0)+(IFERROR(INDEX(Setup!$G$33:$G$40,MATCH(W1633,Setup!$B$33:$B$40,0)),0)=1)*(COUNTIF(W1608:W1625,$B1633)+COUNTIF(W1608:W1625,$B1633&amp;" ~*")&gt;0)+(IFERROR(INDEX(Setup!$G$33:$G$40,MATCH(Y1633,Setup!$B$33:$B$40,0)),0)=1)*(COUNTIF(Y1608:Y1625,$B1633)+COUNTIF(Y1608:Y1625,$B1633&amp;" ~*")&gt;0))</f>
        <v/>
      </c>
    </row>
    <row r="1634" ht="15" customHeight="1">
      <c r="A1634" t="n">
        <v>33</v>
      </c>
      <c r="B1634" s="37">
        <f>IF(Setup!$B$13="","",Setup!$B$13)</f>
        <v/>
      </c>
      <c r="C1634" s="102" t="n"/>
      <c r="D1634" s="103" t="n"/>
      <c r="E1634" s="103" t="n"/>
      <c r="F1634" s="104" t="n"/>
      <c r="G1634" s="102" t="n"/>
      <c r="H1634" s="103" t="n"/>
      <c r="I1634" s="103" t="n"/>
      <c r="J1634" s="104" t="n"/>
      <c r="K1634" s="102" t="n"/>
      <c r="L1634" s="103" t="n"/>
      <c r="M1634" s="103" t="n"/>
      <c r="N1634" s="104" t="n"/>
      <c r="O1634" s="102" t="n"/>
      <c r="P1634" s="103" t="n"/>
      <c r="Q1634" s="103" t="n"/>
      <c r="R1634" s="104" t="n"/>
      <c r="S1634" s="102" t="n"/>
      <c r="T1634" s="103" t="n"/>
      <c r="U1634" s="103" t="n"/>
      <c r="V1634" s="104" t="n"/>
      <c r="W1634" s="102" t="n"/>
      <c r="X1634" s="104" t="n"/>
      <c r="Y1634" s="102" t="n"/>
      <c r="Z1634" s="104" t="n"/>
      <c r="AB1634" s="105">
        <f>IF($B1634="","",(COUNTIF(C1608:E1625,$B1634)+COUNTIF(C1608:E1625,$B1634&amp;" ~*")&gt;0)+(COUNTIF(G1608:I1625,$B1634)+COUNTIF(G1608:I1625,$B1634&amp;" ~*")&gt;0)+(COUNTIF(K1608:M1625,$B1634)+COUNTIF(K1608:M1625,$B1634&amp;" ~*")&gt;0)+(COUNTIF(O1608:Q1625,$B1634)+COUNTIF(O1608:Q1625,$B1634&amp;" ~*")&gt;0)+(COUNTIF(S1608:U1625,$B1634)+COUNTIF(S1608:U1625,$B1634&amp;" ~*")&gt;0)+(COUNTIF(W1608:W1625,$B1634)+COUNTIF(W1608:W1625,$B1634&amp;" ~*")&gt;0)+(COUNTIF(Y1608:Y1625,$B1634)+COUNTIF(Y1608:Y1625,$B1634&amp;" ~*")&gt;0))</f>
        <v/>
      </c>
      <c r="AC1634" s="38">
        <f>IF($B1634="","",(IFERROR(INDEX(Setup!$G$33:$G$40,MATCH(C1634,Setup!$B$33:$B$40,0)),0)=1)*(COUNTIF(C1608:E1625,$B1634)+COUNTIF(C1608:E1625,$B1634&amp;" ~*")&gt;0)+(IFERROR(INDEX(Setup!$G$33:$G$40,MATCH(G1634,Setup!$B$33:$B$40,0)),0)=1)*(COUNTIF(G1608:I1625,$B1634)+COUNTIF(G1608:I1625,$B1634&amp;" ~*")&gt;0)+(IFERROR(INDEX(Setup!$G$33:$G$40,MATCH(K1634,Setup!$B$33:$B$40,0)),0)=1)*(COUNTIF(K1608:M1625,$B1634)+COUNTIF(K1608:M1625,$B1634&amp;" ~*")&gt;0)+(IFERROR(INDEX(Setup!$G$33:$G$40,MATCH(O1634,Setup!$B$33:$B$40,0)),0)=1)*(COUNTIF(O1608:Q1625,$B1634)+COUNTIF(O1608:Q1625,$B1634&amp;" ~*")&gt;0)+(IFERROR(INDEX(Setup!$G$33:$G$40,MATCH(S1634,Setup!$B$33:$B$40,0)),0)=1)*(COUNTIF(S1608:U1625,$B1634)+COUNTIF(S1608:U1625,$B1634&amp;" ~*")&gt;0)+(IFERROR(INDEX(Setup!$G$33:$G$40,MATCH(W1634,Setup!$B$33:$B$40,0)),0)=1)*(COUNTIF(W1608:W1625,$B1634)+COUNTIF(W1608:W1625,$B1634&amp;" ~*")&gt;0)+(IFERROR(INDEX(Setup!$G$33:$G$40,MATCH(Y1634,Setup!$B$33:$B$40,0)),0)=1)*(COUNTIF(Y1608:Y1625,$B1634)+COUNTIF(Y1608:Y1625,$B1634&amp;" ~*")&gt;0))</f>
        <v/>
      </c>
    </row>
    <row r="1635" ht="15" customHeight="1">
      <c r="A1635" t="n">
        <v>33</v>
      </c>
      <c r="B1635" s="35">
        <f>IF(Setup!$B$14="","",Setup!$B$14)</f>
        <v/>
      </c>
      <c r="C1635" s="98" t="n"/>
      <c r="D1635" s="99" t="n"/>
      <c r="E1635" s="99" t="n"/>
      <c r="F1635" s="100" t="n"/>
      <c r="G1635" s="98" t="n"/>
      <c r="H1635" s="99" t="n"/>
      <c r="I1635" s="99" t="n"/>
      <c r="J1635" s="100" t="n"/>
      <c r="K1635" s="98" t="n"/>
      <c r="L1635" s="99" t="n"/>
      <c r="M1635" s="99" t="n"/>
      <c r="N1635" s="100" t="n"/>
      <c r="O1635" s="98" t="n"/>
      <c r="P1635" s="99" t="n"/>
      <c r="Q1635" s="99" t="n"/>
      <c r="R1635" s="100" t="n"/>
      <c r="S1635" s="98" t="n"/>
      <c r="T1635" s="99" t="n"/>
      <c r="U1635" s="99" t="n"/>
      <c r="V1635" s="100" t="n"/>
      <c r="W1635" s="98" t="n"/>
      <c r="X1635" s="100" t="n"/>
      <c r="Y1635" s="98" t="n"/>
      <c r="Z1635" s="100" t="n"/>
      <c r="AB1635" s="101">
        <f>IF($B1635="","",(COUNTIF(C1608:E1625,$B1635)+COUNTIF(C1608:E1625,$B1635&amp;" ~*")&gt;0)+(COUNTIF(G1608:I1625,$B1635)+COUNTIF(G1608:I1625,$B1635&amp;" ~*")&gt;0)+(COUNTIF(K1608:M1625,$B1635)+COUNTIF(K1608:M1625,$B1635&amp;" ~*")&gt;0)+(COUNTIF(O1608:Q1625,$B1635)+COUNTIF(O1608:Q1625,$B1635&amp;" ~*")&gt;0)+(COUNTIF(S1608:U1625,$B1635)+COUNTIF(S1608:U1625,$B1635&amp;" ~*")&gt;0)+(COUNTIF(W1608:W1625,$B1635)+COUNTIF(W1608:W1625,$B1635&amp;" ~*")&gt;0)+(COUNTIF(Y1608:Y1625,$B1635)+COUNTIF(Y1608:Y1625,$B1635&amp;" ~*")&gt;0))</f>
        <v/>
      </c>
      <c r="AC1635" s="36">
        <f>IF($B1635="","",(IFERROR(INDEX(Setup!$G$33:$G$40,MATCH(C1635,Setup!$B$33:$B$40,0)),0)=1)*(COUNTIF(C1608:E1625,$B1635)+COUNTIF(C1608:E1625,$B1635&amp;" ~*")&gt;0)+(IFERROR(INDEX(Setup!$G$33:$G$40,MATCH(G1635,Setup!$B$33:$B$40,0)),0)=1)*(COUNTIF(G1608:I1625,$B1635)+COUNTIF(G1608:I1625,$B1635&amp;" ~*")&gt;0)+(IFERROR(INDEX(Setup!$G$33:$G$40,MATCH(K1635,Setup!$B$33:$B$40,0)),0)=1)*(COUNTIF(K1608:M1625,$B1635)+COUNTIF(K1608:M1625,$B1635&amp;" ~*")&gt;0)+(IFERROR(INDEX(Setup!$G$33:$G$40,MATCH(O1635,Setup!$B$33:$B$40,0)),0)=1)*(COUNTIF(O1608:Q1625,$B1635)+COUNTIF(O1608:Q1625,$B1635&amp;" ~*")&gt;0)+(IFERROR(INDEX(Setup!$G$33:$G$40,MATCH(S1635,Setup!$B$33:$B$40,0)),0)=1)*(COUNTIF(S1608:U1625,$B1635)+COUNTIF(S1608:U1625,$B1635&amp;" ~*")&gt;0)+(IFERROR(INDEX(Setup!$G$33:$G$40,MATCH(W1635,Setup!$B$33:$B$40,0)),0)=1)*(COUNTIF(W1608:W1625,$B1635)+COUNTIF(W1608:W1625,$B1635&amp;" ~*")&gt;0)+(IFERROR(INDEX(Setup!$G$33:$G$40,MATCH(Y1635,Setup!$B$33:$B$40,0)),0)=1)*(COUNTIF(Y1608:Y1625,$B1635)+COUNTIF(Y1608:Y1625,$B1635&amp;" ~*")&gt;0))</f>
        <v/>
      </c>
    </row>
    <row r="1636" ht="15" customHeight="1">
      <c r="A1636" t="n">
        <v>33</v>
      </c>
      <c r="B1636" s="37">
        <f>IF(Setup!$B$15="","",Setup!$B$15)</f>
        <v/>
      </c>
      <c r="C1636" s="102" t="n"/>
      <c r="D1636" s="103" t="n"/>
      <c r="E1636" s="103" t="n"/>
      <c r="F1636" s="104" t="n"/>
      <c r="G1636" s="102" t="n"/>
      <c r="H1636" s="103" t="n"/>
      <c r="I1636" s="103" t="n"/>
      <c r="J1636" s="104" t="n"/>
      <c r="K1636" s="102" t="n"/>
      <c r="L1636" s="103" t="n"/>
      <c r="M1636" s="103" t="n"/>
      <c r="N1636" s="104" t="n"/>
      <c r="O1636" s="102" t="n"/>
      <c r="P1636" s="103" t="n"/>
      <c r="Q1636" s="103" t="n"/>
      <c r="R1636" s="104" t="n"/>
      <c r="S1636" s="102" t="n"/>
      <c r="T1636" s="103" t="n"/>
      <c r="U1636" s="103" t="n"/>
      <c r="V1636" s="104" t="n"/>
      <c r="W1636" s="102" t="n"/>
      <c r="X1636" s="104" t="n"/>
      <c r="Y1636" s="102" t="n"/>
      <c r="Z1636" s="104" t="n"/>
      <c r="AB1636" s="105">
        <f>IF($B1636="","",(COUNTIF(C1608:E1625,$B1636)+COUNTIF(C1608:E1625,$B1636&amp;" ~*")&gt;0)+(COUNTIF(G1608:I1625,$B1636)+COUNTIF(G1608:I1625,$B1636&amp;" ~*")&gt;0)+(COUNTIF(K1608:M1625,$B1636)+COUNTIF(K1608:M1625,$B1636&amp;" ~*")&gt;0)+(COUNTIF(O1608:Q1625,$B1636)+COUNTIF(O1608:Q1625,$B1636&amp;" ~*")&gt;0)+(COUNTIF(S1608:U1625,$B1636)+COUNTIF(S1608:U1625,$B1636&amp;" ~*")&gt;0)+(COUNTIF(W1608:W1625,$B1636)+COUNTIF(W1608:W1625,$B1636&amp;" ~*")&gt;0)+(COUNTIF(Y1608:Y1625,$B1636)+COUNTIF(Y1608:Y1625,$B1636&amp;" ~*")&gt;0))</f>
        <v/>
      </c>
      <c r="AC1636" s="38">
        <f>IF($B1636="","",(IFERROR(INDEX(Setup!$G$33:$G$40,MATCH(C1636,Setup!$B$33:$B$40,0)),0)=1)*(COUNTIF(C1608:E1625,$B1636)+COUNTIF(C1608:E1625,$B1636&amp;" ~*")&gt;0)+(IFERROR(INDEX(Setup!$G$33:$G$40,MATCH(G1636,Setup!$B$33:$B$40,0)),0)=1)*(COUNTIF(G1608:I1625,$B1636)+COUNTIF(G1608:I1625,$B1636&amp;" ~*")&gt;0)+(IFERROR(INDEX(Setup!$G$33:$G$40,MATCH(K1636,Setup!$B$33:$B$40,0)),0)=1)*(COUNTIF(K1608:M1625,$B1636)+COUNTIF(K1608:M1625,$B1636&amp;" ~*")&gt;0)+(IFERROR(INDEX(Setup!$G$33:$G$40,MATCH(O1636,Setup!$B$33:$B$40,0)),0)=1)*(COUNTIF(O1608:Q1625,$B1636)+COUNTIF(O1608:Q1625,$B1636&amp;" ~*")&gt;0)+(IFERROR(INDEX(Setup!$G$33:$G$40,MATCH(S1636,Setup!$B$33:$B$40,0)),0)=1)*(COUNTIF(S1608:U1625,$B1636)+COUNTIF(S1608:U1625,$B1636&amp;" ~*")&gt;0)+(IFERROR(INDEX(Setup!$G$33:$G$40,MATCH(W1636,Setup!$B$33:$B$40,0)),0)=1)*(COUNTIF(W1608:W1625,$B1636)+COUNTIF(W1608:W1625,$B1636&amp;" ~*")&gt;0)+(IFERROR(INDEX(Setup!$G$33:$G$40,MATCH(Y1636,Setup!$B$33:$B$40,0)),0)=1)*(COUNTIF(Y1608:Y1625,$B1636)+COUNTIF(Y1608:Y1625,$B1636&amp;" ~*")&gt;0))</f>
        <v/>
      </c>
    </row>
    <row r="1637" ht="15" customHeight="1">
      <c r="A1637" t="n">
        <v>33</v>
      </c>
      <c r="B1637" s="35">
        <f>IF(Setup!$B$16="","",Setup!$B$16)</f>
        <v/>
      </c>
      <c r="C1637" s="98" t="n"/>
      <c r="D1637" s="99" t="n"/>
      <c r="E1637" s="99" t="n"/>
      <c r="F1637" s="100" t="n"/>
      <c r="G1637" s="98" t="n"/>
      <c r="H1637" s="99" t="n"/>
      <c r="I1637" s="99" t="n"/>
      <c r="J1637" s="100" t="n"/>
      <c r="K1637" s="98" t="n"/>
      <c r="L1637" s="99" t="n"/>
      <c r="M1637" s="99" t="n"/>
      <c r="N1637" s="100" t="n"/>
      <c r="O1637" s="98" t="n"/>
      <c r="P1637" s="99" t="n"/>
      <c r="Q1637" s="99" t="n"/>
      <c r="R1637" s="100" t="n"/>
      <c r="S1637" s="98" t="n"/>
      <c r="T1637" s="99" t="n"/>
      <c r="U1637" s="99" t="n"/>
      <c r="V1637" s="100" t="n"/>
      <c r="W1637" s="98" t="n"/>
      <c r="X1637" s="100" t="n"/>
      <c r="Y1637" s="98" t="n"/>
      <c r="Z1637" s="100" t="n"/>
      <c r="AB1637" s="101">
        <f>IF($B1637="","",(COUNTIF(C1608:E1625,$B1637)+COUNTIF(C1608:E1625,$B1637&amp;" ~*")&gt;0)+(COUNTIF(G1608:I1625,$B1637)+COUNTIF(G1608:I1625,$B1637&amp;" ~*")&gt;0)+(COUNTIF(K1608:M1625,$B1637)+COUNTIF(K1608:M1625,$B1637&amp;" ~*")&gt;0)+(COUNTIF(O1608:Q1625,$B1637)+COUNTIF(O1608:Q1625,$B1637&amp;" ~*")&gt;0)+(COUNTIF(S1608:U1625,$B1637)+COUNTIF(S1608:U1625,$B1637&amp;" ~*")&gt;0)+(COUNTIF(W1608:W1625,$B1637)+COUNTIF(W1608:W1625,$B1637&amp;" ~*")&gt;0)+(COUNTIF(Y1608:Y1625,$B1637)+COUNTIF(Y1608:Y1625,$B1637&amp;" ~*")&gt;0))</f>
        <v/>
      </c>
      <c r="AC1637" s="36">
        <f>IF($B1637="","",(IFERROR(INDEX(Setup!$G$33:$G$40,MATCH(C1637,Setup!$B$33:$B$40,0)),0)=1)*(COUNTIF(C1608:E1625,$B1637)+COUNTIF(C1608:E1625,$B1637&amp;" ~*")&gt;0)+(IFERROR(INDEX(Setup!$G$33:$G$40,MATCH(G1637,Setup!$B$33:$B$40,0)),0)=1)*(COUNTIF(G1608:I1625,$B1637)+COUNTIF(G1608:I1625,$B1637&amp;" ~*")&gt;0)+(IFERROR(INDEX(Setup!$G$33:$G$40,MATCH(K1637,Setup!$B$33:$B$40,0)),0)=1)*(COUNTIF(K1608:M1625,$B1637)+COUNTIF(K1608:M1625,$B1637&amp;" ~*")&gt;0)+(IFERROR(INDEX(Setup!$G$33:$G$40,MATCH(O1637,Setup!$B$33:$B$40,0)),0)=1)*(COUNTIF(O1608:Q1625,$B1637)+COUNTIF(O1608:Q1625,$B1637&amp;" ~*")&gt;0)+(IFERROR(INDEX(Setup!$G$33:$G$40,MATCH(S1637,Setup!$B$33:$B$40,0)),0)=1)*(COUNTIF(S1608:U1625,$B1637)+COUNTIF(S1608:U1625,$B1637&amp;" ~*")&gt;0)+(IFERROR(INDEX(Setup!$G$33:$G$40,MATCH(W1637,Setup!$B$33:$B$40,0)),0)=1)*(COUNTIF(W1608:W1625,$B1637)+COUNTIF(W1608:W1625,$B1637&amp;" ~*")&gt;0)+(IFERROR(INDEX(Setup!$G$33:$G$40,MATCH(Y1637,Setup!$B$33:$B$40,0)),0)=1)*(COUNTIF(Y1608:Y1625,$B1637)+COUNTIF(Y1608:Y1625,$B1637&amp;" ~*")&gt;0))</f>
        <v/>
      </c>
    </row>
    <row r="1638" ht="15" customHeight="1">
      <c r="A1638" t="n">
        <v>33</v>
      </c>
      <c r="B1638" s="37">
        <f>IF(Setup!$B$17="","",Setup!$B$17)</f>
        <v/>
      </c>
      <c r="C1638" s="102" t="n"/>
      <c r="D1638" s="103" t="n"/>
      <c r="E1638" s="103" t="n"/>
      <c r="F1638" s="104" t="n"/>
      <c r="G1638" s="102" t="n"/>
      <c r="H1638" s="103" t="n"/>
      <c r="I1638" s="103" t="n"/>
      <c r="J1638" s="104" t="n"/>
      <c r="K1638" s="102" t="n"/>
      <c r="L1638" s="103" t="n"/>
      <c r="M1638" s="103" t="n"/>
      <c r="N1638" s="104" t="n"/>
      <c r="O1638" s="102" t="n"/>
      <c r="P1638" s="103" t="n"/>
      <c r="Q1638" s="103" t="n"/>
      <c r="R1638" s="104" t="n"/>
      <c r="S1638" s="102" t="n"/>
      <c r="T1638" s="103" t="n"/>
      <c r="U1638" s="103" t="n"/>
      <c r="V1638" s="104" t="n"/>
      <c r="W1638" s="102" t="n"/>
      <c r="X1638" s="104" t="n"/>
      <c r="Y1638" s="102" t="n"/>
      <c r="Z1638" s="104" t="n"/>
      <c r="AB1638" s="105">
        <f>IF($B1638="","",(COUNTIF(C1608:E1625,$B1638)+COUNTIF(C1608:E1625,$B1638&amp;" ~*")&gt;0)+(COUNTIF(G1608:I1625,$B1638)+COUNTIF(G1608:I1625,$B1638&amp;" ~*")&gt;0)+(COUNTIF(K1608:M1625,$B1638)+COUNTIF(K1608:M1625,$B1638&amp;" ~*")&gt;0)+(COUNTIF(O1608:Q1625,$B1638)+COUNTIF(O1608:Q1625,$B1638&amp;" ~*")&gt;0)+(COUNTIF(S1608:U1625,$B1638)+COUNTIF(S1608:U1625,$B1638&amp;" ~*")&gt;0)+(COUNTIF(W1608:W1625,$B1638)+COUNTIF(W1608:W1625,$B1638&amp;" ~*")&gt;0)+(COUNTIF(Y1608:Y1625,$B1638)+COUNTIF(Y1608:Y1625,$B1638&amp;" ~*")&gt;0))</f>
        <v/>
      </c>
      <c r="AC1638" s="38">
        <f>IF($B1638="","",(IFERROR(INDEX(Setup!$G$33:$G$40,MATCH(C1638,Setup!$B$33:$B$40,0)),0)=1)*(COUNTIF(C1608:E1625,$B1638)+COUNTIF(C1608:E1625,$B1638&amp;" ~*")&gt;0)+(IFERROR(INDEX(Setup!$G$33:$G$40,MATCH(G1638,Setup!$B$33:$B$40,0)),0)=1)*(COUNTIF(G1608:I1625,$B1638)+COUNTIF(G1608:I1625,$B1638&amp;" ~*")&gt;0)+(IFERROR(INDEX(Setup!$G$33:$G$40,MATCH(K1638,Setup!$B$33:$B$40,0)),0)=1)*(COUNTIF(K1608:M1625,$B1638)+COUNTIF(K1608:M1625,$B1638&amp;" ~*")&gt;0)+(IFERROR(INDEX(Setup!$G$33:$G$40,MATCH(O1638,Setup!$B$33:$B$40,0)),0)=1)*(COUNTIF(O1608:Q1625,$B1638)+COUNTIF(O1608:Q1625,$B1638&amp;" ~*")&gt;0)+(IFERROR(INDEX(Setup!$G$33:$G$40,MATCH(S1638,Setup!$B$33:$B$40,0)),0)=1)*(COUNTIF(S1608:U1625,$B1638)+COUNTIF(S1608:U1625,$B1638&amp;" ~*")&gt;0)+(IFERROR(INDEX(Setup!$G$33:$G$40,MATCH(W1638,Setup!$B$33:$B$40,0)),0)=1)*(COUNTIF(W1608:W1625,$B1638)+COUNTIF(W1608:W1625,$B1638&amp;" ~*")&gt;0)+(IFERROR(INDEX(Setup!$G$33:$G$40,MATCH(Y1638,Setup!$B$33:$B$40,0)),0)=1)*(COUNTIF(Y1608:Y1625,$B1638)+COUNTIF(Y1608:Y1625,$B1638&amp;" ~*")&gt;0))</f>
        <v/>
      </c>
    </row>
    <row r="1639" ht="15" customHeight="1">
      <c r="A1639" t="n">
        <v>33</v>
      </c>
      <c r="B1639" s="35">
        <f>IF(Setup!$B$18="","",Setup!$B$18)</f>
        <v/>
      </c>
      <c r="C1639" s="98" t="n"/>
      <c r="D1639" s="99" t="n"/>
      <c r="E1639" s="99" t="n"/>
      <c r="F1639" s="100" t="n"/>
      <c r="G1639" s="98" t="n"/>
      <c r="H1639" s="99" t="n"/>
      <c r="I1639" s="99" t="n"/>
      <c r="J1639" s="100" t="n"/>
      <c r="K1639" s="98" t="n"/>
      <c r="L1639" s="99" t="n"/>
      <c r="M1639" s="99" t="n"/>
      <c r="N1639" s="100" t="n"/>
      <c r="O1639" s="98" t="n"/>
      <c r="P1639" s="99" t="n"/>
      <c r="Q1639" s="99" t="n"/>
      <c r="R1639" s="100" t="n"/>
      <c r="S1639" s="98" t="n"/>
      <c r="T1639" s="99" t="n"/>
      <c r="U1639" s="99" t="n"/>
      <c r="V1639" s="100" t="n"/>
      <c r="W1639" s="98" t="n"/>
      <c r="X1639" s="100" t="n"/>
      <c r="Y1639" s="98" t="n"/>
      <c r="Z1639" s="100" t="n"/>
      <c r="AB1639" s="101">
        <f>IF($B1639="","",(COUNTIF(C1608:E1625,$B1639)+COUNTIF(C1608:E1625,$B1639&amp;" ~*")&gt;0)+(COUNTIF(G1608:I1625,$B1639)+COUNTIF(G1608:I1625,$B1639&amp;" ~*")&gt;0)+(COUNTIF(K1608:M1625,$B1639)+COUNTIF(K1608:M1625,$B1639&amp;" ~*")&gt;0)+(COUNTIF(O1608:Q1625,$B1639)+COUNTIF(O1608:Q1625,$B1639&amp;" ~*")&gt;0)+(COUNTIF(S1608:U1625,$B1639)+COUNTIF(S1608:U1625,$B1639&amp;" ~*")&gt;0)+(COUNTIF(W1608:W1625,$B1639)+COUNTIF(W1608:W1625,$B1639&amp;" ~*")&gt;0)+(COUNTIF(Y1608:Y1625,$B1639)+COUNTIF(Y1608:Y1625,$B1639&amp;" ~*")&gt;0))</f>
        <v/>
      </c>
      <c r="AC1639" s="36">
        <f>IF($B1639="","",(IFERROR(INDEX(Setup!$G$33:$G$40,MATCH(C1639,Setup!$B$33:$B$40,0)),0)=1)*(COUNTIF(C1608:E1625,$B1639)+COUNTIF(C1608:E1625,$B1639&amp;" ~*")&gt;0)+(IFERROR(INDEX(Setup!$G$33:$G$40,MATCH(G1639,Setup!$B$33:$B$40,0)),0)=1)*(COUNTIF(G1608:I1625,$B1639)+COUNTIF(G1608:I1625,$B1639&amp;" ~*")&gt;0)+(IFERROR(INDEX(Setup!$G$33:$G$40,MATCH(K1639,Setup!$B$33:$B$40,0)),0)=1)*(COUNTIF(K1608:M1625,$B1639)+COUNTIF(K1608:M1625,$B1639&amp;" ~*")&gt;0)+(IFERROR(INDEX(Setup!$G$33:$G$40,MATCH(O1639,Setup!$B$33:$B$40,0)),0)=1)*(COUNTIF(O1608:Q1625,$B1639)+COUNTIF(O1608:Q1625,$B1639&amp;" ~*")&gt;0)+(IFERROR(INDEX(Setup!$G$33:$G$40,MATCH(S1639,Setup!$B$33:$B$40,0)),0)=1)*(COUNTIF(S1608:U1625,$B1639)+COUNTIF(S1608:U1625,$B1639&amp;" ~*")&gt;0)+(IFERROR(INDEX(Setup!$G$33:$G$40,MATCH(W1639,Setup!$B$33:$B$40,0)),0)=1)*(COUNTIF(W1608:W1625,$B1639)+COUNTIF(W1608:W1625,$B1639&amp;" ~*")&gt;0)+(IFERROR(INDEX(Setup!$G$33:$G$40,MATCH(Y1639,Setup!$B$33:$B$40,0)),0)=1)*(COUNTIF(Y1608:Y1625,$B1639)+COUNTIF(Y1608:Y1625,$B1639&amp;" ~*")&gt;0))</f>
        <v/>
      </c>
    </row>
    <row r="1640" ht="15" customHeight="1">
      <c r="A1640" t="n">
        <v>33</v>
      </c>
      <c r="B1640" s="37">
        <f>IF(Setup!$B$19="","",Setup!$B$19)</f>
        <v/>
      </c>
      <c r="C1640" s="102" t="n"/>
      <c r="D1640" s="103" t="n"/>
      <c r="E1640" s="103" t="n"/>
      <c r="F1640" s="104" t="n"/>
      <c r="G1640" s="102" t="n"/>
      <c r="H1640" s="103" t="n"/>
      <c r="I1640" s="103" t="n"/>
      <c r="J1640" s="104" t="n"/>
      <c r="K1640" s="102" t="n"/>
      <c r="L1640" s="103" t="n"/>
      <c r="M1640" s="103" t="n"/>
      <c r="N1640" s="104" t="n"/>
      <c r="O1640" s="102" t="n"/>
      <c r="P1640" s="103" t="n"/>
      <c r="Q1640" s="103" t="n"/>
      <c r="R1640" s="104" t="n"/>
      <c r="S1640" s="102" t="n"/>
      <c r="T1640" s="103" t="n"/>
      <c r="U1640" s="103" t="n"/>
      <c r="V1640" s="104" t="n"/>
      <c r="W1640" s="102" t="n"/>
      <c r="X1640" s="104" t="n"/>
      <c r="Y1640" s="102" t="n"/>
      <c r="Z1640" s="104" t="n"/>
      <c r="AB1640" s="105">
        <f>IF($B1640="","",(COUNTIF(C1608:E1625,$B1640)+COUNTIF(C1608:E1625,$B1640&amp;" ~*")&gt;0)+(COUNTIF(G1608:I1625,$B1640)+COUNTIF(G1608:I1625,$B1640&amp;" ~*")&gt;0)+(COUNTIF(K1608:M1625,$B1640)+COUNTIF(K1608:M1625,$B1640&amp;" ~*")&gt;0)+(COUNTIF(O1608:Q1625,$B1640)+COUNTIF(O1608:Q1625,$B1640&amp;" ~*")&gt;0)+(COUNTIF(S1608:U1625,$B1640)+COUNTIF(S1608:U1625,$B1640&amp;" ~*")&gt;0)+(COUNTIF(W1608:W1625,$B1640)+COUNTIF(W1608:W1625,$B1640&amp;" ~*")&gt;0)+(COUNTIF(Y1608:Y1625,$B1640)+COUNTIF(Y1608:Y1625,$B1640&amp;" ~*")&gt;0))</f>
        <v/>
      </c>
      <c r="AC1640" s="38">
        <f>IF($B1640="","",(IFERROR(INDEX(Setup!$G$33:$G$40,MATCH(C1640,Setup!$B$33:$B$40,0)),0)=1)*(COUNTIF(C1608:E1625,$B1640)+COUNTIF(C1608:E1625,$B1640&amp;" ~*")&gt;0)+(IFERROR(INDEX(Setup!$G$33:$G$40,MATCH(G1640,Setup!$B$33:$B$40,0)),0)=1)*(COUNTIF(G1608:I1625,$B1640)+COUNTIF(G1608:I1625,$B1640&amp;" ~*")&gt;0)+(IFERROR(INDEX(Setup!$G$33:$G$40,MATCH(K1640,Setup!$B$33:$B$40,0)),0)=1)*(COUNTIF(K1608:M1625,$B1640)+COUNTIF(K1608:M1625,$B1640&amp;" ~*")&gt;0)+(IFERROR(INDEX(Setup!$G$33:$G$40,MATCH(O1640,Setup!$B$33:$B$40,0)),0)=1)*(COUNTIF(O1608:Q1625,$B1640)+COUNTIF(O1608:Q1625,$B1640&amp;" ~*")&gt;0)+(IFERROR(INDEX(Setup!$G$33:$G$40,MATCH(S1640,Setup!$B$33:$B$40,0)),0)=1)*(COUNTIF(S1608:U1625,$B1640)+COUNTIF(S1608:U1625,$B1640&amp;" ~*")&gt;0)+(IFERROR(INDEX(Setup!$G$33:$G$40,MATCH(W1640,Setup!$B$33:$B$40,0)),0)=1)*(COUNTIF(W1608:W1625,$B1640)+COUNTIF(W1608:W1625,$B1640&amp;" ~*")&gt;0)+(IFERROR(INDEX(Setup!$G$33:$G$40,MATCH(Y1640,Setup!$B$33:$B$40,0)),0)=1)*(COUNTIF(Y1608:Y1625,$B1640)+COUNTIF(Y1608:Y1625,$B1640&amp;" ~*")&gt;0))</f>
        <v/>
      </c>
    </row>
    <row r="1641" ht="15" customHeight="1">
      <c r="A1641" t="n">
        <v>33</v>
      </c>
      <c r="B1641" s="35">
        <f>IF(Setup!$B$20="","",Setup!$B$20)</f>
        <v/>
      </c>
      <c r="C1641" s="98" t="n"/>
      <c r="D1641" s="99" t="n"/>
      <c r="E1641" s="99" t="n"/>
      <c r="F1641" s="100" t="n"/>
      <c r="G1641" s="98" t="n"/>
      <c r="H1641" s="99" t="n"/>
      <c r="I1641" s="99" t="n"/>
      <c r="J1641" s="100" t="n"/>
      <c r="K1641" s="98" t="n"/>
      <c r="L1641" s="99" t="n"/>
      <c r="M1641" s="99" t="n"/>
      <c r="N1641" s="100" t="n"/>
      <c r="O1641" s="98" t="n"/>
      <c r="P1641" s="99" t="n"/>
      <c r="Q1641" s="99" t="n"/>
      <c r="R1641" s="100" t="n"/>
      <c r="S1641" s="98" t="n"/>
      <c r="T1641" s="99" t="n"/>
      <c r="U1641" s="99" t="n"/>
      <c r="V1641" s="100" t="n"/>
      <c r="W1641" s="98" t="n"/>
      <c r="X1641" s="100" t="n"/>
      <c r="Y1641" s="98" t="n"/>
      <c r="Z1641" s="100" t="n"/>
      <c r="AB1641" s="101">
        <f>IF($B1641="","",(COUNTIF(C1608:E1625,$B1641)+COUNTIF(C1608:E1625,$B1641&amp;" ~*")&gt;0)+(COUNTIF(G1608:I1625,$B1641)+COUNTIF(G1608:I1625,$B1641&amp;" ~*")&gt;0)+(COUNTIF(K1608:M1625,$B1641)+COUNTIF(K1608:M1625,$B1641&amp;" ~*")&gt;0)+(COUNTIF(O1608:Q1625,$B1641)+COUNTIF(O1608:Q1625,$B1641&amp;" ~*")&gt;0)+(COUNTIF(S1608:U1625,$B1641)+COUNTIF(S1608:U1625,$B1641&amp;" ~*")&gt;0)+(COUNTIF(W1608:W1625,$B1641)+COUNTIF(W1608:W1625,$B1641&amp;" ~*")&gt;0)+(COUNTIF(Y1608:Y1625,$B1641)+COUNTIF(Y1608:Y1625,$B1641&amp;" ~*")&gt;0))</f>
        <v/>
      </c>
      <c r="AC1641" s="36">
        <f>IF($B1641="","",(IFERROR(INDEX(Setup!$G$33:$G$40,MATCH(C1641,Setup!$B$33:$B$40,0)),0)=1)*(COUNTIF(C1608:E1625,$B1641)+COUNTIF(C1608:E1625,$B1641&amp;" ~*")&gt;0)+(IFERROR(INDEX(Setup!$G$33:$G$40,MATCH(G1641,Setup!$B$33:$B$40,0)),0)=1)*(COUNTIF(G1608:I1625,$B1641)+COUNTIF(G1608:I1625,$B1641&amp;" ~*")&gt;0)+(IFERROR(INDEX(Setup!$G$33:$G$40,MATCH(K1641,Setup!$B$33:$B$40,0)),0)=1)*(COUNTIF(K1608:M1625,$B1641)+COUNTIF(K1608:M1625,$B1641&amp;" ~*")&gt;0)+(IFERROR(INDEX(Setup!$G$33:$G$40,MATCH(O1641,Setup!$B$33:$B$40,0)),0)=1)*(COUNTIF(O1608:Q1625,$B1641)+COUNTIF(O1608:Q1625,$B1641&amp;" ~*")&gt;0)+(IFERROR(INDEX(Setup!$G$33:$G$40,MATCH(S1641,Setup!$B$33:$B$40,0)),0)=1)*(COUNTIF(S1608:U1625,$B1641)+COUNTIF(S1608:U1625,$B1641&amp;" ~*")&gt;0)+(IFERROR(INDEX(Setup!$G$33:$G$40,MATCH(W1641,Setup!$B$33:$B$40,0)),0)=1)*(COUNTIF(W1608:W1625,$B1641)+COUNTIF(W1608:W1625,$B1641&amp;" ~*")&gt;0)+(IFERROR(INDEX(Setup!$G$33:$G$40,MATCH(Y1641,Setup!$B$33:$B$40,0)),0)=1)*(COUNTIF(Y1608:Y1625,$B1641)+COUNTIF(Y1608:Y1625,$B1641&amp;" ~*")&gt;0))</f>
        <v/>
      </c>
    </row>
    <row r="1642" ht="15" customHeight="1">
      <c r="A1642" t="n">
        <v>33</v>
      </c>
      <c r="B1642" s="37">
        <f>IF(Setup!$B$21="","",Setup!$B$21)</f>
        <v/>
      </c>
      <c r="C1642" s="102" t="n"/>
      <c r="D1642" s="103" t="n"/>
      <c r="E1642" s="103" t="n"/>
      <c r="F1642" s="104" t="n"/>
      <c r="G1642" s="102" t="n"/>
      <c r="H1642" s="103" t="n"/>
      <c r="I1642" s="103" t="n"/>
      <c r="J1642" s="104" t="n"/>
      <c r="K1642" s="102" t="n"/>
      <c r="L1642" s="103" t="n"/>
      <c r="M1642" s="103" t="n"/>
      <c r="N1642" s="104" t="n"/>
      <c r="O1642" s="102" t="n"/>
      <c r="P1642" s="103" t="n"/>
      <c r="Q1642" s="103" t="n"/>
      <c r="R1642" s="104" t="n"/>
      <c r="S1642" s="102" t="n"/>
      <c r="T1642" s="103" t="n"/>
      <c r="U1642" s="103" t="n"/>
      <c r="V1642" s="104" t="n"/>
      <c r="W1642" s="102" t="n"/>
      <c r="X1642" s="104" t="n"/>
      <c r="Y1642" s="102" t="n"/>
      <c r="Z1642" s="104" t="n"/>
      <c r="AB1642" s="105">
        <f>IF($B1642="","",(COUNTIF(C1608:E1625,$B1642)+COUNTIF(C1608:E1625,$B1642&amp;" ~*")&gt;0)+(COUNTIF(G1608:I1625,$B1642)+COUNTIF(G1608:I1625,$B1642&amp;" ~*")&gt;0)+(COUNTIF(K1608:M1625,$B1642)+COUNTIF(K1608:M1625,$B1642&amp;" ~*")&gt;0)+(COUNTIF(O1608:Q1625,$B1642)+COUNTIF(O1608:Q1625,$B1642&amp;" ~*")&gt;0)+(COUNTIF(S1608:U1625,$B1642)+COUNTIF(S1608:U1625,$B1642&amp;" ~*")&gt;0)+(COUNTIF(W1608:W1625,$B1642)+COUNTIF(W1608:W1625,$B1642&amp;" ~*")&gt;0)+(COUNTIF(Y1608:Y1625,$B1642)+COUNTIF(Y1608:Y1625,$B1642&amp;" ~*")&gt;0))</f>
        <v/>
      </c>
      <c r="AC1642" s="38">
        <f>IF($B1642="","",(IFERROR(INDEX(Setup!$G$33:$G$40,MATCH(C1642,Setup!$B$33:$B$40,0)),0)=1)*(COUNTIF(C1608:E1625,$B1642)+COUNTIF(C1608:E1625,$B1642&amp;" ~*")&gt;0)+(IFERROR(INDEX(Setup!$G$33:$G$40,MATCH(G1642,Setup!$B$33:$B$40,0)),0)=1)*(COUNTIF(G1608:I1625,$B1642)+COUNTIF(G1608:I1625,$B1642&amp;" ~*")&gt;0)+(IFERROR(INDEX(Setup!$G$33:$G$40,MATCH(K1642,Setup!$B$33:$B$40,0)),0)=1)*(COUNTIF(K1608:M1625,$B1642)+COUNTIF(K1608:M1625,$B1642&amp;" ~*")&gt;0)+(IFERROR(INDEX(Setup!$G$33:$G$40,MATCH(O1642,Setup!$B$33:$B$40,0)),0)=1)*(COUNTIF(O1608:Q1625,$B1642)+COUNTIF(O1608:Q1625,$B1642&amp;" ~*")&gt;0)+(IFERROR(INDEX(Setup!$G$33:$G$40,MATCH(S1642,Setup!$B$33:$B$40,0)),0)=1)*(COUNTIF(S1608:U1625,$B1642)+COUNTIF(S1608:U1625,$B1642&amp;" ~*")&gt;0)+(IFERROR(INDEX(Setup!$G$33:$G$40,MATCH(W1642,Setup!$B$33:$B$40,0)),0)=1)*(COUNTIF(W1608:W1625,$B1642)+COUNTIF(W1608:W1625,$B1642&amp;" ~*")&gt;0)+(IFERROR(INDEX(Setup!$G$33:$G$40,MATCH(Y1642,Setup!$B$33:$B$40,0)),0)=1)*(COUNTIF(Y1608:Y1625,$B1642)+COUNTIF(Y1608:Y1625,$B1642&amp;" ~*")&gt;0))</f>
        <v/>
      </c>
    </row>
    <row r="1643" ht="15" customHeight="1">
      <c r="A1643" t="n">
        <v>33</v>
      </c>
      <c r="B1643" s="35">
        <f>IF(Setup!$B$22="","",Setup!$B$22)</f>
        <v/>
      </c>
      <c r="C1643" s="98" t="n"/>
      <c r="D1643" s="99" t="n"/>
      <c r="E1643" s="99" t="n"/>
      <c r="F1643" s="100" t="n"/>
      <c r="G1643" s="98" t="n"/>
      <c r="H1643" s="99" t="n"/>
      <c r="I1643" s="99" t="n"/>
      <c r="J1643" s="100" t="n"/>
      <c r="K1643" s="98" t="n"/>
      <c r="L1643" s="99" t="n"/>
      <c r="M1643" s="99" t="n"/>
      <c r="N1643" s="100" t="n"/>
      <c r="O1643" s="98" t="n"/>
      <c r="P1643" s="99" t="n"/>
      <c r="Q1643" s="99" t="n"/>
      <c r="R1643" s="100" t="n"/>
      <c r="S1643" s="98" t="n"/>
      <c r="T1643" s="99" t="n"/>
      <c r="U1643" s="99" t="n"/>
      <c r="V1643" s="100" t="n"/>
      <c r="W1643" s="98" t="n"/>
      <c r="X1643" s="100" t="n"/>
      <c r="Y1643" s="98" t="n"/>
      <c r="Z1643" s="100" t="n"/>
      <c r="AB1643" s="101">
        <f>IF($B1643="","",(COUNTIF(C1608:E1625,$B1643)+COUNTIF(C1608:E1625,$B1643&amp;" ~*")&gt;0)+(COUNTIF(G1608:I1625,$B1643)+COUNTIF(G1608:I1625,$B1643&amp;" ~*")&gt;0)+(COUNTIF(K1608:M1625,$B1643)+COUNTIF(K1608:M1625,$B1643&amp;" ~*")&gt;0)+(COUNTIF(O1608:Q1625,$B1643)+COUNTIF(O1608:Q1625,$B1643&amp;" ~*")&gt;0)+(COUNTIF(S1608:U1625,$B1643)+COUNTIF(S1608:U1625,$B1643&amp;" ~*")&gt;0)+(COUNTIF(W1608:W1625,$B1643)+COUNTIF(W1608:W1625,$B1643&amp;" ~*")&gt;0)+(COUNTIF(Y1608:Y1625,$B1643)+COUNTIF(Y1608:Y1625,$B1643&amp;" ~*")&gt;0))</f>
        <v/>
      </c>
      <c r="AC1643" s="36">
        <f>IF($B1643="","",(IFERROR(INDEX(Setup!$G$33:$G$40,MATCH(C1643,Setup!$B$33:$B$40,0)),0)=1)*(COUNTIF(C1608:E1625,$B1643)+COUNTIF(C1608:E1625,$B1643&amp;" ~*")&gt;0)+(IFERROR(INDEX(Setup!$G$33:$G$40,MATCH(G1643,Setup!$B$33:$B$40,0)),0)=1)*(COUNTIF(G1608:I1625,$B1643)+COUNTIF(G1608:I1625,$B1643&amp;" ~*")&gt;0)+(IFERROR(INDEX(Setup!$G$33:$G$40,MATCH(K1643,Setup!$B$33:$B$40,0)),0)=1)*(COUNTIF(K1608:M1625,$B1643)+COUNTIF(K1608:M1625,$B1643&amp;" ~*")&gt;0)+(IFERROR(INDEX(Setup!$G$33:$G$40,MATCH(O1643,Setup!$B$33:$B$40,0)),0)=1)*(COUNTIF(O1608:Q1625,$B1643)+COUNTIF(O1608:Q1625,$B1643&amp;" ~*")&gt;0)+(IFERROR(INDEX(Setup!$G$33:$G$40,MATCH(S1643,Setup!$B$33:$B$40,0)),0)=1)*(COUNTIF(S1608:U1625,$B1643)+COUNTIF(S1608:U1625,$B1643&amp;" ~*")&gt;0)+(IFERROR(INDEX(Setup!$G$33:$G$40,MATCH(W1643,Setup!$B$33:$B$40,0)),0)=1)*(COUNTIF(W1608:W1625,$B1643)+COUNTIF(W1608:W1625,$B1643&amp;" ~*")&gt;0)+(IFERROR(INDEX(Setup!$G$33:$G$40,MATCH(Y1643,Setup!$B$33:$B$40,0)),0)=1)*(COUNTIF(Y1608:Y1625,$B1643)+COUNTIF(Y1608:Y1625,$B1643&amp;" ~*")&gt;0))</f>
        <v/>
      </c>
    </row>
    <row r="1644" ht="15" customHeight="1">
      <c r="A1644" t="n">
        <v>33</v>
      </c>
      <c r="B1644" s="37">
        <f>IF(Setup!$B$23="","",Setup!$B$23)</f>
        <v/>
      </c>
      <c r="C1644" s="102" t="n"/>
      <c r="D1644" s="103" t="n"/>
      <c r="E1644" s="103" t="n"/>
      <c r="F1644" s="104" t="n"/>
      <c r="G1644" s="102" t="n"/>
      <c r="H1644" s="103" t="n"/>
      <c r="I1644" s="103" t="n"/>
      <c r="J1644" s="104" t="n"/>
      <c r="K1644" s="102" t="n"/>
      <c r="L1644" s="103" t="n"/>
      <c r="M1644" s="103" t="n"/>
      <c r="N1644" s="104" t="n"/>
      <c r="O1644" s="102" t="n"/>
      <c r="P1644" s="103" t="n"/>
      <c r="Q1644" s="103" t="n"/>
      <c r="R1644" s="104" t="n"/>
      <c r="S1644" s="102" t="n"/>
      <c r="T1644" s="103" t="n"/>
      <c r="U1644" s="103" t="n"/>
      <c r="V1644" s="104" t="n"/>
      <c r="W1644" s="102" t="n"/>
      <c r="X1644" s="104" t="n"/>
      <c r="Y1644" s="102" t="n"/>
      <c r="Z1644" s="104" t="n"/>
      <c r="AB1644" s="105">
        <f>IF($B1644="","",(COUNTIF(C1608:E1625,$B1644)+COUNTIF(C1608:E1625,$B1644&amp;" ~*")&gt;0)+(COUNTIF(G1608:I1625,$B1644)+COUNTIF(G1608:I1625,$B1644&amp;" ~*")&gt;0)+(COUNTIF(K1608:M1625,$B1644)+COUNTIF(K1608:M1625,$B1644&amp;" ~*")&gt;0)+(COUNTIF(O1608:Q1625,$B1644)+COUNTIF(O1608:Q1625,$B1644&amp;" ~*")&gt;0)+(COUNTIF(S1608:U1625,$B1644)+COUNTIF(S1608:U1625,$B1644&amp;" ~*")&gt;0)+(COUNTIF(W1608:W1625,$B1644)+COUNTIF(W1608:W1625,$B1644&amp;" ~*")&gt;0)+(COUNTIF(Y1608:Y1625,$B1644)+COUNTIF(Y1608:Y1625,$B1644&amp;" ~*")&gt;0))</f>
        <v/>
      </c>
      <c r="AC1644" s="38">
        <f>IF($B1644="","",(IFERROR(INDEX(Setup!$G$33:$G$40,MATCH(C1644,Setup!$B$33:$B$40,0)),0)=1)*(COUNTIF(C1608:E1625,$B1644)+COUNTIF(C1608:E1625,$B1644&amp;" ~*")&gt;0)+(IFERROR(INDEX(Setup!$G$33:$G$40,MATCH(G1644,Setup!$B$33:$B$40,0)),0)=1)*(COUNTIF(G1608:I1625,$B1644)+COUNTIF(G1608:I1625,$B1644&amp;" ~*")&gt;0)+(IFERROR(INDEX(Setup!$G$33:$G$40,MATCH(K1644,Setup!$B$33:$B$40,0)),0)=1)*(COUNTIF(K1608:M1625,$B1644)+COUNTIF(K1608:M1625,$B1644&amp;" ~*")&gt;0)+(IFERROR(INDEX(Setup!$G$33:$G$40,MATCH(O1644,Setup!$B$33:$B$40,0)),0)=1)*(COUNTIF(O1608:Q1625,$B1644)+COUNTIF(O1608:Q1625,$B1644&amp;" ~*")&gt;0)+(IFERROR(INDEX(Setup!$G$33:$G$40,MATCH(S1644,Setup!$B$33:$B$40,0)),0)=1)*(COUNTIF(S1608:U1625,$B1644)+COUNTIF(S1608:U1625,$B1644&amp;" ~*")&gt;0)+(IFERROR(INDEX(Setup!$G$33:$G$40,MATCH(W1644,Setup!$B$33:$B$40,0)),0)=1)*(COUNTIF(W1608:W1625,$B1644)+COUNTIF(W1608:W1625,$B1644&amp;" ~*")&gt;0)+(IFERROR(INDEX(Setup!$G$33:$G$40,MATCH(Y1644,Setup!$B$33:$B$40,0)),0)=1)*(COUNTIF(Y1608:Y1625,$B1644)+COUNTIF(Y1608:Y1625,$B1644&amp;" ~*")&gt;0))</f>
        <v/>
      </c>
    </row>
    <row r="1645" ht="15" customHeight="1">
      <c r="A1645" t="n">
        <v>33</v>
      </c>
      <c r="B1645" s="35">
        <f>IF(Setup!$B$24="","",Setup!$B$24)</f>
        <v/>
      </c>
      <c r="C1645" s="98" t="n"/>
      <c r="D1645" s="99" t="n"/>
      <c r="E1645" s="99" t="n"/>
      <c r="F1645" s="100" t="n"/>
      <c r="G1645" s="98" t="n"/>
      <c r="H1645" s="99" t="n"/>
      <c r="I1645" s="99" t="n"/>
      <c r="J1645" s="100" t="n"/>
      <c r="K1645" s="98" t="n"/>
      <c r="L1645" s="99" t="n"/>
      <c r="M1645" s="99" t="n"/>
      <c r="N1645" s="100" t="n"/>
      <c r="O1645" s="98" t="n"/>
      <c r="P1645" s="99" t="n"/>
      <c r="Q1645" s="99" t="n"/>
      <c r="R1645" s="100" t="n"/>
      <c r="S1645" s="98" t="n"/>
      <c r="T1645" s="99" t="n"/>
      <c r="U1645" s="99" t="n"/>
      <c r="V1645" s="100" t="n"/>
      <c r="W1645" s="98" t="n"/>
      <c r="X1645" s="100" t="n"/>
      <c r="Y1645" s="98" t="n"/>
      <c r="Z1645" s="100" t="n"/>
      <c r="AB1645" s="101">
        <f>IF($B1645="","",(COUNTIF(C1608:E1625,$B1645)+COUNTIF(C1608:E1625,$B1645&amp;" ~*")&gt;0)+(COUNTIF(G1608:I1625,$B1645)+COUNTIF(G1608:I1625,$B1645&amp;" ~*")&gt;0)+(COUNTIF(K1608:M1625,$B1645)+COUNTIF(K1608:M1625,$B1645&amp;" ~*")&gt;0)+(COUNTIF(O1608:Q1625,$B1645)+COUNTIF(O1608:Q1625,$B1645&amp;" ~*")&gt;0)+(COUNTIF(S1608:U1625,$B1645)+COUNTIF(S1608:U1625,$B1645&amp;" ~*")&gt;0)+(COUNTIF(W1608:W1625,$B1645)+COUNTIF(W1608:W1625,$B1645&amp;" ~*")&gt;0)+(COUNTIF(Y1608:Y1625,$B1645)+COUNTIF(Y1608:Y1625,$B1645&amp;" ~*")&gt;0))</f>
        <v/>
      </c>
      <c r="AC1645" s="36">
        <f>IF($B1645="","",(IFERROR(INDEX(Setup!$G$33:$G$40,MATCH(C1645,Setup!$B$33:$B$40,0)),0)=1)*(COUNTIF(C1608:E1625,$B1645)+COUNTIF(C1608:E1625,$B1645&amp;" ~*")&gt;0)+(IFERROR(INDEX(Setup!$G$33:$G$40,MATCH(G1645,Setup!$B$33:$B$40,0)),0)=1)*(COUNTIF(G1608:I1625,$B1645)+COUNTIF(G1608:I1625,$B1645&amp;" ~*")&gt;0)+(IFERROR(INDEX(Setup!$G$33:$G$40,MATCH(K1645,Setup!$B$33:$B$40,0)),0)=1)*(COUNTIF(K1608:M1625,$B1645)+COUNTIF(K1608:M1625,$B1645&amp;" ~*")&gt;0)+(IFERROR(INDEX(Setup!$G$33:$G$40,MATCH(O1645,Setup!$B$33:$B$40,0)),0)=1)*(COUNTIF(O1608:Q1625,$B1645)+COUNTIF(O1608:Q1625,$B1645&amp;" ~*")&gt;0)+(IFERROR(INDEX(Setup!$G$33:$G$40,MATCH(S1645,Setup!$B$33:$B$40,0)),0)=1)*(COUNTIF(S1608:U1625,$B1645)+COUNTIF(S1608:U1625,$B1645&amp;" ~*")&gt;0)+(IFERROR(INDEX(Setup!$G$33:$G$40,MATCH(W1645,Setup!$B$33:$B$40,0)),0)=1)*(COUNTIF(W1608:W1625,$B1645)+COUNTIF(W1608:W1625,$B1645&amp;" ~*")&gt;0)+(IFERROR(INDEX(Setup!$G$33:$G$40,MATCH(Y1645,Setup!$B$33:$B$40,0)),0)=1)*(COUNTIF(Y1608:Y1625,$B1645)+COUNTIF(Y1608:Y1625,$B1645&amp;" ~*")&gt;0))</f>
        <v/>
      </c>
    </row>
    <row r="1646" ht="15" customHeight="1">
      <c r="A1646" t="n">
        <v>33</v>
      </c>
      <c r="B1646" s="37">
        <f>IF(Setup!$B$25="","",Setup!$B$25)</f>
        <v/>
      </c>
      <c r="C1646" s="102" t="n"/>
      <c r="D1646" s="103" t="n"/>
      <c r="E1646" s="103" t="n"/>
      <c r="F1646" s="104" t="n"/>
      <c r="G1646" s="102" t="n"/>
      <c r="H1646" s="103" t="n"/>
      <c r="I1646" s="103" t="n"/>
      <c r="J1646" s="104" t="n"/>
      <c r="K1646" s="102" t="n"/>
      <c r="L1646" s="103" t="n"/>
      <c r="M1646" s="103" t="n"/>
      <c r="N1646" s="104" t="n"/>
      <c r="O1646" s="102" t="n"/>
      <c r="P1646" s="103" t="n"/>
      <c r="Q1646" s="103" t="n"/>
      <c r="R1646" s="104" t="n"/>
      <c r="S1646" s="102" t="n"/>
      <c r="T1646" s="103" t="n"/>
      <c r="U1646" s="103" t="n"/>
      <c r="V1646" s="104" t="n"/>
      <c r="W1646" s="102" t="n"/>
      <c r="X1646" s="104" t="n"/>
      <c r="Y1646" s="102" t="n"/>
      <c r="Z1646" s="104" t="n"/>
      <c r="AB1646" s="105">
        <f>IF($B1646="","",(COUNTIF(C1608:E1625,$B1646)+COUNTIF(C1608:E1625,$B1646&amp;" ~*")&gt;0)+(COUNTIF(G1608:I1625,$B1646)+COUNTIF(G1608:I1625,$B1646&amp;" ~*")&gt;0)+(COUNTIF(K1608:M1625,$B1646)+COUNTIF(K1608:M1625,$B1646&amp;" ~*")&gt;0)+(COUNTIF(O1608:Q1625,$B1646)+COUNTIF(O1608:Q1625,$B1646&amp;" ~*")&gt;0)+(COUNTIF(S1608:U1625,$B1646)+COUNTIF(S1608:U1625,$B1646&amp;" ~*")&gt;0)+(COUNTIF(W1608:W1625,$B1646)+COUNTIF(W1608:W1625,$B1646&amp;" ~*")&gt;0)+(COUNTIF(Y1608:Y1625,$B1646)+COUNTIF(Y1608:Y1625,$B1646&amp;" ~*")&gt;0))</f>
        <v/>
      </c>
      <c r="AC1646" s="38">
        <f>IF($B1646="","",(IFERROR(INDEX(Setup!$G$33:$G$40,MATCH(C1646,Setup!$B$33:$B$40,0)),0)=1)*(COUNTIF(C1608:E1625,$B1646)+COUNTIF(C1608:E1625,$B1646&amp;" ~*")&gt;0)+(IFERROR(INDEX(Setup!$G$33:$G$40,MATCH(G1646,Setup!$B$33:$B$40,0)),0)=1)*(COUNTIF(G1608:I1625,$B1646)+COUNTIF(G1608:I1625,$B1646&amp;" ~*")&gt;0)+(IFERROR(INDEX(Setup!$G$33:$G$40,MATCH(K1646,Setup!$B$33:$B$40,0)),0)=1)*(COUNTIF(K1608:M1625,$B1646)+COUNTIF(K1608:M1625,$B1646&amp;" ~*")&gt;0)+(IFERROR(INDEX(Setup!$G$33:$G$40,MATCH(O1646,Setup!$B$33:$B$40,0)),0)=1)*(COUNTIF(O1608:Q1625,$B1646)+COUNTIF(O1608:Q1625,$B1646&amp;" ~*")&gt;0)+(IFERROR(INDEX(Setup!$G$33:$G$40,MATCH(S1646,Setup!$B$33:$B$40,0)),0)=1)*(COUNTIF(S1608:U1625,$B1646)+COUNTIF(S1608:U1625,$B1646&amp;" ~*")&gt;0)+(IFERROR(INDEX(Setup!$G$33:$G$40,MATCH(W1646,Setup!$B$33:$B$40,0)),0)=1)*(COUNTIF(W1608:W1625,$B1646)+COUNTIF(W1608:W1625,$B1646&amp;" ~*")&gt;0)+(IFERROR(INDEX(Setup!$G$33:$G$40,MATCH(Y1646,Setup!$B$33:$B$40,0)),0)=1)*(COUNTIF(Y1608:Y1625,$B1646)+COUNTIF(Y1608:Y1625,$B1646&amp;" ~*")&gt;0))</f>
        <v/>
      </c>
    </row>
    <row r="1647" ht="15" customHeight="1">
      <c r="A1647" t="n">
        <v>33</v>
      </c>
      <c r="B1647" s="35">
        <f>IF(Setup!$B$26="","",Setup!$B$26)</f>
        <v/>
      </c>
      <c r="C1647" s="98" t="n"/>
      <c r="D1647" s="99" t="n"/>
      <c r="E1647" s="99" t="n"/>
      <c r="F1647" s="100" t="n"/>
      <c r="G1647" s="98" t="n"/>
      <c r="H1647" s="99" t="n"/>
      <c r="I1647" s="99" t="n"/>
      <c r="J1647" s="100" t="n"/>
      <c r="K1647" s="98" t="n"/>
      <c r="L1647" s="99" t="n"/>
      <c r="M1647" s="99" t="n"/>
      <c r="N1647" s="100" t="n"/>
      <c r="O1647" s="98" t="n"/>
      <c r="P1647" s="99" t="n"/>
      <c r="Q1647" s="99" t="n"/>
      <c r="R1647" s="100" t="n"/>
      <c r="S1647" s="98" t="n"/>
      <c r="T1647" s="99" t="n"/>
      <c r="U1647" s="99" t="n"/>
      <c r="V1647" s="100" t="n"/>
      <c r="W1647" s="98" t="n"/>
      <c r="X1647" s="100" t="n"/>
      <c r="Y1647" s="98" t="n"/>
      <c r="Z1647" s="100" t="n"/>
      <c r="AB1647" s="101">
        <f>IF($B1647="","",(COUNTIF(C1608:E1625,$B1647)+COUNTIF(C1608:E1625,$B1647&amp;" ~*")&gt;0)+(COUNTIF(G1608:I1625,$B1647)+COUNTIF(G1608:I1625,$B1647&amp;" ~*")&gt;0)+(COUNTIF(K1608:M1625,$B1647)+COUNTIF(K1608:M1625,$B1647&amp;" ~*")&gt;0)+(COUNTIF(O1608:Q1625,$B1647)+COUNTIF(O1608:Q1625,$B1647&amp;" ~*")&gt;0)+(COUNTIF(S1608:U1625,$B1647)+COUNTIF(S1608:U1625,$B1647&amp;" ~*")&gt;0)+(COUNTIF(W1608:W1625,$B1647)+COUNTIF(W1608:W1625,$B1647&amp;" ~*")&gt;0)+(COUNTIF(Y1608:Y1625,$B1647)+COUNTIF(Y1608:Y1625,$B1647&amp;" ~*")&gt;0))</f>
        <v/>
      </c>
      <c r="AC1647" s="36">
        <f>IF($B1647="","",(IFERROR(INDEX(Setup!$G$33:$G$40,MATCH(C1647,Setup!$B$33:$B$40,0)),0)=1)*(COUNTIF(C1608:E1625,$B1647)+COUNTIF(C1608:E1625,$B1647&amp;" ~*")&gt;0)+(IFERROR(INDEX(Setup!$G$33:$G$40,MATCH(G1647,Setup!$B$33:$B$40,0)),0)=1)*(COUNTIF(G1608:I1625,$B1647)+COUNTIF(G1608:I1625,$B1647&amp;" ~*")&gt;0)+(IFERROR(INDEX(Setup!$G$33:$G$40,MATCH(K1647,Setup!$B$33:$B$40,0)),0)=1)*(COUNTIF(K1608:M1625,$B1647)+COUNTIF(K1608:M1625,$B1647&amp;" ~*")&gt;0)+(IFERROR(INDEX(Setup!$G$33:$G$40,MATCH(O1647,Setup!$B$33:$B$40,0)),0)=1)*(COUNTIF(O1608:Q1625,$B1647)+COUNTIF(O1608:Q1625,$B1647&amp;" ~*")&gt;0)+(IFERROR(INDEX(Setup!$G$33:$G$40,MATCH(S1647,Setup!$B$33:$B$40,0)),0)=1)*(COUNTIF(S1608:U1625,$B1647)+COUNTIF(S1608:U1625,$B1647&amp;" ~*")&gt;0)+(IFERROR(INDEX(Setup!$G$33:$G$40,MATCH(W1647,Setup!$B$33:$B$40,0)),0)=1)*(COUNTIF(W1608:W1625,$B1647)+COUNTIF(W1608:W1625,$B1647&amp;" ~*")&gt;0)+(IFERROR(INDEX(Setup!$G$33:$G$40,MATCH(Y1647,Setup!$B$33:$B$40,0)),0)=1)*(COUNTIF(Y1608:Y1625,$B1647)+COUNTIF(Y1608:Y1625,$B1647&amp;" ~*")&gt;0))</f>
        <v/>
      </c>
    </row>
    <row r="1648" ht="15" customHeight="1">
      <c r="A1648" t="n">
        <v>33</v>
      </c>
      <c r="B1648" s="37">
        <f>IF(Setup!$B$27="","",Setup!$B$27)</f>
        <v/>
      </c>
      <c r="C1648" s="102" t="n"/>
      <c r="D1648" s="103" t="n"/>
      <c r="E1648" s="103" t="n"/>
      <c r="F1648" s="104" t="n"/>
      <c r="G1648" s="102" t="n"/>
      <c r="H1648" s="103" t="n"/>
      <c r="I1648" s="103" t="n"/>
      <c r="J1648" s="104" t="n"/>
      <c r="K1648" s="102" t="n"/>
      <c r="L1648" s="103" t="n"/>
      <c r="M1648" s="103" t="n"/>
      <c r="N1648" s="104" t="n"/>
      <c r="O1648" s="102" t="n"/>
      <c r="P1648" s="103" t="n"/>
      <c r="Q1648" s="103" t="n"/>
      <c r="R1648" s="104" t="n"/>
      <c r="S1648" s="102" t="n"/>
      <c r="T1648" s="103" t="n"/>
      <c r="U1648" s="103" t="n"/>
      <c r="V1648" s="104" t="n"/>
      <c r="W1648" s="102" t="n"/>
      <c r="X1648" s="104" t="n"/>
      <c r="Y1648" s="102" t="n"/>
      <c r="Z1648" s="104" t="n"/>
      <c r="AB1648" s="105">
        <f>IF($B1648="","",(COUNTIF(C1608:E1625,$B1648)+COUNTIF(C1608:E1625,$B1648&amp;" ~*")&gt;0)+(COUNTIF(G1608:I1625,$B1648)+COUNTIF(G1608:I1625,$B1648&amp;" ~*")&gt;0)+(COUNTIF(K1608:M1625,$B1648)+COUNTIF(K1608:M1625,$B1648&amp;" ~*")&gt;0)+(COUNTIF(O1608:Q1625,$B1648)+COUNTIF(O1608:Q1625,$B1648&amp;" ~*")&gt;0)+(COUNTIF(S1608:U1625,$B1648)+COUNTIF(S1608:U1625,$B1648&amp;" ~*")&gt;0)+(COUNTIF(W1608:W1625,$B1648)+COUNTIF(W1608:W1625,$B1648&amp;" ~*")&gt;0)+(COUNTIF(Y1608:Y1625,$B1648)+COUNTIF(Y1608:Y1625,$B1648&amp;" ~*")&gt;0))</f>
        <v/>
      </c>
      <c r="AC1648" s="38">
        <f>IF($B1648="","",(IFERROR(INDEX(Setup!$G$33:$G$40,MATCH(C1648,Setup!$B$33:$B$40,0)),0)=1)*(COUNTIF(C1608:E1625,$B1648)+COUNTIF(C1608:E1625,$B1648&amp;" ~*")&gt;0)+(IFERROR(INDEX(Setup!$G$33:$G$40,MATCH(G1648,Setup!$B$33:$B$40,0)),0)=1)*(COUNTIF(G1608:I1625,$B1648)+COUNTIF(G1608:I1625,$B1648&amp;" ~*")&gt;0)+(IFERROR(INDEX(Setup!$G$33:$G$40,MATCH(K1648,Setup!$B$33:$B$40,0)),0)=1)*(COUNTIF(K1608:M1625,$B1648)+COUNTIF(K1608:M1625,$B1648&amp;" ~*")&gt;0)+(IFERROR(INDEX(Setup!$G$33:$G$40,MATCH(O1648,Setup!$B$33:$B$40,0)),0)=1)*(COUNTIF(O1608:Q1625,$B1648)+COUNTIF(O1608:Q1625,$B1648&amp;" ~*")&gt;0)+(IFERROR(INDEX(Setup!$G$33:$G$40,MATCH(S1648,Setup!$B$33:$B$40,0)),0)=1)*(COUNTIF(S1608:U1625,$B1648)+COUNTIF(S1608:U1625,$B1648&amp;" ~*")&gt;0)+(IFERROR(INDEX(Setup!$G$33:$G$40,MATCH(W1648,Setup!$B$33:$B$40,0)),0)=1)*(COUNTIF(W1608:W1625,$B1648)+COUNTIF(W1608:W1625,$B1648&amp;" ~*")&gt;0)+(IFERROR(INDEX(Setup!$G$33:$G$40,MATCH(Y1648,Setup!$B$33:$B$40,0)),0)=1)*(COUNTIF(Y1608:Y1625,$B1648)+COUNTIF(Y1608:Y1625,$B1648&amp;" ~*")&gt;0))</f>
        <v/>
      </c>
    </row>
    <row r="1649" ht="15" customHeight="1">
      <c r="A1649" t="n">
        <v>33</v>
      </c>
      <c r="B1649" s="35">
        <f>IF(Setup!$B$28="","",Setup!$B$28)</f>
        <v/>
      </c>
      <c r="C1649" s="98" t="n"/>
      <c r="D1649" s="99" t="n"/>
      <c r="E1649" s="99" t="n"/>
      <c r="F1649" s="100" t="n"/>
      <c r="G1649" s="98" t="n"/>
      <c r="H1649" s="99" t="n"/>
      <c r="I1649" s="99" t="n"/>
      <c r="J1649" s="100" t="n"/>
      <c r="K1649" s="98" t="n"/>
      <c r="L1649" s="99" t="n"/>
      <c r="M1649" s="99" t="n"/>
      <c r="N1649" s="100" t="n"/>
      <c r="O1649" s="98" t="n"/>
      <c r="P1649" s="99" t="n"/>
      <c r="Q1649" s="99" t="n"/>
      <c r="R1649" s="100" t="n"/>
      <c r="S1649" s="98" t="n"/>
      <c r="T1649" s="99" t="n"/>
      <c r="U1649" s="99" t="n"/>
      <c r="V1649" s="100" t="n"/>
      <c r="W1649" s="98" t="n"/>
      <c r="X1649" s="100" t="n"/>
      <c r="Y1649" s="98" t="n"/>
      <c r="Z1649" s="100" t="n"/>
      <c r="AB1649" s="101">
        <f>IF($B1649="","",(COUNTIF(C1608:E1625,$B1649)+COUNTIF(C1608:E1625,$B1649&amp;" ~*")&gt;0)+(COUNTIF(G1608:I1625,$B1649)+COUNTIF(G1608:I1625,$B1649&amp;" ~*")&gt;0)+(COUNTIF(K1608:M1625,$B1649)+COUNTIF(K1608:M1625,$B1649&amp;" ~*")&gt;0)+(COUNTIF(O1608:Q1625,$B1649)+COUNTIF(O1608:Q1625,$B1649&amp;" ~*")&gt;0)+(COUNTIF(S1608:U1625,$B1649)+COUNTIF(S1608:U1625,$B1649&amp;" ~*")&gt;0)+(COUNTIF(W1608:W1625,$B1649)+COUNTIF(W1608:W1625,$B1649&amp;" ~*")&gt;0)+(COUNTIF(Y1608:Y1625,$B1649)+COUNTIF(Y1608:Y1625,$B1649&amp;" ~*")&gt;0))</f>
        <v/>
      </c>
      <c r="AC1649" s="36">
        <f>IF($B1649="","",(IFERROR(INDEX(Setup!$G$33:$G$40,MATCH(C1649,Setup!$B$33:$B$40,0)),0)=1)*(COUNTIF(C1608:E1625,$B1649)+COUNTIF(C1608:E1625,$B1649&amp;" ~*")&gt;0)+(IFERROR(INDEX(Setup!$G$33:$G$40,MATCH(G1649,Setup!$B$33:$B$40,0)),0)=1)*(COUNTIF(G1608:I1625,$B1649)+COUNTIF(G1608:I1625,$B1649&amp;" ~*")&gt;0)+(IFERROR(INDEX(Setup!$G$33:$G$40,MATCH(K1649,Setup!$B$33:$B$40,0)),0)=1)*(COUNTIF(K1608:M1625,$B1649)+COUNTIF(K1608:M1625,$B1649&amp;" ~*")&gt;0)+(IFERROR(INDEX(Setup!$G$33:$G$40,MATCH(O1649,Setup!$B$33:$B$40,0)),0)=1)*(COUNTIF(O1608:Q1625,$B1649)+COUNTIF(O1608:Q1625,$B1649&amp;" ~*")&gt;0)+(IFERROR(INDEX(Setup!$G$33:$G$40,MATCH(S1649,Setup!$B$33:$B$40,0)),0)=1)*(COUNTIF(S1608:U1625,$B1649)+COUNTIF(S1608:U1625,$B1649&amp;" ~*")&gt;0)+(IFERROR(INDEX(Setup!$G$33:$G$40,MATCH(W1649,Setup!$B$33:$B$40,0)),0)=1)*(COUNTIF(W1608:W1625,$B1649)+COUNTIF(W1608:W1625,$B1649&amp;" ~*")&gt;0)+(IFERROR(INDEX(Setup!$G$33:$G$40,MATCH(Y1649,Setup!$B$33:$B$40,0)),0)=1)*(COUNTIF(Y1608:Y1625,$B1649)+COUNTIF(Y1608:Y1625,$B1649&amp;" ~*")&gt;0))</f>
        <v/>
      </c>
    </row>
    <row r="1650" ht="15" customHeight="1">
      <c r="A1650" t="n">
        <v>33</v>
      </c>
      <c r="B1650" s="37">
        <f>IF(Setup!$B$29="","",Setup!$B$29)</f>
        <v/>
      </c>
      <c r="C1650" s="102" t="n"/>
      <c r="D1650" s="103" t="n"/>
      <c r="E1650" s="103" t="n"/>
      <c r="F1650" s="104" t="n"/>
      <c r="G1650" s="102" t="n"/>
      <c r="H1650" s="103" t="n"/>
      <c r="I1650" s="103" t="n"/>
      <c r="J1650" s="104" t="n"/>
      <c r="K1650" s="102" t="n"/>
      <c r="L1650" s="103" t="n"/>
      <c r="M1650" s="103" t="n"/>
      <c r="N1650" s="104" t="n"/>
      <c r="O1650" s="102" t="n"/>
      <c r="P1650" s="103" t="n"/>
      <c r="Q1650" s="103" t="n"/>
      <c r="R1650" s="104" t="n"/>
      <c r="S1650" s="102" t="n"/>
      <c r="T1650" s="103" t="n"/>
      <c r="U1650" s="103" t="n"/>
      <c r="V1650" s="104" t="n"/>
      <c r="W1650" s="102" t="n"/>
      <c r="X1650" s="104" t="n"/>
      <c r="Y1650" s="102" t="n"/>
      <c r="Z1650" s="104" t="n"/>
      <c r="AB1650" s="105">
        <f>IF($B1650="","",(COUNTIF(C1608:E1625,$B1650)+COUNTIF(C1608:E1625,$B1650&amp;" ~*")&gt;0)+(COUNTIF(G1608:I1625,$B1650)+COUNTIF(G1608:I1625,$B1650&amp;" ~*")&gt;0)+(COUNTIF(K1608:M1625,$B1650)+COUNTIF(K1608:M1625,$B1650&amp;" ~*")&gt;0)+(COUNTIF(O1608:Q1625,$B1650)+COUNTIF(O1608:Q1625,$B1650&amp;" ~*")&gt;0)+(COUNTIF(S1608:U1625,$B1650)+COUNTIF(S1608:U1625,$B1650&amp;" ~*")&gt;0)+(COUNTIF(W1608:W1625,$B1650)+COUNTIF(W1608:W1625,$B1650&amp;" ~*")&gt;0)+(COUNTIF(Y1608:Y1625,$B1650)+COUNTIF(Y1608:Y1625,$B1650&amp;" ~*")&gt;0))</f>
        <v/>
      </c>
      <c r="AC1650" s="38">
        <f>IF($B1650="","",(IFERROR(INDEX(Setup!$G$33:$G$40,MATCH(C1650,Setup!$B$33:$B$40,0)),0)=1)*(COUNTIF(C1608:E1625,$B1650)+COUNTIF(C1608:E1625,$B1650&amp;" ~*")&gt;0)+(IFERROR(INDEX(Setup!$G$33:$G$40,MATCH(G1650,Setup!$B$33:$B$40,0)),0)=1)*(COUNTIF(G1608:I1625,$B1650)+COUNTIF(G1608:I1625,$B1650&amp;" ~*")&gt;0)+(IFERROR(INDEX(Setup!$G$33:$G$40,MATCH(K1650,Setup!$B$33:$B$40,0)),0)=1)*(COUNTIF(K1608:M1625,$B1650)+COUNTIF(K1608:M1625,$B1650&amp;" ~*")&gt;0)+(IFERROR(INDEX(Setup!$G$33:$G$40,MATCH(O1650,Setup!$B$33:$B$40,0)),0)=1)*(COUNTIF(O1608:Q1625,$B1650)+COUNTIF(O1608:Q1625,$B1650&amp;" ~*")&gt;0)+(IFERROR(INDEX(Setup!$G$33:$G$40,MATCH(S1650,Setup!$B$33:$B$40,0)),0)=1)*(COUNTIF(S1608:U1625,$B1650)+COUNTIF(S1608:U1625,$B1650&amp;" ~*")&gt;0)+(IFERROR(INDEX(Setup!$G$33:$G$40,MATCH(W1650,Setup!$B$33:$B$40,0)),0)=1)*(COUNTIF(W1608:W1625,$B1650)+COUNTIF(W1608:W1625,$B1650&amp;" ~*")&gt;0)+(IFERROR(INDEX(Setup!$G$33:$G$40,MATCH(Y1650,Setup!$B$33:$B$40,0)),0)=1)*(COUNTIF(Y1608:Y1625,$B1650)+COUNTIF(Y1608:Y1625,$B1650&amp;" ~*")&gt;0))</f>
        <v/>
      </c>
    </row>
    <row r="1651" ht="16" customHeight="1">
      <c r="A1651" t="n">
        <v>33</v>
      </c>
      <c r="B1651" s="106" t="inlineStr">
        <is>
          <t>Available people</t>
        </is>
      </c>
      <c r="C1651" s="107">
        <f>COUNTIFS(Setup!$E$6:$E$29,"Y",Setup!$B$6:$B$29,"?*")-SUMPRODUCT(COUNTIF(C1627:C1650,Setup!$F$33:$F$40))</f>
        <v/>
      </c>
      <c r="D1651" s="107" t="n"/>
      <c r="E1651" s="107" t="n"/>
      <c r="F1651" s="107" t="n"/>
      <c r="G1651" s="107">
        <f>COUNTIFS(Setup!$E$6:$E$29,"Y",Setup!$B$6:$B$29,"?*")-SUMPRODUCT(COUNTIF(G1627:G1650,Setup!$F$33:$F$40))</f>
        <v/>
      </c>
      <c r="H1651" s="107" t="n"/>
      <c r="I1651" s="107" t="n"/>
      <c r="J1651" s="107" t="n"/>
      <c r="K1651" s="107">
        <f>COUNTIFS(Setup!$E$6:$E$29,"Y",Setup!$B$6:$B$29,"?*")-SUMPRODUCT(COUNTIF(K1627:K1650,Setup!$F$33:$F$40))</f>
        <v/>
      </c>
      <c r="L1651" s="107" t="n"/>
      <c r="M1651" s="107" t="n"/>
      <c r="N1651" s="107" t="n"/>
      <c r="O1651" s="107">
        <f>COUNTIFS(Setup!$E$6:$E$29,"Y",Setup!$B$6:$B$29,"?*")-SUMPRODUCT(COUNTIF(O1627:O1650,Setup!$F$33:$F$40))</f>
        <v/>
      </c>
      <c r="P1651" s="107" t="n"/>
      <c r="Q1651" s="107" t="n"/>
      <c r="R1651" s="107" t="n"/>
      <c r="S1651" s="107">
        <f>COUNTIFS(Setup!$E$6:$E$29,"Y",Setup!$B$6:$B$29,"?*")-SUMPRODUCT(COUNTIF(S1627:S1650,Setup!$F$33:$F$40))</f>
        <v/>
      </c>
      <c r="T1651" s="107" t="n"/>
      <c r="U1651" s="107" t="n"/>
      <c r="V1651" s="107" t="n"/>
      <c r="W1651" s="107">
        <f>COUNTIFS(Setup!$E$6:$E$29,"Y",Setup!$B$6:$B$29,"?*")-SUMPRODUCT(COUNTIF(W1627:W1650,Setup!$F$33:$F$40))</f>
        <v/>
      </c>
      <c r="X1651" s="107" t="n"/>
      <c r="Y1651" s="107">
        <f>COUNTIFS(Setup!$E$6:$E$29,"Y",Setup!$B$6:$B$29,"?*")-SUMPRODUCT(COUNTIF(Y1627:Y1650,Setup!$F$33:$F$40))</f>
        <v/>
      </c>
      <c r="Z1651" s="107" t="n"/>
      <c r="AB1651" s="108">
        <f>SUM(AB1627:AB1650)</f>
        <v/>
      </c>
      <c r="AC1651" s="109">
        <f>SUM(AC1627:AC1650)</f>
        <v/>
      </c>
    </row>
    <row r="1652" ht="30" customHeight="1">
      <c r="A1652" t="n">
        <v>33</v>
      </c>
      <c r="B1652" s="110" t="inlineStr">
        <is>
          <t>Week notes</t>
        </is>
      </c>
      <c r="C1652" s="111" t="n"/>
      <c r="D1652" s="112" t="n"/>
      <c r="E1652" s="112" t="n"/>
      <c r="F1652" s="112" t="n"/>
      <c r="G1652" s="112" t="n"/>
      <c r="H1652" s="112" t="n"/>
      <c r="I1652" s="112" t="n"/>
      <c r="J1652" s="112" t="n"/>
      <c r="K1652" s="112" t="n"/>
      <c r="L1652" s="112" t="n"/>
      <c r="M1652" s="112" t="n"/>
      <c r="N1652" s="112" t="n"/>
      <c r="O1652" s="112" t="n"/>
      <c r="P1652" s="112" t="n"/>
      <c r="Q1652" s="112" t="n"/>
      <c r="R1652" s="112" t="n"/>
      <c r="S1652" s="112" t="n"/>
      <c r="T1652" s="112" t="n"/>
      <c r="U1652" s="112" t="n"/>
      <c r="V1652" s="112" t="n"/>
      <c r="W1652" s="112" t="n"/>
      <c r="X1652" s="112" t="n"/>
      <c r="Y1652" s="112" t="n"/>
      <c r="Z1652" s="113" t="n"/>
    </row>
    <row r="1653" ht="8" customHeight="1">
      <c r="A1653" t="n">
        <v>33</v>
      </c>
    </row>
    <row r="1654" ht="8" customHeight="1">
      <c r="A1654" t="n">
        <v>33</v>
      </c>
    </row>
    <row r="1655" ht="24" customHeight="1">
      <c r="A1655" t="n">
        <v>34</v>
      </c>
      <c r="B1655" s="73">
        <f>"WEEK 34     "&amp;TEXT(C1656,"ddd d mmm")&amp;"  –  "&amp;TEXT(C1656+6,"ddd d mmm yyyy")</f>
        <v/>
      </c>
      <c r="S1655" s="74">
        <f>IF(TODAY()&lt;C1656,"FUTURE",IF(TODAY()&gt;C1656+6,"PAST","THIS WEEK"))</f>
        <v/>
      </c>
      <c r="W1655" s="75">
        <f>IF(AND(Engine!$B$8=$AC$3,Engine!$B$9=$A1655),"◀ ACTIVE WEEK","")</f>
        <v/>
      </c>
      <c r="AA1655" s="76" t="n"/>
      <c r="AB1655" s="77" t="inlineStr">
        <is>
          <t>◀ Prev</t>
        </is>
      </c>
      <c r="AC1655" s="77" t="inlineStr">
        <is>
          <t>Next ▶</t>
        </is>
      </c>
    </row>
    <row r="1656" ht="18" customHeight="1">
      <c r="A1656" t="n">
        <v>34</v>
      </c>
      <c r="B1656" s="78" t="inlineStr">
        <is>
          <t>DUTY</t>
        </is>
      </c>
      <c r="C1656" s="79">
        <f>$AC$2+7*($A1656-1)</f>
        <v/>
      </c>
      <c r="D1656" s="80" t="n"/>
      <c r="E1656" s="80" t="n"/>
      <c r="F1656" s="81" t="n"/>
      <c r="G1656" s="79">
        <f>C1656+1</f>
        <v/>
      </c>
      <c r="H1656" s="80" t="n"/>
      <c r="I1656" s="80" t="n"/>
      <c r="J1656" s="81" t="n"/>
      <c r="K1656" s="79">
        <f>C1656+2</f>
        <v/>
      </c>
      <c r="L1656" s="80" t="n"/>
      <c r="M1656" s="80" t="n"/>
      <c r="N1656" s="81" t="n"/>
      <c r="O1656" s="79">
        <f>C1656+3</f>
        <v/>
      </c>
      <c r="P1656" s="80" t="n"/>
      <c r="Q1656" s="80" t="n"/>
      <c r="R1656" s="81" t="n"/>
      <c r="S1656" s="79">
        <f>C1656+4</f>
        <v/>
      </c>
      <c r="T1656" s="80" t="n"/>
      <c r="U1656" s="80" t="n"/>
      <c r="V1656" s="81" t="n"/>
      <c r="W1656" s="82">
        <f>C1656+5</f>
        <v/>
      </c>
      <c r="X1656" s="83" t="n"/>
      <c r="Y1656" s="82">
        <f>C1656+6</f>
        <v/>
      </c>
      <c r="Z1656" s="83" t="n"/>
      <c r="AB1656" s="72" t="inlineStr">
        <is>
          <t>Gaps</t>
        </is>
      </c>
      <c r="AC1656" s="72" t="inlineStr">
        <is>
          <t>Cover</t>
        </is>
      </c>
    </row>
    <row r="1657" ht="14" customHeight="1">
      <c r="A1657" t="n">
        <v>34</v>
      </c>
      <c r="B1657" s="84" t="inlineStr">
        <is>
          <t>(from Setup)</t>
        </is>
      </c>
      <c r="C1657" s="85" t="inlineStr">
        <is>
          <t>1</t>
        </is>
      </c>
      <c r="D1657" s="85" t="inlineStr">
        <is>
          <t>2</t>
        </is>
      </c>
      <c r="E1657" s="85" t="inlineStr">
        <is>
          <t>3</t>
        </is>
      </c>
      <c r="F1657" s="85" t="inlineStr">
        <is>
          <t>Notes</t>
        </is>
      </c>
      <c r="G1657" s="85" t="inlineStr">
        <is>
          <t>1</t>
        </is>
      </c>
      <c r="H1657" s="85" t="inlineStr">
        <is>
          <t>2</t>
        </is>
      </c>
      <c r="I1657" s="85" t="inlineStr">
        <is>
          <t>3</t>
        </is>
      </c>
      <c r="J1657" s="85" t="inlineStr">
        <is>
          <t>Notes</t>
        </is>
      </c>
      <c r="K1657" s="85" t="inlineStr">
        <is>
          <t>1</t>
        </is>
      </c>
      <c r="L1657" s="85" t="inlineStr">
        <is>
          <t>2</t>
        </is>
      </c>
      <c r="M1657" s="85" t="inlineStr">
        <is>
          <t>3</t>
        </is>
      </c>
      <c r="N1657" s="85" t="inlineStr">
        <is>
          <t>Notes</t>
        </is>
      </c>
      <c r="O1657" s="85" t="inlineStr">
        <is>
          <t>1</t>
        </is>
      </c>
      <c r="P1657" s="85" t="inlineStr">
        <is>
          <t>2</t>
        </is>
      </c>
      <c r="Q1657" s="85" t="inlineStr">
        <is>
          <t>3</t>
        </is>
      </c>
      <c r="R1657" s="85" t="inlineStr">
        <is>
          <t>Notes</t>
        </is>
      </c>
      <c r="S1657" s="85" t="inlineStr">
        <is>
          <t>1</t>
        </is>
      </c>
      <c r="T1657" s="85" t="inlineStr">
        <is>
          <t>2</t>
        </is>
      </c>
      <c r="U1657" s="85" t="inlineStr">
        <is>
          <t>3</t>
        </is>
      </c>
      <c r="V1657" s="85" t="inlineStr">
        <is>
          <t>Notes</t>
        </is>
      </c>
      <c r="W1657" s="85" t="inlineStr">
        <is>
          <t>Cover</t>
        </is>
      </c>
      <c r="X1657" s="85" t="inlineStr">
        <is>
          <t>Notes</t>
        </is>
      </c>
      <c r="Y1657" s="85" t="inlineStr">
        <is>
          <t>Cover</t>
        </is>
      </c>
      <c r="Z1657" s="85" t="inlineStr">
        <is>
          <t>Notes</t>
        </is>
      </c>
      <c r="AB1657" s="86" t="inlineStr">
        <is>
          <t>weekdays short</t>
        </is>
      </c>
      <c r="AC1657" s="87" t="inlineStr"/>
    </row>
    <row r="1658" ht="17" customHeight="1">
      <c r="A1658" t="n">
        <v>34</v>
      </c>
      <c r="B1658" s="24">
        <f>IF(Setup!$K$6="","",Setup!$K$6)</f>
        <v/>
      </c>
      <c r="C1658" s="88" t="n"/>
      <c r="D1658" s="88" t="n"/>
      <c r="E1658" s="88" t="n"/>
      <c r="F1658" s="89" t="n"/>
      <c r="G1658" s="88" t="n"/>
      <c r="H1658" s="88" t="n"/>
      <c r="I1658" s="88" t="n"/>
      <c r="J1658" s="89" t="n"/>
      <c r="K1658" s="88" t="n"/>
      <c r="L1658" s="88" t="n"/>
      <c r="M1658" s="88" t="n"/>
      <c r="N1658" s="89" t="n"/>
      <c r="O1658" s="88" t="n"/>
      <c r="P1658" s="88" t="n"/>
      <c r="Q1658" s="88" t="n"/>
      <c r="R1658" s="89" t="n"/>
      <c r="S1658" s="88" t="n"/>
      <c r="T1658" s="88" t="n"/>
      <c r="U1658" s="88" t="n"/>
      <c r="V1658" s="89" t="n"/>
      <c r="W1658" s="88" t="n"/>
      <c r="X1658" s="89" t="n"/>
      <c r="Y1658" s="88" t="n"/>
      <c r="Z1658" s="89" t="n"/>
      <c r="AB1658" s="25">
        <f>IF($B1658="","",(COUNTIF(C1658:E1658,"?*")&lt;N(INDEX(Setup!$L$6:$L$23,1)))+(COUNTIF(G1658:I1658,"?*")&lt;N(INDEX(Setup!$L$6:$L$23,1)))+(COUNTIF(K1658:M1658,"?*")&lt;N(INDEX(Setup!$L$6:$L$23,1)))+(COUNTIF(O1658:Q1658,"?*")&lt;N(INDEX(Setup!$L$6:$L$23,1)))+(COUNTIF(S1658:U1658,"?*")&lt;N(INDEX(Setup!$L$6:$L$23,1)))+((W1658="")*(INDEX(Setup!$M$6:$M$23,1)="Y"))+((Y1658="")*(INDEX(Setup!$M$6:$M$23,1)="Y")))</f>
        <v/>
      </c>
      <c r="AC1658" s="90">
        <f>IF($B1658="","",IF(AB1658=0,"✓ covered","⚠ "&amp;AB1658&amp;IF(AB1658=1," gap"," gaps")))</f>
        <v/>
      </c>
    </row>
    <row r="1659" ht="17" customHeight="1">
      <c r="A1659" t="n">
        <v>34</v>
      </c>
      <c r="B1659" s="29">
        <f>IF(Setup!$K$7="","",Setup!$K$7)</f>
        <v/>
      </c>
      <c r="C1659" s="88" t="n"/>
      <c r="D1659" s="88" t="n"/>
      <c r="E1659" s="88" t="n"/>
      <c r="F1659" s="89" t="n"/>
      <c r="G1659" s="88" t="n"/>
      <c r="H1659" s="88" t="n"/>
      <c r="I1659" s="88" t="n"/>
      <c r="J1659" s="89" t="n"/>
      <c r="K1659" s="88" t="n"/>
      <c r="L1659" s="88" t="n"/>
      <c r="M1659" s="88" t="n"/>
      <c r="N1659" s="89" t="n"/>
      <c r="O1659" s="88" t="n"/>
      <c r="P1659" s="88" t="n"/>
      <c r="Q1659" s="88" t="n"/>
      <c r="R1659" s="89" t="n"/>
      <c r="S1659" s="88" t="n"/>
      <c r="T1659" s="88" t="n"/>
      <c r="U1659" s="88" t="n"/>
      <c r="V1659" s="89" t="n"/>
      <c r="W1659" s="88" t="n"/>
      <c r="X1659" s="89" t="n"/>
      <c r="Y1659" s="88" t="n"/>
      <c r="Z1659" s="89" t="n"/>
      <c r="AB1659" s="30">
        <f>IF($B1659="","",(COUNTIF(C1659:E1659,"?*")&lt;N(INDEX(Setup!$L$6:$L$23,2)))+(COUNTIF(G1659:I1659,"?*")&lt;N(INDEX(Setup!$L$6:$L$23,2)))+(COUNTIF(K1659:M1659,"?*")&lt;N(INDEX(Setup!$L$6:$L$23,2)))+(COUNTIF(O1659:Q1659,"?*")&lt;N(INDEX(Setup!$L$6:$L$23,2)))+(COUNTIF(S1659:U1659,"?*")&lt;N(INDEX(Setup!$L$6:$L$23,2)))+((W1659="")*(INDEX(Setup!$M$6:$M$23,2)="Y"))+((Y1659="")*(INDEX(Setup!$M$6:$M$23,2)="Y")))</f>
        <v/>
      </c>
      <c r="AC1659" s="91">
        <f>IF($B1659="","",IF(AB1659=0,"✓ covered","⚠ "&amp;AB1659&amp;IF(AB1659=1," gap"," gaps")))</f>
        <v/>
      </c>
    </row>
    <row r="1660" ht="17" customHeight="1">
      <c r="A1660" t="n">
        <v>34</v>
      </c>
      <c r="B1660" s="24">
        <f>IF(Setup!$K$8="","",Setup!$K$8)</f>
        <v/>
      </c>
      <c r="C1660" s="88" t="n"/>
      <c r="D1660" s="88" t="n"/>
      <c r="E1660" s="88" t="n"/>
      <c r="F1660" s="89" t="n"/>
      <c r="G1660" s="88" t="n"/>
      <c r="H1660" s="88" t="n"/>
      <c r="I1660" s="88" t="n"/>
      <c r="J1660" s="89" t="n"/>
      <c r="K1660" s="88" t="n"/>
      <c r="L1660" s="88" t="n"/>
      <c r="M1660" s="88" t="n"/>
      <c r="N1660" s="89" t="n"/>
      <c r="O1660" s="88" t="n"/>
      <c r="P1660" s="88" t="n"/>
      <c r="Q1660" s="88" t="n"/>
      <c r="R1660" s="89" t="n"/>
      <c r="S1660" s="88" t="n"/>
      <c r="T1660" s="88" t="n"/>
      <c r="U1660" s="88" t="n"/>
      <c r="V1660" s="89" t="n"/>
      <c r="W1660" s="88" t="n"/>
      <c r="X1660" s="89" t="n"/>
      <c r="Y1660" s="88" t="n"/>
      <c r="Z1660" s="89" t="n"/>
      <c r="AB1660" s="25">
        <f>IF($B1660="","",(COUNTIF(C1660:E1660,"?*")&lt;N(INDEX(Setup!$L$6:$L$23,3)))+(COUNTIF(G1660:I1660,"?*")&lt;N(INDEX(Setup!$L$6:$L$23,3)))+(COUNTIF(K1660:M1660,"?*")&lt;N(INDEX(Setup!$L$6:$L$23,3)))+(COUNTIF(O1660:Q1660,"?*")&lt;N(INDEX(Setup!$L$6:$L$23,3)))+(COUNTIF(S1660:U1660,"?*")&lt;N(INDEX(Setup!$L$6:$L$23,3)))+((W1660="")*(INDEX(Setup!$M$6:$M$23,3)="Y"))+((Y1660="")*(INDEX(Setup!$M$6:$M$23,3)="Y")))</f>
        <v/>
      </c>
      <c r="AC1660" s="90">
        <f>IF($B1660="","",IF(AB1660=0,"✓ covered","⚠ "&amp;AB1660&amp;IF(AB1660=1," gap"," gaps")))</f>
        <v/>
      </c>
    </row>
    <row r="1661" ht="17" customHeight="1">
      <c r="A1661" t="n">
        <v>34</v>
      </c>
      <c r="B1661" s="29">
        <f>IF(Setup!$K$9="","",Setup!$K$9)</f>
        <v/>
      </c>
      <c r="C1661" s="88" t="n"/>
      <c r="D1661" s="88" t="n"/>
      <c r="E1661" s="88" t="n"/>
      <c r="F1661" s="89" t="n"/>
      <c r="G1661" s="88" t="n"/>
      <c r="H1661" s="88" t="n"/>
      <c r="I1661" s="88" t="n"/>
      <c r="J1661" s="89" t="n"/>
      <c r="K1661" s="88" t="n"/>
      <c r="L1661" s="88" t="n"/>
      <c r="M1661" s="88" t="n"/>
      <c r="N1661" s="89" t="n"/>
      <c r="O1661" s="88" t="n"/>
      <c r="P1661" s="88" t="n"/>
      <c r="Q1661" s="88" t="n"/>
      <c r="R1661" s="89" t="n"/>
      <c r="S1661" s="88" t="n"/>
      <c r="T1661" s="88" t="n"/>
      <c r="U1661" s="88" t="n"/>
      <c r="V1661" s="89" t="n"/>
      <c r="W1661" s="88" t="n"/>
      <c r="X1661" s="89" t="n"/>
      <c r="Y1661" s="88" t="n"/>
      <c r="Z1661" s="89" t="n"/>
      <c r="AB1661" s="30">
        <f>IF($B1661="","",(COUNTIF(C1661:E1661,"?*")&lt;N(INDEX(Setup!$L$6:$L$23,4)))+(COUNTIF(G1661:I1661,"?*")&lt;N(INDEX(Setup!$L$6:$L$23,4)))+(COUNTIF(K1661:M1661,"?*")&lt;N(INDEX(Setup!$L$6:$L$23,4)))+(COUNTIF(O1661:Q1661,"?*")&lt;N(INDEX(Setup!$L$6:$L$23,4)))+(COUNTIF(S1661:U1661,"?*")&lt;N(INDEX(Setup!$L$6:$L$23,4)))+((W1661="")*(INDEX(Setup!$M$6:$M$23,4)="Y"))+((Y1661="")*(INDEX(Setup!$M$6:$M$23,4)="Y")))</f>
        <v/>
      </c>
      <c r="AC1661" s="91">
        <f>IF($B1661="","",IF(AB1661=0,"✓ covered","⚠ "&amp;AB1661&amp;IF(AB1661=1," gap"," gaps")))</f>
        <v/>
      </c>
    </row>
    <row r="1662" ht="17" customHeight="1">
      <c r="A1662" t="n">
        <v>34</v>
      </c>
      <c r="B1662" s="24">
        <f>IF(Setup!$K$10="","",Setup!$K$10)</f>
        <v/>
      </c>
      <c r="C1662" s="88" t="n"/>
      <c r="D1662" s="88" t="n"/>
      <c r="E1662" s="88" t="n"/>
      <c r="F1662" s="89" t="n"/>
      <c r="G1662" s="88" t="n"/>
      <c r="H1662" s="88" t="n"/>
      <c r="I1662" s="88" t="n"/>
      <c r="J1662" s="89" t="n"/>
      <c r="K1662" s="88" t="n"/>
      <c r="L1662" s="88" t="n"/>
      <c r="M1662" s="88" t="n"/>
      <c r="N1662" s="89" t="n"/>
      <c r="O1662" s="88" t="n"/>
      <c r="P1662" s="88" t="n"/>
      <c r="Q1662" s="88" t="n"/>
      <c r="R1662" s="89" t="n"/>
      <c r="S1662" s="88" t="n"/>
      <c r="T1662" s="88" t="n"/>
      <c r="U1662" s="88" t="n"/>
      <c r="V1662" s="89" t="n"/>
      <c r="W1662" s="88" t="n"/>
      <c r="X1662" s="89" t="n"/>
      <c r="Y1662" s="88" t="n"/>
      <c r="Z1662" s="89" t="n"/>
      <c r="AB1662" s="25">
        <f>IF($B1662="","",(COUNTIF(C1662:E1662,"?*")&lt;N(INDEX(Setup!$L$6:$L$23,5)))+(COUNTIF(G1662:I1662,"?*")&lt;N(INDEX(Setup!$L$6:$L$23,5)))+(COUNTIF(K1662:M1662,"?*")&lt;N(INDEX(Setup!$L$6:$L$23,5)))+(COUNTIF(O1662:Q1662,"?*")&lt;N(INDEX(Setup!$L$6:$L$23,5)))+(COUNTIF(S1662:U1662,"?*")&lt;N(INDEX(Setup!$L$6:$L$23,5)))+((W1662="")*(INDEX(Setup!$M$6:$M$23,5)="Y"))+((Y1662="")*(INDEX(Setup!$M$6:$M$23,5)="Y")))</f>
        <v/>
      </c>
      <c r="AC1662" s="90">
        <f>IF($B1662="","",IF(AB1662=0,"✓ covered","⚠ "&amp;AB1662&amp;IF(AB1662=1," gap"," gaps")))</f>
        <v/>
      </c>
    </row>
    <row r="1663" ht="17" customHeight="1">
      <c r="A1663" t="n">
        <v>34</v>
      </c>
      <c r="B1663" s="29">
        <f>IF(Setup!$K$11="","",Setup!$K$11)</f>
        <v/>
      </c>
      <c r="C1663" s="88" t="n"/>
      <c r="D1663" s="88" t="n"/>
      <c r="E1663" s="88" t="n"/>
      <c r="F1663" s="89" t="n"/>
      <c r="G1663" s="88" t="n"/>
      <c r="H1663" s="88" t="n"/>
      <c r="I1663" s="88" t="n"/>
      <c r="J1663" s="89" t="n"/>
      <c r="K1663" s="88" t="n"/>
      <c r="L1663" s="88" t="n"/>
      <c r="M1663" s="88" t="n"/>
      <c r="N1663" s="89" t="n"/>
      <c r="O1663" s="88" t="n"/>
      <c r="P1663" s="88" t="n"/>
      <c r="Q1663" s="88" t="n"/>
      <c r="R1663" s="89" t="n"/>
      <c r="S1663" s="88" t="n"/>
      <c r="T1663" s="88" t="n"/>
      <c r="U1663" s="88" t="n"/>
      <c r="V1663" s="89" t="n"/>
      <c r="W1663" s="88" t="n"/>
      <c r="X1663" s="89" t="n"/>
      <c r="Y1663" s="88" t="n"/>
      <c r="Z1663" s="89" t="n"/>
      <c r="AB1663" s="30">
        <f>IF($B1663="","",(COUNTIF(C1663:E1663,"?*")&lt;N(INDEX(Setup!$L$6:$L$23,6)))+(COUNTIF(G1663:I1663,"?*")&lt;N(INDEX(Setup!$L$6:$L$23,6)))+(COUNTIF(K1663:M1663,"?*")&lt;N(INDEX(Setup!$L$6:$L$23,6)))+(COUNTIF(O1663:Q1663,"?*")&lt;N(INDEX(Setup!$L$6:$L$23,6)))+(COUNTIF(S1663:U1663,"?*")&lt;N(INDEX(Setup!$L$6:$L$23,6)))+((W1663="")*(INDEX(Setup!$M$6:$M$23,6)="Y"))+((Y1663="")*(INDEX(Setup!$M$6:$M$23,6)="Y")))</f>
        <v/>
      </c>
      <c r="AC1663" s="91">
        <f>IF($B1663="","",IF(AB1663=0,"✓ covered","⚠ "&amp;AB1663&amp;IF(AB1663=1," gap"," gaps")))</f>
        <v/>
      </c>
    </row>
    <row r="1664" ht="17" customHeight="1">
      <c r="A1664" t="n">
        <v>34</v>
      </c>
      <c r="B1664" s="24">
        <f>IF(Setup!$K$12="","",Setup!$K$12)</f>
        <v/>
      </c>
      <c r="C1664" s="88" t="n"/>
      <c r="D1664" s="88" t="n"/>
      <c r="E1664" s="88" t="n"/>
      <c r="F1664" s="89" t="n"/>
      <c r="G1664" s="88" t="n"/>
      <c r="H1664" s="88" t="n"/>
      <c r="I1664" s="88" t="n"/>
      <c r="J1664" s="89" t="n"/>
      <c r="K1664" s="88" t="n"/>
      <c r="L1664" s="88" t="n"/>
      <c r="M1664" s="88" t="n"/>
      <c r="N1664" s="89" t="n"/>
      <c r="O1664" s="88" t="n"/>
      <c r="P1664" s="88" t="n"/>
      <c r="Q1664" s="88" t="n"/>
      <c r="R1664" s="89" t="n"/>
      <c r="S1664" s="88" t="n"/>
      <c r="T1664" s="88" t="n"/>
      <c r="U1664" s="88" t="n"/>
      <c r="V1664" s="89" t="n"/>
      <c r="W1664" s="88" t="n"/>
      <c r="X1664" s="89" t="n"/>
      <c r="Y1664" s="88" t="n"/>
      <c r="Z1664" s="89" t="n"/>
      <c r="AB1664" s="25">
        <f>IF($B1664="","",(COUNTIF(C1664:E1664,"?*")&lt;N(INDEX(Setup!$L$6:$L$23,7)))+(COUNTIF(G1664:I1664,"?*")&lt;N(INDEX(Setup!$L$6:$L$23,7)))+(COUNTIF(K1664:M1664,"?*")&lt;N(INDEX(Setup!$L$6:$L$23,7)))+(COUNTIF(O1664:Q1664,"?*")&lt;N(INDEX(Setup!$L$6:$L$23,7)))+(COUNTIF(S1664:U1664,"?*")&lt;N(INDEX(Setup!$L$6:$L$23,7)))+((W1664="")*(INDEX(Setup!$M$6:$M$23,7)="Y"))+((Y1664="")*(INDEX(Setup!$M$6:$M$23,7)="Y")))</f>
        <v/>
      </c>
      <c r="AC1664" s="90">
        <f>IF($B1664="","",IF(AB1664=0,"✓ covered","⚠ "&amp;AB1664&amp;IF(AB1664=1," gap"," gaps")))</f>
        <v/>
      </c>
    </row>
    <row r="1665" ht="17" customHeight="1">
      <c r="A1665" t="n">
        <v>34</v>
      </c>
      <c r="B1665" s="29">
        <f>IF(Setup!$K$13="","",Setup!$K$13)</f>
        <v/>
      </c>
      <c r="C1665" s="88" t="n"/>
      <c r="D1665" s="88" t="n"/>
      <c r="E1665" s="88" t="n"/>
      <c r="F1665" s="89" t="n"/>
      <c r="G1665" s="88" t="n"/>
      <c r="H1665" s="88" t="n"/>
      <c r="I1665" s="88" t="n"/>
      <c r="J1665" s="89" t="n"/>
      <c r="K1665" s="88" t="n"/>
      <c r="L1665" s="88" t="n"/>
      <c r="M1665" s="88" t="n"/>
      <c r="N1665" s="89" t="n"/>
      <c r="O1665" s="88" t="n"/>
      <c r="P1665" s="88" t="n"/>
      <c r="Q1665" s="88" t="n"/>
      <c r="R1665" s="89" t="n"/>
      <c r="S1665" s="88" t="n"/>
      <c r="T1665" s="88" t="n"/>
      <c r="U1665" s="88" t="n"/>
      <c r="V1665" s="89" t="n"/>
      <c r="W1665" s="88" t="n"/>
      <c r="X1665" s="89" t="n"/>
      <c r="Y1665" s="88" t="n"/>
      <c r="Z1665" s="89" t="n"/>
      <c r="AB1665" s="30">
        <f>IF($B1665="","",(COUNTIF(C1665:E1665,"?*")&lt;N(INDEX(Setup!$L$6:$L$23,8)))+(COUNTIF(G1665:I1665,"?*")&lt;N(INDEX(Setup!$L$6:$L$23,8)))+(COUNTIF(K1665:M1665,"?*")&lt;N(INDEX(Setup!$L$6:$L$23,8)))+(COUNTIF(O1665:Q1665,"?*")&lt;N(INDEX(Setup!$L$6:$L$23,8)))+(COUNTIF(S1665:U1665,"?*")&lt;N(INDEX(Setup!$L$6:$L$23,8)))+((W1665="")*(INDEX(Setup!$M$6:$M$23,8)="Y"))+((Y1665="")*(INDEX(Setup!$M$6:$M$23,8)="Y")))</f>
        <v/>
      </c>
      <c r="AC1665" s="91">
        <f>IF($B1665="","",IF(AB1665=0,"✓ covered","⚠ "&amp;AB1665&amp;IF(AB1665=1," gap"," gaps")))</f>
        <v/>
      </c>
    </row>
    <row r="1666" ht="17" customHeight="1">
      <c r="A1666" t="n">
        <v>34</v>
      </c>
      <c r="B1666" s="24">
        <f>IF(Setup!$K$14="","",Setup!$K$14)</f>
        <v/>
      </c>
      <c r="C1666" s="88" t="n"/>
      <c r="D1666" s="88" t="n"/>
      <c r="E1666" s="88" t="n"/>
      <c r="F1666" s="89" t="n"/>
      <c r="G1666" s="88" t="n"/>
      <c r="H1666" s="88" t="n"/>
      <c r="I1666" s="88" t="n"/>
      <c r="J1666" s="89" t="n"/>
      <c r="K1666" s="88" t="n"/>
      <c r="L1666" s="88" t="n"/>
      <c r="M1666" s="88" t="n"/>
      <c r="N1666" s="89" t="n"/>
      <c r="O1666" s="88" t="n"/>
      <c r="P1666" s="88" t="n"/>
      <c r="Q1666" s="88" t="n"/>
      <c r="R1666" s="89" t="n"/>
      <c r="S1666" s="88" t="n"/>
      <c r="T1666" s="88" t="n"/>
      <c r="U1666" s="88" t="n"/>
      <c r="V1666" s="89" t="n"/>
      <c r="W1666" s="88" t="n"/>
      <c r="X1666" s="89" t="n"/>
      <c r="Y1666" s="88" t="n"/>
      <c r="Z1666" s="89" t="n"/>
      <c r="AB1666" s="25">
        <f>IF($B1666="","",(COUNTIF(C1666:E1666,"?*")&lt;N(INDEX(Setup!$L$6:$L$23,9)))+(COUNTIF(G1666:I1666,"?*")&lt;N(INDEX(Setup!$L$6:$L$23,9)))+(COUNTIF(K1666:M1666,"?*")&lt;N(INDEX(Setup!$L$6:$L$23,9)))+(COUNTIF(O1666:Q1666,"?*")&lt;N(INDEX(Setup!$L$6:$L$23,9)))+(COUNTIF(S1666:U1666,"?*")&lt;N(INDEX(Setup!$L$6:$L$23,9)))+((W1666="")*(INDEX(Setup!$M$6:$M$23,9)="Y"))+((Y1666="")*(INDEX(Setup!$M$6:$M$23,9)="Y")))</f>
        <v/>
      </c>
      <c r="AC1666" s="90">
        <f>IF($B1666="","",IF(AB1666=0,"✓ covered","⚠ "&amp;AB1666&amp;IF(AB1666=1," gap"," gaps")))</f>
        <v/>
      </c>
    </row>
    <row r="1667" ht="17" customHeight="1">
      <c r="A1667" t="n">
        <v>34</v>
      </c>
      <c r="B1667" s="29">
        <f>IF(Setup!$K$15="","",Setup!$K$15)</f>
        <v/>
      </c>
      <c r="C1667" s="88" t="n"/>
      <c r="D1667" s="88" t="n"/>
      <c r="E1667" s="88" t="n"/>
      <c r="F1667" s="89" t="n"/>
      <c r="G1667" s="88" t="n"/>
      <c r="H1667" s="88" t="n"/>
      <c r="I1667" s="88" t="n"/>
      <c r="J1667" s="89" t="n"/>
      <c r="K1667" s="88" t="n"/>
      <c r="L1667" s="88" t="n"/>
      <c r="M1667" s="88" t="n"/>
      <c r="N1667" s="89" t="n"/>
      <c r="O1667" s="88" t="n"/>
      <c r="P1667" s="88" t="n"/>
      <c r="Q1667" s="88" t="n"/>
      <c r="R1667" s="89" t="n"/>
      <c r="S1667" s="88" t="n"/>
      <c r="T1667" s="88" t="n"/>
      <c r="U1667" s="88" t="n"/>
      <c r="V1667" s="89" t="n"/>
      <c r="W1667" s="88" t="n"/>
      <c r="X1667" s="89" t="n"/>
      <c r="Y1667" s="88" t="n"/>
      <c r="Z1667" s="89" t="n"/>
      <c r="AB1667" s="30">
        <f>IF($B1667="","",(COUNTIF(C1667:E1667,"?*")&lt;N(INDEX(Setup!$L$6:$L$23,10)))+(COUNTIF(G1667:I1667,"?*")&lt;N(INDEX(Setup!$L$6:$L$23,10)))+(COUNTIF(K1667:M1667,"?*")&lt;N(INDEX(Setup!$L$6:$L$23,10)))+(COUNTIF(O1667:Q1667,"?*")&lt;N(INDEX(Setup!$L$6:$L$23,10)))+(COUNTIF(S1667:U1667,"?*")&lt;N(INDEX(Setup!$L$6:$L$23,10)))+((W1667="")*(INDEX(Setup!$M$6:$M$23,10)="Y"))+((Y1667="")*(INDEX(Setup!$M$6:$M$23,10)="Y")))</f>
        <v/>
      </c>
      <c r="AC1667" s="91">
        <f>IF($B1667="","",IF(AB1667=0,"✓ covered","⚠ "&amp;AB1667&amp;IF(AB1667=1," gap"," gaps")))</f>
        <v/>
      </c>
    </row>
    <row r="1668" ht="17" customHeight="1">
      <c r="A1668" t="n">
        <v>34</v>
      </c>
      <c r="B1668" s="24">
        <f>IF(Setup!$K$16="","",Setup!$K$16)</f>
        <v/>
      </c>
      <c r="C1668" s="88" t="n"/>
      <c r="D1668" s="88" t="n"/>
      <c r="E1668" s="88" t="n"/>
      <c r="F1668" s="89" t="n"/>
      <c r="G1668" s="88" t="n"/>
      <c r="H1668" s="88" t="n"/>
      <c r="I1668" s="88" t="n"/>
      <c r="J1668" s="89" t="n"/>
      <c r="K1668" s="88" t="n"/>
      <c r="L1668" s="88" t="n"/>
      <c r="M1668" s="88" t="n"/>
      <c r="N1668" s="89" t="n"/>
      <c r="O1668" s="88" t="n"/>
      <c r="P1668" s="88" t="n"/>
      <c r="Q1668" s="88" t="n"/>
      <c r="R1668" s="89" t="n"/>
      <c r="S1668" s="88" t="n"/>
      <c r="T1668" s="88" t="n"/>
      <c r="U1668" s="88" t="n"/>
      <c r="V1668" s="89" t="n"/>
      <c r="W1668" s="88" t="n"/>
      <c r="X1668" s="89" t="n"/>
      <c r="Y1668" s="88" t="n"/>
      <c r="Z1668" s="89" t="n"/>
      <c r="AB1668" s="25">
        <f>IF($B1668="","",(COUNTIF(C1668:E1668,"?*")&lt;N(INDEX(Setup!$L$6:$L$23,11)))+(COUNTIF(G1668:I1668,"?*")&lt;N(INDEX(Setup!$L$6:$L$23,11)))+(COUNTIF(K1668:M1668,"?*")&lt;N(INDEX(Setup!$L$6:$L$23,11)))+(COUNTIF(O1668:Q1668,"?*")&lt;N(INDEX(Setup!$L$6:$L$23,11)))+(COUNTIF(S1668:U1668,"?*")&lt;N(INDEX(Setup!$L$6:$L$23,11)))+((W1668="")*(INDEX(Setup!$M$6:$M$23,11)="Y"))+((Y1668="")*(INDEX(Setup!$M$6:$M$23,11)="Y")))</f>
        <v/>
      </c>
      <c r="AC1668" s="90">
        <f>IF($B1668="","",IF(AB1668=0,"✓ covered","⚠ "&amp;AB1668&amp;IF(AB1668=1," gap"," gaps")))</f>
        <v/>
      </c>
    </row>
    <row r="1669" ht="17" customHeight="1">
      <c r="A1669" t="n">
        <v>34</v>
      </c>
      <c r="B1669" s="29">
        <f>IF(Setup!$K$17="","",Setup!$K$17)</f>
        <v/>
      </c>
      <c r="C1669" s="88" t="n"/>
      <c r="D1669" s="88" t="n"/>
      <c r="E1669" s="88" t="n"/>
      <c r="F1669" s="89" t="n"/>
      <c r="G1669" s="88" t="n"/>
      <c r="H1669" s="88" t="n"/>
      <c r="I1669" s="88" t="n"/>
      <c r="J1669" s="89" t="n"/>
      <c r="K1669" s="88" t="n"/>
      <c r="L1669" s="88" t="n"/>
      <c r="M1669" s="88" t="n"/>
      <c r="N1669" s="89" t="n"/>
      <c r="O1669" s="88" t="n"/>
      <c r="P1669" s="88" t="n"/>
      <c r="Q1669" s="88" t="n"/>
      <c r="R1669" s="89" t="n"/>
      <c r="S1669" s="88" t="n"/>
      <c r="T1669" s="88" t="n"/>
      <c r="U1669" s="88" t="n"/>
      <c r="V1669" s="89" t="n"/>
      <c r="W1669" s="88" t="n"/>
      <c r="X1669" s="89" t="n"/>
      <c r="Y1669" s="88" t="n"/>
      <c r="Z1669" s="89" t="n"/>
      <c r="AB1669" s="30">
        <f>IF($B1669="","",(COUNTIF(C1669:E1669,"?*")&lt;N(INDEX(Setup!$L$6:$L$23,12)))+(COUNTIF(G1669:I1669,"?*")&lt;N(INDEX(Setup!$L$6:$L$23,12)))+(COUNTIF(K1669:M1669,"?*")&lt;N(INDEX(Setup!$L$6:$L$23,12)))+(COUNTIF(O1669:Q1669,"?*")&lt;N(INDEX(Setup!$L$6:$L$23,12)))+(COUNTIF(S1669:U1669,"?*")&lt;N(INDEX(Setup!$L$6:$L$23,12)))+((W1669="")*(INDEX(Setup!$M$6:$M$23,12)="Y"))+((Y1669="")*(INDEX(Setup!$M$6:$M$23,12)="Y")))</f>
        <v/>
      </c>
      <c r="AC1669" s="91">
        <f>IF($B1669="","",IF(AB1669=0,"✓ covered","⚠ "&amp;AB1669&amp;IF(AB1669=1," gap"," gaps")))</f>
        <v/>
      </c>
    </row>
    <row r="1670" ht="17" customHeight="1">
      <c r="A1670" t="n">
        <v>34</v>
      </c>
      <c r="B1670" s="24">
        <f>IF(Setup!$K$18="","",Setup!$K$18)</f>
        <v/>
      </c>
      <c r="C1670" s="88" t="n"/>
      <c r="D1670" s="88" t="n"/>
      <c r="E1670" s="88" t="n"/>
      <c r="F1670" s="89" t="n"/>
      <c r="G1670" s="88" t="n"/>
      <c r="H1670" s="88" t="n"/>
      <c r="I1670" s="88" t="n"/>
      <c r="J1670" s="89" t="n"/>
      <c r="K1670" s="88" t="n"/>
      <c r="L1670" s="88" t="n"/>
      <c r="M1670" s="88" t="n"/>
      <c r="N1670" s="89" t="n"/>
      <c r="O1670" s="88" t="n"/>
      <c r="P1670" s="88" t="n"/>
      <c r="Q1670" s="88" t="n"/>
      <c r="R1670" s="89" t="n"/>
      <c r="S1670" s="88" t="n"/>
      <c r="T1670" s="88" t="n"/>
      <c r="U1670" s="88" t="n"/>
      <c r="V1670" s="89" t="n"/>
      <c r="W1670" s="88" t="n"/>
      <c r="X1670" s="89" t="n"/>
      <c r="Y1670" s="88" t="n"/>
      <c r="Z1670" s="89" t="n"/>
      <c r="AB1670" s="25">
        <f>IF($B1670="","",(COUNTIF(C1670:E1670,"?*")&lt;N(INDEX(Setup!$L$6:$L$23,13)))+(COUNTIF(G1670:I1670,"?*")&lt;N(INDEX(Setup!$L$6:$L$23,13)))+(COUNTIF(K1670:M1670,"?*")&lt;N(INDEX(Setup!$L$6:$L$23,13)))+(COUNTIF(O1670:Q1670,"?*")&lt;N(INDEX(Setup!$L$6:$L$23,13)))+(COUNTIF(S1670:U1670,"?*")&lt;N(INDEX(Setup!$L$6:$L$23,13)))+((W1670="")*(INDEX(Setup!$M$6:$M$23,13)="Y"))+((Y1670="")*(INDEX(Setup!$M$6:$M$23,13)="Y")))</f>
        <v/>
      </c>
      <c r="AC1670" s="90">
        <f>IF($B1670="","",IF(AB1670=0,"✓ covered","⚠ "&amp;AB1670&amp;IF(AB1670=1," gap"," gaps")))</f>
        <v/>
      </c>
    </row>
    <row r="1671" ht="17" customHeight="1">
      <c r="A1671" t="n">
        <v>34</v>
      </c>
      <c r="B1671" s="29">
        <f>IF(Setup!$K$19="","",Setup!$K$19)</f>
        <v/>
      </c>
      <c r="C1671" s="88" t="n"/>
      <c r="D1671" s="88" t="n"/>
      <c r="E1671" s="88" t="n"/>
      <c r="F1671" s="89" t="n"/>
      <c r="G1671" s="88" t="n"/>
      <c r="H1671" s="88" t="n"/>
      <c r="I1671" s="88" t="n"/>
      <c r="J1671" s="89" t="n"/>
      <c r="K1671" s="88" t="n"/>
      <c r="L1671" s="88" t="n"/>
      <c r="M1671" s="88" t="n"/>
      <c r="N1671" s="89" t="n"/>
      <c r="O1671" s="88" t="n"/>
      <c r="P1671" s="88" t="n"/>
      <c r="Q1671" s="88" t="n"/>
      <c r="R1671" s="89" t="n"/>
      <c r="S1671" s="88" t="n"/>
      <c r="T1671" s="88" t="n"/>
      <c r="U1671" s="88" t="n"/>
      <c r="V1671" s="89" t="n"/>
      <c r="W1671" s="88" t="n"/>
      <c r="X1671" s="89" t="n"/>
      <c r="Y1671" s="88" t="n"/>
      <c r="Z1671" s="89" t="n"/>
      <c r="AB1671" s="30">
        <f>IF($B1671="","",(COUNTIF(C1671:E1671,"?*")&lt;N(INDEX(Setup!$L$6:$L$23,14)))+(COUNTIF(G1671:I1671,"?*")&lt;N(INDEX(Setup!$L$6:$L$23,14)))+(COUNTIF(K1671:M1671,"?*")&lt;N(INDEX(Setup!$L$6:$L$23,14)))+(COUNTIF(O1671:Q1671,"?*")&lt;N(INDEX(Setup!$L$6:$L$23,14)))+(COUNTIF(S1671:U1671,"?*")&lt;N(INDEX(Setup!$L$6:$L$23,14)))+((W1671="")*(INDEX(Setup!$M$6:$M$23,14)="Y"))+((Y1671="")*(INDEX(Setup!$M$6:$M$23,14)="Y")))</f>
        <v/>
      </c>
      <c r="AC1671" s="91">
        <f>IF($B1671="","",IF(AB1671=0,"✓ covered","⚠ "&amp;AB1671&amp;IF(AB1671=1," gap"," gaps")))</f>
        <v/>
      </c>
    </row>
    <row r="1672" ht="17" customHeight="1">
      <c r="A1672" t="n">
        <v>34</v>
      </c>
      <c r="B1672" s="24">
        <f>IF(Setup!$K$20="","",Setup!$K$20)</f>
        <v/>
      </c>
      <c r="C1672" s="88" t="n"/>
      <c r="D1672" s="88" t="n"/>
      <c r="E1672" s="88" t="n"/>
      <c r="F1672" s="89" t="n"/>
      <c r="G1672" s="88" t="n"/>
      <c r="H1672" s="88" t="n"/>
      <c r="I1672" s="88" t="n"/>
      <c r="J1672" s="89" t="n"/>
      <c r="K1672" s="88" t="n"/>
      <c r="L1672" s="88" t="n"/>
      <c r="M1672" s="88" t="n"/>
      <c r="N1672" s="89" t="n"/>
      <c r="O1672" s="88" t="n"/>
      <c r="P1672" s="88" t="n"/>
      <c r="Q1672" s="88" t="n"/>
      <c r="R1672" s="89" t="n"/>
      <c r="S1672" s="88" t="n"/>
      <c r="T1672" s="88" t="n"/>
      <c r="U1672" s="88" t="n"/>
      <c r="V1672" s="89" t="n"/>
      <c r="W1672" s="88" t="n"/>
      <c r="X1672" s="89" t="n"/>
      <c r="Y1672" s="88" t="n"/>
      <c r="Z1672" s="89" t="n"/>
      <c r="AB1672" s="25">
        <f>IF($B1672="","",(COUNTIF(C1672:E1672,"?*")&lt;N(INDEX(Setup!$L$6:$L$23,15)))+(COUNTIF(G1672:I1672,"?*")&lt;N(INDEX(Setup!$L$6:$L$23,15)))+(COUNTIF(K1672:M1672,"?*")&lt;N(INDEX(Setup!$L$6:$L$23,15)))+(COUNTIF(O1672:Q1672,"?*")&lt;N(INDEX(Setup!$L$6:$L$23,15)))+(COUNTIF(S1672:U1672,"?*")&lt;N(INDEX(Setup!$L$6:$L$23,15)))+((W1672="")*(INDEX(Setup!$M$6:$M$23,15)="Y"))+((Y1672="")*(INDEX(Setup!$M$6:$M$23,15)="Y")))</f>
        <v/>
      </c>
      <c r="AC1672" s="90">
        <f>IF($B1672="","",IF(AB1672=0,"✓ covered","⚠ "&amp;AB1672&amp;IF(AB1672=1," gap"," gaps")))</f>
        <v/>
      </c>
    </row>
    <row r="1673" ht="17" customHeight="1">
      <c r="A1673" t="n">
        <v>34</v>
      </c>
      <c r="B1673" s="29">
        <f>IF(Setup!$K$21="","",Setup!$K$21)</f>
        <v/>
      </c>
      <c r="C1673" s="88" t="n"/>
      <c r="D1673" s="88" t="n"/>
      <c r="E1673" s="88" t="n"/>
      <c r="F1673" s="89" t="n"/>
      <c r="G1673" s="88" t="n"/>
      <c r="H1673" s="88" t="n"/>
      <c r="I1673" s="88" t="n"/>
      <c r="J1673" s="89" t="n"/>
      <c r="K1673" s="88" t="n"/>
      <c r="L1673" s="88" t="n"/>
      <c r="M1673" s="88" t="n"/>
      <c r="N1673" s="89" t="n"/>
      <c r="O1673" s="88" t="n"/>
      <c r="P1673" s="88" t="n"/>
      <c r="Q1673" s="88" t="n"/>
      <c r="R1673" s="89" t="n"/>
      <c r="S1673" s="88" t="n"/>
      <c r="T1673" s="88" t="n"/>
      <c r="U1673" s="88" t="n"/>
      <c r="V1673" s="89" t="n"/>
      <c r="W1673" s="88" t="n"/>
      <c r="X1673" s="89" t="n"/>
      <c r="Y1673" s="88" t="n"/>
      <c r="Z1673" s="89" t="n"/>
      <c r="AB1673" s="30">
        <f>IF($B1673="","",(COUNTIF(C1673:E1673,"?*")&lt;N(INDEX(Setup!$L$6:$L$23,16)))+(COUNTIF(G1673:I1673,"?*")&lt;N(INDEX(Setup!$L$6:$L$23,16)))+(COUNTIF(K1673:M1673,"?*")&lt;N(INDEX(Setup!$L$6:$L$23,16)))+(COUNTIF(O1673:Q1673,"?*")&lt;N(INDEX(Setup!$L$6:$L$23,16)))+(COUNTIF(S1673:U1673,"?*")&lt;N(INDEX(Setup!$L$6:$L$23,16)))+((W1673="")*(INDEX(Setup!$M$6:$M$23,16)="Y"))+((Y1673="")*(INDEX(Setup!$M$6:$M$23,16)="Y")))</f>
        <v/>
      </c>
      <c r="AC1673" s="91">
        <f>IF($B1673="","",IF(AB1673=0,"✓ covered","⚠ "&amp;AB1673&amp;IF(AB1673=1," gap"," gaps")))</f>
        <v/>
      </c>
    </row>
    <row r="1674" ht="17" customHeight="1">
      <c r="A1674" t="n">
        <v>34</v>
      </c>
      <c r="B1674" s="24">
        <f>IF(Setup!$K$22="","",Setup!$K$22)</f>
        <v/>
      </c>
      <c r="C1674" s="88" t="n"/>
      <c r="D1674" s="88" t="n"/>
      <c r="E1674" s="88" t="n"/>
      <c r="F1674" s="89" t="n"/>
      <c r="G1674" s="88" t="n"/>
      <c r="H1674" s="88" t="n"/>
      <c r="I1674" s="88" t="n"/>
      <c r="J1674" s="89" t="n"/>
      <c r="K1674" s="88" t="n"/>
      <c r="L1674" s="88" t="n"/>
      <c r="M1674" s="88" t="n"/>
      <c r="N1674" s="89" t="n"/>
      <c r="O1674" s="88" t="n"/>
      <c r="P1674" s="88" t="n"/>
      <c r="Q1674" s="88" t="n"/>
      <c r="R1674" s="89" t="n"/>
      <c r="S1674" s="88" t="n"/>
      <c r="T1674" s="88" t="n"/>
      <c r="U1674" s="88" t="n"/>
      <c r="V1674" s="89" t="n"/>
      <c r="W1674" s="88" t="n"/>
      <c r="X1674" s="89" t="n"/>
      <c r="Y1674" s="88" t="n"/>
      <c r="Z1674" s="89" t="n"/>
      <c r="AB1674" s="25">
        <f>IF($B1674="","",(COUNTIF(C1674:E1674,"?*")&lt;N(INDEX(Setup!$L$6:$L$23,17)))+(COUNTIF(G1674:I1674,"?*")&lt;N(INDEX(Setup!$L$6:$L$23,17)))+(COUNTIF(K1674:M1674,"?*")&lt;N(INDEX(Setup!$L$6:$L$23,17)))+(COUNTIF(O1674:Q1674,"?*")&lt;N(INDEX(Setup!$L$6:$L$23,17)))+(COUNTIF(S1674:U1674,"?*")&lt;N(INDEX(Setup!$L$6:$L$23,17)))+((W1674="")*(INDEX(Setup!$M$6:$M$23,17)="Y"))+((Y1674="")*(INDEX(Setup!$M$6:$M$23,17)="Y")))</f>
        <v/>
      </c>
      <c r="AC1674" s="90">
        <f>IF($B1674="","",IF(AB1674=0,"✓ covered","⚠ "&amp;AB1674&amp;IF(AB1674=1," gap"," gaps")))</f>
        <v/>
      </c>
    </row>
    <row r="1675" ht="17" customHeight="1">
      <c r="A1675" t="n">
        <v>34</v>
      </c>
      <c r="B1675" s="29">
        <f>IF(Setup!$K$23="","",Setup!$K$23)</f>
        <v/>
      </c>
      <c r="C1675" s="88" t="n"/>
      <c r="D1675" s="88" t="n"/>
      <c r="E1675" s="88" t="n"/>
      <c r="F1675" s="89" t="n"/>
      <c r="G1675" s="88" t="n"/>
      <c r="H1675" s="88" t="n"/>
      <c r="I1675" s="88" t="n"/>
      <c r="J1675" s="89" t="n"/>
      <c r="K1675" s="88" t="n"/>
      <c r="L1675" s="88" t="n"/>
      <c r="M1675" s="88" t="n"/>
      <c r="N1675" s="89" t="n"/>
      <c r="O1675" s="88" t="n"/>
      <c r="P1675" s="88" t="n"/>
      <c r="Q1675" s="88" t="n"/>
      <c r="R1675" s="89" t="n"/>
      <c r="S1675" s="88" t="n"/>
      <c r="T1675" s="88" t="n"/>
      <c r="U1675" s="88" t="n"/>
      <c r="V1675" s="89" t="n"/>
      <c r="W1675" s="88" t="n"/>
      <c r="X1675" s="89" t="n"/>
      <c r="Y1675" s="88" t="n"/>
      <c r="Z1675" s="89" t="n"/>
      <c r="AB1675" s="30">
        <f>IF($B1675="","",(COUNTIF(C1675:E1675,"?*")&lt;N(INDEX(Setup!$L$6:$L$23,18)))+(COUNTIF(G1675:I1675,"?*")&lt;N(INDEX(Setup!$L$6:$L$23,18)))+(COUNTIF(K1675:M1675,"?*")&lt;N(INDEX(Setup!$L$6:$L$23,18)))+(COUNTIF(O1675:Q1675,"?*")&lt;N(INDEX(Setup!$L$6:$L$23,18)))+(COUNTIF(S1675:U1675,"?*")&lt;N(INDEX(Setup!$L$6:$L$23,18)))+((W1675="")*(INDEX(Setup!$M$6:$M$23,18)="Y"))+((Y1675="")*(INDEX(Setup!$M$6:$M$23,18)="Y")))</f>
        <v/>
      </c>
      <c r="AC1675" s="91">
        <f>IF($B1675="","",IF(AB1675=0,"✓ covered","⚠ "&amp;AB1675&amp;IF(AB1675=1," gap"," gaps")))</f>
        <v/>
      </c>
    </row>
    <row r="1676" ht="18" customHeight="1">
      <c r="A1676" t="n">
        <v>34</v>
      </c>
      <c r="B1676" s="78" t="inlineStr">
        <is>
          <t>TEAM AVAILABILITY</t>
        </is>
      </c>
      <c r="C1676" s="92" t="inlineStr">
        <is>
          <t>Mon</t>
        </is>
      </c>
      <c r="D1676" s="93" t="n"/>
      <c r="E1676" s="93" t="n"/>
      <c r="F1676" s="94" t="n"/>
      <c r="G1676" s="92" t="inlineStr">
        <is>
          <t>Tue</t>
        </is>
      </c>
      <c r="H1676" s="93" t="n"/>
      <c r="I1676" s="93" t="n"/>
      <c r="J1676" s="94" t="n"/>
      <c r="K1676" s="92" t="inlineStr">
        <is>
          <t>Wed</t>
        </is>
      </c>
      <c r="L1676" s="93" t="n"/>
      <c r="M1676" s="93" t="n"/>
      <c r="N1676" s="94" t="n"/>
      <c r="O1676" s="92" t="inlineStr">
        <is>
          <t>Thu</t>
        </is>
      </c>
      <c r="P1676" s="93" t="n"/>
      <c r="Q1676" s="93" t="n"/>
      <c r="R1676" s="94" t="n"/>
      <c r="S1676" s="92" t="inlineStr">
        <is>
          <t>Fri</t>
        </is>
      </c>
      <c r="T1676" s="93" t="n"/>
      <c r="U1676" s="93" t="n"/>
      <c r="V1676" s="94" t="n"/>
      <c r="W1676" s="95" t="inlineStr">
        <is>
          <t>Sat</t>
        </is>
      </c>
      <c r="X1676" s="96" t="n"/>
      <c r="Y1676" s="95" t="inlineStr">
        <is>
          <t>Sun</t>
        </is>
      </c>
      <c r="Z1676" s="96" t="n"/>
      <c r="AB1676" s="97" t="inlineStr">
        <is>
          <t>Days rostered</t>
        </is>
      </c>
      <c r="AC1676" s="97" t="inlineStr">
        <is>
          <t>Conflicts</t>
        </is>
      </c>
    </row>
    <row r="1677" ht="15" customHeight="1">
      <c r="A1677" t="n">
        <v>34</v>
      </c>
      <c r="B1677" s="35">
        <f>IF(Setup!$B$6="","",Setup!$B$6)</f>
        <v/>
      </c>
      <c r="C1677" s="98" t="n"/>
      <c r="D1677" s="99" t="n"/>
      <c r="E1677" s="99" t="n"/>
      <c r="F1677" s="100" t="n"/>
      <c r="G1677" s="98" t="n"/>
      <c r="H1677" s="99" t="n"/>
      <c r="I1677" s="99" t="n"/>
      <c r="J1677" s="100" t="n"/>
      <c r="K1677" s="98" t="n"/>
      <c r="L1677" s="99" t="n"/>
      <c r="M1677" s="99" t="n"/>
      <c r="N1677" s="100" t="n"/>
      <c r="O1677" s="98" t="n"/>
      <c r="P1677" s="99" t="n"/>
      <c r="Q1677" s="99" t="n"/>
      <c r="R1677" s="100" t="n"/>
      <c r="S1677" s="98" t="n"/>
      <c r="T1677" s="99" t="n"/>
      <c r="U1677" s="99" t="n"/>
      <c r="V1677" s="100" t="n"/>
      <c r="W1677" s="98" t="n"/>
      <c r="X1677" s="100" t="n"/>
      <c r="Y1677" s="98" t="n"/>
      <c r="Z1677" s="100" t="n"/>
      <c r="AB1677" s="101">
        <f>IF($B1677="","",(COUNTIF(C1658:E1675,$B1677)+COUNTIF(C1658:E1675,$B1677&amp;" ~*")&gt;0)+(COUNTIF(G1658:I1675,$B1677)+COUNTIF(G1658:I1675,$B1677&amp;" ~*")&gt;0)+(COUNTIF(K1658:M1675,$B1677)+COUNTIF(K1658:M1675,$B1677&amp;" ~*")&gt;0)+(COUNTIF(O1658:Q1675,$B1677)+COUNTIF(O1658:Q1675,$B1677&amp;" ~*")&gt;0)+(COUNTIF(S1658:U1675,$B1677)+COUNTIF(S1658:U1675,$B1677&amp;" ~*")&gt;0)+(COUNTIF(W1658:W1675,$B1677)+COUNTIF(W1658:W1675,$B1677&amp;" ~*")&gt;0)+(COUNTIF(Y1658:Y1675,$B1677)+COUNTIF(Y1658:Y1675,$B1677&amp;" ~*")&gt;0))</f>
        <v/>
      </c>
      <c r="AC1677" s="36">
        <f>IF($B1677="","",(IFERROR(INDEX(Setup!$G$33:$G$40,MATCH(C1677,Setup!$B$33:$B$40,0)),0)=1)*(COUNTIF(C1658:E1675,$B1677)+COUNTIF(C1658:E1675,$B1677&amp;" ~*")&gt;0)+(IFERROR(INDEX(Setup!$G$33:$G$40,MATCH(G1677,Setup!$B$33:$B$40,0)),0)=1)*(COUNTIF(G1658:I1675,$B1677)+COUNTIF(G1658:I1675,$B1677&amp;" ~*")&gt;0)+(IFERROR(INDEX(Setup!$G$33:$G$40,MATCH(K1677,Setup!$B$33:$B$40,0)),0)=1)*(COUNTIF(K1658:M1675,$B1677)+COUNTIF(K1658:M1675,$B1677&amp;" ~*")&gt;0)+(IFERROR(INDEX(Setup!$G$33:$G$40,MATCH(O1677,Setup!$B$33:$B$40,0)),0)=1)*(COUNTIF(O1658:Q1675,$B1677)+COUNTIF(O1658:Q1675,$B1677&amp;" ~*")&gt;0)+(IFERROR(INDEX(Setup!$G$33:$G$40,MATCH(S1677,Setup!$B$33:$B$40,0)),0)=1)*(COUNTIF(S1658:U1675,$B1677)+COUNTIF(S1658:U1675,$B1677&amp;" ~*")&gt;0)+(IFERROR(INDEX(Setup!$G$33:$G$40,MATCH(W1677,Setup!$B$33:$B$40,0)),0)=1)*(COUNTIF(W1658:W1675,$B1677)+COUNTIF(W1658:W1675,$B1677&amp;" ~*")&gt;0)+(IFERROR(INDEX(Setup!$G$33:$G$40,MATCH(Y1677,Setup!$B$33:$B$40,0)),0)=1)*(COUNTIF(Y1658:Y1675,$B1677)+COUNTIF(Y1658:Y1675,$B1677&amp;" ~*")&gt;0))</f>
        <v/>
      </c>
    </row>
    <row r="1678" ht="15" customHeight="1">
      <c r="A1678" t="n">
        <v>34</v>
      </c>
      <c r="B1678" s="37">
        <f>IF(Setup!$B$7="","",Setup!$B$7)</f>
        <v/>
      </c>
      <c r="C1678" s="102" t="n"/>
      <c r="D1678" s="103" t="n"/>
      <c r="E1678" s="103" t="n"/>
      <c r="F1678" s="104" t="n"/>
      <c r="G1678" s="102" t="n"/>
      <c r="H1678" s="103" t="n"/>
      <c r="I1678" s="103" t="n"/>
      <c r="J1678" s="104" t="n"/>
      <c r="K1678" s="102" t="n"/>
      <c r="L1678" s="103" t="n"/>
      <c r="M1678" s="103" t="n"/>
      <c r="N1678" s="104" t="n"/>
      <c r="O1678" s="102" t="n"/>
      <c r="P1678" s="103" t="n"/>
      <c r="Q1678" s="103" t="n"/>
      <c r="R1678" s="104" t="n"/>
      <c r="S1678" s="102" t="n"/>
      <c r="T1678" s="103" t="n"/>
      <c r="U1678" s="103" t="n"/>
      <c r="V1678" s="104" t="n"/>
      <c r="W1678" s="102" t="n"/>
      <c r="X1678" s="104" t="n"/>
      <c r="Y1678" s="102" t="n"/>
      <c r="Z1678" s="104" t="n"/>
      <c r="AB1678" s="105">
        <f>IF($B1678="","",(COUNTIF(C1658:E1675,$B1678)+COUNTIF(C1658:E1675,$B1678&amp;" ~*")&gt;0)+(COUNTIF(G1658:I1675,$B1678)+COUNTIF(G1658:I1675,$B1678&amp;" ~*")&gt;0)+(COUNTIF(K1658:M1675,$B1678)+COUNTIF(K1658:M1675,$B1678&amp;" ~*")&gt;0)+(COUNTIF(O1658:Q1675,$B1678)+COUNTIF(O1658:Q1675,$B1678&amp;" ~*")&gt;0)+(COUNTIF(S1658:U1675,$B1678)+COUNTIF(S1658:U1675,$B1678&amp;" ~*")&gt;0)+(COUNTIF(W1658:W1675,$B1678)+COUNTIF(W1658:W1675,$B1678&amp;" ~*")&gt;0)+(COUNTIF(Y1658:Y1675,$B1678)+COUNTIF(Y1658:Y1675,$B1678&amp;" ~*")&gt;0))</f>
        <v/>
      </c>
      <c r="AC1678" s="38">
        <f>IF($B1678="","",(IFERROR(INDEX(Setup!$G$33:$G$40,MATCH(C1678,Setup!$B$33:$B$40,0)),0)=1)*(COUNTIF(C1658:E1675,$B1678)+COUNTIF(C1658:E1675,$B1678&amp;" ~*")&gt;0)+(IFERROR(INDEX(Setup!$G$33:$G$40,MATCH(G1678,Setup!$B$33:$B$40,0)),0)=1)*(COUNTIF(G1658:I1675,$B1678)+COUNTIF(G1658:I1675,$B1678&amp;" ~*")&gt;0)+(IFERROR(INDEX(Setup!$G$33:$G$40,MATCH(K1678,Setup!$B$33:$B$40,0)),0)=1)*(COUNTIF(K1658:M1675,$B1678)+COUNTIF(K1658:M1675,$B1678&amp;" ~*")&gt;0)+(IFERROR(INDEX(Setup!$G$33:$G$40,MATCH(O1678,Setup!$B$33:$B$40,0)),0)=1)*(COUNTIF(O1658:Q1675,$B1678)+COUNTIF(O1658:Q1675,$B1678&amp;" ~*")&gt;0)+(IFERROR(INDEX(Setup!$G$33:$G$40,MATCH(S1678,Setup!$B$33:$B$40,0)),0)=1)*(COUNTIF(S1658:U1675,$B1678)+COUNTIF(S1658:U1675,$B1678&amp;" ~*")&gt;0)+(IFERROR(INDEX(Setup!$G$33:$G$40,MATCH(W1678,Setup!$B$33:$B$40,0)),0)=1)*(COUNTIF(W1658:W1675,$B1678)+COUNTIF(W1658:W1675,$B1678&amp;" ~*")&gt;0)+(IFERROR(INDEX(Setup!$G$33:$G$40,MATCH(Y1678,Setup!$B$33:$B$40,0)),0)=1)*(COUNTIF(Y1658:Y1675,$B1678)+COUNTIF(Y1658:Y1675,$B1678&amp;" ~*")&gt;0))</f>
        <v/>
      </c>
    </row>
    <row r="1679" ht="15" customHeight="1">
      <c r="A1679" t="n">
        <v>34</v>
      </c>
      <c r="B1679" s="35">
        <f>IF(Setup!$B$8="","",Setup!$B$8)</f>
        <v/>
      </c>
      <c r="C1679" s="98" t="n"/>
      <c r="D1679" s="99" t="n"/>
      <c r="E1679" s="99" t="n"/>
      <c r="F1679" s="100" t="n"/>
      <c r="G1679" s="98" t="n"/>
      <c r="H1679" s="99" t="n"/>
      <c r="I1679" s="99" t="n"/>
      <c r="J1679" s="100" t="n"/>
      <c r="K1679" s="98" t="n"/>
      <c r="L1679" s="99" t="n"/>
      <c r="M1679" s="99" t="n"/>
      <c r="N1679" s="100" t="n"/>
      <c r="O1679" s="98" t="n"/>
      <c r="P1679" s="99" t="n"/>
      <c r="Q1679" s="99" t="n"/>
      <c r="R1679" s="100" t="n"/>
      <c r="S1679" s="98" t="n"/>
      <c r="T1679" s="99" t="n"/>
      <c r="U1679" s="99" t="n"/>
      <c r="V1679" s="100" t="n"/>
      <c r="W1679" s="98" t="n"/>
      <c r="X1679" s="100" t="n"/>
      <c r="Y1679" s="98" t="n"/>
      <c r="Z1679" s="100" t="n"/>
      <c r="AB1679" s="101">
        <f>IF($B1679="","",(COUNTIF(C1658:E1675,$B1679)+COUNTIF(C1658:E1675,$B1679&amp;" ~*")&gt;0)+(COUNTIF(G1658:I1675,$B1679)+COUNTIF(G1658:I1675,$B1679&amp;" ~*")&gt;0)+(COUNTIF(K1658:M1675,$B1679)+COUNTIF(K1658:M1675,$B1679&amp;" ~*")&gt;0)+(COUNTIF(O1658:Q1675,$B1679)+COUNTIF(O1658:Q1675,$B1679&amp;" ~*")&gt;0)+(COUNTIF(S1658:U1675,$B1679)+COUNTIF(S1658:U1675,$B1679&amp;" ~*")&gt;0)+(COUNTIF(W1658:W1675,$B1679)+COUNTIF(W1658:W1675,$B1679&amp;" ~*")&gt;0)+(COUNTIF(Y1658:Y1675,$B1679)+COUNTIF(Y1658:Y1675,$B1679&amp;" ~*")&gt;0))</f>
        <v/>
      </c>
      <c r="AC1679" s="36">
        <f>IF($B1679="","",(IFERROR(INDEX(Setup!$G$33:$G$40,MATCH(C1679,Setup!$B$33:$B$40,0)),0)=1)*(COUNTIF(C1658:E1675,$B1679)+COUNTIF(C1658:E1675,$B1679&amp;" ~*")&gt;0)+(IFERROR(INDEX(Setup!$G$33:$G$40,MATCH(G1679,Setup!$B$33:$B$40,0)),0)=1)*(COUNTIF(G1658:I1675,$B1679)+COUNTIF(G1658:I1675,$B1679&amp;" ~*")&gt;0)+(IFERROR(INDEX(Setup!$G$33:$G$40,MATCH(K1679,Setup!$B$33:$B$40,0)),0)=1)*(COUNTIF(K1658:M1675,$B1679)+COUNTIF(K1658:M1675,$B1679&amp;" ~*")&gt;0)+(IFERROR(INDEX(Setup!$G$33:$G$40,MATCH(O1679,Setup!$B$33:$B$40,0)),0)=1)*(COUNTIF(O1658:Q1675,$B1679)+COUNTIF(O1658:Q1675,$B1679&amp;" ~*")&gt;0)+(IFERROR(INDEX(Setup!$G$33:$G$40,MATCH(S1679,Setup!$B$33:$B$40,0)),0)=1)*(COUNTIF(S1658:U1675,$B1679)+COUNTIF(S1658:U1675,$B1679&amp;" ~*")&gt;0)+(IFERROR(INDEX(Setup!$G$33:$G$40,MATCH(W1679,Setup!$B$33:$B$40,0)),0)=1)*(COUNTIF(W1658:W1675,$B1679)+COUNTIF(W1658:W1675,$B1679&amp;" ~*")&gt;0)+(IFERROR(INDEX(Setup!$G$33:$G$40,MATCH(Y1679,Setup!$B$33:$B$40,0)),0)=1)*(COUNTIF(Y1658:Y1675,$B1679)+COUNTIF(Y1658:Y1675,$B1679&amp;" ~*")&gt;0))</f>
        <v/>
      </c>
    </row>
    <row r="1680" ht="15" customHeight="1">
      <c r="A1680" t="n">
        <v>34</v>
      </c>
      <c r="B1680" s="37">
        <f>IF(Setup!$B$9="","",Setup!$B$9)</f>
        <v/>
      </c>
      <c r="C1680" s="102" t="n"/>
      <c r="D1680" s="103" t="n"/>
      <c r="E1680" s="103" t="n"/>
      <c r="F1680" s="104" t="n"/>
      <c r="G1680" s="102" t="n"/>
      <c r="H1680" s="103" t="n"/>
      <c r="I1680" s="103" t="n"/>
      <c r="J1680" s="104" t="n"/>
      <c r="K1680" s="102" t="n"/>
      <c r="L1680" s="103" t="n"/>
      <c r="M1680" s="103" t="n"/>
      <c r="N1680" s="104" t="n"/>
      <c r="O1680" s="102" t="n"/>
      <c r="P1680" s="103" t="n"/>
      <c r="Q1680" s="103" t="n"/>
      <c r="R1680" s="104" t="n"/>
      <c r="S1680" s="102" t="n"/>
      <c r="T1680" s="103" t="n"/>
      <c r="U1680" s="103" t="n"/>
      <c r="V1680" s="104" t="n"/>
      <c r="W1680" s="102" t="n"/>
      <c r="X1680" s="104" t="n"/>
      <c r="Y1680" s="102" t="n"/>
      <c r="Z1680" s="104" t="n"/>
      <c r="AB1680" s="105">
        <f>IF($B1680="","",(COUNTIF(C1658:E1675,$B1680)+COUNTIF(C1658:E1675,$B1680&amp;" ~*")&gt;0)+(COUNTIF(G1658:I1675,$B1680)+COUNTIF(G1658:I1675,$B1680&amp;" ~*")&gt;0)+(COUNTIF(K1658:M1675,$B1680)+COUNTIF(K1658:M1675,$B1680&amp;" ~*")&gt;0)+(COUNTIF(O1658:Q1675,$B1680)+COUNTIF(O1658:Q1675,$B1680&amp;" ~*")&gt;0)+(COUNTIF(S1658:U1675,$B1680)+COUNTIF(S1658:U1675,$B1680&amp;" ~*")&gt;0)+(COUNTIF(W1658:W1675,$B1680)+COUNTIF(W1658:W1675,$B1680&amp;" ~*")&gt;0)+(COUNTIF(Y1658:Y1675,$B1680)+COUNTIF(Y1658:Y1675,$B1680&amp;" ~*")&gt;0))</f>
        <v/>
      </c>
      <c r="AC1680" s="38">
        <f>IF($B1680="","",(IFERROR(INDEX(Setup!$G$33:$G$40,MATCH(C1680,Setup!$B$33:$B$40,0)),0)=1)*(COUNTIF(C1658:E1675,$B1680)+COUNTIF(C1658:E1675,$B1680&amp;" ~*")&gt;0)+(IFERROR(INDEX(Setup!$G$33:$G$40,MATCH(G1680,Setup!$B$33:$B$40,0)),0)=1)*(COUNTIF(G1658:I1675,$B1680)+COUNTIF(G1658:I1675,$B1680&amp;" ~*")&gt;0)+(IFERROR(INDEX(Setup!$G$33:$G$40,MATCH(K1680,Setup!$B$33:$B$40,0)),0)=1)*(COUNTIF(K1658:M1675,$B1680)+COUNTIF(K1658:M1675,$B1680&amp;" ~*")&gt;0)+(IFERROR(INDEX(Setup!$G$33:$G$40,MATCH(O1680,Setup!$B$33:$B$40,0)),0)=1)*(COUNTIF(O1658:Q1675,$B1680)+COUNTIF(O1658:Q1675,$B1680&amp;" ~*")&gt;0)+(IFERROR(INDEX(Setup!$G$33:$G$40,MATCH(S1680,Setup!$B$33:$B$40,0)),0)=1)*(COUNTIF(S1658:U1675,$B1680)+COUNTIF(S1658:U1675,$B1680&amp;" ~*")&gt;0)+(IFERROR(INDEX(Setup!$G$33:$G$40,MATCH(W1680,Setup!$B$33:$B$40,0)),0)=1)*(COUNTIF(W1658:W1675,$B1680)+COUNTIF(W1658:W1675,$B1680&amp;" ~*")&gt;0)+(IFERROR(INDEX(Setup!$G$33:$G$40,MATCH(Y1680,Setup!$B$33:$B$40,0)),0)=1)*(COUNTIF(Y1658:Y1675,$B1680)+COUNTIF(Y1658:Y1675,$B1680&amp;" ~*")&gt;0))</f>
        <v/>
      </c>
    </row>
    <row r="1681" ht="15" customHeight="1">
      <c r="A1681" t="n">
        <v>34</v>
      </c>
      <c r="B1681" s="35">
        <f>IF(Setup!$B$10="","",Setup!$B$10)</f>
        <v/>
      </c>
      <c r="C1681" s="98" t="n"/>
      <c r="D1681" s="99" t="n"/>
      <c r="E1681" s="99" t="n"/>
      <c r="F1681" s="100" t="n"/>
      <c r="G1681" s="98" t="n"/>
      <c r="H1681" s="99" t="n"/>
      <c r="I1681" s="99" t="n"/>
      <c r="J1681" s="100" t="n"/>
      <c r="K1681" s="98" t="n"/>
      <c r="L1681" s="99" t="n"/>
      <c r="M1681" s="99" t="n"/>
      <c r="N1681" s="100" t="n"/>
      <c r="O1681" s="98" t="n"/>
      <c r="P1681" s="99" t="n"/>
      <c r="Q1681" s="99" t="n"/>
      <c r="R1681" s="100" t="n"/>
      <c r="S1681" s="98" t="n"/>
      <c r="T1681" s="99" t="n"/>
      <c r="U1681" s="99" t="n"/>
      <c r="V1681" s="100" t="n"/>
      <c r="W1681" s="98" t="n"/>
      <c r="X1681" s="100" t="n"/>
      <c r="Y1681" s="98" t="n"/>
      <c r="Z1681" s="100" t="n"/>
      <c r="AB1681" s="101">
        <f>IF($B1681="","",(COUNTIF(C1658:E1675,$B1681)+COUNTIF(C1658:E1675,$B1681&amp;" ~*")&gt;0)+(COUNTIF(G1658:I1675,$B1681)+COUNTIF(G1658:I1675,$B1681&amp;" ~*")&gt;0)+(COUNTIF(K1658:M1675,$B1681)+COUNTIF(K1658:M1675,$B1681&amp;" ~*")&gt;0)+(COUNTIF(O1658:Q1675,$B1681)+COUNTIF(O1658:Q1675,$B1681&amp;" ~*")&gt;0)+(COUNTIF(S1658:U1675,$B1681)+COUNTIF(S1658:U1675,$B1681&amp;" ~*")&gt;0)+(COUNTIF(W1658:W1675,$B1681)+COUNTIF(W1658:W1675,$B1681&amp;" ~*")&gt;0)+(COUNTIF(Y1658:Y1675,$B1681)+COUNTIF(Y1658:Y1675,$B1681&amp;" ~*")&gt;0))</f>
        <v/>
      </c>
      <c r="AC1681" s="36">
        <f>IF($B1681="","",(IFERROR(INDEX(Setup!$G$33:$G$40,MATCH(C1681,Setup!$B$33:$B$40,0)),0)=1)*(COUNTIF(C1658:E1675,$B1681)+COUNTIF(C1658:E1675,$B1681&amp;" ~*")&gt;0)+(IFERROR(INDEX(Setup!$G$33:$G$40,MATCH(G1681,Setup!$B$33:$B$40,0)),0)=1)*(COUNTIF(G1658:I1675,$B1681)+COUNTIF(G1658:I1675,$B1681&amp;" ~*")&gt;0)+(IFERROR(INDEX(Setup!$G$33:$G$40,MATCH(K1681,Setup!$B$33:$B$40,0)),0)=1)*(COUNTIF(K1658:M1675,$B1681)+COUNTIF(K1658:M1675,$B1681&amp;" ~*")&gt;0)+(IFERROR(INDEX(Setup!$G$33:$G$40,MATCH(O1681,Setup!$B$33:$B$40,0)),0)=1)*(COUNTIF(O1658:Q1675,$B1681)+COUNTIF(O1658:Q1675,$B1681&amp;" ~*")&gt;0)+(IFERROR(INDEX(Setup!$G$33:$G$40,MATCH(S1681,Setup!$B$33:$B$40,0)),0)=1)*(COUNTIF(S1658:U1675,$B1681)+COUNTIF(S1658:U1675,$B1681&amp;" ~*")&gt;0)+(IFERROR(INDEX(Setup!$G$33:$G$40,MATCH(W1681,Setup!$B$33:$B$40,0)),0)=1)*(COUNTIF(W1658:W1675,$B1681)+COUNTIF(W1658:W1675,$B1681&amp;" ~*")&gt;0)+(IFERROR(INDEX(Setup!$G$33:$G$40,MATCH(Y1681,Setup!$B$33:$B$40,0)),0)=1)*(COUNTIF(Y1658:Y1675,$B1681)+COUNTIF(Y1658:Y1675,$B1681&amp;" ~*")&gt;0))</f>
        <v/>
      </c>
    </row>
    <row r="1682" ht="15" customHeight="1">
      <c r="A1682" t="n">
        <v>34</v>
      </c>
      <c r="B1682" s="37">
        <f>IF(Setup!$B$11="","",Setup!$B$11)</f>
        <v/>
      </c>
      <c r="C1682" s="102" t="n"/>
      <c r="D1682" s="103" t="n"/>
      <c r="E1682" s="103" t="n"/>
      <c r="F1682" s="104" t="n"/>
      <c r="G1682" s="102" t="n"/>
      <c r="H1682" s="103" t="n"/>
      <c r="I1682" s="103" t="n"/>
      <c r="J1682" s="104" t="n"/>
      <c r="K1682" s="102" t="n"/>
      <c r="L1682" s="103" t="n"/>
      <c r="M1682" s="103" t="n"/>
      <c r="N1682" s="104" t="n"/>
      <c r="O1682" s="102" t="n"/>
      <c r="P1682" s="103" t="n"/>
      <c r="Q1682" s="103" t="n"/>
      <c r="R1682" s="104" t="n"/>
      <c r="S1682" s="102" t="n"/>
      <c r="T1682" s="103" t="n"/>
      <c r="U1682" s="103" t="n"/>
      <c r="V1682" s="104" t="n"/>
      <c r="W1682" s="102" t="n"/>
      <c r="X1682" s="104" t="n"/>
      <c r="Y1682" s="102" t="n"/>
      <c r="Z1682" s="104" t="n"/>
      <c r="AB1682" s="105">
        <f>IF($B1682="","",(COUNTIF(C1658:E1675,$B1682)+COUNTIF(C1658:E1675,$B1682&amp;" ~*")&gt;0)+(COUNTIF(G1658:I1675,$B1682)+COUNTIF(G1658:I1675,$B1682&amp;" ~*")&gt;0)+(COUNTIF(K1658:M1675,$B1682)+COUNTIF(K1658:M1675,$B1682&amp;" ~*")&gt;0)+(COUNTIF(O1658:Q1675,$B1682)+COUNTIF(O1658:Q1675,$B1682&amp;" ~*")&gt;0)+(COUNTIF(S1658:U1675,$B1682)+COUNTIF(S1658:U1675,$B1682&amp;" ~*")&gt;0)+(COUNTIF(W1658:W1675,$B1682)+COUNTIF(W1658:W1675,$B1682&amp;" ~*")&gt;0)+(COUNTIF(Y1658:Y1675,$B1682)+COUNTIF(Y1658:Y1675,$B1682&amp;" ~*")&gt;0))</f>
        <v/>
      </c>
      <c r="AC1682" s="38">
        <f>IF($B1682="","",(IFERROR(INDEX(Setup!$G$33:$G$40,MATCH(C1682,Setup!$B$33:$B$40,0)),0)=1)*(COUNTIF(C1658:E1675,$B1682)+COUNTIF(C1658:E1675,$B1682&amp;" ~*")&gt;0)+(IFERROR(INDEX(Setup!$G$33:$G$40,MATCH(G1682,Setup!$B$33:$B$40,0)),0)=1)*(COUNTIF(G1658:I1675,$B1682)+COUNTIF(G1658:I1675,$B1682&amp;" ~*")&gt;0)+(IFERROR(INDEX(Setup!$G$33:$G$40,MATCH(K1682,Setup!$B$33:$B$40,0)),0)=1)*(COUNTIF(K1658:M1675,$B1682)+COUNTIF(K1658:M1675,$B1682&amp;" ~*")&gt;0)+(IFERROR(INDEX(Setup!$G$33:$G$40,MATCH(O1682,Setup!$B$33:$B$40,0)),0)=1)*(COUNTIF(O1658:Q1675,$B1682)+COUNTIF(O1658:Q1675,$B1682&amp;" ~*")&gt;0)+(IFERROR(INDEX(Setup!$G$33:$G$40,MATCH(S1682,Setup!$B$33:$B$40,0)),0)=1)*(COUNTIF(S1658:U1675,$B1682)+COUNTIF(S1658:U1675,$B1682&amp;" ~*")&gt;0)+(IFERROR(INDEX(Setup!$G$33:$G$40,MATCH(W1682,Setup!$B$33:$B$40,0)),0)=1)*(COUNTIF(W1658:W1675,$B1682)+COUNTIF(W1658:W1675,$B1682&amp;" ~*")&gt;0)+(IFERROR(INDEX(Setup!$G$33:$G$40,MATCH(Y1682,Setup!$B$33:$B$40,0)),0)=1)*(COUNTIF(Y1658:Y1675,$B1682)+COUNTIF(Y1658:Y1675,$B1682&amp;" ~*")&gt;0))</f>
        <v/>
      </c>
    </row>
    <row r="1683" ht="15" customHeight="1">
      <c r="A1683" t="n">
        <v>34</v>
      </c>
      <c r="B1683" s="35">
        <f>IF(Setup!$B$12="","",Setup!$B$12)</f>
        <v/>
      </c>
      <c r="C1683" s="98" t="n"/>
      <c r="D1683" s="99" t="n"/>
      <c r="E1683" s="99" t="n"/>
      <c r="F1683" s="100" t="n"/>
      <c r="G1683" s="98" t="n"/>
      <c r="H1683" s="99" t="n"/>
      <c r="I1683" s="99" t="n"/>
      <c r="J1683" s="100" t="n"/>
      <c r="K1683" s="98" t="n"/>
      <c r="L1683" s="99" t="n"/>
      <c r="M1683" s="99" t="n"/>
      <c r="N1683" s="100" t="n"/>
      <c r="O1683" s="98" t="n"/>
      <c r="P1683" s="99" t="n"/>
      <c r="Q1683" s="99" t="n"/>
      <c r="R1683" s="100" t="n"/>
      <c r="S1683" s="98" t="n"/>
      <c r="T1683" s="99" t="n"/>
      <c r="U1683" s="99" t="n"/>
      <c r="V1683" s="100" t="n"/>
      <c r="W1683" s="98" t="n"/>
      <c r="X1683" s="100" t="n"/>
      <c r="Y1683" s="98" t="n"/>
      <c r="Z1683" s="100" t="n"/>
      <c r="AB1683" s="101">
        <f>IF($B1683="","",(COUNTIF(C1658:E1675,$B1683)+COUNTIF(C1658:E1675,$B1683&amp;" ~*")&gt;0)+(COUNTIF(G1658:I1675,$B1683)+COUNTIF(G1658:I1675,$B1683&amp;" ~*")&gt;0)+(COUNTIF(K1658:M1675,$B1683)+COUNTIF(K1658:M1675,$B1683&amp;" ~*")&gt;0)+(COUNTIF(O1658:Q1675,$B1683)+COUNTIF(O1658:Q1675,$B1683&amp;" ~*")&gt;0)+(COUNTIF(S1658:U1675,$B1683)+COUNTIF(S1658:U1675,$B1683&amp;" ~*")&gt;0)+(COUNTIF(W1658:W1675,$B1683)+COUNTIF(W1658:W1675,$B1683&amp;" ~*")&gt;0)+(COUNTIF(Y1658:Y1675,$B1683)+COUNTIF(Y1658:Y1675,$B1683&amp;" ~*")&gt;0))</f>
        <v/>
      </c>
      <c r="AC1683" s="36">
        <f>IF($B1683="","",(IFERROR(INDEX(Setup!$G$33:$G$40,MATCH(C1683,Setup!$B$33:$B$40,0)),0)=1)*(COUNTIF(C1658:E1675,$B1683)+COUNTIF(C1658:E1675,$B1683&amp;" ~*")&gt;0)+(IFERROR(INDEX(Setup!$G$33:$G$40,MATCH(G1683,Setup!$B$33:$B$40,0)),0)=1)*(COUNTIF(G1658:I1675,$B1683)+COUNTIF(G1658:I1675,$B1683&amp;" ~*")&gt;0)+(IFERROR(INDEX(Setup!$G$33:$G$40,MATCH(K1683,Setup!$B$33:$B$40,0)),0)=1)*(COUNTIF(K1658:M1675,$B1683)+COUNTIF(K1658:M1675,$B1683&amp;" ~*")&gt;0)+(IFERROR(INDEX(Setup!$G$33:$G$40,MATCH(O1683,Setup!$B$33:$B$40,0)),0)=1)*(COUNTIF(O1658:Q1675,$B1683)+COUNTIF(O1658:Q1675,$B1683&amp;" ~*")&gt;0)+(IFERROR(INDEX(Setup!$G$33:$G$40,MATCH(S1683,Setup!$B$33:$B$40,0)),0)=1)*(COUNTIF(S1658:U1675,$B1683)+COUNTIF(S1658:U1675,$B1683&amp;" ~*")&gt;0)+(IFERROR(INDEX(Setup!$G$33:$G$40,MATCH(W1683,Setup!$B$33:$B$40,0)),0)=1)*(COUNTIF(W1658:W1675,$B1683)+COUNTIF(W1658:W1675,$B1683&amp;" ~*")&gt;0)+(IFERROR(INDEX(Setup!$G$33:$G$40,MATCH(Y1683,Setup!$B$33:$B$40,0)),0)=1)*(COUNTIF(Y1658:Y1675,$B1683)+COUNTIF(Y1658:Y1675,$B1683&amp;" ~*")&gt;0))</f>
        <v/>
      </c>
    </row>
    <row r="1684" ht="15" customHeight="1">
      <c r="A1684" t="n">
        <v>34</v>
      </c>
      <c r="B1684" s="37">
        <f>IF(Setup!$B$13="","",Setup!$B$13)</f>
        <v/>
      </c>
      <c r="C1684" s="102" t="n"/>
      <c r="D1684" s="103" t="n"/>
      <c r="E1684" s="103" t="n"/>
      <c r="F1684" s="104" t="n"/>
      <c r="G1684" s="102" t="n"/>
      <c r="H1684" s="103" t="n"/>
      <c r="I1684" s="103" t="n"/>
      <c r="J1684" s="104" t="n"/>
      <c r="K1684" s="102" t="n"/>
      <c r="L1684" s="103" t="n"/>
      <c r="M1684" s="103" t="n"/>
      <c r="N1684" s="104" t="n"/>
      <c r="O1684" s="102" t="n"/>
      <c r="P1684" s="103" t="n"/>
      <c r="Q1684" s="103" t="n"/>
      <c r="R1684" s="104" t="n"/>
      <c r="S1684" s="102" t="n"/>
      <c r="T1684" s="103" t="n"/>
      <c r="U1684" s="103" t="n"/>
      <c r="V1684" s="104" t="n"/>
      <c r="W1684" s="102" t="n"/>
      <c r="X1684" s="104" t="n"/>
      <c r="Y1684" s="102" t="n"/>
      <c r="Z1684" s="104" t="n"/>
      <c r="AB1684" s="105">
        <f>IF($B1684="","",(COUNTIF(C1658:E1675,$B1684)+COUNTIF(C1658:E1675,$B1684&amp;" ~*")&gt;0)+(COUNTIF(G1658:I1675,$B1684)+COUNTIF(G1658:I1675,$B1684&amp;" ~*")&gt;0)+(COUNTIF(K1658:M1675,$B1684)+COUNTIF(K1658:M1675,$B1684&amp;" ~*")&gt;0)+(COUNTIF(O1658:Q1675,$B1684)+COUNTIF(O1658:Q1675,$B1684&amp;" ~*")&gt;0)+(COUNTIF(S1658:U1675,$B1684)+COUNTIF(S1658:U1675,$B1684&amp;" ~*")&gt;0)+(COUNTIF(W1658:W1675,$B1684)+COUNTIF(W1658:W1675,$B1684&amp;" ~*")&gt;0)+(COUNTIF(Y1658:Y1675,$B1684)+COUNTIF(Y1658:Y1675,$B1684&amp;" ~*")&gt;0))</f>
        <v/>
      </c>
      <c r="AC1684" s="38">
        <f>IF($B1684="","",(IFERROR(INDEX(Setup!$G$33:$G$40,MATCH(C1684,Setup!$B$33:$B$40,0)),0)=1)*(COUNTIF(C1658:E1675,$B1684)+COUNTIF(C1658:E1675,$B1684&amp;" ~*")&gt;0)+(IFERROR(INDEX(Setup!$G$33:$G$40,MATCH(G1684,Setup!$B$33:$B$40,0)),0)=1)*(COUNTIF(G1658:I1675,$B1684)+COUNTIF(G1658:I1675,$B1684&amp;" ~*")&gt;0)+(IFERROR(INDEX(Setup!$G$33:$G$40,MATCH(K1684,Setup!$B$33:$B$40,0)),0)=1)*(COUNTIF(K1658:M1675,$B1684)+COUNTIF(K1658:M1675,$B1684&amp;" ~*")&gt;0)+(IFERROR(INDEX(Setup!$G$33:$G$40,MATCH(O1684,Setup!$B$33:$B$40,0)),0)=1)*(COUNTIF(O1658:Q1675,$B1684)+COUNTIF(O1658:Q1675,$B1684&amp;" ~*")&gt;0)+(IFERROR(INDEX(Setup!$G$33:$G$40,MATCH(S1684,Setup!$B$33:$B$40,0)),0)=1)*(COUNTIF(S1658:U1675,$B1684)+COUNTIF(S1658:U1675,$B1684&amp;" ~*")&gt;0)+(IFERROR(INDEX(Setup!$G$33:$G$40,MATCH(W1684,Setup!$B$33:$B$40,0)),0)=1)*(COUNTIF(W1658:W1675,$B1684)+COUNTIF(W1658:W1675,$B1684&amp;" ~*")&gt;0)+(IFERROR(INDEX(Setup!$G$33:$G$40,MATCH(Y1684,Setup!$B$33:$B$40,0)),0)=1)*(COUNTIF(Y1658:Y1675,$B1684)+COUNTIF(Y1658:Y1675,$B1684&amp;" ~*")&gt;0))</f>
        <v/>
      </c>
    </row>
    <row r="1685" ht="15" customHeight="1">
      <c r="A1685" t="n">
        <v>34</v>
      </c>
      <c r="B1685" s="35">
        <f>IF(Setup!$B$14="","",Setup!$B$14)</f>
        <v/>
      </c>
      <c r="C1685" s="98" t="n"/>
      <c r="D1685" s="99" t="n"/>
      <c r="E1685" s="99" t="n"/>
      <c r="F1685" s="100" t="n"/>
      <c r="G1685" s="98" t="n"/>
      <c r="H1685" s="99" t="n"/>
      <c r="I1685" s="99" t="n"/>
      <c r="J1685" s="100" t="n"/>
      <c r="K1685" s="98" t="n"/>
      <c r="L1685" s="99" t="n"/>
      <c r="M1685" s="99" t="n"/>
      <c r="N1685" s="100" t="n"/>
      <c r="O1685" s="98" t="n"/>
      <c r="P1685" s="99" t="n"/>
      <c r="Q1685" s="99" t="n"/>
      <c r="R1685" s="100" t="n"/>
      <c r="S1685" s="98" t="n"/>
      <c r="T1685" s="99" t="n"/>
      <c r="U1685" s="99" t="n"/>
      <c r="V1685" s="100" t="n"/>
      <c r="W1685" s="98" t="n"/>
      <c r="X1685" s="100" t="n"/>
      <c r="Y1685" s="98" t="n"/>
      <c r="Z1685" s="100" t="n"/>
      <c r="AB1685" s="101">
        <f>IF($B1685="","",(COUNTIF(C1658:E1675,$B1685)+COUNTIF(C1658:E1675,$B1685&amp;" ~*")&gt;0)+(COUNTIF(G1658:I1675,$B1685)+COUNTIF(G1658:I1675,$B1685&amp;" ~*")&gt;0)+(COUNTIF(K1658:M1675,$B1685)+COUNTIF(K1658:M1675,$B1685&amp;" ~*")&gt;0)+(COUNTIF(O1658:Q1675,$B1685)+COUNTIF(O1658:Q1675,$B1685&amp;" ~*")&gt;0)+(COUNTIF(S1658:U1675,$B1685)+COUNTIF(S1658:U1675,$B1685&amp;" ~*")&gt;0)+(COUNTIF(W1658:W1675,$B1685)+COUNTIF(W1658:W1675,$B1685&amp;" ~*")&gt;0)+(COUNTIF(Y1658:Y1675,$B1685)+COUNTIF(Y1658:Y1675,$B1685&amp;" ~*")&gt;0))</f>
        <v/>
      </c>
      <c r="AC1685" s="36">
        <f>IF($B1685="","",(IFERROR(INDEX(Setup!$G$33:$G$40,MATCH(C1685,Setup!$B$33:$B$40,0)),0)=1)*(COUNTIF(C1658:E1675,$B1685)+COUNTIF(C1658:E1675,$B1685&amp;" ~*")&gt;0)+(IFERROR(INDEX(Setup!$G$33:$G$40,MATCH(G1685,Setup!$B$33:$B$40,0)),0)=1)*(COUNTIF(G1658:I1675,$B1685)+COUNTIF(G1658:I1675,$B1685&amp;" ~*")&gt;0)+(IFERROR(INDEX(Setup!$G$33:$G$40,MATCH(K1685,Setup!$B$33:$B$40,0)),0)=1)*(COUNTIF(K1658:M1675,$B1685)+COUNTIF(K1658:M1675,$B1685&amp;" ~*")&gt;0)+(IFERROR(INDEX(Setup!$G$33:$G$40,MATCH(O1685,Setup!$B$33:$B$40,0)),0)=1)*(COUNTIF(O1658:Q1675,$B1685)+COUNTIF(O1658:Q1675,$B1685&amp;" ~*")&gt;0)+(IFERROR(INDEX(Setup!$G$33:$G$40,MATCH(S1685,Setup!$B$33:$B$40,0)),0)=1)*(COUNTIF(S1658:U1675,$B1685)+COUNTIF(S1658:U1675,$B1685&amp;" ~*")&gt;0)+(IFERROR(INDEX(Setup!$G$33:$G$40,MATCH(W1685,Setup!$B$33:$B$40,0)),0)=1)*(COUNTIF(W1658:W1675,$B1685)+COUNTIF(W1658:W1675,$B1685&amp;" ~*")&gt;0)+(IFERROR(INDEX(Setup!$G$33:$G$40,MATCH(Y1685,Setup!$B$33:$B$40,0)),0)=1)*(COUNTIF(Y1658:Y1675,$B1685)+COUNTIF(Y1658:Y1675,$B1685&amp;" ~*")&gt;0))</f>
        <v/>
      </c>
    </row>
    <row r="1686" ht="15" customHeight="1">
      <c r="A1686" t="n">
        <v>34</v>
      </c>
      <c r="B1686" s="37">
        <f>IF(Setup!$B$15="","",Setup!$B$15)</f>
        <v/>
      </c>
      <c r="C1686" s="102" t="n"/>
      <c r="D1686" s="103" t="n"/>
      <c r="E1686" s="103" t="n"/>
      <c r="F1686" s="104" t="n"/>
      <c r="G1686" s="102" t="n"/>
      <c r="H1686" s="103" t="n"/>
      <c r="I1686" s="103" t="n"/>
      <c r="J1686" s="104" t="n"/>
      <c r="K1686" s="102" t="n"/>
      <c r="L1686" s="103" t="n"/>
      <c r="M1686" s="103" t="n"/>
      <c r="N1686" s="104" t="n"/>
      <c r="O1686" s="102" t="n"/>
      <c r="P1686" s="103" t="n"/>
      <c r="Q1686" s="103" t="n"/>
      <c r="R1686" s="104" t="n"/>
      <c r="S1686" s="102" t="n"/>
      <c r="T1686" s="103" t="n"/>
      <c r="U1686" s="103" t="n"/>
      <c r="V1686" s="104" t="n"/>
      <c r="W1686" s="102" t="n"/>
      <c r="X1686" s="104" t="n"/>
      <c r="Y1686" s="102" t="n"/>
      <c r="Z1686" s="104" t="n"/>
      <c r="AB1686" s="105">
        <f>IF($B1686="","",(COUNTIF(C1658:E1675,$B1686)+COUNTIF(C1658:E1675,$B1686&amp;" ~*")&gt;0)+(COUNTIF(G1658:I1675,$B1686)+COUNTIF(G1658:I1675,$B1686&amp;" ~*")&gt;0)+(COUNTIF(K1658:M1675,$B1686)+COUNTIF(K1658:M1675,$B1686&amp;" ~*")&gt;0)+(COUNTIF(O1658:Q1675,$B1686)+COUNTIF(O1658:Q1675,$B1686&amp;" ~*")&gt;0)+(COUNTIF(S1658:U1675,$B1686)+COUNTIF(S1658:U1675,$B1686&amp;" ~*")&gt;0)+(COUNTIF(W1658:W1675,$B1686)+COUNTIF(W1658:W1675,$B1686&amp;" ~*")&gt;0)+(COUNTIF(Y1658:Y1675,$B1686)+COUNTIF(Y1658:Y1675,$B1686&amp;" ~*")&gt;0))</f>
        <v/>
      </c>
      <c r="AC1686" s="38">
        <f>IF($B1686="","",(IFERROR(INDEX(Setup!$G$33:$G$40,MATCH(C1686,Setup!$B$33:$B$40,0)),0)=1)*(COUNTIF(C1658:E1675,$B1686)+COUNTIF(C1658:E1675,$B1686&amp;" ~*")&gt;0)+(IFERROR(INDEX(Setup!$G$33:$G$40,MATCH(G1686,Setup!$B$33:$B$40,0)),0)=1)*(COUNTIF(G1658:I1675,$B1686)+COUNTIF(G1658:I1675,$B1686&amp;" ~*")&gt;0)+(IFERROR(INDEX(Setup!$G$33:$G$40,MATCH(K1686,Setup!$B$33:$B$40,0)),0)=1)*(COUNTIF(K1658:M1675,$B1686)+COUNTIF(K1658:M1675,$B1686&amp;" ~*")&gt;0)+(IFERROR(INDEX(Setup!$G$33:$G$40,MATCH(O1686,Setup!$B$33:$B$40,0)),0)=1)*(COUNTIF(O1658:Q1675,$B1686)+COUNTIF(O1658:Q1675,$B1686&amp;" ~*")&gt;0)+(IFERROR(INDEX(Setup!$G$33:$G$40,MATCH(S1686,Setup!$B$33:$B$40,0)),0)=1)*(COUNTIF(S1658:U1675,$B1686)+COUNTIF(S1658:U1675,$B1686&amp;" ~*")&gt;0)+(IFERROR(INDEX(Setup!$G$33:$G$40,MATCH(W1686,Setup!$B$33:$B$40,0)),0)=1)*(COUNTIF(W1658:W1675,$B1686)+COUNTIF(W1658:W1675,$B1686&amp;" ~*")&gt;0)+(IFERROR(INDEX(Setup!$G$33:$G$40,MATCH(Y1686,Setup!$B$33:$B$40,0)),0)=1)*(COUNTIF(Y1658:Y1675,$B1686)+COUNTIF(Y1658:Y1675,$B1686&amp;" ~*")&gt;0))</f>
        <v/>
      </c>
    </row>
    <row r="1687" ht="15" customHeight="1">
      <c r="A1687" t="n">
        <v>34</v>
      </c>
      <c r="B1687" s="35">
        <f>IF(Setup!$B$16="","",Setup!$B$16)</f>
        <v/>
      </c>
      <c r="C1687" s="98" t="n"/>
      <c r="D1687" s="99" t="n"/>
      <c r="E1687" s="99" t="n"/>
      <c r="F1687" s="100" t="n"/>
      <c r="G1687" s="98" t="n"/>
      <c r="H1687" s="99" t="n"/>
      <c r="I1687" s="99" t="n"/>
      <c r="J1687" s="100" t="n"/>
      <c r="K1687" s="98" t="n"/>
      <c r="L1687" s="99" t="n"/>
      <c r="M1687" s="99" t="n"/>
      <c r="N1687" s="100" t="n"/>
      <c r="O1687" s="98" t="n"/>
      <c r="P1687" s="99" t="n"/>
      <c r="Q1687" s="99" t="n"/>
      <c r="R1687" s="100" t="n"/>
      <c r="S1687" s="98" t="n"/>
      <c r="T1687" s="99" t="n"/>
      <c r="U1687" s="99" t="n"/>
      <c r="V1687" s="100" t="n"/>
      <c r="W1687" s="98" t="n"/>
      <c r="X1687" s="100" t="n"/>
      <c r="Y1687" s="98" t="n"/>
      <c r="Z1687" s="100" t="n"/>
      <c r="AB1687" s="101">
        <f>IF($B1687="","",(COUNTIF(C1658:E1675,$B1687)+COUNTIF(C1658:E1675,$B1687&amp;" ~*")&gt;0)+(COUNTIF(G1658:I1675,$B1687)+COUNTIF(G1658:I1675,$B1687&amp;" ~*")&gt;0)+(COUNTIF(K1658:M1675,$B1687)+COUNTIF(K1658:M1675,$B1687&amp;" ~*")&gt;0)+(COUNTIF(O1658:Q1675,$B1687)+COUNTIF(O1658:Q1675,$B1687&amp;" ~*")&gt;0)+(COUNTIF(S1658:U1675,$B1687)+COUNTIF(S1658:U1675,$B1687&amp;" ~*")&gt;0)+(COUNTIF(W1658:W1675,$B1687)+COUNTIF(W1658:W1675,$B1687&amp;" ~*")&gt;0)+(COUNTIF(Y1658:Y1675,$B1687)+COUNTIF(Y1658:Y1675,$B1687&amp;" ~*")&gt;0))</f>
        <v/>
      </c>
      <c r="AC1687" s="36">
        <f>IF($B1687="","",(IFERROR(INDEX(Setup!$G$33:$G$40,MATCH(C1687,Setup!$B$33:$B$40,0)),0)=1)*(COUNTIF(C1658:E1675,$B1687)+COUNTIF(C1658:E1675,$B1687&amp;" ~*")&gt;0)+(IFERROR(INDEX(Setup!$G$33:$G$40,MATCH(G1687,Setup!$B$33:$B$40,0)),0)=1)*(COUNTIF(G1658:I1675,$B1687)+COUNTIF(G1658:I1675,$B1687&amp;" ~*")&gt;0)+(IFERROR(INDEX(Setup!$G$33:$G$40,MATCH(K1687,Setup!$B$33:$B$40,0)),0)=1)*(COUNTIF(K1658:M1675,$B1687)+COUNTIF(K1658:M1675,$B1687&amp;" ~*")&gt;0)+(IFERROR(INDEX(Setup!$G$33:$G$40,MATCH(O1687,Setup!$B$33:$B$40,0)),0)=1)*(COUNTIF(O1658:Q1675,$B1687)+COUNTIF(O1658:Q1675,$B1687&amp;" ~*")&gt;0)+(IFERROR(INDEX(Setup!$G$33:$G$40,MATCH(S1687,Setup!$B$33:$B$40,0)),0)=1)*(COUNTIF(S1658:U1675,$B1687)+COUNTIF(S1658:U1675,$B1687&amp;" ~*")&gt;0)+(IFERROR(INDEX(Setup!$G$33:$G$40,MATCH(W1687,Setup!$B$33:$B$40,0)),0)=1)*(COUNTIF(W1658:W1675,$B1687)+COUNTIF(W1658:W1675,$B1687&amp;" ~*")&gt;0)+(IFERROR(INDEX(Setup!$G$33:$G$40,MATCH(Y1687,Setup!$B$33:$B$40,0)),0)=1)*(COUNTIF(Y1658:Y1675,$B1687)+COUNTIF(Y1658:Y1675,$B1687&amp;" ~*")&gt;0))</f>
        <v/>
      </c>
    </row>
    <row r="1688" ht="15" customHeight="1">
      <c r="A1688" t="n">
        <v>34</v>
      </c>
      <c r="B1688" s="37">
        <f>IF(Setup!$B$17="","",Setup!$B$17)</f>
        <v/>
      </c>
      <c r="C1688" s="102" t="n"/>
      <c r="D1688" s="103" t="n"/>
      <c r="E1688" s="103" t="n"/>
      <c r="F1688" s="104" t="n"/>
      <c r="G1688" s="102" t="n"/>
      <c r="H1688" s="103" t="n"/>
      <c r="I1688" s="103" t="n"/>
      <c r="J1688" s="104" t="n"/>
      <c r="K1688" s="102" t="n"/>
      <c r="L1688" s="103" t="n"/>
      <c r="M1688" s="103" t="n"/>
      <c r="N1688" s="104" t="n"/>
      <c r="O1688" s="102" t="n"/>
      <c r="P1688" s="103" t="n"/>
      <c r="Q1688" s="103" t="n"/>
      <c r="R1688" s="104" t="n"/>
      <c r="S1688" s="102" t="n"/>
      <c r="T1688" s="103" t="n"/>
      <c r="U1688" s="103" t="n"/>
      <c r="V1688" s="104" t="n"/>
      <c r="W1688" s="102" t="n"/>
      <c r="X1688" s="104" t="n"/>
      <c r="Y1688" s="102" t="n"/>
      <c r="Z1688" s="104" t="n"/>
      <c r="AB1688" s="105">
        <f>IF($B1688="","",(COUNTIF(C1658:E1675,$B1688)+COUNTIF(C1658:E1675,$B1688&amp;" ~*")&gt;0)+(COUNTIF(G1658:I1675,$B1688)+COUNTIF(G1658:I1675,$B1688&amp;" ~*")&gt;0)+(COUNTIF(K1658:M1675,$B1688)+COUNTIF(K1658:M1675,$B1688&amp;" ~*")&gt;0)+(COUNTIF(O1658:Q1675,$B1688)+COUNTIF(O1658:Q1675,$B1688&amp;" ~*")&gt;0)+(COUNTIF(S1658:U1675,$B1688)+COUNTIF(S1658:U1675,$B1688&amp;" ~*")&gt;0)+(COUNTIF(W1658:W1675,$B1688)+COUNTIF(W1658:W1675,$B1688&amp;" ~*")&gt;0)+(COUNTIF(Y1658:Y1675,$B1688)+COUNTIF(Y1658:Y1675,$B1688&amp;" ~*")&gt;0))</f>
        <v/>
      </c>
      <c r="AC1688" s="38">
        <f>IF($B1688="","",(IFERROR(INDEX(Setup!$G$33:$G$40,MATCH(C1688,Setup!$B$33:$B$40,0)),0)=1)*(COUNTIF(C1658:E1675,$B1688)+COUNTIF(C1658:E1675,$B1688&amp;" ~*")&gt;0)+(IFERROR(INDEX(Setup!$G$33:$G$40,MATCH(G1688,Setup!$B$33:$B$40,0)),0)=1)*(COUNTIF(G1658:I1675,$B1688)+COUNTIF(G1658:I1675,$B1688&amp;" ~*")&gt;0)+(IFERROR(INDEX(Setup!$G$33:$G$40,MATCH(K1688,Setup!$B$33:$B$40,0)),0)=1)*(COUNTIF(K1658:M1675,$B1688)+COUNTIF(K1658:M1675,$B1688&amp;" ~*")&gt;0)+(IFERROR(INDEX(Setup!$G$33:$G$40,MATCH(O1688,Setup!$B$33:$B$40,0)),0)=1)*(COUNTIF(O1658:Q1675,$B1688)+COUNTIF(O1658:Q1675,$B1688&amp;" ~*")&gt;0)+(IFERROR(INDEX(Setup!$G$33:$G$40,MATCH(S1688,Setup!$B$33:$B$40,0)),0)=1)*(COUNTIF(S1658:U1675,$B1688)+COUNTIF(S1658:U1675,$B1688&amp;" ~*")&gt;0)+(IFERROR(INDEX(Setup!$G$33:$G$40,MATCH(W1688,Setup!$B$33:$B$40,0)),0)=1)*(COUNTIF(W1658:W1675,$B1688)+COUNTIF(W1658:W1675,$B1688&amp;" ~*")&gt;0)+(IFERROR(INDEX(Setup!$G$33:$G$40,MATCH(Y1688,Setup!$B$33:$B$40,0)),0)=1)*(COUNTIF(Y1658:Y1675,$B1688)+COUNTIF(Y1658:Y1675,$B1688&amp;" ~*")&gt;0))</f>
        <v/>
      </c>
    </row>
    <row r="1689" ht="15" customHeight="1">
      <c r="A1689" t="n">
        <v>34</v>
      </c>
      <c r="B1689" s="35">
        <f>IF(Setup!$B$18="","",Setup!$B$18)</f>
        <v/>
      </c>
      <c r="C1689" s="98" t="n"/>
      <c r="D1689" s="99" t="n"/>
      <c r="E1689" s="99" t="n"/>
      <c r="F1689" s="100" t="n"/>
      <c r="G1689" s="98" t="n"/>
      <c r="H1689" s="99" t="n"/>
      <c r="I1689" s="99" t="n"/>
      <c r="J1689" s="100" t="n"/>
      <c r="K1689" s="98" t="n"/>
      <c r="L1689" s="99" t="n"/>
      <c r="M1689" s="99" t="n"/>
      <c r="N1689" s="100" t="n"/>
      <c r="O1689" s="98" t="n"/>
      <c r="P1689" s="99" t="n"/>
      <c r="Q1689" s="99" t="n"/>
      <c r="R1689" s="100" t="n"/>
      <c r="S1689" s="98" t="n"/>
      <c r="T1689" s="99" t="n"/>
      <c r="U1689" s="99" t="n"/>
      <c r="V1689" s="100" t="n"/>
      <c r="W1689" s="98" t="n"/>
      <c r="X1689" s="100" t="n"/>
      <c r="Y1689" s="98" t="n"/>
      <c r="Z1689" s="100" t="n"/>
      <c r="AB1689" s="101">
        <f>IF($B1689="","",(COUNTIF(C1658:E1675,$B1689)+COUNTIF(C1658:E1675,$B1689&amp;" ~*")&gt;0)+(COUNTIF(G1658:I1675,$B1689)+COUNTIF(G1658:I1675,$B1689&amp;" ~*")&gt;0)+(COUNTIF(K1658:M1675,$B1689)+COUNTIF(K1658:M1675,$B1689&amp;" ~*")&gt;0)+(COUNTIF(O1658:Q1675,$B1689)+COUNTIF(O1658:Q1675,$B1689&amp;" ~*")&gt;0)+(COUNTIF(S1658:U1675,$B1689)+COUNTIF(S1658:U1675,$B1689&amp;" ~*")&gt;0)+(COUNTIF(W1658:W1675,$B1689)+COUNTIF(W1658:W1675,$B1689&amp;" ~*")&gt;0)+(COUNTIF(Y1658:Y1675,$B1689)+COUNTIF(Y1658:Y1675,$B1689&amp;" ~*")&gt;0))</f>
        <v/>
      </c>
      <c r="AC1689" s="36">
        <f>IF($B1689="","",(IFERROR(INDEX(Setup!$G$33:$G$40,MATCH(C1689,Setup!$B$33:$B$40,0)),0)=1)*(COUNTIF(C1658:E1675,$B1689)+COUNTIF(C1658:E1675,$B1689&amp;" ~*")&gt;0)+(IFERROR(INDEX(Setup!$G$33:$G$40,MATCH(G1689,Setup!$B$33:$B$40,0)),0)=1)*(COUNTIF(G1658:I1675,$B1689)+COUNTIF(G1658:I1675,$B1689&amp;" ~*")&gt;0)+(IFERROR(INDEX(Setup!$G$33:$G$40,MATCH(K1689,Setup!$B$33:$B$40,0)),0)=1)*(COUNTIF(K1658:M1675,$B1689)+COUNTIF(K1658:M1675,$B1689&amp;" ~*")&gt;0)+(IFERROR(INDEX(Setup!$G$33:$G$40,MATCH(O1689,Setup!$B$33:$B$40,0)),0)=1)*(COUNTIF(O1658:Q1675,$B1689)+COUNTIF(O1658:Q1675,$B1689&amp;" ~*")&gt;0)+(IFERROR(INDEX(Setup!$G$33:$G$40,MATCH(S1689,Setup!$B$33:$B$40,0)),0)=1)*(COUNTIF(S1658:U1675,$B1689)+COUNTIF(S1658:U1675,$B1689&amp;" ~*")&gt;0)+(IFERROR(INDEX(Setup!$G$33:$G$40,MATCH(W1689,Setup!$B$33:$B$40,0)),0)=1)*(COUNTIF(W1658:W1675,$B1689)+COUNTIF(W1658:W1675,$B1689&amp;" ~*")&gt;0)+(IFERROR(INDEX(Setup!$G$33:$G$40,MATCH(Y1689,Setup!$B$33:$B$40,0)),0)=1)*(COUNTIF(Y1658:Y1675,$B1689)+COUNTIF(Y1658:Y1675,$B1689&amp;" ~*")&gt;0))</f>
        <v/>
      </c>
    </row>
    <row r="1690" ht="15" customHeight="1">
      <c r="A1690" t="n">
        <v>34</v>
      </c>
      <c r="B1690" s="37">
        <f>IF(Setup!$B$19="","",Setup!$B$19)</f>
        <v/>
      </c>
      <c r="C1690" s="102" t="n"/>
      <c r="D1690" s="103" t="n"/>
      <c r="E1690" s="103" t="n"/>
      <c r="F1690" s="104" t="n"/>
      <c r="G1690" s="102" t="n"/>
      <c r="H1690" s="103" t="n"/>
      <c r="I1690" s="103" t="n"/>
      <c r="J1690" s="104" t="n"/>
      <c r="K1690" s="102" t="n"/>
      <c r="L1690" s="103" t="n"/>
      <c r="M1690" s="103" t="n"/>
      <c r="N1690" s="104" t="n"/>
      <c r="O1690" s="102" t="n"/>
      <c r="P1690" s="103" t="n"/>
      <c r="Q1690" s="103" t="n"/>
      <c r="R1690" s="104" t="n"/>
      <c r="S1690" s="102" t="n"/>
      <c r="T1690" s="103" t="n"/>
      <c r="U1690" s="103" t="n"/>
      <c r="V1690" s="104" t="n"/>
      <c r="W1690" s="102" t="n"/>
      <c r="X1690" s="104" t="n"/>
      <c r="Y1690" s="102" t="n"/>
      <c r="Z1690" s="104" t="n"/>
      <c r="AB1690" s="105">
        <f>IF($B1690="","",(COUNTIF(C1658:E1675,$B1690)+COUNTIF(C1658:E1675,$B1690&amp;" ~*")&gt;0)+(COUNTIF(G1658:I1675,$B1690)+COUNTIF(G1658:I1675,$B1690&amp;" ~*")&gt;0)+(COUNTIF(K1658:M1675,$B1690)+COUNTIF(K1658:M1675,$B1690&amp;" ~*")&gt;0)+(COUNTIF(O1658:Q1675,$B1690)+COUNTIF(O1658:Q1675,$B1690&amp;" ~*")&gt;0)+(COUNTIF(S1658:U1675,$B1690)+COUNTIF(S1658:U1675,$B1690&amp;" ~*")&gt;0)+(COUNTIF(W1658:W1675,$B1690)+COUNTIF(W1658:W1675,$B1690&amp;" ~*")&gt;0)+(COUNTIF(Y1658:Y1675,$B1690)+COUNTIF(Y1658:Y1675,$B1690&amp;" ~*")&gt;0))</f>
        <v/>
      </c>
      <c r="AC1690" s="38">
        <f>IF($B1690="","",(IFERROR(INDEX(Setup!$G$33:$G$40,MATCH(C1690,Setup!$B$33:$B$40,0)),0)=1)*(COUNTIF(C1658:E1675,$B1690)+COUNTIF(C1658:E1675,$B1690&amp;" ~*")&gt;0)+(IFERROR(INDEX(Setup!$G$33:$G$40,MATCH(G1690,Setup!$B$33:$B$40,0)),0)=1)*(COUNTIF(G1658:I1675,$B1690)+COUNTIF(G1658:I1675,$B1690&amp;" ~*")&gt;0)+(IFERROR(INDEX(Setup!$G$33:$G$40,MATCH(K1690,Setup!$B$33:$B$40,0)),0)=1)*(COUNTIF(K1658:M1675,$B1690)+COUNTIF(K1658:M1675,$B1690&amp;" ~*")&gt;0)+(IFERROR(INDEX(Setup!$G$33:$G$40,MATCH(O1690,Setup!$B$33:$B$40,0)),0)=1)*(COUNTIF(O1658:Q1675,$B1690)+COUNTIF(O1658:Q1675,$B1690&amp;" ~*")&gt;0)+(IFERROR(INDEX(Setup!$G$33:$G$40,MATCH(S1690,Setup!$B$33:$B$40,0)),0)=1)*(COUNTIF(S1658:U1675,$B1690)+COUNTIF(S1658:U1675,$B1690&amp;" ~*")&gt;0)+(IFERROR(INDEX(Setup!$G$33:$G$40,MATCH(W1690,Setup!$B$33:$B$40,0)),0)=1)*(COUNTIF(W1658:W1675,$B1690)+COUNTIF(W1658:W1675,$B1690&amp;" ~*")&gt;0)+(IFERROR(INDEX(Setup!$G$33:$G$40,MATCH(Y1690,Setup!$B$33:$B$40,0)),0)=1)*(COUNTIF(Y1658:Y1675,$B1690)+COUNTIF(Y1658:Y1675,$B1690&amp;" ~*")&gt;0))</f>
        <v/>
      </c>
    </row>
    <row r="1691" ht="15" customHeight="1">
      <c r="A1691" t="n">
        <v>34</v>
      </c>
      <c r="B1691" s="35">
        <f>IF(Setup!$B$20="","",Setup!$B$20)</f>
        <v/>
      </c>
      <c r="C1691" s="98" t="n"/>
      <c r="D1691" s="99" t="n"/>
      <c r="E1691" s="99" t="n"/>
      <c r="F1691" s="100" t="n"/>
      <c r="G1691" s="98" t="n"/>
      <c r="H1691" s="99" t="n"/>
      <c r="I1691" s="99" t="n"/>
      <c r="J1691" s="100" t="n"/>
      <c r="K1691" s="98" t="n"/>
      <c r="L1691" s="99" t="n"/>
      <c r="M1691" s="99" t="n"/>
      <c r="N1691" s="100" t="n"/>
      <c r="O1691" s="98" t="n"/>
      <c r="P1691" s="99" t="n"/>
      <c r="Q1691" s="99" t="n"/>
      <c r="R1691" s="100" t="n"/>
      <c r="S1691" s="98" t="n"/>
      <c r="T1691" s="99" t="n"/>
      <c r="U1691" s="99" t="n"/>
      <c r="V1691" s="100" t="n"/>
      <c r="W1691" s="98" t="n"/>
      <c r="X1691" s="100" t="n"/>
      <c r="Y1691" s="98" t="n"/>
      <c r="Z1691" s="100" t="n"/>
      <c r="AB1691" s="101">
        <f>IF($B1691="","",(COUNTIF(C1658:E1675,$B1691)+COUNTIF(C1658:E1675,$B1691&amp;" ~*")&gt;0)+(COUNTIF(G1658:I1675,$B1691)+COUNTIF(G1658:I1675,$B1691&amp;" ~*")&gt;0)+(COUNTIF(K1658:M1675,$B1691)+COUNTIF(K1658:M1675,$B1691&amp;" ~*")&gt;0)+(COUNTIF(O1658:Q1675,$B1691)+COUNTIF(O1658:Q1675,$B1691&amp;" ~*")&gt;0)+(COUNTIF(S1658:U1675,$B1691)+COUNTIF(S1658:U1675,$B1691&amp;" ~*")&gt;0)+(COUNTIF(W1658:W1675,$B1691)+COUNTIF(W1658:W1675,$B1691&amp;" ~*")&gt;0)+(COUNTIF(Y1658:Y1675,$B1691)+COUNTIF(Y1658:Y1675,$B1691&amp;" ~*")&gt;0))</f>
        <v/>
      </c>
      <c r="AC1691" s="36">
        <f>IF($B1691="","",(IFERROR(INDEX(Setup!$G$33:$G$40,MATCH(C1691,Setup!$B$33:$B$40,0)),0)=1)*(COUNTIF(C1658:E1675,$B1691)+COUNTIF(C1658:E1675,$B1691&amp;" ~*")&gt;0)+(IFERROR(INDEX(Setup!$G$33:$G$40,MATCH(G1691,Setup!$B$33:$B$40,0)),0)=1)*(COUNTIF(G1658:I1675,$B1691)+COUNTIF(G1658:I1675,$B1691&amp;" ~*")&gt;0)+(IFERROR(INDEX(Setup!$G$33:$G$40,MATCH(K1691,Setup!$B$33:$B$40,0)),0)=1)*(COUNTIF(K1658:M1675,$B1691)+COUNTIF(K1658:M1675,$B1691&amp;" ~*")&gt;0)+(IFERROR(INDEX(Setup!$G$33:$G$40,MATCH(O1691,Setup!$B$33:$B$40,0)),0)=1)*(COUNTIF(O1658:Q1675,$B1691)+COUNTIF(O1658:Q1675,$B1691&amp;" ~*")&gt;0)+(IFERROR(INDEX(Setup!$G$33:$G$40,MATCH(S1691,Setup!$B$33:$B$40,0)),0)=1)*(COUNTIF(S1658:U1675,$B1691)+COUNTIF(S1658:U1675,$B1691&amp;" ~*")&gt;0)+(IFERROR(INDEX(Setup!$G$33:$G$40,MATCH(W1691,Setup!$B$33:$B$40,0)),0)=1)*(COUNTIF(W1658:W1675,$B1691)+COUNTIF(W1658:W1675,$B1691&amp;" ~*")&gt;0)+(IFERROR(INDEX(Setup!$G$33:$G$40,MATCH(Y1691,Setup!$B$33:$B$40,0)),0)=1)*(COUNTIF(Y1658:Y1675,$B1691)+COUNTIF(Y1658:Y1675,$B1691&amp;" ~*")&gt;0))</f>
        <v/>
      </c>
    </row>
    <row r="1692" ht="15" customHeight="1">
      <c r="A1692" t="n">
        <v>34</v>
      </c>
      <c r="B1692" s="37">
        <f>IF(Setup!$B$21="","",Setup!$B$21)</f>
        <v/>
      </c>
      <c r="C1692" s="102" t="n"/>
      <c r="D1692" s="103" t="n"/>
      <c r="E1692" s="103" t="n"/>
      <c r="F1692" s="104" t="n"/>
      <c r="G1692" s="102" t="n"/>
      <c r="H1692" s="103" t="n"/>
      <c r="I1692" s="103" t="n"/>
      <c r="J1692" s="104" t="n"/>
      <c r="K1692" s="102" t="n"/>
      <c r="L1692" s="103" t="n"/>
      <c r="M1692" s="103" t="n"/>
      <c r="N1692" s="104" t="n"/>
      <c r="O1692" s="102" t="n"/>
      <c r="P1692" s="103" t="n"/>
      <c r="Q1692" s="103" t="n"/>
      <c r="R1692" s="104" t="n"/>
      <c r="S1692" s="102" t="n"/>
      <c r="T1692" s="103" t="n"/>
      <c r="U1692" s="103" t="n"/>
      <c r="V1692" s="104" t="n"/>
      <c r="W1692" s="102" t="n"/>
      <c r="X1692" s="104" t="n"/>
      <c r="Y1692" s="102" t="n"/>
      <c r="Z1692" s="104" t="n"/>
      <c r="AB1692" s="105">
        <f>IF($B1692="","",(COUNTIF(C1658:E1675,$B1692)+COUNTIF(C1658:E1675,$B1692&amp;" ~*")&gt;0)+(COUNTIF(G1658:I1675,$B1692)+COUNTIF(G1658:I1675,$B1692&amp;" ~*")&gt;0)+(COUNTIF(K1658:M1675,$B1692)+COUNTIF(K1658:M1675,$B1692&amp;" ~*")&gt;0)+(COUNTIF(O1658:Q1675,$B1692)+COUNTIF(O1658:Q1675,$B1692&amp;" ~*")&gt;0)+(COUNTIF(S1658:U1675,$B1692)+COUNTIF(S1658:U1675,$B1692&amp;" ~*")&gt;0)+(COUNTIF(W1658:W1675,$B1692)+COUNTIF(W1658:W1675,$B1692&amp;" ~*")&gt;0)+(COUNTIF(Y1658:Y1675,$B1692)+COUNTIF(Y1658:Y1675,$B1692&amp;" ~*")&gt;0))</f>
        <v/>
      </c>
      <c r="AC1692" s="38">
        <f>IF($B1692="","",(IFERROR(INDEX(Setup!$G$33:$G$40,MATCH(C1692,Setup!$B$33:$B$40,0)),0)=1)*(COUNTIF(C1658:E1675,$B1692)+COUNTIF(C1658:E1675,$B1692&amp;" ~*")&gt;0)+(IFERROR(INDEX(Setup!$G$33:$G$40,MATCH(G1692,Setup!$B$33:$B$40,0)),0)=1)*(COUNTIF(G1658:I1675,$B1692)+COUNTIF(G1658:I1675,$B1692&amp;" ~*")&gt;0)+(IFERROR(INDEX(Setup!$G$33:$G$40,MATCH(K1692,Setup!$B$33:$B$40,0)),0)=1)*(COUNTIF(K1658:M1675,$B1692)+COUNTIF(K1658:M1675,$B1692&amp;" ~*")&gt;0)+(IFERROR(INDEX(Setup!$G$33:$G$40,MATCH(O1692,Setup!$B$33:$B$40,0)),0)=1)*(COUNTIF(O1658:Q1675,$B1692)+COUNTIF(O1658:Q1675,$B1692&amp;" ~*")&gt;0)+(IFERROR(INDEX(Setup!$G$33:$G$40,MATCH(S1692,Setup!$B$33:$B$40,0)),0)=1)*(COUNTIF(S1658:U1675,$B1692)+COUNTIF(S1658:U1675,$B1692&amp;" ~*")&gt;0)+(IFERROR(INDEX(Setup!$G$33:$G$40,MATCH(W1692,Setup!$B$33:$B$40,0)),0)=1)*(COUNTIF(W1658:W1675,$B1692)+COUNTIF(W1658:W1675,$B1692&amp;" ~*")&gt;0)+(IFERROR(INDEX(Setup!$G$33:$G$40,MATCH(Y1692,Setup!$B$33:$B$40,0)),0)=1)*(COUNTIF(Y1658:Y1675,$B1692)+COUNTIF(Y1658:Y1675,$B1692&amp;" ~*")&gt;0))</f>
        <v/>
      </c>
    </row>
    <row r="1693" ht="15" customHeight="1">
      <c r="A1693" t="n">
        <v>34</v>
      </c>
      <c r="B1693" s="35">
        <f>IF(Setup!$B$22="","",Setup!$B$22)</f>
        <v/>
      </c>
      <c r="C1693" s="98" t="n"/>
      <c r="D1693" s="99" t="n"/>
      <c r="E1693" s="99" t="n"/>
      <c r="F1693" s="100" t="n"/>
      <c r="G1693" s="98" t="n"/>
      <c r="H1693" s="99" t="n"/>
      <c r="I1693" s="99" t="n"/>
      <c r="J1693" s="100" t="n"/>
      <c r="K1693" s="98" t="n"/>
      <c r="L1693" s="99" t="n"/>
      <c r="M1693" s="99" t="n"/>
      <c r="N1693" s="100" t="n"/>
      <c r="O1693" s="98" t="n"/>
      <c r="P1693" s="99" t="n"/>
      <c r="Q1693" s="99" t="n"/>
      <c r="R1693" s="100" t="n"/>
      <c r="S1693" s="98" t="n"/>
      <c r="T1693" s="99" t="n"/>
      <c r="U1693" s="99" t="n"/>
      <c r="V1693" s="100" t="n"/>
      <c r="W1693" s="98" t="n"/>
      <c r="X1693" s="100" t="n"/>
      <c r="Y1693" s="98" t="n"/>
      <c r="Z1693" s="100" t="n"/>
      <c r="AB1693" s="101">
        <f>IF($B1693="","",(COUNTIF(C1658:E1675,$B1693)+COUNTIF(C1658:E1675,$B1693&amp;" ~*")&gt;0)+(COUNTIF(G1658:I1675,$B1693)+COUNTIF(G1658:I1675,$B1693&amp;" ~*")&gt;0)+(COUNTIF(K1658:M1675,$B1693)+COUNTIF(K1658:M1675,$B1693&amp;" ~*")&gt;0)+(COUNTIF(O1658:Q1675,$B1693)+COUNTIF(O1658:Q1675,$B1693&amp;" ~*")&gt;0)+(COUNTIF(S1658:U1675,$B1693)+COUNTIF(S1658:U1675,$B1693&amp;" ~*")&gt;0)+(COUNTIF(W1658:W1675,$B1693)+COUNTIF(W1658:W1675,$B1693&amp;" ~*")&gt;0)+(COUNTIF(Y1658:Y1675,$B1693)+COUNTIF(Y1658:Y1675,$B1693&amp;" ~*")&gt;0))</f>
        <v/>
      </c>
      <c r="AC1693" s="36">
        <f>IF($B1693="","",(IFERROR(INDEX(Setup!$G$33:$G$40,MATCH(C1693,Setup!$B$33:$B$40,0)),0)=1)*(COUNTIF(C1658:E1675,$B1693)+COUNTIF(C1658:E1675,$B1693&amp;" ~*")&gt;0)+(IFERROR(INDEX(Setup!$G$33:$G$40,MATCH(G1693,Setup!$B$33:$B$40,0)),0)=1)*(COUNTIF(G1658:I1675,$B1693)+COUNTIF(G1658:I1675,$B1693&amp;" ~*")&gt;0)+(IFERROR(INDEX(Setup!$G$33:$G$40,MATCH(K1693,Setup!$B$33:$B$40,0)),0)=1)*(COUNTIF(K1658:M1675,$B1693)+COUNTIF(K1658:M1675,$B1693&amp;" ~*")&gt;0)+(IFERROR(INDEX(Setup!$G$33:$G$40,MATCH(O1693,Setup!$B$33:$B$40,0)),0)=1)*(COUNTIF(O1658:Q1675,$B1693)+COUNTIF(O1658:Q1675,$B1693&amp;" ~*")&gt;0)+(IFERROR(INDEX(Setup!$G$33:$G$40,MATCH(S1693,Setup!$B$33:$B$40,0)),0)=1)*(COUNTIF(S1658:U1675,$B1693)+COUNTIF(S1658:U1675,$B1693&amp;" ~*")&gt;0)+(IFERROR(INDEX(Setup!$G$33:$G$40,MATCH(W1693,Setup!$B$33:$B$40,0)),0)=1)*(COUNTIF(W1658:W1675,$B1693)+COUNTIF(W1658:W1675,$B1693&amp;" ~*")&gt;0)+(IFERROR(INDEX(Setup!$G$33:$G$40,MATCH(Y1693,Setup!$B$33:$B$40,0)),0)=1)*(COUNTIF(Y1658:Y1675,$B1693)+COUNTIF(Y1658:Y1675,$B1693&amp;" ~*")&gt;0))</f>
        <v/>
      </c>
    </row>
    <row r="1694" ht="15" customHeight="1">
      <c r="A1694" t="n">
        <v>34</v>
      </c>
      <c r="B1694" s="37">
        <f>IF(Setup!$B$23="","",Setup!$B$23)</f>
        <v/>
      </c>
      <c r="C1694" s="102" t="n"/>
      <c r="D1694" s="103" t="n"/>
      <c r="E1694" s="103" t="n"/>
      <c r="F1694" s="104" t="n"/>
      <c r="G1694" s="102" t="n"/>
      <c r="H1694" s="103" t="n"/>
      <c r="I1694" s="103" t="n"/>
      <c r="J1694" s="104" t="n"/>
      <c r="K1694" s="102" t="n"/>
      <c r="L1694" s="103" t="n"/>
      <c r="M1694" s="103" t="n"/>
      <c r="N1694" s="104" t="n"/>
      <c r="O1694" s="102" t="n"/>
      <c r="P1694" s="103" t="n"/>
      <c r="Q1694" s="103" t="n"/>
      <c r="R1694" s="104" t="n"/>
      <c r="S1694" s="102" t="n"/>
      <c r="T1694" s="103" t="n"/>
      <c r="U1694" s="103" t="n"/>
      <c r="V1694" s="104" t="n"/>
      <c r="W1694" s="102" t="n"/>
      <c r="X1694" s="104" t="n"/>
      <c r="Y1694" s="102" t="n"/>
      <c r="Z1694" s="104" t="n"/>
      <c r="AB1694" s="105">
        <f>IF($B1694="","",(COUNTIF(C1658:E1675,$B1694)+COUNTIF(C1658:E1675,$B1694&amp;" ~*")&gt;0)+(COUNTIF(G1658:I1675,$B1694)+COUNTIF(G1658:I1675,$B1694&amp;" ~*")&gt;0)+(COUNTIF(K1658:M1675,$B1694)+COUNTIF(K1658:M1675,$B1694&amp;" ~*")&gt;0)+(COUNTIF(O1658:Q1675,$B1694)+COUNTIF(O1658:Q1675,$B1694&amp;" ~*")&gt;0)+(COUNTIF(S1658:U1675,$B1694)+COUNTIF(S1658:U1675,$B1694&amp;" ~*")&gt;0)+(COUNTIF(W1658:W1675,$B1694)+COUNTIF(W1658:W1675,$B1694&amp;" ~*")&gt;0)+(COUNTIF(Y1658:Y1675,$B1694)+COUNTIF(Y1658:Y1675,$B1694&amp;" ~*")&gt;0))</f>
        <v/>
      </c>
      <c r="AC1694" s="38">
        <f>IF($B1694="","",(IFERROR(INDEX(Setup!$G$33:$G$40,MATCH(C1694,Setup!$B$33:$B$40,0)),0)=1)*(COUNTIF(C1658:E1675,$B1694)+COUNTIF(C1658:E1675,$B1694&amp;" ~*")&gt;0)+(IFERROR(INDEX(Setup!$G$33:$G$40,MATCH(G1694,Setup!$B$33:$B$40,0)),0)=1)*(COUNTIF(G1658:I1675,$B1694)+COUNTIF(G1658:I1675,$B1694&amp;" ~*")&gt;0)+(IFERROR(INDEX(Setup!$G$33:$G$40,MATCH(K1694,Setup!$B$33:$B$40,0)),0)=1)*(COUNTIF(K1658:M1675,$B1694)+COUNTIF(K1658:M1675,$B1694&amp;" ~*")&gt;0)+(IFERROR(INDEX(Setup!$G$33:$G$40,MATCH(O1694,Setup!$B$33:$B$40,0)),0)=1)*(COUNTIF(O1658:Q1675,$B1694)+COUNTIF(O1658:Q1675,$B1694&amp;" ~*")&gt;0)+(IFERROR(INDEX(Setup!$G$33:$G$40,MATCH(S1694,Setup!$B$33:$B$40,0)),0)=1)*(COUNTIF(S1658:U1675,$B1694)+COUNTIF(S1658:U1675,$B1694&amp;" ~*")&gt;0)+(IFERROR(INDEX(Setup!$G$33:$G$40,MATCH(W1694,Setup!$B$33:$B$40,0)),0)=1)*(COUNTIF(W1658:W1675,$B1694)+COUNTIF(W1658:W1675,$B1694&amp;" ~*")&gt;0)+(IFERROR(INDEX(Setup!$G$33:$G$40,MATCH(Y1694,Setup!$B$33:$B$40,0)),0)=1)*(COUNTIF(Y1658:Y1675,$B1694)+COUNTIF(Y1658:Y1675,$B1694&amp;" ~*")&gt;0))</f>
        <v/>
      </c>
    </row>
    <row r="1695" ht="15" customHeight="1">
      <c r="A1695" t="n">
        <v>34</v>
      </c>
      <c r="B1695" s="35">
        <f>IF(Setup!$B$24="","",Setup!$B$24)</f>
        <v/>
      </c>
      <c r="C1695" s="98" t="n"/>
      <c r="D1695" s="99" t="n"/>
      <c r="E1695" s="99" t="n"/>
      <c r="F1695" s="100" t="n"/>
      <c r="G1695" s="98" t="n"/>
      <c r="H1695" s="99" t="n"/>
      <c r="I1695" s="99" t="n"/>
      <c r="J1695" s="100" t="n"/>
      <c r="K1695" s="98" t="n"/>
      <c r="L1695" s="99" t="n"/>
      <c r="M1695" s="99" t="n"/>
      <c r="N1695" s="100" t="n"/>
      <c r="O1695" s="98" t="n"/>
      <c r="P1695" s="99" t="n"/>
      <c r="Q1695" s="99" t="n"/>
      <c r="R1695" s="100" t="n"/>
      <c r="S1695" s="98" t="n"/>
      <c r="T1695" s="99" t="n"/>
      <c r="U1695" s="99" t="n"/>
      <c r="V1695" s="100" t="n"/>
      <c r="W1695" s="98" t="n"/>
      <c r="X1695" s="100" t="n"/>
      <c r="Y1695" s="98" t="n"/>
      <c r="Z1695" s="100" t="n"/>
      <c r="AB1695" s="101">
        <f>IF($B1695="","",(COUNTIF(C1658:E1675,$B1695)+COUNTIF(C1658:E1675,$B1695&amp;" ~*")&gt;0)+(COUNTIF(G1658:I1675,$B1695)+COUNTIF(G1658:I1675,$B1695&amp;" ~*")&gt;0)+(COUNTIF(K1658:M1675,$B1695)+COUNTIF(K1658:M1675,$B1695&amp;" ~*")&gt;0)+(COUNTIF(O1658:Q1675,$B1695)+COUNTIF(O1658:Q1675,$B1695&amp;" ~*")&gt;0)+(COUNTIF(S1658:U1675,$B1695)+COUNTIF(S1658:U1675,$B1695&amp;" ~*")&gt;0)+(COUNTIF(W1658:W1675,$B1695)+COUNTIF(W1658:W1675,$B1695&amp;" ~*")&gt;0)+(COUNTIF(Y1658:Y1675,$B1695)+COUNTIF(Y1658:Y1675,$B1695&amp;" ~*")&gt;0))</f>
        <v/>
      </c>
      <c r="AC1695" s="36">
        <f>IF($B1695="","",(IFERROR(INDEX(Setup!$G$33:$G$40,MATCH(C1695,Setup!$B$33:$B$40,0)),0)=1)*(COUNTIF(C1658:E1675,$B1695)+COUNTIF(C1658:E1675,$B1695&amp;" ~*")&gt;0)+(IFERROR(INDEX(Setup!$G$33:$G$40,MATCH(G1695,Setup!$B$33:$B$40,0)),0)=1)*(COUNTIF(G1658:I1675,$B1695)+COUNTIF(G1658:I1675,$B1695&amp;" ~*")&gt;0)+(IFERROR(INDEX(Setup!$G$33:$G$40,MATCH(K1695,Setup!$B$33:$B$40,0)),0)=1)*(COUNTIF(K1658:M1675,$B1695)+COUNTIF(K1658:M1675,$B1695&amp;" ~*")&gt;0)+(IFERROR(INDEX(Setup!$G$33:$G$40,MATCH(O1695,Setup!$B$33:$B$40,0)),0)=1)*(COUNTIF(O1658:Q1675,$B1695)+COUNTIF(O1658:Q1675,$B1695&amp;" ~*")&gt;0)+(IFERROR(INDEX(Setup!$G$33:$G$40,MATCH(S1695,Setup!$B$33:$B$40,0)),0)=1)*(COUNTIF(S1658:U1675,$B1695)+COUNTIF(S1658:U1675,$B1695&amp;" ~*")&gt;0)+(IFERROR(INDEX(Setup!$G$33:$G$40,MATCH(W1695,Setup!$B$33:$B$40,0)),0)=1)*(COUNTIF(W1658:W1675,$B1695)+COUNTIF(W1658:W1675,$B1695&amp;" ~*")&gt;0)+(IFERROR(INDEX(Setup!$G$33:$G$40,MATCH(Y1695,Setup!$B$33:$B$40,0)),0)=1)*(COUNTIF(Y1658:Y1675,$B1695)+COUNTIF(Y1658:Y1675,$B1695&amp;" ~*")&gt;0))</f>
        <v/>
      </c>
    </row>
    <row r="1696" ht="15" customHeight="1">
      <c r="A1696" t="n">
        <v>34</v>
      </c>
      <c r="B1696" s="37">
        <f>IF(Setup!$B$25="","",Setup!$B$25)</f>
        <v/>
      </c>
      <c r="C1696" s="102" t="n"/>
      <c r="D1696" s="103" t="n"/>
      <c r="E1696" s="103" t="n"/>
      <c r="F1696" s="104" t="n"/>
      <c r="G1696" s="102" t="n"/>
      <c r="H1696" s="103" t="n"/>
      <c r="I1696" s="103" t="n"/>
      <c r="J1696" s="104" t="n"/>
      <c r="K1696" s="102" t="n"/>
      <c r="L1696" s="103" t="n"/>
      <c r="M1696" s="103" t="n"/>
      <c r="N1696" s="104" t="n"/>
      <c r="O1696" s="102" t="n"/>
      <c r="P1696" s="103" t="n"/>
      <c r="Q1696" s="103" t="n"/>
      <c r="R1696" s="104" t="n"/>
      <c r="S1696" s="102" t="n"/>
      <c r="T1696" s="103" t="n"/>
      <c r="U1696" s="103" t="n"/>
      <c r="V1696" s="104" t="n"/>
      <c r="W1696" s="102" t="n"/>
      <c r="X1696" s="104" t="n"/>
      <c r="Y1696" s="102" t="n"/>
      <c r="Z1696" s="104" t="n"/>
      <c r="AB1696" s="105">
        <f>IF($B1696="","",(COUNTIF(C1658:E1675,$B1696)+COUNTIF(C1658:E1675,$B1696&amp;" ~*")&gt;0)+(COUNTIF(G1658:I1675,$B1696)+COUNTIF(G1658:I1675,$B1696&amp;" ~*")&gt;0)+(COUNTIF(K1658:M1675,$B1696)+COUNTIF(K1658:M1675,$B1696&amp;" ~*")&gt;0)+(COUNTIF(O1658:Q1675,$B1696)+COUNTIF(O1658:Q1675,$B1696&amp;" ~*")&gt;0)+(COUNTIF(S1658:U1675,$B1696)+COUNTIF(S1658:U1675,$B1696&amp;" ~*")&gt;0)+(COUNTIF(W1658:W1675,$B1696)+COUNTIF(W1658:W1675,$B1696&amp;" ~*")&gt;0)+(COUNTIF(Y1658:Y1675,$B1696)+COUNTIF(Y1658:Y1675,$B1696&amp;" ~*")&gt;0))</f>
        <v/>
      </c>
      <c r="AC1696" s="38">
        <f>IF($B1696="","",(IFERROR(INDEX(Setup!$G$33:$G$40,MATCH(C1696,Setup!$B$33:$B$40,0)),0)=1)*(COUNTIF(C1658:E1675,$B1696)+COUNTIF(C1658:E1675,$B1696&amp;" ~*")&gt;0)+(IFERROR(INDEX(Setup!$G$33:$G$40,MATCH(G1696,Setup!$B$33:$B$40,0)),0)=1)*(COUNTIF(G1658:I1675,$B1696)+COUNTIF(G1658:I1675,$B1696&amp;" ~*")&gt;0)+(IFERROR(INDEX(Setup!$G$33:$G$40,MATCH(K1696,Setup!$B$33:$B$40,0)),0)=1)*(COUNTIF(K1658:M1675,$B1696)+COUNTIF(K1658:M1675,$B1696&amp;" ~*")&gt;0)+(IFERROR(INDEX(Setup!$G$33:$G$40,MATCH(O1696,Setup!$B$33:$B$40,0)),0)=1)*(COUNTIF(O1658:Q1675,$B1696)+COUNTIF(O1658:Q1675,$B1696&amp;" ~*")&gt;0)+(IFERROR(INDEX(Setup!$G$33:$G$40,MATCH(S1696,Setup!$B$33:$B$40,0)),0)=1)*(COUNTIF(S1658:U1675,$B1696)+COUNTIF(S1658:U1675,$B1696&amp;" ~*")&gt;0)+(IFERROR(INDEX(Setup!$G$33:$G$40,MATCH(W1696,Setup!$B$33:$B$40,0)),0)=1)*(COUNTIF(W1658:W1675,$B1696)+COUNTIF(W1658:W1675,$B1696&amp;" ~*")&gt;0)+(IFERROR(INDEX(Setup!$G$33:$G$40,MATCH(Y1696,Setup!$B$33:$B$40,0)),0)=1)*(COUNTIF(Y1658:Y1675,$B1696)+COUNTIF(Y1658:Y1675,$B1696&amp;" ~*")&gt;0))</f>
        <v/>
      </c>
    </row>
    <row r="1697" ht="15" customHeight="1">
      <c r="A1697" t="n">
        <v>34</v>
      </c>
      <c r="B1697" s="35">
        <f>IF(Setup!$B$26="","",Setup!$B$26)</f>
        <v/>
      </c>
      <c r="C1697" s="98" t="n"/>
      <c r="D1697" s="99" t="n"/>
      <c r="E1697" s="99" t="n"/>
      <c r="F1697" s="100" t="n"/>
      <c r="G1697" s="98" t="n"/>
      <c r="H1697" s="99" t="n"/>
      <c r="I1697" s="99" t="n"/>
      <c r="J1697" s="100" t="n"/>
      <c r="K1697" s="98" t="n"/>
      <c r="L1697" s="99" t="n"/>
      <c r="M1697" s="99" t="n"/>
      <c r="N1697" s="100" t="n"/>
      <c r="O1697" s="98" t="n"/>
      <c r="P1697" s="99" t="n"/>
      <c r="Q1697" s="99" t="n"/>
      <c r="R1697" s="100" t="n"/>
      <c r="S1697" s="98" t="n"/>
      <c r="T1697" s="99" t="n"/>
      <c r="U1697" s="99" t="n"/>
      <c r="V1697" s="100" t="n"/>
      <c r="W1697" s="98" t="n"/>
      <c r="X1697" s="100" t="n"/>
      <c r="Y1697" s="98" t="n"/>
      <c r="Z1697" s="100" t="n"/>
      <c r="AB1697" s="101">
        <f>IF($B1697="","",(COUNTIF(C1658:E1675,$B1697)+COUNTIF(C1658:E1675,$B1697&amp;" ~*")&gt;0)+(COUNTIF(G1658:I1675,$B1697)+COUNTIF(G1658:I1675,$B1697&amp;" ~*")&gt;0)+(COUNTIF(K1658:M1675,$B1697)+COUNTIF(K1658:M1675,$B1697&amp;" ~*")&gt;0)+(COUNTIF(O1658:Q1675,$B1697)+COUNTIF(O1658:Q1675,$B1697&amp;" ~*")&gt;0)+(COUNTIF(S1658:U1675,$B1697)+COUNTIF(S1658:U1675,$B1697&amp;" ~*")&gt;0)+(COUNTIF(W1658:W1675,$B1697)+COUNTIF(W1658:W1675,$B1697&amp;" ~*")&gt;0)+(COUNTIF(Y1658:Y1675,$B1697)+COUNTIF(Y1658:Y1675,$B1697&amp;" ~*")&gt;0))</f>
        <v/>
      </c>
      <c r="AC1697" s="36">
        <f>IF($B1697="","",(IFERROR(INDEX(Setup!$G$33:$G$40,MATCH(C1697,Setup!$B$33:$B$40,0)),0)=1)*(COUNTIF(C1658:E1675,$B1697)+COUNTIF(C1658:E1675,$B1697&amp;" ~*")&gt;0)+(IFERROR(INDEX(Setup!$G$33:$G$40,MATCH(G1697,Setup!$B$33:$B$40,0)),0)=1)*(COUNTIF(G1658:I1675,$B1697)+COUNTIF(G1658:I1675,$B1697&amp;" ~*")&gt;0)+(IFERROR(INDEX(Setup!$G$33:$G$40,MATCH(K1697,Setup!$B$33:$B$40,0)),0)=1)*(COUNTIF(K1658:M1675,$B1697)+COUNTIF(K1658:M1675,$B1697&amp;" ~*")&gt;0)+(IFERROR(INDEX(Setup!$G$33:$G$40,MATCH(O1697,Setup!$B$33:$B$40,0)),0)=1)*(COUNTIF(O1658:Q1675,$B1697)+COUNTIF(O1658:Q1675,$B1697&amp;" ~*")&gt;0)+(IFERROR(INDEX(Setup!$G$33:$G$40,MATCH(S1697,Setup!$B$33:$B$40,0)),0)=1)*(COUNTIF(S1658:U1675,$B1697)+COUNTIF(S1658:U1675,$B1697&amp;" ~*")&gt;0)+(IFERROR(INDEX(Setup!$G$33:$G$40,MATCH(W1697,Setup!$B$33:$B$40,0)),0)=1)*(COUNTIF(W1658:W1675,$B1697)+COUNTIF(W1658:W1675,$B1697&amp;" ~*")&gt;0)+(IFERROR(INDEX(Setup!$G$33:$G$40,MATCH(Y1697,Setup!$B$33:$B$40,0)),0)=1)*(COUNTIF(Y1658:Y1675,$B1697)+COUNTIF(Y1658:Y1675,$B1697&amp;" ~*")&gt;0))</f>
        <v/>
      </c>
    </row>
    <row r="1698" ht="15" customHeight="1">
      <c r="A1698" t="n">
        <v>34</v>
      </c>
      <c r="B1698" s="37">
        <f>IF(Setup!$B$27="","",Setup!$B$27)</f>
        <v/>
      </c>
      <c r="C1698" s="102" t="n"/>
      <c r="D1698" s="103" t="n"/>
      <c r="E1698" s="103" t="n"/>
      <c r="F1698" s="104" t="n"/>
      <c r="G1698" s="102" t="n"/>
      <c r="H1698" s="103" t="n"/>
      <c r="I1698" s="103" t="n"/>
      <c r="J1698" s="104" t="n"/>
      <c r="K1698" s="102" t="n"/>
      <c r="L1698" s="103" t="n"/>
      <c r="M1698" s="103" t="n"/>
      <c r="N1698" s="104" t="n"/>
      <c r="O1698" s="102" t="n"/>
      <c r="P1698" s="103" t="n"/>
      <c r="Q1698" s="103" t="n"/>
      <c r="R1698" s="104" t="n"/>
      <c r="S1698" s="102" t="n"/>
      <c r="T1698" s="103" t="n"/>
      <c r="U1698" s="103" t="n"/>
      <c r="V1698" s="104" t="n"/>
      <c r="W1698" s="102" t="n"/>
      <c r="X1698" s="104" t="n"/>
      <c r="Y1698" s="102" t="n"/>
      <c r="Z1698" s="104" t="n"/>
      <c r="AB1698" s="105">
        <f>IF($B1698="","",(COUNTIF(C1658:E1675,$B1698)+COUNTIF(C1658:E1675,$B1698&amp;" ~*")&gt;0)+(COUNTIF(G1658:I1675,$B1698)+COUNTIF(G1658:I1675,$B1698&amp;" ~*")&gt;0)+(COUNTIF(K1658:M1675,$B1698)+COUNTIF(K1658:M1675,$B1698&amp;" ~*")&gt;0)+(COUNTIF(O1658:Q1675,$B1698)+COUNTIF(O1658:Q1675,$B1698&amp;" ~*")&gt;0)+(COUNTIF(S1658:U1675,$B1698)+COUNTIF(S1658:U1675,$B1698&amp;" ~*")&gt;0)+(COUNTIF(W1658:W1675,$B1698)+COUNTIF(W1658:W1675,$B1698&amp;" ~*")&gt;0)+(COUNTIF(Y1658:Y1675,$B1698)+COUNTIF(Y1658:Y1675,$B1698&amp;" ~*")&gt;0))</f>
        <v/>
      </c>
      <c r="AC1698" s="38">
        <f>IF($B1698="","",(IFERROR(INDEX(Setup!$G$33:$G$40,MATCH(C1698,Setup!$B$33:$B$40,0)),0)=1)*(COUNTIF(C1658:E1675,$B1698)+COUNTIF(C1658:E1675,$B1698&amp;" ~*")&gt;0)+(IFERROR(INDEX(Setup!$G$33:$G$40,MATCH(G1698,Setup!$B$33:$B$40,0)),0)=1)*(COUNTIF(G1658:I1675,$B1698)+COUNTIF(G1658:I1675,$B1698&amp;" ~*")&gt;0)+(IFERROR(INDEX(Setup!$G$33:$G$40,MATCH(K1698,Setup!$B$33:$B$40,0)),0)=1)*(COUNTIF(K1658:M1675,$B1698)+COUNTIF(K1658:M1675,$B1698&amp;" ~*")&gt;0)+(IFERROR(INDEX(Setup!$G$33:$G$40,MATCH(O1698,Setup!$B$33:$B$40,0)),0)=1)*(COUNTIF(O1658:Q1675,$B1698)+COUNTIF(O1658:Q1675,$B1698&amp;" ~*")&gt;0)+(IFERROR(INDEX(Setup!$G$33:$G$40,MATCH(S1698,Setup!$B$33:$B$40,0)),0)=1)*(COUNTIF(S1658:U1675,$B1698)+COUNTIF(S1658:U1675,$B1698&amp;" ~*")&gt;0)+(IFERROR(INDEX(Setup!$G$33:$G$40,MATCH(W1698,Setup!$B$33:$B$40,0)),0)=1)*(COUNTIF(W1658:W1675,$B1698)+COUNTIF(W1658:W1675,$B1698&amp;" ~*")&gt;0)+(IFERROR(INDEX(Setup!$G$33:$G$40,MATCH(Y1698,Setup!$B$33:$B$40,0)),0)=1)*(COUNTIF(Y1658:Y1675,$B1698)+COUNTIF(Y1658:Y1675,$B1698&amp;" ~*")&gt;0))</f>
        <v/>
      </c>
    </row>
    <row r="1699" ht="15" customHeight="1">
      <c r="A1699" t="n">
        <v>34</v>
      </c>
      <c r="B1699" s="35">
        <f>IF(Setup!$B$28="","",Setup!$B$28)</f>
        <v/>
      </c>
      <c r="C1699" s="98" t="n"/>
      <c r="D1699" s="99" t="n"/>
      <c r="E1699" s="99" t="n"/>
      <c r="F1699" s="100" t="n"/>
      <c r="G1699" s="98" t="n"/>
      <c r="H1699" s="99" t="n"/>
      <c r="I1699" s="99" t="n"/>
      <c r="J1699" s="100" t="n"/>
      <c r="K1699" s="98" t="n"/>
      <c r="L1699" s="99" t="n"/>
      <c r="M1699" s="99" t="n"/>
      <c r="N1699" s="100" t="n"/>
      <c r="O1699" s="98" t="n"/>
      <c r="P1699" s="99" t="n"/>
      <c r="Q1699" s="99" t="n"/>
      <c r="R1699" s="100" t="n"/>
      <c r="S1699" s="98" t="n"/>
      <c r="T1699" s="99" t="n"/>
      <c r="U1699" s="99" t="n"/>
      <c r="V1699" s="100" t="n"/>
      <c r="W1699" s="98" t="n"/>
      <c r="X1699" s="100" t="n"/>
      <c r="Y1699" s="98" t="n"/>
      <c r="Z1699" s="100" t="n"/>
      <c r="AB1699" s="101">
        <f>IF($B1699="","",(COUNTIF(C1658:E1675,$B1699)+COUNTIF(C1658:E1675,$B1699&amp;" ~*")&gt;0)+(COUNTIF(G1658:I1675,$B1699)+COUNTIF(G1658:I1675,$B1699&amp;" ~*")&gt;0)+(COUNTIF(K1658:M1675,$B1699)+COUNTIF(K1658:M1675,$B1699&amp;" ~*")&gt;0)+(COUNTIF(O1658:Q1675,$B1699)+COUNTIF(O1658:Q1675,$B1699&amp;" ~*")&gt;0)+(COUNTIF(S1658:U1675,$B1699)+COUNTIF(S1658:U1675,$B1699&amp;" ~*")&gt;0)+(COUNTIF(W1658:W1675,$B1699)+COUNTIF(W1658:W1675,$B1699&amp;" ~*")&gt;0)+(COUNTIF(Y1658:Y1675,$B1699)+COUNTIF(Y1658:Y1675,$B1699&amp;" ~*")&gt;0))</f>
        <v/>
      </c>
      <c r="AC1699" s="36">
        <f>IF($B1699="","",(IFERROR(INDEX(Setup!$G$33:$G$40,MATCH(C1699,Setup!$B$33:$B$40,0)),0)=1)*(COUNTIF(C1658:E1675,$B1699)+COUNTIF(C1658:E1675,$B1699&amp;" ~*")&gt;0)+(IFERROR(INDEX(Setup!$G$33:$G$40,MATCH(G1699,Setup!$B$33:$B$40,0)),0)=1)*(COUNTIF(G1658:I1675,$B1699)+COUNTIF(G1658:I1675,$B1699&amp;" ~*")&gt;0)+(IFERROR(INDEX(Setup!$G$33:$G$40,MATCH(K1699,Setup!$B$33:$B$40,0)),0)=1)*(COUNTIF(K1658:M1675,$B1699)+COUNTIF(K1658:M1675,$B1699&amp;" ~*")&gt;0)+(IFERROR(INDEX(Setup!$G$33:$G$40,MATCH(O1699,Setup!$B$33:$B$40,0)),0)=1)*(COUNTIF(O1658:Q1675,$B1699)+COUNTIF(O1658:Q1675,$B1699&amp;" ~*")&gt;0)+(IFERROR(INDEX(Setup!$G$33:$G$40,MATCH(S1699,Setup!$B$33:$B$40,0)),0)=1)*(COUNTIF(S1658:U1675,$B1699)+COUNTIF(S1658:U1675,$B1699&amp;" ~*")&gt;0)+(IFERROR(INDEX(Setup!$G$33:$G$40,MATCH(W1699,Setup!$B$33:$B$40,0)),0)=1)*(COUNTIF(W1658:W1675,$B1699)+COUNTIF(W1658:W1675,$B1699&amp;" ~*")&gt;0)+(IFERROR(INDEX(Setup!$G$33:$G$40,MATCH(Y1699,Setup!$B$33:$B$40,0)),0)=1)*(COUNTIF(Y1658:Y1675,$B1699)+COUNTIF(Y1658:Y1675,$B1699&amp;" ~*")&gt;0))</f>
        <v/>
      </c>
    </row>
    <row r="1700" ht="15" customHeight="1">
      <c r="A1700" t="n">
        <v>34</v>
      </c>
      <c r="B1700" s="37">
        <f>IF(Setup!$B$29="","",Setup!$B$29)</f>
        <v/>
      </c>
      <c r="C1700" s="102" t="n"/>
      <c r="D1700" s="103" t="n"/>
      <c r="E1700" s="103" t="n"/>
      <c r="F1700" s="104" t="n"/>
      <c r="G1700" s="102" t="n"/>
      <c r="H1700" s="103" t="n"/>
      <c r="I1700" s="103" t="n"/>
      <c r="J1700" s="104" t="n"/>
      <c r="K1700" s="102" t="n"/>
      <c r="L1700" s="103" t="n"/>
      <c r="M1700" s="103" t="n"/>
      <c r="N1700" s="104" t="n"/>
      <c r="O1700" s="102" t="n"/>
      <c r="P1700" s="103" t="n"/>
      <c r="Q1700" s="103" t="n"/>
      <c r="R1700" s="104" t="n"/>
      <c r="S1700" s="102" t="n"/>
      <c r="T1700" s="103" t="n"/>
      <c r="U1700" s="103" t="n"/>
      <c r="V1700" s="104" t="n"/>
      <c r="W1700" s="102" t="n"/>
      <c r="X1700" s="104" t="n"/>
      <c r="Y1700" s="102" t="n"/>
      <c r="Z1700" s="104" t="n"/>
      <c r="AB1700" s="105">
        <f>IF($B1700="","",(COUNTIF(C1658:E1675,$B1700)+COUNTIF(C1658:E1675,$B1700&amp;" ~*")&gt;0)+(COUNTIF(G1658:I1675,$B1700)+COUNTIF(G1658:I1675,$B1700&amp;" ~*")&gt;0)+(COUNTIF(K1658:M1675,$B1700)+COUNTIF(K1658:M1675,$B1700&amp;" ~*")&gt;0)+(COUNTIF(O1658:Q1675,$B1700)+COUNTIF(O1658:Q1675,$B1700&amp;" ~*")&gt;0)+(COUNTIF(S1658:U1675,$B1700)+COUNTIF(S1658:U1675,$B1700&amp;" ~*")&gt;0)+(COUNTIF(W1658:W1675,$B1700)+COUNTIF(W1658:W1675,$B1700&amp;" ~*")&gt;0)+(COUNTIF(Y1658:Y1675,$B1700)+COUNTIF(Y1658:Y1675,$B1700&amp;" ~*")&gt;0))</f>
        <v/>
      </c>
      <c r="AC1700" s="38">
        <f>IF($B1700="","",(IFERROR(INDEX(Setup!$G$33:$G$40,MATCH(C1700,Setup!$B$33:$B$40,0)),0)=1)*(COUNTIF(C1658:E1675,$B1700)+COUNTIF(C1658:E1675,$B1700&amp;" ~*")&gt;0)+(IFERROR(INDEX(Setup!$G$33:$G$40,MATCH(G1700,Setup!$B$33:$B$40,0)),0)=1)*(COUNTIF(G1658:I1675,$B1700)+COUNTIF(G1658:I1675,$B1700&amp;" ~*")&gt;0)+(IFERROR(INDEX(Setup!$G$33:$G$40,MATCH(K1700,Setup!$B$33:$B$40,0)),0)=1)*(COUNTIF(K1658:M1675,$B1700)+COUNTIF(K1658:M1675,$B1700&amp;" ~*")&gt;0)+(IFERROR(INDEX(Setup!$G$33:$G$40,MATCH(O1700,Setup!$B$33:$B$40,0)),0)=1)*(COUNTIF(O1658:Q1675,$B1700)+COUNTIF(O1658:Q1675,$B1700&amp;" ~*")&gt;0)+(IFERROR(INDEX(Setup!$G$33:$G$40,MATCH(S1700,Setup!$B$33:$B$40,0)),0)=1)*(COUNTIF(S1658:U1675,$B1700)+COUNTIF(S1658:U1675,$B1700&amp;" ~*")&gt;0)+(IFERROR(INDEX(Setup!$G$33:$G$40,MATCH(W1700,Setup!$B$33:$B$40,0)),0)=1)*(COUNTIF(W1658:W1675,$B1700)+COUNTIF(W1658:W1675,$B1700&amp;" ~*")&gt;0)+(IFERROR(INDEX(Setup!$G$33:$G$40,MATCH(Y1700,Setup!$B$33:$B$40,0)),0)=1)*(COUNTIF(Y1658:Y1675,$B1700)+COUNTIF(Y1658:Y1675,$B1700&amp;" ~*")&gt;0))</f>
        <v/>
      </c>
    </row>
    <row r="1701" ht="16" customHeight="1">
      <c r="A1701" t="n">
        <v>34</v>
      </c>
      <c r="B1701" s="106" t="inlineStr">
        <is>
          <t>Available people</t>
        </is>
      </c>
      <c r="C1701" s="107">
        <f>COUNTIFS(Setup!$E$6:$E$29,"Y",Setup!$B$6:$B$29,"?*")-SUMPRODUCT(COUNTIF(C1677:C1700,Setup!$F$33:$F$40))</f>
        <v/>
      </c>
      <c r="D1701" s="107" t="n"/>
      <c r="E1701" s="107" t="n"/>
      <c r="F1701" s="107" t="n"/>
      <c r="G1701" s="107">
        <f>COUNTIFS(Setup!$E$6:$E$29,"Y",Setup!$B$6:$B$29,"?*")-SUMPRODUCT(COUNTIF(G1677:G1700,Setup!$F$33:$F$40))</f>
        <v/>
      </c>
      <c r="H1701" s="107" t="n"/>
      <c r="I1701" s="107" t="n"/>
      <c r="J1701" s="107" t="n"/>
      <c r="K1701" s="107">
        <f>COUNTIFS(Setup!$E$6:$E$29,"Y",Setup!$B$6:$B$29,"?*")-SUMPRODUCT(COUNTIF(K1677:K1700,Setup!$F$33:$F$40))</f>
        <v/>
      </c>
      <c r="L1701" s="107" t="n"/>
      <c r="M1701" s="107" t="n"/>
      <c r="N1701" s="107" t="n"/>
      <c r="O1701" s="107">
        <f>COUNTIFS(Setup!$E$6:$E$29,"Y",Setup!$B$6:$B$29,"?*")-SUMPRODUCT(COUNTIF(O1677:O1700,Setup!$F$33:$F$40))</f>
        <v/>
      </c>
      <c r="P1701" s="107" t="n"/>
      <c r="Q1701" s="107" t="n"/>
      <c r="R1701" s="107" t="n"/>
      <c r="S1701" s="107">
        <f>COUNTIFS(Setup!$E$6:$E$29,"Y",Setup!$B$6:$B$29,"?*")-SUMPRODUCT(COUNTIF(S1677:S1700,Setup!$F$33:$F$40))</f>
        <v/>
      </c>
      <c r="T1701" s="107" t="n"/>
      <c r="U1701" s="107" t="n"/>
      <c r="V1701" s="107" t="n"/>
      <c r="W1701" s="107">
        <f>COUNTIFS(Setup!$E$6:$E$29,"Y",Setup!$B$6:$B$29,"?*")-SUMPRODUCT(COUNTIF(W1677:W1700,Setup!$F$33:$F$40))</f>
        <v/>
      </c>
      <c r="X1701" s="107" t="n"/>
      <c r="Y1701" s="107">
        <f>COUNTIFS(Setup!$E$6:$E$29,"Y",Setup!$B$6:$B$29,"?*")-SUMPRODUCT(COUNTIF(Y1677:Y1700,Setup!$F$33:$F$40))</f>
        <v/>
      </c>
      <c r="Z1701" s="107" t="n"/>
      <c r="AB1701" s="108">
        <f>SUM(AB1677:AB1700)</f>
        <v/>
      </c>
      <c r="AC1701" s="109">
        <f>SUM(AC1677:AC1700)</f>
        <v/>
      </c>
    </row>
    <row r="1702" ht="30" customHeight="1">
      <c r="A1702" t="n">
        <v>34</v>
      </c>
      <c r="B1702" s="110" t="inlineStr">
        <is>
          <t>Week notes</t>
        </is>
      </c>
      <c r="C1702" s="111" t="n"/>
      <c r="D1702" s="112" t="n"/>
      <c r="E1702" s="112" t="n"/>
      <c r="F1702" s="112" t="n"/>
      <c r="G1702" s="112" t="n"/>
      <c r="H1702" s="112" t="n"/>
      <c r="I1702" s="112" t="n"/>
      <c r="J1702" s="112" t="n"/>
      <c r="K1702" s="112" t="n"/>
      <c r="L1702" s="112" t="n"/>
      <c r="M1702" s="112" t="n"/>
      <c r="N1702" s="112" t="n"/>
      <c r="O1702" s="112" t="n"/>
      <c r="P1702" s="112" t="n"/>
      <c r="Q1702" s="112" t="n"/>
      <c r="R1702" s="112" t="n"/>
      <c r="S1702" s="112" t="n"/>
      <c r="T1702" s="112" t="n"/>
      <c r="U1702" s="112" t="n"/>
      <c r="V1702" s="112" t="n"/>
      <c r="W1702" s="112" t="n"/>
      <c r="X1702" s="112" t="n"/>
      <c r="Y1702" s="112" t="n"/>
      <c r="Z1702" s="113" t="n"/>
    </row>
    <row r="1703" ht="8" customHeight="1">
      <c r="A1703" t="n">
        <v>34</v>
      </c>
    </row>
    <row r="1704" ht="8" customHeight="1">
      <c r="A1704" t="n">
        <v>34</v>
      </c>
    </row>
    <row r="1705" ht="24" customHeight="1">
      <c r="A1705" t="n">
        <v>35</v>
      </c>
      <c r="B1705" s="73">
        <f>"WEEK 35     "&amp;TEXT(C1706,"ddd d mmm")&amp;"  –  "&amp;TEXT(C1706+6,"ddd d mmm yyyy")</f>
        <v/>
      </c>
      <c r="S1705" s="74">
        <f>IF(TODAY()&lt;C1706,"FUTURE",IF(TODAY()&gt;C1706+6,"PAST","THIS WEEK"))</f>
        <v/>
      </c>
      <c r="W1705" s="75">
        <f>IF(AND(Engine!$B$8=$AC$3,Engine!$B$9=$A1705),"◀ ACTIVE WEEK","")</f>
        <v/>
      </c>
      <c r="AA1705" s="76" t="n"/>
      <c r="AB1705" s="77" t="inlineStr">
        <is>
          <t>◀ Prev</t>
        </is>
      </c>
      <c r="AC1705" s="77" t="inlineStr">
        <is>
          <t>Next ▶</t>
        </is>
      </c>
    </row>
    <row r="1706" ht="18" customHeight="1">
      <c r="A1706" t="n">
        <v>35</v>
      </c>
      <c r="B1706" s="78" t="inlineStr">
        <is>
          <t>DUTY</t>
        </is>
      </c>
      <c r="C1706" s="79">
        <f>$AC$2+7*($A1706-1)</f>
        <v/>
      </c>
      <c r="D1706" s="80" t="n"/>
      <c r="E1706" s="80" t="n"/>
      <c r="F1706" s="81" t="n"/>
      <c r="G1706" s="79">
        <f>C1706+1</f>
        <v/>
      </c>
      <c r="H1706" s="80" t="n"/>
      <c r="I1706" s="80" t="n"/>
      <c r="J1706" s="81" t="n"/>
      <c r="K1706" s="79">
        <f>C1706+2</f>
        <v/>
      </c>
      <c r="L1706" s="80" t="n"/>
      <c r="M1706" s="80" t="n"/>
      <c r="N1706" s="81" t="n"/>
      <c r="O1706" s="79">
        <f>C1706+3</f>
        <v/>
      </c>
      <c r="P1706" s="80" t="n"/>
      <c r="Q1706" s="80" t="n"/>
      <c r="R1706" s="81" t="n"/>
      <c r="S1706" s="79">
        <f>C1706+4</f>
        <v/>
      </c>
      <c r="T1706" s="80" t="n"/>
      <c r="U1706" s="80" t="n"/>
      <c r="V1706" s="81" t="n"/>
      <c r="W1706" s="82">
        <f>C1706+5</f>
        <v/>
      </c>
      <c r="X1706" s="83" t="n"/>
      <c r="Y1706" s="82">
        <f>C1706+6</f>
        <v/>
      </c>
      <c r="Z1706" s="83" t="n"/>
      <c r="AB1706" s="72" t="inlineStr">
        <is>
          <t>Gaps</t>
        </is>
      </c>
      <c r="AC1706" s="72" t="inlineStr">
        <is>
          <t>Cover</t>
        </is>
      </c>
    </row>
    <row r="1707" ht="14" customHeight="1">
      <c r="A1707" t="n">
        <v>35</v>
      </c>
      <c r="B1707" s="84" t="inlineStr">
        <is>
          <t>(from Setup)</t>
        </is>
      </c>
      <c r="C1707" s="85" t="inlineStr">
        <is>
          <t>1</t>
        </is>
      </c>
      <c r="D1707" s="85" t="inlineStr">
        <is>
          <t>2</t>
        </is>
      </c>
      <c r="E1707" s="85" t="inlineStr">
        <is>
          <t>3</t>
        </is>
      </c>
      <c r="F1707" s="85" t="inlineStr">
        <is>
          <t>Notes</t>
        </is>
      </c>
      <c r="G1707" s="85" t="inlineStr">
        <is>
          <t>1</t>
        </is>
      </c>
      <c r="H1707" s="85" t="inlineStr">
        <is>
          <t>2</t>
        </is>
      </c>
      <c r="I1707" s="85" t="inlineStr">
        <is>
          <t>3</t>
        </is>
      </c>
      <c r="J1707" s="85" t="inlineStr">
        <is>
          <t>Notes</t>
        </is>
      </c>
      <c r="K1707" s="85" t="inlineStr">
        <is>
          <t>1</t>
        </is>
      </c>
      <c r="L1707" s="85" t="inlineStr">
        <is>
          <t>2</t>
        </is>
      </c>
      <c r="M1707" s="85" t="inlineStr">
        <is>
          <t>3</t>
        </is>
      </c>
      <c r="N1707" s="85" t="inlineStr">
        <is>
          <t>Notes</t>
        </is>
      </c>
      <c r="O1707" s="85" t="inlineStr">
        <is>
          <t>1</t>
        </is>
      </c>
      <c r="P1707" s="85" t="inlineStr">
        <is>
          <t>2</t>
        </is>
      </c>
      <c r="Q1707" s="85" t="inlineStr">
        <is>
          <t>3</t>
        </is>
      </c>
      <c r="R1707" s="85" t="inlineStr">
        <is>
          <t>Notes</t>
        </is>
      </c>
      <c r="S1707" s="85" t="inlineStr">
        <is>
          <t>1</t>
        </is>
      </c>
      <c r="T1707" s="85" t="inlineStr">
        <is>
          <t>2</t>
        </is>
      </c>
      <c r="U1707" s="85" t="inlineStr">
        <is>
          <t>3</t>
        </is>
      </c>
      <c r="V1707" s="85" t="inlineStr">
        <is>
          <t>Notes</t>
        </is>
      </c>
      <c r="W1707" s="85" t="inlineStr">
        <is>
          <t>Cover</t>
        </is>
      </c>
      <c r="X1707" s="85" t="inlineStr">
        <is>
          <t>Notes</t>
        </is>
      </c>
      <c r="Y1707" s="85" t="inlineStr">
        <is>
          <t>Cover</t>
        </is>
      </c>
      <c r="Z1707" s="85" t="inlineStr">
        <is>
          <t>Notes</t>
        </is>
      </c>
      <c r="AB1707" s="86" t="inlineStr">
        <is>
          <t>weekdays short</t>
        </is>
      </c>
      <c r="AC1707" s="87" t="inlineStr"/>
    </row>
    <row r="1708" ht="17" customHeight="1">
      <c r="A1708" t="n">
        <v>35</v>
      </c>
      <c r="B1708" s="24">
        <f>IF(Setup!$K$6="","",Setup!$K$6)</f>
        <v/>
      </c>
      <c r="C1708" s="88" t="n"/>
      <c r="D1708" s="88" t="n"/>
      <c r="E1708" s="88" t="n"/>
      <c r="F1708" s="89" t="n"/>
      <c r="G1708" s="88" t="n"/>
      <c r="H1708" s="88" t="n"/>
      <c r="I1708" s="88" t="n"/>
      <c r="J1708" s="89" t="n"/>
      <c r="K1708" s="88" t="n"/>
      <c r="L1708" s="88" t="n"/>
      <c r="M1708" s="88" t="n"/>
      <c r="N1708" s="89" t="n"/>
      <c r="O1708" s="88" t="n"/>
      <c r="P1708" s="88" t="n"/>
      <c r="Q1708" s="88" t="n"/>
      <c r="R1708" s="89" t="n"/>
      <c r="S1708" s="88" t="n"/>
      <c r="T1708" s="88" t="n"/>
      <c r="U1708" s="88" t="n"/>
      <c r="V1708" s="89" t="n"/>
      <c r="W1708" s="88" t="n"/>
      <c r="X1708" s="89" t="n"/>
      <c r="Y1708" s="88" t="n"/>
      <c r="Z1708" s="89" t="n"/>
      <c r="AB1708" s="25">
        <f>IF($B1708="","",(COUNTIF(C1708:E1708,"?*")&lt;N(INDEX(Setup!$L$6:$L$23,1)))+(COUNTIF(G1708:I1708,"?*")&lt;N(INDEX(Setup!$L$6:$L$23,1)))+(COUNTIF(K1708:M1708,"?*")&lt;N(INDEX(Setup!$L$6:$L$23,1)))+(COUNTIF(O1708:Q1708,"?*")&lt;N(INDEX(Setup!$L$6:$L$23,1)))+(COUNTIF(S1708:U1708,"?*")&lt;N(INDEX(Setup!$L$6:$L$23,1)))+((W1708="")*(INDEX(Setup!$M$6:$M$23,1)="Y"))+((Y1708="")*(INDEX(Setup!$M$6:$M$23,1)="Y")))</f>
        <v/>
      </c>
      <c r="AC1708" s="90">
        <f>IF($B1708="","",IF(AB1708=0,"✓ covered","⚠ "&amp;AB1708&amp;IF(AB1708=1," gap"," gaps")))</f>
        <v/>
      </c>
    </row>
    <row r="1709" ht="17" customHeight="1">
      <c r="A1709" t="n">
        <v>35</v>
      </c>
      <c r="B1709" s="29">
        <f>IF(Setup!$K$7="","",Setup!$K$7)</f>
        <v/>
      </c>
      <c r="C1709" s="88" t="n"/>
      <c r="D1709" s="88" t="n"/>
      <c r="E1709" s="88" t="n"/>
      <c r="F1709" s="89" t="n"/>
      <c r="G1709" s="88" t="n"/>
      <c r="H1709" s="88" t="n"/>
      <c r="I1709" s="88" t="n"/>
      <c r="J1709" s="89" t="n"/>
      <c r="K1709" s="88" t="n"/>
      <c r="L1709" s="88" t="n"/>
      <c r="M1709" s="88" t="n"/>
      <c r="N1709" s="89" t="n"/>
      <c r="O1709" s="88" t="n"/>
      <c r="P1709" s="88" t="n"/>
      <c r="Q1709" s="88" t="n"/>
      <c r="R1709" s="89" t="n"/>
      <c r="S1709" s="88" t="n"/>
      <c r="T1709" s="88" t="n"/>
      <c r="U1709" s="88" t="n"/>
      <c r="V1709" s="89" t="n"/>
      <c r="W1709" s="88" t="n"/>
      <c r="X1709" s="89" t="n"/>
      <c r="Y1709" s="88" t="n"/>
      <c r="Z1709" s="89" t="n"/>
      <c r="AB1709" s="30">
        <f>IF($B1709="","",(COUNTIF(C1709:E1709,"?*")&lt;N(INDEX(Setup!$L$6:$L$23,2)))+(COUNTIF(G1709:I1709,"?*")&lt;N(INDEX(Setup!$L$6:$L$23,2)))+(COUNTIF(K1709:M1709,"?*")&lt;N(INDEX(Setup!$L$6:$L$23,2)))+(COUNTIF(O1709:Q1709,"?*")&lt;N(INDEX(Setup!$L$6:$L$23,2)))+(COUNTIF(S1709:U1709,"?*")&lt;N(INDEX(Setup!$L$6:$L$23,2)))+((W1709="")*(INDEX(Setup!$M$6:$M$23,2)="Y"))+((Y1709="")*(INDEX(Setup!$M$6:$M$23,2)="Y")))</f>
        <v/>
      </c>
      <c r="AC1709" s="91">
        <f>IF($B1709="","",IF(AB1709=0,"✓ covered","⚠ "&amp;AB1709&amp;IF(AB1709=1," gap"," gaps")))</f>
        <v/>
      </c>
    </row>
    <row r="1710" ht="17" customHeight="1">
      <c r="A1710" t="n">
        <v>35</v>
      </c>
      <c r="B1710" s="24">
        <f>IF(Setup!$K$8="","",Setup!$K$8)</f>
        <v/>
      </c>
      <c r="C1710" s="88" t="n"/>
      <c r="D1710" s="88" t="n"/>
      <c r="E1710" s="88" t="n"/>
      <c r="F1710" s="89" t="n"/>
      <c r="G1710" s="88" t="n"/>
      <c r="H1710" s="88" t="n"/>
      <c r="I1710" s="88" t="n"/>
      <c r="J1710" s="89" t="n"/>
      <c r="K1710" s="88" t="n"/>
      <c r="L1710" s="88" t="n"/>
      <c r="M1710" s="88" t="n"/>
      <c r="N1710" s="89" t="n"/>
      <c r="O1710" s="88" t="n"/>
      <c r="P1710" s="88" t="n"/>
      <c r="Q1710" s="88" t="n"/>
      <c r="R1710" s="89" t="n"/>
      <c r="S1710" s="88" t="n"/>
      <c r="T1710" s="88" t="n"/>
      <c r="U1710" s="88" t="n"/>
      <c r="V1710" s="89" t="n"/>
      <c r="W1710" s="88" t="n"/>
      <c r="X1710" s="89" t="n"/>
      <c r="Y1710" s="88" t="n"/>
      <c r="Z1710" s="89" t="n"/>
      <c r="AB1710" s="25">
        <f>IF($B1710="","",(COUNTIF(C1710:E1710,"?*")&lt;N(INDEX(Setup!$L$6:$L$23,3)))+(COUNTIF(G1710:I1710,"?*")&lt;N(INDEX(Setup!$L$6:$L$23,3)))+(COUNTIF(K1710:M1710,"?*")&lt;N(INDEX(Setup!$L$6:$L$23,3)))+(COUNTIF(O1710:Q1710,"?*")&lt;N(INDEX(Setup!$L$6:$L$23,3)))+(COUNTIF(S1710:U1710,"?*")&lt;N(INDEX(Setup!$L$6:$L$23,3)))+((W1710="")*(INDEX(Setup!$M$6:$M$23,3)="Y"))+((Y1710="")*(INDEX(Setup!$M$6:$M$23,3)="Y")))</f>
        <v/>
      </c>
      <c r="AC1710" s="90">
        <f>IF($B1710="","",IF(AB1710=0,"✓ covered","⚠ "&amp;AB1710&amp;IF(AB1710=1," gap"," gaps")))</f>
        <v/>
      </c>
    </row>
    <row r="1711" ht="17" customHeight="1">
      <c r="A1711" t="n">
        <v>35</v>
      </c>
      <c r="B1711" s="29">
        <f>IF(Setup!$K$9="","",Setup!$K$9)</f>
        <v/>
      </c>
      <c r="C1711" s="88" t="n"/>
      <c r="D1711" s="88" t="n"/>
      <c r="E1711" s="88" t="n"/>
      <c r="F1711" s="89" t="n"/>
      <c r="G1711" s="88" t="n"/>
      <c r="H1711" s="88" t="n"/>
      <c r="I1711" s="88" t="n"/>
      <c r="J1711" s="89" t="n"/>
      <c r="K1711" s="88" t="n"/>
      <c r="L1711" s="88" t="n"/>
      <c r="M1711" s="88" t="n"/>
      <c r="N1711" s="89" t="n"/>
      <c r="O1711" s="88" t="n"/>
      <c r="P1711" s="88" t="n"/>
      <c r="Q1711" s="88" t="n"/>
      <c r="R1711" s="89" t="n"/>
      <c r="S1711" s="88" t="n"/>
      <c r="T1711" s="88" t="n"/>
      <c r="U1711" s="88" t="n"/>
      <c r="V1711" s="89" t="n"/>
      <c r="W1711" s="88" t="n"/>
      <c r="X1711" s="89" t="n"/>
      <c r="Y1711" s="88" t="n"/>
      <c r="Z1711" s="89" t="n"/>
      <c r="AB1711" s="30">
        <f>IF($B1711="","",(COUNTIF(C1711:E1711,"?*")&lt;N(INDEX(Setup!$L$6:$L$23,4)))+(COUNTIF(G1711:I1711,"?*")&lt;N(INDEX(Setup!$L$6:$L$23,4)))+(COUNTIF(K1711:M1711,"?*")&lt;N(INDEX(Setup!$L$6:$L$23,4)))+(COUNTIF(O1711:Q1711,"?*")&lt;N(INDEX(Setup!$L$6:$L$23,4)))+(COUNTIF(S1711:U1711,"?*")&lt;N(INDEX(Setup!$L$6:$L$23,4)))+((W1711="")*(INDEX(Setup!$M$6:$M$23,4)="Y"))+((Y1711="")*(INDEX(Setup!$M$6:$M$23,4)="Y")))</f>
        <v/>
      </c>
      <c r="AC1711" s="91">
        <f>IF($B1711="","",IF(AB1711=0,"✓ covered","⚠ "&amp;AB1711&amp;IF(AB1711=1," gap"," gaps")))</f>
        <v/>
      </c>
    </row>
    <row r="1712" ht="17" customHeight="1">
      <c r="A1712" t="n">
        <v>35</v>
      </c>
      <c r="B1712" s="24">
        <f>IF(Setup!$K$10="","",Setup!$K$10)</f>
        <v/>
      </c>
      <c r="C1712" s="88" t="n"/>
      <c r="D1712" s="88" t="n"/>
      <c r="E1712" s="88" t="n"/>
      <c r="F1712" s="89" t="n"/>
      <c r="G1712" s="88" t="n"/>
      <c r="H1712" s="88" t="n"/>
      <c r="I1712" s="88" t="n"/>
      <c r="J1712" s="89" t="n"/>
      <c r="K1712" s="88" t="n"/>
      <c r="L1712" s="88" t="n"/>
      <c r="M1712" s="88" t="n"/>
      <c r="N1712" s="89" t="n"/>
      <c r="O1712" s="88" t="n"/>
      <c r="P1712" s="88" t="n"/>
      <c r="Q1712" s="88" t="n"/>
      <c r="R1712" s="89" t="n"/>
      <c r="S1712" s="88" t="n"/>
      <c r="T1712" s="88" t="n"/>
      <c r="U1712" s="88" t="n"/>
      <c r="V1712" s="89" t="n"/>
      <c r="W1712" s="88" t="n"/>
      <c r="X1712" s="89" t="n"/>
      <c r="Y1712" s="88" t="n"/>
      <c r="Z1712" s="89" t="n"/>
      <c r="AB1712" s="25">
        <f>IF($B1712="","",(COUNTIF(C1712:E1712,"?*")&lt;N(INDEX(Setup!$L$6:$L$23,5)))+(COUNTIF(G1712:I1712,"?*")&lt;N(INDEX(Setup!$L$6:$L$23,5)))+(COUNTIF(K1712:M1712,"?*")&lt;N(INDEX(Setup!$L$6:$L$23,5)))+(COUNTIF(O1712:Q1712,"?*")&lt;N(INDEX(Setup!$L$6:$L$23,5)))+(COUNTIF(S1712:U1712,"?*")&lt;N(INDEX(Setup!$L$6:$L$23,5)))+((W1712="")*(INDEX(Setup!$M$6:$M$23,5)="Y"))+((Y1712="")*(INDEX(Setup!$M$6:$M$23,5)="Y")))</f>
        <v/>
      </c>
      <c r="AC1712" s="90">
        <f>IF($B1712="","",IF(AB1712=0,"✓ covered","⚠ "&amp;AB1712&amp;IF(AB1712=1," gap"," gaps")))</f>
        <v/>
      </c>
    </row>
    <row r="1713" ht="17" customHeight="1">
      <c r="A1713" t="n">
        <v>35</v>
      </c>
      <c r="B1713" s="29">
        <f>IF(Setup!$K$11="","",Setup!$K$11)</f>
        <v/>
      </c>
      <c r="C1713" s="88" t="n"/>
      <c r="D1713" s="88" t="n"/>
      <c r="E1713" s="88" t="n"/>
      <c r="F1713" s="89" t="n"/>
      <c r="G1713" s="88" t="n"/>
      <c r="H1713" s="88" t="n"/>
      <c r="I1713" s="88" t="n"/>
      <c r="J1713" s="89" t="n"/>
      <c r="K1713" s="88" t="n"/>
      <c r="L1713" s="88" t="n"/>
      <c r="M1713" s="88" t="n"/>
      <c r="N1713" s="89" t="n"/>
      <c r="O1713" s="88" t="n"/>
      <c r="P1713" s="88" t="n"/>
      <c r="Q1713" s="88" t="n"/>
      <c r="R1713" s="89" t="n"/>
      <c r="S1713" s="88" t="n"/>
      <c r="T1713" s="88" t="n"/>
      <c r="U1713" s="88" t="n"/>
      <c r="V1713" s="89" t="n"/>
      <c r="W1713" s="88" t="n"/>
      <c r="X1713" s="89" t="n"/>
      <c r="Y1713" s="88" t="n"/>
      <c r="Z1713" s="89" t="n"/>
      <c r="AB1713" s="30">
        <f>IF($B1713="","",(COUNTIF(C1713:E1713,"?*")&lt;N(INDEX(Setup!$L$6:$L$23,6)))+(COUNTIF(G1713:I1713,"?*")&lt;N(INDEX(Setup!$L$6:$L$23,6)))+(COUNTIF(K1713:M1713,"?*")&lt;N(INDEX(Setup!$L$6:$L$23,6)))+(COUNTIF(O1713:Q1713,"?*")&lt;N(INDEX(Setup!$L$6:$L$23,6)))+(COUNTIF(S1713:U1713,"?*")&lt;N(INDEX(Setup!$L$6:$L$23,6)))+((W1713="")*(INDEX(Setup!$M$6:$M$23,6)="Y"))+((Y1713="")*(INDEX(Setup!$M$6:$M$23,6)="Y")))</f>
        <v/>
      </c>
      <c r="AC1713" s="91">
        <f>IF($B1713="","",IF(AB1713=0,"✓ covered","⚠ "&amp;AB1713&amp;IF(AB1713=1," gap"," gaps")))</f>
        <v/>
      </c>
    </row>
    <row r="1714" ht="17" customHeight="1">
      <c r="A1714" t="n">
        <v>35</v>
      </c>
      <c r="B1714" s="24">
        <f>IF(Setup!$K$12="","",Setup!$K$12)</f>
        <v/>
      </c>
      <c r="C1714" s="88" t="n"/>
      <c r="D1714" s="88" t="n"/>
      <c r="E1714" s="88" t="n"/>
      <c r="F1714" s="89" t="n"/>
      <c r="G1714" s="88" t="n"/>
      <c r="H1714" s="88" t="n"/>
      <c r="I1714" s="88" t="n"/>
      <c r="J1714" s="89" t="n"/>
      <c r="K1714" s="88" t="n"/>
      <c r="L1714" s="88" t="n"/>
      <c r="M1714" s="88" t="n"/>
      <c r="N1714" s="89" t="n"/>
      <c r="O1714" s="88" t="n"/>
      <c r="P1714" s="88" t="n"/>
      <c r="Q1714" s="88" t="n"/>
      <c r="R1714" s="89" t="n"/>
      <c r="S1714" s="88" t="n"/>
      <c r="T1714" s="88" t="n"/>
      <c r="U1714" s="88" t="n"/>
      <c r="V1714" s="89" t="n"/>
      <c r="W1714" s="88" t="n"/>
      <c r="X1714" s="89" t="n"/>
      <c r="Y1714" s="88" t="n"/>
      <c r="Z1714" s="89" t="n"/>
      <c r="AB1714" s="25">
        <f>IF($B1714="","",(COUNTIF(C1714:E1714,"?*")&lt;N(INDEX(Setup!$L$6:$L$23,7)))+(COUNTIF(G1714:I1714,"?*")&lt;N(INDEX(Setup!$L$6:$L$23,7)))+(COUNTIF(K1714:M1714,"?*")&lt;N(INDEX(Setup!$L$6:$L$23,7)))+(COUNTIF(O1714:Q1714,"?*")&lt;N(INDEX(Setup!$L$6:$L$23,7)))+(COUNTIF(S1714:U1714,"?*")&lt;N(INDEX(Setup!$L$6:$L$23,7)))+((W1714="")*(INDEX(Setup!$M$6:$M$23,7)="Y"))+((Y1714="")*(INDEX(Setup!$M$6:$M$23,7)="Y")))</f>
        <v/>
      </c>
      <c r="AC1714" s="90">
        <f>IF($B1714="","",IF(AB1714=0,"✓ covered","⚠ "&amp;AB1714&amp;IF(AB1714=1," gap"," gaps")))</f>
        <v/>
      </c>
    </row>
    <row r="1715" ht="17" customHeight="1">
      <c r="A1715" t="n">
        <v>35</v>
      </c>
      <c r="B1715" s="29">
        <f>IF(Setup!$K$13="","",Setup!$K$13)</f>
        <v/>
      </c>
      <c r="C1715" s="88" t="n"/>
      <c r="D1715" s="88" t="n"/>
      <c r="E1715" s="88" t="n"/>
      <c r="F1715" s="89" t="n"/>
      <c r="G1715" s="88" t="n"/>
      <c r="H1715" s="88" t="n"/>
      <c r="I1715" s="88" t="n"/>
      <c r="J1715" s="89" t="n"/>
      <c r="K1715" s="88" t="n"/>
      <c r="L1715" s="88" t="n"/>
      <c r="M1715" s="88" t="n"/>
      <c r="N1715" s="89" t="n"/>
      <c r="O1715" s="88" t="n"/>
      <c r="P1715" s="88" t="n"/>
      <c r="Q1715" s="88" t="n"/>
      <c r="R1715" s="89" t="n"/>
      <c r="S1715" s="88" t="n"/>
      <c r="T1715" s="88" t="n"/>
      <c r="U1715" s="88" t="n"/>
      <c r="V1715" s="89" t="n"/>
      <c r="W1715" s="88" t="n"/>
      <c r="X1715" s="89" t="n"/>
      <c r="Y1715" s="88" t="n"/>
      <c r="Z1715" s="89" t="n"/>
      <c r="AB1715" s="30">
        <f>IF($B1715="","",(COUNTIF(C1715:E1715,"?*")&lt;N(INDEX(Setup!$L$6:$L$23,8)))+(COUNTIF(G1715:I1715,"?*")&lt;N(INDEX(Setup!$L$6:$L$23,8)))+(COUNTIF(K1715:M1715,"?*")&lt;N(INDEX(Setup!$L$6:$L$23,8)))+(COUNTIF(O1715:Q1715,"?*")&lt;N(INDEX(Setup!$L$6:$L$23,8)))+(COUNTIF(S1715:U1715,"?*")&lt;N(INDEX(Setup!$L$6:$L$23,8)))+((W1715="")*(INDEX(Setup!$M$6:$M$23,8)="Y"))+((Y1715="")*(INDEX(Setup!$M$6:$M$23,8)="Y")))</f>
        <v/>
      </c>
      <c r="AC1715" s="91">
        <f>IF($B1715="","",IF(AB1715=0,"✓ covered","⚠ "&amp;AB1715&amp;IF(AB1715=1," gap"," gaps")))</f>
        <v/>
      </c>
    </row>
    <row r="1716" ht="17" customHeight="1">
      <c r="A1716" t="n">
        <v>35</v>
      </c>
      <c r="B1716" s="24">
        <f>IF(Setup!$K$14="","",Setup!$K$14)</f>
        <v/>
      </c>
      <c r="C1716" s="88" t="n"/>
      <c r="D1716" s="88" t="n"/>
      <c r="E1716" s="88" t="n"/>
      <c r="F1716" s="89" t="n"/>
      <c r="G1716" s="88" t="n"/>
      <c r="H1716" s="88" t="n"/>
      <c r="I1716" s="88" t="n"/>
      <c r="J1716" s="89" t="n"/>
      <c r="K1716" s="88" t="n"/>
      <c r="L1716" s="88" t="n"/>
      <c r="M1716" s="88" t="n"/>
      <c r="N1716" s="89" t="n"/>
      <c r="O1716" s="88" t="n"/>
      <c r="P1716" s="88" t="n"/>
      <c r="Q1716" s="88" t="n"/>
      <c r="R1716" s="89" t="n"/>
      <c r="S1716" s="88" t="n"/>
      <c r="T1716" s="88" t="n"/>
      <c r="U1716" s="88" t="n"/>
      <c r="V1716" s="89" t="n"/>
      <c r="W1716" s="88" t="n"/>
      <c r="X1716" s="89" t="n"/>
      <c r="Y1716" s="88" t="n"/>
      <c r="Z1716" s="89" t="n"/>
      <c r="AB1716" s="25">
        <f>IF($B1716="","",(COUNTIF(C1716:E1716,"?*")&lt;N(INDEX(Setup!$L$6:$L$23,9)))+(COUNTIF(G1716:I1716,"?*")&lt;N(INDEX(Setup!$L$6:$L$23,9)))+(COUNTIF(K1716:M1716,"?*")&lt;N(INDEX(Setup!$L$6:$L$23,9)))+(COUNTIF(O1716:Q1716,"?*")&lt;N(INDEX(Setup!$L$6:$L$23,9)))+(COUNTIF(S1716:U1716,"?*")&lt;N(INDEX(Setup!$L$6:$L$23,9)))+((W1716="")*(INDEX(Setup!$M$6:$M$23,9)="Y"))+((Y1716="")*(INDEX(Setup!$M$6:$M$23,9)="Y")))</f>
        <v/>
      </c>
      <c r="AC1716" s="90">
        <f>IF($B1716="","",IF(AB1716=0,"✓ covered","⚠ "&amp;AB1716&amp;IF(AB1716=1," gap"," gaps")))</f>
        <v/>
      </c>
    </row>
    <row r="1717" ht="17" customHeight="1">
      <c r="A1717" t="n">
        <v>35</v>
      </c>
      <c r="B1717" s="29">
        <f>IF(Setup!$K$15="","",Setup!$K$15)</f>
        <v/>
      </c>
      <c r="C1717" s="88" t="n"/>
      <c r="D1717" s="88" t="n"/>
      <c r="E1717" s="88" t="n"/>
      <c r="F1717" s="89" t="n"/>
      <c r="G1717" s="88" t="n"/>
      <c r="H1717" s="88" t="n"/>
      <c r="I1717" s="88" t="n"/>
      <c r="J1717" s="89" t="n"/>
      <c r="K1717" s="88" t="n"/>
      <c r="L1717" s="88" t="n"/>
      <c r="M1717" s="88" t="n"/>
      <c r="N1717" s="89" t="n"/>
      <c r="O1717" s="88" t="n"/>
      <c r="P1717" s="88" t="n"/>
      <c r="Q1717" s="88" t="n"/>
      <c r="R1717" s="89" t="n"/>
      <c r="S1717" s="88" t="n"/>
      <c r="T1717" s="88" t="n"/>
      <c r="U1717" s="88" t="n"/>
      <c r="V1717" s="89" t="n"/>
      <c r="W1717" s="88" t="n"/>
      <c r="X1717" s="89" t="n"/>
      <c r="Y1717" s="88" t="n"/>
      <c r="Z1717" s="89" t="n"/>
      <c r="AB1717" s="30">
        <f>IF($B1717="","",(COUNTIF(C1717:E1717,"?*")&lt;N(INDEX(Setup!$L$6:$L$23,10)))+(COUNTIF(G1717:I1717,"?*")&lt;N(INDEX(Setup!$L$6:$L$23,10)))+(COUNTIF(K1717:M1717,"?*")&lt;N(INDEX(Setup!$L$6:$L$23,10)))+(COUNTIF(O1717:Q1717,"?*")&lt;N(INDEX(Setup!$L$6:$L$23,10)))+(COUNTIF(S1717:U1717,"?*")&lt;N(INDEX(Setup!$L$6:$L$23,10)))+((W1717="")*(INDEX(Setup!$M$6:$M$23,10)="Y"))+((Y1717="")*(INDEX(Setup!$M$6:$M$23,10)="Y")))</f>
        <v/>
      </c>
      <c r="AC1717" s="91">
        <f>IF($B1717="","",IF(AB1717=0,"✓ covered","⚠ "&amp;AB1717&amp;IF(AB1717=1," gap"," gaps")))</f>
        <v/>
      </c>
    </row>
    <row r="1718" ht="17" customHeight="1">
      <c r="A1718" t="n">
        <v>35</v>
      </c>
      <c r="B1718" s="24">
        <f>IF(Setup!$K$16="","",Setup!$K$16)</f>
        <v/>
      </c>
      <c r="C1718" s="88" t="n"/>
      <c r="D1718" s="88" t="n"/>
      <c r="E1718" s="88" t="n"/>
      <c r="F1718" s="89" t="n"/>
      <c r="G1718" s="88" t="n"/>
      <c r="H1718" s="88" t="n"/>
      <c r="I1718" s="88" t="n"/>
      <c r="J1718" s="89" t="n"/>
      <c r="K1718" s="88" t="n"/>
      <c r="L1718" s="88" t="n"/>
      <c r="M1718" s="88" t="n"/>
      <c r="N1718" s="89" t="n"/>
      <c r="O1718" s="88" t="n"/>
      <c r="P1718" s="88" t="n"/>
      <c r="Q1718" s="88" t="n"/>
      <c r="R1718" s="89" t="n"/>
      <c r="S1718" s="88" t="n"/>
      <c r="T1718" s="88" t="n"/>
      <c r="U1718" s="88" t="n"/>
      <c r="V1718" s="89" t="n"/>
      <c r="W1718" s="88" t="n"/>
      <c r="X1718" s="89" t="n"/>
      <c r="Y1718" s="88" t="n"/>
      <c r="Z1718" s="89" t="n"/>
      <c r="AB1718" s="25">
        <f>IF($B1718="","",(COUNTIF(C1718:E1718,"?*")&lt;N(INDEX(Setup!$L$6:$L$23,11)))+(COUNTIF(G1718:I1718,"?*")&lt;N(INDEX(Setup!$L$6:$L$23,11)))+(COUNTIF(K1718:M1718,"?*")&lt;N(INDEX(Setup!$L$6:$L$23,11)))+(COUNTIF(O1718:Q1718,"?*")&lt;N(INDEX(Setup!$L$6:$L$23,11)))+(COUNTIF(S1718:U1718,"?*")&lt;N(INDEX(Setup!$L$6:$L$23,11)))+((W1718="")*(INDEX(Setup!$M$6:$M$23,11)="Y"))+((Y1718="")*(INDEX(Setup!$M$6:$M$23,11)="Y")))</f>
        <v/>
      </c>
      <c r="AC1718" s="90">
        <f>IF($B1718="","",IF(AB1718=0,"✓ covered","⚠ "&amp;AB1718&amp;IF(AB1718=1," gap"," gaps")))</f>
        <v/>
      </c>
    </row>
    <row r="1719" ht="17" customHeight="1">
      <c r="A1719" t="n">
        <v>35</v>
      </c>
      <c r="B1719" s="29">
        <f>IF(Setup!$K$17="","",Setup!$K$17)</f>
        <v/>
      </c>
      <c r="C1719" s="88" t="n"/>
      <c r="D1719" s="88" t="n"/>
      <c r="E1719" s="88" t="n"/>
      <c r="F1719" s="89" t="n"/>
      <c r="G1719" s="88" t="n"/>
      <c r="H1719" s="88" t="n"/>
      <c r="I1719" s="88" t="n"/>
      <c r="J1719" s="89" t="n"/>
      <c r="K1719" s="88" t="n"/>
      <c r="L1719" s="88" t="n"/>
      <c r="M1719" s="88" t="n"/>
      <c r="N1719" s="89" t="n"/>
      <c r="O1719" s="88" t="n"/>
      <c r="P1719" s="88" t="n"/>
      <c r="Q1719" s="88" t="n"/>
      <c r="R1719" s="89" t="n"/>
      <c r="S1719" s="88" t="n"/>
      <c r="T1719" s="88" t="n"/>
      <c r="U1719" s="88" t="n"/>
      <c r="V1719" s="89" t="n"/>
      <c r="W1719" s="88" t="n"/>
      <c r="X1719" s="89" t="n"/>
      <c r="Y1719" s="88" t="n"/>
      <c r="Z1719" s="89" t="n"/>
      <c r="AB1719" s="30">
        <f>IF($B1719="","",(COUNTIF(C1719:E1719,"?*")&lt;N(INDEX(Setup!$L$6:$L$23,12)))+(COUNTIF(G1719:I1719,"?*")&lt;N(INDEX(Setup!$L$6:$L$23,12)))+(COUNTIF(K1719:M1719,"?*")&lt;N(INDEX(Setup!$L$6:$L$23,12)))+(COUNTIF(O1719:Q1719,"?*")&lt;N(INDEX(Setup!$L$6:$L$23,12)))+(COUNTIF(S1719:U1719,"?*")&lt;N(INDEX(Setup!$L$6:$L$23,12)))+((W1719="")*(INDEX(Setup!$M$6:$M$23,12)="Y"))+((Y1719="")*(INDEX(Setup!$M$6:$M$23,12)="Y")))</f>
        <v/>
      </c>
      <c r="AC1719" s="91">
        <f>IF($B1719="","",IF(AB1719=0,"✓ covered","⚠ "&amp;AB1719&amp;IF(AB1719=1," gap"," gaps")))</f>
        <v/>
      </c>
    </row>
    <row r="1720" ht="17" customHeight="1">
      <c r="A1720" t="n">
        <v>35</v>
      </c>
      <c r="B1720" s="24">
        <f>IF(Setup!$K$18="","",Setup!$K$18)</f>
        <v/>
      </c>
      <c r="C1720" s="88" t="n"/>
      <c r="D1720" s="88" t="n"/>
      <c r="E1720" s="88" t="n"/>
      <c r="F1720" s="89" t="n"/>
      <c r="G1720" s="88" t="n"/>
      <c r="H1720" s="88" t="n"/>
      <c r="I1720" s="88" t="n"/>
      <c r="J1720" s="89" t="n"/>
      <c r="K1720" s="88" t="n"/>
      <c r="L1720" s="88" t="n"/>
      <c r="M1720" s="88" t="n"/>
      <c r="N1720" s="89" t="n"/>
      <c r="O1720" s="88" t="n"/>
      <c r="P1720" s="88" t="n"/>
      <c r="Q1720" s="88" t="n"/>
      <c r="R1720" s="89" t="n"/>
      <c r="S1720" s="88" t="n"/>
      <c r="T1720" s="88" t="n"/>
      <c r="U1720" s="88" t="n"/>
      <c r="V1720" s="89" t="n"/>
      <c r="W1720" s="88" t="n"/>
      <c r="X1720" s="89" t="n"/>
      <c r="Y1720" s="88" t="n"/>
      <c r="Z1720" s="89" t="n"/>
      <c r="AB1720" s="25">
        <f>IF($B1720="","",(COUNTIF(C1720:E1720,"?*")&lt;N(INDEX(Setup!$L$6:$L$23,13)))+(COUNTIF(G1720:I1720,"?*")&lt;N(INDEX(Setup!$L$6:$L$23,13)))+(COUNTIF(K1720:M1720,"?*")&lt;N(INDEX(Setup!$L$6:$L$23,13)))+(COUNTIF(O1720:Q1720,"?*")&lt;N(INDEX(Setup!$L$6:$L$23,13)))+(COUNTIF(S1720:U1720,"?*")&lt;N(INDEX(Setup!$L$6:$L$23,13)))+((W1720="")*(INDEX(Setup!$M$6:$M$23,13)="Y"))+((Y1720="")*(INDEX(Setup!$M$6:$M$23,13)="Y")))</f>
        <v/>
      </c>
      <c r="AC1720" s="90">
        <f>IF($B1720="","",IF(AB1720=0,"✓ covered","⚠ "&amp;AB1720&amp;IF(AB1720=1," gap"," gaps")))</f>
        <v/>
      </c>
    </row>
    <row r="1721" ht="17" customHeight="1">
      <c r="A1721" t="n">
        <v>35</v>
      </c>
      <c r="B1721" s="29">
        <f>IF(Setup!$K$19="","",Setup!$K$19)</f>
        <v/>
      </c>
      <c r="C1721" s="88" t="n"/>
      <c r="D1721" s="88" t="n"/>
      <c r="E1721" s="88" t="n"/>
      <c r="F1721" s="89" t="n"/>
      <c r="G1721" s="88" t="n"/>
      <c r="H1721" s="88" t="n"/>
      <c r="I1721" s="88" t="n"/>
      <c r="J1721" s="89" t="n"/>
      <c r="K1721" s="88" t="n"/>
      <c r="L1721" s="88" t="n"/>
      <c r="M1721" s="88" t="n"/>
      <c r="N1721" s="89" t="n"/>
      <c r="O1721" s="88" t="n"/>
      <c r="P1721" s="88" t="n"/>
      <c r="Q1721" s="88" t="n"/>
      <c r="R1721" s="89" t="n"/>
      <c r="S1721" s="88" t="n"/>
      <c r="T1721" s="88" t="n"/>
      <c r="U1721" s="88" t="n"/>
      <c r="V1721" s="89" t="n"/>
      <c r="W1721" s="88" t="n"/>
      <c r="X1721" s="89" t="n"/>
      <c r="Y1721" s="88" t="n"/>
      <c r="Z1721" s="89" t="n"/>
      <c r="AB1721" s="30">
        <f>IF($B1721="","",(COUNTIF(C1721:E1721,"?*")&lt;N(INDEX(Setup!$L$6:$L$23,14)))+(COUNTIF(G1721:I1721,"?*")&lt;N(INDEX(Setup!$L$6:$L$23,14)))+(COUNTIF(K1721:M1721,"?*")&lt;N(INDEX(Setup!$L$6:$L$23,14)))+(COUNTIF(O1721:Q1721,"?*")&lt;N(INDEX(Setup!$L$6:$L$23,14)))+(COUNTIF(S1721:U1721,"?*")&lt;N(INDEX(Setup!$L$6:$L$23,14)))+((W1721="")*(INDEX(Setup!$M$6:$M$23,14)="Y"))+((Y1721="")*(INDEX(Setup!$M$6:$M$23,14)="Y")))</f>
        <v/>
      </c>
      <c r="AC1721" s="91">
        <f>IF($B1721="","",IF(AB1721=0,"✓ covered","⚠ "&amp;AB1721&amp;IF(AB1721=1," gap"," gaps")))</f>
        <v/>
      </c>
    </row>
    <row r="1722" ht="17" customHeight="1">
      <c r="A1722" t="n">
        <v>35</v>
      </c>
      <c r="B1722" s="24">
        <f>IF(Setup!$K$20="","",Setup!$K$20)</f>
        <v/>
      </c>
      <c r="C1722" s="88" t="n"/>
      <c r="D1722" s="88" t="n"/>
      <c r="E1722" s="88" t="n"/>
      <c r="F1722" s="89" t="n"/>
      <c r="G1722" s="88" t="n"/>
      <c r="H1722" s="88" t="n"/>
      <c r="I1722" s="88" t="n"/>
      <c r="J1722" s="89" t="n"/>
      <c r="K1722" s="88" t="n"/>
      <c r="L1722" s="88" t="n"/>
      <c r="M1722" s="88" t="n"/>
      <c r="N1722" s="89" t="n"/>
      <c r="O1722" s="88" t="n"/>
      <c r="P1722" s="88" t="n"/>
      <c r="Q1722" s="88" t="n"/>
      <c r="R1722" s="89" t="n"/>
      <c r="S1722" s="88" t="n"/>
      <c r="T1722" s="88" t="n"/>
      <c r="U1722" s="88" t="n"/>
      <c r="V1722" s="89" t="n"/>
      <c r="W1722" s="88" t="n"/>
      <c r="X1722" s="89" t="n"/>
      <c r="Y1722" s="88" t="n"/>
      <c r="Z1722" s="89" t="n"/>
      <c r="AB1722" s="25">
        <f>IF($B1722="","",(COUNTIF(C1722:E1722,"?*")&lt;N(INDEX(Setup!$L$6:$L$23,15)))+(COUNTIF(G1722:I1722,"?*")&lt;N(INDEX(Setup!$L$6:$L$23,15)))+(COUNTIF(K1722:M1722,"?*")&lt;N(INDEX(Setup!$L$6:$L$23,15)))+(COUNTIF(O1722:Q1722,"?*")&lt;N(INDEX(Setup!$L$6:$L$23,15)))+(COUNTIF(S1722:U1722,"?*")&lt;N(INDEX(Setup!$L$6:$L$23,15)))+((W1722="")*(INDEX(Setup!$M$6:$M$23,15)="Y"))+((Y1722="")*(INDEX(Setup!$M$6:$M$23,15)="Y")))</f>
        <v/>
      </c>
      <c r="AC1722" s="90">
        <f>IF($B1722="","",IF(AB1722=0,"✓ covered","⚠ "&amp;AB1722&amp;IF(AB1722=1," gap"," gaps")))</f>
        <v/>
      </c>
    </row>
    <row r="1723" ht="17" customHeight="1">
      <c r="A1723" t="n">
        <v>35</v>
      </c>
      <c r="B1723" s="29">
        <f>IF(Setup!$K$21="","",Setup!$K$21)</f>
        <v/>
      </c>
      <c r="C1723" s="88" t="n"/>
      <c r="D1723" s="88" t="n"/>
      <c r="E1723" s="88" t="n"/>
      <c r="F1723" s="89" t="n"/>
      <c r="G1723" s="88" t="n"/>
      <c r="H1723" s="88" t="n"/>
      <c r="I1723" s="88" t="n"/>
      <c r="J1723" s="89" t="n"/>
      <c r="K1723" s="88" t="n"/>
      <c r="L1723" s="88" t="n"/>
      <c r="M1723" s="88" t="n"/>
      <c r="N1723" s="89" t="n"/>
      <c r="O1723" s="88" t="n"/>
      <c r="P1723" s="88" t="n"/>
      <c r="Q1723" s="88" t="n"/>
      <c r="R1723" s="89" t="n"/>
      <c r="S1723" s="88" t="n"/>
      <c r="T1723" s="88" t="n"/>
      <c r="U1723" s="88" t="n"/>
      <c r="V1723" s="89" t="n"/>
      <c r="W1723" s="88" t="n"/>
      <c r="X1723" s="89" t="n"/>
      <c r="Y1723" s="88" t="n"/>
      <c r="Z1723" s="89" t="n"/>
      <c r="AB1723" s="30">
        <f>IF($B1723="","",(COUNTIF(C1723:E1723,"?*")&lt;N(INDEX(Setup!$L$6:$L$23,16)))+(COUNTIF(G1723:I1723,"?*")&lt;N(INDEX(Setup!$L$6:$L$23,16)))+(COUNTIF(K1723:M1723,"?*")&lt;N(INDEX(Setup!$L$6:$L$23,16)))+(COUNTIF(O1723:Q1723,"?*")&lt;N(INDEX(Setup!$L$6:$L$23,16)))+(COUNTIF(S1723:U1723,"?*")&lt;N(INDEX(Setup!$L$6:$L$23,16)))+((W1723="")*(INDEX(Setup!$M$6:$M$23,16)="Y"))+((Y1723="")*(INDEX(Setup!$M$6:$M$23,16)="Y")))</f>
        <v/>
      </c>
      <c r="AC1723" s="91">
        <f>IF($B1723="","",IF(AB1723=0,"✓ covered","⚠ "&amp;AB1723&amp;IF(AB1723=1," gap"," gaps")))</f>
        <v/>
      </c>
    </row>
    <row r="1724" ht="17" customHeight="1">
      <c r="A1724" t="n">
        <v>35</v>
      </c>
      <c r="B1724" s="24">
        <f>IF(Setup!$K$22="","",Setup!$K$22)</f>
        <v/>
      </c>
      <c r="C1724" s="88" t="n"/>
      <c r="D1724" s="88" t="n"/>
      <c r="E1724" s="88" t="n"/>
      <c r="F1724" s="89" t="n"/>
      <c r="G1724" s="88" t="n"/>
      <c r="H1724" s="88" t="n"/>
      <c r="I1724" s="88" t="n"/>
      <c r="J1724" s="89" t="n"/>
      <c r="K1724" s="88" t="n"/>
      <c r="L1724" s="88" t="n"/>
      <c r="M1724" s="88" t="n"/>
      <c r="N1724" s="89" t="n"/>
      <c r="O1724" s="88" t="n"/>
      <c r="P1724" s="88" t="n"/>
      <c r="Q1724" s="88" t="n"/>
      <c r="R1724" s="89" t="n"/>
      <c r="S1724" s="88" t="n"/>
      <c r="T1724" s="88" t="n"/>
      <c r="U1724" s="88" t="n"/>
      <c r="V1724" s="89" t="n"/>
      <c r="W1724" s="88" t="n"/>
      <c r="X1724" s="89" t="n"/>
      <c r="Y1724" s="88" t="n"/>
      <c r="Z1724" s="89" t="n"/>
      <c r="AB1724" s="25">
        <f>IF($B1724="","",(COUNTIF(C1724:E1724,"?*")&lt;N(INDEX(Setup!$L$6:$L$23,17)))+(COUNTIF(G1724:I1724,"?*")&lt;N(INDEX(Setup!$L$6:$L$23,17)))+(COUNTIF(K1724:M1724,"?*")&lt;N(INDEX(Setup!$L$6:$L$23,17)))+(COUNTIF(O1724:Q1724,"?*")&lt;N(INDEX(Setup!$L$6:$L$23,17)))+(COUNTIF(S1724:U1724,"?*")&lt;N(INDEX(Setup!$L$6:$L$23,17)))+((W1724="")*(INDEX(Setup!$M$6:$M$23,17)="Y"))+((Y1724="")*(INDEX(Setup!$M$6:$M$23,17)="Y")))</f>
        <v/>
      </c>
      <c r="AC1724" s="90">
        <f>IF($B1724="","",IF(AB1724=0,"✓ covered","⚠ "&amp;AB1724&amp;IF(AB1724=1," gap"," gaps")))</f>
        <v/>
      </c>
    </row>
    <row r="1725" ht="17" customHeight="1">
      <c r="A1725" t="n">
        <v>35</v>
      </c>
      <c r="B1725" s="29">
        <f>IF(Setup!$K$23="","",Setup!$K$23)</f>
        <v/>
      </c>
      <c r="C1725" s="88" t="n"/>
      <c r="D1725" s="88" t="n"/>
      <c r="E1725" s="88" t="n"/>
      <c r="F1725" s="89" t="n"/>
      <c r="G1725" s="88" t="n"/>
      <c r="H1725" s="88" t="n"/>
      <c r="I1725" s="88" t="n"/>
      <c r="J1725" s="89" t="n"/>
      <c r="K1725" s="88" t="n"/>
      <c r="L1725" s="88" t="n"/>
      <c r="M1725" s="88" t="n"/>
      <c r="N1725" s="89" t="n"/>
      <c r="O1725" s="88" t="n"/>
      <c r="P1725" s="88" t="n"/>
      <c r="Q1725" s="88" t="n"/>
      <c r="R1725" s="89" t="n"/>
      <c r="S1725" s="88" t="n"/>
      <c r="T1725" s="88" t="n"/>
      <c r="U1725" s="88" t="n"/>
      <c r="V1725" s="89" t="n"/>
      <c r="W1725" s="88" t="n"/>
      <c r="X1725" s="89" t="n"/>
      <c r="Y1725" s="88" t="n"/>
      <c r="Z1725" s="89" t="n"/>
      <c r="AB1725" s="30">
        <f>IF($B1725="","",(COUNTIF(C1725:E1725,"?*")&lt;N(INDEX(Setup!$L$6:$L$23,18)))+(COUNTIF(G1725:I1725,"?*")&lt;N(INDEX(Setup!$L$6:$L$23,18)))+(COUNTIF(K1725:M1725,"?*")&lt;N(INDEX(Setup!$L$6:$L$23,18)))+(COUNTIF(O1725:Q1725,"?*")&lt;N(INDEX(Setup!$L$6:$L$23,18)))+(COUNTIF(S1725:U1725,"?*")&lt;N(INDEX(Setup!$L$6:$L$23,18)))+((W1725="")*(INDEX(Setup!$M$6:$M$23,18)="Y"))+((Y1725="")*(INDEX(Setup!$M$6:$M$23,18)="Y")))</f>
        <v/>
      </c>
      <c r="AC1725" s="91">
        <f>IF($B1725="","",IF(AB1725=0,"✓ covered","⚠ "&amp;AB1725&amp;IF(AB1725=1," gap"," gaps")))</f>
        <v/>
      </c>
    </row>
    <row r="1726" ht="18" customHeight="1">
      <c r="A1726" t="n">
        <v>35</v>
      </c>
      <c r="B1726" s="78" t="inlineStr">
        <is>
          <t>TEAM AVAILABILITY</t>
        </is>
      </c>
      <c r="C1726" s="92" t="inlineStr">
        <is>
          <t>Mon</t>
        </is>
      </c>
      <c r="D1726" s="93" t="n"/>
      <c r="E1726" s="93" t="n"/>
      <c r="F1726" s="94" t="n"/>
      <c r="G1726" s="92" t="inlineStr">
        <is>
          <t>Tue</t>
        </is>
      </c>
      <c r="H1726" s="93" t="n"/>
      <c r="I1726" s="93" t="n"/>
      <c r="J1726" s="94" t="n"/>
      <c r="K1726" s="92" t="inlineStr">
        <is>
          <t>Wed</t>
        </is>
      </c>
      <c r="L1726" s="93" t="n"/>
      <c r="M1726" s="93" t="n"/>
      <c r="N1726" s="94" t="n"/>
      <c r="O1726" s="92" t="inlineStr">
        <is>
          <t>Thu</t>
        </is>
      </c>
      <c r="P1726" s="93" t="n"/>
      <c r="Q1726" s="93" t="n"/>
      <c r="R1726" s="94" t="n"/>
      <c r="S1726" s="92" t="inlineStr">
        <is>
          <t>Fri</t>
        </is>
      </c>
      <c r="T1726" s="93" t="n"/>
      <c r="U1726" s="93" t="n"/>
      <c r="V1726" s="94" t="n"/>
      <c r="W1726" s="95" t="inlineStr">
        <is>
          <t>Sat</t>
        </is>
      </c>
      <c r="X1726" s="96" t="n"/>
      <c r="Y1726" s="95" t="inlineStr">
        <is>
          <t>Sun</t>
        </is>
      </c>
      <c r="Z1726" s="96" t="n"/>
      <c r="AB1726" s="97" t="inlineStr">
        <is>
          <t>Days rostered</t>
        </is>
      </c>
      <c r="AC1726" s="97" t="inlineStr">
        <is>
          <t>Conflicts</t>
        </is>
      </c>
    </row>
    <row r="1727" ht="15" customHeight="1">
      <c r="A1727" t="n">
        <v>35</v>
      </c>
      <c r="B1727" s="35">
        <f>IF(Setup!$B$6="","",Setup!$B$6)</f>
        <v/>
      </c>
      <c r="C1727" s="98" t="n"/>
      <c r="D1727" s="99" t="n"/>
      <c r="E1727" s="99" t="n"/>
      <c r="F1727" s="100" t="n"/>
      <c r="G1727" s="98" t="n"/>
      <c r="H1727" s="99" t="n"/>
      <c r="I1727" s="99" t="n"/>
      <c r="J1727" s="100" t="n"/>
      <c r="K1727" s="98" t="n"/>
      <c r="L1727" s="99" t="n"/>
      <c r="M1727" s="99" t="n"/>
      <c r="N1727" s="100" t="n"/>
      <c r="O1727" s="98" t="n"/>
      <c r="P1727" s="99" t="n"/>
      <c r="Q1727" s="99" t="n"/>
      <c r="R1727" s="100" t="n"/>
      <c r="S1727" s="98" t="n"/>
      <c r="T1727" s="99" t="n"/>
      <c r="U1727" s="99" t="n"/>
      <c r="V1727" s="100" t="n"/>
      <c r="W1727" s="98" t="n"/>
      <c r="X1727" s="100" t="n"/>
      <c r="Y1727" s="98" t="n"/>
      <c r="Z1727" s="100" t="n"/>
      <c r="AB1727" s="101">
        <f>IF($B1727="","",(COUNTIF(C1708:E1725,$B1727)+COUNTIF(C1708:E1725,$B1727&amp;" ~*")&gt;0)+(COUNTIF(G1708:I1725,$B1727)+COUNTIF(G1708:I1725,$B1727&amp;" ~*")&gt;0)+(COUNTIF(K1708:M1725,$B1727)+COUNTIF(K1708:M1725,$B1727&amp;" ~*")&gt;0)+(COUNTIF(O1708:Q1725,$B1727)+COUNTIF(O1708:Q1725,$B1727&amp;" ~*")&gt;0)+(COUNTIF(S1708:U1725,$B1727)+COUNTIF(S1708:U1725,$B1727&amp;" ~*")&gt;0)+(COUNTIF(W1708:W1725,$B1727)+COUNTIF(W1708:W1725,$B1727&amp;" ~*")&gt;0)+(COUNTIF(Y1708:Y1725,$B1727)+COUNTIF(Y1708:Y1725,$B1727&amp;" ~*")&gt;0))</f>
        <v/>
      </c>
      <c r="AC1727" s="36">
        <f>IF($B1727="","",(IFERROR(INDEX(Setup!$G$33:$G$40,MATCH(C1727,Setup!$B$33:$B$40,0)),0)=1)*(COUNTIF(C1708:E1725,$B1727)+COUNTIF(C1708:E1725,$B1727&amp;" ~*")&gt;0)+(IFERROR(INDEX(Setup!$G$33:$G$40,MATCH(G1727,Setup!$B$33:$B$40,0)),0)=1)*(COUNTIF(G1708:I1725,$B1727)+COUNTIF(G1708:I1725,$B1727&amp;" ~*")&gt;0)+(IFERROR(INDEX(Setup!$G$33:$G$40,MATCH(K1727,Setup!$B$33:$B$40,0)),0)=1)*(COUNTIF(K1708:M1725,$B1727)+COUNTIF(K1708:M1725,$B1727&amp;" ~*")&gt;0)+(IFERROR(INDEX(Setup!$G$33:$G$40,MATCH(O1727,Setup!$B$33:$B$40,0)),0)=1)*(COUNTIF(O1708:Q1725,$B1727)+COUNTIF(O1708:Q1725,$B1727&amp;" ~*")&gt;0)+(IFERROR(INDEX(Setup!$G$33:$G$40,MATCH(S1727,Setup!$B$33:$B$40,0)),0)=1)*(COUNTIF(S1708:U1725,$B1727)+COUNTIF(S1708:U1725,$B1727&amp;" ~*")&gt;0)+(IFERROR(INDEX(Setup!$G$33:$G$40,MATCH(W1727,Setup!$B$33:$B$40,0)),0)=1)*(COUNTIF(W1708:W1725,$B1727)+COUNTIF(W1708:W1725,$B1727&amp;" ~*")&gt;0)+(IFERROR(INDEX(Setup!$G$33:$G$40,MATCH(Y1727,Setup!$B$33:$B$40,0)),0)=1)*(COUNTIF(Y1708:Y1725,$B1727)+COUNTIF(Y1708:Y1725,$B1727&amp;" ~*")&gt;0))</f>
        <v/>
      </c>
    </row>
    <row r="1728" ht="15" customHeight="1">
      <c r="A1728" t="n">
        <v>35</v>
      </c>
      <c r="B1728" s="37">
        <f>IF(Setup!$B$7="","",Setup!$B$7)</f>
        <v/>
      </c>
      <c r="C1728" s="102" t="n"/>
      <c r="D1728" s="103" t="n"/>
      <c r="E1728" s="103" t="n"/>
      <c r="F1728" s="104" t="n"/>
      <c r="G1728" s="102" t="n"/>
      <c r="H1728" s="103" t="n"/>
      <c r="I1728" s="103" t="n"/>
      <c r="J1728" s="104" t="n"/>
      <c r="K1728" s="102" t="n"/>
      <c r="L1728" s="103" t="n"/>
      <c r="M1728" s="103" t="n"/>
      <c r="N1728" s="104" t="n"/>
      <c r="O1728" s="102" t="n"/>
      <c r="P1728" s="103" t="n"/>
      <c r="Q1728" s="103" t="n"/>
      <c r="R1728" s="104" t="n"/>
      <c r="S1728" s="102" t="n"/>
      <c r="T1728" s="103" t="n"/>
      <c r="U1728" s="103" t="n"/>
      <c r="V1728" s="104" t="n"/>
      <c r="W1728" s="102" t="n"/>
      <c r="X1728" s="104" t="n"/>
      <c r="Y1728" s="102" t="n"/>
      <c r="Z1728" s="104" t="n"/>
      <c r="AB1728" s="105">
        <f>IF($B1728="","",(COUNTIF(C1708:E1725,$B1728)+COUNTIF(C1708:E1725,$B1728&amp;" ~*")&gt;0)+(COUNTIF(G1708:I1725,$B1728)+COUNTIF(G1708:I1725,$B1728&amp;" ~*")&gt;0)+(COUNTIF(K1708:M1725,$B1728)+COUNTIF(K1708:M1725,$B1728&amp;" ~*")&gt;0)+(COUNTIF(O1708:Q1725,$B1728)+COUNTIF(O1708:Q1725,$B1728&amp;" ~*")&gt;0)+(COUNTIF(S1708:U1725,$B1728)+COUNTIF(S1708:U1725,$B1728&amp;" ~*")&gt;0)+(COUNTIF(W1708:W1725,$B1728)+COUNTIF(W1708:W1725,$B1728&amp;" ~*")&gt;0)+(COUNTIF(Y1708:Y1725,$B1728)+COUNTIF(Y1708:Y1725,$B1728&amp;" ~*")&gt;0))</f>
        <v/>
      </c>
      <c r="AC1728" s="38">
        <f>IF($B1728="","",(IFERROR(INDEX(Setup!$G$33:$G$40,MATCH(C1728,Setup!$B$33:$B$40,0)),0)=1)*(COUNTIF(C1708:E1725,$B1728)+COUNTIF(C1708:E1725,$B1728&amp;" ~*")&gt;0)+(IFERROR(INDEX(Setup!$G$33:$G$40,MATCH(G1728,Setup!$B$33:$B$40,0)),0)=1)*(COUNTIF(G1708:I1725,$B1728)+COUNTIF(G1708:I1725,$B1728&amp;" ~*")&gt;0)+(IFERROR(INDEX(Setup!$G$33:$G$40,MATCH(K1728,Setup!$B$33:$B$40,0)),0)=1)*(COUNTIF(K1708:M1725,$B1728)+COUNTIF(K1708:M1725,$B1728&amp;" ~*")&gt;0)+(IFERROR(INDEX(Setup!$G$33:$G$40,MATCH(O1728,Setup!$B$33:$B$40,0)),0)=1)*(COUNTIF(O1708:Q1725,$B1728)+COUNTIF(O1708:Q1725,$B1728&amp;" ~*")&gt;0)+(IFERROR(INDEX(Setup!$G$33:$G$40,MATCH(S1728,Setup!$B$33:$B$40,0)),0)=1)*(COUNTIF(S1708:U1725,$B1728)+COUNTIF(S1708:U1725,$B1728&amp;" ~*")&gt;0)+(IFERROR(INDEX(Setup!$G$33:$G$40,MATCH(W1728,Setup!$B$33:$B$40,0)),0)=1)*(COUNTIF(W1708:W1725,$B1728)+COUNTIF(W1708:W1725,$B1728&amp;" ~*")&gt;0)+(IFERROR(INDEX(Setup!$G$33:$G$40,MATCH(Y1728,Setup!$B$33:$B$40,0)),0)=1)*(COUNTIF(Y1708:Y1725,$B1728)+COUNTIF(Y1708:Y1725,$B1728&amp;" ~*")&gt;0))</f>
        <v/>
      </c>
    </row>
    <row r="1729" ht="15" customHeight="1">
      <c r="A1729" t="n">
        <v>35</v>
      </c>
      <c r="B1729" s="35">
        <f>IF(Setup!$B$8="","",Setup!$B$8)</f>
        <v/>
      </c>
      <c r="C1729" s="98" t="n"/>
      <c r="D1729" s="99" t="n"/>
      <c r="E1729" s="99" t="n"/>
      <c r="F1729" s="100" t="n"/>
      <c r="G1729" s="98" t="n"/>
      <c r="H1729" s="99" t="n"/>
      <c r="I1729" s="99" t="n"/>
      <c r="J1729" s="100" t="n"/>
      <c r="K1729" s="98" t="n"/>
      <c r="L1729" s="99" t="n"/>
      <c r="M1729" s="99" t="n"/>
      <c r="N1729" s="100" t="n"/>
      <c r="O1729" s="98" t="n"/>
      <c r="P1729" s="99" t="n"/>
      <c r="Q1729" s="99" t="n"/>
      <c r="R1729" s="100" t="n"/>
      <c r="S1729" s="98" t="n"/>
      <c r="T1729" s="99" t="n"/>
      <c r="U1729" s="99" t="n"/>
      <c r="V1729" s="100" t="n"/>
      <c r="W1729" s="98" t="n"/>
      <c r="X1729" s="100" t="n"/>
      <c r="Y1729" s="98" t="n"/>
      <c r="Z1729" s="100" t="n"/>
      <c r="AB1729" s="101">
        <f>IF($B1729="","",(COUNTIF(C1708:E1725,$B1729)+COUNTIF(C1708:E1725,$B1729&amp;" ~*")&gt;0)+(COUNTIF(G1708:I1725,$B1729)+COUNTIF(G1708:I1725,$B1729&amp;" ~*")&gt;0)+(COUNTIF(K1708:M1725,$B1729)+COUNTIF(K1708:M1725,$B1729&amp;" ~*")&gt;0)+(COUNTIF(O1708:Q1725,$B1729)+COUNTIF(O1708:Q1725,$B1729&amp;" ~*")&gt;0)+(COUNTIF(S1708:U1725,$B1729)+COUNTIF(S1708:U1725,$B1729&amp;" ~*")&gt;0)+(COUNTIF(W1708:W1725,$B1729)+COUNTIF(W1708:W1725,$B1729&amp;" ~*")&gt;0)+(COUNTIF(Y1708:Y1725,$B1729)+COUNTIF(Y1708:Y1725,$B1729&amp;" ~*")&gt;0))</f>
        <v/>
      </c>
      <c r="AC1729" s="36">
        <f>IF($B1729="","",(IFERROR(INDEX(Setup!$G$33:$G$40,MATCH(C1729,Setup!$B$33:$B$40,0)),0)=1)*(COUNTIF(C1708:E1725,$B1729)+COUNTIF(C1708:E1725,$B1729&amp;" ~*")&gt;0)+(IFERROR(INDEX(Setup!$G$33:$G$40,MATCH(G1729,Setup!$B$33:$B$40,0)),0)=1)*(COUNTIF(G1708:I1725,$B1729)+COUNTIF(G1708:I1725,$B1729&amp;" ~*")&gt;0)+(IFERROR(INDEX(Setup!$G$33:$G$40,MATCH(K1729,Setup!$B$33:$B$40,0)),0)=1)*(COUNTIF(K1708:M1725,$B1729)+COUNTIF(K1708:M1725,$B1729&amp;" ~*")&gt;0)+(IFERROR(INDEX(Setup!$G$33:$G$40,MATCH(O1729,Setup!$B$33:$B$40,0)),0)=1)*(COUNTIF(O1708:Q1725,$B1729)+COUNTIF(O1708:Q1725,$B1729&amp;" ~*")&gt;0)+(IFERROR(INDEX(Setup!$G$33:$G$40,MATCH(S1729,Setup!$B$33:$B$40,0)),0)=1)*(COUNTIF(S1708:U1725,$B1729)+COUNTIF(S1708:U1725,$B1729&amp;" ~*")&gt;0)+(IFERROR(INDEX(Setup!$G$33:$G$40,MATCH(W1729,Setup!$B$33:$B$40,0)),0)=1)*(COUNTIF(W1708:W1725,$B1729)+COUNTIF(W1708:W1725,$B1729&amp;" ~*")&gt;0)+(IFERROR(INDEX(Setup!$G$33:$G$40,MATCH(Y1729,Setup!$B$33:$B$40,0)),0)=1)*(COUNTIF(Y1708:Y1725,$B1729)+COUNTIF(Y1708:Y1725,$B1729&amp;" ~*")&gt;0))</f>
        <v/>
      </c>
    </row>
    <row r="1730" ht="15" customHeight="1">
      <c r="A1730" t="n">
        <v>35</v>
      </c>
      <c r="B1730" s="37">
        <f>IF(Setup!$B$9="","",Setup!$B$9)</f>
        <v/>
      </c>
      <c r="C1730" s="102" t="n"/>
      <c r="D1730" s="103" t="n"/>
      <c r="E1730" s="103" t="n"/>
      <c r="F1730" s="104" t="n"/>
      <c r="G1730" s="102" t="n"/>
      <c r="H1730" s="103" t="n"/>
      <c r="I1730" s="103" t="n"/>
      <c r="J1730" s="104" t="n"/>
      <c r="K1730" s="102" t="n"/>
      <c r="L1730" s="103" t="n"/>
      <c r="M1730" s="103" t="n"/>
      <c r="N1730" s="104" t="n"/>
      <c r="O1730" s="102" t="n"/>
      <c r="P1730" s="103" t="n"/>
      <c r="Q1730" s="103" t="n"/>
      <c r="R1730" s="104" t="n"/>
      <c r="S1730" s="102" t="n"/>
      <c r="T1730" s="103" t="n"/>
      <c r="U1730" s="103" t="n"/>
      <c r="V1730" s="104" t="n"/>
      <c r="W1730" s="102" t="n"/>
      <c r="X1730" s="104" t="n"/>
      <c r="Y1730" s="102" t="n"/>
      <c r="Z1730" s="104" t="n"/>
      <c r="AB1730" s="105">
        <f>IF($B1730="","",(COUNTIF(C1708:E1725,$B1730)+COUNTIF(C1708:E1725,$B1730&amp;" ~*")&gt;0)+(COUNTIF(G1708:I1725,$B1730)+COUNTIF(G1708:I1725,$B1730&amp;" ~*")&gt;0)+(COUNTIF(K1708:M1725,$B1730)+COUNTIF(K1708:M1725,$B1730&amp;" ~*")&gt;0)+(COUNTIF(O1708:Q1725,$B1730)+COUNTIF(O1708:Q1725,$B1730&amp;" ~*")&gt;0)+(COUNTIF(S1708:U1725,$B1730)+COUNTIF(S1708:U1725,$B1730&amp;" ~*")&gt;0)+(COUNTIF(W1708:W1725,$B1730)+COUNTIF(W1708:W1725,$B1730&amp;" ~*")&gt;0)+(COUNTIF(Y1708:Y1725,$B1730)+COUNTIF(Y1708:Y1725,$B1730&amp;" ~*")&gt;0))</f>
        <v/>
      </c>
      <c r="AC1730" s="38">
        <f>IF($B1730="","",(IFERROR(INDEX(Setup!$G$33:$G$40,MATCH(C1730,Setup!$B$33:$B$40,0)),0)=1)*(COUNTIF(C1708:E1725,$B1730)+COUNTIF(C1708:E1725,$B1730&amp;" ~*")&gt;0)+(IFERROR(INDEX(Setup!$G$33:$G$40,MATCH(G1730,Setup!$B$33:$B$40,0)),0)=1)*(COUNTIF(G1708:I1725,$B1730)+COUNTIF(G1708:I1725,$B1730&amp;" ~*")&gt;0)+(IFERROR(INDEX(Setup!$G$33:$G$40,MATCH(K1730,Setup!$B$33:$B$40,0)),0)=1)*(COUNTIF(K1708:M1725,$B1730)+COUNTIF(K1708:M1725,$B1730&amp;" ~*")&gt;0)+(IFERROR(INDEX(Setup!$G$33:$G$40,MATCH(O1730,Setup!$B$33:$B$40,0)),0)=1)*(COUNTIF(O1708:Q1725,$B1730)+COUNTIF(O1708:Q1725,$B1730&amp;" ~*")&gt;0)+(IFERROR(INDEX(Setup!$G$33:$G$40,MATCH(S1730,Setup!$B$33:$B$40,0)),0)=1)*(COUNTIF(S1708:U1725,$B1730)+COUNTIF(S1708:U1725,$B1730&amp;" ~*")&gt;0)+(IFERROR(INDEX(Setup!$G$33:$G$40,MATCH(W1730,Setup!$B$33:$B$40,0)),0)=1)*(COUNTIF(W1708:W1725,$B1730)+COUNTIF(W1708:W1725,$B1730&amp;" ~*")&gt;0)+(IFERROR(INDEX(Setup!$G$33:$G$40,MATCH(Y1730,Setup!$B$33:$B$40,0)),0)=1)*(COUNTIF(Y1708:Y1725,$B1730)+COUNTIF(Y1708:Y1725,$B1730&amp;" ~*")&gt;0))</f>
        <v/>
      </c>
    </row>
    <row r="1731" ht="15" customHeight="1">
      <c r="A1731" t="n">
        <v>35</v>
      </c>
      <c r="B1731" s="35">
        <f>IF(Setup!$B$10="","",Setup!$B$10)</f>
        <v/>
      </c>
      <c r="C1731" s="98" t="n"/>
      <c r="D1731" s="99" t="n"/>
      <c r="E1731" s="99" t="n"/>
      <c r="F1731" s="100" t="n"/>
      <c r="G1731" s="98" t="n"/>
      <c r="H1731" s="99" t="n"/>
      <c r="I1731" s="99" t="n"/>
      <c r="J1731" s="100" t="n"/>
      <c r="K1731" s="98" t="n"/>
      <c r="L1731" s="99" t="n"/>
      <c r="M1731" s="99" t="n"/>
      <c r="N1731" s="100" t="n"/>
      <c r="O1731" s="98" t="n"/>
      <c r="P1731" s="99" t="n"/>
      <c r="Q1731" s="99" t="n"/>
      <c r="R1731" s="100" t="n"/>
      <c r="S1731" s="98" t="n"/>
      <c r="T1731" s="99" t="n"/>
      <c r="U1731" s="99" t="n"/>
      <c r="V1731" s="100" t="n"/>
      <c r="W1731" s="98" t="n"/>
      <c r="X1731" s="100" t="n"/>
      <c r="Y1731" s="98" t="n"/>
      <c r="Z1731" s="100" t="n"/>
      <c r="AB1731" s="101">
        <f>IF($B1731="","",(COUNTIF(C1708:E1725,$B1731)+COUNTIF(C1708:E1725,$B1731&amp;" ~*")&gt;0)+(COUNTIF(G1708:I1725,$B1731)+COUNTIF(G1708:I1725,$B1731&amp;" ~*")&gt;0)+(COUNTIF(K1708:M1725,$B1731)+COUNTIF(K1708:M1725,$B1731&amp;" ~*")&gt;0)+(COUNTIF(O1708:Q1725,$B1731)+COUNTIF(O1708:Q1725,$B1731&amp;" ~*")&gt;0)+(COUNTIF(S1708:U1725,$B1731)+COUNTIF(S1708:U1725,$B1731&amp;" ~*")&gt;0)+(COUNTIF(W1708:W1725,$B1731)+COUNTIF(W1708:W1725,$B1731&amp;" ~*")&gt;0)+(COUNTIF(Y1708:Y1725,$B1731)+COUNTIF(Y1708:Y1725,$B1731&amp;" ~*")&gt;0))</f>
        <v/>
      </c>
      <c r="AC1731" s="36">
        <f>IF($B1731="","",(IFERROR(INDEX(Setup!$G$33:$G$40,MATCH(C1731,Setup!$B$33:$B$40,0)),0)=1)*(COUNTIF(C1708:E1725,$B1731)+COUNTIF(C1708:E1725,$B1731&amp;" ~*")&gt;0)+(IFERROR(INDEX(Setup!$G$33:$G$40,MATCH(G1731,Setup!$B$33:$B$40,0)),0)=1)*(COUNTIF(G1708:I1725,$B1731)+COUNTIF(G1708:I1725,$B1731&amp;" ~*")&gt;0)+(IFERROR(INDEX(Setup!$G$33:$G$40,MATCH(K1731,Setup!$B$33:$B$40,0)),0)=1)*(COUNTIF(K1708:M1725,$B1731)+COUNTIF(K1708:M1725,$B1731&amp;" ~*")&gt;0)+(IFERROR(INDEX(Setup!$G$33:$G$40,MATCH(O1731,Setup!$B$33:$B$40,0)),0)=1)*(COUNTIF(O1708:Q1725,$B1731)+COUNTIF(O1708:Q1725,$B1731&amp;" ~*")&gt;0)+(IFERROR(INDEX(Setup!$G$33:$G$40,MATCH(S1731,Setup!$B$33:$B$40,0)),0)=1)*(COUNTIF(S1708:U1725,$B1731)+COUNTIF(S1708:U1725,$B1731&amp;" ~*")&gt;0)+(IFERROR(INDEX(Setup!$G$33:$G$40,MATCH(W1731,Setup!$B$33:$B$40,0)),0)=1)*(COUNTIF(W1708:W1725,$B1731)+COUNTIF(W1708:W1725,$B1731&amp;" ~*")&gt;0)+(IFERROR(INDEX(Setup!$G$33:$G$40,MATCH(Y1731,Setup!$B$33:$B$40,0)),0)=1)*(COUNTIF(Y1708:Y1725,$B1731)+COUNTIF(Y1708:Y1725,$B1731&amp;" ~*")&gt;0))</f>
        <v/>
      </c>
    </row>
    <row r="1732" ht="15" customHeight="1">
      <c r="A1732" t="n">
        <v>35</v>
      </c>
      <c r="B1732" s="37">
        <f>IF(Setup!$B$11="","",Setup!$B$11)</f>
        <v/>
      </c>
      <c r="C1732" s="102" t="n"/>
      <c r="D1732" s="103" t="n"/>
      <c r="E1732" s="103" t="n"/>
      <c r="F1732" s="104" t="n"/>
      <c r="G1732" s="102" t="n"/>
      <c r="H1732" s="103" t="n"/>
      <c r="I1732" s="103" t="n"/>
      <c r="J1732" s="104" t="n"/>
      <c r="K1732" s="102" t="n"/>
      <c r="L1732" s="103" t="n"/>
      <c r="M1732" s="103" t="n"/>
      <c r="N1732" s="104" t="n"/>
      <c r="O1732" s="102" t="n"/>
      <c r="P1732" s="103" t="n"/>
      <c r="Q1732" s="103" t="n"/>
      <c r="R1732" s="104" t="n"/>
      <c r="S1732" s="102" t="n"/>
      <c r="T1732" s="103" t="n"/>
      <c r="U1732" s="103" t="n"/>
      <c r="V1732" s="104" t="n"/>
      <c r="W1732" s="102" t="n"/>
      <c r="X1732" s="104" t="n"/>
      <c r="Y1732" s="102" t="n"/>
      <c r="Z1732" s="104" t="n"/>
      <c r="AB1732" s="105">
        <f>IF($B1732="","",(COUNTIF(C1708:E1725,$B1732)+COUNTIF(C1708:E1725,$B1732&amp;" ~*")&gt;0)+(COUNTIF(G1708:I1725,$B1732)+COUNTIF(G1708:I1725,$B1732&amp;" ~*")&gt;0)+(COUNTIF(K1708:M1725,$B1732)+COUNTIF(K1708:M1725,$B1732&amp;" ~*")&gt;0)+(COUNTIF(O1708:Q1725,$B1732)+COUNTIF(O1708:Q1725,$B1732&amp;" ~*")&gt;0)+(COUNTIF(S1708:U1725,$B1732)+COUNTIF(S1708:U1725,$B1732&amp;" ~*")&gt;0)+(COUNTIF(W1708:W1725,$B1732)+COUNTIF(W1708:W1725,$B1732&amp;" ~*")&gt;0)+(COUNTIF(Y1708:Y1725,$B1732)+COUNTIF(Y1708:Y1725,$B1732&amp;" ~*")&gt;0))</f>
        <v/>
      </c>
      <c r="AC1732" s="38">
        <f>IF($B1732="","",(IFERROR(INDEX(Setup!$G$33:$G$40,MATCH(C1732,Setup!$B$33:$B$40,0)),0)=1)*(COUNTIF(C1708:E1725,$B1732)+COUNTIF(C1708:E1725,$B1732&amp;" ~*")&gt;0)+(IFERROR(INDEX(Setup!$G$33:$G$40,MATCH(G1732,Setup!$B$33:$B$40,0)),0)=1)*(COUNTIF(G1708:I1725,$B1732)+COUNTIF(G1708:I1725,$B1732&amp;" ~*")&gt;0)+(IFERROR(INDEX(Setup!$G$33:$G$40,MATCH(K1732,Setup!$B$33:$B$40,0)),0)=1)*(COUNTIF(K1708:M1725,$B1732)+COUNTIF(K1708:M1725,$B1732&amp;" ~*")&gt;0)+(IFERROR(INDEX(Setup!$G$33:$G$40,MATCH(O1732,Setup!$B$33:$B$40,0)),0)=1)*(COUNTIF(O1708:Q1725,$B1732)+COUNTIF(O1708:Q1725,$B1732&amp;" ~*")&gt;0)+(IFERROR(INDEX(Setup!$G$33:$G$40,MATCH(S1732,Setup!$B$33:$B$40,0)),0)=1)*(COUNTIF(S1708:U1725,$B1732)+COUNTIF(S1708:U1725,$B1732&amp;" ~*")&gt;0)+(IFERROR(INDEX(Setup!$G$33:$G$40,MATCH(W1732,Setup!$B$33:$B$40,0)),0)=1)*(COUNTIF(W1708:W1725,$B1732)+COUNTIF(W1708:W1725,$B1732&amp;" ~*")&gt;0)+(IFERROR(INDEX(Setup!$G$33:$G$40,MATCH(Y1732,Setup!$B$33:$B$40,0)),0)=1)*(COUNTIF(Y1708:Y1725,$B1732)+COUNTIF(Y1708:Y1725,$B1732&amp;" ~*")&gt;0))</f>
        <v/>
      </c>
    </row>
    <row r="1733" ht="15" customHeight="1">
      <c r="A1733" t="n">
        <v>35</v>
      </c>
      <c r="B1733" s="35">
        <f>IF(Setup!$B$12="","",Setup!$B$12)</f>
        <v/>
      </c>
      <c r="C1733" s="98" t="n"/>
      <c r="D1733" s="99" t="n"/>
      <c r="E1733" s="99" t="n"/>
      <c r="F1733" s="100" t="n"/>
      <c r="G1733" s="98" t="n"/>
      <c r="H1733" s="99" t="n"/>
      <c r="I1733" s="99" t="n"/>
      <c r="J1733" s="100" t="n"/>
      <c r="K1733" s="98" t="inlineStr">
        <is>
          <t>AL</t>
        </is>
      </c>
      <c r="L1733" s="99" t="n"/>
      <c r="M1733" s="99" t="n"/>
      <c r="N1733" s="100" t="n"/>
      <c r="O1733" s="98" t="inlineStr">
        <is>
          <t>AL</t>
        </is>
      </c>
      <c r="P1733" s="99" t="n"/>
      <c r="Q1733" s="99" t="n"/>
      <c r="R1733" s="100" t="n"/>
      <c r="S1733" s="98" t="inlineStr">
        <is>
          <t>AL</t>
        </is>
      </c>
      <c r="T1733" s="99" t="n"/>
      <c r="U1733" s="99" t="n"/>
      <c r="V1733" s="100" t="n"/>
      <c r="W1733" s="98" t="n"/>
      <c r="X1733" s="100" t="n"/>
      <c r="Y1733" s="98" t="n"/>
      <c r="Z1733" s="100" t="n"/>
      <c r="AB1733" s="101">
        <f>IF($B1733="","",(COUNTIF(C1708:E1725,$B1733)+COUNTIF(C1708:E1725,$B1733&amp;" ~*")&gt;0)+(COUNTIF(G1708:I1725,$B1733)+COUNTIF(G1708:I1725,$B1733&amp;" ~*")&gt;0)+(COUNTIF(K1708:M1725,$B1733)+COUNTIF(K1708:M1725,$B1733&amp;" ~*")&gt;0)+(COUNTIF(O1708:Q1725,$B1733)+COUNTIF(O1708:Q1725,$B1733&amp;" ~*")&gt;0)+(COUNTIF(S1708:U1725,$B1733)+COUNTIF(S1708:U1725,$B1733&amp;" ~*")&gt;0)+(COUNTIF(W1708:W1725,$B1733)+COUNTIF(W1708:W1725,$B1733&amp;" ~*")&gt;0)+(COUNTIF(Y1708:Y1725,$B1733)+COUNTIF(Y1708:Y1725,$B1733&amp;" ~*")&gt;0))</f>
        <v/>
      </c>
      <c r="AC1733" s="36">
        <f>IF($B1733="","",(IFERROR(INDEX(Setup!$G$33:$G$40,MATCH(C1733,Setup!$B$33:$B$40,0)),0)=1)*(COUNTIF(C1708:E1725,$B1733)+COUNTIF(C1708:E1725,$B1733&amp;" ~*")&gt;0)+(IFERROR(INDEX(Setup!$G$33:$G$40,MATCH(G1733,Setup!$B$33:$B$40,0)),0)=1)*(COUNTIF(G1708:I1725,$B1733)+COUNTIF(G1708:I1725,$B1733&amp;" ~*")&gt;0)+(IFERROR(INDEX(Setup!$G$33:$G$40,MATCH(K1733,Setup!$B$33:$B$40,0)),0)=1)*(COUNTIF(K1708:M1725,$B1733)+COUNTIF(K1708:M1725,$B1733&amp;" ~*")&gt;0)+(IFERROR(INDEX(Setup!$G$33:$G$40,MATCH(O1733,Setup!$B$33:$B$40,0)),0)=1)*(COUNTIF(O1708:Q1725,$B1733)+COUNTIF(O1708:Q1725,$B1733&amp;" ~*")&gt;0)+(IFERROR(INDEX(Setup!$G$33:$G$40,MATCH(S1733,Setup!$B$33:$B$40,0)),0)=1)*(COUNTIF(S1708:U1725,$B1733)+COUNTIF(S1708:U1725,$B1733&amp;" ~*")&gt;0)+(IFERROR(INDEX(Setup!$G$33:$G$40,MATCH(W1733,Setup!$B$33:$B$40,0)),0)=1)*(COUNTIF(W1708:W1725,$B1733)+COUNTIF(W1708:W1725,$B1733&amp;" ~*")&gt;0)+(IFERROR(INDEX(Setup!$G$33:$G$40,MATCH(Y1733,Setup!$B$33:$B$40,0)),0)=1)*(COUNTIF(Y1708:Y1725,$B1733)+COUNTIF(Y1708:Y1725,$B1733&amp;" ~*")&gt;0))</f>
        <v/>
      </c>
    </row>
    <row r="1734" ht="15" customHeight="1">
      <c r="A1734" t="n">
        <v>35</v>
      </c>
      <c r="B1734" s="37">
        <f>IF(Setup!$B$13="","",Setup!$B$13)</f>
        <v/>
      </c>
      <c r="C1734" s="102" t="n"/>
      <c r="D1734" s="103" t="n"/>
      <c r="E1734" s="103" t="n"/>
      <c r="F1734" s="104" t="n"/>
      <c r="G1734" s="102" t="n"/>
      <c r="H1734" s="103" t="n"/>
      <c r="I1734" s="103" t="n"/>
      <c r="J1734" s="104" t="n"/>
      <c r="K1734" s="102" t="n"/>
      <c r="L1734" s="103" t="n"/>
      <c r="M1734" s="103" t="n"/>
      <c r="N1734" s="104" t="n"/>
      <c r="O1734" s="102" t="n"/>
      <c r="P1734" s="103" t="n"/>
      <c r="Q1734" s="103" t="n"/>
      <c r="R1734" s="104" t="n"/>
      <c r="S1734" s="102" t="n"/>
      <c r="T1734" s="103" t="n"/>
      <c r="U1734" s="103" t="n"/>
      <c r="V1734" s="104" t="n"/>
      <c r="W1734" s="102" t="n"/>
      <c r="X1734" s="104" t="n"/>
      <c r="Y1734" s="102" t="n"/>
      <c r="Z1734" s="104" t="n"/>
      <c r="AB1734" s="105">
        <f>IF($B1734="","",(COUNTIF(C1708:E1725,$B1734)+COUNTIF(C1708:E1725,$B1734&amp;" ~*")&gt;0)+(COUNTIF(G1708:I1725,$B1734)+COUNTIF(G1708:I1725,$B1734&amp;" ~*")&gt;0)+(COUNTIF(K1708:M1725,$B1734)+COUNTIF(K1708:M1725,$B1734&amp;" ~*")&gt;0)+(COUNTIF(O1708:Q1725,$B1734)+COUNTIF(O1708:Q1725,$B1734&amp;" ~*")&gt;0)+(COUNTIF(S1708:U1725,$B1734)+COUNTIF(S1708:U1725,$B1734&amp;" ~*")&gt;0)+(COUNTIF(W1708:W1725,$B1734)+COUNTIF(W1708:W1725,$B1734&amp;" ~*")&gt;0)+(COUNTIF(Y1708:Y1725,$B1734)+COUNTIF(Y1708:Y1725,$B1734&amp;" ~*")&gt;0))</f>
        <v/>
      </c>
      <c r="AC1734" s="38">
        <f>IF($B1734="","",(IFERROR(INDEX(Setup!$G$33:$G$40,MATCH(C1734,Setup!$B$33:$B$40,0)),0)=1)*(COUNTIF(C1708:E1725,$B1734)+COUNTIF(C1708:E1725,$B1734&amp;" ~*")&gt;0)+(IFERROR(INDEX(Setup!$G$33:$G$40,MATCH(G1734,Setup!$B$33:$B$40,0)),0)=1)*(COUNTIF(G1708:I1725,$B1734)+COUNTIF(G1708:I1725,$B1734&amp;" ~*")&gt;0)+(IFERROR(INDEX(Setup!$G$33:$G$40,MATCH(K1734,Setup!$B$33:$B$40,0)),0)=1)*(COUNTIF(K1708:M1725,$B1734)+COUNTIF(K1708:M1725,$B1734&amp;" ~*")&gt;0)+(IFERROR(INDEX(Setup!$G$33:$G$40,MATCH(O1734,Setup!$B$33:$B$40,0)),0)=1)*(COUNTIF(O1708:Q1725,$B1734)+COUNTIF(O1708:Q1725,$B1734&amp;" ~*")&gt;0)+(IFERROR(INDEX(Setup!$G$33:$G$40,MATCH(S1734,Setup!$B$33:$B$40,0)),0)=1)*(COUNTIF(S1708:U1725,$B1734)+COUNTIF(S1708:U1725,$B1734&amp;" ~*")&gt;0)+(IFERROR(INDEX(Setup!$G$33:$G$40,MATCH(W1734,Setup!$B$33:$B$40,0)),0)=1)*(COUNTIF(W1708:W1725,$B1734)+COUNTIF(W1708:W1725,$B1734&amp;" ~*")&gt;0)+(IFERROR(INDEX(Setup!$G$33:$G$40,MATCH(Y1734,Setup!$B$33:$B$40,0)),0)=1)*(COUNTIF(Y1708:Y1725,$B1734)+COUNTIF(Y1708:Y1725,$B1734&amp;" ~*")&gt;0))</f>
        <v/>
      </c>
    </row>
    <row r="1735" ht="15" customHeight="1">
      <c r="A1735" t="n">
        <v>35</v>
      </c>
      <c r="B1735" s="35">
        <f>IF(Setup!$B$14="","",Setup!$B$14)</f>
        <v/>
      </c>
      <c r="C1735" s="98" t="n"/>
      <c r="D1735" s="99" t="n"/>
      <c r="E1735" s="99" t="n"/>
      <c r="F1735" s="100" t="n"/>
      <c r="G1735" s="98" t="n"/>
      <c r="H1735" s="99" t="n"/>
      <c r="I1735" s="99" t="n"/>
      <c r="J1735" s="100" t="n"/>
      <c r="K1735" s="98" t="n"/>
      <c r="L1735" s="99" t="n"/>
      <c r="M1735" s="99" t="n"/>
      <c r="N1735" s="100" t="n"/>
      <c r="O1735" s="98" t="n"/>
      <c r="P1735" s="99" t="n"/>
      <c r="Q1735" s="99" t="n"/>
      <c r="R1735" s="100" t="n"/>
      <c r="S1735" s="98" t="n"/>
      <c r="T1735" s="99" t="n"/>
      <c r="U1735" s="99" t="n"/>
      <c r="V1735" s="100" t="n"/>
      <c r="W1735" s="98" t="n"/>
      <c r="X1735" s="100" t="n"/>
      <c r="Y1735" s="98" t="n"/>
      <c r="Z1735" s="100" t="n"/>
      <c r="AB1735" s="101">
        <f>IF($B1735="","",(COUNTIF(C1708:E1725,$B1735)+COUNTIF(C1708:E1725,$B1735&amp;" ~*")&gt;0)+(COUNTIF(G1708:I1725,$B1735)+COUNTIF(G1708:I1725,$B1735&amp;" ~*")&gt;0)+(COUNTIF(K1708:M1725,$B1735)+COUNTIF(K1708:M1725,$B1735&amp;" ~*")&gt;0)+(COUNTIF(O1708:Q1725,$B1735)+COUNTIF(O1708:Q1725,$B1735&amp;" ~*")&gt;0)+(COUNTIF(S1708:U1725,$B1735)+COUNTIF(S1708:U1725,$B1735&amp;" ~*")&gt;0)+(COUNTIF(W1708:W1725,$B1735)+COUNTIF(W1708:W1725,$B1735&amp;" ~*")&gt;0)+(COUNTIF(Y1708:Y1725,$B1735)+COUNTIF(Y1708:Y1725,$B1735&amp;" ~*")&gt;0))</f>
        <v/>
      </c>
      <c r="AC1735" s="36">
        <f>IF($B1735="","",(IFERROR(INDEX(Setup!$G$33:$G$40,MATCH(C1735,Setup!$B$33:$B$40,0)),0)=1)*(COUNTIF(C1708:E1725,$B1735)+COUNTIF(C1708:E1725,$B1735&amp;" ~*")&gt;0)+(IFERROR(INDEX(Setup!$G$33:$G$40,MATCH(G1735,Setup!$B$33:$B$40,0)),0)=1)*(COUNTIF(G1708:I1725,$B1735)+COUNTIF(G1708:I1725,$B1735&amp;" ~*")&gt;0)+(IFERROR(INDEX(Setup!$G$33:$G$40,MATCH(K1735,Setup!$B$33:$B$40,0)),0)=1)*(COUNTIF(K1708:M1725,$B1735)+COUNTIF(K1708:M1725,$B1735&amp;" ~*")&gt;0)+(IFERROR(INDEX(Setup!$G$33:$G$40,MATCH(O1735,Setup!$B$33:$B$40,0)),0)=1)*(COUNTIF(O1708:Q1725,$B1735)+COUNTIF(O1708:Q1725,$B1735&amp;" ~*")&gt;0)+(IFERROR(INDEX(Setup!$G$33:$G$40,MATCH(S1735,Setup!$B$33:$B$40,0)),0)=1)*(COUNTIF(S1708:U1725,$B1735)+COUNTIF(S1708:U1725,$B1735&amp;" ~*")&gt;0)+(IFERROR(INDEX(Setup!$G$33:$G$40,MATCH(W1735,Setup!$B$33:$B$40,0)),0)=1)*(COUNTIF(W1708:W1725,$B1735)+COUNTIF(W1708:W1725,$B1735&amp;" ~*")&gt;0)+(IFERROR(INDEX(Setup!$G$33:$G$40,MATCH(Y1735,Setup!$B$33:$B$40,0)),0)=1)*(COUNTIF(Y1708:Y1725,$B1735)+COUNTIF(Y1708:Y1725,$B1735&amp;" ~*")&gt;0))</f>
        <v/>
      </c>
    </row>
    <row r="1736" ht="15" customHeight="1">
      <c r="A1736" t="n">
        <v>35</v>
      </c>
      <c r="B1736" s="37">
        <f>IF(Setup!$B$15="","",Setup!$B$15)</f>
        <v/>
      </c>
      <c r="C1736" s="102" t="n"/>
      <c r="D1736" s="103" t="n"/>
      <c r="E1736" s="103" t="n"/>
      <c r="F1736" s="104" t="n"/>
      <c r="G1736" s="102" t="n"/>
      <c r="H1736" s="103" t="n"/>
      <c r="I1736" s="103" t="n"/>
      <c r="J1736" s="104" t="n"/>
      <c r="K1736" s="102" t="n"/>
      <c r="L1736" s="103" t="n"/>
      <c r="M1736" s="103" t="n"/>
      <c r="N1736" s="104" t="n"/>
      <c r="O1736" s="102" t="n"/>
      <c r="P1736" s="103" t="n"/>
      <c r="Q1736" s="103" t="n"/>
      <c r="R1736" s="104" t="n"/>
      <c r="S1736" s="102" t="n"/>
      <c r="T1736" s="103" t="n"/>
      <c r="U1736" s="103" t="n"/>
      <c r="V1736" s="104" t="n"/>
      <c r="W1736" s="102" t="n"/>
      <c r="X1736" s="104" t="n"/>
      <c r="Y1736" s="102" t="n"/>
      <c r="Z1736" s="104" t="n"/>
      <c r="AB1736" s="105">
        <f>IF($B1736="","",(COUNTIF(C1708:E1725,$B1736)+COUNTIF(C1708:E1725,$B1736&amp;" ~*")&gt;0)+(COUNTIF(G1708:I1725,$B1736)+COUNTIF(G1708:I1725,$B1736&amp;" ~*")&gt;0)+(COUNTIF(K1708:M1725,$B1736)+COUNTIF(K1708:M1725,$B1736&amp;" ~*")&gt;0)+(COUNTIF(O1708:Q1725,$B1736)+COUNTIF(O1708:Q1725,$B1736&amp;" ~*")&gt;0)+(COUNTIF(S1708:U1725,$B1736)+COUNTIF(S1708:U1725,$B1736&amp;" ~*")&gt;0)+(COUNTIF(W1708:W1725,$B1736)+COUNTIF(W1708:W1725,$B1736&amp;" ~*")&gt;0)+(COUNTIF(Y1708:Y1725,$B1736)+COUNTIF(Y1708:Y1725,$B1736&amp;" ~*")&gt;0))</f>
        <v/>
      </c>
      <c r="AC1736" s="38">
        <f>IF($B1736="","",(IFERROR(INDEX(Setup!$G$33:$G$40,MATCH(C1736,Setup!$B$33:$B$40,0)),0)=1)*(COUNTIF(C1708:E1725,$B1736)+COUNTIF(C1708:E1725,$B1736&amp;" ~*")&gt;0)+(IFERROR(INDEX(Setup!$G$33:$G$40,MATCH(G1736,Setup!$B$33:$B$40,0)),0)=1)*(COUNTIF(G1708:I1725,$B1736)+COUNTIF(G1708:I1725,$B1736&amp;" ~*")&gt;0)+(IFERROR(INDEX(Setup!$G$33:$G$40,MATCH(K1736,Setup!$B$33:$B$40,0)),0)=1)*(COUNTIF(K1708:M1725,$B1736)+COUNTIF(K1708:M1725,$B1736&amp;" ~*")&gt;0)+(IFERROR(INDEX(Setup!$G$33:$G$40,MATCH(O1736,Setup!$B$33:$B$40,0)),0)=1)*(COUNTIF(O1708:Q1725,$B1736)+COUNTIF(O1708:Q1725,$B1736&amp;" ~*")&gt;0)+(IFERROR(INDEX(Setup!$G$33:$G$40,MATCH(S1736,Setup!$B$33:$B$40,0)),0)=1)*(COUNTIF(S1708:U1725,$B1736)+COUNTIF(S1708:U1725,$B1736&amp;" ~*")&gt;0)+(IFERROR(INDEX(Setup!$G$33:$G$40,MATCH(W1736,Setup!$B$33:$B$40,0)),0)=1)*(COUNTIF(W1708:W1725,$B1736)+COUNTIF(W1708:W1725,$B1736&amp;" ~*")&gt;0)+(IFERROR(INDEX(Setup!$G$33:$G$40,MATCH(Y1736,Setup!$B$33:$B$40,0)),0)=1)*(COUNTIF(Y1708:Y1725,$B1736)+COUNTIF(Y1708:Y1725,$B1736&amp;" ~*")&gt;0))</f>
        <v/>
      </c>
    </row>
    <row r="1737" ht="15" customHeight="1">
      <c r="A1737" t="n">
        <v>35</v>
      </c>
      <c r="B1737" s="35">
        <f>IF(Setup!$B$16="","",Setup!$B$16)</f>
        <v/>
      </c>
      <c r="C1737" s="98" t="n"/>
      <c r="D1737" s="99" t="n"/>
      <c r="E1737" s="99" t="n"/>
      <c r="F1737" s="100" t="n"/>
      <c r="G1737" s="98" t="n"/>
      <c r="H1737" s="99" t="n"/>
      <c r="I1737" s="99" t="n"/>
      <c r="J1737" s="100" t="n"/>
      <c r="K1737" s="98" t="n"/>
      <c r="L1737" s="99" t="n"/>
      <c r="M1737" s="99" t="n"/>
      <c r="N1737" s="100" t="n"/>
      <c r="O1737" s="98" t="n"/>
      <c r="P1737" s="99" t="n"/>
      <c r="Q1737" s="99" t="n"/>
      <c r="R1737" s="100" t="n"/>
      <c r="S1737" s="98" t="n"/>
      <c r="T1737" s="99" t="n"/>
      <c r="U1737" s="99" t="n"/>
      <c r="V1737" s="100" t="n"/>
      <c r="W1737" s="98" t="n"/>
      <c r="X1737" s="100" t="n"/>
      <c r="Y1737" s="98" t="n"/>
      <c r="Z1737" s="100" t="n"/>
      <c r="AB1737" s="101">
        <f>IF($B1737="","",(COUNTIF(C1708:E1725,$B1737)+COUNTIF(C1708:E1725,$B1737&amp;" ~*")&gt;0)+(COUNTIF(G1708:I1725,$B1737)+COUNTIF(G1708:I1725,$B1737&amp;" ~*")&gt;0)+(COUNTIF(K1708:M1725,$B1737)+COUNTIF(K1708:M1725,$B1737&amp;" ~*")&gt;0)+(COUNTIF(O1708:Q1725,$B1737)+COUNTIF(O1708:Q1725,$B1737&amp;" ~*")&gt;0)+(COUNTIF(S1708:U1725,$B1737)+COUNTIF(S1708:U1725,$B1737&amp;" ~*")&gt;0)+(COUNTIF(W1708:W1725,$B1737)+COUNTIF(W1708:W1725,$B1737&amp;" ~*")&gt;0)+(COUNTIF(Y1708:Y1725,$B1737)+COUNTIF(Y1708:Y1725,$B1737&amp;" ~*")&gt;0))</f>
        <v/>
      </c>
      <c r="AC1737" s="36">
        <f>IF($B1737="","",(IFERROR(INDEX(Setup!$G$33:$G$40,MATCH(C1737,Setup!$B$33:$B$40,0)),0)=1)*(COUNTIF(C1708:E1725,$B1737)+COUNTIF(C1708:E1725,$B1737&amp;" ~*")&gt;0)+(IFERROR(INDEX(Setup!$G$33:$G$40,MATCH(G1737,Setup!$B$33:$B$40,0)),0)=1)*(COUNTIF(G1708:I1725,$B1737)+COUNTIF(G1708:I1725,$B1737&amp;" ~*")&gt;0)+(IFERROR(INDEX(Setup!$G$33:$G$40,MATCH(K1737,Setup!$B$33:$B$40,0)),0)=1)*(COUNTIF(K1708:M1725,$B1737)+COUNTIF(K1708:M1725,$B1737&amp;" ~*")&gt;0)+(IFERROR(INDEX(Setup!$G$33:$G$40,MATCH(O1737,Setup!$B$33:$B$40,0)),0)=1)*(COUNTIF(O1708:Q1725,$B1737)+COUNTIF(O1708:Q1725,$B1737&amp;" ~*")&gt;0)+(IFERROR(INDEX(Setup!$G$33:$G$40,MATCH(S1737,Setup!$B$33:$B$40,0)),0)=1)*(COUNTIF(S1708:U1725,$B1737)+COUNTIF(S1708:U1725,$B1737&amp;" ~*")&gt;0)+(IFERROR(INDEX(Setup!$G$33:$G$40,MATCH(W1737,Setup!$B$33:$B$40,0)),0)=1)*(COUNTIF(W1708:W1725,$B1737)+COUNTIF(W1708:W1725,$B1737&amp;" ~*")&gt;0)+(IFERROR(INDEX(Setup!$G$33:$G$40,MATCH(Y1737,Setup!$B$33:$B$40,0)),0)=1)*(COUNTIF(Y1708:Y1725,$B1737)+COUNTIF(Y1708:Y1725,$B1737&amp;" ~*")&gt;0))</f>
        <v/>
      </c>
    </row>
    <row r="1738" ht="15" customHeight="1">
      <c r="A1738" t="n">
        <v>35</v>
      </c>
      <c r="B1738" s="37">
        <f>IF(Setup!$B$17="","",Setup!$B$17)</f>
        <v/>
      </c>
      <c r="C1738" s="102" t="n"/>
      <c r="D1738" s="103" t="n"/>
      <c r="E1738" s="103" t="n"/>
      <c r="F1738" s="104" t="n"/>
      <c r="G1738" s="102" t="n"/>
      <c r="H1738" s="103" t="n"/>
      <c r="I1738" s="103" t="n"/>
      <c r="J1738" s="104" t="n"/>
      <c r="K1738" s="102" t="n"/>
      <c r="L1738" s="103" t="n"/>
      <c r="M1738" s="103" t="n"/>
      <c r="N1738" s="104" t="n"/>
      <c r="O1738" s="102" t="n"/>
      <c r="P1738" s="103" t="n"/>
      <c r="Q1738" s="103" t="n"/>
      <c r="R1738" s="104" t="n"/>
      <c r="S1738" s="102" t="n"/>
      <c r="T1738" s="103" t="n"/>
      <c r="U1738" s="103" t="n"/>
      <c r="V1738" s="104" t="n"/>
      <c r="W1738" s="102" t="n"/>
      <c r="X1738" s="104" t="n"/>
      <c r="Y1738" s="102" t="n"/>
      <c r="Z1738" s="104" t="n"/>
      <c r="AB1738" s="105">
        <f>IF($B1738="","",(COUNTIF(C1708:E1725,$B1738)+COUNTIF(C1708:E1725,$B1738&amp;" ~*")&gt;0)+(COUNTIF(G1708:I1725,$B1738)+COUNTIF(G1708:I1725,$B1738&amp;" ~*")&gt;0)+(COUNTIF(K1708:M1725,$B1738)+COUNTIF(K1708:M1725,$B1738&amp;" ~*")&gt;0)+(COUNTIF(O1708:Q1725,$B1738)+COUNTIF(O1708:Q1725,$B1738&amp;" ~*")&gt;0)+(COUNTIF(S1708:U1725,$B1738)+COUNTIF(S1708:U1725,$B1738&amp;" ~*")&gt;0)+(COUNTIF(W1708:W1725,$B1738)+COUNTIF(W1708:W1725,$B1738&amp;" ~*")&gt;0)+(COUNTIF(Y1708:Y1725,$B1738)+COUNTIF(Y1708:Y1725,$B1738&amp;" ~*")&gt;0))</f>
        <v/>
      </c>
      <c r="AC1738" s="38">
        <f>IF($B1738="","",(IFERROR(INDEX(Setup!$G$33:$G$40,MATCH(C1738,Setup!$B$33:$B$40,0)),0)=1)*(COUNTIF(C1708:E1725,$B1738)+COUNTIF(C1708:E1725,$B1738&amp;" ~*")&gt;0)+(IFERROR(INDEX(Setup!$G$33:$G$40,MATCH(G1738,Setup!$B$33:$B$40,0)),0)=1)*(COUNTIF(G1708:I1725,$B1738)+COUNTIF(G1708:I1725,$B1738&amp;" ~*")&gt;0)+(IFERROR(INDEX(Setup!$G$33:$G$40,MATCH(K1738,Setup!$B$33:$B$40,0)),0)=1)*(COUNTIF(K1708:M1725,$B1738)+COUNTIF(K1708:M1725,$B1738&amp;" ~*")&gt;0)+(IFERROR(INDEX(Setup!$G$33:$G$40,MATCH(O1738,Setup!$B$33:$B$40,0)),0)=1)*(COUNTIF(O1708:Q1725,$B1738)+COUNTIF(O1708:Q1725,$B1738&amp;" ~*")&gt;0)+(IFERROR(INDEX(Setup!$G$33:$G$40,MATCH(S1738,Setup!$B$33:$B$40,0)),0)=1)*(COUNTIF(S1708:U1725,$B1738)+COUNTIF(S1708:U1725,$B1738&amp;" ~*")&gt;0)+(IFERROR(INDEX(Setup!$G$33:$G$40,MATCH(W1738,Setup!$B$33:$B$40,0)),0)=1)*(COUNTIF(W1708:W1725,$B1738)+COUNTIF(W1708:W1725,$B1738&amp;" ~*")&gt;0)+(IFERROR(INDEX(Setup!$G$33:$G$40,MATCH(Y1738,Setup!$B$33:$B$40,0)),0)=1)*(COUNTIF(Y1708:Y1725,$B1738)+COUNTIF(Y1708:Y1725,$B1738&amp;" ~*")&gt;0))</f>
        <v/>
      </c>
    </row>
    <row r="1739" ht="15" customHeight="1">
      <c r="A1739" t="n">
        <v>35</v>
      </c>
      <c r="B1739" s="35">
        <f>IF(Setup!$B$18="","",Setup!$B$18)</f>
        <v/>
      </c>
      <c r="C1739" s="98" t="n"/>
      <c r="D1739" s="99" t="n"/>
      <c r="E1739" s="99" t="n"/>
      <c r="F1739" s="100" t="n"/>
      <c r="G1739" s="98" t="n"/>
      <c r="H1739" s="99" t="n"/>
      <c r="I1739" s="99" t="n"/>
      <c r="J1739" s="100" t="n"/>
      <c r="K1739" s="98" t="n"/>
      <c r="L1739" s="99" t="n"/>
      <c r="M1739" s="99" t="n"/>
      <c r="N1739" s="100" t="n"/>
      <c r="O1739" s="98" t="n"/>
      <c r="P1739" s="99" t="n"/>
      <c r="Q1739" s="99" t="n"/>
      <c r="R1739" s="100" t="n"/>
      <c r="S1739" s="98" t="n"/>
      <c r="T1739" s="99" t="n"/>
      <c r="U1739" s="99" t="n"/>
      <c r="V1739" s="100" t="n"/>
      <c r="W1739" s="98" t="n"/>
      <c r="X1739" s="100" t="n"/>
      <c r="Y1739" s="98" t="n"/>
      <c r="Z1739" s="100" t="n"/>
      <c r="AB1739" s="101">
        <f>IF($B1739="","",(COUNTIF(C1708:E1725,$B1739)+COUNTIF(C1708:E1725,$B1739&amp;" ~*")&gt;0)+(COUNTIF(G1708:I1725,$B1739)+COUNTIF(G1708:I1725,$B1739&amp;" ~*")&gt;0)+(COUNTIF(K1708:M1725,$B1739)+COUNTIF(K1708:M1725,$B1739&amp;" ~*")&gt;0)+(COUNTIF(O1708:Q1725,$B1739)+COUNTIF(O1708:Q1725,$B1739&amp;" ~*")&gt;0)+(COUNTIF(S1708:U1725,$B1739)+COUNTIF(S1708:U1725,$B1739&amp;" ~*")&gt;0)+(COUNTIF(W1708:W1725,$B1739)+COUNTIF(W1708:W1725,$B1739&amp;" ~*")&gt;0)+(COUNTIF(Y1708:Y1725,$B1739)+COUNTIF(Y1708:Y1725,$B1739&amp;" ~*")&gt;0))</f>
        <v/>
      </c>
      <c r="AC1739" s="36">
        <f>IF($B1739="","",(IFERROR(INDEX(Setup!$G$33:$G$40,MATCH(C1739,Setup!$B$33:$B$40,0)),0)=1)*(COUNTIF(C1708:E1725,$B1739)+COUNTIF(C1708:E1725,$B1739&amp;" ~*")&gt;0)+(IFERROR(INDEX(Setup!$G$33:$G$40,MATCH(G1739,Setup!$B$33:$B$40,0)),0)=1)*(COUNTIF(G1708:I1725,$B1739)+COUNTIF(G1708:I1725,$B1739&amp;" ~*")&gt;0)+(IFERROR(INDEX(Setup!$G$33:$G$40,MATCH(K1739,Setup!$B$33:$B$40,0)),0)=1)*(COUNTIF(K1708:M1725,$B1739)+COUNTIF(K1708:M1725,$B1739&amp;" ~*")&gt;0)+(IFERROR(INDEX(Setup!$G$33:$G$40,MATCH(O1739,Setup!$B$33:$B$40,0)),0)=1)*(COUNTIF(O1708:Q1725,$B1739)+COUNTIF(O1708:Q1725,$B1739&amp;" ~*")&gt;0)+(IFERROR(INDEX(Setup!$G$33:$G$40,MATCH(S1739,Setup!$B$33:$B$40,0)),0)=1)*(COUNTIF(S1708:U1725,$B1739)+COUNTIF(S1708:U1725,$B1739&amp;" ~*")&gt;0)+(IFERROR(INDEX(Setup!$G$33:$G$40,MATCH(W1739,Setup!$B$33:$B$40,0)),0)=1)*(COUNTIF(W1708:W1725,$B1739)+COUNTIF(W1708:W1725,$B1739&amp;" ~*")&gt;0)+(IFERROR(INDEX(Setup!$G$33:$G$40,MATCH(Y1739,Setup!$B$33:$B$40,0)),0)=1)*(COUNTIF(Y1708:Y1725,$B1739)+COUNTIF(Y1708:Y1725,$B1739&amp;" ~*")&gt;0))</f>
        <v/>
      </c>
    </row>
    <row r="1740" ht="15" customHeight="1">
      <c r="A1740" t="n">
        <v>35</v>
      </c>
      <c r="B1740" s="37">
        <f>IF(Setup!$B$19="","",Setup!$B$19)</f>
        <v/>
      </c>
      <c r="C1740" s="102" t="n"/>
      <c r="D1740" s="103" t="n"/>
      <c r="E1740" s="103" t="n"/>
      <c r="F1740" s="104" t="n"/>
      <c r="G1740" s="102" t="n"/>
      <c r="H1740" s="103" t="n"/>
      <c r="I1740" s="103" t="n"/>
      <c r="J1740" s="104" t="n"/>
      <c r="K1740" s="102" t="n"/>
      <c r="L1740" s="103" t="n"/>
      <c r="M1740" s="103" t="n"/>
      <c r="N1740" s="104" t="n"/>
      <c r="O1740" s="102" t="n"/>
      <c r="P1740" s="103" t="n"/>
      <c r="Q1740" s="103" t="n"/>
      <c r="R1740" s="104" t="n"/>
      <c r="S1740" s="102" t="n"/>
      <c r="T1740" s="103" t="n"/>
      <c r="U1740" s="103" t="n"/>
      <c r="V1740" s="104" t="n"/>
      <c r="W1740" s="102" t="n"/>
      <c r="X1740" s="104" t="n"/>
      <c r="Y1740" s="102" t="n"/>
      <c r="Z1740" s="104" t="n"/>
      <c r="AB1740" s="105">
        <f>IF($B1740="","",(COUNTIF(C1708:E1725,$B1740)+COUNTIF(C1708:E1725,$B1740&amp;" ~*")&gt;0)+(COUNTIF(G1708:I1725,$B1740)+COUNTIF(G1708:I1725,$B1740&amp;" ~*")&gt;0)+(COUNTIF(K1708:M1725,$B1740)+COUNTIF(K1708:M1725,$B1740&amp;" ~*")&gt;0)+(COUNTIF(O1708:Q1725,$B1740)+COUNTIF(O1708:Q1725,$B1740&amp;" ~*")&gt;0)+(COUNTIF(S1708:U1725,$B1740)+COUNTIF(S1708:U1725,$B1740&amp;" ~*")&gt;0)+(COUNTIF(W1708:W1725,$B1740)+COUNTIF(W1708:W1725,$B1740&amp;" ~*")&gt;0)+(COUNTIF(Y1708:Y1725,$B1740)+COUNTIF(Y1708:Y1725,$B1740&amp;" ~*")&gt;0))</f>
        <v/>
      </c>
      <c r="AC1740" s="38">
        <f>IF($B1740="","",(IFERROR(INDEX(Setup!$G$33:$G$40,MATCH(C1740,Setup!$B$33:$B$40,0)),0)=1)*(COUNTIF(C1708:E1725,$B1740)+COUNTIF(C1708:E1725,$B1740&amp;" ~*")&gt;0)+(IFERROR(INDEX(Setup!$G$33:$G$40,MATCH(G1740,Setup!$B$33:$B$40,0)),0)=1)*(COUNTIF(G1708:I1725,$B1740)+COUNTIF(G1708:I1725,$B1740&amp;" ~*")&gt;0)+(IFERROR(INDEX(Setup!$G$33:$G$40,MATCH(K1740,Setup!$B$33:$B$40,0)),0)=1)*(COUNTIF(K1708:M1725,$B1740)+COUNTIF(K1708:M1725,$B1740&amp;" ~*")&gt;0)+(IFERROR(INDEX(Setup!$G$33:$G$40,MATCH(O1740,Setup!$B$33:$B$40,0)),0)=1)*(COUNTIF(O1708:Q1725,$B1740)+COUNTIF(O1708:Q1725,$B1740&amp;" ~*")&gt;0)+(IFERROR(INDEX(Setup!$G$33:$G$40,MATCH(S1740,Setup!$B$33:$B$40,0)),0)=1)*(COUNTIF(S1708:U1725,$B1740)+COUNTIF(S1708:U1725,$B1740&amp;" ~*")&gt;0)+(IFERROR(INDEX(Setup!$G$33:$G$40,MATCH(W1740,Setup!$B$33:$B$40,0)),0)=1)*(COUNTIF(W1708:W1725,$B1740)+COUNTIF(W1708:W1725,$B1740&amp;" ~*")&gt;0)+(IFERROR(INDEX(Setup!$G$33:$G$40,MATCH(Y1740,Setup!$B$33:$B$40,0)),0)=1)*(COUNTIF(Y1708:Y1725,$B1740)+COUNTIF(Y1708:Y1725,$B1740&amp;" ~*")&gt;0))</f>
        <v/>
      </c>
    </row>
    <row r="1741" ht="15" customHeight="1">
      <c r="A1741" t="n">
        <v>35</v>
      </c>
      <c r="B1741" s="35">
        <f>IF(Setup!$B$20="","",Setup!$B$20)</f>
        <v/>
      </c>
      <c r="C1741" s="98" t="n"/>
      <c r="D1741" s="99" t="n"/>
      <c r="E1741" s="99" t="n"/>
      <c r="F1741" s="100" t="n"/>
      <c r="G1741" s="98" t="n"/>
      <c r="H1741" s="99" t="n"/>
      <c r="I1741" s="99" t="n"/>
      <c r="J1741" s="100" t="n"/>
      <c r="K1741" s="98" t="n"/>
      <c r="L1741" s="99" t="n"/>
      <c r="M1741" s="99" t="n"/>
      <c r="N1741" s="100" t="n"/>
      <c r="O1741" s="98" t="n"/>
      <c r="P1741" s="99" t="n"/>
      <c r="Q1741" s="99" t="n"/>
      <c r="R1741" s="100" t="n"/>
      <c r="S1741" s="98" t="n"/>
      <c r="T1741" s="99" t="n"/>
      <c r="U1741" s="99" t="n"/>
      <c r="V1741" s="100" t="n"/>
      <c r="W1741" s="98" t="n"/>
      <c r="X1741" s="100" t="n"/>
      <c r="Y1741" s="98" t="n"/>
      <c r="Z1741" s="100" t="n"/>
      <c r="AB1741" s="101">
        <f>IF($B1741="","",(COUNTIF(C1708:E1725,$B1741)+COUNTIF(C1708:E1725,$B1741&amp;" ~*")&gt;0)+(COUNTIF(G1708:I1725,$B1741)+COUNTIF(G1708:I1725,$B1741&amp;" ~*")&gt;0)+(COUNTIF(K1708:M1725,$B1741)+COUNTIF(K1708:M1725,$B1741&amp;" ~*")&gt;0)+(COUNTIF(O1708:Q1725,$B1741)+COUNTIF(O1708:Q1725,$B1741&amp;" ~*")&gt;0)+(COUNTIF(S1708:U1725,$B1741)+COUNTIF(S1708:U1725,$B1741&amp;" ~*")&gt;0)+(COUNTIF(W1708:W1725,$B1741)+COUNTIF(W1708:W1725,$B1741&amp;" ~*")&gt;0)+(COUNTIF(Y1708:Y1725,$B1741)+COUNTIF(Y1708:Y1725,$B1741&amp;" ~*")&gt;0))</f>
        <v/>
      </c>
      <c r="AC1741" s="36">
        <f>IF($B1741="","",(IFERROR(INDEX(Setup!$G$33:$G$40,MATCH(C1741,Setup!$B$33:$B$40,0)),0)=1)*(COUNTIF(C1708:E1725,$B1741)+COUNTIF(C1708:E1725,$B1741&amp;" ~*")&gt;0)+(IFERROR(INDEX(Setup!$G$33:$G$40,MATCH(G1741,Setup!$B$33:$B$40,0)),0)=1)*(COUNTIF(G1708:I1725,$B1741)+COUNTIF(G1708:I1725,$B1741&amp;" ~*")&gt;0)+(IFERROR(INDEX(Setup!$G$33:$G$40,MATCH(K1741,Setup!$B$33:$B$40,0)),0)=1)*(COUNTIF(K1708:M1725,$B1741)+COUNTIF(K1708:M1725,$B1741&amp;" ~*")&gt;0)+(IFERROR(INDEX(Setup!$G$33:$G$40,MATCH(O1741,Setup!$B$33:$B$40,0)),0)=1)*(COUNTIF(O1708:Q1725,$B1741)+COUNTIF(O1708:Q1725,$B1741&amp;" ~*")&gt;0)+(IFERROR(INDEX(Setup!$G$33:$G$40,MATCH(S1741,Setup!$B$33:$B$40,0)),0)=1)*(COUNTIF(S1708:U1725,$B1741)+COUNTIF(S1708:U1725,$B1741&amp;" ~*")&gt;0)+(IFERROR(INDEX(Setup!$G$33:$G$40,MATCH(W1741,Setup!$B$33:$B$40,0)),0)=1)*(COUNTIF(W1708:W1725,$B1741)+COUNTIF(W1708:W1725,$B1741&amp;" ~*")&gt;0)+(IFERROR(INDEX(Setup!$G$33:$G$40,MATCH(Y1741,Setup!$B$33:$B$40,0)),0)=1)*(COUNTIF(Y1708:Y1725,$B1741)+COUNTIF(Y1708:Y1725,$B1741&amp;" ~*")&gt;0))</f>
        <v/>
      </c>
    </row>
    <row r="1742" ht="15" customHeight="1">
      <c r="A1742" t="n">
        <v>35</v>
      </c>
      <c r="B1742" s="37">
        <f>IF(Setup!$B$21="","",Setup!$B$21)</f>
        <v/>
      </c>
      <c r="C1742" s="102" t="n"/>
      <c r="D1742" s="103" t="n"/>
      <c r="E1742" s="103" t="n"/>
      <c r="F1742" s="104" t="n"/>
      <c r="G1742" s="102" t="n"/>
      <c r="H1742" s="103" t="n"/>
      <c r="I1742" s="103" t="n"/>
      <c r="J1742" s="104" t="n"/>
      <c r="K1742" s="102" t="n"/>
      <c r="L1742" s="103" t="n"/>
      <c r="M1742" s="103" t="n"/>
      <c r="N1742" s="104" t="n"/>
      <c r="O1742" s="102" t="n"/>
      <c r="P1742" s="103" t="n"/>
      <c r="Q1742" s="103" t="n"/>
      <c r="R1742" s="104" t="n"/>
      <c r="S1742" s="102" t="n"/>
      <c r="T1742" s="103" t="n"/>
      <c r="U1742" s="103" t="n"/>
      <c r="V1742" s="104" t="n"/>
      <c r="W1742" s="102" t="n"/>
      <c r="X1742" s="104" t="n"/>
      <c r="Y1742" s="102" t="n"/>
      <c r="Z1742" s="104" t="n"/>
      <c r="AB1742" s="105">
        <f>IF($B1742="","",(COUNTIF(C1708:E1725,$B1742)+COUNTIF(C1708:E1725,$B1742&amp;" ~*")&gt;0)+(COUNTIF(G1708:I1725,$B1742)+COUNTIF(G1708:I1725,$B1742&amp;" ~*")&gt;0)+(COUNTIF(K1708:M1725,$B1742)+COUNTIF(K1708:M1725,$B1742&amp;" ~*")&gt;0)+(COUNTIF(O1708:Q1725,$B1742)+COUNTIF(O1708:Q1725,$B1742&amp;" ~*")&gt;0)+(COUNTIF(S1708:U1725,$B1742)+COUNTIF(S1708:U1725,$B1742&amp;" ~*")&gt;0)+(COUNTIF(W1708:W1725,$B1742)+COUNTIF(W1708:W1725,$B1742&amp;" ~*")&gt;0)+(COUNTIF(Y1708:Y1725,$B1742)+COUNTIF(Y1708:Y1725,$B1742&amp;" ~*")&gt;0))</f>
        <v/>
      </c>
      <c r="AC1742" s="38">
        <f>IF($B1742="","",(IFERROR(INDEX(Setup!$G$33:$G$40,MATCH(C1742,Setup!$B$33:$B$40,0)),0)=1)*(COUNTIF(C1708:E1725,$B1742)+COUNTIF(C1708:E1725,$B1742&amp;" ~*")&gt;0)+(IFERROR(INDEX(Setup!$G$33:$G$40,MATCH(G1742,Setup!$B$33:$B$40,0)),0)=1)*(COUNTIF(G1708:I1725,$B1742)+COUNTIF(G1708:I1725,$B1742&amp;" ~*")&gt;0)+(IFERROR(INDEX(Setup!$G$33:$G$40,MATCH(K1742,Setup!$B$33:$B$40,0)),0)=1)*(COUNTIF(K1708:M1725,$B1742)+COUNTIF(K1708:M1725,$B1742&amp;" ~*")&gt;0)+(IFERROR(INDEX(Setup!$G$33:$G$40,MATCH(O1742,Setup!$B$33:$B$40,0)),0)=1)*(COUNTIF(O1708:Q1725,$B1742)+COUNTIF(O1708:Q1725,$B1742&amp;" ~*")&gt;0)+(IFERROR(INDEX(Setup!$G$33:$G$40,MATCH(S1742,Setup!$B$33:$B$40,0)),0)=1)*(COUNTIF(S1708:U1725,$B1742)+COUNTIF(S1708:U1725,$B1742&amp;" ~*")&gt;0)+(IFERROR(INDEX(Setup!$G$33:$G$40,MATCH(W1742,Setup!$B$33:$B$40,0)),0)=1)*(COUNTIF(W1708:W1725,$B1742)+COUNTIF(W1708:W1725,$B1742&amp;" ~*")&gt;0)+(IFERROR(INDEX(Setup!$G$33:$G$40,MATCH(Y1742,Setup!$B$33:$B$40,0)),0)=1)*(COUNTIF(Y1708:Y1725,$B1742)+COUNTIF(Y1708:Y1725,$B1742&amp;" ~*")&gt;0))</f>
        <v/>
      </c>
    </row>
    <row r="1743" ht="15" customHeight="1">
      <c r="A1743" t="n">
        <v>35</v>
      </c>
      <c r="B1743" s="35">
        <f>IF(Setup!$B$22="","",Setup!$B$22)</f>
        <v/>
      </c>
      <c r="C1743" s="98" t="n"/>
      <c r="D1743" s="99" t="n"/>
      <c r="E1743" s="99" t="n"/>
      <c r="F1743" s="100" t="n"/>
      <c r="G1743" s="98" t="n"/>
      <c r="H1743" s="99" t="n"/>
      <c r="I1743" s="99" t="n"/>
      <c r="J1743" s="100" t="n"/>
      <c r="K1743" s="98" t="n"/>
      <c r="L1743" s="99" t="n"/>
      <c r="M1743" s="99" t="n"/>
      <c r="N1743" s="100" t="n"/>
      <c r="O1743" s="98" t="n"/>
      <c r="P1743" s="99" t="n"/>
      <c r="Q1743" s="99" t="n"/>
      <c r="R1743" s="100" t="n"/>
      <c r="S1743" s="98" t="n"/>
      <c r="T1743" s="99" t="n"/>
      <c r="U1743" s="99" t="n"/>
      <c r="V1743" s="100" t="n"/>
      <c r="W1743" s="98" t="n"/>
      <c r="X1743" s="100" t="n"/>
      <c r="Y1743" s="98" t="n"/>
      <c r="Z1743" s="100" t="n"/>
      <c r="AB1743" s="101">
        <f>IF($B1743="","",(COUNTIF(C1708:E1725,$B1743)+COUNTIF(C1708:E1725,$B1743&amp;" ~*")&gt;0)+(COUNTIF(G1708:I1725,$B1743)+COUNTIF(G1708:I1725,$B1743&amp;" ~*")&gt;0)+(COUNTIF(K1708:M1725,$B1743)+COUNTIF(K1708:M1725,$B1743&amp;" ~*")&gt;0)+(COUNTIF(O1708:Q1725,$B1743)+COUNTIF(O1708:Q1725,$B1743&amp;" ~*")&gt;0)+(COUNTIF(S1708:U1725,$B1743)+COUNTIF(S1708:U1725,$B1743&amp;" ~*")&gt;0)+(COUNTIF(W1708:W1725,$B1743)+COUNTIF(W1708:W1725,$B1743&amp;" ~*")&gt;0)+(COUNTIF(Y1708:Y1725,$B1743)+COUNTIF(Y1708:Y1725,$B1743&amp;" ~*")&gt;0))</f>
        <v/>
      </c>
      <c r="AC1743" s="36">
        <f>IF($B1743="","",(IFERROR(INDEX(Setup!$G$33:$G$40,MATCH(C1743,Setup!$B$33:$B$40,0)),0)=1)*(COUNTIF(C1708:E1725,$B1743)+COUNTIF(C1708:E1725,$B1743&amp;" ~*")&gt;0)+(IFERROR(INDEX(Setup!$G$33:$G$40,MATCH(G1743,Setup!$B$33:$B$40,0)),0)=1)*(COUNTIF(G1708:I1725,$B1743)+COUNTIF(G1708:I1725,$B1743&amp;" ~*")&gt;0)+(IFERROR(INDEX(Setup!$G$33:$G$40,MATCH(K1743,Setup!$B$33:$B$40,0)),0)=1)*(COUNTIF(K1708:M1725,$B1743)+COUNTIF(K1708:M1725,$B1743&amp;" ~*")&gt;0)+(IFERROR(INDEX(Setup!$G$33:$G$40,MATCH(O1743,Setup!$B$33:$B$40,0)),0)=1)*(COUNTIF(O1708:Q1725,$B1743)+COUNTIF(O1708:Q1725,$B1743&amp;" ~*")&gt;0)+(IFERROR(INDEX(Setup!$G$33:$G$40,MATCH(S1743,Setup!$B$33:$B$40,0)),0)=1)*(COUNTIF(S1708:U1725,$B1743)+COUNTIF(S1708:U1725,$B1743&amp;" ~*")&gt;0)+(IFERROR(INDEX(Setup!$G$33:$G$40,MATCH(W1743,Setup!$B$33:$B$40,0)),0)=1)*(COUNTIF(W1708:W1725,$B1743)+COUNTIF(W1708:W1725,$B1743&amp;" ~*")&gt;0)+(IFERROR(INDEX(Setup!$G$33:$G$40,MATCH(Y1743,Setup!$B$33:$B$40,0)),0)=1)*(COUNTIF(Y1708:Y1725,$B1743)+COUNTIF(Y1708:Y1725,$B1743&amp;" ~*")&gt;0))</f>
        <v/>
      </c>
    </row>
    <row r="1744" ht="15" customHeight="1">
      <c r="A1744" t="n">
        <v>35</v>
      </c>
      <c r="B1744" s="37">
        <f>IF(Setup!$B$23="","",Setup!$B$23)</f>
        <v/>
      </c>
      <c r="C1744" s="102" t="n"/>
      <c r="D1744" s="103" t="n"/>
      <c r="E1744" s="103" t="n"/>
      <c r="F1744" s="104" t="n"/>
      <c r="G1744" s="102" t="n"/>
      <c r="H1744" s="103" t="n"/>
      <c r="I1744" s="103" t="n"/>
      <c r="J1744" s="104" t="n"/>
      <c r="K1744" s="102" t="n"/>
      <c r="L1744" s="103" t="n"/>
      <c r="M1744" s="103" t="n"/>
      <c r="N1744" s="104" t="n"/>
      <c r="O1744" s="102" t="n"/>
      <c r="P1744" s="103" t="n"/>
      <c r="Q1744" s="103" t="n"/>
      <c r="R1744" s="104" t="n"/>
      <c r="S1744" s="102" t="n"/>
      <c r="T1744" s="103" t="n"/>
      <c r="U1744" s="103" t="n"/>
      <c r="V1744" s="104" t="n"/>
      <c r="W1744" s="102" t="n"/>
      <c r="X1744" s="104" t="n"/>
      <c r="Y1744" s="102" t="n"/>
      <c r="Z1744" s="104" t="n"/>
      <c r="AB1744" s="105">
        <f>IF($B1744="","",(COUNTIF(C1708:E1725,$B1744)+COUNTIF(C1708:E1725,$B1744&amp;" ~*")&gt;0)+(COUNTIF(G1708:I1725,$B1744)+COUNTIF(G1708:I1725,$B1744&amp;" ~*")&gt;0)+(COUNTIF(K1708:M1725,$B1744)+COUNTIF(K1708:M1725,$B1744&amp;" ~*")&gt;0)+(COUNTIF(O1708:Q1725,$B1744)+COUNTIF(O1708:Q1725,$B1744&amp;" ~*")&gt;0)+(COUNTIF(S1708:U1725,$B1744)+COUNTIF(S1708:U1725,$B1744&amp;" ~*")&gt;0)+(COUNTIF(W1708:W1725,$B1744)+COUNTIF(W1708:W1725,$B1744&amp;" ~*")&gt;0)+(COUNTIF(Y1708:Y1725,$B1744)+COUNTIF(Y1708:Y1725,$B1744&amp;" ~*")&gt;0))</f>
        <v/>
      </c>
      <c r="AC1744" s="38">
        <f>IF($B1744="","",(IFERROR(INDEX(Setup!$G$33:$G$40,MATCH(C1744,Setup!$B$33:$B$40,0)),0)=1)*(COUNTIF(C1708:E1725,$B1744)+COUNTIF(C1708:E1725,$B1744&amp;" ~*")&gt;0)+(IFERROR(INDEX(Setup!$G$33:$G$40,MATCH(G1744,Setup!$B$33:$B$40,0)),0)=1)*(COUNTIF(G1708:I1725,$B1744)+COUNTIF(G1708:I1725,$B1744&amp;" ~*")&gt;0)+(IFERROR(INDEX(Setup!$G$33:$G$40,MATCH(K1744,Setup!$B$33:$B$40,0)),0)=1)*(COUNTIF(K1708:M1725,$B1744)+COUNTIF(K1708:M1725,$B1744&amp;" ~*")&gt;0)+(IFERROR(INDEX(Setup!$G$33:$G$40,MATCH(O1744,Setup!$B$33:$B$40,0)),0)=1)*(COUNTIF(O1708:Q1725,$B1744)+COUNTIF(O1708:Q1725,$B1744&amp;" ~*")&gt;0)+(IFERROR(INDEX(Setup!$G$33:$G$40,MATCH(S1744,Setup!$B$33:$B$40,0)),0)=1)*(COUNTIF(S1708:U1725,$B1744)+COUNTIF(S1708:U1725,$B1744&amp;" ~*")&gt;0)+(IFERROR(INDEX(Setup!$G$33:$G$40,MATCH(W1744,Setup!$B$33:$B$40,0)),0)=1)*(COUNTIF(W1708:W1725,$B1744)+COUNTIF(W1708:W1725,$B1744&amp;" ~*")&gt;0)+(IFERROR(INDEX(Setup!$G$33:$G$40,MATCH(Y1744,Setup!$B$33:$B$40,0)),0)=1)*(COUNTIF(Y1708:Y1725,$B1744)+COUNTIF(Y1708:Y1725,$B1744&amp;" ~*")&gt;0))</f>
        <v/>
      </c>
    </row>
    <row r="1745" ht="15" customHeight="1">
      <c r="A1745" t="n">
        <v>35</v>
      </c>
      <c r="B1745" s="35">
        <f>IF(Setup!$B$24="","",Setup!$B$24)</f>
        <v/>
      </c>
      <c r="C1745" s="98" t="n"/>
      <c r="D1745" s="99" t="n"/>
      <c r="E1745" s="99" t="n"/>
      <c r="F1745" s="100" t="n"/>
      <c r="G1745" s="98" t="n"/>
      <c r="H1745" s="99" t="n"/>
      <c r="I1745" s="99" t="n"/>
      <c r="J1745" s="100" t="n"/>
      <c r="K1745" s="98" t="n"/>
      <c r="L1745" s="99" t="n"/>
      <c r="M1745" s="99" t="n"/>
      <c r="N1745" s="100" t="n"/>
      <c r="O1745" s="98" t="n"/>
      <c r="P1745" s="99" t="n"/>
      <c r="Q1745" s="99" t="n"/>
      <c r="R1745" s="100" t="n"/>
      <c r="S1745" s="98" t="n"/>
      <c r="T1745" s="99" t="n"/>
      <c r="U1745" s="99" t="n"/>
      <c r="V1745" s="100" t="n"/>
      <c r="W1745" s="98" t="n"/>
      <c r="X1745" s="100" t="n"/>
      <c r="Y1745" s="98" t="n"/>
      <c r="Z1745" s="100" t="n"/>
      <c r="AB1745" s="101">
        <f>IF($B1745="","",(COUNTIF(C1708:E1725,$B1745)+COUNTIF(C1708:E1725,$B1745&amp;" ~*")&gt;0)+(COUNTIF(G1708:I1725,$B1745)+COUNTIF(G1708:I1725,$B1745&amp;" ~*")&gt;0)+(COUNTIF(K1708:M1725,$B1745)+COUNTIF(K1708:M1725,$B1745&amp;" ~*")&gt;0)+(COUNTIF(O1708:Q1725,$B1745)+COUNTIF(O1708:Q1725,$B1745&amp;" ~*")&gt;0)+(COUNTIF(S1708:U1725,$B1745)+COUNTIF(S1708:U1725,$B1745&amp;" ~*")&gt;0)+(COUNTIF(W1708:W1725,$B1745)+COUNTIF(W1708:W1725,$B1745&amp;" ~*")&gt;0)+(COUNTIF(Y1708:Y1725,$B1745)+COUNTIF(Y1708:Y1725,$B1745&amp;" ~*")&gt;0))</f>
        <v/>
      </c>
      <c r="AC1745" s="36">
        <f>IF($B1745="","",(IFERROR(INDEX(Setup!$G$33:$G$40,MATCH(C1745,Setup!$B$33:$B$40,0)),0)=1)*(COUNTIF(C1708:E1725,$B1745)+COUNTIF(C1708:E1725,$B1745&amp;" ~*")&gt;0)+(IFERROR(INDEX(Setup!$G$33:$G$40,MATCH(G1745,Setup!$B$33:$B$40,0)),0)=1)*(COUNTIF(G1708:I1725,$B1745)+COUNTIF(G1708:I1725,$B1745&amp;" ~*")&gt;0)+(IFERROR(INDEX(Setup!$G$33:$G$40,MATCH(K1745,Setup!$B$33:$B$40,0)),0)=1)*(COUNTIF(K1708:M1725,$B1745)+COUNTIF(K1708:M1725,$B1745&amp;" ~*")&gt;0)+(IFERROR(INDEX(Setup!$G$33:$G$40,MATCH(O1745,Setup!$B$33:$B$40,0)),0)=1)*(COUNTIF(O1708:Q1725,$B1745)+COUNTIF(O1708:Q1725,$B1745&amp;" ~*")&gt;0)+(IFERROR(INDEX(Setup!$G$33:$G$40,MATCH(S1745,Setup!$B$33:$B$40,0)),0)=1)*(COUNTIF(S1708:U1725,$B1745)+COUNTIF(S1708:U1725,$B1745&amp;" ~*")&gt;0)+(IFERROR(INDEX(Setup!$G$33:$G$40,MATCH(W1745,Setup!$B$33:$B$40,0)),0)=1)*(COUNTIF(W1708:W1725,$B1745)+COUNTIF(W1708:W1725,$B1745&amp;" ~*")&gt;0)+(IFERROR(INDEX(Setup!$G$33:$G$40,MATCH(Y1745,Setup!$B$33:$B$40,0)),0)=1)*(COUNTIF(Y1708:Y1725,$B1745)+COUNTIF(Y1708:Y1725,$B1745&amp;" ~*")&gt;0))</f>
        <v/>
      </c>
    </row>
    <row r="1746" ht="15" customHeight="1">
      <c r="A1746" t="n">
        <v>35</v>
      </c>
      <c r="B1746" s="37">
        <f>IF(Setup!$B$25="","",Setup!$B$25)</f>
        <v/>
      </c>
      <c r="C1746" s="102" t="n"/>
      <c r="D1746" s="103" t="n"/>
      <c r="E1746" s="103" t="n"/>
      <c r="F1746" s="104" t="n"/>
      <c r="G1746" s="102" t="n"/>
      <c r="H1746" s="103" t="n"/>
      <c r="I1746" s="103" t="n"/>
      <c r="J1746" s="104" t="n"/>
      <c r="K1746" s="102" t="n"/>
      <c r="L1746" s="103" t="n"/>
      <c r="M1746" s="103" t="n"/>
      <c r="N1746" s="104" t="n"/>
      <c r="O1746" s="102" t="n"/>
      <c r="P1746" s="103" t="n"/>
      <c r="Q1746" s="103" t="n"/>
      <c r="R1746" s="104" t="n"/>
      <c r="S1746" s="102" t="n"/>
      <c r="T1746" s="103" t="n"/>
      <c r="U1746" s="103" t="n"/>
      <c r="V1746" s="104" t="n"/>
      <c r="W1746" s="102" t="n"/>
      <c r="X1746" s="104" t="n"/>
      <c r="Y1746" s="102" t="n"/>
      <c r="Z1746" s="104" t="n"/>
      <c r="AB1746" s="105">
        <f>IF($B1746="","",(COUNTIF(C1708:E1725,$B1746)+COUNTIF(C1708:E1725,$B1746&amp;" ~*")&gt;0)+(COUNTIF(G1708:I1725,$B1746)+COUNTIF(G1708:I1725,$B1746&amp;" ~*")&gt;0)+(COUNTIF(K1708:M1725,$B1746)+COUNTIF(K1708:M1725,$B1746&amp;" ~*")&gt;0)+(COUNTIF(O1708:Q1725,$B1746)+COUNTIF(O1708:Q1725,$B1746&amp;" ~*")&gt;0)+(COUNTIF(S1708:U1725,$B1746)+COUNTIF(S1708:U1725,$B1746&amp;" ~*")&gt;0)+(COUNTIF(W1708:W1725,$B1746)+COUNTIF(W1708:W1725,$B1746&amp;" ~*")&gt;0)+(COUNTIF(Y1708:Y1725,$B1746)+COUNTIF(Y1708:Y1725,$B1746&amp;" ~*")&gt;0))</f>
        <v/>
      </c>
      <c r="AC1746" s="38">
        <f>IF($B1746="","",(IFERROR(INDEX(Setup!$G$33:$G$40,MATCH(C1746,Setup!$B$33:$B$40,0)),0)=1)*(COUNTIF(C1708:E1725,$B1746)+COUNTIF(C1708:E1725,$B1746&amp;" ~*")&gt;0)+(IFERROR(INDEX(Setup!$G$33:$G$40,MATCH(G1746,Setup!$B$33:$B$40,0)),0)=1)*(COUNTIF(G1708:I1725,$B1746)+COUNTIF(G1708:I1725,$B1746&amp;" ~*")&gt;0)+(IFERROR(INDEX(Setup!$G$33:$G$40,MATCH(K1746,Setup!$B$33:$B$40,0)),0)=1)*(COUNTIF(K1708:M1725,$B1746)+COUNTIF(K1708:M1725,$B1746&amp;" ~*")&gt;0)+(IFERROR(INDEX(Setup!$G$33:$G$40,MATCH(O1746,Setup!$B$33:$B$40,0)),0)=1)*(COUNTIF(O1708:Q1725,$B1746)+COUNTIF(O1708:Q1725,$B1746&amp;" ~*")&gt;0)+(IFERROR(INDEX(Setup!$G$33:$G$40,MATCH(S1746,Setup!$B$33:$B$40,0)),0)=1)*(COUNTIF(S1708:U1725,$B1746)+COUNTIF(S1708:U1725,$B1746&amp;" ~*")&gt;0)+(IFERROR(INDEX(Setup!$G$33:$G$40,MATCH(W1746,Setup!$B$33:$B$40,0)),0)=1)*(COUNTIF(W1708:W1725,$B1746)+COUNTIF(W1708:W1725,$B1746&amp;" ~*")&gt;0)+(IFERROR(INDEX(Setup!$G$33:$G$40,MATCH(Y1746,Setup!$B$33:$B$40,0)),0)=1)*(COUNTIF(Y1708:Y1725,$B1746)+COUNTIF(Y1708:Y1725,$B1746&amp;" ~*")&gt;0))</f>
        <v/>
      </c>
    </row>
    <row r="1747" ht="15" customHeight="1">
      <c r="A1747" t="n">
        <v>35</v>
      </c>
      <c r="B1747" s="35">
        <f>IF(Setup!$B$26="","",Setup!$B$26)</f>
        <v/>
      </c>
      <c r="C1747" s="98" t="n"/>
      <c r="D1747" s="99" t="n"/>
      <c r="E1747" s="99" t="n"/>
      <c r="F1747" s="100" t="n"/>
      <c r="G1747" s="98" t="n"/>
      <c r="H1747" s="99" t="n"/>
      <c r="I1747" s="99" t="n"/>
      <c r="J1747" s="100" t="n"/>
      <c r="K1747" s="98" t="n"/>
      <c r="L1747" s="99" t="n"/>
      <c r="M1747" s="99" t="n"/>
      <c r="N1747" s="100" t="n"/>
      <c r="O1747" s="98" t="n"/>
      <c r="P1747" s="99" t="n"/>
      <c r="Q1747" s="99" t="n"/>
      <c r="R1747" s="100" t="n"/>
      <c r="S1747" s="98" t="n"/>
      <c r="T1747" s="99" t="n"/>
      <c r="U1747" s="99" t="n"/>
      <c r="V1747" s="100" t="n"/>
      <c r="W1747" s="98" t="n"/>
      <c r="X1747" s="100" t="n"/>
      <c r="Y1747" s="98" t="n"/>
      <c r="Z1747" s="100" t="n"/>
      <c r="AB1747" s="101">
        <f>IF($B1747="","",(COUNTIF(C1708:E1725,$B1747)+COUNTIF(C1708:E1725,$B1747&amp;" ~*")&gt;0)+(COUNTIF(G1708:I1725,$B1747)+COUNTIF(G1708:I1725,$B1747&amp;" ~*")&gt;0)+(COUNTIF(K1708:M1725,$B1747)+COUNTIF(K1708:M1725,$B1747&amp;" ~*")&gt;0)+(COUNTIF(O1708:Q1725,$B1747)+COUNTIF(O1708:Q1725,$B1747&amp;" ~*")&gt;0)+(COUNTIF(S1708:U1725,$B1747)+COUNTIF(S1708:U1725,$B1747&amp;" ~*")&gt;0)+(COUNTIF(W1708:W1725,$B1747)+COUNTIF(W1708:W1725,$B1747&amp;" ~*")&gt;0)+(COUNTIF(Y1708:Y1725,$B1747)+COUNTIF(Y1708:Y1725,$B1747&amp;" ~*")&gt;0))</f>
        <v/>
      </c>
      <c r="AC1747" s="36">
        <f>IF($B1747="","",(IFERROR(INDEX(Setup!$G$33:$G$40,MATCH(C1747,Setup!$B$33:$B$40,0)),0)=1)*(COUNTIF(C1708:E1725,$B1747)+COUNTIF(C1708:E1725,$B1747&amp;" ~*")&gt;0)+(IFERROR(INDEX(Setup!$G$33:$G$40,MATCH(G1747,Setup!$B$33:$B$40,0)),0)=1)*(COUNTIF(G1708:I1725,$B1747)+COUNTIF(G1708:I1725,$B1747&amp;" ~*")&gt;0)+(IFERROR(INDEX(Setup!$G$33:$G$40,MATCH(K1747,Setup!$B$33:$B$40,0)),0)=1)*(COUNTIF(K1708:M1725,$B1747)+COUNTIF(K1708:M1725,$B1747&amp;" ~*")&gt;0)+(IFERROR(INDEX(Setup!$G$33:$G$40,MATCH(O1747,Setup!$B$33:$B$40,0)),0)=1)*(COUNTIF(O1708:Q1725,$B1747)+COUNTIF(O1708:Q1725,$B1747&amp;" ~*")&gt;0)+(IFERROR(INDEX(Setup!$G$33:$G$40,MATCH(S1747,Setup!$B$33:$B$40,0)),0)=1)*(COUNTIF(S1708:U1725,$B1747)+COUNTIF(S1708:U1725,$B1747&amp;" ~*")&gt;0)+(IFERROR(INDEX(Setup!$G$33:$G$40,MATCH(W1747,Setup!$B$33:$B$40,0)),0)=1)*(COUNTIF(W1708:W1725,$B1747)+COUNTIF(W1708:W1725,$B1747&amp;" ~*")&gt;0)+(IFERROR(INDEX(Setup!$G$33:$G$40,MATCH(Y1747,Setup!$B$33:$B$40,0)),0)=1)*(COUNTIF(Y1708:Y1725,$B1747)+COUNTIF(Y1708:Y1725,$B1747&amp;" ~*")&gt;0))</f>
        <v/>
      </c>
    </row>
    <row r="1748" ht="15" customHeight="1">
      <c r="A1748" t="n">
        <v>35</v>
      </c>
      <c r="B1748" s="37">
        <f>IF(Setup!$B$27="","",Setup!$B$27)</f>
        <v/>
      </c>
      <c r="C1748" s="102" t="n"/>
      <c r="D1748" s="103" t="n"/>
      <c r="E1748" s="103" t="n"/>
      <c r="F1748" s="104" t="n"/>
      <c r="G1748" s="102" t="n"/>
      <c r="H1748" s="103" t="n"/>
      <c r="I1748" s="103" t="n"/>
      <c r="J1748" s="104" t="n"/>
      <c r="K1748" s="102" t="n"/>
      <c r="L1748" s="103" t="n"/>
      <c r="M1748" s="103" t="n"/>
      <c r="N1748" s="104" t="n"/>
      <c r="O1748" s="102" t="n"/>
      <c r="P1748" s="103" t="n"/>
      <c r="Q1748" s="103" t="n"/>
      <c r="R1748" s="104" t="n"/>
      <c r="S1748" s="102" t="n"/>
      <c r="T1748" s="103" t="n"/>
      <c r="U1748" s="103" t="n"/>
      <c r="V1748" s="104" t="n"/>
      <c r="W1748" s="102" t="n"/>
      <c r="X1748" s="104" t="n"/>
      <c r="Y1748" s="102" t="n"/>
      <c r="Z1748" s="104" t="n"/>
      <c r="AB1748" s="105">
        <f>IF($B1748="","",(COUNTIF(C1708:E1725,$B1748)+COUNTIF(C1708:E1725,$B1748&amp;" ~*")&gt;0)+(COUNTIF(G1708:I1725,$B1748)+COUNTIF(G1708:I1725,$B1748&amp;" ~*")&gt;0)+(COUNTIF(K1708:M1725,$B1748)+COUNTIF(K1708:M1725,$B1748&amp;" ~*")&gt;0)+(COUNTIF(O1708:Q1725,$B1748)+COUNTIF(O1708:Q1725,$B1748&amp;" ~*")&gt;0)+(COUNTIF(S1708:U1725,$B1748)+COUNTIF(S1708:U1725,$B1748&amp;" ~*")&gt;0)+(COUNTIF(W1708:W1725,$B1748)+COUNTIF(W1708:W1725,$B1748&amp;" ~*")&gt;0)+(COUNTIF(Y1708:Y1725,$B1748)+COUNTIF(Y1708:Y1725,$B1748&amp;" ~*")&gt;0))</f>
        <v/>
      </c>
      <c r="AC1748" s="38">
        <f>IF($B1748="","",(IFERROR(INDEX(Setup!$G$33:$G$40,MATCH(C1748,Setup!$B$33:$B$40,0)),0)=1)*(COUNTIF(C1708:E1725,$B1748)+COUNTIF(C1708:E1725,$B1748&amp;" ~*")&gt;0)+(IFERROR(INDEX(Setup!$G$33:$G$40,MATCH(G1748,Setup!$B$33:$B$40,0)),0)=1)*(COUNTIF(G1708:I1725,$B1748)+COUNTIF(G1708:I1725,$B1748&amp;" ~*")&gt;0)+(IFERROR(INDEX(Setup!$G$33:$G$40,MATCH(K1748,Setup!$B$33:$B$40,0)),0)=1)*(COUNTIF(K1708:M1725,$B1748)+COUNTIF(K1708:M1725,$B1748&amp;" ~*")&gt;0)+(IFERROR(INDEX(Setup!$G$33:$G$40,MATCH(O1748,Setup!$B$33:$B$40,0)),0)=1)*(COUNTIF(O1708:Q1725,$B1748)+COUNTIF(O1708:Q1725,$B1748&amp;" ~*")&gt;0)+(IFERROR(INDEX(Setup!$G$33:$G$40,MATCH(S1748,Setup!$B$33:$B$40,0)),0)=1)*(COUNTIF(S1708:U1725,$B1748)+COUNTIF(S1708:U1725,$B1748&amp;" ~*")&gt;0)+(IFERROR(INDEX(Setup!$G$33:$G$40,MATCH(W1748,Setup!$B$33:$B$40,0)),0)=1)*(COUNTIF(W1708:W1725,$B1748)+COUNTIF(W1708:W1725,$B1748&amp;" ~*")&gt;0)+(IFERROR(INDEX(Setup!$G$33:$G$40,MATCH(Y1748,Setup!$B$33:$B$40,0)),0)=1)*(COUNTIF(Y1708:Y1725,$B1748)+COUNTIF(Y1708:Y1725,$B1748&amp;" ~*")&gt;0))</f>
        <v/>
      </c>
    </row>
    <row r="1749" ht="15" customHeight="1">
      <c r="A1749" t="n">
        <v>35</v>
      </c>
      <c r="B1749" s="35">
        <f>IF(Setup!$B$28="","",Setup!$B$28)</f>
        <v/>
      </c>
      <c r="C1749" s="98" t="n"/>
      <c r="D1749" s="99" t="n"/>
      <c r="E1749" s="99" t="n"/>
      <c r="F1749" s="100" t="n"/>
      <c r="G1749" s="98" t="n"/>
      <c r="H1749" s="99" t="n"/>
      <c r="I1749" s="99" t="n"/>
      <c r="J1749" s="100" t="n"/>
      <c r="K1749" s="98" t="n"/>
      <c r="L1749" s="99" t="n"/>
      <c r="M1749" s="99" t="n"/>
      <c r="N1749" s="100" t="n"/>
      <c r="O1749" s="98" t="n"/>
      <c r="P1749" s="99" t="n"/>
      <c r="Q1749" s="99" t="n"/>
      <c r="R1749" s="100" t="n"/>
      <c r="S1749" s="98" t="n"/>
      <c r="T1749" s="99" t="n"/>
      <c r="U1749" s="99" t="n"/>
      <c r="V1749" s="100" t="n"/>
      <c r="W1749" s="98" t="n"/>
      <c r="X1749" s="100" t="n"/>
      <c r="Y1749" s="98" t="n"/>
      <c r="Z1749" s="100" t="n"/>
      <c r="AB1749" s="101">
        <f>IF($B1749="","",(COUNTIF(C1708:E1725,$B1749)+COUNTIF(C1708:E1725,$B1749&amp;" ~*")&gt;0)+(COUNTIF(G1708:I1725,$B1749)+COUNTIF(G1708:I1725,$B1749&amp;" ~*")&gt;0)+(COUNTIF(K1708:M1725,$B1749)+COUNTIF(K1708:M1725,$B1749&amp;" ~*")&gt;0)+(COUNTIF(O1708:Q1725,$B1749)+COUNTIF(O1708:Q1725,$B1749&amp;" ~*")&gt;0)+(COUNTIF(S1708:U1725,$B1749)+COUNTIF(S1708:U1725,$B1749&amp;" ~*")&gt;0)+(COUNTIF(W1708:W1725,$B1749)+COUNTIF(W1708:W1725,$B1749&amp;" ~*")&gt;0)+(COUNTIF(Y1708:Y1725,$B1749)+COUNTIF(Y1708:Y1725,$B1749&amp;" ~*")&gt;0))</f>
        <v/>
      </c>
      <c r="AC1749" s="36">
        <f>IF($B1749="","",(IFERROR(INDEX(Setup!$G$33:$G$40,MATCH(C1749,Setup!$B$33:$B$40,0)),0)=1)*(COUNTIF(C1708:E1725,$B1749)+COUNTIF(C1708:E1725,$B1749&amp;" ~*")&gt;0)+(IFERROR(INDEX(Setup!$G$33:$G$40,MATCH(G1749,Setup!$B$33:$B$40,0)),0)=1)*(COUNTIF(G1708:I1725,$B1749)+COUNTIF(G1708:I1725,$B1749&amp;" ~*")&gt;0)+(IFERROR(INDEX(Setup!$G$33:$G$40,MATCH(K1749,Setup!$B$33:$B$40,0)),0)=1)*(COUNTIF(K1708:M1725,$B1749)+COUNTIF(K1708:M1725,$B1749&amp;" ~*")&gt;0)+(IFERROR(INDEX(Setup!$G$33:$G$40,MATCH(O1749,Setup!$B$33:$B$40,0)),0)=1)*(COUNTIF(O1708:Q1725,$B1749)+COUNTIF(O1708:Q1725,$B1749&amp;" ~*")&gt;0)+(IFERROR(INDEX(Setup!$G$33:$G$40,MATCH(S1749,Setup!$B$33:$B$40,0)),0)=1)*(COUNTIF(S1708:U1725,$B1749)+COUNTIF(S1708:U1725,$B1749&amp;" ~*")&gt;0)+(IFERROR(INDEX(Setup!$G$33:$G$40,MATCH(W1749,Setup!$B$33:$B$40,0)),0)=1)*(COUNTIF(W1708:W1725,$B1749)+COUNTIF(W1708:W1725,$B1749&amp;" ~*")&gt;0)+(IFERROR(INDEX(Setup!$G$33:$G$40,MATCH(Y1749,Setup!$B$33:$B$40,0)),0)=1)*(COUNTIF(Y1708:Y1725,$B1749)+COUNTIF(Y1708:Y1725,$B1749&amp;" ~*")&gt;0))</f>
        <v/>
      </c>
    </row>
    <row r="1750" ht="15" customHeight="1">
      <c r="A1750" t="n">
        <v>35</v>
      </c>
      <c r="B1750" s="37">
        <f>IF(Setup!$B$29="","",Setup!$B$29)</f>
        <v/>
      </c>
      <c r="C1750" s="102" t="n"/>
      <c r="D1750" s="103" t="n"/>
      <c r="E1750" s="103" t="n"/>
      <c r="F1750" s="104" t="n"/>
      <c r="G1750" s="102" t="n"/>
      <c r="H1750" s="103" t="n"/>
      <c r="I1750" s="103" t="n"/>
      <c r="J1750" s="104" t="n"/>
      <c r="K1750" s="102" t="n"/>
      <c r="L1750" s="103" t="n"/>
      <c r="M1750" s="103" t="n"/>
      <c r="N1750" s="104" t="n"/>
      <c r="O1750" s="102" t="n"/>
      <c r="P1750" s="103" t="n"/>
      <c r="Q1750" s="103" t="n"/>
      <c r="R1750" s="104" t="n"/>
      <c r="S1750" s="102" t="n"/>
      <c r="T1750" s="103" t="n"/>
      <c r="U1750" s="103" t="n"/>
      <c r="V1750" s="104" t="n"/>
      <c r="W1750" s="102" t="n"/>
      <c r="X1750" s="104" t="n"/>
      <c r="Y1750" s="102" t="n"/>
      <c r="Z1750" s="104" t="n"/>
      <c r="AB1750" s="105">
        <f>IF($B1750="","",(COUNTIF(C1708:E1725,$B1750)+COUNTIF(C1708:E1725,$B1750&amp;" ~*")&gt;0)+(COUNTIF(G1708:I1725,$B1750)+COUNTIF(G1708:I1725,$B1750&amp;" ~*")&gt;0)+(COUNTIF(K1708:M1725,$B1750)+COUNTIF(K1708:M1725,$B1750&amp;" ~*")&gt;0)+(COUNTIF(O1708:Q1725,$B1750)+COUNTIF(O1708:Q1725,$B1750&amp;" ~*")&gt;0)+(COUNTIF(S1708:U1725,$B1750)+COUNTIF(S1708:U1725,$B1750&amp;" ~*")&gt;0)+(COUNTIF(W1708:W1725,$B1750)+COUNTIF(W1708:W1725,$B1750&amp;" ~*")&gt;0)+(COUNTIF(Y1708:Y1725,$B1750)+COUNTIF(Y1708:Y1725,$B1750&amp;" ~*")&gt;0))</f>
        <v/>
      </c>
      <c r="AC1750" s="38">
        <f>IF($B1750="","",(IFERROR(INDEX(Setup!$G$33:$G$40,MATCH(C1750,Setup!$B$33:$B$40,0)),0)=1)*(COUNTIF(C1708:E1725,$B1750)+COUNTIF(C1708:E1725,$B1750&amp;" ~*")&gt;0)+(IFERROR(INDEX(Setup!$G$33:$G$40,MATCH(G1750,Setup!$B$33:$B$40,0)),0)=1)*(COUNTIF(G1708:I1725,$B1750)+COUNTIF(G1708:I1725,$B1750&amp;" ~*")&gt;0)+(IFERROR(INDEX(Setup!$G$33:$G$40,MATCH(K1750,Setup!$B$33:$B$40,0)),0)=1)*(COUNTIF(K1708:M1725,$B1750)+COUNTIF(K1708:M1725,$B1750&amp;" ~*")&gt;0)+(IFERROR(INDEX(Setup!$G$33:$G$40,MATCH(O1750,Setup!$B$33:$B$40,0)),0)=1)*(COUNTIF(O1708:Q1725,$B1750)+COUNTIF(O1708:Q1725,$B1750&amp;" ~*")&gt;0)+(IFERROR(INDEX(Setup!$G$33:$G$40,MATCH(S1750,Setup!$B$33:$B$40,0)),0)=1)*(COUNTIF(S1708:U1725,$B1750)+COUNTIF(S1708:U1725,$B1750&amp;" ~*")&gt;0)+(IFERROR(INDEX(Setup!$G$33:$G$40,MATCH(W1750,Setup!$B$33:$B$40,0)),0)=1)*(COUNTIF(W1708:W1725,$B1750)+COUNTIF(W1708:W1725,$B1750&amp;" ~*")&gt;0)+(IFERROR(INDEX(Setup!$G$33:$G$40,MATCH(Y1750,Setup!$B$33:$B$40,0)),0)=1)*(COUNTIF(Y1708:Y1725,$B1750)+COUNTIF(Y1708:Y1725,$B1750&amp;" ~*")&gt;0))</f>
        <v/>
      </c>
    </row>
    <row r="1751" ht="16" customHeight="1">
      <c r="A1751" t="n">
        <v>35</v>
      </c>
      <c r="B1751" s="106" t="inlineStr">
        <is>
          <t>Available people</t>
        </is>
      </c>
      <c r="C1751" s="107">
        <f>COUNTIFS(Setup!$E$6:$E$29,"Y",Setup!$B$6:$B$29,"?*")-SUMPRODUCT(COUNTIF(C1727:C1750,Setup!$F$33:$F$40))</f>
        <v/>
      </c>
      <c r="D1751" s="107" t="n"/>
      <c r="E1751" s="107" t="n"/>
      <c r="F1751" s="107" t="n"/>
      <c r="G1751" s="107">
        <f>COUNTIFS(Setup!$E$6:$E$29,"Y",Setup!$B$6:$B$29,"?*")-SUMPRODUCT(COUNTIF(G1727:G1750,Setup!$F$33:$F$40))</f>
        <v/>
      </c>
      <c r="H1751" s="107" t="n"/>
      <c r="I1751" s="107" t="n"/>
      <c r="J1751" s="107" t="n"/>
      <c r="K1751" s="107">
        <f>COUNTIFS(Setup!$E$6:$E$29,"Y",Setup!$B$6:$B$29,"?*")-SUMPRODUCT(COUNTIF(K1727:K1750,Setup!$F$33:$F$40))</f>
        <v/>
      </c>
      <c r="L1751" s="107" t="n"/>
      <c r="M1751" s="107" t="n"/>
      <c r="N1751" s="107" t="n"/>
      <c r="O1751" s="107">
        <f>COUNTIFS(Setup!$E$6:$E$29,"Y",Setup!$B$6:$B$29,"?*")-SUMPRODUCT(COUNTIF(O1727:O1750,Setup!$F$33:$F$40))</f>
        <v/>
      </c>
      <c r="P1751" s="107" t="n"/>
      <c r="Q1751" s="107" t="n"/>
      <c r="R1751" s="107" t="n"/>
      <c r="S1751" s="107">
        <f>COUNTIFS(Setup!$E$6:$E$29,"Y",Setup!$B$6:$B$29,"?*")-SUMPRODUCT(COUNTIF(S1727:S1750,Setup!$F$33:$F$40))</f>
        <v/>
      </c>
      <c r="T1751" s="107" t="n"/>
      <c r="U1751" s="107" t="n"/>
      <c r="V1751" s="107" t="n"/>
      <c r="W1751" s="107">
        <f>COUNTIFS(Setup!$E$6:$E$29,"Y",Setup!$B$6:$B$29,"?*")-SUMPRODUCT(COUNTIF(W1727:W1750,Setup!$F$33:$F$40))</f>
        <v/>
      </c>
      <c r="X1751" s="107" t="n"/>
      <c r="Y1751" s="107">
        <f>COUNTIFS(Setup!$E$6:$E$29,"Y",Setup!$B$6:$B$29,"?*")-SUMPRODUCT(COUNTIF(Y1727:Y1750,Setup!$F$33:$F$40))</f>
        <v/>
      </c>
      <c r="Z1751" s="107" t="n"/>
      <c r="AB1751" s="108">
        <f>SUM(AB1727:AB1750)</f>
        <v/>
      </c>
      <c r="AC1751" s="109">
        <f>SUM(AC1727:AC1750)</f>
        <v/>
      </c>
    </row>
    <row r="1752" ht="30" customHeight="1">
      <c r="A1752" t="n">
        <v>35</v>
      </c>
      <c r="B1752" s="110" t="inlineStr">
        <is>
          <t>Week notes</t>
        </is>
      </c>
      <c r="C1752" s="111" t="n"/>
      <c r="D1752" s="112" t="n"/>
      <c r="E1752" s="112" t="n"/>
      <c r="F1752" s="112" t="n"/>
      <c r="G1752" s="112" t="n"/>
      <c r="H1752" s="112" t="n"/>
      <c r="I1752" s="112" t="n"/>
      <c r="J1752" s="112" t="n"/>
      <c r="K1752" s="112" t="n"/>
      <c r="L1752" s="112" t="n"/>
      <c r="M1752" s="112" t="n"/>
      <c r="N1752" s="112" t="n"/>
      <c r="O1752" s="112" t="n"/>
      <c r="P1752" s="112" t="n"/>
      <c r="Q1752" s="112" t="n"/>
      <c r="R1752" s="112" t="n"/>
      <c r="S1752" s="112" t="n"/>
      <c r="T1752" s="112" t="n"/>
      <c r="U1752" s="112" t="n"/>
      <c r="V1752" s="112" t="n"/>
      <c r="W1752" s="112" t="n"/>
      <c r="X1752" s="112" t="n"/>
      <c r="Y1752" s="112" t="n"/>
      <c r="Z1752" s="113" t="n"/>
    </row>
    <row r="1753" ht="8" customHeight="1">
      <c r="A1753" t="n">
        <v>35</v>
      </c>
    </row>
    <row r="1754" ht="8" customHeight="1">
      <c r="A1754" t="n">
        <v>35</v>
      </c>
    </row>
    <row r="1755" ht="24" customHeight="1">
      <c r="A1755" t="n">
        <v>36</v>
      </c>
      <c r="B1755" s="73">
        <f>"WEEK 36     "&amp;TEXT(C1756,"ddd d mmm")&amp;"  –  "&amp;TEXT(C1756+6,"ddd d mmm yyyy")</f>
        <v/>
      </c>
      <c r="S1755" s="74">
        <f>IF(TODAY()&lt;C1756,"FUTURE",IF(TODAY()&gt;C1756+6,"PAST","THIS WEEK"))</f>
        <v/>
      </c>
      <c r="W1755" s="75">
        <f>IF(AND(Engine!$B$8=$AC$3,Engine!$B$9=$A1755),"◀ ACTIVE WEEK","")</f>
        <v/>
      </c>
      <c r="AA1755" s="76" t="n"/>
      <c r="AB1755" s="77" t="inlineStr">
        <is>
          <t>◀ Prev</t>
        </is>
      </c>
      <c r="AC1755" s="77" t="inlineStr">
        <is>
          <t>Next ▶</t>
        </is>
      </c>
    </row>
    <row r="1756" ht="18" customHeight="1">
      <c r="A1756" t="n">
        <v>36</v>
      </c>
      <c r="B1756" s="78" t="inlineStr">
        <is>
          <t>DUTY</t>
        </is>
      </c>
      <c r="C1756" s="79">
        <f>$AC$2+7*($A1756-1)</f>
        <v/>
      </c>
      <c r="D1756" s="80" t="n"/>
      <c r="E1756" s="80" t="n"/>
      <c r="F1756" s="81" t="n"/>
      <c r="G1756" s="79">
        <f>C1756+1</f>
        <v/>
      </c>
      <c r="H1756" s="80" t="n"/>
      <c r="I1756" s="80" t="n"/>
      <c r="J1756" s="81" t="n"/>
      <c r="K1756" s="79">
        <f>C1756+2</f>
        <v/>
      </c>
      <c r="L1756" s="80" t="n"/>
      <c r="M1756" s="80" t="n"/>
      <c r="N1756" s="81" t="n"/>
      <c r="O1756" s="79">
        <f>C1756+3</f>
        <v/>
      </c>
      <c r="P1756" s="80" t="n"/>
      <c r="Q1756" s="80" t="n"/>
      <c r="R1756" s="81" t="n"/>
      <c r="S1756" s="79">
        <f>C1756+4</f>
        <v/>
      </c>
      <c r="T1756" s="80" t="n"/>
      <c r="U1756" s="80" t="n"/>
      <c r="V1756" s="81" t="n"/>
      <c r="W1756" s="82">
        <f>C1756+5</f>
        <v/>
      </c>
      <c r="X1756" s="83" t="n"/>
      <c r="Y1756" s="82">
        <f>C1756+6</f>
        <v/>
      </c>
      <c r="Z1756" s="83" t="n"/>
      <c r="AB1756" s="72" t="inlineStr">
        <is>
          <t>Gaps</t>
        </is>
      </c>
      <c r="AC1756" s="72" t="inlineStr">
        <is>
          <t>Cover</t>
        </is>
      </c>
    </row>
    <row r="1757" ht="14" customHeight="1">
      <c r="A1757" t="n">
        <v>36</v>
      </c>
      <c r="B1757" s="84" t="inlineStr">
        <is>
          <t>(from Setup)</t>
        </is>
      </c>
      <c r="C1757" s="85" t="inlineStr">
        <is>
          <t>1</t>
        </is>
      </c>
      <c r="D1757" s="85" t="inlineStr">
        <is>
          <t>2</t>
        </is>
      </c>
      <c r="E1757" s="85" t="inlineStr">
        <is>
          <t>3</t>
        </is>
      </c>
      <c r="F1757" s="85" t="inlineStr">
        <is>
          <t>Notes</t>
        </is>
      </c>
      <c r="G1757" s="85" t="inlineStr">
        <is>
          <t>1</t>
        </is>
      </c>
      <c r="H1757" s="85" t="inlineStr">
        <is>
          <t>2</t>
        </is>
      </c>
      <c r="I1757" s="85" t="inlineStr">
        <is>
          <t>3</t>
        </is>
      </c>
      <c r="J1757" s="85" t="inlineStr">
        <is>
          <t>Notes</t>
        </is>
      </c>
      <c r="K1757" s="85" t="inlineStr">
        <is>
          <t>1</t>
        </is>
      </c>
      <c r="L1757" s="85" t="inlineStr">
        <is>
          <t>2</t>
        </is>
      </c>
      <c r="M1757" s="85" t="inlineStr">
        <is>
          <t>3</t>
        </is>
      </c>
      <c r="N1757" s="85" t="inlineStr">
        <is>
          <t>Notes</t>
        </is>
      </c>
      <c r="O1757" s="85" t="inlineStr">
        <is>
          <t>1</t>
        </is>
      </c>
      <c r="P1757" s="85" t="inlineStr">
        <is>
          <t>2</t>
        </is>
      </c>
      <c r="Q1757" s="85" t="inlineStr">
        <is>
          <t>3</t>
        </is>
      </c>
      <c r="R1757" s="85" t="inlineStr">
        <is>
          <t>Notes</t>
        </is>
      </c>
      <c r="S1757" s="85" t="inlineStr">
        <is>
          <t>1</t>
        </is>
      </c>
      <c r="T1757" s="85" t="inlineStr">
        <is>
          <t>2</t>
        </is>
      </c>
      <c r="U1757" s="85" t="inlineStr">
        <is>
          <t>3</t>
        </is>
      </c>
      <c r="V1757" s="85" t="inlineStr">
        <is>
          <t>Notes</t>
        </is>
      </c>
      <c r="W1757" s="85" t="inlineStr">
        <is>
          <t>Cover</t>
        </is>
      </c>
      <c r="X1757" s="85" t="inlineStr">
        <is>
          <t>Notes</t>
        </is>
      </c>
      <c r="Y1757" s="85" t="inlineStr">
        <is>
          <t>Cover</t>
        </is>
      </c>
      <c r="Z1757" s="85" t="inlineStr">
        <is>
          <t>Notes</t>
        </is>
      </c>
      <c r="AB1757" s="86" t="inlineStr">
        <is>
          <t>weekdays short</t>
        </is>
      </c>
      <c r="AC1757" s="87" t="inlineStr"/>
    </row>
    <row r="1758" ht="17" customHeight="1">
      <c r="A1758" t="n">
        <v>36</v>
      </c>
      <c r="B1758" s="24">
        <f>IF(Setup!$K$6="","",Setup!$K$6)</f>
        <v/>
      </c>
      <c r="C1758" s="88" t="n"/>
      <c r="D1758" s="88" t="n"/>
      <c r="E1758" s="88" t="n"/>
      <c r="F1758" s="89" t="n"/>
      <c r="G1758" s="88" t="n"/>
      <c r="H1758" s="88" t="n"/>
      <c r="I1758" s="88" t="n"/>
      <c r="J1758" s="89" t="n"/>
      <c r="K1758" s="88" t="n"/>
      <c r="L1758" s="88" t="n"/>
      <c r="M1758" s="88" t="n"/>
      <c r="N1758" s="89" t="n"/>
      <c r="O1758" s="88" t="n"/>
      <c r="P1758" s="88" t="n"/>
      <c r="Q1758" s="88" t="n"/>
      <c r="R1758" s="89" t="n"/>
      <c r="S1758" s="88" t="n"/>
      <c r="T1758" s="88" t="n"/>
      <c r="U1758" s="88" t="n"/>
      <c r="V1758" s="89" t="n"/>
      <c r="W1758" s="88" t="n"/>
      <c r="X1758" s="89" t="n"/>
      <c r="Y1758" s="88" t="n"/>
      <c r="Z1758" s="89" t="n"/>
      <c r="AB1758" s="25">
        <f>IF($B1758="","",(COUNTIF(C1758:E1758,"?*")&lt;N(INDEX(Setup!$L$6:$L$23,1)))+(COUNTIF(G1758:I1758,"?*")&lt;N(INDEX(Setup!$L$6:$L$23,1)))+(COUNTIF(K1758:M1758,"?*")&lt;N(INDEX(Setup!$L$6:$L$23,1)))+(COUNTIF(O1758:Q1758,"?*")&lt;N(INDEX(Setup!$L$6:$L$23,1)))+(COUNTIF(S1758:U1758,"?*")&lt;N(INDEX(Setup!$L$6:$L$23,1)))+((W1758="")*(INDEX(Setup!$M$6:$M$23,1)="Y"))+((Y1758="")*(INDEX(Setup!$M$6:$M$23,1)="Y")))</f>
        <v/>
      </c>
      <c r="AC1758" s="90">
        <f>IF($B1758="","",IF(AB1758=0,"✓ covered","⚠ "&amp;AB1758&amp;IF(AB1758=1," gap"," gaps")))</f>
        <v/>
      </c>
    </row>
    <row r="1759" ht="17" customHeight="1">
      <c r="A1759" t="n">
        <v>36</v>
      </c>
      <c r="B1759" s="29">
        <f>IF(Setup!$K$7="","",Setup!$K$7)</f>
        <v/>
      </c>
      <c r="C1759" s="88" t="n"/>
      <c r="D1759" s="88" t="n"/>
      <c r="E1759" s="88" t="n"/>
      <c r="F1759" s="89" t="n"/>
      <c r="G1759" s="88" t="n"/>
      <c r="H1759" s="88" t="n"/>
      <c r="I1759" s="88" t="n"/>
      <c r="J1759" s="89" t="n"/>
      <c r="K1759" s="88" t="n"/>
      <c r="L1759" s="88" t="n"/>
      <c r="M1759" s="88" t="n"/>
      <c r="N1759" s="89" t="n"/>
      <c r="O1759" s="88" t="n"/>
      <c r="P1759" s="88" t="n"/>
      <c r="Q1759" s="88" t="n"/>
      <c r="R1759" s="89" t="n"/>
      <c r="S1759" s="88" t="n"/>
      <c r="T1759" s="88" t="n"/>
      <c r="U1759" s="88" t="n"/>
      <c r="V1759" s="89" t="n"/>
      <c r="W1759" s="88" t="n"/>
      <c r="X1759" s="89" t="n"/>
      <c r="Y1759" s="88" t="n"/>
      <c r="Z1759" s="89" t="n"/>
      <c r="AB1759" s="30">
        <f>IF($B1759="","",(COUNTIF(C1759:E1759,"?*")&lt;N(INDEX(Setup!$L$6:$L$23,2)))+(COUNTIF(G1759:I1759,"?*")&lt;N(INDEX(Setup!$L$6:$L$23,2)))+(COUNTIF(K1759:M1759,"?*")&lt;N(INDEX(Setup!$L$6:$L$23,2)))+(COUNTIF(O1759:Q1759,"?*")&lt;N(INDEX(Setup!$L$6:$L$23,2)))+(COUNTIF(S1759:U1759,"?*")&lt;N(INDEX(Setup!$L$6:$L$23,2)))+((W1759="")*(INDEX(Setup!$M$6:$M$23,2)="Y"))+((Y1759="")*(INDEX(Setup!$M$6:$M$23,2)="Y")))</f>
        <v/>
      </c>
      <c r="AC1759" s="91">
        <f>IF($B1759="","",IF(AB1759=0,"✓ covered","⚠ "&amp;AB1759&amp;IF(AB1759=1," gap"," gaps")))</f>
        <v/>
      </c>
    </row>
    <row r="1760" ht="17" customHeight="1">
      <c r="A1760" t="n">
        <v>36</v>
      </c>
      <c r="B1760" s="24">
        <f>IF(Setup!$K$8="","",Setup!$K$8)</f>
        <v/>
      </c>
      <c r="C1760" s="88" t="n"/>
      <c r="D1760" s="88" t="n"/>
      <c r="E1760" s="88" t="n"/>
      <c r="F1760" s="89" t="n"/>
      <c r="G1760" s="88" t="n"/>
      <c r="H1760" s="88" t="n"/>
      <c r="I1760" s="88" t="n"/>
      <c r="J1760" s="89" t="n"/>
      <c r="K1760" s="88" t="n"/>
      <c r="L1760" s="88" t="n"/>
      <c r="M1760" s="88" t="n"/>
      <c r="N1760" s="89" t="n"/>
      <c r="O1760" s="88" t="n"/>
      <c r="P1760" s="88" t="n"/>
      <c r="Q1760" s="88" t="n"/>
      <c r="R1760" s="89" t="n"/>
      <c r="S1760" s="88" t="n"/>
      <c r="T1760" s="88" t="n"/>
      <c r="U1760" s="88" t="n"/>
      <c r="V1760" s="89" t="n"/>
      <c r="W1760" s="88" t="n"/>
      <c r="X1760" s="89" t="n"/>
      <c r="Y1760" s="88" t="n"/>
      <c r="Z1760" s="89" t="n"/>
      <c r="AB1760" s="25">
        <f>IF($B1760="","",(COUNTIF(C1760:E1760,"?*")&lt;N(INDEX(Setup!$L$6:$L$23,3)))+(COUNTIF(G1760:I1760,"?*")&lt;N(INDEX(Setup!$L$6:$L$23,3)))+(COUNTIF(K1760:M1760,"?*")&lt;N(INDEX(Setup!$L$6:$L$23,3)))+(COUNTIF(O1760:Q1760,"?*")&lt;N(INDEX(Setup!$L$6:$L$23,3)))+(COUNTIF(S1760:U1760,"?*")&lt;N(INDEX(Setup!$L$6:$L$23,3)))+((W1760="")*(INDEX(Setup!$M$6:$M$23,3)="Y"))+((Y1760="")*(INDEX(Setup!$M$6:$M$23,3)="Y")))</f>
        <v/>
      </c>
      <c r="AC1760" s="90">
        <f>IF($B1760="","",IF(AB1760=0,"✓ covered","⚠ "&amp;AB1760&amp;IF(AB1760=1," gap"," gaps")))</f>
        <v/>
      </c>
    </row>
    <row r="1761" ht="17" customHeight="1">
      <c r="A1761" t="n">
        <v>36</v>
      </c>
      <c r="B1761" s="29">
        <f>IF(Setup!$K$9="","",Setup!$K$9)</f>
        <v/>
      </c>
      <c r="C1761" s="88" t="n"/>
      <c r="D1761" s="88" t="n"/>
      <c r="E1761" s="88" t="n"/>
      <c r="F1761" s="89" t="n"/>
      <c r="G1761" s="88" t="n"/>
      <c r="H1761" s="88" t="n"/>
      <c r="I1761" s="88" t="n"/>
      <c r="J1761" s="89" t="n"/>
      <c r="K1761" s="88" t="n"/>
      <c r="L1761" s="88" t="n"/>
      <c r="M1761" s="88" t="n"/>
      <c r="N1761" s="89" t="n"/>
      <c r="O1761" s="88" t="n"/>
      <c r="P1761" s="88" t="n"/>
      <c r="Q1761" s="88" t="n"/>
      <c r="R1761" s="89" t="n"/>
      <c r="S1761" s="88" t="n"/>
      <c r="T1761" s="88" t="n"/>
      <c r="U1761" s="88" t="n"/>
      <c r="V1761" s="89" t="n"/>
      <c r="W1761" s="88" t="n"/>
      <c r="X1761" s="89" t="n"/>
      <c r="Y1761" s="88" t="n"/>
      <c r="Z1761" s="89" t="n"/>
      <c r="AB1761" s="30">
        <f>IF($B1761="","",(COUNTIF(C1761:E1761,"?*")&lt;N(INDEX(Setup!$L$6:$L$23,4)))+(COUNTIF(G1761:I1761,"?*")&lt;N(INDEX(Setup!$L$6:$L$23,4)))+(COUNTIF(K1761:M1761,"?*")&lt;N(INDEX(Setup!$L$6:$L$23,4)))+(COUNTIF(O1761:Q1761,"?*")&lt;N(INDEX(Setup!$L$6:$L$23,4)))+(COUNTIF(S1761:U1761,"?*")&lt;N(INDEX(Setup!$L$6:$L$23,4)))+((W1761="")*(INDEX(Setup!$M$6:$M$23,4)="Y"))+((Y1761="")*(INDEX(Setup!$M$6:$M$23,4)="Y")))</f>
        <v/>
      </c>
      <c r="AC1761" s="91">
        <f>IF($B1761="","",IF(AB1761=0,"✓ covered","⚠ "&amp;AB1761&amp;IF(AB1761=1," gap"," gaps")))</f>
        <v/>
      </c>
    </row>
    <row r="1762" ht="17" customHeight="1">
      <c r="A1762" t="n">
        <v>36</v>
      </c>
      <c r="B1762" s="24">
        <f>IF(Setup!$K$10="","",Setup!$K$10)</f>
        <v/>
      </c>
      <c r="C1762" s="88" t="n"/>
      <c r="D1762" s="88" t="n"/>
      <c r="E1762" s="88" t="n"/>
      <c r="F1762" s="89" t="n"/>
      <c r="G1762" s="88" t="n"/>
      <c r="H1762" s="88" t="n"/>
      <c r="I1762" s="88" t="n"/>
      <c r="J1762" s="89" t="n"/>
      <c r="K1762" s="88" t="n"/>
      <c r="L1762" s="88" t="n"/>
      <c r="M1762" s="88" t="n"/>
      <c r="N1762" s="89" t="n"/>
      <c r="O1762" s="88" t="n"/>
      <c r="P1762" s="88" t="n"/>
      <c r="Q1762" s="88" t="n"/>
      <c r="R1762" s="89" t="n"/>
      <c r="S1762" s="88" t="n"/>
      <c r="T1762" s="88" t="n"/>
      <c r="U1762" s="88" t="n"/>
      <c r="V1762" s="89" t="n"/>
      <c r="W1762" s="88" t="n"/>
      <c r="X1762" s="89" t="n"/>
      <c r="Y1762" s="88" t="n"/>
      <c r="Z1762" s="89" t="n"/>
      <c r="AB1762" s="25">
        <f>IF($B1762="","",(COUNTIF(C1762:E1762,"?*")&lt;N(INDEX(Setup!$L$6:$L$23,5)))+(COUNTIF(G1762:I1762,"?*")&lt;N(INDEX(Setup!$L$6:$L$23,5)))+(COUNTIF(K1762:M1762,"?*")&lt;N(INDEX(Setup!$L$6:$L$23,5)))+(COUNTIF(O1762:Q1762,"?*")&lt;N(INDEX(Setup!$L$6:$L$23,5)))+(COUNTIF(S1762:U1762,"?*")&lt;N(INDEX(Setup!$L$6:$L$23,5)))+((W1762="")*(INDEX(Setup!$M$6:$M$23,5)="Y"))+((Y1762="")*(INDEX(Setup!$M$6:$M$23,5)="Y")))</f>
        <v/>
      </c>
      <c r="AC1762" s="90">
        <f>IF($B1762="","",IF(AB1762=0,"✓ covered","⚠ "&amp;AB1762&amp;IF(AB1762=1," gap"," gaps")))</f>
        <v/>
      </c>
    </row>
    <row r="1763" ht="17" customHeight="1">
      <c r="A1763" t="n">
        <v>36</v>
      </c>
      <c r="B1763" s="29">
        <f>IF(Setup!$K$11="","",Setup!$K$11)</f>
        <v/>
      </c>
      <c r="C1763" s="88" t="n"/>
      <c r="D1763" s="88" t="n"/>
      <c r="E1763" s="88" t="n"/>
      <c r="F1763" s="89" t="n"/>
      <c r="G1763" s="88" t="n"/>
      <c r="H1763" s="88" t="n"/>
      <c r="I1763" s="88" t="n"/>
      <c r="J1763" s="89" t="n"/>
      <c r="K1763" s="88" t="n"/>
      <c r="L1763" s="88" t="n"/>
      <c r="M1763" s="88" t="n"/>
      <c r="N1763" s="89" t="n"/>
      <c r="O1763" s="88" t="n"/>
      <c r="P1763" s="88" t="n"/>
      <c r="Q1763" s="88" t="n"/>
      <c r="R1763" s="89" t="n"/>
      <c r="S1763" s="88" t="n"/>
      <c r="T1763" s="88" t="n"/>
      <c r="U1763" s="88" t="n"/>
      <c r="V1763" s="89" t="n"/>
      <c r="W1763" s="88" t="n"/>
      <c r="X1763" s="89" t="n"/>
      <c r="Y1763" s="88" t="n"/>
      <c r="Z1763" s="89" t="n"/>
      <c r="AB1763" s="30">
        <f>IF($B1763="","",(COUNTIF(C1763:E1763,"?*")&lt;N(INDEX(Setup!$L$6:$L$23,6)))+(COUNTIF(G1763:I1763,"?*")&lt;N(INDEX(Setup!$L$6:$L$23,6)))+(COUNTIF(K1763:M1763,"?*")&lt;N(INDEX(Setup!$L$6:$L$23,6)))+(COUNTIF(O1763:Q1763,"?*")&lt;N(INDEX(Setup!$L$6:$L$23,6)))+(COUNTIF(S1763:U1763,"?*")&lt;N(INDEX(Setup!$L$6:$L$23,6)))+((W1763="")*(INDEX(Setup!$M$6:$M$23,6)="Y"))+((Y1763="")*(INDEX(Setup!$M$6:$M$23,6)="Y")))</f>
        <v/>
      </c>
      <c r="AC1763" s="91">
        <f>IF($B1763="","",IF(AB1763=0,"✓ covered","⚠ "&amp;AB1763&amp;IF(AB1763=1," gap"," gaps")))</f>
        <v/>
      </c>
    </row>
    <row r="1764" ht="17" customHeight="1">
      <c r="A1764" t="n">
        <v>36</v>
      </c>
      <c r="B1764" s="24">
        <f>IF(Setup!$K$12="","",Setup!$K$12)</f>
        <v/>
      </c>
      <c r="C1764" s="88" t="n"/>
      <c r="D1764" s="88" t="n"/>
      <c r="E1764" s="88" t="n"/>
      <c r="F1764" s="89" t="n"/>
      <c r="G1764" s="88" t="n"/>
      <c r="H1764" s="88" t="n"/>
      <c r="I1764" s="88" t="n"/>
      <c r="J1764" s="89" t="n"/>
      <c r="K1764" s="88" t="n"/>
      <c r="L1764" s="88" t="n"/>
      <c r="M1764" s="88" t="n"/>
      <c r="N1764" s="89" t="n"/>
      <c r="O1764" s="88" t="n"/>
      <c r="P1764" s="88" t="n"/>
      <c r="Q1764" s="88" t="n"/>
      <c r="R1764" s="89" t="n"/>
      <c r="S1764" s="88" t="n"/>
      <c r="T1764" s="88" t="n"/>
      <c r="U1764" s="88" t="n"/>
      <c r="V1764" s="89" t="n"/>
      <c r="W1764" s="88" t="n"/>
      <c r="X1764" s="89" t="n"/>
      <c r="Y1764" s="88" t="n"/>
      <c r="Z1764" s="89" t="n"/>
      <c r="AB1764" s="25">
        <f>IF($B1764="","",(COUNTIF(C1764:E1764,"?*")&lt;N(INDEX(Setup!$L$6:$L$23,7)))+(COUNTIF(G1764:I1764,"?*")&lt;N(INDEX(Setup!$L$6:$L$23,7)))+(COUNTIF(K1764:M1764,"?*")&lt;N(INDEX(Setup!$L$6:$L$23,7)))+(COUNTIF(O1764:Q1764,"?*")&lt;N(INDEX(Setup!$L$6:$L$23,7)))+(COUNTIF(S1764:U1764,"?*")&lt;N(INDEX(Setup!$L$6:$L$23,7)))+((W1764="")*(INDEX(Setup!$M$6:$M$23,7)="Y"))+((Y1764="")*(INDEX(Setup!$M$6:$M$23,7)="Y")))</f>
        <v/>
      </c>
      <c r="AC1764" s="90">
        <f>IF($B1764="","",IF(AB1764=0,"✓ covered","⚠ "&amp;AB1764&amp;IF(AB1764=1," gap"," gaps")))</f>
        <v/>
      </c>
    </row>
    <row r="1765" ht="17" customHeight="1">
      <c r="A1765" t="n">
        <v>36</v>
      </c>
      <c r="B1765" s="29">
        <f>IF(Setup!$K$13="","",Setup!$K$13)</f>
        <v/>
      </c>
      <c r="C1765" s="88" t="n"/>
      <c r="D1765" s="88" t="n"/>
      <c r="E1765" s="88" t="n"/>
      <c r="F1765" s="89" t="n"/>
      <c r="G1765" s="88" t="n"/>
      <c r="H1765" s="88" t="n"/>
      <c r="I1765" s="88" t="n"/>
      <c r="J1765" s="89" t="n"/>
      <c r="K1765" s="88" t="n"/>
      <c r="L1765" s="88" t="n"/>
      <c r="M1765" s="88" t="n"/>
      <c r="N1765" s="89" t="n"/>
      <c r="O1765" s="88" t="n"/>
      <c r="P1765" s="88" t="n"/>
      <c r="Q1765" s="88" t="n"/>
      <c r="R1765" s="89" t="n"/>
      <c r="S1765" s="88" t="n"/>
      <c r="T1765" s="88" t="n"/>
      <c r="U1765" s="88" t="n"/>
      <c r="V1765" s="89" t="n"/>
      <c r="W1765" s="88" t="n"/>
      <c r="X1765" s="89" t="n"/>
      <c r="Y1765" s="88" t="n"/>
      <c r="Z1765" s="89" t="n"/>
      <c r="AB1765" s="30">
        <f>IF($B1765="","",(COUNTIF(C1765:E1765,"?*")&lt;N(INDEX(Setup!$L$6:$L$23,8)))+(COUNTIF(G1765:I1765,"?*")&lt;N(INDEX(Setup!$L$6:$L$23,8)))+(COUNTIF(K1765:M1765,"?*")&lt;N(INDEX(Setup!$L$6:$L$23,8)))+(COUNTIF(O1765:Q1765,"?*")&lt;N(INDEX(Setup!$L$6:$L$23,8)))+(COUNTIF(S1765:U1765,"?*")&lt;N(INDEX(Setup!$L$6:$L$23,8)))+((W1765="")*(INDEX(Setup!$M$6:$M$23,8)="Y"))+((Y1765="")*(INDEX(Setup!$M$6:$M$23,8)="Y")))</f>
        <v/>
      </c>
      <c r="AC1765" s="91">
        <f>IF($B1765="","",IF(AB1765=0,"✓ covered","⚠ "&amp;AB1765&amp;IF(AB1765=1," gap"," gaps")))</f>
        <v/>
      </c>
    </row>
    <row r="1766" ht="17" customHeight="1">
      <c r="A1766" t="n">
        <v>36</v>
      </c>
      <c r="B1766" s="24">
        <f>IF(Setup!$K$14="","",Setup!$K$14)</f>
        <v/>
      </c>
      <c r="C1766" s="88" t="n"/>
      <c r="D1766" s="88" t="n"/>
      <c r="E1766" s="88" t="n"/>
      <c r="F1766" s="89" t="n"/>
      <c r="G1766" s="88" t="n"/>
      <c r="H1766" s="88" t="n"/>
      <c r="I1766" s="88" t="n"/>
      <c r="J1766" s="89" t="n"/>
      <c r="K1766" s="88" t="n"/>
      <c r="L1766" s="88" t="n"/>
      <c r="M1766" s="88" t="n"/>
      <c r="N1766" s="89" t="n"/>
      <c r="O1766" s="88" t="n"/>
      <c r="P1766" s="88" t="n"/>
      <c r="Q1766" s="88" t="n"/>
      <c r="R1766" s="89" t="n"/>
      <c r="S1766" s="88" t="n"/>
      <c r="T1766" s="88" t="n"/>
      <c r="U1766" s="88" t="n"/>
      <c r="V1766" s="89" t="n"/>
      <c r="W1766" s="88" t="n"/>
      <c r="X1766" s="89" t="n"/>
      <c r="Y1766" s="88" t="n"/>
      <c r="Z1766" s="89" t="n"/>
      <c r="AB1766" s="25">
        <f>IF($B1766="","",(COUNTIF(C1766:E1766,"?*")&lt;N(INDEX(Setup!$L$6:$L$23,9)))+(COUNTIF(G1766:I1766,"?*")&lt;N(INDEX(Setup!$L$6:$L$23,9)))+(COUNTIF(K1766:M1766,"?*")&lt;N(INDEX(Setup!$L$6:$L$23,9)))+(COUNTIF(O1766:Q1766,"?*")&lt;N(INDEX(Setup!$L$6:$L$23,9)))+(COUNTIF(S1766:U1766,"?*")&lt;N(INDEX(Setup!$L$6:$L$23,9)))+((W1766="")*(INDEX(Setup!$M$6:$M$23,9)="Y"))+((Y1766="")*(INDEX(Setup!$M$6:$M$23,9)="Y")))</f>
        <v/>
      </c>
      <c r="AC1766" s="90">
        <f>IF($B1766="","",IF(AB1766=0,"✓ covered","⚠ "&amp;AB1766&amp;IF(AB1766=1," gap"," gaps")))</f>
        <v/>
      </c>
    </row>
    <row r="1767" ht="17" customHeight="1">
      <c r="A1767" t="n">
        <v>36</v>
      </c>
      <c r="B1767" s="29">
        <f>IF(Setup!$K$15="","",Setup!$K$15)</f>
        <v/>
      </c>
      <c r="C1767" s="88" t="n"/>
      <c r="D1767" s="88" t="n"/>
      <c r="E1767" s="88" t="n"/>
      <c r="F1767" s="89" t="n"/>
      <c r="G1767" s="88" t="n"/>
      <c r="H1767" s="88" t="n"/>
      <c r="I1767" s="88" t="n"/>
      <c r="J1767" s="89" t="n"/>
      <c r="K1767" s="88" t="n"/>
      <c r="L1767" s="88" t="n"/>
      <c r="M1767" s="88" t="n"/>
      <c r="N1767" s="89" t="n"/>
      <c r="O1767" s="88" t="n"/>
      <c r="P1767" s="88" t="n"/>
      <c r="Q1767" s="88" t="n"/>
      <c r="R1767" s="89" t="n"/>
      <c r="S1767" s="88" t="n"/>
      <c r="T1767" s="88" t="n"/>
      <c r="U1767" s="88" t="n"/>
      <c r="V1767" s="89" t="n"/>
      <c r="W1767" s="88" t="n"/>
      <c r="X1767" s="89" t="n"/>
      <c r="Y1767" s="88" t="n"/>
      <c r="Z1767" s="89" t="n"/>
      <c r="AB1767" s="30">
        <f>IF($B1767="","",(COUNTIF(C1767:E1767,"?*")&lt;N(INDEX(Setup!$L$6:$L$23,10)))+(COUNTIF(G1767:I1767,"?*")&lt;N(INDEX(Setup!$L$6:$L$23,10)))+(COUNTIF(K1767:M1767,"?*")&lt;N(INDEX(Setup!$L$6:$L$23,10)))+(COUNTIF(O1767:Q1767,"?*")&lt;N(INDEX(Setup!$L$6:$L$23,10)))+(COUNTIF(S1767:U1767,"?*")&lt;N(INDEX(Setup!$L$6:$L$23,10)))+((W1767="")*(INDEX(Setup!$M$6:$M$23,10)="Y"))+((Y1767="")*(INDEX(Setup!$M$6:$M$23,10)="Y")))</f>
        <v/>
      </c>
      <c r="AC1767" s="91">
        <f>IF($B1767="","",IF(AB1767=0,"✓ covered","⚠ "&amp;AB1767&amp;IF(AB1767=1," gap"," gaps")))</f>
        <v/>
      </c>
    </row>
    <row r="1768" ht="17" customHeight="1">
      <c r="A1768" t="n">
        <v>36</v>
      </c>
      <c r="B1768" s="24">
        <f>IF(Setup!$K$16="","",Setup!$K$16)</f>
        <v/>
      </c>
      <c r="C1768" s="88" t="n"/>
      <c r="D1768" s="88" t="n"/>
      <c r="E1768" s="88" t="n"/>
      <c r="F1768" s="89" t="n"/>
      <c r="G1768" s="88" t="n"/>
      <c r="H1768" s="88" t="n"/>
      <c r="I1768" s="88" t="n"/>
      <c r="J1768" s="89" t="n"/>
      <c r="K1768" s="88" t="n"/>
      <c r="L1768" s="88" t="n"/>
      <c r="M1768" s="88" t="n"/>
      <c r="N1768" s="89" t="n"/>
      <c r="O1768" s="88" t="n"/>
      <c r="P1768" s="88" t="n"/>
      <c r="Q1768" s="88" t="n"/>
      <c r="R1768" s="89" t="n"/>
      <c r="S1768" s="88" t="n"/>
      <c r="T1768" s="88" t="n"/>
      <c r="U1768" s="88" t="n"/>
      <c r="V1768" s="89" t="n"/>
      <c r="W1768" s="88" t="n"/>
      <c r="X1768" s="89" t="n"/>
      <c r="Y1768" s="88" t="n"/>
      <c r="Z1768" s="89" t="n"/>
      <c r="AB1768" s="25">
        <f>IF($B1768="","",(COUNTIF(C1768:E1768,"?*")&lt;N(INDEX(Setup!$L$6:$L$23,11)))+(COUNTIF(G1768:I1768,"?*")&lt;N(INDEX(Setup!$L$6:$L$23,11)))+(COUNTIF(K1768:M1768,"?*")&lt;N(INDEX(Setup!$L$6:$L$23,11)))+(COUNTIF(O1768:Q1768,"?*")&lt;N(INDEX(Setup!$L$6:$L$23,11)))+(COUNTIF(S1768:U1768,"?*")&lt;N(INDEX(Setup!$L$6:$L$23,11)))+((W1768="")*(INDEX(Setup!$M$6:$M$23,11)="Y"))+((Y1768="")*(INDEX(Setup!$M$6:$M$23,11)="Y")))</f>
        <v/>
      </c>
      <c r="AC1768" s="90">
        <f>IF($B1768="","",IF(AB1768=0,"✓ covered","⚠ "&amp;AB1768&amp;IF(AB1768=1," gap"," gaps")))</f>
        <v/>
      </c>
    </row>
    <row r="1769" ht="17" customHeight="1">
      <c r="A1769" t="n">
        <v>36</v>
      </c>
      <c r="B1769" s="29">
        <f>IF(Setup!$K$17="","",Setup!$K$17)</f>
        <v/>
      </c>
      <c r="C1769" s="88" t="n"/>
      <c r="D1769" s="88" t="n"/>
      <c r="E1769" s="88" t="n"/>
      <c r="F1769" s="89" t="n"/>
      <c r="G1769" s="88" t="n"/>
      <c r="H1769" s="88" t="n"/>
      <c r="I1769" s="88" t="n"/>
      <c r="J1769" s="89" t="n"/>
      <c r="K1769" s="88" t="n"/>
      <c r="L1769" s="88" t="n"/>
      <c r="M1769" s="88" t="n"/>
      <c r="N1769" s="89" t="n"/>
      <c r="O1769" s="88" t="n"/>
      <c r="P1769" s="88" t="n"/>
      <c r="Q1769" s="88" t="n"/>
      <c r="R1769" s="89" t="n"/>
      <c r="S1769" s="88" t="n"/>
      <c r="T1769" s="88" t="n"/>
      <c r="U1769" s="88" t="n"/>
      <c r="V1769" s="89" t="n"/>
      <c r="W1769" s="88" t="n"/>
      <c r="X1769" s="89" t="n"/>
      <c r="Y1769" s="88" t="n"/>
      <c r="Z1769" s="89" t="n"/>
      <c r="AB1769" s="30">
        <f>IF($B1769="","",(COUNTIF(C1769:E1769,"?*")&lt;N(INDEX(Setup!$L$6:$L$23,12)))+(COUNTIF(G1769:I1769,"?*")&lt;N(INDEX(Setup!$L$6:$L$23,12)))+(COUNTIF(K1769:M1769,"?*")&lt;N(INDEX(Setup!$L$6:$L$23,12)))+(COUNTIF(O1769:Q1769,"?*")&lt;N(INDEX(Setup!$L$6:$L$23,12)))+(COUNTIF(S1769:U1769,"?*")&lt;N(INDEX(Setup!$L$6:$L$23,12)))+((W1769="")*(INDEX(Setup!$M$6:$M$23,12)="Y"))+((Y1769="")*(INDEX(Setup!$M$6:$M$23,12)="Y")))</f>
        <v/>
      </c>
      <c r="AC1769" s="91">
        <f>IF($B1769="","",IF(AB1769=0,"✓ covered","⚠ "&amp;AB1769&amp;IF(AB1769=1," gap"," gaps")))</f>
        <v/>
      </c>
    </row>
    <row r="1770" ht="17" customHeight="1">
      <c r="A1770" t="n">
        <v>36</v>
      </c>
      <c r="B1770" s="24">
        <f>IF(Setup!$K$18="","",Setup!$K$18)</f>
        <v/>
      </c>
      <c r="C1770" s="88" t="n"/>
      <c r="D1770" s="88" t="n"/>
      <c r="E1770" s="88" t="n"/>
      <c r="F1770" s="89" t="n"/>
      <c r="G1770" s="88" t="n"/>
      <c r="H1770" s="88" t="n"/>
      <c r="I1770" s="88" t="n"/>
      <c r="J1770" s="89" t="n"/>
      <c r="K1770" s="88" t="n"/>
      <c r="L1770" s="88" t="n"/>
      <c r="M1770" s="88" t="n"/>
      <c r="N1770" s="89" t="n"/>
      <c r="O1770" s="88" t="n"/>
      <c r="P1770" s="88" t="n"/>
      <c r="Q1770" s="88" t="n"/>
      <c r="R1770" s="89" t="n"/>
      <c r="S1770" s="88" t="n"/>
      <c r="T1770" s="88" t="n"/>
      <c r="U1770" s="88" t="n"/>
      <c r="V1770" s="89" t="n"/>
      <c r="W1770" s="88" t="n"/>
      <c r="X1770" s="89" t="n"/>
      <c r="Y1770" s="88" t="n"/>
      <c r="Z1770" s="89" t="n"/>
      <c r="AB1770" s="25">
        <f>IF($B1770="","",(COUNTIF(C1770:E1770,"?*")&lt;N(INDEX(Setup!$L$6:$L$23,13)))+(COUNTIF(G1770:I1770,"?*")&lt;N(INDEX(Setup!$L$6:$L$23,13)))+(COUNTIF(K1770:M1770,"?*")&lt;N(INDEX(Setup!$L$6:$L$23,13)))+(COUNTIF(O1770:Q1770,"?*")&lt;N(INDEX(Setup!$L$6:$L$23,13)))+(COUNTIF(S1770:U1770,"?*")&lt;N(INDEX(Setup!$L$6:$L$23,13)))+((W1770="")*(INDEX(Setup!$M$6:$M$23,13)="Y"))+((Y1770="")*(INDEX(Setup!$M$6:$M$23,13)="Y")))</f>
        <v/>
      </c>
      <c r="AC1770" s="90">
        <f>IF($B1770="","",IF(AB1770=0,"✓ covered","⚠ "&amp;AB1770&amp;IF(AB1770=1," gap"," gaps")))</f>
        <v/>
      </c>
    </row>
    <row r="1771" ht="17" customHeight="1">
      <c r="A1771" t="n">
        <v>36</v>
      </c>
      <c r="B1771" s="29">
        <f>IF(Setup!$K$19="","",Setup!$K$19)</f>
        <v/>
      </c>
      <c r="C1771" s="88" t="n"/>
      <c r="D1771" s="88" t="n"/>
      <c r="E1771" s="88" t="n"/>
      <c r="F1771" s="89" t="n"/>
      <c r="G1771" s="88" t="n"/>
      <c r="H1771" s="88" t="n"/>
      <c r="I1771" s="88" t="n"/>
      <c r="J1771" s="89" t="n"/>
      <c r="K1771" s="88" t="n"/>
      <c r="L1771" s="88" t="n"/>
      <c r="M1771" s="88" t="n"/>
      <c r="N1771" s="89" t="n"/>
      <c r="O1771" s="88" t="n"/>
      <c r="P1771" s="88" t="n"/>
      <c r="Q1771" s="88" t="n"/>
      <c r="R1771" s="89" t="n"/>
      <c r="S1771" s="88" t="n"/>
      <c r="T1771" s="88" t="n"/>
      <c r="U1771" s="88" t="n"/>
      <c r="V1771" s="89" t="n"/>
      <c r="W1771" s="88" t="n"/>
      <c r="X1771" s="89" t="n"/>
      <c r="Y1771" s="88" t="n"/>
      <c r="Z1771" s="89" t="n"/>
      <c r="AB1771" s="30">
        <f>IF($B1771="","",(COUNTIF(C1771:E1771,"?*")&lt;N(INDEX(Setup!$L$6:$L$23,14)))+(COUNTIF(G1771:I1771,"?*")&lt;N(INDEX(Setup!$L$6:$L$23,14)))+(COUNTIF(K1771:M1771,"?*")&lt;N(INDEX(Setup!$L$6:$L$23,14)))+(COUNTIF(O1771:Q1771,"?*")&lt;N(INDEX(Setup!$L$6:$L$23,14)))+(COUNTIF(S1771:U1771,"?*")&lt;N(INDEX(Setup!$L$6:$L$23,14)))+((W1771="")*(INDEX(Setup!$M$6:$M$23,14)="Y"))+((Y1771="")*(INDEX(Setup!$M$6:$M$23,14)="Y")))</f>
        <v/>
      </c>
      <c r="AC1771" s="91">
        <f>IF($B1771="","",IF(AB1771=0,"✓ covered","⚠ "&amp;AB1771&amp;IF(AB1771=1," gap"," gaps")))</f>
        <v/>
      </c>
    </row>
    <row r="1772" ht="17" customHeight="1">
      <c r="A1772" t="n">
        <v>36</v>
      </c>
      <c r="B1772" s="24">
        <f>IF(Setup!$K$20="","",Setup!$K$20)</f>
        <v/>
      </c>
      <c r="C1772" s="88" t="n"/>
      <c r="D1772" s="88" t="n"/>
      <c r="E1772" s="88" t="n"/>
      <c r="F1772" s="89" t="n"/>
      <c r="G1772" s="88" t="n"/>
      <c r="H1772" s="88" t="n"/>
      <c r="I1772" s="88" t="n"/>
      <c r="J1772" s="89" t="n"/>
      <c r="K1772" s="88" t="n"/>
      <c r="L1772" s="88" t="n"/>
      <c r="M1772" s="88" t="n"/>
      <c r="N1772" s="89" t="n"/>
      <c r="O1772" s="88" t="n"/>
      <c r="P1772" s="88" t="n"/>
      <c r="Q1772" s="88" t="n"/>
      <c r="R1772" s="89" t="n"/>
      <c r="S1772" s="88" t="n"/>
      <c r="T1772" s="88" t="n"/>
      <c r="U1772" s="88" t="n"/>
      <c r="V1772" s="89" t="n"/>
      <c r="W1772" s="88" t="n"/>
      <c r="X1772" s="89" t="n"/>
      <c r="Y1772" s="88" t="n"/>
      <c r="Z1772" s="89" t="n"/>
      <c r="AB1772" s="25">
        <f>IF($B1772="","",(COUNTIF(C1772:E1772,"?*")&lt;N(INDEX(Setup!$L$6:$L$23,15)))+(COUNTIF(G1772:I1772,"?*")&lt;N(INDEX(Setup!$L$6:$L$23,15)))+(COUNTIF(K1772:M1772,"?*")&lt;N(INDEX(Setup!$L$6:$L$23,15)))+(COUNTIF(O1772:Q1772,"?*")&lt;N(INDEX(Setup!$L$6:$L$23,15)))+(COUNTIF(S1772:U1772,"?*")&lt;N(INDEX(Setup!$L$6:$L$23,15)))+((W1772="")*(INDEX(Setup!$M$6:$M$23,15)="Y"))+((Y1772="")*(INDEX(Setup!$M$6:$M$23,15)="Y")))</f>
        <v/>
      </c>
      <c r="AC1772" s="90">
        <f>IF($B1772="","",IF(AB1772=0,"✓ covered","⚠ "&amp;AB1772&amp;IF(AB1772=1," gap"," gaps")))</f>
        <v/>
      </c>
    </row>
    <row r="1773" ht="17" customHeight="1">
      <c r="A1773" t="n">
        <v>36</v>
      </c>
      <c r="B1773" s="29">
        <f>IF(Setup!$K$21="","",Setup!$K$21)</f>
        <v/>
      </c>
      <c r="C1773" s="88" t="n"/>
      <c r="D1773" s="88" t="n"/>
      <c r="E1773" s="88" t="n"/>
      <c r="F1773" s="89" t="n"/>
      <c r="G1773" s="88" t="n"/>
      <c r="H1773" s="88" t="n"/>
      <c r="I1773" s="88" t="n"/>
      <c r="J1773" s="89" t="n"/>
      <c r="K1773" s="88" t="n"/>
      <c r="L1773" s="88" t="n"/>
      <c r="M1773" s="88" t="n"/>
      <c r="N1773" s="89" t="n"/>
      <c r="O1773" s="88" t="n"/>
      <c r="P1773" s="88" t="n"/>
      <c r="Q1773" s="88" t="n"/>
      <c r="R1773" s="89" t="n"/>
      <c r="S1773" s="88" t="n"/>
      <c r="T1773" s="88" t="n"/>
      <c r="U1773" s="88" t="n"/>
      <c r="V1773" s="89" t="n"/>
      <c r="W1773" s="88" t="n"/>
      <c r="X1773" s="89" t="n"/>
      <c r="Y1773" s="88" t="n"/>
      <c r="Z1773" s="89" t="n"/>
      <c r="AB1773" s="30">
        <f>IF($B1773="","",(COUNTIF(C1773:E1773,"?*")&lt;N(INDEX(Setup!$L$6:$L$23,16)))+(COUNTIF(G1773:I1773,"?*")&lt;N(INDEX(Setup!$L$6:$L$23,16)))+(COUNTIF(K1773:M1773,"?*")&lt;N(INDEX(Setup!$L$6:$L$23,16)))+(COUNTIF(O1773:Q1773,"?*")&lt;N(INDEX(Setup!$L$6:$L$23,16)))+(COUNTIF(S1773:U1773,"?*")&lt;N(INDEX(Setup!$L$6:$L$23,16)))+((W1773="")*(INDEX(Setup!$M$6:$M$23,16)="Y"))+((Y1773="")*(INDEX(Setup!$M$6:$M$23,16)="Y")))</f>
        <v/>
      </c>
      <c r="AC1773" s="91">
        <f>IF($B1773="","",IF(AB1773=0,"✓ covered","⚠ "&amp;AB1773&amp;IF(AB1773=1," gap"," gaps")))</f>
        <v/>
      </c>
    </row>
    <row r="1774" ht="17" customHeight="1">
      <c r="A1774" t="n">
        <v>36</v>
      </c>
      <c r="B1774" s="24">
        <f>IF(Setup!$K$22="","",Setup!$K$22)</f>
        <v/>
      </c>
      <c r="C1774" s="88" t="n"/>
      <c r="D1774" s="88" t="n"/>
      <c r="E1774" s="88" t="n"/>
      <c r="F1774" s="89" t="n"/>
      <c r="G1774" s="88" t="n"/>
      <c r="H1774" s="88" t="n"/>
      <c r="I1774" s="88" t="n"/>
      <c r="J1774" s="89" t="n"/>
      <c r="K1774" s="88" t="n"/>
      <c r="L1774" s="88" t="n"/>
      <c r="M1774" s="88" t="n"/>
      <c r="N1774" s="89" t="n"/>
      <c r="O1774" s="88" t="n"/>
      <c r="P1774" s="88" t="n"/>
      <c r="Q1774" s="88" t="n"/>
      <c r="R1774" s="89" t="n"/>
      <c r="S1774" s="88" t="n"/>
      <c r="T1774" s="88" t="n"/>
      <c r="U1774" s="88" t="n"/>
      <c r="V1774" s="89" t="n"/>
      <c r="W1774" s="88" t="n"/>
      <c r="X1774" s="89" t="n"/>
      <c r="Y1774" s="88" t="n"/>
      <c r="Z1774" s="89" t="n"/>
      <c r="AB1774" s="25">
        <f>IF($B1774="","",(COUNTIF(C1774:E1774,"?*")&lt;N(INDEX(Setup!$L$6:$L$23,17)))+(COUNTIF(G1774:I1774,"?*")&lt;N(INDEX(Setup!$L$6:$L$23,17)))+(COUNTIF(K1774:M1774,"?*")&lt;N(INDEX(Setup!$L$6:$L$23,17)))+(COUNTIF(O1774:Q1774,"?*")&lt;N(INDEX(Setup!$L$6:$L$23,17)))+(COUNTIF(S1774:U1774,"?*")&lt;N(INDEX(Setup!$L$6:$L$23,17)))+((W1774="")*(INDEX(Setup!$M$6:$M$23,17)="Y"))+((Y1774="")*(INDEX(Setup!$M$6:$M$23,17)="Y")))</f>
        <v/>
      </c>
      <c r="AC1774" s="90">
        <f>IF($B1774="","",IF(AB1774=0,"✓ covered","⚠ "&amp;AB1774&amp;IF(AB1774=1," gap"," gaps")))</f>
        <v/>
      </c>
    </row>
    <row r="1775" ht="17" customHeight="1">
      <c r="A1775" t="n">
        <v>36</v>
      </c>
      <c r="B1775" s="29">
        <f>IF(Setup!$K$23="","",Setup!$K$23)</f>
        <v/>
      </c>
      <c r="C1775" s="88" t="n"/>
      <c r="D1775" s="88" t="n"/>
      <c r="E1775" s="88" t="n"/>
      <c r="F1775" s="89" t="n"/>
      <c r="G1775" s="88" t="n"/>
      <c r="H1775" s="88" t="n"/>
      <c r="I1775" s="88" t="n"/>
      <c r="J1775" s="89" t="n"/>
      <c r="K1775" s="88" t="n"/>
      <c r="L1775" s="88" t="n"/>
      <c r="M1775" s="88" t="n"/>
      <c r="N1775" s="89" t="n"/>
      <c r="O1775" s="88" t="n"/>
      <c r="P1775" s="88" t="n"/>
      <c r="Q1775" s="88" t="n"/>
      <c r="R1775" s="89" t="n"/>
      <c r="S1775" s="88" t="n"/>
      <c r="T1775" s="88" t="n"/>
      <c r="U1775" s="88" t="n"/>
      <c r="V1775" s="89" t="n"/>
      <c r="W1775" s="88" t="n"/>
      <c r="X1775" s="89" t="n"/>
      <c r="Y1775" s="88" t="n"/>
      <c r="Z1775" s="89" t="n"/>
      <c r="AB1775" s="30">
        <f>IF($B1775="","",(COUNTIF(C1775:E1775,"?*")&lt;N(INDEX(Setup!$L$6:$L$23,18)))+(COUNTIF(G1775:I1775,"?*")&lt;N(INDEX(Setup!$L$6:$L$23,18)))+(COUNTIF(K1775:M1775,"?*")&lt;N(INDEX(Setup!$L$6:$L$23,18)))+(COUNTIF(O1775:Q1775,"?*")&lt;N(INDEX(Setup!$L$6:$L$23,18)))+(COUNTIF(S1775:U1775,"?*")&lt;N(INDEX(Setup!$L$6:$L$23,18)))+((W1775="")*(INDEX(Setup!$M$6:$M$23,18)="Y"))+((Y1775="")*(INDEX(Setup!$M$6:$M$23,18)="Y")))</f>
        <v/>
      </c>
      <c r="AC1775" s="91">
        <f>IF($B1775="","",IF(AB1775=0,"✓ covered","⚠ "&amp;AB1775&amp;IF(AB1775=1," gap"," gaps")))</f>
        <v/>
      </c>
    </row>
    <row r="1776" ht="18" customHeight="1">
      <c r="A1776" t="n">
        <v>36</v>
      </c>
      <c r="B1776" s="78" t="inlineStr">
        <is>
          <t>TEAM AVAILABILITY</t>
        </is>
      </c>
      <c r="C1776" s="92" t="inlineStr">
        <is>
          <t>Mon</t>
        </is>
      </c>
      <c r="D1776" s="93" t="n"/>
      <c r="E1776" s="93" t="n"/>
      <c r="F1776" s="94" t="n"/>
      <c r="G1776" s="92" t="inlineStr">
        <is>
          <t>Tue</t>
        </is>
      </c>
      <c r="H1776" s="93" t="n"/>
      <c r="I1776" s="93" t="n"/>
      <c r="J1776" s="94" t="n"/>
      <c r="K1776" s="92" t="inlineStr">
        <is>
          <t>Wed</t>
        </is>
      </c>
      <c r="L1776" s="93" t="n"/>
      <c r="M1776" s="93" t="n"/>
      <c r="N1776" s="94" t="n"/>
      <c r="O1776" s="92" t="inlineStr">
        <is>
          <t>Thu</t>
        </is>
      </c>
      <c r="P1776" s="93" t="n"/>
      <c r="Q1776" s="93" t="n"/>
      <c r="R1776" s="94" t="n"/>
      <c r="S1776" s="92" t="inlineStr">
        <is>
          <t>Fri</t>
        </is>
      </c>
      <c r="T1776" s="93" t="n"/>
      <c r="U1776" s="93" t="n"/>
      <c r="V1776" s="94" t="n"/>
      <c r="W1776" s="95" t="inlineStr">
        <is>
          <t>Sat</t>
        </is>
      </c>
      <c r="X1776" s="96" t="n"/>
      <c r="Y1776" s="95" t="inlineStr">
        <is>
          <t>Sun</t>
        </is>
      </c>
      <c r="Z1776" s="96" t="n"/>
      <c r="AB1776" s="97" t="inlineStr">
        <is>
          <t>Days rostered</t>
        </is>
      </c>
      <c r="AC1776" s="97" t="inlineStr">
        <is>
          <t>Conflicts</t>
        </is>
      </c>
    </row>
    <row r="1777" ht="15" customHeight="1">
      <c r="A1777" t="n">
        <v>36</v>
      </c>
      <c r="B1777" s="35">
        <f>IF(Setup!$B$6="","",Setup!$B$6)</f>
        <v/>
      </c>
      <c r="C1777" s="98" t="n"/>
      <c r="D1777" s="99" t="n"/>
      <c r="E1777" s="99" t="n"/>
      <c r="F1777" s="100" t="n"/>
      <c r="G1777" s="98" t="n"/>
      <c r="H1777" s="99" t="n"/>
      <c r="I1777" s="99" t="n"/>
      <c r="J1777" s="100" t="n"/>
      <c r="K1777" s="98" t="n"/>
      <c r="L1777" s="99" t="n"/>
      <c r="M1777" s="99" t="n"/>
      <c r="N1777" s="100" t="n"/>
      <c r="O1777" s="98" t="n"/>
      <c r="P1777" s="99" t="n"/>
      <c r="Q1777" s="99" t="n"/>
      <c r="R1777" s="100" t="n"/>
      <c r="S1777" s="98" t="n"/>
      <c r="T1777" s="99" t="n"/>
      <c r="U1777" s="99" t="n"/>
      <c r="V1777" s="100" t="n"/>
      <c r="W1777" s="98" t="n"/>
      <c r="X1777" s="100" t="n"/>
      <c r="Y1777" s="98" t="n"/>
      <c r="Z1777" s="100" t="n"/>
      <c r="AB1777" s="101">
        <f>IF($B1777="","",(COUNTIF(C1758:E1775,$B1777)+COUNTIF(C1758:E1775,$B1777&amp;" ~*")&gt;0)+(COUNTIF(G1758:I1775,$B1777)+COUNTIF(G1758:I1775,$B1777&amp;" ~*")&gt;0)+(COUNTIF(K1758:M1775,$B1777)+COUNTIF(K1758:M1775,$B1777&amp;" ~*")&gt;0)+(COUNTIF(O1758:Q1775,$B1777)+COUNTIF(O1758:Q1775,$B1777&amp;" ~*")&gt;0)+(COUNTIF(S1758:U1775,$B1777)+COUNTIF(S1758:U1775,$B1777&amp;" ~*")&gt;0)+(COUNTIF(W1758:W1775,$B1777)+COUNTIF(W1758:W1775,$B1777&amp;" ~*")&gt;0)+(COUNTIF(Y1758:Y1775,$B1777)+COUNTIF(Y1758:Y1775,$B1777&amp;" ~*")&gt;0))</f>
        <v/>
      </c>
      <c r="AC1777" s="36">
        <f>IF($B1777="","",(IFERROR(INDEX(Setup!$G$33:$G$40,MATCH(C1777,Setup!$B$33:$B$40,0)),0)=1)*(COUNTIF(C1758:E1775,$B1777)+COUNTIF(C1758:E1775,$B1777&amp;" ~*")&gt;0)+(IFERROR(INDEX(Setup!$G$33:$G$40,MATCH(G1777,Setup!$B$33:$B$40,0)),0)=1)*(COUNTIF(G1758:I1775,$B1777)+COUNTIF(G1758:I1775,$B1777&amp;" ~*")&gt;0)+(IFERROR(INDEX(Setup!$G$33:$G$40,MATCH(K1777,Setup!$B$33:$B$40,0)),0)=1)*(COUNTIF(K1758:M1775,$B1777)+COUNTIF(K1758:M1775,$B1777&amp;" ~*")&gt;0)+(IFERROR(INDEX(Setup!$G$33:$G$40,MATCH(O1777,Setup!$B$33:$B$40,0)),0)=1)*(COUNTIF(O1758:Q1775,$B1777)+COUNTIF(O1758:Q1775,$B1777&amp;" ~*")&gt;0)+(IFERROR(INDEX(Setup!$G$33:$G$40,MATCH(S1777,Setup!$B$33:$B$40,0)),0)=1)*(COUNTIF(S1758:U1775,$B1777)+COUNTIF(S1758:U1775,$B1777&amp;" ~*")&gt;0)+(IFERROR(INDEX(Setup!$G$33:$G$40,MATCH(W1777,Setup!$B$33:$B$40,0)),0)=1)*(COUNTIF(W1758:W1775,$B1777)+COUNTIF(W1758:W1775,$B1777&amp;" ~*")&gt;0)+(IFERROR(INDEX(Setup!$G$33:$G$40,MATCH(Y1777,Setup!$B$33:$B$40,0)),0)=1)*(COUNTIF(Y1758:Y1775,$B1777)+COUNTIF(Y1758:Y1775,$B1777&amp;" ~*")&gt;0))</f>
        <v/>
      </c>
    </row>
    <row r="1778" ht="15" customHeight="1">
      <c r="A1778" t="n">
        <v>36</v>
      </c>
      <c r="B1778" s="37">
        <f>IF(Setup!$B$7="","",Setup!$B$7)</f>
        <v/>
      </c>
      <c r="C1778" s="102" t="n"/>
      <c r="D1778" s="103" t="n"/>
      <c r="E1778" s="103" t="n"/>
      <c r="F1778" s="104" t="n"/>
      <c r="G1778" s="102" t="n"/>
      <c r="H1778" s="103" t="n"/>
      <c r="I1778" s="103" t="n"/>
      <c r="J1778" s="104" t="n"/>
      <c r="K1778" s="102" t="n"/>
      <c r="L1778" s="103" t="n"/>
      <c r="M1778" s="103" t="n"/>
      <c r="N1778" s="104" t="n"/>
      <c r="O1778" s="102" t="n"/>
      <c r="P1778" s="103" t="n"/>
      <c r="Q1778" s="103" t="n"/>
      <c r="R1778" s="104" t="n"/>
      <c r="S1778" s="102" t="n"/>
      <c r="T1778" s="103" t="n"/>
      <c r="U1778" s="103" t="n"/>
      <c r="V1778" s="104" t="n"/>
      <c r="W1778" s="102" t="n"/>
      <c r="X1778" s="104" t="n"/>
      <c r="Y1778" s="102" t="n"/>
      <c r="Z1778" s="104" t="n"/>
      <c r="AB1778" s="105">
        <f>IF($B1778="","",(COUNTIF(C1758:E1775,$B1778)+COUNTIF(C1758:E1775,$B1778&amp;" ~*")&gt;0)+(COUNTIF(G1758:I1775,$B1778)+COUNTIF(G1758:I1775,$B1778&amp;" ~*")&gt;0)+(COUNTIF(K1758:M1775,$B1778)+COUNTIF(K1758:M1775,$B1778&amp;" ~*")&gt;0)+(COUNTIF(O1758:Q1775,$B1778)+COUNTIF(O1758:Q1775,$B1778&amp;" ~*")&gt;0)+(COUNTIF(S1758:U1775,$B1778)+COUNTIF(S1758:U1775,$B1778&amp;" ~*")&gt;0)+(COUNTIF(W1758:W1775,$B1778)+COUNTIF(W1758:W1775,$B1778&amp;" ~*")&gt;0)+(COUNTIF(Y1758:Y1775,$B1778)+COUNTIF(Y1758:Y1775,$B1778&amp;" ~*")&gt;0))</f>
        <v/>
      </c>
      <c r="AC1778" s="38">
        <f>IF($B1778="","",(IFERROR(INDEX(Setup!$G$33:$G$40,MATCH(C1778,Setup!$B$33:$B$40,0)),0)=1)*(COUNTIF(C1758:E1775,$B1778)+COUNTIF(C1758:E1775,$B1778&amp;" ~*")&gt;0)+(IFERROR(INDEX(Setup!$G$33:$G$40,MATCH(G1778,Setup!$B$33:$B$40,0)),0)=1)*(COUNTIF(G1758:I1775,$B1778)+COUNTIF(G1758:I1775,$B1778&amp;" ~*")&gt;0)+(IFERROR(INDEX(Setup!$G$33:$G$40,MATCH(K1778,Setup!$B$33:$B$40,0)),0)=1)*(COUNTIF(K1758:M1775,$B1778)+COUNTIF(K1758:M1775,$B1778&amp;" ~*")&gt;0)+(IFERROR(INDEX(Setup!$G$33:$G$40,MATCH(O1778,Setup!$B$33:$B$40,0)),0)=1)*(COUNTIF(O1758:Q1775,$B1778)+COUNTIF(O1758:Q1775,$B1778&amp;" ~*")&gt;0)+(IFERROR(INDEX(Setup!$G$33:$G$40,MATCH(S1778,Setup!$B$33:$B$40,0)),0)=1)*(COUNTIF(S1758:U1775,$B1778)+COUNTIF(S1758:U1775,$B1778&amp;" ~*")&gt;0)+(IFERROR(INDEX(Setup!$G$33:$G$40,MATCH(W1778,Setup!$B$33:$B$40,0)),0)=1)*(COUNTIF(W1758:W1775,$B1778)+COUNTIF(W1758:W1775,$B1778&amp;" ~*")&gt;0)+(IFERROR(INDEX(Setup!$G$33:$G$40,MATCH(Y1778,Setup!$B$33:$B$40,0)),0)=1)*(COUNTIF(Y1758:Y1775,$B1778)+COUNTIF(Y1758:Y1775,$B1778&amp;" ~*")&gt;0))</f>
        <v/>
      </c>
    </row>
    <row r="1779" ht="15" customHeight="1">
      <c r="A1779" t="n">
        <v>36</v>
      </c>
      <c r="B1779" s="35">
        <f>IF(Setup!$B$8="","",Setup!$B$8)</f>
        <v/>
      </c>
      <c r="C1779" s="98" t="n"/>
      <c r="D1779" s="99" t="n"/>
      <c r="E1779" s="99" t="n"/>
      <c r="F1779" s="100" t="n"/>
      <c r="G1779" s="98" t="n"/>
      <c r="H1779" s="99" t="n"/>
      <c r="I1779" s="99" t="n"/>
      <c r="J1779" s="100" t="n"/>
      <c r="K1779" s="98" t="n"/>
      <c r="L1779" s="99" t="n"/>
      <c r="M1779" s="99" t="n"/>
      <c r="N1779" s="100" t="n"/>
      <c r="O1779" s="98" t="n"/>
      <c r="P1779" s="99" t="n"/>
      <c r="Q1779" s="99" t="n"/>
      <c r="R1779" s="100" t="n"/>
      <c r="S1779" s="98" t="n"/>
      <c r="T1779" s="99" t="n"/>
      <c r="U1779" s="99" t="n"/>
      <c r="V1779" s="100" t="n"/>
      <c r="W1779" s="98" t="n"/>
      <c r="X1779" s="100" t="n"/>
      <c r="Y1779" s="98" t="n"/>
      <c r="Z1779" s="100" t="n"/>
      <c r="AB1779" s="101">
        <f>IF($B1779="","",(COUNTIF(C1758:E1775,$B1779)+COUNTIF(C1758:E1775,$B1779&amp;" ~*")&gt;0)+(COUNTIF(G1758:I1775,$B1779)+COUNTIF(G1758:I1775,$B1779&amp;" ~*")&gt;0)+(COUNTIF(K1758:M1775,$B1779)+COUNTIF(K1758:M1775,$B1779&amp;" ~*")&gt;0)+(COUNTIF(O1758:Q1775,$B1779)+COUNTIF(O1758:Q1775,$B1779&amp;" ~*")&gt;0)+(COUNTIF(S1758:U1775,$B1779)+COUNTIF(S1758:U1775,$B1779&amp;" ~*")&gt;0)+(COUNTIF(W1758:W1775,$B1779)+COUNTIF(W1758:W1775,$B1779&amp;" ~*")&gt;0)+(COUNTIF(Y1758:Y1775,$B1779)+COUNTIF(Y1758:Y1775,$B1779&amp;" ~*")&gt;0))</f>
        <v/>
      </c>
      <c r="AC1779" s="36">
        <f>IF($B1779="","",(IFERROR(INDEX(Setup!$G$33:$G$40,MATCH(C1779,Setup!$B$33:$B$40,0)),0)=1)*(COUNTIF(C1758:E1775,$B1779)+COUNTIF(C1758:E1775,$B1779&amp;" ~*")&gt;0)+(IFERROR(INDEX(Setup!$G$33:$G$40,MATCH(G1779,Setup!$B$33:$B$40,0)),0)=1)*(COUNTIF(G1758:I1775,$B1779)+COUNTIF(G1758:I1775,$B1779&amp;" ~*")&gt;0)+(IFERROR(INDEX(Setup!$G$33:$G$40,MATCH(K1779,Setup!$B$33:$B$40,0)),0)=1)*(COUNTIF(K1758:M1775,$B1779)+COUNTIF(K1758:M1775,$B1779&amp;" ~*")&gt;0)+(IFERROR(INDEX(Setup!$G$33:$G$40,MATCH(O1779,Setup!$B$33:$B$40,0)),0)=1)*(COUNTIF(O1758:Q1775,$B1779)+COUNTIF(O1758:Q1775,$B1779&amp;" ~*")&gt;0)+(IFERROR(INDEX(Setup!$G$33:$G$40,MATCH(S1779,Setup!$B$33:$B$40,0)),0)=1)*(COUNTIF(S1758:U1775,$B1779)+COUNTIF(S1758:U1775,$B1779&amp;" ~*")&gt;0)+(IFERROR(INDEX(Setup!$G$33:$G$40,MATCH(W1779,Setup!$B$33:$B$40,0)),0)=1)*(COUNTIF(W1758:W1775,$B1779)+COUNTIF(W1758:W1775,$B1779&amp;" ~*")&gt;0)+(IFERROR(INDEX(Setup!$G$33:$G$40,MATCH(Y1779,Setup!$B$33:$B$40,0)),0)=1)*(COUNTIF(Y1758:Y1775,$B1779)+COUNTIF(Y1758:Y1775,$B1779&amp;" ~*")&gt;0))</f>
        <v/>
      </c>
    </row>
    <row r="1780" ht="15" customHeight="1">
      <c r="A1780" t="n">
        <v>36</v>
      </c>
      <c r="B1780" s="37">
        <f>IF(Setup!$B$9="","",Setup!$B$9)</f>
        <v/>
      </c>
      <c r="C1780" s="102" t="n"/>
      <c r="D1780" s="103" t="n"/>
      <c r="E1780" s="103" t="n"/>
      <c r="F1780" s="104" t="n"/>
      <c r="G1780" s="102" t="n"/>
      <c r="H1780" s="103" t="n"/>
      <c r="I1780" s="103" t="n"/>
      <c r="J1780" s="104" t="n"/>
      <c r="K1780" s="102" t="n"/>
      <c r="L1780" s="103" t="n"/>
      <c r="M1780" s="103" t="n"/>
      <c r="N1780" s="104" t="n"/>
      <c r="O1780" s="102" t="n"/>
      <c r="P1780" s="103" t="n"/>
      <c r="Q1780" s="103" t="n"/>
      <c r="R1780" s="104" t="n"/>
      <c r="S1780" s="102" t="n"/>
      <c r="T1780" s="103" t="n"/>
      <c r="U1780" s="103" t="n"/>
      <c r="V1780" s="104" t="n"/>
      <c r="W1780" s="102" t="n"/>
      <c r="X1780" s="104" t="n"/>
      <c r="Y1780" s="102" t="n"/>
      <c r="Z1780" s="104" t="n"/>
      <c r="AB1780" s="105">
        <f>IF($B1780="","",(COUNTIF(C1758:E1775,$B1780)+COUNTIF(C1758:E1775,$B1780&amp;" ~*")&gt;0)+(COUNTIF(G1758:I1775,$B1780)+COUNTIF(G1758:I1775,$B1780&amp;" ~*")&gt;0)+(COUNTIF(K1758:M1775,$B1780)+COUNTIF(K1758:M1775,$B1780&amp;" ~*")&gt;0)+(COUNTIF(O1758:Q1775,$B1780)+COUNTIF(O1758:Q1775,$B1780&amp;" ~*")&gt;0)+(COUNTIF(S1758:U1775,$B1780)+COUNTIF(S1758:U1775,$B1780&amp;" ~*")&gt;0)+(COUNTIF(W1758:W1775,$B1780)+COUNTIF(W1758:W1775,$B1780&amp;" ~*")&gt;0)+(COUNTIF(Y1758:Y1775,$B1780)+COUNTIF(Y1758:Y1775,$B1780&amp;" ~*")&gt;0))</f>
        <v/>
      </c>
      <c r="AC1780" s="38">
        <f>IF($B1780="","",(IFERROR(INDEX(Setup!$G$33:$G$40,MATCH(C1780,Setup!$B$33:$B$40,0)),0)=1)*(COUNTIF(C1758:E1775,$B1780)+COUNTIF(C1758:E1775,$B1780&amp;" ~*")&gt;0)+(IFERROR(INDEX(Setup!$G$33:$G$40,MATCH(G1780,Setup!$B$33:$B$40,0)),0)=1)*(COUNTIF(G1758:I1775,$B1780)+COUNTIF(G1758:I1775,$B1780&amp;" ~*")&gt;0)+(IFERROR(INDEX(Setup!$G$33:$G$40,MATCH(K1780,Setup!$B$33:$B$40,0)),0)=1)*(COUNTIF(K1758:M1775,$B1780)+COUNTIF(K1758:M1775,$B1780&amp;" ~*")&gt;0)+(IFERROR(INDEX(Setup!$G$33:$G$40,MATCH(O1780,Setup!$B$33:$B$40,0)),0)=1)*(COUNTIF(O1758:Q1775,$B1780)+COUNTIF(O1758:Q1775,$B1780&amp;" ~*")&gt;0)+(IFERROR(INDEX(Setup!$G$33:$G$40,MATCH(S1780,Setup!$B$33:$B$40,0)),0)=1)*(COUNTIF(S1758:U1775,$B1780)+COUNTIF(S1758:U1775,$B1780&amp;" ~*")&gt;0)+(IFERROR(INDEX(Setup!$G$33:$G$40,MATCH(W1780,Setup!$B$33:$B$40,0)),0)=1)*(COUNTIF(W1758:W1775,$B1780)+COUNTIF(W1758:W1775,$B1780&amp;" ~*")&gt;0)+(IFERROR(INDEX(Setup!$G$33:$G$40,MATCH(Y1780,Setup!$B$33:$B$40,0)),0)=1)*(COUNTIF(Y1758:Y1775,$B1780)+COUNTIF(Y1758:Y1775,$B1780&amp;" ~*")&gt;0))</f>
        <v/>
      </c>
    </row>
    <row r="1781" ht="15" customHeight="1">
      <c r="A1781" t="n">
        <v>36</v>
      </c>
      <c r="B1781" s="35">
        <f>IF(Setup!$B$10="","",Setup!$B$10)</f>
        <v/>
      </c>
      <c r="C1781" s="98" t="n"/>
      <c r="D1781" s="99" t="n"/>
      <c r="E1781" s="99" t="n"/>
      <c r="F1781" s="100" t="n"/>
      <c r="G1781" s="98" t="n"/>
      <c r="H1781" s="99" t="n"/>
      <c r="I1781" s="99" t="n"/>
      <c r="J1781" s="100" t="n"/>
      <c r="K1781" s="98" t="n"/>
      <c r="L1781" s="99" t="n"/>
      <c r="M1781" s="99" t="n"/>
      <c r="N1781" s="100" t="n"/>
      <c r="O1781" s="98" t="n"/>
      <c r="P1781" s="99" t="n"/>
      <c r="Q1781" s="99" t="n"/>
      <c r="R1781" s="100" t="n"/>
      <c r="S1781" s="98" t="n"/>
      <c r="T1781" s="99" t="n"/>
      <c r="U1781" s="99" t="n"/>
      <c r="V1781" s="100" t="n"/>
      <c r="W1781" s="98" t="n"/>
      <c r="X1781" s="100" t="n"/>
      <c r="Y1781" s="98" t="n"/>
      <c r="Z1781" s="100" t="n"/>
      <c r="AB1781" s="101">
        <f>IF($B1781="","",(COUNTIF(C1758:E1775,$B1781)+COUNTIF(C1758:E1775,$B1781&amp;" ~*")&gt;0)+(COUNTIF(G1758:I1775,$B1781)+COUNTIF(G1758:I1775,$B1781&amp;" ~*")&gt;0)+(COUNTIF(K1758:M1775,$B1781)+COUNTIF(K1758:M1775,$B1781&amp;" ~*")&gt;0)+(COUNTIF(O1758:Q1775,$B1781)+COUNTIF(O1758:Q1775,$B1781&amp;" ~*")&gt;0)+(COUNTIF(S1758:U1775,$B1781)+COUNTIF(S1758:U1775,$B1781&amp;" ~*")&gt;0)+(COUNTIF(W1758:W1775,$B1781)+COUNTIF(W1758:W1775,$B1781&amp;" ~*")&gt;0)+(COUNTIF(Y1758:Y1775,$B1781)+COUNTIF(Y1758:Y1775,$B1781&amp;" ~*")&gt;0))</f>
        <v/>
      </c>
      <c r="AC1781" s="36">
        <f>IF($B1781="","",(IFERROR(INDEX(Setup!$G$33:$G$40,MATCH(C1781,Setup!$B$33:$B$40,0)),0)=1)*(COUNTIF(C1758:E1775,$B1781)+COUNTIF(C1758:E1775,$B1781&amp;" ~*")&gt;0)+(IFERROR(INDEX(Setup!$G$33:$G$40,MATCH(G1781,Setup!$B$33:$B$40,0)),0)=1)*(COUNTIF(G1758:I1775,$B1781)+COUNTIF(G1758:I1775,$B1781&amp;" ~*")&gt;0)+(IFERROR(INDEX(Setup!$G$33:$G$40,MATCH(K1781,Setup!$B$33:$B$40,0)),0)=1)*(COUNTIF(K1758:M1775,$B1781)+COUNTIF(K1758:M1775,$B1781&amp;" ~*")&gt;0)+(IFERROR(INDEX(Setup!$G$33:$G$40,MATCH(O1781,Setup!$B$33:$B$40,0)),0)=1)*(COUNTIF(O1758:Q1775,$B1781)+COUNTIF(O1758:Q1775,$B1781&amp;" ~*")&gt;0)+(IFERROR(INDEX(Setup!$G$33:$G$40,MATCH(S1781,Setup!$B$33:$B$40,0)),0)=1)*(COUNTIF(S1758:U1775,$B1781)+COUNTIF(S1758:U1775,$B1781&amp;" ~*")&gt;0)+(IFERROR(INDEX(Setup!$G$33:$G$40,MATCH(W1781,Setup!$B$33:$B$40,0)),0)=1)*(COUNTIF(W1758:W1775,$B1781)+COUNTIF(W1758:W1775,$B1781&amp;" ~*")&gt;0)+(IFERROR(INDEX(Setup!$G$33:$G$40,MATCH(Y1781,Setup!$B$33:$B$40,0)),0)=1)*(COUNTIF(Y1758:Y1775,$B1781)+COUNTIF(Y1758:Y1775,$B1781&amp;" ~*")&gt;0))</f>
        <v/>
      </c>
    </row>
    <row r="1782" ht="15" customHeight="1">
      <c r="A1782" t="n">
        <v>36</v>
      </c>
      <c r="B1782" s="37">
        <f>IF(Setup!$B$11="","",Setup!$B$11)</f>
        <v/>
      </c>
      <c r="C1782" s="102" t="n"/>
      <c r="D1782" s="103" t="n"/>
      <c r="E1782" s="103" t="n"/>
      <c r="F1782" s="104" t="n"/>
      <c r="G1782" s="102" t="n"/>
      <c r="H1782" s="103" t="n"/>
      <c r="I1782" s="103" t="n"/>
      <c r="J1782" s="104" t="n"/>
      <c r="K1782" s="102" t="n"/>
      <c r="L1782" s="103" t="n"/>
      <c r="M1782" s="103" t="n"/>
      <c r="N1782" s="104" t="n"/>
      <c r="O1782" s="102" t="n"/>
      <c r="P1782" s="103" t="n"/>
      <c r="Q1782" s="103" t="n"/>
      <c r="R1782" s="104" t="n"/>
      <c r="S1782" s="102" t="n"/>
      <c r="T1782" s="103" t="n"/>
      <c r="U1782" s="103" t="n"/>
      <c r="V1782" s="104" t="n"/>
      <c r="W1782" s="102" t="n"/>
      <c r="X1782" s="104" t="n"/>
      <c r="Y1782" s="102" t="n"/>
      <c r="Z1782" s="104" t="n"/>
      <c r="AB1782" s="105">
        <f>IF($B1782="","",(COUNTIF(C1758:E1775,$B1782)+COUNTIF(C1758:E1775,$B1782&amp;" ~*")&gt;0)+(COUNTIF(G1758:I1775,$B1782)+COUNTIF(G1758:I1775,$B1782&amp;" ~*")&gt;0)+(COUNTIF(K1758:M1775,$B1782)+COUNTIF(K1758:M1775,$B1782&amp;" ~*")&gt;0)+(COUNTIF(O1758:Q1775,$B1782)+COUNTIF(O1758:Q1775,$B1782&amp;" ~*")&gt;0)+(COUNTIF(S1758:U1775,$B1782)+COUNTIF(S1758:U1775,$B1782&amp;" ~*")&gt;0)+(COUNTIF(W1758:W1775,$B1782)+COUNTIF(W1758:W1775,$B1782&amp;" ~*")&gt;0)+(COUNTIF(Y1758:Y1775,$B1782)+COUNTIF(Y1758:Y1775,$B1782&amp;" ~*")&gt;0))</f>
        <v/>
      </c>
      <c r="AC1782" s="38">
        <f>IF($B1782="","",(IFERROR(INDEX(Setup!$G$33:$G$40,MATCH(C1782,Setup!$B$33:$B$40,0)),0)=1)*(COUNTIF(C1758:E1775,$B1782)+COUNTIF(C1758:E1775,$B1782&amp;" ~*")&gt;0)+(IFERROR(INDEX(Setup!$G$33:$G$40,MATCH(G1782,Setup!$B$33:$B$40,0)),0)=1)*(COUNTIF(G1758:I1775,$B1782)+COUNTIF(G1758:I1775,$B1782&amp;" ~*")&gt;0)+(IFERROR(INDEX(Setup!$G$33:$G$40,MATCH(K1782,Setup!$B$33:$B$40,0)),0)=1)*(COUNTIF(K1758:M1775,$B1782)+COUNTIF(K1758:M1775,$B1782&amp;" ~*")&gt;0)+(IFERROR(INDEX(Setup!$G$33:$G$40,MATCH(O1782,Setup!$B$33:$B$40,0)),0)=1)*(COUNTIF(O1758:Q1775,$B1782)+COUNTIF(O1758:Q1775,$B1782&amp;" ~*")&gt;0)+(IFERROR(INDEX(Setup!$G$33:$G$40,MATCH(S1782,Setup!$B$33:$B$40,0)),0)=1)*(COUNTIF(S1758:U1775,$B1782)+COUNTIF(S1758:U1775,$B1782&amp;" ~*")&gt;0)+(IFERROR(INDEX(Setup!$G$33:$G$40,MATCH(W1782,Setup!$B$33:$B$40,0)),0)=1)*(COUNTIF(W1758:W1775,$B1782)+COUNTIF(W1758:W1775,$B1782&amp;" ~*")&gt;0)+(IFERROR(INDEX(Setup!$G$33:$G$40,MATCH(Y1782,Setup!$B$33:$B$40,0)),0)=1)*(COUNTIF(Y1758:Y1775,$B1782)+COUNTIF(Y1758:Y1775,$B1782&amp;" ~*")&gt;0))</f>
        <v/>
      </c>
    </row>
    <row r="1783" ht="15" customHeight="1">
      <c r="A1783" t="n">
        <v>36</v>
      </c>
      <c r="B1783" s="35">
        <f>IF(Setup!$B$12="","",Setup!$B$12)</f>
        <v/>
      </c>
      <c r="C1783" s="98" t="n"/>
      <c r="D1783" s="99" t="n"/>
      <c r="E1783" s="99" t="n"/>
      <c r="F1783" s="100" t="n"/>
      <c r="G1783" s="98" t="n"/>
      <c r="H1783" s="99" t="n"/>
      <c r="I1783" s="99" t="n"/>
      <c r="J1783" s="100" t="n"/>
      <c r="K1783" s="98" t="n"/>
      <c r="L1783" s="99" t="n"/>
      <c r="M1783" s="99" t="n"/>
      <c r="N1783" s="100" t="n"/>
      <c r="O1783" s="98" t="n"/>
      <c r="P1783" s="99" t="n"/>
      <c r="Q1783" s="99" t="n"/>
      <c r="R1783" s="100" t="n"/>
      <c r="S1783" s="98" t="n"/>
      <c r="T1783" s="99" t="n"/>
      <c r="U1783" s="99" t="n"/>
      <c r="V1783" s="100" t="n"/>
      <c r="W1783" s="98" t="n"/>
      <c r="X1783" s="100" t="n"/>
      <c r="Y1783" s="98" t="n"/>
      <c r="Z1783" s="100" t="n"/>
      <c r="AB1783" s="101">
        <f>IF($B1783="","",(COUNTIF(C1758:E1775,$B1783)+COUNTIF(C1758:E1775,$B1783&amp;" ~*")&gt;0)+(COUNTIF(G1758:I1775,$B1783)+COUNTIF(G1758:I1775,$B1783&amp;" ~*")&gt;0)+(COUNTIF(K1758:M1775,$B1783)+COUNTIF(K1758:M1775,$B1783&amp;" ~*")&gt;0)+(COUNTIF(O1758:Q1775,$B1783)+COUNTIF(O1758:Q1775,$B1783&amp;" ~*")&gt;0)+(COUNTIF(S1758:U1775,$B1783)+COUNTIF(S1758:U1775,$B1783&amp;" ~*")&gt;0)+(COUNTIF(W1758:W1775,$B1783)+COUNTIF(W1758:W1775,$B1783&amp;" ~*")&gt;0)+(COUNTIF(Y1758:Y1775,$B1783)+COUNTIF(Y1758:Y1775,$B1783&amp;" ~*")&gt;0))</f>
        <v/>
      </c>
      <c r="AC1783" s="36">
        <f>IF($B1783="","",(IFERROR(INDEX(Setup!$G$33:$G$40,MATCH(C1783,Setup!$B$33:$B$40,0)),0)=1)*(COUNTIF(C1758:E1775,$B1783)+COUNTIF(C1758:E1775,$B1783&amp;" ~*")&gt;0)+(IFERROR(INDEX(Setup!$G$33:$G$40,MATCH(G1783,Setup!$B$33:$B$40,0)),0)=1)*(COUNTIF(G1758:I1775,$B1783)+COUNTIF(G1758:I1775,$B1783&amp;" ~*")&gt;0)+(IFERROR(INDEX(Setup!$G$33:$G$40,MATCH(K1783,Setup!$B$33:$B$40,0)),0)=1)*(COUNTIF(K1758:M1775,$B1783)+COUNTIF(K1758:M1775,$B1783&amp;" ~*")&gt;0)+(IFERROR(INDEX(Setup!$G$33:$G$40,MATCH(O1783,Setup!$B$33:$B$40,0)),0)=1)*(COUNTIF(O1758:Q1775,$B1783)+COUNTIF(O1758:Q1775,$B1783&amp;" ~*")&gt;0)+(IFERROR(INDEX(Setup!$G$33:$G$40,MATCH(S1783,Setup!$B$33:$B$40,0)),0)=1)*(COUNTIF(S1758:U1775,$B1783)+COUNTIF(S1758:U1775,$B1783&amp;" ~*")&gt;0)+(IFERROR(INDEX(Setup!$G$33:$G$40,MATCH(W1783,Setup!$B$33:$B$40,0)),0)=1)*(COUNTIF(W1758:W1775,$B1783)+COUNTIF(W1758:W1775,$B1783&amp;" ~*")&gt;0)+(IFERROR(INDEX(Setup!$G$33:$G$40,MATCH(Y1783,Setup!$B$33:$B$40,0)),0)=1)*(COUNTIF(Y1758:Y1775,$B1783)+COUNTIF(Y1758:Y1775,$B1783&amp;" ~*")&gt;0))</f>
        <v/>
      </c>
    </row>
    <row r="1784" ht="15" customHeight="1">
      <c r="A1784" t="n">
        <v>36</v>
      </c>
      <c r="B1784" s="37">
        <f>IF(Setup!$B$13="","",Setup!$B$13)</f>
        <v/>
      </c>
      <c r="C1784" s="102" t="n"/>
      <c r="D1784" s="103" t="n"/>
      <c r="E1784" s="103" t="n"/>
      <c r="F1784" s="104" t="n"/>
      <c r="G1784" s="102" t="n"/>
      <c r="H1784" s="103" t="n"/>
      <c r="I1784" s="103" t="n"/>
      <c r="J1784" s="104" t="n"/>
      <c r="K1784" s="102" t="n"/>
      <c r="L1784" s="103" t="n"/>
      <c r="M1784" s="103" t="n"/>
      <c r="N1784" s="104" t="n"/>
      <c r="O1784" s="102" t="n"/>
      <c r="P1784" s="103" t="n"/>
      <c r="Q1784" s="103" t="n"/>
      <c r="R1784" s="104" t="n"/>
      <c r="S1784" s="102" t="n"/>
      <c r="T1784" s="103" t="n"/>
      <c r="U1784" s="103" t="n"/>
      <c r="V1784" s="104" t="n"/>
      <c r="W1784" s="102" t="n"/>
      <c r="X1784" s="104" t="n"/>
      <c r="Y1784" s="102" t="n"/>
      <c r="Z1784" s="104" t="n"/>
      <c r="AB1784" s="105">
        <f>IF($B1784="","",(COUNTIF(C1758:E1775,$B1784)+COUNTIF(C1758:E1775,$B1784&amp;" ~*")&gt;0)+(COUNTIF(G1758:I1775,$B1784)+COUNTIF(G1758:I1775,$B1784&amp;" ~*")&gt;0)+(COUNTIF(K1758:M1775,$B1784)+COUNTIF(K1758:M1775,$B1784&amp;" ~*")&gt;0)+(COUNTIF(O1758:Q1775,$B1784)+COUNTIF(O1758:Q1775,$B1784&amp;" ~*")&gt;0)+(COUNTIF(S1758:U1775,$B1784)+COUNTIF(S1758:U1775,$B1784&amp;" ~*")&gt;0)+(COUNTIF(W1758:W1775,$B1784)+COUNTIF(W1758:W1775,$B1784&amp;" ~*")&gt;0)+(COUNTIF(Y1758:Y1775,$B1784)+COUNTIF(Y1758:Y1775,$B1784&amp;" ~*")&gt;0))</f>
        <v/>
      </c>
      <c r="AC1784" s="38">
        <f>IF($B1784="","",(IFERROR(INDEX(Setup!$G$33:$G$40,MATCH(C1784,Setup!$B$33:$B$40,0)),0)=1)*(COUNTIF(C1758:E1775,$B1784)+COUNTIF(C1758:E1775,$B1784&amp;" ~*")&gt;0)+(IFERROR(INDEX(Setup!$G$33:$G$40,MATCH(G1784,Setup!$B$33:$B$40,0)),0)=1)*(COUNTIF(G1758:I1775,$B1784)+COUNTIF(G1758:I1775,$B1784&amp;" ~*")&gt;0)+(IFERROR(INDEX(Setup!$G$33:$G$40,MATCH(K1784,Setup!$B$33:$B$40,0)),0)=1)*(COUNTIF(K1758:M1775,$B1784)+COUNTIF(K1758:M1775,$B1784&amp;" ~*")&gt;0)+(IFERROR(INDEX(Setup!$G$33:$G$40,MATCH(O1784,Setup!$B$33:$B$40,0)),0)=1)*(COUNTIF(O1758:Q1775,$B1784)+COUNTIF(O1758:Q1775,$B1784&amp;" ~*")&gt;0)+(IFERROR(INDEX(Setup!$G$33:$G$40,MATCH(S1784,Setup!$B$33:$B$40,0)),0)=1)*(COUNTIF(S1758:U1775,$B1784)+COUNTIF(S1758:U1775,$B1784&amp;" ~*")&gt;0)+(IFERROR(INDEX(Setup!$G$33:$G$40,MATCH(W1784,Setup!$B$33:$B$40,0)),0)=1)*(COUNTIF(W1758:W1775,$B1784)+COUNTIF(W1758:W1775,$B1784&amp;" ~*")&gt;0)+(IFERROR(INDEX(Setup!$G$33:$G$40,MATCH(Y1784,Setup!$B$33:$B$40,0)),0)=1)*(COUNTIF(Y1758:Y1775,$B1784)+COUNTIF(Y1758:Y1775,$B1784&amp;" ~*")&gt;0))</f>
        <v/>
      </c>
    </row>
    <row r="1785" ht="15" customHeight="1">
      <c r="A1785" t="n">
        <v>36</v>
      </c>
      <c r="B1785" s="35">
        <f>IF(Setup!$B$14="","",Setup!$B$14)</f>
        <v/>
      </c>
      <c r="C1785" s="98" t="n"/>
      <c r="D1785" s="99" t="n"/>
      <c r="E1785" s="99" t="n"/>
      <c r="F1785" s="100" t="n"/>
      <c r="G1785" s="98" t="n"/>
      <c r="H1785" s="99" t="n"/>
      <c r="I1785" s="99" t="n"/>
      <c r="J1785" s="100" t="n"/>
      <c r="K1785" s="98" t="n"/>
      <c r="L1785" s="99" t="n"/>
      <c r="M1785" s="99" t="n"/>
      <c r="N1785" s="100" t="n"/>
      <c r="O1785" s="98" t="n"/>
      <c r="P1785" s="99" t="n"/>
      <c r="Q1785" s="99" t="n"/>
      <c r="R1785" s="100" t="n"/>
      <c r="S1785" s="98" t="n"/>
      <c r="T1785" s="99" t="n"/>
      <c r="U1785" s="99" t="n"/>
      <c r="V1785" s="100" t="n"/>
      <c r="W1785" s="98" t="n"/>
      <c r="X1785" s="100" t="n"/>
      <c r="Y1785" s="98" t="n"/>
      <c r="Z1785" s="100" t="n"/>
      <c r="AB1785" s="101">
        <f>IF($B1785="","",(COUNTIF(C1758:E1775,$B1785)+COUNTIF(C1758:E1775,$B1785&amp;" ~*")&gt;0)+(COUNTIF(G1758:I1775,$B1785)+COUNTIF(G1758:I1775,$B1785&amp;" ~*")&gt;0)+(COUNTIF(K1758:M1775,$B1785)+COUNTIF(K1758:M1775,$B1785&amp;" ~*")&gt;0)+(COUNTIF(O1758:Q1775,$B1785)+COUNTIF(O1758:Q1775,$B1785&amp;" ~*")&gt;0)+(COUNTIF(S1758:U1775,$B1785)+COUNTIF(S1758:U1775,$B1785&amp;" ~*")&gt;0)+(COUNTIF(W1758:W1775,$B1785)+COUNTIF(W1758:W1775,$B1785&amp;" ~*")&gt;0)+(COUNTIF(Y1758:Y1775,$B1785)+COUNTIF(Y1758:Y1775,$B1785&amp;" ~*")&gt;0))</f>
        <v/>
      </c>
      <c r="AC1785" s="36">
        <f>IF($B1785="","",(IFERROR(INDEX(Setup!$G$33:$G$40,MATCH(C1785,Setup!$B$33:$B$40,0)),0)=1)*(COUNTIF(C1758:E1775,$B1785)+COUNTIF(C1758:E1775,$B1785&amp;" ~*")&gt;0)+(IFERROR(INDEX(Setup!$G$33:$G$40,MATCH(G1785,Setup!$B$33:$B$40,0)),0)=1)*(COUNTIF(G1758:I1775,$B1785)+COUNTIF(G1758:I1775,$B1785&amp;" ~*")&gt;0)+(IFERROR(INDEX(Setup!$G$33:$G$40,MATCH(K1785,Setup!$B$33:$B$40,0)),0)=1)*(COUNTIF(K1758:M1775,$B1785)+COUNTIF(K1758:M1775,$B1785&amp;" ~*")&gt;0)+(IFERROR(INDEX(Setup!$G$33:$G$40,MATCH(O1785,Setup!$B$33:$B$40,0)),0)=1)*(COUNTIF(O1758:Q1775,$B1785)+COUNTIF(O1758:Q1775,$B1785&amp;" ~*")&gt;0)+(IFERROR(INDEX(Setup!$G$33:$G$40,MATCH(S1785,Setup!$B$33:$B$40,0)),0)=1)*(COUNTIF(S1758:U1775,$B1785)+COUNTIF(S1758:U1775,$B1785&amp;" ~*")&gt;0)+(IFERROR(INDEX(Setup!$G$33:$G$40,MATCH(W1785,Setup!$B$33:$B$40,0)),0)=1)*(COUNTIF(W1758:W1775,$B1785)+COUNTIF(W1758:W1775,$B1785&amp;" ~*")&gt;0)+(IFERROR(INDEX(Setup!$G$33:$G$40,MATCH(Y1785,Setup!$B$33:$B$40,0)),0)=1)*(COUNTIF(Y1758:Y1775,$B1785)+COUNTIF(Y1758:Y1775,$B1785&amp;" ~*")&gt;0))</f>
        <v/>
      </c>
    </row>
    <row r="1786" ht="15" customHeight="1">
      <c r="A1786" t="n">
        <v>36</v>
      </c>
      <c r="B1786" s="37">
        <f>IF(Setup!$B$15="","",Setup!$B$15)</f>
        <v/>
      </c>
      <c r="C1786" s="102" t="n"/>
      <c r="D1786" s="103" t="n"/>
      <c r="E1786" s="103" t="n"/>
      <c r="F1786" s="104" t="n"/>
      <c r="G1786" s="102" t="n"/>
      <c r="H1786" s="103" t="n"/>
      <c r="I1786" s="103" t="n"/>
      <c r="J1786" s="104" t="n"/>
      <c r="K1786" s="102" t="n"/>
      <c r="L1786" s="103" t="n"/>
      <c r="M1786" s="103" t="n"/>
      <c r="N1786" s="104" t="n"/>
      <c r="O1786" s="102" t="n"/>
      <c r="P1786" s="103" t="n"/>
      <c r="Q1786" s="103" t="n"/>
      <c r="R1786" s="104" t="n"/>
      <c r="S1786" s="102" t="n"/>
      <c r="T1786" s="103" t="n"/>
      <c r="U1786" s="103" t="n"/>
      <c r="V1786" s="104" t="n"/>
      <c r="W1786" s="102" t="n"/>
      <c r="X1786" s="104" t="n"/>
      <c r="Y1786" s="102" t="n"/>
      <c r="Z1786" s="104" t="n"/>
      <c r="AB1786" s="105">
        <f>IF($B1786="","",(COUNTIF(C1758:E1775,$B1786)+COUNTIF(C1758:E1775,$B1786&amp;" ~*")&gt;0)+(COUNTIF(G1758:I1775,$B1786)+COUNTIF(G1758:I1775,$B1786&amp;" ~*")&gt;0)+(COUNTIF(K1758:M1775,$B1786)+COUNTIF(K1758:M1775,$B1786&amp;" ~*")&gt;0)+(COUNTIF(O1758:Q1775,$B1786)+COUNTIF(O1758:Q1775,$B1786&amp;" ~*")&gt;0)+(COUNTIF(S1758:U1775,$B1786)+COUNTIF(S1758:U1775,$B1786&amp;" ~*")&gt;0)+(COUNTIF(W1758:W1775,$B1786)+COUNTIF(W1758:W1775,$B1786&amp;" ~*")&gt;0)+(COUNTIF(Y1758:Y1775,$B1786)+COUNTIF(Y1758:Y1775,$B1786&amp;" ~*")&gt;0))</f>
        <v/>
      </c>
      <c r="AC1786" s="38">
        <f>IF($B1786="","",(IFERROR(INDEX(Setup!$G$33:$G$40,MATCH(C1786,Setup!$B$33:$B$40,0)),0)=1)*(COUNTIF(C1758:E1775,$B1786)+COUNTIF(C1758:E1775,$B1786&amp;" ~*")&gt;0)+(IFERROR(INDEX(Setup!$G$33:$G$40,MATCH(G1786,Setup!$B$33:$B$40,0)),0)=1)*(COUNTIF(G1758:I1775,$B1786)+COUNTIF(G1758:I1775,$B1786&amp;" ~*")&gt;0)+(IFERROR(INDEX(Setup!$G$33:$G$40,MATCH(K1786,Setup!$B$33:$B$40,0)),0)=1)*(COUNTIF(K1758:M1775,$B1786)+COUNTIF(K1758:M1775,$B1786&amp;" ~*")&gt;0)+(IFERROR(INDEX(Setup!$G$33:$G$40,MATCH(O1786,Setup!$B$33:$B$40,0)),0)=1)*(COUNTIF(O1758:Q1775,$B1786)+COUNTIF(O1758:Q1775,$B1786&amp;" ~*")&gt;0)+(IFERROR(INDEX(Setup!$G$33:$G$40,MATCH(S1786,Setup!$B$33:$B$40,0)),0)=1)*(COUNTIF(S1758:U1775,$B1786)+COUNTIF(S1758:U1775,$B1786&amp;" ~*")&gt;0)+(IFERROR(INDEX(Setup!$G$33:$G$40,MATCH(W1786,Setup!$B$33:$B$40,0)),0)=1)*(COUNTIF(W1758:W1775,$B1786)+COUNTIF(W1758:W1775,$B1786&amp;" ~*")&gt;0)+(IFERROR(INDEX(Setup!$G$33:$G$40,MATCH(Y1786,Setup!$B$33:$B$40,0)),0)=1)*(COUNTIF(Y1758:Y1775,$B1786)+COUNTIF(Y1758:Y1775,$B1786&amp;" ~*")&gt;0))</f>
        <v/>
      </c>
    </row>
    <row r="1787" ht="15" customHeight="1">
      <c r="A1787" t="n">
        <v>36</v>
      </c>
      <c r="B1787" s="35">
        <f>IF(Setup!$B$16="","",Setup!$B$16)</f>
        <v/>
      </c>
      <c r="C1787" s="98" t="n"/>
      <c r="D1787" s="99" t="n"/>
      <c r="E1787" s="99" t="n"/>
      <c r="F1787" s="100" t="n"/>
      <c r="G1787" s="98" t="n"/>
      <c r="H1787" s="99" t="n"/>
      <c r="I1787" s="99" t="n"/>
      <c r="J1787" s="100" t="n"/>
      <c r="K1787" s="98" t="n"/>
      <c r="L1787" s="99" t="n"/>
      <c r="M1787" s="99" t="n"/>
      <c r="N1787" s="100" t="n"/>
      <c r="O1787" s="98" t="n"/>
      <c r="P1787" s="99" t="n"/>
      <c r="Q1787" s="99" t="n"/>
      <c r="R1787" s="100" t="n"/>
      <c r="S1787" s="98" t="n"/>
      <c r="T1787" s="99" t="n"/>
      <c r="U1787" s="99" t="n"/>
      <c r="V1787" s="100" t="n"/>
      <c r="W1787" s="98" t="n"/>
      <c r="X1787" s="100" t="n"/>
      <c r="Y1787" s="98" t="n"/>
      <c r="Z1787" s="100" t="n"/>
      <c r="AB1787" s="101">
        <f>IF($B1787="","",(COUNTIF(C1758:E1775,$B1787)+COUNTIF(C1758:E1775,$B1787&amp;" ~*")&gt;0)+(COUNTIF(G1758:I1775,$B1787)+COUNTIF(G1758:I1775,$B1787&amp;" ~*")&gt;0)+(COUNTIF(K1758:M1775,$B1787)+COUNTIF(K1758:M1775,$B1787&amp;" ~*")&gt;0)+(COUNTIF(O1758:Q1775,$B1787)+COUNTIF(O1758:Q1775,$B1787&amp;" ~*")&gt;0)+(COUNTIF(S1758:U1775,$B1787)+COUNTIF(S1758:U1775,$B1787&amp;" ~*")&gt;0)+(COUNTIF(W1758:W1775,$B1787)+COUNTIF(W1758:W1775,$B1787&amp;" ~*")&gt;0)+(COUNTIF(Y1758:Y1775,$B1787)+COUNTIF(Y1758:Y1775,$B1787&amp;" ~*")&gt;0))</f>
        <v/>
      </c>
      <c r="AC1787" s="36">
        <f>IF($B1787="","",(IFERROR(INDEX(Setup!$G$33:$G$40,MATCH(C1787,Setup!$B$33:$B$40,0)),0)=1)*(COUNTIF(C1758:E1775,$B1787)+COUNTIF(C1758:E1775,$B1787&amp;" ~*")&gt;0)+(IFERROR(INDEX(Setup!$G$33:$G$40,MATCH(G1787,Setup!$B$33:$B$40,0)),0)=1)*(COUNTIF(G1758:I1775,$B1787)+COUNTIF(G1758:I1775,$B1787&amp;" ~*")&gt;0)+(IFERROR(INDEX(Setup!$G$33:$G$40,MATCH(K1787,Setup!$B$33:$B$40,0)),0)=1)*(COUNTIF(K1758:M1775,$B1787)+COUNTIF(K1758:M1775,$B1787&amp;" ~*")&gt;0)+(IFERROR(INDEX(Setup!$G$33:$G$40,MATCH(O1787,Setup!$B$33:$B$40,0)),0)=1)*(COUNTIF(O1758:Q1775,$B1787)+COUNTIF(O1758:Q1775,$B1787&amp;" ~*")&gt;0)+(IFERROR(INDEX(Setup!$G$33:$G$40,MATCH(S1787,Setup!$B$33:$B$40,0)),0)=1)*(COUNTIF(S1758:U1775,$B1787)+COUNTIF(S1758:U1775,$B1787&amp;" ~*")&gt;0)+(IFERROR(INDEX(Setup!$G$33:$G$40,MATCH(W1787,Setup!$B$33:$B$40,0)),0)=1)*(COUNTIF(W1758:W1775,$B1787)+COUNTIF(W1758:W1775,$B1787&amp;" ~*")&gt;0)+(IFERROR(INDEX(Setup!$G$33:$G$40,MATCH(Y1787,Setup!$B$33:$B$40,0)),0)=1)*(COUNTIF(Y1758:Y1775,$B1787)+COUNTIF(Y1758:Y1775,$B1787&amp;" ~*")&gt;0))</f>
        <v/>
      </c>
    </row>
    <row r="1788" ht="15" customHeight="1">
      <c r="A1788" t="n">
        <v>36</v>
      </c>
      <c r="B1788" s="37">
        <f>IF(Setup!$B$17="","",Setup!$B$17)</f>
        <v/>
      </c>
      <c r="C1788" s="102" t="n"/>
      <c r="D1788" s="103" t="n"/>
      <c r="E1788" s="103" t="n"/>
      <c r="F1788" s="104" t="n"/>
      <c r="G1788" s="102" t="n"/>
      <c r="H1788" s="103" t="n"/>
      <c r="I1788" s="103" t="n"/>
      <c r="J1788" s="104" t="n"/>
      <c r="K1788" s="102" t="n"/>
      <c r="L1788" s="103" t="n"/>
      <c r="M1788" s="103" t="n"/>
      <c r="N1788" s="104" t="n"/>
      <c r="O1788" s="102" t="n"/>
      <c r="P1788" s="103" t="n"/>
      <c r="Q1788" s="103" t="n"/>
      <c r="R1788" s="104" t="n"/>
      <c r="S1788" s="102" t="n"/>
      <c r="T1788" s="103" t="n"/>
      <c r="U1788" s="103" t="n"/>
      <c r="V1788" s="104" t="n"/>
      <c r="W1788" s="102" t="n"/>
      <c r="X1788" s="104" t="n"/>
      <c r="Y1788" s="102" t="n"/>
      <c r="Z1788" s="104" t="n"/>
      <c r="AB1788" s="105">
        <f>IF($B1788="","",(COUNTIF(C1758:E1775,$B1788)+COUNTIF(C1758:E1775,$B1788&amp;" ~*")&gt;0)+(COUNTIF(G1758:I1775,$B1788)+COUNTIF(G1758:I1775,$B1788&amp;" ~*")&gt;0)+(COUNTIF(K1758:M1775,$B1788)+COUNTIF(K1758:M1775,$B1788&amp;" ~*")&gt;0)+(COUNTIF(O1758:Q1775,$B1788)+COUNTIF(O1758:Q1775,$B1788&amp;" ~*")&gt;0)+(COUNTIF(S1758:U1775,$B1788)+COUNTIF(S1758:U1775,$B1788&amp;" ~*")&gt;0)+(COUNTIF(W1758:W1775,$B1788)+COUNTIF(W1758:W1775,$B1788&amp;" ~*")&gt;0)+(COUNTIF(Y1758:Y1775,$B1788)+COUNTIF(Y1758:Y1775,$B1788&amp;" ~*")&gt;0))</f>
        <v/>
      </c>
      <c r="AC1788" s="38">
        <f>IF($B1788="","",(IFERROR(INDEX(Setup!$G$33:$G$40,MATCH(C1788,Setup!$B$33:$B$40,0)),0)=1)*(COUNTIF(C1758:E1775,$B1788)+COUNTIF(C1758:E1775,$B1788&amp;" ~*")&gt;0)+(IFERROR(INDEX(Setup!$G$33:$G$40,MATCH(G1788,Setup!$B$33:$B$40,0)),0)=1)*(COUNTIF(G1758:I1775,$B1788)+COUNTIF(G1758:I1775,$B1788&amp;" ~*")&gt;0)+(IFERROR(INDEX(Setup!$G$33:$G$40,MATCH(K1788,Setup!$B$33:$B$40,0)),0)=1)*(COUNTIF(K1758:M1775,$B1788)+COUNTIF(K1758:M1775,$B1788&amp;" ~*")&gt;0)+(IFERROR(INDEX(Setup!$G$33:$G$40,MATCH(O1788,Setup!$B$33:$B$40,0)),0)=1)*(COUNTIF(O1758:Q1775,$B1788)+COUNTIF(O1758:Q1775,$B1788&amp;" ~*")&gt;0)+(IFERROR(INDEX(Setup!$G$33:$G$40,MATCH(S1788,Setup!$B$33:$B$40,0)),0)=1)*(COUNTIF(S1758:U1775,$B1788)+COUNTIF(S1758:U1775,$B1788&amp;" ~*")&gt;0)+(IFERROR(INDEX(Setup!$G$33:$G$40,MATCH(W1788,Setup!$B$33:$B$40,0)),0)=1)*(COUNTIF(W1758:W1775,$B1788)+COUNTIF(W1758:W1775,$B1788&amp;" ~*")&gt;0)+(IFERROR(INDEX(Setup!$G$33:$G$40,MATCH(Y1788,Setup!$B$33:$B$40,0)),0)=1)*(COUNTIF(Y1758:Y1775,$B1788)+COUNTIF(Y1758:Y1775,$B1788&amp;" ~*")&gt;0))</f>
        <v/>
      </c>
    </row>
    <row r="1789" ht="15" customHeight="1">
      <c r="A1789" t="n">
        <v>36</v>
      </c>
      <c r="B1789" s="35">
        <f>IF(Setup!$B$18="","",Setup!$B$18)</f>
        <v/>
      </c>
      <c r="C1789" s="98" t="n"/>
      <c r="D1789" s="99" t="n"/>
      <c r="E1789" s="99" t="n"/>
      <c r="F1789" s="100" t="n"/>
      <c r="G1789" s="98" t="n"/>
      <c r="H1789" s="99" t="n"/>
      <c r="I1789" s="99" t="n"/>
      <c r="J1789" s="100" t="n"/>
      <c r="K1789" s="98" t="n"/>
      <c r="L1789" s="99" t="n"/>
      <c r="M1789" s="99" t="n"/>
      <c r="N1789" s="100" t="n"/>
      <c r="O1789" s="98" t="n"/>
      <c r="P1789" s="99" t="n"/>
      <c r="Q1789" s="99" t="n"/>
      <c r="R1789" s="100" t="n"/>
      <c r="S1789" s="98" t="n"/>
      <c r="T1789" s="99" t="n"/>
      <c r="U1789" s="99" t="n"/>
      <c r="V1789" s="100" t="n"/>
      <c r="W1789" s="98" t="n"/>
      <c r="X1789" s="100" t="n"/>
      <c r="Y1789" s="98" t="n"/>
      <c r="Z1789" s="100" t="n"/>
      <c r="AB1789" s="101">
        <f>IF($B1789="","",(COUNTIF(C1758:E1775,$B1789)+COUNTIF(C1758:E1775,$B1789&amp;" ~*")&gt;0)+(COUNTIF(G1758:I1775,$B1789)+COUNTIF(G1758:I1775,$B1789&amp;" ~*")&gt;0)+(COUNTIF(K1758:M1775,$B1789)+COUNTIF(K1758:M1775,$B1789&amp;" ~*")&gt;0)+(COUNTIF(O1758:Q1775,$B1789)+COUNTIF(O1758:Q1775,$B1789&amp;" ~*")&gt;0)+(COUNTIF(S1758:U1775,$B1789)+COUNTIF(S1758:U1775,$B1789&amp;" ~*")&gt;0)+(COUNTIF(W1758:W1775,$B1789)+COUNTIF(W1758:W1775,$B1789&amp;" ~*")&gt;0)+(COUNTIF(Y1758:Y1775,$B1789)+COUNTIF(Y1758:Y1775,$B1789&amp;" ~*")&gt;0))</f>
        <v/>
      </c>
      <c r="AC1789" s="36">
        <f>IF($B1789="","",(IFERROR(INDEX(Setup!$G$33:$G$40,MATCH(C1789,Setup!$B$33:$B$40,0)),0)=1)*(COUNTIF(C1758:E1775,$B1789)+COUNTIF(C1758:E1775,$B1789&amp;" ~*")&gt;0)+(IFERROR(INDEX(Setup!$G$33:$G$40,MATCH(G1789,Setup!$B$33:$B$40,0)),0)=1)*(COUNTIF(G1758:I1775,$B1789)+COUNTIF(G1758:I1775,$B1789&amp;" ~*")&gt;0)+(IFERROR(INDEX(Setup!$G$33:$G$40,MATCH(K1789,Setup!$B$33:$B$40,0)),0)=1)*(COUNTIF(K1758:M1775,$B1789)+COUNTIF(K1758:M1775,$B1789&amp;" ~*")&gt;0)+(IFERROR(INDEX(Setup!$G$33:$G$40,MATCH(O1789,Setup!$B$33:$B$40,0)),0)=1)*(COUNTIF(O1758:Q1775,$B1789)+COUNTIF(O1758:Q1775,$B1789&amp;" ~*")&gt;0)+(IFERROR(INDEX(Setup!$G$33:$G$40,MATCH(S1789,Setup!$B$33:$B$40,0)),0)=1)*(COUNTIF(S1758:U1775,$B1789)+COUNTIF(S1758:U1775,$B1789&amp;" ~*")&gt;0)+(IFERROR(INDEX(Setup!$G$33:$G$40,MATCH(W1789,Setup!$B$33:$B$40,0)),0)=1)*(COUNTIF(W1758:W1775,$B1789)+COUNTIF(W1758:W1775,$B1789&amp;" ~*")&gt;0)+(IFERROR(INDEX(Setup!$G$33:$G$40,MATCH(Y1789,Setup!$B$33:$B$40,0)),0)=1)*(COUNTIF(Y1758:Y1775,$B1789)+COUNTIF(Y1758:Y1775,$B1789&amp;" ~*")&gt;0))</f>
        <v/>
      </c>
    </row>
    <row r="1790" ht="15" customHeight="1">
      <c r="A1790" t="n">
        <v>36</v>
      </c>
      <c r="B1790" s="37">
        <f>IF(Setup!$B$19="","",Setup!$B$19)</f>
        <v/>
      </c>
      <c r="C1790" s="102" t="n"/>
      <c r="D1790" s="103" t="n"/>
      <c r="E1790" s="103" t="n"/>
      <c r="F1790" s="104" t="n"/>
      <c r="G1790" s="102" t="n"/>
      <c r="H1790" s="103" t="n"/>
      <c r="I1790" s="103" t="n"/>
      <c r="J1790" s="104" t="n"/>
      <c r="K1790" s="102" t="n"/>
      <c r="L1790" s="103" t="n"/>
      <c r="M1790" s="103" t="n"/>
      <c r="N1790" s="104" t="n"/>
      <c r="O1790" s="102" t="n"/>
      <c r="P1790" s="103" t="n"/>
      <c r="Q1790" s="103" t="n"/>
      <c r="R1790" s="104" t="n"/>
      <c r="S1790" s="102" t="n"/>
      <c r="T1790" s="103" t="n"/>
      <c r="U1790" s="103" t="n"/>
      <c r="V1790" s="104" t="n"/>
      <c r="W1790" s="102" t="n"/>
      <c r="X1790" s="104" t="n"/>
      <c r="Y1790" s="102" t="n"/>
      <c r="Z1790" s="104" t="n"/>
      <c r="AB1790" s="105">
        <f>IF($B1790="","",(COUNTIF(C1758:E1775,$B1790)+COUNTIF(C1758:E1775,$B1790&amp;" ~*")&gt;0)+(COUNTIF(G1758:I1775,$B1790)+COUNTIF(G1758:I1775,$B1790&amp;" ~*")&gt;0)+(COUNTIF(K1758:M1775,$B1790)+COUNTIF(K1758:M1775,$B1790&amp;" ~*")&gt;0)+(COUNTIF(O1758:Q1775,$B1790)+COUNTIF(O1758:Q1775,$B1790&amp;" ~*")&gt;0)+(COUNTIF(S1758:U1775,$B1790)+COUNTIF(S1758:U1775,$B1790&amp;" ~*")&gt;0)+(COUNTIF(W1758:W1775,$B1790)+COUNTIF(W1758:W1775,$B1790&amp;" ~*")&gt;0)+(COUNTIF(Y1758:Y1775,$B1790)+COUNTIF(Y1758:Y1775,$B1790&amp;" ~*")&gt;0))</f>
        <v/>
      </c>
      <c r="AC1790" s="38">
        <f>IF($B1790="","",(IFERROR(INDEX(Setup!$G$33:$G$40,MATCH(C1790,Setup!$B$33:$B$40,0)),0)=1)*(COUNTIF(C1758:E1775,$B1790)+COUNTIF(C1758:E1775,$B1790&amp;" ~*")&gt;0)+(IFERROR(INDEX(Setup!$G$33:$G$40,MATCH(G1790,Setup!$B$33:$B$40,0)),0)=1)*(COUNTIF(G1758:I1775,$B1790)+COUNTIF(G1758:I1775,$B1790&amp;" ~*")&gt;0)+(IFERROR(INDEX(Setup!$G$33:$G$40,MATCH(K1790,Setup!$B$33:$B$40,0)),0)=1)*(COUNTIF(K1758:M1775,$B1790)+COUNTIF(K1758:M1775,$B1790&amp;" ~*")&gt;0)+(IFERROR(INDEX(Setup!$G$33:$G$40,MATCH(O1790,Setup!$B$33:$B$40,0)),0)=1)*(COUNTIF(O1758:Q1775,$B1790)+COUNTIF(O1758:Q1775,$B1790&amp;" ~*")&gt;0)+(IFERROR(INDEX(Setup!$G$33:$G$40,MATCH(S1790,Setup!$B$33:$B$40,0)),0)=1)*(COUNTIF(S1758:U1775,$B1790)+COUNTIF(S1758:U1775,$B1790&amp;" ~*")&gt;0)+(IFERROR(INDEX(Setup!$G$33:$G$40,MATCH(W1790,Setup!$B$33:$B$40,0)),0)=1)*(COUNTIF(W1758:W1775,$B1790)+COUNTIF(W1758:W1775,$B1790&amp;" ~*")&gt;0)+(IFERROR(INDEX(Setup!$G$33:$G$40,MATCH(Y1790,Setup!$B$33:$B$40,0)),0)=1)*(COUNTIF(Y1758:Y1775,$B1790)+COUNTIF(Y1758:Y1775,$B1790&amp;" ~*")&gt;0))</f>
        <v/>
      </c>
    </row>
    <row r="1791" ht="15" customHeight="1">
      <c r="A1791" t="n">
        <v>36</v>
      </c>
      <c r="B1791" s="35">
        <f>IF(Setup!$B$20="","",Setup!$B$20)</f>
        <v/>
      </c>
      <c r="C1791" s="98" t="n"/>
      <c r="D1791" s="99" t="n"/>
      <c r="E1791" s="99" t="n"/>
      <c r="F1791" s="100" t="n"/>
      <c r="G1791" s="98" t="n"/>
      <c r="H1791" s="99" t="n"/>
      <c r="I1791" s="99" t="n"/>
      <c r="J1791" s="100" t="n"/>
      <c r="K1791" s="98" t="n"/>
      <c r="L1791" s="99" t="n"/>
      <c r="M1791" s="99" t="n"/>
      <c r="N1791" s="100" t="n"/>
      <c r="O1791" s="98" t="n"/>
      <c r="P1791" s="99" t="n"/>
      <c r="Q1791" s="99" t="n"/>
      <c r="R1791" s="100" t="n"/>
      <c r="S1791" s="98" t="n"/>
      <c r="T1791" s="99" t="n"/>
      <c r="U1791" s="99" t="n"/>
      <c r="V1791" s="100" t="n"/>
      <c r="W1791" s="98" t="n"/>
      <c r="X1791" s="100" t="n"/>
      <c r="Y1791" s="98" t="n"/>
      <c r="Z1791" s="100" t="n"/>
      <c r="AB1791" s="101">
        <f>IF($B1791="","",(COUNTIF(C1758:E1775,$B1791)+COUNTIF(C1758:E1775,$B1791&amp;" ~*")&gt;0)+(COUNTIF(G1758:I1775,$B1791)+COUNTIF(G1758:I1775,$B1791&amp;" ~*")&gt;0)+(COUNTIF(K1758:M1775,$B1791)+COUNTIF(K1758:M1775,$B1791&amp;" ~*")&gt;0)+(COUNTIF(O1758:Q1775,$B1791)+COUNTIF(O1758:Q1775,$B1791&amp;" ~*")&gt;0)+(COUNTIF(S1758:U1775,$B1791)+COUNTIF(S1758:U1775,$B1791&amp;" ~*")&gt;0)+(COUNTIF(W1758:W1775,$B1791)+COUNTIF(W1758:W1775,$B1791&amp;" ~*")&gt;0)+(COUNTIF(Y1758:Y1775,$B1791)+COUNTIF(Y1758:Y1775,$B1791&amp;" ~*")&gt;0))</f>
        <v/>
      </c>
      <c r="AC1791" s="36">
        <f>IF($B1791="","",(IFERROR(INDEX(Setup!$G$33:$G$40,MATCH(C1791,Setup!$B$33:$B$40,0)),0)=1)*(COUNTIF(C1758:E1775,$B1791)+COUNTIF(C1758:E1775,$B1791&amp;" ~*")&gt;0)+(IFERROR(INDEX(Setup!$G$33:$G$40,MATCH(G1791,Setup!$B$33:$B$40,0)),0)=1)*(COUNTIF(G1758:I1775,$B1791)+COUNTIF(G1758:I1775,$B1791&amp;" ~*")&gt;0)+(IFERROR(INDEX(Setup!$G$33:$G$40,MATCH(K1791,Setup!$B$33:$B$40,0)),0)=1)*(COUNTIF(K1758:M1775,$B1791)+COUNTIF(K1758:M1775,$B1791&amp;" ~*")&gt;0)+(IFERROR(INDEX(Setup!$G$33:$G$40,MATCH(O1791,Setup!$B$33:$B$40,0)),0)=1)*(COUNTIF(O1758:Q1775,$B1791)+COUNTIF(O1758:Q1775,$B1791&amp;" ~*")&gt;0)+(IFERROR(INDEX(Setup!$G$33:$G$40,MATCH(S1791,Setup!$B$33:$B$40,0)),0)=1)*(COUNTIF(S1758:U1775,$B1791)+COUNTIF(S1758:U1775,$B1791&amp;" ~*")&gt;0)+(IFERROR(INDEX(Setup!$G$33:$G$40,MATCH(W1791,Setup!$B$33:$B$40,0)),0)=1)*(COUNTIF(W1758:W1775,$B1791)+COUNTIF(W1758:W1775,$B1791&amp;" ~*")&gt;0)+(IFERROR(INDEX(Setup!$G$33:$G$40,MATCH(Y1791,Setup!$B$33:$B$40,0)),0)=1)*(COUNTIF(Y1758:Y1775,$B1791)+COUNTIF(Y1758:Y1775,$B1791&amp;" ~*")&gt;0))</f>
        <v/>
      </c>
    </row>
    <row r="1792" ht="15" customHeight="1">
      <c r="A1792" t="n">
        <v>36</v>
      </c>
      <c r="B1792" s="37">
        <f>IF(Setup!$B$21="","",Setup!$B$21)</f>
        <v/>
      </c>
      <c r="C1792" s="102" t="n"/>
      <c r="D1792" s="103" t="n"/>
      <c r="E1792" s="103" t="n"/>
      <c r="F1792" s="104" t="n"/>
      <c r="G1792" s="102" t="n"/>
      <c r="H1792" s="103" t="n"/>
      <c r="I1792" s="103" t="n"/>
      <c r="J1792" s="104" t="n"/>
      <c r="K1792" s="102" t="n"/>
      <c r="L1792" s="103" t="n"/>
      <c r="M1792" s="103" t="n"/>
      <c r="N1792" s="104" t="n"/>
      <c r="O1792" s="102" t="n"/>
      <c r="P1792" s="103" t="n"/>
      <c r="Q1792" s="103" t="n"/>
      <c r="R1792" s="104" t="n"/>
      <c r="S1792" s="102" t="n"/>
      <c r="T1792" s="103" t="n"/>
      <c r="U1792" s="103" t="n"/>
      <c r="V1792" s="104" t="n"/>
      <c r="W1792" s="102" t="n"/>
      <c r="X1792" s="104" t="n"/>
      <c r="Y1792" s="102" t="n"/>
      <c r="Z1792" s="104" t="n"/>
      <c r="AB1792" s="105">
        <f>IF($B1792="","",(COUNTIF(C1758:E1775,$B1792)+COUNTIF(C1758:E1775,$B1792&amp;" ~*")&gt;0)+(COUNTIF(G1758:I1775,$B1792)+COUNTIF(G1758:I1775,$B1792&amp;" ~*")&gt;0)+(COUNTIF(K1758:M1775,$B1792)+COUNTIF(K1758:M1775,$B1792&amp;" ~*")&gt;0)+(COUNTIF(O1758:Q1775,$B1792)+COUNTIF(O1758:Q1775,$B1792&amp;" ~*")&gt;0)+(COUNTIF(S1758:U1775,$B1792)+COUNTIF(S1758:U1775,$B1792&amp;" ~*")&gt;0)+(COUNTIF(W1758:W1775,$B1792)+COUNTIF(W1758:W1775,$B1792&amp;" ~*")&gt;0)+(COUNTIF(Y1758:Y1775,$B1792)+COUNTIF(Y1758:Y1775,$B1792&amp;" ~*")&gt;0))</f>
        <v/>
      </c>
      <c r="AC1792" s="38">
        <f>IF($B1792="","",(IFERROR(INDEX(Setup!$G$33:$G$40,MATCH(C1792,Setup!$B$33:$B$40,0)),0)=1)*(COUNTIF(C1758:E1775,$B1792)+COUNTIF(C1758:E1775,$B1792&amp;" ~*")&gt;0)+(IFERROR(INDEX(Setup!$G$33:$G$40,MATCH(G1792,Setup!$B$33:$B$40,0)),0)=1)*(COUNTIF(G1758:I1775,$B1792)+COUNTIF(G1758:I1775,$B1792&amp;" ~*")&gt;0)+(IFERROR(INDEX(Setup!$G$33:$G$40,MATCH(K1792,Setup!$B$33:$B$40,0)),0)=1)*(COUNTIF(K1758:M1775,$B1792)+COUNTIF(K1758:M1775,$B1792&amp;" ~*")&gt;0)+(IFERROR(INDEX(Setup!$G$33:$G$40,MATCH(O1792,Setup!$B$33:$B$40,0)),0)=1)*(COUNTIF(O1758:Q1775,$B1792)+COUNTIF(O1758:Q1775,$B1792&amp;" ~*")&gt;0)+(IFERROR(INDEX(Setup!$G$33:$G$40,MATCH(S1792,Setup!$B$33:$B$40,0)),0)=1)*(COUNTIF(S1758:U1775,$B1792)+COUNTIF(S1758:U1775,$B1792&amp;" ~*")&gt;0)+(IFERROR(INDEX(Setup!$G$33:$G$40,MATCH(W1792,Setup!$B$33:$B$40,0)),0)=1)*(COUNTIF(W1758:W1775,$B1792)+COUNTIF(W1758:W1775,$B1792&amp;" ~*")&gt;0)+(IFERROR(INDEX(Setup!$G$33:$G$40,MATCH(Y1792,Setup!$B$33:$B$40,0)),0)=1)*(COUNTIF(Y1758:Y1775,$B1792)+COUNTIF(Y1758:Y1775,$B1792&amp;" ~*")&gt;0))</f>
        <v/>
      </c>
    </row>
    <row r="1793" ht="15" customHeight="1">
      <c r="A1793" t="n">
        <v>36</v>
      </c>
      <c r="B1793" s="35">
        <f>IF(Setup!$B$22="","",Setup!$B$22)</f>
        <v/>
      </c>
      <c r="C1793" s="98" t="n"/>
      <c r="D1793" s="99" t="n"/>
      <c r="E1793" s="99" t="n"/>
      <c r="F1793" s="100" t="n"/>
      <c r="G1793" s="98" t="n"/>
      <c r="H1793" s="99" t="n"/>
      <c r="I1793" s="99" t="n"/>
      <c r="J1793" s="100" t="n"/>
      <c r="K1793" s="98" t="n"/>
      <c r="L1793" s="99" t="n"/>
      <c r="M1793" s="99" t="n"/>
      <c r="N1793" s="100" t="n"/>
      <c r="O1793" s="98" t="n"/>
      <c r="P1793" s="99" t="n"/>
      <c r="Q1793" s="99" t="n"/>
      <c r="R1793" s="100" t="n"/>
      <c r="S1793" s="98" t="n"/>
      <c r="T1793" s="99" t="n"/>
      <c r="U1793" s="99" t="n"/>
      <c r="V1793" s="100" t="n"/>
      <c r="W1793" s="98" t="n"/>
      <c r="X1793" s="100" t="n"/>
      <c r="Y1793" s="98" t="n"/>
      <c r="Z1793" s="100" t="n"/>
      <c r="AB1793" s="101">
        <f>IF($B1793="","",(COUNTIF(C1758:E1775,$B1793)+COUNTIF(C1758:E1775,$B1793&amp;" ~*")&gt;0)+(COUNTIF(G1758:I1775,$B1793)+COUNTIF(G1758:I1775,$B1793&amp;" ~*")&gt;0)+(COUNTIF(K1758:M1775,$B1793)+COUNTIF(K1758:M1775,$B1793&amp;" ~*")&gt;0)+(COUNTIF(O1758:Q1775,$B1793)+COUNTIF(O1758:Q1775,$B1793&amp;" ~*")&gt;0)+(COUNTIF(S1758:U1775,$B1793)+COUNTIF(S1758:U1775,$B1793&amp;" ~*")&gt;0)+(COUNTIF(W1758:W1775,$B1793)+COUNTIF(W1758:W1775,$B1793&amp;" ~*")&gt;0)+(COUNTIF(Y1758:Y1775,$B1793)+COUNTIF(Y1758:Y1775,$B1793&amp;" ~*")&gt;0))</f>
        <v/>
      </c>
      <c r="AC1793" s="36">
        <f>IF($B1793="","",(IFERROR(INDEX(Setup!$G$33:$G$40,MATCH(C1793,Setup!$B$33:$B$40,0)),0)=1)*(COUNTIF(C1758:E1775,$B1793)+COUNTIF(C1758:E1775,$B1793&amp;" ~*")&gt;0)+(IFERROR(INDEX(Setup!$G$33:$G$40,MATCH(G1793,Setup!$B$33:$B$40,0)),0)=1)*(COUNTIF(G1758:I1775,$B1793)+COUNTIF(G1758:I1775,$B1793&amp;" ~*")&gt;0)+(IFERROR(INDEX(Setup!$G$33:$G$40,MATCH(K1793,Setup!$B$33:$B$40,0)),0)=1)*(COUNTIF(K1758:M1775,$B1793)+COUNTIF(K1758:M1775,$B1793&amp;" ~*")&gt;0)+(IFERROR(INDEX(Setup!$G$33:$G$40,MATCH(O1793,Setup!$B$33:$B$40,0)),0)=1)*(COUNTIF(O1758:Q1775,$B1793)+COUNTIF(O1758:Q1775,$B1793&amp;" ~*")&gt;0)+(IFERROR(INDEX(Setup!$G$33:$G$40,MATCH(S1793,Setup!$B$33:$B$40,0)),0)=1)*(COUNTIF(S1758:U1775,$B1793)+COUNTIF(S1758:U1775,$B1793&amp;" ~*")&gt;0)+(IFERROR(INDEX(Setup!$G$33:$G$40,MATCH(W1793,Setup!$B$33:$B$40,0)),0)=1)*(COUNTIF(W1758:W1775,$B1793)+COUNTIF(W1758:W1775,$B1793&amp;" ~*")&gt;0)+(IFERROR(INDEX(Setup!$G$33:$G$40,MATCH(Y1793,Setup!$B$33:$B$40,0)),0)=1)*(COUNTIF(Y1758:Y1775,$B1793)+COUNTIF(Y1758:Y1775,$B1793&amp;" ~*")&gt;0))</f>
        <v/>
      </c>
    </row>
    <row r="1794" ht="15" customHeight="1">
      <c r="A1794" t="n">
        <v>36</v>
      </c>
      <c r="B1794" s="37">
        <f>IF(Setup!$B$23="","",Setup!$B$23)</f>
        <v/>
      </c>
      <c r="C1794" s="102" t="n"/>
      <c r="D1794" s="103" t="n"/>
      <c r="E1794" s="103" t="n"/>
      <c r="F1794" s="104" t="n"/>
      <c r="G1794" s="102" t="n"/>
      <c r="H1794" s="103" t="n"/>
      <c r="I1794" s="103" t="n"/>
      <c r="J1794" s="104" t="n"/>
      <c r="K1794" s="102" t="n"/>
      <c r="L1794" s="103" t="n"/>
      <c r="M1794" s="103" t="n"/>
      <c r="N1794" s="104" t="n"/>
      <c r="O1794" s="102" t="n"/>
      <c r="P1794" s="103" t="n"/>
      <c r="Q1794" s="103" t="n"/>
      <c r="R1794" s="104" t="n"/>
      <c r="S1794" s="102" t="n"/>
      <c r="T1794" s="103" t="n"/>
      <c r="U1794" s="103" t="n"/>
      <c r="V1794" s="104" t="n"/>
      <c r="W1794" s="102" t="n"/>
      <c r="X1794" s="104" t="n"/>
      <c r="Y1794" s="102" t="n"/>
      <c r="Z1794" s="104" t="n"/>
      <c r="AB1794" s="105">
        <f>IF($B1794="","",(COUNTIF(C1758:E1775,$B1794)+COUNTIF(C1758:E1775,$B1794&amp;" ~*")&gt;0)+(COUNTIF(G1758:I1775,$B1794)+COUNTIF(G1758:I1775,$B1794&amp;" ~*")&gt;0)+(COUNTIF(K1758:M1775,$B1794)+COUNTIF(K1758:M1775,$B1794&amp;" ~*")&gt;0)+(COUNTIF(O1758:Q1775,$B1794)+COUNTIF(O1758:Q1775,$B1794&amp;" ~*")&gt;0)+(COUNTIF(S1758:U1775,$B1794)+COUNTIF(S1758:U1775,$B1794&amp;" ~*")&gt;0)+(COUNTIF(W1758:W1775,$B1794)+COUNTIF(W1758:W1775,$B1794&amp;" ~*")&gt;0)+(COUNTIF(Y1758:Y1775,$B1794)+COUNTIF(Y1758:Y1775,$B1794&amp;" ~*")&gt;0))</f>
        <v/>
      </c>
      <c r="AC1794" s="38">
        <f>IF($B1794="","",(IFERROR(INDEX(Setup!$G$33:$G$40,MATCH(C1794,Setup!$B$33:$B$40,0)),0)=1)*(COUNTIF(C1758:E1775,$B1794)+COUNTIF(C1758:E1775,$B1794&amp;" ~*")&gt;0)+(IFERROR(INDEX(Setup!$G$33:$G$40,MATCH(G1794,Setup!$B$33:$B$40,0)),0)=1)*(COUNTIF(G1758:I1775,$B1794)+COUNTIF(G1758:I1775,$B1794&amp;" ~*")&gt;0)+(IFERROR(INDEX(Setup!$G$33:$G$40,MATCH(K1794,Setup!$B$33:$B$40,0)),0)=1)*(COUNTIF(K1758:M1775,$B1794)+COUNTIF(K1758:M1775,$B1794&amp;" ~*")&gt;0)+(IFERROR(INDEX(Setup!$G$33:$G$40,MATCH(O1794,Setup!$B$33:$B$40,0)),0)=1)*(COUNTIF(O1758:Q1775,$B1794)+COUNTIF(O1758:Q1775,$B1794&amp;" ~*")&gt;0)+(IFERROR(INDEX(Setup!$G$33:$G$40,MATCH(S1794,Setup!$B$33:$B$40,0)),0)=1)*(COUNTIF(S1758:U1775,$B1794)+COUNTIF(S1758:U1775,$B1794&amp;" ~*")&gt;0)+(IFERROR(INDEX(Setup!$G$33:$G$40,MATCH(W1794,Setup!$B$33:$B$40,0)),0)=1)*(COUNTIF(W1758:W1775,$B1794)+COUNTIF(W1758:W1775,$B1794&amp;" ~*")&gt;0)+(IFERROR(INDEX(Setup!$G$33:$G$40,MATCH(Y1794,Setup!$B$33:$B$40,0)),0)=1)*(COUNTIF(Y1758:Y1775,$B1794)+COUNTIF(Y1758:Y1775,$B1794&amp;" ~*")&gt;0))</f>
        <v/>
      </c>
    </row>
    <row r="1795" ht="15" customHeight="1">
      <c r="A1795" t="n">
        <v>36</v>
      </c>
      <c r="B1795" s="35">
        <f>IF(Setup!$B$24="","",Setup!$B$24)</f>
        <v/>
      </c>
      <c r="C1795" s="98" t="n"/>
      <c r="D1795" s="99" t="n"/>
      <c r="E1795" s="99" t="n"/>
      <c r="F1795" s="100" t="n"/>
      <c r="G1795" s="98" t="n"/>
      <c r="H1795" s="99" t="n"/>
      <c r="I1795" s="99" t="n"/>
      <c r="J1795" s="100" t="n"/>
      <c r="K1795" s="98" t="n"/>
      <c r="L1795" s="99" t="n"/>
      <c r="M1795" s="99" t="n"/>
      <c r="N1795" s="100" t="n"/>
      <c r="O1795" s="98" t="n"/>
      <c r="P1795" s="99" t="n"/>
      <c r="Q1795" s="99" t="n"/>
      <c r="R1795" s="100" t="n"/>
      <c r="S1795" s="98" t="n"/>
      <c r="T1795" s="99" t="n"/>
      <c r="U1795" s="99" t="n"/>
      <c r="V1795" s="100" t="n"/>
      <c r="W1795" s="98" t="n"/>
      <c r="X1795" s="100" t="n"/>
      <c r="Y1795" s="98" t="n"/>
      <c r="Z1795" s="100" t="n"/>
      <c r="AB1795" s="101">
        <f>IF($B1795="","",(COUNTIF(C1758:E1775,$B1795)+COUNTIF(C1758:E1775,$B1795&amp;" ~*")&gt;0)+(COUNTIF(G1758:I1775,$B1795)+COUNTIF(G1758:I1775,$B1795&amp;" ~*")&gt;0)+(COUNTIF(K1758:M1775,$B1795)+COUNTIF(K1758:M1775,$B1795&amp;" ~*")&gt;0)+(COUNTIF(O1758:Q1775,$B1795)+COUNTIF(O1758:Q1775,$B1795&amp;" ~*")&gt;0)+(COUNTIF(S1758:U1775,$B1795)+COUNTIF(S1758:U1775,$B1795&amp;" ~*")&gt;0)+(COUNTIF(W1758:W1775,$B1795)+COUNTIF(W1758:W1775,$B1795&amp;" ~*")&gt;0)+(COUNTIF(Y1758:Y1775,$B1795)+COUNTIF(Y1758:Y1775,$B1795&amp;" ~*")&gt;0))</f>
        <v/>
      </c>
      <c r="AC1795" s="36">
        <f>IF($B1795="","",(IFERROR(INDEX(Setup!$G$33:$G$40,MATCH(C1795,Setup!$B$33:$B$40,0)),0)=1)*(COUNTIF(C1758:E1775,$B1795)+COUNTIF(C1758:E1775,$B1795&amp;" ~*")&gt;0)+(IFERROR(INDEX(Setup!$G$33:$G$40,MATCH(G1795,Setup!$B$33:$B$40,0)),0)=1)*(COUNTIF(G1758:I1775,$B1795)+COUNTIF(G1758:I1775,$B1795&amp;" ~*")&gt;0)+(IFERROR(INDEX(Setup!$G$33:$G$40,MATCH(K1795,Setup!$B$33:$B$40,0)),0)=1)*(COUNTIF(K1758:M1775,$B1795)+COUNTIF(K1758:M1775,$B1795&amp;" ~*")&gt;0)+(IFERROR(INDEX(Setup!$G$33:$G$40,MATCH(O1795,Setup!$B$33:$B$40,0)),0)=1)*(COUNTIF(O1758:Q1775,$B1795)+COUNTIF(O1758:Q1775,$B1795&amp;" ~*")&gt;0)+(IFERROR(INDEX(Setup!$G$33:$G$40,MATCH(S1795,Setup!$B$33:$B$40,0)),0)=1)*(COUNTIF(S1758:U1775,$B1795)+COUNTIF(S1758:U1775,$B1795&amp;" ~*")&gt;0)+(IFERROR(INDEX(Setup!$G$33:$G$40,MATCH(W1795,Setup!$B$33:$B$40,0)),0)=1)*(COUNTIF(W1758:W1775,$B1795)+COUNTIF(W1758:W1775,$B1795&amp;" ~*")&gt;0)+(IFERROR(INDEX(Setup!$G$33:$G$40,MATCH(Y1795,Setup!$B$33:$B$40,0)),0)=1)*(COUNTIF(Y1758:Y1775,$B1795)+COUNTIF(Y1758:Y1775,$B1795&amp;" ~*")&gt;0))</f>
        <v/>
      </c>
    </row>
    <row r="1796" ht="15" customHeight="1">
      <c r="A1796" t="n">
        <v>36</v>
      </c>
      <c r="B1796" s="37">
        <f>IF(Setup!$B$25="","",Setup!$B$25)</f>
        <v/>
      </c>
      <c r="C1796" s="102" t="n"/>
      <c r="D1796" s="103" t="n"/>
      <c r="E1796" s="103" t="n"/>
      <c r="F1796" s="104" t="n"/>
      <c r="G1796" s="102" t="n"/>
      <c r="H1796" s="103" t="n"/>
      <c r="I1796" s="103" t="n"/>
      <c r="J1796" s="104" t="n"/>
      <c r="K1796" s="102" t="n"/>
      <c r="L1796" s="103" t="n"/>
      <c r="M1796" s="103" t="n"/>
      <c r="N1796" s="104" t="n"/>
      <c r="O1796" s="102" t="n"/>
      <c r="P1796" s="103" t="n"/>
      <c r="Q1796" s="103" t="n"/>
      <c r="R1796" s="104" t="n"/>
      <c r="S1796" s="102" t="n"/>
      <c r="T1796" s="103" t="n"/>
      <c r="U1796" s="103" t="n"/>
      <c r="V1796" s="104" t="n"/>
      <c r="W1796" s="102" t="n"/>
      <c r="X1796" s="104" t="n"/>
      <c r="Y1796" s="102" t="n"/>
      <c r="Z1796" s="104" t="n"/>
      <c r="AB1796" s="105">
        <f>IF($B1796="","",(COUNTIF(C1758:E1775,$B1796)+COUNTIF(C1758:E1775,$B1796&amp;" ~*")&gt;0)+(COUNTIF(G1758:I1775,$B1796)+COUNTIF(G1758:I1775,$B1796&amp;" ~*")&gt;0)+(COUNTIF(K1758:M1775,$B1796)+COUNTIF(K1758:M1775,$B1796&amp;" ~*")&gt;0)+(COUNTIF(O1758:Q1775,$B1796)+COUNTIF(O1758:Q1775,$B1796&amp;" ~*")&gt;0)+(COUNTIF(S1758:U1775,$B1796)+COUNTIF(S1758:U1775,$B1796&amp;" ~*")&gt;0)+(COUNTIF(W1758:W1775,$B1796)+COUNTIF(W1758:W1775,$B1796&amp;" ~*")&gt;0)+(COUNTIF(Y1758:Y1775,$B1796)+COUNTIF(Y1758:Y1775,$B1796&amp;" ~*")&gt;0))</f>
        <v/>
      </c>
      <c r="AC1796" s="38">
        <f>IF($B1796="","",(IFERROR(INDEX(Setup!$G$33:$G$40,MATCH(C1796,Setup!$B$33:$B$40,0)),0)=1)*(COUNTIF(C1758:E1775,$B1796)+COUNTIF(C1758:E1775,$B1796&amp;" ~*")&gt;0)+(IFERROR(INDEX(Setup!$G$33:$G$40,MATCH(G1796,Setup!$B$33:$B$40,0)),0)=1)*(COUNTIF(G1758:I1775,$B1796)+COUNTIF(G1758:I1775,$B1796&amp;" ~*")&gt;0)+(IFERROR(INDEX(Setup!$G$33:$G$40,MATCH(K1796,Setup!$B$33:$B$40,0)),0)=1)*(COUNTIF(K1758:M1775,$B1796)+COUNTIF(K1758:M1775,$B1796&amp;" ~*")&gt;0)+(IFERROR(INDEX(Setup!$G$33:$G$40,MATCH(O1796,Setup!$B$33:$B$40,0)),0)=1)*(COUNTIF(O1758:Q1775,$B1796)+COUNTIF(O1758:Q1775,$B1796&amp;" ~*")&gt;0)+(IFERROR(INDEX(Setup!$G$33:$G$40,MATCH(S1796,Setup!$B$33:$B$40,0)),0)=1)*(COUNTIF(S1758:U1775,$B1796)+COUNTIF(S1758:U1775,$B1796&amp;" ~*")&gt;0)+(IFERROR(INDEX(Setup!$G$33:$G$40,MATCH(W1796,Setup!$B$33:$B$40,0)),0)=1)*(COUNTIF(W1758:W1775,$B1796)+COUNTIF(W1758:W1775,$B1796&amp;" ~*")&gt;0)+(IFERROR(INDEX(Setup!$G$33:$G$40,MATCH(Y1796,Setup!$B$33:$B$40,0)),0)=1)*(COUNTIF(Y1758:Y1775,$B1796)+COUNTIF(Y1758:Y1775,$B1796&amp;" ~*")&gt;0))</f>
        <v/>
      </c>
    </row>
    <row r="1797" ht="15" customHeight="1">
      <c r="A1797" t="n">
        <v>36</v>
      </c>
      <c r="B1797" s="35">
        <f>IF(Setup!$B$26="","",Setup!$B$26)</f>
        <v/>
      </c>
      <c r="C1797" s="98" t="n"/>
      <c r="D1797" s="99" t="n"/>
      <c r="E1797" s="99" t="n"/>
      <c r="F1797" s="100" t="n"/>
      <c r="G1797" s="98" t="n"/>
      <c r="H1797" s="99" t="n"/>
      <c r="I1797" s="99" t="n"/>
      <c r="J1797" s="100" t="n"/>
      <c r="K1797" s="98" t="n"/>
      <c r="L1797" s="99" t="n"/>
      <c r="M1797" s="99" t="n"/>
      <c r="N1797" s="100" t="n"/>
      <c r="O1797" s="98" t="n"/>
      <c r="P1797" s="99" t="n"/>
      <c r="Q1797" s="99" t="n"/>
      <c r="R1797" s="100" t="n"/>
      <c r="S1797" s="98" t="n"/>
      <c r="T1797" s="99" t="n"/>
      <c r="U1797" s="99" t="n"/>
      <c r="V1797" s="100" t="n"/>
      <c r="W1797" s="98" t="n"/>
      <c r="X1797" s="100" t="n"/>
      <c r="Y1797" s="98" t="n"/>
      <c r="Z1797" s="100" t="n"/>
      <c r="AB1797" s="101">
        <f>IF($B1797="","",(COUNTIF(C1758:E1775,$B1797)+COUNTIF(C1758:E1775,$B1797&amp;" ~*")&gt;0)+(COUNTIF(G1758:I1775,$B1797)+COUNTIF(G1758:I1775,$B1797&amp;" ~*")&gt;0)+(COUNTIF(K1758:M1775,$B1797)+COUNTIF(K1758:M1775,$B1797&amp;" ~*")&gt;0)+(COUNTIF(O1758:Q1775,$B1797)+COUNTIF(O1758:Q1775,$B1797&amp;" ~*")&gt;0)+(COUNTIF(S1758:U1775,$B1797)+COUNTIF(S1758:U1775,$B1797&amp;" ~*")&gt;0)+(COUNTIF(W1758:W1775,$B1797)+COUNTIF(W1758:W1775,$B1797&amp;" ~*")&gt;0)+(COUNTIF(Y1758:Y1775,$B1797)+COUNTIF(Y1758:Y1775,$B1797&amp;" ~*")&gt;0))</f>
        <v/>
      </c>
      <c r="AC1797" s="36">
        <f>IF($B1797="","",(IFERROR(INDEX(Setup!$G$33:$G$40,MATCH(C1797,Setup!$B$33:$B$40,0)),0)=1)*(COUNTIF(C1758:E1775,$B1797)+COUNTIF(C1758:E1775,$B1797&amp;" ~*")&gt;0)+(IFERROR(INDEX(Setup!$G$33:$G$40,MATCH(G1797,Setup!$B$33:$B$40,0)),0)=1)*(COUNTIF(G1758:I1775,$B1797)+COUNTIF(G1758:I1775,$B1797&amp;" ~*")&gt;0)+(IFERROR(INDEX(Setup!$G$33:$G$40,MATCH(K1797,Setup!$B$33:$B$40,0)),0)=1)*(COUNTIF(K1758:M1775,$B1797)+COUNTIF(K1758:M1775,$B1797&amp;" ~*")&gt;0)+(IFERROR(INDEX(Setup!$G$33:$G$40,MATCH(O1797,Setup!$B$33:$B$40,0)),0)=1)*(COUNTIF(O1758:Q1775,$B1797)+COUNTIF(O1758:Q1775,$B1797&amp;" ~*")&gt;0)+(IFERROR(INDEX(Setup!$G$33:$G$40,MATCH(S1797,Setup!$B$33:$B$40,0)),0)=1)*(COUNTIF(S1758:U1775,$B1797)+COUNTIF(S1758:U1775,$B1797&amp;" ~*")&gt;0)+(IFERROR(INDEX(Setup!$G$33:$G$40,MATCH(W1797,Setup!$B$33:$B$40,0)),0)=1)*(COUNTIF(W1758:W1775,$B1797)+COUNTIF(W1758:W1775,$B1797&amp;" ~*")&gt;0)+(IFERROR(INDEX(Setup!$G$33:$G$40,MATCH(Y1797,Setup!$B$33:$B$40,0)),0)=1)*(COUNTIF(Y1758:Y1775,$B1797)+COUNTIF(Y1758:Y1775,$B1797&amp;" ~*")&gt;0))</f>
        <v/>
      </c>
    </row>
    <row r="1798" ht="15" customHeight="1">
      <c r="A1798" t="n">
        <v>36</v>
      </c>
      <c r="B1798" s="37">
        <f>IF(Setup!$B$27="","",Setup!$B$27)</f>
        <v/>
      </c>
      <c r="C1798" s="102" t="n"/>
      <c r="D1798" s="103" t="n"/>
      <c r="E1798" s="103" t="n"/>
      <c r="F1798" s="104" t="n"/>
      <c r="G1798" s="102" t="n"/>
      <c r="H1798" s="103" t="n"/>
      <c r="I1798" s="103" t="n"/>
      <c r="J1798" s="104" t="n"/>
      <c r="K1798" s="102" t="n"/>
      <c r="L1798" s="103" t="n"/>
      <c r="M1798" s="103" t="n"/>
      <c r="N1798" s="104" t="n"/>
      <c r="O1798" s="102" t="n"/>
      <c r="P1798" s="103" t="n"/>
      <c r="Q1798" s="103" t="n"/>
      <c r="R1798" s="104" t="n"/>
      <c r="S1798" s="102" t="n"/>
      <c r="T1798" s="103" t="n"/>
      <c r="U1798" s="103" t="n"/>
      <c r="V1798" s="104" t="n"/>
      <c r="W1798" s="102" t="n"/>
      <c r="X1798" s="104" t="n"/>
      <c r="Y1798" s="102" t="n"/>
      <c r="Z1798" s="104" t="n"/>
      <c r="AB1798" s="105">
        <f>IF($B1798="","",(COUNTIF(C1758:E1775,$B1798)+COUNTIF(C1758:E1775,$B1798&amp;" ~*")&gt;0)+(COUNTIF(G1758:I1775,$B1798)+COUNTIF(G1758:I1775,$B1798&amp;" ~*")&gt;0)+(COUNTIF(K1758:M1775,$B1798)+COUNTIF(K1758:M1775,$B1798&amp;" ~*")&gt;0)+(COUNTIF(O1758:Q1775,$B1798)+COUNTIF(O1758:Q1775,$B1798&amp;" ~*")&gt;0)+(COUNTIF(S1758:U1775,$B1798)+COUNTIF(S1758:U1775,$B1798&amp;" ~*")&gt;0)+(COUNTIF(W1758:W1775,$B1798)+COUNTIF(W1758:W1775,$B1798&amp;" ~*")&gt;0)+(COUNTIF(Y1758:Y1775,$B1798)+COUNTIF(Y1758:Y1775,$B1798&amp;" ~*")&gt;0))</f>
        <v/>
      </c>
      <c r="AC1798" s="38">
        <f>IF($B1798="","",(IFERROR(INDEX(Setup!$G$33:$G$40,MATCH(C1798,Setup!$B$33:$B$40,0)),0)=1)*(COUNTIF(C1758:E1775,$B1798)+COUNTIF(C1758:E1775,$B1798&amp;" ~*")&gt;0)+(IFERROR(INDEX(Setup!$G$33:$G$40,MATCH(G1798,Setup!$B$33:$B$40,0)),0)=1)*(COUNTIF(G1758:I1775,$B1798)+COUNTIF(G1758:I1775,$B1798&amp;" ~*")&gt;0)+(IFERROR(INDEX(Setup!$G$33:$G$40,MATCH(K1798,Setup!$B$33:$B$40,0)),0)=1)*(COUNTIF(K1758:M1775,$B1798)+COUNTIF(K1758:M1775,$B1798&amp;" ~*")&gt;0)+(IFERROR(INDEX(Setup!$G$33:$G$40,MATCH(O1798,Setup!$B$33:$B$40,0)),0)=1)*(COUNTIF(O1758:Q1775,$B1798)+COUNTIF(O1758:Q1775,$B1798&amp;" ~*")&gt;0)+(IFERROR(INDEX(Setup!$G$33:$G$40,MATCH(S1798,Setup!$B$33:$B$40,0)),0)=1)*(COUNTIF(S1758:U1775,$B1798)+COUNTIF(S1758:U1775,$B1798&amp;" ~*")&gt;0)+(IFERROR(INDEX(Setup!$G$33:$G$40,MATCH(W1798,Setup!$B$33:$B$40,0)),0)=1)*(COUNTIF(W1758:W1775,$B1798)+COUNTIF(W1758:W1775,$B1798&amp;" ~*")&gt;0)+(IFERROR(INDEX(Setup!$G$33:$G$40,MATCH(Y1798,Setup!$B$33:$B$40,0)),0)=1)*(COUNTIF(Y1758:Y1775,$B1798)+COUNTIF(Y1758:Y1775,$B1798&amp;" ~*")&gt;0))</f>
        <v/>
      </c>
    </row>
    <row r="1799" ht="15" customHeight="1">
      <c r="A1799" t="n">
        <v>36</v>
      </c>
      <c r="B1799" s="35">
        <f>IF(Setup!$B$28="","",Setup!$B$28)</f>
        <v/>
      </c>
      <c r="C1799" s="98" t="n"/>
      <c r="D1799" s="99" t="n"/>
      <c r="E1799" s="99" t="n"/>
      <c r="F1799" s="100" t="n"/>
      <c r="G1799" s="98" t="n"/>
      <c r="H1799" s="99" t="n"/>
      <c r="I1799" s="99" t="n"/>
      <c r="J1799" s="100" t="n"/>
      <c r="K1799" s="98" t="n"/>
      <c r="L1799" s="99" t="n"/>
      <c r="M1799" s="99" t="n"/>
      <c r="N1799" s="100" t="n"/>
      <c r="O1799" s="98" t="n"/>
      <c r="P1799" s="99" t="n"/>
      <c r="Q1799" s="99" t="n"/>
      <c r="R1799" s="100" t="n"/>
      <c r="S1799" s="98" t="n"/>
      <c r="T1799" s="99" t="n"/>
      <c r="U1799" s="99" t="n"/>
      <c r="V1799" s="100" t="n"/>
      <c r="W1799" s="98" t="n"/>
      <c r="X1799" s="100" t="n"/>
      <c r="Y1799" s="98" t="n"/>
      <c r="Z1799" s="100" t="n"/>
      <c r="AB1799" s="101">
        <f>IF($B1799="","",(COUNTIF(C1758:E1775,$B1799)+COUNTIF(C1758:E1775,$B1799&amp;" ~*")&gt;0)+(COUNTIF(G1758:I1775,$B1799)+COUNTIF(G1758:I1775,$B1799&amp;" ~*")&gt;0)+(COUNTIF(K1758:M1775,$B1799)+COUNTIF(K1758:M1775,$B1799&amp;" ~*")&gt;0)+(COUNTIF(O1758:Q1775,$B1799)+COUNTIF(O1758:Q1775,$B1799&amp;" ~*")&gt;0)+(COUNTIF(S1758:U1775,$B1799)+COUNTIF(S1758:U1775,$B1799&amp;" ~*")&gt;0)+(COUNTIF(W1758:W1775,$B1799)+COUNTIF(W1758:W1775,$B1799&amp;" ~*")&gt;0)+(COUNTIF(Y1758:Y1775,$B1799)+COUNTIF(Y1758:Y1775,$B1799&amp;" ~*")&gt;0))</f>
        <v/>
      </c>
      <c r="AC1799" s="36">
        <f>IF($B1799="","",(IFERROR(INDEX(Setup!$G$33:$G$40,MATCH(C1799,Setup!$B$33:$B$40,0)),0)=1)*(COUNTIF(C1758:E1775,$B1799)+COUNTIF(C1758:E1775,$B1799&amp;" ~*")&gt;0)+(IFERROR(INDEX(Setup!$G$33:$G$40,MATCH(G1799,Setup!$B$33:$B$40,0)),0)=1)*(COUNTIF(G1758:I1775,$B1799)+COUNTIF(G1758:I1775,$B1799&amp;" ~*")&gt;0)+(IFERROR(INDEX(Setup!$G$33:$G$40,MATCH(K1799,Setup!$B$33:$B$40,0)),0)=1)*(COUNTIF(K1758:M1775,$B1799)+COUNTIF(K1758:M1775,$B1799&amp;" ~*")&gt;0)+(IFERROR(INDEX(Setup!$G$33:$G$40,MATCH(O1799,Setup!$B$33:$B$40,0)),0)=1)*(COUNTIF(O1758:Q1775,$B1799)+COUNTIF(O1758:Q1775,$B1799&amp;" ~*")&gt;0)+(IFERROR(INDEX(Setup!$G$33:$G$40,MATCH(S1799,Setup!$B$33:$B$40,0)),0)=1)*(COUNTIF(S1758:U1775,$B1799)+COUNTIF(S1758:U1775,$B1799&amp;" ~*")&gt;0)+(IFERROR(INDEX(Setup!$G$33:$G$40,MATCH(W1799,Setup!$B$33:$B$40,0)),0)=1)*(COUNTIF(W1758:W1775,$B1799)+COUNTIF(W1758:W1775,$B1799&amp;" ~*")&gt;0)+(IFERROR(INDEX(Setup!$G$33:$G$40,MATCH(Y1799,Setup!$B$33:$B$40,0)),0)=1)*(COUNTIF(Y1758:Y1775,$B1799)+COUNTIF(Y1758:Y1775,$B1799&amp;" ~*")&gt;0))</f>
        <v/>
      </c>
    </row>
    <row r="1800" ht="15" customHeight="1">
      <c r="A1800" t="n">
        <v>36</v>
      </c>
      <c r="B1800" s="37">
        <f>IF(Setup!$B$29="","",Setup!$B$29)</f>
        <v/>
      </c>
      <c r="C1800" s="102" t="n"/>
      <c r="D1800" s="103" t="n"/>
      <c r="E1800" s="103" t="n"/>
      <c r="F1800" s="104" t="n"/>
      <c r="G1800" s="102" t="n"/>
      <c r="H1800" s="103" t="n"/>
      <c r="I1800" s="103" t="n"/>
      <c r="J1800" s="104" t="n"/>
      <c r="K1800" s="102" t="n"/>
      <c r="L1800" s="103" t="n"/>
      <c r="M1800" s="103" t="n"/>
      <c r="N1800" s="104" t="n"/>
      <c r="O1800" s="102" t="n"/>
      <c r="P1800" s="103" t="n"/>
      <c r="Q1800" s="103" t="n"/>
      <c r="R1800" s="104" t="n"/>
      <c r="S1800" s="102" t="n"/>
      <c r="T1800" s="103" t="n"/>
      <c r="U1800" s="103" t="n"/>
      <c r="V1800" s="104" t="n"/>
      <c r="W1800" s="102" t="n"/>
      <c r="X1800" s="104" t="n"/>
      <c r="Y1800" s="102" t="n"/>
      <c r="Z1800" s="104" t="n"/>
      <c r="AB1800" s="105">
        <f>IF($B1800="","",(COUNTIF(C1758:E1775,$B1800)+COUNTIF(C1758:E1775,$B1800&amp;" ~*")&gt;0)+(COUNTIF(G1758:I1775,$B1800)+COUNTIF(G1758:I1775,$B1800&amp;" ~*")&gt;0)+(COUNTIF(K1758:M1775,$B1800)+COUNTIF(K1758:M1775,$B1800&amp;" ~*")&gt;0)+(COUNTIF(O1758:Q1775,$B1800)+COUNTIF(O1758:Q1775,$B1800&amp;" ~*")&gt;0)+(COUNTIF(S1758:U1775,$B1800)+COUNTIF(S1758:U1775,$B1800&amp;" ~*")&gt;0)+(COUNTIF(W1758:W1775,$B1800)+COUNTIF(W1758:W1775,$B1800&amp;" ~*")&gt;0)+(COUNTIF(Y1758:Y1775,$B1800)+COUNTIF(Y1758:Y1775,$B1800&amp;" ~*")&gt;0))</f>
        <v/>
      </c>
      <c r="AC1800" s="38">
        <f>IF($B1800="","",(IFERROR(INDEX(Setup!$G$33:$G$40,MATCH(C1800,Setup!$B$33:$B$40,0)),0)=1)*(COUNTIF(C1758:E1775,$B1800)+COUNTIF(C1758:E1775,$B1800&amp;" ~*")&gt;0)+(IFERROR(INDEX(Setup!$G$33:$G$40,MATCH(G1800,Setup!$B$33:$B$40,0)),0)=1)*(COUNTIF(G1758:I1775,$B1800)+COUNTIF(G1758:I1775,$B1800&amp;" ~*")&gt;0)+(IFERROR(INDEX(Setup!$G$33:$G$40,MATCH(K1800,Setup!$B$33:$B$40,0)),0)=1)*(COUNTIF(K1758:M1775,$B1800)+COUNTIF(K1758:M1775,$B1800&amp;" ~*")&gt;0)+(IFERROR(INDEX(Setup!$G$33:$G$40,MATCH(O1800,Setup!$B$33:$B$40,0)),0)=1)*(COUNTIF(O1758:Q1775,$B1800)+COUNTIF(O1758:Q1775,$B1800&amp;" ~*")&gt;0)+(IFERROR(INDEX(Setup!$G$33:$G$40,MATCH(S1800,Setup!$B$33:$B$40,0)),0)=1)*(COUNTIF(S1758:U1775,$B1800)+COUNTIF(S1758:U1775,$B1800&amp;" ~*")&gt;0)+(IFERROR(INDEX(Setup!$G$33:$G$40,MATCH(W1800,Setup!$B$33:$B$40,0)),0)=1)*(COUNTIF(W1758:W1775,$B1800)+COUNTIF(W1758:W1775,$B1800&amp;" ~*")&gt;0)+(IFERROR(INDEX(Setup!$G$33:$G$40,MATCH(Y1800,Setup!$B$33:$B$40,0)),0)=1)*(COUNTIF(Y1758:Y1775,$B1800)+COUNTIF(Y1758:Y1775,$B1800&amp;" ~*")&gt;0))</f>
        <v/>
      </c>
    </row>
    <row r="1801" ht="16" customHeight="1">
      <c r="A1801" t="n">
        <v>36</v>
      </c>
      <c r="B1801" s="106" t="inlineStr">
        <is>
          <t>Available people</t>
        </is>
      </c>
      <c r="C1801" s="107">
        <f>COUNTIFS(Setup!$E$6:$E$29,"Y",Setup!$B$6:$B$29,"?*")-SUMPRODUCT(COUNTIF(C1777:C1800,Setup!$F$33:$F$40))</f>
        <v/>
      </c>
      <c r="D1801" s="107" t="n"/>
      <c r="E1801" s="107" t="n"/>
      <c r="F1801" s="107" t="n"/>
      <c r="G1801" s="107">
        <f>COUNTIFS(Setup!$E$6:$E$29,"Y",Setup!$B$6:$B$29,"?*")-SUMPRODUCT(COUNTIF(G1777:G1800,Setup!$F$33:$F$40))</f>
        <v/>
      </c>
      <c r="H1801" s="107" t="n"/>
      <c r="I1801" s="107" t="n"/>
      <c r="J1801" s="107" t="n"/>
      <c r="K1801" s="107">
        <f>COUNTIFS(Setup!$E$6:$E$29,"Y",Setup!$B$6:$B$29,"?*")-SUMPRODUCT(COUNTIF(K1777:K1800,Setup!$F$33:$F$40))</f>
        <v/>
      </c>
      <c r="L1801" s="107" t="n"/>
      <c r="M1801" s="107" t="n"/>
      <c r="N1801" s="107" t="n"/>
      <c r="O1801" s="107">
        <f>COUNTIFS(Setup!$E$6:$E$29,"Y",Setup!$B$6:$B$29,"?*")-SUMPRODUCT(COUNTIF(O1777:O1800,Setup!$F$33:$F$40))</f>
        <v/>
      </c>
      <c r="P1801" s="107" t="n"/>
      <c r="Q1801" s="107" t="n"/>
      <c r="R1801" s="107" t="n"/>
      <c r="S1801" s="107">
        <f>COUNTIFS(Setup!$E$6:$E$29,"Y",Setup!$B$6:$B$29,"?*")-SUMPRODUCT(COUNTIF(S1777:S1800,Setup!$F$33:$F$40))</f>
        <v/>
      </c>
      <c r="T1801" s="107" t="n"/>
      <c r="U1801" s="107" t="n"/>
      <c r="V1801" s="107" t="n"/>
      <c r="W1801" s="107">
        <f>COUNTIFS(Setup!$E$6:$E$29,"Y",Setup!$B$6:$B$29,"?*")-SUMPRODUCT(COUNTIF(W1777:W1800,Setup!$F$33:$F$40))</f>
        <v/>
      </c>
      <c r="X1801" s="107" t="n"/>
      <c r="Y1801" s="107">
        <f>COUNTIFS(Setup!$E$6:$E$29,"Y",Setup!$B$6:$B$29,"?*")-SUMPRODUCT(COUNTIF(Y1777:Y1800,Setup!$F$33:$F$40))</f>
        <v/>
      </c>
      <c r="Z1801" s="107" t="n"/>
      <c r="AB1801" s="108">
        <f>SUM(AB1777:AB1800)</f>
        <v/>
      </c>
      <c r="AC1801" s="109">
        <f>SUM(AC1777:AC1800)</f>
        <v/>
      </c>
    </row>
    <row r="1802" ht="30" customHeight="1">
      <c r="A1802" t="n">
        <v>36</v>
      </c>
      <c r="B1802" s="110" t="inlineStr">
        <is>
          <t>Week notes</t>
        </is>
      </c>
      <c r="C1802" s="111" t="n"/>
      <c r="D1802" s="112" t="n"/>
      <c r="E1802" s="112" t="n"/>
      <c r="F1802" s="112" t="n"/>
      <c r="G1802" s="112" t="n"/>
      <c r="H1802" s="112" t="n"/>
      <c r="I1802" s="112" t="n"/>
      <c r="J1802" s="112" t="n"/>
      <c r="K1802" s="112" t="n"/>
      <c r="L1802" s="112" t="n"/>
      <c r="M1802" s="112" t="n"/>
      <c r="N1802" s="112" t="n"/>
      <c r="O1802" s="112" t="n"/>
      <c r="P1802" s="112" t="n"/>
      <c r="Q1802" s="112" t="n"/>
      <c r="R1802" s="112" t="n"/>
      <c r="S1802" s="112" t="n"/>
      <c r="T1802" s="112" t="n"/>
      <c r="U1802" s="112" t="n"/>
      <c r="V1802" s="112" t="n"/>
      <c r="W1802" s="112" t="n"/>
      <c r="X1802" s="112" t="n"/>
      <c r="Y1802" s="112" t="n"/>
      <c r="Z1802" s="113" t="n"/>
    </row>
    <row r="1803" ht="8" customHeight="1">
      <c r="A1803" t="n">
        <v>36</v>
      </c>
    </row>
    <row r="1804" ht="8" customHeight="1">
      <c r="A1804" t="n">
        <v>36</v>
      </c>
    </row>
    <row r="1805" ht="24" customHeight="1">
      <c r="A1805" t="n">
        <v>37</v>
      </c>
      <c r="B1805" s="73">
        <f>"WEEK 37     "&amp;TEXT(C1806,"ddd d mmm")&amp;"  –  "&amp;TEXT(C1806+6,"ddd d mmm yyyy")</f>
        <v/>
      </c>
      <c r="S1805" s="74">
        <f>IF(TODAY()&lt;C1806,"FUTURE",IF(TODAY()&gt;C1806+6,"PAST","THIS WEEK"))</f>
        <v/>
      </c>
      <c r="W1805" s="75">
        <f>IF(AND(Engine!$B$8=$AC$3,Engine!$B$9=$A1805),"◀ ACTIVE WEEK","")</f>
        <v/>
      </c>
      <c r="AA1805" s="76" t="n"/>
      <c r="AB1805" s="77" t="inlineStr">
        <is>
          <t>◀ Prev</t>
        </is>
      </c>
      <c r="AC1805" s="77" t="inlineStr">
        <is>
          <t>Next ▶</t>
        </is>
      </c>
    </row>
    <row r="1806" ht="18" customHeight="1">
      <c r="A1806" t="n">
        <v>37</v>
      </c>
      <c r="B1806" s="78" t="inlineStr">
        <is>
          <t>DUTY</t>
        </is>
      </c>
      <c r="C1806" s="79">
        <f>$AC$2+7*($A1806-1)</f>
        <v/>
      </c>
      <c r="D1806" s="80" t="n"/>
      <c r="E1806" s="80" t="n"/>
      <c r="F1806" s="81" t="n"/>
      <c r="G1806" s="79">
        <f>C1806+1</f>
        <v/>
      </c>
      <c r="H1806" s="80" t="n"/>
      <c r="I1806" s="80" t="n"/>
      <c r="J1806" s="81" t="n"/>
      <c r="K1806" s="79">
        <f>C1806+2</f>
        <v/>
      </c>
      <c r="L1806" s="80" t="n"/>
      <c r="M1806" s="80" t="n"/>
      <c r="N1806" s="81" t="n"/>
      <c r="O1806" s="79">
        <f>C1806+3</f>
        <v/>
      </c>
      <c r="P1806" s="80" t="n"/>
      <c r="Q1806" s="80" t="n"/>
      <c r="R1806" s="81" t="n"/>
      <c r="S1806" s="79">
        <f>C1806+4</f>
        <v/>
      </c>
      <c r="T1806" s="80" t="n"/>
      <c r="U1806" s="80" t="n"/>
      <c r="V1806" s="81" t="n"/>
      <c r="W1806" s="82">
        <f>C1806+5</f>
        <v/>
      </c>
      <c r="X1806" s="83" t="n"/>
      <c r="Y1806" s="82">
        <f>C1806+6</f>
        <v/>
      </c>
      <c r="Z1806" s="83" t="n"/>
      <c r="AB1806" s="72" t="inlineStr">
        <is>
          <t>Gaps</t>
        </is>
      </c>
      <c r="AC1806" s="72" t="inlineStr">
        <is>
          <t>Cover</t>
        </is>
      </c>
    </row>
    <row r="1807" ht="14" customHeight="1">
      <c r="A1807" t="n">
        <v>37</v>
      </c>
      <c r="B1807" s="84" t="inlineStr">
        <is>
          <t>(from Setup)</t>
        </is>
      </c>
      <c r="C1807" s="85" t="inlineStr">
        <is>
          <t>1</t>
        </is>
      </c>
      <c r="D1807" s="85" t="inlineStr">
        <is>
          <t>2</t>
        </is>
      </c>
      <c r="E1807" s="85" t="inlineStr">
        <is>
          <t>3</t>
        </is>
      </c>
      <c r="F1807" s="85" t="inlineStr">
        <is>
          <t>Notes</t>
        </is>
      </c>
      <c r="G1807" s="85" t="inlineStr">
        <is>
          <t>1</t>
        </is>
      </c>
      <c r="H1807" s="85" t="inlineStr">
        <is>
          <t>2</t>
        </is>
      </c>
      <c r="I1807" s="85" t="inlineStr">
        <is>
          <t>3</t>
        </is>
      </c>
      <c r="J1807" s="85" t="inlineStr">
        <is>
          <t>Notes</t>
        </is>
      </c>
      <c r="K1807" s="85" t="inlineStr">
        <is>
          <t>1</t>
        </is>
      </c>
      <c r="L1807" s="85" t="inlineStr">
        <is>
          <t>2</t>
        </is>
      </c>
      <c r="M1807" s="85" t="inlineStr">
        <is>
          <t>3</t>
        </is>
      </c>
      <c r="N1807" s="85" t="inlineStr">
        <is>
          <t>Notes</t>
        </is>
      </c>
      <c r="O1807" s="85" t="inlineStr">
        <is>
          <t>1</t>
        </is>
      </c>
      <c r="P1807" s="85" t="inlineStr">
        <is>
          <t>2</t>
        </is>
      </c>
      <c r="Q1807" s="85" t="inlineStr">
        <is>
          <t>3</t>
        </is>
      </c>
      <c r="R1807" s="85" t="inlineStr">
        <is>
          <t>Notes</t>
        </is>
      </c>
      <c r="S1807" s="85" t="inlineStr">
        <is>
          <t>1</t>
        </is>
      </c>
      <c r="T1807" s="85" t="inlineStr">
        <is>
          <t>2</t>
        </is>
      </c>
      <c r="U1807" s="85" t="inlineStr">
        <is>
          <t>3</t>
        </is>
      </c>
      <c r="V1807" s="85" t="inlineStr">
        <is>
          <t>Notes</t>
        </is>
      </c>
      <c r="W1807" s="85" t="inlineStr">
        <is>
          <t>Cover</t>
        </is>
      </c>
      <c r="X1807" s="85" t="inlineStr">
        <is>
          <t>Notes</t>
        </is>
      </c>
      <c r="Y1807" s="85" t="inlineStr">
        <is>
          <t>Cover</t>
        </is>
      </c>
      <c r="Z1807" s="85" t="inlineStr">
        <is>
          <t>Notes</t>
        </is>
      </c>
      <c r="AB1807" s="86" t="inlineStr">
        <is>
          <t>weekdays short</t>
        </is>
      </c>
      <c r="AC1807" s="87" t="inlineStr"/>
    </row>
    <row r="1808" ht="17" customHeight="1">
      <c r="A1808" t="n">
        <v>37</v>
      </c>
      <c r="B1808" s="24">
        <f>IF(Setup!$K$6="","",Setup!$K$6)</f>
        <v/>
      </c>
      <c r="C1808" s="88" t="n"/>
      <c r="D1808" s="88" t="n"/>
      <c r="E1808" s="88" t="n"/>
      <c r="F1808" s="89" t="n"/>
      <c r="G1808" s="88" t="n"/>
      <c r="H1808" s="88" t="n"/>
      <c r="I1808" s="88" t="n"/>
      <c r="J1808" s="89" t="n"/>
      <c r="K1808" s="88" t="n"/>
      <c r="L1808" s="88" t="n"/>
      <c r="M1808" s="88" t="n"/>
      <c r="N1808" s="89" t="n"/>
      <c r="O1808" s="88" t="n"/>
      <c r="P1808" s="88" t="n"/>
      <c r="Q1808" s="88" t="n"/>
      <c r="R1808" s="89" t="n"/>
      <c r="S1808" s="88" t="n"/>
      <c r="T1808" s="88" t="n"/>
      <c r="U1808" s="88" t="n"/>
      <c r="V1808" s="89" t="n"/>
      <c r="W1808" s="88" t="n"/>
      <c r="X1808" s="89" t="n"/>
      <c r="Y1808" s="88" t="n"/>
      <c r="Z1808" s="89" t="n"/>
      <c r="AB1808" s="25">
        <f>IF($B1808="","",(COUNTIF(C1808:E1808,"?*")&lt;N(INDEX(Setup!$L$6:$L$23,1)))+(COUNTIF(G1808:I1808,"?*")&lt;N(INDEX(Setup!$L$6:$L$23,1)))+(COUNTIF(K1808:M1808,"?*")&lt;N(INDEX(Setup!$L$6:$L$23,1)))+(COUNTIF(O1808:Q1808,"?*")&lt;N(INDEX(Setup!$L$6:$L$23,1)))+(COUNTIF(S1808:U1808,"?*")&lt;N(INDEX(Setup!$L$6:$L$23,1)))+((W1808="")*(INDEX(Setup!$M$6:$M$23,1)="Y"))+((Y1808="")*(INDEX(Setup!$M$6:$M$23,1)="Y")))</f>
        <v/>
      </c>
      <c r="AC1808" s="90">
        <f>IF($B1808="","",IF(AB1808=0,"✓ covered","⚠ "&amp;AB1808&amp;IF(AB1808=1," gap"," gaps")))</f>
        <v/>
      </c>
    </row>
    <row r="1809" ht="17" customHeight="1">
      <c r="A1809" t="n">
        <v>37</v>
      </c>
      <c r="B1809" s="29">
        <f>IF(Setup!$K$7="","",Setup!$K$7)</f>
        <v/>
      </c>
      <c r="C1809" s="88" t="n"/>
      <c r="D1809" s="88" t="n"/>
      <c r="E1809" s="88" t="n"/>
      <c r="F1809" s="89" t="n"/>
      <c r="G1809" s="88" t="n"/>
      <c r="H1809" s="88" t="n"/>
      <c r="I1809" s="88" t="n"/>
      <c r="J1809" s="89" t="n"/>
      <c r="K1809" s="88" t="n"/>
      <c r="L1809" s="88" t="n"/>
      <c r="M1809" s="88" t="n"/>
      <c r="N1809" s="89" t="n"/>
      <c r="O1809" s="88" t="n"/>
      <c r="P1809" s="88" t="n"/>
      <c r="Q1809" s="88" t="n"/>
      <c r="R1809" s="89" t="n"/>
      <c r="S1809" s="88" t="n"/>
      <c r="T1809" s="88" t="n"/>
      <c r="U1809" s="88" t="n"/>
      <c r="V1809" s="89" t="n"/>
      <c r="W1809" s="88" t="n"/>
      <c r="X1809" s="89" t="n"/>
      <c r="Y1809" s="88" t="n"/>
      <c r="Z1809" s="89" t="n"/>
      <c r="AB1809" s="30">
        <f>IF($B1809="","",(COUNTIF(C1809:E1809,"?*")&lt;N(INDEX(Setup!$L$6:$L$23,2)))+(COUNTIF(G1809:I1809,"?*")&lt;N(INDEX(Setup!$L$6:$L$23,2)))+(COUNTIF(K1809:M1809,"?*")&lt;N(INDEX(Setup!$L$6:$L$23,2)))+(COUNTIF(O1809:Q1809,"?*")&lt;N(INDEX(Setup!$L$6:$L$23,2)))+(COUNTIF(S1809:U1809,"?*")&lt;N(INDEX(Setup!$L$6:$L$23,2)))+((W1809="")*(INDEX(Setup!$M$6:$M$23,2)="Y"))+((Y1809="")*(INDEX(Setup!$M$6:$M$23,2)="Y")))</f>
        <v/>
      </c>
      <c r="AC1809" s="91">
        <f>IF($B1809="","",IF(AB1809=0,"✓ covered","⚠ "&amp;AB1809&amp;IF(AB1809=1," gap"," gaps")))</f>
        <v/>
      </c>
    </row>
    <row r="1810" ht="17" customHeight="1">
      <c r="A1810" t="n">
        <v>37</v>
      </c>
      <c r="B1810" s="24">
        <f>IF(Setup!$K$8="","",Setup!$K$8)</f>
        <v/>
      </c>
      <c r="C1810" s="88" t="n"/>
      <c r="D1810" s="88" t="n"/>
      <c r="E1810" s="88" t="n"/>
      <c r="F1810" s="89" t="n"/>
      <c r="G1810" s="88" t="n"/>
      <c r="H1810" s="88" t="n"/>
      <c r="I1810" s="88" t="n"/>
      <c r="J1810" s="89" t="n"/>
      <c r="K1810" s="88" t="n"/>
      <c r="L1810" s="88" t="n"/>
      <c r="M1810" s="88" t="n"/>
      <c r="N1810" s="89" t="n"/>
      <c r="O1810" s="88" t="n"/>
      <c r="P1810" s="88" t="n"/>
      <c r="Q1810" s="88" t="n"/>
      <c r="R1810" s="89" t="n"/>
      <c r="S1810" s="88" t="n"/>
      <c r="T1810" s="88" t="n"/>
      <c r="U1810" s="88" t="n"/>
      <c r="V1810" s="89" t="n"/>
      <c r="W1810" s="88" t="n"/>
      <c r="X1810" s="89" t="n"/>
      <c r="Y1810" s="88" t="n"/>
      <c r="Z1810" s="89" t="n"/>
      <c r="AB1810" s="25">
        <f>IF($B1810="","",(COUNTIF(C1810:E1810,"?*")&lt;N(INDEX(Setup!$L$6:$L$23,3)))+(COUNTIF(G1810:I1810,"?*")&lt;N(INDEX(Setup!$L$6:$L$23,3)))+(COUNTIF(K1810:M1810,"?*")&lt;N(INDEX(Setup!$L$6:$L$23,3)))+(COUNTIF(O1810:Q1810,"?*")&lt;N(INDEX(Setup!$L$6:$L$23,3)))+(COUNTIF(S1810:U1810,"?*")&lt;N(INDEX(Setup!$L$6:$L$23,3)))+((W1810="")*(INDEX(Setup!$M$6:$M$23,3)="Y"))+((Y1810="")*(INDEX(Setup!$M$6:$M$23,3)="Y")))</f>
        <v/>
      </c>
      <c r="AC1810" s="90">
        <f>IF($B1810="","",IF(AB1810=0,"✓ covered","⚠ "&amp;AB1810&amp;IF(AB1810=1," gap"," gaps")))</f>
        <v/>
      </c>
    </row>
    <row r="1811" ht="17" customHeight="1">
      <c r="A1811" t="n">
        <v>37</v>
      </c>
      <c r="B1811" s="29">
        <f>IF(Setup!$K$9="","",Setup!$K$9)</f>
        <v/>
      </c>
      <c r="C1811" s="88" t="n"/>
      <c r="D1811" s="88" t="n"/>
      <c r="E1811" s="88" t="n"/>
      <c r="F1811" s="89" t="n"/>
      <c r="G1811" s="88" t="n"/>
      <c r="H1811" s="88" t="n"/>
      <c r="I1811" s="88" t="n"/>
      <c r="J1811" s="89" t="n"/>
      <c r="K1811" s="88" t="n"/>
      <c r="L1811" s="88" t="n"/>
      <c r="M1811" s="88" t="n"/>
      <c r="N1811" s="89" t="n"/>
      <c r="O1811" s="88" t="n"/>
      <c r="P1811" s="88" t="n"/>
      <c r="Q1811" s="88" t="n"/>
      <c r="R1811" s="89" t="n"/>
      <c r="S1811" s="88" t="n"/>
      <c r="T1811" s="88" t="n"/>
      <c r="U1811" s="88" t="n"/>
      <c r="V1811" s="89" t="n"/>
      <c r="W1811" s="88" t="n"/>
      <c r="X1811" s="89" t="n"/>
      <c r="Y1811" s="88" t="n"/>
      <c r="Z1811" s="89" t="n"/>
      <c r="AB1811" s="30">
        <f>IF($B1811="","",(COUNTIF(C1811:E1811,"?*")&lt;N(INDEX(Setup!$L$6:$L$23,4)))+(COUNTIF(G1811:I1811,"?*")&lt;N(INDEX(Setup!$L$6:$L$23,4)))+(COUNTIF(K1811:M1811,"?*")&lt;N(INDEX(Setup!$L$6:$L$23,4)))+(COUNTIF(O1811:Q1811,"?*")&lt;N(INDEX(Setup!$L$6:$L$23,4)))+(COUNTIF(S1811:U1811,"?*")&lt;N(INDEX(Setup!$L$6:$L$23,4)))+((W1811="")*(INDEX(Setup!$M$6:$M$23,4)="Y"))+((Y1811="")*(INDEX(Setup!$M$6:$M$23,4)="Y")))</f>
        <v/>
      </c>
      <c r="AC1811" s="91">
        <f>IF($B1811="","",IF(AB1811=0,"✓ covered","⚠ "&amp;AB1811&amp;IF(AB1811=1," gap"," gaps")))</f>
        <v/>
      </c>
    </row>
    <row r="1812" ht="17" customHeight="1">
      <c r="A1812" t="n">
        <v>37</v>
      </c>
      <c r="B1812" s="24">
        <f>IF(Setup!$K$10="","",Setup!$K$10)</f>
        <v/>
      </c>
      <c r="C1812" s="88" t="n"/>
      <c r="D1812" s="88" t="n"/>
      <c r="E1812" s="88" t="n"/>
      <c r="F1812" s="89" t="n"/>
      <c r="G1812" s="88" t="n"/>
      <c r="H1812" s="88" t="n"/>
      <c r="I1812" s="88" t="n"/>
      <c r="J1812" s="89" t="n"/>
      <c r="K1812" s="88" t="n"/>
      <c r="L1812" s="88" t="n"/>
      <c r="M1812" s="88" t="n"/>
      <c r="N1812" s="89" t="n"/>
      <c r="O1812" s="88" t="n"/>
      <c r="P1812" s="88" t="n"/>
      <c r="Q1812" s="88" t="n"/>
      <c r="R1812" s="89" t="n"/>
      <c r="S1812" s="88" t="n"/>
      <c r="T1812" s="88" t="n"/>
      <c r="U1812" s="88" t="n"/>
      <c r="V1812" s="89" t="n"/>
      <c r="W1812" s="88" t="n"/>
      <c r="X1812" s="89" t="n"/>
      <c r="Y1812" s="88" t="n"/>
      <c r="Z1812" s="89" t="n"/>
      <c r="AB1812" s="25">
        <f>IF($B1812="","",(COUNTIF(C1812:E1812,"?*")&lt;N(INDEX(Setup!$L$6:$L$23,5)))+(COUNTIF(G1812:I1812,"?*")&lt;N(INDEX(Setup!$L$6:$L$23,5)))+(COUNTIF(K1812:M1812,"?*")&lt;N(INDEX(Setup!$L$6:$L$23,5)))+(COUNTIF(O1812:Q1812,"?*")&lt;N(INDEX(Setup!$L$6:$L$23,5)))+(COUNTIF(S1812:U1812,"?*")&lt;N(INDEX(Setup!$L$6:$L$23,5)))+((W1812="")*(INDEX(Setup!$M$6:$M$23,5)="Y"))+((Y1812="")*(INDEX(Setup!$M$6:$M$23,5)="Y")))</f>
        <v/>
      </c>
      <c r="AC1812" s="90">
        <f>IF($B1812="","",IF(AB1812=0,"✓ covered","⚠ "&amp;AB1812&amp;IF(AB1812=1," gap"," gaps")))</f>
        <v/>
      </c>
    </row>
    <row r="1813" ht="17" customHeight="1">
      <c r="A1813" t="n">
        <v>37</v>
      </c>
      <c r="B1813" s="29">
        <f>IF(Setup!$K$11="","",Setup!$K$11)</f>
        <v/>
      </c>
      <c r="C1813" s="88" t="n"/>
      <c r="D1813" s="88" t="n"/>
      <c r="E1813" s="88" t="n"/>
      <c r="F1813" s="89" t="n"/>
      <c r="G1813" s="88" t="n"/>
      <c r="H1813" s="88" t="n"/>
      <c r="I1813" s="88" t="n"/>
      <c r="J1813" s="89" t="n"/>
      <c r="K1813" s="88" t="n"/>
      <c r="L1813" s="88" t="n"/>
      <c r="M1813" s="88" t="n"/>
      <c r="N1813" s="89" t="n"/>
      <c r="O1813" s="88" t="n"/>
      <c r="P1813" s="88" t="n"/>
      <c r="Q1813" s="88" t="n"/>
      <c r="R1813" s="89" t="n"/>
      <c r="S1813" s="88" t="n"/>
      <c r="T1813" s="88" t="n"/>
      <c r="U1813" s="88" t="n"/>
      <c r="V1813" s="89" t="n"/>
      <c r="W1813" s="88" t="n"/>
      <c r="X1813" s="89" t="n"/>
      <c r="Y1813" s="88" t="n"/>
      <c r="Z1813" s="89" t="n"/>
      <c r="AB1813" s="30">
        <f>IF($B1813="","",(COUNTIF(C1813:E1813,"?*")&lt;N(INDEX(Setup!$L$6:$L$23,6)))+(COUNTIF(G1813:I1813,"?*")&lt;N(INDEX(Setup!$L$6:$L$23,6)))+(COUNTIF(K1813:M1813,"?*")&lt;N(INDEX(Setup!$L$6:$L$23,6)))+(COUNTIF(O1813:Q1813,"?*")&lt;N(INDEX(Setup!$L$6:$L$23,6)))+(COUNTIF(S1813:U1813,"?*")&lt;N(INDEX(Setup!$L$6:$L$23,6)))+((W1813="")*(INDEX(Setup!$M$6:$M$23,6)="Y"))+((Y1813="")*(INDEX(Setup!$M$6:$M$23,6)="Y")))</f>
        <v/>
      </c>
      <c r="AC1813" s="91">
        <f>IF($B1813="","",IF(AB1813=0,"✓ covered","⚠ "&amp;AB1813&amp;IF(AB1813=1," gap"," gaps")))</f>
        <v/>
      </c>
    </row>
    <row r="1814" ht="17" customHeight="1">
      <c r="A1814" t="n">
        <v>37</v>
      </c>
      <c r="B1814" s="24">
        <f>IF(Setup!$K$12="","",Setup!$K$12)</f>
        <v/>
      </c>
      <c r="C1814" s="88" t="n"/>
      <c r="D1814" s="88" t="n"/>
      <c r="E1814" s="88" t="n"/>
      <c r="F1814" s="89" t="n"/>
      <c r="G1814" s="88" t="n"/>
      <c r="H1814" s="88" t="n"/>
      <c r="I1814" s="88" t="n"/>
      <c r="J1814" s="89" t="n"/>
      <c r="K1814" s="88" t="n"/>
      <c r="L1814" s="88" t="n"/>
      <c r="M1814" s="88" t="n"/>
      <c r="N1814" s="89" t="n"/>
      <c r="O1814" s="88" t="n"/>
      <c r="P1814" s="88" t="n"/>
      <c r="Q1814" s="88" t="n"/>
      <c r="R1814" s="89" t="n"/>
      <c r="S1814" s="88" t="n"/>
      <c r="T1814" s="88" t="n"/>
      <c r="U1814" s="88" t="n"/>
      <c r="V1814" s="89" t="n"/>
      <c r="W1814" s="88" t="n"/>
      <c r="X1814" s="89" t="n"/>
      <c r="Y1814" s="88" t="n"/>
      <c r="Z1814" s="89" t="n"/>
      <c r="AB1814" s="25">
        <f>IF($B1814="","",(COUNTIF(C1814:E1814,"?*")&lt;N(INDEX(Setup!$L$6:$L$23,7)))+(COUNTIF(G1814:I1814,"?*")&lt;N(INDEX(Setup!$L$6:$L$23,7)))+(COUNTIF(K1814:M1814,"?*")&lt;N(INDEX(Setup!$L$6:$L$23,7)))+(COUNTIF(O1814:Q1814,"?*")&lt;N(INDEX(Setup!$L$6:$L$23,7)))+(COUNTIF(S1814:U1814,"?*")&lt;N(INDEX(Setup!$L$6:$L$23,7)))+((W1814="")*(INDEX(Setup!$M$6:$M$23,7)="Y"))+((Y1814="")*(INDEX(Setup!$M$6:$M$23,7)="Y")))</f>
        <v/>
      </c>
      <c r="AC1814" s="90">
        <f>IF($B1814="","",IF(AB1814=0,"✓ covered","⚠ "&amp;AB1814&amp;IF(AB1814=1," gap"," gaps")))</f>
        <v/>
      </c>
    </row>
    <row r="1815" ht="17" customHeight="1">
      <c r="A1815" t="n">
        <v>37</v>
      </c>
      <c r="B1815" s="29">
        <f>IF(Setup!$K$13="","",Setup!$K$13)</f>
        <v/>
      </c>
      <c r="C1815" s="88" t="n"/>
      <c r="D1815" s="88" t="n"/>
      <c r="E1815" s="88" t="n"/>
      <c r="F1815" s="89" t="n"/>
      <c r="G1815" s="88" t="n"/>
      <c r="H1815" s="88" t="n"/>
      <c r="I1815" s="88" t="n"/>
      <c r="J1815" s="89" t="n"/>
      <c r="K1815" s="88" t="n"/>
      <c r="L1815" s="88" t="n"/>
      <c r="M1815" s="88" t="n"/>
      <c r="N1815" s="89" t="n"/>
      <c r="O1815" s="88" t="n"/>
      <c r="P1815" s="88" t="n"/>
      <c r="Q1815" s="88" t="n"/>
      <c r="R1815" s="89" t="n"/>
      <c r="S1815" s="88" t="n"/>
      <c r="T1815" s="88" t="n"/>
      <c r="U1815" s="88" t="n"/>
      <c r="V1815" s="89" t="n"/>
      <c r="W1815" s="88" t="n"/>
      <c r="X1815" s="89" t="n"/>
      <c r="Y1815" s="88" t="n"/>
      <c r="Z1815" s="89" t="n"/>
      <c r="AB1815" s="30">
        <f>IF($B1815="","",(COUNTIF(C1815:E1815,"?*")&lt;N(INDEX(Setup!$L$6:$L$23,8)))+(COUNTIF(G1815:I1815,"?*")&lt;N(INDEX(Setup!$L$6:$L$23,8)))+(COUNTIF(K1815:M1815,"?*")&lt;N(INDEX(Setup!$L$6:$L$23,8)))+(COUNTIF(O1815:Q1815,"?*")&lt;N(INDEX(Setup!$L$6:$L$23,8)))+(COUNTIF(S1815:U1815,"?*")&lt;N(INDEX(Setup!$L$6:$L$23,8)))+((W1815="")*(INDEX(Setup!$M$6:$M$23,8)="Y"))+((Y1815="")*(INDEX(Setup!$M$6:$M$23,8)="Y")))</f>
        <v/>
      </c>
      <c r="AC1815" s="91">
        <f>IF($B1815="","",IF(AB1815=0,"✓ covered","⚠ "&amp;AB1815&amp;IF(AB1815=1," gap"," gaps")))</f>
        <v/>
      </c>
    </row>
    <row r="1816" ht="17" customHeight="1">
      <c r="A1816" t="n">
        <v>37</v>
      </c>
      <c r="B1816" s="24">
        <f>IF(Setup!$K$14="","",Setup!$K$14)</f>
        <v/>
      </c>
      <c r="C1816" s="88" t="n"/>
      <c r="D1816" s="88" t="n"/>
      <c r="E1816" s="88" t="n"/>
      <c r="F1816" s="89" t="n"/>
      <c r="G1816" s="88" t="n"/>
      <c r="H1816" s="88" t="n"/>
      <c r="I1816" s="88" t="n"/>
      <c r="J1816" s="89" t="n"/>
      <c r="K1816" s="88" t="n"/>
      <c r="L1816" s="88" t="n"/>
      <c r="M1816" s="88" t="n"/>
      <c r="N1816" s="89" t="n"/>
      <c r="O1816" s="88" t="n"/>
      <c r="P1816" s="88" t="n"/>
      <c r="Q1816" s="88" t="n"/>
      <c r="R1816" s="89" t="n"/>
      <c r="S1816" s="88" t="n"/>
      <c r="T1816" s="88" t="n"/>
      <c r="U1816" s="88" t="n"/>
      <c r="V1816" s="89" t="n"/>
      <c r="W1816" s="88" t="n"/>
      <c r="X1816" s="89" t="n"/>
      <c r="Y1816" s="88" t="n"/>
      <c r="Z1816" s="89" t="n"/>
      <c r="AB1816" s="25">
        <f>IF($B1816="","",(COUNTIF(C1816:E1816,"?*")&lt;N(INDEX(Setup!$L$6:$L$23,9)))+(COUNTIF(G1816:I1816,"?*")&lt;N(INDEX(Setup!$L$6:$L$23,9)))+(COUNTIF(K1816:M1816,"?*")&lt;N(INDEX(Setup!$L$6:$L$23,9)))+(COUNTIF(O1816:Q1816,"?*")&lt;N(INDEX(Setup!$L$6:$L$23,9)))+(COUNTIF(S1816:U1816,"?*")&lt;N(INDEX(Setup!$L$6:$L$23,9)))+((W1816="")*(INDEX(Setup!$M$6:$M$23,9)="Y"))+((Y1816="")*(INDEX(Setup!$M$6:$M$23,9)="Y")))</f>
        <v/>
      </c>
      <c r="AC1816" s="90">
        <f>IF($B1816="","",IF(AB1816=0,"✓ covered","⚠ "&amp;AB1816&amp;IF(AB1816=1," gap"," gaps")))</f>
        <v/>
      </c>
    </row>
    <row r="1817" ht="17" customHeight="1">
      <c r="A1817" t="n">
        <v>37</v>
      </c>
      <c r="B1817" s="29">
        <f>IF(Setup!$K$15="","",Setup!$K$15)</f>
        <v/>
      </c>
      <c r="C1817" s="88" t="n"/>
      <c r="D1817" s="88" t="n"/>
      <c r="E1817" s="88" t="n"/>
      <c r="F1817" s="89" t="n"/>
      <c r="G1817" s="88" t="n"/>
      <c r="H1817" s="88" t="n"/>
      <c r="I1817" s="88" t="n"/>
      <c r="J1817" s="89" t="n"/>
      <c r="K1817" s="88" t="n"/>
      <c r="L1817" s="88" t="n"/>
      <c r="M1817" s="88" t="n"/>
      <c r="N1817" s="89" t="n"/>
      <c r="O1817" s="88" t="n"/>
      <c r="P1817" s="88" t="n"/>
      <c r="Q1817" s="88" t="n"/>
      <c r="R1817" s="89" t="n"/>
      <c r="S1817" s="88" t="n"/>
      <c r="T1817" s="88" t="n"/>
      <c r="U1817" s="88" t="n"/>
      <c r="V1817" s="89" t="n"/>
      <c r="W1817" s="88" t="n"/>
      <c r="X1817" s="89" t="n"/>
      <c r="Y1817" s="88" t="n"/>
      <c r="Z1817" s="89" t="n"/>
      <c r="AB1817" s="30">
        <f>IF($B1817="","",(COUNTIF(C1817:E1817,"?*")&lt;N(INDEX(Setup!$L$6:$L$23,10)))+(COUNTIF(G1817:I1817,"?*")&lt;N(INDEX(Setup!$L$6:$L$23,10)))+(COUNTIF(K1817:M1817,"?*")&lt;N(INDEX(Setup!$L$6:$L$23,10)))+(COUNTIF(O1817:Q1817,"?*")&lt;N(INDEX(Setup!$L$6:$L$23,10)))+(COUNTIF(S1817:U1817,"?*")&lt;N(INDEX(Setup!$L$6:$L$23,10)))+((W1817="")*(INDEX(Setup!$M$6:$M$23,10)="Y"))+((Y1817="")*(INDEX(Setup!$M$6:$M$23,10)="Y")))</f>
        <v/>
      </c>
      <c r="AC1817" s="91">
        <f>IF($B1817="","",IF(AB1817=0,"✓ covered","⚠ "&amp;AB1817&amp;IF(AB1817=1," gap"," gaps")))</f>
        <v/>
      </c>
    </row>
    <row r="1818" ht="17" customHeight="1">
      <c r="A1818" t="n">
        <v>37</v>
      </c>
      <c r="B1818" s="24">
        <f>IF(Setup!$K$16="","",Setup!$K$16)</f>
        <v/>
      </c>
      <c r="C1818" s="88" t="n"/>
      <c r="D1818" s="88" t="n"/>
      <c r="E1818" s="88" t="n"/>
      <c r="F1818" s="89" t="n"/>
      <c r="G1818" s="88" t="n"/>
      <c r="H1818" s="88" t="n"/>
      <c r="I1818" s="88" t="n"/>
      <c r="J1818" s="89" t="n"/>
      <c r="K1818" s="88" t="n"/>
      <c r="L1818" s="88" t="n"/>
      <c r="M1818" s="88" t="n"/>
      <c r="N1818" s="89" t="n"/>
      <c r="O1818" s="88" t="n"/>
      <c r="P1818" s="88" t="n"/>
      <c r="Q1818" s="88" t="n"/>
      <c r="R1818" s="89" t="n"/>
      <c r="S1818" s="88" t="n"/>
      <c r="T1818" s="88" t="n"/>
      <c r="U1818" s="88" t="n"/>
      <c r="V1818" s="89" t="n"/>
      <c r="W1818" s="88" t="n"/>
      <c r="X1818" s="89" t="n"/>
      <c r="Y1818" s="88" t="n"/>
      <c r="Z1818" s="89" t="n"/>
      <c r="AB1818" s="25">
        <f>IF($B1818="","",(COUNTIF(C1818:E1818,"?*")&lt;N(INDEX(Setup!$L$6:$L$23,11)))+(COUNTIF(G1818:I1818,"?*")&lt;N(INDEX(Setup!$L$6:$L$23,11)))+(COUNTIF(K1818:M1818,"?*")&lt;N(INDEX(Setup!$L$6:$L$23,11)))+(COUNTIF(O1818:Q1818,"?*")&lt;N(INDEX(Setup!$L$6:$L$23,11)))+(COUNTIF(S1818:U1818,"?*")&lt;N(INDEX(Setup!$L$6:$L$23,11)))+((W1818="")*(INDEX(Setup!$M$6:$M$23,11)="Y"))+((Y1818="")*(INDEX(Setup!$M$6:$M$23,11)="Y")))</f>
        <v/>
      </c>
      <c r="AC1818" s="90">
        <f>IF($B1818="","",IF(AB1818=0,"✓ covered","⚠ "&amp;AB1818&amp;IF(AB1818=1," gap"," gaps")))</f>
        <v/>
      </c>
    </row>
    <row r="1819" ht="17" customHeight="1">
      <c r="A1819" t="n">
        <v>37</v>
      </c>
      <c r="B1819" s="29">
        <f>IF(Setup!$K$17="","",Setup!$K$17)</f>
        <v/>
      </c>
      <c r="C1819" s="88" t="n"/>
      <c r="D1819" s="88" t="n"/>
      <c r="E1819" s="88" t="n"/>
      <c r="F1819" s="89" t="n"/>
      <c r="G1819" s="88" t="n"/>
      <c r="H1819" s="88" t="n"/>
      <c r="I1819" s="88" t="n"/>
      <c r="J1819" s="89" t="n"/>
      <c r="K1819" s="88" t="n"/>
      <c r="L1819" s="88" t="n"/>
      <c r="M1819" s="88" t="n"/>
      <c r="N1819" s="89" t="n"/>
      <c r="O1819" s="88" t="n"/>
      <c r="P1819" s="88" t="n"/>
      <c r="Q1819" s="88" t="n"/>
      <c r="R1819" s="89" t="n"/>
      <c r="S1819" s="88" t="n"/>
      <c r="T1819" s="88" t="n"/>
      <c r="U1819" s="88" t="n"/>
      <c r="V1819" s="89" t="n"/>
      <c r="W1819" s="88" t="n"/>
      <c r="X1819" s="89" t="n"/>
      <c r="Y1819" s="88" t="n"/>
      <c r="Z1819" s="89" t="n"/>
      <c r="AB1819" s="30">
        <f>IF($B1819="","",(COUNTIF(C1819:E1819,"?*")&lt;N(INDEX(Setup!$L$6:$L$23,12)))+(COUNTIF(G1819:I1819,"?*")&lt;N(INDEX(Setup!$L$6:$L$23,12)))+(COUNTIF(K1819:M1819,"?*")&lt;N(INDEX(Setup!$L$6:$L$23,12)))+(COUNTIF(O1819:Q1819,"?*")&lt;N(INDEX(Setup!$L$6:$L$23,12)))+(COUNTIF(S1819:U1819,"?*")&lt;N(INDEX(Setup!$L$6:$L$23,12)))+((W1819="")*(INDEX(Setup!$M$6:$M$23,12)="Y"))+((Y1819="")*(INDEX(Setup!$M$6:$M$23,12)="Y")))</f>
        <v/>
      </c>
      <c r="AC1819" s="91">
        <f>IF($B1819="","",IF(AB1819=0,"✓ covered","⚠ "&amp;AB1819&amp;IF(AB1819=1," gap"," gaps")))</f>
        <v/>
      </c>
    </row>
    <row r="1820" ht="17" customHeight="1">
      <c r="A1820" t="n">
        <v>37</v>
      </c>
      <c r="B1820" s="24">
        <f>IF(Setup!$K$18="","",Setup!$K$18)</f>
        <v/>
      </c>
      <c r="C1820" s="88" t="n"/>
      <c r="D1820" s="88" t="n"/>
      <c r="E1820" s="88" t="n"/>
      <c r="F1820" s="89" t="n"/>
      <c r="G1820" s="88" t="n"/>
      <c r="H1820" s="88" t="n"/>
      <c r="I1820" s="88" t="n"/>
      <c r="J1820" s="89" t="n"/>
      <c r="K1820" s="88" t="n"/>
      <c r="L1820" s="88" t="n"/>
      <c r="M1820" s="88" t="n"/>
      <c r="N1820" s="89" t="n"/>
      <c r="O1820" s="88" t="n"/>
      <c r="P1820" s="88" t="n"/>
      <c r="Q1820" s="88" t="n"/>
      <c r="R1820" s="89" t="n"/>
      <c r="S1820" s="88" t="n"/>
      <c r="T1820" s="88" t="n"/>
      <c r="U1820" s="88" t="n"/>
      <c r="V1820" s="89" t="n"/>
      <c r="W1820" s="88" t="n"/>
      <c r="X1820" s="89" t="n"/>
      <c r="Y1820" s="88" t="n"/>
      <c r="Z1820" s="89" t="n"/>
      <c r="AB1820" s="25">
        <f>IF($B1820="","",(COUNTIF(C1820:E1820,"?*")&lt;N(INDEX(Setup!$L$6:$L$23,13)))+(COUNTIF(G1820:I1820,"?*")&lt;N(INDEX(Setup!$L$6:$L$23,13)))+(COUNTIF(K1820:M1820,"?*")&lt;N(INDEX(Setup!$L$6:$L$23,13)))+(COUNTIF(O1820:Q1820,"?*")&lt;N(INDEX(Setup!$L$6:$L$23,13)))+(COUNTIF(S1820:U1820,"?*")&lt;N(INDEX(Setup!$L$6:$L$23,13)))+((W1820="")*(INDEX(Setup!$M$6:$M$23,13)="Y"))+((Y1820="")*(INDEX(Setup!$M$6:$M$23,13)="Y")))</f>
        <v/>
      </c>
      <c r="AC1820" s="90">
        <f>IF($B1820="","",IF(AB1820=0,"✓ covered","⚠ "&amp;AB1820&amp;IF(AB1820=1," gap"," gaps")))</f>
        <v/>
      </c>
    </row>
    <row r="1821" ht="17" customHeight="1">
      <c r="A1821" t="n">
        <v>37</v>
      </c>
      <c r="B1821" s="29">
        <f>IF(Setup!$K$19="","",Setup!$K$19)</f>
        <v/>
      </c>
      <c r="C1821" s="88" t="n"/>
      <c r="D1821" s="88" t="n"/>
      <c r="E1821" s="88" t="n"/>
      <c r="F1821" s="89" t="n"/>
      <c r="G1821" s="88" t="n"/>
      <c r="H1821" s="88" t="n"/>
      <c r="I1821" s="88" t="n"/>
      <c r="J1821" s="89" t="n"/>
      <c r="K1821" s="88" t="n"/>
      <c r="L1821" s="88" t="n"/>
      <c r="M1821" s="88" t="n"/>
      <c r="N1821" s="89" t="n"/>
      <c r="O1821" s="88" t="n"/>
      <c r="P1821" s="88" t="n"/>
      <c r="Q1821" s="88" t="n"/>
      <c r="R1821" s="89" t="n"/>
      <c r="S1821" s="88" t="n"/>
      <c r="T1821" s="88" t="n"/>
      <c r="U1821" s="88" t="n"/>
      <c r="V1821" s="89" t="n"/>
      <c r="W1821" s="88" t="n"/>
      <c r="X1821" s="89" t="n"/>
      <c r="Y1821" s="88" t="n"/>
      <c r="Z1821" s="89" t="n"/>
      <c r="AB1821" s="30">
        <f>IF($B1821="","",(COUNTIF(C1821:E1821,"?*")&lt;N(INDEX(Setup!$L$6:$L$23,14)))+(COUNTIF(G1821:I1821,"?*")&lt;N(INDEX(Setup!$L$6:$L$23,14)))+(COUNTIF(K1821:M1821,"?*")&lt;N(INDEX(Setup!$L$6:$L$23,14)))+(COUNTIF(O1821:Q1821,"?*")&lt;N(INDEX(Setup!$L$6:$L$23,14)))+(COUNTIF(S1821:U1821,"?*")&lt;N(INDEX(Setup!$L$6:$L$23,14)))+((W1821="")*(INDEX(Setup!$M$6:$M$23,14)="Y"))+((Y1821="")*(INDEX(Setup!$M$6:$M$23,14)="Y")))</f>
        <v/>
      </c>
      <c r="AC1821" s="91">
        <f>IF($B1821="","",IF(AB1821=0,"✓ covered","⚠ "&amp;AB1821&amp;IF(AB1821=1," gap"," gaps")))</f>
        <v/>
      </c>
    </row>
    <row r="1822" ht="17" customHeight="1">
      <c r="A1822" t="n">
        <v>37</v>
      </c>
      <c r="B1822" s="24">
        <f>IF(Setup!$K$20="","",Setup!$K$20)</f>
        <v/>
      </c>
      <c r="C1822" s="88" t="n"/>
      <c r="D1822" s="88" t="n"/>
      <c r="E1822" s="88" t="n"/>
      <c r="F1822" s="89" t="n"/>
      <c r="G1822" s="88" t="n"/>
      <c r="H1822" s="88" t="n"/>
      <c r="I1822" s="88" t="n"/>
      <c r="J1822" s="89" t="n"/>
      <c r="K1822" s="88" t="n"/>
      <c r="L1822" s="88" t="n"/>
      <c r="M1822" s="88" t="n"/>
      <c r="N1822" s="89" t="n"/>
      <c r="O1822" s="88" t="n"/>
      <c r="P1822" s="88" t="n"/>
      <c r="Q1822" s="88" t="n"/>
      <c r="R1822" s="89" t="n"/>
      <c r="S1822" s="88" t="n"/>
      <c r="T1822" s="88" t="n"/>
      <c r="U1822" s="88" t="n"/>
      <c r="V1822" s="89" t="n"/>
      <c r="W1822" s="88" t="n"/>
      <c r="X1822" s="89" t="n"/>
      <c r="Y1822" s="88" t="n"/>
      <c r="Z1822" s="89" t="n"/>
      <c r="AB1822" s="25">
        <f>IF($B1822="","",(COUNTIF(C1822:E1822,"?*")&lt;N(INDEX(Setup!$L$6:$L$23,15)))+(COUNTIF(G1822:I1822,"?*")&lt;N(INDEX(Setup!$L$6:$L$23,15)))+(COUNTIF(K1822:M1822,"?*")&lt;N(INDEX(Setup!$L$6:$L$23,15)))+(COUNTIF(O1822:Q1822,"?*")&lt;N(INDEX(Setup!$L$6:$L$23,15)))+(COUNTIF(S1822:U1822,"?*")&lt;N(INDEX(Setup!$L$6:$L$23,15)))+((W1822="")*(INDEX(Setup!$M$6:$M$23,15)="Y"))+((Y1822="")*(INDEX(Setup!$M$6:$M$23,15)="Y")))</f>
        <v/>
      </c>
      <c r="AC1822" s="90">
        <f>IF($B1822="","",IF(AB1822=0,"✓ covered","⚠ "&amp;AB1822&amp;IF(AB1822=1," gap"," gaps")))</f>
        <v/>
      </c>
    </row>
    <row r="1823" ht="17" customHeight="1">
      <c r="A1823" t="n">
        <v>37</v>
      </c>
      <c r="B1823" s="29">
        <f>IF(Setup!$K$21="","",Setup!$K$21)</f>
        <v/>
      </c>
      <c r="C1823" s="88" t="n"/>
      <c r="D1823" s="88" t="n"/>
      <c r="E1823" s="88" t="n"/>
      <c r="F1823" s="89" t="n"/>
      <c r="G1823" s="88" t="n"/>
      <c r="H1823" s="88" t="n"/>
      <c r="I1823" s="88" t="n"/>
      <c r="J1823" s="89" t="n"/>
      <c r="K1823" s="88" t="n"/>
      <c r="L1823" s="88" t="n"/>
      <c r="M1823" s="88" t="n"/>
      <c r="N1823" s="89" t="n"/>
      <c r="O1823" s="88" t="n"/>
      <c r="P1823" s="88" t="n"/>
      <c r="Q1823" s="88" t="n"/>
      <c r="R1823" s="89" t="n"/>
      <c r="S1823" s="88" t="n"/>
      <c r="T1823" s="88" t="n"/>
      <c r="U1823" s="88" t="n"/>
      <c r="V1823" s="89" t="n"/>
      <c r="W1823" s="88" t="n"/>
      <c r="X1823" s="89" t="n"/>
      <c r="Y1823" s="88" t="n"/>
      <c r="Z1823" s="89" t="n"/>
      <c r="AB1823" s="30">
        <f>IF($B1823="","",(COUNTIF(C1823:E1823,"?*")&lt;N(INDEX(Setup!$L$6:$L$23,16)))+(COUNTIF(G1823:I1823,"?*")&lt;N(INDEX(Setup!$L$6:$L$23,16)))+(COUNTIF(K1823:M1823,"?*")&lt;N(INDEX(Setup!$L$6:$L$23,16)))+(COUNTIF(O1823:Q1823,"?*")&lt;N(INDEX(Setup!$L$6:$L$23,16)))+(COUNTIF(S1823:U1823,"?*")&lt;N(INDEX(Setup!$L$6:$L$23,16)))+((W1823="")*(INDEX(Setup!$M$6:$M$23,16)="Y"))+((Y1823="")*(INDEX(Setup!$M$6:$M$23,16)="Y")))</f>
        <v/>
      </c>
      <c r="AC1823" s="91">
        <f>IF($B1823="","",IF(AB1823=0,"✓ covered","⚠ "&amp;AB1823&amp;IF(AB1823=1," gap"," gaps")))</f>
        <v/>
      </c>
    </row>
    <row r="1824" ht="17" customHeight="1">
      <c r="A1824" t="n">
        <v>37</v>
      </c>
      <c r="B1824" s="24">
        <f>IF(Setup!$K$22="","",Setup!$K$22)</f>
        <v/>
      </c>
      <c r="C1824" s="88" t="n"/>
      <c r="D1824" s="88" t="n"/>
      <c r="E1824" s="88" t="n"/>
      <c r="F1824" s="89" t="n"/>
      <c r="G1824" s="88" t="n"/>
      <c r="H1824" s="88" t="n"/>
      <c r="I1824" s="88" t="n"/>
      <c r="J1824" s="89" t="n"/>
      <c r="K1824" s="88" t="n"/>
      <c r="L1824" s="88" t="n"/>
      <c r="M1824" s="88" t="n"/>
      <c r="N1824" s="89" t="n"/>
      <c r="O1824" s="88" t="n"/>
      <c r="P1824" s="88" t="n"/>
      <c r="Q1824" s="88" t="n"/>
      <c r="R1824" s="89" t="n"/>
      <c r="S1824" s="88" t="n"/>
      <c r="T1824" s="88" t="n"/>
      <c r="U1824" s="88" t="n"/>
      <c r="V1824" s="89" t="n"/>
      <c r="W1824" s="88" t="n"/>
      <c r="X1824" s="89" t="n"/>
      <c r="Y1824" s="88" t="n"/>
      <c r="Z1824" s="89" t="n"/>
      <c r="AB1824" s="25">
        <f>IF($B1824="","",(COUNTIF(C1824:E1824,"?*")&lt;N(INDEX(Setup!$L$6:$L$23,17)))+(COUNTIF(G1824:I1824,"?*")&lt;N(INDEX(Setup!$L$6:$L$23,17)))+(COUNTIF(K1824:M1824,"?*")&lt;N(INDEX(Setup!$L$6:$L$23,17)))+(COUNTIF(O1824:Q1824,"?*")&lt;N(INDEX(Setup!$L$6:$L$23,17)))+(COUNTIF(S1824:U1824,"?*")&lt;N(INDEX(Setup!$L$6:$L$23,17)))+((W1824="")*(INDEX(Setup!$M$6:$M$23,17)="Y"))+((Y1824="")*(INDEX(Setup!$M$6:$M$23,17)="Y")))</f>
        <v/>
      </c>
      <c r="AC1824" s="90">
        <f>IF($B1824="","",IF(AB1824=0,"✓ covered","⚠ "&amp;AB1824&amp;IF(AB1824=1," gap"," gaps")))</f>
        <v/>
      </c>
    </row>
    <row r="1825" ht="17" customHeight="1">
      <c r="A1825" t="n">
        <v>37</v>
      </c>
      <c r="B1825" s="29">
        <f>IF(Setup!$K$23="","",Setup!$K$23)</f>
        <v/>
      </c>
      <c r="C1825" s="88" t="n"/>
      <c r="D1825" s="88" t="n"/>
      <c r="E1825" s="88" t="n"/>
      <c r="F1825" s="89" t="n"/>
      <c r="G1825" s="88" t="n"/>
      <c r="H1825" s="88" t="n"/>
      <c r="I1825" s="88" t="n"/>
      <c r="J1825" s="89" t="n"/>
      <c r="K1825" s="88" t="n"/>
      <c r="L1825" s="88" t="n"/>
      <c r="M1825" s="88" t="n"/>
      <c r="N1825" s="89" t="n"/>
      <c r="O1825" s="88" t="n"/>
      <c r="P1825" s="88" t="n"/>
      <c r="Q1825" s="88" t="n"/>
      <c r="R1825" s="89" t="n"/>
      <c r="S1825" s="88" t="n"/>
      <c r="T1825" s="88" t="n"/>
      <c r="U1825" s="88" t="n"/>
      <c r="V1825" s="89" t="n"/>
      <c r="W1825" s="88" t="n"/>
      <c r="X1825" s="89" t="n"/>
      <c r="Y1825" s="88" t="n"/>
      <c r="Z1825" s="89" t="n"/>
      <c r="AB1825" s="30">
        <f>IF($B1825="","",(COUNTIF(C1825:E1825,"?*")&lt;N(INDEX(Setup!$L$6:$L$23,18)))+(COUNTIF(G1825:I1825,"?*")&lt;N(INDEX(Setup!$L$6:$L$23,18)))+(COUNTIF(K1825:M1825,"?*")&lt;N(INDEX(Setup!$L$6:$L$23,18)))+(COUNTIF(O1825:Q1825,"?*")&lt;N(INDEX(Setup!$L$6:$L$23,18)))+(COUNTIF(S1825:U1825,"?*")&lt;N(INDEX(Setup!$L$6:$L$23,18)))+((W1825="")*(INDEX(Setup!$M$6:$M$23,18)="Y"))+((Y1825="")*(INDEX(Setup!$M$6:$M$23,18)="Y")))</f>
        <v/>
      </c>
      <c r="AC1825" s="91">
        <f>IF($B1825="","",IF(AB1825=0,"✓ covered","⚠ "&amp;AB1825&amp;IF(AB1825=1," gap"," gaps")))</f>
        <v/>
      </c>
    </row>
    <row r="1826" ht="18" customHeight="1">
      <c r="A1826" t="n">
        <v>37</v>
      </c>
      <c r="B1826" s="78" t="inlineStr">
        <is>
          <t>TEAM AVAILABILITY</t>
        </is>
      </c>
      <c r="C1826" s="92" t="inlineStr">
        <is>
          <t>Mon</t>
        </is>
      </c>
      <c r="D1826" s="93" t="n"/>
      <c r="E1826" s="93" t="n"/>
      <c r="F1826" s="94" t="n"/>
      <c r="G1826" s="92" t="inlineStr">
        <is>
          <t>Tue</t>
        </is>
      </c>
      <c r="H1826" s="93" t="n"/>
      <c r="I1826" s="93" t="n"/>
      <c r="J1826" s="94" t="n"/>
      <c r="K1826" s="92" t="inlineStr">
        <is>
          <t>Wed</t>
        </is>
      </c>
      <c r="L1826" s="93" t="n"/>
      <c r="M1826" s="93" t="n"/>
      <c r="N1826" s="94" t="n"/>
      <c r="O1826" s="92" t="inlineStr">
        <is>
          <t>Thu</t>
        </is>
      </c>
      <c r="P1826" s="93" t="n"/>
      <c r="Q1826" s="93" t="n"/>
      <c r="R1826" s="94" t="n"/>
      <c r="S1826" s="92" t="inlineStr">
        <is>
          <t>Fri</t>
        </is>
      </c>
      <c r="T1826" s="93" t="n"/>
      <c r="U1826" s="93" t="n"/>
      <c r="V1826" s="94" t="n"/>
      <c r="W1826" s="95" t="inlineStr">
        <is>
          <t>Sat</t>
        </is>
      </c>
      <c r="X1826" s="96" t="n"/>
      <c r="Y1826" s="95" t="inlineStr">
        <is>
          <t>Sun</t>
        </is>
      </c>
      <c r="Z1826" s="96" t="n"/>
      <c r="AB1826" s="97" t="inlineStr">
        <is>
          <t>Days rostered</t>
        </is>
      </c>
      <c r="AC1826" s="97" t="inlineStr">
        <is>
          <t>Conflicts</t>
        </is>
      </c>
    </row>
    <row r="1827" ht="15" customHeight="1">
      <c r="A1827" t="n">
        <v>37</v>
      </c>
      <c r="B1827" s="35">
        <f>IF(Setup!$B$6="","",Setup!$B$6)</f>
        <v/>
      </c>
      <c r="C1827" s="98" t="n"/>
      <c r="D1827" s="99" t="n"/>
      <c r="E1827" s="99" t="n"/>
      <c r="F1827" s="100" t="n"/>
      <c r="G1827" s="98" t="n"/>
      <c r="H1827" s="99" t="n"/>
      <c r="I1827" s="99" t="n"/>
      <c r="J1827" s="100" t="n"/>
      <c r="K1827" s="98" t="n"/>
      <c r="L1827" s="99" t="n"/>
      <c r="M1827" s="99" t="n"/>
      <c r="N1827" s="100" t="n"/>
      <c r="O1827" s="98" t="n"/>
      <c r="P1827" s="99" t="n"/>
      <c r="Q1827" s="99" t="n"/>
      <c r="R1827" s="100" t="n"/>
      <c r="S1827" s="98" t="n"/>
      <c r="T1827" s="99" t="n"/>
      <c r="U1827" s="99" t="n"/>
      <c r="V1827" s="100" t="n"/>
      <c r="W1827" s="98" t="n"/>
      <c r="X1827" s="100" t="n"/>
      <c r="Y1827" s="98" t="n"/>
      <c r="Z1827" s="100" t="n"/>
      <c r="AB1827" s="101">
        <f>IF($B1827="","",(COUNTIF(C1808:E1825,$B1827)+COUNTIF(C1808:E1825,$B1827&amp;" ~*")&gt;0)+(COUNTIF(G1808:I1825,$B1827)+COUNTIF(G1808:I1825,$B1827&amp;" ~*")&gt;0)+(COUNTIF(K1808:M1825,$B1827)+COUNTIF(K1808:M1825,$B1827&amp;" ~*")&gt;0)+(COUNTIF(O1808:Q1825,$B1827)+COUNTIF(O1808:Q1825,$B1827&amp;" ~*")&gt;0)+(COUNTIF(S1808:U1825,$B1827)+COUNTIF(S1808:U1825,$B1827&amp;" ~*")&gt;0)+(COUNTIF(W1808:W1825,$B1827)+COUNTIF(W1808:W1825,$B1827&amp;" ~*")&gt;0)+(COUNTIF(Y1808:Y1825,$B1827)+COUNTIF(Y1808:Y1825,$B1827&amp;" ~*")&gt;0))</f>
        <v/>
      </c>
      <c r="AC1827" s="36">
        <f>IF($B1827="","",(IFERROR(INDEX(Setup!$G$33:$G$40,MATCH(C1827,Setup!$B$33:$B$40,0)),0)=1)*(COUNTIF(C1808:E1825,$B1827)+COUNTIF(C1808:E1825,$B1827&amp;" ~*")&gt;0)+(IFERROR(INDEX(Setup!$G$33:$G$40,MATCH(G1827,Setup!$B$33:$B$40,0)),0)=1)*(COUNTIF(G1808:I1825,$B1827)+COUNTIF(G1808:I1825,$B1827&amp;" ~*")&gt;0)+(IFERROR(INDEX(Setup!$G$33:$G$40,MATCH(K1827,Setup!$B$33:$B$40,0)),0)=1)*(COUNTIF(K1808:M1825,$B1827)+COUNTIF(K1808:M1825,$B1827&amp;" ~*")&gt;0)+(IFERROR(INDEX(Setup!$G$33:$G$40,MATCH(O1827,Setup!$B$33:$B$40,0)),0)=1)*(COUNTIF(O1808:Q1825,$B1827)+COUNTIF(O1808:Q1825,$B1827&amp;" ~*")&gt;0)+(IFERROR(INDEX(Setup!$G$33:$G$40,MATCH(S1827,Setup!$B$33:$B$40,0)),0)=1)*(COUNTIF(S1808:U1825,$B1827)+COUNTIF(S1808:U1825,$B1827&amp;" ~*")&gt;0)+(IFERROR(INDEX(Setup!$G$33:$G$40,MATCH(W1827,Setup!$B$33:$B$40,0)),0)=1)*(COUNTIF(W1808:W1825,$B1827)+COUNTIF(W1808:W1825,$B1827&amp;" ~*")&gt;0)+(IFERROR(INDEX(Setup!$G$33:$G$40,MATCH(Y1827,Setup!$B$33:$B$40,0)),0)=1)*(COUNTIF(Y1808:Y1825,$B1827)+COUNTIF(Y1808:Y1825,$B1827&amp;" ~*")&gt;0))</f>
        <v/>
      </c>
    </row>
    <row r="1828" ht="15" customHeight="1">
      <c r="A1828" t="n">
        <v>37</v>
      </c>
      <c r="B1828" s="37">
        <f>IF(Setup!$B$7="","",Setup!$B$7)</f>
        <v/>
      </c>
      <c r="C1828" s="102" t="n"/>
      <c r="D1828" s="103" t="n"/>
      <c r="E1828" s="103" t="n"/>
      <c r="F1828" s="104" t="n"/>
      <c r="G1828" s="102" t="n"/>
      <c r="H1828" s="103" t="n"/>
      <c r="I1828" s="103" t="n"/>
      <c r="J1828" s="104" t="n"/>
      <c r="K1828" s="102" t="n"/>
      <c r="L1828" s="103" t="n"/>
      <c r="M1828" s="103" t="n"/>
      <c r="N1828" s="104" t="n"/>
      <c r="O1828" s="102" t="n"/>
      <c r="P1828" s="103" t="n"/>
      <c r="Q1828" s="103" t="n"/>
      <c r="R1828" s="104" t="n"/>
      <c r="S1828" s="102" t="n"/>
      <c r="T1828" s="103" t="n"/>
      <c r="U1828" s="103" t="n"/>
      <c r="V1828" s="104" t="n"/>
      <c r="W1828" s="102" t="n"/>
      <c r="X1828" s="104" t="n"/>
      <c r="Y1828" s="102" t="n"/>
      <c r="Z1828" s="104" t="n"/>
      <c r="AB1828" s="105">
        <f>IF($B1828="","",(COUNTIF(C1808:E1825,$B1828)+COUNTIF(C1808:E1825,$B1828&amp;" ~*")&gt;0)+(COUNTIF(G1808:I1825,$B1828)+COUNTIF(G1808:I1825,$B1828&amp;" ~*")&gt;0)+(COUNTIF(K1808:M1825,$B1828)+COUNTIF(K1808:M1825,$B1828&amp;" ~*")&gt;0)+(COUNTIF(O1808:Q1825,$B1828)+COUNTIF(O1808:Q1825,$B1828&amp;" ~*")&gt;0)+(COUNTIF(S1808:U1825,$B1828)+COUNTIF(S1808:U1825,$B1828&amp;" ~*")&gt;0)+(COUNTIF(W1808:W1825,$B1828)+COUNTIF(W1808:W1825,$B1828&amp;" ~*")&gt;0)+(COUNTIF(Y1808:Y1825,$B1828)+COUNTIF(Y1808:Y1825,$B1828&amp;" ~*")&gt;0))</f>
        <v/>
      </c>
      <c r="AC1828" s="38">
        <f>IF($B1828="","",(IFERROR(INDEX(Setup!$G$33:$G$40,MATCH(C1828,Setup!$B$33:$B$40,0)),0)=1)*(COUNTIF(C1808:E1825,$B1828)+COUNTIF(C1808:E1825,$B1828&amp;" ~*")&gt;0)+(IFERROR(INDEX(Setup!$G$33:$G$40,MATCH(G1828,Setup!$B$33:$B$40,0)),0)=1)*(COUNTIF(G1808:I1825,$B1828)+COUNTIF(G1808:I1825,$B1828&amp;" ~*")&gt;0)+(IFERROR(INDEX(Setup!$G$33:$G$40,MATCH(K1828,Setup!$B$33:$B$40,0)),0)=1)*(COUNTIF(K1808:M1825,$B1828)+COUNTIF(K1808:M1825,$B1828&amp;" ~*")&gt;0)+(IFERROR(INDEX(Setup!$G$33:$G$40,MATCH(O1828,Setup!$B$33:$B$40,0)),0)=1)*(COUNTIF(O1808:Q1825,$B1828)+COUNTIF(O1808:Q1825,$B1828&amp;" ~*")&gt;0)+(IFERROR(INDEX(Setup!$G$33:$G$40,MATCH(S1828,Setup!$B$33:$B$40,0)),0)=1)*(COUNTIF(S1808:U1825,$B1828)+COUNTIF(S1808:U1825,$B1828&amp;" ~*")&gt;0)+(IFERROR(INDEX(Setup!$G$33:$G$40,MATCH(W1828,Setup!$B$33:$B$40,0)),0)=1)*(COUNTIF(W1808:W1825,$B1828)+COUNTIF(W1808:W1825,$B1828&amp;" ~*")&gt;0)+(IFERROR(INDEX(Setup!$G$33:$G$40,MATCH(Y1828,Setup!$B$33:$B$40,0)),0)=1)*(COUNTIF(Y1808:Y1825,$B1828)+COUNTIF(Y1808:Y1825,$B1828&amp;" ~*")&gt;0))</f>
        <v/>
      </c>
    </row>
    <row r="1829" ht="15" customHeight="1">
      <c r="A1829" t="n">
        <v>37</v>
      </c>
      <c r="B1829" s="35">
        <f>IF(Setup!$B$8="","",Setup!$B$8)</f>
        <v/>
      </c>
      <c r="C1829" s="98" t="n"/>
      <c r="D1829" s="99" t="n"/>
      <c r="E1829" s="99" t="n"/>
      <c r="F1829" s="100" t="n"/>
      <c r="G1829" s="98" t="n"/>
      <c r="H1829" s="99" t="n"/>
      <c r="I1829" s="99" t="n"/>
      <c r="J1829" s="100" t="n"/>
      <c r="K1829" s="98" t="n"/>
      <c r="L1829" s="99" t="n"/>
      <c r="M1829" s="99" t="n"/>
      <c r="N1829" s="100" t="n"/>
      <c r="O1829" s="98" t="n"/>
      <c r="P1829" s="99" t="n"/>
      <c r="Q1829" s="99" t="n"/>
      <c r="R1829" s="100" t="n"/>
      <c r="S1829" s="98" t="n"/>
      <c r="T1829" s="99" t="n"/>
      <c r="U1829" s="99" t="n"/>
      <c r="V1829" s="100" t="n"/>
      <c r="W1829" s="98" t="n"/>
      <c r="X1829" s="100" t="n"/>
      <c r="Y1829" s="98" t="n"/>
      <c r="Z1829" s="100" t="n"/>
      <c r="AB1829" s="101">
        <f>IF($B1829="","",(COUNTIF(C1808:E1825,$B1829)+COUNTIF(C1808:E1825,$B1829&amp;" ~*")&gt;0)+(COUNTIF(G1808:I1825,$B1829)+COUNTIF(G1808:I1825,$B1829&amp;" ~*")&gt;0)+(COUNTIF(K1808:M1825,$B1829)+COUNTIF(K1808:M1825,$B1829&amp;" ~*")&gt;0)+(COUNTIF(O1808:Q1825,$B1829)+COUNTIF(O1808:Q1825,$B1829&amp;" ~*")&gt;0)+(COUNTIF(S1808:U1825,$B1829)+COUNTIF(S1808:U1825,$B1829&amp;" ~*")&gt;0)+(COUNTIF(W1808:W1825,$B1829)+COUNTIF(W1808:W1825,$B1829&amp;" ~*")&gt;0)+(COUNTIF(Y1808:Y1825,$B1829)+COUNTIF(Y1808:Y1825,$B1829&amp;" ~*")&gt;0))</f>
        <v/>
      </c>
      <c r="AC1829" s="36">
        <f>IF($B1829="","",(IFERROR(INDEX(Setup!$G$33:$G$40,MATCH(C1829,Setup!$B$33:$B$40,0)),0)=1)*(COUNTIF(C1808:E1825,$B1829)+COUNTIF(C1808:E1825,$B1829&amp;" ~*")&gt;0)+(IFERROR(INDEX(Setup!$G$33:$G$40,MATCH(G1829,Setup!$B$33:$B$40,0)),0)=1)*(COUNTIF(G1808:I1825,$B1829)+COUNTIF(G1808:I1825,$B1829&amp;" ~*")&gt;0)+(IFERROR(INDEX(Setup!$G$33:$G$40,MATCH(K1829,Setup!$B$33:$B$40,0)),0)=1)*(COUNTIF(K1808:M1825,$B1829)+COUNTIF(K1808:M1825,$B1829&amp;" ~*")&gt;0)+(IFERROR(INDEX(Setup!$G$33:$G$40,MATCH(O1829,Setup!$B$33:$B$40,0)),0)=1)*(COUNTIF(O1808:Q1825,$B1829)+COUNTIF(O1808:Q1825,$B1829&amp;" ~*")&gt;0)+(IFERROR(INDEX(Setup!$G$33:$G$40,MATCH(S1829,Setup!$B$33:$B$40,0)),0)=1)*(COUNTIF(S1808:U1825,$B1829)+COUNTIF(S1808:U1825,$B1829&amp;" ~*")&gt;0)+(IFERROR(INDEX(Setup!$G$33:$G$40,MATCH(W1829,Setup!$B$33:$B$40,0)),0)=1)*(COUNTIF(W1808:W1825,$B1829)+COUNTIF(W1808:W1825,$B1829&amp;" ~*")&gt;0)+(IFERROR(INDEX(Setup!$G$33:$G$40,MATCH(Y1829,Setup!$B$33:$B$40,0)),0)=1)*(COUNTIF(Y1808:Y1825,$B1829)+COUNTIF(Y1808:Y1825,$B1829&amp;" ~*")&gt;0))</f>
        <v/>
      </c>
    </row>
    <row r="1830" ht="15" customHeight="1">
      <c r="A1830" t="n">
        <v>37</v>
      </c>
      <c r="B1830" s="37">
        <f>IF(Setup!$B$9="","",Setup!$B$9)</f>
        <v/>
      </c>
      <c r="C1830" s="102" t="n"/>
      <c r="D1830" s="103" t="n"/>
      <c r="E1830" s="103" t="n"/>
      <c r="F1830" s="104" t="n"/>
      <c r="G1830" s="102" t="n"/>
      <c r="H1830" s="103" t="n"/>
      <c r="I1830" s="103" t="n"/>
      <c r="J1830" s="104" t="n"/>
      <c r="K1830" s="102" t="n"/>
      <c r="L1830" s="103" t="n"/>
      <c r="M1830" s="103" t="n"/>
      <c r="N1830" s="104" t="n"/>
      <c r="O1830" s="102" t="n"/>
      <c r="P1830" s="103" t="n"/>
      <c r="Q1830" s="103" t="n"/>
      <c r="R1830" s="104" t="n"/>
      <c r="S1830" s="102" t="n"/>
      <c r="T1830" s="103" t="n"/>
      <c r="U1830" s="103" t="n"/>
      <c r="V1830" s="104" t="n"/>
      <c r="W1830" s="102" t="n"/>
      <c r="X1830" s="104" t="n"/>
      <c r="Y1830" s="102" t="n"/>
      <c r="Z1830" s="104" t="n"/>
      <c r="AB1830" s="105">
        <f>IF($B1830="","",(COUNTIF(C1808:E1825,$B1830)+COUNTIF(C1808:E1825,$B1830&amp;" ~*")&gt;0)+(COUNTIF(G1808:I1825,$B1830)+COUNTIF(G1808:I1825,$B1830&amp;" ~*")&gt;0)+(COUNTIF(K1808:M1825,$B1830)+COUNTIF(K1808:M1825,$B1830&amp;" ~*")&gt;0)+(COUNTIF(O1808:Q1825,$B1830)+COUNTIF(O1808:Q1825,$B1830&amp;" ~*")&gt;0)+(COUNTIF(S1808:U1825,$B1830)+COUNTIF(S1808:U1825,$B1830&amp;" ~*")&gt;0)+(COUNTIF(W1808:W1825,$B1830)+COUNTIF(W1808:W1825,$B1830&amp;" ~*")&gt;0)+(COUNTIF(Y1808:Y1825,$B1830)+COUNTIF(Y1808:Y1825,$B1830&amp;" ~*")&gt;0))</f>
        <v/>
      </c>
      <c r="AC1830" s="38">
        <f>IF($B1830="","",(IFERROR(INDEX(Setup!$G$33:$G$40,MATCH(C1830,Setup!$B$33:$B$40,0)),0)=1)*(COUNTIF(C1808:E1825,$B1830)+COUNTIF(C1808:E1825,$B1830&amp;" ~*")&gt;0)+(IFERROR(INDEX(Setup!$G$33:$G$40,MATCH(G1830,Setup!$B$33:$B$40,0)),0)=1)*(COUNTIF(G1808:I1825,$B1830)+COUNTIF(G1808:I1825,$B1830&amp;" ~*")&gt;0)+(IFERROR(INDEX(Setup!$G$33:$G$40,MATCH(K1830,Setup!$B$33:$B$40,0)),0)=1)*(COUNTIF(K1808:M1825,$B1830)+COUNTIF(K1808:M1825,$B1830&amp;" ~*")&gt;0)+(IFERROR(INDEX(Setup!$G$33:$G$40,MATCH(O1830,Setup!$B$33:$B$40,0)),0)=1)*(COUNTIF(O1808:Q1825,$B1830)+COUNTIF(O1808:Q1825,$B1830&amp;" ~*")&gt;0)+(IFERROR(INDEX(Setup!$G$33:$G$40,MATCH(S1830,Setup!$B$33:$B$40,0)),0)=1)*(COUNTIF(S1808:U1825,$B1830)+COUNTIF(S1808:U1825,$B1830&amp;" ~*")&gt;0)+(IFERROR(INDEX(Setup!$G$33:$G$40,MATCH(W1830,Setup!$B$33:$B$40,0)),0)=1)*(COUNTIF(W1808:W1825,$B1830)+COUNTIF(W1808:W1825,$B1830&amp;" ~*")&gt;0)+(IFERROR(INDEX(Setup!$G$33:$G$40,MATCH(Y1830,Setup!$B$33:$B$40,0)),0)=1)*(COUNTIF(Y1808:Y1825,$B1830)+COUNTIF(Y1808:Y1825,$B1830&amp;" ~*")&gt;0))</f>
        <v/>
      </c>
    </row>
    <row r="1831" ht="15" customHeight="1">
      <c r="A1831" t="n">
        <v>37</v>
      </c>
      <c r="B1831" s="35">
        <f>IF(Setup!$B$10="","",Setup!$B$10)</f>
        <v/>
      </c>
      <c r="C1831" s="98" t="n"/>
      <c r="D1831" s="99" t="n"/>
      <c r="E1831" s="99" t="n"/>
      <c r="F1831" s="100" t="n"/>
      <c r="G1831" s="98" t="n"/>
      <c r="H1831" s="99" t="n"/>
      <c r="I1831" s="99" t="n"/>
      <c r="J1831" s="100" t="n"/>
      <c r="K1831" s="98" t="n"/>
      <c r="L1831" s="99" t="n"/>
      <c r="M1831" s="99" t="n"/>
      <c r="N1831" s="100" t="n"/>
      <c r="O1831" s="98" t="n"/>
      <c r="P1831" s="99" t="n"/>
      <c r="Q1831" s="99" t="n"/>
      <c r="R1831" s="100" t="n"/>
      <c r="S1831" s="98" t="n"/>
      <c r="T1831" s="99" t="n"/>
      <c r="U1831" s="99" t="n"/>
      <c r="V1831" s="100" t="n"/>
      <c r="W1831" s="98" t="n"/>
      <c r="X1831" s="100" t="n"/>
      <c r="Y1831" s="98" t="n"/>
      <c r="Z1831" s="100" t="n"/>
      <c r="AB1831" s="101">
        <f>IF($B1831="","",(COUNTIF(C1808:E1825,$B1831)+COUNTIF(C1808:E1825,$B1831&amp;" ~*")&gt;0)+(COUNTIF(G1808:I1825,$B1831)+COUNTIF(G1808:I1825,$B1831&amp;" ~*")&gt;0)+(COUNTIF(K1808:M1825,$B1831)+COUNTIF(K1808:M1825,$B1831&amp;" ~*")&gt;0)+(COUNTIF(O1808:Q1825,$B1831)+COUNTIF(O1808:Q1825,$B1831&amp;" ~*")&gt;0)+(COUNTIF(S1808:U1825,$B1831)+COUNTIF(S1808:U1825,$B1831&amp;" ~*")&gt;0)+(COUNTIF(W1808:W1825,$B1831)+COUNTIF(W1808:W1825,$B1831&amp;" ~*")&gt;0)+(COUNTIF(Y1808:Y1825,$B1831)+COUNTIF(Y1808:Y1825,$B1831&amp;" ~*")&gt;0))</f>
        <v/>
      </c>
      <c r="AC1831" s="36">
        <f>IF($B1831="","",(IFERROR(INDEX(Setup!$G$33:$G$40,MATCH(C1831,Setup!$B$33:$B$40,0)),0)=1)*(COUNTIF(C1808:E1825,$B1831)+COUNTIF(C1808:E1825,$B1831&amp;" ~*")&gt;0)+(IFERROR(INDEX(Setup!$G$33:$G$40,MATCH(G1831,Setup!$B$33:$B$40,0)),0)=1)*(COUNTIF(G1808:I1825,$B1831)+COUNTIF(G1808:I1825,$B1831&amp;" ~*")&gt;0)+(IFERROR(INDEX(Setup!$G$33:$G$40,MATCH(K1831,Setup!$B$33:$B$40,0)),0)=1)*(COUNTIF(K1808:M1825,$B1831)+COUNTIF(K1808:M1825,$B1831&amp;" ~*")&gt;0)+(IFERROR(INDEX(Setup!$G$33:$G$40,MATCH(O1831,Setup!$B$33:$B$40,0)),0)=1)*(COUNTIF(O1808:Q1825,$B1831)+COUNTIF(O1808:Q1825,$B1831&amp;" ~*")&gt;0)+(IFERROR(INDEX(Setup!$G$33:$G$40,MATCH(S1831,Setup!$B$33:$B$40,0)),0)=1)*(COUNTIF(S1808:U1825,$B1831)+COUNTIF(S1808:U1825,$B1831&amp;" ~*")&gt;0)+(IFERROR(INDEX(Setup!$G$33:$G$40,MATCH(W1831,Setup!$B$33:$B$40,0)),0)=1)*(COUNTIF(W1808:W1825,$B1831)+COUNTIF(W1808:W1825,$B1831&amp;" ~*")&gt;0)+(IFERROR(INDEX(Setup!$G$33:$G$40,MATCH(Y1831,Setup!$B$33:$B$40,0)),0)=1)*(COUNTIF(Y1808:Y1825,$B1831)+COUNTIF(Y1808:Y1825,$B1831&amp;" ~*")&gt;0))</f>
        <v/>
      </c>
    </row>
    <row r="1832" ht="15" customHeight="1">
      <c r="A1832" t="n">
        <v>37</v>
      </c>
      <c r="B1832" s="37">
        <f>IF(Setup!$B$11="","",Setup!$B$11)</f>
        <v/>
      </c>
      <c r="C1832" s="102" t="n"/>
      <c r="D1832" s="103" t="n"/>
      <c r="E1832" s="103" t="n"/>
      <c r="F1832" s="104" t="n"/>
      <c r="G1832" s="102" t="n"/>
      <c r="H1832" s="103" t="n"/>
      <c r="I1832" s="103" t="n"/>
      <c r="J1832" s="104" t="n"/>
      <c r="K1832" s="102" t="n"/>
      <c r="L1832" s="103" t="n"/>
      <c r="M1832" s="103" t="n"/>
      <c r="N1832" s="104" t="n"/>
      <c r="O1832" s="102" t="n"/>
      <c r="P1832" s="103" t="n"/>
      <c r="Q1832" s="103" t="n"/>
      <c r="R1832" s="104" t="n"/>
      <c r="S1832" s="102" t="n"/>
      <c r="T1832" s="103" t="n"/>
      <c r="U1832" s="103" t="n"/>
      <c r="V1832" s="104" t="n"/>
      <c r="W1832" s="102" t="n"/>
      <c r="X1832" s="104" t="n"/>
      <c r="Y1832" s="102" t="n"/>
      <c r="Z1832" s="104" t="n"/>
      <c r="AB1832" s="105">
        <f>IF($B1832="","",(COUNTIF(C1808:E1825,$B1832)+COUNTIF(C1808:E1825,$B1832&amp;" ~*")&gt;0)+(COUNTIF(G1808:I1825,$B1832)+COUNTIF(G1808:I1825,$B1832&amp;" ~*")&gt;0)+(COUNTIF(K1808:M1825,$B1832)+COUNTIF(K1808:M1825,$B1832&amp;" ~*")&gt;0)+(COUNTIF(O1808:Q1825,$B1832)+COUNTIF(O1808:Q1825,$B1832&amp;" ~*")&gt;0)+(COUNTIF(S1808:U1825,$B1832)+COUNTIF(S1808:U1825,$B1832&amp;" ~*")&gt;0)+(COUNTIF(W1808:W1825,$B1832)+COUNTIF(W1808:W1825,$B1832&amp;" ~*")&gt;0)+(COUNTIF(Y1808:Y1825,$B1832)+COUNTIF(Y1808:Y1825,$B1832&amp;" ~*")&gt;0))</f>
        <v/>
      </c>
      <c r="AC1832" s="38">
        <f>IF($B1832="","",(IFERROR(INDEX(Setup!$G$33:$G$40,MATCH(C1832,Setup!$B$33:$B$40,0)),0)=1)*(COUNTIF(C1808:E1825,$B1832)+COUNTIF(C1808:E1825,$B1832&amp;" ~*")&gt;0)+(IFERROR(INDEX(Setup!$G$33:$G$40,MATCH(G1832,Setup!$B$33:$B$40,0)),0)=1)*(COUNTIF(G1808:I1825,$B1832)+COUNTIF(G1808:I1825,$B1832&amp;" ~*")&gt;0)+(IFERROR(INDEX(Setup!$G$33:$G$40,MATCH(K1832,Setup!$B$33:$B$40,0)),0)=1)*(COUNTIF(K1808:M1825,$B1832)+COUNTIF(K1808:M1825,$B1832&amp;" ~*")&gt;0)+(IFERROR(INDEX(Setup!$G$33:$G$40,MATCH(O1832,Setup!$B$33:$B$40,0)),0)=1)*(COUNTIF(O1808:Q1825,$B1832)+COUNTIF(O1808:Q1825,$B1832&amp;" ~*")&gt;0)+(IFERROR(INDEX(Setup!$G$33:$G$40,MATCH(S1832,Setup!$B$33:$B$40,0)),0)=1)*(COUNTIF(S1808:U1825,$B1832)+COUNTIF(S1808:U1825,$B1832&amp;" ~*")&gt;0)+(IFERROR(INDEX(Setup!$G$33:$G$40,MATCH(W1832,Setup!$B$33:$B$40,0)),0)=1)*(COUNTIF(W1808:W1825,$B1832)+COUNTIF(W1808:W1825,$B1832&amp;" ~*")&gt;0)+(IFERROR(INDEX(Setup!$G$33:$G$40,MATCH(Y1832,Setup!$B$33:$B$40,0)),0)=1)*(COUNTIF(Y1808:Y1825,$B1832)+COUNTIF(Y1808:Y1825,$B1832&amp;" ~*")&gt;0))</f>
        <v/>
      </c>
    </row>
    <row r="1833" ht="15" customHeight="1">
      <c r="A1833" t="n">
        <v>37</v>
      </c>
      <c r="B1833" s="35">
        <f>IF(Setup!$B$12="","",Setup!$B$12)</f>
        <v/>
      </c>
      <c r="C1833" s="98" t="n"/>
      <c r="D1833" s="99" t="n"/>
      <c r="E1833" s="99" t="n"/>
      <c r="F1833" s="100" t="n"/>
      <c r="G1833" s="98" t="n"/>
      <c r="H1833" s="99" t="n"/>
      <c r="I1833" s="99" t="n"/>
      <c r="J1833" s="100" t="n"/>
      <c r="K1833" s="98" t="n"/>
      <c r="L1833" s="99" t="n"/>
      <c r="M1833" s="99" t="n"/>
      <c r="N1833" s="100" t="n"/>
      <c r="O1833" s="98" t="n"/>
      <c r="P1833" s="99" t="n"/>
      <c r="Q1833" s="99" t="n"/>
      <c r="R1833" s="100" t="n"/>
      <c r="S1833" s="98" t="n"/>
      <c r="T1833" s="99" t="n"/>
      <c r="U1833" s="99" t="n"/>
      <c r="V1833" s="100" t="n"/>
      <c r="W1833" s="98" t="n"/>
      <c r="X1833" s="100" t="n"/>
      <c r="Y1833" s="98" t="n"/>
      <c r="Z1833" s="100" t="n"/>
      <c r="AB1833" s="101">
        <f>IF($B1833="","",(COUNTIF(C1808:E1825,$B1833)+COUNTIF(C1808:E1825,$B1833&amp;" ~*")&gt;0)+(COUNTIF(G1808:I1825,$B1833)+COUNTIF(G1808:I1825,$B1833&amp;" ~*")&gt;0)+(COUNTIF(K1808:M1825,$B1833)+COUNTIF(K1808:M1825,$B1833&amp;" ~*")&gt;0)+(COUNTIF(O1808:Q1825,$B1833)+COUNTIF(O1808:Q1825,$B1833&amp;" ~*")&gt;0)+(COUNTIF(S1808:U1825,$B1833)+COUNTIF(S1808:U1825,$B1833&amp;" ~*")&gt;0)+(COUNTIF(W1808:W1825,$B1833)+COUNTIF(W1808:W1825,$B1833&amp;" ~*")&gt;0)+(COUNTIF(Y1808:Y1825,$B1833)+COUNTIF(Y1808:Y1825,$B1833&amp;" ~*")&gt;0))</f>
        <v/>
      </c>
      <c r="AC1833" s="36">
        <f>IF($B1833="","",(IFERROR(INDEX(Setup!$G$33:$G$40,MATCH(C1833,Setup!$B$33:$B$40,0)),0)=1)*(COUNTIF(C1808:E1825,$B1833)+COUNTIF(C1808:E1825,$B1833&amp;" ~*")&gt;0)+(IFERROR(INDEX(Setup!$G$33:$G$40,MATCH(G1833,Setup!$B$33:$B$40,0)),0)=1)*(COUNTIF(G1808:I1825,$B1833)+COUNTIF(G1808:I1825,$B1833&amp;" ~*")&gt;0)+(IFERROR(INDEX(Setup!$G$33:$G$40,MATCH(K1833,Setup!$B$33:$B$40,0)),0)=1)*(COUNTIF(K1808:M1825,$B1833)+COUNTIF(K1808:M1825,$B1833&amp;" ~*")&gt;0)+(IFERROR(INDEX(Setup!$G$33:$G$40,MATCH(O1833,Setup!$B$33:$B$40,0)),0)=1)*(COUNTIF(O1808:Q1825,$B1833)+COUNTIF(O1808:Q1825,$B1833&amp;" ~*")&gt;0)+(IFERROR(INDEX(Setup!$G$33:$G$40,MATCH(S1833,Setup!$B$33:$B$40,0)),0)=1)*(COUNTIF(S1808:U1825,$B1833)+COUNTIF(S1808:U1825,$B1833&amp;" ~*")&gt;0)+(IFERROR(INDEX(Setup!$G$33:$G$40,MATCH(W1833,Setup!$B$33:$B$40,0)),0)=1)*(COUNTIF(W1808:W1825,$B1833)+COUNTIF(W1808:W1825,$B1833&amp;" ~*")&gt;0)+(IFERROR(INDEX(Setup!$G$33:$G$40,MATCH(Y1833,Setup!$B$33:$B$40,0)),0)=1)*(COUNTIF(Y1808:Y1825,$B1833)+COUNTIF(Y1808:Y1825,$B1833&amp;" ~*")&gt;0))</f>
        <v/>
      </c>
    </row>
    <row r="1834" ht="15" customHeight="1">
      <c r="A1834" t="n">
        <v>37</v>
      </c>
      <c r="B1834" s="37">
        <f>IF(Setup!$B$13="","",Setup!$B$13)</f>
        <v/>
      </c>
      <c r="C1834" s="102" t="n"/>
      <c r="D1834" s="103" t="n"/>
      <c r="E1834" s="103" t="n"/>
      <c r="F1834" s="104" t="n"/>
      <c r="G1834" s="102" t="n"/>
      <c r="H1834" s="103" t="n"/>
      <c r="I1834" s="103" t="n"/>
      <c r="J1834" s="104" t="n"/>
      <c r="K1834" s="102" t="n"/>
      <c r="L1834" s="103" t="n"/>
      <c r="M1834" s="103" t="n"/>
      <c r="N1834" s="104" t="n"/>
      <c r="O1834" s="102" t="n"/>
      <c r="P1834" s="103" t="n"/>
      <c r="Q1834" s="103" t="n"/>
      <c r="R1834" s="104" t="n"/>
      <c r="S1834" s="102" t="n"/>
      <c r="T1834" s="103" t="n"/>
      <c r="U1834" s="103" t="n"/>
      <c r="V1834" s="104" t="n"/>
      <c r="W1834" s="102" t="n"/>
      <c r="X1834" s="104" t="n"/>
      <c r="Y1834" s="102" t="n"/>
      <c r="Z1834" s="104" t="n"/>
      <c r="AB1834" s="105">
        <f>IF($B1834="","",(COUNTIF(C1808:E1825,$B1834)+COUNTIF(C1808:E1825,$B1834&amp;" ~*")&gt;0)+(COUNTIF(G1808:I1825,$B1834)+COUNTIF(G1808:I1825,$B1834&amp;" ~*")&gt;0)+(COUNTIF(K1808:M1825,$B1834)+COUNTIF(K1808:M1825,$B1834&amp;" ~*")&gt;0)+(COUNTIF(O1808:Q1825,$B1834)+COUNTIF(O1808:Q1825,$B1834&amp;" ~*")&gt;0)+(COUNTIF(S1808:U1825,$B1834)+COUNTIF(S1808:U1825,$B1834&amp;" ~*")&gt;0)+(COUNTIF(W1808:W1825,$B1834)+COUNTIF(W1808:W1825,$B1834&amp;" ~*")&gt;0)+(COUNTIF(Y1808:Y1825,$B1834)+COUNTIF(Y1808:Y1825,$B1834&amp;" ~*")&gt;0))</f>
        <v/>
      </c>
      <c r="AC1834" s="38">
        <f>IF($B1834="","",(IFERROR(INDEX(Setup!$G$33:$G$40,MATCH(C1834,Setup!$B$33:$B$40,0)),0)=1)*(COUNTIF(C1808:E1825,$B1834)+COUNTIF(C1808:E1825,$B1834&amp;" ~*")&gt;0)+(IFERROR(INDEX(Setup!$G$33:$G$40,MATCH(G1834,Setup!$B$33:$B$40,0)),0)=1)*(COUNTIF(G1808:I1825,$B1834)+COUNTIF(G1808:I1825,$B1834&amp;" ~*")&gt;0)+(IFERROR(INDEX(Setup!$G$33:$G$40,MATCH(K1834,Setup!$B$33:$B$40,0)),0)=1)*(COUNTIF(K1808:M1825,$B1834)+COUNTIF(K1808:M1825,$B1834&amp;" ~*")&gt;0)+(IFERROR(INDEX(Setup!$G$33:$G$40,MATCH(O1834,Setup!$B$33:$B$40,0)),0)=1)*(COUNTIF(O1808:Q1825,$B1834)+COUNTIF(O1808:Q1825,$B1834&amp;" ~*")&gt;0)+(IFERROR(INDEX(Setup!$G$33:$G$40,MATCH(S1834,Setup!$B$33:$B$40,0)),0)=1)*(COUNTIF(S1808:U1825,$B1834)+COUNTIF(S1808:U1825,$B1834&amp;" ~*")&gt;0)+(IFERROR(INDEX(Setup!$G$33:$G$40,MATCH(W1834,Setup!$B$33:$B$40,0)),0)=1)*(COUNTIF(W1808:W1825,$B1834)+COUNTIF(W1808:W1825,$B1834&amp;" ~*")&gt;0)+(IFERROR(INDEX(Setup!$G$33:$G$40,MATCH(Y1834,Setup!$B$33:$B$40,0)),0)=1)*(COUNTIF(Y1808:Y1825,$B1834)+COUNTIF(Y1808:Y1825,$B1834&amp;" ~*")&gt;0))</f>
        <v/>
      </c>
    </row>
    <row r="1835" ht="15" customHeight="1">
      <c r="A1835" t="n">
        <v>37</v>
      </c>
      <c r="B1835" s="35">
        <f>IF(Setup!$B$14="","",Setup!$B$14)</f>
        <v/>
      </c>
      <c r="C1835" s="98" t="n"/>
      <c r="D1835" s="99" t="n"/>
      <c r="E1835" s="99" t="n"/>
      <c r="F1835" s="100" t="n"/>
      <c r="G1835" s="98" t="n"/>
      <c r="H1835" s="99" t="n"/>
      <c r="I1835" s="99" t="n"/>
      <c r="J1835" s="100" t="n"/>
      <c r="K1835" s="98" t="n"/>
      <c r="L1835" s="99" t="n"/>
      <c r="M1835" s="99" t="n"/>
      <c r="N1835" s="100" t="n"/>
      <c r="O1835" s="98" t="n"/>
      <c r="P1835" s="99" t="n"/>
      <c r="Q1835" s="99" t="n"/>
      <c r="R1835" s="100" t="n"/>
      <c r="S1835" s="98" t="n"/>
      <c r="T1835" s="99" t="n"/>
      <c r="U1835" s="99" t="n"/>
      <c r="V1835" s="100" t="n"/>
      <c r="W1835" s="98" t="n"/>
      <c r="X1835" s="100" t="n"/>
      <c r="Y1835" s="98" t="n"/>
      <c r="Z1835" s="100" t="n"/>
      <c r="AB1835" s="101">
        <f>IF($B1835="","",(COUNTIF(C1808:E1825,$B1835)+COUNTIF(C1808:E1825,$B1835&amp;" ~*")&gt;0)+(COUNTIF(G1808:I1825,$B1835)+COUNTIF(G1808:I1825,$B1835&amp;" ~*")&gt;0)+(COUNTIF(K1808:M1825,$B1835)+COUNTIF(K1808:M1825,$B1835&amp;" ~*")&gt;0)+(COUNTIF(O1808:Q1825,$B1835)+COUNTIF(O1808:Q1825,$B1835&amp;" ~*")&gt;0)+(COUNTIF(S1808:U1825,$B1835)+COUNTIF(S1808:U1825,$B1835&amp;" ~*")&gt;0)+(COUNTIF(W1808:W1825,$B1835)+COUNTIF(W1808:W1825,$B1835&amp;" ~*")&gt;0)+(COUNTIF(Y1808:Y1825,$B1835)+COUNTIF(Y1808:Y1825,$B1835&amp;" ~*")&gt;0))</f>
        <v/>
      </c>
      <c r="AC1835" s="36">
        <f>IF($B1835="","",(IFERROR(INDEX(Setup!$G$33:$G$40,MATCH(C1835,Setup!$B$33:$B$40,0)),0)=1)*(COUNTIF(C1808:E1825,$B1835)+COUNTIF(C1808:E1825,$B1835&amp;" ~*")&gt;0)+(IFERROR(INDEX(Setup!$G$33:$G$40,MATCH(G1835,Setup!$B$33:$B$40,0)),0)=1)*(COUNTIF(G1808:I1825,$B1835)+COUNTIF(G1808:I1825,$B1835&amp;" ~*")&gt;0)+(IFERROR(INDEX(Setup!$G$33:$G$40,MATCH(K1835,Setup!$B$33:$B$40,0)),0)=1)*(COUNTIF(K1808:M1825,$B1835)+COUNTIF(K1808:M1825,$B1835&amp;" ~*")&gt;0)+(IFERROR(INDEX(Setup!$G$33:$G$40,MATCH(O1835,Setup!$B$33:$B$40,0)),0)=1)*(COUNTIF(O1808:Q1825,$B1835)+COUNTIF(O1808:Q1825,$B1835&amp;" ~*")&gt;0)+(IFERROR(INDEX(Setup!$G$33:$G$40,MATCH(S1835,Setup!$B$33:$B$40,0)),0)=1)*(COUNTIF(S1808:U1825,$B1835)+COUNTIF(S1808:U1825,$B1835&amp;" ~*")&gt;0)+(IFERROR(INDEX(Setup!$G$33:$G$40,MATCH(W1835,Setup!$B$33:$B$40,0)),0)=1)*(COUNTIF(W1808:W1825,$B1835)+COUNTIF(W1808:W1825,$B1835&amp;" ~*")&gt;0)+(IFERROR(INDEX(Setup!$G$33:$G$40,MATCH(Y1835,Setup!$B$33:$B$40,0)),0)=1)*(COUNTIF(Y1808:Y1825,$B1835)+COUNTIF(Y1808:Y1825,$B1835&amp;" ~*")&gt;0))</f>
        <v/>
      </c>
    </row>
    <row r="1836" ht="15" customHeight="1">
      <c r="A1836" t="n">
        <v>37</v>
      </c>
      <c r="B1836" s="37">
        <f>IF(Setup!$B$15="","",Setup!$B$15)</f>
        <v/>
      </c>
      <c r="C1836" s="102" t="n"/>
      <c r="D1836" s="103" t="n"/>
      <c r="E1836" s="103" t="n"/>
      <c r="F1836" s="104" t="n"/>
      <c r="G1836" s="102" t="n"/>
      <c r="H1836" s="103" t="n"/>
      <c r="I1836" s="103" t="n"/>
      <c r="J1836" s="104" t="n"/>
      <c r="K1836" s="102" t="n"/>
      <c r="L1836" s="103" t="n"/>
      <c r="M1836" s="103" t="n"/>
      <c r="N1836" s="104" t="n"/>
      <c r="O1836" s="102" t="n"/>
      <c r="P1836" s="103" t="n"/>
      <c r="Q1836" s="103" t="n"/>
      <c r="R1836" s="104" t="n"/>
      <c r="S1836" s="102" t="n"/>
      <c r="T1836" s="103" t="n"/>
      <c r="U1836" s="103" t="n"/>
      <c r="V1836" s="104" t="n"/>
      <c r="W1836" s="102" t="n"/>
      <c r="X1836" s="104" t="n"/>
      <c r="Y1836" s="102" t="n"/>
      <c r="Z1836" s="104" t="n"/>
      <c r="AB1836" s="105">
        <f>IF($B1836="","",(COUNTIF(C1808:E1825,$B1836)+COUNTIF(C1808:E1825,$B1836&amp;" ~*")&gt;0)+(COUNTIF(G1808:I1825,$B1836)+COUNTIF(G1808:I1825,$B1836&amp;" ~*")&gt;0)+(COUNTIF(K1808:M1825,$B1836)+COUNTIF(K1808:M1825,$B1836&amp;" ~*")&gt;0)+(COUNTIF(O1808:Q1825,$B1836)+COUNTIF(O1808:Q1825,$B1836&amp;" ~*")&gt;0)+(COUNTIF(S1808:U1825,$B1836)+COUNTIF(S1808:U1825,$B1836&amp;" ~*")&gt;0)+(COUNTIF(W1808:W1825,$B1836)+COUNTIF(W1808:W1825,$B1836&amp;" ~*")&gt;0)+(COUNTIF(Y1808:Y1825,$B1836)+COUNTIF(Y1808:Y1825,$B1836&amp;" ~*")&gt;0))</f>
        <v/>
      </c>
      <c r="AC1836" s="38">
        <f>IF($B1836="","",(IFERROR(INDEX(Setup!$G$33:$G$40,MATCH(C1836,Setup!$B$33:$B$40,0)),0)=1)*(COUNTIF(C1808:E1825,$B1836)+COUNTIF(C1808:E1825,$B1836&amp;" ~*")&gt;0)+(IFERROR(INDEX(Setup!$G$33:$G$40,MATCH(G1836,Setup!$B$33:$B$40,0)),0)=1)*(COUNTIF(G1808:I1825,$B1836)+COUNTIF(G1808:I1825,$B1836&amp;" ~*")&gt;0)+(IFERROR(INDEX(Setup!$G$33:$G$40,MATCH(K1836,Setup!$B$33:$B$40,0)),0)=1)*(COUNTIF(K1808:M1825,$B1836)+COUNTIF(K1808:M1825,$B1836&amp;" ~*")&gt;0)+(IFERROR(INDEX(Setup!$G$33:$G$40,MATCH(O1836,Setup!$B$33:$B$40,0)),0)=1)*(COUNTIF(O1808:Q1825,$B1836)+COUNTIF(O1808:Q1825,$B1836&amp;" ~*")&gt;0)+(IFERROR(INDEX(Setup!$G$33:$G$40,MATCH(S1836,Setup!$B$33:$B$40,0)),0)=1)*(COUNTIF(S1808:U1825,$B1836)+COUNTIF(S1808:U1825,$B1836&amp;" ~*")&gt;0)+(IFERROR(INDEX(Setup!$G$33:$G$40,MATCH(W1836,Setup!$B$33:$B$40,0)),0)=1)*(COUNTIF(W1808:W1825,$B1836)+COUNTIF(W1808:W1825,$B1836&amp;" ~*")&gt;0)+(IFERROR(INDEX(Setup!$G$33:$G$40,MATCH(Y1836,Setup!$B$33:$B$40,0)),0)=1)*(COUNTIF(Y1808:Y1825,$B1836)+COUNTIF(Y1808:Y1825,$B1836&amp;" ~*")&gt;0))</f>
        <v/>
      </c>
    </row>
    <row r="1837" ht="15" customHeight="1">
      <c r="A1837" t="n">
        <v>37</v>
      </c>
      <c r="B1837" s="35">
        <f>IF(Setup!$B$16="","",Setup!$B$16)</f>
        <v/>
      </c>
      <c r="C1837" s="98" t="n"/>
      <c r="D1837" s="99" t="n"/>
      <c r="E1837" s="99" t="n"/>
      <c r="F1837" s="100" t="n"/>
      <c r="G1837" s="98" t="n"/>
      <c r="H1837" s="99" t="n"/>
      <c r="I1837" s="99" t="n"/>
      <c r="J1837" s="100" t="n"/>
      <c r="K1837" s="98" t="n"/>
      <c r="L1837" s="99" t="n"/>
      <c r="M1837" s="99" t="n"/>
      <c r="N1837" s="100" t="n"/>
      <c r="O1837" s="98" t="n"/>
      <c r="P1837" s="99" t="n"/>
      <c r="Q1837" s="99" t="n"/>
      <c r="R1837" s="100" t="n"/>
      <c r="S1837" s="98" t="n"/>
      <c r="T1837" s="99" t="n"/>
      <c r="U1837" s="99" t="n"/>
      <c r="V1837" s="100" t="n"/>
      <c r="W1837" s="98" t="n"/>
      <c r="X1837" s="100" t="n"/>
      <c r="Y1837" s="98" t="n"/>
      <c r="Z1837" s="100" t="n"/>
      <c r="AB1837" s="101">
        <f>IF($B1837="","",(COUNTIF(C1808:E1825,$B1837)+COUNTIF(C1808:E1825,$B1837&amp;" ~*")&gt;0)+(COUNTIF(G1808:I1825,$B1837)+COUNTIF(G1808:I1825,$B1837&amp;" ~*")&gt;0)+(COUNTIF(K1808:M1825,$B1837)+COUNTIF(K1808:M1825,$B1837&amp;" ~*")&gt;0)+(COUNTIF(O1808:Q1825,$B1837)+COUNTIF(O1808:Q1825,$B1837&amp;" ~*")&gt;0)+(COUNTIF(S1808:U1825,$B1837)+COUNTIF(S1808:U1825,$B1837&amp;" ~*")&gt;0)+(COUNTIF(W1808:W1825,$B1837)+COUNTIF(W1808:W1825,$B1837&amp;" ~*")&gt;0)+(COUNTIF(Y1808:Y1825,$B1837)+COUNTIF(Y1808:Y1825,$B1837&amp;" ~*")&gt;0))</f>
        <v/>
      </c>
      <c r="AC1837" s="36">
        <f>IF($B1837="","",(IFERROR(INDEX(Setup!$G$33:$G$40,MATCH(C1837,Setup!$B$33:$B$40,0)),0)=1)*(COUNTIF(C1808:E1825,$B1837)+COUNTIF(C1808:E1825,$B1837&amp;" ~*")&gt;0)+(IFERROR(INDEX(Setup!$G$33:$G$40,MATCH(G1837,Setup!$B$33:$B$40,0)),0)=1)*(COUNTIF(G1808:I1825,$B1837)+COUNTIF(G1808:I1825,$B1837&amp;" ~*")&gt;0)+(IFERROR(INDEX(Setup!$G$33:$G$40,MATCH(K1837,Setup!$B$33:$B$40,0)),0)=1)*(COUNTIF(K1808:M1825,$B1837)+COUNTIF(K1808:M1825,$B1837&amp;" ~*")&gt;0)+(IFERROR(INDEX(Setup!$G$33:$G$40,MATCH(O1837,Setup!$B$33:$B$40,0)),0)=1)*(COUNTIF(O1808:Q1825,$B1837)+COUNTIF(O1808:Q1825,$B1837&amp;" ~*")&gt;0)+(IFERROR(INDEX(Setup!$G$33:$G$40,MATCH(S1837,Setup!$B$33:$B$40,0)),0)=1)*(COUNTIF(S1808:U1825,$B1837)+COUNTIF(S1808:U1825,$B1837&amp;" ~*")&gt;0)+(IFERROR(INDEX(Setup!$G$33:$G$40,MATCH(W1837,Setup!$B$33:$B$40,0)),0)=1)*(COUNTIF(W1808:W1825,$B1837)+COUNTIF(W1808:W1825,$B1837&amp;" ~*")&gt;0)+(IFERROR(INDEX(Setup!$G$33:$G$40,MATCH(Y1837,Setup!$B$33:$B$40,0)),0)=1)*(COUNTIF(Y1808:Y1825,$B1837)+COUNTIF(Y1808:Y1825,$B1837&amp;" ~*")&gt;0))</f>
        <v/>
      </c>
    </row>
    <row r="1838" ht="15" customHeight="1">
      <c r="A1838" t="n">
        <v>37</v>
      </c>
      <c r="B1838" s="37">
        <f>IF(Setup!$B$17="","",Setup!$B$17)</f>
        <v/>
      </c>
      <c r="C1838" s="102" t="n"/>
      <c r="D1838" s="103" t="n"/>
      <c r="E1838" s="103" t="n"/>
      <c r="F1838" s="104" t="n"/>
      <c r="G1838" s="102" t="n"/>
      <c r="H1838" s="103" t="n"/>
      <c r="I1838" s="103" t="n"/>
      <c r="J1838" s="104" t="n"/>
      <c r="K1838" s="102" t="n"/>
      <c r="L1838" s="103" t="n"/>
      <c r="M1838" s="103" t="n"/>
      <c r="N1838" s="104" t="n"/>
      <c r="O1838" s="102" t="n"/>
      <c r="P1838" s="103" t="n"/>
      <c r="Q1838" s="103" t="n"/>
      <c r="R1838" s="104" t="n"/>
      <c r="S1838" s="102" t="n"/>
      <c r="T1838" s="103" t="n"/>
      <c r="U1838" s="103" t="n"/>
      <c r="V1838" s="104" t="n"/>
      <c r="W1838" s="102" t="n"/>
      <c r="X1838" s="104" t="n"/>
      <c r="Y1838" s="102" t="n"/>
      <c r="Z1838" s="104" t="n"/>
      <c r="AB1838" s="105">
        <f>IF($B1838="","",(COUNTIF(C1808:E1825,$B1838)+COUNTIF(C1808:E1825,$B1838&amp;" ~*")&gt;0)+(COUNTIF(G1808:I1825,$B1838)+COUNTIF(G1808:I1825,$B1838&amp;" ~*")&gt;0)+(COUNTIF(K1808:M1825,$B1838)+COUNTIF(K1808:M1825,$B1838&amp;" ~*")&gt;0)+(COUNTIF(O1808:Q1825,$B1838)+COUNTIF(O1808:Q1825,$B1838&amp;" ~*")&gt;0)+(COUNTIF(S1808:U1825,$B1838)+COUNTIF(S1808:U1825,$B1838&amp;" ~*")&gt;0)+(COUNTIF(W1808:W1825,$B1838)+COUNTIF(W1808:W1825,$B1838&amp;" ~*")&gt;0)+(COUNTIF(Y1808:Y1825,$B1838)+COUNTIF(Y1808:Y1825,$B1838&amp;" ~*")&gt;0))</f>
        <v/>
      </c>
      <c r="AC1838" s="38">
        <f>IF($B1838="","",(IFERROR(INDEX(Setup!$G$33:$G$40,MATCH(C1838,Setup!$B$33:$B$40,0)),0)=1)*(COUNTIF(C1808:E1825,$B1838)+COUNTIF(C1808:E1825,$B1838&amp;" ~*")&gt;0)+(IFERROR(INDEX(Setup!$G$33:$G$40,MATCH(G1838,Setup!$B$33:$B$40,0)),0)=1)*(COUNTIF(G1808:I1825,$B1838)+COUNTIF(G1808:I1825,$B1838&amp;" ~*")&gt;0)+(IFERROR(INDEX(Setup!$G$33:$G$40,MATCH(K1838,Setup!$B$33:$B$40,0)),0)=1)*(COUNTIF(K1808:M1825,$B1838)+COUNTIF(K1808:M1825,$B1838&amp;" ~*")&gt;0)+(IFERROR(INDEX(Setup!$G$33:$G$40,MATCH(O1838,Setup!$B$33:$B$40,0)),0)=1)*(COUNTIF(O1808:Q1825,$B1838)+COUNTIF(O1808:Q1825,$B1838&amp;" ~*")&gt;0)+(IFERROR(INDEX(Setup!$G$33:$G$40,MATCH(S1838,Setup!$B$33:$B$40,0)),0)=1)*(COUNTIF(S1808:U1825,$B1838)+COUNTIF(S1808:U1825,$B1838&amp;" ~*")&gt;0)+(IFERROR(INDEX(Setup!$G$33:$G$40,MATCH(W1838,Setup!$B$33:$B$40,0)),0)=1)*(COUNTIF(W1808:W1825,$B1838)+COUNTIF(W1808:W1825,$B1838&amp;" ~*")&gt;0)+(IFERROR(INDEX(Setup!$G$33:$G$40,MATCH(Y1838,Setup!$B$33:$B$40,0)),0)=1)*(COUNTIF(Y1808:Y1825,$B1838)+COUNTIF(Y1808:Y1825,$B1838&amp;" ~*")&gt;0))</f>
        <v/>
      </c>
    </row>
    <row r="1839" ht="15" customHeight="1">
      <c r="A1839" t="n">
        <v>37</v>
      </c>
      <c r="B1839" s="35">
        <f>IF(Setup!$B$18="","",Setup!$B$18)</f>
        <v/>
      </c>
      <c r="C1839" s="98" t="n"/>
      <c r="D1839" s="99" t="n"/>
      <c r="E1839" s="99" t="n"/>
      <c r="F1839" s="100" t="n"/>
      <c r="G1839" s="98" t="n"/>
      <c r="H1839" s="99" t="n"/>
      <c r="I1839" s="99" t="n"/>
      <c r="J1839" s="100" t="n"/>
      <c r="K1839" s="98" t="n"/>
      <c r="L1839" s="99" t="n"/>
      <c r="M1839" s="99" t="n"/>
      <c r="N1839" s="100" t="n"/>
      <c r="O1839" s="98" t="n"/>
      <c r="P1839" s="99" t="n"/>
      <c r="Q1839" s="99" t="n"/>
      <c r="R1839" s="100" t="n"/>
      <c r="S1839" s="98" t="n"/>
      <c r="T1839" s="99" t="n"/>
      <c r="U1839" s="99" t="n"/>
      <c r="V1839" s="100" t="n"/>
      <c r="W1839" s="98" t="n"/>
      <c r="X1839" s="100" t="n"/>
      <c r="Y1839" s="98" t="n"/>
      <c r="Z1839" s="100" t="n"/>
      <c r="AB1839" s="101">
        <f>IF($B1839="","",(COUNTIF(C1808:E1825,$B1839)+COUNTIF(C1808:E1825,$B1839&amp;" ~*")&gt;0)+(COUNTIF(G1808:I1825,$B1839)+COUNTIF(G1808:I1825,$B1839&amp;" ~*")&gt;0)+(COUNTIF(K1808:M1825,$B1839)+COUNTIF(K1808:M1825,$B1839&amp;" ~*")&gt;0)+(COUNTIF(O1808:Q1825,$B1839)+COUNTIF(O1808:Q1825,$B1839&amp;" ~*")&gt;0)+(COUNTIF(S1808:U1825,$B1839)+COUNTIF(S1808:U1825,$B1839&amp;" ~*")&gt;0)+(COUNTIF(W1808:W1825,$B1839)+COUNTIF(W1808:W1825,$B1839&amp;" ~*")&gt;0)+(COUNTIF(Y1808:Y1825,$B1839)+COUNTIF(Y1808:Y1825,$B1839&amp;" ~*")&gt;0))</f>
        <v/>
      </c>
      <c r="AC1839" s="36">
        <f>IF($B1839="","",(IFERROR(INDEX(Setup!$G$33:$G$40,MATCH(C1839,Setup!$B$33:$B$40,0)),0)=1)*(COUNTIF(C1808:E1825,$B1839)+COUNTIF(C1808:E1825,$B1839&amp;" ~*")&gt;0)+(IFERROR(INDEX(Setup!$G$33:$G$40,MATCH(G1839,Setup!$B$33:$B$40,0)),0)=1)*(COUNTIF(G1808:I1825,$B1839)+COUNTIF(G1808:I1825,$B1839&amp;" ~*")&gt;0)+(IFERROR(INDEX(Setup!$G$33:$G$40,MATCH(K1839,Setup!$B$33:$B$40,0)),0)=1)*(COUNTIF(K1808:M1825,$B1839)+COUNTIF(K1808:M1825,$B1839&amp;" ~*")&gt;0)+(IFERROR(INDEX(Setup!$G$33:$G$40,MATCH(O1839,Setup!$B$33:$B$40,0)),0)=1)*(COUNTIF(O1808:Q1825,$B1839)+COUNTIF(O1808:Q1825,$B1839&amp;" ~*")&gt;0)+(IFERROR(INDEX(Setup!$G$33:$G$40,MATCH(S1839,Setup!$B$33:$B$40,0)),0)=1)*(COUNTIF(S1808:U1825,$B1839)+COUNTIF(S1808:U1825,$B1839&amp;" ~*")&gt;0)+(IFERROR(INDEX(Setup!$G$33:$G$40,MATCH(W1839,Setup!$B$33:$B$40,0)),0)=1)*(COUNTIF(W1808:W1825,$B1839)+COUNTIF(W1808:W1825,$B1839&amp;" ~*")&gt;0)+(IFERROR(INDEX(Setup!$G$33:$G$40,MATCH(Y1839,Setup!$B$33:$B$40,0)),0)=1)*(COUNTIF(Y1808:Y1825,$B1839)+COUNTIF(Y1808:Y1825,$B1839&amp;" ~*")&gt;0))</f>
        <v/>
      </c>
    </row>
    <row r="1840" ht="15" customHeight="1">
      <c r="A1840" t="n">
        <v>37</v>
      </c>
      <c r="B1840" s="37">
        <f>IF(Setup!$B$19="","",Setup!$B$19)</f>
        <v/>
      </c>
      <c r="C1840" s="102" t="n"/>
      <c r="D1840" s="103" t="n"/>
      <c r="E1840" s="103" t="n"/>
      <c r="F1840" s="104" t="n"/>
      <c r="G1840" s="102" t="n"/>
      <c r="H1840" s="103" t="n"/>
      <c r="I1840" s="103" t="n"/>
      <c r="J1840" s="104" t="n"/>
      <c r="K1840" s="102" t="n"/>
      <c r="L1840" s="103" t="n"/>
      <c r="M1840" s="103" t="n"/>
      <c r="N1840" s="104" t="n"/>
      <c r="O1840" s="102" t="n"/>
      <c r="P1840" s="103" t="n"/>
      <c r="Q1840" s="103" t="n"/>
      <c r="R1840" s="104" t="n"/>
      <c r="S1840" s="102" t="n"/>
      <c r="T1840" s="103" t="n"/>
      <c r="U1840" s="103" t="n"/>
      <c r="V1840" s="104" t="n"/>
      <c r="W1840" s="102" t="n"/>
      <c r="X1840" s="104" t="n"/>
      <c r="Y1840" s="102" t="n"/>
      <c r="Z1840" s="104" t="n"/>
      <c r="AB1840" s="105">
        <f>IF($B1840="","",(COUNTIF(C1808:E1825,$B1840)+COUNTIF(C1808:E1825,$B1840&amp;" ~*")&gt;0)+(COUNTIF(G1808:I1825,$B1840)+COUNTIF(G1808:I1825,$B1840&amp;" ~*")&gt;0)+(COUNTIF(K1808:M1825,$B1840)+COUNTIF(K1808:M1825,$B1840&amp;" ~*")&gt;0)+(COUNTIF(O1808:Q1825,$B1840)+COUNTIF(O1808:Q1825,$B1840&amp;" ~*")&gt;0)+(COUNTIF(S1808:U1825,$B1840)+COUNTIF(S1808:U1825,$B1840&amp;" ~*")&gt;0)+(COUNTIF(W1808:W1825,$B1840)+COUNTIF(W1808:W1825,$B1840&amp;" ~*")&gt;0)+(COUNTIF(Y1808:Y1825,$B1840)+COUNTIF(Y1808:Y1825,$B1840&amp;" ~*")&gt;0))</f>
        <v/>
      </c>
      <c r="AC1840" s="38">
        <f>IF($B1840="","",(IFERROR(INDEX(Setup!$G$33:$G$40,MATCH(C1840,Setup!$B$33:$B$40,0)),0)=1)*(COUNTIF(C1808:E1825,$B1840)+COUNTIF(C1808:E1825,$B1840&amp;" ~*")&gt;0)+(IFERROR(INDEX(Setup!$G$33:$G$40,MATCH(G1840,Setup!$B$33:$B$40,0)),0)=1)*(COUNTIF(G1808:I1825,$B1840)+COUNTIF(G1808:I1825,$B1840&amp;" ~*")&gt;0)+(IFERROR(INDEX(Setup!$G$33:$G$40,MATCH(K1840,Setup!$B$33:$B$40,0)),0)=1)*(COUNTIF(K1808:M1825,$B1840)+COUNTIF(K1808:M1825,$B1840&amp;" ~*")&gt;0)+(IFERROR(INDEX(Setup!$G$33:$G$40,MATCH(O1840,Setup!$B$33:$B$40,0)),0)=1)*(COUNTIF(O1808:Q1825,$B1840)+COUNTIF(O1808:Q1825,$B1840&amp;" ~*")&gt;0)+(IFERROR(INDEX(Setup!$G$33:$G$40,MATCH(S1840,Setup!$B$33:$B$40,0)),0)=1)*(COUNTIF(S1808:U1825,$B1840)+COUNTIF(S1808:U1825,$B1840&amp;" ~*")&gt;0)+(IFERROR(INDEX(Setup!$G$33:$G$40,MATCH(W1840,Setup!$B$33:$B$40,0)),0)=1)*(COUNTIF(W1808:W1825,$B1840)+COUNTIF(W1808:W1825,$B1840&amp;" ~*")&gt;0)+(IFERROR(INDEX(Setup!$G$33:$G$40,MATCH(Y1840,Setup!$B$33:$B$40,0)),0)=1)*(COUNTIF(Y1808:Y1825,$B1840)+COUNTIF(Y1808:Y1825,$B1840&amp;" ~*")&gt;0))</f>
        <v/>
      </c>
    </row>
    <row r="1841" ht="15" customHeight="1">
      <c r="A1841" t="n">
        <v>37</v>
      </c>
      <c r="B1841" s="35">
        <f>IF(Setup!$B$20="","",Setup!$B$20)</f>
        <v/>
      </c>
      <c r="C1841" s="98" t="n"/>
      <c r="D1841" s="99" t="n"/>
      <c r="E1841" s="99" t="n"/>
      <c r="F1841" s="100" t="n"/>
      <c r="G1841" s="98" t="n"/>
      <c r="H1841" s="99" t="n"/>
      <c r="I1841" s="99" t="n"/>
      <c r="J1841" s="100" t="n"/>
      <c r="K1841" s="98" t="n"/>
      <c r="L1841" s="99" t="n"/>
      <c r="M1841" s="99" t="n"/>
      <c r="N1841" s="100" t="n"/>
      <c r="O1841" s="98" t="n"/>
      <c r="P1841" s="99" t="n"/>
      <c r="Q1841" s="99" t="n"/>
      <c r="R1841" s="100" t="n"/>
      <c r="S1841" s="98" t="n"/>
      <c r="T1841" s="99" t="n"/>
      <c r="U1841" s="99" t="n"/>
      <c r="V1841" s="100" t="n"/>
      <c r="W1841" s="98" t="n"/>
      <c r="X1841" s="100" t="n"/>
      <c r="Y1841" s="98" t="n"/>
      <c r="Z1841" s="100" t="n"/>
      <c r="AB1841" s="101">
        <f>IF($B1841="","",(COUNTIF(C1808:E1825,$B1841)+COUNTIF(C1808:E1825,$B1841&amp;" ~*")&gt;0)+(COUNTIF(G1808:I1825,$B1841)+COUNTIF(G1808:I1825,$B1841&amp;" ~*")&gt;0)+(COUNTIF(K1808:M1825,$B1841)+COUNTIF(K1808:M1825,$B1841&amp;" ~*")&gt;0)+(COUNTIF(O1808:Q1825,$B1841)+COUNTIF(O1808:Q1825,$B1841&amp;" ~*")&gt;0)+(COUNTIF(S1808:U1825,$B1841)+COUNTIF(S1808:U1825,$B1841&amp;" ~*")&gt;0)+(COUNTIF(W1808:W1825,$B1841)+COUNTIF(W1808:W1825,$B1841&amp;" ~*")&gt;0)+(COUNTIF(Y1808:Y1825,$B1841)+COUNTIF(Y1808:Y1825,$B1841&amp;" ~*")&gt;0))</f>
        <v/>
      </c>
      <c r="AC1841" s="36">
        <f>IF($B1841="","",(IFERROR(INDEX(Setup!$G$33:$G$40,MATCH(C1841,Setup!$B$33:$B$40,0)),0)=1)*(COUNTIF(C1808:E1825,$B1841)+COUNTIF(C1808:E1825,$B1841&amp;" ~*")&gt;0)+(IFERROR(INDEX(Setup!$G$33:$G$40,MATCH(G1841,Setup!$B$33:$B$40,0)),0)=1)*(COUNTIF(G1808:I1825,$B1841)+COUNTIF(G1808:I1825,$B1841&amp;" ~*")&gt;0)+(IFERROR(INDEX(Setup!$G$33:$G$40,MATCH(K1841,Setup!$B$33:$B$40,0)),0)=1)*(COUNTIF(K1808:M1825,$B1841)+COUNTIF(K1808:M1825,$B1841&amp;" ~*")&gt;0)+(IFERROR(INDEX(Setup!$G$33:$G$40,MATCH(O1841,Setup!$B$33:$B$40,0)),0)=1)*(COUNTIF(O1808:Q1825,$B1841)+COUNTIF(O1808:Q1825,$B1841&amp;" ~*")&gt;0)+(IFERROR(INDEX(Setup!$G$33:$G$40,MATCH(S1841,Setup!$B$33:$B$40,0)),0)=1)*(COUNTIF(S1808:U1825,$B1841)+COUNTIF(S1808:U1825,$B1841&amp;" ~*")&gt;0)+(IFERROR(INDEX(Setup!$G$33:$G$40,MATCH(W1841,Setup!$B$33:$B$40,0)),0)=1)*(COUNTIF(W1808:W1825,$B1841)+COUNTIF(W1808:W1825,$B1841&amp;" ~*")&gt;0)+(IFERROR(INDEX(Setup!$G$33:$G$40,MATCH(Y1841,Setup!$B$33:$B$40,0)),0)=1)*(COUNTIF(Y1808:Y1825,$B1841)+COUNTIF(Y1808:Y1825,$B1841&amp;" ~*")&gt;0))</f>
        <v/>
      </c>
    </row>
    <row r="1842" ht="15" customHeight="1">
      <c r="A1842" t="n">
        <v>37</v>
      </c>
      <c r="B1842" s="37">
        <f>IF(Setup!$B$21="","",Setup!$B$21)</f>
        <v/>
      </c>
      <c r="C1842" s="102" t="n"/>
      <c r="D1842" s="103" t="n"/>
      <c r="E1842" s="103" t="n"/>
      <c r="F1842" s="104" t="n"/>
      <c r="G1842" s="102" t="n"/>
      <c r="H1842" s="103" t="n"/>
      <c r="I1842" s="103" t="n"/>
      <c r="J1842" s="104" t="n"/>
      <c r="K1842" s="102" t="n"/>
      <c r="L1842" s="103" t="n"/>
      <c r="M1842" s="103" t="n"/>
      <c r="N1842" s="104" t="n"/>
      <c r="O1842" s="102" t="n"/>
      <c r="P1842" s="103" t="n"/>
      <c r="Q1842" s="103" t="n"/>
      <c r="R1842" s="104" t="n"/>
      <c r="S1842" s="102" t="n"/>
      <c r="T1842" s="103" t="n"/>
      <c r="U1842" s="103" t="n"/>
      <c r="V1842" s="104" t="n"/>
      <c r="W1842" s="102" t="n"/>
      <c r="X1842" s="104" t="n"/>
      <c r="Y1842" s="102" t="n"/>
      <c r="Z1842" s="104" t="n"/>
      <c r="AB1842" s="105">
        <f>IF($B1842="","",(COUNTIF(C1808:E1825,$B1842)+COUNTIF(C1808:E1825,$B1842&amp;" ~*")&gt;0)+(COUNTIF(G1808:I1825,$B1842)+COUNTIF(G1808:I1825,$B1842&amp;" ~*")&gt;0)+(COUNTIF(K1808:M1825,$B1842)+COUNTIF(K1808:M1825,$B1842&amp;" ~*")&gt;0)+(COUNTIF(O1808:Q1825,$B1842)+COUNTIF(O1808:Q1825,$B1842&amp;" ~*")&gt;0)+(COUNTIF(S1808:U1825,$B1842)+COUNTIF(S1808:U1825,$B1842&amp;" ~*")&gt;0)+(COUNTIF(W1808:W1825,$B1842)+COUNTIF(W1808:W1825,$B1842&amp;" ~*")&gt;0)+(COUNTIF(Y1808:Y1825,$B1842)+COUNTIF(Y1808:Y1825,$B1842&amp;" ~*")&gt;0))</f>
        <v/>
      </c>
      <c r="AC1842" s="38">
        <f>IF($B1842="","",(IFERROR(INDEX(Setup!$G$33:$G$40,MATCH(C1842,Setup!$B$33:$B$40,0)),0)=1)*(COUNTIF(C1808:E1825,$B1842)+COUNTIF(C1808:E1825,$B1842&amp;" ~*")&gt;0)+(IFERROR(INDEX(Setup!$G$33:$G$40,MATCH(G1842,Setup!$B$33:$B$40,0)),0)=1)*(COUNTIF(G1808:I1825,$B1842)+COUNTIF(G1808:I1825,$B1842&amp;" ~*")&gt;0)+(IFERROR(INDEX(Setup!$G$33:$G$40,MATCH(K1842,Setup!$B$33:$B$40,0)),0)=1)*(COUNTIF(K1808:M1825,$B1842)+COUNTIF(K1808:M1825,$B1842&amp;" ~*")&gt;0)+(IFERROR(INDEX(Setup!$G$33:$G$40,MATCH(O1842,Setup!$B$33:$B$40,0)),0)=1)*(COUNTIF(O1808:Q1825,$B1842)+COUNTIF(O1808:Q1825,$B1842&amp;" ~*")&gt;0)+(IFERROR(INDEX(Setup!$G$33:$G$40,MATCH(S1842,Setup!$B$33:$B$40,0)),0)=1)*(COUNTIF(S1808:U1825,$B1842)+COUNTIF(S1808:U1825,$B1842&amp;" ~*")&gt;0)+(IFERROR(INDEX(Setup!$G$33:$G$40,MATCH(W1842,Setup!$B$33:$B$40,0)),0)=1)*(COUNTIF(W1808:W1825,$B1842)+COUNTIF(W1808:W1825,$B1842&amp;" ~*")&gt;0)+(IFERROR(INDEX(Setup!$G$33:$G$40,MATCH(Y1842,Setup!$B$33:$B$40,0)),0)=1)*(COUNTIF(Y1808:Y1825,$B1842)+COUNTIF(Y1808:Y1825,$B1842&amp;" ~*")&gt;0))</f>
        <v/>
      </c>
    </row>
    <row r="1843" ht="15" customHeight="1">
      <c r="A1843" t="n">
        <v>37</v>
      </c>
      <c r="B1843" s="35">
        <f>IF(Setup!$B$22="","",Setup!$B$22)</f>
        <v/>
      </c>
      <c r="C1843" s="98" t="n"/>
      <c r="D1843" s="99" t="n"/>
      <c r="E1843" s="99" t="n"/>
      <c r="F1843" s="100" t="n"/>
      <c r="G1843" s="98" t="n"/>
      <c r="H1843" s="99" t="n"/>
      <c r="I1843" s="99" t="n"/>
      <c r="J1843" s="100" t="n"/>
      <c r="K1843" s="98" t="n"/>
      <c r="L1843" s="99" t="n"/>
      <c r="M1843" s="99" t="n"/>
      <c r="N1843" s="100" t="n"/>
      <c r="O1843" s="98" t="n"/>
      <c r="P1843" s="99" t="n"/>
      <c r="Q1843" s="99" t="n"/>
      <c r="R1843" s="100" t="n"/>
      <c r="S1843" s="98" t="n"/>
      <c r="T1843" s="99" t="n"/>
      <c r="U1843" s="99" t="n"/>
      <c r="V1843" s="100" t="n"/>
      <c r="W1843" s="98" t="n"/>
      <c r="X1843" s="100" t="n"/>
      <c r="Y1843" s="98" t="n"/>
      <c r="Z1843" s="100" t="n"/>
      <c r="AB1843" s="101">
        <f>IF($B1843="","",(COUNTIF(C1808:E1825,$B1843)+COUNTIF(C1808:E1825,$B1843&amp;" ~*")&gt;0)+(COUNTIF(G1808:I1825,$B1843)+COUNTIF(G1808:I1825,$B1843&amp;" ~*")&gt;0)+(COUNTIF(K1808:M1825,$B1843)+COUNTIF(K1808:M1825,$B1843&amp;" ~*")&gt;0)+(COUNTIF(O1808:Q1825,$B1843)+COUNTIF(O1808:Q1825,$B1843&amp;" ~*")&gt;0)+(COUNTIF(S1808:U1825,$B1843)+COUNTIF(S1808:U1825,$B1843&amp;" ~*")&gt;0)+(COUNTIF(W1808:W1825,$B1843)+COUNTIF(W1808:W1825,$B1843&amp;" ~*")&gt;0)+(COUNTIF(Y1808:Y1825,$B1843)+COUNTIF(Y1808:Y1825,$B1843&amp;" ~*")&gt;0))</f>
        <v/>
      </c>
      <c r="AC1843" s="36">
        <f>IF($B1843="","",(IFERROR(INDEX(Setup!$G$33:$G$40,MATCH(C1843,Setup!$B$33:$B$40,0)),0)=1)*(COUNTIF(C1808:E1825,$B1843)+COUNTIF(C1808:E1825,$B1843&amp;" ~*")&gt;0)+(IFERROR(INDEX(Setup!$G$33:$G$40,MATCH(G1843,Setup!$B$33:$B$40,0)),0)=1)*(COUNTIF(G1808:I1825,$B1843)+COUNTIF(G1808:I1825,$B1843&amp;" ~*")&gt;0)+(IFERROR(INDEX(Setup!$G$33:$G$40,MATCH(K1843,Setup!$B$33:$B$40,0)),0)=1)*(COUNTIF(K1808:M1825,$B1843)+COUNTIF(K1808:M1825,$B1843&amp;" ~*")&gt;0)+(IFERROR(INDEX(Setup!$G$33:$G$40,MATCH(O1843,Setup!$B$33:$B$40,0)),0)=1)*(COUNTIF(O1808:Q1825,$B1843)+COUNTIF(O1808:Q1825,$B1843&amp;" ~*")&gt;0)+(IFERROR(INDEX(Setup!$G$33:$G$40,MATCH(S1843,Setup!$B$33:$B$40,0)),0)=1)*(COUNTIF(S1808:U1825,$B1843)+COUNTIF(S1808:U1825,$B1843&amp;" ~*")&gt;0)+(IFERROR(INDEX(Setup!$G$33:$G$40,MATCH(W1843,Setup!$B$33:$B$40,0)),0)=1)*(COUNTIF(W1808:W1825,$B1843)+COUNTIF(W1808:W1825,$B1843&amp;" ~*")&gt;0)+(IFERROR(INDEX(Setup!$G$33:$G$40,MATCH(Y1843,Setup!$B$33:$B$40,0)),0)=1)*(COUNTIF(Y1808:Y1825,$B1843)+COUNTIF(Y1808:Y1825,$B1843&amp;" ~*")&gt;0))</f>
        <v/>
      </c>
    </row>
    <row r="1844" ht="15" customHeight="1">
      <c r="A1844" t="n">
        <v>37</v>
      </c>
      <c r="B1844" s="37">
        <f>IF(Setup!$B$23="","",Setup!$B$23)</f>
        <v/>
      </c>
      <c r="C1844" s="102" t="n"/>
      <c r="D1844" s="103" t="n"/>
      <c r="E1844" s="103" t="n"/>
      <c r="F1844" s="104" t="n"/>
      <c r="G1844" s="102" t="n"/>
      <c r="H1844" s="103" t="n"/>
      <c r="I1844" s="103" t="n"/>
      <c r="J1844" s="104" t="n"/>
      <c r="K1844" s="102" t="n"/>
      <c r="L1844" s="103" t="n"/>
      <c r="M1844" s="103" t="n"/>
      <c r="N1844" s="104" t="n"/>
      <c r="O1844" s="102" t="n"/>
      <c r="P1844" s="103" t="n"/>
      <c r="Q1844" s="103" t="n"/>
      <c r="R1844" s="104" t="n"/>
      <c r="S1844" s="102" t="n"/>
      <c r="T1844" s="103" t="n"/>
      <c r="U1844" s="103" t="n"/>
      <c r="V1844" s="104" t="n"/>
      <c r="W1844" s="102" t="n"/>
      <c r="X1844" s="104" t="n"/>
      <c r="Y1844" s="102" t="n"/>
      <c r="Z1844" s="104" t="n"/>
      <c r="AB1844" s="105">
        <f>IF($B1844="","",(COUNTIF(C1808:E1825,$B1844)+COUNTIF(C1808:E1825,$B1844&amp;" ~*")&gt;0)+(COUNTIF(G1808:I1825,$B1844)+COUNTIF(G1808:I1825,$B1844&amp;" ~*")&gt;0)+(COUNTIF(K1808:M1825,$B1844)+COUNTIF(K1808:M1825,$B1844&amp;" ~*")&gt;0)+(COUNTIF(O1808:Q1825,$B1844)+COUNTIF(O1808:Q1825,$B1844&amp;" ~*")&gt;0)+(COUNTIF(S1808:U1825,$B1844)+COUNTIF(S1808:U1825,$B1844&amp;" ~*")&gt;0)+(COUNTIF(W1808:W1825,$B1844)+COUNTIF(W1808:W1825,$B1844&amp;" ~*")&gt;0)+(COUNTIF(Y1808:Y1825,$B1844)+COUNTIF(Y1808:Y1825,$B1844&amp;" ~*")&gt;0))</f>
        <v/>
      </c>
      <c r="AC1844" s="38">
        <f>IF($B1844="","",(IFERROR(INDEX(Setup!$G$33:$G$40,MATCH(C1844,Setup!$B$33:$B$40,0)),0)=1)*(COUNTIF(C1808:E1825,$B1844)+COUNTIF(C1808:E1825,$B1844&amp;" ~*")&gt;0)+(IFERROR(INDEX(Setup!$G$33:$G$40,MATCH(G1844,Setup!$B$33:$B$40,0)),0)=1)*(COUNTIF(G1808:I1825,$B1844)+COUNTIF(G1808:I1825,$B1844&amp;" ~*")&gt;0)+(IFERROR(INDEX(Setup!$G$33:$G$40,MATCH(K1844,Setup!$B$33:$B$40,0)),0)=1)*(COUNTIF(K1808:M1825,$B1844)+COUNTIF(K1808:M1825,$B1844&amp;" ~*")&gt;0)+(IFERROR(INDEX(Setup!$G$33:$G$40,MATCH(O1844,Setup!$B$33:$B$40,0)),0)=1)*(COUNTIF(O1808:Q1825,$B1844)+COUNTIF(O1808:Q1825,$B1844&amp;" ~*")&gt;0)+(IFERROR(INDEX(Setup!$G$33:$G$40,MATCH(S1844,Setup!$B$33:$B$40,0)),0)=1)*(COUNTIF(S1808:U1825,$B1844)+COUNTIF(S1808:U1825,$B1844&amp;" ~*")&gt;0)+(IFERROR(INDEX(Setup!$G$33:$G$40,MATCH(W1844,Setup!$B$33:$B$40,0)),0)=1)*(COUNTIF(W1808:W1825,$B1844)+COUNTIF(W1808:W1825,$B1844&amp;" ~*")&gt;0)+(IFERROR(INDEX(Setup!$G$33:$G$40,MATCH(Y1844,Setup!$B$33:$B$40,0)),0)=1)*(COUNTIF(Y1808:Y1825,$B1844)+COUNTIF(Y1808:Y1825,$B1844&amp;" ~*")&gt;0))</f>
        <v/>
      </c>
    </row>
    <row r="1845" ht="15" customHeight="1">
      <c r="A1845" t="n">
        <v>37</v>
      </c>
      <c r="B1845" s="35">
        <f>IF(Setup!$B$24="","",Setup!$B$24)</f>
        <v/>
      </c>
      <c r="C1845" s="98" t="n"/>
      <c r="D1845" s="99" t="n"/>
      <c r="E1845" s="99" t="n"/>
      <c r="F1845" s="100" t="n"/>
      <c r="G1845" s="98" t="n"/>
      <c r="H1845" s="99" t="n"/>
      <c r="I1845" s="99" t="n"/>
      <c r="J1845" s="100" t="n"/>
      <c r="K1845" s="98" t="n"/>
      <c r="L1845" s="99" t="n"/>
      <c r="M1845" s="99" t="n"/>
      <c r="N1845" s="100" t="n"/>
      <c r="O1845" s="98" t="n"/>
      <c r="P1845" s="99" t="n"/>
      <c r="Q1845" s="99" t="n"/>
      <c r="R1845" s="100" t="n"/>
      <c r="S1845" s="98" t="n"/>
      <c r="T1845" s="99" t="n"/>
      <c r="U1845" s="99" t="n"/>
      <c r="V1845" s="100" t="n"/>
      <c r="W1845" s="98" t="n"/>
      <c r="X1845" s="100" t="n"/>
      <c r="Y1845" s="98" t="n"/>
      <c r="Z1845" s="100" t="n"/>
      <c r="AB1845" s="101">
        <f>IF($B1845="","",(COUNTIF(C1808:E1825,$B1845)+COUNTIF(C1808:E1825,$B1845&amp;" ~*")&gt;0)+(COUNTIF(G1808:I1825,$B1845)+COUNTIF(G1808:I1825,$B1845&amp;" ~*")&gt;0)+(COUNTIF(K1808:M1825,$B1845)+COUNTIF(K1808:M1825,$B1845&amp;" ~*")&gt;0)+(COUNTIF(O1808:Q1825,$B1845)+COUNTIF(O1808:Q1825,$B1845&amp;" ~*")&gt;0)+(COUNTIF(S1808:U1825,$B1845)+COUNTIF(S1808:U1825,$B1845&amp;" ~*")&gt;0)+(COUNTIF(W1808:W1825,$B1845)+COUNTIF(W1808:W1825,$B1845&amp;" ~*")&gt;0)+(COUNTIF(Y1808:Y1825,$B1845)+COUNTIF(Y1808:Y1825,$B1845&amp;" ~*")&gt;0))</f>
        <v/>
      </c>
      <c r="AC1845" s="36">
        <f>IF($B1845="","",(IFERROR(INDEX(Setup!$G$33:$G$40,MATCH(C1845,Setup!$B$33:$B$40,0)),0)=1)*(COUNTIF(C1808:E1825,$B1845)+COUNTIF(C1808:E1825,$B1845&amp;" ~*")&gt;0)+(IFERROR(INDEX(Setup!$G$33:$G$40,MATCH(G1845,Setup!$B$33:$B$40,0)),0)=1)*(COUNTIF(G1808:I1825,$B1845)+COUNTIF(G1808:I1825,$B1845&amp;" ~*")&gt;0)+(IFERROR(INDEX(Setup!$G$33:$G$40,MATCH(K1845,Setup!$B$33:$B$40,0)),0)=1)*(COUNTIF(K1808:M1825,$B1845)+COUNTIF(K1808:M1825,$B1845&amp;" ~*")&gt;0)+(IFERROR(INDEX(Setup!$G$33:$G$40,MATCH(O1845,Setup!$B$33:$B$40,0)),0)=1)*(COUNTIF(O1808:Q1825,$B1845)+COUNTIF(O1808:Q1825,$B1845&amp;" ~*")&gt;0)+(IFERROR(INDEX(Setup!$G$33:$G$40,MATCH(S1845,Setup!$B$33:$B$40,0)),0)=1)*(COUNTIF(S1808:U1825,$B1845)+COUNTIF(S1808:U1825,$B1845&amp;" ~*")&gt;0)+(IFERROR(INDEX(Setup!$G$33:$G$40,MATCH(W1845,Setup!$B$33:$B$40,0)),0)=1)*(COUNTIF(W1808:W1825,$B1845)+COUNTIF(W1808:W1825,$B1845&amp;" ~*")&gt;0)+(IFERROR(INDEX(Setup!$G$33:$G$40,MATCH(Y1845,Setup!$B$33:$B$40,0)),0)=1)*(COUNTIF(Y1808:Y1825,$B1845)+COUNTIF(Y1808:Y1825,$B1845&amp;" ~*")&gt;0))</f>
        <v/>
      </c>
    </row>
    <row r="1846" ht="15" customHeight="1">
      <c r="A1846" t="n">
        <v>37</v>
      </c>
      <c r="B1846" s="37">
        <f>IF(Setup!$B$25="","",Setup!$B$25)</f>
        <v/>
      </c>
      <c r="C1846" s="102" t="n"/>
      <c r="D1846" s="103" t="n"/>
      <c r="E1846" s="103" t="n"/>
      <c r="F1846" s="104" t="n"/>
      <c r="G1846" s="102" t="n"/>
      <c r="H1846" s="103" t="n"/>
      <c r="I1846" s="103" t="n"/>
      <c r="J1846" s="104" t="n"/>
      <c r="K1846" s="102" t="n"/>
      <c r="L1846" s="103" t="n"/>
      <c r="M1846" s="103" t="n"/>
      <c r="N1846" s="104" t="n"/>
      <c r="O1846" s="102" t="n"/>
      <c r="P1846" s="103" t="n"/>
      <c r="Q1846" s="103" t="n"/>
      <c r="R1846" s="104" t="n"/>
      <c r="S1846" s="102" t="n"/>
      <c r="T1846" s="103" t="n"/>
      <c r="U1846" s="103" t="n"/>
      <c r="V1846" s="104" t="n"/>
      <c r="W1846" s="102" t="n"/>
      <c r="X1846" s="104" t="n"/>
      <c r="Y1846" s="102" t="n"/>
      <c r="Z1846" s="104" t="n"/>
      <c r="AB1846" s="105">
        <f>IF($B1846="","",(COUNTIF(C1808:E1825,$B1846)+COUNTIF(C1808:E1825,$B1846&amp;" ~*")&gt;0)+(COUNTIF(G1808:I1825,$B1846)+COUNTIF(G1808:I1825,$B1846&amp;" ~*")&gt;0)+(COUNTIF(K1808:M1825,$B1846)+COUNTIF(K1808:M1825,$B1846&amp;" ~*")&gt;0)+(COUNTIF(O1808:Q1825,$B1846)+COUNTIF(O1808:Q1825,$B1846&amp;" ~*")&gt;0)+(COUNTIF(S1808:U1825,$B1846)+COUNTIF(S1808:U1825,$B1846&amp;" ~*")&gt;0)+(COUNTIF(W1808:W1825,$B1846)+COUNTIF(W1808:W1825,$B1846&amp;" ~*")&gt;0)+(COUNTIF(Y1808:Y1825,$B1846)+COUNTIF(Y1808:Y1825,$B1846&amp;" ~*")&gt;0))</f>
        <v/>
      </c>
      <c r="AC1846" s="38">
        <f>IF($B1846="","",(IFERROR(INDEX(Setup!$G$33:$G$40,MATCH(C1846,Setup!$B$33:$B$40,0)),0)=1)*(COUNTIF(C1808:E1825,$B1846)+COUNTIF(C1808:E1825,$B1846&amp;" ~*")&gt;0)+(IFERROR(INDEX(Setup!$G$33:$G$40,MATCH(G1846,Setup!$B$33:$B$40,0)),0)=1)*(COUNTIF(G1808:I1825,$B1846)+COUNTIF(G1808:I1825,$B1846&amp;" ~*")&gt;0)+(IFERROR(INDEX(Setup!$G$33:$G$40,MATCH(K1846,Setup!$B$33:$B$40,0)),0)=1)*(COUNTIF(K1808:M1825,$B1846)+COUNTIF(K1808:M1825,$B1846&amp;" ~*")&gt;0)+(IFERROR(INDEX(Setup!$G$33:$G$40,MATCH(O1846,Setup!$B$33:$B$40,0)),0)=1)*(COUNTIF(O1808:Q1825,$B1846)+COUNTIF(O1808:Q1825,$B1846&amp;" ~*")&gt;0)+(IFERROR(INDEX(Setup!$G$33:$G$40,MATCH(S1846,Setup!$B$33:$B$40,0)),0)=1)*(COUNTIF(S1808:U1825,$B1846)+COUNTIF(S1808:U1825,$B1846&amp;" ~*")&gt;0)+(IFERROR(INDEX(Setup!$G$33:$G$40,MATCH(W1846,Setup!$B$33:$B$40,0)),0)=1)*(COUNTIF(W1808:W1825,$B1846)+COUNTIF(W1808:W1825,$B1846&amp;" ~*")&gt;0)+(IFERROR(INDEX(Setup!$G$33:$G$40,MATCH(Y1846,Setup!$B$33:$B$40,0)),0)=1)*(COUNTIF(Y1808:Y1825,$B1846)+COUNTIF(Y1808:Y1825,$B1846&amp;" ~*")&gt;0))</f>
        <v/>
      </c>
    </row>
    <row r="1847" ht="15" customHeight="1">
      <c r="A1847" t="n">
        <v>37</v>
      </c>
      <c r="B1847" s="35">
        <f>IF(Setup!$B$26="","",Setup!$B$26)</f>
        <v/>
      </c>
      <c r="C1847" s="98" t="n"/>
      <c r="D1847" s="99" t="n"/>
      <c r="E1847" s="99" t="n"/>
      <c r="F1847" s="100" t="n"/>
      <c r="G1847" s="98" t="n"/>
      <c r="H1847" s="99" t="n"/>
      <c r="I1847" s="99" t="n"/>
      <c r="J1847" s="100" t="n"/>
      <c r="K1847" s="98" t="n"/>
      <c r="L1847" s="99" t="n"/>
      <c r="M1847" s="99" t="n"/>
      <c r="N1847" s="100" t="n"/>
      <c r="O1847" s="98" t="n"/>
      <c r="P1847" s="99" t="n"/>
      <c r="Q1847" s="99" t="n"/>
      <c r="R1847" s="100" t="n"/>
      <c r="S1847" s="98" t="n"/>
      <c r="T1847" s="99" t="n"/>
      <c r="U1847" s="99" t="n"/>
      <c r="V1847" s="100" t="n"/>
      <c r="W1847" s="98" t="n"/>
      <c r="X1847" s="100" t="n"/>
      <c r="Y1847" s="98" t="n"/>
      <c r="Z1847" s="100" t="n"/>
      <c r="AB1847" s="101">
        <f>IF($B1847="","",(COUNTIF(C1808:E1825,$B1847)+COUNTIF(C1808:E1825,$B1847&amp;" ~*")&gt;0)+(COUNTIF(G1808:I1825,$B1847)+COUNTIF(G1808:I1825,$B1847&amp;" ~*")&gt;0)+(COUNTIF(K1808:M1825,$B1847)+COUNTIF(K1808:M1825,$B1847&amp;" ~*")&gt;0)+(COUNTIF(O1808:Q1825,$B1847)+COUNTIF(O1808:Q1825,$B1847&amp;" ~*")&gt;0)+(COUNTIF(S1808:U1825,$B1847)+COUNTIF(S1808:U1825,$B1847&amp;" ~*")&gt;0)+(COUNTIF(W1808:W1825,$B1847)+COUNTIF(W1808:W1825,$B1847&amp;" ~*")&gt;0)+(COUNTIF(Y1808:Y1825,$B1847)+COUNTIF(Y1808:Y1825,$B1847&amp;" ~*")&gt;0))</f>
        <v/>
      </c>
      <c r="AC1847" s="36">
        <f>IF($B1847="","",(IFERROR(INDEX(Setup!$G$33:$G$40,MATCH(C1847,Setup!$B$33:$B$40,0)),0)=1)*(COUNTIF(C1808:E1825,$B1847)+COUNTIF(C1808:E1825,$B1847&amp;" ~*")&gt;0)+(IFERROR(INDEX(Setup!$G$33:$G$40,MATCH(G1847,Setup!$B$33:$B$40,0)),0)=1)*(COUNTIF(G1808:I1825,$B1847)+COUNTIF(G1808:I1825,$B1847&amp;" ~*")&gt;0)+(IFERROR(INDEX(Setup!$G$33:$G$40,MATCH(K1847,Setup!$B$33:$B$40,0)),0)=1)*(COUNTIF(K1808:M1825,$B1847)+COUNTIF(K1808:M1825,$B1847&amp;" ~*")&gt;0)+(IFERROR(INDEX(Setup!$G$33:$G$40,MATCH(O1847,Setup!$B$33:$B$40,0)),0)=1)*(COUNTIF(O1808:Q1825,$B1847)+COUNTIF(O1808:Q1825,$B1847&amp;" ~*")&gt;0)+(IFERROR(INDEX(Setup!$G$33:$G$40,MATCH(S1847,Setup!$B$33:$B$40,0)),0)=1)*(COUNTIF(S1808:U1825,$B1847)+COUNTIF(S1808:U1825,$B1847&amp;" ~*")&gt;0)+(IFERROR(INDEX(Setup!$G$33:$G$40,MATCH(W1847,Setup!$B$33:$B$40,0)),0)=1)*(COUNTIF(W1808:W1825,$B1847)+COUNTIF(W1808:W1825,$B1847&amp;" ~*")&gt;0)+(IFERROR(INDEX(Setup!$G$33:$G$40,MATCH(Y1847,Setup!$B$33:$B$40,0)),0)=1)*(COUNTIF(Y1808:Y1825,$B1847)+COUNTIF(Y1808:Y1825,$B1847&amp;" ~*")&gt;0))</f>
        <v/>
      </c>
    </row>
    <row r="1848" ht="15" customHeight="1">
      <c r="A1848" t="n">
        <v>37</v>
      </c>
      <c r="B1848" s="37">
        <f>IF(Setup!$B$27="","",Setup!$B$27)</f>
        <v/>
      </c>
      <c r="C1848" s="102" t="n"/>
      <c r="D1848" s="103" t="n"/>
      <c r="E1848" s="103" t="n"/>
      <c r="F1848" s="104" t="n"/>
      <c r="G1848" s="102" t="n"/>
      <c r="H1848" s="103" t="n"/>
      <c r="I1848" s="103" t="n"/>
      <c r="J1848" s="104" t="n"/>
      <c r="K1848" s="102" t="n"/>
      <c r="L1848" s="103" t="n"/>
      <c r="M1848" s="103" t="n"/>
      <c r="N1848" s="104" t="n"/>
      <c r="O1848" s="102" t="n"/>
      <c r="P1848" s="103" t="n"/>
      <c r="Q1848" s="103" t="n"/>
      <c r="R1848" s="104" t="n"/>
      <c r="S1848" s="102" t="n"/>
      <c r="T1848" s="103" t="n"/>
      <c r="U1848" s="103" t="n"/>
      <c r="V1848" s="104" t="n"/>
      <c r="W1848" s="102" t="n"/>
      <c r="X1848" s="104" t="n"/>
      <c r="Y1848" s="102" t="n"/>
      <c r="Z1848" s="104" t="n"/>
      <c r="AB1848" s="105">
        <f>IF($B1848="","",(COUNTIF(C1808:E1825,$B1848)+COUNTIF(C1808:E1825,$B1848&amp;" ~*")&gt;0)+(COUNTIF(G1808:I1825,$B1848)+COUNTIF(G1808:I1825,$B1848&amp;" ~*")&gt;0)+(COUNTIF(K1808:M1825,$B1848)+COUNTIF(K1808:M1825,$B1848&amp;" ~*")&gt;0)+(COUNTIF(O1808:Q1825,$B1848)+COUNTIF(O1808:Q1825,$B1848&amp;" ~*")&gt;0)+(COUNTIF(S1808:U1825,$B1848)+COUNTIF(S1808:U1825,$B1848&amp;" ~*")&gt;0)+(COUNTIF(W1808:W1825,$B1848)+COUNTIF(W1808:W1825,$B1848&amp;" ~*")&gt;0)+(COUNTIF(Y1808:Y1825,$B1848)+COUNTIF(Y1808:Y1825,$B1848&amp;" ~*")&gt;0))</f>
        <v/>
      </c>
      <c r="AC1848" s="38">
        <f>IF($B1848="","",(IFERROR(INDEX(Setup!$G$33:$G$40,MATCH(C1848,Setup!$B$33:$B$40,0)),0)=1)*(COUNTIF(C1808:E1825,$B1848)+COUNTIF(C1808:E1825,$B1848&amp;" ~*")&gt;0)+(IFERROR(INDEX(Setup!$G$33:$G$40,MATCH(G1848,Setup!$B$33:$B$40,0)),0)=1)*(COUNTIF(G1808:I1825,$B1848)+COUNTIF(G1808:I1825,$B1848&amp;" ~*")&gt;0)+(IFERROR(INDEX(Setup!$G$33:$G$40,MATCH(K1848,Setup!$B$33:$B$40,0)),0)=1)*(COUNTIF(K1808:M1825,$B1848)+COUNTIF(K1808:M1825,$B1848&amp;" ~*")&gt;0)+(IFERROR(INDEX(Setup!$G$33:$G$40,MATCH(O1848,Setup!$B$33:$B$40,0)),0)=1)*(COUNTIF(O1808:Q1825,$B1848)+COUNTIF(O1808:Q1825,$B1848&amp;" ~*")&gt;0)+(IFERROR(INDEX(Setup!$G$33:$G$40,MATCH(S1848,Setup!$B$33:$B$40,0)),0)=1)*(COUNTIF(S1808:U1825,$B1848)+COUNTIF(S1808:U1825,$B1848&amp;" ~*")&gt;0)+(IFERROR(INDEX(Setup!$G$33:$G$40,MATCH(W1848,Setup!$B$33:$B$40,0)),0)=1)*(COUNTIF(W1808:W1825,$B1848)+COUNTIF(W1808:W1825,$B1848&amp;" ~*")&gt;0)+(IFERROR(INDEX(Setup!$G$33:$G$40,MATCH(Y1848,Setup!$B$33:$B$40,0)),0)=1)*(COUNTIF(Y1808:Y1825,$B1848)+COUNTIF(Y1808:Y1825,$B1848&amp;" ~*")&gt;0))</f>
        <v/>
      </c>
    </row>
    <row r="1849" ht="15" customHeight="1">
      <c r="A1849" t="n">
        <v>37</v>
      </c>
      <c r="B1849" s="35">
        <f>IF(Setup!$B$28="","",Setup!$B$28)</f>
        <v/>
      </c>
      <c r="C1849" s="98" t="n"/>
      <c r="D1849" s="99" t="n"/>
      <c r="E1849" s="99" t="n"/>
      <c r="F1849" s="100" t="n"/>
      <c r="G1849" s="98" t="n"/>
      <c r="H1849" s="99" t="n"/>
      <c r="I1849" s="99" t="n"/>
      <c r="J1849" s="100" t="n"/>
      <c r="K1849" s="98" t="n"/>
      <c r="L1849" s="99" t="n"/>
      <c r="M1849" s="99" t="n"/>
      <c r="N1849" s="100" t="n"/>
      <c r="O1849" s="98" t="n"/>
      <c r="P1849" s="99" t="n"/>
      <c r="Q1849" s="99" t="n"/>
      <c r="R1849" s="100" t="n"/>
      <c r="S1849" s="98" t="n"/>
      <c r="T1849" s="99" t="n"/>
      <c r="U1849" s="99" t="n"/>
      <c r="V1849" s="100" t="n"/>
      <c r="W1849" s="98" t="n"/>
      <c r="X1849" s="100" t="n"/>
      <c r="Y1849" s="98" t="n"/>
      <c r="Z1849" s="100" t="n"/>
      <c r="AB1849" s="101">
        <f>IF($B1849="","",(COUNTIF(C1808:E1825,$B1849)+COUNTIF(C1808:E1825,$B1849&amp;" ~*")&gt;0)+(COUNTIF(G1808:I1825,$B1849)+COUNTIF(G1808:I1825,$B1849&amp;" ~*")&gt;0)+(COUNTIF(K1808:M1825,$B1849)+COUNTIF(K1808:M1825,$B1849&amp;" ~*")&gt;0)+(COUNTIF(O1808:Q1825,$B1849)+COUNTIF(O1808:Q1825,$B1849&amp;" ~*")&gt;0)+(COUNTIF(S1808:U1825,$B1849)+COUNTIF(S1808:U1825,$B1849&amp;" ~*")&gt;0)+(COUNTIF(W1808:W1825,$B1849)+COUNTIF(W1808:W1825,$B1849&amp;" ~*")&gt;0)+(COUNTIF(Y1808:Y1825,$B1849)+COUNTIF(Y1808:Y1825,$B1849&amp;" ~*")&gt;0))</f>
        <v/>
      </c>
      <c r="AC1849" s="36">
        <f>IF($B1849="","",(IFERROR(INDEX(Setup!$G$33:$G$40,MATCH(C1849,Setup!$B$33:$B$40,0)),0)=1)*(COUNTIF(C1808:E1825,$B1849)+COUNTIF(C1808:E1825,$B1849&amp;" ~*")&gt;0)+(IFERROR(INDEX(Setup!$G$33:$G$40,MATCH(G1849,Setup!$B$33:$B$40,0)),0)=1)*(COUNTIF(G1808:I1825,$B1849)+COUNTIF(G1808:I1825,$B1849&amp;" ~*")&gt;0)+(IFERROR(INDEX(Setup!$G$33:$G$40,MATCH(K1849,Setup!$B$33:$B$40,0)),0)=1)*(COUNTIF(K1808:M1825,$B1849)+COUNTIF(K1808:M1825,$B1849&amp;" ~*")&gt;0)+(IFERROR(INDEX(Setup!$G$33:$G$40,MATCH(O1849,Setup!$B$33:$B$40,0)),0)=1)*(COUNTIF(O1808:Q1825,$B1849)+COUNTIF(O1808:Q1825,$B1849&amp;" ~*")&gt;0)+(IFERROR(INDEX(Setup!$G$33:$G$40,MATCH(S1849,Setup!$B$33:$B$40,0)),0)=1)*(COUNTIF(S1808:U1825,$B1849)+COUNTIF(S1808:U1825,$B1849&amp;" ~*")&gt;0)+(IFERROR(INDEX(Setup!$G$33:$G$40,MATCH(W1849,Setup!$B$33:$B$40,0)),0)=1)*(COUNTIF(W1808:W1825,$B1849)+COUNTIF(W1808:W1825,$B1849&amp;" ~*")&gt;0)+(IFERROR(INDEX(Setup!$G$33:$G$40,MATCH(Y1849,Setup!$B$33:$B$40,0)),0)=1)*(COUNTIF(Y1808:Y1825,$B1849)+COUNTIF(Y1808:Y1825,$B1849&amp;" ~*")&gt;0))</f>
        <v/>
      </c>
    </row>
    <row r="1850" ht="15" customHeight="1">
      <c r="A1850" t="n">
        <v>37</v>
      </c>
      <c r="B1850" s="37">
        <f>IF(Setup!$B$29="","",Setup!$B$29)</f>
        <v/>
      </c>
      <c r="C1850" s="102" t="n"/>
      <c r="D1850" s="103" t="n"/>
      <c r="E1850" s="103" t="n"/>
      <c r="F1850" s="104" t="n"/>
      <c r="G1850" s="102" t="n"/>
      <c r="H1850" s="103" t="n"/>
      <c r="I1850" s="103" t="n"/>
      <c r="J1850" s="104" t="n"/>
      <c r="K1850" s="102" t="n"/>
      <c r="L1850" s="103" t="n"/>
      <c r="M1850" s="103" t="n"/>
      <c r="N1850" s="104" t="n"/>
      <c r="O1850" s="102" t="n"/>
      <c r="P1850" s="103" t="n"/>
      <c r="Q1850" s="103" t="n"/>
      <c r="R1850" s="104" t="n"/>
      <c r="S1850" s="102" t="n"/>
      <c r="T1850" s="103" t="n"/>
      <c r="U1850" s="103" t="n"/>
      <c r="V1850" s="104" t="n"/>
      <c r="W1850" s="102" t="n"/>
      <c r="X1850" s="104" t="n"/>
      <c r="Y1850" s="102" t="n"/>
      <c r="Z1850" s="104" t="n"/>
      <c r="AB1850" s="105">
        <f>IF($B1850="","",(COUNTIF(C1808:E1825,$B1850)+COUNTIF(C1808:E1825,$B1850&amp;" ~*")&gt;0)+(COUNTIF(G1808:I1825,$B1850)+COUNTIF(G1808:I1825,$B1850&amp;" ~*")&gt;0)+(COUNTIF(K1808:M1825,$B1850)+COUNTIF(K1808:M1825,$B1850&amp;" ~*")&gt;0)+(COUNTIF(O1808:Q1825,$B1850)+COUNTIF(O1808:Q1825,$B1850&amp;" ~*")&gt;0)+(COUNTIF(S1808:U1825,$B1850)+COUNTIF(S1808:U1825,$B1850&amp;" ~*")&gt;0)+(COUNTIF(W1808:W1825,$B1850)+COUNTIF(W1808:W1825,$B1850&amp;" ~*")&gt;0)+(COUNTIF(Y1808:Y1825,$B1850)+COUNTIF(Y1808:Y1825,$B1850&amp;" ~*")&gt;0))</f>
        <v/>
      </c>
      <c r="AC1850" s="38">
        <f>IF($B1850="","",(IFERROR(INDEX(Setup!$G$33:$G$40,MATCH(C1850,Setup!$B$33:$B$40,0)),0)=1)*(COUNTIF(C1808:E1825,$B1850)+COUNTIF(C1808:E1825,$B1850&amp;" ~*")&gt;0)+(IFERROR(INDEX(Setup!$G$33:$G$40,MATCH(G1850,Setup!$B$33:$B$40,0)),0)=1)*(COUNTIF(G1808:I1825,$B1850)+COUNTIF(G1808:I1825,$B1850&amp;" ~*")&gt;0)+(IFERROR(INDEX(Setup!$G$33:$G$40,MATCH(K1850,Setup!$B$33:$B$40,0)),0)=1)*(COUNTIF(K1808:M1825,$B1850)+COUNTIF(K1808:M1825,$B1850&amp;" ~*")&gt;0)+(IFERROR(INDEX(Setup!$G$33:$G$40,MATCH(O1850,Setup!$B$33:$B$40,0)),0)=1)*(COUNTIF(O1808:Q1825,$B1850)+COUNTIF(O1808:Q1825,$B1850&amp;" ~*")&gt;0)+(IFERROR(INDEX(Setup!$G$33:$G$40,MATCH(S1850,Setup!$B$33:$B$40,0)),0)=1)*(COUNTIF(S1808:U1825,$B1850)+COUNTIF(S1808:U1825,$B1850&amp;" ~*")&gt;0)+(IFERROR(INDEX(Setup!$G$33:$G$40,MATCH(W1850,Setup!$B$33:$B$40,0)),0)=1)*(COUNTIF(W1808:W1825,$B1850)+COUNTIF(W1808:W1825,$B1850&amp;" ~*")&gt;0)+(IFERROR(INDEX(Setup!$G$33:$G$40,MATCH(Y1850,Setup!$B$33:$B$40,0)),0)=1)*(COUNTIF(Y1808:Y1825,$B1850)+COUNTIF(Y1808:Y1825,$B1850&amp;" ~*")&gt;0))</f>
        <v/>
      </c>
    </row>
    <row r="1851" ht="16" customHeight="1">
      <c r="A1851" t="n">
        <v>37</v>
      </c>
      <c r="B1851" s="106" t="inlineStr">
        <is>
          <t>Available people</t>
        </is>
      </c>
      <c r="C1851" s="107">
        <f>COUNTIFS(Setup!$E$6:$E$29,"Y",Setup!$B$6:$B$29,"?*")-SUMPRODUCT(COUNTIF(C1827:C1850,Setup!$F$33:$F$40))</f>
        <v/>
      </c>
      <c r="D1851" s="107" t="n"/>
      <c r="E1851" s="107" t="n"/>
      <c r="F1851" s="107" t="n"/>
      <c r="G1851" s="107">
        <f>COUNTIFS(Setup!$E$6:$E$29,"Y",Setup!$B$6:$B$29,"?*")-SUMPRODUCT(COUNTIF(G1827:G1850,Setup!$F$33:$F$40))</f>
        <v/>
      </c>
      <c r="H1851" s="107" t="n"/>
      <c r="I1851" s="107" t="n"/>
      <c r="J1851" s="107" t="n"/>
      <c r="K1851" s="107">
        <f>COUNTIFS(Setup!$E$6:$E$29,"Y",Setup!$B$6:$B$29,"?*")-SUMPRODUCT(COUNTIF(K1827:K1850,Setup!$F$33:$F$40))</f>
        <v/>
      </c>
      <c r="L1851" s="107" t="n"/>
      <c r="M1851" s="107" t="n"/>
      <c r="N1851" s="107" t="n"/>
      <c r="O1851" s="107">
        <f>COUNTIFS(Setup!$E$6:$E$29,"Y",Setup!$B$6:$B$29,"?*")-SUMPRODUCT(COUNTIF(O1827:O1850,Setup!$F$33:$F$40))</f>
        <v/>
      </c>
      <c r="P1851" s="107" t="n"/>
      <c r="Q1851" s="107" t="n"/>
      <c r="R1851" s="107" t="n"/>
      <c r="S1851" s="107">
        <f>COUNTIFS(Setup!$E$6:$E$29,"Y",Setup!$B$6:$B$29,"?*")-SUMPRODUCT(COUNTIF(S1827:S1850,Setup!$F$33:$F$40))</f>
        <v/>
      </c>
      <c r="T1851" s="107" t="n"/>
      <c r="U1851" s="107" t="n"/>
      <c r="V1851" s="107" t="n"/>
      <c r="W1851" s="107">
        <f>COUNTIFS(Setup!$E$6:$E$29,"Y",Setup!$B$6:$B$29,"?*")-SUMPRODUCT(COUNTIF(W1827:W1850,Setup!$F$33:$F$40))</f>
        <v/>
      </c>
      <c r="X1851" s="107" t="n"/>
      <c r="Y1851" s="107">
        <f>COUNTIFS(Setup!$E$6:$E$29,"Y",Setup!$B$6:$B$29,"?*")-SUMPRODUCT(COUNTIF(Y1827:Y1850,Setup!$F$33:$F$40))</f>
        <v/>
      </c>
      <c r="Z1851" s="107" t="n"/>
      <c r="AB1851" s="108">
        <f>SUM(AB1827:AB1850)</f>
        <v/>
      </c>
      <c r="AC1851" s="109">
        <f>SUM(AC1827:AC1850)</f>
        <v/>
      </c>
    </row>
    <row r="1852" ht="30" customHeight="1">
      <c r="A1852" t="n">
        <v>37</v>
      </c>
      <c r="B1852" s="110" t="inlineStr">
        <is>
          <t>Week notes</t>
        </is>
      </c>
      <c r="C1852" s="111" t="n"/>
      <c r="D1852" s="112" t="n"/>
      <c r="E1852" s="112" t="n"/>
      <c r="F1852" s="112" t="n"/>
      <c r="G1852" s="112" t="n"/>
      <c r="H1852" s="112" t="n"/>
      <c r="I1852" s="112" t="n"/>
      <c r="J1852" s="112" t="n"/>
      <c r="K1852" s="112" t="n"/>
      <c r="L1852" s="112" t="n"/>
      <c r="M1852" s="112" t="n"/>
      <c r="N1852" s="112" t="n"/>
      <c r="O1852" s="112" t="n"/>
      <c r="P1852" s="112" t="n"/>
      <c r="Q1852" s="112" t="n"/>
      <c r="R1852" s="112" t="n"/>
      <c r="S1852" s="112" t="n"/>
      <c r="T1852" s="112" t="n"/>
      <c r="U1852" s="112" t="n"/>
      <c r="V1852" s="112" t="n"/>
      <c r="W1852" s="112" t="n"/>
      <c r="X1852" s="112" t="n"/>
      <c r="Y1852" s="112" t="n"/>
      <c r="Z1852" s="113" t="n"/>
    </row>
    <row r="1853" ht="8" customHeight="1">
      <c r="A1853" t="n">
        <v>37</v>
      </c>
    </row>
    <row r="1854" ht="8" customHeight="1">
      <c r="A1854" t="n">
        <v>37</v>
      </c>
    </row>
    <row r="1855" ht="24" customHeight="1">
      <c r="A1855" t="n">
        <v>38</v>
      </c>
      <c r="B1855" s="73">
        <f>"WEEK 38     "&amp;TEXT(C1856,"ddd d mmm")&amp;"  –  "&amp;TEXT(C1856+6,"ddd d mmm yyyy")</f>
        <v/>
      </c>
      <c r="S1855" s="74">
        <f>IF(TODAY()&lt;C1856,"FUTURE",IF(TODAY()&gt;C1856+6,"PAST","THIS WEEK"))</f>
        <v/>
      </c>
      <c r="W1855" s="75">
        <f>IF(AND(Engine!$B$8=$AC$3,Engine!$B$9=$A1855),"◀ ACTIVE WEEK","")</f>
        <v/>
      </c>
      <c r="AA1855" s="76" t="n"/>
      <c r="AB1855" s="77" t="inlineStr">
        <is>
          <t>◀ Prev</t>
        </is>
      </c>
      <c r="AC1855" s="77" t="inlineStr">
        <is>
          <t>Next ▶</t>
        </is>
      </c>
    </row>
    <row r="1856" ht="18" customHeight="1">
      <c r="A1856" t="n">
        <v>38</v>
      </c>
      <c r="B1856" s="78" t="inlineStr">
        <is>
          <t>DUTY</t>
        </is>
      </c>
      <c r="C1856" s="79">
        <f>$AC$2+7*($A1856-1)</f>
        <v/>
      </c>
      <c r="D1856" s="80" t="n"/>
      <c r="E1856" s="80" t="n"/>
      <c r="F1856" s="81" t="n"/>
      <c r="G1856" s="79">
        <f>C1856+1</f>
        <v/>
      </c>
      <c r="H1856" s="80" t="n"/>
      <c r="I1856" s="80" t="n"/>
      <c r="J1856" s="81" t="n"/>
      <c r="K1856" s="79">
        <f>C1856+2</f>
        <v/>
      </c>
      <c r="L1856" s="80" t="n"/>
      <c r="M1856" s="80" t="n"/>
      <c r="N1856" s="81" t="n"/>
      <c r="O1856" s="79">
        <f>C1856+3</f>
        <v/>
      </c>
      <c r="P1856" s="80" t="n"/>
      <c r="Q1856" s="80" t="n"/>
      <c r="R1856" s="81" t="n"/>
      <c r="S1856" s="79">
        <f>C1856+4</f>
        <v/>
      </c>
      <c r="T1856" s="80" t="n"/>
      <c r="U1856" s="80" t="n"/>
      <c r="V1856" s="81" t="n"/>
      <c r="W1856" s="82">
        <f>C1856+5</f>
        <v/>
      </c>
      <c r="X1856" s="83" t="n"/>
      <c r="Y1856" s="82">
        <f>C1856+6</f>
        <v/>
      </c>
      <c r="Z1856" s="83" t="n"/>
      <c r="AB1856" s="72" t="inlineStr">
        <is>
          <t>Gaps</t>
        </is>
      </c>
      <c r="AC1856" s="72" t="inlineStr">
        <is>
          <t>Cover</t>
        </is>
      </c>
    </row>
    <row r="1857" ht="14" customHeight="1">
      <c r="A1857" t="n">
        <v>38</v>
      </c>
      <c r="B1857" s="84" t="inlineStr">
        <is>
          <t>(from Setup)</t>
        </is>
      </c>
      <c r="C1857" s="85" t="inlineStr">
        <is>
          <t>1</t>
        </is>
      </c>
      <c r="D1857" s="85" t="inlineStr">
        <is>
          <t>2</t>
        </is>
      </c>
      <c r="E1857" s="85" t="inlineStr">
        <is>
          <t>3</t>
        </is>
      </c>
      <c r="F1857" s="85" t="inlineStr">
        <is>
          <t>Notes</t>
        </is>
      </c>
      <c r="G1857" s="85" t="inlineStr">
        <is>
          <t>1</t>
        </is>
      </c>
      <c r="H1857" s="85" t="inlineStr">
        <is>
          <t>2</t>
        </is>
      </c>
      <c r="I1857" s="85" t="inlineStr">
        <is>
          <t>3</t>
        </is>
      </c>
      <c r="J1857" s="85" t="inlineStr">
        <is>
          <t>Notes</t>
        </is>
      </c>
      <c r="K1857" s="85" t="inlineStr">
        <is>
          <t>1</t>
        </is>
      </c>
      <c r="L1857" s="85" t="inlineStr">
        <is>
          <t>2</t>
        </is>
      </c>
      <c r="M1857" s="85" t="inlineStr">
        <is>
          <t>3</t>
        </is>
      </c>
      <c r="N1857" s="85" t="inlineStr">
        <is>
          <t>Notes</t>
        </is>
      </c>
      <c r="O1857" s="85" t="inlineStr">
        <is>
          <t>1</t>
        </is>
      </c>
      <c r="P1857" s="85" t="inlineStr">
        <is>
          <t>2</t>
        </is>
      </c>
      <c r="Q1857" s="85" t="inlineStr">
        <is>
          <t>3</t>
        </is>
      </c>
      <c r="R1857" s="85" t="inlineStr">
        <is>
          <t>Notes</t>
        </is>
      </c>
      <c r="S1857" s="85" t="inlineStr">
        <is>
          <t>1</t>
        </is>
      </c>
      <c r="T1857" s="85" t="inlineStr">
        <is>
          <t>2</t>
        </is>
      </c>
      <c r="U1857" s="85" t="inlineStr">
        <is>
          <t>3</t>
        </is>
      </c>
      <c r="V1857" s="85" t="inlineStr">
        <is>
          <t>Notes</t>
        </is>
      </c>
      <c r="W1857" s="85" t="inlineStr">
        <is>
          <t>Cover</t>
        </is>
      </c>
      <c r="X1857" s="85" t="inlineStr">
        <is>
          <t>Notes</t>
        </is>
      </c>
      <c r="Y1857" s="85" t="inlineStr">
        <is>
          <t>Cover</t>
        </is>
      </c>
      <c r="Z1857" s="85" t="inlineStr">
        <is>
          <t>Notes</t>
        </is>
      </c>
      <c r="AB1857" s="86" t="inlineStr">
        <is>
          <t>weekdays short</t>
        </is>
      </c>
      <c r="AC1857" s="87" t="inlineStr"/>
    </row>
    <row r="1858" ht="17" customHeight="1">
      <c r="A1858" t="n">
        <v>38</v>
      </c>
      <c r="B1858" s="24">
        <f>IF(Setup!$K$6="","",Setup!$K$6)</f>
        <v/>
      </c>
      <c r="C1858" s="88" t="n"/>
      <c r="D1858" s="88" t="n"/>
      <c r="E1858" s="88" t="n"/>
      <c r="F1858" s="89" t="n"/>
      <c r="G1858" s="88" t="n"/>
      <c r="H1858" s="88" t="n"/>
      <c r="I1858" s="88" t="n"/>
      <c r="J1858" s="89" t="n"/>
      <c r="K1858" s="88" t="n"/>
      <c r="L1858" s="88" t="n"/>
      <c r="M1858" s="88" t="n"/>
      <c r="N1858" s="89" t="n"/>
      <c r="O1858" s="88" t="n"/>
      <c r="P1858" s="88" t="n"/>
      <c r="Q1858" s="88" t="n"/>
      <c r="R1858" s="89" t="n"/>
      <c r="S1858" s="88" t="n"/>
      <c r="T1858" s="88" t="n"/>
      <c r="U1858" s="88" t="n"/>
      <c r="V1858" s="89" t="n"/>
      <c r="W1858" s="88" t="n"/>
      <c r="X1858" s="89" t="n"/>
      <c r="Y1858" s="88" t="n"/>
      <c r="Z1858" s="89" t="n"/>
      <c r="AB1858" s="25">
        <f>IF($B1858="","",(COUNTIF(C1858:E1858,"?*")&lt;N(INDEX(Setup!$L$6:$L$23,1)))+(COUNTIF(G1858:I1858,"?*")&lt;N(INDEX(Setup!$L$6:$L$23,1)))+(COUNTIF(K1858:M1858,"?*")&lt;N(INDEX(Setup!$L$6:$L$23,1)))+(COUNTIF(O1858:Q1858,"?*")&lt;N(INDEX(Setup!$L$6:$L$23,1)))+(COUNTIF(S1858:U1858,"?*")&lt;N(INDEX(Setup!$L$6:$L$23,1)))+((W1858="")*(INDEX(Setup!$M$6:$M$23,1)="Y"))+((Y1858="")*(INDEX(Setup!$M$6:$M$23,1)="Y")))</f>
        <v/>
      </c>
      <c r="AC1858" s="90">
        <f>IF($B1858="","",IF(AB1858=0,"✓ covered","⚠ "&amp;AB1858&amp;IF(AB1858=1," gap"," gaps")))</f>
        <v/>
      </c>
    </row>
    <row r="1859" ht="17" customHeight="1">
      <c r="A1859" t="n">
        <v>38</v>
      </c>
      <c r="B1859" s="29">
        <f>IF(Setup!$K$7="","",Setup!$K$7)</f>
        <v/>
      </c>
      <c r="C1859" s="88" t="n"/>
      <c r="D1859" s="88" t="n"/>
      <c r="E1859" s="88" t="n"/>
      <c r="F1859" s="89" t="n"/>
      <c r="G1859" s="88" t="n"/>
      <c r="H1859" s="88" t="n"/>
      <c r="I1859" s="88" t="n"/>
      <c r="J1859" s="89" t="n"/>
      <c r="K1859" s="88" t="n"/>
      <c r="L1859" s="88" t="n"/>
      <c r="M1859" s="88" t="n"/>
      <c r="N1859" s="89" t="n"/>
      <c r="O1859" s="88" t="n"/>
      <c r="P1859" s="88" t="n"/>
      <c r="Q1859" s="88" t="n"/>
      <c r="R1859" s="89" t="n"/>
      <c r="S1859" s="88" t="n"/>
      <c r="T1859" s="88" t="n"/>
      <c r="U1859" s="88" t="n"/>
      <c r="V1859" s="89" t="n"/>
      <c r="W1859" s="88" t="n"/>
      <c r="X1859" s="89" t="n"/>
      <c r="Y1859" s="88" t="n"/>
      <c r="Z1859" s="89" t="n"/>
      <c r="AB1859" s="30">
        <f>IF($B1859="","",(COUNTIF(C1859:E1859,"?*")&lt;N(INDEX(Setup!$L$6:$L$23,2)))+(COUNTIF(G1859:I1859,"?*")&lt;N(INDEX(Setup!$L$6:$L$23,2)))+(COUNTIF(K1859:M1859,"?*")&lt;N(INDEX(Setup!$L$6:$L$23,2)))+(COUNTIF(O1859:Q1859,"?*")&lt;N(INDEX(Setup!$L$6:$L$23,2)))+(COUNTIF(S1859:U1859,"?*")&lt;N(INDEX(Setup!$L$6:$L$23,2)))+((W1859="")*(INDEX(Setup!$M$6:$M$23,2)="Y"))+((Y1859="")*(INDEX(Setup!$M$6:$M$23,2)="Y")))</f>
        <v/>
      </c>
      <c r="AC1859" s="91">
        <f>IF($B1859="","",IF(AB1859=0,"✓ covered","⚠ "&amp;AB1859&amp;IF(AB1859=1," gap"," gaps")))</f>
        <v/>
      </c>
    </row>
    <row r="1860" ht="17" customHeight="1">
      <c r="A1860" t="n">
        <v>38</v>
      </c>
      <c r="B1860" s="24">
        <f>IF(Setup!$K$8="","",Setup!$K$8)</f>
        <v/>
      </c>
      <c r="C1860" s="88" t="n"/>
      <c r="D1860" s="88" t="n"/>
      <c r="E1860" s="88" t="n"/>
      <c r="F1860" s="89" t="n"/>
      <c r="G1860" s="88" t="n"/>
      <c r="H1860" s="88" t="n"/>
      <c r="I1860" s="88" t="n"/>
      <c r="J1860" s="89" t="n"/>
      <c r="K1860" s="88" t="n"/>
      <c r="L1860" s="88" t="n"/>
      <c r="M1860" s="88" t="n"/>
      <c r="N1860" s="89" t="n"/>
      <c r="O1860" s="88" t="n"/>
      <c r="P1860" s="88" t="n"/>
      <c r="Q1860" s="88" t="n"/>
      <c r="R1860" s="89" t="n"/>
      <c r="S1860" s="88" t="n"/>
      <c r="T1860" s="88" t="n"/>
      <c r="U1860" s="88" t="n"/>
      <c r="V1860" s="89" t="n"/>
      <c r="W1860" s="88" t="n"/>
      <c r="X1860" s="89" t="n"/>
      <c r="Y1860" s="88" t="n"/>
      <c r="Z1860" s="89" t="n"/>
      <c r="AB1860" s="25">
        <f>IF($B1860="","",(COUNTIF(C1860:E1860,"?*")&lt;N(INDEX(Setup!$L$6:$L$23,3)))+(COUNTIF(G1860:I1860,"?*")&lt;N(INDEX(Setup!$L$6:$L$23,3)))+(COUNTIF(K1860:M1860,"?*")&lt;N(INDEX(Setup!$L$6:$L$23,3)))+(COUNTIF(O1860:Q1860,"?*")&lt;N(INDEX(Setup!$L$6:$L$23,3)))+(COUNTIF(S1860:U1860,"?*")&lt;N(INDEX(Setup!$L$6:$L$23,3)))+((W1860="")*(INDEX(Setup!$M$6:$M$23,3)="Y"))+((Y1860="")*(INDEX(Setup!$M$6:$M$23,3)="Y")))</f>
        <v/>
      </c>
      <c r="AC1860" s="90">
        <f>IF($B1860="","",IF(AB1860=0,"✓ covered","⚠ "&amp;AB1860&amp;IF(AB1860=1," gap"," gaps")))</f>
        <v/>
      </c>
    </row>
    <row r="1861" ht="17" customHeight="1">
      <c r="A1861" t="n">
        <v>38</v>
      </c>
      <c r="B1861" s="29">
        <f>IF(Setup!$K$9="","",Setup!$K$9)</f>
        <v/>
      </c>
      <c r="C1861" s="88" t="n"/>
      <c r="D1861" s="88" t="n"/>
      <c r="E1861" s="88" t="n"/>
      <c r="F1861" s="89" t="n"/>
      <c r="G1861" s="88" t="n"/>
      <c r="H1861" s="88" t="n"/>
      <c r="I1861" s="88" t="n"/>
      <c r="J1861" s="89" t="n"/>
      <c r="K1861" s="88" t="n"/>
      <c r="L1861" s="88" t="n"/>
      <c r="M1861" s="88" t="n"/>
      <c r="N1861" s="89" t="n"/>
      <c r="O1861" s="88" t="n"/>
      <c r="P1861" s="88" t="n"/>
      <c r="Q1861" s="88" t="n"/>
      <c r="R1861" s="89" t="n"/>
      <c r="S1861" s="88" t="n"/>
      <c r="T1861" s="88" t="n"/>
      <c r="U1861" s="88" t="n"/>
      <c r="V1861" s="89" t="n"/>
      <c r="W1861" s="88" t="n"/>
      <c r="X1861" s="89" t="n"/>
      <c r="Y1861" s="88" t="n"/>
      <c r="Z1861" s="89" t="n"/>
      <c r="AB1861" s="30">
        <f>IF($B1861="","",(COUNTIF(C1861:E1861,"?*")&lt;N(INDEX(Setup!$L$6:$L$23,4)))+(COUNTIF(G1861:I1861,"?*")&lt;N(INDEX(Setup!$L$6:$L$23,4)))+(COUNTIF(K1861:M1861,"?*")&lt;N(INDEX(Setup!$L$6:$L$23,4)))+(COUNTIF(O1861:Q1861,"?*")&lt;N(INDEX(Setup!$L$6:$L$23,4)))+(COUNTIF(S1861:U1861,"?*")&lt;N(INDEX(Setup!$L$6:$L$23,4)))+((W1861="")*(INDEX(Setup!$M$6:$M$23,4)="Y"))+((Y1861="")*(INDEX(Setup!$M$6:$M$23,4)="Y")))</f>
        <v/>
      </c>
      <c r="AC1861" s="91">
        <f>IF($B1861="","",IF(AB1861=0,"✓ covered","⚠ "&amp;AB1861&amp;IF(AB1861=1," gap"," gaps")))</f>
        <v/>
      </c>
    </row>
    <row r="1862" ht="17" customHeight="1">
      <c r="A1862" t="n">
        <v>38</v>
      </c>
      <c r="B1862" s="24">
        <f>IF(Setup!$K$10="","",Setup!$K$10)</f>
        <v/>
      </c>
      <c r="C1862" s="88" t="n"/>
      <c r="D1862" s="88" t="n"/>
      <c r="E1862" s="88" t="n"/>
      <c r="F1862" s="89" t="n"/>
      <c r="G1862" s="88" t="n"/>
      <c r="H1862" s="88" t="n"/>
      <c r="I1862" s="88" t="n"/>
      <c r="J1862" s="89" t="n"/>
      <c r="K1862" s="88" t="n"/>
      <c r="L1862" s="88" t="n"/>
      <c r="M1862" s="88" t="n"/>
      <c r="N1862" s="89" t="n"/>
      <c r="O1862" s="88" t="n"/>
      <c r="P1862" s="88" t="n"/>
      <c r="Q1862" s="88" t="n"/>
      <c r="R1862" s="89" t="n"/>
      <c r="S1862" s="88" t="n"/>
      <c r="T1862" s="88" t="n"/>
      <c r="U1862" s="88" t="n"/>
      <c r="V1862" s="89" t="n"/>
      <c r="W1862" s="88" t="n"/>
      <c r="X1862" s="89" t="n"/>
      <c r="Y1862" s="88" t="n"/>
      <c r="Z1862" s="89" t="n"/>
      <c r="AB1862" s="25">
        <f>IF($B1862="","",(COUNTIF(C1862:E1862,"?*")&lt;N(INDEX(Setup!$L$6:$L$23,5)))+(COUNTIF(G1862:I1862,"?*")&lt;N(INDEX(Setup!$L$6:$L$23,5)))+(COUNTIF(K1862:M1862,"?*")&lt;N(INDEX(Setup!$L$6:$L$23,5)))+(COUNTIF(O1862:Q1862,"?*")&lt;N(INDEX(Setup!$L$6:$L$23,5)))+(COUNTIF(S1862:U1862,"?*")&lt;N(INDEX(Setup!$L$6:$L$23,5)))+((W1862="")*(INDEX(Setup!$M$6:$M$23,5)="Y"))+((Y1862="")*(INDEX(Setup!$M$6:$M$23,5)="Y")))</f>
        <v/>
      </c>
      <c r="AC1862" s="90">
        <f>IF($B1862="","",IF(AB1862=0,"✓ covered","⚠ "&amp;AB1862&amp;IF(AB1862=1," gap"," gaps")))</f>
        <v/>
      </c>
    </row>
    <row r="1863" ht="17" customHeight="1">
      <c r="A1863" t="n">
        <v>38</v>
      </c>
      <c r="B1863" s="29">
        <f>IF(Setup!$K$11="","",Setup!$K$11)</f>
        <v/>
      </c>
      <c r="C1863" s="88" t="n"/>
      <c r="D1863" s="88" t="n"/>
      <c r="E1863" s="88" t="n"/>
      <c r="F1863" s="89" t="n"/>
      <c r="G1863" s="88" t="n"/>
      <c r="H1863" s="88" t="n"/>
      <c r="I1863" s="88" t="n"/>
      <c r="J1863" s="89" t="n"/>
      <c r="K1863" s="88" t="n"/>
      <c r="L1863" s="88" t="n"/>
      <c r="M1863" s="88" t="n"/>
      <c r="N1863" s="89" t="n"/>
      <c r="O1863" s="88" t="n"/>
      <c r="P1863" s="88" t="n"/>
      <c r="Q1863" s="88" t="n"/>
      <c r="R1863" s="89" t="n"/>
      <c r="S1863" s="88" t="n"/>
      <c r="T1863" s="88" t="n"/>
      <c r="U1863" s="88" t="n"/>
      <c r="V1863" s="89" t="n"/>
      <c r="W1863" s="88" t="n"/>
      <c r="X1863" s="89" t="n"/>
      <c r="Y1863" s="88" t="n"/>
      <c r="Z1863" s="89" t="n"/>
      <c r="AB1863" s="30">
        <f>IF($B1863="","",(COUNTIF(C1863:E1863,"?*")&lt;N(INDEX(Setup!$L$6:$L$23,6)))+(COUNTIF(G1863:I1863,"?*")&lt;N(INDEX(Setup!$L$6:$L$23,6)))+(COUNTIF(K1863:M1863,"?*")&lt;N(INDEX(Setup!$L$6:$L$23,6)))+(COUNTIF(O1863:Q1863,"?*")&lt;N(INDEX(Setup!$L$6:$L$23,6)))+(COUNTIF(S1863:U1863,"?*")&lt;N(INDEX(Setup!$L$6:$L$23,6)))+((W1863="")*(INDEX(Setup!$M$6:$M$23,6)="Y"))+((Y1863="")*(INDEX(Setup!$M$6:$M$23,6)="Y")))</f>
        <v/>
      </c>
      <c r="AC1863" s="91">
        <f>IF($B1863="","",IF(AB1863=0,"✓ covered","⚠ "&amp;AB1863&amp;IF(AB1863=1," gap"," gaps")))</f>
        <v/>
      </c>
    </row>
    <row r="1864" ht="17" customHeight="1">
      <c r="A1864" t="n">
        <v>38</v>
      </c>
      <c r="B1864" s="24">
        <f>IF(Setup!$K$12="","",Setup!$K$12)</f>
        <v/>
      </c>
      <c r="C1864" s="88" t="n"/>
      <c r="D1864" s="88" t="n"/>
      <c r="E1864" s="88" t="n"/>
      <c r="F1864" s="89" t="n"/>
      <c r="G1864" s="88" t="n"/>
      <c r="H1864" s="88" t="n"/>
      <c r="I1864" s="88" t="n"/>
      <c r="J1864" s="89" t="n"/>
      <c r="K1864" s="88" t="n"/>
      <c r="L1864" s="88" t="n"/>
      <c r="M1864" s="88" t="n"/>
      <c r="N1864" s="89" t="n"/>
      <c r="O1864" s="88" t="n"/>
      <c r="P1864" s="88" t="n"/>
      <c r="Q1864" s="88" t="n"/>
      <c r="R1864" s="89" t="n"/>
      <c r="S1864" s="88" t="n"/>
      <c r="T1864" s="88" t="n"/>
      <c r="U1864" s="88" t="n"/>
      <c r="V1864" s="89" t="n"/>
      <c r="W1864" s="88" t="n"/>
      <c r="X1864" s="89" t="n"/>
      <c r="Y1864" s="88" t="n"/>
      <c r="Z1864" s="89" t="n"/>
      <c r="AB1864" s="25">
        <f>IF($B1864="","",(COUNTIF(C1864:E1864,"?*")&lt;N(INDEX(Setup!$L$6:$L$23,7)))+(COUNTIF(G1864:I1864,"?*")&lt;N(INDEX(Setup!$L$6:$L$23,7)))+(COUNTIF(K1864:M1864,"?*")&lt;N(INDEX(Setup!$L$6:$L$23,7)))+(COUNTIF(O1864:Q1864,"?*")&lt;N(INDEX(Setup!$L$6:$L$23,7)))+(COUNTIF(S1864:U1864,"?*")&lt;N(INDEX(Setup!$L$6:$L$23,7)))+((W1864="")*(INDEX(Setup!$M$6:$M$23,7)="Y"))+((Y1864="")*(INDEX(Setup!$M$6:$M$23,7)="Y")))</f>
        <v/>
      </c>
      <c r="AC1864" s="90">
        <f>IF($B1864="","",IF(AB1864=0,"✓ covered","⚠ "&amp;AB1864&amp;IF(AB1864=1," gap"," gaps")))</f>
        <v/>
      </c>
    </row>
    <row r="1865" ht="17" customHeight="1">
      <c r="A1865" t="n">
        <v>38</v>
      </c>
      <c r="B1865" s="29">
        <f>IF(Setup!$K$13="","",Setup!$K$13)</f>
        <v/>
      </c>
      <c r="C1865" s="88" t="n"/>
      <c r="D1865" s="88" t="n"/>
      <c r="E1865" s="88" t="n"/>
      <c r="F1865" s="89" t="n"/>
      <c r="G1865" s="88" t="n"/>
      <c r="H1865" s="88" t="n"/>
      <c r="I1865" s="88" t="n"/>
      <c r="J1865" s="89" t="n"/>
      <c r="K1865" s="88" t="n"/>
      <c r="L1865" s="88" t="n"/>
      <c r="M1865" s="88" t="n"/>
      <c r="N1865" s="89" t="n"/>
      <c r="O1865" s="88" t="n"/>
      <c r="P1865" s="88" t="n"/>
      <c r="Q1865" s="88" t="n"/>
      <c r="R1865" s="89" t="n"/>
      <c r="S1865" s="88" t="n"/>
      <c r="T1865" s="88" t="n"/>
      <c r="U1865" s="88" t="n"/>
      <c r="V1865" s="89" t="n"/>
      <c r="W1865" s="88" t="n"/>
      <c r="X1865" s="89" t="n"/>
      <c r="Y1865" s="88" t="n"/>
      <c r="Z1865" s="89" t="n"/>
      <c r="AB1865" s="30">
        <f>IF($B1865="","",(COUNTIF(C1865:E1865,"?*")&lt;N(INDEX(Setup!$L$6:$L$23,8)))+(COUNTIF(G1865:I1865,"?*")&lt;N(INDEX(Setup!$L$6:$L$23,8)))+(COUNTIF(K1865:M1865,"?*")&lt;N(INDEX(Setup!$L$6:$L$23,8)))+(COUNTIF(O1865:Q1865,"?*")&lt;N(INDEX(Setup!$L$6:$L$23,8)))+(COUNTIF(S1865:U1865,"?*")&lt;N(INDEX(Setup!$L$6:$L$23,8)))+((W1865="")*(INDEX(Setup!$M$6:$M$23,8)="Y"))+((Y1865="")*(INDEX(Setup!$M$6:$M$23,8)="Y")))</f>
        <v/>
      </c>
      <c r="AC1865" s="91">
        <f>IF($B1865="","",IF(AB1865=0,"✓ covered","⚠ "&amp;AB1865&amp;IF(AB1865=1," gap"," gaps")))</f>
        <v/>
      </c>
    </row>
    <row r="1866" ht="17" customHeight="1">
      <c r="A1866" t="n">
        <v>38</v>
      </c>
      <c r="B1866" s="24">
        <f>IF(Setup!$K$14="","",Setup!$K$14)</f>
        <v/>
      </c>
      <c r="C1866" s="88" t="n"/>
      <c r="D1866" s="88" t="n"/>
      <c r="E1866" s="88" t="n"/>
      <c r="F1866" s="89" t="n"/>
      <c r="G1866" s="88" t="n"/>
      <c r="H1866" s="88" t="n"/>
      <c r="I1866" s="88" t="n"/>
      <c r="J1866" s="89" t="n"/>
      <c r="K1866" s="88" t="n"/>
      <c r="L1866" s="88" t="n"/>
      <c r="M1866" s="88" t="n"/>
      <c r="N1866" s="89" t="n"/>
      <c r="O1866" s="88" t="n"/>
      <c r="P1866" s="88" t="n"/>
      <c r="Q1866" s="88" t="n"/>
      <c r="R1866" s="89" t="n"/>
      <c r="S1866" s="88" t="n"/>
      <c r="T1866" s="88" t="n"/>
      <c r="U1866" s="88" t="n"/>
      <c r="V1866" s="89" t="n"/>
      <c r="W1866" s="88" t="n"/>
      <c r="X1866" s="89" t="n"/>
      <c r="Y1866" s="88" t="n"/>
      <c r="Z1866" s="89" t="n"/>
      <c r="AB1866" s="25">
        <f>IF($B1866="","",(COUNTIF(C1866:E1866,"?*")&lt;N(INDEX(Setup!$L$6:$L$23,9)))+(COUNTIF(G1866:I1866,"?*")&lt;N(INDEX(Setup!$L$6:$L$23,9)))+(COUNTIF(K1866:M1866,"?*")&lt;N(INDEX(Setup!$L$6:$L$23,9)))+(COUNTIF(O1866:Q1866,"?*")&lt;N(INDEX(Setup!$L$6:$L$23,9)))+(COUNTIF(S1866:U1866,"?*")&lt;N(INDEX(Setup!$L$6:$L$23,9)))+((W1866="")*(INDEX(Setup!$M$6:$M$23,9)="Y"))+((Y1866="")*(INDEX(Setup!$M$6:$M$23,9)="Y")))</f>
        <v/>
      </c>
      <c r="AC1866" s="90">
        <f>IF($B1866="","",IF(AB1866=0,"✓ covered","⚠ "&amp;AB1866&amp;IF(AB1866=1," gap"," gaps")))</f>
        <v/>
      </c>
    </row>
    <row r="1867" ht="17" customHeight="1">
      <c r="A1867" t="n">
        <v>38</v>
      </c>
      <c r="B1867" s="29">
        <f>IF(Setup!$K$15="","",Setup!$K$15)</f>
        <v/>
      </c>
      <c r="C1867" s="88" t="n"/>
      <c r="D1867" s="88" t="n"/>
      <c r="E1867" s="88" t="n"/>
      <c r="F1867" s="89" t="n"/>
      <c r="G1867" s="88" t="n"/>
      <c r="H1867" s="88" t="n"/>
      <c r="I1867" s="88" t="n"/>
      <c r="J1867" s="89" t="n"/>
      <c r="K1867" s="88" t="n"/>
      <c r="L1867" s="88" t="n"/>
      <c r="M1867" s="88" t="n"/>
      <c r="N1867" s="89" t="n"/>
      <c r="O1867" s="88" t="n"/>
      <c r="P1867" s="88" t="n"/>
      <c r="Q1867" s="88" t="n"/>
      <c r="R1867" s="89" t="n"/>
      <c r="S1867" s="88" t="n"/>
      <c r="T1867" s="88" t="n"/>
      <c r="U1867" s="88" t="n"/>
      <c r="V1867" s="89" t="n"/>
      <c r="W1867" s="88" t="n"/>
      <c r="X1867" s="89" t="n"/>
      <c r="Y1867" s="88" t="n"/>
      <c r="Z1867" s="89" t="n"/>
      <c r="AB1867" s="30">
        <f>IF($B1867="","",(COUNTIF(C1867:E1867,"?*")&lt;N(INDEX(Setup!$L$6:$L$23,10)))+(COUNTIF(G1867:I1867,"?*")&lt;N(INDEX(Setup!$L$6:$L$23,10)))+(COUNTIF(K1867:M1867,"?*")&lt;N(INDEX(Setup!$L$6:$L$23,10)))+(COUNTIF(O1867:Q1867,"?*")&lt;N(INDEX(Setup!$L$6:$L$23,10)))+(COUNTIF(S1867:U1867,"?*")&lt;N(INDEX(Setup!$L$6:$L$23,10)))+((W1867="")*(INDEX(Setup!$M$6:$M$23,10)="Y"))+((Y1867="")*(INDEX(Setup!$M$6:$M$23,10)="Y")))</f>
        <v/>
      </c>
      <c r="AC1867" s="91">
        <f>IF($B1867="","",IF(AB1867=0,"✓ covered","⚠ "&amp;AB1867&amp;IF(AB1867=1," gap"," gaps")))</f>
        <v/>
      </c>
    </row>
    <row r="1868" ht="17" customHeight="1">
      <c r="A1868" t="n">
        <v>38</v>
      </c>
      <c r="B1868" s="24">
        <f>IF(Setup!$K$16="","",Setup!$K$16)</f>
        <v/>
      </c>
      <c r="C1868" s="88" t="n"/>
      <c r="D1868" s="88" t="n"/>
      <c r="E1868" s="88" t="n"/>
      <c r="F1868" s="89" t="n"/>
      <c r="G1868" s="88" t="n"/>
      <c r="H1868" s="88" t="n"/>
      <c r="I1868" s="88" t="n"/>
      <c r="J1868" s="89" t="n"/>
      <c r="K1868" s="88" t="n"/>
      <c r="L1868" s="88" t="n"/>
      <c r="M1868" s="88" t="n"/>
      <c r="N1868" s="89" t="n"/>
      <c r="O1868" s="88" t="n"/>
      <c r="P1868" s="88" t="n"/>
      <c r="Q1868" s="88" t="n"/>
      <c r="R1868" s="89" t="n"/>
      <c r="S1868" s="88" t="n"/>
      <c r="T1868" s="88" t="n"/>
      <c r="U1868" s="88" t="n"/>
      <c r="V1868" s="89" t="n"/>
      <c r="W1868" s="88" t="n"/>
      <c r="X1868" s="89" t="n"/>
      <c r="Y1868" s="88" t="n"/>
      <c r="Z1868" s="89" t="n"/>
      <c r="AB1868" s="25">
        <f>IF($B1868="","",(COUNTIF(C1868:E1868,"?*")&lt;N(INDEX(Setup!$L$6:$L$23,11)))+(COUNTIF(G1868:I1868,"?*")&lt;N(INDEX(Setup!$L$6:$L$23,11)))+(COUNTIF(K1868:M1868,"?*")&lt;N(INDEX(Setup!$L$6:$L$23,11)))+(COUNTIF(O1868:Q1868,"?*")&lt;N(INDEX(Setup!$L$6:$L$23,11)))+(COUNTIF(S1868:U1868,"?*")&lt;N(INDEX(Setup!$L$6:$L$23,11)))+((W1868="")*(INDEX(Setup!$M$6:$M$23,11)="Y"))+((Y1868="")*(INDEX(Setup!$M$6:$M$23,11)="Y")))</f>
        <v/>
      </c>
      <c r="AC1868" s="90">
        <f>IF($B1868="","",IF(AB1868=0,"✓ covered","⚠ "&amp;AB1868&amp;IF(AB1868=1," gap"," gaps")))</f>
        <v/>
      </c>
    </row>
    <row r="1869" ht="17" customHeight="1">
      <c r="A1869" t="n">
        <v>38</v>
      </c>
      <c r="B1869" s="29">
        <f>IF(Setup!$K$17="","",Setup!$K$17)</f>
        <v/>
      </c>
      <c r="C1869" s="88" t="n"/>
      <c r="D1869" s="88" t="n"/>
      <c r="E1869" s="88" t="n"/>
      <c r="F1869" s="89" t="n"/>
      <c r="G1869" s="88" t="n"/>
      <c r="H1869" s="88" t="n"/>
      <c r="I1869" s="88" t="n"/>
      <c r="J1869" s="89" t="n"/>
      <c r="K1869" s="88" t="n"/>
      <c r="L1869" s="88" t="n"/>
      <c r="M1869" s="88" t="n"/>
      <c r="N1869" s="89" t="n"/>
      <c r="O1869" s="88" t="n"/>
      <c r="P1869" s="88" t="n"/>
      <c r="Q1869" s="88" t="n"/>
      <c r="R1869" s="89" t="n"/>
      <c r="S1869" s="88" t="n"/>
      <c r="T1869" s="88" t="n"/>
      <c r="U1869" s="88" t="n"/>
      <c r="V1869" s="89" t="n"/>
      <c r="W1869" s="88" t="n"/>
      <c r="X1869" s="89" t="n"/>
      <c r="Y1869" s="88" t="n"/>
      <c r="Z1869" s="89" t="n"/>
      <c r="AB1869" s="30">
        <f>IF($B1869="","",(COUNTIF(C1869:E1869,"?*")&lt;N(INDEX(Setup!$L$6:$L$23,12)))+(COUNTIF(G1869:I1869,"?*")&lt;N(INDEX(Setup!$L$6:$L$23,12)))+(COUNTIF(K1869:M1869,"?*")&lt;N(INDEX(Setup!$L$6:$L$23,12)))+(COUNTIF(O1869:Q1869,"?*")&lt;N(INDEX(Setup!$L$6:$L$23,12)))+(COUNTIF(S1869:U1869,"?*")&lt;N(INDEX(Setup!$L$6:$L$23,12)))+((W1869="")*(INDEX(Setup!$M$6:$M$23,12)="Y"))+((Y1869="")*(INDEX(Setup!$M$6:$M$23,12)="Y")))</f>
        <v/>
      </c>
      <c r="AC1869" s="91">
        <f>IF($B1869="","",IF(AB1869=0,"✓ covered","⚠ "&amp;AB1869&amp;IF(AB1869=1," gap"," gaps")))</f>
        <v/>
      </c>
    </row>
    <row r="1870" ht="17" customHeight="1">
      <c r="A1870" t="n">
        <v>38</v>
      </c>
      <c r="B1870" s="24">
        <f>IF(Setup!$K$18="","",Setup!$K$18)</f>
        <v/>
      </c>
      <c r="C1870" s="88" t="n"/>
      <c r="D1870" s="88" t="n"/>
      <c r="E1870" s="88" t="n"/>
      <c r="F1870" s="89" t="n"/>
      <c r="G1870" s="88" t="n"/>
      <c r="H1870" s="88" t="n"/>
      <c r="I1870" s="88" t="n"/>
      <c r="J1870" s="89" t="n"/>
      <c r="K1870" s="88" t="n"/>
      <c r="L1870" s="88" t="n"/>
      <c r="M1870" s="88" t="n"/>
      <c r="N1870" s="89" t="n"/>
      <c r="O1870" s="88" t="n"/>
      <c r="P1870" s="88" t="n"/>
      <c r="Q1870" s="88" t="n"/>
      <c r="R1870" s="89" t="n"/>
      <c r="S1870" s="88" t="n"/>
      <c r="T1870" s="88" t="n"/>
      <c r="U1870" s="88" t="n"/>
      <c r="V1870" s="89" t="n"/>
      <c r="W1870" s="88" t="n"/>
      <c r="X1870" s="89" t="n"/>
      <c r="Y1870" s="88" t="n"/>
      <c r="Z1870" s="89" t="n"/>
      <c r="AB1870" s="25">
        <f>IF($B1870="","",(COUNTIF(C1870:E1870,"?*")&lt;N(INDEX(Setup!$L$6:$L$23,13)))+(COUNTIF(G1870:I1870,"?*")&lt;N(INDEX(Setup!$L$6:$L$23,13)))+(COUNTIF(K1870:M1870,"?*")&lt;N(INDEX(Setup!$L$6:$L$23,13)))+(COUNTIF(O1870:Q1870,"?*")&lt;N(INDEX(Setup!$L$6:$L$23,13)))+(COUNTIF(S1870:U1870,"?*")&lt;N(INDEX(Setup!$L$6:$L$23,13)))+((W1870="")*(INDEX(Setup!$M$6:$M$23,13)="Y"))+((Y1870="")*(INDEX(Setup!$M$6:$M$23,13)="Y")))</f>
        <v/>
      </c>
      <c r="AC1870" s="90">
        <f>IF($B1870="","",IF(AB1870=0,"✓ covered","⚠ "&amp;AB1870&amp;IF(AB1870=1," gap"," gaps")))</f>
        <v/>
      </c>
    </row>
    <row r="1871" ht="17" customHeight="1">
      <c r="A1871" t="n">
        <v>38</v>
      </c>
      <c r="B1871" s="29">
        <f>IF(Setup!$K$19="","",Setup!$K$19)</f>
        <v/>
      </c>
      <c r="C1871" s="88" t="n"/>
      <c r="D1871" s="88" t="n"/>
      <c r="E1871" s="88" t="n"/>
      <c r="F1871" s="89" t="n"/>
      <c r="G1871" s="88" t="n"/>
      <c r="H1871" s="88" t="n"/>
      <c r="I1871" s="88" t="n"/>
      <c r="J1871" s="89" t="n"/>
      <c r="K1871" s="88" t="n"/>
      <c r="L1871" s="88" t="n"/>
      <c r="M1871" s="88" t="n"/>
      <c r="N1871" s="89" t="n"/>
      <c r="O1871" s="88" t="n"/>
      <c r="P1871" s="88" t="n"/>
      <c r="Q1871" s="88" t="n"/>
      <c r="R1871" s="89" t="n"/>
      <c r="S1871" s="88" t="n"/>
      <c r="T1871" s="88" t="n"/>
      <c r="U1871" s="88" t="n"/>
      <c r="V1871" s="89" t="n"/>
      <c r="W1871" s="88" t="n"/>
      <c r="X1871" s="89" t="n"/>
      <c r="Y1871" s="88" t="n"/>
      <c r="Z1871" s="89" t="n"/>
      <c r="AB1871" s="30">
        <f>IF($B1871="","",(COUNTIF(C1871:E1871,"?*")&lt;N(INDEX(Setup!$L$6:$L$23,14)))+(COUNTIF(G1871:I1871,"?*")&lt;N(INDEX(Setup!$L$6:$L$23,14)))+(COUNTIF(K1871:M1871,"?*")&lt;N(INDEX(Setup!$L$6:$L$23,14)))+(COUNTIF(O1871:Q1871,"?*")&lt;N(INDEX(Setup!$L$6:$L$23,14)))+(COUNTIF(S1871:U1871,"?*")&lt;N(INDEX(Setup!$L$6:$L$23,14)))+((W1871="")*(INDEX(Setup!$M$6:$M$23,14)="Y"))+((Y1871="")*(INDEX(Setup!$M$6:$M$23,14)="Y")))</f>
        <v/>
      </c>
      <c r="AC1871" s="91">
        <f>IF($B1871="","",IF(AB1871=0,"✓ covered","⚠ "&amp;AB1871&amp;IF(AB1871=1," gap"," gaps")))</f>
        <v/>
      </c>
    </row>
    <row r="1872" ht="17" customHeight="1">
      <c r="A1872" t="n">
        <v>38</v>
      </c>
      <c r="B1872" s="24">
        <f>IF(Setup!$K$20="","",Setup!$K$20)</f>
        <v/>
      </c>
      <c r="C1872" s="88" t="n"/>
      <c r="D1872" s="88" t="n"/>
      <c r="E1872" s="88" t="n"/>
      <c r="F1872" s="89" t="n"/>
      <c r="G1872" s="88" t="n"/>
      <c r="H1872" s="88" t="n"/>
      <c r="I1872" s="88" t="n"/>
      <c r="J1872" s="89" t="n"/>
      <c r="K1872" s="88" t="n"/>
      <c r="L1872" s="88" t="n"/>
      <c r="M1872" s="88" t="n"/>
      <c r="N1872" s="89" t="n"/>
      <c r="O1872" s="88" t="n"/>
      <c r="P1872" s="88" t="n"/>
      <c r="Q1872" s="88" t="n"/>
      <c r="R1872" s="89" t="n"/>
      <c r="S1872" s="88" t="n"/>
      <c r="T1872" s="88" t="n"/>
      <c r="U1872" s="88" t="n"/>
      <c r="V1872" s="89" t="n"/>
      <c r="W1872" s="88" t="n"/>
      <c r="X1872" s="89" t="n"/>
      <c r="Y1872" s="88" t="n"/>
      <c r="Z1872" s="89" t="n"/>
      <c r="AB1872" s="25">
        <f>IF($B1872="","",(COUNTIF(C1872:E1872,"?*")&lt;N(INDEX(Setup!$L$6:$L$23,15)))+(COUNTIF(G1872:I1872,"?*")&lt;N(INDEX(Setup!$L$6:$L$23,15)))+(COUNTIF(K1872:M1872,"?*")&lt;N(INDEX(Setup!$L$6:$L$23,15)))+(COUNTIF(O1872:Q1872,"?*")&lt;N(INDEX(Setup!$L$6:$L$23,15)))+(COUNTIF(S1872:U1872,"?*")&lt;N(INDEX(Setup!$L$6:$L$23,15)))+((W1872="")*(INDEX(Setup!$M$6:$M$23,15)="Y"))+((Y1872="")*(INDEX(Setup!$M$6:$M$23,15)="Y")))</f>
        <v/>
      </c>
      <c r="AC1872" s="90">
        <f>IF($B1872="","",IF(AB1872=0,"✓ covered","⚠ "&amp;AB1872&amp;IF(AB1872=1," gap"," gaps")))</f>
        <v/>
      </c>
    </row>
    <row r="1873" ht="17" customHeight="1">
      <c r="A1873" t="n">
        <v>38</v>
      </c>
      <c r="B1873" s="29">
        <f>IF(Setup!$K$21="","",Setup!$K$21)</f>
        <v/>
      </c>
      <c r="C1873" s="88" t="n"/>
      <c r="D1873" s="88" t="n"/>
      <c r="E1873" s="88" t="n"/>
      <c r="F1873" s="89" t="n"/>
      <c r="G1873" s="88" t="n"/>
      <c r="H1873" s="88" t="n"/>
      <c r="I1873" s="88" t="n"/>
      <c r="J1873" s="89" t="n"/>
      <c r="K1873" s="88" t="n"/>
      <c r="L1873" s="88" t="n"/>
      <c r="M1873" s="88" t="n"/>
      <c r="N1873" s="89" t="n"/>
      <c r="O1873" s="88" t="n"/>
      <c r="P1873" s="88" t="n"/>
      <c r="Q1873" s="88" t="n"/>
      <c r="R1873" s="89" t="n"/>
      <c r="S1873" s="88" t="n"/>
      <c r="T1873" s="88" t="n"/>
      <c r="U1873" s="88" t="n"/>
      <c r="V1873" s="89" t="n"/>
      <c r="W1873" s="88" t="n"/>
      <c r="X1873" s="89" t="n"/>
      <c r="Y1873" s="88" t="n"/>
      <c r="Z1873" s="89" t="n"/>
      <c r="AB1873" s="30">
        <f>IF($B1873="","",(COUNTIF(C1873:E1873,"?*")&lt;N(INDEX(Setup!$L$6:$L$23,16)))+(COUNTIF(G1873:I1873,"?*")&lt;N(INDEX(Setup!$L$6:$L$23,16)))+(COUNTIF(K1873:M1873,"?*")&lt;N(INDEX(Setup!$L$6:$L$23,16)))+(COUNTIF(O1873:Q1873,"?*")&lt;N(INDEX(Setup!$L$6:$L$23,16)))+(COUNTIF(S1873:U1873,"?*")&lt;N(INDEX(Setup!$L$6:$L$23,16)))+((W1873="")*(INDEX(Setup!$M$6:$M$23,16)="Y"))+((Y1873="")*(INDEX(Setup!$M$6:$M$23,16)="Y")))</f>
        <v/>
      </c>
      <c r="AC1873" s="91">
        <f>IF($B1873="","",IF(AB1873=0,"✓ covered","⚠ "&amp;AB1873&amp;IF(AB1873=1," gap"," gaps")))</f>
        <v/>
      </c>
    </row>
    <row r="1874" ht="17" customHeight="1">
      <c r="A1874" t="n">
        <v>38</v>
      </c>
      <c r="B1874" s="24">
        <f>IF(Setup!$K$22="","",Setup!$K$22)</f>
        <v/>
      </c>
      <c r="C1874" s="88" t="n"/>
      <c r="D1874" s="88" t="n"/>
      <c r="E1874" s="88" t="n"/>
      <c r="F1874" s="89" t="n"/>
      <c r="G1874" s="88" t="n"/>
      <c r="H1874" s="88" t="n"/>
      <c r="I1874" s="88" t="n"/>
      <c r="J1874" s="89" t="n"/>
      <c r="K1874" s="88" t="n"/>
      <c r="L1874" s="88" t="n"/>
      <c r="M1874" s="88" t="n"/>
      <c r="N1874" s="89" t="n"/>
      <c r="O1874" s="88" t="n"/>
      <c r="P1874" s="88" t="n"/>
      <c r="Q1874" s="88" t="n"/>
      <c r="R1874" s="89" t="n"/>
      <c r="S1874" s="88" t="n"/>
      <c r="T1874" s="88" t="n"/>
      <c r="U1874" s="88" t="n"/>
      <c r="V1874" s="89" t="n"/>
      <c r="W1874" s="88" t="n"/>
      <c r="X1874" s="89" t="n"/>
      <c r="Y1874" s="88" t="n"/>
      <c r="Z1874" s="89" t="n"/>
      <c r="AB1874" s="25">
        <f>IF($B1874="","",(COUNTIF(C1874:E1874,"?*")&lt;N(INDEX(Setup!$L$6:$L$23,17)))+(COUNTIF(G1874:I1874,"?*")&lt;N(INDEX(Setup!$L$6:$L$23,17)))+(COUNTIF(K1874:M1874,"?*")&lt;N(INDEX(Setup!$L$6:$L$23,17)))+(COUNTIF(O1874:Q1874,"?*")&lt;N(INDEX(Setup!$L$6:$L$23,17)))+(COUNTIF(S1874:U1874,"?*")&lt;N(INDEX(Setup!$L$6:$L$23,17)))+((W1874="")*(INDEX(Setup!$M$6:$M$23,17)="Y"))+((Y1874="")*(INDEX(Setup!$M$6:$M$23,17)="Y")))</f>
        <v/>
      </c>
      <c r="AC1874" s="90">
        <f>IF($B1874="","",IF(AB1874=0,"✓ covered","⚠ "&amp;AB1874&amp;IF(AB1874=1," gap"," gaps")))</f>
        <v/>
      </c>
    </row>
    <row r="1875" ht="17" customHeight="1">
      <c r="A1875" t="n">
        <v>38</v>
      </c>
      <c r="B1875" s="29">
        <f>IF(Setup!$K$23="","",Setup!$K$23)</f>
        <v/>
      </c>
      <c r="C1875" s="88" t="n"/>
      <c r="D1875" s="88" t="n"/>
      <c r="E1875" s="88" t="n"/>
      <c r="F1875" s="89" t="n"/>
      <c r="G1875" s="88" t="n"/>
      <c r="H1875" s="88" t="n"/>
      <c r="I1875" s="88" t="n"/>
      <c r="J1875" s="89" t="n"/>
      <c r="K1875" s="88" t="n"/>
      <c r="L1875" s="88" t="n"/>
      <c r="M1875" s="88" t="n"/>
      <c r="N1875" s="89" t="n"/>
      <c r="O1875" s="88" t="n"/>
      <c r="P1875" s="88" t="n"/>
      <c r="Q1875" s="88" t="n"/>
      <c r="R1875" s="89" t="n"/>
      <c r="S1875" s="88" t="n"/>
      <c r="T1875" s="88" t="n"/>
      <c r="U1875" s="88" t="n"/>
      <c r="V1875" s="89" t="n"/>
      <c r="W1875" s="88" t="n"/>
      <c r="X1875" s="89" t="n"/>
      <c r="Y1875" s="88" t="n"/>
      <c r="Z1875" s="89" t="n"/>
      <c r="AB1875" s="30">
        <f>IF($B1875="","",(COUNTIF(C1875:E1875,"?*")&lt;N(INDEX(Setup!$L$6:$L$23,18)))+(COUNTIF(G1875:I1875,"?*")&lt;N(INDEX(Setup!$L$6:$L$23,18)))+(COUNTIF(K1875:M1875,"?*")&lt;N(INDEX(Setup!$L$6:$L$23,18)))+(COUNTIF(O1875:Q1875,"?*")&lt;N(INDEX(Setup!$L$6:$L$23,18)))+(COUNTIF(S1875:U1875,"?*")&lt;N(INDEX(Setup!$L$6:$L$23,18)))+((W1875="")*(INDEX(Setup!$M$6:$M$23,18)="Y"))+((Y1875="")*(INDEX(Setup!$M$6:$M$23,18)="Y")))</f>
        <v/>
      </c>
      <c r="AC1875" s="91">
        <f>IF($B1875="","",IF(AB1875=0,"✓ covered","⚠ "&amp;AB1875&amp;IF(AB1875=1," gap"," gaps")))</f>
        <v/>
      </c>
    </row>
    <row r="1876" ht="18" customHeight="1">
      <c r="A1876" t="n">
        <v>38</v>
      </c>
      <c r="B1876" s="78" t="inlineStr">
        <is>
          <t>TEAM AVAILABILITY</t>
        </is>
      </c>
      <c r="C1876" s="92" t="inlineStr">
        <is>
          <t>Mon</t>
        </is>
      </c>
      <c r="D1876" s="93" t="n"/>
      <c r="E1876" s="93" t="n"/>
      <c r="F1876" s="94" t="n"/>
      <c r="G1876" s="92" t="inlineStr">
        <is>
          <t>Tue</t>
        </is>
      </c>
      <c r="H1876" s="93" t="n"/>
      <c r="I1876" s="93" t="n"/>
      <c r="J1876" s="94" t="n"/>
      <c r="K1876" s="92" t="inlineStr">
        <is>
          <t>Wed</t>
        </is>
      </c>
      <c r="L1876" s="93" t="n"/>
      <c r="M1876" s="93" t="n"/>
      <c r="N1876" s="94" t="n"/>
      <c r="O1876" s="92" t="inlineStr">
        <is>
          <t>Thu</t>
        </is>
      </c>
      <c r="P1876" s="93" t="n"/>
      <c r="Q1876" s="93" t="n"/>
      <c r="R1876" s="94" t="n"/>
      <c r="S1876" s="92" t="inlineStr">
        <is>
          <t>Fri</t>
        </is>
      </c>
      <c r="T1876" s="93" t="n"/>
      <c r="U1876" s="93" t="n"/>
      <c r="V1876" s="94" t="n"/>
      <c r="W1876" s="95" t="inlineStr">
        <is>
          <t>Sat</t>
        </is>
      </c>
      <c r="X1876" s="96" t="n"/>
      <c r="Y1876" s="95" t="inlineStr">
        <is>
          <t>Sun</t>
        </is>
      </c>
      <c r="Z1876" s="96" t="n"/>
      <c r="AB1876" s="97" t="inlineStr">
        <is>
          <t>Days rostered</t>
        </is>
      </c>
      <c r="AC1876" s="97" t="inlineStr">
        <is>
          <t>Conflicts</t>
        </is>
      </c>
    </row>
    <row r="1877" ht="15" customHeight="1">
      <c r="A1877" t="n">
        <v>38</v>
      </c>
      <c r="B1877" s="35">
        <f>IF(Setup!$B$6="","",Setup!$B$6)</f>
        <v/>
      </c>
      <c r="C1877" s="98" t="n"/>
      <c r="D1877" s="99" t="n"/>
      <c r="E1877" s="99" t="n"/>
      <c r="F1877" s="100" t="n"/>
      <c r="G1877" s="98" t="n"/>
      <c r="H1877" s="99" t="n"/>
      <c r="I1877" s="99" t="n"/>
      <c r="J1877" s="100" t="n"/>
      <c r="K1877" s="98" t="n"/>
      <c r="L1877" s="99" t="n"/>
      <c r="M1877" s="99" t="n"/>
      <c r="N1877" s="100" t="n"/>
      <c r="O1877" s="98" t="n"/>
      <c r="P1877" s="99" t="n"/>
      <c r="Q1877" s="99" t="n"/>
      <c r="R1877" s="100" t="n"/>
      <c r="S1877" s="98" t="n"/>
      <c r="T1877" s="99" t="n"/>
      <c r="U1877" s="99" t="n"/>
      <c r="V1877" s="100" t="n"/>
      <c r="W1877" s="98" t="n"/>
      <c r="X1877" s="100" t="n"/>
      <c r="Y1877" s="98" t="n"/>
      <c r="Z1877" s="100" t="n"/>
      <c r="AB1877" s="101">
        <f>IF($B1877="","",(COUNTIF(C1858:E1875,$B1877)+COUNTIF(C1858:E1875,$B1877&amp;" ~*")&gt;0)+(COUNTIF(G1858:I1875,$B1877)+COUNTIF(G1858:I1875,$B1877&amp;" ~*")&gt;0)+(COUNTIF(K1858:M1875,$B1877)+COUNTIF(K1858:M1875,$B1877&amp;" ~*")&gt;0)+(COUNTIF(O1858:Q1875,$B1877)+COUNTIF(O1858:Q1875,$B1877&amp;" ~*")&gt;0)+(COUNTIF(S1858:U1875,$B1877)+COUNTIF(S1858:U1875,$B1877&amp;" ~*")&gt;0)+(COUNTIF(W1858:W1875,$B1877)+COUNTIF(W1858:W1875,$B1877&amp;" ~*")&gt;0)+(COUNTIF(Y1858:Y1875,$B1877)+COUNTIF(Y1858:Y1875,$B1877&amp;" ~*")&gt;0))</f>
        <v/>
      </c>
      <c r="AC1877" s="36">
        <f>IF($B1877="","",(IFERROR(INDEX(Setup!$G$33:$G$40,MATCH(C1877,Setup!$B$33:$B$40,0)),0)=1)*(COUNTIF(C1858:E1875,$B1877)+COUNTIF(C1858:E1875,$B1877&amp;" ~*")&gt;0)+(IFERROR(INDEX(Setup!$G$33:$G$40,MATCH(G1877,Setup!$B$33:$B$40,0)),0)=1)*(COUNTIF(G1858:I1875,$B1877)+COUNTIF(G1858:I1875,$B1877&amp;" ~*")&gt;0)+(IFERROR(INDEX(Setup!$G$33:$G$40,MATCH(K1877,Setup!$B$33:$B$40,0)),0)=1)*(COUNTIF(K1858:M1875,$B1877)+COUNTIF(K1858:M1875,$B1877&amp;" ~*")&gt;0)+(IFERROR(INDEX(Setup!$G$33:$G$40,MATCH(O1877,Setup!$B$33:$B$40,0)),0)=1)*(COUNTIF(O1858:Q1875,$B1877)+COUNTIF(O1858:Q1875,$B1877&amp;" ~*")&gt;0)+(IFERROR(INDEX(Setup!$G$33:$G$40,MATCH(S1877,Setup!$B$33:$B$40,0)),0)=1)*(COUNTIF(S1858:U1875,$B1877)+COUNTIF(S1858:U1875,$B1877&amp;" ~*")&gt;0)+(IFERROR(INDEX(Setup!$G$33:$G$40,MATCH(W1877,Setup!$B$33:$B$40,0)),0)=1)*(COUNTIF(W1858:W1875,$B1877)+COUNTIF(W1858:W1875,$B1877&amp;" ~*")&gt;0)+(IFERROR(INDEX(Setup!$G$33:$G$40,MATCH(Y1877,Setup!$B$33:$B$40,0)),0)=1)*(COUNTIF(Y1858:Y1875,$B1877)+COUNTIF(Y1858:Y1875,$B1877&amp;" ~*")&gt;0))</f>
        <v/>
      </c>
    </row>
    <row r="1878" ht="15" customHeight="1">
      <c r="A1878" t="n">
        <v>38</v>
      </c>
      <c r="B1878" s="37">
        <f>IF(Setup!$B$7="","",Setup!$B$7)</f>
        <v/>
      </c>
      <c r="C1878" s="102" t="n"/>
      <c r="D1878" s="103" t="n"/>
      <c r="E1878" s="103" t="n"/>
      <c r="F1878" s="104" t="n"/>
      <c r="G1878" s="102" t="n"/>
      <c r="H1878" s="103" t="n"/>
      <c r="I1878" s="103" t="n"/>
      <c r="J1878" s="104" t="n"/>
      <c r="K1878" s="102" t="n"/>
      <c r="L1878" s="103" t="n"/>
      <c r="M1878" s="103" t="n"/>
      <c r="N1878" s="104" t="n"/>
      <c r="O1878" s="102" t="n"/>
      <c r="P1878" s="103" t="n"/>
      <c r="Q1878" s="103" t="n"/>
      <c r="R1878" s="104" t="n"/>
      <c r="S1878" s="102" t="n"/>
      <c r="T1878" s="103" t="n"/>
      <c r="U1878" s="103" t="n"/>
      <c r="V1878" s="104" t="n"/>
      <c r="W1878" s="102" t="n"/>
      <c r="X1878" s="104" t="n"/>
      <c r="Y1878" s="102" t="n"/>
      <c r="Z1878" s="104" t="n"/>
      <c r="AB1878" s="105">
        <f>IF($B1878="","",(COUNTIF(C1858:E1875,$B1878)+COUNTIF(C1858:E1875,$B1878&amp;" ~*")&gt;0)+(COUNTIF(G1858:I1875,$B1878)+COUNTIF(G1858:I1875,$B1878&amp;" ~*")&gt;0)+(COUNTIF(K1858:M1875,$B1878)+COUNTIF(K1858:M1875,$B1878&amp;" ~*")&gt;0)+(COUNTIF(O1858:Q1875,$B1878)+COUNTIF(O1858:Q1875,$B1878&amp;" ~*")&gt;0)+(COUNTIF(S1858:U1875,$B1878)+COUNTIF(S1858:U1875,$B1878&amp;" ~*")&gt;0)+(COUNTIF(W1858:W1875,$B1878)+COUNTIF(W1858:W1875,$B1878&amp;" ~*")&gt;0)+(COUNTIF(Y1858:Y1875,$B1878)+COUNTIF(Y1858:Y1875,$B1878&amp;" ~*")&gt;0))</f>
        <v/>
      </c>
      <c r="AC1878" s="38">
        <f>IF($B1878="","",(IFERROR(INDEX(Setup!$G$33:$G$40,MATCH(C1878,Setup!$B$33:$B$40,0)),0)=1)*(COUNTIF(C1858:E1875,$B1878)+COUNTIF(C1858:E1875,$B1878&amp;" ~*")&gt;0)+(IFERROR(INDEX(Setup!$G$33:$G$40,MATCH(G1878,Setup!$B$33:$B$40,0)),0)=1)*(COUNTIF(G1858:I1875,$B1878)+COUNTIF(G1858:I1875,$B1878&amp;" ~*")&gt;0)+(IFERROR(INDEX(Setup!$G$33:$G$40,MATCH(K1878,Setup!$B$33:$B$40,0)),0)=1)*(COUNTIF(K1858:M1875,$B1878)+COUNTIF(K1858:M1875,$B1878&amp;" ~*")&gt;0)+(IFERROR(INDEX(Setup!$G$33:$G$40,MATCH(O1878,Setup!$B$33:$B$40,0)),0)=1)*(COUNTIF(O1858:Q1875,$B1878)+COUNTIF(O1858:Q1875,$B1878&amp;" ~*")&gt;0)+(IFERROR(INDEX(Setup!$G$33:$G$40,MATCH(S1878,Setup!$B$33:$B$40,0)),0)=1)*(COUNTIF(S1858:U1875,$B1878)+COUNTIF(S1858:U1875,$B1878&amp;" ~*")&gt;0)+(IFERROR(INDEX(Setup!$G$33:$G$40,MATCH(W1878,Setup!$B$33:$B$40,0)),0)=1)*(COUNTIF(W1858:W1875,$B1878)+COUNTIF(W1858:W1875,$B1878&amp;" ~*")&gt;0)+(IFERROR(INDEX(Setup!$G$33:$G$40,MATCH(Y1878,Setup!$B$33:$B$40,0)),0)=1)*(COUNTIF(Y1858:Y1875,$B1878)+COUNTIF(Y1858:Y1875,$B1878&amp;" ~*")&gt;0))</f>
        <v/>
      </c>
    </row>
    <row r="1879" ht="15" customHeight="1">
      <c r="A1879" t="n">
        <v>38</v>
      </c>
      <c r="B1879" s="35">
        <f>IF(Setup!$B$8="","",Setup!$B$8)</f>
        <v/>
      </c>
      <c r="C1879" s="98" t="n"/>
      <c r="D1879" s="99" t="n"/>
      <c r="E1879" s="99" t="n"/>
      <c r="F1879" s="100" t="n"/>
      <c r="G1879" s="98" t="n"/>
      <c r="H1879" s="99" t="n"/>
      <c r="I1879" s="99" t="n"/>
      <c r="J1879" s="100" t="n"/>
      <c r="K1879" s="98" t="n"/>
      <c r="L1879" s="99" t="n"/>
      <c r="M1879" s="99" t="n"/>
      <c r="N1879" s="100" t="n"/>
      <c r="O1879" s="98" t="n"/>
      <c r="P1879" s="99" t="n"/>
      <c r="Q1879" s="99" t="n"/>
      <c r="R1879" s="100" t="n"/>
      <c r="S1879" s="98" t="n"/>
      <c r="T1879" s="99" t="n"/>
      <c r="U1879" s="99" t="n"/>
      <c r="V1879" s="100" t="n"/>
      <c r="W1879" s="98" t="n"/>
      <c r="X1879" s="100" t="n"/>
      <c r="Y1879" s="98" t="n"/>
      <c r="Z1879" s="100" t="n"/>
      <c r="AB1879" s="101">
        <f>IF($B1879="","",(COUNTIF(C1858:E1875,$B1879)+COUNTIF(C1858:E1875,$B1879&amp;" ~*")&gt;0)+(COUNTIF(G1858:I1875,$B1879)+COUNTIF(G1858:I1875,$B1879&amp;" ~*")&gt;0)+(COUNTIF(K1858:M1875,$B1879)+COUNTIF(K1858:M1875,$B1879&amp;" ~*")&gt;0)+(COUNTIF(O1858:Q1875,$B1879)+COUNTIF(O1858:Q1875,$B1879&amp;" ~*")&gt;0)+(COUNTIF(S1858:U1875,$B1879)+COUNTIF(S1858:U1875,$B1879&amp;" ~*")&gt;0)+(COUNTIF(W1858:W1875,$B1879)+COUNTIF(W1858:W1875,$B1879&amp;" ~*")&gt;0)+(COUNTIF(Y1858:Y1875,$B1879)+COUNTIF(Y1858:Y1875,$B1879&amp;" ~*")&gt;0))</f>
        <v/>
      </c>
      <c r="AC1879" s="36">
        <f>IF($B1879="","",(IFERROR(INDEX(Setup!$G$33:$G$40,MATCH(C1879,Setup!$B$33:$B$40,0)),0)=1)*(COUNTIF(C1858:E1875,$B1879)+COUNTIF(C1858:E1875,$B1879&amp;" ~*")&gt;0)+(IFERROR(INDEX(Setup!$G$33:$G$40,MATCH(G1879,Setup!$B$33:$B$40,0)),0)=1)*(COUNTIF(G1858:I1875,$B1879)+COUNTIF(G1858:I1875,$B1879&amp;" ~*")&gt;0)+(IFERROR(INDEX(Setup!$G$33:$G$40,MATCH(K1879,Setup!$B$33:$B$40,0)),0)=1)*(COUNTIF(K1858:M1875,$B1879)+COUNTIF(K1858:M1875,$B1879&amp;" ~*")&gt;0)+(IFERROR(INDEX(Setup!$G$33:$G$40,MATCH(O1879,Setup!$B$33:$B$40,0)),0)=1)*(COUNTIF(O1858:Q1875,$B1879)+COUNTIF(O1858:Q1875,$B1879&amp;" ~*")&gt;0)+(IFERROR(INDEX(Setup!$G$33:$G$40,MATCH(S1879,Setup!$B$33:$B$40,0)),0)=1)*(COUNTIF(S1858:U1875,$B1879)+COUNTIF(S1858:U1875,$B1879&amp;" ~*")&gt;0)+(IFERROR(INDEX(Setup!$G$33:$G$40,MATCH(W1879,Setup!$B$33:$B$40,0)),0)=1)*(COUNTIF(W1858:W1875,$B1879)+COUNTIF(W1858:W1875,$B1879&amp;" ~*")&gt;0)+(IFERROR(INDEX(Setup!$G$33:$G$40,MATCH(Y1879,Setup!$B$33:$B$40,0)),0)=1)*(COUNTIF(Y1858:Y1875,$B1879)+COUNTIF(Y1858:Y1875,$B1879&amp;" ~*")&gt;0))</f>
        <v/>
      </c>
    </row>
    <row r="1880" ht="15" customHeight="1">
      <c r="A1880" t="n">
        <v>38</v>
      </c>
      <c r="B1880" s="37">
        <f>IF(Setup!$B$9="","",Setup!$B$9)</f>
        <v/>
      </c>
      <c r="C1880" s="102" t="n"/>
      <c r="D1880" s="103" t="n"/>
      <c r="E1880" s="103" t="n"/>
      <c r="F1880" s="104" t="n"/>
      <c r="G1880" s="102" t="n"/>
      <c r="H1880" s="103" t="n"/>
      <c r="I1880" s="103" t="n"/>
      <c r="J1880" s="104" t="n"/>
      <c r="K1880" s="102" t="n"/>
      <c r="L1880" s="103" t="n"/>
      <c r="M1880" s="103" t="n"/>
      <c r="N1880" s="104" t="n"/>
      <c r="O1880" s="102" t="n"/>
      <c r="P1880" s="103" t="n"/>
      <c r="Q1880" s="103" t="n"/>
      <c r="R1880" s="104" t="n"/>
      <c r="S1880" s="102" t="n"/>
      <c r="T1880" s="103" t="n"/>
      <c r="U1880" s="103" t="n"/>
      <c r="V1880" s="104" t="n"/>
      <c r="W1880" s="102" t="n"/>
      <c r="X1880" s="104" t="n"/>
      <c r="Y1880" s="102" t="n"/>
      <c r="Z1880" s="104" t="n"/>
      <c r="AB1880" s="105">
        <f>IF($B1880="","",(COUNTIF(C1858:E1875,$B1880)+COUNTIF(C1858:E1875,$B1880&amp;" ~*")&gt;0)+(COUNTIF(G1858:I1875,$B1880)+COUNTIF(G1858:I1875,$B1880&amp;" ~*")&gt;0)+(COUNTIF(K1858:M1875,$B1880)+COUNTIF(K1858:M1875,$B1880&amp;" ~*")&gt;0)+(COUNTIF(O1858:Q1875,$B1880)+COUNTIF(O1858:Q1875,$B1880&amp;" ~*")&gt;0)+(COUNTIF(S1858:U1875,$B1880)+COUNTIF(S1858:U1875,$B1880&amp;" ~*")&gt;0)+(COUNTIF(W1858:W1875,$B1880)+COUNTIF(W1858:W1875,$B1880&amp;" ~*")&gt;0)+(COUNTIF(Y1858:Y1875,$B1880)+COUNTIF(Y1858:Y1875,$B1880&amp;" ~*")&gt;0))</f>
        <v/>
      </c>
      <c r="AC1880" s="38">
        <f>IF($B1880="","",(IFERROR(INDEX(Setup!$G$33:$G$40,MATCH(C1880,Setup!$B$33:$B$40,0)),0)=1)*(COUNTIF(C1858:E1875,$B1880)+COUNTIF(C1858:E1875,$B1880&amp;" ~*")&gt;0)+(IFERROR(INDEX(Setup!$G$33:$G$40,MATCH(G1880,Setup!$B$33:$B$40,0)),0)=1)*(COUNTIF(G1858:I1875,$B1880)+COUNTIF(G1858:I1875,$B1880&amp;" ~*")&gt;0)+(IFERROR(INDEX(Setup!$G$33:$G$40,MATCH(K1880,Setup!$B$33:$B$40,0)),0)=1)*(COUNTIF(K1858:M1875,$B1880)+COUNTIF(K1858:M1875,$B1880&amp;" ~*")&gt;0)+(IFERROR(INDEX(Setup!$G$33:$G$40,MATCH(O1880,Setup!$B$33:$B$40,0)),0)=1)*(COUNTIF(O1858:Q1875,$B1880)+COUNTIF(O1858:Q1875,$B1880&amp;" ~*")&gt;0)+(IFERROR(INDEX(Setup!$G$33:$G$40,MATCH(S1880,Setup!$B$33:$B$40,0)),0)=1)*(COUNTIF(S1858:U1875,$B1880)+COUNTIF(S1858:U1875,$B1880&amp;" ~*")&gt;0)+(IFERROR(INDEX(Setup!$G$33:$G$40,MATCH(W1880,Setup!$B$33:$B$40,0)),0)=1)*(COUNTIF(W1858:W1875,$B1880)+COUNTIF(W1858:W1875,$B1880&amp;" ~*")&gt;0)+(IFERROR(INDEX(Setup!$G$33:$G$40,MATCH(Y1880,Setup!$B$33:$B$40,0)),0)=1)*(COUNTIF(Y1858:Y1875,$B1880)+COUNTIF(Y1858:Y1875,$B1880&amp;" ~*")&gt;0))</f>
        <v/>
      </c>
    </row>
    <row r="1881" ht="15" customHeight="1">
      <c r="A1881" t="n">
        <v>38</v>
      </c>
      <c r="B1881" s="35">
        <f>IF(Setup!$B$10="","",Setup!$B$10)</f>
        <v/>
      </c>
      <c r="C1881" s="98" t="n"/>
      <c r="D1881" s="99" t="n"/>
      <c r="E1881" s="99" t="n"/>
      <c r="F1881" s="100" t="n"/>
      <c r="G1881" s="98" t="n"/>
      <c r="H1881" s="99" t="n"/>
      <c r="I1881" s="99" t="n"/>
      <c r="J1881" s="100" t="n"/>
      <c r="K1881" s="98" t="n"/>
      <c r="L1881" s="99" t="n"/>
      <c r="M1881" s="99" t="n"/>
      <c r="N1881" s="100" t="n"/>
      <c r="O1881" s="98" t="n"/>
      <c r="P1881" s="99" t="n"/>
      <c r="Q1881" s="99" t="n"/>
      <c r="R1881" s="100" t="n"/>
      <c r="S1881" s="98" t="n"/>
      <c r="T1881" s="99" t="n"/>
      <c r="U1881" s="99" t="n"/>
      <c r="V1881" s="100" t="n"/>
      <c r="W1881" s="98" t="n"/>
      <c r="X1881" s="100" t="n"/>
      <c r="Y1881" s="98" t="n"/>
      <c r="Z1881" s="100" t="n"/>
      <c r="AB1881" s="101">
        <f>IF($B1881="","",(COUNTIF(C1858:E1875,$B1881)+COUNTIF(C1858:E1875,$B1881&amp;" ~*")&gt;0)+(COUNTIF(G1858:I1875,$B1881)+COUNTIF(G1858:I1875,$B1881&amp;" ~*")&gt;0)+(COUNTIF(K1858:M1875,$B1881)+COUNTIF(K1858:M1875,$B1881&amp;" ~*")&gt;0)+(COUNTIF(O1858:Q1875,$B1881)+COUNTIF(O1858:Q1875,$B1881&amp;" ~*")&gt;0)+(COUNTIF(S1858:U1875,$B1881)+COUNTIF(S1858:U1875,$B1881&amp;" ~*")&gt;0)+(COUNTIF(W1858:W1875,$B1881)+COUNTIF(W1858:W1875,$B1881&amp;" ~*")&gt;0)+(COUNTIF(Y1858:Y1875,$B1881)+COUNTIF(Y1858:Y1875,$B1881&amp;" ~*")&gt;0))</f>
        <v/>
      </c>
      <c r="AC1881" s="36">
        <f>IF($B1881="","",(IFERROR(INDEX(Setup!$G$33:$G$40,MATCH(C1881,Setup!$B$33:$B$40,0)),0)=1)*(COUNTIF(C1858:E1875,$B1881)+COUNTIF(C1858:E1875,$B1881&amp;" ~*")&gt;0)+(IFERROR(INDEX(Setup!$G$33:$G$40,MATCH(G1881,Setup!$B$33:$B$40,0)),0)=1)*(COUNTIF(G1858:I1875,$B1881)+COUNTIF(G1858:I1875,$B1881&amp;" ~*")&gt;0)+(IFERROR(INDEX(Setup!$G$33:$G$40,MATCH(K1881,Setup!$B$33:$B$40,0)),0)=1)*(COUNTIF(K1858:M1875,$B1881)+COUNTIF(K1858:M1875,$B1881&amp;" ~*")&gt;0)+(IFERROR(INDEX(Setup!$G$33:$G$40,MATCH(O1881,Setup!$B$33:$B$40,0)),0)=1)*(COUNTIF(O1858:Q1875,$B1881)+COUNTIF(O1858:Q1875,$B1881&amp;" ~*")&gt;0)+(IFERROR(INDEX(Setup!$G$33:$G$40,MATCH(S1881,Setup!$B$33:$B$40,0)),0)=1)*(COUNTIF(S1858:U1875,$B1881)+COUNTIF(S1858:U1875,$B1881&amp;" ~*")&gt;0)+(IFERROR(INDEX(Setup!$G$33:$G$40,MATCH(W1881,Setup!$B$33:$B$40,0)),0)=1)*(COUNTIF(W1858:W1875,$B1881)+COUNTIF(W1858:W1875,$B1881&amp;" ~*")&gt;0)+(IFERROR(INDEX(Setup!$G$33:$G$40,MATCH(Y1881,Setup!$B$33:$B$40,0)),0)=1)*(COUNTIF(Y1858:Y1875,$B1881)+COUNTIF(Y1858:Y1875,$B1881&amp;" ~*")&gt;0))</f>
        <v/>
      </c>
    </row>
    <row r="1882" ht="15" customHeight="1">
      <c r="A1882" t="n">
        <v>38</v>
      </c>
      <c r="B1882" s="37">
        <f>IF(Setup!$B$11="","",Setup!$B$11)</f>
        <v/>
      </c>
      <c r="C1882" s="102" t="n"/>
      <c r="D1882" s="103" t="n"/>
      <c r="E1882" s="103" t="n"/>
      <c r="F1882" s="104" t="n"/>
      <c r="G1882" s="102" t="n"/>
      <c r="H1882" s="103" t="n"/>
      <c r="I1882" s="103" t="n"/>
      <c r="J1882" s="104" t="n"/>
      <c r="K1882" s="102" t="n"/>
      <c r="L1882" s="103" t="n"/>
      <c r="M1882" s="103" t="n"/>
      <c r="N1882" s="104" t="n"/>
      <c r="O1882" s="102" t="n"/>
      <c r="P1882" s="103" t="n"/>
      <c r="Q1882" s="103" t="n"/>
      <c r="R1882" s="104" t="n"/>
      <c r="S1882" s="102" t="n"/>
      <c r="T1882" s="103" t="n"/>
      <c r="U1882" s="103" t="n"/>
      <c r="V1882" s="104" t="n"/>
      <c r="W1882" s="102" t="n"/>
      <c r="X1882" s="104" t="n"/>
      <c r="Y1882" s="102" t="n"/>
      <c r="Z1882" s="104" t="n"/>
      <c r="AB1882" s="105">
        <f>IF($B1882="","",(COUNTIF(C1858:E1875,$B1882)+COUNTIF(C1858:E1875,$B1882&amp;" ~*")&gt;0)+(COUNTIF(G1858:I1875,$B1882)+COUNTIF(G1858:I1875,$B1882&amp;" ~*")&gt;0)+(COUNTIF(K1858:M1875,$B1882)+COUNTIF(K1858:M1875,$B1882&amp;" ~*")&gt;0)+(COUNTIF(O1858:Q1875,$B1882)+COUNTIF(O1858:Q1875,$B1882&amp;" ~*")&gt;0)+(COUNTIF(S1858:U1875,$B1882)+COUNTIF(S1858:U1875,$B1882&amp;" ~*")&gt;0)+(COUNTIF(W1858:W1875,$B1882)+COUNTIF(W1858:W1875,$B1882&amp;" ~*")&gt;0)+(COUNTIF(Y1858:Y1875,$B1882)+COUNTIF(Y1858:Y1875,$B1882&amp;" ~*")&gt;0))</f>
        <v/>
      </c>
      <c r="AC1882" s="38">
        <f>IF($B1882="","",(IFERROR(INDEX(Setup!$G$33:$G$40,MATCH(C1882,Setup!$B$33:$B$40,0)),0)=1)*(COUNTIF(C1858:E1875,$B1882)+COUNTIF(C1858:E1875,$B1882&amp;" ~*")&gt;0)+(IFERROR(INDEX(Setup!$G$33:$G$40,MATCH(G1882,Setup!$B$33:$B$40,0)),0)=1)*(COUNTIF(G1858:I1875,$B1882)+COUNTIF(G1858:I1875,$B1882&amp;" ~*")&gt;0)+(IFERROR(INDEX(Setup!$G$33:$G$40,MATCH(K1882,Setup!$B$33:$B$40,0)),0)=1)*(COUNTIF(K1858:M1875,$B1882)+COUNTIF(K1858:M1875,$B1882&amp;" ~*")&gt;0)+(IFERROR(INDEX(Setup!$G$33:$G$40,MATCH(O1882,Setup!$B$33:$B$40,0)),0)=1)*(COUNTIF(O1858:Q1875,$B1882)+COUNTIF(O1858:Q1875,$B1882&amp;" ~*")&gt;0)+(IFERROR(INDEX(Setup!$G$33:$G$40,MATCH(S1882,Setup!$B$33:$B$40,0)),0)=1)*(COUNTIF(S1858:U1875,$B1882)+COUNTIF(S1858:U1875,$B1882&amp;" ~*")&gt;0)+(IFERROR(INDEX(Setup!$G$33:$G$40,MATCH(W1882,Setup!$B$33:$B$40,0)),0)=1)*(COUNTIF(W1858:W1875,$B1882)+COUNTIF(W1858:W1875,$B1882&amp;" ~*")&gt;0)+(IFERROR(INDEX(Setup!$G$33:$G$40,MATCH(Y1882,Setup!$B$33:$B$40,0)),0)=1)*(COUNTIF(Y1858:Y1875,$B1882)+COUNTIF(Y1858:Y1875,$B1882&amp;" ~*")&gt;0))</f>
        <v/>
      </c>
    </row>
    <row r="1883" ht="15" customHeight="1">
      <c r="A1883" t="n">
        <v>38</v>
      </c>
      <c r="B1883" s="35">
        <f>IF(Setup!$B$12="","",Setup!$B$12)</f>
        <v/>
      </c>
      <c r="C1883" s="98" t="n"/>
      <c r="D1883" s="99" t="n"/>
      <c r="E1883" s="99" t="n"/>
      <c r="F1883" s="100" t="n"/>
      <c r="G1883" s="98" t="n"/>
      <c r="H1883" s="99" t="n"/>
      <c r="I1883" s="99" t="n"/>
      <c r="J1883" s="100" t="n"/>
      <c r="K1883" s="98" t="n"/>
      <c r="L1883" s="99" t="n"/>
      <c r="M1883" s="99" t="n"/>
      <c r="N1883" s="100" t="n"/>
      <c r="O1883" s="98" t="n"/>
      <c r="P1883" s="99" t="n"/>
      <c r="Q1883" s="99" t="n"/>
      <c r="R1883" s="100" t="n"/>
      <c r="S1883" s="98" t="n"/>
      <c r="T1883" s="99" t="n"/>
      <c r="U1883" s="99" t="n"/>
      <c r="V1883" s="100" t="n"/>
      <c r="W1883" s="98" t="n"/>
      <c r="X1883" s="100" t="n"/>
      <c r="Y1883" s="98" t="n"/>
      <c r="Z1883" s="100" t="n"/>
      <c r="AB1883" s="101">
        <f>IF($B1883="","",(COUNTIF(C1858:E1875,$B1883)+COUNTIF(C1858:E1875,$B1883&amp;" ~*")&gt;0)+(COUNTIF(G1858:I1875,$B1883)+COUNTIF(G1858:I1875,$B1883&amp;" ~*")&gt;0)+(COUNTIF(K1858:M1875,$B1883)+COUNTIF(K1858:M1875,$B1883&amp;" ~*")&gt;0)+(COUNTIF(O1858:Q1875,$B1883)+COUNTIF(O1858:Q1875,$B1883&amp;" ~*")&gt;0)+(COUNTIF(S1858:U1875,$B1883)+COUNTIF(S1858:U1875,$B1883&amp;" ~*")&gt;0)+(COUNTIF(W1858:W1875,$B1883)+COUNTIF(W1858:W1875,$B1883&amp;" ~*")&gt;0)+(COUNTIF(Y1858:Y1875,$B1883)+COUNTIF(Y1858:Y1875,$B1883&amp;" ~*")&gt;0))</f>
        <v/>
      </c>
      <c r="AC1883" s="36">
        <f>IF($B1883="","",(IFERROR(INDEX(Setup!$G$33:$G$40,MATCH(C1883,Setup!$B$33:$B$40,0)),0)=1)*(COUNTIF(C1858:E1875,$B1883)+COUNTIF(C1858:E1875,$B1883&amp;" ~*")&gt;0)+(IFERROR(INDEX(Setup!$G$33:$G$40,MATCH(G1883,Setup!$B$33:$B$40,0)),0)=1)*(COUNTIF(G1858:I1875,$B1883)+COUNTIF(G1858:I1875,$B1883&amp;" ~*")&gt;0)+(IFERROR(INDEX(Setup!$G$33:$G$40,MATCH(K1883,Setup!$B$33:$B$40,0)),0)=1)*(COUNTIF(K1858:M1875,$B1883)+COUNTIF(K1858:M1875,$B1883&amp;" ~*")&gt;0)+(IFERROR(INDEX(Setup!$G$33:$G$40,MATCH(O1883,Setup!$B$33:$B$40,0)),0)=1)*(COUNTIF(O1858:Q1875,$B1883)+COUNTIF(O1858:Q1875,$B1883&amp;" ~*")&gt;0)+(IFERROR(INDEX(Setup!$G$33:$G$40,MATCH(S1883,Setup!$B$33:$B$40,0)),0)=1)*(COUNTIF(S1858:U1875,$B1883)+COUNTIF(S1858:U1875,$B1883&amp;" ~*")&gt;0)+(IFERROR(INDEX(Setup!$G$33:$G$40,MATCH(W1883,Setup!$B$33:$B$40,0)),0)=1)*(COUNTIF(W1858:W1875,$B1883)+COUNTIF(W1858:W1875,$B1883&amp;" ~*")&gt;0)+(IFERROR(INDEX(Setup!$G$33:$G$40,MATCH(Y1883,Setup!$B$33:$B$40,0)),0)=1)*(COUNTIF(Y1858:Y1875,$B1883)+COUNTIF(Y1858:Y1875,$B1883&amp;" ~*")&gt;0))</f>
        <v/>
      </c>
    </row>
    <row r="1884" ht="15" customHeight="1">
      <c r="A1884" t="n">
        <v>38</v>
      </c>
      <c r="B1884" s="37">
        <f>IF(Setup!$B$13="","",Setup!$B$13)</f>
        <v/>
      </c>
      <c r="C1884" s="102" t="n"/>
      <c r="D1884" s="103" t="n"/>
      <c r="E1884" s="103" t="n"/>
      <c r="F1884" s="104" t="n"/>
      <c r="G1884" s="102" t="n"/>
      <c r="H1884" s="103" t="n"/>
      <c r="I1884" s="103" t="n"/>
      <c r="J1884" s="104" t="n"/>
      <c r="K1884" s="102" t="n"/>
      <c r="L1884" s="103" t="n"/>
      <c r="M1884" s="103" t="n"/>
      <c r="N1884" s="104" t="n"/>
      <c r="O1884" s="102" t="n"/>
      <c r="P1884" s="103" t="n"/>
      <c r="Q1884" s="103" t="n"/>
      <c r="R1884" s="104" t="n"/>
      <c r="S1884" s="102" t="n"/>
      <c r="T1884" s="103" t="n"/>
      <c r="U1884" s="103" t="n"/>
      <c r="V1884" s="104" t="n"/>
      <c r="W1884" s="102" t="n"/>
      <c r="X1884" s="104" t="n"/>
      <c r="Y1884" s="102" t="n"/>
      <c r="Z1884" s="104" t="n"/>
      <c r="AB1884" s="105">
        <f>IF($B1884="","",(COUNTIF(C1858:E1875,$B1884)+COUNTIF(C1858:E1875,$B1884&amp;" ~*")&gt;0)+(COUNTIF(G1858:I1875,$B1884)+COUNTIF(G1858:I1875,$B1884&amp;" ~*")&gt;0)+(COUNTIF(K1858:M1875,$B1884)+COUNTIF(K1858:M1875,$B1884&amp;" ~*")&gt;0)+(COUNTIF(O1858:Q1875,$B1884)+COUNTIF(O1858:Q1875,$B1884&amp;" ~*")&gt;0)+(COUNTIF(S1858:U1875,$B1884)+COUNTIF(S1858:U1875,$B1884&amp;" ~*")&gt;0)+(COUNTIF(W1858:W1875,$B1884)+COUNTIF(W1858:W1875,$B1884&amp;" ~*")&gt;0)+(COUNTIF(Y1858:Y1875,$B1884)+COUNTIF(Y1858:Y1875,$B1884&amp;" ~*")&gt;0))</f>
        <v/>
      </c>
      <c r="AC1884" s="38">
        <f>IF($B1884="","",(IFERROR(INDEX(Setup!$G$33:$G$40,MATCH(C1884,Setup!$B$33:$B$40,0)),0)=1)*(COUNTIF(C1858:E1875,$B1884)+COUNTIF(C1858:E1875,$B1884&amp;" ~*")&gt;0)+(IFERROR(INDEX(Setup!$G$33:$G$40,MATCH(G1884,Setup!$B$33:$B$40,0)),0)=1)*(COUNTIF(G1858:I1875,$B1884)+COUNTIF(G1858:I1875,$B1884&amp;" ~*")&gt;0)+(IFERROR(INDEX(Setup!$G$33:$G$40,MATCH(K1884,Setup!$B$33:$B$40,0)),0)=1)*(COUNTIF(K1858:M1875,$B1884)+COUNTIF(K1858:M1875,$B1884&amp;" ~*")&gt;0)+(IFERROR(INDEX(Setup!$G$33:$G$40,MATCH(O1884,Setup!$B$33:$B$40,0)),0)=1)*(COUNTIF(O1858:Q1875,$B1884)+COUNTIF(O1858:Q1875,$B1884&amp;" ~*")&gt;0)+(IFERROR(INDEX(Setup!$G$33:$G$40,MATCH(S1884,Setup!$B$33:$B$40,0)),0)=1)*(COUNTIF(S1858:U1875,$B1884)+COUNTIF(S1858:U1875,$B1884&amp;" ~*")&gt;0)+(IFERROR(INDEX(Setup!$G$33:$G$40,MATCH(W1884,Setup!$B$33:$B$40,0)),0)=1)*(COUNTIF(W1858:W1875,$B1884)+COUNTIF(W1858:W1875,$B1884&amp;" ~*")&gt;0)+(IFERROR(INDEX(Setup!$G$33:$G$40,MATCH(Y1884,Setup!$B$33:$B$40,0)),0)=1)*(COUNTIF(Y1858:Y1875,$B1884)+COUNTIF(Y1858:Y1875,$B1884&amp;" ~*")&gt;0))</f>
        <v/>
      </c>
    </row>
    <row r="1885" ht="15" customHeight="1">
      <c r="A1885" t="n">
        <v>38</v>
      </c>
      <c r="B1885" s="35">
        <f>IF(Setup!$B$14="","",Setup!$B$14)</f>
        <v/>
      </c>
      <c r="C1885" s="98" t="n"/>
      <c r="D1885" s="99" t="n"/>
      <c r="E1885" s="99" t="n"/>
      <c r="F1885" s="100" t="n"/>
      <c r="G1885" s="98" t="n"/>
      <c r="H1885" s="99" t="n"/>
      <c r="I1885" s="99" t="n"/>
      <c r="J1885" s="100" t="n"/>
      <c r="K1885" s="98" t="n"/>
      <c r="L1885" s="99" t="n"/>
      <c r="M1885" s="99" t="n"/>
      <c r="N1885" s="100" t="n"/>
      <c r="O1885" s="98" t="n"/>
      <c r="P1885" s="99" t="n"/>
      <c r="Q1885" s="99" t="n"/>
      <c r="R1885" s="100" t="n"/>
      <c r="S1885" s="98" t="n"/>
      <c r="T1885" s="99" t="n"/>
      <c r="U1885" s="99" t="n"/>
      <c r="V1885" s="100" t="n"/>
      <c r="W1885" s="98" t="n"/>
      <c r="X1885" s="100" t="n"/>
      <c r="Y1885" s="98" t="n"/>
      <c r="Z1885" s="100" t="n"/>
      <c r="AB1885" s="101">
        <f>IF($B1885="","",(COUNTIF(C1858:E1875,$B1885)+COUNTIF(C1858:E1875,$B1885&amp;" ~*")&gt;0)+(COUNTIF(G1858:I1875,$B1885)+COUNTIF(G1858:I1875,$B1885&amp;" ~*")&gt;0)+(COUNTIF(K1858:M1875,$B1885)+COUNTIF(K1858:M1875,$B1885&amp;" ~*")&gt;0)+(COUNTIF(O1858:Q1875,$B1885)+COUNTIF(O1858:Q1875,$B1885&amp;" ~*")&gt;0)+(COUNTIF(S1858:U1875,$B1885)+COUNTIF(S1858:U1875,$B1885&amp;" ~*")&gt;0)+(COUNTIF(W1858:W1875,$B1885)+COUNTIF(W1858:W1875,$B1885&amp;" ~*")&gt;0)+(COUNTIF(Y1858:Y1875,$B1885)+COUNTIF(Y1858:Y1875,$B1885&amp;" ~*")&gt;0))</f>
        <v/>
      </c>
      <c r="AC1885" s="36">
        <f>IF($B1885="","",(IFERROR(INDEX(Setup!$G$33:$G$40,MATCH(C1885,Setup!$B$33:$B$40,0)),0)=1)*(COUNTIF(C1858:E1875,$B1885)+COUNTIF(C1858:E1875,$B1885&amp;" ~*")&gt;0)+(IFERROR(INDEX(Setup!$G$33:$G$40,MATCH(G1885,Setup!$B$33:$B$40,0)),0)=1)*(COUNTIF(G1858:I1875,$B1885)+COUNTIF(G1858:I1875,$B1885&amp;" ~*")&gt;0)+(IFERROR(INDEX(Setup!$G$33:$G$40,MATCH(K1885,Setup!$B$33:$B$40,0)),0)=1)*(COUNTIF(K1858:M1875,$B1885)+COUNTIF(K1858:M1875,$B1885&amp;" ~*")&gt;0)+(IFERROR(INDEX(Setup!$G$33:$G$40,MATCH(O1885,Setup!$B$33:$B$40,0)),0)=1)*(COUNTIF(O1858:Q1875,$B1885)+COUNTIF(O1858:Q1875,$B1885&amp;" ~*")&gt;0)+(IFERROR(INDEX(Setup!$G$33:$G$40,MATCH(S1885,Setup!$B$33:$B$40,0)),0)=1)*(COUNTIF(S1858:U1875,$B1885)+COUNTIF(S1858:U1875,$B1885&amp;" ~*")&gt;0)+(IFERROR(INDEX(Setup!$G$33:$G$40,MATCH(W1885,Setup!$B$33:$B$40,0)),0)=1)*(COUNTIF(W1858:W1875,$B1885)+COUNTIF(W1858:W1875,$B1885&amp;" ~*")&gt;0)+(IFERROR(INDEX(Setup!$G$33:$G$40,MATCH(Y1885,Setup!$B$33:$B$40,0)),0)=1)*(COUNTIF(Y1858:Y1875,$B1885)+COUNTIF(Y1858:Y1875,$B1885&amp;" ~*")&gt;0))</f>
        <v/>
      </c>
    </row>
    <row r="1886" ht="15" customHeight="1">
      <c r="A1886" t="n">
        <v>38</v>
      </c>
      <c r="B1886" s="37">
        <f>IF(Setup!$B$15="","",Setup!$B$15)</f>
        <v/>
      </c>
      <c r="C1886" s="102" t="n"/>
      <c r="D1886" s="103" t="n"/>
      <c r="E1886" s="103" t="n"/>
      <c r="F1886" s="104" t="n"/>
      <c r="G1886" s="102" t="n"/>
      <c r="H1886" s="103" t="n"/>
      <c r="I1886" s="103" t="n"/>
      <c r="J1886" s="104" t="n"/>
      <c r="K1886" s="102" t="n"/>
      <c r="L1886" s="103" t="n"/>
      <c r="M1886" s="103" t="n"/>
      <c r="N1886" s="104" t="n"/>
      <c r="O1886" s="102" t="n"/>
      <c r="P1886" s="103" t="n"/>
      <c r="Q1886" s="103" t="n"/>
      <c r="R1886" s="104" t="n"/>
      <c r="S1886" s="102" t="n"/>
      <c r="T1886" s="103" t="n"/>
      <c r="U1886" s="103" t="n"/>
      <c r="V1886" s="104" t="n"/>
      <c r="W1886" s="102" t="n"/>
      <c r="X1886" s="104" t="n"/>
      <c r="Y1886" s="102" t="n"/>
      <c r="Z1886" s="104" t="n"/>
      <c r="AB1886" s="105">
        <f>IF($B1886="","",(COUNTIF(C1858:E1875,$B1886)+COUNTIF(C1858:E1875,$B1886&amp;" ~*")&gt;0)+(COUNTIF(G1858:I1875,$B1886)+COUNTIF(G1858:I1875,$B1886&amp;" ~*")&gt;0)+(COUNTIF(K1858:M1875,$B1886)+COUNTIF(K1858:M1875,$B1886&amp;" ~*")&gt;0)+(COUNTIF(O1858:Q1875,$B1886)+COUNTIF(O1858:Q1875,$B1886&amp;" ~*")&gt;0)+(COUNTIF(S1858:U1875,$B1886)+COUNTIF(S1858:U1875,$B1886&amp;" ~*")&gt;0)+(COUNTIF(W1858:W1875,$B1886)+COUNTIF(W1858:W1875,$B1886&amp;" ~*")&gt;0)+(COUNTIF(Y1858:Y1875,$B1886)+COUNTIF(Y1858:Y1875,$B1886&amp;" ~*")&gt;0))</f>
        <v/>
      </c>
      <c r="AC1886" s="38">
        <f>IF($B1886="","",(IFERROR(INDEX(Setup!$G$33:$G$40,MATCH(C1886,Setup!$B$33:$B$40,0)),0)=1)*(COUNTIF(C1858:E1875,$B1886)+COUNTIF(C1858:E1875,$B1886&amp;" ~*")&gt;0)+(IFERROR(INDEX(Setup!$G$33:$G$40,MATCH(G1886,Setup!$B$33:$B$40,0)),0)=1)*(COUNTIF(G1858:I1875,$B1886)+COUNTIF(G1858:I1875,$B1886&amp;" ~*")&gt;0)+(IFERROR(INDEX(Setup!$G$33:$G$40,MATCH(K1886,Setup!$B$33:$B$40,0)),0)=1)*(COUNTIF(K1858:M1875,$B1886)+COUNTIF(K1858:M1875,$B1886&amp;" ~*")&gt;0)+(IFERROR(INDEX(Setup!$G$33:$G$40,MATCH(O1886,Setup!$B$33:$B$40,0)),0)=1)*(COUNTIF(O1858:Q1875,$B1886)+COUNTIF(O1858:Q1875,$B1886&amp;" ~*")&gt;0)+(IFERROR(INDEX(Setup!$G$33:$G$40,MATCH(S1886,Setup!$B$33:$B$40,0)),0)=1)*(COUNTIF(S1858:U1875,$B1886)+COUNTIF(S1858:U1875,$B1886&amp;" ~*")&gt;0)+(IFERROR(INDEX(Setup!$G$33:$G$40,MATCH(W1886,Setup!$B$33:$B$40,0)),0)=1)*(COUNTIF(W1858:W1875,$B1886)+COUNTIF(W1858:W1875,$B1886&amp;" ~*")&gt;0)+(IFERROR(INDEX(Setup!$G$33:$G$40,MATCH(Y1886,Setup!$B$33:$B$40,0)),0)=1)*(COUNTIF(Y1858:Y1875,$B1886)+COUNTIF(Y1858:Y1875,$B1886&amp;" ~*")&gt;0))</f>
        <v/>
      </c>
    </row>
    <row r="1887" ht="15" customHeight="1">
      <c r="A1887" t="n">
        <v>38</v>
      </c>
      <c r="B1887" s="35">
        <f>IF(Setup!$B$16="","",Setup!$B$16)</f>
        <v/>
      </c>
      <c r="C1887" s="98" t="n"/>
      <c r="D1887" s="99" t="n"/>
      <c r="E1887" s="99" t="n"/>
      <c r="F1887" s="100" t="n"/>
      <c r="G1887" s="98" t="n"/>
      <c r="H1887" s="99" t="n"/>
      <c r="I1887" s="99" t="n"/>
      <c r="J1887" s="100" t="n"/>
      <c r="K1887" s="98" t="n"/>
      <c r="L1887" s="99" t="n"/>
      <c r="M1887" s="99" t="n"/>
      <c r="N1887" s="100" t="n"/>
      <c r="O1887" s="98" t="n"/>
      <c r="P1887" s="99" t="n"/>
      <c r="Q1887" s="99" t="n"/>
      <c r="R1887" s="100" t="n"/>
      <c r="S1887" s="98" t="n"/>
      <c r="T1887" s="99" t="n"/>
      <c r="U1887" s="99" t="n"/>
      <c r="V1887" s="100" t="n"/>
      <c r="W1887" s="98" t="n"/>
      <c r="X1887" s="100" t="n"/>
      <c r="Y1887" s="98" t="n"/>
      <c r="Z1887" s="100" t="n"/>
      <c r="AB1887" s="101">
        <f>IF($B1887="","",(COUNTIF(C1858:E1875,$B1887)+COUNTIF(C1858:E1875,$B1887&amp;" ~*")&gt;0)+(COUNTIF(G1858:I1875,$B1887)+COUNTIF(G1858:I1875,$B1887&amp;" ~*")&gt;0)+(COUNTIF(K1858:M1875,$B1887)+COUNTIF(K1858:M1875,$B1887&amp;" ~*")&gt;0)+(COUNTIF(O1858:Q1875,$B1887)+COUNTIF(O1858:Q1875,$B1887&amp;" ~*")&gt;0)+(COUNTIF(S1858:U1875,$B1887)+COUNTIF(S1858:U1875,$B1887&amp;" ~*")&gt;0)+(COUNTIF(W1858:W1875,$B1887)+COUNTIF(W1858:W1875,$B1887&amp;" ~*")&gt;0)+(COUNTIF(Y1858:Y1875,$B1887)+COUNTIF(Y1858:Y1875,$B1887&amp;" ~*")&gt;0))</f>
        <v/>
      </c>
      <c r="AC1887" s="36">
        <f>IF($B1887="","",(IFERROR(INDEX(Setup!$G$33:$G$40,MATCH(C1887,Setup!$B$33:$B$40,0)),0)=1)*(COUNTIF(C1858:E1875,$B1887)+COUNTIF(C1858:E1875,$B1887&amp;" ~*")&gt;0)+(IFERROR(INDEX(Setup!$G$33:$G$40,MATCH(G1887,Setup!$B$33:$B$40,0)),0)=1)*(COUNTIF(G1858:I1875,$B1887)+COUNTIF(G1858:I1875,$B1887&amp;" ~*")&gt;0)+(IFERROR(INDEX(Setup!$G$33:$G$40,MATCH(K1887,Setup!$B$33:$B$40,0)),0)=1)*(COUNTIF(K1858:M1875,$B1887)+COUNTIF(K1858:M1875,$B1887&amp;" ~*")&gt;0)+(IFERROR(INDEX(Setup!$G$33:$G$40,MATCH(O1887,Setup!$B$33:$B$40,0)),0)=1)*(COUNTIF(O1858:Q1875,$B1887)+COUNTIF(O1858:Q1875,$B1887&amp;" ~*")&gt;0)+(IFERROR(INDEX(Setup!$G$33:$G$40,MATCH(S1887,Setup!$B$33:$B$40,0)),0)=1)*(COUNTIF(S1858:U1875,$B1887)+COUNTIF(S1858:U1875,$B1887&amp;" ~*")&gt;0)+(IFERROR(INDEX(Setup!$G$33:$G$40,MATCH(W1887,Setup!$B$33:$B$40,0)),0)=1)*(COUNTIF(W1858:W1875,$B1887)+COUNTIF(W1858:W1875,$B1887&amp;" ~*")&gt;0)+(IFERROR(INDEX(Setup!$G$33:$G$40,MATCH(Y1887,Setup!$B$33:$B$40,0)),0)=1)*(COUNTIF(Y1858:Y1875,$B1887)+COUNTIF(Y1858:Y1875,$B1887&amp;" ~*")&gt;0))</f>
        <v/>
      </c>
    </row>
    <row r="1888" ht="15" customHeight="1">
      <c r="A1888" t="n">
        <v>38</v>
      </c>
      <c r="B1888" s="37">
        <f>IF(Setup!$B$17="","",Setup!$B$17)</f>
        <v/>
      </c>
      <c r="C1888" s="102" t="n"/>
      <c r="D1888" s="103" t="n"/>
      <c r="E1888" s="103" t="n"/>
      <c r="F1888" s="104" t="n"/>
      <c r="G1888" s="102" t="n"/>
      <c r="H1888" s="103" t="n"/>
      <c r="I1888" s="103" t="n"/>
      <c r="J1888" s="104" t="n"/>
      <c r="K1888" s="102" t="n"/>
      <c r="L1888" s="103" t="n"/>
      <c r="M1888" s="103" t="n"/>
      <c r="N1888" s="104" t="n"/>
      <c r="O1888" s="102" t="n"/>
      <c r="P1888" s="103" t="n"/>
      <c r="Q1888" s="103" t="n"/>
      <c r="R1888" s="104" t="n"/>
      <c r="S1888" s="102" t="n"/>
      <c r="T1888" s="103" t="n"/>
      <c r="U1888" s="103" t="n"/>
      <c r="V1888" s="104" t="n"/>
      <c r="W1888" s="102" t="n"/>
      <c r="X1888" s="104" t="n"/>
      <c r="Y1888" s="102" t="n"/>
      <c r="Z1888" s="104" t="n"/>
      <c r="AB1888" s="105">
        <f>IF($B1888="","",(COUNTIF(C1858:E1875,$B1888)+COUNTIF(C1858:E1875,$B1888&amp;" ~*")&gt;0)+(COUNTIF(G1858:I1875,$B1888)+COUNTIF(G1858:I1875,$B1888&amp;" ~*")&gt;0)+(COUNTIF(K1858:M1875,$B1888)+COUNTIF(K1858:M1875,$B1888&amp;" ~*")&gt;0)+(COUNTIF(O1858:Q1875,$B1888)+COUNTIF(O1858:Q1875,$B1888&amp;" ~*")&gt;0)+(COUNTIF(S1858:U1875,$B1888)+COUNTIF(S1858:U1875,$B1888&amp;" ~*")&gt;0)+(COUNTIF(W1858:W1875,$B1888)+COUNTIF(W1858:W1875,$B1888&amp;" ~*")&gt;0)+(COUNTIF(Y1858:Y1875,$B1888)+COUNTIF(Y1858:Y1875,$B1888&amp;" ~*")&gt;0))</f>
        <v/>
      </c>
      <c r="AC1888" s="38">
        <f>IF($B1888="","",(IFERROR(INDEX(Setup!$G$33:$G$40,MATCH(C1888,Setup!$B$33:$B$40,0)),0)=1)*(COUNTIF(C1858:E1875,$B1888)+COUNTIF(C1858:E1875,$B1888&amp;" ~*")&gt;0)+(IFERROR(INDEX(Setup!$G$33:$G$40,MATCH(G1888,Setup!$B$33:$B$40,0)),0)=1)*(COUNTIF(G1858:I1875,$B1888)+COUNTIF(G1858:I1875,$B1888&amp;" ~*")&gt;0)+(IFERROR(INDEX(Setup!$G$33:$G$40,MATCH(K1888,Setup!$B$33:$B$40,0)),0)=1)*(COUNTIF(K1858:M1875,$B1888)+COUNTIF(K1858:M1875,$B1888&amp;" ~*")&gt;0)+(IFERROR(INDEX(Setup!$G$33:$G$40,MATCH(O1888,Setup!$B$33:$B$40,0)),0)=1)*(COUNTIF(O1858:Q1875,$B1888)+COUNTIF(O1858:Q1875,$B1888&amp;" ~*")&gt;0)+(IFERROR(INDEX(Setup!$G$33:$G$40,MATCH(S1888,Setup!$B$33:$B$40,0)),0)=1)*(COUNTIF(S1858:U1875,$B1888)+COUNTIF(S1858:U1875,$B1888&amp;" ~*")&gt;0)+(IFERROR(INDEX(Setup!$G$33:$G$40,MATCH(W1888,Setup!$B$33:$B$40,0)),0)=1)*(COUNTIF(W1858:W1875,$B1888)+COUNTIF(W1858:W1875,$B1888&amp;" ~*")&gt;0)+(IFERROR(INDEX(Setup!$G$33:$G$40,MATCH(Y1888,Setup!$B$33:$B$40,0)),0)=1)*(COUNTIF(Y1858:Y1875,$B1888)+COUNTIF(Y1858:Y1875,$B1888&amp;" ~*")&gt;0))</f>
        <v/>
      </c>
    </row>
    <row r="1889" ht="15" customHeight="1">
      <c r="A1889" t="n">
        <v>38</v>
      </c>
      <c r="B1889" s="35">
        <f>IF(Setup!$B$18="","",Setup!$B$18)</f>
        <v/>
      </c>
      <c r="C1889" s="98" t="n"/>
      <c r="D1889" s="99" t="n"/>
      <c r="E1889" s="99" t="n"/>
      <c r="F1889" s="100" t="n"/>
      <c r="G1889" s="98" t="n"/>
      <c r="H1889" s="99" t="n"/>
      <c r="I1889" s="99" t="n"/>
      <c r="J1889" s="100" t="n"/>
      <c r="K1889" s="98" t="n"/>
      <c r="L1889" s="99" t="n"/>
      <c r="M1889" s="99" t="n"/>
      <c r="N1889" s="100" t="n"/>
      <c r="O1889" s="98" t="n"/>
      <c r="P1889" s="99" t="n"/>
      <c r="Q1889" s="99" t="n"/>
      <c r="R1889" s="100" t="n"/>
      <c r="S1889" s="98" t="n"/>
      <c r="T1889" s="99" t="n"/>
      <c r="U1889" s="99" t="n"/>
      <c r="V1889" s="100" t="n"/>
      <c r="W1889" s="98" t="n"/>
      <c r="X1889" s="100" t="n"/>
      <c r="Y1889" s="98" t="n"/>
      <c r="Z1889" s="100" t="n"/>
      <c r="AB1889" s="101">
        <f>IF($B1889="","",(COUNTIF(C1858:E1875,$B1889)+COUNTIF(C1858:E1875,$B1889&amp;" ~*")&gt;0)+(COUNTIF(G1858:I1875,$B1889)+COUNTIF(G1858:I1875,$B1889&amp;" ~*")&gt;0)+(COUNTIF(K1858:M1875,$B1889)+COUNTIF(K1858:M1875,$B1889&amp;" ~*")&gt;0)+(COUNTIF(O1858:Q1875,$B1889)+COUNTIF(O1858:Q1875,$B1889&amp;" ~*")&gt;0)+(COUNTIF(S1858:U1875,$B1889)+COUNTIF(S1858:U1875,$B1889&amp;" ~*")&gt;0)+(COUNTIF(W1858:W1875,$B1889)+COUNTIF(W1858:W1875,$B1889&amp;" ~*")&gt;0)+(COUNTIF(Y1858:Y1875,$B1889)+COUNTIF(Y1858:Y1875,$B1889&amp;" ~*")&gt;0))</f>
        <v/>
      </c>
      <c r="AC1889" s="36">
        <f>IF($B1889="","",(IFERROR(INDEX(Setup!$G$33:$G$40,MATCH(C1889,Setup!$B$33:$B$40,0)),0)=1)*(COUNTIF(C1858:E1875,$B1889)+COUNTIF(C1858:E1875,$B1889&amp;" ~*")&gt;0)+(IFERROR(INDEX(Setup!$G$33:$G$40,MATCH(G1889,Setup!$B$33:$B$40,0)),0)=1)*(COUNTIF(G1858:I1875,$B1889)+COUNTIF(G1858:I1875,$B1889&amp;" ~*")&gt;0)+(IFERROR(INDEX(Setup!$G$33:$G$40,MATCH(K1889,Setup!$B$33:$B$40,0)),0)=1)*(COUNTIF(K1858:M1875,$B1889)+COUNTIF(K1858:M1875,$B1889&amp;" ~*")&gt;0)+(IFERROR(INDEX(Setup!$G$33:$G$40,MATCH(O1889,Setup!$B$33:$B$40,0)),0)=1)*(COUNTIF(O1858:Q1875,$B1889)+COUNTIF(O1858:Q1875,$B1889&amp;" ~*")&gt;0)+(IFERROR(INDEX(Setup!$G$33:$G$40,MATCH(S1889,Setup!$B$33:$B$40,0)),0)=1)*(COUNTIF(S1858:U1875,$B1889)+COUNTIF(S1858:U1875,$B1889&amp;" ~*")&gt;0)+(IFERROR(INDEX(Setup!$G$33:$G$40,MATCH(W1889,Setup!$B$33:$B$40,0)),0)=1)*(COUNTIF(W1858:W1875,$B1889)+COUNTIF(W1858:W1875,$B1889&amp;" ~*")&gt;0)+(IFERROR(INDEX(Setup!$G$33:$G$40,MATCH(Y1889,Setup!$B$33:$B$40,0)),0)=1)*(COUNTIF(Y1858:Y1875,$B1889)+COUNTIF(Y1858:Y1875,$B1889&amp;" ~*")&gt;0))</f>
        <v/>
      </c>
    </row>
    <row r="1890" ht="15" customHeight="1">
      <c r="A1890" t="n">
        <v>38</v>
      </c>
      <c r="B1890" s="37">
        <f>IF(Setup!$B$19="","",Setup!$B$19)</f>
        <v/>
      </c>
      <c r="C1890" s="102" t="n"/>
      <c r="D1890" s="103" t="n"/>
      <c r="E1890" s="103" t="n"/>
      <c r="F1890" s="104" t="n"/>
      <c r="G1890" s="102" t="n"/>
      <c r="H1890" s="103" t="n"/>
      <c r="I1890" s="103" t="n"/>
      <c r="J1890" s="104" t="n"/>
      <c r="K1890" s="102" t="n"/>
      <c r="L1890" s="103" t="n"/>
      <c r="M1890" s="103" t="n"/>
      <c r="N1890" s="104" t="n"/>
      <c r="O1890" s="102" t="n"/>
      <c r="P1890" s="103" t="n"/>
      <c r="Q1890" s="103" t="n"/>
      <c r="R1890" s="104" t="n"/>
      <c r="S1890" s="102" t="n"/>
      <c r="T1890" s="103" t="n"/>
      <c r="U1890" s="103" t="n"/>
      <c r="V1890" s="104" t="n"/>
      <c r="W1890" s="102" t="n"/>
      <c r="X1890" s="104" t="n"/>
      <c r="Y1890" s="102" t="n"/>
      <c r="Z1890" s="104" t="n"/>
      <c r="AB1890" s="105">
        <f>IF($B1890="","",(COUNTIF(C1858:E1875,$B1890)+COUNTIF(C1858:E1875,$B1890&amp;" ~*")&gt;0)+(COUNTIF(G1858:I1875,$B1890)+COUNTIF(G1858:I1875,$B1890&amp;" ~*")&gt;0)+(COUNTIF(K1858:M1875,$B1890)+COUNTIF(K1858:M1875,$B1890&amp;" ~*")&gt;0)+(COUNTIF(O1858:Q1875,$B1890)+COUNTIF(O1858:Q1875,$B1890&amp;" ~*")&gt;0)+(COUNTIF(S1858:U1875,$B1890)+COUNTIF(S1858:U1875,$B1890&amp;" ~*")&gt;0)+(COUNTIF(W1858:W1875,$B1890)+COUNTIF(W1858:W1875,$B1890&amp;" ~*")&gt;0)+(COUNTIF(Y1858:Y1875,$B1890)+COUNTIF(Y1858:Y1875,$B1890&amp;" ~*")&gt;0))</f>
        <v/>
      </c>
      <c r="AC1890" s="38">
        <f>IF($B1890="","",(IFERROR(INDEX(Setup!$G$33:$G$40,MATCH(C1890,Setup!$B$33:$B$40,0)),0)=1)*(COUNTIF(C1858:E1875,$B1890)+COUNTIF(C1858:E1875,$B1890&amp;" ~*")&gt;0)+(IFERROR(INDEX(Setup!$G$33:$G$40,MATCH(G1890,Setup!$B$33:$B$40,0)),0)=1)*(COUNTIF(G1858:I1875,$B1890)+COUNTIF(G1858:I1875,$B1890&amp;" ~*")&gt;0)+(IFERROR(INDEX(Setup!$G$33:$G$40,MATCH(K1890,Setup!$B$33:$B$40,0)),0)=1)*(COUNTIF(K1858:M1875,$B1890)+COUNTIF(K1858:M1875,$B1890&amp;" ~*")&gt;0)+(IFERROR(INDEX(Setup!$G$33:$G$40,MATCH(O1890,Setup!$B$33:$B$40,0)),0)=1)*(COUNTIF(O1858:Q1875,$B1890)+COUNTIF(O1858:Q1875,$B1890&amp;" ~*")&gt;0)+(IFERROR(INDEX(Setup!$G$33:$G$40,MATCH(S1890,Setup!$B$33:$B$40,0)),0)=1)*(COUNTIF(S1858:U1875,$B1890)+COUNTIF(S1858:U1875,$B1890&amp;" ~*")&gt;0)+(IFERROR(INDEX(Setup!$G$33:$G$40,MATCH(W1890,Setup!$B$33:$B$40,0)),0)=1)*(COUNTIF(W1858:W1875,$B1890)+COUNTIF(W1858:W1875,$B1890&amp;" ~*")&gt;0)+(IFERROR(INDEX(Setup!$G$33:$G$40,MATCH(Y1890,Setup!$B$33:$B$40,0)),0)=1)*(COUNTIF(Y1858:Y1875,$B1890)+COUNTIF(Y1858:Y1875,$B1890&amp;" ~*")&gt;0))</f>
        <v/>
      </c>
    </row>
    <row r="1891" ht="15" customHeight="1">
      <c r="A1891" t="n">
        <v>38</v>
      </c>
      <c r="B1891" s="35">
        <f>IF(Setup!$B$20="","",Setup!$B$20)</f>
        <v/>
      </c>
      <c r="C1891" s="98" t="n"/>
      <c r="D1891" s="99" t="n"/>
      <c r="E1891" s="99" t="n"/>
      <c r="F1891" s="100" t="n"/>
      <c r="G1891" s="98" t="n"/>
      <c r="H1891" s="99" t="n"/>
      <c r="I1891" s="99" t="n"/>
      <c r="J1891" s="100" t="n"/>
      <c r="K1891" s="98" t="n"/>
      <c r="L1891" s="99" t="n"/>
      <c r="M1891" s="99" t="n"/>
      <c r="N1891" s="100" t="n"/>
      <c r="O1891" s="98" t="n"/>
      <c r="P1891" s="99" t="n"/>
      <c r="Q1891" s="99" t="n"/>
      <c r="R1891" s="100" t="n"/>
      <c r="S1891" s="98" t="n"/>
      <c r="T1891" s="99" t="n"/>
      <c r="U1891" s="99" t="n"/>
      <c r="V1891" s="100" t="n"/>
      <c r="W1891" s="98" t="n"/>
      <c r="X1891" s="100" t="n"/>
      <c r="Y1891" s="98" t="n"/>
      <c r="Z1891" s="100" t="n"/>
      <c r="AB1891" s="101">
        <f>IF($B1891="","",(COUNTIF(C1858:E1875,$B1891)+COUNTIF(C1858:E1875,$B1891&amp;" ~*")&gt;0)+(COUNTIF(G1858:I1875,$B1891)+COUNTIF(G1858:I1875,$B1891&amp;" ~*")&gt;0)+(COUNTIF(K1858:M1875,$B1891)+COUNTIF(K1858:M1875,$B1891&amp;" ~*")&gt;0)+(COUNTIF(O1858:Q1875,$B1891)+COUNTIF(O1858:Q1875,$B1891&amp;" ~*")&gt;0)+(COUNTIF(S1858:U1875,$B1891)+COUNTIF(S1858:U1875,$B1891&amp;" ~*")&gt;0)+(COUNTIF(W1858:W1875,$B1891)+COUNTIF(W1858:W1875,$B1891&amp;" ~*")&gt;0)+(COUNTIF(Y1858:Y1875,$B1891)+COUNTIF(Y1858:Y1875,$B1891&amp;" ~*")&gt;0))</f>
        <v/>
      </c>
      <c r="AC1891" s="36">
        <f>IF($B1891="","",(IFERROR(INDEX(Setup!$G$33:$G$40,MATCH(C1891,Setup!$B$33:$B$40,0)),0)=1)*(COUNTIF(C1858:E1875,$B1891)+COUNTIF(C1858:E1875,$B1891&amp;" ~*")&gt;0)+(IFERROR(INDEX(Setup!$G$33:$G$40,MATCH(G1891,Setup!$B$33:$B$40,0)),0)=1)*(COUNTIF(G1858:I1875,$B1891)+COUNTIF(G1858:I1875,$B1891&amp;" ~*")&gt;0)+(IFERROR(INDEX(Setup!$G$33:$G$40,MATCH(K1891,Setup!$B$33:$B$40,0)),0)=1)*(COUNTIF(K1858:M1875,$B1891)+COUNTIF(K1858:M1875,$B1891&amp;" ~*")&gt;0)+(IFERROR(INDEX(Setup!$G$33:$G$40,MATCH(O1891,Setup!$B$33:$B$40,0)),0)=1)*(COUNTIF(O1858:Q1875,$B1891)+COUNTIF(O1858:Q1875,$B1891&amp;" ~*")&gt;0)+(IFERROR(INDEX(Setup!$G$33:$G$40,MATCH(S1891,Setup!$B$33:$B$40,0)),0)=1)*(COUNTIF(S1858:U1875,$B1891)+COUNTIF(S1858:U1875,$B1891&amp;" ~*")&gt;0)+(IFERROR(INDEX(Setup!$G$33:$G$40,MATCH(W1891,Setup!$B$33:$B$40,0)),0)=1)*(COUNTIF(W1858:W1875,$B1891)+COUNTIF(W1858:W1875,$B1891&amp;" ~*")&gt;0)+(IFERROR(INDEX(Setup!$G$33:$G$40,MATCH(Y1891,Setup!$B$33:$B$40,0)),0)=1)*(COUNTIF(Y1858:Y1875,$B1891)+COUNTIF(Y1858:Y1875,$B1891&amp;" ~*")&gt;0))</f>
        <v/>
      </c>
    </row>
    <row r="1892" ht="15" customHeight="1">
      <c r="A1892" t="n">
        <v>38</v>
      </c>
      <c r="B1892" s="37">
        <f>IF(Setup!$B$21="","",Setup!$B$21)</f>
        <v/>
      </c>
      <c r="C1892" s="102" t="n"/>
      <c r="D1892" s="103" t="n"/>
      <c r="E1892" s="103" t="n"/>
      <c r="F1892" s="104" t="n"/>
      <c r="G1892" s="102" t="n"/>
      <c r="H1892" s="103" t="n"/>
      <c r="I1892" s="103" t="n"/>
      <c r="J1892" s="104" t="n"/>
      <c r="K1892" s="102" t="n"/>
      <c r="L1892" s="103" t="n"/>
      <c r="M1892" s="103" t="n"/>
      <c r="N1892" s="104" t="n"/>
      <c r="O1892" s="102" t="n"/>
      <c r="P1892" s="103" t="n"/>
      <c r="Q1892" s="103" t="n"/>
      <c r="R1892" s="104" t="n"/>
      <c r="S1892" s="102" t="n"/>
      <c r="T1892" s="103" t="n"/>
      <c r="U1892" s="103" t="n"/>
      <c r="V1892" s="104" t="n"/>
      <c r="W1892" s="102" t="n"/>
      <c r="X1892" s="104" t="n"/>
      <c r="Y1892" s="102" t="n"/>
      <c r="Z1892" s="104" t="n"/>
      <c r="AB1892" s="105">
        <f>IF($B1892="","",(COUNTIF(C1858:E1875,$B1892)+COUNTIF(C1858:E1875,$B1892&amp;" ~*")&gt;0)+(COUNTIF(G1858:I1875,$B1892)+COUNTIF(G1858:I1875,$B1892&amp;" ~*")&gt;0)+(COUNTIF(K1858:M1875,$B1892)+COUNTIF(K1858:M1875,$B1892&amp;" ~*")&gt;0)+(COUNTIF(O1858:Q1875,$B1892)+COUNTIF(O1858:Q1875,$B1892&amp;" ~*")&gt;0)+(COUNTIF(S1858:U1875,$B1892)+COUNTIF(S1858:U1875,$B1892&amp;" ~*")&gt;0)+(COUNTIF(W1858:W1875,$B1892)+COUNTIF(W1858:W1875,$B1892&amp;" ~*")&gt;0)+(COUNTIF(Y1858:Y1875,$B1892)+COUNTIF(Y1858:Y1875,$B1892&amp;" ~*")&gt;0))</f>
        <v/>
      </c>
      <c r="AC1892" s="38">
        <f>IF($B1892="","",(IFERROR(INDEX(Setup!$G$33:$G$40,MATCH(C1892,Setup!$B$33:$B$40,0)),0)=1)*(COUNTIF(C1858:E1875,$B1892)+COUNTIF(C1858:E1875,$B1892&amp;" ~*")&gt;0)+(IFERROR(INDEX(Setup!$G$33:$G$40,MATCH(G1892,Setup!$B$33:$B$40,0)),0)=1)*(COUNTIF(G1858:I1875,$B1892)+COUNTIF(G1858:I1875,$B1892&amp;" ~*")&gt;0)+(IFERROR(INDEX(Setup!$G$33:$G$40,MATCH(K1892,Setup!$B$33:$B$40,0)),0)=1)*(COUNTIF(K1858:M1875,$B1892)+COUNTIF(K1858:M1875,$B1892&amp;" ~*")&gt;0)+(IFERROR(INDEX(Setup!$G$33:$G$40,MATCH(O1892,Setup!$B$33:$B$40,0)),0)=1)*(COUNTIF(O1858:Q1875,$B1892)+COUNTIF(O1858:Q1875,$B1892&amp;" ~*")&gt;0)+(IFERROR(INDEX(Setup!$G$33:$G$40,MATCH(S1892,Setup!$B$33:$B$40,0)),0)=1)*(COUNTIF(S1858:U1875,$B1892)+COUNTIF(S1858:U1875,$B1892&amp;" ~*")&gt;0)+(IFERROR(INDEX(Setup!$G$33:$G$40,MATCH(W1892,Setup!$B$33:$B$40,0)),0)=1)*(COUNTIF(W1858:W1875,$B1892)+COUNTIF(W1858:W1875,$B1892&amp;" ~*")&gt;0)+(IFERROR(INDEX(Setup!$G$33:$G$40,MATCH(Y1892,Setup!$B$33:$B$40,0)),0)=1)*(COUNTIF(Y1858:Y1875,$B1892)+COUNTIF(Y1858:Y1875,$B1892&amp;" ~*")&gt;0))</f>
        <v/>
      </c>
    </row>
    <row r="1893" ht="15" customHeight="1">
      <c r="A1893" t="n">
        <v>38</v>
      </c>
      <c r="B1893" s="35">
        <f>IF(Setup!$B$22="","",Setup!$B$22)</f>
        <v/>
      </c>
      <c r="C1893" s="98" t="n"/>
      <c r="D1893" s="99" t="n"/>
      <c r="E1893" s="99" t="n"/>
      <c r="F1893" s="100" t="n"/>
      <c r="G1893" s="98" t="n"/>
      <c r="H1893" s="99" t="n"/>
      <c r="I1893" s="99" t="n"/>
      <c r="J1893" s="100" t="n"/>
      <c r="K1893" s="98" t="n"/>
      <c r="L1893" s="99" t="n"/>
      <c r="M1893" s="99" t="n"/>
      <c r="N1893" s="100" t="n"/>
      <c r="O1893" s="98" t="n"/>
      <c r="P1893" s="99" t="n"/>
      <c r="Q1893" s="99" t="n"/>
      <c r="R1893" s="100" t="n"/>
      <c r="S1893" s="98" t="n"/>
      <c r="T1893" s="99" t="n"/>
      <c r="U1893" s="99" t="n"/>
      <c r="V1893" s="100" t="n"/>
      <c r="W1893" s="98" t="n"/>
      <c r="X1893" s="100" t="n"/>
      <c r="Y1893" s="98" t="n"/>
      <c r="Z1893" s="100" t="n"/>
      <c r="AB1893" s="101">
        <f>IF($B1893="","",(COUNTIF(C1858:E1875,$B1893)+COUNTIF(C1858:E1875,$B1893&amp;" ~*")&gt;0)+(COUNTIF(G1858:I1875,$B1893)+COUNTIF(G1858:I1875,$B1893&amp;" ~*")&gt;0)+(COUNTIF(K1858:M1875,$B1893)+COUNTIF(K1858:M1875,$B1893&amp;" ~*")&gt;0)+(COUNTIF(O1858:Q1875,$B1893)+COUNTIF(O1858:Q1875,$B1893&amp;" ~*")&gt;0)+(COUNTIF(S1858:U1875,$B1893)+COUNTIF(S1858:U1875,$B1893&amp;" ~*")&gt;0)+(COUNTIF(W1858:W1875,$B1893)+COUNTIF(W1858:W1875,$B1893&amp;" ~*")&gt;0)+(COUNTIF(Y1858:Y1875,$B1893)+COUNTIF(Y1858:Y1875,$B1893&amp;" ~*")&gt;0))</f>
        <v/>
      </c>
      <c r="AC1893" s="36">
        <f>IF($B1893="","",(IFERROR(INDEX(Setup!$G$33:$G$40,MATCH(C1893,Setup!$B$33:$B$40,0)),0)=1)*(COUNTIF(C1858:E1875,$B1893)+COUNTIF(C1858:E1875,$B1893&amp;" ~*")&gt;0)+(IFERROR(INDEX(Setup!$G$33:$G$40,MATCH(G1893,Setup!$B$33:$B$40,0)),0)=1)*(COUNTIF(G1858:I1875,$B1893)+COUNTIF(G1858:I1875,$B1893&amp;" ~*")&gt;0)+(IFERROR(INDEX(Setup!$G$33:$G$40,MATCH(K1893,Setup!$B$33:$B$40,0)),0)=1)*(COUNTIF(K1858:M1875,$B1893)+COUNTIF(K1858:M1875,$B1893&amp;" ~*")&gt;0)+(IFERROR(INDEX(Setup!$G$33:$G$40,MATCH(O1893,Setup!$B$33:$B$40,0)),0)=1)*(COUNTIF(O1858:Q1875,$B1893)+COUNTIF(O1858:Q1875,$B1893&amp;" ~*")&gt;0)+(IFERROR(INDEX(Setup!$G$33:$G$40,MATCH(S1893,Setup!$B$33:$B$40,0)),0)=1)*(COUNTIF(S1858:U1875,$B1893)+COUNTIF(S1858:U1875,$B1893&amp;" ~*")&gt;0)+(IFERROR(INDEX(Setup!$G$33:$G$40,MATCH(W1893,Setup!$B$33:$B$40,0)),0)=1)*(COUNTIF(W1858:W1875,$B1893)+COUNTIF(W1858:W1875,$B1893&amp;" ~*")&gt;0)+(IFERROR(INDEX(Setup!$G$33:$G$40,MATCH(Y1893,Setup!$B$33:$B$40,0)),0)=1)*(COUNTIF(Y1858:Y1875,$B1893)+COUNTIF(Y1858:Y1875,$B1893&amp;" ~*")&gt;0))</f>
        <v/>
      </c>
    </row>
    <row r="1894" ht="15" customHeight="1">
      <c r="A1894" t="n">
        <v>38</v>
      </c>
      <c r="B1894" s="37">
        <f>IF(Setup!$B$23="","",Setup!$B$23)</f>
        <v/>
      </c>
      <c r="C1894" s="102" t="n"/>
      <c r="D1894" s="103" t="n"/>
      <c r="E1894" s="103" t="n"/>
      <c r="F1894" s="104" t="n"/>
      <c r="G1894" s="102" t="n"/>
      <c r="H1894" s="103" t="n"/>
      <c r="I1894" s="103" t="n"/>
      <c r="J1894" s="104" t="n"/>
      <c r="K1894" s="102" t="n"/>
      <c r="L1894" s="103" t="n"/>
      <c r="M1894" s="103" t="n"/>
      <c r="N1894" s="104" t="n"/>
      <c r="O1894" s="102" t="n"/>
      <c r="P1894" s="103" t="n"/>
      <c r="Q1894" s="103" t="n"/>
      <c r="R1894" s="104" t="n"/>
      <c r="S1894" s="102" t="n"/>
      <c r="T1894" s="103" t="n"/>
      <c r="U1894" s="103" t="n"/>
      <c r="V1894" s="104" t="n"/>
      <c r="W1894" s="102" t="n"/>
      <c r="X1894" s="104" t="n"/>
      <c r="Y1894" s="102" t="n"/>
      <c r="Z1894" s="104" t="n"/>
      <c r="AB1894" s="105">
        <f>IF($B1894="","",(COUNTIF(C1858:E1875,$B1894)+COUNTIF(C1858:E1875,$B1894&amp;" ~*")&gt;0)+(COUNTIF(G1858:I1875,$B1894)+COUNTIF(G1858:I1875,$B1894&amp;" ~*")&gt;0)+(COUNTIF(K1858:M1875,$B1894)+COUNTIF(K1858:M1875,$B1894&amp;" ~*")&gt;0)+(COUNTIF(O1858:Q1875,$B1894)+COUNTIF(O1858:Q1875,$B1894&amp;" ~*")&gt;0)+(COUNTIF(S1858:U1875,$B1894)+COUNTIF(S1858:U1875,$B1894&amp;" ~*")&gt;0)+(COUNTIF(W1858:W1875,$B1894)+COUNTIF(W1858:W1875,$B1894&amp;" ~*")&gt;0)+(COUNTIF(Y1858:Y1875,$B1894)+COUNTIF(Y1858:Y1875,$B1894&amp;" ~*")&gt;0))</f>
        <v/>
      </c>
      <c r="AC1894" s="38">
        <f>IF($B1894="","",(IFERROR(INDEX(Setup!$G$33:$G$40,MATCH(C1894,Setup!$B$33:$B$40,0)),0)=1)*(COUNTIF(C1858:E1875,$B1894)+COUNTIF(C1858:E1875,$B1894&amp;" ~*")&gt;0)+(IFERROR(INDEX(Setup!$G$33:$G$40,MATCH(G1894,Setup!$B$33:$B$40,0)),0)=1)*(COUNTIF(G1858:I1875,$B1894)+COUNTIF(G1858:I1875,$B1894&amp;" ~*")&gt;0)+(IFERROR(INDEX(Setup!$G$33:$G$40,MATCH(K1894,Setup!$B$33:$B$40,0)),0)=1)*(COUNTIF(K1858:M1875,$B1894)+COUNTIF(K1858:M1875,$B1894&amp;" ~*")&gt;0)+(IFERROR(INDEX(Setup!$G$33:$G$40,MATCH(O1894,Setup!$B$33:$B$40,0)),0)=1)*(COUNTIF(O1858:Q1875,$B1894)+COUNTIF(O1858:Q1875,$B1894&amp;" ~*")&gt;0)+(IFERROR(INDEX(Setup!$G$33:$G$40,MATCH(S1894,Setup!$B$33:$B$40,0)),0)=1)*(COUNTIF(S1858:U1875,$B1894)+COUNTIF(S1858:U1875,$B1894&amp;" ~*")&gt;0)+(IFERROR(INDEX(Setup!$G$33:$G$40,MATCH(W1894,Setup!$B$33:$B$40,0)),0)=1)*(COUNTIF(W1858:W1875,$B1894)+COUNTIF(W1858:W1875,$B1894&amp;" ~*")&gt;0)+(IFERROR(INDEX(Setup!$G$33:$G$40,MATCH(Y1894,Setup!$B$33:$B$40,0)),0)=1)*(COUNTIF(Y1858:Y1875,$B1894)+COUNTIF(Y1858:Y1875,$B1894&amp;" ~*")&gt;0))</f>
        <v/>
      </c>
    </row>
    <row r="1895" ht="15" customHeight="1">
      <c r="A1895" t="n">
        <v>38</v>
      </c>
      <c r="B1895" s="35">
        <f>IF(Setup!$B$24="","",Setup!$B$24)</f>
        <v/>
      </c>
      <c r="C1895" s="98" t="n"/>
      <c r="D1895" s="99" t="n"/>
      <c r="E1895" s="99" t="n"/>
      <c r="F1895" s="100" t="n"/>
      <c r="G1895" s="98" t="n"/>
      <c r="H1895" s="99" t="n"/>
      <c r="I1895" s="99" t="n"/>
      <c r="J1895" s="100" t="n"/>
      <c r="K1895" s="98" t="n"/>
      <c r="L1895" s="99" t="n"/>
      <c r="M1895" s="99" t="n"/>
      <c r="N1895" s="100" t="n"/>
      <c r="O1895" s="98" t="n"/>
      <c r="P1895" s="99" t="n"/>
      <c r="Q1895" s="99" t="n"/>
      <c r="R1895" s="100" t="n"/>
      <c r="S1895" s="98" t="n"/>
      <c r="T1895" s="99" t="n"/>
      <c r="U1895" s="99" t="n"/>
      <c r="V1895" s="100" t="n"/>
      <c r="W1895" s="98" t="n"/>
      <c r="X1895" s="100" t="n"/>
      <c r="Y1895" s="98" t="n"/>
      <c r="Z1895" s="100" t="n"/>
      <c r="AB1895" s="101">
        <f>IF($B1895="","",(COUNTIF(C1858:E1875,$B1895)+COUNTIF(C1858:E1875,$B1895&amp;" ~*")&gt;0)+(COUNTIF(G1858:I1875,$B1895)+COUNTIF(G1858:I1875,$B1895&amp;" ~*")&gt;0)+(COUNTIF(K1858:M1875,$B1895)+COUNTIF(K1858:M1875,$B1895&amp;" ~*")&gt;0)+(COUNTIF(O1858:Q1875,$B1895)+COUNTIF(O1858:Q1875,$B1895&amp;" ~*")&gt;0)+(COUNTIF(S1858:U1875,$B1895)+COUNTIF(S1858:U1875,$B1895&amp;" ~*")&gt;0)+(COUNTIF(W1858:W1875,$B1895)+COUNTIF(W1858:W1875,$B1895&amp;" ~*")&gt;0)+(COUNTIF(Y1858:Y1875,$B1895)+COUNTIF(Y1858:Y1875,$B1895&amp;" ~*")&gt;0))</f>
        <v/>
      </c>
      <c r="AC1895" s="36">
        <f>IF($B1895="","",(IFERROR(INDEX(Setup!$G$33:$G$40,MATCH(C1895,Setup!$B$33:$B$40,0)),0)=1)*(COUNTIF(C1858:E1875,$B1895)+COUNTIF(C1858:E1875,$B1895&amp;" ~*")&gt;0)+(IFERROR(INDEX(Setup!$G$33:$G$40,MATCH(G1895,Setup!$B$33:$B$40,0)),0)=1)*(COUNTIF(G1858:I1875,$B1895)+COUNTIF(G1858:I1875,$B1895&amp;" ~*")&gt;0)+(IFERROR(INDEX(Setup!$G$33:$G$40,MATCH(K1895,Setup!$B$33:$B$40,0)),0)=1)*(COUNTIF(K1858:M1875,$B1895)+COUNTIF(K1858:M1875,$B1895&amp;" ~*")&gt;0)+(IFERROR(INDEX(Setup!$G$33:$G$40,MATCH(O1895,Setup!$B$33:$B$40,0)),0)=1)*(COUNTIF(O1858:Q1875,$B1895)+COUNTIF(O1858:Q1875,$B1895&amp;" ~*")&gt;0)+(IFERROR(INDEX(Setup!$G$33:$G$40,MATCH(S1895,Setup!$B$33:$B$40,0)),0)=1)*(COUNTIF(S1858:U1875,$B1895)+COUNTIF(S1858:U1875,$B1895&amp;" ~*")&gt;0)+(IFERROR(INDEX(Setup!$G$33:$G$40,MATCH(W1895,Setup!$B$33:$B$40,0)),0)=1)*(COUNTIF(W1858:W1875,$B1895)+COUNTIF(W1858:W1875,$B1895&amp;" ~*")&gt;0)+(IFERROR(INDEX(Setup!$G$33:$G$40,MATCH(Y1895,Setup!$B$33:$B$40,0)),0)=1)*(COUNTIF(Y1858:Y1875,$B1895)+COUNTIF(Y1858:Y1875,$B1895&amp;" ~*")&gt;0))</f>
        <v/>
      </c>
    </row>
    <row r="1896" ht="15" customHeight="1">
      <c r="A1896" t="n">
        <v>38</v>
      </c>
      <c r="B1896" s="37">
        <f>IF(Setup!$B$25="","",Setup!$B$25)</f>
        <v/>
      </c>
      <c r="C1896" s="102" t="n"/>
      <c r="D1896" s="103" t="n"/>
      <c r="E1896" s="103" t="n"/>
      <c r="F1896" s="104" t="n"/>
      <c r="G1896" s="102" t="n"/>
      <c r="H1896" s="103" t="n"/>
      <c r="I1896" s="103" t="n"/>
      <c r="J1896" s="104" t="n"/>
      <c r="K1896" s="102" t="n"/>
      <c r="L1896" s="103" t="n"/>
      <c r="M1896" s="103" t="n"/>
      <c r="N1896" s="104" t="n"/>
      <c r="O1896" s="102" t="n"/>
      <c r="P1896" s="103" t="n"/>
      <c r="Q1896" s="103" t="n"/>
      <c r="R1896" s="104" t="n"/>
      <c r="S1896" s="102" t="n"/>
      <c r="T1896" s="103" t="n"/>
      <c r="U1896" s="103" t="n"/>
      <c r="V1896" s="104" t="n"/>
      <c r="W1896" s="102" t="n"/>
      <c r="X1896" s="104" t="n"/>
      <c r="Y1896" s="102" t="n"/>
      <c r="Z1896" s="104" t="n"/>
      <c r="AB1896" s="105">
        <f>IF($B1896="","",(COUNTIF(C1858:E1875,$B1896)+COUNTIF(C1858:E1875,$B1896&amp;" ~*")&gt;0)+(COUNTIF(G1858:I1875,$B1896)+COUNTIF(G1858:I1875,$B1896&amp;" ~*")&gt;0)+(COUNTIF(K1858:M1875,$B1896)+COUNTIF(K1858:M1875,$B1896&amp;" ~*")&gt;0)+(COUNTIF(O1858:Q1875,$B1896)+COUNTIF(O1858:Q1875,$B1896&amp;" ~*")&gt;0)+(COUNTIF(S1858:U1875,$B1896)+COUNTIF(S1858:U1875,$B1896&amp;" ~*")&gt;0)+(COUNTIF(W1858:W1875,$B1896)+COUNTIF(W1858:W1875,$B1896&amp;" ~*")&gt;0)+(COUNTIF(Y1858:Y1875,$B1896)+COUNTIF(Y1858:Y1875,$B1896&amp;" ~*")&gt;0))</f>
        <v/>
      </c>
      <c r="AC1896" s="38">
        <f>IF($B1896="","",(IFERROR(INDEX(Setup!$G$33:$G$40,MATCH(C1896,Setup!$B$33:$B$40,0)),0)=1)*(COUNTIF(C1858:E1875,$B1896)+COUNTIF(C1858:E1875,$B1896&amp;" ~*")&gt;0)+(IFERROR(INDEX(Setup!$G$33:$G$40,MATCH(G1896,Setup!$B$33:$B$40,0)),0)=1)*(COUNTIF(G1858:I1875,$B1896)+COUNTIF(G1858:I1875,$B1896&amp;" ~*")&gt;0)+(IFERROR(INDEX(Setup!$G$33:$G$40,MATCH(K1896,Setup!$B$33:$B$40,0)),0)=1)*(COUNTIF(K1858:M1875,$B1896)+COUNTIF(K1858:M1875,$B1896&amp;" ~*")&gt;0)+(IFERROR(INDEX(Setup!$G$33:$G$40,MATCH(O1896,Setup!$B$33:$B$40,0)),0)=1)*(COUNTIF(O1858:Q1875,$B1896)+COUNTIF(O1858:Q1875,$B1896&amp;" ~*")&gt;0)+(IFERROR(INDEX(Setup!$G$33:$G$40,MATCH(S1896,Setup!$B$33:$B$40,0)),0)=1)*(COUNTIF(S1858:U1875,$B1896)+COUNTIF(S1858:U1875,$B1896&amp;" ~*")&gt;0)+(IFERROR(INDEX(Setup!$G$33:$G$40,MATCH(W1896,Setup!$B$33:$B$40,0)),0)=1)*(COUNTIF(W1858:W1875,$B1896)+COUNTIF(W1858:W1875,$B1896&amp;" ~*")&gt;0)+(IFERROR(INDEX(Setup!$G$33:$G$40,MATCH(Y1896,Setup!$B$33:$B$40,0)),0)=1)*(COUNTIF(Y1858:Y1875,$B1896)+COUNTIF(Y1858:Y1875,$B1896&amp;" ~*")&gt;0))</f>
        <v/>
      </c>
    </row>
    <row r="1897" ht="15" customHeight="1">
      <c r="A1897" t="n">
        <v>38</v>
      </c>
      <c r="B1897" s="35">
        <f>IF(Setup!$B$26="","",Setup!$B$26)</f>
        <v/>
      </c>
      <c r="C1897" s="98" t="n"/>
      <c r="D1897" s="99" t="n"/>
      <c r="E1897" s="99" t="n"/>
      <c r="F1897" s="100" t="n"/>
      <c r="G1897" s="98" t="n"/>
      <c r="H1897" s="99" t="n"/>
      <c r="I1897" s="99" t="n"/>
      <c r="J1897" s="100" t="n"/>
      <c r="K1897" s="98" t="n"/>
      <c r="L1897" s="99" t="n"/>
      <c r="M1897" s="99" t="n"/>
      <c r="N1897" s="100" t="n"/>
      <c r="O1897" s="98" t="n"/>
      <c r="P1897" s="99" t="n"/>
      <c r="Q1897" s="99" t="n"/>
      <c r="R1897" s="100" t="n"/>
      <c r="S1897" s="98" t="n"/>
      <c r="T1897" s="99" t="n"/>
      <c r="U1897" s="99" t="n"/>
      <c r="V1897" s="100" t="n"/>
      <c r="W1897" s="98" t="n"/>
      <c r="X1897" s="100" t="n"/>
      <c r="Y1897" s="98" t="n"/>
      <c r="Z1897" s="100" t="n"/>
      <c r="AB1897" s="101">
        <f>IF($B1897="","",(COUNTIF(C1858:E1875,$B1897)+COUNTIF(C1858:E1875,$B1897&amp;" ~*")&gt;0)+(COUNTIF(G1858:I1875,$B1897)+COUNTIF(G1858:I1875,$B1897&amp;" ~*")&gt;0)+(COUNTIF(K1858:M1875,$B1897)+COUNTIF(K1858:M1875,$B1897&amp;" ~*")&gt;0)+(COUNTIF(O1858:Q1875,$B1897)+COUNTIF(O1858:Q1875,$B1897&amp;" ~*")&gt;0)+(COUNTIF(S1858:U1875,$B1897)+COUNTIF(S1858:U1875,$B1897&amp;" ~*")&gt;0)+(COUNTIF(W1858:W1875,$B1897)+COUNTIF(W1858:W1875,$B1897&amp;" ~*")&gt;0)+(COUNTIF(Y1858:Y1875,$B1897)+COUNTIF(Y1858:Y1875,$B1897&amp;" ~*")&gt;0))</f>
        <v/>
      </c>
      <c r="AC1897" s="36">
        <f>IF($B1897="","",(IFERROR(INDEX(Setup!$G$33:$G$40,MATCH(C1897,Setup!$B$33:$B$40,0)),0)=1)*(COUNTIF(C1858:E1875,$B1897)+COUNTIF(C1858:E1875,$B1897&amp;" ~*")&gt;0)+(IFERROR(INDEX(Setup!$G$33:$G$40,MATCH(G1897,Setup!$B$33:$B$40,0)),0)=1)*(COUNTIF(G1858:I1875,$B1897)+COUNTIF(G1858:I1875,$B1897&amp;" ~*")&gt;0)+(IFERROR(INDEX(Setup!$G$33:$G$40,MATCH(K1897,Setup!$B$33:$B$40,0)),0)=1)*(COUNTIF(K1858:M1875,$B1897)+COUNTIF(K1858:M1875,$B1897&amp;" ~*")&gt;0)+(IFERROR(INDEX(Setup!$G$33:$G$40,MATCH(O1897,Setup!$B$33:$B$40,0)),0)=1)*(COUNTIF(O1858:Q1875,$B1897)+COUNTIF(O1858:Q1875,$B1897&amp;" ~*")&gt;0)+(IFERROR(INDEX(Setup!$G$33:$G$40,MATCH(S1897,Setup!$B$33:$B$40,0)),0)=1)*(COUNTIF(S1858:U1875,$B1897)+COUNTIF(S1858:U1875,$B1897&amp;" ~*")&gt;0)+(IFERROR(INDEX(Setup!$G$33:$G$40,MATCH(W1897,Setup!$B$33:$B$40,0)),0)=1)*(COUNTIF(W1858:W1875,$B1897)+COUNTIF(W1858:W1875,$B1897&amp;" ~*")&gt;0)+(IFERROR(INDEX(Setup!$G$33:$G$40,MATCH(Y1897,Setup!$B$33:$B$40,0)),0)=1)*(COUNTIF(Y1858:Y1875,$B1897)+COUNTIF(Y1858:Y1875,$B1897&amp;" ~*")&gt;0))</f>
        <v/>
      </c>
    </row>
    <row r="1898" ht="15" customHeight="1">
      <c r="A1898" t="n">
        <v>38</v>
      </c>
      <c r="B1898" s="37">
        <f>IF(Setup!$B$27="","",Setup!$B$27)</f>
        <v/>
      </c>
      <c r="C1898" s="102" t="n"/>
      <c r="D1898" s="103" t="n"/>
      <c r="E1898" s="103" t="n"/>
      <c r="F1898" s="104" t="n"/>
      <c r="G1898" s="102" t="n"/>
      <c r="H1898" s="103" t="n"/>
      <c r="I1898" s="103" t="n"/>
      <c r="J1898" s="104" t="n"/>
      <c r="K1898" s="102" t="n"/>
      <c r="L1898" s="103" t="n"/>
      <c r="M1898" s="103" t="n"/>
      <c r="N1898" s="104" t="n"/>
      <c r="O1898" s="102" t="n"/>
      <c r="P1898" s="103" t="n"/>
      <c r="Q1898" s="103" t="n"/>
      <c r="R1898" s="104" t="n"/>
      <c r="S1898" s="102" t="n"/>
      <c r="T1898" s="103" t="n"/>
      <c r="U1898" s="103" t="n"/>
      <c r="V1898" s="104" t="n"/>
      <c r="W1898" s="102" t="n"/>
      <c r="X1898" s="104" t="n"/>
      <c r="Y1898" s="102" t="n"/>
      <c r="Z1898" s="104" t="n"/>
      <c r="AB1898" s="105">
        <f>IF($B1898="","",(COUNTIF(C1858:E1875,$B1898)+COUNTIF(C1858:E1875,$B1898&amp;" ~*")&gt;0)+(COUNTIF(G1858:I1875,$B1898)+COUNTIF(G1858:I1875,$B1898&amp;" ~*")&gt;0)+(COUNTIF(K1858:M1875,$B1898)+COUNTIF(K1858:M1875,$B1898&amp;" ~*")&gt;0)+(COUNTIF(O1858:Q1875,$B1898)+COUNTIF(O1858:Q1875,$B1898&amp;" ~*")&gt;0)+(COUNTIF(S1858:U1875,$B1898)+COUNTIF(S1858:U1875,$B1898&amp;" ~*")&gt;0)+(COUNTIF(W1858:W1875,$B1898)+COUNTIF(W1858:W1875,$B1898&amp;" ~*")&gt;0)+(COUNTIF(Y1858:Y1875,$B1898)+COUNTIF(Y1858:Y1875,$B1898&amp;" ~*")&gt;0))</f>
        <v/>
      </c>
      <c r="AC1898" s="38">
        <f>IF($B1898="","",(IFERROR(INDEX(Setup!$G$33:$G$40,MATCH(C1898,Setup!$B$33:$B$40,0)),0)=1)*(COUNTIF(C1858:E1875,$B1898)+COUNTIF(C1858:E1875,$B1898&amp;" ~*")&gt;0)+(IFERROR(INDEX(Setup!$G$33:$G$40,MATCH(G1898,Setup!$B$33:$B$40,0)),0)=1)*(COUNTIF(G1858:I1875,$B1898)+COUNTIF(G1858:I1875,$B1898&amp;" ~*")&gt;0)+(IFERROR(INDEX(Setup!$G$33:$G$40,MATCH(K1898,Setup!$B$33:$B$40,0)),0)=1)*(COUNTIF(K1858:M1875,$B1898)+COUNTIF(K1858:M1875,$B1898&amp;" ~*")&gt;0)+(IFERROR(INDEX(Setup!$G$33:$G$40,MATCH(O1898,Setup!$B$33:$B$40,0)),0)=1)*(COUNTIF(O1858:Q1875,$B1898)+COUNTIF(O1858:Q1875,$B1898&amp;" ~*")&gt;0)+(IFERROR(INDEX(Setup!$G$33:$G$40,MATCH(S1898,Setup!$B$33:$B$40,0)),0)=1)*(COUNTIF(S1858:U1875,$B1898)+COUNTIF(S1858:U1875,$B1898&amp;" ~*")&gt;0)+(IFERROR(INDEX(Setup!$G$33:$G$40,MATCH(W1898,Setup!$B$33:$B$40,0)),0)=1)*(COUNTIF(W1858:W1875,$B1898)+COUNTIF(W1858:W1875,$B1898&amp;" ~*")&gt;0)+(IFERROR(INDEX(Setup!$G$33:$G$40,MATCH(Y1898,Setup!$B$33:$B$40,0)),0)=1)*(COUNTIF(Y1858:Y1875,$B1898)+COUNTIF(Y1858:Y1875,$B1898&amp;" ~*")&gt;0))</f>
        <v/>
      </c>
    </row>
    <row r="1899" ht="15" customHeight="1">
      <c r="A1899" t="n">
        <v>38</v>
      </c>
      <c r="B1899" s="35">
        <f>IF(Setup!$B$28="","",Setup!$B$28)</f>
        <v/>
      </c>
      <c r="C1899" s="98" t="n"/>
      <c r="D1899" s="99" t="n"/>
      <c r="E1899" s="99" t="n"/>
      <c r="F1899" s="100" t="n"/>
      <c r="G1899" s="98" t="n"/>
      <c r="H1899" s="99" t="n"/>
      <c r="I1899" s="99" t="n"/>
      <c r="J1899" s="100" t="n"/>
      <c r="K1899" s="98" t="n"/>
      <c r="L1899" s="99" t="n"/>
      <c r="M1899" s="99" t="n"/>
      <c r="N1899" s="100" t="n"/>
      <c r="O1899" s="98" t="n"/>
      <c r="P1899" s="99" t="n"/>
      <c r="Q1899" s="99" t="n"/>
      <c r="R1899" s="100" t="n"/>
      <c r="S1899" s="98" t="n"/>
      <c r="T1899" s="99" t="n"/>
      <c r="U1899" s="99" t="n"/>
      <c r="V1899" s="100" t="n"/>
      <c r="W1899" s="98" t="n"/>
      <c r="X1899" s="100" t="n"/>
      <c r="Y1899" s="98" t="n"/>
      <c r="Z1899" s="100" t="n"/>
      <c r="AB1899" s="101">
        <f>IF($B1899="","",(COUNTIF(C1858:E1875,$B1899)+COUNTIF(C1858:E1875,$B1899&amp;" ~*")&gt;0)+(COUNTIF(G1858:I1875,$B1899)+COUNTIF(G1858:I1875,$B1899&amp;" ~*")&gt;0)+(COUNTIF(K1858:M1875,$B1899)+COUNTIF(K1858:M1875,$B1899&amp;" ~*")&gt;0)+(COUNTIF(O1858:Q1875,$B1899)+COUNTIF(O1858:Q1875,$B1899&amp;" ~*")&gt;0)+(COUNTIF(S1858:U1875,$B1899)+COUNTIF(S1858:U1875,$B1899&amp;" ~*")&gt;0)+(COUNTIF(W1858:W1875,$B1899)+COUNTIF(W1858:W1875,$B1899&amp;" ~*")&gt;0)+(COUNTIF(Y1858:Y1875,$B1899)+COUNTIF(Y1858:Y1875,$B1899&amp;" ~*")&gt;0))</f>
        <v/>
      </c>
      <c r="AC1899" s="36">
        <f>IF($B1899="","",(IFERROR(INDEX(Setup!$G$33:$G$40,MATCH(C1899,Setup!$B$33:$B$40,0)),0)=1)*(COUNTIF(C1858:E1875,$B1899)+COUNTIF(C1858:E1875,$B1899&amp;" ~*")&gt;0)+(IFERROR(INDEX(Setup!$G$33:$G$40,MATCH(G1899,Setup!$B$33:$B$40,0)),0)=1)*(COUNTIF(G1858:I1875,$B1899)+COUNTIF(G1858:I1875,$B1899&amp;" ~*")&gt;0)+(IFERROR(INDEX(Setup!$G$33:$G$40,MATCH(K1899,Setup!$B$33:$B$40,0)),0)=1)*(COUNTIF(K1858:M1875,$B1899)+COUNTIF(K1858:M1875,$B1899&amp;" ~*")&gt;0)+(IFERROR(INDEX(Setup!$G$33:$G$40,MATCH(O1899,Setup!$B$33:$B$40,0)),0)=1)*(COUNTIF(O1858:Q1875,$B1899)+COUNTIF(O1858:Q1875,$B1899&amp;" ~*")&gt;0)+(IFERROR(INDEX(Setup!$G$33:$G$40,MATCH(S1899,Setup!$B$33:$B$40,0)),0)=1)*(COUNTIF(S1858:U1875,$B1899)+COUNTIF(S1858:U1875,$B1899&amp;" ~*")&gt;0)+(IFERROR(INDEX(Setup!$G$33:$G$40,MATCH(W1899,Setup!$B$33:$B$40,0)),0)=1)*(COUNTIF(W1858:W1875,$B1899)+COUNTIF(W1858:W1875,$B1899&amp;" ~*")&gt;0)+(IFERROR(INDEX(Setup!$G$33:$G$40,MATCH(Y1899,Setup!$B$33:$B$40,0)),0)=1)*(COUNTIF(Y1858:Y1875,$B1899)+COUNTIF(Y1858:Y1875,$B1899&amp;" ~*")&gt;0))</f>
        <v/>
      </c>
    </row>
    <row r="1900" ht="15" customHeight="1">
      <c r="A1900" t="n">
        <v>38</v>
      </c>
      <c r="B1900" s="37">
        <f>IF(Setup!$B$29="","",Setup!$B$29)</f>
        <v/>
      </c>
      <c r="C1900" s="102" t="n"/>
      <c r="D1900" s="103" t="n"/>
      <c r="E1900" s="103" t="n"/>
      <c r="F1900" s="104" t="n"/>
      <c r="G1900" s="102" t="n"/>
      <c r="H1900" s="103" t="n"/>
      <c r="I1900" s="103" t="n"/>
      <c r="J1900" s="104" t="n"/>
      <c r="K1900" s="102" t="n"/>
      <c r="L1900" s="103" t="n"/>
      <c r="M1900" s="103" t="n"/>
      <c r="N1900" s="104" t="n"/>
      <c r="O1900" s="102" t="n"/>
      <c r="P1900" s="103" t="n"/>
      <c r="Q1900" s="103" t="n"/>
      <c r="R1900" s="104" t="n"/>
      <c r="S1900" s="102" t="n"/>
      <c r="T1900" s="103" t="n"/>
      <c r="U1900" s="103" t="n"/>
      <c r="V1900" s="104" t="n"/>
      <c r="W1900" s="102" t="n"/>
      <c r="X1900" s="104" t="n"/>
      <c r="Y1900" s="102" t="n"/>
      <c r="Z1900" s="104" t="n"/>
      <c r="AB1900" s="105">
        <f>IF($B1900="","",(COUNTIF(C1858:E1875,$B1900)+COUNTIF(C1858:E1875,$B1900&amp;" ~*")&gt;0)+(COUNTIF(G1858:I1875,$B1900)+COUNTIF(G1858:I1875,$B1900&amp;" ~*")&gt;0)+(COUNTIF(K1858:M1875,$B1900)+COUNTIF(K1858:M1875,$B1900&amp;" ~*")&gt;0)+(COUNTIF(O1858:Q1875,$B1900)+COUNTIF(O1858:Q1875,$B1900&amp;" ~*")&gt;0)+(COUNTIF(S1858:U1875,$B1900)+COUNTIF(S1858:U1875,$B1900&amp;" ~*")&gt;0)+(COUNTIF(W1858:W1875,$B1900)+COUNTIF(W1858:W1875,$B1900&amp;" ~*")&gt;0)+(COUNTIF(Y1858:Y1875,$B1900)+COUNTIF(Y1858:Y1875,$B1900&amp;" ~*")&gt;0))</f>
        <v/>
      </c>
      <c r="AC1900" s="38">
        <f>IF($B1900="","",(IFERROR(INDEX(Setup!$G$33:$G$40,MATCH(C1900,Setup!$B$33:$B$40,0)),0)=1)*(COUNTIF(C1858:E1875,$B1900)+COUNTIF(C1858:E1875,$B1900&amp;" ~*")&gt;0)+(IFERROR(INDEX(Setup!$G$33:$G$40,MATCH(G1900,Setup!$B$33:$B$40,0)),0)=1)*(COUNTIF(G1858:I1875,$B1900)+COUNTIF(G1858:I1875,$B1900&amp;" ~*")&gt;0)+(IFERROR(INDEX(Setup!$G$33:$G$40,MATCH(K1900,Setup!$B$33:$B$40,0)),0)=1)*(COUNTIF(K1858:M1875,$B1900)+COUNTIF(K1858:M1875,$B1900&amp;" ~*")&gt;0)+(IFERROR(INDEX(Setup!$G$33:$G$40,MATCH(O1900,Setup!$B$33:$B$40,0)),0)=1)*(COUNTIF(O1858:Q1875,$B1900)+COUNTIF(O1858:Q1875,$B1900&amp;" ~*")&gt;0)+(IFERROR(INDEX(Setup!$G$33:$G$40,MATCH(S1900,Setup!$B$33:$B$40,0)),0)=1)*(COUNTIF(S1858:U1875,$B1900)+COUNTIF(S1858:U1875,$B1900&amp;" ~*")&gt;0)+(IFERROR(INDEX(Setup!$G$33:$G$40,MATCH(W1900,Setup!$B$33:$B$40,0)),0)=1)*(COUNTIF(W1858:W1875,$B1900)+COUNTIF(W1858:W1875,$B1900&amp;" ~*")&gt;0)+(IFERROR(INDEX(Setup!$G$33:$G$40,MATCH(Y1900,Setup!$B$33:$B$40,0)),0)=1)*(COUNTIF(Y1858:Y1875,$B1900)+COUNTIF(Y1858:Y1875,$B1900&amp;" ~*")&gt;0))</f>
        <v/>
      </c>
    </row>
    <row r="1901" ht="16" customHeight="1">
      <c r="A1901" t="n">
        <v>38</v>
      </c>
      <c r="B1901" s="106" t="inlineStr">
        <is>
          <t>Available people</t>
        </is>
      </c>
      <c r="C1901" s="107">
        <f>COUNTIFS(Setup!$E$6:$E$29,"Y",Setup!$B$6:$B$29,"?*")-SUMPRODUCT(COUNTIF(C1877:C1900,Setup!$F$33:$F$40))</f>
        <v/>
      </c>
      <c r="D1901" s="107" t="n"/>
      <c r="E1901" s="107" t="n"/>
      <c r="F1901" s="107" t="n"/>
      <c r="G1901" s="107">
        <f>COUNTIFS(Setup!$E$6:$E$29,"Y",Setup!$B$6:$B$29,"?*")-SUMPRODUCT(COUNTIF(G1877:G1900,Setup!$F$33:$F$40))</f>
        <v/>
      </c>
      <c r="H1901" s="107" t="n"/>
      <c r="I1901" s="107" t="n"/>
      <c r="J1901" s="107" t="n"/>
      <c r="K1901" s="107">
        <f>COUNTIFS(Setup!$E$6:$E$29,"Y",Setup!$B$6:$B$29,"?*")-SUMPRODUCT(COUNTIF(K1877:K1900,Setup!$F$33:$F$40))</f>
        <v/>
      </c>
      <c r="L1901" s="107" t="n"/>
      <c r="M1901" s="107" t="n"/>
      <c r="N1901" s="107" t="n"/>
      <c r="O1901" s="107">
        <f>COUNTIFS(Setup!$E$6:$E$29,"Y",Setup!$B$6:$B$29,"?*")-SUMPRODUCT(COUNTIF(O1877:O1900,Setup!$F$33:$F$40))</f>
        <v/>
      </c>
      <c r="P1901" s="107" t="n"/>
      <c r="Q1901" s="107" t="n"/>
      <c r="R1901" s="107" t="n"/>
      <c r="S1901" s="107">
        <f>COUNTIFS(Setup!$E$6:$E$29,"Y",Setup!$B$6:$B$29,"?*")-SUMPRODUCT(COUNTIF(S1877:S1900,Setup!$F$33:$F$40))</f>
        <v/>
      </c>
      <c r="T1901" s="107" t="n"/>
      <c r="U1901" s="107" t="n"/>
      <c r="V1901" s="107" t="n"/>
      <c r="W1901" s="107">
        <f>COUNTIFS(Setup!$E$6:$E$29,"Y",Setup!$B$6:$B$29,"?*")-SUMPRODUCT(COUNTIF(W1877:W1900,Setup!$F$33:$F$40))</f>
        <v/>
      </c>
      <c r="X1901" s="107" t="n"/>
      <c r="Y1901" s="107">
        <f>COUNTIFS(Setup!$E$6:$E$29,"Y",Setup!$B$6:$B$29,"?*")-SUMPRODUCT(COUNTIF(Y1877:Y1900,Setup!$F$33:$F$40))</f>
        <v/>
      </c>
      <c r="Z1901" s="107" t="n"/>
      <c r="AB1901" s="108">
        <f>SUM(AB1877:AB1900)</f>
        <v/>
      </c>
      <c r="AC1901" s="109">
        <f>SUM(AC1877:AC1900)</f>
        <v/>
      </c>
    </row>
    <row r="1902" ht="30" customHeight="1">
      <c r="A1902" t="n">
        <v>38</v>
      </c>
      <c r="B1902" s="110" t="inlineStr">
        <is>
          <t>Week notes</t>
        </is>
      </c>
      <c r="C1902" s="111" t="n"/>
      <c r="D1902" s="112" t="n"/>
      <c r="E1902" s="112" t="n"/>
      <c r="F1902" s="112" t="n"/>
      <c r="G1902" s="112" t="n"/>
      <c r="H1902" s="112" t="n"/>
      <c r="I1902" s="112" t="n"/>
      <c r="J1902" s="112" t="n"/>
      <c r="K1902" s="112" t="n"/>
      <c r="L1902" s="112" t="n"/>
      <c r="M1902" s="112" t="n"/>
      <c r="N1902" s="112" t="n"/>
      <c r="O1902" s="112" t="n"/>
      <c r="P1902" s="112" t="n"/>
      <c r="Q1902" s="112" t="n"/>
      <c r="R1902" s="112" t="n"/>
      <c r="S1902" s="112" t="n"/>
      <c r="T1902" s="112" t="n"/>
      <c r="U1902" s="112" t="n"/>
      <c r="V1902" s="112" t="n"/>
      <c r="W1902" s="112" t="n"/>
      <c r="X1902" s="112" t="n"/>
      <c r="Y1902" s="112" t="n"/>
      <c r="Z1902" s="113" t="n"/>
    </row>
    <row r="1903" ht="8" customHeight="1">
      <c r="A1903" t="n">
        <v>38</v>
      </c>
    </row>
    <row r="1904" ht="8" customHeight="1">
      <c r="A1904" t="n">
        <v>38</v>
      </c>
    </row>
    <row r="1905" ht="24" customHeight="1">
      <c r="A1905" t="n">
        <v>39</v>
      </c>
      <c r="B1905" s="73">
        <f>"WEEK 39     "&amp;TEXT(C1906,"ddd d mmm")&amp;"  –  "&amp;TEXT(C1906+6,"ddd d mmm yyyy")</f>
        <v/>
      </c>
      <c r="S1905" s="74">
        <f>IF(TODAY()&lt;C1906,"FUTURE",IF(TODAY()&gt;C1906+6,"PAST","THIS WEEK"))</f>
        <v/>
      </c>
      <c r="W1905" s="75">
        <f>IF(AND(Engine!$B$8=$AC$3,Engine!$B$9=$A1905),"◀ ACTIVE WEEK","")</f>
        <v/>
      </c>
      <c r="AA1905" s="76" t="n"/>
      <c r="AB1905" s="77" t="inlineStr">
        <is>
          <t>◀ Prev</t>
        </is>
      </c>
      <c r="AC1905" s="77" t="inlineStr">
        <is>
          <t>Next ▶</t>
        </is>
      </c>
    </row>
    <row r="1906" ht="18" customHeight="1">
      <c r="A1906" t="n">
        <v>39</v>
      </c>
      <c r="B1906" s="78" t="inlineStr">
        <is>
          <t>DUTY</t>
        </is>
      </c>
      <c r="C1906" s="79">
        <f>$AC$2+7*($A1906-1)</f>
        <v/>
      </c>
      <c r="D1906" s="80" t="n"/>
      <c r="E1906" s="80" t="n"/>
      <c r="F1906" s="81" t="n"/>
      <c r="G1906" s="79">
        <f>C1906+1</f>
        <v/>
      </c>
      <c r="H1906" s="80" t="n"/>
      <c r="I1906" s="80" t="n"/>
      <c r="J1906" s="81" t="n"/>
      <c r="K1906" s="79">
        <f>C1906+2</f>
        <v/>
      </c>
      <c r="L1906" s="80" t="n"/>
      <c r="M1906" s="80" t="n"/>
      <c r="N1906" s="81" t="n"/>
      <c r="O1906" s="79">
        <f>C1906+3</f>
        <v/>
      </c>
      <c r="P1906" s="80" t="n"/>
      <c r="Q1906" s="80" t="n"/>
      <c r="R1906" s="81" t="n"/>
      <c r="S1906" s="79">
        <f>C1906+4</f>
        <v/>
      </c>
      <c r="T1906" s="80" t="n"/>
      <c r="U1906" s="80" t="n"/>
      <c r="V1906" s="81" t="n"/>
      <c r="W1906" s="82">
        <f>C1906+5</f>
        <v/>
      </c>
      <c r="X1906" s="83" t="n"/>
      <c r="Y1906" s="82">
        <f>C1906+6</f>
        <v/>
      </c>
      <c r="Z1906" s="83" t="n"/>
      <c r="AB1906" s="72" t="inlineStr">
        <is>
          <t>Gaps</t>
        </is>
      </c>
      <c r="AC1906" s="72" t="inlineStr">
        <is>
          <t>Cover</t>
        </is>
      </c>
    </row>
    <row r="1907" ht="14" customHeight="1">
      <c r="A1907" t="n">
        <v>39</v>
      </c>
      <c r="B1907" s="84" t="inlineStr">
        <is>
          <t>(from Setup)</t>
        </is>
      </c>
      <c r="C1907" s="85" t="inlineStr">
        <is>
          <t>1</t>
        </is>
      </c>
      <c r="D1907" s="85" t="inlineStr">
        <is>
          <t>2</t>
        </is>
      </c>
      <c r="E1907" s="85" t="inlineStr">
        <is>
          <t>3</t>
        </is>
      </c>
      <c r="F1907" s="85" t="inlineStr">
        <is>
          <t>Notes</t>
        </is>
      </c>
      <c r="G1907" s="85" t="inlineStr">
        <is>
          <t>1</t>
        </is>
      </c>
      <c r="H1907" s="85" t="inlineStr">
        <is>
          <t>2</t>
        </is>
      </c>
      <c r="I1907" s="85" t="inlineStr">
        <is>
          <t>3</t>
        </is>
      </c>
      <c r="J1907" s="85" t="inlineStr">
        <is>
          <t>Notes</t>
        </is>
      </c>
      <c r="K1907" s="85" t="inlineStr">
        <is>
          <t>1</t>
        </is>
      </c>
      <c r="L1907" s="85" t="inlineStr">
        <is>
          <t>2</t>
        </is>
      </c>
      <c r="M1907" s="85" t="inlineStr">
        <is>
          <t>3</t>
        </is>
      </c>
      <c r="N1907" s="85" t="inlineStr">
        <is>
          <t>Notes</t>
        </is>
      </c>
      <c r="O1907" s="85" t="inlineStr">
        <is>
          <t>1</t>
        </is>
      </c>
      <c r="P1907" s="85" t="inlineStr">
        <is>
          <t>2</t>
        </is>
      </c>
      <c r="Q1907" s="85" t="inlineStr">
        <is>
          <t>3</t>
        </is>
      </c>
      <c r="R1907" s="85" t="inlineStr">
        <is>
          <t>Notes</t>
        </is>
      </c>
      <c r="S1907" s="85" t="inlineStr">
        <is>
          <t>1</t>
        </is>
      </c>
      <c r="T1907" s="85" t="inlineStr">
        <is>
          <t>2</t>
        </is>
      </c>
      <c r="U1907" s="85" t="inlineStr">
        <is>
          <t>3</t>
        </is>
      </c>
      <c r="V1907" s="85" t="inlineStr">
        <is>
          <t>Notes</t>
        </is>
      </c>
      <c r="W1907" s="85" t="inlineStr">
        <is>
          <t>Cover</t>
        </is>
      </c>
      <c r="X1907" s="85" t="inlineStr">
        <is>
          <t>Notes</t>
        </is>
      </c>
      <c r="Y1907" s="85" t="inlineStr">
        <is>
          <t>Cover</t>
        </is>
      </c>
      <c r="Z1907" s="85" t="inlineStr">
        <is>
          <t>Notes</t>
        </is>
      </c>
      <c r="AB1907" s="86" t="inlineStr">
        <is>
          <t>weekdays short</t>
        </is>
      </c>
      <c r="AC1907" s="87" t="inlineStr"/>
    </row>
    <row r="1908" ht="17" customHeight="1">
      <c r="A1908" t="n">
        <v>39</v>
      </c>
      <c r="B1908" s="24">
        <f>IF(Setup!$K$6="","",Setup!$K$6)</f>
        <v/>
      </c>
      <c r="C1908" s="88" t="n"/>
      <c r="D1908" s="88" t="n"/>
      <c r="E1908" s="88" t="n"/>
      <c r="F1908" s="89" t="n"/>
      <c r="G1908" s="88" t="n"/>
      <c r="H1908" s="88" t="n"/>
      <c r="I1908" s="88" t="n"/>
      <c r="J1908" s="89" t="n"/>
      <c r="K1908" s="88" t="n"/>
      <c r="L1908" s="88" t="n"/>
      <c r="M1908" s="88" t="n"/>
      <c r="N1908" s="89" t="n"/>
      <c r="O1908" s="88" t="n"/>
      <c r="P1908" s="88" t="n"/>
      <c r="Q1908" s="88" t="n"/>
      <c r="R1908" s="89" t="n"/>
      <c r="S1908" s="88" t="n"/>
      <c r="T1908" s="88" t="n"/>
      <c r="U1908" s="88" t="n"/>
      <c r="V1908" s="89" t="n"/>
      <c r="W1908" s="88" t="n"/>
      <c r="X1908" s="89" t="n"/>
      <c r="Y1908" s="88" t="n"/>
      <c r="Z1908" s="89" t="n"/>
      <c r="AB1908" s="25">
        <f>IF($B1908="","",(COUNTIF(C1908:E1908,"?*")&lt;N(INDEX(Setup!$L$6:$L$23,1)))+(COUNTIF(G1908:I1908,"?*")&lt;N(INDEX(Setup!$L$6:$L$23,1)))+(COUNTIF(K1908:M1908,"?*")&lt;N(INDEX(Setup!$L$6:$L$23,1)))+(COUNTIF(O1908:Q1908,"?*")&lt;N(INDEX(Setup!$L$6:$L$23,1)))+(COUNTIF(S1908:U1908,"?*")&lt;N(INDEX(Setup!$L$6:$L$23,1)))+((W1908="")*(INDEX(Setup!$M$6:$M$23,1)="Y"))+((Y1908="")*(INDEX(Setup!$M$6:$M$23,1)="Y")))</f>
        <v/>
      </c>
      <c r="AC1908" s="90">
        <f>IF($B1908="","",IF(AB1908=0,"✓ covered","⚠ "&amp;AB1908&amp;IF(AB1908=1," gap"," gaps")))</f>
        <v/>
      </c>
    </row>
    <row r="1909" ht="17" customHeight="1">
      <c r="A1909" t="n">
        <v>39</v>
      </c>
      <c r="B1909" s="29">
        <f>IF(Setup!$K$7="","",Setup!$K$7)</f>
        <v/>
      </c>
      <c r="C1909" s="88" t="n"/>
      <c r="D1909" s="88" t="n"/>
      <c r="E1909" s="88" t="n"/>
      <c r="F1909" s="89" t="n"/>
      <c r="G1909" s="88" t="n"/>
      <c r="H1909" s="88" t="n"/>
      <c r="I1909" s="88" t="n"/>
      <c r="J1909" s="89" t="n"/>
      <c r="K1909" s="88" t="n"/>
      <c r="L1909" s="88" t="n"/>
      <c r="M1909" s="88" t="n"/>
      <c r="N1909" s="89" t="n"/>
      <c r="O1909" s="88" t="n"/>
      <c r="P1909" s="88" t="n"/>
      <c r="Q1909" s="88" t="n"/>
      <c r="R1909" s="89" t="n"/>
      <c r="S1909" s="88" t="n"/>
      <c r="T1909" s="88" t="n"/>
      <c r="U1909" s="88" t="n"/>
      <c r="V1909" s="89" t="n"/>
      <c r="W1909" s="88" t="n"/>
      <c r="X1909" s="89" t="n"/>
      <c r="Y1909" s="88" t="n"/>
      <c r="Z1909" s="89" t="n"/>
      <c r="AB1909" s="30">
        <f>IF($B1909="","",(COUNTIF(C1909:E1909,"?*")&lt;N(INDEX(Setup!$L$6:$L$23,2)))+(COUNTIF(G1909:I1909,"?*")&lt;N(INDEX(Setup!$L$6:$L$23,2)))+(COUNTIF(K1909:M1909,"?*")&lt;N(INDEX(Setup!$L$6:$L$23,2)))+(COUNTIF(O1909:Q1909,"?*")&lt;N(INDEX(Setup!$L$6:$L$23,2)))+(COUNTIF(S1909:U1909,"?*")&lt;N(INDEX(Setup!$L$6:$L$23,2)))+((W1909="")*(INDEX(Setup!$M$6:$M$23,2)="Y"))+((Y1909="")*(INDEX(Setup!$M$6:$M$23,2)="Y")))</f>
        <v/>
      </c>
      <c r="AC1909" s="91">
        <f>IF($B1909="","",IF(AB1909=0,"✓ covered","⚠ "&amp;AB1909&amp;IF(AB1909=1," gap"," gaps")))</f>
        <v/>
      </c>
    </row>
    <row r="1910" ht="17" customHeight="1">
      <c r="A1910" t="n">
        <v>39</v>
      </c>
      <c r="B1910" s="24">
        <f>IF(Setup!$K$8="","",Setup!$K$8)</f>
        <v/>
      </c>
      <c r="C1910" s="88" t="n"/>
      <c r="D1910" s="88" t="n"/>
      <c r="E1910" s="88" t="n"/>
      <c r="F1910" s="89" t="n"/>
      <c r="G1910" s="88" t="n"/>
      <c r="H1910" s="88" t="n"/>
      <c r="I1910" s="88" t="n"/>
      <c r="J1910" s="89" t="n"/>
      <c r="K1910" s="88" t="n"/>
      <c r="L1910" s="88" t="n"/>
      <c r="M1910" s="88" t="n"/>
      <c r="N1910" s="89" t="n"/>
      <c r="O1910" s="88" t="n"/>
      <c r="P1910" s="88" t="n"/>
      <c r="Q1910" s="88" t="n"/>
      <c r="R1910" s="89" t="n"/>
      <c r="S1910" s="88" t="n"/>
      <c r="T1910" s="88" t="n"/>
      <c r="U1910" s="88" t="n"/>
      <c r="V1910" s="89" t="n"/>
      <c r="W1910" s="88" t="n"/>
      <c r="X1910" s="89" t="n"/>
      <c r="Y1910" s="88" t="n"/>
      <c r="Z1910" s="89" t="n"/>
      <c r="AB1910" s="25">
        <f>IF($B1910="","",(COUNTIF(C1910:E1910,"?*")&lt;N(INDEX(Setup!$L$6:$L$23,3)))+(COUNTIF(G1910:I1910,"?*")&lt;N(INDEX(Setup!$L$6:$L$23,3)))+(COUNTIF(K1910:M1910,"?*")&lt;N(INDEX(Setup!$L$6:$L$23,3)))+(COUNTIF(O1910:Q1910,"?*")&lt;N(INDEX(Setup!$L$6:$L$23,3)))+(COUNTIF(S1910:U1910,"?*")&lt;N(INDEX(Setup!$L$6:$L$23,3)))+((W1910="")*(INDEX(Setup!$M$6:$M$23,3)="Y"))+((Y1910="")*(INDEX(Setup!$M$6:$M$23,3)="Y")))</f>
        <v/>
      </c>
      <c r="AC1910" s="90">
        <f>IF($B1910="","",IF(AB1910=0,"✓ covered","⚠ "&amp;AB1910&amp;IF(AB1910=1," gap"," gaps")))</f>
        <v/>
      </c>
    </row>
    <row r="1911" ht="17" customHeight="1">
      <c r="A1911" t="n">
        <v>39</v>
      </c>
      <c r="B1911" s="29">
        <f>IF(Setup!$K$9="","",Setup!$K$9)</f>
        <v/>
      </c>
      <c r="C1911" s="88" t="n"/>
      <c r="D1911" s="88" t="n"/>
      <c r="E1911" s="88" t="n"/>
      <c r="F1911" s="89" t="n"/>
      <c r="G1911" s="88" t="n"/>
      <c r="H1911" s="88" t="n"/>
      <c r="I1911" s="88" t="n"/>
      <c r="J1911" s="89" t="n"/>
      <c r="K1911" s="88" t="n"/>
      <c r="L1911" s="88" t="n"/>
      <c r="M1911" s="88" t="n"/>
      <c r="N1911" s="89" t="n"/>
      <c r="O1911" s="88" t="n"/>
      <c r="P1911" s="88" t="n"/>
      <c r="Q1911" s="88" t="n"/>
      <c r="R1911" s="89" t="n"/>
      <c r="S1911" s="88" t="n"/>
      <c r="T1911" s="88" t="n"/>
      <c r="U1911" s="88" t="n"/>
      <c r="V1911" s="89" t="n"/>
      <c r="W1911" s="88" t="n"/>
      <c r="X1911" s="89" t="n"/>
      <c r="Y1911" s="88" t="n"/>
      <c r="Z1911" s="89" t="n"/>
      <c r="AB1911" s="30">
        <f>IF($B1911="","",(COUNTIF(C1911:E1911,"?*")&lt;N(INDEX(Setup!$L$6:$L$23,4)))+(COUNTIF(G1911:I1911,"?*")&lt;N(INDEX(Setup!$L$6:$L$23,4)))+(COUNTIF(K1911:M1911,"?*")&lt;N(INDEX(Setup!$L$6:$L$23,4)))+(COUNTIF(O1911:Q1911,"?*")&lt;N(INDEX(Setup!$L$6:$L$23,4)))+(COUNTIF(S1911:U1911,"?*")&lt;N(INDEX(Setup!$L$6:$L$23,4)))+((W1911="")*(INDEX(Setup!$M$6:$M$23,4)="Y"))+((Y1911="")*(INDEX(Setup!$M$6:$M$23,4)="Y")))</f>
        <v/>
      </c>
      <c r="AC1911" s="91">
        <f>IF($B1911="","",IF(AB1911=0,"✓ covered","⚠ "&amp;AB1911&amp;IF(AB1911=1," gap"," gaps")))</f>
        <v/>
      </c>
    </row>
    <row r="1912" ht="17" customHeight="1">
      <c r="A1912" t="n">
        <v>39</v>
      </c>
      <c r="B1912" s="24">
        <f>IF(Setup!$K$10="","",Setup!$K$10)</f>
        <v/>
      </c>
      <c r="C1912" s="88" t="n"/>
      <c r="D1912" s="88" t="n"/>
      <c r="E1912" s="88" t="n"/>
      <c r="F1912" s="89" t="n"/>
      <c r="G1912" s="88" t="n"/>
      <c r="H1912" s="88" t="n"/>
      <c r="I1912" s="88" t="n"/>
      <c r="J1912" s="89" t="n"/>
      <c r="K1912" s="88" t="n"/>
      <c r="L1912" s="88" t="n"/>
      <c r="M1912" s="88" t="n"/>
      <c r="N1912" s="89" t="n"/>
      <c r="O1912" s="88" t="n"/>
      <c r="P1912" s="88" t="n"/>
      <c r="Q1912" s="88" t="n"/>
      <c r="R1912" s="89" t="n"/>
      <c r="S1912" s="88" t="n"/>
      <c r="T1912" s="88" t="n"/>
      <c r="U1912" s="88" t="n"/>
      <c r="V1912" s="89" t="n"/>
      <c r="W1912" s="88" t="n"/>
      <c r="X1912" s="89" t="n"/>
      <c r="Y1912" s="88" t="n"/>
      <c r="Z1912" s="89" t="n"/>
      <c r="AB1912" s="25">
        <f>IF($B1912="","",(COUNTIF(C1912:E1912,"?*")&lt;N(INDEX(Setup!$L$6:$L$23,5)))+(COUNTIF(G1912:I1912,"?*")&lt;N(INDEX(Setup!$L$6:$L$23,5)))+(COUNTIF(K1912:M1912,"?*")&lt;N(INDEX(Setup!$L$6:$L$23,5)))+(COUNTIF(O1912:Q1912,"?*")&lt;N(INDEX(Setup!$L$6:$L$23,5)))+(COUNTIF(S1912:U1912,"?*")&lt;N(INDEX(Setup!$L$6:$L$23,5)))+((W1912="")*(INDEX(Setup!$M$6:$M$23,5)="Y"))+((Y1912="")*(INDEX(Setup!$M$6:$M$23,5)="Y")))</f>
        <v/>
      </c>
      <c r="AC1912" s="90">
        <f>IF($B1912="","",IF(AB1912=0,"✓ covered","⚠ "&amp;AB1912&amp;IF(AB1912=1," gap"," gaps")))</f>
        <v/>
      </c>
    </row>
    <row r="1913" ht="17" customHeight="1">
      <c r="A1913" t="n">
        <v>39</v>
      </c>
      <c r="B1913" s="29">
        <f>IF(Setup!$K$11="","",Setup!$K$11)</f>
        <v/>
      </c>
      <c r="C1913" s="88" t="n"/>
      <c r="D1913" s="88" t="n"/>
      <c r="E1913" s="88" t="n"/>
      <c r="F1913" s="89" t="n"/>
      <c r="G1913" s="88" t="n"/>
      <c r="H1913" s="88" t="n"/>
      <c r="I1913" s="88" t="n"/>
      <c r="J1913" s="89" t="n"/>
      <c r="K1913" s="88" t="n"/>
      <c r="L1913" s="88" t="n"/>
      <c r="M1913" s="88" t="n"/>
      <c r="N1913" s="89" t="n"/>
      <c r="O1913" s="88" t="n"/>
      <c r="P1913" s="88" t="n"/>
      <c r="Q1913" s="88" t="n"/>
      <c r="R1913" s="89" t="n"/>
      <c r="S1913" s="88" t="n"/>
      <c r="T1913" s="88" t="n"/>
      <c r="U1913" s="88" t="n"/>
      <c r="V1913" s="89" t="n"/>
      <c r="W1913" s="88" t="n"/>
      <c r="X1913" s="89" t="n"/>
      <c r="Y1913" s="88" t="n"/>
      <c r="Z1913" s="89" t="n"/>
      <c r="AB1913" s="30">
        <f>IF($B1913="","",(COUNTIF(C1913:E1913,"?*")&lt;N(INDEX(Setup!$L$6:$L$23,6)))+(COUNTIF(G1913:I1913,"?*")&lt;N(INDEX(Setup!$L$6:$L$23,6)))+(COUNTIF(K1913:M1913,"?*")&lt;N(INDEX(Setup!$L$6:$L$23,6)))+(COUNTIF(O1913:Q1913,"?*")&lt;N(INDEX(Setup!$L$6:$L$23,6)))+(COUNTIF(S1913:U1913,"?*")&lt;N(INDEX(Setup!$L$6:$L$23,6)))+((W1913="")*(INDEX(Setup!$M$6:$M$23,6)="Y"))+((Y1913="")*(INDEX(Setup!$M$6:$M$23,6)="Y")))</f>
        <v/>
      </c>
      <c r="AC1913" s="91">
        <f>IF($B1913="","",IF(AB1913=0,"✓ covered","⚠ "&amp;AB1913&amp;IF(AB1913=1," gap"," gaps")))</f>
        <v/>
      </c>
    </row>
    <row r="1914" ht="17" customHeight="1">
      <c r="A1914" t="n">
        <v>39</v>
      </c>
      <c r="B1914" s="24">
        <f>IF(Setup!$K$12="","",Setup!$K$12)</f>
        <v/>
      </c>
      <c r="C1914" s="88" t="n"/>
      <c r="D1914" s="88" t="n"/>
      <c r="E1914" s="88" t="n"/>
      <c r="F1914" s="89" t="n"/>
      <c r="G1914" s="88" t="n"/>
      <c r="H1914" s="88" t="n"/>
      <c r="I1914" s="88" t="n"/>
      <c r="J1914" s="89" t="n"/>
      <c r="K1914" s="88" t="n"/>
      <c r="L1914" s="88" t="n"/>
      <c r="M1914" s="88" t="n"/>
      <c r="N1914" s="89" t="n"/>
      <c r="O1914" s="88" t="n"/>
      <c r="P1914" s="88" t="n"/>
      <c r="Q1914" s="88" t="n"/>
      <c r="R1914" s="89" t="n"/>
      <c r="S1914" s="88" t="n"/>
      <c r="T1914" s="88" t="n"/>
      <c r="U1914" s="88" t="n"/>
      <c r="V1914" s="89" t="n"/>
      <c r="W1914" s="88" t="n"/>
      <c r="X1914" s="89" t="n"/>
      <c r="Y1914" s="88" t="n"/>
      <c r="Z1914" s="89" t="n"/>
      <c r="AB1914" s="25">
        <f>IF($B1914="","",(COUNTIF(C1914:E1914,"?*")&lt;N(INDEX(Setup!$L$6:$L$23,7)))+(COUNTIF(G1914:I1914,"?*")&lt;N(INDEX(Setup!$L$6:$L$23,7)))+(COUNTIF(K1914:M1914,"?*")&lt;N(INDEX(Setup!$L$6:$L$23,7)))+(COUNTIF(O1914:Q1914,"?*")&lt;N(INDEX(Setup!$L$6:$L$23,7)))+(COUNTIF(S1914:U1914,"?*")&lt;N(INDEX(Setup!$L$6:$L$23,7)))+((W1914="")*(INDEX(Setup!$M$6:$M$23,7)="Y"))+((Y1914="")*(INDEX(Setup!$M$6:$M$23,7)="Y")))</f>
        <v/>
      </c>
      <c r="AC1914" s="90">
        <f>IF($B1914="","",IF(AB1914=0,"✓ covered","⚠ "&amp;AB1914&amp;IF(AB1914=1," gap"," gaps")))</f>
        <v/>
      </c>
    </row>
    <row r="1915" ht="17" customHeight="1">
      <c r="A1915" t="n">
        <v>39</v>
      </c>
      <c r="B1915" s="29">
        <f>IF(Setup!$K$13="","",Setup!$K$13)</f>
        <v/>
      </c>
      <c r="C1915" s="88" t="n"/>
      <c r="D1915" s="88" t="n"/>
      <c r="E1915" s="88" t="n"/>
      <c r="F1915" s="89" t="n"/>
      <c r="G1915" s="88" t="n"/>
      <c r="H1915" s="88" t="n"/>
      <c r="I1915" s="88" t="n"/>
      <c r="J1915" s="89" t="n"/>
      <c r="K1915" s="88" t="n"/>
      <c r="L1915" s="88" t="n"/>
      <c r="M1915" s="88" t="n"/>
      <c r="N1915" s="89" t="n"/>
      <c r="O1915" s="88" t="n"/>
      <c r="P1915" s="88" t="n"/>
      <c r="Q1915" s="88" t="n"/>
      <c r="R1915" s="89" t="n"/>
      <c r="S1915" s="88" t="n"/>
      <c r="T1915" s="88" t="n"/>
      <c r="U1915" s="88" t="n"/>
      <c r="V1915" s="89" t="n"/>
      <c r="W1915" s="88" t="n"/>
      <c r="X1915" s="89" t="n"/>
      <c r="Y1915" s="88" t="n"/>
      <c r="Z1915" s="89" t="n"/>
      <c r="AB1915" s="30">
        <f>IF($B1915="","",(COUNTIF(C1915:E1915,"?*")&lt;N(INDEX(Setup!$L$6:$L$23,8)))+(COUNTIF(G1915:I1915,"?*")&lt;N(INDEX(Setup!$L$6:$L$23,8)))+(COUNTIF(K1915:M1915,"?*")&lt;N(INDEX(Setup!$L$6:$L$23,8)))+(COUNTIF(O1915:Q1915,"?*")&lt;N(INDEX(Setup!$L$6:$L$23,8)))+(COUNTIF(S1915:U1915,"?*")&lt;N(INDEX(Setup!$L$6:$L$23,8)))+((W1915="")*(INDEX(Setup!$M$6:$M$23,8)="Y"))+((Y1915="")*(INDEX(Setup!$M$6:$M$23,8)="Y")))</f>
        <v/>
      </c>
      <c r="AC1915" s="91">
        <f>IF($B1915="","",IF(AB1915=0,"✓ covered","⚠ "&amp;AB1915&amp;IF(AB1915=1," gap"," gaps")))</f>
        <v/>
      </c>
    </row>
    <row r="1916" ht="17" customHeight="1">
      <c r="A1916" t="n">
        <v>39</v>
      </c>
      <c r="B1916" s="24">
        <f>IF(Setup!$K$14="","",Setup!$K$14)</f>
        <v/>
      </c>
      <c r="C1916" s="88" t="n"/>
      <c r="D1916" s="88" t="n"/>
      <c r="E1916" s="88" t="n"/>
      <c r="F1916" s="89" t="n"/>
      <c r="G1916" s="88" t="n"/>
      <c r="H1916" s="88" t="n"/>
      <c r="I1916" s="88" t="n"/>
      <c r="J1916" s="89" t="n"/>
      <c r="K1916" s="88" t="n"/>
      <c r="L1916" s="88" t="n"/>
      <c r="M1916" s="88" t="n"/>
      <c r="N1916" s="89" t="n"/>
      <c r="O1916" s="88" t="n"/>
      <c r="P1916" s="88" t="n"/>
      <c r="Q1916" s="88" t="n"/>
      <c r="R1916" s="89" t="n"/>
      <c r="S1916" s="88" t="n"/>
      <c r="T1916" s="88" t="n"/>
      <c r="U1916" s="88" t="n"/>
      <c r="V1916" s="89" t="n"/>
      <c r="W1916" s="88" t="n"/>
      <c r="X1916" s="89" t="n"/>
      <c r="Y1916" s="88" t="n"/>
      <c r="Z1916" s="89" t="n"/>
      <c r="AB1916" s="25">
        <f>IF($B1916="","",(COUNTIF(C1916:E1916,"?*")&lt;N(INDEX(Setup!$L$6:$L$23,9)))+(COUNTIF(G1916:I1916,"?*")&lt;N(INDEX(Setup!$L$6:$L$23,9)))+(COUNTIF(K1916:M1916,"?*")&lt;N(INDEX(Setup!$L$6:$L$23,9)))+(COUNTIF(O1916:Q1916,"?*")&lt;N(INDEX(Setup!$L$6:$L$23,9)))+(COUNTIF(S1916:U1916,"?*")&lt;N(INDEX(Setup!$L$6:$L$23,9)))+((W1916="")*(INDEX(Setup!$M$6:$M$23,9)="Y"))+((Y1916="")*(INDEX(Setup!$M$6:$M$23,9)="Y")))</f>
        <v/>
      </c>
      <c r="AC1916" s="90">
        <f>IF($B1916="","",IF(AB1916=0,"✓ covered","⚠ "&amp;AB1916&amp;IF(AB1916=1," gap"," gaps")))</f>
        <v/>
      </c>
    </row>
    <row r="1917" ht="17" customHeight="1">
      <c r="A1917" t="n">
        <v>39</v>
      </c>
      <c r="B1917" s="29">
        <f>IF(Setup!$K$15="","",Setup!$K$15)</f>
        <v/>
      </c>
      <c r="C1917" s="88" t="n"/>
      <c r="D1917" s="88" t="n"/>
      <c r="E1917" s="88" t="n"/>
      <c r="F1917" s="89" t="n"/>
      <c r="G1917" s="88" t="n"/>
      <c r="H1917" s="88" t="n"/>
      <c r="I1917" s="88" t="n"/>
      <c r="J1917" s="89" t="n"/>
      <c r="K1917" s="88" t="n"/>
      <c r="L1917" s="88" t="n"/>
      <c r="M1917" s="88" t="n"/>
      <c r="N1917" s="89" t="n"/>
      <c r="O1917" s="88" t="n"/>
      <c r="P1917" s="88" t="n"/>
      <c r="Q1917" s="88" t="n"/>
      <c r="R1917" s="89" t="n"/>
      <c r="S1917" s="88" t="n"/>
      <c r="T1917" s="88" t="n"/>
      <c r="U1917" s="88" t="n"/>
      <c r="V1917" s="89" t="n"/>
      <c r="W1917" s="88" t="n"/>
      <c r="X1917" s="89" t="n"/>
      <c r="Y1917" s="88" t="n"/>
      <c r="Z1917" s="89" t="n"/>
      <c r="AB1917" s="30">
        <f>IF($B1917="","",(COUNTIF(C1917:E1917,"?*")&lt;N(INDEX(Setup!$L$6:$L$23,10)))+(COUNTIF(G1917:I1917,"?*")&lt;N(INDEX(Setup!$L$6:$L$23,10)))+(COUNTIF(K1917:M1917,"?*")&lt;N(INDEX(Setup!$L$6:$L$23,10)))+(COUNTIF(O1917:Q1917,"?*")&lt;N(INDEX(Setup!$L$6:$L$23,10)))+(COUNTIF(S1917:U1917,"?*")&lt;N(INDEX(Setup!$L$6:$L$23,10)))+((W1917="")*(INDEX(Setup!$M$6:$M$23,10)="Y"))+((Y1917="")*(INDEX(Setup!$M$6:$M$23,10)="Y")))</f>
        <v/>
      </c>
      <c r="AC1917" s="91">
        <f>IF($B1917="","",IF(AB1917=0,"✓ covered","⚠ "&amp;AB1917&amp;IF(AB1917=1," gap"," gaps")))</f>
        <v/>
      </c>
    </row>
    <row r="1918" ht="17" customHeight="1">
      <c r="A1918" t="n">
        <v>39</v>
      </c>
      <c r="B1918" s="24">
        <f>IF(Setup!$K$16="","",Setup!$K$16)</f>
        <v/>
      </c>
      <c r="C1918" s="88" t="n"/>
      <c r="D1918" s="88" t="n"/>
      <c r="E1918" s="88" t="n"/>
      <c r="F1918" s="89" t="n"/>
      <c r="G1918" s="88" t="n"/>
      <c r="H1918" s="88" t="n"/>
      <c r="I1918" s="88" t="n"/>
      <c r="J1918" s="89" t="n"/>
      <c r="K1918" s="88" t="n"/>
      <c r="L1918" s="88" t="n"/>
      <c r="M1918" s="88" t="n"/>
      <c r="N1918" s="89" t="n"/>
      <c r="O1918" s="88" t="n"/>
      <c r="P1918" s="88" t="n"/>
      <c r="Q1918" s="88" t="n"/>
      <c r="R1918" s="89" t="n"/>
      <c r="S1918" s="88" t="n"/>
      <c r="T1918" s="88" t="n"/>
      <c r="U1918" s="88" t="n"/>
      <c r="V1918" s="89" t="n"/>
      <c r="W1918" s="88" t="n"/>
      <c r="X1918" s="89" t="n"/>
      <c r="Y1918" s="88" t="n"/>
      <c r="Z1918" s="89" t="n"/>
      <c r="AB1918" s="25">
        <f>IF($B1918="","",(COUNTIF(C1918:E1918,"?*")&lt;N(INDEX(Setup!$L$6:$L$23,11)))+(COUNTIF(G1918:I1918,"?*")&lt;N(INDEX(Setup!$L$6:$L$23,11)))+(COUNTIF(K1918:M1918,"?*")&lt;N(INDEX(Setup!$L$6:$L$23,11)))+(COUNTIF(O1918:Q1918,"?*")&lt;N(INDEX(Setup!$L$6:$L$23,11)))+(COUNTIF(S1918:U1918,"?*")&lt;N(INDEX(Setup!$L$6:$L$23,11)))+((W1918="")*(INDEX(Setup!$M$6:$M$23,11)="Y"))+((Y1918="")*(INDEX(Setup!$M$6:$M$23,11)="Y")))</f>
        <v/>
      </c>
      <c r="AC1918" s="90">
        <f>IF($B1918="","",IF(AB1918=0,"✓ covered","⚠ "&amp;AB1918&amp;IF(AB1918=1," gap"," gaps")))</f>
        <v/>
      </c>
    </row>
    <row r="1919" ht="17" customHeight="1">
      <c r="A1919" t="n">
        <v>39</v>
      </c>
      <c r="B1919" s="29">
        <f>IF(Setup!$K$17="","",Setup!$K$17)</f>
        <v/>
      </c>
      <c r="C1919" s="88" t="n"/>
      <c r="D1919" s="88" t="n"/>
      <c r="E1919" s="88" t="n"/>
      <c r="F1919" s="89" t="n"/>
      <c r="G1919" s="88" t="n"/>
      <c r="H1919" s="88" t="n"/>
      <c r="I1919" s="88" t="n"/>
      <c r="J1919" s="89" t="n"/>
      <c r="K1919" s="88" t="n"/>
      <c r="L1919" s="88" t="n"/>
      <c r="M1919" s="88" t="n"/>
      <c r="N1919" s="89" t="n"/>
      <c r="O1919" s="88" t="n"/>
      <c r="P1919" s="88" t="n"/>
      <c r="Q1919" s="88" t="n"/>
      <c r="R1919" s="89" t="n"/>
      <c r="S1919" s="88" t="n"/>
      <c r="T1919" s="88" t="n"/>
      <c r="U1919" s="88" t="n"/>
      <c r="V1919" s="89" t="n"/>
      <c r="W1919" s="88" t="n"/>
      <c r="X1919" s="89" t="n"/>
      <c r="Y1919" s="88" t="n"/>
      <c r="Z1919" s="89" t="n"/>
      <c r="AB1919" s="30">
        <f>IF($B1919="","",(COUNTIF(C1919:E1919,"?*")&lt;N(INDEX(Setup!$L$6:$L$23,12)))+(COUNTIF(G1919:I1919,"?*")&lt;N(INDEX(Setup!$L$6:$L$23,12)))+(COUNTIF(K1919:M1919,"?*")&lt;N(INDEX(Setup!$L$6:$L$23,12)))+(COUNTIF(O1919:Q1919,"?*")&lt;N(INDEX(Setup!$L$6:$L$23,12)))+(COUNTIF(S1919:U1919,"?*")&lt;N(INDEX(Setup!$L$6:$L$23,12)))+((W1919="")*(INDEX(Setup!$M$6:$M$23,12)="Y"))+((Y1919="")*(INDEX(Setup!$M$6:$M$23,12)="Y")))</f>
        <v/>
      </c>
      <c r="AC1919" s="91">
        <f>IF($B1919="","",IF(AB1919=0,"✓ covered","⚠ "&amp;AB1919&amp;IF(AB1919=1," gap"," gaps")))</f>
        <v/>
      </c>
    </row>
    <row r="1920" ht="17" customHeight="1">
      <c r="A1920" t="n">
        <v>39</v>
      </c>
      <c r="B1920" s="24">
        <f>IF(Setup!$K$18="","",Setup!$K$18)</f>
        <v/>
      </c>
      <c r="C1920" s="88" t="n"/>
      <c r="D1920" s="88" t="n"/>
      <c r="E1920" s="88" t="n"/>
      <c r="F1920" s="89" t="n"/>
      <c r="G1920" s="88" t="n"/>
      <c r="H1920" s="88" t="n"/>
      <c r="I1920" s="88" t="n"/>
      <c r="J1920" s="89" t="n"/>
      <c r="K1920" s="88" t="n"/>
      <c r="L1920" s="88" t="n"/>
      <c r="M1920" s="88" t="n"/>
      <c r="N1920" s="89" t="n"/>
      <c r="O1920" s="88" t="n"/>
      <c r="P1920" s="88" t="n"/>
      <c r="Q1920" s="88" t="n"/>
      <c r="R1920" s="89" t="n"/>
      <c r="S1920" s="88" t="n"/>
      <c r="T1920" s="88" t="n"/>
      <c r="U1920" s="88" t="n"/>
      <c r="V1920" s="89" t="n"/>
      <c r="W1920" s="88" t="n"/>
      <c r="X1920" s="89" t="n"/>
      <c r="Y1920" s="88" t="n"/>
      <c r="Z1920" s="89" t="n"/>
      <c r="AB1920" s="25">
        <f>IF($B1920="","",(COUNTIF(C1920:E1920,"?*")&lt;N(INDEX(Setup!$L$6:$L$23,13)))+(COUNTIF(G1920:I1920,"?*")&lt;N(INDEX(Setup!$L$6:$L$23,13)))+(COUNTIF(K1920:M1920,"?*")&lt;N(INDEX(Setup!$L$6:$L$23,13)))+(COUNTIF(O1920:Q1920,"?*")&lt;N(INDEX(Setup!$L$6:$L$23,13)))+(COUNTIF(S1920:U1920,"?*")&lt;N(INDEX(Setup!$L$6:$L$23,13)))+((W1920="")*(INDEX(Setup!$M$6:$M$23,13)="Y"))+((Y1920="")*(INDEX(Setup!$M$6:$M$23,13)="Y")))</f>
        <v/>
      </c>
      <c r="AC1920" s="90">
        <f>IF($B1920="","",IF(AB1920=0,"✓ covered","⚠ "&amp;AB1920&amp;IF(AB1920=1," gap"," gaps")))</f>
        <v/>
      </c>
    </row>
    <row r="1921" ht="17" customHeight="1">
      <c r="A1921" t="n">
        <v>39</v>
      </c>
      <c r="B1921" s="29">
        <f>IF(Setup!$K$19="","",Setup!$K$19)</f>
        <v/>
      </c>
      <c r="C1921" s="88" t="n"/>
      <c r="D1921" s="88" t="n"/>
      <c r="E1921" s="88" t="n"/>
      <c r="F1921" s="89" t="n"/>
      <c r="G1921" s="88" t="n"/>
      <c r="H1921" s="88" t="n"/>
      <c r="I1921" s="88" t="n"/>
      <c r="J1921" s="89" t="n"/>
      <c r="K1921" s="88" t="n"/>
      <c r="L1921" s="88" t="n"/>
      <c r="M1921" s="88" t="n"/>
      <c r="N1921" s="89" t="n"/>
      <c r="O1921" s="88" t="n"/>
      <c r="P1921" s="88" t="n"/>
      <c r="Q1921" s="88" t="n"/>
      <c r="R1921" s="89" t="n"/>
      <c r="S1921" s="88" t="n"/>
      <c r="T1921" s="88" t="n"/>
      <c r="U1921" s="88" t="n"/>
      <c r="V1921" s="89" t="n"/>
      <c r="W1921" s="88" t="n"/>
      <c r="X1921" s="89" t="n"/>
      <c r="Y1921" s="88" t="n"/>
      <c r="Z1921" s="89" t="n"/>
      <c r="AB1921" s="30">
        <f>IF($B1921="","",(COUNTIF(C1921:E1921,"?*")&lt;N(INDEX(Setup!$L$6:$L$23,14)))+(COUNTIF(G1921:I1921,"?*")&lt;N(INDEX(Setup!$L$6:$L$23,14)))+(COUNTIF(K1921:M1921,"?*")&lt;N(INDEX(Setup!$L$6:$L$23,14)))+(COUNTIF(O1921:Q1921,"?*")&lt;N(INDEX(Setup!$L$6:$L$23,14)))+(COUNTIF(S1921:U1921,"?*")&lt;N(INDEX(Setup!$L$6:$L$23,14)))+((W1921="")*(INDEX(Setup!$M$6:$M$23,14)="Y"))+((Y1921="")*(INDEX(Setup!$M$6:$M$23,14)="Y")))</f>
        <v/>
      </c>
      <c r="AC1921" s="91">
        <f>IF($B1921="","",IF(AB1921=0,"✓ covered","⚠ "&amp;AB1921&amp;IF(AB1921=1," gap"," gaps")))</f>
        <v/>
      </c>
    </row>
    <row r="1922" ht="17" customHeight="1">
      <c r="A1922" t="n">
        <v>39</v>
      </c>
      <c r="B1922" s="24">
        <f>IF(Setup!$K$20="","",Setup!$K$20)</f>
        <v/>
      </c>
      <c r="C1922" s="88" t="n"/>
      <c r="D1922" s="88" t="n"/>
      <c r="E1922" s="88" t="n"/>
      <c r="F1922" s="89" t="n"/>
      <c r="G1922" s="88" t="n"/>
      <c r="H1922" s="88" t="n"/>
      <c r="I1922" s="88" t="n"/>
      <c r="J1922" s="89" t="n"/>
      <c r="K1922" s="88" t="n"/>
      <c r="L1922" s="88" t="n"/>
      <c r="M1922" s="88" t="n"/>
      <c r="N1922" s="89" t="n"/>
      <c r="O1922" s="88" t="n"/>
      <c r="P1922" s="88" t="n"/>
      <c r="Q1922" s="88" t="n"/>
      <c r="R1922" s="89" t="n"/>
      <c r="S1922" s="88" t="n"/>
      <c r="T1922" s="88" t="n"/>
      <c r="U1922" s="88" t="n"/>
      <c r="V1922" s="89" t="n"/>
      <c r="W1922" s="88" t="n"/>
      <c r="X1922" s="89" t="n"/>
      <c r="Y1922" s="88" t="n"/>
      <c r="Z1922" s="89" t="n"/>
      <c r="AB1922" s="25">
        <f>IF($B1922="","",(COUNTIF(C1922:E1922,"?*")&lt;N(INDEX(Setup!$L$6:$L$23,15)))+(COUNTIF(G1922:I1922,"?*")&lt;N(INDEX(Setup!$L$6:$L$23,15)))+(COUNTIF(K1922:M1922,"?*")&lt;N(INDEX(Setup!$L$6:$L$23,15)))+(COUNTIF(O1922:Q1922,"?*")&lt;N(INDEX(Setup!$L$6:$L$23,15)))+(COUNTIF(S1922:U1922,"?*")&lt;N(INDEX(Setup!$L$6:$L$23,15)))+((W1922="")*(INDEX(Setup!$M$6:$M$23,15)="Y"))+((Y1922="")*(INDEX(Setup!$M$6:$M$23,15)="Y")))</f>
        <v/>
      </c>
      <c r="AC1922" s="90">
        <f>IF($B1922="","",IF(AB1922=0,"✓ covered","⚠ "&amp;AB1922&amp;IF(AB1922=1," gap"," gaps")))</f>
        <v/>
      </c>
    </row>
    <row r="1923" ht="17" customHeight="1">
      <c r="A1923" t="n">
        <v>39</v>
      </c>
      <c r="B1923" s="29">
        <f>IF(Setup!$K$21="","",Setup!$K$21)</f>
        <v/>
      </c>
      <c r="C1923" s="88" t="n"/>
      <c r="D1923" s="88" t="n"/>
      <c r="E1923" s="88" t="n"/>
      <c r="F1923" s="89" t="n"/>
      <c r="G1923" s="88" t="n"/>
      <c r="H1923" s="88" t="n"/>
      <c r="I1923" s="88" t="n"/>
      <c r="J1923" s="89" t="n"/>
      <c r="K1923" s="88" t="n"/>
      <c r="L1923" s="88" t="n"/>
      <c r="M1923" s="88" t="n"/>
      <c r="N1923" s="89" t="n"/>
      <c r="O1923" s="88" t="n"/>
      <c r="P1923" s="88" t="n"/>
      <c r="Q1923" s="88" t="n"/>
      <c r="R1923" s="89" t="n"/>
      <c r="S1923" s="88" t="n"/>
      <c r="T1923" s="88" t="n"/>
      <c r="U1923" s="88" t="n"/>
      <c r="V1923" s="89" t="n"/>
      <c r="W1923" s="88" t="n"/>
      <c r="X1923" s="89" t="n"/>
      <c r="Y1923" s="88" t="n"/>
      <c r="Z1923" s="89" t="n"/>
      <c r="AB1923" s="30">
        <f>IF($B1923="","",(COUNTIF(C1923:E1923,"?*")&lt;N(INDEX(Setup!$L$6:$L$23,16)))+(COUNTIF(G1923:I1923,"?*")&lt;N(INDEX(Setup!$L$6:$L$23,16)))+(COUNTIF(K1923:M1923,"?*")&lt;N(INDEX(Setup!$L$6:$L$23,16)))+(COUNTIF(O1923:Q1923,"?*")&lt;N(INDEX(Setup!$L$6:$L$23,16)))+(COUNTIF(S1923:U1923,"?*")&lt;N(INDEX(Setup!$L$6:$L$23,16)))+((W1923="")*(INDEX(Setup!$M$6:$M$23,16)="Y"))+((Y1923="")*(INDEX(Setup!$M$6:$M$23,16)="Y")))</f>
        <v/>
      </c>
      <c r="AC1923" s="91">
        <f>IF($B1923="","",IF(AB1923=0,"✓ covered","⚠ "&amp;AB1923&amp;IF(AB1923=1," gap"," gaps")))</f>
        <v/>
      </c>
    </row>
    <row r="1924" ht="17" customHeight="1">
      <c r="A1924" t="n">
        <v>39</v>
      </c>
      <c r="B1924" s="24">
        <f>IF(Setup!$K$22="","",Setup!$K$22)</f>
        <v/>
      </c>
      <c r="C1924" s="88" t="n"/>
      <c r="D1924" s="88" t="n"/>
      <c r="E1924" s="88" t="n"/>
      <c r="F1924" s="89" t="n"/>
      <c r="G1924" s="88" t="n"/>
      <c r="H1924" s="88" t="n"/>
      <c r="I1924" s="88" t="n"/>
      <c r="J1924" s="89" t="n"/>
      <c r="K1924" s="88" t="n"/>
      <c r="L1924" s="88" t="n"/>
      <c r="M1924" s="88" t="n"/>
      <c r="N1924" s="89" t="n"/>
      <c r="O1924" s="88" t="n"/>
      <c r="P1924" s="88" t="n"/>
      <c r="Q1924" s="88" t="n"/>
      <c r="R1924" s="89" t="n"/>
      <c r="S1924" s="88" t="n"/>
      <c r="T1924" s="88" t="n"/>
      <c r="U1924" s="88" t="n"/>
      <c r="V1924" s="89" t="n"/>
      <c r="W1924" s="88" t="n"/>
      <c r="X1924" s="89" t="n"/>
      <c r="Y1924" s="88" t="n"/>
      <c r="Z1924" s="89" t="n"/>
      <c r="AB1924" s="25">
        <f>IF($B1924="","",(COUNTIF(C1924:E1924,"?*")&lt;N(INDEX(Setup!$L$6:$L$23,17)))+(COUNTIF(G1924:I1924,"?*")&lt;N(INDEX(Setup!$L$6:$L$23,17)))+(COUNTIF(K1924:M1924,"?*")&lt;N(INDEX(Setup!$L$6:$L$23,17)))+(COUNTIF(O1924:Q1924,"?*")&lt;N(INDEX(Setup!$L$6:$L$23,17)))+(COUNTIF(S1924:U1924,"?*")&lt;N(INDEX(Setup!$L$6:$L$23,17)))+((W1924="")*(INDEX(Setup!$M$6:$M$23,17)="Y"))+((Y1924="")*(INDEX(Setup!$M$6:$M$23,17)="Y")))</f>
        <v/>
      </c>
      <c r="AC1924" s="90">
        <f>IF($B1924="","",IF(AB1924=0,"✓ covered","⚠ "&amp;AB1924&amp;IF(AB1924=1," gap"," gaps")))</f>
        <v/>
      </c>
    </row>
    <row r="1925" ht="17" customHeight="1">
      <c r="A1925" t="n">
        <v>39</v>
      </c>
      <c r="B1925" s="29">
        <f>IF(Setup!$K$23="","",Setup!$K$23)</f>
        <v/>
      </c>
      <c r="C1925" s="88" t="n"/>
      <c r="D1925" s="88" t="n"/>
      <c r="E1925" s="88" t="n"/>
      <c r="F1925" s="89" t="n"/>
      <c r="G1925" s="88" t="n"/>
      <c r="H1925" s="88" t="n"/>
      <c r="I1925" s="88" t="n"/>
      <c r="J1925" s="89" t="n"/>
      <c r="K1925" s="88" t="n"/>
      <c r="L1925" s="88" t="n"/>
      <c r="M1925" s="88" t="n"/>
      <c r="N1925" s="89" t="n"/>
      <c r="O1925" s="88" t="n"/>
      <c r="P1925" s="88" t="n"/>
      <c r="Q1925" s="88" t="n"/>
      <c r="R1925" s="89" t="n"/>
      <c r="S1925" s="88" t="n"/>
      <c r="T1925" s="88" t="n"/>
      <c r="U1925" s="88" t="n"/>
      <c r="V1925" s="89" t="n"/>
      <c r="W1925" s="88" t="n"/>
      <c r="X1925" s="89" t="n"/>
      <c r="Y1925" s="88" t="n"/>
      <c r="Z1925" s="89" t="n"/>
      <c r="AB1925" s="30">
        <f>IF($B1925="","",(COUNTIF(C1925:E1925,"?*")&lt;N(INDEX(Setup!$L$6:$L$23,18)))+(COUNTIF(G1925:I1925,"?*")&lt;N(INDEX(Setup!$L$6:$L$23,18)))+(COUNTIF(K1925:M1925,"?*")&lt;N(INDEX(Setup!$L$6:$L$23,18)))+(COUNTIF(O1925:Q1925,"?*")&lt;N(INDEX(Setup!$L$6:$L$23,18)))+(COUNTIF(S1925:U1925,"?*")&lt;N(INDEX(Setup!$L$6:$L$23,18)))+((W1925="")*(INDEX(Setup!$M$6:$M$23,18)="Y"))+((Y1925="")*(INDEX(Setup!$M$6:$M$23,18)="Y")))</f>
        <v/>
      </c>
      <c r="AC1925" s="91">
        <f>IF($B1925="","",IF(AB1925=0,"✓ covered","⚠ "&amp;AB1925&amp;IF(AB1925=1," gap"," gaps")))</f>
        <v/>
      </c>
    </row>
    <row r="1926" ht="18" customHeight="1">
      <c r="A1926" t="n">
        <v>39</v>
      </c>
      <c r="B1926" s="78" t="inlineStr">
        <is>
          <t>TEAM AVAILABILITY</t>
        </is>
      </c>
      <c r="C1926" s="92" t="inlineStr">
        <is>
          <t>Mon</t>
        </is>
      </c>
      <c r="D1926" s="93" t="n"/>
      <c r="E1926" s="93" t="n"/>
      <c r="F1926" s="94" t="n"/>
      <c r="G1926" s="92" t="inlineStr">
        <is>
          <t>Tue</t>
        </is>
      </c>
      <c r="H1926" s="93" t="n"/>
      <c r="I1926" s="93" t="n"/>
      <c r="J1926" s="94" t="n"/>
      <c r="K1926" s="92" t="inlineStr">
        <is>
          <t>Wed</t>
        </is>
      </c>
      <c r="L1926" s="93" t="n"/>
      <c r="M1926" s="93" t="n"/>
      <c r="N1926" s="94" t="n"/>
      <c r="O1926" s="92" t="inlineStr">
        <is>
          <t>Thu</t>
        </is>
      </c>
      <c r="P1926" s="93" t="n"/>
      <c r="Q1926" s="93" t="n"/>
      <c r="R1926" s="94" t="n"/>
      <c r="S1926" s="92" t="inlineStr">
        <is>
          <t>Fri</t>
        </is>
      </c>
      <c r="T1926" s="93" t="n"/>
      <c r="U1926" s="93" t="n"/>
      <c r="V1926" s="94" t="n"/>
      <c r="W1926" s="95" t="inlineStr">
        <is>
          <t>Sat</t>
        </is>
      </c>
      <c r="X1926" s="96" t="n"/>
      <c r="Y1926" s="95" t="inlineStr">
        <is>
          <t>Sun</t>
        </is>
      </c>
      <c r="Z1926" s="96" t="n"/>
      <c r="AB1926" s="97" t="inlineStr">
        <is>
          <t>Days rostered</t>
        </is>
      </c>
      <c r="AC1926" s="97" t="inlineStr">
        <is>
          <t>Conflicts</t>
        </is>
      </c>
    </row>
    <row r="1927" ht="15" customHeight="1">
      <c r="A1927" t="n">
        <v>39</v>
      </c>
      <c r="B1927" s="35">
        <f>IF(Setup!$B$6="","",Setup!$B$6)</f>
        <v/>
      </c>
      <c r="C1927" s="98" t="n"/>
      <c r="D1927" s="99" t="n"/>
      <c r="E1927" s="99" t="n"/>
      <c r="F1927" s="100" t="n"/>
      <c r="G1927" s="98" t="n"/>
      <c r="H1927" s="99" t="n"/>
      <c r="I1927" s="99" t="n"/>
      <c r="J1927" s="100" t="n"/>
      <c r="K1927" s="98" t="n"/>
      <c r="L1927" s="99" t="n"/>
      <c r="M1927" s="99" t="n"/>
      <c r="N1927" s="100" t="n"/>
      <c r="O1927" s="98" t="n"/>
      <c r="P1927" s="99" t="n"/>
      <c r="Q1927" s="99" t="n"/>
      <c r="R1927" s="100" t="n"/>
      <c r="S1927" s="98" t="n"/>
      <c r="T1927" s="99" t="n"/>
      <c r="U1927" s="99" t="n"/>
      <c r="V1927" s="100" t="n"/>
      <c r="W1927" s="98" t="n"/>
      <c r="X1927" s="100" t="n"/>
      <c r="Y1927" s="98" t="n"/>
      <c r="Z1927" s="100" t="n"/>
      <c r="AB1927" s="101">
        <f>IF($B1927="","",(COUNTIF(C1908:E1925,$B1927)+COUNTIF(C1908:E1925,$B1927&amp;" ~*")&gt;0)+(COUNTIF(G1908:I1925,$B1927)+COUNTIF(G1908:I1925,$B1927&amp;" ~*")&gt;0)+(COUNTIF(K1908:M1925,$B1927)+COUNTIF(K1908:M1925,$B1927&amp;" ~*")&gt;0)+(COUNTIF(O1908:Q1925,$B1927)+COUNTIF(O1908:Q1925,$B1927&amp;" ~*")&gt;0)+(COUNTIF(S1908:U1925,$B1927)+COUNTIF(S1908:U1925,$B1927&amp;" ~*")&gt;0)+(COUNTIF(W1908:W1925,$B1927)+COUNTIF(W1908:W1925,$B1927&amp;" ~*")&gt;0)+(COUNTIF(Y1908:Y1925,$B1927)+COUNTIF(Y1908:Y1925,$B1927&amp;" ~*")&gt;0))</f>
        <v/>
      </c>
      <c r="AC1927" s="36">
        <f>IF($B1927="","",(IFERROR(INDEX(Setup!$G$33:$G$40,MATCH(C1927,Setup!$B$33:$B$40,0)),0)=1)*(COUNTIF(C1908:E1925,$B1927)+COUNTIF(C1908:E1925,$B1927&amp;" ~*")&gt;0)+(IFERROR(INDEX(Setup!$G$33:$G$40,MATCH(G1927,Setup!$B$33:$B$40,0)),0)=1)*(COUNTIF(G1908:I1925,$B1927)+COUNTIF(G1908:I1925,$B1927&amp;" ~*")&gt;0)+(IFERROR(INDEX(Setup!$G$33:$G$40,MATCH(K1927,Setup!$B$33:$B$40,0)),0)=1)*(COUNTIF(K1908:M1925,$B1927)+COUNTIF(K1908:M1925,$B1927&amp;" ~*")&gt;0)+(IFERROR(INDEX(Setup!$G$33:$G$40,MATCH(O1927,Setup!$B$33:$B$40,0)),0)=1)*(COUNTIF(O1908:Q1925,$B1927)+COUNTIF(O1908:Q1925,$B1927&amp;" ~*")&gt;0)+(IFERROR(INDEX(Setup!$G$33:$G$40,MATCH(S1927,Setup!$B$33:$B$40,0)),0)=1)*(COUNTIF(S1908:U1925,$B1927)+COUNTIF(S1908:U1925,$B1927&amp;" ~*")&gt;0)+(IFERROR(INDEX(Setup!$G$33:$G$40,MATCH(W1927,Setup!$B$33:$B$40,0)),0)=1)*(COUNTIF(W1908:W1925,$B1927)+COUNTIF(W1908:W1925,$B1927&amp;" ~*")&gt;0)+(IFERROR(INDEX(Setup!$G$33:$G$40,MATCH(Y1927,Setup!$B$33:$B$40,0)),0)=1)*(COUNTIF(Y1908:Y1925,$B1927)+COUNTIF(Y1908:Y1925,$B1927&amp;" ~*")&gt;0))</f>
        <v/>
      </c>
    </row>
    <row r="1928" ht="15" customHeight="1">
      <c r="A1928" t="n">
        <v>39</v>
      </c>
      <c r="B1928" s="37">
        <f>IF(Setup!$B$7="","",Setup!$B$7)</f>
        <v/>
      </c>
      <c r="C1928" s="102" t="n"/>
      <c r="D1928" s="103" t="n"/>
      <c r="E1928" s="103" t="n"/>
      <c r="F1928" s="104" t="n"/>
      <c r="G1928" s="102" t="n"/>
      <c r="H1928" s="103" t="n"/>
      <c r="I1928" s="103" t="n"/>
      <c r="J1928" s="104" t="n"/>
      <c r="K1928" s="102" t="n"/>
      <c r="L1928" s="103" t="n"/>
      <c r="M1928" s="103" t="n"/>
      <c r="N1928" s="104" t="n"/>
      <c r="O1928" s="102" t="n"/>
      <c r="P1928" s="103" t="n"/>
      <c r="Q1928" s="103" t="n"/>
      <c r="R1928" s="104" t="n"/>
      <c r="S1928" s="102" t="n"/>
      <c r="T1928" s="103" t="n"/>
      <c r="U1928" s="103" t="n"/>
      <c r="V1928" s="104" t="n"/>
      <c r="W1928" s="102" t="n"/>
      <c r="X1928" s="104" t="n"/>
      <c r="Y1928" s="102" t="n"/>
      <c r="Z1928" s="104" t="n"/>
      <c r="AB1928" s="105">
        <f>IF($B1928="","",(COUNTIF(C1908:E1925,$B1928)+COUNTIF(C1908:E1925,$B1928&amp;" ~*")&gt;0)+(COUNTIF(G1908:I1925,$B1928)+COUNTIF(G1908:I1925,$B1928&amp;" ~*")&gt;0)+(COUNTIF(K1908:M1925,$B1928)+COUNTIF(K1908:M1925,$B1928&amp;" ~*")&gt;0)+(COUNTIF(O1908:Q1925,$B1928)+COUNTIF(O1908:Q1925,$B1928&amp;" ~*")&gt;0)+(COUNTIF(S1908:U1925,$B1928)+COUNTIF(S1908:U1925,$B1928&amp;" ~*")&gt;0)+(COUNTIF(W1908:W1925,$B1928)+COUNTIF(W1908:W1925,$B1928&amp;" ~*")&gt;0)+(COUNTIF(Y1908:Y1925,$B1928)+COUNTIF(Y1908:Y1925,$B1928&amp;" ~*")&gt;0))</f>
        <v/>
      </c>
      <c r="AC1928" s="38">
        <f>IF($B1928="","",(IFERROR(INDEX(Setup!$G$33:$G$40,MATCH(C1928,Setup!$B$33:$B$40,0)),0)=1)*(COUNTIF(C1908:E1925,$B1928)+COUNTIF(C1908:E1925,$B1928&amp;" ~*")&gt;0)+(IFERROR(INDEX(Setup!$G$33:$G$40,MATCH(G1928,Setup!$B$33:$B$40,0)),0)=1)*(COUNTIF(G1908:I1925,$B1928)+COUNTIF(G1908:I1925,$B1928&amp;" ~*")&gt;0)+(IFERROR(INDEX(Setup!$G$33:$G$40,MATCH(K1928,Setup!$B$33:$B$40,0)),0)=1)*(COUNTIF(K1908:M1925,$B1928)+COUNTIF(K1908:M1925,$B1928&amp;" ~*")&gt;0)+(IFERROR(INDEX(Setup!$G$33:$G$40,MATCH(O1928,Setup!$B$33:$B$40,0)),0)=1)*(COUNTIF(O1908:Q1925,$B1928)+COUNTIF(O1908:Q1925,$B1928&amp;" ~*")&gt;0)+(IFERROR(INDEX(Setup!$G$33:$G$40,MATCH(S1928,Setup!$B$33:$B$40,0)),0)=1)*(COUNTIF(S1908:U1925,$B1928)+COUNTIF(S1908:U1925,$B1928&amp;" ~*")&gt;0)+(IFERROR(INDEX(Setup!$G$33:$G$40,MATCH(W1928,Setup!$B$33:$B$40,0)),0)=1)*(COUNTIF(W1908:W1925,$B1928)+COUNTIF(W1908:W1925,$B1928&amp;" ~*")&gt;0)+(IFERROR(INDEX(Setup!$G$33:$G$40,MATCH(Y1928,Setup!$B$33:$B$40,0)),0)=1)*(COUNTIF(Y1908:Y1925,$B1928)+COUNTIF(Y1908:Y1925,$B1928&amp;" ~*")&gt;0))</f>
        <v/>
      </c>
    </row>
    <row r="1929" ht="15" customHeight="1">
      <c r="A1929" t="n">
        <v>39</v>
      </c>
      <c r="B1929" s="35">
        <f>IF(Setup!$B$8="","",Setup!$B$8)</f>
        <v/>
      </c>
      <c r="C1929" s="98" t="n"/>
      <c r="D1929" s="99" t="n"/>
      <c r="E1929" s="99" t="n"/>
      <c r="F1929" s="100" t="n"/>
      <c r="G1929" s="98" t="n"/>
      <c r="H1929" s="99" t="n"/>
      <c r="I1929" s="99" t="n"/>
      <c r="J1929" s="100" t="n"/>
      <c r="K1929" s="98" t="n"/>
      <c r="L1929" s="99" t="n"/>
      <c r="M1929" s="99" t="n"/>
      <c r="N1929" s="100" t="n"/>
      <c r="O1929" s="98" t="n"/>
      <c r="P1929" s="99" t="n"/>
      <c r="Q1929" s="99" t="n"/>
      <c r="R1929" s="100" t="n"/>
      <c r="S1929" s="98" t="n"/>
      <c r="T1929" s="99" t="n"/>
      <c r="U1929" s="99" t="n"/>
      <c r="V1929" s="100" t="n"/>
      <c r="W1929" s="98" t="n"/>
      <c r="X1929" s="100" t="n"/>
      <c r="Y1929" s="98" t="n"/>
      <c r="Z1929" s="100" t="n"/>
      <c r="AB1929" s="101">
        <f>IF($B1929="","",(COUNTIF(C1908:E1925,$B1929)+COUNTIF(C1908:E1925,$B1929&amp;" ~*")&gt;0)+(COUNTIF(G1908:I1925,$B1929)+COUNTIF(G1908:I1925,$B1929&amp;" ~*")&gt;0)+(COUNTIF(K1908:M1925,$B1929)+COUNTIF(K1908:M1925,$B1929&amp;" ~*")&gt;0)+(COUNTIF(O1908:Q1925,$B1929)+COUNTIF(O1908:Q1925,$B1929&amp;" ~*")&gt;0)+(COUNTIF(S1908:U1925,$B1929)+COUNTIF(S1908:U1925,$B1929&amp;" ~*")&gt;0)+(COUNTIF(W1908:W1925,$B1929)+COUNTIF(W1908:W1925,$B1929&amp;" ~*")&gt;0)+(COUNTIF(Y1908:Y1925,$B1929)+COUNTIF(Y1908:Y1925,$B1929&amp;" ~*")&gt;0))</f>
        <v/>
      </c>
      <c r="AC1929" s="36">
        <f>IF($B1929="","",(IFERROR(INDEX(Setup!$G$33:$G$40,MATCH(C1929,Setup!$B$33:$B$40,0)),0)=1)*(COUNTIF(C1908:E1925,$B1929)+COUNTIF(C1908:E1925,$B1929&amp;" ~*")&gt;0)+(IFERROR(INDEX(Setup!$G$33:$G$40,MATCH(G1929,Setup!$B$33:$B$40,0)),0)=1)*(COUNTIF(G1908:I1925,$B1929)+COUNTIF(G1908:I1925,$B1929&amp;" ~*")&gt;0)+(IFERROR(INDEX(Setup!$G$33:$G$40,MATCH(K1929,Setup!$B$33:$B$40,0)),0)=1)*(COUNTIF(K1908:M1925,$B1929)+COUNTIF(K1908:M1925,$B1929&amp;" ~*")&gt;0)+(IFERROR(INDEX(Setup!$G$33:$G$40,MATCH(O1929,Setup!$B$33:$B$40,0)),0)=1)*(COUNTIF(O1908:Q1925,$B1929)+COUNTIF(O1908:Q1925,$B1929&amp;" ~*")&gt;0)+(IFERROR(INDEX(Setup!$G$33:$G$40,MATCH(S1929,Setup!$B$33:$B$40,0)),0)=1)*(COUNTIF(S1908:U1925,$B1929)+COUNTIF(S1908:U1925,$B1929&amp;" ~*")&gt;0)+(IFERROR(INDEX(Setup!$G$33:$G$40,MATCH(W1929,Setup!$B$33:$B$40,0)),0)=1)*(COUNTIF(W1908:W1925,$B1929)+COUNTIF(W1908:W1925,$B1929&amp;" ~*")&gt;0)+(IFERROR(INDEX(Setup!$G$33:$G$40,MATCH(Y1929,Setup!$B$33:$B$40,0)),0)=1)*(COUNTIF(Y1908:Y1925,$B1929)+COUNTIF(Y1908:Y1925,$B1929&amp;" ~*")&gt;0))</f>
        <v/>
      </c>
    </row>
    <row r="1930" ht="15" customHeight="1">
      <c r="A1930" t="n">
        <v>39</v>
      </c>
      <c r="B1930" s="37">
        <f>IF(Setup!$B$9="","",Setup!$B$9)</f>
        <v/>
      </c>
      <c r="C1930" s="102" t="n"/>
      <c r="D1930" s="103" t="n"/>
      <c r="E1930" s="103" t="n"/>
      <c r="F1930" s="104" t="n"/>
      <c r="G1930" s="102" t="n"/>
      <c r="H1930" s="103" t="n"/>
      <c r="I1930" s="103" t="n"/>
      <c r="J1930" s="104" t="n"/>
      <c r="K1930" s="102" t="n"/>
      <c r="L1930" s="103" t="n"/>
      <c r="M1930" s="103" t="n"/>
      <c r="N1930" s="104" t="n"/>
      <c r="O1930" s="102" t="n"/>
      <c r="P1930" s="103" t="n"/>
      <c r="Q1930" s="103" t="n"/>
      <c r="R1930" s="104" t="n"/>
      <c r="S1930" s="102" t="n"/>
      <c r="T1930" s="103" t="n"/>
      <c r="U1930" s="103" t="n"/>
      <c r="V1930" s="104" t="n"/>
      <c r="W1930" s="102" t="n"/>
      <c r="X1930" s="104" t="n"/>
      <c r="Y1930" s="102" t="n"/>
      <c r="Z1930" s="104" t="n"/>
      <c r="AB1930" s="105">
        <f>IF($B1930="","",(COUNTIF(C1908:E1925,$B1930)+COUNTIF(C1908:E1925,$B1930&amp;" ~*")&gt;0)+(COUNTIF(G1908:I1925,$B1930)+COUNTIF(G1908:I1925,$B1930&amp;" ~*")&gt;0)+(COUNTIF(K1908:M1925,$B1930)+COUNTIF(K1908:M1925,$B1930&amp;" ~*")&gt;0)+(COUNTIF(O1908:Q1925,$B1930)+COUNTIF(O1908:Q1925,$B1930&amp;" ~*")&gt;0)+(COUNTIF(S1908:U1925,$B1930)+COUNTIF(S1908:U1925,$B1930&amp;" ~*")&gt;0)+(COUNTIF(W1908:W1925,$B1930)+COUNTIF(W1908:W1925,$B1930&amp;" ~*")&gt;0)+(COUNTIF(Y1908:Y1925,$B1930)+COUNTIF(Y1908:Y1925,$B1930&amp;" ~*")&gt;0))</f>
        <v/>
      </c>
      <c r="AC1930" s="38">
        <f>IF($B1930="","",(IFERROR(INDEX(Setup!$G$33:$G$40,MATCH(C1930,Setup!$B$33:$B$40,0)),0)=1)*(COUNTIF(C1908:E1925,$B1930)+COUNTIF(C1908:E1925,$B1930&amp;" ~*")&gt;0)+(IFERROR(INDEX(Setup!$G$33:$G$40,MATCH(G1930,Setup!$B$33:$B$40,0)),0)=1)*(COUNTIF(G1908:I1925,$B1930)+COUNTIF(G1908:I1925,$B1930&amp;" ~*")&gt;0)+(IFERROR(INDEX(Setup!$G$33:$G$40,MATCH(K1930,Setup!$B$33:$B$40,0)),0)=1)*(COUNTIF(K1908:M1925,$B1930)+COUNTIF(K1908:M1925,$B1930&amp;" ~*")&gt;0)+(IFERROR(INDEX(Setup!$G$33:$G$40,MATCH(O1930,Setup!$B$33:$B$40,0)),0)=1)*(COUNTIF(O1908:Q1925,$B1930)+COUNTIF(O1908:Q1925,$B1930&amp;" ~*")&gt;0)+(IFERROR(INDEX(Setup!$G$33:$G$40,MATCH(S1930,Setup!$B$33:$B$40,0)),0)=1)*(COUNTIF(S1908:U1925,$B1930)+COUNTIF(S1908:U1925,$B1930&amp;" ~*")&gt;0)+(IFERROR(INDEX(Setup!$G$33:$G$40,MATCH(W1930,Setup!$B$33:$B$40,0)),0)=1)*(COUNTIF(W1908:W1925,$B1930)+COUNTIF(W1908:W1925,$B1930&amp;" ~*")&gt;0)+(IFERROR(INDEX(Setup!$G$33:$G$40,MATCH(Y1930,Setup!$B$33:$B$40,0)),0)=1)*(COUNTIF(Y1908:Y1925,$B1930)+COUNTIF(Y1908:Y1925,$B1930&amp;" ~*")&gt;0))</f>
        <v/>
      </c>
    </row>
    <row r="1931" ht="15" customHeight="1">
      <c r="A1931" t="n">
        <v>39</v>
      </c>
      <c r="B1931" s="35">
        <f>IF(Setup!$B$10="","",Setup!$B$10)</f>
        <v/>
      </c>
      <c r="C1931" s="98" t="n"/>
      <c r="D1931" s="99" t="n"/>
      <c r="E1931" s="99" t="n"/>
      <c r="F1931" s="100" t="n"/>
      <c r="G1931" s="98" t="n"/>
      <c r="H1931" s="99" t="n"/>
      <c r="I1931" s="99" t="n"/>
      <c r="J1931" s="100" t="n"/>
      <c r="K1931" s="98" t="n"/>
      <c r="L1931" s="99" t="n"/>
      <c r="M1931" s="99" t="n"/>
      <c r="N1931" s="100" t="n"/>
      <c r="O1931" s="98" t="n"/>
      <c r="P1931" s="99" t="n"/>
      <c r="Q1931" s="99" t="n"/>
      <c r="R1931" s="100" t="n"/>
      <c r="S1931" s="98" t="n"/>
      <c r="T1931" s="99" t="n"/>
      <c r="U1931" s="99" t="n"/>
      <c r="V1931" s="100" t="n"/>
      <c r="W1931" s="98" t="n"/>
      <c r="X1931" s="100" t="n"/>
      <c r="Y1931" s="98" t="n"/>
      <c r="Z1931" s="100" t="n"/>
      <c r="AB1931" s="101">
        <f>IF($B1931="","",(COUNTIF(C1908:E1925,$B1931)+COUNTIF(C1908:E1925,$B1931&amp;" ~*")&gt;0)+(COUNTIF(G1908:I1925,$B1931)+COUNTIF(G1908:I1925,$B1931&amp;" ~*")&gt;0)+(COUNTIF(K1908:M1925,$B1931)+COUNTIF(K1908:M1925,$B1931&amp;" ~*")&gt;0)+(COUNTIF(O1908:Q1925,$B1931)+COUNTIF(O1908:Q1925,$B1931&amp;" ~*")&gt;0)+(COUNTIF(S1908:U1925,$B1931)+COUNTIF(S1908:U1925,$B1931&amp;" ~*")&gt;0)+(COUNTIF(W1908:W1925,$B1931)+COUNTIF(W1908:W1925,$B1931&amp;" ~*")&gt;0)+(COUNTIF(Y1908:Y1925,$B1931)+COUNTIF(Y1908:Y1925,$B1931&amp;" ~*")&gt;0))</f>
        <v/>
      </c>
      <c r="AC1931" s="36">
        <f>IF($B1931="","",(IFERROR(INDEX(Setup!$G$33:$G$40,MATCH(C1931,Setup!$B$33:$B$40,0)),0)=1)*(COUNTIF(C1908:E1925,$B1931)+COUNTIF(C1908:E1925,$B1931&amp;" ~*")&gt;0)+(IFERROR(INDEX(Setup!$G$33:$G$40,MATCH(G1931,Setup!$B$33:$B$40,0)),0)=1)*(COUNTIF(G1908:I1925,$B1931)+COUNTIF(G1908:I1925,$B1931&amp;" ~*")&gt;0)+(IFERROR(INDEX(Setup!$G$33:$G$40,MATCH(K1931,Setup!$B$33:$B$40,0)),0)=1)*(COUNTIF(K1908:M1925,$B1931)+COUNTIF(K1908:M1925,$B1931&amp;" ~*")&gt;0)+(IFERROR(INDEX(Setup!$G$33:$G$40,MATCH(O1931,Setup!$B$33:$B$40,0)),0)=1)*(COUNTIF(O1908:Q1925,$B1931)+COUNTIF(O1908:Q1925,$B1931&amp;" ~*")&gt;0)+(IFERROR(INDEX(Setup!$G$33:$G$40,MATCH(S1931,Setup!$B$33:$B$40,0)),0)=1)*(COUNTIF(S1908:U1925,$B1931)+COUNTIF(S1908:U1925,$B1931&amp;" ~*")&gt;0)+(IFERROR(INDEX(Setup!$G$33:$G$40,MATCH(W1931,Setup!$B$33:$B$40,0)),0)=1)*(COUNTIF(W1908:W1925,$B1931)+COUNTIF(W1908:W1925,$B1931&amp;" ~*")&gt;0)+(IFERROR(INDEX(Setup!$G$33:$G$40,MATCH(Y1931,Setup!$B$33:$B$40,0)),0)=1)*(COUNTIF(Y1908:Y1925,$B1931)+COUNTIF(Y1908:Y1925,$B1931&amp;" ~*")&gt;0))</f>
        <v/>
      </c>
    </row>
    <row r="1932" ht="15" customHeight="1">
      <c r="A1932" t="n">
        <v>39</v>
      </c>
      <c r="B1932" s="37">
        <f>IF(Setup!$B$11="","",Setup!$B$11)</f>
        <v/>
      </c>
      <c r="C1932" s="102" t="n"/>
      <c r="D1932" s="103" t="n"/>
      <c r="E1932" s="103" t="n"/>
      <c r="F1932" s="104" t="n"/>
      <c r="G1932" s="102" t="n"/>
      <c r="H1932" s="103" t="n"/>
      <c r="I1932" s="103" t="n"/>
      <c r="J1932" s="104" t="n"/>
      <c r="K1932" s="102" t="n"/>
      <c r="L1932" s="103" t="n"/>
      <c r="M1932" s="103" t="n"/>
      <c r="N1932" s="104" t="n"/>
      <c r="O1932" s="102" t="n"/>
      <c r="P1932" s="103" t="n"/>
      <c r="Q1932" s="103" t="n"/>
      <c r="R1932" s="104" t="n"/>
      <c r="S1932" s="102" t="n"/>
      <c r="T1932" s="103" t="n"/>
      <c r="U1932" s="103" t="n"/>
      <c r="V1932" s="104" t="n"/>
      <c r="W1932" s="102" t="n"/>
      <c r="X1932" s="104" t="n"/>
      <c r="Y1932" s="102" t="n"/>
      <c r="Z1932" s="104" t="n"/>
      <c r="AB1932" s="105">
        <f>IF($B1932="","",(COUNTIF(C1908:E1925,$B1932)+COUNTIF(C1908:E1925,$B1932&amp;" ~*")&gt;0)+(COUNTIF(G1908:I1925,$B1932)+COUNTIF(G1908:I1925,$B1932&amp;" ~*")&gt;0)+(COUNTIF(K1908:M1925,$B1932)+COUNTIF(K1908:M1925,$B1932&amp;" ~*")&gt;0)+(COUNTIF(O1908:Q1925,$B1932)+COUNTIF(O1908:Q1925,$B1932&amp;" ~*")&gt;0)+(COUNTIF(S1908:U1925,$B1932)+COUNTIF(S1908:U1925,$B1932&amp;" ~*")&gt;0)+(COUNTIF(W1908:W1925,$B1932)+COUNTIF(W1908:W1925,$B1932&amp;" ~*")&gt;0)+(COUNTIF(Y1908:Y1925,$B1932)+COUNTIF(Y1908:Y1925,$B1932&amp;" ~*")&gt;0))</f>
        <v/>
      </c>
      <c r="AC1932" s="38">
        <f>IF($B1932="","",(IFERROR(INDEX(Setup!$G$33:$G$40,MATCH(C1932,Setup!$B$33:$B$40,0)),0)=1)*(COUNTIF(C1908:E1925,$B1932)+COUNTIF(C1908:E1925,$B1932&amp;" ~*")&gt;0)+(IFERROR(INDEX(Setup!$G$33:$G$40,MATCH(G1932,Setup!$B$33:$B$40,0)),0)=1)*(COUNTIF(G1908:I1925,$B1932)+COUNTIF(G1908:I1925,$B1932&amp;" ~*")&gt;0)+(IFERROR(INDEX(Setup!$G$33:$G$40,MATCH(K1932,Setup!$B$33:$B$40,0)),0)=1)*(COUNTIF(K1908:M1925,$B1932)+COUNTIF(K1908:M1925,$B1932&amp;" ~*")&gt;0)+(IFERROR(INDEX(Setup!$G$33:$G$40,MATCH(O1932,Setup!$B$33:$B$40,0)),0)=1)*(COUNTIF(O1908:Q1925,$B1932)+COUNTIF(O1908:Q1925,$B1932&amp;" ~*")&gt;0)+(IFERROR(INDEX(Setup!$G$33:$G$40,MATCH(S1932,Setup!$B$33:$B$40,0)),0)=1)*(COUNTIF(S1908:U1925,$B1932)+COUNTIF(S1908:U1925,$B1932&amp;" ~*")&gt;0)+(IFERROR(INDEX(Setup!$G$33:$G$40,MATCH(W1932,Setup!$B$33:$B$40,0)),0)=1)*(COUNTIF(W1908:W1925,$B1932)+COUNTIF(W1908:W1925,$B1932&amp;" ~*")&gt;0)+(IFERROR(INDEX(Setup!$G$33:$G$40,MATCH(Y1932,Setup!$B$33:$B$40,0)),0)=1)*(COUNTIF(Y1908:Y1925,$B1932)+COUNTIF(Y1908:Y1925,$B1932&amp;" ~*")&gt;0))</f>
        <v/>
      </c>
    </row>
    <row r="1933" ht="15" customHeight="1">
      <c r="A1933" t="n">
        <v>39</v>
      </c>
      <c r="B1933" s="35">
        <f>IF(Setup!$B$12="","",Setup!$B$12)</f>
        <v/>
      </c>
      <c r="C1933" s="98" t="n"/>
      <c r="D1933" s="99" t="n"/>
      <c r="E1933" s="99" t="n"/>
      <c r="F1933" s="100" t="n"/>
      <c r="G1933" s="98" t="n"/>
      <c r="H1933" s="99" t="n"/>
      <c r="I1933" s="99" t="n"/>
      <c r="J1933" s="100" t="n"/>
      <c r="K1933" s="98" t="n"/>
      <c r="L1933" s="99" t="n"/>
      <c r="M1933" s="99" t="n"/>
      <c r="N1933" s="100" t="n"/>
      <c r="O1933" s="98" t="n"/>
      <c r="P1933" s="99" t="n"/>
      <c r="Q1933" s="99" t="n"/>
      <c r="R1933" s="100" t="n"/>
      <c r="S1933" s="98" t="n"/>
      <c r="T1933" s="99" t="n"/>
      <c r="U1933" s="99" t="n"/>
      <c r="V1933" s="100" t="n"/>
      <c r="W1933" s="98" t="n"/>
      <c r="X1933" s="100" t="n"/>
      <c r="Y1933" s="98" t="n"/>
      <c r="Z1933" s="100" t="n"/>
      <c r="AB1933" s="101">
        <f>IF($B1933="","",(COUNTIF(C1908:E1925,$B1933)+COUNTIF(C1908:E1925,$B1933&amp;" ~*")&gt;0)+(COUNTIF(G1908:I1925,$B1933)+COUNTIF(G1908:I1925,$B1933&amp;" ~*")&gt;0)+(COUNTIF(K1908:M1925,$B1933)+COUNTIF(K1908:M1925,$B1933&amp;" ~*")&gt;0)+(COUNTIF(O1908:Q1925,$B1933)+COUNTIF(O1908:Q1925,$B1933&amp;" ~*")&gt;0)+(COUNTIF(S1908:U1925,$B1933)+COUNTIF(S1908:U1925,$B1933&amp;" ~*")&gt;0)+(COUNTIF(W1908:W1925,$B1933)+COUNTIF(W1908:W1925,$B1933&amp;" ~*")&gt;0)+(COUNTIF(Y1908:Y1925,$B1933)+COUNTIF(Y1908:Y1925,$B1933&amp;" ~*")&gt;0))</f>
        <v/>
      </c>
      <c r="AC1933" s="36">
        <f>IF($B1933="","",(IFERROR(INDEX(Setup!$G$33:$G$40,MATCH(C1933,Setup!$B$33:$B$40,0)),0)=1)*(COUNTIF(C1908:E1925,$B1933)+COUNTIF(C1908:E1925,$B1933&amp;" ~*")&gt;0)+(IFERROR(INDEX(Setup!$G$33:$G$40,MATCH(G1933,Setup!$B$33:$B$40,0)),0)=1)*(COUNTIF(G1908:I1925,$B1933)+COUNTIF(G1908:I1925,$B1933&amp;" ~*")&gt;0)+(IFERROR(INDEX(Setup!$G$33:$G$40,MATCH(K1933,Setup!$B$33:$B$40,0)),0)=1)*(COUNTIF(K1908:M1925,$B1933)+COUNTIF(K1908:M1925,$B1933&amp;" ~*")&gt;0)+(IFERROR(INDEX(Setup!$G$33:$G$40,MATCH(O1933,Setup!$B$33:$B$40,0)),0)=1)*(COUNTIF(O1908:Q1925,$B1933)+COUNTIF(O1908:Q1925,$B1933&amp;" ~*")&gt;0)+(IFERROR(INDEX(Setup!$G$33:$G$40,MATCH(S1933,Setup!$B$33:$B$40,0)),0)=1)*(COUNTIF(S1908:U1925,$B1933)+COUNTIF(S1908:U1925,$B1933&amp;" ~*")&gt;0)+(IFERROR(INDEX(Setup!$G$33:$G$40,MATCH(W1933,Setup!$B$33:$B$40,0)),0)=1)*(COUNTIF(W1908:W1925,$B1933)+COUNTIF(W1908:W1925,$B1933&amp;" ~*")&gt;0)+(IFERROR(INDEX(Setup!$G$33:$G$40,MATCH(Y1933,Setup!$B$33:$B$40,0)),0)=1)*(COUNTIF(Y1908:Y1925,$B1933)+COUNTIF(Y1908:Y1925,$B1933&amp;" ~*")&gt;0))</f>
        <v/>
      </c>
    </row>
    <row r="1934" ht="15" customHeight="1">
      <c r="A1934" t="n">
        <v>39</v>
      </c>
      <c r="B1934" s="37">
        <f>IF(Setup!$B$13="","",Setup!$B$13)</f>
        <v/>
      </c>
      <c r="C1934" s="102" t="n"/>
      <c r="D1934" s="103" t="n"/>
      <c r="E1934" s="103" t="n"/>
      <c r="F1934" s="104" t="n"/>
      <c r="G1934" s="102" t="n"/>
      <c r="H1934" s="103" t="n"/>
      <c r="I1934" s="103" t="n"/>
      <c r="J1934" s="104" t="n"/>
      <c r="K1934" s="102" t="n"/>
      <c r="L1934" s="103" t="n"/>
      <c r="M1934" s="103" t="n"/>
      <c r="N1934" s="104" t="n"/>
      <c r="O1934" s="102" t="n"/>
      <c r="P1934" s="103" t="n"/>
      <c r="Q1934" s="103" t="n"/>
      <c r="R1934" s="104" t="n"/>
      <c r="S1934" s="102" t="n"/>
      <c r="T1934" s="103" t="n"/>
      <c r="U1934" s="103" t="n"/>
      <c r="V1934" s="104" t="n"/>
      <c r="W1934" s="102" t="n"/>
      <c r="X1934" s="104" t="n"/>
      <c r="Y1934" s="102" t="n"/>
      <c r="Z1934" s="104" t="n"/>
      <c r="AB1934" s="105">
        <f>IF($B1934="","",(COUNTIF(C1908:E1925,$B1934)+COUNTIF(C1908:E1925,$B1934&amp;" ~*")&gt;0)+(COUNTIF(G1908:I1925,$B1934)+COUNTIF(G1908:I1925,$B1934&amp;" ~*")&gt;0)+(COUNTIF(K1908:M1925,$B1934)+COUNTIF(K1908:M1925,$B1934&amp;" ~*")&gt;0)+(COUNTIF(O1908:Q1925,$B1934)+COUNTIF(O1908:Q1925,$B1934&amp;" ~*")&gt;0)+(COUNTIF(S1908:U1925,$B1934)+COUNTIF(S1908:U1925,$B1934&amp;" ~*")&gt;0)+(COUNTIF(W1908:W1925,$B1934)+COUNTIF(W1908:W1925,$B1934&amp;" ~*")&gt;0)+(COUNTIF(Y1908:Y1925,$B1934)+COUNTIF(Y1908:Y1925,$B1934&amp;" ~*")&gt;0))</f>
        <v/>
      </c>
      <c r="AC1934" s="38">
        <f>IF($B1934="","",(IFERROR(INDEX(Setup!$G$33:$G$40,MATCH(C1934,Setup!$B$33:$B$40,0)),0)=1)*(COUNTIF(C1908:E1925,$B1934)+COUNTIF(C1908:E1925,$B1934&amp;" ~*")&gt;0)+(IFERROR(INDEX(Setup!$G$33:$G$40,MATCH(G1934,Setup!$B$33:$B$40,0)),0)=1)*(COUNTIF(G1908:I1925,$B1934)+COUNTIF(G1908:I1925,$B1934&amp;" ~*")&gt;0)+(IFERROR(INDEX(Setup!$G$33:$G$40,MATCH(K1934,Setup!$B$33:$B$40,0)),0)=1)*(COUNTIF(K1908:M1925,$B1934)+COUNTIF(K1908:M1925,$B1934&amp;" ~*")&gt;0)+(IFERROR(INDEX(Setup!$G$33:$G$40,MATCH(O1934,Setup!$B$33:$B$40,0)),0)=1)*(COUNTIF(O1908:Q1925,$B1934)+COUNTIF(O1908:Q1925,$B1934&amp;" ~*")&gt;0)+(IFERROR(INDEX(Setup!$G$33:$G$40,MATCH(S1934,Setup!$B$33:$B$40,0)),0)=1)*(COUNTIF(S1908:U1925,$B1934)+COUNTIF(S1908:U1925,$B1934&amp;" ~*")&gt;0)+(IFERROR(INDEX(Setup!$G$33:$G$40,MATCH(W1934,Setup!$B$33:$B$40,0)),0)=1)*(COUNTIF(W1908:W1925,$B1934)+COUNTIF(W1908:W1925,$B1934&amp;" ~*")&gt;0)+(IFERROR(INDEX(Setup!$G$33:$G$40,MATCH(Y1934,Setup!$B$33:$B$40,0)),0)=1)*(COUNTIF(Y1908:Y1925,$B1934)+COUNTIF(Y1908:Y1925,$B1934&amp;" ~*")&gt;0))</f>
        <v/>
      </c>
    </row>
    <row r="1935" ht="15" customHeight="1">
      <c r="A1935" t="n">
        <v>39</v>
      </c>
      <c r="B1935" s="35">
        <f>IF(Setup!$B$14="","",Setup!$B$14)</f>
        <v/>
      </c>
      <c r="C1935" s="98" t="n"/>
      <c r="D1935" s="99" t="n"/>
      <c r="E1935" s="99" t="n"/>
      <c r="F1935" s="100" t="n"/>
      <c r="G1935" s="98" t="n"/>
      <c r="H1935" s="99" t="n"/>
      <c r="I1935" s="99" t="n"/>
      <c r="J1935" s="100" t="n"/>
      <c r="K1935" s="98" t="n"/>
      <c r="L1935" s="99" t="n"/>
      <c r="M1935" s="99" t="n"/>
      <c r="N1935" s="100" t="n"/>
      <c r="O1935" s="98" t="n"/>
      <c r="P1935" s="99" t="n"/>
      <c r="Q1935" s="99" t="n"/>
      <c r="R1935" s="100" t="n"/>
      <c r="S1935" s="98" t="n"/>
      <c r="T1935" s="99" t="n"/>
      <c r="U1935" s="99" t="n"/>
      <c r="V1935" s="100" t="n"/>
      <c r="W1935" s="98" t="n"/>
      <c r="X1935" s="100" t="n"/>
      <c r="Y1935" s="98" t="n"/>
      <c r="Z1935" s="100" t="n"/>
      <c r="AB1935" s="101">
        <f>IF($B1935="","",(COUNTIF(C1908:E1925,$B1935)+COUNTIF(C1908:E1925,$B1935&amp;" ~*")&gt;0)+(COUNTIF(G1908:I1925,$B1935)+COUNTIF(G1908:I1925,$B1935&amp;" ~*")&gt;0)+(COUNTIF(K1908:M1925,$B1935)+COUNTIF(K1908:M1925,$B1935&amp;" ~*")&gt;0)+(COUNTIF(O1908:Q1925,$B1935)+COUNTIF(O1908:Q1925,$B1935&amp;" ~*")&gt;0)+(COUNTIF(S1908:U1925,$B1935)+COUNTIF(S1908:U1925,$B1935&amp;" ~*")&gt;0)+(COUNTIF(W1908:W1925,$B1935)+COUNTIF(W1908:W1925,$B1935&amp;" ~*")&gt;0)+(COUNTIF(Y1908:Y1925,$B1935)+COUNTIF(Y1908:Y1925,$B1935&amp;" ~*")&gt;0))</f>
        <v/>
      </c>
      <c r="AC1935" s="36">
        <f>IF($B1935="","",(IFERROR(INDEX(Setup!$G$33:$G$40,MATCH(C1935,Setup!$B$33:$B$40,0)),0)=1)*(COUNTIF(C1908:E1925,$B1935)+COUNTIF(C1908:E1925,$B1935&amp;" ~*")&gt;0)+(IFERROR(INDEX(Setup!$G$33:$G$40,MATCH(G1935,Setup!$B$33:$B$40,0)),0)=1)*(COUNTIF(G1908:I1925,$B1935)+COUNTIF(G1908:I1925,$B1935&amp;" ~*")&gt;0)+(IFERROR(INDEX(Setup!$G$33:$G$40,MATCH(K1935,Setup!$B$33:$B$40,0)),0)=1)*(COUNTIF(K1908:M1925,$B1935)+COUNTIF(K1908:M1925,$B1935&amp;" ~*")&gt;0)+(IFERROR(INDEX(Setup!$G$33:$G$40,MATCH(O1935,Setup!$B$33:$B$40,0)),0)=1)*(COUNTIF(O1908:Q1925,$B1935)+COUNTIF(O1908:Q1925,$B1935&amp;" ~*")&gt;0)+(IFERROR(INDEX(Setup!$G$33:$G$40,MATCH(S1935,Setup!$B$33:$B$40,0)),0)=1)*(COUNTIF(S1908:U1925,$B1935)+COUNTIF(S1908:U1925,$B1935&amp;" ~*")&gt;0)+(IFERROR(INDEX(Setup!$G$33:$G$40,MATCH(W1935,Setup!$B$33:$B$40,0)),0)=1)*(COUNTIF(W1908:W1925,$B1935)+COUNTIF(W1908:W1925,$B1935&amp;" ~*")&gt;0)+(IFERROR(INDEX(Setup!$G$33:$G$40,MATCH(Y1935,Setup!$B$33:$B$40,0)),0)=1)*(COUNTIF(Y1908:Y1925,$B1935)+COUNTIF(Y1908:Y1925,$B1935&amp;" ~*")&gt;0))</f>
        <v/>
      </c>
    </row>
    <row r="1936" ht="15" customHeight="1">
      <c r="A1936" t="n">
        <v>39</v>
      </c>
      <c r="B1936" s="37">
        <f>IF(Setup!$B$15="","",Setup!$B$15)</f>
        <v/>
      </c>
      <c r="C1936" s="102" t="n"/>
      <c r="D1936" s="103" t="n"/>
      <c r="E1936" s="103" t="n"/>
      <c r="F1936" s="104" t="n"/>
      <c r="G1936" s="102" t="n"/>
      <c r="H1936" s="103" t="n"/>
      <c r="I1936" s="103" t="n"/>
      <c r="J1936" s="104" t="n"/>
      <c r="K1936" s="102" t="n"/>
      <c r="L1936" s="103" t="n"/>
      <c r="M1936" s="103" t="n"/>
      <c r="N1936" s="104" t="n"/>
      <c r="O1936" s="102" t="n"/>
      <c r="P1936" s="103" t="n"/>
      <c r="Q1936" s="103" t="n"/>
      <c r="R1936" s="104" t="n"/>
      <c r="S1936" s="102" t="n"/>
      <c r="T1936" s="103" t="n"/>
      <c r="U1936" s="103" t="n"/>
      <c r="V1936" s="104" t="n"/>
      <c r="W1936" s="102" t="n"/>
      <c r="X1936" s="104" t="n"/>
      <c r="Y1936" s="102" t="n"/>
      <c r="Z1936" s="104" t="n"/>
      <c r="AB1936" s="105">
        <f>IF($B1936="","",(COUNTIF(C1908:E1925,$B1936)+COUNTIF(C1908:E1925,$B1936&amp;" ~*")&gt;0)+(COUNTIF(G1908:I1925,$B1936)+COUNTIF(G1908:I1925,$B1936&amp;" ~*")&gt;0)+(COUNTIF(K1908:M1925,$B1936)+COUNTIF(K1908:M1925,$B1936&amp;" ~*")&gt;0)+(COUNTIF(O1908:Q1925,$B1936)+COUNTIF(O1908:Q1925,$B1936&amp;" ~*")&gt;0)+(COUNTIF(S1908:U1925,$B1936)+COUNTIF(S1908:U1925,$B1936&amp;" ~*")&gt;0)+(COUNTIF(W1908:W1925,$B1936)+COUNTIF(W1908:W1925,$B1936&amp;" ~*")&gt;0)+(COUNTIF(Y1908:Y1925,$B1936)+COUNTIF(Y1908:Y1925,$B1936&amp;" ~*")&gt;0))</f>
        <v/>
      </c>
      <c r="AC1936" s="38">
        <f>IF($B1936="","",(IFERROR(INDEX(Setup!$G$33:$G$40,MATCH(C1936,Setup!$B$33:$B$40,0)),0)=1)*(COUNTIF(C1908:E1925,$B1936)+COUNTIF(C1908:E1925,$B1936&amp;" ~*")&gt;0)+(IFERROR(INDEX(Setup!$G$33:$G$40,MATCH(G1936,Setup!$B$33:$B$40,0)),0)=1)*(COUNTIF(G1908:I1925,$B1936)+COUNTIF(G1908:I1925,$B1936&amp;" ~*")&gt;0)+(IFERROR(INDEX(Setup!$G$33:$G$40,MATCH(K1936,Setup!$B$33:$B$40,0)),0)=1)*(COUNTIF(K1908:M1925,$B1936)+COUNTIF(K1908:M1925,$B1936&amp;" ~*")&gt;0)+(IFERROR(INDEX(Setup!$G$33:$G$40,MATCH(O1936,Setup!$B$33:$B$40,0)),0)=1)*(COUNTIF(O1908:Q1925,$B1936)+COUNTIF(O1908:Q1925,$B1936&amp;" ~*")&gt;0)+(IFERROR(INDEX(Setup!$G$33:$G$40,MATCH(S1936,Setup!$B$33:$B$40,0)),0)=1)*(COUNTIF(S1908:U1925,$B1936)+COUNTIF(S1908:U1925,$B1936&amp;" ~*")&gt;0)+(IFERROR(INDEX(Setup!$G$33:$G$40,MATCH(W1936,Setup!$B$33:$B$40,0)),0)=1)*(COUNTIF(W1908:W1925,$B1936)+COUNTIF(W1908:W1925,$B1936&amp;" ~*")&gt;0)+(IFERROR(INDEX(Setup!$G$33:$G$40,MATCH(Y1936,Setup!$B$33:$B$40,0)),0)=1)*(COUNTIF(Y1908:Y1925,$B1936)+COUNTIF(Y1908:Y1925,$B1936&amp;" ~*")&gt;0))</f>
        <v/>
      </c>
    </row>
    <row r="1937" ht="15" customHeight="1">
      <c r="A1937" t="n">
        <v>39</v>
      </c>
      <c r="B1937" s="35">
        <f>IF(Setup!$B$16="","",Setup!$B$16)</f>
        <v/>
      </c>
      <c r="C1937" s="98" t="n"/>
      <c r="D1937" s="99" t="n"/>
      <c r="E1937" s="99" t="n"/>
      <c r="F1937" s="100" t="n"/>
      <c r="G1937" s="98" t="n"/>
      <c r="H1937" s="99" t="n"/>
      <c r="I1937" s="99" t="n"/>
      <c r="J1937" s="100" t="n"/>
      <c r="K1937" s="98" t="n"/>
      <c r="L1937" s="99" t="n"/>
      <c r="M1937" s="99" t="n"/>
      <c r="N1937" s="100" t="n"/>
      <c r="O1937" s="98" t="n"/>
      <c r="P1937" s="99" t="n"/>
      <c r="Q1937" s="99" t="n"/>
      <c r="R1937" s="100" t="n"/>
      <c r="S1937" s="98" t="n"/>
      <c r="T1937" s="99" t="n"/>
      <c r="U1937" s="99" t="n"/>
      <c r="V1937" s="100" t="n"/>
      <c r="W1937" s="98" t="n"/>
      <c r="X1937" s="100" t="n"/>
      <c r="Y1937" s="98" t="n"/>
      <c r="Z1937" s="100" t="n"/>
      <c r="AB1937" s="101">
        <f>IF($B1937="","",(COUNTIF(C1908:E1925,$B1937)+COUNTIF(C1908:E1925,$B1937&amp;" ~*")&gt;0)+(COUNTIF(G1908:I1925,$B1937)+COUNTIF(G1908:I1925,$B1937&amp;" ~*")&gt;0)+(COUNTIF(K1908:M1925,$B1937)+COUNTIF(K1908:M1925,$B1937&amp;" ~*")&gt;0)+(COUNTIF(O1908:Q1925,$B1937)+COUNTIF(O1908:Q1925,$B1937&amp;" ~*")&gt;0)+(COUNTIF(S1908:U1925,$B1937)+COUNTIF(S1908:U1925,$B1937&amp;" ~*")&gt;0)+(COUNTIF(W1908:W1925,$B1937)+COUNTIF(W1908:W1925,$B1937&amp;" ~*")&gt;0)+(COUNTIF(Y1908:Y1925,$B1937)+COUNTIF(Y1908:Y1925,$B1937&amp;" ~*")&gt;0))</f>
        <v/>
      </c>
      <c r="AC1937" s="36">
        <f>IF($B1937="","",(IFERROR(INDEX(Setup!$G$33:$G$40,MATCH(C1937,Setup!$B$33:$B$40,0)),0)=1)*(COUNTIF(C1908:E1925,$B1937)+COUNTIF(C1908:E1925,$B1937&amp;" ~*")&gt;0)+(IFERROR(INDEX(Setup!$G$33:$G$40,MATCH(G1937,Setup!$B$33:$B$40,0)),0)=1)*(COUNTIF(G1908:I1925,$B1937)+COUNTIF(G1908:I1925,$B1937&amp;" ~*")&gt;0)+(IFERROR(INDEX(Setup!$G$33:$G$40,MATCH(K1937,Setup!$B$33:$B$40,0)),0)=1)*(COUNTIF(K1908:M1925,$B1937)+COUNTIF(K1908:M1925,$B1937&amp;" ~*")&gt;0)+(IFERROR(INDEX(Setup!$G$33:$G$40,MATCH(O1937,Setup!$B$33:$B$40,0)),0)=1)*(COUNTIF(O1908:Q1925,$B1937)+COUNTIF(O1908:Q1925,$B1937&amp;" ~*")&gt;0)+(IFERROR(INDEX(Setup!$G$33:$G$40,MATCH(S1937,Setup!$B$33:$B$40,0)),0)=1)*(COUNTIF(S1908:U1925,$B1937)+COUNTIF(S1908:U1925,$B1937&amp;" ~*")&gt;0)+(IFERROR(INDEX(Setup!$G$33:$G$40,MATCH(W1937,Setup!$B$33:$B$40,0)),0)=1)*(COUNTIF(W1908:W1925,$B1937)+COUNTIF(W1908:W1925,$B1937&amp;" ~*")&gt;0)+(IFERROR(INDEX(Setup!$G$33:$G$40,MATCH(Y1937,Setup!$B$33:$B$40,0)),0)=1)*(COUNTIF(Y1908:Y1925,$B1937)+COUNTIF(Y1908:Y1925,$B1937&amp;" ~*")&gt;0))</f>
        <v/>
      </c>
    </row>
    <row r="1938" ht="15" customHeight="1">
      <c r="A1938" t="n">
        <v>39</v>
      </c>
      <c r="B1938" s="37">
        <f>IF(Setup!$B$17="","",Setup!$B$17)</f>
        <v/>
      </c>
      <c r="C1938" s="102" t="n"/>
      <c r="D1938" s="103" t="n"/>
      <c r="E1938" s="103" t="n"/>
      <c r="F1938" s="104" t="n"/>
      <c r="G1938" s="102" t="n"/>
      <c r="H1938" s="103" t="n"/>
      <c r="I1938" s="103" t="n"/>
      <c r="J1938" s="104" t="n"/>
      <c r="K1938" s="102" t="n"/>
      <c r="L1938" s="103" t="n"/>
      <c r="M1938" s="103" t="n"/>
      <c r="N1938" s="104" t="n"/>
      <c r="O1938" s="102" t="n"/>
      <c r="P1938" s="103" t="n"/>
      <c r="Q1938" s="103" t="n"/>
      <c r="R1938" s="104" t="n"/>
      <c r="S1938" s="102" t="n"/>
      <c r="T1938" s="103" t="n"/>
      <c r="U1938" s="103" t="n"/>
      <c r="V1938" s="104" t="n"/>
      <c r="W1938" s="102" t="n"/>
      <c r="X1938" s="104" t="n"/>
      <c r="Y1938" s="102" t="n"/>
      <c r="Z1938" s="104" t="n"/>
      <c r="AB1938" s="105">
        <f>IF($B1938="","",(COUNTIF(C1908:E1925,$B1938)+COUNTIF(C1908:E1925,$B1938&amp;" ~*")&gt;0)+(COUNTIF(G1908:I1925,$B1938)+COUNTIF(G1908:I1925,$B1938&amp;" ~*")&gt;0)+(COUNTIF(K1908:M1925,$B1938)+COUNTIF(K1908:M1925,$B1938&amp;" ~*")&gt;0)+(COUNTIF(O1908:Q1925,$B1938)+COUNTIF(O1908:Q1925,$B1938&amp;" ~*")&gt;0)+(COUNTIF(S1908:U1925,$B1938)+COUNTIF(S1908:U1925,$B1938&amp;" ~*")&gt;0)+(COUNTIF(W1908:W1925,$B1938)+COUNTIF(W1908:W1925,$B1938&amp;" ~*")&gt;0)+(COUNTIF(Y1908:Y1925,$B1938)+COUNTIF(Y1908:Y1925,$B1938&amp;" ~*")&gt;0))</f>
        <v/>
      </c>
      <c r="AC1938" s="38">
        <f>IF($B1938="","",(IFERROR(INDEX(Setup!$G$33:$G$40,MATCH(C1938,Setup!$B$33:$B$40,0)),0)=1)*(COUNTIF(C1908:E1925,$B1938)+COUNTIF(C1908:E1925,$B1938&amp;" ~*")&gt;0)+(IFERROR(INDEX(Setup!$G$33:$G$40,MATCH(G1938,Setup!$B$33:$B$40,0)),0)=1)*(COUNTIF(G1908:I1925,$B1938)+COUNTIF(G1908:I1925,$B1938&amp;" ~*")&gt;0)+(IFERROR(INDEX(Setup!$G$33:$G$40,MATCH(K1938,Setup!$B$33:$B$40,0)),0)=1)*(COUNTIF(K1908:M1925,$B1938)+COUNTIF(K1908:M1925,$B1938&amp;" ~*")&gt;0)+(IFERROR(INDEX(Setup!$G$33:$G$40,MATCH(O1938,Setup!$B$33:$B$40,0)),0)=1)*(COUNTIF(O1908:Q1925,$B1938)+COUNTIF(O1908:Q1925,$B1938&amp;" ~*")&gt;0)+(IFERROR(INDEX(Setup!$G$33:$G$40,MATCH(S1938,Setup!$B$33:$B$40,0)),0)=1)*(COUNTIF(S1908:U1925,$B1938)+COUNTIF(S1908:U1925,$B1938&amp;" ~*")&gt;0)+(IFERROR(INDEX(Setup!$G$33:$G$40,MATCH(W1938,Setup!$B$33:$B$40,0)),0)=1)*(COUNTIF(W1908:W1925,$B1938)+COUNTIF(W1908:W1925,$B1938&amp;" ~*")&gt;0)+(IFERROR(INDEX(Setup!$G$33:$G$40,MATCH(Y1938,Setup!$B$33:$B$40,0)),0)=1)*(COUNTIF(Y1908:Y1925,$B1938)+COUNTIF(Y1908:Y1925,$B1938&amp;" ~*")&gt;0))</f>
        <v/>
      </c>
    </row>
    <row r="1939" ht="15" customHeight="1">
      <c r="A1939" t="n">
        <v>39</v>
      </c>
      <c r="B1939" s="35">
        <f>IF(Setup!$B$18="","",Setup!$B$18)</f>
        <v/>
      </c>
      <c r="C1939" s="98" t="n"/>
      <c r="D1939" s="99" t="n"/>
      <c r="E1939" s="99" t="n"/>
      <c r="F1939" s="100" t="n"/>
      <c r="G1939" s="98" t="n"/>
      <c r="H1939" s="99" t="n"/>
      <c r="I1939" s="99" t="n"/>
      <c r="J1939" s="100" t="n"/>
      <c r="K1939" s="98" t="n"/>
      <c r="L1939" s="99" t="n"/>
      <c r="M1939" s="99" t="n"/>
      <c r="N1939" s="100" t="n"/>
      <c r="O1939" s="98" t="n"/>
      <c r="P1939" s="99" t="n"/>
      <c r="Q1939" s="99" t="n"/>
      <c r="R1939" s="100" t="n"/>
      <c r="S1939" s="98" t="n"/>
      <c r="T1939" s="99" t="n"/>
      <c r="U1939" s="99" t="n"/>
      <c r="V1939" s="100" t="n"/>
      <c r="W1939" s="98" t="n"/>
      <c r="X1939" s="100" t="n"/>
      <c r="Y1939" s="98" t="n"/>
      <c r="Z1939" s="100" t="n"/>
      <c r="AB1939" s="101">
        <f>IF($B1939="","",(COUNTIF(C1908:E1925,$B1939)+COUNTIF(C1908:E1925,$B1939&amp;" ~*")&gt;0)+(COUNTIF(G1908:I1925,$B1939)+COUNTIF(G1908:I1925,$B1939&amp;" ~*")&gt;0)+(COUNTIF(K1908:M1925,$B1939)+COUNTIF(K1908:M1925,$B1939&amp;" ~*")&gt;0)+(COUNTIF(O1908:Q1925,$B1939)+COUNTIF(O1908:Q1925,$B1939&amp;" ~*")&gt;0)+(COUNTIF(S1908:U1925,$B1939)+COUNTIF(S1908:U1925,$B1939&amp;" ~*")&gt;0)+(COUNTIF(W1908:W1925,$B1939)+COUNTIF(W1908:W1925,$B1939&amp;" ~*")&gt;0)+(COUNTIF(Y1908:Y1925,$B1939)+COUNTIF(Y1908:Y1925,$B1939&amp;" ~*")&gt;0))</f>
        <v/>
      </c>
      <c r="AC1939" s="36">
        <f>IF($B1939="","",(IFERROR(INDEX(Setup!$G$33:$G$40,MATCH(C1939,Setup!$B$33:$B$40,0)),0)=1)*(COUNTIF(C1908:E1925,$B1939)+COUNTIF(C1908:E1925,$B1939&amp;" ~*")&gt;0)+(IFERROR(INDEX(Setup!$G$33:$G$40,MATCH(G1939,Setup!$B$33:$B$40,0)),0)=1)*(COUNTIF(G1908:I1925,$B1939)+COUNTIF(G1908:I1925,$B1939&amp;" ~*")&gt;0)+(IFERROR(INDEX(Setup!$G$33:$G$40,MATCH(K1939,Setup!$B$33:$B$40,0)),0)=1)*(COUNTIF(K1908:M1925,$B1939)+COUNTIF(K1908:M1925,$B1939&amp;" ~*")&gt;0)+(IFERROR(INDEX(Setup!$G$33:$G$40,MATCH(O1939,Setup!$B$33:$B$40,0)),0)=1)*(COUNTIF(O1908:Q1925,$B1939)+COUNTIF(O1908:Q1925,$B1939&amp;" ~*")&gt;0)+(IFERROR(INDEX(Setup!$G$33:$G$40,MATCH(S1939,Setup!$B$33:$B$40,0)),0)=1)*(COUNTIF(S1908:U1925,$B1939)+COUNTIF(S1908:U1925,$B1939&amp;" ~*")&gt;0)+(IFERROR(INDEX(Setup!$G$33:$G$40,MATCH(W1939,Setup!$B$33:$B$40,0)),0)=1)*(COUNTIF(W1908:W1925,$B1939)+COUNTIF(W1908:W1925,$B1939&amp;" ~*")&gt;0)+(IFERROR(INDEX(Setup!$G$33:$G$40,MATCH(Y1939,Setup!$B$33:$B$40,0)),0)=1)*(COUNTIF(Y1908:Y1925,$B1939)+COUNTIF(Y1908:Y1925,$B1939&amp;" ~*")&gt;0))</f>
        <v/>
      </c>
    </row>
    <row r="1940" ht="15" customHeight="1">
      <c r="A1940" t="n">
        <v>39</v>
      </c>
      <c r="B1940" s="37">
        <f>IF(Setup!$B$19="","",Setup!$B$19)</f>
        <v/>
      </c>
      <c r="C1940" s="102" t="n"/>
      <c r="D1940" s="103" t="n"/>
      <c r="E1940" s="103" t="n"/>
      <c r="F1940" s="104" t="n"/>
      <c r="G1940" s="102" t="n"/>
      <c r="H1940" s="103" t="n"/>
      <c r="I1940" s="103" t="n"/>
      <c r="J1940" s="104" t="n"/>
      <c r="K1940" s="102" t="n"/>
      <c r="L1940" s="103" t="n"/>
      <c r="M1940" s="103" t="n"/>
      <c r="N1940" s="104" t="n"/>
      <c r="O1940" s="102" t="n"/>
      <c r="P1940" s="103" t="n"/>
      <c r="Q1940" s="103" t="n"/>
      <c r="R1940" s="104" t="n"/>
      <c r="S1940" s="102" t="n"/>
      <c r="T1940" s="103" t="n"/>
      <c r="U1940" s="103" t="n"/>
      <c r="V1940" s="104" t="n"/>
      <c r="W1940" s="102" t="n"/>
      <c r="X1940" s="104" t="n"/>
      <c r="Y1940" s="102" t="n"/>
      <c r="Z1940" s="104" t="n"/>
      <c r="AB1940" s="105">
        <f>IF($B1940="","",(COUNTIF(C1908:E1925,$B1940)+COUNTIF(C1908:E1925,$B1940&amp;" ~*")&gt;0)+(COUNTIF(G1908:I1925,$B1940)+COUNTIF(G1908:I1925,$B1940&amp;" ~*")&gt;0)+(COUNTIF(K1908:M1925,$B1940)+COUNTIF(K1908:M1925,$B1940&amp;" ~*")&gt;0)+(COUNTIF(O1908:Q1925,$B1940)+COUNTIF(O1908:Q1925,$B1940&amp;" ~*")&gt;0)+(COUNTIF(S1908:U1925,$B1940)+COUNTIF(S1908:U1925,$B1940&amp;" ~*")&gt;0)+(COUNTIF(W1908:W1925,$B1940)+COUNTIF(W1908:W1925,$B1940&amp;" ~*")&gt;0)+(COUNTIF(Y1908:Y1925,$B1940)+COUNTIF(Y1908:Y1925,$B1940&amp;" ~*")&gt;0))</f>
        <v/>
      </c>
      <c r="AC1940" s="38">
        <f>IF($B1940="","",(IFERROR(INDEX(Setup!$G$33:$G$40,MATCH(C1940,Setup!$B$33:$B$40,0)),0)=1)*(COUNTIF(C1908:E1925,$B1940)+COUNTIF(C1908:E1925,$B1940&amp;" ~*")&gt;0)+(IFERROR(INDEX(Setup!$G$33:$G$40,MATCH(G1940,Setup!$B$33:$B$40,0)),0)=1)*(COUNTIF(G1908:I1925,$B1940)+COUNTIF(G1908:I1925,$B1940&amp;" ~*")&gt;0)+(IFERROR(INDEX(Setup!$G$33:$G$40,MATCH(K1940,Setup!$B$33:$B$40,0)),0)=1)*(COUNTIF(K1908:M1925,$B1940)+COUNTIF(K1908:M1925,$B1940&amp;" ~*")&gt;0)+(IFERROR(INDEX(Setup!$G$33:$G$40,MATCH(O1940,Setup!$B$33:$B$40,0)),0)=1)*(COUNTIF(O1908:Q1925,$B1940)+COUNTIF(O1908:Q1925,$B1940&amp;" ~*")&gt;0)+(IFERROR(INDEX(Setup!$G$33:$G$40,MATCH(S1940,Setup!$B$33:$B$40,0)),0)=1)*(COUNTIF(S1908:U1925,$B1940)+COUNTIF(S1908:U1925,$B1940&amp;" ~*")&gt;0)+(IFERROR(INDEX(Setup!$G$33:$G$40,MATCH(W1940,Setup!$B$33:$B$40,0)),0)=1)*(COUNTIF(W1908:W1925,$B1940)+COUNTIF(W1908:W1925,$B1940&amp;" ~*")&gt;0)+(IFERROR(INDEX(Setup!$G$33:$G$40,MATCH(Y1940,Setup!$B$33:$B$40,0)),0)=1)*(COUNTIF(Y1908:Y1925,$B1940)+COUNTIF(Y1908:Y1925,$B1940&amp;" ~*")&gt;0))</f>
        <v/>
      </c>
    </row>
    <row r="1941" ht="15" customHeight="1">
      <c r="A1941" t="n">
        <v>39</v>
      </c>
      <c r="B1941" s="35">
        <f>IF(Setup!$B$20="","",Setup!$B$20)</f>
        <v/>
      </c>
      <c r="C1941" s="98" t="n"/>
      <c r="D1941" s="99" t="n"/>
      <c r="E1941" s="99" t="n"/>
      <c r="F1941" s="100" t="n"/>
      <c r="G1941" s="98" t="n"/>
      <c r="H1941" s="99" t="n"/>
      <c r="I1941" s="99" t="n"/>
      <c r="J1941" s="100" t="n"/>
      <c r="K1941" s="98" t="n"/>
      <c r="L1941" s="99" t="n"/>
      <c r="M1941" s="99" t="n"/>
      <c r="N1941" s="100" t="n"/>
      <c r="O1941" s="98" t="n"/>
      <c r="P1941" s="99" t="n"/>
      <c r="Q1941" s="99" t="n"/>
      <c r="R1941" s="100" t="n"/>
      <c r="S1941" s="98" t="n"/>
      <c r="T1941" s="99" t="n"/>
      <c r="U1941" s="99" t="n"/>
      <c r="V1941" s="100" t="n"/>
      <c r="W1941" s="98" t="n"/>
      <c r="X1941" s="100" t="n"/>
      <c r="Y1941" s="98" t="n"/>
      <c r="Z1941" s="100" t="n"/>
      <c r="AB1941" s="101">
        <f>IF($B1941="","",(COUNTIF(C1908:E1925,$B1941)+COUNTIF(C1908:E1925,$B1941&amp;" ~*")&gt;0)+(COUNTIF(G1908:I1925,$B1941)+COUNTIF(G1908:I1925,$B1941&amp;" ~*")&gt;0)+(COUNTIF(K1908:M1925,$B1941)+COUNTIF(K1908:M1925,$B1941&amp;" ~*")&gt;0)+(COUNTIF(O1908:Q1925,$B1941)+COUNTIF(O1908:Q1925,$B1941&amp;" ~*")&gt;0)+(COUNTIF(S1908:U1925,$B1941)+COUNTIF(S1908:U1925,$B1941&amp;" ~*")&gt;0)+(COUNTIF(W1908:W1925,$B1941)+COUNTIF(W1908:W1925,$B1941&amp;" ~*")&gt;0)+(COUNTIF(Y1908:Y1925,$B1941)+COUNTIF(Y1908:Y1925,$B1941&amp;" ~*")&gt;0))</f>
        <v/>
      </c>
      <c r="AC1941" s="36">
        <f>IF($B1941="","",(IFERROR(INDEX(Setup!$G$33:$G$40,MATCH(C1941,Setup!$B$33:$B$40,0)),0)=1)*(COUNTIF(C1908:E1925,$B1941)+COUNTIF(C1908:E1925,$B1941&amp;" ~*")&gt;0)+(IFERROR(INDEX(Setup!$G$33:$G$40,MATCH(G1941,Setup!$B$33:$B$40,0)),0)=1)*(COUNTIF(G1908:I1925,$B1941)+COUNTIF(G1908:I1925,$B1941&amp;" ~*")&gt;0)+(IFERROR(INDEX(Setup!$G$33:$G$40,MATCH(K1941,Setup!$B$33:$B$40,0)),0)=1)*(COUNTIF(K1908:M1925,$B1941)+COUNTIF(K1908:M1925,$B1941&amp;" ~*")&gt;0)+(IFERROR(INDEX(Setup!$G$33:$G$40,MATCH(O1941,Setup!$B$33:$B$40,0)),0)=1)*(COUNTIF(O1908:Q1925,$B1941)+COUNTIF(O1908:Q1925,$B1941&amp;" ~*")&gt;0)+(IFERROR(INDEX(Setup!$G$33:$G$40,MATCH(S1941,Setup!$B$33:$B$40,0)),0)=1)*(COUNTIF(S1908:U1925,$B1941)+COUNTIF(S1908:U1925,$B1941&amp;" ~*")&gt;0)+(IFERROR(INDEX(Setup!$G$33:$G$40,MATCH(W1941,Setup!$B$33:$B$40,0)),0)=1)*(COUNTIF(W1908:W1925,$B1941)+COUNTIF(W1908:W1925,$B1941&amp;" ~*")&gt;0)+(IFERROR(INDEX(Setup!$G$33:$G$40,MATCH(Y1941,Setup!$B$33:$B$40,0)),0)=1)*(COUNTIF(Y1908:Y1925,$B1941)+COUNTIF(Y1908:Y1925,$B1941&amp;" ~*")&gt;0))</f>
        <v/>
      </c>
    </row>
    <row r="1942" ht="15" customHeight="1">
      <c r="A1942" t="n">
        <v>39</v>
      </c>
      <c r="B1942" s="37">
        <f>IF(Setup!$B$21="","",Setup!$B$21)</f>
        <v/>
      </c>
      <c r="C1942" s="102" t="n"/>
      <c r="D1942" s="103" t="n"/>
      <c r="E1942" s="103" t="n"/>
      <c r="F1942" s="104" t="n"/>
      <c r="G1942" s="102" t="n"/>
      <c r="H1942" s="103" t="n"/>
      <c r="I1942" s="103" t="n"/>
      <c r="J1942" s="104" t="n"/>
      <c r="K1942" s="102" t="n"/>
      <c r="L1942" s="103" t="n"/>
      <c r="M1942" s="103" t="n"/>
      <c r="N1942" s="104" t="n"/>
      <c r="O1942" s="102" t="n"/>
      <c r="P1942" s="103" t="n"/>
      <c r="Q1942" s="103" t="n"/>
      <c r="R1942" s="104" t="n"/>
      <c r="S1942" s="102" t="n"/>
      <c r="T1942" s="103" t="n"/>
      <c r="U1942" s="103" t="n"/>
      <c r="V1942" s="104" t="n"/>
      <c r="W1942" s="102" t="n"/>
      <c r="X1942" s="104" t="n"/>
      <c r="Y1942" s="102" t="n"/>
      <c r="Z1942" s="104" t="n"/>
      <c r="AB1942" s="105">
        <f>IF($B1942="","",(COUNTIF(C1908:E1925,$B1942)+COUNTIF(C1908:E1925,$B1942&amp;" ~*")&gt;0)+(COUNTIF(G1908:I1925,$B1942)+COUNTIF(G1908:I1925,$B1942&amp;" ~*")&gt;0)+(COUNTIF(K1908:M1925,$B1942)+COUNTIF(K1908:M1925,$B1942&amp;" ~*")&gt;0)+(COUNTIF(O1908:Q1925,$B1942)+COUNTIF(O1908:Q1925,$B1942&amp;" ~*")&gt;0)+(COUNTIF(S1908:U1925,$B1942)+COUNTIF(S1908:U1925,$B1942&amp;" ~*")&gt;0)+(COUNTIF(W1908:W1925,$B1942)+COUNTIF(W1908:W1925,$B1942&amp;" ~*")&gt;0)+(COUNTIF(Y1908:Y1925,$B1942)+COUNTIF(Y1908:Y1925,$B1942&amp;" ~*")&gt;0))</f>
        <v/>
      </c>
      <c r="AC1942" s="38">
        <f>IF($B1942="","",(IFERROR(INDEX(Setup!$G$33:$G$40,MATCH(C1942,Setup!$B$33:$B$40,0)),0)=1)*(COUNTIF(C1908:E1925,$B1942)+COUNTIF(C1908:E1925,$B1942&amp;" ~*")&gt;0)+(IFERROR(INDEX(Setup!$G$33:$G$40,MATCH(G1942,Setup!$B$33:$B$40,0)),0)=1)*(COUNTIF(G1908:I1925,$B1942)+COUNTIF(G1908:I1925,$B1942&amp;" ~*")&gt;0)+(IFERROR(INDEX(Setup!$G$33:$G$40,MATCH(K1942,Setup!$B$33:$B$40,0)),0)=1)*(COUNTIF(K1908:M1925,$B1942)+COUNTIF(K1908:M1925,$B1942&amp;" ~*")&gt;0)+(IFERROR(INDEX(Setup!$G$33:$G$40,MATCH(O1942,Setup!$B$33:$B$40,0)),0)=1)*(COUNTIF(O1908:Q1925,$B1942)+COUNTIF(O1908:Q1925,$B1942&amp;" ~*")&gt;0)+(IFERROR(INDEX(Setup!$G$33:$G$40,MATCH(S1942,Setup!$B$33:$B$40,0)),0)=1)*(COUNTIF(S1908:U1925,$B1942)+COUNTIF(S1908:U1925,$B1942&amp;" ~*")&gt;0)+(IFERROR(INDEX(Setup!$G$33:$G$40,MATCH(W1942,Setup!$B$33:$B$40,0)),0)=1)*(COUNTIF(W1908:W1925,$B1942)+COUNTIF(W1908:W1925,$B1942&amp;" ~*")&gt;0)+(IFERROR(INDEX(Setup!$G$33:$G$40,MATCH(Y1942,Setup!$B$33:$B$40,0)),0)=1)*(COUNTIF(Y1908:Y1925,$B1942)+COUNTIF(Y1908:Y1925,$B1942&amp;" ~*")&gt;0))</f>
        <v/>
      </c>
    </row>
    <row r="1943" ht="15" customHeight="1">
      <c r="A1943" t="n">
        <v>39</v>
      </c>
      <c r="B1943" s="35">
        <f>IF(Setup!$B$22="","",Setup!$B$22)</f>
        <v/>
      </c>
      <c r="C1943" s="98" t="n"/>
      <c r="D1943" s="99" t="n"/>
      <c r="E1943" s="99" t="n"/>
      <c r="F1943" s="100" t="n"/>
      <c r="G1943" s="98" t="n"/>
      <c r="H1943" s="99" t="n"/>
      <c r="I1943" s="99" t="n"/>
      <c r="J1943" s="100" t="n"/>
      <c r="K1943" s="98" t="n"/>
      <c r="L1943" s="99" t="n"/>
      <c r="M1943" s="99" t="n"/>
      <c r="N1943" s="100" t="n"/>
      <c r="O1943" s="98" t="n"/>
      <c r="P1943" s="99" t="n"/>
      <c r="Q1943" s="99" t="n"/>
      <c r="R1943" s="100" t="n"/>
      <c r="S1943" s="98" t="n"/>
      <c r="T1943" s="99" t="n"/>
      <c r="U1943" s="99" t="n"/>
      <c r="V1943" s="100" t="n"/>
      <c r="W1943" s="98" t="n"/>
      <c r="X1943" s="100" t="n"/>
      <c r="Y1943" s="98" t="n"/>
      <c r="Z1943" s="100" t="n"/>
      <c r="AB1943" s="101">
        <f>IF($B1943="","",(COUNTIF(C1908:E1925,$B1943)+COUNTIF(C1908:E1925,$B1943&amp;" ~*")&gt;0)+(COUNTIF(G1908:I1925,$B1943)+COUNTIF(G1908:I1925,$B1943&amp;" ~*")&gt;0)+(COUNTIF(K1908:M1925,$B1943)+COUNTIF(K1908:M1925,$B1943&amp;" ~*")&gt;0)+(COUNTIF(O1908:Q1925,$B1943)+COUNTIF(O1908:Q1925,$B1943&amp;" ~*")&gt;0)+(COUNTIF(S1908:U1925,$B1943)+COUNTIF(S1908:U1925,$B1943&amp;" ~*")&gt;0)+(COUNTIF(W1908:W1925,$B1943)+COUNTIF(W1908:W1925,$B1943&amp;" ~*")&gt;0)+(COUNTIF(Y1908:Y1925,$B1943)+COUNTIF(Y1908:Y1925,$B1943&amp;" ~*")&gt;0))</f>
        <v/>
      </c>
      <c r="AC1943" s="36">
        <f>IF($B1943="","",(IFERROR(INDEX(Setup!$G$33:$G$40,MATCH(C1943,Setup!$B$33:$B$40,0)),0)=1)*(COUNTIF(C1908:E1925,$B1943)+COUNTIF(C1908:E1925,$B1943&amp;" ~*")&gt;0)+(IFERROR(INDEX(Setup!$G$33:$G$40,MATCH(G1943,Setup!$B$33:$B$40,0)),0)=1)*(COUNTIF(G1908:I1925,$B1943)+COUNTIF(G1908:I1925,$B1943&amp;" ~*")&gt;0)+(IFERROR(INDEX(Setup!$G$33:$G$40,MATCH(K1943,Setup!$B$33:$B$40,0)),0)=1)*(COUNTIF(K1908:M1925,$B1943)+COUNTIF(K1908:M1925,$B1943&amp;" ~*")&gt;0)+(IFERROR(INDEX(Setup!$G$33:$G$40,MATCH(O1943,Setup!$B$33:$B$40,0)),0)=1)*(COUNTIF(O1908:Q1925,$B1943)+COUNTIF(O1908:Q1925,$B1943&amp;" ~*")&gt;0)+(IFERROR(INDEX(Setup!$G$33:$G$40,MATCH(S1943,Setup!$B$33:$B$40,0)),0)=1)*(COUNTIF(S1908:U1925,$B1943)+COUNTIF(S1908:U1925,$B1943&amp;" ~*")&gt;0)+(IFERROR(INDEX(Setup!$G$33:$G$40,MATCH(W1943,Setup!$B$33:$B$40,0)),0)=1)*(COUNTIF(W1908:W1925,$B1943)+COUNTIF(W1908:W1925,$B1943&amp;" ~*")&gt;0)+(IFERROR(INDEX(Setup!$G$33:$G$40,MATCH(Y1943,Setup!$B$33:$B$40,0)),0)=1)*(COUNTIF(Y1908:Y1925,$B1943)+COUNTIF(Y1908:Y1925,$B1943&amp;" ~*")&gt;0))</f>
        <v/>
      </c>
    </row>
    <row r="1944" ht="15" customHeight="1">
      <c r="A1944" t="n">
        <v>39</v>
      </c>
      <c r="B1944" s="37">
        <f>IF(Setup!$B$23="","",Setup!$B$23)</f>
        <v/>
      </c>
      <c r="C1944" s="102" t="n"/>
      <c r="D1944" s="103" t="n"/>
      <c r="E1944" s="103" t="n"/>
      <c r="F1944" s="104" t="n"/>
      <c r="G1944" s="102" t="n"/>
      <c r="H1944" s="103" t="n"/>
      <c r="I1944" s="103" t="n"/>
      <c r="J1944" s="104" t="n"/>
      <c r="K1944" s="102" t="n"/>
      <c r="L1944" s="103" t="n"/>
      <c r="M1944" s="103" t="n"/>
      <c r="N1944" s="104" t="n"/>
      <c r="O1944" s="102" t="n"/>
      <c r="P1944" s="103" t="n"/>
      <c r="Q1944" s="103" t="n"/>
      <c r="R1944" s="104" t="n"/>
      <c r="S1944" s="102" t="n"/>
      <c r="T1944" s="103" t="n"/>
      <c r="U1944" s="103" t="n"/>
      <c r="V1944" s="104" t="n"/>
      <c r="W1944" s="102" t="n"/>
      <c r="X1944" s="104" t="n"/>
      <c r="Y1944" s="102" t="n"/>
      <c r="Z1944" s="104" t="n"/>
      <c r="AB1944" s="105">
        <f>IF($B1944="","",(COUNTIF(C1908:E1925,$B1944)+COUNTIF(C1908:E1925,$B1944&amp;" ~*")&gt;0)+(COUNTIF(G1908:I1925,$B1944)+COUNTIF(G1908:I1925,$B1944&amp;" ~*")&gt;0)+(COUNTIF(K1908:M1925,$B1944)+COUNTIF(K1908:M1925,$B1944&amp;" ~*")&gt;0)+(COUNTIF(O1908:Q1925,$B1944)+COUNTIF(O1908:Q1925,$B1944&amp;" ~*")&gt;0)+(COUNTIF(S1908:U1925,$B1944)+COUNTIF(S1908:U1925,$B1944&amp;" ~*")&gt;0)+(COUNTIF(W1908:W1925,$B1944)+COUNTIF(W1908:W1925,$B1944&amp;" ~*")&gt;0)+(COUNTIF(Y1908:Y1925,$B1944)+COUNTIF(Y1908:Y1925,$B1944&amp;" ~*")&gt;0))</f>
        <v/>
      </c>
      <c r="AC1944" s="38">
        <f>IF($B1944="","",(IFERROR(INDEX(Setup!$G$33:$G$40,MATCH(C1944,Setup!$B$33:$B$40,0)),0)=1)*(COUNTIF(C1908:E1925,$B1944)+COUNTIF(C1908:E1925,$B1944&amp;" ~*")&gt;0)+(IFERROR(INDEX(Setup!$G$33:$G$40,MATCH(G1944,Setup!$B$33:$B$40,0)),0)=1)*(COUNTIF(G1908:I1925,$B1944)+COUNTIF(G1908:I1925,$B1944&amp;" ~*")&gt;0)+(IFERROR(INDEX(Setup!$G$33:$G$40,MATCH(K1944,Setup!$B$33:$B$40,0)),0)=1)*(COUNTIF(K1908:M1925,$B1944)+COUNTIF(K1908:M1925,$B1944&amp;" ~*")&gt;0)+(IFERROR(INDEX(Setup!$G$33:$G$40,MATCH(O1944,Setup!$B$33:$B$40,0)),0)=1)*(COUNTIF(O1908:Q1925,$B1944)+COUNTIF(O1908:Q1925,$B1944&amp;" ~*")&gt;0)+(IFERROR(INDEX(Setup!$G$33:$G$40,MATCH(S1944,Setup!$B$33:$B$40,0)),0)=1)*(COUNTIF(S1908:U1925,$B1944)+COUNTIF(S1908:U1925,$B1944&amp;" ~*")&gt;0)+(IFERROR(INDEX(Setup!$G$33:$G$40,MATCH(W1944,Setup!$B$33:$B$40,0)),0)=1)*(COUNTIF(W1908:W1925,$B1944)+COUNTIF(W1908:W1925,$B1944&amp;" ~*")&gt;0)+(IFERROR(INDEX(Setup!$G$33:$G$40,MATCH(Y1944,Setup!$B$33:$B$40,0)),0)=1)*(COUNTIF(Y1908:Y1925,$B1944)+COUNTIF(Y1908:Y1925,$B1944&amp;" ~*")&gt;0))</f>
        <v/>
      </c>
    </row>
    <row r="1945" ht="15" customHeight="1">
      <c r="A1945" t="n">
        <v>39</v>
      </c>
      <c r="B1945" s="35">
        <f>IF(Setup!$B$24="","",Setup!$B$24)</f>
        <v/>
      </c>
      <c r="C1945" s="98" t="n"/>
      <c r="D1945" s="99" t="n"/>
      <c r="E1945" s="99" t="n"/>
      <c r="F1945" s="100" t="n"/>
      <c r="G1945" s="98" t="n"/>
      <c r="H1945" s="99" t="n"/>
      <c r="I1945" s="99" t="n"/>
      <c r="J1945" s="100" t="n"/>
      <c r="K1945" s="98" t="n"/>
      <c r="L1945" s="99" t="n"/>
      <c r="M1945" s="99" t="n"/>
      <c r="N1945" s="100" t="n"/>
      <c r="O1945" s="98" t="n"/>
      <c r="P1945" s="99" t="n"/>
      <c r="Q1945" s="99" t="n"/>
      <c r="R1945" s="100" t="n"/>
      <c r="S1945" s="98" t="n"/>
      <c r="T1945" s="99" t="n"/>
      <c r="U1945" s="99" t="n"/>
      <c r="V1945" s="100" t="n"/>
      <c r="W1945" s="98" t="n"/>
      <c r="X1945" s="100" t="n"/>
      <c r="Y1945" s="98" t="n"/>
      <c r="Z1945" s="100" t="n"/>
      <c r="AB1945" s="101">
        <f>IF($B1945="","",(COUNTIF(C1908:E1925,$B1945)+COUNTIF(C1908:E1925,$B1945&amp;" ~*")&gt;0)+(COUNTIF(G1908:I1925,$B1945)+COUNTIF(G1908:I1925,$B1945&amp;" ~*")&gt;0)+(COUNTIF(K1908:M1925,$B1945)+COUNTIF(K1908:M1925,$B1945&amp;" ~*")&gt;0)+(COUNTIF(O1908:Q1925,$B1945)+COUNTIF(O1908:Q1925,$B1945&amp;" ~*")&gt;0)+(COUNTIF(S1908:U1925,$B1945)+COUNTIF(S1908:U1925,$B1945&amp;" ~*")&gt;0)+(COUNTIF(W1908:W1925,$B1945)+COUNTIF(W1908:W1925,$B1945&amp;" ~*")&gt;0)+(COUNTIF(Y1908:Y1925,$B1945)+COUNTIF(Y1908:Y1925,$B1945&amp;" ~*")&gt;0))</f>
        <v/>
      </c>
      <c r="AC1945" s="36">
        <f>IF($B1945="","",(IFERROR(INDEX(Setup!$G$33:$G$40,MATCH(C1945,Setup!$B$33:$B$40,0)),0)=1)*(COUNTIF(C1908:E1925,$B1945)+COUNTIF(C1908:E1925,$B1945&amp;" ~*")&gt;0)+(IFERROR(INDEX(Setup!$G$33:$G$40,MATCH(G1945,Setup!$B$33:$B$40,0)),0)=1)*(COUNTIF(G1908:I1925,$B1945)+COUNTIF(G1908:I1925,$B1945&amp;" ~*")&gt;0)+(IFERROR(INDEX(Setup!$G$33:$G$40,MATCH(K1945,Setup!$B$33:$B$40,0)),0)=1)*(COUNTIF(K1908:M1925,$B1945)+COUNTIF(K1908:M1925,$B1945&amp;" ~*")&gt;0)+(IFERROR(INDEX(Setup!$G$33:$G$40,MATCH(O1945,Setup!$B$33:$B$40,0)),0)=1)*(COUNTIF(O1908:Q1925,$B1945)+COUNTIF(O1908:Q1925,$B1945&amp;" ~*")&gt;0)+(IFERROR(INDEX(Setup!$G$33:$G$40,MATCH(S1945,Setup!$B$33:$B$40,0)),0)=1)*(COUNTIF(S1908:U1925,$B1945)+COUNTIF(S1908:U1925,$B1945&amp;" ~*")&gt;0)+(IFERROR(INDEX(Setup!$G$33:$G$40,MATCH(W1945,Setup!$B$33:$B$40,0)),0)=1)*(COUNTIF(W1908:W1925,$B1945)+COUNTIF(W1908:W1925,$B1945&amp;" ~*")&gt;0)+(IFERROR(INDEX(Setup!$G$33:$G$40,MATCH(Y1945,Setup!$B$33:$B$40,0)),0)=1)*(COUNTIF(Y1908:Y1925,$B1945)+COUNTIF(Y1908:Y1925,$B1945&amp;" ~*")&gt;0))</f>
        <v/>
      </c>
    </row>
    <row r="1946" ht="15" customHeight="1">
      <c r="A1946" t="n">
        <v>39</v>
      </c>
      <c r="B1946" s="37">
        <f>IF(Setup!$B$25="","",Setup!$B$25)</f>
        <v/>
      </c>
      <c r="C1946" s="102" t="n"/>
      <c r="D1946" s="103" t="n"/>
      <c r="E1946" s="103" t="n"/>
      <c r="F1946" s="104" t="n"/>
      <c r="G1946" s="102" t="n"/>
      <c r="H1946" s="103" t="n"/>
      <c r="I1946" s="103" t="n"/>
      <c r="J1946" s="104" t="n"/>
      <c r="K1946" s="102" t="n"/>
      <c r="L1946" s="103" t="n"/>
      <c r="M1946" s="103" t="n"/>
      <c r="N1946" s="104" t="n"/>
      <c r="O1946" s="102" t="n"/>
      <c r="P1946" s="103" t="n"/>
      <c r="Q1946" s="103" t="n"/>
      <c r="R1946" s="104" t="n"/>
      <c r="S1946" s="102" t="n"/>
      <c r="T1946" s="103" t="n"/>
      <c r="U1946" s="103" t="n"/>
      <c r="V1946" s="104" t="n"/>
      <c r="W1946" s="102" t="n"/>
      <c r="X1946" s="104" t="n"/>
      <c r="Y1946" s="102" t="n"/>
      <c r="Z1946" s="104" t="n"/>
      <c r="AB1946" s="105">
        <f>IF($B1946="","",(COUNTIF(C1908:E1925,$B1946)+COUNTIF(C1908:E1925,$B1946&amp;" ~*")&gt;0)+(COUNTIF(G1908:I1925,$B1946)+COUNTIF(G1908:I1925,$B1946&amp;" ~*")&gt;0)+(COUNTIF(K1908:M1925,$B1946)+COUNTIF(K1908:M1925,$B1946&amp;" ~*")&gt;0)+(COUNTIF(O1908:Q1925,$B1946)+COUNTIF(O1908:Q1925,$B1946&amp;" ~*")&gt;0)+(COUNTIF(S1908:U1925,$B1946)+COUNTIF(S1908:U1925,$B1946&amp;" ~*")&gt;0)+(COUNTIF(W1908:W1925,$B1946)+COUNTIF(W1908:W1925,$B1946&amp;" ~*")&gt;0)+(COUNTIF(Y1908:Y1925,$B1946)+COUNTIF(Y1908:Y1925,$B1946&amp;" ~*")&gt;0))</f>
        <v/>
      </c>
      <c r="AC1946" s="38">
        <f>IF($B1946="","",(IFERROR(INDEX(Setup!$G$33:$G$40,MATCH(C1946,Setup!$B$33:$B$40,0)),0)=1)*(COUNTIF(C1908:E1925,$B1946)+COUNTIF(C1908:E1925,$B1946&amp;" ~*")&gt;0)+(IFERROR(INDEX(Setup!$G$33:$G$40,MATCH(G1946,Setup!$B$33:$B$40,0)),0)=1)*(COUNTIF(G1908:I1925,$B1946)+COUNTIF(G1908:I1925,$B1946&amp;" ~*")&gt;0)+(IFERROR(INDEX(Setup!$G$33:$G$40,MATCH(K1946,Setup!$B$33:$B$40,0)),0)=1)*(COUNTIF(K1908:M1925,$B1946)+COUNTIF(K1908:M1925,$B1946&amp;" ~*")&gt;0)+(IFERROR(INDEX(Setup!$G$33:$G$40,MATCH(O1946,Setup!$B$33:$B$40,0)),0)=1)*(COUNTIF(O1908:Q1925,$B1946)+COUNTIF(O1908:Q1925,$B1946&amp;" ~*")&gt;0)+(IFERROR(INDEX(Setup!$G$33:$G$40,MATCH(S1946,Setup!$B$33:$B$40,0)),0)=1)*(COUNTIF(S1908:U1925,$B1946)+COUNTIF(S1908:U1925,$B1946&amp;" ~*")&gt;0)+(IFERROR(INDEX(Setup!$G$33:$G$40,MATCH(W1946,Setup!$B$33:$B$40,0)),0)=1)*(COUNTIF(W1908:W1925,$B1946)+COUNTIF(W1908:W1925,$B1946&amp;" ~*")&gt;0)+(IFERROR(INDEX(Setup!$G$33:$G$40,MATCH(Y1946,Setup!$B$33:$B$40,0)),0)=1)*(COUNTIF(Y1908:Y1925,$B1946)+COUNTIF(Y1908:Y1925,$B1946&amp;" ~*")&gt;0))</f>
        <v/>
      </c>
    </row>
    <row r="1947" ht="15" customHeight="1">
      <c r="A1947" t="n">
        <v>39</v>
      </c>
      <c r="B1947" s="35">
        <f>IF(Setup!$B$26="","",Setup!$B$26)</f>
        <v/>
      </c>
      <c r="C1947" s="98" t="n"/>
      <c r="D1947" s="99" t="n"/>
      <c r="E1947" s="99" t="n"/>
      <c r="F1947" s="100" t="n"/>
      <c r="G1947" s="98" t="n"/>
      <c r="H1947" s="99" t="n"/>
      <c r="I1947" s="99" t="n"/>
      <c r="J1947" s="100" t="n"/>
      <c r="K1947" s="98" t="n"/>
      <c r="L1947" s="99" t="n"/>
      <c r="M1947" s="99" t="n"/>
      <c r="N1947" s="100" t="n"/>
      <c r="O1947" s="98" t="n"/>
      <c r="P1947" s="99" t="n"/>
      <c r="Q1947" s="99" t="n"/>
      <c r="R1947" s="100" t="n"/>
      <c r="S1947" s="98" t="n"/>
      <c r="T1947" s="99" t="n"/>
      <c r="U1947" s="99" t="n"/>
      <c r="V1947" s="100" t="n"/>
      <c r="W1947" s="98" t="n"/>
      <c r="X1947" s="100" t="n"/>
      <c r="Y1947" s="98" t="n"/>
      <c r="Z1947" s="100" t="n"/>
      <c r="AB1947" s="101">
        <f>IF($B1947="","",(COUNTIF(C1908:E1925,$B1947)+COUNTIF(C1908:E1925,$B1947&amp;" ~*")&gt;0)+(COUNTIF(G1908:I1925,$B1947)+COUNTIF(G1908:I1925,$B1947&amp;" ~*")&gt;0)+(COUNTIF(K1908:M1925,$B1947)+COUNTIF(K1908:M1925,$B1947&amp;" ~*")&gt;0)+(COUNTIF(O1908:Q1925,$B1947)+COUNTIF(O1908:Q1925,$B1947&amp;" ~*")&gt;0)+(COUNTIF(S1908:U1925,$B1947)+COUNTIF(S1908:U1925,$B1947&amp;" ~*")&gt;0)+(COUNTIF(W1908:W1925,$B1947)+COUNTIF(W1908:W1925,$B1947&amp;" ~*")&gt;0)+(COUNTIF(Y1908:Y1925,$B1947)+COUNTIF(Y1908:Y1925,$B1947&amp;" ~*")&gt;0))</f>
        <v/>
      </c>
      <c r="AC1947" s="36">
        <f>IF($B1947="","",(IFERROR(INDEX(Setup!$G$33:$G$40,MATCH(C1947,Setup!$B$33:$B$40,0)),0)=1)*(COUNTIF(C1908:E1925,$B1947)+COUNTIF(C1908:E1925,$B1947&amp;" ~*")&gt;0)+(IFERROR(INDEX(Setup!$G$33:$G$40,MATCH(G1947,Setup!$B$33:$B$40,0)),0)=1)*(COUNTIF(G1908:I1925,$B1947)+COUNTIF(G1908:I1925,$B1947&amp;" ~*")&gt;0)+(IFERROR(INDEX(Setup!$G$33:$G$40,MATCH(K1947,Setup!$B$33:$B$40,0)),0)=1)*(COUNTIF(K1908:M1925,$B1947)+COUNTIF(K1908:M1925,$B1947&amp;" ~*")&gt;0)+(IFERROR(INDEX(Setup!$G$33:$G$40,MATCH(O1947,Setup!$B$33:$B$40,0)),0)=1)*(COUNTIF(O1908:Q1925,$B1947)+COUNTIF(O1908:Q1925,$B1947&amp;" ~*")&gt;0)+(IFERROR(INDEX(Setup!$G$33:$G$40,MATCH(S1947,Setup!$B$33:$B$40,0)),0)=1)*(COUNTIF(S1908:U1925,$B1947)+COUNTIF(S1908:U1925,$B1947&amp;" ~*")&gt;0)+(IFERROR(INDEX(Setup!$G$33:$G$40,MATCH(W1947,Setup!$B$33:$B$40,0)),0)=1)*(COUNTIF(W1908:W1925,$B1947)+COUNTIF(W1908:W1925,$B1947&amp;" ~*")&gt;0)+(IFERROR(INDEX(Setup!$G$33:$G$40,MATCH(Y1947,Setup!$B$33:$B$40,0)),0)=1)*(COUNTIF(Y1908:Y1925,$B1947)+COUNTIF(Y1908:Y1925,$B1947&amp;" ~*")&gt;0))</f>
        <v/>
      </c>
    </row>
    <row r="1948" ht="15" customHeight="1">
      <c r="A1948" t="n">
        <v>39</v>
      </c>
      <c r="B1948" s="37">
        <f>IF(Setup!$B$27="","",Setup!$B$27)</f>
        <v/>
      </c>
      <c r="C1948" s="102" t="n"/>
      <c r="D1948" s="103" t="n"/>
      <c r="E1948" s="103" t="n"/>
      <c r="F1948" s="104" t="n"/>
      <c r="G1948" s="102" t="n"/>
      <c r="H1948" s="103" t="n"/>
      <c r="I1948" s="103" t="n"/>
      <c r="J1948" s="104" t="n"/>
      <c r="K1948" s="102" t="n"/>
      <c r="L1948" s="103" t="n"/>
      <c r="M1948" s="103" t="n"/>
      <c r="N1948" s="104" t="n"/>
      <c r="O1948" s="102" t="n"/>
      <c r="P1948" s="103" t="n"/>
      <c r="Q1948" s="103" t="n"/>
      <c r="R1948" s="104" t="n"/>
      <c r="S1948" s="102" t="n"/>
      <c r="T1948" s="103" t="n"/>
      <c r="U1948" s="103" t="n"/>
      <c r="V1948" s="104" t="n"/>
      <c r="W1948" s="102" t="n"/>
      <c r="X1948" s="104" t="n"/>
      <c r="Y1948" s="102" t="n"/>
      <c r="Z1948" s="104" t="n"/>
      <c r="AB1948" s="105">
        <f>IF($B1948="","",(COUNTIF(C1908:E1925,$B1948)+COUNTIF(C1908:E1925,$B1948&amp;" ~*")&gt;0)+(COUNTIF(G1908:I1925,$B1948)+COUNTIF(G1908:I1925,$B1948&amp;" ~*")&gt;0)+(COUNTIF(K1908:M1925,$B1948)+COUNTIF(K1908:M1925,$B1948&amp;" ~*")&gt;0)+(COUNTIF(O1908:Q1925,$B1948)+COUNTIF(O1908:Q1925,$B1948&amp;" ~*")&gt;0)+(COUNTIF(S1908:U1925,$B1948)+COUNTIF(S1908:U1925,$B1948&amp;" ~*")&gt;0)+(COUNTIF(W1908:W1925,$B1948)+COUNTIF(W1908:W1925,$B1948&amp;" ~*")&gt;0)+(COUNTIF(Y1908:Y1925,$B1948)+COUNTIF(Y1908:Y1925,$B1948&amp;" ~*")&gt;0))</f>
        <v/>
      </c>
      <c r="AC1948" s="38">
        <f>IF($B1948="","",(IFERROR(INDEX(Setup!$G$33:$G$40,MATCH(C1948,Setup!$B$33:$B$40,0)),0)=1)*(COUNTIF(C1908:E1925,$B1948)+COUNTIF(C1908:E1925,$B1948&amp;" ~*")&gt;0)+(IFERROR(INDEX(Setup!$G$33:$G$40,MATCH(G1948,Setup!$B$33:$B$40,0)),0)=1)*(COUNTIF(G1908:I1925,$B1948)+COUNTIF(G1908:I1925,$B1948&amp;" ~*")&gt;0)+(IFERROR(INDEX(Setup!$G$33:$G$40,MATCH(K1948,Setup!$B$33:$B$40,0)),0)=1)*(COUNTIF(K1908:M1925,$B1948)+COUNTIF(K1908:M1925,$B1948&amp;" ~*")&gt;0)+(IFERROR(INDEX(Setup!$G$33:$G$40,MATCH(O1948,Setup!$B$33:$B$40,0)),0)=1)*(COUNTIF(O1908:Q1925,$B1948)+COUNTIF(O1908:Q1925,$B1948&amp;" ~*")&gt;0)+(IFERROR(INDEX(Setup!$G$33:$G$40,MATCH(S1948,Setup!$B$33:$B$40,0)),0)=1)*(COUNTIF(S1908:U1925,$B1948)+COUNTIF(S1908:U1925,$B1948&amp;" ~*")&gt;0)+(IFERROR(INDEX(Setup!$G$33:$G$40,MATCH(W1948,Setup!$B$33:$B$40,0)),0)=1)*(COUNTIF(W1908:W1925,$B1948)+COUNTIF(W1908:W1925,$B1948&amp;" ~*")&gt;0)+(IFERROR(INDEX(Setup!$G$33:$G$40,MATCH(Y1948,Setup!$B$33:$B$40,0)),0)=1)*(COUNTIF(Y1908:Y1925,$B1948)+COUNTIF(Y1908:Y1925,$B1948&amp;" ~*")&gt;0))</f>
        <v/>
      </c>
    </row>
    <row r="1949" ht="15" customHeight="1">
      <c r="A1949" t="n">
        <v>39</v>
      </c>
      <c r="B1949" s="35">
        <f>IF(Setup!$B$28="","",Setup!$B$28)</f>
        <v/>
      </c>
      <c r="C1949" s="98" t="n"/>
      <c r="D1949" s="99" t="n"/>
      <c r="E1949" s="99" t="n"/>
      <c r="F1949" s="100" t="n"/>
      <c r="G1949" s="98" t="n"/>
      <c r="H1949" s="99" t="n"/>
      <c r="I1949" s="99" t="n"/>
      <c r="J1949" s="100" t="n"/>
      <c r="K1949" s="98" t="n"/>
      <c r="L1949" s="99" t="n"/>
      <c r="M1949" s="99" t="n"/>
      <c r="N1949" s="100" t="n"/>
      <c r="O1949" s="98" t="n"/>
      <c r="P1949" s="99" t="n"/>
      <c r="Q1949" s="99" t="n"/>
      <c r="R1949" s="100" t="n"/>
      <c r="S1949" s="98" t="n"/>
      <c r="T1949" s="99" t="n"/>
      <c r="U1949" s="99" t="n"/>
      <c r="V1949" s="100" t="n"/>
      <c r="W1949" s="98" t="n"/>
      <c r="X1949" s="100" t="n"/>
      <c r="Y1949" s="98" t="n"/>
      <c r="Z1949" s="100" t="n"/>
      <c r="AB1949" s="101">
        <f>IF($B1949="","",(COUNTIF(C1908:E1925,$B1949)+COUNTIF(C1908:E1925,$B1949&amp;" ~*")&gt;0)+(COUNTIF(G1908:I1925,$B1949)+COUNTIF(G1908:I1925,$B1949&amp;" ~*")&gt;0)+(COUNTIF(K1908:M1925,$B1949)+COUNTIF(K1908:M1925,$B1949&amp;" ~*")&gt;0)+(COUNTIF(O1908:Q1925,$B1949)+COUNTIF(O1908:Q1925,$B1949&amp;" ~*")&gt;0)+(COUNTIF(S1908:U1925,$B1949)+COUNTIF(S1908:U1925,$B1949&amp;" ~*")&gt;0)+(COUNTIF(W1908:W1925,$B1949)+COUNTIF(W1908:W1925,$B1949&amp;" ~*")&gt;0)+(COUNTIF(Y1908:Y1925,$B1949)+COUNTIF(Y1908:Y1925,$B1949&amp;" ~*")&gt;0))</f>
        <v/>
      </c>
      <c r="AC1949" s="36">
        <f>IF($B1949="","",(IFERROR(INDEX(Setup!$G$33:$G$40,MATCH(C1949,Setup!$B$33:$B$40,0)),0)=1)*(COUNTIF(C1908:E1925,$B1949)+COUNTIF(C1908:E1925,$B1949&amp;" ~*")&gt;0)+(IFERROR(INDEX(Setup!$G$33:$G$40,MATCH(G1949,Setup!$B$33:$B$40,0)),0)=1)*(COUNTIF(G1908:I1925,$B1949)+COUNTIF(G1908:I1925,$B1949&amp;" ~*")&gt;0)+(IFERROR(INDEX(Setup!$G$33:$G$40,MATCH(K1949,Setup!$B$33:$B$40,0)),0)=1)*(COUNTIF(K1908:M1925,$B1949)+COUNTIF(K1908:M1925,$B1949&amp;" ~*")&gt;0)+(IFERROR(INDEX(Setup!$G$33:$G$40,MATCH(O1949,Setup!$B$33:$B$40,0)),0)=1)*(COUNTIF(O1908:Q1925,$B1949)+COUNTIF(O1908:Q1925,$B1949&amp;" ~*")&gt;0)+(IFERROR(INDEX(Setup!$G$33:$G$40,MATCH(S1949,Setup!$B$33:$B$40,0)),0)=1)*(COUNTIF(S1908:U1925,$B1949)+COUNTIF(S1908:U1925,$B1949&amp;" ~*")&gt;0)+(IFERROR(INDEX(Setup!$G$33:$G$40,MATCH(W1949,Setup!$B$33:$B$40,0)),0)=1)*(COUNTIF(W1908:W1925,$B1949)+COUNTIF(W1908:W1925,$B1949&amp;" ~*")&gt;0)+(IFERROR(INDEX(Setup!$G$33:$G$40,MATCH(Y1949,Setup!$B$33:$B$40,0)),0)=1)*(COUNTIF(Y1908:Y1925,$B1949)+COUNTIF(Y1908:Y1925,$B1949&amp;" ~*")&gt;0))</f>
        <v/>
      </c>
    </row>
    <row r="1950" ht="15" customHeight="1">
      <c r="A1950" t="n">
        <v>39</v>
      </c>
      <c r="B1950" s="37">
        <f>IF(Setup!$B$29="","",Setup!$B$29)</f>
        <v/>
      </c>
      <c r="C1950" s="102" t="n"/>
      <c r="D1950" s="103" t="n"/>
      <c r="E1950" s="103" t="n"/>
      <c r="F1950" s="104" t="n"/>
      <c r="G1950" s="102" t="n"/>
      <c r="H1950" s="103" t="n"/>
      <c r="I1950" s="103" t="n"/>
      <c r="J1950" s="104" t="n"/>
      <c r="K1950" s="102" t="n"/>
      <c r="L1950" s="103" t="n"/>
      <c r="M1950" s="103" t="n"/>
      <c r="N1950" s="104" t="n"/>
      <c r="O1950" s="102" t="n"/>
      <c r="P1950" s="103" t="n"/>
      <c r="Q1950" s="103" t="n"/>
      <c r="R1950" s="104" t="n"/>
      <c r="S1950" s="102" t="n"/>
      <c r="T1950" s="103" t="n"/>
      <c r="U1950" s="103" t="n"/>
      <c r="V1950" s="104" t="n"/>
      <c r="W1950" s="102" t="n"/>
      <c r="X1950" s="104" t="n"/>
      <c r="Y1950" s="102" t="n"/>
      <c r="Z1950" s="104" t="n"/>
      <c r="AB1950" s="105">
        <f>IF($B1950="","",(COUNTIF(C1908:E1925,$B1950)+COUNTIF(C1908:E1925,$B1950&amp;" ~*")&gt;0)+(COUNTIF(G1908:I1925,$B1950)+COUNTIF(G1908:I1925,$B1950&amp;" ~*")&gt;0)+(COUNTIF(K1908:M1925,$B1950)+COUNTIF(K1908:M1925,$B1950&amp;" ~*")&gt;0)+(COUNTIF(O1908:Q1925,$B1950)+COUNTIF(O1908:Q1925,$B1950&amp;" ~*")&gt;0)+(COUNTIF(S1908:U1925,$B1950)+COUNTIF(S1908:U1925,$B1950&amp;" ~*")&gt;0)+(COUNTIF(W1908:W1925,$B1950)+COUNTIF(W1908:W1925,$B1950&amp;" ~*")&gt;0)+(COUNTIF(Y1908:Y1925,$B1950)+COUNTIF(Y1908:Y1925,$B1950&amp;" ~*")&gt;0))</f>
        <v/>
      </c>
      <c r="AC1950" s="38">
        <f>IF($B1950="","",(IFERROR(INDEX(Setup!$G$33:$G$40,MATCH(C1950,Setup!$B$33:$B$40,0)),0)=1)*(COUNTIF(C1908:E1925,$B1950)+COUNTIF(C1908:E1925,$B1950&amp;" ~*")&gt;0)+(IFERROR(INDEX(Setup!$G$33:$G$40,MATCH(G1950,Setup!$B$33:$B$40,0)),0)=1)*(COUNTIF(G1908:I1925,$B1950)+COUNTIF(G1908:I1925,$B1950&amp;" ~*")&gt;0)+(IFERROR(INDEX(Setup!$G$33:$G$40,MATCH(K1950,Setup!$B$33:$B$40,0)),0)=1)*(COUNTIF(K1908:M1925,$B1950)+COUNTIF(K1908:M1925,$B1950&amp;" ~*")&gt;0)+(IFERROR(INDEX(Setup!$G$33:$G$40,MATCH(O1950,Setup!$B$33:$B$40,0)),0)=1)*(COUNTIF(O1908:Q1925,$B1950)+COUNTIF(O1908:Q1925,$B1950&amp;" ~*")&gt;0)+(IFERROR(INDEX(Setup!$G$33:$G$40,MATCH(S1950,Setup!$B$33:$B$40,0)),0)=1)*(COUNTIF(S1908:U1925,$B1950)+COUNTIF(S1908:U1925,$B1950&amp;" ~*")&gt;0)+(IFERROR(INDEX(Setup!$G$33:$G$40,MATCH(W1950,Setup!$B$33:$B$40,0)),0)=1)*(COUNTIF(W1908:W1925,$B1950)+COUNTIF(W1908:W1925,$B1950&amp;" ~*")&gt;0)+(IFERROR(INDEX(Setup!$G$33:$G$40,MATCH(Y1950,Setup!$B$33:$B$40,0)),0)=1)*(COUNTIF(Y1908:Y1925,$B1950)+COUNTIF(Y1908:Y1925,$B1950&amp;" ~*")&gt;0))</f>
        <v/>
      </c>
    </row>
    <row r="1951" ht="16" customHeight="1">
      <c r="A1951" t="n">
        <v>39</v>
      </c>
      <c r="B1951" s="106" t="inlineStr">
        <is>
          <t>Available people</t>
        </is>
      </c>
      <c r="C1951" s="107">
        <f>COUNTIFS(Setup!$E$6:$E$29,"Y",Setup!$B$6:$B$29,"?*")-SUMPRODUCT(COUNTIF(C1927:C1950,Setup!$F$33:$F$40))</f>
        <v/>
      </c>
      <c r="D1951" s="107" t="n"/>
      <c r="E1951" s="107" t="n"/>
      <c r="F1951" s="107" t="n"/>
      <c r="G1951" s="107">
        <f>COUNTIFS(Setup!$E$6:$E$29,"Y",Setup!$B$6:$B$29,"?*")-SUMPRODUCT(COUNTIF(G1927:G1950,Setup!$F$33:$F$40))</f>
        <v/>
      </c>
      <c r="H1951" s="107" t="n"/>
      <c r="I1951" s="107" t="n"/>
      <c r="J1951" s="107" t="n"/>
      <c r="K1951" s="107">
        <f>COUNTIFS(Setup!$E$6:$E$29,"Y",Setup!$B$6:$B$29,"?*")-SUMPRODUCT(COUNTIF(K1927:K1950,Setup!$F$33:$F$40))</f>
        <v/>
      </c>
      <c r="L1951" s="107" t="n"/>
      <c r="M1951" s="107" t="n"/>
      <c r="N1951" s="107" t="n"/>
      <c r="O1951" s="107">
        <f>COUNTIFS(Setup!$E$6:$E$29,"Y",Setup!$B$6:$B$29,"?*")-SUMPRODUCT(COUNTIF(O1927:O1950,Setup!$F$33:$F$40))</f>
        <v/>
      </c>
      <c r="P1951" s="107" t="n"/>
      <c r="Q1951" s="107" t="n"/>
      <c r="R1951" s="107" t="n"/>
      <c r="S1951" s="107">
        <f>COUNTIFS(Setup!$E$6:$E$29,"Y",Setup!$B$6:$B$29,"?*")-SUMPRODUCT(COUNTIF(S1927:S1950,Setup!$F$33:$F$40))</f>
        <v/>
      </c>
      <c r="T1951" s="107" t="n"/>
      <c r="U1951" s="107" t="n"/>
      <c r="V1951" s="107" t="n"/>
      <c r="W1951" s="107">
        <f>COUNTIFS(Setup!$E$6:$E$29,"Y",Setup!$B$6:$B$29,"?*")-SUMPRODUCT(COUNTIF(W1927:W1950,Setup!$F$33:$F$40))</f>
        <v/>
      </c>
      <c r="X1951" s="107" t="n"/>
      <c r="Y1951" s="107">
        <f>COUNTIFS(Setup!$E$6:$E$29,"Y",Setup!$B$6:$B$29,"?*")-SUMPRODUCT(COUNTIF(Y1927:Y1950,Setup!$F$33:$F$40))</f>
        <v/>
      </c>
      <c r="Z1951" s="107" t="n"/>
      <c r="AB1951" s="108">
        <f>SUM(AB1927:AB1950)</f>
        <v/>
      </c>
      <c r="AC1951" s="109">
        <f>SUM(AC1927:AC1950)</f>
        <v/>
      </c>
    </row>
    <row r="1952" ht="30" customHeight="1">
      <c r="A1952" t="n">
        <v>39</v>
      </c>
      <c r="B1952" s="110" t="inlineStr">
        <is>
          <t>Week notes</t>
        </is>
      </c>
      <c r="C1952" s="111" t="n"/>
      <c r="D1952" s="112" t="n"/>
      <c r="E1952" s="112" t="n"/>
      <c r="F1952" s="112" t="n"/>
      <c r="G1952" s="112" t="n"/>
      <c r="H1952" s="112" t="n"/>
      <c r="I1952" s="112" t="n"/>
      <c r="J1952" s="112" t="n"/>
      <c r="K1952" s="112" t="n"/>
      <c r="L1952" s="112" t="n"/>
      <c r="M1952" s="112" t="n"/>
      <c r="N1952" s="112" t="n"/>
      <c r="O1952" s="112" t="n"/>
      <c r="P1952" s="112" t="n"/>
      <c r="Q1952" s="112" t="n"/>
      <c r="R1952" s="112" t="n"/>
      <c r="S1952" s="112" t="n"/>
      <c r="T1952" s="112" t="n"/>
      <c r="U1952" s="112" t="n"/>
      <c r="V1952" s="112" t="n"/>
      <c r="W1952" s="112" t="n"/>
      <c r="X1952" s="112" t="n"/>
      <c r="Y1952" s="112" t="n"/>
      <c r="Z1952" s="113" t="n"/>
    </row>
    <row r="1953" ht="8" customHeight="1">
      <c r="A1953" t="n">
        <v>39</v>
      </c>
    </row>
    <row r="1954" ht="8" customHeight="1">
      <c r="A1954" t="n">
        <v>39</v>
      </c>
    </row>
    <row r="1955" ht="24" customHeight="1">
      <c r="A1955" t="n">
        <v>40</v>
      </c>
      <c r="B1955" s="73">
        <f>"WEEK 40     "&amp;TEXT(C1956,"ddd d mmm")&amp;"  –  "&amp;TEXT(C1956+6,"ddd d mmm yyyy")</f>
        <v/>
      </c>
      <c r="S1955" s="74">
        <f>IF(TODAY()&lt;C1956,"FUTURE",IF(TODAY()&gt;C1956+6,"PAST","THIS WEEK"))</f>
        <v/>
      </c>
      <c r="W1955" s="75">
        <f>IF(AND(Engine!$B$8=$AC$3,Engine!$B$9=$A1955),"◀ ACTIVE WEEK","")</f>
        <v/>
      </c>
      <c r="AA1955" s="76" t="n"/>
      <c r="AB1955" s="77" t="inlineStr">
        <is>
          <t>◀ Prev</t>
        </is>
      </c>
      <c r="AC1955" s="77" t="inlineStr">
        <is>
          <t>Next ▶</t>
        </is>
      </c>
    </row>
    <row r="1956" ht="18" customHeight="1">
      <c r="A1956" t="n">
        <v>40</v>
      </c>
      <c r="B1956" s="78" t="inlineStr">
        <is>
          <t>DUTY</t>
        </is>
      </c>
      <c r="C1956" s="79">
        <f>$AC$2+7*($A1956-1)</f>
        <v/>
      </c>
      <c r="D1956" s="80" t="n"/>
      <c r="E1956" s="80" t="n"/>
      <c r="F1956" s="81" t="n"/>
      <c r="G1956" s="79">
        <f>C1956+1</f>
        <v/>
      </c>
      <c r="H1956" s="80" t="n"/>
      <c r="I1956" s="80" t="n"/>
      <c r="J1956" s="81" t="n"/>
      <c r="K1956" s="79">
        <f>C1956+2</f>
        <v/>
      </c>
      <c r="L1956" s="80" t="n"/>
      <c r="M1956" s="80" t="n"/>
      <c r="N1956" s="81" t="n"/>
      <c r="O1956" s="79">
        <f>C1956+3</f>
        <v/>
      </c>
      <c r="P1956" s="80" t="n"/>
      <c r="Q1956" s="80" t="n"/>
      <c r="R1956" s="81" t="n"/>
      <c r="S1956" s="79">
        <f>C1956+4</f>
        <v/>
      </c>
      <c r="T1956" s="80" t="n"/>
      <c r="U1956" s="80" t="n"/>
      <c r="V1956" s="81" t="n"/>
      <c r="W1956" s="82">
        <f>C1956+5</f>
        <v/>
      </c>
      <c r="X1956" s="83" t="n"/>
      <c r="Y1956" s="82">
        <f>C1956+6</f>
        <v/>
      </c>
      <c r="Z1956" s="83" t="n"/>
      <c r="AB1956" s="72" t="inlineStr">
        <is>
          <t>Gaps</t>
        </is>
      </c>
      <c r="AC1956" s="72" t="inlineStr">
        <is>
          <t>Cover</t>
        </is>
      </c>
    </row>
    <row r="1957" ht="14" customHeight="1">
      <c r="A1957" t="n">
        <v>40</v>
      </c>
      <c r="B1957" s="84" t="inlineStr">
        <is>
          <t>(from Setup)</t>
        </is>
      </c>
      <c r="C1957" s="85" t="inlineStr">
        <is>
          <t>1</t>
        </is>
      </c>
      <c r="D1957" s="85" t="inlineStr">
        <is>
          <t>2</t>
        </is>
      </c>
      <c r="E1957" s="85" t="inlineStr">
        <is>
          <t>3</t>
        </is>
      </c>
      <c r="F1957" s="85" t="inlineStr">
        <is>
          <t>Notes</t>
        </is>
      </c>
      <c r="G1957" s="85" t="inlineStr">
        <is>
          <t>1</t>
        </is>
      </c>
      <c r="H1957" s="85" t="inlineStr">
        <is>
          <t>2</t>
        </is>
      </c>
      <c r="I1957" s="85" t="inlineStr">
        <is>
          <t>3</t>
        </is>
      </c>
      <c r="J1957" s="85" t="inlineStr">
        <is>
          <t>Notes</t>
        </is>
      </c>
      <c r="K1957" s="85" t="inlineStr">
        <is>
          <t>1</t>
        </is>
      </c>
      <c r="L1957" s="85" t="inlineStr">
        <is>
          <t>2</t>
        </is>
      </c>
      <c r="M1957" s="85" t="inlineStr">
        <is>
          <t>3</t>
        </is>
      </c>
      <c r="N1957" s="85" t="inlineStr">
        <is>
          <t>Notes</t>
        </is>
      </c>
      <c r="O1957" s="85" t="inlineStr">
        <is>
          <t>1</t>
        </is>
      </c>
      <c r="P1957" s="85" t="inlineStr">
        <is>
          <t>2</t>
        </is>
      </c>
      <c r="Q1957" s="85" t="inlineStr">
        <is>
          <t>3</t>
        </is>
      </c>
      <c r="R1957" s="85" t="inlineStr">
        <is>
          <t>Notes</t>
        </is>
      </c>
      <c r="S1957" s="85" t="inlineStr">
        <is>
          <t>1</t>
        </is>
      </c>
      <c r="T1957" s="85" t="inlineStr">
        <is>
          <t>2</t>
        </is>
      </c>
      <c r="U1957" s="85" t="inlineStr">
        <is>
          <t>3</t>
        </is>
      </c>
      <c r="V1957" s="85" t="inlineStr">
        <is>
          <t>Notes</t>
        </is>
      </c>
      <c r="W1957" s="85" t="inlineStr">
        <is>
          <t>Cover</t>
        </is>
      </c>
      <c r="X1957" s="85" t="inlineStr">
        <is>
          <t>Notes</t>
        </is>
      </c>
      <c r="Y1957" s="85" t="inlineStr">
        <is>
          <t>Cover</t>
        </is>
      </c>
      <c r="Z1957" s="85" t="inlineStr">
        <is>
          <t>Notes</t>
        </is>
      </c>
      <c r="AB1957" s="86" t="inlineStr">
        <is>
          <t>weekdays short</t>
        </is>
      </c>
      <c r="AC1957" s="87" t="inlineStr"/>
    </row>
    <row r="1958" ht="17" customHeight="1">
      <c r="A1958" t="n">
        <v>40</v>
      </c>
      <c r="B1958" s="24">
        <f>IF(Setup!$K$6="","",Setup!$K$6)</f>
        <v/>
      </c>
      <c r="C1958" s="88" t="n"/>
      <c r="D1958" s="88" t="n"/>
      <c r="E1958" s="88" t="n"/>
      <c r="F1958" s="89" t="n"/>
      <c r="G1958" s="88" t="n"/>
      <c r="H1958" s="88" t="n"/>
      <c r="I1958" s="88" t="n"/>
      <c r="J1958" s="89" t="n"/>
      <c r="K1958" s="88" t="n"/>
      <c r="L1958" s="88" t="n"/>
      <c r="M1958" s="88" t="n"/>
      <c r="N1958" s="89" t="n"/>
      <c r="O1958" s="88" t="n"/>
      <c r="P1958" s="88" t="n"/>
      <c r="Q1958" s="88" t="n"/>
      <c r="R1958" s="89" t="n"/>
      <c r="S1958" s="88" t="n"/>
      <c r="T1958" s="88" t="n"/>
      <c r="U1958" s="88" t="n"/>
      <c r="V1958" s="89" t="n"/>
      <c r="W1958" s="88" t="n"/>
      <c r="X1958" s="89" t="n"/>
      <c r="Y1958" s="88" t="n"/>
      <c r="Z1958" s="89" t="n"/>
      <c r="AB1958" s="25">
        <f>IF($B1958="","",(COUNTIF(C1958:E1958,"?*")&lt;N(INDEX(Setup!$L$6:$L$23,1)))+(COUNTIF(G1958:I1958,"?*")&lt;N(INDEX(Setup!$L$6:$L$23,1)))+(COUNTIF(K1958:M1958,"?*")&lt;N(INDEX(Setup!$L$6:$L$23,1)))+(COUNTIF(O1958:Q1958,"?*")&lt;N(INDEX(Setup!$L$6:$L$23,1)))+(COUNTIF(S1958:U1958,"?*")&lt;N(INDEX(Setup!$L$6:$L$23,1)))+((W1958="")*(INDEX(Setup!$M$6:$M$23,1)="Y"))+((Y1958="")*(INDEX(Setup!$M$6:$M$23,1)="Y")))</f>
        <v/>
      </c>
      <c r="AC1958" s="90">
        <f>IF($B1958="","",IF(AB1958=0,"✓ covered","⚠ "&amp;AB1958&amp;IF(AB1958=1," gap"," gaps")))</f>
        <v/>
      </c>
    </row>
    <row r="1959" ht="17" customHeight="1">
      <c r="A1959" t="n">
        <v>40</v>
      </c>
      <c r="B1959" s="29">
        <f>IF(Setup!$K$7="","",Setup!$K$7)</f>
        <v/>
      </c>
      <c r="C1959" s="88" t="n"/>
      <c r="D1959" s="88" t="n"/>
      <c r="E1959" s="88" t="n"/>
      <c r="F1959" s="89" t="n"/>
      <c r="G1959" s="88" t="n"/>
      <c r="H1959" s="88" t="n"/>
      <c r="I1959" s="88" t="n"/>
      <c r="J1959" s="89" t="n"/>
      <c r="K1959" s="88" t="n"/>
      <c r="L1959" s="88" t="n"/>
      <c r="M1959" s="88" t="n"/>
      <c r="N1959" s="89" t="n"/>
      <c r="O1959" s="88" t="n"/>
      <c r="P1959" s="88" t="n"/>
      <c r="Q1959" s="88" t="n"/>
      <c r="R1959" s="89" t="n"/>
      <c r="S1959" s="88" t="n"/>
      <c r="T1959" s="88" t="n"/>
      <c r="U1959" s="88" t="n"/>
      <c r="V1959" s="89" t="n"/>
      <c r="W1959" s="88" t="n"/>
      <c r="X1959" s="89" t="n"/>
      <c r="Y1959" s="88" t="n"/>
      <c r="Z1959" s="89" t="n"/>
      <c r="AB1959" s="30">
        <f>IF($B1959="","",(COUNTIF(C1959:E1959,"?*")&lt;N(INDEX(Setup!$L$6:$L$23,2)))+(COUNTIF(G1959:I1959,"?*")&lt;N(INDEX(Setup!$L$6:$L$23,2)))+(COUNTIF(K1959:M1959,"?*")&lt;N(INDEX(Setup!$L$6:$L$23,2)))+(COUNTIF(O1959:Q1959,"?*")&lt;N(INDEX(Setup!$L$6:$L$23,2)))+(COUNTIF(S1959:U1959,"?*")&lt;N(INDEX(Setup!$L$6:$L$23,2)))+((W1959="")*(INDEX(Setup!$M$6:$M$23,2)="Y"))+((Y1959="")*(INDEX(Setup!$M$6:$M$23,2)="Y")))</f>
        <v/>
      </c>
      <c r="AC1959" s="91">
        <f>IF($B1959="","",IF(AB1959=0,"✓ covered","⚠ "&amp;AB1959&amp;IF(AB1959=1," gap"," gaps")))</f>
        <v/>
      </c>
    </row>
    <row r="1960" ht="17" customHeight="1">
      <c r="A1960" t="n">
        <v>40</v>
      </c>
      <c r="B1960" s="24">
        <f>IF(Setup!$K$8="","",Setup!$K$8)</f>
        <v/>
      </c>
      <c r="C1960" s="88" t="n"/>
      <c r="D1960" s="88" t="n"/>
      <c r="E1960" s="88" t="n"/>
      <c r="F1960" s="89" t="n"/>
      <c r="G1960" s="88" t="n"/>
      <c r="H1960" s="88" t="n"/>
      <c r="I1960" s="88" t="n"/>
      <c r="J1960" s="89" t="n"/>
      <c r="K1960" s="88" t="n"/>
      <c r="L1960" s="88" t="n"/>
      <c r="M1960" s="88" t="n"/>
      <c r="N1960" s="89" t="n"/>
      <c r="O1960" s="88" t="n"/>
      <c r="P1960" s="88" t="n"/>
      <c r="Q1960" s="88" t="n"/>
      <c r="R1960" s="89" t="n"/>
      <c r="S1960" s="88" t="n"/>
      <c r="T1960" s="88" t="n"/>
      <c r="U1960" s="88" t="n"/>
      <c r="V1960" s="89" t="n"/>
      <c r="W1960" s="88" t="n"/>
      <c r="X1960" s="89" t="n"/>
      <c r="Y1960" s="88" t="n"/>
      <c r="Z1960" s="89" t="n"/>
      <c r="AB1960" s="25">
        <f>IF($B1960="","",(COUNTIF(C1960:E1960,"?*")&lt;N(INDEX(Setup!$L$6:$L$23,3)))+(COUNTIF(G1960:I1960,"?*")&lt;N(INDEX(Setup!$L$6:$L$23,3)))+(COUNTIF(K1960:M1960,"?*")&lt;N(INDEX(Setup!$L$6:$L$23,3)))+(COUNTIF(O1960:Q1960,"?*")&lt;N(INDEX(Setup!$L$6:$L$23,3)))+(COUNTIF(S1960:U1960,"?*")&lt;N(INDEX(Setup!$L$6:$L$23,3)))+((W1960="")*(INDEX(Setup!$M$6:$M$23,3)="Y"))+((Y1960="")*(INDEX(Setup!$M$6:$M$23,3)="Y")))</f>
        <v/>
      </c>
      <c r="AC1960" s="90">
        <f>IF($B1960="","",IF(AB1960=0,"✓ covered","⚠ "&amp;AB1960&amp;IF(AB1960=1," gap"," gaps")))</f>
        <v/>
      </c>
    </row>
    <row r="1961" ht="17" customHeight="1">
      <c r="A1961" t="n">
        <v>40</v>
      </c>
      <c r="B1961" s="29">
        <f>IF(Setup!$K$9="","",Setup!$K$9)</f>
        <v/>
      </c>
      <c r="C1961" s="88" t="n"/>
      <c r="D1961" s="88" t="n"/>
      <c r="E1961" s="88" t="n"/>
      <c r="F1961" s="89" t="n"/>
      <c r="G1961" s="88" t="n"/>
      <c r="H1961" s="88" t="n"/>
      <c r="I1961" s="88" t="n"/>
      <c r="J1961" s="89" t="n"/>
      <c r="K1961" s="88" t="n"/>
      <c r="L1961" s="88" t="n"/>
      <c r="M1961" s="88" t="n"/>
      <c r="N1961" s="89" t="n"/>
      <c r="O1961" s="88" t="n"/>
      <c r="P1961" s="88" t="n"/>
      <c r="Q1961" s="88" t="n"/>
      <c r="R1961" s="89" t="n"/>
      <c r="S1961" s="88" t="n"/>
      <c r="T1961" s="88" t="n"/>
      <c r="U1961" s="88" t="n"/>
      <c r="V1961" s="89" t="n"/>
      <c r="W1961" s="88" t="n"/>
      <c r="X1961" s="89" t="n"/>
      <c r="Y1961" s="88" t="n"/>
      <c r="Z1961" s="89" t="n"/>
      <c r="AB1961" s="30">
        <f>IF($B1961="","",(COUNTIF(C1961:E1961,"?*")&lt;N(INDEX(Setup!$L$6:$L$23,4)))+(COUNTIF(G1961:I1961,"?*")&lt;N(INDEX(Setup!$L$6:$L$23,4)))+(COUNTIF(K1961:M1961,"?*")&lt;N(INDEX(Setup!$L$6:$L$23,4)))+(COUNTIF(O1961:Q1961,"?*")&lt;N(INDEX(Setup!$L$6:$L$23,4)))+(COUNTIF(S1961:U1961,"?*")&lt;N(INDEX(Setup!$L$6:$L$23,4)))+((W1961="")*(INDEX(Setup!$M$6:$M$23,4)="Y"))+((Y1961="")*(INDEX(Setup!$M$6:$M$23,4)="Y")))</f>
        <v/>
      </c>
      <c r="AC1961" s="91">
        <f>IF($B1961="","",IF(AB1961=0,"✓ covered","⚠ "&amp;AB1961&amp;IF(AB1961=1," gap"," gaps")))</f>
        <v/>
      </c>
    </row>
    <row r="1962" ht="17" customHeight="1">
      <c r="A1962" t="n">
        <v>40</v>
      </c>
      <c r="B1962" s="24">
        <f>IF(Setup!$K$10="","",Setup!$K$10)</f>
        <v/>
      </c>
      <c r="C1962" s="88" t="n"/>
      <c r="D1962" s="88" t="n"/>
      <c r="E1962" s="88" t="n"/>
      <c r="F1962" s="89" t="n"/>
      <c r="G1962" s="88" t="n"/>
      <c r="H1962" s="88" t="n"/>
      <c r="I1962" s="88" t="n"/>
      <c r="J1962" s="89" t="n"/>
      <c r="K1962" s="88" t="n"/>
      <c r="L1962" s="88" t="n"/>
      <c r="M1962" s="88" t="n"/>
      <c r="N1962" s="89" t="n"/>
      <c r="O1962" s="88" t="n"/>
      <c r="P1962" s="88" t="n"/>
      <c r="Q1962" s="88" t="n"/>
      <c r="R1962" s="89" t="n"/>
      <c r="S1962" s="88" t="n"/>
      <c r="T1962" s="88" t="n"/>
      <c r="U1962" s="88" t="n"/>
      <c r="V1962" s="89" t="n"/>
      <c r="W1962" s="88" t="n"/>
      <c r="X1962" s="89" t="n"/>
      <c r="Y1962" s="88" t="n"/>
      <c r="Z1962" s="89" t="n"/>
      <c r="AB1962" s="25">
        <f>IF($B1962="","",(COUNTIF(C1962:E1962,"?*")&lt;N(INDEX(Setup!$L$6:$L$23,5)))+(COUNTIF(G1962:I1962,"?*")&lt;N(INDEX(Setup!$L$6:$L$23,5)))+(COUNTIF(K1962:M1962,"?*")&lt;N(INDEX(Setup!$L$6:$L$23,5)))+(COUNTIF(O1962:Q1962,"?*")&lt;N(INDEX(Setup!$L$6:$L$23,5)))+(COUNTIF(S1962:U1962,"?*")&lt;N(INDEX(Setup!$L$6:$L$23,5)))+((W1962="")*(INDEX(Setup!$M$6:$M$23,5)="Y"))+((Y1962="")*(INDEX(Setup!$M$6:$M$23,5)="Y")))</f>
        <v/>
      </c>
      <c r="AC1962" s="90">
        <f>IF($B1962="","",IF(AB1962=0,"✓ covered","⚠ "&amp;AB1962&amp;IF(AB1962=1," gap"," gaps")))</f>
        <v/>
      </c>
    </row>
    <row r="1963" ht="17" customHeight="1">
      <c r="A1963" t="n">
        <v>40</v>
      </c>
      <c r="B1963" s="29">
        <f>IF(Setup!$K$11="","",Setup!$K$11)</f>
        <v/>
      </c>
      <c r="C1963" s="88" t="n"/>
      <c r="D1963" s="88" t="n"/>
      <c r="E1963" s="88" t="n"/>
      <c r="F1963" s="89" t="n"/>
      <c r="G1963" s="88" t="n"/>
      <c r="H1963" s="88" t="n"/>
      <c r="I1963" s="88" t="n"/>
      <c r="J1963" s="89" t="n"/>
      <c r="K1963" s="88" t="n"/>
      <c r="L1963" s="88" t="n"/>
      <c r="M1963" s="88" t="n"/>
      <c r="N1963" s="89" t="n"/>
      <c r="O1963" s="88" t="n"/>
      <c r="P1963" s="88" t="n"/>
      <c r="Q1963" s="88" t="n"/>
      <c r="R1963" s="89" t="n"/>
      <c r="S1963" s="88" t="n"/>
      <c r="T1963" s="88" t="n"/>
      <c r="U1963" s="88" t="n"/>
      <c r="V1963" s="89" t="n"/>
      <c r="W1963" s="88" t="n"/>
      <c r="X1963" s="89" t="n"/>
      <c r="Y1963" s="88" t="n"/>
      <c r="Z1963" s="89" t="n"/>
      <c r="AB1963" s="30">
        <f>IF($B1963="","",(COUNTIF(C1963:E1963,"?*")&lt;N(INDEX(Setup!$L$6:$L$23,6)))+(COUNTIF(G1963:I1963,"?*")&lt;N(INDEX(Setup!$L$6:$L$23,6)))+(COUNTIF(K1963:M1963,"?*")&lt;N(INDEX(Setup!$L$6:$L$23,6)))+(COUNTIF(O1963:Q1963,"?*")&lt;N(INDEX(Setup!$L$6:$L$23,6)))+(COUNTIF(S1963:U1963,"?*")&lt;N(INDEX(Setup!$L$6:$L$23,6)))+((W1963="")*(INDEX(Setup!$M$6:$M$23,6)="Y"))+((Y1963="")*(INDEX(Setup!$M$6:$M$23,6)="Y")))</f>
        <v/>
      </c>
      <c r="AC1963" s="91">
        <f>IF($B1963="","",IF(AB1963=0,"✓ covered","⚠ "&amp;AB1963&amp;IF(AB1963=1," gap"," gaps")))</f>
        <v/>
      </c>
    </row>
    <row r="1964" ht="17" customHeight="1">
      <c r="A1964" t="n">
        <v>40</v>
      </c>
      <c r="B1964" s="24">
        <f>IF(Setup!$K$12="","",Setup!$K$12)</f>
        <v/>
      </c>
      <c r="C1964" s="88" t="n"/>
      <c r="D1964" s="88" t="n"/>
      <c r="E1964" s="88" t="n"/>
      <c r="F1964" s="89" t="n"/>
      <c r="G1964" s="88" t="n"/>
      <c r="H1964" s="88" t="n"/>
      <c r="I1964" s="88" t="n"/>
      <c r="J1964" s="89" t="n"/>
      <c r="K1964" s="88" t="n"/>
      <c r="L1964" s="88" t="n"/>
      <c r="M1964" s="88" t="n"/>
      <c r="N1964" s="89" t="n"/>
      <c r="O1964" s="88" t="n"/>
      <c r="P1964" s="88" t="n"/>
      <c r="Q1964" s="88" t="n"/>
      <c r="R1964" s="89" t="n"/>
      <c r="S1964" s="88" t="n"/>
      <c r="T1964" s="88" t="n"/>
      <c r="U1964" s="88" t="n"/>
      <c r="V1964" s="89" t="n"/>
      <c r="W1964" s="88" t="n"/>
      <c r="X1964" s="89" t="n"/>
      <c r="Y1964" s="88" t="n"/>
      <c r="Z1964" s="89" t="n"/>
      <c r="AB1964" s="25">
        <f>IF($B1964="","",(COUNTIF(C1964:E1964,"?*")&lt;N(INDEX(Setup!$L$6:$L$23,7)))+(COUNTIF(G1964:I1964,"?*")&lt;N(INDEX(Setup!$L$6:$L$23,7)))+(COUNTIF(K1964:M1964,"?*")&lt;N(INDEX(Setup!$L$6:$L$23,7)))+(COUNTIF(O1964:Q1964,"?*")&lt;N(INDEX(Setup!$L$6:$L$23,7)))+(COUNTIF(S1964:U1964,"?*")&lt;N(INDEX(Setup!$L$6:$L$23,7)))+((W1964="")*(INDEX(Setup!$M$6:$M$23,7)="Y"))+((Y1964="")*(INDEX(Setup!$M$6:$M$23,7)="Y")))</f>
        <v/>
      </c>
      <c r="AC1964" s="90">
        <f>IF($B1964="","",IF(AB1964=0,"✓ covered","⚠ "&amp;AB1964&amp;IF(AB1964=1," gap"," gaps")))</f>
        <v/>
      </c>
    </row>
    <row r="1965" ht="17" customHeight="1">
      <c r="A1965" t="n">
        <v>40</v>
      </c>
      <c r="B1965" s="29">
        <f>IF(Setup!$K$13="","",Setup!$K$13)</f>
        <v/>
      </c>
      <c r="C1965" s="88" t="n"/>
      <c r="D1965" s="88" t="n"/>
      <c r="E1965" s="88" t="n"/>
      <c r="F1965" s="89" t="n"/>
      <c r="G1965" s="88" t="n"/>
      <c r="H1965" s="88" t="n"/>
      <c r="I1965" s="88" t="n"/>
      <c r="J1965" s="89" t="n"/>
      <c r="K1965" s="88" t="n"/>
      <c r="L1965" s="88" t="n"/>
      <c r="M1965" s="88" t="n"/>
      <c r="N1965" s="89" t="n"/>
      <c r="O1965" s="88" t="n"/>
      <c r="P1965" s="88" t="n"/>
      <c r="Q1965" s="88" t="n"/>
      <c r="R1965" s="89" t="n"/>
      <c r="S1965" s="88" t="n"/>
      <c r="T1965" s="88" t="n"/>
      <c r="U1965" s="88" t="n"/>
      <c r="V1965" s="89" t="n"/>
      <c r="W1965" s="88" t="n"/>
      <c r="X1965" s="89" t="n"/>
      <c r="Y1965" s="88" t="n"/>
      <c r="Z1965" s="89" t="n"/>
      <c r="AB1965" s="30">
        <f>IF($B1965="","",(COUNTIF(C1965:E1965,"?*")&lt;N(INDEX(Setup!$L$6:$L$23,8)))+(COUNTIF(G1965:I1965,"?*")&lt;N(INDEX(Setup!$L$6:$L$23,8)))+(COUNTIF(K1965:M1965,"?*")&lt;N(INDEX(Setup!$L$6:$L$23,8)))+(COUNTIF(O1965:Q1965,"?*")&lt;N(INDEX(Setup!$L$6:$L$23,8)))+(COUNTIF(S1965:U1965,"?*")&lt;N(INDEX(Setup!$L$6:$L$23,8)))+((W1965="")*(INDEX(Setup!$M$6:$M$23,8)="Y"))+((Y1965="")*(INDEX(Setup!$M$6:$M$23,8)="Y")))</f>
        <v/>
      </c>
      <c r="AC1965" s="91">
        <f>IF($B1965="","",IF(AB1965=0,"✓ covered","⚠ "&amp;AB1965&amp;IF(AB1965=1," gap"," gaps")))</f>
        <v/>
      </c>
    </row>
    <row r="1966" ht="17" customHeight="1">
      <c r="A1966" t="n">
        <v>40</v>
      </c>
      <c r="B1966" s="24">
        <f>IF(Setup!$K$14="","",Setup!$K$14)</f>
        <v/>
      </c>
      <c r="C1966" s="88" t="n"/>
      <c r="D1966" s="88" t="n"/>
      <c r="E1966" s="88" t="n"/>
      <c r="F1966" s="89" t="n"/>
      <c r="G1966" s="88" t="n"/>
      <c r="H1966" s="88" t="n"/>
      <c r="I1966" s="88" t="n"/>
      <c r="J1966" s="89" t="n"/>
      <c r="K1966" s="88" t="n"/>
      <c r="L1966" s="88" t="n"/>
      <c r="M1966" s="88" t="n"/>
      <c r="N1966" s="89" t="n"/>
      <c r="O1966" s="88" t="n"/>
      <c r="P1966" s="88" t="n"/>
      <c r="Q1966" s="88" t="n"/>
      <c r="R1966" s="89" t="n"/>
      <c r="S1966" s="88" t="n"/>
      <c r="T1966" s="88" t="n"/>
      <c r="U1966" s="88" t="n"/>
      <c r="V1966" s="89" t="n"/>
      <c r="W1966" s="88" t="n"/>
      <c r="X1966" s="89" t="n"/>
      <c r="Y1966" s="88" t="n"/>
      <c r="Z1966" s="89" t="n"/>
      <c r="AB1966" s="25">
        <f>IF($B1966="","",(COUNTIF(C1966:E1966,"?*")&lt;N(INDEX(Setup!$L$6:$L$23,9)))+(COUNTIF(G1966:I1966,"?*")&lt;N(INDEX(Setup!$L$6:$L$23,9)))+(COUNTIF(K1966:M1966,"?*")&lt;N(INDEX(Setup!$L$6:$L$23,9)))+(COUNTIF(O1966:Q1966,"?*")&lt;N(INDEX(Setup!$L$6:$L$23,9)))+(COUNTIF(S1966:U1966,"?*")&lt;N(INDEX(Setup!$L$6:$L$23,9)))+((W1966="")*(INDEX(Setup!$M$6:$M$23,9)="Y"))+((Y1966="")*(INDEX(Setup!$M$6:$M$23,9)="Y")))</f>
        <v/>
      </c>
      <c r="AC1966" s="90">
        <f>IF($B1966="","",IF(AB1966=0,"✓ covered","⚠ "&amp;AB1966&amp;IF(AB1966=1," gap"," gaps")))</f>
        <v/>
      </c>
    </row>
    <row r="1967" ht="17" customHeight="1">
      <c r="A1967" t="n">
        <v>40</v>
      </c>
      <c r="B1967" s="29">
        <f>IF(Setup!$K$15="","",Setup!$K$15)</f>
        <v/>
      </c>
      <c r="C1967" s="88" t="n"/>
      <c r="D1967" s="88" t="n"/>
      <c r="E1967" s="88" t="n"/>
      <c r="F1967" s="89" t="n"/>
      <c r="G1967" s="88" t="n"/>
      <c r="H1967" s="88" t="n"/>
      <c r="I1967" s="88" t="n"/>
      <c r="J1967" s="89" t="n"/>
      <c r="K1967" s="88" t="n"/>
      <c r="L1967" s="88" t="n"/>
      <c r="M1967" s="88" t="n"/>
      <c r="N1967" s="89" t="n"/>
      <c r="O1967" s="88" t="n"/>
      <c r="P1967" s="88" t="n"/>
      <c r="Q1967" s="88" t="n"/>
      <c r="R1967" s="89" t="n"/>
      <c r="S1967" s="88" t="n"/>
      <c r="T1967" s="88" t="n"/>
      <c r="U1967" s="88" t="n"/>
      <c r="V1967" s="89" t="n"/>
      <c r="W1967" s="88" t="n"/>
      <c r="X1967" s="89" t="n"/>
      <c r="Y1967" s="88" t="n"/>
      <c r="Z1967" s="89" t="n"/>
      <c r="AB1967" s="30">
        <f>IF($B1967="","",(COUNTIF(C1967:E1967,"?*")&lt;N(INDEX(Setup!$L$6:$L$23,10)))+(COUNTIF(G1967:I1967,"?*")&lt;N(INDEX(Setup!$L$6:$L$23,10)))+(COUNTIF(K1967:M1967,"?*")&lt;N(INDEX(Setup!$L$6:$L$23,10)))+(COUNTIF(O1967:Q1967,"?*")&lt;N(INDEX(Setup!$L$6:$L$23,10)))+(COUNTIF(S1967:U1967,"?*")&lt;N(INDEX(Setup!$L$6:$L$23,10)))+((W1967="")*(INDEX(Setup!$M$6:$M$23,10)="Y"))+((Y1967="")*(INDEX(Setup!$M$6:$M$23,10)="Y")))</f>
        <v/>
      </c>
      <c r="AC1967" s="91">
        <f>IF($B1967="","",IF(AB1967=0,"✓ covered","⚠ "&amp;AB1967&amp;IF(AB1967=1," gap"," gaps")))</f>
        <v/>
      </c>
    </row>
    <row r="1968" ht="17" customHeight="1">
      <c r="A1968" t="n">
        <v>40</v>
      </c>
      <c r="B1968" s="24">
        <f>IF(Setup!$K$16="","",Setup!$K$16)</f>
        <v/>
      </c>
      <c r="C1968" s="88" t="n"/>
      <c r="D1968" s="88" t="n"/>
      <c r="E1968" s="88" t="n"/>
      <c r="F1968" s="89" t="n"/>
      <c r="G1968" s="88" t="n"/>
      <c r="H1968" s="88" t="n"/>
      <c r="I1968" s="88" t="n"/>
      <c r="J1968" s="89" t="n"/>
      <c r="K1968" s="88" t="n"/>
      <c r="L1968" s="88" t="n"/>
      <c r="M1968" s="88" t="n"/>
      <c r="N1968" s="89" t="n"/>
      <c r="O1968" s="88" t="n"/>
      <c r="P1968" s="88" t="n"/>
      <c r="Q1968" s="88" t="n"/>
      <c r="R1968" s="89" t="n"/>
      <c r="S1968" s="88" t="n"/>
      <c r="T1968" s="88" t="n"/>
      <c r="U1968" s="88" t="n"/>
      <c r="V1968" s="89" t="n"/>
      <c r="W1968" s="88" t="n"/>
      <c r="X1968" s="89" t="n"/>
      <c r="Y1968" s="88" t="n"/>
      <c r="Z1968" s="89" t="n"/>
      <c r="AB1968" s="25">
        <f>IF($B1968="","",(COUNTIF(C1968:E1968,"?*")&lt;N(INDEX(Setup!$L$6:$L$23,11)))+(COUNTIF(G1968:I1968,"?*")&lt;N(INDEX(Setup!$L$6:$L$23,11)))+(COUNTIF(K1968:M1968,"?*")&lt;N(INDEX(Setup!$L$6:$L$23,11)))+(COUNTIF(O1968:Q1968,"?*")&lt;N(INDEX(Setup!$L$6:$L$23,11)))+(COUNTIF(S1968:U1968,"?*")&lt;N(INDEX(Setup!$L$6:$L$23,11)))+((W1968="")*(INDEX(Setup!$M$6:$M$23,11)="Y"))+((Y1968="")*(INDEX(Setup!$M$6:$M$23,11)="Y")))</f>
        <v/>
      </c>
      <c r="AC1968" s="90">
        <f>IF($B1968="","",IF(AB1968=0,"✓ covered","⚠ "&amp;AB1968&amp;IF(AB1968=1," gap"," gaps")))</f>
        <v/>
      </c>
    </row>
    <row r="1969" ht="17" customHeight="1">
      <c r="A1969" t="n">
        <v>40</v>
      </c>
      <c r="B1969" s="29">
        <f>IF(Setup!$K$17="","",Setup!$K$17)</f>
        <v/>
      </c>
      <c r="C1969" s="88" t="n"/>
      <c r="D1969" s="88" t="n"/>
      <c r="E1969" s="88" t="n"/>
      <c r="F1969" s="89" t="n"/>
      <c r="G1969" s="88" t="n"/>
      <c r="H1969" s="88" t="n"/>
      <c r="I1969" s="88" t="n"/>
      <c r="J1969" s="89" t="n"/>
      <c r="K1969" s="88" t="n"/>
      <c r="L1969" s="88" t="n"/>
      <c r="M1969" s="88" t="n"/>
      <c r="N1969" s="89" t="n"/>
      <c r="O1969" s="88" t="n"/>
      <c r="P1969" s="88" t="n"/>
      <c r="Q1969" s="88" t="n"/>
      <c r="R1969" s="89" t="n"/>
      <c r="S1969" s="88" t="n"/>
      <c r="T1969" s="88" t="n"/>
      <c r="U1969" s="88" t="n"/>
      <c r="V1969" s="89" t="n"/>
      <c r="W1969" s="88" t="n"/>
      <c r="X1969" s="89" t="n"/>
      <c r="Y1969" s="88" t="n"/>
      <c r="Z1969" s="89" t="n"/>
      <c r="AB1969" s="30">
        <f>IF($B1969="","",(COUNTIF(C1969:E1969,"?*")&lt;N(INDEX(Setup!$L$6:$L$23,12)))+(COUNTIF(G1969:I1969,"?*")&lt;N(INDEX(Setup!$L$6:$L$23,12)))+(COUNTIF(K1969:M1969,"?*")&lt;N(INDEX(Setup!$L$6:$L$23,12)))+(COUNTIF(O1969:Q1969,"?*")&lt;N(INDEX(Setup!$L$6:$L$23,12)))+(COUNTIF(S1969:U1969,"?*")&lt;N(INDEX(Setup!$L$6:$L$23,12)))+((W1969="")*(INDEX(Setup!$M$6:$M$23,12)="Y"))+((Y1969="")*(INDEX(Setup!$M$6:$M$23,12)="Y")))</f>
        <v/>
      </c>
      <c r="AC1969" s="91">
        <f>IF($B1969="","",IF(AB1969=0,"✓ covered","⚠ "&amp;AB1969&amp;IF(AB1969=1," gap"," gaps")))</f>
        <v/>
      </c>
    </row>
    <row r="1970" ht="17" customHeight="1">
      <c r="A1970" t="n">
        <v>40</v>
      </c>
      <c r="B1970" s="24">
        <f>IF(Setup!$K$18="","",Setup!$K$18)</f>
        <v/>
      </c>
      <c r="C1970" s="88" t="n"/>
      <c r="D1970" s="88" t="n"/>
      <c r="E1970" s="88" t="n"/>
      <c r="F1970" s="89" t="n"/>
      <c r="G1970" s="88" t="n"/>
      <c r="H1970" s="88" t="n"/>
      <c r="I1970" s="88" t="n"/>
      <c r="J1970" s="89" t="n"/>
      <c r="K1970" s="88" t="n"/>
      <c r="L1970" s="88" t="n"/>
      <c r="M1970" s="88" t="n"/>
      <c r="N1970" s="89" t="n"/>
      <c r="O1970" s="88" t="n"/>
      <c r="P1970" s="88" t="n"/>
      <c r="Q1970" s="88" t="n"/>
      <c r="R1970" s="89" t="n"/>
      <c r="S1970" s="88" t="n"/>
      <c r="T1970" s="88" t="n"/>
      <c r="U1970" s="88" t="n"/>
      <c r="V1970" s="89" t="n"/>
      <c r="W1970" s="88" t="n"/>
      <c r="X1970" s="89" t="n"/>
      <c r="Y1970" s="88" t="n"/>
      <c r="Z1970" s="89" t="n"/>
      <c r="AB1970" s="25">
        <f>IF($B1970="","",(COUNTIF(C1970:E1970,"?*")&lt;N(INDEX(Setup!$L$6:$L$23,13)))+(COUNTIF(G1970:I1970,"?*")&lt;N(INDEX(Setup!$L$6:$L$23,13)))+(COUNTIF(K1970:M1970,"?*")&lt;N(INDEX(Setup!$L$6:$L$23,13)))+(COUNTIF(O1970:Q1970,"?*")&lt;N(INDEX(Setup!$L$6:$L$23,13)))+(COUNTIF(S1970:U1970,"?*")&lt;N(INDEX(Setup!$L$6:$L$23,13)))+((W1970="")*(INDEX(Setup!$M$6:$M$23,13)="Y"))+((Y1970="")*(INDEX(Setup!$M$6:$M$23,13)="Y")))</f>
        <v/>
      </c>
      <c r="AC1970" s="90">
        <f>IF($B1970="","",IF(AB1970=0,"✓ covered","⚠ "&amp;AB1970&amp;IF(AB1970=1," gap"," gaps")))</f>
        <v/>
      </c>
    </row>
    <row r="1971" ht="17" customHeight="1">
      <c r="A1971" t="n">
        <v>40</v>
      </c>
      <c r="B1971" s="29">
        <f>IF(Setup!$K$19="","",Setup!$K$19)</f>
        <v/>
      </c>
      <c r="C1971" s="88" t="n"/>
      <c r="D1971" s="88" t="n"/>
      <c r="E1971" s="88" t="n"/>
      <c r="F1971" s="89" t="n"/>
      <c r="G1971" s="88" t="n"/>
      <c r="H1971" s="88" t="n"/>
      <c r="I1971" s="88" t="n"/>
      <c r="J1971" s="89" t="n"/>
      <c r="K1971" s="88" t="n"/>
      <c r="L1971" s="88" t="n"/>
      <c r="M1971" s="88" t="n"/>
      <c r="N1971" s="89" t="n"/>
      <c r="O1971" s="88" t="n"/>
      <c r="P1971" s="88" t="n"/>
      <c r="Q1971" s="88" t="n"/>
      <c r="R1971" s="89" t="n"/>
      <c r="S1971" s="88" t="n"/>
      <c r="T1971" s="88" t="n"/>
      <c r="U1971" s="88" t="n"/>
      <c r="V1971" s="89" t="n"/>
      <c r="W1971" s="88" t="n"/>
      <c r="X1971" s="89" t="n"/>
      <c r="Y1971" s="88" t="n"/>
      <c r="Z1971" s="89" t="n"/>
      <c r="AB1971" s="30">
        <f>IF($B1971="","",(COUNTIF(C1971:E1971,"?*")&lt;N(INDEX(Setup!$L$6:$L$23,14)))+(COUNTIF(G1971:I1971,"?*")&lt;N(INDEX(Setup!$L$6:$L$23,14)))+(COUNTIF(K1971:M1971,"?*")&lt;N(INDEX(Setup!$L$6:$L$23,14)))+(COUNTIF(O1971:Q1971,"?*")&lt;N(INDEX(Setup!$L$6:$L$23,14)))+(COUNTIF(S1971:U1971,"?*")&lt;N(INDEX(Setup!$L$6:$L$23,14)))+((W1971="")*(INDEX(Setup!$M$6:$M$23,14)="Y"))+((Y1971="")*(INDEX(Setup!$M$6:$M$23,14)="Y")))</f>
        <v/>
      </c>
      <c r="AC1971" s="91">
        <f>IF($B1971="","",IF(AB1971=0,"✓ covered","⚠ "&amp;AB1971&amp;IF(AB1971=1," gap"," gaps")))</f>
        <v/>
      </c>
    </row>
    <row r="1972" ht="17" customHeight="1">
      <c r="A1972" t="n">
        <v>40</v>
      </c>
      <c r="B1972" s="24">
        <f>IF(Setup!$K$20="","",Setup!$K$20)</f>
        <v/>
      </c>
      <c r="C1972" s="88" t="n"/>
      <c r="D1972" s="88" t="n"/>
      <c r="E1972" s="88" t="n"/>
      <c r="F1972" s="89" t="n"/>
      <c r="G1972" s="88" t="n"/>
      <c r="H1972" s="88" t="n"/>
      <c r="I1972" s="88" t="n"/>
      <c r="J1972" s="89" t="n"/>
      <c r="K1972" s="88" t="n"/>
      <c r="L1972" s="88" t="n"/>
      <c r="M1972" s="88" t="n"/>
      <c r="N1972" s="89" t="n"/>
      <c r="O1972" s="88" t="n"/>
      <c r="P1972" s="88" t="n"/>
      <c r="Q1972" s="88" t="n"/>
      <c r="R1972" s="89" t="n"/>
      <c r="S1972" s="88" t="n"/>
      <c r="T1972" s="88" t="n"/>
      <c r="U1972" s="88" t="n"/>
      <c r="V1972" s="89" t="n"/>
      <c r="W1972" s="88" t="n"/>
      <c r="X1972" s="89" t="n"/>
      <c r="Y1972" s="88" t="n"/>
      <c r="Z1972" s="89" t="n"/>
      <c r="AB1972" s="25">
        <f>IF($B1972="","",(COUNTIF(C1972:E1972,"?*")&lt;N(INDEX(Setup!$L$6:$L$23,15)))+(COUNTIF(G1972:I1972,"?*")&lt;N(INDEX(Setup!$L$6:$L$23,15)))+(COUNTIF(K1972:M1972,"?*")&lt;N(INDEX(Setup!$L$6:$L$23,15)))+(COUNTIF(O1972:Q1972,"?*")&lt;N(INDEX(Setup!$L$6:$L$23,15)))+(COUNTIF(S1972:U1972,"?*")&lt;N(INDEX(Setup!$L$6:$L$23,15)))+((W1972="")*(INDEX(Setup!$M$6:$M$23,15)="Y"))+((Y1972="")*(INDEX(Setup!$M$6:$M$23,15)="Y")))</f>
        <v/>
      </c>
      <c r="AC1972" s="90">
        <f>IF($B1972="","",IF(AB1972=0,"✓ covered","⚠ "&amp;AB1972&amp;IF(AB1972=1," gap"," gaps")))</f>
        <v/>
      </c>
    </row>
    <row r="1973" ht="17" customHeight="1">
      <c r="A1973" t="n">
        <v>40</v>
      </c>
      <c r="B1973" s="29">
        <f>IF(Setup!$K$21="","",Setup!$K$21)</f>
        <v/>
      </c>
      <c r="C1973" s="88" t="n"/>
      <c r="D1973" s="88" t="n"/>
      <c r="E1973" s="88" t="n"/>
      <c r="F1973" s="89" t="n"/>
      <c r="G1973" s="88" t="n"/>
      <c r="H1973" s="88" t="n"/>
      <c r="I1973" s="88" t="n"/>
      <c r="J1973" s="89" t="n"/>
      <c r="K1973" s="88" t="n"/>
      <c r="L1973" s="88" t="n"/>
      <c r="M1973" s="88" t="n"/>
      <c r="N1973" s="89" t="n"/>
      <c r="O1973" s="88" t="n"/>
      <c r="P1973" s="88" t="n"/>
      <c r="Q1973" s="88" t="n"/>
      <c r="R1973" s="89" t="n"/>
      <c r="S1973" s="88" t="n"/>
      <c r="T1973" s="88" t="n"/>
      <c r="U1973" s="88" t="n"/>
      <c r="V1973" s="89" t="n"/>
      <c r="W1973" s="88" t="n"/>
      <c r="X1973" s="89" t="n"/>
      <c r="Y1973" s="88" t="n"/>
      <c r="Z1973" s="89" t="n"/>
      <c r="AB1973" s="30">
        <f>IF($B1973="","",(COUNTIF(C1973:E1973,"?*")&lt;N(INDEX(Setup!$L$6:$L$23,16)))+(COUNTIF(G1973:I1973,"?*")&lt;N(INDEX(Setup!$L$6:$L$23,16)))+(COUNTIF(K1973:M1973,"?*")&lt;N(INDEX(Setup!$L$6:$L$23,16)))+(COUNTIF(O1973:Q1973,"?*")&lt;N(INDEX(Setup!$L$6:$L$23,16)))+(COUNTIF(S1973:U1973,"?*")&lt;N(INDEX(Setup!$L$6:$L$23,16)))+((W1973="")*(INDEX(Setup!$M$6:$M$23,16)="Y"))+((Y1973="")*(INDEX(Setup!$M$6:$M$23,16)="Y")))</f>
        <v/>
      </c>
      <c r="AC1973" s="91">
        <f>IF($B1973="","",IF(AB1973=0,"✓ covered","⚠ "&amp;AB1973&amp;IF(AB1973=1," gap"," gaps")))</f>
        <v/>
      </c>
    </row>
    <row r="1974" ht="17" customHeight="1">
      <c r="A1974" t="n">
        <v>40</v>
      </c>
      <c r="B1974" s="24">
        <f>IF(Setup!$K$22="","",Setup!$K$22)</f>
        <v/>
      </c>
      <c r="C1974" s="88" t="n"/>
      <c r="D1974" s="88" t="n"/>
      <c r="E1974" s="88" t="n"/>
      <c r="F1974" s="89" t="n"/>
      <c r="G1974" s="88" t="n"/>
      <c r="H1974" s="88" t="n"/>
      <c r="I1974" s="88" t="n"/>
      <c r="J1974" s="89" t="n"/>
      <c r="K1974" s="88" t="n"/>
      <c r="L1974" s="88" t="n"/>
      <c r="M1974" s="88" t="n"/>
      <c r="N1974" s="89" t="n"/>
      <c r="O1974" s="88" t="n"/>
      <c r="P1974" s="88" t="n"/>
      <c r="Q1974" s="88" t="n"/>
      <c r="R1974" s="89" t="n"/>
      <c r="S1974" s="88" t="n"/>
      <c r="T1974" s="88" t="n"/>
      <c r="U1974" s="88" t="n"/>
      <c r="V1974" s="89" t="n"/>
      <c r="W1974" s="88" t="n"/>
      <c r="X1974" s="89" t="n"/>
      <c r="Y1974" s="88" t="n"/>
      <c r="Z1974" s="89" t="n"/>
      <c r="AB1974" s="25">
        <f>IF($B1974="","",(COUNTIF(C1974:E1974,"?*")&lt;N(INDEX(Setup!$L$6:$L$23,17)))+(COUNTIF(G1974:I1974,"?*")&lt;N(INDEX(Setup!$L$6:$L$23,17)))+(COUNTIF(K1974:M1974,"?*")&lt;N(INDEX(Setup!$L$6:$L$23,17)))+(COUNTIF(O1974:Q1974,"?*")&lt;N(INDEX(Setup!$L$6:$L$23,17)))+(COUNTIF(S1974:U1974,"?*")&lt;N(INDEX(Setup!$L$6:$L$23,17)))+((W1974="")*(INDEX(Setup!$M$6:$M$23,17)="Y"))+((Y1974="")*(INDEX(Setup!$M$6:$M$23,17)="Y")))</f>
        <v/>
      </c>
      <c r="AC1974" s="90">
        <f>IF($B1974="","",IF(AB1974=0,"✓ covered","⚠ "&amp;AB1974&amp;IF(AB1974=1," gap"," gaps")))</f>
        <v/>
      </c>
    </row>
    <row r="1975" ht="17" customHeight="1">
      <c r="A1975" t="n">
        <v>40</v>
      </c>
      <c r="B1975" s="29">
        <f>IF(Setup!$K$23="","",Setup!$K$23)</f>
        <v/>
      </c>
      <c r="C1975" s="88" t="n"/>
      <c r="D1975" s="88" t="n"/>
      <c r="E1975" s="88" t="n"/>
      <c r="F1975" s="89" t="n"/>
      <c r="G1975" s="88" t="n"/>
      <c r="H1975" s="88" t="n"/>
      <c r="I1975" s="88" t="n"/>
      <c r="J1975" s="89" t="n"/>
      <c r="K1975" s="88" t="n"/>
      <c r="L1975" s="88" t="n"/>
      <c r="M1975" s="88" t="n"/>
      <c r="N1975" s="89" t="n"/>
      <c r="O1975" s="88" t="n"/>
      <c r="P1975" s="88" t="n"/>
      <c r="Q1975" s="88" t="n"/>
      <c r="R1975" s="89" t="n"/>
      <c r="S1975" s="88" t="n"/>
      <c r="T1975" s="88" t="n"/>
      <c r="U1975" s="88" t="n"/>
      <c r="V1975" s="89" t="n"/>
      <c r="W1975" s="88" t="n"/>
      <c r="X1975" s="89" t="n"/>
      <c r="Y1975" s="88" t="n"/>
      <c r="Z1975" s="89" t="n"/>
      <c r="AB1975" s="30">
        <f>IF($B1975="","",(COUNTIF(C1975:E1975,"?*")&lt;N(INDEX(Setup!$L$6:$L$23,18)))+(COUNTIF(G1975:I1975,"?*")&lt;N(INDEX(Setup!$L$6:$L$23,18)))+(COUNTIF(K1975:M1975,"?*")&lt;N(INDEX(Setup!$L$6:$L$23,18)))+(COUNTIF(O1975:Q1975,"?*")&lt;N(INDEX(Setup!$L$6:$L$23,18)))+(COUNTIF(S1975:U1975,"?*")&lt;N(INDEX(Setup!$L$6:$L$23,18)))+((W1975="")*(INDEX(Setup!$M$6:$M$23,18)="Y"))+((Y1975="")*(INDEX(Setup!$M$6:$M$23,18)="Y")))</f>
        <v/>
      </c>
      <c r="AC1975" s="91">
        <f>IF($B1975="","",IF(AB1975=0,"✓ covered","⚠ "&amp;AB1975&amp;IF(AB1975=1," gap"," gaps")))</f>
        <v/>
      </c>
    </row>
    <row r="1976" ht="18" customHeight="1">
      <c r="A1976" t="n">
        <v>40</v>
      </c>
      <c r="B1976" s="78" t="inlineStr">
        <is>
          <t>TEAM AVAILABILITY</t>
        </is>
      </c>
      <c r="C1976" s="92" t="inlineStr">
        <is>
          <t>Mon</t>
        </is>
      </c>
      <c r="D1976" s="93" t="n"/>
      <c r="E1976" s="93" t="n"/>
      <c r="F1976" s="94" t="n"/>
      <c r="G1976" s="92" t="inlineStr">
        <is>
          <t>Tue</t>
        </is>
      </c>
      <c r="H1976" s="93" t="n"/>
      <c r="I1976" s="93" t="n"/>
      <c r="J1976" s="94" t="n"/>
      <c r="K1976" s="92" t="inlineStr">
        <is>
          <t>Wed</t>
        </is>
      </c>
      <c r="L1976" s="93" t="n"/>
      <c r="M1976" s="93" t="n"/>
      <c r="N1976" s="94" t="n"/>
      <c r="O1976" s="92" t="inlineStr">
        <is>
          <t>Thu</t>
        </is>
      </c>
      <c r="P1976" s="93" t="n"/>
      <c r="Q1976" s="93" t="n"/>
      <c r="R1976" s="94" t="n"/>
      <c r="S1976" s="92" t="inlineStr">
        <is>
          <t>Fri</t>
        </is>
      </c>
      <c r="T1976" s="93" t="n"/>
      <c r="U1976" s="93" t="n"/>
      <c r="V1976" s="94" t="n"/>
      <c r="W1976" s="95" t="inlineStr">
        <is>
          <t>Sat</t>
        </is>
      </c>
      <c r="X1976" s="96" t="n"/>
      <c r="Y1976" s="95" t="inlineStr">
        <is>
          <t>Sun</t>
        </is>
      </c>
      <c r="Z1976" s="96" t="n"/>
      <c r="AB1976" s="97" t="inlineStr">
        <is>
          <t>Days rostered</t>
        </is>
      </c>
      <c r="AC1976" s="97" t="inlineStr">
        <is>
          <t>Conflicts</t>
        </is>
      </c>
    </row>
    <row r="1977" ht="15" customHeight="1">
      <c r="A1977" t="n">
        <v>40</v>
      </c>
      <c r="B1977" s="35">
        <f>IF(Setup!$B$6="","",Setup!$B$6)</f>
        <v/>
      </c>
      <c r="C1977" s="98" t="n"/>
      <c r="D1977" s="99" t="n"/>
      <c r="E1977" s="99" t="n"/>
      <c r="F1977" s="100" t="n"/>
      <c r="G1977" s="98" t="n"/>
      <c r="H1977" s="99" t="n"/>
      <c r="I1977" s="99" t="n"/>
      <c r="J1977" s="100" t="n"/>
      <c r="K1977" s="98" t="n"/>
      <c r="L1977" s="99" t="n"/>
      <c r="M1977" s="99" t="n"/>
      <c r="N1977" s="100" t="n"/>
      <c r="O1977" s="98" t="n"/>
      <c r="P1977" s="99" t="n"/>
      <c r="Q1977" s="99" t="n"/>
      <c r="R1977" s="100" t="n"/>
      <c r="S1977" s="98" t="n"/>
      <c r="T1977" s="99" t="n"/>
      <c r="U1977" s="99" t="n"/>
      <c r="V1977" s="100" t="n"/>
      <c r="W1977" s="98" t="n"/>
      <c r="X1977" s="100" t="n"/>
      <c r="Y1977" s="98" t="n"/>
      <c r="Z1977" s="100" t="n"/>
      <c r="AB1977" s="101">
        <f>IF($B1977="","",(COUNTIF(C1958:E1975,$B1977)+COUNTIF(C1958:E1975,$B1977&amp;" ~*")&gt;0)+(COUNTIF(G1958:I1975,$B1977)+COUNTIF(G1958:I1975,$B1977&amp;" ~*")&gt;0)+(COUNTIF(K1958:M1975,$B1977)+COUNTIF(K1958:M1975,$B1977&amp;" ~*")&gt;0)+(COUNTIF(O1958:Q1975,$B1977)+COUNTIF(O1958:Q1975,$B1977&amp;" ~*")&gt;0)+(COUNTIF(S1958:U1975,$B1977)+COUNTIF(S1958:U1975,$B1977&amp;" ~*")&gt;0)+(COUNTIF(W1958:W1975,$B1977)+COUNTIF(W1958:W1975,$B1977&amp;" ~*")&gt;0)+(COUNTIF(Y1958:Y1975,$B1977)+COUNTIF(Y1958:Y1975,$B1977&amp;" ~*")&gt;0))</f>
        <v/>
      </c>
      <c r="AC1977" s="36">
        <f>IF($B1977="","",(IFERROR(INDEX(Setup!$G$33:$G$40,MATCH(C1977,Setup!$B$33:$B$40,0)),0)=1)*(COUNTIF(C1958:E1975,$B1977)+COUNTIF(C1958:E1975,$B1977&amp;" ~*")&gt;0)+(IFERROR(INDEX(Setup!$G$33:$G$40,MATCH(G1977,Setup!$B$33:$B$40,0)),0)=1)*(COUNTIF(G1958:I1975,$B1977)+COUNTIF(G1958:I1975,$B1977&amp;" ~*")&gt;0)+(IFERROR(INDEX(Setup!$G$33:$G$40,MATCH(K1977,Setup!$B$33:$B$40,0)),0)=1)*(COUNTIF(K1958:M1975,$B1977)+COUNTIF(K1958:M1975,$B1977&amp;" ~*")&gt;0)+(IFERROR(INDEX(Setup!$G$33:$G$40,MATCH(O1977,Setup!$B$33:$B$40,0)),0)=1)*(COUNTIF(O1958:Q1975,$B1977)+COUNTIF(O1958:Q1975,$B1977&amp;" ~*")&gt;0)+(IFERROR(INDEX(Setup!$G$33:$G$40,MATCH(S1977,Setup!$B$33:$B$40,0)),0)=1)*(COUNTIF(S1958:U1975,$B1977)+COUNTIF(S1958:U1975,$B1977&amp;" ~*")&gt;0)+(IFERROR(INDEX(Setup!$G$33:$G$40,MATCH(W1977,Setup!$B$33:$B$40,0)),0)=1)*(COUNTIF(W1958:W1975,$B1977)+COUNTIF(W1958:W1975,$B1977&amp;" ~*")&gt;0)+(IFERROR(INDEX(Setup!$G$33:$G$40,MATCH(Y1977,Setup!$B$33:$B$40,0)),0)=1)*(COUNTIF(Y1958:Y1975,$B1977)+COUNTIF(Y1958:Y1975,$B1977&amp;" ~*")&gt;0))</f>
        <v/>
      </c>
    </row>
    <row r="1978" ht="15" customHeight="1">
      <c r="A1978" t="n">
        <v>40</v>
      </c>
      <c r="B1978" s="37">
        <f>IF(Setup!$B$7="","",Setup!$B$7)</f>
        <v/>
      </c>
      <c r="C1978" s="102" t="n"/>
      <c r="D1978" s="103" t="n"/>
      <c r="E1978" s="103" t="n"/>
      <c r="F1978" s="104" t="n"/>
      <c r="G1978" s="102" t="n"/>
      <c r="H1978" s="103" t="n"/>
      <c r="I1978" s="103" t="n"/>
      <c r="J1978" s="104" t="n"/>
      <c r="K1978" s="102" t="n"/>
      <c r="L1978" s="103" t="n"/>
      <c r="M1978" s="103" t="n"/>
      <c r="N1978" s="104" t="n"/>
      <c r="O1978" s="102" t="n"/>
      <c r="P1978" s="103" t="n"/>
      <c r="Q1978" s="103" t="n"/>
      <c r="R1978" s="104" t="n"/>
      <c r="S1978" s="102" t="n"/>
      <c r="T1978" s="103" t="n"/>
      <c r="U1978" s="103" t="n"/>
      <c r="V1978" s="104" t="n"/>
      <c r="W1978" s="102" t="n"/>
      <c r="X1978" s="104" t="n"/>
      <c r="Y1978" s="102" t="n"/>
      <c r="Z1978" s="104" t="n"/>
      <c r="AB1978" s="105">
        <f>IF($B1978="","",(COUNTIF(C1958:E1975,$B1978)+COUNTIF(C1958:E1975,$B1978&amp;" ~*")&gt;0)+(COUNTIF(G1958:I1975,$B1978)+COUNTIF(G1958:I1975,$B1978&amp;" ~*")&gt;0)+(COUNTIF(K1958:M1975,$B1978)+COUNTIF(K1958:M1975,$B1978&amp;" ~*")&gt;0)+(COUNTIF(O1958:Q1975,$B1978)+COUNTIF(O1958:Q1975,$B1978&amp;" ~*")&gt;0)+(COUNTIF(S1958:U1975,$B1978)+COUNTIF(S1958:U1975,$B1978&amp;" ~*")&gt;0)+(COUNTIF(W1958:W1975,$B1978)+COUNTIF(W1958:W1975,$B1978&amp;" ~*")&gt;0)+(COUNTIF(Y1958:Y1975,$B1978)+COUNTIF(Y1958:Y1975,$B1978&amp;" ~*")&gt;0))</f>
        <v/>
      </c>
      <c r="AC1978" s="38">
        <f>IF($B1978="","",(IFERROR(INDEX(Setup!$G$33:$G$40,MATCH(C1978,Setup!$B$33:$B$40,0)),0)=1)*(COUNTIF(C1958:E1975,$B1978)+COUNTIF(C1958:E1975,$B1978&amp;" ~*")&gt;0)+(IFERROR(INDEX(Setup!$G$33:$G$40,MATCH(G1978,Setup!$B$33:$B$40,0)),0)=1)*(COUNTIF(G1958:I1975,$B1978)+COUNTIF(G1958:I1975,$B1978&amp;" ~*")&gt;0)+(IFERROR(INDEX(Setup!$G$33:$G$40,MATCH(K1978,Setup!$B$33:$B$40,0)),0)=1)*(COUNTIF(K1958:M1975,$B1978)+COUNTIF(K1958:M1975,$B1978&amp;" ~*")&gt;0)+(IFERROR(INDEX(Setup!$G$33:$G$40,MATCH(O1978,Setup!$B$33:$B$40,0)),0)=1)*(COUNTIF(O1958:Q1975,$B1978)+COUNTIF(O1958:Q1975,$B1978&amp;" ~*")&gt;0)+(IFERROR(INDEX(Setup!$G$33:$G$40,MATCH(S1978,Setup!$B$33:$B$40,0)),0)=1)*(COUNTIF(S1958:U1975,$B1978)+COUNTIF(S1958:U1975,$B1978&amp;" ~*")&gt;0)+(IFERROR(INDEX(Setup!$G$33:$G$40,MATCH(W1978,Setup!$B$33:$B$40,0)),0)=1)*(COUNTIF(W1958:W1975,$B1978)+COUNTIF(W1958:W1975,$B1978&amp;" ~*")&gt;0)+(IFERROR(INDEX(Setup!$G$33:$G$40,MATCH(Y1978,Setup!$B$33:$B$40,0)),0)=1)*(COUNTIF(Y1958:Y1975,$B1978)+COUNTIF(Y1958:Y1975,$B1978&amp;" ~*")&gt;0))</f>
        <v/>
      </c>
    </row>
    <row r="1979" ht="15" customHeight="1">
      <c r="A1979" t="n">
        <v>40</v>
      </c>
      <c r="B1979" s="35">
        <f>IF(Setup!$B$8="","",Setup!$B$8)</f>
        <v/>
      </c>
      <c r="C1979" s="98" t="n"/>
      <c r="D1979" s="99" t="n"/>
      <c r="E1979" s="99" t="n"/>
      <c r="F1979" s="100" t="n"/>
      <c r="G1979" s="98" t="n"/>
      <c r="H1979" s="99" t="n"/>
      <c r="I1979" s="99" t="n"/>
      <c r="J1979" s="100" t="n"/>
      <c r="K1979" s="98" t="n"/>
      <c r="L1979" s="99" t="n"/>
      <c r="M1979" s="99" t="n"/>
      <c r="N1979" s="100" t="n"/>
      <c r="O1979" s="98" t="n"/>
      <c r="P1979" s="99" t="n"/>
      <c r="Q1979" s="99" t="n"/>
      <c r="R1979" s="100" t="n"/>
      <c r="S1979" s="98" t="n"/>
      <c r="T1979" s="99" t="n"/>
      <c r="U1979" s="99" t="n"/>
      <c r="V1979" s="100" t="n"/>
      <c r="W1979" s="98" t="n"/>
      <c r="X1979" s="100" t="n"/>
      <c r="Y1979" s="98" t="n"/>
      <c r="Z1979" s="100" t="n"/>
      <c r="AB1979" s="101">
        <f>IF($B1979="","",(COUNTIF(C1958:E1975,$B1979)+COUNTIF(C1958:E1975,$B1979&amp;" ~*")&gt;0)+(COUNTIF(G1958:I1975,$B1979)+COUNTIF(G1958:I1975,$B1979&amp;" ~*")&gt;0)+(COUNTIF(K1958:M1975,$B1979)+COUNTIF(K1958:M1975,$B1979&amp;" ~*")&gt;0)+(COUNTIF(O1958:Q1975,$B1979)+COUNTIF(O1958:Q1975,$B1979&amp;" ~*")&gt;0)+(COUNTIF(S1958:U1975,$B1979)+COUNTIF(S1958:U1975,$B1979&amp;" ~*")&gt;0)+(COUNTIF(W1958:W1975,$B1979)+COUNTIF(W1958:W1975,$B1979&amp;" ~*")&gt;0)+(COUNTIF(Y1958:Y1975,$B1979)+COUNTIF(Y1958:Y1975,$B1979&amp;" ~*")&gt;0))</f>
        <v/>
      </c>
      <c r="AC1979" s="36">
        <f>IF($B1979="","",(IFERROR(INDEX(Setup!$G$33:$G$40,MATCH(C1979,Setup!$B$33:$B$40,0)),0)=1)*(COUNTIF(C1958:E1975,$B1979)+COUNTIF(C1958:E1975,$B1979&amp;" ~*")&gt;0)+(IFERROR(INDEX(Setup!$G$33:$G$40,MATCH(G1979,Setup!$B$33:$B$40,0)),0)=1)*(COUNTIF(G1958:I1975,$B1979)+COUNTIF(G1958:I1975,$B1979&amp;" ~*")&gt;0)+(IFERROR(INDEX(Setup!$G$33:$G$40,MATCH(K1979,Setup!$B$33:$B$40,0)),0)=1)*(COUNTIF(K1958:M1975,$B1979)+COUNTIF(K1958:M1975,$B1979&amp;" ~*")&gt;0)+(IFERROR(INDEX(Setup!$G$33:$G$40,MATCH(O1979,Setup!$B$33:$B$40,0)),0)=1)*(COUNTIF(O1958:Q1975,$B1979)+COUNTIF(O1958:Q1975,$B1979&amp;" ~*")&gt;0)+(IFERROR(INDEX(Setup!$G$33:$G$40,MATCH(S1979,Setup!$B$33:$B$40,0)),0)=1)*(COUNTIF(S1958:U1975,$B1979)+COUNTIF(S1958:U1975,$B1979&amp;" ~*")&gt;0)+(IFERROR(INDEX(Setup!$G$33:$G$40,MATCH(W1979,Setup!$B$33:$B$40,0)),0)=1)*(COUNTIF(W1958:W1975,$B1979)+COUNTIF(W1958:W1975,$B1979&amp;" ~*")&gt;0)+(IFERROR(INDEX(Setup!$G$33:$G$40,MATCH(Y1979,Setup!$B$33:$B$40,0)),0)=1)*(COUNTIF(Y1958:Y1975,$B1979)+COUNTIF(Y1958:Y1975,$B1979&amp;" ~*")&gt;0))</f>
        <v/>
      </c>
    </row>
    <row r="1980" ht="15" customHeight="1">
      <c r="A1980" t="n">
        <v>40</v>
      </c>
      <c r="B1980" s="37">
        <f>IF(Setup!$B$9="","",Setup!$B$9)</f>
        <v/>
      </c>
      <c r="C1980" s="102" t="n"/>
      <c r="D1980" s="103" t="n"/>
      <c r="E1980" s="103" t="n"/>
      <c r="F1980" s="104" t="n"/>
      <c r="G1980" s="102" t="n"/>
      <c r="H1980" s="103" t="n"/>
      <c r="I1980" s="103" t="n"/>
      <c r="J1980" s="104" t="n"/>
      <c r="K1980" s="102" t="n"/>
      <c r="L1980" s="103" t="n"/>
      <c r="M1980" s="103" t="n"/>
      <c r="N1980" s="104" t="n"/>
      <c r="O1980" s="102" t="n"/>
      <c r="P1980" s="103" t="n"/>
      <c r="Q1980" s="103" t="n"/>
      <c r="R1980" s="104" t="n"/>
      <c r="S1980" s="102" t="n"/>
      <c r="T1980" s="103" t="n"/>
      <c r="U1980" s="103" t="n"/>
      <c r="V1980" s="104" t="n"/>
      <c r="W1980" s="102" t="n"/>
      <c r="X1980" s="104" t="n"/>
      <c r="Y1980" s="102" t="n"/>
      <c r="Z1980" s="104" t="n"/>
      <c r="AB1980" s="105">
        <f>IF($B1980="","",(COUNTIF(C1958:E1975,$B1980)+COUNTIF(C1958:E1975,$B1980&amp;" ~*")&gt;0)+(COUNTIF(G1958:I1975,$B1980)+COUNTIF(G1958:I1975,$B1980&amp;" ~*")&gt;0)+(COUNTIF(K1958:M1975,$B1980)+COUNTIF(K1958:M1975,$B1980&amp;" ~*")&gt;0)+(COUNTIF(O1958:Q1975,$B1980)+COUNTIF(O1958:Q1975,$B1980&amp;" ~*")&gt;0)+(COUNTIF(S1958:U1975,$B1980)+COUNTIF(S1958:U1975,$B1980&amp;" ~*")&gt;0)+(COUNTIF(W1958:W1975,$B1980)+COUNTIF(W1958:W1975,$B1980&amp;" ~*")&gt;0)+(COUNTIF(Y1958:Y1975,$B1980)+COUNTIF(Y1958:Y1975,$B1980&amp;" ~*")&gt;0))</f>
        <v/>
      </c>
      <c r="AC1980" s="38">
        <f>IF($B1980="","",(IFERROR(INDEX(Setup!$G$33:$G$40,MATCH(C1980,Setup!$B$33:$B$40,0)),0)=1)*(COUNTIF(C1958:E1975,$B1980)+COUNTIF(C1958:E1975,$B1980&amp;" ~*")&gt;0)+(IFERROR(INDEX(Setup!$G$33:$G$40,MATCH(G1980,Setup!$B$33:$B$40,0)),0)=1)*(COUNTIF(G1958:I1975,$B1980)+COUNTIF(G1958:I1975,$B1980&amp;" ~*")&gt;0)+(IFERROR(INDEX(Setup!$G$33:$G$40,MATCH(K1980,Setup!$B$33:$B$40,0)),0)=1)*(COUNTIF(K1958:M1975,$B1980)+COUNTIF(K1958:M1975,$B1980&amp;" ~*")&gt;0)+(IFERROR(INDEX(Setup!$G$33:$G$40,MATCH(O1980,Setup!$B$33:$B$40,0)),0)=1)*(COUNTIF(O1958:Q1975,$B1980)+COUNTIF(O1958:Q1975,$B1980&amp;" ~*")&gt;0)+(IFERROR(INDEX(Setup!$G$33:$G$40,MATCH(S1980,Setup!$B$33:$B$40,0)),0)=1)*(COUNTIF(S1958:U1975,$B1980)+COUNTIF(S1958:U1975,$B1980&amp;" ~*")&gt;0)+(IFERROR(INDEX(Setup!$G$33:$G$40,MATCH(W1980,Setup!$B$33:$B$40,0)),0)=1)*(COUNTIF(W1958:W1975,$B1980)+COUNTIF(W1958:W1975,$B1980&amp;" ~*")&gt;0)+(IFERROR(INDEX(Setup!$G$33:$G$40,MATCH(Y1980,Setup!$B$33:$B$40,0)),0)=1)*(COUNTIF(Y1958:Y1975,$B1980)+COUNTIF(Y1958:Y1975,$B1980&amp;" ~*")&gt;0))</f>
        <v/>
      </c>
    </row>
    <row r="1981" ht="15" customHeight="1">
      <c r="A1981" t="n">
        <v>40</v>
      </c>
      <c r="B1981" s="35">
        <f>IF(Setup!$B$10="","",Setup!$B$10)</f>
        <v/>
      </c>
      <c r="C1981" s="98" t="n"/>
      <c r="D1981" s="99" t="n"/>
      <c r="E1981" s="99" t="n"/>
      <c r="F1981" s="100" t="n"/>
      <c r="G1981" s="98" t="n"/>
      <c r="H1981" s="99" t="n"/>
      <c r="I1981" s="99" t="n"/>
      <c r="J1981" s="100" t="n"/>
      <c r="K1981" s="98" t="n"/>
      <c r="L1981" s="99" t="n"/>
      <c r="M1981" s="99" t="n"/>
      <c r="N1981" s="100" t="n"/>
      <c r="O1981" s="98" t="n"/>
      <c r="P1981" s="99" t="n"/>
      <c r="Q1981" s="99" t="n"/>
      <c r="R1981" s="100" t="n"/>
      <c r="S1981" s="98" t="n"/>
      <c r="T1981" s="99" t="n"/>
      <c r="U1981" s="99" t="n"/>
      <c r="V1981" s="100" t="n"/>
      <c r="W1981" s="98" t="n"/>
      <c r="X1981" s="100" t="n"/>
      <c r="Y1981" s="98" t="n"/>
      <c r="Z1981" s="100" t="n"/>
      <c r="AB1981" s="101">
        <f>IF($B1981="","",(COUNTIF(C1958:E1975,$B1981)+COUNTIF(C1958:E1975,$B1981&amp;" ~*")&gt;0)+(COUNTIF(G1958:I1975,$B1981)+COUNTIF(G1958:I1975,$B1981&amp;" ~*")&gt;0)+(COUNTIF(K1958:M1975,$B1981)+COUNTIF(K1958:M1975,$B1981&amp;" ~*")&gt;0)+(COUNTIF(O1958:Q1975,$B1981)+COUNTIF(O1958:Q1975,$B1981&amp;" ~*")&gt;0)+(COUNTIF(S1958:U1975,$B1981)+COUNTIF(S1958:U1975,$B1981&amp;" ~*")&gt;0)+(COUNTIF(W1958:W1975,$B1981)+COUNTIF(W1958:W1975,$B1981&amp;" ~*")&gt;0)+(COUNTIF(Y1958:Y1975,$B1981)+COUNTIF(Y1958:Y1975,$B1981&amp;" ~*")&gt;0))</f>
        <v/>
      </c>
      <c r="AC1981" s="36">
        <f>IF($B1981="","",(IFERROR(INDEX(Setup!$G$33:$G$40,MATCH(C1981,Setup!$B$33:$B$40,0)),0)=1)*(COUNTIF(C1958:E1975,$B1981)+COUNTIF(C1958:E1975,$B1981&amp;" ~*")&gt;0)+(IFERROR(INDEX(Setup!$G$33:$G$40,MATCH(G1981,Setup!$B$33:$B$40,0)),0)=1)*(COUNTIF(G1958:I1975,$B1981)+COUNTIF(G1958:I1975,$B1981&amp;" ~*")&gt;0)+(IFERROR(INDEX(Setup!$G$33:$G$40,MATCH(K1981,Setup!$B$33:$B$40,0)),0)=1)*(COUNTIF(K1958:M1975,$B1981)+COUNTIF(K1958:M1975,$B1981&amp;" ~*")&gt;0)+(IFERROR(INDEX(Setup!$G$33:$G$40,MATCH(O1981,Setup!$B$33:$B$40,0)),0)=1)*(COUNTIF(O1958:Q1975,$B1981)+COUNTIF(O1958:Q1975,$B1981&amp;" ~*")&gt;0)+(IFERROR(INDEX(Setup!$G$33:$G$40,MATCH(S1981,Setup!$B$33:$B$40,0)),0)=1)*(COUNTIF(S1958:U1975,$B1981)+COUNTIF(S1958:U1975,$B1981&amp;" ~*")&gt;0)+(IFERROR(INDEX(Setup!$G$33:$G$40,MATCH(W1981,Setup!$B$33:$B$40,0)),0)=1)*(COUNTIF(W1958:W1975,$B1981)+COUNTIF(W1958:W1975,$B1981&amp;" ~*")&gt;0)+(IFERROR(INDEX(Setup!$G$33:$G$40,MATCH(Y1981,Setup!$B$33:$B$40,0)),0)=1)*(COUNTIF(Y1958:Y1975,$B1981)+COUNTIF(Y1958:Y1975,$B1981&amp;" ~*")&gt;0))</f>
        <v/>
      </c>
    </row>
    <row r="1982" ht="15" customHeight="1">
      <c r="A1982" t="n">
        <v>40</v>
      </c>
      <c r="B1982" s="37">
        <f>IF(Setup!$B$11="","",Setup!$B$11)</f>
        <v/>
      </c>
      <c r="C1982" s="102" t="n"/>
      <c r="D1982" s="103" t="n"/>
      <c r="E1982" s="103" t="n"/>
      <c r="F1982" s="104" t="n"/>
      <c r="G1982" s="102" t="n"/>
      <c r="H1982" s="103" t="n"/>
      <c r="I1982" s="103" t="n"/>
      <c r="J1982" s="104" t="n"/>
      <c r="K1982" s="102" t="n"/>
      <c r="L1982" s="103" t="n"/>
      <c r="M1982" s="103" t="n"/>
      <c r="N1982" s="104" t="n"/>
      <c r="O1982" s="102" t="n"/>
      <c r="P1982" s="103" t="n"/>
      <c r="Q1982" s="103" t="n"/>
      <c r="R1982" s="104" t="n"/>
      <c r="S1982" s="102" t="n"/>
      <c r="T1982" s="103" t="n"/>
      <c r="U1982" s="103" t="n"/>
      <c r="V1982" s="104" t="n"/>
      <c r="W1982" s="102" t="n"/>
      <c r="X1982" s="104" t="n"/>
      <c r="Y1982" s="102" t="n"/>
      <c r="Z1982" s="104" t="n"/>
      <c r="AB1982" s="105">
        <f>IF($B1982="","",(COUNTIF(C1958:E1975,$B1982)+COUNTIF(C1958:E1975,$B1982&amp;" ~*")&gt;0)+(COUNTIF(G1958:I1975,$B1982)+COUNTIF(G1958:I1975,$B1982&amp;" ~*")&gt;0)+(COUNTIF(K1958:M1975,$B1982)+COUNTIF(K1958:M1975,$B1982&amp;" ~*")&gt;0)+(COUNTIF(O1958:Q1975,$B1982)+COUNTIF(O1958:Q1975,$B1982&amp;" ~*")&gt;0)+(COUNTIF(S1958:U1975,$B1982)+COUNTIF(S1958:U1975,$B1982&amp;" ~*")&gt;0)+(COUNTIF(W1958:W1975,$B1982)+COUNTIF(W1958:W1975,$B1982&amp;" ~*")&gt;0)+(COUNTIF(Y1958:Y1975,$B1982)+COUNTIF(Y1958:Y1975,$B1982&amp;" ~*")&gt;0))</f>
        <v/>
      </c>
      <c r="AC1982" s="38">
        <f>IF($B1982="","",(IFERROR(INDEX(Setup!$G$33:$G$40,MATCH(C1982,Setup!$B$33:$B$40,0)),0)=1)*(COUNTIF(C1958:E1975,$B1982)+COUNTIF(C1958:E1975,$B1982&amp;" ~*")&gt;0)+(IFERROR(INDEX(Setup!$G$33:$G$40,MATCH(G1982,Setup!$B$33:$B$40,0)),0)=1)*(COUNTIF(G1958:I1975,$B1982)+COUNTIF(G1958:I1975,$B1982&amp;" ~*")&gt;0)+(IFERROR(INDEX(Setup!$G$33:$G$40,MATCH(K1982,Setup!$B$33:$B$40,0)),0)=1)*(COUNTIF(K1958:M1975,$B1982)+COUNTIF(K1958:M1975,$B1982&amp;" ~*")&gt;0)+(IFERROR(INDEX(Setup!$G$33:$G$40,MATCH(O1982,Setup!$B$33:$B$40,0)),0)=1)*(COUNTIF(O1958:Q1975,$B1982)+COUNTIF(O1958:Q1975,$B1982&amp;" ~*")&gt;0)+(IFERROR(INDEX(Setup!$G$33:$G$40,MATCH(S1982,Setup!$B$33:$B$40,0)),0)=1)*(COUNTIF(S1958:U1975,$B1982)+COUNTIF(S1958:U1975,$B1982&amp;" ~*")&gt;0)+(IFERROR(INDEX(Setup!$G$33:$G$40,MATCH(W1982,Setup!$B$33:$B$40,0)),0)=1)*(COUNTIF(W1958:W1975,$B1982)+COUNTIF(W1958:W1975,$B1982&amp;" ~*")&gt;0)+(IFERROR(INDEX(Setup!$G$33:$G$40,MATCH(Y1982,Setup!$B$33:$B$40,0)),0)=1)*(COUNTIF(Y1958:Y1975,$B1982)+COUNTIF(Y1958:Y1975,$B1982&amp;" ~*")&gt;0))</f>
        <v/>
      </c>
    </row>
    <row r="1983" ht="15" customHeight="1">
      <c r="A1983" t="n">
        <v>40</v>
      </c>
      <c r="B1983" s="35">
        <f>IF(Setup!$B$12="","",Setup!$B$12)</f>
        <v/>
      </c>
      <c r="C1983" s="98" t="n"/>
      <c r="D1983" s="99" t="n"/>
      <c r="E1983" s="99" t="n"/>
      <c r="F1983" s="100" t="n"/>
      <c r="G1983" s="98" t="n"/>
      <c r="H1983" s="99" t="n"/>
      <c r="I1983" s="99" t="n"/>
      <c r="J1983" s="100" t="n"/>
      <c r="K1983" s="98" t="n"/>
      <c r="L1983" s="99" t="n"/>
      <c r="M1983" s="99" t="n"/>
      <c r="N1983" s="100" t="n"/>
      <c r="O1983" s="98" t="n"/>
      <c r="P1983" s="99" t="n"/>
      <c r="Q1983" s="99" t="n"/>
      <c r="R1983" s="100" t="n"/>
      <c r="S1983" s="98" t="n"/>
      <c r="T1983" s="99" t="n"/>
      <c r="U1983" s="99" t="n"/>
      <c r="V1983" s="100" t="n"/>
      <c r="W1983" s="98" t="n"/>
      <c r="X1983" s="100" t="n"/>
      <c r="Y1983" s="98" t="n"/>
      <c r="Z1983" s="100" t="n"/>
      <c r="AB1983" s="101">
        <f>IF($B1983="","",(COUNTIF(C1958:E1975,$B1983)+COUNTIF(C1958:E1975,$B1983&amp;" ~*")&gt;0)+(COUNTIF(G1958:I1975,$B1983)+COUNTIF(G1958:I1975,$B1983&amp;" ~*")&gt;0)+(COUNTIF(K1958:M1975,$B1983)+COUNTIF(K1958:M1975,$B1983&amp;" ~*")&gt;0)+(COUNTIF(O1958:Q1975,$B1983)+COUNTIF(O1958:Q1975,$B1983&amp;" ~*")&gt;0)+(COUNTIF(S1958:U1975,$B1983)+COUNTIF(S1958:U1975,$B1983&amp;" ~*")&gt;0)+(COUNTIF(W1958:W1975,$B1983)+COUNTIF(W1958:W1975,$B1983&amp;" ~*")&gt;0)+(COUNTIF(Y1958:Y1975,$B1983)+COUNTIF(Y1958:Y1975,$B1983&amp;" ~*")&gt;0))</f>
        <v/>
      </c>
      <c r="AC1983" s="36">
        <f>IF($B1983="","",(IFERROR(INDEX(Setup!$G$33:$G$40,MATCH(C1983,Setup!$B$33:$B$40,0)),0)=1)*(COUNTIF(C1958:E1975,$B1983)+COUNTIF(C1958:E1975,$B1983&amp;" ~*")&gt;0)+(IFERROR(INDEX(Setup!$G$33:$G$40,MATCH(G1983,Setup!$B$33:$B$40,0)),0)=1)*(COUNTIF(G1958:I1975,$B1983)+COUNTIF(G1958:I1975,$B1983&amp;" ~*")&gt;0)+(IFERROR(INDEX(Setup!$G$33:$G$40,MATCH(K1983,Setup!$B$33:$B$40,0)),0)=1)*(COUNTIF(K1958:M1975,$B1983)+COUNTIF(K1958:M1975,$B1983&amp;" ~*")&gt;0)+(IFERROR(INDEX(Setup!$G$33:$G$40,MATCH(O1983,Setup!$B$33:$B$40,0)),0)=1)*(COUNTIF(O1958:Q1975,$B1983)+COUNTIF(O1958:Q1975,$B1983&amp;" ~*")&gt;0)+(IFERROR(INDEX(Setup!$G$33:$G$40,MATCH(S1983,Setup!$B$33:$B$40,0)),0)=1)*(COUNTIF(S1958:U1975,$B1983)+COUNTIF(S1958:U1975,$B1983&amp;" ~*")&gt;0)+(IFERROR(INDEX(Setup!$G$33:$G$40,MATCH(W1983,Setup!$B$33:$B$40,0)),0)=1)*(COUNTIF(W1958:W1975,$B1983)+COUNTIF(W1958:W1975,$B1983&amp;" ~*")&gt;0)+(IFERROR(INDEX(Setup!$G$33:$G$40,MATCH(Y1983,Setup!$B$33:$B$40,0)),0)=1)*(COUNTIF(Y1958:Y1975,$B1983)+COUNTIF(Y1958:Y1975,$B1983&amp;" ~*")&gt;0))</f>
        <v/>
      </c>
    </row>
    <row r="1984" ht="15" customHeight="1">
      <c r="A1984" t="n">
        <v>40</v>
      </c>
      <c r="B1984" s="37">
        <f>IF(Setup!$B$13="","",Setup!$B$13)</f>
        <v/>
      </c>
      <c r="C1984" s="102" t="n"/>
      <c r="D1984" s="103" t="n"/>
      <c r="E1984" s="103" t="n"/>
      <c r="F1984" s="104" t="n"/>
      <c r="G1984" s="102" t="n"/>
      <c r="H1984" s="103" t="n"/>
      <c r="I1984" s="103" t="n"/>
      <c r="J1984" s="104" t="n"/>
      <c r="K1984" s="102" t="n"/>
      <c r="L1984" s="103" t="n"/>
      <c r="M1984" s="103" t="n"/>
      <c r="N1984" s="104" t="n"/>
      <c r="O1984" s="102" t="n"/>
      <c r="P1984" s="103" t="n"/>
      <c r="Q1984" s="103" t="n"/>
      <c r="R1984" s="104" t="n"/>
      <c r="S1984" s="102" t="n"/>
      <c r="T1984" s="103" t="n"/>
      <c r="U1984" s="103" t="n"/>
      <c r="V1984" s="104" t="n"/>
      <c r="W1984" s="102" t="n"/>
      <c r="X1984" s="104" t="n"/>
      <c r="Y1984" s="102" t="n"/>
      <c r="Z1984" s="104" t="n"/>
      <c r="AB1984" s="105">
        <f>IF($B1984="","",(COUNTIF(C1958:E1975,$B1984)+COUNTIF(C1958:E1975,$B1984&amp;" ~*")&gt;0)+(COUNTIF(G1958:I1975,$B1984)+COUNTIF(G1958:I1975,$B1984&amp;" ~*")&gt;0)+(COUNTIF(K1958:M1975,$B1984)+COUNTIF(K1958:M1975,$B1984&amp;" ~*")&gt;0)+(COUNTIF(O1958:Q1975,$B1984)+COUNTIF(O1958:Q1975,$B1984&amp;" ~*")&gt;0)+(COUNTIF(S1958:U1975,$B1984)+COUNTIF(S1958:U1975,$B1984&amp;" ~*")&gt;0)+(COUNTIF(W1958:W1975,$B1984)+COUNTIF(W1958:W1975,$B1984&amp;" ~*")&gt;0)+(COUNTIF(Y1958:Y1975,$B1984)+COUNTIF(Y1958:Y1975,$B1984&amp;" ~*")&gt;0))</f>
        <v/>
      </c>
      <c r="AC1984" s="38">
        <f>IF($B1984="","",(IFERROR(INDEX(Setup!$G$33:$G$40,MATCH(C1984,Setup!$B$33:$B$40,0)),0)=1)*(COUNTIF(C1958:E1975,$B1984)+COUNTIF(C1958:E1975,$B1984&amp;" ~*")&gt;0)+(IFERROR(INDEX(Setup!$G$33:$G$40,MATCH(G1984,Setup!$B$33:$B$40,0)),0)=1)*(COUNTIF(G1958:I1975,$B1984)+COUNTIF(G1958:I1975,$B1984&amp;" ~*")&gt;0)+(IFERROR(INDEX(Setup!$G$33:$G$40,MATCH(K1984,Setup!$B$33:$B$40,0)),0)=1)*(COUNTIF(K1958:M1975,$B1984)+COUNTIF(K1958:M1975,$B1984&amp;" ~*")&gt;0)+(IFERROR(INDEX(Setup!$G$33:$G$40,MATCH(O1984,Setup!$B$33:$B$40,0)),0)=1)*(COUNTIF(O1958:Q1975,$B1984)+COUNTIF(O1958:Q1975,$B1984&amp;" ~*")&gt;0)+(IFERROR(INDEX(Setup!$G$33:$G$40,MATCH(S1984,Setup!$B$33:$B$40,0)),0)=1)*(COUNTIF(S1958:U1975,$B1984)+COUNTIF(S1958:U1975,$B1984&amp;" ~*")&gt;0)+(IFERROR(INDEX(Setup!$G$33:$G$40,MATCH(W1984,Setup!$B$33:$B$40,0)),0)=1)*(COUNTIF(W1958:W1975,$B1984)+COUNTIF(W1958:W1975,$B1984&amp;" ~*")&gt;0)+(IFERROR(INDEX(Setup!$G$33:$G$40,MATCH(Y1984,Setup!$B$33:$B$40,0)),0)=1)*(COUNTIF(Y1958:Y1975,$B1984)+COUNTIF(Y1958:Y1975,$B1984&amp;" ~*")&gt;0))</f>
        <v/>
      </c>
    </row>
    <row r="1985" ht="15" customHeight="1">
      <c r="A1985" t="n">
        <v>40</v>
      </c>
      <c r="B1985" s="35">
        <f>IF(Setup!$B$14="","",Setup!$B$14)</f>
        <v/>
      </c>
      <c r="C1985" s="98" t="n"/>
      <c r="D1985" s="99" t="n"/>
      <c r="E1985" s="99" t="n"/>
      <c r="F1985" s="100" t="n"/>
      <c r="G1985" s="98" t="n"/>
      <c r="H1985" s="99" t="n"/>
      <c r="I1985" s="99" t="n"/>
      <c r="J1985" s="100" t="n"/>
      <c r="K1985" s="98" t="n"/>
      <c r="L1985" s="99" t="n"/>
      <c r="M1985" s="99" t="n"/>
      <c r="N1985" s="100" t="n"/>
      <c r="O1985" s="98" t="n"/>
      <c r="P1985" s="99" t="n"/>
      <c r="Q1985" s="99" t="n"/>
      <c r="R1985" s="100" t="n"/>
      <c r="S1985" s="98" t="n"/>
      <c r="T1985" s="99" t="n"/>
      <c r="U1985" s="99" t="n"/>
      <c r="V1985" s="100" t="n"/>
      <c r="W1985" s="98" t="n"/>
      <c r="X1985" s="100" t="n"/>
      <c r="Y1985" s="98" t="n"/>
      <c r="Z1985" s="100" t="n"/>
      <c r="AB1985" s="101">
        <f>IF($B1985="","",(COUNTIF(C1958:E1975,$B1985)+COUNTIF(C1958:E1975,$B1985&amp;" ~*")&gt;0)+(COUNTIF(G1958:I1975,$B1985)+COUNTIF(G1958:I1975,$B1985&amp;" ~*")&gt;0)+(COUNTIF(K1958:M1975,$B1985)+COUNTIF(K1958:M1975,$B1985&amp;" ~*")&gt;0)+(COUNTIF(O1958:Q1975,$B1985)+COUNTIF(O1958:Q1975,$B1985&amp;" ~*")&gt;0)+(COUNTIF(S1958:U1975,$B1985)+COUNTIF(S1958:U1975,$B1985&amp;" ~*")&gt;0)+(COUNTIF(W1958:W1975,$B1985)+COUNTIF(W1958:W1975,$B1985&amp;" ~*")&gt;0)+(COUNTIF(Y1958:Y1975,$B1985)+COUNTIF(Y1958:Y1975,$B1985&amp;" ~*")&gt;0))</f>
        <v/>
      </c>
      <c r="AC1985" s="36">
        <f>IF($B1985="","",(IFERROR(INDEX(Setup!$G$33:$G$40,MATCH(C1985,Setup!$B$33:$B$40,0)),0)=1)*(COUNTIF(C1958:E1975,$B1985)+COUNTIF(C1958:E1975,$B1985&amp;" ~*")&gt;0)+(IFERROR(INDEX(Setup!$G$33:$G$40,MATCH(G1985,Setup!$B$33:$B$40,0)),0)=1)*(COUNTIF(G1958:I1975,$B1985)+COUNTIF(G1958:I1975,$B1985&amp;" ~*")&gt;0)+(IFERROR(INDEX(Setup!$G$33:$G$40,MATCH(K1985,Setup!$B$33:$B$40,0)),0)=1)*(COUNTIF(K1958:M1975,$B1985)+COUNTIF(K1958:M1975,$B1985&amp;" ~*")&gt;0)+(IFERROR(INDEX(Setup!$G$33:$G$40,MATCH(O1985,Setup!$B$33:$B$40,0)),0)=1)*(COUNTIF(O1958:Q1975,$B1985)+COUNTIF(O1958:Q1975,$B1985&amp;" ~*")&gt;0)+(IFERROR(INDEX(Setup!$G$33:$G$40,MATCH(S1985,Setup!$B$33:$B$40,0)),0)=1)*(COUNTIF(S1958:U1975,$B1985)+COUNTIF(S1958:U1975,$B1985&amp;" ~*")&gt;0)+(IFERROR(INDEX(Setup!$G$33:$G$40,MATCH(W1985,Setup!$B$33:$B$40,0)),0)=1)*(COUNTIF(W1958:W1975,$B1985)+COUNTIF(W1958:W1975,$B1985&amp;" ~*")&gt;0)+(IFERROR(INDEX(Setup!$G$33:$G$40,MATCH(Y1985,Setup!$B$33:$B$40,0)),0)=1)*(COUNTIF(Y1958:Y1975,$B1985)+COUNTIF(Y1958:Y1975,$B1985&amp;" ~*")&gt;0))</f>
        <v/>
      </c>
    </row>
    <row r="1986" ht="15" customHeight="1">
      <c r="A1986" t="n">
        <v>40</v>
      </c>
      <c r="B1986" s="37">
        <f>IF(Setup!$B$15="","",Setup!$B$15)</f>
        <v/>
      </c>
      <c r="C1986" s="102" t="n"/>
      <c r="D1986" s="103" t="n"/>
      <c r="E1986" s="103" t="n"/>
      <c r="F1986" s="104" t="n"/>
      <c r="G1986" s="102" t="n"/>
      <c r="H1986" s="103" t="n"/>
      <c r="I1986" s="103" t="n"/>
      <c r="J1986" s="104" t="n"/>
      <c r="K1986" s="102" t="n"/>
      <c r="L1986" s="103" t="n"/>
      <c r="M1986" s="103" t="n"/>
      <c r="N1986" s="104" t="n"/>
      <c r="O1986" s="102" t="n"/>
      <c r="P1986" s="103" t="n"/>
      <c r="Q1986" s="103" t="n"/>
      <c r="R1986" s="104" t="n"/>
      <c r="S1986" s="102" t="n"/>
      <c r="T1986" s="103" t="n"/>
      <c r="U1986" s="103" t="n"/>
      <c r="V1986" s="104" t="n"/>
      <c r="W1986" s="102" t="n"/>
      <c r="X1986" s="104" t="n"/>
      <c r="Y1986" s="102" t="n"/>
      <c r="Z1986" s="104" t="n"/>
      <c r="AB1986" s="105">
        <f>IF($B1986="","",(COUNTIF(C1958:E1975,$B1986)+COUNTIF(C1958:E1975,$B1986&amp;" ~*")&gt;0)+(COUNTIF(G1958:I1975,$B1986)+COUNTIF(G1958:I1975,$B1986&amp;" ~*")&gt;0)+(COUNTIF(K1958:M1975,$B1986)+COUNTIF(K1958:M1975,$B1986&amp;" ~*")&gt;0)+(COUNTIF(O1958:Q1975,$B1986)+COUNTIF(O1958:Q1975,$B1986&amp;" ~*")&gt;0)+(COUNTIF(S1958:U1975,$B1986)+COUNTIF(S1958:U1975,$B1986&amp;" ~*")&gt;0)+(COUNTIF(W1958:W1975,$B1986)+COUNTIF(W1958:W1975,$B1986&amp;" ~*")&gt;0)+(COUNTIF(Y1958:Y1975,$B1986)+COUNTIF(Y1958:Y1975,$B1986&amp;" ~*")&gt;0))</f>
        <v/>
      </c>
      <c r="AC1986" s="38">
        <f>IF($B1986="","",(IFERROR(INDEX(Setup!$G$33:$G$40,MATCH(C1986,Setup!$B$33:$B$40,0)),0)=1)*(COUNTIF(C1958:E1975,$B1986)+COUNTIF(C1958:E1975,$B1986&amp;" ~*")&gt;0)+(IFERROR(INDEX(Setup!$G$33:$G$40,MATCH(G1986,Setup!$B$33:$B$40,0)),0)=1)*(COUNTIF(G1958:I1975,$B1986)+COUNTIF(G1958:I1975,$B1986&amp;" ~*")&gt;0)+(IFERROR(INDEX(Setup!$G$33:$G$40,MATCH(K1986,Setup!$B$33:$B$40,0)),0)=1)*(COUNTIF(K1958:M1975,$B1986)+COUNTIF(K1958:M1975,$B1986&amp;" ~*")&gt;0)+(IFERROR(INDEX(Setup!$G$33:$G$40,MATCH(O1986,Setup!$B$33:$B$40,0)),0)=1)*(COUNTIF(O1958:Q1975,$B1986)+COUNTIF(O1958:Q1975,$B1986&amp;" ~*")&gt;0)+(IFERROR(INDEX(Setup!$G$33:$G$40,MATCH(S1986,Setup!$B$33:$B$40,0)),0)=1)*(COUNTIF(S1958:U1975,$B1986)+COUNTIF(S1958:U1975,$B1986&amp;" ~*")&gt;0)+(IFERROR(INDEX(Setup!$G$33:$G$40,MATCH(W1986,Setup!$B$33:$B$40,0)),0)=1)*(COUNTIF(W1958:W1975,$B1986)+COUNTIF(W1958:W1975,$B1986&amp;" ~*")&gt;0)+(IFERROR(INDEX(Setup!$G$33:$G$40,MATCH(Y1986,Setup!$B$33:$B$40,0)),0)=1)*(COUNTIF(Y1958:Y1975,$B1986)+COUNTIF(Y1958:Y1975,$B1986&amp;" ~*")&gt;0))</f>
        <v/>
      </c>
    </row>
    <row r="1987" ht="15" customHeight="1">
      <c r="A1987" t="n">
        <v>40</v>
      </c>
      <c r="B1987" s="35">
        <f>IF(Setup!$B$16="","",Setup!$B$16)</f>
        <v/>
      </c>
      <c r="C1987" s="98" t="n"/>
      <c r="D1987" s="99" t="n"/>
      <c r="E1987" s="99" t="n"/>
      <c r="F1987" s="100" t="n"/>
      <c r="G1987" s="98" t="n"/>
      <c r="H1987" s="99" t="n"/>
      <c r="I1987" s="99" t="n"/>
      <c r="J1987" s="100" t="n"/>
      <c r="K1987" s="98" t="n"/>
      <c r="L1987" s="99" t="n"/>
      <c r="M1987" s="99" t="n"/>
      <c r="N1987" s="100" t="n"/>
      <c r="O1987" s="98" t="n"/>
      <c r="P1987" s="99" t="n"/>
      <c r="Q1987" s="99" t="n"/>
      <c r="R1987" s="100" t="n"/>
      <c r="S1987" s="98" t="n"/>
      <c r="T1987" s="99" t="n"/>
      <c r="U1987" s="99" t="n"/>
      <c r="V1987" s="100" t="n"/>
      <c r="W1987" s="98" t="n"/>
      <c r="X1987" s="100" t="n"/>
      <c r="Y1987" s="98" t="n"/>
      <c r="Z1987" s="100" t="n"/>
      <c r="AB1987" s="101">
        <f>IF($B1987="","",(COUNTIF(C1958:E1975,$B1987)+COUNTIF(C1958:E1975,$B1987&amp;" ~*")&gt;0)+(COUNTIF(G1958:I1975,$B1987)+COUNTIF(G1958:I1975,$B1987&amp;" ~*")&gt;0)+(COUNTIF(K1958:M1975,$B1987)+COUNTIF(K1958:M1975,$B1987&amp;" ~*")&gt;0)+(COUNTIF(O1958:Q1975,$B1987)+COUNTIF(O1958:Q1975,$B1987&amp;" ~*")&gt;0)+(COUNTIF(S1958:U1975,$B1987)+COUNTIF(S1958:U1975,$B1987&amp;" ~*")&gt;0)+(COUNTIF(W1958:W1975,$B1987)+COUNTIF(W1958:W1975,$B1987&amp;" ~*")&gt;0)+(COUNTIF(Y1958:Y1975,$B1987)+COUNTIF(Y1958:Y1975,$B1987&amp;" ~*")&gt;0))</f>
        <v/>
      </c>
      <c r="AC1987" s="36">
        <f>IF($B1987="","",(IFERROR(INDEX(Setup!$G$33:$G$40,MATCH(C1987,Setup!$B$33:$B$40,0)),0)=1)*(COUNTIF(C1958:E1975,$B1987)+COUNTIF(C1958:E1975,$B1987&amp;" ~*")&gt;0)+(IFERROR(INDEX(Setup!$G$33:$G$40,MATCH(G1987,Setup!$B$33:$B$40,0)),0)=1)*(COUNTIF(G1958:I1975,$B1987)+COUNTIF(G1958:I1975,$B1987&amp;" ~*")&gt;0)+(IFERROR(INDEX(Setup!$G$33:$G$40,MATCH(K1987,Setup!$B$33:$B$40,0)),0)=1)*(COUNTIF(K1958:M1975,$B1987)+COUNTIF(K1958:M1975,$B1987&amp;" ~*")&gt;0)+(IFERROR(INDEX(Setup!$G$33:$G$40,MATCH(O1987,Setup!$B$33:$B$40,0)),0)=1)*(COUNTIF(O1958:Q1975,$B1987)+COUNTIF(O1958:Q1975,$B1987&amp;" ~*")&gt;0)+(IFERROR(INDEX(Setup!$G$33:$G$40,MATCH(S1987,Setup!$B$33:$B$40,0)),0)=1)*(COUNTIF(S1958:U1975,$B1987)+COUNTIF(S1958:U1975,$B1987&amp;" ~*")&gt;0)+(IFERROR(INDEX(Setup!$G$33:$G$40,MATCH(W1987,Setup!$B$33:$B$40,0)),0)=1)*(COUNTIF(W1958:W1975,$B1987)+COUNTIF(W1958:W1975,$B1987&amp;" ~*")&gt;0)+(IFERROR(INDEX(Setup!$G$33:$G$40,MATCH(Y1987,Setup!$B$33:$B$40,0)),0)=1)*(COUNTIF(Y1958:Y1975,$B1987)+COUNTIF(Y1958:Y1975,$B1987&amp;" ~*")&gt;0))</f>
        <v/>
      </c>
    </row>
    <row r="1988" ht="15" customHeight="1">
      <c r="A1988" t="n">
        <v>40</v>
      </c>
      <c r="B1988" s="37">
        <f>IF(Setup!$B$17="","",Setup!$B$17)</f>
        <v/>
      </c>
      <c r="C1988" s="102" t="n"/>
      <c r="D1988" s="103" t="n"/>
      <c r="E1988" s="103" t="n"/>
      <c r="F1988" s="104" t="n"/>
      <c r="G1988" s="102" t="n"/>
      <c r="H1988" s="103" t="n"/>
      <c r="I1988" s="103" t="n"/>
      <c r="J1988" s="104" t="n"/>
      <c r="K1988" s="102" t="n"/>
      <c r="L1988" s="103" t="n"/>
      <c r="M1988" s="103" t="n"/>
      <c r="N1988" s="104" t="n"/>
      <c r="O1988" s="102" t="n"/>
      <c r="P1988" s="103" t="n"/>
      <c r="Q1988" s="103" t="n"/>
      <c r="R1988" s="104" t="n"/>
      <c r="S1988" s="102" t="n"/>
      <c r="T1988" s="103" t="n"/>
      <c r="U1988" s="103" t="n"/>
      <c r="V1988" s="104" t="n"/>
      <c r="W1988" s="102" t="n"/>
      <c r="X1988" s="104" t="n"/>
      <c r="Y1988" s="102" t="n"/>
      <c r="Z1988" s="104" t="n"/>
      <c r="AB1988" s="105">
        <f>IF($B1988="","",(COUNTIF(C1958:E1975,$B1988)+COUNTIF(C1958:E1975,$B1988&amp;" ~*")&gt;0)+(COUNTIF(G1958:I1975,$B1988)+COUNTIF(G1958:I1975,$B1988&amp;" ~*")&gt;0)+(COUNTIF(K1958:M1975,$B1988)+COUNTIF(K1958:M1975,$B1988&amp;" ~*")&gt;0)+(COUNTIF(O1958:Q1975,$B1988)+COUNTIF(O1958:Q1975,$B1988&amp;" ~*")&gt;0)+(COUNTIF(S1958:U1975,$B1988)+COUNTIF(S1958:U1975,$B1988&amp;" ~*")&gt;0)+(COUNTIF(W1958:W1975,$B1988)+COUNTIF(W1958:W1975,$B1988&amp;" ~*")&gt;0)+(COUNTIF(Y1958:Y1975,$B1988)+COUNTIF(Y1958:Y1975,$B1988&amp;" ~*")&gt;0))</f>
        <v/>
      </c>
      <c r="AC1988" s="38">
        <f>IF($B1988="","",(IFERROR(INDEX(Setup!$G$33:$G$40,MATCH(C1988,Setup!$B$33:$B$40,0)),0)=1)*(COUNTIF(C1958:E1975,$B1988)+COUNTIF(C1958:E1975,$B1988&amp;" ~*")&gt;0)+(IFERROR(INDEX(Setup!$G$33:$G$40,MATCH(G1988,Setup!$B$33:$B$40,0)),0)=1)*(COUNTIF(G1958:I1975,$B1988)+COUNTIF(G1958:I1975,$B1988&amp;" ~*")&gt;0)+(IFERROR(INDEX(Setup!$G$33:$G$40,MATCH(K1988,Setup!$B$33:$B$40,0)),0)=1)*(COUNTIF(K1958:M1975,$B1988)+COUNTIF(K1958:M1975,$B1988&amp;" ~*")&gt;0)+(IFERROR(INDEX(Setup!$G$33:$G$40,MATCH(O1988,Setup!$B$33:$B$40,0)),0)=1)*(COUNTIF(O1958:Q1975,$B1988)+COUNTIF(O1958:Q1975,$B1988&amp;" ~*")&gt;0)+(IFERROR(INDEX(Setup!$G$33:$G$40,MATCH(S1988,Setup!$B$33:$B$40,0)),0)=1)*(COUNTIF(S1958:U1975,$B1988)+COUNTIF(S1958:U1975,$B1988&amp;" ~*")&gt;0)+(IFERROR(INDEX(Setup!$G$33:$G$40,MATCH(W1988,Setup!$B$33:$B$40,0)),0)=1)*(COUNTIF(W1958:W1975,$B1988)+COUNTIF(W1958:W1975,$B1988&amp;" ~*")&gt;0)+(IFERROR(INDEX(Setup!$G$33:$G$40,MATCH(Y1988,Setup!$B$33:$B$40,0)),0)=1)*(COUNTIF(Y1958:Y1975,$B1988)+COUNTIF(Y1958:Y1975,$B1988&amp;" ~*")&gt;0))</f>
        <v/>
      </c>
    </row>
    <row r="1989" ht="15" customHeight="1">
      <c r="A1989" t="n">
        <v>40</v>
      </c>
      <c r="B1989" s="35">
        <f>IF(Setup!$B$18="","",Setup!$B$18)</f>
        <v/>
      </c>
      <c r="C1989" s="98" t="n"/>
      <c r="D1989" s="99" t="n"/>
      <c r="E1989" s="99" t="n"/>
      <c r="F1989" s="100" t="n"/>
      <c r="G1989" s="98" t="n"/>
      <c r="H1989" s="99" t="n"/>
      <c r="I1989" s="99" t="n"/>
      <c r="J1989" s="100" t="n"/>
      <c r="K1989" s="98" t="n"/>
      <c r="L1989" s="99" t="n"/>
      <c r="M1989" s="99" t="n"/>
      <c r="N1989" s="100" t="n"/>
      <c r="O1989" s="98" t="n"/>
      <c r="P1989" s="99" t="n"/>
      <c r="Q1989" s="99" t="n"/>
      <c r="R1989" s="100" t="n"/>
      <c r="S1989" s="98" t="n"/>
      <c r="T1989" s="99" t="n"/>
      <c r="U1989" s="99" t="n"/>
      <c r="V1989" s="100" t="n"/>
      <c r="W1989" s="98" t="n"/>
      <c r="X1989" s="100" t="n"/>
      <c r="Y1989" s="98" t="n"/>
      <c r="Z1989" s="100" t="n"/>
      <c r="AB1989" s="101">
        <f>IF($B1989="","",(COUNTIF(C1958:E1975,$B1989)+COUNTIF(C1958:E1975,$B1989&amp;" ~*")&gt;0)+(COUNTIF(G1958:I1975,$B1989)+COUNTIF(G1958:I1975,$B1989&amp;" ~*")&gt;0)+(COUNTIF(K1958:M1975,$B1989)+COUNTIF(K1958:M1975,$B1989&amp;" ~*")&gt;0)+(COUNTIF(O1958:Q1975,$B1989)+COUNTIF(O1958:Q1975,$B1989&amp;" ~*")&gt;0)+(COUNTIF(S1958:U1975,$B1989)+COUNTIF(S1958:U1975,$B1989&amp;" ~*")&gt;0)+(COUNTIF(W1958:W1975,$B1989)+COUNTIF(W1958:W1975,$B1989&amp;" ~*")&gt;0)+(COUNTIF(Y1958:Y1975,$B1989)+COUNTIF(Y1958:Y1975,$B1989&amp;" ~*")&gt;0))</f>
        <v/>
      </c>
      <c r="AC1989" s="36">
        <f>IF($B1989="","",(IFERROR(INDEX(Setup!$G$33:$G$40,MATCH(C1989,Setup!$B$33:$B$40,0)),0)=1)*(COUNTIF(C1958:E1975,$B1989)+COUNTIF(C1958:E1975,$B1989&amp;" ~*")&gt;0)+(IFERROR(INDEX(Setup!$G$33:$G$40,MATCH(G1989,Setup!$B$33:$B$40,0)),0)=1)*(COUNTIF(G1958:I1975,$B1989)+COUNTIF(G1958:I1975,$B1989&amp;" ~*")&gt;0)+(IFERROR(INDEX(Setup!$G$33:$G$40,MATCH(K1989,Setup!$B$33:$B$40,0)),0)=1)*(COUNTIF(K1958:M1975,$B1989)+COUNTIF(K1958:M1975,$B1989&amp;" ~*")&gt;0)+(IFERROR(INDEX(Setup!$G$33:$G$40,MATCH(O1989,Setup!$B$33:$B$40,0)),0)=1)*(COUNTIF(O1958:Q1975,$B1989)+COUNTIF(O1958:Q1975,$B1989&amp;" ~*")&gt;0)+(IFERROR(INDEX(Setup!$G$33:$G$40,MATCH(S1989,Setup!$B$33:$B$40,0)),0)=1)*(COUNTIF(S1958:U1975,$B1989)+COUNTIF(S1958:U1975,$B1989&amp;" ~*")&gt;0)+(IFERROR(INDEX(Setup!$G$33:$G$40,MATCH(W1989,Setup!$B$33:$B$40,0)),0)=1)*(COUNTIF(W1958:W1975,$B1989)+COUNTIF(W1958:W1975,$B1989&amp;" ~*")&gt;0)+(IFERROR(INDEX(Setup!$G$33:$G$40,MATCH(Y1989,Setup!$B$33:$B$40,0)),0)=1)*(COUNTIF(Y1958:Y1975,$B1989)+COUNTIF(Y1958:Y1975,$B1989&amp;" ~*")&gt;0))</f>
        <v/>
      </c>
    </row>
    <row r="1990" ht="15" customHeight="1">
      <c r="A1990" t="n">
        <v>40</v>
      </c>
      <c r="B1990" s="37">
        <f>IF(Setup!$B$19="","",Setup!$B$19)</f>
        <v/>
      </c>
      <c r="C1990" s="102" t="n"/>
      <c r="D1990" s="103" t="n"/>
      <c r="E1990" s="103" t="n"/>
      <c r="F1990" s="104" t="n"/>
      <c r="G1990" s="102" t="n"/>
      <c r="H1990" s="103" t="n"/>
      <c r="I1990" s="103" t="n"/>
      <c r="J1990" s="104" t="n"/>
      <c r="K1990" s="102" t="n"/>
      <c r="L1990" s="103" t="n"/>
      <c r="M1990" s="103" t="n"/>
      <c r="N1990" s="104" t="n"/>
      <c r="O1990" s="102" t="n"/>
      <c r="P1990" s="103" t="n"/>
      <c r="Q1990" s="103" t="n"/>
      <c r="R1990" s="104" t="n"/>
      <c r="S1990" s="102" t="n"/>
      <c r="T1990" s="103" t="n"/>
      <c r="U1990" s="103" t="n"/>
      <c r="V1990" s="104" t="n"/>
      <c r="W1990" s="102" t="n"/>
      <c r="X1990" s="104" t="n"/>
      <c r="Y1990" s="102" t="n"/>
      <c r="Z1990" s="104" t="n"/>
      <c r="AB1990" s="105">
        <f>IF($B1990="","",(COUNTIF(C1958:E1975,$B1990)+COUNTIF(C1958:E1975,$B1990&amp;" ~*")&gt;0)+(COUNTIF(G1958:I1975,$B1990)+COUNTIF(G1958:I1975,$B1990&amp;" ~*")&gt;0)+(COUNTIF(K1958:M1975,$B1990)+COUNTIF(K1958:M1975,$B1990&amp;" ~*")&gt;0)+(COUNTIF(O1958:Q1975,$B1990)+COUNTIF(O1958:Q1975,$B1990&amp;" ~*")&gt;0)+(COUNTIF(S1958:U1975,$B1990)+COUNTIF(S1958:U1975,$B1990&amp;" ~*")&gt;0)+(COUNTIF(W1958:W1975,$B1990)+COUNTIF(W1958:W1975,$B1990&amp;" ~*")&gt;0)+(COUNTIF(Y1958:Y1975,$B1990)+COUNTIF(Y1958:Y1975,$B1990&amp;" ~*")&gt;0))</f>
        <v/>
      </c>
      <c r="AC1990" s="38">
        <f>IF($B1990="","",(IFERROR(INDEX(Setup!$G$33:$G$40,MATCH(C1990,Setup!$B$33:$B$40,0)),0)=1)*(COUNTIF(C1958:E1975,$B1990)+COUNTIF(C1958:E1975,$B1990&amp;" ~*")&gt;0)+(IFERROR(INDEX(Setup!$G$33:$G$40,MATCH(G1990,Setup!$B$33:$B$40,0)),0)=1)*(COUNTIF(G1958:I1975,$B1990)+COUNTIF(G1958:I1975,$B1990&amp;" ~*")&gt;0)+(IFERROR(INDEX(Setup!$G$33:$G$40,MATCH(K1990,Setup!$B$33:$B$40,0)),0)=1)*(COUNTIF(K1958:M1975,$B1990)+COUNTIF(K1958:M1975,$B1990&amp;" ~*")&gt;0)+(IFERROR(INDEX(Setup!$G$33:$G$40,MATCH(O1990,Setup!$B$33:$B$40,0)),0)=1)*(COUNTIF(O1958:Q1975,$B1990)+COUNTIF(O1958:Q1975,$B1990&amp;" ~*")&gt;0)+(IFERROR(INDEX(Setup!$G$33:$G$40,MATCH(S1990,Setup!$B$33:$B$40,0)),0)=1)*(COUNTIF(S1958:U1975,$B1990)+COUNTIF(S1958:U1975,$B1990&amp;" ~*")&gt;0)+(IFERROR(INDEX(Setup!$G$33:$G$40,MATCH(W1990,Setup!$B$33:$B$40,0)),0)=1)*(COUNTIF(W1958:W1975,$B1990)+COUNTIF(W1958:W1975,$B1990&amp;" ~*")&gt;0)+(IFERROR(INDEX(Setup!$G$33:$G$40,MATCH(Y1990,Setup!$B$33:$B$40,0)),0)=1)*(COUNTIF(Y1958:Y1975,$B1990)+COUNTIF(Y1958:Y1975,$B1990&amp;" ~*")&gt;0))</f>
        <v/>
      </c>
    </row>
    <row r="1991" ht="15" customHeight="1">
      <c r="A1991" t="n">
        <v>40</v>
      </c>
      <c r="B1991" s="35">
        <f>IF(Setup!$B$20="","",Setup!$B$20)</f>
        <v/>
      </c>
      <c r="C1991" s="98" t="n"/>
      <c r="D1991" s="99" t="n"/>
      <c r="E1991" s="99" t="n"/>
      <c r="F1991" s="100" t="n"/>
      <c r="G1991" s="98" t="n"/>
      <c r="H1991" s="99" t="n"/>
      <c r="I1991" s="99" t="n"/>
      <c r="J1991" s="100" t="n"/>
      <c r="K1991" s="98" t="n"/>
      <c r="L1991" s="99" t="n"/>
      <c r="M1991" s="99" t="n"/>
      <c r="N1991" s="100" t="n"/>
      <c r="O1991" s="98" t="n"/>
      <c r="P1991" s="99" t="n"/>
      <c r="Q1991" s="99" t="n"/>
      <c r="R1991" s="100" t="n"/>
      <c r="S1991" s="98" t="n"/>
      <c r="T1991" s="99" t="n"/>
      <c r="U1991" s="99" t="n"/>
      <c r="V1991" s="100" t="n"/>
      <c r="W1991" s="98" t="n"/>
      <c r="X1991" s="100" t="n"/>
      <c r="Y1991" s="98" t="n"/>
      <c r="Z1991" s="100" t="n"/>
      <c r="AB1991" s="101">
        <f>IF($B1991="","",(COUNTIF(C1958:E1975,$B1991)+COUNTIF(C1958:E1975,$B1991&amp;" ~*")&gt;0)+(COUNTIF(G1958:I1975,$B1991)+COUNTIF(G1958:I1975,$B1991&amp;" ~*")&gt;0)+(COUNTIF(K1958:M1975,$B1991)+COUNTIF(K1958:M1975,$B1991&amp;" ~*")&gt;0)+(COUNTIF(O1958:Q1975,$B1991)+COUNTIF(O1958:Q1975,$B1991&amp;" ~*")&gt;0)+(COUNTIF(S1958:U1975,$B1991)+COUNTIF(S1958:U1975,$B1991&amp;" ~*")&gt;0)+(COUNTIF(W1958:W1975,$B1991)+COUNTIF(W1958:W1975,$B1991&amp;" ~*")&gt;0)+(COUNTIF(Y1958:Y1975,$B1991)+COUNTIF(Y1958:Y1975,$B1991&amp;" ~*")&gt;0))</f>
        <v/>
      </c>
      <c r="AC1991" s="36">
        <f>IF($B1991="","",(IFERROR(INDEX(Setup!$G$33:$G$40,MATCH(C1991,Setup!$B$33:$B$40,0)),0)=1)*(COUNTIF(C1958:E1975,$B1991)+COUNTIF(C1958:E1975,$B1991&amp;" ~*")&gt;0)+(IFERROR(INDEX(Setup!$G$33:$G$40,MATCH(G1991,Setup!$B$33:$B$40,0)),0)=1)*(COUNTIF(G1958:I1975,$B1991)+COUNTIF(G1958:I1975,$B1991&amp;" ~*")&gt;0)+(IFERROR(INDEX(Setup!$G$33:$G$40,MATCH(K1991,Setup!$B$33:$B$40,0)),0)=1)*(COUNTIF(K1958:M1975,$B1991)+COUNTIF(K1958:M1975,$B1991&amp;" ~*")&gt;0)+(IFERROR(INDEX(Setup!$G$33:$G$40,MATCH(O1991,Setup!$B$33:$B$40,0)),0)=1)*(COUNTIF(O1958:Q1975,$B1991)+COUNTIF(O1958:Q1975,$B1991&amp;" ~*")&gt;0)+(IFERROR(INDEX(Setup!$G$33:$G$40,MATCH(S1991,Setup!$B$33:$B$40,0)),0)=1)*(COUNTIF(S1958:U1975,$B1991)+COUNTIF(S1958:U1975,$B1991&amp;" ~*")&gt;0)+(IFERROR(INDEX(Setup!$G$33:$G$40,MATCH(W1991,Setup!$B$33:$B$40,0)),0)=1)*(COUNTIF(W1958:W1975,$B1991)+COUNTIF(W1958:W1975,$B1991&amp;" ~*")&gt;0)+(IFERROR(INDEX(Setup!$G$33:$G$40,MATCH(Y1991,Setup!$B$33:$B$40,0)),0)=1)*(COUNTIF(Y1958:Y1975,$B1991)+COUNTIF(Y1958:Y1975,$B1991&amp;" ~*")&gt;0))</f>
        <v/>
      </c>
    </row>
    <row r="1992" ht="15" customHeight="1">
      <c r="A1992" t="n">
        <v>40</v>
      </c>
      <c r="B1992" s="37">
        <f>IF(Setup!$B$21="","",Setup!$B$21)</f>
        <v/>
      </c>
      <c r="C1992" s="102" t="n"/>
      <c r="D1992" s="103" t="n"/>
      <c r="E1992" s="103" t="n"/>
      <c r="F1992" s="104" t="n"/>
      <c r="G1992" s="102" t="n"/>
      <c r="H1992" s="103" t="n"/>
      <c r="I1992" s="103" t="n"/>
      <c r="J1992" s="104" t="n"/>
      <c r="K1992" s="102" t="n"/>
      <c r="L1992" s="103" t="n"/>
      <c r="M1992" s="103" t="n"/>
      <c r="N1992" s="104" t="n"/>
      <c r="O1992" s="102" t="n"/>
      <c r="P1992" s="103" t="n"/>
      <c r="Q1992" s="103" t="n"/>
      <c r="R1992" s="104" t="n"/>
      <c r="S1992" s="102" t="n"/>
      <c r="T1992" s="103" t="n"/>
      <c r="U1992" s="103" t="n"/>
      <c r="V1992" s="104" t="n"/>
      <c r="W1992" s="102" t="n"/>
      <c r="X1992" s="104" t="n"/>
      <c r="Y1992" s="102" t="n"/>
      <c r="Z1992" s="104" t="n"/>
      <c r="AB1992" s="105">
        <f>IF($B1992="","",(COUNTIF(C1958:E1975,$B1992)+COUNTIF(C1958:E1975,$B1992&amp;" ~*")&gt;0)+(COUNTIF(G1958:I1975,$B1992)+COUNTIF(G1958:I1975,$B1992&amp;" ~*")&gt;0)+(COUNTIF(K1958:M1975,$B1992)+COUNTIF(K1958:M1975,$B1992&amp;" ~*")&gt;0)+(COUNTIF(O1958:Q1975,$B1992)+COUNTIF(O1958:Q1975,$B1992&amp;" ~*")&gt;0)+(COUNTIF(S1958:U1975,$B1992)+COUNTIF(S1958:U1975,$B1992&amp;" ~*")&gt;0)+(COUNTIF(W1958:W1975,$B1992)+COUNTIF(W1958:W1975,$B1992&amp;" ~*")&gt;0)+(COUNTIF(Y1958:Y1975,$B1992)+COUNTIF(Y1958:Y1975,$B1992&amp;" ~*")&gt;0))</f>
        <v/>
      </c>
      <c r="AC1992" s="38">
        <f>IF($B1992="","",(IFERROR(INDEX(Setup!$G$33:$G$40,MATCH(C1992,Setup!$B$33:$B$40,0)),0)=1)*(COUNTIF(C1958:E1975,$B1992)+COUNTIF(C1958:E1975,$B1992&amp;" ~*")&gt;0)+(IFERROR(INDEX(Setup!$G$33:$G$40,MATCH(G1992,Setup!$B$33:$B$40,0)),0)=1)*(COUNTIF(G1958:I1975,$B1992)+COUNTIF(G1958:I1975,$B1992&amp;" ~*")&gt;0)+(IFERROR(INDEX(Setup!$G$33:$G$40,MATCH(K1992,Setup!$B$33:$B$40,0)),0)=1)*(COUNTIF(K1958:M1975,$B1992)+COUNTIF(K1958:M1975,$B1992&amp;" ~*")&gt;0)+(IFERROR(INDEX(Setup!$G$33:$G$40,MATCH(O1992,Setup!$B$33:$B$40,0)),0)=1)*(COUNTIF(O1958:Q1975,$B1992)+COUNTIF(O1958:Q1975,$B1992&amp;" ~*")&gt;0)+(IFERROR(INDEX(Setup!$G$33:$G$40,MATCH(S1992,Setup!$B$33:$B$40,0)),0)=1)*(COUNTIF(S1958:U1975,$B1992)+COUNTIF(S1958:U1975,$B1992&amp;" ~*")&gt;0)+(IFERROR(INDEX(Setup!$G$33:$G$40,MATCH(W1992,Setup!$B$33:$B$40,0)),0)=1)*(COUNTIF(W1958:W1975,$B1992)+COUNTIF(W1958:W1975,$B1992&amp;" ~*")&gt;0)+(IFERROR(INDEX(Setup!$G$33:$G$40,MATCH(Y1992,Setup!$B$33:$B$40,0)),0)=1)*(COUNTIF(Y1958:Y1975,$B1992)+COUNTIF(Y1958:Y1975,$B1992&amp;" ~*")&gt;0))</f>
        <v/>
      </c>
    </row>
    <row r="1993" ht="15" customHeight="1">
      <c r="A1993" t="n">
        <v>40</v>
      </c>
      <c r="B1993" s="35">
        <f>IF(Setup!$B$22="","",Setup!$B$22)</f>
        <v/>
      </c>
      <c r="C1993" s="98" t="n"/>
      <c r="D1993" s="99" t="n"/>
      <c r="E1993" s="99" t="n"/>
      <c r="F1993" s="100" t="n"/>
      <c r="G1993" s="98" t="n"/>
      <c r="H1993" s="99" t="n"/>
      <c r="I1993" s="99" t="n"/>
      <c r="J1993" s="100" t="n"/>
      <c r="K1993" s="98" t="n"/>
      <c r="L1993" s="99" t="n"/>
      <c r="M1993" s="99" t="n"/>
      <c r="N1993" s="100" t="n"/>
      <c r="O1993" s="98" t="n"/>
      <c r="P1993" s="99" t="n"/>
      <c r="Q1993" s="99" t="n"/>
      <c r="R1993" s="100" t="n"/>
      <c r="S1993" s="98" t="n"/>
      <c r="T1993" s="99" t="n"/>
      <c r="U1993" s="99" t="n"/>
      <c r="V1993" s="100" t="n"/>
      <c r="W1993" s="98" t="n"/>
      <c r="X1993" s="100" t="n"/>
      <c r="Y1993" s="98" t="n"/>
      <c r="Z1993" s="100" t="n"/>
      <c r="AB1993" s="101">
        <f>IF($B1993="","",(COUNTIF(C1958:E1975,$B1993)+COUNTIF(C1958:E1975,$B1993&amp;" ~*")&gt;0)+(COUNTIF(G1958:I1975,$B1993)+COUNTIF(G1958:I1975,$B1993&amp;" ~*")&gt;0)+(COUNTIF(K1958:M1975,$B1993)+COUNTIF(K1958:M1975,$B1993&amp;" ~*")&gt;0)+(COUNTIF(O1958:Q1975,$B1993)+COUNTIF(O1958:Q1975,$B1993&amp;" ~*")&gt;0)+(COUNTIF(S1958:U1975,$B1993)+COUNTIF(S1958:U1975,$B1993&amp;" ~*")&gt;0)+(COUNTIF(W1958:W1975,$B1993)+COUNTIF(W1958:W1975,$B1993&amp;" ~*")&gt;0)+(COUNTIF(Y1958:Y1975,$B1993)+COUNTIF(Y1958:Y1975,$B1993&amp;" ~*")&gt;0))</f>
        <v/>
      </c>
      <c r="AC1993" s="36">
        <f>IF($B1993="","",(IFERROR(INDEX(Setup!$G$33:$G$40,MATCH(C1993,Setup!$B$33:$B$40,0)),0)=1)*(COUNTIF(C1958:E1975,$B1993)+COUNTIF(C1958:E1975,$B1993&amp;" ~*")&gt;0)+(IFERROR(INDEX(Setup!$G$33:$G$40,MATCH(G1993,Setup!$B$33:$B$40,0)),0)=1)*(COUNTIF(G1958:I1975,$B1993)+COUNTIF(G1958:I1975,$B1993&amp;" ~*")&gt;0)+(IFERROR(INDEX(Setup!$G$33:$G$40,MATCH(K1993,Setup!$B$33:$B$40,0)),0)=1)*(COUNTIF(K1958:M1975,$B1993)+COUNTIF(K1958:M1975,$B1993&amp;" ~*")&gt;0)+(IFERROR(INDEX(Setup!$G$33:$G$40,MATCH(O1993,Setup!$B$33:$B$40,0)),0)=1)*(COUNTIF(O1958:Q1975,$B1993)+COUNTIF(O1958:Q1975,$B1993&amp;" ~*")&gt;0)+(IFERROR(INDEX(Setup!$G$33:$G$40,MATCH(S1993,Setup!$B$33:$B$40,0)),0)=1)*(COUNTIF(S1958:U1975,$B1993)+COUNTIF(S1958:U1975,$B1993&amp;" ~*")&gt;0)+(IFERROR(INDEX(Setup!$G$33:$G$40,MATCH(W1993,Setup!$B$33:$B$40,0)),0)=1)*(COUNTIF(W1958:W1975,$B1993)+COUNTIF(W1958:W1975,$B1993&amp;" ~*")&gt;0)+(IFERROR(INDEX(Setup!$G$33:$G$40,MATCH(Y1993,Setup!$B$33:$B$40,0)),0)=1)*(COUNTIF(Y1958:Y1975,$B1993)+COUNTIF(Y1958:Y1975,$B1993&amp;" ~*")&gt;0))</f>
        <v/>
      </c>
    </row>
    <row r="1994" ht="15" customHeight="1">
      <c r="A1994" t="n">
        <v>40</v>
      </c>
      <c r="B1994" s="37">
        <f>IF(Setup!$B$23="","",Setup!$B$23)</f>
        <v/>
      </c>
      <c r="C1994" s="102" t="n"/>
      <c r="D1994" s="103" t="n"/>
      <c r="E1994" s="103" t="n"/>
      <c r="F1994" s="104" t="n"/>
      <c r="G1994" s="102" t="n"/>
      <c r="H1994" s="103" t="n"/>
      <c r="I1994" s="103" t="n"/>
      <c r="J1994" s="104" t="n"/>
      <c r="K1994" s="102" t="n"/>
      <c r="L1994" s="103" t="n"/>
      <c r="M1994" s="103" t="n"/>
      <c r="N1994" s="104" t="n"/>
      <c r="O1994" s="102" t="n"/>
      <c r="P1994" s="103" t="n"/>
      <c r="Q1994" s="103" t="n"/>
      <c r="R1994" s="104" t="n"/>
      <c r="S1994" s="102" t="n"/>
      <c r="T1994" s="103" t="n"/>
      <c r="U1994" s="103" t="n"/>
      <c r="V1994" s="104" t="n"/>
      <c r="W1994" s="102" t="n"/>
      <c r="X1994" s="104" t="n"/>
      <c r="Y1994" s="102" t="n"/>
      <c r="Z1994" s="104" t="n"/>
      <c r="AB1994" s="105">
        <f>IF($B1994="","",(COUNTIF(C1958:E1975,$B1994)+COUNTIF(C1958:E1975,$B1994&amp;" ~*")&gt;0)+(COUNTIF(G1958:I1975,$B1994)+COUNTIF(G1958:I1975,$B1994&amp;" ~*")&gt;0)+(COUNTIF(K1958:M1975,$B1994)+COUNTIF(K1958:M1975,$B1994&amp;" ~*")&gt;0)+(COUNTIF(O1958:Q1975,$B1994)+COUNTIF(O1958:Q1975,$B1994&amp;" ~*")&gt;0)+(COUNTIF(S1958:U1975,$B1994)+COUNTIF(S1958:U1975,$B1994&amp;" ~*")&gt;0)+(COUNTIF(W1958:W1975,$B1994)+COUNTIF(W1958:W1975,$B1994&amp;" ~*")&gt;0)+(COUNTIF(Y1958:Y1975,$B1994)+COUNTIF(Y1958:Y1975,$B1994&amp;" ~*")&gt;0))</f>
        <v/>
      </c>
      <c r="AC1994" s="38">
        <f>IF($B1994="","",(IFERROR(INDEX(Setup!$G$33:$G$40,MATCH(C1994,Setup!$B$33:$B$40,0)),0)=1)*(COUNTIF(C1958:E1975,$B1994)+COUNTIF(C1958:E1975,$B1994&amp;" ~*")&gt;0)+(IFERROR(INDEX(Setup!$G$33:$G$40,MATCH(G1994,Setup!$B$33:$B$40,0)),0)=1)*(COUNTIF(G1958:I1975,$B1994)+COUNTIF(G1958:I1975,$B1994&amp;" ~*")&gt;0)+(IFERROR(INDEX(Setup!$G$33:$G$40,MATCH(K1994,Setup!$B$33:$B$40,0)),0)=1)*(COUNTIF(K1958:M1975,$B1994)+COUNTIF(K1958:M1975,$B1994&amp;" ~*")&gt;0)+(IFERROR(INDEX(Setup!$G$33:$G$40,MATCH(O1994,Setup!$B$33:$B$40,0)),0)=1)*(COUNTIF(O1958:Q1975,$B1994)+COUNTIF(O1958:Q1975,$B1994&amp;" ~*")&gt;0)+(IFERROR(INDEX(Setup!$G$33:$G$40,MATCH(S1994,Setup!$B$33:$B$40,0)),0)=1)*(COUNTIF(S1958:U1975,$B1994)+COUNTIF(S1958:U1975,$B1994&amp;" ~*")&gt;0)+(IFERROR(INDEX(Setup!$G$33:$G$40,MATCH(W1994,Setup!$B$33:$B$40,0)),0)=1)*(COUNTIF(W1958:W1975,$B1994)+COUNTIF(W1958:W1975,$B1994&amp;" ~*")&gt;0)+(IFERROR(INDEX(Setup!$G$33:$G$40,MATCH(Y1994,Setup!$B$33:$B$40,0)),0)=1)*(COUNTIF(Y1958:Y1975,$B1994)+COUNTIF(Y1958:Y1975,$B1994&amp;" ~*")&gt;0))</f>
        <v/>
      </c>
    </row>
    <row r="1995" ht="15" customHeight="1">
      <c r="A1995" t="n">
        <v>40</v>
      </c>
      <c r="B1995" s="35">
        <f>IF(Setup!$B$24="","",Setup!$B$24)</f>
        <v/>
      </c>
      <c r="C1995" s="98" t="n"/>
      <c r="D1995" s="99" t="n"/>
      <c r="E1995" s="99" t="n"/>
      <c r="F1995" s="100" t="n"/>
      <c r="G1995" s="98" t="n"/>
      <c r="H1995" s="99" t="n"/>
      <c r="I1995" s="99" t="n"/>
      <c r="J1995" s="100" t="n"/>
      <c r="K1995" s="98" t="n"/>
      <c r="L1995" s="99" t="n"/>
      <c r="M1995" s="99" t="n"/>
      <c r="N1995" s="100" t="n"/>
      <c r="O1995" s="98" t="n"/>
      <c r="P1995" s="99" t="n"/>
      <c r="Q1995" s="99" t="n"/>
      <c r="R1995" s="100" t="n"/>
      <c r="S1995" s="98" t="n"/>
      <c r="T1995" s="99" t="n"/>
      <c r="U1995" s="99" t="n"/>
      <c r="V1995" s="100" t="n"/>
      <c r="W1995" s="98" t="n"/>
      <c r="X1995" s="100" t="n"/>
      <c r="Y1995" s="98" t="n"/>
      <c r="Z1995" s="100" t="n"/>
      <c r="AB1995" s="101">
        <f>IF($B1995="","",(COUNTIF(C1958:E1975,$B1995)+COUNTIF(C1958:E1975,$B1995&amp;" ~*")&gt;0)+(COUNTIF(G1958:I1975,$B1995)+COUNTIF(G1958:I1975,$B1995&amp;" ~*")&gt;0)+(COUNTIF(K1958:M1975,$B1995)+COUNTIF(K1958:M1975,$B1995&amp;" ~*")&gt;0)+(COUNTIF(O1958:Q1975,$B1995)+COUNTIF(O1958:Q1975,$B1995&amp;" ~*")&gt;0)+(COUNTIF(S1958:U1975,$B1995)+COUNTIF(S1958:U1975,$B1995&amp;" ~*")&gt;0)+(COUNTIF(W1958:W1975,$B1995)+COUNTIF(W1958:W1975,$B1995&amp;" ~*")&gt;0)+(COUNTIF(Y1958:Y1975,$B1995)+COUNTIF(Y1958:Y1975,$B1995&amp;" ~*")&gt;0))</f>
        <v/>
      </c>
      <c r="AC1995" s="36">
        <f>IF($B1995="","",(IFERROR(INDEX(Setup!$G$33:$G$40,MATCH(C1995,Setup!$B$33:$B$40,0)),0)=1)*(COUNTIF(C1958:E1975,$B1995)+COUNTIF(C1958:E1975,$B1995&amp;" ~*")&gt;0)+(IFERROR(INDEX(Setup!$G$33:$G$40,MATCH(G1995,Setup!$B$33:$B$40,0)),0)=1)*(COUNTIF(G1958:I1975,$B1995)+COUNTIF(G1958:I1975,$B1995&amp;" ~*")&gt;0)+(IFERROR(INDEX(Setup!$G$33:$G$40,MATCH(K1995,Setup!$B$33:$B$40,0)),0)=1)*(COUNTIF(K1958:M1975,$B1995)+COUNTIF(K1958:M1975,$B1995&amp;" ~*")&gt;0)+(IFERROR(INDEX(Setup!$G$33:$G$40,MATCH(O1995,Setup!$B$33:$B$40,0)),0)=1)*(COUNTIF(O1958:Q1975,$B1995)+COUNTIF(O1958:Q1975,$B1995&amp;" ~*")&gt;0)+(IFERROR(INDEX(Setup!$G$33:$G$40,MATCH(S1995,Setup!$B$33:$B$40,0)),0)=1)*(COUNTIF(S1958:U1975,$B1995)+COUNTIF(S1958:U1975,$B1995&amp;" ~*")&gt;0)+(IFERROR(INDEX(Setup!$G$33:$G$40,MATCH(W1995,Setup!$B$33:$B$40,0)),0)=1)*(COUNTIF(W1958:W1975,$B1995)+COUNTIF(W1958:W1975,$B1995&amp;" ~*")&gt;0)+(IFERROR(INDEX(Setup!$G$33:$G$40,MATCH(Y1995,Setup!$B$33:$B$40,0)),0)=1)*(COUNTIF(Y1958:Y1975,$B1995)+COUNTIF(Y1958:Y1975,$B1995&amp;" ~*")&gt;0))</f>
        <v/>
      </c>
    </row>
    <row r="1996" ht="15" customHeight="1">
      <c r="A1996" t="n">
        <v>40</v>
      </c>
      <c r="B1996" s="37">
        <f>IF(Setup!$B$25="","",Setup!$B$25)</f>
        <v/>
      </c>
      <c r="C1996" s="102" t="n"/>
      <c r="D1996" s="103" t="n"/>
      <c r="E1996" s="103" t="n"/>
      <c r="F1996" s="104" t="n"/>
      <c r="G1996" s="102" t="n"/>
      <c r="H1996" s="103" t="n"/>
      <c r="I1996" s="103" t="n"/>
      <c r="J1996" s="104" t="n"/>
      <c r="K1996" s="102" t="n"/>
      <c r="L1996" s="103" t="n"/>
      <c r="M1996" s="103" t="n"/>
      <c r="N1996" s="104" t="n"/>
      <c r="O1996" s="102" t="n"/>
      <c r="P1996" s="103" t="n"/>
      <c r="Q1996" s="103" t="n"/>
      <c r="R1996" s="104" t="n"/>
      <c r="S1996" s="102" t="n"/>
      <c r="T1996" s="103" t="n"/>
      <c r="U1996" s="103" t="n"/>
      <c r="V1996" s="104" t="n"/>
      <c r="W1996" s="102" t="n"/>
      <c r="X1996" s="104" t="n"/>
      <c r="Y1996" s="102" t="n"/>
      <c r="Z1996" s="104" t="n"/>
      <c r="AB1996" s="105">
        <f>IF($B1996="","",(COUNTIF(C1958:E1975,$B1996)+COUNTIF(C1958:E1975,$B1996&amp;" ~*")&gt;0)+(COUNTIF(G1958:I1975,$B1996)+COUNTIF(G1958:I1975,$B1996&amp;" ~*")&gt;0)+(COUNTIF(K1958:M1975,$B1996)+COUNTIF(K1958:M1975,$B1996&amp;" ~*")&gt;0)+(COUNTIF(O1958:Q1975,$B1996)+COUNTIF(O1958:Q1975,$B1996&amp;" ~*")&gt;0)+(COUNTIF(S1958:U1975,$B1996)+COUNTIF(S1958:U1975,$B1996&amp;" ~*")&gt;0)+(COUNTIF(W1958:W1975,$B1996)+COUNTIF(W1958:W1975,$B1996&amp;" ~*")&gt;0)+(COUNTIF(Y1958:Y1975,$B1996)+COUNTIF(Y1958:Y1975,$B1996&amp;" ~*")&gt;0))</f>
        <v/>
      </c>
      <c r="AC1996" s="38">
        <f>IF($B1996="","",(IFERROR(INDEX(Setup!$G$33:$G$40,MATCH(C1996,Setup!$B$33:$B$40,0)),0)=1)*(COUNTIF(C1958:E1975,$B1996)+COUNTIF(C1958:E1975,$B1996&amp;" ~*")&gt;0)+(IFERROR(INDEX(Setup!$G$33:$G$40,MATCH(G1996,Setup!$B$33:$B$40,0)),0)=1)*(COUNTIF(G1958:I1975,$B1996)+COUNTIF(G1958:I1975,$B1996&amp;" ~*")&gt;0)+(IFERROR(INDEX(Setup!$G$33:$G$40,MATCH(K1996,Setup!$B$33:$B$40,0)),0)=1)*(COUNTIF(K1958:M1975,$B1996)+COUNTIF(K1958:M1975,$B1996&amp;" ~*")&gt;0)+(IFERROR(INDEX(Setup!$G$33:$G$40,MATCH(O1996,Setup!$B$33:$B$40,0)),0)=1)*(COUNTIF(O1958:Q1975,$B1996)+COUNTIF(O1958:Q1975,$B1996&amp;" ~*")&gt;0)+(IFERROR(INDEX(Setup!$G$33:$G$40,MATCH(S1996,Setup!$B$33:$B$40,0)),0)=1)*(COUNTIF(S1958:U1975,$B1996)+COUNTIF(S1958:U1975,$B1996&amp;" ~*")&gt;0)+(IFERROR(INDEX(Setup!$G$33:$G$40,MATCH(W1996,Setup!$B$33:$B$40,0)),0)=1)*(COUNTIF(W1958:W1975,$B1996)+COUNTIF(W1958:W1975,$B1996&amp;" ~*")&gt;0)+(IFERROR(INDEX(Setup!$G$33:$G$40,MATCH(Y1996,Setup!$B$33:$B$40,0)),0)=1)*(COUNTIF(Y1958:Y1975,$B1996)+COUNTIF(Y1958:Y1975,$B1996&amp;" ~*")&gt;0))</f>
        <v/>
      </c>
    </row>
    <row r="1997" ht="15" customHeight="1">
      <c r="A1997" t="n">
        <v>40</v>
      </c>
      <c r="B1997" s="35">
        <f>IF(Setup!$B$26="","",Setup!$B$26)</f>
        <v/>
      </c>
      <c r="C1997" s="98" t="n"/>
      <c r="D1997" s="99" t="n"/>
      <c r="E1997" s="99" t="n"/>
      <c r="F1997" s="100" t="n"/>
      <c r="G1997" s="98" t="n"/>
      <c r="H1997" s="99" t="n"/>
      <c r="I1997" s="99" t="n"/>
      <c r="J1997" s="100" t="n"/>
      <c r="K1997" s="98" t="n"/>
      <c r="L1997" s="99" t="n"/>
      <c r="M1997" s="99" t="n"/>
      <c r="N1997" s="100" t="n"/>
      <c r="O1997" s="98" t="n"/>
      <c r="P1997" s="99" t="n"/>
      <c r="Q1997" s="99" t="n"/>
      <c r="R1997" s="100" t="n"/>
      <c r="S1997" s="98" t="n"/>
      <c r="T1997" s="99" t="n"/>
      <c r="U1997" s="99" t="n"/>
      <c r="V1997" s="100" t="n"/>
      <c r="W1997" s="98" t="n"/>
      <c r="X1997" s="100" t="n"/>
      <c r="Y1997" s="98" t="n"/>
      <c r="Z1997" s="100" t="n"/>
      <c r="AB1997" s="101">
        <f>IF($B1997="","",(COUNTIF(C1958:E1975,$B1997)+COUNTIF(C1958:E1975,$B1997&amp;" ~*")&gt;0)+(COUNTIF(G1958:I1975,$B1997)+COUNTIF(G1958:I1975,$B1997&amp;" ~*")&gt;0)+(COUNTIF(K1958:M1975,$B1997)+COUNTIF(K1958:M1975,$B1997&amp;" ~*")&gt;0)+(COUNTIF(O1958:Q1975,$B1997)+COUNTIF(O1958:Q1975,$B1997&amp;" ~*")&gt;0)+(COUNTIF(S1958:U1975,$B1997)+COUNTIF(S1958:U1975,$B1997&amp;" ~*")&gt;0)+(COUNTIF(W1958:W1975,$B1997)+COUNTIF(W1958:W1975,$B1997&amp;" ~*")&gt;0)+(COUNTIF(Y1958:Y1975,$B1997)+COUNTIF(Y1958:Y1975,$B1997&amp;" ~*")&gt;0))</f>
        <v/>
      </c>
      <c r="AC1997" s="36">
        <f>IF($B1997="","",(IFERROR(INDEX(Setup!$G$33:$G$40,MATCH(C1997,Setup!$B$33:$B$40,0)),0)=1)*(COUNTIF(C1958:E1975,$B1997)+COUNTIF(C1958:E1975,$B1997&amp;" ~*")&gt;0)+(IFERROR(INDEX(Setup!$G$33:$G$40,MATCH(G1997,Setup!$B$33:$B$40,0)),0)=1)*(COUNTIF(G1958:I1975,$B1997)+COUNTIF(G1958:I1975,$B1997&amp;" ~*")&gt;0)+(IFERROR(INDEX(Setup!$G$33:$G$40,MATCH(K1997,Setup!$B$33:$B$40,0)),0)=1)*(COUNTIF(K1958:M1975,$B1997)+COUNTIF(K1958:M1975,$B1997&amp;" ~*")&gt;0)+(IFERROR(INDEX(Setup!$G$33:$G$40,MATCH(O1997,Setup!$B$33:$B$40,0)),0)=1)*(COUNTIF(O1958:Q1975,$B1997)+COUNTIF(O1958:Q1975,$B1997&amp;" ~*")&gt;0)+(IFERROR(INDEX(Setup!$G$33:$G$40,MATCH(S1997,Setup!$B$33:$B$40,0)),0)=1)*(COUNTIF(S1958:U1975,$B1997)+COUNTIF(S1958:U1975,$B1997&amp;" ~*")&gt;0)+(IFERROR(INDEX(Setup!$G$33:$G$40,MATCH(W1997,Setup!$B$33:$B$40,0)),0)=1)*(COUNTIF(W1958:W1975,$B1997)+COUNTIF(W1958:W1975,$B1997&amp;" ~*")&gt;0)+(IFERROR(INDEX(Setup!$G$33:$G$40,MATCH(Y1997,Setup!$B$33:$B$40,0)),0)=1)*(COUNTIF(Y1958:Y1975,$B1997)+COUNTIF(Y1958:Y1975,$B1997&amp;" ~*")&gt;0))</f>
        <v/>
      </c>
    </row>
    <row r="1998" ht="15" customHeight="1">
      <c r="A1998" t="n">
        <v>40</v>
      </c>
      <c r="B1998" s="37">
        <f>IF(Setup!$B$27="","",Setup!$B$27)</f>
        <v/>
      </c>
      <c r="C1998" s="102" t="n"/>
      <c r="D1998" s="103" t="n"/>
      <c r="E1998" s="103" t="n"/>
      <c r="F1998" s="104" t="n"/>
      <c r="G1998" s="102" t="n"/>
      <c r="H1998" s="103" t="n"/>
      <c r="I1998" s="103" t="n"/>
      <c r="J1998" s="104" t="n"/>
      <c r="K1998" s="102" t="n"/>
      <c r="L1998" s="103" t="n"/>
      <c r="M1998" s="103" t="n"/>
      <c r="N1998" s="104" t="n"/>
      <c r="O1998" s="102" t="n"/>
      <c r="P1998" s="103" t="n"/>
      <c r="Q1998" s="103" t="n"/>
      <c r="R1998" s="104" t="n"/>
      <c r="S1998" s="102" t="n"/>
      <c r="T1998" s="103" t="n"/>
      <c r="U1998" s="103" t="n"/>
      <c r="V1998" s="104" t="n"/>
      <c r="W1998" s="102" t="n"/>
      <c r="X1998" s="104" t="n"/>
      <c r="Y1998" s="102" t="n"/>
      <c r="Z1998" s="104" t="n"/>
      <c r="AB1998" s="105">
        <f>IF($B1998="","",(COUNTIF(C1958:E1975,$B1998)+COUNTIF(C1958:E1975,$B1998&amp;" ~*")&gt;0)+(COUNTIF(G1958:I1975,$B1998)+COUNTIF(G1958:I1975,$B1998&amp;" ~*")&gt;0)+(COUNTIF(K1958:M1975,$B1998)+COUNTIF(K1958:M1975,$B1998&amp;" ~*")&gt;0)+(COUNTIF(O1958:Q1975,$B1998)+COUNTIF(O1958:Q1975,$B1998&amp;" ~*")&gt;0)+(COUNTIF(S1958:U1975,$B1998)+COUNTIF(S1958:U1975,$B1998&amp;" ~*")&gt;0)+(COUNTIF(W1958:W1975,$B1998)+COUNTIF(W1958:W1975,$B1998&amp;" ~*")&gt;0)+(COUNTIF(Y1958:Y1975,$B1998)+COUNTIF(Y1958:Y1975,$B1998&amp;" ~*")&gt;0))</f>
        <v/>
      </c>
      <c r="AC1998" s="38">
        <f>IF($B1998="","",(IFERROR(INDEX(Setup!$G$33:$G$40,MATCH(C1998,Setup!$B$33:$B$40,0)),0)=1)*(COUNTIF(C1958:E1975,$B1998)+COUNTIF(C1958:E1975,$B1998&amp;" ~*")&gt;0)+(IFERROR(INDEX(Setup!$G$33:$G$40,MATCH(G1998,Setup!$B$33:$B$40,0)),0)=1)*(COUNTIF(G1958:I1975,$B1998)+COUNTIF(G1958:I1975,$B1998&amp;" ~*")&gt;0)+(IFERROR(INDEX(Setup!$G$33:$G$40,MATCH(K1998,Setup!$B$33:$B$40,0)),0)=1)*(COUNTIF(K1958:M1975,$B1998)+COUNTIF(K1958:M1975,$B1998&amp;" ~*")&gt;0)+(IFERROR(INDEX(Setup!$G$33:$G$40,MATCH(O1998,Setup!$B$33:$B$40,0)),0)=1)*(COUNTIF(O1958:Q1975,$B1998)+COUNTIF(O1958:Q1975,$B1998&amp;" ~*")&gt;0)+(IFERROR(INDEX(Setup!$G$33:$G$40,MATCH(S1998,Setup!$B$33:$B$40,0)),0)=1)*(COUNTIF(S1958:U1975,$B1998)+COUNTIF(S1958:U1975,$B1998&amp;" ~*")&gt;0)+(IFERROR(INDEX(Setup!$G$33:$G$40,MATCH(W1998,Setup!$B$33:$B$40,0)),0)=1)*(COUNTIF(W1958:W1975,$B1998)+COUNTIF(W1958:W1975,$B1998&amp;" ~*")&gt;0)+(IFERROR(INDEX(Setup!$G$33:$G$40,MATCH(Y1998,Setup!$B$33:$B$40,0)),0)=1)*(COUNTIF(Y1958:Y1975,$B1998)+COUNTIF(Y1958:Y1975,$B1998&amp;" ~*")&gt;0))</f>
        <v/>
      </c>
    </row>
    <row r="1999" ht="15" customHeight="1">
      <c r="A1999" t="n">
        <v>40</v>
      </c>
      <c r="B1999" s="35">
        <f>IF(Setup!$B$28="","",Setup!$B$28)</f>
        <v/>
      </c>
      <c r="C1999" s="98" t="n"/>
      <c r="D1999" s="99" t="n"/>
      <c r="E1999" s="99" t="n"/>
      <c r="F1999" s="100" t="n"/>
      <c r="G1999" s="98" t="n"/>
      <c r="H1999" s="99" t="n"/>
      <c r="I1999" s="99" t="n"/>
      <c r="J1999" s="100" t="n"/>
      <c r="K1999" s="98" t="n"/>
      <c r="L1999" s="99" t="n"/>
      <c r="M1999" s="99" t="n"/>
      <c r="N1999" s="100" t="n"/>
      <c r="O1999" s="98" t="n"/>
      <c r="P1999" s="99" t="n"/>
      <c r="Q1999" s="99" t="n"/>
      <c r="R1999" s="100" t="n"/>
      <c r="S1999" s="98" t="n"/>
      <c r="T1999" s="99" t="n"/>
      <c r="U1999" s="99" t="n"/>
      <c r="V1999" s="100" t="n"/>
      <c r="W1999" s="98" t="n"/>
      <c r="X1999" s="100" t="n"/>
      <c r="Y1999" s="98" t="n"/>
      <c r="Z1999" s="100" t="n"/>
      <c r="AB1999" s="101">
        <f>IF($B1999="","",(COUNTIF(C1958:E1975,$B1999)+COUNTIF(C1958:E1975,$B1999&amp;" ~*")&gt;0)+(COUNTIF(G1958:I1975,$B1999)+COUNTIF(G1958:I1975,$B1999&amp;" ~*")&gt;0)+(COUNTIF(K1958:M1975,$B1999)+COUNTIF(K1958:M1975,$B1999&amp;" ~*")&gt;0)+(COUNTIF(O1958:Q1975,$B1999)+COUNTIF(O1958:Q1975,$B1999&amp;" ~*")&gt;0)+(COUNTIF(S1958:U1975,$B1999)+COUNTIF(S1958:U1975,$B1999&amp;" ~*")&gt;0)+(COUNTIF(W1958:W1975,$B1999)+COUNTIF(W1958:W1975,$B1999&amp;" ~*")&gt;0)+(COUNTIF(Y1958:Y1975,$B1999)+COUNTIF(Y1958:Y1975,$B1999&amp;" ~*")&gt;0))</f>
        <v/>
      </c>
      <c r="AC1999" s="36">
        <f>IF($B1999="","",(IFERROR(INDEX(Setup!$G$33:$G$40,MATCH(C1999,Setup!$B$33:$B$40,0)),0)=1)*(COUNTIF(C1958:E1975,$B1999)+COUNTIF(C1958:E1975,$B1999&amp;" ~*")&gt;0)+(IFERROR(INDEX(Setup!$G$33:$G$40,MATCH(G1999,Setup!$B$33:$B$40,0)),0)=1)*(COUNTIF(G1958:I1975,$B1999)+COUNTIF(G1958:I1975,$B1999&amp;" ~*")&gt;0)+(IFERROR(INDEX(Setup!$G$33:$G$40,MATCH(K1999,Setup!$B$33:$B$40,0)),0)=1)*(COUNTIF(K1958:M1975,$B1999)+COUNTIF(K1958:M1975,$B1999&amp;" ~*")&gt;0)+(IFERROR(INDEX(Setup!$G$33:$G$40,MATCH(O1999,Setup!$B$33:$B$40,0)),0)=1)*(COUNTIF(O1958:Q1975,$B1999)+COUNTIF(O1958:Q1975,$B1999&amp;" ~*")&gt;0)+(IFERROR(INDEX(Setup!$G$33:$G$40,MATCH(S1999,Setup!$B$33:$B$40,0)),0)=1)*(COUNTIF(S1958:U1975,$B1999)+COUNTIF(S1958:U1975,$B1999&amp;" ~*")&gt;0)+(IFERROR(INDEX(Setup!$G$33:$G$40,MATCH(W1999,Setup!$B$33:$B$40,0)),0)=1)*(COUNTIF(W1958:W1975,$B1999)+COUNTIF(W1958:W1975,$B1999&amp;" ~*")&gt;0)+(IFERROR(INDEX(Setup!$G$33:$G$40,MATCH(Y1999,Setup!$B$33:$B$40,0)),0)=1)*(COUNTIF(Y1958:Y1975,$B1999)+COUNTIF(Y1958:Y1975,$B1999&amp;" ~*")&gt;0))</f>
        <v/>
      </c>
    </row>
    <row r="2000" ht="15" customHeight="1">
      <c r="A2000" t="n">
        <v>40</v>
      </c>
      <c r="B2000" s="37">
        <f>IF(Setup!$B$29="","",Setup!$B$29)</f>
        <v/>
      </c>
      <c r="C2000" s="102" t="n"/>
      <c r="D2000" s="103" t="n"/>
      <c r="E2000" s="103" t="n"/>
      <c r="F2000" s="104" t="n"/>
      <c r="G2000" s="102" t="n"/>
      <c r="H2000" s="103" t="n"/>
      <c r="I2000" s="103" t="n"/>
      <c r="J2000" s="104" t="n"/>
      <c r="K2000" s="102" t="n"/>
      <c r="L2000" s="103" t="n"/>
      <c r="M2000" s="103" t="n"/>
      <c r="N2000" s="104" t="n"/>
      <c r="O2000" s="102" t="n"/>
      <c r="P2000" s="103" t="n"/>
      <c r="Q2000" s="103" t="n"/>
      <c r="R2000" s="104" t="n"/>
      <c r="S2000" s="102" t="n"/>
      <c r="T2000" s="103" t="n"/>
      <c r="U2000" s="103" t="n"/>
      <c r="V2000" s="104" t="n"/>
      <c r="W2000" s="102" t="n"/>
      <c r="X2000" s="104" t="n"/>
      <c r="Y2000" s="102" t="n"/>
      <c r="Z2000" s="104" t="n"/>
      <c r="AB2000" s="105">
        <f>IF($B2000="","",(COUNTIF(C1958:E1975,$B2000)+COUNTIF(C1958:E1975,$B2000&amp;" ~*")&gt;0)+(COUNTIF(G1958:I1975,$B2000)+COUNTIF(G1958:I1975,$B2000&amp;" ~*")&gt;0)+(COUNTIF(K1958:M1975,$B2000)+COUNTIF(K1958:M1975,$B2000&amp;" ~*")&gt;0)+(COUNTIF(O1958:Q1975,$B2000)+COUNTIF(O1958:Q1975,$B2000&amp;" ~*")&gt;0)+(COUNTIF(S1958:U1975,$B2000)+COUNTIF(S1958:U1975,$B2000&amp;" ~*")&gt;0)+(COUNTIF(W1958:W1975,$B2000)+COUNTIF(W1958:W1975,$B2000&amp;" ~*")&gt;0)+(COUNTIF(Y1958:Y1975,$B2000)+COUNTIF(Y1958:Y1975,$B2000&amp;" ~*")&gt;0))</f>
        <v/>
      </c>
      <c r="AC2000" s="38">
        <f>IF($B2000="","",(IFERROR(INDEX(Setup!$G$33:$G$40,MATCH(C2000,Setup!$B$33:$B$40,0)),0)=1)*(COUNTIF(C1958:E1975,$B2000)+COUNTIF(C1958:E1975,$B2000&amp;" ~*")&gt;0)+(IFERROR(INDEX(Setup!$G$33:$G$40,MATCH(G2000,Setup!$B$33:$B$40,0)),0)=1)*(COUNTIF(G1958:I1975,$B2000)+COUNTIF(G1958:I1975,$B2000&amp;" ~*")&gt;0)+(IFERROR(INDEX(Setup!$G$33:$G$40,MATCH(K2000,Setup!$B$33:$B$40,0)),0)=1)*(COUNTIF(K1958:M1975,$B2000)+COUNTIF(K1958:M1975,$B2000&amp;" ~*")&gt;0)+(IFERROR(INDEX(Setup!$G$33:$G$40,MATCH(O2000,Setup!$B$33:$B$40,0)),0)=1)*(COUNTIF(O1958:Q1975,$B2000)+COUNTIF(O1958:Q1975,$B2000&amp;" ~*")&gt;0)+(IFERROR(INDEX(Setup!$G$33:$G$40,MATCH(S2000,Setup!$B$33:$B$40,0)),0)=1)*(COUNTIF(S1958:U1975,$B2000)+COUNTIF(S1958:U1975,$B2000&amp;" ~*")&gt;0)+(IFERROR(INDEX(Setup!$G$33:$G$40,MATCH(W2000,Setup!$B$33:$B$40,0)),0)=1)*(COUNTIF(W1958:W1975,$B2000)+COUNTIF(W1958:W1975,$B2000&amp;" ~*")&gt;0)+(IFERROR(INDEX(Setup!$G$33:$G$40,MATCH(Y2000,Setup!$B$33:$B$40,0)),0)=1)*(COUNTIF(Y1958:Y1975,$B2000)+COUNTIF(Y1958:Y1975,$B2000&amp;" ~*")&gt;0))</f>
        <v/>
      </c>
    </row>
    <row r="2001" ht="16" customHeight="1">
      <c r="A2001" t="n">
        <v>40</v>
      </c>
      <c r="B2001" s="106" t="inlineStr">
        <is>
          <t>Available people</t>
        </is>
      </c>
      <c r="C2001" s="107">
        <f>COUNTIFS(Setup!$E$6:$E$29,"Y",Setup!$B$6:$B$29,"?*")-SUMPRODUCT(COUNTIF(C1977:C2000,Setup!$F$33:$F$40))</f>
        <v/>
      </c>
      <c r="D2001" s="107" t="n"/>
      <c r="E2001" s="107" t="n"/>
      <c r="F2001" s="107" t="n"/>
      <c r="G2001" s="107">
        <f>COUNTIFS(Setup!$E$6:$E$29,"Y",Setup!$B$6:$B$29,"?*")-SUMPRODUCT(COUNTIF(G1977:G2000,Setup!$F$33:$F$40))</f>
        <v/>
      </c>
      <c r="H2001" s="107" t="n"/>
      <c r="I2001" s="107" t="n"/>
      <c r="J2001" s="107" t="n"/>
      <c r="K2001" s="107">
        <f>COUNTIFS(Setup!$E$6:$E$29,"Y",Setup!$B$6:$B$29,"?*")-SUMPRODUCT(COUNTIF(K1977:K2000,Setup!$F$33:$F$40))</f>
        <v/>
      </c>
      <c r="L2001" s="107" t="n"/>
      <c r="M2001" s="107" t="n"/>
      <c r="N2001" s="107" t="n"/>
      <c r="O2001" s="107">
        <f>COUNTIFS(Setup!$E$6:$E$29,"Y",Setup!$B$6:$B$29,"?*")-SUMPRODUCT(COUNTIF(O1977:O2000,Setup!$F$33:$F$40))</f>
        <v/>
      </c>
      <c r="P2001" s="107" t="n"/>
      <c r="Q2001" s="107" t="n"/>
      <c r="R2001" s="107" t="n"/>
      <c r="S2001" s="107">
        <f>COUNTIFS(Setup!$E$6:$E$29,"Y",Setup!$B$6:$B$29,"?*")-SUMPRODUCT(COUNTIF(S1977:S2000,Setup!$F$33:$F$40))</f>
        <v/>
      </c>
      <c r="T2001" s="107" t="n"/>
      <c r="U2001" s="107" t="n"/>
      <c r="V2001" s="107" t="n"/>
      <c r="W2001" s="107">
        <f>COUNTIFS(Setup!$E$6:$E$29,"Y",Setup!$B$6:$B$29,"?*")-SUMPRODUCT(COUNTIF(W1977:W2000,Setup!$F$33:$F$40))</f>
        <v/>
      </c>
      <c r="X2001" s="107" t="n"/>
      <c r="Y2001" s="107">
        <f>COUNTIFS(Setup!$E$6:$E$29,"Y",Setup!$B$6:$B$29,"?*")-SUMPRODUCT(COUNTIF(Y1977:Y2000,Setup!$F$33:$F$40))</f>
        <v/>
      </c>
      <c r="Z2001" s="107" t="n"/>
      <c r="AB2001" s="108">
        <f>SUM(AB1977:AB2000)</f>
        <v/>
      </c>
      <c r="AC2001" s="109">
        <f>SUM(AC1977:AC2000)</f>
        <v/>
      </c>
    </row>
    <row r="2002" ht="30" customHeight="1">
      <c r="A2002" t="n">
        <v>40</v>
      </c>
      <c r="B2002" s="110" t="inlineStr">
        <is>
          <t>Week notes</t>
        </is>
      </c>
      <c r="C2002" s="111" t="n"/>
      <c r="D2002" s="112" t="n"/>
      <c r="E2002" s="112" t="n"/>
      <c r="F2002" s="112" t="n"/>
      <c r="G2002" s="112" t="n"/>
      <c r="H2002" s="112" t="n"/>
      <c r="I2002" s="112" t="n"/>
      <c r="J2002" s="112" t="n"/>
      <c r="K2002" s="112" t="n"/>
      <c r="L2002" s="112" t="n"/>
      <c r="M2002" s="112" t="n"/>
      <c r="N2002" s="112" t="n"/>
      <c r="O2002" s="112" t="n"/>
      <c r="P2002" s="112" t="n"/>
      <c r="Q2002" s="112" t="n"/>
      <c r="R2002" s="112" t="n"/>
      <c r="S2002" s="112" t="n"/>
      <c r="T2002" s="112" t="n"/>
      <c r="U2002" s="112" t="n"/>
      <c r="V2002" s="112" t="n"/>
      <c r="W2002" s="112" t="n"/>
      <c r="X2002" s="112" t="n"/>
      <c r="Y2002" s="112" t="n"/>
      <c r="Z2002" s="113" t="n"/>
    </row>
    <row r="2003" ht="8" customHeight="1">
      <c r="A2003" t="n">
        <v>40</v>
      </c>
    </row>
    <row r="2004" ht="8" customHeight="1">
      <c r="A2004" t="n">
        <v>40</v>
      </c>
    </row>
    <row r="2005" ht="24" customHeight="1">
      <c r="A2005" t="n">
        <v>41</v>
      </c>
      <c r="B2005" s="73">
        <f>"WEEK 41     "&amp;TEXT(C2006,"ddd d mmm")&amp;"  –  "&amp;TEXT(C2006+6,"ddd d mmm yyyy")</f>
        <v/>
      </c>
      <c r="S2005" s="74">
        <f>IF(TODAY()&lt;C2006,"FUTURE",IF(TODAY()&gt;C2006+6,"PAST","THIS WEEK"))</f>
        <v/>
      </c>
      <c r="W2005" s="75">
        <f>IF(AND(Engine!$B$8=$AC$3,Engine!$B$9=$A2005),"◀ ACTIVE WEEK","")</f>
        <v/>
      </c>
      <c r="AA2005" s="76" t="n"/>
      <c r="AB2005" s="77" t="inlineStr">
        <is>
          <t>◀ Prev</t>
        </is>
      </c>
      <c r="AC2005" s="77" t="inlineStr">
        <is>
          <t>Next ▶</t>
        </is>
      </c>
    </row>
    <row r="2006" ht="18" customHeight="1">
      <c r="A2006" t="n">
        <v>41</v>
      </c>
      <c r="B2006" s="78" t="inlineStr">
        <is>
          <t>DUTY</t>
        </is>
      </c>
      <c r="C2006" s="79">
        <f>$AC$2+7*($A2006-1)</f>
        <v/>
      </c>
      <c r="D2006" s="80" t="n"/>
      <c r="E2006" s="80" t="n"/>
      <c r="F2006" s="81" t="n"/>
      <c r="G2006" s="79">
        <f>C2006+1</f>
        <v/>
      </c>
      <c r="H2006" s="80" t="n"/>
      <c r="I2006" s="80" t="n"/>
      <c r="J2006" s="81" t="n"/>
      <c r="K2006" s="79">
        <f>C2006+2</f>
        <v/>
      </c>
      <c r="L2006" s="80" t="n"/>
      <c r="M2006" s="80" t="n"/>
      <c r="N2006" s="81" t="n"/>
      <c r="O2006" s="79">
        <f>C2006+3</f>
        <v/>
      </c>
      <c r="P2006" s="80" t="n"/>
      <c r="Q2006" s="80" t="n"/>
      <c r="R2006" s="81" t="n"/>
      <c r="S2006" s="79">
        <f>C2006+4</f>
        <v/>
      </c>
      <c r="T2006" s="80" t="n"/>
      <c r="U2006" s="80" t="n"/>
      <c r="V2006" s="81" t="n"/>
      <c r="W2006" s="82">
        <f>C2006+5</f>
        <v/>
      </c>
      <c r="X2006" s="83" t="n"/>
      <c r="Y2006" s="82">
        <f>C2006+6</f>
        <v/>
      </c>
      <c r="Z2006" s="83" t="n"/>
      <c r="AB2006" s="72" t="inlineStr">
        <is>
          <t>Gaps</t>
        </is>
      </c>
      <c r="AC2006" s="72" t="inlineStr">
        <is>
          <t>Cover</t>
        </is>
      </c>
    </row>
    <row r="2007" ht="14" customHeight="1">
      <c r="A2007" t="n">
        <v>41</v>
      </c>
      <c r="B2007" s="84" t="inlineStr">
        <is>
          <t>(from Setup)</t>
        </is>
      </c>
      <c r="C2007" s="85" t="inlineStr">
        <is>
          <t>1</t>
        </is>
      </c>
      <c r="D2007" s="85" t="inlineStr">
        <is>
          <t>2</t>
        </is>
      </c>
      <c r="E2007" s="85" t="inlineStr">
        <is>
          <t>3</t>
        </is>
      </c>
      <c r="F2007" s="85" t="inlineStr">
        <is>
          <t>Notes</t>
        </is>
      </c>
      <c r="G2007" s="85" t="inlineStr">
        <is>
          <t>1</t>
        </is>
      </c>
      <c r="H2007" s="85" t="inlineStr">
        <is>
          <t>2</t>
        </is>
      </c>
      <c r="I2007" s="85" t="inlineStr">
        <is>
          <t>3</t>
        </is>
      </c>
      <c r="J2007" s="85" t="inlineStr">
        <is>
          <t>Notes</t>
        </is>
      </c>
      <c r="K2007" s="85" t="inlineStr">
        <is>
          <t>1</t>
        </is>
      </c>
      <c r="L2007" s="85" t="inlineStr">
        <is>
          <t>2</t>
        </is>
      </c>
      <c r="M2007" s="85" t="inlineStr">
        <is>
          <t>3</t>
        </is>
      </c>
      <c r="N2007" s="85" t="inlineStr">
        <is>
          <t>Notes</t>
        </is>
      </c>
      <c r="O2007" s="85" t="inlineStr">
        <is>
          <t>1</t>
        </is>
      </c>
      <c r="P2007" s="85" t="inlineStr">
        <is>
          <t>2</t>
        </is>
      </c>
      <c r="Q2007" s="85" t="inlineStr">
        <is>
          <t>3</t>
        </is>
      </c>
      <c r="R2007" s="85" t="inlineStr">
        <is>
          <t>Notes</t>
        </is>
      </c>
      <c r="S2007" s="85" t="inlineStr">
        <is>
          <t>1</t>
        </is>
      </c>
      <c r="T2007" s="85" t="inlineStr">
        <is>
          <t>2</t>
        </is>
      </c>
      <c r="U2007" s="85" t="inlineStr">
        <is>
          <t>3</t>
        </is>
      </c>
      <c r="V2007" s="85" t="inlineStr">
        <is>
          <t>Notes</t>
        </is>
      </c>
      <c r="W2007" s="85" t="inlineStr">
        <is>
          <t>Cover</t>
        </is>
      </c>
      <c r="X2007" s="85" t="inlineStr">
        <is>
          <t>Notes</t>
        </is>
      </c>
      <c r="Y2007" s="85" t="inlineStr">
        <is>
          <t>Cover</t>
        </is>
      </c>
      <c r="Z2007" s="85" t="inlineStr">
        <is>
          <t>Notes</t>
        </is>
      </c>
      <c r="AB2007" s="86" t="inlineStr">
        <is>
          <t>weekdays short</t>
        </is>
      </c>
      <c r="AC2007" s="87" t="inlineStr"/>
    </row>
    <row r="2008" ht="17" customHeight="1">
      <c r="A2008" t="n">
        <v>41</v>
      </c>
      <c r="B2008" s="24">
        <f>IF(Setup!$K$6="","",Setup!$K$6)</f>
        <v/>
      </c>
      <c r="C2008" s="88" t="n"/>
      <c r="D2008" s="88" t="n"/>
      <c r="E2008" s="88" t="n"/>
      <c r="F2008" s="89" t="n"/>
      <c r="G2008" s="88" t="n"/>
      <c r="H2008" s="88" t="n"/>
      <c r="I2008" s="88" t="n"/>
      <c r="J2008" s="89" t="n"/>
      <c r="K2008" s="88" t="n"/>
      <c r="L2008" s="88" t="n"/>
      <c r="M2008" s="88" t="n"/>
      <c r="N2008" s="89" t="n"/>
      <c r="O2008" s="88" t="n"/>
      <c r="P2008" s="88" t="n"/>
      <c r="Q2008" s="88" t="n"/>
      <c r="R2008" s="89" t="n"/>
      <c r="S2008" s="88" t="n"/>
      <c r="T2008" s="88" t="n"/>
      <c r="U2008" s="88" t="n"/>
      <c r="V2008" s="89" t="n"/>
      <c r="W2008" s="88" t="n"/>
      <c r="X2008" s="89" t="n"/>
      <c r="Y2008" s="88" t="n"/>
      <c r="Z2008" s="89" t="n"/>
      <c r="AB2008" s="25">
        <f>IF($B2008="","",(COUNTIF(C2008:E2008,"?*")&lt;N(INDEX(Setup!$L$6:$L$23,1)))+(COUNTIF(G2008:I2008,"?*")&lt;N(INDEX(Setup!$L$6:$L$23,1)))+(COUNTIF(K2008:M2008,"?*")&lt;N(INDEX(Setup!$L$6:$L$23,1)))+(COUNTIF(O2008:Q2008,"?*")&lt;N(INDEX(Setup!$L$6:$L$23,1)))+(COUNTIF(S2008:U2008,"?*")&lt;N(INDEX(Setup!$L$6:$L$23,1)))+((W2008="")*(INDEX(Setup!$M$6:$M$23,1)="Y"))+((Y2008="")*(INDEX(Setup!$M$6:$M$23,1)="Y")))</f>
        <v/>
      </c>
      <c r="AC2008" s="90">
        <f>IF($B2008="","",IF(AB2008=0,"✓ covered","⚠ "&amp;AB2008&amp;IF(AB2008=1," gap"," gaps")))</f>
        <v/>
      </c>
    </row>
    <row r="2009" ht="17" customHeight="1">
      <c r="A2009" t="n">
        <v>41</v>
      </c>
      <c r="B2009" s="29">
        <f>IF(Setup!$K$7="","",Setup!$K$7)</f>
        <v/>
      </c>
      <c r="C2009" s="88" t="n"/>
      <c r="D2009" s="88" t="n"/>
      <c r="E2009" s="88" t="n"/>
      <c r="F2009" s="89" t="n"/>
      <c r="G2009" s="88" t="n"/>
      <c r="H2009" s="88" t="n"/>
      <c r="I2009" s="88" t="n"/>
      <c r="J2009" s="89" t="n"/>
      <c r="K2009" s="88" t="n"/>
      <c r="L2009" s="88" t="n"/>
      <c r="M2009" s="88" t="n"/>
      <c r="N2009" s="89" t="n"/>
      <c r="O2009" s="88" t="n"/>
      <c r="P2009" s="88" t="n"/>
      <c r="Q2009" s="88" t="n"/>
      <c r="R2009" s="89" t="n"/>
      <c r="S2009" s="88" t="n"/>
      <c r="T2009" s="88" t="n"/>
      <c r="U2009" s="88" t="n"/>
      <c r="V2009" s="89" t="n"/>
      <c r="W2009" s="88" t="n"/>
      <c r="X2009" s="89" t="n"/>
      <c r="Y2009" s="88" t="n"/>
      <c r="Z2009" s="89" t="n"/>
      <c r="AB2009" s="30">
        <f>IF($B2009="","",(COUNTIF(C2009:E2009,"?*")&lt;N(INDEX(Setup!$L$6:$L$23,2)))+(COUNTIF(G2009:I2009,"?*")&lt;N(INDEX(Setup!$L$6:$L$23,2)))+(COUNTIF(K2009:M2009,"?*")&lt;N(INDEX(Setup!$L$6:$L$23,2)))+(COUNTIF(O2009:Q2009,"?*")&lt;N(INDEX(Setup!$L$6:$L$23,2)))+(COUNTIF(S2009:U2009,"?*")&lt;N(INDEX(Setup!$L$6:$L$23,2)))+((W2009="")*(INDEX(Setup!$M$6:$M$23,2)="Y"))+((Y2009="")*(INDEX(Setup!$M$6:$M$23,2)="Y")))</f>
        <v/>
      </c>
      <c r="AC2009" s="91">
        <f>IF($B2009="","",IF(AB2009=0,"✓ covered","⚠ "&amp;AB2009&amp;IF(AB2009=1," gap"," gaps")))</f>
        <v/>
      </c>
    </row>
    <row r="2010" ht="17" customHeight="1">
      <c r="A2010" t="n">
        <v>41</v>
      </c>
      <c r="B2010" s="24">
        <f>IF(Setup!$K$8="","",Setup!$K$8)</f>
        <v/>
      </c>
      <c r="C2010" s="88" t="n"/>
      <c r="D2010" s="88" t="n"/>
      <c r="E2010" s="88" t="n"/>
      <c r="F2010" s="89" t="n"/>
      <c r="G2010" s="88" t="n"/>
      <c r="H2010" s="88" t="n"/>
      <c r="I2010" s="88" t="n"/>
      <c r="J2010" s="89" t="n"/>
      <c r="K2010" s="88" t="n"/>
      <c r="L2010" s="88" t="n"/>
      <c r="M2010" s="88" t="n"/>
      <c r="N2010" s="89" t="n"/>
      <c r="O2010" s="88" t="n"/>
      <c r="P2010" s="88" t="n"/>
      <c r="Q2010" s="88" t="n"/>
      <c r="R2010" s="89" t="n"/>
      <c r="S2010" s="88" t="n"/>
      <c r="T2010" s="88" t="n"/>
      <c r="U2010" s="88" t="n"/>
      <c r="V2010" s="89" t="n"/>
      <c r="W2010" s="88" t="n"/>
      <c r="X2010" s="89" t="n"/>
      <c r="Y2010" s="88" t="n"/>
      <c r="Z2010" s="89" t="n"/>
      <c r="AB2010" s="25">
        <f>IF($B2010="","",(COUNTIF(C2010:E2010,"?*")&lt;N(INDEX(Setup!$L$6:$L$23,3)))+(COUNTIF(G2010:I2010,"?*")&lt;N(INDEX(Setup!$L$6:$L$23,3)))+(COUNTIF(K2010:M2010,"?*")&lt;N(INDEX(Setup!$L$6:$L$23,3)))+(COUNTIF(O2010:Q2010,"?*")&lt;N(INDEX(Setup!$L$6:$L$23,3)))+(COUNTIF(S2010:U2010,"?*")&lt;N(INDEX(Setup!$L$6:$L$23,3)))+((W2010="")*(INDEX(Setup!$M$6:$M$23,3)="Y"))+((Y2010="")*(INDEX(Setup!$M$6:$M$23,3)="Y")))</f>
        <v/>
      </c>
      <c r="AC2010" s="90">
        <f>IF($B2010="","",IF(AB2010=0,"✓ covered","⚠ "&amp;AB2010&amp;IF(AB2010=1," gap"," gaps")))</f>
        <v/>
      </c>
    </row>
    <row r="2011" ht="17" customHeight="1">
      <c r="A2011" t="n">
        <v>41</v>
      </c>
      <c r="B2011" s="29">
        <f>IF(Setup!$K$9="","",Setup!$K$9)</f>
        <v/>
      </c>
      <c r="C2011" s="88" t="n"/>
      <c r="D2011" s="88" t="n"/>
      <c r="E2011" s="88" t="n"/>
      <c r="F2011" s="89" t="n"/>
      <c r="G2011" s="88" t="n"/>
      <c r="H2011" s="88" t="n"/>
      <c r="I2011" s="88" t="n"/>
      <c r="J2011" s="89" t="n"/>
      <c r="K2011" s="88" t="n"/>
      <c r="L2011" s="88" t="n"/>
      <c r="M2011" s="88" t="n"/>
      <c r="N2011" s="89" t="n"/>
      <c r="O2011" s="88" t="n"/>
      <c r="P2011" s="88" t="n"/>
      <c r="Q2011" s="88" t="n"/>
      <c r="R2011" s="89" t="n"/>
      <c r="S2011" s="88" t="n"/>
      <c r="T2011" s="88" t="n"/>
      <c r="U2011" s="88" t="n"/>
      <c r="V2011" s="89" t="n"/>
      <c r="W2011" s="88" t="n"/>
      <c r="X2011" s="89" t="n"/>
      <c r="Y2011" s="88" t="n"/>
      <c r="Z2011" s="89" t="n"/>
      <c r="AB2011" s="30">
        <f>IF($B2011="","",(COUNTIF(C2011:E2011,"?*")&lt;N(INDEX(Setup!$L$6:$L$23,4)))+(COUNTIF(G2011:I2011,"?*")&lt;N(INDEX(Setup!$L$6:$L$23,4)))+(COUNTIF(K2011:M2011,"?*")&lt;N(INDEX(Setup!$L$6:$L$23,4)))+(COUNTIF(O2011:Q2011,"?*")&lt;N(INDEX(Setup!$L$6:$L$23,4)))+(COUNTIF(S2011:U2011,"?*")&lt;N(INDEX(Setup!$L$6:$L$23,4)))+((W2011="")*(INDEX(Setup!$M$6:$M$23,4)="Y"))+((Y2011="")*(INDEX(Setup!$M$6:$M$23,4)="Y")))</f>
        <v/>
      </c>
      <c r="AC2011" s="91">
        <f>IF($B2011="","",IF(AB2011=0,"✓ covered","⚠ "&amp;AB2011&amp;IF(AB2011=1," gap"," gaps")))</f>
        <v/>
      </c>
    </row>
    <row r="2012" ht="17" customHeight="1">
      <c r="A2012" t="n">
        <v>41</v>
      </c>
      <c r="B2012" s="24">
        <f>IF(Setup!$K$10="","",Setup!$K$10)</f>
        <v/>
      </c>
      <c r="C2012" s="88" t="n"/>
      <c r="D2012" s="88" t="n"/>
      <c r="E2012" s="88" t="n"/>
      <c r="F2012" s="89" t="n"/>
      <c r="G2012" s="88" t="n"/>
      <c r="H2012" s="88" t="n"/>
      <c r="I2012" s="88" t="n"/>
      <c r="J2012" s="89" t="n"/>
      <c r="K2012" s="88" t="n"/>
      <c r="L2012" s="88" t="n"/>
      <c r="M2012" s="88" t="n"/>
      <c r="N2012" s="89" t="n"/>
      <c r="O2012" s="88" t="n"/>
      <c r="P2012" s="88" t="n"/>
      <c r="Q2012" s="88" t="n"/>
      <c r="R2012" s="89" t="n"/>
      <c r="S2012" s="88" t="n"/>
      <c r="T2012" s="88" t="n"/>
      <c r="U2012" s="88" t="n"/>
      <c r="V2012" s="89" t="n"/>
      <c r="W2012" s="88" t="n"/>
      <c r="X2012" s="89" t="n"/>
      <c r="Y2012" s="88" t="n"/>
      <c r="Z2012" s="89" t="n"/>
      <c r="AB2012" s="25">
        <f>IF($B2012="","",(COUNTIF(C2012:E2012,"?*")&lt;N(INDEX(Setup!$L$6:$L$23,5)))+(COUNTIF(G2012:I2012,"?*")&lt;N(INDEX(Setup!$L$6:$L$23,5)))+(COUNTIF(K2012:M2012,"?*")&lt;N(INDEX(Setup!$L$6:$L$23,5)))+(COUNTIF(O2012:Q2012,"?*")&lt;N(INDEX(Setup!$L$6:$L$23,5)))+(COUNTIF(S2012:U2012,"?*")&lt;N(INDEX(Setup!$L$6:$L$23,5)))+((W2012="")*(INDEX(Setup!$M$6:$M$23,5)="Y"))+((Y2012="")*(INDEX(Setup!$M$6:$M$23,5)="Y")))</f>
        <v/>
      </c>
      <c r="AC2012" s="90">
        <f>IF($B2012="","",IF(AB2012=0,"✓ covered","⚠ "&amp;AB2012&amp;IF(AB2012=1," gap"," gaps")))</f>
        <v/>
      </c>
    </row>
    <row r="2013" ht="17" customHeight="1">
      <c r="A2013" t="n">
        <v>41</v>
      </c>
      <c r="B2013" s="29">
        <f>IF(Setup!$K$11="","",Setup!$K$11)</f>
        <v/>
      </c>
      <c r="C2013" s="88" t="n"/>
      <c r="D2013" s="88" t="n"/>
      <c r="E2013" s="88" t="n"/>
      <c r="F2013" s="89" t="n"/>
      <c r="G2013" s="88" t="n"/>
      <c r="H2013" s="88" t="n"/>
      <c r="I2013" s="88" t="n"/>
      <c r="J2013" s="89" t="n"/>
      <c r="K2013" s="88" t="n"/>
      <c r="L2013" s="88" t="n"/>
      <c r="M2013" s="88" t="n"/>
      <c r="N2013" s="89" t="n"/>
      <c r="O2013" s="88" t="n"/>
      <c r="P2013" s="88" t="n"/>
      <c r="Q2013" s="88" t="n"/>
      <c r="R2013" s="89" t="n"/>
      <c r="S2013" s="88" t="n"/>
      <c r="T2013" s="88" t="n"/>
      <c r="U2013" s="88" t="n"/>
      <c r="V2013" s="89" t="n"/>
      <c r="W2013" s="88" t="n"/>
      <c r="X2013" s="89" t="n"/>
      <c r="Y2013" s="88" t="n"/>
      <c r="Z2013" s="89" t="n"/>
      <c r="AB2013" s="30">
        <f>IF($B2013="","",(COUNTIF(C2013:E2013,"?*")&lt;N(INDEX(Setup!$L$6:$L$23,6)))+(COUNTIF(G2013:I2013,"?*")&lt;N(INDEX(Setup!$L$6:$L$23,6)))+(COUNTIF(K2013:M2013,"?*")&lt;N(INDEX(Setup!$L$6:$L$23,6)))+(COUNTIF(O2013:Q2013,"?*")&lt;N(INDEX(Setup!$L$6:$L$23,6)))+(COUNTIF(S2013:U2013,"?*")&lt;N(INDEX(Setup!$L$6:$L$23,6)))+((W2013="")*(INDEX(Setup!$M$6:$M$23,6)="Y"))+((Y2013="")*(INDEX(Setup!$M$6:$M$23,6)="Y")))</f>
        <v/>
      </c>
      <c r="AC2013" s="91">
        <f>IF($B2013="","",IF(AB2013=0,"✓ covered","⚠ "&amp;AB2013&amp;IF(AB2013=1," gap"," gaps")))</f>
        <v/>
      </c>
    </row>
    <row r="2014" ht="17" customHeight="1">
      <c r="A2014" t="n">
        <v>41</v>
      </c>
      <c r="B2014" s="24">
        <f>IF(Setup!$K$12="","",Setup!$K$12)</f>
        <v/>
      </c>
      <c r="C2014" s="88" t="n"/>
      <c r="D2014" s="88" t="n"/>
      <c r="E2014" s="88" t="n"/>
      <c r="F2014" s="89" t="n"/>
      <c r="G2014" s="88" t="n"/>
      <c r="H2014" s="88" t="n"/>
      <c r="I2014" s="88" t="n"/>
      <c r="J2014" s="89" t="n"/>
      <c r="K2014" s="88" t="n"/>
      <c r="L2014" s="88" t="n"/>
      <c r="M2014" s="88" t="n"/>
      <c r="N2014" s="89" t="n"/>
      <c r="O2014" s="88" t="n"/>
      <c r="P2014" s="88" t="n"/>
      <c r="Q2014" s="88" t="n"/>
      <c r="R2014" s="89" t="n"/>
      <c r="S2014" s="88" t="n"/>
      <c r="T2014" s="88" t="n"/>
      <c r="U2014" s="88" t="n"/>
      <c r="V2014" s="89" t="n"/>
      <c r="W2014" s="88" t="n"/>
      <c r="X2014" s="89" t="n"/>
      <c r="Y2014" s="88" t="n"/>
      <c r="Z2014" s="89" t="n"/>
      <c r="AB2014" s="25">
        <f>IF($B2014="","",(COUNTIF(C2014:E2014,"?*")&lt;N(INDEX(Setup!$L$6:$L$23,7)))+(COUNTIF(G2014:I2014,"?*")&lt;N(INDEX(Setup!$L$6:$L$23,7)))+(COUNTIF(K2014:M2014,"?*")&lt;N(INDEX(Setup!$L$6:$L$23,7)))+(COUNTIF(O2014:Q2014,"?*")&lt;N(INDEX(Setup!$L$6:$L$23,7)))+(COUNTIF(S2014:U2014,"?*")&lt;N(INDEX(Setup!$L$6:$L$23,7)))+((W2014="")*(INDEX(Setup!$M$6:$M$23,7)="Y"))+((Y2014="")*(INDEX(Setup!$M$6:$M$23,7)="Y")))</f>
        <v/>
      </c>
      <c r="AC2014" s="90">
        <f>IF($B2014="","",IF(AB2014=0,"✓ covered","⚠ "&amp;AB2014&amp;IF(AB2014=1," gap"," gaps")))</f>
        <v/>
      </c>
    </row>
    <row r="2015" ht="17" customHeight="1">
      <c r="A2015" t="n">
        <v>41</v>
      </c>
      <c r="B2015" s="29">
        <f>IF(Setup!$K$13="","",Setup!$K$13)</f>
        <v/>
      </c>
      <c r="C2015" s="88" t="n"/>
      <c r="D2015" s="88" t="n"/>
      <c r="E2015" s="88" t="n"/>
      <c r="F2015" s="89" t="n"/>
      <c r="G2015" s="88" t="n"/>
      <c r="H2015" s="88" t="n"/>
      <c r="I2015" s="88" t="n"/>
      <c r="J2015" s="89" t="n"/>
      <c r="K2015" s="88" t="n"/>
      <c r="L2015" s="88" t="n"/>
      <c r="M2015" s="88" t="n"/>
      <c r="N2015" s="89" t="n"/>
      <c r="O2015" s="88" t="n"/>
      <c r="P2015" s="88" t="n"/>
      <c r="Q2015" s="88" t="n"/>
      <c r="R2015" s="89" t="n"/>
      <c r="S2015" s="88" t="n"/>
      <c r="T2015" s="88" t="n"/>
      <c r="U2015" s="88" t="n"/>
      <c r="V2015" s="89" t="n"/>
      <c r="W2015" s="88" t="n"/>
      <c r="X2015" s="89" t="n"/>
      <c r="Y2015" s="88" t="n"/>
      <c r="Z2015" s="89" t="n"/>
      <c r="AB2015" s="30">
        <f>IF($B2015="","",(COUNTIF(C2015:E2015,"?*")&lt;N(INDEX(Setup!$L$6:$L$23,8)))+(COUNTIF(G2015:I2015,"?*")&lt;N(INDEX(Setup!$L$6:$L$23,8)))+(COUNTIF(K2015:M2015,"?*")&lt;N(INDEX(Setup!$L$6:$L$23,8)))+(COUNTIF(O2015:Q2015,"?*")&lt;N(INDEX(Setup!$L$6:$L$23,8)))+(COUNTIF(S2015:U2015,"?*")&lt;N(INDEX(Setup!$L$6:$L$23,8)))+((W2015="")*(INDEX(Setup!$M$6:$M$23,8)="Y"))+((Y2015="")*(INDEX(Setup!$M$6:$M$23,8)="Y")))</f>
        <v/>
      </c>
      <c r="AC2015" s="91">
        <f>IF($B2015="","",IF(AB2015=0,"✓ covered","⚠ "&amp;AB2015&amp;IF(AB2015=1," gap"," gaps")))</f>
        <v/>
      </c>
    </row>
    <row r="2016" ht="17" customHeight="1">
      <c r="A2016" t="n">
        <v>41</v>
      </c>
      <c r="B2016" s="24">
        <f>IF(Setup!$K$14="","",Setup!$K$14)</f>
        <v/>
      </c>
      <c r="C2016" s="88" t="n"/>
      <c r="D2016" s="88" t="n"/>
      <c r="E2016" s="88" t="n"/>
      <c r="F2016" s="89" t="n"/>
      <c r="G2016" s="88" t="n"/>
      <c r="H2016" s="88" t="n"/>
      <c r="I2016" s="88" t="n"/>
      <c r="J2016" s="89" t="n"/>
      <c r="K2016" s="88" t="n"/>
      <c r="L2016" s="88" t="n"/>
      <c r="M2016" s="88" t="n"/>
      <c r="N2016" s="89" t="n"/>
      <c r="O2016" s="88" t="n"/>
      <c r="P2016" s="88" t="n"/>
      <c r="Q2016" s="88" t="n"/>
      <c r="R2016" s="89" t="n"/>
      <c r="S2016" s="88" t="n"/>
      <c r="T2016" s="88" t="n"/>
      <c r="U2016" s="88" t="n"/>
      <c r="V2016" s="89" t="n"/>
      <c r="W2016" s="88" t="n"/>
      <c r="X2016" s="89" t="n"/>
      <c r="Y2016" s="88" t="n"/>
      <c r="Z2016" s="89" t="n"/>
      <c r="AB2016" s="25">
        <f>IF($B2016="","",(COUNTIF(C2016:E2016,"?*")&lt;N(INDEX(Setup!$L$6:$L$23,9)))+(COUNTIF(G2016:I2016,"?*")&lt;N(INDEX(Setup!$L$6:$L$23,9)))+(COUNTIF(K2016:M2016,"?*")&lt;N(INDEX(Setup!$L$6:$L$23,9)))+(COUNTIF(O2016:Q2016,"?*")&lt;N(INDEX(Setup!$L$6:$L$23,9)))+(COUNTIF(S2016:U2016,"?*")&lt;N(INDEX(Setup!$L$6:$L$23,9)))+((W2016="")*(INDEX(Setup!$M$6:$M$23,9)="Y"))+((Y2016="")*(INDEX(Setup!$M$6:$M$23,9)="Y")))</f>
        <v/>
      </c>
      <c r="AC2016" s="90">
        <f>IF($B2016="","",IF(AB2016=0,"✓ covered","⚠ "&amp;AB2016&amp;IF(AB2016=1," gap"," gaps")))</f>
        <v/>
      </c>
    </row>
    <row r="2017" ht="17" customHeight="1">
      <c r="A2017" t="n">
        <v>41</v>
      </c>
      <c r="B2017" s="29">
        <f>IF(Setup!$K$15="","",Setup!$K$15)</f>
        <v/>
      </c>
      <c r="C2017" s="88" t="n"/>
      <c r="D2017" s="88" t="n"/>
      <c r="E2017" s="88" t="n"/>
      <c r="F2017" s="89" t="n"/>
      <c r="G2017" s="88" t="n"/>
      <c r="H2017" s="88" t="n"/>
      <c r="I2017" s="88" t="n"/>
      <c r="J2017" s="89" t="n"/>
      <c r="K2017" s="88" t="n"/>
      <c r="L2017" s="88" t="n"/>
      <c r="M2017" s="88" t="n"/>
      <c r="N2017" s="89" t="n"/>
      <c r="O2017" s="88" t="n"/>
      <c r="P2017" s="88" t="n"/>
      <c r="Q2017" s="88" t="n"/>
      <c r="R2017" s="89" t="n"/>
      <c r="S2017" s="88" t="n"/>
      <c r="T2017" s="88" t="n"/>
      <c r="U2017" s="88" t="n"/>
      <c r="V2017" s="89" t="n"/>
      <c r="W2017" s="88" t="n"/>
      <c r="X2017" s="89" t="n"/>
      <c r="Y2017" s="88" t="n"/>
      <c r="Z2017" s="89" t="n"/>
      <c r="AB2017" s="30">
        <f>IF($B2017="","",(COUNTIF(C2017:E2017,"?*")&lt;N(INDEX(Setup!$L$6:$L$23,10)))+(COUNTIF(G2017:I2017,"?*")&lt;N(INDEX(Setup!$L$6:$L$23,10)))+(COUNTIF(K2017:M2017,"?*")&lt;N(INDEX(Setup!$L$6:$L$23,10)))+(COUNTIF(O2017:Q2017,"?*")&lt;N(INDEX(Setup!$L$6:$L$23,10)))+(COUNTIF(S2017:U2017,"?*")&lt;N(INDEX(Setup!$L$6:$L$23,10)))+((W2017="")*(INDEX(Setup!$M$6:$M$23,10)="Y"))+((Y2017="")*(INDEX(Setup!$M$6:$M$23,10)="Y")))</f>
        <v/>
      </c>
      <c r="AC2017" s="91">
        <f>IF($B2017="","",IF(AB2017=0,"✓ covered","⚠ "&amp;AB2017&amp;IF(AB2017=1," gap"," gaps")))</f>
        <v/>
      </c>
    </row>
    <row r="2018" ht="17" customHeight="1">
      <c r="A2018" t="n">
        <v>41</v>
      </c>
      <c r="B2018" s="24">
        <f>IF(Setup!$K$16="","",Setup!$K$16)</f>
        <v/>
      </c>
      <c r="C2018" s="88" t="n"/>
      <c r="D2018" s="88" t="n"/>
      <c r="E2018" s="88" t="n"/>
      <c r="F2018" s="89" t="n"/>
      <c r="G2018" s="88" t="n"/>
      <c r="H2018" s="88" t="n"/>
      <c r="I2018" s="88" t="n"/>
      <c r="J2018" s="89" t="n"/>
      <c r="K2018" s="88" t="n"/>
      <c r="L2018" s="88" t="n"/>
      <c r="M2018" s="88" t="n"/>
      <c r="N2018" s="89" t="n"/>
      <c r="O2018" s="88" t="n"/>
      <c r="P2018" s="88" t="n"/>
      <c r="Q2018" s="88" t="n"/>
      <c r="R2018" s="89" t="n"/>
      <c r="S2018" s="88" t="n"/>
      <c r="T2018" s="88" t="n"/>
      <c r="U2018" s="88" t="n"/>
      <c r="V2018" s="89" t="n"/>
      <c r="W2018" s="88" t="n"/>
      <c r="X2018" s="89" t="n"/>
      <c r="Y2018" s="88" t="n"/>
      <c r="Z2018" s="89" t="n"/>
      <c r="AB2018" s="25">
        <f>IF($B2018="","",(COUNTIF(C2018:E2018,"?*")&lt;N(INDEX(Setup!$L$6:$L$23,11)))+(COUNTIF(G2018:I2018,"?*")&lt;N(INDEX(Setup!$L$6:$L$23,11)))+(COUNTIF(K2018:M2018,"?*")&lt;N(INDEX(Setup!$L$6:$L$23,11)))+(COUNTIF(O2018:Q2018,"?*")&lt;N(INDEX(Setup!$L$6:$L$23,11)))+(COUNTIF(S2018:U2018,"?*")&lt;N(INDEX(Setup!$L$6:$L$23,11)))+((W2018="")*(INDEX(Setup!$M$6:$M$23,11)="Y"))+((Y2018="")*(INDEX(Setup!$M$6:$M$23,11)="Y")))</f>
        <v/>
      </c>
      <c r="AC2018" s="90">
        <f>IF($B2018="","",IF(AB2018=0,"✓ covered","⚠ "&amp;AB2018&amp;IF(AB2018=1," gap"," gaps")))</f>
        <v/>
      </c>
    </row>
    <row r="2019" ht="17" customHeight="1">
      <c r="A2019" t="n">
        <v>41</v>
      </c>
      <c r="B2019" s="29">
        <f>IF(Setup!$K$17="","",Setup!$K$17)</f>
        <v/>
      </c>
      <c r="C2019" s="88" t="n"/>
      <c r="D2019" s="88" t="n"/>
      <c r="E2019" s="88" t="n"/>
      <c r="F2019" s="89" t="n"/>
      <c r="G2019" s="88" t="n"/>
      <c r="H2019" s="88" t="n"/>
      <c r="I2019" s="88" t="n"/>
      <c r="J2019" s="89" t="n"/>
      <c r="K2019" s="88" t="n"/>
      <c r="L2019" s="88" t="n"/>
      <c r="M2019" s="88" t="n"/>
      <c r="N2019" s="89" t="n"/>
      <c r="O2019" s="88" t="n"/>
      <c r="P2019" s="88" t="n"/>
      <c r="Q2019" s="88" t="n"/>
      <c r="R2019" s="89" t="n"/>
      <c r="S2019" s="88" t="n"/>
      <c r="T2019" s="88" t="n"/>
      <c r="U2019" s="88" t="n"/>
      <c r="V2019" s="89" t="n"/>
      <c r="W2019" s="88" t="n"/>
      <c r="X2019" s="89" t="n"/>
      <c r="Y2019" s="88" t="n"/>
      <c r="Z2019" s="89" t="n"/>
      <c r="AB2019" s="30">
        <f>IF($B2019="","",(COUNTIF(C2019:E2019,"?*")&lt;N(INDEX(Setup!$L$6:$L$23,12)))+(COUNTIF(G2019:I2019,"?*")&lt;N(INDEX(Setup!$L$6:$L$23,12)))+(COUNTIF(K2019:M2019,"?*")&lt;N(INDEX(Setup!$L$6:$L$23,12)))+(COUNTIF(O2019:Q2019,"?*")&lt;N(INDEX(Setup!$L$6:$L$23,12)))+(COUNTIF(S2019:U2019,"?*")&lt;N(INDEX(Setup!$L$6:$L$23,12)))+((W2019="")*(INDEX(Setup!$M$6:$M$23,12)="Y"))+((Y2019="")*(INDEX(Setup!$M$6:$M$23,12)="Y")))</f>
        <v/>
      </c>
      <c r="AC2019" s="91">
        <f>IF($B2019="","",IF(AB2019=0,"✓ covered","⚠ "&amp;AB2019&amp;IF(AB2019=1," gap"," gaps")))</f>
        <v/>
      </c>
    </row>
    <row r="2020" ht="17" customHeight="1">
      <c r="A2020" t="n">
        <v>41</v>
      </c>
      <c r="B2020" s="24">
        <f>IF(Setup!$K$18="","",Setup!$K$18)</f>
        <v/>
      </c>
      <c r="C2020" s="88" t="n"/>
      <c r="D2020" s="88" t="n"/>
      <c r="E2020" s="88" t="n"/>
      <c r="F2020" s="89" t="n"/>
      <c r="G2020" s="88" t="n"/>
      <c r="H2020" s="88" t="n"/>
      <c r="I2020" s="88" t="n"/>
      <c r="J2020" s="89" t="n"/>
      <c r="K2020" s="88" t="n"/>
      <c r="L2020" s="88" t="n"/>
      <c r="M2020" s="88" t="n"/>
      <c r="N2020" s="89" t="n"/>
      <c r="O2020" s="88" t="n"/>
      <c r="P2020" s="88" t="n"/>
      <c r="Q2020" s="88" t="n"/>
      <c r="R2020" s="89" t="n"/>
      <c r="S2020" s="88" t="n"/>
      <c r="T2020" s="88" t="n"/>
      <c r="U2020" s="88" t="n"/>
      <c r="V2020" s="89" t="n"/>
      <c r="W2020" s="88" t="n"/>
      <c r="X2020" s="89" t="n"/>
      <c r="Y2020" s="88" t="n"/>
      <c r="Z2020" s="89" t="n"/>
      <c r="AB2020" s="25">
        <f>IF($B2020="","",(COUNTIF(C2020:E2020,"?*")&lt;N(INDEX(Setup!$L$6:$L$23,13)))+(COUNTIF(G2020:I2020,"?*")&lt;N(INDEX(Setup!$L$6:$L$23,13)))+(COUNTIF(K2020:M2020,"?*")&lt;N(INDEX(Setup!$L$6:$L$23,13)))+(COUNTIF(O2020:Q2020,"?*")&lt;N(INDEX(Setup!$L$6:$L$23,13)))+(COUNTIF(S2020:U2020,"?*")&lt;N(INDEX(Setup!$L$6:$L$23,13)))+((W2020="")*(INDEX(Setup!$M$6:$M$23,13)="Y"))+((Y2020="")*(INDEX(Setup!$M$6:$M$23,13)="Y")))</f>
        <v/>
      </c>
      <c r="AC2020" s="90">
        <f>IF($B2020="","",IF(AB2020=0,"✓ covered","⚠ "&amp;AB2020&amp;IF(AB2020=1," gap"," gaps")))</f>
        <v/>
      </c>
    </row>
    <row r="2021" ht="17" customHeight="1">
      <c r="A2021" t="n">
        <v>41</v>
      </c>
      <c r="B2021" s="29">
        <f>IF(Setup!$K$19="","",Setup!$K$19)</f>
        <v/>
      </c>
      <c r="C2021" s="88" t="n"/>
      <c r="D2021" s="88" t="n"/>
      <c r="E2021" s="88" t="n"/>
      <c r="F2021" s="89" t="n"/>
      <c r="G2021" s="88" t="n"/>
      <c r="H2021" s="88" t="n"/>
      <c r="I2021" s="88" t="n"/>
      <c r="J2021" s="89" t="n"/>
      <c r="K2021" s="88" t="n"/>
      <c r="L2021" s="88" t="n"/>
      <c r="M2021" s="88" t="n"/>
      <c r="N2021" s="89" t="n"/>
      <c r="O2021" s="88" t="n"/>
      <c r="P2021" s="88" t="n"/>
      <c r="Q2021" s="88" t="n"/>
      <c r="R2021" s="89" t="n"/>
      <c r="S2021" s="88" t="n"/>
      <c r="T2021" s="88" t="n"/>
      <c r="U2021" s="88" t="n"/>
      <c r="V2021" s="89" t="n"/>
      <c r="W2021" s="88" t="n"/>
      <c r="X2021" s="89" t="n"/>
      <c r="Y2021" s="88" t="n"/>
      <c r="Z2021" s="89" t="n"/>
      <c r="AB2021" s="30">
        <f>IF($B2021="","",(COUNTIF(C2021:E2021,"?*")&lt;N(INDEX(Setup!$L$6:$L$23,14)))+(COUNTIF(G2021:I2021,"?*")&lt;N(INDEX(Setup!$L$6:$L$23,14)))+(COUNTIF(K2021:M2021,"?*")&lt;N(INDEX(Setup!$L$6:$L$23,14)))+(COUNTIF(O2021:Q2021,"?*")&lt;N(INDEX(Setup!$L$6:$L$23,14)))+(COUNTIF(S2021:U2021,"?*")&lt;N(INDEX(Setup!$L$6:$L$23,14)))+((W2021="")*(INDEX(Setup!$M$6:$M$23,14)="Y"))+((Y2021="")*(INDEX(Setup!$M$6:$M$23,14)="Y")))</f>
        <v/>
      </c>
      <c r="AC2021" s="91">
        <f>IF($B2021="","",IF(AB2021=0,"✓ covered","⚠ "&amp;AB2021&amp;IF(AB2021=1," gap"," gaps")))</f>
        <v/>
      </c>
    </row>
    <row r="2022" ht="17" customHeight="1">
      <c r="A2022" t="n">
        <v>41</v>
      </c>
      <c r="B2022" s="24">
        <f>IF(Setup!$K$20="","",Setup!$K$20)</f>
        <v/>
      </c>
      <c r="C2022" s="88" t="n"/>
      <c r="D2022" s="88" t="n"/>
      <c r="E2022" s="88" t="n"/>
      <c r="F2022" s="89" t="n"/>
      <c r="G2022" s="88" t="n"/>
      <c r="H2022" s="88" t="n"/>
      <c r="I2022" s="88" t="n"/>
      <c r="J2022" s="89" t="n"/>
      <c r="K2022" s="88" t="n"/>
      <c r="L2022" s="88" t="n"/>
      <c r="M2022" s="88" t="n"/>
      <c r="N2022" s="89" t="n"/>
      <c r="O2022" s="88" t="n"/>
      <c r="P2022" s="88" t="n"/>
      <c r="Q2022" s="88" t="n"/>
      <c r="R2022" s="89" t="n"/>
      <c r="S2022" s="88" t="n"/>
      <c r="T2022" s="88" t="n"/>
      <c r="U2022" s="88" t="n"/>
      <c r="V2022" s="89" t="n"/>
      <c r="W2022" s="88" t="n"/>
      <c r="X2022" s="89" t="n"/>
      <c r="Y2022" s="88" t="n"/>
      <c r="Z2022" s="89" t="n"/>
      <c r="AB2022" s="25">
        <f>IF($B2022="","",(COUNTIF(C2022:E2022,"?*")&lt;N(INDEX(Setup!$L$6:$L$23,15)))+(COUNTIF(G2022:I2022,"?*")&lt;N(INDEX(Setup!$L$6:$L$23,15)))+(COUNTIF(K2022:M2022,"?*")&lt;N(INDEX(Setup!$L$6:$L$23,15)))+(COUNTIF(O2022:Q2022,"?*")&lt;N(INDEX(Setup!$L$6:$L$23,15)))+(COUNTIF(S2022:U2022,"?*")&lt;N(INDEX(Setup!$L$6:$L$23,15)))+((W2022="")*(INDEX(Setup!$M$6:$M$23,15)="Y"))+((Y2022="")*(INDEX(Setup!$M$6:$M$23,15)="Y")))</f>
        <v/>
      </c>
      <c r="AC2022" s="90">
        <f>IF($B2022="","",IF(AB2022=0,"✓ covered","⚠ "&amp;AB2022&amp;IF(AB2022=1," gap"," gaps")))</f>
        <v/>
      </c>
    </row>
    <row r="2023" ht="17" customHeight="1">
      <c r="A2023" t="n">
        <v>41</v>
      </c>
      <c r="B2023" s="29">
        <f>IF(Setup!$K$21="","",Setup!$K$21)</f>
        <v/>
      </c>
      <c r="C2023" s="88" t="n"/>
      <c r="D2023" s="88" t="n"/>
      <c r="E2023" s="88" t="n"/>
      <c r="F2023" s="89" t="n"/>
      <c r="G2023" s="88" t="n"/>
      <c r="H2023" s="88" t="n"/>
      <c r="I2023" s="88" t="n"/>
      <c r="J2023" s="89" t="n"/>
      <c r="K2023" s="88" t="n"/>
      <c r="L2023" s="88" t="n"/>
      <c r="M2023" s="88" t="n"/>
      <c r="N2023" s="89" t="n"/>
      <c r="O2023" s="88" t="n"/>
      <c r="P2023" s="88" t="n"/>
      <c r="Q2023" s="88" t="n"/>
      <c r="R2023" s="89" t="n"/>
      <c r="S2023" s="88" t="n"/>
      <c r="T2023" s="88" t="n"/>
      <c r="U2023" s="88" t="n"/>
      <c r="V2023" s="89" t="n"/>
      <c r="W2023" s="88" t="n"/>
      <c r="X2023" s="89" t="n"/>
      <c r="Y2023" s="88" t="n"/>
      <c r="Z2023" s="89" t="n"/>
      <c r="AB2023" s="30">
        <f>IF($B2023="","",(COUNTIF(C2023:E2023,"?*")&lt;N(INDEX(Setup!$L$6:$L$23,16)))+(COUNTIF(G2023:I2023,"?*")&lt;N(INDEX(Setup!$L$6:$L$23,16)))+(COUNTIF(K2023:M2023,"?*")&lt;N(INDEX(Setup!$L$6:$L$23,16)))+(COUNTIF(O2023:Q2023,"?*")&lt;N(INDEX(Setup!$L$6:$L$23,16)))+(COUNTIF(S2023:U2023,"?*")&lt;N(INDEX(Setup!$L$6:$L$23,16)))+((W2023="")*(INDEX(Setup!$M$6:$M$23,16)="Y"))+((Y2023="")*(INDEX(Setup!$M$6:$M$23,16)="Y")))</f>
        <v/>
      </c>
      <c r="AC2023" s="91">
        <f>IF($B2023="","",IF(AB2023=0,"✓ covered","⚠ "&amp;AB2023&amp;IF(AB2023=1," gap"," gaps")))</f>
        <v/>
      </c>
    </row>
    <row r="2024" ht="17" customHeight="1">
      <c r="A2024" t="n">
        <v>41</v>
      </c>
      <c r="B2024" s="24">
        <f>IF(Setup!$K$22="","",Setup!$K$22)</f>
        <v/>
      </c>
      <c r="C2024" s="88" t="n"/>
      <c r="D2024" s="88" t="n"/>
      <c r="E2024" s="88" t="n"/>
      <c r="F2024" s="89" t="n"/>
      <c r="G2024" s="88" t="n"/>
      <c r="H2024" s="88" t="n"/>
      <c r="I2024" s="88" t="n"/>
      <c r="J2024" s="89" t="n"/>
      <c r="K2024" s="88" t="n"/>
      <c r="L2024" s="88" t="n"/>
      <c r="M2024" s="88" t="n"/>
      <c r="N2024" s="89" t="n"/>
      <c r="O2024" s="88" t="n"/>
      <c r="P2024" s="88" t="n"/>
      <c r="Q2024" s="88" t="n"/>
      <c r="R2024" s="89" t="n"/>
      <c r="S2024" s="88" t="n"/>
      <c r="T2024" s="88" t="n"/>
      <c r="U2024" s="88" t="n"/>
      <c r="V2024" s="89" t="n"/>
      <c r="W2024" s="88" t="n"/>
      <c r="X2024" s="89" t="n"/>
      <c r="Y2024" s="88" t="n"/>
      <c r="Z2024" s="89" t="n"/>
      <c r="AB2024" s="25">
        <f>IF($B2024="","",(COUNTIF(C2024:E2024,"?*")&lt;N(INDEX(Setup!$L$6:$L$23,17)))+(COUNTIF(G2024:I2024,"?*")&lt;N(INDEX(Setup!$L$6:$L$23,17)))+(COUNTIF(K2024:M2024,"?*")&lt;N(INDEX(Setup!$L$6:$L$23,17)))+(COUNTIF(O2024:Q2024,"?*")&lt;N(INDEX(Setup!$L$6:$L$23,17)))+(COUNTIF(S2024:U2024,"?*")&lt;N(INDEX(Setup!$L$6:$L$23,17)))+((W2024="")*(INDEX(Setup!$M$6:$M$23,17)="Y"))+((Y2024="")*(INDEX(Setup!$M$6:$M$23,17)="Y")))</f>
        <v/>
      </c>
      <c r="AC2024" s="90">
        <f>IF($B2024="","",IF(AB2024=0,"✓ covered","⚠ "&amp;AB2024&amp;IF(AB2024=1," gap"," gaps")))</f>
        <v/>
      </c>
    </row>
    <row r="2025" ht="17" customHeight="1">
      <c r="A2025" t="n">
        <v>41</v>
      </c>
      <c r="B2025" s="29">
        <f>IF(Setup!$K$23="","",Setup!$K$23)</f>
        <v/>
      </c>
      <c r="C2025" s="88" t="n"/>
      <c r="D2025" s="88" t="n"/>
      <c r="E2025" s="88" t="n"/>
      <c r="F2025" s="89" t="n"/>
      <c r="G2025" s="88" t="n"/>
      <c r="H2025" s="88" t="n"/>
      <c r="I2025" s="88" t="n"/>
      <c r="J2025" s="89" t="n"/>
      <c r="K2025" s="88" t="n"/>
      <c r="L2025" s="88" t="n"/>
      <c r="M2025" s="88" t="n"/>
      <c r="N2025" s="89" t="n"/>
      <c r="O2025" s="88" t="n"/>
      <c r="P2025" s="88" t="n"/>
      <c r="Q2025" s="88" t="n"/>
      <c r="R2025" s="89" t="n"/>
      <c r="S2025" s="88" t="n"/>
      <c r="T2025" s="88" t="n"/>
      <c r="U2025" s="88" t="n"/>
      <c r="V2025" s="89" t="n"/>
      <c r="W2025" s="88" t="n"/>
      <c r="X2025" s="89" t="n"/>
      <c r="Y2025" s="88" t="n"/>
      <c r="Z2025" s="89" t="n"/>
      <c r="AB2025" s="30">
        <f>IF($B2025="","",(COUNTIF(C2025:E2025,"?*")&lt;N(INDEX(Setup!$L$6:$L$23,18)))+(COUNTIF(G2025:I2025,"?*")&lt;N(INDEX(Setup!$L$6:$L$23,18)))+(COUNTIF(K2025:M2025,"?*")&lt;N(INDEX(Setup!$L$6:$L$23,18)))+(COUNTIF(O2025:Q2025,"?*")&lt;N(INDEX(Setup!$L$6:$L$23,18)))+(COUNTIF(S2025:U2025,"?*")&lt;N(INDEX(Setup!$L$6:$L$23,18)))+((W2025="")*(INDEX(Setup!$M$6:$M$23,18)="Y"))+((Y2025="")*(INDEX(Setup!$M$6:$M$23,18)="Y")))</f>
        <v/>
      </c>
      <c r="AC2025" s="91">
        <f>IF($B2025="","",IF(AB2025=0,"✓ covered","⚠ "&amp;AB2025&amp;IF(AB2025=1," gap"," gaps")))</f>
        <v/>
      </c>
    </row>
    <row r="2026" ht="18" customHeight="1">
      <c r="A2026" t="n">
        <v>41</v>
      </c>
      <c r="B2026" s="78" t="inlineStr">
        <is>
          <t>TEAM AVAILABILITY</t>
        </is>
      </c>
      <c r="C2026" s="92" t="inlineStr">
        <is>
          <t>Mon</t>
        </is>
      </c>
      <c r="D2026" s="93" t="n"/>
      <c r="E2026" s="93" t="n"/>
      <c r="F2026" s="94" t="n"/>
      <c r="G2026" s="92" t="inlineStr">
        <is>
          <t>Tue</t>
        </is>
      </c>
      <c r="H2026" s="93" t="n"/>
      <c r="I2026" s="93" t="n"/>
      <c r="J2026" s="94" t="n"/>
      <c r="K2026" s="92" t="inlineStr">
        <is>
          <t>Wed</t>
        </is>
      </c>
      <c r="L2026" s="93" t="n"/>
      <c r="M2026" s="93" t="n"/>
      <c r="N2026" s="94" t="n"/>
      <c r="O2026" s="92" t="inlineStr">
        <is>
          <t>Thu</t>
        </is>
      </c>
      <c r="P2026" s="93" t="n"/>
      <c r="Q2026" s="93" t="n"/>
      <c r="R2026" s="94" t="n"/>
      <c r="S2026" s="92" t="inlineStr">
        <is>
          <t>Fri</t>
        </is>
      </c>
      <c r="T2026" s="93" t="n"/>
      <c r="U2026" s="93" t="n"/>
      <c r="V2026" s="94" t="n"/>
      <c r="W2026" s="95" t="inlineStr">
        <is>
          <t>Sat</t>
        </is>
      </c>
      <c r="X2026" s="96" t="n"/>
      <c r="Y2026" s="95" t="inlineStr">
        <is>
          <t>Sun</t>
        </is>
      </c>
      <c r="Z2026" s="96" t="n"/>
      <c r="AB2026" s="97" t="inlineStr">
        <is>
          <t>Days rostered</t>
        </is>
      </c>
      <c r="AC2026" s="97" t="inlineStr">
        <is>
          <t>Conflicts</t>
        </is>
      </c>
    </row>
    <row r="2027" ht="15" customHeight="1">
      <c r="A2027" t="n">
        <v>41</v>
      </c>
      <c r="B2027" s="35">
        <f>IF(Setup!$B$6="","",Setup!$B$6)</f>
        <v/>
      </c>
      <c r="C2027" s="98" t="n"/>
      <c r="D2027" s="99" t="n"/>
      <c r="E2027" s="99" t="n"/>
      <c r="F2027" s="100" t="n"/>
      <c r="G2027" s="98" t="n"/>
      <c r="H2027" s="99" t="n"/>
      <c r="I2027" s="99" t="n"/>
      <c r="J2027" s="100" t="n"/>
      <c r="K2027" s="98" t="n"/>
      <c r="L2027" s="99" t="n"/>
      <c r="M2027" s="99" t="n"/>
      <c r="N2027" s="100" t="n"/>
      <c r="O2027" s="98" t="n"/>
      <c r="P2027" s="99" t="n"/>
      <c r="Q2027" s="99" t="n"/>
      <c r="R2027" s="100" t="n"/>
      <c r="S2027" s="98" t="n"/>
      <c r="T2027" s="99" t="n"/>
      <c r="U2027" s="99" t="n"/>
      <c r="V2027" s="100" t="n"/>
      <c r="W2027" s="98" t="n"/>
      <c r="X2027" s="100" t="n"/>
      <c r="Y2027" s="98" t="n"/>
      <c r="Z2027" s="100" t="n"/>
      <c r="AB2027" s="101">
        <f>IF($B2027="","",(COUNTIF(C2008:E2025,$B2027)+COUNTIF(C2008:E2025,$B2027&amp;" ~*")&gt;0)+(COUNTIF(G2008:I2025,$B2027)+COUNTIF(G2008:I2025,$B2027&amp;" ~*")&gt;0)+(COUNTIF(K2008:M2025,$B2027)+COUNTIF(K2008:M2025,$B2027&amp;" ~*")&gt;0)+(COUNTIF(O2008:Q2025,$B2027)+COUNTIF(O2008:Q2025,$B2027&amp;" ~*")&gt;0)+(COUNTIF(S2008:U2025,$B2027)+COUNTIF(S2008:U2025,$B2027&amp;" ~*")&gt;0)+(COUNTIF(W2008:W2025,$B2027)+COUNTIF(W2008:W2025,$B2027&amp;" ~*")&gt;0)+(COUNTIF(Y2008:Y2025,$B2027)+COUNTIF(Y2008:Y2025,$B2027&amp;" ~*")&gt;0))</f>
        <v/>
      </c>
      <c r="AC2027" s="36">
        <f>IF($B2027="","",(IFERROR(INDEX(Setup!$G$33:$G$40,MATCH(C2027,Setup!$B$33:$B$40,0)),0)=1)*(COUNTIF(C2008:E2025,$B2027)+COUNTIF(C2008:E2025,$B2027&amp;" ~*")&gt;0)+(IFERROR(INDEX(Setup!$G$33:$G$40,MATCH(G2027,Setup!$B$33:$B$40,0)),0)=1)*(COUNTIF(G2008:I2025,$B2027)+COUNTIF(G2008:I2025,$B2027&amp;" ~*")&gt;0)+(IFERROR(INDEX(Setup!$G$33:$G$40,MATCH(K2027,Setup!$B$33:$B$40,0)),0)=1)*(COUNTIF(K2008:M2025,$B2027)+COUNTIF(K2008:M2025,$B2027&amp;" ~*")&gt;0)+(IFERROR(INDEX(Setup!$G$33:$G$40,MATCH(O2027,Setup!$B$33:$B$40,0)),0)=1)*(COUNTIF(O2008:Q2025,$B2027)+COUNTIF(O2008:Q2025,$B2027&amp;" ~*")&gt;0)+(IFERROR(INDEX(Setup!$G$33:$G$40,MATCH(S2027,Setup!$B$33:$B$40,0)),0)=1)*(COUNTIF(S2008:U2025,$B2027)+COUNTIF(S2008:U2025,$B2027&amp;" ~*")&gt;0)+(IFERROR(INDEX(Setup!$G$33:$G$40,MATCH(W2027,Setup!$B$33:$B$40,0)),0)=1)*(COUNTIF(W2008:W2025,$B2027)+COUNTIF(W2008:W2025,$B2027&amp;" ~*")&gt;0)+(IFERROR(INDEX(Setup!$G$33:$G$40,MATCH(Y2027,Setup!$B$33:$B$40,0)),0)=1)*(COUNTIF(Y2008:Y2025,$B2027)+COUNTIF(Y2008:Y2025,$B2027&amp;" ~*")&gt;0))</f>
        <v/>
      </c>
    </row>
    <row r="2028" ht="15" customHeight="1">
      <c r="A2028" t="n">
        <v>41</v>
      </c>
      <c r="B2028" s="37">
        <f>IF(Setup!$B$7="","",Setup!$B$7)</f>
        <v/>
      </c>
      <c r="C2028" s="102" t="n"/>
      <c r="D2028" s="103" t="n"/>
      <c r="E2028" s="103" t="n"/>
      <c r="F2028" s="104" t="n"/>
      <c r="G2028" s="102" t="n"/>
      <c r="H2028" s="103" t="n"/>
      <c r="I2028" s="103" t="n"/>
      <c r="J2028" s="104" t="n"/>
      <c r="K2028" s="102" t="n"/>
      <c r="L2028" s="103" t="n"/>
      <c r="M2028" s="103" t="n"/>
      <c r="N2028" s="104" t="n"/>
      <c r="O2028" s="102" t="n"/>
      <c r="P2028" s="103" t="n"/>
      <c r="Q2028" s="103" t="n"/>
      <c r="R2028" s="104" t="n"/>
      <c r="S2028" s="102" t="n"/>
      <c r="T2028" s="103" t="n"/>
      <c r="U2028" s="103" t="n"/>
      <c r="V2028" s="104" t="n"/>
      <c r="W2028" s="102" t="n"/>
      <c r="X2028" s="104" t="n"/>
      <c r="Y2028" s="102" t="n"/>
      <c r="Z2028" s="104" t="n"/>
      <c r="AB2028" s="105">
        <f>IF($B2028="","",(COUNTIF(C2008:E2025,$B2028)+COUNTIF(C2008:E2025,$B2028&amp;" ~*")&gt;0)+(COUNTIF(G2008:I2025,$B2028)+COUNTIF(G2008:I2025,$B2028&amp;" ~*")&gt;0)+(COUNTIF(K2008:M2025,$B2028)+COUNTIF(K2008:M2025,$B2028&amp;" ~*")&gt;0)+(COUNTIF(O2008:Q2025,$B2028)+COUNTIF(O2008:Q2025,$B2028&amp;" ~*")&gt;0)+(COUNTIF(S2008:U2025,$B2028)+COUNTIF(S2008:U2025,$B2028&amp;" ~*")&gt;0)+(COUNTIF(W2008:W2025,$B2028)+COUNTIF(W2008:W2025,$B2028&amp;" ~*")&gt;0)+(COUNTIF(Y2008:Y2025,$B2028)+COUNTIF(Y2008:Y2025,$B2028&amp;" ~*")&gt;0))</f>
        <v/>
      </c>
      <c r="AC2028" s="38">
        <f>IF($B2028="","",(IFERROR(INDEX(Setup!$G$33:$G$40,MATCH(C2028,Setup!$B$33:$B$40,0)),0)=1)*(COUNTIF(C2008:E2025,$B2028)+COUNTIF(C2008:E2025,$B2028&amp;" ~*")&gt;0)+(IFERROR(INDEX(Setup!$G$33:$G$40,MATCH(G2028,Setup!$B$33:$B$40,0)),0)=1)*(COUNTIF(G2008:I2025,$B2028)+COUNTIF(G2008:I2025,$B2028&amp;" ~*")&gt;0)+(IFERROR(INDEX(Setup!$G$33:$G$40,MATCH(K2028,Setup!$B$33:$B$40,0)),0)=1)*(COUNTIF(K2008:M2025,$B2028)+COUNTIF(K2008:M2025,$B2028&amp;" ~*")&gt;0)+(IFERROR(INDEX(Setup!$G$33:$G$40,MATCH(O2028,Setup!$B$33:$B$40,0)),0)=1)*(COUNTIF(O2008:Q2025,$B2028)+COUNTIF(O2008:Q2025,$B2028&amp;" ~*")&gt;0)+(IFERROR(INDEX(Setup!$G$33:$G$40,MATCH(S2028,Setup!$B$33:$B$40,0)),0)=1)*(COUNTIF(S2008:U2025,$B2028)+COUNTIF(S2008:U2025,$B2028&amp;" ~*")&gt;0)+(IFERROR(INDEX(Setup!$G$33:$G$40,MATCH(W2028,Setup!$B$33:$B$40,0)),0)=1)*(COUNTIF(W2008:W2025,$B2028)+COUNTIF(W2008:W2025,$B2028&amp;" ~*")&gt;0)+(IFERROR(INDEX(Setup!$G$33:$G$40,MATCH(Y2028,Setup!$B$33:$B$40,0)),0)=1)*(COUNTIF(Y2008:Y2025,$B2028)+COUNTIF(Y2008:Y2025,$B2028&amp;" ~*")&gt;0))</f>
        <v/>
      </c>
    </row>
    <row r="2029" ht="15" customHeight="1">
      <c r="A2029" t="n">
        <v>41</v>
      </c>
      <c r="B2029" s="35">
        <f>IF(Setup!$B$8="","",Setup!$B$8)</f>
        <v/>
      </c>
      <c r="C2029" s="98" t="n"/>
      <c r="D2029" s="99" t="n"/>
      <c r="E2029" s="99" t="n"/>
      <c r="F2029" s="100" t="n"/>
      <c r="G2029" s="98" t="n"/>
      <c r="H2029" s="99" t="n"/>
      <c r="I2029" s="99" t="n"/>
      <c r="J2029" s="100" t="n"/>
      <c r="K2029" s="98" t="n"/>
      <c r="L2029" s="99" t="n"/>
      <c r="M2029" s="99" t="n"/>
      <c r="N2029" s="100" t="n"/>
      <c r="O2029" s="98" t="n"/>
      <c r="P2029" s="99" t="n"/>
      <c r="Q2029" s="99" t="n"/>
      <c r="R2029" s="100" t="n"/>
      <c r="S2029" s="98" t="n"/>
      <c r="T2029" s="99" t="n"/>
      <c r="U2029" s="99" t="n"/>
      <c r="V2029" s="100" t="n"/>
      <c r="W2029" s="98" t="n"/>
      <c r="X2029" s="100" t="n"/>
      <c r="Y2029" s="98" t="n"/>
      <c r="Z2029" s="100" t="n"/>
      <c r="AB2029" s="101">
        <f>IF($B2029="","",(COUNTIF(C2008:E2025,$B2029)+COUNTIF(C2008:E2025,$B2029&amp;" ~*")&gt;0)+(COUNTIF(G2008:I2025,$B2029)+COUNTIF(G2008:I2025,$B2029&amp;" ~*")&gt;0)+(COUNTIF(K2008:M2025,$B2029)+COUNTIF(K2008:M2025,$B2029&amp;" ~*")&gt;0)+(COUNTIF(O2008:Q2025,$B2029)+COUNTIF(O2008:Q2025,$B2029&amp;" ~*")&gt;0)+(COUNTIF(S2008:U2025,$B2029)+COUNTIF(S2008:U2025,$B2029&amp;" ~*")&gt;0)+(COUNTIF(W2008:W2025,$B2029)+COUNTIF(W2008:W2025,$B2029&amp;" ~*")&gt;0)+(COUNTIF(Y2008:Y2025,$B2029)+COUNTIF(Y2008:Y2025,$B2029&amp;" ~*")&gt;0))</f>
        <v/>
      </c>
      <c r="AC2029" s="36">
        <f>IF($B2029="","",(IFERROR(INDEX(Setup!$G$33:$G$40,MATCH(C2029,Setup!$B$33:$B$40,0)),0)=1)*(COUNTIF(C2008:E2025,$B2029)+COUNTIF(C2008:E2025,$B2029&amp;" ~*")&gt;0)+(IFERROR(INDEX(Setup!$G$33:$G$40,MATCH(G2029,Setup!$B$33:$B$40,0)),0)=1)*(COUNTIF(G2008:I2025,$B2029)+COUNTIF(G2008:I2025,$B2029&amp;" ~*")&gt;0)+(IFERROR(INDEX(Setup!$G$33:$G$40,MATCH(K2029,Setup!$B$33:$B$40,0)),0)=1)*(COUNTIF(K2008:M2025,$B2029)+COUNTIF(K2008:M2025,$B2029&amp;" ~*")&gt;0)+(IFERROR(INDEX(Setup!$G$33:$G$40,MATCH(O2029,Setup!$B$33:$B$40,0)),0)=1)*(COUNTIF(O2008:Q2025,$B2029)+COUNTIF(O2008:Q2025,$B2029&amp;" ~*")&gt;0)+(IFERROR(INDEX(Setup!$G$33:$G$40,MATCH(S2029,Setup!$B$33:$B$40,0)),0)=1)*(COUNTIF(S2008:U2025,$B2029)+COUNTIF(S2008:U2025,$B2029&amp;" ~*")&gt;0)+(IFERROR(INDEX(Setup!$G$33:$G$40,MATCH(W2029,Setup!$B$33:$B$40,0)),0)=1)*(COUNTIF(W2008:W2025,$B2029)+COUNTIF(W2008:W2025,$B2029&amp;" ~*")&gt;0)+(IFERROR(INDEX(Setup!$G$33:$G$40,MATCH(Y2029,Setup!$B$33:$B$40,0)),0)=1)*(COUNTIF(Y2008:Y2025,$B2029)+COUNTIF(Y2008:Y2025,$B2029&amp;" ~*")&gt;0))</f>
        <v/>
      </c>
    </row>
    <row r="2030" ht="15" customHeight="1">
      <c r="A2030" t="n">
        <v>41</v>
      </c>
      <c r="B2030" s="37">
        <f>IF(Setup!$B$9="","",Setup!$B$9)</f>
        <v/>
      </c>
      <c r="C2030" s="102" t="n"/>
      <c r="D2030" s="103" t="n"/>
      <c r="E2030" s="103" t="n"/>
      <c r="F2030" s="104" t="n"/>
      <c r="G2030" s="102" t="n"/>
      <c r="H2030" s="103" t="n"/>
      <c r="I2030" s="103" t="n"/>
      <c r="J2030" s="104" t="n"/>
      <c r="K2030" s="102" t="n"/>
      <c r="L2030" s="103" t="n"/>
      <c r="M2030" s="103" t="n"/>
      <c r="N2030" s="104" t="n"/>
      <c r="O2030" s="102" t="n"/>
      <c r="P2030" s="103" t="n"/>
      <c r="Q2030" s="103" t="n"/>
      <c r="R2030" s="104" t="n"/>
      <c r="S2030" s="102" t="n"/>
      <c r="T2030" s="103" t="n"/>
      <c r="U2030" s="103" t="n"/>
      <c r="V2030" s="104" t="n"/>
      <c r="W2030" s="102" t="n"/>
      <c r="X2030" s="104" t="n"/>
      <c r="Y2030" s="102" t="n"/>
      <c r="Z2030" s="104" t="n"/>
      <c r="AB2030" s="105">
        <f>IF($B2030="","",(COUNTIF(C2008:E2025,$B2030)+COUNTIF(C2008:E2025,$B2030&amp;" ~*")&gt;0)+(COUNTIF(G2008:I2025,$B2030)+COUNTIF(G2008:I2025,$B2030&amp;" ~*")&gt;0)+(COUNTIF(K2008:M2025,$B2030)+COUNTIF(K2008:M2025,$B2030&amp;" ~*")&gt;0)+(COUNTIF(O2008:Q2025,$B2030)+COUNTIF(O2008:Q2025,$B2030&amp;" ~*")&gt;0)+(COUNTIF(S2008:U2025,$B2030)+COUNTIF(S2008:U2025,$B2030&amp;" ~*")&gt;0)+(COUNTIF(W2008:W2025,$B2030)+COUNTIF(W2008:W2025,$B2030&amp;" ~*")&gt;0)+(COUNTIF(Y2008:Y2025,$B2030)+COUNTIF(Y2008:Y2025,$B2030&amp;" ~*")&gt;0))</f>
        <v/>
      </c>
      <c r="AC2030" s="38">
        <f>IF($B2030="","",(IFERROR(INDEX(Setup!$G$33:$G$40,MATCH(C2030,Setup!$B$33:$B$40,0)),0)=1)*(COUNTIF(C2008:E2025,$B2030)+COUNTIF(C2008:E2025,$B2030&amp;" ~*")&gt;0)+(IFERROR(INDEX(Setup!$G$33:$G$40,MATCH(G2030,Setup!$B$33:$B$40,0)),0)=1)*(COUNTIF(G2008:I2025,$B2030)+COUNTIF(G2008:I2025,$B2030&amp;" ~*")&gt;0)+(IFERROR(INDEX(Setup!$G$33:$G$40,MATCH(K2030,Setup!$B$33:$B$40,0)),0)=1)*(COUNTIF(K2008:M2025,$B2030)+COUNTIF(K2008:M2025,$B2030&amp;" ~*")&gt;0)+(IFERROR(INDEX(Setup!$G$33:$G$40,MATCH(O2030,Setup!$B$33:$B$40,0)),0)=1)*(COUNTIF(O2008:Q2025,$B2030)+COUNTIF(O2008:Q2025,$B2030&amp;" ~*")&gt;0)+(IFERROR(INDEX(Setup!$G$33:$G$40,MATCH(S2030,Setup!$B$33:$B$40,0)),0)=1)*(COUNTIF(S2008:U2025,$B2030)+COUNTIF(S2008:U2025,$B2030&amp;" ~*")&gt;0)+(IFERROR(INDEX(Setup!$G$33:$G$40,MATCH(W2030,Setup!$B$33:$B$40,0)),0)=1)*(COUNTIF(W2008:W2025,$B2030)+COUNTIF(W2008:W2025,$B2030&amp;" ~*")&gt;0)+(IFERROR(INDEX(Setup!$G$33:$G$40,MATCH(Y2030,Setup!$B$33:$B$40,0)),0)=1)*(COUNTIF(Y2008:Y2025,$B2030)+COUNTIF(Y2008:Y2025,$B2030&amp;" ~*")&gt;0))</f>
        <v/>
      </c>
    </row>
    <row r="2031" ht="15" customHeight="1">
      <c r="A2031" t="n">
        <v>41</v>
      </c>
      <c r="B2031" s="35">
        <f>IF(Setup!$B$10="","",Setup!$B$10)</f>
        <v/>
      </c>
      <c r="C2031" s="98" t="n"/>
      <c r="D2031" s="99" t="n"/>
      <c r="E2031" s="99" t="n"/>
      <c r="F2031" s="100" t="n"/>
      <c r="G2031" s="98" t="n"/>
      <c r="H2031" s="99" t="n"/>
      <c r="I2031" s="99" t="n"/>
      <c r="J2031" s="100" t="n"/>
      <c r="K2031" s="98" t="n"/>
      <c r="L2031" s="99" t="n"/>
      <c r="M2031" s="99" t="n"/>
      <c r="N2031" s="100" t="n"/>
      <c r="O2031" s="98" t="n"/>
      <c r="P2031" s="99" t="n"/>
      <c r="Q2031" s="99" t="n"/>
      <c r="R2031" s="100" t="n"/>
      <c r="S2031" s="98" t="n"/>
      <c r="T2031" s="99" t="n"/>
      <c r="U2031" s="99" t="n"/>
      <c r="V2031" s="100" t="n"/>
      <c r="W2031" s="98" t="n"/>
      <c r="X2031" s="100" t="n"/>
      <c r="Y2031" s="98" t="n"/>
      <c r="Z2031" s="100" t="n"/>
      <c r="AB2031" s="101">
        <f>IF($B2031="","",(COUNTIF(C2008:E2025,$B2031)+COUNTIF(C2008:E2025,$B2031&amp;" ~*")&gt;0)+(COUNTIF(G2008:I2025,$B2031)+COUNTIF(G2008:I2025,$B2031&amp;" ~*")&gt;0)+(COUNTIF(K2008:M2025,$B2031)+COUNTIF(K2008:M2025,$B2031&amp;" ~*")&gt;0)+(COUNTIF(O2008:Q2025,$B2031)+COUNTIF(O2008:Q2025,$B2031&amp;" ~*")&gt;0)+(COUNTIF(S2008:U2025,$B2031)+COUNTIF(S2008:U2025,$B2031&amp;" ~*")&gt;0)+(COUNTIF(W2008:W2025,$B2031)+COUNTIF(W2008:W2025,$B2031&amp;" ~*")&gt;0)+(COUNTIF(Y2008:Y2025,$B2031)+COUNTIF(Y2008:Y2025,$B2031&amp;" ~*")&gt;0))</f>
        <v/>
      </c>
      <c r="AC2031" s="36">
        <f>IF($B2031="","",(IFERROR(INDEX(Setup!$G$33:$G$40,MATCH(C2031,Setup!$B$33:$B$40,0)),0)=1)*(COUNTIF(C2008:E2025,$B2031)+COUNTIF(C2008:E2025,$B2031&amp;" ~*")&gt;0)+(IFERROR(INDEX(Setup!$G$33:$G$40,MATCH(G2031,Setup!$B$33:$B$40,0)),0)=1)*(COUNTIF(G2008:I2025,$B2031)+COUNTIF(G2008:I2025,$B2031&amp;" ~*")&gt;0)+(IFERROR(INDEX(Setup!$G$33:$G$40,MATCH(K2031,Setup!$B$33:$B$40,0)),0)=1)*(COUNTIF(K2008:M2025,$B2031)+COUNTIF(K2008:M2025,$B2031&amp;" ~*")&gt;0)+(IFERROR(INDEX(Setup!$G$33:$G$40,MATCH(O2031,Setup!$B$33:$B$40,0)),0)=1)*(COUNTIF(O2008:Q2025,$B2031)+COUNTIF(O2008:Q2025,$B2031&amp;" ~*")&gt;0)+(IFERROR(INDEX(Setup!$G$33:$G$40,MATCH(S2031,Setup!$B$33:$B$40,0)),0)=1)*(COUNTIF(S2008:U2025,$B2031)+COUNTIF(S2008:U2025,$B2031&amp;" ~*")&gt;0)+(IFERROR(INDEX(Setup!$G$33:$G$40,MATCH(W2031,Setup!$B$33:$B$40,0)),0)=1)*(COUNTIF(W2008:W2025,$B2031)+COUNTIF(W2008:W2025,$B2031&amp;" ~*")&gt;0)+(IFERROR(INDEX(Setup!$G$33:$G$40,MATCH(Y2031,Setup!$B$33:$B$40,0)),0)=1)*(COUNTIF(Y2008:Y2025,$B2031)+COUNTIF(Y2008:Y2025,$B2031&amp;" ~*")&gt;0))</f>
        <v/>
      </c>
    </row>
    <row r="2032" ht="15" customHeight="1">
      <c r="A2032" t="n">
        <v>41</v>
      </c>
      <c r="B2032" s="37">
        <f>IF(Setup!$B$11="","",Setup!$B$11)</f>
        <v/>
      </c>
      <c r="C2032" s="102" t="n"/>
      <c r="D2032" s="103" t="n"/>
      <c r="E2032" s="103" t="n"/>
      <c r="F2032" s="104" t="n"/>
      <c r="G2032" s="102" t="n"/>
      <c r="H2032" s="103" t="n"/>
      <c r="I2032" s="103" t="n"/>
      <c r="J2032" s="104" t="n"/>
      <c r="K2032" s="102" t="n"/>
      <c r="L2032" s="103" t="n"/>
      <c r="M2032" s="103" t="n"/>
      <c r="N2032" s="104" t="n"/>
      <c r="O2032" s="102" t="n"/>
      <c r="P2032" s="103" t="n"/>
      <c r="Q2032" s="103" t="n"/>
      <c r="R2032" s="104" t="n"/>
      <c r="S2032" s="102" t="n"/>
      <c r="T2032" s="103" t="n"/>
      <c r="U2032" s="103" t="n"/>
      <c r="V2032" s="104" t="n"/>
      <c r="W2032" s="102" t="n"/>
      <c r="X2032" s="104" t="n"/>
      <c r="Y2032" s="102" t="n"/>
      <c r="Z2032" s="104" t="n"/>
      <c r="AB2032" s="105">
        <f>IF($B2032="","",(COUNTIF(C2008:E2025,$B2032)+COUNTIF(C2008:E2025,$B2032&amp;" ~*")&gt;0)+(COUNTIF(G2008:I2025,$B2032)+COUNTIF(G2008:I2025,$B2032&amp;" ~*")&gt;0)+(COUNTIF(K2008:M2025,$B2032)+COUNTIF(K2008:M2025,$B2032&amp;" ~*")&gt;0)+(COUNTIF(O2008:Q2025,$B2032)+COUNTIF(O2008:Q2025,$B2032&amp;" ~*")&gt;0)+(COUNTIF(S2008:U2025,$B2032)+COUNTIF(S2008:U2025,$B2032&amp;" ~*")&gt;0)+(COUNTIF(W2008:W2025,$B2032)+COUNTIF(W2008:W2025,$B2032&amp;" ~*")&gt;0)+(COUNTIF(Y2008:Y2025,$B2032)+COUNTIF(Y2008:Y2025,$B2032&amp;" ~*")&gt;0))</f>
        <v/>
      </c>
      <c r="AC2032" s="38">
        <f>IF($B2032="","",(IFERROR(INDEX(Setup!$G$33:$G$40,MATCH(C2032,Setup!$B$33:$B$40,0)),0)=1)*(COUNTIF(C2008:E2025,$B2032)+COUNTIF(C2008:E2025,$B2032&amp;" ~*")&gt;0)+(IFERROR(INDEX(Setup!$G$33:$G$40,MATCH(G2032,Setup!$B$33:$B$40,0)),0)=1)*(COUNTIF(G2008:I2025,$B2032)+COUNTIF(G2008:I2025,$B2032&amp;" ~*")&gt;0)+(IFERROR(INDEX(Setup!$G$33:$G$40,MATCH(K2032,Setup!$B$33:$B$40,0)),0)=1)*(COUNTIF(K2008:M2025,$B2032)+COUNTIF(K2008:M2025,$B2032&amp;" ~*")&gt;0)+(IFERROR(INDEX(Setup!$G$33:$G$40,MATCH(O2032,Setup!$B$33:$B$40,0)),0)=1)*(COUNTIF(O2008:Q2025,$B2032)+COUNTIF(O2008:Q2025,$B2032&amp;" ~*")&gt;0)+(IFERROR(INDEX(Setup!$G$33:$G$40,MATCH(S2032,Setup!$B$33:$B$40,0)),0)=1)*(COUNTIF(S2008:U2025,$B2032)+COUNTIF(S2008:U2025,$B2032&amp;" ~*")&gt;0)+(IFERROR(INDEX(Setup!$G$33:$G$40,MATCH(W2032,Setup!$B$33:$B$40,0)),0)=1)*(COUNTIF(W2008:W2025,$B2032)+COUNTIF(W2008:W2025,$B2032&amp;" ~*")&gt;0)+(IFERROR(INDEX(Setup!$G$33:$G$40,MATCH(Y2032,Setup!$B$33:$B$40,0)),0)=1)*(COUNTIF(Y2008:Y2025,$B2032)+COUNTIF(Y2008:Y2025,$B2032&amp;" ~*")&gt;0))</f>
        <v/>
      </c>
    </row>
    <row r="2033" ht="15" customHeight="1">
      <c r="A2033" t="n">
        <v>41</v>
      </c>
      <c r="B2033" s="35">
        <f>IF(Setup!$B$12="","",Setup!$B$12)</f>
        <v/>
      </c>
      <c r="C2033" s="98" t="n"/>
      <c r="D2033" s="99" t="n"/>
      <c r="E2033" s="99" t="n"/>
      <c r="F2033" s="100" t="n"/>
      <c r="G2033" s="98" t="n"/>
      <c r="H2033" s="99" t="n"/>
      <c r="I2033" s="99" t="n"/>
      <c r="J2033" s="100" t="n"/>
      <c r="K2033" s="98" t="n"/>
      <c r="L2033" s="99" t="n"/>
      <c r="M2033" s="99" t="n"/>
      <c r="N2033" s="100" t="n"/>
      <c r="O2033" s="98" t="n"/>
      <c r="P2033" s="99" t="n"/>
      <c r="Q2033" s="99" t="n"/>
      <c r="R2033" s="100" t="n"/>
      <c r="S2033" s="98" t="n"/>
      <c r="T2033" s="99" t="n"/>
      <c r="U2033" s="99" t="n"/>
      <c r="V2033" s="100" t="n"/>
      <c r="W2033" s="98" t="n"/>
      <c r="X2033" s="100" t="n"/>
      <c r="Y2033" s="98" t="n"/>
      <c r="Z2033" s="100" t="n"/>
      <c r="AB2033" s="101">
        <f>IF($B2033="","",(COUNTIF(C2008:E2025,$B2033)+COUNTIF(C2008:E2025,$B2033&amp;" ~*")&gt;0)+(COUNTIF(G2008:I2025,$B2033)+COUNTIF(G2008:I2025,$B2033&amp;" ~*")&gt;0)+(COUNTIF(K2008:M2025,$B2033)+COUNTIF(K2008:M2025,$B2033&amp;" ~*")&gt;0)+(COUNTIF(O2008:Q2025,$B2033)+COUNTIF(O2008:Q2025,$B2033&amp;" ~*")&gt;0)+(COUNTIF(S2008:U2025,$B2033)+COUNTIF(S2008:U2025,$B2033&amp;" ~*")&gt;0)+(COUNTIF(W2008:W2025,$B2033)+COUNTIF(W2008:W2025,$B2033&amp;" ~*")&gt;0)+(COUNTIF(Y2008:Y2025,$B2033)+COUNTIF(Y2008:Y2025,$B2033&amp;" ~*")&gt;0))</f>
        <v/>
      </c>
      <c r="AC2033" s="36">
        <f>IF($B2033="","",(IFERROR(INDEX(Setup!$G$33:$G$40,MATCH(C2033,Setup!$B$33:$B$40,0)),0)=1)*(COUNTIF(C2008:E2025,$B2033)+COUNTIF(C2008:E2025,$B2033&amp;" ~*")&gt;0)+(IFERROR(INDEX(Setup!$G$33:$G$40,MATCH(G2033,Setup!$B$33:$B$40,0)),0)=1)*(COUNTIF(G2008:I2025,$B2033)+COUNTIF(G2008:I2025,$B2033&amp;" ~*")&gt;0)+(IFERROR(INDEX(Setup!$G$33:$G$40,MATCH(K2033,Setup!$B$33:$B$40,0)),0)=1)*(COUNTIF(K2008:M2025,$B2033)+COUNTIF(K2008:M2025,$B2033&amp;" ~*")&gt;0)+(IFERROR(INDEX(Setup!$G$33:$G$40,MATCH(O2033,Setup!$B$33:$B$40,0)),0)=1)*(COUNTIF(O2008:Q2025,$B2033)+COUNTIF(O2008:Q2025,$B2033&amp;" ~*")&gt;0)+(IFERROR(INDEX(Setup!$G$33:$G$40,MATCH(S2033,Setup!$B$33:$B$40,0)),0)=1)*(COUNTIF(S2008:U2025,$B2033)+COUNTIF(S2008:U2025,$B2033&amp;" ~*")&gt;0)+(IFERROR(INDEX(Setup!$G$33:$G$40,MATCH(W2033,Setup!$B$33:$B$40,0)),0)=1)*(COUNTIF(W2008:W2025,$B2033)+COUNTIF(W2008:W2025,$B2033&amp;" ~*")&gt;0)+(IFERROR(INDEX(Setup!$G$33:$G$40,MATCH(Y2033,Setup!$B$33:$B$40,0)),0)=1)*(COUNTIF(Y2008:Y2025,$B2033)+COUNTIF(Y2008:Y2025,$B2033&amp;" ~*")&gt;0))</f>
        <v/>
      </c>
    </row>
    <row r="2034" ht="15" customHeight="1">
      <c r="A2034" t="n">
        <v>41</v>
      </c>
      <c r="B2034" s="37">
        <f>IF(Setup!$B$13="","",Setup!$B$13)</f>
        <v/>
      </c>
      <c r="C2034" s="102" t="n"/>
      <c r="D2034" s="103" t="n"/>
      <c r="E2034" s="103" t="n"/>
      <c r="F2034" s="104" t="n"/>
      <c r="G2034" s="102" t="n"/>
      <c r="H2034" s="103" t="n"/>
      <c r="I2034" s="103" t="n"/>
      <c r="J2034" s="104" t="n"/>
      <c r="K2034" s="102" t="n"/>
      <c r="L2034" s="103" t="n"/>
      <c r="M2034" s="103" t="n"/>
      <c r="N2034" s="104" t="n"/>
      <c r="O2034" s="102" t="n"/>
      <c r="P2034" s="103" t="n"/>
      <c r="Q2034" s="103" t="n"/>
      <c r="R2034" s="104" t="n"/>
      <c r="S2034" s="102" t="n"/>
      <c r="T2034" s="103" t="n"/>
      <c r="U2034" s="103" t="n"/>
      <c r="V2034" s="104" t="n"/>
      <c r="W2034" s="102" t="n"/>
      <c r="X2034" s="104" t="n"/>
      <c r="Y2034" s="102" t="n"/>
      <c r="Z2034" s="104" t="n"/>
      <c r="AB2034" s="105">
        <f>IF($B2034="","",(COUNTIF(C2008:E2025,$B2034)+COUNTIF(C2008:E2025,$B2034&amp;" ~*")&gt;0)+(COUNTIF(G2008:I2025,$B2034)+COUNTIF(G2008:I2025,$B2034&amp;" ~*")&gt;0)+(COUNTIF(K2008:M2025,$B2034)+COUNTIF(K2008:M2025,$B2034&amp;" ~*")&gt;0)+(COUNTIF(O2008:Q2025,$B2034)+COUNTIF(O2008:Q2025,$B2034&amp;" ~*")&gt;0)+(COUNTIF(S2008:U2025,$B2034)+COUNTIF(S2008:U2025,$B2034&amp;" ~*")&gt;0)+(COUNTIF(W2008:W2025,$B2034)+COUNTIF(W2008:W2025,$B2034&amp;" ~*")&gt;0)+(COUNTIF(Y2008:Y2025,$B2034)+COUNTIF(Y2008:Y2025,$B2034&amp;" ~*")&gt;0))</f>
        <v/>
      </c>
      <c r="AC2034" s="38">
        <f>IF($B2034="","",(IFERROR(INDEX(Setup!$G$33:$G$40,MATCH(C2034,Setup!$B$33:$B$40,0)),0)=1)*(COUNTIF(C2008:E2025,$B2034)+COUNTIF(C2008:E2025,$B2034&amp;" ~*")&gt;0)+(IFERROR(INDEX(Setup!$G$33:$G$40,MATCH(G2034,Setup!$B$33:$B$40,0)),0)=1)*(COUNTIF(G2008:I2025,$B2034)+COUNTIF(G2008:I2025,$B2034&amp;" ~*")&gt;0)+(IFERROR(INDEX(Setup!$G$33:$G$40,MATCH(K2034,Setup!$B$33:$B$40,0)),0)=1)*(COUNTIF(K2008:M2025,$B2034)+COUNTIF(K2008:M2025,$B2034&amp;" ~*")&gt;0)+(IFERROR(INDEX(Setup!$G$33:$G$40,MATCH(O2034,Setup!$B$33:$B$40,0)),0)=1)*(COUNTIF(O2008:Q2025,$B2034)+COUNTIF(O2008:Q2025,$B2034&amp;" ~*")&gt;0)+(IFERROR(INDEX(Setup!$G$33:$G$40,MATCH(S2034,Setup!$B$33:$B$40,0)),0)=1)*(COUNTIF(S2008:U2025,$B2034)+COUNTIF(S2008:U2025,$B2034&amp;" ~*")&gt;0)+(IFERROR(INDEX(Setup!$G$33:$G$40,MATCH(W2034,Setup!$B$33:$B$40,0)),0)=1)*(COUNTIF(W2008:W2025,$B2034)+COUNTIF(W2008:W2025,$B2034&amp;" ~*")&gt;0)+(IFERROR(INDEX(Setup!$G$33:$G$40,MATCH(Y2034,Setup!$B$33:$B$40,0)),0)=1)*(COUNTIF(Y2008:Y2025,$B2034)+COUNTIF(Y2008:Y2025,$B2034&amp;" ~*")&gt;0))</f>
        <v/>
      </c>
    </row>
    <row r="2035" ht="15" customHeight="1">
      <c r="A2035" t="n">
        <v>41</v>
      </c>
      <c r="B2035" s="35">
        <f>IF(Setup!$B$14="","",Setup!$B$14)</f>
        <v/>
      </c>
      <c r="C2035" s="98" t="n"/>
      <c r="D2035" s="99" t="n"/>
      <c r="E2035" s="99" t="n"/>
      <c r="F2035" s="100" t="n"/>
      <c r="G2035" s="98" t="n"/>
      <c r="H2035" s="99" t="n"/>
      <c r="I2035" s="99" t="n"/>
      <c r="J2035" s="100" t="n"/>
      <c r="K2035" s="98" t="n"/>
      <c r="L2035" s="99" t="n"/>
      <c r="M2035" s="99" t="n"/>
      <c r="N2035" s="100" t="n"/>
      <c r="O2035" s="98" t="n"/>
      <c r="P2035" s="99" t="n"/>
      <c r="Q2035" s="99" t="n"/>
      <c r="R2035" s="100" t="n"/>
      <c r="S2035" s="98" t="n"/>
      <c r="T2035" s="99" t="n"/>
      <c r="U2035" s="99" t="n"/>
      <c r="V2035" s="100" t="n"/>
      <c r="W2035" s="98" t="n"/>
      <c r="X2035" s="100" t="n"/>
      <c r="Y2035" s="98" t="n"/>
      <c r="Z2035" s="100" t="n"/>
      <c r="AB2035" s="101">
        <f>IF($B2035="","",(COUNTIF(C2008:E2025,$B2035)+COUNTIF(C2008:E2025,$B2035&amp;" ~*")&gt;0)+(COUNTIF(G2008:I2025,$B2035)+COUNTIF(G2008:I2025,$B2035&amp;" ~*")&gt;0)+(COUNTIF(K2008:M2025,$B2035)+COUNTIF(K2008:M2025,$B2035&amp;" ~*")&gt;0)+(COUNTIF(O2008:Q2025,$B2035)+COUNTIF(O2008:Q2025,$B2035&amp;" ~*")&gt;0)+(COUNTIF(S2008:U2025,$B2035)+COUNTIF(S2008:U2025,$B2035&amp;" ~*")&gt;0)+(COUNTIF(W2008:W2025,$B2035)+COUNTIF(W2008:W2025,$B2035&amp;" ~*")&gt;0)+(COUNTIF(Y2008:Y2025,$B2035)+COUNTIF(Y2008:Y2025,$B2035&amp;" ~*")&gt;0))</f>
        <v/>
      </c>
      <c r="AC2035" s="36">
        <f>IF($B2035="","",(IFERROR(INDEX(Setup!$G$33:$G$40,MATCH(C2035,Setup!$B$33:$B$40,0)),0)=1)*(COUNTIF(C2008:E2025,$B2035)+COUNTIF(C2008:E2025,$B2035&amp;" ~*")&gt;0)+(IFERROR(INDEX(Setup!$G$33:$G$40,MATCH(G2035,Setup!$B$33:$B$40,0)),0)=1)*(COUNTIF(G2008:I2025,$B2035)+COUNTIF(G2008:I2025,$B2035&amp;" ~*")&gt;0)+(IFERROR(INDEX(Setup!$G$33:$G$40,MATCH(K2035,Setup!$B$33:$B$40,0)),0)=1)*(COUNTIF(K2008:M2025,$B2035)+COUNTIF(K2008:M2025,$B2035&amp;" ~*")&gt;0)+(IFERROR(INDEX(Setup!$G$33:$G$40,MATCH(O2035,Setup!$B$33:$B$40,0)),0)=1)*(COUNTIF(O2008:Q2025,$B2035)+COUNTIF(O2008:Q2025,$B2035&amp;" ~*")&gt;0)+(IFERROR(INDEX(Setup!$G$33:$G$40,MATCH(S2035,Setup!$B$33:$B$40,0)),0)=1)*(COUNTIF(S2008:U2025,$B2035)+COUNTIF(S2008:U2025,$B2035&amp;" ~*")&gt;0)+(IFERROR(INDEX(Setup!$G$33:$G$40,MATCH(W2035,Setup!$B$33:$B$40,0)),0)=1)*(COUNTIF(W2008:W2025,$B2035)+COUNTIF(W2008:W2025,$B2035&amp;" ~*")&gt;0)+(IFERROR(INDEX(Setup!$G$33:$G$40,MATCH(Y2035,Setup!$B$33:$B$40,0)),0)=1)*(COUNTIF(Y2008:Y2025,$B2035)+COUNTIF(Y2008:Y2025,$B2035&amp;" ~*")&gt;0))</f>
        <v/>
      </c>
    </row>
    <row r="2036" ht="15" customHeight="1">
      <c r="A2036" t="n">
        <v>41</v>
      </c>
      <c r="B2036" s="37">
        <f>IF(Setup!$B$15="","",Setup!$B$15)</f>
        <v/>
      </c>
      <c r="C2036" s="102" t="n"/>
      <c r="D2036" s="103" t="n"/>
      <c r="E2036" s="103" t="n"/>
      <c r="F2036" s="104" t="n"/>
      <c r="G2036" s="102" t="n"/>
      <c r="H2036" s="103" t="n"/>
      <c r="I2036" s="103" t="n"/>
      <c r="J2036" s="104" t="n"/>
      <c r="K2036" s="102" t="n"/>
      <c r="L2036" s="103" t="n"/>
      <c r="M2036" s="103" t="n"/>
      <c r="N2036" s="104" t="n"/>
      <c r="O2036" s="102" t="n"/>
      <c r="P2036" s="103" t="n"/>
      <c r="Q2036" s="103" t="n"/>
      <c r="R2036" s="104" t="n"/>
      <c r="S2036" s="102" t="n"/>
      <c r="T2036" s="103" t="n"/>
      <c r="U2036" s="103" t="n"/>
      <c r="V2036" s="104" t="n"/>
      <c r="W2036" s="102" t="n"/>
      <c r="X2036" s="104" t="n"/>
      <c r="Y2036" s="102" t="n"/>
      <c r="Z2036" s="104" t="n"/>
      <c r="AB2036" s="105">
        <f>IF($B2036="","",(COUNTIF(C2008:E2025,$B2036)+COUNTIF(C2008:E2025,$B2036&amp;" ~*")&gt;0)+(COUNTIF(G2008:I2025,$B2036)+COUNTIF(G2008:I2025,$B2036&amp;" ~*")&gt;0)+(COUNTIF(K2008:M2025,$B2036)+COUNTIF(K2008:M2025,$B2036&amp;" ~*")&gt;0)+(COUNTIF(O2008:Q2025,$B2036)+COUNTIF(O2008:Q2025,$B2036&amp;" ~*")&gt;0)+(COUNTIF(S2008:U2025,$B2036)+COUNTIF(S2008:U2025,$B2036&amp;" ~*")&gt;0)+(COUNTIF(W2008:W2025,$B2036)+COUNTIF(W2008:W2025,$B2036&amp;" ~*")&gt;0)+(COUNTIF(Y2008:Y2025,$B2036)+COUNTIF(Y2008:Y2025,$B2036&amp;" ~*")&gt;0))</f>
        <v/>
      </c>
      <c r="AC2036" s="38">
        <f>IF($B2036="","",(IFERROR(INDEX(Setup!$G$33:$G$40,MATCH(C2036,Setup!$B$33:$B$40,0)),0)=1)*(COUNTIF(C2008:E2025,$B2036)+COUNTIF(C2008:E2025,$B2036&amp;" ~*")&gt;0)+(IFERROR(INDEX(Setup!$G$33:$G$40,MATCH(G2036,Setup!$B$33:$B$40,0)),0)=1)*(COUNTIF(G2008:I2025,$B2036)+COUNTIF(G2008:I2025,$B2036&amp;" ~*")&gt;0)+(IFERROR(INDEX(Setup!$G$33:$G$40,MATCH(K2036,Setup!$B$33:$B$40,0)),0)=1)*(COUNTIF(K2008:M2025,$B2036)+COUNTIF(K2008:M2025,$B2036&amp;" ~*")&gt;0)+(IFERROR(INDEX(Setup!$G$33:$G$40,MATCH(O2036,Setup!$B$33:$B$40,0)),0)=1)*(COUNTIF(O2008:Q2025,$B2036)+COUNTIF(O2008:Q2025,$B2036&amp;" ~*")&gt;0)+(IFERROR(INDEX(Setup!$G$33:$G$40,MATCH(S2036,Setup!$B$33:$B$40,0)),0)=1)*(COUNTIF(S2008:U2025,$B2036)+COUNTIF(S2008:U2025,$B2036&amp;" ~*")&gt;0)+(IFERROR(INDEX(Setup!$G$33:$G$40,MATCH(W2036,Setup!$B$33:$B$40,0)),0)=1)*(COUNTIF(W2008:W2025,$B2036)+COUNTIF(W2008:W2025,$B2036&amp;" ~*")&gt;0)+(IFERROR(INDEX(Setup!$G$33:$G$40,MATCH(Y2036,Setup!$B$33:$B$40,0)),0)=1)*(COUNTIF(Y2008:Y2025,$B2036)+COUNTIF(Y2008:Y2025,$B2036&amp;" ~*")&gt;0))</f>
        <v/>
      </c>
    </row>
    <row r="2037" ht="15" customHeight="1">
      <c r="A2037" t="n">
        <v>41</v>
      </c>
      <c r="B2037" s="35">
        <f>IF(Setup!$B$16="","",Setup!$B$16)</f>
        <v/>
      </c>
      <c r="C2037" s="98" t="n"/>
      <c r="D2037" s="99" t="n"/>
      <c r="E2037" s="99" t="n"/>
      <c r="F2037" s="100" t="n"/>
      <c r="G2037" s="98" t="n"/>
      <c r="H2037" s="99" t="n"/>
      <c r="I2037" s="99" t="n"/>
      <c r="J2037" s="100" t="n"/>
      <c r="K2037" s="98" t="n"/>
      <c r="L2037" s="99" t="n"/>
      <c r="M2037" s="99" t="n"/>
      <c r="N2037" s="100" t="n"/>
      <c r="O2037" s="98" t="n"/>
      <c r="P2037" s="99" t="n"/>
      <c r="Q2037" s="99" t="n"/>
      <c r="R2037" s="100" t="n"/>
      <c r="S2037" s="98" t="n"/>
      <c r="T2037" s="99" t="n"/>
      <c r="U2037" s="99" t="n"/>
      <c r="V2037" s="100" t="n"/>
      <c r="W2037" s="98" t="n"/>
      <c r="X2037" s="100" t="n"/>
      <c r="Y2037" s="98" t="n"/>
      <c r="Z2037" s="100" t="n"/>
      <c r="AB2037" s="101">
        <f>IF($B2037="","",(COUNTIF(C2008:E2025,$B2037)+COUNTIF(C2008:E2025,$B2037&amp;" ~*")&gt;0)+(COUNTIF(G2008:I2025,$B2037)+COUNTIF(G2008:I2025,$B2037&amp;" ~*")&gt;0)+(COUNTIF(K2008:M2025,$B2037)+COUNTIF(K2008:M2025,$B2037&amp;" ~*")&gt;0)+(COUNTIF(O2008:Q2025,$B2037)+COUNTIF(O2008:Q2025,$B2037&amp;" ~*")&gt;0)+(COUNTIF(S2008:U2025,$B2037)+COUNTIF(S2008:U2025,$B2037&amp;" ~*")&gt;0)+(COUNTIF(W2008:W2025,$B2037)+COUNTIF(W2008:W2025,$B2037&amp;" ~*")&gt;0)+(COUNTIF(Y2008:Y2025,$B2037)+COUNTIF(Y2008:Y2025,$B2037&amp;" ~*")&gt;0))</f>
        <v/>
      </c>
      <c r="AC2037" s="36">
        <f>IF($B2037="","",(IFERROR(INDEX(Setup!$G$33:$G$40,MATCH(C2037,Setup!$B$33:$B$40,0)),0)=1)*(COUNTIF(C2008:E2025,$B2037)+COUNTIF(C2008:E2025,$B2037&amp;" ~*")&gt;0)+(IFERROR(INDEX(Setup!$G$33:$G$40,MATCH(G2037,Setup!$B$33:$B$40,0)),0)=1)*(COUNTIF(G2008:I2025,$B2037)+COUNTIF(G2008:I2025,$B2037&amp;" ~*")&gt;0)+(IFERROR(INDEX(Setup!$G$33:$G$40,MATCH(K2037,Setup!$B$33:$B$40,0)),0)=1)*(COUNTIF(K2008:M2025,$B2037)+COUNTIF(K2008:M2025,$B2037&amp;" ~*")&gt;0)+(IFERROR(INDEX(Setup!$G$33:$G$40,MATCH(O2037,Setup!$B$33:$B$40,0)),0)=1)*(COUNTIF(O2008:Q2025,$B2037)+COUNTIF(O2008:Q2025,$B2037&amp;" ~*")&gt;0)+(IFERROR(INDEX(Setup!$G$33:$G$40,MATCH(S2037,Setup!$B$33:$B$40,0)),0)=1)*(COUNTIF(S2008:U2025,$B2037)+COUNTIF(S2008:U2025,$B2037&amp;" ~*")&gt;0)+(IFERROR(INDEX(Setup!$G$33:$G$40,MATCH(W2037,Setup!$B$33:$B$40,0)),0)=1)*(COUNTIF(W2008:W2025,$B2037)+COUNTIF(W2008:W2025,$B2037&amp;" ~*")&gt;0)+(IFERROR(INDEX(Setup!$G$33:$G$40,MATCH(Y2037,Setup!$B$33:$B$40,0)),0)=1)*(COUNTIF(Y2008:Y2025,$B2037)+COUNTIF(Y2008:Y2025,$B2037&amp;" ~*")&gt;0))</f>
        <v/>
      </c>
    </row>
    <row r="2038" ht="15" customHeight="1">
      <c r="A2038" t="n">
        <v>41</v>
      </c>
      <c r="B2038" s="37">
        <f>IF(Setup!$B$17="","",Setup!$B$17)</f>
        <v/>
      </c>
      <c r="C2038" s="102" t="n"/>
      <c r="D2038" s="103" t="n"/>
      <c r="E2038" s="103" t="n"/>
      <c r="F2038" s="104" t="n"/>
      <c r="G2038" s="102" t="n"/>
      <c r="H2038" s="103" t="n"/>
      <c r="I2038" s="103" t="n"/>
      <c r="J2038" s="104" t="n"/>
      <c r="K2038" s="102" t="n"/>
      <c r="L2038" s="103" t="n"/>
      <c r="M2038" s="103" t="n"/>
      <c r="N2038" s="104" t="n"/>
      <c r="O2038" s="102" t="n"/>
      <c r="P2038" s="103" t="n"/>
      <c r="Q2038" s="103" t="n"/>
      <c r="R2038" s="104" t="n"/>
      <c r="S2038" s="102" t="n"/>
      <c r="T2038" s="103" t="n"/>
      <c r="U2038" s="103" t="n"/>
      <c r="V2038" s="104" t="n"/>
      <c r="W2038" s="102" t="n"/>
      <c r="X2038" s="104" t="n"/>
      <c r="Y2038" s="102" t="n"/>
      <c r="Z2038" s="104" t="n"/>
      <c r="AB2038" s="105">
        <f>IF($B2038="","",(COUNTIF(C2008:E2025,$B2038)+COUNTIF(C2008:E2025,$B2038&amp;" ~*")&gt;0)+(COUNTIF(G2008:I2025,$B2038)+COUNTIF(G2008:I2025,$B2038&amp;" ~*")&gt;0)+(COUNTIF(K2008:M2025,$B2038)+COUNTIF(K2008:M2025,$B2038&amp;" ~*")&gt;0)+(COUNTIF(O2008:Q2025,$B2038)+COUNTIF(O2008:Q2025,$B2038&amp;" ~*")&gt;0)+(COUNTIF(S2008:U2025,$B2038)+COUNTIF(S2008:U2025,$B2038&amp;" ~*")&gt;0)+(COUNTIF(W2008:W2025,$B2038)+COUNTIF(W2008:W2025,$B2038&amp;" ~*")&gt;0)+(COUNTIF(Y2008:Y2025,$B2038)+COUNTIF(Y2008:Y2025,$B2038&amp;" ~*")&gt;0))</f>
        <v/>
      </c>
      <c r="AC2038" s="38">
        <f>IF($B2038="","",(IFERROR(INDEX(Setup!$G$33:$G$40,MATCH(C2038,Setup!$B$33:$B$40,0)),0)=1)*(COUNTIF(C2008:E2025,$B2038)+COUNTIF(C2008:E2025,$B2038&amp;" ~*")&gt;0)+(IFERROR(INDEX(Setup!$G$33:$G$40,MATCH(G2038,Setup!$B$33:$B$40,0)),0)=1)*(COUNTIF(G2008:I2025,$B2038)+COUNTIF(G2008:I2025,$B2038&amp;" ~*")&gt;0)+(IFERROR(INDEX(Setup!$G$33:$G$40,MATCH(K2038,Setup!$B$33:$B$40,0)),0)=1)*(COUNTIF(K2008:M2025,$B2038)+COUNTIF(K2008:M2025,$B2038&amp;" ~*")&gt;0)+(IFERROR(INDEX(Setup!$G$33:$G$40,MATCH(O2038,Setup!$B$33:$B$40,0)),0)=1)*(COUNTIF(O2008:Q2025,$B2038)+COUNTIF(O2008:Q2025,$B2038&amp;" ~*")&gt;0)+(IFERROR(INDEX(Setup!$G$33:$G$40,MATCH(S2038,Setup!$B$33:$B$40,0)),0)=1)*(COUNTIF(S2008:U2025,$B2038)+COUNTIF(S2008:U2025,$B2038&amp;" ~*")&gt;0)+(IFERROR(INDEX(Setup!$G$33:$G$40,MATCH(W2038,Setup!$B$33:$B$40,0)),0)=1)*(COUNTIF(W2008:W2025,$B2038)+COUNTIF(W2008:W2025,$B2038&amp;" ~*")&gt;0)+(IFERROR(INDEX(Setup!$G$33:$G$40,MATCH(Y2038,Setup!$B$33:$B$40,0)),0)=1)*(COUNTIF(Y2008:Y2025,$B2038)+COUNTIF(Y2008:Y2025,$B2038&amp;" ~*")&gt;0))</f>
        <v/>
      </c>
    </row>
    <row r="2039" ht="15" customHeight="1">
      <c r="A2039" t="n">
        <v>41</v>
      </c>
      <c r="B2039" s="35">
        <f>IF(Setup!$B$18="","",Setup!$B$18)</f>
        <v/>
      </c>
      <c r="C2039" s="98" t="n"/>
      <c r="D2039" s="99" t="n"/>
      <c r="E2039" s="99" t="n"/>
      <c r="F2039" s="100" t="n"/>
      <c r="G2039" s="98" t="n"/>
      <c r="H2039" s="99" t="n"/>
      <c r="I2039" s="99" t="n"/>
      <c r="J2039" s="100" t="n"/>
      <c r="K2039" s="98" t="n"/>
      <c r="L2039" s="99" t="n"/>
      <c r="M2039" s="99" t="n"/>
      <c r="N2039" s="100" t="n"/>
      <c r="O2039" s="98" t="n"/>
      <c r="P2039" s="99" t="n"/>
      <c r="Q2039" s="99" t="n"/>
      <c r="R2039" s="100" t="n"/>
      <c r="S2039" s="98" t="n"/>
      <c r="T2039" s="99" t="n"/>
      <c r="U2039" s="99" t="n"/>
      <c r="V2039" s="100" t="n"/>
      <c r="W2039" s="98" t="n"/>
      <c r="X2039" s="100" t="n"/>
      <c r="Y2039" s="98" t="n"/>
      <c r="Z2039" s="100" t="n"/>
      <c r="AB2039" s="101">
        <f>IF($B2039="","",(COUNTIF(C2008:E2025,$B2039)+COUNTIF(C2008:E2025,$B2039&amp;" ~*")&gt;0)+(COUNTIF(G2008:I2025,$B2039)+COUNTIF(G2008:I2025,$B2039&amp;" ~*")&gt;0)+(COUNTIF(K2008:M2025,$B2039)+COUNTIF(K2008:M2025,$B2039&amp;" ~*")&gt;0)+(COUNTIF(O2008:Q2025,$B2039)+COUNTIF(O2008:Q2025,$B2039&amp;" ~*")&gt;0)+(COUNTIF(S2008:U2025,$B2039)+COUNTIF(S2008:U2025,$B2039&amp;" ~*")&gt;0)+(COUNTIF(W2008:W2025,$B2039)+COUNTIF(W2008:W2025,$B2039&amp;" ~*")&gt;0)+(COUNTIF(Y2008:Y2025,$B2039)+COUNTIF(Y2008:Y2025,$B2039&amp;" ~*")&gt;0))</f>
        <v/>
      </c>
      <c r="AC2039" s="36">
        <f>IF($B2039="","",(IFERROR(INDEX(Setup!$G$33:$G$40,MATCH(C2039,Setup!$B$33:$B$40,0)),0)=1)*(COUNTIF(C2008:E2025,$B2039)+COUNTIF(C2008:E2025,$B2039&amp;" ~*")&gt;0)+(IFERROR(INDEX(Setup!$G$33:$G$40,MATCH(G2039,Setup!$B$33:$B$40,0)),0)=1)*(COUNTIF(G2008:I2025,$B2039)+COUNTIF(G2008:I2025,$B2039&amp;" ~*")&gt;0)+(IFERROR(INDEX(Setup!$G$33:$G$40,MATCH(K2039,Setup!$B$33:$B$40,0)),0)=1)*(COUNTIF(K2008:M2025,$B2039)+COUNTIF(K2008:M2025,$B2039&amp;" ~*")&gt;0)+(IFERROR(INDEX(Setup!$G$33:$G$40,MATCH(O2039,Setup!$B$33:$B$40,0)),0)=1)*(COUNTIF(O2008:Q2025,$B2039)+COUNTIF(O2008:Q2025,$B2039&amp;" ~*")&gt;0)+(IFERROR(INDEX(Setup!$G$33:$G$40,MATCH(S2039,Setup!$B$33:$B$40,0)),0)=1)*(COUNTIF(S2008:U2025,$B2039)+COUNTIF(S2008:U2025,$B2039&amp;" ~*")&gt;0)+(IFERROR(INDEX(Setup!$G$33:$G$40,MATCH(W2039,Setup!$B$33:$B$40,0)),0)=1)*(COUNTIF(W2008:W2025,$B2039)+COUNTIF(W2008:W2025,$B2039&amp;" ~*")&gt;0)+(IFERROR(INDEX(Setup!$G$33:$G$40,MATCH(Y2039,Setup!$B$33:$B$40,0)),0)=1)*(COUNTIF(Y2008:Y2025,$B2039)+COUNTIF(Y2008:Y2025,$B2039&amp;" ~*")&gt;0))</f>
        <v/>
      </c>
    </row>
    <row r="2040" ht="15" customHeight="1">
      <c r="A2040" t="n">
        <v>41</v>
      </c>
      <c r="B2040" s="37">
        <f>IF(Setup!$B$19="","",Setup!$B$19)</f>
        <v/>
      </c>
      <c r="C2040" s="102" t="n"/>
      <c r="D2040" s="103" t="n"/>
      <c r="E2040" s="103" t="n"/>
      <c r="F2040" s="104" t="n"/>
      <c r="G2040" s="102" t="n"/>
      <c r="H2040" s="103" t="n"/>
      <c r="I2040" s="103" t="n"/>
      <c r="J2040" s="104" t="n"/>
      <c r="K2040" s="102" t="n"/>
      <c r="L2040" s="103" t="n"/>
      <c r="M2040" s="103" t="n"/>
      <c r="N2040" s="104" t="n"/>
      <c r="O2040" s="102" t="n"/>
      <c r="P2040" s="103" t="n"/>
      <c r="Q2040" s="103" t="n"/>
      <c r="R2040" s="104" t="n"/>
      <c r="S2040" s="102" t="n"/>
      <c r="T2040" s="103" t="n"/>
      <c r="U2040" s="103" t="n"/>
      <c r="V2040" s="104" t="n"/>
      <c r="W2040" s="102" t="n"/>
      <c r="X2040" s="104" t="n"/>
      <c r="Y2040" s="102" t="n"/>
      <c r="Z2040" s="104" t="n"/>
      <c r="AB2040" s="105">
        <f>IF($B2040="","",(COUNTIF(C2008:E2025,$B2040)+COUNTIF(C2008:E2025,$B2040&amp;" ~*")&gt;0)+(COUNTIF(G2008:I2025,$B2040)+COUNTIF(G2008:I2025,$B2040&amp;" ~*")&gt;0)+(COUNTIF(K2008:M2025,$B2040)+COUNTIF(K2008:M2025,$B2040&amp;" ~*")&gt;0)+(COUNTIF(O2008:Q2025,$B2040)+COUNTIF(O2008:Q2025,$B2040&amp;" ~*")&gt;0)+(COUNTIF(S2008:U2025,$B2040)+COUNTIF(S2008:U2025,$B2040&amp;" ~*")&gt;0)+(COUNTIF(W2008:W2025,$B2040)+COUNTIF(W2008:W2025,$B2040&amp;" ~*")&gt;0)+(COUNTIF(Y2008:Y2025,$B2040)+COUNTIF(Y2008:Y2025,$B2040&amp;" ~*")&gt;0))</f>
        <v/>
      </c>
      <c r="AC2040" s="38">
        <f>IF($B2040="","",(IFERROR(INDEX(Setup!$G$33:$G$40,MATCH(C2040,Setup!$B$33:$B$40,0)),0)=1)*(COUNTIF(C2008:E2025,$B2040)+COUNTIF(C2008:E2025,$B2040&amp;" ~*")&gt;0)+(IFERROR(INDEX(Setup!$G$33:$G$40,MATCH(G2040,Setup!$B$33:$B$40,0)),0)=1)*(COUNTIF(G2008:I2025,$B2040)+COUNTIF(G2008:I2025,$B2040&amp;" ~*")&gt;0)+(IFERROR(INDEX(Setup!$G$33:$G$40,MATCH(K2040,Setup!$B$33:$B$40,0)),0)=1)*(COUNTIF(K2008:M2025,$B2040)+COUNTIF(K2008:M2025,$B2040&amp;" ~*")&gt;0)+(IFERROR(INDEX(Setup!$G$33:$G$40,MATCH(O2040,Setup!$B$33:$B$40,0)),0)=1)*(COUNTIF(O2008:Q2025,$B2040)+COUNTIF(O2008:Q2025,$B2040&amp;" ~*")&gt;0)+(IFERROR(INDEX(Setup!$G$33:$G$40,MATCH(S2040,Setup!$B$33:$B$40,0)),0)=1)*(COUNTIF(S2008:U2025,$B2040)+COUNTIF(S2008:U2025,$B2040&amp;" ~*")&gt;0)+(IFERROR(INDEX(Setup!$G$33:$G$40,MATCH(W2040,Setup!$B$33:$B$40,0)),0)=1)*(COUNTIF(W2008:W2025,$B2040)+COUNTIF(W2008:W2025,$B2040&amp;" ~*")&gt;0)+(IFERROR(INDEX(Setup!$G$33:$G$40,MATCH(Y2040,Setup!$B$33:$B$40,0)),0)=1)*(COUNTIF(Y2008:Y2025,$B2040)+COUNTIF(Y2008:Y2025,$B2040&amp;" ~*")&gt;0))</f>
        <v/>
      </c>
    </row>
    <row r="2041" ht="15" customHeight="1">
      <c r="A2041" t="n">
        <v>41</v>
      </c>
      <c r="B2041" s="35">
        <f>IF(Setup!$B$20="","",Setup!$B$20)</f>
        <v/>
      </c>
      <c r="C2041" s="98" t="n"/>
      <c r="D2041" s="99" t="n"/>
      <c r="E2041" s="99" t="n"/>
      <c r="F2041" s="100" t="n"/>
      <c r="G2041" s="98" t="n"/>
      <c r="H2041" s="99" t="n"/>
      <c r="I2041" s="99" t="n"/>
      <c r="J2041" s="100" t="n"/>
      <c r="K2041" s="98" t="n"/>
      <c r="L2041" s="99" t="n"/>
      <c r="M2041" s="99" t="n"/>
      <c r="N2041" s="100" t="n"/>
      <c r="O2041" s="98" t="n"/>
      <c r="P2041" s="99" t="n"/>
      <c r="Q2041" s="99" t="n"/>
      <c r="R2041" s="100" t="n"/>
      <c r="S2041" s="98" t="n"/>
      <c r="T2041" s="99" t="n"/>
      <c r="U2041" s="99" t="n"/>
      <c r="V2041" s="100" t="n"/>
      <c r="W2041" s="98" t="n"/>
      <c r="X2041" s="100" t="n"/>
      <c r="Y2041" s="98" t="n"/>
      <c r="Z2041" s="100" t="n"/>
      <c r="AB2041" s="101">
        <f>IF($B2041="","",(COUNTIF(C2008:E2025,$B2041)+COUNTIF(C2008:E2025,$B2041&amp;" ~*")&gt;0)+(COUNTIF(G2008:I2025,$B2041)+COUNTIF(G2008:I2025,$B2041&amp;" ~*")&gt;0)+(COUNTIF(K2008:M2025,$B2041)+COUNTIF(K2008:M2025,$B2041&amp;" ~*")&gt;0)+(COUNTIF(O2008:Q2025,$B2041)+COUNTIF(O2008:Q2025,$B2041&amp;" ~*")&gt;0)+(COUNTIF(S2008:U2025,$B2041)+COUNTIF(S2008:U2025,$B2041&amp;" ~*")&gt;0)+(COUNTIF(W2008:W2025,$B2041)+COUNTIF(W2008:W2025,$B2041&amp;" ~*")&gt;0)+(COUNTIF(Y2008:Y2025,$B2041)+COUNTIF(Y2008:Y2025,$B2041&amp;" ~*")&gt;0))</f>
        <v/>
      </c>
      <c r="AC2041" s="36">
        <f>IF($B2041="","",(IFERROR(INDEX(Setup!$G$33:$G$40,MATCH(C2041,Setup!$B$33:$B$40,0)),0)=1)*(COUNTIF(C2008:E2025,$B2041)+COUNTIF(C2008:E2025,$B2041&amp;" ~*")&gt;0)+(IFERROR(INDEX(Setup!$G$33:$G$40,MATCH(G2041,Setup!$B$33:$B$40,0)),0)=1)*(COUNTIF(G2008:I2025,$B2041)+COUNTIF(G2008:I2025,$B2041&amp;" ~*")&gt;0)+(IFERROR(INDEX(Setup!$G$33:$G$40,MATCH(K2041,Setup!$B$33:$B$40,0)),0)=1)*(COUNTIF(K2008:M2025,$B2041)+COUNTIF(K2008:M2025,$B2041&amp;" ~*")&gt;0)+(IFERROR(INDEX(Setup!$G$33:$G$40,MATCH(O2041,Setup!$B$33:$B$40,0)),0)=1)*(COUNTIF(O2008:Q2025,$B2041)+COUNTIF(O2008:Q2025,$B2041&amp;" ~*")&gt;0)+(IFERROR(INDEX(Setup!$G$33:$G$40,MATCH(S2041,Setup!$B$33:$B$40,0)),0)=1)*(COUNTIF(S2008:U2025,$B2041)+COUNTIF(S2008:U2025,$B2041&amp;" ~*")&gt;0)+(IFERROR(INDEX(Setup!$G$33:$G$40,MATCH(W2041,Setup!$B$33:$B$40,0)),0)=1)*(COUNTIF(W2008:W2025,$B2041)+COUNTIF(W2008:W2025,$B2041&amp;" ~*")&gt;0)+(IFERROR(INDEX(Setup!$G$33:$G$40,MATCH(Y2041,Setup!$B$33:$B$40,0)),0)=1)*(COUNTIF(Y2008:Y2025,$B2041)+COUNTIF(Y2008:Y2025,$B2041&amp;" ~*")&gt;0))</f>
        <v/>
      </c>
    </row>
    <row r="2042" ht="15" customHeight="1">
      <c r="A2042" t="n">
        <v>41</v>
      </c>
      <c r="B2042" s="37">
        <f>IF(Setup!$B$21="","",Setup!$B$21)</f>
        <v/>
      </c>
      <c r="C2042" s="102" t="n"/>
      <c r="D2042" s="103" t="n"/>
      <c r="E2042" s="103" t="n"/>
      <c r="F2042" s="104" t="n"/>
      <c r="G2042" s="102" t="n"/>
      <c r="H2042" s="103" t="n"/>
      <c r="I2042" s="103" t="n"/>
      <c r="J2042" s="104" t="n"/>
      <c r="K2042" s="102" t="n"/>
      <c r="L2042" s="103" t="n"/>
      <c r="M2042" s="103" t="n"/>
      <c r="N2042" s="104" t="n"/>
      <c r="O2042" s="102" t="n"/>
      <c r="P2042" s="103" t="n"/>
      <c r="Q2042" s="103" t="n"/>
      <c r="R2042" s="104" t="n"/>
      <c r="S2042" s="102" t="n"/>
      <c r="T2042" s="103" t="n"/>
      <c r="U2042" s="103" t="n"/>
      <c r="V2042" s="104" t="n"/>
      <c r="W2042" s="102" t="n"/>
      <c r="X2042" s="104" t="n"/>
      <c r="Y2042" s="102" t="n"/>
      <c r="Z2042" s="104" t="n"/>
      <c r="AB2042" s="105">
        <f>IF($B2042="","",(COUNTIF(C2008:E2025,$B2042)+COUNTIF(C2008:E2025,$B2042&amp;" ~*")&gt;0)+(COUNTIF(G2008:I2025,$B2042)+COUNTIF(G2008:I2025,$B2042&amp;" ~*")&gt;0)+(COUNTIF(K2008:M2025,$B2042)+COUNTIF(K2008:M2025,$B2042&amp;" ~*")&gt;0)+(COUNTIF(O2008:Q2025,$B2042)+COUNTIF(O2008:Q2025,$B2042&amp;" ~*")&gt;0)+(COUNTIF(S2008:U2025,$B2042)+COUNTIF(S2008:U2025,$B2042&amp;" ~*")&gt;0)+(COUNTIF(W2008:W2025,$B2042)+COUNTIF(W2008:W2025,$B2042&amp;" ~*")&gt;0)+(COUNTIF(Y2008:Y2025,$B2042)+COUNTIF(Y2008:Y2025,$B2042&amp;" ~*")&gt;0))</f>
        <v/>
      </c>
      <c r="AC2042" s="38">
        <f>IF($B2042="","",(IFERROR(INDEX(Setup!$G$33:$G$40,MATCH(C2042,Setup!$B$33:$B$40,0)),0)=1)*(COUNTIF(C2008:E2025,$B2042)+COUNTIF(C2008:E2025,$B2042&amp;" ~*")&gt;0)+(IFERROR(INDEX(Setup!$G$33:$G$40,MATCH(G2042,Setup!$B$33:$B$40,0)),0)=1)*(COUNTIF(G2008:I2025,$B2042)+COUNTIF(G2008:I2025,$B2042&amp;" ~*")&gt;0)+(IFERROR(INDEX(Setup!$G$33:$G$40,MATCH(K2042,Setup!$B$33:$B$40,0)),0)=1)*(COUNTIF(K2008:M2025,$B2042)+COUNTIF(K2008:M2025,$B2042&amp;" ~*")&gt;0)+(IFERROR(INDEX(Setup!$G$33:$G$40,MATCH(O2042,Setup!$B$33:$B$40,0)),0)=1)*(COUNTIF(O2008:Q2025,$B2042)+COUNTIF(O2008:Q2025,$B2042&amp;" ~*")&gt;0)+(IFERROR(INDEX(Setup!$G$33:$G$40,MATCH(S2042,Setup!$B$33:$B$40,0)),0)=1)*(COUNTIF(S2008:U2025,$B2042)+COUNTIF(S2008:U2025,$B2042&amp;" ~*")&gt;0)+(IFERROR(INDEX(Setup!$G$33:$G$40,MATCH(W2042,Setup!$B$33:$B$40,0)),0)=1)*(COUNTIF(W2008:W2025,$B2042)+COUNTIF(W2008:W2025,$B2042&amp;" ~*")&gt;0)+(IFERROR(INDEX(Setup!$G$33:$G$40,MATCH(Y2042,Setup!$B$33:$B$40,0)),0)=1)*(COUNTIF(Y2008:Y2025,$B2042)+COUNTIF(Y2008:Y2025,$B2042&amp;" ~*")&gt;0))</f>
        <v/>
      </c>
    </row>
    <row r="2043" ht="15" customHeight="1">
      <c r="A2043" t="n">
        <v>41</v>
      </c>
      <c r="B2043" s="35">
        <f>IF(Setup!$B$22="","",Setup!$B$22)</f>
        <v/>
      </c>
      <c r="C2043" s="98" t="n"/>
      <c r="D2043" s="99" t="n"/>
      <c r="E2043" s="99" t="n"/>
      <c r="F2043" s="100" t="n"/>
      <c r="G2043" s="98" t="n"/>
      <c r="H2043" s="99" t="n"/>
      <c r="I2043" s="99" t="n"/>
      <c r="J2043" s="100" t="n"/>
      <c r="K2043" s="98" t="n"/>
      <c r="L2043" s="99" t="n"/>
      <c r="M2043" s="99" t="n"/>
      <c r="N2043" s="100" t="n"/>
      <c r="O2043" s="98" t="n"/>
      <c r="P2043" s="99" t="n"/>
      <c r="Q2043" s="99" t="n"/>
      <c r="R2043" s="100" t="n"/>
      <c r="S2043" s="98" t="n"/>
      <c r="T2043" s="99" t="n"/>
      <c r="U2043" s="99" t="n"/>
      <c r="V2043" s="100" t="n"/>
      <c r="W2043" s="98" t="n"/>
      <c r="X2043" s="100" t="n"/>
      <c r="Y2043" s="98" t="n"/>
      <c r="Z2043" s="100" t="n"/>
      <c r="AB2043" s="101">
        <f>IF($B2043="","",(COUNTIF(C2008:E2025,$B2043)+COUNTIF(C2008:E2025,$B2043&amp;" ~*")&gt;0)+(COUNTIF(G2008:I2025,$B2043)+COUNTIF(G2008:I2025,$B2043&amp;" ~*")&gt;0)+(COUNTIF(K2008:M2025,$B2043)+COUNTIF(K2008:M2025,$B2043&amp;" ~*")&gt;0)+(COUNTIF(O2008:Q2025,$B2043)+COUNTIF(O2008:Q2025,$B2043&amp;" ~*")&gt;0)+(COUNTIF(S2008:U2025,$B2043)+COUNTIF(S2008:U2025,$B2043&amp;" ~*")&gt;0)+(COUNTIF(W2008:W2025,$B2043)+COUNTIF(W2008:W2025,$B2043&amp;" ~*")&gt;0)+(COUNTIF(Y2008:Y2025,$B2043)+COUNTIF(Y2008:Y2025,$B2043&amp;" ~*")&gt;0))</f>
        <v/>
      </c>
      <c r="AC2043" s="36">
        <f>IF($B2043="","",(IFERROR(INDEX(Setup!$G$33:$G$40,MATCH(C2043,Setup!$B$33:$B$40,0)),0)=1)*(COUNTIF(C2008:E2025,$B2043)+COUNTIF(C2008:E2025,$B2043&amp;" ~*")&gt;0)+(IFERROR(INDEX(Setup!$G$33:$G$40,MATCH(G2043,Setup!$B$33:$B$40,0)),0)=1)*(COUNTIF(G2008:I2025,$B2043)+COUNTIF(G2008:I2025,$B2043&amp;" ~*")&gt;0)+(IFERROR(INDEX(Setup!$G$33:$G$40,MATCH(K2043,Setup!$B$33:$B$40,0)),0)=1)*(COUNTIF(K2008:M2025,$B2043)+COUNTIF(K2008:M2025,$B2043&amp;" ~*")&gt;0)+(IFERROR(INDEX(Setup!$G$33:$G$40,MATCH(O2043,Setup!$B$33:$B$40,0)),0)=1)*(COUNTIF(O2008:Q2025,$B2043)+COUNTIF(O2008:Q2025,$B2043&amp;" ~*")&gt;0)+(IFERROR(INDEX(Setup!$G$33:$G$40,MATCH(S2043,Setup!$B$33:$B$40,0)),0)=1)*(COUNTIF(S2008:U2025,$B2043)+COUNTIF(S2008:U2025,$B2043&amp;" ~*")&gt;0)+(IFERROR(INDEX(Setup!$G$33:$G$40,MATCH(W2043,Setup!$B$33:$B$40,0)),0)=1)*(COUNTIF(W2008:W2025,$B2043)+COUNTIF(W2008:W2025,$B2043&amp;" ~*")&gt;0)+(IFERROR(INDEX(Setup!$G$33:$G$40,MATCH(Y2043,Setup!$B$33:$B$40,0)),0)=1)*(COUNTIF(Y2008:Y2025,$B2043)+COUNTIF(Y2008:Y2025,$B2043&amp;" ~*")&gt;0))</f>
        <v/>
      </c>
    </row>
    <row r="2044" ht="15" customHeight="1">
      <c r="A2044" t="n">
        <v>41</v>
      </c>
      <c r="B2044" s="37">
        <f>IF(Setup!$B$23="","",Setup!$B$23)</f>
        <v/>
      </c>
      <c r="C2044" s="102" t="n"/>
      <c r="D2044" s="103" t="n"/>
      <c r="E2044" s="103" t="n"/>
      <c r="F2044" s="104" t="n"/>
      <c r="G2044" s="102" t="n"/>
      <c r="H2044" s="103" t="n"/>
      <c r="I2044" s="103" t="n"/>
      <c r="J2044" s="104" t="n"/>
      <c r="K2044" s="102" t="n"/>
      <c r="L2044" s="103" t="n"/>
      <c r="M2044" s="103" t="n"/>
      <c r="N2044" s="104" t="n"/>
      <c r="O2044" s="102" t="n"/>
      <c r="P2044" s="103" t="n"/>
      <c r="Q2044" s="103" t="n"/>
      <c r="R2044" s="104" t="n"/>
      <c r="S2044" s="102" t="n"/>
      <c r="T2044" s="103" t="n"/>
      <c r="U2044" s="103" t="n"/>
      <c r="V2044" s="104" t="n"/>
      <c r="W2044" s="102" t="n"/>
      <c r="X2044" s="104" t="n"/>
      <c r="Y2044" s="102" t="n"/>
      <c r="Z2044" s="104" t="n"/>
      <c r="AB2044" s="105">
        <f>IF($B2044="","",(COUNTIF(C2008:E2025,$B2044)+COUNTIF(C2008:E2025,$B2044&amp;" ~*")&gt;0)+(COUNTIF(G2008:I2025,$B2044)+COUNTIF(G2008:I2025,$B2044&amp;" ~*")&gt;0)+(COUNTIF(K2008:M2025,$B2044)+COUNTIF(K2008:M2025,$B2044&amp;" ~*")&gt;0)+(COUNTIF(O2008:Q2025,$B2044)+COUNTIF(O2008:Q2025,$B2044&amp;" ~*")&gt;0)+(COUNTIF(S2008:U2025,$B2044)+COUNTIF(S2008:U2025,$B2044&amp;" ~*")&gt;0)+(COUNTIF(W2008:W2025,$B2044)+COUNTIF(W2008:W2025,$B2044&amp;" ~*")&gt;0)+(COUNTIF(Y2008:Y2025,$B2044)+COUNTIF(Y2008:Y2025,$B2044&amp;" ~*")&gt;0))</f>
        <v/>
      </c>
      <c r="AC2044" s="38">
        <f>IF($B2044="","",(IFERROR(INDEX(Setup!$G$33:$G$40,MATCH(C2044,Setup!$B$33:$B$40,0)),0)=1)*(COUNTIF(C2008:E2025,$B2044)+COUNTIF(C2008:E2025,$B2044&amp;" ~*")&gt;0)+(IFERROR(INDEX(Setup!$G$33:$G$40,MATCH(G2044,Setup!$B$33:$B$40,0)),0)=1)*(COUNTIF(G2008:I2025,$B2044)+COUNTIF(G2008:I2025,$B2044&amp;" ~*")&gt;0)+(IFERROR(INDEX(Setup!$G$33:$G$40,MATCH(K2044,Setup!$B$33:$B$40,0)),0)=1)*(COUNTIF(K2008:M2025,$B2044)+COUNTIF(K2008:M2025,$B2044&amp;" ~*")&gt;0)+(IFERROR(INDEX(Setup!$G$33:$G$40,MATCH(O2044,Setup!$B$33:$B$40,0)),0)=1)*(COUNTIF(O2008:Q2025,$B2044)+COUNTIF(O2008:Q2025,$B2044&amp;" ~*")&gt;0)+(IFERROR(INDEX(Setup!$G$33:$G$40,MATCH(S2044,Setup!$B$33:$B$40,0)),0)=1)*(COUNTIF(S2008:U2025,$B2044)+COUNTIF(S2008:U2025,$B2044&amp;" ~*")&gt;0)+(IFERROR(INDEX(Setup!$G$33:$G$40,MATCH(W2044,Setup!$B$33:$B$40,0)),0)=1)*(COUNTIF(W2008:W2025,$B2044)+COUNTIF(W2008:W2025,$B2044&amp;" ~*")&gt;0)+(IFERROR(INDEX(Setup!$G$33:$G$40,MATCH(Y2044,Setup!$B$33:$B$40,0)),0)=1)*(COUNTIF(Y2008:Y2025,$B2044)+COUNTIF(Y2008:Y2025,$B2044&amp;" ~*")&gt;0))</f>
        <v/>
      </c>
    </row>
    <row r="2045" ht="15" customHeight="1">
      <c r="A2045" t="n">
        <v>41</v>
      </c>
      <c r="B2045" s="35">
        <f>IF(Setup!$B$24="","",Setup!$B$24)</f>
        <v/>
      </c>
      <c r="C2045" s="98" t="n"/>
      <c r="D2045" s="99" t="n"/>
      <c r="E2045" s="99" t="n"/>
      <c r="F2045" s="100" t="n"/>
      <c r="G2045" s="98" t="n"/>
      <c r="H2045" s="99" t="n"/>
      <c r="I2045" s="99" t="n"/>
      <c r="J2045" s="100" t="n"/>
      <c r="K2045" s="98" t="n"/>
      <c r="L2045" s="99" t="n"/>
      <c r="M2045" s="99" t="n"/>
      <c r="N2045" s="100" t="n"/>
      <c r="O2045" s="98" t="n"/>
      <c r="P2045" s="99" t="n"/>
      <c r="Q2045" s="99" t="n"/>
      <c r="R2045" s="100" t="n"/>
      <c r="S2045" s="98" t="n"/>
      <c r="T2045" s="99" t="n"/>
      <c r="U2045" s="99" t="n"/>
      <c r="V2045" s="100" t="n"/>
      <c r="W2045" s="98" t="n"/>
      <c r="X2045" s="100" t="n"/>
      <c r="Y2045" s="98" t="n"/>
      <c r="Z2045" s="100" t="n"/>
      <c r="AB2045" s="101">
        <f>IF($B2045="","",(COUNTIF(C2008:E2025,$B2045)+COUNTIF(C2008:E2025,$B2045&amp;" ~*")&gt;0)+(COUNTIF(G2008:I2025,$B2045)+COUNTIF(G2008:I2025,$B2045&amp;" ~*")&gt;0)+(COUNTIF(K2008:M2025,$B2045)+COUNTIF(K2008:M2025,$B2045&amp;" ~*")&gt;0)+(COUNTIF(O2008:Q2025,$B2045)+COUNTIF(O2008:Q2025,$B2045&amp;" ~*")&gt;0)+(COUNTIF(S2008:U2025,$B2045)+COUNTIF(S2008:U2025,$B2045&amp;" ~*")&gt;0)+(COUNTIF(W2008:W2025,$B2045)+COUNTIF(W2008:W2025,$B2045&amp;" ~*")&gt;0)+(COUNTIF(Y2008:Y2025,$B2045)+COUNTIF(Y2008:Y2025,$B2045&amp;" ~*")&gt;0))</f>
        <v/>
      </c>
      <c r="AC2045" s="36">
        <f>IF($B2045="","",(IFERROR(INDEX(Setup!$G$33:$G$40,MATCH(C2045,Setup!$B$33:$B$40,0)),0)=1)*(COUNTIF(C2008:E2025,$B2045)+COUNTIF(C2008:E2025,$B2045&amp;" ~*")&gt;0)+(IFERROR(INDEX(Setup!$G$33:$G$40,MATCH(G2045,Setup!$B$33:$B$40,0)),0)=1)*(COUNTIF(G2008:I2025,$B2045)+COUNTIF(G2008:I2025,$B2045&amp;" ~*")&gt;0)+(IFERROR(INDEX(Setup!$G$33:$G$40,MATCH(K2045,Setup!$B$33:$B$40,0)),0)=1)*(COUNTIF(K2008:M2025,$B2045)+COUNTIF(K2008:M2025,$B2045&amp;" ~*")&gt;0)+(IFERROR(INDEX(Setup!$G$33:$G$40,MATCH(O2045,Setup!$B$33:$B$40,0)),0)=1)*(COUNTIF(O2008:Q2025,$B2045)+COUNTIF(O2008:Q2025,$B2045&amp;" ~*")&gt;0)+(IFERROR(INDEX(Setup!$G$33:$G$40,MATCH(S2045,Setup!$B$33:$B$40,0)),0)=1)*(COUNTIF(S2008:U2025,$B2045)+COUNTIF(S2008:U2025,$B2045&amp;" ~*")&gt;0)+(IFERROR(INDEX(Setup!$G$33:$G$40,MATCH(W2045,Setup!$B$33:$B$40,0)),0)=1)*(COUNTIF(W2008:W2025,$B2045)+COUNTIF(W2008:W2025,$B2045&amp;" ~*")&gt;0)+(IFERROR(INDEX(Setup!$G$33:$G$40,MATCH(Y2045,Setup!$B$33:$B$40,0)),0)=1)*(COUNTIF(Y2008:Y2025,$B2045)+COUNTIF(Y2008:Y2025,$B2045&amp;" ~*")&gt;0))</f>
        <v/>
      </c>
    </row>
    <row r="2046" ht="15" customHeight="1">
      <c r="A2046" t="n">
        <v>41</v>
      </c>
      <c r="B2046" s="37">
        <f>IF(Setup!$B$25="","",Setup!$B$25)</f>
        <v/>
      </c>
      <c r="C2046" s="102" t="n"/>
      <c r="D2046" s="103" t="n"/>
      <c r="E2046" s="103" t="n"/>
      <c r="F2046" s="104" t="n"/>
      <c r="G2046" s="102" t="n"/>
      <c r="H2046" s="103" t="n"/>
      <c r="I2046" s="103" t="n"/>
      <c r="J2046" s="104" t="n"/>
      <c r="K2046" s="102" t="n"/>
      <c r="L2046" s="103" t="n"/>
      <c r="M2046" s="103" t="n"/>
      <c r="N2046" s="104" t="n"/>
      <c r="O2046" s="102" t="n"/>
      <c r="P2046" s="103" t="n"/>
      <c r="Q2046" s="103" t="n"/>
      <c r="R2046" s="104" t="n"/>
      <c r="S2046" s="102" t="n"/>
      <c r="T2046" s="103" t="n"/>
      <c r="U2046" s="103" t="n"/>
      <c r="V2046" s="104" t="n"/>
      <c r="W2046" s="102" t="n"/>
      <c r="X2046" s="104" t="n"/>
      <c r="Y2046" s="102" t="n"/>
      <c r="Z2046" s="104" t="n"/>
      <c r="AB2046" s="105">
        <f>IF($B2046="","",(COUNTIF(C2008:E2025,$B2046)+COUNTIF(C2008:E2025,$B2046&amp;" ~*")&gt;0)+(COUNTIF(G2008:I2025,$B2046)+COUNTIF(G2008:I2025,$B2046&amp;" ~*")&gt;0)+(COUNTIF(K2008:M2025,$B2046)+COUNTIF(K2008:M2025,$B2046&amp;" ~*")&gt;0)+(COUNTIF(O2008:Q2025,$B2046)+COUNTIF(O2008:Q2025,$B2046&amp;" ~*")&gt;0)+(COUNTIF(S2008:U2025,$B2046)+COUNTIF(S2008:U2025,$B2046&amp;" ~*")&gt;0)+(COUNTIF(W2008:W2025,$B2046)+COUNTIF(W2008:W2025,$B2046&amp;" ~*")&gt;0)+(COUNTIF(Y2008:Y2025,$B2046)+COUNTIF(Y2008:Y2025,$B2046&amp;" ~*")&gt;0))</f>
        <v/>
      </c>
      <c r="AC2046" s="38">
        <f>IF($B2046="","",(IFERROR(INDEX(Setup!$G$33:$G$40,MATCH(C2046,Setup!$B$33:$B$40,0)),0)=1)*(COUNTIF(C2008:E2025,$B2046)+COUNTIF(C2008:E2025,$B2046&amp;" ~*")&gt;0)+(IFERROR(INDEX(Setup!$G$33:$G$40,MATCH(G2046,Setup!$B$33:$B$40,0)),0)=1)*(COUNTIF(G2008:I2025,$B2046)+COUNTIF(G2008:I2025,$B2046&amp;" ~*")&gt;0)+(IFERROR(INDEX(Setup!$G$33:$G$40,MATCH(K2046,Setup!$B$33:$B$40,0)),0)=1)*(COUNTIF(K2008:M2025,$B2046)+COUNTIF(K2008:M2025,$B2046&amp;" ~*")&gt;0)+(IFERROR(INDEX(Setup!$G$33:$G$40,MATCH(O2046,Setup!$B$33:$B$40,0)),0)=1)*(COUNTIF(O2008:Q2025,$B2046)+COUNTIF(O2008:Q2025,$B2046&amp;" ~*")&gt;0)+(IFERROR(INDEX(Setup!$G$33:$G$40,MATCH(S2046,Setup!$B$33:$B$40,0)),0)=1)*(COUNTIF(S2008:U2025,$B2046)+COUNTIF(S2008:U2025,$B2046&amp;" ~*")&gt;0)+(IFERROR(INDEX(Setup!$G$33:$G$40,MATCH(W2046,Setup!$B$33:$B$40,0)),0)=1)*(COUNTIF(W2008:W2025,$B2046)+COUNTIF(W2008:W2025,$B2046&amp;" ~*")&gt;0)+(IFERROR(INDEX(Setup!$G$33:$G$40,MATCH(Y2046,Setup!$B$33:$B$40,0)),0)=1)*(COUNTIF(Y2008:Y2025,$B2046)+COUNTIF(Y2008:Y2025,$B2046&amp;" ~*")&gt;0))</f>
        <v/>
      </c>
    </row>
    <row r="2047" ht="15" customHeight="1">
      <c r="A2047" t="n">
        <v>41</v>
      </c>
      <c r="B2047" s="35">
        <f>IF(Setup!$B$26="","",Setup!$B$26)</f>
        <v/>
      </c>
      <c r="C2047" s="98" t="n"/>
      <c r="D2047" s="99" t="n"/>
      <c r="E2047" s="99" t="n"/>
      <c r="F2047" s="100" t="n"/>
      <c r="G2047" s="98" t="n"/>
      <c r="H2047" s="99" t="n"/>
      <c r="I2047" s="99" t="n"/>
      <c r="J2047" s="100" t="n"/>
      <c r="K2047" s="98" t="n"/>
      <c r="L2047" s="99" t="n"/>
      <c r="M2047" s="99" t="n"/>
      <c r="N2047" s="100" t="n"/>
      <c r="O2047" s="98" t="n"/>
      <c r="P2047" s="99" t="n"/>
      <c r="Q2047" s="99" t="n"/>
      <c r="R2047" s="100" t="n"/>
      <c r="S2047" s="98" t="n"/>
      <c r="T2047" s="99" t="n"/>
      <c r="U2047" s="99" t="n"/>
      <c r="V2047" s="100" t="n"/>
      <c r="W2047" s="98" t="n"/>
      <c r="X2047" s="100" t="n"/>
      <c r="Y2047" s="98" t="n"/>
      <c r="Z2047" s="100" t="n"/>
      <c r="AB2047" s="101">
        <f>IF($B2047="","",(COUNTIF(C2008:E2025,$B2047)+COUNTIF(C2008:E2025,$B2047&amp;" ~*")&gt;0)+(COUNTIF(G2008:I2025,$B2047)+COUNTIF(G2008:I2025,$B2047&amp;" ~*")&gt;0)+(COUNTIF(K2008:M2025,$B2047)+COUNTIF(K2008:M2025,$B2047&amp;" ~*")&gt;0)+(COUNTIF(O2008:Q2025,$B2047)+COUNTIF(O2008:Q2025,$B2047&amp;" ~*")&gt;0)+(COUNTIF(S2008:U2025,$B2047)+COUNTIF(S2008:U2025,$B2047&amp;" ~*")&gt;0)+(COUNTIF(W2008:W2025,$B2047)+COUNTIF(W2008:W2025,$B2047&amp;" ~*")&gt;0)+(COUNTIF(Y2008:Y2025,$B2047)+COUNTIF(Y2008:Y2025,$B2047&amp;" ~*")&gt;0))</f>
        <v/>
      </c>
      <c r="AC2047" s="36">
        <f>IF($B2047="","",(IFERROR(INDEX(Setup!$G$33:$G$40,MATCH(C2047,Setup!$B$33:$B$40,0)),0)=1)*(COUNTIF(C2008:E2025,$B2047)+COUNTIF(C2008:E2025,$B2047&amp;" ~*")&gt;0)+(IFERROR(INDEX(Setup!$G$33:$G$40,MATCH(G2047,Setup!$B$33:$B$40,0)),0)=1)*(COUNTIF(G2008:I2025,$B2047)+COUNTIF(G2008:I2025,$B2047&amp;" ~*")&gt;0)+(IFERROR(INDEX(Setup!$G$33:$G$40,MATCH(K2047,Setup!$B$33:$B$40,0)),0)=1)*(COUNTIF(K2008:M2025,$B2047)+COUNTIF(K2008:M2025,$B2047&amp;" ~*")&gt;0)+(IFERROR(INDEX(Setup!$G$33:$G$40,MATCH(O2047,Setup!$B$33:$B$40,0)),0)=1)*(COUNTIF(O2008:Q2025,$B2047)+COUNTIF(O2008:Q2025,$B2047&amp;" ~*")&gt;0)+(IFERROR(INDEX(Setup!$G$33:$G$40,MATCH(S2047,Setup!$B$33:$B$40,0)),0)=1)*(COUNTIF(S2008:U2025,$B2047)+COUNTIF(S2008:U2025,$B2047&amp;" ~*")&gt;0)+(IFERROR(INDEX(Setup!$G$33:$G$40,MATCH(W2047,Setup!$B$33:$B$40,0)),0)=1)*(COUNTIF(W2008:W2025,$B2047)+COUNTIF(W2008:W2025,$B2047&amp;" ~*")&gt;0)+(IFERROR(INDEX(Setup!$G$33:$G$40,MATCH(Y2047,Setup!$B$33:$B$40,0)),0)=1)*(COUNTIF(Y2008:Y2025,$B2047)+COUNTIF(Y2008:Y2025,$B2047&amp;" ~*")&gt;0))</f>
        <v/>
      </c>
    </row>
    <row r="2048" ht="15" customHeight="1">
      <c r="A2048" t="n">
        <v>41</v>
      </c>
      <c r="B2048" s="37">
        <f>IF(Setup!$B$27="","",Setup!$B$27)</f>
        <v/>
      </c>
      <c r="C2048" s="102" t="n"/>
      <c r="D2048" s="103" t="n"/>
      <c r="E2048" s="103" t="n"/>
      <c r="F2048" s="104" t="n"/>
      <c r="G2048" s="102" t="n"/>
      <c r="H2048" s="103" t="n"/>
      <c r="I2048" s="103" t="n"/>
      <c r="J2048" s="104" t="n"/>
      <c r="K2048" s="102" t="n"/>
      <c r="L2048" s="103" t="n"/>
      <c r="M2048" s="103" t="n"/>
      <c r="N2048" s="104" t="n"/>
      <c r="O2048" s="102" t="n"/>
      <c r="P2048" s="103" t="n"/>
      <c r="Q2048" s="103" t="n"/>
      <c r="R2048" s="104" t="n"/>
      <c r="S2048" s="102" t="n"/>
      <c r="T2048" s="103" t="n"/>
      <c r="U2048" s="103" t="n"/>
      <c r="V2048" s="104" t="n"/>
      <c r="W2048" s="102" t="n"/>
      <c r="X2048" s="104" t="n"/>
      <c r="Y2048" s="102" t="n"/>
      <c r="Z2048" s="104" t="n"/>
      <c r="AB2048" s="105">
        <f>IF($B2048="","",(COUNTIF(C2008:E2025,$B2048)+COUNTIF(C2008:E2025,$B2048&amp;" ~*")&gt;0)+(COUNTIF(G2008:I2025,$B2048)+COUNTIF(G2008:I2025,$B2048&amp;" ~*")&gt;0)+(COUNTIF(K2008:M2025,$B2048)+COUNTIF(K2008:M2025,$B2048&amp;" ~*")&gt;0)+(COUNTIF(O2008:Q2025,$B2048)+COUNTIF(O2008:Q2025,$B2048&amp;" ~*")&gt;0)+(COUNTIF(S2008:U2025,$B2048)+COUNTIF(S2008:U2025,$B2048&amp;" ~*")&gt;0)+(COUNTIF(W2008:W2025,$B2048)+COUNTIF(W2008:W2025,$B2048&amp;" ~*")&gt;0)+(COUNTIF(Y2008:Y2025,$B2048)+COUNTIF(Y2008:Y2025,$B2048&amp;" ~*")&gt;0))</f>
        <v/>
      </c>
      <c r="AC2048" s="38">
        <f>IF($B2048="","",(IFERROR(INDEX(Setup!$G$33:$G$40,MATCH(C2048,Setup!$B$33:$B$40,0)),0)=1)*(COUNTIF(C2008:E2025,$B2048)+COUNTIF(C2008:E2025,$B2048&amp;" ~*")&gt;0)+(IFERROR(INDEX(Setup!$G$33:$G$40,MATCH(G2048,Setup!$B$33:$B$40,0)),0)=1)*(COUNTIF(G2008:I2025,$B2048)+COUNTIF(G2008:I2025,$B2048&amp;" ~*")&gt;0)+(IFERROR(INDEX(Setup!$G$33:$G$40,MATCH(K2048,Setup!$B$33:$B$40,0)),0)=1)*(COUNTIF(K2008:M2025,$B2048)+COUNTIF(K2008:M2025,$B2048&amp;" ~*")&gt;0)+(IFERROR(INDEX(Setup!$G$33:$G$40,MATCH(O2048,Setup!$B$33:$B$40,0)),0)=1)*(COUNTIF(O2008:Q2025,$B2048)+COUNTIF(O2008:Q2025,$B2048&amp;" ~*")&gt;0)+(IFERROR(INDEX(Setup!$G$33:$G$40,MATCH(S2048,Setup!$B$33:$B$40,0)),0)=1)*(COUNTIF(S2008:U2025,$B2048)+COUNTIF(S2008:U2025,$B2048&amp;" ~*")&gt;0)+(IFERROR(INDEX(Setup!$G$33:$G$40,MATCH(W2048,Setup!$B$33:$B$40,0)),0)=1)*(COUNTIF(W2008:W2025,$B2048)+COUNTIF(W2008:W2025,$B2048&amp;" ~*")&gt;0)+(IFERROR(INDEX(Setup!$G$33:$G$40,MATCH(Y2048,Setup!$B$33:$B$40,0)),0)=1)*(COUNTIF(Y2008:Y2025,$B2048)+COUNTIF(Y2008:Y2025,$B2048&amp;" ~*")&gt;0))</f>
        <v/>
      </c>
    </row>
    <row r="2049" ht="15" customHeight="1">
      <c r="A2049" t="n">
        <v>41</v>
      </c>
      <c r="B2049" s="35">
        <f>IF(Setup!$B$28="","",Setup!$B$28)</f>
        <v/>
      </c>
      <c r="C2049" s="98" t="n"/>
      <c r="D2049" s="99" t="n"/>
      <c r="E2049" s="99" t="n"/>
      <c r="F2049" s="100" t="n"/>
      <c r="G2049" s="98" t="n"/>
      <c r="H2049" s="99" t="n"/>
      <c r="I2049" s="99" t="n"/>
      <c r="J2049" s="100" t="n"/>
      <c r="K2049" s="98" t="n"/>
      <c r="L2049" s="99" t="n"/>
      <c r="M2049" s="99" t="n"/>
      <c r="N2049" s="100" t="n"/>
      <c r="O2049" s="98" t="n"/>
      <c r="P2049" s="99" t="n"/>
      <c r="Q2049" s="99" t="n"/>
      <c r="R2049" s="100" t="n"/>
      <c r="S2049" s="98" t="n"/>
      <c r="T2049" s="99" t="n"/>
      <c r="U2049" s="99" t="n"/>
      <c r="V2049" s="100" t="n"/>
      <c r="W2049" s="98" t="n"/>
      <c r="X2049" s="100" t="n"/>
      <c r="Y2049" s="98" t="n"/>
      <c r="Z2049" s="100" t="n"/>
      <c r="AB2049" s="101">
        <f>IF($B2049="","",(COUNTIF(C2008:E2025,$B2049)+COUNTIF(C2008:E2025,$B2049&amp;" ~*")&gt;0)+(COUNTIF(G2008:I2025,$B2049)+COUNTIF(G2008:I2025,$B2049&amp;" ~*")&gt;0)+(COUNTIF(K2008:M2025,$B2049)+COUNTIF(K2008:M2025,$B2049&amp;" ~*")&gt;0)+(COUNTIF(O2008:Q2025,$B2049)+COUNTIF(O2008:Q2025,$B2049&amp;" ~*")&gt;0)+(COUNTIF(S2008:U2025,$B2049)+COUNTIF(S2008:U2025,$B2049&amp;" ~*")&gt;0)+(COUNTIF(W2008:W2025,$B2049)+COUNTIF(W2008:W2025,$B2049&amp;" ~*")&gt;0)+(COUNTIF(Y2008:Y2025,$B2049)+COUNTIF(Y2008:Y2025,$B2049&amp;" ~*")&gt;0))</f>
        <v/>
      </c>
      <c r="AC2049" s="36">
        <f>IF($B2049="","",(IFERROR(INDEX(Setup!$G$33:$G$40,MATCH(C2049,Setup!$B$33:$B$40,0)),0)=1)*(COUNTIF(C2008:E2025,$B2049)+COUNTIF(C2008:E2025,$B2049&amp;" ~*")&gt;0)+(IFERROR(INDEX(Setup!$G$33:$G$40,MATCH(G2049,Setup!$B$33:$B$40,0)),0)=1)*(COUNTIF(G2008:I2025,$B2049)+COUNTIF(G2008:I2025,$B2049&amp;" ~*")&gt;0)+(IFERROR(INDEX(Setup!$G$33:$G$40,MATCH(K2049,Setup!$B$33:$B$40,0)),0)=1)*(COUNTIF(K2008:M2025,$B2049)+COUNTIF(K2008:M2025,$B2049&amp;" ~*")&gt;0)+(IFERROR(INDEX(Setup!$G$33:$G$40,MATCH(O2049,Setup!$B$33:$B$40,0)),0)=1)*(COUNTIF(O2008:Q2025,$B2049)+COUNTIF(O2008:Q2025,$B2049&amp;" ~*")&gt;0)+(IFERROR(INDEX(Setup!$G$33:$G$40,MATCH(S2049,Setup!$B$33:$B$40,0)),0)=1)*(COUNTIF(S2008:U2025,$B2049)+COUNTIF(S2008:U2025,$B2049&amp;" ~*")&gt;0)+(IFERROR(INDEX(Setup!$G$33:$G$40,MATCH(W2049,Setup!$B$33:$B$40,0)),0)=1)*(COUNTIF(W2008:W2025,$B2049)+COUNTIF(W2008:W2025,$B2049&amp;" ~*")&gt;0)+(IFERROR(INDEX(Setup!$G$33:$G$40,MATCH(Y2049,Setup!$B$33:$B$40,0)),0)=1)*(COUNTIF(Y2008:Y2025,$B2049)+COUNTIF(Y2008:Y2025,$B2049&amp;" ~*")&gt;0))</f>
        <v/>
      </c>
    </row>
    <row r="2050" ht="15" customHeight="1">
      <c r="A2050" t="n">
        <v>41</v>
      </c>
      <c r="B2050" s="37">
        <f>IF(Setup!$B$29="","",Setup!$B$29)</f>
        <v/>
      </c>
      <c r="C2050" s="102" t="n"/>
      <c r="D2050" s="103" t="n"/>
      <c r="E2050" s="103" t="n"/>
      <c r="F2050" s="104" t="n"/>
      <c r="G2050" s="102" t="n"/>
      <c r="H2050" s="103" t="n"/>
      <c r="I2050" s="103" t="n"/>
      <c r="J2050" s="104" t="n"/>
      <c r="K2050" s="102" t="n"/>
      <c r="L2050" s="103" t="n"/>
      <c r="M2050" s="103" t="n"/>
      <c r="N2050" s="104" t="n"/>
      <c r="O2050" s="102" t="n"/>
      <c r="P2050" s="103" t="n"/>
      <c r="Q2050" s="103" t="n"/>
      <c r="R2050" s="104" t="n"/>
      <c r="S2050" s="102" t="n"/>
      <c r="T2050" s="103" t="n"/>
      <c r="U2050" s="103" t="n"/>
      <c r="V2050" s="104" t="n"/>
      <c r="W2050" s="102" t="n"/>
      <c r="X2050" s="104" t="n"/>
      <c r="Y2050" s="102" t="n"/>
      <c r="Z2050" s="104" t="n"/>
      <c r="AB2050" s="105">
        <f>IF($B2050="","",(COUNTIF(C2008:E2025,$B2050)+COUNTIF(C2008:E2025,$B2050&amp;" ~*")&gt;0)+(COUNTIF(G2008:I2025,$B2050)+COUNTIF(G2008:I2025,$B2050&amp;" ~*")&gt;0)+(COUNTIF(K2008:M2025,$B2050)+COUNTIF(K2008:M2025,$B2050&amp;" ~*")&gt;0)+(COUNTIF(O2008:Q2025,$B2050)+COUNTIF(O2008:Q2025,$B2050&amp;" ~*")&gt;0)+(COUNTIF(S2008:U2025,$B2050)+COUNTIF(S2008:U2025,$B2050&amp;" ~*")&gt;0)+(COUNTIF(W2008:W2025,$B2050)+COUNTIF(W2008:W2025,$B2050&amp;" ~*")&gt;0)+(COUNTIF(Y2008:Y2025,$B2050)+COUNTIF(Y2008:Y2025,$B2050&amp;" ~*")&gt;0))</f>
        <v/>
      </c>
      <c r="AC2050" s="38">
        <f>IF($B2050="","",(IFERROR(INDEX(Setup!$G$33:$G$40,MATCH(C2050,Setup!$B$33:$B$40,0)),0)=1)*(COUNTIF(C2008:E2025,$B2050)+COUNTIF(C2008:E2025,$B2050&amp;" ~*")&gt;0)+(IFERROR(INDEX(Setup!$G$33:$G$40,MATCH(G2050,Setup!$B$33:$B$40,0)),0)=1)*(COUNTIF(G2008:I2025,$B2050)+COUNTIF(G2008:I2025,$B2050&amp;" ~*")&gt;0)+(IFERROR(INDEX(Setup!$G$33:$G$40,MATCH(K2050,Setup!$B$33:$B$40,0)),0)=1)*(COUNTIF(K2008:M2025,$B2050)+COUNTIF(K2008:M2025,$B2050&amp;" ~*")&gt;0)+(IFERROR(INDEX(Setup!$G$33:$G$40,MATCH(O2050,Setup!$B$33:$B$40,0)),0)=1)*(COUNTIF(O2008:Q2025,$B2050)+COUNTIF(O2008:Q2025,$B2050&amp;" ~*")&gt;0)+(IFERROR(INDEX(Setup!$G$33:$G$40,MATCH(S2050,Setup!$B$33:$B$40,0)),0)=1)*(COUNTIF(S2008:U2025,$B2050)+COUNTIF(S2008:U2025,$B2050&amp;" ~*")&gt;0)+(IFERROR(INDEX(Setup!$G$33:$G$40,MATCH(W2050,Setup!$B$33:$B$40,0)),0)=1)*(COUNTIF(W2008:W2025,$B2050)+COUNTIF(W2008:W2025,$B2050&amp;" ~*")&gt;0)+(IFERROR(INDEX(Setup!$G$33:$G$40,MATCH(Y2050,Setup!$B$33:$B$40,0)),0)=1)*(COUNTIF(Y2008:Y2025,$B2050)+COUNTIF(Y2008:Y2025,$B2050&amp;" ~*")&gt;0))</f>
        <v/>
      </c>
    </row>
    <row r="2051" ht="16" customHeight="1">
      <c r="A2051" t="n">
        <v>41</v>
      </c>
      <c r="B2051" s="106" t="inlineStr">
        <is>
          <t>Available people</t>
        </is>
      </c>
      <c r="C2051" s="107">
        <f>COUNTIFS(Setup!$E$6:$E$29,"Y",Setup!$B$6:$B$29,"?*")-SUMPRODUCT(COUNTIF(C2027:C2050,Setup!$F$33:$F$40))</f>
        <v/>
      </c>
      <c r="D2051" s="107" t="n"/>
      <c r="E2051" s="107" t="n"/>
      <c r="F2051" s="107" t="n"/>
      <c r="G2051" s="107">
        <f>COUNTIFS(Setup!$E$6:$E$29,"Y",Setup!$B$6:$B$29,"?*")-SUMPRODUCT(COUNTIF(G2027:G2050,Setup!$F$33:$F$40))</f>
        <v/>
      </c>
      <c r="H2051" s="107" t="n"/>
      <c r="I2051" s="107" t="n"/>
      <c r="J2051" s="107" t="n"/>
      <c r="K2051" s="107">
        <f>COUNTIFS(Setup!$E$6:$E$29,"Y",Setup!$B$6:$B$29,"?*")-SUMPRODUCT(COUNTIF(K2027:K2050,Setup!$F$33:$F$40))</f>
        <v/>
      </c>
      <c r="L2051" s="107" t="n"/>
      <c r="M2051" s="107" t="n"/>
      <c r="N2051" s="107" t="n"/>
      <c r="O2051" s="107">
        <f>COUNTIFS(Setup!$E$6:$E$29,"Y",Setup!$B$6:$B$29,"?*")-SUMPRODUCT(COUNTIF(O2027:O2050,Setup!$F$33:$F$40))</f>
        <v/>
      </c>
      <c r="P2051" s="107" t="n"/>
      <c r="Q2051" s="107" t="n"/>
      <c r="R2051" s="107" t="n"/>
      <c r="S2051" s="107">
        <f>COUNTIFS(Setup!$E$6:$E$29,"Y",Setup!$B$6:$B$29,"?*")-SUMPRODUCT(COUNTIF(S2027:S2050,Setup!$F$33:$F$40))</f>
        <v/>
      </c>
      <c r="T2051" s="107" t="n"/>
      <c r="U2051" s="107" t="n"/>
      <c r="V2051" s="107" t="n"/>
      <c r="W2051" s="107">
        <f>COUNTIFS(Setup!$E$6:$E$29,"Y",Setup!$B$6:$B$29,"?*")-SUMPRODUCT(COUNTIF(W2027:W2050,Setup!$F$33:$F$40))</f>
        <v/>
      </c>
      <c r="X2051" s="107" t="n"/>
      <c r="Y2051" s="107">
        <f>COUNTIFS(Setup!$E$6:$E$29,"Y",Setup!$B$6:$B$29,"?*")-SUMPRODUCT(COUNTIF(Y2027:Y2050,Setup!$F$33:$F$40))</f>
        <v/>
      </c>
      <c r="Z2051" s="107" t="n"/>
      <c r="AB2051" s="108">
        <f>SUM(AB2027:AB2050)</f>
        <v/>
      </c>
      <c r="AC2051" s="109">
        <f>SUM(AC2027:AC2050)</f>
        <v/>
      </c>
    </row>
    <row r="2052" ht="30" customHeight="1">
      <c r="A2052" t="n">
        <v>41</v>
      </c>
      <c r="B2052" s="110" t="inlineStr">
        <is>
          <t>Week notes</t>
        </is>
      </c>
      <c r="C2052" s="111" t="n"/>
      <c r="D2052" s="112" t="n"/>
      <c r="E2052" s="112" t="n"/>
      <c r="F2052" s="112" t="n"/>
      <c r="G2052" s="112" t="n"/>
      <c r="H2052" s="112" t="n"/>
      <c r="I2052" s="112" t="n"/>
      <c r="J2052" s="112" t="n"/>
      <c r="K2052" s="112" t="n"/>
      <c r="L2052" s="112" t="n"/>
      <c r="M2052" s="112" t="n"/>
      <c r="N2052" s="112" t="n"/>
      <c r="O2052" s="112" t="n"/>
      <c r="P2052" s="112" t="n"/>
      <c r="Q2052" s="112" t="n"/>
      <c r="R2052" s="112" t="n"/>
      <c r="S2052" s="112" t="n"/>
      <c r="T2052" s="112" t="n"/>
      <c r="U2052" s="112" t="n"/>
      <c r="V2052" s="112" t="n"/>
      <c r="W2052" s="112" t="n"/>
      <c r="X2052" s="112" t="n"/>
      <c r="Y2052" s="112" t="n"/>
      <c r="Z2052" s="113" t="n"/>
    </row>
    <row r="2053" ht="8" customHeight="1">
      <c r="A2053" t="n">
        <v>41</v>
      </c>
    </row>
    <row r="2054" ht="8" customHeight="1">
      <c r="A2054" t="n">
        <v>41</v>
      </c>
    </row>
    <row r="2055" ht="24" customHeight="1">
      <c r="A2055" t="n">
        <v>42</v>
      </c>
      <c r="B2055" s="73">
        <f>"WEEK 42     "&amp;TEXT(C2056,"ddd d mmm")&amp;"  –  "&amp;TEXT(C2056+6,"ddd d mmm yyyy")</f>
        <v/>
      </c>
      <c r="S2055" s="74">
        <f>IF(TODAY()&lt;C2056,"FUTURE",IF(TODAY()&gt;C2056+6,"PAST","THIS WEEK"))</f>
        <v/>
      </c>
      <c r="W2055" s="75">
        <f>IF(AND(Engine!$B$8=$AC$3,Engine!$B$9=$A2055),"◀ ACTIVE WEEK","")</f>
        <v/>
      </c>
      <c r="AA2055" s="76" t="n"/>
      <c r="AB2055" s="77" t="inlineStr">
        <is>
          <t>◀ Prev</t>
        </is>
      </c>
      <c r="AC2055" s="77" t="inlineStr">
        <is>
          <t>Next ▶</t>
        </is>
      </c>
    </row>
    <row r="2056" ht="18" customHeight="1">
      <c r="A2056" t="n">
        <v>42</v>
      </c>
      <c r="B2056" s="78" t="inlineStr">
        <is>
          <t>DUTY</t>
        </is>
      </c>
      <c r="C2056" s="79">
        <f>$AC$2+7*($A2056-1)</f>
        <v/>
      </c>
      <c r="D2056" s="80" t="n"/>
      <c r="E2056" s="80" t="n"/>
      <c r="F2056" s="81" t="n"/>
      <c r="G2056" s="79">
        <f>C2056+1</f>
        <v/>
      </c>
      <c r="H2056" s="80" t="n"/>
      <c r="I2056" s="80" t="n"/>
      <c r="J2056" s="81" t="n"/>
      <c r="K2056" s="79">
        <f>C2056+2</f>
        <v/>
      </c>
      <c r="L2056" s="80" t="n"/>
      <c r="M2056" s="80" t="n"/>
      <c r="N2056" s="81" t="n"/>
      <c r="O2056" s="79">
        <f>C2056+3</f>
        <v/>
      </c>
      <c r="P2056" s="80" t="n"/>
      <c r="Q2056" s="80" t="n"/>
      <c r="R2056" s="81" t="n"/>
      <c r="S2056" s="79">
        <f>C2056+4</f>
        <v/>
      </c>
      <c r="T2056" s="80" t="n"/>
      <c r="U2056" s="80" t="n"/>
      <c r="V2056" s="81" t="n"/>
      <c r="W2056" s="82">
        <f>C2056+5</f>
        <v/>
      </c>
      <c r="X2056" s="83" t="n"/>
      <c r="Y2056" s="82">
        <f>C2056+6</f>
        <v/>
      </c>
      <c r="Z2056" s="83" t="n"/>
      <c r="AB2056" s="72" t="inlineStr">
        <is>
          <t>Gaps</t>
        </is>
      </c>
      <c r="AC2056" s="72" t="inlineStr">
        <is>
          <t>Cover</t>
        </is>
      </c>
    </row>
    <row r="2057" ht="14" customHeight="1">
      <c r="A2057" t="n">
        <v>42</v>
      </c>
      <c r="B2057" s="84" t="inlineStr">
        <is>
          <t>(from Setup)</t>
        </is>
      </c>
      <c r="C2057" s="85" t="inlineStr">
        <is>
          <t>1</t>
        </is>
      </c>
      <c r="D2057" s="85" t="inlineStr">
        <is>
          <t>2</t>
        </is>
      </c>
      <c r="E2057" s="85" t="inlineStr">
        <is>
          <t>3</t>
        </is>
      </c>
      <c r="F2057" s="85" t="inlineStr">
        <is>
          <t>Notes</t>
        </is>
      </c>
      <c r="G2057" s="85" t="inlineStr">
        <is>
          <t>1</t>
        </is>
      </c>
      <c r="H2057" s="85" t="inlineStr">
        <is>
          <t>2</t>
        </is>
      </c>
      <c r="I2057" s="85" t="inlineStr">
        <is>
          <t>3</t>
        </is>
      </c>
      <c r="J2057" s="85" t="inlineStr">
        <is>
          <t>Notes</t>
        </is>
      </c>
      <c r="K2057" s="85" t="inlineStr">
        <is>
          <t>1</t>
        </is>
      </c>
      <c r="L2057" s="85" t="inlineStr">
        <is>
          <t>2</t>
        </is>
      </c>
      <c r="M2057" s="85" t="inlineStr">
        <is>
          <t>3</t>
        </is>
      </c>
      <c r="N2057" s="85" t="inlineStr">
        <is>
          <t>Notes</t>
        </is>
      </c>
      <c r="O2057" s="85" t="inlineStr">
        <is>
          <t>1</t>
        </is>
      </c>
      <c r="P2057" s="85" t="inlineStr">
        <is>
          <t>2</t>
        </is>
      </c>
      <c r="Q2057" s="85" t="inlineStr">
        <is>
          <t>3</t>
        </is>
      </c>
      <c r="R2057" s="85" t="inlineStr">
        <is>
          <t>Notes</t>
        </is>
      </c>
      <c r="S2057" s="85" t="inlineStr">
        <is>
          <t>1</t>
        </is>
      </c>
      <c r="T2057" s="85" t="inlineStr">
        <is>
          <t>2</t>
        </is>
      </c>
      <c r="U2057" s="85" t="inlineStr">
        <is>
          <t>3</t>
        </is>
      </c>
      <c r="V2057" s="85" t="inlineStr">
        <is>
          <t>Notes</t>
        </is>
      </c>
      <c r="W2057" s="85" t="inlineStr">
        <is>
          <t>Cover</t>
        </is>
      </c>
      <c r="X2057" s="85" t="inlineStr">
        <is>
          <t>Notes</t>
        </is>
      </c>
      <c r="Y2057" s="85" t="inlineStr">
        <is>
          <t>Cover</t>
        </is>
      </c>
      <c r="Z2057" s="85" t="inlineStr">
        <is>
          <t>Notes</t>
        </is>
      </c>
      <c r="AB2057" s="86" t="inlineStr">
        <is>
          <t>weekdays short</t>
        </is>
      </c>
      <c r="AC2057" s="87" t="inlineStr"/>
    </row>
    <row r="2058" ht="17" customHeight="1">
      <c r="A2058" t="n">
        <v>42</v>
      </c>
      <c r="B2058" s="24">
        <f>IF(Setup!$K$6="","",Setup!$K$6)</f>
        <v/>
      </c>
      <c r="C2058" s="88" t="n"/>
      <c r="D2058" s="88" t="n"/>
      <c r="E2058" s="88" t="n"/>
      <c r="F2058" s="89" t="n"/>
      <c r="G2058" s="88" t="n"/>
      <c r="H2058" s="88" t="n"/>
      <c r="I2058" s="88" t="n"/>
      <c r="J2058" s="89" t="n"/>
      <c r="K2058" s="88" t="n"/>
      <c r="L2058" s="88" t="n"/>
      <c r="M2058" s="88" t="n"/>
      <c r="N2058" s="89" t="n"/>
      <c r="O2058" s="88" t="n"/>
      <c r="P2058" s="88" t="n"/>
      <c r="Q2058" s="88" t="n"/>
      <c r="R2058" s="89" t="n"/>
      <c r="S2058" s="88" t="n"/>
      <c r="T2058" s="88" t="n"/>
      <c r="U2058" s="88" t="n"/>
      <c r="V2058" s="89" t="n"/>
      <c r="W2058" s="88" t="n"/>
      <c r="X2058" s="89" t="n"/>
      <c r="Y2058" s="88" t="n"/>
      <c r="Z2058" s="89" t="n"/>
      <c r="AB2058" s="25">
        <f>IF($B2058="","",(COUNTIF(C2058:E2058,"?*")&lt;N(INDEX(Setup!$L$6:$L$23,1)))+(COUNTIF(G2058:I2058,"?*")&lt;N(INDEX(Setup!$L$6:$L$23,1)))+(COUNTIF(K2058:M2058,"?*")&lt;N(INDEX(Setup!$L$6:$L$23,1)))+(COUNTIF(O2058:Q2058,"?*")&lt;N(INDEX(Setup!$L$6:$L$23,1)))+(COUNTIF(S2058:U2058,"?*")&lt;N(INDEX(Setup!$L$6:$L$23,1)))+((W2058="")*(INDEX(Setup!$M$6:$M$23,1)="Y"))+((Y2058="")*(INDEX(Setup!$M$6:$M$23,1)="Y")))</f>
        <v/>
      </c>
      <c r="AC2058" s="90">
        <f>IF($B2058="","",IF(AB2058=0,"✓ covered","⚠ "&amp;AB2058&amp;IF(AB2058=1," gap"," gaps")))</f>
        <v/>
      </c>
    </row>
    <row r="2059" ht="17" customHeight="1">
      <c r="A2059" t="n">
        <v>42</v>
      </c>
      <c r="B2059" s="29">
        <f>IF(Setup!$K$7="","",Setup!$K$7)</f>
        <v/>
      </c>
      <c r="C2059" s="88" t="n"/>
      <c r="D2059" s="88" t="n"/>
      <c r="E2059" s="88" t="n"/>
      <c r="F2059" s="89" t="n"/>
      <c r="G2059" s="88" t="n"/>
      <c r="H2059" s="88" t="n"/>
      <c r="I2059" s="88" t="n"/>
      <c r="J2059" s="89" t="n"/>
      <c r="K2059" s="88" t="n"/>
      <c r="L2059" s="88" t="n"/>
      <c r="M2059" s="88" t="n"/>
      <c r="N2059" s="89" t="n"/>
      <c r="O2059" s="88" t="n"/>
      <c r="P2059" s="88" t="n"/>
      <c r="Q2059" s="88" t="n"/>
      <c r="R2059" s="89" t="n"/>
      <c r="S2059" s="88" t="n"/>
      <c r="T2059" s="88" t="n"/>
      <c r="U2059" s="88" t="n"/>
      <c r="V2059" s="89" t="n"/>
      <c r="W2059" s="88" t="n"/>
      <c r="X2059" s="89" t="n"/>
      <c r="Y2059" s="88" t="n"/>
      <c r="Z2059" s="89" t="n"/>
      <c r="AB2059" s="30">
        <f>IF($B2059="","",(COUNTIF(C2059:E2059,"?*")&lt;N(INDEX(Setup!$L$6:$L$23,2)))+(COUNTIF(G2059:I2059,"?*")&lt;N(INDEX(Setup!$L$6:$L$23,2)))+(COUNTIF(K2059:M2059,"?*")&lt;N(INDEX(Setup!$L$6:$L$23,2)))+(COUNTIF(O2059:Q2059,"?*")&lt;N(INDEX(Setup!$L$6:$L$23,2)))+(COUNTIF(S2059:U2059,"?*")&lt;N(INDEX(Setup!$L$6:$L$23,2)))+((W2059="")*(INDEX(Setup!$M$6:$M$23,2)="Y"))+((Y2059="")*(INDEX(Setup!$M$6:$M$23,2)="Y")))</f>
        <v/>
      </c>
      <c r="AC2059" s="91">
        <f>IF($B2059="","",IF(AB2059=0,"✓ covered","⚠ "&amp;AB2059&amp;IF(AB2059=1," gap"," gaps")))</f>
        <v/>
      </c>
    </row>
    <row r="2060" ht="17" customHeight="1">
      <c r="A2060" t="n">
        <v>42</v>
      </c>
      <c r="B2060" s="24">
        <f>IF(Setup!$K$8="","",Setup!$K$8)</f>
        <v/>
      </c>
      <c r="C2060" s="88" t="n"/>
      <c r="D2060" s="88" t="n"/>
      <c r="E2060" s="88" t="n"/>
      <c r="F2060" s="89" t="n"/>
      <c r="G2060" s="88" t="n"/>
      <c r="H2060" s="88" t="n"/>
      <c r="I2060" s="88" t="n"/>
      <c r="J2060" s="89" t="n"/>
      <c r="K2060" s="88" t="n"/>
      <c r="L2060" s="88" t="n"/>
      <c r="M2060" s="88" t="n"/>
      <c r="N2060" s="89" t="n"/>
      <c r="O2060" s="88" t="n"/>
      <c r="P2060" s="88" t="n"/>
      <c r="Q2060" s="88" t="n"/>
      <c r="R2060" s="89" t="n"/>
      <c r="S2060" s="88" t="n"/>
      <c r="T2060" s="88" t="n"/>
      <c r="U2060" s="88" t="n"/>
      <c r="V2060" s="89" t="n"/>
      <c r="W2060" s="88" t="n"/>
      <c r="X2060" s="89" t="n"/>
      <c r="Y2060" s="88" t="n"/>
      <c r="Z2060" s="89" t="n"/>
      <c r="AB2060" s="25">
        <f>IF($B2060="","",(COUNTIF(C2060:E2060,"?*")&lt;N(INDEX(Setup!$L$6:$L$23,3)))+(COUNTIF(G2060:I2060,"?*")&lt;N(INDEX(Setup!$L$6:$L$23,3)))+(COUNTIF(K2060:M2060,"?*")&lt;N(INDEX(Setup!$L$6:$L$23,3)))+(COUNTIF(O2060:Q2060,"?*")&lt;N(INDEX(Setup!$L$6:$L$23,3)))+(COUNTIF(S2060:U2060,"?*")&lt;N(INDEX(Setup!$L$6:$L$23,3)))+((W2060="")*(INDEX(Setup!$M$6:$M$23,3)="Y"))+((Y2060="")*(INDEX(Setup!$M$6:$M$23,3)="Y")))</f>
        <v/>
      </c>
      <c r="AC2060" s="90">
        <f>IF($B2060="","",IF(AB2060=0,"✓ covered","⚠ "&amp;AB2060&amp;IF(AB2060=1," gap"," gaps")))</f>
        <v/>
      </c>
    </row>
    <row r="2061" ht="17" customHeight="1">
      <c r="A2061" t="n">
        <v>42</v>
      </c>
      <c r="B2061" s="29">
        <f>IF(Setup!$K$9="","",Setup!$K$9)</f>
        <v/>
      </c>
      <c r="C2061" s="88" t="n"/>
      <c r="D2061" s="88" t="n"/>
      <c r="E2061" s="88" t="n"/>
      <c r="F2061" s="89" t="n"/>
      <c r="G2061" s="88" t="n"/>
      <c r="H2061" s="88" t="n"/>
      <c r="I2061" s="88" t="n"/>
      <c r="J2061" s="89" t="n"/>
      <c r="K2061" s="88" t="n"/>
      <c r="L2061" s="88" t="n"/>
      <c r="M2061" s="88" t="n"/>
      <c r="N2061" s="89" t="n"/>
      <c r="O2061" s="88" t="n"/>
      <c r="P2061" s="88" t="n"/>
      <c r="Q2061" s="88" t="n"/>
      <c r="R2061" s="89" t="n"/>
      <c r="S2061" s="88" t="n"/>
      <c r="T2061" s="88" t="n"/>
      <c r="U2061" s="88" t="n"/>
      <c r="V2061" s="89" t="n"/>
      <c r="W2061" s="88" t="n"/>
      <c r="X2061" s="89" t="n"/>
      <c r="Y2061" s="88" t="n"/>
      <c r="Z2061" s="89" t="n"/>
      <c r="AB2061" s="30">
        <f>IF($B2061="","",(COUNTIF(C2061:E2061,"?*")&lt;N(INDEX(Setup!$L$6:$L$23,4)))+(COUNTIF(G2061:I2061,"?*")&lt;N(INDEX(Setup!$L$6:$L$23,4)))+(COUNTIF(K2061:M2061,"?*")&lt;N(INDEX(Setup!$L$6:$L$23,4)))+(COUNTIF(O2061:Q2061,"?*")&lt;N(INDEX(Setup!$L$6:$L$23,4)))+(COUNTIF(S2061:U2061,"?*")&lt;N(INDEX(Setup!$L$6:$L$23,4)))+((W2061="")*(INDEX(Setup!$M$6:$M$23,4)="Y"))+((Y2061="")*(INDEX(Setup!$M$6:$M$23,4)="Y")))</f>
        <v/>
      </c>
      <c r="AC2061" s="91">
        <f>IF($B2061="","",IF(AB2061=0,"✓ covered","⚠ "&amp;AB2061&amp;IF(AB2061=1," gap"," gaps")))</f>
        <v/>
      </c>
    </row>
    <row r="2062" ht="17" customHeight="1">
      <c r="A2062" t="n">
        <v>42</v>
      </c>
      <c r="B2062" s="24">
        <f>IF(Setup!$K$10="","",Setup!$K$10)</f>
        <v/>
      </c>
      <c r="C2062" s="88" t="n"/>
      <c r="D2062" s="88" t="n"/>
      <c r="E2062" s="88" t="n"/>
      <c r="F2062" s="89" t="n"/>
      <c r="G2062" s="88" t="n"/>
      <c r="H2062" s="88" t="n"/>
      <c r="I2062" s="88" t="n"/>
      <c r="J2062" s="89" t="n"/>
      <c r="K2062" s="88" t="n"/>
      <c r="L2062" s="88" t="n"/>
      <c r="M2062" s="88" t="n"/>
      <c r="N2062" s="89" t="n"/>
      <c r="O2062" s="88" t="n"/>
      <c r="P2062" s="88" t="n"/>
      <c r="Q2062" s="88" t="n"/>
      <c r="R2062" s="89" t="n"/>
      <c r="S2062" s="88" t="n"/>
      <c r="T2062" s="88" t="n"/>
      <c r="U2062" s="88" t="n"/>
      <c r="V2062" s="89" t="n"/>
      <c r="W2062" s="88" t="n"/>
      <c r="X2062" s="89" t="n"/>
      <c r="Y2062" s="88" t="n"/>
      <c r="Z2062" s="89" t="n"/>
      <c r="AB2062" s="25">
        <f>IF($B2062="","",(COUNTIF(C2062:E2062,"?*")&lt;N(INDEX(Setup!$L$6:$L$23,5)))+(COUNTIF(G2062:I2062,"?*")&lt;N(INDEX(Setup!$L$6:$L$23,5)))+(COUNTIF(K2062:M2062,"?*")&lt;N(INDEX(Setup!$L$6:$L$23,5)))+(COUNTIF(O2062:Q2062,"?*")&lt;N(INDEX(Setup!$L$6:$L$23,5)))+(COUNTIF(S2062:U2062,"?*")&lt;N(INDEX(Setup!$L$6:$L$23,5)))+((W2062="")*(INDEX(Setup!$M$6:$M$23,5)="Y"))+((Y2062="")*(INDEX(Setup!$M$6:$M$23,5)="Y")))</f>
        <v/>
      </c>
      <c r="AC2062" s="90">
        <f>IF($B2062="","",IF(AB2062=0,"✓ covered","⚠ "&amp;AB2062&amp;IF(AB2062=1," gap"," gaps")))</f>
        <v/>
      </c>
    </row>
    <row r="2063" ht="17" customHeight="1">
      <c r="A2063" t="n">
        <v>42</v>
      </c>
      <c r="B2063" s="29">
        <f>IF(Setup!$K$11="","",Setup!$K$11)</f>
        <v/>
      </c>
      <c r="C2063" s="88" t="n"/>
      <c r="D2063" s="88" t="n"/>
      <c r="E2063" s="88" t="n"/>
      <c r="F2063" s="89" t="n"/>
      <c r="G2063" s="88" t="n"/>
      <c r="H2063" s="88" t="n"/>
      <c r="I2063" s="88" t="n"/>
      <c r="J2063" s="89" t="n"/>
      <c r="K2063" s="88" t="n"/>
      <c r="L2063" s="88" t="n"/>
      <c r="M2063" s="88" t="n"/>
      <c r="N2063" s="89" t="n"/>
      <c r="O2063" s="88" t="n"/>
      <c r="P2063" s="88" t="n"/>
      <c r="Q2063" s="88" t="n"/>
      <c r="R2063" s="89" t="n"/>
      <c r="S2063" s="88" t="n"/>
      <c r="T2063" s="88" t="n"/>
      <c r="U2063" s="88" t="n"/>
      <c r="V2063" s="89" t="n"/>
      <c r="W2063" s="88" t="n"/>
      <c r="X2063" s="89" t="n"/>
      <c r="Y2063" s="88" t="n"/>
      <c r="Z2063" s="89" t="n"/>
      <c r="AB2063" s="30">
        <f>IF($B2063="","",(COUNTIF(C2063:E2063,"?*")&lt;N(INDEX(Setup!$L$6:$L$23,6)))+(COUNTIF(G2063:I2063,"?*")&lt;N(INDEX(Setup!$L$6:$L$23,6)))+(COUNTIF(K2063:M2063,"?*")&lt;N(INDEX(Setup!$L$6:$L$23,6)))+(COUNTIF(O2063:Q2063,"?*")&lt;N(INDEX(Setup!$L$6:$L$23,6)))+(COUNTIF(S2063:U2063,"?*")&lt;N(INDEX(Setup!$L$6:$L$23,6)))+((W2063="")*(INDEX(Setup!$M$6:$M$23,6)="Y"))+((Y2063="")*(INDEX(Setup!$M$6:$M$23,6)="Y")))</f>
        <v/>
      </c>
      <c r="AC2063" s="91">
        <f>IF($B2063="","",IF(AB2063=0,"✓ covered","⚠ "&amp;AB2063&amp;IF(AB2063=1," gap"," gaps")))</f>
        <v/>
      </c>
    </row>
    <row r="2064" ht="17" customHeight="1">
      <c r="A2064" t="n">
        <v>42</v>
      </c>
      <c r="B2064" s="24">
        <f>IF(Setup!$K$12="","",Setup!$K$12)</f>
        <v/>
      </c>
      <c r="C2064" s="88" t="n"/>
      <c r="D2064" s="88" t="n"/>
      <c r="E2064" s="88" t="n"/>
      <c r="F2064" s="89" t="n"/>
      <c r="G2064" s="88" t="n"/>
      <c r="H2064" s="88" t="n"/>
      <c r="I2064" s="88" t="n"/>
      <c r="J2064" s="89" t="n"/>
      <c r="K2064" s="88" t="n"/>
      <c r="L2064" s="88" t="n"/>
      <c r="M2064" s="88" t="n"/>
      <c r="N2064" s="89" t="n"/>
      <c r="O2064" s="88" t="n"/>
      <c r="P2064" s="88" t="n"/>
      <c r="Q2064" s="88" t="n"/>
      <c r="R2064" s="89" t="n"/>
      <c r="S2064" s="88" t="n"/>
      <c r="T2064" s="88" t="n"/>
      <c r="U2064" s="88" t="n"/>
      <c r="V2064" s="89" t="n"/>
      <c r="W2064" s="88" t="n"/>
      <c r="X2064" s="89" t="n"/>
      <c r="Y2064" s="88" t="n"/>
      <c r="Z2064" s="89" t="n"/>
      <c r="AB2064" s="25">
        <f>IF($B2064="","",(COUNTIF(C2064:E2064,"?*")&lt;N(INDEX(Setup!$L$6:$L$23,7)))+(COUNTIF(G2064:I2064,"?*")&lt;N(INDEX(Setup!$L$6:$L$23,7)))+(COUNTIF(K2064:M2064,"?*")&lt;N(INDEX(Setup!$L$6:$L$23,7)))+(COUNTIF(O2064:Q2064,"?*")&lt;N(INDEX(Setup!$L$6:$L$23,7)))+(COUNTIF(S2064:U2064,"?*")&lt;N(INDEX(Setup!$L$6:$L$23,7)))+((W2064="")*(INDEX(Setup!$M$6:$M$23,7)="Y"))+((Y2064="")*(INDEX(Setup!$M$6:$M$23,7)="Y")))</f>
        <v/>
      </c>
      <c r="AC2064" s="90">
        <f>IF($B2064="","",IF(AB2064=0,"✓ covered","⚠ "&amp;AB2064&amp;IF(AB2064=1," gap"," gaps")))</f>
        <v/>
      </c>
    </row>
    <row r="2065" ht="17" customHeight="1">
      <c r="A2065" t="n">
        <v>42</v>
      </c>
      <c r="B2065" s="29">
        <f>IF(Setup!$K$13="","",Setup!$K$13)</f>
        <v/>
      </c>
      <c r="C2065" s="88" t="n"/>
      <c r="D2065" s="88" t="n"/>
      <c r="E2065" s="88" t="n"/>
      <c r="F2065" s="89" t="n"/>
      <c r="G2065" s="88" t="n"/>
      <c r="H2065" s="88" t="n"/>
      <c r="I2065" s="88" t="n"/>
      <c r="J2065" s="89" t="n"/>
      <c r="K2065" s="88" t="n"/>
      <c r="L2065" s="88" t="n"/>
      <c r="M2065" s="88" t="n"/>
      <c r="N2065" s="89" t="n"/>
      <c r="O2065" s="88" t="n"/>
      <c r="P2065" s="88" t="n"/>
      <c r="Q2065" s="88" t="n"/>
      <c r="R2065" s="89" t="n"/>
      <c r="S2065" s="88" t="n"/>
      <c r="T2065" s="88" t="n"/>
      <c r="U2065" s="88" t="n"/>
      <c r="V2065" s="89" t="n"/>
      <c r="W2065" s="88" t="n"/>
      <c r="X2065" s="89" t="n"/>
      <c r="Y2065" s="88" t="n"/>
      <c r="Z2065" s="89" t="n"/>
      <c r="AB2065" s="30">
        <f>IF($B2065="","",(COUNTIF(C2065:E2065,"?*")&lt;N(INDEX(Setup!$L$6:$L$23,8)))+(COUNTIF(G2065:I2065,"?*")&lt;N(INDEX(Setup!$L$6:$L$23,8)))+(COUNTIF(K2065:M2065,"?*")&lt;N(INDEX(Setup!$L$6:$L$23,8)))+(COUNTIF(O2065:Q2065,"?*")&lt;N(INDEX(Setup!$L$6:$L$23,8)))+(COUNTIF(S2065:U2065,"?*")&lt;N(INDEX(Setup!$L$6:$L$23,8)))+((W2065="")*(INDEX(Setup!$M$6:$M$23,8)="Y"))+((Y2065="")*(INDEX(Setup!$M$6:$M$23,8)="Y")))</f>
        <v/>
      </c>
      <c r="AC2065" s="91">
        <f>IF($B2065="","",IF(AB2065=0,"✓ covered","⚠ "&amp;AB2065&amp;IF(AB2065=1," gap"," gaps")))</f>
        <v/>
      </c>
    </row>
    <row r="2066" ht="17" customHeight="1">
      <c r="A2066" t="n">
        <v>42</v>
      </c>
      <c r="B2066" s="24">
        <f>IF(Setup!$K$14="","",Setup!$K$14)</f>
        <v/>
      </c>
      <c r="C2066" s="88" t="n"/>
      <c r="D2066" s="88" t="n"/>
      <c r="E2066" s="88" t="n"/>
      <c r="F2066" s="89" t="n"/>
      <c r="G2066" s="88" t="n"/>
      <c r="H2066" s="88" t="n"/>
      <c r="I2066" s="88" t="n"/>
      <c r="J2066" s="89" t="n"/>
      <c r="K2066" s="88" t="n"/>
      <c r="L2066" s="88" t="n"/>
      <c r="M2066" s="88" t="n"/>
      <c r="N2066" s="89" t="n"/>
      <c r="O2066" s="88" t="n"/>
      <c r="P2066" s="88" t="n"/>
      <c r="Q2066" s="88" t="n"/>
      <c r="R2066" s="89" t="n"/>
      <c r="S2066" s="88" t="n"/>
      <c r="T2066" s="88" t="n"/>
      <c r="U2066" s="88" t="n"/>
      <c r="V2066" s="89" t="n"/>
      <c r="W2066" s="88" t="n"/>
      <c r="X2066" s="89" t="n"/>
      <c r="Y2066" s="88" t="n"/>
      <c r="Z2066" s="89" t="n"/>
      <c r="AB2066" s="25">
        <f>IF($B2066="","",(COUNTIF(C2066:E2066,"?*")&lt;N(INDEX(Setup!$L$6:$L$23,9)))+(COUNTIF(G2066:I2066,"?*")&lt;N(INDEX(Setup!$L$6:$L$23,9)))+(COUNTIF(K2066:M2066,"?*")&lt;N(INDEX(Setup!$L$6:$L$23,9)))+(COUNTIF(O2066:Q2066,"?*")&lt;N(INDEX(Setup!$L$6:$L$23,9)))+(COUNTIF(S2066:U2066,"?*")&lt;N(INDEX(Setup!$L$6:$L$23,9)))+((W2066="")*(INDEX(Setup!$M$6:$M$23,9)="Y"))+((Y2066="")*(INDEX(Setup!$M$6:$M$23,9)="Y")))</f>
        <v/>
      </c>
      <c r="AC2066" s="90">
        <f>IF($B2066="","",IF(AB2066=0,"✓ covered","⚠ "&amp;AB2066&amp;IF(AB2066=1," gap"," gaps")))</f>
        <v/>
      </c>
    </row>
    <row r="2067" ht="17" customHeight="1">
      <c r="A2067" t="n">
        <v>42</v>
      </c>
      <c r="B2067" s="29">
        <f>IF(Setup!$K$15="","",Setup!$K$15)</f>
        <v/>
      </c>
      <c r="C2067" s="88" t="n"/>
      <c r="D2067" s="88" t="n"/>
      <c r="E2067" s="88" t="n"/>
      <c r="F2067" s="89" t="n"/>
      <c r="G2067" s="88" t="n"/>
      <c r="H2067" s="88" t="n"/>
      <c r="I2067" s="88" t="n"/>
      <c r="J2067" s="89" t="n"/>
      <c r="K2067" s="88" t="n"/>
      <c r="L2067" s="88" t="n"/>
      <c r="M2067" s="88" t="n"/>
      <c r="N2067" s="89" t="n"/>
      <c r="O2067" s="88" t="n"/>
      <c r="P2067" s="88" t="n"/>
      <c r="Q2067" s="88" t="n"/>
      <c r="R2067" s="89" t="n"/>
      <c r="S2067" s="88" t="n"/>
      <c r="T2067" s="88" t="n"/>
      <c r="U2067" s="88" t="n"/>
      <c r="V2067" s="89" t="n"/>
      <c r="W2067" s="88" t="n"/>
      <c r="X2067" s="89" t="n"/>
      <c r="Y2067" s="88" t="n"/>
      <c r="Z2067" s="89" t="n"/>
      <c r="AB2067" s="30">
        <f>IF($B2067="","",(COUNTIF(C2067:E2067,"?*")&lt;N(INDEX(Setup!$L$6:$L$23,10)))+(COUNTIF(G2067:I2067,"?*")&lt;N(INDEX(Setup!$L$6:$L$23,10)))+(COUNTIF(K2067:M2067,"?*")&lt;N(INDEX(Setup!$L$6:$L$23,10)))+(COUNTIF(O2067:Q2067,"?*")&lt;N(INDEX(Setup!$L$6:$L$23,10)))+(COUNTIF(S2067:U2067,"?*")&lt;N(INDEX(Setup!$L$6:$L$23,10)))+((W2067="")*(INDEX(Setup!$M$6:$M$23,10)="Y"))+((Y2067="")*(INDEX(Setup!$M$6:$M$23,10)="Y")))</f>
        <v/>
      </c>
      <c r="AC2067" s="91">
        <f>IF($B2067="","",IF(AB2067=0,"✓ covered","⚠ "&amp;AB2067&amp;IF(AB2067=1," gap"," gaps")))</f>
        <v/>
      </c>
    </row>
    <row r="2068" ht="17" customHeight="1">
      <c r="A2068" t="n">
        <v>42</v>
      </c>
      <c r="B2068" s="24">
        <f>IF(Setup!$K$16="","",Setup!$K$16)</f>
        <v/>
      </c>
      <c r="C2068" s="88" t="n"/>
      <c r="D2068" s="88" t="n"/>
      <c r="E2068" s="88" t="n"/>
      <c r="F2068" s="89" t="n"/>
      <c r="G2068" s="88" t="n"/>
      <c r="H2068" s="88" t="n"/>
      <c r="I2068" s="88" t="n"/>
      <c r="J2068" s="89" t="n"/>
      <c r="K2068" s="88" t="n"/>
      <c r="L2068" s="88" t="n"/>
      <c r="M2068" s="88" t="n"/>
      <c r="N2068" s="89" t="n"/>
      <c r="O2068" s="88" t="n"/>
      <c r="P2068" s="88" t="n"/>
      <c r="Q2068" s="88" t="n"/>
      <c r="R2068" s="89" t="n"/>
      <c r="S2068" s="88" t="n"/>
      <c r="T2068" s="88" t="n"/>
      <c r="U2068" s="88" t="n"/>
      <c r="V2068" s="89" t="n"/>
      <c r="W2068" s="88" t="n"/>
      <c r="X2068" s="89" t="n"/>
      <c r="Y2068" s="88" t="n"/>
      <c r="Z2068" s="89" t="n"/>
      <c r="AB2068" s="25">
        <f>IF($B2068="","",(COUNTIF(C2068:E2068,"?*")&lt;N(INDEX(Setup!$L$6:$L$23,11)))+(COUNTIF(G2068:I2068,"?*")&lt;N(INDEX(Setup!$L$6:$L$23,11)))+(COUNTIF(K2068:M2068,"?*")&lt;N(INDEX(Setup!$L$6:$L$23,11)))+(COUNTIF(O2068:Q2068,"?*")&lt;N(INDEX(Setup!$L$6:$L$23,11)))+(COUNTIF(S2068:U2068,"?*")&lt;N(INDEX(Setup!$L$6:$L$23,11)))+((W2068="")*(INDEX(Setup!$M$6:$M$23,11)="Y"))+((Y2068="")*(INDEX(Setup!$M$6:$M$23,11)="Y")))</f>
        <v/>
      </c>
      <c r="AC2068" s="90">
        <f>IF($B2068="","",IF(AB2068=0,"✓ covered","⚠ "&amp;AB2068&amp;IF(AB2068=1," gap"," gaps")))</f>
        <v/>
      </c>
    </row>
    <row r="2069" ht="17" customHeight="1">
      <c r="A2069" t="n">
        <v>42</v>
      </c>
      <c r="B2069" s="29">
        <f>IF(Setup!$K$17="","",Setup!$K$17)</f>
        <v/>
      </c>
      <c r="C2069" s="88" t="n"/>
      <c r="D2069" s="88" t="n"/>
      <c r="E2069" s="88" t="n"/>
      <c r="F2069" s="89" t="n"/>
      <c r="G2069" s="88" t="n"/>
      <c r="H2069" s="88" t="n"/>
      <c r="I2069" s="88" t="n"/>
      <c r="J2069" s="89" t="n"/>
      <c r="K2069" s="88" t="n"/>
      <c r="L2069" s="88" t="n"/>
      <c r="M2069" s="88" t="n"/>
      <c r="N2069" s="89" t="n"/>
      <c r="O2069" s="88" t="n"/>
      <c r="P2069" s="88" t="n"/>
      <c r="Q2069" s="88" t="n"/>
      <c r="R2069" s="89" t="n"/>
      <c r="S2069" s="88" t="n"/>
      <c r="T2069" s="88" t="n"/>
      <c r="U2069" s="88" t="n"/>
      <c r="V2069" s="89" t="n"/>
      <c r="W2069" s="88" t="n"/>
      <c r="X2069" s="89" t="n"/>
      <c r="Y2069" s="88" t="n"/>
      <c r="Z2069" s="89" t="n"/>
      <c r="AB2069" s="30">
        <f>IF($B2069="","",(COUNTIF(C2069:E2069,"?*")&lt;N(INDEX(Setup!$L$6:$L$23,12)))+(COUNTIF(G2069:I2069,"?*")&lt;N(INDEX(Setup!$L$6:$L$23,12)))+(COUNTIF(K2069:M2069,"?*")&lt;N(INDEX(Setup!$L$6:$L$23,12)))+(COUNTIF(O2069:Q2069,"?*")&lt;N(INDEX(Setup!$L$6:$L$23,12)))+(COUNTIF(S2069:U2069,"?*")&lt;N(INDEX(Setup!$L$6:$L$23,12)))+((W2069="")*(INDEX(Setup!$M$6:$M$23,12)="Y"))+((Y2069="")*(INDEX(Setup!$M$6:$M$23,12)="Y")))</f>
        <v/>
      </c>
      <c r="AC2069" s="91">
        <f>IF($B2069="","",IF(AB2069=0,"✓ covered","⚠ "&amp;AB2069&amp;IF(AB2069=1," gap"," gaps")))</f>
        <v/>
      </c>
    </row>
    <row r="2070" ht="17" customHeight="1">
      <c r="A2070" t="n">
        <v>42</v>
      </c>
      <c r="B2070" s="24">
        <f>IF(Setup!$K$18="","",Setup!$K$18)</f>
        <v/>
      </c>
      <c r="C2070" s="88" t="n"/>
      <c r="D2070" s="88" t="n"/>
      <c r="E2070" s="88" t="n"/>
      <c r="F2070" s="89" t="n"/>
      <c r="G2070" s="88" t="n"/>
      <c r="H2070" s="88" t="n"/>
      <c r="I2070" s="88" t="n"/>
      <c r="J2070" s="89" t="n"/>
      <c r="K2070" s="88" t="n"/>
      <c r="L2070" s="88" t="n"/>
      <c r="M2070" s="88" t="n"/>
      <c r="N2070" s="89" t="n"/>
      <c r="O2070" s="88" t="n"/>
      <c r="P2070" s="88" t="n"/>
      <c r="Q2070" s="88" t="n"/>
      <c r="R2070" s="89" t="n"/>
      <c r="S2070" s="88" t="n"/>
      <c r="T2070" s="88" t="n"/>
      <c r="U2070" s="88" t="n"/>
      <c r="V2070" s="89" t="n"/>
      <c r="W2070" s="88" t="n"/>
      <c r="X2070" s="89" t="n"/>
      <c r="Y2070" s="88" t="n"/>
      <c r="Z2070" s="89" t="n"/>
      <c r="AB2070" s="25">
        <f>IF($B2070="","",(COUNTIF(C2070:E2070,"?*")&lt;N(INDEX(Setup!$L$6:$L$23,13)))+(COUNTIF(G2070:I2070,"?*")&lt;N(INDEX(Setup!$L$6:$L$23,13)))+(COUNTIF(K2070:M2070,"?*")&lt;N(INDEX(Setup!$L$6:$L$23,13)))+(COUNTIF(O2070:Q2070,"?*")&lt;N(INDEX(Setup!$L$6:$L$23,13)))+(COUNTIF(S2070:U2070,"?*")&lt;N(INDEX(Setup!$L$6:$L$23,13)))+((W2070="")*(INDEX(Setup!$M$6:$M$23,13)="Y"))+((Y2070="")*(INDEX(Setup!$M$6:$M$23,13)="Y")))</f>
        <v/>
      </c>
      <c r="AC2070" s="90">
        <f>IF($B2070="","",IF(AB2070=0,"✓ covered","⚠ "&amp;AB2070&amp;IF(AB2070=1," gap"," gaps")))</f>
        <v/>
      </c>
    </row>
    <row r="2071" ht="17" customHeight="1">
      <c r="A2071" t="n">
        <v>42</v>
      </c>
      <c r="B2071" s="29">
        <f>IF(Setup!$K$19="","",Setup!$K$19)</f>
        <v/>
      </c>
      <c r="C2071" s="88" t="n"/>
      <c r="D2071" s="88" t="n"/>
      <c r="E2071" s="88" t="n"/>
      <c r="F2071" s="89" t="n"/>
      <c r="G2071" s="88" t="n"/>
      <c r="H2071" s="88" t="n"/>
      <c r="I2071" s="88" t="n"/>
      <c r="J2071" s="89" t="n"/>
      <c r="K2071" s="88" t="n"/>
      <c r="L2071" s="88" t="n"/>
      <c r="M2071" s="88" t="n"/>
      <c r="N2071" s="89" t="n"/>
      <c r="O2071" s="88" t="n"/>
      <c r="P2071" s="88" t="n"/>
      <c r="Q2071" s="88" t="n"/>
      <c r="R2071" s="89" t="n"/>
      <c r="S2071" s="88" t="n"/>
      <c r="T2071" s="88" t="n"/>
      <c r="U2071" s="88" t="n"/>
      <c r="V2071" s="89" t="n"/>
      <c r="W2071" s="88" t="n"/>
      <c r="X2071" s="89" t="n"/>
      <c r="Y2071" s="88" t="n"/>
      <c r="Z2071" s="89" t="n"/>
      <c r="AB2071" s="30">
        <f>IF($B2071="","",(COUNTIF(C2071:E2071,"?*")&lt;N(INDEX(Setup!$L$6:$L$23,14)))+(COUNTIF(G2071:I2071,"?*")&lt;N(INDEX(Setup!$L$6:$L$23,14)))+(COUNTIF(K2071:M2071,"?*")&lt;N(INDEX(Setup!$L$6:$L$23,14)))+(COUNTIF(O2071:Q2071,"?*")&lt;N(INDEX(Setup!$L$6:$L$23,14)))+(COUNTIF(S2071:U2071,"?*")&lt;N(INDEX(Setup!$L$6:$L$23,14)))+((W2071="")*(INDEX(Setup!$M$6:$M$23,14)="Y"))+((Y2071="")*(INDEX(Setup!$M$6:$M$23,14)="Y")))</f>
        <v/>
      </c>
      <c r="AC2071" s="91">
        <f>IF($B2071="","",IF(AB2071=0,"✓ covered","⚠ "&amp;AB2071&amp;IF(AB2071=1," gap"," gaps")))</f>
        <v/>
      </c>
    </row>
    <row r="2072" ht="17" customHeight="1">
      <c r="A2072" t="n">
        <v>42</v>
      </c>
      <c r="B2072" s="24">
        <f>IF(Setup!$K$20="","",Setup!$K$20)</f>
        <v/>
      </c>
      <c r="C2072" s="88" t="n"/>
      <c r="D2072" s="88" t="n"/>
      <c r="E2072" s="88" t="n"/>
      <c r="F2072" s="89" t="n"/>
      <c r="G2072" s="88" t="n"/>
      <c r="H2072" s="88" t="n"/>
      <c r="I2072" s="88" t="n"/>
      <c r="J2072" s="89" t="n"/>
      <c r="K2072" s="88" t="n"/>
      <c r="L2072" s="88" t="n"/>
      <c r="M2072" s="88" t="n"/>
      <c r="N2072" s="89" t="n"/>
      <c r="O2072" s="88" t="n"/>
      <c r="P2072" s="88" t="n"/>
      <c r="Q2072" s="88" t="n"/>
      <c r="R2072" s="89" t="n"/>
      <c r="S2072" s="88" t="n"/>
      <c r="T2072" s="88" t="n"/>
      <c r="U2072" s="88" t="n"/>
      <c r="V2072" s="89" t="n"/>
      <c r="W2072" s="88" t="n"/>
      <c r="X2072" s="89" t="n"/>
      <c r="Y2072" s="88" t="n"/>
      <c r="Z2072" s="89" t="n"/>
      <c r="AB2072" s="25">
        <f>IF($B2072="","",(COUNTIF(C2072:E2072,"?*")&lt;N(INDEX(Setup!$L$6:$L$23,15)))+(COUNTIF(G2072:I2072,"?*")&lt;N(INDEX(Setup!$L$6:$L$23,15)))+(COUNTIF(K2072:M2072,"?*")&lt;N(INDEX(Setup!$L$6:$L$23,15)))+(COUNTIF(O2072:Q2072,"?*")&lt;N(INDEX(Setup!$L$6:$L$23,15)))+(COUNTIF(S2072:U2072,"?*")&lt;N(INDEX(Setup!$L$6:$L$23,15)))+((W2072="")*(INDEX(Setup!$M$6:$M$23,15)="Y"))+((Y2072="")*(INDEX(Setup!$M$6:$M$23,15)="Y")))</f>
        <v/>
      </c>
      <c r="AC2072" s="90">
        <f>IF($B2072="","",IF(AB2072=0,"✓ covered","⚠ "&amp;AB2072&amp;IF(AB2072=1," gap"," gaps")))</f>
        <v/>
      </c>
    </row>
    <row r="2073" ht="17" customHeight="1">
      <c r="A2073" t="n">
        <v>42</v>
      </c>
      <c r="B2073" s="29">
        <f>IF(Setup!$K$21="","",Setup!$K$21)</f>
        <v/>
      </c>
      <c r="C2073" s="88" t="n"/>
      <c r="D2073" s="88" t="n"/>
      <c r="E2073" s="88" t="n"/>
      <c r="F2073" s="89" t="n"/>
      <c r="G2073" s="88" t="n"/>
      <c r="H2073" s="88" t="n"/>
      <c r="I2073" s="88" t="n"/>
      <c r="J2073" s="89" t="n"/>
      <c r="K2073" s="88" t="n"/>
      <c r="L2073" s="88" t="n"/>
      <c r="M2073" s="88" t="n"/>
      <c r="N2073" s="89" t="n"/>
      <c r="O2073" s="88" t="n"/>
      <c r="P2073" s="88" t="n"/>
      <c r="Q2073" s="88" t="n"/>
      <c r="R2073" s="89" t="n"/>
      <c r="S2073" s="88" t="n"/>
      <c r="T2073" s="88" t="n"/>
      <c r="U2073" s="88" t="n"/>
      <c r="V2073" s="89" t="n"/>
      <c r="W2073" s="88" t="n"/>
      <c r="X2073" s="89" t="n"/>
      <c r="Y2073" s="88" t="n"/>
      <c r="Z2073" s="89" t="n"/>
      <c r="AB2073" s="30">
        <f>IF($B2073="","",(COUNTIF(C2073:E2073,"?*")&lt;N(INDEX(Setup!$L$6:$L$23,16)))+(COUNTIF(G2073:I2073,"?*")&lt;N(INDEX(Setup!$L$6:$L$23,16)))+(COUNTIF(K2073:M2073,"?*")&lt;N(INDEX(Setup!$L$6:$L$23,16)))+(COUNTIF(O2073:Q2073,"?*")&lt;N(INDEX(Setup!$L$6:$L$23,16)))+(COUNTIF(S2073:U2073,"?*")&lt;N(INDEX(Setup!$L$6:$L$23,16)))+((W2073="")*(INDEX(Setup!$M$6:$M$23,16)="Y"))+((Y2073="")*(INDEX(Setup!$M$6:$M$23,16)="Y")))</f>
        <v/>
      </c>
      <c r="AC2073" s="91">
        <f>IF($B2073="","",IF(AB2073=0,"✓ covered","⚠ "&amp;AB2073&amp;IF(AB2073=1," gap"," gaps")))</f>
        <v/>
      </c>
    </row>
    <row r="2074" ht="17" customHeight="1">
      <c r="A2074" t="n">
        <v>42</v>
      </c>
      <c r="B2074" s="24">
        <f>IF(Setup!$K$22="","",Setup!$K$22)</f>
        <v/>
      </c>
      <c r="C2074" s="88" t="n"/>
      <c r="D2074" s="88" t="n"/>
      <c r="E2074" s="88" t="n"/>
      <c r="F2074" s="89" t="n"/>
      <c r="G2074" s="88" t="n"/>
      <c r="H2074" s="88" t="n"/>
      <c r="I2074" s="88" t="n"/>
      <c r="J2074" s="89" t="n"/>
      <c r="K2074" s="88" t="n"/>
      <c r="L2074" s="88" t="n"/>
      <c r="M2074" s="88" t="n"/>
      <c r="N2074" s="89" t="n"/>
      <c r="O2074" s="88" t="n"/>
      <c r="P2074" s="88" t="n"/>
      <c r="Q2074" s="88" t="n"/>
      <c r="R2074" s="89" t="n"/>
      <c r="S2074" s="88" t="n"/>
      <c r="T2074" s="88" t="n"/>
      <c r="U2074" s="88" t="n"/>
      <c r="V2074" s="89" t="n"/>
      <c r="W2074" s="88" t="n"/>
      <c r="X2074" s="89" t="n"/>
      <c r="Y2074" s="88" t="n"/>
      <c r="Z2074" s="89" t="n"/>
      <c r="AB2074" s="25">
        <f>IF($B2074="","",(COUNTIF(C2074:E2074,"?*")&lt;N(INDEX(Setup!$L$6:$L$23,17)))+(COUNTIF(G2074:I2074,"?*")&lt;N(INDEX(Setup!$L$6:$L$23,17)))+(COUNTIF(K2074:M2074,"?*")&lt;N(INDEX(Setup!$L$6:$L$23,17)))+(COUNTIF(O2074:Q2074,"?*")&lt;N(INDEX(Setup!$L$6:$L$23,17)))+(COUNTIF(S2074:U2074,"?*")&lt;N(INDEX(Setup!$L$6:$L$23,17)))+((W2074="")*(INDEX(Setup!$M$6:$M$23,17)="Y"))+((Y2074="")*(INDEX(Setup!$M$6:$M$23,17)="Y")))</f>
        <v/>
      </c>
      <c r="AC2074" s="90">
        <f>IF($B2074="","",IF(AB2074=0,"✓ covered","⚠ "&amp;AB2074&amp;IF(AB2074=1," gap"," gaps")))</f>
        <v/>
      </c>
    </row>
    <row r="2075" ht="17" customHeight="1">
      <c r="A2075" t="n">
        <v>42</v>
      </c>
      <c r="B2075" s="29">
        <f>IF(Setup!$K$23="","",Setup!$K$23)</f>
        <v/>
      </c>
      <c r="C2075" s="88" t="n"/>
      <c r="D2075" s="88" t="n"/>
      <c r="E2075" s="88" t="n"/>
      <c r="F2075" s="89" t="n"/>
      <c r="G2075" s="88" t="n"/>
      <c r="H2075" s="88" t="n"/>
      <c r="I2075" s="88" t="n"/>
      <c r="J2075" s="89" t="n"/>
      <c r="K2075" s="88" t="n"/>
      <c r="L2075" s="88" t="n"/>
      <c r="M2075" s="88" t="n"/>
      <c r="N2075" s="89" t="n"/>
      <c r="O2075" s="88" t="n"/>
      <c r="P2075" s="88" t="n"/>
      <c r="Q2075" s="88" t="n"/>
      <c r="R2075" s="89" t="n"/>
      <c r="S2075" s="88" t="n"/>
      <c r="T2075" s="88" t="n"/>
      <c r="U2075" s="88" t="n"/>
      <c r="V2075" s="89" t="n"/>
      <c r="W2075" s="88" t="n"/>
      <c r="X2075" s="89" t="n"/>
      <c r="Y2075" s="88" t="n"/>
      <c r="Z2075" s="89" t="n"/>
      <c r="AB2075" s="30">
        <f>IF($B2075="","",(COUNTIF(C2075:E2075,"?*")&lt;N(INDEX(Setup!$L$6:$L$23,18)))+(COUNTIF(G2075:I2075,"?*")&lt;N(INDEX(Setup!$L$6:$L$23,18)))+(COUNTIF(K2075:M2075,"?*")&lt;N(INDEX(Setup!$L$6:$L$23,18)))+(COUNTIF(O2075:Q2075,"?*")&lt;N(INDEX(Setup!$L$6:$L$23,18)))+(COUNTIF(S2075:U2075,"?*")&lt;N(INDEX(Setup!$L$6:$L$23,18)))+((W2075="")*(INDEX(Setup!$M$6:$M$23,18)="Y"))+((Y2075="")*(INDEX(Setup!$M$6:$M$23,18)="Y")))</f>
        <v/>
      </c>
      <c r="AC2075" s="91">
        <f>IF($B2075="","",IF(AB2075=0,"✓ covered","⚠ "&amp;AB2075&amp;IF(AB2075=1," gap"," gaps")))</f>
        <v/>
      </c>
    </row>
    <row r="2076" ht="18" customHeight="1">
      <c r="A2076" t="n">
        <v>42</v>
      </c>
      <c r="B2076" s="78" t="inlineStr">
        <is>
          <t>TEAM AVAILABILITY</t>
        </is>
      </c>
      <c r="C2076" s="92" t="inlineStr">
        <is>
          <t>Mon</t>
        </is>
      </c>
      <c r="D2076" s="93" t="n"/>
      <c r="E2076" s="93" t="n"/>
      <c r="F2076" s="94" t="n"/>
      <c r="G2076" s="92" t="inlineStr">
        <is>
          <t>Tue</t>
        </is>
      </c>
      <c r="H2076" s="93" t="n"/>
      <c r="I2076" s="93" t="n"/>
      <c r="J2076" s="94" t="n"/>
      <c r="K2076" s="92" t="inlineStr">
        <is>
          <t>Wed</t>
        </is>
      </c>
      <c r="L2076" s="93" t="n"/>
      <c r="M2076" s="93" t="n"/>
      <c r="N2076" s="94" t="n"/>
      <c r="O2076" s="92" t="inlineStr">
        <is>
          <t>Thu</t>
        </is>
      </c>
      <c r="P2076" s="93" t="n"/>
      <c r="Q2076" s="93" t="n"/>
      <c r="R2076" s="94" t="n"/>
      <c r="S2076" s="92" t="inlineStr">
        <is>
          <t>Fri</t>
        </is>
      </c>
      <c r="T2076" s="93" t="n"/>
      <c r="U2076" s="93" t="n"/>
      <c r="V2076" s="94" t="n"/>
      <c r="W2076" s="95" t="inlineStr">
        <is>
          <t>Sat</t>
        </is>
      </c>
      <c r="X2076" s="96" t="n"/>
      <c r="Y2076" s="95" t="inlineStr">
        <is>
          <t>Sun</t>
        </is>
      </c>
      <c r="Z2076" s="96" t="n"/>
      <c r="AB2076" s="97" t="inlineStr">
        <is>
          <t>Days rostered</t>
        </is>
      </c>
      <c r="AC2076" s="97" t="inlineStr">
        <is>
          <t>Conflicts</t>
        </is>
      </c>
    </row>
    <row r="2077" ht="15" customHeight="1">
      <c r="A2077" t="n">
        <v>42</v>
      </c>
      <c r="B2077" s="35">
        <f>IF(Setup!$B$6="","",Setup!$B$6)</f>
        <v/>
      </c>
      <c r="C2077" s="98" t="n"/>
      <c r="D2077" s="99" t="n"/>
      <c r="E2077" s="99" t="n"/>
      <c r="F2077" s="100" t="n"/>
      <c r="G2077" s="98" t="n"/>
      <c r="H2077" s="99" t="n"/>
      <c r="I2077" s="99" t="n"/>
      <c r="J2077" s="100" t="n"/>
      <c r="K2077" s="98" t="n"/>
      <c r="L2077" s="99" t="n"/>
      <c r="M2077" s="99" t="n"/>
      <c r="N2077" s="100" t="n"/>
      <c r="O2077" s="98" t="n"/>
      <c r="P2077" s="99" t="n"/>
      <c r="Q2077" s="99" t="n"/>
      <c r="R2077" s="100" t="n"/>
      <c r="S2077" s="98" t="n"/>
      <c r="T2077" s="99" t="n"/>
      <c r="U2077" s="99" t="n"/>
      <c r="V2077" s="100" t="n"/>
      <c r="W2077" s="98" t="n"/>
      <c r="X2077" s="100" t="n"/>
      <c r="Y2077" s="98" t="n"/>
      <c r="Z2077" s="100" t="n"/>
      <c r="AB2077" s="101">
        <f>IF($B2077="","",(COUNTIF(C2058:E2075,$B2077)+COUNTIF(C2058:E2075,$B2077&amp;" ~*")&gt;0)+(COUNTIF(G2058:I2075,$B2077)+COUNTIF(G2058:I2075,$B2077&amp;" ~*")&gt;0)+(COUNTIF(K2058:M2075,$B2077)+COUNTIF(K2058:M2075,$B2077&amp;" ~*")&gt;0)+(COUNTIF(O2058:Q2075,$B2077)+COUNTIF(O2058:Q2075,$B2077&amp;" ~*")&gt;0)+(COUNTIF(S2058:U2075,$B2077)+COUNTIF(S2058:U2075,$B2077&amp;" ~*")&gt;0)+(COUNTIF(W2058:W2075,$B2077)+COUNTIF(W2058:W2075,$B2077&amp;" ~*")&gt;0)+(COUNTIF(Y2058:Y2075,$B2077)+COUNTIF(Y2058:Y2075,$B2077&amp;" ~*")&gt;0))</f>
        <v/>
      </c>
      <c r="AC2077" s="36">
        <f>IF($B2077="","",(IFERROR(INDEX(Setup!$G$33:$G$40,MATCH(C2077,Setup!$B$33:$B$40,0)),0)=1)*(COUNTIF(C2058:E2075,$B2077)+COUNTIF(C2058:E2075,$B2077&amp;" ~*")&gt;0)+(IFERROR(INDEX(Setup!$G$33:$G$40,MATCH(G2077,Setup!$B$33:$B$40,0)),0)=1)*(COUNTIF(G2058:I2075,$B2077)+COUNTIF(G2058:I2075,$B2077&amp;" ~*")&gt;0)+(IFERROR(INDEX(Setup!$G$33:$G$40,MATCH(K2077,Setup!$B$33:$B$40,0)),0)=1)*(COUNTIF(K2058:M2075,$B2077)+COUNTIF(K2058:M2075,$B2077&amp;" ~*")&gt;0)+(IFERROR(INDEX(Setup!$G$33:$G$40,MATCH(O2077,Setup!$B$33:$B$40,0)),0)=1)*(COUNTIF(O2058:Q2075,$B2077)+COUNTIF(O2058:Q2075,$B2077&amp;" ~*")&gt;0)+(IFERROR(INDEX(Setup!$G$33:$G$40,MATCH(S2077,Setup!$B$33:$B$40,0)),0)=1)*(COUNTIF(S2058:U2075,$B2077)+COUNTIF(S2058:U2075,$B2077&amp;" ~*")&gt;0)+(IFERROR(INDEX(Setup!$G$33:$G$40,MATCH(W2077,Setup!$B$33:$B$40,0)),0)=1)*(COUNTIF(W2058:W2075,$B2077)+COUNTIF(W2058:W2075,$B2077&amp;" ~*")&gt;0)+(IFERROR(INDEX(Setup!$G$33:$G$40,MATCH(Y2077,Setup!$B$33:$B$40,0)),0)=1)*(COUNTIF(Y2058:Y2075,$B2077)+COUNTIF(Y2058:Y2075,$B2077&amp;" ~*")&gt;0))</f>
        <v/>
      </c>
    </row>
    <row r="2078" ht="15" customHeight="1">
      <c r="A2078" t="n">
        <v>42</v>
      </c>
      <c r="B2078" s="37">
        <f>IF(Setup!$B$7="","",Setup!$B$7)</f>
        <v/>
      </c>
      <c r="C2078" s="102" t="n"/>
      <c r="D2078" s="103" t="n"/>
      <c r="E2078" s="103" t="n"/>
      <c r="F2078" s="104" t="n"/>
      <c r="G2078" s="102" t="n"/>
      <c r="H2078" s="103" t="n"/>
      <c r="I2078" s="103" t="n"/>
      <c r="J2078" s="104" t="n"/>
      <c r="K2078" s="102" t="n"/>
      <c r="L2078" s="103" t="n"/>
      <c r="M2078" s="103" t="n"/>
      <c r="N2078" s="104" t="n"/>
      <c r="O2078" s="102" t="n"/>
      <c r="P2078" s="103" t="n"/>
      <c r="Q2078" s="103" t="n"/>
      <c r="R2078" s="104" t="n"/>
      <c r="S2078" s="102" t="n"/>
      <c r="T2078" s="103" t="n"/>
      <c r="U2078" s="103" t="n"/>
      <c r="V2078" s="104" t="n"/>
      <c r="W2078" s="102" t="n"/>
      <c r="X2078" s="104" t="n"/>
      <c r="Y2078" s="102" t="n"/>
      <c r="Z2078" s="104" t="n"/>
      <c r="AB2078" s="105">
        <f>IF($B2078="","",(COUNTIF(C2058:E2075,$B2078)+COUNTIF(C2058:E2075,$B2078&amp;" ~*")&gt;0)+(COUNTIF(G2058:I2075,$B2078)+COUNTIF(G2058:I2075,$B2078&amp;" ~*")&gt;0)+(COUNTIF(K2058:M2075,$B2078)+COUNTIF(K2058:M2075,$B2078&amp;" ~*")&gt;0)+(COUNTIF(O2058:Q2075,$B2078)+COUNTIF(O2058:Q2075,$B2078&amp;" ~*")&gt;0)+(COUNTIF(S2058:U2075,$B2078)+COUNTIF(S2058:U2075,$B2078&amp;" ~*")&gt;0)+(COUNTIF(W2058:W2075,$B2078)+COUNTIF(W2058:W2075,$B2078&amp;" ~*")&gt;0)+(COUNTIF(Y2058:Y2075,$B2078)+COUNTIF(Y2058:Y2075,$B2078&amp;" ~*")&gt;0))</f>
        <v/>
      </c>
      <c r="AC2078" s="38">
        <f>IF($B2078="","",(IFERROR(INDEX(Setup!$G$33:$G$40,MATCH(C2078,Setup!$B$33:$B$40,0)),0)=1)*(COUNTIF(C2058:E2075,$B2078)+COUNTIF(C2058:E2075,$B2078&amp;" ~*")&gt;0)+(IFERROR(INDEX(Setup!$G$33:$G$40,MATCH(G2078,Setup!$B$33:$B$40,0)),0)=1)*(COUNTIF(G2058:I2075,$B2078)+COUNTIF(G2058:I2075,$B2078&amp;" ~*")&gt;0)+(IFERROR(INDEX(Setup!$G$33:$G$40,MATCH(K2078,Setup!$B$33:$B$40,0)),0)=1)*(COUNTIF(K2058:M2075,$B2078)+COUNTIF(K2058:M2075,$B2078&amp;" ~*")&gt;0)+(IFERROR(INDEX(Setup!$G$33:$G$40,MATCH(O2078,Setup!$B$33:$B$40,0)),0)=1)*(COUNTIF(O2058:Q2075,$B2078)+COUNTIF(O2058:Q2075,$B2078&amp;" ~*")&gt;0)+(IFERROR(INDEX(Setup!$G$33:$G$40,MATCH(S2078,Setup!$B$33:$B$40,0)),0)=1)*(COUNTIF(S2058:U2075,$B2078)+COUNTIF(S2058:U2075,$B2078&amp;" ~*")&gt;0)+(IFERROR(INDEX(Setup!$G$33:$G$40,MATCH(W2078,Setup!$B$33:$B$40,0)),0)=1)*(COUNTIF(W2058:W2075,$B2078)+COUNTIF(W2058:W2075,$B2078&amp;" ~*")&gt;0)+(IFERROR(INDEX(Setup!$G$33:$G$40,MATCH(Y2078,Setup!$B$33:$B$40,0)),0)=1)*(COUNTIF(Y2058:Y2075,$B2078)+COUNTIF(Y2058:Y2075,$B2078&amp;" ~*")&gt;0))</f>
        <v/>
      </c>
    </row>
    <row r="2079" ht="15" customHeight="1">
      <c r="A2079" t="n">
        <v>42</v>
      </c>
      <c r="B2079" s="35">
        <f>IF(Setup!$B$8="","",Setup!$B$8)</f>
        <v/>
      </c>
      <c r="C2079" s="98" t="n"/>
      <c r="D2079" s="99" t="n"/>
      <c r="E2079" s="99" t="n"/>
      <c r="F2079" s="100" t="n"/>
      <c r="G2079" s="98" t="n"/>
      <c r="H2079" s="99" t="n"/>
      <c r="I2079" s="99" t="n"/>
      <c r="J2079" s="100" t="n"/>
      <c r="K2079" s="98" t="n"/>
      <c r="L2079" s="99" t="n"/>
      <c r="M2079" s="99" t="n"/>
      <c r="N2079" s="100" t="n"/>
      <c r="O2079" s="98" t="n"/>
      <c r="P2079" s="99" t="n"/>
      <c r="Q2079" s="99" t="n"/>
      <c r="R2079" s="100" t="n"/>
      <c r="S2079" s="98" t="n"/>
      <c r="T2079" s="99" t="n"/>
      <c r="U2079" s="99" t="n"/>
      <c r="V2079" s="100" t="n"/>
      <c r="W2079" s="98" t="n"/>
      <c r="X2079" s="100" t="n"/>
      <c r="Y2079" s="98" t="n"/>
      <c r="Z2079" s="100" t="n"/>
      <c r="AB2079" s="101">
        <f>IF($B2079="","",(COUNTIF(C2058:E2075,$B2079)+COUNTIF(C2058:E2075,$B2079&amp;" ~*")&gt;0)+(COUNTIF(G2058:I2075,$B2079)+COUNTIF(G2058:I2075,$B2079&amp;" ~*")&gt;0)+(COUNTIF(K2058:M2075,$B2079)+COUNTIF(K2058:M2075,$B2079&amp;" ~*")&gt;0)+(COUNTIF(O2058:Q2075,$B2079)+COUNTIF(O2058:Q2075,$B2079&amp;" ~*")&gt;0)+(COUNTIF(S2058:U2075,$B2079)+COUNTIF(S2058:U2075,$B2079&amp;" ~*")&gt;0)+(COUNTIF(W2058:W2075,$B2079)+COUNTIF(W2058:W2075,$B2079&amp;" ~*")&gt;0)+(COUNTIF(Y2058:Y2075,$B2079)+COUNTIF(Y2058:Y2075,$B2079&amp;" ~*")&gt;0))</f>
        <v/>
      </c>
      <c r="AC2079" s="36">
        <f>IF($B2079="","",(IFERROR(INDEX(Setup!$G$33:$G$40,MATCH(C2079,Setup!$B$33:$B$40,0)),0)=1)*(COUNTIF(C2058:E2075,$B2079)+COUNTIF(C2058:E2075,$B2079&amp;" ~*")&gt;0)+(IFERROR(INDEX(Setup!$G$33:$G$40,MATCH(G2079,Setup!$B$33:$B$40,0)),0)=1)*(COUNTIF(G2058:I2075,$B2079)+COUNTIF(G2058:I2075,$B2079&amp;" ~*")&gt;0)+(IFERROR(INDEX(Setup!$G$33:$G$40,MATCH(K2079,Setup!$B$33:$B$40,0)),0)=1)*(COUNTIF(K2058:M2075,$B2079)+COUNTIF(K2058:M2075,$B2079&amp;" ~*")&gt;0)+(IFERROR(INDEX(Setup!$G$33:$G$40,MATCH(O2079,Setup!$B$33:$B$40,0)),0)=1)*(COUNTIF(O2058:Q2075,$B2079)+COUNTIF(O2058:Q2075,$B2079&amp;" ~*")&gt;0)+(IFERROR(INDEX(Setup!$G$33:$G$40,MATCH(S2079,Setup!$B$33:$B$40,0)),0)=1)*(COUNTIF(S2058:U2075,$B2079)+COUNTIF(S2058:U2075,$B2079&amp;" ~*")&gt;0)+(IFERROR(INDEX(Setup!$G$33:$G$40,MATCH(W2079,Setup!$B$33:$B$40,0)),0)=1)*(COUNTIF(W2058:W2075,$B2079)+COUNTIF(W2058:W2075,$B2079&amp;" ~*")&gt;0)+(IFERROR(INDEX(Setup!$G$33:$G$40,MATCH(Y2079,Setup!$B$33:$B$40,0)),0)=1)*(COUNTIF(Y2058:Y2075,$B2079)+COUNTIF(Y2058:Y2075,$B2079&amp;" ~*")&gt;0))</f>
        <v/>
      </c>
    </row>
    <row r="2080" ht="15" customHeight="1">
      <c r="A2080" t="n">
        <v>42</v>
      </c>
      <c r="B2080" s="37">
        <f>IF(Setup!$B$9="","",Setup!$B$9)</f>
        <v/>
      </c>
      <c r="C2080" s="102" t="n"/>
      <c r="D2080" s="103" t="n"/>
      <c r="E2080" s="103" t="n"/>
      <c r="F2080" s="104" t="n"/>
      <c r="G2080" s="102" t="n"/>
      <c r="H2080" s="103" t="n"/>
      <c r="I2080" s="103" t="n"/>
      <c r="J2080" s="104" t="n"/>
      <c r="K2080" s="102" t="n"/>
      <c r="L2080" s="103" t="n"/>
      <c r="M2080" s="103" t="n"/>
      <c r="N2080" s="104" t="n"/>
      <c r="O2080" s="102" t="n"/>
      <c r="P2080" s="103" t="n"/>
      <c r="Q2080" s="103" t="n"/>
      <c r="R2080" s="104" t="n"/>
      <c r="S2080" s="102" t="n"/>
      <c r="T2080" s="103" t="n"/>
      <c r="U2080" s="103" t="n"/>
      <c r="V2080" s="104" t="n"/>
      <c r="W2080" s="102" t="n"/>
      <c r="X2080" s="104" t="n"/>
      <c r="Y2080" s="102" t="n"/>
      <c r="Z2080" s="104" t="n"/>
      <c r="AB2080" s="105">
        <f>IF($B2080="","",(COUNTIF(C2058:E2075,$B2080)+COUNTIF(C2058:E2075,$B2080&amp;" ~*")&gt;0)+(COUNTIF(G2058:I2075,$B2080)+COUNTIF(G2058:I2075,$B2080&amp;" ~*")&gt;0)+(COUNTIF(K2058:M2075,$B2080)+COUNTIF(K2058:M2075,$B2080&amp;" ~*")&gt;0)+(COUNTIF(O2058:Q2075,$B2080)+COUNTIF(O2058:Q2075,$B2080&amp;" ~*")&gt;0)+(COUNTIF(S2058:U2075,$B2080)+COUNTIF(S2058:U2075,$B2080&amp;" ~*")&gt;0)+(COUNTIF(W2058:W2075,$B2080)+COUNTIF(W2058:W2075,$B2080&amp;" ~*")&gt;0)+(COUNTIF(Y2058:Y2075,$B2080)+COUNTIF(Y2058:Y2075,$B2080&amp;" ~*")&gt;0))</f>
        <v/>
      </c>
      <c r="AC2080" s="38">
        <f>IF($B2080="","",(IFERROR(INDEX(Setup!$G$33:$G$40,MATCH(C2080,Setup!$B$33:$B$40,0)),0)=1)*(COUNTIF(C2058:E2075,$B2080)+COUNTIF(C2058:E2075,$B2080&amp;" ~*")&gt;0)+(IFERROR(INDEX(Setup!$G$33:$G$40,MATCH(G2080,Setup!$B$33:$B$40,0)),0)=1)*(COUNTIF(G2058:I2075,$B2080)+COUNTIF(G2058:I2075,$B2080&amp;" ~*")&gt;0)+(IFERROR(INDEX(Setup!$G$33:$G$40,MATCH(K2080,Setup!$B$33:$B$40,0)),0)=1)*(COUNTIF(K2058:M2075,$B2080)+COUNTIF(K2058:M2075,$B2080&amp;" ~*")&gt;0)+(IFERROR(INDEX(Setup!$G$33:$G$40,MATCH(O2080,Setup!$B$33:$B$40,0)),0)=1)*(COUNTIF(O2058:Q2075,$B2080)+COUNTIF(O2058:Q2075,$B2080&amp;" ~*")&gt;0)+(IFERROR(INDEX(Setup!$G$33:$G$40,MATCH(S2080,Setup!$B$33:$B$40,0)),0)=1)*(COUNTIF(S2058:U2075,$B2080)+COUNTIF(S2058:U2075,$B2080&amp;" ~*")&gt;0)+(IFERROR(INDEX(Setup!$G$33:$G$40,MATCH(W2080,Setup!$B$33:$B$40,0)),0)=1)*(COUNTIF(W2058:W2075,$B2080)+COUNTIF(W2058:W2075,$B2080&amp;" ~*")&gt;0)+(IFERROR(INDEX(Setup!$G$33:$G$40,MATCH(Y2080,Setup!$B$33:$B$40,0)),0)=1)*(COUNTIF(Y2058:Y2075,$B2080)+COUNTIF(Y2058:Y2075,$B2080&amp;" ~*")&gt;0))</f>
        <v/>
      </c>
    </row>
    <row r="2081" ht="15" customHeight="1">
      <c r="A2081" t="n">
        <v>42</v>
      </c>
      <c r="B2081" s="35">
        <f>IF(Setup!$B$10="","",Setup!$B$10)</f>
        <v/>
      </c>
      <c r="C2081" s="98" t="n"/>
      <c r="D2081" s="99" t="n"/>
      <c r="E2081" s="99" t="n"/>
      <c r="F2081" s="100" t="n"/>
      <c r="G2081" s="98" t="n"/>
      <c r="H2081" s="99" t="n"/>
      <c r="I2081" s="99" t="n"/>
      <c r="J2081" s="100" t="n"/>
      <c r="K2081" s="98" t="n"/>
      <c r="L2081" s="99" t="n"/>
      <c r="M2081" s="99" t="n"/>
      <c r="N2081" s="100" t="n"/>
      <c r="O2081" s="98" t="n"/>
      <c r="P2081" s="99" t="n"/>
      <c r="Q2081" s="99" t="n"/>
      <c r="R2081" s="100" t="n"/>
      <c r="S2081" s="98" t="n"/>
      <c r="T2081" s="99" t="n"/>
      <c r="U2081" s="99" t="n"/>
      <c r="V2081" s="100" t="n"/>
      <c r="W2081" s="98" t="n"/>
      <c r="X2081" s="100" t="n"/>
      <c r="Y2081" s="98" t="n"/>
      <c r="Z2081" s="100" t="n"/>
      <c r="AB2081" s="101">
        <f>IF($B2081="","",(COUNTIF(C2058:E2075,$B2081)+COUNTIF(C2058:E2075,$B2081&amp;" ~*")&gt;0)+(COUNTIF(G2058:I2075,$B2081)+COUNTIF(G2058:I2075,$B2081&amp;" ~*")&gt;0)+(COUNTIF(K2058:M2075,$B2081)+COUNTIF(K2058:M2075,$B2081&amp;" ~*")&gt;0)+(COUNTIF(O2058:Q2075,$B2081)+COUNTIF(O2058:Q2075,$B2081&amp;" ~*")&gt;0)+(COUNTIF(S2058:U2075,$B2081)+COUNTIF(S2058:U2075,$B2081&amp;" ~*")&gt;0)+(COUNTIF(W2058:W2075,$B2081)+COUNTIF(W2058:W2075,$B2081&amp;" ~*")&gt;0)+(COUNTIF(Y2058:Y2075,$B2081)+COUNTIF(Y2058:Y2075,$B2081&amp;" ~*")&gt;0))</f>
        <v/>
      </c>
      <c r="AC2081" s="36">
        <f>IF($B2081="","",(IFERROR(INDEX(Setup!$G$33:$G$40,MATCH(C2081,Setup!$B$33:$B$40,0)),0)=1)*(COUNTIF(C2058:E2075,$B2081)+COUNTIF(C2058:E2075,$B2081&amp;" ~*")&gt;0)+(IFERROR(INDEX(Setup!$G$33:$G$40,MATCH(G2081,Setup!$B$33:$B$40,0)),0)=1)*(COUNTIF(G2058:I2075,$B2081)+COUNTIF(G2058:I2075,$B2081&amp;" ~*")&gt;0)+(IFERROR(INDEX(Setup!$G$33:$G$40,MATCH(K2081,Setup!$B$33:$B$40,0)),0)=1)*(COUNTIF(K2058:M2075,$B2081)+COUNTIF(K2058:M2075,$B2081&amp;" ~*")&gt;0)+(IFERROR(INDEX(Setup!$G$33:$G$40,MATCH(O2081,Setup!$B$33:$B$40,0)),0)=1)*(COUNTIF(O2058:Q2075,$B2081)+COUNTIF(O2058:Q2075,$B2081&amp;" ~*")&gt;0)+(IFERROR(INDEX(Setup!$G$33:$G$40,MATCH(S2081,Setup!$B$33:$B$40,0)),0)=1)*(COUNTIF(S2058:U2075,$B2081)+COUNTIF(S2058:U2075,$B2081&amp;" ~*")&gt;0)+(IFERROR(INDEX(Setup!$G$33:$G$40,MATCH(W2081,Setup!$B$33:$B$40,0)),0)=1)*(COUNTIF(W2058:W2075,$B2081)+COUNTIF(W2058:W2075,$B2081&amp;" ~*")&gt;0)+(IFERROR(INDEX(Setup!$G$33:$G$40,MATCH(Y2081,Setup!$B$33:$B$40,0)),0)=1)*(COUNTIF(Y2058:Y2075,$B2081)+COUNTIF(Y2058:Y2075,$B2081&amp;" ~*")&gt;0))</f>
        <v/>
      </c>
    </row>
    <row r="2082" ht="15" customHeight="1">
      <c r="A2082" t="n">
        <v>42</v>
      </c>
      <c r="B2082" s="37">
        <f>IF(Setup!$B$11="","",Setup!$B$11)</f>
        <v/>
      </c>
      <c r="C2082" s="102" t="n"/>
      <c r="D2082" s="103" t="n"/>
      <c r="E2082" s="103" t="n"/>
      <c r="F2082" s="104" t="n"/>
      <c r="G2082" s="102" t="n"/>
      <c r="H2082" s="103" t="n"/>
      <c r="I2082" s="103" t="n"/>
      <c r="J2082" s="104" t="n"/>
      <c r="K2082" s="102" t="n"/>
      <c r="L2082" s="103" t="n"/>
      <c r="M2082" s="103" t="n"/>
      <c r="N2082" s="104" t="n"/>
      <c r="O2082" s="102" t="n"/>
      <c r="P2082" s="103" t="n"/>
      <c r="Q2082" s="103" t="n"/>
      <c r="R2082" s="104" t="n"/>
      <c r="S2082" s="102" t="n"/>
      <c r="T2082" s="103" t="n"/>
      <c r="U2082" s="103" t="n"/>
      <c r="V2082" s="104" t="n"/>
      <c r="W2082" s="102" t="n"/>
      <c r="X2082" s="104" t="n"/>
      <c r="Y2082" s="102" t="n"/>
      <c r="Z2082" s="104" t="n"/>
      <c r="AB2082" s="105">
        <f>IF($B2082="","",(COUNTIF(C2058:E2075,$B2082)+COUNTIF(C2058:E2075,$B2082&amp;" ~*")&gt;0)+(COUNTIF(G2058:I2075,$B2082)+COUNTIF(G2058:I2075,$B2082&amp;" ~*")&gt;0)+(COUNTIF(K2058:M2075,$B2082)+COUNTIF(K2058:M2075,$B2082&amp;" ~*")&gt;0)+(COUNTIF(O2058:Q2075,$B2082)+COUNTIF(O2058:Q2075,$B2082&amp;" ~*")&gt;0)+(COUNTIF(S2058:U2075,$B2082)+COUNTIF(S2058:U2075,$B2082&amp;" ~*")&gt;0)+(COUNTIF(W2058:W2075,$B2082)+COUNTIF(W2058:W2075,$B2082&amp;" ~*")&gt;0)+(COUNTIF(Y2058:Y2075,$B2082)+COUNTIF(Y2058:Y2075,$B2082&amp;" ~*")&gt;0))</f>
        <v/>
      </c>
      <c r="AC2082" s="38">
        <f>IF($B2082="","",(IFERROR(INDEX(Setup!$G$33:$G$40,MATCH(C2082,Setup!$B$33:$B$40,0)),0)=1)*(COUNTIF(C2058:E2075,$B2082)+COUNTIF(C2058:E2075,$B2082&amp;" ~*")&gt;0)+(IFERROR(INDEX(Setup!$G$33:$G$40,MATCH(G2082,Setup!$B$33:$B$40,0)),0)=1)*(COUNTIF(G2058:I2075,$B2082)+COUNTIF(G2058:I2075,$B2082&amp;" ~*")&gt;0)+(IFERROR(INDEX(Setup!$G$33:$G$40,MATCH(K2082,Setup!$B$33:$B$40,0)),0)=1)*(COUNTIF(K2058:M2075,$B2082)+COUNTIF(K2058:M2075,$B2082&amp;" ~*")&gt;0)+(IFERROR(INDEX(Setup!$G$33:$G$40,MATCH(O2082,Setup!$B$33:$B$40,0)),0)=1)*(COUNTIF(O2058:Q2075,$B2082)+COUNTIF(O2058:Q2075,$B2082&amp;" ~*")&gt;0)+(IFERROR(INDEX(Setup!$G$33:$G$40,MATCH(S2082,Setup!$B$33:$B$40,0)),0)=1)*(COUNTIF(S2058:U2075,$B2082)+COUNTIF(S2058:U2075,$B2082&amp;" ~*")&gt;0)+(IFERROR(INDEX(Setup!$G$33:$G$40,MATCH(W2082,Setup!$B$33:$B$40,0)),0)=1)*(COUNTIF(W2058:W2075,$B2082)+COUNTIF(W2058:W2075,$B2082&amp;" ~*")&gt;0)+(IFERROR(INDEX(Setup!$G$33:$G$40,MATCH(Y2082,Setup!$B$33:$B$40,0)),0)=1)*(COUNTIF(Y2058:Y2075,$B2082)+COUNTIF(Y2058:Y2075,$B2082&amp;" ~*")&gt;0))</f>
        <v/>
      </c>
    </row>
    <row r="2083" ht="15" customHeight="1">
      <c r="A2083" t="n">
        <v>42</v>
      </c>
      <c r="B2083" s="35">
        <f>IF(Setup!$B$12="","",Setup!$B$12)</f>
        <v/>
      </c>
      <c r="C2083" s="98" t="n"/>
      <c r="D2083" s="99" t="n"/>
      <c r="E2083" s="99" t="n"/>
      <c r="F2083" s="100" t="n"/>
      <c r="G2083" s="98" t="n"/>
      <c r="H2083" s="99" t="n"/>
      <c r="I2083" s="99" t="n"/>
      <c r="J2083" s="100" t="n"/>
      <c r="K2083" s="98" t="n"/>
      <c r="L2083" s="99" t="n"/>
      <c r="M2083" s="99" t="n"/>
      <c r="N2083" s="100" t="n"/>
      <c r="O2083" s="98" t="n"/>
      <c r="P2083" s="99" t="n"/>
      <c r="Q2083" s="99" t="n"/>
      <c r="R2083" s="100" t="n"/>
      <c r="S2083" s="98" t="n"/>
      <c r="T2083" s="99" t="n"/>
      <c r="U2083" s="99" t="n"/>
      <c r="V2083" s="100" t="n"/>
      <c r="W2083" s="98" t="n"/>
      <c r="X2083" s="100" t="n"/>
      <c r="Y2083" s="98" t="n"/>
      <c r="Z2083" s="100" t="n"/>
      <c r="AB2083" s="101">
        <f>IF($B2083="","",(COUNTIF(C2058:E2075,$B2083)+COUNTIF(C2058:E2075,$B2083&amp;" ~*")&gt;0)+(COUNTIF(G2058:I2075,$B2083)+COUNTIF(G2058:I2075,$B2083&amp;" ~*")&gt;0)+(COUNTIF(K2058:M2075,$B2083)+COUNTIF(K2058:M2075,$B2083&amp;" ~*")&gt;0)+(COUNTIF(O2058:Q2075,$B2083)+COUNTIF(O2058:Q2075,$B2083&amp;" ~*")&gt;0)+(COUNTIF(S2058:U2075,$B2083)+COUNTIF(S2058:U2075,$B2083&amp;" ~*")&gt;0)+(COUNTIF(W2058:W2075,$B2083)+COUNTIF(W2058:W2075,$B2083&amp;" ~*")&gt;0)+(COUNTIF(Y2058:Y2075,$B2083)+COUNTIF(Y2058:Y2075,$B2083&amp;" ~*")&gt;0))</f>
        <v/>
      </c>
      <c r="AC2083" s="36">
        <f>IF($B2083="","",(IFERROR(INDEX(Setup!$G$33:$G$40,MATCH(C2083,Setup!$B$33:$B$40,0)),0)=1)*(COUNTIF(C2058:E2075,$B2083)+COUNTIF(C2058:E2075,$B2083&amp;" ~*")&gt;0)+(IFERROR(INDEX(Setup!$G$33:$G$40,MATCH(G2083,Setup!$B$33:$B$40,0)),0)=1)*(COUNTIF(G2058:I2075,$B2083)+COUNTIF(G2058:I2075,$B2083&amp;" ~*")&gt;0)+(IFERROR(INDEX(Setup!$G$33:$G$40,MATCH(K2083,Setup!$B$33:$B$40,0)),0)=1)*(COUNTIF(K2058:M2075,$B2083)+COUNTIF(K2058:M2075,$B2083&amp;" ~*")&gt;0)+(IFERROR(INDEX(Setup!$G$33:$G$40,MATCH(O2083,Setup!$B$33:$B$40,0)),0)=1)*(COUNTIF(O2058:Q2075,$B2083)+COUNTIF(O2058:Q2075,$B2083&amp;" ~*")&gt;0)+(IFERROR(INDEX(Setup!$G$33:$G$40,MATCH(S2083,Setup!$B$33:$B$40,0)),0)=1)*(COUNTIF(S2058:U2075,$B2083)+COUNTIF(S2058:U2075,$B2083&amp;" ~*")&gt;0)+(IFERROR(INDEX(Setup!$G$33:$G$40,MATCH(W2083,Setup!$B$33:$B$40,0)),0)=1)*(COUNTIF(W2058:W2075,$B2083)+COUNTIF(W2058:W2075,$B2083&amp;" ~*")&gt;0)+(IFERROR(INDEX(Setup!$G$33:$G$40,MATCH(Y2083,Setup!$B$33:$B$40,0)),0)=1)*(COUNTIF(Y2058:Y2075,$B2083)+COUNTIF(Y2058:Y2075,$B2083&amp;" ~*")&gt;0))</f>
        <v/>
      </c>
    </row>
    <row r="2084" ht="15" customHeight="1">
      <c r="A2084" t="n">
        <v>42</v>
      </c>
      <c r="B2084" s="37">
        <f>IF(Setup!$B$13="","",Setup!$B$13)</f>
        <v/>
      </c>
      <c r="C2084" s="102" t="n"/>
      <c r="D2084" s="103" t="n"/>
      <c r="E2084" s="103" t="n"/>
      <c r="F2084" s="104" t="n"/>
      <c r="G2084" s="102" t="n"/>
      <c r="H2084" s="103" t="n"/>
      <c r="I2084" s="103" t="n"/>
      <c r="J2084" s="104" t="n"/>
      <c r="K2084" s="102" t="n"/>
      <c r="L2084" s="103" t="n"/>
      <c r="M2084" s="103" t="n"/>
      <c r="N2084" s="104" t="n"/>
      <c r="O2084" s="102" t="n"/>
      <c r="P2084" s="103" t="n"/>
      <c r="Q2084" s="103" t="n"/>
      <c r="R2084" s="104" t="n"/>
      <c r="S2084" s="102" t="n"/>
      <c r="T2084" s="103" t="n"/>
      <c r="U2084" s="103" t="n"/>
      <c r="V2084" s="104" t="n"/>
      <c r="W2084" s="102" t="n"/>
      <c r="X2084" s="104" t="n"/>
      <c r="Y2084" s="102" t="n"/>
      <c r="Z2084" s="104" t="n"/>
      <c r="AB2084" s="105">
        <f>IF($B2084="","",(COUNTIF(C2058:E2075,$B2084)+COUNTIF(C2058:E2075,$B2084&amp;" ~*")&gt;0)+(COUNTIF(G2058:I2075,$B2084)+COUNTIF(G2058:I2075,$B2084&amp;" ~*")&gt;0)+(COUNTIF(K2058:M2075,$B2084)+COUNTIF(K2058:M2075,$B2084&amp;" ~*")&gt;0)+(COUNTIF(O2058:Q2075,$B2084)+COUNTIF(O2058:Q2075,$B2084&amp;" ~*")&gt;0)+(COUNTIF(S2058:U2075,$B2084)+COUNTIF(S2058:U2075,$B2084&amp;" ~*")&gt;0)+(COUNTIF(W2058:W2075,$B2084)+COUNTIF(W2058:W2075,$B2084&amp;" ~*")&gt;0)+(COUNTIF(Y2058:Y2075,$B2084)+COUNTIF(Y2058:Y2075,$B2084&amp;" ~*")&gt;0))</f>
        <v/>
      </c>
      <c r="AC2084" s="38">
        <f>IF($B2084="","",(IFERROR(INDEX(Setup!$G$33:$G$40,MATCH(C2084,Setup!$B$33:$B$40,0)),0)=1)*(COUNTIF(C2058:E2075,$B2084)+COUNTIF(C2058:E2075,$B2084&amp;" ~*")&gt;0)+(IFERROR(INDEX(Setup!$G$33:$G$40,MATCH(G2084,Setup!$B$33:$B$40,0)),0)=1)*(COUNTIF(G2058:I2075,$B2084)+COUNTIF(G2058:I2075,$B2084&amp;" ~*")&gt;0)+(IFERROR(INDEX(Setup!$G$33:$G$40,MATCH(K2084,Setup!$B$33:$B$40,0)),0)=1)*(COUNTIF(K2058:M2075,$B2084)+COUNTIF(K2058:M2075,$B2084&amp;" ~*")&gt;0)+(IFERROR(INDEX(Setup!$G$33:$G$40,MATCH(O2084,Setup!$B$33:$B$40,0)),0)=1)*(COUNTIF(O2058:Q2075,$B2084)+COUNTIF(O2058:Q2075,$B2084&amp;" ~*")&gt;0)+(IFERROR(INDEX(Setup!$G$33:$G$40,MATCH(S2084,Setup!$B$33:$B$40,0)),0)=1)*(COUNTIF(S2058:U2075,$B2084)+COUNTIF(S2058:U2075,$B2084&amp;" ~*")&gt;0)+(IFERROR(INDEX(Setup!$G$33:$G$40,MATCH(W2084,Setup!$B$33:$B$40,0)),0)=1)*(COUNTIF(W2058:W2075,$B2084)+COUNTIF(W2058:W2075,$B2084&amp;" ~*")&gt;0)+(IFERROR(INDEX(Setup!$G$33:$G$40,MATCH(Y2084,Setup!$B$33:$B$40,0)),0)=1)*(COUNTIF(Y2058:Y2075,$B2084)+COUNTIF(Y2058:Y2075,$B2084&amp;" ~*")&gt;0))</f>
        <v/>
      </c>
    </row>
    <row r="2085" ht="15" customHeight="1">
      <c r="A2085" t="n">
        <v>42</v>
      </c>
      <c r="B2085" s="35">
        <f>IF(Setup!$B$14="","",Setup!$B$14)</f>
        <v/>
      </c>
      <c r="C2085" s="98" t="n"/>
      <c r="D2085" s="99" t="n"/>
      <c r="E2085" s="99" t="n"/>
      <c r="F2085" s="100" t="n"/>
      <c r="G2085" s="98" t="n"/>
      <c r="H2085" s="99" t="n"/>
      <c r="I2085" s="99" t="n"/>
      <c r="J2085" s="100" t="n"/>
      <c r="K2085" s="98" t="n"/>
      <c r="L2085" s="99" t="n"/>
      <c r="M2085" s="99" t="n"/>
      <c r="N2085" s="100" t="n"/>
      <c r="O2085" s="98" t="n"/>
      <c r="P2085" s="99" t="n"/>
      <c r="Q2085" s="99" t="n"/>
      <c r="R2085" s="100" t="n"/>
      <c r="S2085" s="98" t="n"/>
      <c r="T2085" s="99" t="n"/>
      <c r="U2085" s="99" t="n"/>
      <c r="V2085" s="100" t="n"/>
      <c r="W2085" s="98" t="n"/>
      <c r="X2085" s="100" t="n"/>
      <c r="Y2085" s="98" t="n"/>
      <c r="Z2085" s="100" t="n"/>
      <c r="AB2085" s="101">
        <f>IF($B2085="","",(COUNTIF(C2058:E2075,$B2085)+COUNTIF(C2058:E2075,$B2085&amp;" ~*")&gt;0)+(COUNTIF(G2058:I2075,$B2085)+COUNTIF(G2058:I2075,$B2085&amp;" ~*")&gt;0)+(COUNTIF(K2058:M2075,$B2085)+COUNTIF(K2058:M2075,$B2085&amp;" ~*")&gt;0)+(COUNTIF(O2058:Q2075,$B2085)+COUNTIF(O2058:Q2075,$B2085&amp;" ~*")&gt;0)+(COUNTIF(S2058:U2075,$B2085)+COUNTIF(S2058:U2075,$B2085&amp;" ~*")&gt;0)+(COUNTIF(W2058:W2075,$B2085)+COUNTIF(W2058:W2075,$B2085&amp;" ~*")&gt;0)+(COUNTIF(Y2058:Y2075,$B2085)+COUNTIF(Y2058:Y2075,$B2085&amp;" ~*")&gt;0))</f>
        <v/>
      </c>
      <c r="AC2085" s="36">
        <f>IF($B2085="","",(IFERROR(INDEX(Setup!$G$33:$G$40,MATCH(C2085,Setup!$B$33:$B$40,0)),0)=1)*(COUNTIF(C2058:E2075,$B2085)+COUNTIF(C2058:E2075,$B2085&amp;" ~*")&gt;0)+(IFERROR(INDEX(Setup!$G$33:$G$40,MATCH(G2085,Setup!$B$33:$B$40,0)),0)=1)*(COUNTIF(G2058:I2075,$B2085)+COUNTIF(G2058:I2075,$B2085&amp;" ~*")&gt;0)+(IFERROR(INDEX(Setup!$G$33:$G$40,MATCH(K2085,Setup!$B$33:$B$40,0)),0)=1)*(COUNTIF(K2058:M2075,$B2085)+COUNTIF(K2058:M2075,$B2085&amp;" ~*")&gt;0)+(IFERROR(INDEX(Setup!$G$33:$G$40,MATCH(O2085,Setup!$B$33:$B$40,0)),0)=1)*(COUNTIF(O2058:Q2075,$B2085)+COUNTIF(O2058:Q2075,$B2085&amp;" ~*")&gt;0)+(IFERROR(INDEX(Setup!$G$33:$G$40,MATCH(S2085,Setup!$B$33:$B$40,0)),0)=1)*(COUNTIF(S2058:U2075,$B2085)+COUNTIF(S2058:U2075,$B2085&amp;" ~*")&gt;0)+(IFERROR(INDEX(Setup!$G$33:$G$40,MATCH(W2085,Setup!$B$33:$B$40,0)),0)=1)*(COUNTIF(W2058:W2075,$B2085)+COUNTIF(W2058:W2075,$B2085&amp;" ~*")&gt;0)+(IFERROR(INDEX(Setup!$G$33:$G$40,MATCH(Y2085,Setup!$B$33:$B$40,0)),0)=1)*(COUNTIF(Y2058:Y2075,$B2085)+COUNTIF(Y2058:Y2075,$B2085&amp;" ~*")&gt;0))</f>
        <v/>
      </c>
    </row>
    <row r="2086" ht="15" customHeight="1">
      <c r="A2086" t="n">
        <v>42</v>
      </c>
      <c r="B2086" s="37">
        <f>IF(Setup!$B$15="","",Setup!$B$15)</f>
        <v/>
      </c>
      <c r="C2086" s="102" t="n"/>
      <c r="D2086" s="103" t="n"/>
      <c r="E2086" s="103" t="n"/>
      <c r="F2086" s="104" t="n"/>
      <c r="G2086" s="102" t="n"/>
      <c r="H2086" s="103" t="n"/>
      <c r="I2086" s="103" t="n"/>
      <c r="J2086" s="104" t="n"/>
      <c r="K2086" s="102" t="n"/>
      <c r="L2086" s="103" t="n"/>
      <c r="M2086" s="103" t="n"/>
      <c r="N2086" s="104" t="n"/>
      <c r="O2086" s="102" t="n"/>
      <c r="P2086" s="103" t="n"/>
      <c r="Q2086" s="103" t="n"/>
      <c r="R2086" s="104" t="n"/>
      <c r="S2086" s="102" t="n"/>
      <c r="T2086" s="103" t="n"/>
      <c r="U2086" s="103" t="n"/>
      <c r="V2086" s="104" t="n"/>
      <c r="W2086" s="102" t="n"/>
      <c r="X2086" s="104" t="n"/>
      <c r="Y2086" s="102" t="n"/>
      <c r="Z2086" s="104" t="n"/>
      <c r="AB2086" s="105">
        <f>IF($B2086="","",(COUNTIF(C2058:E2075,$B2086)+COUNTIF(C2058:E2075,$B2086&amp;" ~*")&gt;0)+(COUNTIF(G2058:I2075,$B2086)+COUNTIF(G2058:I2075,$B2086&amp;" ~*")&gt;0)+(COUNTIF(K2058:M2075,$B2086)+COUNTIF(K2058:M2075,$B2086&amp;" ~*")&gt;0)+(COUNTIF(O2058:Q2075,$B2086)+COUNTIF(O2058:Q2075,$B2086&amp;" ~*")&gt;0)+(COUNTIF(S2058:U2075,$B2086)+COUNTIF(S2058:U2075,$B2086&amp;" ~*")&gt;0)+(COUNTIF(W2058:W2075,$B2086)+COUNTIF(W2058:W2075,$B2086&amp;" ~*")&gt;0)+(COUNTIF(Y2058:Y2075,$B2086)+COUNTIF(Y2058:Y2075,$B2086&amp;" ~*")&gt;0))</f>
        <v/>
      </c>
      <c r="AC2086" s="38">
        <f>IF($B2086="","",(IFERROR(INDEX(Setup!$G$33:$G$40,MATCH(C2086,Setup!$B$33:$B$40,0)),0)=1)*(COUNTIF(C2058:E2075,$B2086)+COUNTIF(C2058:E2075,$B2086&amp;" ~*")&gt;0)+(IFERROR(INDEX(Setup!$G$33:$G$40,MATCH(G2086,Setup!$B$33:$B$40,0)),0)=1)*(COUNTIF(G2058:I2075,$B2086)+COUNTIF(G2058:I2075,$B2086&amp;" ~*")&gt;0)+(IFERROR(INDEX(Setup!$G$33:$G$40,MATCH(K2086,Setup!$B$33:$B$40,0)),0)=1)*(COUNTIF(K2058:M2075,$B2086)+COUNTIF(K2058:M2075,$B2086&amp;" ~*")&gt;0)+(IFERROR(INDEX(Setup!$G$33:$G$40,MATCH(O2086,Setup!$B$33:$B$40,0)),0)=1)*(COUNTIF(O2058:Q2075,$B2086)+COUNTIF(O2058:Q2075,$B2086&amp;" ~*")&gt;0)+(IFERROR(INDEX(Setup!$G$33:$G$40,MATCH(S2086,Setup!$B$33:$B$40,0)),0)=1)*(COUNTIF(S2058:U2075,$B2086)+COUNTIF(S2058:U2075,$B2086&amp;" ~*")&gt;0)+(IFERROR(INDEX(Setup!$G$33:$G$40,MATCH(W2086,Setup!$B$33:$B$40,0)),0)=1)*(COUNTIF(W2058:W2075,$B2086)+COUNTIF(W2058:W2075,$B2086&amp;" ~*")&gt;0)+(IFERROR(INDEX(Setup!$G$33:$G$40,MATCH(Y2086,Setup!$B$33:$B$40,0)),0)=1)*(COUNTIF(Y2058:Y2075,$B2086)+COUNTIF(Y2058:Y2075,$B2086&amp;" ~*")&gt;0))</f>
        <v/>
      </c>
    </row>
    <row r="2087" ht="15" customHeight="1">
      <c r="A2087" t="n">
        <v>42</v>
      </c>
      <c r="B2087" s="35">
        <f>IF(Setup!$B$16="","",Setup!$B$16)</f>
        <v/>
      </c>
      <c r="C2087" s="98" t="n"/>
      <c r="D2087" s="99" t="n"/>
      <c r="E2087" s="99" t="n"/>
      <c r="F2087" s="100" t="n"/>
      <c r="G2087" s="98" t="n"/>
      <c r="H2087" s="99" t="n"/>
      <c r="I2087" s="99" t="n"/>
      <c r="J2087" s="100" t="n"/>
      <c r="K2087" s="98" t="n"/>
      <c r="L2087" s="99" t="n"/>
      <c r="M2087" s="99" t="n"/>
      <c r="N2087" s="100" t="n"/>
      <c r="O2087" s="98" t="n"/>
      <c r="P2087" s="99" t="n"/>
      <c r="Q2087" s="99" t="n"/>
      <c r="R2087" s="100" t="n"/>
      <c r="S2087" s="98" t="n"/>
      <c r="T2087" s="99" t="n"/>
      <c r="U2087" s="99" t="n"/>
      <c r="V2087" s="100" t="n"/>
      <c r="W2087" s="98" t="n"/>
      <c r="X2087" s="100" t="n"/>
      <c r="Y2087" s="98" t="n"/>
      <c r="Z2087" s="100" t="n"/>
      <c r="AB2087" s="101">
        <f>IF($B2087="","",(COUNTIF(C2058:E2075,$B2087)+COUNTIF(C2058:E2075,$B2087&amp;" ~*")&gt;0)+(COUNTIF(G2058:I2075,$B2087)+COUNTIF(G2058:I2075,$B2087&amp;" ~*")&gt;0)+(COUNTIF(K2058:M2075,$B2087)+COUNTIF(K2058:M2075,$B2087&amp;" ~*")&gt;0)+(COUNTIF(O2058:Q2075,$B2087)+COUNTIF(O2058:Q2075,$B2087&amp;" ~*")&gt;0)+(COUNTIF(S2058:U2075,$B2087)+COUNTIF(S2058:U2075,$B2087&amp;" ~*")&gt;0)+(COUNTIF(W2058:W2075,$B2087)+COUNTIF(W2058:W2075,$B2087&amp;" ~*")&gt;0)+(COUNTIF(Y2058:Y2075,$B2087)+COUNTIF(Y2058:Y2075,$B2087&amp;" ~*")&gt;0))</f>
        <v/>
      </c>
      <c r="AC2087" s="36">
        <f>IF($B2087="","",(IFERROR(INDEX(Setup!$G$33:$G$40,MATCH(C2087,Setup!$B$33:$B$40,0)),0)=1)*(COUNTIF(C2058:E2075,$B2087)+COUNTIF(C2058:E2075,$B2087&amp;" ~*")&gt;0)+(IFERROR(INDEX(Setup!$G$33:$G$40,MATCH(G2087,Setup!$B$33:$B$40,0)),0)=1)*(COUNTIF(G2058:I2075,$B2087)+COUNTIF(G2058:I2075,$B2087&amp;" ~*")&gt;0)+(IFERROR(INDEX(Setup!$G$33:$G$40,MATCH(K2087,Setup!$B$33:$B$40,0)),0)=1)*(COUNTIF(K2058:M2075,$B2087)+COUNTIF(K2058:M2075,$B2087&amp;" ~*")&gt;0)+(IFERROR(INDEX(Setup!$G$33:$G$40,MATCH(O2087,Setup!$B$33:$B$40,0)),0)=1)*(COUNTIF(O2058:Q2075,$B2087)+COUNTIF(O2058:Q2075,$B2087&amp;" ~*")&gt;0)+(IFERROR(INDEX(Setup!$G$33:$G$40,MATCH(S2087,Setup!$B$33:$B$40,0)),0)=1)*(COUNTIF(S2058:U2075,$B2087)+COUNTIF(S2058:U2075,$B2087&amp;" ~*")&gt;0)+(IFERROR(INDEX(Setup!$G$33:$G$40,MATCH(W2087,Setup!$B$33:$B$40,0)),0)=1)*(COUNTIF(W2058:W2075,$B2087)+COUNTIF(W2058:W2075,$B2087&amp;" ~*")&gt;0)+(IFERROR(INDEX(Setup!$G$33:$G$40,MATCH(Y2087,Setup!$B$33:$B$40,0)),0)=1)*(COUNTIF(Y2058:Y2075,$B2087)+COUNTIF(Y2058:Y2075,$B2087&amp;" ~*")&gt;0))</f>
        <v/>
      </c>
    </row>
    <row r="2088" ht="15" customHeight="1">
      <c r="A2088" t="n">
        <v>42</v>
      </c>
      <c r="B2088" s="37">
        <f>IF(Setup!$B$17="","",Setup!$B$17)</f>
        <v/>
      </c>
      <c r="C2088" s="102" t="n"/>
      <c r="D2088" s="103" t="n"/>
      <c r="E2088" s="103" t="n"/>
      <c r="F2088" s="104" t="n"/>
      <c r="G2088" s="102" t="n"/>
      <c r="H2088" s="103" t="n"/>
      <c r="I2088" s="103" t="n"/>
      <c r="J2088" s="104" t="n"/>
      <c r="K2088" s="102" t="n"/>
      <c r="L2088" s="103" t="n"/>
      <c r="M2088" s="103" t="n"/>
      <c r="N2088" s="104" t="n"/>
      <c r="O2088" s="102" t="n"/>
      <c r="P2088" s="103" t="n"/>
      <c r="Q2088" s="103" t="n"/>
      <c r="R2088" s="104" t="n"/>
      <c r="S2088" s="102" t="n"/>
      <c r="T2088" s="103" t="n"/>
      <c r="U2088" s="103" t="n"/>
      <c r="V2088" s="104" t="n"/>
      <c r="W2088" s="102" t="n"/>
      <c r="X2088" s="104" t="n"/>
      <c r="Y2088" s="102" t="n"/>
      <c r="Z2088" s="104" t="n"/>
      <c r="AB2088" s="105">
        <f>IF($B2088="","",(COUNTIF(C2058:E2075,$B2088)+COUNTIF(C2058:E2075,$B2088&amp;" ~*")&gt;0)+(COUNTIF(G2058:I2075,$B2088)+COUNTIF(G2058:I2075,$B2088&amp;" ~*")&gt;0)+(COUNTIF(K2058:M2075,$B2088)+COUNTIF(K2058:M2075,$B2088&amp;" ~*")&gt;0)+(COUNTIF(O2058:Q2075,$B2088)+COUNTIF(O2058:Q2075,$B2088&amp;" ~*")&gt;0)+(COUNTIF(S2058:U2075,$B2088)+COUNTIF(S2058:U2075,$B2088&amp;" ~*")&gt;0)+(COUNTIF(W2058:W2075,$B2088)+COUNTIF(W2058:W2075,$B2088&amp;" ~*")&gt;0)+(COUNTIF(Y2058:Y2075,$B2088)+COUNTIF(Y2058:Y2075,$B2088&amp;" ~*")&gt;0))</f>
        <v/>
      </c>
      <c r="AC2088" s="38">
        <f>IF($B2088="","",(IFERROR(INDEX(Setup!$G$33:$G$40,MATCH(C2088,Setup!$B$33:$B$40,0)),0)=1)*(COUNTIF(C2058:E2075,$B2088)+COUNTIF(C2058:E2075,$B2088&amp;" ~*")&gt;0)+(IFERROR(INDEX(Setup!$G$33:$G$40,MATCH(G2088,Setup!$B$33:$B$40,0)),0)=1)*(COUNTIF(G2058:I2075,$B2088)+COUNTIF(G2058:I2075,$B2088&amp;" ~*")&gt;0)+(IFERROR(INDEX(Setup!$G$33:$G$40,MATCH(K2088,Setup!$B$33:$B$40,0)),0)=1)*(COUNTIF(K2058:M2075,$B2088)+COUNTIF(K2058:M2075,$B2088&amp;" ~*")&gt;0)+(IFERROR(INDEX(Setup!$G$33:$G$40,MATCH(O2088,Setup!$B$33:$B$40,0)),0)=1)*(COUNTIF(O2058:Q2075,$B2088)+COUNTIF(O2058:Q2075,$B2088&amp;" ~*")&gt;0)+(IFERROR(INDEX(Setup!$G$33:$G$40,MATCH(S2088,Setup!$B$33:$B$40,0)),0)=1)*(COUNTIF(S2058:U2075,$B2088)+COUNTIF(S2058:U2075,$B2088&amp;" ~*")&gt;0)+(IFERROR(INDEX(Setup!$G$33:$G$40,MATCH(W2088,Setup!$B$33:$B$40,0)),0)=1)*(COUNTIF(W2058:W2075,$B2088)+COUNTIF(W2058:W2075,$B2088&amp;" ~*")&gt;0)+(IFERROR(INDEX(Setup!$G$33:$G$40,MATCH(Y2088,Setup!$B$33:$B$40,0)),0)=1)*(COUNTIF(Y2058:Y2075,$B2088)+COUNTIF(Y2058:Y2075,$B2088&amp;" ~*")&gt;0))</f>
        <v/>
      </c>
    </row>
    <row r="2089" ht="15" customHeight="1">
      <c r="A2089" t="n">
        <v>42</v>
      </c>
      <c r="B2089" s="35">
        <f>IF(Setup!$B$18="","",Setup!$B$18)</f>
        <v/>
      </c>
      <c r="C2089" s="98" t="n"/>
      <c r="D2089" s="99" t="n"/>
      <c r="E2089" s="99" t="n"/>
      <c r="F2089" s="100" t="n"/>
      <c r="G2089" s="98" t="n"/>
      <c r="H2089" s="99" t="n"/>
      <c r="I2089" s="99" t="n"/>
      <c r="J2089" s="100" t="n"/>
      <c r="K2089" s="98" t="n"/>
      <c r="L2089" s="99" t="n"/>
      <c r="M2089" s="99" t="n"/>
      <c r="N2089" s="100" t="n"/>
      <c r="O2089" s="98" t="n"/>
      <c r="P2089" s="99" t="n"/>
      <c r="Q2089" s="99" t="n"/>
      <c r="R2089" s="100" t="n"/>
      <c r="S2089" s="98" t="n"/>
      <c r="T2089" s="99" t="n"/>
      <c r="U2089" s="99" t="n"/>
      <c r="V2089" s="100" t="n"/>
      <c r="W2089" s="98" t="n"/>
      <c r="X2089" s="100" t="n"/>
      <c r="Y2089" s="98" t="n"/>
      <c r="Z2089" s="100" t="n"/>
      <c r="AB2089" s="101">
        <f>IF($B2089="","",(COUNTIF(C2058:E2075,$B2089)+COUNTIF(C2058:E2075,$B2089&amp;" ~*")&gt;0)+(COUNTIF(G2058:I2075,$B2089)+COUNTIF(G2058:I2075,$B2089&amp;" ~*")&gt;0)+(COUNTIF(K2058:M2075,$B2089)+COUNTIF(K2058:M2075,$B2089&amp;" ~*")&gt;0)+(COUNTIF(O2058:Q2075,$B2089)+COUNTIF(O2058:Q2075,$B2089&amp;" ~*")&gt;0)+(COUNTIF(S2058:U2075,$B2089)+COUNTIF(S2058:U2075,$B2089&amp;" ~*")&gt;0)+(COUNTIF(W2058:W2075,$B2089)+COUNTIF(W2058:W2075,$B2089&amp;" ~*")&gt;0)+(COUNTIF(Y2058:Y2075,$B2089)+COUNTIF(Y2058:Y2075,$B2089&amp;" ~*")&gt;0))</f>
        <v/>
      </c>
      <c r="AC2089" s="36">
        <f>IF($B2089="","",(IFERROR(INDEX(Setup!$G$33:$G$40,MATCH(C2089,Setup!$B$33:$B$40,0)),0)=1)*(COUNTIF(C2058:E2075,$B2089)+COUNTIF(C2058:E2075,$B2089&amp;" ~*")&gt;0)+(IFERROR(INDEX(Setup!$G$33:$G$40,MATCH(G2089,Setup!$B$33:$B$40,0)),0)=1)*(COUNTIF(G2058:I2075,$B2089)+COUNTIF(G2058:I2075,$B2089&amp;" ~*")&gt;0)+(IFERROR(INDEX(Setup!$G$33:$G$40,MATCH(K2089,Setup!$B$33:$B$40,0)),0)=1)*(COUNTIF(K2058:M2075,$B2089)+COUNTIF(K2058:M2075,$B2089&amp;" ~*")&gt;0)+(IFERROR(INDEX(Setup!$G$33:$G$40,MATCH(O2089,Setup!$B$33:$B$40,0)),0)=1)*(COUNTIF(O2058:Q2075,$B2089)+COUNTIF(O2058:Q2075,$B2089&amp;" ~*")&gt;0)+(IFERROR(INDEX(Setup!$G$33:$G$40,MATCH(S2089,Setup!$B$33:$B$40,0)),0)=1)*(COUNTIF(S2058:U2075,$B2089)+COUNTIF(S2058:U2075,$B2089&amp;" ~*")&gt;0)+(IFERROR(INDEX(Setup!$G$33:$G$40,MATCH(W2089,Setup!$B$33:$B$40,0)),0)=1)*(COUNTIF(W2058:W2075,$B2089)+COUNTIF(W2058:W2075,$B2089&amp;" ~*")&gt;0)+(IFERROR(INDEX(Setup!$G$33:$G$40,MATCH(Y2089,Setup!$B$33:$B$40,0)),0)=1)*(COUNTIF(Y2058:Y2075,$B2089)+COUNTIF(Y2058:Y2075,$B2089&amp;" ~*")&gt;0))</f>
        <v/>
      </c>
    </row>
    <row r="2090" ht="15" customHeight="1">
      <c r="A2090" t="n">
        <v>42</v>
      </c>
      <c r="B2090" s="37">
        <f>IF(Setup!$B$19="","",Setup!$B$19)</f>
        <v/>
      </c>
      <c r="C2090" s="102" t="n"/>
      <c r="D2090" s="103" t="n"/>
      <c r="E2090" s="103" t="n"/>
      <c r="F2090" s="104" t="n"/>
      <c r="G2090" s="102" t="n"/>
      <c r="H2090" s="103" t="n"/>
      <c r="I2090" s="103" t="n"/>
      <c r="J2090" s="104" t="n"/>
      <c r="K2090" s="102" t="n"/>
      <c r="L2090" s="103" t="n"/>
      <c r="M2090" s="103" t="n"/>
      <c r="N2090" s="104" t="n"/>
      <c r="O2090" s="102" t="n"/>
      <c r="P2090" s="103" t="n"/>
      <c r="Q2090" s="103" t="n"/>
      <c r="R2090" s="104" t="n"/>
      <c r="S2090" s="102" t="n"/>
      <c r="T2090" s="103" t="n"/>
      <c r="U2090" s="103" t="n"/>
      <c r="V2090" s="104" t="n"/>
      <c r="W2090" s="102" t="n"/>
      <c r="X2090" s="104" t="n"/>
      <c r="Y2090" s="102" t="n"/>
      <c r="Z2090" s="104" t="n"/>
      <c r="AB2090" s="105">
        <f>IF($B2090="","",(COUNTIF(C2058:E2075,$B2090)+COUNTIF(C2058:E2075,$B2090&amp;" ~*")&gt;0)+(COUNTIF(G2058:I2075,$B2090)+COUNTIF(G2058:I2075,$B2090&amp;" ~*")&gt;0)+(COUNTIF(K2058:M2075,$B2090)+COUNTIF(K2058:M2075,$B2090&amp;" ~*")&gt;0)+(COUNTIF(O2058:Q2075,$B2090)+COUNTIF(O2058:Q2075,$B2090&amp;" ~*")&gt;0)+(COUNTIF(S2058:U2075,$B2090)+COUNTIF(S2058:U2075,$B2090&amp;" ~*")&gt;0)+(COUNTIF(W2058:W2075,$B2090)+COUNTIF(W2058:W2075,$B2090&amp;" ~*")&gt;0)+(COUNTIF(Y2058:Y2075,$B2090)+COUNTIF(Y2058:Y2075,$B2090&amp;" ~*")&gt;0))</f>
        <v/>
      </c>
      <c r="AC2090" s="38">
        <f>IF($B2090="","",(IFERROR(INDEX(Setup!$G$33:$G$40,MATCH(C2090,Setup!$B$33:$B$40,0)),0)=1)*(COUNTIF(C2058:E2075,$B2090)+COUNTIF(C2058:E2075,$B2090&amp;" ~*")&gt;0)+(IFERROR(INDEX(Setup!$G$33:$G$40,MATCH(G2090,Setup!$B$33:$B$40,0)),0)=1)*(COUNTIF(G2058:I2075,$B2090)+COUNTIF(G2058:I2075,$B2090&amp;" ~*")&gt;0)+(IFERROR(INDEX(Setup!$G$33:$G$40,MATCH(K2090,Setup!$B$33:$B$40,0)),0)=1)*(COUNTIF(K2058:M2075,$B2090)+COUNTIF(K2058:M2075,$B2090&amp;" ~*")&gt;0)+(IFERROR(INDEX(Setup!$G$33:$G$40,MATCH(O2090,Setup!$B$33:$B$40,0)),0)=1)*(COUNTIF(O2058:Q2075,$B2090)+COUNTIF(O2058:Q2075,$B2090&amp;" ~*")&gt;0)+(IFERROR(INDEX(Setup!$G$33:$G$40,MATCH(S2090,Setup!$B$33:$B$40,0)),0)=1)*(COUNTIF(S2058:U2075,$B2090)+COUNTIF(S2058:U2075,$B2090&amp;" ~*")&gt;0)+(IFERROR(INDEX(Setup!$G$33:$G$40,MATCH(W2090,Setup!$B$33:$B$40,0)),0)=1)*(COUNTIF(W2058:W2075,$B2090)+COUNTIF(W2058:W2075,$B2090&amp;" ~*")&gt;0)+(IFERROR(INDEX(Setup!$G$33:$G$40,MATCH(Y2090,Setup!$B$33:$B$40,0)),0)=1)*(COUNTIF(Y2058:Y2075,$B2090)+COUNTIF(Y2058:Y2075,$B2090&amp;" ~*")&gt;0))</f>
        <v/>
      </c>
    </row>
    <row r="2091" ht="15" customHeight="1">
      <c r="A2091" t="n">
        <v>42</v>
      </c>
      <c r="B2091" s="35">
        <f>IF(Setup!$B$20="","",Setup!$B$20)</f>
        <v/>
      </c>
      <c r="C2091" s="98" t="n"/>
      <c r="D2091" s="99" t="n"/>
      <c r="E2091" s="99" t="n"/>
      <c r="F2091" s="100" t="n"/>
      <c r="G2091" s="98" t="n"/>
      <c r="H2091" s="99" t="n"/>
      <c r="I2091" s="99" t="n"/>
      <c r="J2091" s="100" t="n"/>
      <c r="K2091" s="98" t="n"/>
      <c r="L2091" s="99" t="n"/>
      <c r="M2091" s="99" t="n"/>
      <c r="N2091" s="100" t="n"/>
      <c r="O2091" s="98" t="n"/>
      <c r="P2091" s="99" t="n"/>
      <c r="Q2091" s="99" t="n"/>
      <c r="R2091" s="100" t="n"/>
      <c r="S2091" s="98" t="n"/>
      <c r="T2091" s="99" t="n"/>
      <c r="U2091" s="99" t="n"/>
      <c r="V2091" s="100" t="n"/>
      <c r="W2091" s="98" t="n"/>
      <c r="X2091" s="100" t="n"/>
      <c r="Y2091" s="98" t="n"/>
      <c r="Z2091" s="100" t="n"/>
      <c r="AB2091" s="101">
        <f>IF($B2091="","",(COUNTIF(C2058:E2075,$B2091)+COUNTIF(C2058:E2075,$B2091&amp;" ~*")&gt;0)+(COUNTIF(G2058:I2075,$B2091)+COUNTIF(G2058:I2075,$B2091&amp;" ~*")&gt;0)+(COUNTIF(K2058:M2075,$B2091)+COUNTIF(K2058:M2075,$B2091&amp;" ~*")&gt;0)+(COUNTIF(O2058:Q2075,$B2091)+COUNTIF(O2058:Q2075,$B2091&amp;" ~*")&gt;0)+(COUNTIF(S2058:U2075,$B2091)+COUNTIF(S2058:U2075,$B2091&amp;" ~*")&gt;0)+(COUNTIF(W2058:W2075,$B2091)+COUNTIF(W2058:W2075,$B2091&amp;" ~*")&gt;0)+(COUNTIF(Y2058:Y2075,$B2091)+COUNTIF(Y2058:Y2075,$B2091&amp;" ~*")&gt;0))</f>
        <v/>
      </c>
      <c r="AC2091" s="36">
        <f>IF($B2091="","",(IFERROR(INDEX(Setup!$G$33:$G$40,MATCH(C2091,Setup!$B$33:$B$40,0)),0)=1)*(COUNTIF(C2058:E2075,$B2091)+COUNTIF(C2058:E2075,$B2091&amp;" ~*")&gt;0)+(IFERROR(INDEX(Setup!$G$33:$G$40,MATCH(G2091,Setup!$B$33:$B$40,0)),0)=1)*(COUNTIF(G2058:I2075,$B2091)+COUNTIF(G2058:I2075,$B2091&amp;" ~*")&gt;0)+(IFERROR(INDEX(Setup!$G$33:$G$40,MATCH(K2091,Setup!$B$33:$B$40,0)),0)=1)*(COUNTIF(K2058:M2075,$B2091)+COUNTIF(K2058:M2075,$B2091&amp;" ~*")&gt;0)+(IFERROR(INDEX(Setup!$G$33:$G$40,MATCH(O2091,Setup!$B$33:$B$40,0)),0)=1)*(COUNTIF(O2058:Q2075,$B2091)+COUNTIF(O2058:Q2075,$B2091&amp;" ~*")&gt;0)+(IFERROR(INDEX(Setup!$G$33:$G$40,MATCH(S2091,Setup!$B$33:$B$40,0)),0)=1)*(COUNTIF(S2058:U2075,$B2091)+COUNTIF(S2058:U2075,$B2091&amp;" ~*")&gt;0)+(IFERROR(INDEX(Setup!$G$33:$G$40,MATCH(W2091,Setup!$B$33:$B$40,0)),0)=1)*(COUNTIF(W2058:W2075,$B2091)+COUNTIF(W2058:W2075,$B2091&amp;" ~*")&gt;0)+(IFERROR(INDEX(Setup!$G$33:$G$40,MATCH(Y2091,Setup!$B$33:$B$40,0)),0)=1)*(COUNTIF(Y2058:Y2075,$B2091)+COUNTIF(Y2058:Y2075,$B2091&amp;" ~*")&gt;0))</f>
        <v/>
      </c>
    </row>
    <row r="2092" ht="15" customHeight="1">
      <c r="A2092" t="n">
        <v>42</v>
      </c>
      <c r="B2092" s="37">
        <f>IF(Setup!$B$21="","",Setup!$B$21)</f>
        <v/>
      </c>
      <c r="C2092" s="102" t="n"/>
      <c r="D2092" s="103" t="n"/>
      <c r="E2092" s="103" t="n"/>
      <c r="F2092" s="104" t="n"/>
      <c r="G2092" s="102" t="n"/>
      <c r="H2092" s="103" t="n"/>
      <c r="I2092" s="103" t="n"/>
      <c r="J2092" s="104" t="n"/>
      <c r="K2092" s="102" t="n"/>
      <c r="L2092" s="103" t="n"/>
      <c r="M2092" s="103" t="n"/>
      <c r="N2092" s="104" t="n"/>
      <c r="O2092" s="102" t="n"/>
      <c r="P2092" s="103" t="n"/>
      <c r="Q2092" s="103" t="n"/>
      <c r="R2092" s="104" t="n"/>
      <c r="S2092" s="102" t="n"/>
      <c r="T2092" s="103" t="n"/>
      <c r="U2092" s="103" t="n"/>
      <c r="V2092" s="104" t="n"/>
      <c r="W2092" s="102" t="n"/>
      <c r="X2092" s="104" t="n"/>
      <c r="Y2092" s="102" t="n"/>
      <c r="Z2092" s="104" t="n"/>
      <c r="AB2092" s="105">
        <f>IF($B2092="","",(COUNTIF(C2058:E2075,$B2092)+COUNTIF(C2058:E2075,$B2092&amp;" ~*")&gt;0)+(COUNTIF(G2058:I2075,$B2092)+COUNTIF(G2058:I2075,$B2092&amp;" ~*")&gt;0)+(COUNTIF(K2058:M2075,$B2092)+COUNTIF(K2058:M2075,$B2092&amp;" ~*")&gt;0)+(COUNTIF(O2058:Q2075,$B2092)+COUNTIF(O2058:Q2075,$B2092&amp;" ~*")&gt;0)+(COUNTIF(S2058:U2075,$B2092)+COUNTIF(S2058:U2075,$B2092&amp;" ~*")&gt;0)+(COUNTIF(W2058:W2075,$B2092)+COUNTIF(W2058:W2075,$B2092&amp;" ~*")&gt;0)+(COUNTIF(Y2058:Y2075,$B2092)+COUNTIF(Y2058:Y2075,$B2092&amp;" ~*")&gt;0))</f>
        <v/>
      </c>
      <c r="AC2092" s="38">
        <f>IF($B2092="","",(IFERROR(INDEX(Setup!$G$33:$G$40,MATCH(C2092,Setup!$B$33:$B$40,0)),0)=1)*(COUNTIF(C2058:E2075,$B2092)+COUNTIF(C2058:E2075,$B2092&amp;" ~*")&gt;0)+(IFERROR(INDEX(Setup!$G$33:$G$40,MATCH(G2092,Setup!$B$33:$B$40,0)),0)=1)*(COUNTIF(G2058:I2075,$B2092)+COUNTIF(G2058:I2075,$B2092&amp;" ~*")&gt;0)+(IFERROR(INDEX(Setup!$G$33:$G$40,MATCH(K2092,Setup!$B$33:$B$40,0)),0)=1)*(COUNTIF(K2058:M2075,$B2092)+COUNTIF(K2058:M2075,$B2092&amp;" ~*")&gt;0)+(IFERROR(INDEX(Setup!$G$33:$G$40,MATCH(O2092,Setup!$B$33:$B$40,0)),0)=1)*(COUNTIF(O2058:Q2075,$B2092)+COUNTIF(O2058:Q2075,$B2092&amp;" ~*")&gt;0)+(IFERROR(INDEX(Setup!$G$33:$G$40,MATCH(S2092,Setup!$B$33:$B$40,0)),0)=1)*(COUNTIF(S2058:U2075,$B2092)+COUNTIF(S2058:U2075,$B2092&amp;" ~*")&gt;0)+(IFERROR(INDEX(Setup!$G$33:$G$40,MATCH(W2092,Setup!$B$33:$B$40,0)),0)=1)*(COUNTIF(W2058:W2075,$B2092)+COUNTIF(W2058:W2075,$B2092&amp;" ~*")&gt;0)+(IFERROR(INDEX(Setup!$G$33:$G$40,MATCH(Y2092,Setup!$B$33:$B$40,0)),0)=1)*(COUNTIF(Y2058:Y2075,$B2092)+COUNTIF(Y2058:Y2075,$B2092&amp;" ~*")&gt;0))</f>
        <v/>
      </c>
    </row>
    <row r="2093" ht="15" customHeight="1">
      <c r="A2093" t="n">
        <v>42</v>
      </c>
      <c r="B2093" s="35">
        <f>IF(Setup!$B$22="","",Setup!$B$22)</f>
        <v/>
      </c>
      <c r="C2093" s="98" t="n"/>
      <c r="D2093" s="99" t="n"/>
      <c r="E2093" s="99" t="n"/>
      <c r="F2093" s="100" t="n"/>
      <c r="G2093" s="98" t="n"/>
      <c r="H2093" s="99" t="n"/>
      <c r="I2093" s="99" t="n"/>
      <c r="J2093" s="100" t="n"/>
      <c r="K2093" s="98" t="n"/>
      <c r="L2093" s="99" t="n"/>
      <c r="M2093" s="99" t="n"/>
      <c r="N2093" s="100" t="n"/>
      <c r="O2093" s="98" t="n"/>
      <c r="P2093" s="99" t="n"/>
      <c r="Q2093" s="99" t="n"/>
      <c r="R2093" s="100" t="n"/>
      <c r="S2093" s="98" t="n"/>
      <c r="T2093" s="99" t="n"/>
      <c r="U2093" s="99" t="n"/>
      <c r="V2093" s="100" t="n"/>
      <c r="W2093" s="98" t="n"/>
      <c r="X2093" s="100" t="n"/>
      <c r="Y2093" s="98" t="n"/>
      <c r="Z2093" s="100" t="n"/>
      <c r="AB2093" s="101">
        <f>IF($B2093="","",(COUNTIF(C2058:E2075,$B2093)+COUNTIF(C2058:E2075,$B2093&amp;" ~*")&gt;0)+(COUNTIF(G2058:I2075,$B2093)+COUNTIF(G2058:I2075,$B2093&amp;" ~*")&gt;0)+(COUNTIF(K2058:M2075,$B2093)+COUNTIF(K2058:M2075,$B2093&amp;" ~*")&gt;0)+(COUNTIF(O2058:Q2075,$B2093)+COUNTIF(O2058:Q2075,$B2093&amp;" ~*")&gt;0)+(COUNTIF(S2058:U2075,$B2093)+COUNTIF(S2058:U2075,$B2093&amp;" ~*")&gt;0)+(COUNTIF(W2058:W2075,$B2093)+COUNTIF(W2058:W2075,$B2093&amp;" ~*")&gt;0)+(COUNTIF(Y2058:Y2075,$B2093)+COUNTIF(Y2058:Y2075,$B2093&amp;" ~*")&gt;0))</f>
        <v/>
      </c>
      <c r="AC2093" s="36">
        <f>IF($B2093="","",(IFERROR(INDEX(Setup!$G$33:$G$40,MATCH(C2093,Setup!$B$33:$B$40,0)),0)=1)*(COUNTIF(C2058:E2075,$B2093)+COUNTIF(C2058:E2075,$B2093&amp;" ~*")&gt;0)+(IFERROR(INDEX(Setup!$G$33:$G$40,MATCH(G2093,Setup!$B$33:$B$40,0)),0)=1)*(COUNTIF(G2058:I2075,$B2093)+COUNTIF(G2058:I2075,$B2093&amp;" ~*")&gt;0)+(IFERROR(INDEX(Setup!$G$33:$G$40,MATCH(K2093,Setup!$B$33:$B$40,0)),0)=1)*(COUNTIF(K2058:M2075,$B2093)+COUNTIF(K2058:M2075,$B2093&amp;" ~*")&gt;0)+(IFERROR(INDEX(Setup!$G$33:$G$40,MATCH(O2093,Setup!$B$33:$B$40,0)),0)=1)*(COUNTIF(O2058:Q2075,$B2093)+COUNTIF(O2058:Q2075,$B2093&amp;" ~*")&gt;0)+(IFERROR(INDEX(Setup!$G$33:$G$40,MATCH(S2093,Setup!$B$33:$B$40,0)),0)=1)*(COUNTIF(S2058:U2075,$B2093)+COUNTIF(S2058:U2075,$B2093&amp;" ~*")&gt;0)+(IFERROR(INDEX(Setup!$G$33:$G$40,MATCH(W2093,Setup!$B$33:$B$40,0)),0)=1)*(COUNTIF(W2058:W2075,$B2093)+COUNTIF(W2058:W2075,$B2093&amp;" ~*")&gt;0)+(IFERROR(INDEX(Setup!$G$33:$G$40,MATCH(Y2093,Setup!$B$33:$B$40,0)),0)=1)*(COUNTIF(Y2058:Y2075,$B2093)+COUNTIF(Y2058:Y2075,$B2093&amp;" ~*")&gt;0))</f>
        <v/>
      </c>
    </row>
    <row r="2094" ht="15" customHeight="1">
      <c r="A2094" t="n">
        <v>42</v>
      </c>
      <c r="B2094" s="37">
        <f>IF(Setup!$B$23="","",Setup!$B$23)</f>
        <v/>
      </c>
      <c r="C2094" s="102" t="n"/>
      <c r="D2094" s="103" t="n"/>
      <c r="E2094" s="103" t="n"/>
      <c r="F2094" s="104" t="n"/>
      <c r="G2094" s="102" t="n"/>
      <c r="H2094" s="103" t="n"/>
      <c r="I2094" s="103" t="n"/>
      <c r="J2094" s="104" t="n"/>
      <c r="K2094" s="102" t="n"/>
      <c r="L2094" s="103" t="n"/>
      <c r="M2094" s="103" t="n"/>
      <c r="N2094" s="104" t="n"/>
      <c r="O2094" s="102" t="n"/>
      <c r="P2094" s="103" t="n"/>
      <c r="Q2094" s="103" t="n"/>
      <c r="R2094" s="104" t="n"/>
      <c r="S2094" s="102" t="n"/>
      <c r="T2094" s="103" t="n"/>
      <c r="U2094" s="103" t="n"/>
      <c r="V2094" s="104" t="n"/>
      <c r="W2094" s="102" t="n"/>
      <c r="X2094" s="104" t="n"/>
      <c r="Y2094" s="102" t="n"/>
      <c r="Z2094" s="104" t="n"/>
      <c r="AB2094" s="105">
        <f>IF($B2094="","",(COUNTIF(C2058:E2075,$B2094)+COUNTIF(C2058:E2075,$B2094&amp;" ~*")&gt;0)+(COUNTIF(G2058:I2075,$B2094)+COUNTIF(G2058:I2075,$B2094&amp;" ~*")&gt;0)+(COUNTIF(K2058:M2075,$B2094)+COUNTIF(K2058:M2075,$B2094&amp;" ~*")&gt;0)+(COUNTIF(O2058:Q2075,$B2094)+COUNTIF(O2058:Q2075,$B2094&amp;" ~*")&gt;0)+(COUNTIF(S2058:U2075,$B2094)+COUNTIF(S2058:U2075,$B2094&amp;" ~*")&gt;0)+(COUNTIF(W2058:W2075,$B2094)+COUNTIF(W2058:W2075,$B2094&amp;" ~*")&gt;0)+(COUNTIF(Y2058:Y2075,$B2094)+COUNTIF(Y2058:Y2075,$B2094&amp;" ~*")&gt;0))</f>
        <v/>
      </c>
      <c r="AC2094" s="38">
        <f>IF($B2094="","",(IFERROR(INDEX(Setup!$G$33:$G$40,MATCH(C2094,Setup!$B$33:$B$40,0)),0)=1)*(COUNTIF(C2058:E2075,$B2094)+COUNTIF(C2058:E2075,$B2094&amp;" ~*")&gt;0)+(IFERROR(INDEX(Setup!$G$33:$G$40,MATCH(G2094,Setup!$B$33:$B$40,0)),0)=1)*(COUNTIF(G2058:I2075,$B2094)+COUNTIF(G2058:I2075,$B2094&amp;" ~*")&gt;0)+(IFERROR(INDEX(Setup!$G$33:$G$40,MATCH(K2094,Setup!$B$33:$B$40,0)),0)=1)*(COUNTIF(K2058:M2075,$B2094)+COUNTIF(K2058:M2075,$B2094&amp;" ~*")&gt;0)+(IFERROR(INDEX(Setup!$G$33:$G$40,MATCH(O2094,Setup!$B$33:$B$40,0)),0)=1)*(COUNTIF(O2058:Q2075,$B2094)+COUNTIF(O2058:Q2075,$B2094&amp;" ~*")&gt;0)+(IFERROR(INDEX(Setup!$G$33:$G$40,MATCH(S2094,Setup!$B$33:$B$40,0)),0)=1)*(COUNTIF(S2058:U2075,$B2094)+COUNTIF(S2058:U2075,$B2094&amp;" ~*")&gt;0)+(IFERROR(INDEX(Setup!$G$33:$G$40,MATCH(W2094,Setup!$B$33:$B$40,0)),0)=1)*(COUNTIF(W2058:W2075,$B2094)+COUNTIF(W2058:W2075,$B2094&amp;" ~*")&gt;0)+(IFERROR(INDEX(Setup!$G$33:$G$40,MATCH(Y2094,Setup!$B$33:$B$40,0)),0)=1)*(COUNTIF(Y2058:Y2075,$B2094)+COUNTIF(Y2058:Y2075,$B2094&amp;" ~*")&gt;0))</f>
        <v/>
      </c>
    </row>
    <row r="2095" ht="15" customHeight="1">
      <c r="A2095" t="n">
        <v>42</v>
      </c>
      <c r="B2095" s="35">
        <f>IF(Setup!$B$24="","",Setup!$B$24)</f>
        <v/>
      </c>
      <c r="C2095" s="98" t="n"/>
      <c r="D2095" s="99" t="n"/>
      <c r="E2095" s="99" t="n"/>
      <c r="F2095" s="100" t="n"/>
      <c r="G2095" s="98" t="n"/>
      <c r="H2095" s="99" t="n"/>
      <c r="I2095" s="99" t="n"/>
      <c r="J2095" s="100" t="n"/>
      <c r="K2095" s="98" t="n"/>
      <c r="L2095" s="99" t="n"/>
      <c r="M2095" s="99" t="n"/>
      <c r="N2095" s="100" t="n"/>
      <c r="O2095" s="98" t="n"/>
      <c r="P2095" s="99" t="n"/>
      <c r="Q2095" s="99" t="n"/>
      <c r="R2095" s="100" t="n"/>
      <c r="S2095" s="98" t="n"/>
      <c r="T2095" s="99" t="n"/>
      <c r="U2095" s="99" t="n"/>
      <c r="V2095" s="100" t="n"/>
      <c r="W2095" s="98" t="n"/>
      <c r="X2095" s="100" t="n"/>
      <c r="Y2095" s="98" t="n"/>
      <c r="Z2095" s="100" t="n"/>
      <c r="AB2095" s="101">
        <f>IF($B2095="","",(COUNTIF(C2058:E2075,$B2095)+COUNTIF(C2058:E2075,$B2095&amp;" ~*")&gt;0)+(COUNTIF(G2058:I2075,$B2095)+COUNTIF(G2058:I2075,$B2095&amp;" ~*")&gt;0)+(COUNTIF(K2058:M2075,$B2095)+COUNTIF(K2058:M2075,$B2095&amp;" ~*")&gt;0)+(COUNTIF(O2058:Q2075,$B2095)+COUNTIF(O2058:Q2075,$B2095&amp;" ~*")&gt;0)+(COUNTIF(S2058:U2075,$B2095)+COUNTIF(S2058:U2075,$B2095&amp;" ~*")&gt;0)+(COUNTIF(W2058:W2075,$B2095)+COUNTIF(W2058:W2075,$B2095&amp;" ~*")&gt;0)+(COUNTIF(Y2058:Y2075,$B2095)+COUNTIF(Y2058:Y2075,$B2095&amp;" ~*")&gt;0))</f>
        <v/>
      </c>
      <c r="AC2095" s="36">
        <f>IF($B2095="","",(IFERROR(INDEX(Setup!$G$33:$G$40,MATCH(C2095,Setup!$B$33:$B$40,0)),0)=1)*(COUNTIF(C2058:E2075,$B2095)+COUNTIF(C2058:E2075,$B2095&amp;" ~*")&gt;0)+(IFERROR(INDEX(Setup!$G$33:$G$40,MATCH(G2095,Setup!$B$33:$B$40,0)),0)=1)*(COUNTIF(G2058:I2075,$B2095)+COUNTIF(G2058:I2075,$B2095&amp;" ~*")&gt;0)+(IFERROR(INDEX(Setup!$G$33:$G$40,MATCH(K2095,Setup!$B$33:$B$40,0)),0)=1)*(COUNTIF(K2058:M2075,$B2095)+COUNTIF(K2058:M2075,$B2095&amp;" ~*")&gt;0)+(IFERROR(INDEX(Setup!$G$33:$G$40,MATCH(O2095,Setup!$B$33:$B$40,0)),0)=1)*(COUNTIF(O2058:Q2075,$B2095)+COUNTIF(O2058:Q2075,$B2095&amp;" ~*")&gt;0)+(IFERROR(INDEX(Setup!$G$33:$G$40,MATCH(S2095,Setup!$B$33:$B$40,0)),0)=1)*(COUNTIF(S2058:U2075,$B2095)+COUNTIF(S2058:U2075,$B2095&amp;" ~*")&gt;0)+(IFERROR(INDEX(Setup!$G$33:$G$40,MATCH(W2095,Setup!$B$33:$B$40,0)),0)=1)*(COUNTIF(W2058:W2075,$B2095)+COUNTIF(W2058:W2075,$B2095&amp;" ~*")&gt;0)+(IFERROR(INDEX(Setup!$G$33:$G$40,MATCH(Y2095,Setup!$B$33:$B$40,0)),0)=1)*(COUNTIF(Y2058:Y2075,$B2095)+COUNTIF(Y2058:Y2075,$B2095&amp;" ~*")&gt;0))</f>
        <v/>
      </c>
    </row>
    <row r="2096" ht="15" customHeight="1">
      <c r="A2096" t="n">
        <v>42</v>
      </c>
      <c r="B2096" s="37">
        <f>IF(Setup!$B$25="","",Setup!$B$25)</f>
        <v/>
      </c>
      <c r="C2096" s="102" t="n"/>
      <c r="D2096" s="103" t="n"/>
      <c r="E2096" s="103" t="n"/>
      <c r="F2096" s="104" t="n"/>
      <c r="G2096" s="102" t="n"/>
      <c r="H2096" s="103" t="n"/>
      <c r="I2096" s="103" t="n"/>
      <c r="J2096" s="104" t="n"/>
      <c r="K2096" s="102" t="n"/>
      <c r="L2096" s="103" t="n"/>
      <c r="M2096" s="103" t="n"/>
      <c r="N2096" s="104" t="n"/>
      <c r="O2096" s="102" t="n"/>
      <c r="P2096" s="103" t="n"/>
      <c r="Q2096" s="103" t="n"/>
      <c r="R2096" s="104" t="n"/>
      <c r="S2096" s="102" t="n"/>
      <c r="T2096" s="103" t="n"/>
      <c r="U2096" s="103" t="n"/>
      <c r="V2096" s="104" t="n"/>
      <c r="W2096" s="102" t="n"/>
      <c r="X2096" s="104" t="n"/>
      <c r="Y2096" s="102" t="n"/>
      <c r="Z2096" s="104" t="n"/>
      <c r="AB2096" s="105">
        <f>IF($B2096="","",(COUNTIF(C2058:E2075,$B2096)+COUNTIF(C2058:E2075,$B2096&amp;" ~*")&gt;0)+(COUNTIF(G2058:I2075,$B2096)+COUNTIF(G2058:I2075,$B2096&amp;" ~*")&gt;0)+(COUNTIF(K2058:M2075,$B2096)+COUNTIF(K2058:M2075,$B2096&amp;" ~*")&gt;0)+(COUNTIF(O2058:Q2075,$B2096)+COUNTIF(O2058:Q2075,$B2096&amp;" ~*")&gt;0)+(COUNTIF(S2058:U2075,$B2096)+COUNTIF(S2058:U2075,$B2096&amp;" ~*")&gt;0)+(COUNTIF(W2058:W2075,$B2096)+COUNTIF(W2058:W2075,$B2096&amp;" ~*")&gt;0)+(COUNTIF(Y2058:Y2075,$B2096)+COUNTIF(Y2058:Y2075,$B2096&amp;" ~*")&gt;0))</f>
        <v/>
      </c>
      <c r="AC2096" s="38">
        <f>IF($B2096="","",(IFERROR(INDEX(Setup!$G$33:$G$40,MATCH(C2096,Setup!$B$33:$B$40,0)),0)=1)*(COUNTIF(C2058:E2075,$B2096)+COUNTIF(C2058:E2075,$B2096&amp;" ~*")&gt;0)+(IFERROR(INDEX(Setup!$G$33:$G$40,MATCH(G2096,Setup!$B$33:$B$40,0)),0)=1)*(COUNTIF(G2058:I2075,$B2096)+COUNTIF(G2058:I2075,$B2096&amp;" ~*")&gt;0)+(IFERROR(INDEX(Setup!$G$33:$G$40,MATCH(K2096,Setup!$B$33:$B$40,0)),0)=1)*(COUNTIF(K2058:M2075,$B2096)+COUNTIF(K2058:M2075,$B2096&amp;" ~*")&gt;0)+(IFERROR(INDEX(Setup!$G$33:$G$40,MATCH(O2096,Setup!$B$33:$B$40,0)),0)=1)*(COUNTIF(O2058:Q2075,$B2096)+COUNTIF(O2058:Q2075,$B2096&amp;" ~*")&gt;0)+(IFERROR(INDEX(Setup!$G$33:$G$40,MATCH(S2096,Setup!$B$33:$B$40,0)),0)=1)*(COUNTIF(S2058:U2075,$B2096)+COUNTIF(S2058:U2075,$B2096&amp;" ~*")&gt;0)+(IFERROR(INDEX(Setup!$G$33:$G$40,MATCH(W2096,Setup!$B$33:$B$40,0)),0)=1)*(COUNTIF(W2058:W2075,$B2096)+COUNTIF(W2058:W2075,$B2096&amp;" ~*")&gt;0)+(IFERROR(INDEX(Setup!$G$33:$G$40,MATCH(Y2096,Setup!$B$33:$B$40,0)),0)=1)*(COUNTIF(Y2058:Y2075,$B2096)+COUNTIF(Y2058:Y2075,$B2096&amp;" ~*")&gt;0))</f>
        <v/>
      </c>
    </row>
    <row r="2097" ht="15" customHeight="1">
      <c r="A2097" t="n">
        <v>42</v>
      </c>
      <c r="B2097" s="35">
        <f>IF(Setup!$B$26="","",Setup!$B$26)</f>
        <v/>
      </c>
      <c r="C2097" s="98" t="n"/>
      <c r="D2097" s="99" t="n"/>
      <c r="E2097" s="99" t="n"/>
      <c r="F2097" s="100" t="n"/>
      <c r="G2097" s="98" t="n"/>
      <c r="H2097" s="99" t="n"/>
      <c r="I2097" s="99" t="n"/>
      <c r="J2097" s="100" t="n"/>
      <c r="K2097" s="98" t="n"/>
      <c r="L2097" s="99" t="n"/>
      <c r="M2097" s="99" t="n"/>
      <c r="N2097" s="100" t="n"/>
      <c r="O2097" s="98" t="n"/>
      <c r="P2097" s="99" t="n"/>
      <c r="Q2097" s="99" t="n"/>
      <c r="R2097" s="100" t="n"/>
      <c r="S2097" s="98" t="n"/>
      <c r="T2097" s="99" t="n"/>
      <c r="U2097" s="99" t="n"/>
      <c r="V2097" s="100" t="n"/>
      <c r="W2097" s="98" t="n"/>
      <c r="X2097" s="100" t="n"/>
      <c r="Y2097" s="98" t="n"/>
      <c r="Z2097" s="100" t="n"/>
      <c r="AB2097" s="101">
        <f>IF($B2097="","",(COUNTIF(C2058:E2075,$B2097)+COUNTIF(C2058:E2075,$B2097&amp;" ~*")&gt;0)+(COUNTIF(G2058:I2075,$B2097)+COUNTIF(G2058:I2075,$B2097&amp;" ~*")&gt;0)+(COUNTIF(K2058:M2075,$B2097)+COUNTIF(K2058:M2075,$B2097&amp;" ~*")&gt;0)+(COUNTIF(O2058:Q2075,$B2097)+COUNTIF(O2058:Q2075,$B2097&amp;" ~*")&gt;0)+(COUNTIF(S2058:U2075,$B2097)+COUNTIF(S2058:U2075,$B2097&amp;" ~*")&gt;0)+(COUNTIF(W2058:W2075,$B2097)+COUNTIF(W2058:W2075,$B2097&amp;" ~*")&gt;0)+(COUNTIF(Y2058:Y2075,$B2097)+COUNTIF(Y2058:Y2075,$B2097&amp;" ~*")&gt;0))</f>
        <v/>
      </c>
      <c r="AC2097" s="36">
        <f>IF($B2097="","",(IFERROR(INDEX(Setup!$G$33:$G$40,MATCH(C2097,Setup!$B$33:$B$40,0)),0)=1)*(COUNTIF(C2058:E2075,$B2097)+COUNTIF(C2058:E2075,$B2097&amp;" ~*")&gt;0)+(IFERROR(INDEX(Setup!$G$33:$G$40,MATCH(G2097,Setup!$B$33:$B$40,0)),0)=1)*(COUNTIF(G2058:I2075,$B2097)+COUNTIF(G2058:I2075,$B2097&amp;" ~*")&gt;0)+(IFERROR(INDEX(Setup!$G$33:$G$40,MATCH(K2097,Setup!$B$33:$B$40,0)),0)=1)*(COUNTIF(K2058:M2075,$B2097)+COUNTIF(K2058:M2075,$B2097&amp;" ~*")&gt;0)+(IFERROR(INDEX(Setup!$G$33:$G$40,MATCH(O2097,Setup!$B$33:$B$40,0)),0)=1)*(COUNTIF(O2058:Q2075,$B2097)+COUNTIF(O2058:Q2075,$B2097&amp;" ~*")&gt;0)+(IFERROR(INDEX(Setup!$G$33:$G$40,MATCH(S2097,Setup!$B$33:$B$40,0)),0)=1)*(COUNTIF(S2058:U2075,$B2097)+COUNTIF(S2058:U2075,$B2097&amp;" ~*")&gt;0)+(IFERROR(INDEX(Setup!$G$33:$G$40,MATCH(W2097,Setup!$B$33:$B$40,0)),0)=1)*(COUNTIF(W2058:W2075,$B2097)+COUNTIF(W2058:W2075,$B2097&amp;" ~*")&gt;0)+(IFERROR(INDEX(Setup!$G$33:$G$40,MATCH(Y2097,Setup!$B$33:$B$40,0)),0)=1)*(COUNTIF(Y2058:Y2075,$B2097)+COUNTIF(Y2058:Y2075,$B2097&amp;" ~*")&gt;0))</f>
        <v/>
      </c>
    </row>
    <row r="2098" ht="15" customHeight="1">
      <c r="A2098" t="n">
        <v>42</v>
      </c>
      <c r="B2098" s="37">
        <f>IF(Setup!$B$27="","",Setup!$B$27)</f>
        <v/>
      </c>
      <c r="C2098" s="102" t="n"/>
      <c r="D2098" s="103" t="n"/>
      <c r="E2098" s="103" t="n"/>
      <c r="F2098" s="104" t="n"/>
      <c r="G2098" s="102" t="n"/>
      <c r="H2098" s="103" t="n"/>
      <c r="I2098" s="103" t="n"/>
      <c r="J2098" s="104" t="n"/>
      <c r="K2098" s="102" t="n"/>
      <c r="L2098" s="103" t="n"/>
      <c r="M2098" s="103" t="n"/>
      <c r="N2098" s="104" t="n"/>
      <c r="O2098" s="102" t="n"/>
      <c r="P2098" s="103" t="n"/>
      <c r="Q2098" s="103" t="n"/>
      <c r="R2098" s="104" t="n"/>
      <c r="S2098" s="102" t="n"/>
      <c r="T2098" s="103" t="n"/>
      <c r="U2098" s="103" t="n"/>
      <c r="V2098" s="104" t="n"/>
      <c r="W2098" s="102" t="n"/>
      <c r="X2098" s="104" t="n"/>
      <c r="Y2098" s="102" t="n"/>
      <c r="Z2098" s="104" t="n"/>
      <c r="AB2098" s="105">
        <f>IF($B2098="","",(COUNTIF(C2058:E2075,$B2098)+COUNTIF(C2058:E2075,$B2098&amp;" ~*")&gt;0)+(COUNTIF(G2058:I2075,$B2098)+COUNTIF(G2058:I2075,$B2098&amp;" ~*")&gt;0)+(COUNTIF(K2058:M2075,$B2098)+COUNTIF(K2058:M2075,$B2098&amp;" ~*")&gt;0)+(COUNTIF(O2058:Q2075,$B2098)+COUNTIF(O2058:Q2075,$B2098&amp;" ~*")&gt;0)+(COUNTIF(S2058:U2075,$B2098)+COUNTIF(S2058:U2075,$B2098&amp;" ~*")&gt;0)+(COUNTIF(W2058:W2075,$B2098)+COUNTIF(W2058:W2075,$B2098&amp;" ~*")&gt;0)+(COUNTIF(Y2058:Y2075,$B2098)+COUNTIF(Y2058:Y2075,$B2098&amp;" ~*")&gt;0))</f>
        <v/>
      </c>
      <c r="AC2098" s="38">
        <f>IF($B2098="","",(IFERROR(INDEX(Setup!$G$33:$G$40,MATCH(C2098,Setup!$B$33:$B$40,0)),0)=1)*(COUNTIF(C2058:E2075,$B2098)+COUNTIF(C2058:E2075,$B2098&amp;" ~*")&gt;0)+(IFERROR(INDEX(Setup!$G$33:$G$40,MATCH(G2098,Setup!$B$33:$B$40,0)),0)=1)*(COUNTIF(G2058:I2075,$B2098)+COUNTIF(G2058:I2075,$B2098&amp;" ~*")&gt;0)+(IFERROR(INDEX(Setup!$G$33:$G$40,MATCH(K2098,Setup!$B$33:$B$40,0)),0)=1)*(COUNTIF(K2058:M2075,$B2098)+COUNTIF(K2058:M2075,$B2098&amp;" ~*")&gt;0)+(IFERROR(INDEX(Setup!$G$33:$G$40,MATCH(O2098,Setup!$B$33:$B$40,0)),0)=1)*(COUNTIF(O2058:Q2075,$B2098)+COUNTIF(O2058:Q2075,$B2098&amp;" ~*")&gt;0)+(IFERROR(INDEX(Setup!$G$33:$G$40,MATCH(S2098,Setup!$B$33:$B$40,0)),0)=1)*(COUNTIF(S2058:U2075,$B2098)+COUNTIF(S2058:U2075,$B2098&amp;" ~*")&gt;0)+(IFERROR(INDEX(Setup!$G$33:$G$40,MATCH(W2098,Setup!$B$33:$B$40,0)),0)=1)*(COUNTIF(W2058:W2075,$B2098)+COUNTIF(W2058:W2075,$B2098&amp;" ~*")&gt;0)+(IFERROR(INDEX(Setup!$G$33:$G$40,MATCH(Y2098,Setup!$B$33:$B$40,0)),0)=1)*(COUNTIF(Y2058:Y2075,$B2098)+COUNTIF(Y2058:Y2075,$B2098&amp;" ~*")&gt;0))</f>
        <v/>
      </c>
    </row>
    <row r="2099" ht="15" customHeight="1">
      <c r="A2099" t="n">
        <v>42</v>
      </c>
      <c r="B2099" s="35">
        <f>IF(Setup!$B$28="","",Setup!$B$28)</f>
        <v/>
      </c>
      <c r="C2099" s="98" t="n"/>
      <c r="D2099" s="99" t="n"/>
      <c r="E2099" s="99" t="n"/>
      <c r="F2099" s="100" t="n"/>
      <c r="G2099" s="98" t="n"/>
      <c r="H2099" s="99" t="n"/>
      <c r="I2099" s="99" t="n"/>
      <c r="J2099" s="100" t="n"/>
      <c r="K2099" s="98" t="n"/>
      <c r="L2099" s="99" t="n"/>
      <c r="M2099" s="99" t="n"/>
      <c r="N2099" s="100" t="n"/>
      <c r="O2099" s="98" t="n"/>
      <c r="P2099" s="99" t="n"/>
      <c r="Q2099" s="99" t="n"/>
      <c r="R2099" s="100" t="n"/>
      <c r="S2099" s="98" t="n"/>
      <c r="T2099" s="99" t="n"/>
      <c r="U2099" s="99" t="n"/>
      <c r="V2099" s="100" t="n"/>
      <c r="W2099" s="98" t="n"/>
      <c r="X2099" s="100" t="n"/>
      <c r="Y2099" s="98" t="n"/>
      <c r="Z2099" s="100" t="n"/>
      <c r="AB2099" s="101">
        <f>IF($B2099="","",(COUNTIF(C2058:E2075,$B2099)+COUNTIF(C2058:E2075,$B2099&amp;" ~*")&gt;0)+(COUNTIF(G2058:I2075,$B2099)+COUNTIF(G2058:I2075,$B2099&amp;" ~*")&gt;0)+(COUNTIF(K2058:M2075,$B2099)+COUNTIF(K2058:M2075,$B2099&amp;" ~*")&gt;0)+(COUNTIF(O2058:Q2075,$B2099)+COUNTIF(O2058:Q2075,$B2099&amp;" ~*")&gt;0)+(COUNTIF(S2058:U2075,$B2099)+COUNTIF(S2058:U2075,$B2099&amp;" ~*")&gt;0)+(COUNTIF(W2058:W2075,$B2099)+COUNTIF(W2058:W2075,$B2099&amp;" ~*")&gt;0)+(COUNTIF(Y2058:Y2075,$B2099)+COUNTIF(Y2058:Y2075,$B2099&amp;" ~*")&gt;0))</f>
        <v/>
      </c>
      <c r="AC2099" s="36">
        <f>IF($B2099="","",(IFERROR(INDEX(Setup!$G$33:$G$40,MATCH(C2099,Setup!$B$33:$B$40,0)),0)=1)*(COUNTIF(C2058:E2075,$B2099)+COUNTIF(C2058:E2075,$B2099&amp;" ~*")&gt;0)+(IFERROR(INDEX(Setup!$G$33:$G$40,MATCH(G2099,Setup!$B$33:$B$40,0)),0)=1)*(COUNTIF(G2058:I2075,$B2099)+COUNTIF(G2058:I2075,$B2099&amp;" ~*")&gt;0)+(IFERROR(INDEX(Setup!$G$33:$G$40,MATCH(K2099,Setup!$B$33:$B$40,0)),0)=1)*(COUNTIF(K2058:M2075,$B2099)+COUNTIF(K2058:M2075,$B2099&amp;" ~*")&gt;0)+(IFERROR(INDEX(Setup!$G$33:$G$40,MATCH(O2099,Setup!$B$33:$B$40,0)),0)=1)*(COUNTIF(O2058:Q2075,$B2099)+COUNTIF(O2058:Q2075,$B2099&amp;" ~*")&gt;0)+(IFERROR(INDEX(Setup!$G$33:$G$40,MATCH(S2099,Setup!$B$33:$B$40,0)),0)=1)*(COUNTIF(S2058:U2075,$B2099)+COUNTIF(S2058:U2075,$B2099&amp;" ~*")&gt;0)+(IFERROR(INDEX(Setup!$G$33:$G$40,MATCH(W2099,Setup!$B$33:$B$40,0)),0)=1)*(COUNTIF(W2058:W2075,$B2099)+COUNTIF(W2058:W2075,$B2099&amp;" ~*")&gt;0)+(IFERROR(INDEX(Setup!$G$33:$G$40,MATCH(Y2099,Setup!$B$33:$B$40,0)),0)=1)*(COUNTIF(Y2058:Y2075,$B2099)+COUNTIF(Y2058:Y2075,$B2099&amp;" ~*")&gt;0))</f>
        <v/>
      </c>
    </row>
    <row r="2100" ht="15" customHeight="1">
      <c r="A2100" t="n">
        <v>42</v>
      </c>
      <c r="B2100" s="37">
        <f>IF(Setup!$B$29="","",Setup!$B$29)</f>
        <v/>
      </c>
      <c r="C2100" s="102" t="n"/>
      <c r="D2100" s="103" t="n"/>
      <c r="E2100" s="103" t="n"/>
      <c r="F2100" s="104" t="n"/>
      <c r="G2100" s="102" t="n"/>
      <c r="H2100" s="103" t="n"/>
      <c r="I2100" s="103" t="n"/>
      <c r="J2100" s="104" t="n"/>
      <c r="K2100" s="102" t="n"/>
      <c r="L2100" s="103" t="n"/>
      <c r="M2100" s="103" t="n"/>
      <c r="N2100" s="104" t="n"/>
      <c r="O2100" s="102" t="n"/>
      <c r="P2100" s="103" t="n"/>
      <c r="Q2100" s="103" t="n"/>
      <c r="R2100" s="104" t="n"/>
      <c r="S2100" s="102" t="n"/>
      <c r="T2100" s="103" t="n"/>
      <c r="U2100" s="103" t="n"/>
      <c r="V2100" s="104" t="n"/>
      <c r="W2100" s="102" t="n"/>
      <c r="X2100" s="104" t="n"/>
      <c r="Y2100" s="102" t="n"/>
      <c r="Z2100" s="104" t="n"/>
      <c r="AB2100" s="105">
        <f>IF($B2100="","",(COUNTIF(C2058:E2075,$B2100)+COUNTIF(C2058:E2075,$B2100&amp;" ~*")&gt;0)+(COUNTIF(G2058:I2075,$B2100)+COUNTIF(G2058:I2075,$B2100&amp;" ~*")&gt;0)+(COUNTIF(K2058:M2075,$B2100)+COUNTIF(K2058:M2075,$B2100&amp;" ~*")&gt;0)+(COUNTIF(O2058:Q2075,$B2100)+COUNTIF(O2058:Q2075,$B2100&amp;" ~*")&gt;0)+(COUNTIF(S2058:U2075,$B2100)+COUNTIF(S2058:U2075,$B2100&amp;" ~*")&gt;0)+(COUNTIF(W2058:W2075,$B2100)+COUNTIF(W2058:W2075,$B2100&amp;" ~*")&gt;0)+(COUNTIF(Y2058:Y2075,$B2100)+COUNTIF(Y2058:Y2075,$B2100&amp;" ~*")&gt;0))</f>
        <v/>
      </c>
      <c r="AC2100" s="38">
        <f>IF($B2100="","",(IFERROR(INDEX(Setup!$G$33:$G$40,MATCH(C2100,Setup!$B$33:$B$40,0)),0)=1)*(COUNTIF(C2058:E2075,$B2100)+COUNTIF(C2058:E2075,$B2100&amp;" ~*")&gt;0)+(IFERROR(INDEX(Setup!$G$33:$G$40,MATCH(G2100,Setup!$B$33:$B$40,0)),0)=1)*(COUNTIF(G2058:I2075,$B2100)+COUNTIF(G2058:I2075,$B2100&amp;" ~*")&gt;0)+(IFERROR(INDEX(Setup!$G$33:$G$40,MATCH(K2100,Setup!$B$33:$B$40,0)),0)=1)*(COUNTIF(K2058:M2075,$B2100)+COUNTIF(K2058:M2075,$B2100&amp;" ~*")&gt;0)+(IFERROR(INDEX(Setup!$G$33:$G$40,MATCH(O2100,Setup!$B$33:$B$40,0)),0)=1)*(COUNTIF(O2058:Q2075,$B2100)+COUNTIF(O2058:Q2075,$B2100&amp;" ~*")&gt;0)+(IFERROR(INDEX(Setup!$G$33:$G$40,MATCH(S2100,Setup!$B$33:$B$40,0)),0)=1)*(COUNTIF(S2058:U2075,$B2100)+COUNTIF(S2058:U2075,$B2100&amp;" ~*")&gt;0)+(IFERROR(INDEX(Setup!$G$33:$G$40,MATCH(W2100,Setup!$B$33:$B$40,0)),0)=1)*(COUNTIF(W2058:W2075,$B2100)+COUNTIF(W2058:W2075,$B2100&amp;" ~*")&gt;0)+(IFERROR(INDEX(Setup!$G$33:$G$40,MATCH(Y2100,Setup!$B$33:$B$40,0)),0)=1)*(COUNTIF(Y2058:Y2075,$B2100)+COUNTIF(Y2058:Y2075,$B2100&amp;" ~*")&gt;0))</f>
        <v/>
      </c>
    </row>
    <row r="2101" ht="16" customHeight="1">
      <c r="A2101" t="n">
        <v>42</v>
      </c>
      <c r="B2101" s="106" t="inlineStr">
        <is>
          <t>Available people</t>
        </is>
      </c>
      <c r="C2101" s="107">
        <f>COUNTIFS(Setup!$E$6:$E$29,"Y",Setup!$B$6:$B$29,"?*")-SUMPRODUCT(COUNTIF(C2077:C2100,Setup!$F$33:$F$40))</f>
        <v/>
      </c>
      <c r="D2101" s="107" t="n"/>
      <c r="E2101" s="107" t="n"/>
      <c r="F2101" s="107" t="n"/>
      <c r="G2101" s="107">
        <f>COUNTIFS(Setup!$E$6:$E$29,"Y",Setup!$B$6:$B$29,"?*")-SUMPRODUCT(COUNTIF(G2077:G2100,Setup!$F$33:$F$40))</f>
        <v/>
      </c>
      <c r="H2101" s="107" t="n"/>
      <c r="I2101" s="107" t="n"/>
      <c r="J2101" s="107" t="n"/>
      <c r="K2101" s="107">
        <f>COUNTIFS(Setup!$E$6:$E$29,"Y",Setup!$B$6:$B$29,"?*")-SUMPRODUCT(COUNTIF(K2077:K2100,Setup!$F$33:$F$40))</f>
        <v/>
      </c>
      <c r="L2101" s="107" t="n"/>
      <c r="M2101" s="107" t="n"/>
      <c r="N2101" s="107" t="n"/>
      <c r="O2101" s="107">
        <f>COUNTIFS(Setup!$E$6:$E$29,"Y",Setup!$B$6:$B$29,"?*")-SUMPRODUCT(COUNTIF(O2077:O2100,Setup!$F$33:$F$40))</f>
        <v/>
      </c>
      <c r="P2101" s="107" t="n"/>
      <c r="Q2101" s="107" t="n"/>
      <c r="R2101" s="107" t="n"/>
      <c r="S2101" s="107">
        <f>COUNTIFS(Setup!$E$6:$E$29,"Y",Setup!$B$6:$B$29,"?*")-SUMPRODUCT(COUNTIF(S2077:S2100,Setup!$F$33:$F$40))</f>
        <v/>
      </c>
      <c r="T2101" s="107" t="n"/>
      <c r="U2101" s="107" t="n"/>
      <c r="V2101" s="107" t="n"/>
      <c r="W2101" s="107">
        <f>COUNTIFS(Setup!$E$6:$E$29,"Y",Setup!$B$6:$B$29,"?*")-SUMPRODUCT(COUNTIF(W2077:W2100,Setup!$F$33:$F$40))</f>
        <v/>
      </c>
      <c r="X2101" s="107" t="n"/>
      <c r="Y2101" s="107">
        <f>COUNTIFS(Setup!$E$6:$E$29,"Y",Setup!$B$6:$B$29,"?*")-SUMPRODUCT(COUNTIF(Y2077:Y2100,Setup!$F$33:$F$40))</f>
        <v/>
      </c>
      <c r="Z2101" s="107" t="n"/>
      <c r="AB2101" s="108">
        <f>SUM(AB2077:AB2100)</f>
        <v/>
      </c>
      <c r="AC2101" s="109">
        <f>SUM(AC2077:AC2100)</f>
        <v/>
      </c>
    </row>
    <row r="2102" ht="30" customHeight="1">
      <c r="A2102" t="n">
        <v>42</v>
      </c>
      <c r="B2102" s="110" t="inlineStr">
        <is>
          <t>Week notes</t>
        </is>
      </c>
      <c r="C2102" s="111" t="n"/>
      <c r="D2102" s="112" t="n"/>
      <c r="E2102" s="112" t="n"/>
      <c r="F2102" s="112" t="n"/>
      <c r="G2102" s="112" t="n"/>
      <c r="H2102" s="112" t="n"/>
      <c r="I2102" s="112" t="n"/>
      <c r="J2102" s="112" t="n"/>
      <c r="K2102" s="112" t="n"/>
      <c r="L2102" s="112" t="n"/>
      <c r="M2102" s="112" t="n"/>
      <c r="N2102" s="112" t="n"/>
      <c r="O2102" s="112" t="n"/>
      <c r="P2102" s="112" t="n"/>
      <c r="Q2102" s="112" t="n"/>
      <c r="R2102" s="112" t="n"/>
      <c r="S2102" s="112" t="n"/>
      <c r="T2102" s="112" t="n"/>
      <c r="U2102" s="112" t="n"/>
      <c r="V2102" s="112" t="n"/>
      <c r="W2102" s="112" t="n"/>
      <c r="X2102" s="112" t="n"/>
      <c r="Y2102" s="112" t="n"/>
      <c r="Z2102" s="113" t="n"/>
    </row>
    <row r="2103" ht="8" customHeight="1">
      <c r="A2103" t="n">
        <v>42</v>
      </c>
    </row>
    <row r="2104" ht="8" customHeight="1">
      <c r="A2104" t="n">
        <v>42</v>
      </c>
    </row>
    <row r="2105" ht="24" customHeight="1">
      <c r="A2105" t="n">
        <v>43</v>
      </c>
      <c r="B2105" s="73">
        <f>"WEEK 43     "&amp;TEXT(C2106,"ddd d mmm")&amp;"  –  "&amp;TEXT(C2106+6,"ddd d mmm yyyy")</f>
        <v/>
      </c>
      <c r="S2105" s="74">
        <f>IF(TODAY()&lt;C2106,"FUTURE",IF(TODAY()&gt;C2106+6,"PAST","THIS WEEK"))</f>
        <v/>
      </c>
      <c r="W2105" s="75">
        <f>IF(AND(Engine!$B$8=$AC$3,Engine!$B$9=$A2105),"◀ ACTIVE WEEK","")</f>
        <v/>
      </c>
      <c r="AA2105" s="76" t="n"/>
      <c r="AB2105" s="77" t="inlineStr">
        <is>
          <t>◀ Prev</t>
        </is>
      </c>
      <c r="AC2105" s="77" t="inlineStr">
        <is>
          <t>Next ▶</t>
        </is>
      </c>
    </row>
    <row r="2106" ht="18" customHeight="1">
      <c r="A2106" t="n">
        <v>43</v>
      </c>
      <c r="B2106" s="78" t="inlineStr">
        <is>
          <t>DUTY</t>
        </is>
      </c>
      <c r="C2106" s="79">
        <f>$AC$2+7*($A2106-1)</f>
        <v/>
      </c>
      <c r="D2106" s="80" t="n"/>
      <c r="E2106" s="80" t="n"/>
      <c r="F2106" s="81" t="n"/>
      <c r="G2106" s="79">
        <f>C2106+1</f>
        <v/>
      </c>
      <c r="H2106" s="80" t="n"/>
      <c r="I2106" s="80" t="n"/>
      <c r="J2106" s="81" t="n"/>
      <c r="K2106" s="79">
        <f>C2106+2</f>
        <v/>
      </c>
      <c r="L2106" s="80" t="n"/>
      <c r="M2106" s="80" t="n"/>
      <c r="N2106" s="81" t="n"/>
      <c r="O2106" s="79">
        <f>C2106+3</f>
        <v/>
      </c>
      <c r="P2106" s="80" t="n"/>
      <c r="Q2106" s="80" t="n"/>
      <c r="R2106" s="81" t="n"/>
      <c r="S2106" s="79">
        <f>C2106+4</f>
        <v/>
      </c>
      <c r="T2106" s="80" t="n"/>
      <c r="U2106" s="80" t="n"/>
      <c r="V2106" s="81" t="n"/>
      <c r="W2106" s="82">
        <f>C2106+5</f>
        <v/>
      </c>
      <c r="X2106" s="83" t="n"/>
      <c r="Y2106" s="82">
        <f>C2106+6</f>
        <v/>
      </c>
      <c r="Z2106" s="83" t="n"/>
      <c r="AB2106" s="72" t="inlineStr">
        <is>
          <t>Gaps</t>
        </is>
      </c>
      <c r="AC2106" s="72" t="inlineStr">
        <is>
          <t>Cover</t>
        </is>
      </c>
    </row>
    <row r="2107" ht="14" customHeight="1">
      <c r="A2107" t="n">
        <v>43</v>
      </c>
      <c r="B2107" s="84" t="inlineStr">
        <is>
          <t>(from Setup)</t>
        </is>
      </c>
      <c r="C2107" s="85" t="inlineStr">
        <is>
          <t>1</t>
        </is>
      </c>
      <c r="D2107" s="85" t="inlineStr">
        <is>
          <t>2</t>
        </is>
      </c>
      <c r="E2107" s="85" t="inlineStr">
        <is>
          <t>3</t>
        </is>
      </c>
      <c r="F2107" s="85" t="inlineStr">
        <is>
          <t>Notes</t>
        </is>
      </c>
      <c r="G2107" s="85" t="inlineStr">
        <is>
          <t>1</t>
        </is>
      </c>
      <c r="H2107" s="85" t="inlineStr">
        <is>
          <t>2</t>
        </is>
      </c>
      <c r="I2107" s="85" t="inlineStr">
        <is>
          <t>3</t>
        </is>
      </c>
      <c r="J2107" s="85" t="inlineStr">
        <is>
          <t>Notes</t>
        </is>
      </c>
      <c r="K2107" s="85" t="inlineStr">
        <is>
          <t>1</t>
        </is>
      </c>
      <c r="L2107" s="85" t="inlineStr">
        <is>
          <t>2</t>
        </is>
      </c>
      <c r="M2107" s="85" t="inlineStr">
        <is>
          <t>3</t>
        </is>
      </c>
      <c r="N2107" s="85" t="inlineStr">
        <is>
          <t>Notes</t>
        </is>
      </c>
      <c r="O2107" s="85" t="inlineStr">
        <is>
          <t>1</t>
        </is>
      </c>
      <c r="P2107" s="85" t="inlineStr">
        <is>
          <t>2</t>
        </is>
      </c>
      <c r="Q2107" s="85" t="inlineStr">
        <is>
          <t>3</t>
        </is>
      </c>
      <c r="R2107" s="85" t="inlineStr">
        <is>
          <t>Notes</t>
        </is>
      </c>
      <c r="S2107" s="85" t="inlineStr">
        <is>
          <t>1</t>
        </is>
      </c>
      <c r="T2107" s="85" t="inlineStr">
        <is>
          <t>2</t>
        </is>
      </c>
      <c r="U2107" s="85" t="inlineStr">
        <is>
          <t>3</t>
        </is>
      </c>
      <c r="V2107" s="85" t="inlineStr">
        <is>
          <t>Notes</t>
        </is>
      </c>
      <c r="W2107" s="85" t="inlineStr">
        <is>
          <t>Cover</t>
        </is>
      </c>
      <c r="X2107" s="85" t="inlineStr">
        <is>
          <t>Notes</t>
        </is>
      </c>
      <c r="Y2107" s="85" t="inlineStr">
        <is>
          <t>Cover</t>
        </is>
      </c>
      <c r="Z2107" s="85" t="inlineStr">
        <is>
          <t>Notes</t>
        </is>
      </c>
      <c r="AB2107" s="86" t="inlineStr">
        <is>
          <t>weekdays short</t>
        </is>
      </c>
      <c r="AC2107" s="87" t="inlineStr"/>
    </row>
    <row r="2108" ht="17" customHeight="1">
      <c r="A2108" t="n">
        <v>43</v>
      </c>
      <c r="B2108" s="24">
        <f>IF(Setup!$K$6="","",Setup!$K$6)</f>
        <v/>
      </c>
      <c r="C2108" s="88" t="n"/>
      <c r="D2108" s="88" t="n"/>
      <c r="E2108" s="88" t="n"/>
      <c r="F2108" s="89" t="n"/>
      <c r="G2108" s="88" t="n"/>
      <c r="H2108" s="88" t="n"/>
      <c r="I2108" s="88" t="n"/>
      <c r="J2108" s="89" t="n"/>
      <c r="K2108" s="88" t="n"/>
      <c r="L2108" s="88" t="n"/>
      <c r="M2108" s="88" t="n"/>
      <c r="N2108" s="89" t="n"/>
      <c r="O2108" s="88" t="n"/>
      <c r="P2108" s="88" t="n"/>
      <c r="Q2108" s="88" t="n"/>
      <c r="R2108" s="89" t="n"/>
      <c r="S2108" s="88" t="n"/>
      <c r="T2108" s="88" t="n"/>
      <c r="U2108" s="88" t="n"/>
      <c r="V2108" s="89" t="n"/>
      <c r="W2108" s="88" t="n"/>
      <c r="X2108" s="89" t="n"/>
      <c r="Y2108" s="88" t="n"/>
      <c r="Z2108" s="89" t="n"/>
      <c r="AB2108" s="25">
        <f>IF($B2108="","",(COUNTIF(C2108:E2108,"?*")&lt;N(INDEX(Setup!$L$6:$L$23,1)))+(COUNTIF(G2108:I2108,"?*")&lt;N(INDEX(Setup!$L$6:$L$23,1)))+(COUNTIF(K2108:M2108,"?*")&lt;N(INDEX(Setup!$L$6:$L$23,1)))+(COUNTIF(O2108:Q2108,"?*")&lt;N(INDEX(Setup!$L$6:$L$23,1)))+(COUNTIF(S2108:U2108,"?*")&lt;N(INDEX(Setup!$L$6:$L$23,1)))+((W2108="")*(INDEX(Setup!$M$6:$M$23,1)="Y"))+((Y2108="")*(INDEX(Setup!$M$6:$M$23,1)="Y")))</f>
        <v/>
      </c>
      <c r="AC2108" s="90">
        <f>IF($B2108="","",IF(AB2108=0,"✓ covered","⚠ "&amp;AB2108&amp;IF(AB2108=1," gap"," gaps")))</f>
        <v/>
      </c>
    </row>
    <row r="2109" ht="17" customHeight="1">
      <c r="A2109" t="n">
        <v>43</v>
      </c>
      <c r="B2109" s="29">
        <f>IF(Setup!$K$7="","",Setup!$K$7)</f>
        <v/>
      </c>
      <c r="C2109" s="88" t="n"/>
      <c r="D2109" s="88" t="n"/>
      <c r="E2109" s="88" t="n"/>
      <c r="F2109" s="89" t="n"/>
      <c r="G2109" s="88" t="n"/>
      <c r="H2109" s="88" t="n"/>
      <c r="I2109" s="88" t="n"/>
      <c r="J2109" s="89" t="n"/>
      <c r="K2109" s="88" t="n"/>
      <c r="L2109" s="88" t="n"/>
      <c r="M2109" s="88" t="n"/>
      <c r="N2109" s="89" t="n"/>
      <c r="O2109" s="88" t="n"/>
      <c r="P2109" s="88" t="n"/>
      <c r="Q2109" s="88" t="n"/>
      <c r="R2109" s="89" t="n"/>
      <c r="S2109" s="88" t="n"/>
      <c r="T2109" s="88" t="n"/>
      <c r="U2109" s="88" t="n"/>
      <c r="V2109" s="89" t="n"/>
      <c r="W2109" s="88" t="n"/>
      <c r="X2109" s="89" t="n"/>
      <c r="Y2109" s="88" t="n"/>
      <c r="Z2109" s="89" t="n"/>
      <c r="AB2109" s="30">
        <f>IF($B2109="","",(COUNTIF(C2109:E2109,"?*")&lt;N(INDEX(Setup!$L$6:$L$23,2)))+(COUNTIF(G2109:I2109,"?*")&lt;N(INDEX(Setup!$L$6:$L$23,2)))+(COUNTIF(K2109:M2109,"?*")&lt;N(INDEX(Setup!$L$6:$L$23,2)))+(COUNTIF(O2109:Q2109,"?*")&lt;N(INDEX(Setup!$L$6:$L$23,2)))+(COUNTIF(S2109:U2109,"?*")&lt;N(INDEX(Setup!$L$6:$L$23,2)))+((W2109="")*(INDEX(Setup!$M$6:$M$23,2)="Y"))+((Y2109="")*(INDEX(Setup!$M$6:$M$23,2)="Y")))</f>
        <v/>
      </c>
      <c r="AC2109" s="91">
        <f>IF($B2109="","",IF(AB2109=0,"✓ covered","⚠ "&amp;AB2109&amp;IF(AB2109=1," gap"," gaps")))</f>
        <v/>
      </c>
    </row>
    <row r="2110" ht="17" customHeight="1">
      <c r="A2110" t="n">
        <v>43</v>
      </c>
      <c r="B2110" s="24">
        <f>IF(Setup!$K$8="","",Setup!$K$8)</f>
        <v/>
      </c>
      <c r="C2110" s="88" t="n"/>
      <c r="D2110" s="88" t="n"/>
      <c r="E2110" s="88" t="n"/>
      <c r="F2110" s="89" t="n"/>
      <c r="G2110" s="88" t="n"/>
      <c r="H2110" s="88" t="n"/>
      <c r="I2110" s="88" t="n"/>
      <c r="J2110" s="89" t="n"/>
      <c r="K2110" s="88" t="n"/>
      <c r="L2110" s="88" t="n"/>
      <c r="M2110" s="88" t="n"/>
      <c r="N2110" s="89" t="n"/>
      <c r="O2110" s="88" t="n"/>
      <c r="P2110" s="88" t="n"/>
      <c r="Q2110" s="88" t="n"/>
      <c r="R2110" s="89" t="n"/>
      <c r="S2110" s="88" t="n"/>
      <c r="T2110" s="88" t="n"/>
      <c r="U2110" s="88" t="n"/>
      <c r="V2110" s="89" t="n"/>
      <c r="W2110" s="88" t="n"/>
      <c r="X2110" s="89" t="n"/>
      <c r="Y2110" s="88" t="n"/>
      <c r="Z2110" s="89" t="n"/>
      <c r="AB2110" s="25">
        <f>IF($B2110="","",(COUNTIF(C2110:E2110,"?*")&lt;N(INDEX(Setup!$L$6:$L$23,3)))+(COUNTIF(G2110:I2110,"?*")&lt;N(INDEX(Setup!$L$6:$L$23,3)))+(COUNTIF(K2110:M2110,"?*")&lt;N(INDEX(Setup!$L$6:$L$23,3)))+(COUNTIF(O2110:Q2110,"?*")&lt;N(INDEX(Setup!$L$6:$L$23,3)))+(COUNTIF(S2110:U2110,"?*")&lt;N(INDEX(Setup!$L$6:$L$23,3)))+((W2110="")*(INDEX(Setup!$M$6:$M$23,3)="Y"))+((Y2110="")*(INDEX(Setup!$M$6:$M$23,3)="Y")))</f>
        <v/>
      </c>
      <c r="AC2110" s="90">
        <f>IF($B2110="","",IF(AB2110=0,"✓ covered","⚠ "&amp;AB2110&amp;IF(AB2110=1," gap"," gaps")))</f>
        <v/>
      </c>
    </row>
    <row r="2111" ht="17" customHeight="1">
      <c r="A2111" t="n">
        <v>43</v>
      </c>
      <c r="B2111" s="29">
        <f>IF(Setup!$K$9="","",Setup!$K$9)</f>
        <v/>
      </c>
      <c r="C2111" s="88" t="n"/>
      <c r="D2111" s="88" t="n"/>
      <c r="E2111" s="88" t="n"/>
      <c r="F2111" s="89" t="n"/>
      <c r="G2111" s="88" t="n"/>
      <c r="H2111" s="88" t="n"/>
      <c r="I2111" s="88" t="n"/>
      <c r="J2111" s="89" t="n"/>
      <c r="K2111" s="88" t="n"/>
      <c r="L2111" s="88" t="n"/>
      <c r="M2111" s="88" t="n"/>
      <c r="N2111" s="89" t="n"/>
      <c r="O2111" s="88" t="n"/>
      <c r="P2111" s="88" t="n"/>
      <c r="Q2111" s="88" t="n"/>
      <c r="R2111" s="89" t="n"/>
      <c r="S2111" s="88" t="n"/>
      <c r="T2111" s="88" t="n"/>
      <c r="U2111" s="88" t="n"/>
      <c r="V2111" s="89" t="n"/>
      <c r="W2111" s="88" t="n"/>
      <c r="X2111" s="89" t="n"/>
      <c r="Y2111" s="88" t="n"/>
      <c r="Z2111" s="89" t="n"/>
      <c r="AB2111" s="30">
        <f>IF($B2111="","",(COUNTIF(C2111:E2111,"?*")&lt;N(INDEX(Setup!$L$6:$L$23,4)))+(COUNTIF(G2111:I2111,"?*")&lt;N(INDEX(Setup!$L$6:$L$23,4)))+(COUNTIF(K2111:M2111,"?*")&lt;N(INDEX(Setup!$L$6:$L$23,4)))+(COUNTIF(O2111:Q2111,"?*")&lt;N(INDEX(Setup!$L$6:$L$23,4)))+(COUNTIF(S2111:U2111,"?*")&lt;N(INDEX(Setup!$L$6:$L$23,4)))+((W2111="")*(INDEX(Setup!$M$6:$M$23,4)="Y"))+((Y2111="")*(INDEX(Setup!$M$6:$M$23,4)="Y")))</f>
        <v/>
      </c>
      <c r="AC2111" s="91">
        <f>IF($B2111="","",IF(AB2111=0,"✓ covered","⚠ "&amp;AB2111&amp;IF(AB2111=1," gap"," gaps")))</f>
        <v/>
      </c>
    </row>
    <row r="2112" ht="17" customHeight="1">
      <c r="A2112" t="n">
        <v>43</v>
      </c>
      <c r="B2112" s="24">
        <f>IF(Setup!$K$10="","",Setup!$K$10)</f>
        <v/>
      </c>
      <c r="C2112" s="88" t="n"/>
      <c r="D2112" s="88" t="n"/>
      <c r="E2112" s="88" t="n"/>
      <c r="F2112" s="89" t="n"/>
      <c r="G2112" s="88" t="n"/>
      <c r="H2112" s="88" t="n"/>
      <c r="I2112" s="88" t="n"/>
      <c r="J2112" s="89" t="n"/>
      <c r="K2112" s="88" t="n"/>
      <c r="L2112" s="88" t="n"/>
      <c r="M2112" s="88" t="n"/>
      <c r="N2112" s="89" t="n"/>
      <c r="O2112" s="88" t="n"/>
      <c r="P2112" s="88" t="n"/>
      <c r="Q2112" s="88" t="n"/>
      <c r="R2112" s="89" t="n"/>
      <c r="S2112" s="88" t="n"/>
      <c r="T2112" s="88" t="n"/>
      <c r="U2112" s="88" t="n"/>
      <c r="V2112" s="89" t="n"/>
      <c r="W2112" s="88" t="n"/>
      <c r="X2112" s="89" t="n"/>
      <c r="Y2112" s="88" t="n"/>
      <c r="Z2112" s="89" t="n"/>
      <c r="AB2112" s="25">
        <f>IF($B2112="","",(COUNTIF(C2112:E2112,"?*")&lt;N(INDEX(Setup!$L$6:$L$23,5)))+(COUNTIF(G2112:I2112,"?*")&lt;N(INDEX(Setup!$L$6:$L$23,5)))+(COUNTIF(K2112:M2112,"?*")&lt;N(INDEX(Setup!$L$6:$L$23,5)))+(COUNTIF(O2112:Q2112,"?*")&lt;N(INDEX(Setup!$L$6:$L$23,5)))+(COUNTIF(S2112:U2112,"?*")&lt;N(INDEX(Setup!$L$6:$L$23,5)))+((W2112="")*(INDEX(Setup!$M$6:$M$23,5)="Y"))+((Y2112="")*(INDEX(Setup!$M$6:$M$23,5)="Y")))</f>
        <v/>
      </c>
      <c r="AC2112" s="90">
        <f>IF($B2112="","",IF(AB2112=0,"✓ covered","⚠ "&amp;AB2112&amp;IF(AB2112=1," gap"," gaps")))</f>
        <v/>
      </c>
    </row>
    <row r="2113" ht="17" customHeight="1">
      <c r="A2113" t="n">
        <v>43</v>
      </c>
      <c r="B2113" s="29">
        <f>IF(Setup!$K$11="","",Setup!$K$11)</f>
        <v/>
      </c>
      <c r="C2113" s="88" t="n"/>
      <c r="D2113" s="88" t="n"/>
      <c r="E2113" s="88" t="n"/>
      <c r="F2113" s="89" t="n"/>
      <c r="G2113" s="88" t="n"/>
      <c r="H2113" s="88" t="n"/>
      <c r="I2113" s="88" t="n"/>
      <c r="J2113" s="89" t="n"/>
      <c r="K2113" s="88" t="n"/>
      <c r="L2113" s="88" t="n"/>
      <c r="M2113" s="88" t="n"/>
      <c r="N2113" s="89" t="n"/>
      <c r="O2113" s="88" t="n"/>
      <c r="P2113" s="88" t="n"/>
      <c r="Q2113" s="88" t="n"/>
      <c r="R2113" s="89" t="n"/>
      <c r="S2113" s="88" t="n"/>
      <c r="T2113" s="88" t="n"/>
      <c r="U2113" s="88" t="n"/>
      <c r="V2113" s="89" t="n"/>
      <c r="W2113" s="88" t="n"/>
      <c r="X2113" s="89" t="n"/>
      <c r="Y2113" s="88" t="n"/>
      <c r="Z2113" s="89" t="n"/>
      <c r="AB2113" s="30">
        <f>IF($B2113="","",(COUNTIF(C2113:E2113,"?*")&lt;N(INDEX(Setup!$L$6:$L$23,6)))+(COUNTIF(G2113:I2113,"?*")&lt;N(INDEX(Setup!$L$6:$L$23,6)))+(COUNTIF(K2113:M2113,"?*")&lt;N(INDEX(Setup!$L$6:$L$23,6)))+(COUNTIF(O2113:Q2113,"?*")&lt;N(INDEX(Setup!$L$6:$L$23,6)))+(COUNTIF(S2113:U2113,"?*")&lt;N(INDEX(Setup!$L$6:$L$23,6)))+((W2113="")*(INDEX(Setup!$M$6:$M$23,6)="Y"))+((Y2113="")*(INDEX(Setup!$M$6:$M$23,6)="Y")))</f>
        <v/>
      </c>
      <c r="AC2113" s="91">
        <f>IF($B2113="","",IF(AB2113=0,"✓ covered","⚠ "&amp;AB2113&amp;IF(AB2113=1," gap"," gaps")))</f>
        <v/>
      </c>
    </row>
    <row r="2114" ht="17" customHeight="1">
      <c r="A2114" t="n">
        <v>43</v>
      </c>
      <c r="B2114" s="24">
        <f>IF(Setup!$K$12="","",Setup!$K$12)</f>
        <v/>
      </c>
      <c r="C2114" s="88" t="n"/>
      <c r="D2114" s="88" t="n"/>
      <c r="E2114" s="88" t="n"/>
      <c r="F2114" s="89" t="n"/>
      <c r="G2114" s="88" t="n"/>
      <c r="H2114" s="88" t="n"/>
      <c r="I2114" s="88" t="n"/>
      <c r="J2114" s="89" t="n"/>
      <c r="K2114" s="88" t="n"/>
      <c r="L2114" s="88" t="n"/>
      <c r="M2114" s="88" t="n"/>
      <c r="N2114" s="89" t="n"/>
      <c r="O2114" s="88" t="n"/>
      <c r="P2114" s="88" t="n"/>
      <c r="Q2114" s="88" t="n"/>
      <c r="R2114" s="89" t="n"/>
      <c r="S2114" s="88" t="n"/>
      <c r="T2114" s="88" t="n"/>
      <c r="U2114" s="88" t="n"/>
      <c r="V2114" s="89" t="n"/>
      <c r="W2114" s="88" t="n"/>
      <c r="X2114" s="89" t="n"/>
      <c r="Y2114" s="88" t="n"/>
      <c r="Z2114" s="89" t="n"/>
      <c r="AB2114" s="25">
        <f>IF($B2114="","",(COUNTIF(C2114:E2114,"?*")&lt;N(INDEX(Setup!$L$6:$L$23,7)))+(COUNTIF(G2114:I2114,"?*")&lt;N(INDEX(Setup!$L$6:$L$23,7)))+(COUNTIF(K2114:M2114,"?*")&lt;N(INDEX(Setup!$L$6:$L$23,7)))+(COUNTIF(O2114:Q2114,"?*")&lt;N(INDEX(Setup!$L$6:$L$23,7)))+(COUNTIF(S2114:U2114,"?*")&lt;N(INDEX(Setup!$L$6:$L$23,7)))+((W2114="")*(INDEX(Setup!$M$6:$M$23,7)="Y"))+((Y2114="")*(INDEX(Setup!$M$6:$M$23,7)="Y")))</f>
        <v/>
      </c>
      <c r="AC2114" s="90">
        <f>IF($B2114="","",IF(AB2114=0,"✓ covered","⚠ "&amp;AB2114&amp;IF(AB2114=1," gap"," gaps")))</f>
        <v/>
      </c>
    </row>
    <row r="2115" ht="17" customHeight="1">
      <c r="A2115" t="n">
        <v>43</v>
      </c>
      <c r="B2115" s="29">
        <f>IF(Setup!$K$13="","",Setup!$K$13)</f>
        <v/>
      </c>
      <c r="C2115" s="88" t="n"/>
      <c r="D2115" s="88" t="n"/>
      <c r="E2115" s="88" t="n"/>
      <c r="F2115" s="89" t="n"/>
      <c r="G2115" s="88" t="n"/>
      <c r="H2115" s="88" t="n"/>
      <c r="I2115" s="88" t="n"/>
      <c r="J2115" s="89" t="n"/>
      <c r="K2115" s="88" t="n"/>
      <c r="L2115" s="88" t="n"/>
      <c r="M2115" s="88" t="n"/>
      <c r="N2115" s="89" t="n"/>
      <c r="O2115" s="88" t="n"/>
      <c r="P2115" s="88" t="n"/>
      <c r="Q2115" s="88" t="n"/>
      <c r="R2115" s="89" t="n"/>
      <c r="S2115" s="88" t="n"/>
      <c r="T2115" s="88" t="n"/>
      <c r="U2115" s="88" t="n"/>
      <c r="V2115" s="89" t="n"/>
      <c r="W2115" s="88" t="n"/>
      <c r="X2115" s="89" t="n"/>
      <c r="Y2115" s="88" t="n"/>
      <c r="Z2115" s="89" t="n"/>
      <c r="AB2115" s="30">
        <f>IF($B2115="","",(COUNTIF(C2115:E2115,"?*")&lt;N(INDEX(Setup!$L$6:$L$23,8)))+(COUNTIF(G2115:I2115,"?*")&lt;N(INDEX(Setup!$L$6:$L$23,8)))+(COUNTIF(K2115:M2115,"?*")&lt;N(INDEX(Setup!$L$6:$L$23,8)))+(COUNTIF(O2115:Q2115,"?*")&lt;N(INDEX(Setup!$L$6:$L$23,8)))+(COUNTIF(S2115:U2115,"?*")&lt;N(INDEX(Setup!$L$6:$L$23,8)))+((W2115="")*(INDEX(Setup!$M$6:$M$23,8)="Y"))+((Y2115="")*(INDEX(Setup!$M$6:$M$23,8)="Y")))</f>
        <v/>
      </c>
      <c r="AC2115" s="91">
        <f>IF($B2115="","",IF(AB2115=0,"✓ covered","⚠ "&amp;AB2115&amp;IF(AB2115=1," gap"," gaps")))</f>
        <v/>
      </c>
    </row>
    <row r="2116" ht="17" customHeight="1">
      <c r="A2116" t="n">
        <v>43</v>
      </c>
      <c r="B2116" s="24">
        <f>IF(Setup!$K$14="","",Setup!$K$14)</f>
        <v/>
      </c>
      <c r="C2116" s="88" t="n"/>
      <c r="D2116" s="88" t="n"/>
      <c r="E2116" s="88" t="n"/>
      <c r="F2116" s="89" t="n"/>
      <c r="G2116" s="88" t="n"/>
      <c r="H2116" s="88" t="n"/>
      <c r="I2116" s="88" t="n"/>
      <c r="J2116" s="89" t="n"/>
      <c r="K2116" s="88" t="n"/>
      <c r="L2116" s="88" t="n"/>
      <c r="M2116" s="88" t="n"/>
      <c r="N2116" s="89" t="n"/>
      <c r="O2116" s="88" t="n"/>
      <c r="P2116" s="88" t="n"/>
      <c r="Q2116" s="88" t="n"/>
      <c r="R2116" s="89" t="n"/>
      <c r="S2116" s="88" t="n"/>
      <c r="T2116" s="88" t="n"/>
      <c r="U2116" s="88" t="n"/>
      <c r="V2116" s="89" t="n"/>
      <c r="W2116" s="88" t="n"/>
      <c r="X2116" s="89" t="n"/>
      <c r="Y2116" s="88" t="n"/>
      <c r="Z2116" s="89" t="n"/>
      <c r="AB2116" s="25">
        <f>IF($B2116="","",(COUNTIF(C2116:E2116,"?*")&lt;N(INDEX(Setup!$L$6:$L$23,9)))+(COUNTIF(G2116:I2116,"?*")&lt;N(INDEX(Setup!$L$6:$L$23,9)))+(COUNTIF(K2116:M2116,"?*")&lt;N(INDEX(Setup!$L$6:$L$23,9)))+(COUNTIF(O2116:Q2116,"?*")&lt;N(INDEX(Setup!$L$6:$L$23,9)))+(COUNTIF(S2116:U2116,"?*")&lt;N(INDEX(Setup!$L$6:$L$23,9)))+((W2116="")*(INDEX(Setup!$M$6:$M$23,9)="Y"))+((Y2116="")*(INDEX(Setup!$M$6:$M$23,9)="Y")))</f>
        <v/>
      </c>
      <c r="AC2116" s="90">
        <f>IF($B2116="","",IF(AB2116=0,"✓ covered","⚠ "&amp;AB2116&amp;IF(AB2116=1," gap"," gaps")))</f>
        <v/>
      </c>
    </row>
    <row r="2117" ht="17" customHeight="1">
      <c r="A2117" t="n">
        <v>43</v>
      </c>
      <c r="B2117" s="29">
        <f>IF(Setup!$K$15="","",Setup!$K$15)</f>
        <v/>
      </c>
      <c r="C2117" s="88" t="n"/>
      <c r="D2117" s="88" t="n"/>
      <c r="E2117" s="88" t="n"/>
      <c r="F2117" s="89" t="n"/>
      <c r="G2117" s="88" t="n"/>
      <c r="H2117" s="88" t="n"/>
      <c r="I2117" s="88" t="n"/>
      <c r="J2117" s="89" t="n"/>
      <c r="K2117" s="88" t="n"/>
      <c r="L2117" s="88" t="n"/>
      <c r="M2117" s="88" t="n"/>
      <c r="N2117" s="89" t="n"/>
      <c r="O2117" s="88" t="n"/>
      <c r="P2117" s="88" t="n"/>
      <c r="Q2117" s="88" t="n"/>
      <c r="R2117" s="89" t="n"/>
      <c r="S2117" s="88" t="n"/>
      <c r="T2117" s="88" t="n"/>
      <c r="U2117" s="88" t="n"/>
      <c r="V2117" s="89" t="n"/>
      <c r="W2117" s="88" t="n"/>
      <c r="X2117" s="89" t="n"/>
      <c r="Y2117" s="88" t="n"/>
      <c r="Z2117" s="89" t="n"/>
      <c r="AB2117" s="30">
        <f>IF($B2117="","",(COUNTIF(C2117:E2117,"?*")&lt;N(INDEX(Setup!$L$6:$L$23,10)))+(COUNTIF(G2117:I2117,"?*")&lt;N(INDEX(Setup!$L$6:$L$23,10)))+(COUNTIF(K2117:M2117,"?*")&lt;N(INDEX(Setup!$L$6:$L$23,10)))+(COUNTIF(O2117:Q2117,"?*")&lt;N(INDEX(Setup!$L$6:$L$23,10)))+(COUNTIF(S2117:U2117,"?*")&lt;N(INDEX(Setup!$L$6:$L$23,10)))+((W2117="")*(INDEX(Setup!$M$6:$M$23,10)="Y"))+((Y2117="")*(INDEX(Setup!$M$6:$M$23,10)="Y")))</f>
        <v/>
      </c>
      <c r="AC2117" s="91">
        <f>IF($B2117="","",IF(AB2117=0,"✓ covered","⚠ "&amp;AB2117&amp;IF(AB2117=1," gap"," gaps")))</f>
        <v/>
      </c>
    </row>
    <row r="2118" ht="17" customHeight="1">
      <c r="A2118" t="n">
        <v>43</v>
      </c>
      <c r="B2118" s="24">
        <f>IF(Setup!$K$16="","",Setup!$K$16)</f>
        <v/>
      </c>
      <c r="C2118" s="88" t="n"/>
      <c r="D2118" s="88" t="n"/>
      <c r="E2118" s="88" t="n"/>
      <c r="F2118" s="89" t="n"/>
      <c r="G2118" s="88" t="n"/>
      <c r="H2118" s="88" t="n"/>
      <c r="I2118" s="88" t="n"/>
      <c r="J2118" s="89" t="n"/>
      <c r="K2118" s="88" t="n"/>
      <c r="L2118" s="88" t="n"/>
      <c r="M2118" s="88" t="n"/>
      <c r="N2118" s="89" t="n"/>
      <c r="O2118" s="88" t="n"/>
      <c r="P2118" s="88" t="n"/>
      <c r="Q2118" s="88" t="n"/>
      <c r="R2118" s="89" t="n"/>
      <c r="S2118" s="88" t="n"/>
      <c r="T2118" s="88" t="n"/>
      <c r="U2118" s="88" t="n"/>
      <c r="V2118" s="89" t="n"/>
      <c r="W2118" s="88" t="n"/>
      <c r="X2118" s="89" t="n"/>
      <c r="Y2118" s="88" t="n"/>
      <c r="Z2118" s="89" t="n"/>
      <c r="AB2118" s="25">
        <f>IF($B2118="","",(COUNTIF(C2118:E2118,"?*")&lt;N(INDEX(Setup!$L$6:$L$23,11)))+(COUNTIF(G2118:I2118,"?*")&lt;N(INDEX(Setup!$L$6:$L$23,11)))+(COUNTIF(K2118:M2118,"?*")&lt;N(INDEX(Setup!$L$6:$L$23,11)))+(COUNTIF(O2118:Q2118,"?*")&lt;N(INDEX(Setup!$L$6:$L$23,11)))+(COUNTIF(S2118:U2118,"?*")&lt;N(INDEX(Setup!$L$6:$L$23,11)))+((W2118="")*(INDEX(Setup!$M$6:$M$23,11)="Y"))+((Y2118="")*(INDEX(Setup!$M$6:$M$23,11)="Y")))</f>
        <v/>
      </c>
      <c r="AC2118" s="90">
        <f>IF($B2118="","",IF(AB2118=0,"✓ covered","⚠ "&amp;AB2118&amp;IF(AB2118=1," gap"," gaps")))</f>
        <v/>
      </c>
    </row>
    <row r="2119" ht="17" customHeight="1">
      <c r="A2119" t="n">
        <v>43</v>
      </c>
      <c r="B2119" s="29">
        <f>IF(Setup!$K$17="","",Setup!$K$17)</f>
        <v/>
      </c>
      <c r="C2119" s="88" t="n"/>
      <c r="D2119" s="88" t="n"/>
      <c r="E2119" s="88" t="n"/>
      <c r="F2119" s="89" t="n"/>
      <c r="G2119" s="88" t="n"/>
      <c r="H2119" s="88" t="n"/>
      <c r="I2119" s="88" t="n"/>
      <c r="J2119" s="89" t="n"/>
      <c r="K2119" s="88" t="n"/>
      <c r="L2119" s="88" t="n"/>
      <c r="M2119" s="88" t="n"/>
      <c r="N2119" s="89" t="n"/>
      <c r="O2119" s="88" t="n"/>
      <c r="P2119" s="88" t="n"/>
      <c r="Q2119" s="88" t="n"/>
      <c r="R2119" s="89" t="n"/>
      <c r="S2119" s="88" t="n"/>
      <c r="T2119" s="88" t="n"/>
      <c r="U2119" s="88" t="n"/>
      <c r="V2119" s="89" t="n"/>
      <c r="W2119" s="88" t="n"/>
      <c r="X2119" s="89" t="n"/>
      <c r="Y2119" s="88" t="n"/>
      <c r="Z2119" s="89" t="n"/>
      <c r="AB2119" s="30">
        <f>IF($B2119="","",(COUNTIF(C2119:E2119,"?*")&lt;N(INDEX(Setup!$L$6:$L$23,12)))+(COUNTIF(G2119:I2119,"?*")&lt;N(INDEX(Setup!$L$6:$L$23,12)))+(COUNTIF(K2119:M2119,"?*")&lt;N(INDEX(Setup!$L$6:$L$23,12)))+(COUNTIF(O2119:Q2119,"?*")&lt;N(INDEX(Setup!$L$6:$L$23,12)))+(COUNTIF(S2119:U2119,"?*")&lt;N(INDEX(Setup!$L$6:$L$23,12)))+((W2119="")*(INDEX(Setup!$M$6:$M$23,12)="Y"))+((Y2119="")*(INDEX(Setup!$M$6:$M$23,12)="Y")))</f>
        <v/>
      </c>
      <c r="AC2119" s="91">
        <f>IF($B2119="","",IF(AB2119=0,"✓ covered","⚠ "&amp;AB2119&amp;IF(AB2119=1," gap"," gaps")))</f>
        <v/>
      </c>
    </row>
    <row r="2120" ht="17" customHeight="1">
      <c r="A2120" t="n">
        <v>43</v>
      </c>
      <c r="B2120" s="24">
        <f>IF(Setup!$K$18="","",Setup!$K$18)</f>
        <v/>
      </c>
      <c r="C2120" s="88" t="n"/>
      <c r="D2120" s="88" t="n"/>
      <c r="E2120" s="88" t="n"/>
      <c r="F2120" s="89" t="n"/>
      <c r="G2120" s="88" t="n"/>
      <c r="H2120" s="88" t="n"/>
      <c r="I2120" s="88" t="n"/>
      <c r="J2120" s="89" t="n"/>
      <c r="K2120" s="88" t="n"/>
      <c r="L2120" s="88" t="n"/>
      <c r="M2120" s="88" t="n"/>
      <c r="N2120" s="89" t="n"/>
      <c r="O2120" s="88" t="n"/>
      <c r="P2120" s="88" t="n"/>
      <c r="Q2120" s="88" t="n"/>
      <c r="R2120" s="89" t="n"/>
      <c r="S2120" s="88" t="n"/>
      <c r="T2120" s="88" t="n"/>
      <c r="U2120" s="88" t="n"/>
      <c r="V2120" s="89" t="n"/>
      <c r="W2120" s="88" t="n"/>
      <c r="X2120" s="89" t="n"/>
      <c r="Y2120" s="88" t="n"/>
      <c r="Z2120" s="89" t="n"/>
      <c r="AB2120" s="25">
        <f>IF($B2120="","",(COUNTIF(C2120:E2120,"?*")&lt;N(INDEX(Setup!$L$6:$L$23,13)))+(COUNTIF(G2120:I2120,"?*")&lt;N(INDEX(Setup!$L$6:$L$23,13)))+(COUNTIF(K2120:M2120,"?*")&lt;N(INDEX(Setup!$L$6:$L$23,13)))+(COUNTIF(O2120:Q2120,"?*")&lt;N(INDEX(Setup!$L$6:$L$23,13)))+(COUNTIF(S2120:U2120,"?*")&lt;N(INDEX(Setup!$L$6:$L$23,13)))+((W2120="")*(INDEX(Setup!$M$6:$M$23,13)="Y"))+((Y2120="")*(INDEX(Setup!$M$6:$M$23,13)="Y")))</f>
        <v/>
      </c>
      <c r="AC2120" s="90">
        <f>IF($B2120="","",IF(AB2120=0,"✓ covered","⚠ "&amp;AB2120&amp;IF(AB2120=1," gap"," gaps")))</f>
        <v/>
      </c>
    </row>
    <row r="2121" ht="17" customHeight="1">
      <c r="A2121" t="n">
        <v>43</v>
      </c>
      <c r="B2121" s="29">
        <f>IF(Setup!$K$19="","",Setup!$K$19)</f>
        <v/>
      </c>
      <c r="C2121" s="88" t="n"/>
      <c r="D2121" s="88" t="n"/>
      <c r="E2121" s="88" t="n"/>
      <c r="F2121" s="89" t="n"/>
      <c r="G2121" s="88" t="n"/>
      <c r="H2121" s="88" t="n"/>
      <c r="I2121" s="88" t="n"/>
      <c r="J2121" s="89" t="n"/>
      <c r="K2121" s="88" t="n"/>
      <c r="L2121" s="88" t="n"/>
      <c r="M2121" s="88" t="n"/>
      <c r="N2121" s="89" t="n"/>
      <c r="O2121" s="88" t="n"/>
      <c r="P2121" s="88" t="n"/>
      <c r="Q2121" s="88" t="n"/>
      <c r="R2121" s="89" t="n"/>
      <c r="S2121" s="88" t="n"/>
      <c r="T2121" s="88" t="n"/>
      <c r="U2121" s="88" t="n"/>
      <c r="V2121" s="89" t="n"/>
      <c r="W2121" s="88" t="n"/>
      <c r="X2121" s="89" t="n"/>
      <c r="Y2121" s="88" t="n"/>
      <c r="Z2121" s="89" t="n"/>
      <c r="AB2121" s="30">
        <f>IF($B2121="","",(COUNTIF(C2121:E2121,"?*")&lt;N(INDEX(Setup!$L$6:$L$23,14)))+(COUNTIF(G2121:I2121,"?*")&lt;N(INDEX(Setup!$L$6:$L$23,14)))+(COUNTIF(K2121:M2121,"?*")&lt;N(INDEX(Setup!$L$6:$L$23,14)))+(COUNTIF(O2121:Q2121,"?*")&lt;N(INDEX(Setup!$L$6:$L$23,14)))+(COUNTIF(S2121:U2121,"?*")&lt;N(INDEX(Setup!$L$6:$L$23,14)))+((W2121="")*(INDEX(Setup!$M$6:$M$23,14)="Y"))+((Y2121="")*(INDEX(Setup!$M$6:$M$23,14)="Y")))</f>
        <v/>
      </c>
      <c r="AC2121" s="91">
        <f>IF($B2121="","",IF(AB2121=0,"✓ covered","⚠ "&amp;AB2121&amp;IF(AB2121=1," gap"," gaps")))</f>
        <v/>
      </c>
    </row>
    <row r="2122" ht="17" customHeight="1">
      <c r="A2122" t="n">
        <v>43</v>
      </c>
      <c r="B2122" s="24">
        <f>IF(Setup!$K$20="","",Setup!$K$20)</f>
        <v/>
      </c>
      <c r="C2122" s="88" t="n"/>
      <c r="D2122" s="88" t="n"/>
      <c r="E2122" s="88" t="n"/>
      <c r="F2122" s="89" t="n"/>
      <c r="G2122" s="88" t="n"/>
      <c r="H2122" s="88" t="n"/>
      <c r="I2122" s="88" t="n"/>
      <c r="J2122" s="89" t="n"/>
      <c r="K2122" s="88" t="n"/>
      <c r="L2122" s="88" t="n"/>
      <c r="M2122" s="88" t="n"/>
      <c r="N2122" s="89" t="n"/>
      <c r="O2122" s="88" t="n"/>
      <c r="P2122" s="88" t="n"/>
      <c r="Q2122" s="88" t="n"/>
      <c r="R2122" s="89" t="n"/>
      <c r="S2122" s="88" t="n"/>
      <c r="T2122" s="88" t="n"/>
      <c r="U2122" s="88" t="n"/>
      <c r="V2122" s="89" t="n"/>
      <c r="W2122" s="88" t="n"/>
      <c r="X2122" s="89" t="n"/>
      <c r="Y2122" s="88" t="n"/>
      <c r="Z2122" s="89" t="n"/>
      <c r="AB2122" s="25">
        <f>IF($B2122="","",(COUNTIF(C2122:E2122,"?*")&lt;N(INDEX(Setup!$L$6:$L$23,15)))+(COUNTIF(G2122:I2122,"?*")&lt;N(INDEX(Setup!$L$6:$L$23,15)))+(COUNTIF(K2122:M2122,"?*")&lt;N(INDEX(Setup!$L$6:$L$23,15)))+(COUNTIF(O2122:Q2122,"?*")&lt;N(INDEX(Setup!$L$6:$L$23,15)))+(COUNTIF(S2122:U2122,"?*")&lt;N(INDEX(Setup!$L$6:$L$23,15)))+((W2122="")*(INDEX(Setup!$M$6:$M$23,15)="Y"))+((Y2122="")*(INDEX(Setup!$M$6:$M$23,15)="Y")))</f>
        <v/>
      </c>
      <c r="AC2122" s="90">
        <f>IF($B2122="","",IF(AB2122=0,"✓ covered","⚠ "&amp;AB2122&amp;IF(AB2122=1," gap"," gaps")))</f>
        <v/>
      </c>
    </row>
    <row r="2123" ht="17" customHeight="1">
      <c r="A2123" t="n">
        <v>43</v>
      </c>
      <c r="B2123" s="29">
        <f>IF(Setup!$K$21="","",Setup!$K$21)</f>
        <v/>
      </c>
      <c r="C2123" s="88" t="n"/>
      <c r="D2123" s="88" t="n"/>
      <c r="E2123" s="88" t="n"/>
      <c r="F2123" s="89" t="n"/>
      <c r="G2123" s="88" t="n"/>
      <c r="H2123" s="88" t="n"/>
      <c r="I2123" s="88" t="n"/>
      <c r="J2123" s="89" t="n"/>
      <c r="K2123" s="88" t="n"/>
      <c r="L2123" s="88" t="n"/>
      <c r="M2123" s="88" t="n"/>
      <c r="N2123" s="89" t="n"/>
      <c r="O2123" s="88" t="n"/>
      <c r="P2123" s="88" t="n"/>
      <c r="Q2123" s="88" t="n"/>
      <c r="R2123" s="89" t="n"/>
      <c r="S2123" s="88" t="n"/>
      <c r="T2123" s="88" t="n"/>
      <c r="U2123" s="88" t="n"/>
      <c r="V2123" s="89" t="n"/>
      <c r="W2123" s="88" t="n"/>
      <c r="X2123" s="89" t="n"/>
      <c r="Y2123" s="88" t="n"/>
      <c r="Z2123" s="89" t="n"/>
      <c r="AB2123" s="30">
        <f>IF($B2123="","",(COUNTIF(C2123:E2123,"?*")&lt;N(INDEX(Setup!$L$6:$L$23,16)))+(COUNTIF(G2123:I2123,"?*")&lt;N(INDEX(Setup!$L$6:$L$23,16)))+(COUNTIF(K2123:M2123,"?*")&lt;N(INDEX(Setup!$L$6:$L$23,16)))+(COUNTIF(O2123:Q2123,"?*")&lt;N(INDEX(Setup!$L$6:$L$23,16)))+(COUNTIF(S2123:U2123,"?*")&lt;N(INDEX(Setup!$L$6:$L$23,16)))+((W2123="")*(INDEX(Setup!$M$6:$M$23,16)="Y"))+((Y2123="")*(INDEX(Setup!$M$6:$M$23,16)="Y")))</f>
        <v/>
      </c>
      <c r="AC2123" s="91">
        <f>IF($B2123="","",IF(AB2123=0,"✓ covered","⚠ "&amp;AB2123&amp;IF(AB2123=1," gap"," gaps")))</f>
        <v/>
      </c>
    </row>
    <row r="2124" ht="17" customHeight="1">
      <c r="A2124" t="n">
        <v>43</v>
      </c>
      <c r="B2124" s="24">
        <f>IF(Setup!$K$22="","",Setup!$K$22)</f>
        <v/>
      </c>
      <c r="C2124" s="88" t="n"/>
      <c r="D2124" s="88" t="n"/>
      <c r="E2124" s="88" t="n"/>
      <c r="F2124" s="89" t="n"/>
      <c r="G2124" s="88" t="n"/>
      <c r="H2124" s="88" t="n"/>
      <c r="I2124" s="88" t="n"/>
      <c r="J2124" s="89" t="n"/>
      <c r="K2124" s="88" t="n"/>
      <c r="L2124" s="88" t="n"/>
      <c r="M2124" s="88" t="n"/>
      <c r="N2124" s="89" t="n"/>
      <c r="O2124" s="88" t="n"/>
      <c r="P2124" s="88" t="n"/>
      <c r="Q2124" s="88" t="n"/>
      <c r="R2124" s="89" t="n"/>
      <c r="S2124" s="88" t="n"/>
      <c r="T2124" s="88" t="n"/>
      <c r="U2124" s="88" t="n"/>
      <c r="V2124" s="89" t="n"/>
      <c r="W2124" s="88" t="n"/>
      <c r="X2124" s="89" t="n"/>
      <c r="Y2124" s="88" t="n"/>
      <c r="Z2124" s="89" t="n"/>
      <c r="AB2124" s="25">
        <f>IF($B2124="","",(COUNTIF(C2124:E2124,"?*")&lt;N(INDEX(Setup!$L$6:$L$23,17)))+(COUNTIF(G2124:I2124,"?*")&lt;N(INDEX(Setup!$L$6:$L$23,17)))+(COUNTIF(K2124:M2124,"?*")&lt;N(INDEX(Setup!$L$6:$L$23,17)))+(COUNTIF(O2124:Q2124,"?*")&lt;N(INDEX(Setup!$L$6:$L$23,17)))+(COUNTIF(S2124:U2124,"?*")&lt;N(INDEX(Setup!$L$6:$L$23,17)))+((W2124="")*(INDEX(Setup!$M$6:$M$23,17)="Y"))+((Y2124="")*(INDEX(Setup!$M$6:$M$23,17)="Y")))</f>
        <v/>
      </c>
      <c r="AC2124" s="90">
        <f>IF($B2124="","",IF(AB2124=0,"✓ covered","⚠ "&amp;AB2124&amp;IF(AB2124=1," gap"," gaps")))</f>
        <v/>
      </c>
    </row>
    <row r="2125" ht="17" customHeight="1">
      <c r="A2125" t="n">
        <v>43</v>
      </c>
      <c r="B2125" s="29">
        <f>IF(Setup!$K$23="","",Setup!$K$23)</f>
        <v/>
      </c>
      <c r="C2125" s="88" t="n"/>
      <c r="D2125" s="88" t="n"/>
      <c r="E2125" s="88" t="n"/>
      <c r="F2125" s="89" t="n"/>
      <c r="G2125" s="88" t="n"/>
      <c r="H2125" s="88" t="n"/>
      <c r="I2125" s="88" t="n"/>
      <c r="J2125" s="89" t="n"/>
      <c r="K2125" s="88" t="n"/>
      <c r="L2125" s="88" t="n"/>
      <c r="M2125" s="88" t="n"/>
      <c r="N2125" s="89" t="n"/>
      <c r="O2125" s="88" t="n"/>
      <c r="P2125" s="88" t="n"/>
      <c r="Q2125" s="88" t="n"/>
      <c r="R2125" s="89" t="n"/>
      <c r="S2125" s="88" t="n"/>
      <c r="T2125" s="88" t="n"/>
      <c r="U2125" s="88" t="n"/>
      <c r="V2125" s="89" t="n"/>
      <c r="W2125" s="88" t="n"/>
      <c r="X2125" s="89" t="n"/>
      <c r="Y2125" s="88" t="n"/>
      <c r="Z2125" s="89" t="n"/>
      <c r="AB2125" s="30">
        <f>IF($B2125="","",(COUNTIF(C2125:E2125,"?*")&lt;N(INDEX(Setup!$L$6:$L$23,18)))+(COUNTIF(G2125:I2125,"?*")&lt;N(INDEX(Setup!$L$6:$L$23,18)))+(COUNTIF(K2125:M2125,"?*")&lt;N(INDEX(Setup!$L$6:$L$23,18)))+(COUNTIF(O2125:Q2125,"?*")&lt;N(INDEX(Setup!$L$6:$L$23,18)))+(COUNTIF(S2125:U2125,"?*")&lt;N(INDEX(Setup!$L$6:$L$23,18)))+((W2125="")*(INDEX(Setup!$M$6:$M$23,18)="Y"))+((Y2125="")*(INDEX(Setup!$M$6:$M$23,18)="Y")))</f>
        <v/>
      </c>
      <c r="AC2125" s="91">
        <f>IF($B2125="","",IF(AB2125=0,"✓ covered","⚠ "&amp;AB2125&amp;IF(AB2125=1," gap"," gaps")))</f>
        <v/>
      </c>
    </row>
    <row r="2126" ht="18" customHeight="1">
      <c r="A2126" t="n">
        <v>43</v>
      </c>
      <c r="B2126" s="78" t="inlineStr">
        <is>
          <t>TEAM AVAILABILITY</t>
        </is>
      </c>
      <c r="C2126" s="92" t="inlineStr">
        <is>
          <t>Mon</t>
        </is>
      </c>
      <c r="D2126" s="93" t="n"/>
      <c r="E2126" s="93" t="n"/>
      <c r="F2126" s="94" t="n"/>
      <c r="G2126" s="92" t="inlineStr">
        <is>
          <t>Tue</t>
        </is>
      </c>
      <c r="H2126" s="93" t="n"/>
      <c r="I2126" s="93" t="n"/>
      <c r="J2126" s="94" t="n"/>
      <c r="K2126" s="92" t="inlineStr">
        <is>
          <t>Wed</t>
        </is>
      </c>
      <c r="L2126" s="93" t="n"/>
      <c r="M2126" s="93" t="n"/>
      <c r="N2126" s="94" t="n"/>
      <c r="O2126" s="92" t="inlineStr">
        <is>
          <t>Thu</t>
        </is>
      </c>
      <c r="P2126" s="93" t="n"/>
      <c r="Q2126" s="93" t="n"/>
      <c r="R2126" s="94" t="n"/>
      <c r="S2126" s="92" t="inlineStr">
        <is>
          <t>Fri</t>
        </is>
      </c>
      <c r="T2126" s="93" t="n"/>
      <c r="U2126" s="93" t="n"/>
      <c r="V2126" s="94" t="n"/>
      <c r="W2126" s="95" t="inlineStr">
        <is>
          <t>Sat</t>
        </is>
      </c>
      <c r="X2126" s="96" t="n"/>
      <c r="Y2126" s="95" t="inlineStr">
        <is>
          <t>Sun</t>
        </is>
      </c>
      <c r="Z2126" s="96" t="n"/>
      <c r="AB2126" s="97" t="inlineStr">
        <is>
          <t>Days rostered</t>
        </is>
      </c>
      <c r="AC2126" s="97" t="inlineStr">
        <is>
          <t>Conflicts</t>
        </is>
      </c>
    </row>
    <row r="2127" ht="15" customHeight="1">
      <c r="A2127" t="n">
        <v>43</v>
      </c>
      <c r="B2127" s="35">
        <f>IF(Setup!$B$6="","",Setup!$B$6)</f>
        <v/>
      </c>
      <c r="C2127" s="98" t="n"/>
      <c r="D2127" s="99" t="n"/>
      <c r="E2127" s="99" t="n"/>
      <c r="F2127" s="100" t="n"/>
      <c r="G2127" s="98" t="n"/>
      <c r="H2127" s="99" t="n"/>
      <c r="I2127" s="99" t="n"/>
      <c r="J2127" s="100" t="n"/>
      <c r="K2127" s="98" t="n"/>
      <c r="L2127" s="99" t="n"/>
      <c r="M2127" s="99" t="n"/>
      <c r="N2127" s="100" t="n"/>
      <c r="O2127" s="98" t="n"/>
      <c r="P2127" s="99" t="n"/>
      <c r="Q2127" s="99" t="n"/>
      <c r="R2127" s="100" t="n"/>
      <c r="S2127" s="98" t="n"/>
      <c r="T2127" s="99" t="n"/>
      <c r="U2127" s="99" t="n"/>
      <c r="V2127" s="100" t="n"/>
      <c r="W2127" s="98" t="n"/>
      <c r="X2127" s="100" t="n"/>
      <c r="Y2127" s="98" t="n"/>
      <c r="Z2127" s="100" t="n"/>
      <c r="AB2127" s="101">
        <f>IF($B2127="","",(COUNTIF(C2108:E2125,$B2127)+COUNTIF(C2108:E2125,$B2127&amp;" ~*")&gt;0)+(COUNTIF(G2108:I2125,$B2127)+COUNTIF(G2108:I2125,$B2127&amp;" ~*")&gt;0)+(COUNTIF(K2108:M2125,$B2127)+COUNTIF(K2108:M2125,$B2127&amp;" ~*")&gt;0)+(COUNTIF(O2108:Q2125,$B2127)+COUNTIF(O2108:Q2125,$B2127&amp;" ~*")&gt;0)+(COUNTIF(S2108:U2125,$B2127)+COUNTIF(S2108:U2125,$B2127&amp;" ~*")&gt;0)+(COUNTIF(W2108:W2125,$B2127)+COUNTIF(W2108:W2125,$B2127&amp;" ~*")&gt;0)+(COUNTIF(Y2108:Y2125,$B2127)+COUNTIF(Y2108:Y2125,$B2127&amp;" ~*")&gt;0))</f>
        <v/>
      </c>
      <c r="AC2127" s="36">
        <f>IF($B2127="","",(IFERROR(INDEX(Setup!$G$33:$G$40,MATCH(C2127,Setup!$B$33:$B$40,0)),0)=1)*(COUNTIF(C2108:E2125,$B2127)+COUNTIF(C2108:E2125,$B2127&amp;" ~*")&gt;0)+(IFERROR(INDEX(Setup!$G$33:$G$40,MATCH(G2127,Setup!$B$33:$B$40,0)),0)=1)*(COUNTIF(G2108:I2125,$B2127)+COUNTIF(G2108:I2125,$B2127&amp;" ~*")&gt;0)+(IFERROR(INDEX(Setup!$G$33:$G$40,MATCH(K2127,Setup!$B$33:$B$40,0)),0)=1)*(COUNTIF(K2108:M2125,$B2127)+COUNTIF(K2108:M2125,$B2127&amp;" ~*")&gt;0)+(IFERROR(INDEX(Setup!$G$33:$G$40,MATCH(O2127,Setup!$B$33:$B$40,0)),0)=1)*(COUNTIF(O2108:Q2125,$B2127)+COUNTIF(O2108:Q2125,$B2127&amp;" ~*")&gt;0)+(IFERROR(INDEX(Setup!$G$33:$G$40,MATCH(S2127,Setup!$B$33:$B$40,0)),0)=1)*(COUNTIF(S2108:U2125,$B2127)+COUNTIF(S2108:U2125,$B2127&amp;" ~*")&gt;0)+(IFERROR(INDEX(Setup!$G$33:$G$40,MATCH(W2127,Setup!$B$33:$B$40,0)),0)=1)*(COUNTIF(W2108:W2125,$B2127)+COUNTIF(W2108:W2125,$B2127&amp;" ~*")&gt;0)+(IFERROR(INDEX(Setup!$G$33:$G$40,MATCH(Y2127,Setup!$B$33:$B$40,0)),0)=1)*(COUNTIF(Y2108:Y2125,$B2127)+COUNTIF(Y2108:Y2125,$B2127&amp;" ~*")&gt;0))</f>
        <v/>
      </c>
    </row>
    <row r="2128" ht="15" customHeight="1">
      <c r="A2128" t="n">
        <v>43</v>
      </c>
      <c r="B2128" s="37">
        <f>IF(Setup!$B$7="","",Setup!$B$7)</f>
        <v/>
      </c>
      <c r="C2128" s="102" t="n"/>
      <c r="D2128" s="103" t="n"/>
      <c r="E2128" s="103" t="n"/>
      <c r="F2128" s="104" t="n"/>
      <c r="G2128" s="102" t="n"/>
      <c r="H2128" s="103" t="n"/>
      <c r="I2128" s="103" t="n"/>
      <c r="J2128" s="104" t="n"/>
      <c r="K2128" s="102" t="n"/>
      <c r="L2128" s="103" t="n"/>
      <c r="M2128" s="103" t="n"/>
      <c r="N2128" s="104" t="n"/>
      <c r="O2128" s="102" t="n"/>
      <c r="P2128" s="103" t="n"/>
      <c r="Q2128" s="103" t="n"/>
      <c r="R2128" s="104" t="n"/>
      <c r="S2128" s="102" t="n"/>
      <c r="T2128" s="103" t="n"/>
      <c r="U2128" s="103" t="n"/>
      <c r="V2128" s="104" t="n"/>
      <c r="W2128" s="102" t="n"/>
      <c r="X2128" s="104" t="n"/>
      <c r="Y2128" s="102" t="n"/>
      <c r="Z2128" s="104" t="n"/>
      <c r="AB2128" s="105">
        <f>IF($B2128="","",(COUNTIF(C2108:E2125,$B2128)+COUNTIF(C2108:E2125,$B2128&amp;" ~*")&gt;0)+(COUNTIF(G2108:I2125,$B2128)+COUNTIF(G2108:I2125,$B2128&amp;" ~*")&gt;0)+(COUNTIF(K2108:M2125,$B2128)+COUNTIF(K2108:M2125,$B2128&amp;" ~*")&gt;0)+(COUNTIF(O2108:Q2125,$B2128)+COUNTIF(O2108:Q2125,$B2128&amp;" ~*")&gt;0)+(COUNTIF(S2108:U2125,$B2128)+COUNTIF(S2108:U2125,$B2128&amp;" ~*")&gt;0)+(COUNTIF(W2108:W2125,$B2128)+COUNTIF(W2108:W2125,$B2128&amp;" ~*")&gt;0)+(COUNTIF(Y2108:Y2125,$B2128)+COUNTIF(Y2108:Y2125,$B2128&amp;" ~*")&gt;0))</f>
        <v/>
      </c>
      <c r="AC2128" s="38">
        <f>IF($B2128="","",(IFERROR(INDEX(Setup!$G$33:$G$40,MATCH(C2128,Setup!$B$33:$B$40,0)),0)=1)*(COUNTIF(C2108:E2125,$B2128)+COUNTIF(C2108:E2125,$B2128&amp;" ~*")&gt;0)+(IFERROR(INDEX(Setup!$G$33:$G$40,MATCH(G2128,Setup!$B$33:$B$40,0)),0)=1)*(COUNTIF(G2108:I2125,$B2128)+COUNTIF(G2108:I2125,$B2128&amp;" ~*")&gt;0)+(IFERROR(INDEX(Setup!$G$33:$G$40,MATCH(K2128,Setup!$B$33:$B$40,0)),0)=1)*(COUNTIF(K2108:M2125,$B2128)+COUNTIF(K2108:M2125,$B2128&amp;" ~*")&gt;0)+(IFERROR(INDEX(Setup!$G$33:$G$40,MATCH(O2128,Setup!$B$33:$B$40,0)),0)=1)*(COUNTIF(O2108:Q2125,$B2128)+COUNTIF(O2108:Q2125,$B2128&amp;" ~*")&gt;0)+(IFERROR(INDEX(Setup!$G$33:$G$40,MATCH(S2128,Setup!$B$33:$B$40,0)),0)=1)*(COUNTIF(S2108:U2125,$B2128)+COUNTIF(S2108:U2125,$B2128&amp;" ~*")&gt;0)+(IFERROR(INDEX(Setup!$G$33:$G$40,MATCH(W2128,Setup!$B$33:$B$40,0)),0)=1)*(COUNTIF(W2108:W2125,$B2128)+COUNTIF(W2108:W2125,$B2128&amp;" ~*")&gt;0)+(IFERROR(INDEX(Setup!$G$33:$G$40,MATCH(Y2128,Setup!$B$33:$B$40,0)),0)=1)*(COUNTIF(Y2108:Y2125,$B2128)+COUNTIF(Y2108:Y2125,$B2128&amp;" ~*")&gt;0))</f>
        <v/>
      </c>
    </row>
    <row r="2129" ht="15" customHeight="1">
      <c r="A2129" t="n">
        <v>43</v>
      </c>
      <c r="B2129" s="35">
        <f>IF(Setup!$B$8="","",Setup!$B$8)</f>
        <v/>
      </c>
      <c r="C2129" s="98" t="n"/>
      <c r="D2129" s="99" t="n"/>
      <c r="E2129" s="99" t="n"/>
      <c r="F2129" s="100" t="n"/>
      <c r="G2129" s="98" t="n"/>
      <c r="H2129" s="99" t="n"/>
      <c r="I2129" s="99" t="n"/>
      <c r="J2129" s="100" t="n"/>
      <c r="K2129" s="98" t="n"/>
      <c r="L2129" s="99" t="n"/>
      <c r="M2129" s="99" t="n"/>
      <c r="N2129" s="100" t="n"/>
      <c r="O2129" s="98" t="n"/>
      <c r="P2129" s="99" t="n"/>
      <c r="Q2129" s="99" t="n"/>
      <c r="R2129" s="100" t="n"/>
      <c r="S2129" s="98" t="n"/>
      <c r="T2129" s="99" t="n"/>
      <c r="U2129" s="99" t="n"/>
      <c r="V2129" s="100" t="n"/>
      <c r="W2129" s="98" t="n"/>
      <c r="X2129" s="100" t="n"/>
      <c r="Y2129" s="98" t="n"/>
      <c r="Z2129" s="100" t="n"/>
      <c r="AB2129" s="101">
        <f>IF($B2129="","",(COUNTIF(C2108:E2125,$B2129)+COUNTIF(C2108:E2125,$B2129&amp;" ~*")&gt;0)+(COUNTIF(G2108:I2125,$B2129)+COUNTIF(G2108:I2125,$B2129&amp;" ~*")&gt;0)+(COUNTIF(K2108:M2125,$B2129)+COUNTIF(K2108:M2125,$B2129&amp;" ~*")&gt;0)+(COUNTIF(O2108:Q2125,$B2129)+COUNTIF(O2108:Q2125,$B2129&amp;" ~*")&gt;0)+(COUNTIF(S2108:U2125,$B2129)+COUNTIF(S2108:U2125,$B2129&amp;" ~*")&gt;0)+(COUNTIF(W2108:W2125,$B2129)+COUNTIF(W2108:W2125,$B2129&amp;" ~*")&gt;0)+(COUNTIF(Y2108:Y2125,$B2129)+COUNTIF(Y2108:Y2125,$B2129&amp;" ~*")&gt;0))</f>
        <v/>
      </c>
      <c r="AC2129" s="36">
        <f>IF($B2129="","",(IFERROR(INDEX(Setup!$G$33:$G$40,MATCH(C2129,Setup!$B$33:$B$40,0)),0)=1)*(COUNTIF(C2108:E2125,$B2129)+COUNTIF(C2108:E2125,$B2129&amp;" ~*")&gt;0)+(IFERROR(INDEX(Setup!$G$33:$G$40,MATCH(G2129,Setup!$B$33:$B$40,0)),0)=1)*(COUNTIF(G2108:I2125,$B2129)+COUNTIF(G2108:I2125,$B2129&amp;" ~*")&gt;0)+(IFERROR(INDEX(Setup!$G$33:$G$40,MATCH(K2129,Setup!$B$33:$B$40,0)),0)=1)*(COUNTIF(K2108:M2125,$B2129)+COUNTIF(K2108:M2125,$B2129&amp;" ~*")&gt;0)+(IFERROR(INDEX(Setup!$G$33:$G$40,MATCH(O2129,Setup!$B$33:$B$40,0)),0)=1)*(COUNTIF(O2108:Q2125,$B2129)+COUNTIF(O2108:Q2125,$B2129&amp;" ~*")&gt;0)+(IFERROR(INDEX(Setup!$G$33:$G$40,MATCH(S2129,Setup!$B$33:$B$40,0)),0)=1)*(COUNTIF(S2108:U2125,$B2129)+COUNTIF(S2108:U2125,$B2129&amp;" ~*")&gt;0)+(IFERROR(INDEX(Setup!$G$33:$G$40,MATCH(W2129,Setup!$B$33:$B$40,0)),0)=1)*(COUNTIF(W2108:W2125,$B2129)+COUNTIF(W2108:W2125,$B2129&amp;" ~*")&gt;0)+(IFERROR(INDEX(Setup!$G$33:$G$40,MATCH(Y2129,Setup!$B$33:$B$40,0)),0)=1)*(COUNTIF(Y2108:Y2125,$B2129)+COUNTIF(Y2108:Y2125,$B2129&amp;" ~*")&gt;0))</f>
        <v/>
      </c>
    </row>
    <row r="2130" ht="15" customHeight="1">
      <c r="A2130" t="n">
        <v>43</v>
      </c>
      <c r="B2130" s="37">
        <f>IF(Setup!$B$9="","",Setup!$B$9)</f>
        <v/>
      </c>
      <c r="C2130" s="102" t="n"/>
      <c r="D2130" s="103" t="n"/>
      <c r="E2130" s="103" t="n"/>
      <c r="F2130" s="104" t="n"/>
      <c r="G2130" s="102" t="n"/>
      <c r="H2130" s="103" t="n"/>
      <c r="I2130" s="103" t="n"/>
      <c r="J2130" s="104" t="n"/>
      <c r="K2130" s="102" t="n"/>
      <c r="L2130" s="103" t="n"/>
      <c r="M2130" s="103" t="n"/>
      <c r="N2130" s="104" t="n"/>
      <c r="O2130" s="102" t="n"/>
      <c r="P2130" s="103" t="n"/>
      <c r="Q2130" s="103" t="n"/>
      <c r="R2130" s="104" t="n"/>
      <c r="S2130" s="102" t="n"/>
      <c r="T2130" s="103" t="n"/>
      <c r="U2130" s="103" t="n"/>
      <c r="V2130" s="104" t="n"/>
      <c r="W2130" s="102" t="n"/>
      <c r="X2130" s="104" t="n"/>
      <c r="Y2130" s="102" t="n"/>
      <c r="Z2130" s="104" t="n"/>
      <c r="AB2130" s="105">
        <f>IF($B2130="","",(COUNTIF(C2108:E2125,$B2130)+COUNTIF(C2108:E2125,$B2130&amp;" ~*")&gt;0)+(COUNTIF(G2108:I2125,$B2130)+COUNTIF(G2108:I2125,$B2130&amp;" ~*")&gt;0)+(COUNTIF(K2108:M2125,$B2130)+COUNTIF(K2108:M2125,$B2130&amp;" ~*")&gt;0)+(COUNTIF(O2108:Q2125,$B2130)+COUNTIF(O2108:Q2125,$B2130&amp;" ~*")&gt;0)+(COUNTIF(S2108:U2125,$B2130)+COUNTIF(S2108:U2125,$B2130&amp;" ~*")&gt;0)+(COUNTIF(W2108:W2125,$B2130)+COUNTIF(W2108:W2125,$B2130&amp;" ~*")&gt;0)+(COUNTIF(Y2108:Y2125,$B2130)+COUNTIF(Y2108:Y2125,$B2130&amp;" ~*")&gt;0))</f>
        <v/>
      </c>
      <c r="AC2130" s="38">
        <f>IF($B2130="","",(IFERROR(INDEX(Setup!$G$33:$G$40,MATCH(C2130,Setup!$B$33:$B$40,0)),0)=1)*(COUNTIF(C2108:E2125,$B2130)+COUNTIF(C2108:E2125,$B2130&amp;" ~*")&gt;0)+(IFERROR(INDEX(Setup!$G$33:$G$40,MATCH(G2130,Setup!$B$33:$B$40,0)),0)=1)*(COUNTIF(G2108:I2125,$B2130)+COUNTIF(G2108:I2125,$B2130&amp;" ~*")&gt;0)+(IFERROR(INDEX(Setup!$G$33:$G$40,MATCH(K2130,Setup!$B$33:$B$40,0)),0)=1)*(COUNTIF(K2108:M2125,$B2130)+COUNTIF(K2108:M2125,$B2130&amp;" ~*")&gt;0)+(IFERROR(INDEX(Setup!$G$33:$G$40,MATCH(O2130,Setup!$B$33:$B$40,0)),0)=1)*(COUNTIF(O2108:Q2125,$B2130)+COUNTIF(O2108:Q2125,$B2130&amp;" ~*")&gt;0)+(IFERROR(INDEX(Setup!$G$33:$G$40,MATCH(S2130,Setup!$B$33:$B$40,0)),0)=1)*(COUNTIF(S2108:U2125,$B2130)+COUNTIF(S2108:U2125,$B2130&amp;" ~*")&gt;0)+(IFERROR(INDEX(Setup!$G$33:$G$40,MATCH(W2130,Setup!$B$33:$B$40,0)),0)=1)*(COUNTIF(W2108:W2125,$B2130)+COUNTIF(W2108:W2125,$B2130&amp;" ~*")&gt;0)+(IFERROR(INDEX(Setup!$G$33:$G$40,MATCH(Y2130,Setup!$B$33:$B$40,0)),0)=1)*(COUNTIF(Y2108:Y2125,$B2130)+COUNTIF(Y2108:Y2125,$B2130&amp;" ~*")&gt;0))</f>
        <v/>
      </c>
    </row>
    <row r="2131" ht="15" customHeight="1">
      <c r="A2131" t="n">
        <v>43</v>
      </c>
      <c r="B2131" s="35">
        <f>IF(Setup!$B$10="","",Setup!$B$10)</f>
        <v/>
      </c>
      <c r="C2131" s="98" t="n"/>
      <c r="D2131" s="99" t="n"/>
      <c r="E2131" s="99" t="n"/>
      <c r="F2131" s="100" t="n"/>
      <c r="G2131" s="98" t="n"/>
      <c r="H2131" s="99" t="n"/>
      <c r="I2131" s="99" t="n"/>
      <c r="J2131" s="100" t="n"/>
      <c r="K2131" s="98" t="n"/>
      <c r="L2131" s="99" t="n"/>
      <c r="M2131" s="99" t="n"/>
      <c r="N2131" s="100" t="n"/>
      <c r="O2131" s="98" t="n"/>
      <c r="P2131" s="99" t="n"/>
      <c r="Q2131" s="99" t="n"/>
      <c r="R2131" s="100" t="n"/>
      <c r="S2131" s="98" t="n"/>
      <c r="T2131" s="99" t="n"/>
      <c r="U2131" s="99" t="n"/>
      <c r="V2131" s="100" t="n"/>
      <c r="W2131" s="98" t="n"/>
      <c r="X2131" s="100" t="n"/>
      <c r="Y2131" s="98" t="n"/>
      <c r="Z2131" s="100" t="n"/>
      <c r="AB2131" s="101">
        <f>IF($B2131="","",(COUNTIF(C2108:E2125,$B2131)+COUNTIF(C2108:E2125,$B2131&amp;" ~*")&gt;0)+(COUNTIF(G2108:I2125,$B2131)+COUNTIF(G2108:I2125,$B2131&amp;" ~*")&gt;0)+(COUNTIF(K2108:M2125,$B2131)+COUNTIF(K2108:M2125,$B2131&amp;" ~*")&gt;0)+(COUNTIF(O2108:Q2125,$B2131)+COUNTIF(O2108:Q2125,$B2131&amp;" ~*")&gt;0)+(COUNTIF(S2108:U2125,$B2131)+COUNTIF(S2108:U2125,$B2131&amp;" ~*")&gt;0)+(COUNTIF(W2108:W2125,$B2131)+COUNTIF(W2108:W2125,$B2131&amp;" ~*")&gt;0)+(COUNTIF(Y2108:Y2125,$B2131)+COUNTIF(Y2108:Y2125,$B2131&amp;" ~*")&gt;0))</f>
        <v/>
      </c>
      <c r="AC2131" s="36">
        <f>IF($B2131="","",(IFERROR(INDEX(Setup!$G$33:$G$40,MATCH(C2131,Setup!$B$33:$B$40,0)),0)=1)*(COUNTIF(C2108:E2125,$B2131)+COUNTIF(C2108:E2125,$B2131&amp;" ~*")&gt;0)+(IFERROR(INDEX(Setup!$G$33:$G$40,MATCH(G2131,Setup!$B$33:$B$40,0)),0)=1)*(COUNTIF(G2108:I2125,$B2131)+COUNTIF(G2108:I2125,$B2131&amp;" ~*")&gt;0)+(IFERROR(INDEX(Setup!$G$33:$G$40,MATCH(K2131,Setup!$B$33:$B$40,0)),0)=1)*(COUNTIF(K2108:M2125,$B2131)+COUNTIF(K2108:M2125,$B2131&amp;" ~*")&gt;0)+(IFERROR(INDEX(Setup!$G$33:$G$40,MATCH(O2131,Setup!$B$33:$B$40,0)),0)=1)*(COUNTIF(O2108:Q2125,$B2131)+COUNTIF(O2108:Q2125,$B2131&amp;" ~*")&gt;0)+(IFERROR(INDEX(Setup!$G$33:$G$40,MATCH(S2131,Setup!$B$33:$B$40,0)),0)=1)*(COUNTIF(S2108:U2125,$B2131)+COUNTIF(S2108:U2125,$B2131&amp;" ~*")&gt;0)+(IFERROR(INDEX(Setup!$G$33:$G$40,MATCH(W2131,Setup!$B$33:$B$40,0)),0)=1)*(COUNTIF(W2108:W2125,$B2131)+COUNTIF(W2108:W2125,$B2131&amp;" ~*")&gt;0)+(IFERROR(INDEX(Setup!$G$33:$G$40,MATCH(Y2131,Setup!$B$33:$B$40,0)),0)=1)*(COUNTIF(Y2108:Y2125,$B2131)+COUNTIF(Y2108:Y2125,$B2131&amp;" ~*")&gt;0))</f>
        <v/>
      </c>
    </row>
    <row r="2132" ht="15" customHeight="1">
      <c r="A2132" t="n">
        <v>43</v>
      </c>
      <c r="B2132" s="37">
        <f>IF(Setup!$B$11="","",Setup!$B$11)</f>
        <v/>
      </c>
      <c r="C2132" s="102" t="n"/>
      <c r="D2132" s="103" t="n"/>
      <c r="E2132" s="103" t="n"/>
      <c r="F2132" s="104" t="n"/>
      <c r="G2132" s="102" t="n"/>
      <c r="H2132" s="103" t="n"/>
      <c r="I2132" s="103" t="n"/>
      <c r="J2132" s="104" t="n"/>
      <c r="K2132" s="102" t="n"/>
      <c r="L2132" s="103" t="n"/>
      <c r="M2132" s="103" t="n"/>
      <c r="N2132" s="104" t="n"/>
      <c r="O2132" s="102" t="n"/>
      <c r="P2132" s="103" t="n"/>
      <c r="Q2132" s="103" t="n"/>
      <c r="R2132" s="104" t="n"/>
      <c r="S2132" s="102" t="n"/>
      <c r="T2132" s="103" t="n"/>
      <c r="U2132" s="103" t="n"/>
      <c r="V2132" s="104" t="n"/>
      <c r="W2132" s="102" t="n"/>
      <c r="X2132" s="104" t="n"/>
      <c r="Y2132" s="102" t="n"/>
      <c r="Z2132" s="104" t="n"/>
      <c r="AB2132" s="105">
        <f>IF($B2132="","",(COUNTIF(C2108:E2125,$B2132)+COUNTIF(C2108:E2125,$B2132&amp;" ~*")&gt;0)+(COUNTIF(G2108:I2125,$B2132)+COUNTIF(G2108:I2125,$B2132&amp;" ~*")&gt;0)+(COUNTIF(K2108:M2125,$B2132)+COUNTIF(K2108:M2125,$B2132&amp;" ~*")&gt;0)+(COUNTIF(O2108:Q2125,$B2132)+COUNTIF(O2108:Q2125,$B2132&amp;" ~*")&gt;0)+(COUNTIF(S2108:U2125,$B2132)+COUNTIF(S2108:U2125,$B2132&amp;" ~*")&gt;0)+(COUNTIF(W2108:W2125,$B2132)+COUNTIF(W2108:W2125,$B2132&amp;" ~*")&gt;0)+(COUNTIF(Y2108:Y2125,$B2132)+COUNTIF(Y2108:Y2125,$B2132&amp;" ~*")&gt;0))</f>
        <v/>
      </c>
      <c r="AC2132" s="38">
        <f>IF($B2132="","",(IFERROR(INDEX(Setup!$G$33:$G$40,MATCH(C2132,Setup!$B$33:$B$40,0)),0)=1)*(COUNTIF(C2108:E2125,$B2132)+COUNTIF(C2108:E2125,$B2132&amp;" ~*")&gt;0)+(IFERROR(INDEX(Setup!$G$33:$G$40,MATCH(G2132,Setup!$B$33:$B$40,0)),0)=1)*(COUNTIF(G2108:I2125,$B2132)+COUNTIF(G2108:I2125,$B2132&amp;" ~*")&gt;0)+(IFERROR(INDEX(Setup!$G$33:$G$40,MATCH(K2132,Setup!$B$33:$B$40,0)),0)=1)*(COUNTIF(K2108:M2125,$B2132)+COUNTIF(K2108:M2125,$B2132&amp;" ~*")&gt;0)+(IFERROR(INDEX(Setup!$G$33:$G$40,MATCH(O2132,Setup!$B$33:$B$40,0)),0)=1)*(COUNTIF(O2108:Q2125,$B2132)+COUNTIF(O2108:Q2125,$B2132&amp;" ~*")&gt;0)+(IFERROR(INDEX(Setup!$G$33:$G$40,MATCH(S2132,Setup!$B$33:$B$40,0)),0)=1)*(COUNTIF(S2108:U2125,$B2132)+COUNTIF(S2108:U2125,$B2132&amp;" ~*")&gt;0)+(IFERROR(INDEX(Setup!$G$33:$G$40,MATCH(W2132,Setup!$B$33:$B$40,0)),0)=1)*(COUNTIF(W2108:W2125,$B2132)+COUNTIF(W2108:W2125,$B2132&amp;" ~*")&gt;0)+(IFERROR(INDEX(Setup!$G$33:$G$40,MATCH(Y2132,Setup!$B$33:$B$40,0)),0)=1)*(COUNTIF(Y2108:Y2125,$B2132)+COUNTIF(Y2108:Y2125,$B2132&amp;" ~*")&gt;0))</f>
        <v/>
      </c>
    </row>
    <row r="2133" ht="15" customHeight="1">
      <c r="A2133" t="n">
        <v>43</v>
      </c>
      <c r="B2133" s="35">
        <f>IF(Setup!$B$12="","",Setup!$B$12)</f>
        <v/>
      </c>
      <c r="C2133" s="98" t="inlineStr">
        <is>
          <t>AL</t>
        </is>
      </c>
      <c r="D2133" s="99" t="n"/>
      <c r="E2133" s="99" t="n"/>
      <c r="F2133" s="100" t="n"/>
      <c r="G2133" s="98" t="n"/>
      <c r="H2133" s="99" t="n"/>
      <c r="I2133" s="99" t="n"/>
      <c r="J2133" s="100" t="n"/>
      <c r="K2133" s="98" t="n"/>
      <c r="L2133" s="99" t="n"/>
      <c r="M2133" s="99" t="n"/>
      <c r="N2133" s="100" t="n"/>
      <c r="O2133" s="98" t="inlineStr">
        <is>
          <t>AL</t>
        </is>
      </c>
      <c r="P2133" s="99" t="n"/>
      <c r="Q2133" s="99" t="n"/>
      <c r="R2133" s="100" t="n"/>
      <c r="S2133" s="98" t="n"/>
      <c r="T2133" s="99" t="n"/>
      <c r="U2133" s="99" t="n"/>
      <c r="V2133" s="100" t="n"/>
      <c r="W2133" s="98" t="n"/>
      <c r="X2133" s="100" t="n"/>
      <c r="Y2133" s="98" t="n"/>
      <c r="Z2133" s="100" t="n"/>
      <c r="AB2133" s="101">
        <f>IF($B2133="","",(COUNTIF(C2108:E2125,$B2133)+COUNTIF(C2108:E2125,$B2133&amp;" ~*")&gt;0)+(COUNTIF(G2108:I2125,$B2133)+COUNTIF(G2108:I2125,$B2133&amp;" ~*")&gt;0)+(COUNTIF(K2108:M2125,$B2133)+COUNTIF(K2108:M2125,$B2133&amp;" ~*")&gt;0)+(COUNTIF(O2108:Q2125,$B2133)+COUNTIF(O2108:Q2125,$B2133&amp;" ~*")&gt;0)+(COUNTIF(S2108:U2125,$B2133)+COUNTIF(S2108:U2125,$B2133&amp;" ~*")&gt;0)+(COUNTIF(W2108:W2125,$B2133)+COUNTIF(W2108:W2125,$B2133&amp;" ~*")&gt;0)+(COUNTIF(Y2108:Y2125,$B2133)+COUNTIF(Y2108:Y2125,$B2133&amp;" ~*")&gt;0))</f>
        <v/>
      </c>
      <c r="AC2133" s="36">
        <f>IF($B2133="","",(IFERROR(INDEX(Setup!$G$33:$G$40,MATCH(C2133,Setup!$B$33:$B$40,0)),0)=1)*(COUNTIF(C2108:E2125,$B2133)+COUNTIF(C2108:E2125,$B2133&amp;" ~*")&gt;0)+(IFERROR(INDEX(Setup!$G$33:$G$40,MATCH(G2133,Setup!$B$33:$B$40,0)),0)=1)*(COUNTIF(G2108:I2125,$B2133)+COUNTIF(G2108:I2125,$B2133&amp;" ~*")&gt;0)+(IFERROR(INDEX(Setup!$G$33:$G$40,MATCH(K2133,Setup!$B$33:$B$40,0)),0)=1)*(COUNTIF(K2108:M2125,$B2133)+COUNTIF(K2108:M2125,$B2133&amp;" ~*")&gt;0)+(IFERROR(INDEX(Setup!$G$33:$G$40,MATCH(O2133,Setup!$B$33:$B$40,0)),0)=1)*(COUNTIF(O2108:Q2125,$B2133)+COUNTIF(O2108:Q2125,$B2133&amp;" ~*")&gt;0)+(IFERROR(INDEX(Setup!$G$33:$G$40,MATCH(S2133,Setup!$B$33:$B$40,0)),0)=1)*(COUNTIF(S2108:U2125,$B2133)+COUNTIF(S2108:U2125,$B2133&amp;" ~*")&gt;0)+(IFERROR(INDEX(Setup!$G$33:$G$40,MATCH(W2133,Setup!$B$33:$B$40,0)),0)=1)*(COUNTIF(W2108:W2125,$B2133)+COUNTIF(W2108:W2125,$B2133&amp;" ~*")&gt;0)+(IFERROR(INDEX(Setup!$G$33:$G$40,MATCH(Y2133,Setup!$B$33:$B$40,0)),0)=1)*(COUNTIF(Y2108:Y2125,$B2133)+COUNTIF(Y2108:Y2125,$B2133&amp;" ~*")&gt;0))</f>
        <v/>
      </c>
    </row>
    <row r="2134" ht="15" customHeight="1">
      <c r="A2134" t="n">
        <v>43</v>
      </c>
      <c r="B2134" s="37">
        <f>IF(Setup!$B$13="","",Setup!$B$13)</f>
        <v/>
      </c>
      <c r="C2134" s="102" t="n"/>
      <c r="D2134" s="103" t="n"/>
      <c r="E2134" s="103" t="n"/>
      <c r="F2134" s="104" t="n"/>
      <c r="G2134" s="102" t="n"/>
      <c r="H2134" s="103" t="n"/>
      <c r="I2134" s="103" t="n"/>
      <c r="J2134" s="104" t="n"/>
      <c r="K2134" s="102" t="n"/>
      <c r="L2134" s="103" t="n"/>
      <c r="M2134" s="103" t="n"/>
      <c r="N2134" s="104" t="n"/>
      <c r="O2134" s="102" t="n"/>
      <c r="P2134" s="103" t="n"/>
      <c r="Q2134" s="103" t="n"/>
      <c r="R2134" s="104" t="n"/>
      <c r="S2134" s="102" t="n"/>
      <c r="T2134" s="103" t="n"/>
      <c r="U2134" s="103" t="n"/>
      <c r="V2134" s="104" t="n"/>
      <c r="W2134" s="102" t="n"/>
      <c r="X2134" s="104" t="n"/>
      <c r="Y2134" s="102" t="n"/>
      <c r="Z2134" s="104" t="n"/>
      <c r="AB2134" s="105">
        <f>IF($B2134="","",(COUNTIF(C2108:E2125,$B2134)+COUNTIF(C2108:E2125,$B2134&amp;" ~*")&gt;0)+(COUNTIF(G2108:I2125,$B2134)+COUNTIF(G2108:I2125,$B2134&amp;" ~*")&gt;0)+(COUNTIF(K2108:M2125,$B2134)+COUNTIF(K2108:M2125,$B2134&amp;" ~*")&gt;0)+(COUNTIF(O2108:Q2125,$B2134)+COUNTIF(O2108:Q2125,$B2134&amp;" ~*")&gt;0)+(COUNTIF(S2108:U2125,$B2134)+COUNTIF(S2108:U2125,$B2134&amp;" ~*")&gt;0)+(COUNTIF(W2108:W2125,$B2134)+COUNTIF(W2108:W2125,$B2134&amp;" ~*")&gt;0)+(COUNTIF(Y2108:Y2125,$B2134)+COUNTIF(Y2108:Y2125,$B2134&amp;" ~*")&gt;0))</f>
        <v/>
      </c>
      <c r="AC2134" s="38">
        <f>IF($B2134="","",(IFERROR(INDEX(Setup!$G$33:$G$40,MATCH(C2134,Setup!$B$33:$B$40,0)),0)=1)*(COUNTIF(C2108:E2125,$B2134)+COUNTIF(C2108:E2125,$B2134&amp;" ~*")&gt;0)+(IFERROR(INDEX(Setup!$G$33:$G$40,MATCH(G2134,Setup!$B$33:$B$40,0)),0)=1)*(COUNTIF(G2108:I2125,$B2134)+COUNTIF(G2108:I2125,$B2134&amp;" ~*")&gt;0)+(IFERROR(INDEX(Setup!$G$33:$G$40,MATCH(K2134,Setup!$B$33:$B$40,0)),0)=1)*(COUNTIF(K2108:M2125,$B2134)+COUNTIF(K2108:M2125,$B2134&amp;" ~*")&gt;0)+(IFERROR(INDEX(Setup!$G$33:$G$40,MATCH(O2134,Setup!$B$33:$B$40,0)),0)=1)*(COUNTIF(O2108:Q2125,$B2134)+COUNTIF(O2108:Q2125,$B2134&amp;" ~*")&gt;0)+(IFERROR(INDEX(Setup!$G$33:$G$40,MATCH(S2134,Setup!$B$33:$B$40,0)),0)=1)*(COUNTIF(S2108:U2125,$B2134)+COUNTIF(S2108:U2125,$B2134&amp;" ~*")&gt;0)+(IFERROR(INDEX(Setup!$G$33:$G$40,MATCH(W2134,Setup!$B$33:$B$40,0)),0)=1)*(COUNTIF(W2108:W2125,$B2134)+COUNTIF(W2108:W2125,$B2134&amp;" ~*")&gt;0)+(IFERROR(INDEX(Setup!$G$33:$G$40,MATCH(Y2134,Setup!$B$33:$B$40,0)),0)=1)*(COUNTIF(Y2108:Y2125,$B2134)+COUNTIF(Y2108:Y2125,$B2134&amp;" ~*")&gt;0))</f>
        <v/>
      </c>
    </row>
    <row r="2135" ht="15" customHeight="1">
      <c r="A2135" t="n">
        <v>43</v>
      </c>
      <c r="B2135" s="35">
        <f>IF(Setup!$B$14="","",Setup!$B$14)</f>
        <v/>
      </c>
      <c r="C2135" s="98" t="n"/>
      <c r="D2135" s="99" t="n"/>
      <c r="E2135" s="99" t="n"/>
      <c r="F2135" s="100" t="n"/>
      <c r="G2135" s="98" t="n"/>
      <c r="H2135" s="99" t="n"/>
      <c r="I2135" s="99" t="n"/>
      <c r="J2135" s="100" t="n"/>
      <c r="K2135" s="98" t="n"/>
      <c r="L2135" s="99" t="n"/>
      <c r="M2135" s="99" t="n"/>
      <c r="N2135" s="100" t="n"/>
      <c r="O2135" s="98" t="n"/>
      <c r="P2135" s="99" t="n"/>
      <c r="Q2135" s="99" t="n"/>
      <c r="R2135" s="100" t="n"/>
      <c r="S2135" s="98" t="n"/>
      <c r="T2135" s="99" t="n"/>
      <c r="U2135" s="99" t="n"/>
      <c r="V2135" s="100" t="n"/>
      <c r="W2135" s="98" t="n"/>
      <c r="X2135" s="100" t="n"/>
      <c r="Y2135" s="98" t="n"/>
      <c r="Z2135" s="100" t="n"/>
      <c r="AB2135" s="101">
        <f>IF($B2135="","",(COUNTIF(C2108:E2125,$B2135)+COUNTIF(C2108:E2125,$B2135&amp;" ~*")&gt;0)+(COUNTIF(G2108:I2125,$B2135)+COUNTIF(G2108:I2125,$B2135&amp;" ~*")&gt;0)+(COUNTIF(K2108:M2125,$B2135)+COUNTIF(K2108:M2125,$B2135&amp;" ~*")&gt;0)+(COUNTIF(O2108:Q2125,$B2135)+COUNTIF(O2108:Q2125,$B2135&amp;" ~*")&gt;0)+(COUNTIF(S2108:U2125,$B2135)+COUNTIF(S2108:U2125,$B2135&amp;" ~*")&gt;0)+(COUNTIF(W2108:W2125,$B2135)+COUNTIF(W2108:W2125,$B2135&amp;" ~*")&gt;0)+(COUNTIF(Y2108:Y2125,$B2135)+COUNTIF(Y2108:Y2125,$B2135&amp;" ~*")&gt;0))</f>
        <v/>
      </c>
      <c r="AC2135" s="36">
        <f>IF($B2135="","",(IFERROR(INDEX(Setup!$G$33:$G$40,MATCH(C2135,Setup!$B$33:$B$40,0)),0)=1)*(COUNTIF(C2108:E2125,$B2135)+COUNTIF(C2108:E2125,$B2135&amp;" ~*")&gt;0)+(IFERROR(INDEX(Setup!$G$33:$G$40,MATCH(G2135,Setup!$B$33:$B$40,0)),0)=1)*(COUNTIF(G2108:I2125,$B2135)+COUNTIF(G2108:I2125,$B2135&amp;" ~*")&gt;0)+(IFERROR(INDEX(Setup!$G$33:$G$40,MATCH(K2135,Setup!$B$33:$B$40,0)),0)=1)*(COUNTIF(K2108:M2125,$B2135)+COUNTIF(K2108:M2125,$B2135&amp;" ~*")&gt;0)+(IFERROR(INDEX(Setup!$G$33:$G$40,MATCH(O2135,Setup!$B$33:$B$40,0)),0)=1)*(COUNTIF(O2108:Q2125,$B2135)+COUNTIF(O2108:Q2125,$B2135&amp;" ~*")&gt;0)+(IFERROR(INDEX(Setup!$G$33:$G$40,MATCH(S2135,Setup!$B$33:$B$40,0)),0)=1)*(COUNTIF(S2108:U2125,$B2135)+COUNTIF(S2108:U2125,$B2135&amp;" ~*")&gt;0)+(IFERROR(INDEX(Setup!$G$33:$G$40,MATCH(W2135,Setup!$B$33:$B$40,0)),0)=1)*(COUNTIF(W2108:W2125,$B2135)+COUNTIF(W2108:W2125,$B2135&amp;" ~*")&gt;0)+(IFERROR(INDEX(Setup!$G$33:$G$40,MATCH(Y2135,Setup!$B$33:$B$40,0)),0)=1)*(COUNTIF(Y2108:Y2125,$B2135)+COUNTIF(Y2108:Y2125,$B2135&amp;" ~*")&gt;0))</f>
        <v/>
      </c>
    </row>
    <row r="2136" ht="15" customHeight="1">
      <c r="A2136" t="n">
        <v>43</v>
      </c>
      <c r="B2136" s="37">
        <f>IF(Setup!$B$15="","",Setup!$B$15)</f>
        <v/>
      </c>
      <c r="C2136" s="102" t="n"/>
      <c r="D2136" s="103" t="n"/>
      <c r="E2136" s="103" t="n"/>
      <c r="F2136" s="104" t="n"/>
      <c r="G2136" s="102" t="n"/>
      <c r="H2136" s="103" t="n"/>
      <c r="I2136" s="103" t="n"/>
      <c r="J2136" s="104" t="n"/>
      <c r="K2136" s="102" t="n"/>
      <c r="L2136" s="103" t="n"/>
      <c r="M2136" s="103" t="n"/>
      <c r="N2136" s="104" t="n"/>
      <c r="O2136" s="102" t="n"/>
      <c r="P2136" s="103" t="n"/>
      <c r="Q2136" s="103" t="n"/>
      <c r="R2136" s="104" t="n"/>
      <c r="S2136" s="102" t="n"/>
      <c r="T2136" s="103" t="n"/>
      <c r="U2136" s="103" t="n"/>
      <c r="V2136" s="104" t="n"/>
      <c r="W2136" s="102" t="n"/>
      <c r="X2136" s="104" t="n"/>
      <c r="Y2136" s="102" t="n"/>
      <c r="Z2136" s="104" t="n"/>
      <c r="AB2136" s="105">
        <f>IF($B2136="","",(COUNTIF(C2108:E2125,$B2136)+COUNTIF(C2108:E2125,$B2136&amp;" ~*")&gt;0)+(COUNTIF(G2108:I2125,$B2136)+COUNTIF(G2108:I2125,$B2136&amp;" ~*")&gt;0)+(COUNTIF(K2108:M2125,$B2136)+COUNTIF(K2108:M2125,$B2136&amp;" ~*")&gt;0)+(COUNTIF(O2108:Q2125,$B2136)+COUNTIF(O2108:Q2125,$B2136&amp;" ~*")&gt;0)+(COUNTIF(S2108:U2125,$B2136)+COUNTIF(S2108:U2125,$B2136&amp;" ~*")&gt;0)+(COUNTIF(W2108:W2125,$B2136)+COUNTIF(W2108:W2125,$B2136&amp;" ~*")&gt;0)+(COUNTIF(Y2108:Y2125,$B2136)+COUNTIF(Y2108:Y2125,$B2136&amp;" ~*")&gt;0))</f>
        <v/>
      </c>
      <c r="AC2136" s="38">
        <f>IF($B2136="","",(IFERROR(INDEX(Setup!$G$33:$G$40,MATCH(C2136,Setup!$B$33:$B$40,0)),0)=1)*(COUNTIF(C2108:E2125,$B2136)+COUNTIF(C2108:E2125,$B2136&amp;" ~*")&gt;0)+(IFERROR(INDEX(Setup!$G$33:$G$40,MATCH(G2136,Setup!$B$33:$B$40,0)),0)=1)*(COUNTIF(G2108:I2125,$B2136)+COUNTIF(G2108:I2125,$B2136&amp;" ~*")&gt;0)+(IFERROR(INDEX(Setup!$G$33:$G$40,MATCH(K2136,Setup!$B$33:$B$40,0)),0)=1)*(COUNTIF(K2108:M2125,$B2136)+COUNTIF(K2108:M2125,$B2136&amp;" ~*")&gt;0)+(IFERROR(INDEX(Setup!$G$33:$G$40,MATCH(O2136,Setup!$B$33:$B$40,0)),0)=1)*(COUNTIF(O2108:Q2125,$B2136)+COUNTIF(O2108:Q2125,$B2136&amp;" ~*")&gt;0)+(IFERROR(INDEX(Setup!$G$33:$G$40,MATCH(S2136,Setup!$B$33:$B$40,0)),0)=1)*(COUNTIF(S2108:U2125,$B2136)+COUNTIF(S2108:U2125,$B2136&amp;" ~*")&gt;0)+(IFERROR(INDEX(Setup!$G$33:$G$40,MATCH(W2136,Setup!$B$33:$B$40,0)),0)=1)*(COUNTIF(W2108:W2125,$B2136)+COUNTIF(W2108:W2125,$B2136&amp;" ~*")&gt;0)+(IFERROR(INDEX(Setup!$G$33:$G$40,MATCH(Y2136,Setup!$B$33:$B$40,0)),0)=1)*(COUNTIF(Y2108:Y2125,$B2136)+COUNTIF(Y2108:Y2125,$B2136&amp;" ~*")&gt;0))</f>
        <v/>
      </c>
    </row>
    <row r="2137" ht="15" customHeight="1">
      <c r="A2137" t="n">
        <v>43</v>
      </c>
      <c r="B2137" s="35">
        <f>IF(Setup!$B$16="","",Setup!$B$16)</f>
        <v/>
      </c>
      <c r="C2137" s="98" t="n"/>
      <c r="D2137" s="99" t="n"/>
      <c r="E2137" s="99" t="n"/>
      <c r="F2137" s="100" t="n"/>
      <c r="G2137" s="98" t="n"/>
      <c r="H2137" s="99" t="n"/>
      <c r="I2137" s="99" t="n"/>
      <c r="J2137" s="100" t="n"/>
      <c r="K2137" s="98" t="n"/>
      <c r="L2137" s="99" t="n"/>
      <c r="M2137" s="99" t="n"/>
      <c r="N2137" s="100" t="n"/>
      <c r="O2137" s="98" t="n"/>
      <c r="P2137" s="99" t="n"/>
      <c r="Q2137" s="99" t="n"/>
      <c r="R2137" s="100" t="n"/>
      <c r="S2137" s="98" t="n"/>
      <c r="T2137" s="99" t="n"/>
      <c r="U2137" s="99" t="n"/>
      <c r="V2137" s="100" t="n"/>
      <c r="W2137" s="98" t="n"/>
      <c r="X2137" s="100" t="n"/>
      <c r="Y2137" s="98" t="n"/>
      <c r="Z2137" s="100" t="n"/>
      <c r="AB2137" s="101">
        <f>IF($B2137="","",(COUNTIF(C2108:E2125,$B2137)+COUNTIF(C2108:E2125,$B2137&amp;" ~*")&gt;0)+(COUNTIF(G2108:I2125,$B2137)+COUNTIF(G2108:I2125,$B2137&amp;" ~*")&gt;0)+(COUNTIF(K2108:M2125,$B2137)+COUNTIF(K2108:M2125,$B2137&amp;" ~*")&gt;0)+(COUNTIF(O2108:Q2125,$B2137)+COUNTIF(O2108:Q2125,$B2137&amp;" ~*")&gt;0)+(COUNTIF(S2108:U2125,$B2137)+COUNTIF(S2108:U2125,$B2137&amp;" ~*")&gt;0)+(COUNTIF(W2108:W2125,$B2137)+COUNTIF(W2108:W2125,$B2137&amp;" ~*")&gt;0)+(COUNTIF(Y2108:Y2125,$B2137)+COUNTIF(Y2108:Y2125,$B2137&amp;" ~*")&gt;0))</f>
        <v/>
      </c>
      <c r="AC2137" s="36">
        <f>IF($B2137="","",(IFERROR(INDEX(Setup!$G$33:$G$40,MATCH(C2137,Setup!$B$33:$B$40,0)),0)=1)*(COUNTIF(C2108:E2125,$B2137)+COUNTIF(C2108:E2125,$B2137&amp;" ~*")&gt;0)+(IFERROR(INDEX(Setup!$G$33:$G$40,MATCH(G2137,Setup!$B$33:$B$40,0)),0)=1)*(COUNTIF(G2108:I2125,$B2137)+COUNTIF(G2108:I2125,$B2137&amp;" ~*")&gt;0)+(IFERROR(INDEX(Setup!$G$33:$G$40,MATCH(K2137,Setup!$B$33:$B$40,0)),0)=1)*(COUNTIF(K2108:M2125,$B2137)+COUNTIF(K2108:M2125,$B2137&amp;" ~*")&gt;0)+(IFERROR(INDEX(Setup!$G$33:$G$40,MATCH(O2137,Setup!$B$33:$B$40,0)),0)=1)*(COUNTIF(O2108:Q2125,$B2137)+COUNTIF(O2108:Q2125,$B2137&amp;" ~*")&gt;0)+(IFERROR(INDEX(Setup!$G$33:$G$40,MATCH(S2137,Setup!$B$33:$B$40,0)),0)=1)*(COUNTIF(S2108:U2125,$B2137)+COUNTIF(S2108:U2125,$B2137&amp;" ~*")&gt;0)+(IFERROR(INDEX(Setup!$G$33:$G$40,MATCH(W2137,Setup!$B$33:$B$40,0)),0)=1)*(COUNTIF(W2108:W2125,$B2137)+COUNTIF(W2108:W2125,$B2137&amp;" ~*")&gt;0)+(IFERROR(INDEX(Setup!$G$33:$G$40,MATCH(Y2137,Setup!$B$33:$B$40,0)),0)=1)*(COUNTIF(Y2108:Y2125,$B2137)+COUNTIF(Y2108:Y2125,$B2137&amp;" ~*")&gt;0))</f>
        <v/>
      </c>
    </row>
    <row r="2138" ht="15" customHeight="1">
      <c r="A2138" t="n">
        <v>43</v>
      </c>
      <c r="B2138" s="37">
        <f>IF(Setup!$B$17="","",Setup!$B$17)</f>
        <v/>
      </c>
      <c r="C2138" s="102" t="n"/>
      <c r="D2138" s="103" t="n"/>
      <c r="E2138" s="103" t="n"/>
      <c r="F2138" s="104" t="n"/>
      <c r="G2138" s="102" t="n"/>
      <c r="H2138" s="103" t="n"/>
      <c r="I2138" s="103" t="n"/>
      <c r="J2138" s="104" t="n"/>
      <c r="K2138" s="102" t="n"/>
      <c r="L2138" s="103" t="n"/>
      <c r="M2138" s="103" t="n"/>
      <c r="N2138" s="104" t="n"/>
      <c r="O2138" s="102" t="n"/>
      <c r="P2138" s="103" t="n"/>
      <c r="Q2138" s="103" t="n"/>
      <c r="R2138" s="104" t="n"/>
      <c r="S2138" s="102" t="n"/>
      <c r="T2138" s="103" t="n"/>
      <c r="U2138" s="103" t="n"/>
      <c r="V2138" s="104" t="n"/>
      <c r="W2138" s="102" t="n"/>
      <c r="X2138" s="104" t="n"/>
      <c r="Y2138" s="102" t="n"/>
      <c r="Z2138" s="104" t="n"/>
      <c r="AB2138" s="105">
        <f>IF($B2138="","",(COUNTIF(C2108:E2125,$B2138)+COUNTIF(C2108:E2125,$B2138&amp;" ~*")&gt;0)+(COUNTIF(G2108:I2125,$B2138)+COUNTIF(G2108:I2125,$B2138&amp;" ~*")&gt;0)+(COUNTIF(K2108:M2125,$B2138)+COUNTIF(K2108:M2125,$B2138&amp;" ~*")&gt;0)+(COUNTIF(O2108:Q2125,$B2138)+COUNTIF(O2108:Q2125,$B2138&amp;" ~*")&gt;0)+(COUNTIF(S2108:U2125,$B2138)+COUNTIF(S2108:U2125,$B2138&amp;" ~*")&gt;0)+(COUNTIF(W2108:W2125,$B2138)+COUNTIF(W2108:W2125,$B2138&amp;" ~*")&gt;0)+(COUNTIF(Y2108:Y2125,$B2138)+COUNTIF(Y2108:Y2125,$B2138&amp;" ~*")&gt;0))</f>
        <v/>
      </c>
      <c r="AC2138" s="38">
        <f>IF($B2138="","",(IFERROR(INDEX(Setup!$G$33:$G$40,MATCH(C2138,Setup!$B$33:$B$40,0)),0)=1)*(COUNTIF(C2108:E2125,$B2138)+COUNTIF(C2108:E2125,$B2138&amp;" ~*")&gt;0)+(IFERROR(INDEX(Setup!$G$33:$G$40,MATCH(G2138,Setup!$B$33:$B$40,0)),0)=1)*(COUNTIF(G2108:I2125,$B2138)+COUNTIF(G2108:I2125,$B2138&amp;" ~*")&gt;0)+(IFERROR(INDEX(Setup!$G$33:$G$40,MATCH(K2138,Setup!$B$33:$B$40,0)),0)=1)*(COUNTIF(K2108:M2125,$B2138)+COUNTIF(K2108:M2125,$B2138&amp;" ~*")&gt;0)+(IFERROR(INDEX(Setup!$G$33:$G$40,MATCH(O2138,Setup!$B$33:$B$40,0)),0)=1)*(COUNTIF(O2108:Q2125,$B2138)+COUNTIF(O2108:Q2125,$B2138&amp;" ~*")&gt;0)+(IFERROR(INDEX(Setup!$G$33:$G$40,MATCH(S2138,Setup!$B$33:$B$40,0)),0)=1)*(COUNTIF(S2108:U2125,$B2138)+COUNTIF(S2108:U2125,$B2138&amp;" ~*")&gt;0)+(IFERROR(INDEX(Setup!$G$33:$G$40,MATCH(W2138,Setup!$B$33:$B$40,0)),0)=1)*(COUNTIF(W2108:W2125,$B2138)+COUNTIF(W2108:W2125,$B2138&amp;" ~*")&gt;0)+(IFERROR(INDEX(Setup!$G$33:$G$40,MATCH(Y2138,Setup!$B$33:$B$40,0)),0)=1)*(COUNTIF(Y2108:Y2125,$B2138)+COUNTIF(Y2108:Y2125,$B2138&amp;" ~*")&gt;0))</f>
        <v/>
      </c>
    </row>
    <row r="2139" ht="15" customHeight="1">
      <c r="A2139" t="n">
        <v>43</v>
      </c>
      <c r="B2139" s="35">
        <f>IF(Setup!$B$18="","",Setup!$B$18)</f>
        <v/>
      </c>
      <c r="C2139" s="98" t="n"/>
      <c r="D2139" s="99" t="n"/>
      <c r="E2139" s="99" t="n"/>
      <c r="F2139" s="100" t="n"/>
      <c r="G2139" s="98" t="n"/>
      <c r="H2139" s="99" t="n"/>
      <c r="I2139" s="99" t="n"/>
      <c r="J2139" s="100" t="n"/>
      <c r="K2139" s="98" t="n"/>
      <c r="L2139" s="99" t="n"/>
      <c r="M2139" s="99" t="n"/>
      <c r="N2139" s="100" t="n"/>
      <c r="O2139" s="98" t="n"/>
      <c r="P2139" s="99" t="n"/>
      <c r="Q2139" s="99" t="n"/>
      <c r="R2139" s="100" t="n"/>
      <c r="S2139" s="98" t="n"/>
      <c r="T2139" s="99" t="n"/>
      <c r="U2139" s="99" t="n"/>
      <c r="V2139" s="100" t="n"/>
      <c r="W2139" s="98" t="n"/>
      <c r="X2139" s="100" t="n"/>
      <c r="Y2139" s="98" t="n"/>
      <c r="Z2139" s="100" t="n"/>
      <c r="AB2139" s="101">
        <f>IF($B2139="","",(COUNTIF(C2108:E2125,$B2139)+COUNTIF(C2108:E2125,$B2139&amp;" ~*")&gt;0)+(COUNTIF(G2108:I2125,$B2139)+COUNTIF(G2108:I2125,$B2139&amp;" ~*")&gt;0)+(COUNTIF(K2108:M2125,$B2139)+COUNTIF(K2108:M2125,$B2139&amp;" ~*")&gt;0)+(COUNTIF(O2108:Q2125,$B2139)+COUNTIF(O2108:Q2125,$B2139&amp;" ~*")&gt;0)+(COUNTIF(S2108:U2125,$B2139)+COUNTIF(S2108:U2125,$B2139&amp;" ~*")&gt;0)+(COUNTIF(W2108:W2125,$B2139)+COUNTIF(W2108:W2125,$B2139&amp;" ~*")&gt;0)+(COUNTIF(Y2108:Y2125,$B2139)+COUNTIF(Y2108:Y2125,$B2139&amp;" ~*")&gt;0))</f>
        <v/>
      </c>
      <c r="AC2139" s="36">
        <f>IF($B2139="","",(IFERROR(INDEX(Setup!$G$33:$G$40,MATCH(C2139,Setup!$B$33:$B$40,0)),0)=1)*(COUNTIF(C2108:E2125,$B2139)+COUNTIF(C2108:E2125,$B2139&amp;" ~*")&gt;0)+(IFERROR(INDEX(Setup!$G$33:$G$40,MATCH(G2139,Setup!$B$33:$B$40,0)),0)=1)*(COUNTIF(G2108:I2125,$B2139)+COUNTIF(G2108:I2125,$B2139&amp;" ~*")&gt;0)+(IFERROR(INDEX(Setup!$G$33:$G$40,MATCH(K2139,Setup!$B$33:$B$40,0)),0)=1)*(COUNTIF(K2108:M2125,$B2139)+COUNTIF(K2108:M2125,$B2139&amp;" ~*")&gt;0)+(IFERROR(INDEX(Setup!$G$33:$G$40,MATCH(O2139,Setup!$B$33:$B$40,0)),0)=1)*(COUNTIF(O2108:Q2125,$B2139)+COUNTIF(O2108:Q2125,$B2139&amp;" ~*")&gt;0)+(IFERROR(INDEX(Setup!$G$33:$G$40,MATCH(S2139,Setup!$B$33:$B$40,0)),0)=1)*(COUNTIF(S2108:U2125,$B2139)+COUNTIF(S2108:U2125,$B2139&amp;" ~*")&gt;0)+(IFERROR(INDEX(Setup!$G$33:$G$40,MATCH(W2139,Setup!$B$33:$B$40,0)),0)=1)*(COUNTIF(W2108:W2125,$B2139)+COUNTIF(W2108:W2125,$B2139&amp;" ~*")&gt;0)+(IFERROR(INDEX(Setup!$G$33:$G$40,MATCH(Y2139,Setup!$B$33:$B$40,0)),0)=1)*(COUNTIF(Y2108:Y2125,$B2139)+COUNTIF(Y2108:Y2125,$B2139&amp;" ~*")&gt;0))</f>
        <v/>
      </c>
    </row>
    <row r="2140" ht="15" customHeight="1">
      <c r="A2140" t="n">
        <v>43</v>
      </c>
      <c r="B2140" s="37">
        <f>IF(Setup!$B$19="","",Setup!$B$19)</f>
        <v/>
      </c>
      <c r="C2140" s="102" t="n"/>
      <c r="D2140" s="103" t="n"/>
      <c r="E2140" s="103" t="n"/>
      <c r="F2140" s="104" t="n"/>
      <c r="G2140" s="102" t="n"/>
      <c r="H2140" s="103" t="n"/>
      <c r="I2140" s="103" t="n"/>
      <c r="J2140" s="104" t="n"/>
      <c r="K2140" s="102" t="n"/>
      <c r="L2140" s="103" t="n"/>
      <c r="M2140" s="103" t="n"/>
      <c r="N2140" s="104" t="n"/>
      <c r="O2140" s="102" t="n"/>
      <c r="P2140" s="103" t="n"/>
      <c r="Q2140" s="103" t="n"/>
      <c r="R2140" s="104" t="n"/>
      <c r="S2140" s="102" t="n"/>
      <c r="T2140" s="103" t="n"/>
      <c r="U2140" s="103" t="n"/>
      <c r="V2140" s="104" t="n"/>
      <c r="W2140" s="102" t="n"/>
      <c r="X2140" s="104" t="n"/>
      <c r="Y2140" s="102" t="n"/>
      <c r="Z2140" s="104" t="n"/>
      <c r="AB2140" s="105">
        <f>IF($B2140="","",(COUNTIF(C2108:E2125,$B2140)+COUNTIF(C2108:E2125,$B2140&amp;" ~*")&gt;0)+(COUNTIF(G2108:I2125,$B2140)+COUNTIF(G2108:I2125,$B2140&amp;" ~*")&gt;0)+(COUNTIF(K2108:M2125,$B2140)+COUNTIF(K2108:M2125,$B2140&amp;" ~*")&gt;0)+(COUNTIF(O2108:Q2125,$B2140)+COUNTIF(O2108:Q2125,$B2140&amp;" ~*")&gt;0)+(COUNTIF(S2108:U2125,$B2140)+COUNTIF(S2108:U2125,$B2140&amp;" ~*")&gt;0)+(COUNTIF(W2108:W2125,$B2140)+COUNTIF(W2108:W2125,$B2140&amp;" ~*")&gt;0)+(COUNTIF(Y2108:Y2125,$B2140)+COUNTIF(Y2108:Y2125,$B2140&amp;" ~*")&gt;0))</f>
        <v/>
      </c>
      <c r="AC2140" s="38">
        <f>IF($B2140="","",(IFERROR(INDEX(Setup!$G$33:$G$40,MATCH(C2140,Setup!$B$33:$B$40,0)),0)=1)*(COUNTIF(C2108:E2125,$B2140)+COUNTIF(C2108:E2125,$B2140&amp;" ~*")&gt;0)+(IFERROR(INDEX(Setup!$G$33:$G$40,MATCH(G2140,Setup!$B$33:$B$40,0)),0)=1)*(COUNTIF(G2108:I2125,$B2140)+COUNTIF(G2108:I2125,$B2140&amp;" ~*")&gt;0)+(IFERROR(INDEX(Setup!$G$33:$G$40,MATCH(K2140,Setup!$B$33:$B$40,0)),0)=1)*(COUNTIF(K2108:M2125,$B2140)+COUNTIF(K2108:M2125,$B2140&amp;" ~*")&gt;0)+(IFERROR(INDEX(Setup!$G$33:$G$40,MATCH(O2140,Setup!$B$33:$B$40,0)),0)=1)*(COUNTIF(O2108:Q2125,$B2140)+COUNTIF(O2108:Q2125,$B2140&amp;" ~*")&gt;0)+(IFERROR(INDEX(Setup!$G$33:$G$40,MATCH(S2140,Setup!$B$33:$B$40,0)),0)=1)*(COUNTIF(S2108:U2125,$B2140)+COUNTIF(S2108:U2125,$B2140&amp;" ~*")&gt;0)+(IFERROR(INDEX(Setup!$G$33:$G$40,MATCH(W2140,Setup!$B$33:$B$40,0)),0)=1)*(COUNTIF(W2108:W2125,$B2140)+COUNTIF(W2108:W2125,$B2140&amp;" ~*")&gt;0)+(IFERROR(INDEX(Setup!$G$33:$G$40,MATCH(Y2140,Setup!$B$33:$B$40,0)),0)=1)*(COUNTIF(Y2108:Y2125,$B2140)+COUNTIF(Y2108:Y2125,$B2140&amp;" ~*")&gt;0))</f>
        <v/>
      </c>
    </row>
    <row r="2141" ht="15" customHeight="1">
      <c r="A2141" t="n">
        <v>43</v>
      </c>
      <c r="B2141" s="35">
        <f>IF(Setup!$B$20="","",Setup!$B$20)</f>
        <v/>
      </c>
      <c r="C2141" s="98" t="n"/>
      <c r="D2141" s="99" t="n"/>
      <c r="E2141" s="99" t="n"/>
      <c r="F2141" s="100" t="n"/>
      <c r="G2141" s="98" t="n"/>
      <c r="H2141" s="99" t="n"/>
      <c r="I2141" s="99" t="n"/>
      <c r="J2141" s="100" t="n"/>
      <c r="K2141" s="98" t="n"/>
      <c r="L2141" s="99" t="n"/>
      <c r="M2141" s="99" t="n"/>
      <c r="N2141" s="100" t="n"/>
      <c r="O2141" s="98" t="n"/>
      <c r="P2141" s="99" t="n"/>
      <c r="Q2141" s="99" t="n"/>
      <c r="R2141" s="100" t="n"/>
      <c r="S2141" s="98" t="n"/>
      <c r="T2141" s="99" t="n"/>
      <c r="U2141" s="99" t="n"/>
      <c r="V2141" s="100" t="n"/>
      <c r="W2141" s="98" t="n"/>
      <c r="X2141" s="100" t="n"/>
      <c r="Y2141" s="98" t="n"/>
      <c r="Z2141" s="100" t="n"/>
      <c r="AB2141" s="101">
        <f>IF($B2141="","",(COUNTIF(C2108:E2125,$B2141)+COUNTIF(C2108:E2125,$B2141&amp;" ~*")&gt;0)+(COUNTIF(G2108:I2125,$B2141)+COUNTIF(G2108:I2125,$B2141&amp;" ~*")&gt;0)+(COUNTIF(K2108:M2125,$B2141)+COUNTIF(K2108:M2125,$B2141&amp;" ~*")&gt;0)+(COUNTIF(O2108:Q2125,$B2141)+COUNTIF(O2108:Q2125,$B2141&amp;" ~*")&gt;0)+(COUNTIF(S2108:U2125,$B2141)+COUNTIF(S2108:U2125,$B2141&amp;" ~*")&gt;0)+(COUNTIF(W2108:W2125,$B2141)+COUNTIF(W2108:W2125,$B2141&amp;" ~*")&gt;0)+(COUNTIF(Y2108:Y2125,$B2141)+COUNTIF(Y2108:Y2125,$B2141&amp;" ~*")&gt;0))</f>
        <v/>
      </c>
      <c r="AC2141" s="36">
        <f>IF($B2141="","",(IFERROR(INDEX(Setup!$G$33:$G$40,MATCH(C2141,Setup!$B$33:$B$40,0)),0)=1)*(COUNTIF(C2108:E2125,$B2141)+COUNTIF(C2108:E2125,$B2141&amp;" ~*")&gt;0)+(IFERROR(INDEX(Setup!$G$33:$G$40,MATCH(G2141,Setup!$B$33:$B$40,0)),0)=1)*(COUNTIF(G2108:I2125,$B2141)+COUNTIF(G2108:I2125,$B2141&amp;" ~*")&gt;0)+(IFERROR(INDEX(Setup!$G$33:$G$40,MATCH(K2141,Setup!$B$33:$B$40,0)),0)=1)*(COUNTIF(K2108:M2125,$B2141)+COUNTIF(K2108:M2125,$B2141&amp;" ~*")&gt;0)+(IFERROR(INDEX(Setup!$G$33:$G$40,MATCH(O2141,Setup!$B$33:$B$40,0)),0)=1)*(COUNTIF(O2108:Q2125,$B2141)+COUNTIF(O2108:Q2125,$B2141&amp;" ~*")&gt;0)+(IFERROR(INDEX(Setup!$G$33:$G$40,MATCH(S2141,Setup!$B$33:$B$40,0)),0)=1)*(COUNTIF(S2108:U2125,$B2141)+COUNTIF(S2108:U2125,$B2141&amp;" ~*")&gt;0)+(IFERROR(INDEX(Setup!$G$33:$G$40,MATCH(W2141,Setup!$B$33:$B$40,0)),0)=1)*(COUNTIF(W2108:W2125,$B2141)+COUNTIF(W2108:W2125,$B2141&amp;" ~*")&gt;0)+(IFERROR(INDEX(Setup!$G$33:$G$40,MATCH(Y2141,Setup!$B$33:$B$40,0)),0)=1)*(COUNTIF(Y2108:Y2125,$B2141)+COUNTIF(Y2108:Y2125,$B2141&amp;" ~*")&gt;0))</f>
        <v/>
      </c>
    </row>
    <row r="2142" ht="15" customHeight="1">
      <c r="A2142" t="n">
        <v>43</v>
      </c>
      <c r="B2142" s="37">
        <f>IF(Setup!$B$21="","",Setup!$B$21)</f>
        <v/>
      </c>
      <c r="C2142" s="102" t="inlineStr">
        <is>
          <t>AL</t>
        </is>
      </c>
      <c r="D2142" s="103" t="n"/>
      <c r="E2142" s="103" t="n"/>
      <c r="F2142" s="104" t="n"/>
      <c r="G2142" s="102" t="inlineStr">
        <is>
          <t>AL</t>
        </is>
      </c>
      <c r="H2142" s="103" t="n"/>
      <c r="I2142" s="103" t="n"/>
      <c r="J2142" s="104" t="n"/>
      <c r="K2142" s="102" t="inlineStr">
        <is>
          <t>AL</t>
        </is>
      </c>
      <c r="L2142" s="103" t="n"/>
      <c r="M2142" s="103" t="n"/>
      <c r="N2142" s="104" t="n"/>
      <c r="O2142" s="102" t="inlineStr">
        <is>
          <t>AL</t>
        </is>
      </c>
      <c r="P2142" s="103" t="n"/>
      <c r="Q2142" s="103" t="n"/>
      <c r="R2142" s="104" t="n"/>
      <c r="S2142" s="102" t="inlineStr">
        <is>
          <t>AL</t>
        </is>
      </c>
      <c r="T2142" s="103" t="n"/>
      <c r="U2142" s="103" t="n"/>
      <c r="V2142" s="104" t="n"/>
      <c r="W2142" s="102" t="n"/>
      <c r="X2142" s="104" t="n"/>
      <c r="Y2142" s="102" t="n"/>
      <c r="Z2142" s="104" t="n"/>
      <c r="AB2142" s="105">
        <f>IF($B2142="","",(COUNTIF(C2108:E2125,$B2142)+COUNTIF(C2108:E2125,$B2142&amp;" ~*")&gt;0)+(COUNTIF(G2108:I2125,$B2142)+COUNTIF(G2108:I2125,$B2142&amp;" ~*")&gt;0)+(COUNTIF(K2108:M2125,$B2142)+COUNTIF(K2108:M2125,$B2142&amp;" ~*")&gt;0)+(COUNTIF(O2108:Q2125,$B2142)+COUNTIF(O2108:Q2125,$B2142&amp;" ~*")&gt;0)+(COUNTIF(S2108:U2125,$B2142)+COUNTIF(S2108:U2125,$B2142&amp;" ~*")&gt;0)+(COUNTIF(W2108:W2125,$B2142)+COUNTIF(W2108:W2125,$B2142&amp;" ~*")&gt;0)+(COUNTIF(Y2108:Y2125,$B2142)+COUNTIF(Y2108:Y2125,$B2142&amp;" ~*")&gt;0))</f>
        <v/>
      </c>
      <c r="AC2142" s="38">
        <f>IF($B2142="","",(IFERROR(INDEX(Setup!$G$33:$G$40,MATCH(C2142,Setup!$B$33:$B$40,0)),0)=1)*(COUNTIF(C2108:E2125,$B2142)+COUNTIF(C2108:E2125,$B2142&amp;" ~*")&gt;0)+(IFERROR(INDEX(Setup!$G$33:$G$40,MATCH(G2142,Setup!$B$33:$B$40,0)),0)=1)*(COUNTIF(G2108:I2125,$B2142)+COUNTIF(G2108:I2125,$B2142&amp;" ~*")&gt;0)+(IFERROR(INDEX(Setup!$G$33:$G$40,MATCH(K2142,Setup!$B$33:$B$40,0)),0)=1)*(COUNTIF(K2108:M2125,$B2142)+COUNTIF(K2108:M2125,$B2142&amp;" ~*")&gt;0)+(IFERROR(INDEX(Setup!$G$33:$G$40,MATCH(O2142,Setup!$B$33:$B$40,0)),0)=1)*(COUNTIF(O2108:Q2125,$B2142)+COUNTIF(O2108:Q2125,$B2142&amp;" ~*")&gt;0)+(IFERROR(INDEX(Setup!$G$33:$G$40,MATCH(S2142,Setup!$B$33:$B$40,0)),0)=1)*(COUNTIF(S2108:U2125,$B2142)+COUNTIF(S2108:U2125,$B2142&amp;" ~*")&gt;0)+(IFERROR(INDEX(Setup!$G$33:$G$40,MATCH(W2142,Setup!$B$33:$B$40,0)),0)=1)*(COUNTIF(W2108:W2125,$B2142)+COUNTIF(W2108:W2125,$B2142&amp;" ~*")&gt;0)+(IFERROR(INDEX(Setup!$G$33:$G$40,MATCH(Y2142,Setup!$B$33:$B$40,0)),0)=1)*(COUNTIF(Y2108:Y2125,$B2142)+COUNTIF(Y2108:Y2125,$B2142&amp;" ~*")&gt;0))</f>
        <v/>
      </c>
    </row>
    <row r="2143" ht="15" customHeight="1">
      <c r="A2143" t="n">
        <v>43</v>
      </c>
      <c r="B2143" s="35">
        <f>IF(Setup!$B$22="","",Setup!$B$22)</f>
        <v/>
      </c>
      <c r="C2143" s="98" t="n"/>
      <c r="D2143" s="99" t="n"/>
      <c r="E2143" s="99" t="n"/>
      <c r="F2143" s="100" t="n"/>
      <c r="G2143" s="98" t="n"/>
      <c r="H2143" s="99" t="n"/>
      <c r="I2143" s="99" t="n"/>
      <c r="J2143" s="100" t="n"/>
      <c r="K2143" s="98" t="n"/>
      <c r="L2143" s="99" t="n"/>
      <c r="M2143" s="99" t="n"/>
      <c r="N2143" s="100" t="n"/>
      <c r="O2143" s="98" t="n"/>
      <c r="P2143" s="99" t="n"/>
      <c r="Q2143" s="99" t="n"/>
      <c r="R2143" s="100" t="n"/>
      <c r="S2143" s="98" t="n"/>
      <c r="T2143" s="99" t="n"/>
      <c r="U2143" s="99" t="n"/>
      <c r="V2143" s="100" t="n"/>
      <c r="W2143" s="98" t="n"/>
      <c r="X2143" s="100" t="n"/>
      <c r="Y2143" s="98" t="n"/>
      <c r="Z2143" s="100" t="n"/>
      <c r="AB2143" s="101">
        <f>IF($B2143="","",(COUNTIF(C2108:E2125,$B2143)+COUNTIF(C2108:E2125,$B2143&amp;" ~*")&gt;0)+(COUNTIF(G2108:I2125,$B2143)+COUNTIF(G2108:I2125,$B2143&amp;" ~*")&gt;0)+(COUNTIF(K2108:M2125,$B2143)+COUNTIF(K2108:M2125,$B2143&amp;" ~*")&gt;0)+(COUNTIF(O2108:Q2125,$B2143)+COUNTIF(O2108:Q2125,$B2143&amp;" ~*")&gt;0)+(COUNTIF(S2108:U2125,$B2143)+COUNTIF(S2108:U2125,$B2143&amp;" ~*")&gt;0)+(COUNTIF(W2108:W2125,$B2143)+COUNTIF(W2108:W2125,$B2143&amp;" ~*")&gt;0)+(COUNTIF(Y2108:Y2125,$B2143)+COUNTIF(Y2108:Y2125,$B2143&amp;" ~*")&gt;0))</f>
        <v/>
      </c>
      <c r="AC2143" s="36">
        <f>IF($B2143="","",(IFERROR(INDEX(Setup!$G$33:$G$40,MATCH(C2143,Setup!$B$33:$B$40,0)),0)=1)*(COUNTIF(C2108:E2125,$B2143)+COUNTIF(C2108:E2125,$B2143&amp;" ~*")&gt;0)+(IFERROR(INDEX(Setup!$G$33:$G$40,MATCH(G2143,Setup!$B$33:$B$40,0)),0)=1)*(COUNTIF(G2108:I2125,$B2143)+COUNTIF(G2108:I2125,$B2143&amp;" ~*")&gt;0)+(IFERROR(INDEX(Setup!$G$33:$G$40,MATCH(K2143,Setup!$B$33:$B$40,0)),0)=1)*(COUNTIF(K2108:M2125,$B2143)+COUNTIF(K2108:M2125,$B2143&amp;" ~*")&gt;0)+(IFERROR(INDEX(Setup!$G$33:$G$40,MATCH(O2143,Setup!$B$33:$B$40,0)),0)=1)*(COUNTIF(O2108:Q2125,$B2143)+COUNTIF(O2108:Q2125,$B2143&amp;" ~*")&gt;0)+(IFERROR(INDEX(Setup!$G$33:$G$40,MATCH(S2143,Setup!$B$33:$B$40,0)),0)=1)*(COUNTIF(S2108:U2125,$B2143)+COUNTIF(S2108:U2125,$B2143&amp;" ~*")&gt;0)+(IFERROR(INDEX(Setup!$G$33:$G$40,MATCH(W2143,Setup!$B$33:$B$40,0)),0)=1)*(COUNTIF(W2108:W2125,$B2143)+COUNTIF(W2108:W2125,$B2143&amp;" ~*")&gt;0)+(IFERROR(INDEX(Setup!$G$33:$G$40,MATCH(Y2143,Setup!$B$33:$B$40,0)),0)=1)*(COUNTIF(Y2108:Y2125,$B2143)+COUNTIF(Y2108:Y2125,$B2143&amp;" ~*")&gt;0))</f>
        <v/>
      </c>
    </row>
    <row r="2144" ht="15" customHeight="1">
      <c r="A2144" t="n">
        <v>43</v>
      </c>
      <c r="B2144" s="37">
        <f>IF(Setup!$B$23="","",Setup!$B$23)</f>
        <v/>
      </c>
      <c r="C2144" s="102" t="n"/>
      <c r="D2144" s="103" t="n"/>
      <c r="E2144" s="103" t="n"/>
      <c r="F2144" s="104" t="n"/>
      <c r="G2144" s="102" t="n"/>
      <c r="H2144" s="103" t="n"/>
      <c r="I2144" s="103" t="n"/>
      <c r="J2144" s="104" t="n"/>
      <c r="K2144" s="102" t="n"/>
      <c r="L2144" s="103" t="n"/>
      <c r="M2144" s="103" t="n"/>
      <c r="N2144" s="104" t="n"/>
      <c r="O2144" s="102" t="n"/>
      <c r="P2144" s="103" t="n"/>
      <c r="Q2144" s="103" t="n"/>
      <c r="R2144" s="104" t="n"/>
      <c r="S2144" s="102" t="n"/>
      <c r="T2144" s="103" t="n"/>
      <c r="U2144" s="103" t="n"/>
      <c r="V2144" s="104" t="n"/>
      <c r="W2144" s="102" t="n"/>
      <c r="X2144" s="104" t="n"/>
      <c r="Y2144" s="102" t="n"/>
      <c r="Z2144" s="104" t="n"/>
      <c r="AB2144" s="105">
        <f>IF($B2144="","",(COUNTIF(C2108:E2125,$B2144)+COUNTIF(C2108:E2125,$B2144&amp;" ~*")&gt;0)+(COUNTIF(G2108:I2125,$B2144)+COUNTIF(G2108:I2125,$B2144&amp;" ~*")&gt;0)+(COUNTIF(K2108:M2125,$B2144)+COUNTIF(K2108:M2125,$B2144&amp;" ~*")&gt;0)+(COUNTIF(O2108:Q2125,$B2144)+COUNTIF(O2108:Q2125,$B2144&amp;" ~*")&gt;0)+(COUNTIF(S2108:U2125,$B2144)+COUNTIF(S2108:U2125,$B2144&amp;" ~*")&gt;0)+(COUNTIF(W2108:W2125,$B2144)+COUNTIF(W2108:W2125,$B2144&amp;" ~*")&gt;0)+(COUNTIF(Y2108:Y2125,$B2144)+COUNTIF(Y2108:Y2125,$B2144&amp;" ~*")&gt;0))</f>
        <v/>
      </c>
      <c r="AC2144" s="38">
        <f>IF($B2144="","",(IFERROR(INDEX(Setup!$G$33:$G$40,MATCH(C2144,Setup!$B$33:$B$40,0)),0)=1)*(COUNTIF(C2108:E2125,$B2144)+COUNTIF(C2108:E2125,$B2144&amp;" ~*")&gt;0)+(IFERROR(INDEX(Setup!$G$33:$G$40,MATCH(G2144,Setup!$B$33:$B$40,0)),0)=1)*(COUNTIF(G2108:I2125,$B2144)+COUNTIF(G2108:I2125,$B2144&amp;" ~*")&gt;0)+(IFERROR(INDEX(Setup!$G$33:$G$40,MATCH(K2144,Setup!$B$33:$B$40,0)),0)=1)*(COUNTIF(K2108:M2125,$B2144)+COUNTIF(K2108:M2125,$B2144&amp;" ~*")&gt;0)+(IFERROR(INDEX(Setup!$G$33:$G$40,MATCH(O2144,Setup!$B$33:$B$40,0)),0)=1)*(COUNTIF(O2108:Q2125,$B2144)+COUNTIF(O2108:Q2125,$B2144&amp;" ~*")&gt;0)+(IFERROR(INDEX(Setup!$G$33:$G$40,MATCH(S2144,Setup!$B$33:$B$40,0)),0)=1)*(COUNTIF(S2108:U2125,$B2144)+COUNTIF(S2108:U2125,$B2144&amp;" ~*")&gt;0)+(IFERROR(INDEX(Setup!$G$33:$G$40,MATCH(W2144,Setup!$B$33:$B$40,0)),0)=1)*(COUNTIF(W2108:W2125,$B2144)+COUNTIF(W2108:W2125,$B2144&amp;" ~*")&gt;0)+(IFERROR(INDEX(Setup!$G$33:$G$40,MATCH(Y2144,Setup!$B$33:$B$40,0)),0)=1)*(COUNTIF(Y2108:Y2125,$B2144)+COUNTIF(Y2108:Y2125,$B2144&amp;" ~*")&gt;0))</f>
        <v/>
      </c>
    </row>
    <row r="2145" ht="15" customHeight="1">
      <c r="A2145" t="n">
        <v>43</v>
      </c>
      <c r="B2145" s="35">
        <f>IF(Setup!$B$24="","",Setup!$B$24)</f>
        <v/>
      </c>
      <c r="C2145" s="98" t="n"/>
      <c r="D2145" s="99" t="n"/>
      <c r="E2145" s="99" t="n"/>
      <c r="F2145" s="100" t="n"/>
      <c r="G2145" s="98" t="n"/>
      <c r="H2145" s="99" t="n"/>
      <c r="I2145" s="99" t="n"/>
      <c r="J2145" s="100" t="n"/>
      <c r="K2145" s="98" t="n"/>
      <c r="L2145" s="99" t="n"/>
      <c r="M2145" s="99" t="n"/>
      <c r="N2145" s="100" t="n"/>
      <c r="O2145" s="98" t="n"/>
      <c r="P2145" s="99" t="n"/>
      <c r="Q2145" s="99" t="n"/>
      <c r="R2145" s="100" t="n"/>
      <c r="S2145" s="98" t="n"/>
      <c r="T2145" s="99" t="n"/>
      <c r="U2145" s="99" t="n"/>
      <c r="V2145" s="100" t="n"/>
      <c r="W2145" s="98" t="n"/>
      <c r="X2145" s="100" t="n"/>
      <c r="Y2145" s="98" t="n"/>
      <c r="Z2145" s="100" t="n"/>
      <c r="AB2145" s="101">
        <f>IF($B2145="","",(COUNTIF(C2108:E2125,$B2145)+COUNTIF(C2108:E2125,$B2145&amp;" ~*")&gt;0)+(COUNTIF(G2108:I2125,$B2145)+COUNTIF(G2108:I2125,$B2145&amp;" ~*")&gt;0)+(COUNTIF(K2108:M2125,$B2145)+COUNTIF(K2108:M2125,$B2145&amp;" ~*")&gt;0)+(COUNTIF(O2108:Q2125,$B2145)+COUNTIF(O2108:Q2125,$B2145&amp;" ~*")&gt;0)+(COUNTIF(S2108:U2125,$B2145)+COUNTIF(S2108:U2125,$B2145&amp;" ~*")&gt;0)+(COUNTIF(W2108:W2125,$B2145)+COUNTIF(W2108:W2125,$B2145&amp;" ~*")&gt;0)+(COUNTIF(Y2108:Y2125,$B2145)+COUNTIF(Y2108:Y2125,$B2145&amp;" ~*")&gt;0))</f>
        <v/>
      </c>
      <c r="AC2145" s="36">
        <f>IF($B2145="","",(IFERROR(INDEX(Setup!$G$33:$G$40,MATCH(C2145,Setup!$B$33:$B$40,0)),0)=1)*(COUNTIF(C2108:E2125,$B2145)+COUNTIF(C2108:E2125,$B2145&amp;" ~*")&gt;0)+(IFERROR(INDEX(Setup!$G$33:$G$40,MATCH(G2145,Setup!$B$33:$B$40,0)),0)=1)*(COUNTIF(G2108:I2125,$B2145)+COUNTIF(G2108:I2125,$B2145&amp;" ~*")&gt;0)+(IFERROR(INDEX(Setup!$G$33:$G$40,MATCH(K2145,Setup!$B$33:$B$40,0)),0)=1)*(COUNTIF(K2108:M2125,$B2145)+COUNTIF(K2108:M2125,$B2145&amp;" ~*")&gt;0)+(IFERROR(INDEX(Setup!$G$33:$G$40,MATCH(O2145,Setup!$B$33:$B$40,0)),0)=1)*(COUNTIF(O2108:Q2125,$B2145)+COUNTIF(O2108:Q2125,$B2145&amp;" ~*")&gt;0)+(IFERROR(INDEX(Setup!$G$33:$G$40,MATCH(S2145,Setup!$B$33:$B$40,0)),0)=1)*(COUNTIF(S2108:U2125,$B2145)+COUNTIF(S2108:U2125,$B2145&amp;" ~*")&gt;0)+(IFERROR(INDEX(Setup!$G$33:$G$40,MATCH(W2145,Setup!$B$33:$B$40,0)),0)=1)*(COUNTIF(W2108:W2125,$B2145)+COUNTIF(W2108:W2125,$B2145&amp;" ~*")&gt;0)+(IFERROR(INDEX(Setup!$G$33:$G$40,MATCH(Y2145,Setup!$B$33:$B$40,0)),0)=1)*(COUNTIF(Y2108:Y2125,$B2145)+COUNTIF(Y2108:Y2125,$B2145&amp;" ~*")&gt;0))</f>
        <v/>
      </c>
    </row>
    <row r="2146" ht="15" customHeight="1">
      <c r="A2146" t="n">
        <v>43</v>
      </c>
      <c r="B2146" s="37">
        <f>IF(Setup!$B$25="","",Setup!$B$25)</f>
        <v/>
      </c>
      <c r="C2146" s="102" t="n"/>
      <c r="D2146" s="103" t="n"/>
      <c r="E2146" s="103" t="n"/>
      <c r="F2146" s="104" t="n"/>
      <c r="G2146" s="102" t="n"/>
      <c r="H2146" s="103" t="n"/>
      <c r="I2146" s="103" t="n"/>
      <c r="J2146" s="104" t="n"/>
      <c r="K2146" s="102" t="n"/>
      <c r="L2146" s="103" t="n"/>
      <c r="M2146" s="103" t="n"/>
      <c r="N2146" s="104" t="n"/>
      <c r="O2146" s="102" t="n"/>
      <c r="P2146" s="103" t="n"/>
      <c r="Q2146" s="103" t="n"/>
      <c r="R2146" s="104" t="n"/>
      <c r="S2146" s="102" t="n"/>
      <c r="T2146" s="103" t="n"/>
      <c r="U2146" s="103" t="n"/>
      <c r="V2146" s="104" t="n"/>
      <c r="W2146" s="102" t="n"/>
      <c r="X2146" s="104" t="n"/>
      <c r="Y2146" s="102" t="n"/>
      <c r="Z2146" s="104" t="n"/>
      <c r="AB2146" s="105">
        <f>IF($B2146="","",(COUNTIF(C2108:E2125,$B2146)+COUNTIF(C2108:E2125,$B2146&amp;" ~*")&gt;0)+(COUNTIF(G2108:I2125,$B2146)+COUNTIF(G2108:I2125,$B2146&amp;" ~*")&gt;0)+(COUNTIF(K2108:M2125,$B2146)+COUNTIF(K2108:M2125,$B2146&amp;" ~*")&gt;0)+(COUNTIF(O2108:Q2125,$B2146)+COUNTIF(O2108:Q2125,$B2146&amp;" ~*")&gt;0)+(COUNTIF(S2108:U2125,$B2146)+COUNTIF(S2108:U2125,$B2146&amp;" ~*")&gt;0)+(COUNTIF(W2108:W2125,$B2146)+COUNTIF(W2108:W2125,$B2146&amp;" ~*")&gt;0)+(COUNTIF(Y2108:Y2125,$B2146)+COUNTIF(Y2108:Y2125,$B2146&amp;" ~*")&gt;0))</f>
        <v/>
      </c>
      <c r="AC2146" s="38">
        <f>IF($B2146="","",(IFERROR(INDEX(Setup!$G$33:$G$40,MATCH(C2146,Setup!$B$33:$B$40,0)),0)=1)*(COUNTIF(C2108:E2125,$B2146)+COUNTIF(C2108:E2125,$B2146&amp;" ~*")&gt;0)+(IFERROR(INDEX(Setup!$G$33:$G$40,MATCH(G2146,Setup!$B$33:$B$40,0)),0)=1)*(COUNTIF(G2108:I2125,$B2146)+COUNTIF(G2108:I2125,$B2146&amp;" ~*")&gt;0)+(IFERROR(INDEX(Setup!$G$33:$G$40,MATCH(K2146,Setup!$B$33:$B$40,0)),0)=1)*(COUNTIF(K2108:M2125,$B2146)+COUNTIF(K2108:M2125,$B2146&amp;" ~*")&gt;0)+(IFERROR(INDEX(Setup!$G$33:$G$40,MATCH(O2146,Setup!$B$33:$B$40,0)),0)=1)*(COUNTIF(O2108:Q2125,$B2146)+COUNTIF(O2108:Q2125,$B2146&amp;" ~*")&gt;0)+(IFERROR(INDEX(Setup!$G$33:$G$40,MATCH(S2146,Setup!$B$33:$B$40,0)),0)=1)*(COUNTIF(S2108:U2125,$B2146)+COUNTIF(S2108:U2125,$B2146&amp;" ~*")&gt;0)+(IFERROR(INDEX(Setup!$G$33:$G$40,MATCH(W2146,Setup!$B$33:$B$40,0)),0)=1)*(COUNTIF(W2108:W2125,$B2146)+COUNTIF(W2108:W2125,$B2146&amp;" ~*")&gt;0)+(IFERROR(INDEX(Setup!$G$33:$G$40,MATCH(Y2146,Setup!$B$33:$B$40,0)),0)=1)*(COUNTIF(Y2108:Y2125,$B2146)+COUNTIF(Y2108:Y2125,$B2146&amp;" ~*")&gt;0))</f>
        <v/>
      </c>
    </row>
    <row r="2147" ht="15" customHeight="1">
      <c r="A2147" t="n">
        <v>43</v>
      </c>
      <c r="B2147" s="35">
        <f>IF(Setup!$B$26="","",Setup!$B$26)</f>
        <v/>
      </c>
      <c r="C2147" s="98" t="n"/>
      <c r="D2147" s="99" t="n"/>
      <c r="E2147" s="99" t="n"/>
      <c r="F2147" s="100" t="n"/>
      <c r="G2147" s="98" t="n"/>
      <c r="H2147" s="99" t="n"/>
      <c r="I2147" s="99" t="n"/>
      <c r="J2147" s="100" t="n"/>
      <c r="K2147" s="98" t="n"/>
      <c r="L2147" s="99" t="n"/>
      <c r="M2147" s="99" t="n"/>
      <c r="N2147" s="100" t="n"/>
      <c r="O2147" s="98" t="n"/>
      <c r="P2147" s="99" t="n"/>
      <c r="Q2147" s="99" t="n"/>
      <c r="R2147" s="100" t="n"/>
      <c r="S2147" s="98" t="n"/>
      <c r="T2147" s="99" t="n"/>
      <c r="U2147" s="99" t="n"/>
      <c r="V2147" s="100" t="n"/>
      <c r="W2147" s="98" t="n"/>
      <c r="X2147" s="100" t="n"/>
      <c r="Y2147" s="98" t="n"/>
      <c r="Z2147" s="100" t="n"/>
      <c r="AB2147" s="101">
        <f>IF($B2147="","",(COUNTIF(C2108:E2125,$B2147)+COUNTIF(C2108:E2125,$B2147&amp;" ~*")&gt;0)+(COUNTIF(G2108:I2125,$B2147)+COUNTIF(G2108:I2125,$B2147&amp;" ~*")&gt;0)+(COUNTIF(K2108:M2125,$B2147)+COUNTIF(K2108:M2125,$B2147&amp;" ~*")&gt;0)+(COUNTIF(O2108:Q2125,$B2147)+COUNTIF(O2108:Q2125,$B2147&amp;" ~*")&gt;0)+(COUNTIF(S2108:U2125,$B2147)+COUNTIF(S2108:U2125,$B2147&amp;" ~*")&gt;0)+(COUNTIF(W2108:W2125,$B2147)+COUNTIF(W2108:W2125,$B2147&amp;" ~*")&gt;0)+(COUNTIF(Y2108:Y2125,$B2147)+COUNTIF(Y2108:Y2125,$B2147&amp;" ~*")&gt;0))</f>
        <v/>
      </c>
      <c r="AC2147" s="36">
        <f>IF($B2147="","",(IFERROR(INDEX(Setup!$G$33:$G$40,MATCH(C2147,Setup!$B$33:$B$40,0)),0)=1)*(COUNTIF(C2108:E2125,$B2147)+COUNTIF(C2108:E2125,$B2147&amp;" ~*")&gt;0)+(IFERROR(INDEX(Setup!$G$33:$G$40,MATCH(G2147,Setup!$B$33:$B$40,0)),0)=1)*(COUNTIF(G2108:I2125,$B2147)+COUNTIF(G2108:I2125,$B2147&amp;" ~*")&gt;0)+(IFERROR(INDEX(Setup!$G$33:$G$40,MATCH(K2147,Setup!$B$33:$B$40,0)),0)=1)*(COUNTIF(K2108:M2125,$B2147)+COUNTIF(K2108:M2125,$B2147&amp;" ~*")&gt;0)+(IFERROR(INDEX(Setup!$G$33:$G$40,MATCH(O2147,Setup!$B$33:$B$40,0)),0)=1)*(COUNTIF(O2108:Q2125,$B2147)+COUNTIF(O2108:Q2125,$B2147&amp;" ~*")&gt;0)+(IFERROR(INDEX(Setup!$G$33:$G$40,MATCH(S2147,Setup!$B$33:$B$40,0)),0)=1)*(COUNTIF(S2108:U2125,$B2147)+COUNTIF(S2108:U2125,$B2147&amp;" ~*")&gt;0)+(IFERROR(INDEX(Setup!$G$33:$G$40,MATCH(W2147,Setup!$B$33:$B$40,0)),0)=1)*(COUNTIF(W2108:W2125,$B2147)+COUNTIF(W2108:W2125,$B2147&amp;" ~*")&gt;0)+(IFERROR(INDEX(Setup!$G$33:$G$40,MATCH(Y2147,Setup!$B$33:$B$40,0)),0)=1)*(COUNTIF(Y2108:Y2125,$B2147)+COUNTIF(Y2108:Y2125,$B2147&amp;" ~*")&gt;0))</f>
        <v/>
      </c>
    </row>
    <row r="2148" ht="15" customHeight="1">
      <c r="A2148" t="n">
        <v>43</v>
      </c>
      <c r="B2148" s="37">
        <f>IF(Setup!$B$27="","",Setup!$B$27)</f>
        <v/>
      </c>
      <c r="C2148" s="102" t="n"/>
      <c r="D2148" s="103" t="n"/>
      <c r="E2148" s="103" t="n"/>
      <c r="F2148" s="104" t="n"/>
      <c r="G2148" s="102" t="n"/>
      <c r="H2148" s="103" t="n"/>
      <c r="I2148" s="103" t="n"/>
      <c r="J2148" s="104" t="n"/>
      <c r="K2148" s="102" t="n"/>
      <c r="L2148" s="103" t="n"/>
      <c r="M2148" s="103" t="n"/>
      <c r="N2148" s="104" t="n"/>
      <c r="O2148" s="102" t="n"/>
      <c r="P2148" s="103" t="n"/>
      <c r="Q2148" s="103" t="n"/>
      <c r="R2148" s="104" t="n"/>
      <c r="S2148" s="102" t="n"/>
      <c r="T2148" s="103" t="n"/>
      <c r="U2148" s="103" t="n"/>
      <c r="V2148" s="104" t="n"/>
      <c r="W2148" s="102" t="n"/>
      <c r="X2148" s="104" t="n"/>
      <c r="Y2148" s="102" t="n"/>
      <c r="Z2148" s="104" t="n"/>
      <c r="AB2148" s="105">
        <f>IF($B2148="","",(COUNTIF(C2108:E2125,$B2148)+COUNTIF(C2108:E2125,$B2148&amp;" ~*")&gt;0)+(COUNTIF(G2108:I2125,$B2148)+COUNTIF(G2108:I2125,$B2148&amp;" ~*")&gt;0)+(COUNTIF(K2108:M2125,$B2148)+COUNTIF(K2108:M2125,$B2148&amp;" ~*")&gt;0)+(COUNTIF(O2108:Q2125,$B2148)+COUNTIF(O2108:Q2125,$B2148&amp;" ~*")&gt;0)+(COUNTIF(S2108:U2125,$B2148)+COUNTIF(S2108:U2125,$B2148&amp;" ~*")&gt;0)+(COUNTIF(W2108:W2125,$B2148)+COUNTIF(W2108:W2125,$B2148&amp;" ~*")&gt;0)+(COUNTIF(Y2108:Y2125,$B2148)+COUNTIF(Y2108:Y2125,$B2148&amp;" ~*")&gt;0))</f>
        <v/>
      </c>
      <c r="AC2148" s="38">
        <f>IF($B2148="","",(IFERROR(INDEX(Setup!$G$33:$G$40,MATCH(C2148,Setup!$B$33:$B$40,0)),0)=1)*(COUNTIF(C2108:E2125,$B2148)+COUNTIF(C2108:E2125,$B2148&amp;" ~*")&gt;0)+(IFERROR(INDEX(Setup!$G$33:$G$40,MATCH(G2148,Setup!$B$33:$B$40,0)),0)=1)*(COUNTIF(G2108:I2125,$B2148)+COUNTIF(G2108:I2125,$B2148&amp;" ~*")&gt;0)+(IFERROR(INDEX(Setup!$G$33:$G$40,MATCH(K2148,Setup!$B$33:$B$40,0)),0)=1)*(COUNTIF(K2108:M2125,$B2148)+COUNTIF(K2108:M2125,$B2148&amp;" ~*")&gt;0)+(IFERROR(INDEX(Setup!$G$33:$G$40,MATCH(O2148,Setup!$B$33:$B$40,0)),0)=1)*(COUNTIF(O2108:Q2125,$B2148)+COUNTIF(O2108:Q2125,$B2148&amp;" ~*")&gt;0)+(IFERROR(INDEX(Setup!$G$33:$G$40,MATCH(S2148,Setup!$B$33:$B$40,0)),0)=1)*(COUNTIF(S2108:U2125,$B2148)+COUNTIF(S2108:U2125,$B2148&amp;" ~*")&gt;0)+(IFERROR(INDEX(Setup!$G$33:$G$40,MATCH(W2148,Setup!$B$33:$B$40,0)),0)=1)*(COUNTIF(W2108:W2125,$B2148)+COUNTIF(W2108:W2125,$B2148&amp;" ~*")&gt;0)+(IFERROR(INDEX(Setup!$G$33:$G$40,MATCH(Y2148,Setup!$B$33:$B$40,0)),0)=1)*(COUNTIF(Y2108:Y2125,$B2148)+COUNTIF(Y2108:Y2125,$B2148&amp;" ~*")&gt;0))</f>
        <v/>
      </c>
    </row>
    <row r="2149" ht="15" customHeight="1">
      <c r="A2149" t="n">
        <v>43</v>
      </c>
      <c r="B2149" s="35">
        <f>IF(Setup!$B$28="","",Setup!$B$28)</f>
        <v/>
      </c>
      <c r="C2149" s="98" t="n"/>
      <c r="D2149" s="99" t="n"/>
      <c r="E2149" s="99" t="n"/>
      <c r="F2149" s="100" t="n"/>
      <c r="G2149" s="98" t="n"/>
      <c r="H2149" s="99" t="n"/>
      <c r="I2149" s="99" t="n"/>
      <c r="J2149" s="100" t="n"/>
      <c r="K2149" s="98" t="n"/>
      <c r="L2149" s="99" t="n"/>
      <c r="M2149" s="99" t="n"/>
      <c r="N2149" s="100" t="n"/>
      <c r="O2149" s="98" t="n"/>
      <c r="P2149" s="99" t="n"/>
      <c r="Q2149" s="99" t="n"/>
      <c r="R2149" s="100" t="n"/>
      <c r="S2149" s="98" t="n"/>
      <c r="T2149" s="99" t="n"/>
      <c r="U2149" s="99" t="n"/>
      <c r="V2149" s="100" t="n"/>
      <c r="W2149" s="98" t="n"/>
      <c r="X2149" s="100" t="n"/>
      <c r="Y2149" s="98" t="n"/>
      <c r="Z2149" s="100" t="n"/>
      <c r="AB2149" s="101">
        <f>IF($B2149="","",(COUNTIF(C2108:E2125,$B2149)+COUNTIF(C2108:E2125,$B2149&amp;" ~*")&gt;0)+(COUNTIF(G2108:I2125,$B2149)+COUNTIF(G2108:I2125,$B2149&amp;" ~*")&gt;0)+(COUNTIF(K2108:M2125,$B2149)+COUNTIF(K2108:M2125,$B2149&amp;" ~*")&gt;0)+(COUNTIF(O2108:Q2125,$B2149)+COUNTIF(O2108:Q2125,$B2149&amp;" ~*")&gt;0)+(COUNTIF(S2108:U2125,$B2149)+COUNTIF(S2108:U2125,$B2149&amp;" ~*")&gt;0)+(COUNTIF(W2108:W2125,$B2149)+COUNTIF(W2108:W2125,$B2149&amp;" ~*")&gt;0)+(COUNTIF(Y2108:Y2125,$B2149)+COUNTIF(Y2108:Y2125,$B2149&amp;" ~*")&gt;0))</f>
        <v/>
      </c>
      <c r="AC2149" s="36">
        <f>IF($B2149="","",(IFERROR(INDEX(Setup!$G$33:$G$40,MATCH(C2149,Setup!$B$33:$B$40,0)),0)=1)*(COUNTIF(C2108:E2125,$B2149)+COUNTIF(C2108:E2125,$B2149&amp;" ~*")&gt;0)+(IFERROR(INDEX(Setup!$G$33:$G$40,MATCH(G2149,Setup!$B$33:$B$40,0)),0)=1)*(COUNTIF(G2108:I2125,$B2149)+COUNTIF(G2108:I2125,$B2149&amp;" ~*")&gt;0)+(IFERROR(INDEX(Setup!$G$33:$G$40,MATCH(K2149,Setup!$B$33:$B$40,0)),0)=1)*(COUNTIF(K2108:M2125,$B2149)+COUNTIF(K2108:M2125,$B2149&amp;" ~*")&gt;0)+(IFERROR(INDEX(Setup!$G$33:$G$40,MATCH(O2149,Setup!$B$33:$B$40,0)),0)=1)*(COUNTIF(O2108:Q2125,$B2149)+COUNTIF(O2108:Q2125,$B2149&amp;" ~*")&gt;0)+(IFERROR(INDEX(Setup!$G$33:$G$40,MATCH(S2149,Setup!$B$33:$B$40,0)),0)=1)*(COUNTIF(S2108:U2125,$B2149)+COUNTIF(S2108:U2125,$B2149&amp;" ~*")&gt;0)+(IFERROR(INDEX(Setup!$G$33:$G$40,MATCH(W2149,Setup!$B$33:$B$40,0)),0)=1)*(COUNTIF(W2108:W2125,$B2149)+COUNTIF(W2108:W2125,$B2149&amp;" ~*")&gt;0)+(IFERROR(INDEX(Setup!$G$33:$G$40,MATCH(Y2149,Setup!$B$33:$B$40,0)),0)=1)*(COUNTIF(Y2108:Y2125,$B2149)+COUNTIF(Y2108:Y2125,$B2149&amp;" ~*")&gt;0))</f>
        <v/>
      </c>
    </row>
    <row r="2150" ht="15" customHeight="1">
      <c r="A2150" t="n">
        <v>43</v>
      </c>
      <c r="B2150" s="37">
        <f>IF(Setup!$B$29="","",Setup!$B$29)</f>
        <v/>
      </c>
      <c r="C2150" s="102" t="n"/>
      <c r="D2150" s="103" t="n"/>
      <c r="E2150" s="103" t="n"/>
      <c r="F2150" s="104" t="n"/>
      <c r="G2150" s="102" t="n"/>
      <c r="H2150" s="103" t="n"/>
      <c r="I2150" s="103" t="n"/>
      <c r="J2150" s="104" t="n"/>
      <c r="K2150" s="102" t="n"/>
      <c r="L2150" s="103" t="n"/>
      <c r="M2150" s="103" t="n"/>
      <c r="N2150" s="104" t="n"/>
      <c r="O2150" s="102" t="n"/>
      <c r="P2150" s="103" t="n"/>
      <c r="Q2150" s="103" t="n"/>
      <c r="R2150" s="104" t="n"/>
      <c r="S2150" s="102" t="n"/>
      <c r="T2150" s="103" t="n"/>
      <c r="U2150" s="103" t="n"/>
      <c r="V2150" s="104" t="n"/>
      <c r="W2150" s="102" t="n"/>
      <c r="X2150" s="104" t="n"/>
      <c r="Y2150" s="102" t="n"/>
      <c r="Z2150" s="104" t="n"/>
      <c r="AB2150" s="105">
        <f>IF($B2150="","",(COUNTIF(C2108:E2125,$B2150)+COUNTIF(C2108:E2125,$B2150&amp;" ~*")&gt;0)+(COUNTIF(G2108:I2125,$B2150)+COUNTIF(G2108:I2125,$B2150&amp;" ~*")&gt;0)+(COUNTIF(K2108:M2125,$B2150)+COUNTIF(K2108:M2125,$B2150&amp;" ~*")&gt;0)+(COUNTIF(O2108:Q2125,$B2150)+COUNTIF(O2108:Q2125,$B2150&amp;" ~*")&gt;0)+(COUNTIF(S2108:U2125,$B2150)+COUNTIF(S2108:U2125,$B2150&amp;" ~*")&gt;0)+(COUNTIF(W2108:W2125,$B2150)+COUNTIF(W2108:W2125,$B2150&amp;" ~*")&gt;0)+(COUNTIF(Y2108:Y2125,$B2150)+COUNTIF(Y2108:Y2125,$B2150&amp;" ~*")&gt;0))</f>
        <v/>
      </c>
      <c r="AC2150" s="38">
        <f>IF($B2150="","",(IFERROR(INDEX(Setup!$G$33:$G$40,MATCH(C2150,Setup!$B$33:$B$40,0)),0)=1)*(COUNTIF(C2108:E2125,$B2150)+COUNTIF(C2108:E2125,$B2150&amp;" ~*")&gt;0)+(IFERROR(INDEX(Setup!$G$33:$G$40,MATCH(G2150,Setup!$B$33:$B$40,0)),0)=1)*(COUNTIF(G2108:I2125,$B2150)+COUNTIF(G2108:I2125,$B2150&amp;" ~*")&gt;0)+(IFERROR(INDEX(Setup!$G$33:$G$40,MATCH(K2150,Setup!$B$33:$B$40,0)),0)=1)*(COUNTIF(K2108:M2125,$B2150)+COUNTIF(K2108:M2125,$B2150&amp;" ~*")&gt;0)+(IFERROR(INDEX(Setup!$G$33:$G$40,MATCH(O2150,Setup!$B$33:$B$40,0)),0)=1)*(COUNTIF(O2108:Q2125,$B2150)+COUNTIF(O2108:Q2125,$B2150&amp;" ~*")&gt;0)+(IFERROR(INDEX(Setup!$G$33:$G$40,MATCH(S2150,Setup!$B$33:$B$40,0)),0)=1)*(COUNTIF(S2108:U2125,$B2150)+COUNTIF(S2108:U2125,$B2150&amp;" ~*")&gt;0)+(IFERROR(INDEX(Setup!$G$33:$G$40,MATCH(W2150,Setup!$B$33:$B$40,0)),0)=1)*(COUNTIF(W2108:W2125,$B2150)+COUNTIF(W2108:W2125,$B2150&amp;" ~*")&gt;0)+(IFERROR(INDEX(Setup!$G$33:$G$40,MATCH(Y2150,Setup!$B$33:$B$40,0)),0)=1)*(COUNTIF(Y2108:Y2125,$B2150)+COUNTIF(Y2108:Y2125,$B2150&amp;" ~*")&gt;0))</f>
        <v/>
      </c>
    </row>
    <row r="2151" ht="16" customHeight="1">
      <c r="A2151" t="n">
        <v>43</v>
      </c>
      <c r="B2151" s="106" t="inlineStr">
        <is>
          <t>Available people</t>
        </is>
      </c>
      <c r="C2151" s="107">
        <f>COUNTIFS(Setup!$E$6:$E$29,"Y",Setup!$B$6:$B$29,"?*")-SUMPRODUCT(COUNTIF(C2127:C2150,Setup!$F$33:$F$40))</f>
        <v/>
      </c>
      <c r="D2151" s="107" t="n"/>
      <c r="E2151" s="107" t="n"/>
      <c r="F2151" s="107" t="n"/>
      <c r="G2151" s="107">
        <f>COUNTIFS(Setup!$E$6:$E$29,"Y",Setup!$B$6:$B$29,"?*")-SUMPRODUCT(COUNTIF(G2127:G2150,Setup!$F$33:$F$40))</f>
        <v/>
      </c>
      <c r="H2151" s="107" t="n"/>
      <c r="I2151" s="107" t="n"/>
      <c r="J2151" s="107" t="n"/>
      <c r="K2151" s="107">
        <f>COUNTIFS(Setup!$E$6:$E$29,"Y",Setup!$B$6:$B$29,"?*")-SUMPRODUCT(COUNTIF(K2127:K2150,Setup!$F$33:$F$40))</f>
        <v/>
      </c>
      <c r="L2151" s="107" t="n"/>
      <c r="M2151" s="107" t="n"/>
      <c r="N2151" s="107" t="n"/>
      <c r="O2151" s="107">
        <f>COUNTIFS(Setup!$E$6:$E$29,"Y",Setup!$B$6:$B$29,"?*")-SUMPRODUCT(COUNTIF(O2127:O2150,Setup!$F$33:$F$40))</f>
        <v/>
      </c>
      <c r="P2151" s="107" t="n"/>
      <c r="Q2151" s="107" t="n"/>
      <c r="R2151" s="107" t="n"/>
      <c r="S2151" s="107">
        <f>COUNTIFS(Setup!$E$6:$E$29,"Y",Setup!$B$6:$B$29,"?*")-SUMPRODUCT(COUNTIF(S2127:S2150,Setup!$F$33:$F$40))</f>
        <v/>
      </c>
      <c r="T2151" s="107" t="n"/>
      <c r="U2151" s="107" t="n"/>
      <c r="V2151" s="107" t="n"/>
      <c r="W2151" s="107">
        <f>COUNTIFS(Setup!$E$6:$E$29,"Y",Setup!$B$6:$B$29,"?*")-SUMPRODUCT(COUNTIF(W2127:W2150,Setup!$F$33:$F$40))</f>
        <v/>
      </c>
      <c r="X2151" s="107" t="n"/>
      <c r="Y2151" s="107">
        <f>COUNTIFS(Setup!$E$6:$E$29,"Y",Setup!$B$6:$B$29,"?*")-SUMPRODUCT(COUNTIF(Y2127:Y2150,Setup!$F$33:$F$40))</f>
        <v/>
      </c>
      <c r="Z2151" s="107" t="n"/>
      <c r="AB2151" s="108">
        <f>SUM(AB2127:AB2150)</f>
        <v/>
      </c>
      <c r="AC2151" s="109">
        <f>SUM(AC2127:AC2150)</f>
        <v/>
      </c>
    </row>
    <row r="2152" ht="30" customHeight="1">
      <c r="A2152" t="n">
        <v>43</v>
      </c>
      <c r="B2152" s="110" t="inlineStr">
        <is>
          <t>Week notes</t>
        </is>
      </c>
      <c r="C2152" s="111" t="n"/>
      <c r="D2152" s="112" t="n"/>
      <c r="E2152" s="112" t="n"/>
      <c r="F2152" s="112" t="n"/>
      <c r="G2152" s="112" t="n"/>
      <c r="H2152" s="112" t="n"/>
      <c r="I2152" s="112" t="n"/>
      <c r="J2152" s="112" t="n"/>
      <c r="K2152" s="112" t="n"/>
      <c r="L2152" s="112" t="n"/>
      <c r="M2152" s="112" t="n"/>
      <c r="N2152" s="112" t="n"/>
      <c r="O2152" s="112" t="n"/>
      <c r="P2152" s="112" t="n"/>
      <c r="Q2152" s="112" t="n"/>
      <c r="R2152" s="112" t="n"/>
      <c r="S2152" s="112" t="n"/>
      <c r="T2152" s="112" t="n"/>
      <c r="U2152" s="112" t="n"/>
      <c r="V2152" s="112" t="n"/>
      <c r="W2152" s="112" t="n"/>
      <c r="X2152" s="112" t="n"/>
      <c r="Y2152" s="112" t="n"/>
      <c r="Z2152" s="113" t="n"/>
    </row>
    <row r="2153" ht="8" customHeight="1">
      <c r="A2153" t="n">
        <v>43</v>
      </c>
    </row>
    <row r="2154" ht="8" customHeight="1">
      <c r="A2154" t="n">
        <v>43</v>
      </c>
    </row>
    <row r="2155" ht="24" customHeight="1">
      <c r="A2155" t="n">
        <v>44</v>
      </c>
      <c r="B2155" s="73">
        <f>"WEEK 44     "&amp;TEXT(C2156,"ddd d mmm")&amp;"  –  "&amp;TEXT(C2156+6,"ddd d mmm yyyy")</f>
        <v/>
      </c>
      <c r="S2155" s="74">
        <f>IF(TODAY()&lt;C2156,"FUTURE",IF(TODAY()&gt;C2156+6,"PAST","THIS WEEK"))</f>
        <v/>
      </c>
      <c r="W2155" s="75">
        <f>IF(AND(Engine!$B$8=$AC$3,Engine!$B$9=$A2155),"◀ ACTIVE WEEK","")</f>
        <v/>
      </c>
      <c r="AA2155" s="76" t="n"/>
      <c r="AB2155" s="77" t="inlineStr">
        <is>
          <t>◀ Prev</t>
        </is>
      </c>
      <c r="AC2155" s="77" t="inlineStr">
        <is>
          <t>Next ▶</t>
        </is>
      </c>
    </row>
    <row r="2156" ht="18" customHeight="1">
      <c r="A2156" t="n">
        <v>44</v>
      </c>
      <c r="B2156" s="78" t="inlineStr">
        <is>
          <t>DUTY</t>
        </is>
      </c>
      <c r="C2156" s="79">
        <f>$AC$2+7*($A2156-1)</f>
        <v/>
      </c>
      <c r="D2156" s="80" t="n"/>
      <c r="E2156" s="80" t="n"/>
      <c r="F2156" s="81" t="n"/>
      <c r="G2156" s="79">
        <f>C2156+1</f>
        <v/>
      </c>
      <c r="H2156" s="80" t="n"/>
      <c r="I2156" s="80" t="n"/>
      <c r="J2156" s="81" t="n"/>
      <c r="K2156" s="79">
        <f>C2156+2</f>
        <v/>
      </c>
      <c r="L2156" s="80" t="n"/>
      <c r="M2156" s="80" t="n"/>
      <c r="N2156" s="81" t="n"/>
      <c r="O2156" s="79">
        <f>C2156+3</f>
        <v/>
      </c>
      <c r="P2156" s="80" t="n"/>
      <c r="Q2156" s="80" t="n"/>
      <c r="R2156" s="81" t="n"/>
      <c r="S2156" s="79">
        <f>C2156+4</f>
        <v/>
      </c>
      <c r="T2156" s="80" t="n"/>
      <c r="U2156" s="80" t="n"/>
      <c r="V2156" s="81" t="n"/>
      <c r="W2156" s="82">
        <f>C2156+5</f>
        <v/>
      </c>
      <c r="X2156" s="83" t="n"/>
      <c r="Y2156" s="82">
        <f>C2156+6</f>
        <v/>
      </c>
      <c r="Z2156" s="83" t="n"/>
      <c r="AB2156" s="72" t="inlineStr">
        <is>
          <t>Gaps</t>
        </is>
      </c>
      <c r="AC2156" s="72" t="inlineStr">
        <is>
          <t>Cover</t>
        </is>
      </c>
    </row>
    <row r="2157" ht="14" customHeight="1">
      <c r="A2157" t="n">
        <v>44</v>
      </c>
      <c r="B2157" s="84" t="inlineStr">
        <is>
          <t>(from Setup)</t>
        </is>
      </c>
      <c r="C2157" s="85" t="inlineStr">
        <is>
          <t>1</t>
        </is>
      </c>
      <c r="D2157" s="85" t="inlineStr">
        <is>
          <t>2</t>
        </is>
      </c>
      <c r="E2157" s="85" t="inlineStr">
        <is>
          <t>3</t>
        </is>
      </c>
      <c r="F2157" s="85" t="inlineStr">
        <is>
          <t>Notes</t>
        </is>
      </c>
      <c r="G2157" s="85" t="inlineStr">
        <is>
          <t>1</t>
        </is>
      </c>
      <c r="H2157" s="85" t="inlineStr">
        <is>
          <t>2</t>
        </is>
      </c>
      <c r="I2157" s="85" t="inlineStr">
        <is>
          <t>3</t>
        </is>
      </c>
      <c r="J2157" s="85" t="inlineStr">
        <is>
          <t>Notes</t>
        </is>
      </c>
      <c r="K2157" s="85" t="inlineStr">
        <is>
          <t>1</t>
        </is>
      </c>
      <c r="L2157" s="85" t="inlineStr">
        <is>
          <t>2</t>
        </is>
      </c>
      <c r="M2157" s="85" t="inlineStr">
        <is>
          <t>3</t>
        </is>
      </c>
      <c r="N2157" s="85" t="inlineStr">
        <is>
          <t>Notes</t>
        </is>
      </c>
      <c r="O2157" s="85" t="inlineStr">
        <is>
          <t>1</t>
        </is>
      </c>
      <c r="P2157" s="85" t="inlineStr">
        <is>
          <t>2</t>
        </is>
      </c>
      <c r="Q2157" s="85" t="inlineStr">
        <is>
          <t>3</t>
        </is>
      </c>
      <c r="R2157" s="85" t="inlineStr">
        <is>
          <t>Notes</t>
        </is>
      </c>
      <c r="S2157" s="85" t="inlineStr">
        <is>
          <t>1</t>
        </is>
      </c>
      <c r="T2157" s="85" t="inlineStr">
        <is>
          <t>2</t>
        </is>
      </c>
      <c r="U2157" s="85" t="inlineStr">
        <is>
          <t>3</t>
        </is>
      </c>
      <c r="V2157" s="85" t="inlineStr">
        <is>
          <t>Notes</t>
        </is>
      </c>
      <c r="W2157" s="85" t="inlineStr">
        <is>
          <t>Cover</t>
        </is>
      </c>
      <c r="X2157" s="85" t="inlineStr">
        <is>
          <t>Notes</t>
        </is>
      </c>
      <c r="Y2157" s="85" t="inlineStr">
        <is>
          <t>Cover</t>
        </is>
      </c>
      <c r="Z2157" s="85" t="inlineStr">
        <is>
          <t>Notes</t>
        </is>
      </c>
      <c r="AB2157" s="86" t="inlineStr">
        <is>
          <t>weekdays short</t>
        </is>
      </c>
      <c r="AC2157" s="87" t="inlineStr"/>
    </row>
    <row r="2158" ht="17" customHeight="1">
      <c r="A2158" t="n">
        <v>44</v>
      </c>
      <c r="B2158" s="24">
        <f>IF(Setup!$K$6="","",Setup!$K$6)</f>
        <v/>
      </c>
      <c r="C2158" s="88" t="n"/>
      <c r="D2158" s="88" t="n"/>
      <c r="E2158" s="88" t="n"/>
      <c r="F2158" s="89" t="n"/>
      <c r="G2158" s="88" t="n"/>
      <c r="H2158" s="88" t="n"/>
      <c r="I2158" s="88" t="n"/>
      <c r="J2158" s="89" t="n"/>
      <c r="K2158" s="88" t="n"/>
      <c r="L2158" s="88" t="n"/>
      <c r="M2158" s="88" t="n"/>
      <c r="N2158" s="89" t="n"/>
      <c r="O2158" s="88" t="n"/>
      <c r="P2158" s="88" t="n"/>
      <c r="Q2158" s="88" t="n"/>
      <c r="R2158" s="89" t="n"/>
      <c r="S2158" s="88" t="n"/>
      <c r="T2158" s="88" t="n"/>
      <c r="U2158" s="88" t="n"/>
      <c r="V2158" s="89" t="n"/>
      <c r="W2158" s="88" t="n"/>
      <c r="X2158" s="89" t="n"/>
      <c r="Y2158" s="88" t="n"/>
      <c r="Z2158" s="89" t="n"/>
      <c r="AB2158" s="25">
        <f>IF($B2158="","",(COUNTIF(C2158:E2158,"?*")&lt;N(INDEX(Setup!$L$6:$L$23,1)))+(COUNTIF(G2158:I2158,"?*")&lt;N(INDEX(Setup!$L$6:$L$23,1)))+(COUNTIF(K2158:M2158,"?*")&lt;N(INDEX(Setup!$L$6:$L$23,1)))+(COUNTIF(O2158:Q2158,"?*")&lt;N(INDEX(Setup!$L$6:$L$23,1)))+(COUNTIF(S2158:U2158,"?*")&lt;N(INDEX(Setup!$L$6:$L$23,1)))+((W2158="")*(INDEX(Setup!$M$6:$M$23,1)="Y"))+((Y2158="")*(INDEX(Setup!$M$6:$M$23,1)="Y")))</f>
        <v/>
      </c>
      <c r="AC2158" s="90">
        <f>IF($B2158="","",IF(AB2158=0,"✓ covered","⚠ "&amp;AB2158&amp;IF(AB2158=1," gap"," gaps")))</f>
        <v/>
      </c>
    </row>
    <row r="2159" ht="17" customHeight="1">
      <c r="A2159" t="n">
        <v>44</v>
      </c>
      <c r="B2159" s="29">
        <f>IF(Setup!$K$7="","",Setup!$K$7)</f>
        <v/>
      </c>
      <c r="C2159" s="88" t="n"/>
      <c r="D2159" s="88" t="n"/>
      <c r="E2159" s="88" t="n"/>
      <c r="F2159" s="89" t="n"/>
      <c r="G2159" s="88" t="n"/>
      <c r="H2159" s="88" t="n"/>
      <c r="I2159" s="88" t="n"/>
      <c r="J2159" s="89" t="n"/>
      <c r="K2159" s="88" t="n"/>
      <c r="L2159" s="88" t="n"/>
      <c r="M2159" s="88" t="n"/>
      <c r="N2159" s="89" t="n"/>
      <c r="O2159" s="88" t="n"/>
      <c r="P2159" s="88" t="n"/>
      <c r="Q2159" s="88" t="n"/>
      <c r="R2159" s="89" t="n"/>
      <c r="S2159" s="88" t="n"/>
      <c r="T2159" s="88" t="n"/>
      <c r="U2159" s="88" t="n"/>
      <c r="V2159" s="89" t="n"/>
      <c r="W2159" s="88" t="n"/>
      <c r="X2159" s="89" t="n"/>
      <c r="Y2159" s="88" t="n"/>
      <c r="Z2159" s="89" t="n"/>
      <c r="AB2159" s="30">
        <f>IF($B2159="","",(COUNTIF(C2159:E2159,"?*")&lt;N(INDEX(Setup!$L$6:$L$23,2)))+(COUNTIF(G2159:I2159,"?*")&lt;N(INDEX(Setup!$L$6:$L$23,2)))+(COUNTIF(K2159:M2159,"?*")&lt;N(INDEX(Setup!$L$6:$L$23,2)))+(COUNTIF(O2159:Q2159,"?*")&lt;N(INDEX(Setup!$L$6:$L$23,2)))+(COUNTIF(S2159:U2159,"?*")&lt;N(INDEX(Setup!$L$6:$L$23,2)))+((W2159="")*(INDEX(Setup!$M$6:$M$23,2)="Y"))+((Y2159="")*(INDEX(Setup!$M$6:$M$23,2)="Y")))</f>
        <v/>
      </c>
      <c r="AC2159" s="91">
        <f>IF($B2159="","",IF(AB2159=0,"✓ covered","⚠ "&amp;AB2159&amp;IF(AB2159=1," gap"," gaps")))</f>
        <v/>
      </c>
    </row>
    <row r="2160" ht="17" customHeight="1">
      <c r="A2160" t="n">
        <v>44</v>
      </c>
      <c r="B2160" s="24">
        <f>IF(Setup!$K$8="","",Setup!$K$8)</f>
        <v/>
      </c>
      <c r="C2160" s="88" t="n"/>
      <c r="D2160" s="88" t="n"/>
      <c r="E2160" s="88" t="n"/>
      <c r="F2160" s="89" t="n"/>
      <c r="G2160" s="88" t="n"/>
      <c r="H2160" s="88" t="n"/>
      <c r="I2160" s="88" t="n"/>
      <c r="J2160" s="89" t="n"/>
      <c r="K2160" s="88" t="n"/>
      <c r="L2160" s="88" t="n"/>
      <c r="M2160" s="88" t="n"/>
      <c r="N2160" s="89" t="n"/>
      <c r="O2160" s="88" t="n"/>
      <c r="P2160" s="88" t="n"/>
      <c r="Q2160" s="88" t="n"/>
      <c r="R2160" s="89" t="n"/>
      <c r="S2160" s="88" t="n"/>
      <c r="T2160" s="88" t="n"/>
      <c r="U2160" s="88" t="n"/>
      <c r="V2160" s="89" t="n"/>
      <c r="W2160" s="88" t="n"/>
      <c r="X2160" s="89" t="n"/>
      <c r="Y2160" s="88" t="n"/>
      <c r="Z2160" s="89" t="n"/>
      <c r="AB2160" s="25">
        <f>IF($B2160="","",(COUNTIF(C2160:E2160,"?*")&lt;N(INDEX(Setup!$L$6:$L$23,3)))+(COUNTIF(G2160:I2160,"?*")&lt;N(INDEX(Setup!$L$6:$L$23,3)))+(COUNTIF(K2160:M2160,"?*")&lt;N(INDEX(Setup!$L$6:$L$23,3)))+(COUNTIF(O2160:Q2160,"?*")&lt;N(INDEX(Setup!$L$6:$L$23,3)))+(COUNTIF(S2160:U2160,"?*")&lt;N(INDEX(Setup!$L$6:$L$23,3)))+((W2160="")*(INDEX(Setup!$M$6:$M$23,3)="Y"))+((Y2160="")*(INDEX(Setup!$M$6:$M$23,3)="Y")))</f>
        <v/>
      </c>
      <c r="AC2160" s="90">
        <f>IF($B2160="","",IF(AB2160=0,"✓ covered","⚠ "&amp;AB2160&amp;IF(AB2160=1," gap"," gaps")))</f>
        <v/>
      </c>
    </row>
    <row r="2161" ht="17" customHeight="1">
      <c r="A2161" t="n">
        <v>44</v>
      </c>
      <c r="B2161" s="29">
        <f>IF(Setup!$K$9="","",Setup!$K$9)</f>
        <v/>
      </c>
      <c r="C2161" s="88" t="n"/>
      <c r="D2161" s="88" t="n"/>
      <c r="E2161" s="88" t="n"/>
      <c r="F2161" s="89" t="n"/>
      <c r="G2161" s="88" t="n"/>
      <c r="H2161" s="88" t="n"/>
      <c r="I2161" s="88" t="n"/>
      <c r="J2161" s="89" t="n"/>
      <c r="K2161" s="88" t="n"/>
      <c r="L2161" s="88" t="n"/>
      <c r="M2161" s="88" t="n"/>
      <c r="N2161" s="89" t="n"/>
      <c r="O2161" s="88" t="n"/>
      <c r="P2161" s="88" t="n"/>
      <c r="Q2161" s="88" t="n"/>
      <c r="R2161" s="89" t="n"/>
      <c r="S2161" s="88" t="n"/>
      <c r="T2161" s="88" t="n"/>
      <c r="U2161" s="88" t="n"/>
      <c r="V2161" s="89" t="n"/>
      <c r="W2161" s="88" t="n"/>
      <c r="X2161" s="89" t="n"/>
      <c r="Y2161" s="88" t="n"/>
      <c r="Z2161" s="89" t="n"/>
      <c r="AB2161" s="30">
        <f>IF($B2161="","",(COUNTIF(C2161:E2161,"?*")&lt;N(INDEX(Setup!$L$6:$L$23,4)))+(COUNTIF(G2161:I2161,"?*")&lt;N(INDEX(Setup!$L$6:$L$23,4)))+(COUNTIF(K2161:M2161,"?*")&lt;N(INDEX(Setup!$L$6:$L$23,4)))+(COUNTIF(O2161:Q2161,"?*")&lt;N(INDEX(Setup!$L$6:$L$23,4)))+(COUNTIF(S2161:U2161,"?*")&lt;N(INDEX(Setup!$L$6:$L$23,4)))+((W2161="")*(INDEX(Setup!$M$6:$M$23,4)="Y"))+((Y2161="")*(INDEX(Setup!$M$6:$M$23,4)="Y")))</f>
        <v/>
      </c>
      <c r="AC2161" s="91">
        <f>IF($B2161="","",IF(AB2161=0,"✓ covered","⚠ "&amp;AB2161&amp;IF(AB2161=1," gap"," gaps")))</f>
        <v/>
      </c>
    </row>
    <row r="2162" ht="17" customHeight="1">
      <c r="A2162" t="n">
        <v>44</v>
      </c>
      <c r="B2162" s="24">
        <f>IF(Setup!$K$10="","",Setup!$K$10)</f>
        <v/>
      </c>
      <c r="C2162" s="88" t="n"/>
      <c r="D2162" s="88" t="n"/>
      <c r="E2162" s="88" t="n"/>
      <c r="F2162" s="89" t="n"/>
      <c r="G2162" s="88" t="n"/>
      <c r="H2162" s="88" t="n"/>
      <c r="I2162" s="88" t="n"/>
      <c r="J2162" s="89" t="n"/>
      <c r="K2162" s="88" t="n"/>
      <c r="L2162" s="88" t="n"/>
      <c r="M2162" s="88" t="n"/>
      <c r="N2162" s="89" t="n"/>
      <c r="O2162" s="88" t="n"/>
      <c r="P2162" s="88" t="n"/>
      <c r="Q2162" s="88" t="n"/>
      <c r="R2162" s="89" t="n"/>
      <c r="S2162" s="88" t="n"/>
      <c r="T2162" s="88" t="n"/>
      <c r="U2162" s="88" t="n"/>
      <c r="V2162" s="89" t="n"/>
      <c r="W2162" s="88" t="n"/>
      <c r="X2162" s="89" t="n"/>
      <c r="Y2162" s="88" t="n"/>
      <c r="Z2162" s="89" t="n"/>
      <c r="AB2162" s="25">
        <f>IF($B2162="","",(COUNTIF(C2162:E2162,"?*")&lt;N(INDEX(Setup!$L$6:$L$23,5)))+(COUNTIF(G2162:I2162,"?*")&lt;N(INDEX(Setup!$L$6:$L$23,5)))+(COUNTIF(K2162:M2162,"?*")&lt;N(INDEX(Setup!$L$6:$L$23,5)))+(COUNTIF(O2162:Q2162,"?*")&lt;N(INDEX(Setup!$L$6:$L$23,5)))+(COUNTIF(S2162:U2162,"?*")&lt;N(INDEX(Setup!$L$6:$L$23,5)))+((W2162="")*(INDEX(Setup!$M$6:$M$23,5)="Y"))+((Y2162="")*(INDEX(Setup!$M$6:$M$23,5)="Y")))</f>
        <v/>
      </c>
      <c r="AC2162" s="90">
        <f>IF($B2162="","",IF(AB2162=0,"✓ covered","⚠ "&amp;AB2162&amp;IF(AB2162=1," gap"," gaps")))</f>
        <v/>
      </c>
    </row>
    <row r="2163" ht="17" customHeight="1">
      <c r="A2163" t="n">
        <v>44</v>
      </c>
      <c r="B2163" s="29">
        <f>IF(Setup!$K$11="","",Setup!$K$11)</f>
        <v/>
      </c>
      <c r="C2163" s="88" t="n"/>
      <c r="D2163" s="88" t="n"/>
      <c r="E2163" s="88" t="n"/>
      <c r="F2163" s="89" t="n"/>
      <c r="G2163" s="88" t="n"/>
      <c r="H2163" s="88" t="n"/>
      <c r="I2163" s="88" t="n"/>
      <c r="J2163" s="89" t="n"/>
      <c r="K2163" s="88" t="n"/>
      <c r="L2163" s="88" t="n"/>
      <c r="M2163" s="88" t="n"/>
      <c r="N2163" s="89" t="n"/>
      <c r="O2163" s="88" t="n"/>
      <c r="P2163" s="88" t="n"/>
      <c r="Q2163" s="88" t="n"/>
      <c r="R2163" s="89" t="n"/>
      <c r="S2163" s="88" t="n"/>
      <c r="T2163" s="88" t="n"/>
      <c r="U2163" s="88" t="n"/>
      <c r="V2163" s="89" t="n"/>
      <c r="W2163" s="88" t="n"/>
      <c r="X2163" s="89" t="n"/>
      <c r="Y2163" s="88" t="n"/>
      <c r="Z2163" s="89" t="n"/>
      <c r="AB2163" s="30">
        <f>IF($B2163="","",(COUNTIF(C2163:E2163,"?*")&lt;N(INDEX(Setup!$L$6:$L$23,6)))+(COUNTIF(G2163:I2163,"?*")&lt;N(INDEX(Setup!$L$6:$L$23,6)))+(COUNTIF(K2163:M2163,"?*")&lt;N(INDEX(Setup!$L$6:$L$23,6)))+(COUNTIF(O2163:Q2163,"?*")&lt;N(INDEX(Setup!$L$6:$L$23,6)))+(COUNTIF(S2163:U2163,"?*")&lt;N(INDEX(Setup!$L$6:$L$23,6)))+((W2163="")*(INDEX(Setup!$M$6:$M$23,6)="Y"))+((Y2163="")*(INDEX(Setup!$M$6:$M$23,6)="Y")))</f>
        <v/>
      </c>
      <c r="AC2163" s="91">
        <f>IF($B2163="","",IF(AB2163=0,"✓ covered","⚠ "&amp;AB2163&amp;IF(AB2163=1," gap"," gaps")))</f>
        <v/>
      </c>
    </row>
    <row r="2164" ht="17" customHeight="1">
      <c r="A2164" t="n">
        <v>44</v>
      </c>
      <c r="B2164" s="24">
        <f>IF(Setup!$K$12="","",Setup!$K$12)</f>
        <v/>
      </c>
      <c r="C2164" s="88" t="n"/>
      <c r="D2164" s="88" t="n"/>
      <c r="E2164" s="88" t="n"/>
      <c r="F2164" s="89" t="n"/>
      <c r="G2164" s="88" t="n"/>
      <c r="H2164" s="88" t="n"/>
      <c r="I2164" s="88" t="n"/>
      <c r="J2164" s="89" t="n"/>
      <c r="K2164" s="88" t="n"/>
      <c r="L2164" s="88" t="n"/>
      <c r="M2164" s="88" t="n"/>
      <c r="N2164" s="89" t="n"/>
      <c r="O2164" s="88" t="n"/>
      <c r="P2164" s="88" t="n"/>
      <c r="Q2164" s="88" t="n"/>
      <c r="R2164" s="89" t="n"/>
      <c r="S2164" s="88" t="n"/>
      <c r="T2164" s="88" t="n"/>
      <c r="U2164" s="88" t="n"/>
      <c r="V2164" s="89" t="n"/>
      <c r="W2164" s="88" t="n"/>
      <c r="X2164" s="89" t="n"/>
      <c r="Y2164" s="88" t="n"/>
      <c r="Z2164" s="89" t="n"/>
      <c r="AB2164" s="25">
        <f>IF($B2164="","",(COUNTIF(C2164:E2164,"?*")&lt;N(INDEX(Setup!$L$6:$L$23,7)))+(COUNTIF(G2164:I2164,"?*")&lt;N(INDEX(Setup!$L$6:$L$23,7)))+(COUNTIF(K2164:M2164,"?*")&lt;N(INDEX(Setup!$L$6:$L$23,7)))+(COUNTIF(O2164:Q2164,"?*")&lt;N(INDEX(Setup!$L$6:$L$23,7)))+(COUNTIF(S2164:U2164,"?*")&lt;N(INDEX(Setup!$L$6:$L$23,7)))+((W2164="")*(INDEX(Setup!$M$6:$M$23,7)="Y"))+((Y2164="")*(INDEX(Setup!$M$6:$M$23,7)="Y")))</f>
        <v/>
      </c>
      <c r="AC2164" s="90">
        <f>IF($B2164="","",IF(AB2164=0,"✓ covered","⚠ "&amp;AB2164&amp;IF(AB2164=1," gap"," gaps")))</f>
        <v/>
      </c>
    </row>
    <row r="2165" ht="17" customHeight="1">
      <c r="A2165" t="n">
        <v>44</v>
      </c>
      <c r="B2165" s="29">
        <f>IF(Setup!$K$13="","",Setup!$K$13)</f>
        <v/>
      </c>
      <c r="C2165" s="88" t="n"/>
      <c r="D2165" s="88" t="n"/>
      <c r="E2165" s="88" t="n"/>
      <c r="F2165" s="89" t="n"/>
      <c r="G2165" s="88" t="n"/>
      <c r="H2165" s="88" t="n"/>
      <c r="I2165" s="88" t="n"/>
      <c r="J2165" s="89" t="n"/>
      <c r="K2165" s="88" t="n"/>
      <c r="L2165" s="88" t="n"/>
      <c r="M2165" s="88" t="n"/>
      <c r="N2165" s="89" t="n"/>
      <c r="O2165" s="88" t="n"/>
      <c r="P2165" s="88" t="n"/>
      <c r="Q2165" s="88" t="n"/>
      <c r="R2165" s="89" t="n"/>
      <c r="S2165" s="88" t="n"/>
      <c r="T2165" s="88" t="n"/>
      <c r="U2165" s="88" t="n"/>
      <c r="V2165" s="89" t="n"/>
      <c r="W2165" s="88" t="n"/>
      <c r="X2165" s="89" t="n"/>
      <c r="Y2165" s="88" t="n"/>
      <c r="Z2165" s="89" t="n"/>
      <c r="AB2165" s="30">
        <f>IF($B2165="","",(COUNTIF(C2165:E2165,"?*")&lt;N(INDEX(Setup!$L$6:$L$23,8)))+(COUNTIF(G2165:I2165,"?*")&lt;N(INDEX(Setup!$L$6:$L$23,8)))+(COUNTIF(K2165:M2165,"?*")&lt;N(INDEX(Setup!$L$6:$L$23,8)))+(COUNTIF(O2165:Q2165,"?*")&lt;N(INDEX(Setup!$L$6:$L$23,8)))+(COUNTIF(S2165:U2165,"?*")&lt;N(INDEX(Setup!$L$6:$L$23,8)))+((W2165="")*(INDEX(Setup!$M$6:$M$23,8)="Y"))+((Y2165="")*(INDEX(Setup!$M$6:$M$23,8)="Y")))</f>
        <v/>
      </c>
      <c r="AC2165" s="91">
        <f>IF($B2165="","",IF(AB2165=0,"✓ covered","⚠ "&amp;AB2165&amp;IF(AB2165=1," gap"," gaps")))</f>
        <v/>
      </c>
    </row>
    <row r="2166" ht="17" customHeight="1">
      <c r="A2166" t="n">
        <v>44</v>
      </c>
      <c r="B2166" s="24">
        <f>IF(Setup!$K$14="","",Setup!$K$14)</f>
        <v/>
      </c>
      <c r="C2166" s="88" t="n"/>
      <c r="D2166" s="88" t="n"/>
      <c r="E2166" s="88" t="n"/>
      <c r="F2166" s="89" t="n"/>
      <c r="G2166" s="88" t="n"/>
      <c r="H2166" s="88" t="n"/>
      <c r="I2166" s="88" t="n"/>
      <c r="J2166" s="89" t="n"/>
      <c r="K2166" s="88" t="n"/>
      <c r="L2166" s="88" t="n"/>
      <c r="M2166" s="88" t="n"/>
      <c r="N2166" s="89" t="n"/>
      <c r="O2166" s="88" t="n"/>
      <c r="P2166" s="88" t="n"/>
      <c r="Q2166" s="88" t="n"/>
      <c r="R2166" s="89" t="n"/>
      <c r="S2166" s="88" t="n"/>
      <c r="T2166" s="88" t="n"/>
      <c r="U2166" s="88" t="n"/>
      <c r="V2166" s="89" t="n"/>
      <c r="W2166" s="88" t="n"/>
      <c r="X2166" s="89" t="n"/>
      <c r="Y2166" s="88" t="n"/>
      <c r="Z2166" s="89" t="n"/>
      <c r="AB2166" s="25">
        <f>IF($B2166="","",(COUNTIF(C2166:E2166,"?*")&lt;N(INDEX(Setup!$L$6:$L$23,9)))+(COUNTIF(G2166:I2166,"?*")&lt;N(INDEX(Setup!$L$6:$L$23,9)))+(COUNTIF(K2166:M2166,"?*")&lt;N(INDEX(Setup!$L$6:$L$23,9)))+(COUNTIF(O2166:Q2166,"?*")&lt;N(INDEX(Setup!$L$6:$L$23,9)))+(COUNTIF(S2166:U2166,"?*")&lt;N(INDEX(Setup!$L$6:$L$23,9)))+((W2166="")*(INDEX(Setup!$M$6:$M$23,9)="Y"))+((Y2166="")*(INDEX(Setup!$M$6:$M$23,9)="Y")))</f>
        <v/>
      </c>
      <c r="AC2166" s="90">
        <f>IF($B2166="","",IF(AB2166=0,"✓ covered","⚠ "&amp;AB2166&amp;IF(AB2166=1," gap"," gaps")))</f>
        <v/>
      </c>
    </row>
    <row r="2167" ht="17" customHeight="1">
      <c r="A2167" t="n">
        <v>44</v>
      </c>
      <c r="B2167" s="29">
        <f>IF(Setup!$K$15="","",Setup!$K$15)</f>
        <v/>
      </c>
      <c r="C2167" s="88" t="n"/>
      <c r="D2167" s="88" t="n"/>
      <c r="E2167" s="88" t="n"/>
      <c r="F2167" s="89" t="n"/>
      <c r="G2167" s="88" t="n"/>
      <c r="H2167" s="88" t="n"/>
      <c r="I2167" s="88" t="n"/>
      <c r="J2167" s="89" t="n"/>
      <c r="K2167" s="88" t="n"/>
      <c r="L2167" s="88" t="n"/>
      <c r="M2167" s="88" t="n"/>
      <c r="N2167" s="89" t="n"/>
      <c r="O2167" s="88" t="n"/>
      <c r="P2167" s="88" t="n"/>
      <c r="Q2167" s="88" t="n"/>
      <c r="R2167" s="89" t="n"/>
      <c r="S2167" s="88" t="n"/>
      <c r="T2167" s="88" t="n"/>
      <c r="U2167" s="88" t="n"/>
      <c r="V2167" s="89" t="n"/>
      <c r="W2167" s="88" t="n"/>
      <c r="X2167" s="89" t="n"/>
      <c r="Y2167" s="88" t="n"/>
      <c r="Z2167" s="89" t="n"/>
      <c r="AB2167" s="30">
        <f>IF($B2167="","",(COUNTIF(C2167:E2167,"?*")&lt;N(INDEX(Setup!$L$6:$L$23,10)))+(COUNTIF(G2167:I2167,"?*")&lt;N(INDEX(Setup!$L$6:$L$23,10)))+(COUNTIF(K2167:M2167,"?*")&lt;N(INDEX(Setup!$L$6:$L$23,10)))+(COUNTIF(O2167:Q2167,"?*")&lt;N(INDEX(Setup!$L$6:$L$23,10)))+(COUNTIF(S2167:U2167,"?*")&lt;N(INDEX(Setup!$L$6:$L$23,10)))+((W2167="")*(INDEX(Setup!$M$6:$M$23,10)="Y"))+((Y2167="")*(INDEX(Setup!$M$6:$M$23,10)="Y")))</f>
        <v/>
      </c>
      <c r="AC2167" s="91">
        <f>IF($B2167="","",IF(AB2167=0,"✓ covered","⚠ "&amp;AB2167&amp;IF(AB2167=1," gap"," gaps")))</f>
        <v/>
      </c>
    </row>
    <row r="2168" ht="17" customHeight="1">
      <c r="A2168" t="n">
        <v>44</v>
      </c>
      <c r="B2168" s="24">
        <f>IF(Setup!$K$16="","",Setup!$K$16)</f>
        <v/>
      </c>
      <c r="C2168" s="88" t="n"/>
      <c r="D2168" s="88" t="n"/>
      <c r="E2168" s="88" t="n"/>
      <c r="F2168" s="89" t="n"/>
      <c r="G2168" s="88" t="n"/>
      <c r="H2168" s="88" t="n"/>
      <c r="I2168" s="88" t="n"/>
      <c r="J2168" s="89" t="n"/>
      <c r="K2168" s="88" t="n"/>
      <c r="L2168" s="88" t="n"/>
      <c r="M2168" s="88" t="n"/>
      <c r="N2168" s="89" t="n"/>
      <c r="O2168" s="88" t="n"/>
      <c r="P2168" s="88" t="n"/>
      <c r="Q2168" s="88" t="n"/>
      <c r="R2168" s="89" t="n"/>
      <c r="S2168" s="88" t="n"/>
      <c r="T2168" s="88" t="n"/>
      <c r="U2168" s="88" t="n"/>
      <c r="V2168" s="89" t="n"/>
      <c r="W2168" s="88" t="n"/>
      <c r="X2168" s="89" t="n"/>
      <c r="Y2168" s="88" t="n"/>
      <c r="Z2168" s="89" t="n"/>
      <c r="AB2168" s="25">
        <f>IF($B2168="","",(COUNTIF(C2168:E2168,"?*")&lt;N(INDEX(Setup!$L$6:$L$23,11)))+(COUNTIF(G2168:I2168,"?*")&lt;N(INDEX(Setup!$L$6:$L$23,11)))+(COUNTIF(K2168:M2168,"?*")&lt;N(INDEX(Setup!$L$6:$L$23,11)))+(COUNTIF(O2168:Q2168,"?*")&lt;N(INDEX(Setup!$L$6:$L$23,11)))+(COUNTIF(S2168:U2168,"?*")&lt;N(INDEX(Setup!$L$6:$L$23,11)))+((W2168="")*(INDEX(Setup!$M$6:$M$23,11)="Y"))+((Y2168="")*(INDEX(Setup!$M$6:$M$23,11)="Y")))</f>
        <v/>
      </c>
      <c r="AC2168" s="90">
        <f>IF($B2168="","",IF(AB2168=0,"✓ covered","⚠ "&amp;AB2168&amp;IF(AB2168=1," gap"," gaps")))</f>
        <v/>
      </c>
    </row>
    <row r="2169" ht="17" customHeight="1">
      <c r="A2169" t="n">
        <v>44</v>
      </c>
      <c r="B2169" s="29">
        <f>IF(Setup!$K$17="","",Setup!$K$17)</f>
        <v/>
      </c>
      <c r="C2169" s="88" t="n"/>
      <c r="D2169" s="88" t="n"/>
      <c r="E2169" s="88" t="n"/>
      <c r="F2169" s="89" t="n"/>
      <c r="G2169" s="88" t="n"/>
      <c r="H2169" s="88" t="n"/>
      <c r="I2169" s="88" t="n"/>
      <c r="J2169" s="89" t="n"/>
      <c r="K2169" s="88" t="n"/>
      <c r="L2169" s="88" t="n"/>
      <c r="M2169" s="88" t="n"/>
      <c r="N2169" s="89" t="n"/>
      <c r="O2169" s="88" t="n"/>
      <c r="P2169" s="88" t="n"/>
      <c r="Q2169" s="88" t="n"/>
      <c r="R2169" s="89" t="n"/>
      <c r="S2169" s="88" t="n"/>
      <c r="T2169" s="88" t="n"/>
      <c r="U2169" s="88" t="n"/>
      <c r="V2169" s="89" t="n"/>
      <c r="W2169" s="88" t="n"/>
      <c r="X2169" s="89" t="n"/>
      <c r="Y2169" s="88" t="n"/>
      <c r="Z2169" s="89" t="n"/>
      <c r="AB2169" s="30">
        <f>IF($B2169="","",(COUNTIF(C2169:E2169,"?*")&lt;N(INDEX(Setup!$L$6:$L$23,12)))+(COUNTIF(G2169:I2169,"?*")&lt;N(INDEX(Setup!$L$6:$L$23,12)))+(COUNTIF(K2169:M2169,"?*")&lt;N(INDEX(Setup!$L$6:$L$23,12)))+(COUNTIF(O2169:Q2169,"?*")&lt;N(INDEX(Setup!$L$6:$L$23,12)))+(COUNTIF(S2169:U2169,"?*")&lt;N(INDEX(Setup!$L$6:$L$23,12)))+((W2169="")*(INDEX(Setup!$M$6:$M$23,12)="Y"))+((Y2169="")*(INDEX(Setup!$M$6:$M$23,12)="Y")))</f>
        <v/>
      </c>
      <c r="AC2169" s="91">
        <f>IF($B2169="","",IF(AB2169=0,"✓ covered","⚠ "&amp;AB2169&amp;IF(AB2169=1," gap"," gaps")))</f>
        <v/>
      </c>
    </row>
    <row r="2170" ht="17" customHeight="1">
      <c r="A2170" t="n">
        <v>44</v>
      </c>
      <c r="B2170" s="24">
        <f>IF(Setup!$K$18="","",Setup!$K$18)</f>
        <v/>
      </c>
      <c r="C2170" s="88" t="n"/>
      <c r="D2170" s="88" t="n"/>
      <c r="E2170" s="88" t="n"/>
      <c r="F2170" s="89" t="n"/>
      <c r="G2170" s="88" t="n"/>
      <c r="H2170" s="88" t="n"/>
      <c r="I2170" s="88" t="n"/>
      <c r="J2170" s="89" t="n"/>
      <c r="K2170" s="88" t="n"/>
      <c r="L2170" s="88" t="n"/>
      <c r="M2170" s="88" t="n"/>
      <c r="N2170" s="89" t="n"/>
      <c r="O2170" s="88" t="n"/>
      <c r="P2170" s="88" t="n"/>
      <c r="Q2170" s="88" t="n"/>
      <c r="R2170" s="89" t="n"/>
      <c r="S2170" s="88" t="n"/>
      <c r="T2170" s="88" t="n"/>
      <c r="U2170" s="88" t="n"/>
      <c r="V2170" s="89" t="n"/>
      <c r="W2170" s="88" t="n"/>
      <c r="X2170" s="89" t="n"/>
      <c r="Y2170" s="88" t="n"/>
      <c r="Z2170" s="89" t="n"/>
      <c r="AB2170" s="25">
        <f>IF($B2170="","",(COUNTIF(C2170:E2170,"?*")&lt;N(INDEX(Setup!$L$6:$L$23,13)))+(COUNTIF(G2170:I2170,"?*")&lt;N(INDEX(Setup!$L$6:$L$23,13)))+(COUNTIF(K2170:M2170,"?*")&lt;N(INDEX(Setup!$L$6:$L$23,13)))+(COUNTIF(O2170:Q2170,"?*")&lt;N(INDEX(Setup!$L$6:$L$23,13)))+(COUNTIF(S2170:U2170,"?*")&lt;N(INDEX(Setup!$L$6:$L$23,13)))+((W2170="")*(INDEX(Setup!$M$6:$M$23,13)="Y"))+((Y2170="")*(INDEX(Setup!$M$6:$M$23,13)="Y")))</f>
        <v/>
      </c>
      <c r="AC2170" s="90">
        <f>IF($B2170="","",IF(AB2170=0,"✓ covered","⚠ "&amp;AB2170&amp;IF(AB2170=1," gap"," gaps")))</f>
        <v/>
      </c>
    </row>
    <row r="2171" ht="17" customHeight="1">
      <c r="A2171" t="n">
        <v>44</v>
      </c>
      <c r="B2171" s="29">
        <f>IF(Setup!$K$19="","",Setup!$K$19)</f>
        <v/>
      </c>
      <c r="C2171" s="88" t="n"/>
      <c r="D2171" s="88" t="n"/>
      <c r="E2171" s="88" t="n"/>
      <c r="F2171" s="89" t="n"/>
      <c r="G2171" s="88" t="n"/>
      <c r="H2171" s="88" t="n"/>
      <c r="I2171" s="88" t="n"/>
      <c r="J2171" s="89" t="n"/>
      <c r="K2171" s="88" t="n"/>
      <c r="L2171" s="88" t="n"/>
      <c r="M2171" s="88" t="n"/>
      <c r="N2171" s="89" t="n"/>
      <c r="O2171" s="88" t="n"/>
      <c r="P2171" s="88" t="n"/>
      <c r="Q2171" s="88" t="n"/>
      <c r="R2171" s="89" t="n"/>
      <c r="S2171" s="88" t="n"/>
      <c r="T2171" s="88" t="n"/>
      <c r="U2171" s="88" t="n"/>
      <c r="V2171" s="89" t="n"/>
      <c r="W2171" s="88" t="n"/>
      <c r="X2171" s="89" t="n"/>
      <c r="Y2171" s="88" t="n"/>
      <c r="Z2171" s="89" t="n"/>
      <c r="AB2171" s="30">
        <f>IF($B2171="","",(COUNTIF(C2171:E2171,"?*")&lt;N(INDEX(Setup!$L$6:$L$23,14)))+(COUNTIF(G2171:I2171,"?*")&lt;N(INDEX(Setup!$L$6:$L$23,14)))+(COUNTIF(K2171:M2171,"?*")&lt;N(INDEX(Setup!$L$6:$L$23,14)))+(COUNTIF(O2171:Q2171,"?*")&lt;N(INDEX(Setup!$L$6:$L$23,14)))+(COUNTIF(S2171:U2171,"?*")&lt;N(INDEX(Setup!$L$6:$L$23,14)))+((W2171="")*(INDEX(Setup!$M$6:$M$23,14)="Y"))+((Y2171="")*(INDEX(Setup!$M$6:$M$23,14)="Y")))</f>
        <v/>
      </c>
      <c r="AC2171" s="91">
        <f>IF($B2171="","",IF(AB2171=0,"✓ covered","⚠ "&amp;AB2171&amp;IF(AB2171=1," gap"," gaps")))</f>
        <v/>
      </c>
    </row>
    <row r="2172" ht="17" customHeight="1">
      <c r="A2172" t="n">
        <v>44</v>
      </c>
      <c r="B2172" s="24">
        <f>IF(Setup!$K$20="","",Setup!$K$20)</f>
        <v/>
      </c>
      <c r="C2172" s="88" t="n"/>
      <c r="D2172" s="88" t="n"/>
      <c r="E2172" s="88" t="n"/>
      <c r="F2172" s="89" t="n"/>
      <c r="G2172" s="88" t="n"/>
      <c r="H2172" s="88" t="n"/>
      <c r="I2172" s="88" t="n"/>
      <c r="J2172" s="89" t="n"/>
      <c r="K2172" s="88" t="n"/>
      <c r="L2172" s="88" t="n"/>
      <c r="M2172" s="88" t="n"/>
      <c r="N2172" s="89" t="n"/>
      <c r="O2172" s="88" t="n"/>
      <c r="P2172" s="88" t="n"/>
      <c r="Q2172" s="88" t="n"/>
      <c r="R2172" s="89" t="n"/>
      <c r="S2172" s="88" t="n"/>
      <c r="T2172" s="88" t="n"/>
      <c r="U2172" s="88" t="n"/>
      <c r="V2172" s="89" t="n"/>
      <c r="W2172" s="88" t="n"/>
      <c r="X2172" s="89" t="n"/>
      <c r="Y2172" s="88" t="n"/>
      <c r="Z2172" s="89" t="n"/>
      <c r="AB2172" s="25">
        <f>IF($B2172="","",(COUNTIF(C2172:E2172,"?*")&lt;N(INDEX(Setup!$L$6:$L$23,15)))+(COUNTIF(G2172:I2172,"?*")&lt;N(INDEX(Setup!$L$6:$L$23,15)))+(COUNTIF(K2172:M2172,"?*")&lt;N(INDEX(Setup!$L$6:$L$23,15)))+(COUNTIF(O2172:Q2172,"?*")&lt;N(INDEX(Setup!$L$6:$L$23,15)))+(COUNTIF(S2172:U2172,"?*")&lt;N(INDEX(Setup!$L$6:$L$23,15)))+((W2172="")*(INDEX(Setup!$M$6:$M$23,15)="Y"))+((Y2172="")*(INDEX(Setup!$M$6:$M$23,15)="Y")))</f>
        <v/>
      </c>
      <c r="AC2172" s="90">
        <f>IF($B2172="","",IF(AB2172=0,"✓ covered","⚠ "&amp;AB2172&amp;IF(AB2172=1," gap"," gaps")))</f>
        <v/>
      </c>
    </row>
    <row r="2173" ht="17" customHeight="1">
      <c r="A2173" t="n">
        <v>44</v>
      </c>
      <c r="B2173" s="29">
        <f>IF(Setup!$K$21="","",Setup!$K$21)</f>
        <v/>
      </c>
      <c r="C2173" s="88" t="n"/>
      <c r="D2173" s="88" t="n"/>
      <c r="E2173" s="88" t="n"/>
      <c r="F2173" s="89" t="n"/>
      <c r="G2173" s="88" t="n"/>
      <c r="H2173" s="88" t="n"/>
      <c r="I2173" s="88" t="n"/>
      <c r="J2173" s="89" t="n"/>
      <c r="K2173" s="88" t="n"/>
      <c r="L2173" s="88" t="n"/>
      <c r="M2173" s="88" t="n"/>
      <c r="N2173" s="89" t="n"/>
      <c r="O2173" s="88" t="n"/>
      <c r="P2173" s="88" t="n"/>
      <c r="Q2173" s="88" t="n"/>
      <c r="R2173" s="89" t="n"/>
      <c r="S2173" s="88" t="n"/>
      <c r="T2173" s="88" t="n"/>
      <c r="U2173" s="88" t="n"/>
      <c r="V2173" s="89" t="n"/>
      <c r="W2173" s="88" t="n"/>
      <c r="X2173" s="89" t="n"/>
      <c r="Y2173" s="88" t="n"/>
      <c r="Z2173" s="89" t="n"/>
      <c r="AB2173" s="30">
        <f>IF($B2173="","",(COUNTIF(C2173:E2173,"?*")&lt;N(INDEX(Setup!$L$6:$L$23,16)))+(COUNTIF(G2173:I2173,"?*")&lt;N(INDEX(Setup!$L$6:$L$23,16)))+(COUNTIF(K2173:M2173,"?*")&lt;N(INDEX(Setup!$L$6:$L$23,16)))+(COUNTIF(O2173:Q2173,"?*")&lt;N(INDEX(Setup!$L$6:$L$23,16)))+(COUNTIF(S2173:U2173,"?*")&lt;N(INDEX(Setup!$L$6:$L$23,16)))+((W2173="")*(INDEX(Setup!$M$6:$M$23,16)="Y"))+((Y2173="")*(INDEX(Setup!$M$6:$M$23,16)="Y")))</f>
        <v/>
      </c>
      <c r="AC2173" s="91">
        <f>IF($B2173="","",IF(AB2173=0,"✓ covered","⚠ "&amp;AB2173&amp;IF(AB2173=1," gap"," gaps")))</f>
        <v/>
      </c>
    </row>
    <row r="2174" ht="17" customHeight="1">
      <c r="A2174" t="n">
        <v>44</v>
      </c>
      <c r="B2174" s="24">
        <f>IF(Setup!$K$22="","",Setup!$K$22)</f>
        <v/>
      </c>
      <c r="C2174" s="88" t="n"/>
      <c r="D2174" s="88" t="n"/>
      <c r="E2174" s="88" t="n"/>
      <c r="F2174" s="89" t="n"/>
      <c r="G2174" s="88" t="n"/>
      <c r="H2174" s="88" t="n"/>
      <c r="I2174" s="88" t="n"/>
      <c r="J2174" s="89" t="n"/>
      <c r="K2174" s="88" t="n"/>
      <c r="L2174" s="88" t="n"/>
      <c r="M2174" s="88" t="n"/>
      <c r="N2174" s="89" t="n"/>
      <c r="O2174" s="88" t="n"/>
      <c r="P2174" s="88" t="n"/>
      <c r="Q2174" s="88" t="n"/>
      <c r="R2174" s="89" t="n"/>
      <c r="S2174" s="88" t="n"/>
      <c r="T2174" s="88" t="n"/>
      <c r="U2174" s="88" t="n"/>
      <c r="V2174" s="89" t="n"/>
      <c r="W2174" s="88" t="n"/>
      <c r="X2174" s="89" t="n"/>
      <c r="Y2174" s="88" t="n"/>
      <c r="Z2174" s="89" t="n"/>
      <c r="AB2174" s="25">
        <f>IF($B2174="","",(COUNTIF(C2174:E2174,"?*")&lt;N(INDEX(Setup!$L$6:$L$23,17)))+(COUNTIF(G2174:I2174,"?*")&lt;N(INDEX(Setup!$L$6:$L$23,17)))+(COUNTIF(K2174:M2174,"?*")&lt;N(INDEX(Setup!$L$6:$L$23,17)))+(COUNTIF(O2174:Q2174,"?*")&lt;N(INDEX(Setup!$L$6:$L$23,17)))+(COUNTIF(S2174:U2174,"?*")&lt;N(INDEX(Setup!$L$6:$L$23,17)))+((W2174="")*(INDEX(Setup!$M$6:$M$23,17)="Y"))+((Y2174="")*(INDEX(Setup!$M$6:$M$23,17)="Y")))</f>
        <v/>
      </c>
      <c r="AC2174" s="90">
        <f>IF($B2174="","",IF(AB2174=0,"✓ covered","⚠ "&amp;AB2174&amp;IF(AB2174=1," gap"," gaps")))</f>
        <v/>
      </c>
    </row>
    <row r="2175" ht="17" customHeight="1">
      <c r="A2175" t="n">
        <v>44</v>
      </c>
      <c r="B2175" s="29">
        <f>IF(Setup!$K$23="","",Setup!$K$23)</f>
        <v/>
      </c>
      <c r="C2175" s="88" t="n"/>
      <c r="D2175" s="88" t="n"/>
      <c r="E2175" s="88" t="n"/>
      <c r="F2175" s="89" t="n"/>
      <c r="G2175" s="88" t="n"/>
      <c r="H2175" s="88" t="n"/>
      <c r="I2175" s="88" t="n"/>
      <c r="J2175" s="89" t="n"/>
      <c r="K2175" s="88" t="n"/>
      <c r="L2175" s="88" t="n"/>
      <c r="M2175" s="88" t="n"/>
      <c r="N2175" s="89" t="n"/>
      <c r="O2175" s="88" t="n"/>
      <c r="P2175" s="88" t="n"/>
      <c r="Q2175" s="88" t="n"/>
      <c r="R2175" s="89" t="n"/>
      <c r="S2175" s="88" t="n"/>
      <c r="T2175" s="88" t="n"/>
      <c r="U2175" s="88" t="n"/>
      <c r="V2175" s="89" t="n"/>
      <c r="W2175" s="88" t="n"/>
      <c r="X2175" s="89" t="n"/>
      <c r="Y2175" s="88" t="n"/>
      <c r="Z2175" s="89" t="n"/>
      <c r="AB2175" s="30">
        <f>IF($B2175="","",(COUNTIF(C2175:E2175,"?*")&lt;N(INDEX(Setup!$L$6:$L$23,18)))+(COUNTIF(G2175:I2175,"?*")&lt;N(INDEX(Setup!$L$6:$L$23,18)))+(COUNTIF(K2175:M2175,"?*")&lt;N(INDEX(Setup!$L$6:$L$23,18)))+(COUNTIF(O2175:Q2175,"?*")&lt;N(INDEX(Setup!$L$6:$L$23,18)))+(COUNTIF(S2175:U2175,"?*")&lt;N(INDEX(Setup!$L$6:$L$23,18)))+((W2175="")*(INDEX(Setup!$M$6:$M$23,18)="Y"))+((Y2175="")*(INDEX(Setup!$M$6:$M$23,18)="Y")))</f>
        <v/>
      </c>
      <c r="AC2175" s="91">
        <f>IF($B2175="","",IF(AB2175=0,"✓ covered","⚠ "&amp;AB2175&amp;IF(AB2175=1," gap"," gaps")))</f>
        <v/>
      </c>
    </row>
    <row r="2176" ht="18" customHeight="1">
      <c r="A2176" t="n">
        <v>44</v>
      </c>
      <c r="B2176" s="78" t="inlineStr">
        <is>
          <t>TEAM AVAILABILITY</t>
        </is>
      </c>
      <c r="C2176" s="92" t="inlineStr">
        <is>
          <t>Mon</t>
        </is>
      </c>
      <c r="D2176" s="93" t="n"/>
      <c r="E2176" s="93" t="n"/>
      <c r="F2176" s="94" t="n"/>
      <c r="G2176" s="92" t="inlineStr">
        <is>
          <t>Tue</t>
        </is>
      </c>
      <c r="H2176" s="93" t="n"/>
      <c r="I2176" s="93" t="n"/>
      <c r="J2176" s="94" t="n"/>
      <c r="K2176" s="92" t="inlineStr">
        <is>
          <t>Wed</t>
        </is>
      </c>
      <c r="L2176" s="93" t="n"/>
      <c r="M2176" s="93" t="n"/>
      <c r="N2176" s="94" t="n"/>
      <c r="O2176" s="92" t="inlineStr">
        <is>
          <t>Thu</t>
        </is>
      </c>
      <c r="P2176" s="93" t="n"/>
      <c r="Q2176" s="93" t="n"/>
      <c r="R2176" s="94" t="n"/>
      <c r="S2176" s="92" t="inlineStr">
        <is>
          <t>Fri</t>
        </is>
      </c>
      <c r="T2176" s="93" t="n"/>
      <c r="U2176" s="93" t="n"/>
      <c r="V2176" s="94" t="n"/>
      <c r="W2176" s="95" t="inlineStr">
        <is>
          <t>Sat</t>
        </is>
      </c>
      <c r="X2176" s="96" t="n"/>
      <c r="Y2176" s="95" t="inlineStr">
        <is>
          <t>Sun</t>
        </is>
      </c>
      <c r="Z2176" s="96" t="n"/>
      <c r="AB2176" s="97" t="inlineStr">
        <is>
          <t>Days rostered</t>
        </is>
      </c>
      <c r="AC2176" s="97" t="inlineStr">
        <is>
          <t>Conflicts</t>
        </is>
      </c>
    </row>
    <row r="2177" ht="15" customHeight="1">
      <c r="A2177" t="n">
        <v>44</v>
      </c>
      <c r="B2177" s="35">
        <f>IF(Setup!$B$6="","",Setup!$B$6)</f>
        <v/>
      </c>
      <c r="C2177" s="98" t="n"/>
      <c r="D2177" s="99" t="n"/>
      <c r="E2177" s="99" t="n"/>
      <c r="F2177" s="100" t="n"/>
      <c r="G2177" s="98" t="n"/>
      <c r="H2177" s="99" t="n"/>
      <c r="I2177" s="99" t="n"/>
      <c r="J2177" s="100" t="n"/>
      <c r="K2177" s="98" t="n"/>
      <c r="L2177" s="99" t="n"/>
      <c r="M2177" s="99" t="n"/>
      <c r="N2177" s="100" t="n"/>
      <c r="O2177" s="98" t="n"/>
      <c r="P2177" s="99" t="n"/>
      <c r="Q2177" s="99" t="n"/>
      <c r="R2177" s="100" t="n"/>
      <c r="S2177" s="98" t="n"/>
      <c r="T2177" s="99" t="n"/>
      <c r="U2177" s="99" t="n"/>
      <c r="V2177" s="100" t="n"/>
      <c r="W2177" s="98" t="n"/>
      <c r="X2177" s="100" t="n"/>
      <c r="Y2177" s="98" t="n"/>
      <c r="Z2177" s="100" t="n"/>
      <c r="AB2177" s="101">
        <f>IF($B2177="","",(COUNTIF(C2158:E2175,$B2177)+COUNTIF(C2158:E2175,$B2177&amp;" ~*")&gt;0)+(COUNTIF(G2158:I2175,$B2177)+COUNTIF(G2158:I2175,$B2177&amp;" ~*")&gt;0)+(COUNTIF(K2158:M2175,$B2177)+COUNTIF(K2158:M2175,$B2177&amp;" ~*")&gt;0)+(COUNTIF(O2158:Q2175,$B2177)+COUNTIF(O2158:Q2175,$B2177&amp;" ~*")&gt;0)+(COUNTIF(S2158:U2175,$B2177)+COUNTIF(S2158:U2175,$B2177&amp;" ~*")&gt;0)+(COUNTIF(W2158:W2175,$B2177)+COUNTIF(W2158:W2175,$B2177&amp;" ~*")&gt;0)+(COUNTIF(Y2158:Y2175,$B2177)+COUNTIF(Y2158:Y2175,$B2177&amp;" ~*")&gt;0))</f>
        <v/>
      </c>
      <c r="AC2177" s="36">
        <f>IF($B2177="","",(IFERROR(INDEX(Setup!$G$33:$G$40,MATCH(C2177,Setup!$B$33:$B$40,0)),0)=1)*(COUNTIF(C2158:E2175,$B2177)+COUNTIF(C2158:E2175,$B2177&amp;" ~*")&gt;0)+(IFERROR(INDEX(Setup!$G$33:$G$40,MATCH(G2177,Setup!$B$33:$B$40,0)),0)=1)*(COUNTIF(G2158:I2175,$B2177)+COUNTIF(G2158:I2175,$B2177&amp;" ~*")&gt;0)+(IFERROR(INDEX(Setup!$G$33:$G$40,MATCH(K2177,Setup!$B$33:$B$40,0)),0)=1)*(COUNTIF(K2158:M2175,$B2177)+COUNTIF(K2158:M2175,$B2177&amp;" ~*")&gt;0)+(IFERROR(INDEX(Setup!$G$33:$G$40,MATCH(O2177,Setup!$B$33:$B$40,0)),0)=1)*(COUNTIF(O2158:Q2175,$B2177)+COUNTIF(O2158:Q2175,$B2177&amp;" ~*")&gt;0)+(IFERROR(INDEX(Setup!$G$33:$G$40,MATCH(S2177,Setup!$B$33:$B$40,0)),0)=1)*(COUNTIF(S2158:U2175,$B2177)+COUNTIF(S2158:U2175,$B2177&amp;" ~*")&gt;0)+(IFERROR(INDEX(Setup!$G$33:$G$40,MATCH(W2177,Setup!$B$33:$B$40,0)),0)=1)*(COUNTIF(W2158:W2175,$B2177)+COUNTIF(W2158:W2175,$B2177&amp;" ~*")&gt;0)+(IFERROR(INDEX(Setup!$G$33:$G$40,MATCH(Y2177,Setup!$B$33:$B$40,0)),0)=1)*(COUNTIF(Y2158:Y2175,$B2177)+COUNTIF(Y2158:Y2175,$B2177&amp;" ~*")&gt;0))</f>
        <v/>
      </c>
    </row>
    <row r="2178" ht="15" customHeight="1">
      <c r="A2178" t="n">
        <v>44</v>
      </c>
      <c r="B2178" s="37">
        <f>IF(Setup!$B$7="","",Setup!$B$7)</f>
        <v/>
      </c>
      <c r="C2178" s="102" t="n"/>
      <c r="D2178" s="103" t="n"/>
      <c r="E2178" s="103" t="n"/>
      <c r="F2178" s="104" t="n"/>
      <c r="G2178" s="102" t="n"/>
      <c r="H2178" s="103" t="n"/>
      <c r="I2178" s="103" t="n"/>
      <c r="J2178" s="104" t="n"/>
      <c r="K2178" s="102" t="n"/>
      <c r="L2178" s="103" t="n"/>
      <c r="M2178" s="103" t="n"/>
      <c r="N2178" s="104" t="n"/>
      <c r="O2178" s="102" t="n"/>
      <c r="P2178" s="103" t="n"/>
      <c r="Q2178" s="103" t="n"/>
      <c r="R2178" s="104" t="n"/>
      <c r="S2178" s="102" t="n"/>
      <c r="T2178" s="103" t="n"/>
      <c r="U2178" s="103" t="n"/>
      <c r="V2178" s="104" t="n"/>
      <c r="W2178" s="102" t="n"/>
      <c r="X2178" s="104" t="n"/>
      <c r="Y2178" s="102" t="n"/>
      <c r="Z2178" s="104" t="n"/>
      <c r="AB2178" s="105">
        <f>IF($B2178="","",(COUNTIF(C2158:E2175,$B2178)+COUNTIF(C2158:E2175,$B2178&amp;" ~*")&gt;0)+(COUNTIF(G2158:I2175,$B2178)+COUNTIF(G2158:I2175,$B2178&amp;" ~*")&gt;0)+(COUNTIF(K2158:M2175,$B2178)+COUNTIF(K2158:M2175,$B2178&amp;" ~*")&gt;0)+(COUNTIF(O2158:Q2175,$B2178)+COUNTIF(O2158:Q2175,$B2178&amp;" ~*")&gt;0)+(COUNTIF(S2158:U2175,$B2178)+COUNTIF(S2158:U2175,$B2178&amp;" ~*")&gt;0)+(COUNTIF(W2158:W2175,$B2178)+COUNTIF(W2158:W2175,$B2178&amp;" ~*")&gt;0)+(COUNTIF(Y2158:Y2175,$B2178)+COUNTIF(Y2158:Y2175,$B2178&amp;" ~*")&gt;0))</f>
        <v/>
      </c>
      <c r="AC2178" s="38">
        <f>IF($B2178="","",(IFERROR(INDEX(Setup!$G$33:$G$40,MATCH(C2178,Setup!$B$33:$B$40,0)),0)=1)*(COUNTIF(C2158:E2175,$B2178)+COUNTIF(C2158:E2175,$B2178&amp;" ~*")&gt;0)+(IFERROR(INDEX(Setup!$G$33:$G$40,MATCH(G2178,Setup!$B$33:$B$40,0)),0)=1)*(COUNTIF(G2158:I2175,$B2178)+COUNTIF(G2158:I2175,$B2178&amp;" ~*")&gt;0)+(IFERROR(INDEX(Setup!$G$33:$G$40,MATCH(K2178,Setup!$B$33:$B$40,0)),0)=1)*(COUNTIF(K2158:M2175,$B2178)+COUNTIF(K2158:M2175,$B2178&amp;" ~*")&gt;0)+(IFERROR(INDEX(Setup!$G$33:$G$40,MATCH(O2178,Setup!$B$33:$B$40,0)),0)=1)*(COUNTIF(O2158:Q2175,$B2178)+COUNTIF(O2158:Q2175,$B2178&amp;" ~*")&gt;0)+(IFERROR(INDEX(Setup!$G$33:$G$40,MATCH(S2178,Setup!$B$33:$B$40,0)),0)=1)*(COUNTIF(S2158:U2175,$B2178)+COUNTIF(S2158:U2175,$B2178&amp;" ~*")&gt;0)+(IFERROR(INDEX(Setup!$G$33:$G$40,MATCH(W2178,Setup!$B$33:$B$40,0)),0)=1)*(COUNTIF(W2158:W2175,$B2178)+COUNTIF(W2158:W2175,$B2178&amp;" ~*")&gt;0)+(IFERROR(INDEX(Setup!$G$33:$G$40,MATCH(Y2178,Setup!$B$33:$B$40,0)),0)=1)*(COUNTIF(Y2158:Y2175,$B2178)+COUNTIF(Y2158:Y2175,$B2178&amp;" ~*")&gt;0))</f>
        <v/>
      </c>
    </row>
    <row r="2179" ht="15" customHeight="1">
      <c r="A2179" t="n">
        <v>44</v>
      </c>
      <c r="B2179" s="35">
        <f>IF(Setup!$B$8="","",Setup!$B$8)</f>
        <v/>
      </c>
      <c r="C2179" s="98" t="n"/>
      <c r="D2179" s="99" t="n"/>
      <c r="E2179" s="99" t="n"/>
      <c r="F2179" s="100" t="n"/>
      <c r="G2179" s="98" t="n"/>
      <c r="H2179" s="99" t="n"/>
      <c r="I2179" s="99" t="n"/>
      <c r="J2179" s="100" t="n"/>
      <c r="K2179" s="98" t="n"/>
      <c r="L2179" s="99" t="n"/>
      <c r="M2179" s="99" t="n"/>
      <c r="N2179" s="100" t="n"/>
      <c r="O2179" s="98" t="n"/>
      <c r="P2179" s="99" t="n"/>
      <c r="Q2179" s="99" t="n"/>
      <c r="R2179" s="100" t="n"/>
      <c r="S2179" s="98" t="n"/>
      <c r="T2179" s="99" t="n"/>
      <c r="U2179" s="99" t="n"/>
      <c r="V2179" s="100" t="n"/>
      <c r="W2179" s="98" t="n"/>
      <c r="X2179" s="100" t="n"/>
      <c r="Y2179" s="98" t="n"/>
      <c r="Z2179" s="100" t="n"/>
      <c r="AB2179" s="101">
        <f>IF($B2179="","",(COUNTIF(C2158:E2175,$B2179)+COUNTIF(C2158:E2175,$B2179&amp;" ~*")&gt;0)+(COUNTIF(G2158:I2175,$B2179)+COUNTIF(G2158:I2175,$B2179&amp;" ~*")&gt;0)+(COUNTIF(K2158:M2175,$B2179)+COUNTIF(K2158:M2175,$B2179&amp;" ~*")&gt;0)+(COUNTIF(O2158:Q2175,$B2179)+COUNTIF(O2158:Q2175,$B2179&amp;" ~*")&gt;0)+(COUNTIF(S2158:U2175,$B2179)+COUNTIF(S2158:U2175,$B2179&amp;" ~*")&gt;0)+(COUNTIF(W2158:W2175,$B2179)+COUNTIF(W2158:W2175,$B2179&amp;" ~*")&gt;0)+(COUNTIF(Y2158:Y2175,$B2179)+COUNTIF(Y2158:Y2175,$B2179&amp;" ~*")&gt;0))</f>
        <v/>
      </c>
      <c r="AC2179" s="36">
        <f>IF($B2179="","",(IFERROR(INDEX(Setup!$G$33:$G$40,MATCH(C2179,Setup!$B$33:$B$40,0)),0)=1)*(COUNTIF(C2158:E2175,$B2179)+COUNTIF(C2158:E2175,$B2179&amp;" ~*")&gt;0)+(IFERROR(INDEX(Setup!$G$33:$G$40,MATCH(G2179,Setup!$B$33:$B$40,0)),0)=1)*(COUNTIF(G2158:I2175,$B2179)+COUNTIF(G2158:I2175,$B2179&amp;" ~*")&gt;0)+(IFERROR(INDEX(Setup!$G$33:$G$40,MATCH(K2179,Setup!$B$33:$B$40,0)),0)=1)*(COUNTIF(K2158:M2175,$B2179)+COUNTIF(K2158:M2175,$B2179&amp;" ~*")&gt;0)+(IFERROR(INDEX(Setup!$G$33:$G$40,MATCH(O2179,Setup!$B$33:$B$40,0)),0)=1)*(COUNTIF(O2158:Q2175,$B2179)+COUNTIF(O2158:Q2175,$B2179&amp;" ~*")&gt;0)+(IFERROR(INDEX(Setup!$G$33:$G$40,MATCH(S2179,Setup!$B$33:$B$40,0)),0)=1)*(COUNTIF(S2158:U2175,$B2179)+COUNTIF(S2158:U2175,$B2179&amp;" ~*")&gt;0)+(IFERROR(INDEX(Setup!$G$33:$G$40,MATCH(W2179,Setup!$B$33:$B$40,0)),0)=1)*(COUNTIF(W2158:W2175,$B2179)+COUNTIF(W2158:W2175,$B2179&amp;" ~*")&gt;0)+(IFERROR(INDEX(Setup!$G$33:$G$40,MATCH(Y2179,Setup!$B$33:$B$40,0)),0)=1)*(COUNTIF(Y2158:Y2175,$B2179)+COUNTIF(Y2158:Y2175,$B2179&amp;" ~*")&gt;0))</f>
        <v/>
      </c>
    </row>
    <row r="2180" ht="15" customHeight="1">
      <c r="A2180" t="n">
        <v>44</v>
      </c>
      <c r="B2180" s="37">
        <f>IF(Setup!$B$9="","",Setup!$B$9)</f>
        <v/>
      </c>
      <c r="C2180" s="102" t="n"/>
      <c r="D2180" s="103" t="n"/>
      <c r="E2180" s="103" t="n"/>
      <c r="F2180" s="104" t="n"/>
      <c r="G2180" s="102" t="n"/>
      <c r="H2180" s="103" t="n"/>
      <c r="I2180" s="103" t="n"/>
      <c r="J2180" s="104" t="n"/>
      <c r="K2180" s="102" t="n"/>
      <c r="L2180" s="103" t="n"/>
      <c r="M2180" s="103" t="n"/>
      <c r="N2180" s="104" t="n"/>
      <c r="O2180" s="102" t="n"/>
      <c r="P2180" s="103" t="n"/>
      <c r="Q2180" s="103" t="n"/>
      <c r="R2180" s="104" t="n"/>
      <c r="S2180" s="102" t="n"/>
      <c r="T2180" s="103" t="n"/>
      <c r="U2180" s="103" t="n"/>
      <c r="V2180" s="104" t="n"/>
      <c r="W2180" s="102" t="n"/>
      <c r="X2180" s="104" t="n"/>
      <c r="Y2180" s="102" t="n"/>
      <c r="Z2180" s="104" t="n"/>
      <c r="AB2180" s="105">
        <f>IF($B2180="","",(COUNTIF(C2158:E2175,$B2180)+COUNTIF(C2158:E2175,$B2180&amp;" ~*")&gt;0)+(COUNTIF(G2158:I2175,$B2180)+COUNTIF(G2158:I2175,$B2180&amp;" ~*")&gt;0)+(COUNTIF(K2158:M2175,$B2180)+COUNTIF(K2158:M2175,$B2180&amp;" ~*")&gt;0)+(COUNTIF(O2158:Q2175,$B2180)+COUNTIF(O2158:Q2175,$B2180&amp;" ~*")&gt;0)+(COUNTIF(S2158:U2175,$B2180)+COUNTIF(S2158:U2175,$B2180&amp;" ~*")&gt;0)+(COUNTIF(W2158:W2175,$B2180)+COUNTIF(W2158:W2175,$B2180&amp;" ~*")&gt;0)+(COUNTIF(Y2158:Y2175,$B2180)+COUNTIF(Y2158:Y2175,$B2180&amp;" ~*")&gt;0))</f>
        <v/>
      </c>
      <c r="AC2180" s="38">
        <f>IF($B2180="","",(IFERROR(INDEX(Setup!$G$33:$G$40,MATCH(C2180,Setup!$B$33:$B$40,0)),0)=1)*(COUNTIF(C2158:E2175,$B2180)+COUNTIF(C2158:E2175,$B2180&amp;" ~*")&gt;0)+(IFERROR(INDEX(Setup!$G$33:$G$40,MATCH(G2180,Setup!$B$33:$B$40,0)),0)=1)*(COUNTIF(G2158:I2175,$B2180)+COUNTIF(G2158:I2175,$B2180&amp;" ~*")&gt;0)+(IFERROR(INDEX(Setup!$G$33:$G$40,MATCH(K2180,Setup!$B$33:$B$40,0)),0)=1)*(COUNTIF(K2158:M2175,$B2180)+COUNTIF(K2158:M2175,$B2180&amp;" ~*")&gt;0)+(IFERROR(INDEX(Setup!$G$33:$G$40,MATCH(O2180,Setup!$B$33:$B$40,0)),0)=1)*(COUNTIF(O2158:Q2175,$B2180)+COUNTIF(O2158:Q2175,$B2180&amp;" ~*")&gt;0)+(IFERROR(INDEX(Setup!$G$33:$G$40,MATCH(S2180,Setup!$B$33:$B$40,0)),0)=1)*(COUNTIF(S2158:U2175,$B2180)+COUNTIF(S2158:U2175,$B2180&amp;" ~*")&gt;0)+(IFERROR(INDEX(Setup!$G$33:$G$40,MATCH(W2180,Setup!$B$33:$B$40,0)),0)=1)*(COUNTIF(W2158:W2175,$B2180)+COUNTIF(W2158:W2175,$B2180&amp;" ~*")&gt;0)+(IFERROR(INDEX(Setup!$G$33:$G$40,MATCH(Y2180,Setup!$B$33:$B$40,0)),0)=1)*(COUNTIF(Y2158:Y2175,$B2180)+COUNTIF(Y2158:Y2175,$B2180&amp;" ~*")&gt;0))</f>
        <v/>
      </c>
    </row>
    <row r="2181" ht="15" customHeight="1">
      <c r="A2181" t="n">
        <v>44</v>
      </c>
      <c r="B2181" s="35">
        <f>IF(Setup!$B$10="","",Setup!$B$10)</f>
        <v/>
      </c>
      <c r="C2181" s="98" t="n"/>
      <c r="D2181" s="99" t="n"/>
      <c r="E2181" s="99" t="n"/>
      <c r="F2181" s="100" t="n"/>
      <c r="G2181" s="98" t="n"/>
      <c r="H2181" s="99" t="n"/>
      <c r="I2181" s="99" t="n"/>
      <c r="J2181" s="100" t="n"/>
      <c r="K2181" s="98" t="n"/>
      <c r="L2181" s="99" t="n"/>
      <c r="M2181" s="99" t="n"/>
      <c r="N2181" s="100" t="n"/>
      <c r="O2181" s="98" t="n"/>
      <c r="P2181" s="99" t="n"/>
      <c r="Q2181" s="99" t="n"/>
      <c r="R2181" s="100" t="n"/>
      <c r="S2181" s="98" t="n"/>
      <c r="T2181" s="99" t="n"/>
      <c r="U2181" s="99" t="n"/>
      <c r="V2181" s="100" t="n"/>
      <c r="W2181" s="98" t="n"/>
      <c r="X2181" s="100" t="n"/>
      <c r="Y2181" s="98" t="n"/>
      <c r="Z2181" s="100" t="n"/>
      <c r="AB2181" s="101">
        <f>IF($B2181="","",(COUNTIF(C2158:E2175,$B2181)+COUNTIF(C2158:E2175,$B2181&amp;" ~*")&gt;0)+(COUNTIF(G2158:I2175,$B2181)+COUNTIF(G2158:I2175,$B2181&amp;" ~*")&gt;0)+(COUNTIF(K2158:M2175,$B2181)+COUNTIF(K2158:M2175,$B2181&amp;" ~*")&gt;0)+(COUNTIF(O2158:Q2175,$B2181)+COUNTIF(O2158:Q2175,$B2181&amp;" ~*")&gt;0)+(COUNTIF(S2158:U2175,$B2181)+COUNTIF(S2158:U2175,$B2181&amp;" ~*")&gt;0)+(COUNTIF(W2158:W2175,$B2181)+COUNTIF(W2158:W2175,$B2181&amp;" ~*")&gt;0)+(COUNTIF(Y2158:Y2175,$B2181)+COUNTIF(Y2158:Y2175,$B2181&amp;" ~*")&gt;0))</f>
        <v/>
      </c>
      <c r="AC2181" s="36">
        <f>IF($B2181="","",(IFERROR(INDEX(Setup!$G$33:$G$40,MATCH(C2181,Setup!$B$33:$B$40,0)),0)=1)*(COUNTIF(C2158:E2175,$B2181)+COUNTIF(C2158:E2175,$B2181&amp;" ~*")&gt;0)+(IFERROR(INDEX(Setup!$G$33:$G$40,MATCH(G2181,Setup!$B$33:$B$40,0)),0)=1)*(COUNTIF(G2158:I2175,$B2181)+COUNTIF(G2158:I2175,$B2181&amp;" ~*")&gt;0)+(IFERROR(INDEX(Setup!$G$33:$G$40,MATCH(K2181,Setup!$B$33:$B$40,0)),0)=1)*(COUNTIF(K2158:M2175,$B2181)+COUNTIF(K2158:M2175,$B2181&amp;" ~*")&gt;0)+(IFERROR(INDEX(Setup!$G$33:$G$40,MATCH(O2181,Setup!$B$33:$B$40,0)),0)=1)*(COUNTIF(O2158:Q2175,$B2181)+COUNTIF(O2158:Q2175,$B2181&amp;" ~*")&gt;0)+(IFERROR(INDEX(Setup!$G$33:$G$40,MATCH(S2181,Setup!$B$33:$B$40,0)),0)=1)*(COUNTIF(S2158:U2175,$B2181)+COUNTIF(S2158:U2175,$B2181&amp;" ~*")&gt;0)+(IFERROR(INDEX(Setup!$G$33:$G$40,MATCH(W2181,Setup!$B$33:$B$40,0)),0)=1)*(COUNTIF(W2158:W2175,$B2181)+COUNTIF(W2158:W2175,$B2181&amp;" ~*")&gt;0)+(IFERROR(INDEX(Setup!$G$33:$G$40,MATCH(Y2181,Setup!$B$33:$B$40,0)),0)=1)*(COUNTIF(Y2158:Y2175,$B2181)+COUNTIF(Y2158:Y2175,$B2181&amp;" ~*")&gt;0))</f>
        <v/>
      </c>
    </row>
    <row r="2182" ht="15" customHeight="1">
      <c r="A2182" t="n">
        <v>44</v>
      </c>
      <c r="B2182" s="37">
        <f>IF(Setup!$B$11="","",Setup!$B$11)</f>
        <v/>
      </c>
      <c r="C2182" s="102" t="n"/>
      <c r="D2182" s="103" t="n"/>
      <c r="E2182" s="103" t="n"/>
      <c r="F2182" s="104" t="n"/>
      <c r="G2182" s="102" t="n"/>
      <c r="H2182" s="103" t="n"/>
      <c r="I2182" s="103" t="n"/>
      <c r="J2182" s="104" t="n"/>
      <c r="K2182" s="102" t="n"/>
      <c r="L2182" s="103" t="n"/>
      <c r="M2182" s="103" t="n"/>
      <c r="N2182" s="104" t="n"/>
      <c r="O2182" s="102" t="n"/>
      <c r="P2182" s="103" t="n"/>
      <c r="Q2182" s="103" t="n"/>
      <c r="R2182" s="104" t="n"/>
      <c r="S2182" s="102" t="n"/>
      <c r="T2182" s="103" t="n"/>
      <c r="U2182" s="103" t="n"/>
      <c r="V2182" s="104" t="n"/>
      <c r="W2182" s="102" t="n"/>
      <c r="X2182" s="104" t="n"/>
      <c r="Y2182" s="102" t="n"/>
      <c r="Z2182" s="104" t="n"/>
      <c r="AB2182" s="105">
        <f>IF($B2182="","",(COUNTIF(C2158:E2175,$B2182)+COUNTIF(C2158:E2175,$B2182&amp;" ~*")&gt;0)+(COUNTIF(G2158:I2175,$B2182)+COUNTIF(G2158:I2175,$B2182&amp;" ~*")&gt;0)+(COUNTIF(K2158:M2175,$B2182)+COUNTIF(K2158:M2175,$B2182&amp;" ~*")&gt;0)+(COUNTIF(O2158:Q2175,$B2182)+COUNTIF(O2158:Q2175,$B2182&amp;" ~*")&gt;0)+(COUNTIF(S2158:U2175,$B2182)+COUNTIF(S2158:U2175,$B2182&amp;" ~*")&gt;0)+(COUNTIF(W2158:W2175,$B2182)+COUNTIF(W2158:W2175,$B2182&amp;" ~*")&gt;0)+(COUNTIF(Y2158:Y2175,$B2182)+COUNTIF(Y2158:Y2175,$B2182&amp;" ~*")&gt;0))</f>
        <v/>
      </c>
      <c r="AC2182" s="38">
        <f>IF($B2182="","",(IFERROR(INDEX(Setup!$G$33:$G$40,MATCH(C2182,Setup!$B$33:$B$40,0)),0)=1)*(COUNTIF(C2158:E2175,$B2182)+COUNTIF(C2158:E2175,$B2182&amp;" ~*")&gt;0)+(IFERROR(INDEX(Setup!$G$33:$G$40,MATCH(G2182,Setup!$B$33:$B$40,0)),0)=1)*(COUNTIF(G2158:I2175,$B2182)+COUNTIF(G2158:I2175,$B2182&amp;" ~*")&gt;0)+(IFERROR(INDEX(Setup!$G$33:$G$40,MATCH(K2182,Setup!$B$33:$B$40,0)),0)=1)*(COUNTIF(K2158:M2175,$B2182)+COUNTIF(K2158:M2175,$B2182&amp;" ~*")&gt;0)+(IFERROR(INDEX(Setup!$G$33:$G$40,MATCH(O2182,Setup!$B$33:$B$40,0)),0)=1)*(COUNTIF(O2158:Q2175,$B2182)+COUNTIF(O2158:Q2175,$B2182&amp;" ~*")&gt;0)+(IFERROR(INDEX(Setup!$G$33:$G$40,MATCH(S2182,Setup!$B$33:$B$40,0)),0)=1)*(COUNTIF(S2158:U2175,$B2182)+COUNTIF(S2158:U2175,$B2182&amp;" ~*")&gt;0)+(IFERROR(INDEX(Setup!$G$33:$G$40,MATCH(W2182,Setup!$B$33:$B$40,0)),0)=1)*(COUNTIF(W2158:W2175,$B2182)+COUNTIF(W2158:W2175,$B2182&amp;" ~*")&gt;0)+(IFERROR(INDEX(Setup!$G$33:$G$40,MATCH(Y2182,Setup!$B$33:$B$40,0)),0)=1)*(COUNTIF(Y2158:Y2175,$B2182)+COUNTIF(Y2158:Y2175,$B2182&amp;" ~*")&gt;0))</f>
        <v/>
      </c>
    </row>
    <row r="2183" ht="15" customHeight="1">
      <c r="A2183" t="n">
        <v>44</v>
      </c>
      <c r="B2183" s="35">
        <f>IF(Setup!$B$12="","",Setup!$B$12)</f>
        <v/>
      </c>
      <c r="C2183" s="98" t="n"/>
      <c r="D2183" s="99" t="n"/>
      <c r="E2183" s="99" t="n"/>
      <c r="F2183" s="100" t="n"/>
      <c r="G2183" s="98" t="n"/>
      <c r="H2183" s="99" t="n"/>
      <c r="I2183" s="99" t="n"/>
      <c r="J2183" s="100" t="n"/>
      <c r="K2183" s="98" t="n"/>
      <c r="L2183" s="99" t="n"/>
      <c r="M2183" s="99" t="n"/>
      <c r="N2183" s="100" t="n"/>
      <c r="O2183" s="98" t="n"/>
      <c r="P2183" s="99" t="n"/>
      <c r="Q2183" s="99" t="n"/>
      <c r="R2183" s="100" t="n"/>
      <c r="S2183" s="98" t="n"/>
      <c r="T2183" s="99" t="n"/>
      <c r="U2183" s="99" t="n"/>
      <c r="V2183" s="100" t="n"/>
      <c r="W2183" s="98" t="n"/>
      <c r="X2183" s="100" t="n"/>
      <c r="Y2183" s="98" t="n"/>
      <c r="Z2183" s="100" t="n"/>
      <c r="AB2183" s="101">
        <f>IF($B2183="","",(COUNTIF(C2158:E2175,$B2183)+COUNTIF(C2158:E2175,$B2183&amp;" ~*")&gt;0)+(COUNTIF(G2158:I2175,$B2183)+COUNTIF(G2158:I2175,$B2183&amp;" ~*")&gt;0)+(COUNTIF(K2158:M2175,$B2183)+COUNTIF(K2158:M2175,$B2183&amp;" ~*")&gt;0)+(COUNTIF(O2158:Q2175,$B2183)+COUNTIF(O2158:Q2175,$B2183&amp;" ~*")&gt;0)+(COUNTIF(S2158:U2175,$B2183)+COUNTIF(S2158:U2175,$B2183&amp;" ~*")&gt;0)+(COUNTIF(W2158:W2175,$B2183)+COUNTIF(W2158:W2175,$B2183&amp;" ~*")&gt;0)+(COUNTIF(Y2158:Y2175,$B2183)+COUNTIF(Y2158:Y2175,$B2183&amp;" ~*")&gt;0))</f>
        <v/>
      </c>
      <c r="AC2183" s="36">
        <f>IF($B2183="","",(IFERROR(INDEX(Setup!$G$33:$G$40,MATCH(C2183,Setup!$B$33:$B$40,0)),0)=1)*(COUNTIF(C2158:E2175,$B2183)+COUNTIF(C2158:E2175,$B2183&amp;" ~*")&gt;0)+(IFERROR(INDEX(Setup!$G$33:$G$40,MATCH(G2183,Setup!$B$33:$B$40,0)),0)=1)*(COUNTIF(G2158:I2175,$B2183)+COUNTIF(G2158:I2175,$B2183&amp;" ~*")&gt;0)+(IFERROR(INDEX(Setup!$G$33:$G$40,MATCH(K2183,Setup!$B$33:$B$40,0)),0)=1)*(COUNTIF(K2158:M2175,$B2183)+COUNTIF(K2158:M2175,$B2183&amp;" ~*")&gt;0)+(IFERROR(INDEX(Setup!$G$33:$G$40,MATCH(O2183,Setup!$B$33:$B$40,0)),0)=1)*(COUNTIF(O2158:Q2175,$B2183)+COUNTIF(O2158:Q2175,$B2183&amp;" ~*")&gt;0)+(IFERROR(INDEX(Setup!$G$33:$G$40,MATCH(S2183,Setup!$B$33:$B$40,0)),0)=1)*(COUNTIF(S2158:U2175,$B2183)+COUNTIF(S2158:U2175,$B2183&amp;" ~*")&gt;0)+(IFERROR(INDEX(Setup!$G$33:$G$40,MATCH(W2183,Setup!$B$33:$B$40,0)),0)=1)*(COUNTIF(W2158:W2175,$B2183)+COUNTIF(W2158:W2175,$B2183&amp;" ~*")&gt;0)+(IFERROR(INDEX(Setup!$G$33:$G$40,MATCH(Y2183,Setup!$B$33:$B$40,0)),0)=1)*(COUNTIF(Y2158:Y2175,$B2183)+COUNTIF(Y2158:Y2175,$B2183&amp;" ~*")&gt;0))</f>
        <v/>
      </c>
    </row>
    <row r="2184" ht="15" customHeight="1">
      <c r="A2184" t="n">
        <v>44</v>
      </c>
      <c r="B2184" s="37">
        <f>IF(Setup!$B$13="","",Setup!$B$13)</f>
        <v/>
      </c>
      <c r="C2184" s="102" t="n"/>
      <c r="D2184" s="103" t="n"/>
      <c r="E2184" s="103" t="n"/>
      <c r="F2184" s="104" t="n"/>
      <c r="G2184" s="102" t="n"/>
      <c r="H2184" s="103" t="n"/>
      <c r="I2184" s="103" t="n"/>
      <c r="J2184" s="104" t="n"/>
      <c r="K2184" s="102" t="n"/>
      <c r="L2184" s="103" t="n"/>
      <c r="M2184" s="103" t="n"/>
      <c r="N2184" s="104" t="n"/>
      <c r="O2184" s="102" t="n"/>
      <c r="P2184" s="103" t="n"/>
      <c r="Q2184" s="103" t="n"/>
      <c r="R2184" s="104" t="n"/>
      <c r="S2184" s="102" t="n"/>
      <c r="T2184" s="103" t="n"/>
      <c r="U2184" s="103" t="n"/>
      <c r="V2184" s="104" t="n"/>
      <c r="W2184" s="102" t="n"/>
      <c r="X2184" s="104" t="n"/>
      <c r="Y2184" s="102" t="n"/>
      <c r="Z2184" s="104" t="n"/>
      <c r="AB2184" s="105">
        <f>IF($B2184="","",(COUNTIF(C2158:E2175,$B2184)+COUNTIF(C2158:E2175,$B2184&amp;" ~*")&gt;0)+(COUNTIF(G2158:I2175,$B2184)+COUNTIF(G2158:I2175,$B2184&amp;" ~*")&gt;0)+(COUNTIF(K2158:M2175,$B2184)+COUNTIF(K2158:M2175,$B2184&amp;" ~*")&gt;0)+(COUNTIF(O2158:Q2175,$B2184)+COUNTIF(O2158:Q2175,$B2184&amp;" ~*")&gt;0)+(COUNTIF(S2158:U2175,$B2184)+COUNTIF(S2158:U2175,$B2184&amp;" ~*")&gt;0)+(COUNTIF(W2158:W2175,$B2184)+COUNTIF(W2158:W2175,$B2184&amp;" ~*")&gt;0)+(COUNTIF(Y2158:Y2175,$B2184)+COUNTIF(Y2158:Y2175,$B2184&amp;" ~*")&gt;0))</f>
        <v/>
      </c>
      <c r="AC2184" s="38">
        <f>IF($B2184="","",(IFERROR(INDEX(Setup!$G$33:$G$40,MATCH(C2184,Setup!$B$33:$B$40,0)),0)=1)*(COUNTIF(C2158:E2175,$B2184)+COUNTIF(C2158:E2175,$B2184&amp;" ~*")&gt;0)+(IFERROR(INDEX(Setup!$G$33:$G$40,MATCH(G2184,Setup!$B$33:$B$40,0)),0)=1)*(COUNTIF(G2158:I2175,$B2184)+COUNTIF(G2158:I2175,$B2184&amp;" ~*")&gt;0)+(IFERROR(INDEX(Setup!$G$33:$G$40,MATCH(K2184,Setup!$B$33:$B$40,0)),0)=1)*(COUNTIF(K2158:M2175,$B2184)+COUNTIF(K2158:M2175,$B2184&amp;" ~*")&gt;0)+(IFERROR(INDEX(Setup!$G$33:$G$40,MATCH(O2184,Setup!$B$33:$B$40,0)),0)=1)*(COUNTIF(O2158:Q2175,$B2184)+COUNTIF(O2158:Q2175,$B2184&amp;" ~*")&gt;0)+(IFERROR(INDEX(Setup!$G$33:$G$40,MATCH(S2184,Setup!$B$33:$B$40,0)),0)=1)*(COUNTIF(S2158:U2175,$B2184)+COUNTIF(S2158:U2175,$B2184&amp;" ~*")&gt;0)+(IFERROR(INDEX(Setup!$G$33:$G$40,MATCH(W2184,Setup!$B$33:$B$40,0)),0)=1)*(COUNTIF(W2158:W2175,$B2184)+COUNTIF(W2158:W2175,$B2184&amp;" ~*")&gt;0)+(IFERROR(INDEX(Setup!$G$33:$G$40,MATCH(Y2184,Setup!$B$33:$B$40,0)),0)=1)*(COUNTIF(Y2158:Y2175,$B2184)+COUNTIF(Y2158:Y2175,$B2184&amp;" ~*")&gt;0))</f>
        <v/>
      </c>
    </row>
    <row r="2185" ht="15" customHeight="1">
      <c r="A2185" t="n">
        <v>44</v>
      </c>
      <c r="B2185" s="35">
        <f>IF(Setup!$B$14="","",Setup!$B$14)</f>
        <v/>
      </c>
      <c r="C2185" s="98" t="n"/>
      <c r="D2185" s="99" t="n"/>
      <c r="E2185" s="99" t="n"/>
      <c r="F2185" s="100" t="n"/>
      <c r="G2185" s="98" t="n"/>
      <c r="H2185" s="99" t="n"/>
      <c r="I2185" s="99" t="n"/>
      <c r="J2185" s="100" t="n"/>
      <c r="K2185" s="98" t="n"/>
      <c r="L2185" s="99" t="n"/>
      <c r="M2185" s="99" t="n"/>
      <c r="N2185" s="100" t="n"/>
      <c r="O2185" s="98" t="n"/>
      <c r="P2185" s="99" t="n"/>
      <c r="Q2185" s="99" t="n"/>
      <c r="R2185" s="100" t="n"/>
      <c r="S2185" s="98" t="n"/>
      <c r="T2185" s="99" t="n"/>
      <c r="U2185" s="99" t="n"/>
      <c r="V2185" s="100" t="n"/>
      <c r="W2185" s="98" t="n"/>
      <c r="X2185" s="100" t="n"/>
      <c r="Y2185" s="98" t="n"/>
      <c r="Z2185" s="100" t="n"/>
      <c r="AB2185" s="101">
        <f>IF($B2185="","",(COUNTIF(C2158:E2175,$B2185)+COUNTIF(C2158:E2175,$B2185&amp;" ~*")&gt;0)+(COUNTIF(G2158:I2175,$B2185)+COUNTIF(G2158:I2175,$B2185&amp;" ~*")&gt;0)+(COUNTIF(K2158:M2175,$B2185)+COUNTIF(K2158:M2175,$B2185&amp;" ~*")&gt;0)+(COUNTIF(O2158:Q2175,$B2185)+COUNTIF(O2158:Q2175,$B2185&amp;" ~*")&gt;0)+(COUNTIF(S2158:U2175,$B2185)+COUNTIF(S2158:U2175,$B2185&amp;" ~*")&gt;0)+(COUNTIF(W2158:W2175,$B2185)+COUNTIF(W2158:W2175,$B2185&amp;" ~*")&gt;0)+(COUNTIF(Y2158:Y2175,$B2185)+COUNTIF(Y2158:Y2175,$B2185&amp;" ~*")&gt;0))</f>
        <v/>
      </c>
      <c r="AC2185" s="36">
        <f>IF($B2185="","",(IFERROR(INDEX(Setup!$G$33:$G$40,MATCH(C2185,Setup!$B$33:$B$40,0)),0)=1)*(COUNTIF(C2158:E2175,$B2185)+COUNTIF(C2158:E2175,$B2185&amp;" ~*")&gt;0)+(IFERROR(INDEX(Setup!$G$33:$G$40,MATCH(G2185,Setup!$B$33:$B$40,0)),0)=1)*(COUNTIF(G2158:I2175,$B2185)+COUNTIF(G2158:I2175,$B2185&amp;" ~*")&gt;0)+(IFERROR(INDEX(Setup!$G$33:$G$40,MATCH(K2185,Setup!$B$33:$B$40,0)),0)=1)*(COUNTIF(K2158:M2175,$B2185)+COUNTIF(K2158:M2175,$B2185&amp;" ~*")&gt;0)+(IFERROR(INDEX(Setup!$G$33:$G$40,MATCH(O2185,Setup!$B$33:$B$40,0)),0)=1)*(COUNTIF(O2158:Q2175,$B2185)+COUNTIF(O2158:Q2175,$B2185&amp;" ~*")&gt;0)+(IFERROR(INDEX(Setup!$G$33:$G$40,MATCH(S2185,Setup!$B$33:$B$40,0)),0)=1)*(COUNTIF(S2158:U2175,$B2185)+COUNTIF(S2158:U2175,$B2185&amp;" ~*")&gt;0)+(IFERROR(INDEX(Setup!$G$33:$G$40,MATCH(W2185,Setup!$B$33:$B$40,0)),0)=1)*(COUNTIF(W2158:W2175,$B2185)+COUNTIF(W2158:W2175,$B2185&amp;" ~*")&gt;0)+(IFERROR(INDEX(Setup!$G$33:$G$40,MATCH(Y2185,Setup!$B$33:$B$40,0)),0)=1)*(COUNTIF(Y2158:Y2175,$B2185)+COUNTIF(Y2158:Y2175,$B2185&amp;" ~*")&gt;0))</f>
        <v/>
      </c>
    </row>
    <row r="2186" ht="15" customHeight="1">
      <c r="A2186" t="n">
        <v>44</v>
      </c>
      <c r="B2186" s="37">
        <f>IF(Setup!$B$15="","",Setup!$B$15)</f>
        <v/>
      </c>
      <c r="C2186" s="102" t="n"/>
      <c r="D2186" s="103" t="n"/>
      <c r="E2186" s="103" t="n"/>
      <c r="F2186" s="104" t="n"/>
      <c r="G2186" s="102" t="n"/>
      <c r="H2186" s="103" t="n"/>
      <c r="I2186" s="103" t="n"/>
      <c r="J2186" s="104" t="n"/>
      <c r="K2186" s="102" t="n"/>
      <c r="L2186" s="103" t="n"/>
      <c r="M2186" s="103" t="n"/>
      <c r="N2186" s="104" t="n"/>
      <c r="O2186" s="102" t="n"/>
      <c r="P2186" s="103" t="n"/>
      <c r="Q2186" s="103" t="n"/>
      <c r="R2186" s="104" t="n"/>
      <c r="S2186" s="102" t="n"/>
      <c r="T2186" s="103" t="n"/>
      <c r="U2186" s="103" t="n"/>
      <c r="V2186" s="104" t="n"/>
      <c r="W2186" s="102" t="n"/>
      <c r="X2186" s="104" t="n"/>
      <c r="Y2186" s="102" t="n"/>
      <c r="Z2186" s="104" t="n"/>
      <c r="AB2186" s="105">
        <f>IF($B2186="","",(COUNTIF(C2158:E2175,$B2186)+COUNTIF(C2158:E2175,$B2186&amp;" ~*")&gt;0)+(COUNTIF(G2158:I2175,$B2186)+COUNTIF(G2158:I2175,$B2186&amp;" ~*")&gt;0)+(COUNTIF(K2158:M2175,$B2186)+COUNTIF(K2158:M2175,$B2186&amp;" ~*")&gt;0)+(COUNTIF(O2158:Q2175,$B2186)+COUNTIF(O2158:Q2175,$B2186&amp;" ~*")&gt;0)+(COUNTIF(S2158:U2175,$B2186)+COUNTIF(S2158:U2175,$B2186&amp;" ~*")&gt;0)+(COUNTIF(W2158:W2175,$B2186)+COUNTIF(W2158:W2175,$B2186&amp;" ~*")&gt;0)+(COUNTIF(Y2158:Y2175,$B2186)+COUNTIF(Y2158:Y2175,$B2186&amp;" ~*")&gt;0))</f>
        <v/>
      </c>
      <c r="AC2186" s="38">
        <f>IF($B2186="","",(IFERROR(INDEX(Setup!$G$33:$G$40,MATCH(C2186,Setup!$B$33:$B$40,0)),0)=1)*(COUNTIF(C2158:E2175,$B2186)+COUNTIF(C2158:E2175,$B2186&amp;" ~*")&gt;0)+(IFERROR(INDEX(Setup!$G$33:$G$40,MATCH(G2186,Setup!$B$33:$B$40,0)),0)=1)*(COUNTIF(G2158:I2175,$B2186)+COUNTIF(G2158:I2175,$B2186&amp;" ~*")&gt;0)+(IFERROR(INDEX(Setup!$G$33:$G$40,MATCH(K2186,Setup!$B$33:$B$40,0)),0)=1)*(COUNTIF(K2158:M2175,$B2186)+COUNTIF(K2158:M2175,$B2186&amp;" ~*")&gt;0)+(IFERROR(INDEX(Setup!$G$33:$G$40,MATCH(O2186,Setup!$B$33:$B$40,0)),0)=1)*(COUNTIF(O2158:Q2175,$B2186)+COUNTIF(O2158:Q2175,$B2186&amp;" ~*")&gt;0)+(IFERROR(INDEX(Setup!$G$33:$G$40,MATCH(S2186,Setup!$B$33:$B$40,0)),0)=1)*(COUNTIF(S2158:U2175,$B2186)+COUNTIF(S2158:U2175,$B2186&amp;" ~*")&gt;0)+(IFERROR(INDEX(Setup!$G$33:$G$40,MATCH(W2186,Setup!$B$33:$B$40,0)),0)=1)*(COUNTIF(W2158:W2175,$B2186)+COUNTIF(W2158:W2175,$B2186&amp;" ~*")&gt;0)+(IFERROR(INDEX(Setup!$G$33:$G$40,MATCH(Y2186,Setup!$B$33:$B$40,0)),0)=1)*(COUNTIF(Y2158:Y2175,$B2186)+COUNTIF(Y2158:Y2175,$B2186&amp;" ~*")&gt;0))</f>
        <v/>
      </c>
    </row>
    <row r="2187" ht="15" customHeight="1">
      <c r="A2187" t="n">
        <v>44</v>
      </c>
      <c r="B2187" s="35">
        <f>IF(Setup!$B$16="","",Setup!$B$16)</f>
        <v/>
      </c>
      <c r="C2187" s="98" t="n"/>
      <c r="D2187" s="99" t="n"/>
      <c r="E2187" s="99" t="n"/>
      <c r="F2187" s="100" t="n"/>
      <c r="G2187" s="98" t="n"/>
      <c r="H2187" s="99" t="n"/>
      <c r="I2187" s="99" t="n"/>
      <c r="J2187" s="100" t="n"/>
      <c r="K2187" s="98" t="n"/>
      <c r="L2187" s="99" t="n"/>
      <c r="M2187" s="99" t="n"/>
      <c r="N2187" s="100" t="n"/>
      <c r="O2187" s="98" t="n"/>
      <c r="P2187" s="99" t="n"/>
      <c r="Q2187" s="99" t="n"/>
      <c r="R2187" s="100" t="n"/>
      <c r="S2187" s="98" t="n"/>
      <c r="T2187" s="99" t="n"/>
      <c r="U2187" s="99" t="n"/>
      <c r="V2187" s="100" t="n"/>
      <c r="W2187" s="98" t="n"/>
      <c r="X2187" s="100" t="n"/>
      <c r="Y2187" s="98" t="n"/>
      <c r="Z2187" s="100" t="n"/>
      <c r="AB2187" s="101">
        <f>IF($B2187="","",(COUNTIF(C2158:E2175,$B2187)+COUNTIF(C2158:E2175,$B2187&amp;" ~*")&gt;0)+(COUNTIF(G2158:I2175,$B2187)+COUNTIF(G2158:I2175,$B2187&amp;" ~*")&gt;0)+(COUNTIF(K2158:M2175,$B2187)+COUNTIF(K2158:M2175,$B2187&amp;" ~*")&gt;0)+(COUNTIF(O2158:Q2175,$B2187)+COUNTIF(O2158:Q2175,$B2187&amp;" ~*")&gt;0)+(COUNTIF(S2158:U2175,$B2187)+COUNTIF(S2158:U2175,$B2187&amp;" ~*")&gt;0)+(COUNTIF(W2158:W2175,$B2187)+COUNTIF(W2158:W2175,$B2187&amp;" ~*")&gt;0)+(COUNTIF(Y2158:Y2175,$B2187)+COUNTIF(Y2158:Y2175,$B2187&amp;" ~*")&gt;0))</f>
        <v/>
      </c>
      <c r="AC2187" s="36">
        <f>IF($B2187="","",(IFERROR(INDEX(Setup!$G$33:$G$40,MATCH(C2187,Setup!$B$33:$B$40,0)),0)=1)*(COUNTIF(C2158:E2175,$B2187)+COUNTIF(C2158:E2175,$B2187&amp;" ~*")&gt;0)+(IFERROR(INDEX(Setup!$G$33:$G$40,MATCH(G2187,Setup!$B$33:$B$40,0)),0)=1)*(COUNTIF(G2158:I2175,$B2187)+COUNTIF(G2158:I2175,$B2187&amp;" ~*")&gt;0)+(IFERROR(INDEX(Setup!$G$33:$G$40,MATCH(K2187,Setup!$B$33:$B$40,0)),0)=1)*(COUNTIF(K2158:M2175,$B2187)+COUNTIF(K2158:M2175,$B2187&amp;" ~*")&gt;0)+(IFERROR(INDEX(Setup!$G$33:$G$40,MATCH(O2187,Setup!$B$33:$B$40,0)),0)=1)*(COUNTIF(O2158:Q2175,$B2187)+COUNTIF(O2158:Q2175,$B2187&amp;" ~*")&gt;0)+(IFERROR(INDEX(Setup!$G$33:$G$40,MATCH(S2187,Setup!$B$33:$B$40,0)),0)=1)*(COUNTIF(S2158:U2175,$B2187)+COUNTIF(S2158:U2175,$B2187&amp;" ~*")&gt;0)+(IFERROR(INDEX(Setup!$G$33:$G$40,MATCH(W2187,Setup!$B$33:$B$40,0)),0)=1)*(COUNTIF(W2158:W2175,$B2187)+COUNTIF(W2158:W2175,$B2187&amp;" ~*")&gt;0)+(IFERROR(INDEX(Setup!$G$33:$G$40,MATCH(Y2187,Setup!$B$33:$B$40,0)),0)=1)*(COUNTIF(Y2158:Y2175,$B2187)+COUNTIF(Y2158:Y2175,$B2187&amp;" ~*")&gt;0))</f>
        <v/>
      </c>
    </row>
    <row r="2188" ht="15" customHeight="1">
      <c r="A2188" t="n">
        <v>44</v>
      </c>
      <c r="B2188" s="37">
        <f>IF(Setup!$B$17="","",Setup!$B$17)</f>
        <v/>
      </c>
      <c r="C2188" s="102" t="n"/>
      <c r="D2188" s="103" t="n"/>
      <c r="E2188" s="103" t="n"/>
      <c r="F2188" s="104" t="n"/>
      <c r="G2188" s="102" t="n"/>
      <c r="H2188" s="103" t="n"/>
      <c r="I2188" s="103" t="n"/>
      <c r="J2188" s="104" t="n"/>
      <c r="K2188" s="102" t="n"/>
      <c r="L2188" s="103" t="n"/>
      <c r="M2188" s="103" t="n"/>
      <c r="N2188" s="104" t="n"/>
      <c r="O2188" s="102" t="n"/>
      <c r="P2188" s="103" t="n"/>
      <c r="Q2188" s="103" t="n"/>
      <c r="R2188" s="104" t="n"/>
      <c r="S2188" s="102" t="n"/>
      <c r="T2188" s="103" t="n"/>
      <c r="U2188" s="103" t="n"/>
      <c r="V2188" s="104" t="n"/>
      <c r="W2188" s="102" t="n"/>
      <c r="X2188" s="104" t="n"/>
      <c r="Y2188" s="102" t="n"/>
      <c r="Z2188" s="104" t="n"/>
      <c r="AB2188" s="105">
        <f>IF($B2188="","",(COUNTIF(C2158:E2175,$B2188)+COUNTIF(C2158:E2175,$B2188&amp;" ~*")&gt;0)+(COUNTIF(G2158:I2175,$B2188)+COUNTIF(G2158:I2175,$B2188&amp;" ~*")&gt;0)+(COUNTIF(K2158:M2175,$B2188)+COUNTIF(K2158:M2175,$B2188&amp;" ~*")&gt;0)+(COUNTIF(O2158:Q2175,$B2188)+COUNTIF(O2158:Q2175,$B2188&amp;" ~*")&gt;0)+(COUNTIF(S2158:U2175,$B2188)+COUNTIF(S2158:U2175,$B2188&amp;" ~*")&gt;0)+(COUNTIF(W2158:W2175,$B2188)+COUNTIF(W2158:W2175,$B2188&amp;" ~*")&gt;0)+(COUNTIF(Y2158:Y2175,$B2188)+COUNTIF(Y2158:Y2175,$B2188&amp;" ~*")&gt;0))</f>
        <v/>
      </c>
      <c r="AC2188" s="38">
        <f>IF($B2188="","",(IFERROR(INDEX(Setup!$G$33:$G$40,MATCH(C2188,Setup!$B$33:$B$40,0)),0)=1)*(COUNTIF(C2158:E2175,$B2188)+COUNTIF(C2158:E2175,$B2188&amp;" ~*")&gt;0)+(IFERROR(INDEX(Setup!$G$33:$G$40,MATCH(G2188,Setup!$B$33:$B$40,0)),0)=1)*(COUNTIF(G2158:I2175,$B2188)+COUNTIF(G2158:I2175,$B2188&amp;" ~*")&gt;0)+(IFERROR(INDEX(Setup!$G$33:$G$40,MATCH(K2188,Setup!$B$33:$B$40,0)),0)=1)*(COUNTIF(K2158:M2175,$B2188)+COUNTIF(K2158:M2175,$B2188&amp;" ~*")&gt;0)+(IFERROR(INDEX(Setup!$G$33:$G$40,MATCH(O2188,Setup!$B$33:$B$40,0)),0)=1)*(COUNTIF(O2158:Q2175,$B2188)+COUNTIF(O2158:Q2175,$B2188&amp;" ~*")&gt;0)+(IFERROR(INDEX(Setup!$G$33:$G$40,MATCH(S2188,Setup!$B$33:$B$40,0)),0)=1)*(COUNTIF(S2158:U2175,$B2188)+COUNTIF(S2158:U2175,$B2188&amp;" ~*")&gt;0)+(IFERROR(INDEX(Setup!$G$33:$G$40,MATCH(W2188,Setup!$B$33:$B$40,0)),0)=1)*(COUNTIF(W2158:W2175,$B2188)+COUNTIF(W2158:W2175,$B2188&amp;" ~*")&gt;0)+(IFERROR(INDEX(Setup!$G$33:$G$40,MATCH(Y2188,Setup!$B$33:$B$40,0)),0)=1)*(COUNTIF(Y2158:Y2175,$B2188)+COUNTIF(Y2158:Y2175,$B2188&amp;" ~*")&gt;0))</f>
        <v/>
      </c>
    </row>
    <row r="2189" ht="15" customHeight="1">
      <c r="A2189" t="n">
        <v>44</v>
      </c>
      <c r="B2189" s="35">
        <f>IF(Setup!$B$18="","",Setup!$B$18)</f>
        <v/>
      </c>
      <c r="C2189" s="98" t="n"/>
      <c r="D2189" s="99" t="n"/>
      <c r="E2189" s="99" t="n"/>
      <c r="F2189" s="100" t="n"/>
      <c r="G2189" s="98" t="n"/>
      <c r="H2189" s="99" t="n"/>
      <c r="I2189" s="99" t="n"/>
      <c r="J2189" s="100" t="n"/>
      <c r="K2189" s="98" t="n"/>
      <c r="L2189" s="99" t="n"/>
      <c r="M2189" s="99" t="n"/>
      <c r="N2189" s="100" t="n"/>
      <c r="O2189" s="98" t="n"/>
      <c r="P2189" s="99" t="n"/>
      <c r="Q2189" s="99" t="n"/>
      <c r="R2189" s="100" t="n"/>
      <c r="S2189" s="98" t="n"/>
      <c r="T2189" s="99" t="n"/>
      <c r="U2189" s="99" t="n"/>
      <c r="V2189" s="100" t="n"/>
      <c r="W2189" s="98" t="n"/>
      <c r="X2189" s="100" t="n"/>
      <c r="Y2189" s="98" t="n"/>
      <c r="Z2189" s="100" t="n"/>
      <c r="AB2189" s="101">
        <f>IF($B2189="","",(COUNTIF(C2158:E2175,$B2189)+COUNTIF(C2158:E2175,$B2189&amp;" ~*")&gt;0)+(COUNTIF(G2158:I2175,$B2189)+COUNTIF(G2158:I2175,$B2189&amp;" ~*")&gt;0)+(COUNTIF(K2158:M2175,$B2189)+COUNTIF(K2158:M2175,$B2189&amp;" ~*")&gt;0)+(COUNTIF(O2158:Q2175,$B2189)+COUNTIF(O2158:Q2175,$B2189&amp;" ~*")&gt;0)+(COUNTIF(S2158:U2175,$B2189)+COUNTIF(S2158:U2175,$B2189&amp;" ~*")&gt;0)+(COUNTIF(W2158:W2175,$B2189)+COUNTIF(W2158:W2175,$B2189&amp;" ~*")&gt;0)+(COUNTIF(Y2158:Y2175,$B2189)+COUNTIF(Y2158:Y2175,$B2189&amp;" ~*")&gt;0))</f>
        <v/>
      </c>
      <c r="AC2189" s="36">
        <f>IF($B2189="","",(IFERROR(INDEX(Setup!$G$33:$G$40,MATCH(C2189,Setup!$B$33:$B$40,0)),0)=1)*(COUNTIF(C2158:E2175,$B2189)+COUNTIF(C2158:E2175,$B2189&amp;" ~*")&gt;0)+(IFERROR(INDEX(Setup!$G$33:$G$40,MATCH(G2189,Setup!$B$33:$B$40,0)),0)=1)*(COUNTIF(G2158:I2175,$B2189)+COUNTIF(G2158:I2175,$B2189&amp;" ~*")&gt;0)+(IFERROR(INDEX(Setup!$G$33:$G$40,MATCH(K2189,Setup!$B$33:$B$40,0)),0)=1)*(COUNTIF(K2158:M2175,$B2189)+COUNTIF(K2158:M2175,$B2189&amp;" ~*")&gt;0)+(IFERROR(INDEX(Setup!$G$33:$G$40,MATCH(O2189,Setup!$B$33:$B$40,0)),0)=1)*(COUNTIF(O2158:Q2175,$B2189)+COUNTIF(O2158:Q2175,$B2189&amp;" ~*")&gt;0)+(IFERROR(INDEX(Setup!$G$33:$G$40,MATCH(S2189,Setup!$B$33:$B$40,0)),0)=1)*(COUNTIF(S2158:U2175,$B2189)+COUNTIF(S2158:U2175,$B2189&amp;" ~*")&gt;0)+(IFERROR(INDEX(Setup!$G$33:$G$40,MATCH(W2189,Setup!$B$33:$B$40,0)),0)=1)*(COUNTIF(W2158:W2175,$B2189)+COUNTIF(W2158:W2175,$B2189&amp;" ~*")&gt;0)+(IFERROR(INDEX(Setup!$G$33:$G$40,MATCH(Y2189,Setup!$B$33:$B$40,0)),0)=1)*(COUNTIF(Y2158:Y2175,$B2189)+COUNTIF(Y2158:Y2175,$B2189&amp;" ~*")&gt;0))</f>
        <v/>
      </c>
    </row>
    <row r="2190" ht="15" customHeight="1">
      <c r="A2190" t="n">
        <v>44</v>
      </c>
      <c r="B2190" s="37">
        <f>IF(Setup!$B$19="","",Setup!$B$19)</f>
        <v/>
      </c>
      <c r="C2190" s="102" t="n"/>
      <c r="D2190" s="103" t="n"/>
      <c r="E2190" s="103" t="n"/>
      <c r="F2190" s="104" t="n"/>
      <c r="G2190" s="102" t="n"/>
      <c r="H2190" s="103" t="n"/>
      <c r="I2190" s="103" t="n"/>
      <c r="J2190" s="104" t="n"/>
      <c r="K2190" s="102" t="n"/>
      <c r="L2190" s="103" t="n"/>
      <c r="M2190" s="103" t="n"/>
      <c r="N2190" s="104" t="n"/>
      <c r="O2190" s="102" t="n"/>
      <c r="P2190" s="103" t="n"/>
      <c r="Q2190" s="103" t="n"/>
      <c r="R2190" s="104" t="n"/>
      <c r="S2190" s="102" t="n"/>
      <c r="T2190" s="103" t="n"/>
      <c r="U2190" s="103" t="n"/>
      <c r="V2190" s="104" t="n"/>
      <c r="W2190" s="102" t="n"/>
      <c r="X2190" s="104" t="n"/>
      <c r="Y2190" s="102" t="n"/>
      <c r="Z2190" s="104" t="n"/>
      <c r="AB2190" s="105">
        <f>IF($B2190="","",(COUNTIF(C2158:E2175,$B2190)+COUNTIF(C2158:E2175,$B2190&amp;" ~*")&gt;0)+(COUNTIF(G2158:I2175,$B2190)+COUNTIF(G2158:I2175,$B2190&amp;" ~*")&gt;0)+(COUNTIF(K2158:M2175,$B2190)+COUNTIF(K2158:M2175,$B2190&amp;" ~*")&gt;0)+(COUNTIF(O2158:Q2175,$B2190)+COUNTIF(O2158:Q2175,$B2190&amp;" ~*")&gt;0)+(COUNTIF(S2158:U2175,$B2190)+COUNTIF(S2158:U2175,$B2190&amp;" ~*")&gt;0)+(COUNTIF(W2158:W2175,$B2190)+COUNTIF(W2158:W2175,$B2190&amp;" ~*")&gt;0)+(COUNTIF(Y2158:Y2175,$B2190)+COUNTIF(Y2158:Y2175,$B2190&amp;" ~*")&gt;0))</f>
        <v/>
      </c>
      <c r="AC2190" s="38">
        <f>IF($B2190="","",(IFERROR(INDEX(Setup!$G$33:$G$40,MATCH(C2190,Setup!$B$33:$B$40,0)),0)=1)*(COUNTIF(C2158:E2175,$B2190)+COUNTIF(C2158:E2175,$B2190&amp;" ~*")&gt;0)+(IFERROR(INDEX(Setup!$G$33:$G$40,MATCH(G2190,Setup!$B$33:$B$40,0)),0)=1)*(COUNTIF(G2158:I2175,$B2190)+COUNTIF(G2158:I2175,$B2190&amp;" ~*")&gt;0)+(IFERROR(INDEX(Setup!$G$33:$G$40,MATCH(K2190,Setup!$B$33:$B$40,0)),0)=1)*(COUNTIF(K2158:M2175,$B2190)+COUNTIF(K2158:M2175,$B2190&amp;" ~*")&gt;0)+(IFERROR(INDEX(Setup!$G$33:$G$40,MATCH(O2190,Setup!$B$33:$B$40,0)),0)=1)*(COUNTIF(O2158:Q2175,$B2190)+COUNTIF(O2158:Q2175,$B2190&amp;" ~*")&gt;0)+(IFERROR(INDEX(Setup!$G$33:$G$40,MATCH(S2190,Setup!$B$33:$B$40,0)),0)=1)*(COUNTIF(S2158:U2175,$B2190)+COUNTIF(S2158:U2175,$B2190&amp;" ~*")&gt;0)+(IFERROR(INDEX(Setup!$G$33:$G$40,MATCH(W2190,Setup!$B$33:$B$40,0)),0)=1)*(COUNTIF(W2158:W2175,$B2190)+COUNTIF(W2158:W2175,$B2190&amp;" ~*")&gt;0)+(IFERROR(INDEX(Setup!$G$33:$G$40,MATCH(Y2190,Setup!$B$33:$B$40,0)),0)=1)*(COUNTIF(Y2158:Y2175,$B2190)+COUNTIF(Y2158:Y2175,$B2190&amp;" ~*")&gt;0))</f>
        <v/>
      </c>
    </row>
    <row r="2191" ht="15" customHeight="1">
      <c r="A2191" t="n">
        <v>44</v>
      </c>
      <c r="B2191" s="35">
        <f>IF(Setup!$B$20="","",Setup!$B$20)</f>
        <v/>
      </c>
      <c r="C2191" s="98" t="n"/>
      <c r="D2191" s="99" t="n"/>
      <c r="E2191" s="99" t="n"/>
      <c r="F2191" s="100" t="n"/>
      <c r="G2191" s="98" t="n"/>
      <c r="H2191" s="99" t="n"/>
      <c r="I2191" s="99" t="n"/>
      <c r="J2191" s="100" t="n"/>
      <c r="K2191" s="98" t="n"/>
      <c r="L2191" s="99" t="n"/>
      <c r="M2191" s="99" t="n"/>
      <c r="N2191" s="100" t="n"/>
      <c r="O2191" s="98" t="n"/>
      <c r="P2191" s="99" t="n"/>
      <c r="Q2191" s="99" t="n"/>
      <c r="R2191" s="100" t="n"/>
      <c r="S2191" s="98" t="n"/>
      <c r="T2191" s="99" t="n"/>
      <c r="U2191" s="99" t="n"/>
      <c r="V2191" s="100" t="n"/>
      <c r="W2191" s="98" t="n"/>
      <c r="X2191" s="100" t="n"/>
      <c r="Y2191" s="98" t="n"/>
      <c r="Z2191" s="100" t="n"/>
      <c r="AB2191" s="101">
        <f>IF($B2191="","",(COUNTIF(C2158:E2175,$B2191)+COUNTIF(C2158:E2175,$B2191&amp;" ~*")&gt;0)+(COUNTIF(G2158:I2175,$B2191)+COUNTIF(G2158:I2175,$B2191&amp;" ~*")&gt;0)+(COUNTIF(K2158:M2175,$B2191)+COUNTIF(K2158:M2175,$B2191&amp;" ~*")&gt;0)+(COUNTIF(O2158:Q2175,$B2191)+COUNTIF(O2158:Q2175,$B2191&amp;" ~*")&gt;0)+(COUNTIF(S2158:U2175,$B2191)+COUNTIF(S2158:U2175,$B2191&amp;" ~*")&gt;0)+(COUNTIF(W2158:W2175,$B2191)+COUNTIF(W2158:W2175,$B2191&amp;" ~*")&gt;0)+(COUNTIF(Y2158:Y2175,$B2191)+COUNTIF(Y2158:Y2175,$B2191&amp;" ~*")&gt;0))</f>
        <v/>
      </c>
      <c r="AC2191" s="36">
        <f>IF($B2191="","",(IFERROR(INDEX(Setup!$G$33:$G$40,MATCH(C2191,Setup!$B$33:$B$40,0)),0)=1)*(COUNTIF(C2158:E2175,$B2191)+COUNTIF(C2158:E2175,$B2191&amp;" ~*")&gt;0)+(IFERROR(INDEX(Setup!$G$33:$G$40,MATCH(G2191,Setup!$B$33:$B$40,0)),0)=1)*(COUNTIF(G2158:I2175,$B2191)+COUNTIF(G2158:I2175,$B2191&amp;" ~*")&gt;0)+(IFERROR(INDEX(Setup!$G$33:$G$40,MATCH(K2191,Setup!$B$33:$B$40,0)),0)=1)*(COUNTIF(K2158:M2175,$B2191)+COUNTIF(K2158:M2175,$B2191&amp;" ~*")&gt;0)+(IFERROR(INDEX(Setup!$G$33:$G$40,MATCH(O2191,Setup!$B$33:$B$40,0)),0)=1)*(COUNTIF(O2158:Q2175,$B2191)+COUNTIF(O2158:Q2175,$B2191&amp;" ~*")&gt;0)+(IFERROR(INDEX(Setup!$G$33:$G$40,MATCH(S2191,Setup!$B$33:$B$40,0)),0)=1)*(COUNTIF(S2158:U2175,$B2191)+COUNTIF(S2158:U2175,$B2191&amp;" ~*")&gt;0)+(IFERROR(INDEX(Setup!$G$33:$G$40,MATCH(W2191,Setup!$B$33:$B$40,0)),0)=1)*(COUNTIF(W2158:W2175,$B2191)+COUNTIF(W2158:W2175,$B2191&amp;" ~*")&gt;0)+(IFERROR(INDEX(Setup!$G$33:$G$40,MATCH(Y2191,Setup!$B$33:$B$40,0)),0)=1)*(COUNTIF(Y2158:Y2175,$B2191)+COUNTIF(Y2158:Y2175,$B2191&amp;" ~*")&gt;0))</f>
        <v/>
      </c>
    </row>
    <row r="2192" ht="15" customHeight="1">
      <c r="A2192" t="n">
        <v>44</v>
      </c>
      <c r="B2192" s="37">
        <f>IF(Setup!$B$21="","",Setup!$B$21)</f>
        <v/>
      </c>
      <c r="C2192" s="102" t="n"/>
      <c r="D2192" s="103" t="n"/>
      <c r="E2192" s="103" t="n"/>
      <c r="F2192" s="104" t="n"/>
      <c r="G2192" s="102" t="n"/>
      <c r="H2192" s="103" t="n"/>
      <c r="I2192" s="103" t="n"/>
      <c r="J2192" s="104" t="n"/>
      <c r="K2192" s="102" t="n"/>
      <c r="L2192" s="103" t="n"/>
      <c r="M2192" s="103" t="n"/>
      <c r="N2192" s="104" t="n"/>
      <c r="O2192" s="102" t="n"/>
      <c r="P2192" s="103" t="n"/>
      <c r="Q2192" s="103" t="n"/>
      <c r="R2192" s="104" t="n"/>
      <c r="S2192" s="102" t="n"/>
      <c r="T2192" s="103" t="n"/>
      <c r="U2192" s="103" t="n"/>
      <c r="V2192" s="104" t="n"/>
      <c r="W2192" s="102" t="n"/>
      <c r="X2192" s="104" t="n"/>
      <c r="Y2192" s="102" t="n"/>
      <c r="Z2192" s="104" t="n"/>
      <c r="AB2192" s="105">
        <f>IF($B2192="","",(COUNTIF(C2158:E2175,$B2192)+COUNTIF(C2158:E2175,$B2192&amp;" ~*")&gt;0)+(COUNTIF(G2158:I2175,$B2192)+COUNTIF(G2158:I2175,$B2192&amp;" ~*")&gt;0)+(COUNTIF(K2158:M2175,$B2192)+COUNTIF(K2158:M2175,$B2192&amp;" ~*")&gt;0)+(COUNTIF(O2158:Q2175,$B2192)+COUNTIF(O2158:Q2175,$B2192&amp;" ~*")&gt;0)+(COUNTIF(S2158:U2175,$B2192)+COUNTIF(S2158:U2175,$B2192&amp;" ~*")&gt;0)+(COUNTIF(W2158:W2175,$B2192)+COUNTIF(W2158:W2175,$B2192&amp;" ~*")&gt;0)+(COUNTIF(Y2158:Y2175,$B2192)+COUNTIF(Y2158:Y2175,$B2192&amp;" ~*")&gt;0))</f>
        <v/>
      </c>
      <c r="AC2192" s="38">
        <f>IF($B2192="","",(IFERROR(INDEX(Setup!$G$33:$G$40,MATCH(C2192,Setup!$B$33:$B$40,0)),0)=1)*(COUNTIF(C2158:E2175,$B2192)+COUNTIF(C2158:E2175,$B2192&amp;" ~*")&gt;0)+(IFERROR(INDEX(Setup!$G$33:$G$40,MATCH(G2192,Setup!$B$33:$B$40,0)),0)=1)*(COUNTIF(G2158:I2175,$B2192)+COUNTIF(G2158:I2175,$B2192&amp;" ~*")&gt;0)+(IFERROR(INDEX(Setup!$G$33:$G$40,MATCH(K2192,Setup!$B$33:$B$40,0)),0)=1)*(COUNTIF(K2158:M2175,$B2192)+COUNTIF(K2158:M2175,$B2192&amp;" ~*")&gt;0)+(IFERROR(INDEX(Setup!$G$33:$G$40,MATCH(O2192,Setup!$B$33:$B$40,0)),0)=1)*(COUNTIF(O2158:Q2175,$B2192)+COUNTIF(O2158:Q2175,$B2192&amp;" ~*")&gt;0)+(IFERROR(INDEX(Setup!$G$33:$G$40,MATCH(S2192,Setup!$B$33:$B$40,0)),0)=1)*(COUNTIF(S2158:U2175,$B2192)+COUNTIF(S2158:U2175,$B2192&amp;" ~*")&gt;0)+(IFERROR(INDEX(Setup!$G$33:$G$40,MATCH(W2192,Setup!$B$33:$B$40,0)),0)=1)*(COUNTIF(W2158:W2175,$B2192)+COUNTIF(W2158:W2175,$B2192&amp;" ~*")&gt;0)+(IFERROR(INDEX(Setup!$G$33:$G$40,MATCH(Y2192,Setup!$B$33:$B$40,0)),0)=1)*(COUNTIF(Y2158:Y2175,$B2192)+COUNTIF(Y2158:Y2175,$B2192&amp;" ~*")&gt;0))</f>
        <v/>
      </c>
    </row>
    <row r="2193" ht="15" customHeight="1">
      <c r="A2193" t="n">
        <v>44</v>
      </c>
      <c r="B2193" s="35">
        <f>IF(Setup!$B$22="","",Setup!$B$22)</f>
        <v/>
      </c>
      <c r="C2193" s="98" t="n"/>
      <c r="D2193" s="99" t="n"/>
      <c r="E2193" s="99" t="n"/>
      <c r="F2193" s="100" t="n"/>
      <c r="G2193" s="98" t="n"/>
      <c r="H2193" s="99" t="n"/>
      <c r="I2193" s="99" t="n"/>
      <c r="J2193" s="100" t="n"/>
      <c r="K2193" s="98" t="n"/>
      <c r="L2193" s="99" t="n"/>
      <c r="M2193" s="99" t="n"/>
      <c r="N2193" s="100" t="n"/>
      <c r="O2193" s="98" t="n"/>
      <c r="P2193" s="99" t="n"/>
      <c r="Q2193" s="99" t="n"/>
      <c r="R2193" s="100" t="n"/>
      <c r="S2193" s="98" t="n"/>
      <c r="T2193" s="99" t="n"/>
      <c r="U2193" s="99" t="n"/>
      <c r="V2193" s="100" t="n"/>
      <c r="W2193" s="98" t="n"/>
      <c r="X2193" s="100" t="n"/>
      <c r="Y2193" s="98" t="n"/>
      <c r="Z2193" s="100" t="n"/>
      <c r="AB2193" s="101">
        <f>IF($B2193="","",(COUNTIF(C2158:E2175,$B2193)+COUNTIF(C2158:E2175,$B2193&amp;" ~*")&gt;0)+(COUNTIF(G2158:I2175,$B2193)+COUNTIF(G2158:I2175,$B2193&amp;" ~*")&gt;0)+(COUNTIF(K2158:M2175,$B2193)+COUNTIF(K2158:M2175,$B2193&amp;" ~*")&gt;0)+(COUNTIF(O2158:Q2175,$B2193)+COUNTIF(O2158:Q2175,$B2193&amp;" ~*")&gt;0)+(COUNTIF(S2158:U2175,$B2193)+COUNTIF(S2158:U2175,$B2193&amp;" ~*")&gt;0)+(COUNTIF(W2158:W2175,$B2193)+COUNTIF(W2158:W2175,$B2193&amp;" ~*")&gt;0)+(COUNTIF(Y2158:Y2175,$B2193)+COUNTIF(Y2158:Y2175,$B2193&amp;" ~*")&gt;0))</f>
        <v/>
      </c>
      <c r="AC2193" s="36">
        <f>IF($B2193="","",(IFERROR(INDEX(Setup!$G$33:$G$40,MATCH(C2193,Setup!$B$33:$B$40,0)),0)=1)*(COUNTIF(C2158:E2175,$B2193)+COUNTIF(C2158:E2175,$B2193&amp;" ~*")&gt;0)+(IFERROR(INDEX(Setup!$G$33:$G$40,MATCH(G2193,Setup!$B$33:$B$40,0)),0)=1)*(COUNTIF(G2158:I2175,$B2193)+COUNTIF(G2158:I2175,$B2193&amp;" ~*")&gt;0)+(IFERROR(INDEX(Setup!$G$33:$G$40,MATCH(K2193,Setup!$B$33:$B$40,0)),0)=1)*(COUNTIF(K2158:M2175,$B2193)+COUNTIF(K2158:M2175,$B2193&amp;" ~*")&gt;0)+(IFERROR(INDEX(Setup!$G$33:$G$40,MATCH(O2193,Setup!$B$33:$B$40,0)),0)=1)*(COUNTIF(O2158:Q2175,$B2193)+COUNTIF(O2158:Q2175,$B2193&amp;" ~*")&gt;0)+(IFERROR(INDEX(Setup!$G$33:$G$40,MATCH(S2193,Setup!$B$33:$B$40,0)),0)=1)*(COUNTIF(S2158:U2175,$B2193)+COUNTIF(S2158:U2175,$B2193&amp;" ~*")&gt;0)+(IFERROR(INDEX(Setup!$G$33:$G$40,MATCH(W2193,Setup!$B$33:$B$40,0)),0)=1)*(COUNTIF(W2158:W2175,$B2193)+COUNTIF(W2158:W2175,$B2193&amp;" ~*")&gt;0)+(IFERROR(INDEX(Setup!$G$33:$G$40,MATCH(Y2193,Setup!$B$33:$B$40,0)),0)=1)*(COUNTIF(Y2158:Y2175,$B2193)+COUNTIF(Y2158:Y2175,$B2193&amp;" ~*")&gt;0))</f>
        <v/>
      </c>
    </row>
    <row r="2194" ht="15" customHeight="1">
      <c r="A2194" t="n">
        <v>44</v>
      </c>
      <c r="B2194" s="37">
        <f>IF(Setup!$B$23="","",Setup!$B$23)</f>
        <v/>
      </c>
      <c r="C2194" s="102" t="n"/>
      <c r="D2194" s="103" t="n"/>
      <c r="E2194" s="103" t="n"/>
      <c r="F2194" s="104" t="n"/>
      <c r="G2194" s="102" t="n"/>
      <c r="H2194" s="103" t="n"/>
      <c r="I2194" s="103" t="n"/>
      <c r="J2194" s="104" t="n"/>
      <c r="K2194" s="102" t="n"/>
      <c r="L2194" s="103" t="n"/>
      <c r="M2194" s="103" t="n"/>
      <c r="N2194" s="104" t="n"/>
      <c r="O2194" s="102" t="n"/>
      <c r="P2194" s="103" t="n"/>
      <c r="Q2194" s="103" t="n"/>
      <c r="R2194" s="104" t="n"/>
      <c r="S2194" s="102" t="n"/>
      <c r="T2194" s="103" t="n"/>
      <c r="U2194" s="103" t="n"/>
      <c r="V2194" s="104" t="n"/>
      <c r="W2194" s="102" t="n"/>
      <c r="X2194" s="104" t="n"/>
      <c r="Y2194" s="102" t="n"/>
      <c r="Z2194" s="104" t="n"/>
      <c r="AB2194" s="105">
        <f>IF($B2194="","",(COUNTIF(C2158:E2175,$B2194)+COUNTIF(C2158:E2175,$B2194&amp;" ~*")&gt;0)+(COUNTIF(G2158:I2175,$B2194)+COUNTIF(G2158:I2175,$B2194&amp;" ~*")&gt;0)+(COUNTIF(K2158:M2175,$B2194)+COUNTIF(K2158:M2175,$B2194&amp;" ~*")&gt;0)+(COUNTIF(O2158:Q2175,$B2194)+COUNTIF(O2158:Q2175,$B2194&amp;" ~*")&gt;0)+(COUNTIF(S2158:U2175,$B2194)+COUNTIF(S2158:U2175,$B2194&amp;" ~*")&gt;0)+(COUNTIF(W2158:W2175,$B2194)+COUNTIF(W2158:W2175,$B2194&amp;" ~*")&gt;0)+(COUNTIF(Y2158:Y2175,$B2194)+COUNTIF(Y2158:Y2175,$B2194&amp;" ~*")&gt;0))</f>
        <v/>
      </c>
      <c r="AC2194" s="38">
        <f>IF($B2194="","",(IFERROR(INDEX(Setup!$G$33:$G$40,MATCH(C2194,Setup!$B$33:$B$40,0)),0)=1)*(COUNTIF(C2158:E2175,$B2194)+COUNTIF(C2158:E2175,$B2194&amp;" ~*")&gt;0)+(IFERROR(INDEX(Setup!$G$33:$G$40,MATCH(G2194,Setup!$B$33:$B$40,0)),0)=1)*(COUNTIF(G2158:I2175,$B2194)+COUNTIF(G2158:I2175,$B2194&amp;" ~*")&gt;0)+(IFERROR(INDEX(Setup!$G$33:$G$40,MATCH(K2194,Setup!$B$33:$B$40,0)),0)=1)*(COUNTIF(K2158:M2175,$B2194)+COUNTIF(K2158:M2175,$B2194&amp;" ~*")&gt;0)+(IFERROR(INDEX(Setup!$G$33:$G$40,MATCH(O2194,Setup!$B$33:$B$40,0)),0)=1)*(COUNTIF(O2158:Q2175,$B2194)+COUNTIF(O2158:Q2175,$B2194&amp;" ~*")&gt;0)+(IFERROR(INDEX(Setup!$G$33:$G$40,MATCH(S2194,Setup!$B$33:$B$40,0)),0)=1)*(COUNTIF(S2158:U2175,$B2194)+COUNTIF(S2158:U2175,$B2194&amp;" ~*")&gt;0)+(IFERROR(INDEX(Setup!$G$33:$G$40,MATCH(W2194,Setup!$B$33:$B$40,0)),0)=1)*(COUNTIF(W2158:W2175,$B2194)+COUNTIF(W2158:W2175,$B2194&amp;" ~*")&gt;0)+(IFERROR(INDEX(Setup!$G$33:$G$40,MATCH(Y2194,Setup!$B$33:$B$40,0)),0)=1)*(COUNTIF(Y2158:Y2175,$B2194)+COUNTIF(Y2158:Y2175,$B2194&amp;" ~*")&gt;0))</f>
        <v/>
      </c>
    </row>
    <row r="2195" ht="15" customHeight="1">
      <c r="A2195" t="n">
        <v>44</v>
      </c>
      <c r="B2195" s="35">
        <f>IF(Setup!$B$24="","",Setup!$B$24)</f>
        <v/>
      </c>
      <c r="C2195" s="98" t="n"/>
      <c r="D2195" s="99" t="n"/>
      <c r="E2195" s="99" t="n"/>
      <c r="F2195" s="100" t="n"/>
      <c r="G2195" s="98" t="n"/>
      <c r="H2195" s="99" t="n"/>
      <c r="I2195" s="99" t="n"/>
      <c r="J2195" s="100" t="n"/>
      <c r="K2195" s="98" t="n"/>
      <c r="L2195" s="99" t="n"/>
      <c r="M2195" s="99" t="n"/>
      <c r="N2195" s="100" t="n"/>
      <c r="O2195" s="98" t="n"/>
      <c r="P2195" s="99" t="n"/>
      <c r="Q2195" s="99" t="n"/>
      <c r="R2195" s="100" t="n"/>
      <c r="S2195" s="98" t="n"/>
      <c r="T2195" s="99" t="n"/>
      <c r="U2195" s="99" t="n"/>
      <c r="V2195" s="100" t="n"/>
      <c r="W2195" s="98" t="n"/>
      <c r="X2195" s="100" t="n"/>
      <c r="Y2195" s="98" t="n"/>
      <c r="Z2195" s="100" t="n"/>
      <c r="AB2195" s="101">
        <f>IF($B2195="","",(COUNTIF(C2158:E2175,$B2195)+COUNTIF(C2158:E2175,$B2195&amp;" ~*")&gt;0)+(COUNTIF(G2158:I2175,$B2195)+COUNTIF(G2158:I2175,$B2195&amp;" ~*")&gt;0)+(COUNTIF(K2158:M2175,$B2195)+COUNTIF(K2158:M2175,$B2195&amp;" ~*")&gt;0)+(COUNTIF(O2158:Q2175,$B2195)+COUNTIF(O2158:Q2175,$B2195&amp;" ~*")&gt;0)+(COUNTIF(S2158:U2175,$B2195)+COUNTIF(S2158:U2175,$B2195&amp;" ~*")&gt;0)+(COUNTIF(W2158:W2175,$B2195)+COUNTIF(W2158:W2175,$B2195&amp;" ~*")&gt;0)+(COUNTIF(Y2158:Y2175,$B2195)+COUNTIF(Y2158:Y2175,$B2195&amp;" ~*")&gt;0))</f>
        <v/>
      </c>
      <c r="AC2195" s="36">
        <f>IF($B2195="","",(IFERROR(INDEX(Setup!$G$33:$G$40,MATCH(C2195,Setup!$B$33:$B$40,0)),0)=1)*(COUNTIF(C2158:E2175,$B2195)+COUNTIF(C2158:E2175,$B2195&amp;" ~*")&gt;0)+(IFERROR(INDEX(Setup!$G$33:$G$40,MATCH(G2195,Setup!$B$33:$B$40,0)),0)=1)*(COUNTIF(G2158:I2175,$B2195)+COUNTIF(G2158:I2175,$B2195&amp;" ~*")&gt;0)+(IFERROR(INDEX(Setup!$G$33:$G$40,MATCH(K2195,Setup!$B$33:$B$40,0)),0)=1)*(COUNTIF(K2158:M2175,$B2195)+COUNTIF(K2158:M2175,$B2195&amp;" ~*")&gt;0)+(IFERROR(INDEX(Setup!$G$33:$G$40,MATCH(O2195,Setup!$B$33:$B$40,0)),0)=1)*(COUNTIF(O2158:Q2175,$B2195)+COUNTIF(O2158:Q2175,$B2195&amp;" ~*")&gt;0)+(IFERROR(INDEX(Setup!$G$33:$G$40,MATCH(S2195,Setup!$B$33:$B$40,0)),0)=1)*(COUNTIF(S2158:U2175,$B2195)+COUNTIF(S2158:U2175,$B2195&amp;" ~*")&gt;0)+(IFERROR(INDEX(Setup!$G$33:$G$40,MATCH(W2195,Setup!$B$33:$B$40,0)),0)=1)*(COUNTIF(W2158:W2175,$B2195)+COUNTIF(W2158:W2175,$B2195&amp;" ~*")&gt;0)+(IFERROR(INDEX(Setup!$G$33:$G$40,MATCH(Y2195,Setup!$B$33:$B$40,0)),0)=1)*(COUNTIF(Y2158:Y2175,$B2195)+COUNTIF(Y2158:Y2175,$B2195&amp;" ~*")&gt;0))</f>
        <v/>
      </c>
    </row>
    <row r="2196" ht="15" customHeight="1">
      <c r="A2196" t="n">
        <v>44</v>
      </c>
      <c r="B2196" s="37">
        <f>IF(Setup!$B$25="","",Setup!$B$25)</f>
        <v/>
      </c>
      <c r="C2196" s="102" t="n"/>
      <c r="D2196" s="103" t="n"/>
      <c r="E2196" s="103" t="n"/>
      <c r="F2196" s="104" t="n"/>
      <c r="G2196" s="102" t="n"/>
      <c r="H2196" s="103" t="n"/>
      <c r="I2196" s="103" t="n"/>
      <c r="J2196" s="104" t="n"/>
      <c r="K2196" s="102" t="n"/>
      <c r="L2196" s="103" t="n"/>
      <c r="M2196" s="103" t="n"/>
      <c r="N2196" s="104" t="n"/>
      <c r="O2196" s="102" t="n"/>
      <c r="P2196" s="103" t="n"/>
      <c r="Q2196" s="103" t="n"/>
      <c r="R2196" s="104" t="n"/>
      <c r="S2196" s="102" t="n"/>
      <c r="T2196" s="103" t="n"/>
      <c r="U2196" s="103" t="n"/>
      <c r="V2196" s="104" t="n"/>
      <c r="W2196" s="102" t="n"/>
      <c r="X2196" s="104" t="n"/>
      <c r="Y2196" s="102" t="n"/>
      <c r="Z2196" s="104" t="n"/>
      <c r="AB2196" s="105">
        <f>IF($B2196="","",(COUNTIF(C2158:E2175,$B2196)+COUNTIF(C2158:E2175,$B2196&amp;" ~*")&gt;0)+(COUNTIF(G2158:I2175,$B2196)+COUNTIF(G2158:I2175,$B2196&amp;" ~*")&gt;0)+(COUNTIF(K2158:M2175,$B2196)+COUNTIF(K2158:M2175,$B2196&amp;" ~*")&gt;0)+(COUNTIF(O2158:Q2175,$B2196)+COUNTIF(O2158:Q2175,$B2196&amp;" ~*")&gt;0)+(COUNTIF(S2158:U2175,$B2196)+COUNTIF(S2158:U2175,$B2196&amp;" ~*")&gt;0)+(COUNTIF(W2158:W2175,$B2196)+COUNTIF(W2158:W2175,$B2196&amp;" ~*")&gt;0)+(COUNTIF(Y2158:Y2175,$B2196)+COUNTIF(Y2158:Y2175,$B2196&amp;" ~*")&gt;0))</f>
        <v/>
      </c>
      <c r="AC2196" s="38">
        <f>IF($B2196="","",(IFERROR(INDEX(Setup!$G$33:$G$40,MATCH(C2196,Setup!$B$33:$B$40,0)),0)=1)*(COUNTIF(C2158:E2175,$B2196)+COUNTIF(C2158:E2175,$B2196&amp;" ~*")&gt;0)+(IFERROR(INDEX(Setup!$G$33:$G$40,MATCH(G2196,Setup!$B$33:$B$40,0)),0)=1)*(COUNTIF(G2158:I2175,$B2196)+COUNTIF(G2158:I2175,$B2196&amp;" ~*")&gt;0)+(IFERROR(INDEX(Setup!$G$33:$G$40,MATCH(K2196,Setup!$B$33:$B$40,0)),0)=1)*(COUNTIF(K2158:M2175,$B2196)+COUNTIF(K2158:M2175,$B2196&amp;" ~*")&gt;0)+(IFERROR(INDEX(Setup!$G$33:$G$40,MATCH(O2196,Setup!$B$33:$B$40,0)),0)=1)*(COUNTIF(O2158:Q2175,$B2196)+COUNTIF(O2158:Q2175,$B2196&amp;" ~*")&gt;0)+(IFERROR(INDEX(Setup!$G$33:$G$40,MATCH(S2196,Setup!$B$33:$B$40,0)),0)=1)*(COUNTIF(S2158:U2175,$B2196)+COUNTIF(S2158:U2175,$B2196&amp;" ~*")&gt;0)+(IFERROR(INDEX(Setup!$G$33:$G$40,MATCH(W2196,Setup!$B$33:$B$40,0)),0)=1)*(COUNTIF(W2158:W2175,$B2196)+COUNTIF(W2158:W2175,$B2196&amp;" ~*")&gt;0)+(IFERROR(INDEX(Setup!$G$33:$G$40,MATCH(Y2196,Setup!$B$33:$B$40,0)),0)=1)*(COUNTIF(Y2158:Y2175,$B2196)+COUNTIF(Y2158:Y2175,$B2196&amp;" ~*")&gt;0))</f>
        <v/>
      </c>
    </row>
    <row r="2197" ht="15" customHeight="1">
      <c r="A2197" t="n">
        <v>44</v>
      </c>
      <c r="B2197" s="35">
        <f>IF(Setup!$B$26="","",Setup!$B$26)</f>
        <v/>
      </c>
      <c r="C2197" s="98" t="n"/>
      <c r="D2197" s="99" t="n"/>
      <c r="E2197" s="99" t="n"/>
      <c r="F2197" s="100" t="n"/>
      <c r="G2197" s="98" t="n"/>
      <c r="H2197" s="99" t="n"/>
      <c r="I2197" s="99" t="n"/>
      <c r="J2197" s="100" t="n"/>
      <c r="K2197" s="98" t="n"/>
      <c r="L2197" s="99" t="n"/>
      <c r="M2197" s="99" t="n"/>
      <c r="N2197" s="100" t="n"/>
      <c r="O2197" s="98" t="n"/>
      <c r="P2197" s="99" t="n"/>
      <c r="Q2197" s="99" t="n"/>
      <c r="R2197" s="100" t="n"/>
      <c r="S2197" s="98" t="n"/>
      <c r="T2197" s="99" t="n"/>
      <c r="U2197" s="99" t="n"/>
      <c r="V2197" s="100" t="n"/>
      <c r="W2197" s="98" t="n"/>
      <c r="X2197" s="100" t="n"/>
      <c r="Y2197" s="98" t="n"/>
      <c r="Z2197" s="100" t="n"/>
      <c r="AB2197" s="101">
        <f>IF($B2197="","",(COUNTIF(C2158:E2175,$B2197)+COUNTIF(C2158:E2175,$B2197&amp;" ~*")&gt;0)+(COUNTIF(G2158:I2175,$B2197)+COUNTIF(G2158:I2175,$B2197&amp;" ~*")&gt;0)+(COUNTIF(K2158:M2175,$B2197)+COUNTIF(K2158:M2175,$B2197&amp;" ~*")&gt;0)+(COUNTIF(O2158:Q2175,$B2197)+COUNTIF(O2158:Q2175,$B2197&amp;" ~*")&gt;0)+(COUNTIF(S2158:U2175,$B2197)+COUNTIF(S2158:U2175,$B2197&amp;" ~*")&gt;0)+(COUNTIF(W2158:W2175,$B2197)+COUNTIF(W2158:W2175,$B2197&amp;" ~*")&gt;0)+(COUNTIF(Y2158:Y2175,$B2197)+COUNTIF(Y2158:Y2175,$B2197&amp;" ~*")&gt;0))</f>
        <v/>
      </c>
      <c r="AC2197" s="36">
        <f>IF($B2197="","",(IFERROR(INDEX(Setup!$G$33:$G$40,MATCH(C2197,Setup!$B$33:$B$40,0)),0)=1)*(COUNTIF(C2158:E2175,$B2197)+COUNTIF(C2158:E2175,$B2197&amp;" ~*")&gt;0)+(IFERROR(INDEX(Setup!$G$33:$G$40,MATCH(G2197,Setup!$B$33:$B$40,0)),0)=1)*(COUNTIF(G2158:I2175,$B2197)+COUNTIF(G2158:I2175,$B2197&amp;" ~*")&gt;0)+(IFERROR(INDEX(Setup!$G$33:$G$40,MATCH(K2197,Setup!$B$33:$B$40,0)),0)=1)*(COUNTIF(K2158:M2175,$B2197)+COUNTIF(K2158:M2175,$B2197&amp;" ~*")&gt;0)+(IFERROR(INDEX(Setup!$G$33:$G$40,MATCH(O2197,Setup!$B$33:$B$40,0)),0)=1)*(COUNTIF(O2158:Q2175,$B2197)+COUNTIF(O2158:Q2175,$B2197&amp;" ~*")&gt;0)+(IFERROR(INDEX(Setup!$G$33:$G$40,MATCH(S2197,Setup!$B$33:$B$40,0)),0)=1)*(COUNTIF(S2158:U2175,$B2197)+COUNTIF(S2158:U2175,$B2197&amp;" ~*")&gt;0)+(IFERROR(INDEX(Setup!$G$33:$G$40,MATCH(W2197,Setup!$B$33:$B$40,0)),0)=1)*(COUNTIF(W2158:W2175,$B2197)+COUNTIF(W2158:W2175,$B2197&amp;" ~*")&gt;0)+(IFERROR(INDEX(Setup!$G$33:$G$40,MATCH(Y2197,Setup!$B$33:$B$40,0)),0)=1)*(COUNTIF(Y2158:Y2175,$B2197)+COUNTIF(Y2158:Y2175,$B2197&amp;" ~*")&gt;0))</f>
        <v/>
      </c>
    </row>
    <row r="2198" ht="15" customHeight="1">
      <c r="A2198" t="n">
        <v>44</v>
      </c>
      <c r="B2198" s="37">
        <f>IF(Setup!$B$27="","",Setup!$B$27)</f>
        <v/>
      </c>
      <c r="C2198" s="102" t="n"/>
      <c r="D2198" s="103" t="n"/>
      <c r="E2198" s="103" t="n"/>
      <c r="F2198" s="104" t="n"/>
      <c r="G2198" s="102" t="n"/>
      <c r="H2198" s="103" t="n"/>
      <c r="I2198" s="103" t="n"/>
      <c r="J2198" s="104" t="n"/>
      <c r="K2198" s="102" t="n"/>
      <c r="L2198" s="103" t="n"/>
      <c r="M2198" s="103" t="n"/>
      <c r="N2198" s="104" t="n"/>
      <c r="O2198" s="102" t="n"/>
      <c r="P2198" s="103" t="n"/>
      <c r="Q2198" s="103" t="n"/>
      <c r="R2198" s="104" t="n"/>
      <c r="S2198" s="102" t="n"/>
      <c r="T2198" s="103" t="n"/>
      <c r="U2198" s="103" t="n"/>
      <c r="V2198" s="104" t="n"/>
      <c r="W2198" s="102" t="n"/>
      <c r="X2198" s="104" t="n"/>
      <c r="Y2198" s="102" t="n"/>
      <c r="Z2198" s="104" t="n"/>
      <c r="AB2198" s="105">
        <f>IF($B2198="","",(COUNTIF(C2158:E2175,$B2198)+COUNTIF(C2158:E2175,$B2198&amp;" ~*")&gt;0)+(COUNTIF(G2158:I2175,$B2198)+COUNTIF(G2158:I2175,$B2198&amp;" ~*")&gt;0)+(COUNTIF(K2158:M2175,$B2198)+COUNTIF(K2158:M2175,$B2198&amp;" ~*")&gt;0)+(COUNTIF(O2158:Q2175,$B2198)+COUNTIF(O2158:Q2175,$B2198&amp;" ~*")&gt;0)+(COUNTIF(S2158:U2175,$B2198)+COUNTIF(S2158:U2175,$B2198&amp;" ~*")&gt;0)+(COUNTIF(W2158:W2175,$B2198)+COUNTIF(W2158:W2175,$B2198&amp;" ~*")&gt;0)+(COUNTIF(Y2158:Y2175,$B2198)+COUNTIF(Y2158:Y2175,$B2198&amp;" ~*")&gt;0))</f>
        <v/>
      </c>
      <c r="AC2198" s="38">
        <f>IF($B2198="","",(IFERROR(INDEX(Setup!$G$33:$G$40,MATCH(C2198,Setup!$B$33:$B$40,0)),0)=1)*(COUNTIF(C2158:E2175,$B2198)+COUNTIF(C2158:E2175,$B2198&amp;" ~*")&gt;0)+(IFERROR(INDEX(Setup!$G$33:$G$40,MATCH(G2198,Setup!$B$33:$B$40,0)),0)=1)*(COUNTIF(G2158:I2175,$B2198)+COUNTIF(G2158:I2175,$B2198&amp;" ~*")&gt;0)+(IFERROR(INDEX(Setup!$G$33:$G$40,MATCH(K2198,Setup!$B$33:$B$40,0)),0)=1)*(COUNTIF(K2158:M2175,$B2198)+COUNTIF(K2158:M2175,$B2198&amp;" ~*")&gt;0)+(IFERROR(INDEX(Setup!$G$33:$G$40,MATCH(O2198,Setup!$B$33:$B$40,0)),0)=1)*(COUNTIF(O2158:Q2175,$B2198)+COUNTIF(O2158:Q2175,$B2198&amp;" ~*")&gt;0)+(IFERROR(INDEX(Setup!$G$33:$G$40,MATCH(S2198,Setup!$B$33:$B$40,0)),0)=1)*(COUNTIF(S2158:U2175,$B2198)+COUNTIF(S2158:U2175,$B2198&amp;" ~*")&gt;0)+(IFERROR(INDEX(Setup!$G$33:$G$40,MATCH(W2198,Setup!$B$33:$B$40,0)),0)=1)*(COUNTIF(W2158:W2175,$B2198)+COUNTIF(W2158:W2175,$B2198&amp;" ~*")&gt;0)+(IFERROR(INDEX(Setup!$G$33:$G$40,MATCH(Y2198,Setup!$B$33:$B$40,0)),0)=1)*(COUNTIF(Y2158:Y2175,$B2198)+COUNTIF(Y2158:Y2175,$B2198&amp;" ~*")&gt;0))</f>
        <v/>
      </c>
    </row>
    <row r="2199" ht="15" customHeight="1">
      <c r="A2199" t="n">
        <v>44</v>
      </c>
      <c r="B2199" s="35">
        <f>IF(Setup!$B$28="","",Setup!$B$28)</f>
        <v/>
      </c>
      <c r="C2199" s="98" t="n"/>
      <c r="D2199" s="99" t="n"/>
      <c r="E2199" s="99" t="n"/>
      <c r="F2199" s="100" t="n"/>
      <c r="G2199" s="98" t="n"/>
      <c r="H2199" s="99" t="n"/>
      <c r="I2199" s="99" t="n"/>
      <c r="J2199" s="100" t="n"/>
      <c r="K2199" s="98" t="n"/>
      <c r="L2199" s="99" t="n"/>
      <c r="M2199" s="99" t="n"/>
      <c r="N2199" s="100" t="n"/>
      <c r="O2199" s="98" t="n"/>
      <c r="P2199" s="99" t="n"/>
      <c r="Q2199" s="99" t="n"/>
      <c r="R2199" s="100" t="n"/>
      <c r="S2199" s="98" t="n"/>
      <c r="T2199" s="99" t="n"/>
      <c r="U2199" s="99" t="n"/>
      <c r="V2199" s="100" t="n"/>
      <c r="W2199" s="98" t="n"/>
      <c r="X2199" s="100" t="n"/>
      <c r="Y2199" s="98" t="n"/>
      <c r="Z2199" s="100" t="n"/>
      <c r="AB2199" s="101">
        <f>IF($B2199="","",(COUNTIF(C2158:E2175,$B2199)+COUNTIF(C2158:E2175,$B2199&amp;" ~*")&gt;0)+(COUNTIF(G2158:I2175,$B2199)+COUNTIF(G2158:I2175,$B2199&amp;" ~*")&gt;0)+(COUNTIF(K2158:M2175,$B2199)+COUNTIF(K2158:M2175,$B2199&amp;" ~*")&gt;0)+(COUNTIF(O2158:Q2175,$B2199)+COUNTIF(O2158:Q2175,$B2199&amp;" ~*")&gt;0)+(COUNTIF(S2158:U2175,$B2199)+COUNTIF(S2158:U2175,$B2199&amp;" ~*")&gt;0)+(COUNTIF(W2158:W2175,$B2199)+COUNTIF(W2158:W2175,$B2199&amp;" ~*")&gt;0)+(COUNTIF(Y2158:Y2175,$B2199)+COUNTIF(Y2158:Y2175,$B2199&amp;" ~*")&gt;0))</f>
        <v/>
      </c>
      <c r="AC2199" s="36">
        <f>IF($B2199="","",(IFERROR(INDEX(Setup!$G$33:$G$40,MATCH(C2199,Setup!$B$33:$B$40,0)),0)=1)*(COUNTIF(C2158:E2175,$B2199)+COUNTIF(C2158:E2175,$B2199&amp;" ~*")&gt;0)+(IFERROR(INDEX(Setup!$G$33:$G$40,MATCH(G2199,Setup!$B$33:$B$40,0)),0)=1)*(COUNTIF(G2158:I2175,$B2199)+COUNTIF(G2158:I2175,$B2199&amp;" ~*")&gt;0)+(IFERROR(INDEX(Setup!$G$33:$G$40,MATCH(K2199,Setup!$B$33:$B$40,0)),0)=1)*(COUNTIF(K2158:M2175,$B2199)+COUNTIF(K2158:M2175,$B2199&amp;" ~*")&gt;0)+(IFERROR(INDEX(Setup!$G$33:$G$40,MATCH(O2199,Setup!$B$33:$B$40,0)),0)=1)*(COUNTIF(O2158:Q2175,$B2199)+COUNTIF(O2158:Q2175,$B2199&amp;" ~*")&gt;0)+(IFERROR(INDEX(Setup!$G$33:$G$40,MATCH(S2199,Setup!$B$33:$B$40,0)),0)=1)*(COUNTIF(S2158:U2175,$B2199)+COUNTIF(S2158:U2175,$B2199&amp;" ~*")&gt;0)+(IFERROR(INDEX(Setup!$G$33:$G$40,MATCH(W2199,Setup!$B$33:$B$40,0)),0)=1)*(COUNTIF(W2158:W2175,$B2199)+COUNTIF(W2158:W2175,$B2199&amp;" ~*")&gt;0)+(IFERROR(INDEX(Setup!$G$33:$G$40,MATCH(Y2199,Setup!$B$33:$B$40,0)),0)=1)*(COUNTIF(Y2158:Y2175,$B2199)+COUNTIF(Y2158:Y2175,$B2199&amp;" ~*")&gt;0))</f>
        <v/>
      </c>
    </row>
    <row r="2200" ht="15" customHeight="1">
      <c r="A2200" t="n">
        <v>44</v>
      </c>
      <c r="B2200" s="37">
        <f>IF(Setup!$B$29="","",Setup!$B$29)</f>
        <v/>
      </c>
      <c r="C2200" s="102" t="n"/>
      <c r="D2200" s="103" t="n"/>
      <c r="E2200" s="103" t="n"/>
      <c r="F2200" s="104" t="n"/>
      <c r="G2200" s="102" t="n"/>
      <c r="H2200" s="103" t="n"/>
      <c r="I2200" s="103" t="n"/>
      <c r="J2200" s="104" t="n"/>
      <c r="K2200" s="102" t="n"/>
      <c r="L2200" s="103" t="n"/>
      <c r="M2200" s="103" t="n"/>
      <c r="N2200" s="104" t="n"/>
      <c r="O2200" s="102" t="n"/>
      <c r="P2200" s="103" t="n"/>
      <c r="Q2200" s="103" t="n"/>
      <c r="R2200" s="104" t="n"/>
      <c r="S2200" s="102" t="n"/>
      <c r="T2200" s="103" t="n"/>
      <c r="U2200" s="103" t="n"/>
      <c r="V2200" s="104" t="n"/>
      <c r="W2200" s="102" t="n"/>
      <c r="X2200" s="104" t="n"/>
      <c r="Y2200" s="102" t="n"/>
      <c r="Z2200" s="104" t="n"/>
      <c r="AB2200" s="105">
        <f>IF($B2200="","",(COUNTIF(C2158:E2175,$B2200)+COUNTIF(C2158:E2175,$B2200&amp;" ~*")&gt;0)+(COUNTIF(G2158:I2175,$B2200)+COUNTIF(G2158:I2175,$B2200&amp;" ~*")&gt;0)+(COUNTIF(K2158:M2175,$B2200)+COUNTIF(K2158:M2175,$B2200&amp;" ~*")&gt;0)+(COUNTIF(O2158:Q2175,$B2200)+COUNTIF(O2158:Q2175,$B2200&amp;" ~*")&gt;0)+(COUNTIF(S2158:U2175,$B2200)+COUNTIF(S2158:U2175,$B2200&amp;" ~*")&gt;0)+(COUNTIF(W2158:W2175,$B2200)+COUNTIF(W2158:W2175,$B2200&amp;" ~*")&gt;0)+(COUNTIF(Y2158:Y2175,$B2200)+COUNTIF(Y2158:Y2175,$B2200&amp;" ~*")&gt;0))</f>
        <v/>
      </c>
      <c r="AC2200" s="38">
        <f>IF($B2200="","",(IFERROR(INDEX(Setup!$G$33:$G$40,MATCH(C2200,Setup!$B$33:$B$40,0)),0)=1)*(COUNTIF(C2158:E2175,$B2200)+COUNTIF(C2158:E2175,$B2200&amp;" ~*")&gt;0)+(IFERROR(INDEX(Setup!$G$33:$G$40,MATCH(G2200,Setup!$B$33:$B$40,0)),0)=1)*(COUNTIF(G2158:I2175,$B2200)+COUNTIF(G2158:I2175,$B2200&amp;" ~*")&gt;0)+(IFERROR(INDEX(Setup!$G$33:$G$40,MATCH(K2200,Setup!$B$33:$B$40,0)),0)=1)*(COUNTIF(K2158:M2175,$B2200)+COUNTIF(K2158:M2175,$B2200&amp;" ~*")&gt;0)+(IFERROR(INDEX(Setup!$G$33:$G$40,MATCH(O2200,Setup!$B$33:$B$40,0)),0)=1)*(COUNTIF(O2158:Q2175,$B2200)+COUNTIF(O2158:Q2175,$B2200&amp;" ~*")&gt;0)+(IFERROR(INDEX(Setup!$G$33:$G$40,MATCH(S2200,Setup!$B$33:$B$40,0)),0)=1)*(COUNTIF(S2158:U2175,$B2200)+COUNTIF(S2158:U2175,$B2200&amp;" ~*")&gt;0)+(IFERROR(INDEX(Setup!$G$33:$G$40,MATCH(W2200,Setup!$B$33:$B$40,0)),0)=1)*(COUNTIF(W2158:W2175,$B2200)+COUNTIF(W2158:W2175,$B2200&amp;" ~*")&gt;0)+(IFERROR(INDEX(Setup!$G$33:$G$40,MATCH(Y2200,Setup!$B$33:$B$40,0)),0)=1)*(COUNTIF(Y2158:Y2175,$B2200)+COUNTIF(Y2158:Y2175,$B2200&amp;" ~*")&gt;0))</f>
        <v/>
      </c>
    </row>
    <row r="2201" ht="16" customHeight="1">
      <c r="A2201" t="n">
        <v>44</v>
      </c>
      <c r="B2201" s="106" t="inlineStr">
        <is>
          <t>Available people</t>
        </is>
      </c>
      <c r="C2201" s="107">
        <f>COUNTIFS(Setup!$E$6:$E$29,"Y",Setup!$B$6:$B$29,"?*")-SUMPRODUCT(COUNTIF(C2177:C2200,Setup!$F$33:$F$40))</f>
        <v/>
      </c>
      <c r="D2201" s="107" t="n"/>
      <c r="E2201" s="107" t="n"/>
      <c r="F2201" s="107" t="n"/>
      <c r="G2201" s="107">
        <f>COUNTIFS(Setup!$E$6:$E$29,"Y",Setup!$B$6:$B$29,"?*")-SUMPRODUCT(COUNTIF(G2177:G2200,Setup!$F$33:$F$40))</f>
        <v/>
      </c>
      <c r="H2201" s="107" t="n"/>
      <c r="I2201" s="107" t="n"/>
      <c r="J2201" s="107" t="n"/>
      <c r="K2201" s="107">
        <f>COUNTIFS(Setup!$E$6:$E$29,"Y",Setup!$B$6:$B$29,"?*")-SUMPRODUCT(COUNTIF(K2177:K2200,Setup!$F$33:$F$40))</f>
        <v/>
      </c>
      <c r="L2201" s="107" t="n"/>
      <c r="M2201" s="107" t="n"/>
      <c r="N2201" s="107" t="n"/>
      <c r="O2201" s="107">
        <f>COUNTIFS(Setup!$E$6:$E$29,"Y",Setup!$B$6:$B$29,"?*")-SUMPRODUCT(COUNTIF(O2177:O2200,Setup!$F$33:$F$40))</f>
        <v/>
      </c>
      <c r="P2201" s="107" t="n"/>
      <c r="Q2201" s="107" t="n"/>
      <c r="R2201" s="107" t="n"/>
      <c r="S2201" s="107">
        <f>COUNTIFS(Setup!$E$6:$E$29,"Y",Setup!$B$6:$B$29,"?*")-SUMPRODUCT(COUNTIF(S2177:S2200,Setup!$F$33:$F$40))</f>
        <v/>
      </c>
      <c r="T2201" s="107" t="n"/>
      <c r="U2201" s="107" t="n"/>
      <c r="V2201" s="107" t="n"/>
      <c r="W2201" s="107">
        <f>COUNTIFS(Setup!$E$6:$E$29,"Y",Setup!$B$6:$B$29,"?*")-SUMPRODUCT(COUNTIF(W2177:W2200,Setup!$F$33:$F$40))</f>
        <v/>
      </c>
      <c r="X2201" s="107" t="n"/>
      <c r="Y2201" s="107">
        <f>COUNTIFS(Setup!$E$6:$E$29,"Y",Setup!$B$6:$B$29,"?*")-SUMPRODUCT(COUNTIF(Y2177:Y2200,Setup!$F$33:$F$40))</f>
        <v/>
      </c>
      <c r="Z2201" s="107" t="n"/>
      <c r="AB2201" s="108">
        <f>SUM(AB2177:AB2200)</f>
        <v/>
      </c>
      <c r="AC2201" s="109">
        <f>SUM(AC2177:AC2200)</f>
        <v/>
      </c>
    </row>
    <row r="2202" ht="30" customHeight="1">
      <c r="A2202" t="n">
        <v>44</v>
      </c>
      <c r="B2202" s="110" t="inlineStr">
        <is>
          <t>Week notes</t>
        </is>
      </c>
      <c r="C2202" s="111" t="n"/>
      <c r="D2202" s="112" t="n"/>
      <c r="E2202" s="112" t="n"/>
      <c r="F2202" s="112" t="n"/>
      <c r="G2202" s="112" t="n"/>
      <c r="H2202" s="112" t="n"/>
      <c r="I2202" s="112" t="n"/>
      <c r="J2202" s="112" t="n"/>
      <c r="K2202" s="112" t="n"/>
      <c r="L2202" s="112" t="n"/>
      <c r="M2202" s="112" t="n"/>
      <c r="N2202" s="112" t="n"/>
      <c r="O2202" s="112" t="n"/>
      <c r="P2202" s="112" t="n"/>
      <c r="Q2202" s="112" t="n"/>
      <c r="R2202" s="112" t="n"/>
      <c r="S2202" s="112" t="n"/>
      <c r="T2202" s="112" t="n"/>
      <c r="U2202" s="112" t="n"/>
      <c r="V2202" s="112" t="n"/>
      <c r="W2202" s="112" t="n"/>
      <c r="X2202" s="112" t="n"/>
      <c r="Y2202" s="112" t="n"/>
      <c r="Z2202" s="113" t="n"/>
    </row>
    <row r="2203" ht="8" customHeight="1">
      <c r="A2203" t="n">
        <v>44</v>
      </c>
    </row>
    <row r="2204" ht="8" customHeight="1">
      <c r="A2204" t="n">
        <v>44</v>
      </c>
    </row>
    <row r="2205" ht="24" customHeight="1">
      <c r="A2205" t="n">
        <v>45</v>
      </c>
      <c r="B2205" s="73">
        <f>"WEEK 45     "&amp;TEXT(C2206,"ddd d mmm")&amp;"  –  "&amp;TEXT(C2206+6,"ddd d mmm yyyy")</f>
        <v/>
      </c>
      <c r="S2205" s="74">
        <f>IF(TODAY()&lt;C2206,"FUTURE",IF(TODAY()&gt;C2206+6,"PAST","THIS WEEK"))</f>
        <v/>
      </c>
      <c r="W2205" s="75">
        <f>IF(AND(Engine!$B$8=$AC$3,Engine!$B$9=$A2205),"◀ ACTIVE WEEK","")</f>
        <v/>
      </c>
      <c r="AA2205" s="76" t="n"/>
      <c r="AB2205" s="77" t="inlineStr">
        <is>
          <t>◀ Prev</t>
        </is>
      </c>
      <c r="AC2205" s="77" t="inlineStr">
        <is>
          <t>Next ▶</t>
        </is>
      </c>
    </row>
    <row r="2206" ht="18" customHeight="1">
      <c r="A2206" t="n">
        <v>45</v>
      </c>
      <c r="B2206" s="78" t="inlineStr">
        <is>
          <t>DUTY</t>
        </is>
      </c>
      <c r="C2206" s="79">
        <f>$AC$2+7*($A2206-1)</f>
        <v/>
      </c>
      <c r="D2206" s="80" t="n"/>
      <c r="E2206" s="80" t="n"/>
      <c r="F2206" s="81" t="n"/>
      <c r="G2206" s="79">
        <f>C2206+1</f>
        <v/>
      </c>
      <c r="H2206" s="80" t="n"/>
      <c r="I2206" s="80" t="n"/>
      <c r="J2206" s="81" t="n"/>
      <c r="K2206" s="79">
        <f>C2206+2</f>
        <v/>
      </c>
      <c r="L2206" s="80" t="n"/>
      <c r="M2206" s="80" t="n"/>
      <c r="N2206" s="81" t="n"/>
      <c r="O2206" s="79">
        <f>C2206+3</f>
        <v/>
      </c>
      <c r="P2206" s="80" t="n"/>
      <c r="Q2206" s="80" t="n"/>
      <c r="R2206" s="81" t="n"/>
      <c r="S2206" s="79">
        <f>C2206+4</f>
        <v/>
      </c>
      <c r="T2206" s="80" t="n"/>
      <c r="U2206" s="80" t="n"/>
      <c r="V2206" s="81" t="n"/>
      <c r="W2206" s="82">
        <f>C2206+5</f>
        <v/>
      </c>
      <c r="X2206" s="83" t="n"/>
      <c r="Y2206" s="82">
        <f>C2206+6</f>
        <v/>
      </c>
      <c r="Z2206" s="83" t="n"/>
      <c r="AB2206" s="72" t="inlineStr">
        <is>
          <t>Gaps</t>
        </is>
      </c>
      <c r="AC2206" s="72" t="inlineStr">
        <is>
          <t>Cover</t>
        </is>
      </c>
    </row>
    <row r="2207" ht="14" customHeight="1">
      <c r="A2207" t="n">
        <v>45</v>
      </c>
      <c r="B2207" s="84" t="inlineStr">
        <is>
          <t>(from Setup)</t>
        </is>
      </c>
      <c r="C2207" s="85" t="inlineStr">
        <is>
          <t>1</t>
        </is>
      </c>
      <c r="D2207" s="85" t="inlineStr">
        <is>
          <t>2</t>
        </is>
      </c>
      <c r="E2207" s="85" t="inlineStr">
        <is>
          <t>3</t>
        </is>
      </c>
      <c r="F2207" s="85" t="inlineStr">
        <is>
          <t>Notes</t>
        </is>
      </c>
      <c r="G2207" s="85" t="inlineStr">
        <is>
          <t>1</t>
        </is>
      </c>
      <c r="H2207" s="85" t="inlineStr">
        <is>
          <t>2</t>
        </is>
      </c>
      <c r="I2207" s="85" t="inlineStr">
        <is>
          <t>3</t>
        </is>
      </c>
      <c r="J2207" s="85" t="inlineStr">
        <is>
          <t>Notes</t>
        </is>
      </c>
      <c r="K2207" s="85" t="inlineStr">
        <is>
          <t>1</t>
        </is>
      </c>
      <c r="L2207" s="85" t="inlineStr">
        <is>
          <t>2</t>
        </is>
      </c>
      <c r="M2207" s="85" t="inlineStr">
        <is>
          <t>3</t>
        </is>
      </c>
      <c r="N2207" s="85" t="inlineStr">
        <is>
          <t>Notes</t>
        </is>
      </c>
      <c r="O2207" s="85" t="inlineStr">
        <is>
          <t>1</t>
        </is>
      </c>
      <c r="P2207" s="85" t="inlineStr">
        <is>
          <t>2</t>
        </is>
      </c>
      <c r="Q2207" s="85" t="inlineStr">
        <is>
          <t>3</t>
        </is>
      </c>
      <c r="R2207" s="85" t="inlineStr">
        <is>
          <t>Notes</t>
        </is>
      </c>
      <c r="S2207" s="85" t="inlineStr">
        <is>
          <t>1</t>
        </is>
      </c>
      <c r="T2207" s="85" t="inlineStr">
        <is>
          <t>2</t>
        </is>
      </c>
      <c r="U2207" s="85" t="inlineStr">
        <is>
          <t>3</t>
        </is>
      </c>
      <c r="V2207" s="85" t="inlineStr">
        <is>
          <t>Notes</t>
        </is>
      </c>
      <c r="W2207" s="85" t="inlineStr">
        <is>
          <t>Cover</t>
        </is>
      </c>
      <c r="X2207" s="85" t="inlineStr">
        <is>
          <t>Notes</t>
        </is>
      </c>
      <c r="Y2207" s="85" t="inlineStr">
        <is>
          <t>Cover</t>
        </is>
      </c>
      <c r="Z2207" s="85" t="inlineStr">
        <is>
          <t>Notes</t>
        </is>
      </c>
      <c r="AB2207" s="86" t="inlineStr">
        <is>
          <t>weekdays short</t>
        </is>
      </c>
      <c r="AC2207" s="87" t="inlineStr"/>
    </row>
    <row r="2208" ht="17" customHeight="1">
      <c r="A2208" t="n">
        <v>45</v>
      </c>
      <c r="B2208" s="24">
        <f>IF(Setup!$K$6="","",Setup!$K$6)</f>
        <v/>
      </c>
      <c r="C2208" s="88" t="n"/>
      <c r="D2208" s="88" t="n"/>
      <c r="E2208" s="88" t="n"/>
      <c r="F2208" s="89" t="n"/>
      <c r="G2208" s="88" t="n"/>
      <c r="H2208" s="88" t="n"/>
      <c r="I2208" s="88" t="n"/>
      <c r="J2208" s="89" t="n"/>
      <c r="K2208" s="88" t="n"/>
      <c r="L2208" s="88" t="n"/>
      <c r="M2208" s="88" t="n"/>
      <c r="N2208" s="89" t="n"/>
      <c r="O2208" s="88" t="n"/>
      <c r="P2208" s="88" t="n"/>
      <c r="Q2208" s="88" t="n"/>
      <c r="R2208" s="89" t="n"/>
      <c r="S2208" s="88" t="n"/>
      <c r="T2208" s="88" t="n"/>
      <c r="U2208" s="88" t="n"/>
      <c r="V2208" s="89" t="n"/>
      <c r="W2208" s="88" t="n"/>
      <c r="X2208" s="89" t="n"/>
      <c r="Y2208" s="88" t="n"/>
      <c r="Z2208" s="89" t="n"/>
      <c r="AB2208" s="25">
        <f>IF($B2208="","",(COUNTIF(C2208:E2208,"?*")&lt;N(INDEX(Setup!$L$6:$L$23,1)))+(COUNTIF(G2208:I2208,"?*")&lt;N(INDEX(Setup!$L$6:$L$23,1)))+(COUNTIF(K2208:M2208,"?*")&lt;N(INDEX(Setup!$L$6:$L$23,1)))+(COUNTIF(O2208:Q2208,"?*")&lt;N(INDEX(Setup!$L$6:$L$23,1)))+(COUNTIF(S2208:U2208,"?*")&lt;N(INDEX(Setup!$L$6:$L$23,1)))+((W2208="")*(INDEX(Setup!$M$6:$M$23,1)="Y"))+((Y2208="")*(INDEX(Setup!$M$6:$M$23,1)="Y")))</f>
        <v/>
      </c>
      <c r="AC2208" s="90">
        <f>IF($B2208="","",IF(AB2208=0,"✓ covered","⚠ "&amp;AB2208&amp;IF(AB2208=1," gap"," gaps")))</f>
        <v/>
      </c>
    </row>
    <row r="2209" ht="17" customHeight="1">
      <c r="A2209" t="n">
        <v>45</v>
      </c>
      <c r="B2209" s="29">
        <f>IF(Setup!$K$7="","",Setup!$K$7)</f>
        <v/>
      </c>
      <c r="C2209" s="88" t="n"/>
      <c r="D2209" s="88" t="n"/>
      <c r="E2209" s="88" t="n"/>
      <c r="F2209" s="89" t="n"/>
      <c r="G2209" s="88" t="n"/>
      <c r="H2209" s="88" t="n"/>
      <c r="I2209" s="88" t="n"/>
      <c r="J2209" s="89" t="n"/>
      <c r="K2209" s="88" t="n"/>
      <c r="L2209" s="88" t="n"/>
      <c r="M2209" s="88" t="n"/>
      <c r="N2209" s="89" t="n"/>
      <c r="O2209" s="88" t="n"/>
      <c r="P2209" s="88" t="n"/>
      <c r="Q2209" s="88" t="n"/>
      <c r="R2209" s="89" t="n"/>
      <c r="S2209" s="88" t="n"/>
      <c r="T2209" s="88" t="n"/>
      <c r="U2209" s="88" t="n"/>
      <c r="V2209" s="89" t="n"/>
      <c r="W2209" s="88" t="n"/>
      <c r="X2209" s="89" t="n"/>
      <c r="Y2209" s="88" t="n"/>
      <c r="Z2209" s="89" t="n"/>
      <c r="AB2209" s="30">
        <f>IF($B2209="","",(COUNTIF(C2209:E2209,"?*")&lt;N(INDEX(Setup!$L$6:$L$23,2)))+(COUNTIF(G2209:I2209,"?*")&lt;N(INDEX(Setup!$L$6:$L$23,2)))+(COUNTIF(K2209:M2209,"?*")&lt;N(INDEX(Setup!$L$6:$L$23,2)))+(COUNTIF(O2209:Q2209,"?*")&lt;N(INDEX(Setup!$L$6:$L$23,2)))+(COUNTIF(S2209:U2209,"?*")&lt;N(INDEX(Setup!$L$6:$L$23,2)))+((W2209="")*(INDEX(Setup!$M$6:$M$23,2)="Y"))+((Y2209="")*(INDEX(Setup!$M$6:$M$23,2)="Y")))</f>
        <v/>
      </c>
      <c r="AC2209" s="91">
        <f>IF($B2209="","",IF(AB2209=0,"✓ covered","⚠ "&amp;AB2209&amp;IF(AB2209=1," gap"," gaps")))</f>
        <v/>
      </c>
    </row>
    <row r="2210" ht="17" customHeight="1">
      <c r="A2210" t="n">
        <v>45</v>
      </c>
      <c r="B2210" s="24">
        <f>IF(Setup!$K$8="","",Setup!$K$8)</f>
        <v/>
      </c>
      <c r="C2210" s="88" t="n"/>
      <c r="D2210" s="88" t="n"/>
      <c r="E2210" s="88" t="n"/>
      <c r="F2210" s="89" t="n"/>
      <c r="G2210" s="88" t="n"/>
      <c r="H2210" s="88" t="n"/>
      <c r="I2210" s="88" t="n"/>
      <c r="J2210" s="89" t="n"/>
      <c r="K2210" s="88" t="n"/>
      <c r="L2210" s="88" t="n"/>
      <c r="M2210" s="88" t="n"/>
      <c r="N2210" s="89" t="n"/>
      <c r="O2210" s="88" t="n"/>
      <c r="P2210" s="88" t="n"/>
      <c r="Q2210" s="88" t="n"/>
      <c r="R2210" s="89" t="n"/>
      <c r="S2210" s="88" t="n"/>
      <c r="T2210" s="88" t="n"/>
      <c r="U2210" s="88" t="n"/>
      <c r="V2210" s="89" t="n"/>
      <c r="W2210" s="88" t="n"/>
      <c r="X2210" s="89" t="n"/>
      <c r="Y2210" s="88" t="n"/>
      <c r="Z2210" s="89" t="n"/>
      <c r="AB2210" s="25">
        <f>IF($B2210="","",(COUNTIF(C2210:E2210,"?*")&lt;N(INDEX(Setup!$L$6:$L$23,3)))+(COUNTIF(G2210:I2210,"?*")&lt;N(INDEX(Setup!$L$6:$L$23,3)))+(COUNTIF(K2210:M2210,"?*")&lt;N(INDEX(Setup!$L$6:$L$23,3)))+(COUNTIF(O2210:Q2210,"?*")&lt;N(INDEX(Setup!$L$6:$L$23,3)))+(COUNTIF(S2210:U2210,"?*")&lt;N(INDEX(Setup!$L$6:$L$23,3)))+((W2210="")*(INDEX(Setup!$M$6:$M$23,3)="Y"))+((Y2210="")*(INDEX(Setup!$M$6:$M$23,3)="Y")))</f>
        <v/>
      </c>
      <c r="AC2210" s="90">
        <f>IF($B2210="","",IF(AB2210=0,"✓ covered","⚠ "&amp;AB2210&amp;IF(AB2210=1," gap"," gaps")))</f>
        <v/>
      </c>
    </row>
    <row r="2211" ht="17" customHeight="1">
      <c r="A2211" t="n">
        <v>45</v>
      </c>
      <c r="B2211" s="29">
        <f>IF(Setup!$K$9="","",Setup!$K$9)</f>
        <v/>
      </c>
      <c r="C2211" s="88" t="n"/>
      <c r="D2211" s="88" t="n"/>
      <c r="E2211" s="88" t="n"/>
      <c r="F2211" s="89" t="n"/>
      <c r="G2211" s="88" t="n"/>
      <c r="H2211" s="88" t="n"/>
      <c r="I2211" s="88" t="n"/>
      <c r="J2211" s="89" t="n"/>
      <c r="K2211" s="88" t="n"/>
      <c r="L2211" s="88" t="n"/>
      <c r="M2211" s="88" t="n"/>
      <c r="N2211" s="89" t="n"/>
      <c r="O2211" s="88" t="n"/>
      <c r="P2211" s="88" t="n"/>
      <c r="Q2211" s="88" t="n"/>
      <c r="R2211" s="89" t="n"/>
      <c r="S2211" s="88" t="n"/>
      <c r="T2211" s="88" t="n"/>
      <c r="U2211" s="88" t="n"/>
      <c r="V2211" s="89" t="n"/>
      <c r="W2211" s="88" t="n"/>
      <c r="X2211" s="89" t="n"/>
      <c r="Y2211" s="88" t="n"/>
      <c r="Z2211" s="89" t="n"/>
      <c r="AB2211" s="30">
        <f>IF($B2211="","",(COUNTIF(C2211:E2211,"?*")&lt;N(INDEX(Setup!$L$6:$L$23,4)))+(COUNTIF(G2211:I2211,"?*")&lt;N(INDEX(Setup!$L$6:$L$23,4)))+(COUNTIF(K2211:M2211,"?*")&lt;N(INDEX(Setup!$L$6:$L$23,4)))+(COUNTIF(O2211:Q2211,"?*")&lt;N(INDEX(Setup!$L$6:$L$23,4)))+(COUNTIF(S2211:U2211,"?*")&lt;N(INDEX(Setup!$L$6:$L$23,4)))+((W2211="")*(INDEX(Setup!$M$6:$M$23,4)="Y"))+((Y2211="")*(INDEX(Setup!$M$6:$M$23,4)="Y")))</f>
        <v/>
      </c>
      <c r="AC2211" s="91">
        <f>IF($B2211="","",IF(AB2211=0,"✓ covered","⚠ "&amp;AB2211&amp;IF(AB2211=1," gap"," gaps")))</f>
        <v/>
      </c>
    </row>
    <row r="2212" ht="17" customHeight="1">
      <c r="A2212" t="n">
        <v>45</v>
      </c>
      <c r="B2212" s="24">
        <f>IF(Setup!$K$10="","",Setup!$K$10)</f>
        <v/>
      </c>
      <c r="C2212" s="88" t="n"/>
      <c r="D2212" s="88" t="n"/>
      <c r="E2212" s="88" t="n"/>
      <c r="F2212" s="89" t="n"/>
      <c r="G2212" s="88" t="n"/>
      <c r="H2212" s="88" t="n"/>
      <c r="I2212" s="88" t="n"/>
      <c r="J2212" s="89" t="n"/>
      <c r="K2212" s="88" t="n"/>
      <c r="L2212" s="88" t="n"/>
      <c r="M2212" s="88" t="n"/>
      <c r="N2212" s="89" t="n"/>
      <c r="O2212" s="88" t="n"/>
      <c r="P2212" s="88" t="n"/>
      <c r="Q2212" s="88" t="n"/>
      <c r="R2212" s="89" t="n"/>
      <c r="S2212" s="88" t="n"/>
      <c r="T2212" s="88" t="n"/>
      <c r="U2212" s="88" t="n"/>
      <c r="V2212" s="89" t="n"/>
      <c r="W2212" s="88" t="n"/>
      <c r="X2212" s="89" t="n"/>
      <c r="Y2212" s="88" t="n"/>
      <c r="Z2212" s="89" t="n"/>
      <c r="AB2212" s="25">
        <f>IF($B2212="","",(COUNTIF(C2212:E2212,"?*")&lt;N(INDEX(Setup!$L$6:$L$23,5)))+(COUNTIF(G2212:I2212,"?*")&lt;N(INDEX(Setup!$L$6:$L$23,5)))+(COUNTIF(K2212:M2212,"?*")&lt;N(INDEX(Setup!$L$6:$L$23,5)))+(COUNTIF(O2212:Q2212,"?*")&lt;N(INDEX(Setup!$L$6:$L$23,5)))+(COUNTIF(S2212:U2212,"?*")&lt;N(INDEX(Setup!$L$6:$L$23,5)))+((W2212="")*(INDEX(Setup!$M$6:$M$23,5)="Y"))+((Y2212="")*(INDEX(Setup!$M$6:$M$23,5)="Y")))</f>
        <v/>
      </c>
      <c r="AC2212" s="90">
        <f>IF($B2212="","",IF(AB2212=0,"✓ covered","⚠ "&amp;AB2212&amp;IF(AB2212=1," gap"," gaps")))</f>
        <v/>
      </c>
    </row>
    <row r="2213" ht="17" customHeight="1">
      <c r="A2213" t="n">
        <v>45</v>
      </c>
      <c r="B2213" s="29">
        <f>IF(Setup!$K$11="","",Setup!$K$11)</f>
        <v/>
      </c>
      <c r="C2213" s="88" t="n"/>
      <c r="D2213" s="88" t="n"/>
      <c r="E2213" s="88" t="n"/>
      <c r="F2213" s="89" t="n"/>
      <c r="G2213" s="88" t="n"/>
      <c r="H2213" s="88" t="n"/>
      <c r="I2213" s="88" t="n"/>
      <c r="J2213" s="89" t="n"/>
      <c r="K2213" s="88" t="n"/>
      <c r="L2213" s="88" t="n"/>
      <c r="M2213" s="88" t="n"/>
      <c r="N2213" s="89" t="n"/>
      <c r="O2213" s="88" t="n"/>
      <c r="P2213" s="88" t="n"/>
      <c r="Q2213" s="88" t="n"/>
      <c r="R2213" s="89" t="n"/>
      <c r="S2213" s="88" t="n"/>
      <c r="T2213" s="88" t="n"/>
      <c r="U2213" s="88" t="n"/>
      <c r="V2213" s="89" t="n"/>
      <c r="W2213" s="88" t="n"/>
      <c r="X2213" s="89" t="n"/>
      <c r="Y2213" s="88" t="n"/>
      <c r="Z2213" s="89" t="n"/>
      <c r="AB2213" s="30">
        <f>IF($B2213="","",(COUNTIF(C2213:E2213,"?*")&lt;N(INDEX(Setup!$L$6:$L$23,6)))+(COUNTIF(G2213:I2213,"?*")&lt;N(INDEX(Setup!$L$6:$L$23,6)))+(COUNTIF(K2213:M2213,"?*")&lt;N(INDEX(Setup!$L$6:$L$23,6)))+(COUNTIF(O2213:Q2213,"?*")&lt;N(INDEX(Setup!$L$6:$L$23,6)))+(COUNTIF(S2213:U2213,"?*")&lt;N(INDEX(Setup!$L$6:$L$23,6)))+((W2213="")*(INDEX(Setup!$M$6:$M$23,6)="Y"))+((Y2213="")*(INDEX(Setup!$M$6:$M$23,6)="Y")))</f>
        <v/>
      </c>
      <c r="AC2213" s="91">
        <f>IF($B2213="","",IF(AB2213=0,"✓ covered","⚠ "&amp;AB2213&amp;IF(AB2213=1," gap"," gaps")))</f>
        <v/>
      </c>
    </row>
    <row r="2214" ht="17" customHeight="1">
      <c r="A2214" t="n">
        <v>45</v>
      </c>
      <c r="B2214" s="24">
        <f>IF(Setup!$K$12="","",Setup!$K$12)</f>
        <v/>
      </c>
      <c r="C2214" s="88" t="n"/>
      <c r="D2214" s="88" t="n"/>
      <c r="E2214" s="88" t="n"/>
      <c r="F2214" s="89" t="n"/>
      <c r="G2214" s="88" t="n"/>
      <c r="H2214" s="88" t="n"/>
      <c r="I2214" s="88" t="n"/>
      <c r="J2214" s="89" t="n"/>
      <c r="K2214" s="88" t="n"/>
      <c r="L2214" s="88" t="n"/>
      <c r="M2214" s="88" t="n"/>
      <c r="N2214" s="89" t="n"/>
      <c r="O2214" s="88" t="n"/>
      <c r="P2214" s="88" t="n"/>
      <c r="Q2214" s="88" t="n"/>
      <c r="R2214" s="89" t="n"/>
      <c r="S2214" s="88" t="n"/>
      <c r="T2214" s="88" t="n"/>
      <c r="U2214" s="88" t="n"/>
      <c r="V2214" s="89" t="n"/>
      <c r="W2214" s="88" t="n"/>
      <c r="X2214" s="89" t="n"/>
      <c r="Y2214" s="88" t="n"/>
      <c r="Z2214" s="89" t="n"/>
      <c r="AB2214" s="25">
        <f>IF($B2214="","",(COUNTIF(C2214:E2214,"?*")&lt;N(INDEX(Setup!$L$6:$L$23,7)))+(COUNTIF(G2214:I2214,"?*")&lt;N(INDEX(Setup!$L$6:$L$23,7)))+(COUNTIF(K2214:M2214,"?*")&lt;N(INDEX(Setup!$L$6:$L$23,7)))+(COUNTIF(O2214:Q2214,"?*")&lt;N(INDEX(Setup!$L$6:$L$23,7)))+(COUNTIF(S2214:U2214,"?*")&lt;N(INDEX(Setup!$L$6:$L$23,7)))+((W2214="")*(INDEX(Setup!$M$6:$M$23,7)="Y"))+((Y2214="")*(INDEX(Setup!$M$6:$M$23,7)="Y")))</f>
        <v/>
      </c>
      <c r="AC2214" s="90">
        <f>IF($B2214="","",IF(AB2214=0,"✓ covered","⚠ "&amp;AB2214&amp;IF(AB2214=1," gap"," gaps")))</f>
        <v/>
      </c>
    </row>
    <row r="2215" ht="17" customHeight="1">
      <c r="A2215" t="n">
        <v>45</v>
      </c>
      <c r="B2215" s="29">
        <f>IF(Setup!$K$13="","",Setup!$K$13)</f>
        <v/>
      </c>
      <c r="C2215" s="88" t="n"/>
      <c r="D2215" s="88" t="n"/>
      <c r="E2215" s="88" t="n"/>
      <c r="F2215" s="89" t="n"/>
      <c r="G2215" s="88" t="n"/>
      <c r="H2215" s="88" t="n"/>
      <c r="I2215" s="88" t="n"/>
      <c r="J2215" s="89" t="n"/>
      <c r="K2215" s="88" t="n"/>
      <c r="L2215" s="88" t="n"/>
      <c r="M2215" s="88" t="n"/>
      <c r="N2215" s="89" t="n"/>
      <c r="O2215" s="88" t="n"/>
      <c r="P2215" s="88" t="n"/>
      <c r="Q2215" s="88" t="n"/>
      <c r="R2215" s="89" t="n"/>
      <c r="S2215" s="88" t="n"/>
      <c r="T2215" s="88" t="n"/>
      <c r="U2215" s="88" t="n"/>
      <c r="V2215" s="89" t="n"/>
      <c r="W2215" s="88" t="n"/>
      <c r="X2215" s="89" t="n"/>
      <c r="Y2215" s="88" t="n"/>
      <c r="Z2215" s="89" t="n"/>
      <c r="AB2215" s="30">
        <f>IF($B2215="","",(COUNTIF(C2215:E2215,"?*")&lt;N(INDEX(Setup!$L$6:$L$23,8)))+(COUNTIF(G2215:I2215,"?*")&lt;N(INDEX(Setup!$L$6:$L$23,8)))+(COUNTIF(K2215:M2215,"?*")&lt;N(INDEX(Setup!$L$6:$L$23,8)))+(COUNTIF(O2215:Q2215,"?*")&lt;N(INDEX(Setup!$L$6:$L$23,8)))+(COUNTIF(S2215:U2215,"?*")&lt;N(INDEX(Setup!$L$6:$L$23,8)))+((W2215="")*(INDEX(Setup!$M$6:$M$23,8)="Y"))+((Y2215="")*(INDEX(Setup!$M$6:$M$23,8)="Y")))</f>
        <v/>
      </c>
      <c r="AC2215" s="91">
        <f>IF($B2215="","",IF(AB2215=0,"✓ covered","⚠ "&amp;AB2215&amp;IF(AB2215=1," gap"," gaps")))</f>
        <v/>
      </c>
    </row>
    <row r="2216" ht="17" customHeight="1">
      <c r="A2216" t="n">
        <v>45</v>
      </c>
      <c r="B2216" s="24">
        <f>IF(Setup!$K$14="","",Setup!$K$14)</f>
        <v/>
      </c>
      <c r="C2216" s="88" t="n"/>
      <c r="D2216" s="88" t="n"/>
      <c r="E2216" s="88" t="n"/>
      <c r="F2216" s="89" t="n"/>
      <c r="G2216" s="88" t="n"/>
      <c r="H2216" s="88" t="n"/>
      <c r="I2216" s="88" t="n"/>
      <c r="J2216" s="89" t="n"/>
      <c r="K2216" s="88" t="n"/>
      <c r="L2216" s="88" t="n"/>
      <c r="M2216" s="88" t="n"/>
      <c r="N2216" s="89" t="n"/>
      <c r="O2216" s="88" t="n"/>
      <c r="P2216" s="88" t="n"/>
      <c r="Q2216" s="88" t="n"/>
      <c r="R2216" s="89" t="n"/>
      <c r="S2216" s="88" t="n"/>
      <c r="T2216" s="88" t="n"/>
      <c r="U2216" s="88" t="n"/>
      <c r="V2216" s="89" t="n"/>
      <c r="W2216" s="88" t="n"/>
      <c r="X2216" s="89" t="n"/>
      <c r="Y2216" s="88" t="n"/>
      <c r="Z2216" s="89" t="n"/>
      <c r="AB2216" s="25">
        <f>IF($B2216="","",(COUNTIF(C2216:E2216,"?*")&lt;N(INDEX(Setup!$L$6:$L$23,9)))+(COUNTIF(G2216:I2216,"?*")&lt;N(INDEX(Setup!$L$6:$L$23,9)))+(COUNTIF(K2216:M2216,"?*")&lt;N(INDEX(Setup!$L$6:$L$23,9)))+(COUNTIF(O2216:Q2216,"?*")&lt;N(INDEX(Setup!$L$6:$L$23,9)))+(COUNTIF(S2216:U2216,"?*")&lt;N(INDEX(Setup!$L$6:$L$23,9)))+((W2216="")*(INDEX(Setup!$M$6:$M$23,9)="Y"))+((Y2216="")*(INDEX(Setup!$M$6:$M$23,9)="Y")))</f>
        <v/>
      </c>
      <c r="AC2216" s="90">
        <f>IF($B2216="","",IF(AB2216=0,"✓ covered","⚠ "&amp;AB2216&amp;IF(AB2216=1," gap"," gaps")))</f>
        <v/>
      </c>
    </row>
    <row r="2217" ht="17" customHeight="1">
      <c r="A2217" t="n">
        <v>45</v>
      </c>
      <c r="B2217" s="29">
        <f>IF(Setup!$K$15="","",Setup!$K$15)</f>
        <v/>
      </c>
      <c r="C2217" s="88" t="n"/>
      <c r="D2217" s="88" t="n"/>
      <c r="E2217" s="88" t="n"/>
      <c r="F2217" s="89" t="n"/>
      <c r="G2217" s="88" t="n"/>
      <c r="H2217" s="88" t="n"/>
      <c r="I2217" s="88" t="n"/>
      <c r="J2217" s="89" t="n"/>
      <c r="K2217" s="88" t="n"/>
      <c r="L2217" s="88" t="n"/>
      <c r="M2217" s="88" t="n"/>
      <c r="N2217" s="89" t="n"/>
      <c r="O2217" s="88" t="n"/>
      <c r="P2217" s="88" t="n"/>
      <c r="Q2217" s="88" t="n"/>
      <c r="R2217" s="89" t="n"/>
      <c r="S2217" s="88" t="n"/>
      <c r="T2217" s="88" t="n"/>
      <c r="U2217" s="88" t="n"/>
      <c r="V2217" s="89" t="n"/>
      <c r="W2217" s="88" t="n"/>
      <c r="X2217" s="89" t="n"/>
      <c r="Y2217" s="88" t="n"/>
      <c r="Z2217" s="89" t="n"/>
      <c r="AB2217" s="30">
        <f>IF($B2217="","",(COUNTIF(C2217:E2217,"?*")&lt;N(INDEX(Setup!$L$6:$L$23,10)))+(COUNTIF(G2217:I2217,"?*")&lt;N(INDEX(Setup!$L$6:$L$23,10)))+(COUNTIF(K2217:M2217,"?*")&lt;N(INDEX(Setup!$L$6:$L$23,10)))+(COUNTIF(O2217:Q2217,"?*")&lt;N(INDEX(Setup!$L$6:$L$23,10)))+(COUNTIF(S2217:U2217,"?*")&lt;N(INDEX(Setup!$L$6:$L$23,10)))+((W2217="")*(INDEX(Setup!$M$6:$M$23,10)="Y"))+((Y2217="")*(INDEX(Setup!$M$6:$M$23,10)="Y")))</f>
        <v/>
      </c>
      <c r="AC2217" s="91">
        <f>IF($B2217="","",IF(AB2217=0,"✓ covered","⚠ "&amp;AB2217&amp;IF(AB2217=1," gap"," gaps")))</f>
        <v/>
      </c>
    </row>
    <row r="2218" ht="17" customHeight="1">
      <c r="A2218" t="n">
        <v>45</v>
      </c>
      <c r="B2218" s="24">
        <f>IF(Setup!$K$16="","",Setup!$K$16)</f>
        <v/>
      </c>
      <c r="C2218" s="88" t="n"/>
      <c r="D2218" s="88" t="n"/>
      <c r="E2218" s="88" t="n"/>
      <c r="F2218" s="89" t="n"/>
      <c r="G2218" s="88" t="n"/>
      <c r="H2218" s="88" t="n"/>
      <c r="I2218" s="88" t="n"/>
      <c r="J2218" s="89" t="n"/>
      <c r="K2218" s="88" t="n"/>
      <c r="L2218" s="88" t="n"/>
      <c r="M2218" s="88" t="n"/>
      <c r="N2218" s="89" t="n"/>
      <c r="O2218" s="88" t="n"/>
      <c r="P2218" s="88" t="n"/>
      <c r="Q2218" s="88" t="n"/>
      <c r="R2218" s="89" t="n"/>
      <c r="S2218" s="88" t="n"/>
      <c r="T2218" s="88" t="n"/>
      <c r="U2218" s="88" t="n"/>
      <c r="V2218" s="89" t="n"/>
      <c r="W2218" s="88" t="n"/>
      <c r="X2218" s="89" t="n"/>
      <c r="Y2218" s="88" t="n"/>
      <c r="Z2218" s="89" t="n"/>
      <c r="AB2218" s="25">
        <f>IF($B2218="","",(COUNTIF(C2218:E2218,"?*")&lt;N(INDEX(Setup!$L$6:$L$23,11)))+(COUNTIF(G2218:I2218,"?*")&lt;N(INDEX(Setup!$L$6:$L$23,11)))+(COUNTIF(K2218:M2218,"?*")&lt;N(INDEX(Setup!$L$6:$L$23,11)))+(COUNTIF(O2218:Q2218,"?*")&lt;N(INDEX(Setup!$L$6:$L$23,11)))+(COUNTIF(S2218:U2218,"?*")&lt;N(INDEX(Setup!$L$6:$L$23,11)))+((W2218="")*(INDEX(Setup!$M$6:$M$23,11)="Y"))+((Y2218="")*(INDEX(Setup!$M$6:$M$23,11)="Y")))</f>
        <v/>
      </c>
      <c r="AC2218" s="90">
        <f>IF($B2218="","",IF(AB2218=0,"✓ covered","⚠ "&amp;AB2218&amp;IF(AB2218=1," gap"," gaps")))</f>
        <v/>
      </c>
    </row>
    <row r="2219" ht="17" customHeight="1">
      <c r="A2219" t="n">
        <v>45</v>
      </c>
      <c r="B2219" s="29">
        <f>IF(Setup!$K$17="","",Setup!$K$17)</f>
        <v/>
      </c>
      <c r="C2219" s="88" t="n"/>
      <c r="D2219" s="88" t="n"/>
      <c r="E2219" s="88" t="n"/>
      <c r="F2219" s="89" t="n"/>
      <c r="G2219" s="88" t="n"/>
      <c r="H2219" s="88" t="n"/>
      <c r="I2219" s="88" t="n"/>
      <c r="J2219" s="89" t="n"/>
      <c r="K2219" s="88" t="n"/>
      <c r="L2219" s="88" t="n"/>
      <c r="M2219" s="88" t="n"/>
      <c r="N2219" s="89" t="n"/>
      <c r="O2219" s="88" t="n"/>
      <c r="P2219" s="88" t="n"/>
      <c r="Q2219" s="88" t="n"/>
      <c r="R2219" s="89" t="n"/>
      <c r="S2219" s="88" t="n"/>
      <c r="T2219" s="88" t="n"/>
      <c r="U2219" s="88" t="n"/>
      <c r="V2219" s="89" t="n"/>
      <c r="W2219" s="88" t="n"/>
      <c r="X2219" s="89" t="n"/>
      <c r="Y2219" s="88" t="n"/>
      <c r="Z2219" s="89" t="n"/>
      <c r="AB2219" s="30">
        <f>IF($B2219="","",(COUNTIF(C2219:E2219,"?*")&lt;N(INDEX(Setup!$L$6:$L$23,12)))+(COUNTIF(G2219:I2219,"?*")&lt;N(INDEX(Setup!$L$6:$L$23,12)))+(COUNTIF(K2219:M2219,"?*")&lt;N(INDEX(Setup!$L$6:$L$23,12)))+(COUNTIF(O2219:Q2219,"?*")&lt;N(INDEX(Setup!$L$6:$L$23,12)))+(COUNTIF(S2219:U2219,"?*")&lt;N(INDEX(Setup!$L$6:$L$23,12)))+((W2219="")*(INDEX(Setup!$M$6:$M$23,12)="Y"))+((Y2219="")*(INDEX(Setup!$M$6:$M$23,12)="Y")))</f>
        <v/>
      </c>
      <c r="AC2219" s="91">
        <f>IF($B2219="","",IF(AB2219=0,"✓ covered","⚠ "&amp;AB2219&amp;IF(AB2219=1," gap"," gaps")))</f>
        <v/>
      </c>
    </row>
    <row r="2220" ht="17" customHeight="1">
      <c r="A2220" t="n">
        <v>45</v>
      </c>
      <c r="B2220" s="24">
        <f>IF(Setup!$K$18="","",Setup!$K$18)</f>
        <v/>
      </c>
      <c r="C2220" s="88" t="n"/>
      <c r="D2220" s="88" t="n"/>
      <c r="E2220" s="88" t="n"/>
      <c r="F2220" s="89" t="n"/>
      <c r="G2220" s="88" t="n"/>
      <c r="H2220" s="88" t="n"/>
      <c r="I2220" s="88" t="n"/>
      <c r="J2220" s="89" t="n"/>
      <c r="K2220" s="88" t="n"/>
      <c r="L2220" s="88" t="n"/>
      <c r="M2220" s="88" t="n"/>
      <c r="N2220" s="89" t="n"/>
      <c r="O2220" s="88" t="n"/>
      <c r="P2220" s="88" t="n"/>
      <c r="Q2220" s="88" t="n"/>
      <c r="R2220" s="89" t="n"/>
      <c r="S2220" s="88" t="n"/>
      <c r="T2220" s="88" t="n"/>
      <c r="U2220" s="88" t="n"/>
      <c r="V2220" s="89" t="n"/>
      <c r="W2220" s="88" t="n"/>
      <c r="X2220" s="89" t="n"/>
      <c r="Y2220" s="88" t="n"/>
      <c r="Z2220" s="89" t="n"/>
      <c r="AB2220" s="25">
        <f>IF($B2220="","",(COUNTIF(C2220:E2220,"?*")&lt;N(INDEX(Setup!$L$6:$L$23,13)))+(COUNTIF(G2220:I2220,"?*")&lt;N(INDEX(Setup!$L$6:$L$23,13)))+(COUNTIF(K2220:M2220,"?*")&lt;N(INDEX(Setup!$L$6:$L$23,13)))+(COUNTIF(O2220:Q2220,"?*")&lt;N(INDEX(Setup!$L$6:$L$23,13)))+(COUNTIF(S2220:U2220,"?*")&lt;N(INDEX(Setup!$L$6:$L$23,13)))+((W2220="")*(INDEX(Setup!$M$6:$M$23,13)="Y"))+((Y2220="")*(INDEX(Setup!$M$6:$M$23,13)="Y")))</f>
        <v/>
      </c>
      <c r="AC2220" s="90">
        <f>IF($B2220="","",IF(AB2220=0,"✓ covered","⚠ "&amp;AB2220&amp;IF(AB2220=1," gap"," gaps")))</f>
        <v/>
      </c>
    </row>
    <row r="2221" ht="17" customHeight="1">
      <c r="A2221" t="n">
        <v>45</v>
      </c>
      <c r="B2221" s="29">
        <f>IF(Setup!$K$19="","",Setup!$K$19)</f>
        <v/>
      </c>
      <c r="C2221" s="88" t="n"/>
      <c r="D2221" s="88" t="n"/>
      <c r="E2221" s="88" t="n"/>
      <c r="F2221" s="89" t="n"/>
      <c r="G2221" s="88" t="n"/>
      <c r="H2221" s="88" t="n"/>
      <c r="I2221" s="88" t="n"/>
      <c r="J2221" s="89" t="n"/>
      <c r="K2221" s="88" t="n"/>
      <c r="L2221" s="88" t="n"/>
      <c r="M2221" s="88" t="n"/>
      <c r="N2221" s="89" t="n"/>
      <c r="O2221" s="88" t="n"/>
      <c r="P2221" s="88" t="n"/>
      <c r="Q2221" s="88" t="n"/>
      <c r="R2221" s="89" t="n"/>
      <c r="S2221" s="88" t="n"/>
      <c r="T2221" s="88" t="n"/>
      <c r="U2221" s="88" t="n"/>
      <c r="V2221" s="89" t="n"/>
      <c r="W2221" s="88" t="n"/>
      <c r="X2221" s="89" t="n"/>
      <c r="Y2221" s="88" t="n"/>
      <c r="Z2221" s="89" t="n"/>
      <c r="AB2221" s="30">
        <f>IF($B2221="","",(COUNTIF(C2221:E2221,"?*")&lt;N(INDEX(Setup!$L$6:$L$23,14)))+(COUNTIF(G2221:I2221,"?*")&lt;N(INDEX(Setup!$L$6:$L$23,14)))+(COUNTIF(K2221:M2221,"?*")&lt;N(INDEX(Setup!$L$6:$L$23,14)))+(COUNTIF(O2221:Q2221,"?*")&lt;N(INDEX(Setup!$L$6:$L$23,14)))+(COUNTIF(S2221:U2221,"?*")&lt;N(INDEX(Setup!$L$6:$L$23,14)))+((W2221="")*(INDEX(Setup!$M$6:$M$23,14)="Y"))+((Y2221="")*(INDEX(Setup!$M$6:$M$23,14)="Y")))</f>
        <v/>
      </c>
      <c r="AC2221" s="91">
        <f>IF($B2221="","",IF(AB2221=0,"✓ covered","⚠ "&amp;AB2221&amp;IF(AB2221=1," gap"," gaps")))</f>
        <v/>
      </c>
    </row>
    <row r="2222" ht="17" customHeight="1">
      <c r="A2222" t="n">
        <v>45</v>
      </c>
      <c r="B2222" s="24">
        <f>IF(Setup!$K$20="","",Setup!$K$20)</f>
        <v/>
      </c>
      <c r="C2222" s="88" t="n"/>
      <c r="D2222" s="88" t="n"/>
      <c r="E2222" s="88" t="n"/>
      <c r="F2222" s="89" t="n"/>
      <c r="G2222" s="88" t="n"/>
      <c r="H2222" s="88" t="n"/>
      <c r="I2222" s="88" t="n"/>
      <c r="J2222" s="89" t="n"/>
      <c r="K2222" s="88" t="n"/>
      <c r="L2222" s="88" t="n"/>
      <c r="M2222" s="88" t="n"/>
      <c r="N2222" s="89" t="n"/>
      <c r="O2222" s="88" t="n"/>
      <c r="P2222" s="88" t="n"/>
      <c r="Q2222" s="88" t="n"/>
      <c r="R2222" s="89" t="n"/>
      <c r="S2222" s="88" t="n"/>
      <c r="T2222" s="88" t="n"/>
      <c r="U2222" s="88" t="n"/>
      <c r="V2222" s="89" t="n"/>
      <c r="W2222" s="88" t="n"/>
      <c r="X2222" s="89" t="n"/>
      <c r="Y2222" s="88" t="n"/>
      <c r="Z2222" s="89" t="n"/>
      <c r="AB2222" s="25">
        <f>IF($B2222="","",(COUNTIF(C2222:E2222,"?*")&lt;N(INDEX(Setup!$L$6:$L$23,15)))+(COUNTIF(G2222:I2222,"?*")&lt;N(INDEX(Setup!$L$6:$L$23,15)))+(COUNTIF(K2222:M2222,"?*")&lt;N(INDEX(Setup!$L$6:$L$23,15)))+(COUNTIF(O2222:Q2222,"?*")&lt;N(INDEX(Setup!$L$6:$L$23,15)))+(COUNTIF(S2222:U2222,"?*")&lt;N(INDEX(Setup!$L$6:$L$23,15)))+((W2222="")*(INDEX(Setup!$M$6:$M$23,15)="Y"))+((Y2222="")*(INDEX(Setup!$M$6:$M$23,15)="Y")))</f>
        <v/>
      </c>
      <c r="AC2222" s="90">
        <f>IF($B2222="","",IF(AB2222=0,"✓ covered","⚠ "&amp;AB2222&amp;IF(AB2222=1," gap"," gaps")))</f>
        <v/>
      </c>
    </row>
    <row r="2223" ht="17" customHeight="1">
      <c r="A2223" t="n">
        <v>45</v>
      </c>
      <c r="B2223" s="29">
        <f>IF(Setup!$K$21="","",Setup!$K$21)</f>
        <v/>
      </c>
      <c r="C2223" s="88" t="n"/>
      <c r="D2223" s="88" t="n"/>
      <c r="E2223" s="88" t="n"/>
      <c r="F2223" s="89" t="n"/>
      <c r="G2223" s="88" t="n"/>
      <c r="H2223" s="88" t="n"/>
      <c r="I2223" s="88" t="n"/>
      <c r="J2223" s="89" t="n"/>
      <c r="K2223" s="88" t="n"/>
      <c r="L2223" s="88" t="n"/>
      <c r="M2223" s="88" t="n"/>
      <c r="N2223" s="89" t="n"/>
      <c r="O2223" s="88" t="n"/>
      <c r="P2223" s="88" t="n"/>
      <c r="Q2223" s="88" t="n"/>
      <c r="R2223" s="89" t="n"/>
      <c r="S2223" s="88" t="n"/>
      <c r="T2223" s="88" t="n"/>
      <c r="U2223" s="88" t="n"/>
      <c r="V2223" s="89" t="n"/>
      <c r="W2223" s="88" t="n"/>
      <c r="X2223" s="89" t="n"/>
      <c r="Y2223" s="88" t="n"/>
      <c r="Z2223" s="89" t="n"/>
      <c r="AB2223" s="30">
        <f>IF($B2223="","",(COUNTIF(C2223:E2223,"?*")&lt;N(INDEX(Setup!$L$6:$L$23,16)))+(COUNTIF(G2223:I2223,"?*")&lt;N(INDEX(Setup!$L$6:$L$23,16)))+(COUNTIF(K2223:M2223,"?*")&lt;N(INDEX(Setup!$L$6:$L$23,16)))+(COUNTIF(O2223:Q2223,"?*")&lt;N(INDEX(Setup!$L$6:$L$23,16)))+(COUNTIF(S2223:U2223,"?*")&lt;N(INDEX(Setup!$L$6:$L$23,16)))+((W2223="")*(INDEX(Setup!$M$6:$M$23,16)="Y"))+((Y2223="")*(INDEX(Setup!$M$6:$M$23,16)="Y")))</f>
        <v/>
      </c>
      <c r="AC2223" s="91">
        <f>IF($B2223="","",IF(AB2223=0,"✓ covered","⚠ "&amp;AB2223&amp;IF(AB2223=1," gap"," gaps")))</f>
        <v/>
      </c>
    </row>
    <row r="2224" ht="17" customHeight="1">
      <c r="A2224" t="n">
        <v>45</v>
      </c>
      <c r="B2224" s="24">
        <f>IF(Setup!$K$22="","",Setup!$K$22)</f>
        <v/>
      </c>
      <c r="C2224" s="88" t="n"/>
      <c r="D2224" s="88" t="n"/>
      <c r="E2224" s="88" t="n"/>
      <c r="F2224" s="89" t="n"/>
      <c r="G2224" s="88" t="n"/>
      <c r="H2224" s="88" t="n"/>
      <c r="I2224" s="88" t="n"/>
      <c r="J2224" s="89" t="n"/>
      <c r="K2224" s="88" t="n"/>
      <c r="L2224" s="88" t="n"/>
      <c r="M2224" s="88" t="n"/>
      <c r="N2224" s="89" t="n"/>
      <c r="O2224" s="88" t="n"/>
      <c r="P2224" s="88" t="n"/>
      <c r="Q2224" s="88" t="n"/>
      <c r="R2224" s="89" t="n"/>
      <c r="S2224" s="88" t="n"/>
      <c r="T2224" s="88" t="n"/>
      <c r="U2224" s="88" t="n"/>
      <c r="V2224" s="89" t="n"/>
      <c r="W2224" s="88" t="n"/>
      <c r="X2224" s="89" t="n"/>
      <c r="Y2224" s="88" t="n"/>
      <c r="Z2224" s="89" t="n"/>
      <c r="AB2224" s="25">
        <f>IF($B2224="","",(COUNTIF(C2224:E2224,"?*")&lt;N(INDEX(Setup!$L$6:$L$23,17)))+(COUNTIF(G2224:I2224,"?*")&lt;N(INDEX(Setup!$L$6:$L$23,17)))+(COUNTIF(K2224:M2224,"?*")&lt;N(INDEX(Setup!$L$6:$L$23,17)))+(COUNTIF(O2224:Q2224,"?*")&lt;N(INDEX(Setup!$L$6:$L$23,17)))+(COUNTIF(S2224:U2224,"?*")&lt;N(INDEX(Setup!$L$6:$L$23,17)))+((W2224="")*(INDEX(Setup!$M$6:$M$23,17)="Y"))+((Y2224="")*(INDEX(Setup!$M$6:$M$23,17)="Y")))</f>
        <v/>
      </c>
      <c r="AC2224" s="90">
        <f>IF($B2224="","",IF(AB2224=0,"✓ covered","⚠ "&amp;AB2224&amp;IF(AB2224=1," gap"," gaps")))</f>
        <v/>
      </c>
    </row>
    <row r="2225" ht="17" customHeight="1">
      <c r="A2225" t="n">
        <v>45</v>
      </c>
      <c r="B2225" s="29">
        <f>IF(Setup!$K$23="","",Setup!$K$23)</f>
        <v/>
      </c>
      <c r="C2225" s="88" t="n"/>
      <c r="D2225" s="88" t="n"/>
      <c r="E2225" s="88" t="n"/>
      <c r="F2225" s="89" t="n"/>
      <c r="G2225" s="88" t="n"/>
      <c r="H2225" s="88" t="n"/>
      <c r="I2225" s="88" t="n"/>
      <c r="J2225" s="89" t="n"/>
      <c r="K2225" s="88" t="n"/>
      <c r="L2225" s="88" t="n"/>
      <c r="M2225" s="88" t="n"/>
      <c r="N2225" s="89" t="n"/>
      <c r="O2225" s="88" t="n"/>
      <c r="P2225" s="88" t="n"/>
      <c r="Q2225" s="88" t="n"/>
      <c r="R2225" s="89" t="n"/>
      <c r="S2225" s="88" t="n"/>
      <c r="T2225" s="88" t="n"/>
      <c r="U2225" s="88" t="n"/>
      <c r="V2225" s="89" t="n"/>
      <c r="W2225" s="88" t="n"/>
      <c r="X2225" s="89" t="n"/>
      <c r="Y2225" s="88" t="n"/>
      <c r="Z2225" s="89" t="n"/>
      <c r="AB2225" s="30">
        <f>IF($B2225="","",(COUNTIF(C2225:E2225,"?*")&lt;N(INDEX(Setup!$L$6:$L$23,18)))+(COUNTIF(G2225:I2225,"?*")&lt;N(INDEX(Setup!$L$6:$L$23,18)))+(COUNTIF(K2225:M2225,"?*")&lt;N(INDEX(Setup!$L$6:$L$23,18)))+(COUNTIF(O2225:Q2225,"?*")&lt;N(INDEX(Setup!$L$6:$L$23,18)))+(COUNTIF(S2225:U2225,"?*")&lt;N(INDEX(Setup!$L$6:$L$23,18)))+((W2225="")*(INDEX(Setup!$M$6:$M$23,18)="Y"))+((Y2225="")*(INDEX(Setup!$M$6:$M$23,18)="Y")))</f>
        <v/>
      </c>
      <c r="AC2225" s="91">
        <f>IF($B2225="","",IF(AB2225=0,"✓ covered","⚠ "&amp;AB2225&amp;IF(AB2225=1," gap"," gaps")))</f>
        <v/>
      </c>
    </row>
    <row r="2226" ht="18" customHeight="1">
      <c r="A2226" t="n">
        <v>45</v>
      </c>
      <c r="B2226" s="78" t="inlineStr">
        <is>
          <t>TEAM AVAILABILITY</t>
        </is>
      </c>
      <c r="C2226" s="92" t="inlineStr">
        <is>
          <t>Mon</t>
        </is>
      </c>
      <c r="D2226" s="93" t="n"/>
      <c r="E2226" s="93" t="n"/>
      <c r="F2226" s="94" t="n"/>
      <c r="G2226" s="92" t="inlineStr">
        <is>
          <t>Tue</t>
        </is>
      </c>
      <c r="H2226" s="93" t="n"/>
      <c r="I2226" s="93" t="n"/>
      <c r="J2226" s="94" t="n"/>
      <c r="K2226" s="92" t="inlineStr">
        <is>
          <t>Wed</t>
        </is>
      </c>
      <c r="L2226" s="93" t="n"/>
      <c r="M2226" s="93" t="n"/>
      <c r="N2226" s="94" t="n"/>
      <c r="O2226" s="92" t="inlineStr">
        <is>
          <t>Thu</t>
        </is>
      </c>
      <c r="P2226" s="93" t="n"/>
      <c r="Q2226" s="93" t="n"/>
      <c r="R2226" s="94" t="n"/>
      <c r="S2226" s="92" t="inlineStr">
        <is>
          <t>Fri</t>
        </is>
      </c>
      <c r="T2226" s="93" t="n"/>
      <c r="U2226" s="93" t="n"/>
      <c r="V2226" s="94" t="n"/>
      <c r="W2226" s="95" t="inlineStr">
        <is>
          <t>Sat</t>
        </is>
      </c>
      <c r="X2226" s="96" t="n"/>
      <c r="Y2226" s="95" t="inlineStr">
        <is>
          <t>Sun</t>
        </is>
      </c>
      <c r="Z2226" s="96" t="n"/>
      <c r="AB2226" s="97" t="inlineStr">
        <is>
          <t>Days rostered</t>
        </is>
      </c>
      <c r="AC2226" s="97" t="inlineStr">
        <is>
          <t>Conflicts</t>
        </is>
      </c>
    </row>
    <row r="2227" ht="15" customHeight="1">
      <c r="A2227" t="n">
        <v>45</v>
      </c>
      <c r="B2227" s="35">
        <f>IF(Setup!$B$6="","",Setup!$B$6)</f>
        <v/>
      </c>
      <c r="C2227" s="98" t="n"/>
      <c r="D2227" s="99" t="n"/>
      <c r="E2227" s="99" t="n"/>
      <c r="F2227" s="100" t="n"/>
      <c r="G2227" s="98" t="n"/>
      <c r="H2227" s="99" t="n"/>
      <c r="I2227" s="99" t="n"/>
      <c r="J2227" s="100" t="n"/>
      <c r="K2227" s="98" t="n"/>
      <c r="L2227" s="99" t="n"/>
      <c r="M2227" s="99" t="n"/>
      <c r="N2227" s="100" t="n"/>
      <c r="O2227" s="98" t="n"/>
      <c r="P2227" s="99" t="n"/>
      <c r="Q2227" s="99" t="n"/>
      <c r="R2227" s="100" t="n"/>
      <c r="S2227" s="98" t="n"/>
      <c r="T2227" s="99" t="n"/>
      <c r="U2227" s="99" t="n"/>
      <c r="V2227" s="100" t="n"/>
      <c r="W2227" s="98" t="n"/>
      <c r="X2227" s="100" t="n"/>
      <c r="Y2227" s="98" t="n"/>
      <c r="Z2227" s="100" t="n"/>
      <c r="AB2227" s="101">
        <f>IF($B2227="","",(COUNTIF(C2208:E2225,$B2227)+COUNTIF(C2208:E2225,$B2227&amp;" ~*")&gt;0)+(COUNTIF(G2208:I2225,$B2227)+COUNTIF(G2208:I2225,$B2227&amp;" ~*")&gt;0)+(COUNTIF(K2208:M2225,$B2227)+COUNTIF(K2208:M2225,$B2227&amp;" ~*")&gt;0)+(COUNTIF(O2208:Q2225,$B2227)+COUNTIF(O2208:Q2225,$B2227&amp;" ~*")&gt;0)+(COUNTIF(S2208:U2225,$B2227)+COUNTIF(S2208:U2225,$B2227&amp;" ~*")&gt;0)+(COUNTIF(W2208:W2225,$B2227)+COUNTIF(W2208:W2225,$B2227&amp;" ~*")&gt;0)+(COUNTIF(Y2208:Y2225,$B2227)+COUNTIF(Y2208:Y2225,$B2227&amp;" ~*")&gt;0))</f>
        <v/>
      </c>
      <c r="AC2227" s="36">
        <f>IF($B2227="","",(IFERROR(INDEX(Setup!$G$33:$G$40,MATCH(C2227,Setup!$B$33:$B$40,0)),0)=1)*(COUNTIF(C2208:E2225,$B2227)+COUNTIF(C2208:E2225,$B2227&amp;" ~*")&gt;0)+(IFERROR(INDEX(Setup!$G$33:$G$40,MATCH(G2227,Setup!$B$33:$B$40,0)),0)=1)*(COUNTIF(G2208:I2225,$B2227)+COUNTIF(G2208:I2225,$B2227&amp;" ~*")&gt;0)+(IFERROR(INDEX(Setup!$G$33:$G$40,MATCH(K2227,Setup!$B$33:$B$40,0)),0)=1)*(COUNTIF(K2208:M2225,$B2227)+COUNTIF(K2208:M2225,$B2227&amp;" ~*")&gt;0)+(IFERROR(INDEX(Setup!$G$33:$G$40,MATCH(O2227,Setup!$B$33:$B$40,0)),0)=1)*(COUNTIF(O2208:Q2225,$B2227)+COUNTIF(O2208:Q2225,$B2227&amp;" ~*")&gt;0)+(IFERROR(INDEX(Setup!$G$33:$G$40,MATCH(S2227,Setup!$B$33:$B$40,0)),0)=1)*(COUNTIF(S2208:U2225,$B2227)+COUNTIF(S2208:U2225,$B2227&amp;" ~*")&gt;0)+(IFERROR(INDEX(Setup!$G$33:$G$40,MATCH(W2227,Setup!$B$33:$B$40,0)),0)=1)*(COUNTIF(W2208:W2225,$B2227)+COUNTIF(W2208:W2225,$B2227&amp;" ~*")&gt;0)+(IFERROR(INDEX(Setup!$G$33:$G$40,MATCH(Y2227,Setup!$B$33:$B$40,0)),0)=1)*(COUNTIF(Y2208:Y2225,$B2227)+COUNTIF(Y2208:Y2225,$B2227&amp;" ~*")&gt;0))</f>
        <v/>
      </c>
    </row>
    <row r="2228" ht="15" customHeight="1">
      <c r="A2228" t="n">
        <v>45</v>
      </c>
      <c r="B2228" s="37">
        <f>IF(Setup!$B$7="","",Setup!$B$7)</f>
        <v/>
      </c>
      <c r="C2228" s="102" t="n"/>
      <c r="D2228" s="103" t="n"/>
      <c r="E2228" s="103" t="n"/>
      <c r="F2228" s="104" t="n"/>
      <c r="G2228" s="102" t="n"/>
      <c r="H2228" s="103" t="n"/>
      <c r="I2228" s="103" t="n"/>
      <c r="J2228" s="104" t="n"/>
      <c r="K2228" s="102" t="n"/>
      <c r="L2228" s="103" t="n"/>
      <c r="M2228" s="103" t="n"/>
      <c r="N2228" s="104" t="n"/>
      <c r="O2228" s="102" t="n"/>
      <c r="P2228" s="103" t="n"/>
      <c r="Q2228" s="103" t="n"/>
      <c r="R2228" s="104" t="n"/>
      <c r="S2228" s="102" t="n"/>
      <c r="T2228" s="103" t="n"/>
      <c r="U2228" s="103" t="n"/>
      <c r="V2228" s="104" t="n"/>
      <c r="W2228" s="102" t="n"/>
      <c r="X2228" s="104" t="n"/>
      <c r="Y2228" s="102" t="n"/>
      <c r="Z2228" s="104" t="n"/>
      <c r="AB2228" s="105">
        <f>IF($B2228="","",(COUNTIF(C2208:E2225,$B2228)+COUNTIF(C2208:E2225,$B2228&amp;" ~*")&gt;0)+(COUNTIF(G2208:I2225,$B2228)+COUNTIF(G2208:I2225,$B2228&amp;" ~*")&gt;0)+(COUNTIF(K2208:M2225,$B2228)+COUNTIF(K2208:M2225,$B2228&amp;" ~*")&gt;0)+(COUNTIF(O2208:Q2225,$B2228)+COUNTIF(O2208:Q2225,$B2228&amp;" ~*")&gt;0)+(COUNTIF(S2208:U2225,$B2228)+COUNTIF(S2208:U2225,$B2228&amp;" ~*")&gt;0)+(COUNTIF(W2208:W2225,$B2228)+COUNTIF(W2208:W2225,$B2228&amp;" ~*")&gt;0)+(COUNTIF(Y2208:Y2225,$B2228)+COUNTIF(Y2208:Y2225,$B2228&amp;" ~*")&gt;0))</f>
        <v/>
      </c>
      <c r="AC2228" s="38">
        <f>IF($B2228="","",(IFERROR(INDEX(Setup!$G$33:$G$40,MATCH(C2228,Setup!$B$33:$B$40,0)),0)=1)*(COUNTIF(C2208:E2225,$B2228)+COUNTIF(C2208:E2225,$B2228&amp;" ~*")&gt;0)+(IFERROR(INDEX(Setup!$G$33:$G$40,MATCH(G2228,Setup!$B$33:$B$40,0)),0)=1)*(COUNTIF(G2208:I2225,$B2228)+COUNTIF(G2208:I2225,$B2228&amp;" ~*")&gt;0)+(IFERROR(INDEX(Setup!$G$33:$G$40,MATCH(K2228,Setup!$B$33:$B$40,0)),0)=1)*(COUNTIF(K2208:M2225,$B2228)+COUNTIF(K2208:M2225,$B2228&amp;" ~*")&gt;0)+(IFERROR(INDEX(Setup!$G$33:$G$40,MATCH(O2228,Setup!$B$33:$B$40,0)),0)=1)*(COUNTIF(O2208:Q2225,$B2228)+COUNTIF(O2208:Q2225,$B2228&amp;" ~*")&gt;0)+(IFERROR(INDEX(Setup!$G$33:$G$40,MATCH(S2228,Setup!$B$33:$B$40,0)),0)=1)*(COUNTIF(S2208:U2225,$B2228)+COUNTIF(S2208:U2225,$B2228&amp;" ~*")&gt;0)+(IFERROR(INDEX(Setup!$G$33:$G$40,MATCH(W2228,Setup!$B$33:$B$40,0)),0)=1)*(COUNTIF(W2208:W2225,$B2228)+COUNTIF(W2208:W2225,$B2228&amp;" ~*")&gt;0)+(IFERROR(INDEX(Setup!$G$33:$G$40,MATCH(Y2228,Setup!$B$33:$B$40,0)),0)=1)*(COUNTIF(Y2208:Y2225,$B2228)+COUNTIF(Y2208:Y2225,$B2228&amp;" ~*")&gt;0))</f>
        <v/>
      </c>
    </row>
    <row r="2229" ht="15" customHeight="1">
      <c r="A2229" t="n">
        <v>45</v>
      </c>
      <c r="B2229" s="35">
        <f>IF(Setup!$B$8="","",Setup!$B$8)</f>
        <v/>
      </c>
      <c r="C2229" s="98" t="n"/>
      <c r="D2229" s="99" t="n"/>
      <c r="E2229" s="99" t="n"/>
      <c r="F2229" s="100" t="n"/>
      <c r="G2229" s="98" t="n"/>
      <c r="H2229" s="99" t="n"/>
      <c r="I2229" s="99" t="n"/>
      <c r="J2229" s="100" t="n"/>
      <c r="K2229" s="98" t="n"/>
      <c r="L2229" s="99" t="n"/>
      <c r="M2229" s="99" t="n"/>
      <c r="N2229" s="100" t="n"/>
      <c r="O2229" s="98" t="n"/>
      <c r="P2229" s="99" t="n"/>
      <c r="Q2229" s="99" t="n"/>
      <c r="R2229" s="100" t="n"/>
      <c r="S2229" s="98" t="n"/>
      <c r="T2229" s="99" t="n"/>
      <c r="U2229" s="99" t="n"/>
      <c r="V2229" s="100" t="n"/>
      <c r="W2229" s="98" t="n"/>
      <c r="X2229" s="100" t="n"/>
      <c r="Y2229" s="98" t="n"/>
      <c r="Z2229" s="100" t="n"/>
      <c r="AB2229" s="101">
        <f>IF($B2229="","",(COUNTIF(C2208:E2225,$B2229)+COUNTIF(C2208:E2225,$B2229&amp;" ~*")&gt;0)+(COUNTIF(G2208:I2225,$B2229)+COUNTIF(G2208:I2225,$B2229&amp;" ~*")&gt;0)+(COUNTIF(K2208:M2225,$B2229)+COUNTIF(K2208:M2225,$B2229&amp;" ~*")&gt;0)+(COUNTIF(O2208:Q2225,$B2229)+COUNTIF(O2208:Q2225,$B2229&amp;" ~*")&gt;0)+(COUNTIF(S2208:U2225,$B2229)+COUNTIF(S2208:U2225,$B2229&amp;" ~*")&gt;0)+(COUNTIF(W2208:W2225,$B2229)+COUNTIF(W2208:W2225,$B2229&amp;" ~*")&gt;0)+(COUNTIF(Y2208:Y2225,$B2229)+COUNTIF(Y2208:Y2225,$B2229&amp;" ~*")&gt;0))</f>
        <v/>
      </c>
      <c r="AC2229" s="36">
        <f>IF($B2229="","",(IFERROR(INDEX(Setup!$G$33:$G$40,MATCH(C2229,Setup!$B$33:$B$40,0)),0)=1)*(COUNTIF(C2208:E2225,$B2229)+COUNTIF(C2208:E2225,$B2229&amp;" ~*")&gt;0)+(IFERROR(INDEX(Setup!$G$33:$G$40,MATCH(G2229,Setup!$B$33:$B$40,0)),0)=1)*(COUNTIF(G2208:I2225,$B2229)+COUNTIF(G2208:I2225,$B2229&amp;" ~*")&gt;0)+(IFERROR(INDEX(Setup!$G$33:$G$40,MATCH(K2229,Setup!$B$33:$B$40,0)),0)=1)*(COUNTIF(K2208:M2225,$B2229)+COUNTIF(K2208:M2225,$B2229&amp;" ~*")&gt;0)+(IFERROR(INDEX(Setup!$G$33:$G$40,MATCH(O2229,Setup!$B$33:$B$40,0)),0)=1)*(COUNTIF(O2208:Q2225,$B2229)+COUNTIF(O2208:Q2225,$B2229&amp;" ~*")&gt;0)+(IFERROR(INDEX(Setup!$G$33:$G$40,MATCH(S2229,Setup!$B$33:$B$40,0)),0)=1)*(COUNTIF(S2208:U2225,$B2229)+COUNTIF(S2208:U2225,$B2229&amp;" ~*")&gt;0)+(IFERROR(INDEX(Setup!$G$33:$G$40,MATCH(W2229,Setup!$B$33:$B$40,0)),0)=1)*(COUNTIF(W2208:W2225,$B2229)+COUNTIF(W2208:W2225,$B2229&amp;" ~*")&gt;0)+(IFERROR(INDEX(Setup!$G$33:$G$40,MATCH(Y2229,Setup!$B$33:$B$40,0)),0)=1)*(COUNTIF(Y2208:Y2225,$B2229)+COUNTIF(Y2208:Y2225,$B2229&amp;" ~*")&gt;0))</f>
        <v/>
      </c>
    </row>
    <row r="2230" ht="15" customHeight="1">
      <c r="A2230" t="n">
        <v>45</v>
      </c>
      <c r="B2230" s="37">
        <f>IF(Setup!$B$9="","",Setup!$B$9)</f>
        <v/>
      </c>
      <c r="C2230" s="102" t="n"/>
      <c r="D2230" s="103" t="n"/>
      <c r="E2230" s="103" t="n"/>
      <c r="F2230" s="104" t="n"/>
      <c r="G2230" s="102" t="n"/>
      <c r="H2230" s="103" t="n"/>
      <c r="I2230" s="103" t="n"/>
      <c r="J2230" s="104" t="n"/>
      <c r="K2230" s="102" t="n"/>
      <c r="L2230" s="103" t="n"/>
      <c r="M2230" s="103" t="n"/>
      <c r="N2230" s="104" t="n"/>
      <c r="O2230" s="102" t="n"/>
      <c r="P2230" s="103" t="n"/>
      <c r="Q2230" s="103" t="n"/>
      <c r="R2230" s="104" t="n"/>
      <c r="S2230" s="102" t="n"/>
      <c r="T2230" s="103" t="n"/>
      <c r="U2230" s="103" t="n"/>
      <c r="V2230" s="104" t="n"/>
      <c r="W2230" s="102" t="n"/>
      <c r="X2230" s="104" t="n"/>
      <c r="Y2230" s="102" t="n"/>
      <c r="Z2230" s="104" t="n"/>
      <c r="AB2230" s="105">
        <f>IF($B2230="","",(COUNTIF(C2208:E2225,$B2230)+COUNTIF(C2208:E2225,$B2230&amp;" ~*")&gt;0)+(COUNTIF(G2208:I2225,$B2230)+COUNTIF(G2208:I2225,$B2230&amp;" ~*")&gt;0)+(COUNTIF(K2208:M2225,$B2230)+COUNTIF(K2208:M2225,$B2230&amp;" ~*")&gt;0)+(COUNTIF(O2208:Q2225,$B2230)+COUNTIF(O2208:Q2225,$B2230&amp;" ~*")&gt;0)+(COUNTIF(S2208:U2225,$B2230)+COUNTIF(S2208:U2225,$B2230&amp;" ~*")&gt;0)+(COUNTIF(W2208:W2225,$B2230)+COUNTIF(W2208:W2225,$B2230&amp;" ~*")&gt;0)+(COUNTIF(Y2208:Y2225,$B2230)+COUNTIF(Y2208:Y2225,$B2230&amp;" ~*")&gt;0))</f>
        <v/>
      </c>
      <c r="AC2230" s="38">
        <f>IF($B2230="","",(IFERROR(INDEX(Setup!$G$33:$G$40,MATCH(C2230,Setup!$B$33:$B$40,0)),0)=1)*(COUNTIF(C2208:E2225,$B2230)+COUNTIF(C2208:E2225,$B2230&amp;" ~*")&gt;0)+(IFERROR(INDEX(Setup!$G$33:$G$40,MATCH(G2230,Setup!$B$33:$B$40,0)),0)=1)*(COUNTIF(G2208:I2225,$B2230)+COUNTIF(G2208:I2225,$B2230&amp;" ~*")&gt;0)+(IFERROR(INDEX(Setup!$G$33:$G$40,MATCH(K2230,Setup!$B$33:$B$40,0)),0)=1)*(COUNTIF(K2208:M2225,$B2230)+COUNTIF(K2208:M2225,$B2230&amp;" ~*")&gt;0)+(IFERROR(INDEX(Setup!$G$33:$G$40,MATCH(O2230,Setup!$B$33:$B$40,0)),0)=1)*(COUNTIF(O2208:Q2225,$B2230)+COUNTIF(O2208:Q2225,$B2230&amp;" ~*")&gt;0)+(IFERROR(INDEX(Setup!$G$33:$G$40,MATCH(S2230,Setup!$B$33:$B$40,0)),0)=1)*(COUNTIF(S2208:U2225,$B2230)+COUNTIF(S2208:U2225,$B2230&amp;" ~*")&gt;0)+(IFERROR(INDEX(Setup!$G$33:$G$40,MATCH(W2230,Setup!$B$33:$B$40,0)),0)=1)*(COUNTIF(W2208:W2225,$B2230)+COUNTIF(W2208:W2225,$B2230&amp;" ~*")&gt;0)+(IFERROR(INDEX(Setup!$G$33:$G$40,MATCH(Y2230,Setup!$B$33:$B$40,0)),0)=1)*(COUNTIF(Y2208:Y2225,$B2230)+COUNTIF(Y2208:Y2225,$B2230&amp;" ~*")&gt;0))</f>
        <v/>
      </c>
    </row>
    <row r="2231" ht="15" customHeight="1">
      <c r="A2231" t="n">
        <v>45</v>
      </c>
      <c r="B2231" s="35">
        <f>IF(Setup!$B$10="","",Setup!$B$10)</f>
        <v/>
      </c>
      <c r="C2231" s="98" t="n"/>
      <c r="D2231" s="99" t="n"/>
      <c r="E2231" s="99" t="n"/>
      <c r="F2231" s="100" t="n"/>
      <c r="G2231" s="98" t="n"/>
      <c r="H2231" s="99" t="n"/>
      <c r="I2231" s="99" t="n"/>
      <c r="J2231" s="100" t="n"/>
      <c r="K2231" s="98" t="n"/>
      <c r="L2231" s="99" t="n"/>
      <c r="M2231" s="99" t="n"/>
      <c r="N2231" s="100" t="n"/>
      <c r="O2231" s="98" t="n"/>
      <c r="P2231" s="99" t="n"/>
      <c r="Q2231" s="99" t="n"/>
      <c r="R2231" s="100" t="n"/>
      <c r="S2231" s="98" t="n"/>
      <c r="T2231" s="99" t="n"/>
      <c r="U2231" s="99" t="n"/>
      <c r="V2231" s="100" t="n"/>
      <c r="W2231" s="98" t="n"/>
      <c r="X2231" s="100" t="n"/>
      <c r="Y2231" s="98" t="n"/>
      <c r="Z2231" s="100" t="n"/>
      <c r="AB2231" s="101">
        <f>IF($B2231="","",(COUNTIF(C2208:E2225,$B2231)+COUNTIF(C2208:E2225,$B2231&amp;" ~*")&gt;0)+(COUNTIF(G2208:I2225,$B2231)+COUNTIF(G2208:I2225,$B2231&amp;" ~*")&gt;0)+(COUNTIF(K2208:M2225,$B2231)+COUNTIF(K2208:M2225,$B2231&amp;" ~*")&gt;0)+(COUNTIF(O2208:Q2225,$B2231)+COUNTIF(O2208:Q2225,$B2231&amp;" ~*")&gt;0)+(COUNTIF(S2208:U2225,$B2231)+COUNTIF(S2208:U2225,$B2231&amp;" ~*")&gt;0)+(COUNTIF(W2208:W2225,$B2231)+COUNTIF(W2208:W2225,$B2231&amp;" ~*")&gt;0)+(COUNTIF(Y2208:Y2225,$B2231)+COUNTIF(Y2208:Y2225,$B2231&amp;" ~*")&gt;0))</f>
        <v/>
      </c>
      <c r="AC2231" s="36">
        <f>IF($B2231="","",(IFERROR(INDEX(Setup!$G$33:$G$40,MATCH(C2231,Setup!$B$33:$B$40,0)),0)=1)*(COUNTIF(C2208:E2225,$B2231)+COUNTIF(C2208:E2225,$B2231&amp;" ~*")&gt;0)+(IFERROR(INDEX(Setup!$G$33:$G$40,MATCH(G2231,Setup!$B$33:$B$40,0)),0)=1)*(COUNTIF(G2208:I2225,$B2231)+COUNTIF(G2208:I2225,$B2231&amp;" ~*")&gt;0)+(IFERROR(INDEX(Setup!$G$33:$G$40,MATCH(K2231,Setup!$B$33:$B$40,0)),0)=1)*(COUNTIF(K2208:M2225,$B2231)+COUNTIF(K2208:M2225,$B2231&amp;" ~*")&gt;0)+(IFERROR(INDEX(Setup!$G$33:$G$40,MATCH(O2231,Setup!$B$33:$B$40,0)),0)=1)*(COUNTIF(O2208:Q2225,$B2231)+COUNTIF(O2208:Q2225,$B2231&amp;" ~*")&gt;0)+(IFERROR(INDEX(Setup!$G$33:$G$40,MATCH(S2231,Setup!$B$33:$B$40,0)),0)=1)*(COUNTIF(S2208:U2225,$B2231)+COUNTIF(S2208:U2225,$B2231&amp;" ~*")&gt;0)+(IFERROR(INDEX(Setup!$G$33:$G$40,MATCH(W2231,Setup!$B$33:$B$40,0)),0)=1)*(COUNTIF(W2208:W2225,$B2231)+COUNTIF(W2208:W2225,$B2231&amp;" ~*")&gt;0)+(IFERROR(INDEX(Setup!$G$33:$G$40,MATCH(Y2231,Setup!$B$33:$B$40,0)),0)=1)*(COUNTIF(Y2208:Y2225,$B2231)+COUNTIF(Y2208:Y2225,$B2231&amp;" ~*")&gt;0))</f>
        <v/>
      </c>
    </row>
    <row r="2232" ht="15" customHeight="1">
      <c r="A2232" t="n">
        <v>45</v>
      </c>
      <c r="B2232" s="37">
        <f>IF(Setup!$B$11="","",Setup!$B$11)</f>
        <v/>
      </c>
      <c r="C2232" s="102" t="n"/>
      <c r="D2232" s="103" t="n"/>
      <c r="E2232" s="103" t="n"/>
      <c r="F2232" s="104" t="n"/>
      <c r="G2232" s="102" t="n"/>
      <c r="H2232" s="103" t="n"/>
      <c r="I2232" s="103" t="n"/>
      <c r="J2232" s="104" t="n"/>
      <c r="K2232" s="102" t="n"/>
      <c r="L2232" s="103" t="n"/>
      <c r="M2232" s="103" t="n"/>
      <c r="N2232" s="104" t="n"/>
      <c r="O2232" s="102" t="n"/>
      <c r="P2232" s="103" t="n"/>
      <c r="Q2232" s="103" t="n"/>
      <c r="R2232" s="104" t="n"/>
      <c r="S2232" s="102" t="n"/>
      <c r="T2232" s="103" t="n"/>
      <c r="U2232" s="103" t="n"/>
      <c r="V2232" s="104" t="n"/>
      <c r="W2232" s="102" t="n"/>
      <c r="X2232" s="104" t="n"/>
      <c r="Y2232" s="102" t="n"/>
      <c r="Z2232" s="104" t="n"/>
      <c r="AB2232" s="105">
        <f>IF($B2232="","",(COUNTIF(C2208:E2225,$B2232)+COUNTIF(C2208:E2225,$B2232&amp;" ~*")&gt;0)+(COUNTIF(G2208:I2225,$B2232)+COUNTIF(G2208:I2225,$B2232&amp;" ~*")&gt;0)+(COUNTIF(K2208:M2225,$B2232)+COUNTIF(K2208:M2225,$B2232&amp;" ~*")&gt;0)+(COUNTIF(O2208:Q2225,$B2232)+COUNTIF(O2208:Q2225,$B2232&amp;" ~*")&gt;0)+(COUNTIF(S2208:U2225,$B2232)+COUNTIF(S2208:U2225,$B2232&amp;" ~*")&gt;0)+(COUNTIF(W2208:W2225,$B2232)+COUNTIF(W2208:W2225,$B2232&amp;" ~*")&gt;0)+(COUNTIF(Y2208:Y2225,$B2232)+COUNTIF(Y2208:Y2225,$B2232&amp;" ~*")&gt;0))</f>
        <v/>
      </c>
      <c r="AC2232" s="38">
        <f>IF($B2232="","",(IFERROR(INDEX(Setup!$G$33:$G$40,MATCH(C2232,Setup!$B$33:$B$40,0)),0)=1)*(COUNTIF(C2208:E2225,$B2232)+COUNTIF(C2208:E2225,$B2232&amp;" ~*")&gt;0)+(IFERROR(INDEX(Setup!$G$33:$G$40,MATCH(G2232,Setup!$B$33:$B$40,0)),0)=1)*(COUNTIF(G2208:I2225,$B2232)+COUNTIF(G2208:I2225,$B2232&amp;" ~*")&gt;0)+(IFERROR(INDEX(Setup!$G$33:$G$40,MATCH(K2232,Setup!$B$33:$B$40,0)),0)=1)*(COUNTIF(K2208:M2225,$B2232)+COUNTIF(K2208:M2225,$B2232&amp;" ~*")&gt;0)+(IFERROR(INDEX(Setup!$G$33:$G$40,MATCH(O2232,Setup!$B$33:$B$40,0)),0)=1)*(COUNTIF(O2208:Q2225,$B2232)+COUNTIF(O2208:Q2225,$B2232&amp;" ~*")&gt;0)+(IFERROR(INDEX(Setup!$G$33:$G$40,MATCH(S2232,Setup!$B$33:$B$40,0)),0)=1)*(COUNTIF(S2208:U2225,$B2232)+COUNTIF(S2208:U2225,$B2232&amp;" ~*")&gt;0)+(IFERROR(INDEX(Setup!$G$33:$G$40,MATCH(W2232,Setup!$B$33:$B$40,0)),0)=1)*(COUNTIF(W2208:W2225,$B2232)+COUNTIF(W2208:W2225,$B2232&amp;" ~*")&gt;0)+(IFERROR(INDEX(Setup!$G$33:$G$40,MATCH(Y2232,Setup!$B$33:$B$40,0)),0)=1)*(COUNTIF(Y2208:Y2225,$B2232)+COUNTIF(Y2208:Y2225,$B2232&amp;" ~*")&gt;0))</f>
        <v/>
      </c>
    </row>
    <row r="2233" ht="15" customHeight="1">
      <c r="A2233" t="n">
        <v>45</v>
      </c>
      <c r="B2233" s="35">
        <f>IF(Setup!$B$12="","",Setup!$B$12)</f>
        <v/>
      </c>
      <c r="C2233" s="98" t="n"/>
      <c r="D2233" s="99" t="n"/>
      <c r="E2233" s="99" t="n"/>
      <c r="F2233" s="100" t="n"/>
      <c r="G2233" s="98" t="n"/>
      <c r="H2233" s="99" t="n"/>
      <c r="I2233" s="99" t="n"/>
      <c r="J2233" s="100" t="n"/>
      <c r="K2233" s="98" t="n"/>
      <c r="L2233" s="99" t="n"/>
      <c r="M2233" s="99" t="n"/>
      <c r="N2233" s="100" t="n"/>
      <c r="O2233" s="98" t="n"/>
      <c r="P2233" s="99" t="n"/>
      <c r="Q2233" s="99" t="n"/>
      <c r="R2233" s="100" t="n"/>
      <c r="S2233" s="98" t="n"/>
      <c r="T2233" s="99" t="n"/>
      <c r="U2233" s="99" t="n"/>
      <c r="V2233" s="100" t="n"/>
      <c r="W2233" s="98" t="n"/>
      <c r="X2233" s="100" t="n"/>
      <c r="Y2233" s="98" t="n"/>
      <c r="Z2233" s="100" t="n"/>
      <c r="AB2233" s="101">
        <f>IF($B2233="","",(COUNTIF(C2208:E2225,$B2233)+COUNTIF(C2208:E2225,$B2233&amp;" ~*")&gt;0)+(COUNTIF(G2208:I2225,$B2233)+COUNTIF(G2208:I2225,$B2233&amp;" ~*")&gt;0)+(COUNTIF(K2208:M2225,$B2233)+COUNTIF(K2208:M2225,$B2233&amp;" ~*")&gt;0)+(COUNTIF(O2208:Q2225,$B2233)+COUNTIF(O2208:Q2225,$B2233&amp;" ~*")&gt;0)+(COUNTIF(S2208:U2225,$B2233)+COUNTIF(S2208:U2225,$B2233&amp;" ~*")&gt;0)+(COUNTIF(W2208:W2225,$B2233)+COUNTIF(W2208:W2225,$B2233&amp;" ~*")&gt;0)+(COUNTIF(Y2208:Y2225,$B2233)+COUNTIF(Y2208:Y2225,$B2233&amp;" ~*")&gt;0))</f>
        <v/>
      </c>
      <c r="AC2233" s="36">
        <f>IF($B2233="","",(IFERROR(INDEX(Setup!$G$33:$G$40,MATCH(C2233,Setup!$B$33:$B$40,0)),0)=1)*(COUNTIF(C2208:E2225,$B2233)+COUNTIF(C2208:E2225,$B2233&amp;" ~*")&gt;0)+(IFERROR(INDEX(Setup!$G$33:$G$40,MATCH(G2233,Setup!$B$33:$B$40,0)),0)=1)*(COUNTIF(G2208:I2225,$B2233)+COUNTIF(G2208:I2225,$B2233&amp;" ~*")&gt;0)+(IFERROR(INDEX(Setup!$G$33:$G$40,MATCH(K2233,Setup!$B$33:$B$40,0)),0)=1)*(COUNTIF(K2208:M2225,$B2233)+COUNTIF(K2208:M2225,$B2233&amp;" ~*")&gt;0)+(IFERROR(INDEX(Setup!$G$33:$G$40,MATCH(O2233,Setup!$B$33:$B$40,0)),0)=1)*(COUNTIF(O2208:Q2225,$B2233)+COUNTIF(O2208:Q2225,$B2233&amp;" ~*")&gt;0)+(IFERROR(INDEX(Setup!$G$33:$G$40,MATCH(S2233,Setup!$B$33:$B$40,0)),0)=1)*(COUNTIF(S2208:U2225,$B2233)+COUNTIF(S2208:U2225,$B2233&amp;" ~*")&gt;0)+(IFERROR(INDEX(Setup!$G$33:$G$40,MATCH(W2233,Setup!$B$33:$B$40,0)),0)=1)*(COUNTIF(W2208:W2225,$B2233)+COUNTIF(W2208:W2225,$B2233&amp;" ~*")&gt;0)+(IFERROR(INDEX(Setup!$G$33:$G$40,MATCH(Y2233,Setup!$B$33:$B$40,0)),0)=1)*(COUNTIF(Y2208:Y2225,$B2233)+COUNTIF(Y2208:Y2225,$B2233&amp;" ~*")&gt;0))</f>
        <v/>
      </c>
    </row>
    <row r="2234" ht="15" customHeight="1">
      <c r="A2234" t="n">
        <v>45</v>
      </c>
      <c r="B2234" s="37">
        <f>IF(Setup!$B$13="","",Setup!$B$13)</f>
        <v/>
      </c>
      <c r="C2234" s="102" t="inlineStr">
        <is>
          <t>AL</t>
        </is>
      </c>
      <c r="D2234" s="103" t="n"/>
      <c r="E2234" s="103" t="n"/>
      <c r="F2234" s="104" t="n"/>
      <c r="G2234" s="102" t="inlineStr">
        <is>
          <t>AL</t>
        </is>
      </c>
      <c r="H2234" s="103" t="n"/>
      <c r="I2234" s="103" t="n"/>
      <c r="J2234" s="104" t="n"/>
      <c r="K2234" s="102" t="inlineStr">
        <is>
          <t>AL</t>
        </is>
      </c>
      <c r="L2234" s="103" t="n"/>
      <c r="M2234" s="103" t="n"/>
      <c r="N2234" s="104" t="n"/>
      <c r="O2234" s="102" t="inlineStr">
        <is>
          <t>AL</t>
        </is>
      </c>
      <c r="P2234" s="103" t="n"/>
      <c r="Q2234" s="103" t="n"/>
      <c r="R2234" s="104" t="n"/>
      <c r="S2234" s="102" t="inlineStr">
        <is>
          <t>AL</t>
        </is>
      </c>
      <c r="T2234" s="103" t="n"/>
      <c r="U2234" s="103" t="n"/>
      <c r="V2234" s="104" t="n"/>
      <c r="W2234" s="102" t="n"/>
      <c r="X2234" s="104" t="n"/>
      <c r="Y2234" s="102" t="n"/>
      <c r="Z2234" s="104" t="n"/>
      <c r="AB2234" s="105">
        <f>IF($B2234="","",(COUNTIF(C2208:E2225,$B2234)+COUNTIF(C2208:E2225,$B2234&amp;" ~*")&gt;0)+(COUNTIF(G2208:I2225,$B2234)+COUNTIF(G2208:I2225,$B2234&amp;" ~*")&gt;0)+(COUNTIF(K2208:M2225,$B2234)+COUNTIF(K2208:M2225,$B2234&amp;" ~*")&gt;0)+(COUNTIF(O2208:Q2225,$B2234)+COUNTIF(O2208:Q2225,$B2234&amp;" ~*")&gt;0)+(COUNTIF(S2208:U2225,$B2234)+COUNTIF(S2208:U2225,$B2234&amp;" ~*")&gt;0)+(COUNTIF(W2208:W2225,$B2234)+COUNTIF(W2208:W2225,$B2234&amp;" ~*")&gt;0)+(COUNTIF(Y2208:Y2225,$B2234)+COUNTIF(Y2208:Y2225,$B2234&amp;" ~*")&gt;0))</f>
        <v/>
      </c>
      <c r="AC2234" s="38">
        <f>IF($B2234="","",(IFERROR(INDEX(Setup!$G$33:$G$40,MATCH(C2234,Setup!$B$33:$B$40,0)),0)=1)*(COUNTIF(C2208:E2225,$B2234)+COUNTIF(C2208:E2225,$B2234&amp;" ~*")&gt;0)+(IFERROR(INDEX(Setup!$G$33:$G$40,MATCH(G2234,Setup!$B$33:$B$40,0)),0)=1)*(COUNTIF(G2208:I2225,$B2234)+COUNTIF(G2208:I2225,$B2234&amp;" ~*")&gt;0)+(IFERROR(INDEX(Setup!$G$33:$G$40,MATCH(K2234,Setup!$B$33:$B$40,0)),0)=1)*(COUNTIF(K2208:M2225,$B2234)+COUNTIF(K2208:M2225,$B2234&amp;" ~*")&gt;0)+(IFERROR(INDEX(Setup!$G$33:$G$40,MATCH(O2234,Setup!$B$33:$B$40,0)),0)=1)*(COUNTIF(O2208:Q2225,$B2234)+COUNTIF(O2208:Q2225,$B2234&amp;" ~*")&gt;0)+(IFERROR(INDEX(Setup!$G$33:$G$40,MATCH(S2234,Setup!$B$33:$B$40,0)),0)=1)*(COUNTIF(S2208:U2225,$B2234)+COUNTIF(S2208:U2225,$B2234&amp;" ~*")&gt;0)+(IFERROR(INDEX(Setup!$G$33:$G$40,MATCH(W2234,Setup!$B$33:$B$40,0)),0)=1)*(COUNTIF(W2208:W2225,$B2234)+COUNTIF(W2208:W2225,$B2234&amp;" ~*")&gt;0)+(IFERROR(INDEX(Setup!$G$33:$G$40,MATCH(Y2234,Setup!$B$33:$B$40,0)),0)=1)*(COUNTIF(Y2208:Y2225,$B2234)+COUNTIF(Y2208:Y2225,$B2234&amp;" ~*")&gt;0))</f>
        <v/>
      </c>
    </row>
    <row r="2235" ht="15" customHeight="1">
      <c r="A2235" t="n">
        <v>45</v>
      </c>
      <c r="B2235" s="35">
        <f>IF(Setup!$B$14="","",Setup!$B$14)</f>
        <v/>
      </c>
      <c r="C2235" s="98" t="n"/>
      <c r="D2235" s="99" t="n"/>
      <c r="E2235" s="99" t="n"/>
      <c r="F2235" s="100" t="n"/>
      <c r="G2235" s="98" t="n"/>
      <c r="H2235" s="99" t="n"/>
      <c r="I2235" s="99" t="n"/>
      <c r="J2235" s="100" t="n"/>
      <c r="K2235" s="98" t="n"/>
      <c r="L2235" s="99" t="n"/>
      <c r="M2235" s="99" t="n"/>
      <c r="N2235" s="100" t="n"/>
      <c r="O2235" s="98" t="n"/>
      <c r="P2235" s="99" t="n"/>
      <c r="Q2235" s="99" t="n"/>
      <c r="R2235" s="100" t="n"/>
      <c r="S2235" s="98" t="n"/>
      <c r="T2235" s="99" t="n"/>
      <c r="U2235" s="99" t="n"/>
      <c r="V2235" s="100" t="n"/>
      <c r="W2235" s="98" t="n"/>
      <c r="X2235" s="100" t="n"/>
      <c r="Y2235" s="98" t="n"/>
      <c r="Z2235" s="100" t="n"/>
      <c r="AB2235" s="101">
        <f>IF($B2235="","",(COUNTIF(C2208:E2225,$B2235)+COUNTIF(C2208:E2225,$B2235&amp;" ~*")&gt;0)+(COUNTIF(G2208:I2225,$B2235)+COUNTIF(G2208:I2225,$B2235&amp;" ~*")&gt;0)+(COUNTIF(K2208:M2225,$B2235)+COUNTIF(K2208:M2225,$B2235&amp;" ~*")&gt;0)+(COUNTIF(O2208:Q2225,$B2235)+COUNTIF(O2208:Q2225,$B2235&amp;" ~*")&gt;0)+(COUNTIF(S2208:U2225,$B2235)+COUNTIF(S2208:U2225,$B2235&amp;" ~*")&gt;0)+(COUNTIF(W2208:W2225,$B2235)+COUNTIF(W2208:W2225,$B2235&amp;" ~*")&gt;0)+(COUNTIF(Y2208:Y2225,$B2235)+COUNTIF(Y2208:Y2225,$B2235&amp;" ~*")&gt;0))</f>
        <v/>
      </c>
      <c r="AC2235" s="36">
        <f>IF($B2235="","",(IFERROR(INDEX(Setup!$G$33:$G$40,MATCH(C2235,Setup!$B$33:$B$40,0)),0)=1)*(COUNTIF(C2208:E2225,$B2235)+COUNTIF(C2208:E2225,$B2235&amp;" ~*")&gt;0)+(IFERROR(INDEX(Setup!$G$33:$G$40,MATCH(G2235,Setup!$B$33:$B$40,0)),0)=1)*(COUNTIF(G2208:I2225,$B2235)+COUNTIF(G2208:I2225,$B2235&amp;" ~*")&gt;0)+(IFERROR(INDEX(Setup!$G$33:$G$40,MATCH(K2235,Setup!$B$33:$B$40,0)),0)=1)*(COUNTIF(K2208:M2225,$B2235)+COUNTIF(K2208:M2225,$B2235&amp;" ~*")&gt;0)+(IFERROR(INDEX(Setup!$G$33:$G$40,MATCH(O2235,Setup!$B$33:$B$40,0)),0)=1)*(COUNTIF(O2208:Q2225,$B2235)+COUNTIF(O2208:Q2225,$B2235&amp;" ~*")&gt;0)+(IFERROR(INDEX(Setup!$G$33:$G$40,MATCH(S2235,Setup!$B$33:$B$40,0)),0)=1)*(COUNTIF(S2208:U2225,$B2235)+COUNTIF(S2208:U2225,$B2235&amp;" ~*")&gt;0)+(IFERROR(INDEX(Setup!$G$33:$G$40,MATCH(W2235,Setup!$B$33:$B$40,0)),0)=1)*(COUNTIF(W2208:W2225,$B2235)+COUNTIF(W2208:W2225,$B2235&amp;" ~*")&gt;0)+(IFERROR(INDEX(Setup!$G$33:$G$40,MATCH(Y2235,Setup!$B$33:$B$40,0)),0)=1)*(COUNTIF(Y2208:Y2225,$B2235)+COUNTIF(Y2208:Y2225,$B2235&amp;" ~*")&gt;0))</f>
        <v/>
      </c>
    </row>
    <row r="2236" ht="15" customHeight="1">
      <c r="A2236" t="n">
        <v>45</v>
      </c>
      <c r="B2236" s="37">
        <f>IF(Setup!$B$15="","",Setup!$B$15)</f>
        <v/>
      </c>
      <c r="C2236" s="102" t="n"/>
      <c r="D2236" s="103" t="n"/>
      <c r="E2236" s="103" t="n"/>
      <c r="F2236" s="104" t="n"/>
      <c r="G2236" s="102" t="n"/>
      <c r="H2236" s="103" t="n"/>
      <c r="I2236" s="103" t="n"/>
      <c r="J2236" s="104" t="n"/>
      <c r="K2236" s="102" t="n"/>
      <c r="L2236" s="103" t="n"/>
      <c r="M2236" s="103" t="n"/>
      <c r="N2236" s="104" t="n"/>
      <c r="O2236" s="102" t="n"/>
      <c r="P2236" s="103" t="n"/>
      <c r="Q2236" s="103" t="n"/>
      <c r="R2236" s="104" t="n"/>
      <c r="S2236" s="102" t="n"/>
      <c r="T2236" s="103" t="n"/>
      <c r="U2236" s="103" t="n"/>
      <c r="V2236" s="104" t="n"/>
      <c r="W2236" s="102" t="n"/>
      <c r="X2236" s="104" t="n"/>
      <c r="Y2236" s="102" t="n"/>
      <c r="Z2236" s="104" t="n"/>
      <c r="AB2236" s="105">
        <f>IF($B2236="","",(COUNTIF(C2208:E2225,$B2236)+COUNTIF(C2208:E2225,$B2236&amp;" ~*")&gt;0)+(COUNTIF(G2208:I2225,$B2236)+COUNTIF(G2208:I2225,$B2236&amp;" ~*")&gt;0)+(COUNTIF(K2208:M2225,$B2236)+COUNTIF(K2208:M2225,$B2236&amp;" ~*")&gt;0)+(COUNTIF(O2208:Q2225,$B2236)+COUNTIF(O2208:Q2225,$B2236&amp;" ~*")&gt;0)+(COUNTIF(S2208:U2225,$B2236)+COUNTIF(S2208:U2225,$B2236&amp;" ~*")&gt;0)+(COUNTIF(W2208:W2225,$B2236)+COUNTIF(W2208:W2225,$B2236&amp;" ~*")&gt;0)+(COUNTIF(Y2208:Y2225,$B2236)+COUNTIF(Y2208:Y2225,$B2236&amp;" ~*")&gt;0))</f>
        <v/>
      </c>
      <c r="AC2236" s="38">
        <f>IF($B2236="","",(IFERROR(INDEX(Setup!$G$33:$G$40,MATCH(C2236,Setup!$B$33:$B$40,0)),0)=1)*(COUNTIF(C2208:E2225,$B2236)+COUNTIF(C2208:E2225,$B2236&amp;" ~*")&gt;0)+(IFERROR(INDEX(Setup!$G$33:$G$40,MATCH(G2236,Setup!$B$33:$B$40,0)),0)=1)*(COUNTIF(G2208:I2225,$B2236)+COUNTIF(G2208:I2225,$B2236&amp;" ~*")&gt;0)+(IFERROR(INDEX(Setup!$G$33:$G$40,MATCH(K2236,Setup!$B$33:$B$40,0)),0)=1)*(COUNTIF(K2208:M2225,$B2236)+COUNTIF(K2208:M2225,$B2236&amp;" ~*")&gt;0)+(IFERROR(INDEX(Setup!$G$33:$G$40,MATCH(O2236,Setup!$B$33:$B$40,0)),0)=1)*(COUNTIF(O2208:Q2225,$B2236)+COUNTIF(O2208:Q2225,$B2236&amp;" ~*")&gt;0)+(IFERROR(INDEX(Setup!$G$33:$G$40,MATCH(S2236,Setup!$B$33:$B$40,0)),0)=1)*(COUNTIF(S2208:U2225,$B2236)+COUNTIF(S2208:U2225,$B2236&amp;" ~*")&gt;0)+(IFERROR(INDEX(Setup!$G$33:$G$40,MATCH(W2236,Setup!$B$33:$B$40,0)),0)=1)*(COUNTIF(W2208:W2225,$B2236)+COUNTIF(W2208:W2225,$B2236&amp;" ~*")&gt;0)+(IFERROR(INDEX(Setup!$G$33:$G$40,MATCH(Y2236,Setup!$B$33:$B$40,0)),0)=1)*(COUNTIF(Y2208:Y2225,$B2236)+COUNTIF(Y2208:Y2225,$B2236&amp;" ~*")&gt;0))</f>
        <v/>
      </c>
    </row>
    <row r="2237" ht="15" customHeight="1">
      <c r="A2237" t="n">
        <v>45</v>
      </c>
      <c r="B2237" s="35">
        <f>IF(Setup!$B$16="","",Setup!$B$16)</f>
        <v/>
      </c>
      <c r="C2237" s="98" t="n"/>
      <c r="D2237" s="99" t="n"/>
      <c r="E2237" s="99" t="n"/>
      <c r="F2237" s="100" t="n"/>
      <c r="G2237" s="98" t="n"/>
      <c r="H2237" s="99" t="n"/>
      <c r="I2237" s="99" t="n"/>
      <c r="J2237" s="100" t="n"/>
      <c r="K2237" s="98" t="n"/>
      <c r="L2237" s="99" t="n"/>
      <c r="M2237" s="99" t="n"/>
      <c r="N2237" s="100" t="n"/>
      <c r="O2237" s="98" t="n"/>
      <c r="P2237" s="99" t="n"/>
      <c r="Q2237" s="99" t="n"/>
      <c r="R2237" s="100" t="n"/>
      <c r="S2237" s="98" t="n"/>
      <c r="T2237" s="99" t="n"/>
      <c r="U2237" s="99" t="n"/>
      <c r="V2237" s="100" t="n"/>
      <c r="W2237" s="98" t="n"/>
      <c r="X2237" s="100" t="n"/>
      <c r="Y2237" s="98" t="n"/>
      <c r="Z2237" s="100" t="n"/>
      <c r="AB2237" s="101">
        <f>IF($B2237="","",(COUNTIF(C2208:E2225,$B2237)+COUNTIF(C2208:E2225,$B2237&amp;" ~*")&gt;0)+(COUNTIF(G2208:I2225,$B2237)+COUNTIF(G2208:I2225,$B2237&amp;" ~*")&gt;0)+(COUNTIF(K2208:M2225,$B2237)+COUNTIF(K2208:M2225,$B2237&amp;" ~*")&gt;0)+(COUNTIF(O2208:Q2225,$B2237)+COUNTIF(O2208:Q2225,$B2237&amp;" ~*")&gt;0)+(COUNTIF(S2208:U2225,$B2237)+COUNTIF(S2208:U2225,$B2237&amp;" ~*")&gt;0)+(COUNTIF(W2208:W2225,$B2237)+COUNTIF(W2208:W2225,$B2237&amp;" ~*")&gt;0)+(COUNTIF(Y2208:Y2225,$B2237)+COUNTIF(Y2208:Y2225,$B2237&amp;" ~*")&gt;0))</f>
        <v/>
      </c>
      <c r="AC2237" s="36">
        <f>IF($B2237="","",(IFERROR(INDEX(Setup!$G$33:$G$40,MATCH(C2237,Setup!$B$33:$B$40,0)),0)=1)*(COUNTIF(C2208:E2225,$B2237)+COUNTIF(C2208:E2225,$B2237&amp;" ~*")&gt;0)+(IFERROR(INDEX(Setup!$G$33:$G$40,MATCH(G2237,Setup!$B$33:$B$40,0)),0)=1)*(COUNTIF(G2208:I2225,$B2237)+COUNTIF(G2208:I2225,$B2237&amp;" ~*")&gt;0)+(IFERROR(INDEX(Setup!$G$33:$G$40,MATCH(K2237,Setup!$B$33:$B$40,0)),0)=1)*(COUNTIF(K2208:M2225,$B2237)+COUNTIF(K2208:M2225,$B2237&amp;" ~*")&gt;0)+(IFERROR(INDEX(Setup!$G$33:$G$40,MATCH(O2237,Setup!$B$33:$B$40,0)),0)=1)*(COUNTIF(O2208:Q2225,$B2237)+COUNTIF(O2208:Q2225,$B2237&amp;" ~*")&gt;0)+(IFERROR(INDEX(Setup!$G$33:$G$40,MATCH(S2237,Setup!$B$33:$B$40,0)),0)=1)*(COUNTIF(S2208:U2225,$B2237)+COUNTIF(S2208:U2225,$B2237&amp;" ~*")&gt;0)+(IFERROR(INDEX(Setup!$G$33:$G$40,MATCH(W2237,Setup!$B$33:$B$40,0)),0)=1)*(COUNTIF(W2208:W2225,$B2237)+COUNTIF(W2208:W2225,$B2237&amp;" ~*")&gt;0)+(IFERROR(INDEX(Setup!$G$33:$G$40,MATCH(Y2237,Setup!$B$33:$B$40,0)),0)=1)*(COUNTIF(Y2208:Y2225,$B2237)+COUNTIF(Y2208:Y2225,$B2237&amp;" ~*")&gt;0))</f>
        <v/>
      </c>
    </row>
    <row r="2238" ht="15" customHeight="1">
      <c r="A2238" t="n">
        <v>45</v>
      </c>
      <c r="B2238" s="37">
        <f>IF(Setup!$B$17="","",Setup!$B$17)</f>
        <v/>
      </c>
      <c r="C2238" s="102" t="n"/>
      <c r="D2238" s="103" t="n"/>
      <c r="E2238" s="103" t="n"/>
      <c r="F2238" s="104" t="n"/>
      <c r="G2238" s="102" t="n"/>
      <c r="H2238" s="103" t="n"/>
      <c r="I2238" s="103" t="n"/>
      <c r="J2238" s="104" t="n"/>
      <c r="K2238" s="102" t="n"/>
      <c r="L2238" s="103" t="n"/>
      <c r="M2238" s="103" t="n"/>
      <c r="N2238" s="104" t="n"/>
      <c r="O2238" s="102" t="n"/>
      <c r="P2238" s="103" t="n"/>
      <c r="Q2238" s="103" t="n"/>
      <c r="R2238" s="104" t="n"/>
      <c r="S2238" s="102" t="n"/>
      <c r="T2238" s="103" t="n"/>
      <c r="U2238" s="103" t="n"/>
      <c r="V2238" s="104" t="n"/>
      <c r="W2238" s="102" t="n"/>
      <c r="X2238" s="104" t="n"/>
      <c r="Y2238" s="102" t="n"/>
      <c r="Z2238" s="104" t="n"/>
      <c r="AB2238" s="105">
        <f>IF($B2238="","",(COUNTIF(C2208:E2225,$B2238)+COUNTIF(C2208:E2225,$B2238&amp;" ~*")&gt;0)+(COUNTIF(G2208:I2225,$B2238)+COUNTIF(G2208:I2225,$B2238&amp;" ~*")&gt;0)+(COUNTIF(K2208:M2225,$B2238)+COUNTIF(K2208:M2225,$B2238&amp;" ~*")&gt;0)+(COUNTIF(O2208:Q2225,$B2238)+COUNTIF(O2208:Q2225,$B2238&amp;" ~*")&gt;0)+(COUNTIF(S2208:U2225,$B2238)+COUNTIF(S2208:U2225,$B2238&amp;" ~*")&gt;0)+(COUNTIF(W2208:W2225,$B2238)+COUNTIF(W2208:W2225,$B2238&amp;" ~*")&gt;0)+(COUNTIF(Y2208:Y2225,$B2238)+COUNTIF(Y2208:Y2225,$B2238&amp;" ~*")&gt;0))</f>
        <v/>
      </c>
      <c r="AC2238" s="38">
        <f>IF($B2238="","",(IFERROR(INDEX(Setup!$G$33:$G$40,MATCH(C2238,Setup!$B$33:$B$40,0)),0)=1)*(COUNTIF(C2208:E2225,$B2238)+COUNTIF(C2208:E2225,$B2238&amp;" ~*")&gt;0)+(IFERROR(INDEX(Setup!$G$33:$G$40,MATCH(G2238,Setup!$B$33:$B$40,0)),0)=1)*(COUNTIF(G2208:I2225,$B2238)+COUNTIF(G2208:I2225,$B2238&amp;" ~*")&gt;0)+(IFERROR(INDEX(Setup!$G$33:$G$40,MATCH(K2238,Setup!$B$33:$B$40,0)),0)=1)*(COUNTIF(K2208:M2225,$B2238)+COUNTIF(K2208:M2225,$B2238&amp;" ~*")&gt;0)+(IFERROR(INDEX(Setup!$G$33:$G$40,MATCH(O2238,Setup!$B$33:$B$40,0)),0)=1)*(COUNTIF(O2208:Q2225,$B2238)+COUNTIF(O2208:Q2225,$B2238&amp;" ~*")&gt;0)+(IFERROR(INDEX(Setup!$G$33:$G$40,MATCH(S2238,Setup!$B$33:$B$40,0)),0)=1)*(COUNTIF(S2208:U2225,$B2238)+COUNTIF(S2208:U2225,$B2238&amp;" ~*")&gt;0)+(IFERROR(INDEX(Setup!$G$33:$G$40,MATCH(W2238,Setup!$B$33:$B$40,0)),0)=1)*(COUNTIF(W2208:W2225,$B2238)+COUNTIF(W2208:W2225,$B2238&amp;" ~*")&gt;0)+(IFERROR(INDEX(Setup!$G$33:$G$40,MATCH(Y2238,Setup!$B$33:$B$40,0)),0)=1)*(COUNTIF(Y2208:Y2225,$B2238)+COUNTIF(Y2208:Y2225,$B2238&amp;" ~*")&gt;0))</f>
        <v/>
      </c>
    </row>
    <row r="2239" ht="15" customHeight="1">
      <c r="A2239" t="n">
        <v>45</v>
      </c>
      <c r="B2239" s="35">
        <f>IF(Setup!$B$18="","",Setup!$B$18)</f>
        <v/>
      </c>
      <c r="C2239" s="98" t="n"/>
      <c r="D2239" s="99" t="n"/>
      <c r="E2239" s="99" t="n"/>
      <c r="F2239" s="100" t="n"/>
      <c r="G2239" s="98" t="n"/>
      <c r="H2239" s="99" t="n"/>
      <c r="I2239" s="99" t="n"/>
      <c r="J2239" s="100" t="n"/>
      <c r="K2239" s="98" t="n"/>
      <c r="L2239" s="99" t="n"/>
      <c r="M2239" s="99" t="n"/>
      <c r="N2239" s="100" t="n"/>
      <c r="O2239" s="98" t="n"/>
      <c r="P2239" s="99" t="n"/>
      <c r="Q2239" s="99" t="n"/>
      <c r="R2239" s="100" t="n"/>
      <c r="S2239" s="98" t="n"/>
      <c r="T2239" s="99" t="n"/>
      <c r="U2239" s="99" t="n"/>
      <c r="V2239" s="100" t="n"/>
      <c r="W2239" s="98" t="n"/>
      <c r="X2239" s="100" t="n"/>
      <c r="Y2239" s="98" t="n"/>
      <c r="Z2239" s="100" t="n"/>
      <c r="AB2239" s="101">
        <f>IF($B2239="","",(COUNTIF(C2208:E2225,$B2239)+COUNTIF(C2208:E2225,$B2239&amp;" ~*")&gt;0)+(COUNTIF(G2208:I2225,$B2239)+COUNTIF(G2208:I2225,$B2239&amp;" ~*")&gt;0)+(COUNTIF(K2208:M2225,$B2239)+COUNTIF(K2208:M2225,$B2239&amp;" ~*")&gt;0)+(COUNTIF(O2208:Q2225,$B2239)+COUNTIF(O2208:Q2225,$B2239&amp;" ~*")&gt;0)+(COUNTIF(S2208:U2225,$B2239)+COUNTIF(S2208:U2225,$B2239&amp;" ~*")&gt;0)+(COUNTIF(W2208:W2225,$B2239)+COUNTIF(W2208:W2225,$B2239&amp;" ~*")&gt;0)+(COUNTIF(Y2208:Y2225,$B2239)+COUNTIF(Y2208:Y2225,$B2239&amp;" ~*")&gt;0))</f>
        <v/>
      </c>
      <c r="AC2239" s="36">
        <f>IF($B2239="","",(IFERROR(INDEX(Setup!$G$33:$G$40,MATCH(C2239,Setup!$B$33:$B$40,0)),0)=1)*(COUNTIF(C2208:E2225,$B2239)+COUNTIF(C2208:E2225,$B2239&amp;" ~*")&gt;0)+(IFERROR(INDEX(Setup!$G$33:$G$40,MATCH(G2239,Setup!$B$33:$B$40,0)),0)=1)*(COUNTIF(G2208:I2225,$B2239)+COUNTIF(G2208:I2225,$B2239&amp;" ~*")&gt;0)+(IFERROR(INDEX(Setup!$G$33:$G$40,MATCH(K2239,Setup!$B$33:$B$40,0)),0)=1)*(COUNTIF(K2208:M2225,$B2239)+COUNTIF(K2208:M2225,$B2239&amp;" ~*")&gt;0)+(IFERROR(INDEX(Setup!$G$33:$G$40,MATCH(O2239,Setup!$B$33:$B$40,0)),0)=1)*(COUNTIF(O2208:Q2225,$B2239)+COUNTIF(O2208:Q2225,$B2239&amp;" ~*")&gt;0)+(IFERROR(INDEX(Setup!$G$33:$G$40,MATCH(S2239,Setup!$B$33:$B$40,0)),0)=1)*(COUNTIF(S2208:U2225,$B2239)+COUNTIF(S2208:U2225,$B2239&amp;" ~*")&gt;0)+(IFERROR(INDEX(Setup!$G$33:$G$40,MATCH(W2239,Setup!$B$33:$B$40,0)),0)=1)*(COUNTIF(W2208:W2225,$B2239)+COUNTIF(W2208:W2225,$B2239&amp;" ~*")&gt;0)+(IFERROR(INDEX(Setup!$G$33:$G$40,MATCH(Y2239,Setup!$B$33:$B$40,0)),0)=1)*(COUNTIF(Y2208:Y2225,$B2239)+COUNTIF(Y2208:Y2225,$B2239&amp;" ~*")&gt;0))</f>
        <v/>
      </c>
    </row>
    <row r="2240" ht="15" customHeight="1">
      <c r="A2240" t="n">
        <v>45</v>
      </c>
      <c r="B2240" s="37">
        <f>IF(Setup!$B$19="","",Setup!$B$19)</f>
        <v/>
      </c>
      <c r="C2240" s="102" t="n"/>
      <c r="D2240" s="103" t="n"/>
      <c r="E2240" s="103" t="n"/>
      <c r="F2240" s="104" t="n"/>
      <c r="G2240" s="102" t="n"/>
      <c r="H2240" s="103" t="n"/>
      <c r="I2240" s="103" t="n"/>
      <c r="J2240" s="104" t="n"/>
      <c r="K2240" s="102" t="n"/>
      <c r="L2240" s="103" t="n"/>
      <c r="M2240" s="103" t="n"/>
      <c r="N2240" s="104" t="n"/>
      <c r="O2240" s="102" t="n"/>
      <c r="P2240" s="103" t="n"/>
      <c r="Q2240" s="103" t="n"/>
      <c r="R2240" s="104" t="n"/>
      <c r="S2240" s="102" t="n"/>
      <c r="T2240" s="103" t="n"/>
      <c r="U2240" s="103" t="n"/>
      <c r="V2240" s="104" t="n"/>
      <c r="W2240" s="102" t="n"/>
      <c r="X2240" s="104" t="n"/>
      <c r="Y2240" s="102" t="n"/>
      <c r="Z2240" s="104" t="n"/>
      <c r="AB2240" s="105">
        <f>IF($B2240="","",(COUNTIF(C2208:E2225,$B2240)+COUNTIF(C2208:E2225,$B2240&amp;" ~*")&gt;0)+(COUNTIF(G2208:I2225,$B2240)+COUNTIF(G2208:I2225,$B2240&amp;" ~*")&gt;0)+(COUNTIF(K2208:M2225,$B2240)+COUNTIF(K2208:M2225,$B2240&amp;" ~*")&gt;0)+(COUNTIF(O2208:Q2225,$B2240)+COUNTIF(O2208:Q2225,$B2240&amp;" ~*")&gt;0)+(COUNTIF(S2208:U2225,$B2240)+COUNTIF(S2208:U2225,$B2240&amp;" ~*")&gt;0)+(COUNTIF(W2208:W2225,$B2240)+COUNTIF(W2208:W2225,$B2240&amp;" ~*")&gt;0)+(COUNTIF(Y2208:Y2225,$B2240)+COUNTIF(Y2208:Y2225,$B2240&amp;" ~*")&gt;0))</f>
        <v/>
      </c>
      <c r="AC2240" s="38">
        <f>IF($B2240="","",(IFERROR(INDEX(Setup!$G$33:$G$40,MATCH(C2240,Setup!$B$33:$B$40,0)),0)=1)*(COUNTIF(C2208:E2225,$B2240)+COUNTIF(C2208:E2225,$B2240&amp;" ~*")&gt;0)+(IFERROR(INDEX(Setup!$G$33:$G$40,MATCH(G2240,Setup!$B$33:$B$40,0)),0)=1)*(COUNTIF(G2208:I2225,$B2240)+COUNTIF(G2208:I2225,$B2240&amp;" ~*")&gt;0)+(IFERROR(INDEX(Setup!$G$33:$G$40,MATCH(K2240,Setup!$B$33:$B$40,0)),0)=1)*(COUNTIF(K2208:M2225,$B2240)+COUNTIF(K2208:M2225,$B2240&amp;" ~*")&gt;0)+(IFERROR(INDEX(Setup!$G$33:$G$40,MATCH(O2240,Setup!$B$33:$B$40,0)),0)=1)*(COUNTIF(O2208:Q2225,$B2240)+COUNTIF(O2208:Q2225,$B2240&amp;" ~*")&gt;0)+(IFERROR(INDEX(Setup!$G$33:$G$40,MATCH(S2240,Setup!$B$33:$B$40,0)),0)=1)*(COUNTIF(S2208:U2225,$B2240)+COUNTIF(S2208:U2225,$B2240&amp;" ~*")&gt;0)+(IFERROR(INDEX(Setup!$G$33:$G$40,MATCH(W2240,Setup!$B$33:$B$40,0)),0)=1)*(COUNTIF(W2208:W2225,$B2240)+COUNTIF(W2208:W2225,$B2240&amp;" ~*")&gt;0)+(IFERROR(INDEX(Setup!$G$33:$G$40,MATCH(Y2240,Setup!$B$33:$B$40,0)),0)=1)*(COUNTIF(Y2208:Y2225,$B2240)+COUNTIF(Y2208:Y2225,$B2240&amp;" ~*")&gt;0))</f>
        <v/>
      </c>
    </row>
    <row r="2241" ht="15" customHeight="1">
      <c r="A2241" t="n">
        <v>45</v>
      </c>
      <c r="B2241" s="35">
        <f>IF(Setup!$B$20="","",Setup!$B$20)</f>
        <v/>
      </c>
      <c r="C2241" s="98" t="n"/>
      <c r="D2241" s="99" t="n"/>
      <c r="E2241" s="99" t="n"/>
      <c r="F2241" s="100" t="n"/>
      <c r="G2241" s="98" t="n"/>
      <c r="H2241" s="99" t="n"/>
      <c r="I2241" s="99" t="n"/>
      <c r="J2241" s="100" t="n"/>
      <c r="K2241" s="98" t="n"/>
      <c r="L2241" s="99" t="n"/>
      <c r="M2241" s="99" t="n"/>
      <c r="N2241" s="100" t="n"/>
      <c r="O2241" s="98" t="n"/>
      <c r="P2241" s="99" t="n"/>
      <c r="Q2241" s="99" t="n"/>
      <c r="R2241" s="100" t="n"/>
      <c r="S2241" s="98" t="n"/>
      <c r="T2241" s="99" t="n"/>
      <c r="U2241" s="99" t="n"/>
      <c r="V2241" s="100" t="n"/>
      <c r="W2241" s="98" t="n"/>
      <c r="X2241" s="100" t="n"/>
      <c r="Y2241" s="98" t="n"/>
      <c r="Z2241" s="100" t="n"/>
      <c r="AB2241" s="101">
        <f>IF($B2241="","",(COUNTIF(C2208:E2225,$B2241)+COUNTIF(C2208:E2225,$B2241&amp;" ~*")&gt;0)+(COUNTIF(G2208:I2225,$B2241)+COUNTIF(G2208:I2225,$B2241&amp;" ~*")&gt;0)+(COUNTIF(K2208:M2225,$B2241)+COUNTIF(K2208:M2225,$B2241&amp;" ~*")&gt;0)+(COUNTIF(O2208:Q2225,$B2241)+COUNTIF(O2208:Q2225,$B2241&amp;" ~*")&gt;0)+(COUNTIF(S2208:U2225,$B2241)+COUNTIF(S2208:U2225,$B2241&amp;" ~*")&gt;0)+(COUNTIF(W2208:W2225,$B2241)+COUNTIF(W2208:W2225,$B2241&amp;" ~*")&gt;0)+(COUNTIF(Y2208:Y2225,$B2241)+COUNTIF(Y2208:Y2225,$B2241&amp;" ~*")&gt;0))</f>
        <v/>
      </c>
      <c r="AC2241" s="36">
        <f>IF($B2241="","",(IFERROR(INDEX(Setup!$G$33:$G$40,MATCH(C2241,Setup!$B$33:$B$40,0)),0)=1)*(COUNTIF(C2208:E2225,$B2241)+COUNTIF(C2208:E2225,$B2241&amp;" ~*")&gt;0)+(IFERROR(INDEX(Setup!$G$33:$G$40,MATCH(G2241,Setup!$B$33:$B$40,0)),0)=1)*(COUNTIF(G2208:I2225,$B2241)+COUNTIF(G2208:I2225,$B2241&amp;" ~*")&gt;0)+(IFERROR(INDEX(Setup!$G$33:$G$40,MATCH(K2241,Setup!$B$33:$B$40,0)),0)=1)*(COUNTIF(K2208:M2225,$B2241)+COUNTIF(K2208:M2225,$B2241&amp;" ~*")&gt;0)+(IFERROR(INDEX(Setup!$G$33:$G$40,MATCH(O2241,Setup!$B$33:$B$40,0)),0)=1)*(COUNTIF(O2208:Q2225,$B2241)+COUNTIF(O2208:Q2225,$B2241&amp;" ~*")&gt;0)+(IFERROR(INDEX(Setup!$G$33:$G$40,MATCH(S2241,Setup!$B$33:$B$40,0)),0)=1)*(COUNTIF(S2208:U2225,$B2241)+COUNTIF(S2208:U2225,$B2241&amp;" ~*")&gt;0)+(IFERROR(INDEX(Setup!$G$33:$G$40,MATCH(W2241,Setup!$B$33:$B$40,0)),0)=1)*(COUNTIF(W2208:W2225,$B2241)+COUNTIF(W2208:W2225,$B2241&amp;" ~*")&gt;0)+(IFERROR(INDEX(Setup!$G$33:$G$40,MATCH(Y2241,Setup!$B$33:$B$40,0)),0)=1)*(COUNTIF(Y2208:Y2225,$B2241)+COUNTIF(Y2208:Y2225,$B2241&amp;" ~*")&gt;0))</f>
        <v/>
      </c>
    </row>
    <row r="2242" ht="15" customHeight="1">
      <c r="A2242" t="n">
        <v>45</v>
      </c>
      <c r="B2242" s="37">
        <f>IF(Setup!$B$21="","",Setup!$B$21)</f>
        <v/>
      </c>
      <c r="C2242" s="102" t="n"/>
      <c r="D2242" s="103" t="n"/>
      <c r="E2242" s="103" t="n"/>
      <c r="F2242" s="104" t="n"/>
      <c r="G2242" s="102" t="n"/>
      <c r="H2242" s="103" t="n"/>
      <c r="I2242" s="103" t="n"/>
      <c r="J2242" s="104" t="n"/>
      <c r="K2242" s="102" t="n"/>
      <c r="L2242" s="103" t="n"/>
      <c r="M2242" s="103" t="n"/>
      <c r="N2242" s="104" t="n"/>
      <c r="O2242" s="102" t="n"/>
      <c r="P2242" s="103" t="n"/>
      <c r="Q2242" s="103" t="n"/>
      <c r="R2242" s="104" t="n"/>
      <c r="S2242" s="102" t="n"/>
      <c r="T2242" s="103" t="n"/>
      <c r="U2242" s="103" t="n"/>
      <c r="V2242" s="104" t="n"/>
      <c r="W2242" s="102" t="n"/>
      <c r="X2242" s="104" t="n"/>
      <c r="Y2242" s="102" t="n"/>
      <c r="Z2242" s="104" t="n"/>
      <c r="AB2242" s="105">
        <f>IF($B2242="","",(COUNTIF(C2208:E2225,$B2242)+COUNTIF(C2208:E2225,$B2242&amp;" ~*")&gt;0)+(COUNTIF(G2208:I2225,$B2242)+COUNTIF(G2208:I2225,$B2242&amp;" ~*")&gt;0)+(COUNTIF(K2208:M2225,$B2242)+COUNTIF(K2208:M2225,$B2242&amp;" ~*")&gt;0)+(COUNTIF(O2208:Q2225,$B2242)+COUNTIF(O2208:Q2225,$B2242&amp;" ~*")&gt;0)+(COUNTIF(S2208:U2225,$B2242)+COUNTIF(S2208:U2225,$B2242&amp;" ~*")&gt;0)+(COUNTIF(W2208:W2225,$B2242)+COUNTIF(W2208:W2225,$B2242&amp;" ~*")&gt;0)+(COUNTIF(Y2208:Y2225,$B2242)+COUNTIF(Y2208:Y2225,$B2242&amp;" ~*")&gt;0))</f>
        <v/>
      </c>
      <c r="AC2242" s="38">
        <f>IF($B2242="","",(IFERROR(INDEX(Setup!$G$33:$G$40,MATCH(C2242,Setup!$B$33:$B$40,0)),0)=1)*(COUNTIF(C2208:E2225,$B2242)+COUNTIF(C2208:E2225,$B2242&amp;" ~*")&gt;0)+(IFERROR(INDEX(Setup!$G$33:$G$40,MATCH(G2242,Setup!$B$33:$B$40,0)),0)=1)*(COUNTIF(G2208:I2225,$B2242)+COUNTIF(G2208:I2225,$B2242&amp;" ~*")&gt;0)+(IFERROR(INDEX(Setup!$G$33:$G$40,MATCH(K2242,Setup!$B$33:$B$40,0)),0)=1)*(COUNTIF(K2208:M2225,$B2242)+COUNTIF(K2208:M2225,$B2242&amp;" ~*")&gt;0)+(IFERROR(INDEX(Setup!$G$33:$G$40,MATCH(O2242,Setup!$B$33:$B$40,0)),0)=1)*(COUNTIF(O2208:Q2225,$B2242)+COUNTIF(O2208:Q2225,$B2242&amp;" ~*")&gt;0)+(IFERROR(INDEX(Setup!$G$33:$G$40,MATCH(S2242,Setup!$B$33:$B$40,0)),0)=1)*(COUNTIF(S2208:U2225,$B2242)+COUNTIF(S2208:U2225,$B2242&amp;" ~*")&gt;0)+(IFERROR(INDEX(Setup!$G$33:$G$40,MATCH(W2242,Setup!$B$33:$B$40,0)),0)=1)*(COUNTIF(W2208:W2225,$B2242)+COUNTIF(W2208:W2225,$B2242&amp;" ~*")&gt;0)+(IFERROR(INDEX(Setup!$G$33:$G$40,MATCH(Y2242,Setup!$B$33:$B$40,0)),0)=1)*(COUNTIF(Y2208:Y2225,$B2242)+COUNTIF(Y2208:Y2225,$B2242&amp;" ~*")&gt;0))</f>
        <v/>
      </c>
    </row>
    <row r="2243" ht="15" customHeight="1">
      <c r="A2243" t="n">
        <v>45</v>
      </c>
      <c r="B2243" s="35">
        <f>IF(Setup!$B$22="","",Setup!$B$22)</f>
        <v/>
      </c>
      <c r="C2243" s="98" t="n"/>
      <c r="D2243" s="99" t="n"/>
      <c r="E2243" s="99" t="n"/>
      <c r="F2243" s="100" t="n"/>
      <c r="G2243" s="98" t="n"/>
      <c r="H2243" s="99" t="n"/>
      <c r="I2243" s="99" t="n"/>
      <c r="J2243" s="100" t="n"/>
      <c r="K2243" s="98" t="n"/>
      <c r="L2243" s="99" t="n"/>
      <c r="M2243" s="99" t="n"/>
      <c r="N2243" s="100" t="n"/>
      <c r="O2243" s="98" t="n"/>
      <c r="P2243" s="99" t="n"/>
      <c r="Q2243" s="99" t="n"/>
      <c r="R2243" s="100" t="n"/>
      <c r="S2243" s="98" t="n"/>
      <c r="T2243" s="99" t="n"/>
      <c r="U2243" s="99" t="n"/>
      <c r="V2243" s="100" t="n"/>
      <c r="W2243" s="98" t="n"/>
      <c r="X2243" s="100" t="n"/>
      <c r="Y2243" s="98" t="n"/>
      <c r="Z2243" s="100" t="n"/>
      <c r="AB2243" s="101">
        <f>IF($B2243="","",(COUNTIF(C2208:E2225,$B2243)+COUNTIF(C2208:E2225,$B2243&amp;" ~*")&gt;0)+(COUNTIF(G2208:I2225,$B2243)+COUNTIF(G2208:I2225,$B2243&amp;" ~*")&gt;0)+(COUNTIF(K2208:M2225,$B2243)+COUNTIF(K2208:M2225,$B2243&amp;" ~*")&gt;0)+(COUNTIF(O2208:Q2225,$B2243)+COUNTIF(O2208:Q2225,$B2243&amp;" ~*")&gt;0)+(COUNTIF(S2208:U2225,$B2243)+COUNTIF(S2208:U2225,$B2243&amp;" ~*")&gt;0)+(COUNTIF(W2208:W2225,$B2243)+COUNTIF(W2208:W2225,$B2243&amp;" ~*")&gt;0)+(COUNTIF(Y2208:Y2225,$B2243)+COUNTIF(Y2208:Y2225,$B2243&amp;" ~*")&gt;0))</f>
        <v/>
      </c>
      <c r="AC2243" s="36">
        <f>IF($B2243="","",(IFERROR(INDEX(Setup!$G$33:$G$40,MATCH(C2243,Setup!$B$33:$B$40,0)),0)=1)*(COUNTIF(C2208:E2225,$B2243)+COUNTIF(C2208:E2225,$B2243&amp;" ~*")&gt;0)+(IFERROR(INDEX(Setup!$G$33:$G$40,MATCH(G2243,Setup!$B$33:$B$40,0)),0)=1)*(COUNTIF(G2208:I2225,$B2243)+COUNTIF(G2208:I2225,$B2243&amp;" ~*")&gt;0)+(IFERROR(INDEX(Setup!$G$33:$G$40,MATCH(K2243,Setup!$B$33:$B$40,0)),0)=1)*(COUNTIF(K2208:M2225,$B2243)+COUNTIF(K2208:M2225,$B2243&amp;" ~*")&gt;0)+(IFERROR(INDEX(Setup!$G$33:$G$40,MATCH(O2243,Setup!$B$33:$B$40,0)),0)=1)*(COUNTIF(O2208:Q2225,$B2243)+COUNTIF(O2208:Q2225,$B2243&amp;" ~*")&gt;0)+(IFERROR(INDEX(Setup!$G$33:$G$40,MATCH(S2243,Setup!$B$33:$B$40,0)),0)=1)*(COUNTIF(S2208:U2225,$B2243)+COUNTIF(S2208:U2225,$B2243&amp;" ~*")&gt;0)+(IFERROR(INDEX(Setup!$G$33:$G$40,MATCH(W2243,Setup!$B$33:$B$40,0)),0)=1)*(COUNTIF(W2208:W2225,$B2243)+COUNTIF(W2208:W2225,$B2243&amp;" ~*")&gt;0)+(IFERROR(INDEX(Setup!$G$33:$G$40,MATCH(Y2243,Setup!$B$33:$B$40,0)),0)=1)*(COUNTIF(Y2208:Y2225,$B2243)+COUNTIF(Y2208:Y2225,$B2243&amp;" ~*")&gt;0))</f>
        <v/>
      </c>
    </row>
    <row r="2244" ht="15" customHeight="1">
      <c r="A2244" t="n">
        <v>45</v>
      </c>
      <c r="B2244" s="37">
        <f>IF(Setup!$B$23="","",Setup!$B$23)</f>
        <v/>
      </c>
      <c r="C2244" s="102" t="n"/>
      <c r="D2244" s="103" t="n"/>
      <c r="E2244" s="103" t="n"/>
      <c r="F2244" s="104" t="n"/>
      <c r="G2244" s="102" t="n"/>
      <c r="H2244" s="103" t="n"/>
      <c r="I2244" s="103" t="n"/>
      <c r="J2244" s="104" t="n"/>
      <c r="K2244" s="102" t="n"/>
      <c r="L2244" s="103" t="n"/>
      <c r="M2244" s="103" t="n"/>
      <c r="N2244" s="104" t="n"/>
      <c r="O2244" s="102" t="n"/>
      <c r="P2244" s="103" t="n"/>
      <c r="Q2244" s="103" t="n"/>
      <c r="R2244" s="104" t="n"/>
      <c r="S2244" s="102" t="n"/>
      <c r="T2244" s="103" t="n"/>
      <c r="U2244" s="103" t="n"/>
      <c r="V2244" s="104" t="n"/>
      <c r="W2244" s="102" t="n"/>
      <c r="X2244" s="104" t="n"/>
      <c r="Y2244" s="102" t="n"/>
      <c r="Z2244" s="104" t="n"/>
      <c r="AB2244" s="105">
        <f>IF($B2244="","",(COUNTIF(C2208:E2225,$B2244)+COUNTIF(C2208:E2225,$B2244&amp;" ~*")&gt;0)+(COUNTIF(G2208:I2225,$B2244)+COUNTIF(G2208:I2225,$B2244&amp;" ~*")&gt;0)+(COUNTIF(K2208:M2225,$B2244)+COUNTIF(K2208:M2225,$B2244&amp;" ~*")&gt;0)+(COUNTIF(O2208:Q2225,$B2244)+COUNTIF(O2208:Q2225,$B2244&amp;" ~*")&gt;0)+(COUNTIF(S2208:U2225,$B2244)+COUNTIF(S2208:U2225,$B2244&amp;" ~*")&gt;0)+(COUNTIF(W2208:W2225,$B2244)+COUNTIF(W2208:W2225,$B2244&amp;" ~*")&gt;0)+(COUNTIF(Y2208:Y2225,$B2244)+COUNTIF(Y2208:Y2225,$B2244&amp;" ~*")&gt;0))</f>
        <v/>
      </c>
      <c r="AC2244" s="38">
        <f>IF($B2244="","",(IFERROR(INDEX(Setup!$G$33:$G$40,MATCH(C2244,Setup!$B$33:$B$40,0)),0)=1)*(COUNTIF(C2208:E2225,$B2244)+COUNTIF(C2208:E2225,$B2244&amp;" ~*")&gt;0)+(IFERROR(INDEX(Setup!$G$33:$G$40,MATCH(G2244,Setup!$B$33:$B$40,0)),0)=1)*(COUNTIF(G2208:I2225,$B2244)+COUNTIF(G2208:I2225,$B2244&amp;" ~*")&gt;0)+(IFERROR(INDEX(Setup!$G$33:$G$40,MATCH(K2244,Setup!$B$33:$B$40,0)),0)=1)*(COUNTIF(K2208:M2225,$B2244)+COUNTIF(K2208:M2225,$B2244&amp;" ~*")&gt;0)+(IFERROR(INDEX(Setup!$G$33:$G$40,MATCH(O2244,Setup!$B$33:$B$40,0)),0)=1)*(COUNTIF(O2208:Q2225,$B2244)+COUNTIF(O2208:Q2225,$B2244&amp;" ~*")&gt;0)+(IFERROR(INDEX(Setup!$G$33:$G$40,MATCH(S2244,Setup!$B$33:$B$40,0)),0)=1)*(COUNTIF(S2208:U2225,$B2244)+COUNTIF(S2208:U2225,$B2244&amp;" ~*")&gt;0)+(IFERROR(INDEX(Setup!$G$33:$G$40,MATCH(W2244,Setup!$B$33:$B$40,0)),0)=1)*(COUNTIF(W2208:W2225,$B2244)+COUNTIF(W2208:W2225,$B2244&amp;" ~*")&gt;0)+(IFERROR(INDEX(Setup!$G$33:$G$40,MATCH(Y2244,Setup!$B$33:$B$40,0)),0)=1)*(COUNTIF(Y2208:Y2225,$B2244)+COUNTIF(Y2208:Y2225,$B2244&amp;" ~*")&gt;0))</f>
        <v/>
      </c>
    </row>
    <row r="2245" ht="15" customHeight="1">
      <c r="A2245" t="n">
        <v>45</v>
      </c>
      <c r="B2245" s="35">
        <f>IF(Setup!$B$24="","",Setup!$B$24)</f>
        <v/>
      </c>
      <c r="C2245" s="98" t="n"/>
      <c r="D2245" s="99" t="n"/>
      <c r="E2245" s="99" t="n"/>
      <c r="F2245" s="100" t="n"/>
      <c r="G2245" s="98" t="n"/>
      <c r="H2245" s="99" t="n"/>
      <c r="I2245" s="99" t="n"/>
      <c r="J2245" s="100" t="n"/>
      <c r="K2245" s="98" t="n"/>
      <c r="L2245" s="99" t="n"/>
      <c r="M2245" s="99" t="n"/>
      <c r="N2245" s="100" t="n"/>
      <c r="O2245" s="98" t="n"/>
      <c r="P2245" s="99" t="n"/>
      <c r="Q2245" s="99" t="n"/>
      <c r="R2245" s="100" t="n"/>
      <c r="S2245" s="98" t="n"/>
      <c r="T2245" s="99" t="n"/>
      <c r="U2245" s="99" t="n"/>
      <c r="V2245" s="100" t="n"/>
      <c r="W2245" s="98" t="n"/>
      <c r="X2245" s="100" t="n"/>
      <c r="Y2245" s="98" t="n"/>
      <c r="Z2245" s="100" t="n"/>
      <c r="AB2245" s="101">
        <f>IF($B2245="","",(COUNTIF(C2208:E2225,$B2245)+COUNTIF(C2208:E2225,$B2245&amp;" ~*")&gt;0)+(COUNTIF(G2208:I2225,$B2245)+COUNTIF(G2208:I2225,$B2245&amp;" ~*")&gt;0)+(COUNTIF(K2208:M2225,$B2245)+COUNTIF(K2208:M2225,$B2245&amp;" ~*")&gt;0)+(COUNTIF(O2208:Q2225,$B2245)+COUNTIF(O2208:Q2225,$B2245&amp;" ~*")&gt;0)+(COUNTIF(S2208:U2225,$B2245)+COUNTIF(S2208:U2225,$B2245&amp;" ~*")&gt;0)+(COUNTIF(W2208:W2225,$B2245)+COUNTIF(W2208:W2225,$B2245&amp;" ~*")&gt;0)+(COUNTIF(Y2208:Y2225,$B2245)+COUNTIF(Y2208:Y2225,$B2245&amp;" ~*")&gt;0))</f>
        <v/>
      </c>
      <c r="AC2245" s="36">
        <f>IF($B2245="","",(IFERROR(INDEX(Setup!$G$33:$G$40,MATCH(C2245,Setup!$B$33:$B$40,0)),0)=1)*(COUNTIF(C2208:E2225,$B2245)+COUNTIF(C2208:E2225,$B2245&amp;" ~*")&gt;0)+(IFERROR(INDEX(Setup!$G$33:$G$40,MATCH(G2245,Setup!$B$33:$B$40,0)),0)=1)*(COUNTIF(G2208:I2225,$B2245)+COUNTIF(G2208:I2225,$B2245&amp;" ~*")&gt;0)+(IFERROR(INDEX(Setup!$G$33:$G$40,MATCH(K2245,Setup!$B$33:$B$40,0)),0)=1)*(COUNTIF(K2208:M2225,$B2245)+COUNTIF(K2208:M2225,$B2245&amp;" ~*")&gt;0)+(IFERROR(INDEX(Setup!$G$33:$G$40,MATCH(O2245,Setup!$B$33:$B$40,0)),0)=1)*(COUNTIF(O2208:Q2225,$B2245)+COUNTIF(O2208:Q2225,$B2245&amp;" ~*")&gt;0)+(IFERROR(INDEX(Setup!$G$33:$G$40,MATCH(S2245,Setup!$B$33:$B$40,0)),0)=1)*(COUNTIF(S2208:U2225,$B2245)+COUNTIF(S2208:U2225,$B2245&amp;" ~*")&gt;0)+(IFERROR(INDEX(Setup!$G$33:$G$40,MATCH(W2245,Setup!$B$33:$B$40,0)),0)=1)*(COUNTIF(W2208:W2225,$B2245)+COUNTIF(W2208:W2225,$B2245&amp;" ~*")&gt;0)+(IFERROR(INDEX(Setup!$G$33:$G$40,MATCH(Y2245,Setup!$B$33:$B$40,0)),0)=1)*(COUNTIF(Y2208:Y2225,$B2245)+COUNTIF(Y2208:Y2225,$B2245&amp;" ~*")&gt;0))</f>
        <v/>
      </c>
    </row>
    <row r="2246" ht="15" customHeight="1">
      <c r="A2246" t="n">
        <v>45</v>
      </c>
      <c r="B2246" s="37">
        <f>IF(Setup!$B$25="","",Setup!$B$25)</f>
        <v/>
      </c>
      <c r="C2246" s="102" t="n"/>
      <c r="D2246" s="103" t="n"/>
      <c r="E2246" s="103" t="n"/>
      <c r="F2246" s="104" t="n"/>
      <c r="G2246" s="102" t="n"/>
      <c r="H2246" s="103" t="n"/>
      <c r="I2246" s="103" t="n"/>
      <c r="J2246" s="104" t="n"/>
      <c r="K2246" s="102" t="n"/>
      <c r="L2246" s="103" t="n"/>
      <c r="M2246" s="103" t="n"/>
      <c r="N2246" s="104" t="n"/>
      <c r="O2246" s="102" t="n"/>
      <c r="P2246" s="103" t="n"/>
      <c r="Q2246" s="103" t="n"/>
      <c r="R2246" s="104" t="n"/>
      <c r="S2246" s="102" t="n"/>
      <c r="T2246" s="103" t="n"/>
      <c r="U2246" s="103" t="n"/>
      <c r="V2246" s="104" t="n"/>
      <c r="W2246" s="102" t="n"/>
      <c r="X2246" s="104" t="n"/>
      <c r="Y2246" s="102" t="n"/>
      <c r="Z2246" s="104" t="n"/>
      <c r="AB2246" s="105">
        <f>IF($B2246="","",(COUNTIF(C2208:E2225,$B2246)+COUNTIF(C2208:E2225,$B2246&amp;" ~*")&gt;0)+(COUNTIF(G2208:I2225,$B2246)+COUNTIF(G2208:I2225,$B2246&amp;" ~*")&gt;0)+(COUNTIF(K2208:M2225,$B2246)+COUNTIF(K2208:M2225,$B2246&amp;" ~*")&gt;0)+(COUNTIF(O2208:Q2225,$B2246)+COUNTIF(O2208:Q2225,$B2246&amp;" ~*")&gt;0)+(COUNTIF(S2208:U2225,$B2246)+COUNTIF(S2208:U2225,$B2246&amp;" ~*")&gt;0)+(COUNTIF(W2208:W2225,$B2246)+COUNTIF(W2208:W2225,$B2246&amp;" ~*")&gt;0)+(COUNTIF(Y2208:Y2225,$B2246)+COUNTIF(Y2208:Y2225,$B2246&amp;" ~*")&gt;0))</f>
        <v/>
      </c>
      <c r="AC2246" s="38">
        <f>IF($B2246="","",(IFERROR(INDEX(Setup!$G$33:$G$40,MATCH(C2246,Setup!$B$33:$B$40,0)),0)=1)*(COUNTIF(C2208:E2225,$B2246)+COUNTIF(C2208:E2225,$B2246&amp;" ~*")&gt;0)+(IFERROR(INDEX(Setup!$G$33:$G$40,MATCH(G2246,Setup!$B$33:$B$40,0)),0)=1)*(COUNTIF(G2208:I2225,$B2246)+COUNTIF(G2208:I2225,$B2246&amp;" ~*")&gt;0)+(IFERROR(INDEX(Setup!$G$33:$G$40,MATCH(K2246,Setup!$B$33:$B$40,0)),0)=1)*(COUNTIF(K2208:M2225,$B2246)+COUNTIF(K2208:M2225,$B2246&amp;" ~*")&gt;0)+(IFERROR(INDEX(Setup!$G$33:$G$40,MATCH(O2246,Setup!$B$33:$B$40,0)),0)=1)*(COUNTIF(O2208:Q2225,$B2246)+COUNTIF(O2208:Q2225,$B2246&amp;" ~*")&gt;0)+(IFERROR(INDEX(Setup!$G$33:$G$40,MATCH(S2246,Setup!$B$33:$B$40,0)),0)=1)*(COUNTIF(S2208:U2225,$B2246)+COUNTIF(S2208:U2225,$B2246&amp;" ~*")&gt;0)+(IFERROR(INDEX(Setup!$G$33:$G$40,MATCH(W2246,Setup!$B$33:$B$40,0)),0)=1)*(COUNTIF(W2208:W2225,$B2246)+COUNTIF(W2208:W2225,$B2246&amp;" ~*")&gt;0)+(IFERROR(INDEX(Setup!$G$33:$G$40,MATCH(Y2246,Setup!$B$33:$B$40,0)),0)=1)*(COUNTIF(Y2208:Y2225,$B2246)+COUNTIF(Y2208:Y2225,$B2246&amp;" ~*")&gt;0))</f>
        <v/>
      </c>
    </row>
    <row r="2247" ht="15" customHeight="1">
      <c r="A2247" t="n">
        <v>45</v>
      </c>
      <c r="B2247" s="35">
        <f>IF(Setup!$B$26="","",Setup!$B$26)</f>
        <v/>
      </c>
      <c r="C2247" s="98" t="n"/>
      <c r="D2247" s="99" t="n"/>
      <c r="E2247" s="99" t="n"/>
      <c r="F2247" s="100" t="n"/>
      <c r="G2247" s="98" t="n"/>
      <c r="H2247" s="99" t="n"/>
      <c r="I2247" s="99" t="n"/>
      <c r="J2247" s="100" t="n"/>
      <c r="K2247" s="98" t="n"/>
      <c r="L2247" s="99" t="n"/>
      <c r="M2247" s="99" t="n"/>
      <c r="N2247" s="100" t="n"/>
      <c r="O2247" s="98" t="n"/>
      <c r="P2247" s="99" t="n"/>
      <c r="Q2247" s="99" t="n"/>
      <c r="R2247" s="100" t="n"/>
      <c r="S2247" s="98" t="n"/>
      <c r="T2247" s="99" t="n"/>
      <c r="U2247" s="99" t="n"/>
      <c r="V2247" s="100" t="n"/>
      <c r="W2247" s="98" t="n"/>
      <c r="X2247" s="100" t="n"/>
      <c r="Y2247" s="98" t="n"/>
      <c r="Z2247" s="100" t="n"/>
      <c r="AB2247" s="101">
        <f>IF($B2247="","",(COUNTIF(C2208:E2225,$B2247)+COUNTIF(C2208:E2225,$B2247&amp;" ~*")&gt;0)+(COUNTIF(G2208:I2225,$B2247)+COUNTIF(G2208:I2225,$B2247&amp;" ~*")&gt;0)+(COUNTIF(K2208:M2225,$B2247)+COUNTIF(K2208:M2225,$B2247&amp;" ~*")&gt;0)+(COUNTIF(O2208:Q2225,$B2247)+COUNTIF(O2208:Q2225,$B2247&amp;" ~*")&gt;0)+(COUNTIF(S2208:U2225,$B2247)+COUNTIF(S2208:U2225,$B2247&amp;" ~*")&gt;0)+(COUNTIF(W2208:W2225,$B2247)+COUNTIF(W2208:W2225,$B2247&amp;" ~*")&gt;0)+(COUNTIF(Y2208:Y2225,$B2247)+COUNTIF(Y2208:Y2225,$B2247&amp;" ~*")&gt;0))</f>
        <v/>
      </c>
      <c r="AC2247" s="36">
        <f>IF($B2247="","",(IFERROR(INDEX(Setup!$G$33:$G$40,MATCH(C2247,Setup!$B$33:$B$40,0)),0)=1)*(COUNTIF(C2208:E2225,$B2247)+COUNTIF(C2208:E2225,$B2247&amp;" ~*")&gt;0)+(IFERROR(INDEX(Setup!$G$33:$G$40,MATCH(G2247,Setup!$B$33:$B$40,0)),0)=1)*(COUNTIF(G2208:I2225,$B2247)+COUNTIF(G2208:I2225,$B2247&amp;" ~*")&gt;0)+(IFERROR(INDEX(Setup!$G$33:$G$40,MATCH(K2247,Setup!$B$33:$B$40,0)),0)=1)*(COUNTIF(K2208:M2225,$B2247)+COUNTIF(K2208:M2225,$B2247&amp;" ~*")&gt;0)+(IFERROR(INDEX(Setup!$G$33:$G$40,MATCH(O2247,Setup!$B$33:$B$40,0)),0)=1)*(COUNTIF(O2208:Q2225,$B2247)+COUNTIF(O2208:Q2225,$B2247&amp;" ~*")&gt;0)+(IFERROR(INDEX(Setup!$G$33:$G$40,MATCH(S2247,Setup!$B$33:$B$40,0)),0)=1)*(COUNTIF(S2208:U2225,$B2247)+COUNTIF(S2208:U2225,$B2247&amp;" ~*")&gt;0)+(IFERROR(INDEX(Setup!$G$33:$G$40,MATCH(W2247,Setup!$B$33:$B$40,0)),0)=1)*(COUNTIF(W2208:W2225,$B2247)+COUNTIF(W2208:W2225,$B2247&amp;" ~*")&gt;0)+(IFERROR(INDEX(Setup!$G$33:$G$40,MATCH(Y2247,Setup!$B$33:$B$40,0)),0)=1)*(COUNTIF(Y2208:Y2225,$B2247)+COUNTIF(Y2208:Y2225,$B2247&amp;" ~*")&gt;0))</f>
        <v/>
      </c>
    </row>
    <row r="2248" ht="15" customHeight="1">
      <c r="A2248" t="n">
        <v>45</v>
      </c>
      <c r="B2248" s="37">
        <f>IF(Setup!$B$27="","",Setup!$B$27)</f>
        <v/>
      </c>
      <c r="C2248" s="102" t="n"/>
      <c r="D2248" s="103" t="n"/>
      <c r="E2248" s="103" t="n"/>
      <c r="F2248" s="104" t="n"/>
      <c r="G2248" s="102" t="n"/>
      <c r="H2248" s="103" t="n"/>
      <c r="I2248" s="103" t="n"/>
      <c r="J2248" s="104" t="n"/>
      <c r="K2248" s="102" t="n"/>
      <c r="L2248" s="103" t="n"/>
      <c r="M2248" s="103" t="n"/>
      <c r="N2248" s="104" t="n"/>
      <c r="O2248" s="102" t="n"/>
      <c r="P2248" s="103" t="n"/>
      <c r="Q2248" s="103" t="n"/>
      <c r="R2248" s="104" t="n"/>
      <c r="S2248" s="102" t="n"/>
      <c r="T2248" s="103" t="n"/>
      <c r="U2248" s="103" t="n"/>
      <c r="V2248" s="104" t="n"/>
      <c r="W2248" s="102" t="n"/>
      <c r="X2248" s="104" t="n"/>
      <c r="Y2248" s="102" t="n"/>
      <c r="Z2248" s="104" t="n"/>
      <c r="AB2248" s="105">
        <f>IF($B2248="","",(COUNTIF(C2208:E2225,$B2248)+COUNTIF(C2208:E2225,$B2248&amp;" ~*")&gt;0)+(COUNTIF(G2208:I2225,$B2248)+COUNTIF(G2208:I2225,$B2248&amp;" ~*")&gt;0)+(COUNTIF(K2208:M2225,$B2248)+COUNTIF(K2208:M2225,$B2248&amp;" ~*")&gt;0)+(COUNTIF(O2208:Q2225,$B2248)+COUNTIF(O2208:Q2225,$B2248&amp;" ~*")&gt;0)+(COUNTIF(S2208:U2225,$B2248)+COUNTIF(S2208:U2225,$B2248&amp;" ~*")&gt;0)+(COUNTIF(W2208:W2225,$B2248)+COUNTIF(W2208:W2225,$B2248&amp;" ~*")&gt;0)+(COUNTIF(Y2208:Y2225,$B2248)+COUNTIF(Y2208:Y2225,$B2248&amp;" ~*")&gt;0))</f>
        <v/>
      </c>
      <c r="AC2248" s="38">
        <f>IF($B2248="","",(IFERROR(INDEX(Setup!$G$33:$G$40,MATCH(C2248,Setup!$B$33:$B$40,0)),0)=1)*(COUNTIF(C2208:E2225,$B2248)+COUNTIF(C2208:E2225,$B2248&amp;" ~*")&gt;0)+(IFERROR(INDEX(Setup!$G$33:$G$40,MATCH(G2248,Setup!$B$33:$B$40,0)),0)=1)*(COUNTIF(G2208:I2225,$B2248)+COUNTIF(G2208:I2225,$B2248&amp;" ~*")&gt;0)+(IFERROR(INDEX(Setup!$G$33:$G$40,MATCH(K2248,Setup!$B$33:$B$40,0)),0)=1)*(COUNTIF(K2208:M2225,$B2248)+COUNTIF(K2208:M2225,$B2248&amp;" ~*")&gt;0)+(IFERROR(INDEX(Setup!$G$33:$G$40,MATCH(O2248,Setup!$B$33:$B$40,0)),0)=1)*(COUNTIF(O2208:Q2225,$B2248)+COUNTIF(O2208:Q2225,$B2248&amp;" ~*")&gt;0)+(IFERROR(INDEX(Setup!$G$33:$G$40,MATCH(S2248,Setup!$B$33:$B$40,0)),0)=1)*(COUNTIF(S2208:U2225,$B2248)+COUNTIF(S2208:U2225,$B2248&amp;" ~*")&gt;0)+(IFERROR(INDEX(Setup!$G$33:$G$40,MATCH(W2248,Setup!$B$33:$B$40,0)),0)=1)*(COUNTIF(W2208:W2225,$B2248)+COUNTIF(W2208:W2225,$B2248&amp;" ~*")&gt;0)+(IFERROR(INDEX(Setup!$G$33:$G$40,MATCH(Y2248,Setup!$B$33:$B$40,0)),0)=1)*(COUNTIF(Y2208:Y2225,$B2248)+COUNTIF(Y2208:Y2225,$B2248&amp;" ~*")&gt;0))</f>
        <v/>
      </c>
    </row>
    <row r="2249" ht="15" customHeight="1">
      <c r="A2249" t="n">
        <v>45</v>
      </c>
      <c r="B2249" s="35">
        <f>IF(Setup!$B$28="","",Setup!$B$28)</f>
        <v/>
      </c>
      <c r="C2249" s="98" t="n"/>
      <c r="D2249" s="99" t="n"/>
      <c r="E2249" s="99" t="n"/>
      <c r="F2249" s="100" t="n"/>
      <c r="G2249" s="98" t="n"/>
      <c r="H2249" s="99" t="n"/>
      <c r="I2249" s="99" t="n"/>
      <c r="J2249" s="100" t="n"/>
      <c r="K2249" s="98" t="n"/>
      <c r="L2249" s="99" t="n"/>
      <c r="M2249" s="99" t="n"/>
      <c r="N2249" s="100" t="n"/>
      <c r="O2249" s="98" t="n"/>
      <c r="P2249" s="99" t="n"/>
      <c r="Q2249" s="99" t="n"/>
      <c r="R2249" s="100" t="n"/>
      <c r="S2249" s="98" t="n"/>
      <c r="T2249" s="99" t="n"/>
      <c r="U2249" s="99" t="n"/>
      <c r="V2249" s="100" t="n"/>
      <c r="W2249" s="98" t="n"/>
      <c r="X2249" s="100" t="n"/>
      <c r="Y2249" s="98" t="n"/>
      <c r="Z2249" s="100" t="n"/>
      <c r="AB2249" s="101">
        <f>IF($B2249="","",(COUNTIF(C2208:E2225,$B2249)+COUNTIF(C2208:E2225,$B2249&amp;" ~*")&gt;0)+(COUNTIF(G2208:I2225,$B2249)+COUNTIF(G2208:I2225,$B2249&amp;" ~*")&gt;0)+(COUNTIF(K2208:M2225,$B2249)+COUNTIF(K2208:M2225,$B2249&amp;" ~*")&gt;0)+(COUNTIF(O2208:Q2225,$B2249)+COUNTIF(O2208:Q2225,$B2249&amp;" ~*")&gt;0)+(COUNTIF(S2208:U2225,$B2249)+COUNTIF(S2208:U2225,$B2249&amp;" ~*")&gt;0)+(COUNTIF(W2208:W2225,$B2249)+COUNTIF(W2208:W2225,$B2249&amp;" ~*")&gt;0)+(COUNTIF(Y2208:Y2225,$B2249)+COUNTIF(Y2208:Y2225,$B2249&amp;" ~*")&gt;0))</f>
        <v/>
      </c>
      <c r="AC2249" s="36">
        <f>IF($B2249="","",(IFERROR(INDEX(Setup!$G$33:$G$40,MATCH(C2249,Setup!$B$33:$B$40,0)),0)=1)*(COUNTIF(C2208:E2225,$B2249)+COUNTIF(C2208:E2225,$B2249&amp;" ~*")&gt;0)+(IFERROR(INDEX(Setup!$G$33:$G$40,MATCH(G2249,Setup!$B$33:$B$40,0)),0)=1)*(COUNTIF(G2208:I2225,$B2249)+COUNTIF(G2208:I2225,$B2249&amp;" ~*")&gt;0)+(IFERROR(INDEX(Setup!$G$33:$G$40,MATCH(K2249,Setup!$B$33:$B$40,0)),0)=1)*(COUNTIF(K2208:M2225,$B2249)+COUNTIF(K2208:M2225,$B2249&amp;" ~*")&gt;0)+(IFERROR(INDEX(Setup!$G$33:$G$40,MATCH(O2249,Setup!$B$33:$B$40,0)),0)=1)*(COUNTIF(O2208:Q2225,$B2249)+COUNTIF(O2208:Q2225,$B2249&amp;" ~*")&gt;0)+(IFERROR(INDEX(Setup!$G$33:$G$40,MATCH(S2249,Setup!$B$33:$B$40,0)),0)=1)*(COUNTIF(S2208:U2225,$B2249)+COUNTIF(S2208:U2225,$B2249&amp;" ~*")&gt;0)+(IFERROR(INDEX(Setup!$G$33:$G$40,MATCH(W2249,Setup!$B$33:$B$40,0)),0)=1)*(COUNTIF(W2208:W2225,$B2249)+COUNTIF(W2208:W2225,$B2249&amp;" ~*")&gt;0)+(IFERROR(INDEX(Setup!$G$33:$G$40,MATCH(Y2249,Setup!$B$33:$B$40,0)),0)=1)*(COUNTIF(Y2208:Y2225,$B2249)+COUNTIF(Y2208:Y2225,$B2249&amp;" ~*")&gt;0))</f>
        <v/>
      </c>
    </row>
    <row r="2250" ht="15" customHeight="1">
      <c r="A2250" t="n">
        <v>45</v>
      </c>
      <c r="B2250" s="37">
        <f>IF(Setup!$B$29="","",Setup!$B$29)</f>
        <v/>
      </c>
      <c r="C2250" s="102" t="n"/>
      <c r="D2250" s="103" t="n"/>
      <c r="E2250" s="103" t="n"/>
      <c r="F2250" s="104" t="n"/>
      <c r="G2250" s="102" t="n"/>
      <c r="H2250" s="103" t="n"/>
      <c r="I2250" s="103" t="n"/>
      <c r="J2250" s="104" t="n"/>
      <c r="K2250" s="102" t="n"/>
      <c r="L2250" s="103" t="n"/>
      <c r="M2250" s="103" t="n"/>
      <c r="N2250" s="104" t="n"/>
      <c r="O2250" s="102" t="n"/>
      <c r="P2250" s="103" t="n"/>
      <c r="Q2250" s="103" t="n"/>
      <c r="R2250" s="104" t="n"/>
      <c r="S2250" s="102" t="n"/>
      <c r="T2250" s="103" t="n"/>
      <c r="U2250" s="103" t="n"/>
      <c r="V2250" s="104" t="n"/>
      <c r="W2250" s="102" t="n"/>
      <c r="X2250" s="104" t="n"/>
      <c r="Y2250" s="102" t="n"/>
      <c r="Z2250" s="104" t="n"/>
      <c r="AB2250" s="105">
        <f>IF($B2250="","",(COUNTIF(C2208:E2225,$B2250)+COUNTIF(C2208:E2225,$B2250&amp;" ~*")&gt;0)+(COUNTIF(G2208:I2225,$B2250)+COUNTIF(G2208:I2225,$B2250&amp;" ~*")&gt;0)+(COUNTIF(K2208:M2225,$B2250)+COUNTIF(K2208:M2225,$B2250&amp;" ~*")&gt;0)+(COUNTIF(O2208:Q2225,$B2250)+COUNTIF(O2208:Q2225,$B2250&amp;" ~*")&gt;0)+(COUNTIF(S2208:U2225,$B2250)+COUNTIF(S2208:U2225,$B2250&amp;" ~*")&gt;0)+(COUNTIF(W2208:W2225,$B2250)+COUNTIF(W2208:W2225,$B2250&amp;" ~*")&gt;0)+(COUNTIF(Y2208:Y2225,$B2250)+COUNTIF(Y2208:Y2225,$B2250&amp;" ~*")&gt;0))</f>
        <v/>
      </c>
      <c r="AC2250" s="38">
        <f>IF($B2250="","",(IFERROR(INDEX(Setup!$G$33:$G$40,MATCH(C2250,Setup!$B$33:$B$40,0)),0)=1)*(COUNTIF(C2208:E2225,$B2250)+COUNTIF(C2208:E2225,$B2250&amp;" ~*")&gt;0)+(IFERROR(INDEX(Setup!$G$33:$G$40,MATCH(G2250,Setup!$B$33:$B$40,0)),0)=1)*(COUNTIF(G2208:I2225,$B2250)+COUNTIF(G2208:I2225,$B2250&amp;" ~*")&gt;0)+(IFERROR(INDEX(Setup!$G$33:$G$40,MATCH(K2250,Setup!$B$33:$B$40,0)),0)=1)*(COUNTIF(K2208:M2225,$B2250)+COUNTIF(K2208:M2225,$B2250&amp;" ~*")&gt;0)+(IFERROR(INDEX(Setup!$G$33:$G$40,MATCH(O2250,Setup!$B$33:$B$40,0)),0)=1)*(COUNTIF(O2208:Q2225,$B2250)+COUNTIF(O2208:Q2225,$B2250&amp;" ~*")&gt;0)+(IFERROR(INDEX(Setup!$G$33:$G$40,MATCH(S2250,Setup!$B$33:$B$40,0)),0)=1)*(COUNTIF(S2208:U2225,$B2250)+COUNTIF(S2208:U2225,$B2250&amp;" ~*")&gt;0)+(IFERROR(INDEX(Setup!$G$33:$G$40,MATCH(W2250,Setup!$B$33:$B$40,0)),0)=1)*(COUNTIF(W2208:W2225,$B2250)+COUNTIF(W2208:W2225,$B2250&amp;" ~*")&gt;0)+(IFERROR(INDEX(Setup!$G$33:$G$40,MATCH(Y2250,Setup!$B$33:$B$40,0)),0)=1)*(COUNTIF(Y2208:Y2225,$B2250)+COUNTIF(Y2208:Y2225,$B2250&amp;" ~*")&gt;0))</f>
        <v/>
      </c>
    </row>
    <row r="2251" ht="16" customHeight="1">
      <c r="A2251" t="n">
        <v>45</v>
      </c>
      <c r="B2251" s="106" t="inlineStr">
        <is>
          <t>Available people</t>
        </is>
      </c>
      <c r="C2251" s="107">
        <f>COUNTIFS(Setup!$E$6:$E$29,"Y",Setup!$B$6:$B$29,"?*")-SUMPRODUCT(COUNTIF(C2227:C2250,Setup!$F$33:$F$40))</f>
        <v/>
      </c>
      <c r="D2251" s="107" t="n"/>
      <c r="E2251" s="107" t="n"/>
      <c r="F2251" s="107" t="n"/>
      <c r="G2251" s="107">
        <f>COUNTIFS(Setup!$E$6:$E$29,"Y",Setup!$B$6:$B$29,"?*")-SUMPRODUCT(COUNTIF(G2227:G2250,Setup!$F$33:$F$40))</f>
        <v/>
      </c>
      <c r="H2251" s="107" t="n"/>
      <c r="I2251" s="107" t="n"/>
      <c r="J2251" s="107" t="n"/>
      <c r="K2251" s="107">
        <f>COUNTIFS(Setup!$E$6:$E$29,"Y",Setup!$B$6:$B$29,"?*")-SUMPRODUCT(COUNTIF(K2227:K2250,Setup!$F$33:$F$40))</f>
        <v/>
      </c>
      <c r="L2251" s="107" t="n"/>
      <c r="M2251" s="107" t="n"/>
      <c r="N2251" s="107" t="n"/>
      <c r="O2251" s="107">
        <f>COUNTIFS(Setup!$E$6:$E$29,"Y",Setup!$B$6:$B$29,"?*")-SUMPRODUCT(COUNTIF(O2227:O2250,Setup!$F$33:$F$40))</f>
        <v/>
      </c>
      <c r="P2251" s="107" t="n"/>
      <c r="Q2251" s="107" t="n"/>
      <c r="R2251" s="107" t="n"/>
      <c r="S2251" s="107">
        <f>COUNTIFS(Setup!$E$6:$E$29,"Y",Setup!$B$6:$B$29,"?*")-SUMPRODUCT(COUNTIF(S2227:S2250,Setup!$F$33:$F$40))</f>
        <v/>
      </c>
      <c r="T2251" s="107" t="n"/>
      <c r="U2251" s="107" t="n"/>
      <c r="V2251" s="107" t="n"/>
      <c r="W2251" s="107">
        <f>COUNTIFS(Setup!$E$6:$E$29,"Y",Setup!$B$6:$B$29,"?*")-SUMPRODUCT(COUNTIF(W2227:W2250,Setup!$F$33:$F$40))</f>
        <v/>
      </c>
      <c r="X2251" s="107" t="n"/>
      <c r="Y2251" s="107">
        <f>COUNTIFS(Setup!$E$6:$E$29,"Y",Setup!$B$6:$B$29,"?*")-SUMPRODUCT(COUNTIF(Y2227:Y2250,Setup!$F$33:$F$40))</f>
        <v/>
      </c>
      <c r="Z2251" s="107" t="n"/>
      <c r="AB2251" s="108">
        <f>SUM(AB2227:AB2250)</f>
        <v/>
      </c>
      <c r="AC2251" s="109">
        <f>SUM(AC2227:AC2250)</f>
        <v/>
      </c>
    </row>
    <row r="2252" ht="30" customHeight="1">
      <c r="A2252" t="n">
        <v>45</v>
      </c>
      <c r="B2252" s="110" t="inlineStr">
        <is>
          <t>Week notes</t>
        </is>
      </c>
      <c r="C2252" s="111" t="n"/>
      <c r="D2252" s="112" t="n"/>
      <c r="E2252" s="112" t="n"/>
      <c r="F2252" s="112" t="n"/>
      <c r="G2252" s="112" t="n"/>
      <c r="H2252" s="112" t="n"/>
      <c r="I2252" s="112" t="n"/>
      <c r="J2252" s="112" t="n"/>
      <c r="K2252" s="112" t="n"/>
      <c r="L2252" s="112" t="n"/>
      <c r="M2252" s="112" t="n"/>
      <c r="N2252" s="112" t="n"/>
      <c r="O2252" s="112" t="n"/>
      <c r="P2252" s="112" t="n"/>
      <c r="Q2252" s="112" t="n"/>
      <c r="R2252" s="112" t="n"/>
      <c r="S2252" s="112" t="n"/>
      <c r="T2252" s="112" t="n"/>
      <c r="U2252" s="112" t="n"/>
      <c r="V2252" s="112" t="n"/>
      <c r="W2252" s="112" t="n"/>
      <c r="X2252" s="112" t="n"/>
      <c r="Y2252" s="112" t="n"/>
      <c r="Z2252" s="113" t="n"/>
    </row>
    <row r="2253" ht="8" customHeight="1">
      <c r="A2253" t="n">
        <v>45</v>
      </c>
    </row>
    <row r="2254" ht="8" customHeight="1">
      <c r="A2254" t="n">
        <v>45</v>
      </c>
    </row>
    <row r="2255" ht="24" customHeight="1">
      <c r="A2255" t="n">
        <v>46</v>
      </c>
      <c r="B2255" s="73">
        <f>"WEEK 46     "&amp;TEXT(C2256,"ddd d mmm")&amp;"  –  "&amp;TEXT(C2256+6,"ddd d mmm yyyy")</f>
        <v/>
      </c>
      <c r="S2255" s="74">
        <f>IF(TODAY()&lt;C2256,"FUTURE",IF(TODAY()&gt;C2256+6,"PAST","THIS WEEK"))</f>
        <v/>
      </c>
      <c r="W2255" s="75">
        <f>IF(AND(Engine!$B$8=$AC$3,Engine!$B$9=$A2255),"◀ ACTIVE WEEK","")</f>
        <v/>
      </c>
      <c r="AA2255" s="76" t="n"/>
      <c r="AB2255" s="77" t="inlineStr">
        <is>
          <t>◀ Prev</t>
        </is>
      </c>
      <c r="AC2255" s="77" t="inlineStr">
        <is>
          <t>Next ▶</t>
        </is>
      </c>
    </row>
    <row r="2256" ht="18" customHeight="1">
      <c r="A2256" t="n">
        <v>46</v>
      </c>
      <c r="B2256" s="78" t="inlineStr">
        <is>
          <t>DUTY</t>
        </is>
      </c>
      <c r="C2256" s="79">
        <f>$AC$2+7*($A2256-1)</f>
        <v/>
      </c>
      <c r="D2256" s="80" t="n"/>
      <c r="E2256" s="80" t="n"/>
      <c r="F2256" s="81" t="n"/>
      <c r="G2256" s="79">
        <f>C2256+1</f>
        <v/>
      </c>
      <c r="H2256" s="80" t="n"/>
      <c r="I2256" s="80" t="n"/>
      <c r="J2256" s="81" t="n"/>
      <c r="K2256" s="79">
        <f>C2256+2</f>
        <v/>
      </c>
      <c r="L2256" s="80" t="n"/>
      <c r="M2256" s="80" t="n"/>
      <c r="N2256" s="81" t="n"/>
      <c r="O2256" s="79">
        <f>C2256+3</f>
        <v/>
      </c>
      <c r="P2256" s="80" t="n"/>
      <c r="Q2256" s="80" t="n"/>
      <c r="R2256" s="81" t="n"/>
      <c r="S2256" s="79">
        <f>C2256+4</f>
        <v/>
      </c>
      <c r="T2256" s="80" t="n"/>
      <c r="U2256" s="80" t="n"/>
      <c r="V2256" s="81" t="n"/>
      <c r="W2256" s="82">
        <f>C2256+5</f>
        <v/>
      </c>
      <c r="X2256" s="83" t="n"/>
      <c r="Y2256" s="82">
        <f>C2256+6</f>
        <v/>
      </c>
      <c r="Z2256" s="83" t="n"/>
      <c r="AB2256" s="72" t="inlineStr">
        <is>
          <t>Gaps</t>
        </is>
      </c>
      <c r="AC2256" s="72" t="inlineStr">
        <is>
          <t>Cover</t>
        </is>
      </c>
    </row>
    <row r="2257" ht="14" customHeight="1">
      <c r="A2257" t="n">
        <v>46</v>
      </c>
      <c r="B2257" s="84" t="inlineStr">
        <is>
          <t>(from Setup)</t>
        </is>
      </c>
      <c r="C2257" s="85" t="inlineStr">
        <is>
          <t>1</t>
        </is>
      </c>
      <c r="D2257" s="85" t="inlineStr">
        <is>
          <t>2</t>
        </is>
      </c>
      <c r="E2257" s="85" t="inlineStr">
        <is>
          <t>3</t>
        </is>
      </c>
      <c r="F2257" s="85" t="inlineStr">
        <is>
          <t>Notes</t>
        </is>
      </c>
      <c r="G2257" s="85" t="inlineStr">
        <is>
          <t>1</t>
        </is>
      </c>
      <c r="H2257" s="85" t="inlineStr">
        <is>
          <t>2</t>
        </is>
      </c>
      <c r="I2257" s="85" t="inlineStr">
        <is>
          <t>3</t>
        </is>
      </c>
      <c r="J2257" s="85" t="inlineStr">
        <is>
          <t>Notes</t>
        </is>
      </c>
      <c r="K2257" s="85" t="inlineStr">
        <is>
          <t>1</t>
        </is>
      </c>
      <c r="L2257" s="85" t="inlineStr">
        <is>
          <t>2</t>
        </is>
      </c>
      <c r="M2257" s="85" t="inlineStr">
        <is>
          <t>3</t>
        </is>
      </c>
      <c r="N2257" s="85" t="inlineStr">
        <is>
          <t>Notes</t>
        </is>
      </c>
      <c r="O2257" s="85" t="inlineStr">
        <is>
          <t>1</t>
        </is>
      </c>
      <c r="P2257" s="85" t="inlineStr">
        <is>
          <t>2</t>
        </is>
      </c>
      <c r="Q2257" s="85" t="inlineStr">
        <is>
          <t>3</t>
        </is>
      </c>
      <c r="R2257" s="85" t="inlineStr">
        <is>
          <t>Notes</t>
        </is>
      </c>
      <c r="S2257" s="85" t="inlineStr">
        <is>
          <t>1</t>
        </is>
      </c>
      <c r="T2257" s="85" t="inlineStr">
        <is>
          <t>2</t>
        </is>
      </c>
      <c r="U2257" s="85" t="inlineStr">
        <is>
          <t>3</t>
        </is>
      </c>
      <c r="V2257" s="85" t="inlineStr">
        <is>
          <t>Notes</t>
        </is>
      </c>
      <c r="W2257" s="85" t="inlineStr">
        <is>
          <t>Cover</t>
        </is>
      </c>
      <c r="X2257" s="85" t="inlineStr">
        <is>
          <t>Notes</t>
        </is>
      </c>
      <c r="Y2257" s="85" t="inlineStr">
        <is>
          <t>Cover</t>
        </is>
      </c>
      <c r="Z2257" s="85" t="inlineStr">
        <is>
          <t>Notes</t>
        </is>
      </c>
      <c r="AB2257" s="86" t="inlineStr">
        <is>
          <t>weekdays short</t>
        </is>
      </c>
      <c r="AC2257" s="87" t="inlineStr"/>
    </row>
    <row r="2258" ht="17" customHeight="1">
      <c r="A2258" t="n">
        <v>46</v>
      </c>
      <c r="B2258" s="24">
        <f>IF(Setup!$K$6="","",Setup!$K$6)</f>
        <v/>
      </c>
      <c r="C2258" s="88" t="n"/>
      <c r="D2258" s="88" t="n"/>
      <c r="E2258" s="88" t="n"/>
      <c r="F2258" s="89" t="n"/>
      <c r="G2258" s="88" t="n"/>
      <c r="H2258" s="88" t="n"/>
      <c r="I2258" s="88" t="n"/>
      <c r="J2258" s="89" t="n"/>
      <c r="K2258" s="88" t="n"/>
      <c r="L2258" s="88" t="n"/>
      <c r="M2258" s="88" t="n"/>
      <c r="N2258" s="89" t="n"/>
      <c r="O2258" s="88" t="n"/>
      <c r="P2258" s="88" t="n"/>
      <c r="Q2258" s="88" t="n"/>
      <c r="R2258" s="89" t="n"/>
      <c r="S2258" s="88" t="n"/>
      <c r="T2258" s="88" t="n"/>
      <c r="U2258" s="88" t="n"/>
      <c r="V2258" s="89" t="n"/>
      <c r="W2258" s="88" t="n"/>
      <c r="X2258" s="89" t="n"/>
      <c r="Y2258" s="88" t="n"/>
      <c r="Z2258" s="89" t="n"/>
      <c r="AB2258" s="25">
        <f>IF($B2258="","",(COUNTIF(C2258:E2258,"?*")&lt;N(INDEX(Setup!$L$6:$L$23,1)))+(COUNTIF(G2258:I2258,"?*")&lt;N(INDEX(Setup!$L$6:$L$23,1)))+(COUNTIF(K2258:M2258,"?*")&lt;N(INDEX(Setup!$L$6:$L$23,1)))+(COUNTIF(O2258:Q2258,"?*")&lt;N(INDEX(Setup!$L$6:$L$23,1)))+(COUNTIF(S2258:U2258,"?*")&lt;N(INDEX(Setup!$L$6:$L$23,1)))+((W2258="")*(INDEX(Setup!$M$6:$M$23,1)="Y"))+((Y2258="")*(INDEX(Setup!$M$6:$M$23,1)="Y")))</f>
        <v/>
      </c>
      <c r="AC2258" s="90">
        <f>IF($B2258="","",IF(AB2258=0,"✓ covered","⚠ "&amp;AB2258&amp;IF(AB2258=1," gap"," gaps")))</f>
        <v/>
      </c>
    </row>
    <row r="2259" ht="17" customHeight="1">
      <c r="A2259" t="n">
        <v>46</v>
      </c>
      <c r="B2259" s="29">
        <f>IF(Setup!$K$7="","",Setup!$K$7)</f>
        <v/>
      </c>
      <c r="C2259" s="88" t="n"/>
      <c r="D2259" s="88" t="n"/>
      <c r="E2259" s="88" t="n"/>
      <c r="F2259" s="89" t="n"/>
      <c r="G2259" s="88" t="n"/>
      <c r="H2259" s="88" t="n"/>
      <c r="I2259" s="88" t="n"/>
      <c r="J2259" s="89" t="n"/>
      <c r="K2259" s="88" t="n"/>
      <c r="L2259" s="88" t="n"/>
      <c r="M2259" s="88" t="n"/>
      <c r="N2259" s="89" t="n"/>
      <c r="O2259" s="88" t="n"/>
      <c r="P2259" s="88" t="n"/>
      <c r="Q2259" s="88" t="n"/>
      <c r="R2259" s="89" t="n"/>
      <c r="S2259" s="88" t="n"/>
      <c r="T2259" s="88" t="n"/>
      <c r="U2259" s="88" t="n"/>
      <c r="V2259" s="89" t="n"/>
      <c r="W2259" s="88" t="n"/>
      <c r="X2259" s="89" t="n"/>
      <c r="Y2259" s="88" t="n"/>
      <c r="Z2259" s="89" t="n"/>
      <c r="AB2259" s="30">
        <f>IF($B2259="","",(COUNTIF(C2259:E2259,"?*")&lt;N(INDEX(Setup!$L$6:$L$23,2)))+(COUNTIF(G2259:I2259,"?*")&lt;N(INDEX(Setup!$L$6:$L$23,2)))+(COUNTIF(K2259:M2259,"?*")&lt;N(INDEX(Setup!$L$6:$L$23,2)))+(COUNTIF(O2259:Q2259,"?*")&lt;N(INDEX(Setup!$L$6:$L$23,2)))+(COUNTIF(S2259:U2259,"?*")&lt;N(INDEX(Setup!$L$6:$L$23,2)))+((W2259="")*(INDEX(Setup!$M$6:$M$23,2)="Y"))+((Y2259="")*(INDEX(Setup!$M$6:$M$23,2)="Y")))</f>
        <v/>
      </c>
      <c r="AC2259" s="91">
        <f>IF($B2259="","",IF(AB2259=0,"✓ covered","⚠ "&amp;AB2259&amp;IF(AB2259=1," gap"," gaps")))</f>
        <v/>
      </c>
    </row>
    <row r="2260" ht="17" customHeight="1">
      <c r="A2260" t="n">
        <v>46</v>
      </c>
      <c r="B2260" s="24">
        <f>IF(Setup!$K$8="","",Setup!$K$8)</f>
        <v/>
      </c>
      <c r="C2260" s="88" t="n"/>
      <c r="D2260" s="88" t="n"/>
      <c r="E2260" s="88" t="n"/>
      <c r="F2260" s="89" t="n"/>
      <c r="G2260" s="88" t="n"/>
      <c r="H2260" s="88" t="n"/>
      <c r="I2260" s="88" t="n"/>
      <c r="J2260" s="89" t="n"/>
      <c r="K2260" s="88" t="n"/>
      <c r="L2260" s="88" t="n"/>
      <c r="M2260" s="88" t="n"/>
      <c r="N2260" s="89" t="n"/>
      <c r="O2260" s="88" t="n"/>
      <c r="P2260" s="88" t="n"/>
      <c r="Q2260" s="88" t="n"/>
      <c r="R2260" s="89" t="n"/>
      <c r="S2260" s="88" t="n"/>
      <c r="T2260" s="88" t="n"/>
      <c r="U2260" s="88" t="n"/>
      <c r="V2260" s="89" t="n"/>
      <c r="W2260" s="88" t="n"/>
      <c r="X2260" s="89" t="n"/>
      <c r="Y2260" s="88" t="n"/>
      <c r="Z2260" s="89" t="n"/>
      <c r="AB2260" s="25">
        <f>IF($B2260="","",(COUNTIF(C2260:E2260,"?*")&lt;N(INDEX(Setup!$L$6:$L$23,3)))+(COUNTIF(G2260:I2260,"?*")&lt;N(INDEX(Setup!$L$6:$L$23,3)))+(COUNTIF(K2260:M2260,"?*")&lt;N(INDEX(Setup!$L$6:$L$23,3)))+(COUNTIF(O2260:Q2260,"?*")&lt;N(INDEX(Setup!$L$6:$L$23,3)))+(COUNTIF(S2260:U2260,"?*")&lt;N(INDEX(Setup!$L$6:$L$23,3)))+((W2260="")*(INDEX(Setup!$M$6:$M$23,3)="Y"))+((Y2260="")*(INDEX(Setup!$M$6:$M$23,3)="Y")))</f>
        <v/>
      </c>
      <c r="AC2260" s="90">
        <f>IF($B2260="","",IF(AB2260=0,"✓ covered","⚠ "&amp;AB2260&amp;IF(AB2260=1," gap"," gaps")))</f>
        <v/>
      </c>
    </row>
    <row r="2261" ht="17" customHeight="1">
      <c r="A2261" t="n">
        <v>46</v>
      </c>
      <c r="B2261" s="29">
        <f>IF(Setup!$K$9="","",Setup!$K$9)</f>
        <v/>
      </c>
      <c r="C2261" s="88" t="n"/>
      <c r="D2261" s="88" t="n"/>
      <c r="E2261" s="88" t="n"/>
      <c r="F2261" s="89" t="n"/>
      <c r="G2261" s="88" t="n"/>
      <c r="H2261" s="88" t="n"/>
      <c r="I2261" s="88" t="n"/>
      <c r="J2261" s="89" t="n"/>
      <c r="K2261" s="88" t="n"/>
      <c r="L2261" s="88" t="n"/>
      <c r="M2261" s="88" t="n"/>
      <c r="N2261" s="89" t="n"/>
      <c r="O2261" s="88" t="n"/>
      <c r="P2261" s="88" t="n"/>
      <c r="Q2261" s="88" t="n"/>
      <c r="R2261" s="89" t="n"/>
      <c r="S2261" s="88" t="n"/>
      <c r="T2261" s="88" t="n"/>
      <c r="U2261" s="88" t="n"/>
      <c r="V2261" s="89" t="n"/>
      <c r="W2261" s="88" t="n"/>
      <c r="X2261" s="89" t="n"/>
      <c r="Y2261" s="88" t="n"/>
      <c r="Z2261" s="89" t="n"/>
      <c r="AB2261" s="30">
        <f>IF($B2261="","",(COUNTIF(C2261:E2261,"?*")&lt;N(INDEX(Setup!$L$6:$L$23,4)))+(COUNTIF(G2261:I2261,"?*")&lt;N(INDEX(Setup!$L$6:$L$23,4)))+(COUNTIF(K2261:M2261,"?*")&lt;N(INDEX(Setup!$L$6:$L$23,4)))+(COUNTIF(O2261:Q2261,"?*")&lt;N(INDEX(Setup!$L$6:$L$23,4)))+(COUNTIF(S2261:U2261,"?*")&lt;N(INDEX(Setup!$L$6:$L$23,4)))+((W2261="")*(INDEX(Setup!$M$6:$M$23,4)="Y"))+((Y2261="")*(INDEX(Setup!$M$6:$M$23,4)="Y")))</f>
        <v/>
      </c>
      <c r="AC2261" s="91">
        <f>IF($B2261="","",IF(AB2261=0,"✓ covered","⚠ "&amp;AB2261&amp;IF(AB2261=1," gap"," gaps")))</f>
        <v/>
      </c>
    </row>
    <row r="2262" ht="17" customHeight="1">
      <c r="A2262" t="n">
        <v>46</v>
      </c>
      <c r="B2262" s="24">
        <f>IF(Setup!$K$10="","",Setup!$K$10)</f>
        <v/>
      </c>
      <c r="C2262" s="88" t="n"/>
      <c r="D2262" s="88" t="n"/>
      <c r="E2262" s="88" t="n"/>
      <c r="F2262" s="89" t="n"/>
      <c r="G2262" s="88" t="n"/>
      <c r="H2262" s="88" t="n"/>
      <c r="I2262" s="88" t="n"/>
      <c r="J2262" s="89" t="n"/>
      <c r="K2262" s="88" t="n"/>
      <c r="L2262" s="88" t="n"/>
      <c r="M2262" s="88" t="n"/>
      <c r="N2262" s="89" t="n"/>
      <c r="O2262" s="88" t="n"/>
      <c r="P2262" s="88" t="n"/>
      <c r="Q2262" s="88" t="n"/>
      <c r="R2262" s="89" t="n"/>
      <c r="S2262" s="88" t="n"/>
      <c r="T2262" s="88" t="n"/>
      <c r="U2262" s="88" t="n"/>
      <c r="V2262" s="89" t="n"/>
      <c r="W2262" s="88" t="n"/>
      <c r="X2262" s="89" t="n"/>
      <c r="Y2262" s="88" t="n"/>
      <c r="Z2262" s="89" t="n"/>
      <c r="AB2262" s="25">
        <f>IF($B2262="","",(COUNTIF(C2262:E2262,"?*")&lt;N(INDEX(Setup!$L$6:$L$23,5)))+(COUNTIF(G2262:I2262,"?*")&lt;N(INDEX(Setup!$L$6:$L$23,5)))+(COUNTIF(K2262:M2262,"?*")&lt;N(INDEX(Setup!$L$6:$L$23,5)))+(COUNTIF(O2262:Q2262,"?*")&lt;N(INDEX(Setup!$L$6:$L$23,5)))+(COUNTIF(S2262:U2262,"?*")&lt;N(INDEX(Setup!$L$6:$L$23,5)))+((W2262="")*(INDEX(Setup!$M$6:$M$23,5)="Y"))+((Y2262="")*(INDEX(Setup!$M$6:$M$23,5)="Y")))</f>
        <v/>
      </c>
      <c r="AC2262" s="90">
        <f>IF($B2262="","",IF(AB2262=0,"✓ covered","⚠ "&amp;AB2262&amp;IF(AB2262=1," gap"," gaps")))</f>
        <v/>
      </c>
    </row>
    <row r="2263" ht="17" customHeight="1">
      <c r="A2263" t="n">
        <v>46</v>
      </c>
      <c r="B2263" s="29">
        <f>IF(Setup!$K$11="","",Setup!$K$11)</f>
        <v/>
      </c>
      <c r="C2263" s="88" t="n"/>
      <c r="D2263" s="88" t="n"/>
      <c r="E2263" s="88" t="n"/>
      <c r="F2263" s="89" t="n"/>
      <c r="G2263" s="88" t="n"/>
      <c r="H2263" s="88" t="n"/>
      <c r="I2263" s="88" t="n"/>
      <c r="J2263" s="89" t="n"/>
      <c r="K2263" s="88" t="n"/>
      <c r="L2263" s="88" t="n"/>
      <c r="M2263" s="88" t="n"/>
      <c r="N2263" s="89" t="n"/>
      <c r="O2263" s="88" t="n"/>
      <c r="P2263" s="88" t="n"/>
      <c r="Q2263" s="88" t="n"/>
      <c r="R2263" s="89" t="n"/>
      <c r="S2263" s="88" t="n"/>
      <c r="T2263" s="88" t="n"/>
      <c r="U2263" s="88" t="n"/>
      <c r="V2263" s="89" t="n"/>
      <c r="W2263" s="88" t="n"/>
      <c r="X2263" s="89" t="n"/>
      <c r="Y2263" s="88" t="n"/>
      <c r="Z2263" s="89" t="n"/>
      <c r="AB2263" s="30">
        <f>IF($B2263="","",(COUNTIF(C2263:E2263,"?*")&lt;N(INDEX(Setup!$L$6:$L$23,6)))+(COUNTIF(G2263:I2263,"?*")&lt;N(INDEX(Setup!$L$6:$L$23,6)))+(COUNTIF(K2263:M2263,"?*")&lt;N(INDEX(Setup!$L$6:$L$23,6)))+(COUNTIF(O2263:Q2263,"?*")&lt;N(INDEX(Setup!$L$6:$L$23,6)))+(COUNTIF(S2263:U2263,"?*")&lt;N(INDEX(Setup!$L$6:$L$23,6)))+((W2263="")*(INDEX(Setup!$M$6:$M$23,6)="Y"))+((Y2263="")*(INDEX(Setup!$M$6:$M$23,6)="Y")))</f>
        <v/>
      </c>
      <c r="AC2263" s="91">
        <f>IF($B2263="","",IF(AB2263=0,"✓ covered","⚠ "&amp;AB2263&amp;IF(AB2263=1," gap"," gaps")))</f>
        <v/>
      </c>
    </row>
    <row r="2264" ht="17" customHeight="1">
      <c r="A2264" t="n">
        <v>46</v>
      </c>
      <c r="B2264" s="24">
        <f>IF(Setup!$K$12="","",Setup!$K$12)</f>
        <v/>
      </c>
      <c r="C2264" s="88" t="n"/>
      <c r="D2264" s="88" t="n"/>
      <c r="E2264" s="88" t="n"/>
      <c r="F2264" s="89" t="n"/>
      <c r="G2264" s="88" t="n"/>
      <c r="H2264" s="88" t="n"/>
      <c r="I2264" s="88" t="n"/>
      <c r="J2264" s="89" t="n"/>
      <c r="K2264" s="88" t="n"/>
      <c r="L2264" s="88" t="n"/>
      <c r="M2264" s="88" t="n"/>
      <c r="N2264" s="89" t="n"/>
      <c r="O2264" s="88" t="n"/>
      <c r="P2264" s="88" t="n"/>
      <c r="Q2264" s="88" t="n"/>
      <c r="R2264" s="89" t="n"/>
      <c r="S2264" s="88" t="n"/>
      <c r="T2264" s="88" t="n"/>
      <c r="U2264" s="88" t="n"/>
      <c r="V2264" s="89" t="n"/>
      <c r="W2264" s="88" t="n"/>
      <c r="X2264" s="89" t="n"/>
      <c r="Y2264" s="88" t="n"/>
      <c r="Z2264" s="89" t="n"/>
      <c r="AB2264" s="25">
        <f>IF($B2264="","",(COUNTIF(C2264:E2264,"?*")&lt;N(INDEX(Setup!$L$6:$L$23,7)))+(COUNTIF(G2264:I2264,"?*")&lt;N(INDEX(Setup!$L$6:$L$23,7)))+(COUNTIF(K2264:M2264,"?*")&lt;N(INDEX(Setup!$L$6:$L$23,7)))+(COUNTIF(O2264:Q2264,"?*")&lt;N(INDEX(Setup!$L$6:$L$23,7)))+(COUNTIF(S2264:U2264,"?*")&lt;N(INDEX(Setup!$L$6:$L$23,7)))+((W2264="")*(INDEX(Setup!$M$6:$M$23,7)="Y"))+((Y2264="")*(INDEX(Setup!$M$6:$M$23,7)="Y")))</f>
        <v/>
      </c>
      <c r="AC2264" s="90">
        <f>IF($B2264="","",IF(AB2264=0,"✓ covered","⚠ "&amp;AB2264&amp;IF(AB2264=1," gap"," gaps")))</f>
        <v/>
      </c>
    </row>
    <row r="2265" ht="17" customHeight="1">
      <c r="A2265" t="n">
        <v>46</v>
      </c>
      <c r="B2265" s="29">
        <f>IF(Setup!$K$13="","",Setup!$K$13)</f>
        <v/>
      </c>
      <c r="C2265" s="88" t="n"/>
      <c r="D2265" s="88" t="n"/>
      <c r="E2265" s="88" t="n"/>
      <c r="F2265" s="89" t="n"/>
      <c r="G2265" s="88" t="n"/>
      <c r="H2265" s="88" t="n"/>
      <c r="I2265" s="88" t="n"/>
      <c r="J2265" s="89" t="n"/>
      <c r="K2265" s="88" t="n"/>
      <c r="L2265" s="88" t="n"/>
      <c r="M2265" s="88" t="n"/>
      <c r="N2265" s="89" t="n"/>
      <c r="O2265" s="88" t="n"/>
      <c r="P2265" s="88" t="n"/>
      <c r="Q2265" s="88" t="n"/>
      <c r="R2265" s="89" t="n"/>
      <c r="S2265" s="88" t="n"/>
      <c r="T2265" s="88" t="n"/>
      <c r="U2265" s="88" t="n"/>
      <c r="V2265" s="89" t="n"/>
      <c r="W2265" s="88" t="n"/>
      <c r="X2265" s="89" t="n"/>
      <c r="Y2265" s="88" t="n"/>
      <c r="Z2265" s="89" t="n"/>
      <c r="AB2265" s="30">
        <f>IF($B2265="","",(COUNTIF(C2265:E2265,"?*")&lt;N(INDEX(Setup!$L$6:$L$23,8)))+(COUNTIF(G2265:I2265,"?*")&lt;N(INDEX(Setup!$L$6:$L$23,8)))+(COUNTIF(K2265:M2265,"?*")&lt;N(INDEX(Setup!$L$6:$L$23,8)))+(COUNTIF(O2265:Q2265,"?*")&lt;N(INDEX(Setup!$L$6:$L$23,8)))+(COUNTIF(S2265:U2265,"?*")&lt;N(INDEX(Setup!$L$6:$L$23,8)))+((W2265="")*(INDEX(Setup!$M$6:$M$23,8)="Y"))+((Y2265="")*(INDEX(Setup!$M$6:$M$23,8)="Y")))</f>
        <v/>
      </c>
      <c r="AC2265" s="91">
        <f>IF($B2265="","",IF(AB2265=0,"✓ covered","⚠ "&amp;AB2265&amp;IF(AB2265=1," gap"," gaps")))</f>
        <v/>
      </c>
    </row>
    <row r="2266" ht="17" customHeight="1">
      <c r="A2266" t="n">
        <v>46</v>
      </c>
      <c r="B2266" s="24">
        <f>IF(Setup!$K$14="","",Setup!$K$14)</f>
        <v/>
      </c>
      <c r="C2266" s="88" t="n"/>
      <c r="D2266" s="88" t="n"/>
      <c r="E2266" s="88" t="n"/>
      <c r="F2266" s="89" t="n"/>
      <c r="G2266" s="88" t="n"/>
      <c r="H2266" s="88" t="n"/>
      <c r="I2266" s="88" t="n"/>
      <c r="J2266" s="89" t="n"/>
      <c r="K2266" s="88" t="n"/>
      <c r="L2266" s="88" t="n"/>
      <c r="M2266" s="88" t="n"/>
      <c r="N2266" s="89" t="n"/>
      <c r="O2266" s="88" t="n"/>
      <c r="P2266" s="88" t="n"/>
      <c r="Q2266" s="88" t="n"/>
      <c r="R2266" s="89" t="n"/>
      <c r="S2266" s="88" t="n"/>
      <c r="T2266" s="88" t="n"/>
      <c r="U2266" s="88" t="n"/>
      <c r="V2266" s="89" t="n"/>
      <c r="W2266" s="88" t="n"/>
      <c r="X2266" s="89" t="n"/>
      <c r="Y2266" s="88" t="n"/>
      <c r="Z2266" s="89" t="n"/>
      <c r="AB2266" s="25">
        <f>IF($B2266="","",(COUNTIF(C2266:E2266,"?*")&lt;N(INDEX(Setup!$L$6:$L$23,9)))+(COUNTIF(G2266:I2266,"?*")&lt;N(INDEX(Setup!$L$6:$L$23,9)))+(COUNTIF(K2266:M2266,"?*")&lt;N(INDEX(Setup!$L$6:$L$23,9)))+(COUNTIF(O2266:Q2266,"?*")&lt;N(INDEX(Setup!$L$6:$L$23,9)))+(COUNTIF(S2266:U2266,"?*")&lt;N(INDEX(Setup!$L$6:$L$23,9)))+((W2266="")*(INDEX(Setup!$M$6:$M$23,9)="Y"))+((Y2266="")*(INDEX(Setup!$M$6:$M$23,9)="Y")))</f>
        <v/>
      </c>
      <c r="AC2266" s="90">
        <f>IF($B2266="","",IF(AB2266=0,"✓ covered","⚠ "&amp;AB2266&amp;IF(AB2266=1," gap"," gaps")))</f>
        <v/>
      </c>
    </row>
    <row r="2267" ht="17" customHeight="1">
      <c r="A2267" t="n">
        <v>46</v>
      </c>
      <c r="B2267" s="29">
        <f>IF(Setup!$K$15="","",Setup!$K$15)</f>
        <v/>
      </c>
      <c r="C2267" s="88" t="n"/>
      <c r="D2267" s="88" t="n"/>
      <c r="E2267" s="88" t="n"/>
      <c r="F2267" s="89" t="n"/>
      <c r="G2267" s="88" t="n"/>
      <c r="H2267" s="88" t="n"/>
      <c r="I2267" s="88" t="n"/>
      <c r="J2267" s="89" t="n"/>
      <c r="K2267" s="88" t="n"/>
      <c r="L2267" s="88" t="n"/>
      <c r="M2267" s="88" t="n"/>
      <c r="N2267" s="89" t="n"/>
      <c r="O2267" s="88" t="n"/>
      <c r="P2267" s="88" t="n"/>
      <c r="Q2267" s="88" t="n"/>
      <c r="R2267" s="89" t="n"/>
      <c r="S2267" s="88" t="n"/>
      <c r="T2267" s="88" t="n"/>
      <c r="U2267" s="88" t="n"/>
      <c r="V2267" s="89" t="n"/>
      <c r="W2267" s="88" t="n"/>
      <c r="X2267" s="89" t="n"/>
      <c r="Y2267" s="88" t="n"/>
      <c r="Z2267" s="89" t="n"/>
      <c r="AB2267" s="30">
        <f>IF($B2267="","",(COUNTIF(C2267:E2267,"?*")&lt;N(INDEX(Setup!$L$6:$L$23,10)))+(COUNTIF(G2267:I2267,"?*")&lt;N(INDEX(Setup!$L$6:$L$23,10)))+(COUNTIF(K2267:M2267,"?*")&lt;N(INDEX(Setup!$L$6:$L$23,10)))+(COUNTIF(O2267:Q2267,"?*")&lt;N(INDEX(Setup!$L$6:$L$23,10)))+(COUNTIF(S2267:U2267,"?*")&lt;N(INDEX(Setup!$L$6:$L$23,10)))+((W2267="")*(INDEX(Setup!$M$6:$M$23,10)="Y"))+((Y2267="")*(INDEX(Setup!$M$6:$M$23,10)="Y")))</f>
        <v/>
      </c>
      <c r="AC2267" s="91">
        <f>IF($B2267="","",IF(AB2267=0,"✓ covered","⚠ "&amp;AB2267&amp;IF(AB2267=1," gap"," gaps")))</f>
        <v/>
      </c>
    </row>
    <row r="2268" ht="17" customHeight="1">
      <c r="A2268" t="n">
        <v>46</v>
      </c>
      <c r="B2268" s="24">
        <f>IF(Setup!$K$16="","",Setup!$K$16)</f>
        <v/>
      </c>
      <c r="C2268" s="88" t="n"/>
      <c r="D2268" s="88" t="n"/>
      <c r="E2268" s="88" t="n"/>
      <c r="F2268" s="89" t="n"/>
      <c r="G2268" s="88" t="n"/>
      <c r="H2268" s="88" t="n"/>
      <c r="I2268" s="88" t="n"/>
      <c r="J2268" s="89" t="n"/>
      <c r="K2268" s="88" t="n"/>
      <c r="L2268" s="88" t="n"/>
      <c r="M2268" s="88" t="n"/>
      <c r="N2268" s="89" t="n"/>
      <c r="O2268" s="88" t="n"/>
      <c r="P2268" s="88" t="n"/>
      <c r="Q2268" s="88" t="n"/>
      <c r="R2268" s="89" t="n"/>
      <c r="S2268" s="88" t="n"/>
      <c r="T2268" s="88" t="n"/>
      <c r="U2268" s="88" t="n"/>
      <c r="V2268" s="89" t="n"/>
      <c r="W2268" s="88" t="n"/>
      <c r="X2268" s="89" t="n"/>
      <c r="Y2268" s="88" t="n"/>
      <c r="Z2268" s="89" t="n"/>
      <c r="AB2268" s="25">
        <f>IF($B2268="","",(COUNTIF(C2268:E2268,"?*")&lt;N(INDEX(Setup!$L$6:$L$23,11)))+(COUNTIF(G2268:I2268,"?*")&lt;N(INDEX(Setup!$L$6:$L$23,11)))+(COUNTIF(K2268:M2268,"?*")&lt;N(INDEX(Setup!$L$6:$L$23,11)))+(COUNTIF(O2268:Q2268,"?*")&lt;N(INDEX(Setup!$L$6:$L$23,11)))+(COUNTIF(S2268:U2268,"?*")&lt;N(INDEX(Setup!$L$6:$L$23,11)))+((W2268="")*(INDEX(Setup!$M$6:$M$23,11)="Y"))+((Y2268="")*(INDEX(Setup!$M$6:$M$23,11)="Y")))</f>
        <v/>
      </c>
      <c r="AC2268" s="90">
        <f>IF($B2268="","",IF(AB2268=0,"✓ covered","⚠ "&amp;AB2268&amp;IF(AB2268=1," gap"," gaps")))</f>
        <v/>
      </c>
    </row>
    <row r="2269" ht="17" customHeight="1">
      <c r="A2269" t="n">
        <v>46</v>
      </c>
      <c r="B2269" s="29">
        <f>IF(Setup!$K$17="","",Setup!$K$17)</f>
        <v/>
      </c>
      <c r="C2269" s="88" t="n"/>
      <c r="D2269" s="88" t="n"/>
      <c r="E2269" s="88" t="n"/>
      <c r="F2269" s="89" t="n"/>
      <c r="G2269" s="88" t="n"/>
      <c r="H2269" s="88" t="n"/>
      <c r="I2269" s="88" t="n"/>
      <c r="J2269" s="89" t="n"/>
      <c r="K2269" s="88" t="n"/>
      <c r="L2269" s="88" t="n"/>
      <c r="M2269" s="88" t="n"/>
      <c r="N2269" s="89" t="n"/>
      <c r="O2269" s="88" t="n"/>
      <c r="P2269" s="88" t="n"/>
      <c r="Q2269" s="88" t="n"/>
      <c r="R2269" s="89" t="n"/>
      <c r="S2269" s="88" t="n"/>
      <c r="T2269" s="88" t="n"/>
      <c r="U2269" s="88" t="n"/>
      <c r="V2269" s="89" t="n"/>
      <c r="W2269" s="88" t="n"/>
      <c r="X2269" s="89" t="n"/>
      <c r="Y2269" s="88" t="n"/>
      <c r="Z2269" s="89" t="n"/>
      <c r="AB2269" s="30">
        <f>IF($B2269="","",(COUNTIF(C2269:E2269,"?*")&lt;N(INDEX(Setup!$L$6:$L$23,12)))+(COUNTIF(G2269:I2269,"?*")&lt;N(INDEX(Setup!$L$6:$L$23,12)))+(COUNTIF(K2269:M2269,"?*")&lt;N(INDEX(Setup!$L$6:$L$23,12)))+(COUNTIF(O2269:Q2269,"?*")&lt;N(INDEX(Setup!$L$6:$L$23,12)))+(COUNTIF(S2269:U2269,"?*")&lt;N(INDEX(Setup!$L$6:$L$23,12)))+((W2269="")*(INDEX(Setup!$M$6:$M$23,12)="Y"))+((Y2269="")*(INDEX(Setup!$M$6:$M$23,12)="Y")))</f>
        <v/>
      </c>
      <c r="AC2269" s="91">
        <f>IF($B2269="","",IF(AB2269=0,"✓ covered","⚠ "&amp;AB2269&amp;IF(AB2269=1," gap"," gaps")))</f>
        <v/>
      </c>
    </row>
    <row r="2270" ht="17" customHeight="1">
      <c r="A2270" t="n">
        <v>46</v>
      </c>
      <c r="B2270" s="24">
        <f>IF(Setup!$K$18="","",Setup!$K$18)</f>
        <v/>
      </c>
      <c r="C2270" s="88" t="n"/>
      <c r="D2270" s="88" t="n"/>
      <c r="E2270" s="88" t="n"/>
      <c r="F2270" s="89" t="n"/>
      <c r="G2270" s="88" t="n"/>
      <c r="H2270" s="88" t="n"/>
      <c r="I2270" s="88" t="n"/>
      <c r="J2270" s="89" t="n"/>
      <c r="K2270" s="88" t="n"/>
      <c r="L2270" s="88" t="n"/>
      <c r="M2270" s="88" t="n"/>
      <c r="N2270" s="89" t="n"/>
      <c r="O2270" s="88" t="n"/>
      <c r="P2270" s="88" t="n"/>
      <c r="Q2270" s="88" t="n"/>
      <c r="R2270" s="89" t="n"/>
      <c r="S2270" s="88" t="n"/>
      <c r="T2270" s="88" t="n"/>
      <c r="U2270" s="88" t="n"/>
      <c r="V2270" s="89" t="n"/>
      <c r="W2270" s="88" t="n"/>
      <c r="X2270" s="89" t="n"/>
      <c r="Y2270" s="88" t="n"/>
      <c r="Z2270" s="89" t="n"/>
      <c r="AB2270" s="25">
        <f>IF($B2270="","",(COUNTIF(C2270:E2270,"?*")&lt;N(INDEX(Setup!$L$6:$L$23,13)))+(COUNTIF(G2270:I2270,"?*")&lt;N(INDEX(Setup!$L$6:$L$23,13)))+(COUNTIF(K2270:M2270,"?*")&lt;N(INDEX(Setup!$L$6:$L$23,13)))+(COUNTIF(O2270:Q2270,"?*")&lt;N(INDEX(Setup!$L$6:$L$23,13)))+(COUNTIF(S2270:U2270,"?*")&lt;N(INDEX(Setup!$L$6:$L$23,13)))+((W2270="")*(INDEX(Setup!$M$6:$M$23,13)="Y"))+((Y2270="")*(INDEX(Setup!$M$6:$M$23,13)="Y")))</f>
        <v/>
      </c>
      <c r="AC2270" s="90">
        <f>IF($B2270="","",IF(AB2270=0,"✓ covered","⚠ "&amp;AB2270&amp;IF(AB2270=1," gap"," gaps")))</f>
        <v/>
      </c>
    </row>
    <row r="2271" ht="17" customHeight="1">
      <c r="A2271" t="n">
        <v>46</v>
      </c>
      <c r="B2271" s="29">
        <f>IF(Setup!$K$19="","",Setup!$K$19)</f>
        <v/>
      </c>
      <c r="C2271" s="88" t="n"/>
      <c r="D2271" s="88" t="n"/>
      <c r="E2271" s="88" t="n"/>
      <c r="F2271" s="89" t="n"/>
      <c r="G2271" s="88" t="n"/>
      <c r="H2271" s="88" t="n"/>
      <c r="I2271" s="88" t="n"/>
      <c r="J2271" s="89" t="n"/>
      <c r="K2271" s="88" t="n"/>
      <c r="L2271" s="88" t="n"/>
      <c r="M2271" s="88" t="n"/>
      <c r="N2271" s="89" t="n"/>
      <c r="O2271" s="88" t="n"/>
      <c r="P2271" s="88" t="n"/>
      <c r="Q2271" s="88" t="n"/>
      <c r="R2271" s="89" t="n"/>
      <c r="S2271" s="88" t="n"/>
      <c r="T2271" s="88" t="n"/>
      <c r="U2271" s="88" t="n"/>
      <c r="V2271" s="89" t="n"/>
      <c r="W2271" s="88" t="n"/>
      <c r="X2271" s="89" t="n"/>
      <c r="Y2271" s="88" t="n"/>
      <c r="Z2271" s="89" t="n"/>
      <c r="AB2271" s="30">
        <f>IF($B2271="","",(COUNTIF(C2271:E2271,"?*")&lt;N(INDEX(Setup!$L$6:$L$23,14)))+(COUNTIF(G2271:I2271,"?*")&lt;N(INDEX(Setup!$L$6:$L$23,14)))+(COUNTIF(K2271:M2271,"?*")&lt;N(INDEX(Setup!$L$6:$L$23,14)))+(COUNTIF(O2271:Q2271,"?*")&lt;N(INDEX(Setup!$L$6:$L$23,14)))+(COUNTIF(S2271:U2271,"?*")&lt;N(INDEX(Setup!$L$6:$L$23,14)))+((W2271="")*(INDEX(Setup!$M$6:$M$23,14)="Y"))+((Y2271="")*(INDEX(Setup!$M$6:$M$23,14)="Y")))</f>
        <v/>
      </c>
      <c r="AC2271" s="91">
        <f>IF($B2271="","",IF(AB2271=0,"✓ covered","⚠ "&amp;AB2271&amp;IF(AB2271=1," gap"," gaps")))</f>
        <v/>
      </c>
    </row>
    <row r="2272" ht="17" customHeight="1">
      <c r="A2272" t="n">
        <v>46</v>
      </c>
      <c r="B2272" s="24">
        <f>IF(Setup!$K$20="","",Setup!$K$20)</f>
        <v/>
      </c>
      <c r="C2272" s="88" t="n"/>
      <c r="D2272" s="88" t="n"/>
      <c r="E2272" s="88" t="n"/>
      <c r="F2272" s="89" t="n"/>
      <c r="G2272" s="88" t="n"/>
      <c r="H2272" s="88" t="n"/>
      <c r="I2272" s="88" t="n"/>
      <c r="J2272" s="89" t="n"/>
      <c r="K2272" s="88" t="n"/>
      <c r="L2272" s="88" t="n"/>
      <c r="M2272" s="88" t="n"/>
      <c r="N2272" s="89" t="n"/>
      <c r="O2272" s="88" t="n"/>
      <c r="P2272" s="88" t="n"/>
      <c r="Q2272" s="88" t="n"/>
      <c r="R2272" s="89" t="n"/>
      <c r="S2272" s="88" t="n"/>
      <c r="T2272" s="88" t="n"/>
      <c r="U2272" s="88" t="n"/>
      <c r="V2272" s="89" t="n"/>
      <c r="W2272" s="88" t="n"/>
      <c r="X2272" s="89" t="n"/>
      <c r="Y2272" s="88" t="n"/>
      <c r="Z2272" s="89" t="n"/>
      <c r="AB2272" s="25">
        <f>IF($B2272="","",(COUNTIF(C2272:E2272,"?*")&lt;N(INDEX(Setup!$L$6:$L$23,15)))+(COUNTIF(G2272:I2272,"?*")&lt;N(INDEX(Setup!$L$6:$L$23,15)))+(COUNTIF(K2272:M2272,"?*")&lt;N(INDEX(Setup!$L$6:$L$23,15)))+(COUNTIF(O2272:Q2272,"?*")&lt;N(INDEX(Setup!$L$6:$L$23,15)))+(COUNTIF(S2272:U2272,"?*")&lt;N(INDEX(Setup!$L$6:$L$23,15)))+((W2272="")*(INDEX(Setup!$M$6:$M$23,15)="Y"))+((Y2272="")*(INDEX(Setup!$M$6:$M$23,15)="Y")))</f>
        <v/>
      </c>
      <c r="AC2272" s="90">
        <f>IF($B2272="","",IF(AB2272=0,"✓ covered","⚠ "&amp;AB2272&amp;IF(AB2272=1," gap"," gaps")))</f>
        <v/>
      </c>
    </row>
    <row r="2273" ht="17" customHeight="1">
      <c r="A2273" t="n">
        <v>46</v>
      </c>
      <c r="B2273" s="29">
        <f>IF(Setup!$K$21="","",Setup!$K$21)</f>
        <v/>
      </c>
      <c r="C2273" s="88" t="n"/>
      <c r="D2273" s="88" t="n"/>
      <c r="E2273" s="88" t="n"/>
      <c r="F2273" s="89" t="n"/>
      <c r="G2273" s="88" t="n"/>
      <c r="H2273" s="88" t="n"/>
      <c r="I2273" s="88" t="n"/>
      <c r="J2273" s="89" t="n"/>
      <c r="K2273" s="88" t="n"/>
      <c r="L2273" s="88" t="n"/>
      <c r="M2273" s="88" t="n"/>
      <c r="N2273" s="89" t="n"/>
      <c r="O2273" s="88" t="n"/>
      <c r="P2273" s="88" t="n"/>
      <c r="Q2273" s="88" t="n"/>
      <c r="R2273" s="89" t="n"/>
      <c r="S2273" s="88" t="n"/>
      <c r="T2273" s="88" t="n"/>
      <c r="U2273" s="88" t="n"/>
      <c r="V2273" s="89" t="n"/>
      <c r="W2273" s="88" t="n"/>
      <c r="X2273" s="89" t="n"/>
      <c r="Y2273" s="88" t="n"/>
      <c r="Z2273" s="89" t="n"/>
      <c r="AB2273" s="30">
        <f>IF($B2273="","",(COUNTIF(C2273:E2273,"?*")&lt;N(INDEX(Setup!$L$6:$L$23,16)))+(COUNTIF(G2273:I2273,"?*")&lt;N(INDEX(Setup!$L$6:$L$23,16)))+(COUNTIF(K2273:M2273,"?*")&lt;N(INDEX(Setup!$L$6:$L$23,16)))+(COUNTIF(O2273:Q2273,"?*")&lt;N(INDEX(Setup!$L$6:$L$23,16)))+(COUNTIF(S2273:U2273,"?*")&lt;N(INDEX(Setup!$L$6:$L$23,16)))+((W2273="")*(INDEX(Setup!$M$6:$M$23,16)="Y"))+((Y2273="")*(INDEX(Setup!$M$6:$M$23,16)="Y")))</f>
        <v/>
      </c>
      <c r="AC2273" s="91">
        <f>IF($B2273="","",IF(AB2273=0,"✓ covered","⚠ "&amp;AB2273&amp;IF(AB2273=1," gap"," gaps")))</f>
        <v/>
      </c>
    </row>
    <row r="2274" ht="17" customHeight="1">
      <c r="A2274" t="n">
        <v>46</v>
      </c>
      <c r="B2274" s="24">
        <f>IF(Setup!$K$22="","",Setup!$K$22)</f>
        <v/>
      </c>
      <c r="C2274" s="88" t="n"/>
      <c r="D2274" s="88" t="n"/>
      <c r="E2274" s="88" t="n"/>
      <c r="F2274" s="89" t="n"/>
      <c r="G2274" s="88" t="n"/>
      <c r="H2274" s="88" t="n"/>
      <c r="I2274" s="88" t="n"/>
      <c r="J2274" s="89" t="n"/>
      <c r="K2274" s="88" t="n"/>
      <c r="L2274" s="88" t="n"/>
      <c r="M2274" s="88" t="n"/>
      <c r="N2274" s="89" t="n"/>
      <c r="O2274" s="88" t="n"/>
      <c r="P2274" s="88" t="n"/>
      <c r="Q2274" s="88" t="n"/>
      <c r="R2274" s="89" t="n"/>
      <c r="S2274" s="88" t="n"/>
      <c r="T2274" s="88" t="n"/>
      <c r="U2274" s="88" t="n"/>
      <c r="V2274" s="89" t="n"/>
      <c r="W2274" s="88" t="n"/>
      <c r="X2274" s="89" t="n"/>
      <c r="Y2274" s="88" t="n"/>
      <c r="Z2274" s="89" t="n"/>
      <c r="AB2274" s="25">
        <f>IF($B2274="","",(COUNTIF(C2274:E2274,"?*")&lt;N(INDEX(Setup!$L$6:$L$23,17)))+(COUNTIF(G2274:I2274,"?*")&lt;N(INDEX(Setup!$L$6:$L$23,17)))+(COUNTIF(K2274:M2274,"?*")&lt;N(INDEX(Setup!$L$6:$L$23,17)))+(COUNTIF(O2274:Q2274,"?*")&lt;N(INDEX(Setup!$L$6:$L$23,17)))+(COUNTIF(S2274:U2274,"?*")&lt;N(INDEX(Setup!$L$6:$L$23,17)))+((W2274="")*(INDEX(Setup!$M$6:$M$23,17)="Y"))+((Y2274="")*(INDEX(Setup!$M$6:$M$23,17)="Y")))</f>
        <v/>
      </c>
      <c r="AC2274" s="90">
        <f>IF($B2274="","",IF(AB2274=0,"✓ covered","⚠ "&amp;AB2274&amp;IF(AB2274=1," gap"," gaps")))</f>
        <v/>
      </c>
    </row>
    <row r="2275" ht="17" customHeight="1">
      <c r="A2275" t="n">
        <v>46</v>
      </c>
      <c r="B2275" s="29">
        <f>IF(Setup!$K$23="","",Setup!$K$23)</f>
        <v/>
      </c>
      <c r="C2275" s="88" t="n"/>
      <c r="D2275" s="88" t="n"/>
      <c r="E2275" s="88" t="n"/>
      <c r="F2275" s="89" t="n"/>
      <c r="G2275" s="88" t="n"/>
      <c r="H2275" s="88" t="n"/>
      <c r="I2275" s="88" t="n"/>
      <c r="J2275" s="89" t="n"/>
      <c r="K2275" s="88" t="n"/>
      <c r="L2275" s="88" t="n"/>
      <c r="M2275" s="88" t="n"/>
      <c r="N2275" s="89" t="n"/>
      <c r="O2275" s="88" t="n"/>
      <c r="P2275" s="88" t="n"/>
      <c r="Q2275" s="88" t="n"/>
      <c r="R2275" s="89" t="n"/>
      <c r="S2275" s="88" t="n"/>
      <c r="T2275" s="88" t="n"/>
      <c r="U2275" s="88" t="n"/>
      <c r="V2275" s="89" t="n"/>
      <c r="W2275" s="88" t="n"/>
      <c r="X2275" s="89" t="n"/>
      <c r="Y2275" s="88" t="n"/>
      <c r="Z2275" s="89" t="n"/>
      <c r="AB2275" s="30">
        <f>IF($B2275="","",(COUNTIF(C2275:E2275,"?*")&lt;N(INDEX(Setup!$L$6:$L$23,18)))+(COUNTIF(G2275:I2275,"?*")&lt;N(INDEX(Setup!$L$6:$L$23,18)))+(COUNTIF(K2275:M2275,"?*")&lt;N(INDEX(Setup!$L$6:$L$23,18)))+(COUNTIF(O2275:Q2275,"?*")&lt;N(INDEX(Setup!$L$6:$L$23,18)))+(COUNTIF(S2275:U2275,"?*")&lt;N(INDEX(Setup!$L$6:$L$23,18)))+((W2275="")*(INDEX(Setup!$M$6:$M$23,18)="Y"))+((Y2275="")*(INDEX(Setup!$M$6:$M$23,18)="Y")))</f>
        <v/>
      </c>
      <c r="AC2275" s="91">
        <f>IF($B2275="","",IF(AB2275=0,"✓ covered","⚠ "&amp;AB2275&amp;IF(AB2275=1," gap"," gaps")))</f>
        <v/>
      </c>
    </row>
    <row r="2276" ht="18" customHeight="1">
      <c r="A2276" t="n">
        <v>46</v>
      </c>
      <c r="B2276" s="78" t="inlineStr">
        <is>
          <t>TEAM AVAILABILITY</t>
        </is>
      </c>
      <c r="C2276" s="92" t="inlineStr">
        <is>
          <t>Mon</t>
        </is>
      </c>
      <c r="D2276" s="93" t="n"/>
      <c r="E2276" s="93" t="n"/>
      <c r="F2276" s="94" t="n"/>
      <c r="G2276" s="92" t="inlineStr">
        <is>
          <t>Tue</t>
        </is>
      </c>
      <c r="H2276" s="93" t="n"/>
      <c r="I2276" s="93" t="n"/>
      <c r="J2276" s="94" t="n"/>
      <c r="K2276" s="92" t="inlineStr">
        <is>
          <t>Wed</t>
        </is>
      </c>
      <c r="L2276" s="93" t="n"/>
      <c r="M2276" s="93" t="n"/>
      <c r="N2276" s="94" t="n"/>
      <c r="O2276" s="92" t="inlineStr">
        <is>
          <t>Thu</t>
        </is>
      </c>
      <c r="P2276" s="93" t="n"/>
      <c r="Q2276" s="93" t="n"/>
      <c r="R2276" s="94" t="n"/>
      <c r="S2276" s="92" t="inlineStr">
        <is>
          <t>Fri</t>
        </is>
      </c>
      <c r="T2276" s="93" t="n"/>
      <c r="U2276" s="93" t="n"/>
      <c r="V2276" s="94" t="n"/>
      <c r="W2276" s="95" t="inlineStr">
        <is>
          <t>Sat</t>
        </is>
      </c>
      <c r="X2276" s="96" t="n"/>
      <c r="Y2276" s="95" t="inlineStr">
        <is>
          <t>Sun</t>
        </is>
      </c>
      <c r="Z2276" s="96" t="n"/>
      <c r="AB2276" s="97" t="inlineStr">
        <is>
          <t>Days rostered</t>
        </is>
      </c>
      <c r="AC2276" s="97" t="inlineStr">
        <is>
          <t>Conflicts</t>
        </is>
      </c>
    </row>
    <row r="2277" ht="15" customHeight="1">
      <c r="A2277" t="n">
        <v>46</v>
      </c>
      <c r="B2277" s="35">
        <f>IF(Setup!$B$6="","",Setup!$B$6)</f>
        <v/>
      </c>
      <c r="C2277" s="98" t="n"/>
      <c r="D2277" s="99" t="n"/>
      <c r="E2277" s="99" t="n"/>
      <c r="F2277" s="100" t="n"/>
      <c r="G2277" s="98" t="n"/>
      <c r="H2277" s="99" t="n"/>
      <c r="I2277" s="99" t="n"/>
      <c r="J2277" s="100" t="n"/>
      <c r="K2277" s="98" t="n"/>
      <c r="L2277" s="99" t="n"/>
      <c r="M2277" s="99" t="n"/>
      <c r="N2277" s="100" t="n"/>
      <c r="O2277" s="98" t="n"/>
      <c r="P2277" s="99" t="n"/>
      <c r="Q2277" s="99" t="n"/>
      <c r="R2277" s="100" t="n"/>
      <c r="S2277" s="98" t="n"/>
      <c r="T2277" s="99" t="n"/>
      <c r="U2277" s="99" t="n"/>
      <c r="V2277" s="100" t="n"/>
      <c r="W2277" s="98" t="n"/>
      <c r="X2277" s="100" t="n"/>
      <c r="Y2277" s="98" t="n"/>
      <c r="Z2277" s="100" t="n"/>
      <c r="AB2277" s="101">
        <f>IF($B2277="","",(COUNTIF(C2258:E2275,$B2277)+COUNTIF(C2258:E2275,$B2277&amp;" ~*")&gt;0)+(COUNTIF(G2258:I2275,$B2277)+COUNTIF(G2258:I2275,$B2277&amp;" ~*")&gt;0)+(COUNTIF(K2258:M2275,$B2277)+COUNTIF(K2258:M2275,$B2277&amp;" ~*")&gt;0)+(COUNTIF(O2258:Q2275,$B2277)+COUNTIF(O2258:Q2275,$B2277&amp;" ~*")&gt;0)+(COUNTIF(S2258:U2275,$B2277)+COUNTIF(S2258:U2275,$B2277&amp;" ~*")&gt;0)+(COUNTIF(W2258:W2275,$B2277)+COUNTIF(W2258:W2275,$B2277&amp;" ~*")&gt;0)+(COUNTIF(Y2258:Y2275,$B2277)+COUNTIF(Y2258:Y2275,$B2277&amp;" ~*")&gt;0))</f>
        <v/>
      </c>
      <c r="AC2277" s="36">
        <f>IF($B2277="","",(IFERROR(INDEX(Setup!$G$33:$G$40,MATCH(C2277,Setup!$B$33:$B$40,0)),0)=1)*(COUNTIF(C2258:E2275,$B2277)+COUNTIF(C2258:E2275,$B2277&amp;" ~*")&gt;0)+(IFERROR(INDEX(Setup!$G$33:$G$40,MATCH(G2277,Setup!$B$33:$B$40,0)),0)=1)*(COUNTIF(G2258:I2275,$B2277)+COUNTIF(G2258:I2275,$B2277&amp;" ~*")&gt;0)+(IFERROR(INDEX(Setup!$G$33:$G$40,MATCH(K2277,Setup!$B$33:$B$40,0)),0)=1)*(COUNTIF(K2258:M2275,$B2277)+COUNTIF(K2258:M2275,$B2277&amp;" ~*")&gt;0)+(IFERROR(INDEX(Setup!$G$33:$G$40,MATCH(O2277,Setup!$B$33:$B$40,0)),0)=1)*(COUNTIF(O2258:Q2275,$B2277)+COUNTIF(O2258:Q2275,$B2277&amp;" ~*")&gt;0)+(IFERROR(INDEX(Setup!$G$33:$G$40,MATCH(S2277,Setup!$B$33:$B$40,0)),0)=1)*(COUNTIF(S2258:U2275,$B2277)+COUNTIF(S2258:U2275,$B2277&amp;" ~*")&gt;0)+(IFERROR(INDEX(Setup!$G$33:$G$40,MATCH(W2277,Setup!$B$33:$B$40,0)),0)=1)*(COUNTIF(W2258:W2275,$B2277)+COUNTIF(W2258:W2275,$B2277&amp;" ~*")&gt;0)+(IFERROR(INDEX(Setup!$G$33:$G$40,MATCH(Y2277,Setup!$B$33:$B$40,0)),0)=1)*(COUNTIF(Y2258:Y2275,$B2277)+COUNTIF(Y2258:Y2275,$B2277&amp;" ~*")&gt;0))</f>
        <v/>
      </c>
    </row>
    <row r="2278" ht="15" customHeight="1">
      <c r="A2278" t="n">
        <v>46</v>
      </c>
      <c r="B2278" s="37">
        <f>IF(Setup!$B$7="","",Setup!$B$7)</f>
        <v/>
      </c>
      <c r="C2278" s="102" t="n"/>
      <c r="D2278" s="103" t="n"/>
      <c r="E2278" s="103" t="n"/>
      <c r="F2278" s="104" t="n"/>
      <c r="G2278" s="102" t="n"/>
      <c r="H2278" s="103" t="n"/>
      <c r="I2278" s="103" t="n"/>
      <c r="J2278" s="104" t="n"/>
      <c r="K2278" s="102" t="n"/>
      <c r="L2278" s="103" t="n"/>
      <c r="M2278" s="103" t="n"/>
      <c r="N2278" s="104" t="n"/>
      <c r="O2278" s="102" t="n"/>
      <c r="P2278" s="103" t="n"/>
      <c r="Q2278" s="103" t="n"/>
      <c r="R2278" s="104" t="n"/>
      <c r="S2278" s="102" t="n"/>
      <c r="T2278" s="103" t="n"/>
      <c r="U2278" s="103" t="n"/>
      <c r="V2278" s="104" t="n"/>
      <c r="W2278" s="102" t="n"/>
      <c r="X2278" s="104" t="n"/>
      <c r="Y2278" s="102" t="n"/>
      <c r="Z2278" s="104" t="n"/>
      <c r="AB2278" s="105">
        <f>IF($B2278="","",(COUNTIF(C2258:E2275,$B2278)+COUNTIF(C2258:E2275,$B2278&amp;" ~*")&gt;0)+(COUNTIF(G2258:I2275,$B2278)+COUNTIF(G2258:I2275,$B2278&amp;" ~*")&gt;0)+(COUNTIF(K2258:M2275,$B2278)+COUNTIF(K2258:M2275,$B2278&amp;" ~*")&gt;0)+(COUNTIF(O2258:Q2275,$B2278)+COUNTIF(O2258:Q2275,$B2278&amp;" ~*")&gt;0)+(COUNTIF(S2258:U2275,$B2278)+COUNTIF(S2258:U2275,$B2278&amp;" ~*")&gt;0)+(COUNTIF(W2258:W2275,$B2278)+COUNTIF(W2258:W2275,$B2278&amp;" ~*")&gt;0)+(COUNTIF(Y2258:Y2275,$B2278)+COUNTIF(Y2258:Y2275,$B2278&amp;" ~*")&gt;0))</f>
        <v/>
      </c>
      <c r="AC2278" s="38">
        <f>IF($B2278="","",(IFERROR(INDEX(Setup!$G$33:$G$40,MATCH(C2278,Setup!$B$33:$B$40,0)),0)=1)*(COUNTIF(C2258:E2275,$B2278)+COUNTIF(C2258:E2275,$B2278&amp;" ~*")&gt;0)+(IFERROR(INDEX(Setup!$G$33:$G$40,MATCH(G2278,Setup!$B$33:$B$40,0)),0)=1)*(COUNTIF(G2258:I2275,$B2278)+COUNTIF(G2258:I2275,$B2278&amp;" ~*")&gt;0)+(IFERROR(INDEX(Setup!$G$33:$G$40,MATCH(K2278,Setup!$B$33:$B$40,0)),0)=1)*(COUNTIF(K2258:M2275,$B2278)+COUNTIF(K2258:M2275,$B2278&amp;" ~*")&gt;0)+(IFERROR(INDEX(Setup!$G$33:$G$40,MATCH(O2278,Setup!$B$33:$B$40,0)),0)=1)*(COUNTIF(O2258:Q2275,$B2278)+COUNTIF(O2258:Q2275,$B2278&amp;" ~*")&gt;0)+(IFERROR(INDEX(Setup!$G$33:$G$40,MATCH(S2278,Setup!$B$33:$B$40,0)),0)=1)*(COUNTIF(S2258:U2275,$B2278)+COUNTIF(S2258:U2275,$B2278&amp;" ~*")&gt;0)+(IFERROR(INDEX(Setup!$G$33:$G$40,MATCH(W2278,Setup!$B$33:$B$40,0)),0)=1)*(COUNTIF(W2258:W2275,$B2278)+COUNTIF(W2258:W2275,$B2278&amp;" ~*")&gt;0)+(IFERROR(INDEX(Setup!$G$33:$G$40,MATCH(Y2278,Setup!$B$33:$B$40,0)),0)=1)*(COUNTIF(Y2258:Y2275,$B2278)+COUNTIF(Y2258:Y2275,$B2278&amp;" ~*")&gt;0))</f>
        <v/>
      </c>
    </row>
    <row r="2279" ht="15" customHeight="1">
      <c r="A2279" t="n">
        <v>46</v>
      </c>
      <c r="B2279" s="35">
        <f>IF(Setup!$B$8="","",Setup!$B$8)</f>
        <v/>
      </c>
      <c r="C2279" s="98" t="n"/>
      <c r="D2279" s="99" t="n"/>
      <c r="E2279" s="99" t="n"/>
      <c r="F2279" s="100" t="n"/>
      <c r="G2279" s="98" t="n"/>
      <c r="H2279" s="99" t="n"/>
      <c r="I2279" s="99" t="n"/>
      <c r="J2279" s="100" t="n"/>
      <c r="K2279" s="98" t="n"/>
      <c r="L2279" s="99" t="n"/>
      <c r="M2279" s="99" t="n"/>
      <c r="N2279" s="100" t="n"/>
      <c r="O2279" s="98" t="n"/>
      <c r="P2279" s="99" t="n"/>
      <c r="Q2279" s="99" t="n"/>
      <c r="R2279" s="100" t="n"/>
      <c r="S2279" s="98" t="n"/>
      <c r="T2279" s="99" t="n"/>
      <c r="U2279" s="99" t="n"/>
      <c r="V2279" s="100" t="n"/>
      <c r="W2279" s="98" t="n"/>
      <c r="X2279" s="100" t="n"/>
      <c r="Y2279" s="98" t="n"/>
      <c r="Z2279" s="100" t="n"/>
      <c r="AB2279" s="101">
        <f>IF($B2279="","",(COUNTIF(C2258:E2275,$B2279)+COUNTIF(C2258:E2275,$B2279&amp;" ~*")&gt;0)+(COUNTIF(G2258:I2275,$B2279)+COUNTIF(G2258:I2275,$B2279&amp;" ~*")&gt;0)+(COUNTIF(K2258:M2275,$B2279)+COUNTIF(K2258:M2275,$B2279&amp;" ~*")&gt;0)+(COUNTIF(O2258:Q2275,$B2279)+COUNTIF(O2258:Q2275,$B2279&amp;" ~*")&gt;0)+(COUNTIF(S2258:U2275,$B2279)+COUNTIF(S2258:U2275,$B2279&amp;" ~*")&gt;0)+(COUNTIF(W2258:W2275,$B2279)+COUNTIF(W2258:W2275,$B2279&amp;" ~*")&gt;0)+(COUNTIF(Y2258:Y2275,$B2279)+COUNTIF(Y2258:Y2275,$B2279&amp;" ~*")&gt;0))</f>
        <v/>
      </c>
      <c r="AC2279" s="36">
        <f>IF($B2279="","",(IFERROR(INDEX(Setup!$G$33:$G$40,MATCH(C2279,Setup!$B$33:$B$40,0)),0)=1)*(COUNTIF(C2258:E2275,$B2279)+COUNTIF(C2258:E2275,$B2279&amp;" ~*")&gt;0)+(IFERROR(INDEX(Setup!$G$33:$G$40,MATCH(G2279,Setup!$B$33:$B$40,0)),0)=1)*(COUNTIF(G2258:I2275,$B2279)+COUNTIF(G2258:I2275,$B2279&amp;" ~*")&gt;0)+(IFERROR(INDEX(Setup!$G$33:$G$40,MATCH(K2279,Setup!$B$33:$B$40,0)),0)=1)*(COUNTIF(K2258:M2275,$B2279)+COUNTIF(K2258:M2275,$B2279&amp;" ~*")&gt;0)+(IFERROR(INDEX(Setup!$G$33:$G$40,MATCH(O2279,Setup!$B$33:$B$40,0)),0)=1)*(COUNTIF(O2258:Q2275,$B2279)+COUNTIF(O2258:Q2275,$B2279&amp;" ~*")&gt;0)+(IFERROR(INDEX(Setup!$G$33:$G$40,MATCH(S2279,Setup!$B$33:$B$40,0)),0)=1)*(COUNTIF(S2258:U2275,$B2279)+COUNTIF(S2258:U2275,$B2279&amp;" ~*")&gt;0)+(IFERROR(INDEX(Setup!$G$33:$G$40,MATCH(W2279,Setup!$B$33:$B$40,0)),0)=1)*(COUNTIF(W2258:W2275,$B2279)+COUNTIF(W2258:W2275,$B2279&amp;" ~*")&gt;0)+(IFERROR(INDEX(Setup!$G$33:$G$40,MATCH(Y2279,Setup!$B$33:$B$40,0)),0)=1)*(COUNTIF(Y2258:Y2275,$B2279)+COUNTIF(Y2258:Y2275,$B2279&amp;" ~*")&gt;0))</f>
        <v/>
      </c>
    </row>
    <row r="2280" ht="15" customHeight="1">
      <c r="A2280" t="n">
        <v>46</v>
      </c>
      <c r="B2280" s="37">
        <f>IF(Setup!$B$9="","",Setup!$B$9)</f>
        <v/>
      </c>
      <c r="C2280" s="102" t="n"/>
      <c r="D2280" s="103" t="n"/>
      <c r="E2280" s="103" t="n"/>
      <c r="F2280" s="104" t="n"/>
      <c r="G2280" s="102" t="n"/>
      <c r="H2280" s="103" t="n"/>
      <c r="I2280" s="103" t="n"/>
      <c r="J2280" s="104" t="n"/>
      <c r="K2280" s="102" t="n"/>
      <c r="L2280" s="103" t="n"/>
      <c r="M2280" s="103" t="n"/>
      <c r="N2280" s="104" t="n"/>
      <c r="O2280" s="102" t="n"/>
      <c r="P2280" s="103" t="n"/>
      <c r="Q2280" s="103" t="n"/>
      <c r="R2280" s="104" t="n"/>
      <c r="S2280" s="102" t="n"/>
      <c r="T2280" s="103" t="n"/>
      <c r="U2280" s="103" t="n"/>
      <c r="V2280" s="104" t="n"/>
      <c r="W2280" s="102" t="n"/>
      <c r="X2280" s="104" t="n"/>
      <c r="Y2280" s="102" t="n"/>
      <c r="Z2280" s="104" t="n"/>
      <c r="AB2280" s="105">
        <f>IF($B2280="","",(COUNTIF(C2258:E2275,$B2280)+COUNTIF(C2258:E2275,$B2280&amp;" ~*")&gt;0)+(COUNTIF(G2258:I2275,$B2280)+COUNTIF(G2258:I2275,$B2280&amp;" ~*")&gt;0)+(COUNTIF(K2258:M2275,$B2280)+COUNTIF(K2258:M2275,$B2280&amp;" ~*")&gt;0)+(COUNTIF(O2258:Q2275,$B2280)+COUNTIF(O2258:Q2275,$B2280&amp;" ~*")&gt;0)+(COUNTIF(S2258:U2275,$B2280)+COUNTIF(S2258:U2275,$B2280&amp;" ~*")&gt;0)+(COUNTIF(W2258:W2275,$B2280)+COUNTIF(W2258:W2275,$B2280&amp;" ~*")&gt;0)+(COUNTIF(Y2258:Y2275,$B2280)+COUNTIF(Y2258:Y2275,$B2280&amp;" ~*")&gt;0))</f>
        <v/>
      </c>
      <c r="AC2280" s="38">
        <f>IF($B2280="","",(IFERROR(INDEX(Setup!$G$33:$G$40,MATCH(C2280,Setup!$B$33:$B$40,0)),0)=1)*(COUNTIF(C2258:E2275,$B2280)+COUNTIF(C2258:E2275,$B2280&amp;" ~*")&gt;0)+(IFERROR(INDEX(Setup!$G$33:$G$40,MATCH(G2280,Setup!$B$33:$B$40,0)),0)=1)*(COUNTIF(G2258:I2275,$B2280)+COUNTIF(G2258:I2275,$B2280&amp;" ~*")&gt;0)+(IFERROR(INDEX(Setup!$G$33:$G$40,MATCH(K2280,Setup!$B$33:$B$40,0)),0)=1)*(COUNTIF(K2258:M2275,$B2280)+COUNTIF(K2258:M2275,$B2280&amp;" ~*")&gt;0)+(IFERROR(INDEX(Setup!$G$33:$G$40,MATCH(O2280,Setup!$B$33:$B$40,0)),0)=1)*(COUNTIF(O2258:Q2275,$B2280)+COUNTIF(O2258:Q2275,$B2280&amp;" ~*")&gt;0)+(IFERROR(INDEX(Setup!$G$33:$G$40,MATCH(S2280,Setup!$B$33:$B$40,0)),0)=1)*(COUNTIF(S2258:U2275,$B2280)+COUNTIF(S2258:U2275,$B2280&amp;" ~*")&gt;0)+(IFERROR(INDEX(Setup!$G$33:$G$40,MATCH(W2280,Setup!$B$33:$B$40,0)),0)=1)*(COUNTIF(W2258:W2275,$B2280)+COUNTIF(W2258:W2275,$B2280&amp;" ~*")&gt;0)+(IFERROR(INDEX(Setup!$G$33:$G$40,MATCH(Y2280,Setup!$B$33:$B$40,0)),0)=1)*(COUNTIF(Y2258:Y2275,$B2280)+COUNTIF(Y2258:Y2275,$B2280&amp;" ~*")&gt;0))</f>
        <v/>
      </c>
    </row>
    <row r="2281" ht="15" customHeight="1">
      <c r="A2281" t="n">
        <v>46</v>
      </c>
      <c r="B2281" s="35">
        <f>IF(Setup!$B$10="","",Setup!$B$10)</f>
        <v/>
      </c>
      <c r="C2281" s="98" t="n"/>
      <c r="D2281" s="99" t="n"/>
      <c r="E2281" s="99" t="n"/>
      <c r="F2281" s="100" t="n"/>
      <c r="G2281" s="98" t="n"/>
      <c r="H2281" s="99" t="n"/>
      <c r="I2281" s="99" t="n"/>
      <c r="J2281" s="100" t="n"/>
      <c r="K2281" s="98" t="n"/>
      <c r="L2281" s="99" t="n"/>
      <c r="M2281" s="99" t="n"/>
      <c r="N2281" s="100" t="n"/>
      <c r="O2281" s="98" t="n"/>
      <c r="P2281" s="99" t="n"/>
      <c r="Q2281" s="99" t="n"/>
      <c r="R2281" s="100" t="n"/>
      <c r="S2281" s="98" t="n"/>
      <c r="T2281" s="99" t="n"/>
      <c r="U2281" s="99" t="n"/>
      <c r="V2281" s="100" t="n"/>
      <c r="W2281" s="98" t="n"/>
      <c r="X2281" s="100" t="n"/>
      <c r="Y2281" s="98" t="n"/>
      <c r="Z2281" s="100" t="n"/>
      <c r="AB2281" s="101">
        <f>IF($B2281="","",(COUNTIF(C2258:E2275,$B2281)+COUNTIF(C2258:E2275,$B2281&amp;" ~*")&gt;0)+(COUNTIF(G2258:I2275,$B2281)+COUNTIF(G2258:I2275,$B2281&amp;" ~*")&gt;0)+(COUNTIF(K2258:M2275,$B2281)+COUNTIF(K2258:M2275,$B2281&amp;" ~*")&gt;0)+(COUNTIF(O2258:Q2275,$B2281)+COUNTIF(O2258:Q2275,$B2281&amp;" ~*")&gt;0)+(COUNTIF(S2258:U2275,$B2281)+COUNTIF(S2258:U2275,$B2281&amp;" ~*")&gt;0)+(COUNTIF(W2258:W2275,$B2281)+COUNTIF(W2258:W2275,$B2281&amp;" ~*")&gt;0)+(COUNTIF(Y2258:Y2275,$B2281)+COUNTIF(Y2258:Y2275,$B2281&amp;" ~*")&gt;0))</f>
        <v/>
      </c>
      <c r="AC2281" s="36">
        <f>IF($B2281="","",(IFERROR(INDEX(Setup!$G$33:$G$40,MATCH(C2281,Setup!$B$33:$B$40,0)),0)=1)*(COUNTIF(C2258:E2275,$B2281)+COUNTIF(C2258:E2275,$B2281&amp;" ~*")&gt;0)+(IFERROR(INDEX(Setup!$G$33:$G$40,MATCH(G2281,Setup!$B$33:$B$40,0)),0)=1)*(COUNTIF(G2258:I2275,$B2281)+COUNTIF(G2258:I2275,$B2281&amp;" ~*")&gt;0)+(IFERROR(INDEX(Setup!$G$33:$G$40,MATCH(K2281,Setup!$B$33:$B$40,0)),0)=1)*(COUNTIF(K2258:M2275,$B2281)+COUNTIF(K2258:M2275,$B2281&amp;" ~*")&gt;0)+(IFERROR(INDEX(Setup!$G$33:$G$40,MATCH(O2281,Setup!$B$33:$B$40,0)),0)=1)*(COUNTIF(O2258:Q2275,$B2281)+COUNTIF(O2258:Q2275,$B2281&amp;" ~*")&gt;0)+(IFERROR(INDEX(Setup!$G$33:$G$40,MATCH(S2281,Setup!$B$33:$B$40,0)),0)=1)*(COUNTIF(S2258:U2275,$B2281)+COUNTIF(S2258:U2275,$B2281&amp;" ~*")&gt;0)+(IFERROR(INDEX(Setup!$G$33:$G$40,MATCH(W2281,Setup!$B$33:$B$40,0)),0)=1)*(COUNTIF(W2258:W2275,$B2281)+COUNTIF(W2258:W2275,$B2281&amp;" ~*")&gt;0)+(IFERROR(INDEX(Setup!$G$33:$G$40,MATCH(Y2281,Setup!$B$33:$B$40,0)),0)=1)*(COUNTIF(Y2258:Y2275,$B2281)+COUNTIF(Y2258:Y2275,$B2281&amp;" ~*")&gt;0))</f>
        <v/>
      </c>
    </row>
    <row r="2282" ht="15" customHeight="1">
      <c r="A2282" t="n">
        <v>46</v>
      </c>
      <c r="B2282" s="37">
        <f>IF(Setup!$B$11="","",Setup!$B$11)</f>
        <v/>
      </c>
      <c r="C2282" s="102" t="n"/>
      <c r="D2282" s="103" t="n"/>
      <c r="E2282" s="103" t="n"/>
      <c r="F2282" s="104" t="n"/>
      <c r="G2282" s="102" t="n"/>
      <c r="H2282" s="103" t="n"/>
      <c r="I2282" s="103" t="n"/>
      <c r="J2282" s="104" t="n"/>
      <c r="K2282" s="102" t="n"/>
      <c r="L2282" s="103" t="n"/>
      <c r="M2282" s="103" t="n"/>
      <c r="N2282" s="104" t="n"/>
      <c r="O2282" s="102" t="n"/>
      <c r="P2282" s="103" t="n"/>
      <c r="Q2282" s="103" t="n"/>
      <c r="R2282" s="104" t="n"/>
      <c r="S2282" s="102" t="n"/>
      <c r="T2282" s="103" t="n"/>
      <c r="U2282" s="103" t="n"/>
      <c r="V2282" s="104" t="n"/>
      <c r="W2282" s="102" t="n"/>
      <c r="X2282" s="104" t="n"/>
      <c r="Y2282" s="102" t="n"/>
      <c r="Z2282" s="104" t="n"/>
      <c r="AB2282" s="105">
        <f>IF($B2282="","",(COUNTIF(C2258:E2275,$B2282)+COUNTIF(C2258:E2275,$B2282&amp;" ~*")&gt;0)+(COUNTIF(G2258:I2275,$B2282)+COUNTIF(G2258:I2275,$B2282&amp;" ~*")&gt;0)+(COUNTIF(K2258:M2275,$B2282)+COUNTIF(K2258:M2275,$B2282&amp;" ~*")&gt;0)+(COUNTIF(O2258:Q2275,$B2282)+COUNTIF(O2258:Q2275,$B2282&amp;" ~*")&gt;0)+(COUNTIF(S2258:U2275,$B2282)+COUNTIF(S2258:U2275,$B2282&amp;" ~*")&gt;0)+(COUNTIF(W2258:W2275,$B2282)+COUNTIF(W2258:W2275,$B2282&amp;" ~*")&gt;0)+(COUNTIF(Y2258:Y2275,$B2282)+COUNTIF(Y2258:Y2275,$B2282&amp;" ~*")&gt;0))</f>
        <v/>
      </c>
      <c r="AC2282" s="38">
        <f>IF($B2282="","",(IFERROR(INDEX(Setup!$G$33:$G$40,MATCH(C2282,Setup!$B$33:$B$40,0)),0)=1)*(COUNTIF(C2258:E2275,$B2282)+COUNTIF(C2258:E2275,$B2282&amp;" ~*")&gt;0)+(IFERROR(INDEX(Setup!$G$33:$G$40,MATCH(G2282,Setup!$B$33:$B$40,0)),0)=1)*(COUNTIF(G2258:I2275,$B2282)+COUNTIF(G2258:I2275,$B2282&amp;" ~*")&gt;0)+(IFERROR(INDEX(Setup!$G$33:$G$40,MATCH(K2282,Setup!$B$33:$B$40,0)),0)=1)*(COUNTIF(K2258:M2275,$B2282)+COUNTIF(K2258:M2275,$B2282&amp;" ~*")&gt;0)+(IFERROR(INDEX(Setup!$G$33:$G$40,MATCH(O2282,Setup!$B$33:$B$40,0)),0)=1)*(COUNTIF(O2258:Q2275,$B2282)+COUNTIF(O2258:Q2275,$B2282&amp;" ~*")&gt;0)+(IFERROR(INDEX(Setup!$G$33:$G$40,MATCH(S2282,Setup!$B$33:$B$40,0)),0)=1)*(COUNTIF(S2258:U2275,$B2282)+COUNTIF(S2258:U2275,$B2282&amp;" ~*")&gt;0)+(IFERROR(INDEX(Setup!$G$33:$G$40,MATCH(W2282,Setup!$B$33:$B$40,0)),0)=1)*(COUNTIF(W2258:W2275,$B2282)+COUNTIF(W2258:W2275,$B2282&amp;" ~*")&gt;0)+(IFERROR(INDEX(Setup!$G$33:$G$40,MATCH(Y2282,Setup!$B$33:$B$40,0)),0)=1)*(COUNTIF(Y2258:Y2275,$B2282)+COUNTIF(Y2258:Y2275,$B2282&amp;" ~*")&gt;0))</f>
        <v/>
      </c>
    </row>
    <row r="2283" ht="15" customHeight="1">
      <c r="A2283" t="n">
        <v>46</v>
      </c>
      <c r="B2283" s="35">
        <f>IF(Setup!$B$12="","",Setup!$B$12)</f>
        <v/>
      </c>
      <c r="C2283" s="98" t="n"/>
      <c r="D2283" s="99" t="n"/>
      <c r="E2283" s="99" t="n"/>
      <c r="F2283" s="100" t="n"/>
      <c r="G2283" s="98" t="n"/>
      <c r="H2283" s="99" t="n"/>
      <c r="I2283" s="99" t="n"/>
      <c r="J2283" s="100" t="n"/>
      <c r="K2283" s="98" t="n"/>
      <c r="L2283" s="99" t="n"/>
      <c r="M2283" s="99" t="n"/>
      <c r="N2283" s="100" t="n"/>
      <c r="O2283" s="98" t="n"/>
      <c r="P2283" s="99" t="n"/>
      <c r="Q2283" s="99" t="n"/>
      <c r="R2283" s="100" t="n"/>
      <c r="S2283" s="98" t="n"/>
      <c r="T2283" s="99" t="n"/>
      <c r="U2283" s="99" t="n"/>
      <c r="V2283" s="100" t="n"/>
      <c r="W2283" s="98" t="n"/>
      <c r="X2283" s="100" t="n"/>
      <c r="Y2283" s="98" t="n"/>
      <c r="Z2283" s="100" t="n"/>
      <c r="AB2283" s="101">
        <f>IF($B2283="","",(COUNTIF(C2258:E2275,$B2283)+COUNTIF(C2258:E2275,$B2283&amp;" ~*")&gt;0)+(COUNTIF(G2258:I2275,$B2283)+COUNTIF(G2258:I2275,$B2283&amp;" ~*")&gt;0)+(COUNTIF(K2258:M2275,$B2283)+COUNTIF(K2258:M2275,$B2283&amp;" ~*")&gt;0)+(COUNTIF(O2258:Q2275,$B2283)+COUNTIF(O2258:Q2275,$B2283&amp;" ~*")&gt;0)+(COUNTIF(S2258:U2275,$B2283)+COUNTIF(S2258:U2275,$B2283&amp;" ~*")&gt;0)+(COUNTIF(W2258:W2275,$B2283)+COUNTIF(W2258:W2275,$B2283&amp;" ~*")&gt;0)+(COUNTIF(Y2258:Y2275,$B2283)+COUNTIF(Y2258:Y2275,$B2283&amp;" ~*")&gt;0))</f>
        <v/>
      </c>
      <c r="AC2283" s="36">
        <f>IF($B2283="","",(IFERROR(INDEX(Setup!$G$33:$G$40,MATCH(C2283,Setup!$B$33:$B$40,0)),0)=1)*(COUNTIF(C2258:E2275,$B2283)+COUNTIF(C2258:E2275,$B2283&amp;" ~*")&gt;0)+(IFERROR(INDEX(Setup!$G$33:$G$40,MATCH(G2283,Setup!$B$33:$B$40,0)),0)=1)*(COUNTIF(G2258:I2275,$B2283)+COUNTIF(G2258:I2275,$B2283&amp;" ~*")&gt;0)+(IFERROR(INDEX(Setup!$G$33:$G$40,MATCH(K2283,Setup!$B$33:$B$40,0)),0)=1)*(COUNTIF(K2258:M2275,$B2283)+COUNTIF(K2258:M2275,$B2283&amp;" ~*")&gt;0)+(IFERROR(INDEX(Setup!$G$33:$G$40,MATCH(O2283,Setup!$B$33:$B$40,0)),0)=1)*(COUNTIF(O2258:Q2275,$B2283)+COUNTIF(O2258:Q2275,$B2283&amp;" ~*")&gt;0)+(IFERROR(INDEX(Setup!$G$33:$G$40,MATCH(S2283,Setup!$B$33:$B$40,0)),0)=1)*(COUNTIF(S2258:U2275,$B2283)+COUNTIF(S2258:U2275,$B2283&amp;" ~*")&gt;0)+(IFERROR(INDEX(Setup!$G$33:$G$40,MATCH(W2283,Setup!$B$33:$B$40,0)),0)=1)*(COUNTIF(W2258:W2275,$B2283)+COUNTIF(W2258:W2275,$B2283&amp;" ~*")&gt;0)+(IFERROR(INDEX(Setup!$G$33:$G$40,MATCH(Y2283,Setup!$B$33:$B$40,0)),0)=1)*(COUNTIF(Y2258:Y2275,$B2283)+COUNTIF(Y2258:Y2275,$B2283&amp;" ~*")&gt;0))</f>
        <v/>
      </c>
    </row>
    <row r="2284" ht="15" customHeight="1">
      <c r="A2284" t="n">
        <v>46</v>
      </c>
      <c r="B2284" s="37">
        <f>IF(Setup!$B$13="","",Setup!$B$13)</f>
        <v/>
      </c>
      <c r="C2284" s="102" t="inlineStr">
        <is>
          <t>AL</t>
        </is>
      </c>
      <c r="D2284" s="103" t="n"/>
      <c r="E2284" s="103" t="n"/>
      <c r="F2284" s="104" t="n"/>
      <c r="G2284" s="102" t="inlineStr">
        <is>
          <t>AL</t>
        </is>
      </c>
      <c r="H2284" s="103" t="n"/>
      <c r="I2284" s="103" t="n"/>
      <c r="J2284" s="104" t="n"/>
      <c r="K2284" s="102" t="inlineStr">
        <is>
          <t>AL</t>
        </is>
      </c>
      <c r="L2284" s="103" t="n"/>
      <c r="M2284" s="103" t="n"/>
      <c r="N2284" s="104" t="n"/>
      <c r="O2284" s="102" t="inlineStr">
        <is>
          <t>AL</t>
        </is>
      </c>
      <c r="P2284" s="103" t="n"/>
      <c r="Q2284" s="103" t="n"/>
      <c r="R2284" s="104" t="n"/>
      <c r="S2284" s="102" t="inlineStr">
        <is>
          <t>AL</t>
        </is>
      </c>
      <c r="T2284" s="103" t="n"/>
      <c r="U2284" s="103" t="n"/>
      <c r="V2284" s="104" t="n"/>
      <c r="W2284" s="102" t="n"/>
      <c r="X2284" s="104" t="n"/>
      <c r="Y2284" s="102" t="n"/>
      <c r="Z2284" s="104" t="n"/>
      <c r="AB2284" s="105">
        <f>IF($B2284="","",(COUNTIF(C2258:E2275,$B2284)+COUNTIF(C2258:E2275,$B2284&amp;" ~*")&gt;0)+(COUNTIF(G2258:I2275,$B2284)+COUNTIF(G2258:I2275,$B2284&amp;" ~*")&gt;0)+(COUNTIF(K2258:M2275,$B2284)+COUNTIF(K2258:M2275,$B2284&amp;" ~*")&gt;0)+(COUNTIF(O2258:Q2275,$B2284)+COUNTIF(O2258:Q2275,$B2284&amp;" ~*")&gt;0)+(COUNTIF(S2258:U2275,$B2284)+COUNTIF(S2258:U2275,$B2284&amp;" ~*")&gt;0)+(COUNTIF(W2258:W2275,$B2284)+COUNTIF(W2258:W2275,$B2284&amp;" ~*")&gt;0)+(COUNTIF(Y2258:Y2275,$B2284)+COUNTIF(Y2258:Y2275,$B2284&amp;" ~*")&gt;0))</f>
        <v/>
      </c>
      <c r="AC2284" s="38">
        <f>IF($B2284="","",(IFERROR(INDEX(Setup!$G$33:$G$40,MATCH(C2284,Setup!$B$33:$B$40,0)),0)=1)*(COUNTIF(C2258:E2275,$B2284)+COUNTIF(C2258:E2275,$B2284&amp;" ~*")&gt;0)+(IFERROR(INDEX(Setup!$G$33:$G$40,MATCH(G2284,Setup!$B$33:$B$40,0)),0)=1)*(COUNTIF(G2258:I2275,$B2284)+COUNTIF(G2258:I2275,$B2284&amp;" ~*")&gt;0)+(IFERROR(INDEX(Setup!$G$33:$G$40,MATCH(K2284,Setup!$B$33:$B$40,0)),0)=1)*(COUNTIF(K2258:M2275,$B2284)+COUNTIF(K2258:M2275,$B2284&amp;" ~*")&gt;0)+(IFERROR(INDEX(Setup!$G$33:$G$40,MATCH(O2284,Setup!$B$33:$B$40,0)),0)=1)*(COUNTIF(O2258:Q2275,$B2284)+COUNTIF(O2258:Q2275,$B2284&amp;" ~*")&gt;0)+(IFERROR(INDEX(Setup!$G$33:$G$40,MATCH(S2284,Setup!$B$33:$B$40,0)),0)=1)*(COUNTIF(S2258:U2275,$B2284)+COUNTIF(S2258:U2275,$B2284&amp;" ~*")&gt;0)+(IFERROR(INDEX(Setup!$G$33:$G$40,MATCH(W2284,Setup!$B$33:$B$40,0)),0)=1)*(COUNTIF(W2258:W2275,$B2284)+COUNTIF(W2258:W2275,$B2284&amp;" ~*")&gt;0)+(IFERROR(INDEX(Setup!$G$33:$G$40,MATCH(Y2284,Setup!$B$33:$B$40,0)),0)=1)*(COUNTIF(Y2258:Y2275,$B2284)+COUNTIF(Y2258:Y2275,$B2284&amp;" ~*")&gt;0))</f>
        <v/>
      </c>
    </row>
    <row r="2285" ht="15" customHeight="1">
      <c r="A2285" t="n">
        <v>46</v>
      </c>
      <c r="B2285" s="35">
        <f>IF(Setup!$B$14="","",Setup!$B$14)</f>
        <v/>
      </c>
      <c r="C2285" s="98" t="n"/>
      <c r="D2285" s="99" t="n"/>
      <c r="E2285" s="99" t="n"/>
      <c r="F2285" s="100" t="n"/>
      <c r="G2285" s="98" t="n"/>
      <c r="H2285" s="99" t="n"/>
      <c r="I2285" s="99" t="n"/>
      <c r="J2285" s="100" t="n"/>
      <c r="K2285" s="98" t="n"/>
      <c r="L2285" s="99" t="n"/>
      <c r="M2285" s="99" t="n"/>
      <c r="N2285" s="100" t="n"/>
      <c r="O2285" s="98" t="n"/>
      <c r="P2285" s="99" t="n"/>
      <c r="Q2285" s="99" t="n"/>
      <c r="R2285" s="100" t="n"/>
      <c r="S2285" s="98" t="n"/>
      <c r="T2285" s="99" t="n"/>
      <c r="U2285" s="99" t="n"/>
      <c r="V2285" s="100" t="n"/>
      <c r="W2285" s="98" t="n"/>
      <c r="X2285" s="100" t="n"/>
      <c r="Y2285" s="98" t="n"/>
      <c r="Z2285" s="100" t="n"/>
      <c r="AB2285" s="101">
        <f>IF($B2285="","",(COUNTIF(C2258:E2275,$B2285)+COUNTIF(C2258:E2275,$B2285&amp;" ~*")&gt;0)+(COUNTIF(G2258:I2275,$B2285)+COUNTIF(G2258:I2275,$B2285&amp;" ~*")&gt;0)+(COUNTIF(K2258:M2275,$B2285)+COUNTIF(K2258:M2275,$B2285&amp;" ~*")&gt;0)+(COUNTIF(O2258:Q2275,$B2285)+COUNTIF(O2258:Q2275,$B2285&amp;" ~*")&gt;0)+(COUNTIF(S2258:U2275,$B2285)+COUNTIF(S2258:U2275,$B2285&amp;" ~*")&gt;0)+(COUNTIF(W2258:W2275,$B2285)+COUNTIF(W2258:W2275,$B2285&amp;" ~*")&gt;0)+(COUNTIF(Y2258:Y2275,$B2285)+COUNTIF(Y2258:Y2275,$B2285&amp;" ~*")&gt;0))</f>
        <v/>
      </c>
      <c r="AC2285" s="36">
        <f>IF($B2285="","",(IFERROR(INDEX(Setup!$G$33:$G$40,MATCH(C2285,Setup!$B$33:$B$40,0)),0)=1)*(COUNTIF(C2258:E2275,$B2285)+COUNTIF(C2258:E2275,$B2285&amp;" ~*")&gt;0)+(IFERROR(INDEX(Setup!$G$33:$G$40,MATCH(G2285,Setup!$B$33:$B$40,0)),0)=1)*(COUNTIF(G2258:I2275,$B2285)+COUNTIF(G2258:I2275,$B2285&amp;" ~*")&gt;0)+(IFERROR(INDEX(Setup!$G$33:$G$40,MATCH(K2285,Setup!$B$33:$B$40,0)),0)=1)*(COUNTIF(K2258:M2275,$B2285)+COUNTIF(K2258:M2275,$B2285&amp;" ~*")&gt;0)+(IFERROR(INDEX(Setup!$G$33:$G$40,MATCH(O2285,Setup!$B$33:$B$40,0)),0)=1)*(COUNTIF(O2258:Q2275,$B2285)+COUNTIF(O2258:Q2275,$B2285&amp;" ~*")&gt;0)+(IFERROR(INDEX(Setup!$G$33:$G$40,MATCH(S2285,Setup!$B$33:$B$40,0)),0)=1)*(COUNTIF(S2258:U2275,$B2285)+COUNTIF(S2258:U2275,$B2285&amp;" ~*")&gt;0)+(IFERROR(INDEX(Setup!$G$33:$G$40,MATCH(W2285,Setup!$B$33:$B$40,0)),0)=1)*(COUNTIF(W2258:W2275,$B2285)+COUNTIF(W2258:W2275,$B2285&amp;" ~*")&gt;0)+(IFERROR(INDEX(Setup!$G$33:$G$40,MATCH(Y2285,Setup!$B$33:$B$40,0)),0)=1)*(COUNTIF(Y2258:Y2275,$B2285)+COUNTIF(Y2258:Y2275,$B2285&amp;" ~*")&gt;0))</f>
        <v/>
      </c>
    </row>
    <row r="2286" ht="15" customHeight="1">
      <c r="A2286" t="n">
        <v>46</v>
      </c>
      <c r="B2286" s="37">
        <f>IF(Setup!$B$15="","",Setup!$B$15)</f>
        <v/>
      </c>
      <c r="C2286" s="102" t="n"/>
      <c r="D2286" s="103" t="n"/>
      <c r="E2286" s="103" t="n"/>
      <c r="F2286" s="104" t="n"/>
      <c r="G2286" s="102" t="n"/>
      <c r="H2286" s="103" t="n"/>
      <c r="I2286" s="103" t="n"/>
      <c r="J2286" s="104" t="n"/>
      <c r="K2286" s="102" t="n"/>
      <c r="L2286" s="103" t="n"/>
      <c r="M2286" s="103" t="n"/>
      <c r="N2286" s="104" t="n"/>
      <c r="O2286" s="102" t="n"/>
      <c r="P2286" s="103" t="n"/>
      <c r="Q2286" s="103" t="n"/>
      <c r="R2286" s="104" t="n"/>
      <c r="S2286" s="102" t="n"/>
      <c r="T2286" s="103" t="n"/>
      <c r="U2286" s="103" t="n"/>
      <c r="V2286" s="104" t="n"/>
      <c r="W2286" s="102" t="n"/>
      <c r="X2286" s="104" t="n"/>
      <c r="Y2286" s="102" t="n"/>
      <c r="Z2286" s="104" t="n"/>
      <c r="AB2286" s="105">
        <f>IF($B2286="","",(COUNTIF(C2258:E2275,$B2286)+COUNTIF(C2258:E2275,$B2286&amp;" ~*")&gt;0)+(COUNTIF(G2258:I2275,$B2286)+COUNTIF(G2258:I2275,$B2286&amp;" ~*")&gt;0)+(COUNTIF(K2258:M2275,$B2286)+COUNTIF(K2258:M2275,$B2286&amp;" ~*")&gt;0)+(COUNTIF(O2258:Q2275,$B2286)+COUNTIF(O2258:Q2275,$B2286&amp;" ~*")&gt;0)+(COUNTIF(S2258:U2275,$B2286)+COUNTIF(S2258:U2275,$B2286&amp;" ~*")&gt;0)+(COUNTIF(W2258:W2275,$B2286)+COUNTIF(W2258:W2275,$B2286&amp;" ~*")&gt;0)+(COUNTIF(Y2258:Y2275,$B2286)+COUNTIF(Y2258:Y2275,$B2286&amp;" ~*")&gt;0))</f>
        <v/>
      </c>
      <c r="AC2286" s="38">
        <f>IF($B2286="","",(IFERROR(INDEX(Setup!$G$33:$G$40,MATCH(C2286,Setup!$B$33:$B$40,0)),0)=1)*(COUNTIF(C2258:E2275,$B2286)+COUNTIF(C2258:E2275,$B2286&amp;" ~*")&gt;0)+(IFERROR(INDEX(Setup!$G$33:$G$40,MATCH(G2286,Setup!$B$33:$B$40,0)),0)=1)*(COUNTIF(G2258:I2275,$B2286)+COUNTIF(G2258:I2275,$B2286&amp;" ~*")&gt;0)+(IFERROR(INDEX(Setup!$G$33:$G$40,MATCH(K2286,Setup!$B$33:$B$40,0)),0)=1)*(COUNTIF(K2258:M2275,$B2286)+COUNTIF(K2258:M2275,$B2286&amp;" ~*")&gt;0)+(IFERROR(INDEX(Setup!$G$33:$G$40,MATCH(O2286,Setup!$B$33:$B$40,0)),0)=1)*(COUNTIF(O2258:Q2275,$B2286)+COUNTIF(O2258:Q2275,$B2286&amp;" ~*")&gt;0)+(IFERROR(INDEX(Setup!$G$33:$G$40,MATCH(S2286,Setup!$B$33:$B$40,0)),0)=1)*(COUNTIF(S2258:U2275,$B2286)+COUNTIF(S2258:U2275,$B2286&amp;" ~*")&gt;0)+(IFERROR(INDEX(Setup!$G$33:$G$40,MATCH(W2286,Setup!$B$33:$B$40,0)),0)=1)*(COUNTIF(W2258:W2275,$B2286)+COUNTIF(W2258:W2275,$B2286&amp;" ~*")&gt;0)+(IFERROR(INDEX(Setup!$G$33:$G$40,MATCH(Y2286,Setup!$B$33:$B$40,0)),0)=1)*(COUNTIF(Y2258:Y2275,$B2286)+COUNTIF(Y2258:Y2275,$B2286&amp;" ~*")&gt;0))</f>
        <v/>
      </c>
    </row>
    <row r="2287" ht="15" customHeight="1">
      <c r="A2287" t="n">
        <v>46</v>
      </c>
      <c r="B2287" s="35">
        <f>IF(Setup!$B$16="","",Setup!$B$16)</f>
        <v/>
      </c>
      <c r="C2287" s="98" t="n"/>
      <c r="D2287" s="99" t="n"/>
      <c r="E2287" s="99" t="n"/>
      <c r="F2287" s="100" t="n"/>
      <c r="G2287" s="98" t="n"/>
      <c r="H2287" s="99" t="n"/>
      <c r="I2287" s="99" t="n"/>
      <c r="J2287" s="100" t="n"/>
      <c r="K2287" s="98" t="n"/>
      <c r="L2287" s="99" t="n"/>
      <c r="M2287" s="99" t="n"/>
      <c r="N2287" s="100" t="n"/>
      <c r="O2287" s="98" t="n"/>
      <c r="P2287" s="99" t="n"/>
      <c r="Q2287" s="99" t="n"/>
      <c r="R2287" s="100" t="n"/>
      <c r="S2287" s="98" t="n"/>
      <c r="T2287" s="99" t="n"/>
      <c r="U2287" s="99" t="n"/>
      <c r="V2287" s="100" t="n"/>
      <c r="W2287" s="98" t="n"/>
      <c r="X2287" s="100" t="n"/>
      <c r="Y2287" s="98" t="n"/>
      <c r="Z2287" s="100" t="n"/>
      <c r="AB2287" s="101">
        <f>IF($B2287="","",(COUNTIF(C2258:E2275,$B2287)+COUNTIF(C2258:E2275,$B2287&amp;" ~*")&gt;0)+(COUNTIF(G2258:I2275,$B2287)+COUNTIF(G2258:I2275,$B2287&amp;" ~*")&gt;0)+(COUNTIF(K2258:M2275,$B2287)+COUNTIF(K2258:M2275,$B2287&amp;" ~*")&gt;0)+(COUNTIF(O2258:Q2275,$B2287)+COUNTIF(O2258:Q2275,$B2287&amp;" ~*")&gt;0)+(COUNTIF(S2258:U2275,$B2287)+COUNTIF(S2258:U2275,$B2287&amp;" ~*")&gt;0)+(COUNTIF(W2258:W2275,$B2287)+COUNTIF(W2258:W2275,$B2287&amp;" ~*")&gt;0)+(COUNTIF(Y2258:Y2275,$B2287)+COUNTIF(Y2258:Y2275,$B2287&amp;" ~*")&gt;0))</f>
        <v/>
      </c>
      <c r="AC2287" s="36">
        <f>IF($B2287="","",(IFERROR(INDEX(Setup!$G$33:$G$40,MATCH(C2287,Setup!$B$33:$B$40,0)),0)=1)*(COUNTIF(C2258:E2275,$B2287)+COUNTIF(C2258:E2275,$B2287&amp;" ~*")&gt;0)+(IFERROR(INDEX(Setup!$G$33:$G$40,MATCH(G2287,Setup!$B$33:$B$40,0)),0)=1)*(COUNTIF(G2258:I2275,$B2287)+COUNTIF(G2258:I2275,$B2287&amp;" ~*")&gt;0)+(IFERROR(INDEX(Setup!$G$33:$G$40,MATCH(K2287,Setup!$B$33:$B$40,0)),0)=1)*(COUNTIF(K2258:M2275,$B2287)+COUNTIF(K2258:M2275,$B2287&amp;" ~*")&gt;0)+(IFERROR(INDEX(Setup!$G$33:$G$40,MATCH(O2287,Setup!$B$33:$B$40,0)),0)=1)*(COUNTIF(O2258:Q2275,$B2287)+COUNTIF(O2258:Q2275,$B2287&amp;" ~*")&gt;0)+(IFERROR(INDEX(Setup!$G$33:$G$40,MATCH(S2287,Setup!$B$33:$B$40,0)),0)=1)*(COUNTIF(S2258:U2275,$B2287)+COUNTIF(S2258:U2275,$B2287&amp;" ~*")&gt;0)+(IFERROR(INDEX(Setup!$G$33:$G$40,MATCH(W2287,Setup!$B$33:$B$40,0)),0)=1)*(COUNTIF(W2258:W2275,$B2287)+COUNTIF(W2258:W2275,$B2287&amp;" ~*")&gt;0)+(IFERROR(INDEX(Setup!$G$33:$G$40,MATCH(Y2287,Setup!$B$33:$B$40,0)),0)=1)*(COUNTIF(Y2258:Y2275,$B2287)+COUNTIF(Y2258:Y2275,$B2287&amp;" ~*")&gt;0))</f>
        <v/>
      </c>
    </row>
    <row r="2288" ht="15" customHeight="1">
      <c r="A2288" t="n">
        <v>46</v>
      </c>
      <c r="B2288" s="37">
        <f>IF(Setup!$B$17="","",Setup!$B$17)</f>
        <v/>
      </c>
      <c r="C2288" s="102" t="n"/>
      <c r="D2288" s="103" t="n"/>
      <c r="E2288" s="103" t="n"/>
      <c r="F2288" s="104" t="n"/>
      <c r="G2288" s="102" t="n"/>
      <c r="H2288" s="103" t="n"/>
      <c r="I2288" s="103" t="n"/>
      <c r="J2288" s="104" t="n"/>
      <c r="K2288" s="102" t="n"/>
      <c r="L2288" s="103" t="n"/>
      <c r="M2288" s="103" t="n"/>
      <c r="N2288" s="104" t="n"/>
      <c r="O2288" s="102" t="n"/>
      <c r="P2288" s="103" t="n"/>
      <c r="Q2288" s="103" t="n"/>
      <c r="R2288" s="104" t="n"/>
      <c r="S2288" s="102" t="n"/>
      <c r="T2288" s="103" t="n"/>
      <c r="U2288" s="103" t="n"/>
      <c r="V2288" s="104" t="n"/>
      <c r="W2288" s="102" t="n"/>
      <c r="X2288" s="104" t="n"/>
      <c r="Y2288" s="102" t="n"/>
      <c r="Z2288" s="104" t="n"/>
      <c r="AB2288" s="105">
        <f>IF($B2288="","",(COUNTIF(C2258:E2275,$B2288)+COUNTIF(C2258:E2275,$B2288&amp;" ~*")&gt;0)+(COUNTIF(G2258:I2275,$B2288)+COUNTIF(G2258:I2275,$B2288&amp;" ~*")&gt;0)+(COUNTIF(K2258:M2275,$B2288)+COUNTIF(K2258:M2275,$B2288&amp;" ~*")&gt;0)+(COUNTIF(O2258:Q2275,$B2288)+COUNTIF(O2258:Q2275,$B2288&amp;" ~*")&gt;0)+(COUNTIF(S2258:U2275,$B2288)+COUNTIF(S2258:U2275,$B2288&amp;" ~*")&gt;0)+(COUNTIF(W2258:W2275,$B2288)+COUNTIF(W2258:W2275,$B2288&amp;" ~*")&gt;0)+(COUNTIF(Y2258:Y2275,$B2288)+COUNTIF(Y2258:Y2275,$B2288&amp;" ~*")&gt;0))</f>
        <v/>
      </c>
      <c r="AC2288" s="38">
        <f>IF($B2288="","",(IFERROR(INDEX(Setup!$G$33:$G$40,MATCH(C2288,Setup!$B$33:$B$40,0)),0)=1)*(COUNTIF(C2258:E2275,$B2288)+COUNTIF(C2258:E2275,$B2288&amp;" ~*")&gt;0)+(IFERROR(INDEX(Setup!$G$33:$G$40,MATCH(G2288,Setup!$B$33:$B$40,0)),0)=1)*(COUNTIF(G2258:I2275,$B2288)+COUNTIF(G2258:I2275,$B2288&amp;" ~*")&gt;0)+(IFERROR(INDEX(Setup!$G$33:$G$40,MATCH(K2288,Setup!$B$33:$B$40,0)),0)=1)*(COUNTIF(K2258:M2275,$B2288)+COUNTIF(K2258:M2275,$B2288&amp;" ~*")&gt;0)+(IFERROR(INDEX(Setup!$G$33:$G$40,MATCH(O2288,Setup!$B$33:$B$40,0)),0)=1)*(COUNTIF(O2258:Q2275,$B2288)+COUNTIF(O2258:Q2275,$B2288&amp;" ~*")&gt;0)+(IFERROR(INDEX(Setup!$G$33:$G$40,MATCH(S2288,Setup!$B$33:$B$40,0)),0)=1)*(COUNTIF(S2258:U2275,$B2288)+COUNTIF(S2258:U2275,$B2288&amp;" ~*")&gt;0)+(IFERROR(INDEX(Setup!$G$33:$G$40,MATCH(W2288,Setup!$B$33:$B$40,0)),0)=1)*(COUNTIF(W2258:W2275,$B2288)+COUNTIF(W2258:W2275,$B2288&amp;" ~*")&gt;0)+(IFERROR(INDEX(Setup!$G$33:$G$40,MATCH(Y2288,Setup!$B$33:$B$40,0)),0)=1)*(COUNTIF(Y2258:Y2275,$B2288)+COUNTIF(Y2258:Y2275,$B2288&amp;" ~*")&gt;0))</f>
        <v/>
      </c>
    </row>
    <row r="2289" ht="15" customHeight="1">
      <c r="A2289" t="n">
        <v>46</v>
      </c>
      <c r="B2289" s="35">
        <f>IF(Setup!$B$18="","",Setup!$B$18)</f>
        <v/>
      </c>
      <c r="C2289" s="98" t="n"/>
      <c r="D2289" s="99" t="n"/>
      <c r="E2289" s="99" t="n"/>
      <c r="F2289" s="100" t="n"/>
      <c r="G2289" s="98" t="n"/>
      <c r="H2289" s="99" t="n"/>
      <c r="I2289" s="99" t="n"/>
      <c r="J2289" s="100" t="n"/>
      <c r="K2289" s="98" t="n"/>
      <c r="L2289" s="99" t="n"/>
      <c r="M2289" s="99" t="n"/>
      <c r="N2289" s="100" t="n"/>
      <c r="O2289" s="98" t="n"/>
      <c r="P2289" s="99" t="n"/>
      <c r="Q2289" s="99" t="n"/>
      <c r="R2289" s="100" t="n"/>
      <c r="S2289" s="98" t="n"/>
      <c r="T2289" s="99" t="n"/>
      <c r="U2289" s="99" t="n"/>
      <c r="V2289" s="100" t="n"/>
      <c r="W2289" s="98" t="n"/>
      <c r="X2289" s="100" t="n"/>
      <c r="Y2289" s="98" t="n"/>
      <c r="Z2289" s="100" t="n"/>
      <c r="AB2289" s="101">
        <f>IF($B2289="","",(COUNTIF(C2258:E2275,$B2289)+COUNTIF(C2258:E2275,$B2289&amp;" ~*")&gt;0)+(COUNTIF(G2258:I2275,$B2289)+COUNTIF(G2258:I2275,$B2289&amp;" ~*")&gt;0)+(COUNTIF(K2258:M2275,$B2289)+COUNTIF(K2258:M2275,$B2289&amp;" ~*")&gt;0)+(COUNTIF(O2258:Q2275,$B2289)+COUNTIF(O2258:Q2275,$B2289&amp;" ~*")&gt;0)+(COUNTIF(S2258:U2275,$B2289)+COUNTIF(S2258:U2275,$B2289&amp;" ~*")&gt;0)+(COUNTIF(W2258:W2275,$B2289)+COUNTIF(W2258:W2275,$B2289&amp;" ~*")&gt;0)+(COUNTIF(Y2258:Y2275,$B2289)+COUNTIF(Y2258:Y2275,$B2289&amp;" ~*")&gt;0))</f>
        <v/>
      </c>
      <c r="AC2289" s="36">
        <f>IF($B2289="","",(IFERROR(INDEX(Setup!$G$33:$G$40,MATCH(C2289,Setup!$B$33:$B$40,0)),0)=1)*(COUNTIF(C2258:E2275,$B2289)+COUNTIF(C2258:E2275,$B2289&amp;" ~*")&gt;0)+(IFERROR(INDEX(Setup!$G$33:$G$40,MATCH(G2289,Setup!$B$33:$B$40,0)),0)=1)*(COUNTIF(G2258:I2275,$B2289)+COUNTIF(G2258:I2275,$B2289&amp;" ~*")&gt;0)+(IFERROR(INDEX(Setup!$G$33:$G$40,MATCH(K2289,Setup!$B$33:$B$40,0)),0)=1)*(COUNTIF(K2258:M2275,$B2289)+COUNTIF(K2258:M2275,$B2289&amp;" ~*")&gt;0)+(IFERROR(INDEX(Setup!$G$33:$G$40,MATCH(O2289,Setup!$B$33:$B$40,0)),0)=1)*(COUNTIF(O2258:Q2275,$B2289)+COUNTIF(O2258:Q2275,$B2289&amp;" ~*")&gt;0)+(IFERROR(INDEX(Setup!$G$33:$G$40,MATCH(S2289,Setup!$B$33:$B$40,0)),0)=1)*(COUNTIF(S2258:U2275,$B2289)+COUNTIF(S2258:U2275,$B2289&amp;" ~*")&gt;0)+(IFERROR(INDEX(Setup!$G$33:$G$40,MATCH(W2289,Setup!$B$33:$B$40,0)),0)=1)*(COUNTIF(W2258:W2275,$B2289)+COUNTIF(W2258:W2275,$B2289&amp;" ~*")&gt;0)+(IFERROR(INDEX(Setup!$G$33:$G$40,MATCH(Y2289,Setup!$B$33:$B$40,0)),0)=1)*(COUNTIF(Y2258:Y2275,$B2289)+COUNTIF(Y2258:Y2275,$B2289&amp;" ~*")&gt;0))</f>
        <v/>
      </c>
    </row>
    <row r="2290" ht="15" customHeight="1">
      <c r="A2290" t="n">
        <v>46</v>
      </c>
      <c r="B2290" s="37">
        <f>IF(Setup!$B$19="","",Setup!$B$19)</f>
        <v/>
      </c>
      <c r="C2290" s="102" t="n"/>
      <c r="D2290" s="103" t="n"/>
      <c r="E2290" s="103" t="n"/>
      <c r="F2290" s="104" t="n"/>
      <c r="G2290" s="102" t="n"/>
      <c r="H2290" s="103" t="n"/>
      <c r="I2290" s="103" t="n"/>
      <c r="J2290" s="104" t="n"/>
      <c r="K2290" s="102" t="n"/>
      <c r="L2290" s="103" t="n"/>
      <c r="M2290" s="103" t="n"/>
      <c r="N2290" s="104" t="n"/>
      <c r="O2290" s="102" t="n"/>
      <c r="P2290" s="103" t="n"/>
      <c r="Q2290" s="103" t="n"/>
      <c r="R2290" s="104" t="n"/>
      <c r="S2290" s="102" t="n"/>
      <c r="T2290" s="103" t="n"/>
      <c r="U2290" s="103" t="n"/>
      <c r="V2290" s="104" t="n"/>
      <c r="W2290" s="102" t="n"/>
      <c r="X2290" s="104" t="n"/>
      <c r="Y2290" s="102" t="n"/>
      <c r="Z2290" s="104" t="n"/>
      <c r="AB2290" s="105">
        <f>IF($B2290="","",(COUNTIF(C2258:E2275,$B2290)+COUNTIF(C2258:E2275,$B2290&amp;" ~*")&gt;0)+(COUNTIF(G2258:I2275,$B2290)+COUNTIF(G2258:I2275,$B2290&amp;" ~*")&gt;0)+(COUNTIF(K2258:M2275,$B2290)+COUNTIF(K2258:M2275,$B2290&amp;" ~*")&gt;0)+(COUNTIF(O2258:Q2275,$B2290)+COUNTIF(O2258:Q2275,$B2290&amp;" ~*")&gt;0)+(COUNTIF(S2258:U2275,$B2290)+COUNTIF(S2258:U2275,$B2290&amp;" ~*")&gt;0)+(COUNTIF(W2258:W2275,$B2290)+COUNTIF(W2258:W2275,$B2290&amp;" ~*")&gt;0)+(COUNTIF(Y2258:Y2275,$B2290)+COUNTIF(Y2258:Y2275,$B2290&amp;" ~*")&gt;0))</f>
        <v/>
      </c>
      <c r="AC2290" s="38">
        <f>IF($B2290="","",(IFERROR(INDEX(Setup!$G$33:$G$40,MATCH(C2290,Setup!$B$33:$B$40,0)),0)=1)*(COUNTIF(C2258:E2275,$B2290)+COUNTIF(C2258:E2275,$B2290&amp;" ~*")&gt;0)+(IFERROR(INDEX(Setup!$G$33:$G$40,MATCH(G2290,Setup!$B$33:$B$40,0)),0)=1)*(COUNTIF(G2258:I2275,$B2290)+COUNTIF(G2258:I2275,$B2290&amp;" ~*")&gt;0)+(IFERROR(INDEX(Setup!$G$33:$G$40,MATCH(K2290,Setup!$B$33:$B$40,0)),0)=1)*(COUNTIF(K2258:M2275,$B2290)+COUNTIF(K2258:M2275,$B2290&amp;" ~*")&gt;0)+(IFERROR(INDEX(Setup!$G$33:$G$40,MATCH(O2290,Setup!$B$33:$B$40,0)),0)=1)*(COUNTIF(O2258:Q2275,$B2290)+COUNTIF(O2258:Q2275,$B2290&amp;" ~*")&gt;0)+(IFERROR(INDEX(Setup!$G$33:$G$40,MATCH(S2290,Setup!$B$33:$B$40,0)),0)=1)*(COUNTIF(S2258:U2275,$B2290)+COUNTIF(S2258:U2275,$B2290&amp;" ~*")&gt;0)+(IFERROR(INDEX(Setup!$G$33:$G$40,MATCH(W2290,Setup!$B$33:$B$40,0)),0)=1)*(COUNTIF(W2258:W2275,$B2290)+COUNTIF(W2258:W2275,$B2290&amp;" ~*")&gt;0)+(IFERROR(INDEX(Setup!$G$33:$G$40,MATCH(Y2290,Setup!$B$33:$B$40,0)),0)=1)*(COUNTIF(Y2258:Y2275,$B2290)+COUNTIF(Y2258:Y2275,$B2290&amp;" ~*")&gt;0))</f>
        <v/>
      </c>
    </row>
    <row r="2291" ht="15" customHeight="1">
      <c r="A2291" t="n">
        <v>46</v>
      </c>
      <c r="B2291" s="35">
        <f>IF(Setup!$B$20="","",Setup!$B$20)</f>
        <v/>
      </c>
      <c r="C2291" s="98" t="n"/>
      <c r="D2291" s="99" t="n"/>
      <c r="E2291" s="99" t="n"/>
      <c r="F2291" s="100" t="n"/>
      <c r="G2291" s="98" t="n"/>
      <c r="H2291" s="99" t="n"/>
      <c r="I2291" s="99" t="n"/>
      <c r="J2291" s="100" t="n"/>
      <c r="K2291" s="98" t="n"/>
      <c r="L2291" s="99" t="n"/>
      <c r="M2291" s="99" t="n"/>
      <c r="N2291" s="100" t="n"/>
      <c r="O2291" s="98" t="n"/>
      <c r="P2291" s="99" t="n"/>
      <c r="Q2291" s="99" t="n"/>
      <c r="R2291" s="100" t="n"/>
      <c r="S2291" s="98" t="n"/>
      <c r="T2291" s="99" t="n"/>
      <c r="U2291" s="99" t="n"/>
      <c r="V2291" s="100" t="n"/>
      <c r="W2291" s="98" t="n"/>
      <c r="X2291" s="100" t="n"/>
      <c r="Y2291" s="98" t="n"/>
      <c r="Z2291" s="100" t="n"/>
      <c r="AB2291" s="101">
        <f>IF($B2291="","",(COUNTIF(C2258:E2275,$B2291)+COUNTIF(C2258:E2275,$B2291&amp;" ~*")&gt;0)+(COUNTIF(G2258:I2275,$B2291)+COUNTIF(G2258:I2275,$B2291&amp;" ~*")&gt;0)+(COUNTIF(K2258:M2275,$B2291)+COUNTIF(K2258:M2275,$B2291&amp;" ~*")&gt;0)+(COUNTIF(O2258:Q2275,$B2291)+COUNTIF(O2258:Q2275,$B2291&amp;" ~*")&gt;0)+(COUNTIF(S2258:U2275,$B2291)+COUNTIF(S2258:U2275,$B2291&amp;" ~*")&gt;0)+(COUNTIF(W2258:W2275,$B2291)+COUNTIF(W2258:W2275,$B2291&amp;" ~*")&gt;0)+(COUNTIF(Y2258:Y2275,$B2291)+COUNTIF(Y2258:Y2275,$B2291&amp;" ~*")&gt;0))</f>
        <v/>
      </c>
      <c r="AC2291" s="36">
        <f>IF($B2291="","",(IFERROR(INDEX(Setup!$G$33:$G$40,MATCH(C2291,Setup!$B$33:$B$40,0)),0)=1)*(COUNTIF(C2258:E2275,$B2291)+COUNTIF(C2258:E2275,$B2291&amp;" ~*")&gt;0)+(IFERROR(INDEX(Setup!$G$33:$G$40,MATCH(G2291,Setup!$B$33:$B$40,0)),0)=1)*(COUNTIF(G2258:I2275,$B2291)+COUNTIF(G2258:I2275,$B2291&amp;" ~*")&gt;0)+(IFERROR(INDEX(Setup!$G$33:$G$40,MATCH(K2291,Setup!$B$33:$B$40,0)),0)=1)*(COUNTIF(K2258:M2275,$B2291)+COUNTIF(K2258:M2275,$B2291&amp;" ~*")&gt;0)+(IFERROR(INDEX(Setup!$G$33:$G$40,MATCH(O2291,Setup!$B$33:$B$40,0)),0)=1)*(COUNTIF(O2258:Q2275,$B2291)+COUNTIF(O2258:Q2275,$B2291&amp;" ~*")&gt;0)+(IFERROR(INDEX(Setup!$G$33:$G$40,MATCH(S2291,Setup!$B$33:$B$40,0)),0)=1)*(COUNTIF(S2258:U2275,$B2291)+COUNTIF(S2258:U2275,$B2291&amp;" ~*")&gt;0)+(IFERROR(INDEX(Setup!$G$33:$G$40,MATCH(W2291,Setup!$B$33:$B$40,0)),0)=1)*(COUNTIF(W2258:W2275,$B2291)+COUNTIF(W2258:W2275,$B2291&amp;" ~*")&gt;0)+(IFERROR(INDEX(Setup!$G$33:$G$40,MATCH(Y2291,Setup!$B$33:$B$40,0)),0)=1)*(COUNTIF(Y2258:Y2275,$B2291)+COUNTIF(Y2258:Y2275,$B2291&amp;" ~*")&gt;0))</f>
        <v/>
      </c>
    </row>
    <row r="2292" ht="15" customHeight="1">
      <c r="A2292" t="n">
        <v>46</v>
      </c>
      <c r="B2292" s="37">
        <f>IF(Setup!$B$21="","",Setup!$B$21)</f>
        <v/>
      </c>
      <c r="C2292" s="102" t="n"/>
      <c r="D2292" s="103" t="n"/>
      <c r="E2292" s="103" t="n"/>
      <c r="F2292" s="104" t="n"/>
      <c r="G2292" s="102" t="n"/>
      <c r="H2292" s="103" t="n"/>
      <c r="I2292" s="103" t="n"/>
      <c r="J2292" s="104" t="n"/>
      <c r="K2292" s="102" t="n"/>
      <c r="L2292" s="103" t="n"/>
      <c r="M2292" s="103" t="n"/>
      <c r="N2292" s="104" t="n"/>
      <c r="O2292" s="102" t="n"/>
      <c r="P2292" s="103" t="n"/>
      <c r="Q2292" s="103" t="n"/>
      <c r="R2292" s="104" t="n"/>
      <c r="S2292" s="102" t="n"/>
      <c r="T2292" s="103" t="n"/>
      <c r="U2292" s="103" t="n"/>
      <c r="V2292" s="104" t="n"/>
      <c r="W2292" s="102" t="n"/>
      <c r="X2292" s="104" t="n"/>
      <c r="Y2292" s="102" t="n"/>
      <c r="Z2292" s="104" t="n"/>
      <c r="AB2292" s="105">
        <f>IF($B2292="","",(COUNTIF(C2258:E2275,$B2292)+COUNTIF(C2258:E2275,$B2292&amp;" ~*")&gt;0)+(COUNTIF(G2258:I2275,$B2292)+COUNTIF(G2258:I2275,$B2292&amp;" ~*")&gt;0)+(COUNTIF(K2258:M2275,$B2292)+COUNTIF(K2258:M2275,$B2292&amp;" ~*")&gt;0)+(COUNTIF(O2258:Q2275,$B2292)+COUNTIF(O2258:Q2275,$B2292&amp;" ~*")&gt;0)+(COUNTIF(S2258:U2275,$B2292)+COUNTIF(S2258:U2275,$B2292&amp;" ~*")&gt;0)+(COUNTIF(W2258:W2275,$B2292)+COUNTIF(W2258:W2275,$B2292&amp;" ~*")&gt;0)+(COUNTIF(Y2258:Y2275,$B2292)+COUNTIF(Y2258:Y2275,$B2292&amp;" ~*")&gt;0))</f>
        <v/>
      </c>
      <c r="AC2292" s="38">
        <f>IF($B2292="","",(IFERROR(INDEX(Setup!$G$33:$G$40,MATCH(C2292,Setup!$B$33:$B$40,0)),0)=1)*(COUNTIF(C2258:E2275,$B2292)+COUNTIF(C2258:E2275,$B2292&amp;" ~*")&gt;0)+(IFERROR(INDEX(Setup!$G$33:$G$40,MATCH(G2292,Setup!$B$33:$B$40,0)),0)=1)*(COUNTIF(G2258:I2275,$B2292)+COUNTIF(G2258:I2275,$B2292&amp;" ~*")&gt;0)+(IFERROR(INDEX(Setup!$G$33:$G$40,MATCH(K2292,Setup!$B$33:$B$40,0)),0)=1)*(COUNTIF(K2258:M2275,$B2292)+COUNTIF(K2258:M2275,$B2292&amp;" ~*")&gt;0)+(IFERROR(INDEX(Setup!$G$33:$G$40,MATCH(O2292,Setup!$B$33:$B$40,0)),0)=1)*(COUNTIF(O2258:Q2275,$B2292)+COUNTIF(O2258:Q2275,$B2292&amp;" ~*")&gt;0)+(IFERROR(INDEX(Setup!$G$33:$G$40,MATCH(S2292,Setup!$B$33:$B$40,0)),0)=1)*(COUNTIF(S2258:U2275,$B2292)+COUNTIF(S2258:U2275,$B2292&amp;" ~*")&gt;0)+(IFERROR(INDEX(Setup!$G$33:$G$40,MATCH(W2292,Setup!$B$33:$B$40,0)),0)=1)*(COUNTIF(W2258:W2275,$B2292)+COUNTIF(W2258:W2275,$B2292&amp;" ~*")&gt;0)+(IFERROR(INDEX(Setup!$G$33:$G$40,MATCH(Y2292,Setup!$B$33:$B$40,0)),0)=1)*(COUNTIF(Y2258:Y2275,$B2292)+COUNTIF(Y2258:Y2275,$B2292&amp;" ~*")&gt;0))</f>
        <v/>
      </c>
    </row>
    <row r="2293" ht="15" customHeight="1">
      <c r="A2293" t="n">
        <v>46</v>
      </c>
      <c r="B2293" s="35">
        <f>IF(Setup!$B$22="","",Setup!$B$22)</f>
        <v/>
      </c>
      <c r="C2293" s="98" t="n"/>
      <c r="D2293" s="99" t="n"/>
      <c r="E2293" s="99" t="n"/>
      <c r="F2293" s="100" t="n"/>
      <c r="G2293" s="98" t="n"/>
      <c r="H2293" s="99" t="n"/>
      <c r="I2293" s="99" t="n"/>
      <c r="J2293" s="100" t="n"/>
      <c r="K2293" s="98" t="n"/>
      <c r="L2293" s="99" t="n"/>
      <c r="M2293" s="99" t="n"/>
      <c r="N2293" s="100" t="n"/>
      <c r="O2293" s="98" t="n"/>
      <c r="P2293" s="99" t="n"/>
      <c r="Q2293" s="99" t="n"/>
      <c r="R2293" s="100" t="n"/>
      <c r="S2293" s="98" t="n"/>
      <c r="T2293" s="99" t="n"/>
      <c r="U2293" s="99" t="n"/>
      <c r="V2293" s="100" t="n"/>
      <c r="W2293" s="98" t="n"/>
      <c r="X2293" s="100" t="n"/>
      <c r="Y2293" s="98" t="n"/>
      <c r="Z2293" s="100" t="n"/>
      <c r="AB2293" s="101">
        <f>IF($B2293="","",(COUNTIF(C2258:E2275,$B2293)+COUNTIF(C2258:E2275,$B2293&amp;" ~*")&gt;0)+(COUNTIF(G2258:I2275,$B2293)+COUNTIF(G2258:I2275,$B2293&amp;" ~*")&gt;0)+(COUNTIF(K2258:M2275,$B2293)+COUNTIF(K2258:M2275,$B2293&amp;" ~*")&gt;0)+(COUNTIF(O2258:Q2275,$B2293)+COUNTIF(O2258:Q2275,$B2293&amp;" ~*")&gt;0)+(COUNTIF(S2258:U2275,$B2293)+COUNTIF(S2258:U2275,$B2293&amp;" ~*")&gt;0)+(COUNTIF(W2258:W2275,$B2293)+COUNTIF(W2258:W2275,$B2293&amp;" ~*")&gt;0)+(COUNTIF(Y2258:Y2275,$B2293)+COUNTIF(Y2258:Y2275,$B2293&amp;" ~*")&gt;0))</f>
        <v/>
      </c>
      <c r="AC2293" s="36">
        <f>IF($B2293="","",(IFERROR(INDEX(Setup!$G$33:$G$40,MATCH(C2293,Setup!$B$33:$B$40,0)),0)=1)*(COUNTIF(C2258:E2275,$B2293)+COUNTIF(C2258:E2275,$B2293&amp;" ~*")&gt;0)+(IFERROR(INDEX(Setup!$G$33:$G$40,MATCH(G2293,Setup!$B$33:$B$40,0)),0)=1)*(COUNTIF(G2258:I2275,$B2293)+COUNTIF(G2258:I2275,$B2293&amp;" ~*")&gt;0)+(IFERROR(INDEX(Setup!$G$33:$G$40,MATCH(K2293,Setup!$B$33:$B$40,0)),0)=1)*(COUNTIF(K2258:M2275,$B2293)+COUNTIF(K2258:M2275,$B2293&amp;" ~*")&gt;0)+(IFERROR(INDEX(Setup!$G$33:$G$40,MATCH(O2293,Setup!$B$33:$B$40,0)),0)=1)*(COUNTIF(O2258:Q2275,$B2293)+COUNTIF(O2258:Q2275,$B2293&amp;" ~*")&gt;0)+(IFERROR(INDEX(Setup!$G$33:$G$40,MATCH(S2293,Setup!$B$33:$B$40,0)),0)=1)*(COUNTIF(S2258:U2275,$B2293)+COUNTIF(S2258:U2275,$B2293&amp;" ~*")&gt;0)+(IFERROR(INDEX(Setup!$G$33:$G$40,MATCH(W2293,Setup!$B$33:$B$40,0)),0)=1)*(COUNTIF(W2258:W2275,$B2293)+COUNTIF(W2258:W2275,$B2293&amp;" ~*")&gt;0)+(IFERROR(INDEX(Setup!$G$33:$G$40,MATCH(Y2293,Setup!$B$33:$B$40,0)),0)=1)*(COUNTIF(Y2258:Y2275,$B2293)+COUNTIF(Y2258:Y2275,$B2293&amp;" ~*")&gt;0))</f>
        <v/>
      </c>
    </row>
    <row r="2294" ht="15" customHeight="1">
      <c r="A2294" t="n">
        <v>46</v>
      </c>
      <c r="B2294" s="37">
        <f>IF(Setup!$B$23="","",Setup!$B$23)</f>
        <v/>
      </c>
      <c r="C2294" s="102" t="n"/>
      <c r="D2294" s="103" t="n"/>
      <c r="E2294" s="103" t="n"/>
      <c r="F2294" s="104" t="n"/>
      <c r="G2294" s="102" t="n"/>
      <c r="H2294" s="103" t="n"/>
      <c r="I2294" s="103" t="n"/>
      <c r="J2294" s="104" t="n"/>
      <c r="K2294" s="102" t="n"/>
      <c r="L2294" s="103" t="n"/>
      <c r="M2294" s="103" t="n"/>
      <c r="N2294" s="104" t="n"/>
      <c r="O2294" s="102" t="n"/>
      <c r="P2294" s="103" t="n"/>
      <c r="Q2294" s="103" t="n"/>
      <c r="R2294" s="104" t="n"/>
      <c r="S2294" s="102" t="n"/>
      <c r="T2294" s="103" t="n"/>
      <c r="U2294" s="103" t="n"/>
      <c r="V2294" s="104" t="n"/>
      <c r="W2294" s="102" t="n"/>
      <c r="X2294" s="104" t="n"/>
      <c r="Y2294" s="102" t="n"/>
      <c r="Z2294" s="104" t="n"/>
      <c r="AB2294" s="105">
        <f>IF($B2294="","",(COUNTIF(C2258:E2275,$B2294)+COUNTIF(C2258:E2275,$B2294&amp;" ~*")&gt;0)+(COUNTIF(G2258:I2275,$B2294)+COUNTIF(G2258:I2275,$B2294&amp;" ~*")&gt;0)+(COUNTIF(K2258:M2275,$B2294)+COUNTIF(K2258:M2275,$B2294&amp;" ~*")&gt;0)+(COUNTIF(O2258:Q2275,$B2294)+COUNTIF(O2258:Q2275,$B2294&amp;" ~*")&gt;0)+(COUNTIF(S2258:U2275,$B2294)+COUNTIF(S2258:U2275,$B2294&amp;" ~*")&gt;0)+(COUNTIF(W2258:W2275,$B2294)+COUNTIF(W2258:W2275,$B2294&amp;" ~*")&gt;0)+(COUNTIF(Y2258:Y2275,$B2294)+COUNTIF(Y2258:Y2275,$B2294&amp;" ~*")&gt;0))</f>
        <v/>
      </c>
      <c r="AC2294" s="38">
        <f>IF($B2294="","",(IFERROR(INDEX(Setup!$G$33:$G$40,MATCH(C2294,Setup!$B$33:$B$40,0)),0)=1)*(COUNTIF(C2258:E2275,$B2294)+COUNTIF(C2258:E2275,$B2294&amp;" ~*")&gt;0)+(IFERROR(INDEX(Setup!$G$33:$G$40,MATCH(G2294,Setup!$B$33:$B$40,0)),0)=1)*(COUNTIF(G2258:I2275,$B2294)+COUNTIF(G2258:I2275,$B2294&amp;" ~*")&gt;0)+(IFERROR(INDEX(Setup!$G$33:$G$40,MATCH(K2294,Setup!$B$33:$B$40,0)),0)=1)*(COUNTIF(K2258:M2275,$B2294)+COUNTIF(K2258:M2275,$B2294&amp;" ~*")&gt;0)+(IFERROR(INDEX(Setup!$G$33:$G$40,MATCH(O2294,Setup!$B$33:$B$40,0)),0)=1)*(COUNTIF(O2258:Q2275,$B2294)+COUNTIF(O2258:Q2275,$B2294&amp;" ~*")&gt;0)+(IFERROR(INDEX(Setup!$G$33:$G$40,MATCH(S2294,Setup!$B$33:$B$40,0)),0)=1)*(COUNTIF(S2258:U2275,$B2294)+COUNTIF(S2258:U2275,$B2294&amp;" ~*")&gt;0)+(IFERROR(INDEX(Setup!$G$33:$G$40,MATCH(W2294,Setup!$B$33:$B$40,0)),0)=1)*(COUNTIF(W2258:W2275,$B2294)+COUNTIF(W2258:W2275,$B2294&amp;" ~*")&gt;0)+(IFERROR(INDEX(Setup!$G$33:$G$40,MATCH(Y2294,Setup!$B$33:$B$40,0)),0)=1)*(COUNTIF(Y2258:Y2275,$B2294)+COUNTIF(Y2258:Y2275,$B2294&amp;" ~*")&gt;0))</f>
        <v/>
      </c>
    </row>
    <row r="2295" ht="15" customHeight="1">
      <c r="A2295" t="n">
        <v>46</v>
      </c>
      <c r="B2295" s="35">
        <f>IF(Setup!$B$24="","",Setup!$B$24)</f>
        <v/>
      </c>
      <c r="C2295" s="98" t="n"/>
      <c r="D2295" s="99" t="n"/>
      <c r="E2295" s="99" t="n"/>
      <c r="F2295" s="100" t="n"/>
      <c r="G2295" s="98" t="n"/>
      <c r="H2295" s="99" t="n"/>
      <c r="I2295" s="99" t="n"/>
      <c r="J2295" s="100" t="n"/>
      <c r="K2295" s="98" t="n"/>
      <c r="L2295" s="99" t="n"/>
      <c r="M2295" s="99" t="n"/>
      <c r="N2295" s="100" t="n"/>
      <c r="O2295" s="98" t="n"/>
      <c r="P2295" s="99" t="n"/>
      <c r="Q2295" s="99" t="n"/>
      <c r="R2295" s="100" t="n"/>
      <c r="S2295" s="98" t="n"/>
      <c r="T2295" s="99" t="n"/>
      <c r="U2295" s="99" t="n"/>
      <c r="V2295" s="100" t="n"/>
      <c r="W2295" s="98" t="n"/>
      <c r="X2295" s="100" t="n"/>
      <c r="Y2295" s="98" t="n"/>
      <c r="Z2295" s="100" t="n"/>
      <c r="AB2295" s="101">
        <f>IF($B2295="","",(COUNTIF(C2258:E2275,$B2295)+COUNTIF(C2258:E2275,$B2295&amp;" ~*")&gt;0)+(COUNTIF(G2258:I2275,$B2295)+COUNTIF(G2258:I2275,$B2295&amp;" ~*")&gt;0)+(COUNTIF(K2258:M2275,$B2295)+COUNTIF(K2258:M2275,$B2295&amp;" ~*")&gt;0)+(COUNTIF(O2258:Q2275,$B2295)+COUNTIF(O2258:Q2275,$B2295&amp;" ~*")&gt;0)+(COUNTIF(S2258:U2275,$B2295)+COUNTIF(S2258:U2275,$B2295&amp;" ~*")&gt;0)+(COUNTIF(W2258:W2275,$B2295)+COUNTIF(W2258:W2275,$B2295&amp;" ~*")&gt;0)+(COUNTIF(Y2258:Y2275,$B2295)+COUNTIF(Y2258:Y2275,$B2295&amp;" ~*")&gt;0))</f>
        <v/>
      </c>
      <c r="AC2295" s="36">
        <f>IF($B2295="","",(IFERROR(INDEX(Setup!$G$33:$G$40,MATCH(C2295,Setup!$B$33:$B$40,0)),0)=1)*(COUNTIF(C2258:E2275,$B2295)+COUNTIF(C2258:E2275,$B2295&amp;" ~*")&gt;0)+(IFERROR(INDEX(Setup!$G$33:$G$40,MATCH(G2295,Setup!$B$33:$B$40,0)),0)=1)*(COUNTIF(G2258:I2275,$B2295)+COUNTIF(G2258:I2275,$B2295&amp;" ~*")&gt;0)+(IFERROR(INDEX(Setup!$G$33:$G$40,MATCH(K2295,Setup!$B$33:$B$40,0)),0)=1)*(COUNTIF(K2258:M2275,$B2295)+COUNTIF(K2258:M2275,$B2295&amp;" ~*")&gt;0)+(IFERROR(INDEX(Setup!$G$33:$G$40,MATCH(O2295,Setup!$B$33:$B$40,0)),0)=1)*(COUNTIF(O2258:Q2275,$B2295)+COUNTIF(O2258:Q2275,$B2295&amp;" ~*")&gt;0)+(IFERROR(INDEX(Setup!$G$33:$G$40,MATCH(S2295,Setup!$B$33:$B$40,0)),0)=1)*(COUNTIF(S2258:U2275,$B2295)+COUNTIF(S2258:U2275,$B2295&amp;" ~*")&gt;0)+(IFERROR(INDEX(Setup!$G$33:$G$40,MATCH(W2295,Setup!$B$33:$B$40,0)),0)=1)*(COUNTIF(W2258:W2275,$B2295)+COUNTIF(W2258:W2275,$B2295&amp;" ~*")&gt;0)+(IFERROR(INDEX(Setup!$G$33:$G$40,MATCH(Y2295,Setup!$B$33:$B$40,0)),0)=1)*(COUNTIF(Y2258:Y2275,$B2295)+COUNTIF(Y2258:Y2275,$B2295&amp;" ~*")&gt;0))</f>
        <v/>
      </c>
    </row>
    <row r="2296" ht="15" customHeight="1">
      <c r="A2296" t="n">
        <v>46</v>
      </c>
      <c r="B2296" s="37">
        <f>IF(Setup!$B$25="","",Setup!$B$25)</f>
        <v/>
      </c>
      <c r="C2296" s="102" t="n"/>
      <c r="D2296" s="103" t="n"/>
      <c r="E2296" s="103" t="n"/>
      <c r="F2296" s="104" t="n"/>
      <c r="G2296" s="102" t="n"/>
      <c r="H2296" s="103" t="n"/>
      <c r="I2296" s="103" t="n"/>
      <c r="J2296" s="104" t="n"/>
      <c r="K2296" s="102" t="n"/>
      <c r="L2296" s="103" t="n"/>
      <c r="M2296" s="103" t="n"/>
      <c r="N2296" s="104" t="n"/>
      <c r="O2296" s="102" t="n"/>
      <c r="P2296" s="103" t="n"/>
      <c r="Q2296" s="103" t="n"/>
      <c r="R2296" s="104" t="n"/>
      <c r="S2296" s="102" t="n"/>
      <c r="T2296" s="103" t="n"/>
      <c r="U2296" s="103" t="n"/>
      <c r="V2296" s="104" t="n"/>
      <c r="W2296" s="102" t="n"/>
      <c r="X2296" s="104" t="n"/>
      <c r="Y2296" s="102" t="n"/>
      <c r="Z2296" s="104" t="n"/>
      <c r="AB2296" s="105">
        <f>IF($B2296="","",(COUNTIF(C2258:E2275,$B2296)+COUNTIF(C2258:E2275,$B2296&amp;" ~*")&gt;0)+(COUNTIF(G2258:I2275,$B2296)+COUNTIF(G2258:I2275,$B2296&amp;" ~*")&gt;0)+(COUNTIF(K2258:M2275,$B2296)+COUNTIF(K2258:M2275,$B2296&amp;" ~*")&gt;0)+(COUNTIF(O2258:Q2275,$B2296)+COUNTIF(O2258:Q2275,$B2296&amp;" ~*")&gt;0)+(COUNTIF(S2258:U2275,$B2296)+COUNTIF(S2258:U2275,$B2296&amp;" ~*")&gt;0)+(COUNTIF(W2258:W2275,$B2296)+COUNTIF(W2258:W2275,$B2296&amp;" ~*")&gt;0)+(COUNTIF(Y2258:Y2275,$B2296)+COUNTIF(Y2258:Y2275,$B2296&amp;" ~*")&gt;0))</f>
        <v/>
      </c>
      <c r="AC2296" s="38">
        <f>IF($B2296="","",(IFERROR(INDEX(Setup!$G$33:$G$40,MATCH(C2296,Setup!$B$33:$B$40,0)),0)=1)*(COUNTIF(C2258:E2275,$B2296)+COUNTIF(C2258:E2275,$B2296&amp;" ~*")&gt;0)+(IFERROR(INDEX(Setup!$G$33:$G$40,MATCH(G2296,Setup!$B$33:$B$40,0)),0)=1)*(COUNTIF(G2258:I2275,$B2296)+COUNTIF(G2258:I2275,$B2296&amp;" ~*")&gt;0)+(IFERROR(INDEX(Setup!$G$33:$G$40,MATCH(K2296,Setup!$B$33:$B$40,0)),0)=1)*(COUNTIF(K2258:M2275,$B2296)+COUNTIF(K2258:M2275,$B2296&amp;" ~*")&gt;0)+(IFERROR(INDEX(Setup!$G$33:$G$40,MATCH(O2296,Setup!$B$33:$B$40,0)),0)=1)*(COUNTIF(O2258:Q2275,$B2296)+COUNTIF(O2258:Q2275,$B2296&amp;" ~*")&gt;0)+(IFERROR(INDEX(Setup!$G$33:$G$40,MATCH(S2296,Setup!$B$33:$B$40,0)),0)=1)*(COUNTIF(S2258:U2275,$B2296)+COUNTIF(S2258:U2275,$B2296&amp;" ~*")&gt;0)+(IFERROR(INDEX(Setup!$G$33:$G$40,MATCH(W2296,Setup!$B$33:$B$40,0)),0)=1)*(COUNTIF(W2258:W2275,$B2296)+COUNTIF(W2258:W2275,$B2296&amp;" ~*")&gt;0)+(IFERROR(INDEX(Setup!$G$33:$G$40,MATCH(Y2296,Setup!$B$33:$B$40,0)),0)=1)*(COUNTIF(Y2258:Y2275,$B2296)+COUNTIF(Y2258:Y2275,$B2296&amp;" ~*")&gt;0))</f>
        <v/>
      </c>
    </row>
    <row r="2297" ht="15" customHeight="1">
      <c r="A2297" t="n">
        <v>46</v>
      </c>
      <c r="B2297" s="35">
        <f>IF(Setup!$B$26="","",Setup!$B$26)</f>
        <v/>
      </c>
      <c r="C2297" s="98" t="n"/>
      <c r="D2297" s="99" t="n"/>
      <c r="E2297" s="99" t="n"/>
      <c r="F2297" s="100" t="n"/>
      <c r="G2297" s="98" t="n"/>
      <c r="H2297" s="99" t="n"/>
      <c r="I2297" s="99" t="n"/>
      <c r="J2297" s="100" t="n"/>
      <c r="K2297" s="98" t="n"/>
      <c r="L2297" s="99" t="n"/>
      <c r="M2297" s="99" t="n"/>
      <c r="N2297" s="100" t="n"/>
      <c r="O2297" s="98" t="n"/>
      <c r="P2297" s="99" t="n"/>
      <c r="Q2297" s="99" t="n"/>
      <c r="R2297" s="100" t="n"/>
      <c r="S2297" s="98" t="n"/>
      <c r="T2297" s="99" t="n"/>
      <c r="U2297" s="99" t="n"/>
      <c r="V2297" s="100" t="n"/>
      <c r="W2297" s="98" t="n"/>
      <c r="X2297" s="100" t="n"/>
      <c r="Y2297" s="98" t="n"/>
      <c r="Z2297" s="100" t="n"/>
      <c r="AB2297" s="101">
        <f>IF($B2297="","",(COUNTIF(C2258:E2275,$B2297)+COUNTIF(C2258:E2275,$B2297&amp;" ~*")&gt;0)+(COUNTIF(G2258:I2275,$B2297)+COUNTIF(G2258:I2275,$B2297&amp;" ~*")&gt;0)+(COUNTIF(K2258:M2275,$B2297)+COUNTIF(K2258:M2275,$B2297&amp;" ~*")&gt;0)+(COUNTIF(O2258:Q2275,$B2297)+COUNTIF(O2258:Q2275,$B2297&amp;" ~*")&gt;0)+(COUNTIF(S2258:U2275,$B2297)+COUNTIF(S2258:U2275,$B2297&amp;" ~*")&gt;0)+(COUNTIF(W2258:W2275,$B2297)+COUNTIF(W2258:W2275,$B2297&amp;" ~*")&gt;0)+(COUNTIF(Y2258:Y2275,$B2297)+COUNTIF(Y2258:Y2275,$B2297&amp;" ~*")&gt;0))</f>
        <v/>
      </c>
      <c r="AC2297" s="36">
        <f>IF($B2297="","",(IFERROR(INDEX(Setup!$G$33:$G$40,MATCH(C2297,Setup!$B$33:$B$40,0)),0)=1)*(COUNTIF(C2258:E2275,$B2297)+COUNTIF(C2258:E2275,$B2297&amp;" ~*")&gt;0)+(IFERROR(INDEX(Setup!$G$33:$G$40,MATCH(G2297,Setup!$B$33:$B$40,0)),0)=1)*(COUNTIF(G2258:I2275,$B2297)+COUNTIF(G2258:I2275,$B2297&amp;" ~*")&gt;0)+(IFERROR(INDEX(Setup!$G$33:$G$40,MATCH(K2297,Setup!$B$33:$B$40,0)),0)=1)*(COUNTIF(K2258:M2275,$B2297)+COUNTIF(K2258:M2275,$B2297&amp;" ~*")&gt;0)+(IFERROR(INDEX(Setup!$G$33:$G$40,MATCH(O2297,Setup!$B$33:$B$40,0)),0)=1)*(COUNTIF(O2258:Q2275,$B2297)+COUNTIF(O2258:Q2275,$B2297&amp;" ~*")&gt;0)+(IFERROR(INDEX(Setup!$G$33:$G$40,MATCH(S2297,Setup!$B$33:$B$40,0)),0)=1)*(COUNTIF(S2258:U2275,$B2297)+COUNTIF(S2258:U2275,$B2297&amp;" ~*")&gt;0)+(IFERROR(INDEX(Setup!$G$33:$G$40,MATCH(W2297,Setup!$B$33:$B$40,0)),0)=1)*(COUNTIF(W2258:W2275,$B2297)+COUNTIF(W2258:W2275,$B2297&amp;" ~*")&gt;0)+(IFERROR(INDEX(Setup!$G$33:$G$40,MATCH(Y2297,Setup!$B$33:$B$40,0)),0)=1)*(COUNTIF(Y2258:Y2275,$B2297)+COUNTIF(Y2258:Y2275,$B2297&amp;" ~*")&gt;0))</f>
        <v/>
      </c>
    </row>
    <row r="2298" ht="15" customHeight="1">
      <c r="A2298" t="n">
        <v>46</v>
      </c>
      <c r="B2298" s="37">
        <f>IF(Setup!$B$27="","",Setup!$B$27)</f>
        <v/>
      </c>
      <c r="C2298" s="102" t="n"/>
      <c r="D2298" s="103" t="n"/>
      <c r="E2298" s="103" t="n"/>
      <c r="F2298" s="104" t="n"/>
      <c r="G2298" s="102" t="n"/>
      <c r="H2298" s="103" t="n"/>
      <c r="I2298" s="103" t="n"/>
      <c r="J2298" s="104" t="n"/>
      <c r="K2298" s="102" t="n"/>
      <c r="L2298" s="103" t="n"/>
      <c r="M2298" s="103" t="n"/>
      <c r="N2298" s="104" t="n"/>
      <c r="O2298" s="102" t="n"/>
      <c r="P2298" s="103" t="n"/>
      <c r="Q2298" s="103" t="n"/>
      <c r="R2298" s="104" t="n"/>
      <c r="S2298" s="102" t="n"/>
      <c r="T2298" s="103" t="n"/>
      <c r="U2298" s="103" t="n"/>
      <c r="V2298" s="104" t="n"/>
      <c r="W2298" s="102" t="n"/>
      <c r="X2298" s="104" t="n"/>
      <c r="Y2298" s="102" t="n"/>
      <c r="Z2298" s="104" t="n"/>
      <c r="AB2298" s="105">
        <f>IF($B2298="","",(COUNTIF(C2258:E2275,$B2298)+COUNTIF(C2258:E2275,$B2298&amp;" ~*")&gt;0)+(COUNTIF(G2258:I2275,$B2298)+COUNTIF(G2258:I2275,$B2298&amp;" ~*")&gt;0)+(COUNTIF(K2258:M2275,$B2298)+COUNTIF(K2258:M2275,$B2298&amp;" ~*")&gt;0)+(COUNTIF(O2258:Q2275,$B2298)+COUNTIF(O2258:Q2275,$B2298&amp;" ~*")&gt;0)+(COUNTIF(S2258:U2275,$B2298)+COUNTIF(S2258:U2275,$B2298&amp;" ~*")&gt;0)+(COUNTIF(W2258:W2275,$B2298)+COUNTIF(W2258:W2275,$B2298&amp;" ~*")&gt;0)+(COUNTIF(Y2258:Y2275,$B2298)+COUNTIF(Y2258:Y2275,$B2298&amp;" ~*")&gt;0))</f>
        <v/>
      </c>
      <c r="AC2298" s="38">
        <f>IF($B2298="","",(IFERROR(INDEX(Setup!$G$33:$G$40,MATCH(C2298,Setup!$B$33:$B$40,0)),0)=1)*(COUNTIF(C2258:E2275,$B2298)+COUNTIF(C2258:E2275,$B2298&amp;" ~*")&gt;0)+(IFERROR(INDEX(Setup!$G$33:$G$40,MATCH(G2298,Setup!$B$33:$B$40,0)),0)=1)*(COUNTIF(G2258:I2275,$B2298)+COUNTIF(G2258:I2275,$B2298&amp;" ~*")&gt;0)+(IFERROR(INDEX(Setup!$G$33:$G$40,MATCH(K2298,Setup!$B$33:$B$40,0)),0)=1)*(COUNTIF(K2258:M2275,$B2298)+COUNTIF(K2258:M2275,$B2298&amp;" ~*")&gt;0)+(IFERROR(INDEX(Setup!$G$33:$G$40,MATCH(O2298,Setup!$B$33:$B$40,0)),0)=1)*(COUNTIF(O2258:Q2275,$B2298)+COUNTIF(O2258:Q2275,$B2298&amp;" ~*")&gt;0)+(IFERROR(INDEX(Setup!$G$33:$G$40,MATCH(S2298,Setup!$B$33:$B$40,0)),0)=1)*(COUNTIF(S2258:U2275,$B2298)+COUNTIF(S2258:U2275,$B2298&amp;" ~*")&gt;0)+(IFERROR(INDEX(Setup!$G$33:$G$40,MATCH(W2298,Setup!$B$33:$B$40,0)),0)=1)*(COUNTIF(W2258:W2275,$B2298)+COUNTIF(W2258:W2275,$B2298&amp;" ~*")&gt;0)+(IFERROR(INDEX(Setup!$G$33:$G$40,MATCH(Y2298,Setup!$B$33:$B$40,0)),0)=1)*(COUNTIF(Y2258:Y2275,$B2298)+COUNTIF(Y2258:Y2275,$B2298&amp;" ~*")&gt;0))</f>
        <v/>
      </c>
    </row>
    <row r="2299" ht="15" customHeight="1">
      <c r="A2299" t="n">
        <v>46</v>
      </c>
      <c r="B2299" s="35">
        <f>IF(Setup!$B$28="","",Setup!$B$28)</f>
        <v/>
      </c>
      <c r="C2299" s="98" t="n"/>
      <c r="D2299" s="99" t="n"/>
      <c r="E2299" s="99" t="n"/>
      <c r="F2299" s="100" t="n"/>
      <c r="G2299" s="98" t="n"/>
      <c r="H2299" s="99" t="n"/>
      <c r="I2299" s="99" t="n"/>
      <c r="J2299" s="100" t="n"/>
      <c r="K2299" s="98" t="n"/>
      <c r="L2299" s="99" t="n"/>
      <c r="M2299" s="99" t="n"/>
      <c r="N2299" s="100" t="n"/>
      <c r="O2299" s="98" t="n"/>
      <c r="P2299" s="99" t="n"/>
      <c r="Q2299" s="99" t="n"/>
      <c r="R2299" s="100" t="n"/>
      <c r="S2299" s="98" t="n"/>
      <c r="T2299" s="99" t="n"/>
      <c r="U2299" s="99" t="n"/>
      <c r="V2299" s="100" t="n"/>
      <c r="W2299" s="98" t="n"/>
      <c r="X2299" s="100" t="n"/>
      <c r="Y2299" s="98" t="n"/>
      <c r="Z2299" s="100" t="n"/>
      <c r="AB2299" s="101">
        <f>IF($B2299="","",(COUNTIF(C2258:E2275,$B2299)+COUNTIF(C2258:E2275,$B2299&amp;" ~*")&gt;0)+(COUNTIF(G2258:I2275,$B2299)+COUNTIF(G2258:I2275,$B2299&amp;" ~*")&gt;0)+(COUNTIF(K2258:M2275,$B2299)+COUNTIF(K2258:M2275,$B2299&amp;" ~*")&gt;0)+(COUNTIF(O2258:Q2275,$B2299)+COUNTIF(O2258:Q2275,$B2299&amp;" ~*")&gt;0)+(COUNTIF(S2258:U2275,$B2299)+COUNTIF(S2258:U2275,$B2299&amp;" ~*")&gt;0)+(COUNTIF(W2258:W2275,$B2299)+COUNTIF(W2258:W2275,$B2299&amp;" ~*")&gt;0)+(COUNTIF(Y2258:Y2275,$B2299)+COUNTIF(Y2258:Y2275,$B2299&amp;" ~*")&gt;0))</f>
        <v/>
      </c>
      <c r="AC2299" s="36">
        <f>IF($B2299="","",(IFERROR(INDEX(Setup!$G$33:$G$40,MATCH(C2299,Setup!$B$33:$B$40,0)),0)=1)*(COUNTIF(C2258:E2275,$B2299)+COUNTIF(C2258:E2275,$B2299&amp;" ~*")&gt;0)+(IFERROR(INDEX(Setup!$G$33:$G$40,MATCH(G2299,Setup!$B$33:$B$40,0)),0)=1)*(COUNTIF(G2258:I2275,$B2299)+COUNTIF(G2258:I2275,$B2299&amp;" ~*")&gt;0)+(IFERROR(INDEX(Setup!$G$33:$G$40,MATCH(K2299,Setup!$B$33:$B$40,0)),0)=1)*(COUNTIF(K2258:M2275,$B2299)+COUNTIF(K2258:M2275,$B2299&amp;" ~*")&gt;0)+(IFERROR(INDEX(Setup!$G$33:$G$40,MATCH(O2299,Setup!$B$33:$B$40,0)),0)=1)*(COUNTIF(O2258:Q2275,$B2299)+COUNTIF(O2258:Q2275,$B2299&amp;" ~*")&gt;0)+(IFERROR(INDEX(Setup!$G$33:$G$40,MATCH(S2299,Setup!$B$33:$B$40,0)),0)=1)*(COUNTIF(S2258:U2275,$B2299)+COUNTIF(S2258:U2275,$B2299&amp;" ~*")&gt;0)+(IFERROR(INDEX(Setup!$G$33:$G$40,MATCH(W2299,Setup!$B$33:$B$40,0)),0)=1)*(COUNTIF(W2258:W2275,$B2299)+COUNTIF(W2258:W2275,$B2299&amp;" ~*")&gt;0)+(IFERROR(INDEX(Setup!$G$33:$G$40,MATCH(Y2299,Setup!$B$33:$B$40,0)),0)=1)*(COUNTIF(Y2258:Y2275,$B2299)+COUNTIF(Y2258:Y2275,$B2299&amp;" ~*")&gt;0))</f>
        <v/>
      </c>
    </row>
    <row r="2300" ht="15" customHeight="1">
      <c r="A2300" t="n">
        <v>46</v>
      </c>
      <c r="B2300" s="37">
        <f>IF(Setup!$B$29="","",Setup!$B$29)</f>
        <v/>
      </c>
      <c r="C2300" s="102" t="n"/>
      <c r="D2300" s="103" t="n"/>
      <c r="E2300" s="103" t="n"/>
      <c r="F2300" s="104" t="n"/>
      <c r="G2300" s="102" t="n"/>
      <c r="H2300" s="103" t="n"/>
      <c r="I2300" s="103" t="n"/>
      <c r="J2300" s="104" t="n"/>
      <c r="K2300" s="102" t="n"/>
      <c r="L2300" s="103" t="n"/>
      <c r="M2300" s="103" t="n"/>
      <c r="N2300" s="104" t="n"/>
      <c r="O2300" s="102" t="n"/>
      <c r="P2300" s="103" t="n"/>
      <c r="Q2300" s="103" t="n"/>
      <c r="R2300" s="104" t="n"/>
      <c r="S2300" s="102" t="n"/>
      <c r="T2300" s="103" t="n"/>
      <c r="U2300" s="103" t="n"/>
      <c r="V2300" s="104" t="n"/>
      <c r="W2300" s="102" t="n"/>
      <c r="X2300" s="104" t="n"/>
      <c r="Y2300" s="102" t="n"/>
      <c r="Z2300" s="104" t="n"/>
      <c r="AB2300" s="105">
        <f>IF($B2300="","",(COUNTIF(C2258:E2275,$B2300)+COUNTIF(C2258:E2275,$B2300&amp;" ~*")&gt;0)+(COUNTIF(G2258:I2275,$B2300)+COUNTIF(G2258:I2275,$B2300&amp;" ~*")&gt;0)+(COUNTIF(K2258:M2275,$B2300)+COUNTIF(K2258:M2275,$B2300&amp;" ~*")&gt;0)+(COUNTIF(O2258:Q2275,$B2300)+COUNTIF(O2258:Q2275,$B2300&amp;" ~*")&gt;0)+(COUNTIF(S2258:U2275,$B2300)+COUNTIF(S2258:U2275,$B2300&amp;" ~*")&gt;0)+(COUNTIF(W2258:W2275,$B2300)+COUNTIF(W2258:W2275,$B2300&amp;" ~*")&gt;0)+(COUNTIF(Y2258:Y2275,$B2300)+COUNTIF(Y2258:Y2275,$B2300&amp;" ~*")&gt;0))</f>
        <v/>
      </c>
      <c r="AC2300" s="38">
        <f>IF($B2300="","",(IFERROR(INDEX(Setup!$G$33:$G$40,MATCH(C2300,Setup!$B$33:$B$40,0)),0)=1)*(COUNTIF(C2258:E2275,$B2300)+COUNTIF(C2258:E2275,$B2300&amp;" ~*")&gt;0)+(IFERROR(INDEX(Setup!$G$33:$G$40,MATCH(G2300,Setup!$B$33:$B$40,0)),0)=1)*(COUNTIF(G2258:I2275,$B2300)+COUNTIF(G2258:I2275,$B2300&amp;" ~*")&gt;0)+(IFERROR(INDEX(Setup!$G$33:$G$40,MATCH(K2300,Setup!$B$33:$B$40,0)),0)=1)*(COUNTIF(K2258:M2275,$B2300)+COUNTIF(K2258:M2275,$B2300&amp;" ~*")&gt;0)+(IFERROR(INDEX(Setup!$G$33:$G$40,MATCH(O2300,Setup!$B$33:$B$40,0)),0)=1)*(COUNTIF(O2258:Q2275,$B2300)+COUNTIF(O2258:Q2275,$B2300&amp;" ~*")&gt;0)+(IFERROR(INDEX(Setup!$G$33:$G$40,MATCH(S2300,Setup!$B$33:$B$40,0)),0)=1)*(COUNTIF(S2258:U2275,$B2300)+COUNTIF(S2258:U2275,$B2300&amp;" ~*")&gt;0)+(IFERROR(INDEX(Setup!$G$33:$G$40,MATCH(W2300,Setup!$B$33:$B$40,0)),0)=1)*(COUNTIF(W2258:W2275,$B2300)+COUNTIF(W2258:W2275,$B2300&amp;" ~*")&gt;0)+(IFERROR(INDEX(Setup!$G$33:$G$40,MATCH(Y2300,Setup!$B$33:$B$40,0)),0)=1)*(COUNTIF(Y2258:Y2275,$B2300)+COUNTIF(Y2258:Y2275,$B2300&amp;" ~*")&gt;0))</f>
        <v/>
      </c>
    </row>
    <row r="2301" ht="16" customHeight="1">
      <c r="A2301" t="n">
        <v>46</v>
      </c>
      <c r="B2301" s="106" t="inlineStr">
        <is>
          <t>Available people</t>
        </is>
      </c>
      <c r="C2301" s="107">
        <f>COUNTIFS(Setup!$E$6:$E$29,"Y",Setup!$B$6:$B$29,"?*")-SUMPRODUCT(COUNTIF(C2277:C2300,Setup!$F$33:$F$40))</f>
        <v/>
      </c>
      <c r="D2301" s="107" t="n"/>
      <c r="E2301" s="107" t="n"/>
      <c r="F2301" s="107" t="n"/>
      <c r="G2301" s="107">
        <f>COUNTIFS(Setup!$E$6:$E$29,"Y",Setup!$B$6:$B$29,"?*")-SUMPRODUCT(COUNTIF(G2277:G2300,Setup!$F$33:$F$40))</f>
        <v/>
      </c>
      <c r="H2301" s="107" t="n"/>
      <c r="I2301" s="107" t="n"/>
      <c r="J2301" s="107" t="n"/>
      <c r="K2301" s="107">
        <f>COUNTIFS(Setup!$E$6:$E$29,"Y",Setup!$B$6:$B$29,"?*")-SUMPRODUCT(COUNTIF(K2277:K2300,Setup!$F$33:$F$40))</f>
        <v/>
      </c>
      <c r="L2301" s="107" t="n"/>
      <c r="M2301" s="107" t="n"/>
      <c r="N2301" s="107" t="n"/>
      <c r="O2301" s="107">
        <f>COUNTIFS(Setup!$E$6:$E$29,"Y",Setup!$B$6:$B$29,"?*")-SUMPRODUCT(COUNTIF(O2277:O2300,Setup!$F$33:$F$40))</f>
        <v/>
      </c>
      <c r="P2301" s="107" t="n"/>
      <c r="Q2301" s="107" t="n"/>
      <c r="R2301" s="107" t="n"/>
      <c r="S2301" s="107">
        <f>COUNTIFS(Setup!$E$6:$E$29,"Y",Setup!$B$6:$B$29,"?*")-SUMPRODUCT(COUNTIF(S2277:S2300,Setup!$F$33:$F$40))</f>
        <v/>
      </c>
      <c r="T2301" s="107" t="n"/>
      <c r="U2301" s="107" t="n"/>
      <c r="V2301" s="107" t="n"/>
      <c r="W2301" s="107">
        <f>COUNTIFS(Setup!$E$6:$E$29,"Y",Setup!$B$6:$B$29,"?*")-SUMPRODUCT(COUNTIF(W2277:W2300,Setup!$F$33:$F$40))</f>
        <v/>
      </c>
      <c r="X2301" s="107" t="n"/>
      <c r="Y2301" s="107">
        <f>COUNTIFS(Setup!$E$6:$E$29,"Y",Setup!$B$6:$B$29,"?*")-SUMPRODUCT(COUNTIF(Y2277:Y2300,Setup!$F$33:$F$40))</f>
        <v/>
      </c>
      <c r="Z2301" s="107" t="n"/>
      <c r="AB2301" s="108">
        <f>SUM(AB2277:AB2300)</f>
        <v/>
      </c>
      <c r="AC2301" s="109">
        <f>SUM(AC2277:AC2300)</f>
        <v/>
      </c>
    </row>
    <row r="2302" ht="30" customHeight="1">
      <c r="A2302" t="n">
        <v>46</v>
      </c>
      <c r="B2302" s="110" t="inlineStr">
        <is>
          <t>Week notes</t>
        </is>
      </c>
      <c r="C2302" s="111" t="n"/>
      <c r="D2302" s="112" t="n"/>
      <c r="E2302" s="112" t="n"/>
      <c r="F2302" s="112" t="n"/>
      <c r="G2302" s="112" t="n"/>
      <c r="H2302" s="112" t="n"/>
      <c r="I2302" s="112" t="n"/>
      <c r="J2302" s="112" t="n"/>
      <c r="K2302" s="112" t="n"/>
      <c r="L2302" s="112" t="n"/>
      <c r="M2302" s="112" t="n"/>
      <c r="N2302" s="112" t="n"/>
      <c r="O2302" s="112" t="n"/>
      <c r="P2302" s="112" t="n"/>
      <c r="Q2302" s="112" t="n"/>
      <c r="R2302" s="112" t="n"/>
      <c r="S2302" s="112" t="n"/>
      <c r="T2302" s="112" t="n"/>
      <c r="U2302" s="112" t="n"/>
      <c r="V2302" s="112" t="n"/>
      <c r="W2302" s="112" t="n"/>
      <c r="X2302" s="112" t="n"/>
      <c r="Y2302" s="112" t="n"/>
      <c r="Z2302" s="113" t="n"/>
    </row>
    <row r="2303" ht="8" customHeight="1">
      <c r="A2303" t="n">
        <v>46</v>
      </c>
    </row>
    <row r="2304" ht="8" customHeight="1">
      <c r="A2304" t="n">
        <v>46</v>
      </c>
    </row>
    <row r="2305" ht="24" customHeight="1">
      <c r="A2305" t="n">
        <v>47</v>
      </c>
      <c r="B2305" s="73">
        <f>"WEEK 47     "&amp;TEXT(C2306,"ddd d mmm")&amp;"  –  "&amp;TEXT(C2306+6,"ddd d mmm yyyy")</f>
        <v/>
      </c>
      <c r="S2305" s="74">
        <f>IF(TODAY()&lt;C2306,"FUTURE",IF(TODAY()&gt;C2306+6,"PAST","THIS WEEK"))</f>
        <v/>
      </c>
      <c r="W2305" s="75">
        <f>IF(AND(Engine!$B$8=$AC$3,Engine!$B$9=$A2305),"◀ ACTIVE WEEK","")</f>
        <v/>
      </c>
      <c r="AA2305" s="76" t="n"/>
      <c r="AB2305" s="77" t="inlineStr">
        <is>
          <t>◀ Prev</t>
        </is>
      </c>
      <c r="AC2305" s="77" t="inlineStr">
        <is>
          <t>Next ▶</t>
        </is>
      </c>
    </row>
    <row r="2306" ht="18" customHeight="1">
      <c r="A2306" t="n">
        <v>47</v>
      </c>
      <c r="B2306" s="78" t="inlineStr">
        <is>
          <t>DUTY</t>
        </is>
      </c>
      <c r="C2306" s="79">
        <f>$AC$2+7*($A2306-1)</f>
        <v/>
      </c>
      <c r="D2306" s="80" t="n"/>
      <c r="E2306" s="80" t="n"/>
      <c r="F2306" s="81" t="n"/>
      <c r="G2306" s="79">
        <f>C2306+1</f>
        <v/>
      </c>
      <c r="H2306" s="80" t="n"/>
      <c r="I2306" s="80" t="n"/>
      <c r="J2306" s="81" t="n"/>
      <c r="K2306" s="79">
        <f>C2306+2</f>
        <v/>
      </c>
      <c r="L2306" s="80" t="n"/>
      <c r="M2306" s="80" t="n"/>
      <c r="N2306" s="81" t="n"/>
      <c r="O2306" s="79">
        <f>C2306+3</f>
        <v/>
      </c>
      <c r="P2306" s="80" t="n"/>
      <c r="Q2306" s="80" t="n"/>
      <c r="R2306" s="81" t="n"/>
      <c r="S2306" s="79">
        <f>C2306+4</f>
        <v/>
      </c>
      <c r="T2306" s="80" t="n"/>
      <c r="U2306" s="80" t="n"/>
      <c r="V2306" s="81" t="n"/>
      <c r="W2306" s="82">
        <f>C2306+5</f>
        <v/>
      </c>
      <c r="X2306" s="83" t="n"/>
      <c r="Y2306" s="82">
        <f>C2306+6</f>
        <v/>
      </c>
      <c r="Z2306" s="83" t="n"/>
      <c r="AB2306" s="72" t="inlineStr">
        <is>
          <t>Gaps</t>
        </is>
      </c>
      <c r="AC2306" s="72" t="inlineStr">
        <is>
          <t>Cover</t>
        </is>
      </c>
    </row>
    <row r="2307" ht="14" customHeight="1">
      <c r="A2307" t="n">
        <v>47</v>
      </c>
      <c r="B2307" s="84" t="inlineStr">
        <is>
          <t>(from Setup)</t>
        </is>
      </c>
      <c r="C2307" s="85" t="inlineStr">
        <is>
          <t>1</t>
        </is>
      </c>
      <c r="D2307" s="85" t="inlineStr">
        <is>
          <t>2</t>
        </is>
      </c>
      <c r="E2307" s="85" t="inlineStr">
        <is>
          <t>3</t>
        </is>
      </c>
      <c r="F2307" s="85" t="inlineStr">
        <is>
          <t>Notes</t>
        </is>
      </c>
      <c r="G2307" s="85" t="inlineStr">
        <is>
          <t>1</t>
        </is>
      </c>
      <c r="H2307" s="85" t="inlineStr">
        <is>
          <t>2</t>
        </is>
      </c>
      <c r="I2307" s="85" t="inlineStr">
        <is>
          <t>3</t>
        </is>
      </c>
      <c r="J2307" s="85" t="inlineStr">
        <is>
          <t>Notes</t>
        </is>
      </c>
      <c r="K2307" s="85" t="inlineStr">
        <is>
          <t>1</t>
        </is>
      </c>
      <c r="L2307" s="85" t="inlineStr">
        <is>
          <t>2</t>
        </is>
      </c>
      <c r="M2307" s="85" t="inlineStr">
        <is>
          <t>3</t>
        </is>
      </c>
      <c r="N2307" s="85" t="inlineStr">
        <is>
          <t>Notes</t>
        </is>
      </c>
      <c r="O2307" s="85" t="inlineStr">
        <is>
          <t>1</t>
        </is>
      </c>
      <c r="P2307" s="85" t="inlineStr">
        <is>
          <t>2</t>
        </is>
      </c>
      <c r="Q2307" s="85" t="inlineStr">
        <is>
          <t>3</t>
        </is>
      </c>
      <c r="R2307" s="85" t="inlineStr">
        <is>
          <t>Notes</t>
        </is>
      </c>
      <c r="S2307" s="85" t="inlineStr">
        <is>
          <t>1</t>
        </is>
      </c>
      <c r="T2307" s="85" t="inlineStr">
        <is>
          <t>2</t>
        </is>
      </c>
      <c r="U2307" s="85" t="inlineStr">
        <is>
          <t>3</t>
        </is>
      </c>
      <c r="V2307" s="85" t="inlineStr">
        <is>
          <t>Notes</t>
        </is>
      </c>
      <c r="W2307" s="85" t="inlineStr">
        <is>
          <t>Cover</t>
        </is>
      </c>
      <c r="X2307" s="85" t="inlineStr">
        <is>
          <t>Notes</t>
        </is>
      </c>
      <c r="Y2307" s="85" t="inlineStr">
        <is>
          <t>Cover</t>
        </is>
      </c>
      <c r="Z2307" s="85" t="inlineStr">
        <is>
          <t>Notes</t>
        </is>
      </c>
      <c r="AB2307" s="86" t="inlineStr">
        <is>
          <t>weekdays short</t>
        </is>
      </c>
      <c r="AC2307" s="87" t="inlineStr"/>
    </row>
    <row r="2308" ht="17" customHeight="1">
      <c r="A2308" t="n">
        <v>47</v>
      </c>
      <c r="B2308" s="24">
        <f>IF(Setup!$K$6="","",Setup!$K$6)</f>
        <v/>
      </c>
      <c r="C2308" s="88" t="n"/>
      <c r="D2308" s="88" t="n"/>
      <c r="E2308" s="88" t="n"/>
      <c r="F2308" s="89" t="n"/>
      <c r="G2308" s="88" t="n"/>
      <c r="H2308" s="88" t="n"/>
      <c r="I2308" s="88" t="n"/>
      <c r="J2308" s="89" t="n"/>
      <c r="K2308" s="88" t="n"/>
      <c r="L2308" s="88" t="n"/>
      <c r="M2308" s="88" t="n"/>
      <c r="N2308" s="89" t="n"/>
      <c r="O2308" s="88" t="n"/>
      <c r="P2308" s="88" t="n"/>
      <c r="Q2308" s="88" t="n"/>
      <c r="R2308" s="89" t="n"/>
      <c r="S2308" s="88" t="n"/>
      <c r="T2308" s="88" t="n"/>
      <c r="U2308" s="88" t="n"/>
      <c r="V2308" s="89" t="n"/>
      <c r="W2308" s="88" t="n"/>
      <c r="X2308" s="89" t="n"/>
      <c r="Y2308" s="88" t="n"/>
      <c r="Z2308" s="89" t="n"/>
      <c r="AB2308" s="25">
        <f>IF($B2308="","",(COUNTIF(C2308:E2308,"?*")&lt;N(INDEX(Setup!$L$6:$L$23,1)))+(COUNTIF(G2308:I2308,"?*")&lt;N(INDEX(Setup!$L$6:$L$23,1)))+(COUNTIF(K2308:M2308,"?*")&lt;N(INDEX(Setup!$L$6:$L$23,1)))+(COUNTIF(O2308:Q2308,"?*")&lt;N(INDEX(Setup!$L$6:$L$23,1)))+(COUNTIF(S2308:U2308,"?*")&lt;N(INDEX(Setup!$L$6:$L$23,1)))+((W2308="")*(INDEX(Setup!$M$6:$M$23,1)="Y"))+((Y2308="")*(INDEX(Setup!$M$6:$M$23,1)="Y")))</f>
        <v/>
      </c>
      <c r="AC2308" s="90">
        <f>IF($B2308="","",IF(AB2308=0,"✓ covered","⚠ "&amp;AB2308&amp;IF(AB2308=1," gap"," gaps")))</f>
        <v/>
      </c>
    </row>
    <row r="2309" ht="17" customHeight="1">
      <c r="A2309" t="n">
        <v>47</v>
      </c>
      <c r="B2309" s="29">
        <f>IF(Setup!$K$7="","",Setup!$K$7)</f>
        <v/>
      </c>
      <c r="C2309" s="88" t="n"/>
      <c r="D2309" s="88" t="n"/>
      <c r="E2309" s="88" t="n"/>
      <c r="F2309" s="89" t="n"/>
      <c r="G2309" s="88" t="n"/>
      <c r="H2309" s="88" t="n"/>
      <c r="I2309" s="88" t="n"/>
      <c r="J2309" s="89" t="n"/>
      <c r="K2309" s="88" t="n"/>
      <c r="L2309" s="88" t="n"/>
      <c r="M2309" s="88" t="n"/>
      <c r="N2309" s="89" t="n"/>
      <c r="O2309" s="88" t="n"/>
      <c r="P2309" s="88" t="n"/>
      <c r="Q2309" s="88" t="n"/>
      <c r="R2309" s="89" t="n"/>
      <c r="S2309" s="88" t="n"/>
      <c r="T2309" s="88" t="n"/>
      <c r="U2309" s="88" t="n"/>
      <c r="V2309" s="89" t="n"/>
      <c r="W2309" s="88" t="n"/>
      <c r="X2309" s="89" t="n"/>
      <c r="Y2309" s="88" t="n"/>
      <c r="Z2309" s="89" t="n"/>
      <c r="AB2309" s="30">
        <f>IF($B2309="","",(COUNTIF(C2309:E2309,"?*")&lt;N(INDEX(Setup!$L$6:$L$23,2)))+(COUNTIF(G2309:I2309,"?*")&lt;N(INDEX(Setup!$L$6:$L$23,2)))+(COUNTIF(K2309:M2309,"?*")&lt;N(INDEX(Setup!$L$6:$L$23,2)))+(COUNTIF(O2309:Q2309,"?*")&lt;N(INDEX(Setup!$L$6:$L$23,2)))+(COUNTIF(S2309:U2309,"?*")&lt;N(INDEX(Setup!$L$6:$L$23,2)))+((W2309="")*(INDEX(Setup!$M$6:$M$23,2)="Y"))+((Y2309="")*(INDEX(Setup!$M$6:$M$23,2)="Y")))</f>
        <v/>
      </c>
      <c r="AC2309" s="91">
        <f>IF($B2309="","",IF(AB2309=0,"✓ covered","⚠ "&amp;AB2309&amp;IF(AB2309=1," gap"," gaps")))</f>
        <v/>
      </c>
    </row>
    <row r="2310" ht="17" customHeight="1">
      <c r="A2310" t="n">
        <v>47</v>
      </c>
      <c r="B2310" s="24">
        <f>IF(Setup!$K$8="","",Setup!$K$8)</f>
        <v/>
      </c>
      <c r="C2310" s="88" t="n"/>
      <c r="D2310" s="88" t="n"/>
      <c r="E2310" s="88" t="n"/>
      <c r="F2310" s="89" t="n"/>
      <c r="G2310" s="88" t="n"/>
      <c r="H2310" s="88" t="n"/>
      <c r="I2310" s="88" t="n"/>
      <c r="J2310" s="89" t="n"/>
      <c r="K2310" s="88" t="n"/>
      <c r="L2310" s="88" t="n"/>
      <c r="M2310" s="88" t="n"/>
      <c r="N2310" s="89" t="n"/>
      <c r="O2310" s="88" t="n"/>
      <c r="P2310" s="88" t="n"/>
      <c r="Q2310" s="88" t="n"/>
      <c r="R2310" s="89" t="n"/>
      <c r="S2310" s="88" t="n"/>
      <c r="T2310" s="88" t="n"/>
      <c r="U2310" s="88" t="n"/>
      <c r="V2310" s="89" t="n"/>
      <c r="W2310" s="88" t="n"/>
      <c r="X2310" s="89" t="n"/>
      <c r="Y2310" s="88" t="n"/>
      <c r="Z2310" s="89" t="n"/>
      <c r="AB2310" s="25">
        <f>IF($B2310="","",(COUNTIF(C2310:E2310,"?*")&lt;N(INDEX(Setup!$L$6:$L$23,3)))+(COUNTIF(G2310:I2310,"?*")&lt;N(INDEX(Setup!$L$6:$L$23,3)))+(COUNTIF(K2310:M2310,"?*")&lt;N(INDEX(Setup!$L$6:$L$23,3)))+(COUNTIF(O2310:Q2310,"?*")&lt;N(INDEX(Setup!$L$6:$L$23,3)))+(COUNTIF(S2310:U2310,"?*")&lt;N(INDEX(Setup!$L$6:$L$23,3)))+((W2310="")*(INDEX(Setup!$M$6:$M$23,3)="Y"))+((Y2310="")*(INDEX(Setup!$M$6:$M$23,3)="Y")))</f>
        <v/>
      </c>
      <c r="AC2310" s="90">
        <f>IF($B2310="","",IF(AB2310=0,"✓ covered","⚠ "&amp;AB2310&amp;IF(AB2310=1," gap"," gaps")))</f>
        <v/>
      </c>
    </row>
    <row r="2311" ht="17" customHeight="1">
      <c r="A2311" t="n">
        <v>47</v>
      </c>
      <c r="B2311" s="29">
        <f>IF(Setup!$K$9="","",Setup!$K$9)</f>
        <v/>
      </c>
      <c r="C2311" s="88" t="n"/>
      <c r="D2311" s="88" t="n"/>
      <c r="E2311" s="88" t="n"/>
      <c r="F2311" s="89" t="n"/>
      <c r="G2311" s="88" t="n"/>
      <c r="H2311" s="88" t="n"/>
      <c r="I2311" s="88" t="n"/>
      <c r="J2311" s="89" t="n"/>
      <c r="K2311" s="88" t="n"/>
      <c r="L2311" s="88" t="n"/>
      <c r="M2311" s="88" t="n"/>
      <c r="N2311" s="89" t="n"/>
      <c r="O2311" s="88" t="n"/>
      <c r="P2311" s="88" t="n"/>
      <c r="Q2311" s="88" t="n"/>
      <c r="R2311" s="89" t="n"/>
      <c r="S2311" s="88" t="n"/>
      <c r="T2311" s="88" t="n"/>
      <c r="U2311" s="88" t="n"/>
      <c r="V2311" s="89" t="n"/>
      <c r="W2311" s="88" t="n"/>
      <c r="X2311" s="89" t="n"/>
      <c r="Y2311" s="88" t="n"/>
      <c r="Z2311" s="89" t="n"/>
      <c r="AB2311" s="30">
        <f>IF($B2311="","",(COUNTIF(C2311:E2311,"?*")&lt;N(INDEX(Setup!$L$6:$L$23,4)))+(COUNTIF(G2311:I2311,"?*")&lt;N(INDEX(Setup!$L$6:$L$23,4)))+(COUNTIF(K2311:M2311,"?*")&lt;N(INDEX(Setup!$L$6:$L$23,4)))+(COUNTIF(O2311:Q2311,"?*")&lt;N(INDEX(Setup!$L$6:$L$23,4)))+(COUNTIF(S2311:U2311,"?*")&lt;N(INDEX(Setup!$L$6:$L$23,4)))+((W2311="")*(INDEX(Setup!$M$6:$M$23,4)="Y"))+((Y2311="")*(INDEX(Setup!$M$6:$M$23,4)="Y")))</f>
        <v/>
      </c>
      <c r="AC2311" s="91">
        <f>IF($B2311="","",IF(AB2311=0,"✓ covered","⚠ "&amp;AB2311&amp;IF(AB2311=1," gap"," gaps")))</f>
        <v/>
      </c>
    </row>
    <row r="2312" ht="17" customHeight="1">
      <c r="A2312" t="n">
        <v>47</v>
      </c>
      <c r="B2312" s="24">
        <f>IF(Setup!$K$10="","",Setup!$K$10)</f>
        <v/>
      </c>
      <c r="C2312" s="88" t="n"/>
      <c r="D2312" s="88" t="n"/>
      <c r="E2312" s="88" t="n"/>
      <c r="F2312" s="89" t="n"/>
      <c r="G2312" s="88" t="n"/>
      <c r="H2312" s="88" t="n"/>
      <c r="I2312" s="88" t="n"/>
      <c r="J2312" s="89" t="n"/>
      <c r="K2312" s="88" t="n"/>
      <c r="L2312" s="88" t="n"/>
      <c r="M2312" s="88" t="n"/>
      <c r="N2312" s="89" t="n"/>
      <c r="O2312" s="88" t="n"/>
      <c r="P2312" s="88" t="n"/>
      <c r="Q2312" s="88" t="n"/>
      <c r="R2312" s="89" t="n"/>
      <c r="S2312" s="88" t="n"/>
      <c r="T2312" s="88" t="n"/>
      <c r="U2312" s="88" t="n"/>
      <c r="V2312" s="89" t="n"/>
      <c r="W2312" s="88" t="n"/>
      <c r="X2312" s="89" t="n"/>
      <c r="Y2312" s="88" t="n"/>
      <c r="Z2312" s="89" t="n"/>
      <c r="AB2312" s="25">
        <f>IF($B2312="","",(COUNTIF(C2312:E2312,"?*")&lt;N(INDEX(Setup!$L$6:$L$23,5)))+(COUNTIF(G2312:I2312,"?*")&lt;N(INDEX(Setup!$L$6:$L$23,5)))+(COUNTIF(K2312:M2312,"?*")&lt;N(INDEX(Setup!$L$6:$L$23,5)))+(COUNTIF(O2312:Q2312,"?*")&lt;N(INDEX(Setup!$L$6:$L$23,5)))+(COUNTIF(S2312:U2312,"?*")&lt;N(INDEX(Setup!$L$6:$L$23,5)))+((W2312="")*(INDEX(Setup!$M$6:$M$23,5)="Y"))+((Y2312="")*(INDEX(Setup!$M$6:$M$23,5)="Y")))</f>
        <v/>
      </c>
      <c r="AC2312" s="90">
        <f>IF($B2312="","",IF(AB2312=0,"✓ covered","⚠ "&amp;AB2312&amp;IF(AB2312=1," gap"," gaps")))</f>
        <v/>
      </c>
    </row>
    <row r="2313" ht="17" customHeight="1">
      <c r="A2313" t="n">
        <v>47</v>
      </c>
      <c r="B2313" s="29">
        <f>IF(Setup!$K$11="","",Setup!$K$11)</f>
        <v/>
      </c>
      <c r="C2313" s="88" t="n"/>
      <c r="D2313" s="88" t="n"/>
      <c r="E2313" s="88" t="n"/>
      <c r="F2313" s="89" t="n"/>
      <c r="G2313" s="88" t="n"/>
      <c r="H2313" s="88" t="n"/>
      <c r="I2313" s="88" t="n"/>
      <c r="J2313" s="89" t="n"/>
      <c r="K2313" s="88" t="n"/>
      <c r="L2313" s="88" t="n"/>
      <c r="M2313" s="88" t="n"/>
      <c r="N2313" s="89" t="n"/>
      <c r="O2313" s="88" t="n"/>
      <c r="P2313" s="88" t="n"/>
      <c r="Q2313" s="88" t="n"/>
      <c r="R2313" s="89" t="n"/>
      <c r="S2313" s="88" t="n"/>
      <c r="T2313" s="88" t="n"/>
      <c r="U2313" s="88" t="n"/>
      <c r="V2313" s="89" t="n"/>
      <c r="W2313" s="88" t="n"/>
      <c r="X2313" s="89" t="n"/>
      <c r="Y2313" s="88" t="n"/>
      <c r="Z2313" s="89" t="n"/>
      <c r="AB2313" s="30">
        <f>IF($B2313="","",(COUNTIF(C2313:E2313,"?*")&lt;N(INDEX(Setup!$L$6:$L$23,6)))+(COUNTIF(G2313:I2313,"?*")&lt;N(INDEX(Setup!$L$6:$L$23,6)))+(COUNTIF(K2313:M2313,"?*")&lt;N(INDEX(Setup!$L$6:$L$23,6)))+(COUNTIF(O2313:Q2313,"?*")&lt;N(INDEX(Setup!$L$6:$L$23,6)))+(COUNTIF(S2313:U2313,"?*")&lt;N(INDEX(Setup!$L$6:$L$23,6)))+((W2313="")*(INDEX(Setup!$M$6:$M$23,6)="Y"))+((Y2313="")*(INDEX(Setup!$M$6:$M$23,6)="Y")))</f>
        <v/>
      </c>
      <c r="AC2313" s="91">
        <f>IF($B2313="","",IF(AB2313=0,"✓ covered","⚠ "&amp;AB2313&amp;IF(AB2313=1," gap"," gaps")))</f>
        <v/>
      </c>
    </row>
    <row r="2314" ht="17" customHeight="1">
      <c r="A2314" t="n">
        <v>47</v>
      </c>
      <c r="B2314" s="24">
        <f>IF(Setup!$K$12="","",Setup!$K$12)</f>
        <v/>
      </c>
      <c r="C2314" s="88" t="n"/>
      <c r="D2314" s="88" t="n"/>
      <c r="E2314" s="88" t="n"/>
      <c r="F2314" s="89" t="n"/>
      <c r="G2314" s="88" t="n"/>
      <c r="H2314" s="88" t="n"/>
      <c r="I2314" s="88" t="n"/>
      <c r="J2314" s="89" t="n"/>
      <c r="K2314" s="88" t="n"/>
      <c r="L2314" s="88" t="n"/>
      <c r="M2314" s="88" t="n"/>
      <c r="N2314" s="89" t="n"/>
      <c r="O2314" s="88" t="n"/>
      <c r="P2314" s="88" t="n"/>
      <c r="Q2314" s="88" t="n"/>
      <c r="R2314" s="89" t="n"/>
      <c r="S2314" s="88" t="n"/>
      <c r="T2314" s="88" t="n"/>
      <c r="U2314" s="88" t="n"/>
      <c r="V2314" s="89" t="n"/>
      <c r="W2314" s="88" t="n"/>
      <c r="X2314" s="89" t="n"/>
      <c r="Y2314" s="88" t="n"/>
      <c r="Z2314" s="89" t="n"/>
      <c r="AB2314" s="25">
        <f>IF($B2314="","",(COUNTIF(C2314:E2314,"?*")&lt;N(INDEX(Setup!$L$6:$L$23,7)))+(COUNTIF(G2314:I2314,"?*")&lt;N(INDEX(Setup!$L$6:$L$23,7)))+(COUNTIF(K2314:M2314,"?*")&lt;N(INDEX(Setup!$L$6:$L$23,7)))+(COUNTIF(O2314:Q2314,"?*")&lt;N(INDEX(Setup!$L$6:$L$23,7)))+(COUNTIF(S2314:U2314,"?*")&lt;N(INDEX(Setup!$L$6:$L$23,7)))+((W2314="")*(INDEX(Setup!$M$6:$M$23,7)="Y"))+((Y2314="")*(INDEX(Setup!$M$6:$M$23,7)="Y")))</f>
        <v/>
      </c>
      <c r="AC2314" s="90">
        <f>IF($B2314="","",IF(AB2314=0,"✓ covered","⚠ "&amp;AB2314&amp;IF(AB2314=1," gap"," gaps")))</f>
        <v/>
      </c>
    </row>
    <row r="2315" ht="17" customHeight="1">
      <c r="A2315" t="n">
        <v>47</v>
      </c>
      <c r="B2315" s="29">
        <f>IF(Setup!$K$13="","",Setup!$K$13)</f>
        <v/>
      </c>
      <c r="C2315" s="88" t="n"/>
      <c r="D2315" s="88" t="n"/>
      <c r="E2315" s="88" t="n"/>
      <c r="F2315" s="89" t="n"/>
      <c r="G2315" s="88" t="n"/>
      <c r="H2315" s="88" t="n"/>
      <c r="I2315" s="88" t="n"/>
      <c r="J2315" s="89" t="n"/>
      <c r="K2315" s="88" t="n"/>
      <c r="L2315" s="88" t="n"/>
      <c r="M2315" s="88" t="n"/>
      <c r="N2315" s="89" t="n"/>
      <c r="O2315" s="88" t="n"/>
      <c r="P2315" s="88" t="n"/>
      <c r="Q2315" s="88" t="n"/>
      <c r="R2315" s="89" t="n"/>
      <c r="S2315" s="88" t="n"/>
      <c r="T2315" s="88" t="n"/>
      <c r="U2315" s="88" t="n"/>
      <c r="V2315" s="89" t="n"/>
      <c r="W2315" s="88" t="n"/>
      <c r="X2315" s="89" t="n"/>
      <c r="Y2315" s="88" t="n"/>
      <c r="Z2315" s="89" t="n"/>
      <c r="AB2315" s="30">
        <f>IF($B2315="","",(COUNTIF(C2315:E2315,"?*")&lt;N(INDEX(Setup!$L$6:$L$23,8)))+(COUNTIF(G2315:I2315,"?*")&lt;N(INDEX(Setup!$L$6:$L$23,8)))+(COUNTIF(K2315:M2315,"?*")&lt;N(INDEX(Setup!$L$6:$L$23,8)))+(COUNTIF(O2315:Q2315,"?*")&lt;N(INDEX(Setup!$L$6:$L$23,8)))+(COUNTIF(S2315:U2315,"?*")&lt;N(INDEX(Setup!$L$6:$L$23,8)))+((W2315="")*(INDEX(Setup!$M$6:$M$23,8)="Y"))+((Y2315="")*(INDEX(Setup!$M$6:$M$23,8)="Y")))</f>
        <v/>
      </c>
      <c r="AC2315" s="91">
        <f>IF($B2315="","",IF(AB2315=0,"✓ covered","⚠ "&amp;AB2315&amp;IF(AB2315=1," gap"," gaps")))</f>
        <v/>
      </c>
    </row>
    <row r="2316" ht="17" customHeight="1">
      <c r="A2316" t="n">
        <v>47</v>
      </c>
      <c r="B2316" s="24">
        <f>IF(Setup!$K$14="","",Setup!$K$14)</f>
        <v/>
      </c>
      <c r="C2316" s="88" t="n"/>
      <c r="D2316" s="88" t="n"/>
      <c r="E2316" s="88" t="n"/>
      <c r="F2316" s="89" t="n"/>
      <c r="G2316" s="88" t="n"/>
      <c r="H2316" s="88" t="n"/>
      <c r="I2316" s="88" t="n"/>
      <c r="J2316" s="89" t="n"/>
      <c r="K2316" s="88" t="n"/>
      <c r="L2316" s="88" t="n"/>
      <c r="M2316" s="88" t="n"/>
      <c r="N2316" s="89" t="n"/>
      <c r="O2316" s="88" t="n"/>
      <c r="P2316" s="88" t="n"/>
      <c r="Q2316" s="88" t="n"/>
      <c r="R2316" s="89" t="n"/>
      <c r="S2316" s="88" t="n"/>
      <c r="T2316" s="88" t="n"/>
      <c r="U2316" s="88" t="n"/>
      <c r="V2316" s="89" t="n"/>
      <c r="W2316" s="88" t="n"/>
      <c r="X2316" s="89" t="n"/>
      <c r="Y2316" s="88" t="n"/>
      <c r="Z2316" s="89" t="n"/>
      <c r="AB2316" s="25">
        <f>IF($B2316="","",(COUNTIF(C2316:E2316,"?*")&lt;N(INDEX(Setup!$L$6:$L$23,9)))+(COUNTIF(G2316:I2316,"?*")&lt;N(INDEX(Setup!$L$6:$L$23,9)))+(COUNTIF(K2316:M2316,"?*")&lt;N(INDEX(Setup!$L$6:$L$23,9)))+(COUNTIF(O2316:Q2316,"?*")&lt;N(INDEX(Setup!$L$6:$L$23,9)))+(COUNTIF(S2316:U2316,"?*")&lt;N(INDEX(Setup!$L$6:$L$23,9)))+((W2316="")*(INDEX(Setup!$M$6:$M$23,9)="Y"))+((Y2316="")*(INDEX(Setup!$M$6:$M$23,9)="Y")))</f>
        <v/>
      </c>
      <c r="AC2316" s="90">
        <f>IF($B2316="","",IF(AB2316=0,"✓ covered","⚠ "&amp;AB2316&amp;IF(AB2316=1," gap"," gaps")))</f>
        <v/>
      </c>
    </row>
    <row r="2317" ht="17" customHeight="1">
      <c r="A2317" t="n">
        <v>47</v>
      </c>
      <c r="B2317" s="29">
        <f>IF(Setup!$K$15="","",Setup!$K$15)</f>
        <v/>
      </c>
      <c r="C2317" s="88" t="n"/>
      <c r="D2317" s="88" t="n"/>
      <c r="E2317" s="88" t="n"/>
      <c r="F2317" s="89" t="n"/>
      <c r="G2317" s="88" t="n"/>
      <c r="H2317" s="88" t="n"/>
      <c r="I2317" s="88" t="n"/>
      <c r="J2317" s="89" t="n"/>
      <c r="K2317" s="88" t="n"/>
      <c r="L2317" s="88" t="n"/>
      <c r="M2317" s="88" t="n"/>
      <c r="N2317" s="89" t="n"/>
      <c r="O2317" s="88" t="n"/>
      <c r="P2317" s="88" t="n"/>
      <c r="Q2317" s="88" t="n"/>
      <c r="R2317" s="89" t="n"/>
      <c r="S2317" s="88" t="n"/>
      <c r="T2317" s="88" t="n"/>
      <c r="U2317" s="88" t="n"/>
      <c r="V2317" s="89" t="n"/>
      <c r="W2317" s="88" t="n"/>
      <c r="X2317" s="89" t="n"/>
      <c r="Y2317" s="88" t="n"/>
      <c r="Z2317" s="89" t="n"/>
      <c r="AB2317" s="30">
        <f>IF($B2317="","",(COUNTIF(C2317:E2317,"?*")&lt;N(INDEX(Setup!$L$6:$L$23,10)))+(COUNTIF(G2317:I2317,"?*")&lt;N(INDEX(Setup!$L$6:$L$23,10)))+(COUNTIF(K2317:M2317,"?*")&lt;N(INDEX(Setup!$L$6:$L$23,10)))+(COUNTIF(O2317:Q2317,"?*")&lt;N(INDEX(Setup!$L$6:$L$23,10)))+(COUNTIF(S2317:U2317,"?*")&lt;N(INDEX(Setup!$L$6:$L$23,10)))+((W2317="")*(INDEX(Setup!$M$6:$M$23,10)="Y"))+((Y2317="")*(INDEX(Setup!$M$6:$M$23,10)="Y")))</f>
        <v/>
      </c>
      <c r="AC2317" s="91">
        <f>IF($B2317="","",IF(AB2317=0,"✓ covered","⚠ "&amp;AB2317&amp;IF(AB2317=1," gap"," gaps")))</f>
        <v/>
      </c>
    </row>
    <row r="2318" ht="17" customHeight="1">
      <c r="A2318" t="n">
        <v>47</v>
      </c>
      <c r="B2318" s="24">
        <f>IF(Setup!$K$16="","",Setup!$K$16)</f>
        <v/>
      </c>
      <c r="C2318" s="88" t="n"/>
      <c r="D2318" s="88" t="n"/>
      <c r="E2318" s="88" t="n"/>
      <c r="F2318" s="89" t="n"/>
      <c r="G2318" s="88" t="n"/>
      <c r="H2318" s="88" t="n"/>
      <c r="I2318" s="88" t="n"/>
      <c r="J2318" s="89" t="n"/>
      <c r="K2318" s="88" t="n"/>
      <c r="L2318" s="88" t="n"/>
      <c r="M2318" s="88" t="n"/>
      <c r="N2318" s="89" t="n"/>
      <c r="O2318" s="88" t="n"/>
      <c r="P2318" s="88" t="n"/>
      <c r="Q2318" s="88" t="n"/>
      <c r="R2318" s="89" t="n"/>
      <c r="S2318" s="88" t="n"/>
      <c r="T2318" s="88" t="n"/>
      <c r="U2318" s="88" t="n"/>
      <c r="V2318" s="89" t="n"/>
      <c r="W2318" s="88" t="n"/>
      <c r="X2318" s="89" t="n"/>
      <c r="Y2318" s="88" t="n"/>
      <c r="Z2318" s="89" t="n"/>
      <c r="AB2318" s="25">
        <f>IF($B2318="","",(COUNTIF(C2318:E2318,"?*")&lt;N(INDEX(Setup!$L$6:$L$23,11)))+(COUNTIF(G2318:I2318,"?*")&lt;N(INDEX(Setup!$L$6:$L$23,11)))+(COUNTIF(K2318:M2318,"?*")&lt;N(INDEX(Setup!$L$6:$L$23,11)))+(COUNTIF(O2318:Q2318,"?*")&lt;N(INDEX(Setup!$L$6:$L$23,11)))+(COUNTIF(S2318:U2318,"?*")&lt;N(INDEX(Setup!$L$6:$L$23,11)))+((W2318="")*(INDEX(Setup!$M$6:$M$23,11)="Y"))+((Y2318="")*(INDEX(Setup!$M$6:$M$23,11)="Y")))</f>
        <v/>
      </c>
      <c r="AC2318" s="90">
        <f>IF($B2318="","",IF(AB2318=0,"✓ covered","⚠ "&amp;AB2318&amp;IF(AB2318=1," gap"," gaps")))</f>
        <v/>
      </c>
    </row>
    <row r="2319" ht="17" customHeight="1">
      <c r="A2319" t="n">
        <v>47</v>
      </c>
      <c r="B2319" s="29">
        <f>IF(Setup!$K$17="","",Setup!$K$17)</f>
        <v/>
      </c>
      <c r="C2319" s="88" t="n"/>
      <c r="D2319" s="88" t="n"/>
      <c r="E2319" s="88" t="n"/>
      <c r="F2319" s="89" t="n"/>
      <c r="G2319" s="88" t="n"/>
      <c r="H2319" s="88" t="n"/>
      <c r="I2319" s="88" t="n"/>
      <c r="J2319" s="89" t="n"/>
      <c r="K2319" s="88" t="n"/>
      <c r="L2319" s="88" t="n"/>
      <c r="M2319" s="88" t="n"/>
      <c r="N2319" s="89" t="n"/>
      <c r="O2319" s="88" t="n"/>
      <c r="P2319" s="88" t="n"/>
      <c r="Q2319" s="88" t="n"/>
      <c r="R2319" s="89" t="n"/>
      <c r="S2319" s="88" t="n"/>
      <c r="T2319" s="88" t="n"/>
      <c r="U2319" s="88" t="n"/>
      <c r="V2319" s="89" t="n"/>
      <c r="W2319" s="88" t="n"/>
      <c r="X2319" s="89" t="n"/>
      <c r="Y2319" s="88" t="n"/>
      <c r="Z2319" s="89" t="n"/>
      <c r="AB2319" s="30">
        <f>IF($B2319="","",(COUNTIF(C2319:E2319,"?*")&lt;N(INDEX(Setup!$L$6:$L$23,12)))+(COUNTIF(G2319:I2319,"?*")&lt;N(INDEX(Setup!$L$6:$L$23,12)))+(COUNTIF(K2319:M2319,"?*")&lt;N(INDEX(Setup!$L$6:$L$23,12)))+(COUNTIF(O2319:Q2319,"?*")&lt;N(INDEX(Setup!$L$6:$L$23,12)))+(COUNTIF(S2319:U2319,"?*")&lt;N(INDEX(Setup!$L$6:$L$23,12)))+((W2319="")*(INDEX(Setup!$M$6:$M$23,12)="Y"))+((Y2319="")*(INDEX(Setup!$M$6:$M$23,12)="Y")))</f>
        <v/>
      </c>
      <c r="AC2319" s="91">
        <f>IF($B2319="","",IF(AB2319=0,"✓ covered","⚠ "&amp;AB2319&amp;IF(AB2319=1," gap"," gaps")))</f>
        <v/>
      </c>
    </row>
    <row r="2320" ht="17" customHeight="1">
      <c r="A2320" t="n">
        <v>47</v>
      </c>
      <c r="B2320" s="24">
        <f>IF(Setup!$K$18="","",Setup!$K$18)</f>
        <v/>
      </c>
      <c r="C2320" s="88" t="n"/>
      <c r="D2320" s="88" t="n"/>
      <c r="E2320" s="88" t="n"/>
      <c r="F2320" s="89" t="n"/>
      <c r="G2320" s="88" t="n"/>
      <c r="H2320" s="88" t="n"/>
      <c r="I2320" s="88" t="n"/>
      <c r="J2320" s="89" t="n"/>
      <c r="K2320" s="88" t="n"/>
      <c r="L2320" s="88" t="n"/>
      <c r="M2320" s="88" t="n"/>
      <c r="N2320" s="89" t="n"/>
      <c r="O2320" s="88" t="n"/>
      <c r="P2320" s="88" t="n"/>
      <c r="Q2320" s="88" t="n"/>
      <c r="R2320" s="89" t="n"/>
      <c r="S2320" s="88" t="n"/>
      <c r="T2320" s="88" t="n"/>
      <c r="U2320" s="88" t="n"/>
      <c r="V2320" s="89" t="n"/>
      <c r="W2320" s="88" t="n"/>
      <c r="X2320" s="89" t="n"/>
      <c r="Y2320" s="88" t="n"/>
      <c r="Z2320" s="89" t="n"/>
      <c r="AB2320" s="25">
        <f>IF($B2320="","",(COUNTIF(C2320:E2320,"?*")&lt;N(INDEX(Setup!$L$6:$L$23,13)))+(COUNTIF(G2320:I2320,"?*")&lt;N(INDEX(Setup!$L$6:$L$23,13)))+(COUNTIF(K2320:M2320,"?*")&lt;N(INDEX(Setup!$L$6:$L$23,13)))+(COUNTIF(O2320:Q2320,"?*")&lt;N(INDEX(Setup!$L$6:$L$23,13)))+(COUNTIF(S2320:U2320,"?*")&lt;N(INDEX(Setup!$L$6:$L$23,13)))+((W2320="")*(INDEX(Setup!$M$6:$M$23,13)="Y"))+((Y2320="")*(INDEX(Setup!$M$6:$M$23,13)="Y")))</f>
        <v/>
      </c>
      <c r="AC2320" s="90">
        <f>IF($B2320="","",IF(AB2320=0,"✓ covered","⚠ "&amp;AB2320&amp;IF(AB2320=1," gap"," gaps")))</f>
        <v/>
      </c>
    </row>
    <row r="2321" ht="17" customHeight="1">
      <c r="A2321" t="n">
        <v>47</v>
      </c>
      <c r="B2321" s="29">
        <f>IF(Setup!$K$19="","",Setup!$K$19)</f>
        <v/>
      </c>
      <c r="C2321" s="88" t="n"/>
      <c r="D2321" s="88" t="n"/>
      <c r="E2321" s="88" t="n"/>
      <c r="F2321" s="89" t="n"/>
      <c r="G2321" s="88" t="n"/>
      <c r="H2321" s="88" t="n"/>
      <c r="I2321" s="88" t="n"/>
      <c r="J2321" s="89" t="n"/>
      <c r="K2321" s="88" t="n"/>
      <c r="L2321" s="88" t="n"/>
      <c r="M2321" s="88" t="n"/>
      <c r="N2321" s="89" t="n"/>
      <c r="O2321" s="88" t="n"/>
      <c r="P2321" s="88" t="n"/>
      <c r="Q2321" s="88" t="n"/>
      <c r="R2321" s="89" t="n"/>
      <c r="S2321" s="88" t="n"/>
      <c r="T2321" s="88" t="n"/>
      <c r="U2321" s="88" t="n"/>
      <c r="V2321" s="89" t="n"/>
      <c r="W2321" s="88" t="n"/>
      <c r="X2321" s="89" t="n"/>
      <c r="Y2321" s="88" t="n"/>
      <c r="Z2321" s="89" t="n"/>
      <c r="AB2321" s="30">
        <f>IF($B2321="","",(COUNTIF(C2321:E2321,"?*")&lt;N(INDEX(Setup!$L$6:$L$23,14)))+(COUNTIF(G2321:I2321,"?*")&lt;N(INDEX(Setup!$L$6:$L$23,14)))+(COUNTIF(K2321:M2321,"?*")&lt;N(INDEX(Setup!$L$6:$L$23,14)))+(COUNTIF(O2321:Q2321,"?*")&lt;N(INDEX(Setup!$L$6:$L$23,14)))+(COUNTIF(S2321:U2321,"?*")&lt;N(INDEX(Setup!$L$6:$L$23,14)))+((W2321="")*(INDEX(Setup!$M$6:$M$23,14)="Y"))+((Y2321="")*(INDEX(Setup!$M$6:$M$23,14)="Y")))</f>
        <v/>
      </c>
      <c r="AC2321" s="91">
        <f>IF($B2321="","",IF(AB2321=0,"✓ covered","⚠ "&amp;AB2321&amp;IF(AB2321=1," gap"," gaps")))</f>
        <v/>
      </c>
    </row>
    <row r="2322" ht="17" customHeight="1">
      <c r="A2322" t="n">
        <v>47</v>
      </c>
      <c r="B2322" s="24">
        <f>IF(Setup!$K$20="","",Setup!$K$20)</f>
        <v/>
      </c>
      <c r="C2322" s="88" t="n"/>
      <c r="D2322" s="88" t="n"/>
      <c r="E2322" s="88" t="n"/>
      <c r="F2322" s="89" t="n"/>
      <c r="G2322" s="88" t="n"/>
      <c r="H2322" s="88" t="n"/>
      <c r="I2322" s="88" t="n"/>
      <c r="J2322" s="89" t="n"/>
      <c r="K2322" s="88" t="n"/>
      <c r="L2322" s="88" t="n"/>
      <c r="M2322" s="88" t="n"/>
      <c r="N2322" s="89" t="n"/>
      <c r="O2322" s="88" t="n"/>
      <c r="P2322" s="88" t="n"/>
      <c r="Q2322" s="88" t="n"/>
      <c r="R2322" s="89" t="n"/>
      <c r="S2322" s="88" t="n"/>
      <c r="T2322" s="88" t="n"/>
      <c r="U2322" s="88" t="n"/>
      <c r="V2322" s="89" t="n"/>
      <c r="W2322" s="88" t="n"/>
      <c r="X2322" s="89" t="n"/>
      <c r="Y2322" s="88" t="n"/>
      <c r="Z2322" s="89" t="n"/>
      <c r="AB2322" s="25">
        <f>IF($B2322="","",(COUNTIF(C2322:E2322,"?*")&lt;N(INDEX(Setup!$L$6:$L$23,15)))+(COUNTIF(G2322:I2322,"?*")&lt;N(INDEX(Setup!$L$6:$L$23,15)))+(COUNTIF(K2322:M2322,"?*")&lt;N(INDEX(Setup!$L$6:$L$23,15)))+(COUNTIF(O2322:Q2322,"?*")&lt;N(INDEX(Setup!$L$6:$L$23,15)))+(COUNTIF(S2322:U2322,"?*")&lt;N(INDEX(Setup!$L$6:$L$23,15)))+((W2322="")*(INDEX(Setup!$M$6:$M$23,15)="Y"))+((Y2322="")*(INDEX(Setup!$M$6:$M$23,15)="Y")))</f>
        <v/>
      </c>
      <c r="AC2322" s="90">
        <f>IF($B2322="","",IF(AB2322=0,"✓ covered","⚠ "&amp;AB2322&amp;IF(AB2322=1," gap"," gaps")))</f>
        <v/>
      </c>
    </row>
    <row r="2323" ht="17" customHeight="1">
      <c r="A2323" t="n">
        <v>47</v>
      </c>
      <c r="B2323" s="29">
        <f>IF(Setup!$K$21="","",Setup!$K$21)</f>
        <v/>
      </c>
      <c r="C2323" s="88" t="n"/>
      <c r="D2323" s="88" t="n"/>
      <c r="E2323" s="88" t="n"/>
      <c r="F2323" s="89" t="n"/>
      <c r="G2323" s="88" t="n"/>
      <c r="H2323" s="88" t="n"/>
      <c r="I2323" s="88" t="n"/>
      <c r="J2323" s="89" t="n"/>
      <c r="K2323" s="88" t="n"/>
      <c r="L2323" s="88" t="n"/>
      <c r="M2323" s="88" t="n"/>
      <c r="N2323" s="89" t="n"/>
      <c r="O2323" s="88" t="n"/>
      <c r="P2323" s="88" t="n"/>
      <c r="Q2323" s="88" t="n"/>
      <c r="R2323" s="89" t="n"/>
      <c r="S2323" s="88" t="n"/>
      <c r="T2323" s="88" t="n"/>
      <c r="U2323" s="88" t="n"/>
      <c r="V2323" s="89" t="n"/>
      <c r="W2323" s="88" t="n"/>
      <c r="X2323" s="89" t="n"/>
      <c r="Y2323" s="88" t="n"/>
      <c r="Z2323" s="89" t="n"/>
      <c r="AB2323" s="30">
        <f>IF($B2323="","",(COUNTIF(C2323:E2323,"?*")&lt;N(INDEX(Setup!$L$6:$L$23,16)))+(COUNTIF(G2323:I2323,"?*")&lt;N(INDEX(Setup!$L$6:$L$23,16)))+(COUNTIF(K2323:M2323,"?*")&lt;N(INDEX(Setup!$L$6:$L$23,16)))+(COUNTIF(O2323:Q2323,"?*")&lt;N(INDEX(Setup!$L$6:$L$23,16)))+(COUNTIF(S2323:U2323,"?*")&lt;N(INDEX(Setup!$L$6:$L$23,16)))+((W2323="")*(INDEX(Setup!$M$6:$M$23,16)="Y"))+((Y2323="")*(INDEX(Setup!$M$6:$M$23,16)="Y")))</f>
        <v/>
      </c>
      <c r="AC2323" s="91">
        <f>IF($B2323="","",IF(AB2323=0,"✓ covered","⚠ "&amp;AB2323&amp;IF(AB2323=1," gap"," gaps")))</f>
        <v/>
      </c>
    </row>
    <row r="2324" ht="17" customHeight="1">
      <c r="A2324" t="n">
        <v>47</v>
      </c>
      <c r="B2324" s="24">
        <f>IF(Setup!$K$22="","",Setup!$K$22)</f>
        <v/>
      </c>
      <c r="C2324" s="88" t="n"/>
      <c r="D2324" s="88" t="n"/>
      <c r="E2324" s="88" t="n"/>
      <c r="F2324" s="89" t="n"/>
      <c r="G2324" s="88" t="n"/>
      <c r="H2324" s="88" t="n"/>
      <c r="I2324" s="88" t="n"/>
      <c r="J2324" s="89" t="n"/>
      <c r="K2324" s="88" t="n"/>
      <c r="L2324" s="88" t="n"/>
      <c r="M2324" s="88" t="n"/>
      <c r="N2324" s="89" t="n"/>
      <c r="O2324" s="88" t="n"/>
      <c r="P2324" s="88" t="n"/>
      <c r="Q2324" s="88" t="n"/>
      <c r="R2324" s="89" t="n"/>
      <c r="S2324" s="88" t="n"/>
      <c r="T2324" s="88" t="n"/>
      <c r="U2324" s="88" t="n"/>
      <c r="V2324" s="89" t="n"/>
      <c r="W2324" s="88" t="n"/>
      <c r="X2324" s="89" t="n"/>
      <c r="Y2324" s="88" t="n"/>
      <c r="Z2324" s="89" t="n"/>
      <c r="AB2324" s="25">
        <f>IF($B2324="","",(COUNTIF(C2324:E2324,"?*")&lt;N(INDEX(Setup!$L$6:$L$23,17)))+(COUNTIF(G2324:I2324,"?*")&lt;N(INDEX(Setup!$L$6:$L$23,17)))+(COUNTIF(K2324:M2324,"?*")&lt;N(INDEX(Setup!$L$6:$L$23,17)))+(COUNTIF(O2324:Q2324,"?*")&lt;N(INDEX(Setup!$L$6:$L$23,17)))+(COUNTIF(S2324:U2324,"?*")&lt;N(INDEX(Setup!$L$6:$L$23,17)))+((W2324="")*(INDEX(Setup!$M$6:$M$23,17)="Y"))+((Y2324="")*(INDEX(Setup!$M$6:$M$23,17)="Y")))</f>
        <v/>
      </c>
      <c r="AC2324" s="90">
        <f>IF($B2324="","",IF(AB2324=0,"✓ covered","⚠ "&amp;AB2324&amp;IF(AB2324=1," gap"," gaps")))</f>
        <v/>
      </c>
    </row>
    <row r="2325" ht="17" customHeight="1">
      <c r="A2325" t="n">
        <v>47</v>
      </c>
      <c r="B2325" s="29">
        <f>IF(Setup!$K$23="","",Setup!$K$23)</f>
        <v/>
      </c>
      <c r="C2325" s="88" t="n"/>
      <c r="D2325" s="88" t="n"/>
      <c r="E2325" s="88" t="n"/>
      <c r="F2325" s="89" t="n"/>
      <c r="G2325" s="88" t="n"/>
      <c r="H2325" s="88" t="n"/>
      <c r="I2325" s="88" t="n"/>
      <c r="J2325" s="89" t="n"/>
      <c r="K2325" s="88" t="n"/>
      <c r="L2325" s="88" t="n"/>
      <c r="M2325" s="88" t="n"/>
      <c r="N2325" s="89" t="n"/>
      <c r="O2325" s="88" t="n"/>
      <c r="P2325" s="88" t="n"/>
      <c r="Q2325" s="88" t="n"/>
      <c r="R2325" s="89" t="n"/>
      <c r="S2325" s="88" t="n"/>
      <c r="T2325" s="88" t="n"/>
      <c r="U2325" s="88" t="n"/>
      <c r="V2325" s="89" t="n"/>
      <c r="W2325" s="88" t="n"/>
      <c r="X2325" s="89" t="n"/>
      <c r="Y2325" s="88" t="n"/>
      <c r="Z2325" s="89" t="n"/>
      <c r="AB2325" s="30">
        <f>IF($B2325="","",(COUNTIF(C2325:E2325,"?*")&lt;N(INDEX(Setup!$L$6:$L$23,18)))+(COUNTIF(G2325:I2325,"?*")&lt;N(INDEX(Setup!$L$6:$L$23,18)))+(COUNTIF(K2325:M2325,"?*")&lt;N(INDEX(Setup!$L$6:$L$23,18)))+(COUNTIF(O2325:Q2325,"?*")&lt;N(INDEX(Setup!$L$6:$L$23,18)))+(COUNTIF(S2325:U2325,"?*")&lt;N(INDEX(Setup!$L$6:$L$23,18)))+((W2325="")*(INDEX(Setup!$M$6:$M$23,18)="Y"))+((Y2325="")*(INDEX(Setup!$M$6:$M$23,18)="Y")))</f>
        <v/>
      </c>
      <c r="AC2325" s="91">
        <f>IF($B2325="","",IF(AB2325=0,"✓ covered","⚠ "&amp;AB2325&amp;IF(AB2325=1," gap"," gaps")))</f>
        <v/>
      </c>
    </row>
    <row r="2326" ht="18" customHeight="1">
      <c r="A2326" t="n">
        <v>47</v>
      </c>
      <c r="B2326" s="78" t="inlineStr">
        <is>
          <t>TEAM AVAILABILITY</t>
        </is>
      </c>
      <c r="C2326" s="92" t="inlineStr">
        <is>
          <t>Mon</t>
        </is>
      </c>
      <c r="D2326" s="93" t="n"/>
      <c r="E2326" s="93" t="n"/>
      <c r="F2326" s="94" t="n"/>
      <c r="G2326" s="92" t="inlineStr">
        <is>
          <t>Tue</t>
        </is>
      </c>
      <c r="H2326" s="93" t="n"/>
      <c r="I2326" s="93" t="n"/>
      <c r="J2326" s="94" t="n"/>
      <c r="K2326" s="92" t="inlineStr">
        <is>
          <t>Wed</t>
        </is>
      </c>
      <c r="L2326" s="93" t="n"/>
      <c r="M2326" s="93" t="n"/>
      <c r="N2326" s="94" t="n"/>
      <c r="O2326" s="92" t="inlineStr">
        <is>
          <t>Thu</t>
        </is>
      </c>
      <c r="P2326" s="93" t="n"/>
      <c r="Q2326" s="93" t="n"/>
      <c r="R2326" s="94" t="n"/>
      <c r="S2326" s="92" t="inlineStr">
        <is>
          <t>Fri</t>
        </is>
      </c>
      <c r="T2326" s="93" t="n"/>
      <c r="U2326" s="93" t="n"/>
      <c r="V2326" s="94" t="n"/>
      <c r="W2326" s="95" t="inlineStr">
        <is>
          <t>Sat</t>
        </is>
      </c>
      <c r="X2326" s="96" t="n"/>
      <c r="Y2326" s="95" t="inlineStr">
        <is>
          <t>Sun</t>
        </is>
      </c>
      <c r="Z2326" s="96" t="n"/>
      <c r="AB2326" s="97" t="inlineStr">
        <is>
          <t>Days rostered</t>
        </is>
      </c>
      <c r="AC2326" s="97" t="inlineStr">
        <is>
          <t>Conflicts</t>
        </is>
      </c>
    </row>
    <row r="2327" ht="15" customHeight="1">
      <c r="A2327" t="n">
        <v>47</v>
      </c>
      <c r="B2327" s="35">
        <f>IF(Setup!$B$6="","",Setup!$B$6)</f>
        <v/>
      </c>
      <c r="C2327" s="98" t="n"/>
      <c r="D2327" s="99" t="n"/>
      <c r="E2327" s="99" t="n"/>
      <c r="F2327" s="100" t="n"/>
      <c r="G2327" s="98" t="n"/>
      <c r="H2327" s="99" t="n"/>
      <c r="I2327" s="99" t="n"/>
      <c r="J2327" s="100" t="n"/>
      <c r="K2327" s="98" t="n"/>
      <c r="L2327" s="99" t="n"/>
      <c r="M2327" s="99" t="n"/>
      <c r="N2327" s="100" t="n"/>
      <c r="O2327" s="98" t="n"/>
      <c r="P2327" s="99" t="n"/>
      <c r="Q2327" s="99" t="n"/>
      <c r="R2327" s="100" t="n"/>
      <c r="S2327" s="98" t="n"/>
      <c r="T2327" s="99" t="n"/>
      <c r="U2327" s="99" t="n"/>
      <c r="V2327" s="100" t="n"/>
      <c r="W2327" s="98" t="n"/>
      <c r="X2327" s="100" t="n"/>
      <c r="Y2327" s="98" t="n"/>
      <c r="Z2327" s="100" t="n"/>
      <c r="AB2327" s="101">
        <f>IF($B2327="","",(COUNTIF(C2308:E2325,$B2327)+COUNTIF(C2308:E2325,$B2327&amp;" ~*")&gt;0)+(COUNTIF(G2308:I2325,$B2327)+COUNTIF(G2308:I2325,$B2327&amp;" ~*")&gt;0)+(COUNTIF(K2308:M2325,$B2327)+COUNTIF(K2308:M2325,$B2327&amp;" ~*")&gt;0)+(COUNTIF(O2308:Q2325,$B2327)+COUNTIF(O2308:Q2325,$B2327&amp;" ~*")&gt;0)+(COUNTIF(S2308:U2325,$B2327)+COUNTIF(S2308:U2325,$B2327&amp;" ~*")&gt;0)+(COUNTIF(W2308:W2325,$B2327)+COUNTIF(W2308:W2325,$B2327&amp;" ~*")&gt;0)+(COUNTIF(Y2308:Y2325,$B2327)+COUNTIF(Y2308:Y2325,$B2327&amp;" ~*")&gt;0))</f>
        <v/>
      </c>
      <c r="AC2327" s="36">
        <f>IF($B2327="","",(IFERROR(INDEX(Setup!$G$33:$G$40,MATCH(C2327,Setup!$B$33:$B$40,0)),0)=1)*(COUNTIF(C2308:E2325,$B2327)+COUNTIF(C2308:E2325,$B2327&amp;" ~*")&gt;0)+(IFERROR(INDEX(Setup!$G$33:$G$40,MATCH(G2327,Setup!$B$33:$B$40,0)),0)=1)*(COUNTIF(G2308:I2325,$B2327)+COUNTIF(G2308:I2325,$B2327&amp;" ~*")&gt;0)+(IFERROR(INDEX(Setup!$G$33:$G$40,MATCH(K2327,Setup!$B$33:$B$40,0)),0)=1)*(COUNTIF(K2308:M2325,$B2327)+COUNTIF(K2308:M2325,$B2327&amp;" ~*")&gt;0)+(IFERROR(INDEX(Setup!$G$33:$G$40,MATCH(O2327,Setup!$B$33:$B$40,0)),0)=1)*(COUNTIF(O2308:Q2325,$B2327)+COUNTIF(O2308:Q2325,$B2327&amp;" ~*")&gt;0)+(IFERROR(INDEX(Setup!$G$33:$G$40,MATCH(S2327,Setup!$B$33:$B$40,0)),0)=1)*(COUNTIF(S2308:U2325,$B2327)+COUNTIF(S2308:U2325,$B2327&amp;" ~*")&gt;0)+(IFERROR(INDEX(Setup!$G$33:$G$40,MATCH(W2327,Setup!$B$33:$B$40,0)),0)=1)*(COUNTIF(W2308:W2325,$B2327)+COUNTIF(W2308:W2325,$B2327&amp;" ~*")&gt;0)+(IFERROR(INDEX(Setup!$G$33:$G$40,MATCH(Y2327,Setup!$B$33:$B$40,0)),0)=1)*(COUNTIF(Y2308:Y2325,$B2327)+COUNTIF(Y2308:Y2325,$B2327&amp;" ~*")&gt;0))</f>
        <v/>
      </c>
    </row>
    <row r="2328" ht="15" customHeight="1">
      <c r="A2328" t="n">
        <v>47</v>
      </c>
      <c r="B2328" s="37">
        <f>IF(Setup!$B$7="","",Setup!$B$7)</f>
        <v/>
      </c>
      <c r="C2328" s="102" t="n"/>
      <c r="D2328" s="103" t="n"/>
      <c r="E2328" s="103" t="n"/>
      <c r="F2328" s="104" t="n"/>
      <c r="G2328" s="102" t="n"/>
      <c r="H2328" s="103" t="n"/>
      <c r="I2328" s="103" t="n"/>
      <c r="J2328" s="104" t="n"/>
      <c r="K2328" s="102" t="n"/>
      <c r="L2328" s="103" t="n"/>
      <c r="M2328" s="103" t="n"/>
      <c r="N2328" s="104" t="n"/>
      <c r="O2328" s="102" t="n"/>
      <c r="P2328" s="103" t="n"/>
      <c r="Q2328" s="103" t="n"/>
      <c r="R2328" s="104" t="n"/>
      <c r="S2328" s="102" t="n"/>
      <c r="T2328" s="103" t="n"/>
      <c r="U2328" s="103" t="n"/>
      <c r="V2328" s="104" t="n"/>
      <c r="W2328" s="102" t="n"/>
      <c r="X2328" s="104" t="n"/>
      <c r="Y2328" s="102" t="n"/>
      <c r="Z2328" s="104" t="n"/>
      <c r="AB2328" s="105">
        <f>IF($B2328="","",(COUNTIF(C2308:E2325,$B2328)+COUNTIF(C2308:E2325,$B2328&amp;" ~*")&gt;0)+(COUNTIF(G2308:I2325,$B2328)+COUNTIF(G2308:I2325,$B2328&amp;" ~*")&gt;0)+(COUNTIF(K2308:M2325,$B2328)+COUNTIF(K2308:M2325,$B2328&amp;" ~*")&gt;0)+(COUNTIF(O2308:Q2325,$B2328)+COUNTIF(O2308:Q2325,$B2328&amp;" ~*")&gt;0)+(COUNTIF(S2308:U2325,$B2328)+COUNTIF(S2308:U2325,$B2328&amp;" ~*")&gt;0)+(COUNTIF(W2308:W2325,$B2328)+COUNTIF(W2308:W2325,$B2328&amp;" ~*")&gt;0)+(COUNTIF(Y2308:Y2325,$B2328)+COUNTIF(Y2308:Y2325,$B2328&amp;" ~*")&gt;0))</f>
        <v/>
      </c>
      <c r="AC2328" s="38">
        <f>IF($B2328="","",(IFERROR(INDEX(Setup!$G$33:$G$40,MATCH(C2328,Setup!$B$33:$B$40,0)),0)=1)*(COUNTIF(C2308:E2325,$B2328)+COUNTIF(C2308:E2325,$B2328&amp;" ~*")&gt;0)+(IFERROR(INDEX(Setup!$G$33:$G$40,MATCH(G2328,Setup!$B$33:$B$40,0)),0)=1)*(COUNTIF(G2308:I2325,$B2328)+COUNTIF(G2308:I2325,$B2328&amp;" ~*")&gt;0)+(IFERROR(INDEX(Setup!$G$33:$G$40,MATCH(K2328,Setup!$B$33:$B$40,0)),0)=1)*(COUNTIF(K2308:M2325,$B2328)+COUNTIF(K2308:M2325,$B2328&amp;" ~*")&gt;0)+(IFERROR(INDEX(Setup!$G$33:$G$40,MATCH(O2328,Setup!$B$33:$B$40,0)),0)=1)*(COUNTIF(O2308:Q2325,$B2328)+COUNTIF(O2308:Q2325,$B2328&amp;" ~*")&gt;0)+(IFERROR(INDEX(Setup!$G$33:$G$40,MATCH(S2328,Setup!$B$33:$B$40,0)),0)=1)*(COUNTIF(S2308:U2325,$B2328)+COUNTIF(S2308:U2325,$B2328&amp;" ~*")&gt;0)+(IFERROR(INDEX(Setup!$G$33:$G$40,MATCH(W2328,Setup!$B$33:$B$40,0)),0)=1)*(COUNTIF(W2308:W2325,$B2328)+COUNTIF(W2308:W2325,$B2328&amp;" ~*")&gt;0)+(IFERROR(INDEX(Setup!$G$33:$G$40,MATCH(Y2328,Setup!$B$33:$B$40,0)),0)=1)*(COUNTIF(Y2308:Y2325,$B2328)+COUNTIF(Y2308:Y2325,$B2328&amp;" ~*")&gt;0))</f>
        <v/>
      </c>
    </row>
    <row r="2329" ht="15" customHeight="1">
      <c r="A2329" t="n">
        <v>47</v>
      </c>
      <c r="B2329" s="35">
        <f>IF(Setup!$B$8="","",Setup!$B$8)</f>
        <v/>
      </c>
      <c r="C2329" s="98" t="n"/>
      <c r="D2329" s="99" t="n"/>
      <c r="E2329" s="99" t="n"/>
      <c r="F2329" s="100" t="n"/>
      <c r="G2329" s="98" t="n"/>
      <c r="H2329" s="99" t="n"/>
      <c r="I2329" s="99" t="n"/>
      <c r="J2329" s="100" t="n"/>
      <c r="K2329" s="98" t="n"/>
      <c r="L2329" s="99" t="n"/>
      <c r="M2329" s="99" t="n"/>
      <c r="N2329" s="100" t="n"/>
      <c r="O2329" s="98" t="n"/>
      <c r="P2329" s="99" t="n"/>
      <c r="Q2329" s="99" t="n"/>
      <c r="R2329" s="100" t="n"/>
      <c r="S2329" s="98" t="n"/>
      <c r="T2329" s="99" t="n"/>
      <c r="U2329" s="99" t="n"/>
      <c r="V2329" s="100" t="n"/>
      <c r="W2329" s="98" t="n"/>
      <c r="X2329" s="100" t="n"/>
      <c r="Y2329" s="98" t="n"/>
      <c r="Z2329" s="100" t="n"/>
      <c r="AB2329" s="101">
        <f>IF($B2329="","",(COUNTIF(C2308:E2325,$B2329)+COUNTIF(C2308:E2325,$B2329&amp;" ~*")&gt;0)+(COUNTIF(G2308:I2325,$B2329)+COUNTIF(G2308:I2325,$B2329&amp;" ~*")&gt;0)+(COUNTIF(K2308:M2325,$B2329)+COUNTIF(K2308:M2325,$B2329&amp;" ~*")&gt;0)+(COUNTIF(O2308:Q2325,$B2329)+COUNTIF(O2308:Q2325,$B2329&amp;" ~*")&gt;0)+(COUNTIF(S2308:U2325,$B2329)+COUNTIF(S2308:U2325,$B2329&amp;" ~*")&gt;0)+(COUNTIF(W2308:W2325,$B2329)+COUNTIF(W2308:W2325,$B2329&amp;" ~*")&gt;0)+(COUNTIF(Y2308:Y2325,$B2329)+COUNTIF(Y2308:Y2325,$B2329&amp;" ~*")&gt;0))</f>
        <v/>
      </c>
      <c r="AC2329" s="36">
        <f>IF($B2329="","",(IFERROR(INDEX(Setup!$G$33:$G$40,MATCH(C2329,Setup!$B$33:$B$40,0)),0)=1)*(COUNTIF(C2308:E2325,$B2329)+COUNTIF(C2308:E2325,$B2329&amp;" ~*")&gt;0)+(IFERROR(INDEX(Setup!$G$33:$G$40,MATCH(G2329,Setup!$B$33:$B$40,0)),0)=1)*(COUNTIF(G2308:I2325,$B2329)+COUNTIF(G2308:I2325,$B2329&amp;" ~*")&gt;0)+(IFERROR(INDEX(Setup!$G$33:$G$40,MATCH(K2329,Setup!$B$33:$B$40,0)),0)=1)*(COUNTIF(K2308:M2325,$B2329)+COUNTIF(K2308:M2325,$B2329&amp;" ~*")&gt;0)+(IFERROR(INDEX(Setup!$G$33:$G$40,MATCH(O2329,Setup!$B$33:$B$40,0)),0)=1)*(COUNTIF(O2308:Q2325,$B2329)+COUNTIF(O2308:Q2325,$B2329&amp;" ~*")&gt;0)+(IFERROR(INDEX(Setup!$G$33:$G$40,MATCH(S2329,Setup!$B$33:$B$40,0)),0)=1)*(COUNTIF(S2308:U2325,$B2329)+COUNTIF(S2308:U2325,$B2329&amp;" ~*")&gt;0)+(IFERROR(INDEX(Setup!$G$33:$G$40,MATCH(W2329,Setup!$B$33:$B$40,0)),0)=1)*(COUNTIF(W2308:W2325,$B2329)+COUNTIF(W2308:W2325,$B2329&amp;" ~*")&gt;0)+(IFERROR(INDEX(Setup!$G$33:$G$40,MATCH(Y2329,Setup!$B$33:$B$40,0)),0)=1)*(COUNTIF(Y2308:Y2325,$B2329)+COUNTIF(Y2308:Y2325,$B2329&amp;" ~*")&gt;0))</f>
        <v/>
      </c>
    </row>
    <row r="2330" ht="15" customHeight="1">
      <c r="A2330" t="n">
        <v>47</v>
      </c>
      <c r="B2330" s="37">
        <f>IF(Setup!$B$9="","",Setup!$B$9)</f>
        <v/>
      </c>
      <c r="C2330" s="102" t="n"/>
      <c r="D2330" s="103" t="n"/>
      <c r="E2330" s="103" t="n"/>
      <c r="F2330" s="104" t="n"/>
      <c r="G2330" s="102" t="n"/>
      <c r="H2330" s="103" t="n"/>
      <c r="I2330" s="103" t="n"/>
      <c r="J2330" s="104" t="n"/>
      <c r="K2330" s="102" t="n"/>
      <c r="L2330" s="103" t="n"/>
      <c r="M2330" s="103" t="n"/>
      <c r="N2330" s="104" t="n"/>
      <c r="O2330" s="102" t="n"/>
      <c r="P2330" s="103" t="n"/>
      <c r="Q2330" s="103" t="n"/>
      <c r="R2330" s="104" t="n"/>
      <c r="S2330" s="102" t="n"/>
      <c r="T2330" s="103" t="n"/>
      <c r="U2330" s="103" t="n"/>
      <c r="V2330" s="104" t="n"/>
      <c r="W2330" s="102" t="n"/>
      <c r="X2330" s="104" t="n"/>
      <c r="Y2330" s="102" t="n"/>
      <c r="Z2330" s="104" t="n"/>
      <c r="AB2330" s="105">
        <f>IF($B2330="","",(COUNTIF(C2308:E2325,$B2330)+COUNTIF(C2308:E2325,$B2330&amp;" ~*")&gt;0)+(COUNTIF(G2308:I2325,$B2330)+COUNTIF(G2308:I2325,$B2330&amp;" ~*")&gt;0)+(COUNTIF(K2308:M2325,$B2330)+COUNTIF(K2308:M2325,$B2330&amp;" ~*")&gt;0)+(COUNTIF(O2308:Q2325,$B2330)+COUNTIF(O2308:Q2325,$B2330&amp;" ~*")&gt;0)+(COUNTIF(S2308:U2325,$B2330)+COUNTIF(S2308:U2325,$B2330&amp;" ~*")&gt;0)+(COUNTIF(W2308:W2325,$B2330)+COUNTIF(W2308:W2325,$B2330&amp;" ~*")&gt;0)+(COUNTIF(Y2308:Y2325,$B2330)+COUNTIF(Y2308:Y2325,$B2330&amp;" ~*")&gt;0))</f>
        <v/>
      </c>
      <c r="AC2330" s="38">
        <f>IF($B2330="","",(IFERROR(INDEX(Setup!$G$33:$G$40,MATCH(C2330,Setup!$B$33:$B$40,0)),0)=1)*(COUNTIF(C2308:E2325,$B2330)+COUNTIF(C2308:E2325,$B2330&amp;" ~*")&gt;0)+(IFERROR(INDEX(Setup!$G$33:$G$40,MATCH(G2330,Setup!$B$33:$B$40,0)),0)=1)*(COUNTIF(G2308:I2325,$B2330)+COUNTIF(G2308:I2325,$B2330&amp;" ~*")&gt;0)+(IFERROR(INDEX(Setup!$G$33:$G$40,MATCH(K2330,Setup!$B$33:$B$40,0)),0)=1)*(COUNTIF(K2308:M2325,$B2330)+COUNTIF(K2308:M2325,$B2330&amp;" ~*")&gt;0)+(IFERROR(INDEX(Setup!$G$33:$G$40,MATCH(O2330,Setup!$B$33:$B$40,0)),0)=1)*(COUNTIF(O2308:Q2325,$B2330)+COUNTIF(O2308:Q2325,$B2330&amp;" ~*")&gt;0)+(IFERROR(INDEX(Setup!$G$33:$G$40,MATCH(S2330,Setup!$B$33:$B$40,0)),0)=1)*(COUNTIF(S2308:U2325,$B2330)+COUNTIF(S2308:U2325,$B2330&amp;" ~*")&gt;0)+(IFERROR(INDEX(Setup!$G$33:$G$40,MATCH(W2330,Setup!$B$33:$B$40,0)),0)=1)*(COUNTIF(W2308:W2325,$B2330)+COUNTIF(W2308:W2325,$B2330&amp;" ~*")&gt;0)+(IFERROR(INDEX(Setup!$G$33:$G$40,MATCH(Y2330,Setup!$B$33:$B$40,0)),0)=1)*(COUNTIF(Y2308:Y2325,$B2330)+COUNTIF(Y2308:Y2325,$B2330&amp;" ~*")&gt;0))</f>
        <v/>
      </c>
    </row>
    <row r="2331" ht="15" customHeight="1">
      <c r="A2331" t="n">
        <v>47</v>
      </c>
      <c r="B2331" s="35">
        <f>IF(Setup!$B$10="","",Setup!$B$10)</f>
        <v/>
      </c>
      <c r="C2331" s="98" t="n"/>
      <c r="D2331" s="99" t="n"/>
      <c r="E2331" s="99" t="n"/>
      <c r="F2331" s="100" t="n"/>
      <c r="G2331" s="98" t="n"/>
      <c r="H2331" s="99" t="n"/>
      <c r="I2331" s="99" t="n"/>
      <c r="J2331" s="100" t="n"/>
      <c r="K2331" s="98" t="n"/>
      <c r="L2331" s="99" t="n"/>
      <c r="M2331" s="99" t="n"/>
      <c r="N2331" s="100" t="n"/>
      <c r="O2331" s="98" t="n"/>
      <c r="P2331" s="99" t="n"/>
      <c r="Q2331" s="99" t="n"/>
      <c r="R2331" s="100" t="n"/>
      <c r="S2331" s="98" t="n"/>
      <c r="T2331" s="99" t="n"/>
      <c r="U2331" s="99" t="n"/>
      <c r="V2331" s="100" t="n"/>
      <c r="W2331" s="98" t="n"/>
      <c r="X2331" s="100" t="n"/>
      <c r="Y2331" s="98" t="n"/>
      <c r="Z2331" s="100" t="n"/>
      <c r="AB2331" s="101">
        <f>IF($B2331="","",(COUNTIF(C2308:E2325,$B2331)+COUNTIF(C2308:E2325,$B2331&amp;" ~*")&gt;0)+(COUNTIF(G2308:I2325,$B2331)+COUNTIF(G2308:I2325,$B2331&amp;" ~*")&gt;0)+(COUNTIF(K2308:M2325,$B2331)+COUNTIF(K2308:M2325,$B2331&amp;" ~*")&gt;0)+(COUNTIF(O2308:Q2325,$B2331)+COUNTIF(O2308:Q2325,$B2331&amp;" ~*")&gt;0)+(COUNTIF(S2308:U2325,$B2331)+COUNTIF(S2308:U2325,$B2331&amp;" ~*")&gt;0)+(COUNTIF(W2308:W2325,$B2331)+COUNTIF(W2308:W2325,$B2331&amp;" ~*")&gt;0)+(COUNTIF(Y2308:Y2325,$B2331)+COUNTIF(Y2308:Y2325,$B2331&amp;" ~*")&gt;0))</f>
        <v/>
      </c>
      <c r="AC2331" s="36">
        <f>IF($B2331="","",(IFERROR(INDEX(Setup!$G$33:$G$40,MATCH(C2331,Setup!$B$33:$B$40,0)),0)=1)*(COUNTIF(C2308:E2325,$B2331)+COUNTIF(C2308:E2325,$B2331&amp;" ~*")&gt;0)+(IFERROR(INDEX(Setup!$G$33:$G$40,MATCH(G2331,Setup!$B$33:$B$40,0)),0)=1)*(COUNTIF(G2308:I2325,$B2331)+COUNTIF(G2308:I2325,$B2331&amp;" ~*")&gt;0)+(IFERROR(INDEX(Setup!$G$33:$G$40,MATCH(K2331,Setup!$B$33:$B$40,0)),0)=1)*(COUNTIF(K2308:M2325,$B2331)+COUNTIF(K2308:M2325,$B2331&amp;" ~*")&gt;0)+(IFERROR(INDEX(Setup!$G$33:$G$40,MATCH(O2331,Setup!$B$33:$B$40,0)),0)=1)*(COUNTIF(O2308:Q2325,$B2331)+COUNTIF(O2308:Q2325,$B2331&amp;" ~*")&gt;0)+(IFERROR(INDEX(Setup!$G$33:$G$40,MATCH(S2331,Setup!$B$33:$B$40,0)),0)=1)*(COUNTIF(S2308:U2325,$B2331)+COUNTIF(S2308:U2325,$B2331&amp;" ~*")&gt;0)+(IFERROR(INDEX(Setup!$G$33:$G$40,MATCH(W2331,Setup!$B$33:$B$40,0)),0)=1)*(COUNTIF(W2308:W2325,$B2331)+COUNTIF(W2308:W2325,$B2331&amp;" ~*")&gt;0)+(IFERROR(INDEX(Setup!$G$33:$G$40,MATCH(Y2331,Setup!$B$33:$B$40,0)),0)=1)*(COUNTIF(Y2308:Y2325,$B2331)+COUNTIF(Y2308:Y2325,$B2331&amp;" ~*")&gt;0))</f>
        <v/>
      </c>
    </row>
    <row r="2332" ht="15" customHeight="1">
      <c r="A2332" t="n">
        <v>47</v>
      </c>
      <c r="B2332" s="37">
        <f>IF(Setup!$B$11="","",Setup!$B$11)</f>
        <v/>
      </c>
      <c r="C2332" s="102" t="n"/>
      <c r="D2332" s="103" t="n"/>
      <c r="E2332" s="103" t="n"/>
      <c r="F2332" s="104" t="n"/>
      <c r="G2332" s="102" t="n"/>
      <c r="H2332" s="103" t="n"/>
      <c r="I2332" s="103" t="n"/>
      <c r="J2332" s="104" t="n"/>
      <c r="K2332" s="102" t="n"/>
      <c r="L2332" s="103" t="n"/>
      <c r="M2332" s="103" t="n"/>
      <c r="N2332" s="104" t="n"/>
      <c r="O2332" s="102" t="n"/>
      <c r="P2332" s="103" t="n"/>
      <c r="Q2332" s="103" t="n"/>
      <c r="R2332" s="104" t="n"/>
      <c r="S2332" s="102" t="n"/>
      <c r="T2332" s="103" t="n"/>
      <c r="U2332" s="103" t="n"/>
      <c r="V2332" s="104" t="n"/>
      <c r="W2332" s="102" t="n"/>
      <c r="X2332" s="104" t="n"/>
      <c r="Y2332" s="102" t="n"/>
      <c r="Z2332" s="104" t="n"/>
      <c r="AB2332" s="105">
        <f>IF($B2332="","",(COUNTIF(C2308:E2325,$B2332)+COUNTIF(C2308:E2325,$B2332&amp;" ~*")&gt;0)+(COUNTIF(G2308:I2325,$B2332)+COUNTIF(G2308:I2325,$B2332&amp;" ~*")&gt;0)+(COUNTIF(K2308:M2325,$B2332)+COUNTIF(K2308:M2325,$B2332&amp;" ~*")&gt;0)+(COUNTIF(O2308:Q2325,$B2332)+COUNTIF(O2308:Q2325,$B2332&amp;" ~*")&gt;0)+(COUNTIF(S2308:U2325,$B2332)+COUNTIF(S2308:U2325,$B2332&amp;" ~*")&gt;0)+(COUNTIF(W2308:W2325,$B2332)+COUNTIF(W2308:W2325,$B2332&amp;" ~*")&gt;0)+(COUNTIF(Y2308:Y2325,$B2332)+COUNTIF(Y2308:Y2325,$B2332&amp;" ~*")&gt;0))</f>
        <v/>
      </c>
      <c r="AC2332" s="38">
        <f>IF($B2332="","",(IFERROR(INDEX(Setup!$G$33:$G$40,MATCH(C2332,Setup!$B$33:$B$40,0)),0)=1)*(COUNTIF(C2308:E2325,$B2332)+COUNTIF(C2308:E2325,$B2332&amp;" ~*")&gt;0)+(IFERROR(INDEX(Setup!$G$33:$G$40,MATCH(G2332,Setup!$B$33:$B$40,0)),0)=1)*(COUNTIF(G2308:I2325,$B2332)+COUNTIF(G2308:I2325,$B2332&amp;" ~*")&gt;0)+(IFERROR(INDEX(Setup!$G$33:$G$40,MATCH(K2332,Setup!$B$33:$B$40,0)),0)=1)*(COUNTIF(K2308:M2325,$B2332)+COUNTIF(K2308:M2325,$B2332&amp;" ~*")&gt;0)+(IFERROR(INDEX(Setup!$G$33:$G$40,MATCH(O2332,Setup!$B$33:$B$40,0)),0)=1)*(COUNTIF(O2308:Q2325,$B2332)+COUNTIF(O2308:Q2325,$B2332&amp;" ~*")&gt;0)+(IFERROR(INDEX(Setup!$G$33:$G$40,MATCH(S2332,Setup!$B$33:$B$40,0)),0)=1)*(COUNTIF(S2308:U2325,$B2332)+COUNTIF(S2308:U2325,$B2332&amp;" ~*")&gt;0)+(IFERROR(INDEX(Setup!$G$33:$G$40,MATCH(W2332,Setup!$B$33:$B$40,0)),0)=1)*(COUNTIF(W2308:W2325,$B2332)+COUNTIF(W2308:W2325,$B2332&amp;" ~*")&gt;0)+(IFERROR(INDEX(Setup!$G$33:$G$40,MATCH(Y2332,Setup!$B$33:$B$40,0)),0)=1)*(COUNTIF(Y2308:Y2325,$B2332)+COUNTIF(Y2308:Y2325,$B2332&amp;" ~*")&gt;0))</f>
        <v/>
      </c>
    </row>
    <row r="2333" ht="15" customHeight="1">
      <c r="A2333" t="n">
        <v>47</v>
      </c>
      <c r="B2333" s="35">
        <f>IF(Setup!$B$12="","",Setup!$B$12)</f>
        <v/>
      </c>
      <c r="C2333" s="98" t="n"/>
      <c r="D2333" s="99" t="n"/>
      <c r="E2333" s="99" t="n"/>
      <c r="F2333" s="100" t="n"/>
      <c r="G2333" s="98" t="n"/>
      <c r="H2333" s="99" t="n"/>
      <c r="I2333" s="99" t="n"/>
      <c r="J2333" s="100" t="n"/>
      <c r="K2333" s="98" t="n"/>
      <c r="L2333" s="99" t="n"/>
      <c r="M2333" s="99" t="n"/>
      <c r="N2333" s="100" t="n"/>
      <c r="O2333" s="98" t="n"/>
      <c r="P2333" s="99" t="n"/>
      <c r="Q2333" s="99" t="n"/>
      <c r="R2333" s="100" t="n"/>
      <c r="S2333" s="98" t="n"/>
      <c r="T2333" s="99" t="n"/>
      <c r="U2333" s="99" t="n"/>
      <c r="V2333" s="100" t="n"/>
      <c r="W2333" s="98" t="n"/>
      <c r="X2333" s="100" t="n"/>
      <c r="Y2333" s="98" t="n"/>
      <c r="Z2333" s="100" t="n"/>
      <c r="AB2333" s="101">
        <f>IF($B2333="","",(COUNTIF(C2308:E2325,$B2333)+COUNTIF(C2308:E2325,$B2333&amp;" ~*")&gt;0)+(COUNTIF(G2308:I2325,$B2333)+COUNTIF(G2308:I2325,$B2333&amp;" ~*")&gt;0)+(COUNTIF(K2308:M2325,$B2333)+COUNTIF(K2308:M2325,$B2333&amp;" ~*")&gt;0)+(COUNTIF(O2308:Q2325,$B2333)+COUNTIF(O2308:Q2325,$B2333&amp;" ~*")&gt;0)+(COUNTIF(S2308:U2325,$B2333)+COUNTIF(S2308:U2325,$B2333&amp;" ~*")&gt;0)+(COUNTIF(W2308:W2325,$B2333)+COUNTIF(W2308:W2325,$B2333&amp;" ~*")&gt;0)+(COUNTIF(Y2308:Y2325,$B2333)+COUNTIF(Y2308:Y2325,$B2333&amp;" ~*")&gt;0))</f>
        <v/>
      </c>
      <c r="AC2333" s="36">
        <f>IF($B2333="","",(IFERROR(INDEX(Setup!$G$33:$G$40,MATCH(C2333,Setup!$B$33:$B$40,0)),0)=1)*(COUNTIF(C2308:E2325,$B2333)+COUNTIF(C2308:E2325,$B2333&amp;" ~*")&gt;0)+(IFERROR(INDEX(Setup!$G$33:$G$40,MATCH(G2333,Setup!$B$33:$B$40,0)),0)=1)*(COUNTIF(G2308:I2325,$B2333)+COUNTIF(G2308:I2325,$B2333&amp;" ~*")&gt;0)+(IFERROR(INDEX(Setup!$G$33:$G$40,MATCH(K2333,Setup!$B$33:$B$40,0)),0)=1)*(COUNTIF(K2308:M2325,$B2333)+COUNTIF(K2308:M2325,$B2333&amp;" ~*")&gt;0)+(IFERROR(INDEX(Setup!$G$33:$G$40,MATCH(O2333,Setup!$B$33:$B$40,0)),0)=1)*(COUNTIF(O2308:Q2325,$B2333)+COUNTIF(O2308:Q2325,$B2333&amp;" ~*")&gt;0)+(IFERROR(INDEX(Setup!$G$33:$G$40,MATCH(S2333,Setup!$B$33:$B$40,0)),0)=1)*(COUNTIF(S2308:U2325,$B2333)+COUNTIF(S2308:U2325,$B2333&amp;" ~*")&gt;0)+(IFERROR(INDEX(Setup!$G$33:$G$40,MATCH(W2333,Setup!$B$33:$B$40,0)),0)=1)*(COUNTIF(W2308:W2325,$B2333)+COUNTIF(W2308:W2325,$B2333&amp;" ~*")&gt;0)+(IFERROR(INDEX(Setup!$G$33:$G$40,MATCH(Y2333,Setup!$B$33:$B$40,0)),0)=1)*(COUNTIF(Y2308:Y2325,$B2333)+COUNTIF(Y2308:Y2325,$B2333&amp;" ~*")&gt;0))</f>
        <v/>
      </c>
    </row>
    <row r="2334" ht="15" customHeight="1">
      <c r="A2334" t="n">
        <v>47</v>
      </c>
      <c r="B2334" s="37">
        <f>IF(Setup!$B$13="","",Setup!$B$13)</f>
        <v/>
      </c>
      <c r="C2334" s="102" t="n"/>
      <c r="D2334" s="103" t="n"/>
      <c r="E2334" s="103" t="n"/>
      <c r="F2334" s="104" t="n"/>
      <c r="G2334" s="102" t="n"/>
      <c r="H2334" s="103" t="n"/>
      <c r="I2334" s="103" t="n"/>
      <c r="J2334" s="104" t="n"/>
      <c r="K2334" s="102" t="n"/>
      <c r="L2334" s="103" t="n"/>
      <c r="M2334" s="103" t="n"/>
      <c r="N2334" s="104" t="n"/>
      <c r="O2334" s="102" t="n"/>
      <c r="P2334" s="103" t="n"/>
      <c r="Q2334" s="103" t="n"/>
      <c r="R2334" s="104" t="n"/>
      <c r="S2334" s="102" t="n"/>
      <c r="T2334" s="103" t="n"/>
      <c r="U2334" s="103" t="n"/>
      <c r="V2334" s="104" t="n"/>
      <c r="W2334" s="102" t="n"/>
      <c r="X2334" s="104" t="n"/>
      <c r="Y2334" s="102" t="n"/>
      <c r="Z2334" s="104" t="n"/>
      <c r="AB2334" s="105">
        <f>IF($B2334="","",(COUNTIF(C2308:E2325,$B2334)+COUNTIF(C2308:E2325,$B2334&amp;" ~*")&gt;0)+(COUNTIF(G2308:I2325,$B2334)+COUNTIF(G2308:I2325,$B2334&amp;" ~*")&gt;0)+(COUNTIF(K2308:M2325,$B2334)+COUNTIF(K2308:M2325,$B2334&amp;" ~*")&gt;0)+(COUNTIF(O2308:Q2325,$B2334)+COUNTIF(O2308:Q2325,$B2334&amp;" ~*")&gt;0)+(COUNTIF(S2308:U2325,$B2334)+COUNTIF(S2308:U2325,$B2334&amp;" ~*")&gt;0)+(COUNTIF(W2308:W2325,$B2334)+COUNTIF(W2308:W2325,$B2334&amp;" ~*")&gt;0)+(COUNTIF(Y2308:Y2325,$B2334)+COUNTIF(Y2308:Y2325,$B2334&amp;" ~*")&gt;0))</f>
        <v/>
      </c>
      <c r="AC2334" s="38">
        <f>IF($B2334="","",(IFERROR(INDEX(Setup!$G$33:$G$40,MATCH(C2334,Setup!$B$33:$B$40,0)),0)=1)*(COUNTIF(C2308:E2325,$B2334)+COUNTIF(C2308:E2325,$B2334&amp;" ~*")&gt;0)+(IFERROR(INDEX(Setup!$G$33:$G$40,MATCH(G2334,Setup!$B$33:$B$40,0)),0)=1)*(COUNTIF(G2308:I2325,$B2334)+COUNTIF(G2308:I2325,$B2334&amp;" ~*")&gt;0)+(IFERROR(INDEX(Setup!$G$33:$G$40,MATCH(K2334,Setup!$B$33:$B$40,0)),0)=1)*(COUNTIF(K2308:M2325,$B2334)+COUNTIF(K2308:M2325,$B2334&amp;" ~*")&gt;0)+(IFERROR(INDEX(Setup!$G$33:$G$40,MATCH(O2334,Setup!$B$33:$B$40,0)),0)=1)*(COUNTIF(O2308:Q2325,$B2334)+COUNTIF(O2308:Q2325,$B2334&amp;" ~*")&gt;0)+(IFERROR(INDEX(Setup!$G$33:$G$40,MATCH(S2334,Setup!$B$33:$B$40,0)),0)=1)*(COUNTIF(S2308:U2325,$B2334)+COUNTIF(S2308:U2325,$B2334&amp;" ~*")&gt;0)+(IFERROR(INDEX(Setup!$G$33:$G$40,MATCH(W2334,Setup!$B$33:$B$40,0)),0)=1)*(COUNTIF(W2308:W2325,$B2334)+COUNTIF(W2308:W2325,$B2334&amp;" ~*")&gt;0)+(IFERROR(INDEX(Setup!$G$33:$G$40,MATCH(Y2334,Setup!$B$33:$B$40,0)),0)=1)*(COUNTIF(Y2308:Y2325,$B2334)+COUNTIF(Y2308:Y2325,$B2334&amp;" ~*")&gt;0))</f>
        <v/>
      </c>
    </row>
    <row r="2335" ht="15" customHeight="1">
      <c r="A2335" t="n">
        <v>47</v>
      </c>
      <c r="B2335" s="35">
        <f>IF(Setup!$B$14="","",Setup!$B$14)</f>
        <v/>
      </c>
      <c r="C2335" s="98" t="n"/>
      <c r="D2335" s="99" t="n"/>
      <c r="E2335" s="99" t="n"/>
      <c r="F2335" s="100" t="n"/>
      <c r="G2335" s="98" t="n"/>
      <c r="H2335" s="99" t="n"/>
      <c r="I2335" s="99" t="n"/>
      <c r="J2335" s="100" t="n"/>
      <c r="K2335" s="98" t="n"/>
      <c r="L2335" s="99" t="n"/>
      <c r="M2335" s="99" t="n"/>
      <c r="N2335" s="100" t="n"/>
      <c r="O2335" s="98" t="n"/>
      <c r="P2335" s="99" t="n"/>
      <c r="Q2335" s="99" t="n"/>
      <c r="R2335" s="100" t="n"/>
      <c r="S2335" s="98" t="n"/>
      <c r="T2335" s="99" t="n"/>
      <c r="U2335" s="99" t="n"/>
      <c r="V2335" s="100" t="n"/>
      <c r="W2335" s="98" t="n"/>
      <c r="X2335" s="100" t="n"/>
      <c r="Y2335" s="98" t="n"/>
      <c r="Z2335" s="100" t="n"/>
      <c r="AB2335" s="101">
        <f>IF($B2335="","",(COUNTIF(C2308:E2325,$B2335)+COUNTIF(C2308:E2325,$B2335&amp;" ~*")&gt;0)+(COUNTIF(G2308:I2325,$B2335)+COUNTIF(G2308:I2325,$B2335&amp;" ~*")&gt;0)+(COUNTIF(K2308:M2325,$B2335)+COUNTIF(K2308:M2325,$B2335&amp;" ~*")&gt;0)+(COUNTIF(O2308:Q2325,$B2335)+COUNTIF(O2308:Q2325,$B2335&amp;" ~*")&gt;0)+(COUNTIF(S2308:U2325,$B2335)+COUNTIF(S2308:U2325,$B2335&amp;" ~*")&gt;0)+(COUNTIF(W2308:W2325,$B2335)+COUNTIF(W2308:W2325,$B2335&amp;" ~*")&gt;0)+(COUNTIF(Y2308:Y2325,$B2335)+COUNTIF(Y2308:Y2325,$B2335&amp;" ~*")&gt;0))</f>
        <v/>
      </c>
      <c r="AC2335" s="36">
        <f>IF($B2335="","",(IFERROR(INDEX(Setup!$G$33:$G$40,MATCH(C2335,Setup!$B$33:$B$40,0)),0)=1)*(COUNTIF(C2308:E2325,$B2335)+COUNTIF(C2308:E2325,$B2335&amp;" ~*")&gt;0)+(IFERROR(INDEX(Setup!$G$33:$G$40,MATCH(G2335,Setup!$B$33:$B$40,0)),0)=1)*(COUNTIF(G2308:I2325,$B2335)+COUNTIF(G2308:I2325,$B2335&amp;" ~*")&gt;0)+(IFERROR(INDEX(Setup!$G$33:$G$40,MATCH(K2335,Setup!$B$33:$B$40,0)),0)=1)*(COUNTIF(K2308:M2325,$B2335)+COUNTIF(K2308:M2325,$B2335&amp;" ~*")&gt;0)+(IFERROR(INDEX(Setup!$G$33:$G$40,MATCH(O2335,Setup!$B$33:$B$40,0)),0)=1)*(COUNTIF(O2308:Q2325,$B2335)+COUNTIF(O2308:Q2325,$B2335&amp;" ~*")&gt;0)+(IFERROR(INDEX(Setup!$G$33:$G$40,MATCH(S2335,Setup!$B$33:$B$40,0)),0)=1)*(COUNTIF(S2308:U2325,$B2335)+COUNTIF(S2308:U2325,$B2335&amp;" ~*")&gt;0)+(IFERROR(INDEX(Setup!$G$33:$G$40,MATCH(W2335,Setup!$B$33:$B$40,0)),0)=1)*(COUNTIF(W2308:W2325,$B2335)+COUNTIF(W2308:W2325,$B2335&amp;" ~*")&gt;0)+(IFERROR(INDEX(Setup!$G$33:$G$40,MATCH(Y2335,Setup!$B$33:$B$40,0)),0)=1)*(COUNTIF(Y2308:Y2325,$B2335)+COUNTIF(Y2308:Y2325,$B2335&amp;" ~*")&gt;0))</f>
        <v/>
      </c>
    </row>
    <row r="2336" ht="15" customHeight="1">
      <c r="A2336" t="n">
        <v>47</v>
      </c>
      <c r="B2336" s="37">
        <f>IF(Setup!$B$15="","",Setup!$B$15)</f>
        <v/>
      </c>
      <c r="C2336" s="102" t="n"/>
      <c r="D2336" s="103" t="n"/>
      <c r="E2336" s="103" t="n"/>
      <c r="F2336" s="104" t="n"/>
      <c r="G2336" s="102" t="n"/>
      <c r="H2336" s="103" t="n"/>
      <c r="I2336" s="103" t="n"/>
      <c r="J2336" s="104" t="n"/>
      <c r="K2336" s="102" t="n"/>
      <c r="L2336" s="103" t="n"/>
      <c r="M2336" s="103" t="n"/>
      <c r="N2336" s="104" t="n"/>
      <c r="O2336" s="102" t="n"/>
      <c r="P2336" s="103" t="n"/>
      <c r="Q2336" s="103" t="n"/>
      <c r="R2336" s="104" t="n"/>
      <c r="S2336" s="102" t="n"/>
      <c r="T2336" s="103" t="n"/>
      <c r="U2336" s="103" t="n"/>
      <c r="V2336" s="104" t="n"/>
      <c r="W2336" s="102" t="n"/>
      <c r="X2336" s="104" t="n"/>
      <c r="Y2336" s="102" t="n"/>
      <c r="Z2336" s="104" t="n"/>
      <c r="AB2336" s="105">
        <f>IF($B2336="","",(COUNTIF(C2308:E2325,$B2336)+COUNTIF(C2308:E2325,$B2336&amp;" ~*")&gt;0)+(COUNTIF(G2308:I2325,$B2336)+COUNTIF(G2308:I2325,$B2336&amp;" ~*")&gt;0)+(COUNTIF(K2308:M2325,$B2336)+COUNTIF(K2308:M2325,$B2336&amp;" ~*")&gt;0)+(COUNTIF(O2308:Q2325,$B2336)+COUNTIF(O2308:Q2325,$B2336&amp;" ~*")&gt;0)+(COUNTIF(S2308:U2325,$B2336)+COUNTIF(S2308:U2325,$B2336&amp;" ~*")&gt;0)+(COUNTIF(W2308:W2325,$B2336)+COUNTIF(W2308:W2325,$B2336&amp;" ~*")&gt;0)+(COUNTIF(Y2308:Y2325,$B2336)+COUNTIF(Y2308:Y2325,$B2336&amp;" ~*")&gt;0))</f>
        <v/>
      </c>
      <c r="AC2336" s="38">
        <f>IF($B2336="","",(IFERROR(INDEX(Setup!$G$33:$G$40,MATCH(C2336,Setup!$B$33:$B$40,0)),0)=1)*(COUNTIF(C2308:E2325,$B2336)+COUNTIF(C2308:E2325,$B2336&amp;" ~*")&gt;0)+(IFERROR(INDEX(Setup!$G$33:$G$40,MATCH(G2336,Setup!$B$33:$B$40,0)),0)=1)*(COUNTIF(G2308:I2325,$B2336)+COUNTIF(G2308:I2325,$B2336&amp;" ~*")&gt;0)+(IFERROR(INDEX(Setup!$G$33:$G$40,MATCH(K2336,Setup!$B$33:$B$40,0)),0)=1)*(COUNTIF(K2308:M2325,$B2336)+COUNTIF(K2308:M2325,$B2336&amp;" ~*")&gt;0)+(IFERROR(INDEX(Setup!$G$33:$G$40,MATCH(O2336,Setup!$B$33:$B$40,0)),0)=1)*(COUNTIF(O2308:Q2325,$B2336)+COUNTIF(O2308:Q2325,$B2336&amp;" ~*")&gt;0)+(IFERROR(INDEX(Setup!$G$33:$G$40,MATCH(S2336,Setup!$B$33:$B$40,0)),0)=1)*(COUNTIF(S2308:U2325,$B2336)+COUNTIF(S2308:U2325,$B2336&amp;" ~*")&gt;0)+(IFERROR(INDEX(Setup!$G$33:$G$40,MATCH(W2336,Setup!$B$33:$B$40,0)),0)=1)*(COUNTIF(W2308:W2325,$B2336)+COUNTIF(W2308:W2325,$B2336&amp;" ~*")&gt;0)+(IFERROR(INDEX(Setup!$G$33:$G$40,MATCH(Y2336,Setup!$B$33:$B$40,0)),0)=1)*(COUNTIF(Y2308:Y2325,$B2336)+COUNTIF(Y2308:Y2325,$B2336&amp;" ~*")&gt;0))</f>
        <v/>
      </c>
    </row>
    <row r="2337" ht="15" customHeight="1">
      <c r="A2337" t="n">
        <v>47</v>
      </c>
      <c r="B2337" s="35">
        <f>IF(Setup!$B$16="","",Setup!$B$16)</f>
        <v/>
      </c>
      <c r="C2337" s="98" t="n"/>
      <c r="D2337" s="99" t="n"/>
      <c r="E2337" s="99" t="n"/>
      <c r="F2337" s="100" t="n"/>
      <c r="G2337" s="98" t="n"/>
      <c r="H2337" s="99" t="n"/>
      <c r="I2337" s="99" t="n"/>
      <c r="J2337" s="100" t="n"/>
      <c r="K2337" s="98" t="n"/>
      <c r="L2337" s="99" t="n"/>
      <c r="M2337" s="99" t="n"/>
      <c r="N2337" s="100" t="n"/>
      <c r="O2337" s="98" t="n"/>
      <c r="P2337" s="99" t="n"/>
      <c r="Q2337" s="99" t="n"/>
      <c r="R2337" s="100" t="n"/>
      <c r="S2337" s="98" t="n"/>
      <c r="T2337" s="99" t="n"/>
      <c r="U2337" s="99" t="n"/>
      <c r="V2337" s="100" t="n"/>
      <c r="W2337" s="98" t="n"/>
      <c r="X2337" s="100" t="n"/>
      <c r="Y2337" s="98" t="n"/>
      <c r="Z2337" s="100" t="n"/>
      <c r="AB2337" s="101">
        <f>IF($B2337="","",(COUNTIF(C2308:E2325,$B2337)+COUNTIF(C2308:E2325,$B2337&amp;" ~*")&gt;0)+(COUNTIF(G2308:I2325,$B2337)+COUNTIF(G2308:I2325,$B2337&amp;" ~*")&gt;0)+(COUNTIF(K2308:M2325,$B2337)+COUNTIF(K2308:M2325,$B2337&amp;" ~*")&gt;0)+(COUNTIF(O2308:Q2325,$B2337)+COUNTIF(O2308:Q2325,$B2337&amp;" ~*")&gt;0)+(COUNTIF(S2308:U2325,$B2337)+COUNTIF(S2308:U2325,$B2337&amp;" ~*")&gt;0)+(COUNTIF(W2308:W2325,$B2337)+COUNTIF(W2308:W2325,$B2337&amp;" ~*")&gt;0)+(COUNTIF(Y2308:Y2325,$B2337)+COUNTIF(Y2308:Y2325,$B2337&amp;" ~*")&gt;0))</f>
        <v/>
      </c>
      <c r="AC2337" s="36">
        <f>IF($B2337="","",(IFERROR(INDEX(Setup!$G$33:$G$40,MATCH(C2337,Setup!$B$33:$B$40,0)),0)=1)*(COUNTIF(C2308:E2325,$B2337)+COUNTIF(C2308:E2325,$B2337&amp;" ~*")&gt;0)+(IFERROR(INDEX(Setup!$G$33:$G$40,MATCH(G2337,Setup!$B$33:$B$40,0)),0)=1)*(COUNTIF(G2308:I2325,$B2337)+COUNTIF(G2308:I2325,$B2337&amp;" ~*")&gt;0)+(IFERROR(INDEX(Setup!$G$33:$G$40,MATCH(K2337,Setup!$B$33:$B$40,0)),0)=1)*(COUNTIF(K2308:M2325,$B2337)+COUNTIF(K2308:M2325,$B2337&amp;" ~*")&gt;0)+(IFERROR(INDEX(Setup!$G$33:$G$40,MATCH(O2337,Setup!$B$33:$B$40,0)),0)=1)*(COUNTIF(O2308:Q2325,$B2337)+COUNTIF(O2308:Q2325,$B2337&amp;" ~*")&gt;0)+(IFERROR(INDEX(Setup!$G$33:$G$40,MATCH(S2337,Setup!$B$33:$B$40,0)),0)=1)*(COUNTIF(S2308:U2325,$B2337)+COUNTIF(S2308:U2325,$B2337&amp;" ~*")&gt;0)+(IFERROR(INDEX(Setup!$G$33:$G$40,MATCH(W2337,Setup!$B$33:$B$40,0)),0)=1)*(COUNTIF(W2308:W2325,$B2337)+COUNTIF(W2308:W2325,$B2337&amp;" ~*")&gt;0)+(IFERROR(INDEX(Setup!$G$33:$G$40,MATCH(Y2337,Setup!$B$33:$B$40,0)),0)=1)*(COUNTIF(Y2308:Y2325,$B2337)+COUNTIF(Y2308:Y2325,$B2337&amp;" ~*")&gt;0))</f>
        <v/>
      </c>
    </row>
    <row r="2338" ht="15" customHeight="1">
      <c r="A2338" t="n">
        <v>47</v>
      </c>
      <c r="B2338" s="37">
        <f>IF(Setup!$B$17="","",Setup!$B$17)</f>
        <v/>
      </c>
      <c r="C2338" s="102" t="n"/>
      <c r="D2338" s="103" t="n"/>
      <c r="E2338" s="103" t="n"/>
      <c r="F2338" s="104" t="n"/>
      <c r="G2338" s="102" t="n"/>
      <c r="H2338" s="103" t="n"/>
      <c r="I2338" s="103" t="n"/>
      <c r="J2338" s="104" t="n"/>
      <c r="K2338" s="102" t="n"/>
      <c r="L2338" s="103" t="n"/>
      <c r="M2338" s="103" t="n"/>
      <c r="N2338" s="104" t="n"/>
      <c r="O2338" s="102" t="n"/>
      <c r="P2338" s="103" t="n"/>
      <c r="Q2338" s="103" t="n"/>
      <c r="R2338" s="104" t="n"/>
      <c r="S2338" s="102" t="n"/>
      <c r="T2338" s="103" t="n"/>
      <c r="U2338" s="103" t="n"/>
      <c r="V2338" s="104" t="n"/>
      <c r="W2338" s="102" t="n"/>
      <c r="X2338" s="104" t="n"/>
      <c r="Y2338" s="102" t="n"/>
      <c r="Z2338" s="104" t="n"/>
      <c r="AB2338" s="105">
        <f>IF($B2338="","",(COUNTIF(C2308:E2325,$B2338)+COUNTIF(C2308:E2325,$B2338&amp;" ~*")&gt;0)+(COUNTIF(G2308:I2325,$B2338)+COUNTIF(G2308:I2325,$B2338&amp;" ~*")&gt;0)+(COUNTIF(K2308:M2325,$B2338)+COUNTIF(K2308:M2325,$B2338&amp;" ~*")&gt;0)+(COUNTIF(O2308:Q2325,$B2338)+COUNTIF(O2308:Q2325,$B2338&amp;" ~*")&gt;0)+(COUNTIF(S2308:U2325,$B2338)+COUNTIF(S2308:U2325,$B2338&amp;" ~*")&gt;0)+(COUNTIF(W2308:W2325,$B2338)+COUNTIF(W2308:W2325,$B2338&amp;" ~*")&gt;0)+(COUNTIF(Y2308:Y2325,$B2338)+COUNTIF(Y2308:Y2325,$B2338&amp;" ~*")&gt;0))</f>
        <v/>
      </c>
      <c r="AC2338" s="38">
        <f>IF($B2338="","",(IFERROR(INDEX(Setup!$G$33:$G$40,MATCH(C2338,Setup!$B$33:$B$40,0)),0)=1)*(COUNTIF(C2308:E2325,$B2338)+COUNTIF(C2308:E2325,$B2338&amp;" ~*")&gt;0)+(IFERROR(INDEX(Setup!$G$33:$G$40,MATCH(G2338,Setup!$B$33:$B$40,0)),0)=1)*(COUNTIF(G2308:I2325,$B2338)+COUNTIF(G2308:I2325,$B2338&amp;" ~*")&gt;0)+(IFERROR(INDEX(Setup!$G$33:$G$40,MATCH(K2338,Setup!$B$33:$B$40,0)),0)=1)*(COUNTIF(K2308:M2325,$B2338)+COUNTIF(K2308:M2325,$B2338&amp;" ~*")&gt;0)+(IFERROR(INDEX(Setup!$G$33:$G$40,MATCH(O2338,Setup!$B$33:$B$40,0)),0)=1)*(COUNTIF(O2308:Q2325,$B2338)+COUNTIF(O2308:Q2325,$B2338&amp;" ~*")&gt;0)+(IFERROR(INDEX(Setup!$G$33:$G$40,MATCH(S2338,Setup!$B$33:$B$40,0)),0)=1)*(COUNTIF(S2308:U2325,$B2338)+COUNTIF(S2308:U2325,$B2338&amp;" ~*")&gt;0)+(IFERROR(INDEX(Setup!$G$33:$G$40,MATCH(W2338,Setup!$B$33:$B$40,0)),0)=1)*(COUNTIF(W2308:W2325,$B2338)+COUNTIF(W2308:W2325,$B2338&amp;" ~*")&gt;0)+(IFERROR(INDEX(Setup!$G$33:$G$40,MATCH(Y2338,Setup!$B$33:$B$40,0)),0)=1)*(COUNTIF(Y2308:Y2325,$B2338)+COUNTIF(Y2308:Y2325,$B2338&amp;" ~*")&gt;0))</f>
        <v/>
      </c>
    </row>
    <row r="2339" ht="15" customHeight="1">
      <c r="A2339" t="n">
        <v>47</v>
      </c>
      <c r="B2339" s="35">
        <f>IF(Setup!$B$18="","",Setup!$B$18)</f>
        <v/>
      </c>
      <c r="C2339" s="98" t="n"/>
      <c r="D2339" s="99" t="n"/>
      <c r="E2339" s="99" t="n"/>
      <c r="F2339" s="100" t="n"/>
      <c r="G2339" s="98" t="n"/>
      <c r="H2339" s="99" t="n"/>
      <c r="I2339" s="99" t="n"/>
      <c r="J2339" s="100" t="n"/>
      <c r="K2339" s="98" t="n"/>
      <c r="L2339" s="99" t="n"/>
      <c r="M2339" s="99" t="n"/>
      <c r="N2339" s="100" t="n"/>
      <c r="O2339" s="98" t="n"/>
      <c r="P2339" s="99" t="n"/>
      <c r="Q2339" s="99" t="n"/>
      <c r="R2339" s="100" t="n"/>
      <c r="S2339" s="98" t="n"/>
      <c r="T2339" s="99" t="n"/>
      <c r="U2339" s="99" t="n"/>
      <c r="V2339" s="100" t="n"/>
      <c r="W2339" s="98" t="n"/>
      <c r="X2339" s="100" t="n"/>
      <c r="Y2339" s="98" t="n"/>
      <c r="Z2339" s="100" t="n"/>
      <c r="AB2339" s="101">
        <f>IF($B2339="","",(COUNTIF(C2308:E2325,$B2339)+COUNTIF(C2308:E2325,$B2339&amp;" ~*")&gt;0)+(COUNTIF(G2308:I2325,$B2339)+COUNTIF(G2308:I2325,$B2339&amp;" ~*")&gt;0)+(COUNTIF(K2308:M2325,$B2339)+COUNTIF(K2308:M2325,$B2339&amp;" ~*")&gt;0)+(COUNTIF(O2308:Q2325,$B2339)+COUNTIF(O2308:Q2325,$B2339&amp;" ~*")&gt;0)+(COUNTIF(S2308:U2325,$B2339)+COUNTIF(S2308:U2325,$B2339&amp;" ~*")&gt;0)+(COUNTIF(W2308:W2325,$B2339)+COUNTIF(W2308:W2325,$B2339&amp;" ~*")&gt;0)+(COUNTIF(Y2308:Y2325,$B2339)+COUNTIF(Y2308:Y2325,$B2339&amp;" ~*")&gt;0))</f>
        <v/>
      </c>
      <c r="AC2339" s="36">
        <f>IF($B2339="","",(IFERROR(INDEX(Setup!$G$33:$G$40,MATCH(C2339,Setup!$B$33:$B$40,0)),0)=1)*(COUNTIF(C2308:E2325,$B2339)+COUNTIF(C2308:E2325,$B2339&amp;" ~*")&gt;0)+(IFERROR(INDEX(Setup!$G$33:$G$40,MATCH(G2339,Setup!$B$33:$B$40,0)),0)=1)*(COUNTIF(G2308:I2325,$B2339)+COUNTIF(G2308:I2325,$B2339&amp;" ~*")&gt;0)+(IFERROR(INDEX(Setup!$G$33:$G$40,MATCH(K2339,Setup!$B$33:$B$40,0)),0)=1)*(COUNTIF(K2308:M2325,$B2339)+COUNTIF(K2308:M2325,$B2339&amp;" ~*")&gt;0)+(IFERROR(INDEX(Setup!$G$33:$G$40,MATCH(O2339,Setup!$B$33:$B$40,0)),0)=1)*(COUNTIF(O2308:Q2325,$B2339)+COUNTIF(O2308:Q2325,$B2339&amp;" ~*")&gt;0)+(IFERROR(INDEX(Setup!$G$33:$G$40,MATCH(S2339,Setup!$B$33:$B$40,0)),0)=1)*(COUNTIF(S2308:U2325,$B2339)+COUNTIF(S2308:U2325,$B2339&amp;" ~*")&gt;0)+(IFERROR(INDEX(Setup!$G$33:$G$40,MATCH(W2339,Setup!$B$33:$B$40,0)),0)=1)*(COUNTIF(W2308:W2325,$B2339)+COUNTIF(W2308:W2325,$B2339&amp;" ~*")&gt;0)+(IFERROR(INDEX(Setup!$G$33:$G$40,MATCH(Y2339,Setup!$B$33:$B$40,0)),0)=1)*(COUNTIF(Y2308:Y2325,$B2339)+COUNTIF(Y2308:Y2325,$B2339&amp;" ~*")&gt;0))</f>
        <v/>
      </c>
    </row>
    <row r="2340" ht="15" customHeight="1">
      <c r="A2340" t="n">
        <v>47</v>
      </c>
      <c r="B2340" s="37">
        <f>IF(Setup!$B$19="","",Setup!$B$19)</f>
        <v/>
      </c>
      <c r="C2340" s="102" t="n"/>
      <c r="D2340" s="103" t="n"/>
      <c r="E2340" s="103" t="n"/>
      <c r="F2340" s="104" t="n"/>
      <c r="G2340" s="102" t="n"/>
      <c r="H2340" s="103" t="n"/>
      <c r="I2340" s="103" t="n"/>
      <c r="J2340" s="104" t="n"/>
      <c r="K2340" s="102" t="n"/>
      <c r="L2340" s="103" t="n"/>
      <c r="M2340" s="103" t="n"/>
      <c r="N2340" s="104" t="n"/>
      <c r="O2340" s="102" t="n"/>
      <c r="P2340" s="103" t="n"/>
      <c r="Q2340" s="103" t="n"/>
      <c r="R2340" s="104" t="n"/>
      <c r="S2340" s="102" t="n"/>
      <c r="T2340" s="103" t="n"/>
      <c r="U2340" s="103" t="n"/>
      <c r="V2340" s="104" t="n"/>
      <c r="W2340" s="102" t="n"/>
      <c r="X2340" s="104" t="n"/>
      <c r="Y2340" s="102" t="n"/>
      <c r="Z2340" s="104" t="n"/>
      <c r="AB2340" s="105">
        <f>IF($B2340="","",(COUNTIF(C2308:E2325,$B2340)+COUNTIF(C2308:E2325,$B2340&amp;" ~*")&gt;0)+(COUNTIF(G2308:I2325,$B2340)+COUNTIF(G2308:I2325,$B2340&amp;" ~*")&gt;0)+(COUNTIF(K2308:M2325,$B2340)+COUNTIF(K2308:M2325,$B2340&amp;" ~*")&gt;0)+(COUNTIF(O2308:Q2325,$B2340)+COUNTIF(O2308:Q2325,$B2340&amp;" ~*")&gt;0)+(COUNTIF(S2308:U2325,$B2340)+COUNTIF(S2308:U2325,$B2340&amp;" ~*")&gt;0)+(COUNTIF(W2308:W2325,$B2340)+COUNTIF(W2308:W2325,$B2340&amp;" ~*")&gt;0)+(COUNTIF(Y2308:Y2325,$B2340)+COUNTIF(Y2308:Y2325,$B2340&amp;" ~*")&gt;0))</f>
        <v/>
      </c>
      <c r="AC2340" s="38">
        <f>IF($B2340="","",(IFERROR(INDEX(Setup!$G$33:$G$40,MATCH(C2340,Setup!$B$33:$B$40,0)),0)=1)*(COUNTIF(C2308:E2325,$B2340)+COUNTIF(C2308:E2325,$B2340&amp;" ~*")&gt;0)+(IFERROR(INDEX(Setup!$G$33:$G$40,MATCH(G2340,Setup!$B$33:$B$40,0)),0)=1)*(COUNTIF(G2308:I2325,$B2340)+COUNTIF(G2308:I2325,$B2340&amp;" ~*")&gt;0)+(IFERROR(INDEX(Setup!$G$33:$G$40,MATCH(K2340,Setup!$B$33:$B$40,0)),0)=1)*(COUNTIF(K2308:M2325,$B2340)+COUNTIF(K2308:M2325,$B2340&amp;" ~*")&gt;0)+(IFERROR(INDEX(Setup!$G$33:$G$40,MATCH(O2340,Setup!$B$33:$B$40,0)),0)=1)*(COUNTIF(O2308:Q2325,$B2340)+COUNTIF(O2308:Q2325,$B2340&amp;" ~*")&gt;0)+(IFERROR(INDEX(Setup!$G$33:$G$40,MATCH(S2340,Setup!$B$33:$B$40,0)),0)=1)*(COUNTIF(S2308:U2325,$B2340)+COUNTIF(S2308:U2325,$B2340&amp;" ~*")&gt;0)+(IFERROR(INDEX(Setup!$G$33:$G$40,MATCH(W2340,Setup!$B$33:$B$40,0)),0)=1)*(COUNTIF(W2308:W2325,$B2340)+COUNTIF(W2308:W2325,$B2340&amp;" ~*")&gt;0)+(IFERROR(INDEX(Setup!$G$33:$G$40,MATCH(Y2340,Setup!$B$33:$B$40,0)),0)=1)*(COUNTIF(Y2308:Y2325,$B2340)+COUNTIF(Y2308:Y2325,$B2340&amp;" ~*")&gt;0))</f>
        <v/>
      </c>
    </row>
    <row r="2341" ht="15" customHeight="1">
      <c r="A2341" t="n">
        <v>47</v>
      </c>
      <c r="B2341" s="35">
        <f>IF(Setup!$B$20="","",Setup!$B$20)</f>
        <v/>
      </c>
      <c r="C2341" s="98" t="n"/>
      <c r="D2341" s="99" t="n"/>
      <c r="E2341" s="99" t="n"/>
      <c r="F2341" s="100" t="n"/>
      <c r="G2341" s="98" t="n"/>
      <c r="H2341" s="99" t="n"/>
      <c r="I2341" s="99" t="n"/>
      <c r="J2341" s="100" t="n"/>
      <c r="K2341" s="98" t="n"/>
      <c r="L2341" s="99" t="n"/>
      <c r="M2341" s="99" t="n"/>
      <c r="N2341" s="100" t="n"/>
      <c r="O2341" s="98" t="n"/>
      <c r="P2341" s="99" t="n"/>
      <c r="Q2341" s="99" t="n"/>
      <c r="R2341" s="100" t="n"/>
      <c r="S2341" s="98" t="n"/>
      <c r="T2341" s="99" t="n"/>
      <c r="U2341" s="99" t="n"/>
      <c r="V2341" s="100" t="n"/>
      <c r="W2341" s="98" t="n"/>
      <c r="X2341" s="100" t="n"/>
      <c r="Y2341" s="98" t="n"/>
      <c r="Z2341" s="100" t="n"/>
      <c r="AB2341" s="101">
        <f>IF($B2341="","",(COUNTIF(C2308:E2325,$B2341)+COUNTIF(C2308:E2325,$B2341&amp;" ~*")&gt;0)+(COUNTIF(G2308:I2325,$B2341)+COUNTIF(G2308:I2325,$B2341&amp;" ~*")&gt;0)+(COUNTIF(K2308:M2325,$B2341)+COUNTIF(K2308:M2325,$B2341&amp;" ~*")&gt;0)+(COUNTIF(O2308:Q2325,$B2341)+COUNTIF(O2308:Q2325,$B2341&amp;" ~*")&gt;0)+(COUNTIF(S2308:U2325,$B2341)+COUNTIF(S2308:U2325,$B2341&amp;" ~*")&gt;0)+(COUNTIF(W2308:W2325,$B2341)+COUNTIF(W2308:W2325,$B2341&amp;" ~*")&gt;0)+(COUNTIF(Y2308:Y2325,$B2341)+COUNTIF(Y2308:Y2325,$B2341&amp;" ~*")&gt;0))</f>
        <v/>
      </c>
      <c r="AC2341" s="36">
        <f>IF($B2341="","",(IFERROR(INDEX(Setup!$G$33:$G$40,MATCH(C2341,Setup!$B$33:$B$40,0)),0)=1)*(COUNTIF(C2308:E2325,$B2341)+COUNTIF(C2308:E2325,$B2341&amp;" ~*")&gt;0)+(IFERROR(INDEX(Setup!$G$33:$G$40,MATCH(G2341,Setup!$B$33:$B$40,0)),0)=1)*(COUNTIF(G2308:I2325,$B2341)+COUNTIF(G2308:I2325,$B2341&amp;" ~*")&gt;0)+(IFERROR(INDEX(Setup!$G$33:$G$40,MATCH(K2341,Setup!$B$33:$B$40,0)),0)=1)*(COUNTIF(K2308:M2325,$B2341)+COUNTIF(K2308:M2325,$B2341&amp;" ~*")&gt;0)+(IFERROR(INDEX(Setup!$G$33:$G$40,MATCH(O2341,Setup!$B$33:$B$40,0)),0)=1)*(COUNTIF(O2308:Q2325,$B2341)+COUNTIF(O2308:Q2325,$B2341&amp;" ~*")&gt;0)+(IFERROR(INDEX(Setup!$G$33:$G$40,MATCH(S2341,Setup!$B$33:$B$40,0)),0)=1)*(COUNTIF(S2308:U2325,$B2341)+COUNTIF(S2308:U2325,$B2341&amp;" ~*")&gt;0)+(IFERROR(INDEX(Setup!$G$33:$G$40,MATCH(W2341,Setup!$B$33:$B$40,0)),0)=1)*(COUNTIF(W2308:W2325,$B2341)+COUNTIF(W2308:W2325,$B2341&amp;" ~*")&gt;0)+(IFERROR(INDEX(Setup!$G$33:$G$40,MATCH(Y2341,Setup!$B$33:$B$40,0)),0)=1)*(COUNTIF(Y2308:Y2325,$B2341)+COUNTIF(Y2308:Y2325,$B2341&amp;" ~*")&gt;0))</f>
        <v/>
      </c>
    </row>
    <row r="2342" ht="15" customHeight="1">
      <c r="A2342" t="n">
        <v>47</v>
      </c>
      <c r="B2342" s="37">
        <f>IF(Setup!$B$21="","",Setup!$B$21)</f>
        <v/>
      </c>
      <c r="C2342" s="102" t="n"/>
      <c r="D2342" s="103" t="n"/>
      <c r="E2342" s="103" t="n"/>
      <c r="F2342" s="104" t="n"/>
      <c r="G2342" s="102" t="n"/>
      <c r="H2342" s="103" t="n"/>
      <c r="I2342" s="103" t="n"/>
      <c r="J2342" s="104" t="n"/>
      <c r="K2342" s="102" t="n"/>
      <c r="L2342" s="103" t="n"/>
      <c r="M2342" s="103" t="n"/>
      <c r="N2342" s="104" t="n"/>
      <c r="O2342" s="102" t="n"/>
      <c r="P2342" s="103" t="n"/>
      <c r="Q2342" s="103" t="n"/>
      <c r="R2342" s="104" t="n"/>
      <c r="S2342" s="102" t="n"/>
      <c r="T2342" s="103" t="n"/>
      <c r="U2342" s="103" t="n"/>
      <c r="V2342" s="104" t="n"/>
      <c r="W2342" s="102" t="n"/>
      <c r="X2342" s="104" t="n"/>
      <c r="Y2342" s="102" t="n"/>
      <c r="Z2342" s="104" t="n"/>
      <c r="AB2342" s="105">
        <f>IF($B2342="","",(COUNTIF(C2308:E2325,$B2342)+COUNTIF(C2308:E2325,$B2342&amp;" ~*")&gt;0)+(COUNTIF(G2308:I2325,$B2342)+COUNTIF(G2308:I2325,$B2342&amp;" ~*")&gt;0)+(COUNTIF(K2308:M2325,$B2342)+COUNTIF(K2308:M2325,$B2342&amp;" ~*")&gt;0)+(COUNTIF(O2308:Q2325,$B2342)+COUNTIF(O2308:Q2325,$B2342&amp;" ~*")&gt;0)+(COUNTIF(S2308:U2325,$B2342)+COUNTIF(S2308:U2325,$B2342&amp;" ~*")&gt;0)+(COUNTIF(W2308:W2325,$B2342)+COUNTIF(W2308:W2325,$B2342&amp;" ~*")&gt;0)+(COUNTIF(Y2308:Y2325,$B2342)+COUNTIF(Y2308:Y2325,$B2342&amp;" ~*")&gt;0))</f>
        <v/>
      </c>
      <c r="AC2342" s="38">
        <f>IF($B2342="","",(IFERROR(INDEX(Setup!$G$33:$G$40,MATCH(C2342,Setup!$B$33:$B$40,0)),0)=1)*(COUNTIF(C2308:E2325,$B2342)+COUNTIF(C2308:E2325,$B2342&amp;" ~*")&gt;0)+(IFERROR(INDEX(Setup!$G$33:$G$40,MATCH(G2342,Setup!$B$33:$B$40,0)),0)=1)*(COUNTIF(G2308:I2325,$B2342)+COUNTIF(G2308:I2325,$B2342&amp;" ~*")&gt;0)+(IFERROR(INDEX(Setup!$G$33:$G$40,MATCH(K2342,Setup!$B$33:$B$40,0)),0)=1)*(COUNTIF(K2308:M2325,$B2342)+COUNTIF(K2308:M2325,$B2342&amp;" ~*")&gt;0)+(IFERROR(INDEX(Setup!$G$33:$G$40,MATCH(O2342,Setup!$B$33:$B$40,0)),0)=1)*(COUNTIF(O2308:Q2325,$B2342)+COUNTIF(O2308:Q2325,$B2342&amp;" ~*")&gt;0)+(IFERROR(INDEX(Setup!$G$33:$G$40,MATCH(S2342,Setup!$B$33:$B$40,0)),0)=1)*(COUNTIF(S2308:U2325,$B2342)+COUNTIF(S2308:U2325,$B2342&amp;" ~*")&gt;0)+(IFERROR(INDEX(Setup!$G$33:$G$40,MATCH(W2342,Setup!$B$33:$B$40,0)),0)=1)*(COUNTIF(W2308:W2325,$B2342)+COUNTIF(W2308:W2325,$B2342&amp;" ~*")&gt;0)+(IFERROR(INDEX(Setup!$G$33:$G$40,MATCH(Y2342,Setup!$B$33:$B$40,0)),0)=1)*(COUNTIF(Y2308:Y2325,$B2342)+COUNTIF(Y2308:Y2325,$B2342&amp;" ~*")&gt;0))</f>
        <v/>
      </c>
    </row>
    <row r="2343" ht="15" customHeight="1">
      <c r="A2343" t="n">
        <v>47</v>
      </c>
      <c r="B2343" s="35">
        <f>IF(Setup!$B$22="","",Setup!$B$22)</f>
        <v/>
      </c>
      <c r="C2343" s="98" t="n"/>
      <c r="D2343" s="99" t="n"/>
      <c r="E2343" s="99" t="n"/>
      <c r="F2343" s="100" t="n"/>
      <c r="G2343" s="98" t="n"/>
      <c r="H2343" s="99" t="n"/>
      <c r="I2343" s="99" t="n"/>
      <c r="J2343" s="100" t="n"/>
      <c r="K2343" s="98" t="n"/>
      <c r="L2343" s="99" t="n"/>
      <c r="M2343" s="99" t="n"/>
      <c r="N2343" s="100" t="n"/>
      <c r="O2343" s="98" t="n"/>
      <c r="P2343" s="99" t="n"/>
      <c r="Q2343" s="99" t="n"/>
      <c r="R2343" s="100" t="n"/>
      <c r="S2343" s="98" t="n"/>
      <c r="T2343" s="99" t="n"/>
      <c r="U2343" s="99" t="n"/>
      <c r="V2343" s="100" t="n"/>
      <c r="W2343" s="98" t="n"/>
      <c r="X2343" s="100" t="n"/>
      <c r="Y2343" s="98" t="n"/>
      <c r="Z2343" s="100" t="n"/>
      <c r="AB2343" s="101">
        <f>IF($B2343="","",(COUNTIF(C2308:E2325,$B2343)+COUNTIF(C2308:E2325,$B2343&amp;" ~*")&gt;0)+(COUNTIF(G2308:I2325,$B2343)+COUNTIF(G2308:I2325,$B2343&amp;" ~*")&gt;0)+(COUNTIF(K2308:M2325,$B2343)+COUNTIF(K2308:M2325,$B2343&amp;" ~*")&gt;0)+(COUNTIF(O2308:Q2325,$B2343)+COUNTIF(O2308:Q2325,$B2343&amp;" ~*")&gt;0)+(COUNTIF(S2308:U2325,$B2343)+COUNTIF(S2308:U2325,$B2343&amp;" ~*")&gt;0)+(COUNTIF(W2308:W2325,$B2343)+COUNTIF(W2308:W2325,$B2343&amp;" ~*")&gt;0)+(COUNTIF(Y2308:Y2325,$B2343)+COUNTIF(Y2308:Y2325,$B2343&amp;" ~*")&gt;0))</f>
        <v/>
      </c>
      <c r="AC2343" s="36">
        <f>IF($B2343="","",(IFERROR(INDEX(Setup!$G$33:$G$40,MATCH(C2343,Setup!$B$33:$B$40,0)),0)=1)*(COUNTIF(C2308:E2325,$B2343)+COUNTIF(C2308:E2325,$B2343&amp;" ~*")&gt;0)+(IFERROR(INDEX(Setup!$G$33:$G$40,MATCH(G2343,Setup!$B$33:$B$40,0)),0)=1)*(COUNTIF(G2308:I2325,$B2343)+COUNTIF(G2308:I2325,$B2343&amp;" ~*")&gt;0)+(IFERROR(INDEX(Setup!$G$33:$G$40,MATCH(K2343,Setup!$B$33:$B$40,0)),0)=1)*(COUNTIF(K2308:M2325,$B2343)+COUNTIF(K2308:M2325,$B2343&amp;" ~*")&gt;0)+(IFERROR(INDEX(Setup!$G$33:$G$40,MATCH(O2343,Setup!$B$33:$B$40,0)),0)=1)*(COUNTIF(O2308:Q2325,$B2343)+COUNTIF(O2308:Q2325,$B2343&amp;" ~*")&gt;0)+(IFERROR(INDEX(Setup!$G$33:$G$40,MATCH(S2343,Setup!$B$33:$B$40,0)),0)=1)*(COUNTIF(S2308:U2325,$B2343)+COUNTIF(S2308:U2325,$B2343&amp;" ~*")&gt;0)+(IFERROR(INDEX(Setup!$G$33:$G$40,MATCH(W2343,Setup!$B$33:$B$40,0)),0)=1)*(COUNTIF(W2308:W2325,$B2343)+COUNTIF(W2308:W2325,$B2343&amp;" ~*")&gt;0)+(IFERROR(INDEX(Setup!$G$33:$G$40,MATCH(Y2343,Setup!$B$33:$B$40,0)),0)=1)*(COUNTIF(Y2308:Y2325,$B2343)+COUNTIF(Y2308:Y2325,$B2343&amp;" ~*")&gt;0))</f>
        <v/>
      </c>
    </row>
    <row r="2344" ht="15" customHeight="1">
      <c r="A2344" t="n">
        <v>47</v>
      </c>
      <c r="B2344" s="37">
        <f>IF(Setup!$B$23="","",Setup!$B$23)</f>
        <v/>
      </c>
      <c r="C2344" s="102" t="n"/>
      <c r="D2344" s="103" t="n"/>
      <c r="E2344" s="103" t="n"/>
      <c r="F2344" s="104" t="n"/>
      <c r="G2344" s="102" t="n"/>
      <c r="H2344" s="103" t="n"/>
      <c r="I2344" s="103" t="n"/>
      <c r="J2344" s="104" t="n"/>
      <c r="K2344" s="102" t="n"/>
      <c r="L2344" s="103" t="n"/>
      <c r="M2344" s="103" t="n"/>
      <c r="N2344" s="104" t="n"/>
      <c r="O2344" s="102" t="n"/>
      <c r="P2344" s="103" t="n"/>
      <c r="Q2344" s="103" t="n"/>
      <c r="R2344" s="104" t="n"/>
      <c r="S2344" s="102" t="n"/>
      <c r="T2344" s="103" t="n"/>
      <c r="U2344" s="103" t="n"/>
      <c r="V2344" s="104" t="n"/>
      <c r="W2344" s="102" t="n"/>
      <c r="X2344" s="104" t="n"/>
      <c r="Y2344" s="102" t="n"/>
      <c r="Z2344" s="104" t="n"/>
      <c r="AB2344" s="105">
        <f>IF($B2344="","",(COUNTIF(C2308:E2325,$B2344)+COUNTIF(C2308:E2325,$B2344&amp;" ~*")&gt;0)+(COUNTIF(G2308:I2325,$B2344)+COUNTIF(G2308:I2325,$B2344&amp;" ~*")&gt;0)+(COUNTIF(K2308:M2325,$B2344)+COUNTIF(K2308:M2325,$B2344&amp;" ~*")&gt;0)+(COUNTIF(O2308:Q2325,$B2344)+COUNTIF(O2308:Q2325,$B2344&amp;" ~*")&gt;0)+(COUNTIF(S2308:U2325,$B2344)+COUNTIF(S2308:U2325,$B2344&amp;" ~*")&gt;0)+(COUNTIF(W2308:W2325,$B2344)+COUNTIF(W2308:W2325,$B2344&amp;" ~*")&gt;0)+(COUNTIF(Y2308:Y2325,$B2344)+COUNTIF(Y2308:Y2325,$B2344&amp;" ~*")&gt;0))</f>
        <v/>
      </c>
      <c r="AC2344" s="38">
        <f>IF($B2344="","",(IFERROR(INDEX(Setup!$G$33:$G$40,MATCH(C2344,Setup!$B$33:$B$40,0)),0)=1)*(COUNTIF(C2308:E2325,$B2344)+COUNTIF(C2308:E2325,$B2344&amp;" ~*")&gt;0)+(IFERROR(INDEX(Setup!$G$33:$G$40,MATCH(G2344,Setup!$B$33:$B$40,0)),0)=1)*(COUNTIF(G2308:I2325,$B2344)+COUNTIF(G2308:I2325,$B2344&amp;" ~*")&gt;0)+(IFERROR(INDEX(Setup!$G$33:$G$40,MATCH(K2344,Setup!$B$33:$B$40,0)),0)=1)*(COUNTIF(K2308:M2325,$B2344)+COUNTIF(K2308:M2325,$B2344&amp;" ~*")&gt;0)+(IFERROR(INDEX(Setup!$G$33:$G$40,MATCH(O2344,Setup!$B$33:$B$40,0)),0)=1)*(COUNTIF(O2308:Q2325,$B2344)+COUNTIF(O2308:Q2325,$B2344&amp;" ~*")&gt;0)+(IFERROR(INDEX(Setup!$G$33:$G$40,MATCH(S2344,Setup!$B$33:$B$40,0)),0)=1)*(COUNTIF(S2308:U2325,$B2344)+COUNTIF(S2308:U2325,$B2344&amp;" ~*")&gt;0)+(IFERROR(INDEX(Setup!$G$33:$G$40,MATCH(W2344,Setup!$B$33:$B$40,0)),0)=1)*(COUNTIF(W2308:W2325,$B2344)+COUNTIF(W2308:W2325,$B2344&amp;" ~*")&gt;0)+(IFERROR(INDEX(Setup!$G$33:$G$40,MATCH(Y2344,Setup!$B$33:$B$40,0)),0)=1)*(COUNTIF(Y2308:Y2325,$B2344)+COUNTIF(Y2308:Y2325,$B2344&amp;" ~*")&gt;0))</f>
        <v/>
      </c>
    </row>
    <row r="2345" ht="15" customHeight="1">
      <c r="A2345" t="n">
        <v>47</v>
      </c>
      <c r="B2345" s="35">
        <f>IF(Setup!$B$24="","",Setup!$B$24)</f>
        <v/>
      </c>
      <c r="C2345" s="98" t="n"/>
      <c r="D2345" s="99" t="n"/>
      <c r="E2345" s="99" t="n"/>
      <c r="F2345" s="100" t="n"/>
      <c r="G2345" s="98" t="n"/>
      <c r="H2345" s="99" t="n"/>
      <c r="I2345" s="99" t="n"/>
      <c r="J2345" s="100" t="n"/>
      <c r="K2345" s="98" t="n"/>
      <c r="L2345" s="99" t="n"/>
      <c r="M2345" s="99" t="n"/>
      <c r="N2345" s="100" t="n"/>
      <c r="O2345" s="98" t="n"/>
      <c r="P2345" s="99" t="n"/>
      <c r="Q2345" s="99" t="n"/>
      <c r="R2345" s="100" t="n"/>
      <c r="S2345" s="98" t="n"/>
      <c r="T2345" s="99" t="n"/>
      <c r="U2345" s="99" t="n"/>
      <c r="V2345" s="100" t="n"/>
      <c r="W2345" s="98" t="n"/>
      <c r="X2345" s="100" t="n"/>
      <c r="Y2345" s="98" t="n"/>
      <c r="Z2345" s="100" t="n"/>
      <c r="AB2345" s="101">
        <f>IF($B2345="","",(COUNTIF(C2308:E2325,$B2345)+COUNTIF(C2308:E2325,$B2345&amp;" ~*")&gt;0)+(COUNTIF(G2308:I2325,$B2345)+COUNTIF(G2308:I2325,$B2345&amp;" ~*")&gt;0)+(COUNTIF(K2308:M2325,$B2345)+COUNTIF(K2308:M2325,$B2345&amp;" ~*")&gt;0)+(COUNTIF(O2308:Q2325,$B2345)+COUNTIF(O2308:Q2325,$B2345&amp;" ~*")&gt;0)+(COUNTIF(S2308:U2325,$B2345)+COUNTIF(S2308:U2325,$B2345&amp;" ~*")&gt;0)+(COUNTIF(W2308:W2325,$B2345)+COUNTIF(W2308:W2325,$B2345&amp;" ~*")&gt;0)+(COUNTIF(Y2308:Y2325,$B2345)+COUNTIF(Y2308:Y2325,$B2345&amp;" ~*")&gt;0))</f>
        <v/>
      </c>
      <c r="AC2345" s="36">
        <f>IF($B2345="","",(IFERROR(INDEX(Setup!$G$33:$G$40,MATCH(C2345,Setup!$B$33:$B$40,0)),0)=1)*(COUNTIF(C2308:E2325,$B2345)+COUNTIF(C2308:E2325,$B2345&amp;" ~*")&gt;0)+(IFERROR(INDEX(Setup!$G$33:$G$40,MATCH(G2345,Setup!$B$33:$B$40,0)),0)=1)*(COUNTIF(G2308:I2325,$B2345)+COUNTIF(G2308:I2325,$B2345&amp;" ~*")&gt;0)+(IFERROR(INDEX(Setup!$G$33:$G$40,MATCH(K2345,Setup!$B$33:$B$40,0)),0)=1)*(COUNTIF(K2308:M2325,$B2345)+COUNTIF(K2308:M2325,$B2345&amp;" ~*")&gt;0)+(IFERROR(INDEX(Setup!$G$33:$G$40,MATCH(O2345,Setup!$B$33:$B$40,0)),0)=1)*(COUNTIF(O2308:Q2325,$B2345)+COUNTIF(O2308:Q2325,$B2345&amp;" ~*")&gt;0)+(IFERROR(INDEX(Setup!$G$33:$G$40,MATCH(S2345,Setup!$B$33:$B$40,0)),0)=1)*(COUNTIF(S2308:U2325,$B2345)+COUNTIF(S2308:U2325,$B2345&amp;" ~*")&gt;0)+(IFERROR(INDEX(Setup!$G$33:$G$40,MATCH(W2345,Setup!$B$33:$B$40,0)),0)=1)*(COUNTIF(W2308:W2325,$B2345)+COUNTIF(W2308:W2325,$B2345&amp;" ~*")&gt;0)+(IFERROR(INDEX(Setup!$G$33:$G$40,MATCH(Y2345,Setup!$B$33:$B$40,0)),0)=1)*(COUNTIF(Y2308:Y2325,$B2345)+COUNTIF(Y2308:Y2325,$B2345&amp;" ~*")&gt;0))</f>
        <v/>
      </c>
    </row>
    <row r="2346" ht="15" customHeight="1">
      <c r="A2346" t="n">
        <v>47</v>
      </c>
      <c r="B2346" s="37">
        <f>IF(Setup!$B$25="","",Setup!$B$25)</f>
        <v/>
      </c>
      <c r="C2346" s="102" t="n"/>
      <c r="D2346" s="103" t="n"/>
      <c r="E2346" s="103" t="n"/>
      <c r="F2346" s="104" t="n"/>
      <c r="G2346" s="102" t="n"/>
      <c r="H2346" s="103" t="n"/>
      <c r="I2346" s="103" t="n"/>
      <c r="J2346" s="104" t="n"/>
      <c r="K2346" s="102" t="n"/>
      <c r="L2346" s="103" t="n"/>
      <c r="M2346" s="103" t="n"/>
      <c r="N2346" s="104" t="n"/>
      <c r="O2346" s="102" t="n"/>
      <c r="P2346" s="103" t="n"/>
      <c r="Q2346" s="103" t="n"/>
      <c r="R2346" s="104" t="n"/>
      <c r="S2346" s="102" t="n"/>
      <c r="T2346" s="103" t="n"/>
      <c r="U2346" s="103" t="n"/>
      <c r="V2346" s="104" t="n"/>
      <c r="W2346" s="102" t="n"/>
      <c r="X2346" s="104" t="n"/>
      <c r="Y2346" s="102" t="n"/>
      <c r="Z2346" s="104" t="n"/>
      <c r="AB2346" s="105">
        <f>IF($B2346="","",(COUNTIF(C2308:E2325,$B2346)+COUNTIF(C2308:E2325,$B2346&amp;" ~*")&gt;0)+(COUNTIF(G2308:I2325,$B2346)+COUNTIF(G2308:I2325,$B2346&amp;" ~*")&gt;0)+(COUNTIF(K2308:M2325,$B2346)+COUNTIF(K2308:M2325,$B2346&amp;" ~*")&gt;0)+(COUNTIF(O2308:Q2325,$B2346)+COUNTIF(O2308:Q2325,$B2346&amp;" ~*")&gt;0)+(COUNTIF(S2308:U2325,$B2346)+COUNTIF(S2308:U2325,$B2346&amp;" ~*")&gt;0)+(COUNTIF(W2308:W2325,$B2346)+COUNTIF(W2308:W2325,$B2346&amp;" ~*")&gt;0)+(COUNTIF(Y2308:Y2325,$B2346)+COUNTIF(Y2308:Y2325,$B2346&amp;" ~*")&gt;0))</f>
        <v/>
      </c>
      <c r="AC2346" s="38">
        <f>IF($B2346="","",(IFERROR(INDEX(Setup!$G$33:$G$40,MATCH(C2346,Setup!$B$33:$B$40,0)),0)=1)*(COUNTIF(C2308:E2325,$B2346)+COUNTIF(C2308:E2325,$B2346&amp;" ~*")&gt;0)+(IFERROR(INDEX(Setup!$G$33:$G$40,MATCH(G2346,Setup!$B$33:$B$40,0)),0)=1)*(COUNTIF(G2308:I2325,$B2346)+COUNTIF(G2308:I2325,$B2346&amp;" ~*")&gt;0)+(IFERROR(INDEX(Setup!$G$33:$G$40,MATCH(K2346,Setup!$B$33:$B$40,0)),0)=1)*(COUNTIF(K2308:M2325,$B2346)+COUNTIF(K2308:M2325,$B2346&amp;" ~*")&gt;0)+(IFERROR(INDEX(Setup!$G$33:$G$40,MATCH(O2346,Setup!$B$33:$B$40,0)),0)=1)*(COUNTIF(O2308:Q2325,$B2346)+COUNTIF(O2308:Q2325,$B2346&amp;" ~*")&gt;0)+(IFERROR(INDEX(Setup!$G$33:$G$40,MATCH(S2346,Setup!$B$33:$B$40,0)),0)=1)*(COUNTIF(S2308:U2325,$B2346)+COUNTIF(S2308:U2325,$B2346&amp;" ~*")&gt;0)+(IFERROR(INDEX(Setup!$G$33:$G$40,MATCH(W2346,Setup!$B$33:$B$40,0)),0)=1)*(COUNTIF(W2308:W2325,$B2346)+COUNTIF(W2308:W2325,$B2346&amp;" ~*")&gt;0)+(IFERROR(INDEX(Setup!$G$33:$G$40,MATCH(Y2346,Setup!$B$33:$B$40,0)),0)=1)*(COUNTIF(Y2308:Y2325,$B2346)+COUNTIF(Y2308:Y2325,$B2346&amp;" ~*")&gt;0))</f>
        <v/>
      </c>
    </row>
    <row r="2347" ht="15" customHeight="1">
      <c r="A2347" t="n">
        <v>47</v>
      </c>
      <c r="B2347" s="35">
        <f>IF(Setup!$B$26="","",Setup!$B$26)</f>
        <v/>
      </c>
      <c r="C2347" s="98" t="n"/>
      <c r="D2347" s="99" t="n"/>
      <c r="E2347" s="99" t="n"/>
      <c r="F2347" s="100" t="n"/>
      <c r="G2347" s="98" t="n"/>
      <c r="H2347" s="99" t="n"/>
      <c r="I2347" s="99" t="n"/>
      <c r="J2347" s="100" t="n"/>
      <c r="K2347" s="98" t="n"/>
      <c r="L2347" s="99" t="n"/>
      <c r="M2347" s="99" t="n"/>
      <c r="N2347" s="100" t="n"/>
      <c r="O2347" s="98" t="n"/>
      <c r="P2347" s="99" t="n"/>
      <c r="Q2347" s="99" t="n"/>
      <c r="R2347" s="100" t="n"/>
      <c r="S2347" s="98" t="n"/>
      <c r="T2347" s="99" t="n"/>
      <c r="U2347" s="99" t="n"/>
      <c r="V2347" s="100" t="n"/>
      <c r="W2347" s="98" t="n"/>
      <c r="X2347" s="100" t="n"/>
      <c r="Y2347" s="98" t="n"/>
      <c r="Z2347" s="100" t="n"/>
      <c r="AB2347" s="101">
        <f>IF($B2347="","",(COUNTIF(C2308:E2325,$B2347)+COUNTIF(C2308:E2325,$B2347&amp;" ~*")&gt;0)+(COUNTIF(G2308:I2325,$B2347)+COUNTIF(G2308:I2325,$B2347&amp;" ~*")&gt;0)+(COUNTIF(K2308:M2325,$B2347)+COUNTIF(K2308:M2325,$B2347&amp;" ~*")&gt;0)+(COUNTIF(O2308:Q2325,$B2347)+COUNTIF(O2308:Q2325,$B2347&amp;" ~*")&gt;0)+(COUNTIF(S2308:U2325,$B2347)+COUNTIF(S2308:U2325,$B2347&amp;" ~*")&gt;0)+(COUNTIF(W2308:W2325,$B2347)+COUNTIF(W2308:W2325,$B2347&amp;" ~*")&gt;0)+(COUNTIF(Y2308:Y2325,$B2347)+COUNTIF(Y2308:Y2325,$B2347&amp;" ~*")&gt;0))</f>
        <v/>
      </c>
      <c r="AC2347" s="36">
        <f>IF($B2347="","",(IFERROR(INDEX(Setup!$G$33:$G$40,MATCH(C2347,Setup!$B$33:$B$40,0)),0)=1)*(COUNTIF(C2308:E2325,$B2347)+COUNTIF(C2308:E2325,$B2347&amp;" ~*")&gt;0)+(IFERROR(INDEX(Setup!$G$33:$G$40,MATCH(G2347,Setup!$B$33:$B$40,0)),0)=1)*(COUNTIF(G2308:I2325,$B2347)+COUNTIF(G2308:I2325,$B2347&amp;" ~*")&gt;0)+(IFERROR(INDEX(Setup!$G$33:$G$40,MATCH(K2347,Setup!$B$33:$B$40,0)),0)=1)*(COUNTIF(K2308:M2325,$B2347)+COUNTIF(K2308:M2325,$B2347&amp;" ~*")&gt;0)+(IFERROR(INDEX(Setup!$G$33:$G$40,MATCH(O2347,Setup!$B$33:$B$40,0)),0)=1)*(COUNTIF(O2308:Q2325,$B2347)+COUNTIF(O2308:Q2325,$B2347&amp;" ~*")&gt;0)+(IFERROR(INDEX(Setup!$G$33:$G$40,MATCH(S2347,Setup!$B$33:$B$40,0)),0)=1)*(COUNTIF(S2308:U2325,$B2347)+COUNTIF(S2308:U2325,$B2347&amp;" ~*")&gt;0)+(IFERROR(INDEX(Setup!$G$33:$G$40,MATCH(W2347,Setup!$B$33:$B$40,0)),0)=1)*(COUNTIF(W2308:W2325,$B2347)+COUNTIF(W2308:W2325,$B2347&amp;" ~*")&gt;0)+(IFERROR(INDEX(Setup!$G$33:$G$40,MATCH(Y2347,Setup!$B$33:$B$40,0)),0)=1)*(COUNTIF(Y2308:Y2325,$B2347)+COUNTIF(Y2308:Y2325,$B2347&amp;" ~*")&gt;0))</f>
        <v/>
      </c>
    </row>
    <row r="2348" ht="15" customHeight="1">
      <c r="A2348" t="n">
        <v>47</v>
      </c>
      <c r="B2348" s="37">
        <f>IF(Setup!$B$27="","",Setup!$B$27)</f>
        <v/>
      </c>
      <c r="C2348" s="102" t="n"/>
      <c r="D2348" s="103" t="n"/>
      <c r="E2348" s="103" t="n"/>
      <c r="F2348" s="104" t="n"/>
      <c r="G2348" s="102" t="n"/>
      <c r="H2348" s="103" t="n"/>
      <c r="I2348" s="103" t="n"/>
      <c r="J2348" s="104" t="n"/>
      <c r="K2348" s="102" t="n"/>
      <c r="L2348" s="103" t="n"/>
      <c r="M2348" s="103" t="n"/>
      <c r="N2348" s="104" t="n"/>
      <c r="O2348" s="102" t="n"/>
      <c r="P2348" s="103" t="n"/>
      <c r="Q2348" s="103" t="n"/>
      <c r="R2348" s="104" t="n"/>
      <c r="S2348" s="102" t="n"/>
      <c r="T2348" s="103" t="n"/>
      <c r="U2348" s="103" t="n"/>
      <c r="V2348" s="104" t="n"/>
      <c r="W2348" s="102" t="n"/>
      <c r="X2348" s="104" t="n"/>
      <c r="Y2348" s="102" t="n"/>
      <c r="Z2348" s="104" t="n"/>
      <c r="AB2348" s="105">
        <f>IF($B2348="","",(COUNTIF(C2308:E2325,$B2348)+COUNTIF(C2308:E2325,$B2348&amp;" ~*")&gt;0)+(COUNTIF(G2308:I2325,$B2348)+COUNTIF(G2308:I2325,$B2348&amp;" ~*")&gt;0)+(COUNTIF(K2308:M2325,$B2348)+COUNTIF(K2308:M2325,$B2348&amp;" ~*")&gt;0)+(COUNTIF(O2308:Q2325,$B2348)+COUNTIF(O2308:Q2325,$B2348&amp;" ~*")&gt;0)+(COUNTIF(S2308:U2325,$B2348)+COUNTIF(S2308:U2325,$B2348&amp;" ~*")&gt;0)+(COUNTIF(W2308:W2325,$B2348)+COUNTIF(W2308:W2325,$B2348&amp;" ~*")&gt;0)+(COUNTIF(Y2308:Y2325,$B2348)+COUNTIF(Y2308:Y2325,$B2348&amp;" ~*")&gt;0))</f>
        <v/>
      </c>
      <c r="AC2348" s="38">
        <f>IF($B2348="","",(IFERROR(INDEX(Setup!$G$33:$G$40,MATCH(C2348,Setup!$B$33:$B$40,0)),0)=1)*(COUNTIF(C2308:E2325,$B2348)+COUNTIF(C2308:E2325,$B2348&amp;" ~*")&gt;0)+(IFERROR(INDEX(Setup!$G$33:$G$40,MATCH(G2348,Setup!$B$33:$B$40,0)),0)=1)*(COUNTIF(G2308:I2325,$B2348)+COUNTIF(G2308:I2325,$B2348&amp;" ~*")&gt;0)+(IFERROR(INDEX(Setup!$G$33:$G$40,MATCH(K2348,Setup!$B$33:$B$40,0)),0)=1)*(COUNTIF(K2308:M2325,$B2348)+COUNTIF(K2308:M2325,$B2348&amp;" ~*")&gt;0)+(IFERROR(INDEX(Setup!$G$33:$G$40,MATCH(O2348,Setup!$B$33:$B$40,0)),0)=1)*(COUNTIF(O2308:Q2325,$B2348)+COUNTIF(O2308:Q2325,$B2348&amp;" ~*")&gt;0)+(IFERROR(INDEX(Setup!$G$33:$G$40,MATCH(S2348,Setup!$B$33:$B$40,0)),0)=1)*(COUNTIF(S2308:U2325,$B2348)+COUNTIF(S2308:U2325,$B2348&amp;" ~*")&gt;0)+(IFERROR(INDEX(Setup!$G$33:$G$40,MATCH(W2348,Setup!$B$33:$B$40,0)),0)=1)*(COUNTIF(W2308:W2325,$B2348)+COUNTIF(W2308:W2325,$B2348&amp;" ~*")&gt;0)+(IFERROR(INDEX(Setup!$G$33:$G$40,MATCH(Y2348,Setup!$B$33:$B$40,0)),0)=1)*(COUNTIF(Y2308:Y2325,$B2348)+COUNTIF(Y2308:Y2325,$B2348&amp;" ~*")&gt;0))</f>
        <v/>
      </c>
    </row>
    <row r="2349" ht="15" customHeight="1">
      <c r="A2349" t="n">
        <v>47</v>
      </c>
      <c r="B2349" s="35">
        <f>IF(Setup!$B$28="","",Setup!$B$28)</f>
        <v/>
      </c>
      <c r="C2349" s="98" t="n"/>
      <c r="D2349" s="99" t="n"/>
      <c r="E2349" s="99" t="n"/>
      <c r="F2349" s="100" t="n"/>
      <c r="G2349" s="98" t="n"/>
      <c r="H2349" s="99" t="n"/>
      <c r="I2349" s="99" t="n"/>
      <c r="J2349" s="100" t="n"/>
      <c r="K2349" s="98" t="n"/>
      <c r="L2349" s="99" t="n"/>
      <c r="M2349" s="99" t="n"/>
      <c r="N2349" s="100" t="n"/>
      <c r="O2349" s="98" t="n"/>
      <c r="P2349" s="99" t="n"/>
      <c r="Q2349" s="99" t="n"/>
      <c r="R2349" s="100" t="n"/>
      <c r="S2349" s="98" t="n"/>
      <c r="T2349" s="99" t="n"/>
      <c r="U2349" s="99" t="n"/>
      <c r="V2349" s="100" t="n"/>
      <c r="W2349" s="98" t="n"/>
      <c r="X2349" s="100" t="n"/>
      <c r="Y2349" s="98" t="n"/>
      <c r="Z2349" s="100" t="n"/>
      <c r="AB2349" s="101">
        <f>IF($B2349="","",(COUNTIF(C2308:E2325,$B2349)+COUNTIF(C2308:E2325,$B2349&amp;" ~*")&gt;0)+(COUNTIF(G2308:I2325,$B2349)+COUNTIF(G2308:I2325,$B2349&amp;" ~*")&gt;0)+(COUNTIF(K2308:M2325,$B2349)+COUNTIF(K2308:M2325,$B2349&amp;" ~*")&gt;0)+(COUNTIF(O2308:Q2325,$B2349)+COUNTIF(O2308:Q2325,$B2349&amp;" ~*")&gt;0)+(COUNTIF(S2308:U2325,$B2349)+COUNTIF(S2308:U2325,$B2349&amp;" ~*")&gt;0)+(COUNTIF(W2308:W2325,$B2349)+COUNTIF(W2308:W2325,$B2349&amp;" ~*")&gt;0)+(COUNTIF(Y2308:Y2325,$B2349)+COUNTIF(Y2308:Y2325,$B2349&amp;" ~*")&gt;0))</f>
        <v/>
      </c>
      <c r="AC2349" s="36">
        <f>IF($B2349="","",(IFERROR(INDEX(Setup!$G$33:$G$40,MATCH(C2349,Setup!$B$33:$B$40,0)),0)=1)*(COUNTIF(C2308:E2325,$B2349)+COUNTIF(C2308:E2325,$B2349&amp;" ~*")&gt;0)+(IFERROR(INDEX(Setup!$G$33:$G$40,MATCH(G2349,Setup!$B$33:$B$40,0)),0)=1)*(COUNTIF(G2308:I2325,$B2349)+COUNTIF(G2308:I2325,$B2349&amp;" ~*")&gt;0)+(IFERROR(INDEX(Setup!$G$33:$G$40,MATCH(K2349,Setup!$B$33:$B$40,0)),0)=1)*(COUNTIF(K2308:M2325,$B2349)+COUNTIF(K2308:M2325,$B2349&amp;" ~*")&gt;0)+(IFERROR(INDEX(Setup!$G$33:$G$40,MATCH(O2349,Setup!$B$33:$B$40,0)),0)=1)*(COUNTIF(O2308:Q2325,$B2349)+COUNTIF(O2308:Q2325,$B2349&amp;" ~*")&gt;0)+(IFERROR(INDEX(Setup!$G$33:$G$40,MATCH(S2349,Setup!$B$33:$B$40,0)),0)=1)*(COUNTIF(S2308:U2325,$B2349)+COUNTIF(S2308:U2325,$B2349&amp;" ~*")&gt;0)+(IFERROR(INDEX(Setup!$G$33:$G$40,MATCH(W2349,Setup!$B$33:$B$40,0)),0)=1)*(COUNTIF(W2308:W2325,$B2349)+COUNTIF(W2308:W2325,$B2349&amp;" ~*")&gt;0)+(IFERROR(INDEX(Setup!$G$33:$G$40,MATCH(Y2349,Setup!$B$33:$B$40,0)),0)=1)*(COUNTIF(Y2308:Y2325,$B2349)+COUNTIF(Y2308:Y2325,$B2349&amp;" ~*")&gt;0))</f>
        <v/>
      </c>
    </row>
    <row r="2350" ht="15" customHeight="1">
      <c r="A2350" t="n">
        <v>47</v>
      </c>
      <c r="B2350" s="37">
        <f>IF(Setup!$B$29="","",Setup!$B$29)</f>
        <v/>
      </c>
      <c r="C2350" s="102" t="n"/>
      <c r="D2350" s="103" t="n"/>
      <c r="E2350" s="103" t="n"/>
      <c r="F2350" s="104" t="n"/>
      <c r="G2350" s="102" t="n"/>
      <c r="H2350" s="103" t="n"/>
      <c r="I2350" s="103" t="n"/>
      <c r="J2350" s="104" t="n"/>
      <c r="K2350" s="102" t="n"/>
      <c r="L2350" s="103" t="n"/>
      <c r="M2350" s="103" t="n"/>
      <c r="N2350" s="104" t="n"/>
      <c r="O2350" s="102" t="n"/>
      <c r="P2350" s="103" t="n"/>
      <c r="Q2350" s="103" t="n"/>
      <c r="R2350" s="104" t="n"/>
      <c r="S2350" s="102" t="n"/>
      <c r="T2350" s="103" t="n"/>
      <c r="U2350" s="103" t="n"/>
      <c r="V2350" s="104" t="n"/>
      <c r="W2350" s="102" t="n"/>
      <c r="X2350" s="104" t="n"/>
      <c r="Y2350" s="102" t="n"/>
      <c r="Z2350" s="104" t="n"/>
      <c r="AB2350" s="105">
        <f>IF($B2350="","",(COUNTIF(C2308:E2325,$B2350)+COUNTIF(C2308:E2325,$B2350&amp;" ~*")&gt;0)+(COUNTIF(G2308:I2325,$B2350)+COUNTIF(G2308:I2325,$B2350&amp;" ~*")&gt;0)+(COUNTIF(K2308:M2325,$B2350)+COUNTIF(K2308:M2325,$B2350&amp;" ~*")&gt;0)+(COUNTIF(O2308:Q2325,$B2350)+COUNTIF(O2308:Q2325,$B2350&amp;" ~*")&gt;0)+(COUNTIF(S2308:U2325,$B2350)+COUNTIF(S2308:U2325,$B2350&amp;" ~*")&gt;0)+(COUNTIF(W2308:W2325,$B2350)+COUNTIF(W2308:W2325,$B2350&amp;" ~*")&gt;0)+(COUNTIF(Y2308:Y2325,$B2350)+COUNTIF(Y2308:Y2325,$B2350&amp;" ~*")&gt;0))</f>
        <v/>
      </c>
      <c r="AC2350" s="38">
        <f>IF($B2350="","",(IFERROR(INDEX(Setup!$G$33:$G$40,MATCH(C2350,Setup!$B$33:$B$40,0)),0)=1)*(COUNTIF(C2308:E2325,$B2350)+COUNTIF(C2308:E2325,$B2350&amp;" ~*")&gt;0)+(IFERROR(INDEX(Setup!$G$33:$G$40,MATCH(G2350,Setup!$B$33:$B$40,0)),0)=1)*(COUNTIF(G2308:I2325,$B2350)+COUNTIF(G2308:I2325,$B2350&amp;" ~*")&gt;0)+(IFERROR(INDEX(Setup!$G$33:$G$40,MATCH(K2350,Setup!$B$33:$B$40,0)),0)=1)*(COUNTIF(K2308:M2325,$B2350)+COUNTIF(K2308:M2325,$B2350&amp;" ~*")&gt;0)+(IFERROR(INDEX(Setup!$G$33:$G$40,MATCH(O2350,Setup!$B$33:$B$40,0)),0)=1)*(COUNTIF(O2308:Q2325,$B2350)+COUNTIF(O2308:Q2325,$B2350&amp;" ~*")&gt;0)+(IFERROR(INDEX(Setup!$G$33:$G$40,MATCH(S2350,Setup!$B$33:$B$40,0)),0)=1)*(COUNTIF(S2308:U2325,$B2350)+COUNTIF(S2308:U2325,$B2350&amp;" ~*")&gt;0)+(IFERROR(INDEX(Setup!$G$33:$G$40,MATCH(W2350,Setup!$B$33:$B$40,0)),0)=1)*(COUNTIF(W2308:W2325,$B2350)+COUNTIF(W2308:W2325,$B2350&amp;" ~*")&gt;0)+(IFERROR(INDEX(Setup!$G$33:$G$40,MATCH(Y2350,Setup!$B$33:$B$40,0)),0)=1)*(COUNTIF(Y2308:Y2325,$B2350)+COUNTIF(Y2308:Y2325,$B2350&amp;" ~*")&gt;0))</f>
        <v/>
      </c>
    </row>
    <row r="2351" ht="16" customHeight="1">
      <c r="A2351" t="n">
        <v>47</v>
      </c>
      <c r="B2351" s="106" t="inlineStr">
        <is>
          <t>Available people</t>
        </is>
      </c>
      <c r="C2351" s="107">
        <f>COUNTIFS(Setup!$E$6:$E$29,"Y",Setup!$B$6:$B$29,"?*")-SUMPRODUCT(COUNTIF(C2327:C2350,Setup!$F$33:$F$40))</f>
        <v/>
      </c>
      <c r="D2351" s="107" t="n"/>
      <c r="E2351" s="107" t="n"/>
      <c r="F2351" s="107" t="n"/>
      <c r="G2351" s="107">
        <f>COUNTIFS(Setup!$E$6:$E$29,"Y",Setup!$B$6:$B$29,"?*")-SUMPRODUCT(COUNTIF(G2327:G2350,Setup!$F$33:$F$40))</f>
        <v/>
      </c>
      <c r="H2351" s="107" t="n"/>
      <c r="I2351" s="107" t="n"/>
      <c r="J2351" s="107" t="n"/>
      <c r="K2351" s="107">
        <f>COUNTIFS(Setup!$E$6:$E$29,"Y",Setup!$B$6:$B$29,"?*")-SUMPRODUCT(COUNTIF(K2327:K2350,Setup!$F$33:$F$40))</f>
        <v/>
      </c>
      <c r="L2351" s="107" t="n"/>
      <c r="M2351" s="107" t="n"/>
      <c r="N2351" s="107" t="n"/>
      <c r="O2351" s="107">
        <f>COUNTIFS(Setup!$E$6:$E$29,"Y",Setup!$B$6:$B$29,"?*")-SUMPRODUCT(COUNTIF(O2327:O2350,Setup!$F$33:$F$40))</f>
        <v/>
      </c>
      <c r="P2351" s="107" t="n"/>
      <c r="Q2351" s="107" t="n"/>
      <c r="R2351" s="107" t="n"/>
      <c r="S2351" s="107">
        <f>COUNTIFS(Setup!$E$6:$E$29,"Y",Setup!$B$6:$B$29,"?*")-SUMPRODUCT(COUNTIF(S2327:S2350,Setup!$F$33:$F$40))</f>
        <v/>
      </c>
      <c r="T2351" s="107" t="n"/>
      <c r="U2351" s="107" t="n"/>
      <c r="V2351" s="107" t="n"/>
      <c r="W2351" s="107">
        <f>COUNTIFS(Setup!$E$6:$E$29,"Y",Setup!$B$6:$B$29,"?*")-SUMPRODUCT(COUNTIF(W2327:W2350,Setup!$F$33:$F$40))</f>
        <v/>
      </c>
      <c r="X2351" s="107" t="n"/>
      <c r="Y2351" s="107">
        <f>COUNTIFS(Setup!$E$6:$E$29,"Y",Setup!$B$6:$B$29,"?*")-SUMPRODUCT(COUNTIF(Y2327:Y2350,Setup!$F$33:$F$40))</f>
        <v/>
      </c>
      <c r="Z2351" s="107" t="n"/>
      <c r="AB2351" s="108">
        <f>SUM(AB2327:AB2350)</f>
        <v/>
      </c>
      <c r="AC2351" s="109">
        <f>SUM(AC2327:AC2350)</f>
        <v/>
      </c>
    </row>
    <row r="2352" ht="30" customHeight="1">
      <c r="A2352" t="n">
        <v>47</v>
      </c>
      <c r="B2352" s="110" t="inlineStr">
        <is>
          <t>Week notes</t>
        </is>
      </c>
      <c r="C2352" s="111" t="n"/>
      <c r="D2352" s="112" t="n"/>
      <c r="E2352" s="112" t="n"/>
      <c r="F2352" s="112" t="n"/>
      <c r="G2352" s="112" t="n"/>
      <c r="H2352" s="112" t="n"/>
      <c r="I2352" s="112" t="n"/>
      <c r="J2352" s="112" t="n"/>
      <c r="K2352" s="112" t="n"/>
      <c r="L2352" s="112" t="n"/>
      <c r="M2352" s="112" t="n"/>
      <c r="N2352" s="112" t="n"/>
      <c r="O2352" s="112" t="n"/>
      <c r="P2352" s="112" t="n"/>
      <c r="Q2352" s="112" t="n"/>
      <c r="R2352" s="112" t="n"/>
      <c r="S2352" s="112" t="n"/>
      <c r="T2352" s="112" t="n"/>
      <c r="U2352" s="112" t="n"/>
      <c r="V2352" s="112" t="n"/>
      <c r="W2352" s="112" t="n"/>
      <c r="X2352" s="112" t="n"/>
      <c r="Y2352" s="112" t="n"/>
      <c r="Z2352" s="113" t="n"/>
    </row>
    <row r="2353" ht="8" customHeight="1">
      <c r="A2353" t="n">
        <v>47</v>
      </c>
    </row>
    <row r="2354" ht="8" customHeight="1">
      <c r="A2354" t="n">
        <v>47</v>
      </c>
    </row>
    <row r="2355" ht="24" customHeight="1">
      <c r="A2355" t="n">
        <v>48</v>
      </c>
      <c r="B2355" s="73">
        <f>"WEEK 48     "&amp;TEXT(C2356,"ddd d mmm")&amp;"  –  "&amp;TEXT(C2356+6,"ddd d mmm yyyy")</f>
        <v/>
      </c>
      <c r="S2355" s="74">
        <f>IF(TODAY()&lt;C2356,"FUTURE",IF(TODAY()&gt;C2356+6,"PAST","THIS WEEK"))</f>
        <v/>
      </c>
      <c r="W2355" s="75">
        <f>IF(AND(Engine!$B$8=$AC$3,Engine!$B$9=$A2355),"◀ ACTIVE WEEK","")</f>
        <v/>
      </c>
      <c r="AA2355" s="76" t="n"/>
      <c r="AB2355" s="77" t="inlineStr">
        <is>
          <t>◀ Prev</t>
        </is>
      </c>
      <c r="AC2355" s="77" t="inlineStr">
        <is>
          <t>Next ▶</t>
        </is>
      </c>
    </row>
    <row r="2356" ht="18" customHeight="1">
      <c r="A2356" t="n">
        <v>48</v>
      </c>
      <c r="B2356" s="78" t="inlineStr">
        <is>
          <t>DUTY</t>
        </is>
      </c>
      <c r="C2356" s="79">
        <f>$AC$2+7*($A2356-1)</f>
        <v/>
      </c>
      <c r="D2356" s="80" t="n"/>
      <c r="E2356" s="80" t="n"/>
      <c r="F2356" s="81" t="n"/>
      <c r="G2356" s="79">
        <f>C2356+1</f>
        <v/>
      </c>
      <c r="H2356" s="80" t="n"/>
      <c r="I2356" s="80" t="n"/>
      <c r="J2356" s="81" t="n"/>
      <c r="K2356" s="79">
        <f>C2356+2</f>
        <v/>
      </c>
      <c r="L2356" s="80" t="n"/>
      <c r="M2356" s="80" t="n"/>
      <c r="N2356" s="81" t="n"/>
      <c r="O2356" s="79">
        <f>C2356+3</f>
        <v/>
      </c>
      <c r="P2356" s="80" t="n"/>
      <c r="Q2356" s="80" t="n"/>
      <c r="R2356" s="81" t="n"/>
      <c r="S2356" s="79">
        <f>C2356+4</f>
        <v/>
      </c>
      <c r="T2356" s="80" t="n"/>
      <c r="U2356" s="80" t="n"/>
      <c r="V2356" s="81" t="n"/>
      <c r="W2356" s="82">
        <f>C2356+5</f>
        <v/>
      </c>
      <c r="X2356" s="83" t="n"/>
      <c r="Y2356" s="82">
        <f>C2356+6</f>
        <v/>
      </c>
      <c r="Z2356" s="83" t="n"/>
      <c r="AB2356" s="72" t="inlineStr">
        <is>
          <t>Gaps</t>
        </is>
      </c>
      <c r="AC2356" s="72" t="inlineStr">
        <is>
          <t>Cover</t>
        </is>
      </c>
    </row>
    <row r="2357" ht="14" customHeight="1">
      <c r="A2357" t="n">
        <v>48</v>
      </c>
      <c r="B2357" s="84" t="inlineStr">
        <is>
          <t>(from Setup)</t>
        </is>
      </c>
      <c r="C2357" s="85" t="inlineStr">
        <is>
          <t>1</t>
        </is>
      </c>
      <c r="D2357" s="85" t="inlineStr">
        <is>
          <t>2</t>
        </is>
      </c>
      <c r="E2357" s="85" t="inlineStr">
        <is>
          <t>3</t>
        </is>
      </c>
      <c r="F2357" s="85" t="inlineStr">
        <is>
          <t>Notes</t>
        </is>
      </c>
      <c r="G2357" s="85" t="inlineStr">
        <is>
          <t>1</t>
        </is>
      </c>
      <c r="H2357" s="85" t="inlineStr">
        <is>
          <t>2</t>
        </is>
      </c>
      <c r="I2357" s="85" t="inlineStr">
        <is>
          <t>3</t>
        </is>
      </c>
      <c r="J2357" s="85" t="inlineStr">
        <is>
          <t>Notes</t>
        </is>
      </c>
      <c r="K2357" s="85" t="inlineStr">
        <is>
          <t>1</t>
        </is>
      </c>
      <c r="L2357" s="85" t="inlineStr">
        <is>
          <t>2</t>
        </is>
      </c>
      <c r="M2357" s="85" t="inlineStr">
        <is>
          <t>3</t>
        </is>
      </c>
      <c r="N2357" s="85" t="inlineStr">
        <is>
          <t>Notes</t>
        </is>
      </c>
      <c r="O2357" s="85" t="inlineStr">
        <is>
          <t>1</t>
        </is>
      </c>
      <c r="P2357" s="85" t="inlineStr">
        <is>
          <t>2</t>
        </is>
      </c>
      <c r="Q2357" s="85" t="inlineStr">
        <is>
          <t>3</t>
        </is>
      </c>
      <c r="R2357" s="85" t="inlineStr">
        <is>
          <t>Notes</t>
        </is>
      </c>
      <c r="S2357" s="85" t="inlineStr">
        <is>
          <t>1</t>
        </is>
      </c>
      <c r="T2357" s="85" t="inlineStr">
        <is>
          <t>2</t>
        </is>
      </c>
      <c r="U2357" s="85" t="inlineStr">
        <is>
          <t>3</t>
        </is>
      </c>
      <c r="V2357" s="85" t="inlineStr">
        <is>
          <t>Notes</t>
        </is>
      </c>
      <c r="W2357" s="85" t="inlineStr">
        <is>
          <t>Cover</t>
        </is>
      </c>
      <c r="X2357" s="85" t="inlineStr">
        <is>
          <t>Notes</t>
        </is>
      </c>
      <c r="Y2357" s="85" t="inlineStr">
        <is>
          <t>Cover</t>
        </is>
      </c>
      <c r="Z2357" s="85" t="inlineStr">
        <is>
          <t>Notes</t>
        </is>
      </c>
      <c r="AB2357" s="86" t="inlineStr">
        <is>
          <t>weekdays short</t>
        </is>
      </c>
      <c r="AC2357" s="87" t="inlineStr"/>
    </row>
    <row r="2358" ht="17" customHeight="1">
      <c r="A2358" t="n">
        <v>48</v>
      </c>
      <c r="B2358" s="24">
        <f>IF(Setup!$K$6="","",Setup!$K$6)</f>
        <v/>
      </c>
      <c r="C2358" s="88" t="n"/>
      <c r="D2358" s="88" t="n"/>
      <c r="E2358" s="88" t="n"/>
      <c r="F2358" s="89" t="n"/>
      <c r="G2358" s="88" t="n"/>
      <c r="H2358" s="88" t="n"/>
      <c r="I2358" s="88" t="n"/>
      <c r="J2358" s="89" t="n"/>
      <c r="K2358" s="88" t="n"/>
      <c r="L2358" s="88" t="n"/>
      <c r="M2358" s="88" t="n"/>
      <c r="N2358" s="89" t="n"/>
      <c r="O2358" s="88" t="n"/>
      <c r="P2358" s="88" t="n"/>
      <c r="Q2358" s="88" t="n"/>
      <c r="R2358" s="89" t="n"/>
      <c r="S2358" s="88" t="n"/>
      <c r="T2358" s="88" t="n"/>
      <c r="U2358" s="88" t="n"/>
      <c r="V2358" s="89" t="n"/>
      <c r="W2358" s="88" t="n"/>
      <c r="X2358" s="89" t="n"/>
      <c r="Y2358" s="88" t="n"/>
      <c r="Z2358" s="89" t="n"/>
      <c r="AB2358" s="25">
        <f>IF($B2358="","",(COUNTIF(C2358:E2358,"?*")&lt;N(INDEX(Setup!$L$6:$L$23,1)))+(COUNTIF(G2358:I2358,"?*")&lt;N(INDEX(Setup!$L$6:$L$23,1)))+(COUNTIF(K2358:M2358,"?*")&lt;N(INDEX(Setup!$L$6:$L$23,1)))+(COUNTIF(O2358:Q2358,"?*")&lt;N(INDEX(Setup!$L$6:$L$23,1)))+(COUNTIF(S2358:U2358,"?*")&lt;N(INDEX(Setup!$L$6:$L$23,1)))+((W2358="")*(INDEX(Setup!$M$6:$M$23,1)="Y"))+((Y2358="")*(INDEX(Setup!$M$6:$M$23,1)="Y")))</f>
        <v/>
      </c>
      <c r="AC2358" s="90">
        <f>IF($B2358="","",IF(AB2358=0,"✓ covered","⚠ "&amp;AB2358&amp;IF(AB2358=1," gap"," gaps")))</f>
        <v/>
      </c>
    </row>
    <row r="2359" ht="17" customHeight="1">
      <c r="A2359" t="n">
        <v>48</v>
      </c>
      <c r="B2359" s="29">
        <f>IF(Setup!$K$7="","",Setup!$K$7)</f>
        <v/>
      </c>
      <c r="C2359" s="88" t="n"/>
      <c r="D2359" s="88" t="n"/>
      <c r="E2359" s="88" t="n"/>
      <c r="F2359" s="89" t="n"/>
      <c r="G2359" s="88" t="n"/>
      <c r="H2359" s="88" t="n"/>
      <c r="I2359" s="88" t="n"/>
      <c r="J2359" s="89" t="n"/>
      <c r="K2359" s="88" t="n"/>
      <c r="L2359" s="88" t="n"/>
      <c r="M2359" s="88" t="n"/>
      <c r="N2359" s="89" t="n"/>
      <c r="O2359" s="88" t="n"/>
      <c r="P2359" s="88" t="n"/>
      <c r="Q2359" s="88" t="n"/>
      <c r="R2359" s="89" t="n"/>
      <c r="S2359" s="88" t="n"/>
      <c r="T2359" s="88" t="n"/>
      <c r="U2359" s="88" t="n"/>
      <c r="V2359" s="89" t="n"/>
      <c r="W2359" s="88" t="n"/>
      <c r="X2359" s="89" t="n"/>
      <c r="Y2359" s="88" t="n"/>
      <c r="Z2359" s="89" t="n"/>
      <c r="AB2359" s="30">
        <f>IF($B2359="","",(COUNTIF(C2359:E2359,"?*")&lt;N(INDEX(Setup!$L$6:$L$23,2)))+(COUNTIF(G2359:I2359,"?*")&lt;N(INDEX(Setup!$L$6:$L$23,2)))+(COUNTIF(K2359:M2359,"?*")&lt;N(INDEX(Setup!$L$6:$L$23,2)))+(COUNTIF(O2359:Q2359,"?*")&lt;N(INDEX(Setup!$L$6:$L$23,2)))+(COUNTIF(S2359:U2359,"?*")&lt;N(INDEX(Setup!$L$6:$L$23,2)))+((W2359="")*(INDEX(Setup!$M$6:$M$23,2)="Y"))+((Y2359="")*(INDEX(Setup!$M$6:$M$23,2)="Y")))</f>
        <v/>
      </c>
      <c r="AC2359" s="91">
        <f>IF($B2359="","",IF(AB2359=0,"✓ covered","⚠ "&amp;AB2359&amp;IF(AB2359=1," gap"," gaps")))</f>
        <v/>
      </c>
    </row>
    <row r="2360" ht="17" customHeight="1">
      <c r="A2360" t="n">
        <v>48</v>
      </c>
      <c r="B2360" s="24">
        <f>IF(Setup!$K$8="","",Setup!$K$8)</f>
        <v/>
      </c>
      <c r="C2360" s="88" t="n"/>
      <c r="D2360" s="88" t="n"/>
      <c r="E2360" s="88" t="n"/>
      <c r="F2360" s="89" t="n"/>
      <c r="G2360" s="88" t="n"/>
      <c r="H2360" s="88" t="n"/>
      <c r="I2360" s="88" t="n"/>
      <c r="J2360" s="89" t="n"/>
      <c r="K2360" s="88" t="n"/>
      <c r="L2360" s="88" t="n"/>
      <c r="M2360" s="88" t="n"/>
      <c r="N2360" s="89" t="n"/>
      <c r="O2360" s="88" t="n"/>
      <c r="P2360" s="88" t="n"/>
      <c r="Q2360" s="88" t="n"/>
      <c r="R2360" s="89" t="n"/>
      <c r="S2360" s="88" t="n"/>
      <c r="T2360" s="88" t="n"/>
      <c r="U2360" s="88" t="n"/>
      <c r="V2360" s="89" t="n"/>
      <c r="W2360" s="88" t="n"/>
      <c r="X2360" s="89" t="n"/>
      <c r="Y2360" s="88" t="n"/>
      <c r="Z2360" s="89" t="n"/>
      <c r="AB2360" s="25">
        <f>IF($B2360="","",(COUNTIF(C2360:E2360,"?*")&lt;N(INDEX(Setup!$L$6:$L$23,3)))+(COUNTIF(G2360:I2360,"?*")&lt;N(INDEX(Setup!$L$6:$L$23,3)))+(COUNTIF(K2360:M2360,"?*")&lt;N(INDEX(Setup!$L$6:$L$23,3)))+(COUNTIF(O2360:Q2360,"?*")&lt;N(INDEX(Setup!$L$6:$L$23,3)))+(COUNTIF(S2360:U2360,"?*")&lt;N(INDEX(Setup!$L$6:$L$23,3)))+((W2360="")*(INDEX(Setup!$M$6:$M$23,3)="Y"))+((Y2360="")*(INDEX(Setup!$M$6:$M$23,3)="Y")))</f>
        <v/>
      </c>
      <c r="AC2360" s="90">
        <f>IF($B2360="","",IF(AB2360=0,"✓ covered","⚠ "&amp;AB2360&amp;IF(AB2360=1," gap"," gaps")))</f>
        <v/>
      </c>
    </row>
    <row r="2361" ht="17" customHeight="1">
      <c r="A2361" t="n">
        <v>48</v>
      </c>
      <c r="B2361" s="29">
        <f>IF(Setup!$K$9="","",Setup!$K$9)</f>
        <v/>
      </c>
      <c r="C2361" s="88" t="n"/>
      <c r="D2361" s="88" t="n"/>
      <c r="E2361" s="88" t="n"/>
      <c r="F2361" s="89" t="n"/>
      <c r="G2361" s="88" t="n"/>
      <c r="H2361" s="88" t="n"/>
      <c r="I2361" s="88" t="n"/>
      <c r="J2361" s="89" t="n"/>
      <c r="K2361" s="88" t="n"/>
      <c r="L2361" s="88" t="n"/>
      <c r="M2361" s="88" t="n"/>
      <c r="N2361" s="89" t="n"/>
      <c r="O2361" s="88" t="n"/>
      <c r="P2361" s="88" t="n"/>
      <c r="Q2361" s="88" t="n"/>
      <c r="R2361" s="89" t="n"/>
      <c r="S2361" s="88" t="n"/>
      <c r="T2361" s="88" t="n"/>
      <c r="U2361" s="88" t="n"/>
      <c r="V2361" s="89" t="n"/>
      <c r="W2361" s="88" t="n"/>
      <c r="X2361" s="89" t="n"/>
      <c r="Y2361" s="88" t="n"/>
      <c r="Z2361" s="89" t="n"/>
      <c r="AB2361" s="30">
        <f>IF($B2361="","",(COUNTIF(C2361:E2361,"?*")&lt;N(INDEX(Setup!$L$6:$L$23,4)))+(COUNTIF(G2361:I2361,"?*")&lt;N(INDEX(Setup!$L$6:$L$23,4)))+(COUNTIF(K2361:M2361,"?*")&lt;N(INDEX(Setup!$L$6:$L$23,4)))+(COUNTIF(O2361:Q2361,"?*")&lt;N(INDEX(Setup!$L$6:$L$23,4)))+(COUNTIF(S2361:U2361,"?*")&lt;N(INDEX(Setup!$L$6:$L$23,4)))+((W2361="")*(INDEX(Setup!$M$6:$M$23,4)="Y"))+((Y2361="")*(INDEX(Setup!$M$6:$M$23,4)="Y")))</f>
        <v/>
      </c>
      <c r="AC2361" s="91">
        <f>IF($B2361="","",IF(AB2361=0,"✓ covered","⚠ "&amp;AB2361&amp;IF(AB2361=1," gap"," gaps")))</f>
        <v/>
      </c>
    </row>
    <row r="2362" ht="17" customHeight="1">
      <c r="A2362" t="n">
        <v>48</v>
      </c>
      <c r="B2362" s="24">
        <f>IF(Setup!$K$10="","",Setup!$K$10)</f>
        <v/>
      </c>
      <c r="C2362" s="88" t="n"/>
      <c r="D2362" s="88" t="n"/>
      <c r="E2362" s="88" t="n"/>
      <c r="F2362" s="89" t="n"/>
      <c r="G2362" s="88" t="n"/>
      <c r="H2362" s="88" t="n"/>
      <c r="I2362" s="88" t="n"/>
      <c r="J2362" s="89" t="n"/>
      <c r="K2362" s="88" t="n"/>
      <c r="L2362" s="88" t="n"/>
      <c r="M2362" s="88" t="n"/>
      <c r="N2362" s="89" t="n"/>
      <c r="O2362" s="88" t="n"/>
      <c r="P2362" s="88" t="n"/>
      <c r="Q2362" s="88" t="n"/>
      <c r="R2362" s="89" t="n"/>
      <c r="S2362" s="88" t="n"/>
      <c r="T2362" s="88" t="n"/>
      <c r="U2362" s="88" t="n"/>
      <c r="V2362" s="89" t="n"/>
      <c r="W2362" s="88" t="n"/>
      <c r="X2362" s="89" t="n"/>
      <c r="Y2362" s="88" t="n"/>
      <c r="Z2362" s="89" t="n"/>
      <c r="AB2362" s="25">
        <f>IF($B2362="","",(COUNTIF(C2362:E2362,"?*")&lt;N(INDEX(Setup!$L$6:$L$23,5)))+(COUNTIF(G2362:I2362,"?*")&lt;N(INDEX(Setup!$L$6:$L$23,5)))+(COUNTIF(K2362:M2362,"?*")&lt;N(INDEX(Setup!$L$6:$L$23,5)))+(COUNTIF(O2362:Q2362,"?*")&lt;N(INDEX(Setup!$L$6:$L$23,5)))+(COUNTIF(S2362:U2362,"?*")&lt;N(INDEX(Setup!$L$6:$L$23,5)))+((W2362="")*(INDEX(Setup!$M$6:$M$23,5)="Y"))+((Y2362="")*(INDEX(Setup!$M$6:$M$23,5)="Y")))</f>
        <v/>
      </c>
      <c r="AC2362" s="90">
        <f>IF($B2362="","",IF(AB2362=0,"✓ covered","⚠ "&amp;AB2362&amp;IF(AB2362=1," gap"," gaps")))</f>
        <v/>
      </c>
    </row>
    <row r="2363" ht="17" customHeight="1">
      <c r="A2363" t="n">
        <v>48</v>
      </c>
      <c r="B2363" s="29">
        <f>IF(Setup!$K$11="","",Setup!$K$11)</f>
        <v/>
      </c>
      <c r="C2363" s="88" t="n"/>
      <c r="D2363" s="88" t="n"/>
      <c r="E2363" s="88" t="n"/>
      <c r="F2363" s="89" t="n"/>
      <c r="G2363" s="88" t="n"/>
      <c r="H2363" s="88" t="n"/>
      <c r="I2363" s="88" t="n"/>
      <c r="J2363" s="89" t="n"/>
      <c r="K2363" s="88" t="n"/>
      <c r="L2363" s="88" t="n"/>
      <c r="M2363" s="88" t="n"/>
      <c r="N2363" s="89" t="n"/>
      <c r="O2363" s="88" t="n"/>
      <c r="P2363" s="88" t="n"/>
      <c r="Q2363" s="88" t="n"/>
      <c r="R2363" s="89" t="n"/>
      <c r="S2363" s="88" t="n"/>
      <c r="T2363" s="88" t="n"/>
      <c r="U2363" s="88" t="n"/>
      <c r="V2363" s="89" t="n"/>
      <c r="W2363" s="88" t="n"/>
      <c r="X2363" s="89" t="n"/>
      <c r="Y2363" s="88" t="n"/>
      <c r="Z2363" s="89" t="n"/>
      <c r="AB2363" s="30">
        <f>IF($B2363="","",(COUNTIF(C2363:E2363,"?*")&lt;N(INDEX(Setup!$L$6:$L$23,6)))+(COUNTIF(G2363:I2363,"?*")&lt;N(INDEX(Setup!$L$6:$L$23,6)))+(COUNTIF(K2363:M2363,"?*")&lt;N(INDEX(Setup!$L$6:$L$23,6)))+(COUNTIF(O2363:Q2363,"?*")&lt;N(INDEX(Setup!$L$6:$L$23,6)))+(COUNTIF(S2363:U2363,"?*")&lt;N(INDEX(Setup!$L$6:$L$23,6)))+((W2363="")*(INDEX(Setup!$M$6:$M$23,6)="Y"))+((Y2363="")*(INDEX(Setup!$M$6:$M$23,6)="Y")))</f>
        <v/>
      </c>
      <c r="AC2363" s="91">
        <f>IF($B2363="","",IF(AB2363=0,"✓ covered","⚠ "&amp;AB2363&amp;IF(AB2363=1," gap"," gaps")))</f>
        <v/>
      </c>
    </row>
    <row r="2364" ht="17" customHeight="1">
      <c r="A2364" t="n">
        <v>48</v>
      </c>
      <c r="B2364" s="24">
        <f>IF(Setup!$K$12="","",Setup!$K$12)</f>
        <v/>
      </c>
      <c r="C2364" s="88" t="n"/>
      <c r="D2364" s="88" t="n"/>
      <c r="E2364" s="88" t="n"/>
      <c r="F2364" s="89" t="n"/>
      <c r="G2364" s="88" t="n"/>
      <c r="H2364" s="88" t="n"/>
      <c r="I2364" s="88" t="n"/>
      <c r="J2364" s="89" t="n"/>
      <c r="K2364" s="88" t="n"/>
      <c r="L2364" s="88" t="n"/>
      <c r="M2364" s="88" t="n"/>
      <c r="N2364" s="89" t="n"/>
      <c r="O2364" s="88" t="n"/>
      <c r="P2364" s="88" t="n"/>
      <c r="Q2364" s="88" t="n"/>
      <c r="R2364" s="89" t="n"/>
      <c r="S2364" s="88" t="n"/>
      <c r="T2364" s="88" t="n"/>
      <c r="U2364" s="88" t="n"/>
      <c r="V2364" s="89" t="n"/>
      <c r="W2364" s="88" t="n"/>
      <c r="X2364" s="89" t="n"/>
      <c r="Y2364" s="88" t="n"/>
      <c r="Z2364" s="89" t="n"/>
      <c r="AB2364" s="25">
        <f>IF($B2364="","",(COUNTIF(C2364:E2364,"?*")&lt;N(INDEX(Setup!$L$6:$L$23,7)))+(COUNTIF(G2364:I2364,"?*")&lt;N(INDEX(Setup!$L$6:$L$23,7)))+(COUNTIF(K2364:M2364,"?*")&lt;N(INDEX(Setup!$L$6:$L$23,7)))+(COUNTIF(O2364:Q2364,"?*")&lt;N(INDEX(Setup!$L$6:$L$23,7)))+(COUNTIF(S2364:U2364,"?*")&lt;N(INDEX(Setup!$L$6:$L$23,7)))+((W2364="")*(INDEX(Setup!$M$6:$M$23,7)="Y"))+((Y2364="")*(INDEX(Setup!$M$6:$M$23,7)="Y")))</f>
        <v/>
      </c>
      <c r="AC2364" s="90">
        <f>IF($B2364="","",IF(AB2364=0,"✓ covered","⚠ "&amp;AB2364&amp;IF(AB2364=1," gap"," gaps")))</f>
        <v/>
      </c>
    </row>
    <row r="2365" ht="17" customHeight="1">
      <c r="A2365" t="n">
        <v>48</v>
      </c>
      <c r="B2365" s="29">
        <f>IF(Setup!$K$13="","",Setup!$K$13)</f>
        <v/>
      </c>
      <c r="C2365" s="88" t="n"/>
      <c r="D2365" s="88" t="n"/>
      <c r="E2365" s="88" t="n"/>
      <c r="F2365" s="89" t="n"/>
      <c r="G2365" s="88" t="n"/>
      <c r="H2365" s="88" t="n"/>
      <c r="I2365" s="88" t="n"/>
      <c r="J2365" s="89" t="n"/>
      <c r="K2365" s="88" t="n"/>
      <c r="L2365" s="88" t="n"/>
      <c r="M2365" s="88" t="n"/>
      <c r="N2365" s="89" t="n"/>
      <c r="O2365" s="88" t="n"/>
      <c r="P2365" s="88" t="n"/>
      <c r="Q2365" s="88" t="n"/>
      <c r="R2365" s="89" t="n"/>
      <c r="S2365" s="88" t="n"/>
      <c r="T2365" s="88" t="n"/>
      <c r="U2365" s="88" t="n"/>
      <c r="V2365" s="89" t="n"/>
      <c r="W2365" s="88" t="n"/>
      <c r="X2365" s="89" t="n"/>
      <c r="Y2365" s="88" t="n"/>
      <c r="Z2365" s="89" t="n"/>
      <c r="AB2365" s="30">
        <f>IF($B2365="","",(COUNTIF(C2365:E2365,"?*")&lt;N(INDEX(Setup!$L$6:$L$23,8)))+(COUNTIF(G2365:I2365,"?*")&lt;N(INDEX(Setup!$L$6:$L$23,8)))+(COUNTIF(K2365:M2365,"?*")&lt;N(INDEX(Setup!$L$6:$L$23,8)))+(COUNTIF(O2365:Q2365,"?*")&lt;N(INDEX(Setup!$L$6:$L$23,8)))+(COUNTIF(S2365:U2365,"?*")&lt;N(INDEX(Setup!$L$6:$L$23,8)))+((W2365="")*(INDEX(Setup!$M$6:$M$23,8)="Y"))+((Y2365="")*(INDEX(Setup!$M$6:$M$23,8)="Y")))</f>
        <v/>
      </c>
      <c r="AC2365" s="91">
        <f>IF($B2365="","",IF(AB2365=0,"✓ covered","⚠ "&amp;AB2365&amp;IF(AB2365=1," gap"," gaps")))</f>
        <v/>
      </c>
    </row>
    <row r="2366" ht="17" customHeight="1">
      <c r="A2366" t="n">
        <v>48</v>
      </c>
      <c r="B2366" s="24">
        <f>IF(Setup!$K$14="","",Setup!$K$14)</f>
        <v/>
      </c>
      <c r="C2366" s="88" t="n"/>
      <c r="D2366" s="88" t="n"/>
      <c r="E2366" s="88" t="n"/>
      <c r="F2366" s="89" t="n"/>
      <c r="G2366" s="88" t="n"/>
      <c r="H2366" s="88" t="n"/>
      <c r="I2366" s="88" t="n"/>
      <c r="J2366" s="89" t="n"/>
      <c r="K2366" s="88" t="n"/>
      <c r="L2366" s="88" t="n"/>
      <c r="M2366" s="88" t="n"/>
      <c r="N2366" s="89" t="n"/>
      <c r="O2366" s="88" t="n"/>
      <c r="P2366" s="88" t="n"/>
      <c r="Q2366" s="88" t="n"/>
      <c r="R2366" s="89" t="n"/>
      <c r="S2366" s="88" t="n"/>
      <c r="T2366" s="88" t="n"/>
      <c r="U2366" s="88" t="n"/>
      <c r="V2366" s="89" t="n"/>
      <c r="W2366" s="88" t="n"/>
      <c r="X2366" s="89" t="n"/>
      <c r="Y2366" s="88" t="n"/>
      <c r="Z2366" s="89" t="n"/>
      <c r="AB2366" s="25">
        <f>IF($B2366="","",(COUNTIF(C2366:E2366,"?*")&lt;N(INDEX(Setup!$L$6:$L$23,9)))+(COUNTIF(G2366:I2366,"?*")&lt;N(INDEX(Setup!$L$6:$L$23,9)))+(COUNTIF(K2366:M2366,"?*")&lt;N(INDEX(Setup!$L$6:$L$23,9)))+(COUNTIF(O2366:Q2366,"?*")&lt;N(INDEX(Setup!$L$6:$L$23,9)))+(COUNTIF(S2366:U2366,"?*")&lt;N(INDEX(Setup!$L$6:$L$23,9)))+((W2366="")*(INDEX(Setup!$M$6:$M$23,9)="Y"))+((Y2366="")*(INDEX(Setup!$M$6:$M$23,9)="Y")))</f>
        <v/>
      </c>
      <c r="AC2366" s="90">
        <f>IF($B2366="","",IF(AB2366=0,"✓ covered","⚠ "&amp;AB2366&amp;IF(AB2366=1," gap"," gaps")))</f>
        <v/>
      </c>
    </row>
    <row r="2367" ht="17" customHeight="1">
      <c r="A2367" t="n">
        <v>48</v>
      </c>
      <c r="B2367" s="29">
        <f>IF(Setup!$K$15="","",Setup!$K$15)</f>
        <v/>
      </c>
      <c r="C2367" s="88" t="n"/>
      <c r="D2367" s="88" t="n"/>
      <c r="E2367" s="88" t="n"/>
      <c r="F2367" s="89" t="n"/>
      <c r="G2367" s="88" t="n"/>
      <c r="H2367" s="88" t="n"/>
      <c r="I2367" s="88" t="n"/>
      <c r="J2367" s="89" t="n"/>
      <c r="K2367" s="88" t="n"/>
      <c r="L2367" s="88" t="n"/>
      <c r="M2367" s="88" t="n"/>
      <c r="N2367" s="89" t="n"/>
      <c r="O2367" s="88" t="n"/>
      <c r="P2367" s="88" t="n"/>
      <c r="Q2367" s="88" t="n"/>
      <c r="R2367" s="89" t="n"/>
      <c r="S2367" s="88" t="n"/>
      <c r="T2367" s="88" t="n"/>
      <c r="U2367" s="88" t="n"/>
      <c r="V2367" s="89" t="n"/>
      <c r="W2367" s="88" t="n"/>
      <c r="X2367" s="89" t="n"/>
      <c r="Y2367" s="88" t="n"/>
      <c r="Z2367" s="89" t="n"/>
      <c r="AB2367" s="30">
        <f>IF($B2367="","",(COUNTIF(C2367:E2367,"?*")&lt;N(INDEX(Setup!$L$6:$L$23,10)))+(COUNTIF(G2367:I2367,"?*")&lt;N(INDEX(Setup!$L$6:$L$23,10)))+(COUNTIF(K2367:M2367,"?*")&lt;N(INDEX(Setup!$L$6:$L$23,10)))+(COUNTIF(O2367:Q2367,"?*")&lt;N(INDEX(Setup!$L$6:$L$23,10)))+(COUNTIF(S2367:U2367,"?*")&lt;N(INDEX(Setup!$L$6:$L$23,10)))+((W2367="")*(INDEX(Setup!$M$6:$M$23,10)="Y"))+((Y2367="")*(INDEX(Setup!$M$6:$M$23,10)="Y")))</f>
        <v/>
      </c>
      <c r="AC2367" s="91">
        <f>IF($B2367="","",IF(AB2367=0,"✓ covered","⚠ "&amp;AB2367&amp;IF(AB2367=1," gap"," gaps")))</f>
        <v/>
      </c>
    </row>
    <row r="2368" ht="17" customHeight="1">
      <c r="A2368" t="n">
        <v>48</v>
      </c>
      <c r="B2368" s="24">
        <f>IF(Setup!$K$16="","",Setup!$K$16)</f>
        <v/>
      </c>
      <c r="C2368" s="88" t="n"/>
      <c r="D2368" s="88" t="n"/>
      <c r="E2368" s="88" t="n"/>
      <c r="F2368" s="89" t="n"/>
      <c r="G2368" s="88" t="n"/>
      <c r="H2368" s="88" t="n"/>
      <c r="I2368" s="88" t="n"/>
      <c r="J2368" s="89" t="n"/>
      <c r="K2368" s="88" t="n"/>
      <c r="L2368" s="88" t="n"/>
      <c r="M2368" s="88" t="n"/>
      <c r="N2368" s="89" t="n"/>
      <c r="O2368" s="88" t="n"/>
      <c r="P2368" s="88" t="n"/>
      <c r="Q2368" s="88" t="n"/>
      <c r="R2368" s="89" t="n"/>
      <c r="S2368" s="88" t="n"/>
      <c r="T2368" s="88" t="n"/>
      <c r="U2368" s="88" t="n"/>
      <c r="V2368" s="89" t="n"/>
      <c r="W2368" s="88" t="n"/>
      <c r="X2368" s="89" t="n"/>
      <c r="Y2368" s="88" t="n"/>
      <c r="Z2368" s="89" t="n"/>
      <c r="AB2368" s="25">
        <f>IF($B2368="","",(COUNTIF(C2368:E2368,"?*")&lt;N(INDEX(Setup!$L$6:$L$23,11)))+(COUNTIF(G2368:I2368,"?*")&lt;N(INDEX(Setup!$L$6:$L$23,11)))+(COUNTIF(K2368:M2368,"?*")&lt;N(INDEX(Setup!$L$6:$L$23,11)))+(COUNTIF(O2368:Q2368,"?*")&lt;N(INDEX(Setup!$L$6:$L$23,11)))+(COUNTIF(S2368:U2368,"?*")&lt;N(INDEX(Setup!$L$6:$L$23,11)))+((W2368="")*(INDEX(Setup!$M$6:$M$23,11)="Y"))+((Y2368="")*(INDEX(Setup!$M$6:$M$23,11)="Y")))</f>
        <v/>
      </c>
      <c r="AC2368" s="90">
        <f>IF($B2368="","",IF(AB2368=0,"✓ covered","⚠ "&amp;AB2368&amp;IF(AB2368=1," gap"," gaps")))</f>
        <v/>
      </c>
    </row>
    <row r="2369" ht="17" customHeight="1">
      <c r="A2369" t="n">
        <v>48</v>
      </c>
      <c r="B2369" s="29">
        <f>IF(Setup!$K$17="","",Setup!$K$17)</f>
        <v/>
      </c>
      <c r="C2369" s="88" t="n"/>
      <c r="D2369" s="88" t="n"/>
      <c r="E2369" s="88" t="n"/>
      <c r="F2369" s="89" t="n"/>
      <c r="G2369" s="88" t="n"/>
      <c r="H2369" s="88" t="n"/>
      <c r="I2369" s="88" t="n"/>
      <c r="J2369" s="89" t="n"/>
      <c r="K2369" s="88" t="n"/>
      <c r="L2369" s="88" t="n"/>
      <c r="M2369" s="88" t="n"/>
      <c r="N2369" s="89" t="n"/>
      <c r="O2369" s="88" t="n"/>
      <c r="P2369" s="88" t="n"/>
      <c r="Q2369" s="88" t="n"/>
      <c r="R2369" s="89" t="n"/>
      <c r="S2369" s="88" t="n"/>
      <c r="T2369" s="88" t="n"/>
      <c r="U2369" s="88" t="n"/>
      <c r="V2369" s="89" t="n"/>
      <c r="W2369" s="88" t="n"/>
      <c r="X2369" s="89" t="n"/>
      <c r="Y2369" s="88" t="n"/>
      <c r="Z2369" s="89" t="n"/>
      <c r="AB2369" s="30">
        <f>IF($B2369="","",(COUNTIF(C2369:E2369,"?*")&lt;N(INDEX(Setup!$L$6:$L$23,12)))+(COUNTIF(G2369:I2369,"?*")&lt;N(INDEX(Setup!$L$6:$L$23,12)))+(COUNTIF(K2369:M2369,"?*")&lt;N(INDEX(Setup!$L$6:$L$23,12)))+(COUNTIF(O2369:Q2369,"?*")&lt;N(INDEX(Setup!$L$6:$L$23,12)))+(COUNTIF(S2369:U2369,"?*")&lt;N(INDEX(Setup!$L$6:$L$23,12)))+((W2369="")*(INDEX(Setup!$M$6:$M$23,12)="Y"))+((Y2369="")*(INDEX(Setup!$M$6:$M$23,12)="Y")))</f>
        <v/>
      </c>
      <c r="AC2369" s="91">
        <f>IF($B2369="","",IF(AB2369=0,"✓ covered","⚠ "&amp;AB2369&amp;IF(AB2369=1," gap"," gaps")))</f>
        <v/>
      </c>
    </row>
    <row r="2370" ht="17" customHeight="1">
      <c r="A2370" t="n">
        <v>48</v>
      </c>
      <c r="B2370" s="24">
        <f>IF(Setup!$K$18="","",Setup!$K$18)</f>
        <v/>
      </c>
      <c r="C2370" s="88" t="n"/>
      <c r="D2370" s="88" t="n"/>
      <c r="E2370" s="88" t="n"/>
      <c r="F2370" s="89" t="n"/>
      <c r="G2370" s="88" t="n"/>
      <c r="H2370" s="88" t="n"/>
      <c r="I2370" s="88" t="n"/>
      <c r="J2370" s="89" t="n"/>
      <c r="K2370" s="88" t="n"/>
      <c r="L2370" s="88" t="n"/>
      <c r="M2370" s="88" t="n"/>
      <c r="N2370" s="89" t="n"/>
      <c r="O2370" s="88" t="n"/>
      <c r="P2370" s="88" t="n"/>
      <c r="Q2370" s="88" t="n"/>
      <c r="R2370" s="89" t="n"/>
      <c r="S2370" s="88" t="n"/>
      <c r="T2370" s="88" t="n"/>
      <c r="U2370" s="88" t="n"/>
      <c r="V2370" s="89" t="n"/>
      <c r="W2370" s="88" t="n"/>
      <c r="X2370" s="89" t="n"/>
      <c r="Y2370" s="88" t="n"/>
      <c r="Z2370" s="89" t="n"/>
      <c r="AB2370" s="25">
        <f>IF($B2370="","",(COUNTIF(C2370:E2370,"?*")&lt;N(INDEX(Setup!$L$6:$L$23,13)))+(COUNTIF(G2370:I2370,"?*")&lt;N(INDEX(Setup!$L$6:$L$23,13)))+(COUNTIF(K2370:M2370,"?*")&lt;N(INDEX(Setup!$L$6:$L$23,13)))+(COUNTIF(O2370:Q2370,"?*")&lt;N(INDEX(Setup!$L$6:$L$23,13)))+(COUNTIF(S2370:U2370,"?*")&lt;N(INDEX(Setup!$L$6:$L$23,13)))+((W2370="")*(INDEX(Setup!$M$6:$M$23,13)="Y"))+((Y2370="")*(INDEX(Setup!$M$6:$M$23,13)="Y")))</f>
        <v/>
      </c>
      <c r="AC2370" s="90">
        <f>IF($B2370="","",IF(AB2370=0,"✓ covered","⚠ "&amp;AB2370&amp;IF(AB2370=1," gap"," gaps")))</f>
        <v/>
      </c>
    </row>
    <row r="2371" ht="17" customHeight="1">
      <c r="A2371" t="n">
        <v>48</v>
      </c>
      <c r="B2371" s="29">
        <f>IF(Setup!$K$19="","",Setup!$K$19)</f>
        <v/>
      </c>
      <c r="C2371" s="88" t="n"/>
      <c r="D2371" s="88" t="n"/>
      <c r="E2371" s="88" t="n"/>
      <c r="F2371" s="89" t="n"/>
      <c r="G2371" s="88" t="n"/>
      <c r="H2371" s="88" t="n"/>
      <c r="I2371" s="88" t="n"/>
      <c r="J2371" s="89" t="n"/>
      <c r="K2371" s="88" t="n"/>
      <c r="L2371" s="88" t="n"/>
      <c r="M2371" s="88" t="n"/>
      <c r="N2371" s="89" t="n"/>
      <c r="O2371" s="88" t="n"/>
      <c r="P2371" s="88" t="n"/>
      <c r="Q2371" s="88" t="n"/>
      <c r="R2371" s="89" t="n"/>
      <c r="S2371" s="88" t="n"/>
      <c r="T2371" s="88" t="n"/>
      <c r="U2371" s="88" t="n"/>
      <c r="V2371" s="89" t="n"/>
      <c r="W2371" s="88" t="n"/>
      <c r="X2371" s="89" t="n"/>
      <c r="Y2371" s="88" t="n"/>
      <c r="Z2371" s="89" t="n"/>
      <c r="AB2371" s="30">
        <f>IF($B2371="","",(COUNTIF(C2371:E2371,"?*")&lt;N(INDEX(Setup!$L$6:$L$23,14)))+(COUNTIF(G2371:I2371,"?*")&lt;N(INDEX(Setup!$L$6:$L$23,14)))+(COUNTIF(K2371:M2371,"?*")&lt;N(INDEX(Setup!$L$6:$L$23,14)))+(COUNTIF(O2371:Q2371,"?*")&lt;N(INDEX(Setup!$L$6:$L$23,14)))+(COUNTIF(S2371:U2371,"?*")&lt;N(INDEX(Setup!$L$6:$L$23,14)))+((W2371="")*(INDEX(Setup!$M$6:$M$23,14)="Y"))+((Y2371="")*(INDEX(Setup!$M$6:$M$23,14)="Y")))</f>
        <v/>
      </c>
      <c r="AC2371" s="91">
        <f>IF($B2371="","",IF(AB2371=0,"✓ covered","⚠ "&amp;AB2371&amp;IF(AB2371=1," gap"," gaps")))</f>
        <v/>
      </c>
    </row>
    <row r="2372" ht="17" customHeight="1">
      <c r="A2372" t="n">
        <v>48</v>
      </c>
      <c r="B2372" s="24">
        <f>IF(Setup!$K$20="","",Setup!$K$20)</f>
        <v/>
      </c>
      <c r="C2372" s="88" t="n"/>
      <c r="D2372" s="88" t="n"/>
      <c r="E2372" s="88" t="n"/>
      <c r="F2372" s="89" t="n"/>
      <c r="G2372" s="88" t="n"/>
      <c r="H2372" s="88" t="n"/>
      <c r="I2372" s="88" t="n"/>
      <c r="J2372" s="89" t="n"/>
      <c r="K2372" s="88" t="n"/>
      <c r="L2372" s="88" t="n"/>
      <c r="M2372" s="88" t="n"/>
      <c r="N2372" s="89" t="n"/>
      <c r="O2372" s="88" t="n"/>
      <c r="P2372" s="88" t="n"/>
      <c r="Q2372" s="88" t="n"/>
      <c r="R2372" s="89" t="n"/>
      <c r="S2372" s="88" t="n"/>
      <c r="T2372" s="88" t="n"/>
      <c r="U2372" s="88" t="n"/>
      <c r="V2372" s="89" t="n"/>
      <c r="W2372" s="88" t="n"/>
      <c r="X2372" s="89" t="n"/>
      <c r="Y2372" s="88" t="n"/>
      <c r="Z2372" s="89" t="n"/>
      <c r="AB2372" s="25">
        <f>IF($B2372="","",(COUNTIF(C2372:E2372,"?*")&lt;N(INDEX(Setup!$L$6:$L$23,15)))+(COUNTIF(G2372:I2372,"?*")&lt;N(INDEX(Setup!$L$6:$L$23,15)))+(COUNTIF(K2372:M2372,"?*")&lt;N(INDEX(Setup!$L$6:$L$23,15)))+(COUNTIF(O2372:Q2372,"?*")&lt;N(INDEX(Setup!$L$6:$L$23,15)))+(COUNTIF(S2372:U2372,"?*")&lt;N(INDEX(Setup!$L$6:$L$23,15)))+((W2372="")*(INDEX(Setup!$M$6:$M$23,15)="Y"))+((Y2372="")*(INDEX(Setup!$M$6:$M$23,15)="Y")))</f>
        <v/>
      </c>
      <c r="AC2372" s="90">
        <f>IF($B2372="","",IF(AB2372=0,"✓ covered","⚠ "&amp;AB2372&amp;IF(AB2372=1," gap"," gaps")))</f>
        <v/>
      </c>
    </row>
    <row r="2373" ht="17" customHeight="1">
      <c r="A2373" t="n">
        <v>48</v>
      </c>
      <c r="B2373" s="29">
        <f>IF(Setup!$K$21="","",Setup!$K$21)</f>
        <v/>
      </c>
      <c r="C2373" s="88" t="n"/>
      <c r="D2373" s="88" t="n"/>
      <c r="E2373" s="88" t="n"/>
      <c r="F2373" s="89" t="n"/>
      <c r="G2373" s="88" t="n"/>
      <c r="H2373" s="88" t="n"/>
      <c r="I2373" s="88" t="n"/>
      <c r="J2373" s="89" t="n"/>
      <c r="K2373" s="88" t="n"/>
      <c r="L2373" s="88" t="n"/>
      <c r="M2373" s="88" t="n"/>
      <c r="N2373" s="89" t="n"/>
      <c r="O2373" s="88" t="n"/>
      <c r="P2373" s="88" t="n"/>
      <c r="Q2373" s="88" t="n"/>
      <c r="R2373" s="89" t="n"/>
      <c r="S2373" s="88" t="n"/>
      <c r="T2373" s="88" t="n"/>
      <c r="U2373" s="88" t="n"/>
      <c r="V2373" s="89" t="n"/>
      <c r="W2373" s="88" t="n"/>
      <c r="X2373" s="89" t="n"/>
      <c r="Y2373" s="88" t="n"/>
      <c r="Z2373" s="89" t="n"/>
      <c r="AB2373" s="30">
        <f>IF($B2373="","",(COUNTIF(C2373:E2373,"?*")&lt;N(INDEX(Setup!$L$6:$L$23,16)))+(COUNTIF(G2373:I2373,"?*")&lt;N(INDEX(Setup!$L$6:$L$23,16)))+(COUNTIF(K2373:M2373,"?*")&lt;N(INDEX(Setup!$L$6:$L$23,16)))+(COUNTIF(O2373:Q2373,"?*")&lt;N(INDEX(Setup!$L$6:$L$23,16)))+(COUNTIF(S2373:U2373,"?*")&lt;N(INDEX(Setup!$L$6:$L$23,16)))+((W2373="")*(INDEX(Setup!$M$6:$M$23,16)="Y"))+((Y2373="")*(INDEX(Setup!$M$6:$M$23,16)="Y")))</f>
        <v/>
      </c>
      <c r="AC2373" s="91">
        <f>IF($B2373="","",IF(AB2373=0,"✓ covered","⚠ "&amp;AB2373&amp;IF(AB2373=1," gap"," gaps")))</f>
        <v/>
      </c>
    </row>
    <row r="2374" ht="17" customHeight="1">
      <c r="A2374" t="n">
        <v>48</v>
      </c>
      <c r="B2374" s="24">
        <f>IF(Setup!$K$22="","",Setup!$K$22)</f>
        <v/>
      </c>
      <c r="C2374" s="88" t="n"/>
      <c r="D2374" s="88" t="n"/>
      <c r="E2374" s="88" t="n"/>
      <c r="F2374" s="89" t="n"/>
      <c r="G2374" s="88" t="n"/>
      <c r="H2374" s="88" t="n"/>
      <c r="I2374" s="88" t="n"/>
      <c r="J2374" s="89" t="n"/>
      <c r="K2374" s="88" t="n"/>
      <c r="L2374" s="88" t="n"/>
      <c r="M2374" s="88" t="n"/>
      <c r="N2374" s="89" t="n"/>
      <c r="O2374" s="88" t="n"/>
      <c r="P2374" s="88" t="n"/>
      <c r="Q2374" s="88" t="n"/>
      <c r="R2374" s="89" t="n"/>
      <c r="S2374" s="88" t="n"/>
      <c r="T2374" s="88" t="n"/>
      <c r="U2374" s="88" t="n"/>
      <c r="V2374" s="89" t="n"/>
      <c r="W2374" s="88" t="n"/>
      <c r="X2374" s="89" t="n"/>
      <c r="Y2374" s="88" t="n"/>
      <c r="Z2374" s="89" t="n"/>
      <c r="AB2374" s="25">
        <f>IF($B2374="","",(COUNTIF(C2374:E2374,"?*")&lt;N(INDEX(Setup!$L$6:$L$23,17)))+(COUNTIF(G2374:I2374,"?*")&lt;N(INDEX(Setup!$L$6:$L$23,17)))+(COUNTIF(K2374:M2374,"?*")&lt;N(INDEX(Setup!$L$6:$L$23,17)))+(COUNTIF(O2374:Q2374,"?*")&lt;N(INDEX(Setup!$L$6:$L$23,17)))+(COUNTIF(S2374:U2374,"?*")&lt;N(INDEX(Setup!$L$6:$L$23,17)))+((W2374="")*(INDEX(Setup!$M$6:$M$23,17)="Y"))+((Y2374="")*(INDEX(Setup!$M$6:$M$23,17)="Y")))</f>
        <v/>
      </c>
      <c r="AC2374" s="90">
        <f>IF($B2374="","",IF(AB2374=0,"✓ covered","⚠ "&amp;AB2374&amp;IF(AB2374=1," gap"," gaps")))</f>
        <v/>
      </c>
    </row>
    <row r="2375" ht="17" customHeight="1">
      <c r="A2375" t="n">
        <v>48</v>
      </c>
      <c r="B2375" s="29">
        <f>IF(Setup!$K$23="","",Setup!$K$23)</f>
        <v/>
      </c>
      <c r="C2375" s="88" t="n"/>
      <c r="D2375" s="88" t="n"/>
      <c r="E2375" s="88" t="n"/>
      <c r="F2375" s="89" t="n"/>
      <c r="G2375" s="88" t="n"/>
      <c r="H2375" s="88" t="n"/>
      <c r="I2375" s="88" t="n"/>
      <c r="J2375" s="89" t="n"/>
      <c r="K2375" s="88" t="n"/>
      <c r="L2375" s="88" t="n"/>
      <c r="M2375" s="88" t="n"/>
      <c r="N2375" s="89" t="n"/>
      <c r="O2375" s="88" t="n"/>
      <c r="P2375" s="88" t="n"/>
      <c r="Q2375" s="88" t="n"/>
      <c r="R2375" s="89" t="n"/>
      <c r="S2375" s="88" t="n"/>
      <c r="T2375" s="88" t="n"/>
      <c r="U2375" s="88" t="n"/>
      <c r="V2375" s="89" t="n"/>
      <c r="W2375" s="88" t="n"/>
      <c r="X2375" s="89" t="n"/>
      <c r="Y2375" s="88" t="n"/>
      <c r="Z2375" s="89" t="n"/>
      <c r="AB2375" s="30">
        <f>IF($B2375="","",(COUNTIF(C2375:E2375,"?*")&lt;N(INDEX(Setup!$L$6:$L$23,18)))+(COUNTIF(G2375:I2375,"?*")&lt;N(INDEX(Setup!$L$6:$L$23,18)))+(COUNTIF(K2375:M2375,"?*")&lt;N(INDEX(Setup!$L$6:$L$23,18)))+(COUNTIF(O2375:Q2375,"?*")&lt;N(INDEX(Setup!$L$6:$L$23,18)))+(COUNTIF(S2375:U2375,"?*")&lt;N(INDEX(Setup!$L$6:$L$23,18)))+((W2375="")*(INDEX(Setup!$M$6:$M$23,18)="Y"))+((Y2375="")*(INDEX(Setup!$M$6:$M$23,18)="Y")))</f>
        <v/>
      </c>
      <c r="AC2375" s="91">
        <f>IF($B2375="","",IF(AB2375=0,"✓ covered","⚠ "&amp;AB2375&amp;IF(AB2375=1," gap"," gaps")))</f>
        <v/>
      </c>
    </row>
    <row r="2376" ht="18" customHeight="1">
      <c r="A2376" t="n">
        <v>48</v>
      </c>
      <c r="B2376" s="78" t="inlineStr">
        <is>
          <t>TEAM AVAILABILITY</t>
        </is>
      </c>
      <c r="C2376" s="92" t="inlineStr">
        <is>
          <t>Mon</t>
        </is>
      </c>
      <c r="D2376" s="93" t="n"/>
      <c r="E2376" s="93" t="n"/>
      <c r="F2376" s="94" t="n"/>
      <c r="G2376" s="92" t="inlineStr">
        <is>
          <t>Tue</t>
        </is>
      </c>
      <c r="H2376" s="93" t="n"/>
      <c r="I2376" s="93" t="n"/>
      <c r="J2376" s="94" t="n"/>
      <c r="K2376" s="92" t="inlineStr">
        <is>
          <t>Wed</t>
        </is>
      </c>
      <c r="L2376" s="93" t="n"/>
      <c r="M2376" s="93" t="n"/>
      <c r="N2376" s="94" t="n"/>
      <c r="O2376" s="92" t="inlineStr">
        <is>
          <t>Thu</t>
        </is>
      </c>
      <c r="P2376" s="93" t="n"/>
      <c r="Q2376" s="93" t="n"/>
      <c r="R2376" s="94" t="n"/>
      <c r="S2376" s="92" t="inlineStr">
        <is>
          <t>Fri</t>
        </is>
      </c>
      <c r="T2376" s="93" t="n"/>
      <c r="U2376" s="93" t="n"/>
      <c r="V2376" s="94" t="n"/>
      <c r="W2376" s="95" t="inlineStr">
        <is>
          <t>Sat</t>
        </is>
      </c>
      <c r="X2376" s="96" t="n"/>
      <c r="Y2376" s="95" t="inlineStr">
        <is>
          <t>Sun</t>
        </is>
      </c>
      <c r="Z2376" s="96" t="n"/>
      <c r="AB2376" s="97" t="inlineStr">
        <is>
          <t>Days rostered</t>
        </is>
      </c>
      <c r="AC2376" s="97" t="inlineStr">
        <is>
          <t>Conflicts</t>
        </is>
      </c>
    </row>
    <row r="2377" ht="15" customHeight="1">
      <c r="A2377" t="n">
        <v>48</v>
      </c>
      <c r="B2377" s="35">
        <f>IF(Setup!$B$6="","",Setup!$B$6)</f>
        <v/>
      </c>
      <c r="C2377" s="98" t="n"/>
      <c r="D2377" s="99" t="n"/>
      <c r="E2377" s="99" t="n"/>
      <c r="F2377" s="100" t="n"/>
      <c r="G2377" s="98" t="n"/>
      <c r="H2377" s="99" t="n"/>
      <c r="I2377" s="99" t="n"/>
      <c r="J2377" s="100" t="n"/>
      <c r="K2377" s="98" t="n"/>
      <c r="L2377" s="99" t="n"/>
      <c r="M2377" s="99" t="n"/>
      <c r="N2377" s="100" t="n"/>
      <c r="O2377" s="98" t="n"/>
      <c r="P2377" s="99" t="n"/>
      <c r="Q2377" s="99" t="n"/>
      <c r="R2377" s="100" t="n"/>
      <c r="S2377" s="98" t="n"/>
      <c r="T2377" s="99" t="n"/>
      <c r="U2377" s="99" t="n"/>
      <c r="V2377" s="100" t="n"/>
      <c r="W2377" s="98" t="n"/>
      <c r="X2377" s="100" t="n"/>
      <c r="Y2377" s="98" t="n"/>
      <c r="Z2377" s="100" t="n"/>
      <c r="AB2377" s="101">
        <f>IF($B2377="","",(COUNTIF(C2358:E2375,$B2377)+COUNTIF(C2358:E2375,$B2377&amp;" ~*")&gt;0)+(COUNTIF(G2358:I2375,$B2377)+COUNTIF(G2358:I2375,$B2377&amp;" ~*")&gt;0)+(COUNTIF(K2358:M2375,$B2377)+COUNTIF(K2358:M2375,$B2377&amp;" ~*")&gt;0)+(COUNTIF(O2358:Q2375,$B2377)+COUNTIF(O2358:Q2375,$B2377&amp;" ~*")&gt;0)+(COUNTIF(S2358:U2375,$B2377)+COUNTIF(S2358:U2375,$B2377&amp;" ~*")&gt;0)+(COUNTIF(W2358:W2375,$B2377)+COUNTIF(W2358:W2375,$B2377&amp;" ~*")&gt;0)+(COUNTIF(Y2358:Y2375,$B2377)+COUNTIF(Y2358:Y2375,$B2377&amp;" ~*")&gt;0))</f>
        <v/>
      </c>
      <c r="AC2377" s="36">
        <f>IF($B2377="","",(IFERROR(INDEX(Setup!$G$33:$G$40,MATCH(C2377,Setup!$B$33:$B$40,0)),0)=1)*(COUNTIF(C2358:E2375,$B2377)+COUNTIF(C2358:E2375,$B2377&amp;" ~*")&gt;0)+(IFERROR(INDEX(Setup!$G$33:$G$40,MATCH(G2377,Setup!$B$33:$B$40,0)),0)=1)*(COUNTIF(G2358:I2375,$B2377)+COUNTIF(G2358:I2375,$B2377&amp;" ~*")&gt;0)+(IFERROR(INDEX(Setup!$G$33:$G$40,MATCH(K2377,Setup!$B$33:$B$40,0)),0)=1)*(COUNTIF(K2358:M2375,$B2377)+COUNTIF(K2358:M2375,$B2377&amp;" ~*")&gt;0)+(IFERROR(INDEX(Setup!$G$33:$G$40,MATCH(O2377,Setup!$B$33:$B$40,0)),0)=1)*(COUNTIF(O2358:Q2375,$B2377)+COUNTIF(O2358:Q2375,$B2377&amp;" ~*")&gt;0)+(IFERROR(INDEX(Setup!$G$33:$G$40,MATCH(S2377,Setup!$B$33:$B$40,0)),0)=1)*(COUNTIF(S2358:U2375,$B2377)+COUNTIF(S2358:U2375,$B2377&amp;" ~*")&gt;0)+(IFERROR(INDEX(Setup!$G$33:$G$40,MATCH(W2377,Setup!$B$33:$B$40,0)),0)=1)*(COUNTIF(W2358:W2375,$B2377)+COUNTIF(W2358:W2375,$B2377&amp;" ~*")&gt;0)+(IFERROR(INDEX(Setup!$G$33:$G$40,MATCH(Y2377,Setup!$B$33:$B$40,0)),0)=1)*(COUNTIF(Y2358:Y2375,$B2377)+COUNTIF(Y2358:Y2375,$B2377&amp;" ~*")&gt;0))</f>
        <v/>
      </c>
    </row>
    <row r="2378" ht="15" customHeight="1">
      <c r="A2378" t="n">
        <v>48</v>
      </c>
      <c r="B2378" s="37">
        <f>IF(Setup!$B$7="","",Setup!$B$7)</f>
        <v/>
      </c>
      <c r="C2378" s="102" t="n"/>
      <c r="D2378" s="103" t="n"/>
      <c r="E2378" s="103" t="n"/>
      <c r="F2378" s="104" t="n"/>
      <c r="G2378" s="102" t="n"/>
      <c r="H2378" s="103" t="n"/>
      <c r="I2378" s="103" t="n"/>
      <c r="J2378" s="104" t="n"/>
      <c r="K2378" s="102" t="n"/>
      <c r="L2378" s="103" t="n"/>
      <c r="M2378" s="103" t="n"/>
      <c r="N2378" s="104" t="n"/>
      <c r="O2378" s="102" t="n"/>
      <c r="P2378" s="103" t="n"/>
      <c r="Q2378" s="103" t="n"/>
      <c r="R2378" s="104" t="n"/>
      <c r="S2378" s="102" t="n"/>
      <c r="T2378" s="103" t="n"/>
      <c r="U2378" s="103" t="n"/>
      <c r="V2378" s="104" t="n"/>
      <c r="W2378" s="102" t="n"/>
      <c r="X2378" s="104" t="n"/>
      <c r="Y2378" s="102" t="n"/>
      <c r="Z2378" s="104" t="n"/>
      <c r="AB2378" s="105">
        <f>IF($B2378="","",(COUNTIF(C2358:E2375,$B2378)+COUNTIF(C2358:E2375,$B2378&amp;" ~*")&gt;0)+(COUNTIF(G2358:I2375,$B2378)+COUNTIF(G2358:I2375,$B2378&amp;" ~*")&gt;0)+(COUNTIF(K2358:M2375,$B2378)+COUNTIF(K2358:M2375,$B2378&amp;" ~*")&gt;0)+(COUNTIF(O2358:Q2375,$B2378)+COUNTIF(O2358:Q2375,$B2378&amp;" ~*")&gt;0)+(COUNTIF(S2358:U2375,$B2378)+COUNTIF(S2358:U2375,$B2378&amp;" ~*")&gt;0)+(COUNTIF(W2358:W2375,$B2378)+COUNTIF(W2358:W2375,$B2378&amp;" ~*")&gt;0)+(COUNTIF(Y2358:Y2375,$B2378)+COUNTIF(Y2358:Y2375,$B2378&amp;" ~*")&gt;0))</f>
        <v/>
      </c>
      <c r="AC2378" s="38">
        <f>IF($B2378="","",(IFERROR(INDEX(Setup!$G$33:$G$40,MATCH(C2378,Setup!$B$33:$B$40,0)),0)=1)*(COUNTIF(C2358:E2375,$B2378)+COUNTIF(C2358:E2375,$B2378&amp;" ~*")&gt;0)+(IFERROR(INDEX(Setup!$G$33:$G$40,MATCH(G2378,Setup!$B$33:$B$40,0)),0)=1)*(COUNTIF(G2358:I2375,$B2378)+COUNTIF(G2358:I2375,$B2378&amp;" ~*")&gt;0)+(IFERROR(INDEX(Setup!$G$33:$G$40,MATCH(K2378,Setup!$B$33:$B$40,0)),0)=1)*(COUNTIF(K2358:M2375,$B2378)+COUNTIF(K2358:M2375,$B2378&amp;" ~*")&gt;0)+(IFERROR(INDEX(Setup!$G$33:$G$40,MATCH(O2378,Setup!$B$33:$B$40,0)),0)=1)*(COUNTIF(O2358:Q2375,$B2378)+COUNTIF(O2358:Q2375,$B2378&amp;" ~*")&gt;0)+(IFERROR(INDEX(Setup!$G$33:$G$40,MATCH(S2378,Setup!$B$33:$B$40,0)),0)=1)*(COUNTIF(S2358:U2375,$B2378)+COUNTIF(S2358:U2375,$B2378&amp;" ~*")&gt;0)+(IFERROR(INDEX(Setup!$G$33:$G$40,MATCH(W2378,Setup!$B$33:$B$40,0)),0)=1)*(COUNTIF(W2358:W2375,$B2378)+COUNTIF(W2358:W2375,$B2378&amp;" ~*")&gt;0)+(IFERROR(INDEX(Setup!$G$33:$G$40,MATCH(Y2378,Setup!$B$33:$B$40,0)),0)=1)*(COUNTIF(Y2358:Y2375,$B2378)+COUNTIF(Y2358:Y2375,$B2378&amp;" ~*")&gt;0))</f>
        <v/>
      </c>
    </row>
    <row r="2379" ht="15" customHeight="1">
      <c r="A2379" t="n">
        <v>48</v>
      </c>
      <c r="B2379" s="35">
        <f>IF(Setup!$B$8="","",Setup!$B$8)</f>
        <v/>
      </c>
      <c r="C2379" s="98" t="n"/>
      <c r="D2379" s="99" t="n"/>
      <c r="E2379" s="99" t="n"/>
      <c r="F2379" s="100" t="n"/>
      <c r="G2379" s="98" t="n"/>
      <c r="H2379" s="99" t="n"/>
      <c r="I2379" s="99" t="n"/>
      <c r="J2379" s="100" t="n"/>
      <c r="K2379" s="98" t="n"/>
      <c r="L2379" s="99" t="n"/>
      <c r="M2379" s="99" t="n"/>
      <c r="N2379" s="100" t="n"/>
      <c r="O2379" s="98" t="n"/>
      <c r="P2379" s="99" t="n"/>
      <c r="Q2379" s="99" t="n"/>
      <c r="R2379" s="100" t="n"/>
      <c r="S2379" s="98" t="n"/>
      <c r="T2379" s="99" t="n"/>
      <c r="U2379" s="99" t="n"/>
      <c r="V2379" s="100" t="n"/>
      <c r="W2379" s="98" t="n"/>
      <c r="X2379" s="100" t="n"/>
      <c r="Y2379" s="98" t="n"/>
      <c r="Z2379" s="100" t="n"/>
      <c r="AB2379" s="101">
        <f>IF($B2379="","",(COUNTIF(C2358:E2375,$B2379)+COUNTIF(C2358:E2375,$B2379&amp;" ~*")&gt;0)+(COUNTIF(G2358:I2375,$B2379)+COUNTIF(G2358:I2375,$B2379&amp;" ~*")&gt;0)+(COUNTIF(K2358:M2375,$B2379)+COUNTIF(K2358:M2375,$B2379&amp;" ~*")&gt;0)+(COUNTIF(O2358:Q2375,$B2379)+COUNTIF(O2358:Q2375,$B2379&amp;" ~*")&gt;0)+(COUNTIF(S2358:U2375,$B2379)+COUNTIF(S2358:U2375,$B2379&amp;" ~*")&gt;0)+(COUNTIF(W2358:W2375,$B2379)+COUNTIF(W2358:W2375,$B2379&amp;" ~*")&gt;0)+(COUNTIF(Y2358:Y2375,$B2379)+COUNTIF(Y2358:Y2375,$B2379&amp;" ~*")&gt;0))</f>
        <v/>
      </c>
      <c r="AC2379" s="36">
        <f>IF($B2379="","",(IFERROR(INDEX(Setup!$G$33:$G$40,MATCH(C2379,Setup!$B$33:$B$40,0)),0)=1)*(COUNTIF(C2358:E2375,$B2379)+COUNTIF(C2358:E2375,$B2379&amp;" ~*")&gt;0)+(IFERROR(INDEX(Setup!$G$33:$G$40,MATCH(G2379,Setup!$B$33:$B$40,0)),0)=1)*(COUNTIF(G2358:I2375,$B2379)+COUNTIF(G2358:I2375,$B2379&amp;" ~*")&gt;0)+(IFERROR(INDEX(Setup!$G$33:$G$40,MATCH(K2379,Setup!$B$33:$B$40,0)),0)=1)*(COUNTIF(K2358:M2375,$B2379)+COUNTIF(K2358:M2375,$B2379&amp;" ~*")&gt;0)+(IFERROR(INDEX(Setup!$G$33:$G$40,MATCH(O2379,Setup!$B$33:$B$40,0)),0)=1)*(COUNTIF(O2358:Q2375,$B2379)+COUNTIF(O2358:Q2375,$B2379&amp;" ~*")&gt;0)+(IFERROR(INDEX(Setup!$G$33:$G$40,MATCH(S2379,Setup!$B$33:$B$40,0)),0)=1)*(COUNTIF(S2358:U2375,$B2379)+COUNTIF(S2358:U2375,$B2379&amp;" ~*")&gt;0)+(IFERROR(INDEX(Setup!$G$33:$G$40,MATCH(W2379,Setup!$B$33:$B$40,0)),0)=1)*(COUNTIF(W2358:W2375,$B2379)+COUNTIF(W2358:W2375,$B2379&amp;" ~*")&gt;0)+(IFERROR(INDEX(Setup!$G$33:$G$40,MATCH(Y2379,Setup!$B$33:$B$40,0)),0)=1)*(COUNTIF(Y2358:Y2375,$B2379)+COUNTIF(Y2358:Y2375,$B2379&amp;" ~*")&gt;0))</f>
        <v/>
      </c>
    </row>
    <row r="2380" ht="15" customHeight="1">
      <c r="A2380" t="n">
        <v>48</v>
      </c>
      <c r="B2380" s="37">
        <f>IF(Setup!$B$9="","",Setup!$B$9)</f>
        <v/>
      </c>
      <c r="C2380" s="102" t="n"/>
      <c r="D2380" s="103" t="n"/>
      <c r="E2380" s="103" t="n"/>
      <c r="F2380" s="104" t="n"/>
      <c r="G2380" s="102" t="n"/>
      <c r="H2380" s="103" t="n"/>
      <c r="I2380" s="103" t="n"/>
      <c r="J2380" s="104" t="n"/>
      <c r="K2380" s="102" t="n"/>
      <c r="L2380" s="103" t="n"/>
      <c r="M2380" s="103" t="n"/>
      <c r="N2380" s="104" t="n"/>
      <c r="O2380" s="102" t="n"/>
      <c r="P2380" s="103" t="n"/>
      <c r="Q2380" s="103" t="n"/>
      <c r="R2380" s="104" t="n"/>
      <c r="S2380" s="102" t="n"/>
      <c r="T2380" s="103" t="n"/>
      <c r="U2380" s="103" t="n"/>
      <c r="V2380" s="104" t="n"/>
      <c r="W2380" s="102" t="n"/>
      <c r="X2380" s="104" t="n"/>
      <c r="Y2380" s="102" t="n"/>
      <c r="Z2380" s="104" t="n"/>
      <c r="AB2380" s="105">
        <f>IF($B2380="","",(COUNTIF(C2358:E2375,$B2380)+COUNTIF(C2358:E2375,$B2380&amp;" ~*")&gt;0)+(COUNTIF(G2358:I2375,$B2380)+COUNTIF(G2358:I2375,$B2380&amp;" ~*")&gt;0)+(COUNTIF(K2358:M2375,$B2380)+COUNTIF(K2358:M2375,$B2380&amp;" ~*")&gt;0)+(COUNTIF(O2358:Q2375,$B2380)+COUNTIF(O2358:Q2375,$B2380&amp;" ~*")&gt;0)+(COUNTIF(S2358:U2375,$B2380)+COUNTIF(S2358:U2375,$B2380&amp;" ~*")&gt;0)+(COUNTIF(W2358:W2375,$B2380)+COUNTIF(W2358:W2375,$B2380&amp;" ~*")&gt;0)+(COUNTIF(Y2358:Y2375,$B2380)+COUNTIF(Y2358:Y2375,$B2380&amp;" ~*")&gt;0))</f>
        <v/>
      </c>
      <c r="AC2380" s="38">
        <f>IF($B2380="","",(IFERROR(INDEX(Setup!$G$33:$G$40,MATCH(C2380,Setup!$B$33:$B$40,0)),0)=1)*(COUNTIF(C2358:E2375,$B2380)+COUNTIF(C2358:E2375,$B2380&amp;" ~*")&gt;0)+(IFERROR(INDEX(Setup!$G$33:$G$40,MATCH(G2380,Setup!$B$33:$B$40,0)),0)=1)*(COUNTIF(G2358:I2375,$B2380)+COUNTIF(G2358:I2375,$B2380&amp;" ~*")&gt;0)+(IFERROR(INDEX(Setup!$G$33:$G$40,MATCH(K2380,Setup!$B$33:$B$40,0)),0)=1)*(COUNTIF(K2358:M2375,$B2380)+COUNTIF(K2358:M2375,$B2380&amp;" ~*")&gt;0)+(IFERROR(INDEX(Setup!$G$33:$G$40,MATCH(O2380,Setup!$B$33:$B$40,0)),0)=1)*(COUNTIF(O2358:Q2375,$B2380)+COUNTIF(O2358:Q2375,$B2380&amp;" ~*")&gt;0)+(IFERROR(INDEX(Setup!$G$33:$G$40,MATCH(S2380,Setup!$B$33:$B$40,0)),0)=1)*(COUNTIF(S2358:U2375,$B2380)+COUNTIF(S2358:U2375,$B2380&amp;" ~*")&gt;0)+(IFERROR(INDEX(Setup!$G$33:$G$40,MATCH(W2380,Setup!$B$33:$B$40,0)),0)=1)*(COUNTIF(W2358:W2375,$B2380)+COUNTIF(W2358:W2375,$B2380&amp;" ~*")&gt;0)+(IFERROR(INDEX(Setup!$G$33:$G$40,MATCH(Y2380,Setup!$B$33:$B$40,0)),0)=1)*(COUNTIF(Y2358:Y2375,$B2380)+COUNTIF(Y2358:Y2375,$B2380&amp;" ~*")&gt;0))</f>
        <v/>
      </c>
    </row>
    <row r="2381" ht="15" customHeight="1">
      <c r="A2381" t="n">
        <v>48</v>
      </c>
      <c r="B2381" s="35">
        <f>IF(Setup!$B$10="","",Setup!$B$10)</f>
        <v/>
      </c>
      <c r="C2381" s="98" t="n"/>
      <c r="D2381" s="99" t="n"/>
      <c r="E2381" s="99" t="n"/>
      <c r="F2381" s="100" t="n"/>
      <c r="G2381" s="98" t="n"/>
      <c r="H2381" s="99" t="n"/>
      <c r="I2381" s="99" t="n"/>
      <c r="J2381" s="100" t="n"/>
      <c r="K2381" s="98" t="n"/>
      <c r="L2381" s="99" t="n"/>
      <c r="M2381" s="99" t="n"/>
      <c r="N2381" s="100" t="n"/>
      <c r="O2381" s="98" t="n"/>
      <c r="P2381" s="99" t="n"/>
      <c r="Q2381" s="99" t="n"/>
      <c r="R2381" s="100" t="n"/>
      <c r="S2381" s="98" t="n"/>
      <c r="T2381" s="99" t="n"/>
      <c r="U2381" s="99" t="n"/>
      <c r="V2381" s="100" t="n"/>
      <c r="W2381" s="98" t="n"/>
      <c r="X2381" s="100" t="n"/>
      <c r="Y2381" s="98" t="n"/>
      <c r="Z2381" s="100" t="n"/>
      <c r="AB2381" s="101">
        <f>IF($B2381="","",(COUNTIF(C2358:E2375,$B2381)+COUNTIF(C2358:E2375,$B2381&amp;" ~*")&gt;0)+(COUNTIF(G2358:I2375,$B2381)+COUNTIF(G2358:I2375,$B2381&amp;" ~*")&gt;0)+(COUNTIF(K2358:M2375,$B2381)+COUNTIF(K2358:M2375,$B2381&amp;" ~*")&gt;0)+(COUNTIF(O2358:Q2375,$B2381)+COUNTIF(O2358:Q2375,$B2381&amp;" ~*")&gt;0)+(COUNTIF(S2358:U2375,$B2381)+COUNTIF(S2358:U2375,$B2381&amp;" ~*")&gt;0)+(COUNTIF(W2358:W2375,$B2381)+COUNTIF(W2358:W2375,$B2381&amp;" ~*")&gt;0)+(COUNTIF(Y2358:Y2375,$B2381)+COUNTIF(Y2358:Y2375,$B2381&amp;" ~*")&gt;0))</f>
        <v/>
      </c>
      <c r="AC2381" s="36">
        <f>IF($B2381="","",(IFERROR(INDEX(Setup!$G$33:$G$40,MATCH(C2381,Setup!$B$33:$B$40,0)),0)=1)*(COUNTIF(C2358:E2375,$B2381)+COUNTIF(C2358:E2375,$B2381&amp;" ~*")&gt;0)+(IFERROR(INDEX(Setup!$G$33:$G$40,MATCH(G2381,Setup!$B$33:$B$40,0)),0)=1)*(COUNTIF(G2358:I2375,$B2381)+COUNTIF(G2358:I2375,$B2381&amp;" ~*")&gt;0)+(IFERROR(INDEX(Setup!$G$33:$G$40,MATCH(K2381,Setup!$B$33:$B$40,0)),0)=1)*(COUNTIF(K2358:M2375,$B2381)+COUNTIF(K2358:M2375,$B2381&amp;" ~*")&gt;0)+(IFERROR(INDEX(Setup!$G$33:$G$40,MATCH(O2381,Setup!$B$33:$B$40,0)),0)=1)*(COUNTIF(O2358:Q2375,$B2381)+COUNTIF(O2358:Q2375,$B2381&amp;" ~*")&gt;0)+(IFERROR(INDEX(Setup!$G$33:$G$40,MATCH(S2381,Setup!$B$33:$B$40,0)),0)=1)*(COUNTIF(S2358:U2375,$B2381)+COUNTIF(S2358:U2375,$B2381&amp;" ~*")&gt;0)+(IFERROR(INDEX(Setup!$G$33:$G$40,MATCH(W2381,Setup!$B$33:$B$40,0)),0)=1)*(COUNTIF(W2358:W2375,$B2381)+COUNTIF(W2358:W2375,$B2381&amp;" ~*")&gt;0)+(IFERROR(INDEX(Setup!$G$33:$G$40,MATCH(Y2381,Setup!$B$33:$B$40,0)),0)=1)*(COUNTIF(Y2358:Y2375,$B2381)+COUNTIF(Y2358:Y2375,$B2381&amp;" ~*")&gt;0))</f>
        <v/>
      </c>
    </row>
    <row r="2382" ht="15" customHeight="1">
      <c r="A2382" t="n">
        <v>48</v>
      </c>
      <c r="B2382" s="37">
        <f>IF(Setup!$B$11="","",Setup!$B$11)</f>
        <v/>
      </c>
      <c r="C2382" s="102" t="n"/>
      <c r="D2382" s="103" t="n"/>
      <c r="E2382" s="103" t="n"/>
      <c r="F2382" s="104" t="n"/>
      <c r="G2382" s="102" t="n"/>
      <c r="H2382" s="103" t="n"/>
      <c r="I2382" s="103" t="n"/>
      <c r="J2382" s="104" t="n"/>
      <c r="K2382" s="102" t="n"/>
      <c r="L2382" s="103" t="n"/>
      <c r="M2382" s="103" t="n"/>
      <c r="N2382" s="104" t="n"/>
      <c r="O2382" s="102" t="n"/>
      <c r="P2382" s="103" t="n"/>
      <c r="Q2382" s="103" t="n"/>
      <c r="R2382" s="104" t="n"/>
      <c r="S2382" s="102" t="n"/>
      <c r="T2382" s="103" t="n"/>
      <c r="U2382" s="103" t="n"/>
      <c r="V2382" s="104" t="n"/>
      <c r="W2382" s="102" t="n"/>
      <c r="X2382" s="104" t="n"/>
      <c r="Y2382" s="102" t="n"/>
      <c r="Z2382" s="104" t="n"/>
      <c r="AB2382" s="105">
        <f>IF($B2382="","",(COUNTIF(C2358:E2375,$B2382)+COUNTIF(C2358:E2375,$B2382&amp;" ~*")&gt;0)+(COUNTIF(G2358:I2375,$B2382)+COUNTIF(G2358:I2375,$B2382&amp;" ~*")&gt;0)+(COUNTIF(K2358:M2375,$B2382)+COUNTIF(K2358:M2375,$B2382&amp;" ~*")&gt;0)+(COUNTIF(O2358:Q2375,$B2382)+COUNTIF(O2358:Q2375,$B2382&amp;" ~*")&gt;0)+(COUNTIF(S2358:U2375,$B2382)+COUNTIF(S2358:U2375,$B2382&amp;" ~*")&gt;0)+(COUNTIF(W2358:W2375,$B2382)+COUNTIF(W2358:W2375,$B2382&amp;" ~*")&gt;0)+(COUNTIF(Y2358:Y2375,$B2382)+COUNTIF(Y2358:Y2375,$B2382&amp;" ~*")&gt;0))</f>
        <v/>
      </c>
      <c r="AC2382" s="38">
        <f>IF($B2382="","",(IFERROR(INDEX(Setup!$G$33:$G$40,MATCH(C2382,Setup!$B$33:$B$40,0)),0)=1)*(COUNTIF(C2358:E2375,$B2382)+COUNTIF(C2358:E2375,$B2382&amp;" ~*")&gt;0)+(IFERROR(INDEX(Setup!$G$33:$G$40,MATCH(G2382,Setup!$B$33:$B$40,0)),0)=1)*(COUNTIF(G2358:I2375,$B2382)+COUNTIF(G2358:I2375,$B2382&amp;" ~*")&gt;0)+(IFERROR(INDEX(Setup!$G$33:$G$40,MATCH(K2382,Setup!$B$33:$B$40,0)),0)=1)*(COUNTIF(K2358:M2375,$B2382)+COUNTIF(K2358:M2375,$B2382&amp;" ~*")&gt;0)+(IFERROR(INDEX(Setup!$G$33:$G$40,MATCH(O2382,Setup!$B$33:$B$40,0)),0)=1)*(COUNTIF(O2358:Q2375,$B2382)+COUNTIF(O2358:Q2375,$B2382&amp;" ~*")&gt;0)+(IFERROR(INDEX(Setup!$G$33:$G$40,MATCH(S2382,Setup!$B$33:$B$40,0)),0)=1)*(COUNTIF(S2358:U2375,$B2382)+COUNTIF(S2358:U2375,$B2382&amp;" ~*")&gt;0)+(IFERROR(INDEX(Setup!$G$33:$G$40,MATCH(W2382,Setup!$B$33:$B$40,0)),0)=1)*(COUNTIF(W2358:W2375,$B2382)+COUNTIF(W2358:W2375,$B2382&amp;" ~*")&gt;0)+(IFERROR(INDEX(Setup!$G$33:$G$40,MATCH(Y2382,Setup!$B$33:$B$40,0)),0)=1)*(COUNTIF(Y2358:Y2375,$B2382)+COUNTIF(Y2358:Y2375,$B2382&amp;" ~*")&gt;0))</f>
        <v/>
      </c>
    </row>
    <row r="2383" ht="15" customHeight="1">
      <c r="A2383" t="n">
        <v>48</v>
      </c>
      <c r="B2383" s="35">
        <f>IF(Setup!$B$12="","",Setup!$B$12)</f>
        <v/>
      </c>
      <c r="C2383" s="98" t="n"/>
      <c r="D2383" s="99" t="n"/>
      <c r="E2383" s="99" t="n"/>
      <c r="F2383" s="100" t="n"/>
      <c r="G2383" s="98" t="n"/>
      <c r="H2383" s="99" t="n"/>
      <c r="I2383" s="99" t="n"/>
      <c r="J2383" s="100" t="n"/>
      <c r="K2383" s="98" t="n"/>
      <c r="L2383" s="99" t="n"/>
      <c r="M2383" s="99" t="n"/>
      <c r="N2383" s="100" t="n"/>
      <c r="O2383" s="98" t="n"/>
      <c r="P2383" s="99" t="n"/>
      <c r="Q2383" s="99" t="n"/>
      <c r="R2383" s="100" t="n"/>
      <c r="S2383" s="98" t="n"/>
      <c r="T2383" s="99" t="n"/>
      <c r="U2383" s="99" t="n"/>
      <c r="V2383" s="100" t="n"/>
      <c r="W2383" s="98" t="n"/>
      <c r="X2383" s="100" t="n"/>
      <c r="Y2383" s="98" t="n"/>
      <c r="Z2383" s="100" t="n"/>
      <c r="AB2383" s="101">
        <f>IF($B2383="","",(COUNTIF(C2358:E2375,$B2383)+COUNTIF(C2358:E2375,$B2383&amp;" ~*")&gt;0)+(COUNTIF(G2358:I2375,$B2383)+COUNTIF(G2358:I2375,$B2383&amp;" ~*")&gt;0)+(COUNTIF(K2358:M2375,$B2383)+COUNTIF(K2358:M2375,$B2383&amp;" ~*")&gt;0)+(COUNTIF(O2358:Q2375,$B2383)+COUNTIF(O2358:Q2375,$B2383&amp;" ~*")&gt;0)+(COUNTIF(S2358:U2375,$B2383)+COUNTIF(S2358:U2375,$B2383&amp;" ~*")&gt;0)+(COUNTIF(W2358:W2375,$B2383)+COUNTIF(W2358:W2375,$B2383&amp;" ~*")&gt;0)+(COUNTIF(Y2358:Y2375,$B2383)+COUNTIF(Y2358:Y2375,$B2383&amp;" ~*")&gt;0))</f>
        <v/>
      </c>
      <c r="AC2383" s="36">
        <f>IF($B2383="","",(IFERROR(INDEX(Setup!$G$33:$G$40,MATCH(C2383,Setup!$B$33:$B$40,0)),0)=1)*(COUNTIF(C2358:E2375,$B2383)+COUNTIF(C2358:E2375,$B2383&amp;" ~*")&gt;0)+(IFERROR(INDEX(Setup!$G$33:$G$40,MATCH(G2383,Setup!$B$33:$B$40,0)),0)=1)*(COUNTIF(G2358:I2375,$B2383)+COUNTIF(G2358:I2375,$B2383&amp;" ~*")&gt;0)+(IFERROR(INDEX(Setup!$G$33:$G$40,MATCH(K2383,Setup!$B$33:$B$40,0)),0)=1)*(COUNTIF(K2358:M2375,$B2383)+COUNTIF(K2358:M2375,$B2383&amp;" ~*")&gt;0)+(IFERROR(INDEX(Setup!$G$33:$G$40,MATCH(O2383,Setup!$B$33:$B$40,0)),0)=1)*(COUNTIF(O2358:Q2375,$B2383)+COUNTIF(O2358:Q2375,$B2383&amp;" ~*")&gt;0)+(IFERROR(INDEX(Setup!$G$33:$G$40,MATCH(S2383,Setup!$B$33:$B$40,0)),0)=1)*(COUNTIF(S2358:U2375,$B2383)+COUNTIF(S2358:U2375,$B2383&amp;" ~*")&gt;0)+(IFERROR(INDEX(Setup!$G$33:$G$40,MATCH(W2383,Setup!$B$33:$B$40,0)),0)=1)*(COUNTIF(W2358:W2375,$B2383)+COUNTIF(W2358:W2375,$B2383&amp;" ~*")&gt;0)+(IFERROR(INDEX(Setup!$G$33:$G$40,MATCH(Y2383,Setup!$B$33:$B$40,0)),0)=1)*(COUNTIF(Y2358:Y2375,$B2383)+COUNTIF(Y2358:Y2375,$B2383&amp;" ~*")&gt;0))</f>
        <v/>
      </c>
    </row>
    <row r="2384" ht="15" customHeight="1">
      <c r="A2384" t="n">
        <v>48</v>
      </c>
      <c r="B2384" s="37">
        <f>IF(Setup!$B$13="","",Setup!$B$13)</f>
        <v/>
      </c>
      <c r="C2384" s="102" t="n"/>
      <c r="D2384" s="103" t="n"/>
      <c r="E2384" s="103" t="n"/>
      <c r="F2384" s="104" t="n"/>
      <c r="G2384" s="102" t="n"/>
      <c r="H2384" s="103" t="n"/>
      <c r="I2384" s="103" t="n"/>
      <c r="J2384" s="104" t="n"/>
      <c r="K2384" s="102" t="n"/>
      <c r="L2384" s="103" t="n"/>
      <c r="M2384" s="103" t="n"/>
      <c r="N2384" s="104" t="n"/>
      <c r="O2384" s="102" t="inlineStr">
        <is>
          <t>AL</t>
        </is>
      </c>
      <c r="P2384" s="103" t="n"/>
      <c r="Q2384" s="103" t="n"/>
      <c r="R2384" s="104" t="n"/>
      <c r="S2384" s="102" t="inlineStr">
        <is>
          <t>AL</t>
        </is>
      </c>
      <c r="T2384" s="103" t="n"/>
      <c r="U2384" s="103" t="n"/>
      <c r="V2384" s="104" t="n"/>
      <c r="W2384" s="102" t="n"/>
      <c r="X2384" s="104" t="n"/>
      <c r="Y2384" s="102" t="n"/>
      <c r="Z2384" s="104" t="n"/>
      <c r="AB2384" s="105">
        <f>IF($B2384="","",(COUNTIF(C2358:E2375,$B2384)+COUNTIF(C2358:E2375,$B2384&amp;" ~*")&gt;0)+(COUNTIF(G2358:I2375,$B2384)+COUNTIF(G2358:I2375,$B2384&amp;" ~*")&gt;0)+(COUNTIF(K2358:M2375,$B2384)+COUNTIF(K2358:M2375,$B2384&amp;" ~*")&gt;0)+(COUNTIF(O2358:Q2375,$B2384)+COUNTIF(O2358:Q2375,$B2384&amp;" ~*")&gt;0)+(COUNTIF(S2358:U2375,$B2384)+COUNTIF(S2358:U2375,$B2384&amp;" ~*")&gt;0)+(COUNTIF(W2358:W2375,$B2384)+COUNTIF(W2358:W2375,$B2384&amp;" ~*")&gt;0)+(COUNTIF(Y2358:Y2375,$B2384)+COUNTIF(Y2358:Y2375,$B2384&amp;" ~*")&gt;0))</f>
        <v/>
      </c>
      <c r="AC2384" s="38">
        <f>IF($B2384="","",(IFERROR(INDEX(Setup!$G$33:$G$40,MATCH(C2384,Setup!$B$33:$B$40,0)),0)=1)*(COUNTIF(C2358:E2375,$B2384)+COUNTIF(C2358:E2375,$B2384&amp;" ~*")&gt;0)+(IFERROR(INDEX(Setup!$G$33:$G$40,MATCH(G2384,Setup!$B$33:$B$40,0)),0)=1)*(COUNTIF(G2358:I2375,$B2384)+COUNTIF(G2358:I2375,$B2384&amp;" ~*")&gt;0)+(IFERROR(INDEX(Setup!$G$33:$G$40,MATCH(K2384,Setup!$B$33:$B$40,0)),0)=1)*(COUNTIF(K2358:M2375,$B2384)+COUNTIF(K2358:M2375,$B2384&amp;" ~*")&gt;0)+(IFERROR(INDEX(Setup!$G$33:$G$40,MATCH(O2384,Setup!$B$33:$B$40,0)),0)=1)*(COUNTIF(O2358:Q2375,$B2384)+COUNTIF(O2358:Q2375,$B2384&amp;" ~*")&gt;0)+(IFERROR(INDEX(Setup!$G$33:$G$40,MATCH(S2384,Setup!$B$33:$B$40,0)),0)=1)*(COUNTIF(S2358:U2375,$B2384)+COUNTIF(S2358:U2375,$B2384&amp;" ~*")&gt;0)+(IFERROR(INDEX(Setup!$G$33:$G$40,MATCH(W2384,Setup!$B$33:$B$40,0)),0)=1)*(COUNTIF(W2358:W2375,$B2384)+COUNTIF(W2358:W2375,$B2384&amp;" ~*")&gt;0)+(IFERROR(INDEX(Setup!$G$33:$G$40,MATCH(Y2384,Setup!$B$33:$B$40,0)),0)=1)*(COUNTIF(Y2358:Y2375,$B2384)+COUNTIF(Y2358:Y2375,$B2384&amp;" ~*")&gt;0))</f>
        <v/>
      </c>
    </row>
    <row r="2385" ht="15" customHeight="1">
      <c r="A2385" t="n">
        <v>48</v>
      </c>
      <c r="B2385" s="35">
        <f>IF(Setup!$B$14="","",Setup!$B$14)</f>
        <v/>
      </c>
      <c r="C2385" s="98" t="n"/>
      <c r="D2385" s="99" t="n"/>
      <c r="E2385" s="99" t="n"/>
      <c r="F2385" s="100" t="n"/>
      <c r="G2385" s="98" t="n"/>
      <c r="H2385" s="99" t="n"/>
      <c r="I2385" s="99" t="n"/>
      <c r="J2385" s="100" t="n"/>
      <c r="K2385" s="98" t="n"/>
      <c r="L2385" s="99" t="n"/>
      <c r="M2385" s="99" t="n"/>
      <c r="N2385" s="100" t="n"/>
      <c r="O2385" s="98" t="n"/>
      <c r="P2385" s="99" t="n"/>
      <c r="Q2385" s="99" t="n"/>
      <c r="R2385" s="100" t="n"/>
      <c r="S2385" s="98" t="n"/>
      <c r="T2385" s="99" t="n"/>
      <c r="U2385" s="99" t="n"/>
      <c r="V2385" s="100" t="n"/>
      <c r="W2385" s="98" t="n"/>
      <c r="X2385" s="100" t="n"/>
      <c r="Y2385" s="98" t="n"/>
      <c r="Z2385" s="100" t="n"/>
      <c r="AB2385" s="101">
        <f>IF($B2385="","",(COUNTIF(C2358:E2375,$B2385)+COUNTIF(C2358:E2375,$B2385&amp;" ~*")&gt;0)+(COUNTIF(G2358:I2375,$B2385)+COUNTIF(G2358:I2375,$B2385&amp;" ~*")&gt;0)+(COUNTIF(K2358:M2375,$B2385)+COUNTIF(K2358:M2375,$B2385&amp;" ~*")&gt;0)+(COUNTIF(O2358:Q2375,$B2385)+COUNTIF(O2358:Q2375,$B2385&amp;" ~*")&gt;0)+(COUNTIF(S2358:U2375,$B2385)+COUNTIF(S2358:U2375,$B2385&amp;" ~*")&gt;0)+(COUNTIF(W2358:W2375,$B2385)+COUNTIF(W2358:W2375,$B2385&amp;" ~*")&gt;0)+(COUNTIF(Y2358:Y2375,$B2385)+COUNTIF(Y2358:Y2375,$B2385&amp;" ~*")&gt;0))</f>
        <v/>
      </c>
      <c r="AC2385" s="36">
        <f>IF($B2385="","",(IFERROR(INDEX(Setup!$G$33:$G$40,MATCH(C2385,Setup!$B$33:$B$40,0)),0)=1)*(COUNTIF(C2358:E2375,$B2385)+COUNTIF(C2358:E2375,$B2385&amp;" ~*")&gt;0)+(IFERROR(INDEX(Setup!$G$33:$G$40,MATCH(G2385,Setup!$B$33:$B$40,0)),0)=1)*(COUNTIF(G2358:I2375,$B2385)+COUNTIF(G2358:I2375,$B2385&amp;" ~*")&gt;0)+(IFERROR(INDEX(Setup!$G$33:$G$40,MATCH(K2385,Setup!$B$33:$B$40,0)),0)=1)*(COUNTIF(K2358:M2375,$B2385)+COUNTIF(K2358:M2375,$B2385&amp;" ~*")&gt;0)+(IFERROR(INDEX(Setup!$G$33:$G$40,MATCH(O2385,Setup!$B$33:$B$40,0)),0)=1)*(COUNTIF(O2358:Q2375,$B2385)+COUNTIF(O2358:Q2375,$B2385&amp;" ~*")&gt;0)+(IFERROR(INDEX(Setup!$G$33:$G$40,MATCH(S2385,Setup!$B$33:$B$40,0)),0)=1)*(COUNTIF(S2358:U2375,$B2385)+COUNTIF(S2358:U2375,$B2385&amp;" ~*")&gt;0)+(IFERROR(INDEX(Setup!$G$33:$G$40,MATCH(W2385,Setup!$B$33:$B$40,0)),0)=1)*(COUNTIF(W2358:W2375,$B2385)+COUNTIF(W2358:W2375,$B2385&amp;" ~*")&gt;0)+(IFERROR(INDEX(Setup!$G$33:$G$40,MATCH(Y2385,Setup!$B$33:$B$40,0)),0)=1)*(COUNTIF(Y2358:Y2375,$B2385)+COUNTIF(Y2358:Y2375,$B2385&amp;" ~*")&gt;0))</f>
        <v/>
      </c>
    </row>
    <row r="2386" ht="15" customHeight="1">
      <c r="A2386" t="n">
        <v>48</v>
      </c>
      <c r="B2386" s="37">
        <f>IF(Setup!$B$15="","",Setup!$B$15)</f>
        <v/>
      </c>
      <c r="C2386" s="102" t="n"/>
      <c r="D2386" s="103" t="n"/>
      <c r="E2386" s="103" t="n"/>
      <c r="F2386" s="104" t="n"/>
      <c r="G2386" s="102" t="n"/>
      <c r="H2386" s="103" t="n"/>
      <c r="I2386" s="103" t="n"/>
      <c r="J2386" s="104" t="n"/>
      <c r="K2386" s="102" t="n"/>
      <c r="L2386" s="103" t="n"/>
      <c r="M2386" s="103" t="n"/>
      <c r="N2386" s="104" t="n"/>
      <c r="O2386" s="102" t="n"/>
      <c r="P2386" s="103" t="n"/>
      <c r="Q2386" s="103" t="n"/>
      <c r="R2386" s="104" t="n"/>
      <c r="S2386" s="102" t="n"/>
      <c r="T2386" s="103" t="n"/>
      <c r="U2386" s="103" t="n"/>
      <c r="V2386" s="104" t="n"/>
      <c r="W2386" s="102" t="n"/>
      <c r="X2386" s="104" t="n"/>
      <c r="Y2386" s="102" t="n"/>
      <c r="Z2386" s="104" t="n"/>
      <c r="AB2386" s="105">
        <f>IF($B2386="","",(COUNTIF(C2358:E2375,$B2386)+COUNTIF(C2358:E2375,$B2386&amp;" ~*")&gt;0)+(COUNTIF(G2358:I2375,$B2386)+COUNTIF(G2358:I2375,$B2386&amp;" ~*")&gt;0)+(COUNTIF(K2358:M2375,$B2386)+COUNTIF(K2358:M2375,$B2386&amp;" ~*")&gt;0)+(COUNTIF(O2358:Q2375,$B2386)+COUNTIF(O2358:Q2375,$B2386&amp;" ~*")&gt;0)+(COUNTIF(S2358:U2375,$B2386)+COUNTIF(S2358:U2375,$B2386&amp;" ~*")&gt;0)+(COUNTIF(W2358:W2375,$B2386)+COUNTIF(W2358:W2375,$B2386&amp;" ~*")&gt;0)+(COUNTIF(Y2358:Y2375,$B2386)+COUNTIF(Y2358:Y2375,$B2386&amp;" ~*")&gt;0))</f>
        <v/>
      </c>
      <c r="AC2386" s="38">
        <f>IF($B2386="","",(IFERROR(INDEX(Setup!$G$33:$G$40,MATCH(C2386,Setup!$B$33:$B$40,0)),0)=1)*(COUNTIF(C2358:E2375,$B2386)+COUNTIF(C2358:E2375,$B2386&amp;" ~*")&gt;0)+(IFERROR(INDEX(Setup!$G$33:$G$40,MATCH(G2386,Setup!$B$33:$B$40,0)),0)=1)*(COUNTIF(G2358:I2375,$B2386)+COUNTIF(G2358:I2375,$B2386&amp;" ~*")&gt;0)+(IFERROR(INDEX(Setup!$G$33:$G$40,MATCH(K2386,Setup!$B$33:$B$40,0)),0)=1)*(COUNTIF(K2358:M2375,$B2386)+COUNTIF(K2358:M2375,$B2386&amp;" ~*")&gt;0)+(IFERROR(INDEX(Setup!$G$33:$G$40,MATCH(O2386,Setup!$B$33:$B$40,0)),0)=1)*(COUNTIF(O2358:Q2375,$B2386)+COUNTIF(O2358:Q2375,$B2386&amp;" ~*")&gt;0)+(IFERROR(INDEX(Setup!$G$33:$G$40,MATCH(S2386,Setup!$B$33:$B$40,0)),0)=1)*(COUNTIF(S2358:U2375,$B2386)+COUNTIF(S2358:U2375,$B2386&amp;" ~*")&gt;0)+(IFERROR(INDEX(Setup!$G$33:$G$40,MATCH(W2386,Setup!$B$33:$B$40,0)),0)=1)*(COUNTIF(W2358:W2375,$B2386)+COUNTIF(W2358:W2375,$B2386&amp;" ~*")&gt;0)+(IFERROR(INDEX(Setup!$G$33:$G$40,MATCH(Y2386,Setup!$B$33:$B$40,0)),0)=1)*(COUNTIF(Y2358:Y2375,$B2386)+COUNTIF(Y2358:Y2375,$B2386&amp;" ~*")&gt;0))</f>
        <v/>
      </c>
    </row>
    <row r="2387" ht="15" customHeight="1">
      <c r="A2387" t="n">
        <v>48</v>
      </c>
      <c r="B2387" s="35">
        <f>IF(Setup!$B$16="","",Setup!$B$16)</f>
        <v/>
      </c>
      <c r="C2387" s="98" t="n"/>
      <c r="D2387" s="99" t="n"/>
      <c r="E2387" s="99" t="n"/>
      <c r="F2387" s="100" t="n"/>
      <c r="G2387" s="98" t="n"/>
      <c r="H2387" s="99" t="n"/>
      <c r="I2387" s="99" t="n"/>
      <c r="J2387" s="100" t="n"/>
      <c r="K2387" s="98" t="n"/>
      <c r="L2387" s="99" t="n"/>
      <c r="M2387" s="99" t="n"/>
      <c r="N2387" s="100" t="n"/>
      <c r="O2387" s="98" t="n"/>
      <c r="P2387" s="99" t="n"/>
      <c r="Q2387" s="99" t="n"/>
      <c r="R2387" s="100" t="n"/>
      <c r="S2387" s="98" t="n"/>
      <c r="T2387" s="99" t="n"/>
      <c r="U2387" s="99" t="n"/>
      <c r="V2387" s="100" t="n"/>
      <c r="W2387" s="98" t="n"/>
      <c r="X2387" s="100" t="n"/>
      <c r="Y2387" s="98" t="n"/>
      <c r="Z2387" s="100" t="n"/>
      <c r="AB2387" s="101">
        <f>IF($B2387="","",(COUNTIF(C2358:E2375,$B2387)+COUNTIF(C2358:E2375,$B2387&amp;" ~*")&gt;0)+(COUNTIF(G2358:I2375,$B2387)+COUNTIF(G2358:I2375,$B2387&amp;" ~*")&gt;0)+(COUNTIF(K2358:M2375,$B2387)+COUNTIF(K2358:M2375,$B2387&amp;" ~*")&gt;0)+(COUNTIF(O2358:Q2375,$B2387)+COUNTIF(O2358:Q2375,$B2387&amp;" ~*")&gt;0)+(COUNTIF(S2358:U2375,$B2387)+COUNTIF(S2358:U2375,$B2387&amp;" ~*")&gt;0)+(COUNTIF(W2358:W2375,$B2387)+COUNTIF(W2358:W2375,$B2387&amp;" ~*")&gt;0)+(COUNTIF(Y2358:Y2375,$B2387)+COUNTIF(Y2358:Y2375,$B2387&amp;" ~*")&gt;0))</f>
        <v/>
      </c>
      <c r="AC2387" s="36">
        <f>IF($B2387="","",(IFERROR(INDEX(Setup!$G$33:$G$40,MATCH(C2387,Setup!$B$33:$B$40,0)),0)=1)*(COUNTIF(C2358:E2375,$B2387)+COUNTIF(C2358:E2375,$B2387&amp;" ~*")&gt;0)+(IFERROR(INDEX(Setup!$G$33:$G$40,MATCH(G2387,Setup!$B$33:$B$40,0)),0)=1)*(COUNTIF(G2358:I2375,$B2387)+COUNTIF(G2358:I2375,$B2387&amp;" ~*")&gt;0)+(IFERROR(INDEX(Setup!$G$33:$G$40,MATCH(K2387,Setup!$B$33:$B$40,0)),0)=1)*(COUNTIF(K2358:M2375,$B2387)+COUNTIF(K2358:M2375,$B2387&amp;" ~*")&gt;0)+(IFERROR(INDEX(Setup!$G$33:$G$40,MATCH(O2387,Setup!$B$33:$B$40,0)),0)=1)*(COUNTIF(O2358:Q2375,$B2387)+COUNTIF(O2358:Q2375,$B2387&amp;" ~*")&gt;0)+(IFERROR(INDEX(Setup!$G$33:$G$40,MATCH(S2387,Setup!$B$33:$B$40,0)),0)=1)*(COUNTIF(S2358:U2375,$B2387)+COUNTIF(S2358:U2375,$B2387&amp;" ~*")&gt;0)+(IFERROR(INDEX(Setup!$G$33:$G$40,MATCH(W2387,Setup!$B$33:$B$40,0)),0)=1)*(COUNTIF(W2358:W2375,$B2387)+COUNTIF(W2358:W2375,$B2387&amp;" ~*")&gt;0)+(IFERROR(INDEX(Setup!$G$33:$G$40,MATCH(Y2387,Setup!$B$33:$B$40,0)),0)=1)*(COUNTIF(Y2358:Y2375,$B2387)+COUNTIF(Y2358:Y2375,$B2387&amp;" ~*")&gt;0))</f>
        <v/>
      </c>
    </row>
    <row r="2388" ht="15" customHeight="1">
      <c r="A2388" t="n">
        <v>48</v>
      </c>
      <c r="B2388" s="37">
        <f>IF(Setup!$B$17="","",Setup!$B$17)</f>
        <v/>
      </c>
      <c r="C2388" s="102" t="n"/>
      <c r="D2388" s="103" t="n"/>
      <c r="E2388" s="103" t="n"/>
      <c r="F2388" s="104" t="n"/>
      <c r="G2388" s="102" t="n"/>
      <c r="H2388" s="103" t="n"/>
      <c r="I2388" s="103" t="n"/>
      <c r="J2388" s="104" t="n"/>
      <c r="K2388" s="102" t="n"/>
      <c r="L2388" s="103" t="n"/>
      <c r="M2388" s="103" t="n"/>
      <c r="N2388" s="104" t="n"/>
      <c r="O2388" s="102" t="n"/>
      <c r="P2388" s="103" t="n"/>
      <c r="Q2388" s="103" t="n"/>
      <c r="R2388" s="104" t="n"/>
      <c r="S2388" s="102" t="n"/>
      <c r="T2388" s="103" t="n"/>
      <c r="U2388" s="103" t="n"/>
      <c r="V2388" s="104" t="n"/>
      <c r="W2388" s="102" t="n"/>
      <c r="X2388" s="104" t="n"/>
      <c r="Y2388" s="102" t="n"/>
      <c r="Z2388" s="104" t="n"/>
      <c r="AB2388" s="105">
        <f>IF($B2388="","",(COUNTIF(C2358:E2375,$B2388)+COUNTIF(C2358:E2375,$B2388&amp;" ~*")&gt;0)+(COUNTIF(G2358:I2375,$B2388)+COUNTIF(G2358:I2375,$B2388&amp;" ~*")&gt;0)+(COUNTIF(K2358:M2375,$B2388)+COUNTIF(K2358:M2375,$B2388&amp;" ~*")&gt;0)+(COUNTIF(O2358:Q2375,$B2388)+COUNTIF(O2358:Q2375,$B2388&amp;" ~*")&gt;0)+(COUNTIF(S2358:U2375,$B2388)+COUNTIF(S2358:U2375,$B2388&amp;" ~*")&gt;0)+(COUNTIF(W2358:W2375,$B2388)+COUNTIF(W2358:W2375,$B2388&amp;" ~*")&gt;0)+(COUNTIF(Y2358:Y2375,$B2388)+COUNTIF(Y2358:Y2375,$B2388&amp;" ~*")&gt;0))</f>
        <v/>
      </c>
      <c r="AC2388" s="38">
        <f>IF($B2388="","",(IFERROR(INDEX(Setup!$G$33:$G$40,MATCH(C2388,Setup!$B$33:$B$40,0)),0)=1)*(COUNTIF(C2358:E2375,$B2388)+COUNTIF(C2358:E2375,$B2388&amp;" ~*")&gt;0)+(IFERROR(INDEX(Setup!$G$33:$G$40,MATCH(G2388,Setup!$B$33:$B$40,0)),0)=1)*(COUNTIF(G2358:I2375,$B2388)+COUNTIF(G2358:I2375,$B2388&amp;" ~*")&gt;0)+(IFERROR(INDEX(Setup!$G$33:$G$40,MATCH(K2388,Setup!$B$33:$B$40,0)),0)=1)*(COUNTIF(K2358:M2375,$B2388)+COUNTIF(K2358:M2375,$B2388&amp;" ~*")&gt;0)+(IFERROR(INDEX(Setup!$G$33:$G$40,MATCH(O2388,Setup!$B$33:$B$40,0)),0)=1)*(COUNTIF(O2358:Q2375,$B2388)+COUNTIF(O2358:Q2375,$B2388&amp;" ~*")&gt;0)+(IFERROR(INDEX(Setup!$G$33:$G$40,MATCH(S2388,Setup!$B$33:$B$40,0)),0)=1)*(COUNTIF(S2358:U2375,$B2388)+COUNTIF(S2358:U2375,$B2388&amp;" ~*")&gt;0)+(IFERROR(INDEX(Setup!$G$33:$G$40,MATCH(W2388,Setup!$B$33:$B$40,0)),0)=1)*(COUNTIF(W2358:W2375,$B2388)+COUNTIF(W2358:W2375,$B2388&amp;" ~*")&gt;0)+(IFERROR(INDEX(Setup!$G$33:$G$40,MATCH(Y2388,Setup!$B$33:$B$40,0)),0)=1)*(COUNTIF(Y2358:Y2375,$B2388)+COUNTIF(Y2358:Y2375,$B2388&amp;" ~*")&gt;0))</f>
        <v/>
      </c>
    </row>
    <row r="2389" ht="15" customHeight="1">
      <c r="A2389" t="n">
        <v>48</v>
      </c>
      <c r="B2389" s="35">
        <f>IF(Setup!$B$18="","",Setup!$B$18)</f>
        <v/>
      </c>
      <c r="C2389" s="98" t="n"/>
      <c r="D2389" s="99" t="n"/>
      <c r="E2389" s="99" t="n"/>
      <c r="F2389" s="100" t="n"/>
      <c r="G2389" s="98" t="n"/>
      <c r="H2389" s="99" t="n"/>
      <c r="I2389" s="99" t="n"/>
      <c r="J2389" s="100" t="n"/>
      <c r="K2389" s="98" t="n"/>
      <c r="L2389" s="99" t="n"/>
      <c r="M2389" s="99" t="n"/>
      <c r="N2389" s="100" t="n"/>
      <c r="O2389" s="98" t="n"/>
      <c r="P2389" s="99" t="n"/>
      <c r="Q2389" s="99" t="n"/>
      <c r="R2389" s="100" t="n"/>
      <c r="S2389" s="98" t="n"/>
      <c r="T2389" s="99" t="n"/>
      <c r="U2389" s="99" t="n"/>
      <c r="V2389" s="100" t="n"/>
      <c r="W2389" s="98" t="n"/>
      <c r="X2389" s="100" t="n"/>
      <c r="Y2389" s="98" t="n"/>
      <c r="Z2389" s="100" t="n"/>
      <c r="AB2389" s="101">
        <f>IF($B2389="","",(COUNTIF(C2358:E2375,$B2389)+COUNTIF(C2358:E2375,$B2389&amp;" ~*")&gt;0)+(COUNTIF(G2358:I2375,$B2389)+COUNTIF(G2358:I2375,$B2389&amp;" ~*")&gt;0)+(COUNTIF(K2358:M2375,$B2389)+COUNTIF(K2358:M2375,$B2389&amp;" ~*")&gt;0)+(COUNTIF(O2358:Q2375,$B2389)+COUNTIF(O2358:Q2375,$B2389&amp;" ~*")&gt;0)+(COUNTIF(S2358:U2375,$B2389)+COUNTIF(S2358:U2375,$B2389&amp;" ~*")&gt;0)+(COUNTIF(W2358:W2375,$B2389)+COUNTIF(W2358:W2375,$B2389&amp;" ~*")&gt;0)+(COUNTIF(Y2358:Y2375,$B2389)+COUNTIF(Y2358:Y2375,$B2389&amp;" ~*")&gt;0))</f>
        <v/>
      </c>
      <c r="AC2389" s="36">
        <f>IF($B2389="","",(IFERROR(INDEX(Setup!$G$33:$G$40,MATCH(C2389,Setup!$B$33:$B$40,0)),0)=1)*(COUNTIF(C2358:E2375,$B2389)+COUNTIF(C2358:E2375,$B2389&amp;" ~*")&gt;0)+(IFERROR(INDEX(Setup!$G$33:$G$40,MATCH(G2389,Setup!$B$33:$B$40,0)),0)=1)*(COUNTIF(G2358:I2375,$B2389)+COUNTIF(G2358:I2375,$B2389&amp;" ~*")&gt;0)+(IFERROR(INDEX(Setup!$G$33:$G$40,MATCH(K2389,Setup!$B$33:$B$40,0)),0)=1)*(COUNTIF(K2358:M2375,$B2389)+COUNTIF(K2358:M2375,$B2389&amp;" ~*")&gt;0)+(IFERROR(INDEX(Setup!$G$33:$G$40,MATCH(O2389,Setup!$B$33:$B$40,0)),0)=1)*(COUNTIF(O2358:Q2375,$B2389)+COUNTIF(O2358:Q2375,$B2389&amp;" ~*")&gt;0)+(IFERROR(INDEX(Setup!$G$33:$G$40,MATCH(S2389,Setup!$B$33:$B$40,0)),0)=1)*(COUNTIF(S2358:U2375,$B2389)+COUNTIF(S2358:U2375,$B2389&amp;" ~*")&gt;0)+(IFERROR(INDEX(Setup!$G$33:$G$40,MATCH(W2389,Setup!$B$33:$B$40,0)),0)=1)*(COUNTIF(W2358:W2375,$B2389)+COUNTIF(W2358:W2375,$B2389&amp;" ~*")&gt;0)+(IFERROR(INDEX(Setup!$G$33:$G$40,MATCH(Y2389,Setup!$B$33:$B$40,0)),0)=1)*(COUNTIF(Y2358:Y2375,$B2389)+COUNTIF(Y2358:Y2375,$B2389&amp;" ~*")&gt;0))</f>
        <v/>
      </c>
    </row>
    <row r="2390" ht="15" customHeight="1">
      <c r="A2390" t="n">
        <v>48</v>
      </c>
      <c r="B2390" s="37">
        <f>IF(Setup!$B$19="","",Setup!$B$19)</f>
        <v/>
      </c>
      <c r="C2390" s="102" t="n"/>
      <c r="D2390" s="103" t="n"/>
      <c r="E2390" s="103" t="n"/>
      <c r="F2390" s="104" t="n"/>
      <c r="G2390" s="102" t="n"/>
      <c r="H2390" s="103" t="n"/>
      <c r="I2390" s="103" t="n"/>
      <c r="J2390" s="104" t="n"/>
      <c r="K2390" s="102" t="n"/>
      <c r="L2390" s="103" t="n"/>
      <c r="M2390" s="103" t="n"/>
      <c r="N2390" s="104" t="n"/>
      <c r="O2390" s="102" t="n"/>
      <c r="P2390" s="103" t="n"/>
      <c r="Q2390" s="103" t="n"/>
      <c r="R2390" s="104" t="n"/>
      <c r="S2390" s="102" t="n"/>
      <c r="T2390" s="103" t="n"/>
      <c r="U2390" s="103" t="n"/>
      <c r="V2390" s="104" t="n"/>
      <c r="W2390" s="102" t="n"/>
      <c r="X2390" s="104" t="n"/>
      <c r="Y2390" s="102" t="n"/>
      <c r="Z2390" s="104" t="n"/>
      <c r="AB2390" s="105">
        <f>IF($B2390="","",(COUNTIF(C2358:E2375,$B2390)+COUNTIF(C2358:E2375,$B2390&amp;" ~*")&gt;0)+(COUNTIF(G2358:I2375,$B2390)+COUNTIF(G2358:I2375,$B2390&amp;" ~*")&gt;0)+(COUNTIF(K2358:M2375,$B2390)+COUNTIF(K2358:M2375,$B2390&amp;" ~*")&gt;0)+(COUNTIF(O2358:Q2375,$B2390)+COUNTIF(O2358:Q2375,$B2390&amp;" ~*")&gt;0)+(COUNTIF(S2358:U2375,$B2390)+COUNTIF(S2358:U2375,$B2390&amp;" ~*")&gt;0)+(COUNTIF(W2358:W2375,$B2390)+COUNTIF(W2358:W2375,$B2390&amp;" ~*")&gt;0)+(COUNTIF(Y2358:Y2375,$B2390)+COUNTIF(Y2358:Y2375,$B2390&amp;" ~*")&gt;0))</f>
        <v/>
      </c>
      <c r="AC2390" s="38">
        <f>IF($B2390="","",(IFERROR(INDEX(Setup!$G$33:$G$40,MATCH(C2390,Setup!$B$33:$B$40,0)),0)=1)*(COUNTIF(C2358:E2375,$B2390)+COUNTIF(C2358:E2375,$B2390&amp;" ~*")&gt;0)+(IFERROR(INDEX(Setup!$G$33:$G$40,MATCH(G2390,Setup!$B$33:$B$40,0)),0)=1)*(COUNTIF(G2358:I2375,$B2390)+COUNTIF(G2358:I2375,$B2390&amp;" ~*")&gt;0)+(IFERROR(INDEX(Setup!$G$33:$G$40,MATCH(K2390,Setup!$B$33:$B$40,0)),0)=1)*(COUNTIF(K2358:M2375,$B2390)+COUNTIF(K2358:M2375,$B2390&amp;" ~*")&gt;0)+(IFERROR(INDEX(Setup!$G$33:$G$40,MATCH(O2390,Setup!$B$33:$B$40,0)),0)=1)*(COUNTIF(O2358:Q2375,$B2390)+COUNTIF(O2358:Q2375,$B2390&amp;" ~*")&gt;0)+(IFERROR(INDEX(Setup!$G$33:$G$40,MATCH(S2390,Setup!$B$33:$B$40,0)),0)=1)*(COUNTIF(S2358:U2375,$B2390)+COUNTIF(S2358:U2375,$B2390&amp;" ~*")&gt;0)+(IFERROR(INDEX(Setup!$G$33:$G$40,MATCH(W2390,Setup!$B$33:$B$40,0)),0)=1)*(COUNTIF(W2358:W2375,$B2390)+COUNTIF(W2358:W2375,$B2390&amp;" ~*")&gt;0)+(IFERROR(INDEX(Setup!$G$33:$G$40,MATCH(Y2390,Setup!$B$33:$B$40,0)),0)=1)*(COUNTIF(Y2358:Y2375,$B2390)+COUNTIF(Y2358:Y2375,$B2390&amp;" ~*")&gt;0))</f>
        <v/>
      </c>
    </row>
    <row r="2391" ht="15" customHeight="1">
      <c r="A2391" t="n">
        <v>48</v>
      </c>
      <c r="B2391" s="35">
        <f>IF(Setup!$B$20="","",Setup!$B$20)</f>
        <v/>
      </c>
      <c r="C2391" s="98" t="n"/>
      <c r="D2391" s="99" t="n"/>
      <c r="E2391" s="99" t="n"/>
      <c r="F2391" s="100" t="n"/>
      <c r="G2391" s="98" t="n"/>
      <c r="H2391" s="99" t="n"/>
      <c r="I2391" s="99" t="n"/>
      <c r="J2391" s="100" t="n"/>
      <c r="K2391" s="98" t="n"/>
      <c r="L2391" s="99" t="n"/>
      <c r="M2391" s="99" t="n"/>
      <c r="N2391" s="100" t="n"/>
      <c r="O2391" s="98" t="n"/>
      <c r="P2391" s="99" t="n"/>
      <c r="Q2391" s="99" t="n"/>
      <c r="R2391" s="100" t="n"/>
      <c r="S2391" s="98" t="n"/>
      <c r="T2391" s="99" t="n"/>
      <c r="U2391" s="99" t="n"/>
      <c r="V2391" s="100" t="n"/>
      <c r="W2391" s="98" t="n"/>
      <c r="X2391" s="100" t="n"/>
      <c r="Y2391" s="98" t="n"/>
      <c r="Z2391" s="100" t="n"/>
      <c r="AB2391" s="101">
        <f>IF($B2391="","",(COUNTIF(C2358:E2375,$B2391)+COUNTIF(C2358:E2375,$B2391&amp;" ~*")&gt;0)+(COUNTIF(G2358:I2375,$B2391)+COUNTIF(G2358:I2375,$B2391&amp;" ~*")&gt;0)+(COUNTIF(K2358:M2375,$B2391)+COUNTIF(K2358:M2375,$B2391&amp;" ~*")&gt;0)+(COUNTIF(O2358:Q2375,$B2391)+COUNTIF(O2358:Q2375,$B2391&amp;" ~*")&gt;0)+(COUNTIF(S2358:U2375,$B2391)+COUNTIF(S2358:U2375,$B2391&amp;" ~*")&gt;0)+(COUNTIF(W2358:W2375,$B2391)+COUNTIF(W2358:W2375,$B2391&amp;" ~*")&gt;0)+(COUNTIF(Y2358:Y2375,$B2391)+COUNTIF(Y2358:Y2375,$B2391&amp;" ~*")&gt;0))</f>
        <v/>
      </c>
      <c r="AC2391" s="36">
        <f>IF($B2391="","",(IFERROR(INDEX(Setup!$G$33:$G$40,MATCH(C2391,Setup!$B$33:$B$40,0)),0)=1)*(COUNTIF(C2358:E2375,$B2391)+COUNTIF(C2358:E2375,$B2391&amp;" ~*")&gt;0)+(IFERROR(INDEX(Setup!$G$33:$G$40,MATCH(G2391,Setup!$B$33:$B$40,0)),0)=1)*(COUNTIF(G2358:I2375,$B2391)+COUNTIF(G2358:I2375,$B2391&amp;" ~*")&gt;0)+(IFERROR(INDEX(Setup!$G$33:$G$40,MATCH(K2391,Setup!$B$33:$B$40,0)),0)=1)*(COUNTIF(K2358:M2375,$B2391)+COUNTIF(K2358:M2375,$B2391&amp;" ~*")&gt;0)+(IFERROR(INDEX(Setup!$G$33:$G$40,MATCH(O2391,Setup!$B$33:$B$40,0)),0)=1)*(COUNTIF(O2358:Q2375,$B2391)+COUNTIF(O2358:Q2375,$B2391&amp;" ~*")&gt;0)+(IFERROR(INDEX(Setup!$G$33:$G$40,MATCH(S2391,Setup!$B$33:$B$40,0)),0)=1)*(COUNTIF(S2358:U2375,$B2391)+COUNTIF(S2358:U2375,$B2391&amp;" ~*")&gt;0)+(IFERROR(INDEX(Setup!$G$33:$G$40,MATCH(W2391,Setup!$B$33:$B$40,0)),0)=1)*(COUNTIF(W2358:W2375,$B2391)+COUNTIF(W2358:W2375,$B2391&amp;" ~*")&gt;0)+(IFERROR(INDEX(Setup!$G$33:$G$40,MATCH(Y2391,Setup!$B$33:$B$40,0)),0)=1)*(COUNTIF(Y2358:Y2375,$B2391)+COUNTIF(Y2358:Y2375,$B2391&amp;" ~*")&gt;0))</f>
        <v/>
      </c>
    </row>
    <row r="2392" ht="15" customHeight="1">
      <c r="A2392" t="n">
        <v>48</v>
      </c>
      <c r="B2392" s="37">
        <f>IF(Setup!$B$21="","",Setup!$B$21)</f>
        <v/>
      </c>
      <c r="C2392" s="102" t="n"/>
      <c r="D2392" s="103" t="n"/>
      <c r="E2392" s="103" t="n"/>
      <c r="F2392" s="104" t="n"/>
      <c r="G2392" s="102" t="n"/>
      <c r="H2392" s="103" t="n"/>
      <c r="I2392" s="103" t="n"/>
      <c r="J2392" s="104" t="n"/>
      <c r="K2392" s="102" t="n"/>
      <c r="L2392" s="103" t="n"/>
      <c r="M2392" s="103" t="n"/>
      <c r="N2392" s="104" t="n"/>
      <c r="O2392" s="102" t="n"/>
      <c r="P2392" s="103" t="n"/>
      <c r="Q2392" s="103" t="n"/>
      <c r="R2392" s="104" t="n"/>
      <c r="S2392" s="102" t="n"/>
      <c r="T2392" s="103" t="n"/>
      <c r="U2392" s="103" t="n"/>
      <c r="V2392" s="104" t="n"/>
      <c r="W2392" s="102" t="n"/>
      <c r="X2392" s="104" t="n"/>
      <c r="Y2392" s="102" t="n"/>
      <c r="Z2392" s="104" t="n"/>
      <c r="AB2392" s="105">
        <f>IF($B2392="","",(COUNTIF(C2358:E2375,$B2392)+COUNTIF(C2358:E2375,$B2392&amp;" ~*")&gt;0)+(COUNTIF(G2358:I2375,$B2392)+COUNTIF(G2358:I2375,$B2392&amp;" ~*")&gt;0)+(COUNTIF(K2358:M2375,$B2392)+COUNTIF(K2358:M2375,$B2392&amp;" ~*")&gt;0)+(COUNTIF(O2358:Q2375,$B2392)+COUNTIF(O2358:Q2375,$B2392&amp;" ~*")&gt;0)+(COUNTIF(S2358:U2375,$B2392)+COUNTIF(S2358:U2375,$B2392&amp;" ~*")&gt;0)+(COUNTIF(W2358:W2375,$B2392)+COUNTIF(W2358:W2375,$B2392&amp;" ~*")&gt;0)+(COUNTIF(Y2358:Y2375,$B2392)+COUNTIF(Y2358:Y2375,$B2392&amp;" ~*")&gt;0))</f>
        <v/>
      </c>
      <c r="AC2392" s="38">
        <f>IF($B2392="","",(IFERROR(INDEX(Setup!$G$33:$G$40,MATCH(C2392,Setup!$B$33:$B$40,0)),0)=1)*(COUNTIF(C2358:E2375,$B2392)+COUNTIF(C2358:E2375,$B2392&amp;" ~*")&gt;0)+(IFERROR(INDEX(Setup!$G$33:$G$40,MATCH(G2392,Setup!$B$33:$B$40,0)),0)=1)*(COUNTIF(G2358:I2375,$B2392)+COUNTIF(G2358:I2375,$B2392&amp;" ~*")&gt;0)+(IFERROR(INDEX(Setup!$G$33:$G$40,MATCH(K2392,Setup!$B$33:$B$40,0)),0)=1)*(COUNTIF(K2358:M2375,$B2392)+COUNTIF(K2358:M2375,$B2392&amp;" ~*")&gt;0)+(IFERROR(INDEX(Setup!$G$33:$G$40,MATCH(O2392,Setup!$B$33:$B$40,0)),0)=1)*(COUNTIF(O2358:Q2375,$B2392)+COUNTIF(O2358:Q2375,$B2392&amp;" ~*")&gt;0)+(IFERROR(INDEX(Setup!$G$33:$G$40,MATCH(S2392,Setup!$B$33:$B$40,0)),0)=1)*(COUNTIF(S2358:U2375,$B2392)+COUNTIF(S2358:U2375,$B2392&amp;" ~*")&gt;0)+(IFERROR(INDEX(Setup!$G$33:$G$40,MATCH(W2392,Setup!$B$33:$B$40,0)),0)=1)*(COUNTIF(W2358:W2375,$B2392)+COUNTIF(W2358:W2375,$B2392&amp;" ~*")&gt;0)+(IFERROR(INDEX(Setup!$G$33:$G$40,MATCH(Y2392,Setup!$B$33:$B$40,0)),0)=1)*(COUNTIF(Y2358:Y2375,$B2392)+COUNTIF(Y2358:Y2375,$B2392&amp;" ~*")&gt;0))</f>
        <v/>
      </c>
    </row>
    <row r="2393" ht="15" customHeight="1">
      <c r="A2393" t="n">
        <v>48</v>
      </c>
      <c r="B2393" s="35">
        <f>IF(Setup!$B$22="","",Setup!$B$22)</f>
        <v/>
      </c>
      <c r="C2393" s="98" t="n"/>
      <c r="D2393" s="99" t="n"/>
      <c r="E2393" s="99" t="n"/>
      <c r="F2393" s="100" t="n"/>
      <c r="G2393" s="98" t="n"/>
      <c r="H2393" s="99" t="n"/>
      <c r="I2393" s="99" t="n"/>
      <c r="J2393" s="100" t="n"/>
      <c r="K2393" s="98" t="n"/>
      <c r="L2393" s="99" t="n"/>
      <c r="M2393" s="99" t="n"/>
      <c r="N2393" s="100" t="n"/>
      <c r="O2393" s="98" t="n"/>
      <c r="P2393" s="99" t="n"/>
      <c r="Q2393" s="99" t="n"/>
      <c r="R2393" s="100" t="n"/>
      <c r="S2393" s="98" t="n"/>
      <c r="T2393" s="99" t="n"/>
      <c r="U2393" s="99" t="n"/>
      <c r="V2393" s="100" t="n"/>
      <c r="W2393" s="98" t="n"/>
      <c r="X2393" s="100" t="n"/>
      <c r="Y2393" s="98" t="n"/>
      <c r="Z2393" s="100" t="n"/>
      <c r="AB2393" s="101">
        <f>IF($B2393="","",(COUNTIF(C2358:E2375,$B2393)+COUNTIF(C2358:E2375,$B2393&amp;" ~*")&gt;0)+(COUNTIF(G2358:I2375,$B2393)+COUNTIF(G2358:I2375,$B2393&amp;" ~*")&gt;0)+(COUNTIF(K2358:M2375,$B2393)+COUNTIF(K2358:M2375,$B2393&amp;" ~*")&gt;0)+(COUNTIF(O2358:Q2375,$B2393)+COUNTIF(O2358:Q2375,$B2393&amp;" ~*")&gt;0)+(COUNTIF(S2358:U2375,$B2393)+COUNTIF(S2358:U2375,$B2393&amp;" ~*")&gt;0)+(COUNTIF(W2358:W2375,$B2393)+COUNTIF(W2358:W2375,$B2393&amp;" ~*")&gt;0)+(COUNTIF(Y2358:Y2375,$B2393)+COUNTIF(Y2358:Y2375,$B2393&amp;" ~*")&gt;0))</f>
        <v/>
      </c>
      <c r="AC2393" s="36">
        <f>IF($B2393="","",(IFERROR(INDEX(Setup!$G$33:$G$40,MATCH(C2393,Setup!$B$33:$B$40,0)),0)=1)*(COUNTIF(C2358:E2375,$B2393)+COUNTIF(C2358:E2375,$B2393&amp;" ~*")&gt;0)+(IFERROR(INDEX(Setup!$G$33:$G$40,MATCH(G2393,Setup!$B$33:$B$40,0)),0)=1)*(COUNTIF(G2358:I2375,$B2393)+COUNTIF(G2358:I2375,$B2393&amp;" ~*")&gt;0)+(IFERROR(INDEX(Setup!$G$33:$G$40,MATCH(K2393,Setup!$B$33:$B$40,0)),0)=1)*(COUNTIF(K2358:M2375,$B2393)+COUNTIF(K2358:M2375,$B2393&amp;" ~*")&gt;0)+(IFERROR(INDEX(Setup!$G$33:$G$40,MATCH(O2393,Setup!$B$33:$B$40,0)),0)=1)*(COUNTIF(O2358:Q2375,$B2393)+COUNTIF(O2358:Q2375,$B2393&amp;" ~*")&gt;0)+(IFERROR(INDEX(Setup!$G$33:$G$40,MATCH(S2393,Setup!$B$33:$B$40,0)),0)=1)*(COUNTIF(S2358:U2375,$B2393)+COUNTIF(S2358:U2375,$B2393&amp;" ~*")&gt;0)+(IFERROR(INDEX(Setup!$G$33:$G$40,MATCH(W2393,Setup!$B$33:$B$40,0)),0)=1)*(COUNTIF(W2358:W2375,$B2393)+COUNTIF(W2358:W2375,$B2393&amp;" ~*")&gt;0)+(IFERROR(INDEX(Setup!$G$33:$G$40,MATCH(Y2393,Setup!$B$33:$B$40,0)),0)=1)*(COUNTIF(Y2358:Y2375,$B2393)+COUNTIF(Y2358:Y2375,$B2393&amp;" ~*")&gt;0))</f>
        <v/>
      </c>
    </row>
    <row r="2394" ht="15" customHeight="1">
      <c r="A2394" t="n">
        <v>48</v>
      </c>
      <c r="B2394" s="37">
        <f>IF(Setup!$B$23="","",Setup!$B$23)</f>
        <v/>
      </c>
      <c r="C2394" s="102" t="n"/>
      <c r="D2394" s="103" t="n"/>
      <c r="E2394" s="103" t="n"/>
      <c r="F2394" s="104" t="n"/>
      <c r="G2394" s="102" t="n"/>
      <c r="H2394" s="103" t="n"/>
      <c r="I2394" s="103" t="n"/>
      <c r="J2394" s="104" t="n"/>
      <c r="K2394" s="102" t="n"/>
      <c r="L2394" s="103" t="n"/>
      <c r="M2394" s="103" t="n"/>
      <c r="N2394" s="104" t="n"/>
      <c r="O2394" s="102" t="n"/>
      <c r="P2394" s="103" t="n"/>
      <c r="Q2394" s="103" t="n"/>
      <c r="R2394" s="104" t="n"/>
      <c r="S2394" s="102" t="n"/>
      <c r="T2394" s="103" t="n"/>
      <c r="U2394" s="103" t="n"/>
      <c r="V2394" s="104" t="n"/>
      <c r="W2394" s="102" t="n"/>
      <c r="X2394" s="104" t="n"/>
      <c r="Y2394" s="102" t="n"/>
      <c r="Z2394" s="104" t="n"/>
      <c r="AB2394" s="105">
        <f>IF($B2394="","",(COUNTIF(C2358:E2375,$B2394)+COUNTIF(C2358:E2375,$B2394&amp;" ~*")&gt;0)+(COUNTIF(G2358:I2375,$B2394)+COUNTIF(G2358:I2375,$B2394&amp;" ~*")&gt;0)+(COUNTIF(K2358:M2375,$B2394)+COUNTIF(K2358:M2375,$B2394&amp;" ~*")&gt;0)+(COUNTIF(O2358:Q2375,$B2394)+COUNTIF(O2358:Q2375,$B2394&amp;" ~*")&gt;0)+(COUNTIF(S2358:U2375,$B2394)+COUNTIF(S2358:U2375,$B2394&amp;" ~*")&gt;0)+(COUNTIF(W2358:W2375,$B2394)+COUNTIF(W2358:W2375,$B2394&amp;" ~*")&gt;0)+(COUNTIF(Y2358:Y2375,$B2394)+COUNTIF(Y2358:Y2375,$B2394&amp;" ~*")&gt;0))</f>
        <v/>
      </c>
      <c r="AC2394" s="38">
        <f>IF($B2394="","",(IFERROR(INDEX(Setup!$G$33:$G$40,MATCH(C2394,Setup!$B$33:$B$40,0)),0)=1)*(COUNTIF(C2358:E2375,$B2394)+COUNTIF(C2358:E2375,$B2394&amp;" ~*")&gt;0)+(IFERROR(INDEX(Setup!$G$33:$G$40,MATCH(G2394,Setup!$B$33:$B$40,0)),0)=1)*(COUNTIF(G2358:I2375,$B2394)+COUNTIF(G2358:I2375,$B2394&amp;" ~*")&gt;0)+(IFERROR(INDEX(Setup!$G$33:$G$40,MATCH(K2394,Setup!$B$33:$B$40,0)),0)=1)*(COUNTIF(K2358:M2375,$B2394)+COUNTIF(K2358:M2375,$B2394&amp;" ~*")&gt;0)+(IFERROR(INDEX(Setup!$G$33:$G$40,MATCH(O2394,Setup!$B$33:$B$40,0)),0)=1)*(COUNTIF(O2358:Q2375,$B2394)+COUNTIF(O2358:Q2375,$B2394&amp;" ~*")&gt;0)+(IFERROR(INDEX(Setup!$G$33:$G$40,MATCH(S2394,Setup!$B$33:$B$40,0)),0)=1)*(COUNTIF(S2358:U2375,$B2394)+COUNTIF(S2358:U2375,$B2394&amp;" ~*")&gt;0)+(IFERROR(INDEX(Setup!$G$33:$G$40,MATCH(W2394,Setup!$B$33:$B$40,0)),0)=1)*(COUNTIF(W2358:W2375,$B2394)+COUNTIF(W2358:W2375,$B2394&amp;" ~*")&gt;0)+(IFERROR(INDEX(Setup!$G$33:$G$40,MATCH(Y2394,Setup!$B$33:$B$40,0)),0)=1)*(COUNTIF(Y2358:Y2375,$B2394)+COUNTIF(Y2358:Y2375,$B2394&amp;" ~*")&gt;0))</f>
        <v/>
      </c>
    </row>
    <row r="2395" ht="15" customHeight="1">
      <c r="A2395" t="n">
        <v>48</v>
      </c>
      <c r="B2395" s="35">
        <f>IF(Setup!$B$24="","",Setup!$B$24)</f>
        <v/>
      </c>
      <c r="C2395" s="98" t="n"/>
      <c r="D2395" s="99" t="n"/>
      <c r="E2395" s="99" t="n"/>
      <c r="F2395" s="100" t="n"/>
      <c r="G2395" s="98" t="n"/>
      <c r="H2395" s="99" t="n"/>
      <c r="I2395" s="99" t="n"/>
      <c r="J2395" s="100" t="n"/>
      <c r="K2395" s="98" t="n"/>
      <c r="L2395" s="99" t="n"/>
      <c r="M2395" s="99" t="n"/>
      <c r="N2395" s="100" t="n"/>
      <c r="O2395" s="98" t="n"/>
      <c r="P2395" s="99" t="n"/>
      <c r="Q2395" s="99" t="n"/>
      <c r="R2395" s="100" t="n"/>
      <c r="S2395" s="98" t="n"/>
      <c r="T2395" s="99" t="n"/>
      <c r="U2395" s="99" t="n"/>
      <c r="V2395" s="100" t="n"/>
      <c r="W2395" s="98" t="n"/>
      <c r="X2395" s="100" t="n"/>
      <c r="Y2395" s="98" t="n"/>
      <c r="Z2395" s="100" t="n"/>
      <c r="AB2395" s="101">
        <f>IF($B2395="","",(COUNTIF(C2358:E2375,$B2395)+COUNTIF(C2358:E2375,$B2395&amp;" ~*")&gt;0)+(COUNTIF(G2358:I2375,$B2395)+COUNTIF(G2358:I2375,$B2395&amp;" ~*")&gt;0)+(COUNTIF(K2358:M2375,$B2395)+COUNTIF(K2358:M2375,$B2395&amp;" ~*")&gt;0)+(COUNTIF(O2358:Q2375,$B2395)+COUNTIF(O2358:Q2375,$B2395&amp;" ~*")&gt;0)+(COUNTIF(S2358:U2375,$B2395)+COUNTIF(S2358:U2375,$B2395&amp;" ~*")&gt;0)+(COUNTIF(W2358:W2375,$B2395)+COUNTIF(W2358:W2375,$B2395&amp;" ~*")&gt;0)+(COUNTIF(Y2358:Y2375,$B2395)+COUNTIF(Y2358:Y2375,$B2395&amp;" ~*")&gt;0))</f>
        <v/>
      </c>
      <c r="AC2395" s="36">
        <f>IF($B2395="","",(IFERROR(INDEX(Setup!$G$33:$G$40,MATCH(C2395,Setup!$B$33:$B$40,0)),0)=1)*(COUNTIF(C2358:E2375,$B2395)+COUNTIF(C2358:E2375,$B2395&amp;" ~*")&gt;0)+(IFERROR(INDEX(Setup!$G$33:$G$40,MATCH(G2395,Setup!$B$33:$B$40,0)),0)=1)*(COUNTIF(G2358:I2375,$B2395)+COUNTIF(G2358:I2375,$B2395&amp;" ~*")&gt;0)+(IFERROR(INDEX(Setup!$G$33:$G$40,MATCH(K2395,Setup!$B$33:$B$40,0)),0)=1)*(COUNTIF(K2358:M2375,$B2395)+COUNTIF(K2358:M2375,$B2395&amp;" ~*")&gt;0)+(IFERROR(INDEX(Setup!$G$33:$G$40,MATCH(O2395,Setup!$B$33:$B$40,0)),0)=1)*(COUNTIF(O2358:Q2375,$B2395)+COUNTIF(O2358:Q2375,$B2395&amp;" ~*")&gt;0)+(IFERROR(INDEX(Setup!$G$33:$G$40,MATCH(S2395,Setup!$B$33:$B$40,0)),0)=1)*(COUNTIF(S2358:U2375,$B2395)+COUNTIF(S2358:U2375,$B2395&amp;" ~*")&gt;0)+(IFERROR(INDEX(Setup!$G$33:$G$40,MATCH(W2395,Setup!$B$33:$B$40,0)),0)=1)*(COUNTIF(W2358:W2375,$B2395)+COUNTIF(W2358:W2375,$B2395&amp;" ~*")&gt;0)+(IFERROR(INDEX(Setup!$G$33:$G$40,MATCH(Y2395,Setup!$B$33:$B$40,0)),0)=1)*(COUNTIF(Y2358:Y2375,$B2395)+COUNTIF(Y2358:Y2375,$B2395&amp;" ~*")&gt;0))</f>
        <v/>
      </c>
    </row>
    <row r="2396" ht="15" customHeight="1">
      <c r="A2396" t="n">
        <v>48</v>
      </c>
      <c r="B2396" s="37">
        <f>IF(Setup!$B$25="","",Setup!$B$25)</f>
        <v/>
      </c>
      <c r="C2396" s="102" t="n"/>
      <c r="D2396" s="103" t="n"/>
      <c r="E2396" s="103" t="n"/>
      <c r="F2396" s="104" t="n"/>
      <c r="G2396" s="102" t="n"/>
      <c r="H2396" s="103" t="n"/>
      <c r="I2396" s="103" t="n"/>
      <c r="J2396" s="104" t="n"/>
      <c r="K2396" s="102" t="n"/>
      <c r="L2396" s="103" t="n"/>
      <c r="M2396" s="103" t="n"/>
      <c r="N2396" s="104" t="n"/>
      <c r="O2396" s="102" t="n"/>
      <c r="P2396" s="103" t="n"/>
      <c r="Q2396" s="103" t="n"/>
      <c r="R2396" s="104" t="n"/>
      <c r="S2396" s="102" t="n"/>
      <c r="T2396" s="103" t="n"/>
      <c r="U2396" s="103" t="n"/>
      <c r="V2396" s="104" t="n"/>
      <c r="W2396" s="102" t="n"/>
      <c r="X2396" s="104" t="n"/>
      <c r="Y2396" s="102" t="n"/>
      <c r="Z2396" s="104" t="n"/>
      <c r="AB2396" s="105">
        <f>IF($B2396="","",(COUNTIF(C2358:E2375,$B2396)+COUNTIF(C2358:E2375,$B2396&amp;" ~*")&gt;0)+(COUNTIF(G2358:I2375,$B2396)+COUNTIF(G2358:I2375,$B2396&amp;" ~*")&gt;0)+(COUNTIF(K2358:M2375,$B2396)+COUNTIF(K2358:M2375,$B2396&amp;" ~*")&gt;0)+(COUNTIF(O2358:Q2375,$B2396)+COUNTIF(O2358:Q2375,$B2396&amp;" ~*")&gt;0)+(COUNTIF(S2358:U2375,$B2396)+COUNTIF(S2358:U2375,$B2396&amp;" ~*")&gt;0)+(COUNTIF(W2358:W2375,$B2396)+COUNTIF(W2358:W2375,$B2396&amp;" ~*")&gt;0)+(COUNTIF(Y2358:Y2375,$B2396)+COUNTIF(Y2358:Y2375,$B2396&amp;" ~*")&gt;0))</f>
        <v/>
      </c>
      <c r="AC2396" s="38">
        <f>IF($B2396="","",(IFERROR(INDEX(Setup!$G$33:$G$40,MATCH(C2396,Setup!$B$33:$B$40,0)),0)=1)*(COUNTIF(C2358:E2375,$B2396)+COUNTIF(C2358:E2375,$B2396&amp;" ~*")&gt;0)+(IFERROR(INDEX(Setup!$G$33:$G$40,MATCH(G2396,Setup!$B$33:$B$40,0)),0)=1)*(COUNTIF(G2358:I2375,$B2396)+COUNTIF(G2358:I2375,$B2396&amp;" ~*")&gt;0)+(IFERROR(INDEX(Setup!$G$33:$G$40,MATCH(K2396,Setup!$B$33:$B$40,0)),0)=1)*(COUNTIF(K2358:M2375,$B2396)+COUNTIF(K2358:M2375,$B2396&amp;" ~*")&gt;0)+(IFERROR(INDEX(Setup!$G$33:$G$40,MATCH(O2396,Setup!$B$33:$B$40,0)),0)=1)*(COUNTIF(O2358:Q2375,$B2396)+COUNTIF(O2358:Q2375,$B2396&amp;" ~*")&gt;0)+(IFERROR(INDEX(Setup!$G$33:$G$40,MATCH(S2396,Setup!$B$33:$B$40,0)),0)=1)*(COUNTIF(S2358:U2375,$B2396)+COUNTIF(S2358:U2375,$B2396&amp;" ~*")&gt;0)+(IFERROR(INDEX(Setup!$G$33:$G$40,MATCH(W2396,Setup!$B$33:$B$40,0)),0)=1)*(COUNTIF(W2358:W2375,$B2396)+COUNTIF(W2358:W2375,$B2396&amp;" ~*")&gt;0)+(IFERROR(INDEX(Setup!$G$33:$G$40,MATCH(Y2396,Setup!$B$33:$B$40,0)),0)=1)*(COUNTIF(Y2358:Y2375,$B2396)+COUNTIF(Y2358:Y2375,$B2396&amp;" ~*")&gt;0))</f>
        <v/>
      </c>
    </row>
    <row r="2397" ht="15" customHeight="1">
      <c r="A2397" t="n">
        <v>48</v>
      </c>
      <c r="B2397" s="35">
        <f>IF(Setup!$B$26="","",Setup!$B$26)</f>
        <v/>
      </c>
      <c r="C2397" s="98" t="n"/>
      <c r="D2397" s="99" t="n"/>
      <c r="E2397" s="99" t="n"/>
      <c r="F2397" s="100" t="n"/>
      <c r="G2397" s="98" t="n"/>
      <c r="H2397" s="99" t="n"/>
      <c r="I2397" s="99" t="n"/>
      <c r="J2397" s="100" t="n"/>
      <c r="K2397" s="98" t="n"/>
      <c r="L2397" s="99" t="n"/>
      <c r="M2397" s="99" t="n"/>
      <c r="N2397" s="100" t="n"/>
      <c r="O2397" s="98" t="n"/>
      <c r="P2397" s="99" t="n"/>
      <c r="Q2397" s="99" t="n"/>
      <c r="R2397" s="100" t="n"/>
      <c r="S2397" s="98" t="n"/>
      <c r="T2397" s="99" t="n"/>
      <c r="U2397" s="99" t="n"/>
      <c r="V2397" s="100" t="n"/>
      <c r="W2397" s="98" t="n"/>
      <c r="X2397" s="100" t="n"/>
      <c r="Y2397" s="98" t="n"/>
      <c r="Z2397" s="100" t="n"/>
      <c r="AB2397" s="101">
        <f>IF($B2397="","",(COUNTIF(C2358:E2375,$B2397)+COUNTIF(C2358:E2375,$B2397&amp;" ~*")&gt;0)+(COUNTIF(G2358:I2375,$B2397)+COUNTIF(G2358:I2375,$B2397&amp;" ~*")&gt;0)+(COUNTIF(K2358:M2375,$B2397)+COUNTIF(K2358:M2375,$B2397&amp;" ~*")&gt;0)+(COUNTIF(O2358:Q2375,$B2397)+COUNTIF(O2358:Q2375,$B2397&amp;" ~*")&gt;0)+(COUNTIF(S2358:U2375,$B2397)+COUNTIF(S2358:U2375,$B2397&amp;" ~*")&gt;0)+(COUNTIF(W2358:W2375,$B2397)+COUNTIF(W2358:W2375,$B2397&amp;" ~*")&gt;0)+(COUNTIF(Y2358:Y2375,$B2397)+COUNTIF(Y2358:Y2375,$B2397&amp;" ~*")&gt;0))</f>
        <v/>
      </c>
      <c r="AC2397" s="36">
        <f>IF($B2397="","",(IFERROR(INDEX(Setup!$G$33:$G$40,MATCH(C2397,Setup!$B$33:$B$40,0)),0)=1)*(COUNTIF(C2358:E2375,$B2397)+COUNTIF(C2358:E2375,$B2397&amp;" ~*")&gt;0)+(IFERROR(INDEX(Setup!$G$33:$G$40,MATCH(G2397,Setup!$B$33:$B$40,0)),0)=1)*(COUNTIF(G2358:I2375,$B2397)+COUNTIF(G2358:I2375,$B2397&amp;" ~*")&gt;0)+(IFERROR(INDEX(Setup!$G$33:$G$40,MATCH(K2397,Setup!$B$33:$B$40,0)),0)=1)*(COUNTIF(K2358:M2375,$B2397)+COUNTIF(K2358:M2375,$B2397&amp;" ~*")&gt;0)+(IFERROR(INDEX(Setup!$G$33:$G$40,MATCH(O2397,Setup!$B$33:$B$40,0)),0)=1)*(COUNTIF(O2358:Q2375,$B2397)+COUNTIF(O2358:Q2375,$B2397&amp;" ~*")&gt;0)+(IFERROR(INDEX(Setup!$G$33:$G$40,MATCH(S2397,Setup!$B$33:$B$40,0)),0)=1)*(COUNTIF(S2358:U2375,$B2397)+COUNTIF(S2358:U2375,$B2397&amp;" ~*")&gt;0)+(IFERROR(INDEX(Setup!$G$33:$G$40,MATCH(W2397,Setup!$B$33:$B$40,0)),0)=1)*(COUNTIF(W2358:W2375,$B2397)+COUNTIF(W2358:W2375,$B2397&amp;" ~*")&gt;0)+(IFERROR(INDEX(Setup!$G$33:$G$40,MATCH(Y2397,Setup!$B$33:$B$40,0)),0)=1)*(COUNTIF(Y2358:Y2375,$B2397)+COUNTIF(Y2358:Y2375,$B2397&amp;" ~*")&gt;0))</f>
        <v/>
      </c>
    </row>
    <row r="2398" ht="15" customHeight="1">
      <c r="A2398" t="n">
        <v>48</v>
      </c>
      <c r="B2398" s="37">
        <f>IF(Setup!$B$27="","",Setup!$B$27)</f>
        <v/>
      </c>
      <c r="C2398" s="102" t="n"/>
      <c r="D2398" s="103" t="n"/>
      <c r="E2398" s="103" t="n"/>
      <c r="F2398" s="104" t="n"/>
      <c r="G2398" s="102" t="n"/>
      <c r="H2398" s="103" t="n"/>
      <c r="I2398" s="103" t="n"/>
      <c r="J2398" s="104" t="n"/>
      <c r="K2398" s="102" t="n"/>
      <c r="L2398" s="103" t="n"/>
      <c r="M2398" s="103" t="n"/>
      <c r="N2398" s="104" t="n"/>
      <c r="O2398" s="102" t="n"/>
      <c r="P2398" s="103" t="n"/>
      <c r="Q2398" s="103" t="n"/>
      <c r="R2398" s="104" t="n"/>
      <c r="S2398" s="102" t="n"/>
      <c r="T2398" s="103" t="n"/>
      <c r="U2398" s="103" t="n"/>
      <c r="V2398" s="104" t="n"/>
      <c r="W2398" s="102" t="n"/>
      <c r="X2398" s="104" t="n"/>
      <c r="Y2398" s="102" t="n"/>
      <c r="Z2398" s="104" t="n"/>
      <c r="AB2398" s="105">
        <f>IF($B2398="","",(COUNTIF(C2358:E2375,$B2398)+COUNTIF(C2358:E2375,$B2398&amp;" ~*")&gt;0)+(COUNTIF(G2358:I2375,$B2398)+COUNTIF(G2358:I2375,$B2398&amp;" ~*")&gt;0)+(COUNTIF(K2358:M2375,$B2398)+COUNTIF(K2358:M2375,$B2398&amp;" ~*")&gt;0)+(COUNTIF(O2358:Q2375,$B2398)+COUNTIF(O2358:Q2375,$B2398&amp;" ~*")&gt;0)+(COUNTIF(S2358:U2375,$B2398)+COUNTIF(S2358:U2375,$B2398&amp;" ~*")&gt;0)+(COUNTIF(W2358:W2375,$B2398)+COUNTIF(W2358:W2375,$B2398&amp;" ~*")&gt;0)+(COUNTIF(Y2358:Y2375,$B2398)+COUNTIF(Y2358:Y2375,$B2398&amp;" ~*")&gt;0))</f>
        <v/>
      </c>
      <c r="AC2398" s="38">
        <f>IF($B2398="","",(IFERROR(INDEX(Setup!$G$33:$G$40,MATCH(C2398,Setup!$B$33:$B$40,0)),0)=1)*(COUNTIF(C2358:E2375,$B2398)+COUNTIF(C2358:E2375,$B2398&amp;" ~*")&gt;0)+(IFERROR(INDEX(Setup!$G$33:$G$40,MATCH(G2398,Setup!$B$33:$B$40,0)),0)=1)*(COUNTIF(G2358:I2375,$B2398)+COUNTIF(G2358:I2375,$B2398&amp;" ~*")&gt;0)+(IFERROR(INDEX(Setup!$G$33:$G$40,MATCH(K2398,Setup!$B$33:$B$40,0)),0)=1)*(COUNTIF(K2358:M2375,$B2398)+COUNTIF(K2358:M2375,$B2398&amp;" ~*")&gt;0)+(IFERROR(INDEX(Setup!$G$33:$G$40,MATCH(O2398,Setup!$B$33:$B$40,0)),0)=1)*(COUNTIF(O2358:Q2375,$B2398)+COUNTIF(O2358:Q2375,$B2398&amp;" ~*")&gt;0)+(IFERROR(INDEX(Setup!$G$33:$G$40,MATCH(S2398,Setup!$B$33:$B$40,0)),0)=1)*(COUNTIF(S2358:U2375,$B2398)+COUNTIF(S2358:U2375,$B2398&amp;" ~*")&gt;0)+(IFERROR(INDEX(Setup!$G$33:$G$40,MATCH(W2398,Setup!$B$33:$B$40,0)),0)=1)*(COUNTIF(W2358:W2375,$B2398)+COUNTIF(W2358:W2375,$B2398&amp;" ~*")&gt;0)+(IFERROR(INDEX(Setup!$G$33:$G$40,MATCH(Y2398,Setup!$B$33:$B$40,0)),0)=1)*(COUNTIF(Y2358:Y2375,$B2398)+COUNTIF(Y2358:Y2375,$B2398&amp;" ~*")&gt;0))</f>
        <v/>
      </c>
    </row>
    <row r="2399" ht="15" customHeight="1">
      <c r="A2399" t="n">
        <v>48</v>
      </c>
      <c r="B2399" s="35">
        <f>IF(Setup!$B$28="","",Setup!$B$28)</f>
        <v/>
      </c>
      <c r="C2399" s="98" t="n"/>
      <c r="D2399" s="99" t="n"/>
      <c r="E2399" s="99" t="n"/>
      <c r="F2399" s="100" t="n"/>
      <c r="G2399" s="98" t="n"/>
      <c r="H2399" s="99" t="n"/>
      <c r="I2399" s="99" t="n"/>
      <c r="J2399" s="100" t="n"/>
      <c r="K2399" s="98" t="n"/>
      <c r="L2399" s="99" t="n"/>
      <c r="M2399" s="99" t="n"/>
      <c r="N2399" s="100" t="n"/>
      <c r="O2399" s="98" t="n"/>
      <c r="P2399" s="99" t="n"/>
      <c r="Q2399" s="99" t="n"/>
      <c r="R2399" s="100" t="n"/>
      <c r="S2399" s="98" t="n"/>
      <c r="T2399" s="99" t="n"/>
      <c r="U2399" s="99" t="n"/>
      <c r="V2399" s="100" t="n"/>
      <c r="W2399" s="98" t="n"/>
      <c r="X2399" s="100" t="n"/>
      <c r="Y2399" s="98" t="n"/>
      <c r="Z2399" s="100" t="n"/>
      <c r="AB2399" s="101">
        <f>IF($B2399="","",(COUNTIF(C2358:E2375,$B2399)+COUNTIF(C2358:E2375,$B2399&amp;" ~*")&gt;0)+(COUNTIF(G2358:I2375,$B2399)+COUNTIF(G2358:I2375,$B2399&amp;" ~*")&gt;0)+(COUNTIF(K2358:M2375,$B2399)+COUNTIF(K2358:M2375,$B2399&amp;" ~*")&gt;0)+(COUNTIF(O2358:Q2375,$B2399)+COUNTIF(O2358:Q2375,$B2399&amp;" ~*")&gt;0)+(COUNTIF(S2358:U2375,$B2399)+COUNTIF(S2358:U2375,$B2399&amp;" ~*")&gt;0)+(COUNTIF(W2358:W2375,$B2399)+COUNTIF(W2358:W2375,$B2399&amp;" ~*")&gt;0)+(COUNTIF(Y2358:Y2375,$B2399)+COUNTIF(Y2358:Y2375,$B2399&amp;" ~*")&gt;0))</f>
        <v/>
      </c>
      <c r="AC2399" s="36">
        <f>IF($B2399="","",(IFERROR(INDEX(Setup!$G$33:$G$40,MATCH(C2399,Setup!$B$33:$B$40,0)),0)=1)*(COUNTIF(C2358:E2375,$B2399)+COUNTIF(C2358:E2375,$B2399&amp;" ~*")&gt;0)+(IFERROR(INDEX(Setup!$G$33:$G$40,MATCH(G2399,Setup!$B$33:$B$40,0)),0)=1)*(COUNTIF(G2358:I2375,$B2399)+COUNTIF(G2358:I2375,$B2399&amp;" ~*")&gt;0)+(IFERROR(INDEX(Setup!$G$33:$G$40,MATCH(K2399,Setup!$B$33:$B$40,0)),0)=1)*(COUNTIF(K2358:M2375,$B2399)+COUNTIF(K2358:M2375,$B2399&amp;" ~*")&gt;0)+(IFERROR(INDEX(Setup!$G$33:$G$40,MATCH(O2399,Setup!$B$33:$B$40,0)),0)=1)*(COUNTIF(O2358:Q2375,$B2399)+COUNTIF(O2358:Q2375,$B2399&amp;" ~*")&gt;0)+(IFERROR(INDEX(Setup!$G$33:$G$40,MATCH(S2399,Setup!$B$33:$B$40,0)),0)=1)*(COUNTIF(S2358:U2375,$B2399)+COUNTIF(S2358:U2375,$B2399&amp;" ~*")&gt;0)+(IFERROR(INDEX(Setup!$G$33:$G$40,MATCH(W2399,Setup!$B$33:$B$40,0)),0)=1)*(COUNTIF(W2358:W2375,$B2399)+COUNTIF(W2358:W2375,$B2399&amp;" ~*")&gt;0)+(IFERROR(INDEX(Setup!$G$33:$G$40,MATCH(Y2399,Setup!$B$33:$B$40,0)),0)=1)*(COUNTIF(Y2358:Y2375,$B2399)+COUNTIF(Y2358:Y2375,$B2399&amp;" ~*")&gt;0))</f>
        <v/>
      </c>
    </row>
    <row r="2400" ht="15" customHeight="1">
      <c r="A2400" t="n">
        <v>48</v>
      </c>
      <c r="B2400" s="37">
        <f>IF(Setup!$B$29="","",Setup!$B$29)</f>
        <v/>
      </c>
      <c r="C2400" s="102" t="n"/>
      <c r="D2400" s="103" t="n"/>
      <c r="E2400" s="103" t="n"/>
      <c r="F2400" s="104" t="n"/>
      <c r="G2400" s="102" t="n"/>
      <c r="H2400" s="103" t="n"/>
      <c r="I2400" s="103" t="n"/>
      <c r="J2400" s="104" t="n"/>
      <c r="K2400" s="102" t="n"/>
      <c r="L2400" s="103" t="n"/>
      <c r="M2400" s="103" t="n"/>
      <c r="N2400" s="104" t="n"/>
      <c r="O2400" s="102" t="n"/>
      <c r="P2400" s="103" t="n"/>
      <c r="Q2400" s="103" t="n"/>
      <c r="R2400" s="104" t="n"/>
      <c r="S2400" s="102" t="n"/>
      <c r="T2400" s="103" t="n"/>
      <c r="U2400" s="103" t="n"/>
      <c r="V2400" s="104" t="n"/>
      <c r="W2400" s="102" t="n"/>
      <c r="X2400" s="104" t="n"/>
      <c r="Y2400" s="102" t="n"/>
      <c r="Z2400" s="104" t="n"/>
      <c r="AB2400" s="105">
        <f>IF($B2400="","",(COUNTIF(C2358:E2375,$B2400)+COUNTIF(C2358:E2375,$B2400&amp;" ~*")&gt;0)+(COUNTIF(G2358:I2375,$B2400)+COUNTIF(G2358:I2375,$B2400&amp;" ~*")&gt;0)+(COUNTIF(K2358:M2375,$B2400)+COUNTIF(K2358:M2375,$B2400&amp;" ~*")&gt;0)+(COUNTIF(O2358:Q2375,$B2400)+COUNTIF(O2358:Q2375,$B2400&amp;" ~*")&gt;0)+(COUNTIF(S2358:U2375,$B2400)+COUNTIF(S2358:U2375,$B2400&amp;" ~*")&gt;0)+(COUNTIF(W2358:W2375,$B2400)+COUNTIF(W2358:W2375,$B2400&amp;" ~*")&gt;0)+(COUNTIF(Y2358:Y2375,$B2400)+COUNTIF(Y2358:Y2375,$B2400&amp;" ~*")&gt;0))</f>
        <v/>
      </c>
      <c r="AC2400" s="38">
        <f>IF($B2400="","",(IFERROR(INDEX(Setup!$G$33:$G$40,MATCH(C2400,Setup!$B$33:$B$40,0)),0)=1)*(COUNTIF(C2358:E2375,$B2400)+COUNTIF(C2358:E2375,$B2400&amp;" ~*")&gt;0)+(IFERROR(INDEX(Setup!$G$33:$G$40,MATCH(G2400,Setup!$B$33:$B$40,0)),0)=1)*(COUNTIF(G2358:I2375,$B2400)+COUNTIF(G2358:I2375,$B2400&amp;" ~*")&gt;0)+(IFERROR(INDEX(Setup!$G$33:$G$40,MATCH(K2400,Setup!$B$33:$B$40,0)),0)=1)*(COUNTIF(K2358:M2375,$B2400)+COUNTIF(K2358:M2375,$B2400&amp;" ~*")&gt;0)+(IFERROR(INDEX(Setup!$G$33:$G$40,MATCH(O2400,Setup!$B$33:$B$40,0)),0)=1)*(COUNTIF(O2358:Q2375,$B2400)+COUNTIF(O2358:Q2375,$B2400&amp;" ~*")&gt;0)+(IFERROR(INDEX(Setup!$G$33:$G$40,MATCH(S2400,Setup!$B$33:$B$40,0)),0)=1)*(COUNTIF(S2358:U2375,$B2400)+COUNTIF(S2358:U2375,$B2400&amp;" ~*")&gt;0)+(IFERROR(INDEX(Setup!$G$33:$G$40,MATCH(W2400,Setup!$B$33:$B$40,0)),0)=1)*(COUNTIF(W2358:W2375,$B2400)+COUNTIF(W2358:W2375,$B2400&amp;" ~*")&gt;0)+(IFERROR(INDEX(Setup!$G$33:$G$40,MATCH(Y2400,Setup!$B$33:$B$40,0)),0)=1)*(COUNTIF(Y2358:Y2375,$B2400)+COUNTIF(Y2358:Y2375,$B2400&amp;" ~*")&gt;0))</f>
        <v/>
      </c>
    </row>
    <row r="2401" ht="16" customHeight="1">
      <c r="A2401" t="n">
        <v>48</v>
      </c>
      <c r="B2401" s="106" t="inlineStr">
        <is>
          <t>Available people</t>
        </is>
      </c>
      <c r="C2401" s="107">
        <f>COUNTIFS(Setup!$E$6:$E$29,"Y",Setup!$B$6:$B$29,"?*")-SUMPRODUCT(COUNTIF(C2377:C2400,Setup!$F$33:$F$40))</f>
        <v/>
      </c>
      <c r="D2401" s="107" t="n"/>
      <c r="E2401" s="107" t="n"/>
      <c r="F2401" s="107" t="n"/>
      <c r="G2401" s="107">
        <f>COUNTIFS(Setup!$E$6:$E$29,"Y",Setup!$B$6:$B$29,"?*")-SUMPRODUCT(COUNTIF(G2377:G2400,Setup!$F$33:$F$40))</f>
        <v/>
      </c>
      <c r="H2401" s="107" t="n"/>
      <c r="I2401" s="107" t="n"/>
      <c r="J2401" s="107" t="n"/>
      <c r="K2401" s="107">
        <f>COUNTIFS(Setup!$E$6:$E$29,"Y",Setup!$B$6:$B$29,"?*")-SUMPRODUCT(COUNTIF(K2377:K2400,Setup!$F$33:$F$40))</f>
        <v/>
      </c>
      <c r="L2401" s="107" t="n"/>
      <c r="M2401" s="107" t="n"/>
      <c r="N2401" s="107" t="n"/>
      <c r="O2401" s="107">
        <f>COUNTIFS(Setup!$E$6:$E$29,"Y",Setup!$B$6:$B$29,"?*")-SUMPRODUCT(COUNTIF(O2377:O2400,Setup!$F$33:$F$40))</f>
        <v/>
      </c>
      <c r="P2401" s="107" t="n"/>
      <c r="Q2401" s="107" t="n"/>
      <c r="R2401" s="107" t="n"/>
      <c r="S2401" s="107">
        <f>COUNTIFS(Setup!$E$6:$E$29,"Y",Setup!$B$6:$B$29,"?*")-SUMPRODUCT(COUNTIF(S2377:S2400,Setup!$F$33:$F$40))</f>
        <v/>
      </c>
      <c r="T2401" s="107" t="n"/>
      <c r="U2401" s="107" t="n"/>
      <c r="V2401" s="107" t="n"/>
      <c r="W2401" s="107">
        <f>COUNTIFS(Setup!$E$6:$E$29,"Y",Setup!$B$6:$B$29,"?*")-SUMPRODUCT(COUNTIF(W2377:W2400,Setup!$F$33:$F$40))</f>
        <v/>
      </c>
      <c r="X2401" s="107" t="n"/>
      <c r="Y2401" s="107">
        <f>COUNTIFS(Setup!$E$6:$E$29,"Y",Setup!$B$6:$B$29,"?*")-SUMPRODUCT(COUNTIF(Y2377:Y2400,Setup!$F$33:$F$40))</f>
        <v/>
      </c>
      <c r="Z2401" s="107" t="n"/>
      <c r="AB2401" s="108">
        <f>SUM(AB2377:AB2400)</f>
        <v/>
      </c>
      <c r="AC2401" s="109">
        <f>SUM(AC2377:AC2400)</f>
        <v/>
      </c>
    </row>
    <row r="2402" ht="30" customHeight="1">
      <c r="A2402" t="n">
        <v>48</v>
      </c>
      <c r="B2402" s="110" t="inlineStr">
        <is>
          <t>Week notes</t>
        </is>
      </c>
      <c r="C2402" s="111" t="n"/>
      <c r="D2402" s="112" t="n"/>
      <c r="E2402" s="112" t="n"/>
      <c r="F2402" s="112" t="n"/>
      <c r="G2402" s="112" t="n"/>
      <c r="H2402" s="112" t="n"/>
      <c r="I2402" s="112" t="n"/>
      <c r="J2402" s="112" t="n"/>
      <c r="K2402" s="112" t="n"/>
      <c r="L2402" s="112" t="n"/>
      <c r="M2402" s="112" t="n"/>
      <c r="N2402" s="112" t="n"/>
      <c r="O2402" s="112" t="n"/>
      <c r="P2402" s="112" t="n"/>
      <c r="Q2402" s="112" t="n"/>
      <c r="R2402" s="112" t="n"/>
      <c r="S2402" s="112" t="n"/>
      <c r="T2402" s="112" t="n"/>
      <c r="U2402" s="112" t="n"/>
      <c r="V2402" s="112" t="n"/>
      <c r="W2402" s="112" t="n"/>
      <c r="X2402" s="112" t="n"/>
      <c r="Y2402" s="112" t="n"/>
      <c r="Z2402" s="113" t="n"/>
    </row>
    <row r="2403" ht="8" customHeight="1">
      <c r="A2403" t="n">
        <v>48</v>
      </c>
    </row>
    <row r="2404" ht="8" customHeight="1">
      <c r="A2404" t="n">
        <v>48</v>
      </c>
    </row>
    <row r="2405" ht="24" customHeight="1">
      <c r="A2405" t="n">
        <v>49</v>
      </c>
      <c r="B2405" s="73">
        <f>"WEEK 49     "&amp;TEXT(C2406,"ddd d mmm")&amp;"  –  "&amp;TEXT(C2406+6,"ddd d mmm yyyy")</f>
        <v/>
      </c>
      <c r="S2405" s="74">
        <f>IF(TODAY()&lt;C2406,"FUTURE",IF(TODAY()&gt;C2406+6,"PAST","THIS WEEK"))</f>
        <v/>
      </c>
      <c r="W2405" s="75">
        <f>IF(AND(Engine!$B$8=$AC$3,Engine!$B$9=$A2405),"◀ ACTIVE WEEK","")</f>
        <v/>
      </c>
      <c r="AA2405" s="76" t="n"/>
      <c r="AB2405" s="77" t="inlineStr">
        <is>
          <t>◀ Prev</t>
        </is>
      </c>
      <c r="AC2405" s="77" t="inlineStr">
        <is>
          <t>Next ▶</t>
        </is>
      </c>
    </row>
    <row r="2406" ht="18" customHeight="1">
      <c r="A2406" t="n">
        <v>49</v>
      </c>
      <c r="B2406" s="78" t="inlineStr">
        <is>
          <t>DUTY</t>
        </is>
      </c>
      <c r="C2406" s="79">
        <f>$AC$2+7*($A2406-1)</f>
        <v/>
      </c>
      <c r="D2406" s="80" t="n"/>
      <c r="E2406" s="80" t="n"/>
      <c r="F2406" s="81" t="n"/>
      <c r="G2406" s="79">
        <f>C2406+1</f>
        <v/>
      </c>
      <c r="H2406" s="80" t="n"/>
      <c r="I2406" s="80" t="n"/>
      <c r="J2406" s="81" t="n"/>
      <c r="K2406" s="79">
        <f>C2406+2</f>
        <v/>
      </c>
      <c r="L2406" s="80" t="n"/>
      <c r="M2406" s="80" t="n"/>
      <c r="N2406" s="81" t="n"/>
      <c r="O2406" s="79">
        <f>C2406+3</f>
        <v/>
      </c>
      <c r="P2406" s="80" t="n"/>
      <c r="Q2406" s="80" t="n"/>
      <c r="R2406" s="81" t="n"/>
      <c r="S2406" s="79">
        <f>C2406+4</f>
        <v/>
      </c>
      <c r="T2406" s="80" t="n"/>
      <c r="U2406" s="80" t="n"/>
      <c r="V2406" s="81" t="n"/>
      <c r="W2406" s="82">
        <f>C2406+5</f>
        <v/>
      </c>
      <c r="X2406" s="83" t="n"/>
      <c r="Y2406" s="82">
        <f>C2406+6</f>
        <v/>
      </c>
      <c r="Z2406" s="83" t="n"/>
      <c r="AB2406" s="72" t="inlineStr">
        <is>
          <t>Gaps</t>
        </is>
      </c>
      <c r="AC2406" s="72" t="inlineStr">
        <is>
          <t>Cover</t>
        </is>
      </c>
    </row>
    <row r="2407" ht="14" customHeight="1">
      <c r="A2407" t="n">
        <v>49</v>
      </c>
      <c r="B2407" s="84" t="inlineStr">
        <is>
          <t>(from Setup)</t>
        </is>
      </c>
      <c r="C2407" s="85" t="inlineStr">
        <is>
          <t>1</t>
        </is>
      </c>
      <c r="D2407" s="85" t="inlineStr">
        <is>
          <t>2</t>
        </is>
      </c>
      <c r="E2407" s="85" t="inlineStr">
        <is>
          <t>3</t>
        </is>
      </c>
      <c r="F2407" s="85" t="inlineStr">
        <is>
          <t>Notes</t>
        </is>
      </c>
      <c r="G2407" s="85" t="inlineStr">
        <is>
          <t>1</t>
        </is>
      </c>
      <c r="H2407" s="85" t="inlineStr">
        <is>
          <t>2</t>
        </is>
      </c>
      <c r="I2407" s="85" t="inlineStr">
        <is>
          <t>3</t>
        </is>
      </c>
      <c r="J2407" s="85" t="inlineStr">
        <is>
          <t>Notes</t>
        </is>
      </c>
      <c r="K2407" s="85" t="inlineStr">
        <is>
          <t>1</t>
        </is>
      </c>
      <c r="L2407" s="85" t="inlineStr">
        <is>
          <t>2</t>
        </is>
      </c>
      <c r="M2407" s="85" t="inlineStr">
        <is>
          <t>3</t>
        </is>
      </c>
      <c r="N2407" s="85" t="inlineStr">
        <is>
          <t>Notes</t>
        </is>
      </c>
      <c r="O2407" s="85" t="inlineStr">
        <is>
          <t>1</t>
        </is>
      </c>
      <c r="P2407" s="85" t="inlineStr">
        <is>
          <t>2</t>
        </is>
      </c>
      <c r="Q2407" s="85" t="inlineStr">
        <is>
          <t>3</t>
        </is>
      </c>
      <c r="R2407" s="85" t="inlineStr">
        <is>
          <t>Notes</t>
        </is>
      </c>
      <c r="S2407" s="85" t="inlineStr">
        <is>
          <t>1</t>
        </is>
      </c>
      <c r="T2407" s="85" t="inlineStr">
        <is>
          <t>2</t>
        </is>
      </c>
      <c r="U2407" s="85" t="inlineStr">
        <is>
          <t>3</t>
        </is>
      </c>
      <c r="V2407" s="85" t="inlineStr">
        <is>
          <t>Notes</t>
        </is>
      </c>
      <c r="W2407" s="85" t="inlineStr">
        <is>
          <t>Cover</t>
        </is>
      </c>
      <c r="X2407" s="85" t="inlineStr">
        <is>
          <t>Notes</t>
        </is>
      </c>
      <c r="Y2407" s="85" t="inlineStr">
        <is>
          <t>Cover</t>
        </is>
      </c>
      <c r="Z2407" s="85" t="inlineStr">
        <is>
          <t>Notes</t>
        </is>
      </c>
      <c r="AB2407" s="86" t="inlineStr">
        <is>
          <t>weekdays short</t>
        </is>
      </c>
      <c r="AC2407" s="87" t="inlineStr"/>
    </row>
    <row r="2408" ht="17" customHeight="1">
      <c r="A2408" t="n">
        <v>49</v>
      </c>
      <c r="B2408" s="24">
        <f>IF(Setup!$K$6="","",Setup!$K$6)</f>
        <v/>
      </c>
      <c r="C2408" s="88" t="n"/>
      <c r="D2408" s="88" t="n"/>
      <c r="E2408" s="88" t="n"/>
      <c r="F2408" s="89" t="n"/>
      <c r="G2408" s="88" t="n"/>
      <c r="H2408" s="88" t="n"/>
      <c r="I2408" s="88" t="n"/>
      <c r="J2408" s="89" t="n"/>
      <c r="K2408" s="88" t="n"/>
      <c r="L2408" s="88" t="n"/>
      <c r="M2408" s="88" t="n"/>
      <c r="N2408" s="89" t="n"/>
      <c r="O2408" s="88" t="n"/>
      <c r="P2408" s="88" t="n"/>
      <c r="Q2408" s="88" t="n"/>
      <c r="R2408" s="89" t="n"/>
      <c r="S2408" s="88" t="n"/>
      <c r="T2408" s="88" t="n"/>
      <c r="U2408" s="88" t="n"/>
      <c r="V2408" s="89" t="n"/>
      <c r="W2408" s="88" t="n"/>
      <c r="X2408" s="89" t="n"/>
      <c r="Y2408" s="88" t="n"/>
      <c r="Z2408" s="89" t="n"/>
      <c r="AB2408" s="25">
        <f>IF($B2408="","",(COUNTIF(C2408:E2408,"?*")&lt;N(INDEX(Setup!$L$6:$L$23,1)))+(COUNTIF(G2408:I2408,"?*")&lt;N(INDEX(Setup!$L$6:$L$23,1)))+(COUNTIF(K2408:M2408,"?*")&lt;N(INDEX(Setup!$L$6:$L$23,1)))+(COUNTIF(O2408:Q2408,"?*")&lt;N(INDEX(Setup!$L$6:$L$23,1)))+(COUNTIF(S2408:U2408,"?*")&lt;N(INDEX(Setup!$L$6:$L$23,1)))+((W2408="")*(INDEX(Setup!$M$6:$M$23,1)="Y"))+((Y2408="")*(INDEX(Setup!$M$6:$M$23,1)="Y")))</f>
        <v/>
      </c>
      <c r="AC2408" s="90">
        <f>IF($B2408="","",IF(AB2408=0,"✓ covered","⚠ "&amp;AB2408&amp;IF(AB2408=1," gap"," gaps")))</f>
        <v/>
      </c>
    </row>
    <row r="2409" ht="17" customHeight="1">
      <c r="A2409" t="n">
        <v>49</v>
      </c>
      <c r="B2409" s="29">
        <f>IF(Setup!$K$7="","",Setup!$K$7)</f>
        <v/>
      </c>
      <c r="C2409" s="88" t="n"/>
      <c r="D2409" s="88" t="n"/>
      <c r="E2409" s="88" t="n"/>
      <c r="F2409" s="89" t="n"/>
      <c r="G2409" s="88" t="n"/>
      <c r="H2409" s="88" t="n"/>
      <c r="I2409" s="88" t="n"/>
      <c r="J2409" s="89" t="n"/>
      <c r="K2409" s="88" t="n"/>
      <c r="L2409" s="88" t="n"/>
      <c r="M2409" s="88" t="n"/>
      <c r="N2409" s="89" t="n"/>
      <c r="O2409" s="88" t="n"/>
      <c r="P2409" s="88" t="n"/>
      <c r="Q2409" s="88" t="n"/>
      <c r="R2409" s="89" t="n"/>
      <c r="S2409" s="88" t="n"/>
      <c r="T2409" s="88" t="n"/>
      <c r="U2409" s="88" t="n"/>
      <c r="V2409" s="89" t="n"/>
      <c r="W2409" s="88" t="n"/>
      <c r="X2409" s="89" t="n"/>
      <c r="Y2409" s="88" t="n"/>
      <c r="Z2409" s="89" t="n"/>
      <c r="AB2409" s="30">
        <f>IF($B2409="","",(COUNTIF(C2409:E2409,"?*")&lt;N(INDEX(Setup!$L$6:$L$23,2)))+(COUNTIF(G2409:I2409,"?*")&lt;N(INDEX(Setup!$L$6:$L$23,2)))+(COUNTIF(K2409:M2409,"?*")&lt;N(INDEX(Setup!$L$6:$L$23,2)))+(COUNTIF(O2409:Q2409,"?*")&lt;N(INDEX(Setup!$L$6:$L$23,2)))+(COUNTIF(S2409:U2409,"?*")&lt;N(INDEX(Setup!$L$6:$L$23,2)))+((W2409="")*(INDEX(Setup!$M$6:$M$23,2)="Y"))+((Y2409="")*(INDEX(Setup!$M$6:$M$23,2)="Y")))</f>
        <v/>
      </c>
      <c r="AC2409" s="91">
        <f>IF($B2409="","",IF(AB2409=0,"✓ covered","⚠ "&amp;AB2409&amp;IF(AB2409=1," gap"," gaps")))</f>
        <v/>
      </c>
    </row>
    <row r="2410" ht="17" customHeight="1">
      <c r="A2410" t="n">
        <v>49</v>
      </c>
      <c r="B2410" s="24">
        <f>IF(Setup!$K$8="","",Setup!$K$8)</f>
        <v/>
      </c>
      <c r="C2410" s="88" t="n"/>
      <c r="D2410" s="88" t="n"/>
      <c r="E2410" s="88" t="n"/>
      <c r="F2410" s="89" t="n"/>
      <c r="G2410" s="88" t="n"/>
      <c r="H2410" s="88" t="n"/>
      <c r="I2410" s="88" t="n"/>
      <c r="J2410" s="89" t="n"/>
      <c r="K2410" s="88" t="n"/>
      <c r="L2410" s="88" t="n"/>
      <c r="M2410" s="88" t="n"/>
      <c r="N2410" s="89" t="n"/>
      <c r="O2410" s="88" t="n"/>
      <c r="P2410" s="88" t="n"/>
      <c r="Q2410" s="88" t="n"/>
      <c r="R2410" s="89" t="n"/>
      <c r="S2410" s="88" t="n"/>
      <c r="T2410" s="88" t="n"/>
      <c r="U2410" s="88" t="n"/>
      <c r="V2410" s="89" t="n"/>
      <c r="W2410" s="88" t="n"/>
      <c r="X2410" s="89" t="n"/>
      <c r="Y2410" s="88" t="n"/>
      <c r="Z2410" s="89" t="n"/>
      <c r="AB2410" s="25">
        <f>IF($B2410="","",(COUNTIF(C2410:E2410,"?*")&lt;N(INDEX(Setup!$L$6:$L$23,3)))+(COUNTIF(G2410:I2410,"?*")&lt;N(INDEX(Setup!$L$6:$L$23,3)))+(COUNTIF(K2410:M2410,"?*")&lt;N(INDEX(Setup!$L$6:$L$23,3)))+(COUNTIF(O2410:Q2410,"?*")&lt;N(INDEX(Setup!$L$6:$L$23,3)))+(COUNTIF(S2410:U2410,"?*")&lt;N(INDEX(Setup!$L$6:$L$23,3)))+((W2410="")*(INDEX(Setup!$M$6:$M$23,3)="Y"))+((Y2410="")*(INDEX(Setup!$M$6:$M$23,3)="Y")))</f>
        <v/>
      </c>
      <c r="AC2410" s="90">
        <f>IF($B2410="","",IF(AB2410=0,"✓ covered","⚠ "&amp;AB2410&amp;IF(AB2410=1," gap"," gaps")))</f>
        <v/>
      </c>
    </row>
    <row r="2411" ht="17" customHeight="1">
      <c r="A2411" t="n">
        <v>49</v>
      </c>
      <c r="B2411" s="29">
        <f>IF(Setup!$K$9="","",Setup!$K$9)</f>
        <v/>
      </c>
      <c r="C2411" s="88" t="n"/>
      <c r="D2411" s="88" t="n"/>
      <c r="E2411" s="88" t="n"/>
      <c r="F2411" s="89" t="n"/>
      <c r="G2411" s="88" t="n"/>
      <c r="H2411" s="88" t="n"/>
      <c r="I2411" s="88" t="n"/>
      <c r="J2411" s="89" t="n"/>
      <c r="K2411" s="88" t="n"/>
      <c r="L2411" s="88" t="n"/>
      <c r="M2411" s="88" t="n"/>
      <c r="N2411" s="89" t="n"/>
      <c r="O2411" s="88" t="n"/>
      <c r="P2411" s="88" t="n"/>
      <c r="Q2411" s="88" t="n"/>
      <c r="R2411" s="89" t="n"/>
      <c r="S2411" s="88" t="n"/>
      <c r="T2411" s="88" t="n"/>
      <c r="U2411" s="88" t="n"/>
      <c r="V2411" s="89" t="n"/>
      <c r="W2411" s="88" t="n"/>
      <c r="X2411" s="89" t="n"/>
      <c r="Y2411" s="88" t="n"/>
      <c r="Z2411" s="89" t="n"/>
      <c r="AB2411" s="30">
        <f>IF($B2411="","",(COUNTIF(C2411:E2411,"?*")&lt;N(INDEX(Setup!$L$6:$L$23,4)))+(COUNTIF(G2411:I2411,"?*")&lt;N(INDEX(Setup!$L$6:$L$23,4)))+(COUNTIF(K2411:M2411,"?*")&lt;N(INDEX(Setup!$L$6:$L$23,4)))+(COUNTIF(O2411:Q2411,"?*")&lt;N(INDEX(Setup!$L$6:$L$23,4)))+(COUNTIF(S2411:U2411,"?*")&lt;N(INDEX(Setup!$L$6:$L$23,4)))+((W2411="")*(INDEX(Setup!$M$6:$M$23,4)="Y"))+((Y2411="")*(INDEX(Setup!$M$6:$M$23,4)="Y")))</f>
        <v/>
      </c>
      <c r="AC2411" s="91">
        <f>IF($B2411="","",IF(AB2411=0,"✓ covered","⚠ "&amp;AB2411&amp;IF(AB2411=1," gap"," gaps")))</f>
        <v/>
      </c>
    </row>
    <row r="2412" ht="17" customHeight="1">
      <c r="A2412" t="n">
        <v>49</v>
      </c>
      <c r="B2412" s="24">
        <f>IF(Setup!$K$10="","",Setup!$K$10)</f>
        <v/>
      </c>
      <c r="C2412" s="88" t="n"/>
      <c r="D2412" s="88" t="n"/>
      <c r="E2412" s="88" t="n"/>
      <c r="F2412" s="89" t="n"/>
      <c r="G2412" s="88" t="n"/>
      <c r="H2412" s="88" t="n"/>
      <c r="I2412" s="88" t="n"/>
      <c r="J2412" s="89" t="n"/>
      <c r="K2412" s="88" t="n"/>
      <c r="L2412" s="88" t="n"/>
      <c r="M2412" s="88" t="n"/>
      <c r="N2412" s="89" t="n"/>
      <c r="O2412" s="88" t="n"/>
      <c r="P2412" s="88" t="n"/>
      <c r="Q2412" s="88" t="n"/>
      <c r="R2412" s="89" t="n"/>
      <c r="S2412" s="88" t="n"/>
      <c r="T2412" s="88" t="n"/>
      <c r="U2412" s="88" t="n"/>
      <c r="V2412" s="89" t="n"/>
      <c r="W2412" s="88" t="n"/>
      <c r="X2412" s="89" t="n"/>
      <c r="Y2412" s="88" t="n"/>
      <c r="Z2412" s="89" t="n"/>
      <c r="AB2412" s="25">
        <f>IF($B2412="","",(COUNTIF(C2412:E2412,"?*")&lt;N(INDEX(Setup!$L$6:$L$23,5)))+(COUNTIF(G2412:I2412,"?*")&lt;N(INDEX(Setup!$L$6:$L$23,5)))+(COUNTIF(K2412:M2412,"?*")&lt;N(INDEX(Setup!$L$6:$L$23,5)))+(COUNTIF(O2412:Q2412,"?*")&lt;N(INDEX(Setup!$L$6:$L$23,5)))+(COUNTIF(S2412:U2412,"?*")&lt;N(INDEX(Setup!$L$6:$L$23,5)))+((W2412="")*(INDEX(Setup!$M$6:$M$23,5)="Y"))+((Y2412="")*(INDEX(Setup!$M$6:$M$23,5)="Y")))</f>
        <v/>
      </c>
      <c r="AC2412" s="90">
        <f>IF($B2412="","",IF(AB2412=0,"✓ covered","⚠ "&amp;AB2412&amp;IF(AB2412=1," gap"," gaps")))</f>
        <v/>
      </c>
    </row>
    <row r="2413" ht="17" customHeight="1">
      <c r="A2413" t="n">
        <v>49</v>
      </c>
      <c r="B2413" s="29">
        <f>IF(Setup!$K$11="","",Setup!$K$11)</f>
        <v/>
      </c>
      <c r="C2413" s="88" t="n"/>
      <c r="D2413" s="88" t="n"/>
      <c r="E2413" s="88" t="n"/>
      <c r="F2413" s="89" t="n"/>
      <c r="G2413" s="88" t="n"/>
      <c r="H2413" s="88" t="n"/>
      <c r="I2413" s="88" t="n"/>
      <c r="J2413" s="89" t="n"/>
      <c r="K2413" s="88" t="n"/>
      <c r="L2413" s="88" t="n"/>
      <c r="M2413" s="88" t="n"/>
      <c r="N2413" s="89" t="n"/>
      <c r="O2413" s="88" t="n"/>
      <c r="P2413" s="88" t="n"/>
      <c r="Q2413" s="88" t="n"/>
      <c r="R2413" s="89" t="n"/>
      <c r="S2413" s="88" t="n"/>
      <c r="T2413" s="88" t="n"/>
      <c r="U2413" s="88" t="n"/>
      <c r="V2413" s="89" t="n"/>
      <c r="W2413" s="88" t="n"/>
      <c r="X2413" s="89" t="n"/>
      <c r="Y2413" s="88" t="n"/>
      <c r="Z2413" s="89" t="n"/>
      <c r="AB2413" s="30">
        <f>IF($B2413="","",(COUNTIF(C2413:E2413,"?*")&lt;N(INDEX(Setup!$L$6:$L$23,6)))+(COUNTIF(G2413:I2413,"?*")&lt;N(INDEX(Setup!$L$6:$L$23,6)))+(COUNTIF(K2413:M2413,"?*")&lt;N(INDEX(Setup!$L$6:$L$23,6)))+(COUNTIF(O2413:Q2413,"?*")&lt;N(INDEX(Setup!$L$6:$L$23,6)))+(COUNTIF(S2413:U2413,"?*")&lt;N(INDEX(Setup!$L$6:$L$23,6)))+((W2413="")*(INDEX(Setup!$M$6:$M$23,6)="Y"))+((Y2413="")*(INDEX(Setup!$M$6:$M$23,6)="Y")))</f>
        <v/>
      </c>
      <c r="AC2413" s="91">
        <f>IF($B2413="","",IF(AB2413=0,"✓ covered","⚠ "&amp;AB2413&amp;IF(AB2413=1," gap"," gaps")))</f>
        <v/>
      </c>
    </row>
    <row r="2414" ht="17" customHeight="1">
      <c r="A2414" t="n">
        <v>49</v>
      </c>
      <c r="B2414" s="24">
        <f>IF(Setup!$K$12="","",Setup!$K$12)</f>
        <v/>
      </c>
      <c r="C2414" s="88" t="n"/>
      <c r="D2414" s="88" t="n"/>
      <c r="E2414" s="88" t="n"/>
      <c r="F2414" s="89" t="n"/>
      <c r="G2414" s="88" t="n"/>
      <c r="H2414" s="88" t="n"/>
      <c r="I2414" s="88" t="n"/>
      <c r="J2414" s="89" t="n"/>
      <c r="K2414" s="88" t="n"/>
      <c r="L2414" s="88" t="n"/>
      <c r="M2414" s="88" t="n"/>
      <c r="N2414" s="89" t="n"/>
      <c r="O2414" s="88" t="n"/>
      <c r="P2414" s="88" t="n"/>
      <c r="Q2414" s="88" t="n"/>
      <c r="R2414" s="89" t="n"/>
      <c r="S2414" s="88" t="n"/>
      <c r="T2414" s="88" t="n"/>
      <c r="U2414" s="88" t="n"/>
      <c r="V2414" s="89" t="n"/>
      <c r="W2414" s="88" t="n"/>
      <c r="X2414" s="89" t="n"/>
      <c r="Y2414" s="88" t="n"/>
      <c r="Z2414" s="89" t="n"/>
      <c r="AB2414" s="25">
        <f>IF($B2414="","",(COUNTIF(C2414:E2414,"?*")&lt;N(INDEX(Setup!$L$6:$L$23,7)))+(COUNTIF(G2414:I2414,"?*")&lt;N(INDEX(Setup!$L$6:$L$23,7)))+(COUNTIF(K2414:M2414,"?*")&lt;N(INDEX(Setup!$L$6:$L$23,7)))+(COUNTIF(O2414:Q2414,"?*")&lt;N(INDEX(Setup!$L$6:$L$23,7)))+(COUNTIF(S2414:U2414,"?*")&lt;N(INDEX(Setup!$L$6:$L$23,7)))+((W2414="")*(INDEX(Setup!$M$6:$M$23,7)="Y"))+((Y2414="")*(INDEX(Setup!$M$6:$M$23,7)="Y")))</f>
        <v/>
      </c>
      <c r="AC2414" s="90">
        <f>IF($B2414="","",IF(AB2414=0,"✓ covered","⚠ "&amp;AB2414&amp;IF(AB2414=1," gap"," gaps")))</f>
        <v/>
      </c>
    </row>
    <row r="2415" ht="17" customHeight="1">
      <c r="A2415" t="n">
        <v>49</v>
      </c>
      <c r="B2415" s="29">
        <f>IF(Setup!$K$13="","",Setup!$K$13)</f>
        <v/>
      </c>
      <c r="C2415" s="88" t="n"/>
      <c r="D2415" s="88" t="n"/>
      <c r="E2415" s="88" t="n"/>
      <c r="F2415" s="89" t="n"/>
      <c r="G2415" s="88" t="n"/>
      <c r="H2415" s="88" t="n"/>
      <c r="I2415" s="88" t="n"/>
      <c r="J2415" s="89" t="n"/>
      <c r="K2415" s="88" t="n"/>
      <c r="L2415" s="88" t="n"/>
      <c r="M2415" s="88" t="n"/>
      <c r="N2415" s="89" t="n"/>
      <c r="O2415" s="88" t="n"/>
      <c r="P2415" s="88" t="n"/>
      <c r="Q2415" s="88" t="n"/>
      <c r="R2415" s="89" t="n"/>
      <c r="S2415" s="88" t="n"/>
      <c r="T2415" s="88" t="n"/>
      <c r="U2415" s="88" t="n"/>
      <c r="V2415" s="89" t="n"/>
      <c r="W2415" s="88" t="n"/>
      <c r="X2415" s="89" t="n"/>
      <c r="Y2415" s="88" t="n"/>
      <c r="Z2415" s="89" t="n"/>
      <c r="AB2415" s="30">
        <f>IF($B2415="","",(COUNTIF(C2415:E2415,"?*")&lt;N(INDEX(Setup!$L$6:$L$23,8)))+(COUNTIF(G2415:I2415,"?*")&lt;N(INDEX(Setup!$L$6:$L$23,8)))+(COUNTIF(K2415:M2415,"?*")&lt;N(INDEX(Setup!$L$6:$L$23,8)))+(COUNTIF(O2415:Q2415,"?*")&lt;N(INDEX(Setup!$L$6:$L$23,8)))+(COUNTIF(S2415:U2415,"?*")&lt;N(INDEX(Setup!$L$6:$L$23,8)))+((W2415="")*(INDEX(Setup!$M$6:$M$23,8)="Y"))+((Y2415="")*(INDEX(Setup!$M$6:$M$23,8)="Y")))</f>
        <v/>
      </c>
      <c r="AC2415" s="91">
        <f>IF($B2415="","",IF(AB2415=0,"✓ covered","⚠ "&amp;AB2415&amp;IF(AB2415=1," gap"," gaps")))</f>
        <v/>
      </c>
    </row>
    <row r="2416" ht="17" customHeight="1">
      <c r="A2416" t="n">
        <v>49</v>
      </c>
      <c r="B2416" s="24">
        <f>IF(Setup!$K$14="","",Setup!$K$14)</f>
        <v/>
      </c>
      <c r="C2416" s="88" t="n"/>
      <c r="D2416" s="88" t="n"/>
      <c r="E2416" s="88" t="n"/>
      <c r="F2416" s="89" t="n"/>
      <c r="G2416" s="88" t="n"/>
      <c r="H2416" s="88" t="n"/>
      <c r="I2416" s="88" t="n"/>
      <c r="J2416" s="89" t="n"/>
      <c r="K2416" s="88" t="n"/>
      <c r="L2416" s="88" t="n"/>
      <c r="M2416" s="88" t="n"/>
      <c r="N2416" s="89" t="n"/>
      <c r="O2416" s="88" t="n"/>
      <c r="P2416" s="88" t="n"/>
      <c r="Q2416" s="88" t="n"/>
      <c r="R2416" s="89" t="n"/>
      <c r="S2416" s="88" t="n"/>
      <c r="T2416" s="88" t="n"/>
      <c r="U2416" s="88" t="n"/>
      <c r="V2416" s="89" t="n"/>
      <c r="W2416" s="88" t="n"/>
      <c r="X2416" s="89" t="n"/>
      <c r="Y2416" s="88" t="n"/>
      <c r="Z2416" s="89" t="n"/>
      <c r="AB2416" s="25">
        <f>IF($B2416="","",(COUNTIF(C2416:E2416,"?*")&lt;N(INDEX(Setup!$L$6:$L$23,9)))+(COUNTIF(G2416:I2416,"?*")&lt;N(INDEX(Setup!$L$6:$L$23,9)))+(COUNTIF(K2416:M2416,"?*")&lt;N(INDEX(Setup!$L$6:$L$23,9)))+(COUNTIF(O2416:Q2416,"?*")&lt;N(INDEX(Setup!$L$6:$L$23,9)))+(COUNTIF(S2416:U2416,"?*")&lt;N(INDEX(Setup!$L$6:$L$23,9)))+((W2416="")*(INDEX(Setup!$M$6:$M$23,9)="Y"))+((Y2416="")*(INDEX(Setup!$M$6:$M$23,9)="Y")))</f>
        <v/>
      </c>
      <c r="AC2416" s="90">
        <f>IF($B2416="","",IF(AB2416=0,"✓ covered","⚠ "&amp;AB2416&amp;IF(AB2416=1," gap"," gaps")))</f>
        <v/>
      </c>
    </row>
    <row r="2417" ht="17" customHeight="1">
      <c r="A2417" t="n">
        <v>49</v>
      </c>
      <c r="B2417" s="29">
        <f>IF(Setup!$K$15="","",Setup!$K$15)</f>
        <v/>
      </c>
      <c r="C2417" s="88" t="n"/>
      <c r="D2417" s="88" t="n"/>
      <c r="E2417" s="88" t="n"/>
      <c r="F2417" s="89" t="n"/>
      <c r="G2417" s="88" t="n"/>
      <c r="H2417" s="88" t="n"/>
      <c r="I2417" s="88" t="n"/>
      <c r="J2417" s="89" t="n"/>
      <c r="K2417" s="88" t="n"/>
      <c r="L2417" s="88" t="n"/>
      <c r="M2417" s="88" t="n"/>
      <c r="N2417" s="89" t="n"/>
      <c r="O2417" s="88" t="n"/>
      <c r="P2417" s="88" t="n"/>
      <c r="Q2417" s="88" t="n"/>
      <c r="R2417" s="89" t="n"/>
      <c r="S2417" s="88" t="n"/>
      <c r="T2417" s="88" t="n"/>
      <c r="U2417" s="88" t="n"/>
      <c r="V2417" s="89" t="n"/>
      <c r="W2417" s="88" t="n"/>
      <c r="X2417" s="89" t="n"/>
      <c r="Y2417" s="88" t="n"/>
      <c r="Z2417" s="89" t="n"/>
      <c r="AB2417" s="30">
        <f>IF($B2417="","",(COUNTIF(C2417:E2417,"?*")&lt;N(INDEX(Setup!$L$6:$L$23,10)))+(COUNTIF(G2417:I2417,"?*")&lt;N(INDEX(Setup!$L$6:$L$23,10)))+(COUNTIF(K2417:M2417,"?*")&lt;N(INDEX(Setup!$L$6:$L$23,10)))+(COUNTIF(O2417:Q2417,"?*")&lt;N(INDEX(Setup!$L$6:$L$23,10)))+(COUNTIF(S2417:U2417,"?*")&lt;N(INDEX(Setup!$L$6:$L$23,10)))+((W2417="")*(INDEX(Setup!$M$6:$M$23,10)="Y"))+((Y2417="")*(INDEX(Setup!$M$6:$M$23,10)="Y")))</f>
        <v/>
      </c>
      <c r="AC2417" s="91">
        <f>IF($B2417="","",IF(AB2417=0,"✓ covered","⚠ "&amp;AB2417&amp;IF(AB2417=1," gap"," gaps")))</f>
        <v/>
      </c>
    </row>
    <row r="2418" ht="17" customHeight="1">
      <c r="A2418" t="n">
        <v>49</v>
      </c>
      <c r="B2418" s="24">
        <f>IF(Setup!$K$16="","",Setup!$K$16)</f>
        <v/>
      </c>
      <c r="C2418" s="88" t="n"/>
      <c r="D2418" s="88" t="n"/>
      <c r="E2418" s="88" t="n"/>
      <c r="F2418" s="89" t="n"/>
      <c r="G2418" s="88" t="n"/>
      <c r="H2418" s="88" t="n"/>
      <c r="I2418" s="88" t="n"/>
      <c r="J2418" s="89" t="n"/>
      <c r="K2418" s="88" t="n"/>
      <c r="L2418" s="88" t="n"/>
      <c r="M2418" s="88" t="n"/>
      <c r="N2418" s="89" t="n"/>
      <c r="O2418" s="88" t="n"/>
      <c r="P2418" s="88" t="n"/>
      <c r="Q2418" s="88" t="n"/>
      <c r="R2418" s="89" t="n"/>
      <c r="S2418" s="88" t="n"/>
      <c r="T2418" s="88" t="n"/>
      <c r="U2418" s="88" t="n"/>
      <c r="V2418" s="89" t="n"/>
      <c r="W2418" s="88" t="n"/>
      <c r="X2418" s="89" t="n"/>
      <c r="Y2418" s="88" t="n"/>
      <c r="Z2418" s="89" t="n"/>
      <c r="AB2418" s="25">
        <f>IF($B2418="","",(COUNTIF(C2418:E2418,"?*")&lt;N(INDEX(Setup!$L$6:$L$23,11)))+(COUNTIF(G2418:I2418,"?*")&lt;N(INDEX(Setup!$L$6:$L$23,11)))+(COUNTIF(K2418:M2418,"?*")&lt;N(INDEX(Setup!$L$6:$L$23,11)))+(COUNTIF(O2418:Q2418,"?*")&lt;N(INDEX(Setup!$L$6:$L$23,11)))+(COUNTIF(S2418:U2418,"?*")&lt;N(INDEX(Setup!$L$6:$L$23,11)))+((W2418="")*(INDEX(Setup!$M$6:$M$23,11)="Y"))+((Y2418="")*(INDEX(Setup!$M$6:$M$23,11)="Y")))</f>
        <v/>
      </c>
      <c r="AC2418" s="90">
        <f>IF($B2418="","",IF(AB2418=0,"✓ covered","⚠ "&amp;AB2418&amp;IF(AB2418=1," gap"," gaps")))</f>
        <v/>
      </c>
    </row>
    <row r="2419" ht="17" customHeight="1">
      <c r="A2419" t="n">
        <v>49</v>
      </c>
      <c r="B2419" s="29">
        <f>IF(Setup!$K$17="","",Setup!$K$17)</f>
        <v/>
      </c>
      <c r="C2419" s="88" t="n"/>
      <c r="D2419" s="88" t="n"/>
      <c r="E2419" s="88" t="n"/>
      <c r="F2419" s="89" t="n"/>
      <c r="G2419" s="88" t="n"/>
      <c r="H2419" s="88" t="n"/>
      <c r="I2419" s="88" t="n"/>
      <c r="J2419" s="89" t="n"/>
      <c r="K2419" s="88" t="n"/>
      <c r="L2419" s="88" t="n"/>
      <c r="M2419" s="88" t="n"/>
      <c r="N2419" s="89" t="n"/>
      <c r="O2419" s="88" t="n"/>
      <c r="P2419" s="88" t="n"/>
      <c r="Q2419" s="88" t="n"/>
      <c r="R2419" s="89" t="n"/>
      <c r="S2419" s="88" t="n"/>
      <c r="T2419" s="88" t="n"/>
      <c r="U2419" s="88" t="n"/>
      <c r="V2419" s="89" t="n"/>
      <c r="W2419" s="88" t="n"/>
      <c r="X2419" s="89" t="n"/>
      <c r="Y2419" s="88" t="n"/>
      <c r="Z2419" s="89" t="n"/>
      <c r="AB2419" s="30">
        <f>IF($B2419="","",(COUNTIF(C2419:E2419,"?*")&lt;N(INDEX(Setup!$L$6:$L$23,12)))+(COUNTIF(G2419:I2419,"?*")&lt;N(INDEX(Setup!$L$6:$L$23,12)))+(COUNTIF(K2419:M2419,"?*")&lt;N(INDEX(Setup!$L$6:$L$23,12)))+(COUNTIF(O2419:Q2419,"?*")&lt;N(INDEX(Setup!$L$6:$L$23,12)))+(COUNTIF(S2419:U2419,"?*")&lt;N(INDEX(Setup!$L$6:$L$23,12)))+((W2419="")*(INDEX(Setup!$M$6:$M$23,12)="Y"))+((Y2419="")*(INDEX(Setup!$M$6:$M$23,12)="Y")))</f>
        <v/>
      </c>
      <c r="AC2419" s="91">
        <f>IF($B2419="","",IF(AB2419=0,"✓ covered","⚠ "&amp;AB2419&amp;IF(AB2419=1," gap"," gaps")))</f>
        <v/>
      </c>
    </row>
    <row r="2420" ht="17" customHeight="1">
      <c r="A2420" t="n">
        <v>49</v>
      </c>
      <c r="B2420" s="24">
        <f>IF(Setup!$K$18="","",Setup!$K$18)</f>
        <v/>
      </c>
      <c r="C2420" s="88" t="n"/>
      <c r="D2420" s="88" t="n"/>
      <c r="E2420" s="88" t="n"/>
      <c r="F2420" s="89" t="n"/>
      <c r="G2420" s="88" t="n"/>
      <c r="H2420" s="88" t="n"/>
      <c r="I2420" s="88" t="n"/>
      <c r="J2420" s="89" t="n"/>
      <c r="K2420" s="88" t="n"/>
      <c r="L2420" s="88" t="n"/>
      <c r="M2420" s="88" t="n"/>
      <c r="N2420" s="89" t="n"/>
      <c r="O2420" s="88" t="n"/>
      <c r="P2420" s="88" t="n"/>
      <c r="Q2420" s="88" t="n"/>
      <c r="R2420" s="89" t="n"/>
      <c r="S2420" s="88" t="n"/>
      <c r="T2420" s="88" t="n"/>
      <c r="U2420" s="88" t="n"/>
      <c r="V2420" s="89" t="n"/>
      <c r="W2420" s="88" t="n"/>
      <c r="X2420" s="89" t="n"/>
      <c r="Y2420" s="88" t="n"/>
      <c r="Z2420" s="89" t="n"/>
      <c r="AB2420" s="25">
        <f>IF($B2420="","",(COUNTIF(C2420:E2420,"?*")&lt;N(INDEX(Setup!$L$6:$L$23,13)))+(COUNTIF(G2420:I2420,"?*")&lt;N(INDEX(Setup!$L$6:$L$23,13)))+(COUNTIF(K2420:M2420,"?*")&lt;N(INDEX(Setup!$L$6:$L$23,13)))+(COUNTIF(O2420:Q2420,"?*")&lt;N(INDEX(Setup!$L$6:$L$23,13)))+(COUNTIF(S2420:U2420,"?*")&lt;N(INDEX(Setup!$L$6:$L$23,13)))+((W2420="")*(INDEX(Setup!$M$6:$M$23,13)="Y"))+((Y2420="")*(INDEX(Setup!$M$6:$M$23,13)="Y")))</f>
        <v/>
      </c>
      <c r="AC2420" s="90">
        <f>IF($B2420="","",IF(AB2420=0,"✓ covered","⚠ "&amp;AB2420&amp;IF(AB2420=1," gap"," gaps")))</f>
        <v/>
      </c>
    </row>
    <row r="2421" ht="17" customHeight="1">
      <c r="A2421" t="n">
        <v>49</v>
      </c>
      <c r="B2421" s="29">
        <f>IF(Setup!$K$19="","",Setup!$K$19)</f>
        <v/>
      </c>
      <c r="C2421" s="88" t="n"/>
      <c r="D2421" s="88" t="n"/>
      <c r="E2421" s="88" t="n"/>
      <c r="F2421" s="89" t="n"/>
      <c r="G2421" s="88" t="n"/>
      <c r="H2421" s="88" t="n"/>
      <c r="I2421" s="88" t="n"/>
      <c r="J2421" s="89" t="n"/>
      <c r="K2421" s="88" t="n"/>
      <c r="L2421" s="88" t="n"/>
      <c r="M2421" s="88" t="n"/>
      <c r="N2421" s="89" t="n"/>
      <c r="O2421" s="88" t="n"/>
      <c r="P2421" s="88" t="n"/>
      <c r="Q2421" s="88" t="n"/>
      <c r="R2421" s="89" t="n"/>
      <c r="S2421" s="88" t="n"/>
      <c r="T2421" s="88" t="n"/>
      <c r="U2421" s="88" t="n"/>
      <c r="V2421" s="89" t="n"/>
      <c r="W2421" s="88" t="n"/>
      <c r="X2421" s="89" t="n"/>
      <c r="Y2421" s="88" t="n"/>
      <c r="Z2421" s="89" t="n"/>
      <c r="AB2421" s="30">
        <f>IF($B2421="","",(COUNTIF(C2421:E2421,"?*")&lt;N(INDEX(Setup!$L$6:$L$23,14)))+(COUNTIF(G2421:I2421,"?*")&lt;N(INDEX(Setup!$L$6:$L$23,14)))+(COUNTIF(K2421:M2421,"?*")&lt;N(INDEX(Setup!$L$6:$L$23,14)))+(COUNTIF(O2421:Q2421,"?*")&lt;N(INDEX(Setup!$L$6:$L$23,14)))+(COUNTIF(S2421:U2421,"?*")&lt;N(INDEX(Setup!$L$6:$L$23,14)))+((W2421="")*(INDEX(Setup!$M$6:$M$23,14)="Y"))+((Y2421="")*(INDEX(Setup!$M$6:$M$23,14)="Y")))</f>
        <v/>
      </c>
      <c r="AC2421" s="91">
        <f>IF($B2421="","",IF(AB2421=0,"✓ covered","⚠ "&amp;AB2421&amp;IF(AB2421=1," gap"," gaps")))</f>
        <v/>
      </c>
    </row>
    <row r="2422" ht="17" customHeight="1">
      <c r="A2422" t="n">
        <v>49</v>
      </c>
      <c r="B2422" s="24">
        <f>IF(Setup!$K$20="","",Setup!$K$20)</f>
        <v/>
      </c>
      <c r="C2422" s="88" t="n"/>
      <c r="D2422" s="88" t="n"/>
      <c r="E2422" s="88" t="n"/>
      <c r="F2422" s="89" t="n"/>
      <c r="G2422" s="88" t="n"/>
      <c r="H2422" s="88" t="n"/>
      <c r="I2422" s="88" t="n"/>
      <c r="J2422" s="89" t="n"/>
      <c r="K2422" s="88" t="n"/>
      <c r="L2422" s="88" t="n"/>
      <c r="M2422" s="88" t="n"/>
      <c r="N2422" s="89" t="n"/>
      <c r="O2422" s="88" t="n"/>
      <c r="P2422" s="88" t="n"/>
      <c r="Q2422" s="88" t="n"/>
      <c r="R2422" s="89" t="n"/>
      <c r="S2422" s="88" t="n"/>
      <c r="T2422" s="88" t="n"/>
      <c r="U2422" s="88" t="n"/>
      <c r="V2422" s="89" t="n"/>
      <c r="W2422" s="88" t="n"/>
      <c r="X2422" s="89" t="n"/>
      <c r="Y2422" s="88" t="n"/>
      <c r="Z2422" s="89" t="n"/>
      <c r="AB2422" s="25">
        <f>IF($B2422="","",(COUNTIF(C2422:E2422,"?*")&lt;N(INDEX(Setup!$L$6:$L$23,15)))+(COUNTIF(G2422:I2422,"?*")&lt;N(INDEX(Setup!$L$6:$L$23,15)))+(COUNTIF(K2422:M2422,"?*")&lt;N(INDEX(Setup!$L$6:$L$23,15)))+(COUNTIF(O2422:Q2422,"?*")&lt;N(INDEX(Setup!$L$6:$L$23,15)))+(COUNTIF(S2422:U2422,"?*")&lt;N(INDEX(Setup!$L$6:$L$23,15)))+((W2422="")*(INDEX(Setup!$M$6:$M$23,15)="Y"))+((Y2422="")*(INDEX(Setup!$M$6:$M$23,15)="Y")))</f>
        <v/>
      </c>
      <c r="AC2422" s="90">
        <f>IF($B2422="","",IF(AB2422=0,"✓ covered","⚠ "&amp;AB2422&amp;IF(AB2422=1," gap"," gaps")))</f>
        <v/>
      </c>
    </row>
    <row r="2423" ht="17" customHeight="1">
      <c r="A2423" t="n">
        <v>49</v>
      </c>
      <c r="B2423" s="29">
        <f>IF(Setup!$K$21="","",Setup!$K$21)</f>
        <v/>
      </c>
      <c r="C2423" s="88" t="n"/>
      <c r="D2423" s="88" t="n"/>
      <c r="E2423" s="88" t="n"/>
      <c r="F2423" s="89" t="n"/>
      <c r="G2423" s="88" t="n"/>
      <c r="H2423" s="88" t="n"/>
      <c r="I2423" s="88" t="n"/>
      <c r="J2423" s="89" t="n"/>
      <c r="K2423" s="88" t="n"/>
      <c r="L2423" s="88" t="n"/>
      <c r="M2423" s="88" t="n"/>
      <c r="N2423" s="89" t="n"/>
      <c r="O2423" s="88" t="n"/>
      <c r="P2423" s="88" t="n"/>
      <c r="Q2423" s="88" t="n"/>
      <c r="R2423" s="89" t="n"/>
      <c r="S2423" s="88" t="n"/>
      <c r="T2423" s="88" t="n"/>
      <c r="U2423" s="88" t="n"/>
      <c r="V2423" s="89" t="n"/>
      <c r="W2423" s="88" t="n"/>
      <c r="X2423" s="89" t="n"/>
      <c r="Y2423" s="88" t="n"/>
      <c r="Z2423" s="89" t="n"/>
      <c r="AB2423" s="30">
        <f>IF($B2423="","",(COUNTIF(C2423:E2423,"?*")&lt;N(INDEX(Setup!$L$6:$L$23,16)))+(COUNTIF(G2423:I2423,"?*")&lt;N(INDEX(Setup!$L$6:$L$23,16)))+(COUNTIF(K2423:M2423,"?*")&lt;N(INDEX(Setup!$L$6:$L$23,16)))+(COUNTIF(O2423:Q2423,"?*")&lt;N(INDEX(Setup!$L$6:$L$23,16)))+(COUNTIF(S2423:U2423,"?*")&lt;N(INDEX(Setup!$L$6:$L$23,16)))+((W2423="")*(INDEX(Setup!$M$6:$M$23,16)="Y"))+((Y2423="")*(INDEX(Setup!$M$6:$M$23,16)="Y")))</f>
        <v/>
      </c>
      <c r="AC2423" s="91">
        <f>IF($B2423="","",IF(AB2423=0,"✓ covered","⚠ "&amp;AB2423&amp;IF(AB2423=1," gap"," gaps")))</f>
        <v/>
      </c>
    </row>
    <row r="2424" ht="17" customHeight="1">
      <c r="A2424" t="n">
        <v>49</v>
      </c>
      <c r="B2424" s="24">
        <f>IF(Setup!$K$22="","",Setup!$K$22)</f>
        <v/>
      </c>
      <c r="C2424" s="88" t="n"/>
      <c r="D2424" s="88" t="n"/>
      <c r="E2424" s="88" t="n"/>
      <c r="F2424" s="89" t="n"/>
      <c r="G2424" s="88" t="n"/>
      <c r="H2424" s="88" t="n"/>
      <c r="I2424" s="88" t="n"/>
      <c r="J2424" s="89" t="n"/>
      <c r="K2424" s="88" t="n"/>
      <c r="L2424" s="88" t="n"/>
      <c r="M2424" s="88" t="n"/>
      <c r="N2424" s="89" t="n"/>
      <c r="O2424" s="88" t="n"/>
      <c r="P2424" s="88" t="n"/>
      <c r="Q2424" s="88" t="n"/>
      <c r="R2424" s="89" t="n"/>
      <c r="S2424" s="88" t="n"/>
      <c r="T2424" s="88" t="n"/>
      <c r="U2424" s="88" t="n"/>
      <c r="V2424" s="89" t="n"/>
      <c r="W2424" s="88" t="n"/>
      <c r="X2424" s="89" t="n"/>
      <c r="Y2424" s="88" t="n"/>
      <c r="Z2424" s="89" t="n"/>
      <c r="AB2424" s="25">
        <f>IF($B2424="","",(COUNTIF(C2424:E2424,"?*")&lt;N(INDEX(Setup!$L$6:$L$23,17)))+(COUNTIF(G2424:I2424,"?*")&lt;N(INDEX(Setup!$L$6:$L$23,17)))+(COUNTIF(K2424:M2424,"?*")&lt;N(INDEX(Setup!$L$6:$L$23,17)))+(COUNTIF(O2424:Q2424,"?*")&lt;N(INDEX(Setup!$L$6:$L$23,17)))+(COUNTIF(S2424:U2424,"?*")&lt;N(INDEX(Setup!$L$6:$L$23,17)))+((W2424="")*(INDEX(Setup!$M$6:$M$23,17)="Y"))+((Y2424="")*(INDEX(Setup!$M$6:$M$23,17)="Y")))</f>
        <v/>
      </c>
      <c r="AC2424" s="90">
        <f>IF($B2424="","",IF(AB2424=0,"✓ covered","⚠ "&amp;AB2424&amp;IF(AB2424=1," gap"," gaps")))</f>
        <v/>
      </c>
    </row>
    <row r="2425" ht="17" customHeight="1">
      <c r="A2425" t="n">
        <v>49</v>
      </c>
      <c r="B2425" s="29">
        <f>IF(Setup!$K$23="","",Setup!$K$23)</f>
        <v/>
      </c>
      <c r="C2425" s="88" t="n"/>
      <c r="D2425" s="88" t="n"/>
      <c r="E2425" s="88" t="n"/>
      <c r="F2425" s="89" t="n"/>
      <c r="G2425" s="88" t="n"/>
      <c r="H2425" s="88" t="n"/>
      <c r="I2425" s="88" t="n"/>
      <c r="J2425" s="89" t="n"/>
      <c r="K2425" s="88" t="n"/>
      <c r="L2425" s="88" t="n"/>
      <c r="M2425" s="88" t="n"/>
      <c r="N2425" s="89" t="n"/>
      <c r="O2425" s="88" t="n"/>
      <c r="P2425" s="88" t="n"/>
      <c r="Q2425" s="88" t="n"/>
      <c r="R2425" s="89" t="n"/>
      <c r="S2425" s="88" t="n"/>
      <c r="T2425" s="88" t="n"/>
      <c r="U2425" s="88" t="n"/>
      <c r="V2425" s="89" t="n"/>
      <c r="W2425" s="88" t="n"/>
      <c r="X2425" s="89" t="n"/>
      <c r="Y2425" s="88" t="n"/>
      <c r="Z2425" s="89" t="n"/>
      <c r="AB2425" s="30">
        <f>IF($B2425="","",(COUNTIF(C2425:E2425,"?*")&lt;N(INDEX(Setup!$L$6:$L$23,18)))+(COUNTIF(G2425:I2425,"?*")&lt;N(INDEX(Setup!$L$6:$L$23,18)))+(COUNTIF(K2425:M2425,"?*")&lt;N(INDEX(Setup!$L$6:$L$23,18)))+(COUNTIF(O2425:Q2425,"?*")&lt;N(INDEX(Setup!$L$6:$L$23,18)))+(COUNTIF(S2425:U2425,"?*")&lt;N(INDEX(Setup!$L$6:$L$23,18)))+((W2425="")*(INDEX(Setup!$M$6:$M$23,18)="Y"))+((Y2425="")*(INDEX(Setup!$M$6:$M$23,18)="Y")))</f>
        <v/>
      </c>
      <c r="AC2425" s="91">
        <f>IF($B2425="","",IF(AB2425=0,"✓ covered","⚠ "&amp;AB2425&amp;IF(AB2425=1," gap"," gaps")))</f>
        <v/>
      </c>
    </row>
    <row r="2426" ht="18" customHeight="1">
      <c r="A2426" t="n">
        <v>49</v>
      </c>
      <c r="B2426" s="78" t="inlineStr">
        <is>
          <t>TEAM AVAILABILITY</t>
        </is>
      </c>
      <c r="C2426" s="92" t="inlineStr">
        <is>
          <t>Mon</t>
        </is>
      </c>
      <c r="D2426" s="93" t="n"/>
      <c r="E2426" s="93" t="n"/>
      <c r="F2426" s="94" t="n"/>
      <c r="G2426" s="92" t="inlineStr">
        <is>
          <t>Tue</t>
        </is>
      </c>
      <c r="H2426" s="93" t="n"/>
      <c r="I2426" s="93" t="n"/>
      <c r="J2426" s="94" t="n"/>
      <c r="K2426" s="92" t="inlineStr">
        <is>
          <t>Wed</t>
        </is>
      </c>
      <c r="L2426" s="93" t="n"/>
      <c r="M2426" s="93" t="n"/>
      <c r="N2426" s="94" t="n"/>
      <c r="O2426" s="92" t="inlineStr">
        <is>
          <t>Thu</t>
        </is>
      </c>
      <c r="P2426" s="93" t="n"/>
      <c r="Q2426" s="93" t="n"/>
      <c r="R2426" s="94" t="n"/>
      <c r="S2426" s="92" t="inlineStr">
        <is>
          <t>Fri</t>
        </is>
      </c>
      <c r="T2426" s="93" t="n"/>
      <c r="U2426" s="93" t="n"/>
      <c r="V2426" s="94" t="n"/>
      <c r="W2426" s="95" t="inlineStr">
        <is>
          <t>Sat</t>
        </is>
      </c>
      <c r="X2426" s="96" t="n"/>
      <c r="Y2426" s="95" t="inlineStr">
        <is>
          <t>Sun</t>
        </is>
      </c>
      <c r="Z2426" s="96" t="n"/>
      <c r="AB2426" s="97" t="inlineStr">
        <is>
          <t>Days rostered</t>
        </is>
      </c>
      <c r="AC2426" s="97" t="inlineStr">
        <is>
          <t>Conflicts</t>
        </is>
      </c>
    </row>
    <row r="2427" ht="15" customHeight="1">
      <c r="A2427" t="n">
        <v>49</v>
      </c>
      <c r="B2427" s="35">
        <f>IF(Setup!$B$6="","",Setup!$B$6)</f>
        <v/>
      </c>
      <c r="C2427" s="98" t="n"/>
      <c r="D2427" s="99" t="n"/>
      <c r="E2427" s="99" t="n"/>
      <c r="F2427" s="100" t="n"/>
      <c r="G2427" s="98" t="n"/>
      <c r="H2427" s="99" t="n"/>
      <c r="I2427" s="99" t="n"/>
      <c r="J2427" s="100" t="n"/>
      <c r="K2427" s="98" t="n"/>
      <c r="L2427" s="99" t="n"/>
      <c r="M2427" s="99" t="n"/>
      <c r="N2427" s="100" t="n"/>
      <c r="O2427" s="98" t="n"/>
      <c r="P2427" s="99" t="n"/>
      <c r="Q2427" s="99" t="n"/>
      <c r="R2427" s="100" t="n"/>
      <c r="S2427" s="98" t="n"/>
      <c r="T2427" s="99" t="n"/>
      <c r="U2427" s="99" t="n"/>
      <c r="V2427" s="100" t="n"/>
      <c r="W2427" s="98" t="n"/>
      <c r="X2427" s="100" t="n"/>
      <c r="Y2427" s="98" t="n"/>
      <c r="Z2427" s="100" t="n"/>
      <c r="AB2427" s="101">
        <f>IF($B2427="","",(COUNTIF(C2408:E2425,$B2427)+COUNTIF(C2408:E2425,$B2427&amp;" ~*")&gt;0)+(COUNTIF(G2408:I2425,$B2427)+COUNTIF(G2408:I2425,$B2427&amp;" ~*")&gt;0)+(COUNTIF(K2408:M2425,$B2427)+COUNTIF(K2408:M2425,$B2427&amp;" ~*")&gt;0)+(COUNTIF(O2408:Q2425,$B2427)+COUNTIF(O2408:Q2425,$B2427&amp;" ~*")&gt;0)+(COUNTIF(S2408:U2425,$B2427)+COUNTIF(S2408:U2425,$B2427&amp;" ~*")&gt;0)+(COUNTIF(W2408:W2425,$B2427)+COUNTIF(W2408:W2425,$B2427&amp;" ~*")&gt;0)+(COUNTIF(Y2408:Y2425,$B2427)+COUNTIF(Y2408:Y2425,$B2427&amp;" ~*")&gt;0))</f>
        <v/>
      </c>
      <c r="AC2427" s="36">
        <f>IF($B2427="","",(IFERROR(INDEX(Setup!$G$33:$G$40,MATCH(C2427,Setup!$B$33:$B$40,0)),0)=1)*(COUNTIF(C2408:E2425,$B2427)+COUNTIF(C2408:E2425,$B2427&amp;" ~*")&gt;0)+(IFERROR(INDEX(Setup!$G$33:$G$40,MATCH(G2427,Setup!$B$33:$B$40,0)),0)=1)*(COUNTIF(G2408:I2425,$B2427)+COUNTIF(G2408:I2425,$B2427&amp;" ~*")&gt;0)+(IFERROR(INDEX(Setup!$G$33:$G$40,MATCH(K2427,Setup!$B$33:$B$40,0)),0)=1)*(COUNTIF(K2408:M2425,$B2427)+COUNTIF(K2408:M2425,$B2427&amp;" ~*")&gt;0)+(IFERROR(INDEX(Setup!$G$33:$G$40,MATCH(O2427,Setup!$B$33:$B$40,0)),0)=1)*(COUNTIF(O2408:Q2425,$B2427)+COUNTIF(O2408:Q2425,$B2427&amp;" ~*")&gt;0)+(IFERROR(INDEX(Setup!$G$33:$G$40,MATCH(S2427,Setup!$B$33:$B$40,0)),0)=1)*(COUNTIF(S2408:U2425,$B2427)+COUNTIF(S2408:U2425,$B2427&amp;" ~*")&gt;0)+(IFERROR(INDEX(Setup!$G$33:$G$40,MATCH(W2427,Setup!$B$33:$B$40,0)),0)=1)*(COUNTIF(W2408:W2425,$B2427)+COUNTIF(W2408:W2425,$B2427&amp;" ~*")&gt;0)+(IFERROR(INDEX(Setup!$G$33:$G$40,MATCH(Y2427,Setup!$B$33:$B$40,0)),0)=1)*(COUNTIF(Y2408:Y2425,$B2427)+COUNTIF(Y2408:Y2425,$B2427&amp;" ~*")&gt;0))</f>
        <v/>
      </c>
    </row>
    <row r="2428" ht="15" customHeight="1">
      <c r="A2428" t="n">
        <v>49</v>
      </c>
      <c r="B2428" s="37">
        <f>IF(Setup!$B$7="","",Setup!$B$7)</f>
        <v/>
      </c>
      <c r="C2428" s="102" t="n"/>
      <c r="D2428" s="103" t="n"/>
      <c r="E2428" s="103" t="n"/>
      <c r="F2428" s="104" t="n"/>
      <c r="G2428" s="102" t="n"/>
      <c r="H2428" s="103" t="n"/>
      <c r="I2428" s="103" t="n"/>
      <c r="J2428" s="104" t="n"/>
      <c r="K2428" s="102" t="n"/>
      <c r="L2428" s="103" t="n"/>
      <c r="M2428" s="103" t="n"/>
      <c r="N2428" s="104" t="n"/>
      <c r="O2428" s="102" t="n"/>
      <c r="P2428" s="103" t="n"/>
      <c r="Q2428" s="103" t="n"/>
      <c r="R2428" s="104" t="n"/>
      <c r="S2428" s="102" t="n"/>
      <c r="T2428" s="103" t="n"/>
      <c r="U2428" s="103" t="n"/>
      <c r="V2428" s="104" t="n"/>
      <c r="W2428" s="102" t="n"/>
      <c r="X2428" s="104" t="n"/>
      <c r="Y2428" s="102" t="n"/>
      <c r="Z2428" s="104" t="n"/>
      <c r="AB2428" s="105">
        <f>IF($B2428="","",(COUNTIF(C2408:E2425,$B2428)+COUNTIF(C2408:E2425,$B2428&amp;" ~*")&gt;0)+(COUNTIF(G2408:I2425,$B2428)+COUNTIF(G2408:I2425,$B2428&amp;" ~*")&gt;0)+(COUNTIF(K2408:M2425,$B2428)+COUNTIF(K2408:M2425,$B2428&amp;" ~*")&gt;0)+(COUNTIF(O2408:Q2425,$B2428)+COUNTIF(O2408:Q2425,$B2428&amp;" ~*")&gt;0)+(COUNTIF(S2408:U2425,$B2428)+COUNTIF(S2408:U2425,$B2428&amp;" ~*")&gt;0)+(COUNTIF(W2408:W2425,$B2428)+COUNTIF(W2408:W2425,$B2428&amp;" ~*")&gt;0)+(COUNTIF(Y2408:Y2425,$B2428)+COUNTIF(Y2408:Y2425,$B2428&amp;" ~*")&gt;0))</f>
        <v/>
      </c>
      <c r="AC2428" s="38">
        <f>IF($B2428="","",(IFERROR(INDEX(Setup!$G$33:$G$40,MATCH(C2428,Setup!$B$33:$B$40,0)),0)=1)*(COUNTIF(C2408:E2425,$B2428)+COUNTIF(C2408:E2425,$B2428&amp;" ~*")&gt;0)+(IFERROR(INDEX(Setup!$G$33:$G$40,MATCH(G2428,Setup!$B$33:$B$40,0)),0)=1)*(COUNTIF(G2408:I2425,$B2428)+COUNTIF(G2408:I2425,$B2428&amp;" ~*")&gt;0)+(IFERROR(INDEX(Setup!$G$33:$G$40,MATCH(K2428,Setup!$B$33:$B$40,0)),0)=1)*(COUNTIF(K2408:M2425,$B2428)+COUNTIF(K2408:M2425,$B2428&amp;" ~*")&gt;0)+(IFERROR(INDEX(Setup!$G$33:$G$40,MATCH(O2428,Setup!$B$33:$B$40,0)),0)=1)*(COUNTIF(O2408:Q2425,$B2428)+COUNTIF(O2408:Q2425,$B2428&amp;" ~*")&gt;0)+(IFERROR(INDEX(Setup!$G$33:$G$40,MATCH(S2428,Setup!$B$33:$B$40,0)),0)=1)*(COUNTIF(S2408:U2425,$B2428)+COUNTIF(S2408:U2425,$B2428&amp;" ~*")&gt;0)+(IFERROR(INDEX(Setup!$G$33:$G$40,MATCH(W2428,Setup!$B$33:$B$40,0)),0)=1)*(COUNTIF(W2408:W2425,$B2428)+COUNTIF(W2408:W2425,$B2428&amp;" ~*")&gt;0)+(IFERROR(INDEX(Setup!$G$33:$G$40,MATCH(Y2428,Setup!$B$33:$B$40,0)),0)=1)*(COUNTIF(Y2408:Y2425,$B2428)+COUNTIF(Y2408:Y2425,$B2428&amp;" ~*")&gt;0))</f>
        <v/>
      </c>
    </row>
    <row r="2429" ht="15" customHeight="1">
      <c r="A2429" t="n">
        <v>49</v>
      </c>
      <c r="B2429" s="35">
        <f>IF(Setup!$B$8="","",Setup!$B$8)</f>
        <v/>
      </c>
      <c r="C2429" s="98" t="n"/>
      <c r="D2429" s="99" t="n"/>
      <c r="E2429" s="99" t="n"/>
      <c r="F2429" s="100" t="n"/>
      <c r="G2429" s="98" t="n"/>
      <c r="H2429" s="99" t="n"/>
      <c r="I2429" s="99" t="n"/>
      <c r="J2429" s="100" t="n"/>
      <c r="K2429" s="98" t="n"/>
      <c r="L2429" s="99" t="n"/>
      <c r="M2429" s="99" t="n"/>
      <c r="N2429" s="100" t="n"/>
      <c r="O2429" s="98" t="n"/>
      <c r="P2429" s="99" t="n"/>
      <c r="Q2429" s="99" t="n"/>
      <c r="R2429" s="100" t="n"/>
      <c r="S2429" s="98" t="n"/>
      <c r="T2429" s="99" t="n"/>
      <c r="U2429" s="99" t="n"/>
      <c r="V2429" s="100" t="n"/>
      <c r="W2429" s="98" t="n"/>
      <c r="X2429" s="100" t="n"/>
      <c r="Y2429" s="98" t="n"/>
      <c r="Z2429" s="100" t="n"/>
      <c r="AB2429" s="101">
        <f>IF($B2429="","",(COUNTIF(C2408:E2425,$B2429)+COUNTIF(C2408:E2425,$B2429&amp;" ~*")&gt;0)+(COUNTIF(G2408:I2425,$B2429)+COUNTIF(G2408:I2425,$B2429&amp;" ~*")&gt;0)+(COUNTIF(K2408:M2425,$B2429)+COUNTIF(K2408:M2425,$B2429&amp;" ~*")&gt;0)+(COUNTIF(O2408:Q2425,$B2429)+COUNTIF(O2408:Q2425,$B2429&amp;" ~*")&gt;0)+(COUNTIF(S2408:U2425,$B2429)+COUNTIF(S2408:U2425,$B2429&amp;" ~*")&gt;0)+(COUNTIF(W2408:W2425,$B2429)+COUNTIF(W2408:W2425,$B2429&amp;" ~*")&gt;0)+(COUNTIF(Y2408:Y2425,$B2429)+COUNTIF(Y2408:Y2425,$B2429&amp;" ~*")&gt;0))</f>
        <v/>
      </c>
      <c r="AC2429" s="36">
        <f>IF($B2429="","",(IFERROR(INDEX(Setup!$G$33:$G$40,MATCH(C2429,Setup!$B$33:$B$40,0)),0)=1)*(COUNTIF(C2408:E2425,$B2429)+COUNTIF(C2408:E2425,$B2429&amp;" ~*")&gt;0)+(IFERROR(INDEX(Setup!$G$33:$G$40,MATCH(G2429,Setup!$B$33:$B$40,0)),0)=1)*(COUNTIF(G2408:I2425,$B2429)+COUNTIF(G2408:I2425,$B2429&amp;" ~*")&gt;0)+(IFERROR(INDEX(Setup!$G$33:$G$40,MATCH(K2429,Setup!$B$33:$B$40,0)),0)=1)*(COUNTIF(K2408:M2425,$B2429)+COUNTIF(K2408:M2425,$B2429&amp;" ~*")&gt;0)+(IFERROR(INDEX(Setup!$G$33:$G$40,MATCH(O2429,Setup!$B$33:$B$40,0)),0)=1)*(COUNTIF(O2408:Q2425,$B2429)+COUNTIF(O2408:Q2425,$B2429&amp;" ~*")&gt;0)+(IFERROR(INDEX(Setup!$G$33:$G$40,MATCH(S2429,Setup!$B$33:$B$40,0)),0)=1)*(COUNTIF(S2408:U2425,$B2429)+COUNTIF(S2408:U2425,$B2429&amp;" ~*")&gt;0)+(IFERROR(INDEX(Setup!$G$33:$G$40,MATCH(W2429,Setup!$B$33:$B$40,0)),0)=1)*(COUNTIF(W2408:W2425,$B2429)+COUNTIF(W2408:W2425,$B2429&amp;" ~*")&gt;0)+(IFERROR(INDEX(Setup!$G$33:$G$40,MATCH(Y2429,Setup!$B$33:$B$40,0)),0)=1)*(COUNTIF(Y2408:Y2425,$B2429)+COUNTIF(Y2408:Y2425,$B2429&amp;" ~*")&gt;0))</f>
        <v/>
      </c>
    </row>
    <row r="2430" ht="15" customHeight="1">
      <c r="A2430" t="n">
        <v>49</v>
      </c>
      <c r="B2430" s="37">
        <f>IF(Setup!$B$9="","",Setup!$B$9)</f>
        <v/>
      </c>
      <c r="C2430" s="102" t="n"/>
      <c r="D2430" s="103" t="n"/>
      <c r="E2430" s="103" t="n"/>
      <c r="F2430" s="104" t="n"/>
      <c r="G2430" s="102" t="n"/>
      <c r="H2430" s="103" t="n"/>
      <c r="I2430" s="103" t="n"/>
      <c r="J2430" s="104" t="n"/>
      <c r="K2430" s="102" t="n"/>
      <c r="L2430" s="103" t="n"/>
      <c r="M2430" s="103" t="n"/>
      <c r="N2430" s="104" t="n"/>
      <c r="O2430" s="102" t="n"/>
      <c r="P2430" s="103" t="n"/>
      <c r="Q2430" s="103" t="n"/>
      <c r="R2430" s="104" t="n"/>
      <c r="S2430" s="102" t="n"/>
      <c r="T2430" s="103" t="n"/>
      <c r="U2430" s="103" t="n"/>
      <c r="V2430" s="104" t="n"/>
      <c r="W2430" s="102" t="n"/>
      <c r="X2430" s="104" t="n"/>
      <c r="Y2430" s="102" t="n"/>
      <c r="Z2430" s="104" t="n"/>
      <c r="AB2430" s="105">
        <f>IF($B2430="","",(COUNTIF(C2408:E2425,$B2430)+COUNTIF(C2408:E2425,$B2430&amp;" ~*")&gt;0)+(COUNTIF(G2408:I2425,$B2430)+COUNTIF(G2408:I2425,$B2430&amp;" ~*")&gt;0)+(COUNTIF(K2408:M2425,$B2430)+COUNTIF(K2408:M2425,$B2430&amp;" ~*")&gt;0)+(COUNTIF(O2408:Q2425,$B2430)+COUNTIF(O2408:Q2425,$B2430&amp;" ~*")&gt;0)+(COUNTIF(S2408:U2425,$B2430)+COUNTIF(S2408:U2425,$B2430&amp;" ~*")&gt;0)+(COUNTIF(W2408:W2425,$B2430)+COUNTIF(W2408:W2425,$B2430&amp;" ~*")&gt;0)+(COUNTIF(Y2408:Y2425,$B2430)+COUNTIF(Y2408:Y2425,$B2430&amp;" ~*")&gt;0))</f>
        <v/>
      </c>
      <c r="AC2430" s="38">
        <f>IF($B2430="","",(IFERROR(INDEX(Setup!$G$33:$G$40,MATCH(C2430,Setup!$B$33:$B$40,0)),0)=1)*(COUNTIF(C2408:E2425,$B2430)+COUNTIF(C2408:E2425,$B2430&amp;" ~*")&gt;0)+(IFERROR(INDEX(Setup!$G$33:$G$40,MATCH(G2430,Setup!$B$33:$B$40,0)),0)=1)*(COUNTIF(G2408:I2425,$B2430)+COUNTIF(G2408:I2425,$B2430&amp;" ~*")&gt;0)+(IFERROR(INDEX(Setup!$G$33:$G$40,MATCH(K2430,Setup!$B$33:$B$40,0)),0)=1)*(COUNTIF(K2408:M2425,$B2430)+COUNTIF(K2408:M2425,$B2430&amp;" ~*")&gt;0)+(IFERROR(INDEX(Setup!$G$33:$G$40,MATCH(O2430,Setup!$B$33:$B$40,0)),0)=1)*(COUNTIF(O2408:Q2425,$B2430)+COUNTIF(O2408:Q2425,$B2430&amp;" ~*")&gt;0)+(IFERROR(INDEX(Setup!$G$33:$G$40,MATCH(S2430,Setup!$B$33:$B$40,0)),0)=1)*(COUNTIF(S2408:U2425,$B2430)+COUNTIF(S2408:U2425,$B2430&amp;" ~*")&gt;0)+(IFERROR(INDEX(Setup!$G$33:$G$40,MATCH(W2430,Setup!$B$33:$B$40,0)),0)=1)*(COUNTIF(W2408:W2425,$B2430)+COUNTIF(W2408:W2425,$B2430&amp;" ~*")&gt;0)+(IFERROR(INDEX(Setup!$G$33:$G$40,MATCH(Y2430,Setup!$B$33:$B$40,0)),0)=1)*(COUNTIF(Y2408:Y2425,$B2430)+COUNTIF(Y2408:Y2425,$B2430&amp;" ~*")&gt;0))</f>
        <v/>
      </c>
    </row>
    <row r="2431" ht="15" customHeight="1">
      <c r="A2431" t="n">
        <v>49</v>
      </c>
      <c r="B2431" s="35">
        <f>IF(Setup!$B$10="","",Setup!$B$10)</f>
        <v/>
      </c>
      <c r="C2431" s="98" t="n"/>
      <c r="D2431" s="99" t="n"/>
      <c r="E2431" s="99" t="n"/>
      <c r="F2431" s="100" t="n"/>
      <c r="G2431" s="98" t="n"/>
      <c r="H2431" s="99" t="n"/>
      <c r="I2431" s="99" t="n"/>
      <c r="J2431" s="100" t="n"/>
      <c r="K2431" s="98" t="n"/>
      <c r="L2431" s="99" t="n"/>
      <c r="M2431" s="99" t="n"/>
      <c r="N2431" s="100" t="n"/>
      <c r="O2431" s="98" t="n"/>
      <c r="P2431" s="99" t="n"/>
      <c r="Q2431" s="99" t="n"/>
      <c r="R2431" s="100" t="n"/>
      <c r="S2431" s="98" t="n"/>
      <c r="T2431" s="99" t="n"/>
      <c r="U2431" s="99" t="n"/>
      <c r="V2431" s="100" t="n"/>
      <c r="W2431" s="98" t="n"/>
      <c r="X2431" s="100" t="n"/>
      <c r="Y2431" s="98" t="n"/>
      <c r="Z2431" s="100" t="n"/>
      <c r="AB2431" s="101">
        <f>IF($B2431="","",(COUNTIF(C2408:E2425,$B2431)+COUNTIF(C2408:E2425,$B2431&amp;" ~*")&gt;0)+(COUNTIF(G2408:I2425,$B2431)+COUNTIF(G2408:I2425,$B2431&amp;" ~*")&gt;0)+(COUNTIF(K2408:M2425,$B2431)+COUNTIF(K2408:M2425,$B2431&amp;" ~*")&gt;0)+(COUNTIF(O2408:Q2425,$B2431)+COUNTIF(O2408:Q2425,$B2431&amp;" ~*")&gt;0)+(COUNTIF(S2408:U2425,$B2431)+COUNTIF(S2408:U2425,$B2431&amp;" ~*")&gt;0)+(COUNTIF(W2408:W2425,$B2431)+COUNTIF(W2408:W2425,$B2431&amp;" ~*")&gt;0)+(COUNTIF(Y2408:Y2425,$B2431)+COUNTIF(Y2408:Y2425,$B2431&amp;" ~*")&gt;0))</f>
        <v/>
      </c>
      <c r="AC2431" s="36">
        <f>IF($B2431="","",(IFERROR(INDEX(Setup!$G$33:$G$40,MATCH(C2431,Setup!$B$33:$B$40,0)),0)=1)*(COUNTIF(C2408:E2425,$B2431)+COUNTIF(C2408:E2425,$B2431&amp;" ~*")&gt;0)+(IFERROR(INDEX(Setup!$G$33:$G$40,MATCH(G2431,Setup!$B$33:$B$40,0)),0)=1)*(COUNTIF(G2408:I2425,$B2431)+COUNTIF(G2408:I2425,$B2431&amp;" ~*")&gt;0)+(IFERROR(INDEX(Setup!$G$33:$G$40,MATCH(K2431,Setup!$B$33:$B$40,0)),0)=1)*(COUNTIF(K2408:M2425,$B2431)+COUNTIF(K2408:M2425,$B2431&amp;" ~*")&gt;0)+(IFERROR(INDEX(Setup!$G$33:$G$40,MATCH(O2431,Setup!$B$33:$B$40,0)),0)=1)*(COUNTIF(O2408:Q2425,$B2431)+COUNTIF(O2408:Q2425,$B2431&amp;" ~*")&gt;0)+(IFERROR(INDEX(Setup!$G$33:$G$40,MATCH(S2431,Setup!$B$33:$B$40,0)),0)=1)*(COUNTIF(S2408:U2425,$B2431)+COUNTIF(S2408:U2425,$B2431&amp;" ~*")&gt;0)+(IFERROR(INDEX(Setup!$G$33:$G$40,MATCH(W2431,Setup!$B$33:$B$40,0)),0)=1)*(COUNTIF(W2408:W2425,$B2431)+COUNTIF(W2408:W2425,$B2431&amp;" ~*")&gt;0)+(IFERROR(INDEX(Setup!$G$33:$G$40,MATCH(Y2431,Setup!$B$33:$B$40,0)),0)=1)*(COUNTIF(Y2408:Y2425,$B2431)+COUNTIF(Y2408:Y2425,$B2431&amp;" ~*")&gt;0))</f>
        <v/>
      </c>
    </row>
    <row r="2432" ht="15" customHeight="1">
      <c r="A2432" t="n">
        <v>49</v>
      </c>
      <c r="B2432" s="37">
        <f>IF(Setup!$B$11="","",Setup!$B$11)</f>
        <v/>
      </c>
      <c r="C2432" s="102" t="n"/>
      <c r="D2432" s="103" t="n"/>
      <c r="E2432" s="103" t="n"/>
      <c r="F2432" s="104" t="n"/>
      <c r="G2432" s="102" t="n"/>
      <c r="H2432" s="103" t="n"/>
      <c r="I2432" s="103" t="n"/>
      <c r="J2432" s="104" t="n"/>
      <c r="K2432" s="102" t="n"/>
      <c r="L2432" s="103" t="n"/>
      <c r="M2432" s="103" t="n"/>
      <c r="N2432" s="104" t="n"/>
      <c r="O2432" s="102" t="n"/>
      <c r="P2432" s="103" t="n"/>
      <c r="Q2432" s="103" t="n"/>
      <c r="R2432" s="104" t="n"/>
      <c r="S2432" s="102" t="n"/>
      <c r="T2432" s="103" t="n"/>
      <c r="U2432" s="103" t="n"/>
      <c r="V2432" s="104" t="n"/>
      <c r="W2432" s="102" t="n"/>
      <c r="X2432" s="104" t="n"/>
      <c r="Y2432" s="102" t="n"/>
      <c r="Z2432" s="104" t="n"/>
      <c r="AB2432" s="105">
        <f>IF($B2432="","",(COUNTIF(C2408:E2425,$B2432)+COUNTIF(C2408:E2425,$B2432&amp;" ~*")&gt;0)+(COUNTIF(G2408:I2425,$B2432)+COUNTIF(G2408:I2425,$B2432&amp;" ~*")&gt;0)+(COUNTIF(K2408:M2425,$B2432)+COUNTIF(K2408:M2425,$B2432&amp;" ~*")&gt;0)+(COUNTIF(O2408:Q2425,$B2432)+COUNTIF(O2408:Q2425,$B2432&amp;" ~*")&gt;0)+(COUNTIF(S2408:U2425,$B2432)+COUNTIF(S2408:U2425,$B2432&amp;" ~*")&gt;0)+(COUNTIF(W2408:W2425,$B2432)+COUNTIF(W2408:W2425,$B2432&amp;" ~*")&gt;0)+(COUNTIF(Y2408:Y2425,$B2432)+COUNTIF(Y2408:Y2425,$B2432&amp;" ~*")&gt;0))</f>
        <v/>
      </c>
      <c r="AC2432" s="38">
        <f>IF($B2432="","",(IFERROR(INDEX(Setup!$G$33:$G$40,MATCH(C2432,Setup!$B$33:$B$40,0)),0)=1)*(COUNTIF(C2408:E2425,$B2432)+COUNTIF(C2408:E2425,$B2432&amp;" ~*")&gt;0)+(IFERROR(INDEX(Setup!$G$33:$G$40,MATCH(G2432,Setup!$B$33:$B$40,0)),0)=1)*(COUNTIF(G2408:I2425,$B2432)+COUNTIF(G2408:I2425,$B2432&amp;" ~*")&gt;0)+(IFERROR(INDEX(Setup!$G$33:$G$40,MATCH(K2432,Setup!$B$33:$B$40,0)),0)=1)*(COUNTIF(K2408:M2425,$B2432)+COUNTIF(K2408:M2425,$B2432&amp;" ~*")&gt;0)+(IFERROR(INDEX(Setup!$G$33:$G$40,MATCH(O2432,Setup!$B$33:$B$40,0)),0)=1)*(COUNTIF(O2408:Q2425,$B2432)+COUNTIF(O2408:Q2425,$B2432&amp;" ~*")&gt;0)+(IFERROR(INDEX(Setup!$G$33:$G$40,MATCH(S2432,Setup!$B$33:$B$40,0)),0)=1)*(COUNTIF(S2408:U2425,$B2432)+COUNTIF(S2408:U2425,$B2432&amp;" ~*")&gt;0)+(IFERROR(INDEX(Setup!$G$33:$G$40,MATCH(W2432,Setup!$B$33:$B$40,0)),0)=1)*(COUNTIF(W2408:W2425,$B2432)+COUNTIF(W2408:W2425,$B2432&amp;" ~*")&gt;0)+(IFERROR(INDEX(Setup!$G$33:$G$40,MATCH(Y2432,Setup!$B$33:$B$40,0)),0)=1)*(COUNTIF(Y2408:Y2425,$B2432)+COUNTIF(Y2408:Y2425,$B2432&amp;" ~*")&gt;0))</f>
        <v/>
      </c>
    </row>
    <row r="2433" ht="15" customHeight="1">
      <c r="A2433" t="n">
        <v>49</v>
      </c>
      <c r="B2433" s="35">
        <f>IF(Setup!$B$12="","",Setup!$B$12)</f>
        <v/>
      </c>
      <c r="C2433" s="98" t="n"/>
      <c r="D2433" s="99" t="n"/>
      <c r="E2433" s="99" t="n"/>
      <c r="F2433" s="100" t="n"/>
      <c r="G2433" s="98" t="n"/>
      <c r="H2433" s="99" t="n"/>
      <c r="I2433" s="99" t="n"/>
      <c r="J2433" s="100" t="n"/>
      <c r="K2433" s="98" t="n"/>
      <c r="L2433" s="99" t="n"/>
      <c r="M2433" s="99" t="n"/>
      <c r="N2433" s="100" t="n"/>
      <c r="O2433" s="98" t="n"/>
      <c r="P2433" s="99" t="n"/>
      <c r="Q2433" s="99" t="n"/>
      <c r="R2433" s="100" t="n"/>
      <c r="S2433" s="98" t="n"/>
      <c r="T2433" s="99" t="n"/>
      <c r="U2433" s="99" t="n"/>
      <c r="V2433" s="100" t="n"/>
      <c r="W2433" s="98" t="n"/>
      <c r="X2433" s="100" t="n"/>
      <c r="Y2433" s="98" t="n"/>
      <c r="Z2433" s="100" t="n"/>
      <c r="AB2433" s="101">
        <f>IF($B2433="","",(COUNTIF(C2408:E2425,$B2433)+COUNTIF(C2408:E2425,$B2433&amp;" ~*")&gt;0)+(COUNTIF(G2408:I2425,$B2433)+COUNTIF(G2408:I2425,$B2433&amp;" ~*")&gt;0)+(COUNTIF(K2408:M2425,$B2433)+COUNTIF(K2408:M2425,$B2433&amp;" ~*")&gt;0)+(COUNTIF(O2408:Q2425,$B2433)+COUNTIF(O2408:Q2425,$B2433&amp;" ~*")&gt;0)+(COUNTIF(S2408:U2425,$B2433)+COUNTIF(S2408:U2425,$B2433&amp;" ~*")&gt;0)+(COUNTIF(W2408:W2425,$B2433)+COUNTIF(W2408:W2425,$B2433&amp;" ~*")&gt;0)+(COUNTIF(Y2408:Y2425,$B2433)+COUNTIF(Y2408:Y2425,$B2433&amp;" ~*")&gt;0))</f>
        <v/>
      </c>
      <c r="AC2433" s="36">
        <f>IF($B2433="","",(IFERROR(INDEX(Setup!$G$33:$G$40,MATCH(C2433,Setup!$B$33:$B$40,0)),0)=1)*(COUNTIF(C2408:E2425,$B2433)+COUNTIF(C2408:E2425,$B2433&amp;" ~*")&gt;0)+(IFERROR(INDEX(Setup!$G$33:$G$40,MATCH(G2433,Setup!$B$33:$B$40,0)),0)=1)*(COUNTIF(G2408:I2425,$B2433)+COUNTIF(G2408:I2425,$B2433&amp;" ~*")&gt;0)+(IFERROR(INDEX(Setup!$G$33:$G$40,MATCH(K2433,Setup!$B$33:$B$40,0)),0)=1)*(COUNTIF(K2408:M2425,$B2433)+COUNTIF(K2408:M2425,$B2433&amp;" ~*")&gt;0)+(IFERROR(INDEX(Setup!$G$33:$G$40,MATCH(O2433,Setup!$B$33:$B$40,0)),0)=1)*(COUNTIF(O2408:Q2425,$B2433)+COUNTIF(O2408:Q2425,$B2433&amp;" ~*")&gt;0)+(IFERROR(INDEX(Setup!$G$33:$G$40,MATCH(S2433,Setup!$B$33:$B$40,0)),0)=1)*(COUNTIF(S2408:U2425,$B2433)+COUNTIF(S2408:U2425,$B2433&amp;" ~*")&gt;0)+(IFERROR(INDEX(Setup!$G$33:$G$40,MATCH(W2433,Setup!$B$33:$B$40,0)),0)=1)*(COUNTIF(W2408:W2425,$B2433)+COUNTIF(W2408:W2425,$B2433&amp;" ~*")&gt;0)+(IFERROR(INDEX(Setup!$G$33:$G$40,MATCH(Y2433,Setup!$B$33:$B$40,0)),0)=1)*(COUNTIF(Y2408:Y2425,$B2433)+COUNTIF(Y2408:Y2425,$B2433&amp;" ~*")&gt;0))</f>
        <v/>
      </c>
    </row>
    <row r="2434" ht="15" customHeight="1">
      <c r="A2434" t="n">
        <v>49</v>
      </c>
      <c r="B2434" s="37">
        <f>IF(Setup!$B$13="","",Setup!$B$13)</f>
        <v/>
      </c>
      <c r="C2434" s="102" t="n"/>
      <c r="D2434" s="103" t="n"/>
      <c r="E2434" s="103" t="n"/>
      <c r="F2434" s="104" t="n"/>
      <c r="G2434" s="102" t="n"/>
      <c r="H2434" s="103" t="n"/>
      <c r="I2434" s="103" t="n"/>
      <c r="J2434" s="104" t="n"/>
      <c r="K2434" s="102" t="n"/>
      <c r="L2434" s="103" t="n"/>
      <c r="M2434" s="103" t="n"/>
      <c r="N2434" s="104" t="n"/>
      <c r="O2434" s="102" t="n"/>
      <c r="P2434" s="103" t="n"/>
      <c r="Q2434" s="103" t="n"/>
      <c r="R2434" s="104" t="n"/>
      <c r="S2434" s="102" t="n"/>
      <c r="T2434" s="103" t="n"/>
      <c r="U2434" s="103" t="n"/>
      <c r="V2434" s="104" t="n"/>
      <c r="W2434" s="102" t="n"/>
      <c r="X2434" s="104" t="n"/>
      <c r="Y2434" s="102" t="n"/>
      <c r="Z2434" s="104" t="n"/>
      <c r="AB2434" s="105">
        <f>IF($B2434="","",(COUNTIF(C2408:E2425,$B2434)+COUNTIF(C2408:E2425,$B2434&amp;" ~*")&gt;0)+(COUNTIF(G2408:I2425,$B2434)+COUNTIF(G2408:I2425,$B2434&amp;" ~*")&gt;0)+(COUNTIF(K2408:M2425,$B2434)+COUNTIF(K2408:M2425,$B2434&amp;" ~*")&gt;0)+(COUNTIF(O2408:Q2425,$B2434)+COUNTIF(O2408:Q2425,$B2434&amp;" ~*")&gt;0)+(COUNTIF(S2408:U2425,$B2434)+COUNTIF(S2408:U2425,$B2434&amp;" ~*")&gt;0)+(COUNTIF(W2408:W2425,$B2434)+COUNTIF(W2408:W2425,$B2434&amp;" ~*")&gt;0)+(COUNTIF(Y2408:Y2425,$B2434)+COUNTIF(Y2408:Y2425,$B2434&amp;" ~*")&gt;0))</f>
        <v/>
      </c>
      <c r="AC2434" s="38">
        <f>IF($B2434="","",(IFERROR(INDEX(Setup!$G$33:$G$40,MATCH(C2434,Setup!$B$33:$B$40,0)),0)=1)*(COUNTIF(C2408:E2425,$B2434)+COUNTIF(C2408:E2425,$B2434&amp;" ~*")&gt;0)+(IFERROR(INDEX(Setup!$G$33:$G$40,MATCH(G2434,Setup!$B$33:$B$40,0)),0)=1)*(COUNTIF(G2408:I2425,$B2434)+COUNTIF(G2408:I2425,$B2434&amp;" ~*")&gt;0)+(IFERROR(INDEX(Setup!$G$33:$G$40,MATCH(K2434,Setup!$B$33:$B$40,0)),0)=1)*(COUNTIF(K2408:M2425,$B2434)+COUNTIF(K2408:M2425,$B2434&amp;" ~*")&gt;0)+(IFERROR(INDEX(Setup!$G$33:$G$40,MATCH(O2434,Setup!$B$33:$B$40,0)),0)=1)*(COUNTIF(O2408:Q2425,$B2434)+COUNTIF(O2408:Q2425,$B2434&amp;" ~*")&gt;0)+(IFERROR(INDEX(Setup!$G$33:$G$40,MATCH(S2434,Setup!$B$33:$B$40,0)),0)=1)*(COUNTIF(S2408:U2425,$B2434)+COUNTIF(S2408:U2425,$B2434&amp;" ~*")&gt;0)+(IFERROR(INDEX(Setup!$G$33:$G$40,MATCH(W2434,Setup!$B$33:$B$40,0)),0)=1)*(COUNTIF(W2408:W2425,$B2434)+COUNTIF(W2408:W2425,$B2434&amp;" ~*")&gt;0)+(IFERROR(INDEX(Setup!$G$33:$G$40,MATCH(Y2434,Setup!$B$33:$B$40,0)),0)=1)*(COUNTIF(Y2408:Y2425,$B2434)+COUNTIF(Y2408:Y2425,$B2434&amp;" ~*")&gt;0))</f>
        <v/>
      </c>
    </row>
    <row r="2435" ht="15" customHeight="1">
      <c r="A2435" t="n">
        <v>49</v>
      </c>
      <c r="B2435" s="35">
        <f>IF(Setup!$B$14="","",Setup!$B$14)</f>
        <v/>
      </c>
      <c r="C2435" s="98" t="n"/>
      <c r="D2435" s="99" t="n"/>
      <c r="E2435" s="99" t="n"/>
      <c r="F2435" s="100" t="n"/>
      <c r="G2435" s="98" t="n"/>
      <c r="H2435" s="99" t="n"/>
      <c r="I2435" s="99" t="n"/>
      <c r="J2435" s="100" t="n"/>
      <c r="K2435" s="98" t="n"/>
      <c r="L2435" s="99" t="n"/>
      <c r="M2435" s="99" t="n"/>
      <c r="N2435" s="100" t="n"/>
      <c r="O2435" s="98" t="n"/>
      <c r="P2435" s="99" t="n"/>
      <c r="Q2435" s="99" t="n"/>
      <c r="R2435" s="100" t="n"/>
      <c r="S2435" s="98" t="n"/>
      <c r="T2435" s="99" t="n"/>
      <c r="U2435" s="99" t="n"/>
      <c r="V2435" s="100" t="n"/>
      <c r="W2435" s="98" t="n"/>
      <c r="X2435" s="100" t="n"/>
      <c r="Y2435" s="98" t="n"/>
      <c r="Z2435" s="100" t="n"/>
      <c r="AB2435" s="101">
        <f>IF($B2435="","",(COUNTIF(C2408:E2425,$B2435)+COUNTIF(C2408:E2425,$B2435&amp;" ~*")&gt;0)+(COUNTIF(G2408:I2425,$B2435)+COUNTIF(G2408:I2425,$B2435&amp;" ~*")&gt;0)+(COUNTIF(K2408:M2425,$B2435)+COUNTIF(K2408:M2425,$B2435&amp;" ~*")&gt;0)+(COUNTIF(O2408:Q2425,$B2435)+COUNTIF(O2408:Q2425,$B2435&amp;" ~*")&gt;0)+(COUNTIF(S2408:U2425,$B2435)+COUNTIF(S2408:U2425,$B2435&amp;" ~*")&gt;0)+(COUNTIF(W2408:W2425,$B2435)+COUNTIF(W2408:W2425,$B2435&amp;" ~*")&gt;0)+(COUNTIF(Y2408:Y2425,$B2435)+COUNTIF(Y2408:Y2425,$B2435&amp;" ~*")&gt;0))</f>
        <v/>
      </c>
      <c r="AC2435" s="36">
        <f>IF($B2435="","",(IFERROR(INDEX(Setup!$G$33:$G$40,MATCH(C2435,Setup!$B$33:$B$40,0)),0)=1)*(COUNTIF(C2408:E2425,$B2435)+COUNTIF(C2408:E2425,$B2435&amp;" ~*")&gt;0)+(IFERROR(INDEX(Setup!$G$33:$G$40,MATCH(G2435,Setup!$B$33:$B$40,0)),0)=1)*(COUNTIF(G2408:I2425,$B2435)+COUNTIF(G2408:I2425,$B2435&amp;" ~*")&gt;0)+(IFERROR(INDEX(Setup!$G$33:$G$40,MATCH(K2435,Setup!$B$33:$B$40,0)),0)=1)*(COUNTIF(K2408:M2425,$B2435)+COUNTIF(K2408:M2425,$B2435&amp;" ~*")&gt;0)+(IFERROR(INDEX(Setup!$G$33:$G$40,MATCH(O2435,Setup!$B$33:$B$40,0)),0)=1)*(COUNTIF(O2408:Q2425,$B2435)+COUNTIF(O2408:Q2425,$B2435&amp;" ~*")&gt;0)+(IFERROR(INDEX(Setup!$G$33:$G$40,MATCH(S2435,Setup!$B$33:$B$40,0)),0)=1)*(COUNTIF(S2408:U2425,$B2435)+COUNTIF(S2408:U2425,$B2435&amp;" ~*")&gt;0)+(IFERROR(INDEX(Setup!$G$33:$G$40,MATCH(W2435,Setup!$B$33:$B$40,0)),0)=1)*(COUNTIF(W2408:W2425,$B2435)+COUNTIF(W2408:W2425,$B2435&amp;" ~*")&gt;0)+(IFERROR(INDEX(Setup!$G$33:$G$40,MATCH(Y2435,Setup!$B$33:$B$40,0)),0)=1)*(COUNTIF(Y2408:Y2425,$B2435)+COUNTIF(Y2408:Y2425,$B2435&amp;" ~*")&gt;0))</f>
        <v/>
      </c>
    </row>
    <row r="2436" ht="15" customHeight="1">
      <c r="A2436" t="n">
        <v>49</v>
      </c>
      <c r="B2436" s="37">
        <f>IF(Setup!$B$15="","",Setup!$B$15)</f>
        <v/>
      </c>
      <c r="C2436" s="102" t="n"/>
      <c r="D2436" s="103" t="n"/>
      <c r="E2436" s="103" t="n"/>
      <c r="F2436" s="104" t="n"/>
      <c r="G2436" s="102" t="n"/>
      <c r="H2436" s="103" t="n"/>
      <c r="I2436" s="103" t="n"/>
      <c r="J2436" s="104" t="n"/>
      <c r="K2436" s="102" t="n"/>
      <c r="L2436" s="103" t="n"/>
      <c r="M2436" s="103" t="n"/>
      <c r="N2436" s="104" t="n"/>
      <c r="O2436" s="102" t="n"/>
      <c r="P2436" s="103" t="n"/>
      <c r="Q2436" s="103" t="n"/>
      <c r="R2436" s="104" t="n"/>
      <c r="S2436" s="102" t="n"/>
      <c r="T2436" s="103" t="n"/>
      <c r="U2436" s="103" t="n"/>
      <c r="V2436" s="104" t="n"/>
      <c r="W2436" s="102" t="n"/>
      <c r="X2436" s="104" t="n"/>
      <c r="Y2436" s="102" t="n"/>
      <c r="Z2436" s="104" t="n"/>
      <c r="AB2436" s="105">
        <f>IF($B2436="","",(COUNTIF(C2408:E2425,$B2436)+COUNTIF(C2408:E2425,$B2436&amp;" ~*")&gt;0)+(COUNTIF(G2408:I2425,$B2436)+COUNTIF(G2408:I2425,$B2436&amp;" ~*")&gt;0)+(COUNTIF(K2408:M2425,$B2436)+COUNTIF(K2408:M2425,$B2436&amp;" ~*")&gt;0)+(COUNTIF(O2408:Q2425,$B2436)+COUNTIF(O2408:Q2425,$B2436&amp;" ~*")&gt;0)+(COUNTIF(S2408:U2425,$B2436)+COUNTIF(S2408:U2425,$B2436&amp;" ~*")&gt;0)+(COUNTIF(W2408:W2425,$B2436)+COUNTIF(W2408:W2425,$B2436&amp;" ~*")&gt;0)+(COUNTIF(Y2408:Y2425,$B2436)+COUNTIF(Y2408:Y2425,$B2436&amp;" ~*")&gt;0))</f>
        <v/>
      </c>
      <c r="AC2436" s="38">
        <f>IF($B2436="","",(IFERROR(INDEX(Setup!$G$33:$G$40,MATCH(C2436,Setup!$B$33:$B$40,0)),0)=1)*(COUNTIF(C2408:E2425,$B2436)+COUNTIF(C2408:E2425,$B2436&amp;" ~*")&gt;0)+(IFERROR(INDEX(Setup!$G$33:$G$40,MATCH(G2436,Setup!$B$33:$B$40,0)),0)=1)*(COUNTIF(G2408:I2425,$B2436)+COUNTIF(G2408:I2425,$B2436&amp;" ~*")&gt;0)+(IFERROR(INDEX(Setup!$G$33:$G$40,MATCH(K2436,Setup!$B$33:$B$40,0)),0)=1)*(COUNTIF(K2408:M2425,$B2436)+COUNTIF(K2408:M2425,$B2436&amp;" ~*")&gt;0)+(IFERROR(INDEX(Setup!$G$33:$G$40,MATCH(O2436,Setup!$B$33:$B$40,0)),0)=1)*(COUNTIF(O2408:Q2425,$B2436)+COUNTIF(O2408:Q2425,$B2436&amp;" ~*")&gt;0)+(IFERROR(INDEX(Setup!$G$33:$G$40,MATCH(S2436,Setup!$B$33:$B$40,0)),0)=1)*(COUNTIF(S2408:U2425,$B2436)+COUNTIF(S2408:U2425,$B2436&amp;" ~*")&gt;0)+(IFERROR(INDEX(Setup!$G$33:$G$40,MATCH(W2436,Setup!$B$33:$B$40,0)),0)=1)*(COUNTIF(W2408:W2425,$B2436)+COUNTIF(W2408:W2425,$B2436&amp;" ~*")&gt;0)+(IFERROR(INDEX(Setup!$G$33:$G$40,MATCH(Y2436,Setup!$B$33:$B$40,0)),0)=1)*(COUNTIF(Y2408:Y2425,$B2436)+COUNTIF(Y2408:Y2425,$B2436&amp;" ~*")&gt;0))</f>
        <v/>
      </c>
    </row>
    <row r="2437" ht="15" customHeight="1">
      <c r="A2437" t="n">
        <v>49</v>
      </c>
      <c r="B2437" s="35">
        <f>IF(Setup!$B$16="","",Setup!$B$16)</f>
        <v/>
      </c>
      <c r="C2437" s="98" t="n"/>
      <c r="D2437" s="99" t="n"/>
      <c r="E2437" s="99" t="n"/>
      <c r="F2437" s="100" t="n"/>
      <c r="G2437" s="98" t="n"/>
      <c r="H2437" s="99" t="n"/>
      <c r="I2437" s="99" t="n"/>
      <c r="J2437" s="100" t="n"/>
      <c r="K2437" s="98" t="n"/>
      <c r="L2437" s="99" t="n"/>
      <c r="M2437" s="99" t="n"/>
      <c r="N2437" s="100" t="n"/>
      <c r="O2437" s="98" t="n"/>
      <c r="P2437" s="99" t="n"/>
      <c r="Q2437" s="99" t="n"/>
      <c r="R2437" s="100" t="n"/>
      <c r="S2437" s="98" t="n"/>
      <c r="T2437" s="99" t="n"/>
      <c r="U2437" s="99" t="n"/>
      <c r="V2437" s="100" t="n"/>
      <c r="W2437" s="98" t="n"/>
      <c r="X2437" s="100" t="n"/>
      <c r="Y2437" s="98" t="n"/>
      <c r="Z2437" s="100" t="n"/>
      <c r="AB2437" s="101">
        <f>IF($B2437="","",(COUNTIF(C2408:E2425,$B2437)+COUNTIF(C2408:E2425,$B2437&amp;" ~*")&gt;0)+(COUNTIF(G2408:I2425,$B2437)+COUNTIF(G2408:I2425,$B2437&amp;" ~*")&gt;0)+(COUNTIF(K2408:M2425,$B2437)+COUNTIF(K2408:M2425,$B2437&amp;" ~*")&gt;0)+(COUNTIF(O2408:Q2425,$B2437)+COUNTIF(O2408:Q2425,$B2437&amp;" ~*")&gt;0)+(COUNTIF(S2408:U2425,$B2437)+COUNTIF(S2408:U2425,$B2437&amp;" ~*")&gt;0)+(COUNTIF(W2408:W2425,$B2437)+COUNTIF(W2408:W2425,$B2437&amp;" ~*")&gt;0)+(COUNTIF(Y2408:Y2425,$B2437)+COUNTIF(Y2408:Y2425,$B2437&amp;" ~*")&gt;0))</f>
        <v/>
      </c>
      <c r="AC2437" s="36">
        <f>IF($B2437="","",(IFERROR(INDEX(Setup!$G$33:$G$40,MATCH(C2437,Setup!$B$33:$B$40,0)),0)=1)*(COUNTIF(C2408:E2425,$B2437)+COUNTIF(C2408:E2425,$B2437&amp;" ~*")&gt;0)+(IFERROR(INDEX(Setup!$G$33:$G$40,MATCH(G2437,Setup!$B$33:$B$40,0)),0)=1)*(COUNTIF(G2408:I2425,$B2437)+COUNTIF(G2408:I2425,$B2437&amp;" ~*")&gt;0)+(IFERROR(INDEX(Setup!$G$33:$G$40,MATCH(K2437,Setup!$B$33:$B$40,0)),0)=1)*(COUNTIF(K2408:M2425,$B2437)+COUNTIF(K2408:M2425,$B2437&amp;" ~*")&gt;0)+(IFERROR(INDEX(Setup!$G$33:$G$40,MATCH(O2437,Setup!$B$33:$B$40,0)),0)=1)*(COUNTIF(O2408:Q2425,$B2437)+COUNTIF(O2408:Q2425,$B2437&amp;" ~*")&gt;0)+(IFERROR(INDEX(Setup!$G$33:$G$40,MATCH(S2437,Setup!$B$33:$B$40,0)),0)=1)*(COUNTIF(S2408:U2425,$B2437)+COUNTIF(S2408:U2425,$B2437&amp;" ~*")&gt;0)+(IFERROR(INDEX(Setup!$G$33:$G$40,MATCH(W2437,Setup!$B$33:$B$40,0)),0)=1)*(COUNTIF(W2408:W2425,$B2437)+COUNTIF(W2408:W2425,$B2437&amp;" ~*")&gt;0)+(IFERROR(INDEX(Setup!$G$33:$G$40,MATCH(Y2437,Setup!$B$33:$B$40,0)),0)=1)*(COUNTIF(Y2408:Y2425,$B2437)+COUNTIF(Y2408:Y2425,$B2437&amp;" ~*")&gt;0))</f>
        <v/>
      </c>
    </row>
    <row r="2438" ht="15" customHeight="1">
      <c r="A2438" t="n">
        <v>49</v>
      </c>
      <c r="B2438" s="37">
        <f>IF(Setup!$B$17="","",Setup!$B$17)</f>
        <v/>
      </c>
      <c r="C2438" s="102" t="n"/>
      <c r="D2438" s="103" t="n"/>
      <c r="E2438" s="103" t="n"/>
      <c r="F2438" s="104" t="n"/>
      <c r="G2438" s="102" t="n"/>
      <c r="H2438" s="103" t="n"/>
      <c r="I2438" s="103" t="n"/>
      <c r="J2438" s="104" t="n"/>
      <c r="K2438" s="102" t="n"/>
      <c r="L2438" s="103" t="n"/>
      <c r="M2438" s="103" t="n"/>
      <c r="N2438" s="104" t="n"/>
      <c r="O2438" s="102" t="n"/>
      <c r="P2438" s="103" t="n"/>
      <c r="Q2438" s="103" t="n"/>
      <c r="R2438" s="104" t="n"/>
      <c r="S2438" s="102" t="n"/>
      <c r="T2438" s="103" t="n"/>
      <c r="U2438" s="103" t="n"/>
      <c r="V2438" s="104" t="n"/>
      <c r="W2438" s="102" t="n"/>
      <c r="X2438" s="104" t="n"/>
      <c r="Y2438" s="102" t="n"/>
      <c r="Z2438" s="104" t="n"/>
      <c r="AB2438" s="105">
        <f>IF($B2438="","",(COUNTIF(C2408:E2425,$B2438)+COUNTIF(C2408:E2425,$B2438&amp;" ~*")&gt;0)+(COUNTIF(G2408:I2425,$B2438)+COUNTIF(G2408:I2425,$B2438&amp;" ~*")&gt;0)+(COUNTIF(K2408:M2425,$B2438)+COUNTIF(K2408:M2425,$B2438&amp;" ~*")&gt;0)+(COUNTIF(O2408:Q2425,$B2438)+COUNTIF(O2408:Q2425,$B2438&amp;" ~*")&gt;0)+(COUNTIF(S2408:U2425,$B2438)+COUNTIF(S2408:U2425,$B2438&amp;" ~*")&gt;0)+(COUNTIF(W2408:W2425,$B2438)+COUNTIF(W2408:W2425,$B2438&amp;" ~*")&gt;0)+(COUNTIF(Y2408:Y2425,$B2438)+COUNTIF(Y2408:Y2425,$B2438&amp;" ~*")&gt;0))</f>
        <v/>
      </c>
      <c r="AC2438" s="38">
        <f>IF($B2438="","",(IFERROR(INDEX(Setup!$G$33:$G$40,MATCH(C2438,Setup!$B$33:$B$40,0)),0)=1)*(COUNTIF(C2408:E2425,$B2438)+COUNTIF(C2408:E2425,$B2438&amp;" ~*")&gt;0)+(IFERROR(INDEX(Setup!$G$33:$G$40,MATCH(G2438,Setup!$B$33:$B$40,0)),0)=1)*(COUNTIF(G2408:I2425,$B2438)+COUNTIF(G2408:I2425,$B2438&amp;" ~*")&gt;0)+(IFERROR(INDEX(Setup!$G$33:$G$40,MATCH(K2438,Setup!$B$33:$B$40,0)),0)=1)*(COUNTIF(K2408:M2425,$B2438)+COUNTIF(K2408:M2425,$B2438&amp;" ~*")&gt;0)+(IFERROR(INDEX(Setup!$G$33:$G$40,MATCH(O2438,Setup!$B$33:$B$40,0)),0)=1)*(COUNTIF(O2408:Q2425,$B2438)+COUNTIF(O2408:Q2425,$B2438&amp;" ~*")&gt;0)+(IFERROR(INDEX(Setup!$G$33:$G$40,MATCH(S2438,Setup!$B$33:$B$40,0)),0)=1)*(COUNTIF(S2408:U2425,$B2438)+COUNTIF(S2408:U2425,$B2438&amp;" ~*")&gt;0)+(IFERROR(INDEX(Setup!$G$33:$G$40,MATCH(W2438,Setup!$B$33:$B$40,0)),0)=1)*(COUNTIF(W2408:W2425,$B2438)+COUNTIF(W2408:W2425,$B2438&amp;" ~*")&gt;0)+(IFERROR(INDEX(Setup!$G$33:$G$40,MATCH(Y2438,Setup!$B$33:$B$40,0)),0)=1)*(COUNTIF(Y2408:Y2425,$B2438)+COUNTIF(Y2408:Y2425,$B2438&amp;" ~*")&gt;0))</f>
        <v/>
      </c>
    </row>
    <row r="2439" ht="15" customHeight="1">
      <c r="A2439" t="n">
        <v>49</v>
      </c>
      <c r="B2439" s="35">
        <f>IF(Setup!$B$18="","",Setup!$B$18)</f>
        <v/>
      </c>
      <c r="C2439" s="98" t="n"/>
      <c r="D2439" s="99" t="n"/>
      <c r="E2439" s="99" t="n"/>
      <c r="F2439" s="100" t="n"/>
      <c r="G2439" s="98" t="n"/>
      <c r="H2439" s="99" t="n"/>
      <c r="I2439" s="99" t="n"/>
      <c r="J2439" s="100" t="n"/>
      <c r="K2439" s="98" t="n"/>
      <c r="L2439" s="99" t="n"/>
      <c r="M2439" s="99" t="n"/>
      <c r="N2439" s="100" t="n"/>
      <c r="O2439" s="98" t="n"/>
      <c r="P2439" s="99" t="n"/>
      <c r="Q2439" s="99" t="n"/>
      <c r="R2439" s="100" t="n"/>
      <c r="S2439" s="98" t="n"/>
      <c r="T2439" s="99" t="n"/>
      <c r="U2439" s="99" t="n"/>
      <c r="V2439" s="100" t="n"/>
      <c r="W2439" s="98" t="n"/>
      <c r="X2439" s="100" t="n"/>
      <c r="Y2439" s="98" t="n"/>
      <c r="Z2439" s="100" t="n"/>
      <c r="AB2439" s="101">
        <f>IF($B2439="","",(COUNTIF(C2408:E2425,$B2439)+COUNTIF(C2408:E2425,$B2439&amp;" ~*")&gt;0)+(COUNTIF(G2408:I2425,$B2439)+COUNTIF(G2408:I2425,$B2439&amp;" ~*")&gt;0)+(COUNTIF(K2408:M2425,$B2439)+COUNTIF(K2408:M2425,$B2439&amp;" ~*")&gt;0)+(COUNTIF(O2408:Q2425,$B2439)+COUNTIF(O2408:Q2425,$B2439&amp;" ~*")&gt;0)+(COUNTIF(S2408:U2425,$B2439)+COUNTIF(S2408:U2425,$B2439&amp;" ~*")&gt;0)+(COUNTIF(W2408:W2425,$B2439)+COUNTIF(W2408:W2425,$B2439&amp;" ~*")&gt;0)+(COUNTIF(Y2408:Y2425,$B2439)+COUNTIF(Y2408:Y2425,$B2439&amp;" ~*")&gt;0))</f>
        <v/>
      </c>
      <c r="AC2439" s="36">
        <f>IF($B2439="","",(IFERROR(INDEX(Setup!$G$33:$G$40,MATCH(C2439,Setup!$B$33:$B$40,0)),0)=1)*(COUNTIF(C2408:E2425,$B2439)+COUNTIF(C2408:E2425,$B2439&amp;" ~*")&gt;0)+(IFERROR(INDEX(Setup!$G$33:$G$40,MATCH(G2439,Setup!$B$33:$B$40,0)),0)=1)*(COUNTIF(G2408:I2425,$B2439)+COUNTIF(G2408:I2425,$B2439&amp;" ~*")&gt;0)+(IFERROR(INDEX(Setup!$G$33:$G$40,MATCH(K2439,Setup!$B$33:$B$40,0)),0)=1)*(COUNTIF(K2408:M2425,$B2439)+COUNTIF(K2408:M2425,$B2439&amp;" ~*")&gt;0)+(IFERROR(INDEX(Setup!$G$33:$G$40,MATCH(O2439,Setup!$B$33:$B$40,0)),0)=1)*(COUNTIF(O2408:Q2425,$B2439)+COUNTIF(O2408:Q2425,$B2439&amp;" ~*")&gt;0)+(IFERROR(INDEX(Setup!$G$33:$G$40,MATCH(S2439,Setup!$B$33:$B$40,0)),0)=1)*(COUNTIF(S2408:U2425,$B2439)+COUNTIF(S2408:U2425,$B2439&amp;" ~*")&gt;0)+(IFERROR(INDEX(Setup!$G$33:$G$40,MATCH(W2439,Setup!$B$33:$B$40,0)),0)=1)*(COUNTIF(W2408:W2425,$B2439)+COUNTIF(W2408:W2425,$B2439&amp;" ~*")&gt;0)+(IFERROR(INDEX(Setup!$G$33:$G$40,MATCH(Y2439,Setup!$B$33:$B$40,0)),0)=1)*(COUNTIF(Y2408:Y2425,$B2439)+COUNTIF(Y2408:Y2425,$B2439&amp;" ~*")&gt;0))</f>
        <v/>
      </c>
    </row>
    <row r="2440" ht="15" customHeight="1">
      <c r="A2440" t="n">
        <v>49</v>
      </c>
      <c r="B2440" s="37">
        <f>IF(Setup!$B$19="","",Setup!$B$19)</f>
        <v/>
      </c>
      <c r="C2440" s="102" t="n"/>
      <c r="D2440" s="103" t="n"/>
      <c r="E2440" s="103" t="n"/>
      <c r="F2440" s="104" t="n"/>
      <c r="G2440" s="102" t="n"/>
      <c r="H2440" s="103" t="n"/>
      <c r="I2440" s="103" t="n"/>
      <c r="J2440" s="104" t="n"/>
      <c r="K2440" s="102" t="n"/>
      <c r="L2440" s="103" t="n"/>
      <c r="M2440" s="103" t="n"/>
      <c r="N2440" s="104" t="n"/>
      <c r="O2440" s="102" t="n"/>
      <c r="P2440" s="103" t="n"/>
      <c r="Q2440" s="103" t="n"/>
      <c r="R2440" s="104" t="n"/>
      <c r="S2440" s="102" t="n"/>
      <c r="T2440" s="103" t="n"/>
      <c r="U2440" s="103" t="n"/>
      <c r="V2440" s="104" t="n"/>
      <c r="W2440" s="102" t="n"/>
      <c r="X2440" s="104" t="n"/>
      <c r="Y2440" s="102" t="n"/>
      <c r="Z2440" s="104" t="n"/>
      <c r="AB2440" s="105">
        <f>IF($B2440="","",(COUNTIF(C2408:E2425,$B2440)+COUNTIF(C2408:E2425,$B2440&amp;" ~*")&gt;0)+(COUNTIF(G2408:I2425,$B2440)+COUNTIF(G2408:I2425,$B2440&amp;" ~*")&gt;0)+(COUNTIF(K2408:M2425,$B2440)+COUNTIF(K2408:M2425,$B2440&amp;" ~*")&gt;0)+(COUNTIF(O2408:Q2425,$B2440)+COUNTIF(O2408:Q2425,$B2440&amp;" ~*")&gt;0)+(COUNTIF(S2408:U2425,$B2440)+COUNTIF(S2408:U2425,$B2440&amp;" ~*")&gt;0)+(COUNTIF(W2408:W2425,$B2440)+COUNTIF(W2408:W2425,$B2440&amp;" ~*")&gt;0)+(COUNTIF(Y2408:Y2425,$B2440)+COUNTIF(Y2408:Y2425,$B2440&amp;" ~*")&gt;0))</f>
        <v/>
      </c>
      <c r="AC2440" s="38">
        <f>IF($B2440="","",(IFERROR(INDEX(Setup!$G$33:$G$40,MATCH(C2440,Setup!$B$33:$B$40,0)),0)=1)*(COUNTIF(C2408:E2425,$B2440)+COUNTIF(C2408:E2425,$B2440&amp;" ~*")&gt;0)+(IFERROR(INDEX(Setup!$G$33:$G$40,MATCH(G2440,Setup!$B$33:$B$40,0)),0)=1)*(COUNTIF(G2408:I2425,$B2440)+COUNTIF(G2408:I2425,$B2440&amp;" ~*")&gt;0)+(IFERROR(INDEX(Setup!$G$33:$G$40,MATCH(K2440,Setup!$B$33:$B$40,0)),0)=1)*(COUNTIF(K2408:M2425,$B2440)+COUNTIF(K2408:M2425,$B2440&amp;" ~*")&gt;0)+(IFERROR(INDEX(Setup!$G$33:$G$40,MATCH(O2440,Setup!$B$33:$B$40,0)),0)=1)*(COUNTIF(O2408:Q2425,$B2440)+COUNTIF(O2408:Q2425,$B2440&amp;" ~*")&gt;0)+(IFERROR(INDEX(Setup!$G$33:$G$40,MATCH(S2440,Setup!$B$33:$B$40,0)),0)=1)*(COUNTIF(S2408:U2425,$B2440)+COUNTIF(S2408:U2425,$B2440&amp;" ~*")&gt;0)+(IFERROR(INDEX(Setup!$G$33:$G$40,MATCH(W2440,Setup!$B$33:$B$40,0)),0)=1)*(COUNTIF(W2408:W2425,$B2440)+COUNTIF(W2408:W2425,$B2440&amp;" ~*")&gt;0)+(IFERROR(INDEX(Setup!$G$33:$G$40,MATCH(Y2440,Setup!$B$33:$B$40,0)),0)=1)*(COUNTIF(Y2408:Y2425,$B2440)+COUNTIF(Y2408:Y2425,$B2440&amp;" ~*")&gt;0))</f>
        <v/>
      </c>
    </row>
    <row r="2441" ht="15" customHeight="1">
      <c r="A2441" t="n">
        <v>49</v>
      </c>
      <c r="B2441" s="35">
        <f>IF(Setup!$B$20="","",Setup!$B$20)</f>
        <v/>
      </c>
      <c r="C2441" s="98" t="n"/>
      <c r="D2441" s="99" t="n"/>
      <c r="E2441" s="99" t="n"/>
      <c r="F2441" s="100" t="n"/>
      <c r="G2441" s="98" t="n"/>
      <c r="H2441" s="99" t="n"/>
      <c r="I2441" s="99" t="n"/>
      <c r="J2441" s="100" t="n"/>
      <c r="K2441" s="98" t="n"/>
      <c r="L2441" s="99" t="n"/>
      <c r="M2441" s="99" t="n"/>
      <c r="N2441" s="100" t="n"/>
      <c r="O2441" s="98" t="n"/>
      <c r="P2441" s="99" t="n"/>
      <c r="Q2441" s="99" t="n"/>
      <c r="R2441" s="100" t="n"/>
      <c r="S2441" s="98" t="n"/>
      <c r="T2441" s="99" t="n"/>
      <c r="U2441" s="99" t="n"/>
      <c r="V2441" s="100" t="n"/>
      <c r="W2441" s="98" t="n"/>
      <c r="X2441" s="100" t="n"/>
      <c r="Y2441" s="98" t="n"/>
      <c r="Z2441" s="100" t="n"/>
      <c r="AB2441" s="101">
        <f>IF($B2441="","",(COUNTIF(C2408:E2425,$B2441)+COUNTIF(C2408:E2425,$B2441&amp;" ~*")&gt;0)+(COUNTIF(G2408:I2425,$B2441)+COUNTIF(G2408:I2425,$B2441&amp;" ~*")&gt;0)+(COUNTIF(K2408:M2425,$B2441)+COUNTIF(K2408:M2425,$B2441&amp;" ~*")&gt;0)+(COUNTIF(O2408:Q2425,$B2441)+COUNTIF(O2408:Q2425,$B2441&amp;" ~*")&gt;0)+(COUNTIF(S2408:U2425,$B2441)+COUNTIF(S2408:U2425,$B2441&amp;" ~*")&gt;0)+(COUNTIF(W2408:W2425,$B2441)+COUNTIF(W2408:W2425,$B2441&amp;" ~*")&gt;0)+(COUNTIF(Y2408:Y2425,$B2441)+COUNTIF(Y2408:Y2425,$B2441&amp;" ~*")&gt;0))</f>
        <v/>
      </c>
      <c r="AC2441" s="36">
        <f>IF($B2441="","",(IFERROR(INDEX(Setup!$G$33:$G$40,MATCH(C2441,Setup!$B$33:$B$40,0)),0)=1)*(COUNTIF(C2408:E2425,$B2441)+COUNTIF(C2408:E2425,$B2441&amp;" ~*")&gt;0)+(IFERROR(INDEX(Setup!$G$33:$G$40,MATCH(G2441,Setup!$B$33:$B$40,0)),0)=1)*(COUNTIF(G2408:I2425,$B2441)+COUNTIF(G2408:I2425,$B2441&amp;" ~*")&gt;0)+(IFERROR(INDEX(Setup!$G$33:$G$40,MATCH(K2441,Setup!$B$33:$B$40,0)),0)=1)*(COUNTIF(K2408:M2425,$B2441)+COUNTIF(K2408:M2425,$B2441&amp;" ~*")&gt;0)+(IFERROR(INDEX(Setup!$G$33:$G$40,MATCH(O2441,Setup!$B$33:$B$40,0)),0)=1)*(COUNTIF(O2408:Q2425,$B2441)+COUNTIF(O2408:Q2425,$B2441&amp;" ~*")&gt;0)+(IFERROR(INDEX(Setup!$G$33:$G$40,MATCH(S2441,Setup!$B$33:$B$40,0)),0)=1)*(COUNTIF(S2408:U2425,$B2441)+COUNTIF(S2408:U2425,$B2441&amp;" ~*")&gt;0)+(IFERROR(INDEX(Setup!$G$33:$G$40,MATCH(W2441,Setup!$B$33:$B$40,0)),0)=1)*(COUNTIF(W2408:W2425,$B2441)+COUNTIF(W2408:W2425,$B2441&amp;" ~*")&gt;0)+(IFERROR(INDEX(Setup!$G$33:$G$40,MATCH(Y2441,Setup!$B$33:$B$40,0)),0)=1)*(COUNTIF(Y2408:Y2425,$B2441)+COUNTIF(Y2408:Y2425,$B2441&amp;" ~*")&gt;0))</f>
        <v/>
      </c>
    </row>
    <row r="2442" ht="15" customHeight="1">
      <c r="A2442" t="n">
        <v>49</v>
      </c>
      <c r="B2442" s="37">
        <f>IF(Setup!$B$21="","",Setup!$B$21)</f>
        <v/>
      </c>
      <c r="C2442" s="102" t="n"/>
      <c r="D2442" s="103" t="n"/>
      <c r="E2442" s="103" t="n"/>
      <c r="F2442" s="104" t="n"/>
      <c r="G2442" s="102" t="n"/>
      <c r="H2442" s="103" t="n"/>
      <c r="I2442" s="103" t="n"/>
      <c r="J2442" s="104" t="n"/>
      <c r="K2442" s="102" t="n"/>
      <c r="L2442" s="103" t="n"/>
      <c r="M2442" s="103" t="n"/>
      <c r="N2442" s="104" t="n"/>
      <c r="O2442" s="102" t="n"/>
      <c r="P2442" s="103" t="n"/>
      <c r="Q2442" s="103" t="n"/>
      <c r="R2442" s="104" t="n"/>
      <c r="S2442" s="102" t="n"/>
      <c r="T2442" s="103" t="n"/>
      <c r="U2442" s="103" t="n"/>
      <c r="V2442" s="104" t="n"/>
      <c r="W2442" s="102" t="n"/>
      <c r="X2442" s="104" t="n"/>
      <c r="Y2442" s="102" t="n"/>
      <c r="Z2442" s="104" t="n"/>
      <c r="AB2442" s="105">
        <f>IF($B2442="","",(COUNTIF(C2408:E2425,$B2442)+COUNTIF(C2408:E2425,$B2442&amp;" ~*")&gt;0)+(COUNTIF(G2408:I2425,$B2442)+COUNTIF(G2408:I2425,$B2442&amp;" ~*")&gt;0)+(COUNTIF(K2408:M2425,$B2442)+COUNTIF(K2408:M2425,$B2442&amp;" ~*")&gt;0)+(COUNTIF(O2408:Q2425,$B2442)+COUNTIF(O2408:Q2425,$B2442&amp;" ~*")&gt;0)+(COUNTIF(S2408:U2425,$B2442)+COUNTIF(S2408:U2425,$B2442&amp;" ~*")&gt;0)+(COUNTIF(W2408:W2425,$B2442)+COUNTIF(W2408:W2425,$B2442&amp;" ~*")&gt;0)+(COUNTIF(Y2408:Y2425,$B2442)+COUNTIF(Y2408:Y2425,$B2442&amp;" ~*")&gt;0))</f>
        <v/>
      </c>
      <c r="AC2442" s="38">
        <f>IF($B2442="","",(IFERROR(INDEX(Setup!$G$33:$G$40,MATCH(C2442,Setup!$B$33:$B$40,0)),0)=1)*(COUNTIF(C2408:E2425,$B2442)+COUNTIF(C2408:E2425,$B2442&amp;" ~*")&gt;0)+(IFERROR(INDEX(Setup!$G$33:$G$40,MATCH(G2442,Setup!$B$33:$B$40,0)),0)=1)*(COUNTIF(G2408:I2425,$B2442)+COUNTIF(G2408:I2425,$B2442&amp;" ~*")&gt;0)+(IFERROR(INDEX(Setup!$G$33:$G$40,MATCH(K2442,Setup!$B$33:$B$40,0)),0)=1)*(COUNTIF(K2408:M2425,$B2442)+COUNTIF(K2408:M2425,$B2442&amp;" ~*")&gt;0)+(IFERROR(INDEX(Setup!$G$33:$G$40,MATCH(O2442,Setup!$B$33:$B$40,0)),0)=1)*(COUNTIF(O2408:Q2425,$B2442)+COUNTIF(O2408:Q2425,$B2442&amp;" ~*")&gt;0)+(IFERROR(INDEX(Setup!$G$33:$G$40,MATCH(S2442,Setup!$B$33:$B$40,0)),0)=1)*(COUNTIF(S2408:U2425,$B2442)+COUNTIF(S2408:U2425,$B2442&amp;" ~*")&gt;0)+(IFERROR(INDEX(Setup!$G$33:$G$40,MATCH(W2442,Setup!$B$33:$B$40,0)),0)=1)*(COUNTIF(W2408:W2425,$B2442)+COUNTIF(W2408:W2425,$B2442&amp;" ~*")&gt;0)+(IFERROR(INDEX(Setup!$G$33:$G$40,MATCH(Y2442,Setup!$B$33:$B$40,0)),0)=1)*(COUNTIF(Y2408:Y2425,$B2442)+COUNTIF(Y2408:Y2425,$B2442&amp;" ~*")&gt;0))</f>
        <v/>
      </c>
    </row>
    <row r="2443" ht="15" customHeight="1">
      <c r="A2443" t="n">
        <v>49</v>
      </c>
      <c r="B2443" s="35">
        <f>IF(Setup!$B$22="","",Setup!$B$22)</f>
        <v/>
      </c>
      <c r="C2443" s="98" t="n"/>
      <c r="D2443" s="99" t="n"/>
      <c r="E2443" s="99" t="n"/>
      <c r="F2443" s="100" t="n"/>
      <c r="G2443" s="98" t="n"/>
      <c r="H2443" s="99" t="n"/>
      <c r="I2443" s="99" t="n"/>
      <c r="J2443" s="100" t="n"/>
      <c r="K2443" s="98" t="n"/>
      <c r="L2443" s="99" t="n"/>
      <c r="M2443" s="99" t="n"/>
      <c r="N2443" s="100" t="n"/>
      <c r="O2443" s="98" t="n"/>
      <c r="P2443" s="99" t="n"/>
      <c r="Q2443" s="99" t="n"/>
      <c r="R2443" s="100" t="n"/>
      <c r="S2443" s="98" t="n"/>
      <c r="T2443" s="99" t="n"/>
      <c r="U2443" s="99" t="n"/>
      <c r="V2443" s="100" t="n"/>
      <c r="W2443" s="98" t="n"/>
      <c r="X2443" s="100" t="n"/>
      <c r="Y2443" s="98" t="n"/>
      <c r="Z2443" s="100" t="n"/>
      <c r="AB2443" s="101">
        <f>IF($B2443="","",(COUNTIF(C2408:E2425,$B2443)+COUNTIF(C2408:E2425,$B2443&amp;" ~*")&gt;0)+(COUNTIF(G2408:I2425,$B2443)+COUNTIF(G2408:I2425,$B2443&amp;" ~*")&gt;0)+(COUNTIF(K2408:M2425,$B2443)+COUNTIF(K2408:M2425,$B2443&amp;" ~*")&gt;0)+(COUNTIF(O2408:Q2425,$B2443)+COUNTIF(O2408:Q2425,$B2443&amp;" ~*")&gt;0)+(COUNTIF(S2408:U2425,$B2443)+COUNTIF(S2408:U2425,$B2443&amp;" ~*")&gt;0)+(COUNTIF(W2408:W2425,$B2443)+COUNTIF(W2408:W2425,$B2443&amp;" ~*")&gt;0)+(COUNTIF(Y2408:Y2425,$B2443)+COUNTIF(Y2408:Y2425,$B2443&amp;" ~*")&gt;0))</f>
        <v/>
      </c>
      <c r="AC2443" s="36">
        <f>IF($B2443="","",(IFERROR(INDEX(Setup!$G$33:$G$40,MATCH(C2443,Setup!$B$33:$B$40,0)),0)=1)*(COUNTIF(C2408:E2425,$B2443)+COUNTIF(C2408:E2425,$B2443&amp;" ~*")&gt;0)+(IFERROR(INDEX(Setup!$G$33:$G$40,MATCH(G2443,Setup!$B$33:$B$40,0)),0)=1)*(COUNTIF(G2408:I2425,$B2443)+COUNTIF(G2408:I2425,$B2443&amp;" ~*")&gt;0)+(IFERROR(INDEX(Setup!$G$33:$G$40,MATCH(K2443,Setup!$B$33:$B$40,0)),0)=1)*(COUNTIF(K2408:M2425,$B2443)+COUNTIF(K2408:M2425,$B2443&amp;" ~*")&gt;0)+(IFERROR(INDEX(Setup!$G$33:$G$40,MATCH(O2443,Setup!$B$33:$B$40,0)),0)=1)*(COUNTIF(O2408:Q2425,$B2443)+COUNTIF(O2408:Q2425,$B2443&amp;" ~*")&gt;0)+(IFERROR(INDEX(Setup!$G$33:$G$40,MATCH(S2443,Setup!$B$33:$B$40,0)),0)=1)*(COUNTIF(S2408:U2425,$B2443)+COUNTIF(S2408:U2425,$B2443&amp;" ~*")&gt;0)+(IFERROR(INDEX(Setup!$G$33:$G$40,MATCH(W2443,Setup!$B$33:$B$40,0)),0)=1)*(COUNTIF(W2408:W2425,$B2443)+COUNTIF(W2408:W2425,$B2443&amp;" ~*")&gt;0)+(IFERROR(INDEX(Setup!$G$33:$G$40,MATCH(Y2443,Setup!$B$33:$B$40,0)),0)=1)*(COUNTIF(Y2408:Y2425,$B2443)+COUNTIF(Y2408:Y2425,$B2443&amp;" ~*")&gt;0))</f>
        <v/>
      </c>
    </row>
    <row r="2444" ht="15" customHeight="1">
      <c r="A2444" t="n">
        <v>49</v>
      </c>
      <c r="B2444" s="37">
        <f>IF(Setup!$B$23="","",Setup!$B$23)</f>
        <v/>
      </c>
      <c r="C2444" s="102" t="n"/>
      <c r="D2444" s="103" t="n"/>
      <c r="E2444" s="103" t="n"/>
      <c r="F2444" s="104" t="n"/>
      <c r="G2444" s="102" t="n"/>
      <c r="H2444" s="103" t="n"/>
      <c r="I2444" s="103" t="n"/>
      <c r="J2444" s="104" t="n"/>
      <c r="K2444" s="102" t="n"/>
      <c r="L2444" s="103" t="n"/>
      <c r="M2444" s="103" t="n"/>
      <c r="N2444" s="104" t="n"/>
      <c r="O2444" s="102" t="n"/>
      <c r="P2444" s="103" t="n"/>
      <c r="Q2444" s="103" t="n"/>
      <c r="R2444" s="104" t="n"/>
      <c r="S2444" s="102" t="n"/>
      <c r="T2444" s="103" t="n"/>
      <c r="U2444" s="103" t="n"/>
      <c r="V2444" s="104" t="n"/>
      <c r="W2444" s="102" t="n"/>
      <c r="X2444" s="104" t="n"/>
      <c r="Y2444" s="102" t="n"/>
      <c r="Z2444" s="104" t="n"/>
      <c r="AB2444" s="105">
        <f>IF($B2444="","",(COUNTIF(C2408:E2425,$B2444)+COUNTIF(C2408:E2425,$B2444&amp;" ~*")&gt;0)+(COUNTIF(G2408:I2425,$B2444)+COUNTIF(G2408:I2425,$B2444&amp;" ~*")&gt;0)+(COUNTIF(K2408:M2425,$B2444)+COUNTIF(K2408:M2425,$B2444&amp;" ~*")&gt;0)+(COUNTIF(O2408:Q2425,$B2444)+COUNTIF(O2408:Q2425,$B2444&amp;" ~*")&gt;0)+(COUNTIF(S2408:U2425,$B2444)+COUNTIF(S2408:U2425,$B2444&amp;" ~*")&gt;0)+(COUNTIF(W2408:W2425,$B2444)+COUNTIF(W2408:W2425,$B2444&amp;" ~*")&gt;0)+(COUNTIF(Y2408:Y2425,$B2444)+COUNTIF(Y2408:Y2425,$B2444&amp;" ~*")&gt;0))</f>
        <v/>
      </c>
      <c r="AC2444" s="38">
        <f>IF($B2444="","",(IFERROR(INDEX(Setup!$G$33:$G$40,MATCH(C2444,Setup!$B$33:$B$40,0)),0)=1)*(COUNTIF(C2408:E2425,$B2444)+COUNTIF(C2408:E2425,$B2444&amp;" ~*")&gt;0)+(IFERROR(INDEX(Setup!$G$33:$G$40,MATCH(G2444,Setup!$B$33:$B$40,0)),0)=1)*(COUNTIF(G2408:I2425,$B2444)+COUNTIF(G2408:I2425,$B2444&amp;" ~*")&gt;0)+(IFERROR(INDEX(Setup!$G$33:$G$40,MATCH(K2444,Setup!$B$33:$B$40,0)),0)=1)*(COUNTIF(K2408:M2425,$B2444)+COUNTIF(K2408:M2425,$B2444&amp;" ~*")&gt;0)+(IFERROR(INDEX(Setup!$G$33:$G$40,MATCH(O2444,Setup!$B$33:$B$40,0)),0)=1)*(COUNTIF(O2408:Q2425,$B2444)+COUNTIF(O2408:Q2425,$B2444&amp;" ~*")&gt;0)+(IFERROR(INDEX(Setup!$G$33:$G$40,MATCH(S2444,Setup!$B$33:$B$40,0)),0)=1)*(COUNTIF(S2408:U2425,$B2444)+COUNTIF(S2408:U2425,$B2444&amp;" ~*")&gt;0)+(IFERROR(INDEX(Setup!$G$33:$G$40,MATCH(W2444,Setup!$B$33:$B$40,0)),0)=1)*(COUNTIF(W2408:W2425,$B2444)+COUNTIF(W2408:W2425,$B2444&amp;" ~*")&gt;0)+(IFERROR(INDEX(Setup!$G$33:$G$40,MATCH(Y2444,Setup!$B$33:$B$40,0)),0)=1)*(COUNTIF(Y2408:Y2425,$B2444)+COUNTIF(Y2408:Y2425,$B2444&amp;" ~*")&gt;0))</f>
        <v/>
      </c>
    </row>
    <row r="2445" ht="15" customHeight="1">
      <c r="A2445" t="n">
        <v>49</v>
      </c>
      <c r="B2445" s="35">
        <f>IF(Setup!$B$24="","",Setup!$B$24)</f>
        <v/>
      </c>
      <c r="C2445" s="98" t="n"/>
      <c r="D2445" s="99" t="n"/>
      <c r="E2445" s="99" t="n"/>
      <c r="F2445" s="100" t="n"/>
      <c r="G2445" s="98" t="n"/>
      <c r="H2445" s="99" t="n"/>
      <c r="I2445" s="99" t="n"/>
      <c r="J2445" s="100" t="n"/>
      <c r="K2445" s="98" t="n"/>
      <c r="L2445" s="99" t="n"/>
      <c r="M2445" s="99" t="n"/>
      <c r="N2445" s="100" t="n"/>
      <c r="O2445" s="98" t="n"/>
      <c r="P2445" s="99" t="n"/>
      <c r="Q2445" s="99" t="n"/>
      <c r="R2445" s="100" t="n"/>
      <c r="S2445" s="98" t="n"/>
      <c r="T2445" s="99" t="n"/>
      <c r="U2445" s="99" t="n"/>
      <c r="V2445" s="100" t="n"/>
      <c r="W2445" s="98" t="n"/>
      <c r="X2445" s="100" t="n"/>
      <c r="Y2445" s="98" t="n"/>
      <c r="Z2445" s="100" t="n"/>
      <c r="AB2445" s="101">
        <f>IF($B2445="","",(COUNTIF(C2408:E2425,$B2445)+COUNTIF(C2408:E2425,$B2445&amp;" ~*")&gt;0)+(COUNTIF(G2408:I2425,$B2445)+COUNTIF(G2408:I2425,$B2445&amp;" ~*")&gt;0)+(COUNTIF(K2408:M2425,$B2445)+COUNTIF(K2408:M2425,$B2445&amp;" ~*")&gt;0)+(COUNTIF(O2408:Q2425,$B2445)+COUNTIF(O2408:Q2425,$B2445&amp;" ~*")&gt;0)+(COUNTIF(S2408:U2425,$B2445)+COUNTIF(S2408:U2425,$B2445&amp;" ~*")&gt;0)+(COUNTIF(W2408:W2425,$B2445)+COUNTIF(W2408:W2425,$B2445&amp;" ~*")&gt;0)+(COUNTIF(Y2408:Y2425,$B2445)+COUNTIF(Y2408:Y2425,$B2445&amp;" ~*")&gt;0))</f>
        <v/>
      </c>
      <c r="AC2445" s="36">
        <f>IF($B2445="","",(IFERROR(INDEX(Setup!$G$33:$G$40,MATCH(C2445,Setup!$B$33:$B$40,0)),0)=1)*(COUNTIF(C2408:E2425,$B2445)+COUNTIF(C2408:E2425,$B2445&amp;" ~*")&gt;0)+(IFERROR(INDEX(Setup!$G$33:$G$40,MATCH(G2445,Setup!$B$33:$B$40,0)),0)=1)*(COUNTIF(G2408:I2425,$B2445)+COUNTIF(G2408:I2425,$B2445&amp;" ~*")&gt;0)+(IFERROR(INDEX(Setup!$G$33:$G$40,MATCH(K2445,Setup!$B$33:$B$40,0)),0)=1)*(COUNTIF(K2408:M2425,$B2445)+COUNTIF(K2408:M2425,$B2445&amp;" ~*")&gt;0)+(IFERROR(INDEX(Setup!$G$33:$G$40,MATCH(O2445,Setup!$B$33:$B$40,0)),0)=1)*(COUNTIF(O2408:Q2425,$B2445)+COUNTIF(O2408:Q2425,$B2445&amp;" ~*")&gt;0)+(IFERROR(INDEX(Setup!$G$33:$G$40,MATCH(S2445,Setup!$B$33:$B$40,0)),0)=1)*(COUNTIF(S2408:U2425,$B2445)+COUNTIF(S2408:U2425,$B2445&amp;" ~*")&gt;0)+(IFERROR(INDEX(Setup!$G$33:$G$40,MATCH(W2445,Setup!$B$33:$B$40,0)),0)=1)*(COUNTIF(W2408:W2425,$B2445)+COUNTIF(W2408:W2425,$B2445&amp;" ~*")&gt;0)+(IFERROR(INDEX(Setup!$G$33:$G$40,MATCH(Y2445,Setup!$B$33:$B$40,0)),0)=1)*(COUNTIF(Y2408:Y2425,$B2445)+COUNTIF(Y2408:Y2425,$B2445&amp;" ~*")&gt;0))</f>
        <v/>
      </c>
    </row>
    <row r="2446" ht="15" customHeight="1">
      <c r="A2446" t="n">
        <v>49</v>
      </c>
      <c r="B2446" s="37">
        <f>IF(Setup!$B$25="","",Setup!$B$25)</f>
        <v/>
      </c>
      <c r="C2446" s="102" t="n"/>
      <c r="D2446" s="103" t="n"/>
      <c r="E2446" s="103" t="n"/>
      <c r="F2446" s="104" t="n"/>
      <c r="G2446" s="102" t="n"/>
      <c r="H2446" s="103" t="n"/>
      <c r="I2446" s="103" t="n"/>
      <c r="J2446" s="104" t="n"/>
      <c r="K2446" s="102" t="n"/>
      <c r="L2446" s="103" t="n"/>
      <c r="M2446" s="103" t="n"/>
      <c r="N2446" s="104" t="n"/>
      <c r="O2446" s="102" t="n"/>
      <c r="P2446" s="103" t="n"/>
      <c r="Q2446" s="103" t="n"/>
      <c r="R2446" s="104" t="n"/>
      <c r="S2446" s="102" t="n"/>
      <c r="T2446" s="103" t="n"/>
      <c r="U2446" s="103" t="n"/>
      <c r="V2446" s="104" t="n"/>
      <c r="W2446" s="102" t="n"/>
      <c r="X2446" s="104" t="n"/>
      <c r="Y2446" s="102" t="n"/>
      <c r="Z2446" s="104" t="n"/>
      <c r="AB2446" s="105">
        <f>IF($B2446="","",(COUNTIF(C2408:E2425,$B2446)+COUNTIF(C2408:E2425,$B2446&amp;" ~*")&gt;0)+(COUNTIF(G2408:I2425,$B2446)+COUNTIF(G2408:I2425,$B2446&amp;" ~*")&gt;0)+(COUNTIF(K2408:M2425,$B2446)+COUNTIF(K2408:M2425,$B2446&amp;" ~*")&gt;0)+(COUNTIF(O2408:Q2425,$B2446)+COUNTIF(O2408:Q2425,$B2446&amp;" ~*")&gt;0)+(COUNTIF(S2408:U2425,$B2446)+COUNTIF(S2408:U2425,$B2446&amp;" ~*")&gt;0)+(COUNTIF(W2408:W2425,$B2446)+COUNTIF(W2408:W2425,$B2446&amp;" ~*")&gt;0)+(COUNTIF(Y2408:Y2425,$B2446)+COUNTIF(Y2408:Y2425,$B2446&amp;" ~*")&gt;0))</f>
        <v/>
      </c>
      <c r="AC2446" s="38">
        <f>IF($B2446="","",(IFERROR(INDEX(Setup!$G$33:$G$40,MATCH(C2446,Setup!$B$33:$B$40,0)),0)=1)*(COUNTIF(C2408:E2425,$B2446)+COUNTIF(C2408:E2425,$B2446&amp;" ~*")&gt;0)+(IFERROR(INDEX(Setup!$G$33:$G$40,MATCH(G2446,Setup!$B$33:$B$40,0)),0)=1)*(COUNTIF(G2408:I2425,$B2446)+COUNTIF(G2408:I2425,$B2446&amp;" ~*")&gt;0)+(IFERROR(INDEX(Setup!$G$33:$G$40,MATCH(K2446,Setup!$B$33:$B$40,0)),0)=1)*(COUNTIF(K2408:M2425,$B2446)+COUNTIF(K2408:M2425,$B2446&amp;" ~*")&gt;0)+(IFERROR(INDEX(Setup!$G$33:$G$40,MATCH(O2446,Setup!$B$33:$B$40,0)),0)=1)*(COUNTIF(O2408:Q2425,$B2446)+COUNTIF(O2408:Q2425,$B2446&amp;" ~*")&gt;0)+(IFERROR(INDEX(Setup!$G$33:$G$40,MATCH(S2446,Setup!$B$33:$B$40,0)),0)=1)*(COUNTIF(S2408:U2425,$B2446)+COUNTIF(S2408:U2425,$B2446&amp;" ~*")&gt;0)+(IFERROR(INDEX(Setup!$G$33:$G$40,MATCH(W2446,Setup!$B$33:$B$40,0)),0)=1)*(COUNTIF(W2408:W2425,$B2446)+COUNTIF(W2408:W2425,$B2446&amp;" ~*")&gt;0)+(IFERROR(INDEX(Setup!$G$33:$G$40,MATCH(Y2446,Setup!$B$33:$B$40,0)),0)=1)*(COUNTIF(Y2408:Y2425,$B2446)+COUNTIF(Y2408:Y2425,$B2446&amp;" ~*")&gt;0))</f>
        <v/>
      </c>
    </row>
    <row r="2447" ht="15" customHeight="1">
      <c r="A2447" t="n">
        <v>49</v>
      </c>
      <c r="B2447" s="35">
        <f>IF(Setup!$B$26="","",Setup!$B$26)</f>
        <v/>
      </c>
      <c r="C2447" s="98" t="n"/>
      <c r="D2447" s="99" t="n"/>
      <c r="E2447" s="99" t="n"/>
      <c r="F2447" s="100" t="n"/>
      <c r="G2447" s="98" t="n"/>
      <c r="H2447" s="99" t="n"/>
      <c r="I2447" s="99" t="n"/>
      <c r="J2447" s="100" t="n"/>
      <c r="K2447" s="98" t="n"/>
      <c r="L2447" s="99" t="n"/>
      <c r="M2447" s="99" t="n"/>
      <c r="N2447" s="100" t="n"/>
      <c r="O2447" s="98" t="n"/>
      <c r="P2447" s="99" t="n"/>
      <c r="Q2447" s="99" t="n"/>
      <c r="R2447" s="100" t="n"/>
      <c r="S2447" s="98" t="n"/>
      <c r="T2447" s="99" t="n"/>
      <c r="U2447" s="99" t="n"/>
      <c r="V2447" s="100" t="n"/>
      <c r="W2447" s="98" t="n"/>
      <c r="X2447" s="100" t="n"/>
      <c r="Y2447" s="98" t="n"/>
      <c r="Z2447" s="100" t="n"/>
      <c r="AB2447" s="101">
        <f>IF($B2447="","",(COUNTIF(C2408:E2425,$B2447)+COUNTIF(C2408:E2425,$B2447&amp;" ~*")&gt;0)+(COUNTIF(G2408:I2425,$B2447)+COUNTIF(G2408:I2425,$B2447&amp;" ~*")&gt;0)+(COUNTIF(K2408:M2425,$B2447)+COUNTIF(K2408:M2425,$B2447&amp;" ~*")&gt;0)+(COUNTIF(O2408:Q2425,$B2447)+COUNTIF(O2408:Q2425,$B2447&amp;" ~*")&gt;0)+(COUNTIF(S2408:U2425,$B2447)+COUNTIF(S2408:U2425,$B2447&amp;" ~*")&gt;0)+(COUNTIF(W2408:W2425,$B2447)+COUNTIF(W2408:W2425,$B2447&amp;" ~*")&gt;0)+(COUNTIF(Y2408:Y2425,$B2447)+COUNTIF(Y2408:Y2425,$B2447&amp;" ~*")&gt;0))</f>
        <v/>
      </c>
      <c r="AC2447" s="36">
        <f>IF($B2447="","",(IFERROR(INDEX(Setup!$G$33:$G$40,MATCH(C2447,Setup!$B$33:$B$40,0)),0)=1)*(COUNTIF(C2408:E2425,$B2447)+COUNTIF(C2408:E2425,$B2447&amp;" ~*")&gt;0)+(IFERROR(INDEX(Setup!$G$33:$G$40,MATCH(G2447,Setup!$B$33:$B$40,0)),0)=1)*(COUNTIF(G2408:I2425,$B2447)+COUNTIF(G2408:I2425,$B2447&amp;" ~*")&gt;0)+(IFERROR(INDEX(Setup!$G$33:$G$40,MATCH(K2447,Setup!$B$33:$B$40,0)),0)=1)*(COUNTIF(K2408:M2425,$B2447)+COUNTIF(K2408:M2425,$B2447&amp;" ~*")&gt;0)+(IFERROR(INDEX(Setup!$G$33:$G$40,MATCH(O2447,Setup!$B$33:$B$40,0)),0)=1)*(COUNTIF(O2408:Q2425,$B2447)+COUNTIF(O2408:Q2425,$B2447&amp;" ~*")&gt;0)+(IFERROR(INDEX(Setup!$G$33:$G$40,MATCH(S2447,Setup!$B$33:$B$40,0)),0)=1)*(COUNTIF(S2408:U2425,$B2447)+COUNTIF(S2408:U2425,$B2447&amp;" ~*")&gt;0)+(IFERROR(INDEX(Setup!$G$33:$G$40,MATCH(W2447,Setup!$B$33:$B$40,0)),0)=1)*(COUNTIF(W2408:W2425,$B2447)+COUNTIF(W2408:W2425,$B2447&amp;" ~*")&gt;0)+(IFERROR(INDEX(Setup!$G$33:$G$40,MATCH(Y2447,Setup!$B$33:$B$40,0)),0)=1)*(COUNTIF(Y2408:Y2425,$B2447)+COUNTIF(Y2408:Y2425,$B2447&amp;" ~*")&gt;0))</f>
        <v/>
      </c>
    </row>
    <row r="2448" ht="15" customHeight="1">
      <c r="A2448" t="n">
        <v>49</v>
      </c>
      <c r="B2448" s="37">
        <f>IF(Setup!$B$27="","",Setup!$B$27)</f>
        <v/>
      </c>
      <c r="C2448" s="102" t="n"/>
      <c r="D2448" s="103" t="n"/>
      <c r="E2448" s="103" t="n"/>
      <c r="F2448" s="104" t="n"/>
      <c r="G2448" s="102" t="n"/>
      <c r="H2448" s="103" t="n"/>
      <c r="I2448" s="103" t="n"/>
      <c r="J2448" s="104" t="n"/>
      <c r="K2448" s="102" t="n"/>
      <c r="L2448" s="103" t="n"/>
      <c r="M2448" s="103" t="n"/>
      <c r="N2448" s="104" t="n"/>
      <c r="O2448" s="102" t="n"/>
      <c r="P2448" s="103" t="n"/>
      <c r="Q2448" s="103" t="n"/>
      <c r="R2448" s="104" t="n"/>
      <c r="S2448" s="102" t="n"/>
      <c r="T2448" s="103" t="n"/>
      <c r="U2448" s="103" t="n"/>
      <c r="V2448" s="104" t="n"/>
      <c r="W2448" s="102" t="n"/>
      <c r="X2448" s="104" t="n"/>
      <c r="Y2448" s="102" t="n"/>
      <c r="Z2448" s="104" t="n"/>
      <c r="AB2448" s="105">
        <f>IF($B2448="","",(COUNTIF(C2408:E2425,$B2448)+COUNTIF(C2408:E2425,$B2448&amp;" ~*")&gt;0)+(COUNTIF(G2408:I2425,$B2448)+COUNTIF(G2408:I2425,$B2448&amp;" ~*")&gt;0)+(COUNTIF(K2408:M2425,$B2448)+COUNTIF(K2408:M2425,$B2448&amp;" ~*")&gt;0)+(COUNTIF(O2408:Q2425,$B2448)+COUNTIF(O2408:Q2425,$B2448&amp;" ~*")&gt;0)+(COUNTIF(S2408:U2425,$B2448)+COUNTIF(S2408:U2425,$B2448&amp;" ~*")&gt;0)+(COUNTIF(W2408:W2425,$B2448)+COUNTIF(W2408:W2425,$B2448&amp;" ~*")&gt;0)+(COUNTIF(Y2408:Y2425,$B2448)+COUNTIF(Y2408:Y2425,$B2448&amp;" ~*")&gt;0))</f>
        <v/>
      </c>
      <c r="AC2448" s="38">
        <f>IF($B2448="","",(IFERROR(INDEX(Setup!$G$33:$G$40,MATCH(C2448,Setup!$B$33:$B$40,0)),0)=1)*(COUNTIF(C2408:E2425,$B2448)+COUNTIF(C2408:E2425,$B2448&amp;" ~*")&gt;0)+(IFERROR(INDEX(Setup!$G$33:$G$40,MATCH(G2448,Setup!$B$33:$B$40,0)),0)=1)*(COUNTIF(G2408:I2425,$B2448)+COUNTIF(G2408:I2425,$B2448&amp;" ~*")&gt;0)+(IFERROR(INDEX(Setup!$G$33:$G$40,MATCH(K2448,Setup!$B$33:$B$40,0)),0)=1)*(COUNTIF(K2408:M2425,$B2448)+COUNTIF(K2408:M2425,$B2448&amp;" ~*")&gt;0)+(IFERROR(INDEX(Setup!$G$33:$G$40,MATCH(O2448,Setup!$B$33:$B$40,0)),0)=1)*(COUNTIF(O2408:Q2425,$B2448)+COUNTIF(O2408:Q2425,$B2448&amp;" ~*")&gt;0)+(IFERROR(INDEX(Setup!$G$33:$G$40,MATCH(S2448,Setup!$B$33:$B$40,0)),0)=1)*(COUNTIF(S2408:U2425,$B2448)+COUNTIF(S2408:U2425,$B2448&amp;" ~*")&gt;0)+(IFERROR(INDEX(Setup!$G$33:$G$40,MATCH(W2448,Setup!$B$33:$B$40,0)),0)=1)*(COUNTIF(W2408:W2425,$B2448)+COUNTIF(W2408:W2425,$B2448&amp;" ~*")&gt;0)+(IFERROR(INDEX(Setup!$G$33:$G$40,MATCH(Y2448,Setup!$B$33:$B$40,0)),0)=1)*(COUNTIF(Y2408:Y2425,$B2448)+COUNTIF(Y2408:Y2425,$B2448&amp;" ~*")&gt;0))</f>
        <v/>
      </c>
    </row>
    <row r="2449" ht="15" customHeight="1">
      <c r="A2449" t="n">
        <v>49</v>
      </c>
      <c r="B2449" s="35">
        <f>IF(Setup!$B$28="","",Setup!$B$28)</f>
        <v/>
      </c>
      <c r="C2449" s="98" t="n"/>
      <c r="D2449" s="99" t="n"/>
      <c r="E2449" s="99" t="n"/>
      <c r="F2449" s="100" t="n"/>
      <c r="G2449" s="98" t="n"/>
      <c r="H2449" s="99" t="n"/>
      <c r="I2449" s="99" t="n"/>
      <c r="J2449" s="100" t="n"/>
      <c r="K2449" s="98" t="n"/>
      <c r="L2449" s="99" t="n"/>
      <c r="M2449" s="99" t="n"/>
      <c r="N2449" s="100" t="n"/>
      <c r="O2449" s="98" t="n"/>
      <c r="P2449" s="99" t="n"/>
      <c r="Q2449" s="99" t="n"/>
      <c r="R2449" s="100" t="n"/>
      <c r="S2449" s="98" t="n"/>
      <c r="T2449" s="99" t="n"/>
      <c r="U2449" s="99" t="n"/>
      <c r="V2449" s="100" t="n"/>
      <c r="W2449" s="98" t="n"/>
      <c r="X2449" s="100" t="n"/>
      <c r="Y2449" s="98" t="n"/>
      <c r="Z2449" s="100" t="n"/>
      <c r="AB2449" s="101">
        <f>IF($B2449="","",(COUNTIF(C2408:E2425,$B2449)+COUNTIF(C2408:E2425,$B2449&amp;" ~*")&gt;0)+(COUNTIF(G2408:I2425,$B2449)+COUNTIF(G2408:I2425,$B2449&amp;" ~*")&gt;0)+(COUNTIF(K2408:M2425,$B2449)+COUNTIF(K2408:M2425,$B2449&amp;" ~*")&gt;0)+(COUNTIF(O2408:Q2425,$B2449)+COUNTIF(O2408:Q2425,$B2449&amp;" ~*")&gt;0)+(COUNTIF(S2408:U2425,$B2449)+COUNTIF(S2408:U2425,$B2449&amp;" ~*")&gt;0)+(COUNTIF(W2408:W2425,$B2449)+COUNTIF(W2408:W2425,$B2449&amp;" ~*")&gt;0)+(COUNTIF(Y2408:Y2425,$B2449)+COUNTIF(Y2408:Y2425,$B2449&amp;" ~*")&gt;0))</f>
        <v/>
      </c>
      <c r="AC2449" s="36">
        <f>IF($B2449="","",(IFERROR(INDEX(Setup!$G$33:$G$40,MATCH(C2449,Setup!$B$33:$B$40,0)),0)=1)*(COUNTIF(C2408:E2425,$B2449)+COUNTIF(C2408:E2425,$B2449&amp;" ~*")&gt;0)+(IFERROR(INDEX(Setup!$G$33:$G$40,MATCH(G2449,Setup!$B$33:$B$40,0)),0)=1)*(COUNTIF(G2408:I2425,$B2449)+COUNTIF(G2408:I2425,$B2449&amp;" ~*")&gt;0)+(IFERROR(INDEX(Setup!$G$33:$G$40,MATCH(K2449,Setup!$B$33:$B$40,0)),0)=1)*(COUNTIF(K2408:M2425,$B2449)+COUNTIF(K2408:M2425,$B2449&amp;" ~*")&gt;0)+(IFERROR(INDEX(Setup!$G$33:$G$40,MATCH(O2449,Setup!$B$33:$B$40,0)),0)=1)*(COUNTIF(O2408:Q2425,$B2449)+COUNTIF(O2408:Q2425,$B2449&amp;" ~*")&gt;0)+(IFERROR(INDEX(Setup!$G$33:$G$40,MATCH(S2449,Setup!$B$33:$B$40,0)),0)=1)*(COUNTIF(S2408:U2425,$B2449)+COUNTIF(S2408:U2425,$B2449&amp;" ~*")&gt;0)+(IFERROR(INDEX(Setup!$G$33:$G$40,MATCH(W2449,Setup!$B$33:$B$40,0)),0)=1)*(COUNTIF(W2408:W2425,$B2449)+COUNTIF(W2408:W2425,$B2449&amp;" ~*")&gt;0)+(IFERROR(INDEX(Setup!$G$33:$G$40,MATCH(Y2449,Setup!$B$33:$B$40,0)),0)=1)*(COUNTIF(Y2408:Y2425,$B2449)+COUNTIF(Y2408:Y2425,$B2449&amp;" ~*")&gt;0))</f>
        <v/>
      </c>
    </row>
    <row r="2450" ht="15" customHeight="1">
      <c r="A2450" t="n">
        <v>49</v>
      </c>
      <c r="B2450" s="37">
        <f>IF(Setup!$B$29="","",Setup!$B$29)</f>
        <v/>
      </c>
      <c r="C2450" s="102" t="n"/>
      <c r="D2450" s="103" t="n"/>
      <c r="E2450" s="103" t="n"/>
      <c r="F2450" s="104" t="n"/>
      <c r="G2450" s="102" t="n"/>
      <c r="H2450" s="103" t="n"/>
      <c r="I2450" s="103" t="n"/>
      <c r="J2450" s="104" t="n"/>
      <c r="K2450" s="102" t="n"/>
      <c r="L2450" s="103" t="n"/>
      <c r="M2450" s="103" t="n"/>
      <c r="N2450" s="104" t="n"/>
      <c r="O2450" s="102" t="n"/>
      <c r="P2450" s="103" t="n"/>
      <c r="Q2450" s="103" t="n"/>
      <c r="R2450" s="104" t="n"/>
      <c r="S2450" s="102" t="n"/>
      <c r="T2450" s="103" t="n"/>
      <c r="U2450" s="103" t="n"/>
      <c r="V2450" s="104" t="n"/>
      <c r="W2450" s="102" t="n"/>
      <c r="X2450" s="104" t="n"/>
      <c r="Y2450" s="102" t="n"/>
      <c r="Z2450" s="104" t="n"/>
      <c r="AB2450" s="105">
        <f>IF($B2450="","",(COUNTIF(C2408:E2425,$B2450)+COUNTIF(C2408:E2425,$B2450&amp;" ~*")&gt;0)+(COUNTIF(G2408:I2425,$B2450)+COUNTIF(G2408:I2425,$B2450&amp;" ~*")&gt;0)+(COUNTIF(K2408:M2425,$B2450)+COUNTIF(K2408:M2425,$B2450&amp;" ~*")&gt;0)+(COUNTIF(O2408:Q2425,$B2450)+COUNTIF(O2408:Q2425,$B2450&amp;" ~*")&gt;0)+(COUNTIF(S2408:U2425,$B2450)+COUNTIF(S2408:U2425,$B2450&amp;" ~*")&gt;0)+(COUNTIF(W2408:W2425,$B2450)+COUNTIF(W2408:W2425,$B2450&amp;" ~*")&gt;0)+(COUNTIF(Y2408:Y2425,$B2450)+COUNTIF(Y2408:Y2425,$B2450&amp;" ~*")&gt;0))</f>
        <v/>
      </c>
      <c r="AC2450" s="38">
        <f>IF($B2450="","",(IFERROR(INDEX(Setup!$G$33:$G$40,MATCH(C2450,Setup!$B$33:$B$40,0)),0)=1)*(COUNTIF(C2408:E2425,$B2450)+COUNTIF(C2408:E2425,$B2450&amp;" ~*")&gt;0)+(IFERROR(INDEX(Setup!$G$33:$G$40,MATCH(G2450,Setup!$B$33:$B$40,0)),0)=1)*(COUNTIF(G2408:I2425,$B2450)+COUNTIF(G2408:I2425,$B2450&amp;" ~*")&gt;0)+(IFERROR(INDEX(Setup!$G$33:$G$40,MATCH(K2450,Setup!$B$33:$B$40,0)),0)=1)*(COUNTIF(K2408:M2425,$B2450)+COUNTIF(K2408:M2425,$B2450&amp;" ~*")&gt;0)+(IFERROR(INDEX(Setup!$G$33:$G$40,MATCH(O2450,Setup!$B$33:$B$40,0)),0)=1)*(COUNTIF(O2408:Q2425,$B2450)+COUNTIF(O2408:Q2425,$B2450&amp;" ~*")&gt;0)+(IFERROR(INDEX(Setup!$G$33:$G$40,MATCH(S2450,Setup!$B$33:$B$40,0)),0)=1)*(COUNTIF(S2408:U2425,$B2450)+COUNTIF(S2408:U2425,$B2450&amp;" ~*")&gt;0)+(IFERROR(INDEX(Setup!$G$33:$G$40,MATCH(W2450,Setup!$B$33:$B$40,0)),0)=1)*(COUNTIF(W2408:W2425,$B2450)+COUNTIF(W2408:W2425,$B2450&amp;" ~*")&gt;0)+(IFERROR(INDEX(Setup!$G$33:$G$40,MATCH(Y2450,Setup!$B$33:$B$40,0)),0)=1)*(COUNTIF(Y2408:Y2425,$B2450)+COUNTIF(Y2408:Y2425,$B2450&amp;" ~*")&gt;0))</f>
        <v/>
      </c>
    </row>
    <row r="2451" ht="16" customHeight="1">
      <c r="A2451" t="n">
        <v>49</v>
      </c>
      <c r="B2451" s="106" t="inlineStr">
        <is>
          <t>Available people</t>
        </is>
      </c>
      <c r="C2451" s="107">
        <f>COUNTIFS(Setup!$E$6:$E$29,"Y",Setup!$B$6:$B$29,"?*")-SUMPRODUCT(COUNTIF(C2427:C2450,Setup!$F$33:$F$40))</f>
        <v/>
      </c>
      <c r="D2451" s="107" t="n"/>
      <c r="E2451" s="107" t="n"/>
      <c r="F2451" s="107" t="n"/>
      <c r="G2451" s="107">
        <f>COUNTIFS(Setup!$E$6:$E$29,"Y",Setup!$B$6:$B$29,"?*")-SUMPRODUCT(COUNTIF(G2427:G2450,Setup!$F$33:$F$40))</f>
        <v/>
      </c>
      <c r="H2451" s="107" t="n"/>
      <c r="I2451" s="107" t="n"/>
      <c r="J2451" s="107" t="n"/>
      <c r="K2451" s="107">
        <f>COUNTIFS(Setup!$E$6:$E$29,"Y",Setup!$B$6:$B$29,"?*")-SUMPRODUCT(COUNTIF(K2427:K2450,Setup!$F$33:$F$40))</f>
        <v/>
      </c>
      <c r="L2451" s="107" t="n"/>
      <c r="M2451" s="107" t="n"/>
      <c r="N2451" s="107" t="n"/>
      <c r="O2451" s="107">
        <f>COUNTIFS(Setup!$E$6:$E$29,"Y",Setup!$B$6:$B$29,"?*")-SUMPRODUCT(COUNTIF(O2427:O2450,Setup!$F$33:$F$40))</f>
        <v/>
      </c>
      <c r="P2451" s="107" t="n"/>
      <c r="Q2451" s="107" t="n"/>
      <c r="R2451" s="107" t="n"/>
      <c r="S2451" s="107">
        <f>COUNTIFS(Setup!$E$6:$E$29,"Y",Setup!$B$6:$B$29,"?*")-SUMPRODUCT(COUNTIF(S2427:S2450,Setup!$F$33:$F$40))</f>
        <v/>
      </c>
      <c r="T2451" s="107" t="n"/>
      <c r="U2451" s="107" t="n"/>
      <c r="V2451" s="107" t="n"/>
      <c r="W2451" s="107">
        <f>COUNTIFS(Setup!$E$6:$E$29,"Y",Setup!$B$6:$B$29,"?*")-SUMPRODUCT(COUNTIF(W2427:W2450,Setup!$F$33:$F$40))</f>
        <v/>
      </c>
      <c r="X2451" s="107" t="n"/>
      <c r="Y2451" s="107">
        <f>COUNTIFS(Setup!$E$6:$E$29,"Y",Setup!$B$6:$B$29,"?*")-SUMPRODUCT(COUNTIF(Y2427:Y2450,Setup!$F$33:$F$40))</f>
        <v/>
      </c>
      <c r="Z2451" s="107" t="n"/>
      <c r="AB2451" s="108">
        <f>SUM(AB2427:AB2450)</f>
        <v/>
      </c>
      <c r="AC2451" s="109">
        <f>SUM(AC2427:AC2450)</f>
        <v/>
      </c>
    </row>
    <row r="2452" ht="30" customHeight="1">
      <c r="A2452" t="n">
        <v>49</v>
      </c>
      <c r="B2452" s="110" t="inlineStr">
        <is>
          <t>Week notes</t>
        </is>
      </c>
      <c r="C2452" s="111" t="n"/>
      <c r="D2452" s="112" t="n"/>
      <c r="E2452" s="112" t="n"/>
      <c r="F2452" s="112" t="n"/>
      <c r="G2452" s="112" t="n"/>
      <c r="H2452" s="112" t="n"/>
      <c r="I2452" s="112" t="n"/>
      <c r="J2452" s="112" t="n"/>
      <c r="K2452" s="112" t="n"/>
      <c r="L2452" s="112" t="n"/>
      <c r="M2452" s="112" t="n"/>
      <c r="N2452" s="112" t="n"/>
      <c r="O2452" s="112" t="n"/>
      <c r="P2452" s="112" t="n"/>
      <c r="Q2452" s="112" t="n"/>
      <c r="R2452" s="112" t="n"/>
      <c r="S2452" s="112" t="n"/>
      <c r="T2452" s="112" t="n"/>
      <c r="U2452" s="112" t="n"/>
      <c r="V2452" s="112" t="n"/>
      <c r="W2452" s="112" t="n"/>
      <c r="X2452" s="112" t="n"/>
      <c r="Y2452" s="112" t="n"/>
      <c r="Z2452" s="113" t="n"/>
    </row>
    <row r="2453" ht="8" customHeight="1">
      <c r="A2453" t="n">
        <v>49</v>
      </c>
    </row>
    <row r="2454" ht="8" customHeight="1">
      <c r="A2454" t="n">
        <v>49</v>
      </c>
    </row>
    <row r="2455" ht="24" customHeight="1">
      <c r="A2455" t="n">
        <v>50</v>
      </c>
      <c r="B2455" s="73">
        <f>"WEEK 50     "&amp;TEXT(C2456,"ddd d mmm")&amp;"  –  "&amp;TEXT(C2456+6,"ddd d mmm yyyy")</f>
        <v/>
      </c>
      <c r="S2455" s="74">
        <f>IF(TODAY()&lt;C2456,"FUTURE",IF(TODAY()&gt;C2456+6,"PAST","THIS WEEK"))</f>
        <v/>
      </c>
      <c r="W2455" s="75">
        <f>IF(AND(Engine!$B$8=$AC$3,Engine!$B$9=$A2455),"◀ ACTIVE WEEK","")</f>
        <v/>
      </c>
      <c r="AA2455" s="76" t="n"/>
      <c r="AB2455" s="77" t="inlineStr">
        <is>
          <t>◀ Prev</t>
        </is>
      </c>
      <c r="AC2455" s="77" t="inlineStr">
        <is>
          <t>Next ▶</t>
        </is>
      </c>
    </row>
    <row r="2456" ht="18" customHeight="1">
      <c r="A2456" t="n">
        <v>50</v>
      </c>
      <c r="B2456" s="78" t="inlineStr">
        <is>
          <t>DUTY</t>
        </is>
      </c>
      <c r="C2456" s="79">
        <f>$AC$2+7*($A2456-1)</f>
        <v/>
      </c>
      <c r="D2456" s="80" t="n"/>
      <c r="E2456" s="80" t="n"/>
      <c r="F2456" s="81" t="n"/>
      <c r="G2456" s="79">
        <f>C2456+1</f>
        <v/>
      </c>
      <c r="H2456" s="80" t="n"/>
      <c r="I2456" s="80" t="n"/>
      <c r="J2456" s="81" t="n"/>
      <c r="K2456" s="79">
        <f>C2456+2</f>
        <v/>
      </c>
      <c r="L2456" s="80" t="n"/>
      <c r="M2456" s="80" t="n"/>
      <c r="N2456" s="81" t="n"/>
      <c r="O2456" s="79">
        <f>C2456+3</f>
        <v/>
      </c>
      <c r="P2456" s="80" t="n"/>
      <c r="Q2456" s="80" t="n"/>
      <c r="R2456" s="81" t="n"/>
      <c r="S2456" s="79">
        <f>C2456+4</f>
        <v/>
      </c>
      <c r="T2456" s="80" t="n"/>
      <c r="U2456" s="80" t="n"/>
      <c r="V2456" s="81" t="n"/>
      <c r="W2456" s="82">
        <f>C2456+5</f>
        <v/>
      </c>
      <c r="X2456" s="83" t="n"/>
      <c r="Y2456" s="82">
        <f>C2456+6</f>
        <v/>
      </c>
      <c r="Z2456" s="83" t="n"/>
      <c r="AB2456" s="72" t="inlineStr">
        <is>
          <t>Gaps</t>
        </is>
      </c>
      <c r="AC2456" s="72" t="inlineStr">
        <is>
          <t>Cover</t>
        </is>
      </c>
    </row>
    <row r="2457" ht="14" customHeight="1">
      <c r="A2457" t="n">
        <v>50</v>
      </c>
      <c r="B2457" s="84" t="inlineStr">
        <is>
          <t>(from Setup)</t>
        </is>
      </c>
      <c r="C2457" s="85" t="inlineStr">
        <is>
          <t>1</t>
        </is>
      </c>
      <c r="D2457" s="85" t="inlineStr">
        <is>
          <t>2</t>
        </is>
      </c>
      <c r="E2457" s="85" t="inlineStr">
        <is>
          <t>3</t>
        </is>
      </c>
      <c r="F2457" s="85" t="inlineStr">
        <is>
          <t>Notes</t>
        </is>
      </c>
      <c r="G2457" s="85" t="inlineStr">
        <is>
          <t>1</t>
        </is>
      </c>
      <c r="H2457" s="85" t="inlineStr">
        <is>
          <t>2</t>
        </is>
      </c>
      <c r="I2457" s="85" t="inlineStr">
        <is>
          <t>3</t>
        </is>
      </c>
      <c r="J2457" s="85" t="inlineStr">
        <is>
          <t>Notes</t>
        </is>
      </c>
      <c r="K2457" s="85" t="inlineStr">
        <is>
          <t>1</t>
        </is>
      </c>
      <c r="L2457" s="85" t="inlineStr">
        <is>
          <t>2</t>
        </is>
      </c>
      <c r="M2457" s="85" t="inlineStr">
        <is>
          <t>3</t>
        </is>
      </c>
      <c r="N2457" s="85" t="inlineStr">
        <is>
          <t>Notes</t>
        </is>
      </c>
      <c r="O2457" s="85" t="inlineStr">
        <is>
          <t>1</t>
        </is>
      </c>
      <c r="P2457" s="85" t="inlineStr">
        <is>
          <t>2</t>
        </is>
      </c>
      <c r="Q2457" s="85" t="inlineStr">
        <is>
          <t>3</t>
        </is>
      </c>
      <c r="R2457" s="85" t="inlineStr">
        <is>
          <t>Notes</t>
        </is>
      </c>
      <c r="S2457" s="85" t="inlineStr">
        <is>
          <t>1</t>
        </is>
      </c>
      <c r="T2457" s="85" t="inlineStr">
        <is>
          <t>2</t>
        </is>
      </c>
      <c r="U2457" s="85" t="inlineStr">
        <is>
          <t>3</t>
        </is>
      </c>
      <c r="V2457" s="85" t="inlineStr">
        <is>
          <t>Notes</t>
        </is>
      </c>
      <c r="W2457" s="85" t="inlineStr">
        <is>
          <t>Cover</t>
        </is>
      </c>
      <c r="X2457" s="85" t="inlineStr">
        <is>
          <t>Notes</t>
        </is>
      </c>
      <c r="Y2457" s="85" t="inlineStr">
        <is>
          <t>Cover</t>
        </is>
      </c>
      <c r="Z2457" s="85" t="inlineStr">
        <is>
          <t>Notes</t>
        </is>
      </c>
      <c r="AB2457" s="86" t="inlineStr">
        <is>
          <t>weekdays short</t>
        </is>
      </c>
      <c r="AC2457" s="87" t="inlineStr"/>
    </row>
    <row r="2458" ht="17" customHeight="1">
      <c r="A2458" t="n">
        <v>50</v>
      </c>
      <c r="B2458" s="24">
        <f>IF(Setup!$K$6="","",Setup!$K$6)</f>
        <v/>
      </c>
      <c r="C2458" s="88" t="n"/>
      <c r="D2458" s="88" t="n"/>
      <c r="E2458" s="88" t="n"/>
      <c r="F2458" s="89" t="n"/>
      <c r="G2458" s="88" t="n"/>
      <c r="H2458" s="88" t="n"/>
      <c r="I2458" s="88" t="n"/>
      <c r="J2458" s="89" t="n"/>
      <c r="K2458" s="88" t="n"/>
      <c r="L2458" s="88" t="n"/>
      <c r="M2458" s="88" t="n"/>
      <c r="N2458" s="89" t="n"/>
      <c r="O2458" s="88" t="n"/>
      <c r="P2458" s="88" t="n"/>
      <c r="Q2458" s="88" t="n"/>
      <c r="R2458" s="89" t="n"/>
      <c r="S2458" s="88" t="n"/>
      <c r="T2458" s="88" t="n"/>
      <c r="U2458" s="88" t="n"/>
      <c r="V2458" s="89" t="n"/>
      <c r="W2458" s="88" t="n"/>
      <c r="X2458" s="89" t="n"/>
      <c r="Y2458" s="88" t="n"/>
      <c r="Z2458" s="89" t="n"/>
      <c r="AB2458" s="25">
        <f>IF($B2458="","",(COUNTIF(C2458:E2458,"?*")&lt;N(INDEX(Setup!$L$6:$L$23,1)))+(COUNTIF(G2458:I2458,"?*")&lt;N(INDEX(Setup!$L$6:$L$23,1)))+(COUNTIF(K2458:M2458,"?*")&lt;N(INDEX(Setup!$L$6:$L$23,1)))+(COUNTIF(O2458:Q2458,"?*")&lt;N(INDEX(Setup!$L$6:$L$23,1)))+(COUNTIF(S2458:U2458,"?*")&lt;N(INDEX(Setup!$L$6:$L$23,1)))+((W2458="")*(INDEX(Setup!$M$6:$M$23,1)="Y"))+((Y2458="")*(INDEX(Setup!$M$6:$M$23,1)="Y")))</f>
        <v/>
      </c>
      <c r="AC2458" s="90">
        <f>IF($B2458="","",IF(AB2458=0,"✓ covered","⚠ "&amp;AB2458&amp;IF(AB2458=1," gap"," gaps")))</f>
        <v/>
      </c>
    </row>
    <row r="2459" ht="17" customHeight="1">
      <c r="A2459" t="n">
        <v>50</v>
      </c>
      <c r="B2459" s="29">
        <f>IF(Setup!$K$7="","",Setup!$K$7)</f>
        <v/>
      </c>
      <c r="C2459" s="88" t="n"/>
      <c r="D2459" s="88" t="n"/>
      <c r="E2459" s="88" t="n"/>
      <c r="F2459" s="89" t="n"/>
      <c r="G2459" s="88" t="n"/>
      <c r="H2459" s="88" t="n"/>
      <c r="I2459" s="88" t="n"/>
      <c r="J2459" s="89" t="n"/>
      <c r="K2459" s="88" t="n"/>
      <c r="L2459" s="88" t="n"/>
      <c r="M2459" s="88" t="n"/>
      <c r="N2459" s="89" t="n"/>
      <c r="O2459" s="88" t="n"/>
      <c r="P2459" s="88" t="n"/>
      <c r="Q2459" s="88" t="n"/>
      <c r="R2459" s="89" t="n"/>
      <c r="S2459" s="88" t="n"/>
      <c r="T2459" s="88" t="n"/>
      <c r="U2459" s="88" t="n"/>
      <c r="V2459" s="89" t="n"/>
      <c r="W2459" s="88" t="n"/>
      <c r="X2459" s="89" t="n"/>
      <c r="Y2459" s="88" t="n"/>
      <c r="Z2459" s="89" t="n"/>
      <c r="AB2459" s="30">
        <f>IF($B2459="","",(COUNTIF(C2459:E2459,"?*")&lt;N(INDEX(Setup!$L$6:$L$23,2)))+(COUNTIF(G2459:I2459,"?*")&lt;N(INDEX(Setup!$L$6:$L$23,2)))+(COUNTIF(K2459:M2459,"?*")&lt;N(INDEX(Setup!$L$6:$L$23,2)))+(COUNTIF(O2459:Q2459,"?*")&lt;N(INDEX(Setup!$L$6:$L$23,2)))+(COUNTIF(S2459:U2459,"?*")&lt;N(INDEX(Setup!$L$6:$L$23,2)))+((W2459="")*(INDEX(Setup!$M$6:$M$23,2)="Y"))+((Y2459="")*(INDEX(Setup!$M$6:$M$23,2)="Y")))</f>
        <v/>
      </c>
      <c r="AC2459" s="91">
        <f>IF($B2459="","",IF(AB2459=0,"✓ covered","⚠ "&amp;AB2459&amp;IF(AB2459=1," gap"," gaps")))</f>
        <v/>
      </c>
    </row>
    <row r="2460" ht="17" customHeight="1">
      <c r="A2460" t="n">
        <v>50</v>
      </c>
      <c r="B2460" s="24">
        <f>IF(Setup!$K$8="","",Setup!$K$8)</f>
        <v/>
      </c>
      <c r="C2460" s="88" t="n"/>
      <c r="D2460" s="88" t="n"/>
      <c r="E2460" s="88" t="n"/>
      <c r="F2460" s="89" t="n"/>
      <c r="G2460" s="88" t="n"/>
      <c r="H2460" s="88" t="n"/>
      <c r="I2460" s="88" t="n"/>
      <c r="J2460" s="89" t="n"/>
      <c r="K2460" s="88" t="n"/>
      <c r="L2460" s="88" t="n"/>
      <c r="M2460" s="88" t="n"/>
      <c r="N2460" s="89" t="n"/>
      <c r="O2460" s="88" t="n"/>
      <c r="P2460" s="88" t="n"/>
      <c r="Q2460" s="88" t="n"/>
      <c r="R2460" s="89" t="n"/>
      <c r="S2460" s="88" t="n"/>
      <c r="T2460" s="88" t="n"/>
      <c r="U2460" s="88" t="n"/>
      <c r="V2460" s="89" t="n"/>
      <c r="W2460" s="88" t="n"/>
      <c r="X2460" s="89" t="n"/>
      <c r="Y2460" s="88" t="n"/>
      <c r="Z2460" s="89" t="n"/>
      <c r="AB2460" s="25">
        <f>IF($B2460="","",(COUNTIF(C2460:E2460,"?*")&lt;N(INDEX(Setup!$L$6:$L$23,3)))+(COUNTIF(G2460:I2460,"?*")&lt;N(INDEX(Setup!$L$6:$L$23,3)))+(COUNTIF(K2460:M2460,"?*")&lt;N(INDEX(Setup!$L$6:$L$23,3)))+(COUNTIF(O2460:Q2460,"?*")&lt;N(INDEX(Setup!$L$6:$L$23,3)))+(COUNTIF(S2460:U2460,"?*")&lt;N(INDEX(Setup!$L$6:$L$23,3)))+((W2460="")*(INDEX(Setup!$M$6:$M$23,3)="Y"))+((Y2460="")*(INDEX(Setup!$M$6:$M$23,3)="Y")))</f>
        <v/>
      </c>
      <c r="AC2460" s="90">
        <f>IF($B2460="","",IF(AB2460=0,"✓ covered","⚠ "&amp;AB2460&amp;IF(AB2460=1," gap"," gaps")))</f>
        <v/>
      </c>
    </row>
    <row r="2461" ht="17" customHeight="1">
      <c r="A2461" t="n">
        <v>50</v>
      </c>
      <c r="B2461" s="29">
        <f>IF(Setup!$K$9="","",Setup!$K$9)</f>
        <v/>
      </c>
      <c r="C2461" s="88" t="n"/>
      <c r="D2461" s="88" t="n"/>
      <c r="E2461" s="88" t="n"/>
      <c r="F2461" s="89" t="n"/>
      <c r="G2461" s="88" t="n"/>
      <c r="H2461" s="88" t="n"/>
      <c r="I2461" s="88" t="n"/>
      <c r="J2461" s="89" t="n"/>
      <c r="K2461" s="88" t="n"/>
      <c r="L2461" s="88" t="n"/>
      <c r="M2461" s="88" t="n"/>
      <c r="N2461" s="89" t="n"/>
      <c r="O2461" s="88" t="n"/>
      <c r="P2461" s="88" t="n"/>
      <c r="Q2461" s="88" t="n"/>
      <c r="R2461" s="89" t="n"/>
      <c r="S2461" s="88" t="n"/>
      <c r="T2461" s="88" t="n"/>
      <c r="U2461" s="88" t="n"/>
      <c r="V2461" s="89" t="n"/>
      <c r="W2461" s="88" t="n"/>
      <c r="X2461" s="89" t="n"/>
      <c r="Y2461" s="88" t="n"/>
      <c r="Z2461" s="89" t="n"/>
      <c r="AB2461" s="30">
        <f>IF($B2461="","",(COUNTIF(C2461:E2461,"?*")&lt;N(INDEX(Setup!$L$6:$L$23,4)))+(COUNTIF(G2461:I2461,"?*")&lt;N(INDEX(Setup!$L$6:$L$23,4)))+(COUNTIF(K2461:M2461,"?*")&lt;N(INDEX(Setup!$L$6:$L$23,4)))+(COUNTIF(O2461:Q2461,"?*")&lt;N(INDEX(Setup!$L$6:$L$23,4)))+(COUNTIF(S2461:U2461,"?*")&lt;N(INDEX(Setup!$L$6:$L$23,4)))+((W2461="")*(INDEX(Setup!$M$6:$M$23,4)="Y"))+((Y2461="")*(INDEX(Setup!$M$6:$M$23,4)="Y")))</f>
        <v/>
      </c>
      <c r="AC2461" s="91">
        <f>IF($B2461="","",IF(AB2461=0,"✓ covered","⚠ "&amp;AB2461&amp;IF(AB2461=1," gap"," gaps")))</f>
        <v/>
      </c>
    </row>
    <row r="2462" ht="17" customHeight="1">
      <c r="A2462" t="n">
        <v>50</v>
      </c>
      <c r="B2462" s="24">
        <f>IF(Setup!$K$10="","",Setup!$K$10)</f>
        <v/>
      </c>
      <c r="C2462" s="88" t="n"/>
      <c r="D2462" s="88" t="n"/>
      <c r="E2462" s="88" t="n"/>
      <c r="F2462" s="89" t="n"/>
      <c r="G2462" s="88" t="n"/>
      <c r="H2462" s="88" t="n"/>
      <c r="I2462" s="88" t="n"/>
      <c r="J2462" s="89" t="n"/>
      <c r="K2462" s="88" t="n"/>
      <c r="L2462" s="88" t="n"/>
      <c r="M2462" s="88" t="n"/>
      <c r="N2462" s="89" t="n"/>
      <c r="O2462" s="88" t="n"/>
      <c r="P2462" s="88" t="n"/>
      <c r="Q2462" s="88" t="n"/>
      <c r="R2462" s="89" t="n"/>
      <c r="S2462" s="88" t="n"/>
      <c r="T2462" s="88" t="n"/>
      <c r="U2462" s="88" t="n"/>
      <c r="V2462" s="89" t="n"/>
      <c r="W2462" s="88" t="n"/>
      <c r="X2462" s="89" t="n"/>
      <c r="Y2462" s="88" t="n"/>
      <c r="Z2462" s="89" t="n"/>
      <c r="AB2462" s="25">
        <f>IF($B2462="","",(COUNTIF(C2462:E2462,"?*")&lt;N(INDEX(Setup!$L$6:$L$23,5)))+(COUNTIF(G2462:I2462,"?*")&lt;N(INDEX(Setup!$L$6:$L$23,5)))+(COUNTIF(K2462:M2462,"?*")&lt;N(INDEX(Setup!$L$6:$L$23,5)))+(COUNTIF(O2462:Q2462,"?*")&lt;N(INDEX(Setup!$L$6:$L$23,5)))+(COUNTIF(S2462:U2462,"?*")&lt;N(INDEX(Setup!$L$6:$L$23,5)))+((W2462="")*(INDEX(Setup!$M$6:$M$23,5)="Y"))+((Y2462="")*(INDEX(Setup!$M$6:$M$23,5)="Y")))</f>
        <v/>
      </c>
      <c r="AC2462" s="90">
        <f>IF($B2462="","",IF(AB2462=0,"✓ covered","⚠ "&amp;AB2462&amp;IF(AB2462=1," gap"," gaps")))</f>
        <v/>
      </c>
    </row>
    <row r="2463" ht="17" customHeight="1">
      <c r="A2463" t="n">
        <v>50</v>
      </c>
      <c r="B2463" s="29">
        <f>IF(Setup!$K$11="","",Setup!$K$11)</f>
        <v/>
      </c>
      <c r="C2463" s="88" t="n"/>
      <c r="D2463" s="88" t="n"/>
      <c r="E2463" s="88" t="n"/>
      <c r="F2463" s="89" t="n"/>
      <c r="G2463" s="88" t="n"/>
      <c r="H2463" s="88" t="n"/>
      <c r="I2463" s="88" t="n"/>
      <c r="J2463" s="89" t="n"/>
      <c r="K2463" s="88" t="n"/>
      <c r="L2463" s="88" t="n"/>
      <c r="M2463" s="88" t="n"/>
      <c r="N2463" s="89" t="n"/>
      <c r="O2463" s="88" t="n"/>
      <c r="P2463" s="88" t="n"/>
      <c r="Q2463" s="88" t="n"/>
      <c r="R2463" s="89" t="n"/>
      <c r="S2463" s="88" t="n"/>
      <c r="T2463" s="88" t="n"/>
      <c r="U2463" s="88" t="n"/>
      <c r="V2463" s="89" t="n"/>
      <c r="W2463" s="88" t="n"/>
      <c r="X2463" s="89" t="n"/>
      <c r="Y2463" s="88" t="n"/>
      <c r="Z2463" s="89" t="n"/>
      <c r="AB2463" s="30">
        <f>IF($B2463="","",(COUNTIF(C2463:E2463,"?*")&lt;N(INDEX(Setup!$L$6:$L$23,6)))+(COUNTIF(G2463:I2463,"?*")&lt;N(INDEX(Setup!$L$6:$L$23,6)))+(COUNTIF(K2463:M2463,"?*")&lt;N(INDEX(Setup!$L$6:$L$23,6)))+(COUNTIF(O2463:Q2463,"?*")&lt;N(INDEX(Setup!$L$6:$L$23,6)))+(COUNTIF(S2463:U2463,"?*")&lt;N(INDEX(Setup!$L$6:$L$23,6)))+((W2463="")*(INDEX(Setup!$M$6:$M$23,6)="Y"))+((Y2463="")*(INDEX(Setup!$M$6:$M$23,6)="Y")))</f>
        <v/>
      </c>
      <c r="AC2463" s="91">
        <f>IF($B2463="","",IF(AB2463=0,"✓ covered","⚠ "&amp;AB2463&amp;IF(AB2463=1," gap"," gaps")))</f>
        <v/>
      </c>
    </row>
    <row r="2464" ht="17" customHeight="1">
      <c r="A2464" t="n">
        <v>50</v>
      </c>
      <c r="B2464" s="24">
        <f>IF(Setup!$K$12="","",Setup!$K$12)</f>
        <v/>
      </c>
      <c r="C2464" s="88" t="n"/>
      <c r="D2464" s="88" t="n"/>
      <c r="E2464" s="88" t="n"/>
      <c r="F2464" s="89" t="n"/>
      <c r="G2464" s="88" t="n"/>
      <c r="H2464" s="88" t="n"/>
      <c r="I2464" s="88" t="n"/>
      <c r="J2464" s="89" t="n"/>
      <c r="K2464" s="88" t="n"/>
      <c r="L2464" s="88" t="n"/>
      <c r="M2464" s="88" t="n"/>
      <c r="N2464" s="89" t="n"/>
      <c r="O2464" s="88" t="n"/>
      <c r="P2464" s="88" t="n"/>
      <c r="Q2464" s="88" t="n"/>
      <c r="R2464" s="89" t="n"/>
      <c r="S2464" s="88" t="n"/>
      <c r="T2464" s="88" t="n"/>
      <c r="U2464" s="88" t="n"/>
      <c r="V2464" s="89" t="n"/>
      <c r="W2464" s="88" t="n"/>
      <c r="X2464" s="89" t="n"/>
      <c r="Y2464" s="88" t="n"/>
      <c r="Z2464" s="89" t="n"/>
      <c r="AB2464" s="25">
        <f>IF($B2464="","",(COUNTIF(C2464:E2464,"?*")&lt;N(INDEX(Setup!$L$6:$L$23,7)))+(COUNTIF(G2464:I2464,"?*")&lt;N(INDEX(Setup!$L$6:$L$23,7)))+(COUNTIF(K2464:M2464,"?*")&lt;N(INDEX(Setup!$L$6:$L$23,7)))+(COUNTIF(O2464:Q2464,"?*")&lt;N(INDEX(Setup!$L$6:$L$23,7)))+(COUNTIF(S2464:U2464,"?*")&lt;N(INDEX(Setup!$L$6:$L$23,7)))+((W2464="")*(INDEX(Setup!$M$6:$M$23,7)="Y"))+((Y2464="")*(INDEX(Setup!$M$6:$M$23,7)="Y")))</f>
        <v/>
      </c>
      <c r="AC2464" s="90">
        <f>IF($B2464="","",IF(AB2464=0,"✓ covered","⚠ "&amp;AB2464&amp;IF(AB2464=1," gap"," gaps")))</f>
        <v/>
      </c>
    </row>
    <row r="2465" ht="17" customHeight="1">
      <c r="A2465" t="n">
        <v>50</v>
      </c>
      <c r="B2465" s="29">
        <f>IF(Setup!$K$13="","",Setup!$K$13)</f>
        <v/>
      </c>
      <c r="C2465" s="88" t="n"/>
      <c r="D2465" s="88" t="n"/>
      <c r="E2465" s="88" t="n"/>
      <c r="F2465" s="89" t="n"/>
      <c r="G2465" s="88" t="n"/>
      <c r="H2465" s="88" t="n"/>
      <c r="I2465" s="88" t="n"/>
      <c r="J2465" s="89" t="n"/>
      <c r="K2465" s="88" t="n"/>
      <c r="L2465" s="88" t="n"/>
      <c r="M2465" s="88" t="n"/>
      <c r="N2465" s="89" t="n"/>
      <c r="O2465" s="88" t="n"/>
      <c r="P2465" s="88" t="n"/>
      <c r="Q2465" s="88" t="n"/>
      <c r="R2465" s="89" t="n"/>
      <c r="S2465" s="88" t="n"/>
      <c r="T2465" s="88" t="n"/>
      <c r="U2465" s="88" t="n"/>
      <c r="V2465" s="89" t="n"/>
      <c r="W2465" s="88" t="n"/>
      <c r="X2465" s="89" t="n"/>
      <c r="Y2465" s="88" t="n"/>
      <c r="Z2465" s="89" t="n"/>
      <c r="AB2465" s="30">
        <f>IF($B2465="","",(COUNTIF(C2465:E2465,"?*")&lt;N(INDEX(Setup!$L$6:$L$23,8)))+(COUNTIF(G2465:I2465,"?*")&lt;N(INDEX(Setup!$L$6:$L$23,8)))+(COUNTIF(K2465:M2465,"?*")&lt;N(INDEX(Setup!$L$6:$L$23,8)))+(COUNTIF(O2465:Q2465,"?*")&lt;N(INDEX(Setup!$L$6:$L$23,8)))+(COUNTIF(S2465:U2465,"?*")&lt;N(INDEX(Setup!$L$6:$L$23,8)))+((W2465="")*(INDEX(Setup!$M$6:$M$23,8)="Y"))+((Y2465="")*(INDEX(Setup!$M$6:$M$23,8)="Y")))</f>
        <v/>
      </c>
      <c r="AC2465" s="91">
        <f>IF($B2465="","",IF(AB2465=0,"✓ covered","⚠ "&amp;AB2465&amp;IF(AB2465=1," gap"," gaps")))</f>
        <v/>
      </c>
    </row>
    <row r="2466" ht="17" customHeight="1">
      <c r="A2466" t="n">
        <v>50</v>
      </c>
      <c r="B2466" s="24">
        <f>IF(Setup!$K$14="","",Setup!$K$14)</f>
        <v/>
      </c>
      <c r="C2466" s="88" t="n"/>
      <c r="D2466" s="88" t="n"/>
      <c r="E2466" s="88" t="n"/>
      <c r="F2466" s="89" t="n"/>
      <c r="G2466" s="88" t="n"/>
      <c r="H2466" s="88" t="n"/>
      <c r="I2466" s="88" t="n"/>
      <c r="J2466" s="89" t="n"/>
      <c r="K2466" s="88" t="n"/>
      <c r="L2466" s="88" t="n"/>
      <c r="M2466" s="88" t="n"/>
      <c r="N2466" s="89" t="n"/>
      <c r="O2466" s="88" t="n"/>
      <c r="P2466" s="88" t="n"/>
      <c r="Q2466" s="88" t="n"/>
      <c r="R2466" s="89" t="n"/>
      <c r="S2466" s="88" t="n"/>
      <c r="T2466" s="88" t="n"/>
      <c r="U2466" s="88" t="n"/>
      <c r="V2466" s="89" t="n"/>
      <c r="W2466" s="88" t="n"/>
      <c r="X2466" s="89" t="n"/>
      <c r="Y2466" s="88" t="n"/>
      <c r="Z2466" s="89" t="n"/>
      <c r="AB2466" s="25">
        <f>IF($B2466="","",(COUNTIF(C2466:E2466,"?*")&lt;N(INDEX(Setup!$L$6:$L$23,9)))+(COUNTIF(G2466:I2466,"?*")&lt;N(INDEX(Setup!$L$6:$L$23,9)))+(COUNTIF(K2466:M2466,"?*")&lt;N(INDEX(Setup!$L$6:$L$23,9)))+(COUNTIF(O2466:Q2466,"?*")&lt;N(INDEX(Setup!$L$6:$L$23,9)))+(COUNTIF(S2466:U2466,"?*")&lt;N(INDEX(Setup!$L$6:$L$23,9)))+((W2466="")*(INDEX(Setup!$M$6:$M$23,9)="Y"))+((Y2466="")*(INDEX(Setup!$M$6:$M$23,9)="Y")))</f>
        <v/>
      </c>
      <c r="AC2466" s="90">
        <f>IF($B2466="","",IF(AB2466=0,"✓ covered","⚠ "&amp;AB2466&amp;IF(AB2466=1," gap"," gaps")))</f>
        <v/>
      </c>
    </row>
    <row r="2467" ht="17" customHeight="1">
      <c r="A2467" t="n">
        <v>50</v>
      </c>
      <c r="B2467" s="29">
        <f>IF(Setup!$K$15="","",Setup!$K$15)</f>
        <v/>
      </c>
      <c r="C2467" s="88" t="n"/>
      <c r="D2467" s="88" t="n"/>
      <c r="E2467" s="88" t="n"/>
      <c r="F2467" s="89" t="n"/>
      <c r="G2467" s="88" t="n"/>
      <c r="H2467" s="88" t="n"/>
      <c r="I2467" s="88" t="n"/>
      <c r="J2467" s="89" t="n"/>
      <c r="K2467" s="88" t="n"/>
      <c r="L2467" s="88" t="n"/>
      <c r="M2467" s="88" t="n"/>
      <c r="N2467" s="89" t="n"/>
      <c r="O2467" s="88" t="n"/>
      <c r="P2467" s="88" t="n"/>
      <c r="Q2467" s="88" t="n"/>
      <c r="R2467" s="89" t="n"/>
      <c r="S2467" s="88" t="n"/>
      <c r="T2467" s="88" t="n"/>
      <c r="U2467" s="88" t="n"/>
      <c r="V2467" s="89" t="n"/>
      <c r="W2467" s="88" t="n"/>
      <c r="X2467" s="89" t="n"/>
      <c r="Y2467" s="88" t="n"/>
      <c r="Z2467" s="89" t="n"/>
      <c r="AB2467" s="30">
        <f>IF($B2467="","",(COUNTIF(C2467:E2467,"?*")&lt;N(INDEX(Setup!$L$6:$L$23,10)))+(COUNTIF(G2467:I2467,"?*")&lt;N(INDEX(Setup!$L$6:$L$23,10)))+(COUNTIF(K2467:M2467,"?*")&lt;N(INDEX(Setup!$L$6:$L$23,10)))+(COUNTIF(O2467:Q2467,"?*")&lt;N(INDEX(Setup!$L$6:$L$23,10)))+(COUNTIF(S2467:U2467,"?*")&lt;N(INDEX(Setup!$L$6:$L$23,10)))+((W2467="")*(INDEX(Setup!$M$6:$M$23,10)="Y"))+((Y2467="")*(INDEX(Setup!$M$6:$M$23,10)="Y")))</f>
        <v/>
      </c>
      <c r="AC2467" s="91">
        <f>IF($B2467="","",IF(AB2467=0,"✓ covered","⚠ "&amp;AB2467&amp;IF(AB2467=1," gap"," gaps")))</f>
        <v/>
      </c>
    </row>
    <row r="2468" ht="17" customHeight="1">
      <c r="A2468" t="n">
        <v>50</v>
      </c>
      <c r="B2468" s="24">
        <f>IF(Setup!$K$16="","",Setup!$K$16)</f>
        <v/>
      </c>
      <c r="C2468" s="88" t="n"/>
      <c r="D2468" s="88" t="n"/>
      <c r="E2468" s="88" t="n"/>
      <c r="F2468" s="89" t="n"/>
      <c r="G2468" s="88" t="n"/>
      <c r="H2468" s="88" t="n"/>
      <c r="I2468" s="88" t="n"/>
      <c r="J2468" s="89" t="n"/>
      <c r="K2468" s="88" t="n"/>
      <c r="L2468" s="88" t="n"/>
      <c r="M2468" s="88" t="n"/>
      <c r="N2468" s="89" t="n"/>
      <c r="O2468" s="88" t="n"/>
      <c r="P2468" s="88" t="n"/>
      <c r="Q2468" s="88" t="n"/>
      <c r="R2468" s="89" t="n"/>
      <c r="S2468" s="88" t="n"/>
      <c r="T2468" s="88" t="n"/>
      <c r="U2468" s="88" t="n"/>
      <c r="V2468" s="89" t="n"/>
      <c r="W2468" s="88" t="n"/>
      <c r="X2468" s="89" t="n"/>
      <c r="Y2468" s="88" t="n"/>
      <c r="Z2468" s="89" t="n"/>
      <c r="AB2468" s="25">
        <f>IF($B2468="","",(COUNTIF(C2468:E2468,"?*")&lt;N(INDEX(Setup!$L$6:$L$23,11)))+(COUNTIF(G2468:I2468,"?*")&lt;N(INDEX(Setup!$L$6:$L$23,11)))+(COUNTIF(K2468:M2468,"?*")&lt;N(INDEX(Setup!$L$6:$L$23,11)))+(COUNTIF(O2468:Q2468,"?*")&lt;N(INDEX(Setup!$L$6:$L$23,11)))+(COUNTIF(S2468:U2468,"?*")&lt;N(INDEX(Setup!$L$6:$L$23,11)))+((W2468="")*(INDEX(Setup!$M$6:$M$23,11)="Y"))+((Y2468="")*(INDEX(Setup!$M$6:$M$23,11)="Y")))</f>
        <v/>
      </c>
      <c r="AC2468" s="90">
        <f>IF($B2468="","",IF(AB2468=0,"✓ covered","⚠ "&amp;AB2468&amp;IF(AB2468=1," gap"," gaps")))</f>
        <v/>
      </c>
    </row>
    <row r="2469" ht="17" customHeight="1">
      <c r="A2469" t="n">
        <v>50</v>
      </c>
      <c r="B2469" s="29">
        <f>IF(Setup!$K$17="","",Setup!$K$17)</f>
        <v/>
      </c>
      <c r="C2469" s="88" t="n"/>
      <c r="D2469" s="88" t="n"/>
      <c r="E2469" s="88" t="n"/>
      <c r="F2469" s="89" t="n"/>
      <c r="G2469" s="88" t="n"/>
      <c r="H2469" s="88" t="n"/>
      <c r="I2469" s="88" t="n"/>
      <c r="J2469" s="89" t="n"/>
      <c r="K2469" s="88" t="n"/>
      <c r="L2469" s="88" t="n"/>
      <c r="M2469" s="88" t="n"/>
      <c r="N2469" s="89" t="n"/>
      <c r="O2469" s="88" t="n"/>
      <c r="P2469" s="88" t="n"/>
      <c r="Q2469" s="88" t="n"/>
      <c r="R2469" s="89" t="n"/>
      <c r="S2469" s="88" t="n"/>
      <c r="T2469" s="88" t="n"/>
      <c r="U2469" s="88" t="n"/>
      <c r="V2469" s="89" t="n"/>
      <c r="W2469" s="88" t="n"/>
      <c r="X2469" s="89" t="n"/>
      <c r="Y2469" s="88" t="n"/>
      <c r="Z2469" s="89" t="n"/>
      <c r="AB2469" s="30">
        <f>IF($B2469="","",(COUNTIF(C2469:E2469,"?*")&lt;N(INDEX(Setup!$L$6:$L$23,12)))+(COUNTIF(G2469:I2469,"?*")&lt;N(INDEX(Setup!$L$6:$L$23,12)))+(COUNTIF(K2469:M2469,"?*")&lt;N(INDEX(Setup!$L$6:$L$23,12)))+(COUNTIF(O2469:Q2469,"?*")&lt;N(INDEX(Setup!$L$6:$L$23,12)))+(COUNTIF(S2469:U2469,"?*")&lt;N(INDEX(Setup!$L$6:$L$23,12)))+((W2469="")*(INDEX(Setup!$M$6:$M$23,12)="Y"))+((Y2469="")*(INDEX(Setup!$M$6:$M$23,12)="Y")))</f>
        <v/>
      </c>
      <c r="AC2469" s="91">
        <f>IF($B2469="","",IF(AB2469=0,"✓ covered","⚠ "&amp;AB2469&amp;IF(AB2469=1," gap"," gaps")))</f>
        <v/>
      </c>
    </row>
    <row r="2470" ht="17" customHeight="1">
      <c r="A2470" t="n">
        <v>50</v>
      </c>
      <c r="B2470" s="24">
        <f>IF(Setup!$K$18="","",Setup!$K$18)</f>
        <v/>
      </c>
      <c r="C2470" s="88" t="n"/>
      <c r="D2470" s="88" t="n"/>
      <c r="E2470" s="88" t="n"/>
      <c r="F2470" s="89" t="n"/>
      <c r="G2470" s="88" t="n"/>
      <c r="H2470" s="88" t="n"/>
      <c r="I2470" s="88" t="n"/>
      <c r="J2470" s="89" t="n"/>
      <c r="K2470" s="88" t="n"/>
      <c r="L2470" s="88" t="n"/>
      <c r="M2470" s="88" t="n"/>
      <c r="N2470" s="89" t="n"/>
      <c r="O2470" s="88" t="n"/>
      <c r="P2470" s="88" t="n"/>
      <c r="Q2470" s="88" t="n"/>
      <c r="R2470" s="89" t="n"/>
      <c r="S2470" s="88" t="n"/>
      <c r="T2470" s="88" t="n"/>
      <c r="U2470" s="88" t="n"/>
      <c r="V2470" s="89" t="n"/>
      <c r="W2470" s="88" t="n"/>
      <c r="X2470" s="89" t="n"/>
      <c r="Y2470" s="88" t="n"/>
      <c r="Z2470" s="89" t="n"/>
      <c r="AB2470" s="25">
        <f>IF($B2470="","",(COUNTIF(C2470:E2470,"?*")&lt;N(INDEX(Setup!$L$6:$L$23,13)))+(COUNTIF(G2470:I2470,"?*")&lt;N(INDEX(Setup!$L$6:$L$23,13)))+(COUNTIF(K2470:M2470,"?*")&lt;N(INDEX(Setup!$L$6:$L$23,13)))+(COUNTIF(O2470:Q2470,"?*")&lt;N(INDEX(Setup!$L$6:$L$23,13)))+(COUNTIF(S2470:U2470,"?*")&lt;N(INDEX(Setup!$L$6:$L$23,13)))+((W2470="")*(INDEX(Setup!$M$6:$M$23,13)="Y"))+((Y2470="")*(INDEX(Setup!$M$6:$M$23,13)="Y")))</f>
        <v/>
      </c>
      <c r="AC2470" s="90">
        <f>IF($B2470="","",IF(AB2470=0,"✓ covered","⚠ "&amp;AB2470&amp;IF(AB2470=1," gap"," gaps")))</f>
        <v/>
      </c>
    </row>
    <row r="2471" ht="17" customHeight="1">
      <c r="A2471" t="n">
        <v>50</v>
      </c>
      <c r="B2471" s="29">
        <f>IF(Setup!$K$19="","",Setup!$K$19)</f>
        <v/>
      </c>
      <c r="C2471" s="88" t="n"/>
      <c r="D2471" s="88" t="n"/>
      <c r="E2471" s="88" t="n"/>
      <c r="F2471" s="89" t="n"/>
      <c r="G2471" s="88" t="n"/>
      <c r="H2471" s="88" t="n"/>
      <c r="I2471" s="88" t="n"/>
      <c r="J2471" s="89" t="n"/>
      <c r="K2471" s="88" t="n"/>
      <c r="L2471" s="88" t="n"/>
      <c r="M2471" s="88" t="n"/>
      <c r="N2471" s="89" t="n"/>
      <c r="O2471" s="88" t="n"/>
      <c r="P2471" s="88" t="n"/>
      <c r="Q2471" s="88" t="n"/>
      <c r="R2471" s="89" t="n"/>
      <c r="S2471" s="88" t="n"/>
      <c r="T2471" s="88" t="n"/>
      <c r="U2471" s="88" t="n"/>
      <c r="V2471" s="89" t="n"/>
      <c r="W2471" s="88" t="n"/>
      <c r="X2471" s="89" t="n"/>
      <c r="Y2471" s="88" t="n"/>
      <c r="Z2471" s="89" t="n"/>
      <c r="AB2471" s="30">
        <f>IF($B2471="","",(COUNTIF(C2471:E2471,"?*")&lt;N(INDEX(Setup!$L$6:$L$23,14)))+(COUNTIF(G2471:I2471,"?*")&lt;N(INDEX(Setup!$L$6:$L$23,14)))+(COUNTIF(K2471:M2471,"?*")&lt;N(INDEX(Setup!$L$6:$L$23,14)))+(COUNTIF(O2471:Q2471,"?*")&lt;N(INDEX(Setup!$L$6:$L$23,14)))+(COUNTIF(S2471:U2471,"?*")&lt;N(INDEX(Setup!$L$6:$L$23,14)))+((W2471="")*(INDEX(Setup!$M$6:$M$23,14)="Y"))+((Y2471="")*(INDEX(Setup!$M$6:$M$23,14)="Y")))</f>
        <v/>
      </c>
      <c r="AC2471" s="91">
        <f>IF($B2471="","",IF(AB2471=0,"✓ covered","⚠ "&amp;AB2471&amp;IF(AB2471=1," gap"," gaps")))</f>
        <v/>
      </c>
    </row>
    <row r="2472" ht="17" customHeight="1">
      <c r="A2472" t="n">
        <v>50</v>
      </c>
      <c r="B2472" s="24">
        <f>IF(Setup!$K$20="","",Setup!$K$20)</f>
        <v/>
      </c>
      <c r="C2472" s="88" t="n"/>
      <c r="D2472" s="88" t="n"/>
      <c r="E2472" s="88" t="n"/>
      <c r="F2472" s="89" t="n"/>
      <c r="G2472" s="88" t="n"/>
      <c r="H2472" s="88" t="n"/>
      <c r="I2472" s="88" t="n"/>
      <c r="J2472" s="89" t="n"/>
      <c r="K2472" s="88" t="n"/>
      <c r="L2472" s="88" t="n"/>
      <c r="M2472" s="88" t="n"/>
      <c r="N2472" s="89" t="n"/>
      <c r="O2472" s="88" t="n"/>
      <c r="P2472" s="88" t="n"/>
      <c r="Q2472" s="88" t="n"/>
      <c r="R2472" s="89" t="n"/>
      <c r="S2472" s="88" t="n"/>
      <c r="T2472" s="88" t="n"/>
      <c r="U2472" s="88" t="n"/>
      <c r="V2472" s="89" t="n"/>
      <c r="W2472" s="88" t="n"/>
      <c r="X2472" s="89" t="n"/>
      <c r="Y2472" s="88" t="n"/>
      <c r="Z2472" s="89" t="n"/>
      <c r="AB2472" s="25">
        <f>IF($B2472="","",(COUNTIF(C2472:E2472,"?*")&lt;N(INDEX(Setup!$L$6:$L$23,15)))+(COUNTIF(G2472:I2472,"?*")&lt;N(INDEX(Setup!$L$6:$L$23,15)))+(COUNTIF(K2472:M2472,"?*")&lt;N(INDEX(Setup!$L$6:$L$23,15)))+(COUNTIF(O2472:Q2472,"?*")&lt;N(INDEX(Setup!$L$6:$L$23,15)))+(COUNTIF(S2472:U2472,"?*")&lt;N(INDEX(Setup!$L$6:$L$23,15)))+((W2472="")*(INDEX(Setup!$M$6:$M$23,15)="Y"))+((Y2472="")*(INDEX(Setup!$M$6:$M$23,15)="Y")))</f>
        <v/>
      </c>
      <c r="AC2472" s="90">
        <f>IF($B2472="","",IF(AB2472=0,"✓ covered","⚠ "&amp;AB2472&amp;IF(AB2472=1," gap"," gaps")))</f>
        <v/>
      </c>
    </row>
    <row r="2473" ht="17" customHeight="1">
      <c r="A2473" t="n">
        <v>50</v>
      </c>
      <c r="B2473" s="29">
        <f>IF(Setup!$K$21="","",Setup!$K$21)</f>
        <v/>
      </c>
      <c r="C2473" s="88" t="n"/>
      <c r="D2473" s="88" t="n"/>
      <c r="E2473" s="88" t="n"/>
      <c r="F2473" s="89" t="n"/>
      <c r="G2473" s="88" t="n"/>
      <c r="H2473" s="88" t="n"/>
      <c r="I2473" s="88" t="n"/>
      <c r="J2473" s="89" t="n"/>
      <c r="K2473" s="88" t="n"/>
      <c r="L2473" s="88" t="n"/>
      <c r="M2473" s="88" t="n"/>
      <c r="N2473" s="89" t="n"/>
      <c r="O2473" s="88" t="n"/>
      <c r="P2473" s="88" t="n"/>
      <c r="Q2473" s="88" t="n"/>
      <c r="R2473" s="89" t="n"/>
      <c r="S2473" s="88" t="n"/>
      <c r="T2473" s="88" t="n"/>
      <c r="U2473" s="88" t="n"/>
      <c r="V2473" s="89" t="n"/>
      <c r="W2473" s="88" t="n"/>
      <c r="X2473" s="89" t="n"/>
      <c r="Y2473" s="88" t="n"/>
      <c r="Z2473" s="89" t="n"/>
      <c r="AB2473" s="30">
        <f>IF($B2473="","",(COUNTIF(C2473:E2473,"?*")&lt;N(INDEX(Setup!$L$6:$L$23,16)))+(COUNTIF(G2473:I2473,"?*")&lt;N(INDEX(Setup!$L$6:$L$23,16)))+(COUNTIF(K2473:M2473,"?*")&lt;N(INDEX(Setup!$L$6:$L$23,16)))+(COUNTIF(O2473:Q2473,"?*")&lt;N(INDEX(Setup!$L$6:$L$23,16)))+(COUNTIF(S2473:U2473,"?*")&lt;N(INDEX(Setup!$L$6:$L$23,16)))+((W2473="")*(INDEX(Setup!$M$6:$M$23,16)="Y"))+((Y2473="")*(INDEX(Setup!$M$6:$M$23,16)="Y")))</f>
        <v/>
      </c>
      <c r="AC2473" s="91">
        <f>IF($B2473="","",IF(AB2473=0,"✓ covered","⚠ "&amp;AB2473&amp;IF(AB2473=1," gap"," gaps")))</f>
        <v/>
      </c>
    </row>
    <row r="2474" ht="17" customHeight="1">
      <c r="A2474" t="n">
        <v>50</v>
      </c>
      <c r="B2474" s="24">
        <f>IF(Setup!$K$22="","",Setup!$K$22)</f>
        <v/>
      </c>
      <c r="C2474" s="88" t="n"/>
      <c r="D2474" s="88" t="n"/>
      <c r="E2474" s="88" t="n"/>
      <c r="F2474" s="89" t="n"/>
      <c r="G2474" s="88" t="n"/>
      <c r="H2474" s="88" t="n"/>
      <c r="I2474" s="88" t="n"/>
      <c r="J2474" s="89" t="n"/>
      <c r="K2474" s="88" t="n"/>
      <c r="L2474" s="88" t="n"/>
      <c r="M2474" s="88" t="n"/>
      <c r="N2474" s="89" t="n"/>
      <c r="O2474" s="88" t="n"/>
      <c r="P2474" s="88" t="n"/>
      <c r="Q2474" s="88" t="n"/>
      <c r="R2474" s="89" t="n"/>
      <c r="S2474" s="88" t="n"/>
      <c r="T2474" s="88" t="n"/>
      <c r="U2474" s="88" t="n"/>
      <c r="V2474" s="89" t="n"/>
      <c r="W2474" s="88" t="n"/>
      <c r="X2474" s="89" t="n"/>
      <c r="Y2474" s="88" t="n"/>
      <c r="Z2474" s="89" t="n"/>
      <c r="AB2474" s="25">
        <f>IF($B2474="","",(COUNTIF(C2474:E2474,"?*")&lt;N(INDEX(Setup!$L$6:$L$23,17)))+(COUNTIF(G2474:I2474,"?*")&lt;N(INDEX(Setup!$L$6:$L$23,17)))+(COUNTIF(K2474:M2474,"?*")&lt;N(INDEX(Setup!$L$6:$L$23,17)))+(COUNTIF(O2474:Q2474,"?*")&lt;N(INDEX(Setup!$L$6:$L$23,17)))+(COUNTIF(S2474:U2474,"?*")&lt;N(INDEX(Setup!$L$6:$L$23,17)))+((W2474="")*(INDEX(Setup!$M$6:$M$23,17)="Y"))+((Y2474="")*(INDEX(Setup!$M$6:$M$23,17)="Y")))</f>
        <v/>
      </c>
      <c r="AC2474" s="90">
        <f>IF($B2474="","",IF(AB2474=0,"✓ covered","⚠ "&amp;AB2474&amp;IF(AB2474=1," gap"," gaps")))</f>
        <v/>
      </c>
    </row>
    <row r="2475" ht="17" customHeight="1">
      <c r="A2475" t="n">
        <v>50</v>
      </c>
      <c r="B2475" s="29">
        <f>IF(Setup!$K$23="","",Setup!$K$23)</f>
        <v/>
      </c>
      <c r="C2475" s="88" t="n"/>
      <c r="D2475" s="88" t="n"/>
      <c r="E2475" s="88" t="n"/>
      <c r="F2475" s="89" t="n"/>
      <c r="G2475" s="88" t="n"/>
      <c r="H2475" s="88" t="n"/>
      <c r="I2475" s="88" t="n"/>
      <c r="J2475" s="89" t="n"/>
      <c r="K2475" s="88" t="n"/>
      <c r="L2475" s="88" t="n"/>
      <c r="M2475" s="88" t="n"/>
      <c r="N2475" s="89" t="n"/>
      <c r="O2475" s="88" t="n"/>
      <c r="P2475" s="88" t="n"/>
      <c r="Q2475" s="88" t="n"/>
      <c r="R2475" s="89" t="n"/>
      <c r="S2475" s="88" t="n"/>
      <c r="T2475" s="88" t="n"/>
      <c r="U2475" s="88" t="n"/>
      <c r="V2475" s="89" t="n"/>
      <c r="W2475" s="88" t="n"/>
      <c r="X2475" s="89" t="n"/>
      <c r="Y2475" s="88" t="n"/>
      <c r="Z2475" s="89" t="n"/>
      <c r="AB2475" s="30">
        <f>IF($B2475="","",(COUNTIF(C2475:E2475,"?*")&lt;N(INDEX(Setup!$L$6:$L$23,18)))+(COUNTIF(G2475:I2475,"?*")&lt;N(INDEX(Setup!$L$6:$L$23,18)))+(COUNTIF(K2475:M2475,"?*")&lt;N(INDEX(Setup!$L$6:$L$23,18)))+(COUNTIF(O2475:Q2475,"?*")&lt;N(INDEX(Setup!$L$6:$L$23,18)))+(COUNTIF(S2475:U2475,"?*")&lt;N(INDEX(Setup!$L$6:$L$23,18)))+((W2475="")*(INDEX(Setup!$M$6:$M$23,18)="Y"))+((Y2475="")*(INDEX(Setup!$M$6:$M$23,18)="Y")))</f>
        <v/>
      </c>
      <c r="AC2475" s="91">
        <f>IF($B2475="","",IF(AB2475=0,"✓ covered","⚠ "&amp;AB2475&amp;IF(AB2475=1," gap"," gaps")))</f>
        <v/>
      </c>
    </row>
    <row r="2476" ht="18" customHeight="1">
      <c r="A2476" t="n">
        <v>50</v>
      </c>
      <c r="B2476" s="78" t="inlineStr">
        <is>
          <t>TEAM AVAILABILITY</t>
        </is>
      </c>
      <c r="C2476" s="92" t="inlineStr">
        <is>
          <t>Mon</t>
        </is>
      </c>
      <c r="D2476" s="93" t="n"/>
      <c r="E2476" s="93" t="n"/>
      <c r="F2476" s="94" t="n"/>
      <c r="G2476" s="92" t="inlineStr">
        <is>
          <t>Tue</t>
        </is>
      </c>
      <c r="H2476" s="93" t="n"/>
      <c r="I2476" s="93" t="n"/>
      <c r="J2476" s="94" t="n"/>
      <c r="K2476" s="92" t="inlineStr">
        <is>
          <t>Wed</t>
        </is>
      </c>
      <c r="L2476" s="93" t="n"/>
      <c r="M2476" s="93" t="n"/>
      <c r="N2476" s="94" t="n"/>
      <c r="O2476" s="92" t="inlineStr">
        <is>
          <t>Thu</t>
        </is>
      </c>
      <c r="P2476" s="93" t="n"/>
      <c r="Q2476" s="93" t="n"/>
      <c r="R2476" s="94" t="n"/>
      <c r="S2476" s="92" t="inlineStr">
        <is>
          <t>Fri</t>
        </is>
      </c>
      <c r="T2476" s="93" t="n"/>
      <c r="U2476" s="93" t="n"/>
      <c r="V2476" s="94" t="n"/>
      <c r="W2476" s="95" t="inlineStr">
        <is>
          <t>Sat</t>
        </is>
      </c>
      <c r="X2476" s="96" t="n"/>
      <c r="Y2476" s="95" t="inlineStr">
        <is>
          <t>Sun</t>
        </is>
      </c>
      <c r="Z2476" s="96" t="n"/>
      <c r="AB2476" s="97" t="inlineStr">
        <is>
          <t>Days rostered</t>
        </is>
      </c>
      <c r="AC2476" s="97" t="inlineStr">
        <is>
          <t>Conflicts</t>
        </is>
      </c>
    </row>
    <row r="2477" ht="15" customHeight="1">
      <c r="A2477" t="n">
        <v>50</v>
      </c>
      <c r="B2477" s="35">
        <f>IF(Setup!$B$6="","",Setup!$B$6)</f>
        <v/>
      </c>
      <c r="C2477" s="98" t="n"/>
      <c r="D2477" s="99" t="n"/>
      <c r="E2477" s="99" t="n"/>
      <c r="F2477" s="100" t="n"/>
      <c r="G2477" s="98" t="n"/>
      <c r="H2477" s="99" t="n"/>
      <c r="I2477" s="99" t="n"/>
      <c r="J2477" s="100" t="n"/>
      <c r="K2477" s="98" t="n"/>
      <c r="L2477" s="99" t="n"/>
      <c r="M2477" s="99" t="n"/>
      <c r="N2477" s="100" t="n"/>
      <c r="O2477" s="98" t="n"/>
      <c r="P2477" s="99" t="n"/>
      <c r="Q2477" s="99" t="n"/>
      <c r="R2477" s="100" t="n"/>
      <c r="S2477" s="98" t="n"/>
      <c r="T2477" s="99" t="n"/>
      <c r="U2477" s="99" t="n"/>
      <c r="V2477" s="100" t="n"/>
      <c r="W2477" s="98" t="n"/>
      <c r="X2477" s="100" t="n"/>
      <c r="Y2477" s="98" t="n"/>
      <c r="Z2477" s="100" t="n"/>
      <c r="AB2477" s="101">
        <f>IF($B2477="","",(COUNTIF(C2458:E2475,$B2477)+COUNTIF(C2458:E2475,$B2477&amp;" ~*")&gt;0)+(COUNTIF(G2458:I2475,$B2477)+COUNTIF(G2458:I2475,$B2477&amp;" ~*")&gt;0)+(COUNTIF(K2458:M2475,$B2477)+COUNTIF(K2458:M2475,$B2477&amp;" ~*")&gt;0)+(COUNTIF(O2458:Q2475,$B2477)+COUNTIF(O2458:Q2475,$B2477&amp;" ~*")&gt;0)+(COUNTIF(S2458:U2475,$B2477)+COUNTIF(S2458:U2475,$B2477&amp;" ~*")&gt;0)+(COUNTIF(W2458:W2475,$B2477)+COUNTIF(W2458:W2475,$B2477&amp;" ~*")&gt;0)+(COUNTIF(Y2458:Y2475,$B2477)+COUNTIF(Y2458:Y2475,$B2477&amp;" ~*")&gt;0))</f>
        <v/>
      </c>
      <c r="AC2477" s="36">
        <f>IF($B2477="","",(IFERROR(INDEX(Setup!$G$33:$G$40,MATCH(C2477,Setup!$B$33:$B$40,0)),0)=1)*(COUNTIF(C2458:E2475,$B2477)+COUNTIF(C2458:E2475,$B2477&amp;" ~*")&gt;0)+(IFERROR(INDEX(Setup!$G$33:$G$40,MATCH(G2477,Setup!$B$33:$B$40,0)),0)=1)*(COUNTIF(G2458:I2475,$B2477)+COUNTIF(G2458:I2475,$B2477&amp;" ~*")&gt;0)+(IFERROR(INDEX(Setup!$G$33:$G$40,MATCH(K2477,Setup!$B$33:$B$40,0)),0)=1)*(COUNTIF(K2458:M2475,$B2477)+COUNTIF(K2458:M2475,$B2477&amp;" ~*")&gt;0)+(IFERROR(INDEX(Setup!$G$33:$G$40,MATCH(O2477,Setup!$B$33:$B$40,0)),0)=1)*(COUNTIF(O2458:Q2475,$B2477)+COUNTIF(O2458:Q2475,$B2477&amp;" ~*")&gt;0)+(IFERROR(INDEX(Setup!$G$33:$G$40,MATCH(S2477,Setup!$B$33:$B$40,0)),0)=1)*(COUNTIF(S2458:U2475,$B2477)+COUNTIF(S2458:U2475,$B2477&amp;" ~*")&gt;0)+(IFERROR(INDEX(Setup!$G$33:$G$40,MATCH(W2477,Setup!$B$33:$B$40,0)),0)=1)*(COUNTIF(W2458:W2475,$B2477)+COUNTIF(W2458:W2475,$B2477&amp;" ~*")&gt;0)+(IFERROR(INDEX(Setup!$G$33:$G$40,MATCH(Y2477,Setup!$B$33:$B$40,0)),0)=1)*(COUNTIF(Y2458:Y2475,$B2477)+COUNTIF(Y2458:Y2475,$B2477&amp;" ~*")&gt;0))</f>
        <v/>
      </c>
    </row>
    <row r="2478" ht="15" customHeight="1">
      <c r="A2478" t="n">
        <v>50</v>
      </c>
      <c r="B2478" s="37">
        <f>IF(Setup!$B$7="","",Setup!$B$7)</f>
        <v/>
      </c>
      <c r="C2478" s="102" t="n"/>
      <c r="D2478" s="103" t="n"/>
      <c r="E2478" s="103" t="n"/>
      <c r="F2478" s="104" t="n"/>
      <c r="G2478" s="102" t="n"/>
      <c r="H2478" s="103" t="n"/>
      <c r="I2478" s="103" t="n"/>
      <c r="J2478" s="104" t="n"/>
      <c r="K2478" s="102" t="n"/>
      <c r="L2478" s="103" t="n"/>
      <c r="M2478" s="103" t="n"/>
      <c r="N2478" s="104" t="n"/>
      <c r="O2478" s="102" t="n"/>
      <c r="P2478" s="103" t="n"/>
      <c r="Q2478" s="103" t="n"/>
      <c r="R2478" s="104" t="n"/>
      <c r="S2478" s="102" t="n"/>
      <c r="T2478" s="103" t="n"/>
      <c r="U2478" s="103" t="n"/>
      <c r="V2478" s="104" t="n"/>
      <c r="W2478" s="102" t="n"/>
      <c r="X2478" s="104" t="n"/>
      <c r="Y2478" s="102" t="n"/>
      <c r="Z2478" s="104" t="n"/>
      <c r="AB2478" s="105">
        <f>IF($B2478="","",(COUNTIF(C2458:E2475,$B2478)+COUNTIF(C2458:E2475,$B2478&amp;" ~*")&gt;0)+(COUNTIF(G2458:I2475,$B2478)+COUNTIF(G2458:I2475,$B2478&amp;" ~*")&gt;0)+(COUNTIF(K2458:M2475,$B2478)+COUNTIF(K2458:M2475,$B2478&amp;" ~*")&gt;0)+(COUNTIF(O2458:Q2475,$B2478)+COUNTIF(O2458:Q2475,$B2478&amp;" ~*")&gt;0)+(COUNTIF(S2458:U2475,$B2478)+COUNTIF(S2458:U2475,$B2478&amp;" ~*")&gt;0)+(COUNTIF(W2458:W2475,$B2478)+COUNTIF(W2458:W2475,$B2478&amp;" ~*")&gt;0)+(COUNTIF(Y2458:Y2475,$B2478)+COUNTIF(Y2458:Y2475,$B2478&amp;" ~*")&gt;0))</f>
        <v/>
      </c>
      <c r="AC2478" s="38">
        <f>IF($B2478="","",(IFERROR(INDEX(Setup!$G$33:$G$40,MATCH(C2478,Setup!$B$33:$B$40,0)),0)=1)*(COUNTIF(C2458:E2475,$B2478)+COUNTIF(C2458:E2475,$B2478&amp;" ~*")&gt;0)+(IFERROR(INDEX(Setup!$G$33:$G$40,MATCH(G2478,Setup!$B$33:$B$40,0)),0)=1)*(COUNTIF(G2458:I2475,$B2478)+COUNTIF(G2458:I2475,$B2478&amp;" ~*")&gt;0)+(IFERROR(INDEX(Setup!$G$33:$G$40,MATCH(K2478,Setup!$B$33:$B$40,0)),0)=1)*(COUNTIF(K2458:M2475,$B2478)+COUNTIF(K2458:M2475,$B2478&amp;" ~*")&gt;0)+(IFERROR(INDEX(Setup!$G$33:$G$40,MATCH(O2478,Setup!$B$33:$B$40,0)),0)=1)*(COUNTIF(O2458:Q2475,$B2478)+COUNTIF(O2458:Q2475,$B2478&amp;" ~*")&gt;0)+(IFERROR(INDEX(Setup!$G$33:$G$40,MATCH(S2478,Setup!$B$33:$B$40,0)),0)=1)*(COUNTIF(S2458:U2475,$B2478)+COUNTIF(S2458:U2475,$B2478&amp;" ~*")&gt;0)+(IFERROR(INDEX(Setup!$G$33:$G$40,MATCH(W2478,Setup!$B$33:$B$40,0)),0)=1)*(COUNTIF(W2458:W2475,$B2478)+COUNTIF(W2458:W2475,$B2478&amp;" ~*")&gt;0)+(IFERROR(INDEX(Setup!$G$33:$G$40,MATCH(Y2478,Setup!$B$33:$B$40,0)),0)=1)*(COUNTIF(Y2458:Y2475,$B2478)+COUNTIF(Y2458:Y2475,$B2478&amp;" ~*")&gt;0))</f>
        <v/>
      </c>
    </row>
    <row r="2479" ht="15" customHeight="1">
      <c r="A2479" t="n">
        <v>50</v>
      </c>
      <c r="B2479" s="35">
        <f>IF(Setup!$B$8="","",Setup!$B$8)</f>
        <v/>
      </c>
      <c r="C2479" s="98" t="n"/>
      <c r="D2479" s="99" t="n"/>
      <c r="E2479" s="99" t="n"/>
      <c r="F2479" s="100" t="n"/>
      <c r="G2479" s="98" t="n"/>
      <c r="H2479" s="99" t="n"/>
      <c r="I2479" s="99" t="n"/>
      <c r="J2479" s="100" t="n"/>
      <c r="K2479" s="98" t="n"/>
      <c r="L2479" s="99" t="n"/>
      <c r="M2479" s="99" t="n"/>
      <c r="N2479" s="100" t="n"/>
      <c r="O2479" s="98" t="n"/>
      <c r="P2479" s="99" t="n"/>
      <c r="Q2479" s="99" t="n"/>
      <c r="R2479" s="100" t="n"/>
      <c r="S2479" s="98" t="n"/>
      <c r="T2479" s="99" t="n"/>
      <c r="U2479" s="99" t="n"/>
      <c r="V2479" s="100" t="n"/>
      <c r="W2479" s="98" t="n"/>
      <c r="X2479" s="100" t="n"/>
      <c r="Y2479" s="98" t="n"/>
      <c r="Z2479" s="100" t="n"/>
      <c r="AB2479" s="101">
        <f>IF($B2479="","",(COUNTIF(C2458:E2475,$B2479)+COUNTIF(C2458:E2475,$B2479&amp;" ~*")&gt;0)+(COUNTIF(G2458:I2475,$B2479)+COUNTIF(G2458:I2475,$B2479&amp;" ~*")&gt;0)+(COUNTIF(K2458:M2475,$B2479)+COUNTIF(K2458:M2475,$B2479&amp;" ~*")&gt;0)+(COUNTIF(O2458:Q2475,$B2479)+COUNTIF(O2458:Q2475,$B2479&amp;" ~*")&gt;0)+(COUNTIF(S2458:U2475,$B2479)+COUNTIF(S2458:U2475,$B2479&amp;" ~*")&gt;0)+(COUNTIF(W2458:W2475,$B2479)+COUNTIF(W2458:W2475,$B2479&amp;" ~*")&gt;0)+(COUNTIF(Y2458:Y2475,$B2479)+COUNTIF(Y2458:Y2475,$B2479&amp;" ~*")&gt;0))</f>
        <v/>
      </c>
      <c r="AC2479" s="36">
        <f>IF($B2479="","",(IFERROR(INDEX(Setup!$G$33:$G$40,MATCH(C2479,Setup!$B$33:$B$40,0)),0)=1)*(COUNTIF(C2458:E2475,$B2479)+COUNTIF(C2458:E2475,$B2479&amp;" ~*")&gt;0)+(IFERROR(INDEX(Setup!$G$33:$G$40,MATCH(G2479,Setup!$B$33:$B$40,0)),0)=1)*(COUNTIF(G2458:I2475,$B2479)+COUNTIF(G2458:I2475,$B2479&amp;" ~*")&gt;0)+(IFERROR(INDEX(Setup!$G$33:$G$40,MATCH(K2479,Setup!$B$33:$B$40,0)),0)=1)*(COUNTIF(K2458:M2475,$B2479)+COUNTIF(K2458:M2475,$B2479&amp;" ~*")&gt;0)+(IFERROR(INDEX(Setup!$G$33:$G$40,MATCH(O2479,Setup!$B$33:$B$40,0)),0)=1)*(COUNTIF(O2458:Q2475,$B2479)+COUNTIF(O2458:Q2475,$B2479&amp;" ~*")&gt;0)+(IFERROR(INDEX(Setup!$G$33:$G$40,MATCH(S2479,Setup!$B$33:$B$40,0)),0)=1)*(COUNTIF(S2458:U2475,$B2479)+COUNTIF(S2458:U2475,$B2479&amp;" ~*")&gt;0)+(IFERROR(INDEX(Setup!$G$33:$G$40,MATCH(W2479,Setup!$B$33:$B$40,0)),0)=1)*(COUNTIF(W2458:W2475,$B2479)+COUNTIF(W2458:W2475,$B2479&amp;" ~*")&gt;0)+(IFERROR(INDEX(Setup!$G$33:$G$40,MATCH(Y2479,Setup!$B$33:$B$40,0)),0)=1)*(COUNTIF(Y2458:Y2475,$B2479)+COUNTIF(Y2458:Y2475,$B2479&amp;" ~*")&gt;0))</f>
        <v/>
      </c>
    </row>
    <row r="2480" ht="15" customHeight="1">
      <c r="A2480" t="n">
        <v>50</v>
      </c>
      <c r="B2480" s="37">
        <f>IF(Setup!$B$9="","",Setup!$B$9)</f>
        <v/>
      </c>
      <c r="C2480" s="102" t="n"/>
      <c r="D2480" s="103" t="n"/>
      <c r="E2480" s="103" t="n"/>
      <c r="F2480" s="104" t="n"/>
      <c r="G2480" s="102" t="n"/>
      <c r="H2480" s="103" t="n"/>
      <c r="I2480" s="103" t="n"/>
      <c r="J2480" s="104" t="n"/>
      <c r="K2480" s="102" t="n"/>
      <c r="L2480" s="103" t="n"/>
      <c r="M2480" s="103" t="n"/>
      <c r="N2480" s="104" t="n"/>
      <c r="O2480" s="102" t="n"/>
      <c r="P2480" s="103" t="n"/>
      <c r="Q2480" s="103" t="n"/>
      <c r="R2480" s="104" t="n"/>
      <c r="S2480" s="102" t="n"/>
      <c r="T2480" s="103" t="n"/>
      <c r="U2480" s="103" t="n"/>
      <c r="V2480" s="104" t="n"/>
      <c r="W2480" s="102" t="n"/>
      <c r="X2480" s="104" t="n"/>
      <c r="Y2480" s="102" t="n"/>
      <c r="Z2480" s="104" t="n"/>
      <c r="AB2480" s="105">
        <f>IF($B2480="","",(COUNTIF(C2458:E2475,$B2480)+COUNTIF(C2458:E2475,$B2480&amp;" ~*")&gt;0)+(COUNTIF(G2458:I2475,$B2480)+COUNTIF(G2458:I2475,$B2480&amp;" ~*")&gt;0)+(COUNTIF(K2458:M2475,$B2480)+COUNTIF(K2458:M2475,$B2480&amp;" ~*")&gt;0)+(COUNTIF(O2458:Q2475,$B2480)+COUNTIF(O2458:Q2475,$B2480&amp;" ~*")&gt;0)+(COUNTIF(S2458:U2475,$B2480)+COUNTIF(S2458:U2475,$B2480&amp;" ~*")&gt;0)+(COUNTIF(W2458:W2475,$B2480)+COUNTIF(W2458:W2475,$B2480&amp;" ~*")&gt;0)+(COUNTIF(Y2458:Y2475,$B2480)+COUNTIF(Y2458:Y2475,$B2480&amp;" ~*")&gt;0))</f>
        <v/>
      </c>
      <c r="AC2480" s="38">
        <f>IF($B2480="","",(IFERROR(INDEX(Setup!$G$33:$G$40,MATCH(C2480,Setup!$B$33:$B$40,0)),0)=1)*(COUNTIF(C2458:E2475,$B2480)+COUNTIF(C2458:E2475,$B2480&amp;" ~*")&gt;0)+(IFERROR(INDEX(Setup!$G$33:$G$40,MATCH(G2480,Setup!$B$33:$B$40,0)),0)=1)*(COUNTIF(G2458:I2475,$B2480)+COUNTIF(G2458:I2475,$B2480&amp;" ~*")&gt;0)+(IFERROR(INDEX(Setup!$G$33:$G$40,MATCH(K2480,Setup!$B$33:$B$40,0)),0)=1)*(COUNTIF(K2458:M2475,$B2480)+COUNTIF(K2458:M2475,$B2480&amp;" ~*")&gt;0)+(IFERROR(INDEX(Setup!$G$33:$G$40,MATCH(O2480,Setup!$B$33:$B$40,0)),0)=1)*(COUNTIF(O2458:Q2475,$B2480)+COUNTIF(O2458:Q2475,$B2480&amp;" ~*")&gt;0)+(IFERROR(INDEX(Setup!$G$33:$G$40,MATCH(S2480,Setup!$B$33:$B$40,0)),0)=1)*(COUNTIF(S2458:U2475,$B2480)+COUNTIF(S2458:U2475,$B2480&amp;" ~*")&gt;0)+(IFERROR(INDEX(Setup!$G$33:$G$40,MATCH(W2480,Setup!$B$33:$B$40,0)),0)=1)*(COUNTIF(W2458:W2475,$B2480)+COUNTIF(W2458:W2475,$B2480&amp;" ~*")&gt;0)+(IFERROR(INDEX(Setup!$G$33:$G$40,MATCH(Y2480,Setup!$B$33:$B$40,0)),0)=1)*(COUNTIF(Y2458:Y2475,$B2480)+COUNTIF(Y2458:Y2475,$B2480&amp;" ~*")&gt;0))</f>
        <v/>
      </c>
    </row>
    <row r="2481" ht="15" customHeight="1">
      <c r="A2481" t="n">
        <v>50</v>
      </c>
      <c r="B2481" s="35">
        <f>IF(Setup!$B$10="","",Setup!$B$10)</f>
        <v/>
      </c>
      <c r="C2481" s="98" t="n"/>
      <c r="D2481" s="99" t="n"/>
      <c r="E2481" s="99" t="n"/>
      <c r="F2481" s="100" t="n"/>
      <c r="G2481" s="98" t="n"/>
      <c r="H2481" s="99" t="n"/>
      <c r="I2481" s="99" t="n"/>
      <c r="J2481" s="100" t="n"/>
      <c r="K2481" s="98" t="n"/>
      <c r="L2481" s="99" t="n"/>
      <c r="M2481" s="99" t="n"/>
      <c r="N2481" s="100" t="n"/>
      <c r="O2481" s="98" t="n"/>
      <c r="P2481" s="99" t="n"/>
      <c r="Q2481" s="99" t="n"/>
      <c r="R2481" s="100" t="n"/>
      <c r="S2481" s="98" t="n"/>
      <c r="T2481" s="99" t="n"/>
      <c r="U2481" s="99" t="n"/>
      <c r="V2481" s="100" t="n"/>
      <c r="W2481" s="98" t="n"/>
      <c r="X2481" s="100" t="n"/>
      <c r="Y2481" s="98" t="n"/>
      <c r="Z2481" s="100" t="n"/>
      <c r="AB2481" s="101">
        <f>IF($B2481="","",(COUNTIF(C2458:E2475,$B2481)+COUNTIF(C2458:E2475,$B2481&amp;" ~*")&gt;0)+(COUNTIF(G2458:I2475,$B2481)+COUNTIF(G2458:I2475,$B2481&amp;" ~*")&gt;0)+(COUNTIF(K2458:M2475,$B2481)+COUNTIF(K2458:M2475,$B2481&amp;" ~*")&gt;0)+(COUNTIF(O2458:Q2475,$B2481)+COUNTIF(O2458:Q2475,$B2481&amp;" ~*")&gt;0)+(COUNTIF(S2458:U2475,$B2481)+COUNTIF(S2458:U2475,$B2481&amp;" ~*")&gt;0)+(COUNTIF(W2458:W2475,$B2481)+COUNTIF(W2458:W2475,$B2481&amp;" ~*")&gt;0)+(COUNTIF(Y2458:Y2475,$B2481)+COUNTIF(Y2458:Y2475,$B2481&amp;" ~*")&gt;0))</f>
        <v/>
      </c>
      <c r="AC2481" s="36">
        <f>IF($B2481="","",(IFERROR(INDEX(Setup!$G$33:$G$40,MATCH(C2481,Setup!$B$33:$B$40,0)),0)=1)*(COUNTIF(C2458:E2475,$B2481)+COUNTIF(C2458:E2475,$B2481&amp;" ~*")&gt;0)+(IFERROR(INDEX(Setup!$G$33:$G$40,MATCH(G2481,Setup!$B$33:$B$40,0)),0)=1)*(COUNTIF(G2458:I2475,$B2481)+COUNTIF(G2458:I2475,$B2481&amp;" ~*")&gt;0)+(IFERROR(INDEX(Setup!$G$33:$G$40,MATCH(K2481,Setup!$B$33:$B$40,0)),0)=1)*(COUNTIF(K2458:M2475,$B2481)+COUNTIF(K2458:M2475,$B2481&amp;" ~*")&gt;0)+(IFERROR(INDEX(Setup!$G$33:$G$40,MATCH(O2481,Setup!$B$33:$B$40,0)),0)=1)*(COUNTIF(O2458:Q2475,$B2481)+COUNTIF(O2458:Q2475,$B2481&amp;" ~*")&gt;0)+(IFERROR(INDEX(Setup!$G$33:$G$40,MATCH(S2481,Setup!$B$33:$B$40,0)),0)=1)*(COUNTIF(S2458:U2475,$B2481)+COUNTIF(S2458:U2475,$B2481&amp;" ~*")&gt;0)+(IFERROR(INDEX(Setup!$G$33:$G$40,MATCH(W2481,Setup!$B$33:$B$40,0)),0)=1)*(COUNTIF(W2458:W2475,$B2481)+COUNTIF(W2458:W2475,$B2481&amp;" ~*")&gt;0)+(IFERROR(INDEX(Setup!$G$33:$G$40,MATCH(Y2481,Setup!$B$33:$B$40,0)),0)=1)*(COUNTIF(Y2458:Y2475,$B2481)+COUNTIF(Y2458:Y2475,$B2481&amp;" ~*")&gt;0))</f>
        <v/>
      </c>
    </row>
    <row r="2482" ht="15" customHeight="1">
      <c r="A2482" t="n">
        <v>50</v>
      </c>
      <c r="B2482" s="37">
        <f>IF(Setup!$B$11="","",Setup!$B$11)</f>
        <v/>
      </c>
      <c r="C2482" s="102" t="n"/>
      <c r="D2482" s="103" t="n"/>
      <c r="E2482" s="103" t="n"/>
      <c r="F2482" s="104" t="n"/>
      <c r="G2482" s="102" t="n"/>
      <c r="H2482" s="103" t="n"/>
      <c r="I2482" s="103" t="n"/>
      <c r="J2482" s="104" t="n"/>
      <c r="K2482" s="102" t="n"/>
      <c r="L2482" s="103" t="n"/>
      <c r="M2482" s="103" t="n"/>
      <c r="N2482" s="104" t="n"/>
      <c r="O2482" s="102" t="n"/>
      <c r="P2482" s="103" t="n"/>
      <c r="Q2482" s="103" t="n"/>
      <c r="R2482" s="104" t="n"/>
      <c r="S2482" s="102" t="n"/>
      <c r="T2482" s="103" t="n"/>
      <c r="U2482" s="103" t="n"/>
      <c r="V2482" s="104" t="n"/>
      <c r="W2482" s="102" t="n"/>
      <c r="X2482" s="104" t="n"/>
      <c r="Y2482" s="102" t="n"/>
      <c r="Z2482" s="104" t="n"/>
      <c r="AB2482" s="105">
        <f>IF($B2482="","",(COUNTIF(C2458:E2475,$B2482)+COUNTIF(C2458:E2475,$B2482&amp;" ~*")&gt;0)+(COUNTIF(G2458:I2475,$B2482)+COUNTIF(G2458:I2475,$B2482&amp;" ~*")&gt;0)+(COUNTIF(K2458:M2475,$B2482)+COUNTIF(K2458:M2475,$B2482&amp;" ~*")&gt;0)+(COUNTIF(O2458:Q2475,$B2482)+COUNTIF(O2458:Q2475,$B2482&amp;" ~*")&gt;0)+(COUNTIF(S2458:U2475,$B2482)+COUNTIF(S2458:U2475,$B2482&amp;" ~*")&gt;0)+(COUNTIF(W2458:W2475,$B2482)+COUNTIF(W2458:W2475,$B2482&amp;" ~*")&gt;0)+(COUNTIF(Y2458:Y2475,$B2482)+COUNTIF(Y2458:Y2475,$B2482&amp;" ~*")&gt;0))</f>
        <v/>
      </c>
      <c r="AC2482" s="38">
        <f>IF($B2482="","",(IFERROR(INDEX(Setup!$G$33:$G$40,MATCH(C2482,Setup!$B$33:$B$40,0)),0)=1)*(COUNTIF(C2458:E2475,$B2482)+COUNTIF(C2458:E2475,$B2482&amp;" ~*")&gt;0)+(IFERROR(INDEX(Setup!$G$33:$G$40,MATCH(G2482,Setup!$B$33:$B$40,0)),0)=1)*(COUNTIF(G2458:I2475,$B2482)+COUNTIF(G2458:I2475,$B2482&amp;" ~*")&gt;0)+(IFERROR(INDEX(Setup!$G$33:$G$40,MATCH(K2482,Setup!$B$33:$B$40,0)),0)=1)*(COUNTIF(K2458:M2475,$B2482)+COUNTIF(K2458:M2475,$B2482&amp;" ~*")&gt;0)+(IFERROR(INDEX(Setup!$G$33:$G$40,MATCH(O2482,Setup!$B$33:$B$40,0)),0)=1)*(COUNTIF(O2458:Q2475,$B2482)+COUNTIF(O2458:Q2475,$B2482&amp;" ~*")&gt;0)+(IFERROR(INDEX(Setup!$G$33:$G$40,MATCH(S2482,Setup!$B$33:$B$40,0)),0)=1)*(COUNTIF(S2458:U2475,$B2482)+COUNTIF(S2458:U2475,$B2482&amp;" ~*")&gt;0)+(IFERROR(INDEX(Setup!$G$33:$G$40,MATCH(W2482,Setup!$B$33:$B$40,0)),0)=1)*(COUNTIF(W2458:W2475,$B2482)+COUNTIF(W2458:W2475,$B2482&amp;" ~*")&gt;0)+(IFERROR(INDEX(Setup!$G$33:$G$40,MATCH(Y2482,Setup!$B$33:$B$40,0)),0)=1)*(COUNTIF(Y2458:Y2475,$B2482)+COUNTIF(Y2458:Y2475,$B2482&amp;" ~*")&gt;0))</f>
        <v/>
      </c>
    </row>
    <row r="2483" ht="15" customHeight="1">
      <c r="A2483" t="n">
        <v>50</v>
      </c>
      <c r="B2483" s="35">
        <f>IF(Setup!$B$12="","",Setup!$B$12)</f>
        <v/>
      </c>
      <c r="C2483" s="98" t="n"/>
      <c r="D2483" s="99" t="n"/>
      <c r="E2483" s="99" t="n"/>
      <c r="F2483" s="100" t="n"/>
      <c r="G2483" s="98" t="n"/>
      <c r="H2483" s="99" t="n"/>
      <c r="I2483" s="99" t="n"/>
      <c r="J2483" s="100" t="n"/>
      <c r="K2483" s="98" t="n"/>
      <c r="L2483" s="99" t="n"/>
      <c r="M2483" s="99" t="n"/>
      <c r="N2483" s="100" t="n"/>
      <c r="O2483" s="98" t="n"/>
      <c r="P2483" s="99" t="n"/>
      <c r="Q2483" s="99" t="n"/>
      <c r="R2483" s="100" t="n"/>
      <c r="S2483" s="98" t="n"/>
      <c r="T2483" s="99" t="n"/>
      <c r="U2483" s="99" t="n"/>
      <c r="V2483" s="100" t="n"/>
      <c r="W2483" s="98" t="n"/>
      <c r="X2483" s="100" t="n"/>
      <c r="Y2483" s="98" t="n"/>
      <c r="Z2483" s="100" t="n"/>
      <c r="AB2483" s="101">
        <f>IF($B2483="","",(COUNTIF(C2458:E2475,$B2483)+COUNTIF(C2458:E2475,$B2483&amp;" ~*")&gt;0)+(COUNTIF(G2458:I2475,$B2483)+COUNTIF(G2458:I2475,$B2483&amp;" ~*")&gt;0)+(COUNTIF(K2458:M2475,$B2483)+COUNTIF(K2458:M2475,$B2483&amp;" ~*")&gt;0)+(COUNTIF(O2458:Q2475,$B2483)+COUNTIF(O2458:Q2475,$B2483&amp;" ~*")&gt;0)+(COUNTIF(S2458:U2475,$B2483)+COUNTIF(S2458:U2475,$B2483&amp;" ~*")&gt;0)+(COUNTIF(W2458:W2475,$B2483)+COUNTIF(W2458:W2475,$B2483&amp;" ~*")&gt;0)+(COUNTIF(Y2458:Y2475,$B2483)+COUNTIF(Y2458:Y2475,$B2483&amp;" ~*")&gt;0))</f>
        <v/>
      </c>
      <c r="AC2483" s="36">
        <f>IF($B2483="","",(IFERROR(INDEX(Setup!$G$33:$G$40,MATCH(C2483,Setup!$B$33:$B$40,0)),0)=1)*(COUNTIF(C2458:E2475,$B2483)+COUNTIF(C2458:E2475,$B2483&amp;" ~*")&gt;0)+(IFERROR(INDEX(Setup!$G$33:$G$40,MATCH(G2483,Setup!$B$33:$B$40,0)),0)=1)*(COUNTIF(G2458:I2475,$B2483)+COUNTIF(G2458:I2475,$B2483&amp;" ~*")&gt;0)+(IFERROR(INDEX(Setup!$G$33:$G$40,MATCH(K2483,Setup!$B$33:$B$40,0)),0)=1)*(COUNTIF(K2458:M2475,$B2483)+COUNTIF(K2458:M2475,$B2483&amp;" ~*")&gt;0)+(IFERROR(INDEX(Setup!$G$33:$G$40,MATCH(O2483,Setup!$B$33:$B$40,0)),0)=1)*(COUNTIF(O2458:Q2475,$B2483)+COUNTIF(O2458:Q2475,$B2483&amp;" ~*")&gt;0)+(IFERROR(INDEX(Setup!$G$33:$G$40,MATCH(S2483,Setup!$B$33:$B$40,0)),0)=1)*(COUNTIF(S2458:U2475,$B2483)+COUNTIF(S2458:U2475,$B2483&amp;" ~*")&gt;0)+(IFERROR(INDEX(Setup!$G$33:$G$40,MATCH(W2483,Setup!$B$33:$B$40,0)),0)=1)*(COUNTIF(W2458:W2475,$B2483)+COUNTIF(W2458:W2475,$B2483&amp;" ~*")&gt;0)+(IFERROR(INDEX(Setup!$G$33:$G$40,MATCH(Y2483,Setup!$B$33:$B$40,0)),0)=1)*(COUNTIF(Y2458:Y2475,$B2483)+COUNTIF(Y2458:Y2475,$B2483&amp;" ~*")&gt;0))</f>
        <v/>
      </c>
    </row>
    <row r="2484" ht="15" customHeight="1">
      <c r="A2484" t="n">
        <v>50</v>
      </c>
      <c r="B2484" s="37">
        <f>IF(Setup!$B$13="","",Setup!$B$13)</f>
        <v/>
      </c>
      <c r="C2484" s="102" t="n"/>
      <c r="D2484" s="103" t="n"/>
      <c r="E2484" s="103" t="n"/>
      <c r="F2484" s="104" t="n"/>
      <c r="G2484" s="102" t="n"/>
      <c r="H2484" s="103" t="n"/>
      <c r="I2484" s="103" t="n"/>
      <c r="J2484" s="104" t="n"/>
      <c r="K2484" s="102" t="n"/>
      <c r="L2484" s="103" t="n"/>
      <c r="M2484" s="103" t="n"/>
      <c r="N2484" s="104" t="n"/>
      <c r="O2484" s="102" t="n"/>
      <c r="P2484" s="103" t="n"/>
      <c r="Q2484" s="103" t="n"/>
      <c r="R2484" s="104" t="n"/>
      <c r="S2484" s="102" t="n"/>
      <c r="T2484" s="103" t="n"/>
      <c r="U2484" s="103" t="n"/>
      <c r="V2484" s="104" t="n"/>
      <c r="W2484" s="102" t="n"/>
      <c r="X2484" s="104" t="n"/>
      <c r="Y2484" s="102" t="n"/>
      <c r="Z2484" s="104" t="n"/>
      <c r="AB2484" s="105">
        <f>IF($B2484="","",(COUNTIF(C2458:E2475,$B2484)+COUNTIF(C2458:E2475,$B2484&amp;" ~*")&gt;0)+(COUNTIF(G2458:I2475,$B2484)+COUNTIF(G2458:I2475,$B2484&amp;" ~*")&gt;0)+(COUNTIF(K2458:M2475,$B2484)+COUNTIF(K2458:M2475,$B2484&amp;" ~*")&gt;0)+(COUNTIF(O2458:Q2475,$B2484)+COUNTIF(O2458:Q2475,$B2484&amp;" ~*")&gt;0)+(COUNTIF(S2458:U2475,$B2484)+COUNTIF(S2458:U2475,$B2484&amp;" ~*")&gt;0)+(COUNTIF(W2458:W2475,$B2484)+COUNTIF(W2458:W2475,$B2484&amp;" ~*")&gt;0)+(COUNTIF(Y2458:Y2475,$B2484)+COUNTIF(Y2458:Y2475,$B2484&amp;" ~*")&gt;0))</f>
        <v/>
      </c>
      <c r="AC2484" s="38">
        <f>IF($B2484="","",(IFERROR(INDEX(Setup!$G$33:$G$40,MATCH(C2484,Setup!$B$33:$B$40,0)),0)=1)*(COUNTIF(C2458:E2475,$B2484)+COUNTIF(C2458:E2475,$B2484&amp;" ~*")&gt;0)+(IFERROR(INDEX(Setup!$G$33:$G$40,MATCH(G2484,Setup!$B$33:$B$40,0)),0)=1)*(COUNTIF(G2458:I2475,$B2484)+COUNTIF(G2458:I2475,$B2484&amp;" ~*")&gt;0)+(IFERROR(INDEX(Setup!$G$33:$G$40,MATCH(K2484,Setup!$B$33:$B$40,0)),0)=1)*(COUNTIF(K2458:M2475,$B2484)+COUNTIF(K2458:M2475,$B2484&amp;" ~*")&gt;0)+(IFERROR(INDEX(Setup!$G$33:$G$40,MATCH(O2484,Setup!$B$33:$B$40,0)),0)=1)*(COUNTIF(O2458:Q2475,$B2484)+COUNTIF(O2458:Q2475,$B2484&amp;" ~*")&gt;0)+(IFERROR(INDEX(Setup!$G$33:$G$40,MATCH(S2484,Setup!$B$33:$B$40,0)),0)=1)*(COUNTIF(S2458:U2475,$B2484)+COUNTIF(S2458:U2475,$B2484&amp;" ~*")&gt;0)+(IFERROR(INDEX(Setup!$G$33:$G$40,MATCH(W2484,Setup!$B$33:$B$40,0)),0)=1)*(COUNTIF(W2458:W2475,$B2484)+COUNTIF(W2458:W2475,$B2484&amp;" ~*")&gt;0)+(IFERROR(INDEX(Setup!$G$33:$G$40,MATCH(Y2484,Setup!$B$33:$B$40,0)),0)=1)*(COUNTIF(Y2458:Y2475,$B2484)+COUNTIF(Y2458:Y2475,$B2484&amp;" ~*")&gt;0))</f>
        <v/>
      </c>
    </row>
    <row r="2485" ht="15" customHeight="1">
      <c r="A2485" t="n">
        <v>50</v>
      </c>
      <c r="B2485" s="35">
        <f>IF(Setup!$B$14="","",Setup!$B$14)</f>
        <v/>
      </c>
      <c r="C2485" s="98" t="n"/>
      <c r="D2485" s="99" t="n"/>
      <c r="E2485" s="99" t="n"/>
      <c r="F2485" s="100" t="n"/>
      <c r="G2485" s="98" t="n"/>
      <c r="H2485" s="99" t="n"/>
      <c r="I2485" s="99" t="n"/>
      <c r="J2485" s="100" t="n"/>
      <c r="K2485" s="98" t="n"/>
      <c r="L2485" s="99" t="n"/>
      <c r="M2485" s="99" t="n"/>
      <c r="N2485" s="100" t="n"/>
      <c r="O2485" s="98" t="n"/>
      <c r="P2485" s="99" t="n"/>
      <c r="Q2485" s="99" t="n"/>
      <c r="R2485" s="100" t="n"/>
      <c r="S2485" s="98" t="n"/>
      <c r="T2485" s="99" t="n"/>
      <c r="U2485" s="99" t="n"/>
      <c r="V2485" s="100" t="n"/>
      <c r="W2485" s="98" t="n"/>
      <c r="X2485" s="100" t="n"/>
      <c r="Y2485" s="98" t="n"/>
      <c r="Z2485" s="100" t="n"/>
      <c r="AB2485" s="101">
        <f>IF($B2485="","",(COUNTIF(C2458:E2475,$B2485)+COUNTIF(C2458:E2475,$B2485&amp;" ~*")&gt;0)+(COUNTIF(G2458:I2475,$B2485)+COUNTIF(G2458:I2475,$B2485&amp;" ~*")&gt;0)+(COUNTIF(K2458:M2475,$B2485)+COUNTIF(K2458:M2475,$B2485&amp;" ~*")&gt;0)+(COUNTIF(O2458:Q2475,$B2485)+COUNTIF(O2458:Q2475,$B2485&amp;" ~*")&gt;0)+(COUNTIF(S2458:U2475,$B2485)+COUNTIF(S2458:U2475,$B2485&amp;" ~*")&gt;0)+(COUNTIF(W2458:W2475,$B2485)+COUNTIF(W2458:W2475,$B2485&amp;" ~*")&gt;0)+(COUNTIF(Y2458:Y2475,$B2485)+COUNTIF(Y2458:Y2475,$B2485&amp;" ~*")&gt;0))</f>
        <v/>
      </c>
      <c r="AC2485" s="36">
        <f>IF($B2485="","",(IFERROR(INDEX(Setup!$G$33:$G$40,MATCH(C2485,Setup!$B$33:$B$40,0)),0)=1)*(COUNTIF(C2458:E2475,$B2485)+COUNTIF(C2458:E2475,$B2485&amp;" ~*")&gt;0)+(IFERROR(INDEX(Setup!$G$33:$G$40,MATCH(G2485,Setup!$B$33:$B$40,0)),0)=1)*(COUNTIF(G2458:I2475,$B2485)+COUNTIF(G2458:I2475,$B2485&amp;" ~*")&gt;0)+(IFERROR(INDEX(Setup!$G$33:$G$40,MATCH(K2485,Setup!$B$33:$B$40,0)),0)=1)*(COUNTIF(K2458:M2475,$B2485)+COUNTIF(K2458:M2475,$B2485&amp;" ~*")&gt;0)+(IFERROR(INDEX(Setup!$G$33:$G$40,MATCH(O2485,Setup!$B$33:$B$40,0)),0)=1)*(COUNTIF(O2458:Q2475,$B2485)+COUNTIF(O2458:Q2475,$B2485&amp;" ~*")&gt;0)+(IFERROR(INDEX(Setup!$G$33:$G$40,MATCH(S2485,Setup!$B$33:$B$40,0)),0)=1)*(COUNTIF(S2458:U2475,$B2485)+COUNTIF(S2458:U2475,$B2485&amp;" ~*")&gt;0)+(IFERROR(INDEX(Setup!$G$33:$G$40,MATCH(W2485,Setup!$B$33:$B$40,0)),0)=1)*(COUNTIF(W2458:W2475,$B2485)+COUNTIF(W2458:W2475,$B2485&amp;" ~*")&gt;0)+(IFERROR(INDEX(Setup!$G$33:$G$40,MATCH(Y2485,Setup!$B$33:$B$40,0)),0)=1)*(COUNTIF(Y2458:Y2475,$B2485)+COUNTIF(Y2458:Y2475,$B2485&amp;" ~*")&gt;0))</f>
        <v/>
      </c>
    </row>
    <row r="2486" ht="15" customHeight="1">
      <c r="A2486" t="n">
        <v>50</v>
      </c>
      <c r="B2486" s="37">
        <f>IF(Setup!$B$15="","",Setup!$B$15)</f>
        <v/>
      </c>
      <c r="C2486" s="102" t="n"/>
      <c r="D2486" s="103" t="n"/>
      <c r="E2486" s="103" t="n"/>
      <c r="F2486" s="104" t="n"/>
      <c r="G2486" s="102" t="n"/>
      <c r="H2486" s="103" t="n"/>
      <c r="I2486" s="103" t="n"/>
      <c r="J2486" s="104" t="n"/>
      <c r="K2486" s="102" t="n"/>
      <c r="L2486" s="103" t="n"/>
      <c r="M2486" s="103" t="n"/>
      <c r="N2486" s="104" t="n"/>
      <c r="O2486" s="102" t="n"/>
      <c r="P2486" s="103" t="n"/>
      <c r="Q2486" s="103" t="n"/>
      <c r="R2486" s="104" t="n"/>
      <c r="S2486" s="102" t="n"/>
      <c r="T2486" s="103" t="n"/>
      <c r="U2486" s="103" t="n"/>
      <c r="V2486" s="104" t="n"/>
      <c r="W2486" s="102" t="n"/>
      <c r="X2486" s="104" t="n"/>
      <c r="Y2486" s="102" t="n"/>
      <c r="Z2486" s="104" t="n"/>
      <c r="AB2486" s="105">
        <f>IF($B2486="","",(COUNTIF(C2458:E2475,$B2486)+COUNTIF(C2458:E2475,$B2486&amp;" ~*")&gt;0)+(COUNTIF(G2458:I2475,$B2486)+COUNTIF(G2458:I2475,$B2486&amp;" ~*")&gt;0)+(COUNTIF(K2458:M2475,$B2486)+COUNTIF(K2458:M2475,$B2486&amp;" ~*")&gt;0)+(COUNTIF(O2458:Q2475,$B2486)+COUNTIF(O2458:Q2475,$B2486&amp;" ~*")&gt;0)+(COUNTIF(S2458:U2475,$B2486)+COUNTIF(S2458:U2475,$B2486&amp;" ~*")&gt;0)+(COUNTIF(W2458:W2475,$B2486)+COUNTIF(W2458:W2475,$B2486&amp;" ~*")&gt;0)+(COUNTIF(Y2458:Y2475,$B2486)+COUNTIF(Y2458:Y2475,$B2486&amp;" ~*")&gt;0))</f>
        <v/>
      </c>
      <c r="AC2486" s="38">
        <f>IF($B2486="","",(IFERROR(INDEX(Setup!$G$33:$G$40,MATCH(C2486,Setup!$B$33:$B$40,0)),0)=1)*(COUNTIF(C2458:E2475,$B2486)+COUNTIF(C2458:E2475,$B2486&amp;" ~*")&gt;0)+(IFERROR(INDEX(Setup!$G$33:$G$40,MATCH(G2486,Setup!$B$33:$B$40,0)),0)=1)*(COUNTIF(G2458:I2475,$B2486)+COUNTIF(G2458:I2475,$B2486&amp;" ~*")&gt;0)+(IFERROR(INDEX(Setup!$G$33:$G$40,MATCH(K2486,Setup!$B$33:$B$40,0)),0)=1)*(COUNTIF(K2458:M2475,$B2486)+COUNTIF(K2458:M2475,$B2486&amp;" ~*")&gt;0)+(IFERROR(INDEX(Setup!$G$33:$G$40,MATCH(O2486,Setup!$B$33:$B$40,0)),0)=1)*(COUNTIF(O2458:Q2475,$B2486)+COUNTIF(O2458:Q2475,$B2486&amp;" ~*")&gt;0)+(IFERROR(INDEX(Setup!$G$33:$G$40,MATCH(S2486,Setup!$B$33:$B$40,0)),0)=1)*(COUNTIF(S2458:U2475,$B2486)+COUNTIF(S2458:U2475,$B2486&amp;" ~*")&gt;0)+(IFERROR(INDEX(Setup!$G$33:$G$40,MATCH(W2486,Setup!$B$33:$B$40,0)),0)=1)*(COUNTIF(W2458:W2475,$B2486)+COUNTIF(W2458:W2475,$B2486&amp;" ~*")&gt;0)+(IFERROR(INDEX(Setup!$G$33:$G$40,MATCH(Y2486,Setup!$B$33:$B$40,0)),0)=1)*(COUNTIF(Y2458:Y2475,$B2486)+COUNTIF(Y2458:Y2475,$B2486&amp;" ~*")&gt;0))</f>
        <v/>
      </c>
    </row>
    <row r="2487" ht="15" customHeight="1">
      <c r="A2487" t="n">
        <v>50</v>
      </c>
      <c r="B2487" s="35">
        <f>IF(Setup!$B$16="","",Setup!$B$16)</f>
        <v/>
      </c>
      <c r="C2487" s="98" t="n"/>
      <c r="D2487" s="99" t="n"/>
      <c r="E2487" s="99" t="n"/>
      <c r="F2487" s="100" t="n"/>
      <c r="G2487" s="98" t="n"/>
      <c r="H2487" s="99" t="n"/>
      <c r="I2487" s="99" t="n"/>
      <c r="J2487" s="100" t="n"/>
      <c r="K2487" s="98" t="n"/>
      <c r="L2487" s="99" t="n"/>
      <c r="M2487" s="99" t="n"/>
      <c r="N2487" s="100" t="n"/>
      <c r="O2487" s="98" t="n"/>
      <c r="P2487" s="99" t="n"/>
      <c r="Q2487" s="99" t="n"/>
      <c r="R2487" s="100" t="n"/>
      <c r="S2487" s="98" t="n"/>
      <c r="T2487" s="99" t="n"/>
      <c r="U2487" s="99" t="n"/>
      <c r="V2487" s="100" t="n"/>
      <c r="W2487" s="98" t="n"/>
      <c r="X2487" s="100" t="n"/>
      <c r="Y2487" s="98" t="n"/>
      <c r="Z2487" s="100" t="n"/>
      <c r="AB2487" s="101">
        <f>IF($B2487="","",(COUNTIF(C2458:E2475,$B2487)+COUNTIF(C2458:E2475,$B2487&amp;" ~*")&gt;0)+(COUNTIF(G2458:I2475,$B2487)+COUNTIF(G2458:I2475,$B2487&amp;" ~*")&gt;0)+(COUNTIF(K2458:M2475,$B2487)+COUNTIF(K2458:M2475,$B2487&amp;" ~*")&gt;0)+(COUNTIF(O2458:Q2475,$B2487)+COUNTIF(O2458:Q2475,$B2487&amp;" ~*")&gt;0)+(COUNTIF(S2458:U2475,$B2487)+COUNTIF(S2458:U2475,$B2487&amp;" ~*")&gt;0)+(COUNTIF(W2458:W2475,$B2487)+COUNTIF(W2458:W2475,$B2487&amp;" ~*")&gt;0)+(COUNTIF(Y2458:Y2475,$B2487)+COUNTIF(Y2458:Y2475,$B2487&amp;" ~*")&gt;0))</f>
        <v/>
      </c>
      <c r="AC2487" s="36">
        <f>IF($B2487="","",(IFERROR(INDEX(Setup!$G$33:$G$40,MATCH(C2487,Setup!$B$33:$B$40,0)),0)=1)*(COUNTIF(C2458:E2475,$B2487)+COUNTIF(C2458:E2475,$B2487&amp;" ~*")&gt;0)+(IFERROR(INDEX(Setup!$G$33:$G$40,MATCH(G2487,Setup!$B$33:$B$40,0)),0)=1)*(COUNTIF(G2458:I2475,$B2487)+COUNTIF(G2458:I2475,$B2487&amp;" ~*")&gt;0)+(IFERROR(INDEX(Setup!$G$33:$G$40,MATCH(K2487,Setup!$B$33:$B$40,0)),0)=1)*(COUNTIF(K2458:M2475,$B2487)+COUNTIF(K2458:M2475,$B2487&amp;" ~*")&gt;0)+(IFERROR(INDEX(Setup!$G$33:$G$40,MATCH(O2487,Setup!$B$33:$B$40,0)),0)=1)*(COUNTIF(O2458:Q2475,$B2487)+COUNTIF(O2458:Q2475,$B2487&amp;" ~*")&gt;0)+(IFERROR(INDEX(Setup!$G$33:$G$40,MATCH(S2487,Setup!$B$33:$B$40,0)),0)=1)*(COUNTIF(S2458:U2475,$B2487)+COUNTIF(S2458:U2475,$B2487&amp;" ~*")&gt;0)+(IFERROR(INDEX(Setup!$G$33:$G$40,MATCH(W2487,Setup!$B$33:$B$40,0)),0)=1)*(COUNTIF(W2458:W2475,$B2487)+COUNTIF(W2458:W2475,$B2487&amp;" ~*")&gt;0)+(IFERROR(INDEX(Setup!$G$33:$G$40,MATCH(Y2487,Setup!$B$33:$B$40,0)),0)=1)*(COUNTIF(Y2458:Y2475,$B2487)+COUNTIF(Y2458:Y2475,$B2487&amp;" ~*")&gt;0))</f>
        <v/>
      </c>
    </row>
    <row r="2488" ht="15" customHeight="1">
      <c r="A2488" t="n">
        <v>50</v>
      </c>
      <c r="B2488" s="37">
        <f>IF(Setup!$B$17="","",Setup!$B$17)</f>
        <v/>
      </c>
      <c r="C2488" s="102" t="n"/>
      <c r="D2488" s="103" t="n"/>
      <c r="E2488" s="103" t="n"/>
      <c r="F2488" s="104" t="n"/>
      <c r="G2488" s="102" t="n"/>
      <c r="H2488" s="103" t="n"/>
      <c r="I2488" s="103" t="n"/>
      <c r="J2488" s="104" t="n"/>
      <c r="K2488" s="102" t="n"/>
      <c r="L2488" s="103" t="n"/>
      <c r="M2488" s="103" t="n"/>
      <c r="N2488" s="104" t="n"/>
      <c r="O2488" s="102" t="n"/>
      <c r="P2488" s="103" t="n"/>
      <c r="Q2488" s="103" t="n"/>
      <c r="R2488" s="104" t="n"/>
      <c r="S2488" s="102" t="n"/>
      <c r="T2488" s="103" t="n"/>
      <c r="U2488" s="103" t="n"/>
      <c r="V2488" s="104" t="n"/>
      <c r="W2488" s="102" t="n"/>
      <c r="X2488" s="104" t="n"/>
      <c r="Y2488" s="102" t="n"/>
      <c r="Z2488" s="104" t="n"/>
      <c r="AB2488" s="105">
        <f>IF($B2488="","",(COUNTIF(C2458:E2475,$B2488)+COUNTIF(C2458:E2475,$B2488&amp;" ~*")&gt;0)+(COUNTIF(G2458:I2475,$B2488)+COUNTIF(G2458:I2475,$B2488&amp;" ~*")&gt;0)+(COUNTIF(K2458:M2475,$B2488)+COUNTIF(K2458:M2475,$B2488&amp;" ~*")&gt;0)+(COUNTIF(O2458:Q2475,$B2488)+COUNTIF(O2458:Q2475,$B2488&amp;" ~*")&gt;0)+(COUNTIF(S2458:U2475,$B2488)+COUNTIF(S2458:U2475,$B2488&amp;" ~*")&gt;0)+(COUNTIF(W2458:W2475,$B2488)+COUNTIF(W2458:W2475,$B2488&amp;" ~*")&gt;0)+(COUNTIF(Y2458:Y2475,$B2488)+COUNTIF(Y2458:Y2475,$B2488&amp;" ~*")&gt;0))</f>
        <v/>
      </c>
      <c r="AC2488" s="38">
        <f>IF($B2488="","",(IFERROR(INDEX(Setup!$G$33:$G$40,MATCH(C2488,Setup!$B$33:$B$40,0)),0)=1)*(COUNTIF(C2458:E2475,$B2488)+COUNTIF(C2458:E2475,$B2488&amp;" ~*")&gt;0)+(IFERROR(INDEX(Setup!$G$33:$G$40,MATCH(G2488,Setup!$B$33:$B$40,0)),0)=1)*(COUNTIF(G2458:I2475,$B2488)+COUNTIF(G2458:I2475,$B2488&amp;" ~*")&gt;0)+(IFERROR(INDEX(Setup!$G$33:$G$40,MATCH(K2488,Setup!$B$33:$B$40,0)),0)=1)*(COUNTIF(K2458:M2475,$B2488)+COUNTIF(K2458:M2475,$B2488&amp;" ~*")&gt;0)+(IFERROR(INDEX(Setup!$G$33:$G$40,MATCH(O2488,Setup!$B$33:$B$40,0)),0)=1)*(COUNTIF(O2458:Q2475,$B2488)+COUNTIF(O2458:Q2475,$B2488&amp;" ~*")&gt;0)+(IFERROR(INDEX(Setup!$G$33:$G$40,MATCH(S2488,Setup!$B$33:$B$40,0)),0)=1)*(COUNTIF(S2458:U2475,$B2488)+COUNTIF(S2458:U2475,$B2488&amp;" ~*")&gt;0)+(IFERROR(INDEX(Setup!$G$33:$G$40,MATCH(W2488,Setup!$B$33:$B$40,0)),0)=1)*(COUNTIF(W2458:W2475,$B2488)+COUNTIF(W2458:W2475,$B2488&amp;" ~*")&gt;0)+(IFERROR(INDEX(Setup!$G$33:$G$40,MATCH(Y2488,Setup!$B$33:$B$40,0)),0)=1)*(COUNTIF(Y2458:Y2475,$B2488)+COUNTIF(Y2458:Y2475,$B2488&amp;" ~*")&gt;0))</f>
        <v/>
      </c>
    </row>
    <row r="2489" ht="15" customHeight="1">
      <c r="A2489" t="n">
        <v>50</v>
      </c>
      <c r="B2489" s="35">
        <f>IF(Setup!$B$18="","",Setup!$B$18)</f>
        <v/>
      </c>
      <c r="C2489" s="98" t="n"/>
      <c r="D2489" s="99" t="n"/>
      <c r="E2489" s="99" t="n"/>
      <c r="F2489" s="100" t="n"/>
      <c r="G2489" s="98" t="n"/>
      <c r="H2489" s="99" t="n"/>
      <c r="I2489" s="99" t="n"/>
      <c r="J2489" s="100" t="n"/>
      <c r="K2489" s="98" t="n"/>
      <c r="L2489" s="99" t="n"/>
      <c r="M2489" s="99" t="n"/>
      <c r="N2489" s="100" t="n"/>
      <c r="O2489" s="98" t="n"/>
      <c r="P2489" s="99" t="n"/>
      <c r="Q2489" s="99" t="n"/>
      <c r="R2489" s="100" t="n"/>
      <c r="S2489" s="98" t="n"/>
      <c r="T2489" s="99" t="n"/>
      <c r="U2489" s="99" t="n"/>
      <c r="V2489" s="100" t="n"/>
      <c r="W2489" s="98" t="n"/>
      <c r="X2489" s="100" t="n"/>
      <c r="Y2489" s="98" t="n"/>
      <c r="Z2489" s="100" t="n"/>
      <c r="AB2489" s="101">
        <f>IF($B2489="","",(COUNTIF(C2458:E2475,$B2489)+COUNTIF(C2458:E2475,$B2489&amp;" ~*")&gt;0)+(COUNTIF(G2458:I2475,$B2489)+COUNTIF(G2458:I2475,$B2489&amp;" ~*")&gt;0)+(COUNTIF(K2458:M2475,$B2489)+COUNTIF(K2458:M2475,$B2489&amp;" ~*")&gt;0)+(COUNTIF(O2458:Q2475,$B2489)+COUNTIF(O2458:Q2475,$B2489&amp;" ~*")&gt;0)+(COUNTIF(S2458:U2475,$B2489)+COUNTIF(S2458:U2475,$B2489&amp;" ~*")&gt;0)+(COUNTIF(W2458:W2475,$B2489)+COUNTIF(W2458:W2475,$B2489&amp;" ~*")&gt;0)+(COUNTIF(Y2458:Y2475,$B2489)+COUNTIF(Y2458:Y2475,$B2489&amp;" ~*")&gt;0))</f>
        <v/>
      </c>
      <c r="AC2489" s="36">
        <f>IF($B2489="","",(IFERROR(INDEX(Setup!$G$33:$G$40,MATCH(C2489,Setup!$B$33:$B$40,0)),0)=1)*(COUNTIF(C2458:E2475,$B2489)+COUNTIF(C2458:E2475,$B2489&amp;" ~*")&gt;0)+(IFERROR(INDEX(Setup!$G$33:$G$40,MATCH(G2489,Setup!$B$33:$B$40,0)),0)=1)*(COUNTIF(G2458:I2475,$B2489)+COUNTIF(G2458:I2475,$B2489&amp;" ~*")&gt;0)+(IFERROR(INDEX(Setup!$G$33:$G$40,MATCH(K2489,Setup!$B$33:$B$40,0)),0)=1)*(COUNTIF(K2458:M2475,$B2489)+COUNTIF(K2458:M2475,$B2489&amp;" ~*")&gt;0)+(IFERROR(INDEX(Setup!$G$33:$G$40,MATCH(O2489,Setup!$B$33:$B$40,0)),0)=1)*(COUNTIF(O2458:Q2475,$B2489)+COUNTIF(O2458:Q2475,$B2489&amp;" ~*")&gt;0)+(IFERROR(INDEX(Setup!$G$33:$G$40,MATCH(S2489,Setup!$B$33:$B$40,0)),0)=1)*(COUNTIF(S2458:U2475,$B2489)+COUNTIF(S2458:U2475,$B2489&amp;" ~*")&gt;0)+(IFERROR(INDEX(Setup!$G$33:$G$40,MATCH(W2489,Setup!$B$33:$B$40,0)),0)=1)*(COUNTIF(W2458:W2475,$B2489)+COUNTIF(W2458:W2475,$B2489&amp;" ~*")&gt;0)+(IFERROR(INDEX(Setup!$G$33:$G$40,MATCH(Y2489,Setup!$B$33:$B$40,0)),0)=1)*(COUNTIF(Y2458:Y2475,$B2489)+COUNTIF(Y2458:Y2475,$B2489&amp;" ~*")&gt;0))</f>
        <v/>
      </c>
    </row>
    <row r="2490" ht="15" customHeight="1">
      <c r="A2490" t="n">
        <v>50</v>
      </c>
      <c r="B2490" s="37">
        <f>IF(Setup!$B$19="","",Setup!$B$19)</f>
        <v/>
      </c>
      <c r="C2490" s="102" t="n"/>
      <c r="D2490" s="103" t="n"/>
      <c r="E2490" s="103" t="n"/>
      <c r="F2490" s="104" t="n"/>
      <c r="G2490" s="102" t="n"/>
      <c r="H2490" s="103" t="n"/>
      <c r="I2490" s="103" t="n"/>
      <c r="J2490" s="104" t="n"/>
      <c r="K2490" s="102" t="n"/>
      <c r="L2490" s="103" t="n"/>
      <c r="M2490" s="103" t="n"/>
      <c r="N2490" s="104" t="n"/>
      <c r="O2490" s="102" t="n"/>
      <c r="P2490" s="103" t="n"/>
      <c r="Q2490" s="103" t="n"/>
      <c r="R2490" s="104" t="n"/>
      <c r="S2490" s="102" t="n"/>
      <c r="T2490" s="103" t="n"/>
      <c r="U2490" s="103" t="n"/>
      <c r="V2490" s="104" t="n"/>
      <c r="W2490" s="102" t="n"/>
      <c r="X2490" s="104" t="n"/>
      <c r="Y2490" s="102" t="n"/>
      <c r="Z2490" s="104" t="n"/>
      <c r="AB2490" s="105">
        <f>IF($B2490="","",(COUNTIF(C2458:E2475,$B2490)+COUNTIF(C2458:E2475,$B2490&amp;" ~*")&gt;0)+(COUNTIF(G2458:I2475,$B2490)+COUNTIF(G2458:I2475,$B2490&amp;" ~*")&gt;0)+(COUNTIF(K2458:M2475,$B2490)+COUNTIF(K2458:M2475,$B2490&amp;" ~*")&gt;0)+(COUNTIF(O2458:Q2475,$B2490)+COUNTIF(O2458:Q2475,$B2490&amp;" ~*")&gt;0)+(COUNTIF(S2458:U2475,$B2490)+COUNTIF(S2458:U2475,$B2490&amp;" ~*")&gt;0)+(COUNTIF(W2458:W2475,$B2490)+COUNTIF(W2458:W2475,$B2490&amp;" ~*")&gt;0)+(COUNTIF(Y2458:Y2475,$B2490)+COUNTIF(Y2458:Y2475,$B2490&amp;" ~*")&gt;0))</f>
        <v/>
      </c>
      <c r="AC2490" s="38">
        <f>IF($B2490="","",(IFERROR(INDEX(Setup!$G$33:$G$40,MATCH(C2490,Setup!$B$33:$B$40,0)),0)=1)*(COUNTIF(C2458:E2475,$B2490)+COUNTIF(C2458:E2475,$B2490&amp;" ~*")&gt;0)+(IFERROR(INDEX(Setup!$G$33:$G$40,MATCH(G2490,Setup!$B$33:$B$40,0)),0)=1)*(COUNTIF(G2458:I2475,$B2490)+COUNTIF(G2458:I2475,$B2490&amp;" ~*")&gt;0)+(IFERROR(INDEX(Setup!$G$33:$G$40,MATCH(K2490,Setup!$B$33:$B$40,0)),0)=1)*(COUNTIF(K2458:M2475,$B2490)+COUNTIF(K2458:M2475,$B2490&amp;" ~*")&gt;0)+(IFERROR(INDEX(Setup!$G$33:$G$40,MATCH(O2490,Setup!$B$33:$B$40,0)),0)=1)*(COUNTIF(O2458:Q2475,$B2490)+COUNTIF(O2458:Q2475,$B2490&amp;" ~*")&gt;0)+(IFERROR(INDEX(Setup!$G$33:$G$40,MATCH(S2490,Setup!$B$33:$B$40,0)),0)=1)*(COUNTIF(S2458:U2475,$B2490)+COUNTIF(S2458:U2475,$B2490&amp;" ~*")&gt;0)+(IFERROR(INDEX(Setup!$G$33:$G$40,MATCH(W2490,Setup!$B$33:$B$40,0)),0)=1)*(COUNTIF(W2458:W2475,$B2490)+COUNTIF(W2458:W2475,$B2490&amp;" ~*")&gt;0)+(IFERROR(INDEX(Setup!$G$33:$G$40,MATCH(Y2490,Setup!$B$33:$B$40,0)),0)=1)*(COUNTIF(Y2458:Y2475,$B2490)+COUNTIF(Y2458:Y2475,$B2490&amp;" ~*")&gt;0))</f>
        <v/>
      </c>
    </row>
    <row r="2491" ht="15" customHeight="1">
      <c r="A2491" t="n">
        <v>50</v>
      </c>
      <c r="B2491" s="35">
        <f>IF(Setup!$B$20="","",Setup!$B$20)</f>
        <v/>
      </c>
      <c r="C2491" s="98" t="n"/>
      <c r="D2491" s="99" t="n"/>
      <c r="E2491" s="99" t="n"/>
      <c r="F2491" s="100" t="n"/>
      <c r="G2491" s="98" t="n"/>
      <c r="H2491" s="99" t="n"/>
      <c r="I2491" s="99" t="n"/>
      <c r="J2491" s="100" t="n"/>
      <c r="K2491" s="98" t="n"/>
      <c r="L2491" s="99" t="n"/>
      <c r="M2491" s="99" t="n"/>
      <c r="N2491" s="100" t="n"/>
      <c r="O2491" s="98" t="n"/>
      <c r="P2491" s="99" t="n"/>
      <c r="Q2491" s="99" t="n"/>
      <c r="R2491" s="100" t="n"/>
      <c r="S2491" s="98" t="n"/>
      <c r="T2491" s="99" t="n"/>
      <c r="U2491" s="99" t="n"/>
      <c r="V2491" s="100" t="n"/>
      <c r="W2491" s="98" t="n"/>
      <c r="X2491" s="100" t="n"/>
      <c r="Y2491" s="98" t="n"/>
      <c r="Z2491" s="100" t="n"/>
      <c r="AB2491" s="101">
        <f>IF($B2491="","",(COUNTIF(C2458:E2475,$B2491)+COUNTIF(C2458:E2475,$B2491&amp;" ~*")&gt;0)+(COUNTIF(G2458:I2475,$B2491)+COUNTIF(G2458:I2475,$B2491&amp;" ~*")&gt;0)+(COUNTIF(K2458:M2475,$B2491)+COUNTIF(K2458:M2475,$B2491&amp;" ~*")&gt;0)+(COUNTIF(O2458:Q2475,$B2491)+COUNTIF(O2458:Q2475,$B2491&amp;" ~*")&gt;0)+(COUNTIF(S2458:U2475,$B2491)+COUNTIF(S2458:U2475,$B2491&amp;" ~*")&gt;0)+(COUNTIF(W2458:W2475,$B2491)+COUNTIF(W2458:W2475,$B2491&amp;" ~*")&gt;0)+(COUNTIF(Y2458:Y2475,$B2491)+COUNTIF(Y2458:Y2475,$B2491&amp;" ~*")&gt;0))</f>
        <v/>
      </c>
      <c r="AC2491" s="36">
        <f>IF($B2491="","",(IFERROR(INDEX(Setup!$G$33:$G$40,MATCH(C2491,Setup!$B$33:$B$40,0)),0)=1)*(COUNTIF(C2458:E2475,$B2491)+COUNTIF(C2458:E2475,$B2491&amp;" ~*")&gt;0)+(IFERROR(INDEX(Setup!$G$33:$G$40,MATCH(G2491,Setup!$B$33:$B$40,0)),0)=1)*(COUNTIF(G2458:I2475,$B2491)+COUNTIF(G2458:I2475,$B2491&amp;" ~*")&gt;0)+(IFERROR(INDEX(Setup!$G$33:$G$40,MATCH(K2491,Setup!$B$33:$B$40,0)),0)=1)*(COUNTIF(K2458:M2475,$B2491)+COUNTIF(K2458:M2475,$B2491&amp;" ~*")&gt;0)+(IFERROR(INDEX(Setup!$G$33:$G$40,MATCH(O2491,Setup!$B$33:$B$40,0)),0)=1)*(COUNTIF(O2458:Q2475,$B2491)+COUNTIF(O2458:Q2475,$B2491&amp;" ~*")&gt;0)+(IFERROR(INDEX(Setup!$G$33:$G$40,MATCH(S2491,Setup!$B$33:$B$40,0)),0)=1)*(COUNTIF(S2458:U2475,$B2491)+COUNTIF(S2458:U2475,$B2491&amp;" ~*")&gt;0)+(IFERROR(INDEX(Setup!$G$33:$G$40,MATCH(W2491,Setup!$B$33:$B$40,0)),0)=1)*(COUNTIF(W2458:W2475,$B2491)+COUNTIF(W2458:W2475,$B2491&amp;" ~*")&gt;0)+(IFERROR(INDEX(Setup!$G$33:$G$40,MATCH(Y2491,Setup!$B$33:$B$40,0)),0)=1)*(COUNTIF(Y2458:Y2475,$B2491)+COUNTIF(Y2458:Y2475,$B2491&amp;" ~*")&gt;0))</f>
        <v/>
      </c>
    </row>
    <row r="2492" ht="15" customHeight="1">
      <c r="A2492" t="n">
        <v>50</v>
      </c>
      <c r="B2492" s="37">
        <f>IF(Setup!$B$21="","",Setup!$B$21)</f>
        <v/>
      </c>
      <c r="C2492" s="102" t="n"/>
      <c r="D2492" s="103" t="n"/>
      <c r="E2492" s="103" t="n"/>
      <c r="F2492" s="104" t="n"/>
      <c r="G2492" s="102" t="n"/>
      <c r="H2492" s="103" t="n"/>
      <c r="I2492" s="103" t="n"/>
      <c r="J2492" s="104" t="n"/>
      <c r="K2492" s="102" t="n"/>
      <c r="L2492" s="103" t="n"/>
      <c r="M2492" s="103" t="n"/>
      <c r="N2492" s="104" t="n"/>
      <c r="O2492" s="102" t="n"/>
      <c r="P2492" s="103" t="n"/>
      <c r="Q2492" s="103" t="n"/>
      <c r="R2492" s="104" t="n"/>
      <c r="S2492" s="102" t="n"/>
      <c r="T2492" s="103" t="n"/>
      <c r="U2492" s="103" t="n"/>
      <c r="V2492" s="104" t="n"/>
      <c r="W2492" s="102" t="n"/>
      <c r="X2492" s="104" t="n"/>
      <c r="Y2492" s="102" t="n"/>
      <c r="Z2492" s="104" t="n"/>
      <c r="AB2492" s="105">
        <f>IF($B2492="","",(COUNTIF(C2458:E2475,$B2492)+COUNTIF(C2458:E2475,$B2492&amp;" ~*")&gt;0)+(COUNTIF(G2458:I2475,$B2492)+COUNTIF(G2458:I2475,$B2492&amp;" ~*")&gt;0)+(COUNTIF(K2458:M2475,$B2492)+COUNTIF(K2458:M2475,$B2492&amp;" ~*")&gt;0)+(COUNTIF(O2458:Q2475,$B2492)+COUNTIF(O2458:Q2475,$B2492&amp;" ~*")&gt;0)+(COUNTIF(S2458:U2475,$B2492)+COUNTIF(S2458:U2475,$B2492&amp;" ~*")&gt;0)+(COUNTIF(W2458:W2475,$B2492)+COUNTIF(W2458:W2475,$B2492&amp;" ~*")&gt;0)+(COUNTIF(Y2458:Y2475,$B2492)+COUNTIF(Y2458:Y2475,$B2492&amp;" ~*")&gt;0))</f>
        <v/>
      </c>
      <c r="AC2492" s="38">
        <f>IF($B2492="","",(IFERROR(INDEX(Setup!$G$33:$G$40,MATCH(C2492,Setup!$B$33:$B$40,0)),0)=1)*(COUNTIF(C2458:E2475,$B2492)+COUNTIF(C2458:E2475,$B2492&amp;" ~*")&gt;0)+(IFERROR(INDEX(Setup!$G$33:$G$40,MATCH(G2492,Setup!$B$33:$B$40,0)),0)=1)*(COUNTIF(G2458:I2475,$B2492)+COUNTIF(G2458:I2475,$B2492&amp;" ~*")&gt;0)+(IFERROR(INDEX(Setup!$G$33:$G$40,MATCH(K2492,Setup!$B$33:$B$40,0)),0)=1)*(COUNTIF(K2458:M2475,$B2492)+COUNTIF(K2458:M2475,$B2492&amp;" ~*")&gt;0)+(IFERROR(INDEX(Setup!$G$33:$G$40,MATCH(O2492,Setup!$B$33:$B$40,0)),0)=1)*(COUNTIF(O2458:Q2475,$B2492)+COUNTIF(O2458:Q2475,$B2492&amp;" ~*")&gt;0)+(IFERROR(INDEX(Setup!$G$33:$G$40,MATCH(S2492,Setup!$B$33:$B$40,0)),0)=1)*(COUNTIF(S2458:U2475,$B2492)+COUNTIF(S2458:U2475,$B2492&amp;" ~*")&gt;0)+(IFERROR(INDEX(Setup!$G$33:$G$40,MATCH(W2492,Setup!$B$33:$B$40,0)),0)=1)*(COUNTIF(W2458:W2475,$B2492)+COUNTIF(W2458:W2475,$B2492&amp;" ~*")&gt;0)+(IFERROR(INDEX(Setup!$G$33:$G$40,MATCH(Y2492,Setup!$B$33:$B$40,0)),0)=1)*(COUNTIF(Y2458:Y2475,$B2492)+COUNTIF(Y2458:Y2475,$B2492&amp;" ~*")&gt;0))</f>
        <v/>
      </c>
    </row>
    <row r="2493" ht="15" customHeight="1">
      <c r="A2493" t="n">
        <v>50</v>
      </c>
      <c r="B2493" s="35">
        <f>IF(Setup!$B$22="","",Setup!$B$22)</f>
        <v/>
      </c>
      <c r="C2493" s="98" t="n"/>
      <c r="D2493" s="99" t="n"/>
      <c r="E2493" s="99" t="n"/>
      <c r="F2493" s="100" t="n"/>
      <c r="G2493" s="98" t="n"/>
      <c r="H2493" s="99" t="n"/>
      <c r="I2493" s="99" t="n"/>
      <c r="J2493" s="100" t="n"/>
      <c r="K2493" s="98" t="n"/>
      <c r="L2493" s="99" t="n"/>
      <c r="M2493" s="99" t="n"/>
      <c r="N2493" s="100" t="n"/>
      <c r="O2493" s="98" t="n"/>
      <c r="P2493" s="99" t="n"/>
      <c r="Q2493" s="99" t="n"/>
      <c r="R2493" s="100" t="n"/>
      <c r="S2493" s="98" t="n"/>
      <c r="T2493" s="99" t="n"/>
      <c r="U2493" s="99" t="n"/>
      <c r="V2493" s="100" t="n"/>
      <c r="W2493" s="98" t="n"/>
      <c r="X2493" s="100" t="n"/>
      <c r="Y2493" s="98" t="n"/>
      <c r="Z2493" s="100" t="n"/>
      <c r="AB2493" s="101">
        <f>IF($B2493="","",(COUNTIF(C2458:E2475,$B2493)+COUNTIF(C2458:E2475,$B2493&amp;" ~*")&gt;0)+(COUNTIF(G2458:I2475,$B2493)+COUNTIF(G2458:I2475,$B2493&amp;" ~*")&gt;0)+(COUNTIF(K2458:M2475,$B2493)+COUNTIF(K2458:M2475,$B2493&amp;" ~*")&gt;0)+(COUNTIF(O2458:Q2475,$B2493)+COUNTIF(O2458:Q2475,$B2493&amp;" ~*")&gt;0)+(COUNTIF(S2458:U2475,$B2493)+COUNTIF(S2458:U2475,$B2493&amp;" ~*")&gt;0)+(COUNTIF(W2458:W2475,$B2493)+COUNTIF(W2458:W2475,$B2493&amp;" ~*")&gt;0)+(COUNTIF(Y2458:Y2475,$B2493)+COUNTIF(Y2458:Y2475,$B2493&amp;" ~*")&gt;0))</f>
        <v/>
      </c>
      <c r="AC2493" s="36">
        <f>IF($B2493="","",(IFERROR(INDEX(Setup!$G$33:$G$40,MATCH(C2493,Setup!$B$33:$B$40,0)),0)=1)*(COUNTIF(C2458:E2475,$B2493)+COUNTIF(C2458:E2475,$B2493&amp;" ~*")&gt;0)+(IFERROR(INDEX(Setup!$G$33:$G$40,MATCH(G2493,Setup!$B$33:$B$40,0)),0)=1)*(COUNTIF(G2458:I2475,$B2493)+COUNTIF(G2458:I2475,$B2493&amp;" ~*")&gt;0)+(IFERROR(INDEX(Setup!$G$33:$G$40,MATCH(K2493,Setup!$B$33:$B$40,0)),0)=1)*(COUNTIF(K2458:M2475,$B2493)+COUNTIF(K2458:M2475,$B2493&amp;" ~*")&gt;0)+(IFERROR(INDEX(Setup!$G$33:$G$40,MATCH(O2493,Setup!$B$33:$B$40,0)),0)=1)*(COUNTIF(O2458:Q2475,$B2493)+COUNTIF(O2458:Q2475,$B2493&amp;" ~*")&gt;0)+(IFERROR(INDEX(Setup!$G$33:$G$40,MATCH(S2493,Setup!$B$33:$B$40,0)),0)=1)*(COUNTIF(S2458:U2475,$B2493)+COUNTIF(S2458:U2475,$B2493&amp;" ~*")&gt;0)+(IFERROR(INDEX(Setup!$G$33:$G$40,MATCH(W2493,Setup!$B$33:$B$40,0)),0)=1)*(COUNTIF(W2458:W2475,$B2493)+COUNTIF(W2458:W2475,$B2493&amp;" ~*")&gt;0)+(IFERROR(INDEX(Setup!$G$33:$G$40,MATCH(Y2493,Setup!$B$33:$B$40,0)),0)=1)*(COUNTIF(Y2458:Y2475,$B2493)+COUNTIF(Y2458:Y2475,$B2493&amp;" ~*")&gt;0))</f>
        <v/>
      </c>
    </row>
    <row r="2494" ht="15" customHeight="1">
      <c r="A2494" t="n">
        <v>50</v>
      </c>
      <c r="B2494" s="37">
        <f>IF(Setup!$B$23="","",Setup!$B$23)</f>
        <v/>
      </c>
      <c r="C2494" s="102" t="n"/>
      <c r="D2494" s="103" t="n"/>
      <c r="E2494" s="103" t="n"/>
      <c r="F2494" s="104" t="n"/>
      <c r="G2494" s="102" t="n"/>
      <c r="H2494" s="103" t="n"/>
      <c r="I2494" s="103" t="n"/>
      <c r="J2494" s="104" t="n"/>
      <c r="K2494" s="102" t="n"/>
      <c r="L2494" s="103" t="n"/>
      <c r="M2494" s="103" t="n"/>
      <c r="N2494" s="104" t="n"/>
      <c r="O2494" s="102" t="n"/>
      <c r="P2494" s="103" t="n"/>
      <c r="Q2494" s="103" t="n"/>
      <c r="R2494" s="104" t="n"/>
      <c r="S2494" s="102" t="n"/>
      <c r="T2494" s="103" t="n"/>
      <c r="U2494" s="103" t="n"/>
      <c r="V2494" s="104" t="n"/>
      <c r="W2494" s="102" t="n"/>
      <c r="X2494" s="104" t="n"/>
      <c r="Y2494" s="102" t="n"/>
      <c r="Z2494" s="104" t="n"/>
      <c r="AB2494" s="105">
        <f>IF($B2494="","",(COUNTIF(C2458:E2475,$B2494)+COUNTIF(C2458:E2475,$B2494&amp;" ~*")&gt;0)+(COUNTIF(G2458:I2475,$B2494)+COUNTIF(G2458:I2475,$B2494&amp;" ~*")&gt;0)+(COUNTIF(K2458:M2475,$B2494)+COUNTIF(K2458:M2475,$B2494&amp;" ~*")&gt;0)+(COUNTIF(O2458:Q2475,$B2494)+COUNTIF(O2458:Q2475,$B2494&amp;" ~*")&gt;0)+(COUNTIF(S2458:U2475,$B2494)+COUNTIF(S2458:U2475,$B2494&amp;" ~*")&gt;0)+(COUNTIF(W2458:W2475,$B2494)+COUNTIF(W2458:W2475,$B2494&amp;" ~*")&gt;0)+(COUNTIF(Y2458:Y2475,$B2494)+COUNTIF(Y2458:Y2475,$B2494&amp;" ~*")&gt;0))</f>
        <v/>
      </c>
      <c r="AC2494" s="38">
        <f>IF($B2494="","",(IFERROR(INDEX(Setup!$G$33:$G$40,MATCH(C2494,Setup!$B$33:$B$40,0)),0)=1)*(COUNTIF(C2458:E2475,$B2494)+COUNTIF(C2458:E2475,$B2494&amp;" ~*")&gt;0)+(IFERROR(INDEX(Setup!$G$33:$G$40,MATCH(G2494,Setup!$B$33:$B$40,0)),0)=1)*(COUNTIF(G2458:I2475,$B2494)+COUNTIF(G2458:I2475,$B2494&amp;" ~*")&gt;0)+(IFERROR(INDEX(Setup!$G$33:$G$40,MATCH(K2494,Setup!$B$33:$B$40,0)),0)=1)*(COUNTIF(K2458:M2475,$B2494)+COUNTIF(K2458:M2475,$B2494&amp;" ~*")&gt;0)+(IFERROR(INDEX(Setup!$G$33:$G$40,MATCH(O2494,Setup!$B$33:$B$40,0)),0)=1)*(COUNTIF(O2458:Q2475,$B2494)+COUNTIF(O2458:Q2475,$B2494&amp;" ~*")&gt;0)+(IFERROR(INDEX(Setup!$G$33:$G$40,MATCH(S2494,Setup!$B$33:$B$40,0)),0)=1)*(COUNTIF(S2458:U2475,$B2494)+COUNTIF(S2458:U2475,$B2494&amp;" ~*")&gt;0)+(IFERROR(INDEX(Setup!$G$33:$G$40,MATCH(W2494,Setup!$B$33:$B$40,0)),0)=1)*(COUNTIF(W2458:W2475,$B2494)+COUNTIF(W2458:W2475,$B2494&amp;" ~*")&gt;0)+(IFERROR(INDEX(Setup!$G$33:$G$40,MATCH(Y2494,Setup!$B$33:$B$40,0)),0)=1)*(COUNTIF(Y2458:Y2475,$B2494)+COUNTIF(Y2458:Y2475,$B2494&amp;" ~*")&gt;0))</f>
        <v/>
      </c>
    </row>
    <row r="2495" ht="15" customHeight="1">
      <c r="A2495" t="n">
        <v>50</v>
      </c>
      <c r="B2495" s="35">
        <f>IF(Setup!$B$24="","",Setup!$B$24)</f>
        <v/>
      </c>
      <c r="C2495" s="98" t="n"/>
      <c r="D2495" s="99" t="n"/>
      <c r="E2495" s="99" t="n"/>
      <c r="F2495" s="100" t="n"/>
      <c r="G2495" s="98" t="n"/>
      <c r="H2495" s="99" t="n"/>
      <c r="I2495" s="99" t="n"/>
      <c r="J2495" s="100" t="n"/>
      <c r="K2495" s="98" t="n"/>
      <c r="L2495" s="99" t="n"/>
      <c r="M2495" s="99" t="n"/>
      <c r="N2495" s="100" t="n"/>
      <c r="O2495" s="98" t="n"/>
      <c r="P2495" s="99" t="n"/>
      <c r="Q2495" s="99" t="n"/>
      <c r="R2495" s="100" t="n"/>
      <c r="S2495" s="98" t="n"/>
      <c r="T2495" s="99" t="n"/>
      <c r="U2495" s="99" t="n"/>
      <c r="V2495" s="100" t="n"/>
      <c r="W2495" s="98" t="n"/>
      <c r="X2495" s="100" t="n"/>
      <c r="Y2495" s="98" t="n"/>
      <c r="Z2495" s="100" t="n"/>
      <c r="AB2495" s="101">
        <f>IF($B2495="","",(COUNTIF(C2458:E2475,$B2495)+COUNTIF(C2458:E2475,$B2495&amp;" ~*")&gt;0)+(COUNTIF(G2458:I2475,$B2495)+COUNTIF(G2458:I2475,$B2495&amp;" ~*")&gt;0)+(COUNTIF(K2458:M2475,$B2495)+COUNTIF(K2458:M2475,$B2495&amp;" ~*")&gt;0)+(COUNTIF(O2458:Q2475,$B2495)+COUNTIF(O2458:Q2475,$B2495&amp;" ~*")&gt;0)+(COUNTIF(S2458:U2475,$B2495)+COUNTIF(S2458:U2475,$B2495&amp;" ~*")&gt;0)+(COUNTIF(W2458:W2475,$B2495)+COUNTIF(W2458:W2475,$B2495&amp;" ~*")&gt;0)+(COUNTIF(Y2458:Y2475,$B2495)+COUNTIF(Y2458:Y2475,$B2495&amp;" ~*")&gt;0))</f>
        <v/>
      </c>
      <c r="AC2495" s="36">
        <f>IF($B2495="","",(IFERROR(INDEX(Setup!$G$33:$G$40,MATCH(C2495,Setup!$B$33:$B$40,0)),0)=1)*(COUNTIF(C2458:E2475,$B2495)+COUNTIF(C2458:E2475,$B2495&amp;" ~*")&gt;0)+(IFERROR(INDEX(Setup!$G$33:$G$40,MATCH(G2495,Setup!$B$33:$B$40,0)),0)=1)*(COUNTIF(G2458:I2475,$B2495)+COUNTIF(G2458:I2475,$B2495&amp;" ~*")&gt;0)+(IFERROR(INDEX(Setup!$G$33:$G$40,MATCH(K2495,Setup!$B$33:$B$40,0)),0)=1)*(COUNTIF(K2458:M2475,$B2495)+COUNTIF(K2458:M2475,$B2495&amp;" ~*")&gt;0)+(IFERROR(INDEX(Setup!$G$33:$G$40,MATCH(O2495,Setup!$B$33:$B$40,0)),0)=1)*(COUNTIF(O2458:Q2475,$B2495)+COUNTIF(O2458:Q2475,$B2495&amp;" ~*")&gt;0)+(IFERROR(INDEX(Setup!$G$33:$G$40,MATCH(S2495,Setup!$B$33:$B$40,0)),0)=1)*(COUNTIF(S2458:U2475,$B2495)+COUNTIF(S2458:U2475,$B2495&amp;" ~*")&gt;0)+(IFERROR(INDEX(Setup!$G$33:$G$40,MATCH(W2495,Setup!$B$33:$B$40,0)),0)=1)*(COUNTIF(W2458:W2475,$B2495)+COUNTIF(W2458:W2475,$B2495&amp;" ~*")&gt;0)+(IFERROR(INDEX(Setup!$G$33:$G$40,MATCH(Y2495,Setup!$B$33:$B$40,0)),0)=1)*(COUNTIF(Y2458:Y2475,$B2495)+COUNTIF(Y2458:Y2475,$B2495&amp;" ~*")&gt;0))</f>
        <v/>
      </c>
    </row>
    <row r="2496" ht="15" customHeight="1">
      <c r="A2496" t="n">
        <v>50</v>
      </c>
      <c r="B2496" s="37">
        <f>IF(Setup!$B$25="","",Setup!$B$25)</f>
        <v/>
      </c>
      <c r="C2496" s="102" t="n"/>
      <c r="D2496" s="103" t="n"/>
      <c r="E2496" s="103" t="n"/>
      <c r="F2496" s="104" t="n"/>
      <c r="G2496" s="102" t="n"/>
      <c r="H2496" s="103" t="n"/>
      <c r="I2496" s="103" t="n"/>
      <c r="J2496" s="104" t="n"/>
      <c r="K2496" s="102" t="n"/>
      <c r="L2496" s="103" t="n"/>
      <c r="M2496" s="103" t="n"/>
      <c r="N2496" s="104" t="n"/>
      <c r="O2496" s="102" t="n"/>
      <c r="P2496" s="103" t="n"/>
      <c r="Q2496" s="103" t="n"/>
      <c r="R2496" s="104" t="n"/>
      <c r="S2496" s="102" t="n"/>
      <c r="T2496" s="103" t="n"/>
      <c r="U2496" s="103" t="n"/>
      <c r="V2496" s="104" t="n"/>
      <c r="W2496" s="102" t="n"/>
      <c r="X2496" s="104" t="n"/>
      <c r="Y2496" s="102" t="n"/>
      <c r="Z2496" s="104" t="n"/>
      <c r="AB2496" s="105">
        <f>IF($B2496="","",(COUNTIF(C2458:E2475,$B2496)+COUNTIF(C2458:E2475,$B2496&amp;" ~*")&gt;0)+(COUNTIF(G2458:I2475,$B2496)+COUNTIF(G2458:I2475,$B2496&amp;" ~*")&gt;0)+(COUNTIF(K2458:M2475,$B2496)+COUNTIF(K2458:M2475,$B2496&amp;" ~*")&gt;0)+(COUNTIF(O2458:Q2475,$B2496)+COUNTIF(O2458:Q2475,$B2496&amp;" ~*")&gt;0)+(COUNTIF(S2458:U2475,$B2496)+COUNTIF(S2458:U2475,$B2496&amp;" ~*")&gt;0)+(COUNTIF(W2458:W2475,$B2496)+COUNTIF(W2458:W2475,$B2496&amp;" ~*")&gt;0)+(COUNTIF(Y2458:Y2475,$B2496)+COUNTIF(Y2458:Y2475,$B2496&amp;" ~*")&gt;0))</f>
        <v/>
      </c>
      <c r="AC2496" s="38">
        <f>IF($B2496="","",(IFERROR(INDEX(Setup!$G$33:$G$40,MATCH(C2496,Setup!$B$33:$B$40,0)),0)=1)*(COUNTIF(C2458:E2475,$B2496)+COUNTIF(C2458:E2475,$B2496&amp;" ~*")&gt;0)+(IFERROR(INDEX(Setup!$G$33:$G$40,MATCH(G2496,Setup!$B$33:$B$40,0)),0)=1)*(COUNTIF(G2458:I2475,$B2496)+COUNTIF(G2458:I2475,$B2496&amp;" ~*")&gt;0)+(IFERROR(INDEX(Setup!$G$33:$G$40,MATCH(K2496,Setup!$B$33:$B$40,0)),0)=1)*(COUNTIF(K2458:M2475,$B2496)+COUNTIF(K2458:M2475,$B2496&amp;" ~*")&gt;0)+(IFERROR(INDEX(Setup!$G$33:$G$40,MATCH(O2496,Setup!$B$33:$B$40,0)),0)=1)*(COUNTIF(O2458:Q2475,$B2496)+COUNTIF(O2458:Q2475,$B2496&amp;" ~*")&gt;0)+(IFERROR(INDEX(Setup!$G$33:$G$40,MATCH(S2496,Setup!$B$33:$B$40,0)),0)=1)*(COUNTIF(S2458:U2475,$B2496)+COUNTIF(S2458:U2475,$B2496&amp;" ~*")&gt;0)+(IFERROR(INDEX(Setup!$G$33:$G$40,MATCH(W2496,Setup!$B$33:$B$40,0)),0)=1)*(COUNTIF(W2458:W2475,$B2496)+COUNTIF(W2458:W2475,$B2496&amp;" ~*")&gt;0)+(IFERROR(INDEX(Setup!$G$33:$G$40,MATCH(Y2496,Setup!$B$33:$B$40,0)),0)=1)*(COUNTIF(Y2458:Y2475,$B2496)+COUNTIF(Y2458:Y2475,$B2496&amp;" ~*")&gt;0))</f>
        <v/>
      </c>
    </row>
    <row r="2497" ht="15" customHeight="1">
      <c r="A2497" t="n">
        <v>50</v>
      </c>
      <c r="B2497" s="35">
        <f>IF(Setup!$B$26="","",Setup!$B$26)</f>
        <v/>
      </c>
      <c r="C2497" s="98" t="n"/>
      <c r="D2497" s="99" t="n"/>
      <c r="E2497" s="99" t="n"/>
      <c r="F2497" s="100" t="n"/>
      <c r="G2497" s="98" t="n"/>
      <c r="H2497" s="99" t="n"/>
      <c r="I2497" s="99" t="n"/>
      <c r="J2497" s="100" t="n"/>
      <c r="K2497" s="98" t="n"/>
      <c r="L2497" s="99" t="n"/>
      <c r="M2497" s="99" t="n"/>
      <c r="N2497" s="100" t="n"/>
      <c r="O2497" s="98" t="n"/>
      <c r="P2497" s="99" t="n"/>
      <c r="Q2497" s="99" t="n"/>
      <c r="R2497" s="100" t="n"/>
      <c r="S2497" s="98" t="n"/>
      <c r="T2497" s="99" t="n"/>
      <c r="U2497" s="99" t="n"/>
      <c r="V2497" s="100" t="n"/>
      <c r="W2497" s="98" t="n"/>
      <c r="X2497" s="100" t="n"/>
      <c r="Y2497" s="98" t="n"/>
      <c r="Z2497" s="100" t="n"/>
      <c r="AB2497" s="101">
        <f>IF($B2497="","",(COUNTIF(C2458:E2475,$B2497)+COUNTIF(C2458:E2475,$B2497&amp;" ~*")&gt;0)+(COUNTIF(G2458:I2475,$B2497)+COUNTIF(G2458:I2475,$B2497&amp;" ~*")&gt;0)+(COUNTIF(K2458:M2475,$B2497)+COUNTIF(K2458:M2475,$B2497&amp;" ~*")&gt;0)+(COUNTIF(O2458:Q2475,$B2497)+COUNTIF(O2458:Q2475,$B2497&amp;" ~*")&gt;0)+(COUNTIF(S2458:U2475,$B2497)+COUNTIF(S2458:U2475,$B2497&amp;" ~*")&gt;0)+(COUNTIF(W2458:W2475,$B2497)+COUNTIF(W2458:W2475,$B2497&amp;" ~*")&gt;0)+(COUNTIF(Y2458:Y2475,$B2497)+COUNTIF(Y2458:Y2475,$B2497&amp;" ~*")&gt;0))</f>
        <v/>
      </c>
      <c r="AC2497" s="36">
        <f>IF($B2497="","",(IFERROR(INDEX(Setup!$G$33:$G$40,MATCH(C2497,Setup!$B$33:$B$40,0)),0)=1)*(COUNTIF(C2458:E2475,$B2497)+COUNTIF(C2458:E2475,$B2497&amp;" ~*")&gt;0)+(IFERROR(INDEX(Setup!$G$33:$G$40,MATCH(G2497,Setup!$B$33:$B$40,0)),0)=1)*(COUNTIF(G2458:I2475,$B2497)+COUNTIF(G2458:I2475,$B2497&amp;" ~*")&gt;0)+(IFERROR(INDEX(Setup!$G$33:$G$40,MATCH(K2497,Setup!$B$33:$B$40,0)),0)=1)*(COUNTIF(K2458:M2475,$B2497)+COUNTIF(K2458:M2475,$B2497&amp;" ~*")&gt;0)+(IFERROR(INDEX(Setup!$G$33:$G$40,MATCH(O2497,Setup!$B$33:$B$40,0)),0)=1)*(COUNTIF(O2458:Q2475,$B2497)+COUNTIF(O2458:Q2475,$B2497&amp;" ~*")&gt;0)+(IFERROR(INDEX(Setup!$G$33:$G$40,MATCH(S2497,Setup!$B$33:$B$40,0)),0)=1)*(COUNTIF(S2458:U2475,$B2497)+COUNTIF(S2458:U2475,$B2497&amp;" ~*")&gt;0)+(IFERROR(INDEX(Setup!$G$33:$G$40,MATCH(W2497,Setup!$B$33:$B$40,0)),0)=1)*(COUNTIF(W2458:W2475,$B2497)+COUNTIF(W2458:W2475,$B2497&amp;" ~*")&gt;0)+(IFERROR(INDEX(Setup!$G$33:$G$40,MATCH(Y2497,Setup!$B$33:$B$40,0)),0)=1)*(COUNTIF(Y2458:Y2475,$B2497)+COUNTIF(Y2458:Y2475,$B2497&amp;" ~*")&gt;0))</f>
        <v/>
      </c>
    </row>
    <row r="2498" ht="15" customHeight="1">
      <c r="A2498" t="n">
        <v>50</v>
      </c>
      <c r="B2498" s="37">
        <f>IF(Setup!$B$27="","",Setup!$B$27)</f>
        <v/>
      </c>
      <c r="C2498" s="102" t="n"/>
      <c r="D2498" s="103" t="n"/>
      <c r="E2498" s="103" t="n"/>
      <c r="F2498" s="104" t="n"/>
      <c r="G2498" s="102" t="n"/>
      <c r="H2498" s="103" t="n"/>
      <c r="I2498" s="103" t="n"/>
      <c r="J2498" s="104" t="n"/>
      <c r="K2498" s="102" t="n"/>
      <c r="L2498" s="103" t="n"/>
      <c r="M2498" s="103" t="n"/>
      <c r="N2498" s="104" t="n"/>
      <c r="O2498" s="102" t="n"/>
      <c r="P2498" s="103" t="n"/>
      <c r="Q2498" s="103" t="n"/>
      <c r="R2498" s="104" t="n"/>
      <c r="S2498" s="102" t="n"/>
      <c r="T2498" s="103" t="n"/>
      <c r="U2498" s="103" t="n"/>
      <c r="V2498" s="104" t="n"/>
      <c r="W2498" s="102" t="n"/>
      <c r="X2498" s="104" t="n"/>
      <c r="Y2498" s="102" t="n"/>
      <c r="Z2498" s="104" t="n"/>
      <c r="AB2498" s="105">
        <f>IF($B2498="","",(COUNTIF(C2458:E2475,$B2498)+COUNTIF(C2458:E2475,$B2498&amp;" ~*")&gt;0)+(COUNTIF(G2458:I2475,$B2498)+COUNTIF(G2458:I2475,$B2498&amp;" ~*")&gt;0)+(COUNTIF(K2458:M2475,$B2498)+COUNTIF(K2458:M2475,$B2498&amp;" ~*")&gt;0)+(COUNTIF(O2458:Q2475,$B2498)+COUNTIF(O2458:Q2475,$B2498&amp;" ~*")&gt;0)+(COUNTIF(S2458:U2475,$B2498)+COUNTIF(S2458:U2475,$B2498&amp;" ~*")&gt;0)+(COUNTIF(W2458:W2475,$B2498)+COUNTIF(W2458:W2475,$B2498&amp;" ~*")&gt;0)+(COUNTIF(Y2458:Y2475,$B2498)+COUNTIF(Y2458:Y2475,$B2498&amp;" ~*")&gt;0))</f>
        <v/>
      </c>
      <c r="AC2498" s="38">
        <f>IF($B2498="","",(IFERROR(INDEX(Setup!$G$33:$G$40,MATCH(C2498,Setup!$B$33:$B$40,0)),0)=1)*(COUNTIF(C2458:E2475,$B2498)+COUNTIF(C2458:E2475,$B2498&amp;" ~*")&gt;0)+(IFERROR(INDEX(Setup!$G$33:$G$40,MATCH(G2498,Setup!$B$33:$B$40,0)),0)=1)*(COUNTIF(G2458:I2475,$B2498)+COUNTIF(G2458:I2475,$B2498&amp;" ~*")&gt;0)+(IFERROR(INDEX(Setup!$G$33:$G$40,MATCH(K2498,Setup!$B$33:$B$40,0)),0)=1)*(COUNTIF(K2458:M2475,$B2498)+COUNTIF(K2458:M2475,$B2498&amp;" ~*")&gt;0)+(IFERROR(INDEX(Setup!$G$33:$G$40,MATCH(O2498,Setup!$B$33:$B$40,0)),0)=1)*(COUNTIF(O2458:Q2475,$B2498)+COUNTIF(O2458:Q2475,$B2498&amp;" ~*")&gt;0)+(IFERROR(INDEX(Setup!$G$33:$G$40,MATCH(S2498,Setup!$B$33:$B$40,0)),0)=1)*(COUNTIF(S2458:U2475,$B2498)+COUNTIF(S2458:U2475,$B2498&amp;" ~*")&gt;0)+(IFERROR(INDEX(Setup!$G$33:$G$40,MATCH(W2498,Setup!$B$33:$B$40,0)),0)=1)*(COUNTIF(W2458:W2475,$B2498)+COUNTIF(W2458:W2475,$B2498&amp;" ~*")&gt;0)+(IFERROR(INDEX(Setup!$G$33:$G$40,MATCH(Y2498,Setup!$B$33:$B$40,0)),0)=1)*(COUNTIF(Y2458:Y2475,$B2498)+COUNTIF(Y2458:Y2475,$B2498&amp;" ~*")&gt;0))</f>
        <v/>
      </c>
    </row>
    <row r="2499" ht="15" customHeight="1">
      <c r="A2499" t="n">
        <v>50</v>
      </c>
      <c r="B2499" s="35">
        <f>IF(Setup!$B$28="","",Setup!$B$28)</f>
        <v/>
      </c>
      <c r="C2499" s="98" t="n"/>
      <c r="D2499" s="99" t="n"/>
      <c r="E2499" s="99" t="n"/>
      <c r="F2499" s="100" t="n"/>
      <c r="G2499" s="98" t="n"/>
      <c r="H2499" s="99" t="n"/>
      <c r="I2499" s="99" t="n"/>
      <c r="J2499" s="100" t="n"/>
      <c r="K2499" s="98" t="n"/>
      <c r="L2499" s="99" t="n"/>
      <c r="M2499" s="99" t="n"/>
      <c r="N2499" s="100" t="n"/>
      <c r="O2499" s="98" t="n"/>
      <c r="P2499" s="99" t="n"/>
      <c r="Q2499" s="99" t="n"/>
      <c r="R2499" s="100" t="n"/>
      <c r="S2499" s="98" t="n"/>
      <c r="T2499" s="99" t="n"/>
      <c r="U2499" s="99" t="n"/>
      <c r="V2499" s="100" t="n"/>
      <c r="W2499" s="98" t="n"/>
      <c r="X2499" s="100" t="n"/>
      <c r="Y2499" s="98" t="n"/>
      <c r="Z2499" s="100" t="n"/>
      <c r="AB2499" s="101">
        <f>IF($B2499="","",(COUNTIF(C2458:E2475,$B2499)+COUNTIF(C2458:E2475,$B2499&amp;" ~*")&gt;0)+(COUNTIF(G2458:I2475,$B2499)+COUNTIF(G2458:I2475,$B2499&amp;" ~*")&gt;0)+(COUNTIF(K2458:M2475,$B2499)+COUNTIF(K2458:M2475,$B2499&amp;" ~*")&gt;0)+(COUNTIF(O2458:Q2475,$B2499)+COUNTIF(O2458:Q2475,$B2499&amp;" ~*")&gt;0)+(COUNTIF(S2458:U2475,$B2499)+COUNTIF(S2458:U2475,$B2499&amp;" ~*")&gt;0)+(COUNTIF(W2458:W2475,$B2499)+COUNTIF(W2458:W2475,$B2499&amp;" ~*")&gt;0)+(COUNTIF(Y2458:Y2475,$B2499)+COUNTIF(Y2458:Y2475,$B2499&amp;" ~*")&gt;0))</f>
        <v/>
      </c>
      <c r="AC2499" s="36">
        <f>IF($B2499="","",(IFERROR(INDEX(Setup!$G$33:$G$40,MATCH(C2499,Setup!$B$33:$B$40,0)),0)=1)*(COUNTIF(C2458:E2475,$B2499)+COUNTIF(C2458:E2475,$B2499&amp;" ~*")&gt;0)+(IFERROR(INDEX(Setup!$G$33:$G$40,MATCH(G2499,Setup!$B$33:$B$40,0)),0)=1)*(COUNTIF(G2458:I2475,$B2499)+COUNTIF(G2458:I2475,$B2499&amp;" ~*")&gt;0)+(IFERROR(INDEX(Setup!$G$33:$G$40,MATCH(K2499,Setup!$B$33:$B$40,0)),0)=1)*(COUNTIF(K2458:M2475,$B2499)+COUNTIF(K2458:M2475,$B2499&amp;" ~*")&gt;0)+(IFERROR(INDEX(Setup!$G$33:$G$40,MATCH(O2499,Setup!$B$33:$B$40,0)),0)=1)*(COUNTIF(O2458:Q2475,$B2499)+COUNTIF(O2458:Q2475,$B2499&amp;" ~*")&gt;0)+(IFERROR(INDEX(Setup!$G$33:$G$40,MATCH(S2499,Setup!$B$33:$B$40,0)),0)=1)*(COUNTIF(S2458:U2475,$B2499)+COUNTIF(S2458:U2475,$B2499&amp;" ~*")&gt;0)+(IFERROR(INDEX(Setup!$G$33:$G$40,MATCH(W2499,Setup!$B$33:$B$40,0)),0)=1)*(COUNTIF(W2458:W2475,$B2499)+COUNTIF(W2458:W2475,$B2499&amp;" ~*")&gt;0)+(IFERROR(INDEX(Setup!$G$33:$G$40,MATCH(Y2499,Setup!$B$33:$B$40,0)),0)=1)*(COUNTIF(Y2458:Y2475,$B2499)+COUNTIF(Y2458:Y2475,$B2499&amp;" ~*")&gt;0))</f>
        <v/>
      </c>
    </row>
    <row r="2500" ht="15" customHeight="1">
      <c r="A2500" t="n">
        <v>50</v>
      </c>
      <c r="B2500" s="37">
        <f>IF(Setup!$B$29="","",Setup!$B$29)</f>
        <v/>
      </c>
      <c r="C2500" s="102" t="n"/>
      <c r="D2500" s="103" t="n"/>
      <c r="E2500" s="103" t="n"/>
      <c r="F2500" s="104" t="n"/>
      <c r="G2500" s="102" t="n"/>
      <c r="H2500" s="103" t="n"/>
      <c r="I2500" s="103" t="n"/>
      <c r="J2500" s="104" t="n"/>
      <c r="K2500" s="102" t="n"/>
      <c r="L2500" s="103" t="n"/>
      <c r="M2500" s="103" t="n"/>
      <c r="N2500" s="104" t="n"/>
      <c r="O2500" s="102" t="n"/>
      <c r="P2500" s="103" t="n"/>
      <c r="Q2500" s="103" t="n"/>
      <c r="R2500" s="104" t="n"/>
      <c r="S2500" s="102" t="n"/>
      <c r="T2500" s="103" t="n"/>
      <c r="U2500" s="103" t="n"/>
      <c r="V2500" s="104" t="n"/>
      <c r="W2500" s="102" t="n"/>
      <c r="X2500" s="104" t="n"/>
      <c r="Y2500" s="102" t="n"/>
      <c r="Z2500" s="104" t="n"/>
      <c r="AB2500" s="105">
        <f>IF($B2500="","",(COUNTIF(C2458:E2475,$B2500)+COUNTIF(C2458:E2475,$B2500&amp;" ~*")&gt;0)+(COUNTIF(G2458:I2475,$B2500)+COUNTIF(G2458:I2475,$B2500&amp;" ~*")&gt;0)+(COUNTIF(K2458:M2475,$B2500)+COUNTIF(K2458:M2475,$B2500&amp;" ~*")&gt;0)+(COUNTIF(O2458:Q2475,$B2500)+COUNTIF(O2458:Q2475,$B2500&amp;" ~*")&gt;0)+(COUNTIF(S2458:U2475,$B2500)+COUNTIF(S2458:U2475,$B2500&amp;" ~*")&gt;0)+(COUNTIF(W2458:W2475,$B2500)+COUNTIF(W2458:W2475,$B2500&amp;" ~*")&gt;0)+(COUNTIF(Y2458:Y2475,$B2500)+COUNTIF(Y2458:Y2475,$B2500&amp;" ~*")&gt;0))</f>
        <v/>
      </c>
      <c r="AC2500" s="38">
        <f>IF($B2500="","",(IFERROR(INDEX(Setup!$G$33:$G$40,MATCH(C2500,Setup!$B$33:$B$40,0)),0)=1)*(COUNTIF(C2458:E2475,$B2500)+COUNTIF(C2458:E2475,$B2500&amp;" ~*")&gt;0)+(IFERROR(INDEX(Setup!$G$33:$G$40,MATCH(G2500,Setup!$B$33:$B$40,0)),0)=1)*(COUNTIF(G2458:I2475,$B2500)+COUNTIF(G2458:I2475,$B2500&amp;" ~*")&gt;0)+(IFERROR(INDEX(Setup!$G$33:$G$40,MATCH(K2500,Setup!$B$33:$B$40,0)),0)=1)*(COUNTIF(K2458:M2475,$B2500)+COUNTIF(K2458:M2475,$B2500&amp;" ~*")&gt;0)+(IFERROR(INDEX(Setup!$G$33:$G$40,MATCH(O2500,Setup!$B$33:$B$40,0)),0)=1)*(COUNTIF(O2458:Q2475,$B2500)+COUNTIF(O2458:Q2475,$B2500&amp;" ~*")&gt;0)+(IFERROR(INDEX(Setup!$G$33:$G$40,MATCH(S2500,Setup!$B$33:$B$40,0)),0)=1)*(COUNTIF(S2458:U2475,$B2500)+COUNTIF(S2458:U2475,$B2500&amp;" ~*")&gt;0)+(IFERROR(INDEX(Setup!$G$33:$G$40,MATCH(W2500,Setup!$B$33:$B$40,0)),0)=1)*(COUNTIF(W2458:W2475,$B2500)+COUNTIF(W2458:W2475,$B2500&amp;" ~*")&gt;0)+(IFERROR(INDEX(Setup!$G$33:$G$40,MATCH(Y2500,Setup!$B$33:$B$40,0)),0)=1)*(COUNTIF(Y2458:Y2475,$B2500)+COUNTIF(Y2458:Y2475,$B2500&amp;" ~*")&gt;0))</f>
        <v/>
      </c>
    </row>
    <row r="2501" ht="16" customHeight="1">
      <c r="A2501" t="n">
        <v>50</v>
      </c>
      <c r="B2501" s="106" t="inlineStr">
        <is>
          <t>Available people</t>
        </is>
      </c>
      <c r="C2501" s="107">
        <f>COUNTIFS(Setup!$E$6:$E$29,"Y",Setup!$B$6:$B$29,"?*")-SUMPRODUCT(COUNTIF(C2477:C2500,Setup!$F$33:$F$40))</f>
        <v/>
      </c>
      <c r="D2501" s="107" t="n"/>
      <c r="E2501" s="107" t="n"/>
      <c r="F2501" s="107" t="n"/>
      <c r="G2501" s="107">
        <f>COUNTIFS(Setup!$E$6:$E$29,"Y",Setup!$B$6:$B$29,"?*")-SUMPRODUCT(COUNTIF(G2477:G2500,Setup!$F$33:$F$40))</f>
        <v/>
      </c>
      <c r="H2501" s="107" t="n"/>
      <c r="I2501" s="107" t="n"/>
      <c r="J2501" s="107" t="n"/>
      <c r="K2501" s="107">
        <f>COUNTIFS(Setup!$E$6:$E$29,"Y",Setup!$B$6:$B$29,"?*")-SUMPRODUCT(COUNTIF(K2477:K2500,Setup!$F$33:$F$40))</f>
        <v/>
      </c>
      <c r="L2501" s="107" t="n"/>
      <c r="M2501" s="107" t="n"/>
      <c r="N2501" s="107" t="n"/>
      <c r="O2501" s="107">
        <f>COUNTIFS(Setup!$E$6:$E$29,"Y",Setup!$B$6:$B$29,"?*")-SUMPRODUCT(COUNTIF(O2477:O2500,Setup!$F$33:$F$40))</f>
        <v/>
      </c>
      <c r="P2501" s="107" t="n"/>
      <c r="Q2501" s="107" t="n"/>
      <c r="R2501" s="107" t="n"/>
      <c r="S2501" s="107">
        <f>COUNTIFS(Setup!$E$6:$E$29,"Y",Setup!$B$6:$B$29,"?*")-SUMPRODUCT(COUNTIF(S2477:S2500,Setup!$F$33:$F$40))</f>
        <v/>
      </c>
      <c r="T2501" s="107" t="n"/>
      <c r="U2501" s="107" t="n"/>
      <c r="V2501" s="107" t="n"/>
      <c r="W2501" s="107">
        <f>COUNTIFS(Setup!$E$6:$E$29,"Y",Setup!$B$6:$B$29,"?*")-SUMPRODUCT(COUNTIF(W2477:W2500,Setup!$F$33:$F$40))</f>
        <v/>
      </c>
      <c r="X2501" s="107" t="n"/>
      <c r="Y2501" s="107">
        <f>COUNTIFS(Setup!$E$6:$E$29,"Y",Setup!$B$6:$B$29,"?*")-SUMPRODUCT(COUNTIF(Y2477:Y2500,Setup!$F$33:$F$40))</f>
        <v/>
      </c>
      <c r="Z2501" s="107" t="n"/>
      <c r="AB2501" s="108">
        <f>SUM(AB2477:AB2500)</f>
        <v/>
      </c>
      <c r="AC2501" s="109">
        <f>SUM(AC2477:AC2500)</f>
        <v/>
      </c>
    </row>
    <row r="2502" ht="30" customHeight="1">
      <c r="A2502" t="n">
        <v>50</v>
      </c>
      <c r="B2502" s="110" t="inlineStr">
        <is>
          <t>Week notes</t>
        </is>
      </c>
      <c r="C2502" s="111" t="n"/>
      <c r="D2502" s="112" t="n"/>
      <c r="E2502" s="112" t="n"/>
      <c r="F2502" s="112" t="n"/>
      <c r="G2502" s="112" t="n"/>
      <c r="H2502" s="112" t="n"/>
      <c r="I2502" s="112" t="n"/>
      <c r="J2502" s="112" t="n"/>
      <c r="K2502" s="112" t="n"/>
      <c r="L2502" s="112" t="n"/>
      <c r="M2502" s="112" t="n"/>
      <c r="N2502" s="112" t="n"/>
      <c r="O2502" s="112" t="n"/>
      <c r="P2502" s="112" t="n"/>
      <c r="Q2502" s="112" t="n"/>
      <c r="R2502" s="112" t="n"/>
      <c r="S2502" s="112" t="n"/>
      <c r="T2502" s="112" t="n"/>
      <c r="U2502" s="112" t="n"/>
      <c r="V2502" s="112" t="n"/>
      <c r="W2502" s="112" t="n"/>
      <c r="X2502" s="112" t="n"/>
      <c r="Y2502" s="112" t="n"/>
      <c r="Z2502" s="113" t="n"/>
    </row>
    <row r="2503" ht="8" customHeight="1">
      <c r="A2503" t="n">
        <v>50</v>
      </c>
    </row>
    <row r="2504" ht="8" customHeight="1">
      <c r="A2504" t="n">
        <v>50</v>
      </c>
    </row>
    <row r="2505" ht="24" customHeight="1">
      <c r="A2505" t="n">
        <v>51</v>
      </c>
      <c r="B2505" s="73">
        <f>"WEEK 51     "&amp;TEXT(C2506,"ddd d mmm")&amp;"  –  "&amp;TEXT(C2506+6,"ddd d mmm yyyy")</f>
        <v/>
      </c>
      <c r="S2505" s="74">
        <f>IF(TODAY()&lt;C2506,"FUTURE",IF(TODAY()&gt;C2506+6,"PAST","THIS WEEK"))</f>
        <v/>
      </c>
      <c r="W2505" s="75">
        <f>IF(AND(Engine!$B$8=$AC$3,Engine!$B$9=$A2505),"◀ ACTIVE WEEK","")</f>
        <v/>
      </c>
      <c r="AA2505" s="76" t="n"/>
      <c r="AB2505" s="77" t="inlineStr">
        <is>
          <t>◀ Prev</t>
        </is>
      </c>
      <c r="AC2505" s="77" t="inlineStr">
        <is>
          <t>Next ▶</t>
        </is>
      </c>
    </row>
    <row r="2506" ht="18" customHeight="1">
      <c r="A2506" t="n">
        <v>51</v>
      </c>
      <c r="B2506" s="78" t="inlineStr">
        <is>
          <t>DUTY</t>
        </is>
      </c>
      <c r="C2506" s="79">
        <f>$AC$2+7*($A2506-1)</f>
        <v/>
      </c>
      <c r="D2506" s="80" t="n"/>
      <c r="E2506" s="80" t="n"/>
      <c r="F2506" s="81" t="n"/>
      <c r="G2506" s="79">
        <f>C2506+1</f>
        <v/>
      </c>
      <c r="H2506" s="80" t="n"/>
      <c r="I2506" s="80" t="n"/>
      <c r="J2506" s="81" t="n"/>
      <c r="K2506" s="79">
        <f>C2506+2</f>
        <v/>
      </c>
      <c r="L2506" s="80" t="n"/>
      <c r="M2506" s="80" t="n"/>
      <c r="N2506" s="81" t="n"/>
      <c r="O2506" s="79">
        <f>C2506+3</f>
        <v/>
      </c>
      <c r="P2506" s="80" t="n"/>
      <c r="Q2506" s="80" t="n"/>
      <c r="R2506" s="81" t="n"/>
      <c r="S2506" s="79">
        <f>C2506+4</f>
        <v/>
      </c>
      <c r="T2506" s="80" t="n"/>
      <c r="U2506" s="80" t="n"/>
      <c r="V2506" s="81" t="n"/>
      <c r="W2506" s="82">
        <f>C2506+5</f>
        <v/>
      </c>
      <c r="X2506" s="83" t="n"/>
      <c r="Y2506" s="82">
        <f>C2506+6</f>
        <v/>
      </c>
      <c r="Z2506" s="83" t="n"/>
      <c r="AB2506" s="72" t="inlineStr">
        <is>
          <t>Gaps</t>
        </is>
      </c>
      <c r="AC2506" s="72" t="inlineStr">
        <is>
          <t>Cover</t>
        </is>
      </c>
    </row>
    <row r="2507" ht="14" customHeight="1">
      <c r="A2507" t="n">
        <v>51</v>
      </c>
      <c r="B2507" s="84" t="inlineStr">
        <is>
          <t>(from Setup)</t>
        </is>
      </c>
      <c r="C2507" s="85" t="inlineStr">
        <is>
          <t>1</t>
        </is>
      </c>
      <c r="D2507" s="85" t="inlineStr">
        <is>
          <t>2</t>
        </is>
      </c>
      <c r="E2507" s="85" t="inlineStr">
        <is>
          <t>3</t>
        </is>
      </c>
      <c r="F2507" s="85" t="inlineStr">
        <is>
          <t>Notes</t>
        </is>
      </c>
      <c r="G2507" s="85" t="inlineStr">
        <is>
          <t>1</t>
        </is>
      </c>
      <c r="H2507" s="85" t="inlineStr">
        <is>
          <t>2</t>
        </is>
      </c>
      <c r="I2507" s="85" t="inlineStr">
        <is>
          <t>3</t>
        </is>
      </c>
      <c r="J2507" s="85" t="inlineStr">
        <is>
          <t>Notes</t>
        </is>
      </c>
      <c r="K2507" s="85" t="inlineStr">
        <is>
          <t>1</t>
        </is>
      </c>
      <c r="L2507" s="85" t="inlineStr">
        <is>
          <t>2</t>
        </is>
      </c>
      <c r="M2507" s="85" t="inlineStr">
        <is>
          <t>3</t>
        </is>
      </c>
      <c r="N2507" s="85" t="inlineStr">
        <is>
          <t>Notes</t>
        </is>
      </c>
      <c r="O2507" s="85" t="inlineStr">
        <is>
          <t>1</t>
        </is>
      </c>
      <c r="P2507" s="85" t="inlineStr">
        <is>
          <t>2</t>
        </is>
      </c>
      <c r="Q2507" s="85" t="inlineStr">
        <is>
          <t>3</t>
        </is>
      </c>
      <c r="R2507" s="85" t="inlineStr">
        <is>
          <t>Notes</t>
        </is>
      </c>
      <c r="S2507" s="85" t="inlineStr">
        <is>
          <t>1</t>
        </is>
      </c>
      <c r="T2507" s="85" t="inlineStr">
        <is>
          <t>2</t>
        </is>
      </c>
      <c r="U2507" s="85" t="inlineStr">
        <is>
          <t>3</t>
        </is>
      </c>
      <c r="V2507" s="85" t="inlineStr">
        <is>
          <t>Notes</t>
        </is>
      </c>
      <c r="W2507" s="85" t="inlineStr">
        <is>
          <t>Cover</t>
        </is>
      </c>
      <c r="X2507" s="85" t="inlineStr">
        <is>
          <t>Notes</t>
        </is>
      </c>
      <c r="Y2507" s="85" t="inlineStr">
        <is>
          <t>Cover</t>
        </is>
      </c>
      <c r="Z2507" s="85" t="inlineStr">
        <is>
          <t>Notes</t>
        </is>
      </c>
      <c r="AB2507" s="86" t="inlineStr">
        <is>
          <t>weekdays short</t>
        </is>
      </c>
      <c r="AC2507" s="87" t="inlineStr"/>
    </row>
    <row r="2508" ht="17" customHeight="1">
      <c r="A2508" t="n">
        <v>51</v>
      </c>
      <c r="B2508" s="24">
        <f>IF(Setup!$K$6="","",Setup!$K$6)</f>
        <v/>
      </c>
      <c r="C2508" s="88" t="n"/>
      <c r="D2508" s="88" t="n"/>
      <c r="E2508" s="88" t="n"/>
      <c r="F2508" s="89" t="n"/>
      <c r="G2508" s="88" t="n"/>
      <c r="H2508" s="88" t="n"/>
      <c r="I2508" s="88" t="n"/>
      <c r="J2508" s="89" t="n"/>
      <c r="K2508" s="88" t="n"/>
      <c r="L2508" s="88" t="n"/>
      <c r="M2508" s="88" t="n"/>
      <c r="N2508" s="89" t="n"/>
      <c r="O2508" s="88" t="n"/>
      <c r="P2508" s="88" t="n"/>
      <c r="Q2508" s="88" t="n"/>
      <c r="R2508" s="89" t="n"/>
      <c r="S2508" s="88" t="n"/>
      <c r="T2508" s="88" t="n"/>
      <c r="U2508" s="88" t="n"/>
      <c r="V2508" s="89" t="n"/>
      <c r="W2508" s="88" t="n"/>
      <c r="X2508" s="89" t="n"/>
      <c r="Y2508" s="88" t="n"/>
      <c r="Z2508" s="89" t="n"/>
      <c r="AB2508" s="25">
        <f>IF($B2508="","",(COUNTIF(C2508:E2508,"?*")&lt;N(INDEX(Setup!$L$6:$L$23,1)))+(COUNTIF(G2508:I2508,"?*")&lt;N(INDEX(Setup!$L$6:$L$23,1)))+(COUNTIF(K2508:M2508,"?*")&lt;N(INDEX(Setup!$L$6:$L$23,1)))+(COUNTIF(O2508:Q2508,"?*")&lt;N(INDEX(Setup!$L$6:$L$23,1)))+(COUNTIF(S2508:U2508,"?*")&lt;N(INDEX(Setup!$L$6:$L$23,1)))+((W2508="")*(INDEX(Setup!$M$6:$M$23,1)="Y"))+((Y2508="")*(INDEX(Setup!$M$6:$M$23,1)="Y")))</f>
        <v/>
      </c>
      <c r="AC2508" s="90">
        <f>IF($B2508="","",IF(AB2508=0,"✓ covered","⚠ "&amp;AB2508&amp;IF(AB2508=1," gap"," gaps")))</f>
        <v/>
      </c>
    </row>
    <row r="2509" ht="17" customHeight="1">
      <c r="A2509" t="n">
        <v>51</v>
      </c>
      <c r="B2509" s="29">
        <f>IF(Setup!$K$7="","",Setup!$K$7)</f>
        <v/>
      </c>
      <c r="C2509" s="88" t="n"/>
      <c r="D2509" s="88" t="n"/>
      <c r="E2509" s="88" t="n"/>
      <c r="F2509" s="89" t="n"/>
      <c r="G2509" s="88" t="n"/>
      <c r="H2509" s="88" t="n"/>
      <c r="I2509" s="88" t="n"/>
      <c r="J2509" s="89" t="n"/>
      <c r="K2509" s="88" t="n"/>
      <c r="L2509" s="88" t="n"/>
      <c r="M2509" s="88" t="n"/>
      <c r="N2509" s="89" t="n"/>
      <c r="O2509" s="88" t="n"/>
      <c r="P2509" s="88" t="n"/>
      <c r="Q2509" s="88" t="n"/>
      <c r="R2509" s="89" t="n"/>
      <c r="S2509" s="88" t="n"/>
      <c r="T2509" s="88" t="n"/>
      <c r="U2509" s="88" t="n"/>
      <c r="V2509" s="89" t="n"/>
      <c r="W2509" s="88" t="n"/>
      <c r="X2509" s="89" t="n"/>
      <c r="Y2509" s="88" t="n"/>
      <c r="Z2509" s="89" t="n"/>
      <c r="AB2509" s="30">
        <f>IF($B2509="","",(COUNTIF(C2509:E2509,"?*")&lt;N(INDEX(Setup!$L$6:$L$23,2)))+(COUNTIF(G2509:I2509,"?*")&lt;N(INDEX(Setup!$L$6:$L$23,2)))+(COUNTIF(K2509:M2509,"?*")&lt;N(INDEX(Setup!$L$6:$L$23,2)))+(COUNTIF(O2509:Q2509,"?*")&lt;N(INDEX(Setup!$L$6:$L$23,2)))+(COUNTIF(S2509:U2509,"?*")&lt;N(INDEX(Setup!$L$6:$L$23,2)))+((W2509="")*(INDEX(Setup!$M$6:$M$23,2)="Y"))+((Y2509="")*(INDEX(Setup!$M$6:$M$23,2)="Y")))</f>
        <v/>
      </c>
      <c r="AC2509" s="91">
        <f>IF($B2509="","",IF(AB2509=0,"✓ covered","⚠ "&amp;AB2509&amp;IF(AB2509=1," gap"," gaps")))</f>
        <v/>
      </c>
    </row>
    <row r="2510" ht="17" customHeight="1">
      <c r="A2510" t="n">
        <v>51</v>
      </c>
      <c r="B2510" s="24">
        <f>IF(Setup!$K$8="","",Setup!$K$8)</f>
        <v/>
      </c>
      <c r="C2510" s="88" t="n"/>
      <c r="D2510" s="88" t="n"/>
      <c r="E2510" s="88" t="n"/>
      <c r="F2510" s="89" t="n"/>
      <c r="G2510" s="88" t="n"/>
      <c r="H2510" s="88" t="n"/>
      <c r="I2510" s="88" t="n"/>
      <c r="J2510" s="89" t="n"/>
      <c r="K2510" s="88" t="n"/>
      <c r="L2510" s="88" t="n"/>
      <c r="M2510" s="88" t="n"/>
      <c r="N2510" s="89" t="n"/>
      <c r="O2510" s="88" t="n"/>
      <c r="P2510" s="88" t="n"/>
      <c r="Q2510" s="88" t="n"/>
      <c r="R2510" s="89" t="n"/>
      <c r="S2510" s="88" t="n"/>
      <c r="T2510" s="88" t="n"/>
      <c r="U2510" s="88" t="n"/>
      <c r="V2510" s="89" t="n"/>
      <c r="W2510" s="88" t="n"/>
      <c r="X2510" s="89" t="n"/>
      <c r="Y2510" s="88" t="n"/>
      <c r="Z2510" s="89" t="n"/>
      <c r="AB2510" s="25">
        <f>IF($B2510="","",(COUNTIF(C2510:E2510,"?*")&lt;N(INDEX(Setup!$L$6:$L$23,3)))+(COUNTIF(G2510:I2510,"?*")&lt;N(INDEX(Setup!$L$6:$L$23,3)))+(COUNTIF(K2510:M2510,"?*")&lt;N(INDEX(Setup!$L$6:$L$23,3)))+(COUNTIF(O2510:Q2510,"?*")&lt;N(INDEX(Setup!$L$6:$L$23,3)))+(COUNTIF(S2510:U2510,"?*")&lt;N(INDEX(Setup!$L$6:$L$23,3)))+((W2510="")*(INDEX(Setup!$M$6:$M$23,3)="Y"))+((Y2510="")*(INDEX(Setup!$M$6:$M$23,3)="Y")))</f>
        <v/>
      </c>
      <c r="AC2510" s="90">
        <f>IF($B2510="","",IF(AB2510=0,"✓ covered","⚠ "&amp;AB2510&amp;IF(AB2510=1," gap"," gaps")))</f>
        <v/>
      </c>
    </row>
    <row r="2511" ht="17" customHeight="1">
      <c r="A2511" t="n">
        <v>51</v>
      </c>
      <c r="B2511" s="29">
        <f>IF(Setup!$K$9="","",Setup!$K$9)</f>
        <v/>
      </c>
      <c r="C2511" s="88" t="n"/>
      <c r="D2511" s="88" t="n"/>
      <c r="E2511" s="88" t="n"/>
      <c r="F2511" s="89" t="n"/>
      <c r="G2511" s="88" t="n"/>
      <c r="H2511" s="88" t="n"/>
      <c r="I2511" s="88" t="n"/>
      <c r="J2511" s="89" t="n"/>
      <c r="K2511" s="88" t="n"/>
      <c r="L2511" s="88" t="n"/>
      <c r="M2511" s="88" t="n"/>
      <c r="N2511" s="89" t="n"/>
      <c r="O2511" s="88" t="n"/>
      <c r="P2511" s="88" t="n"/>
      <c r="Q2511" s="88" t="n"/>
      <c r="R2511" s="89" t="n"/>
      <c r="S2511" s="88" t="n"/>
      <c r="T2511" s="88" t="n"/>
      <c r="U2511" s="88" t="n"/>
      <c r="V2511" s="89" t="n"/>
      <c r="W2511" s="88" t="n"/>
      <c r="X2511" s="89" t="n"/>
      <c r="Y2511" s="88" t="n"/>
      <c r="Z2511" s="89" t="n"/>
      <c r="AB2511" s="30">
        <f>IF($B2511="","",(COUNTIF(C2511:E2511,"?*")&lt;N(INDEX(Setup!$L$6:$L$23,4)))+(COUNTIF(G2511:I2511,"?*")&lt;N(INDEX(Setup!$L$6:$L$23,4)))+(COUNTIF(K2511:M2511,"?*")&lt;N(INDEX(Setup!$L$6:$L$23,4)))+(COUNTIF(O2511:Q2511,"?*")&lt;N(INDEX(Setup!$L$6:$L$23,4)))+(COUNTIF(S2511:U2511,"?*")&lt;N(INDEX(Setup!$L$6:$L$23,4)))+((W2511="")*(INDEX(Setup!$M$6:$M$23,4)="Y"))+((Y2511="")*(INDEX(Setup!$M$6:$M$23,4)="Y")))</f>
        <v/>
      </c>
      <c r="AC2511" s="91">
        <f>IF($B2511="","",IF(AB2511=0,"✓ covered","⚠ "&amp;AB2511&amp;IF(AB2511=1," gap"," gaps")))</f>
        <v/>
      </c>
    </row>
    <row r="2512" ht="17" customHeight="1">
      <c r="A2512" t="n">
        <v>51</v>
      </c>
      <c r="B2512" s="24">
        <f>IF(Setup!$K$10="","",Setup!$K$10)</f>
        <v/>
      </c>
      <c r="C2512" s="88" t="n"/>
      <c r="D2512" s="88" t="n"/>
      <c r="E2512" s="88" t="n"/>
      <c r="F2512" s="89" t="n"/>
      <c r="G2512" s="88" t="n"/>
      <c r="H2512" s="88" t="n"/>
      <c r="I2512" s="88" t="n"/>
      <c r="J2512" s="89" t="n"/>
      <c r="K2512" s="88" t="n"/>
      <c r="L2512" s="88" t="n"/>
      <c r="M2512" s="88" t="n"/>
      <c r="N2512" s="89" t="n"/>
      <c r="O2512" s="88" t="n"/>
      <c r="P2512" s="88" t="n"/>
      <c r="Q2512" s="88" t="n"/>
      <c r="R2512" s="89" t="n"/>
      <c r="S2512" s="88" t="n"/>
      <c r="T2512" s="88" t="n"/>
      <c r="U2512" s="88" t="n"/>
      <c r="V2512" s="89" t="n"/>
      <c r="W2512" s="88" t="n"/>
      <c r="X2512" s="89" t="n"/>
      <c r="Y2512" s="88" t="n"/>
      <c r="Z2512" s="89" t="n"/>
      <c r="AB2512" s="25">
        <f>IF($B2512="","",(COUNTIF(C2512:E2512,"?*")&lt;N(INDEX(Setup!$L$6:$L$23,5)))+(COUNTIF(G2512:I2512,"?*")&lt;N(INDEX(Setup!$L$6:$L$23,5)))+(COUNTIF(K2512:M2512,"?*")&lt;N(INDEX(Setup!$L$6:$L$23,5)))+(COUNTIF(O2512:Q2512,"?*")&lt;N(INDEX(Setup!$L$6:$L$23,5)))+(COUNTIF(S2512:U2512,"?*")&lt;N(INDEX(Setup!$L$6:$L$23,5)))+((W2512="")*(INDEX(Setup!$M$6:$M$23,5)="Y"))+((Y2512="")*(INDEX(Setup!$M$6:$M$23,5)="Y")))</f>
        <v/>
      </c>
      <c r="AC2512" s="90">
        <f>IF($B2512="","",IF(AB2512=0,"✓ covered","⚠ "&amp;AB2512&amp;IF(AB2512=1," gap"," gaps")))</f>
        <v/>
      </c>
    </row>
    <row r="2513" ht="17" customHeight="1">
      <c r="A2513" t="n">
        <v>51</v>
      </c>
      <c r="B2513" s="29">
        <f>IF(Setup!$K$11="","",Setup!$K$11)</f>
        <v/>
      </c>
      <c r="C2513" s="88" t="n"/>
      <c r="D2513" s="88" t="n"/>
      <c r="E2513" s="88" t="n"/>
      <c r="F2513" s="89" t="n"/>
      <c r="G2513" s="88" t="n"/>
      <c r="H2513" s="88" t="n"/>
      <c r="I2513" s="88" t="n"/>
      <c r="J2513" s="89" t="n"/>
      <c r="K2513" s="88" t="n"/>
      <c r="L2513" s="88" t="n"/>
      <c r="M2513" s="88" t="n"/>
      <c r="N2513" s="89" t="n"/>
      <c r="O2513" s="88" t="n"/>
      <c r="P2513" s="88" t="n"/>
      <c r="Q2513" s="88" t="n"/>
      <c r="R2513" s="89" t="n"/>
      <c r="S2513" s="88" t="n"/>
      <c r="T2513" s="88" t="n"/>
      <c r="U2513" s="88" t="n"/>
      <c r="V2513" s="89" t="n"/>
      <c r="W2513" s="88" t="n"/>
      <c r="X2513" s="89" t="n"/>
      <c r="Y2513" s="88" t="n"/>
      <c r="Z2513" s="89" t="n"/>
      <c r="AB2513" s="30">
        <f>IF($B2513="","",(COUNTIF(C2513:E2513,"?*")&lt;N(INDEX(Setup!$L$6:$L$23,6)))+(COUNTIF(G2513:I2513,"?*")&lt;N(INDEX(Setup!$L$6:$L$23,6)))+(COUNTIF(K2513:M2513,"?*")&lt;N(INDEX(Setup!$L$6:$L$23,6)))+(COUNTIF(O2513:Q2513,"?*")&lt;N(INDEX(Setup!$L$6:$L$23,6)))+(COUNTIF(S2513:U2513,"?*")&lt;N(INDEX(Setup!$L$6:$L$23,6)))+((W2513="")*(INDEX(Setup!$M$6:$M$23,6)="Y"))+((Y2513="")*(INDEX(Setup!$M$6:$M$23,6)="Y")))</f>
        <v/>
      </c>
      <c r="AC2513" s="91">
        <f>IF($B2513="","",IF(AB2513=0,"✓ covered","⚠ "&amp;AB2513&amp;IF(AB2513=1," gap"," gaps")))</f>
        <v/>
      </c>
    </row>
    <row r="2514" ht="17" customHeight="1">
      <c r="A2514" t="n">
        <v>51</v>
      </c>
      <c r="B2514" s="24">
        <f>IF(Setup!$K$12="","",Setup!$K$12)</f>
        <v/>
      </c>
      <c r="C2514" s="88" t="n"/>
      <c r="D2514" s="88" t="n"/>
      <c r="E2514" s="88" t="n"/>
      <c r="F2514" s="89" t="n"/>
      <c r="G2514" s="88" t="n"/>
      <c r="H2514" s="88" t="n"/>
      <c r="I2514" s="88" t="n"/>
      <c r="J2514" s="89" t="n"/>
      <c r="K2514" s="88" t="n"/>
      <c r="L2514" s="88" t="n"/>
      <c r="M2514" s="88" t="n"/>
      <c r="N2514" s="89" t="n"/>
      <c r="O2514" s="88" t="n"/>
      <c r="P2514" s="88" t="n"/>
      <c r="Q2514" s="88" t="n"/>
      <c r="R2514" s="89" t="n"/>
      <c r="S2514" s="88" t="n"/>
      <c r="T2514" s="88" t="n"/>
      <c r="U2514" s="88" t="n"/>
      <c r="V2514" s="89" t="n"/>
      <c r="W2514" s="88" t="n"/>
      <c r="X2514" s="89" t="n"/>
      <c r="Y2514" s="88" t="n"/>
      <c r="Z2514" s="89" t="n"/>
      <c r="AB2514" s="25">
        <f>IF($B2514="","",(COUNTIF(C2514:E2514,"?*")&lt;N(INDEX(Setup!$L$6:$L$23,7)))+(COUNTIF(G2514:I2514,"?*")&lt;N(INDEX(Setup!$L$6:$L$23,7)))+(COUNTIF(K2514:M2514,"?*")&lt;N(INDEX(Setup!$L$6:$L$23,7)))+(COUNTIF(O2514:Q2514,"?*")&lt;N(INDEX(Setup!$L$6:$L$23,7)))+(COUNTIF(S2514:U2514,"?*")&lt;N(INDEX(Setup!$L$6:$L$23,7)))+((W2514="")*(INDEX(Setup!$M$6:$M$23,7)="Y"))+((Y2514="")*(INDEX(Setup!$M$6:$M$23,7)="Y")))</f>
        <v/>
      </c>
      <c r="AC2514" s="90">
        <f>IF($B2514="","",IF(AB2514=0,"✓ covered","⚠ "&amp;AB2514&amp;IF(AB2514=1," gap"," gaps")))</f>
        <v/>
      </c>
    </row>
    <row r="2515" ht="17" customHeight="1">
      <c r="A2515" t="n">
        <v>51</v>
      </c>
      <c r="B2515" s="29">
        <f>IF(Setup!$K$13="","",Setup!$K$13)</f>
        <v/>
      </c>
      <c r="C2515" s="88" t="n"/>
      <c r="D2515" s="88" t="n"/>
      <c r="E2515" s="88" t="n"/>
      <c r="F2515" s="89" t="n"/>
      <c r="G2515" s="88" t="n"/>
      <c r="H2515" s="88" t="n"/>
      <c r="I2515" s="88" t="n"/>
      <c r="J2515" s="89" t="n"/>
      <c r="K2515" s="88" t="n"/>
      <c r="L2515" s="88" t="n"/>
      <c r="M2515" s="88" t="n"/>
      <c r="N2515" s="89" t="n"/>
      <c r="O2515" s="88" t="n"/>
      <c r="P2515" s="88" t="n"/>
      <c r="Q2515" s="88" t="n"/>
      <c r="R2515" s="89" t="n"/>
      <c r="S2515" s="88" t="n"/>
      <c r="T2515" s="88" t="n"/>
      <c r="U2515" s="88" t="n"/>
      <c r="V2515" s="89" t="n"/>
      <c r="W2515" s="88" t="n"/>
      <c r="X2515" s="89" t="n"/>
      <c r="Y2515" s="88" t="n"/>
      <c r="Z2515" s="89" t="n"/>
      <c r="AB2515" s="30">
        <f>IF($B2515="","",(COUNTIF(C2515:E2515,"?*")&lt;N(INDEX(Setup!$L$6:$L$23,8)))+(COUNTIF(G2515:I2515,"?*")&lt;N(INDEX(Setup!$L$6:$L$23,8)))+(COUNTIF(K2515:M2515,"?*")&lt;N(INDEX(Setup!$L$6:$L$23,8)))+(COUNTIF(O2515:Q2515,"?*")&lt;N(INDEX(Setup!$L$6:$L$23,8)))+(COUNTIF(S2515:U2515,"?*")&lt;N(INDEX(Setup!$L$6:$L$23,8)))+((W2515="")*(INDEX(Setup!$M$6:$M$23,8)="Y"))+((Y2515="")*(INDEX(Setup!$M$6:$M$23,8)="Y")))</f>
        <v/>
      </c>
      <c r="AC2515" s="91">
        <f>IF($B2515="","",IF(AB2515=0,"✓ covered","⚠ "&amp;AB2515&amp;IF(AB2515=1," gap"," gaps")))</f>
        <v/>
      </c>
    </row>
    <row r="2516" ht="17" customHeight="1">
      <c r="A2516" t="n">
        <v>51</v>
      </c>
      <c r="B2516" s="24">
        <f>IF(Setup!$K$14="","",Setup!$K$14)</f>
        <v/>
      </c>
      <c r="C2516" s="88" t="n"/>
      <c r="D2516" s="88" t="n"/>
      <c r="E2516" s="88" t="n"/>
      <c r="F2516" s="89" t="n"/>
      <c r="G2516" s="88" t="n"/>
      <c r="H2516" s="88" t="n"/>
      <c r="I2516" s="88" t="n"/>
      <c r="J2516" s="89" t="n"/>
      <c r="K2516" s="88" t="n"/>
      <c r="L2516" s="88" t="n"/>
      <c r="M2516" s="88" t="n"/>
      <c r="N2516" s="89" t="n"/>
      <c r="O2516" s="88" t="n"/>
      <c r="P2516" s="88" t="n"/>
      <c r="Q2516" s="88" t="n"/>
      <c r="R2516" s="89" t="n"/>
      <c r="S2516" s="88" t="n"/>
      <c r="T2516" s="88" t="n"/>
      <c r="U2516" s="88" t="n"/>
      <c r="V2516" s="89" t="n"/>
      <c r="W2516" s="88" t="n"/>
      <c r="X2516" s="89" t="n"/>
      <c r="Y2516" s="88" t="n"/>
      <c r="Z2516" s="89" t="n"/>
      <c r="AB2516" s="25">
        <f>IF($B2516="","",(COUNTIF(C2516:E2516,"?*")&lt;N(INDEX(Setup!$L$6:$L$23,9)))+(COUNTIF(G2516:I2516,"?*")&lt;N(INDEX(Setup!$L$6:$L$23,9)))+(COUNTIF(K2516:M2516,"?*")&lt;N(INDEX(Setup!$L$6:$L$23,9)))+(COUNTIF(O2516:Q2516,"?*")&lt;N(INDEX(Setup!$L$6:$L$23,9)))+(COUNTIF(S2516:U2516,"?*")&lt;N(INDEX(Setup!$L$6:$L$23,9)))+((W2516="")*(INDEX(Setup!$M$6:$M$23,9)="Y"))+((Y2516="")*(INDEX(Setup!$M$6:$M$23,9)="Y")))</f>
        <v/>
      </c>
      <c r="AC2516" s="90">
        <f>IF($B2516="","",IF(AB2516=0,"✓ covered","⚠ "&amp;AB2516&amp;IF(AB2516=1," gap"," gaps")))</f>
        <v/>
      </c>
    </row>
    <row r="2517" ht="17" customHeight="1">
      <c r="A2517" t="n">
        <v>51</v>
      </c>
      <c r="B2517" s="29">
        <f>IF(Setup!$K$15="","",Setup!$K$15)</f>
        <v/>
      </c>
      <c r="C2517" s="88" t="n"/>
      <c r="D2517" s="88" t="n"/>
      <c r="E2517" s="88" t="n"/>
      <c r="F2517" s="89" t="n"/>
      <c r="G2517" s="88" t="n"/>
      <c r="H2517" s="88" t="n"/>
      <c r="I2517" s="88" t="n"/>
      <c r="J2517" s="89" t="n"/>
      <c r="K2517" s="88" t="n"/>
      <c r="L2517" s="88" t="n"/>
      <c r="M2517" s="88" t="n"/>
      <c r="N2517" s="89" t="n"/>
      <c r="O2517" s="88" t="n"/>
      <c r="P2517" s="88" t="n"/>
      <c r="Q2517" s="88" t="n"/>
      <c r="R2517" s="89" t="n"/>
      <c r="S2517" s="88" t="n"/>
      <c r="T2517" s="88" t="n"/>
      <c r="U2517" s="88" t="n"/>
      <c r="V2517" s="89" t="n"/>
      <c r="W2517" s="88" t="n"/>
      <c r="X2517" s="89" t="n"/>
      <c r="Y2517" s="88" t="n"/>
      <c r="Z2517" s="89" t="n"/>
      <c r="AB2517" s="30">
        <f>IF($B2517="","",(COUNTIF(C2517:E2517,"?*")&lt;N(INDEX(Setup!$L$6:$L$23,10)))+(COUNTIF(G2517:I2517,"?*")&lt;N(INDEX(Setup!$L$6:$L$23,10)))+(COUNTIF(K2517:M2517,"?*")&lt;N(INDEX(Setup!$L$6:$L$23,10)))+(COUNTIF(O2517:Q2517,"?*")&lt;N(INDEX(Setup!$L$6:$L$23,10)))+(COUNTIF(S2517:U2517,"?*")&lt;N(INDEX(Setup!$L$6:$L$23,10)))+((W2517="")*(INDEX(Setup!$M$6:$M$23,10)="Y"))+((Y2517="")*(INDEX(Setup!$M$6:$M$23,10)="Y")))</f>
        <v/>
      </c>
      <c r="AC2517" s="91">
        <f>IF($B2517="","",IF(AB2517=0,"✓ covered","⚠ "&amp;AB2517&amp;IF(AB2517=1," gap"," gaps")))</f>
        <v/>
      </c>
    </row>
    <row r="2518" ht="17" customHeight="1">
      <c r="A2518" t="n">
        <v>51</v>
      </c>
      <c r="B2518" s="24">
        <f>IF(Setup!$K$16="","",Setup!$K$16)</f>
        <v/>
      </c>
      <c r="C2518" s="88" t="n"/>
      <c r="D2518" s="88" t="n"/>
      <c r="E2518" s="88" t="n"/>
      <c r="F2518" s="89" t="n"/>
      <c r="G2518" s="88" t="n"/>
      <c r="H2518" s="88" t="n"/>
      <c r="I2518" s="88" t="n"/>
      <c r="J2518" s="89" t="n"/>
      <c r="K2518" s="88" t="n"/>
      <c r="L2518" s="88" t="n"/>
      <c r="M2518" s="88" t="n"/>
      <c r="N2518" s="89" t="n"/>
      <c r="O2518" s="88" t="n"/>
      <c r="P2518" s="88" t="n"/>
      <c r="Q2518" s="88" t="n"/>
      <c r="R2518" s="89" t="n"/>
      <c r="S2518" s="88" t="n"/>
      <c r="T2518" s="88" t="n"/>
      <c r="U2518" s="88" t="n"/>
      <c r="V2518" s="89" t="n"/>
      <c r="W2518" s="88" t="n"/>
      <c r="X2518" s="89" t="n"/>
      <c r="Y2518" s="88" t="n"/>
      <c r="Z2518" s="89" t="n"/>
      <c r="AB2518" s="25">
        <f>IF($B2518="","",(COUNTIF(C2518:E2518,"?*")&lt;N(INDEX(Setup!$L$6:$L$23,11)))+(COUNTIF(G2518:I2518,"?*")&lt;N(INDEX(Setup!$L$6:$L$23,11)))+(COUNTIF(K2518:M2518,"?*")&lt;N(INDEX(Setup!$L$6:$L$23,11)))+(COUNTIF(O2518:Q2518,"?*")&lt;N(INDEX(Setup!$L$6:$L$23,11)))+(COUNTIF(S2518:U2518,"?*")&lt;N(INDEX(Setup!$L$6:$L$23,11)))+((W2518="")*(INDEX(Setup!$M$6:$M$23,11)="Y"))+((Y2518="")*(INDEX(Setup!$M$6:$M$23,11)="Y")))</f>
        <v/>
      </c>
      <c r="AC2518" s="90">
        <f>IF($B2518="","",IF(AB2518=0,"✓ covered","⚠ "&amp;AB2518&amp;IF(AB2518=1," gap"," gaps")))</f>
        <v/>
      </c>
    </row>
    <row r="2519" ht="17" customHeight="1">
      <c r="A2519" t="n">
        <v>51</v>
      </c>
      <c r="B2519" s="29">
        <f>IF(Setup!$K$17="","",Setup!$K$17)</f>
        <v/>
      </c>
      <c r="C2519" s="88" t="n"/>
      <c r="D2519" s="88" t="n"/>
      <c r="E2519" s="88" t="n"/>
      <c r="F2519" s="89" t="n"/>
      <c r="G2519" s="88" t="n"/>
      <c r="H2519" s="88" t="n"/>
      <c r="I2519" s="88" t="n"/>
      <c r="J2519" s="89" t="n"/>
      <c r="K2519" s="88" t="n"/>
      <c r="L2519" s="88" t="n"/>
      <c r="M2519" s="88" t="n"/>
      <c r="N2519" s="89" t="n"/>
      <c r="O2519" s="88" t="n"/>
      <c r="P2519" s="88" t="n"/>
      <c r="Q2519" s="88" t="n"/>
      <c r="R2519" s="89" t="n"/>
      <c r="S2519" s="88" t="n"/>
      <c r="T2519" s="88" t="n"/>
      <c r="U2519" s="88" t="n"/>
      <c r="V2519" s="89" t="n"/>
      <c r="W2519" s="88" t="n"/>
      <c r="X2519" s="89" t="n"/>
      <c r="Y2519" s="88" t="n"/>
      <c r="Z2519" s="89" t="n"/>
      <c r="AB2519" s="30">
        <f>IF($B2519="","",(COUNTIF(C2519:E2519,"?*")&lt;N(INDEX(Setup!$L$6:$L$23,12)))+(COUNTIF(G2519:I2519,"?*")&lt;N(INDEX(Setup!$L$6:$L$23,12)))+(COUNTIF(K2519:M2519,"?*")&lt;N(INDEX(Setup!$L$6:$L$23,12)))+(COUNTIF(O2519:Q2519,"?*")&lt;N(INDEX(Setup!$L$6:$L$23,12)))+(COUNTIF(S2519:U2519,"?*")&lt;N(INDEX(Setup!$L$6:$L$23,12)))+((W2519="")*(INDEX(Setup!$M$6:$M$23,12)="Y"))+((Y2519="")*(INDEX(Setup!$M$6:$M$23,12)="Y")))</f>
        <v/>
      </c>
      <c r="AC2519" s="91">
        <f>IF($B2519="","",IF(AB2519=0,"✓ covered","⚠ "&amp;AB2519&amp;IF(AB2519=1," gap"," gaps")))</f>
        <v/>
      </c>
    </row>
    <row r="2520" ht="17" customHeight="1">
      <c r="A2520" t="n">
        <v>51</v>
      </c>
      <c r="B2520" s="24">
        <f>IF(Setup!$K$18="","",Setup!$K$18)</f>
        <v/>
      </c>
      <c r="C2520" s="88" t="n"/>
      <c r="D2520" s="88" t="n"/>
      <c r="E2520" s="88" t="n"/>
      <c r="F2520" s="89" t="n"/>
      <c r="G2520" s="88" t="n"/>
      <c r="H2520" s="88" t="n"/>
      <c r="I2520" s="88" t="n"/>
      <c r="J2520" s="89" t="n"/>
      <c r="K2520" s="88" t="n"/>
      <c r="L2520" s="88" t="n"/>
      <c r="M2520" s="88" t="n"/>
      <c r="N2520" s="89" t="n"/>
      <c r="O2520" s="88" t="n"/>
      <c r="P2520" s="88" t="n"/>
      <c r="Q2520" s="88" t="n"/>
      <c r="R2520" s="89" t="n"/>
      <c r="S2520" s="88" t="n"/>
      <c r="T2520" s="88" t="n"/>
      <c r="U2520" s="88" t="n"/>
      <c r="V2520" s="89" t="n"/>
      <c r="W2520" s="88" t="n"/>
      <c r="X2520" s="89" t="n"/>
      <c r="Y2520" s="88" t="n"/>
      <c r="Z2520" s="89" t="n"/>
      <c r="AB2520" s="25">
        <f>IF($B2520="","",(COUNTIF(C2520:E2520,"?*")&lt;N(INDEX(Setup!$L$6:$L$23,13)))+(COUNTIF(G2520:I2520,"?*")&lt;N(INDEX(Setup!$L$6:$L$23,13)))+(COUNTIF(K2520:M2520,"?*")&lt;N(INDEX(Setup!$L$6:$L$23,13)))+(COUNTIF(O2520:Q2520,"?*")&lt;N(INDEX(Setup!$L$6:$L$23,13)))+(COUNTIF(S2520:U2520,"?*")&lt;N(INDEX(Setup!$L$6:$L$23,13)))+((W2520="")*(INDEX(Setup!$M$6:$M$23,13)="Y"))+((Y2520="")*(INDEX(Setup!$M$6:$M$23,13)="Y")))</f>
        <v/>
      </c>
      <c r="AC2520" s="90">
        <f>IF($B2520="","",IF(AB2520=0,"✓ covered","⚠ "&amp;AB2520&amp;IF(AB2520=1," gap"," gaps")))</f>
        <v/>
      </c>
    </row>
    <row r="2521" ht="17" customHeight="1">
      <c r="A2521" t="n">
        <v>51</v>
      </c>
      <c r="B2521" s="29">
        <f>IF(Setup!$K$19="","",Setup!$K$19)</f>
        <v/>
      </c>
      <c r="C2521" s="88" t="n"/>
      <c r="D2521" s="88" t="n"/>
      <c r="E2521" s="88" t="n"/>
      <c r="F2521" s="89" t="n"/>
      <c r="G2521" s="88" t="n"/>
      <c r="H2521" s="88" t="n"/>
      <c r="I2521" s="88" t="n"/>
      <c r="J2521" s="89" t="n"/>
      <c r="K2521" s="88" t="n"/>
      <c r="L2521" s="88" t="n"/>
      <c r="M2521" s="88" t="n"/>
      <c r="N2521" s="89" t="n"/>
      <c r="O2521" s="88" t="n"/>
      <c r="P2521" s="88" t="n"/>
      <c r="Q2521" s="88" t="n"/>
      <c r="R2521" s="89" t="n"/>
      <c r="S2521" s="88" t="n"/>
      <c r="T2521" s="88" t="n"/>
      <c r="U2521" s="88" t="n"/>
      <c r="V2521" s="89" t="n"/>
      <c r="W2521" s="88" t="n"/>
      <c r="X2521" s="89" t="n"/>
      <c r="Y2521" s="88" t="n"/>
      <c r="Z2521" s="89" t="n"/>
      <c r="AB2521" s="30">
        <f>IF($B2521="","",(COUNTIF(C2521:E2521,"?*")&lt;N(INDEX(Setup!$L$6:$L$23,14)))+(COUNTIF(G2521:I2521,"?*")&lt;N(INDEX(Setup!$L$6:$L$23,14)))+(COUNTIF(K2521:M2521,"?*")&lt;N(INDEX(Setup!$L$6:$L$23,14)))+(COUNTIF(O2521:Q2521,"?*")&lt;N(INDEX(Setup!$L$6:$L$23,14)))+(COUNTIF(S2521:U2521,"?*")&lt;N(INDEX(Setup!$L$6:$L$23,14)))+((W2521="")*(INDEX(Setup!$M$6:$M$23,14)="Y"))+((Y2521="")*(INDEX(Setup!$M$6:$M$23,14)="Y")))</f>
        <v/>
      </c>
      <c r="AC2521" s="91">
        <f>IF($B2521="","",IF(AB2521=0,"✓ covered","⚠ "&amp;AB2521&amp;IF(AB2521=1," gap"," gaps")))</f>
        <v/>
      </c>
    </row>
    <row r="2522" ht="17" customHeight="1">
      <c r="A2522" t="n">
        <v>51</v>
      </c>
      <c r="B2522" s="24">
        <f>IF(Setup!$K$20="","",Setup!$K$20)</f>
        <v/>
      </c>
      <c r="C2522" s="88" t="n"/>
      <c r="D2522" s="88" t="n"/>
      <c r="E2522" s="88" t="n"/>
      <c r="F2522" s="89" t="n"/>
      <c r="G2522" s="88" t="n"/>
      <c r="H2522" s="88" t="n"/>
      <c r="I2522" s="88" t="n"/>
      <c r="J2522" s="89" t="n"/>
      <c r="K2522" s="88" t="n"/>
      <c r="L2522" s="88" t="n"/>
      <c r="M2522" s="88" t="n"/>
      <c r="N2522" s="89" t="n"/>
      <c r="O2522" s="88" t="n"/>
      <c r="P2522" s="88" t="n"/>
      <c r="Q2522" s="88" t="n"/>
      <c r="R2522" s="89" t="n"/>
      <c r="S2522" s="88" t="n"/>
      <c r="T2522" s="88" t="n"/>
      <c r="U2522" s="88" t="n"/>
      <c r="V2522" s="89" t="n"/>
      <c r="W2522" s="88" t="n"/>
      <c r="X2522" s="89" t="n"/>
      <c r="Y2522" s="88" t="n"/>
      <c r="Z2522" s="89" t="n"/>
      <c r="AB2522" s="25">
        <f>IF($B2522="","",(COUNTIF(C2522:E2522,"?*")&lt;N(INDEX(Setup!$L$6:$L$23,15)))+(COUNTIF(G2522:I2522,"?*")&lt;N(INDEX(Setup!$L$6:$L$23,15)))+(COUNTIF(K2522:M2522,"?*")&lt;N(INDEX(Setup!$L$6:$L$23,15)))+(COUNTIF(O2522:Q2522,"?*")&lt;N(INDEX(Setup!$L$6:$L$23,15)))+(COUNTIF(S2522:U2522,"?*")&lt;N(INDEX(Setup!$L$6:$L$23,15)))+((W2522="")*(INDEX(Setup!$M$6:$M$23,15)="Y"))+((Y2522="")*(INDEX(Setup!$M$6:$M$23,15)="Y")))</f>
        <v/>
      </c>
      <c r="AC2522" s="90">
        <f>IF($B2522="","",IF(AB2522=0,"✓ covered","⚠ "&amp;AB2522&amp;IF(AB2522=1," gap"," gaps")))</f>
        <v/>
      </c>
    </row>
    <row r="2523" ht="17" customHeight="1">
      <c r="A2523" t="n">
        <v>51</v>
      </c>
      <c r="B2523" s="29">
        <f>IF(Setup!$K$21="","",Setup!$K$21)</f>
        <v/>
      </c>
      <c r="C2523" s="88" t="n"/>
      <c r="D2523" s="88" t="n"/>
      <c r="E2523" s="88" t="n"/>
      <c r="F2523" s="89" t="n"/>
      <c r="G2523" s="88" t="n"/>
      <c r="H2523" s="88" t="n"/>
      <c r="I2523" s="88" t="n"/>
      <c r="J2523" s="89" t="n"/>
      <c r="K2523" s="88" t="n"/>
      <c r="L2523" s="88" t="n"/>
      <c r="M2523" s="88" t="n"/>
      <c r="N2523" s="89" t="n"/>
      <c r="O2523" s="88" t="n"/>
      <c r="P2523" s="88" t="n"/>
      <c r="Q2523" s="88" t="n"/>
      <c r="R2523" s="89" t="n"/>
      <c r="S2523" s="88" t="n"/>
      <c r="T2523" s="88" t="n"/>
      <c r="U2523" s="88" t="n"/>
      <c r="V2523" s="89" t="n"/>
      <c r="W2523" s="88" t="n"/>
      <c r="X2523" s="89" t="n"/>
      <c r="Y2523" s="88" t="n"/>
      <c r="Z2523" s="89" t="n"/>
      <c r="AB2523" s="30">
        <f>IF($B2523="","",(COUNTIF(C2523:E2523,"?*")&lt;N(INDEX(Setup!$L$6:$L$23,16)))+(COUNTIF(G2523:I2523,"?*")&lt;N(INDEX(Setup!$L$6:$L$23,16)))+(COUNTIF(K2523:M2523,"?*")&lt;N(INDEX(Setup!$L$6:$L$23,16)))+(COUNTIF(O2523:Q2523,"?*")&lt;N(INDEX(Setup!$L$6:$L$23,16)))+(COUNTIF(S2523:U2523,"?*")&lt;N(INDEX(Setup!$L$6:$L$23,16)))+((W2523="")*(INDEX(Setup!$M$6:$M$23,16)="Y"))+((Y2523="")*(INDEX(Setup!$M$6:$M$23,16)="Y")))</f>
        <v/>
      </c>
      <c r="AC2523" s="91">
        <f>IF($B2523="","",IF(AB2523=0,"✓ covered","⚠ "&amp;AB2523&amp;IF(AB2523=1," gap"," gaps")))</f>
        <v/>
      </c>
    </row>
    <row r="2524" ht="17" customHeight="1">
      <c r="A2524" t="n">
        <v>51</v>
      </c>
      <c r="B2524" s="24">
        <f>IF(Setup!$K$22="","",Setup!$K$22)</f>
        <v/>
      </c>
      <c r="C2524" s="88" t="n"/>
      <c r="D2524" s="88" t="n"/>
      <c r="E2524" s="88" t="n"/>
      <c r="F2524" s="89" t="n"/>
      <c r="G2524" s="88" t="n"/>
      <c r="H2524" s="88" t="n"/>
      <c r="I2524" s="88" t="n"/>
      <c r="J2524" s="89" t="n"/>
      <c r="K2524" s="88" t="n"/>
      <c r="L2524" s="88" t="n"/>
      <c r="M2524" s="88" t="n"/>
      <c r="N2524" s="89" t="n"/>
      <c r="O2524" s="88" t="n"/>
      <c r="P2524" s="88" t="n"/>
      <c r="Q2524" s="88" t="n"/>
      <c r="R2524" s="89" t="n"/>
      <c r="S2524" s="88" t="n"/>
      <c r="T2524" s="88" t="n"/>
      <c r="U2524" s="88" t="n"/>
      <c r="V2524" s="89" t="n"/>
      <c r="W2524" s="88" t="n"/>
      <c r="X2524" s="89" t="n"/>
      <c r="Y2524" s="88" t="n"/>
      <c r="Z2524" s="89" t="n"/>
      <c r="AB2524" s="25">
        <f>IF($B2524="","",(COUNTIF(C2524:E2524,"?*")&lt;N(INDEX(Setup!$L$6:$L$23,17)))+(COUNTIF(G2524:I2524,"?*")&lt;N(INDEX(Setup!$L$6:$L$23,17)))+(COUNTIF(K2524:M2524,"?*")&lt;N(INDEX(Setup!$L$6:$L$23,17)))+(COUNTIF(O2524:Q2524,"?*")&lt;N(INDEX(Setup!$L$6:$L$23,17)))+(COUNTIF(S2524:U2524,"?*")&lt;N(INDEX(Setup!$L$6:$L$23,17)))+((W2524="")*(INDEX(Setup!$M$6:$M$23,17)="Y"))+((Y2524="")*(INDEX(Setup!$M$6:$M$23,17)="Y")))</f>
        <v/>
      </c>
      <c r="AC2524" s="90">
        <f>IF($B2524="","",IF(AB2524=0,"✓ covered","⚠ "&amp;AB2524&amp;IF(AB2524=1," gap"," gaps")))</f>
        <v/>
      </c>
    </row>
    <row r="2525" ht="17" customHeight="1">
      <c r="A2525" t="n">
        <v>51</v>
      </c>
      <c r="B2525" s="29">
        <f>IF(Setup!$K$23="","",Setup!$K$23)</f>
        <v/>
      </c>
      <c r="C2525" s="88" t="n"/>
      <c r="D2525" s="88" t="n"/>
      <c r="E2525" s="88" t="n"/>
      <c r="F2525" s="89" t="n"/>
      <c r="G2525" s="88" t="n"/>
      <c r="H2525" s="88" t="n"/>
      <c r="I2525" s="88" t="n"/>
      <c r="J2525" s="89" t="n"/>
      <c r="K2525" s="88" t="n"/>
      <c r="L2525" s="88" t="n"/>
      <c r="M2525" s="88" t="n"/>
      <c r="N2525" s="89" t="n"/>
      <c r="O2525" s="88" t="n"/>
      <c r="P2525" s="88" t="n"/>
      <c r="Q2525" s="88" t="n"/>
      <c r="R2525" s="89" t="n"/>
      <c r="S2525" s="88" t="n"/>
      <c r="T2525" s="88" t="n"/>
      <c r="U2525" s="88" t="n"/>
      <c r="V2525" s="89" t="n"/>
      <c r="W2525" s="88" t="n"/>
      <c r="X2525" s="89" t="n"/>
      <c r="Y2525" s="88" t="n"/>
      <c r="Z2525" s="89" t="n"/>
      <c r="AB2525" s="30">
        <f>IF($B2525="","",(COUNTIF(C2525:E2525,"?*")&lt;N(INDEX(Setup!$L$6:$L$23,18)))+(COUNTIF(G2525:I2525,"?*")&lt;N(INDEX(Setup!$L$6:$L$23,18)))+(COUNTIF(K2525:M2525,"?*")&lt;N(INDEX(Setup!$L$6:$L$23,18)))+(COUNTIF(O2525:Q2525,"?*")&lt;N(INDEX(Setup!$L$6:$L$23,18)))+(COUNTIF(S2525:U2525,"?*")&lt;N(INDEX(Setup!$L$6:$L$23,18)))+((W2525="")*(INDEX(Setup!$M$6:$M$23,18)="Y"))+((Y2525="")*(INDEX(Setup!$M$6:$M$23,18)="Y")))</f>
        <v/>
      </c>
      <c r="AC2525" s="91">
        <f>IF($B2525="","",IF(AB2525=0,"✓ covered","⚠ "&amp;AB2525&amp;IF(AB2525=1," gap"," gaps")))</f>
        <v/>
      </c>
    </row>
    <row r="2526" ht="18" customHeight="1">
      <c r="A2526" t="n">
        <v>51</v>
      </c>
      <c r="B2526" s="78" t="inlineStr">
        <is>
          <t>TEAM AVAILABILITY</t>
        </is>
      </c>
      <c r="C2526" s="92" t="inlineStr">
        <is>
          <t>Mon</t>
        </is>
      </c>
      <c r="D2526" s="93" t="n"/>
      <c r="E2526" s="93" t="n"/>
      <c r="F2526" s="94" t="n"/>
      <c r="G2526" s="92" t="inlineStr">
        <is>
          <t>Tue</t>
        </is>
      </c>
      <c r="H2526" s="93" t="n"/>
      <c r="I2526" s="93" t="n"/>
      <c r="J2526" s="94" t="n"/>
      <c r="K2526" s="92" t="inlineStr">
        <is>
          <t>Wed</t>
        </is>
      </c>
      <c r="L2526" s="93" t="n"/>
      <c r="M2526" s="93" t="n"/>
      <c r="N2526" s="94" t="n"/>
      <c r="O2526" s="92" t="inlineStr">
        <is>
          <t>Thu</t>
        </is>
      </c>
      <c r="P2526" s="93" t="n"/>
      <c r="Q2526" s="93" t="n"/>
      <c r="R2526" s="94" t="n"/>
      <c r="S2526" s="92" t="inlineStr">
        <is>
          <t>Fri</t>
        </is>
      </c>
      <c r="T2526" s="93" t="n"/>
      <c r="U2526" s="93" t="n"/>
      <c r="V2526" s="94" t="n"/>
      <c r="W2526" s="95" t="inlineStr">
        <is>
          <t>Sat</t>
        </is>
      </c>
      <c r="X2526" s="96" t="n"/>
      <c r="Y2526" s="95" t="inlineStr">
        <is>
          <t>Sun</t>
        </is>
      </c>
      <c r="Z2526" s="96" t="n"/>
      <c r="AB2526" s="97" t="inlineStr">
        <is>
          <t>Days rostered</t>
        </is>
      </c>
      <c r="AC2526" s="97" t="inlineStr">
        <is>
          <t>Conflicts</t>
        </is>
      </c>
    </row>
    <row r="2527" ht="15" customHeight="1">
      <c r="A2527" t="n">
        <v>51</v>
      </c>
      <c r="B2527" s="35">
        <f>IF(Setup!$B$6="","",Setup!$B$6)</f>
        <v/>
      </c>
      <c r="C2527" s="98" t="n"/>
      <c r="D2527" s="99" t="n"/>
      <c r="E2527" s="99" t="n"/>
      <c r="F2527" s="100" t="n"/>
      <c r="G2527" s="98" t="n"/>
      <c r="H2527" s="99" t="n"/>
      <c r="I2527" s="99" t="n"/>
      <c r="J2527" s="100" t="n"/>
      <c r="K2527" s="98" t="n"/>
      <c r="L2527" s="99" t="n"/>
      <c r="M2527" s="99" t="n"/>
      <c r="N2527" s="100" t="n"/>
      <c r="O2527" s="98" t="n"/>
      <c r="P2527" s="99" t="n"/>
      <c r="Q2527" s="99" t="n"/>
      <c r="R2527" s="100" t="n"/>
      <c r="S2527" s="98" t="n"/>
      <c r="T2527" s="99" t="n"/>
      <c r="U2527" s="99" t="n"/>
      <c r="V2527" s="100" t="n"/>
      <c r="W2527" s="98" t="n"/>
      <c r="X2527" s="100" t="n"/>
      <c r="Y2527" s="98" t="n"/>
      <c r="Z2527" s="100" t="n"/>
      <c r="AB2527" s="101">
        <f>IF($B2527="","",(COUNTIF(C2508:E2525,$B2527)+COUNTIF(C2508:E2525,$B2527&amp;" ~*")&gt;0)+(COUNTIF(G2508:I2525,$B2527)+COUNTIF(G2508:I2525,$B2527&amp;" ~*")&gt;0)+(COUNTIF(K2508:M2525,$B2527)+COUNTIF(K2508:M2525,$B2527&amp;" ~*")&gt;0)+(COUNTIF(O2508:Q2525,$B2527)+COUNTIF(O2508:Q2525,$B2527&amp;" ~*")&gt;0)+(COUNTIF(S2508:U2525,$B2527)+COUNTIF(S2508:U2525,$B2527&amp;" ~*")&gt;0)+(COUNTIF(W2508:W2525,$B2527)+COUNTIF(W2508:W2525,$B2527&amp;" ~*")&gt;0)+(COUNTIF(Y2508:Y2525,$B2527)+COUNTIF(Y2508:Y2525,$B2527&amp;" ~*")&gt;0))</f>
        <v/>
      </c>
      <c r="AC2527" s="36">
        <f>IF($B2527="","",(IFERROR(INDEX(Setup!$G$33:$G$40,MATCH(C2527,Setup!$B$33:$B$40,0)),0)=1)*(COUNTIF(C2508:E2525,$B2527)+COUNTIF(C2508:E2525,$B2527&amp;" ~*")&gt;0)+(IFERROR(INDEX(Setup!$G$33:$G$40,MATCH(G2527,Setup!$B$33:$B$40,0)),0)=1)*(COUNTIF(G2508:I2525,$B2527)+COUNTIF(G2508:I2525,$B2527&amp;" ~*")&gt;0)+(IFERROR(INDEX(Setup!$G$33:$G$40,MATCH(K2527,Setup!$B$33:$B$40,0)),0)=1)*(COUNTIF(K2508:M2525,$B2527)+COUNTIF(K2508:M2525,$B2527&amp;" ~*")&gt;0)+(IFERROR(INDEX(Setup!$G$33:$G$40,MATCH(O2527,Setup!$B$33:$B$40,0)),0)=1)*(COUNTIF(O2508:Q2525,$B2527)+COUNTIF(O2508:Q2525,$B2527&amp;" ~*")&gt;0)+(IFERROR(INDEX(Setup!$G$33:$G$40,MATCH(S2527,Setup!$B$33:$B$40,0)),0)=1)*(COUNTIF(S2508:U2525,$B2527)+COUNTIF(S2508:U2525,$B2527&amp;" ~*")&gt;0)+(IFERROR(INDEX(Setup!$G$33:$G$40,MATCH(W2527,Setup!$B$33:$B$40,0)),0)=1)*(COUNTIF(W2508:W2525,$B2527)+COUNTIF(W2508:W2525,$B2527&amp;" ~*")&gt;0)+(IFERROR(INDEX(Setup!$G$33:$G$40,MATCH(Y2527,Setup!$B$33:$B$40,0)),0)=1)*(COUNTIF(Y2508:Y2525,$B2527)+COUNTIF(Y2508:Y2525,$B2527&amp;" ~*")&gt;0))</f>
        <v/>
      </c>
    </row>
    <row r="2528" ht="15" customHeight="1">
      <c r="A2528" t="n">
        <v>51</v>
      </c>
      <c r="B2528" s="37">
        <f>IF(Setup!$B$7="","",Setup!$B$7)</f>
        <v/>
      </c>
      <c r="C2528" s="102" t="n"/>
      <c r="D2528" s="103" t="n"/>
      <c r="E2528" s="103" t="n"/>
      <c r="F2528" s="104" t="n"/>
      <c r="G2528" s="102" t="n"/>
      <c r="H2528" s="103" t="n"/>
      <c r="I2528" s="103" t="n"/>
      <c r="J2528" s="104" t="n"/>
      <c r="K2528" s="102" t="n"/>
      <c r="L2528" s="103" t="n"/>
      <c r="M2528" s="103" t="n"/>
      <c r="N2528" s="104" t="n"/>
      <c r="O2528" s="102" t="n"/>
      <c r="P2528" s="103" t="n"/>
      <c r="Q2528" s="103" t="n"/>
      <c r="R2528" s="104" t="n"/>
      <c r="S2528" s="102" t="n"/>
      <c r="T2528" s="103" t="n"/>
      <c r="U2528" s="103" t="n"/>
      <c r="V2528" s="104" t="n"/>
      <c r="W2528" s="102" t="n"/>
      <c r="X2528" s="104" t="n"/>
      <c r="Y2528" s="102" t="n"/>
      <c r="Z2528" s="104" t="n"/>
      <c r="AB2528" s="105">
        <f>IF($B2528="","",(COUNTIF(C2508:E2525,$B2528)+COUNTIF(C2508:E2525,$B2528&amp;" ~*")&gt;0)+(COUNTIF(G2508:I2525,$B2528)+COUNTIF(G2508:I2525,$B2528&amp;" ~*")&gt;0)+(COUNTIF(K2508:M2525,$B2528)+COUNTIF(K2508:M2525,$B2528&amp;" ~*")&gt;0)+(COUNTIF(O2508:Q2525,$B2528)+COUNTIF(O2508:Q2525,$B2528&amp;" ~*")&gt;0)+(COUNTIF(S2508:U2525,$B2528)+COUNTIF(S2508:U2525,$B2528&amp;" ~*")&gt;0)+(COUNTIF(W2508:W2525,$B2528)+COUNTIF(W2508:W2525,$B2528&amp;" ~*")&gt;0)+(COUNTIF(Y2508:Y2525,$B2528)+COUNTIF(Y2508:Y2525,$B2528&amp;" ~*")&gt;0))</f>
        <v/>
      </c>
      <c r="AC2528" s="38">
        <f>IF($B2528="","",(IFERROR(INDEX(Setup!$G$33:$G$40,MATCH(C2528,Setup!$B$33:$B$40,0)),0)=1)*(COUNTIF(C2508:E2525,$B2528)+COUNTIF(C2508:E2525,$B2528&amp;" ~*")&gt;0)+(IFERROR(INDEX(Setup!$G$33:$G$40,MATCH(G2528,Setup!$B$33:$B$40,0)),0)=1)*(COUNTIF(G2508:I2525,$B2528)+COUNTIF(G2508:I2525,$B2528&amp;" ~*")&gt;0)+(IFERROR(INDEX(Setup!$G$33:$G$40,MATCH(K2528,Setup!$B$33:$B$40,0)),0)=1)*(COUNTIF(K2508:M2525,$B2528)+COUNTIF(K2508:M2525,$B2528&amp;" ~*")&gt;0)+(IFERROR(INDEX(Setup!$G$33:$G$40,MATCH(O2528,Setup!$B$33:$B$40,0)),0)=1)*(COUNTIF(O2508:Q2525,$B2528)+COUNTIF(O2508:Q2525,$B2528&amp;" ~*")&gt;0)+(IFERROR(INDEX(Setup!$G$33:$G$40,MATCH(S2528,Setup!$B$33:$B$40,0)),0)=1)*(COUNTIF(S2508:U2525,$B2528)+COUNTIF(S2508:U2525,$B2528&amp;" ~*")&gt;0)+(IFERROR(INDEX(Setup!$G$33:$G$40,MATCH(W2528,Setup!$B$33:$B$40,0)),0)=1)*(COUNTIF(W2508:W2525,$B2528)+COUNTIF(W2508:W2525,$B2528&amp;" ~*")&gt;0)+(IFERROR(INDEX(Setup!$G$33:$G$40,MATCH(Y2528,Setup!$B$33:$B$40,0)),0)=1)*(COUNTIF(Y2508:Y2525,$B2528)+COUNTIF(Y2508:Y2525,$B2528&amp;" ~*")&gt;0))</f>
        <v/>
      </c>
    </row>
    <row r="2529" ht="15" customHeight="1">
      <c r="A2529" t="n">
        <v>51</v>
      </c>
      <c r="B2529" s="35">
        <f>IF(Setup!$B$8="","",Setup!$B$8)</f>
        <v/>
      </c>
      <c r="C2529" s="98" t="n"/>
      <c r="D2529" s="99" t="n"/>
      <c r="E2529" s="99" t="n"/>
      <c r="F2529" s="100" t="n"/>
      <c r="G2529" s="98" t="n"/>
      <c r="H2529" s="99" t="n"/>
      <c r="I2529" s="99" t="n"/>
      <c r="J2529" s="100" t="n"/>
      <c r="K2529" s="98" t="n"/>
      <c r="L2529" s="99" t="n"/>
      <c r="M2529" s="99" t="n"/>
      <c r="N2529" s="100" t="n"/>
      <c r="O2529" s="98" t="n"/>
      <c r="P2529" s="99" t="n"/>
      <c r="Q2529" s="99" t="n"/>
      <c r="R2529" s="100" t="n"/>
      <c r="S2529" s="98" t="n"/>
      <c r="T2529" s="99" t="n"/>
      <c r="U2529" s="99" t="n"/>
      <c r="V2529" s="100" t="n"/>
      <c r="W2529" s="98" t="n"/>
      <c r="X2529" s="100" t="n"/>
      <c r="Y2529" s="98" t="n"/>
      <c r="Z2529" s="100" t="n"/>
      <c r="AB2529" s="101">
        <f>IF($B2529="","",(COUNTIF(C2508:E2525,$B2529)+COUNTIF(C2508:E2525,$B2529&amp;" ~*")&gt;0)+(COUNTIF(G2508:I2525,$B2529)+COUNTIF(G2508:I2525,$B2529&amp;" ~*")&gt;0)+(COUNTIF(K2508:M2525,$B2529)+COUNTIF(K2508:M2525,$B2529&amp;" ~*")&gt;0)+(COUNTIF(O2508:Q2525,$B2529)+COUNTIF(O2508:Q2525,$B2529&amp;" ~*")&gt;0)+(COUNTIF(S2508:U2525,$B2529)+COUNTIF(S2508:U2525,$B2529&amp;" ~*")&gt;0)+(COUNTIF(W2508:W2525,$B2529)+COUNTIF(W2508:W2525,$B2529&amp;" ~*")&gt;0)+(COUNTIF(Y2508:Y2525,$B2529)+COUNTIF(Y2508:Y2525,$B2529&amp;" ~*")&gt;0))</f>
        <v/>
      </c>
      <c r="AC2529" s="36">
        <f>IF($B2529="","",(IFERROR(INDEX(Setup!$G$33:$G$40,MATCH(C2529,Setup!$B$33:$B$40,0)),0)=1)*(COUNTIF(C2508:E2525,$B2529)+COUNTIF(C2508:E2525,$B2529&amp;" ~*")&gt;0)+(IFERROR(INDEX(Setup!$G$33:$G$40,MATCH(G2529,Setup!$B$33:$B$40,0)),0)=1)*(COUNTIF(G2508:I2525,$B2529)+COUNTIF(G2508:I2525,$B2529&amp;" ~*")&gt;0)+(IFERROR(INDEX(Setup!$G$33:$G$40,MATCH(K2529,Setup!$B$33:$B$40,0)),0)=1)*(COUNTIF(K2508:M2525,$B2529)+COUNTIF(K2508:M2525,$B2529&amp;" ~*")&gt;0)+(IFERROR(INDEX(Setup!$G$33:$G$40,MATCH(O2529,Setup!$B$33:$B$40,0)),0)=1)*(COUNTIF(O2508:Q2525,$B2529)+COUNTIF(O2508:Q2525,$B2529&amp;" ~*")&gt;0)+(IFERROR(INDEX(Setup!$G$33:$G$40,MATCH(S2529,Setup!$B$33:$B$40,0)),0)=1)*(COUNTIF(S2508:U2525,$B2529)+COUNTIF(S2508:U2525,$B2529&amp;" ~*")&gt;0)+(IFERROR(INDEX(Setup!$G$33:$G$40,MATCH(W2529,Setup!$B$33:$B$40,0)),0)=1)*(COUNTIF(W2508:W2525,$B2529)+COUNTIF(W2508:W2525,$B2529&amp;" ~*")&gt;0)+(IFERROR(INDEX(Setup!$G$33:$G$40,MATCH(Y2529,Setup!$B$33:$B$40,0)),0)=1)*(COUNTIF(Y2508:Y2525,$B2529)+COUNTIF(Y2508:Y2525,$B2529&amp;" ~*")&gt;0))</f>
        <v/>
      </c>
    </row>
    <row r="2530" ht="15" customHeight="1">
      <c r="A2530" t="n">
        <v>51</v>
      </c>
      <c r="B2530" s="37">
        <f>IF(Setup!$B$9="","",Setup!$B$9)</f>
        <v/>
      </c>
      <c r="C2530" s="102" t="n"/>
      <c r="D2530" s="103" t="n"/>
      <c r="E2530" s="103" t="n"/>
      <c r="F2530" s="104" t="n"/>
      <c r="G2530" s="102" t="n"/>
      <c r="H2530" s="103" t="n"/>
      <c r="I2530" s="103" t="n"/>
      <c r="J2530" s="104" t="n"/>
      <c r="K2530" s="102" t="n"/>
      <c r="L2530" s="103" t="n"/>
      <c r="M2530" s="103" t="n"/>
      <c r="N2530" s="104" t="n"/>
      <c r="O2530" s="102" t="n"/>
      <c r="P2530" s="103" t="n"/>
      <c r="Q2530" s="103" t="n"/>
      <c r="R2530" s="104" t="n"/>
      <c r="S2530" s="102" t="n"/>
      <c r="T2530" s="103" t="n"/>
      <c r="U2530" s="103" t="n"/>
      <c r="V2530" s="104" t="n"/>
      <c r="W2530" s="102" t="n"/>
      <c r="X2530" s="104" t="n"/>
      <c r="Y2530" s="102" t="n"/>
      <c r="Z2530" s="104" t="n"/>
      <c r="AB2530" s="105">
        <f>IF($B2530="","",(COUNTIF(C2508:E2525,$B2530)+COUNTIF(C2508:E2525,$B2530&amp;" ~*")&gt;0)+(COUNTIF(G2508:I2525,$B2530)+COUNTIF(G2508:I2525,$B2530&amp;" ~*")&gt;0)+(COUNTIF(K2508:M2525,$B2530)+COUNTIF(K2508:M2525,$B2530&amp;" ~*")&gt;0)+(COUNTIF(O2508:Q2525,$B2530)+COUNTIF(O2508:Q2525,$B2530&amp;" ~*")&gt;0)+(COUNTIF(S2508:U2525,$B2530)+COUNTIF(S2508:U2525,$B2530&amp;" ~*")&gt;0)+(COUNTIF(W2508:W2525,$B2530)+COUNTIF(W2508:W2525,$B2530&amp;" ~*")&gt;0)+(COUNTIF(Y2508:Y2525,$B2530)+COUNTIF(Y2508:Y2525,$B2530&amp;" ~*")&gt;0))</f>
        <v/>
      </c>
      <c r="AC2530" s="38">
        <f>IF($B2530="","",(IFERROR(INDEX(Setup!$G$33:$G$40,MATCH(C2530,Setup!$B$33:$B$40,0)),0)=1)*(COUNTIF(C2508:E2525,$B2530)+COUNTIF(C2508:E2525,$B2530&amp;" ~*")&gt;0)+(IFERROR(INDEX(Setup!$G$33:$G$40,MATCH(G2530,Setup!$B$33:$B$40,0)),0)=1)*(COUNTIF(G2508:I2525,$B2530)+COUNTIF(G2508:I2525,$B2530&amp;" ~*")&gt;0)+(IFERROR(INDEX(Setup!$G$33:$G$40,MATCH(K2530,Setup!$B$33:$B$40,0)),0)=1)*(COUNTIF(K2508:M2525,$B2530)+COUNTIF(K2508:M2525,$B2530&amp;" ~*")&gt;0)+(IFERROR(INDEX(Setup!$G$33:$G$40,MATCH(O2530,Setup!$B$33:$B$40,0)),0)=1)*(COUNTIF(O2508:Q2525,$B2530)+COUNTIF(O2508:Q2525,$B2530&amp;" ~*")&gt;0)+(IFERROR(INDEX(Setup!$G$33:$G$40,MATCH(S2530,Setup!$B$33:$B$40,0)),0)=1)*(COUNTIF(S2508:U2525,$B2530)+COUNTIF(S2508:U2525,$B2530&amp;" ~*")&gt;0)+(IFERROR(INDEX(Setup!$G$33:$G$40,MATCH(W2530,Setup!$B$33:$B$40,0)),0)=1)*(COUNTIF(W2508:W2525,$B2530)+COUNTIF(W2508:W2525,$B2530&amp;" ~*")&gt;0)+(IFERROR(INDEX(Setup!$G$33:$G$40,MATCH(Y2530,Setup!$B$33:$B$40,0)),0)=1)*(COUNTIF(Y2508:Y2525,$B2530)+COUNTIF(Y2508:Y2525,$B2530&amp;" ~*")&gt;0))</f>
        <v/>
      </c>
    </row>
    <row r="2531" ht="15" customHeight="1">
      <c r="A2531" t="n">
        <v>51</v>
      </c>
      <c r="B2531" s="35">
        <f>IF(Setup!$B$10="","",Setup!$B$10)</f>
        <v/>
      </c>
      <c r="C2531" s="98" t="n"/>
      <c r="D2531" s="99" t="n"/>
      <c r="E2531" s="99" t="n"/>
      <c r="F2531" s="100" t="n"/>
      <c r="G2531" s="98" t="n"/>
      <c r="H2531" s="99" t="n"/>
      <c r="I2531" s="99" t="n"/>
      <c r="J2531" s="100" t="n"/>
      <c r="K2531" s="98" t="n"/>
      <c r="L2531" s="99" t="n"/>
      <c r="M2531" s="99" t="n"/>
      <c r="N2531" s="100" t="n"/>
      <c r="O2531" s="98" t="n"/>
      <c r="P2531" s="99" t="n"/>
      <c r="Q2531" s="99" t="n"/>
      <c r="R2531" s="100" t="n"/>
      <c r="S2531" s="98" t="n"/>
      <c r="T2531" s="99" t="n"/>
      <c r="U2531" s="99" t="n"/>
      <c r="V2531" s="100" t="n"/>
      <c r="W2531" s="98" t="n"/>
      <c r="X2531" s="100" t="n"/>
      <c r="Y2531" s="98" t="n"/>
      <c r="Z2531" s="100" t="n"/>
      <c r="AB2531" s="101">
        <f>IF($B2531="","",(COUNTIF(C2508:E2525,$B2531)+COUNTIF(C2508:E2525,$B2531&amp;" ~*")&gt;0)+(COUNTIF(G2508:I2525,$B2531)+COUNTIF(G2508:I2525,$B2531&amp;" ~*")&gt;0)+(COUNTIF(K2508:M2525,$B2531)+COUNTIF(K2508:M2525,$B2531&amp;" ~*")&gt;0)+(COUNTIF(O2508:Q2525,$B2531)+COUNTIF(O2508:Q2525,$B2531&amp;" ~*")&gt;0)+(COUNTIF(S2508:U2525,$B2531)+COUNTIF(S2508:U2525,$B2531&amp;" ~*")&gt;0)+(COUNTIF(W2508:W2525,$B2531)+COUNTIF(W2508:W2525,$B2531&amp;" ~*")&gt;0)+(COUNTIF(Y2508:Y2525,$B2531)+COUNTIF(Y2508:Y2525,$B2531&amp;" ~*")&gt;0))</f>
        <v/>
      </c>
      <c r="AC2531" s="36">
        <f>IF($B2531="","",(IFERROR(INDEX(Setup!$G$33:$G$40,MATCH(C2531,Setup!$B$33:$B$40,0)),0)=1)*(COUNTIF(C2508:E2525,$B2531)+COUNTIF(C2508:E2525,$B2531&amp;" ~*")&gt;0)+(IFERROR(INDEX(Setup!$G$33:$G$40,MATCH(G2531,Setup!$B$33:$B$40,0)),0)=1)*(COUNTIF(G2508:I2525,$B2531)+COUNTIF(G2508:I2525,$B2531&amp;" ~*")&gt;0)+(IFERROR(INDEX(Setup!$G$33:$G$40,MATCH(K2531,Setup!$B$33:$B$40,0)),0)=1)*(COUNTIF(K2508:M2525,$B2531)+COUNTIF(K2508:M2525,$B2531&amp;" ~*")&gt;0)+(IFERROR(INDEX(Setup!$G$33:$G$40,MATCH(O2531,Setup!$B$33:$B$40,0)),0)=1)*(COUNTIF(O2508:Q2525,$B2531)+COUNTIF(O2508:Q2525,$B2531&amp;" ~*")&gt;0)+(IFERROR(INDEX(Setup!$G$33:$G$40,MATCH(S2531,Setup!$B$33:$B$40,0)),0)=1)*(COUNTIF(S2508:U2525,$B2531)+COUNTIF(S2508:U2525,$B2531&amp;" ~*")&gt;0)+(IFERROR(INDEX(Setup!$G$33:$G$40,MATCH(W2531,Setup!$B$33:$B$40,0)),0)=1)*(COUNTIF(W2508:W2525,$B2531)+COUNTIF(W2508:W2525,$B2531&amp;" ~*")&gt;0)+(IFERROR(INDEX(Setup!$G$33:$G$40,MATCH(Y2531,Setup!$B$33:$B$40,0)),0)=1)*(COUNTIF(Y2508:Y2525,$B2531)+COUNTIF(Y2508:Y2525,$B2531&amp;" ~*")&gt;0))</f>
        <v/>
      </c>
    </row>
    <row r="2532" ht="15" customHeight="1">
      <c r="A2532" t="n">
        <v>51</v>
      </c>
      <c r="B2532" s="37">
        <f>IF(Setup!$B$11="","",Setup!$B$11)</f>
        <v/>
      </c>
      <c r="C2532" s="102" t="n"/>
      <c r="D2532" s="103" t="n"/>
      <c r="E2532" s="103" t="n"/>
      <c r="F2532" s="104" t="n"/>
      <c r="G2532" s="102" t="n"/>
      <c r="H2532" s="103" t="n"/>
      <c r="I2532" s="103" t="n"/>
      <c r="J2532" s="104" t="n"/>
      <c r="K2532" s="102" t="n"/>
      <c r="L2532" s="103" t="n"/>
      <c r="M2532" s="103" t="n"/>
      <c r="N2532" s="104" t="n"/>
      <c r="O2532" s="102" t="n"/>
      <c r="P2532" s="103" t="n"/>
      <c r="Q2532" s="103" t="n"/>
      <c r="R2532" s="104" t="n"/>
      <c r="S2532" s="102" t="n"/>
      <c r="T2532" s="103" t="n"/>
      <c r="U2532" s="103" t="n"/>
      <c r="V2532" s="104" t="n"/>
      <c r="W2532" s="102" t="n"/>
      <c r="X2532" s="104" t="n"/>
      <c r="Y2532" s="102" t="n"/>
      <c r="Z2532" s="104" t="n"/>
      <c r="AB2532" s="105">
        <f>IF($B2532="","",(COUNTIF(C2508:E2525,$B2532)+COUNTIF(C2508:E2525,$B2532&amp;" ~*")&gt;0)+(COUNTIF(G2508:I2525,$B2532)+COUNTIF(G2508:I2525,$B2532&amp;" ~*")&gt;0)+(COUNTIF(K2508:M2525,$B2532)+COUNTIF(K2508:M2525,$B2532&amp;" ~*")&gt;0)+(COUNTIF(O2508:Q2525,$B2532)+COUNTIF(O2508:Q2525,$B2532&amp;" ~*")&gt;0)+(COUNTIF(S2508:U2525,$B2532)+COUNTIF(S2508:U2525,$B2532&amp;" ~*")&gt;0)+(COUNTIF(W2508:W2525,$B2532)+COUNTIF(W2508:W2525,$B2532&amp;" ~*")&gt;0)+(COUNTIF(Y2508:Y2525,$B2532)+COUNTIF(Y2508:Y2525,$B2532&amp;" ~*")&gt;0))</f>
        <v/>
      </c>
      <c r="AC2532" s="38">
        <f>IF($B2532="","",(IFERROR(INDEX(Setup!$G$33:$G$40,MATCH(C2532,Setup!$B$33:$B$40,0)),0)=1)*(COUNTIF(C2508:E2525,$B2532)+COUNTIF(C2508:E2525,$B2532&amp;" ~*")&gt;0)+(IFERROR(INDEX(Setup!$G$33:$G$40,MATCH(G2532,Setup!$B$33:$B$40,0)),0)=1)*(COUNTIF(G2508:I2525,$B2532)+COUNTIF(G2508:I2525,$B2532&amp;" ~*")&gt;0)+(IFERROR(INDEX(Setup!$G$33:$G$40,MATCH(K2532,Setup!$B$33:$B$40,0)),0)=1)*(COUNTIF(K2508:M2525,$B2532)+COUNTIF(K2508:M2525,$B2532&amp;" ~*")&gt;0)+(IFERROR(INDEX(Setup!$G$33:$G$40,MATCH(O2532,Setup!$B$33:$B$40,0)),0)=1)*(COUNTIF(O2508:Q2525,$B2532)+COUNTIF(O2508:Q2525,$B2532&amp;" ~*")&gt;0)+(IFERROR(INDEX(Setup!$G$33:$G$40,MATCH(S2532,Setup!$B$33:$B$40,0)),0)=1)*(COUNTIF(S2508:U2525,$B2532)+COUNTIF(S2508:U2525,$B2532&amp;" ~*")&gt;0)+(IFERROR(INDEX(Setup!$G$33:$G$40,MATCH(W2532,Setup!$B$33:$B$40,0)),0)=1)*(COUNTIF(W2508:W2525,$B2532)+COUNTIF(W2508:W2525,$B2532&amp;" ~*")&gt;0)+(IFERROR(INDEX(Setup!$G$33:$G$40,MATCH(Y2532,Setup!$B$33:$B$40,0)),0)=1)*(COUNTIF(Y2508:Y2525,$B2532)+COUNTIF(Y2508:Y2525,$B2532&amp;" ~*")&gt;0))</f>
        <v/>
      </c>
    </row>
    <row r="2533" ht="15" customHeight="1">
      <c r="A2533" t="n">
        <v>51</v>
      </c>
      <c r="B2533" s="35">
        <f>IF(Setup!$B$12="","",Setup!$B$12)</f>
        <v/>
      </c>
      <c r="C2533" s="98" t="n"/>
      <c r="D2533" s="99" t="n"/>
      <c r="E2533" s="99" t="n"/>
      <c r="F2533" s="100" t="n"/>
      <c r="G2533" s="98" t="n"/>
      <c r="H2533" s="99" t="n"/>
      <c r="I2533" s="99" t="n"/>
      <c r="J2533" s="100" t="n"/>
      <c r="K2533" s="98" t="n"/>
      <c r="L2533" s="99" t="n"/>
      <c r="M2533" s="99" t="n"/>
      <c r="N2533" s="100" t="n"/>
      <c r="O2533" s="98" t="n"/>
      <c r="P2533" s="99" t="n"/>
      <c r="Q2533" s="99" t="n"/>
      <c r="R2533" s="100" t="n"/>
      <c r="S2533" s="98" t="inlineStr">
        <is>
          <t>AL</t>
        </is>
      </c>
      <c r="T2533" s="99" t="n"/>
      <c r="U2533" s="99" t="n"/>
      <c r="V2533" s="100" t="n"/>
      <c r="W2533" s="98" t="n"/>
      <c r="X2533" s="100" t="n"/>
      <c r="Y2533" s="98" t="n"/>
      <c r="Z2533" s="100" t="n"/>
      <c r="AB2533" s="101">
        <f>IF($B2533="","",(COUNTIF(C2508:E2525,$B2533)+COUNTIF(C2508:E2525,$B2533&amp;" ~*")&gt;0)+(COUNTIF(G2508:I2525,$B2533)+COUNTIF(G2508:I2525,$B2533&amp;" ~*")&gt;0)+(COUNTIF(K2508:M2525,$B2533)+COUNTIF(K2508:M2525,$B2533&amp;" ~*")&gt;0)+(COUNTIF(O2508:Q2525,$B2533)+COUNTIF(O2508:Q2525,$B2533&amp;" ~*")&gt;0)+(COUNTIF(S2508:U2525,$B2533)+COUNTIF(S2508:U2525,$B2533&amp;" ~*")&gt;0)+(COUNTIF(W2508:W2525,$B2533)+COUNTIF(W2508:W2525,$B2533&amp;" ~*")&gt;0)+(COUNTIF(Y2508:Y2525,$B2533)+COUNTIF(Y2508:Y2525,$B2533&amp;" ~*")&gt;0))</f>
        <v/>
      </c>
      <c r="AC2533" s="36">
        <f>IF($B2533="","",(IFERROR(INDEX(Setup!$G$33:$G$40,MATCH(C2533,Setup!$B$33:$B$40,0)),0)=1)*(COUNTIF(C2508:E2525,$B2533)+COUNTIF(C2508:E2525,$B2533&amp;" ~*")&gt;0)+(IFERROR(INDEX(Setup!$G$33:$G$40,MATCH(G2533,Setup!$B$33:$B$40,0)),0)=1)*(COUNTIF(G2508:I2525,$B2533)+COUNTIF(G2508:I2525,$B2533&amp;" ~*")&gt;0)+(IFERROR(INDEX(Setup!$G$33:$G$40,MATCH(K2533,Setup!$B$33:$B$40,0)),0)=1)*(COUNTIF(K2508:M2525,$B2533)+COUNTIF(K2508:M2525,$B2533&amp;" ~*")&gt;0)+(IFERROR(INDEX(Setup!$G$33:$G$40,MATCH(O2533,Setup!$B$33:$B$40,0)),0)=1)*(COUNTIF(O2508:Q2525,$B2533)+COUNTIF(O2508:Q2525,$B2533&amp;" ~*")&gt;0)+(IFERROR(INDEX(Setup!$G$33:$G$40,MATCH(S2533,Setup!$B$33:$B$40,0)),0)=1)*(COUNTIF(S2508:U2525,$B2533)+COUNTIF(S2508:U2525,$B2533&amp;" ~*")&gt;0)+(IFERROR(INDEX(Setup!$G$33:$G$40,MATCH(W2533,Setup!$B$33:$B$40,0)),0)=1)*(COUNTIF(W2508:W2525,$B2533)+COUNTIF(W2508:W2525,$B2533&amp;" ~*")&gt;0)+(IFERROR(INDEX(Setup!$G$33:$G$40,MATCH(Y2533,Setup!$B$33:$B$40,0)),0)=1)*(COUNTIF(Y2508:Y2525,$B2533)+COUNTIF(Y2508:Y2525,$B2533&amp;" ~*")&gt;0))</f>
        <v/>
      </c>
    </row>
    <row r="2534" ht="15" customHeight="1">
      <c r="A2534" t="n">
        <v>51</v>
      </c>
      <c r="B2534" s="37">
        <f>IF(Setup!$B$13="","",Setup!$B$13)</f>
        <v/>
      </c>
      <c r="C2534" s="102" t="n"/>
      <c r="D2534" s="103" t="n"/>
      <c r="E2534" s="103" t="n"/>
      <c r="F2534" s="104" t="n"/>
      <c r="G2534" s="102" t="n"/>
      <c r="H2534" s="103" t="n"/>
      <c r="I2534" s="103" t="n"/>
      <c r="J2534" s="104" t="n"/>
      <c r="K2534" s="102" t="inlineStr">
        <is>
          <t>AL</t>
        </is>
      </c>
      <c r="L2534" s="103" t="n"/>
      <c r="M2534" s="103" t="n"/>
      <c r="N2534" s="104" t="n"/>
      <c r="O2534" s="102" t="inlineStr">
        <is>
          <t>AL</t>
        </is>
      </c>
      <c r="P2534" s="103" t="n"/>
      <c r="Q2534" s="103" t="n"/>
      <c r="R2534" s="104" t="n"/>
      <c r="S2534" s="102" t="inlineStr">
        <is>
          <t>AL</t>
        </is>
      </c>
      <c r="T2534" s="103" t="n"/>
      <c r="U2534" s="103" t="n"/>
      <c r="V2534" s="104" t="n"/>
      <c r="W2534" s="102" t="n"/>
      <c r="X2534" s="104" t="n"/>
      <c r="Y2534" s="102" t="n"/>
      <c r="Z2534" s="104" t="n"/>
      <c r="AB2534" s="105">
        <f>IF($B2534="","",(COUNTIF(C2508:E2525,$B2534)+COUNTIF(C2508:E2525,$B2534&amp;" ~*")&gt;0)+(COUNTIF(G2508:I2525,$B2534)+COUNTIF(G2508:I2525,$B2534&amp;" ~*")&gt;0)+(COUNTIF(K2508:M2525,$B2534)+COUNTIF(K2508:M2525,$B2534&amp;" ~*")&gt;0)+(COUNTIF(O2508:Q2525,$B2534)+COUNTIF(O2508:Q2525,$B2534&amp;" ~*")&gt;0)+(COUNTIF(S2508:U2525,$B2534)+COUNTIF(S2508:U2525,$B2534&amp;" ~*")&gt;0)+(COUNTIF(W2508:W2525,$B2534)+COUNTIF(W2508:W2525,$B2534&amp;" ~*")&gt;0)+(COUNTIF(Y2508:Y2525,$B2534)+COUNTIF(Y2508:Y2525,$B2534&amp;" ~*")&gt;0))</f>
        <v/>
      </c>
      <c r="AC2534" s="38">
        <f>IF($B2534="","",(IFERROR(INDEX(Setup!$G$33:$G$40,MATCH(C2534,Setup!$B$33:$B$40,0)),0)=1)*(COUNTIF(C2508:E2525,$B2534)+COUNTIF(C2508:E2525,$B2534&amp;" ~*")&gt;0)+(IFERROR(INDEX(Setup!$G$33:$G$40,MATCH(G2534,Setup!$B$33:$B$40,0)),0)=1)*(COUNTIF(G2508:I2525,$B2534)+COUNTIF(G2508:I2525,$B2534&amp;" ~*")&gt;0)+(IFERROR(INDEX(Setup!$G$33:$G$40,MATCH(K2534,Setup!$B$33:$B$40,0)),0)=1)*(COUNTIF(K2508:M2525,$B2534)+COUNTIF(K2508:M2525,$B2534&amp;" ~*")&gt;0)+(IFERROR(INDEX(Setup!$G$33:$G$40,MATCH(O2534,Setup!$B$33:$B$40,0)),0)=1)*(COUNTIF(O2508:Q2525,$B2534)+COUNTIF(O2508:Q2525,$B2534&amp;" ~*")&gt;0)+(IFERROR(INDEX(Setup!$G$33:$G$40,MATCH(S2534,Setup!$B$33:$B$40,0)),0)=1)*(COUNTIF(S2508:U2525,$B2534)+COUNTIF(S2508:U2525,$B2534&amp;" ~*")&gt;0)+(IFERROR(INDEX(Setup!$G$33:$G$40,MATCH(W2534,Setup!$B$33:$B$40,0)),0)=1)*(COUNTIF(W2508:W2525,$B2534)+COUNTIF(W2508:W2525,$B2534&amp;" ~*")&gt;0)+(IFERROR(INDEX(Setup!$G$33:$G$40,MATCH(Y2534,Setup!$B$33:$B$40,0)),0)=1)*(COUNTIF(Y2508:Y2525,$B2534)+COUNTIF(Y2508:Y2525,$B2534&amp;" ~*")&gt;0))</f>
        <v/>
      </c>
    </row>
    <row r="2535" ht="15" customHeight="1">
      <c r="A2535" t="n">
        <v>51</v>
      </c>
      <c r="B2535" s="35">
        <f>IF(Setup!$B$14="","",Setup!$B$14)</f>
        <v/>
      </c>
      <c r="C2535" s="98" t="n"/>
      <c r="D2535" s="99" t="n"/>
      <c r="E2535" s="99" t="n"/>
      <c r="F2535" s="100" t="n"/>
      <c r="G2535" s="98" t="n"/>
      <c r="H2535" s="99" t="n"/>
      <c r="I2535" s="99" t="n"/>
      <c r="J2535" s="100" t="n"/>
      <c r="K2535" s="98" t="n"/>
      <c r="L2535" s="99" t="n"/>
      <c r="M2535" s="99" t="n"/>
      <c r="N2535" s="100" t="n"/>
      <c r="O2535" s="98" t="n"/>
      <c r="P2535" s="99" t="n"/>
      <c r="Q2535" s="99" t="n"/>
      <c r="R2535" s="100" t="n"/>
      <c r="S2535" s="98" t="n"/>
      <c r="T2535" s="99" t="n"/>
      <c r="U2535" s="99" t="n"/>
      <c r="V2535" s="100" t="n"/>
      <c r="W2535" s="98" t="n"/>
      <c r="X2535" s="100" t="n"/>
      <c r="Y2535" s="98" t="n"/>
      <c r="Z2535" s="100" t="n"/>
      <c r="AB2535" s="101">
        <f>IF($B2535="","",(COUNTIF(C2508:E2525,$B2535)+COUNTIF(C2508:E2525,$B2535&amp;" ~*")&gt;0)+(COUNTIF(G2508:I2525,$B2535)+COUNTIF(G2508:I2525,$B2535&amp;" ~*")&gt;0)+(COUNTIF(K2508:M2525,$B2535)+COUNTIF(K2508:M2525,$B2535&amp;" ~*")&gt;0)+(COUNTIF(O2508:Q2525,$B2535)+COUNTIF(O2508:Q2525,$B2535&amp;" ~*")&gt;0)+(COUNTIF(S2508:U2525,$B2535)+COUNTIF(S2508:U2525,$B2535&amp;" ~*")&gt;0)+(COUNTIF(W2508:W2525,$B2535)+COUNTIF(W2508:W2525,$B2535&amp;" ~*")&gt;0)+(COUNTIF(Y2508:Y2525,$B2535)+COUNTIF(Y2508:Y2525,$B2535&amp;" ~*")&gt;0))</f>
        <v/>
      </c>
      <c r="AC2535" s="36">
        <f>IF($B2535="","",(IFERROR(INDEX(Setup!$G$33:$G$40,MATCH(C2535,Setup!$B$33:$B$40,0)),0)=1)*(COUNTIF(C2508:E2525,$B2535)+COUNTIF(C2508:E2525,$B2535&amp;" ~*")&gt;0)+(IFERROR(INDEX(Setup!$G$33:$G$40,MATCH(G2535,Setup!$B$33:$B$40,0)),0)=1)*(COUNTIF(G2508:I2525,$B2535)+COUNTIF(G2508:I2525,$B2535&amp;" ~*")&gt;0)+(IFERROR(INDEX(Setup!$G$33:$G$40,MATCH(K2535,Setup!$B$33:$B$40,0)),0)=1)*(COUNTIF(K2508:M2525,$B2535)+COUNTIF(K2508:M2525,$B2535&amp;" ~*")&gt;0)+(IFERROR(INDEX(Setup!$G$33:$G$40,MATCH(O2535,Setup!$B$33:$B$40,0)),0)=1)*(COUNTIF(O2508:Q2525,$B2535)+COUNTIF(O2508:Q2525,$B2535&amp;" ~*")&gt;0)+(IFERROR(INDEX(Setup!$G$33:$G$40,MATCH(S2535,Setup!$B$33:$B$40,0)),0)=1)*(COUNTIF(S2508:U2525,$B2535)+COUNTIF(S2508:U2525,$B2535&amp;" ~*")&gt;0)+(IFERROR(INDEX(Setup!$G$33:$G$40,MATCH(W2535,Setup!$B$33:$B$40,0)),0)=1)*(COUNTIF(W2508:W2525,$B2535)+COUNTIF(W2508:W2525,$B2535&amp;" ~*")&gt;0)+(IFERROR(INDEX(Setup!$G$33:$G$40,MATCH(Y2535,Setup!$B$33:$B$40,0)),0)=1)*(COUNTIF(Y2508:Y2525,$B2535)+COUNTIF(Y2508:Y2525,$B2535&amp;" ~*")&gt;0))</f>
        <v/>
      </c>
    </row>
    <row r="2536" ht="15" customHeight="1">
      <c r="A2536" t="n">
        <v>51</v>
      </c>
      <c r="B2536" s="37">
        <f>IF(Setup!$B$15="","",Setup!$B$15)</f>
        <v/>
      </c>
      <c r="C2536" s="102" t="inlineStr">
        <is>
          <t>AL</t>
        </is>
      </c>
      <c r="D2536" s="103" t="n"/>
      <c r="E2536" s="103" t="n"/>
      <c r="F2536" s="104" t="n"/>
      <c r="G2536" s="102" t="inlineStr">
        <is>
          <t>AL</t>
        </is>
      </c>
      <c r="H2536" s="103" t="n"/>
      <c r="I2536" s="103" t="n"/>
      <c r="J2536" s="104" t="n"/>
      <c r="K2536" s="102" t="inlineStr">
        <is>
          <t>AL</t>
        </is>
      </c>
      <c r="L2536" s="103" t="n"/>
      <c r="M2536" s="103" t="n"/>
      <c r="N2536" s="104" t="n"/>
      <c r="O2536" s="102" t="inlineStr">
        <is>
          <t>AL</t>
        </is>
      </c>
      <c r="P2536" s="103" t="n"/>
      <c r="Q2536" s="103" t="n"/>
      <c r="R2536" s="104" t="n"/>
      <c r="S2536" s="102" t="inlineStr">
        <is>
          <t>AL</t>
        </is>
      </c>
      <c r="T2536" s="103" t="n"/>
      <c r="U2536" s="103" t="n"/>
      <c r="V2536" s="104" t="n"/>
      <c r="W2536" s="102" t="n"/>
      <c r="X2536" s="104" t="n"/>
      <c r="Y2536" s="102" t="n"/>
      <c r="Z2536" s="104" t="n"/>
      <c r="AB2536" s="105">
        <f>IF($B2536="","",(COUNTIF(C2508:E2525,$B2536)+COUNTIF(C2508:E2525,$B2536&amp;" ~*")&gt;0)+(COUNTIF(G2508:I2525,$B2536)+COUNTIF(G2508:I2525,$B2536&amp;" ~*")&gt;0)+(COUNTIF(K2508:M2525,$B2536)+COUNTIF(K2508:M2525,$B2536&amp;" ~*")&gt;0)+(COUNTIF(O2508:Q2525,$B2536)+COUNTIF(O2508:Q2525,$B2536&amp;" ~*")&gt;0)+(COUNTIF(S2508:U2525,$B2536)+COUNTIF(S2508:U2525,$B2536&amp;" ~*")&gt;0)+(COUNTIF(W2508:W2525,$B2536)+COUNTIF(W2508:W2525,$B2536&amp;" ~*")&gt;0)+(COUNTIF(Y2508:Y2525,$B2536)+COUNTIF(Y2508:Y2525,$B2536&amp;" ~*")&gt;0))</f>
        <v/>
      </c>
      <c r="AC2536" s="38">
        <f>IF($B2536="","",(IFERROR(INDEX(Setup!$G$33:$G$40,MATCH(C2536,Setup!$B$33:$B$40,0)),0)=1)*(COUNTIF(C2508:E2525,$B2536)+COUNTIF(C2508:E2525,$B2536&amp;" ~*")&gt;0)+(IFERROR(INDEX(Setup!$G$33:$G$40,MATCH(G2536,Setup!$B$33:$B$40,0)),0)=1)*(COUNTIF(G2508:I2525,$B2536)+COUNTIF(G2508:I2525,$B2536&amp;" ~*")&gt;0)+(IFERROR(INDEX(Setup!$G$33:$G$40,MATCH(K2536,Setup!$B$33:$B$40,0)),0)=1)*(COUNTIF(K2508:M2525,$B2536)+COUNTIF(K2508:M2525,$B2536&amp;" ~*")&gt;0)+(IFERROR(INDEX(Setup!$G$33:$G$40,MATCH(O2536,Setup!$B$33:$B$40,0)),0)=1)*(COUNTIF(O2508:Q2525,$B2536)+COUNTIF(O2508:Q2525,$B2536&amp;" ~*")&gt;0)+(IFERROR(INDEX(Setup!$G$33:$G$40,MATCH(S2536,Setup!$B$33:$B$40,0)),0)=1)*(COUNTIF(S2508:U2525,$B2536)+COUNTIF(S2508:U2525,$B2536&amp;" ~*")&gt;0)+(IFERROR(INDEX(Setup!$G$33:$G$40,MATCH(W2536,Setup!$B$33:$B$40,0)),0)=1)*(COUNTIF(W2508:W2525,$B2536)+COUNTIF(W2508:W2525,$B2536&amp;" ~*")&gt;0)+(IFERROR(INDEX(Setup!$G$33:$G$40,MATCH(Y2536,Setup!$B$33:$B$40,0)),0)=1)*(COUNTIF(Y2508:Y2525,$B2536)+COUNTIF(Y2508:Y2525,$B2536&amp;" ~*")&gt;0))</f>
        <v/>
      </c>
    </row>
    <row r="2537" ht="15" customHeight="1">
      <c r="A2537" t="n">
        <v>51</v>
      </c>
      <c r="B2537" s="35">
        <f>IF(Setup!$B$16="","",Setup!$B$16)</f>
        <v/>
      </c>
      <c r="C2537" s="98" t="n"/>
      <c r="D2537" s="99" t="n"/>
      <c r="E2537" s="99" t="n"/>
      <c r="F2537" s="100" t="n"/>
      <c r="G2537" s="98" t="n"/>
      <c r="H2537" s="99" t="n"/>
      <c r="I2537" s="99" t="n"/>
      <c r="J2537" s="100" t="n"/>
      <c r="K2537" s="98" t="n"/>
      <c r="L2537" s="99" t="n"/>
      <c r="M2537" s="99" t="n"/>
      <c r="N2537" s="100" t="n"/>
      <c r="O2537" s="98" t="n"/>
      <c r="P2537" s="99" t="n"/>
      <c r="Q2537" s="99" t="n"/>
      <c r="R2537" s="100" t="n"/>
      <c r="S2537" s="98" t="n"/>
      <c r="T2537" s="99" t="n"/>
      <c r="U2537" s="99" t="n"/>
      <c r="V2537" s="100" t="n"/>
      <c r="W2537" s="98" t="n"/>
      <c r="X2537" s="100" t="n"/>
      <c r="Y2537" s="98" t="n"/>
      <c r="Z2537" s="100" t="n"/>
      <c r="AB2537" s="101">
        <f>IF($B2537="","",(COUNTIF(C2508:E2525,$B2537)+COUNTIF(C2508:E2525,$B2537&amp;" ~*")&gt;0)+(COUNTIF(G2508:I2525,$B2537)+COUNTIF(G2508:I2525,$B2537&amp;" ~*")&gt;0)+(COUNTIF(K2508:M2525,$B2537)+COUNTIF(K2508:M2525,$B2537&amp;" ~*")&gt;0)+(COUNTIF(O2508:Q2525,$B2537)+COUNTIF(O2508:Q2525,$B2537&amp;" ~*")&gt;0)+(COUNTIF(S2508:U2525,$B2537)+COUNTIF(S2508:U2525,$B2537&amp;" ~*")&gt;0)+(COUNTIF(W2508:W2525,$B2537)+COUNTIF(W2508:W2525,$B2537&amp;" ~*")&gt;0)+(COUNTIF(Y2508:Y2525,$B2537)+COUNTIF(Y2508:Y2525,$B2537&amp;" ~*")&gt;0))</f>
        <v/>
      </c>
      <c r="AC2537" s="36">
        <f>IF($B2537="","",(IFERROR(INDEX(Setup!$G$33:$G$40,MATCH(C2537,Setup!$B$33:$B$40,0)),0)=1)*(COUNTIF(C2508:E2525,$B2537)+COUNTIF(C2508:E2525,$B2537&amp;" ~*")&gt;0)+(IFERROR(INDEX(Setup!$G$33:$G$40,MATCH(G2537,Setup!$B$33:$B$40,0)),0)=1)*(COUNTIF(G2508:I2525,$B2537)+COUNTIF(G2508:I2525,$B2537&amp;" ~*")&gt;0)+(IFERROR(INDEX(Setup!$G$33:$G$40,MATCH(K2537,Setup!$B$33:$B$40,0)),0)=1)*(COUNTIF(K2508:M2525,$B2537)+COUNTIF(K2508:M2525,$B2537&amp;" ~*")&gt;0)+(IFERROR(INDEX(Setup!$G$33:$G$40,MATCH(O2537,Setup!$B$33:$B$40,0)),0)=1)*(COUNTIF(O2508:Q2525,$B2537)+COUNTIF(O2508:Q2525,$B2537&amp;" ~*")&gt;0)+(IFERROR(INDEX(Setup!$G$33:$G$40,MATCH(S2537,Setup!$B$33:$B$40,0)),0)=1)*(COUNTIF(S2508:U2525,$B2537)+COUNTIF(S2508:U2525,$B2537&amp;" ~*")&gt;0)+(IFERROR(INDEX(Setup!$G$33:$G$40,MATCH(W2537,Setup!$B$33:$B$40,0)),0)=1)*(COUNTIF(W2508:W2525,$B2537)+COUNTIF(W2508:W2525,$B2537&amp;" ~*")&gt;0)+(IFERROR(INDEX(Setup!$G$33:$G$40,MATCH(Y2537,Setup!$B$33:$B$40,0)),0)=1)*(COUNTIF(Y2508:Y2525,$B2537)+COUNTIF(Y2508:Y2525,$B2537&amp;" ~*")&gt;0))</f>
        <v/>
      </c>
    </row>
    <row r="2538" ht="15" customHeight="1">
      <c r="A2538" t="n">
        <v>51</v>
      </c>
      <c r="B2538" s="37">
        <f>IF(Setup!$B$17="","",Setup!$B$17)</f>
        <v/>
      </c>
      <c r="C2538" s="102" t="n"/>
      <c r="D2538" s="103" t="n"/>
      <c r="E2538" s="103" t="n"/>
      <c r="F2538" s="104" t="n"/>
      <c r="G2538" s="102" t="n"/>
      <c r="H2538" s="103" t="n"/>
      <c r="I2538" s="103" t="n"/>
      <c r="J2538" s="104" t="n"/>
      <c r="K2538" s="102" t="n"/>
      <c r="L2538" s="103" t="n"/>
      <c r="M2538" s="103" t="n"/>
      <c r="N2538" s="104" t="n"/>
      <c r="O2538" s="102" t="n"/>
      <c r="P2538" s="103" t="n"/>
      <c r="Q2538" s="103" t="n"/>
      <c r="R2538" s="104" t="n"/>
      <c r="S2538" s="102" t="n"/>
      <c r="T2538" s="103" t="n"/>
      <c r="U2538" s="103" t="n"/>
      <c r="V2538" s="104" t="n"/>
      <c r="W2538" s="102" t="n"/>
      <c r="X2538" s="104" t="n"/>
      <c r="Y2538" s="102" t="n"/>
      <c r="Z2538" s="104" t="n"/>
      <c r="AB2538" s="105">
        <f>IF($B2538="","",(COUNTIF(C2508:E2525,$B2538)+COUNTIF(C2508:E2525,$B2538&amp;" ~*")&gt;0)+(COUNTIF(G2508:I2525,$B2538)+COUNTIF(G2508:I2525,$B2538&amp;" ~*")&gt;0)+(COUNTIF(K2508:M2525,$B2538)+COUNTIF(K2508:M2525,$B2538&amp;" ~*")&gt;0)+(COUNTIF(O2508:Q2525,$B2538)+COUNTIF(O2508:Q2525,$B2538&amp;" ~*")&gt;0)+(COUNTIF(S2508:U2525,$B2538)+COUNTIF(S2508:U2525,$B2538&amp;" ~*")&gt;0)+(COUNTIF(W2508:W2525,$B2538)+COUNTIF(W2508:W2525,$B2538&amp;" ~*")&gt;0)+(COUNTIF(Y2508:Y2525,$B2538)+COUNTIF(Y2508:Y2525,$B2538&amp;" ~*")&gt;0))</f>
        <v/>
      </c>
      <c r="AC2538" s="38">
        <f>IF($B2538="","",(IFERROR(INDEX(Setup!$G$33:$G$40,MATCH(C2538,Setup!$B$33:$B$40,0)),0)=1)*(COUNTIF(C2508:E2525,$B2538)+COUNTIF(C2508:E2525,$B2538&amp;" ~*")&gt;0)+(IFERROR(INDEX(Setup!$G$33:$G$40,MATCH(G2538,Setup!$B$33:$B$40,0)),0)=1)*(COUNTIF(G2508:I2525,$B2538)+COUNTIF(G2508:I2525,$B2538&amp;" ~*")&gt;0)+(IFERROR(INDEX(Setup!$G$33:$G$40,MATCH(K2538,Setup!$B$33:$B$40,0)),0)=1)*(COUNTIF(K2508:M2525,$B2538)+COUNTIF(K2508:M2525,$B2538&amp;" ~*")&gt;0)+(IFERROR(INDEX(Setup!$G$33:$G$40,MATCH(O2538,Setup!$B$33:$B$40,0)),0)=1)*(COUNTIF(O2508:Q2525,$B2538)+COUNTIF(O2508:Q2525,$B2538&amp;" ~*")&gt;0)+(IFERROR(INDEX(Setup!$G$33:$G$40,MATCH(S2538,Setup!$B$33:$B$40,0)),0)=1)*(COUNTIF(S2508:U2525,$B2538)+COUNTIF(S2508:U2525,$B2538&amp;" ~*")&gt;0)+(IFERROR(INDEX(Setup!$G$33:$G$40,MATCH(W2538,Setup!$B$33:$B$40,0)),0)=1)*(COUNTIF(W2508:W2525,$B2538)+COUNTIF(W2508:W2525,$B2538&amp;" ~*")&gt;0)+(IFERROR(INDEX(Setup!$G$33:$G$40,MATCH(Y2538,Setup!$B$33:$B$40,0)),0)=1)*(COUNTIF(Y2508:Y2525,$B2538)+COUNTIF(Y2508:Y2525,$B2538&amp;" ~*")&gt;0))</f>
        <v/>
      </c>
    </row>
    <row r="2539" ht="15" customHeight="1">
      <c r="A2539" t="n">
        <v>51</v>
      </c>
      <c r="B2539" s="35">
        <f>IF(Setup!$B$18="","",Setup!$B$18)</f>
        <v/>
      </c>
      <c r="C2539" s="98" t="n"/>
      <c r="D2539" s="99" t="n"/>
      <c r="E2539" s="99" t="n"/>
      <c r="F2539" s="100" t="n"/>
      <c r="G2539" s="98" t="n"/>
      <c r="H2539" s="99" t="n"/>
      <c r="I2539" s="99" t="n"/>
      <c r="J2539" s="100" t="n"/>
      <c r="K2539" s="98" t="n"/>
      <c r="L2539" s="99" t="n"/>
      <c r="M2539" s="99" t="n"/>
      <c r="N2539" s="100" t="n"/>
      <c r="O2539" s="98" t="n"/>
      <c r="P2539" s="99" t="n"/>
      <c r="Q2539" s="99" t="n"/>
      <c r="R2539" s="100" t="n"/>
      <c r="S2539" s="98" t="n"/>
      <c r="T2539" s="99" t="n"/>
      <c r="U2539" s="99" t="n"/>
      <c r="V2539" s="100" t="n"/>
      <c r="W2539" s="98" t="n"/>
      <c r="X2539" s="100" t="n"/>
      <c r="Y2539" s="98" t="n"/>
      <c r="Z2539" s="100" t="n"/>
      <c r="AB2539" s="101">
        <f>IF($B2539="","",(COUNTIF(C2508:E2525,$B2539)+COUNTIF(C2508:E2525,$B2539&amp;" ~*")&gt;0)+(COUNTIF(G2508:I2525,$B2539)+COUNTIF(G2508:I2525,$B2539&amp;" ~*")&gt;0)+(COUNTIF(K2508:M2525,$B2539)+COUNTIF(K2508:M2525,$B2539&amp;" ~*")&gt;0)+(COUNTIF(O2508:Q2525,$B2539)+COUNTIF(O2508:Q2525,$B2539&amp;" ~*")&gt;0)+(COUNTIF(S2508:U2525,$B2539)+COUNTIF(S2508:U2525,$B2539&amp;" ~*")&gt;0)+(COUNTIF(W2508:W2525,$B2539)+COUNTIF(W2508:W2525,$B2539&amp;" ~*")&gt;0)+(COUNTIF(Y2508:Y2525,$B2539)+COUNTIF(Y2508:Y2525,$B2539&amp;" ~*")&gt;0))</f>
        <v/>
      </c>
      <c r="AC2539" s="36">
        <f>IF($B2539="","",(IFERROR(INDEX(Setup!$G$33:$G$40,MATCH(C2539,Setup!$B$33:$B$40,0)),0)=1)*(COUNTIF(C2508:E2525,$B2539)+COUNTIF(C2508:E2525,$B2539&amp;" ~*")&gt;0)+(IFERROR(INDEX(Setup!$G$33:$G$40,MATCH(G2539,Setup!$B$33:$B$40,0)),0)=1)*(COUNTIF(G2508:I2525,$B2539)+COUNTIF(G2508:I2525,$B2539&amp;" ~*")&gt;0)+(IFERROR(INDEX(Setup!$G$33:$G$40,MATCH(K2539,Setup!$B$33:$B$40,0)),0)=1)*(COUNTIF(K2508:M2525,$B2539)+COUNTIF(K2508:M2525,$B2539&amp;" ~*")&gt;0)+(IFERROR(INDEX(Setup!$G$33:$G$40,MATCH(O2539,Setup!$B$33:$B$40,0)),0)=1)*(COUNTIF(O2508:Q2525,$B2539)+COUNTIF(O2508:Q2525,$B2539&amp;" ~*")&gt;0)+(IFERROR(INDEX(Setup!$G$33:$G$40,MATCH(S2539,Setup!$B$33:$B$40,0)),0)=1)*(COUNTIF(S2508:U2525,$B2539)+COUNTIF(S2508:U2525,$B2539&amp;" ~*")&gt;0)+(IFERROR(INDEX(Setup!$G$33:$G$40,MATCH(W2539,Setup!$B$33:$B$40,0)),0)=1)*(COUNTIF(W2508:W2525,$B2539)+COUNTIF(W2508:W2525,$B2539&amp;" ~*")&gt;0)+(IFERROR(INDEX(Setup!$G$33:$G$40,MATCH(Y2539,Setup!$B$33:$B$40,0)),0)=1)*(COUNTIF(Y2508:Y2525,$B2539)+COUNTIF(Y2508:Y2525,$B2539&amp;" ~*")&gt;0))</f>
        <v/>
      </c>
    </row>
    <row r="2540" ht="15" customHeight="1">
      <c r="A2540" t="n">
        <v>51</v>
      </c>
      <c r="B2540" s="37">
        <f>IF(Setup!$B$19="","",Setup!$B$19)</f>
        <v/>
      </c>
      <c r="C2540" s="102" t="n"/>
      <c r="D2540" s="103" t="n"/>
      <c r="E2540" s="103" t="n"/>
      <c r="F2540" s="104" t="n"/>
      <c r="G2540" s="102" t="n"/>
      <c r="H2540" s="103" t="n"/>
      <c r="I2540" s="103" t="n"/>
      <c r="J2540" s="104" t="n"/>
      <c r="K2540" s="102" t="n"/>
      <c r="L2540" s="103" t="n"/>
      <c r="M2540" s="103" t="n"/>
      <c r="N2540" s="104" t="n"/>
      <c r="O2540" s="102" t="n"/>
      <c r="P2540" s="103" t="n"/>
      <c r="Q2540" s="103" t="n"/>
      <c r="R2540" s="104" t="n"/>
      <c r="S2540" s="102" t="inlineStr">
        <is>
          <t>AL</t>
        </is>
      </c>
      <c r="T2540" s="103" t="n"/>
      <c r="U2540" s="103" t="n"/>
      <c r="V2540" s="104" t="n"/>
      <c r="W2540" s="102" t="n"/>
      <c r="X2540" s="104" t="n"/>
      <c r="Y2540" s="102" t="n"/>
      <c r="Z2540" s="104" t="n"/>
      <c r="AB2540" s="105">
        <f>IF($B2540="","",(COUNTIF(C2508:E2525,$B2540)+COUNTIF(C2508:E2525,$B2540&amp;" ~*")&gt;0)+(COUNTIF(G2508:I2525,$B2540)+COUNTIF(G2508:I2525,$B2540&amp;" ~*")&gt;0)+(COUNTIF(K2508:M2525,$B2540)+COUNTIF(K2508:M2525,$B2540&amp;" ~*")&gt;0)+(COUNTIF(O2508:Q2525,$B2540)+COUNTIF(O2508:Q2525,$B2540&amp;" ~*")&gt;0)+(COUNTIF(S2508:U2525,$B2540)+COUNTIF(S2508:U2525,$B2540&amp;" ~*")&gt;0)+(COUNTIF(W2508:W2525,$B2540)+COUNTIF(W2508:W2525,$B2540&amp;" ~*")&gt;0)+(COUNTIF(Y2508:Y2525,$B2540)+COUNTIF(Y2508:Y2525,$B2540&amp;" ~*")&gt;0))</f>
        <v/>
      </c>
      <c r="AC2540" s="38">
        <f>IF($B2540="","",(IFERROR(INDEX(Setup!$G$33:$G$40,MATCH(C2540,Setup!$B$33:$B$40,0)),0)=1)*(COUNTIF(C2508:E2525,$B2540)+COUNTIF(C2508:E2525,$B2540&amp;" ~*")&gt;0)+(IFERROR(INDEX(Setup!$G$33:$G$40,MATCH(G2540,Setup!$B$33:$B$40,0)),0)=1)*(COUNTIF(G2508:I2525,$B2540)+COUNTIF(G2508:I2525,$B2540&amp;" ~*")&gt;0)+(IFERROR(INDEX(Setup!$G$33:$G$40,MATCH(K2540,Setup!$B$33:$B$40,0)),0)=1)*(COUNTIF(K2508:M2525,$B2540)+COUNTIF(K2508:M2525,$B2540&amp;" ~*")&gt;0)+(IFERROR(INDEX(Setup!$G$33:$G$40,MATCH(O2540,Setup!$B$33:$B$40,0)),0)=1)*(COUNTIF(O2508:Q2525,$B2540)+COUNTIF(O2508:Q2525,$B2540&amp;" ~*")&gt;0)+(IFERROR(INDEX(Setup!$G$33:$G$40,MATCH(S2540,Setup!$B$33:$B$40,0)),0)=1)*(COUNTIF(S2508:U2525,$B2540)+COUNTIF(S2508:U2525,$B2540&amp;" ~*")&gt;0)+(IFERROR(INDEX(Setup!$G$33:$G$40,MATCH(W2540,Setup!$B$33:$B$40,0)),0)=1)*(COUNTIF(W2508:W2525,$B2540)+COUNTIF(W2508:W2525,$B2540&amp;" ~*")&gt;0)+(IFERROR(INDEX(Setup!$G$33:$G$40,MATCH(Y2540,Setup!$B$33:$B$40,0)),0)=1)*(COUNTIF(Y2508:Y2525,$B2540)+COUNTIF(Y2508:Y2525,$B2540&amp;" ~*")&gt;0))</f>
        <v/>
      </c>
    </row>
    <row r="2541" ht="15" customHeight="1">
      <c r="A2541" t="n">
        <v>51</v>
      </c>
      <c r="B2541" s="35">
        <f>IF(Setup!$B$20="","",Setup!$B$20)</f>
        <v/>
      </c>
      <c r="C2541" s="98" t="n"/>
      <c r="D2541" s="99" t="n"/>
      <c r="E2541" s="99" t="n"/>
      <c r="F2541" s="100" t="n"/>
      <c r="G2541" s="98" t="n"/>
      <c r="H2541" s="99" t="n"/>
      <c r="I2541" s="99" t="n"/>
      <c r="J2541" s="100" t="n"/>
      <c r="K2541" s="98" t="n"/>
      <c r="L2541" s="99" t="n"/>
      <c r="M2541" s="99" t="n"/>
      <c r="N2541" s="100" t="n"/>
      <c r="O2541" s="98" t="n"/>
      <c r="P2541" s="99" t="n"/>
      <c r="Q2541" s="99" t="n"/>
      <c r="R2541" s="100" t="n"/>
      <c r="S2541" s="98" t="n"/>
      <c r="T2541" s="99" t="n"/>
      <c r="U2541" s="99" t="n"/>
      <c r="V2541" s="100" t="n"/>
      <c r="W2541" s="98" t="n"/>
      <c r="X2541" s="100" t="n"/>
      <c r="Y2541" s="98" t="n"/>
      <c r="Z2541" s="100" t="n"/>
      <c r="AB2541" s="101">
        <f>IF($B2541="","",(COUNTIF(C2508:E2525,$B2541)+COUNTIF(C2508:E2525,$B2541&amp;" ~*")&gt;0)+(COUNTIF(G2508:I2525,$B2541)+COUNTIF(G2508:I2525,$B2541&amp;" ~*")&gt;0)+(COUNTIF(K2508:M2525,$B2541)+COUNTIF(K2508:M2525,$B2541&amp;" ~*")&gt;0)+(COUNTIF(O2508:Q2525,$B2541)+COUNTIF(O2508:Q2525,$B2541&amp;" ~*")&gt;0)+(COUNTIF(S2508:U2525,$B2541)+COUNTIF(S2508:U2525,$B2541&amp;" ~*")&gt;0)+(COUNTIF(W2508:W2525,$B2541)+COUNTIF(W2508:W2525,$B2541&amp;" ~*")&gt;0)+(COUNTIF(Y2508:Y2525,$B2541)+COUNTIF(Y2508:Y2525,$B2541&amp;" ~*")&gt;0))</f>
        <v/>
      </c>
      <c r="AC2541" s="36">
        <f>IF($B2541="","",(IFERROR(INDEX(Setup!$G$33:$G$40,MATCH(C2541,Setup!$B$33:$B$40,0)),0)=1)*(COUNTIF(C2508:E2525,$B2541)+COUNTIF(C2508:E2525,$B2541&amp;" ~*")&gt;0)+(IFERROR(INDEX(Setup!$G$33:$G$40,MATCH(G2541,Setup!$B$33:$B$40,0)),0)=1)*(COUNTIF(G2508:I2525,$B2541)+COUNTIF(G2508:I2525,$B2541&amp;" ~*")&gt;0)+(IFERROR(INDEX(Setup!$G$33:$G$40,MATCH(K2541,Setup!$B$33:$B$40,0)),0)=1)*(COUNTIF(K2508:M2525,$B2541)+COUNTIF(K2508:M2525,$B2541&amp;" ~*")&gt;0)+(IFERROR(INDEX(Setup!$G$33:$G$40,MATCH(O2541,Setup!$B$33:$B$40,0)),0)=1)*(COUNTIF(O2508:Q2525,$B2541)+COUNTIF(O2508:Q2525,$B2541&amp;" ~*")&gt;0)+(IFERROR(INDEX(Setup!$G$33:$G$40,MATCH(S2541,Setup!$B$33:$B$40,0)),0)=1)*(COUNTIF(S2508:U2525,$B2541)+COUNTIF(S2508:U2525,$B2541&amp;" ~*")&gt;0)+(IFERROR(INDEX(Setup!$G$33:$G$40,MATCH(W2541,Setup!$B$33:$B$40,0)),0)=1)*(COUNTIF(W2508:W2525,$B2541)+COUNTIF(W2508:W2525,$B2541&amp;" ~*")&gt;0)+(IFERROR(INDEX(Setup!$G$33:$G$40,MATCH(Y2541,Setup!$B$33:$B$40,0)),0)=1)*(COUNTIF(Y2508:Y2525,$B2541)+COUNTIF(Y2508:Y2525,$B2541&amp;" ~*")&gt;0))</f>
        <v/>
      </c>
    </row>
    <row r="2542" ht="15" customHeight="1">
      <c r="A2542" t="n">
        <v>51</v>
      </c>
      <c r="B2542" s="37">
        <f>IF(Setup!$B$21="","",Setup!$B$21)</f>
        <v/>
      </c>
      <c r="C2542" s="102" t="n"/>
      <c r="D2542" s="103" t="n"/>
      <c r="E2542" s="103" t="n"/>
      <c r="F2542" s="104" t="n"/>
      <c r="G2542" s="102" t="n"/>
      <c r="H2542" s="103" t="n"/>
      <c r="I2542" s="103" t="n"/>
      <c r="J2542" s="104" t="n"/>
      <c r="K2542" s="102" t="n"/>
      <c r="L2542" s="103" t="n"/>
      <c r="M2542" s="103" t="n"/>
      <c r="N2542" s="104" t="n"/>
      <c r="O2542" s="102" t="n"/>
      <c r="P2542" s="103" t="n"/>
      <c r="Q2542" s="103" t="n"/>
      <c r="R2542" s="104" t="n"/>
      <c r="S2542" s="102" t="n"/>
      <c r="T2542" s="103" t="n"/>
      <c r="U2542" s="103" t="n"/>
      <c r="V2542" s="104" t="n"/>
      <c r="W2542" s="102" t="n"/>
      <c r="X2542" s="104" t="n"/>
      <c r="Y2542" s="102" t="n"/>
      <c r="Z2542" s="104" t="n"/>
      <c r="AB2542" s="105">
        <f>IF($B2542="","",(COUNTIF(C2508:E2525,$B2542)+COUNTIF(C2508:E2525,$B2542&amp;" ~*")&gt;0)+(COUNTIF(G2508:I2525,$B2542)+COUNTIF(G2508:I2525,$B2542&amp;" ~*")&gt;0)+(COUNTIF(K2508:M2525,$B2542)+COUNTIF(K2508:M2525,$B2542&amp;" ~*")&gt;0)+(COUNTIF(O2508:Q2525,$B2542)+COUNTIF(O2508:Q2525,$B2542&amp;" ~*")&gt;0)+(COUNTIF(S2508:U2525,$B2542)+COUNTIF(S2508:U2525,$B2542&amp;" ~*")&gt;0)+(COUNTIF(W2508:W2525,$B2542)+COUNTIF(W2508:W2525,$B2542&amp;" ~*")&gt;0)+(COUNTIF(Y2508:Y2525,$B2542)+COUNTIF(Y2508:Y2525,$B2542&amp;" ~*")&gt;0))</f>
        <v/>
      </c>
      <c r="AC2542" s="38">
        <f>IF($B2542="","",(IFERROR(INDEX(Setup!$G$33:$G$40,MATCH(C2542,Setup!$B$33:$B$40,0)),0)=1)*(COUNTIF(C2508:E2525,$B2542)+COUNTIF(C2508:E2525,$B2542&amp;" ~*")&gt;0)+(IFERROR(INDEX(Setup!$G$33:$G$40,MATCH(G2542,Setup!$B$33:$B$40,0)),0)=1)*(COUNTIF(G2508:I2525,$B2542)+COUNTIF(G2508:I2525,$B2542&amp;" ~*")&gt;0)+(IFERROR(INDEX(Setup!$G$33:$G$40,MATCH(K2542,Setup!$B$33:$B$40,0)),0)=1)*(COUNTIF(K2508:M2525,$B2542)+COUNTIF(K2508:M2525,$B2542&amp;" ~*")&gt;0)+(IFERROR(INDEX(Setup!$G$33:$G$40,MATCH(O2542,Setup!$B$33:$B$40,0)),0)=1)*(COUNTIF(O2508:Q2525,$B2542)+COUNTIF(O2508:Q2525,$B2542&amp;" ~*")&gt;0)+(IFERROR(INDEX(Setup!$G$33:$G$40,MATCH(S2542,Setup!$B$33:$B$40,0)),0)=1)*(COUNTIF(S2508:U2525,$B2542)+COUNTIF(S2508:U2525,$B2542&amp;" ~*")&gt;0)+(IFERROR(INDEX(Setup!$G$33:$G$40,MATCH(W2542,Setup!$B$33:$B$40,0)),0)=1)*(COUNTIF(W2508:W2525,$B2542)+COUNTIF(W2508:W2525,$B2542&amp;" ~*")&gt;0)+(IFERROR(INDEX(Setup!$G$33:$G$40,MATCH(Y2542,Setup!$B$33:$B$40,0)),0)=1)*(COUNTIF(Y2508:Y2525,$B2542)+COUNTIF(Y2508:Y2525,$B2542&amp;" ~*")&gt;0))</f>
        <v/>
      </c>
    </row>
    <row r="2543" ht="15" customHeight="1">
      <c r="A2543" t="n">
        <v>51</v>
      </c>
      <c r="B2543" s="35">
        <f>IF(Setup!$B$22="","",Setup!$B$22)</f>
        <v/>
      </c>
      <c r="C2543" s="98" t="inlineStr">
        <is>
          <t>AL</t>
        </is>
      </c>
      <c r="D2543" s="99" t="n"/>
      <c r="E2543" s="99" t="n"/>
      <c r="F2543" s="100" t="n"/>
      <c r="G2543" s="98" t="inlineStr">
        <is>
          <t>AL</t>
        </is>
      </c>
      <c r="H2543" s="99" t="n"/>
      <c r="I2543" s="99" t="n"/>
      <c r="J2543" s="100" t="n"/>
      <c r="K2543" s="98" t="inlineStr">
        <is>
          <t>AL</t>
        </is>
      </c>
      <c r="L2543" s="99" t="n"/>
      <c r="M2543" s="99" t="n"/>
      <c r="N2543" s="100" t="n"/>
      <c r="O2543" s="98" t="inlineStr">
        <is>
          <t>AL</t>
        </is>
      </c>
      <c r="P2543" s="99" t="n"/>
      <c r="Q2543" s="99" t="n"/>
      <c r="R2543" s="100" t="n"/>
      <c r="S2543" s="98" t="inlineStr">
        <is>
          <t>AL</t>
        </is>
      </c>
      <c r="T2543" s="99" t="n"/>
      <c r="U2543" s="99" t="n"/>
      <c r="V2543" s="100" t="n"/>
      <c r="W2543" s="98" t="n"/>
      <c r="X2543" s="100" t="n"/>
      <c r="Y2543" s="98" t="n"/>
      <c r="Z2543" s="100" t="n"/>
      <c r="AB2543" s="101">
        <f>IF($B2543="","",(COUNTIF(C2508:E2525,$B2543)+COUNTIF(C2508:E2525,$B2543&amp;" ~*")&gt;0)+(COUNTIF(G2508:I2525,$B2543)+COUNTIF(G2508:I2525,$B2543&amp;" ~*")&gt;0)+(COUNTIF(K2508:M2525,$B2543)+COUNTIF(K2508:M2525,$B2543&amp;" ~*")&gt;0)+(COUNTIF(O2508:Q2525,$B2543)+COUNTIF(O2508:Q2525,$B2543&amp;" ~*")&gt;0)+(COUNTIF(S2508:U2525,$B2543)+COUNTIF(S2508:U2525,$B2543&amp;" ~*")&gt;0)+(COUNTIF(W2508:W2525,$B2543)+COUNTIF(W2508:W2525,$B2543&amp;" ~*")&gt;0)+(COUNTIF(Y2508:Y2525,$B2543)+COUNTIF(Y2508:Y2525,$B2543&amp;" ~*")&gt;0))</f>
        <v/>
      </c>
      <c r="AC2543" s="36">
        <f>IF($B2543="","",(IFERROR(INDEX(Setup!$G$33:$G$40,MATCH(C2543,Setup!$B$33:$B$40,0)),0)=1)*(COUNTIF(C2508:E2525,$B2543)+COUNTIF(C2508:E2525,$B2543&amp;" ~*")&gt;0)+(IFERROR(INDEX(Setup!$G$33:$G$40,MATCH(G2543,Setup!$B$33:$B$40,0)),0)=1)*(COUNTIF(G2508:I2525,$B2543)+COUNTIF(G2508:I2525,$B2543&amp;" ~*")&gt;0)+(IFERROR(INDEX(Setup!$G$33:$G$40,MATCH(K2543,Setup!$B$33:$B$40,0)),0)=1)*(COUNTIF(K2508:M2525,$B2543)+COUNTIF(K2508:M2525,$B2543&amp;" ~*")&gt;0)+(IFERROR(INDEX(Setup!$G$33:$G$40,MATCH(O2543,Setup!$B$33:$B$40,0)),0)=1)*(COUNTIF(O2508:Q2525,$B2543)+COUNTIF(O2508:Q2525,$B2543&amp;" ~*")&gt;0)+(IFERROR(INDEX(Setup!$G$33:$G$40,MATCH(S2543,Setup!$B$33:$B$40,0)),0)=1)*(COUNTIF(S2508:U2525,$B2543)+COUNTIF(S2508:U2525,$B2543&amp;" ~*")&gt;0)+(IFERROR(INDEX(Setup!$G$33:$G$40,MATCH(W2543,Setup!$B$33:$B$40,0)),0)=1)*(COUNTIF(W2508:W2525,$B2543)+COUNTIF(W2508:W2525,$B2543&amp;" ~*")&gt;0)+(IFERROR(INDEX(Setup!$G$33:$G$40,MATCH(Y2543,Setup!$B$33:$B$40,0)),0)=1)*(COUNTIF(Y2508:Y2525,$B2543)+COUNTIF(Y2508:Y2525,$B2543&amp;" ~*")&gt;0))</f>
        <v/>
      </c>
    </row>
    <row r="2544" ht="15" customHeight="1">
      <c r="A2544" t="n">
        <v>51</v>
      </c>
      <c r="B2544" s="37">
        <f>IF(Setup!$B$23="","",Setup!$B$23)</f>
        <v/>
      </c>
      <c r="C2544" s="102" t="n"/>
      <c r="D2544" s="103" t="n"/>
      <c r="E2544" s="103" t="n"/>
      <c r="F2544" s="104" t="n"/>
      <c r="G2544" s="102" t="inlineStr">
        <is>
          <t>AL</t>
        </is>
      </c>
      <c r="H2544" s="103" t="n"/>
      <c r="I2544" s="103" t="n"/>
      <c r="J2544" s="104" t="n"/>
      <c r="K2544" s="102" t="inlineStr">
        <is>
          <t>AL</t>
        </is>
      </c>
      <c r="L2544" s="103" t="n"/>
      <c r="M2544" s="103" t="n"/>
      <c r="N2544" s="104" t="n"/>
      <c r="O2544" s="102" t="inlineStr">
        <is>
          <t>AL</t>
        </is>
      </c>
      <c r="P2544" s="103" t="n"/>
      <c r="Q2544" s="103" t="n"/>
      <c r="R2544" s="104" t="n"/>
      <c r="S2544" s="102" t="n"/>
      <c r="T2544" s="103" t="n"/>
      <c r="U2544" s="103" t="n"/>
      <c r="V2544" s="104" t="n"/>
      <c r="W2544" s="102" t="n"/>
      <c r="X2544" s="104" t="n"/>
      <c r="Y2544" s="102" t="n"/>
      <c r="Z2544" s="104" t="n"/>
      <c r="AB2544" s="105">
        <f>IF($B2544="","",(COUNTIF(C2508:E2525,$B2544)+COUNTIF(C2508:E2525,$B2544&amp;" ~*")&gt;0)+(COUNTIF(G2508:I2525,$B2544)+COUNTIF(G2508:I2525,$B2544&amp;" ~*")&gt;0)+(COUNTIF(K2508:M2525,$B2544)+COUNTIF(K2508:M2525,$B2544&amp;" ~*")&gt;0)+(COUNTIF(O2508:Q2525,$B2544)+COUNTIF(O2508:Q2525,$B2544&amp;" ~*")&gt;0)+(COUNTIF(S2508:U2525,$B2544)+COUNTIF(S2508:U2525,$B2544&amp;" ~*")&gt;0)+(COUNTIF(W2508:W2525,$B2544)+COUNTIF(W2508:W2525,$B2544&amp;" ~*")&gt;0)+(COUNTIF(Y2508:Y2525,$B2544)+COUNTIF(Y2508:Y2525,$B2544&amp;" ~*")&gt;0))</f>
        <v/>
      </c>
      <c r="AC2544" s="38">
        <f>IF($B2544="","",(IFERROR(INDEX(Setup!$G$33:$G$40,MATCH(C2544,Setup!$B$33:$B$40,0)),0)=1)*(COUNTIF(C2508:E2525,$B2544)+COUNTIF(C2508:E2525,$B2544&amp;" ~*")&gt;0)+(IFERROR(INDEX(Setup!$G$33:$G$40,MATCH(G2544,Setup!$B$33:$B$40,0)),0)=1)*(COUNTIF(G2508:I2525,$B2544)+COUNTIF(G2508:I2525,$B2544&amp;" ~*")&gt;0)+(IFERROR(INDEX(Setup!$G$33:$G$40,MATCH(K2544,Setup!$B$33:$B$40,0)),0)=1)*(COUNTIF(K2508:M2525,$B2544)+COUNTIF(K2508:M2525,$B2544&amp;" ~*")&gt;0)+(IFERROR(INDEX(Setup!$G$33:$G$40,MATCH(O2544,Setup!$B$33:$B$40,0)),0)=1)*(COUNTIF(O2508:Q2525,$B2544)+COUNTIF(O2508:Q2525,$B2544&amp;" ~*")&gt;0)+(IFERROR(INDEX(Setup!$G$33:$G$40,MATCH(S2544,Setup!$B$33:$B$40,0)),0)=1)*(COUNTIF(S2508:U2525,$B2544)+COUNTIF(S2508:U2525,$B2544&amp;" ~*")&gt;0)+(IFERROR(INDEX(Setup!$G$33:$G$40,MATCH(W2544,Setup!$B$33:$B$40,0)),0)=1)*(COUNTIF(W2508:W2525,$B2544)+COUNTIF(W2508:W2525,$B2544&amp;" ~*")&gt;0)+(IFERROR(INDEX(Setup!$G$33:$G$40,MATCH(Y2544,Setup!$B$33:$B$40,0)),0)=1)*(COUNTIF(Y2508:Y2525,$B2544)+COUNTIF(Y2508:Y2525,$B2544&amp;" ~*")&gt;0))</f>
        <v/>
      </c>
    </row>
    <row r="2545" ht="15" customHeight="1">
      <c r="A2545" t="n">
        <v>51</v>
      </c>
      <c r="B2545" s="35">
        <f>IF(Setup!$B$24="","",Setup!$B$24)</f>
        <v/>
      </c>
      <c r="C2545" s="98" t="n"/>
      <c r="D2545" s="99" t="n"/>
      <c r="E2545" s="99" t="n"/>
      <c r="F2545" s="100" t="n"/>
      <c r="G2545" s="98" t="n"/>
      <c r="H2545" s="99" t="n"/>
      <c r="I2545" s="99" t="n"/>
      <c r="J2545" s="100" t="n"/>
      <c r="K2545" s="98" t="n"/>
      <c r="L2545" s="99" t="n"/>
      <c r="M2545" s="99" t="n"/>
      <c r="N2545" s="100" t="n"/>
      <c r="O2545" s="98" t="n"/>
      <c r="P2545" s="99" t="n"/>
      <c r="Q2545" s="99" t="n"/>
      <c r="R2545" s="100" t="n"/>
      <c r="S2545" s="98" t="n"/>
      <c r="T2545" s="99" t="n"/>
      <c r="U2545" s="99" t="n"/>
      <c r="V2545" s="100" t="n"/>
      <c r="W2545" s="98" t="n"/>
      <c r="X2545" s="100" t="n"/>
      <c r="Y2545" s="98" t="n"/>
      <c r="Z2545" s="100" t="n"/>
      <c r="AB2545" s="101">
        <f>IF($B2545="","",(COUNTIF(C2508:E2525,$B2545)+COUNTIF(C2508:E2525,$B2545&amp;" ~*")&gt;0)+(COUNTIF(G2508:I2525,$B2545)+COUNTIF(G2508:I2525,$B2545&amp;" ~*")&gt;0)+(COUNTIF(K2508:M2525,$B2545)+COUNTIF(K2508:M2525,$B2545&amp;" ~*")&gt;0)+(COUNTIF(O2508:Q2525,$B2545)+COUNTIF(O2508:Q2525,$B2545&amp;" ~*")&gt;0)+(COUNTIF(S2508:U2525,$B2545)+COUNTIF(S2508:U2525,$B2545&amp;" ~*")&gt;0)+(COUNTIF(W2508:W2525,$B2545)+COUNTIF(W2508:W2525,$B2545&amp;" ~*")&gt;0)+(COUNTIF(Y2508:Y2525,$B2545)+COUNTIF(Y2508:Y2525,$B2545&amp;" ~*")&gt;0))</f>
        <v/>
      </c>
      <c r="AC2545" s="36">
        <f>IF($B2545="","",(IFERROR(INDEX(Setup!$G$33:$G$40,MATCH(C2545,Setup!$B$33:$B$40,0)),0)=1)*(COUNTIF(C2508:E2525,$B2545)+COUNTIF(C2508:E2525,$B2545&amp;" ~*")&gt;0)+(IFERROR(INDEX(Setup!$G$33:$G$40,MATCH(G2545,Setup!$B$33:$B$40,0)),0)=1)*(COUNTIF(G2508:I2525,$B2545)+COUNTIF(G2508:I2525,$B2545&amp;" ~*")&gt;0)+(IFERROR(INDEX(Setup!$G$33:$G$40,MATCH(K2545,Setup!$B$33:$B$40,0)),0)=1)*(COUNTIF(K2508:M2525,$B2545)+COUNTIF(K2508:M2525,$B2545&amp;" ~*")&gt;0)+(IFERROR(INDEX(Setup!$G$33:$G$40,MATCH(O2545,Setup!$B$33:$B$40,0)),0)=1)*(COUNTIF(O2508:Q2525,$B2545)+COUNTIF(O2508:Q2525,$B2545&amp;" ~*")&gt;0)+(IFERROR(INDEX(Setup!$G$33:$G$40,MATCH(S2545,Setup!$B$33:$B$40,0)),0)=1)*(COUNTIF(S2508:U2525,$B2545)+COUNTIF(S2508:U2525,$B2545&amp;" ~*")&gt;0)+(IFERROR(INDEX(Setup!$G$33:$G$40,MATCH(W2545,Setup!$B$33:$B$40,0)),0)=1)*(COUNTIF(W2508:W2525,$B2545)+COUNTIF(W2508:W2525,$B2545&amp;" ~*")&gt;0)+(IFERROR(INDEX(Setup!$G$33:$G$40,MATCH(Y2545,Setup!$B$33:$B$40,0)),0)=1)*(COUNTIF(Y2508:Y2525,$B2545)+COUNTIF(Y2508:Y2525,$B2545&amp;" ~*")&gt;0))</f>
        <v/>
      </c>
    </row>
    <row r="2546" ht="15" customHeight="1">
      <c r="A2546" t="n">
        <v>51</v>
      </c>
      <c r="B2546" s="37">
        <f>IF(Setup!$B$25="","",Setup!$B$25)</f>
        <v/>
      </c>
      <c r="C2546" s="102" t="n"/>
      <c r="D2546" s="103" t="n"/>
      <c r="E2546" s="103" t="n"/>
      <c r="F2546" s="104" t="n"/>
      <c r="G2546" s="102" t="n"/>
      <c r="H2546" s="103" t="n"/>
      <c r="I2546" s="103" t="n"/>
      <c r="J2546" s="104" t="n"/>
      <c r="K2546" s="102" t="n"/>
      <c r="L2546" s="103" t="n"/>
      <c r="M2546" s="103" t="n"/>
      <c r="N2546" s="104" t="n"/>
      <c r="O2546" s="102" t="n"/>
      <c r="P2546" s="103" t="n"/>
      <c r="Q2546" s="103" t="n"/>
      <c r="R2546" s="104" t="n"/>
      <c r="S2546" s="102" t="n"/>
      <c r="T2546" s="103" t="n"/>
      <c r="U2546" s="103" t="n"/>
      <c r="V2546" s="104" t="n"/>
      <c r="W2546" s="102" t="n"/>
      <c r="X2546" s="104" t="n"/>
      <c r="Y2546" s="102" t="n"/>
      <c r="Z2546" s="104" t="n"/>
      <c r="AB2546" s="105">
        <f>IF($B2546="","",(COUNTIF(C2508:E2525,$B2546)+COUNTIF(C2508:E2525,$B2546&amp;" ~*")&gt;0)+(COUNTIF(G2508:I2525,$B2546)+COUNTIF(G2508:I2525,$B2546&amp;" ~*")&gt;0)+(COUNTIF(K2508:M2525,$B2546)+COUNTIF(K2508:M2525,$B2546&amp;" ~*")&gt;0)+(COUNTIF(O2508:Q2525,$B2546)+COUNTIF(O2508:Q2525,$B2546&amp;" ~*")&gt;0)+(COUNTIF(S2508:U2525,$B2546)+COUNTIF(S2508:U2525,$B2546&amp;" ~*")&gt;0)+(COUNTIF(W2508:W2525,$B2546)+COUNTIF(W2508:W2525,$B2546&amp;" ~*")&gt;0)+(COUNTIF(Y2508:Y2525,$B2546)+COUNTIF(Y2508:Y2525,$B2546&amp;" ~*")&gt;0))</f>
        <v/>
      </c>
      <c r="AC2546" s="38">
        <f>IF($B2546="","",(IFERROR(INDEX(Setup!$G$33:$G$40,MATCH(C2546,Setup!$B$33:$B$40,0)),0)=1)*(COUNTIF(C2508:E2525,$B2546)+COUNTIF(C2508:E2525,$B2546&amp;" ~*")&gt;0)+(IFERROR(INDEX(Setup!$G$33:$G$40,MATCH(G2546,Setup!$B$33:$B$40,0)),0)=1)*(COUNTIF(G2508:I2525,$B2546)+COUNTIF(G2508:I2525,$B2546&amp;" ~*")&gt;0)+(IFERROR(INDEX(Setup!$G$33:$G$40,MATCH(K2546,Setup!$B$33:$B$40,0)),0)=1)*(COUNTIF(K2508:M2525,$B2546)+COUNTIF(K2508:M2525,$B2546&amp;" ~*")&gt;0)+(IFERROR(INDEX(Setup!$G$33:$G$40,MATCH(O2546,Setup!$B$33:$B$40,0)),0)=1)*(COUNTIF(O2508:Q2525,$B2546)+COUNTIF(O2508:Q2525,$B2546&amp;" ~*")&gt;0)+(IFERROR(INDEX(Setup!$G$33:$G$40,MATCH(S2546,Setup!$B$33:$B$40,0)),0)=1)*(COUNTIF(S2508:U2525,$B2546)+COUNTIF(S2508:U2525,$B2546&amp;" ~*")&gt;0)+(IFERROR(INDEX(Setup!$G$33:$G$40,MATCH(W2546,Setup!$B$33:$B$40,0)),0)=1)*(COUNTIF(W2508:W2525,$B2546)+COUNTIF(W2508:W2525,$B2546&amp;" ~*")&gt;0)+(IFERROR(INDEX(Setup!$G$33:$G$40,MATCH(Y2546,Setup!$B$33:$B$40,0)),0)=1)*(COUNTIF(Y2508:Y2525,$B2546)+COUNTIF(Y2508:Y2525,$B2546&amp;" ~*")&gt;0))</f>
        <v/>
      </c>
    </row>
    <row r="2547" ht="15" customHeight="1">
      <c r="A2547" t="n">
        <v>51</v>
      </c>
      <c r="B2547" s="35">
        <f>IF(Setup!$B$26="","",Setup!$B$26)</f>
        <v/>
      </c>
      <c r="C2547" s="98" t="n"/>
      <c r="D2547" s="99" t="n"/>
      <c r="E2547" s="99" t="n"/>
      <c r="F2547" s="100" t="n"/>
      <c r="G2547" s="98" t="n"/>
      <c r="H2547" s="99" t="n"/>
      <c r="I2547" s="99" t="n"/>
      <c r="J2547" s="100" t="n"/>
      <c r="K2547" s="98" t="n"/>
      <c r="L2547" s="99" t="n"/>
      <c r="M2547" s="99" t="n"/>
      <c r="N2547" s="100" t="n"/>
      <c r="O2547" s="98" t="n"/>
      <c r="P2547" s="99" t="n"/>
      <c r="Q2547" s="99" t="n"/>
      <c r="R2547" s="100" t="n"/>
      <c r="S2547" s="98" t="n"/>
      <c r="T2547" s="99" t="n"/>
      <c r="U2547" s="99" t="n"/>
      <c r="V2547" s="100" t="n"/>
      <c r="W2547" s="98" t="n"/>
      <c r="X2547" s="100" t="n"/>
      <c r="Y2547" s="98" t="n"/>
      <c r="Z2547" s="100" t="n"/>
      <c r="AB2547" s="101">
        <f>IF($B2547="","",(COUNTIF(C2508:E2525,$B2547)+COUNTIF(C2508:E2525,$B2547&amp;" ~*")&gt;0)+(COUNTIF(G2508:I2525,$B2547)+COUNTIF(G2508:I2525,$B2547&amp;" ~*")&gt;0)+(COUNTIF(K2508:M2525,$B2547)+COUNTIF(K2508:M2525,$B2547&amp;" ~*")&gt;0)+(COUNTIF(O2508:Q2525,$B2547)+COUNTIF(O2508:Q2525,$B2547&amp;" ~*")&gt;0)+(COUNTIF(S2508:U2525,$B2547)+COUNTIF(S2508:U2525,$B2547&amp;" ~*")&gt;0)+(COUNTIF(W2508:W2525,$B2547)+COUNTIF(W2508:W2525,$B2547&amp;" ~*")&gt;0)+(COUNTIF(Y2508:Y2525,$B2547)+COUNTIF(Y2508:Y2525,$B2547&amp;" ~*")&gt;0))</f>
        <v/>
      </c>
      <c r="AC2547" s="36">
        <f>IF($B2547="","",(IFERROR(INDEX(Setup!$G$33:$G$40,MATCH(C2547,Setup!$B$33:$B$40,0)),0)=1)*(COUNTIF(C2508:E2525,$B2547)+COUNTIF(C2508:E2525,$B2547&amp;" ~*")&gt;0)+(IFERROR(INDEX(Setup!$G$33:$G$40,MATCH(G2547,Setup!$B$33:$B$40,0)),0)=1)*(COUNTIF(G2508:I2525,$B2547)+COUNTIF(G2508:I2525,$B2547&amp;" ~*")&gt;0)+(IFERROR(INDEX(Setup!$G$33:$G$40,MATCH(K2547,Setup!$B$33:$B$40,0)),0)=1)*(COUNTIF(K2508:M2525,$B2547)+COUNTIF(K2508:M2525,$B2547&amp;" ~*")&gt;0)+(IFERROR(INDEX(Setup!$G$33:$G$40,MATCH(O2547,Setup!$B$33:$B$40,0)),0)=1)*(COUNTIF(O2508:Q2525,$B2547)+COUNTIF(O2508:Q2525,$B2547&amp;" ~*")&gt;0)+(IFERROR(INDEX(Setup!$G$33:$G$40,MATCH(S2547,Setup!$B$33:$B$40,0)),0)=1)*(COUNTIF(S2508:U2525,$B2547)+COUNTIF(S2508:U2525,$B2547&amp;" ~*")&gt;0)+(IFERROR(INDEX(Setup!$G$33:$G$40,MATCH(W2547,Setup!$B$33:$B$40,0)),0)=1)*(COUNTIF(W2508:W2525,$B2547)+COUNTIF(W2508:W2525,$B2547&amp;" ~*")&gt;0)+(IFERROR(INDEX(Setup!$G$33:$G$40,MATCH(Y2547,Setup!$B$33:$B$40,0)),0)=1)*(COUNTIF(Y2508:Y2525,$B2547)+COUNTIF(Y2508:Y2525,$B2547&amp;" ~*")&gt;0))</f>
        <v/>
      </c>
    </row>
    <row r="2548" ht="15" customHeight="1">
      <c r="A2548" t="n">
        <v>51</v>
      </c>
      <c r="B2548" s="37">
        <f>IF(Setup!$B$27="","",Setup!$B$27)</f>
        <v/>
      </c>
      <c r="C2548" s="102" t="n"/>
      <c r="D2548" s="103" t="n"/>
      <c r="E2548" s="103" t="n"/>
      <c r="F2548" s="104" t="n"/>
      <c r="G2548" s="102" t="n"/>
      <c r="H2548" s="103" t="n"/>
      <c r="I2548" s="103" t="n"/>
      <c r="J2548" s="104" t="n"/>
      <c r="K2548" s="102" t="n"/>
      <c r="L2548" s="103" t="n"/>
      <c r="M2548" s="103" t="n"/>
      <c r="N2548" s="104" t="n"/>
      <c r="O2548" s="102" t="n"/>
      <c r="P2548" s="103" t="n"/>
      <c r="Q2548" s="103" t="n"/>
      <c r="R2548" s="104" t="n"/>
      <c r="S2548" s="102" t="n"/>
      <c r="T2548" s="103" t="n"/>
      <c r="U2548" s="103" t="n"/>
      <c r="V2548" s="104" t="n"/>
      <c r="W2548" s="102" t="n"/>
      <c r="X2548" s="104" t="n"/>
      <c r="Y2548" s="102" t="n"/>
      <c r="Z2548" s="104" t="n"/>
      <c r="AB2548" s="105">
        <f>IF($B2548="","",(COUNTIF(C2508:E2525,$B2548)+COUNTIF(C2508:E2525,$B2548&amp;" ~*")&gt;0)+(COUNTIF(G2508:I2525,$B2548)+COUNTIF(G2508:I2525,$B2548&amp;" ~*")&gt;0)+(COUNTIF(K2508:M2525,$B2548)+COUNTIF(K2508:M2525,$B2548&amp;" ~*")&gt;0)+(COUNTIF(O2508:Q2525,$B2548)+COUNTIF(O2508:Q2525,$B2548&amp;" ~*")&gt;0)+(COUNTIF(S2508:U2525,$B2548)+COUNTIF(S2508:U2525,$B2548&amp;" ~*")&gt;0)+(COUNTIF(W2508:W2525,$B2548)+COUNTIF(W2508:W2525,$B2548&amp;" ~*")&gt;0)+(COUNTIF(Y2508:Y2525,$B2548)+COUNTIF(Y2508:Y2525,$B2548&amp;" ~*")&gt;0))</f>
        <v/>
      </c>
      <c r="AC2548" s="38">
        <f>IF($B2548="","",(IFERROR(INDEX(Setup!$G$33:$G$40,MATCH(C2548,Setup!$B$33:$B$40,0)),0)=1)*(COUNTIF(C2508:E2525,$B2548)+COUNTIF(C2508:E2525,$B2548&amp;" ~*")&gt;0)+(IFERROR(INDEX(Setup!$G$33:$G$40,MATCH(G2548,Setup!$B$33:$B$40,0)),0)=1)*(COUNTIF(G2508:I2525,$B2548)+COUNTIF(G2508:I2525,$B2548&amp;" ~*")&gt;0)+(IFERROR(INDEX(Setup!$G$33:$G$40,MATCH(K2548,Setup!$B$33:$B$40,0)),0)=1)*(COUNTIF(K2508:M2525,$B2548)+COUNTIF(K2508:M2525,$B2548&amp;" ~*")&gt;0)+(IFERROR(INDEX(Setup!$G$33:$G$40,MATCH(O2548,Setup!$B$33:$B$40,0)),0)=1)*(COUNTIF(O2508:Q2525,$B2548)+COUNTIF(O2508:Q2525,$B2548&amp;" ~*")&gt;0)+(IFERROR(INDEX(Setup!$G$33:$G$40,MATCH(S2548,Setup!$B$33:$B$40,0)),0)=1)*(COUNTIF(S2508:U2525,$B2548)+COUNTIF(S2508:U2525,$B2548&amp;" ~*")&gt;0)+(IFERROR(INDEX(Setup!$G$33:$G$40,MATCH(W2548,Setup!$B$33:$B$40,0)),0)=1)*(COUNTIF(W2508:W2525,$B2548)+COUNTIF(W2508:W2525,$B2548&amp;" ~*")&gt;0)+(IFERROR(INDEX(Setup!$G$33:$G$40,MATCH(Y2548,Setup!$B$33:$B$40,0)),0)=1)*(COUNTIF(Y2508:Y2525,$B2548)+COUNTIF(Y2508:Y2525,$B2548&amp;" ~*")&gt;0))</f>
        <v/>
      </c>
    </row>
    <row r="2549" ht="15" customHeight="1">
      <c r="A2549" t="n">
        <v>51</v>
      </c>
      <c r="B2549" s="35">
        <f>IF(Setup!$B$28="","",Setup!$B$28)</f>
        <v/>
      </c>
      <c r="C2549" s="98" t="n"/>
      <c r="D2549" s="99" t="n"/>
      <c r="E2549" s="99" t="n"/>
      <c r="F2549" s="100" t="n"/>
      <c r="G2549" s="98" t="n"/>
      <c r="H2549" s="99" t="n"/>
      <c r="I2549" s="99" t="n"/>
      <c r="J2549" s="100" t="n"/>
      <c r="K2549" s="98" t="n"/>
      <c r="L2549" s="99" t="n"/>
      <c r="M2549" s="99" t="n"/>
      <c r="N2549" s="100" t="n"/>
      <c r="O2549" s="98" t="n"/>
      <c r="P2549" s="99" t="n"/>
      <c r="Q2549" s="99" t="n"/>
      <c r="R2549" s="100" t="n"/>
      <c r="S2549" s="98" t="n"/>
      <c r="T2549" s="99" t="n"/>
      <c r="U2549" s="99" t="n"/>
      <c r="V2549" s="100" t="n"/>
      <c r="W2549" s="98" t="n"/>
      <c r="X2549" s="100" t="n"/>
      <c r="Y2549" s="98" t="n"/>
      <c r="Z2549" s="100" t="n"/>
      <c r="AB2549" s="101">
        <f>IF($B2549="","",(COUNTIF(C2508:E2525,$B2549)+COUNTIF(C2508:E2525,$B2549&amp;" ~*")&gt;0)+(COUNTIF(G2508:I2525,$B2549)+COUNTIF(G2508:I2525,$B2549&amp;" ~*")&gt;0)+(COUNTIF(K2508:M2525,$B2549)+COUNTIF(K2508:M2525,$B2549&amp;" ~*")&gt;0)+(COUNTIF(O2508:Q2525,$B2549)+COUNTIF(O2508:Q2525,$B2549&amp;" ~*")&gt;0)+(COUNTIF(S2508:U2525,$B2549)+COUNTIF(S2508:U2525,$B2549&amp;" ~*")&gt;0)+(COUNTIF(W2508:W2525,$B2549)+COUNTIF(W2508:W2525,$B2549&amp;" ~*")&gt;0)+(COUNTIF(Y2508:Y2525,$B2549)+COUNTIF(Y2508:Y2525,$B2549&amp;" ~*")&gt;0))</f>
        <v/>
      </c>
      <c r="AC2549" s="36">
        <f>IF($B2549="","",(IFERROR(INDEX(Setup!$G$33:$G$40,MATCH(C2549,Setup!$B$33:$B$40,0)),0)=1)*(COUNTIF(C2508:E2525,$B2549)+COUNTIF(C2508:E2525,$B2549&amp;" ~*")&gt;0)+(IFERROR(INDEX(Setup!$G$33:$G$40,MATCH(G2549,Setup!$B$33:$B$40,0)),0)=1)*(COUNTIF(G2508:I2525,$B2549)+COUNTIF(G2508:I2525,$B2549&amp;" ~*")&gt;0)+(IFERROR(INDEX(Setup!$G$33:$G$40,MATCH(K2549,Setup!$B$33:$B$40,0)),0)=1)*(COUNTIF(K2508:M2525,$B2549)+COUNTIF(K2508:M2525,$B2549&amp;" ~*")&gt;0)+(IFERROR(INDEX(Setup!$G$33:$G$40,MATCH(O2549,Setup!$B$33:$B$40,0)),0)=1)*(COUNTIF(O2508:Q2525,$B2549)+COUNTIF(O2508:Q2525,$B2549&amp;" ~*")&gt;0)+(IFERROR(INDEX(Setup!$G$33:$G$40,MATCH(S2549,Setup!$B$33:$B$40,0)),0)=1)*(COUNTIF(S2508:U2525,$B2549)+COUNTIF(S2508:U2525,$B2549&amp;" ~*")&gt;0)+(IFERROR(INDEX(Setup!$G$33:$G$40,MATCH(W2549,Setup!$B$33:$B$40,0)),0)=1)*(COUNTIF(W2508:W2525,$B2549)+COUNTIF(W2508:W2525,$B2549&amp;" ~*")&gt;0)+(IFERROR(INDEX(Setup!$G$33:$G$40,MATCH(Y2549,Setup!$B$33:$B$40,0)),0)=1)*(COUNTIF(Y2508:Y2525,$B2549)+COUNTIF(Y2508:Y2525,$B2549&amp;" ~*")&gt;0))</f>
        <v/>
      </c>
    </row>
    <row r="2550" ht="15" customHeight="1">
      <c r="A2550" t="n">
        <v>51</v>
      </c>
      <c r="B2550" s="37">
        <f>IF(Setup!$B$29="","",Setup!$B$29)</f>
        <v/>
      </c>
      <c r="C2550" s="102" t="n"/>
      <c r="D2550" s="103" t="n"/>
      <c r="E2550" s="103" t="n"/>
      <c r="F2550" s="104" t="n"/>
      <c r="G2550" s="102" t="n"/>
      <c r="H2550" s="103" t="n"/>
      <c r="I2550" s="103" t="n"/>
      <c r="J2550" s="104" t="n"/>
      <c r="K2550" s="102" t="n"/>
      <c r="L2550" s="103" t="n"/>
      <c r="M2550" s="103" t="n"/>
      <c r="N2550" s="104" t="n"/>
      <c r="O2550" s="102" t="n"/>
      <c r="P2550" s="103" t="n"/>
      <c r="Q2550" s="103" t="n"/>
      <c r="R2550" s="104" t="n"/>
      <c r="S2550" s="102" t="n"/>
      <c r="T2550" s="103" t="n"/>
      <c r="U2550" s="103" t="n"/>
      <c r="V2550" s="104" t="n"/>
      <c r="W2550" s="102" t="n"/>
      <c r="X2550" s="104" t="n"/>
      <c r="Y2550" s="102" t="n"/>
      <c r="Z2550" s="104" t="n"/>
      <c r="AB2550" s="105">
        <f>IF($B2550="","",(COUNTIF(C2508:E2525,$B2550)+COUNTIF(C2508:E2525,$B2550&amp;" ~*")&gt;0)+(COUNTIF(G2508:I2525,$B2550)+COUNTIF(G2508:I2525,$B2550&amp;" ~*")&gt;0)+(COUNTIF(K2508:M2525,$B2550)+COUNTIF(K2508:M2525,$B2550&amp;" ~*")&gt;0)+(COUNTIF(O2508:Q2525,$B2550)+COUNTIF(O2508:Q2525,$B2550&amp;" ~*")&gt;0)+(COUNTIF(S2508:U2525,$B2550)+COUNTIF(S2508:U2525,$B2550&amp;" ~*")&gt;0)+(COUNTIF(W2508:W2525,$B2550)+COUNTIF(W2508:W2525,$B2550&amp;" ~*")&gt;0)+(COUNTIF(Y2508:Y2525,$B2550)+COUNTIF(Y2508:Y2525,$B2550&amp;" ~*")&gt;0))</f>
        <v/>
      </c>
      <c r="AC2550" s="38">
        <f>IF($B2550="","",(IFERROR(INDEX(Setup!$G$33:$G$40,MATCH(C2550,Setup!$B$33:$B$40,0)),0)=1)*(COUNTIF(C2508:E2525,$B2550)+COUNTIF(C2508:E2525,$B2550&amp;" ~*")&gt;0)+(IFERROR(INDEX(Setup!$G$33:$G$40,MATCH(G2550,Setup!$B$33:$B$40,0)),0)=1)*(COUNTIF(G2508:I2525,$B2550)+COUNTIF(G2508:I2525,$B2550&amp;" ~*")&gt;0)+(IFERROR(INDEX(Setup!$G$33:$G$40,MATCH(K2550,Setup!$B$33:$B$40,0)),0)=1)*(COUNTIF(K2508:M2525,$B2550)+COUNTIF(K2508:M2525,$B2550&amp;" ~*")&gt;0)+(IFERROR(INDEX(Setup!$G$33:$G$40,MATCH(O2550,Setup!$B$33:$B$40,0)),0)=1)*(COUNTIF(O2508:Q2525,$B2550)+COUNTIF(O2508:Q2525,$B2550&amp;" ~*")&gt;0)+(IFERROR(INDEX(Setup!$G$33:$G$40,MATCH(S2550,Setup!$B$33:$B$40,0)),0)=1)*(COUNTIF(S2508:U2525,$B2550)+COUNTIF(S2508:U2525,$B2550&amp;" ~*")&gt;0)+(IFERROR(INDEX(Setup!$G$33:$G$40,MATCH(W2550,Setup!$B$33:$B$40,0)),0)=1)*(COUNTIF(W2508:W2525,$B2550)+COUNTIF(W2508:W2525,$B2550&amp;" ~*")&gt;0)+(IFERROR(INDEX(Setup!$G$33:$G$40,MATCH(Y2550,Setup!$B$33:$B$40,0)),0)=1)*(COUNTIF(Y2508:Y2525,$B2550)+COUNTIF(Y2508:Y2525,$B2550&amp;" ~*")&gt;0))</f>
        <v/>
      </c>
    </row>
    <row r="2551" ht="16" customHeight="1">
      <c r="A2551" t="n">
        <v>51</v>
      </c>
      <c r="B2551" s="106" t="inlineStr">
        <is>
          <t>Available people</t>
        </is>
      </c>
      <c r="C2551" s="107">
        <f>COUNTIFS(Setup!$E$6:$E$29,"Y",Setup!$B$6:$B$29,"?*")-SUMPRODUCT(COUNTIF(C2527:C2550,Setup!$F$33:$F$40))</f>
        <v/>
      </c>
      <c r="D2551" s="107" t="n"/>
      <c r="E2551" s="107" t="n"/>
      <c r="F2551" s="107" t="n"/>
      <c r="G2551" s="107">
        <f>COUNTIFS(Setup!$E$6:$E$29,"Y",Setup!$B$6:$B$29,"?*")-SUMPRODUCT(COUNTIF(G2527:G2550,Setup!$F$33:$F$40))</f>
        <v/>
      </c>
      <c r="H2551" s="107" t="n"/>
      <c r="I2551" s="107" t="n"/>
      <c r="J2551" s="107" t="n"/>
      <c r="K2551" s="107">
        <f>COUNTIFS(Setup!$E$6:$E$29,"Y",Setup!$B$6:$B$29,"?*")-SUMPRODUCT(COUNTIF(K2527:K2550,Setup!$F$33:$F$40))</f>
        <v/>
      </c>
      <c r="L2551" s="107" t="n"/>
      <c r="M2551" s="107" t="n"/>
      <c r="N2551" s="107" t="n"/>
      <c r="O2551" s="107">
        <f>COUNTIFS(Setup!$E$6:$E$29,"Y",Setup!$B$6:$B$29,"?*")-SUMPRODUCT(COUNTIF(O2527:O2550,Setup!$F$33:$F$40))</f>
        <v/>
      </c>
      <c r="P2551" s="107" t="n"/>
      <c r="Q2551" s="107" t="n"/>
      <c r="R2551" s="107" t="n"/>
      <c r="S2551" s="107">
        <f>COUNTIFS(Setup!$E$6:$E$29,"Y",Setup!$B$6:$B$29,"?*")-SUMPRODUCT(COUNTIF(S2527:S2550,Setup!$F$33:$F$40))</f>
        <v/>
      </c>
      <c r="T2551" s="107" t="n"/>
      <c r="U2551" s="107" t="n"/>
      <c r="V2551" s="107" t="n"/>
      <c r="W2551" s="107">
        <f>COUNTIFS(Setup!$E$6:$E$29,"Y",Setup!$B$6:$B$29,"?*")-SUMPRODUCT(COUNTIF(W2527:W2550,Setup!$F$33:$F$40))</f>
        <v/>
      </c>
      <c r="X2551" s="107" t="n"/>
      <c r="Y2551" s="107">
        <f>COUNTIFS(Setup!$E$6:$E$29,"Y",Setup!$B$6:$B$29,"?*")-SUMPRODUCT(COUNTIF(Y2527:Y2550,Setup!$F$33:$F$40))</f>
        <v/>
      </c>
      <c r="Z2551" s="107" t="n"/>
      <c r="AB2551" s="108">
        <f>SUM(AB2527:AB2550)</f>
        <v/>
      </c>
      <c r="AC2551" s="109">
        <f>SUM(AC2527:AC2550)</f>
        <v/>
      </c>
    </row>
    <row r="2552" ht="30" customHeight="1">
      <c r="A2552" t="n">
        <v>51</v>
      </c>
      <c r="B2552" s="110" t="inlineStr">
        <is>
          <t>Week notes</t>
        </is>
      </c>
      <c r="C2552" s="111" t="n"/>
      <c r="D2552" s="112" t="n"/>
      <c r="E2552" s="112" t="n"/>
      <c r="F2552" s="112" t="n"/>
      <c r="G2552" s="112" t="n"/>
      <c r="H2552" s="112" t="n"/>
      <c r="I2552" s="112" t="n"/>
      <c r="J2552" s="112" t="n"/>
      <c r="K2552" s="112" t="n"/>
      <c r="L2552" s="112" t="n"/>
      <c r="M2552" s="112" t="n"/>
      <c r="N2552" s="112" t="n"/>
      <c r="O2552" s="112" t="n"/>
      <c r="P2552" s="112" t="n"/>
      <c r="Q2552" s="112" t="n"/>
      <c r="R2552" s="112" t="n"/>
      <c r="S2552" s="112" t="n"/>
      <c r="T2552" s="112" t="n"/>
      <c r="U2552" s="112" t="n"/>
      <c r="V2552" s="112" t="n"/>
      <c r="W2552" s="112" t="n"/>
      <c r="X2552" s="112" t="n"/>
      <c r="Y2552" s="112" t="n"/>
      <c r="Z2552" s="113" t="n"/>
    </row>
    <row r="2553" ht="8" customHeight="1">
      <c r="A2553" t="n">
        <v>51</v>
      </c>
    </row>
    <row r="2554" ht="8" customHeight="1">
      <c r="A2554" t="n">
        <v>51</v>
      </c>
    </row>
    <row r="2555" ht="24" customHeight="1">
      <c r="A2555" t="n">
        <v>52</v>
      </c>
      <c r="B2555" s="73">
        <f>"WEEK 52     "&amp;TEXT(C2556,"ddd d mmm")&amp;"  –  "&amp;TEXT(C2556+6,"ddd d mmm yyyy")</f>
        <v/>
      </c>
      <c r="S2555" s="74">
        <f>IF(TODAY()&lt;C2556,"FUTURE",IF(TODAY()&gt;C2556+6,"PAST","THIS WEEK"))</f>
        <v/>
      </c>
      <c r="W2555" s="75">
        <f>IF(AND(Engine!$B$8=$AC$3,Engine!$B$9=$A2555),"◀ ACTIVE WEEK","")</f>
        <v/>
      </c>
      <c r="AA2555" s="76" t="n"/>
      <c r="AB2555" s="77" t="inlineStr">
        <is>
          <t>◀ Prev</t>
        </is>
      </c>
      <c r="AC2555" s="77" t="inlineStr">
        <is>
          <t>Next ▶</t>
        </is>
      </c>
    </row>
    <row r="2556" ht="18" customHeight="1">
      <c r="A2556" t="n">
        <v>52</v>
      </c>
      <c r="B2556" s="78" t="inlineStr">
        <is>
          <t>DUTY</t>
        </is>
      </c>
      <c r="C2556" s="79">
        <f>$AC$2+7*($A2556-1)</f>
        <v/>
      </c>
      <c r="D2556" s="80" t="n"/>
      <c r="E2556" s="80" t="n"/>
      <c r="F2556" s="81" t="n"/>
      <c r="G2556" s="79">
        <f>C2556+1</f>
        <v/>
      </c>
      <c r="H2556" s="80" t="n"/>
      <c r="I2556" s="80" t="n"/>
      <c r="J2556" s="81" t="n"/>
      <c r="K2556" s="79">
        <f>C2556+2</f>
        <v/>
      </c>
      <c r="L2556" s="80" t="n"/>
      <c r="M2556" s="80" t="n"/>
      <c r="N2556" s="81" t="n"/>
      <c r="O2556" s="79">
        <f>C2556+3</f>
        <v/>
      </c>
      <c r="P2556" s="80" t="n"/>
      <c r="Q2556" s="80" t="n"/>
      <c r="R2556" s="81" t="n"/>
      <c r="S2556" s="79">
        <f>C2556+4</f>
        <v/>
      </c>
      <c r="T2556" s="80" t="n"/>
      <c r="U2556" s="80" t="n"/>
      <c r="V2556" s="81" t="n"/>
      <c r="W2556" s="82">
        <f>C2556+5</f>
        <v/>
      </c>
      <c r="X2556" s="83" t="n"/>
      <c r="Y2556" s="82">
        <f>C2556+6</f>
        <v/>
      </c>
      <c r="Z2556" s="83" t="n"/>
      <c r="AB2556" s="72" t="inlineStr">
        <is>
          <t>Gaps</t>
        </is>
      </c>
      <c r="AC2556" s="72" t="inlineStr">
        <is>
          <t>Cover</t>
        </is>
      </c>
    </row>
    <row r="2557" ht="14" customHeight="1">
      <c r="A2557" t="n">
        <v>52</v>
      </c>
      <c r="B2557" s="84" t="inlineStr">
        <is>
          <t>(from Setup)</t>
        </is>
      </c>
      <c r="C2557" s="85" t="inlineStr">
        <is>
          <t>1</t>
        </is>
      </c>
      <c r="D2557" s="85" t="inlineStr">
        <is>
          <t>2</t>
        </is>
      </c>
      <c r="E2557" s="85" t="inlineStr">
        <is>
          <t>3</t>
        </is>
      </c>
      <c r="F2557" s="85" t="inlineStr">
        <is>
          <t>Notes</t>
        </is>
      </c>
      <c r="G2557" s="85" t="inlineStr">
        <is>
          <t>1</t>
        </is>
      </c>
      <c r="H2557" s="85" t="inlineStr">
        <is>
          <t>2</t>
        </is>
      </c>
      <c r="I2557" s="85" t="inlineStr">
        <is>
          <t>3</t>
        </is>
      </c>
      <c r="J2557" s="85" t="inlineStr">
        <is>
          <t>Notes</t>
        </is>
      </c>
      <c r="K2557" s="85" t="inlineStr">
        <is>
          <t>1</t>
        </is>
      </c>
      <c r="L2557" s="85" t="inlineStr">
        <is>
          <t>2</t>
        </is>
      </c>
      <c r="M2557" s="85" t="inlineStr">
        <is>
          <t>3</t>
        </is>
      </c>
      <c r="N2557" s="85" t="inlineStr">
        <is>
          <t>Notes</t>
        </is>
      </c>
      <c r="O2557" s="85" t="inlineStr">
        <is>
          <t>1</t>
        </is>
      </c>
      <c r="P2557" s="85" t="inlineStr">
        <is>
          <t>2</t>
        </is>
      </c>
      <c r="Q2557" s="85" t="inlineStr">
        <is>
          <t>3</t>
        </is>
      </c>
      <c r="R2557" s="85" t="inlineStr">
        <is>
          <t>Notes</t>
        </is>
      </c>
      <c r="S2557" s="85" t="inlineStr">
        <is>
          <t>1</t>
        </is>
      </c>
      <c r="T2557" s="85" t="inlineStr">
        <is>
          <t>2</t>
        </is>
      </c>
      <c r="U2557" s="85" t="inlineStr">
        <is>
          <t>3</t>
        </is>
      </c>
      <c r="V2557" s="85" t="inlineStr">
        <is>
          <t>Notes</t>
        </is>
      </c>
      <c r="W2557" s="85" t="inlineStr">
        <is>
          <t>Cover</t>
        </is>
      </c>
      <c r="X2557" s="85" t="inlineStr">
        <is>
          <t>Notes</t>
        </is>
      </c>
      <c r="Y2557" s="85" t="inlineStr">
        <is>
          <t>Cover</t>
        </is>
      </c>
      <c r="Z2557" s="85" t="inlineStr">
        <is>
          <t>Notes</t>
        </is>
      </c>
      <c r="AB2557" s="86" t="inlineStr">
        <is>
          <t>weekdays short</t>
        </is>
      </c>
      <c r="AC2557" s="87" t="inlineStr"/>
    </row>
    <row r="2558" ht="17" customHeight="1">
      <c r="A2558" t="n">
        <v>52</v>
      </c>
      <c r="B2558" s="24">
        <f>IF(Setup!$K$6="","",Setup!$K$6)</f>
        <v/>
      </c>
      <c r="C2558" s="88" t="n"/>
      <c r="D2558" s="88" t="n"/>
      <c r="E2558" s="88" t="n"/>
      <c r="F2558" s="89" t="n"/>
      <c r="G2558" s="88" t="n"/>
      <c r="H2558" s="88" t="n"/>
      <c r="I2558" s="88" t="n"/>
      <c r="J2558" s="89" t="n"/>
      <c r="K2558" s="88" t="n"/>
      <c r="L2558" s="88" t="n"/>
      <c r="M2558" s="88" t="n"/>
      <c r="N2558" s="89" t="n"/>
      <c r="O2558" s="88" t="n"/>
      <c r="P2558" s="88" t="n"/>
      <c r="Q2558" s="88" t="n"/>
      <c r="R2558" s="89" t="n"/>
      <c r="S2558" s="88" t="n"/>
      <c r="T2558" s="88" t="n"/>
      <c r="U2558" s="88" t="n"/>
      <c r="V2558" s="89" t="n"/>
      <c r="W2558" s="88" t="n"/>
      <c r="X2558" s="89" t="n"/>
      <c r="Y2558" s="88" t="n"/>
      <c r="Z2558" s="89" t="n"/>
      <c r="AB2558" s="25">
        <f>IF($B2558="","",(COUNTIF(C2558:E2558,"?*")&lt;N(INDEX(Setup!$L$6:$L$23,1)))+(COUNTIF(G2558:I2558,"?*")&lt;N(INDEX(Setup!$L$6:$L$23,1)))+(COUNTIF(K2558:M2558,"?*")&lt;N(INDEX(Setup!$L$6:$L$23,1)))+(COUNTIF(O2558:Q2558,"?*")&lt;N(INDEX(Setup!$L$6:$L$23,1)))+(COUNTIF(S2558:U2558,"?*")&lt;N(INDEX(Setup!$L$6:$L$23,1)))+((W2558="")*(INDEX(Setup!$M$6:$M$23,1)="Y"))+((Y2558="")*(INDEX(Setup!$M$6:$M$23,1)="Y")))</f>
        <v/>
      </c>
      <c r="AC2558" s="90">
        <f>IF($B2558="","",IF(AB2558=0,"✓ covered","⚠ "&amp;AB2558&amp;IF(AB2558=1," gap"," gaps")))</f>
        <v/>
      </c>
    </row>
    <row r="2559" ht="17" customHeight="1">
      <c r="A2559" t="n">
        <v>52</v>
      </c>
      <c r="B2559" s="29">
        <f>IF(Setup!$K$7="","",Setup!$K$7)</f>
        <v/>
      </c>
      <c r="C2559" s="88" t="n"/>
      <c r="D2559" s="88" t="n"/>
      <c r="E2559" s="88" t="n"/>
      <c r="F2559" s="89" t="n"/>
      <c r="G2559" s="88" t="n"/>
      <c r="H2559" s="88" t="n"/>
      <c r="I2559" s="88" t="n"/>
      <c r="J2559" s="89" t="n"/>
      <c r="K2559" s="88" t="n"/>
      <c r="L2559" s="88" t="n"/>
      <c r="M2559" s="88" t="n"/>
      <c r="N2559" s="89" t="n"/>
      <c r="O2559" s="88" t="n"/>
      <c r="P2559" s="88" t="n"/>
      <c r="Q2559" s="88" t="n"/>
      <c r="R2559" s="89" t="n"/>
      <c r="S2559" s="88" t="n"/>
      <c r="T2559" s="88" t="n"/>
      <c r="U2559" s="88" t="n"/>
      <c r="V2559" s="89" t="n"/>
      <c r="W2559" s="88" t="n"/>
      <c r="X2559" s="89" t="n"/>
      <c r="Y2559" s="88" t="n"/>
      <c r="Z2559" s="89" t="n"/>
      <c r="AB2559" s="30">
        <f>IF($B2559="","",(COUNTIF(C2559:E2559,"?*")&lt;N(INDEX(Setup!$L$6:$L$23,2)))+(COUNTIF(G2559:I2559,"?*")&lt;N(INDEX(Setup!$L$6:$L$23,2)))+(COUNTIF(K2559:M2559,"?*")&lt;N(INDEX(Setup!$L$6:$L$23,2)))+(COUNTIF(O2559:Q2559,"?*")&lt;N(INDEX(Setup!$L$6:$L$23,2)))+(COUNTIF(S2559:U2559,"?*")&lt;N(INDEX(Setup!$L$6:$L$23,2)))+((W2559="")*(INDEX(Setup!$M$6:$M$23,2)="Y"))+((Y2559="")*(INDEX(Setup!$M$6:$M$23,2)="Y")))</f>
        <v/>
      </c>
      <c r="AC2559" s="91">
        <f>IF($B2559="","",IF(AB2559=0,"✓ covered","⚠ "&amp;AB2559&amp;IF(AB2559=1," gap"," gaps")))</f>
        <v/>
      </c>
    </row>
    <row r="2560" ht="17" customHeight="1">
      <c r="A2560" t="n">
        <v>52</v>
      </c>
      <c r="B2560" s="24">
        <f>IF(Setup!$K$8="","",Setup!$K$8)</f>
        <v/>
      </c>
      <c r="C2560" s="88" t="n"/>
      <c r="D2560" s="88" t="n"/>
      <c r="E2560" s="88" t="n"/>
      <c r="F2560" s="89" t="n"/>
      <c r="G2560" s="88" t="n"/>
      <c r="H2560" s="88" t="n"/>
      <c r="I2560" s="88" t="n"/>
      <c r="J2560" s="89" t="n"/>
      <c r="K2560" s="88" t="n"/>
      <c r="L2560" s="88" t="n"/>
      <c r="M2560" s="88" t="n"/>
      <c r="N2560" s="89" t="n"/>
      <c r="O2560" s="88" t="n"/>
      <c r="P2560" s="88" t="n"/>
      <c r="Q2560" s="88" t="n"/>
      <c r="R2560" s="89" t="n"/>
      <c r="S2560" s="88" t="n"/>
      <c r="T2560" s="88" t="n"/>
      <c r="U2560" s="88" t="n"/>
      <c r="V2560" s="89" t="n"/>
      <c r="W2560" s="88" t="n"/>
      <c r="X2560" s="89" t="n"/>
      <c r="Y2560" s="88" t="n"/>
      <c r="Z2560" s="89" t="n"/>
      <c r="AB2560" s="25">
        <f>IF($B2560="","",(COUNTIF(C2560:E2560,"?*")&lt;N(INDEX(Setup!$L$6:$L$23,3)))+(COUNTIF(G2560:I2560,"?*")&lt;N(INDEX(Setup!$L$6:$L$23,3)))+(COUNTIF(K2560:M2560,"?*")&lt;N(INDEX(Setup!$L$6:$L$23,3)))+(COUNTIF(O2560:Q2560,"?*")&lt;N(INDEX(Setup!$L$6:$L$23,3)))+(COUNTIF(S2560:U2560,"?*")&lt;N(INDEX(Setup!$L$6:$L$23,3)))+((W2560="")*(INDEX(Setup!$M$6:$M$23,3)="Y"))+((Y2560="")*(INDEX(Setup!$M$6:$M$23,3)="Y")))</f>
        <v/>
      </c>
      <c r="AC2560" s="90">
        <f>IF($B2560="","",IF(AB2560=0,"✓ covered","⚠ "&amp;AB2560&amp;IF(AB2560=1," gap"," gaps")))</f>
        <v/>
      </c>
    </row>
    <row r="2561" ht="17" customHeight="1">
      <c r="A2561" t="n">
        <v>52</v>
      </c>
      <c r="B2561" s="29">
        <f>IF(Setup!$K$9="","",Setup!$K$9)</f>
        <v/>
      </c>
      <c r="C2561" s="88" t="n"/>
      <c r="D2561" s="88" t="n"/>
      <c r="E2561" s="88" t="n"/>
      <c r="F2561" s="89" t="n"/>
      <c r="G2561" s="88" t="n"/>
      <c r="H2561" s="88" t="n"/>
      <c r="I2561" s="88" t="n"/>
      <c r="J2561" s="89" t="n"/>
      <c r="K2561" s="88" t="n"/>
      <c r="L2561" s="88" t="n"/>
      <c r="M2561" s="88" t="n"/>
      <c r="N2561" s="89" t="n"/>
      <c r="O2561" s="88" t="n"/>
      <c r="P2561" s="88" t="n"/>
      <c r="Q2561" s="88" t="n"/>
      <c r="R2561" s="89" t="n"/>
      <c r="S2561" s="88" t="n"/>
      <c r="T2561" s="88" t="n"/>
      <c r="U2561" s="88" t="n"/>
      <c r="V2561" s="89" t="n"/>
      <c r="W2561" s="88" t="n"/>
      <c r="X2561" s="89" t="n"/>
      <c r="Y2561" s="88" t="n"/>
      <c r="Z2561" s="89" t="n"/>
      <c r="AB2561" s="30">
        <f>IF($B2561="","",(COUNTIF(C2561:E2561,"?*")&lt;N(INDEX(Setup!$L$6:$L$23,4)))+(COUNTIF(G2561:I2561,"?*")&lt;N(INDEX(Setup!$L$6:$L$23,4)))+(COUNTIF(K2561:M2561,"?*")&lt;N(INDEX(Setup!$L$6:$L$23,4)))+(COUNTIF(O2561:Q2561,"?*")&lt;N(INDEX(Setup!$L$6:$L$23,4)))+(COUNTIF(S2561:U2561,"?*")&lt;N(INDEX(Setup!$L$6:$L$23,4)))+((W2561="")*(INDEX(Setup!$M$6:$M$23,4)="Y"))+((Y2561="")*(INDEX(Setup!$M$6:$M$23,4)="Y")))</f>
        <v/>
      </c>
      <c r="AC2561" s="91">
        <f>IF($B2561="","",IF(AB2561=0,"✓ covered","⚠ "&amp;AB2561&amp;IF(AB2561=1," gap"," gaps")))</f>
        <v/>
      </c>
    </row>
    <row r="2562" ht="17" customHeight="1">
      <c r="A2562" t="n">
        <v>52</v>
      </c>
      <c r="B2562" s="24">
        <f>IF(Setup!$K$10="","",Setup!$K$10)</f>
        <v/>
      </c>
      <c r="C2562" s="88" t="n"/>
      <c r="D2562" s="88" t="n"/>
      <c r="E2562" s="88" t="n"/>
      <c r="F2562" s="89" t="n"/>
      <c r="G2562" s="88" t="n"/>
      <c r="H2562" s="88" t="n"/>
      <c r="I2562" s="88" t="n"/>
      <c r="J2562" s="89" t="n"/>
      <c r="K2562" s="88" t="n"/>
      <c r="L2562" s="88" t="n"/>
      <c r="M2562" s="88" t="n"/>
      <c r="N2562" s="89" t="n"/>
      <c r="O2562" s="88" t="n"/>
      <c r="P2562" s="88" t="n"/>
      <c r="Q2562" s="88" t="n"/>
      <c r="R2562" s="89" t="n"/>
      <c r="S2562" s="88" t="n"/>
      <c r="T2562" s="88" t="n"/>
      <c r="U2562" s="88" t="n"/>
      <c r="V2562" s="89" t="n"/>
      <c r="W2562" s="88" t="n"/>
      <c r="X2562" s="89" t="n"/>
      <c r="Y2562" s="88" t="n"/>
      <c r="Z2562" s="89" t="n"/>
      <c r="AB2562" s="25">
        <f>IF($B2562="","",(COUNTIF(C2562:E2562,"?*")&lt;N(INDEX(Setup!$L$6:$L$23,5)))+(COUNTIF(G2562:I2562,"?*")&lt;N(INDEX(Setup!$L$6:$L$23,5)))+(COUNTIF(K2562:M2562,"?*")&lt;N(INDEX(Setup!$L$6:$L$23,5)))+(COUNTIF(O2562:Q2562,"?*")&lt;N(INDEX(Setup!$L$6:$L$23,5)))+(COUNTIF(S2562:U2562,"?*")&lt;N(INDEX(Setup!$L$6:$L$23,5)))+((W2562="")*(INDEX(Setup!$M$6:$M$23,5)="Y"))+((Y2562="")*(INDEX(Setup!$M$6:$M$23,5)="Y")))</f>
        <v/>
      </c>
      <c r="AC2562" s="90">
        <f>IF($B2562="","",IF(AB2562=0,"✓ covered","⚠ "&amp;AB2562&amp;IF(AB2562=1," gap"," gaps")))</f>
        <v/>
      </c>
    </row>
    <row r="2563" ht="17" customHeight="1">
      <c r="A2563" t="n">
        <v>52</v>
      </c>
      <c r="B2563" s="29">
        <f>IF(Setup!$K$11="","",Setup!$K$11)</f>
        <v/>
      </c>
      <c r="C2563" s="88" t="n"/>
      <c r="D2563" s="88" t="n"/>
      <c r="E2563" s="88" t="n"/>
      <c r="F2563" s="89" t="n"/>
      <c r="G2563" s="88" t="n"/>
      <c r="H2563" s="88" t="n"/>
      <c r="I2563" s="88" t="n"/>
      <c r="J2563" s="89" t="n"/>
      <c r="K2563" s="88" t="n"/>
      <c r="L2563" s="88" t="n"/>
      <c r="M2563" s="88" t="n"/>
      <c r="N2563" s="89" t="n"/>
      <c r="O2563" s="88" t="n"/>
      <c r="P2563" s="88" t="n"/>
      <c r="Q2563" s="88" t="n"/>
      <c r="R2563" s="89" t="n"/>
      <c r="S2563" s="88" t="n"/>
      <c r="T2563" s="88" t="n"/>
      <c r="U2563" s="88" t="n"/>
      <c r="V2563" s="89" t="n"/>
      <c r="W2563" s="88" t="n"/>
      <c r="X2563" s="89" t="n"/>
      <c r="Y2563" s="88" t="n"/>
      <c r="Z2563" s="89" t="n"/>
      <c r="AB2563" s="30">
        <f>IF($B2563="","",(COUNTIF(C2563:E2563,"?*")&lt;N(INDEX(Setup!$L$6:$L$23,6)))+(COUNTIF(G2563:I2563,"?*")&lt;N(INDEX(Setup!$L$6:$L$23,6)))+(COUNTIF(K2563:M2563,"?*")&lt;N(INDEX(Setup!$L$6:$L$23,6)))+(COUNTIF(O2563:Q2563,"?*")&lt;N(INDEX(Setup!$L$6:$L$23,6)))+(COUNTIF(S2563:U2563,"?*")&lt;N(INDEX(Setup!$L$6:$L$23,6)))+((W2563="")*(INDEX(Setup!$M$6:$M$23,6)="Y"))+((Y2563="")*(INDEX(Setup!$M$6:$M$23,6)="Y")))</f>
        <v/>
      </c>
      <c r="AC2563" s="91">
        <f>IF($B2563="","",IF(AB2563=0,"✓ covered","⚠ "&amp;AB2563&amp;IF(AB2563=1," gap"," gaps")))</f>
        <v/>
      </c>
    </row>
    <row r="2564" ht="17" customHeight="1">
      <c r="A2564" t="n">
        <v>52</v>
      </c>
      <c r="B2564" s="24">
        <f>IF(Setup!$K$12="","",Setup!$K$12)</f>
        <v/>
      </c>
      <c r="C2564" s="88" t="n"/>
      <c r="D2564" s="88" t="n"/>
      <c r="E2564" s="88" t="n"/>
      <c r="F2564" s="89" t="n"/>
      <c r="G2564" s="88" t="n"/>
      <c r="H2564" s="88" t="n"/>
      <c r="I2564" s="88" t="n"/>
      <c r="J2564" s="89" t="n"/>
      <c r="K2564" s="88" t="n"/>
      <c r="L2564" s="88" t="n"/>
      <c r="M2564" s="88" t="n"/>
      <c r="N2564" s="89" t="n"/>
      <c r="O2564" s="88" t="n"/>
      <c r="P2564" s="88" t="n"/>
      <c r="Q2564" s="88" t="n"/>
      <c r="R2564" s="89" t="n"/>
      <c r="S2564" s="88" t="n"/>
      <c r="T2564" s="88" t="n"/>
      <c r="U2564" s="88" t="n"/>
      <c r="V2564" s="89" t="n"/>
      <c r="W2564" s="88" t="n"/>
      <c r="X2564" s="89" t="n"/>
      <c r="Y2564" s="88" t="n"/>
      <c r="Z2564" s="89" t="n"/>
      <c r="AB2564" s="25">
        <f>IF($B2564="","",(COUNTIF(C2564:E2564,"?*")&lt;N(INDEX(Setup!$L$6:$L$23,7)))+(COUNTIF(G2564:I2564,"?*")&lt;N(INDEX(Setup!$L$6:$L$23,7)))+(COUNTIF(K2564:M2564,"?*")&lt;N(INDEX(Setup!$L$6:$L$23,7)))+(COUNTIF(O2564:Q2564,"?*")&lt;N(INDEX(Setup!$L$6:$L$23,7)))+(COUNTIF(S2564:U2564,"?*")&lt;N(INDEX(Setup!$L$6:$L$23,7)))+((W2564="")*(INDEX(Setup!$M$6:$M$23,7)="Y"))+((Y2564="")*(INDEX(Setup!$M$6:$M$23,7)="Y")))</f>
        <v/>
      </c>
      <c r="AC2564" s="90">
        <f>IF($B2564="","",IF(AB2564=0,"✓ covered","⚠ "&amp;AB2564&amp;IF(AB2564=1," gap"," gaps")))</f>
        <v/>
      </c>
    </row>
    <row r="2565" ht="17" customHeight="1">
      <c r="A2565" t="n">
        <v>52</v>
      </c>
      <c r="B2565" s="29">
        <f>IF(Setup!$K$13="","",Setup!$K$13)</f>
        <v/>
      </c>
      <c r="C2565" s="88" t="n"/>
      <c r="D2565" s="88" t="n"/>
      <c r="E2565" s="88" t="n"/>
      <c r="F2565" s="89" t="n"/>
      <c r="G2565" s="88" t="n"/>
      <c r="H2565" s="88" t="n"/>
      <c r="I2565" s="88" t="n"/>
      <c r="J2565" s="89" t="n"/>
      <c r="K2565" s="88" t="n"/>
      <c r="L2565" s="88" t="n"/>
      <c r="M2565" s="88" t="n"/>
      <c r="N2565" s="89" t="n"/>
      <c r="O2565" s="88" t="n"/>
      <c r="P2565" s="88" t="n"/>
      <c r="Q2565" s="88" t="n"/>
      <c r="R2565" s="89" t="n"/>
      <c r="S2565" s="88" t="n"/>
      <c r="T2565" s="88" t="n"/>
      <c r="U2565" s="88" t="n"/>
      <c r="V2565" s="89" t="n"/>
      <c r="W2565" s="88" t="n"/>
      <c r="X2565" s="89" t="n"/>
      <c r="Y2565" s="88" t="n"/>
      <c r="Z2565" s="89" t="n"/>
      <c r="AB2565" s="30">
        <f>IF($B2565="","",(COUNTIF(C2565:E2565,"?*")&lt;N(INDEX(Setup!$L$6:$L$23,8)))+(COUNTIF(G2565:I2565,"?*")&lt;N(INDEX(Setup!$L$6:$L$23,8)))+(COUNTIF(K2565:M2565,"?*")&lt;N(INDEX(Setup!$L$6:$L$23,8)))+(COUNTIF(O2565:Q2565,"?*")&lt;N(INDEX(Setup!$L$6:$L$23,8)))+(COUNTIF(S2565:U2565,"?*")&lt;N(INDEX(Setup!$L$6:$L$23,8)))+((W2565="")*(INDEX(Setup!$M$6:$M$23,8)="Y"))+((Y2565="")*(INDEX(Setup!$M$6:$M$23,8)="Y")))</f>
        <v/>
      </c>
      <c r="AC2565" s="91">
        <f>IF($B2565="","",IF(AB2565=0,"✓ covered","⚠ "&amp;AB2565&amp;IF(AB2565=1," gap"," gaps")))</f>
        <v/>
      </c>
    </row>
    <row r="2566" ht="17" customHeight="1">
      <c r="A2566" t="n">
        <v>52</v>
      </c>
      <c r="B2566" s="24">
        <f>IF(Setup!$K$14="","",Setup!$K$14)</f>
        <v/>
      </c>
      <c r="C2566" s="88" t="n"/>
      <c r="D2566" s="88" t="n"/>
      <c r="E2566" s="88" t="n"/>
      <c r="F2566" s="89" t="n"/>
      <c r="G2566" s="88" t="n"/>
      <c r="H2566" s="88" t="n"/>
      <c r="I2566" s="88" t="n"/>
      <c r="J2566" s="89" t="n"/>
      <c r="K2566" s="88" t="n"/>
      <c r="L2566" s="88" t="n"/>
      <c r="M2566" s="88" t="n"/>
      <c r="N2566" s="89" t="n"/>
      <c r="O2566" s="88" t="n"/>
      <c r="P2566" s="88" t="n"/>
      <c r="Q2566" s="88" t="n"/>
      <c r="R2566" s="89" t="n"/>
      <c r="S2566" s="88" t="n"/>
      <c r="T2566" s="88" t="n"/>
      <c r="U2566" s="88" t="n"/>
      <c r="V2566" s="89" t="n"/>
      <c r="W2566" s="88" t="n"/>
      <c r="X2566" s="89" t="n"/>
      <c r="Y2566" s="88" t="n"/>
      <c r="Z2566" s="89" t="n"/>
      <c r="AB2566" s="25">
        <f>IF($B2566="","",(COUNTIF(C2566:E2566,"?*")&lt;N(INDEX(Setup!$L$6:$L$23,9)))+(COUNTIF(G2566:I2566,"?*")&lt;N(INDEX(Setup!$L$6:$L$23,9)))+(COUNTIF(K2566:M2566,"?*")&lt;N(INDEX(Setup!$L$6:$L$23,9)))+(COUNTIF(O2566:Q2566,"?*")&lt;N(INDEX(Setup!$L$6:$L$23,9)))+(COUNTIF(S2566:U2566,"?*")&lt;N(INDEX(Setup!$L$6:$L$23,9)))+((W2566="")*(INDEX(Setup!$M$6:$M$23,9)="Y"))+((Y2566="")*(INDEX(Setup!$M$6:$M$23,9)="Y")))</f>
        <v/>
      </c>
      <c r="AC2566" s="90">
        <f>IF($B2566="","",IF(AB2566=0,"✓ covered","⚠ "&amp;AB2566&amp;IF(AB2566=1," gap"," gaps")))</f>
        <v/>
      </c>
    </row>
    <row r="2567" ht="17" customHeight="1">
      <c r="A2567" t="n">
        <v>52</v>
      </c>
      <c r="B2567" s="29">
        <f>IF(Setup!$K$15="","",Setup!$K$15)</f>
        <v/>
      </c>
      <c r="C2567" s="88" t="n"/>
      <c r="D2567" s="88" t="n"/>
      <c r="E2567" s="88" t="n"/>
      <c r="F2567" s="89" t="n"/>
      <c r="G2567" s="88" t="n"/>
      <c r="H2567" s="88" t="n"/>
      <c r="I2567" s="88" t="n"/>
      <c r="J2567" s="89" t="n"/>
      <c r="K2567" s="88" t="n"/>
      <c r="L2567" s="88" t="n"/>
      <c r="M2567" s="88" t="n"/>
      <c r="N2567" s="89" t="n"/>
      <c r="O2567" s="88" t="n"/>
      <c r="P2567" s="88" t="n"/>
      <c r="Q2567" s="88" t="n"/>
      <c r="R2567" s="89" t="n"/>
      <c r="S2567" s="88" t="n"/>
      <c r="T2567" s="88" t="n"/>
      <c r="U2567" s="88" t="n"/>
      <c r="V2567" s="89" t="n"/>
      <c r="W2567" s="88" t="n"/>
      <c r="X2567" s="89" t="n"/>
      <c r="Y2567" s="88" t="n"/>
      <c r="Z2567" s="89" t="n"/>
      <c r="AB2567" s="30">
        <f>IF($B2567="","",(COUNTIF(C2567:E2567,"?*")&lt;N(INDEX(Setup!$L$6:$L$23,10)))+(COUNTIF(G2567:I2567,"?*")&lt;N(INDEX(Setup!$L$6:$L$23,10)))+(COUNTIF(K2567:M2567,"?*")&lt;N(INDEX(Setup!$L$6:$L$23,10)))+(COUNTIF(O2567:Q2567,"?*")&lt;N(INDEX(Setup!$L$6:$L$23,10)))+(COUNTIF(S2567:U2567,"?*")&lt;N(INDEX(Setup!$L$6:$L$23,10)))+((W2567="")*(INDEX(Setup!$M$6:$M$23,10)="Y"))+((Y2567="")*(INDEX(Setup!$M$6:$M$23,10)="Y")))</f>
        <v/>
      </c>
      <c r="AC2567" s="91">
        <f>IF($B2567="","",IF(AB2567=0,"✓ covered","⚠ "&amp;AB2567&amp;IF(AB2567=1," gap"," gaps")))</f>
        <v/>
      </c>
    </row>
    <row r="2568" ht="17" customHeight="1">
      <c r="A2568" t="n">
        <v>52</v>
      </c>
      <c r="B2568" s="24">
        <f>IF(Setup!$K$16="","",Setup!$K$16)</f>
        <v/>
      </c>
      <c r="C2568" s="88" t="n"/>
      <c r="D2568" s="88" t="n"/>
      <c r="E2568" s="88" t="n"/>
      <c r="F2568" s="89" t="n"/>
      <c r="G2568" s="88" t="n"/>
      <c r="H2568" s="88" t="n"/>
      <c r="I2568" s="88" t="n"/>
      <c r="J2568" s="89" t="n"/>
      <c r="K2568" s="88" t="n"/>
      <c r="L2568" s="88" t="n"/>
      <c r="M2568" s="88" t="n"/>
      <c r="N2568" s="89" t="n"/>
      <c r="O2568" s="88" t="n"/>
      <c r="P2568" s="88" t="n"/>
      <c r="Q2568" s="88" t="n"/>
      <c r="R2568" s="89" t="n"/>
      <c r="S2568" s="88" t="n"/>
      <c r="T2568" s="88" t="n"/>
      <c r="U2568" s="88" t="n"/>
      <c r="V2568" s="89" t="n"/>
      <c r="W2568" s="88" t="n"/>
      <c r="X2568" s="89" t="n"/>
      <c r="Y2568" s="88" t="n"/>
      <c r="Z2568" s="89" t="n"/>
      <c r="AB2568" s="25">
        <f>IF($B2568="","",(COUNTIF(C2568:E2568,"?*")&lt;N(INDEX(Setup!$L$6:$L$23,11)))+(COUNTIF(G2568:I2568,"?*")&lt;N(INDEX(Setup!$L$6:$L$23,11)))+(COUNTIF(K2568:M2568,"?*")&lt;N(INDEX(Setup!$L$6:$L$23,11)))+(COUNTIF(O2568:Q2568,"?*")&lt;N(INDEX(Setup!$L$6:$L$23,11)))+(COUNTIF(S2568:U2568,"?*")&lt;N(INDEX(Setup!$L$6:$L$23,11)))+((W2568="")*(INDEX(Setup!$M$6:$M$23,11)="Y"))+((Y2568="")*(INDEX(Setup!$M$6:$M$23,11)="Y")))</f>
        <v/>
      </c>
      <c r="AC2568" s="90">
        <f>IF($B2568="","",IF(AB2568=0,"✓ covered","⚠ "&amp;AB2568&amp;IF(AB2568=1," gap"," gaps")))</f>
        <v/>
      </c>
    </row>
    <row r="2569" ht="17" customHeight="1">
      <c r="A2569" t="n">
        <v>52</v>
      </c>
      <c r="B2569" s="29">
        <f>IF(Setup!$K$17="","",Setup!$K$17)</f>
        <v/>
      </c>
      <c r="C2569" s="88" t="n"/>
      <c r="D2569" s="88" t="n"/>
      <c r="E2569" s="88" t="n"/>
      <c r="F2569" s="89" t="n"/>
      <c r="G2569" s="88" t="n"/>
      <c r="H2569" s="88" t="n"/>
      <c r="I2569" s="88" t="n"/>
      <c r="J2569" s="89" t="n"/>
      <c r="K2569" s="88" t="n"/>
      <c r="L2569" s="88" t="n"/>
      <c r="M2569" s="88" t="n"/>
      <c r="N2569" s="89" t="n"/>
      <c r="O2569" s="88" t="n"/>
      <c r="P2569" s="88" t="n"/>
      <c r="Q2569" s="88" t="n"/>
      <c r="R2569" s="89" t="n"/>
      <c r="S2569" s="88" t="n"/>
      <c r="T2569" s="88" t="n"/>
      <c r="U2569" s="88" t="n"/>
      <c r="V2569" s="89" t="n"/>
      <c r="W2569" s="88" t="n"/>
      <c r="X2569" s="89" t="n"/>
      <c r="Y2569" s="88" t="n"/>
      <c r="Z2569" s="89" t="n"/>
      <c r="AB2569" s="30">
        <f>IF($B2569="","",(COUNTIF(C2569:E2569,"?*")&lt;N(INDEX(Setup!$L$6:$L$23,12)))+(COUNTIF(G2569:I2569,"?*")&lt;N(INDEX(Setup!$L$6:$L$23,12)))+(COUNTIF(K2569:M2569,"?*")&lt;N(INDEX(Setup!$L$6:$L$23,12)))+(COUNTIF(O2569:Q2569,"?*")&lt;N(INDEX(Setup!$L$6:$L$23,12)))+(COUNTIF(S2569:U2569,"?*")&lt;N(INDEX(Setup!$L$6:$L$23,12)))+((W2569="")*(INDEX(Setup!$M$6:$M$23,12)="Y"))+((Y2569="")*(INDEX(Setup!$M$6:$M$23,12)="Y")))</f>
        <v/>
      </c>
      <c r="AC2569" s="91">
        <f>IF($B2569="","",IF(AB2569=0,"✓ covered","⚠ "&amp;AB2569&amp;IF(AB2569=1," gap"," gaps")))</f>
        <v/>
      </c>
    </row>
    <row r="2570" ht="17" customHeight="1">
      <c r="A2570" t="n">
        <v>52</v>
      </c>
      <c r="B2570" s="24">
        <f>IF(Setup!$K$18="","",Setup!$K$18)</f>
        <v/>
      </c>
      <c r="C2570" s="88" t="n"/>
      <c r="D2570" s="88" t="n"/>
      <c r="E2570" s="88" t="n"/>
      <c r="F2570" s="89" t="n"/>
      <c r="G2570" s="88" t="n"/>
      <c r="H2570" s="88" t="n"/>
      <c r="I2570" s="88" t="n"/>
      <c r="J2570" s="89" t="n"/>
      <c r="K2570" s="88" t="n"/>
      <c r="L2570" s="88" t="n"/>
      <c r="M2570" s="88" t="n"/>
      <c r="N2570" s="89" t="n"/>
      <c r="O2570" s="88" t="n"/>
      <c r="P2570" s="88" t="n"/>
      <c r="Q2570" s="88" t="n"/>
      <c r="R2570" s="89" t="n"/>
      <c r="S2570" s="88" t="n"/>
      <c r="T2570" s="88" t="n"/>
      <c r="U2570" s="88" t="n"/>
      <c r="V2570" s="89" t="n"/>
      <c r="W2570" s="88" t="n"/>
      <c r="X2570" s="89" t="n"/>
      <c r="Y2570" s="88" t="n"/>
      <c r="Z2570" s="89" t="n"/>
      <c r="AB2570" s="25">
        <f>IF($B2570="","",(COUNTIF(C2570:E2570,"?*")&lt;N(INDEX(Setup!$L$6:$L$23,13)))+(COUNTIF(G2570:I2570,"?*")&lt;N(INDEX(Setup!$L$6:$L$23,13)))+(COUNTIF(K2570:M2570,"?*")&lt;N(INDEX(Setup!$L$6:$L$23,13)))+(COUNTIF(O2570:Q2570,"?*")&lt;N(INDEX(Setup!$L$6:$L$23,13)))+(COUNTIF(S2570:U2570,"?*")&lt;N(INDEX(Setup!$L$6:$L$23,13)))+((W2570="")*(INDEX(Setup!$M$6:$M$23,13)="Y"))+((Y2570="")*(INDEX(Setup!$M$6:$M$23,13)="Y")))</f>
        <v/>
      </c>
      <c r="AC2570" s="90">
        <f>IF($B2570="","",IF(AB2570=0,"✓ covered","⚠ "&amp;AB2570&amp;IF(AB2570=1," gap"," gaps")))</f>
        <v/>
      </c>
    </row>
    <row r="2571" ht="17" customHeight="1">
      <c r="A2571" t="n">
        <v>52</v>
      </c>
      <c r="B2571" s="29">
        <f>IF(Setup!$K$19="","",Setup!$K$19)</f>
        <v/>
      </c>
      <c r="C2571" s="88" t="n"/>
      <c r="D2571" s="88" t="n"/>
      <c r="E2571" s="88" t="n"/>
      <c r="F2571" s="89" t="n"/>
      <c r="G2571" s="88" t="n"/>
      <c r="H2571" s="88" t="n"/>
      <c r="I2571" s="88" t="n"/>
      <c r="J2571" s="89" t="n"/>
      <c r="K2571" s="88" t="n"/>
      <c r="L2571" s="88" t="n"/>
      <c r="M2571" s="88" t="n"/>
      <c r="N2571" s="89" t="n"/>
      <c r="O2571" s="88" t="n"/>
      <c r="P2571" s="88" t="n"/>
      <c r="Q2571" s="88" t="n"/>
      <c r="R2571" s="89" t="n"/>
      <c r="S2571" s="88" t="n"/>
      <c r="T2571" s="88" t="n"/>
      <c r="U2571" s="88" t="n"/>
      <c r="V2571" s="89" t="n"/>
      <c r="W2571" s="88" t="n"/>
      <c r="X2571" s="89" t="n"/>
      <c r="Y2571" s="88" t="n"/>
      <c r="Z2571" s="89" t="n"/>
      <c r="AB2571" s="30">
        <f>IF($B2571="","",(COUNTIF(C2571:E2571,"?*")&lt;N(INDEX(Setup!$L$6:$L$23,14)))+(COUNTIF(G2571:I2571,"?*")&lt;N(INDEX(Setup!$L$6:$L$23,14)))+(COUNTIF(K2571:M2571,"?*")&lt;N(INDEX(Setup!$L$6:$L$23,14)))+(COUNTIF(O2571:Q2571,"?*")&lt;N(INDEX(Setup!$L$6:$L$23,14)))+(COUNTIF(S2571:U2571,"?*")&lt;N(INDEX(Setup!$L$6:$L$23,14)))+((W2571="")*(INDEX(Setup!$M$6:$M$23,14)="Y"))+((Y2571="")*(INDEX(Setup!$M$6:$M$23,14)="Y")))</f>
        <v/>
      </c>
      <c r="AC2571" s="91">
        <f>IF($B2571="","",IF(AB2571=0,"✓ covered","⚠ "&amp;AB2571&amp;IF(AB2571=1," gap"," gaps")))</f>
        <v/>
      </c>
    </row>
    <row r="2572" ht="17" customHeight="1">
      <c r="A2572" t="n">
        <v>52</v>
      </c>
      <c r="B2572" s="24">
        <f>IF(Setup!$K$20="","",Setup!$K$20)</f>
        <v/>
      </c>
      <c r="C2572" s="88" t="n"/>
      <c r="D2572" s="88" t="n"/>
      <c r="E2572" s="88" t="n"/>
      <c r="F2572" s="89" t="n"/>
      <c r="G2572" s="88" t="n"/>
      <c r="H2572" s="88" t="n"/>
      <c r="I2572" s="88" t="n"/>
      <c r="J2572" s="89" t="n"/>
      <c r="K2572" s="88" t="n"/>
      <c r="L2572" s="88" t="n"/>
      <c r="M2572" s="88" t="n"/>
      <c r="N2572" s="89" t="n"/>
      <c r="O2572" s="88" t="n"/>
      <c r="P2572" s="88" t="n"/>
      <c r="Q2572" s="88" t="n"/>
      <c r="R2572" s="89" t="n"/>
      <c r="S2572" s="88" t="n"/>
      <c r="T2572" s="88" t="n"/>
      <c r="U2572" s="88" t="n"/>
      <c r="V2572" s="89" t="n"/>
      <c r="W2572" s="88" t="n"/>
      <c r="X2572" s="89" t="n"/>
      <c r="Y2572" s="88" t="n"/>
      <c r="Z2572" s="89" t="n"/>
      <c r="AB2572" s="25">
        <f>IF($B2572="","",(COUNTIF(C2572:E2572,"?*")&lt;N(INDEX(Setup!$L$6:$L$23,15)))+(COUNTIF(G2572:I2572,"?*")&lt;N(INDEX(Setup!$L$6:$L$23,15)))+(COUNTIF(K2572:M2572,"?*")&lt;N(INDEX(Setup!$L$6:$L$23,15)))+(COUNTIF(O2572:Q2572,"?*")&lt;N(INDEX(Setup!$L$6:$L$23,15)))+(COUNTIF(S2572:U2572,"?*")&lt;N(INDEX(Setup!$L$6:$L$23,15)))+((W2572="")*(INDEX(Setup!$M$6:$M$23,15)="Y"))+((Y2572="")*(INDEX(Setup!$M$6:$M$23,15)="Y")))</f>
        <v/>
      </c>
      <c r="AC2572" s="90">
        <f>IF($B2572="","",IF(AB2572=0,"✓ covered","⚠ "&amp;AB2572&amp;IF(AB2572=1," gap"," gaps")))</f>
        <v/>
      </c>
    </row>
    <row r="2573" ht="17" customHeight="1">
      <c r="A2573" t="n">
        <v>52</v>
      </c>
      <c r="B2573" s="29">
        <f>IF(Setup!$K$21="","",Setup!$K$21)</f>
        <v/>
      </c>
      <c r="C2573" s="88" t="n"/>
      <c r="D2573" s="88" t="n"/>
      <c r="E2573" s="88" t="n"/>
      <c r="F2573" s="89" t="n"/>
      <c r="G2573" s="88" t="n"/>
      <c r="H2573" s="88" t="n"/>
      <c r="I2573" s="88" t="n"/>
      <c r="J2573" s="89" t="n"/>
      <c r="K2573" s="88" t="n"/>
      <c r="L2573" s="88" t="n"/>
      <c r="M2573" s="88" t="n"/>
      <c r="N2573" s="89" t="n"/>
      <c r="O2573" s="88" t="n"/>
      <c r="P2573" s="88" t="n"/>
      <c r="Q2573" s="88" t="n"/>
      <c r="R2573" s="89" t="n"/>
      <c r="S2573" s="88" t="n"/>
      <c r="T2573" s="88" t="n"/>
      <c r="U2573" s="88" t="n"/>
      <c r="V2573" s="89" t="n"/>
      <c r="W2573" s="88" t="n"/>
      <c r="X2573" s="89" t="n"/>
      <c r="Y2573" s="88" t="n"/>
      <c r="Z2573" s="89" t="n"/>
      <c r="AB2573" s="30">
        <f>IF($B2573="","",(COUNTIF(C2573:E2573,"?*")&lt;N(INDEX(Setup!$L$6:$L$23,16)))+(COUNTIF(G2573:I2573,"?*")&lt;N(INDEX(Setup!$L$6:$L$23,16)))+(COUNTIF(K2573:M2573,"?*")&lt;N(INDEX(Setup!$L$6:$L$23,16)))+(COUNTIF(O2573:Q2573,"?*")&lt;N(INDEX(Setup!$L$6:$L$23,16)))+(COUNTIF(S2573:U2573,"?*")&lt;N(INDEX(Setup!$L$6:$L$23,16)))+((W2573="")*(INDEX(Setup!$M$6:$M$23,16)="Y"))+((Y2573="")*(INDEX(Setup!$M$6:$M$23,16)="Y")))</f>
        <v/>
      </c>
      <c r="AC2573" s="91">
        <f>IF($B2573="","",IF(AB2573=0,"✓ covered","⚠ "&amp;AB2573&amp;IF(AB2573=1," gap"," gaps")))</f>
        <v/>
      </c>
    </row>
    <row r="2574" ht="17" customHeight="1">
      <c r="A2574" t="n">
        <v>52</v>
      </c>
      <c r="B2574" s="24">
        <f>IF(Setup!$K$22="","",Setup!$K$22)</f>
        <v/>
      </c>
      <c r="C2574" s="88" t="n"/>
      <c r="D2574" s="88" t="n"/>
      <c r="E2574" s="88" t="n"/>
      <c r="F2574" s="89" t="n"/>
      <c r="G2574" s="88" t="n"/>
      <c r="H2574" s="88" t="n"/>
      <c r="I2574" s="88" t="n"/>
      <c r="J2574" s="89" t="n"/>
      <c r="K2574" s="88" t="n"/>
      <c r="L2574" s="88" t="n"/>
      <c r="M2574" s="88" t="n"/>
      <c r="N2574" s="89" t="n"/>
      <c r="O2574" s="88" t="n"/>
      <c r="P2574" s="88" t="n"/>
      <c r="Q2574" s="88" t="n"/>
      <c r="R2574" s="89" t="n"/>
      <c r="S2574" s="88" t="n"/>
      <c r="T2574" s="88" t="n"/>
      <c r="U2574" s="88" t="n"/>
      <c r="V2574" s="89" t="n"/>
      <c r="W2574" s="88" t="n"/>
      <c r="X2574" s="89" t="n"/>
      <c r="Y2574" s="88" t="n"/>
      <c r="Z2574" s="89" t="n"/>
      <c r="AB2574" s="25">
        <f>IF($B2574="","",(COUNTIF(C2574:E2574,"?*")&lt;N(INDEX(Setup!$L$6:$L$23,17)))+(COUNTIF(G2574:I2574,"?*")&lt;N(INDEX(Setup!$L$6:$L$23,17)))+(COUNTIF(K2574:M2574,"?*")&lt;N(INDEX(Setup!$L$6:$L$23,17)))+(COUNTIF(O2574:Q2574,"?*")&lt;N(INDEX(Setup!$L$6:$L$23,17)))+(COUNTIF(S2574:U2574,"?*")&lt;N(INDEX(Setup!$L$6:$L$23,17)))+((W2574="")*(INDEX(Setup!$M$6:$M$23,17)="Y"))+((Y2574="")*(INDEX(Setup!$M$6:$M$23,17)="Y")))</f>
        <v/>
      </c>
      <c r="AC2574" s="90">
        <f>IF($B2574="","",IF(AB2574=0,"✓ covered","⚠ "&amp;AB2574&amp;IF(AB2574=1," gap"," gaps")))</f>
        <v/>
      </c>
    </row>
    <row r="2575" ht="17" customHeight="1">
      <c r="A2575" t="n">
        <v>52</v>
      </c>
      <c r="B2575" s="29">
        <f>IF(Setup!$K$23="","",Setup!$K$23)</f>
        <v/>
      </c>
      <c r="C2575" s="88" t="n"/>
      <c r="D2575" s="88" t="n"/>
      <c r="E2575" s="88" t="n"/>
      <c r="F2575" s="89" t="n"/>
      <c r="G2575" s="88" t="n"/>
      <c r="H2575" s="88" t="n"/>
      <c r="I2575" s="88" t="n"/>
      <c r="J2575" s="89" t="n"/>
      <c r="K2575" s="88" t="n"/>
      <c r="L2575" s="88" t="n"/>
      <c r="M2575" s="88" t="n"/>
      <c r="N2575" s="89" t="n"/>
      <c r="O2575" s="88" t="n"/>
      <c r="P2575" s="88" t="n"/>
      <c r="Q2575" s="88" t="n"/>
      <c r="R2575" s="89" t="n"/>
      <c r="S2575" s="88" t="n"/>
      <c r="T2575" s="88" t="n"/>
      <c r="U2575" s="88" t="n"/>
      <c r="V2575" s="89" t="n"/>
      <c r="W2575" s="88" t="n"/>
      <c r="X2575" s="89" t="n"/>
      <c r="Y2575" s="88" t="n"/>
      <c r="Z2575" s="89" t="n"/>
      <c r="AB2575" s="30">
        <f>IF($B2575="","",(COUNTIF(C2575:E2575,"?*")&lt;N(INDEX(Setup!$L$6:$L$23,18)))+(COUNTIF(G2575:I2575,"?*")&lt;N(INDEX(Setup!$L$6:$L$23,18)))+(COUNTIF(K2575:M2575,"?*")&lt;N(INDEX(Setup!$L$6:$L$23,18)))+(COUNTIF(O2575:Q2575,"?*")&lt;N(INDEX(Setup!$L$6:$L$23,18)))+(COUNTIF(S2575:U2575,"?*")&lt;N(INDEX(Setup!$L$6:$L$23,18)))+((W2575="")*(INDEX(Setup!$M$6:$M$23,18)="Y"))+((Y2575="")*(INDEX(Setup!$M$6:$M$23,18)="Y")))</f>
        <v/>
      </c>
      <c r="AC2575" s="91">
        <f>IF($B2575="","",IF(AB2575=0,"✓ covered","⚠ "&amp;AB2575&amp;IF(AB2575=1," gap"," gaps")))</f>
        <v/>
      </c>
    </row>
    <row r="2576" ht="18" customHeight="1">
      <c r="A2576" t="n">
        <v>52</v>
      </c>
      <c r="B2576" s="78" t="inlineStr">
        <is>
          <t>TEAM AVAILABILITY</t>
        </is>
      </c>
      <c r="C2576" s="92" t="inlineStr">
        <is>
          <t>Mon</t>
        </is>
      </c>
      <c r="D2576" s="93" t="n"/>
      <c r="E2576" s="93" t="n"/>
      <c r="F2576" s="94" t="n"/>
      <c r="G2576" s="92" t="inlineStr">
        <is>
          <t>Tue</t>
        </is>
      </c>
      <c r="H2576" s="93" t="n"/>
      <c r="I2576" s="93" t="n"/>
      <c r="J2576" s="94" t="n"/>
      <c r="K2576" s="92" t="inlineStr">
        <is>
          <t>Wed</t>
        </is>
      </c>
      <c r="L2576" s="93" t="n"/>
      <c r="M2576" s="93" t="n"/>
      <c r="N2576" s="94" t="n"/>
      <c r="O2576" s="92" t="inlineStr">
        <is>
          <t>Thu</t>
        </is>
      </c>
      <c r="P2576" s="93" t="n"/>
      <c r="Q2576" s="93" t="n"/>
      <c r="R2576" s="94" t="n"/>
      <c r="S2576" s="92" t="inlineStr">
        <is>
          <t>Fri</t>
        </is>
      </c>
      <c r="T2576" s="93" t="n"/>
      <c r="U2576" s="93" t="n"/>
      <c r="V2576" s="94" t="n"/>
      <c r="W2576" s="95" t="inlineStr">
        <is>
          <t>Sat</t>
        </is>
      </c>
      <c r="X2576" s="96" t="n"/>
      <c r="Y2576" s="95" t="inlineStr">
        <is>
          <t>Sun</t>
        </is>
      </c>
      <c r="Z2576" s="96" t="n"/>
      <c r="AB2576" s="97" t="inlineStr">
        <is>
          <t>Days rostered</t>
        </is>
      </c>
      <c r="AC2576" s="97" t="inlineStr">
        <is>
          <t>Conflicts</t>
        </is>
      </c>
    </row>
    <row r="2577" ht="15" customHeight="1">
      <c r="A2577" t="n">
        <v>52</v>
      </c>
      <c r="B2577" s="35">
        <f>IF(Setup!$B$6="","",Setup!$B$6)</f>
        <v/>
      </c>
      <c r="C2577" s="98" t="n"/>
      <c r="D2577" s="99" t="n"/>
      <c r="E2577" s="99" t="n"/>
      <c r="F2577" s="100" t="n"/>
      <c r="G2577" s="98" t="n"/>
      <c r="H2577" s="99" t="n"/>
      <c r="I2577" s="99" t="n"/>
      <c r="J2577" s="100" t="n"/>
      <c r="K2577" s="98" t="n"/>
      <c r="L2577" s="99" t="n"/>
      <c r="M2577" s="99" t="n"/>
      <c r="N2577" s="100" t="n"/>
      <c r="O2577" s="98" t="n"/>
      <c r="P2577" s="99" t="n"/>
      <c r="Q2577" s="99" t="n"/>
      <c r="R2577" s="100" t="n"/>
      <c r="S2577" s="98" t="n"/>
      <c r="T2577" s="99" t="n"/>
      <c r="U2577" s="99" t="n"/>
      <c r="V2577" s="100" t="n"/>
      <c r="W2577" s="98" t="n"/>
      <c r="X2577" s="100" t="n"/>
      <c r="Y2577" s="98" t="n"/>
      <c r="Z2577" s="100" t="n"/>
      <c r="AB2577" s="101">
        <f>IF($B2577="","",(COUNTIF(C2558:E2575,$B2577)+COUNTIF(C2558:E2575,$B2577&amp;" ~*")&gt;0)+(COUNTIF(G2558:I2575,$B2577)+COUNTIF(G2558:I2575,$B2577&amp;" ~*")&gt;0)+(COUNTIF(K2558:M2575,$B2577)+COUNTIF(K2558:M2575,$B2577&amp;" ~*")&gt;0)+(COUNTIF(O2558:Q2575,$B2577)+COUNTIF(O2558:Q2575,$B2577&amp;" ~*")&gt;0)+(COUNTIF(S2558:U2575,$B2577)+COUNTIF(S2558:U2575,$B2577&amp;" ~*")&gt;0)+(COUNTIF(W2558:W2575,$B2577)+COUNTIF(W2558:W2575,$B2577&amp;" ~*")&gt;0)+(COUNTIF(Y2558:Y2575,$B2577)+COUNTIF(Y2558:Y2575,$B2577&amp;" ~*")&gt;0))</f>
        <v/>
      </c>
      <c r="AC2577" s="36">
        <f>IF($B2577="","",(IFERROR(INDEX(Setup!$G$33:$G$40,MATCH(C2577,Setup!$B$33:$B$40,0)),0)=1)*(COUNTIF(C2558:E2575,$B2577)+COUNTIF(C2558:E2575,$B2577&amp;" ~*")&gt;0)+(IFERROR(INDEX(Setup!$G$33:$G$40,MATCH(G2577,Setup!$B$33:$B$40,0)),0)=1)*(COUNTIF(G2558:I2575,$B2577)+COUNTIF(G2558:I2575,$B2577&amp;" ~*")&gt;0)+(IFERROR(INDEX(Setup!$G$33:$G$40,MATCH(K2577,Setup!$B$33:$B$40,0)),0)=1)*(COUNTIF(K2558:M2575,$B2577)+COUNTIF(K2558:M2575,$B2577&amp;" ~*")&gt;0)+(IFERROR(INDEX(Setup!$G$33:$G$40,MATCH(O2577,Setup!$B$33:$B$40,0)),0)=1)*(COUNTIF(O2558:Q2575,$B2577)+COUNTIF(O2558:Q2575,$B2577&amp;" ~*")&gt;0)+(IFERROR(INDEX(Setup!$G$33:$G$40,MATCH(S2577,Setup!$B$33:$B$40,0)),0)=1)*(COUNTIF(S2558:U2575,$B2577)+COUNTIF(S2558:U2575,$B2577&amp;" ~*")&gt;0)+(IFERROR(INDEX(Setup!$G$33:$G$40,MATCH(W2577,Setup!$B$33:$B$40,0)),0)=1)*(COUNTIF(W2558:W2575,$B2577)+COUNTIF(W2558:W2575,$B2577&amp;" ~*")&gt;0)+(IFERROR(INDEX(Setup!$G$33:$G$40,MATCH(Y2577,Setup!$B$33:$B$40,0)),0)=1)*(COUNTIF(Y2558:Y2575,$B2577)+COUNTIF(Y2558:Y2575,$B2577&amp;" ~*")&gt;0))</f>
        <v/>
      </c>
    </row>
    <row r="2578" ht="15" customHeight="1">
      <c r="A2578" t="n">
        <v>52</v>
      </c>
      <c r="B2578" s="37">
        <f>IF(Setup!$B$7="","",Setup!$B$7)</f>
        <v/>
      </c>
      <c r="C2578" s="102" t="n"/>
      <c r="D2578" s="103" t="n"/>
      <c r="E2578" s="103" t="n"/>
      <c r="F2578" s="104" t="n"/>
      <c r="G2578" s="102" t="n"/>
      <c r="H2578" s="103" t="n"/>
      <c r="I2578" s="103" t="n"/>
      <c r="J2578" s="104" t="n"/>
      <c r="K2578" s="102" t="n"/>
      <c r="L2578" s="103" t="n"/>
      <c r="M2578" s="103" t="n"/>
      <c r="N2578" s="104" t="n"/>
      <c r="O2578" s="102" t="n"/>
      <c r="P2578" s="103" t="n"/>
      <c r="Q2578" s="103" t="n"/>
      <c r="R2578" s="104" t="n"/>
      <c r="S2578" s="102" t="n"/>
      <c r="T2578" s="103" t="n"/>
      <c r="U2578" s="103" t="n"/>
      <c r="V2578" s="104" t="n"/>
      <c r="W2578" s="102" t="n"/>
      <c r="X2578" s="104" t="n"/>
      <c r="Y2578" s="102" t="n"/>
      <c r="Z2578" s="104" t="n"/>
      <c r="AB2578" s="105">
        <f>IF($B2578="","",(COUNTIF(C2558:E2575,$B2578)+COUNTIF(C2558:E2575,$B2578&amp;" ~*")&gt;0)+(COUNTIF(G2558:I2575,$B2578)+COUNTIF(G2558:I2575,$B2578&amp;" ~*")&gt;0)+(COUNTIF(K2558:M2575,$B2578)+COUNTIF(K2558:M2575,$B2578&amp;" ~*")&gt;0)+(COUNTIF(O2558:Q2575,$B2578)+COUNTIF(O2558:Q2575,$B2578&amp;" ~*")&gt;0)+(COUNTIF(S2558:U2575,$B2578)+COUNTIF(S2558:U2575,$B2578&amp;" ~*")&gt;0)+(COUNTIF(W2558:W2575,$B2578)+COUNTIF(W2558:W2575,$B2578&amp;" ~*")&gt;0)+(COUNTIF(Y2558:Y2575,$B2578)+COUNTIF(Y2558:Y2575,$B2578&amp;" ~*")&gt;0))</f>
        <v/>
      </c>
      <c r="AC2578" s="38">
        <f>IF($B2578="","",(IFERROR(INDEX(Setup!$G$33:$G$40,MATCH(C2578,Setup!$B$33:$B$40,0)),0)=1)*(COUNTIF(C2558:E2575,$B2578)+COUNTIF(C2558:E2575,$B2578&amp;" ~*")&gt;0)+(IFERROR(INDEX(Setup!$G$33:$G$40,MATCH(G2578,Setup!$B$33:$B$40,0)),0)=1)*(COUNTIF(G2558:I2575,$B2578)+COUNTIF(G2558:I2575,$B2578&amp;" ~*")&gt;0)+(IFERROR(INDEX(Setup!$G$33:$G$40,MATCH(K2578,Setup!$B$33:$B$40,0)),0)=1)*(COUNTIF(K2558:M2575,$B2578)+COUNTIF(K2558:M2575,$B2578&amp;" ~*")&gt;0)+(IFERROR(INDEX(Setup!$G$33:$G$40,MATCH(O2578,Setup!$B$33:$B$40,0)),0)=1)*(COUNTIF(O2558:Q2575,$B2578)+COUNTIF(O2558:Q2575,$B2578&amp;" ~*")&gt;0)+(IFERROR(INDEX(Setup!$G$33:$G$40,MATCH(S2578,Setup!$B$33:$B$40,0)),0)=1)*(COUNTIF(S2558:U2575,$B2578)+COUNTIF(S2558:U2575,$B2578&amp;" ~*")&gt;0)+(IFERROR(INDEX(Setup!$G$33:$G$40,MATCH(W2578,Setup!$B$33:$B$40,0)),0)=1)*(COUNTIF(W2558:W2575,$B2578)+COUNTIF(W2558:W2575,$B2578&amp;" ~*")&gt;0)+(IFERROR(INDEX(Setup!$G$33:$G$40,MATCH(Y2578,Setup!$B$33:$B$40,0)),0)=1)*(COUNTIF(Y2558:Y2575,$B2578)+COUNTIF(Y2558:Y2575,$B2578&amp;" ~*")&gt;0))</f>
        <v/>
      </c>
    </row>
    <row r="2579" ht="15" customHeight="1">
      <c r="A2579" t="n">
        <v>52</v>
      </c>
      <c r="B2579" s="35">
        <f>IF(Setup!$B$8="","",Setup!$B$8)</f>
        <v/>
      </c>
      <c r="C2579" s="98" t="n"/>
      <c r="D2579" s="99" t="n"/>
      <c r="E2579" s="99" t="n"/>
      <c r="F2579" s="100" t="n"/>
      <c r="G2579" s="98" t="n"/>
      <c r="H2579" s="99" t="n"/>
      <c r="I2579" s="99" t="n"/>
      <c r="J2579" s="100" t="n"/>
      <c r="K2579" s="98" t="n"/>
      <c r="L2579" s="99" t="n"/>
      <c r="M2579" s="99" t="n"/>
      <c r="N2579" s="100" t="n"/>
      <c r="O2579" s="98" t="n"/>
      <c r="P2579" s="99" t="n"/>
      <c r="Q2579" s="99" t="n"/>
      <c r="R2579" s="100" t="n"/>
      <c r="S2579" s="98" t="n"/>
      <c r="T2579" s="99" t="n"/>
      <c r="U2579" s="99" t="n"/>
      <c r="V2579" s="100" t="n"/>
      <c r="W2579" s="98" t="n"/>
      <c r="X2579" s="100" t="n"/>
      <c r="Y2579" s="98" t="n"/>
      <c r="Z2579" s="100" t="n"/>
      <c r="AB2579" s="101">
        <f>IF($B2579="","",(COUNTIF(C2558:E2575,$B2579)+COUNTIF(C2558:E2575,$B2579&amp;" ~*")&gt;0)+(COUNTIF(G2558:I2575,$B2579)+COUNTIF(G2558:I2575,$B2579&amp;" ~*")&gt;0)+(COUNTIF(K2558:M2575,$B2579)+COUNTIF(K2558:M2575,$B2579&amp;" ~*")&gt;0)+(COUNTIF(O2558:Q2575,$B2579)+COUNTIF(O2558:Q2575,$B2579&amp;" ~*")&gt;0)+(COUNTIF(S2558:U2575,$B2579)+COUNTIF(S2558:U2575,$B2579&amp;" ~*")&gt;0)+(COUNTIF(W2558:W2575,$B2579)+COUNTIF(W2558:W2575,$B2579&amp;" ~*")&gt;0)+(COUNTIF(Y2558:Y2575,$B2579)+COUNTIF(Y2558:Y2575,$B2579&amp;" ~*")&gt;0))</f>
        <v/>
      </c>
      <c r="AC2579" s="36">
        <f>IF($B2579="","",(IFERROR(INDEX(Setup!$G$33:$G$40,MATCH(C2579,Setup!$B$33:$B$40,0)),0)=1)*(COUNTIF(C2558:E2575,$B2579)+COUNTIF(C2558:E2575,$B2579&amp;" ~*")&gt;0)+(IFERROR(INDEX(Setup!$G$33:$G$40,MATCH(G2579,Setup!$B$33:$B$40,0)),0)=1)*(COUNTIF(G2558:I2575,$B2579)+COUNTIF(G2558:I2575,$B2579&amp;" ~*")&gt;0)+(IFERROR(INDEX(Setup!$G$33:$G$40,MATCH(K2579,Setup!$B$33:$B$40,0)),0)=1)*(COUNTIF(K2558:M2575,$B2579)+COUNTIF(K2558:M2575,$B2579&amp;" ~*")&gt;0)+(IFERROR(INDEX(Setup!$G$33:$G$40,MATCH(O2579,Setup!$B$33:$B$40,0)),0)=1)*(COUNTIF(O2558:Q2575,$B2579)+COUNTIF(O2558:Q2575,$B2579&amp;" ~*")&gt;0)+(IFERROR(INDEX(Setup!$G$33:$G$40,MATCH(S2579,Setup!$B$33:$B$40,0)),0)=1)*(COUNTIF(S2558:U2575,$B2579)+COUNTIF(S2558:U2575,$B2579&amp;" ~*")&gt;0)+(IFERROR(INDEX(Setup!$G$33:$G$40,MATCH(W2579,Setup!$B$33:$B$40,0)),0)=1)*(COUNTIF(W2558:W2575,$B2579)+COUNTIF(W2558:W2575,$B2579&amp;" ~*")&gt;0)+(IFERROR(INDEX(Setup!$G$33:$G$40,MATCH(Y2579,Setup!$B$33:$B$40,0)),0)=1)*(COUNTIF(Y2558:Y2575,$B2579)+COUNTIF(Y2558:Y2575,$B2579&amp;" ~*")&gt;0))</f>
        <v/>
      </c>
    </row>
    <row r="2580" ht="15" customHeight="1">
      <c r="A2580" t="n">
        <v>52</v>
      </c>
      <c r="B2580" s="37">
        <f>IF(Setup!$B$9="","",Setup!$B$9)</f>
        <v/>
      </c>
      <c r="C2580" s="102" t="n"/>
      <c r="D2580" s="103" t="n"/>
      <c r="E2580" s="103" t="n"/>
      <c r="F2580" s="104" t="n"/>
      <c r="G2580" s="102" t="n"/>
      <c r="H2580" s="103" t="n"/>
      <c r="I2580" s="103" t="n"/>
      <c r="J2580" s="104" t="n"/>
      <c r="K2580" s="102" t="n"/>
      <c r="L2580" s="103" t="n"/>
      <c r="M2580" s="103" t="n"/>
      <c r="N2580" s="104" t="n"/>
      <c r="O2580" s="102" t="n"/>
      <c r="P2580" s="103" t="n"/>
      <c r="Q2580" s="103" t="n"/>
      <c r="R2580" s="104" t="n"/>
      <c r="S2580" s="102" t="n"/>
      <c r="T2580" s="103" t="n"/>
      <c r="U2580" s="103" t="n"/>
      <c r="V2580" s="104" t="n"/>
      <c r="W2580" s="102" t="n"/>
      <c r="X2580" s="104" t="n"/>
      <c r="Y2580" s="102" t="n"/>
      <c r="Z2580" s="104" t="n"/>
      <c r="AB2580" s="105">
        <f>IF($B2580="","",(COUNTIF(C2558:E2575,$B2580)+COUNTIF(C2558:E2575,$B2580&amp;" ~*")&gt;0)+(COUNTIF(G2558:I2575,$B2580)+COUNTIF(G2558:I2575,$B2580&amp;" ~*")&gt;0)+(COUNTIF(K2558:M2575,$B2580)+COUNTIF(K2558:M2575,$B2580&amp;" ~*")&gt;0)+(COUNTIF(O2558:Q2575,$B2580)+COUNTIF(O2558:Q2575,$B2580&amp;" ~*")&gt;0)+(COUNTIF(S2558:U2575,$B2580)+COUNTIF(S2558:U2575,$B2580&amp;" ~*")&gt;0)+(COUNTIF(W2558:W2575,$B2580)+COUNTIF(W2558:W2575,$B2580&amp;" ~*")&gt;0)+(COUNTIF(Y2558:Y2575,$B2580)+COUNTIF(Y2558:Y2575,$B2580&amp;" ~*")&gt;0))</f>
        <v/>
      </c>
      <c r="AC2580" s="38">
        <f>IF($B2580="","",(IFERROR(INDEX(Setup!$G$33:$G$40,MATCH(C2580,Setup!$B$33:$B$40,0)),0)=1)*(COUNTIF(C2558:E2575,$B2580)+COUNTIF(C2558:E2575,$B2580&amp;" ~*")&gt;0)+(IFERROR(INDEX(Setup!$G$33:$G$40,MATCH(G2580,Setup!$B$33:$B$40,0)),0)=1)*(COUNTIF(G2558:I2575,$B2580)+COUNTIF(G2558:I2575,$B2580&amp;" ~*")&gt;0)+(IFERROR(INDEX(Setup!$G$33:$G$40,MATCH(K2580,Setup!$B$33:$B$40,0)),0)=1)*(COUNTIF(K2558:M2575,$B2580)+COUNTIF(K2558:M2575,$B2580&amp;" ~*")&gt;0)+(IFERROR(INDEX(Setup!$G$33:$G$40,MATCH(O2580,Setup!$B$33:$B$40,0)),0)=1)*(COUNTIF(O2558:Q2575,$B2580)+COUNTIF(O2558:Q2575,$B2580&amp;" ~*")&gt;0)+(IFERROR(INDEX(Setup!$G$33:$G$40,MATCH(S2580,Setup!$B$33:$B$40,0)),0)=1)*(COUNTIF(S2558:U2575,$B2580)+COUNTIF(S2558:U2575,$B2580&amp;" ~*")&gt;0)+(IFERROR(INDEX(Setup!$G$33:$G$40,MATCH(W2580,Setup!$B$33:$B$40,0)),0)=1)*(COUNTIF(W2558:W2575,$B2580)+COUNTIF(W2558:W2575,$B2580&amp;" ~*")&gt;0)+(IFERROR(INDEX(Setup!$G$33:$G$40,MATCH(Y2580,Setup!$B$33:$B$40,0)),0)=1)*(COUNTIF(Y2558:Y2575,$B2580)+COUNTIF(Y2558:Y2575,$B2580&amp;" ~*")&gt;0))</f>
        <v/>
      </c>
    </row>
    <row r="2581" ht="15" customHeight="1">
      <c r="A2581" t="n">
        <v>52</v>
      </c>
      <c r="B2581" s="35">
        <f>IF(Setup!$B$10="","",Setup!$B$10)</f>
        <v/>
      </c>
      <c r="C2581" s="98" t="n"/>
      <c r="D2581" s="99" t="n"/>
      <c r="E2581" s="99" t="n"/>
      <c r="F2581" s="100" t="n"/>
      <c r="G2581" s="98" t="n"/>
      <c r="H2581" s="99" t="n"/>
      <c r="I2581" s="99" t="n"/>
      <c r="J2581" s="100" t="n"/>
      <c r="K2581" s="98" t="n"/>
      <c r="L2581" s="99" t="n"/>
      <c r="M2581" s="99" t="n"/>
      <c r="N2581" s="100" t="n"/>
      <c r="O2581" s="98" t="n"/>
      <c r="P2581" s="99" t="n"/>
      <c r="Q2581" s="99" t="n"/>
      <c r="R2581" s="100" t="n"/>
      <c r="S2581" s="98" t="n"/>
      <c r="T2581" s="99" t="n"/>
      <c r="U2581" s="99" t="n"/>
      <c r="V2581" s="100" t="n"/>
      <c r="W2581" s="98" t="n"/>
      <c r="X2581" s="100" t="n"/>
      <c r="Y2581" s="98" t="n"/>
      <c r="Z2581" s="100" t="n"/>
      <c r="AB2581" s="101">
        <f>IF($B2581="","",(COUNTIF(C2558:E2575,$B2581)+COUNTIF(C2558:E2575,$B2581&amp;" ~*")&gt;0)+(COUNTIF(G2558:I2575,$B2581)+COUNTIF(G2558:I2575,$B2581&amp;" ~*")&gt;0)+(COUNTIF(K2558:M2575,$B2581)+COUNTIF(K2558:M2575,$B2581&amp;" ~*")&gt;0)+(COUNTIF(O2558:Q2575,$B2581)+COUNTIF(O2558:Q2575,$B2581&amp;" ~*")&gt;0)+(COUNTIF(S2558:U2575,$B2581)+COUNTIF(S2558:U2575,$B2581&amp;" ~*")&gt;0)+(COUNTIF(W2558:W2575,$B2581)+COUNTIF(W2558:W2575,$B2581&amp;" ~*")&gt;0)+(COUNTIF(Y2558:Y2575,$B2581)+COUNTIF(Y2558:Y2575,$B2581&amp;" ~*")&gt;0))</f>
        <v/>
      </c>
      <c r="AC2581" s="36">
        <f>IF($B2581="","",(IFERROR(INDEX(Setup!$G$33:$G$40,MATCH(C2581,Setup!$B$33:$B$40,0)),0)=1)*(COUNTIF(C2558:E2575,$B2581)+COUNTIF(C2558:E2575,$B2581&amp;" ~*")&gt;0)+(IFERROR(INDEX(Setup!$G$33:$G$40,MATCH(G2581,Setup!$B$33:$B$40,0)),0)=1)*(COUNTIF(G2558:I2575,$B2581)+COUNTIF(G2558:I2575,$B2581&amp;" ~*")&gt;0)+(IFERROR(INDEX(Setup!$G$33:$G$40,MATCH(K2581,Setup!$B$33:$B$40,0)),0)=1)*(COUNTIF(K2558:M2575,$B2581)+COUNTIF(K2558:M2575,$B2581&amp;" ~*")&gt;0)+(IFERROR(INDEX(Setup!$G$33:$G$40,MATCH(O2581,Setup!$B$33:$B$40,0)),0)=1)*(COUNTIF(O2558:Q2575,$B2581)+COUNTIF(O2558:Q2575,$B2581&amp;" ~*")&gt;0)+(IFERROR(INDEX(Setup!$G$33:$G$40,MATCH(S2581,Setup!$B$33:$B$40,0)),0)=1)*(COUNTIF(S2558:U2575,$B2581)+COUNTIF(S2558:U2575,$B2581&amp;" ~*")&gt;0)+(IFERROR(INDEX(Setup!$G$33:$G$40,MATCH(W2581,Setup!$B$33:$B$40,0)),0)=1)*(COUNTIF(W2558:W2575,$B2581)+COUNTIF(W2558:W2575,$B2581&amp;" ~*")&gt;0)+(IFERROR(INDEX(Setup!$G$33:$G$40,MATCH(Y2581,Setup!$B$33:$B$40,0)),0)=1)*(COUNTIF(Y2558:Y2575,$B2581)+COUNTIF(Y2558:Y2575,$B2581&amp;" ~*")&gt;0))</f>
        <v/>
      </c>
    </row>
    <row r="2582" ht="15" customHeight="1">
      <c r="A2582" t="n">
        <v>52</v>
      </c>
      <c r="B2582" s="37">
        <f>IF(Setup!$B$11="","",Setup!$B$11)</f>
        <v/>
      </c>
      <c r="C2582" s="102" t="n"/>
      <c r="D2582" s="103" t="n"/>
      <c r="E2582" s="103" t="n"/>
      <c r="F2582" s="104" t="n"/>
      <c r="G2582" s="102" t="n"/>
      <c r="H2582" s="103" t="n"/>
      <c r="I2582" s="103" t="n"/>
      <c r="J2582" s="104" t="n"/>
      <c r="K2582" s="102" t="n"/>
      <c r="L2582" s="103" t="n"/>
      <c r="M2582" s="103" t="n"/>
      <c r="N2582" s="104" t="n"/>
      <c r="O2582" s="102" t="n"/>
      <c r="P2582" s="103" t="n"/>
      <c r="Q2582" s="103" t="n"/>
      <c r="R2582" s="104" t="n"/>
      <c r="S2582" s="102" t="n"/>
      <c r="T2582" s="103" t="n"/>
      <c r="U2582" s="103" t="n"/>
      <c r="V2582" s="104" t="n"/>
      <c r="W2582" s="102" t="n"/>
      <c r="X2582" s="104" t="n"/>
      <c r="Y2582" s="102" t="n"/>
      <c r="Z2582" s="104" t="n"/>
      <c r="AB2582" s="105">
        <f>IF($B2582="","",(COUNTIF(C2558:E2575,$B2582)+COUNTIF(C2558:E2575,$B2582&amp;" ~*")&gt;0)+(COUNTIF(G2558:I2575,$B2582)+COUNTIF(G2558:I2575,$B2582&amp;" ~*")&gt;0)+(COUNTIF(K2558:M2575,$B2582)+COUNTIF(K2558:M2575,$B2582&amp;" ~*")&gt;0)+(COUNTIF(O2558:Q2575,$B2582)+COUNTIF(O2558:Q2575,$B2582&amp;" ~*")&gt;0)+(COUNTIF(S2558:U2575,$B2582)+COUNTIF(S2558:U2575,$B2582&amp;" ~*")&gt;0)+(COUNTIF(W2558:W2575,$B2582)+COUNTIF(W2558:W2575,$B2582&amp;" ~*")&gt;0)+(COUNTIF(Y2558:Y2575,$B2582)+COUNTIF(Y2558:Y2575,$B2582&amp;" ~*")&gt;0))</f>
        <v/>
      </c>
      <c r="AC2582" s="38">
        <f>IF($B2582="","",(IFERROR(INDEX(Setup!$G$33:$G$40,MATCH(C2582,Setup!$B$33:$B$40,0)),0)=1)*(COUNTIF(C2558:E2575,$B2582)+COUNTIF(C2558:E2575,$B2582&amp;" ~*")&gt;0)+(IFERROR(INDEX(Setup!$G$33:$G$40,MATCH(G2582,Setup!$B$33:$B$40,0)),0)=1)*(COUNTIF(G2558:I2575,$B2582)+COUNTIF(G2558:I2575,$B2582&amp;" ~*")&gt;0)+(IFERROR(INDEX(Setup!$G$33:$G$40,MATCH(K2582,Setup!$B$33:$B$40,0)),0)=1)*(COUNTIF(K2558:M2575,$B2582)+COUNTIF(K2558:M2575,$B2582&amp;" ~*")&gt;0)+(IFERROR(INDEX(Setup!$G$33:$G$40,MATCH(O2582,Setup!$B$33:$B$40,0)),0)=1)*(COUNTIF(O2558:Q2575,$B2582)+COUNTIF(O2558:Q2575,$B2582&amp;" ~*")&gt;0)+(IFERROR(INDEX(Setup!$G$33:$G$40,MATCH(S2582,Setup!$B$33:$B$40,0)),0)=1)*(COUNTIF(S2558:U2575,$B2582)+COUNTIF(S2558:U2575,$B2582&amp;" ~*")&gt;0)+(IFERROR(INDEX(Setup!$G$33:$G$40,MATCH(W2582,Setup!$B$33:$B$40,0)),0)=1)*(COUNTIF(W2558:W2575,$B2582)+COUNTIF(W2558:W2575,$B2582&amp;" ~*")&gt;0)+(IFERROR(INDEX(Setup!$G$33:$G$40,MATCH(Y2582,Setup!$B$33:$B$40,0)),0)=1)*(COUNTIF(Y2558:Y2575,$B2582)+COUNTIF(Y2558:Y2575,$B2582&amp;" ~*")&gt;0))</f>
        <v/>
      </c>
    </row>
    <row r="2583" ht="15" customHeight="1">
      <c r="A2583" t="n">
        <v>52</v>
      </c>
      <c r="B2583" s="35">
        <f>IF(Setup!$B$12="","",Setup!$B$12)</f>
        <v/>
      </c>
      <c r="C2583" s="98" t="n"/>
      <c r="D2583" s="99" t="n"/>
      <c r="E2583" s="99" t="n"/>
      <c r="F2583" s="100" t="n"/>
      <c r="G2583" s="98" t="n"/>
      <c r="H2583" s="99" t="n"/>
      <c r="I2583" s="99" t="n"/>
      <c r="J2583" s="100" t="n"/>
      <c r="K2583" s="98" t="n"/>
      <c r="L2583" s="99" t="n"/>
      <c r="M2583" s="99" t="n"/>
      <c r="N2583" s="100" t="n"/>
      <c r="O2583" s="98" t="n"/>
      <c r="P2583" s="99" t="n"/>
      <c r="Q2583" s="99" t="n"/>
      <c r="R2583" s="100" t="n"/>
      <c r="S2583" s="98" t="n"/>
      <c r="T2583" s="99" t="n"/>
      <c r="U2583" s="99" t="n"/>
      <c r="V2583" s="100" t="n"/>
      <c r="W2583" s="98" t="n"/>
      <c r="X2583" s="100" t="n"/>
      <c r="Y2583" s="98" t="n"/>
      <c r="Z2583" s="100" t="n"/>
      <c r="AB2583" s="101">
        <f>IF($B2583="","",(COUNTIF(C2558:E2575,$B2583)+COUNTIF(C2558:E2575,$B2583&amp;" ~*")&gt;0)+(COUNTIF(G2558:I2575,$B2583)+COUNTIF(G2558:I2575,$B2583&amp;" ~*")&gt;0)+(COUNTIF(K2558:M2575,$B2583)+COUNTIF(K2558:M2575,$B2583&amp;" ~*")&gt;0)+(COUNTIF(O2558:Q2575,$B2583)+COUNTIF(O2558:Q2575,$B2583&amp;" ~*")&gt;0)+(COUNTIF(S2558:U2575,$B2583)+COUNTIF(S2558:U2575,$B2583&amp;" ~*")&gt;0)+(COUNTIF(W2558:W2575,$B2583)+COUNTIF(W2558:W2575,$B2583&amp;" ~*")&gt;0)+(COUNTIF(Y2558:Y2575,$B2583)+COUNTIF(Y2558:Y2575,$B2583&amp;" ~*")&gt;0))</f>
        <v/>
      </c>
      <c r="AC2583" s="36">
        <f>IF($B2583="","",(IFERROR(INDEX(Setup!$G$33:$G$40,MATCH(C2583,Setup!$B$33:$B$40,0)),0)=1)*(COUNTIF(C2558:E2575,$B2583)+COUNTIF(C2558:E2575,$B2583&amp;" ~*")&gt;0)+(IFERROR(INDEX(Setup!$G$33:$G$40,MATCH(G2583,Setup!$B$33:$B$40,0)),0)=1)*(COUNTIF(G2558:I2575,$B2583)+COUNTIF(G2558:I2575,$B2583&amp;" ~*")&gt;0)+(IFERROR(INDEX(Setup!$G$33:$G$40,MATCH(K2583,Setup!$B$33:$B$40,0)),0)=1)*(COUNTIF(K2558:M2575,$B2583)+COUNTIF(K2558:M2575,$B2583&amp;" ~*")&gt;0)+(IFERROR(INDEX(Setup!$G$33:$G$40,MATCH(O2583,Setup!$B$33:$B$40,0)),0)=1)*(COUNTIF(O2558:Q2575,$B2583)+COUNTIF(O2558:Q2575,$B2583&amp;" ~*")&gt;0)+(IFERROR(INDEX(Setup!$G$33:$G$40,MATCH(S2583,Setup!$B$33:$B$40,0)),0)=1)*(COUNTIF(S2558:U2575,$B2583)+COUNTIF(S2558:U2575,$B2583&amp;" ~*")&gt;0)+(IFERROR(INDEX(Setup!$G$33:$G$40,MATCH(W2583,Setup!$B$33:$B$40,0)),0)=1)*(COUNTIF(W2558:W2575,$B2583)+COUNTIF(W2558:W2575,$B2583&amp;" ~*")&gt;0)+(IFERROR(INDEX(Setup!$G$33:$G$40,MATCH(Y2583,Setup!$B$33:$B$40,0)),0)=1)*(COUNTIF(Y2558:Y2575,$B2583)+COUNTIF(Y2558:Y2575,$B2583&amp;" ~*")&gt;0))</f>
        <v/>
      </c>
    </row>
    <row r="2584" ht="15" customHeight="1">
      <c r="A2584" t="n">
        <v>52</v>
      </c>
      <c r="B2584" s="37">
        <f>IF(Setup!$B$13="","",Setup!$B$13)</f>
        <v/>
      </c>
      <c r="C2584" s="102" t="n"/>
      <c r="D2584" s="103" t="n"/>
      <c r="E2584" s="103" t="n"/>
      <c r="F2584" s="104" t="n"/>
      <c r="G2584" s="102" t="n"/>
      <c r="H2584" s="103" t="n"/>
      <c r="I2584" s="103" t="n"/>
      <c r="J2584" s="104" t="n"/>
      <c r="K2584" s="102" t="n"/>
      <c r="L2584" s="103" t="n"/>
      <c r="M2584" s="103" t="n"/>
      <c r="N2584" s="104" t="n"/>
      <c r="O2584" s="102" t="n"/>
      <c r="P2584" s="103" t="n"/>
      <c r="Q2584" s="103" t="n"/>
      <c r="R2584" s="104" t="n"/>
      <c r="S2584" s="102" t="n"/>
      <c r="T2584" s="103" t="n"/>
      <c r="U2584" s="103" t="n"/>
      <c r="V2584" s="104" t="n"/>
      <c r="W2584" s="102" t="n"/>
      <c r="X2584" s="104" t="n"/>
      <c r="Y2584" s="102" t="n"/>
      <c r="Z2584" s="104" t="n"/>
      <c r="AB2584" s="105">
        <f>IF($B2584="","",(COUNTIF(C2558:E2575,$B2584)+COUNTIF(C2558:E2575,$B2584&amp;" ~*")&gt;0)+(COUNTIF(G2558:I2575,$B2584)+COUNTIF(G2558:I2575,$B2584&amp;" ~*")&gt;0)+(COUNTIF(K2558:M2575,$B2584)+COUNTIF(K2558:M2575,$B2584&amp;" ~*")&gt;0)+(COUNTIF(O2558:Q2575,$B2584)+COUNTIF(O2558:Q2575,$B2584&amp;" ~*")&gt;0)+(COUNTIF(S2558:U2575,$B2584)+COUNTIF(S2558:U2575,$B2584&amp;" ~*")&gt;0)+(COUNTIF(W2558:W2575,$B2584)+COUNTIF(W2558:W2575,$B2584&amp;" ~*")&gt;0)+(COUNTIF(Y2558:Y2575,$B2584)+COUNTIF(Y2558:Y2575,$B2584&amp;" ~*")&gt;0))</f>
        <v/>
      </c>
      <c r="AC2584" s="38">
        <f>IF($B2584="","",(IFERROR(INDEX(Setup!$G$33:$G$40,MATCH(C2584,Setup!$B$33:$B$40,0)),0)=1)*(COUNTIF(C2558:E2575,$B2584)+COUNTIF(C2558:E2575,$B2584&amp;" ~*")&gt;0)+(IFERROR(INDEX(Setup!$G$33:$G$40,MATCH(G2584,Setup!$B$33:$B$40,0)),0)=1)*(COUNTIF(G2558:I2575,$B2584)+COUNTIF(G2558:I2575,$B2584&amp;" ~*")&gt;0)+(IFERROR(INDEX(Setup!$G$33:$G$40,MATCH(K2584,Setup!$B$33:$B$40,0)),0)=1)*(COUNTIF(K2558:M2575,$B2584)+COUNTIF(K2558:M2575,$B2584&amp;" ~*")&gt;0)+(IFERROR(INDEX(Setup!$G$33:$G$40,MATCH(O2584,Setup!$B$33:$B$40,0)),0)=1)*(COUNTIF(O2558:Q2575,$B2584)+COUNTIF(O2558:Q2575,$B2584&amp;" ~*")&gt;0)+(IFERROR(INDEX(Setup!$G$33:$G$40,MATCH(S2584,Setup!$B$33:$B$40,0)),0)=1)*(COUNTIF(S2558:U2575,$B2584)+COUNTIF(S2558:U2575,$B2584&amp;" ~*")&gt;0)+(IFERROR(INDEX(Setup!$G$33:$G$40,MATCH(W2584,Setup!$B$33:$B$40,0)),0)=1)*(COUNTIF(W2558:W2575,$B2584)+COUNTIF(W2558:W2575,$B2584&amp;" ~*")&gt;0)+(IFERROR(INDEX(Setup!$G$33:$G$40,MATCH(Y2584,Setup!$B$33:$B$40,0)),0)=1)*(COUNTIF(Y2558:Y2575,$B2584)+COUNTIF(Y2558:Y2575,$B2584&amp;" ~*")&gt;0))</f>
        <v/>
      </c>
    </row>
    <row r="2585" ht="15" customHeight="1">
      <c r="A2585" t="n">
        <v>52</v>
      </c>
      <c r="B2585" s="35">
        <f>IF(Setup!$B$14="","",Setup!$B$14)</f>
        <v/>
      </c>
      <c r="C2585" s="98" t="n"/>
      <c r="D2585" s="99" t="n"/>
      <c r="E2585" s="99" t="n"/>
      <c r="F2585" s="100" t="n"/>
      <c r="G2585" s="98" t="n"/>
      <c r="H2585" s="99" t="n"/>
      <c r="I2585" s="99" t="n"/>
      <c r="J2585" s="100" t="n"/>
      <c r="K2585" s="98" t="n"/>
      <c r="L2585" s="99" t="n"/>
      <c r="M2585" s="99" t="n"/>
      <c r="N2585" s="100" t="n"/>
      <c r="O2585" s="98" t="n"/>
      <c r="P2585" s="99" t="n"/>
      <c r="Q2585" s="99" t="n"/>
      <c r="R2585" s="100" t="n"/>
      <c r="S2585" s="98" t="n"/>
      <c r="T2585" s="99" t="n"/>
      <c r="U2585" s="99" t="n"/>
      <c r="V2585" s="100" t="n"/>
      <c r="W2585" s="98" t="n"/>
      <c r="X2585" s="100" t="n"/>
      <c r="Y2585" s="98" t="n"/>
      <c r="Z2585" s="100" t="n"/>
      <c r="AB2585" s="101">
        <f>IF($B2585="","",(COUNTIF(C2558:E2575,$B2585)+COUNTIF(C2558:E2575,$B2585&amp;" ~*")&gt;0)+(COUNTIF(G2558:I2575,$B2585)+COUNTIF(G2558:I2575,$B2585&amp;" ~*")&gt;0)+(COUNTIF(K2558:M2575,$B2585)+COUNTIF(K2558:M2575,$B2585&amp;" ~*")&gt;0)+(COUNTIF(O2558:Q2575,$B2585)+COUNTIF(O2558:Q2575,$B2585&amp;" ~*")&gt;0)+(COUNTIF(S2558:U2575,$B2585)+COUNTIF(S2558:U2575,$B2585&amp;" ~*")&gt;0)+(COUNTIF(W2558:W2575,$B2585)+COUNTIF(W2558:W2575,$B2585&amp;" ~*")&gt;0)+(COUNTIF(Y2558:Y2575,$B2585)+COUNTIF(Y2558:Y2575,$B2585&amp;" ~*")&gt;0))</f>
        <v/>
      </c>
      <c r="AC2585" s="36">
        <f>IF($B2585="","",(IFERROR(INDEX(Setup!$G$33:$G$40,MATCH(C2585,Setup!$B$33:$B$40,0)),0)=1)*(COUNTIF(C2558:E2575,$B2585)+COUNTIF(C2558:E2575,$B2585&amp;" ~*")&gt;0)+(IFERROR(INDEX(Setup!$G$33:$G$40,MATCH(G2585,Setup!$B$33:$B$40,0)),0)=1)*(COUNTIF(G2558:I2575,$B2585)+COUNTIF(G2558:I2575,$B2585&amp;" ~*")&gt;0)+(IFERROR(INDEX(Setup!$G$33:$G$40,MATCH(K2585,Setup!$B$33:$B$40,0)),0)=1)*(COUNTIF(K2558:M2575,$B2585)+COUNTIF(K2558:M2575,$B2585&amp;" ~*")&gt;0)+(IFERROR(INDEX(Setup!$G$33:$G$40,MATCH(O2585,Setup!$B$33:$B$40,0)),0)=1)*(COUNTIF(O2558:Q2575,$B2585)+COUNTIF(O2558:Q2575,$B2585&amp;" ~*")&gt;0)+(IFERROR(INDEX(Setup!$G$33:$G$40,MATCH(S2585,Setup!$B$33:$B$40,0)),0)=1)*(COUNTIF(S2558:U2575,$B2585)+COUNTIF(S2558:U2575,$B2585&amp;" ~*")&gt;0)+(IFERROR(INDEX(Setup!$G$33:$G$40,MATCH(W2585,Setup!$B$33:$B$40,0)),0)=1)*(COUNTIF(W2558:W2575,$B2585)+COUNTIF(W2558:W2575,$B2585&amp;" ~*")&gt;0)+(IFERROR(INDEX(Setup!$G$33:$G$40,MATCH(Y2585,Setup!$B$33:$B$40,0)),0)=1)*(COUNTIF(Y2558:Y2575,$B2585)+COUNTIF(Y2558:Y2575,$B2585&amp;" ~*")&gt;0))</f>
        <v/>
      </c>
    </row>
    <row r="2586" ht="15" customHeight="1">
      <c r="A2586" t="n">
        <v>52</v>
      </c>
      <c r="B2586" s="37">
        <f>IF(Setup!$B$15="","",Setup!$B$15)</f>
        <v/>
      </c>
      <c r="C2586" s="102" t="n"/>
      <c r="D2586" s="103" t="n"/>
      <c r="E2586" s="103" t="n"/>
      <c r="F2586" s="104" t="n"/>
      <c r="G2586" s="102" t="n"/>
      <c r="H2586" s="103" t="n"/>
      <c r="I2586" s="103" t="n"/>
      <c r="J2586" s="104" t="n"/>
      <c r="K2586" s="102" t="n"/>
      <c r="L2586" s="103" t="n"/>
      <c r="M2586" s="103" t="n"/>
      <c r="N2586" s="104" t="n"/>
      <c r="O2586" s="102" t="n"/>
      <c r="P2586" s="103" t="n"/>
      <c r="Q2586" s="103" t="n"/>
      <c r="R2586" s="104" t="n"/>
      <c r="S2586" s="102" t="n"/>
      <c r="T2586" s="103" t="n"/>
      <c r="U2586" s="103" t="n"/>
      <c r="V2586" s="104" t="n"/>
      <c r="W2586" s="102" t="n"/>
      <c r="X2586" s="104" t="n"/>
      <c r="Y2586" s="102" t="n"/>
      <c r="Z2586" s="104" t="n"/>
      <c r="AB2586" s="105">
        <f>IF($B2586="","",(COUNTIF(C2558:E2575,$B2586)+COUNTIF(C2558:E2575,$B2586&amp;" ~*")&gt;0)+(COUNTIF(G2558:I2575,$B2586)+COUNTIF(G2558:I2575,$B2586&amp;" ~*")&gt;0)+(COUNTIF(K2558:M2575,$B2586)+COUNTIF(K2558:M2575,$B2586&amp;" ~*")&gt;0)+(COUNTIF(O2558:Q2575,$B2586)+COUNTIF(O2558:Q2575,$B2586&amp;" ~*")&gt;0)+(COUNTIF(S2558:U2575,$B2586)+COUNTIF(S2558:U2575,$B2586&amp;" ~*")&gt;0)+(COUNTIF(W2558:W2575,$B2586)+COUNTIF(W2558:W2575,$B2586&amp;" ~*")&gt;0)+(COUNTIF(Y2558:Y2575,$B2586)+COUNTIF(Y2558:Y2575,$B2586&amp;" ~*")&gt;0))</f>
        <v/>
      </c>
      <c r="AC2586" s="38">
        <f>IF($B2586="","",(IFERROR(INDEX(Setup!$G$33:$G$40,MATCH(C2586,Setup!$B$33:$B$40,0)),0)=1)*(COUNTIF(C2558:E2575,$B2586)+COUNTIF(C2558:E2575,$B2586&amp;" ~*")&gt;0)+(IFERROR(INDEX(Setup!$G$33:$G$40,MATCH(G2586,Setup!$B$33:$B$40,0)),0)=1)*(COUNTIF(G2558:I2575,$B2586)+COUNTIF(G2558:I2575,$B2586&amp;" ~*")&gt;0)+(IFERROR(INDEX(Setup!$G$33:$G$40,MATCH(K2586,Setup!$B$33:$B$40,0)),0)=1)*(COUNTIF(K2558:M2575,$B2586)+COUNTIF(K2558:M2575,$B2586&amp;" ~*")&gt;0)+(IFERROR(INDEX(Setup!$G$33:$G$40,MATCH(O2586,Setup!$B$33:$B$40,0)),0)=1)*(COUNTIF(O2558:Q2575,$B2586)+COUNTIF(O2558:Q2575,$B2586&amp;" ~*")&gt;0)+(IFERROR(INDEX(Setup!$G$33:$G$40,MATCH(S2586,Setup!$B$33:$B$40,0)),0)=1)*(COUNTIF(S2558:U2575,$B2586)+COUNTIF(S2558:U2575,$B2586&amp;" ~*")&gt;0)+(IFERROR(INDEX(Setup!$G$33:$G$40,MATCH(W2586,Setup!$B$33:$B$40,0)),0)=1)*(COUNTIF(W2558:W2575,$B2586)+COUNTIF(W2558:W2575,$B2586&amp;" ~*")&gt;0)+(IFERROR(INDEX(Setup!$G$33:$G$40,MATCH(Y2586,Setup!$B$33:$B$40,0)),0)=1)*(COUNTIF(Y2558:Y2575,$B2586)+COUNTIF(Y2558:Y2575,$B2586&amp;" ~*")&gt;0))</f>
        <v/>
      </c>
    </row>
    <row r="2587" ht="15" customHeight="1">
      <c r="A2587" t="n">
        <v>52</v>
      </c>
      <c r="B2587" s="35">
        <f>IF(Setup!$B$16="","",Setup!$B$16)</f>
        <v/>
      </c>
      <c r="C2587" s="98" t="n"/>
      <c r="D2587" s="99" t="n"/>
      <c r="E2587" s="99" t="n"/>
      <c r="F2587" s="100" t="n"/>
      <c r="G2587" s="98" t="n"/>
      <c r="H2587" s="99" t="n"/>
      <c r="I2587" s="99" t="n"/>
      <c r="J2587" s="100" t="n"/>
      <c r="K2587" s="98" t="n"/>
      <c r="L2587" s="99" t="n"/>
      <c r="M2587" s="99" t="n"/>
      <c r="N2587" s="100" t="n"/>
      <c r="O2587" s="98" t="n"/>
      <c r="P2587" s="99" t="n"/>
      <c r="Q2587" s="99" t="n"/>
      <c r="R2587" s="100" t="n"/>
      <c r="S2587" s="98" t="n"/>
      <c r="T2587" s="99" t="n"/>
      <c r="U2587" s="99" t="n"/>
      <c r="V2587" s="100" t="n"/>
      <c r="W2587" s="98" t="n"/>
      <c r="X2587" s="100" t="n"/>
      <c r="Y2587" s="98" t="n"/>
      <c r="Z2587" s="100" t="n"/>
      <c r="AB2587" s="101">
        <f>IF($B2587="","",(COUNTIF(C2558:E2575,$B2587)+COUNTIF(C2558:E2575,$B2587&amp;" ~*")&gt;0)+(COUNTIF(G2558:I2575,$B2587)+COUNTIF(G2558:I2575,$B2587&amp;" ~*")&gt;0)+(COUNTIF(K2558:M2575,$B2587)+COUNTIF(K2558:M2575,$B2587&amp;" ~*")&gt;0)+(COUNTIF(O2558:Q2575,$B2587)+COUNTIF(O2558:Q2575,$B2587&amp;" ~*")&gt;0)+(COUNTIF(S2558:U2575,$B2587)+COUNTIF(S2558:U2575,$B2587&amp;" ~*")&gt;0)+(COUNTIF(W2558:W2575,$B2587)+COUNTIF(W2558:W2575,$B2587&amp;" ~*")&gt;0)+(COUNTIF(Y2558:Y2575,$B2587)+COUNTIF(Y2558:Y2575,$B2587&amp;" ~*")&gt;0))</f>
        <v/>
      </c>
      <c r="AC2587" s="36">
        <f>IF($B2587="","",(IFERROR(INDEX(Setup!$G$33:$G$40,MATCH(C2587,Setup!$B$33:$B$40,0)),0)=1)*(COUNTIF(C2558:E2575,$B2587)+COUNTIF(C2558:E2575,$B2587&amp;" ~*")&gt;0)+(IFERROR(INDEX(Setup!$G$33:$G$40,MATCH(G2587,Setup!$B$33:$B$40,0)),0)=1)*(COUNTIF(G2558:I2575,$B2587)+COUNTIF(G2558:I2575,$B2587&amp;" ~*")&gt;0)+(IFERROR(INDEX(Setup!$G$33:$G$40,MATCH(K2587,Setup!$B$33:$B$40,0)),0)=1)*(COUNTIF(K2558:M2575,$B2587)+COUNTIF(K2558:M2575,$B2587&amp;" ~*")&gt;0)+(IFERROR(INDEX(Setup!$G$33:$G$40,MATCH(O2587,Setup!$B$33:$B$40,0)),0)=1)*(COUNTIF(O2558:Q2575,$B2587)+COUNTIF(O2558:Q2575,$B2587&amp;" ~*")&gt;0)+(IFERROR(INDEX(Setup!$G$33:$G$40,MATCH(S2587,Setup!$B$33:$B$40,0)),0)=1)*(COUNTIF(S2558:U2575,$B2587)+COUNTIF(S2558:U2575,$B2587&amp;" ~*")&gt;0)+(IFERROR(INDEX(Setup!$G$33:$G$40,MATCH(W2587,Setup!$B$33:$B$40,0)),0)=1)*(COUNTIF(W2558:W2575,$B2587)+COUNTIF(W2558:W2575,$B2587&amp;" ~*")&gt;0)+(IFERROR(INDEX(Setup!$G$33:$G$40,MATCH(Y2587,Setup!$B$33:$B$40,0)),0)=1)*(COUNTIF(Y2558:Y2575,$B2587)+COUNTIF(Y2558:Y2575,$B2587&amp;" ~*")&gt;0))</f>
        <v/>
      </c>
    </row>
    <row r="2588" ht="15" customHeight="1">
      <c r="A2588" t="n">
        <v>52</v>
      </c>
      <c r="B2588" s="37">
        <f>IF(Setup!$B$17="","",Setup!$B$17)</f>
        <v/>
      </c>
      <c r="C2588" s="102" t="n"/>
      <c r="D2588" s="103" t="n"/>
      <c r="E2588" s="103" t="n"/>
      <c r="F2588" s="104" t="n"/>
      <c r="G2588" s="102" t="n"/>
      <c r="H2588" s="103" t="n"/>
      <c r="I2588" s="103" t="n"/>
      <c r="J2588" s="104" t="n"/>
      <c r="K2588" s="102" t="n"/>
      <c r="L2588" s="103" t="n"/>
      <c r="M2588" s="103" t="n"/>
      <c r="N2588" s="104" t="n"/>
      <c r="O2588" s="102" t="n"/>
      <c r="P2588" s="103" t="n"/>
      <c r="Q2588" s="103" t="n"/>
      <c r="R2588" s="104" t="n"/>
      <c r="S2588" s="102" t="n"/>
      <c r="T2588" s="103" t="n"/>
      <c r="U2588" s="103" t="n"/>
      <c r="V2588" s="104" t="n"/>
      <c r="W2588" s="102" t="n"/>
      <c r="X2588" s="104" t="n"/>
      <c r="Y2588" s="102" t="n"/>
      <c r="Z2588" s="104" t="n"/>
      <c r="AB2588" s="105">
        <f>IF($B2588="","",(COUNTIF(C2558:E2575,$B2588)+COUNTIF(C2558:E2575,$B2588&amp;" ~*")&gt;0)+(COUNTIF(G2558:I2575,$B2588)+COUNTIF(G2558:I2575,$B2588&amp;" ~*")&gt;0)+(COUNTIF(K2558:M2575,$B2588)+COUNTIF(K2558:M2575,$B2588&amp;" ~*")&gt;0)+(COUNTIF(O2558:Q2575,$B2588)+COUNTIF(O2558:Q2575,$B2588&amp;" ~*")&gt;0)+(COUNTIF(S2558:U2575,$B2588)+COUNTIF(S2558:U2575,$B2588&amp;" ~*")&gt;0)+(COUNTIF(W2558:W2575,$B2588)+COUNTIF(W2558:W2575,$B2588&amp;" ~*")&gt;0)+(COUNTIF(Y2558:Y2575,$B2588)+COUNTIF(Y2558:Y2575,$B2588&amp;" ~*")&gt;0))</f>
        <v/>
      </c>
      <c r="AC2588" s="38">
        <f>IF($B2588="","",(IFERROR(INDEX(Setup!$G$33:$G$40,MATCH(C2588,Setup!$B$33:$B$40,0)),0)=1)*(COUNTIF(C2558:E2575,$B2588)+COUNTIF(C2558:E2575,$B2588&amp;" ~*")&gt;0)+(IFERROR(INDEX(Setup!$G$33:$G$40,MATCH(G2588,Setup!$B$33:$B$40,0)),0)=1)*(COUNTIF(G2558:I2575,$B2588)+COUNTIF(G2558:I2575,$B2588&amp;" ~*")&gt;0)+(IFERROR(INDEX(Setup!$G$33:$G$40,MATCH(K2588,Setup!$B$33:$B$40,0)),0)=1)*(COUNTIF(K2558:M2575,$B2588)+COUNTIF(K2558:M2575,$B2588&amp;" ~*")&gt;0)+(IFERROR(INDEX(Setup!$G$33:$G$40,MATCH(O2588,Setup!$B$33:$B$40,0)),0)=1)*(COUNTIF(O2558:Q2575,$B2588)+COUNTIF(O2558:Q2575,$B2588&amp;" ~*")&gt;0)+(IFERROR(INDEX(Setup!$G$33:$G$40,MATCH(S2588,Setup!$B$33:$B$40,0)),0)=1)*(COUNTIF(S2558:U2575,$B2588)+COUNTIF(S2558:U2575,$B2588&amp;" ~*")&gt;0)+(IFERROR(INDEX(Setup!$G$33:$G$40,MATCH(W2588,Setup!$B$33:$B$40,0)),0)=1)*(COUNTIF(W2558:W2575,$B2588)+COUNTIF(W2558:W2575,$B2588&amp;" ~*")&gt;0)+(IFERROR(INDEX(Setup!$G$33:$G$40,MATCH(Y2588,Setup!$B$33:$B$40,0)),0)=1)*(COUNTIF(Y2558:Y2575,$B2588)+COUNTIF(Y2558:Y2575,$B2588&amp;" ~*")&gt;0))</f>
        <v/>
      </c>
    </row>
    <row r="2589" ht="15" customHeight="1">
      <c r="A2589" t="n">
        <v>52</v>
      </c>
      <c r="B2589" s="35">
        <f>IF(Setup!$B$18="","",Setup!$B$18)</f>
        <v/>
      </c>
      <c r="C2589" s="98" t="n"/>
      <c r="D2589" s="99" t="n"/>
      <c r="E2589" s="99" t="n"/>
      <c r="F2589" s="100" t="n"/>
      <c r="G2589" s="98" t="n"/>
      <c r="H2589" s="99" t="n"/>
      <c r="I2589" s="99" t="n"/>
      <c r="J2589" s="100" t="n"/>
      <c r="K2589" s="98" t="n"/>
      <c r="L2589" s="99" t="n"/>
      <c r="M2589" s="99" t="n"/>
      <c r="N2589" s="100" t="n"/>
      <c r="O2589" s="98" t="n"/>
      <c r="P2589" s="99" t="n"/>
      <c r="Q2589" s="99" t="n"/>
      <c r="R2589" s="100" t="n"/>
      <c r="S2589" s="98" t="n"/>
      <c r="T2589" s="99" t="n"/>
      <c r="U2589" s="99" t="n"/>
      <c r="V2589" s="100" t="n"/>
      <c r="W2589" s="98" t="n"/>
      <c r="X2589" s="100" t="n"/>
      <c r="Y2589" s="98" t="n"/>
      <c r="Z2589" s="100" t="n"/>
      <c r="AB2589" s="101">
        <f>IF($B2589="","",(COUNTIF(C2558:E2575,$B2589)+COUNTIF(C2558:E2575,$B2589&amp;" ~*")&gt;0)+(COUNTIF(G2558:I2575,$B2589)+COUNTIF(G2558:I2575,$B2589&amp;" ~*")&gt;0)+(COUNTIF(K2558:M2575,$B2589)+COUNTIF(K2558:M2575,$B2589&amp;" ~*")&gt;0)+(COUNTIF(O2558:Q2575,$B2589)+COUNTIF(O2558:Q2575,$B2589&amp;" ~*")&gt;0)+(COUNTIF(S2558:U2575,$B2589)+COUNTIF(S2558:U2575,$B2589&amp;" ~*")&gt;0)+(COUNTIF(W2558:W2575,$B2589)+COUNTIF(W2558:W2575,$B2589&amp;" ~*")&gt;0)+(COUNTIF(Y2558:Y2575,$B2589)+COUNTIF(Y2558:Y2575,$B2589&amp;" ~*")&gt;0))</f>
        <v/>
      </c>
      <c r="AC2589" s="36">
        <f>IF($B2589="","",(IFERROR(INDEX(Setup!$G$33:$G$40,MATCH(C2589,Setup!$B$33:$B$40,0)),0)=1)*(COUNTIF(C2558:E2575,$B2589)+COUNTIF(C2558:E2575,$B2589&amp;" ~*")&gt;0)+(IFERROR(INDEX(Setup!$G$33:$G$40,MATCH(G2589,Setup!$B$33:$B$40,0)),0)=1)*(COUNTIF(G2558:I2575,$B2589)+COUNTIF(G2558:I2575,$B2589&amp;" ~*")&gt;0)+(IFERROR(INDEX(Setup!$G$33:$G$40,MATCH(K2589,Setup!$B$33:$B$40,0)),0)=1)*(COUNTIF(K2558:M2575,$B2589)+COUNTIF(K2558:M2575,$B2589&amp;" ~*")&gt;0)+(IFERROR(INDEX(Setup!$G$33:$G$40,MATCH(O2589,Setup!$B$33:$B$40,0)),0)=1)*(COUNTIF(O2558:Q2575,$B2589)+COUNTIF(O2558:Q2575,$B2589&amp;" ~*")&gt;0)+(IFERROR(INDEX(Setup!$G$33:$G$40,MATCH(S2589,Setup!$B$33:$B$40,0)),0)=1)*(COUNTIF(S2558:U2575,$B2589)+COUNTIF(S2558:U2575,$B2589&amp;" ~*")&gt;0)+(IFERROR(INDEX(Setup!$G$33:$G$40,MATCH(W2589,Setup!$B$33:$B$40,0)),0)=1)*(COUNTIF(W2558:W2575,$B2589)+COUNTIF(W2558:W2575,$B2589&amp;" ~*")&gt;0)+(IFERROR(INDEX(Setup!$G$33:$G$40,MATCH(Y2589,Setup!$B$33:$B$40,0)),0)=1)*(COUNTIF(Y2558:Y2575,$B2589)+COUNTIF(Y2558:Y2575,$B2589&amp;" ~*")&gt;0))</f>
        <v/>
      </c>
    </row>
    <row r="2590" ht="15" customHeight="1">
      <c r="A2590" t="n">
        <v>52</v>
      </c>
      <c r="B2590" s="37">
        <f>IF(Setup!$B$19="","",Setup!$B$19)</f>
        <v/>
      </c>
      <c r="C2590" s="102" t="n"/>
      <c r="D2590" s="103" t="n"/>
      <c r="E2590" s="103" t="n"/>
      <c r="F2590" s="104" t="n"/>
      <c r="G2590" s="102" t="n"/>
      <c r="H2590" s="103" t="n"/>
      <c r="I2590" s="103" t="n"/>
      <c r="J2590" s="104" t="n"/>
      <c r="K2590" s="102" t="n"/>
      <c r="L2590" s="103" t="n"/>
      <c r="M2590" s="103" t="n"/>
      <c r="N2590" s="104" t="n"/>
      <c r="O2590" s="102" t="n"/>
      <c r="P2590" s="103" t="n"/>
      <c r="Q2590" s="103" t="n"/>
      <c r="R2590" s="104" t="n"/>
      <c r="S2590" s="102" t="n"/>
      <c r="T2590" s="103" t="n"/>
      <c r="U2590" s="103" t="n"/>
      <c r="V2590" s="104" t="n"/>
      <c r="W2590" s="102" t="n"/>
      <c r="X2590" s="104" t="n"/>
      <c r="Y2590" s="102" t="n"/>
      <c r="Z2590" s="104" t="n"/>
      <c r="AB2590" s="105">
        <f>IF($B2590="","",(COUNTIF(C2558:E2575,$B2590)+COUNTIF(C2558:E2575,$B2590&amp;" ~*")&gt;0)+(COUNTIF(G2558:I2575,$B2590)+COUNTIF(G2558:I2575,$B2590&amp;" ~*")&gt;0)+(COUNTIF(K2558:M2575,$B2590)+COUNTIF(K2558:M2575,$B2590&amp;" ~*")&gt;0)+(COUNTIF(O2558:Q2575,$B2590)+COUNTIF(O2558:Q2575,$B2590&amp;" ~*")&gt;0)+(COUNTIF(S2558:U2575,$B2590)+COUNTIF(S2558:U2575,$B2590&amp;" ~*")&gt;0)+(COUNTIF(W2558:W2575,$B2590)+COUNTIF(W2558:W2575,$B2590&amp;" ~*")&gt;0)+(COUNTIF(Y2558:Y2575,$B2590)+COUNTIF(Y2558:Y2575,$B2590&amp;" ~*")&gt;0))</f>
        <v/>
      </c>
      <c r="AC2590" s="38">
        <f>IF($B2590="","",(IFERROR(INDEX(Setup!$G$33:$G$40,MATCH(C2590,Setup!$B$33:$B$40,0)),0)=1)*(COUNTIF(C2558:E2575,$B2590)+COUNTIF(C2558:E2575,$B2590&amp;" ~*")&gt;0)+(IFERROR(INDEX(Setup!$G$33:$G$40,MATCH(G2590,Setup!$B$33:$B$40,0)),0)=1)*(COUNTIF(G2558:I2575,$B2590)+COUNTIF(G2558:I2575,$B2590&amp;" ~*")&gt;0)+(IFERROR(INDEX(Setup!$G$33:$G$40,MATCH(K2590,Setup!$B$33:$B$40,0)),0)=1)*(COUNTIF(K2558:M2575,$B2590)+COUNTIF(K2558:M2575,$B2590&amp;" ~*")&gt;0)+(IFERROR(INDEX(Setup!$G$33:$G$40,MATCH(O2590,Setup!$B$33:$B$40,0)),0)=1)*(COUNTIF(O2558:Q2575,$B2590)+COUNTIF(O2558:Q2575,$B2590&amp;" ~*")&gt;0)+(IFERROR(INDEX(Setup!$G$33:$G$40,MATCH(S2590,Setup!$B$33:$B$40,0)),0)=1)*(COUNTIF(S2558:U2575,$B2590)+COUNTIF(S2558:U2575,$B2590&amp;" ~*")&gt;0)+(IFERROR(INDEX(Setup!$G$33:$G$40,MATCH(W2590,Setup!$B$33:$B$40,0)),0)=1)*(COUNTIF(W2558:W2575,$B2590)+COUNTIF(W2558:W2575,$B2590&amp;" ~*")&gt;0)+(IFERROR(INDEX(Setup!$G$33:$G$40,MATCH(Y2590,Setup!$B$33:$B$40,0)),0)=1)*(COUNTIF(Y2558:Y2575,$B2590)+COUNTIF(Y2558:Y2575,$B2590&amp;" ~*")&gt;0))</f>
        <v/>
      </c>
    </row>
    <row r="2591" ht="15" customHeight="1">
      <c r="A2591" t="n">
        <v>52</v>
      </c>
      <c r="B2591" s="35">
        <f>IF(Setup!$B$20="","",Setup!$B$20)</f>
        <v/>
      </c>
      <c r="C2591" s="98" t="n"/>
      <c r="D2591" s="99" t="n"/>
      <c r="E2591" s="99" t="n"/>
      <c r="F2591" s="100" t="n"/>
      <c r="G2591" s="98" t="n"/>
      <c r="H2591" s="99" t="n"/>
      <c r="I2591" s="99" t="n"/>
      <c r="J2591" s="100" t="n"/>
      <c r="K2591" s="98" t="n"/>
      <c r="L2591" s="99" t="n"/>
      <c r="M2591" s="99" t="n"/>
      <c r="N2591" s="100" t="n"/>
      <c r="O2591" s="98" t="n"/>
      <c r="P2591" s="99" t="n"/>
      <c r="Q2591" s="99" t="n"/>
      <c r="R2591" s="100" t="n"/>
      <c r="S2591" s="98" t="n"/>
      <c r="T2591" s="99" t="n"/>
      <c r="U2591" s="99" t="n"/>
      <c r="V2591" s="100" t="n"/>
      <c r="W2591" s="98" t="n"/>
      <c r="X2591" s="100" t="n"/>
      <c r="Y2591" s="98" t="n"/>
      <c r="Z2591" s="100" t="n"/>
      <c r="AB2591" s="101">
        <f>IF($B2591="","",(COUNTIF(C2558:E2575,$B2591)+COUNTIF(C2558:E2575,$B2591&amp;" ~*")&gt;0)+(COUNTIF(G2558:I2575,$B2591)+COUNTIF(G2558:I2575,$B2591&amp;" ~*")&gt;0)+(COUNTIF(K2558:M2575,$B2591)+COUNTIF(K2558:M2575,$B2591&amp;" ~*")&gt;0)+(COUNTIF(O2558:Q2575,$B2591)+COUNTIF(O2558:Q2575,$B2591&amp;" ~*")&gt;0)+(COUNTIF(S2558:U2575,$B2591)+COUNTIF(S2558:U2575,$B2591&amp;" ~*")&gt;0)+(COUNTIF(W2558:W2575,$B2591)+COUNTIF(W2558:W2575,$B2591&amp;" ~*")&gt;0)+(COUNTIF(Y2558:Y2575,$B2591)+COUNTIF(Y2558:Y2575,$B2591&amp;" ~*")&gt;0))</f>
        <v/>
      </c>
      <c r="AC2591" s="36">
        <f>IF($B2591="","",(IFERROR(INDEX(Setup!$G$33:$G$40,MATCH(C2591,Setup!$B$33:$B$40,0)),0)=1)*(COUNTIF(C2558:E2575,$B2591)+COUNTIF(C2558:E2575,$B2591&amp;" ~*")&gt;0)+(IFERROR(INDEX(Setup!$G$33:$G$40,MATCH(G2591,Setup!$B$33:$B$40,0)),0)=1)*(COUNTIF(G2558:I2575,$B2591)+COUNTIF(G2558:I2575,$B2591&amp;" ~*")&gt;0)+(IFERROR(INDEX(Setup!$G$33:$G$40,MATCH(K2591,Setup!$B$33:$B$40,0)),0)=1)*(COUNTIF(K2558:M2575,$B2591)+COUNTIF(K2558:M2575,$B2591&amp;" ~*")&gt;0)+(IFERROR(INDEX(Setup!$G$33:$G$40,MATCH(O2591,Setup!$B$33:$B$40,0)),0)=1)*(COUNTIF(O2558:Q2575,$B2591)+COUNTIF(O2558:Q2575,$B2591&amp;" ~*")&gt;0)+(IFERROR(INDEX(Setup!$G$33:$G$40,MATCH(S2591,Setup!$B$33:$B$40,0)),0)=1)*(COUNTIF(S2558:U2575,$B2591)+COUNTIF(S2558:U2575,$B2591&amp;" ~*")&gt;0)+(IFERROR(INDEX(Setup!$G$33:$G$40,MATCH(W2591,Setup!$B$33:$B$40,0)),0)=1)*(COUNTIF(W2558:W2575,$B2591)+COUNTIF(W2558:W2575,$B2591&amp;" ~*")&gt;0)+(IFERROR(INDEX(Setup!$G$33:$G$40,MATCH(Y2591,Setup!$B$33:$B$40,0)),0)=1)*(COUNTIF(Y2558:Y2575,$B2591)+COUNTIF(Y2558:Y2575,$B2591&amp;" ~*")&gt;0))</f>
        <v/>
      </c>
    </row>
    <row r="2592" ht="15" customHeight="1">
      <c r="A2592" t="n">
        <v>52</v>
      </c>
      <c r="B2592" s="37">
        <f>IF(Setup!$B$21="","",Setup!$B$21)</f>
        <v/>
      </c>
      <c r="C2592" s="102" t="n"/>
      <c r="D2592" s="103" t="n"/>
      <c r="E2592" s="103" t="n"/>
      <c r="F2592" s="104" t="n"/>
      <c r="G2592" s="102" t="n"/>
      <c r="H2592" s="103" t="n"/>
      <c r="I2592" s="103" t="n"/>
      <c r="J2592" s="104" t="n"/>
      <c r="K2592" s="102" t="inlineStr">
        <is>
          <t>AL</t>
        </is>
      </c>
      <c r="L2592" s="103" t="n"/>
      <c r="M2592" s="103" t="n"/>
      <c r="N2592" s="104" t="n"/>
      <c r="O2592" s="102" t="inlineStr">
        <is>
          <t>AL</t>
        </is>
      </c>
      <c r="P2592" s="103" t="n"/>
      <c r="Q2592" s="103" t="n"/>
      <c r="R2592" s="104" t="n"/>
      <c r="S2592" s="102" t="inlineStr">
        <is>
          <t>AL</t>
        </is>
      </c>
      <c r="T2592" s="103" t="n"/>
      <c r="U2592" s="103" t="n"/>
      <c r="V2592" s="104" t="n"/>
      <c r="W2592" s="102" t="n"/>
      <c r="X2592" s="104" t="n"/>
      <c r="Y2592" s="102" t="n"/>
      <c r="Z2592" s="104" t="n"/>
      <c r="AB2592" s="105">
        <f>IF($B2592="","",(COUNTIF(C2558:E2575,$B2592)+COUNTIF(C2558:E2575,$B2592&amp;" ~*")&gt;0)+(COUNTIF(G2558:I2575,$B2592)+COUNTIF(G2558:I2575,$B2592&amp;" ~*")&gt;0)+(COUNTIF(K2558:M2575,$B2592)+COUNTIF(K2558:M2575,$B2592&amp;" ~*")&gt;0)+(COUNTIF(O2558:Q2575,$B2592)+COUNTIF(O2558:Q2575,$B2592&amp;" ~*")&gt;0)+(COUNTIF(S2558:U2575,$B2592)+COUNTIF(S2558:U2575,$B2592&amp;" ~*")&gt;0)+(COUNTIF(W2558:W2575,$B2592)+COUNTIF(W2558:W2575,$B2592&amp;" ~*")&gt;0)+(COUNTIF(Y2558:Y2575,$B2592)+COUNTIF(Y2558:Y2575,$B2592&amp;" ~*")&gt;0))</f>
        <v/>
      </c>
      <c r="AC2592" s="38">
        <f>IF($B2592="","",(IFERROR(INDEX(Setup!$G$33:$G$40,MATCH(C2592,Setup!$B$33:$B$40,0)),0)=1)*(COUNTIF(C2558:E2575,$B2592)+COUNTIF(C2558:E2575,$B2592&amp;" ~*")&gt;0)+(IFERROR(INDEX(Setup!$G$33:$G$40,MATCH(G2592,Setup!$B$33:$B$40,0)),0)=1)*(COUNTIF(G2558:I2575,$B2592)+COUNTIF(G2558:I2575,$B2592&amp;" ~*")&gt;0)+(IFERROR(INDEX(Setup!$G$33:$G$40,MATCH(K2592,Setup!$B$33:$B$40,0)),0)=1)*(COUNTIF(K2558:M2575,$B2592)+COUNTIF(K2558:M2575,$B2592&amp;" ~*")&gt;0)+(IFERROR(INDEX(Setup!$G$33:$G$40,MATCH(O2592,Setup!$B$33:$B$40,0)),0)=1)*(COUNTIF(O2558:Q2575,$B2592)+COUNTIF(O2558:Q2575,$B2592&amp;" ~*")&gt;0)+(IFERROR(INDEX(Setup!$G$33:$G$40,MATCH(S2592,Setup!$B$33:$B$40,0)),0)=1)*(COUNTIF(S2558:U2575,$B2592)+COUNTIF(S2558:U2575,$B2592&amp;" ~*")&gt;0)+(IFERROR(INDEX(Setup!$G$33:$G$40,MATCH(W2592,Setup!$B$33:$B$40,0)),0)=1)*(COUNTIF(W2558:W2575,$B2592)+COUNTIF(W2558:W2575,$B2592&amp;" ~*")&gt;0)+(IFERROR(INDEX(Setup!$G$33:$G$40,MATCH(Y2592,Setup!$B$33:$B$40,0)),0)=1)*(COUNTIF(Y2558:Y2575,$B2592)+COUNTIF(Y2558:Y2575,$B2592&amp;" ~*")&gt;0))</f>
        <v/>
      </c>
    </row>
    <row r="2593" ht="15" customHeight="1">
      <c r="A2593" t="n">
        <v>52</v>
      </c>
      <c r="B2593" s="35">
        <f>IF(Setup!$B$22="","",Setup!$B$22)</f>
        <v/>
      </c>
      <c r="C2593" s="98" t="n"/>
      <c r="D2593" s="99" t="n"/>
      <c r="E2593" s="99" t="n"/>
      <c r="F2593" s="100" t="n"/>
      <c r="G2593" s="98" t="n"/>
      <c r="H2593" s="99" t="n"/>
      <c r="I2593" s="99" t="n"/>
      <c r="J2593" s="100" t="n"/>
      <c r="K2593" s="98" t="n"/>
      <c r="L2593" s="99" t="n"/>
      <c r="M2593" s="99" t="n"/>
      <c r="N2593" s="100" t="n"/>
      <c r="O2593" s="98" t="n"/>
      <c r="P2593" s="99" t="n"/>
      <c r="Q2593" s="99" t="n"/>
      <c r="R2593" s="100" t="n"/>
      <c r="S2593" s="98" t="n"/>
      <c r="T2593" s="99" t="n"/>
      <c r="U2593" s="99" t="n"/>
      <c r="V2593" s="100" t="n"/>
      <c r="W2593" s="98" t="n"/>
      <c r="X2593" s="100" t="n"/>
      <c r="Y2593" s="98" t="n"/>
      <c r="Z2593" s="100" t="n"/>
      <c r="AB2593" s="101">
        <f>IF($B2593="","",(COUNTIF(C2558:E2575,$B2593)+COUNTIF(C2558:E2575,$B2593&amp;" ~*")&gt;0)+(COUNTIF(G2558:I2575,$B2593)+COUNTIF(G2558:I2575,$B2593&amp;" ~*")&gt;0)+(COUNTIF(K2558:M2575,$B2593)+COUNTIF(K2558:M2575,$B2593&amp;" ~*")&gt;0)+(COUNTIF(O2558:Q2575,$B2593)+COUNTIF(O2558:Q2575,$B2593&amp;" ~*")&gt;0)+(COUNTIF(S2558:U2575,$B2593)+COUNTIF(S2558:U2575,$B2593&amp;" ~*")&gt;0)+(COUNTIF(W2558:W2575,$B2593)+COUNTIF(W2558:W2575,$B2593&amp;" ~*")&gt;0)+(COUNTIF(Y2558:Y2575,$B2593)+COUNTIF(Y2558:Y2575,$B2593&amp;" ~*")&gt;0))</f>
        <v/>
      </c>
      <c r="AC2593" s="36">
        <f>IF($B2593="","",(IFERROR(INDEX(Setup!$G$33:$G$40,MATCH(C2593,Setup!$B$33:$B$40,0)),0)=1)*(COUNTIF(C2558:E2575,$B2593)+COUNTIF(C2558:E2575,$B2593&amp;" ~*")&gt;0)+(IFERROR(INDEX(Setup!$G$33:$G$40,MATCH(G2593,Setup!$B$33:$B$40,0)),0)=1)*(COUNTIF(G2558:I2575,$B2593)+COUNTIF(G2558:I2575,$B2593&amp;" ~*")&gt;0)+(IFERROR(INDEX(Setup!$G$33:$G$40,MATCH(K2593,Setup!$B$33:$B$40,0)),0)=1)*(COUNTIF(K2558:M2575,$B2593)+COUNTIF(K2558:M2575,$B2593&amp;" ~*")&gt;0)+(IFERROR(INDEX(Setup!$G$33:$G$40,MATCH(O2593,Setup!$B$33:$B$40,0)),0)=1)*(COUNTIF(O2558:Q2575,$B2593)+COUNTIF(O2558:Q2575,$B2593&amp;" ~*")&gt;0)+(IFERROR(INDEX(Setup!$G$33:$G$40,MATCH(S2593,Setup!$B$33:$B$40,0)),0)=1)*(COUNTIF(S2558:U2575,$B2593)+COUNTIF(S2558:U2575,$B2593&amp;" ~*")&gt;0)+(IFERROR(INDEX(Setup!$G$33:$G$40,MATCH(W2593,Setup!$B$33:$B$40,0)),0)=1)*(COUNTIF(W2558:W2575,$B2593)+COUNTIF(W2558:W2575,$B2593&amp;" ~*")&gt;0)+(IFERROR(INDEX(Setup!$G$33:$G$40,MATCH(Y2593,Setup!$B$33:$B$40,0)),0)=1)*(COUNTIF(Y2558:Y2575,$B2593)+COUNTIF(Y2558:Y2575,$B2593&amp;" ~*")&gt;0))</f>
        <v/>
      </c>
    </row>
    <row r="2594" ht="15" customHeight="1">
      <c r="A2594" t="n">
        <v>52</v>
      </c>
      <c r="B2594" s="37">
        <f>IF(Setup!$B$23="","",Setup!$B$23)</f>
        <v/>
      </c>
      <c r="C2594" s="102" t="n"/>
      <c r="D2594" s="103" t="n"/>
      <c r="E2594" s="103" t="n"/>
      <c r="F2594" s="104" t="n"/>
      <c r="G2594" s="102" t="n"/>
      <c r="H2594" s="103" t="n"/>
      <c r="I2594" s="103" t="n"/>
      <c r="J2594" s="104" t="n"/>
      <c r="K2594" s="102" t="n"/>
      <c r="L2594" s="103" t="n"/>
      <c r="M2594" s="103" t="n"/>
      <c r="N2594" s="104" t="n"/>
      <c r="O2594" s="102" t="n"/>
      <c r="P2594" s="103" t="n"/>
      <c r="Q2594" s="103" t="n"/>
      <c r="R2594" s="104" t="n"/>
      <c r="S2594" s="102" t="n"/>
      <c r="T2594" s="103" t="n"/>
      <c r="U2594" s="103" t="n"/>
      <c r="V2594" s="104" t="n"/>
      <c r="W2594" s="102" t="n"/>
      <c r="X2594" s="104" t="n"/>
      <c r="Y2594" s="102" t="n"/>
      <c r="Z2594" s="104" t="n"/>
      <c r="AB2594" s="105">
        <f>IF($B2594="","",(COUNTIF(C2558:E2575,$B2594)+COUNTIF(C2558:E2575,$B2594&amp;" ~*")&gt;0)+(COUNTIF(G2558:I2575,$B2594)+COUNTIF(G2558:I2575,$B2594&amp;" ~*")&gt;0)+(COUNTIF(K2558:M2575,$B2594)+COUNTIF(K2558:M2575,$B2594&amp;" ~*")&gt;0)+(COUNTIF(O2558:Q2575,$B2594)+COUNTIF(O2558:Q2575,$B2594&amp;" ~*")&gt;0)+(COUNTIF(S2558:U2575,$B2594)+COUNTIF(S2558:U2575,$B2594&amp;" ~*")&gt;0)+(COUNTIF(W2558:W2575,$B2594)+COUNTIF(W2558:W2575,$B2594&amp;" ~*")&gt;0)+(COUNTIF(Y2558:Y2575,$B2594)+COUNTIF(Y2558:Y2575,$B2594&amp;" ~*")&gt;0))</f>
        <v/>
      </c>
      <c r="AC2594" s="38">
        <f>IF($B2594="","",(IFERROR(INDEX(Setup!$G$33:$G$40,MATCH(C2594,Setup!$B$33:$B$40,0)),0)=1)*(COUNTIF(C2558:E2575,$B2594)+COUNTIF(C2558:E2575,$B2594&amp;" ~*")&gt;0)+(IFERROR(INDEX(Setup!$G$33:$G$40,MATCH(G2594,Setup!$B$33:$B$40,0)),0)=1)*(COUNTIF(G2558:I2575,$B2594)+COUNTIF(G2558:I2575,$B2594&amp;" ~*")&gt;0)+(IFERROR(INDEX(Setup!$G$33:$G$40,MATCH(K2594,Setup!$B$33:$B$40,0)),0)=1)*(COUNTIF(K2558:M2575,$B2594)+COUNTIF(K2558:M2575,$B2594&amp;" ~*")&gt;0)+(IFERROR(INDEX(Setup!$G$33:$G$40,MATCH(O2594,Setup!$B$33:$B$40,0)),0)=1)*(COUNTIF(O2558:Q2575,$B2594)+COUNTIF(O2558:Q2575,$B2594&amp;" ~*")&gt;0)+(IFERROR(INDEX(Setup!$G$33:$G$40,MATCH(S2594,Setup!$B$33:$B$40,0)),0)=1)*(COUNTIF(S2558:U2575,$B2594)+COUNTIF(S2558:U2575,$B2594&amp;" ~*")&gt;0)+(IFERROR(INDEX(Setup!$G$33:$G$40,MATCH(W2594,Setup!$B$33:$B$40,0)),0)=1)*(COUNTIF(W2558:W2575,$B2594)+COUNTIF(W2558:W2575,$B2594&amp;" ~*")&gt;0)+(IFERROR(INDEX(Setup!$G$33:$G$40,MATCH(Y2594,Setup!$B$33:$B$40,0)),0)=1)*(COUNTIF(Y2558:Y2575,$B2594)+COUNTIF(Y2558:Y2575,$B2594&amp;" ~*")&gt;0))</f>
        <v/>
      </c>
    </row>
    <row r="2595" ht="15" customHeight="1">
      <c r="A2595" t="n">
        <v>52</v>
      </c>
      <c r="B2595" s="35">
        <f>IF(Setup!$B$24="","",Setup!$B$24)</f>
        <v/>
      </c>
      <c r="C2595" s="98" t="n"/>
      <c r="D2595" s="99" t="n"/>
      <c r="E2595" s="99" t="n"/>
      <c r="F2595" s="100" t="n"/>
      <c r="G2595" s="98" t="n"/>
      <c r="H2595" s="99" t="n"/>
      <c r="I2595" s="99" t="n"/>
      <c r="J2595" s="100" t="n"/>
      <c r="K2595" s="98" t="n"/>
      <c r="L2595" s="99" t="n"/>
      <c r="M2595" s="99" t="n"/>
      <c r="N2595" s="100" t="n"/>
      <c r="O2595" s="98" t="n"/>
      <c r="P2595" s="99" t="n"/>
      <c r="Q2595" s="99" t="n"/>
      <c r="R2595" s="100" t="n"/>
      <c r="S2595" s="98" t="n"/>
      <c r="T2595" s="99" t="n"/>
      <c r="U2595" s="99" t="n"/>
      <c r="V2595" s="100" t="n"/>
      <c r="W2595" s="98" t="n"/>
      <c r="X2595" s="100" t="n"/>
      <c r="Y2595" s="98" t="n"/>
      <c r="Z2595" s="100" t="n"/>
      <c r="AB2595" s="101">
        <f>IF($B2595="","",(COUNTIF(C2558:E2575,$B2595)+COUNTIF(C2558:E2575,$B2595&amp;" ~*")&gt;0)+(COUNTIF(G2558:I2575,$B2595)+COUNTIF(G2558:I2575,$B2595&amp;" ~*")&gt;0)+(COUNTIF(K2558:M2575,$B2595)+COUNTIF(K2558:M2575,$B2595&amp;" ~*")&gt;0)+(COUNTIF(O2558:Q2575,$B2595)+COUNTIF(O2558:Q2575,$B2595&amp;" ~*")&gt;0)+(COUNTIF(S2558:U2575,$B2595)+COUNTIF(S2558:U2575,$B2595&amp;" ~*")&gt;0)+(COUNTIF(W2558:W2575,$B2595)+COUNTIF(W2558:W2575,$B2595&amp;" ~*")&gt;0)+(COUNTIF(Y2558:Y2575,$B2595)+COUNTIF(Y2558:Y2575,$B2595&amp;" ~*")&gt;0))</f>
        <v/>
      </c>
      <c r="AC2595" s="36">
        <f>IF($B2595="","",(IFERROR(INDEX(Setup!$G$33:$G$40,MATCH(C2595,Setup!$B$33:$B$40,0)),0)=1)*(COUNTIF(C2558:E2575,$B2595)+COUNTIF(C2558:E2575,$B2595&amp;" ~*")&gt;0)+(IFERROR(INDEX(Setup!$G$33:$G$40,MATCH(G2595,Setup!$B$33:$B$40,0)),0)=1)*(COUNTIF(G2558:I2575,$B2595)+COUNTIF(G2558:I2575,$B2595&amp;" ~*")&gt;0)+(IFERROR(INDEX(Setup!$G$33:$G$40,MATCH(K2595,Setup!$B$33:$B$40,0)),0)=1)*(COUNTIF(K2558:M2575,$B2595)+COUNTIF(K2558:M2575,$B2595&amp;" ~*")&gt;0)+(IFERROR(INDEX(Setup!$G$33:$G$40,MATCH(O2595,Setup!$B$33:$B$40,0)),0)=1)*(COUNTIF(O2558:Q2575,$B2595)+COUNTIF(O2558:Q2575,$B2595&amp;" ~*")&gt;0)+(IFERROR(INDEX(Setup!$G$33:$G$40,MATCH(S2595,Setup!$B$33:$B$40,0)),0)=1)*(COUNTIF(S2558:U2575,$B2595)+COUNTIF(S2558:U2575,$B2595&amp;" ~*")&gt;0)+(IFERROR(INDEX(Setup!$G$33:$G$40,MATCH(W2595,Setup!$B$33:$B$40,0)),0)=1)*(COUNTIF(W2558:W2575,$B2595)+COUNTIF(W2558:W2575,$B2595&amp;" ~*")&gt;0)+(IFERROR(INDEX(Setup!$G$33:$G$40,MATCH(Y2595,Setup!$B$33:$B$40,0)),0)=1)*(COUNTIF(Y2558:Y2575,$B2595)+COUNTIF(Y2558:Y2575,$B2595&amp;" ~*")&gt;0))</f>
        <v/>
      </c>
    </row>
    <row r="2596" ht="15" customHeight="1">
      <c r="A2596" t="n">
        <v>52</v>
      </c>
      <c r="B2596" s="37">
        <f>IF(Setup!$B$25="","",Setup!$B$25)</f>
        <v/>
      </c>
      <c r="C2596" s="102" t="n"/>
      <c r="D2596" s="103" t="n"/>
      <c r="E2596" s="103" t="n"/>
      <c r="F2596" s="104" t="n"/>
      <c r="G2596" s="102" t="n"/>
      <c r="H2596" s="103" t="n"/>
      <c r="I2596" s="103" t="n"/>
      <c r="J2596" s="104" t="n"/>
      <c r="K2596" s="102" t="n"/>
      <c r="L2596" s="103" t="n"/>
      <c r="M2596" s="103" t="n"/>
      <c r="N2596" s="104" t="n"/>
      <c r="O2596" s="102" t="n"/>
      <c r="P2596" s="103" t="n"/>
      <c r="Q2596" s="103" t="n"/>
      <c r="R2596" s="104" t="n"/>
      <c r="S2596" s="102" t="n"/>
      <c r="T2596" s="103" t="n"/>
      <c r="U2596" s="103" t="n"/>
      <c r="V2596" s="104" t="n"/>
      <c r="W2596" s="102" t="n"/>
      <c r="X2596" s="104" t="n"/>
      <c r="Y2596" s="102" t="n"/>
      <c r="Z2596" s="104" t="n"/>
      <c r="AB2596" s="105">
        <f>IF($B2596="","",(COUNTIF(C2558:E2575,$B2596)+COUNTIF(C2558:E2575,$B2596&amp;" ~*")&gt;0)+(COUNTIF(G2558:I2575,$B2596)+COUNTIF(G2558:I2575,$B2596&amp;" ~*")&gt;0)+(COUNTIF(K2558:M2575,$B2596)+COUNTIF(K2558:M2575,$B2596&amp;" ~*")&gt;0)+(COUNTIF(O2558:Q2575,$B2596)+COUNTIF(O2558:Q2575,$B2596&amp;" ~*")&gt;0)+(COUNTIF(S2558:U2575,$B2596)+COUNTIF(S2558:U2575,$B2596&amp;" ~*")&gt;0)+(COUNTIF(W2558:W2575,$B2596)+COUNTIF(W2558:W2575,$B2596&amp;" ~*")&gt;0)+(COUNTIF(Y2558:Y2575,$B2596)+COUNTIF(Y2558:Y2575,$B2596&amp;" ~*")&gt;0))</f>
        <v/>
      </c>
      <c r="AC2596" s="38">
        <f>IF($B2596="","",(IFERROR(INDEX(Setup!$G$33:$G$40,MATCH(C2596,Setup!$B$33:$B$40,0)),0)=1)*(COUNTIF(C2558:E2575,$B2596)+COUNTIF(C2558:E2575,$B2596&amp;" ~*")&gt;0)+(IFERROR(INDEX(Setup!$G$33:$G$40,MATCH(G2596,Setup!$B$33:$B$40,0)),0)=1)*(COUNTIF(G2558:I2575,$B2596)+COUNTIF(G2558:I2575,$B2596&amp;" ~*")&gt;0)+(IFERROR(INDEX(Setup!$G$33:$G$40,MATCH(K2596,Setup!$B$33:$B$40,0)),0)=1)*(COUNTIF(K2558:M2575,$B2596)+COUNTIF(K2558:M2575,$B2596&amp;" ~*")&gt;0)+(IFERROR(INDEX(Setup!$G$33:$G$40,MATCH(O2596,Setup!$B$33:$B$40,0)),0)=1)*(COUNTIF(O2558:Q2575,$B2596)+COUNTIF(O2558:Q2575,$B2596&amp;" ~*")&gt;0)+(IFERROR(INDEX(Setup!$G$33:$G$40,MATCH(S2596,Setup!$B$33:$B$40,0)),0)=1)*(COUNTIF(S2558:U2575,$B2596)+COUNTIF(S2558:U2575,$B2596&amp;" ~*")&gt;0)+(IFERROR(INDEX(Setup!$G$33:$G$40,MATCH(W2596,Setup!$B$33:$B$40,0)),0)=1)*(COUNTIF(W2558:W2575,$B2596)+COUNTIF(W2558:W2575,$B2596&amp;" ~*")&gt;0)+(IFERROR(INDEX(Setup!$G$33:$G$40,MATCH(Y2596,Setup!$B$33:$B$40,0)),0)=1)*(COUNTIF(Y2558:Y2575,$B2596)+COUNTIF(Y2558:Y2575,$B2596&amp;" ~*")&gt;0))</f>
        <v/>
      </c>
    </row>
    <row r="2597" ht="15" customHeight="1">
      <c r="A2597" t="n">
        <v>52</v>
      </c>
      <c r="B2597" s="35">
        <f>IF(Setup!$B$26="","",Setup!$B$26)</f>
        <v/>
      </c>
      <c r="C2597" s="98" t="n"/>
      <c r="D2597" s="99" t="n"/>
      <c r="E2597" s="99" t="n"/>
      <c r="F2597" s="100" t="n"/>
      <c r="G2597" s="98" t="n"/>
      <c r="H2597" s="99" t="n"/>
      <c r="I2597" s="99" t="n"/>
      <c r="J2597" s="100" t="n"/>
      <c r="K2597" s="98" t="n"/>
      <c r="L2597" s="99" t="n"/>
      <c r="M2597" s="99" t="n"/>
      <c r="N2597" s="100" t="n"/>
      <c r="O2597" s="98" t="n"/>
      <c r="P2597" s="99" t="n"/>
      <c r="Q2597" s="99" t="n"/>
      <c r="R2597" s="100" t="n"/>
      <c r="S2597" s="98" t="n"/>
      <c r="T2597" s="99" t="n"/>
      <c r="U2597" s="99" t="n"/>
      <c r="V2597" s="100" t="n"/>
      <c r="W2597" s="98" t="n"/>
      <c r="X2597" s="100" t="n"/>
      <c r="Y2597" s="98" t="n"/>
      <c r="Z2597" s="100" t="n"/>
      <c r="AB2597" s="101">
        <f>IF($B2597="","",(COUNTIF(C2558:E2575,$B2597)+COUNTIF(C2558:E2575,$B2597&amp;" ~*")&gt;0)+(COUNTIF(G2558:I2575,$B2597)+COUNTIF(G2558:I2575,$B2597&amp;" ~*")&gt;0)+(COUNTIF(K2558:M2575,$B2597)+COUNTIF(K2558:M2575,$B2597&amp;" ~*")&gt;0)+(COUNTIF(O2558:Q2575,$B2597)+COUNTIF(O2558:Q2575,$B2597&amp;" ~*")&gt;0)+(COUNTIF(S2558:U2575,$B2597)+COUNTIF(S2558:U2575,$B2597&amp;" ~*")&gt;0)+(COUNTIF(W2558:W2575,$B2597)+COUNTIF(W2558:W2575,$B2597&amp;" ~*")&gt;0)+(COUNTIF(Y2558:Y2575,$B2597)+COUNTIF(Y2558:Y2575,$B2597&amp;" ~*")&gt;0))</f>
        <v/>
      </c>
      <c r="AC2597" s="36">
        <f>IF($B2597="","",(IFERROR(INDEX(Setup!$G$33:$G$40,MATCH(C2597,Setup!$B$33:$B$40,0)),0)=1)*(COUNTIF(C2558:E2575,$B2597)+COUNTIF(C2558:E2575,$B2597&amp;" ~*")&gt;0)+(IFERROR(INDEX(Setup!$G$33:$G$40,MATCH(G2597,Setup!$B$33:$B$40,0)),0)=1)*(COUNTIF(G2558:I2575,$B2597)+COUNTIF(G2558:I2575,$B2597&amp;" ~*")&gt;0)+(IFERROR(INDEX(Setup!$G$33:$G$40,MATCH(K2597,Setup!$B$33:$B$40,0)),0)=1)*(COUNTIF(K2558:M2575,$B2597)+COUNTIF(K2558:M2575,$B2597&amp;" ~*")&gt;0)+(IFERROR(INDEX(Setup!$G$33:$G$40,MATCH(O2597,Setup!$B$33:$B$40,0)),0)=1)*(COUNTIF(O2558:Q2575,$B2597)+COUNTIF(O2558:Q2575,$B2597&amp;" ~*")&gt;0)+(IFERROR(INDEX(Setup!$G$33:$G$40,MATCH(S2597,Setup!$B$33:$B$40,0)),0)=1)*(COUNTIF(S2558:U2575,$B2597)+COUNTIF(S2558:U2575,$B2597&amp;" ~*")&gt;0)+(IFERROR(INDEX(Setup!$G$33:$G$40,MATCH(W2597,Setup!$B$33:$B$40,0)),0)=1)*(COUNTIF(W2558:W2575,$B2597)+COUNTIF(W2558:W2575,$B2597&amp;" ~*")&gt;0)+(IFERROR(INDEX(Setup!$G$33:$G$40,MATCH(Y2597,Setup!$B$33:$B$40,0)),0)=1)*(COUNTIF(Y2558:Y2575,$B2597)+COUNTIF(Y2558:Y2575,$B2597&amp;" ~*")&gt;0))</f>
        <v/>
      </c>
    </row>
    <row r="2598" ht="15" customHeight="1">
      <c r="A2598" t="n">
        <v>52</v>
      </c>
      <c r="B2598" s="37">
        <f>IF(Setup!$B$27="","",Setup!$B$27)</f>
        <v/>
      </c>
      <c r="C2598" s="102" t="n"/>
      <c r="D2598" s="103" t="n"/>
      <c r="E2598" s="103" t="n"/>
      <c r="F2598" s="104" t="n"/>
      <c r="G2598" s="102" t="n"/>
      <c r="H2598" s="103" t="n"/>
      <c r="I2598" s="103" t="n"/>
      <c r="J2598" s="104" t="n"/>
      <c r="K2598" s="102" t="n"/>
      <c r="L2598" s="103" t="n"/>
      <c r="M2598" s="103" t="n"/>
      <c r="N2598" s="104" t="n"/>
      <c r="O2598" s="102" t="n"/>
      <c r="P2598" s="103" t="n"/>
      <c r="Q2598" s="103" t="n"/>
      <c r="R2598" s="104" t="n"/>
      <c r="S2598" s="102" t="n"/>
      <c r="T2598" s="103" t="n"/>
      <c r="U2598" s="103" t="n"/>
      <c r="V2598" s="104" t="n"/>
      <c r="W2598" s="102" t="n"/>
      <c r="X2598" s="104" t="n"/>
      <c r="Y2598" s="102" t="n"/>
      <c r="Z2598" s="104" t="n"/>
      <c r="AB2598" s="105">
        <f>IF($B2598="","",(COUNTIF(C2558:E2575,$B2598)+COUNTIF(C2558:E2575,$B2598&amp;" ~*")&gt;0)+(COUNTIF(G2558:I2575,$B2598)+COUNTIF(G2558:I2575,$B2598&amp;" ~*")&gt;0)+(COUNTIF(K2558:M2575,$B2598)+COUNTIF(K2558:M2575,$B2598&amp;" ~*")&gt;0)+(COUNTIF(O2558:Q2575,$B2598)+COUNTIF(O2558:Q2575,$B2598&amp;" ~*")&gt;0)+(COUNTIF(S2558:U2575,$B2598)+COUNTIF(S2558:U2575,$B2598&amp;" ~*")&gt;0)+(COUNTIF(W2558:W2575,$B2598)+COUNTIF(W2558:W2575,$B2598&amp;" ~*")&gt;0)+(COUNTIF(Y2558:Y2575,$B2598)+COUNTIF(Y2558:Y2575,$B2598&amp;" ~*")&gt;0))</f>
        <v/>
      </c>
      <c r="AC2598" s="38">
        <f>IF($B2598="","",(IFERROR(INDEX(Setup!$G$33:$G$40,MATCH(C2598,Setup!$B$33:$B$40,0)),0)=1)*(COUNTIF(C2558:E2575,$B2598)+COUNTIF(C2558:E2575,$B2598&amp;" ~*")&gt;0)+(IFERROR(INDEX(Setup!$G$33:$G$40,MATCH(G2598,Setup!$B$33:$B$40,0)),0)=1)*(COUNTIF(G2558:I2575,$B2598)+COUNTIF(G2558:I2575,$B2598&amp;" ~*")&gt;0)+(IFERROR(INDEX(Setup!$G$33:$G$40,MATCH(K2598,Setup!$B$33:$B$40,0)),0)=1)*(COUNTIF(K2558:M2575,$B2598)+COUNTIF(K2558:M2575,$B2598&amp;" ~*")&gt;0)+(IFERROR(INDEX(Setup!$G$33:$G$40,MATCH(O2598,Setup!$B$33:$B$40,0)),0)=1)*(COUNTIF(O2558:Q2575,$B2598)+COUNTIF(O2558:Q2575,$B2598&amp;" ~*")&gt;0)+(IFERROR(INDEX(Setup!$G$33:$G$40,MATCH(S2598,Setup!$B$33:$B$40,0)),0)=1)*(COUNTIF(S2558:U2575,$B2598)+COUNTIF(S2558:U2575,$B2598&amp;" ~*")&gt;0)+(IFERROR(INDEX(Setup!$G$33:$G$40,MATCH(W2598,Setup!$B$33:$B$40,0)),0)=1)*(COUNTIF(W2558:W2575,$B2598)+COUNTIF(W2558:W2575,$B2598&amp;" ~*")&gt;0)+(IFERROR(INDEX(Setup!$G$33:$G$40,MATCH(Y2598,Setup!$B$33:$B$40,0)),0)=1)*(COUNTIF(Y2558:Y2575,$B2598)+COUNTIF(Y2558:Y2575,$B2598&amp;" ~*")&gt;0))</f>
        <v/>
      </c>
    </row>
    <row r="2599" ht="15" customHeight="1">
      <c r="A2599" t="n">
        <v>52</v>
      </c>
      <c r="B2599" s="35">
        <f>IF(Setup!$B$28="","",Setup!$B$28)</f>
        <v/>
      </c>
      <c r="C2599" s="98" t="n"/>
      <c r="D2599" s="99" t="n"/>
      <c r="E2599" s="99" t="n"/>
      <c r="F2599" s="100" t="n"/>
      <c r="G2599" s="98" t="n"/>
      <c r="H2599" s="99" t="n"/>
      <c r="I2599" s="99" t="n"/>
      <c r="J2599" s="100" t="n"/>
      <c r="K2599" s="98" t="n"/>
      <c r="L2599" s="99" t="n"/>
      <c r="M2599" s="99" t="n"/>
      <c r="N2599" s="100" t="n"/>
      <c r="O2599" s="98" t="n"/>
      <c r="P2599" s="99" t="n"/>
      <c r="Q2599" s="99" t="n"/>
      <c r="R2599" s="100" t="n"/>
      <c r="S2599" s="98" t="n"/>
      <c r="T2599" s="99" t="n"/>
      <c r="U2599" s="99" t="n"/>
      <c r="V2599" s="100" t="n"/>
      <c r="W2599" s="98" t="n"/>
      <c r="X2599" s="100" t="n"/>
      <c r="Y2599" s="98" t="n"/>
      <c r="Z2599" s="100" t="n"/>
      <c r="AB2599" s="101">
        <f>IF($B2599="","",(COUNTIF(C2558:E2575,$B2599)+COUNTIF(C2558:E2575,$B2599&amp;" ~*")&gt;0)+(COUNTIF(G2558:I2575,$B2599)+COUNTIF(G2558:I2575,$B2599&amp;" ~*")&gt;0)+(COUNTIF(K2558:M2575,$B2599)+COUNTIF(K2558:M2575,$B2599&amp;" ~*")&gt;0)+(COUNTIF(O2558:Q2575,$B2599)+COUNTIF(O2558:Q2575,$B2599&amp;" ~*")&gt;0)+(COUNTIF(S2558:U2575,$B2599)+COUNTIF(S2558:U2575,$B2599&amp;" ~*")&gt;0)+(COUNTIF(W2558:W2575,$B2599)+COUNTIF(W2558:W2575,$B2599&amp;" ~*")&gt;0)+(COUNTIF(Y2558:Y2575,$B2599)+COUNTIF(Y2558:Y2575,$B2599&amp;" ~*")&gt;0))</f>
        <v/>
      </c>
      <c r="AC2599" s="36">
        <f>IF($B2599="","",(IFERROR(INDEX(Setup!$G$33:$G$40,MATCH(C2599,Setup!$B$33:$B$40,0)),0)=1)*(COUNTIF(C2558:E2575,$B2599)+COUNTIF(C2558:E2575,$B2599&amp;" ~*")&gt;0)+(IFERROR(INDEX(Setup!$G$33:$G$40,MATCH(G2599,Setup!$B$33:$B$40,0)),0)=1)*(COUNTIF(G2558:I2575,$B2599)+COUNTIF(G2558:I2575,$B2599&amp;" ~*")&gt;0)+(IFERROR(INDEX(Setup!$G$33:$G$40,MATCH(K2599,Setup!$B$33:$B$40,0)),0)=1)*(COUNTIF(K2558:M2575,$B2599)+COUNTIF(K2558:M2575,$B2599&amp;" ~*")&gt;0)+(IFERROR(INDEX(Setup!$G$33:$G$40,MATCH(O2599,Setup!$B$33:$B$40,0)),0)=1)*(COUNTIF(O2558:Q2575,$B2599)+COUNTIF(O2558:Q2575,$B2599&amp;" ~*")&gt;0)+(IFERROR(INDEX(Setup!$G$33:$G$40,MATCH(S2599,Setup!$B$33:$B$40,0)),0)=1)*(COUNTIF(S2558:U2575,$B2599)+COUNTIF(S2558:U2575,$B2599&amp;" ~*")&gt;0)+(IFERROR(INDEX(Setup!$G$33:$G$40,MATCH(W2599,Setup!$B$33:$B$40,0)),0)=1)*(COUNTIF(W2558:W2575,$B2599)+COUNTIF(W2558:W2575,$B2599&amp;" ~*")&gt;0)+(IFERROR(INDEX(Setup!$G$33:$G$40,MATCH(Y2599,Setup!$B$33:$B$40,0)),0)=1)*(COUNTIF(Y2558:Y2575,$B2599)+COUNTIF(Y2558:Y2575,$B2599&amp;" ~*")&gt;0))</f>
        <v/>
      </c>
    </row>
    <row r="2600" ht="15" customHeight="1">
      <c r="A2600" t="n">
        <v>52</v>
      </c>
      <c r="B2600" s="37">
        <f>IF(Setup!$B$29="","",Setup!$B$29)</f>
        <v/>
      </c>
      <c r="C2600" s="102" t="n"/>
      <c r="D2600" s="103" t="n"/>
      <c r="E2600" s="103" t="n"/>
      <c r="F2600" s="104" t="n"/>
      <c r="G2600" s="102" t="n"/>
      <c r="H2600" s="103" t="n"/>
      <c r="I2600" s="103" t="n"/>
      <c r="J2600" s="104" t="n"/>
      <c r="K2600" s="102" t="n"/>
      <c r="L2600" s="103" t="n"/>
      <c r="M2600" s="103" t="n"/>
      <c r="N2600" s="104" t="n"/>
      <c r="O2600" s="102" t="n"/>
      <c r="P2600" s="103" t="n"/>
      <c r="Q2600" s="103" t="n"/>
      <c r="R2600" s="104" t="n"/>
      <c r="S2600" s="102" t="n"/>
      <c r="T2600" s="103" t="n"/>
      <c r="U2600" s="103" t="n"/>
      <c r="V2600" s="104" t="n"/>
      <c r="W2600" s="102" t="n"/>
      <c r="X2600" s="104" t="n"/>
      <c r="Y2600" s="102" t="n"/>
      <c r="Z2600" s="104" t="n"/>
      <c r="AB2600" s="105">
        <f>IF($B2600="","",(COUNTIF(C2558:E2575,$B2600)+COUNTIF(C2558:E2575,$B2600&amp;" ~*")&gt;0)+(COUNTIF(G2558:I2575,$B2600)+COUNTIF(G2558:I2575,$B2600&amp;" ~*")&gt;0)+(COUNTIF(K2558:M2575,$B2600)+COUNTIF(K2558:M2575,$B2600&amp;" ~*")&gt;0)+(COUNTIF(O2558:Q2575,$B2600)+COUNTIF(O2558:Q2575,$B2600&amp;" ~*")&gt;0)+(COUNTIF(S2558:U2575,$B2600)+COUNTIF(S2558:U2575,$B2600&amp;" ~*")&gt;0)+(COUNTIF(W2558:W2575,$B2600)+COUNTIF(W2558:W2575,$B2600&amp;" ~*")&gt;0)+(COUNTIF(Y2558:Y2575,$B2600)+COUNTIF(Y2558:Y2575,$B2600&amp;" ~*")&gt;0))</f>
        <v/>
      </c>
      <c r="AC2600" s="38">
        <f>IF($B2600="","",(IFERROR(INDEX(Setup!$G$33:$G$40,MATCH(C2600,Setup!$B$33:$B$40,0)),0)=1)*(COUNTIF(C2558:E2575,$B2600)+COUNTIF(C2558:E2575,$B2600&amp;" ~*")&gt;0)+(IFERROR(INDEX(Setup!$G$33:$G$40,MATCH(G2600,Setup!$B$33:$B$40,0)),0)=1)*(COUNTIF(G2558:I2575,$B2600)+COUNTIF(G2558:I2575,$B2600&amp;" ~*")&gt;0)+(IFERROR(INDEX(Setup!$G$33:$G$40,MATCH(K2600,Setup!$B$33:$B$40,0)),0)=1)*(COUNTIF(K2558:M2575,$B2600)+COUNTIF(K2558:M2575,$B2600&amp;" ~*")&gt;0)+(IFERROR(INDEX(Setup!$G$33:$G$40,MATCH(O2600,Setup!$B$33:$B$40,0)),0)=1)*(COUNTIF(O2558:Q2575,$B2600)+COUNTIF(O2558:Q2575,$B2600&amp;" ~*")&gt;0)+(IFERROR(INDEX(Setup!$G$33:$G$40,MATCH(S2600,Setup!$B$33:$B$40,0)),0)=1)*(COUNTIF(S2558:U2575,$B2600)+COUNTIF(S2558:U2575,$B2600&amp;" ~*")&gt;0)+(IFERROR(INDEX(Setup!$G$33:$G$40,MATCH(W2600,Setup!$B$33:$B$40,0)),0)=1)*(COUNTIF(W2558:W2575,$B2600)+COUNTIF(W2558:W2575,$B2600&amp;" ~*")&gt;0)+(IFERROR(INDEX(Setup!$G$33:$G$40,MATCH(Y2600,Setup!$B$33:$B$40,0)),0)=1)*(COUNTIF(Y2558:Y2575,$B2600)+COUNTIF(Y2558:Y2575,$B2600&amp;" ~*")&gt;0))</f>
        <v/>
      </c>
    </row>
    <row r="2601" ht="16" customHeight="1">
      <c r="A2601" t="n">
        <v>52</v>
      </c>
      <c r="B2601" s="106" t="inlineStr">
        <is>
          <t>Available people</t>
        </is>
      </c>
      <c r="C2601" s="107">
        <f>COUNTIFS(Setup!$E$6:$E$29,"Y",Setup!$B$6:$B$29,"?*")-SUMPRODUCT(COUNTIF(C2577:C2600,Setup!$F$33:$F$40))</f>
        <v/>
      </c>
      <c r="D2601" s="107" t="n"/>
      <c r="E2601" s="107" t="n"/>
      <c r="F2601" s="107" t="n"/>
      <c r="G2601" s="107">
        <f>COUNTIFS(Setup!$E$6:$E$29,"Y",Setup!$B$6:$B$29,"?*")-SUMPRODUCT(COUNTIF(G2577:G2600,Setup!$F$33:$F$40))</f>
        <v/>
      </c>
      <c r="H2601" s="107" t="n"/>
      <c r="I2601" s="107" t="n"/>
      <c r="J2601" s="107" t="n"/>
      <c r="K2601" s="107">
        <f>COUNTIFS(Setup!$E$6:$E$29,"Y",Setup!$B$6:$B$29,"?*")-SUMPRODUCT(COUNTIF(K2577:K2600,Setup!$F$33:$F$40))</f>
        <v/>
      </c>
      <c r="L2601" s="107" t="n"/>
      <c r="M2601" s="107" t="n"/>
      <c r="N2601" s="107" t="n"/>
      <c r="O2601" s="107">
        <f>COUNTIFS(Setup!$E$6:$E$29,"Y",Setup!$B$6:$B$29,"?*")-SUMPRODUCT(COUNTIF(O2577:O2600,Setup!$F$33:$F$40))</f>
        <v/>
      </c>
      <c r="P2601" s="107" t="n"/>
      <c r="Q2601" s="107" t="n"/>
      <c r="R2601" s="107" t="n"/>
      <c r="S2601" s="107">
        <f>COUNTIFS(Setup!$E$6:$E$29,"Y",Setup!$B$6:$B$29,"?*")-SUMPRODUCT(COUNTIF(S2577:S2600,Setup!$F$33:$F$40))</f>
        <v/>
      </c>
      <c r="T2601" s="107" t="n"/>
      <c r="U2601" s="107" t="n"/>
      <c r="V2601" s="107" t="n"/>
      <c r="W2601" s="107">
        <f>COUNTIFS(Setup!$E$6:$E$29,"Y",Setup!$B$6:$B$29,"?*")-SUMPRODUCT(COUNTIF(W2577:W2600,Setup!$F$33:$F$40))</f>
        <v/>
      </c>
      <c r="X2601" s="107" t="n"/>
      <c r="Y2601" s="107">
        <f>COUNTIFS(Setup!$E$6:$E$29,"Y",Setup!$B$6:$B$29,"?*")-SUMPRODUCT(COUNTIF(Y2577:Y2600,Setup!$F$33:$F$40))</f>
        <v/>
      </c>
      <c r="Z2601" s="107" t="n"/>
      <c r="AB2601" s="108">
        <f>SUM(AB2577:AB2600)</f>
        <v/>
      </c>
      <c r="AC2601" s="109">
        <f>SUM(AC2577:AC2600)</f>
        <v/>
      </c>
    </row>
    <row r="2602" ht="30" customHeight="1">
      <c r="A2602" t="n">
        <v>52</v>
      </c>
      <c r="B2602" s="110" t="inlineStr">
        <is>
          <t>Week notes</t>
        </is>
      </c>
      <c r="C2602" s="111" t="n"/>
      <c r="D2602" s="112" t="n"/>
      <c r="E2602" s="112" t="n"/>
      <c r="F2602" s="112" t="n"/>
      <c r="G2602" s="112" t="n"/>
      <c r="H2602" s="112" t="n"/>
      <c r="I2602" s="112" t="n"/>
      <c r="J2602" s="112" t="n"/>
      <c r="K2602" s="112" t="n"/>
      <c r="L2602" s="112" t="n"/>
      <c r="M2602" s="112" t="n"/>
      <c r="N2602" s="112" t="n"/>
      <c r="O2602" s="112" t="n"/>
      <c r="P2602" s="112" t="n"/>
      <c r="Q2602" s="112" t="n"/>
      <c r="R2602" s="112" t="n"/>
      <c r="S2602" s="112" t="n"/>
      <c r="T2602" s="112" t="n"/>
      <c r="U2602" s="112" t="n"/>
      <c r="V2602" s="112" t="n"/>
      <c r="W2602" s="112" t="n"/>
      <c r="X2602" s="112" t="n"/>
      <c r="Y2602" s="112" t="n"/>
      <c r="Z2602" s="113" t="n"/>
    </row>
    <row r="2603" ht="8" customHeight="1">
      <c r="A2603" t="n">
        <v>52</v>
      </c>
    </row>
    <row r="2604" ht="8" customHeight="1">
      <c r="A2604" t="n">
        <v>52</v>
      </c>
    </row>
    <row r="2605" ht="24" customHeight="1">
      <c r="A2605" t="n">
        <v>53</v>
      </c>
      <c r="B2605" s="73">
        <f>"WEEK 53     "&amp;TEXT(C2606,"ddd d mmm")&amp;"  –  "&amp;TEXT(C2606+6,"ddd d mmm yyyy")&amp;"   (week 53 - only used in 53-week years)"</f>
        <v/>
      </c>
      <c r="S2605" s="74">
        <f>IF(TODAY()&lt;C2606,"FUTURE",IF(TODAY()&gt;C2606+6,"PAST","THIS WEEK"))</f>
        <v/>
      </c>
      <c r="W2605" s="75">
        <f>IF(AND(Engine!$B$8=$AC$3,Engine!$B$9=$A2605),"◀ ACTIVE WEEK","")</f>
        <v/>
      </c>
      <c r="AA2605" s="76" t="n"/>
      <c r="AB2605" s="77" t="inlineStr">
        <is>
          <t>◀ Prev</t>
        </is>
      </c>
      <c r="AC2605" s="77" t="inlineStr">
        <is>
          <t>▲ Top</t>
        </is>
      </c>
    </row>
    <row r="2606" ht="18" customHeight="1">
      <c r="A2606" t="n">
        <v>53</v>
      </c>
      <c r="B2606" s="78" t="inlineStr">
        <is>
          <t>DUTY</t>
        </is>
      </c>
      <c r="C2606" s="79">
        <f>$AC$2+7*($A2606-1)</f>
        <v/>
      </c>
      <c r="D2606" s="80" t="n"/>
      <c r="E2606" s="80" t="n"/>
      <c r="F2606" s="81" t="n"/>
      <c r="G2606" s="79">
        <f>C2606+1</f>
        <v/>
      </c>
      <c r="H2606" s="80" t="n"/>
      <c r="I2606" s="80" t="n"/>
      <c r="J2606" s="81" t="n"/>
      <c r="K2606" s="79">
        <f>C2606+2</f>
        <v/>
      </c>
      <c r="L2606" s="80" t="n"/>
      <c r="M2606" s="80" t="n"/>
      <c r="N2606" s="81" t="n"/>
      <c r="O2606" s="79">
        <f>C2606+3</f>
        <v/>
      </c>
      <c r="P2606" s="80" t="n"/>
      <c r="Q2606" s="80" t="n"/>
      <c r="R2606" s="81" t="n"/>
      <c r="S2606" s="79">
        <f>C2606+4</f>
        <v/>
      </c>
      <c r="T2606" s="80" t="n"/>
      <c r="U2606" s="80" t="n"/>
      <c r="V2606" s="81" t="n"/>
      <c r="W2606" s="82">
        <f>C2606+5</f>
        <v/>
      </c>
      <c r="X2606" s="83" t="n"/>
      <c r="Y2606" s="82">
        <f>C2606+6</f>
        <v/>
      </c>
      <c r="Z2606" s="83" t="n"/>
      <c r="AB2606" s="72" t="inlineStr">
        <is>
          <t>Gaps</t>
        </is>
      </c>
      <c r="AC2606" s="72" t="inlineStr">
        <is>
          <t>Cover</t>
        </is>
      </c>
    </row>
    <row r="2607" ht="14" customHeight="1">
      <c r="A2607" t="n">
        <v>53</v>
      </c>
      <c r="B2607" s="84" t="inlineStr">
        <is>
          <t>(from Setup)</t>
        </is>
      </c>
      <c r="C2607" s="85" t="inlineStr">
        <is>
          <t>1</t>
        </is>
      </c>
      <c r="D2607" s="85" t="inlineStr">
        <is>
          <t>2</t>
        </is>
      </c>
      <c r="E2607" s="85" t="inlineStr">
        <is>
          <t>3</t>
        </is>
      </c>
      <c r="F2607" s="85" t="inlineStr">
        <is>
          <t>Notes</t>
        </is>
      </c>
      <c r="G2607" s="85" t="inlineStr">
        <is>
          <t>1</t>
        </is>
      </c>
      <c r="H2607" s="85" t="inlineStr">
        <is>
          <t>2</t>
        </is>
      </c>
      <c r="I2607" s="85" t="inlineStr">
        <is>
          <t>3</t>
        </is>
      </c>
      <c r="J2607" s="85" t="inlineStr">
        <is>
          <t>Notes</t>
        </is>
      </c>
      <c r="K2607" s="85" t="inlineStr">
        <is>
          <t>1</t>
        </is>
      </c>
      <c r="L2607" s="85" t="inlineStr">
        <is>
          <t>2</t>
        </is>
      </c>
      <c r="M2607" s="85" t="inlineStr">
        <is>
          <t>3</t>
        </is>
      </c>
      <c r="N2607" s="85" t="inlineStr">
        <is>
          <t>Notes</t>
        </is>
      </c>
      <c r="O2607" s="85" t="inlineStr">
        <is>
          <t>1</t>
        </is>
      </c>
      <c r="P2607" s="85" t="inlineStr">
        <is>
          <t>2</t>
        </is>
      </c>
      <c r="Q2607" s="85" t="inlineStr">
        <is>
          <t>3</t>
        </is>
      </c>
      <c r="R2607" s="85" t="inlineStr">
        <is>
          <t>Notes</t>
        </is>
      </c>
      <c r="S2607" s="85" t="inlineStr">
        <is>
          <t>1</t>
        </is>
      </c>
      <c r="T2607" s="85" t="inlineStr">
        <is>
          <t>2</t>
        </is>
      </c>
      <c r="U2607" s="85" t="inlineStr">
        <is>
          <t>3</t>
        </is>
      </c>
      <c r="V2607" s="85" t="inlineStr">
        <is>
          <t>Notes</t>
        </is>
      </c>
      <c r="W2607" s="85" t="inlineStr">
        <is>
          <t>Cover</t>
        </is>
      </c>
      <c r="X2607" s="85" t="inlineStr">
        <is>
          <t>Notes</t>
        </is>
      </c>
      <c r="Y2607" s="85" t="inlineStr">
        <is>
          <t>Cover</t>
        </is>
      </c>
      <c r="Z2607" s="85" t="inlineStr">
        <is>
          <t>Notes</t>
        </is>
      </c>
      <c r="AB2607" s="86" t="inlineStr">
        <is>
          <t>weekdays short</t>
        </is>
      </c>
      <c r="AC2607" s="87" t="inlineStr"/>
    </row>
    <row r="2608" ht="17" customHeight="1">
      <c r="A2608" t="n">
        <v>53</v>
      </c>
      <c r="B2608" s="24">
        <f>IF(Setup!$K$6="","",Setup!$K$6)</f>
        <v/>
      </c>
      <c r="C2608" s="88" t="n"/>
      <c r="D2608" s="88" t="n"/>
      <c r="E2608" s="88" t="n"/>
      <c r="F2608" s="89" t="n"/>
      <c r="G2608" s="88" t="n"/>
      <c r="H2608" s="88" t="n"/>
      <c r="I2608" s="88" t="n"/>
      <c r="J2608" s="89" t="n"/>
      <c r="K2608" s="88" t="n"/>
      <c r="L2608" s="88" t="n"/>
      <c r="M2608" s="88" t="n"/>
      <c r="N2608" s="89" t="n"/>
      <c r="O2608" s="88" t="n"/>
      <c r="P2608" s="88" t="n"/>
      <c r="Q2608" s="88" t="n"/>
      <c r="R2608" s="89" t="n"/>
      <c r="S2608" s="88" t="n"/>
      <c r="T2608" s="88" t="n"/>
      <c r="U2608" s="88" t="n"/>
      <c r="V2608" s="89" t="n"/>
      <c r="W2608" s="88" t="n"/>
      <c r="X2608" s="89" t="n"/>
      <c r="Y2608" s="88" t="n"/>
      <c r="Z2608" s="89" t="n"/>
      <c r="AB2608" s="25">
        <f>IF($B2608="","",(COUNTIF(C2608:E2608,"?*")&lt;N(INDEX(Setup!$L$6:$L$23,1)))+(COUNTIF(G2608:I2608,"?*")&lt;N(INDEX(Setup!$L$6:$L$23,1)))+(COUNTIF(K2608:M2608,"?*")&lt;N(INDEX(Setup!$L$6:$L$23,1)))+(COUNTIF(O2608:Q2608,"?*")&lt;N(INDEX(Setup!$L$6:$L$23,1)))+(COUNTIF(S2608:U2608,"?*")&lt;N(INDEX(Setup!$L$6:$L$23,1)))+((W2608="")*(INDEX(Setup!$M$6:$M$23,1)="Y"))+((Y2608="")*(INDEX(Setup!$M$6:$M$23,1)="Y")))</f>
        <v/>
      </c>
      <c r="AC2608" s="90">
        <f>IF($B2608="","",IF(AB2608=0,"✓ covered","⚠ "&amp;AB2608&amp;IF(AB2608=1," gap"," gaps")))</f>
        <v/>
      </c>
    </row>
    <row r="2609" ht="17" customHeight="1">
      <c r="A2609" t="n">
        <v>53</v>
      </c>
      <c r="B2609" s="29">
        <f>IF(Setup!$K$7="","",Setup!$K$7)</f>
        <v/>
      </c>
      <c r="C2609" s="88" t="n"/>
      <c r="D2609" s="88" t="n"/>
      <c r="E2609" s="88" t="n"/>
      <c r="F2609" s="89" t="n"/>
      <c r="G2609" s="88" t="n"/>
      <c r="H2609" s="88" t="n"/>
      <c r="I2609" s="88" t="n"/>
      <c r="J2609" s="89" t="n"/>
      <c r="K2609" s="88" t="n"/>
      <c r="L2609" s="88" t="n"/>
      <c r="M2609" s="88" t="n"/>
      <c r="N2609" s="89" t="n"/>
      <c r="O2609" s="88" t="n"/>
      <c r="P2609" s="88" t="n"/>
      <c r="Q2609" s="88" t="n"/>
      <c r="R2609" s="89" t="n"/>
      <c r="S2609" s="88" t="n"/>
      <c r="T2609" s="88" t="n"/>
      <c r="U2609" s="88" t="n"/>
      <c r="V2609" s="89" t="n"/>
      <c r="W2609" s="88" t="n"/>
      <c r="X2609" s="89" t="n"/>
      <c r="Y2609" s="88" t="n"/>
      <c r="Z2609" s="89" t="n"/>
      <c r="AB2609" s="30">
        <f>IF($B2609="","",(COUNTIF(C2609:E2609,"?*")&lt;N(INDEX(Setup!$L$6:$L$23,2)))+(COUNTIF(G2609:I2609,"?*")&lt;N(INDEX(Setup!$L$6:$L$23,2)))+(COUNTIF(K2609:M2609,"?*")&lt;N(INDEX(Setup!$L$6:$L$23,2)))+(COUNTIF(O2609:Q2609,"?*")&lt;N(INDEX(Setup!$L$6:$L$23,2)))+(COUNTIF(S2609:U2609,"?*")&lt;N(INDEX(Setup!$L$6:$L$23,2)))+((W2609="")*(INDEX(Setup!$M$6:$M$23,2)="Y"))+((Y2609="")*(INDEX(Setup!$M$6:$M$23,2)="Y")))</f>
        <v/>
      </c>
      <c r="AC2609" s="91">
        <f>IF($B2609="","",IF(AB2609=0,"✓ covered","⚠ "&amp;AB2609&amp;IF(AB2609=1," gap"," gaps")))</f>
        <v/>
      </c>
    </row>
    <row r="2610" ht="17" customHeight="1">
      <c r="A2610" t="n">
        <v>53</v>
      </c>
      <c r="B2610" s="24">
        <f>IF(Setup!$K$8="","",Setup!$K$8)</f>
        <v/>
      </c>
      <c r="C2610" s="88" t="n"/>
      <c r="D2610" s="88" t="n"/>
      <c r="E2610" s="88" t="n"/>
      <c r="F2610" s="89" t="n"/>
      <c r="G2610" s="88" t="n"/>
      <c r="H2610" s="88" t="n"/>
      <c r="I2610" s="88" t="n"/>
      <c r="J2610" s="89" t="n"/>
      <c r="K2610" s="88" t="n"/>
      <c r="L2610" s="88" t="n"/>
      <c r="M2610" s="88" t="n"/>
      <c r="N2610" s="89" t="n"/>
      <c r="O2610" s="88" t="n"/>
      <c r="P2610" s="88" t="n"/>
      <c r="Q2610" s="88" t="n"/>
      <c r="R2610" s="89" t="n"/>
      <c r="S2610" s="88" t="n"/>
      <c r="T2610" s="88" t="n"/>
      <c r="U2610" s="88" t="n"/>
      <c r="V2610" s="89" t="n"/>
      <c r="W2610" s="88" t="n"/>
      <c r="X2610" s="89" t="n"/>
      <c r="Y2610" s="88" t="n"/>
      <c r="Z2610" s="89" t="n"/>
      <c r="AB2610" s="25">
        <f>IF($B2610="","",(COUNTIF(C2610:E2610,"?*")&lt;N(INDEX(Setup!$L$6:$L$23,3)))+(COUNTIF(G2610:I2610,"?*")&lt;N(INDEX(Setup!$L$6:$L$23,3)))+(COUNTIF(K2610:M2610,"?*")&lt;N(INDEX(Setup!$L$6:$L$23,3)))+(COUNTIF(O2610:Q2610,"?*")&lt;N(INDEX(Setup!$L$6:$L$23,3)))+(COUNTIF(S2610:U2610,"?*")&lt;N(INDEX(Setup!$L$6:$L$23,3)))+((W2610="")*(INDEX(Setup!$M$6:$M$23,3)="Y"))+((Y2610="")*(INDEX(Setup!$M$6:$M$23,3)="Y")))</f>
        <v/>
      </c>
      <c r="AC2610" s="90">
        <f>IF($B2610="","",IF(AB2610=0,"✓ covered","⚠ "&amp;AB2610&amp;IF(AB2610=1," gap"," gaps")))</f>
        <v/>
      </c>
    </row>
    <row r="2611" ht="17" customHeight="1">
      <c r="A2611" t="n">
        <v>53</v>
      </c>
      <c r="B2611" s="29">
        <f>IF(Setup!$K$9="","",Setup!$K$9)</f>
        <v/>
      </c>
      <c r="C2611" s="88" t="n"/>
      <c r="D2611" s="88" t="n"/>
      <c r="E2611" s="88" t="n"/>
      <c r="F2611" s="89" t="n"/>
      <c r="G2611" s="88" t="n"/>
      <c r="H2611" s="88" t="n"/>
      <c r="I2611" s="88" t="n"/>
      <c r="J2611" s="89" t="n"/>
      <c r="K2611" s="88" t="n"/>
      <c r="L2611" s="88" t="n"/>
      <c r="M2611" s="88" t="n"/>
      <c r="N2611" s="89" t="n"/>
      <c r="O2611" s="88" t="n"/>
      <c r="P2611" s="88" t="n"/>
      <c r="Q2611" s="88" t="n"/>
      <c r="R2611" s="89" t="n"/>
      <c r="S2611" s="88" t="n"/>
      <c r="T2611" s="88" t="n"/>
      <c r="U2611" s="88" t="n"/>
      <c r="V2611" s="89" t="n"/>
      <c r="W2611" s="88" t="n"/>
      <c r="X2611" s="89" t="n"/>
      <c r="Y2611" s="88" t="n"/>
      <c r="Z2611" s="89" t="n"/>
      <c r="AB2611" s="30">
        <f>IF($B2611="","",(COUNTIF(C2611:E2611,"?*")&lt;N(INDEX(Setup!$L$6:$L$23,4)))+(COUNTIF(G2611:I2611,"?*")&lt;N(INDEX(Setup!$L$6:$L$23,4)))+(COUNTIF(K2611:M2611,"?*")&lt;N(INDEX(Setup!$L$6:$L$23,4)))+(COUNTIF(O2611:Q2611,"?*")&lt;N(INDEX(Setup!$L$6:$L$23,4)))+(COUNTIF(S2611:U2611,"?*")&lt;N(INDEX(Setup!$L$6:$L$23,4)))+((W2611="")*(INDEX(Setup!$M$6:$M$23,4)="Y"))+((Y2611="")*(INDEX(Setup!$M$6:$M$23,4)="Y")))</f>
        <v/>
      </c>
      <c r="AC2611" s="91">
        <f>IF($B2611="","",IF(AB2611=0,"✓ covered","⚠ "&amp;AB2611&amp;IF(AB2611=1," gap"," gaps")))</f>
        <v/>
      </c>
    </row>
    <row r="2612" ht="17" customHeight="1">
      <c r="A2612" t="n">
        <v>53</v>
      </c>
      <c r="B2612" s="24">
        <f>IF(Setup!$K$10="","",Setup!$K$10)</f>
        <v/>
      </c>
      <c r="C2612" s="88" t="n"/>
      <c r="D2612" s="88" t="n"/>
      <c r="E2612" s="88" t="n"/>
      <c r="F2612" s="89" t="n"/>
      <c r="G2612" s="88" t="n"/>
      <c r="H2612" s="88" t="n"/>
      <c r="I2612" s="88" t="n"/>
      <c r="J2612" s="89" t="n"/>
      <c r="K2612" s="88" t="n"/>
      <c r="L2612" s="88" t="n"/>
      <c r="M2612" s="88" t="n"/>
      <c r="N2612" s="89" t="n"/>
      <c r="O2612" s="88" t="n"/>
      <c r="P2612" s="88" t="n"/>
      <c r="Q2612" s="88" t="n"/>
      <c r="R2612" s="89" t="n"/>
      <c r="S2612" s="88" t="n"/>
      <c r="T2612" s="88" t="n"/>
      <c r="U2612" s="88" t="n"/>
      <c r="V2612" s="89" t="n"/>
      <c r="W2612" s="88" t="n"/>
      <c r="X2612" s="89" t="n"/>
      <c r="Y2612" s="88" t="n"/>
      <c r="Z2612" s="89" t="n"/>
      <c r="AB2612" s="25">
        <f>IF($B2612="","",(COUNTIF(C2612:E2612,"?*")&lt;N(INDEX(Setup!$L$6:$L$23,5)))+(COUNTIF(G2612:I2612,"?*")&lt;N(INDEX(Setup!$L$6:$L$23,5)))+(COUNTIF(K2612:M2612,"?*")&lt;N(INDEX(Setup!$L$6:$L$23,5)))+(COUNTIF(O2612:Q2612,"?*")&lt;N(INDEX(Setup!$L$6:$L$23,5)))+(COUNTIF(S2612:U2612,"?*")&lt;N(INDEX(Setup!$L$6:$L$23,5)))+((W2612="")*(INDEX(Setup!$M$6:$M$23,5)="Y"))+((Y2612="")*(INDEX(Setup!$M$6:$M$23,5)="Y")))</f>
        <v/>
      </c>
      <c r="AC2612" s="90">
        <f>IF($B2612="","",IF(AB2612=0,"✓ covered","⚠ "&amp;AB2612&amp;IF(AB2612=1," gap"," gaps")))</f>
        <v/>
      </c>
    </row>
    <row r="2613" ht="17" customHeight="1">
      <c r="A2613" t="n">
        <v>53</v>
      </c>
      <c r="B2613" s="29">
        <f>IF(Setup!$K$11="","",Setup!$K$11)</f>
        <v/>
      </c>
      <c r="C2613" s="88" t="n"/>
      <c r="D2613" s="88" t="n"/>
      <c r="E2613" s="88" t="n"/>
      <c r="F2613" s="89" t="n"/>
      <c r="G2613" s="88" t="n"/>
      <c r="H2613" s="88" t="n"/>
      <c r="I2613" s="88" t="n"/>
      <c r="J2613" s="89" t="n"/>
      <c r="K2613" s="88" t="n"/>
      <c r="L2613" s="88" t="n"/>
      <c r="M2613" s="88" t="n"/>
      <c r="N2613" s="89" t="n"/>
      <c r="O2613" s="88" t="n"/>
      <c r="P2613" s="88" t="n"/>
      <c r="Q2613" s="88" t="n"/>
      <c r="R2613" s="89" t="n"/>
      <c r="S2613" s="88" t="n"/>
      <c r="T2613" s="88" t="n"/>
      <c r="U2613" s="88" t="n"/>
      <c r="V2613" s="89" t="n"/>
      <c r="W2613" s="88" t="n"/>
      <c r="X2613" s="89" t="n"/>
      <c r="Y2613" s="88" t="n"/>
      <c r="Z2613" s="89" t="n"/>
      <c r="AB2613" s="30">
        <f>IF($B2613="","",(COUNTIF(C2613:E2613,"?*")&lt;N(INDEX(Setup!$L$6:$L$23,6)))+(COUNTIF(G2613:I2613,"?*")&lt;N(INDEX(Setup!$L$6:$L$23,6)))+(COUNTIF(K2613:M2613,"?*")&lt;N(INDEX(Setup!$L$6:$L$23,6)))+(COUNTIF(O2613:Q2613,"?*")&lt;N(INDEX(Setup!$L$6:$L$23,6)))+(COUNTIF(S2613:U2613,"?*")&lt;N(INDEX(Setup!$L$6:$L$23,6)))+((W2613="")*(INDEX(Setup!$M$6:$M$23,6)="Y"))+((Y2613="")*(INDEX(Setup!$M$6:$M$23,6)="Y")))</f>
        <v/>
      </c>
      <c r="AC2613" s="91">
        <f>IF($B2613="","",IF(AB2613=0,"✓ covered","⚠ "&amp;AB2613&amp;IF(AB2613=1," gap"," gaps")))</f>
        <v/>
      </c>
    </row>
    <row r="2614" ht="17" customHeight="1">
      <c r="A2614" t="n">
        <v>53</v>
      </c>
      <c r="B2614" s="24">
        <f>IF(Setup!$K$12="","",Setup!$K$12)</f>
        <v/>
      </c>
      <c r="C2614" s="88" t="n"/>
      <c r="D2614" s="88" t="n"/>
      <c r="E2614" s="88" t="n"/>
      <c r="F2614" s="89" t="n"/>
      <c r="G2614" s="88" t="n"/>
      <c r="H2614" s="88" t="n"/>
      <c r="I2614" s="88" t="n"/>
      <c r="J2614" s="89" t="n"/>
      <c r="K2614" s="88" t="n"/>
      <c r="L2614" s="88" t="n"/>
      <c r="M2614" s="88" t="n"/>
      <c r="N2614" s="89" t="n"/>
      <c r="O2614" s="88" t="n"/>
      <c r="P2614" s="88" t="n"/>
      <c r="Q2614" s="88" t="n"/>
      <c r="R2614" s="89" t="n"/>
      <c r="S2614" s="88" t="n"/>
      <c r="T2614" s="88" t="n"/>
      <c r="U2614" s="88" t="n"/>
      <c r="V2614" s="89" t="n"/>
      <c r="W2614" s="88" t="n"/>
      <c r="X2614" s="89" t="n"/>
      <c r="Y2614" s="88" t="n"/>
      <c r="Z2614" s="89" t="n"/>
      <c r="AB2614" s="25">
        <f>IF($B2614="","",(COUNTIF(C2614:E2614,"?*")&lt;N(INDEX(Setup!$L$6:$L$23,7)))+(COUNTIF(G2614:I2614,"?*")&lt;N(INDEX(Setup!$L$6:$L$23,7)))+(COUNTIF(K2614:M2614,"?*")&lt;N(INDEX(Setup!$L$6:$L$23,7)))+(COUNTIF(O2614:Q2614,"?*")&lt;N(INDEX(Setup!$L$6:$L$23,7)))+(COUNTIF(S2614:U2614,"?*")&lt;N(INDEX(Setup!$L$6:$L$23,7)))+((W2614="")*(INDEX(Setup!$M$6:$M$23,7)="Y"))+((Y2614="")*(INDEX(Setup!$M$6:$M$23,7)="Y")))</f>
        <v/>
      </c>
      <c r="AC2614" s="90">
        <f>IF($B2614="","",IF(AB2614=0,"✓ covered","⚠ "&amp;AB2614&amp;IF(AB2614=1," gap"," gaps")))</f>
        <v/>
      </c>
    </row>
    <row r="2615" ht="17" customHeight="1">
      <c r="A2615" t="n">
        <v>53</v>
      </c>
      <c r="B2615" s="29">
        <f>IF(Setup!$K$13="","",Setup!$K$13)</f>
        <v/>
      </c>
      <c r="C2615" s="88" t="n"/>
      <c r="D2615" s="88" t="n"/>
      <c r="E2615" s="88" t="n"/>
      <c r="F2615" s="89" t="n"/>
      <c r="G2615" s="88" t="n"/>
      <c r="H2615" s="88" t="n"/>
      <c r="I2615" s="88" t="n"/>
      <c r="J2615" s="89" t="n"/>
      <c r="K2615" s="88" t="n"/>
      <c r="L2615" s="88" t="n"/>
      <c r="M2615" s="88" t="n"/>
      <c r="N2615" s="89" t="n"/>
      <c r="O2615" s="88" t="n"/>
      <c r="P2615" s="88" t="n"/>
      <c r="Q2615" s="88" t="n"/>
      <c r="R2615" s="89" t="n"/>
      <c r="S2615" s="88" t="n"/>
      <c r="T2615" s="88" t="n"/>
      <c r="U2615" s="88" t="n"/>
      <c r="V2615" s="89" t="n"/>
      <c r="W2615" s="88" t="n"/>
      <c r="X2615" s="89" t="n"/>
      <c r="Y2615" s="88" t="n"/>
      <c r="Z2615" s="89" t="n"/>
      <c r="AB2615" s="30">
        <f>IF($B2615="","",(COUNTIF(C2615:E2615,"?*")&lt;N(INDEX(Setup!$L$6:$L$23,8)))+(COUNTIF(G2615:I2615,"?*")&lt;N(INDEX(Setup!$L$6:$L$23,8)))+(COUNTIF(K2615:M2615,"?*")&lt;N(INDEX(Setup!$L$6:$L$23,8)))+(COUNTIF(O2615:Q2615,"?*")&lt;N(INDEX(Setup!$L$6:$L$23,8)))+(COUNTIF(S2615:U2615,"?*")&lt;N(INDEX(Setup!$L$6:$L$23,8)))+((W2615="")*(INDEX(Setup!$M$6:$M$23,8)="Y"))+((Y2615="")*(INDEX(Setup!$M$6:$M$23,8)="Y")))</f>
        <v/>
      </c>
      <c r="AC2615" s="91">
        <f>IF($B2615="","",IF(AB2615=0,"✓ covered","⚠ "&amp;AB2615&amp;IF(AB2615=1," gap"," gaps")))</f>
        <v/>
      </c>
    </row>
    <row r="2616" ht="17" customHeight="1">
      <c r="A2616" t="n">
        <v>53</v>
      </c>
      <c r="B2616" s="24">
        <f>IF(Setup!$K$14="","",Setup!$K$14)</f>
        <v/>
      </c>
      <c r="C2616" s="88" t="n"/>
      <c r="D2616" s="88" t="n"/>
      <c r="E2616" s="88" t="n"/>
      <c r="F2616" s="89" t="n"/>
      <c r="G2616" s="88" t="n"/>
      <c r="H2616" s="88" t="n"/>
      <c r="I2616" s="88" t="n"/>
      <c r="J2616" s="89" t="n"/>
      <c r="K2616" s="88" t="n"/>
      <c r="L2616" s="88" t="n"/>
      <c r="M2616" s="88" t="n"/>
      <c r="N2616" s="89" t="n"/>
      <c r="O2616" s="88" t="n"/>
      <c r="P2616" s="88" t="n"/>
      <c r="Q2616" s="88" t="n"/>
      <c r="R2616" s="89" t="n"/>
      <c r="S2616" s="88" t="n"/>
      <c r="T2616" s="88" t="n"/>
      <c r="U2616" s="88" t="n"/>
      <c r="V2616" s="89" t="n"/>
      <c r="W2616" s="88" t="n"/>
      <c r="X2616" s="89" t="n"/>
      <c r="Y2616" s="88" t="n"/>
      <c r="Z2616" s="89" t="n"/>
      <c r="AB2616" s="25">
        <f>IF($B2616="","",(COUNTIF(C2616:E2616,"?*")&lt;N(INDEX(Setup!$L$6:$L$23,9)))+(COUNTIF(G2616:I2616,"?*")&lt;N(INDEX(Setup!$L$6:$L$23,9)))+(COUNTIF(K2616:M2616,"?*")&lt;N(INDEX(Setup!$L$6:$L$23,9)))+(COUNTIF(O2616:Q2616,"?*")&lt;N(INDEX(Setup!$L$6:$L$23,9)))+(COUNTIF(S2616:U2616,"?*")&lt;N(INDEX(Setup!$L$6:$L$23,9)))+((W2616="")*(INDEX(Setup!$M$6:$M$23,9)="Y"))+((Y2616="")*(INDEX(Setup!$M$6:$M$23,9)="Y")))</f>
        <v/>
      </c>
      <c r="AC2616" s="90">
        <f>IF($B2616="","",IF(AB2616=0,"✓ covered","⚠ "&amp;AB2616&amp;IF(AB2616=1," gap"," gaps")))</f>
        <v/>
      </c>
    </row>
    <row r="2617" ht="17" customHeight="1">
      <c r="A2617" t="n">
        <v>53</v>
      </c>
      <c r="B2617" s="29">
        <f>IF(Setup!$K$15="","",Setup!$K$15)</f>
        <v/>
      </c>
      <c r="C2617" s="88" t="n"/>
      <c r="D2617" s="88" t="n"/>
      <c r="E2617" s="88" t="n"/>
      <c r="F2617" s="89" t="n"/>
      <c r="G2617" s="88" t="n"/>
      <c r="H2617" s="88" t="n"/>
      <c r="I2617" s="88" t="n"/>
      <c r="J2617" s="89" t="n"/>
      <c r="K2617" s="88" t="n"/>
      <c r="L2617" s="88" t="n"/>
      <c r="M2617" s="88" t="n"/>
      <c r="N2617" s="89" t="n"/>
      <c r="O2617" s="88" t="n"/>
      <c r="P2617" s="88" t="n"/>
      <c r="Q2617" s="88" t="n"/>
      <c r="R2617" s="89" t="n"/>
      <c r="S2617" s="88" t="n"/>
      <c r="T2617" s="88" t="n"/>
      <c r="U2617" s="88" t="n"/>
      <c r="V2617" s="89" t="n"/>
      <c r="W2617" s="88" t="n"/>
      <c r="X2617" s="89" t="n"/>
      <c r="Y2617" s="88" t="n"/>
      <c r="Z2617" s="89" t="n"/>
      <c r="AB2617" s="30">
        <f>IF($B2617="","",(COUNTIF(C2617:E2617,"?*")&lt;N(INDEX(Setup!$L$6:$L$23,10)))+(COUNTIF(G2617:I2617,"?*")&lt;N(INDEX(Setup!$L$6:$L$23,10)))+(COUNTIF(K2617:M2617,"?*")&lt;N(INDEX(Setup!$L$6:$L$23,10)))+(COUNTIF(O2617:Q2617,"?*")&lt;N(INDEX(Setup!$L$6:$L$23,10)))+(COUNTIF(S2617:U2617,"?*")&lt;N(INDEX(Setup!$L$6:$L$23,10)))+((W2617="")*(INDEX(Setup!$M$6:$M$23,10)="Y"))+((Y2617="")*(INDEX(Setup!$M$6:$M$23,10)="Y")))</f>
        <v/>
      </c>
      <c r="AC2617" s="91">
        <f>IF($B2617="","",IF(AB2617=0,"✓ covered","⚠ "&amp;AB2617&amp;IF(AB2617=1," gap"," gaps")))</f>
        <v/>
      </c>
    </row>
    <row r="2618" ht="17" customHeight="1">
      <c r="A2618" t="n">
        <v>53</v>
      </c>
      <c r="B2618" s="24">
        <f>IF(Setup!$K$16="","",Setup!$K$16)</f>
        <v/>
      </c>
      <c r="C2618" s="88" t="n"/>
      <c r="D2618" s="88" t="n"/>
      <c r="E2618" s="88" t="n"/>
      <c r="F2618" s="89" t="n"/>
      <c r="G2618" s="88" t="n"/>
      <c r="H2618" s="88" t="n"/>
      <c r="I2618" s="88" t="n"/>
      <c r="J2618" s="89" t="n"/>
      <c r="K2618" s="88" t="n"/>
      <c r="L2618" s="88" t="n"/>
      <c r="M2618" s="88" t="n"/>
      <c r="N2618" s="89" t="n"/>
      <c r="O2618" s="88" t="n"/>
      <c r="P2618" s="88" t="n"/>
      <c r="Q2618" s="88" t="n"/>
      <c r="R2618" s="89" t="n"/>
      <c r="S2618" s="88" t="n"/>
      <c r="T2618" s="88" t="n"/>
      <c r="U2618" s="88" t="n"/>
      <c r="V2618" s="89" t="n"/>
      <c r="W2618" s="88" t="n"/>
      <c r="X2618" s="89" t="n"/>
      <c r="Y2618" s="88" t="n"/>
      <c r="Z2618" s="89" t="n"/>
      <c r="AB2618" s="25">
        <f>IF($B2618="","",(COUNTIF(C2618:E2618,"?*")&lt;N(INDEX(Setup!$L$6:$L$23,11)))+(COUNTIF(G2618:I2618,"?*")&lt;N(INDEX(Setup!$L$6:$L$23,11)))+(COUNTIF(K2618:M2618,"?*")&lt;N(INDEX(Setup!$L$6:$L$23,11)))+(COUNTIF(O2618:Q2618,"?*")&lt;N(INDEX(Setup!$L$6:$L$23,11)))+(COUNTIF(S2618:U2618,"?*")&lt;N(INDEX(Setup!$L$6:$L$23,11)))+((W2618="")*(INDEX(Setup!$M$6:$M$23,11)="Y"))+((Y2618="")*(INDEX(Setup!$M$6:$M$23,11)="Y")))</f>
        <v/>
      </c>
      <c r="AC2618" s="90">
        <f>IF($B2618="","",IF(AB2618=0,"✓ covered","⚠ "&amp;AB2618&amp;IF(AB2618=1," gap"," gaps")))</f>
        <v/>
      </c>
    </row>
    <row r="2619" ht="17" customHeight="1">
      <c r="A2619" t="n">
        <v>53</v>
      </c>
      <c r="B2619" s="29">
        <f>IF(Setup!$K$17="","",Setup!$K$17)</f>
        <v/>
      </c>
      <c r="C2619" s="88" t="n"/>
      <c r="D2619" s="88" t="n"/>
      <c r="E2619" s="88" t="n"/>
      <c r="F2619" s="89" t="n"/>
      <c r="G2619" s="88" t="n"/>
      <c r="H2619" s="88" t="n"/>
      <c r="I2619" s="88" t="n"/>
      <c r="J2619" s="89" t="n"/>
      <c r="K2619" s="88" t="n"/>
      <c r="L2619" s="88" t="n"/>
      <c r="M2619" s="88" t="n"/>
      <c r="N2619" s="89" t="n"/>
      <c r="O2619" s="88" t="n"/>
      <c r="P2619" s="88" t="n"/>
      <c r="Q2619" s="88" t="n"/>
      <c r="R2619" s="89" t="n"/>
      <c r="S2619" s="88" t="n"/>
      <c r="T2619" s="88" t="n"/>
      <c r="U2619" s="88" t="n"/>
      <c r="V2619" s="89" t="n"/>
      <c r="W2619" s="88" t="n"/>
      <c r="X2619" s="89" t="n"/>
      <c r="Y2619" s="88" t="n"/>
      <c r="Z2619" s="89" t="n"/>
      <c r="AB2619" s="30">
        <f>IF($B2619="","",(COUNTIF(C2619:E2619,"?*")&lt;N(INDEX(Setup!$L$6:$L$23,12)))+(COUNTIF(G2619:I2619,"?*")&lt;N(INDEX(Setup!$L$6:$L$23,12)))+(COUNTIF(K2619:M2619,"?*")&lt;N(INDEX(Setup!$L$6:$L$23,12)))+(COUNTIF(O2619:Q2619,"?*")&lt;N(INDEX(Setup!$L$6:$L$23,12)))+(COUNTIF(S2619:U2619,"?*")&lt;N(INDEX(Setup!$L$6:$L$23,12)))+((W2619="")*(INDEX(Setup!$M$6:$M$23,12)="Y"))+((Y2619="")*(INDEX(Setup!$M$6:$M$23,12)="Y")))</f>
        <v/>
      </c>
      <c r="AC2619" s="91">
        <f>IF($B2619="","",IF(AB2619=0,"✓ covered","⚠ "&amp;AB2619&amp;IF(AB2619=1," gap"," gaps")))</f>
        <v/>
      </c>
    </row>
    <row r="2620" ht="17" customHeight="1">
      <c r="A2620" t="n">
        <v>53</v>
      </c>
      <c r="B2620" s="24">
        <f>IF(Setup!$K$18="","",Setup!$K$18)</f>
        <v/>
      </c>
      <c r="C2620" s="88" t="n"/>
      <c r="D2620" s="88" t="n"/>
      <c r="E2620" s="88" t="n"/>
      <c r="F2620" s="89" t="n"/>
      <c r="G2620" s="88" t="n"/>
      <c r="H2620" s="88" t="n"/>
      <c r="I2620" s="88" t="n"/>
      <c r="J2620" s="89" t="n"/>
      <c r="K2620" s="88" t="n"/>
      <c r="L2620" s="88" t="n"/>
      <c r="M2620" s="88" t="n"/>
      <c r="N2620" s="89" t="n"/>
      <c r="O2620" s="88" t="n"/>
      <c r="P2620" s="88" t="n"/>
      <c r="Q2620" s="88" t="n"/>
      <c r="R2620" s="89" t="n"/>
      <c r="S2620" s="88" t="n"/>
      <c r="T2620" s="88" t="n"/>
      <c r="U2620" s="88" t="n"/>
      <c r="V2620" s="89" t="n"/>
      <c r="W2620" s="88" t="n"/>
      <c r="X2620" s="89" t="n"/>
      <c r="Y2620" s="88" t="n"/>
      <c r="Z2620" s="89" t="n"/>
      <c r="AB2620" s="25">
        <f>IF($B2620="","",(COUNTIF(C2620:E2620,"?*")&lt;N(INDEX(Setup!$L$6:$L$23,13)))+(COUNTIF(G2620:I2620,"?*")&lt;N(INDEX(Setup!$L$6:$L$23,13)))+(COUNTIF(K2620:M2620,"?*")&lt;N(INDEX(Setup!$L$6:$L$23,13)))+(COUNTIF(O2620:Q2620,"?*")&lt;N(INDEX(Setup!$L$6:$L$23,13)))+(COUNTIF(S2620:U2620,"?*")&lt;N(INDEX(Setup!$L$6:$L$23,13)))+((W2620="")*(INDEX(Setup!$M$6:$M$23,13)="Y"))+((Y2620="")*(INDEX(Setup!$M$6:$M$23,13)="Y")))</f>
        <v/>
      </c>
      <c r="AC2620" s="90">
        <f>IF($B2620="","",IF(AB2620=0,"✓ covered","⚠ "&amp;AB2620&amp;IF(AB2620=1," gap"," gaps")))</f>
        <v/>
      </c>
    </row>
    <row r="2621" ht="17" customHeight="1">
      <c r="A2621" t="n">
        <v>53</v>
      </c>
      <c r="B2621" s="29">
        <f>IF(Setup!$K$19="","",Setup!$K$19)</f>
        <v/>
      </c>
      <c r="C2621" s="88" t="n"/>
      <c r="D2621" s="88" t="n"/>
      <c r="E2621" s="88" t="n"/>
      <c r="F2621" s="89" t="n"/>
      <c r="G2621" s="88" t="n"/>
      <c r="H2621" s="88" t="n"/>
      <c r="I2621" s="88" t="n"/>
      <c r="J2621" s="89" t="n"/>
      <c r="K2621" s="88" t="n"/>
      <c r="L2621" s="88" t="n"/>
      <c r="M2621" s="88" t="n"/>
      <c r="N2621" s="89" t="n"/>
      <c r="O2621" s="88" t="n"/>
      <c r="P2621" s="88" t="n"/>
      <c r="Q2621" s="88" t="n"/>
      <c r="R2621" s="89" t="n"/>
      <c r="S2621" s="88" t="n"/>
      <c r="T2621" s="88" t="n"/>
      <c r="U2621" s="88" t="n"/>
      <c r="V2621" s="89" t="n"/>
      <c r="W2621" s="88" t="n"/>
      <c r="X2621" s="89" t="n"/>
      <c r="Y2621" s="88" t="n"/>
      <c r="Z2621" s="89" t="n"/>
      <c r="AB2621" s="30">
        <f>IF($B2621="","",(COUNTIF(C2621:E2621,"?*")&lt;N(INDEX(Setup!$L$6:$L$23,14)))+(COUNTIF(G2621:I2621,"?*")&lt;N(INDEX(Setup!$L$6:$L$23,14)))+(COUNTIF(K2621:M2621,"?*")&lt;N(INDEX(Setup!$L$6:$L$23,14)))+(COUNTIF(O2621:Q2621,"?*")&lt;N(INDEX(Setup!$L$6:$L$23,14)))+(COUNTIF(S2621:U2621,"?*")&lt;N(INDEX(Setup!$L$6:$L$23,14)))+((W2621="")*(INDEX(Setup!$M$6:$M$23,14)="Y"))+((Y2621="")*(INDEX(Setup!$M$6:$M$23,14)="Y")))</f>
        <v/>
      </c>
      <c r="AC2621" s="91">
        <f>IF($B2621="","",IF(AB2621=0,"✓ covered","⚠ "&amp;AB2621&amp;IF(AB2621=1," gap"," gaps")))</f>
        <v/>
      </c>
    </row>
    <row r="2622" ht="17" customHeight="1">
      <c r="A2622" t="n">
        <v>53</v>
      </c>
      <c r="B2622" s="24">
        <f>IF(Setup!$K$20="","",Setup!$K$20)</f>
        <v/>
      </c>
      <c r="C2622" s="88" t="n"/>
      <c r="D2622" s="88" t="n"/>
      <c r="E2622" s="88" t="n"/>
      <c r="F2622" s="89" t="n"/>
      <c r="G2622" s="88" t="n"/>
      <c r="H2622" s="88" t="n"/>
      <c r="I2622" s="88" t="n"/>
      <c r="J2622" s="89" t="n"/>
      <c r="K2622" s="88" t="n"/>
      <c r="L2622" s="88" t="n"/>
      <c r="M2622" s="88" t="n"/>
      <c r="N2622" s="89" t="n"/>
      <c r="O2622" s="88" t="n"/>
      <c r="P2622" s="88" t="n"/>
      <c r="Q2622" s="88" t="n"/>
      <c r="R2622" s="89" t="n"/>
      <c r="S2622" s="88" t="n"/>
      <c r="T2622" s="88" t="n"/>
      <c r="U2622" s="88" t="n"/>
      <c r="V2622" s="89" t="n"/>
      <c r="W2622" s="88" t="n"/>
      <c r="X2622" s="89" t="n"/>
      <c r="Y2622" s="88" t="n"/>
      <c r="Z2622" s="89" t="n"/>
      <c r="AB2622" s="25">
        <f>IF($B2622="","",(COUNTIF(C2622:E2622,"?*")&lt;N(INDEX(Setup!$L$6:$L$23,15)))+(COUNTIF(G2622:I2622,"?*")&lt;N(INDEX(Setup!$L$6:$L$23,15)))+(COUNTIF(K2622:M2622,"?*")&lt;N(INDEX(Setup!$L$6:$L$23,15)))+(COUNTIF(O2622:Q2622,"?*")&lt;N(INDEX(Setup!$L$6:$L$23,15)))+(COUNTIF(S2622:U2622,"?*")&lt;N(INDEX(Setup!$L$6:$L$23,15)))+((W2622="")*(INDEX(Setup!$M$6:$M$23,15)="Y"))+((Y2622="")*(INDEX(Setup!$M$6:$M$23,15)="Y")))</f>
        <v/>
      </c>
      <c r="AC2622" s="90">
        <f>IF($B2622="","",IF(AB2622=0,"✓ covered","⚠ "&amp;AB2622&amp;IF(AB2622=1," gap"," gaps")))</f>
        <v/>
      </c>
    </row>
    <row r="2623" ht="17" customHeight="1">
      <c r="A2623" t="n">
        <v>53</v>
      </c>
      <c r="B2623" s="29">
        <f>IF(Setup!$K$21="","",Setup!$K$21)</f>
        <v/>
      </c>
      <c r="C2623" s="88" t="n"/>
      <c r="D2623" s="88" t="n"/>
      <c r="E2623" s="88" t="n"/>
      <c r="F2623" s="89" t="n"/>
      <c r="G2623" s="88" t="n"/>
      <c r="H2623" s="88" t="n"/>
      <c r="I2623" s="88" t="n"/>
      <c r="J2623" s="89" t="n"/>
      <c r="K2623" s="88" t="n"/>
      <c r="L2623" s="88" t="n"/>
      <c r="M2623" s="88" t="n"/>
      <c r="N2623" s="89" t="n"/>
      <c r="O2623" s="88" t="n"/>
      <c r="P2623" s="88" t="n"/>
      <c r="Q2623" s="88" t="n"/>
      <c r="R2623" s="89" t="n"/>
      <c r="S2623" s="88" t="n"/>
      <c r="T2623" s="88" t="n"/>
      <c r="U2623" s="88" t="n"/>
      <c r="V2623" s="89" t="n"/>
      <c r="W2623" s="88" t="n"/>
      <c r="X2623" s="89" t="n"/>
      <c r="Y2623" s="88" t="n"/>
      <c r="Z2623" s="89" t="n"/>
      <c r="AB2623" s="30">
        <f>IF($B2623="","",(COUNTIF(C2623:E2623,"?*")&lt;N(INDEX(Setup!$L$6:$L$23,16)))+(COUNTIF(G2623:I2623,"?*")&lt;N(INDEX(Setup!$L$6:$L$23,16)))+(COUNTIF(K2623:M2623,"?*")&lt;N(INDEX(Setup!$L$6:$L$23,16)))+(COUNTIF(O2623:Q2623,"?*")&lt;N(INDEX(Setup!$L$6:$L$23,16)))+(COUNTIF(S2623:U2623,"?*")&lt;N(INDEX(Setup!$L$6:$L$23,16)))+((W2623="")*(INDEX(Setup!$M$6:$M$23,16)="Y"))+((Y2623="")*(INDEX(Setup!$M$6:$M$23,16)="Y")))</f>
        <v/>
      </c>
      <c r="AC2623" s="91">
        <f>IF($B2623="","",IF(AB2623=0,"✓ covered","⚠ "&amp;AB2623&amp;IF(AB2623=1," gap"," gaps")))</f>
        <v/>
      </c>
    </row>
    <row r="2624" ht="17" customHeight="1">
      <c r="A2624" t="n">
        <v>53</v>
      </c>
      <c r="B2624" s="24">
        <f>IF(Setup!$K$22="","",Setup!$K$22)</f>
        <v/>
      </c>
      <c r="C2624" s="88" t="n"/>
      <c r="D2624" s="88" t="n"/>
      <c r="E2624" s="88" t="n"/>
      <c r="F2624" s="89" t="n"/>
      <c r="G2624" s="88" t="n"/>
      <c r="H2624" s="88" t="n"/>
      <c r="I2624" s="88" t="n"/>
      <c r="J2624" s="89" t="n"/>
      <c r="K2624" s="88" t="n"/>
      <c r="L2624" s="88" t="n"/>
      <c r="M2624" s="88" t="n"/>
      <c r="N2624" s="89" t="n"/>
      <c r="O2624" s="88" t="n"/>
      <c r="P2624" s="88" t="n"/>
      <c r="Q2624" s="88" t="n"/>
      <c r="R2624" s="89" t="n"/>
      <c r="S2624" s="88" t="n"/>
      <c r="T2624" s="88" t="n"/>
      <c r="U2624" s="88" t="n"/>
      <c r="V2624" s="89" t="n"/>
      <c r="W2624" s="88" t="n"/>
      <c r="X2624" s="89" t="n"/>
      <c r="Y2624" s="88" t="n"/>
      <c r="Z2624" s="89" t="n"/>
      <c r="AB2624" s="25">
        <f>IF($B2624="","",(COUNTIF(C2624:E2624,"?*")&lt;N(INDEX(Setup!$L$6:$L$23,17)))+(COUNTIF(G2624:I2624,"?*")&lt;N(INDEX(Setup!$L$6:$L$23,17)))+(COUNTIF(K2624:M2624,"?*")&lt;N(INDEX(Setup!$L$6:$L$23,17)))+(COUNTIF(O2624:Q2624,"?*")&lt;N(INDEX(Setup!$L$6:$L$23,17)))+(COUNTIF(S2624:U2624,"?*")&lt;N(INDEX(Setup!$L$6:$L$23,17)))+((W2624="")*(INDEX(Setup!$M$6:$M$23,17)="Y"))+((Y2624="")*(INDEX(Setup!$M$6:$M$23,17)="Y")))</f>
        <v/>
      </c>
      <c r="AC2624" s="90">
        <f>IF($B2624="","",IF(AB2624=0,"✓ covered","⚠ "&amp;AB2624&amp;IF(AB2624=1," gap"," gaps")))</f>
        <v/>
      </c>
    </row>
    <row r="2625" ht="17" customHeight="1">
      <c r="A2625" t="n">
        <v>53</v>
      </c>
      <c r="B2625" s="29">
        <f>IF(Setup!$K$23="","",Setup!$K$23)</f>
        <v/>
      </c>
      <c r="C2625" s="88" t="n"/>
      <c r="D2625" s="88" t="n"/>
      <c r="E2625" s="88" t="n"/>
      <c r="F2625" s="89" t="n"/>
      <c r="G2625" s="88" t="n"/>
      <c r="H2625" s="88" t="n"/>
      <c r="I2625" s="88" t="n"/>
      <c r="J2625" s="89" t="n"/>
      <c r="K2625" s="88" t="n"/>
      <c r="L2625" s="88" t="n"/>
      <c r="M2625" s="88" t="n"/>
      <c r="N2625" s="89" t="n"/>
      <c r="O2625" s="88" t="n"/>
      <c r="P2625" s="88" t="n"/>
      <c r="Q2625" s="88" t="n"/>
      <c r="R2625" s="89" t="n"/>
      <c r="S2625" s="88" t="n"/>
      <c r="T2625" s="88" t="n"/>
      <c r="U2625" s="88" t="n"/>
      <c r="V2625" s="89" t="n"/>
      <c r="W2625" s="88" t="n"/>
      <c r="X2625" s="89" t="n"/>
      <c r="Y2625" s="88" t="n"/>
      <c r="Z2625" s="89" t="n"/>
      <c r="AB2625" s="30">
        <f>IF($B2625="","",(COUNTIF(C2625:E2625,"?*")&lt;N(INDEX(Setup!$L$6:$L$23,18)))+(COUNTIF(G2625:I2625,"?*")&lt;N(INDEX(Setup!$L$6:$L$23,18)))+(COUNTIF(K2625:M2625,"?*")&lt;N(INDEX(Setup!$L$6:$L$23,18)))+(COUNTIF(O2625:Q2625,"?*")&lt;N(INDEX(Setup!$L$6:$L$23,18)))+(COUNTIF(S2625:U2625,"?*")&lt;N(INDEX(Setup!$L$6:$L$23,18)))+((W2625="")*(INDEX(Setup!$M$6:$M$23,18)="Y"))+((Y2625="")*(INDEX(Setup!$M$6:$M$23,18)="Y")))</f>
        <v/>
      </c>
      <c r="AC2625" s="91">
        <f>IF($B2625="","",IF(AB2625=0,"✓ covered","⚠ "&amp;AB2625&amp;IF(AB2625=1," gap"," gaps")))</f>
        <v/>
      </c>
    </row>
    <row r="2626" ht="18" customHeight="1">
      <c r="A2626" t="n">
        <v>53</v>
      </c>
      <c r="B2626" s="78" t="inlineStr">
        <is>
          <t>TEAM AVAILABILITY</t>
        </is>
      </c>
      <c r="C2626" s="92" t="inlineStr">
        <is>
          <t>Mon</t>
        </is>
      </c>
      <c r="D2626" s="93" t="n"/>
      <c r="E2626" s="93" t="n"/>
      <c r="F2626" s="94" t="n"/>
      <c r="G2626" s="92" t="inlineStr">
        <is>
          <t>Tue</t>
        </is>
      </c>
      <c r="H2626" s="93" t="n"/>
      <c r="I2626" s="93" t="n"/>
      <c r="J2626" s="94" t="n"/>
      <c r="K2626" s="92" t="inlineStr">
        <is>
          <t>Wed</t>
        </is>
      </c>
      <c r="L2626" s="93" t="n"/>
      <c r="M2626" s="93" t="n"/>
      <c r="N2626" s="94" t="n"/>
      <c r="O2626" s="92" t="inlineStr">
        <is>
          <t>Thu</t>
        </is>
      </c>
      <c r="P2626" s="93" t="n"/>
      <c r="Q2626" s="93" t="n"/>
      <c r="R2626" s="94" t="n"/>
      <c r="S2626" s="92" t="inlineStr">
        <is>
          <t>Fri</t>
        </is>
      </c>
      <c r="T2626" s="93" t="n"/>
      <c r="U2626" s="93" t="n"/>
      <c r="V2626" s="94" t="n"/>
      <c r="W2626" s="95" t="inlineStr">
        <is>
          <t>Sat</t>
        </is>
      </c>
      <c r="X2626" s="96" t="n"/>
      <c r="Y2626" s="95" t="inlineStr">
        <is>
          <t>Sun</t>
        </is>
      </c>
      <c r="Z2626" s="96" t="n"/>
      <c r="AB2626" s="97" t="inlineStr">
        <is>
          <t>Days rostered</t>
        </is>
      </c>
      <c r="AC2626" s="97" t="inlineStr">
        <is>
          <t>Conflicts</t>
        </is>
      </c>
    </row>
    <row r="2627" ht="15" customHeight="1">
      <c r="A2627" t="n">
        <v>53</v>
      </c>
      <c r="B2627" s="35">
        <f>IF(Setup!$B$6="","",Setup!$B$6)</f>
        <v/>
      </c>
      <c r="C2627" s="98" t="n"/>
      <c r="D2627" s="99" t="n"/>
      <c r="E2627" s="99" t="n"/>
      <c r="F2627" s="100" t="n"/>
      <c r="G2627" s="98" t="n"/>
      <c r="H2627" s="99" t="n"/>
      <c r="I2627" s="99" t="n"/>
      <c r="J2627" s="100" t="n"/>
      <c r="K2627" s="98" t="n"/>
      <c r="L2627" s="99" t="n"/>
      <c r="M2627" s="99" t="n"/>
      <c r="N2627" s="100" t="n"/>
      <c r="O2627" s="98" t="n"/>
      <c r="P2627" s="99" t="n"/>
      <c r="Q2627" s="99" t="n"/>
      <c r="R2627" s="100" t="n"/>
      <c r="S2627" s="98" t="n"/>
      <c r="T2627" s="99" t="n"/>
      <c r="U2627" s="99" t="n"/>
      <c r="V2627" s="100" t="n"/>
      <c r="W2627" s="98" t="n"/>
      <c r="X2627" s="100" t="n"/>
      <c r="Y2627" s="98" t="n"/>
      <c r="Z2627" s="100" t="n"/>
      <c r="AB2627" s="101">
        <f>IF($B2627="","",(COUNTIF(C2608:E2625,$B2627)+COUNTIF(C2608:E2625,$B2627&amp;" ~*")&gt;0)+(COUNTIF(G2608:I2625,$B2627)+COUNTIF(G2608:I2625,$B2627&amp;" ~*")&gt;0)+(COUNTIF(K2608:M2625,$B2627)+COUNTIF(K2608:M2625,$B2627&amp;" ~*")&gt;0)+(COUNTIF(O2608:Q2625,$B2627)+COUNTIF(O2608:Q2625,$B2627&amp;" ~*")&gt;0)+(COUNTIF(S2608:U2625,$B2627)+COUNTIF(S2608:U2625,$B2627&amp;" ~*")&gt;0)+(COUNTIF(W2608:W2625,$B2627)+COUNTIF(W2608:W2625,$B2627&amp;" ~*")&gt;0)+(COUNTIF(Y2608:Y2625,$B2627)+COUNTIF(Y2608:Y2625,$B2627&amp;" ~*")&gt;0))</f>
        <v/>
      </c>
      <c r="AC2627" s="36">
        <f>IF($B2627="","",(IFERROR(INDEX(Setup!$G$33:$G$40,MATCH(C2627,Setup!$B$33:$B$40,0)),0)=1)*(COUNTIF(C2608:E2625,$B2627)+COUNTIF(C2608:E2625,$B2627&amp;" ~*")&gt;0)+(IFERROR(INDEX(Setup!$G$33:$G$40,MATCH(G2627,Setup!$B$33:$B$40,0)),0)=1)*(COUNTIF(G2608:I2625,$B2627)+COUNTIF(G2608:I2625,$B2627&amp;" ~*")&gt;0)+(IFERROR(INDEX(Setup!$G$33:$G$40,MATCH(K2627,Setup!$B$33:$B$40,0)),0)=1)*(COUNTIF(K2608:M2625,$B2627)+COUNTIF(K2608:M2625,$B2627&amp;" ~*")&gt;0)+(IFERROR(INDEX(Setup!$G$33:$G$40,MATCH(O2627,Setup!$B$33:$B$40,0)),0)=1)*(COUNTIF(O2608:Q2625,$B2627)+COUNTIF(O2608:Q2625,$B2627&amp;" ~*")&gt;0)+(IFERROR(INDEX(Setup!$G$33:$G$40,MATCH(S2627,Setup!$B$33:$B$40,0)),0)=1)*(COUNTIF(S2608:U2625,$B2627)+COUNTIF(S2608:U2625,$B2627&amp;" ~*")&gt;0)+(IFERROR(INDEX(Setup!$G$33:$G$40,MATCH(W2627,Setup!$B$33:$B$40,0)),0)=1)*(COUNTIF(W2608:W2625,$B2627)+COUNTIF(W2608:W2625,$B2627&amp;" ~*")&gt;0)+(IFERROR(INDEX(Setup!$G$33:$G$40,MATCH(Y2627,Setup!$B$33:$B$40,0)),0)=1)*(COUNTIF(Y2608:Y2625,$B2627)+COUNTIF(Y2608:Y2625,$B2627&amp;" ~*")&gt;0))</f>
        <v/>
      </c>
    </row>
    <row r="2628" ht="15" customHeight="1">
      <c r="A2628" t="n">
        <v>53</v>
      </c>
      <c r="B2628" s="37">
        <f>IF(Setup!$B$7="","",Setup!$B$7)</f>
        <v/>
      </c>
      <c r="C2628" s="102" t="n"/>
      <c r="D2628" s="103" t="n"/>
      <c r="E2628" s="103" t="n"/>
      <c r="F2628" s="104" t="n"/>
      <c r="G2628" s="102" t="n"/>
      <c r="H2628" s="103" t="n"/>
      <c r="I2628" s="103" t="n"/>
      <c r="J2628" s="104" t="n"/>
      <c r="K2628" s="102" t="n"/>
      <c r="L2628" s="103" t="n"/>
      <c r="M2628" s="103" t="n"/>
      <c r="N2628" s="104" t="n"/>
      <c r="O2628" s="102" t="n"/>
      <c r="P2628" s="103" t="n"/>
      <c r="Q2628" s="103" t="n"/>
      <c r="R2628" s="104" t="n"/>
      <c r="S2628" s="102" t="n"/>
      <c r="T2628" s="103" t="n"/>
      <c r="U2628" s="103" t="n"/>
      <c r="V2628" s="104" t="n"/>
      <c r="W2628" s="102" t="n"/>
      <c r="X2628" s="104" t="n"/>
      <c r="Y2628" s="102" t="n"/>
      <c r="Z2628" s="104" t="n"/>
      <c r="AB2628" s="105">
        <f>IF($B2628="","",(COUNTIF(C2608:E2625,$B2628)+COUNTIF(C2608:E2625,$B2628&amp;" ~*")&gt;0)+(COUNTIF(G2608:I2625,$B2628)+COUNTIF(G2608:I2625,$B2628&amp;" ~*")&gt;0)+(COUNTIF(K2608:M2625,$B2628)+COUNTIF(K2608:M2625,$B2628&amp;" ~*")&gt;0)+(COUNTIF(O2608:Q2625,$B2628)+COUNTIF(O2608:Q2625,$B2628&amp;" ~*")&gt;0)+(COUNTIF(S2608:U2625,$B2628)+COUNTIF(S2608:U2625,$B2628&amp;" ~*")&gt;0)+(COUNTIF(W2608:W2625,$B2628)+COUNTIF(W2608:W2625,$B2628&amp;" ~*")&gt;0)+(COUNTIF(Y2608:Y2625,$B2628)+COUNTIF(Y2608:Y2625,$B2628&amp;" ~*")&gt;0))</f>
        <v/>
      </c>
      <c r="AC2628" s="38">
        <f>IF($B2628="","",(IFERROR(INDEX(Setup!$G$33:$G$40,MATCH(C2628,Setup!$B$33:$B$40,0)),0)=1)*(COUNTIF(C2608:E2625,$B2628)+COUNTIF(C2608:E2625,$B2628&amp;" ~*")&gt;0)+(IFERROR(INDEX(Setup!$G$33:$G$40,MATCH(G2628,Setup!$B$33:$B$40,0)),0)=1)*(COUNTIF(G2608:I2625,$B2628)+COUNTIF(G2608:I2625,$B2628&amp;" ~*")&gt;0)+(IFERROR(INDEX(Setup!$G$33:$G$40,MATCH(K2628,Setup!$B$33:$B$40,0)),0)=1)*(COUNTIF(K2608:M2625,$B2628)+COUNTIF(K2608:M2625,$B2628&amp;" ~*")&gt;0)+(IFERROR(INDEX(Setup!$G$33:$G$40,MATCH(O2628,Setup!$B$33:$B$40,0)),0)=1)*(COUNTIF(O2608:Q2625,$B2628)+COUNTIF(O2608:Q2625,$B2628&amp;" ~*")&gt;0)+(IFERROR(INDEX(Setup!$G$33:$G$40,MATCH(S2628,Setup!$B$33:$B$40,0)),0)=1)*(COUNTIF(S2608:U2625,$B2628)+COUNTIF(S2608:U2625,$B2628&amp;" ~*")&gt;0)+(IFERROR(INDEX(Setup!$G$33:$G$40,MATCH(W2628,Setup!$B$33:$B$40,0)),0)=1)*(COUNTIF(W2608:W2625,$B2628)+COUNTIF(W2608:W2625,$B2628&amp;" ~*")&gt;0)+(IFERROR(INDEX(Setup!$G$33:$G$40,MATCH(Y2628,Setup!$B$33:$B$40,0)),0)=1)*(COUNTIF(Y2608:Y2625,$B2628)+COUNTIF(Y2608:Y2625,$B2628&amp;" ~*")&gt;0))</f>
        <v/>
      </c>
    </row>
    <row r="2629" ht="15" customHeight="1">
      <c r="A2629" t="n">
        <v>53</v>
      </c>
      <c r="B2629" s="35">
        <f>IF(Setup!$B$8="","",Setup!$B$8)</f>
        <v/>
      </c>
      <c r="C2629" s="98" t="n"/>
      <c r="D2629" s="99" t="n"/>
      <c r="E2629" s="99" t="n"/>
      <c r="F2629" s="100" t="n"/>
      <c r="G2629" s="98" t="n"/>
      <c r="H2629" s="99" t="n"/>
      <c r="I2629" s="99" t="n"/>
      <c r="J2629" s="100" t="n"/>
      <c r="K2629" s="98" t="n"/>
      <c r="L2629" s="99" t="n"/>
      <c r="M2629" s="99" t="n"/>
      <c r="N2629" s="100" t="n"/>
      <c r="O2629" s="98" t="n"/>
      <c r="P2629" s="99" t="n"/>
      <c r="Q2629" s="99" t="n"/>
      <c r="R2629" s="100" t="n"/>
      <c r="S2629" s="98" t="n"/>
      <c r="T2629" s="99" t="n"/>
      <c r="U2629" s="99" t="n"/>
      <c r="V2629" s="100" t="n"/>
      <c r="W2629" s="98" t="n"/>
      <c r="X2629" s="100" t="n"/>
      <c r="Y2629" s="98" t="n"/>
      <c r="Z2629" s="100" t="n"/>
      <c r="AB2629" s="101">
        <f>IF($B2629="","",(COUNTIF(C2608:E2625,$B2629)+COUNTIF(C2608:E2625,$B2629&amp;" ~*")&gt;0)+(COUNTIF(G2608:I2625,$B2629)+COUNTIF(G2608:I2625,$B2629&amp;" ~*")&gt;0)+(COUNTIF(K2608:M2625,$B2629)+COUNTIF(K2608:M2625,$B2629&amp;" ~*")&gt;0)+(COUNTIF(O2608:Q2625,$B2629)+COUNTIF(O2608:Q2625,$B2629&amp;" ~*")&gt;0)+(COUNTIF(S2608:U2625,$B2629)+COUNTIF(S2608:U2625,$B2629&amp;" ~*")&gt;0)+(COUNTIF(W2608:W2625,$B2629)+COUNTIF(W2608:W2625,$B2629&amp;" ~*")&gt;0)+(COUNTIF(Y2608:Y2625,$B2629)+COUNTIF(Y2608:Y2625,$B2629&amp;" ~*")&gt;0))</f>
        <v/>
      </c>
      <c r="AC2629" s="36">
        <f>IF($B2629="","",(IFERROR(INDEX(Setup!$G$33:$G$40,MATCH(C2629,Setup!$B$33:$B$40,0)),0)=1)*(COUNTIF(C2608:E2625,$B2629)+COUNTIF(C2608:E2625,$B2629&amp;" ~*")&gt;0)+(IFERROR(INDEX(Setup!$G$33:$G$40,MATCH(G2629,Setup!$B$33:$B$40,0)),0)=1)*(COUNTIF(G2608:I2625,$B2629)+COUNTIF(G2608:I2625,$B2629&amp;" ~*")&gt;0)+(IFERROR(INDEX(Setup!$G$33:$G$40,MATCH(K2629,Setup!$B$33:$B$40,0)),0)=1)*(COUNTIF(K2608:M2625,$B2629)+COUNTIF(K2608:M2625,$B2629&amp;" ~*")&gt;0)+(IFERROR(INDEX(Setup!$G$33:$G$40,MATCH(O2629,Setup!$B$33:$B$40,0)),0)=1)*(COUNTIF(O2608:Q2625,$B2629)+COUNTIF(O2608:Q2625,$B2629&amp;" ~*")&gt;0)+(IFERROR(INDEX(Setup!$G$33:$G$40,MATCH(S2629,Setup!$B$33:$B$40,0)),0)=1)*(COUNTIF(S2608:U2625,$B2629)+COUNTIF(S2608:U2625,$B2629&amp;" ~*")&gt;0)+(IFERROR(INDEX(Setup!$G$33:$G$40,MATCH(W2629,Setup!$B$33:$B$40,0)),0)=1)*(COUNTIF(W2608:W2625,$B2629)+COUNTIF(W2608:W2625,$B2629&amp;" ~*")&gt;0)+(IFERROR(INDEX(Setup!$G$33:$G$40,MATCH(Y2629,Setup!$B$33:$B$40,0)),0)=1)*(COUNTIF(Y2608:Y2625,$B2629)+COUNTIF(Y2608:Y2625,$B2629&amp;" ~*")&gt;0))</f>
        <v/>
      </c>
    </row>
    <row r="2630" ht="15" customHeight="1">
      <c r="A2630" t="n">
        <v>53</v>
      </c>
      <c r="B2630" s="37">
        <f>IF(Setup!$B$9="","",Setup!$B$9)</f>
        <v/>
      </c>
      <c r="C2630" s="102" t="n"/>
      <c r="D2630" s="103" t="n"/>
      <c r="E2630" s="103" t="n"/>
      <c r="F2630" s="104" t="n"/>
      <c r="G2630" s="102" t="n"/>
      <c r="H2630" s="103" t="n"/>
      <c r="I2630" s="103" t="n"/>
      <c r="J2630" s="104" t="n"/>
      <c r="K2630" s="102" t="n"/>
      <c r="L2630" s="103" t="n"/>
      <c r="M2630" s="103" t="n"/>
      <c r="N2630" s="104" t="n"/>
      <c r="O2630" s="102" t="n"/>
      <c r="P2630" s="103" t="n"/>
      <c r="Q2630" s="103" t="n"/>
      <c r="R2630" s="104" t="n"/>
      <c r="S2630" s="102" t="n"/>
      <c r="T2630" s="103" t="n"/>
      <c r="U2630" s="103" t="n"/>
      <c r="V2630" s="104" t="n"/>
      <c r="W2630" s="102" t="n"/>
      <c r="X2630" s="104" t="n"/>
      <c r="Y2630" s="102" t="n"/>
      <c r="Z2630" s="104" t="n"/>
      <c r="AB2630" s="105">
        <f>IF($B2630="","",(COUNTIF(C2608:E2625,$B2630)+COUNTIF(C2608:E2625,$B2630&amp;" ~*")&gt;0)+(COUNTIF(G2608:I2625,$B2630)+COUNTIF(G2608:I2625,$B2630&amp;" ~*")&gt;0)+(COUNTIF(K2608:M2625,$B2630)+COUNTIF(K2608:M2625,$B2630&amp;" ~*")&gt;0)+(COUNTIF(O2608:Q2625,$B2630)+COUNTIF(O2608:Q2625,$B2630&amp;" ~*")&gt;0)+(COUNTIF(S2608:U2625,$B2630)+COUNTIF(S2608:U2625,$B2630&amp;" ~*")&gt;0)+(COUNTIF(W2608:W2625,$B2630)+COUNTIF(W2608:W2625,$B2630&amp;" ~*")&gt;0)+(COUNTIF(Y2608:Y2625,$B2630)+COUNTIF(Y2608:Y2625,$B2630&amp;" ~*")&gt;0))</f>
        <v/>
      </c>
      <c r="AC2630" s="38">
        <f>IF($B2630="","",(IFERROR(INDEX(Setup!$G$33:$G$40,MATCH(C2630,Setup!$B$33:$B$40,0)),0)=1)*(COUNTIF(C2608:E2625,$B2630)+COUNTIF(C2608:E2625,$B2630&amp;" ~*")&gt;0)+(IFERROR(INDEX(Setup!$G$33:$G$40,MATCH(G2630,Setup!$B$33:$B$40,0)),0)=1)*(COUNTIF(G2608:I2625,$B2630)+COUNTIF(G2608:I2625,$B2630&amp;" ~*")&gt;0)+(IFERROR(INDEX(Setup!$G$33:$G$40,MATCH(K2630,Setup!$B$33:$B$40,0)),0)=1)*(COUNTIF(K2608:M2625,$B2630)+COUNTIF(K2608:M2625,$B2630&amp;" ~*")&gt;0)+(IFERROR(INDEX(Setup!$G$33:$G$40,MATCH(O2630,Setup!$B$33:$B$40,0)),0)=1)*(COUNTIF(O2608:Q2625,$B2630)+COUNTIF(O2608:Q2625,$B2630&amp;" ~*")&gt;0)+(IFERROR(INDEX(Setup!$G$33:$G$40,MATCH(S2630,Setup!$B$33:$B$40,0)),0)=1)*(COUNTIF(S2608:U2625,$B2630)+COUNTIF(S2608:U2625,$B2630&amp;" ~*")&gt;0)+(IFERROR(INDEX(Setup!$G$33:$G$40,MATCH(W2630,Setup!$B$33:$B$40,0)),0)=1)*(COUNTIF(W2608:W2625,$B2630)+COUNTIF(W2608:W2625,$B2630&amp;" ~*")&gt;0)+(IFERROR(INDEX(Setup!$G$33:$G$40,MATCH(Y2630,Setup!$B$33:$B$40,0)),0)=1)*(COUNTIF(Y2608:Y2625,$B2630)+COUNTIF(Y2608:Y2625,$B2630&amp;" ~*")&gt;0))</f>
        <v/>
      </c>
    </row>
    <row r="2631" ht="15" customHeight="1">
      <c r="A2631" t="n">
        <v>53</v>
      </c>
      <c r="B2631" s="35">
        <f>IF(Setup!$B$10="","",Setup!$B$10)</f>
        <v/>
      </c>
      <c r="C2631" s="98" t="n"/>
      <c r="D2631" s="99" t="n"/>
      <c r="E2631" s="99" t="n"/>
      <c r="F2631" s="100" t="n"/>
      <c r="G2631" s="98" t="n"/>
      <c r="H2631" s="99" t="n"/>
      <c r="I2631" s="99" t="n"/>
      <c r="J2631" s="100" t="n"/>
      <c r="K2631" s="98" t="n"/>
      <c r="L2631" s="99" t="n"/>
      <c r="M2631" s="99" t="n"/>
      <c r="N2631" s="100" t="n"/>
      <c r="O2631" s="98" t="n"/>
      <c r="P2631" s="99" t="n"/>
      <c r="Q2631" s="99" t="n"/>
      <c r="R2631" s="100" t="n"/>
      <c r="S2631" s="98" t="n"/>
      <c r="T2631" s="99" t="n"/>
      <c r="U2631" s="99" t="n"/>
      <c r="V2631" s="100" t="n"/>
      <c r="W2631" s="98" t="n"/>
      <c r="X2631" s="100" t="n"/>
      <c r="Y2631" s="98" t="n"/>
      <c r="Z2631" s="100" t="n"/>
      <c r="AB2631" s="101">
        <f>IF($B2631="","",(COUNTIF(C2608:E2625,$B2631)+COUNTIF(C2608:E2625,$B2631&amp;" ~*")&gt;0)+(COUNTIF(G2608:I2625,$B2631)+COUNTIF(G2608:I2625,$B2631&amp;" ~*")&gt;0)+(COUNTIF(K2608:M2625,$B2631)+COUNTIF(K2608:M2625,$B2631&amp;" ~*")&gt;0)+(COUNTIF(O2608:Q2625,$B2631)+COUNTIF(O2608:Q2625,$B2631&amp;" ~*")&gt;0)+(COUNTIF(S2608:U2625,$B2631)+COUNTIF(S2608:U2625,$B2631&amp;" ~*")&gt;0)+(COUNTIF(W2608:W2625,$B2631)+COUNTIF(W2608:W2625,$B2631&amp;" ~*")&gt;0)+(COUNTIF(Y2608:Y2625,$B2631)+COUNTIF(Y2608:Y2625,$B2631&amp;" ~*")&gt;0))</f>
        <v/>
      </c>
      <c r="AC2631" s="36">
        <f>IF($B2631="","",(IFERROR(INDEX(Setup!$G$33:$G$40,MATCH(C2631,Setup!$B$33:$B$40,0)),0)=1)*(COUNTIF(C2608:E2625,$B2631)+COUNTIF(C2608:E2625,$B2631&amp;" ~*")&gt;0)+(IFERROR(INDEX(Setup!$G$33:$G$40,MATCH(G2631,Setup!$B$33:$B$40,0)),0)=1)*(COUNTIF(G2608:I2625,$B2631)+COUNTIF(G2608:I2625,$B2631&amp;" ~*")&gt;0)+(IFERROR(INDEX(Setup!$G$33:$G$40,MATCH(K2631,Setup!$B$33:$B$40,0)),0)=1)*(COUNTIF(K2608:M2625,$B2631)+COUNTIF(K2608:M2625,$B2631&amp;" ~*")&gt;0)+(IFERROR(INDEX(Setup!$G$33:$G$40,MATCH(O2631,Setup!$B$33:$B$40,0)),0)=1)*(COUNTIF(O2608:Q2625,$B2631)+COUNTIF(O2608:Q2625,$B2631&amp;" ~*")&gt;0)+(IFERROR(INDEX(Setup!$G$33:$G$40,MATCH(S2631,Setup!$B$33:$B$40,0)),0)=1)*(COUNTIF(S2608:U2625,$B2631)+COUNTIF(S2608:U2625,$B2631&amp;" ~*")&gt;0)+(IFERROR(INDEX(Setup!$G$33:$G$40,MATCH(W2631,Setup!$B$33:$B$40,0)),0)=1)*(COUNTIF(W2608:W2625,$B2631)+COUNTIF(W2608:W2625,$B2631&amp;" ~*")&gt;0)+(IFERROR(INDEX(Setup!$G$33:$G$40,MATCH(Y2631,Setup!$B$33:$B$40,0)),0)=1)*(COUNTIF(Y2608:Y2625,$B2631)+COUNTIF(Y2608:Y2625,$B2631&amp;" ~*")&gt;0))</f>
        <v/>
      </c>
    </row>
    <row r="2632" ht="15" customHeight="1">
      <c r="A2632" t="n">
        <v>53</v>
      </c>
      <c r="B2632" s="37">
        <f>IF(Setup!$B$11="","",Setup!$B$11)</f>
        <v/>
      </c>
      <c r="C2632" s="102" t="n"/>
      <c r="D2632" s="103" t="n"/>
      <c r="E2632" s="103" t="n"/>
      <c r="F2632" s="104" t="n"/>
      <c r="G2632" s="102" t="n"/>
      <c r="H2632" s="103" t="n"/>
      <c r="I2632" s="103" t="n"/>
      <c r="J2632" s="104" t="n"/>
      <c r="K2632" s="102" t="n"/>
      <c r="L2632" s="103" t="n"/>
      <c r="M2632" s="103" t="n"/>
      <c r="N2632" s="104" t="n"/>
      <c r="O2632" s="102" t="n"/>
      <c r="P2632" s="103" t="n"/>
      <c r="Q2632" s="103" t="n"/>
      <c r="R2632" s="104" t="n"/>
      <c r="S2632" s="102" t="n"/>
      <c r="T2632" s="103" t="n"/>
      <c r="U2632" s="103" t="n"/>
      <c r="V2632" s="104" t="n"/>
      <c r="W2632" s="102" t="n"/>
      <c r="X2632" s="104" t="n"/>
      <c r="Y2632" s="102" t="n"/>
      <c r="Z2632" s="104" t="n"/>
      <c r="AB2632" s="105">
        <f>IF($B2632="","",(COUNTIF(C2608:E2625,$B2632)+COUNTIF(C2608:E2625,$B2632&amp;" ~*")&gt;0)+(COUNTIF(G2608:I2625,$B2632)+COUNTIF(G2608:I2625,$B2632&amp;" ~*")&gt;0)+(COUNTIF(K2608:M2625,$B2632)+COUNTIF(K2608:M2625,$B2632&amp;" ~*")&gt;0)+(COUNTIF(O2608:Q2625,$B2632)+COUNTIF(O2608:Q2625,$B2632&amp;" ~*")&gt;0)+(COUNTIF(S2608:U2625,$B2632)+COUNTIF(S2608:U2625,$B2632&amp;" ~*")&gt;0)+(COUNTIF(W2608:W2625,$B2632)+COUNTIF(W2608:W2625,$B2632&amp;" ~*")&gt;0)+(COUNTIF(Y2608:Y2625,$B2632)+COUNTIF(Y2608:Y2625,$B2632&amp;" ~*")&gt;0))</f>
        <v/>
      </c>
      <c r="AC2632" s="38">
        <f>IF($B2632="","",(IFERROR(INDEX(Setup!$G$33:$G$40,MATCH(C2632,Setup!$B$33:$B$40,0)),0)=1)*(COUNTIF(C2608:E2625,$B2632)+COUNTIF(C2608:E2625,$B2632&amp;" ~*")&gt;0)+(IFERROR(INDEX(Setup!$G$33:$G$40,MATCH(G2632,Setup!$B$33:$B$40,0)),0)=1)*(COUNTIF(G2608:I2625,$B2632)+COUNTIF(G2608:I2625,$B2632&amp;" ~*")&gt;0)+(IFERROR(INDEX(Setup!$G$33:$G$40,MATCH(K2632,Setup!$B$33:$B$40,0)),0)=1)*(COUNTIF(K2608:M2625,$B2632)+COUNTIF(K2608:M2625,$B2632&amp;" ~*")&gt;0)+(IFERROR(INDEX(Setup!$G$33:$G$40,MATCH(O2632,Setup!$B$33:$B$40,0)),0)=1)*(COUNTIF(O2608:Q2625,$B2632)+COUNTIF(O2608:Q2625,$B2632&amp;" ~*")&gt;0)+(IFERROR(INDEX(Setup!$G$33:$G$40,MATCH(S2632,Setup!$B$33:$B$40,0)),0)=1)*(COUNTIF(S2608:U2625,$B2632)+COUNTIF(S2608:U2625,$B2632&amp;" ~*")&gt;0)+(IFERROR(INDEX(Setup!$G$33:$G$40,MATCH(W2632,Setup!$B$33:$B$40,0)),0)=1)*(COUNTIF(W2608:W2625,$B2632)+COUNTIF(W2608:W2625,$B2632&amp;" ~*")&gt;0)+(IFERROR(INDEX(Setup!$G$33:$G$40,MATCH(Y2632,Setup!$B$33:$B$40,0)),0)=1)*(COUNTIF(Y2608:Y2625,$B2632)+COUNTIF(Y2608:Y2625,$B2632&amp;" ~*")&gt;0))</f>
        <v/>
      </c>
    </row>
    <row r="2633" ht="15" customHeight="1">
      <c r="A2633" t="n">
        <v>53</v>
      </c>
      <c r="B2633" s="35">
        <f>IF(Setup!$B$12="","",Setup!$B$12)</f>
        <v/>
      </c>
      <c r="C2633" s="98" t="n"/>
      <c r="D2633" s="99" t="n"/>
      <c r="E2633" s="99" t="n"/>
      <c r="F2633" s="100" t="n"/>
      <c r="G2633" s="98" t="n"/>
      <c r="H2633" s="99" t="n"/>
      <c r="I2633" s="99" t="n"/>
      <c r="J2633" s="100" t="n"/>
      <c r="K2633" s="98" t="n"/>
      <c r="L2633" s="99" t="n"/>
      <c r="M2633" s="99" t="n"/>
      <c r="N2633" s="100" t="n"/>
      <c r="O2633" s="98" t="n"/>
      <c r="P2633" s="99" t="n"/>
      <c r="Q2633" s="99" t="n"/>
      <c r="R2633" s="100" t="n"/>
      <c r="S2633" s="98" t="n"/>
      <c r="T2633" s="99" t="n"/>
      <c r="U2633" s="99" t="n"/>
      <c r="V2633" s="100" t="n"/>
      <c r="W2633" s="98" t="n"/>
      <c r="X2633" s="100" t="n"/>
      <c r="Y2633" s="98" t="n"/>
      <c r="Z2633" s="100" t="n"/>
      <c r="AB2633" s="101">
        <f>IF($B2633="","",(COUNTIF(C2608:E2625,$B2633)+COUNTIF(C2608:E2625,$B2633&amp;" ~*")&gt;0)+(COUNTIF(G2608:I2625,$B2633)+COUNTIF(G2608:I2625,$B2633&amp;" ~*")&gt;0)+(COUNTIF(K2608:M2625,$B2633)+COUNTIF(K2608:M2625,$B2633&amp;" ~*")&gt;0)+(COUNTIF(O2608:Q2625,$B2633)+COUNTIF(O2608:Q2625,$B2633&amp;" ~*")&gt;0)+(COUNTIF(S2608:U2625,$B2633)+COUNTIF(S2608:U2625,$B2633&amp;" ~*")&gt;0)+(COUNTIF(W2608:W2625,$B2633)+COUNTIF(W2608:W2625,$B2633&amp;" ~*")&gt;0)+(COUNTIF(Y2608:Y2625,$B2633)+COUNTIF(Y2608:Y2625,$B2633&amp;" ~*")&gt;0))</f>
        <v/>
      </c>
      <c r="AC2633" s="36">
        <f>IF($B2633="","",(IFERROR(INDEX(Setup!$G$33:$G$40,MATCH(C2633,Setup!$B$33:$B$40,0)),0)=1)*(COUNTIF(C2608:E2625,$B2633)+COUNTIF(C2608:E2625,$B2633&amp;" ~*")&gt;0)+(IFERROR(INDEX(Setup!$G$33:$G$40,MATCH(G2633,Setup!$B$33:$B$40,0)),0)=1)*(COUNTIF(G2608:I2625,$B2633)+COUNTIF(G2608:I2625,$B2633&amp;" ~*")&gt;0)+(IFERROR(INDEX(Setup!$G$33:$G$40,MATCH(K2633,Setup!$B$33:$B$40,0)),0)=1)*(COUNTIF(K2608:M2625,$B2633)+COUNTIF(K2608:M2625,$B2633&amp;" ~*")&gt;0)+(IFERROR(INDEX(Setup!$G$33:$G$40,MATCH(O2633,Setup!$B$33:$B$40,0)),0)=1)*(COUNTIF(O2608:Q2625,$B2633)+COUNTIF(O2608:Q2625,$B2633&amp;" ~*")&gt;0)+(IFERROR(INDEX(Setup!$G$33:$G$40,MATCH(S2633,Setup!$B$33:$B$40,0)),0)=1)*(COUNTIF(S2608:U2625,$B2633)+COUNTIF(S2608:U2625,$B2633&amp;" ~*")&gt;0)+(IFERROR(INDEX(Setup!$G$33:$G$40,MATCH(W2633,Setup!$B$33:$B$40,0)),0)=1)*(COUNTIF(W2608:W2625,$B2633)+COUNTIF(W2608:W2625,$B2633&amp;" ~*")&gt;0)+(IFERROR(INDEX(Setup!$G$33:$G$40,MATCH(Y2633,Setup!$B$33:$B$40,0)),0)=1)*(COUNTIF(Y2608:Y2625,$B2633)+COUNTIF(Y2608:Y2625,$B2633&amp;" ~*")&gt;0))</f>
        <v/>
      </c>
    </row>
    <row r="2634" ht="15" customHeight="1">
      <c r="A2634" t="n">
        <v>53</v>
      </c>
      <c r="B2634" s="37">
        <f>IF(Setup!$B$13="","",Setup!$B$13)</f>
        <v/>
      </c>
      <c r="C2634" s="102" t="n"/>
      <c r="D2634" s="103" t="n"/>
      <c r="E2634" s="103" t="n"/>
      <c r="F2634" s="104" t="n"/>
      <c r="G2634" s="102" t="n"/>
      <c r="H2634" s="103" t="n"/>
      <c r="I2634" s="103" t="n"/>
      <c r="J2634" s="104" t="n"/>
      <c r="K2634" s="102" t="n"/>
      <c r="L2634" s="103" t="n"/>
      <c r="M2634" s="103" t="n"/>
      <c r="N2634" s="104" t="n"/>
      <c r="O2634" s="102" t="n"/>
      <c r="P2634" s="103" t="n"/>
      <c r="Q2634" s="103" t="n"/>
      <c r="R2634" s="104" t="n"/>
      <c r="S2634" s="102" t="n"/>
      <c r="T2634" s="103" t="n"/>
      <c r="U2634" s="103" t="n"/>
      <c r="V2634" s="104" t="n"/>
      <c r="W2634" s="102" t="n"/>
      <c r="X2634" s="104" t="n"/>
      <c r="Y2634" s="102" t="n"/>
      <c r="Z2634" s="104" t="n"/>
      <c r="AB2634" s="105">
        <f>IF($B2634="","",(COUNTIF(C2608:E2625,$B2634)+COUNTIF(C2608:E2625,$B2634&amp;" ~*")&gt;0)+(COUNTIF(G2608:I2625,$B2634)+COUNTIF(G2608:I2625,$B2634&amp;" ~*")&gt;0)+(COUNTIF(K2608:M2625,$B2634)+COUNTIF(K2608:M2625,$B2634&amp;" ~*")&gt;0)+(COUNTIF(O2608:Q2625,$B2634)+COUNTIF(O2608:Q2625,$B2634&amp;" ~*")&gt;0)+(COUNTIF(S2608:U2625,$B2634)+COUNTIF(S2608:U2625,$B2634&amp;" ~*")&gt;0)+(COUNTIF(W2608:W2625,$B2634)+COUNTIF(W2608:W2625,$B2634&amp;" ~*")&gt;0)+(COUNTIF(Y2608:Y2625,$B2634)+COUNTIF(Y2608:Y2625,$B2634&amp;" ~*")&gt;0))</f>
        <v/>
      </c>
      <c r="AC2634" s="38">
        <f>IF($B2634="","",(IFERROR(INDEX(Setup!$G$33:$G$40,MATCH(C2634,Setup!$B$33:$B$40,0)),0)=1)*(COUNTIF(C2608:E2625,$B2634)+COUNTIF(C2608:E2625,$B2634&amp;" ~*")&gt;0)+(IFERROR(INDEX(Setup!$G$33:$G$40,MATCH(G2634,Setup!$B$33:$B$40,0)),0)=1)*(COUNTIF(G2608:I2625,$B2634)+COUNTIF(G2608:I2625,$B2634&amp;" ~*")&gt;0)+(IFERROR(INDEX(Setup!$G$33:$G$40,MATCH(K2634,Setup!$B$33:$B$40,0)),0)=1)*(COUNTIF(K2608:M2625,$B2634)+COUNTIF(K2608:M2625,$B2634&amp;" ~*")&gt;0)+(IFERROR(INDEX(Setup!$G$33:$G$40,MATCH(O2634,Setup!$B$33:$B$40,0)),0)=1)*(COUNTIF(O2608:Q2625,$B2634)+COUNTIF(O2608:Q2625,$B2634&amp;" ~*")&gt;0)+(IFERROR(INDEX(Setup!$G$33:$G$40,MATCH(S2634,Setup!$B$33:$B$40,0)),0)=1)*(COUNTIF(S2608:U2625,$B2634)+COUNTIF(S2608:U2625,$B2634&amp;" ~*")&gt;0)+(IFERROR(INDEX(Setup!$G$33:$G$40,MATCH(W2634,Setup!$B$33:$B$40,0)),0)=1)*(COUNTIF(W2608:W2625,$B2634)+COUNTIF(W2608:W2625,$B2634&amp;" ~*")&gt;0)+(IFERROR(INDEX(Setup!$G$33:$G$40,MATCH(Y2634,Setup!$B$33:$B$40,0)),0)=1)*(COUNTIF(Y2608:Y2625,$B2634)+COUNTIF(Y2608:Y2625,$B2634&amp;" ~*")&gt;0))</f>
        <v/>
      </c>
    </row>
    <row r="2635" ht="15" customHeight="1">
      <c r="A2635" t="n">
        <v>53</v>
      </c>
      <c r="B2635" s="35">
        <f>IF(Setup!$B$14="","",Setup!$B$14)</f>
        <v/>
      </c>
      <c r="C2635" s="98" t="n"/>
      <c r="D2635" s="99" t="n"/>
      <c r="E2635" s="99" t="n"/>
      <c r="F2635" s="100" t="n"/>
      <c r="G2635" s="98" t="n"/>
      <c r="H2635" s="99" t="n"/>
      <c r="I2635" s="99" t="n"/>
      <c r="J2635" s="100" t="n"/>
      <c r="K2635" s="98" t="n"/>
      <c r="L2635" s="99" t="n"/>
      <c r="M2635" s="99" t="n"/>
      <c r="N2635" s="100" t="n"/>
      <c r="O2635" s="98" t="n"/>
      <c r="P2635" s="99" t="n"/>
      <c r="Q2635" s="99" t="n"/>
      <c r="R2635" s="100" t="n"/>
      <c r="S2635" s="98" t="n"/>
      <c r="T2635" s="99" t="n"/>
      <c r="U2635" s="99" t="n"/>
      <c r="V2635" s="100" t="n"/>
      <c r="W2635" s="98" t="n"/>
      <c r="X2635" s="100" t="n"/>
      <c r="Y2635" s="98" t="n"/>
      <c r="Z2635" s="100" t="n"/>
      <c r="AB2635" s="101">
        <f>IF($B2635="","",(COUNTIF(C2608:E2625,$B2635)+COUNTIF(C2608:E2625,$B2635&amp;" ~*")&gt;0)+(COUNTIF(G2608:I2625,$B2635)+COUNTIF(G2608:I2625,$B2635&amp;" ~*")&gt;0)+(COUNTIF(K2608:M2625,$B2635)+COUNTIF(K2608:M2625,$B2635&amp;" ~*")&gt;0)+(COUNTIF(O2608:Q2625,$B2635)+COUNTIF(O2608:Q2625,$B2635&amp;" ~*")&gt;0)+(COUNTIF(S2608:U2625,$B2635)+COUNTIF(S2608:U2625,$B2635&amp;" ~*")&gt;0)+(COUNTIF(W2608:W2625,$B2635)+COUNTIF(W2608:W2625,$B2635&amp;" ~*")&gt;0)+(COUNTIF(Y2608:Y2625,$B2635)+COUNTIF(Y2608:Y2625,$B2635&amp;" ~*")&gt;0))</f>
        <v/>
      </c>
      <c r="AC2635" s="36">
        <f>IF($B2635="","",(IFERROR(INDEX(Setup!$G$33:$G$40,MATCH(C2635,Setup!$B$33:$B$40,0)),0)=1)*(COUNTIF(C2608:E2625,$B2635)+COUNTIF(C2608:E2625,$B2635&amp;" ~*")&gt;0)+(IFERROR(INDEX(Setup!$G$33:$G$40,MATCH(G2635,Setup!$B$33:$B$40,0)),0)=1)*(COUNTIF(G2608:I2625,$B2635)+COUNTIF(G2608:I2625,$B2635&amp;" ~*")&gt;0)+(IFERROR(INDEX(Setup!$G$33:$G$40,MATCH(K2635,Setup!$B$33:$B$40,0)),0)=1)*(COUNTIF(K2608:M2625,$B2635)+COUNTIF(K2608:M2625,$B2635&amp;" ~*")&gt;0)+(IFERROR(INDEX(Setup!$G$33:$G$40,MATCH(O2635,Setup!$B$33:$B$40,0)),0)=1)*(COUNTIF(O2608:Q2625,$B2635)+COUNTIF(O2608:Q2625,$B2635&amp;" ~*")&gt;0)+(IFERROR(INDEX(Setup!$G$33:$G$40,MATCH(S2635,Setup!$B$33:$B$40,0)),0)=1)*(COUNTIF(S2608:U2625,$B2635)+COUNTIF(S2608:U2625,$B2635&amp;" ~*")&gt;0)+(IFERROR(INDEX(Setup!$G$33:$G$40,MATCH(W2635,Setup!$B$33:$B$40,0)),0)=1)*(COUNTIF(W2608:W2625,$B2635)+COUNTIF(W2608:W2625,$B2635&amp;" ~*")&gt;0)+(IFERROR(INDEX(Setup!$G$33:$G$40,MATCH(Y2635,Setup!$B$33:$B$40,0)),0)=1)*(COUNTIF(Y2608:Y2625,$B2635)+COUNTIF(Y2608:Y2625,$B2635&amp;" ~*")&gt;0))</f>
        <v/>
      </c>
    </row>
    <row r="2636" ht="15" customHeight="1">
      <c r="A2636" t="n">
        <v>53</v>
      </c>
      <c r="B2636" s="37">
        <f>IF(Setup!$B$15="","",Setup!$B$15)</f>
        <v/>
      </c>
      <c r="C2636" s="102" t="n"/>
      <c r="D2636" s="103" t="n"/>
      <c r="E2636" s="103" t="n"/>
      <c r="F2636" s="104" t="n"/>
      <c r="G2636" s="102" t="n"/>
      <c r="H2636" s="103" t="n"/>
      <c r="I2636" s="103" t="n"/>
      <c r="J2636" s="104" t="n"/>
      <c r="K2636" s="102" t="n"/>
      <c r="L2636" s="103" t="n"/>
      <c r="M2636" s="103" t="n"/>
      <c r="N2636" s="104" t="n"/>
      <c r="O2636" s="102" t="n"/>
      <c r="P2636" s="103" t="n"/>
      <c r="Q2636" s="103" t="n"/>
      <c r="R2636" s="104" t="n"/>
      <c r="S2636" s="102" t="n"/>
      <c r="T2636" s="103" t="n"/>
      <c r="U2636" s="103" t="n"/>
      <c r="V2636" s="104" t="n"/>
      <c r="W2636" s="102" t="n"/>
      <c r="X2636" s="104" t="n"/>
      <c r="Y2636" s="102" t="n"/>
      <c r="Z2636" s="104" t="n"/>
      <c r="AB2636" s="105">
        <f>IF($B2636="","",(COUNTIF(C2608:E2625,$B2636)+COUNTIF(C2608:E2625,$B2636&amp;" ~*")&gt;0)+(COUNTIF(G2608:I2625,$B2636)+COUNTIF(G2608:I2625,$B2636&amp;" ~*")&gt;0)+(COUNTIF(K2608:M2625,$B2636)+COUNTIF(K2608:M2625,$B2636&amp;" ~*")&gt;0)+(COUNTIF(O2608:Q2625,$B2636)+COUNTIF(O2608:Q2625,$B2636&amp;" ~*")&gt;0)+(COUNTIF(S2608:U2625,$B2636)+COUNTIF(S2608:U2625,$B2636&amp;" ~*")&gt;0)+(COUNTIF(W2608:W2625,$B2636)+COUNTIF(W2608:W2625,$B2636&amp;" ~*")&gt;0)+(COUNTIF(Y2608:Y2625,$B2636)+COUNTIF(Y2608:Y2625,$B2636&amp;" ~*")&gt;0))</f>
        <v/>
      </c>
      <c r="AC2636" s="38">
        <f>IF($B2636="","",(IFERROR(INDEX(Setup!$G$33:$G$40,MATCH(C2636,Setup!$B$33:$B$40,0)),0)=1)*(COUNTIF(C2608:E2625,$B2636)+COUNTIF(C2608:E2625,$B2636&amp;" ~*")&gt;0)+(IFERROR(INDEX(Setup!$G$33:$G$40,MATCH(G2636,Setup!$B$33:$B$40,0)),0)=1)*(COUNTIF(G2608:I2625,$B2636)+COUNTIF(G2608:I2625,$B2636&amp;" ~*")&gt;0)+(IFERROR(INDEX(Setup!$G$33:$G$40,MATCH(K2636,Setup!$B$33:$B$40,0)),0)=1)*(COUNTIF(K2608:M2625,$B2636)+COUNTIF(K2608:M2625,$B2636&amp;" ~*")&gt;0)+(IFERROR(INDEX(Setup!$G$33:$G$40,MATCH(O2636,Setup!$B$33:$B$40,0)),0)=1)*(COUNTIF(O2608:Q2625,$B2636)+COUNTIF(O2608:Q2625,$B2636&amp;" ~*")&gt;0)+(IFERROR(INDEX(Setup!$G$33:$G$40,MATCH(S2636,Setup!$B$33:$B$40,0)),0)=1)*(COUNTIF(S2608:U2625,$B2636)+COUNTIF(S2608:U2625,$B2636&amp;" ~*")&gt;0)+(IFERROR(INDEX(Setup!$G$33:$G$40,MATCH(W2636,Setup!$B$33:$B$40,0)),0)=1)*(COUNTIF(W2608:W2625,$B2636)+COUNTIF(W2608:W2625,$B2636&amp;" ~*")&gt;0)+(IFERROR(INDEX(Setup!$G$33:$G$40,MATCH(Y2636,Setup!$B$33:$B$40,0)),0)=1)*(COUNTIF(Y2608:Y2625,$B2636)+COUNTIF(Y2608:Y2625,$B2636&amp;" ~*")&gt;0))</f>
        <v/>
      </c>
    </row>
    <row r="2637" ht="15" customHeight="1">
      <c r="A2637" t="n">
        <v>53</v>
      </c>
      <c r="B2637" s="35">
        <f>IF(Setup!$B$16="","",Setup!$B$16)</f>
        <v/>
      </c>
      <c r="C2637" s="98" t="n"/>
      <c r="D2637" s="99" t="n"/>
      <c r="E2637" s="99" t="n"/>
      <c r="F2637" s="100" t="n"/>
      <c r="G2637" s="98" t="n"/>
      <c r="H2637" s="99" t="n"/>
      <c r="I2637" s="99" t="n"/>
      <c r="J2637" s="100" t="n"/>
      <c r="K2637" s="98" t="n"/>
      <c r="L2637" s="99" t="n"/>
      <c r="M2637" s="99" t="n"/>
      <c r="N2637" s="100" t="n"/>
      <c r="O2637" s="98" t="n"/>
      <c r="P2637" s="99" t="n"/>
      <c r="Q2637" s="99" t="n"/>
      <c r="R2637" s="100" t="n"/>
      <c r="S2637" s="98" t="n"/>
      <c r="T2637" s="99" t="n"/>
      <c r="U2637" s="99" t="n"/>
      <c r="V2637" s="100" t="n"/>
      <c r="W2637" s="98" t="n"/>
      <c r="X2637" s="100" t="n"/>
      <c r="Y2637" s="98" t="n"/>
      <c r="Z2637" s="100" t="n"/>
      <c r="AB2637" s="101">
        <f>IF($B2637="","",(COUNTIF(C2608:E2625,$B2637)+COUNTIF(C2608:E2625,$B2637&amp;" ~*")&gt;0)+(COUNTIF(G2608:I2625,$B2637)+COUNTIF(G2608:I2625,$B2637&amp;" ~*")&gt;0)+(COUNTIF(K2608:M2625,$B2637)+COUNTIF(K2608:M2625,$B2637&amp;" ~*")&gt;0)+(COUNTIF(O2608:Q2625,$B2637)+COUNTIF(O2608:Q2625,$B2637&amp;" ~*")&gt;0)+(COUNTIF(S2608:U2625,$B2637)+COUNTIF(S2608:U2625,$B2637&amp;" ~*")&gt;0)+(COUNTIF(W2608:W2625,$B2637)+COUNTIF(W2608:W2625,$B2637&amp;" ~*")&gt;0)+(COUNTIF(Y2608:Y2625,$B2637)+COUNTIF(Y2608:Y2625,$B2637&amp;" ~*")&gt;0))</f>
        <v/>
      </c>
      <c r="AC2637" s="36">
        <f>IF($B2637="","",(IFERROR(INDEX(Setup!$G$33:$G$40,MATCH(C2637,Setup!$B$33:$B$40,0)),0)=1)*(COUNTIF(C2608:E2625,$B2637)+COUNTIF(C2608:E2625,$B2637&amp;" ~*")&gt;0)+(IFERROR(INDEX(Setup!$G$33:$G$40,MATCH(G2637,Setup!$B$33:$B$40,0)),0)=1)*(COUNTIF(G2608:I2625,$B2637)+COUNTIF(G2608:I2625,$B2637&amp;" ~*")&gt;0)+(IFERROR(INDEX(Setup!$G$33:$G$40,MATCH(K2637,Setup!$B$33:$B$40,0)),0)=1)*(COUNTIF(K2608:M2625,$B2637)+COUNTIF(K2608:M2625,$B2637&amp;" ~*")&gt;0)+(IFERROR(INDEX(Setup!$G$33:$G$40,MATCH(O2637,Setup!$B$33:$B$40,0)),0)=1)*(COUNTIF(O2608:Q2625,$B2637)+COUNTIF(O2608:Q2625,$B2637&amp;" ~*")&gt;0)+(IFERROR(INDEX(Setup!$G$33:$G$40,MATCH(S2637,Setup!$B$33:$B$40,0)),0)=1)*(COUNTIF(S2608:U2625,$B2637)+COUNTIF(S2608:U2625,$B2637&amp;" ~*")&gt;0)+(IFERROR(INDEX(Setup!$G$33:$G$40,MATCH(W2637,Setup!$B$33:$B$40,0)),0)=1)*(COUNTIF(W2608:W2625,$B2637)+COUNTIF(W2608:W2625,$B2637&amp;" ~*")&gt;0)+(IFERROR(INDEX(Setup!$G$33:$G$40,MATCH(Y2637,Setup!$B$33:$B$40,0)),0)=1)*(COUNTIF(Y2608:Y2625,$B2637)+COUNTIF(Y2608:Y2625,$B2637&amp;" ~*")&gt;0))</f>
        <v/>
      </c>
    </row>
    <row r="2638" ht="15" customHeight="1">
      <c r="A2638" t="n">
        <v>53</v>
      </c>
      <c r="B2638" s="37">
        <f>IF(Setup!$B$17="","",Setup!$B$17)</f>
        <v/>
      </c>
      <c r="C2638" s="102" t="n"/>
      <c r="D2638" s="103" t="n"/>
      <c r="E2638" s="103" t="n"/>
      <c r="F2638" s="104" t="n"/>
      <c r="G2638" s="102" t="n"/>
      <c r="H2638" s="103" t="n"/>
      <c r="I2638" s="103" t="n"/>
      <c r="J2638" s="104" t="n"/>
      <c r="K2638" s="102" t="n"/>
      <c r="L2638" s="103" t="n"/>
      <c r="M2638" s="103" t="n"/>
      <c r="N2638" s="104" t="n"/>
      <c r="O2638" s="102" t="n"/>
      <c r="P2638" s="103" t="n"/>
      <c r="Q2638" s="103" t="n"/>
      <c r="R2638" s="104" t="n"/>
      <c r="S2638" s="102" t="n"/>
      <c r="T2638" s="103" t="n"/>
      <c r="U2638" s="103" t="n"/>
      <c r="V2638" s="104" t="n"/>
      <c r="W2638" s="102" t="n"/>
      <c r="X2638" s="104" t="n"/>
      <c r="Y2638" s="102" t="n"/>
      <c r="Z2638" s="104" t="n"/>
      <c r="AB2638" s="105">
        <f>IF($B2638="","",(COUNTIF(C2608:E2625,$B2638)+COUNTIF(C2608:E2625,$B2638&amp;" ~*")&gt;0)+(COUNTIF(G2608:I2625,$B2638)+COUNTIF(G2608:I2625,$B2638&amp;" ~*")&gt;0)+(COUNTIF(K2608:M2625,$B2638)+COUNTIF(K2608:M2625,$B2638&amp;" ~*")&gt;0)+(COUNTIF(O2608:Q2625,$B2638)+COUNTIF(O2608:Q2625,$B2638&amp;" ~*")&gt;0)+(COUNTIF(S2608:U2625,$B2638)+COUNTIF(S2608:U2625,$B2638&amp;" ~*")&gt;0)+(COUNTIF(W2608:W2625,$B2638)+COUNTIF(W2608:W2625,$B2638&amp;" ~*")&gt;0)+(COUNTIF(Y2608:Y2625,$B2638)+COUNTIF(Y2608:Y2625,$B2638&amp;" ~*")&gt;0))</f>
        <v/>
      </c>
      <c r="AC2638" s="38">
        <f>IF($B2638="","",(IFERROR(INDEX(Setup!$G$33:$G$40,MATCH(C2638,Setup!$B$33:$B$40,0)),0)=1)*(COUNTIF(C2608:E2625,$B2638)+COUNTIF(C2608:E2625,$B2638&amp;" ~*")&gt;0)+(IFERROR(INDEX(Setup!$G$33:$G$40,MATCH(G2638,Setup!$B$33:$B$40,0)),0)=1)*(COUNTIF(G2608:I2625,$B2638)+COUNTIF(G2608:I2625,$B2638&amp;" ~*")&gt;0)+(IFERROR(INDEX(Setup!$G$33:$G$40,MATCH(K2638,Setup!$B$33:$B$40,0)),0)=1)*(COUNTIF(K2608:M2625,$B2638)+COUNTIF(K2608:M2625,$B2638&amp;" ~*")&gt;0)+(IFERROR(INDEX(Setup!$G$33:$G$40,MATCH(O2638,Setup!$B$33:$B$40,0)),0)=1)*(COUNTIF(O2608:Q2625,$B2638)+COUNTIF(O2608:Q2625,$B2638&amp;" ~*")&gt;0)+(IFERROR(INDEX(Setup!$G$33:$G$40,MATCH(S2638,Setup!$B$33:$B$40,0)),0)=1)*(COUNTIF(S2608:U2625,$B2638)+COUNTIF(S2608:U2625,$B2638&amp;" ~*")&gt;0)+(IFERROR(INDEX(Setup!$G$33:$G$40,MATCH(W2638,Setup!$B$33:$B$40,0)),0)=1)*(COUNTIF(W2608:W2625,$B2638)+COUNTIF(W2608:W2625,$B2638&amp;" ~*")&gt;0)+(IFERROR(INDEX(Setup!$G$33:$G$40,MATCH(Y2638,Setup!$B$33:$B$40,0)),0)=1)*(COUNTIF(Y2608:Y2625,$B2638)+COUNTIF(Y2608:Y2625,$B2638&amp;" ~*")&gt;0))</f>
        <v/>
      </c>
    </row>
    <row r="2639" ht="15" customHeight="1">
      <c r="A2639" t="n">
        <v>53</v>
      </c>
      <c r="B2639" s="35">
        <f>IF(Setup!$B$18="","",Setup!$B$18)</f>
        <v/>
      </c>
      <c r="C2639" s="98" t="n"/>
      <c r="D2639" s="99" t="n"/>
      <c r="E2639" s="99" t="n"/>
      <c r="F2639" s="100" t="n"/>
      <c r="G2639" s="98" t="n"/>
      <c r="H2639" s="99" t="n"/>
      <c r="I2639" s="99" t="n"/>
      <c r="J2639" s="100" t="n"/>
      <c r="K2639" s="98" t="n"/>
      <c r="L2639" s="99" t="n"/>
      <c r="M2639" s="99" t="n"/>
      <c r="N2639" s="100" t="n"/>
      <c r="O2639" s="98" t="n"/>
      <c r="P2639" s="99" t="n"/>
      <c r="Q2639" s="99" t="n"/>
      <c r="R2639" s="100" t="n"/>
      <c r="S2639" s="98" t="n"/>
      <c r="T2639" s="99" t="n"/>
      <c r="U2639" s="99" t="n"/>
      <c r="V2639" s="100" t="n"/>
      <c r="W2639" s="98" t="n"/>
      <c r="X2639" s="100" t="n"/>
      <c r="Y2639" s="98" t="n"/>
      <c r="Z2639" s="100" t="n"/>
      <c r="AB2639" s="101">
        <f>IF($B2639="","",(COUNTIF(C2608:E2625,$B2639)+COUNTIF(C2608:E2625,$B2639&amp;" ~*")&gt;0)+(COUNTIF(G2608:I2625,$B2639)+COUNTIF(G2608:I2625,$B2639&amp;" ~*")&gt;0)+(COUNTIF(K2608:M2625,$B2639)+COUNTIF(K2608:M2625,$B2639&amp;" ~*")&gt;0)+(COUNTIF(O2608:Q2625,$B2639)+COUNTIF(O2608:Q2625,$B2639&amp;" ~*")&gt;0)+(COUNTIF(S2608:U2625,$B2639)+COUNTIF(S2608:U2625,$B2639&amp;" ~*")&gt;0)+(COUNTIF(W2608:W2625,$B2639)+COUNTIF(W2608:W2625,$B2639&amp;" ~*")&gt;0)+(COUNTIF(Y2608:Y2625,$B2639)+COUNTIF(Y2608:Y2625,$B2639&amp;" ~*")&gt;0))</f>
        <v/>
      </c>
      <c r="AC2639" s="36">
        <f>IF($B2639="","",(IFERROR(INDEX(Setup!$G$33:$G$40,MATCH(C2639,Setup!$B$33:$B$40,0)),0)=1)*(COUNTIF(C2608:E2625,$B2639)+COUNTIF(C2608:E2625,$B2639&amp;" ~*")&gt;0)+(IFERROR(INDEX(Setup!$G$33:$G$40,MATCH(G2639,Setup!$B$33:$B$40,0)),0)=1)*(COUNTIF(G2608:I2625,$B2639)+COUNTIF(G2608:I2625,$B2639&amp;" ~*")&gt;0)+(IFERROR(INDEX(Setup!$G$33:$G$40,MATCH(K2639,Setup!$B$33:$B$40,0)),0)=1)*(COUNTIF(K2608:M2625,$B2639)+COUNTIF(K2608:M2625,$B2639&amp;" ~*")&gt;0)+(IFERROR(INDEX(Setup!$G$33:$G$40,MATCH(O2639,Setup!$B$33:$B$40,0)),0)=1)*(COUNTIF(O2608:Q2625,$B2639)+COUNTIF(O2608:Q2625,$B2639&amp;" ~*")&gt;0)+(IFERROR(INDEX(Setup!$G$33:$G$40,MATCH(S2639,Setup!$B$33:$B$40,0)),0)=1)*(COUNTIF(S2608:U2625,$B2639)+COUNTIF(S2608:U2625,$B2639&amp;" ~*")&gt;0)+(IFERROR(INDEX(Setup!$G$33:$G$40,MATCH(W2639,Setup!$B$33:$B$40,0)),0)=1)*(COUNTIF(W2608:W2625,$B2639)+COUNTIF(W2608:W2625,$B2639&amp;" ~*")&gt;0)+(IFERROR(INDEX(Setup!$G$33:$G$40,MATCH(Y2639,Setup!$B$33:$B$40,0)),0)=1)*(COUNTIF(Y2608:Y2625,$B2639)+COUNTIF(Y2608:Y2625,$B2639&amp;" ~*")&gt;0))</f>
        <v/>
      </c>
    </row>
    <row r="2640" ht="15" customHeight="1">
      <c r="A2640" t="n">
        <v>53</v>
      </c>
      <c r="B2640" s="37">
        <f>IF(Setup!$B$19="","",Setup!$B$19)</f>
        <v/>
      </c>
      <c r="C2640" s="102" t="n"/>
      <c r="D2640" s="103" t="n"/>
      <c r="E2640" s="103" t="n"/>
      <c r="F2640" s="104" t="n"/>
      <c r="G2640" s="102" t="n"/>
      <c r="H2640" s="103" t="n"/>
      <c r="I2640" s="103" t="n"/>
      <c r="J2640" s="104" t="n"/>
      <c r="K2640" s="102" t="n"/>
      <c r="L2640" s="103" t="n"/>
      <c r="M2640" s="103" t="n"/>
      <c r="N2640" s="104" t="n"/>
      <c r="O2640" s="102" t="n"/>
      <c r="P2640" s="103" t="n"/>
      <c r="Q2640" s="103" t="n"/>
      <c r="R2640" s="104" t="n"/>
      <c r="S2640" s="102" t="n"/>
      <c r="T2640" s="103" t="n"/>
      <c r="U2640" s="103" t="n"/>
      <c r="V2640" s="104" t="n"/>
      <c r="W2640" s="102" t="n"/>
      <c r="X2640" s="104" t="n"/>
      <c r="Y2640" s="102" t="n"/>
      <c r="Z2640" s="104" t="n"/>
      <c r="AB2640" s="105">
        <f>IF($B2640="","",(COUNTIF(C2608:E2625,$B2640)+COUNTIF(C2608:E2625,$B2640&amp;" ~*")&gt;0)+(COUNTIF(G2608:I2625,$B2640)+COUNTIF(G2608:I2625,$B2640&amp;" ~*")&gt;0)+(COUNTIF(K2608:M2625,$B2640)+COUNTIF(K2608:M2625,$B2640&amp;" ~*")&gt;0)+(COUNTIF(O2608:Q2625,$B2640)+COUNTIF(O2608:Q2625,$B2640&amp;" ~*")&gt;0)+(COUNTIF(S2608:U2625,$B2640)+COUNTIF(S2608:U2625,$B2640&amp;" ~*")&gt;0)+(COUNTIF(W2608:W2625,$B2640)+COUNTIF(W2608:W2625,$B2640&amp;" ~*")&gt;0)+(COUNTIF(Y2608:Y2625,$B2640)+COUNTIF(Y2608:Y2625,$B2640&amp;" ~*")&gt;0))</f>
        <v/>
      </c>
      <c r="AC2640" s="38">
        <f>IF($B2640="","",(IFERROR(INDEX(Setup!$G$33:$G$40,MATCH(C2640,Setup!$B$33:$B$40,0)),0)=1)*(COUNTIF(C2608:E2625,$B2640)+COUNTIF(C2608:E2625,$B2640&amp;" ~*")&gt;0)+(IFERROR(INDEX(Setup!$G$33:$G$40,MATCH(G2640,Setup!$B$33:$B$40,0)),0)=1)*(COUNTIF(G2608:I2625,$B2640)+COUNTIF(G2608:I2625,$B2640&amp;" ~*")&gt;0)+(IFERROR(INDEX(Setup!$G$33:$G$40,MATCH(K2640,Setup!$B$33:$B$40,0)),0)=1)*(COUNTIF(K2608:M2625,$B2640)+COUNTIF(K2608:M2625,$B2640&amp;" ~*")&gt;0)+(IFERROR(INDEX(Setup!$G$33:$G$40,MATCH(O2640,Setup!$B$33:$B$40,0)),0)=1)*(COUNTIF(O2608:Q2625,$B2640)+COUNTIF(O2608:Q2625,$B2640&amp;" ~*")&gt;0)+(IFERROR(INDEX(Setup!$G$33:$G$40,MATCH(S2640,Setup!$B$33:$B$40,0)),0)=1)*(COUNTIF(S2608:U2625,$B2640)+COUNTIF(S2608:U2625,$B2640&amp;" ~*")&gt;0)+(IFERROR(INDEX(Setup!$G$33:$G$40,MATCH(W2640,Setup!$B$33:$B$40,0)),0)=1)*(COUNTIF(W2608:W2625,$B2640)+COUNTIF(W2608:W2625,$B2640&amp;" ~*")&gt;0)+(IFERROR(INDEX(Setup!$G$33:$G$40,MATCH(Y2640,Setup!$B$33:$B$40,0)),0)=1)*(COUNTIF(Y2608:Y2625,$B2640)+COUNTIF(Y2608:Y2625,$B2640&amp;" ~*")&gt;0))</f>
        <v/>
      </c>
    </row>
    <row r="2641" ht="15" customHeight="1">
      <c r="A2641" t="n">
        <v>53</v>
      </c>
      <c r="B2641" s="35">
        <f>IF(Setup!$B$20="","",Setup!$B$20)</f>
        <v/>
      </c>
      <c r="C2641" s="98" t="n"/>
      <c r="D2641" s="99" t="n"/>
      <c r="E2641" s="99" t="n"/>
      <c r="F2641" s="100" t="n"/>
      <c r="G2641" s="98" t="n"/>
      <c r="H2641" s="99" t="n"/>
      <c r="I2641" s="99" t="n"/>
      <c r="J2641" s="100" t="n"/>
      <c r="K2641" s="98" t="n"/>
      <c r="L2641" s="99" t="n"/>
      <c r="M2641" s="99" t="n"/>
      <c r="N2641" s="100" t="n"/>
      <c r="O2641" s="98" t="n"/>
      <c r="P2641" s="99" t="n"/>
      <c r="Q2641" s="99" t="n"/>
      <c r="R2641" s="100" t="n"/>
      <c r="S2641" s="98" t="n"/>
      <c r="T2641" s="99" t="n"/>
      <c r="U2641" s="99" t="n"/>
      <c r="V2641" s="100" t="n"/>
      <c r="W2641" s="98" t="n"/>
      <c r="X2641" s="100" t="n"/>
      <c r="Y2641" s="98" t="n"/>
      <c r="Z2641" s="100" t="n"/>
      <c r="AB2641" s="101">
        <f>IF($B2641="","",(COUNTIF(C2608:E2625,$B2641)+COUNTIF(C2608:E2625,$B2641&amp;" ~*")&gt;0)+(COUNTIF(G2608:I2625,$B2641)+COUNTIF(G2608:I2625,$B2641&amp;" ~*")&gt;0)+(COUNTIF(K2608:M2625,$B2641)+COUNTIF(K2608:M2625,$B2641&amp;" ~*")&gt;0)+(COUNTIF(O2608:Q2625,$B2641)+COUNTIF(O2608:Q2625,$B2641&amp;" ~*")&gt;0)+(COUNTIF(S2608:U2625,$B2641)+COUNTIF(S2608:U2625,$B2641&amp;" ~*")&gt;0)+(COUNTIF(W2608:W2625,$B2641)+COUNTIF(W2608:W2625,$B2641&amp;" ~*")&gt;0)+(COUNTIF(Y2608:Y2625,$B2641)+COUNTIF(Y2608:Y2625,$B2641&amp;" ~*")&gt;0))</f>
        <v/>
      </c>
      <c r="AC2641" s="36">
        <f>IF($B2641="","",(IFERROR(INDEX(Setup!$G$33:$G$40,MATCH(C2641,Setup!$B$33:$B$40,0)),0)=1)*(COUNTIF(C2608:E2625,$B2641)+COUNTIF(C2608:E2625,$B2641&amp;" ~*")&gt;0)+(IFERROR(INDEX(Setup!$G$33:$G$40,MATCH(G2641,Setup!$B$33:$B$40,0)),0)=1)*(COUNTIF(G2608:I2625,$B2641)+COUNTIF(G2608:I2625,$B2641&amp;" ~*")&gt;0)+(IFERROR(INDEX(Setup!$G$33:$G$40,MATCH(K2641,Setup!$B$33:$B$40,0)),0)=1)*(COUNTIF(K2608:M2625,$B2641)+COUNTIF(K2608:M2625,$B2641&amp;" ~*")&gt;0)+(IFERROR(INDEX(Setup!$G$33:$G$40,MATCH(O2641,Setup!$B$33:$B$40,0)),0)=1)*(COUNTIF(O2608:Q2625,$B2641)+COUNTIF(O2608:Q2625,$B2641&amp;" ~*")&gt;0)+(IFERROR(INDEX(Setup!$G$33:$G$40,MATCH(S2641,Setup!$B$33:$B$40,0)),0)=1)*(COUNTIF(S2608:U2625,$B2641)+COUNTIF(S2608:U2625,$B2641&amp;" ~*")&gt;0)+(IFERROR(INDEX(Setup!$G$33:$G$40,MATCH(W2641,Setup!$B$33:$B$40,0)),0)=1)*(COUNTIF(W2608:W2625,$B2641)+COUNTIF(W2608:W2625,$B2641&amp;" ~*")&gt;0)+(IFERROR(INDEX(Setup!$G$33:$G$40,MATCH(Y2641,Setup!$B$33:$B$40,0)),0)=1)*(COUNTIF(Y2608:Y2625,$B2641)+COUNTIF(Y2608:Y2625,$B2641&amp;" ~*")&gt;0))</f>
        <v/>
      </c>
    </row>
    <row r="2642" ht="15" customHeight="1">
      <c r="A2642" t="n">
        <v>53</v>
      </c>
      <c r="B2642" s="37">
        <f>IF(Setup!$B$21="","",Setup!$B$21)</f>
        <v/>
      </c>
      <c r="C2642" s="102" t="n"/>
      <c r="D2642" s="103" t="n"/>
      <c r="E2642" s="103" t="n"/>
      <c r="F2642" s="104" t="n"/>
      <c r="G2642" s="102" t="n"/>
      <c r="H2642" s="103" t="n"/>
      <c r="I2642" s="103" t="n"/>
      <c r="J2642" s="104" t="n"/>
      <c r="K2642" s="102" t="n"/>
      <c r="L2642" s="103" t="n"/>
      <c r="M2642" s="103" t="n"/>
      <c r="N2642" s="104" t="n"/>
      <c r="O2642" s="102" t="n"/>
      <c r="P2642" s="103" t="n"/>
      <c r="Q2642" s="103" t="n"/>
      <c r="R2642" s="104" t="n"/>
      <c r="S2642" s="102" t="n"/>
      <c r="T2642" s="103" t="n"/>
      <c r="U2642" s="103" t="n"/>
      <c r="V2642" s="104" t="n"/>
      <c r="W2642" s="102" t="n"/>
      <c r="X2642" s="104" t="n"/>
      <c r="Y2642" s="102" t="n"/>
      <c r="Z2642" s="104" t="n"/>
      <c r="AB2642" s="105">
        <f>IF($B2642="","",(COUNTIF(C2608:E2625,$B2642)+COUNTIF(C2608:E2625,$B2642&amp;" ~*")&gt;0)+(COUNTIF(G2608:I2625,$B2642)+COUNTIF(G2608:I2625,$B2642&amp;" ~*")&gt;0)+(COUNTIF(K2608:M2625,$B2642)+COUNTIF(K2608:M2625,$B2642&amp;" ~*")&gt;0)+(COUNTIF(O2608:Q2625,$B2642)+COUNTIF(O2608:Q2625,$B2642&amp;" ~*")&gt;0)+(COUNTIF(S2608:U2625,$B2642)+COUNTIF(S2608:U2625,$B2642&amp;" ~*")&gt;0)+(COUNTIF(W2608:W2625,$B2642)+COUNTIF(W2608:W2625,$B2642&amp;" ~*")&gt;0)+(COUNTIF(Y2608:Y2625,$B2642)+COUNTIF(Y2608:Y2625,$B2642&amp;" ~*")&gt;0))</f>
        <v/>
      </c>
      <c r="AC2642" s="38">
        <f>IF($B2642="","",(IFERROR(INDEX(Setup!$G$33:$G$40,MATCH(C2642,Setup!$B$33:$B$40,0)),0)=1)*(COUNTIF(C2608:E2625,$B2642)+COUNTIF(C2608:E2625,$B2642&amp;" ~*")&gt;0)+(IFERROR(INDEX(Setup!$G$33:$G$40,MATCH(G2642,Setup!$B$33:$B$40,0)),0)=1)*(COUNTIF(G2608:I2625,$B2642)+COUNTIF(G2608:I2625,$B2642&amp;" ~*")&gt;0)+(IFERROR(INDEX(Setup!$G$33:$G$40,MATCH(K2642,Setup!$B$33:$B$40,0)),0)=1)*(COUNTIF(K2608:M2625,$B2642)+COUNTIF(K2608:M2625,$B2642&amp;" ~*")&gt;0)+(IFERROR(INDEX(Setup!$G$33:$G$40,MATCH(O2642,Setup!$B$33:$B$40,0)),0)=1)*(COUNTIF(O2608:Q2625,$B2642)+COUNTIF(O2608:Q2625,$B2642&amp;" ~*")&gt;0)+(IFERROR(INDEX(Setup!$G$33:$G$40,MATCH(S2642,Setup!$B$33:$B$40,0)),0)=1)*(COUNTIF(S2608:U2625,$B2642)+COUNTIF(S2608:U2625,$B2642&amp;" ~*")&gt;0)+(IFERROR(INDEX(Setup!$G$33:$G$40,MATCH(W2642,Setup!$B$33:$B$40,0)),0)=1)*(COUNTIF(W2608:W2625,$B2642)+COUNTIF(W2608:W2625,$B2642&amp;" ~*")&gt;0)+(IFERROR(INDEX(Setup!$G$33:$G$40,MATCH(Y2642,Setup!$B$33:$B$40,0)),0)=1)*(COUNTIF(Y2608:Y2625,$B2642)+COUNTIF(Y2608:Y2625,$B2642&amp;" ~*")&gt;0))</f>
        <v/>
      </c>
    </row>
    <row r="2643" ht="15" customHeight="1">
      <c r="A2643" t="n">
        <v>53</v>
      </c>
      <c r="B2643" s="35">
        <f>IF(Setup!$B$22="","",Setup!$B$22)</f>
        <v/>
      </c>
      <c r="C2643" s="98" t="n"/>
      <c r="D2643" s="99" t="n"/>
      <c r="E2643" s="99" t="n"/>
      <c r="F2643" s="100" t="n"/>
      <c r="G2643" s="98" t="n"/>
      <c r="H2643" s="99" t="n"/>
      <c r="I2643" s="99" t="n"/>
      <c r="J2643" s="100" t="n"/>
      <c r="K2643" s="98" t="n"/>
      <c r="L2643" s="99" t="n"/>
      <c r="M2643" s="99" t="n"/>
      <c r="N2643" s="100" t="n"/>
      <c r="O2643" s="98" t="n"/>
      <c r="P2643" s="99" t="n"/>
      <c r="Q2643" s="99" t="n"/>
      <c r="R2643" s="100" t="n"/>
      <c r="S2643" s="98" t="n"/>
      <c r="T2643" s="99" t="n"/>
      <c r="U2643" s="99" t="n"/>
      <c r="V2643" s="100" t="n"/>
      <c r="W2643" s="98" t="n"/>
      <c r="X2643" s="100" t="n"/>
      <c r="Y2643" s="98" t="n"/>
      <c r="Z2643" s="100" t="n"/>
      <c r="AB2643" s="101">
        <f>IF($B2643="","",(COUNTIF(C2608:E2625,$B2643)+COUNTIF(C2608:E2625,$B2643&amp;" ~*")&gt;0)+(COUNTIF(G2608:I2625,$B2643)+COUNTIF(G2608:I2625,$B2643&amp;" ~*")&gt;0)+(COUNTIF(K2608:M2625,$B2643)+COUNTIF(K2608:M2625,$B2643&amp;" ~*")&gt;0)+(COUNTIF(O2608:Q2625,$B2643)+COUNTIF(O2608:Q2625,$B2643&amp;" ~*")&gt;0)+(COUNTIF(S2608:U2625,$B2643)+COUNTIF(S2608:U2625,$B2643&amp;" ~*")&gt;0)+(COUNTIF(W2608:W2625,$B2643)+COUNTIF(W2608:W2625,$B2643&amp;" ~*")&gt;0)+(COUNTIF(Y2608:Y2625,$B2643)+COUNTIF(Y2608:Y2625,$B2643&amp;" ~*")&gt;0))</f>
        <v/>
      </c>
      <c r="AC2643" s="36">
        <f>IF($B2643="","",(IFERROR(INDEX(Setup!$G$33:$G$40,MATCH(C2643,Setup!$B$33:$B$40,0)),0)=1)*(COUNTIF(C2608:E2625,$B2643)+COUNTIF(C2608:E2625,$B2643&amp;" ~*")&gt;0)+(IFERROR(INDEX(Setup!$G$33:$G$40,MATCH(G2643,Setup!$B$33:$B$40,0)),0)=1)*(COUNTIF(G2608:I2625,$B2643)+COUNTIF(G2608:I2625,$B2643&amp;" ~*")&gt;0)+(IFERROR(INDEX(Setup!$G$33:$G$40,MATCH(K2643,Setup!$B$33:$B$40,0)),0)=1)*(COUNTIF(K2608:M2625,$B2643)+COUNTIF(K2608:M2625,$B2643&amp;" ~*")&gt;0)+(IFERROR(INDEX(Setup!$G$33:$G$40,MATCH(O2643,Setup!$B$33:$B$40,0)),0)=1)*(COUNTIF(O2608:Q2625,$B2643)+COUNTIF(O2608:Q2625,$B2643&amp;" ~*")&gt;0)+(IFERROR(INDEX(Setup!$G$33:$G$40,MATCH(S2643,Setup!$B$33:$B$40,0)),0)=1)*(COUNTIF(S2608:U2625,$B2643)+COUNTIF(S2608:U2625,$B2643&amp;" ~*")&gt;0)+(IFERROR(INDEX(Setup!$G$33:$G$40,MATCH(W2643,Setup!$B$33:$B$40,0)),0)=1)*(COUNTIF(W2608:W2625,$B2643)+COUNTIF(W2608:W2625,$B2643&amp;" ~*")&gt;0)+(IFERROR(INDEX(Setup!$G$33:$G$40,MATCH(Y2643,Setup!$B$33:$B$40,0)),0)=1)*(COUNTIF(Y2608:Y2625,$B2643)+COUNTIF(Y2608:Y2625,$B2643&amp;" ~*")&gt;0))</f>
        <v/>
      </c>
    </row>
    <row r="2644" ht="15" customHeight="1">
      <c r="A2644" t="n">
        <v>53</v>
      </c>
      <c r="B2644" s="37">
        <f>IF(Setup!$B$23="","",Setup!$B$23)</f>
        <v/>
      </c>
      <c r="C2644" s="102" t="n"/>
      <c r="D2644" s="103" t="n"/>
      <c r="E2644" s="103" t="n"/>
      <c r="F2644" s="104" t="n"/>
      <c r="G2644" s="102" t="n"/>
      <c r="H2644" s="103" t="n"/>
      <c r="I2644" s="103" t="n"/>
      <c r="J2644" s="104" t="n"/>
      <c r="K2644" s="102" t="n"/>
      <c r="L2644" s="103" t="n"/>
      <c r="M2644" s="103" t="n"/>
      <c r="N2644" s="104" t="n"/>
      <c r="O2644" s="102" t="n"/>
      <c r="P2644" s="103" t="n"/>
      <c r="Q2644" s="103" t="n"/>
      <c r="R2644" s="104" t="n"/>
      <c r="S2644" s="102" t="n"/>
      <c r="T2644" s="103" t="n"/>
      <c r="U2644" s="103" t="n"/>
      <c r="V2644" s="104" t="n"/>
      <c r="W2644" s="102" t="n"/>
      <c r="X2644" s="104" t="n"/>
      <c r="Y2644" s="102" t="n"/>
      <c r="Z2644" s="104" t="n"/>
      <c r="AB2644" s="105">
        <f>IF($B2644="","",(COUNTIF(C2608:E2625,$B2644)+COUNTIF(C2608:E2625,$B2644&amp;" ~*")&gt;0)+(COUNTIF(G2608:I2625,$B2644)+COUNTIF(G2608:I2625,$B2644&amp;" ~*")&gt;0)+(COUNTIF(K2608:M2625,$B2644)+COUNTIF(K2608:M2625,$B2644&amp;" ~*")&gt;0)+(COUNTIF(O2608:Q2625,$B2644)+COUNTIF(O2608:Q2625,$B2644&amp;" ~*")&gt;0)+(COUNTIF(S2608:U2625,$B2644)+COUNTIF(S2608:U2625,$B2644&amp;" ~*")&gt;0)+(COUNTIF(W2608:W2625,$B2644)+COUNTIF(W2608:W2625,$B2644&amp;" ~*")&gt;0)+(COUNTIF(Y2608:Y2625,$B2644)+COUNTIF(Y2608:Y2625,$B2644&amp;" ~*")&gt;0))</f>
        <v/>
      </c>
      <c r="AC2644" s="38">
        <f>IF($B2644="","",(IFERROR(INDEX(Setup!$G$33:$G$40,MATCH(C2644,Setup!$B$33:$B$40,0)),0)=1)*(COUNTIF(C2608:E2625,$B2644)+COUNTIF(C2608:E2625,$B2644&amp;" ~*")&gt;0)+(IFERROR(INDEX(Setup!$G$33:$G$40,MATCH(G2644,Setup!$B$33:$B$40,0)),0)=1)*(COUNTIF(G2608:I2625,$B2644)+COUNTIF(G2608:I2625,$B2644&amp;" ~*")&gt;0)+(IFERROR(INDEX(Setup!$G$33:$G$40,MATCH(K2644,Setup!$B$33:$B$40,0)),0)=1)*(COUNTIF(K2608:M2625,$B2644)+COUNTIF(K2608:M2625,$B2644&amp;" ~*")&gt;0)+(IFERROR(INDEX(Setup!$G$33:$G$40,MATCH(O2644,Setup!$B$33:$B$40,0)),0)=1)*(COUNTIF(O2608:Q2625,$B2644)+COUNTIF(O2608:Q2625,$B2644&amp;" ~*")&gt;0)+(IFERROR(INDEX(Setup!$G$33:$G$40,MATCH(S2644,Setup!$B$33:$B$40,0)),0)=1)*(COUNTIF(S2608:U2625,$B2644)+COUNTIF(S2608:U2625,$B2644&amp;" ~*")&gt;0)+(IFERROR(INDEX(Setup!$G$33:$G$40,MATCH(W2644,Setup!$B$33:$B$40,0)),0)=1)*(COUNTIF(W2608:W2625,$B2644)+COUNTIF(W2608:W2625,$B2644&amp;" ~*")&gt;0)+(IFERROR(INDEX(Setup!$G$33:$G$40,MATCH(Y2644,Setup!$B$33:$B$40,0)),0)=1)*(COUNTIF(Y2608:Y2625,$B2644)+COUNTIF(Y2608:Y2625,$B2644&amp;" ~*")&gt;0))</f>
        <v/>
      </c>
    </row>
    <row r="2645" ht="15" customHeight="1">
      <c r="A2645" t="n">
        <v>53</v>
      </c>
      <c r="B2645" s="35">
        <f>IF(Setup!$B$24="","",Setup!$B$24)</f>
        <v/>
      </c>
      <c r="C2645" s="98" t="n"/>
      <c r="D2645" s="99" t="n"/>
      <c r="E2645" s="99" t="n"/>
      <c r="F2645" s="100" t="n"/>
      <c r="G2645" s="98" t="n"/>
      <c r="H2645" s="99" t="n"/>
      <c r="I2645" s="99" t="n"/>
      <c r="J2645" s="100" t="n"/>
      <c r="K2645" s="98" t="n"/>
      <c r="L2645" s="99" t="n"/>
      <c r="M2645" s="99" t="n"/>
      <c r="N2645" s="100" t="n"/>
      <c r="O2645" s="98" t="n"/>
      <c r="P2645" s="99" t="n"/>
      <c r="Q2645" s="99" t="n"/>
      <c r="R2645" s="100" t="n"/>
      <c r="S2645" s="98" t="n"/>
      <c r="T2645" s="99" t="n"/>
      <c r="U2645" s="99" t="n"/>
      <c r="V2645" s="100" t="n"/>
      <c r="W2645" s="98" t="n"/>
      <c r="X2645" s="100" t="n"/>
      <c r="Y2645" s="98" t="n"/>
      <c r="Z2645" s="100" t="n"/>
      <c r="AB2645" s="101">
        <f>IF($B2645="","",(COUNTIF(C2608:E2625,$B2645)+COUNTIF(C2608:E2625,$B2645&amp;" ~*")&gt;0)+(COUNTIF(G2608:I2625,$B2645)+COUNTIF(G2608:I2625,$B2645&amp;" ~*")&gt;0)+(COUNTIF(K2608:M2625,$B2645)+COUNTIF(K2608:M2625,$B2645&amp;" ~*")&gt;0)+(COUNTIF(O2608:Q2625,$B2645)+COUNTIF(O2608:Q2625,$B2645&amp;" ~*")&gt;0)+(COUNTIF(S2608:U2625,$B2645)+COUNTIF(S2608:U2625,$B2645&amp;" ~*")&gt;0)+(COUNTIF(W2608:W2625,$B2645)+COUNTIF(W2608:W2625,$B2645&amp;" ~*")&gt;0)+(COUNTIF(Y2608:Y2625,$B2645)+COUNTIF(Y2608:Y2625,$B2645&amp;" ~*")&gt;0))</f>
        <v/>
      </c>
      <c r="AC2645" s="36">
        <f>IF($B2645="","",(IFERROR(INDEX(Setup!$G$33:$G$40,MATCH(C2645,Setup!$B$33:$B$40,0)),0)=1)*(COUNTIF(C2608:E2625,$B2645)+COUNTIF(C2608:E2625,$B2645&amp;" ~*")&gt;0)+(IFERROR(INDEX(Setup!$G$33:$G$40,MATCH(G2645,Setup!$B$33:$B$40,0)),0)=1)*(COUNTIF(G2608:I2625,$B2645)+COUNTIF(G2608:I2625,$B2645&amp;" ~*")&gt;0)+(IFERROR(INDEX(Setup!$G$33:$G$40,MATCH(K2645,Setup!$B$33:$B$40,0)),0)=1)*(COUNTIF(K2608:M2625,$B2645)+COUNTIF(K2608:M2625,$B2645&amp;" ~*")&gt;0)+(IFERROR(INDEX(Setup!$G$33:$G$40,MATCH(O2645,Setup!$B$33:$B$40,0)),0)=1)*(COUNTIF(O2608:Q2625,$B2645)+COUNTIF(O2608:Q2625,$B2645&amp;" ~*")&gt;0)+(IFERROR(INDEX(Setup!$G$33:$G$40,MATCH(S2645,Setup!$B$33:$B$40,0)),0)=1)*(COUNTIF(S2608:U2625,$B2645)+COUNTIF(S2608:U2625,$B2645&amp;" ~*")&gt;0)+(IFERROR(INDEX(Setup!$G$33:$G$40,MATCH(W2645,Setup!$B$33:$B$40,0)),0)=1)*(COUNTIF(W2608:W2625,$B2645)+COUNTIF(W2608:W2625,$B2645&amp;" ~*")&gt;0)+(IFERROR(INDEX(Setup!$G$33:$G$40,MATCH(Y2645,Setup!$B$33:$B$40,0)),0)=1)*(COUNTIF(Y2608:Y2625,$B2645)+COUNTIF(Y2608:Y2625,$B2645&amp;" ~*")&gt;0))</f>
        <v/>
      </c>
    </row>
    <row r="2646" ht="15" customHeight="1">
      <c r="A2646" t="n">
        <v>53</v>
      </c>
      <c r="B2646" s="37">
        <f>IF(Setup!$B$25="","",Setup!$B$25)</f>
        <v/>
      </c>
      <c r="C2646" s="102" t="n"/>
      <c r="D2646" s="103" t="n"/>
      <c r="E2646" s="103" t="n"/>
      <c r="F2646" s="104" t="n"/>
      <c r="G2646" s="102" t="n"/>
      <c r="H2646" s="103" t="n"/>
      <c r="I2646" s="103" t="n"/>
      <c r="J2646" s="104" t="n"/>
      <c r="K2646" s="102" t="n"/>
      <c r="L2646" s="103" t="n"/>
      <c r="M2646" s="103" t="n"/>
      <c r="N2646" s="104" t="n"/>
      <c r="O2646" s="102" t="n"/>
      <c r="P2646" s="103" t="n"/>
      <c r="Q2646" s="103" t="n"/>
      <c r="R2646" s="104" t="n"/>
      <c r="S2646" s="102" t="n"/>
      <c r="T2646" s="103" t="n"/>
      <c r="U2646" s="103" t="n"/>
      <c r="V2646" s="104" t="n"/>
      <c r="W2646" s="102" t="n"/>
      <c r="X2646" s="104" t="n"/>
      <c r="Y2646" s="102" t="n"/>
      <c r="Z2646" s="104" t="n"/>
      <c r="AB2646" s="105">
        <f>IF($B2646="","",(COUNTIF(C2608:E2625,$B2646)+COUNTIF(C2608:E2625,$B2646&amp;" ~*")&gt;0)+(COUNTIF(G2608:I2625,$B2646)+COUNTIF(G2608:I2625,$B2646&amp;" ~*")&gt;0)+(COUNTIF(K2608:M2625,$B2646)+COUNTIF(K2608:M2625,$B2646&amp;" ~*")&gt;0)+(COUNTIF(O2608:Q2625,$B2646)+COUNTIF(O2608:Q2625,$B2646&amp;" ~*")&gt;0)+(COUNTIF(S2608:U2625,$B2646)+COUNTIF(S2608:U2625,$B2646&amp;" ~*")&gt;0)+(COUNTIF(W2608:W2625,$B2646)+COUNTIF(W2608:W2625,$B2646&amp;" ~*")&gt;0)+(COUNTIF(Y2608:Y2625,$B2646)+COUNTIF(Y2608:Y2625,$B2646&amp;" ~*")&gt;0))</f>
        <v/>
      </c>
      <c r="AC2646" s="38">
        <f>IF($B2646="","",(IFERROR(INDEX(Setup!$G$33:$G$40,MATCH(C2646,Setup!$B$33:$B$40,0)),0)=1)*(COUNTIF(C2608:E2625,$B2646)+COUNTIF(C2608:E2625,$B2646&amp;" ~*")&gt;0)+(IFERROR(INDEX(Setup!$G$33:$G$40,MATCH(G2646,Setup!$B$33:$B$40,0)),0)=1)*(COUNTIF(G2608:I2625,$B2646)+COUNTIF(G2608:I2625,$B2646&amp;" ~*")&gt;0)+(IFERROR(INDEX(Setup!$G$33:$G$40,MATCH(K2646,Setup!$B$33:$B$40,0)),0)=1)*(COUNTIF(K2608:M2625,$B2646)+COUNTIF(K2608:M2625,$B2646&amp;" ~*")&gt;0)+(IFERROR(INDEX(Setup!$G$33:$G$40,MATCH(O2646,Setup!$B$33:$B$40,0)),0)=1)*(COUNTIF(O2608:Q2625,$B2646)+COUNTIF(O2608:Q2625,$B2646&amp;" ~*")&gt;0)+(IFERROR(INDEX(Setup!$G$33:$G$40,MATCH(S2646,Setup!$B$33:$B$40,0)),0)=1)*(COUNTIF(S2608:U2625,$B2646)+COUNTIF(S2608:U2625,$B2646&amp;" ~*")&gt;0)+(IFERROR(INDEX(Setup!$G$33:$G$40,MATCH(W2646,Setup!$B$33:$B$40,0)),0)=1)*(COUNTIF(W2608:W2625,$B2646)+COUNTIF(W2608:W2625,$B2646&amp;" ~*")&gt;0)+(IFERROR(INDEX(Setup!$G$33:$G$40,MATCH(Y2646,Setup!$B$33:$B$40,0)),0)=1)*(COUNTIF(Y2608:Y2625,$B2646)+COUNTIF(Y2608:Y2625,$B2646&amp;" ~*")&gt;0))</f>
        <v/>
      </c>
    </row>
    <row r="2647" ht="15" customHeight="1">
      <c r="A2647" t="n">
        <v>53</v>
      </c>
      <c r="B2647" s="35">
        <f>IF(Setup!$B$26="","",Setup!$B$26)</f>
        <v/>
      </c>
      <c r="C2647" s="98" t="n"/>
      <c r="D2647" s="99" t="n"/>
      <c r="E2647" s="99" t="n"/>
      <c r="F2647" s="100" t="n"/>
      <c r="G2647" s="98" t="n"/>
      <c r="H2647" s="99" t="n"/>
      <c r="I2647" s="99" t="n"/>
      <c r="J2647" s="100" t="n"/>
      <c r="K2647" s="98" t="n"/>
      <c r="L2647" s="99" t="n"/>
      <c r="M2647" s="99" t="n"/>
      <c r="N2647" s="100" t="n"/>
      <c r="O2647" s="98" t="n"/>
      <c r="P2647" s="99" t="n"/>
      <c r="Q2647" s="99" t="n"/>
      <c r="R2647" s="100" t="n"/>
      <c r="S2647" s="98" t="n"/>
      <c r="T2647" s="99" t="n"/>
      <c r="U2647" s="99" t="n"/>
      <c r="V2647" s="100" t="n"/>
      <c r="W2647" s="98" t="n"/>
      <c r="X2647" s="100" t="n"/>
      <c r="Y2647" s="98" t="n"/>
      <c r="Z2647" s="100" t="n"/>
      <c r="AB2647" s="101">
        <f>IF($B2647="","",(COUNTIF(C2608:E2625,$B2647)+COUNTIF(C2608:E2625,$B2647&amp;" ~*")&gt;0)+(COUNTIF(G2608:I2625,$B2647)+COUNTIF(G2608:I2625,$B2647&amp;" ~*")&gt;0)+(COUNTIF(K2608:M2625,$B2647)+COUNTIF(K2608:M2625,$B2647&amp;" ~*")&gt;0)+(COUNTIF(O2608:Q2625,$B2647)+COUNTIF(O2608:Q2625,$B2647&amp;" ~*")&gt;0)+(COUNTIF(S2608:U2625,$B2647)+COUNTIF(S2608:U2625,$B2647&amp;" ~*")&gt;0)+(COUNTIF(W2608:W2625,$B2647)+COUNTIF(W2608:W2625,$B2647&amp;" ~*")&gt;0)+(COUNTIF(Y2608:Y2625,$B2647)+COUNTIF(Y2608:Y2625,$B2647&amp;" ~*")&gt;0))</f>
        <v/>
      </c>
      <c r="AC2647" s="36">
        <f>IF($B2647="","",(IFERROR(INDEX(Setup!$G$33:$G$40,MATCH(C2647,Setup!$B$33:$B$40,0)),0)=1)*(COUNTIF(C2608:E2625,$B2647)+COUNTIF(C2608:E2625,$B2647&amp;" ~*")&gt;0)+(IFERROR(INDEX(Setup!$G$33:$G$40,MATCH(G2647,Setup!$B$33:$B$40,0)),0)=1)*(COUNTIF(G2608:I2625,$B2647)+COUNTIF(G2608:I2625,$B2647&amp;" ~*")&gt;0)+(IFERROR(INDEX(Setup!$G$33:$G$40,MATCH(K2647,Setup!$B$33:$B$40,0)),0)=1)*(COUNTIF(K2608:M2625,$B2647)+COUNTIF(K2608:M2625,$B2647&amp;" ~*")&gt;0)+(IFERROR(INDEX(Setup!$G$33:$G$40,MATCH(O2647,Setup!$B$33:$B$40,0)),0)=1)*(COUNTIF(O2608:Q2625,$B2647)+COUNTIF(O2608:Q2625,$B2647&amp;" ~*")&gt;0)+(IFERROR(INDEX(Setup!$G$33:$G$40,MATCH(S2647,Setup!$B$33:$B$40,0)),0)=1)*(COUNTIF(S2608:U2625,$B2647)+COUNTIF(S2608:U2625,$B2647&amp;" ~*")&gt;0)+(IFERROR(INDEX(Setup!$G$33:$G$40,MATCH(W2647,Setup!$B$33:$B$40,0)),0)=1)*(COUNTIF(W2608:W2625,$B2647)+COUNTIF(W2608:W2625,$B2647&amp;" ~*")&gt;0)+(IFERROR(INDEX(Setup!$G$33:$G$40,MATCH(Y2647,Setup!$B$33:$B$40,0)),0)=1)*(COUNTIF(Y2608:Y2625,$B2647)+COUNTIF(Y2608:Y2625,$B2647&amp;" ~*")&gt;0))</f>
        <v/>
      </c>
    </row>
    <row r="2648" ht="15" customHeight="1">
      <c r="A2648" t="n">
        <v>53</v>
      </c>
      <c r="B2648" s="37">
        <f>IF(Setup!$B$27="","",Setup!$B$27)</f>
        <v/>
      </c>
      <c r="C2648" s="102" t="n"/>
      <c r="D2648" s="103" t="n"/>
      <c r="E2648" s="103" t="n"/>
      <c r="F2648" s="104" t="n"/>
      <c r="G2648" s="102" t="n"/>
      <c r="H2648" s="103" t="n"/>
      <c r="I2648" s="103" t="n"/>
      <c r="J2648" s="104" t="n"/>
      <c r="K2648" s="102" t="n"/>
      <c r="L2648" s="103" t="n"/>
      <c r="M2648" s="103" t="n"/>
      <c r="N2648" s="104" t="n"/>
      <c r="O2648" s="102" t="n"/>
      <c r="P2648" s="103" t="n"/>
      <c r="Q2648" s="103" t="n"/>
      <c r="R2648" s="104" t="n"/>
      <c r="S2648" s="102" t="n"/>
      <c r="T2648" s="103" t="n"/>
      <c r="U2648" s="103" t="n"/>
      <c r="V2648" s="104" t="n"/>
      <c r="W2648" s="102" t="n"/>
      <c r="X2648" s="104" t="n"/>
      <c r="Y2648" s="102" t="n"/>
      <c r="Z2648" s="104" t="n"/>
      <c r="AB2648" s="105">
        <f>IF($B2648="","",(COUNTIF(C2608:E2625,$B2648)+COUNTIF(C2608:E2625,$B2648&amp;" ~*")&gt;0)+(COUNTIF(G2608:I2625,$B2648)+COUNTIF(G2608:I2625,$B2648&amp;" ~*")&gt;0)+(COUNTIF(K2608:M2625,$B2648)+COUNTIF(K2608:M2625,$B2648&amp;" ~*")&gt;0)+(COUNTIF(O2608:Q2625,$B2648)+COUNTIF(O2608:Q2625,$B2648&amp;" ~*")&gt;0)+(COUNTIF(S2608:U2625,$B2648)+COUNTIF(S2608:U2625,$B2648&amp;" ~*")&gt;0)+(COUNTIF(W2608:W2625,$B2648)+COUNTIF(W2608:W2625,$B2648&amp;" ~*")&gt;0)+(COUNTIF(Y2608:Y2625,$B2648)+COUNTIF(Y2608:Y2625,$B2648&amp;" ~*")&gt;0))</f>
        <v/>
      </c>
      <c r="AC2648" s="38">
        <f>IF($B2648="","",(IFERROR(INDEX(Setup!$G$33:$G$40,MATCH(C2648,Setup!$B$33:$B$40,0)),0)=1)*(COUNTIF(C2608:E2625,$B2648)+COUNTIF(C2608:E2625,$B2648&amp;" ~*")&gt;0)+(IFERROR(INDEX(Setup!$G$33:$G$40,MATCH(G2648,Setup!$B$33:$B$40,0)),0)=1)*(COUNTIF(G2608:I2625,$B2648)+COUNTIF(G2608:I2625,$B2648&amp;" ~*")&gt;0)+(IFERROR(INDEX(Setup!$G$33:$G$40,MATCH(K2648,Setup!$B$33:$B$40,0)),0)=1)*(COUNTIF(K2608:M2625,$B2648)+COUNTIF(K2608:M2625,$B2648&amp;" ~*")&gt;0)+(IFERROR(INDEX(Setup!$G$33:$G$40,MATCH(O2648,Setup!$B$33:$B$40,0)),0)=1)*(COUNTIF(O2608:Q2625,$B2648)+COUNTIF(O2608:Q2625,$B2648&amp;" ~*")&gt;0)+(IFERROR(INDEX(Setup!$G$33:$G$40,MATCH(S2648,Setup!$B$33:$B$40,0)),0)=1)*(COUNTIF(S2608:U2625,$B2648)+COUNTIF(S2608:U2625,$B2648&amp;" ~*")&gt;0)+(IFERROR(INDEX(Setup!$G$33:$G$40,MATCH(W2648,Setup!$B$33:$B$40,0)),0)=1)*(COUNTIF(W2608:W2625,$B2648)+COUNTIF(W2608:W2625,$B2648&amp;" ~*")&gt;0)+(IFERROR(INDEX(Setup!$G$33:$G$40,MATCH(Y2648,Setup!$B$33:$B$40,0)),0)=1)*(COUNTIF(Y2608:Y2625,$B2648)+COUNTIF(Y2608:Y2625,$B2648&amp;" ~*")&gt;0))</f>
        <v/>
      </c>
    </row>
    <row r="2649" ht="15" customHeight="1">
      <c r="A2649" t="n">
        <v>53</v>
      </c>
      <c r="B2649" s="35">
        <f>IF(Setup!$B$28="","",Setup!$B$28)</f>
        <v/>
      </c>
      <c r="C2649" s="98" t="n"/>
      <c r="D2649" s="99" t="n"/>
      <c r="E2649" s="99" t="n"/>
      <c r="F2649" s="100" t="n"/>
      <c r="G2649" s="98" t="n"/>
      <c r="H2649" s="99" t="n"/>
      <c r="I2649" s="99" t="n"/>
      <c r="J2649" s="100" t="n"/>
      <c r="K2649" s="98" t="n"/>
      <c r="L2649" s="99" t="n"/>
      <c r="M2649" s="99" t="n"/>
      <c r="N2649" s="100" t="n"/>
      <c r="O2649" s="98" t="n"/>
      <c r="P2649" s="99" t="n"/>
      <c r="Q2649" s="99" t="n"/>
      <c r="R2649" s="100" t="n"/>
      <c r="S2649" s="98" t="n"/>
      <c r="T2649" s="99" t="n"/>
      <c r="U2649" s="99" t="n"/>
      <c r="V2649" s="100" t="n"/>
      <c r="W2649" s="98" t="n"/>
      <c r="X2649" s="100" t="n"/>
      <c r="Y2649" s="98" t="n"/>
      <c r="Z2649" s="100" t="n"/>
      <c r="AB2649" s="101">
        <f>IF($B2649="","",(COUNTIF(C2608:E2625,$B2649)+COUNTIF(C2608:E2625,$B2649&amp;" ~*")&gt;0)+(COUNTIF(G2608:I2625,$B2649)+COUNTIF(G2608:I2625,$B2649&amp;" ~*")&gt;0)+(COUNTIF(K2608:M2625,$B2649)+COUNTIF(K2608:M2625,$B2649&amp;" ~*")&gt;0)+(COUNTIF(O2608:Q2625,$B2649)+COUNTIF(O2608:Q2625,$B2649&amp;" ~*")&gt;0)+(COUNTIF(S2608:U2625,$B2649)+COUNTIF(S2608:U2625,$B2649&amp;" ~*")&gt;0)+(COUNTIF(W2608:W2625,$B2649)+COUNTIF(W2608:W2625,$B2649&amp;" ~*")&gt;0)+(COUNTIF(Y2608:Y2625,$B2649)+COUNTIF(Y2608:Y2625,$B2649&amp;" ~*")&gt;0))</f>
        <v/>
      </c>
      <c r="AC2649" s="36">
        <f>IF($B2649="","",(IFERROR(INDEX(Setup!$G$33:$G$40,MATCH(C2649,Setup!$B$33:$B$40,0)),0)=1)*(COUNTIF(C2608:E2625,$B2649)+COUNTIF(C2608:E2625,$B2649&amp;" ~*")&gt;0)+(IFERROR(INDEX(Setup!$G$33:$G$40,MATCH(G2649,Setup!$B$33:$B$40,0)),0)=1)*(COUNTIF(G2608:I2625,$B2649)+COUNTIF(G2608:I2625,$B2649&amp;" ~*")&gt;0)+(IFERROR(INDEX(Setup!$G$33:$G$40,MATCH(K2649,Setup!$B$33:$B$40,0)),0)=1)*(COUNTIF(K2608:M2625,$B2649)+COUNTIF(K2608:M2625,$B2649&amp;" ~*")&gt;0)+(IFERROR(INDEX(Setup!$G$33:$G$40,MATCH(O2649,Setup!$B$33:$B$40,0)),0)=1)*(COUNTIF(O2608:Q2625,$B2649)+COUNTIF(O2608:Q2625,$B2649&amp;" ~*")&gt;0)+(IFERROR(INDEX(Setup!$G$33:$G$40,MATCH(S2649,Setup!$B$33:$B$40,0)),0)=1)*(COUNTIF(S2608:U2625,$B2649)+COUNTIF(S2608:U2625,$B2649&amp;" ~*")&gt;0)+(IFERROR(INDEX(Setup!$G$33:$G$40,MATCH(W2649,Setup!$B$33:$B$40,0)),0)=1)*(COUNTIF(W2608:W2625,$B2649)+COUNTIF(W2608:W2625,$B2649&amp;" ~*")&gt;0)+(IFERROR(INDEX(Setup!$G$33:$G$40,MATCH(Y2649,Setup!$B$33:$B$40,0)),0)=1)*(COUNTIF(Y2608:Y2625,$B2649)+COUNTIF(Y2608:Y2625,$B2649&amp;" ~*")&gt;0))</f>
        <v/>
      </c>
    </row>
    <row r="2650" ht="15" customHeight="1">
      <c r="A2650" t="n">
        <v>53</v>
      </c>
      <c r="B2650" s="37">
        <f>IF(Setup!$B$29="","",Setup!$B$29)</f>
        <v/>
      </c>
      <c r="C2650" s="102" t="n"/>
      <c r="D2650" s="103" t="n"/>
      <c r="E2650" s="103" t="n"/>
      <c r="F2650" s="104" t="n"/>
      <c r="G2650" s="102" t="n"/>
      <c r="H2650" s="103" t="n"/>
      <c r="I2650" s="103" t="n"/>
      <c r="J2650" s="104" t="n"/>
      <c r="K2650" s="102" t="n"/>
      <c r="L2650" s="103" t="n"/>
      <c r="M2650" s="103" t="n"/>
      <c r="N2650" s="104" t="n"/>
      <c r="O2650" s="102" t="n"/>
      <c r="P2650" s="103" t="n"/>
      <c r="Q2650" s="103" t="n"/>
      <c r="R2650" s="104" t="n"/>
      <c r="S2650" s="102" t="n"/>
      <c r="T2650" s="103" t="n"/>
      <c r="U2650" s="103" t="n"/>
      <c r="V2650" s="104" t="n"/>
      <c r="W2650" s="102" t="n"/>
      <c r="X2650" s="104" t="n"/>
      <c r="Y2650" s="102" t="n"/>
      <c r="Z2650" s="104" t="n"/>
      <c r="AB2650" s="105">
        <f>IF($B2650="","",(COUNTIF(C2608:E2625,$B2650)+COUNTIF(C2608:E2625,$B2650&amp;" ~*")&gt;0)+(COUNTIF(G2608:I2625,$B2650)+COUNTIF(G2608:I2625,$B2650&amp;" ~*")&gt;0)+(COUNTIF(K2608:M2625,$B2650)+COUNTIF(K2608:M2625,$B2650&amp;" ~*")&gt;0)+(COUNTIF(O2608:Q2625,$B2650)+COUNTIF(O2608:Q2625,$B2650&amp;" ~*")&gt;0)+(COUNTIF(S2608:U2625,$B2650)+COUNTIF(S2608:U2625,$B2650&amp;" ~*")&gt;0)+(COUNTIF(W2608:W2625,$B2650)+COUNTIF(W2608:W2625,$B2650&amp;" ~*")&gt;0)+(COUNTIF(Y2608:Y2625,$B2650)+COUNTIF(Y2608:Y2625,$B2650&amp;" ~*")&gt;0))</f>
        <v/>
      </c>
      <c r="AC2650" s="38">
        <f>IF($B2650="","",(IFERROR(INDEX(Setup!$G$33:$G$40,MATCH(C2650,Setup!$B$33:$B$40,0)),0)=1)*(COUNTIF(C2608:E2625,$B2650)+COUNTIF(C2608:E2625,$B2650&amp;" ~*")&gt;0)+(IFERROR(INDEX(Setup!$G$33:$G$40,MATCH(G2650,Setup!$B$33:$B$40,0)),0)=1)*(COUNTIF(G2608:I2625,$B2650)+COUNTIF(G2608:I2625,$B2650&amp;" ~*")&gt;0)+(IFERROR(INDEX(Setup!$G$33:$G$40,MATCH(K2650,Setup!$B$33:$B$40,0)),0)=1)*(COUNTIF(K2608:M2625,$B2650)+COUNTIF(K2608:M2625,$B2650&amp;" ~*")&gt;0)+(IFERROR(INDEX(Setup!$G$33:$G$40,MATCH(O2650,Setup!$B$33:$B$40,0)),0)=1)*(COUNTIF(O2608:Q2625,$B2650)+COUNTIF(O2608:Q2625,$B2650&amp;" ~*")&gt;0)+(IFERROR(INDEX(Setup!$G$33:$G$40,MATCH(S2650,Setup!$B$33:$B$40,0)),0)=1)*(COUNTIF(S2608:U2625,$B2650)+COUNTIF(S2608:U2625,$B2650&amp;" ~*")&gt;0)+(IFERROR(INDEX(Setup!$G$33:$G$40,MATCH(W2650,Setup!$B$33:$B$40,0)),0)=1)*(COUNTIF(W2608:W2625,$B2650)+COUNTIF(W2608:W2625,$B2650&amp;" ~*")&gt;0)+(IFERROR(INDEX(Setup!$G$33:$G$40,MATCH(Y2650,Setup!$B$33:$B$40,0)),0)=1)*(COUNTIF(Y2608:Y2625,$B2650)+COUNTIF(Y2608:Y2625,$B2650&amp;" ~*")&gt;0))</f>
        <v/>
      </c>
    </row>
    <row r="2651" ht="16" customHeight="1">
      <c r="A2651" t="n">
        <v>53</v>
      </c>
      <c r="B2651" s="106" t="inlineStr">
        <is>
          <t>Available people</t>
        </is>
      </c>
      <c r="C2651" s="107">
        <f>COUNTIFS(Setup!$E$6:$E$29,"Y",Setup!$B$6:$B$29,"?*")-SUMPRODUCT(COUNTIF(C2627:C2650,Setup!$F$33:$F$40))</f>
        <v/>
      </c>
      <c r="D2651" s="107" t="n"/>
      <c r="E2651" s="107" t="n"/>
      <c r="F2651" s="107" t="n"/>
      <c r="G2651" s="107">
        <f>COUNTIFS(Setup!$E$6:$E$29,"Y",Setup!$B$6:$B$29,"?*")-SUMPRODUCT(COUNTIF(G2627:G2650,Setup!$F$33:$F$40))</f>
        <v/>
      </c>
      <c r="H2651" s="107" t="n"/>
      <c r="I2651" s="107" t="n"/>
      <c r="J2651" s="107" t="n"/>
      <c r="K2651" s="107">
        <f>COUNTIFS(Setup!$E$6:$E$29,"Y",Setup!$B$6:$B$29,"?*")-SUMPRODUCT(COUNTIF(K2627:K2650,Setup!$F$33:$F$40))</f>
        <v/>
      </c>
      <c r="L2651" s="107" t="n"/>
      <c r="M2651" s="107" t="n"/>
      <c r="N2651" s="107" t="n"/>
      <c r="O2651" s="107">
        <f>COUNTIFS(Setup!$E$6:$E$29,"Y",Setup!$B$6:$B$29,"?*")-SUMPRODUCT(COUNTIF(O2627:O2650,Setup!$F$33:$F$40))</f>
        <v/>
      </c>
      <c r="P2651" s="107" t="n"/>
      <c r="Q2651" s="107" t="n"/>
      <c r="R2651" s="107" t="n"/>
      <c r="S2651" s="107">
        <f>COUNTIFS(Setup!$E$6:$E$29,"Y",Setup!$B$6:$B$29,"?*")-SUMPRODUCT(COUNTIF(S2627:S2650,Setup!$F$33:$F$40))</f>
        <v/>
      </c>
      <c r="T2651" s="107" t="n"/>
      <c r="U2651" s="107" t="n"/>
      <c r="V2651" s="107" t="n"/>
      <c r="W2651" s="107">
        <f>COUNTIFS(Setup!$E$6:$E$29,"Y",Setup!$B$6:$B$29,"?*")-SUMPRODUCT(COUNTIF(W2627:W2650,Setup!$F$33:$F$40))</f>
        <v/>
      </c>
      <c r="X2651" s="107" t="n"/>
      <c r="Y2651" s="107">
        <f>COUNTIFS(Setup!$E$6:$E$29,"Y",Setup!$B$6:$B$29,"?*")-SUMPRODUCT(COUNTIF(Y2627:Y2650,Setup!$F$33:$F$40))</f>
        <v/>
      </c>
      <c r="Z2651" s="107" t="n"/>
      <c r="AB2651" s="108">
        <f>SUM(AB2627:AB2650)</f>
        <v/>
      </c>
      <c r="AC2651" s="109">
        <f>SUM(AC2627:AC2650)</f>
        <v/>
      </c>
    </row>
    <row r="2652" ht="30" customHeight="1">
      <c r="A2652" t="n">
        <v>53</v>
      </c>
      <c r="B2652" s="110" t="inlineStr">
        <is>
          <t>Week notes</t>
        </is>
      </c>
      <c r="C2652" s="111" t="n"/>
      <c r="D2652" s="112" t="n"/>
      <c r="E2652" s="112" t="n"/>
      <c r="F2652" s="112" t="n"/>
      <c r="G2652" s="112" t="n"/>
      <c r="H2652" s="112" t="n"/>
      <c r="I2652" s="112" t="n"/>
      <c r="J2652" s="112" t="n"/>
      <c r="K2652" s="112" t="n"/>
      <c r="L2652" s="112" t="n"/>
      <c r="M2652" s="112" t="n"/>
      <c r="N2652" s="112" t="n"/>
      <c r="O2652" s="112" t="n"/>
      <c r="P2652" s="112" t="n"/>
      <c r="Q2652" s="112" t="n"/>
      <c r="R2652" s="112" t="n"/>
      <c r="S2652" s="112" t="n"/>
      <c r="T2652" s="112" t="n"/>
      <c r="U2652" s="112" t="n"/>
      <c r="V2652" s="112" t="n"/>
      <c r="W2652" s="112" t="n"/>
      <c r="X2652" s="112" t="n"/>
      <c r="Y2652" s="112" t="n"/>
      <c r="Z2652" s="113" t="n"/>
    </row>
    <row r="2653" ht="8" customHeight="1">
      <c r="A2653" t="n">
        <v>53</v>
      </c>
    </row>
    <row r="2654" ht="8" customHeight="1">
      <c r="A2654" t="n">
        <v>53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7">
    <mergeCell ref="B2155:R2155"/>
    <mergeCell ref="B1955:R1955"/>
    <mergeCell ref="B905:R905"/>
    <mergeCell ref="S505:V505"/>
    <mergeCell ref="C2552:Z2552"/>
    <mergeCell ref="S605:V605"/>
    <mergeCell ref="B355:R355"/>
    <mergeCell ref="B2505:R2505"/>
    <mergeCell ref="C152:Z152"/>
    <mergeCell ref="W1605:Z1605"/>
    <mergeCell ref="S855:V855"/>
    <mergeCell ref="W1055:Z1055"/>
    <mergeCell ref="C2352:Z2352"/>
    <mergeCell ref="S1455:V1455"/>
    <mergeCell ref="B1205:R1205"/>
    <mergeCell ref="S2155:V2155"/>
    <mergeCell ref="S1955:V1955"/>
    <mergeCell ref="B655:R655"/>
    <mergeCell ref="W1655:Z1655"/>
    <mergeCell ref="S905:V905"/>
    <mergeCell ref="S255:V255"/>
    <mergeCell ref="B105:R105"/>
    <mergeCell ref="S1155:V1155"/>
    <mergeCell ref="W1:X1"/>
    <mergeCell ref="S305:V305"/>
    <mergeCell ref="W805:Z805"/>
    <mergeCell ref="W1955:Z1955"/>
    <mergeCell ref="C2102:Z2102"/>
    <mergeCell ref="S2255:V2255"/>
    <mergeCell ref="S1205:V1205"/>
    <mergeCell ref="S655:V655"/>
    <mergeCell ref="B405:R405"/>
    <mergeCell ref="C2602:Z2602"/>
    <mergeCell ref="S2305:V2305"/>
    <mergeCell ref="B1905:R1905"/>
    <mergeCell ref="W2255:Z2255"/>
    <mergeCell ref="B2405:R2405"/>
    <mergeCell ref="S2005:V2005"/>
    <mergeCell ref="C1:F1"/>
    <mergeCell ref="C1852:Z1852"/>
    <mergeCell ref="W955:Z955"/>
    <mergeCell ref="S2605:V2605"/>
    <mergeCell ref="S405:V405"/>
    <mergeCell ref="S2055:V2055"/>
    <mergeCell ref="C1802:Z1802"/>
    <mergeCell ref="B1655:R1655"/>
    <mergeCell ref="W2555:Z2555"/>
    <mergeCell ref="W1405:Z1405"/>
    <mergeCell ref="B1105:R1105"/>
    <mergeCell ref="W1905:Z1905"/>
    <mergeCell ref="C2052:Z2052"/>
    <mergeCell ref="S1305:V1305"/>
    <mergeCell ref="S2355:V2355"/>
    <mergeCell ref="B5:R5"/>
    <mergeCell ref="W705:Z705"/>
    <mergeCell ref="W155:Z155"/>
    <mergeCell ref="W1705:Z1705"/>
    <mergeCell ref="B1405:R1405"/>
    <mergeCell ref="C2502:Z2502"/>
    <mergeCell ref="C302:Z302"/>
    <mergeCell ref="B1355:R1355"/>
    <mergeCell ref="S2405:V2405"/>
    <mergeCell ref="S1605:V1605"/>
    <mergeCell ref="B1455:R1455"/>
    <mergeCell ref="S5:V5"/>
    <mergeCell ref="W455:Z455"/>
    <mergeCell ref="B1705:R1705"/>
    <mergeCell ref="S2105:V2105"/>
    <mergeCell ref="B1155:R1155"/>
    <mergeCell ref="W505:Z505"/>
    <mergeCell ref="W2455:Z2455"/>
    <mergeCell ref="B1755:R1755"/>
    <mergeCell ref="B2255:R2255"/>
    <mergeCell ref="O1:V1"/>
    <mergeCell ref="W205:Z205"/>
    <mergeCell ref="C52:Z52"/>
    <mergeCell ref="B505:R505"/>
    <mergeCell ref="W605:Z605"/>
    <mergeCell ref="B2555:R2555"/>
    <mergeCell ref="W255:Z255"/>
    <mergeCell ref="S1755:V1755"/>
    <mergeCell ref="C1452:Z1452"/>
    <mergeCell ref="S1555:V1555"/>
    <mergeCell ref="C802:Z802"/>
    <mergeCell ref="B2005:R2005"/>
    <mergeCell ref="W2205:Z2205"/>
    <mergeCell ref="C2452:Z2452"/>
    <mergeCell ref="W55:Z55"/>
    <mergeCell ref="C352:Z352"/>
    <mergeCell ref="B805:R805"/>
    <mergeCell ref="W355:Z355"/>
    <mergeCell ref="B255:R255"/>
    <mergeCell ref="C1752:Z1752"/>
    <mergeCell ref="S1855:V1855"/>
    <mergeCell ref="S2555:V2555"/>
    <mergeCell ref="C1202:Z1202"/>
    <mergeCell ref="B1055:R1055"/>
    <mergeCell ref="W1505:Z1505"/>
    <mergeCell ref="C652:Z652"/>
    <mergeCell ref="C2202:Z2202"/>
    <mergeCell ref="B2355:R2355"/>
    <mergeCell ref="S1905:V1905"/>
    <mergeCell ref="W105:Z105"/>
    <mergeCell ref="C1502:Z1502"/>
    <mergeCell ref="W1805:Z1805"/>
    <mergeCell ref="C952:Z952"/>
    <mergeCell ref="C752:Z752"/>
    <mergeCell ref="W2305:Z2305"/>
    <mergeCell ref="W1255:Z1255"/>
    <mergeCell ref="S1005:V1005"/>
    <mergeCell ref="S1655:V1655"/>
    <mergeCell ref="W1855:Z1855"/>
    <mergeCell ref="B1555:R1555"/>
    <mergeCell ref="C1252:Z1252"/>
    <mergeCell ref="S1055:V1055"/>
    <mergeCell ref="W2605:Z2605"/>
    <mergeCell ref="S955:V955"/>
    <mergeCell ref="B705:R705"/>
    <mergeCell ref="B155:R155"/>
    <mergeCell ref="W1005:Z1005"/>
    <mergeCell ref="C252:Z252"/>
    <mergeCell ref="W2055:Z2055"/>
    <mergeCell ref="S2455:V2455"/>
    <mergeCell ref="B1855:R1855"/>
    <mergeCell ref="S1405:V1405"/>
    <mergeCell ref="C1102:Z1102"/>
    <mergeCell ref="B1305:R1305"/>
    <mergeCell ref="M3:O3"/>
    <mergeCell ref="S1355:V1355"/>
    <mergeCell ref="S805:V805"/>
    <mergeCell ref="C552:Z552"/>
    <mergeCell ref="S705:V705"/>
    <mergeCell ref="W1105:Z1105"/>
    <mergeCell ref="C2652:Z2652"/>
    <mergeCell ref="S155:V155"/>
    <mergeCell ref="C1402:Z1402"/>
    <mergeCell ref="W755:Z755"/>
    <mergeCell ref="W555:Z555"/>
    <mergeCell ref="S1705:V1705"/>
    <mergeCell ref="S2205:V2205"/>
    <mergeCell ref="B1605:R1605"/>
    <mergeCell ref="W5:Z5"/>
    <mergeCell ref="C852:Z852"/>
    <mergeCell ref="W1355:Z1355"/>
    <mergeCell ref="C2002:Z2002"/>
    <mergeCell ref="S455:V455"/>
    <mergeCell ref="B205:R205"/>
    <mergeCell ref="W855:Z855"/>
    <mergeCell ref="C102:Z102"/>
    <mergeCell ref="S2505:V2505"/>
    <mergeCell ref="W1455:Z1455"/>
    <mergeCell ref="W2155:Z2155"/>
    <mergeCell ref="C602:Z602"/>
    <mergeCell ref="W905:Z905"/>
    <mergeCell ref="C2302:Z2302"/>
    <mergeCell ref="B55:R55"/>
    <mergeCell ref="C402:Z402"/>
    <mergeCell ref="W1155:Z1155"/>
    <mergeCell ref="W2505:Z2505"/>
    <mergeCell ref="S205:V205"/>
    <mergeCell ref="W1755:Z1755"/>
    <mergeCell ref="W305:Z305"/>
    <mergeCell ref="C902:Z902"/>
    <mergeCell ref="W1205:Z1205"/>
    <mergeCell ref="C452:Z452"/>
    <mergeCell ref="C2402:Z2402"/>
    <mergeCell ref="W655:Z655"/>
    <mergeCell ref="B1505:R1505"/>
    <mergeCell ref="S55:V55"/>
    <mergeCell ref="B955:R955"/>
    <mergeCell ref="W2005:Z2005"/>
    <mergeCell ref="C202:Z202"/>
    <mergeCell ref="S355:V355"/>
    <mergeCell ref="C702:Z702"/>
    <mergeCell ref="B1805:R1805"/>
    <mergeCell ref="C2152:Z2152"/>
    <mergeCell ref="W405:Z405"/>
    <mergeCell ref="B2305:R2305"/>
    <mergeCell ref="C1602:Z1602"/>
    <mergeCell ref="S1505:V1505"/>
    <mergeCell ref="B1255:R1255"/>
    <mergeCell ref="C1052:Z1052"/>
    <mergeCell ref="C1552:Z1552"/>
    <mergeCell ref="C502:Z502"/>
    <mergeCell ref="C1652:Z1652"/>
    <mergeCell ref="W2405:Z2405"/>
    <mergeCell ref="C1002:Z1002"/>
    <mergeCell ref="S105:V105"/>
    <mergeCell ref="B2605:R2605"/>
    <mergeCell ref="C1902:Z1902"/>
    <mergeCell ref="W2355:Z2355"/>
    <mergeCell ref="S1805:V1805"/>
    <mergeCell ref="B2055:R2055"/>
    <mergeCell ref="B1005:R1005"/>
    <mergeCell ref="C1352:Z1352"/>
    <mergeCell ref="S1255:V1255"/>
    <mergeCell ref="B455:R455"/>
    <mergeCell ref="C1952:Z1952"/>
    <mergeCell ref="C1302:Z1302"/>
    <mergeCell ref="W2105:Z2105"/>
    <mergeCell ref="B2455:R2455"/>
    <mergeCell ref="W1555:Z1555"/>
    <mergeCell ref="B755:R755"/>
    <mergeCell ref="B555:R555"/>
    <mergeCell ref="C2252:Z2252"/>
    <mergeCell ref="C1702:Z1702"/>
    <mergeCell ref="C1152:Z1152"/>
    <mergeCell ref="G1:N1"/>
    <mergeCell ref="B605:R605"/>
    <mergeCell ref="B2105:R2105"/>
    <mergeCell ref="B2205:R2205"/>
    <mergeCell ref="S1105:V1105"/>
    <mergeCell ref="B855:R855"/>
    <mergeCell ref="W1305:Z1305"/>
    <mergeCell ref="S755:V755"/>
    <mergeCell ref="S555:V555"/>
    <mergeCell ref="B305:R305"/>
  </mergeCells>
  <conditionalFormatting sqref="B8:AC25 B58:AC75 B108:AC125 B158:AC175 B208:AC225 B258:AC275 B308:AC325 B358:AC375 B408:AC425 B458:AC475 B508:AC525 B558:AC575 B608:AC625 B658:AC675 B708:AC725 B758:AC775 B808:AC825 B858:AC875 B908:AC925 B958:AC975 B1008:AC1025 B1058:AC1075 B1108:AC1125 B1158:AC1175 B1208:AC1225 B1258:AC1275 B1308:AC1325 B1358:AC1375 B1408:AC1425 B1458:AC1475 B1508:AC1525 B1558:AC1575 B1608:AC1625 B1658:AC1675 B1708:AC1725 B1758:AC1775 B1808:AC1825 B1858:AC1875 B1908:AC1925 B1958:AC1975 B2008:AC2025 B2058:AC2075 B2108:AC2125 B2158:AC2175 B2208:AC2225 B2258:AC2275 B2308:AC2325 B2358:AC2375 B2408:AC2425 B2458:AC2475 B2508:AC2525 B2558:AC2575 B2608:AC2625">
    <cfRule type="expression" priority="1" dxfId="2" stopIfTrue="1">
      <formula>$B8=""</formula>
    </cfRule>
  </conditionalFormatting>
  <conditionalFormatting sqref="B27:AC50 B77:AC100 B127:AC150 B177:AC200 B227:AC250 B277:AC300 B327:AC350 B377:AC400 B427:AC450 B477:AC500 B527:AC550 B577:AC600 B627:AC650 B677:AC700 B727:AC750 B777:AC800 B827:AC850 B877:AC900 B927:AC950 B977:AC1000 B1027:AC1050 B1077:AC1100 B1127:AC1150 B1177:AC1200 B1227:AC1250 B1277:AC1300 B1327:AC1350 B1377:AC1400 B1427:AC1450 B1477:AC1500 B1527:AC1550 B1577:AC1600 B1627:AC1650 B1677:AC1700 B1727:AC1750 B1777:AC1800 B1827:AC1850 B1877:AC1900 B1927:AC1950 B1977:AC2000 B2027:AC2050 B2077:AC2100 B2127:AC2150 B2177:AC2200 B2227:AC2250 B2277:AC2300 B2327:AC2350 B2377:AC2400 B2427:AC2450 B2477:AC2500 B2527:AC2550 B2577:AC2600 B2627:AC2650">
    <cfRule type="expression" priority="2" dxfId="2" stopIfTrue="1">
      <formula>$B27=""</formula>
    </cfRule>
  </conditionalFormatting>
  <conditionalFormatting sqref="C8:Z25 C58:Z75 C108:Z125 C158:Z175 C208:Z225 C258:Z275 C308:Z325 C358:Z375 C408:Z425 C458:Z475 C508:Z525 C558:Z575 C608:Z625 C658:Z675 C708:Z725 C758:Z775 C808:Z825 C858:Z875 C908:Z925 C958:Z975 C1008:Z1025 C1058:Z1075 C1108:Z1125 C1158:Z1175 C1208:Z1225 C1258:Z1275 C1308:Z1325 C1358:Z1375 C1408:Z1425 C1458:Z1475 C1508:Z1525 C1558:Z1575 C1608:Z1625 C1658:Z1675 C1708:Z1725 C1758:Z1775 C1808:Z1825 C1858:Z1875 C1908:Z1925 C1958:Z1975 C2008:Z2025 C2058:Z2075 C2108:Z2125 C2158:Z2175 C2208:Z2225 C2258:Z2275 C2308:Z2325 C2358:Z2375 C2408:Z2425 C2458:Z2475 C2508:Z2525 C2558:Z2575 C2608:Z2625">
    <cfRule type="expression" priority="3" dxfId="3" stopIfTrue="1">
      <formula>AND(C8&lt;&gt;"",INDEX(Engine!$A$5:$AC$5,COLUMN())=1,$B8&lt;&gt;"",IFERROR(INDEX(Setup!$O$6:$AL$23,MATCH($B8,Setup!$K$6:$K$23,0),MATCH(SUBSTITUTE(C8," *",""),Setup!$B$6:$B$29,0)),"")="")</formula>
    </cfRule>
    <cfRule type="expression" priority="4" dxfId="3" stopIfTrue="1">
      <formula>AND(C8&lt;&gt;"",INDEX(Engine!$A$5:$AC$5,COLUMN())=1,IFERROR(INDEX(Setup!$G$33:$G$40,MATCH(IFERROR(INDEX($A:$Z,(5+50*QUOTIENT(ROW()-5,50))+21+MATCH(SUBSTITUTE(C8," *",""),INDEX($B:$B,(5+50*QUOTIENT(ROW()-5,50))+22):INDEX($B:$B,(5+50*QUOTIENT(ROW()-5,50))+45),0),INDEX(Engine!$A$4:$AC$4,COLUMN())),""),Setup!$B$33:$B$40,0)),0)=1)</formula>
    </cfRule>
    <cfRule type="expression" priority="5" dxfId="5" stopIfTrue="1">
      <formula>AND(INDEX(Engine!$A$5:$AC$5,COLUMN())=1,INDEX(Engine!$A$3:$AC$3,COLUMN())&gt;=6,$B8&lt;&gt;"",INDEX(Setup!$M$6:$M$23,MATCH($B8,Setup!$K$6:$K$23,0))&lt;&gt;"Y")</formula>
    </cfRule>
    <cfRule type="expression" priority="6" dxfId="18">
      <formula>AND(C8="",INDEX(Engine!$A$5:$AC$5,COLUMN())=1,$B8&lt;&gt;"",COUNTIF(INDEX($A:$Z,ROW(),INDEX(Engine!$A$4:$AC$4,COLUMN())):INDEX($A:$Z,ROW(),INDEX(Engine!$A$4:$AC$4,COLUMN())+INDEX(Engine!$A$6:$AC$6,COLUMN())-1),"?*")&lt;IF(INDEX(Engine!$A$3:$AC$3,COLUMN())&lt;=5,N(INDEX(Setup!$L$6:$L$23,MATCH($B8,Setup!$K$6:$K$23,0))),--(INDEX(Setup!$M$6:$M$23,MATCH($B8,Setup!$K$6:$K$23,0))="Y")))</formula>
    </cfRule>
    <cfRule type="expression" priority="7" dxfId="9">
      <formula>AND(INDEX(Engine!$A$5:$AC$5,COLUMN())=1,ISNUMBER(SEARCH("~*",C8)))</formula>
    </cfRule>
    <cfRule type="expression" priority="8" dxfId="10">
      <formula>AND(C8&lt;&gt;"",INDEX(Engine!$A$5:$AC$5,COLUMN())=1,Setup!$B$33&lt;&gt;"",IFERROR(INDEX($A:$Z,(5+50*QUOTIENT(ROW()-5,50))+21+MATCH(SUBSTITUTE(C8," *",""),INDEX($B:$B,(5+50*QUOTIENT(ROW()-5,50))+22):INDEX($B:$B,(5+50*QUOTIENT(ROW()-5,50))+45),0),INDEX(Engine!$A$4:$AC$4,COLUMN())),"")=Setup!$B$33)</formula>
    </cfRule>
    <cfRule type="expression" priority="9" dxfId="11">
      <formula>AND(C8&lt;&gt;"",INDEX(Engine!$A$5:$AC$5,COLUMN())=1,Setup!$B$34&lt;&gt;"",IFERROR(INDEX($A:$Z,(5+50*QUOTIENT(ROW()-5,50))+21+MATCH(SUBSTITUTE(C8," *",""),INDEX($B:$B,(5+50*QUOTIENT(ROW()-5,50))+22):INDEX($B:$B,(5+50*QUOTIENT(ROW()-5,50))+45),0),INDEX(Engine!$A$4:$AC$4,COLUMN())),"")=Setup!$B$34)</formula>
    </cfRule>
    <cfRule type="expression" priority="10" dxfId="12">
      <formula>AND(C8&lt;&gt;"",INDEX(Engine!$A$5:$AC$5,COLUMN())=1,Setup!$B$35&lt;&gt;"",IFERROR(INDEX($A:$Z,(5+50*QUOTIENT(ROW()-5,50))+21+MATCH(SUBSTITUTE(C8," *",""),INDEX($B:$B,(5+50*QUOTIENT(ROW()-5,50))+22):INDEX($B:$B,(5+50*QUOTIENT(ROW()-5,50))+45),0),INDEX(Engine!$A$4:$AC$4,COLUMN())),"")=Setup!$B$35)</formula>
    </cfRule>
    <cfRule type="expression" priority="11" dxfId="13">
      <formula>AND(C8&lt;&gt;"",INDEX(Engine!$A$5:$AC$5,COLUMN())=1,Setup!$B$36&lt;&gt;"",IFERROR(INDEX($A:$Z,(5+50*QUOTIENT(ROW()-5,50))+21+MATCH(SUBSTITUTE(C8," *",""),INDEX($B:$B,(5+50*QUOTIENT(ROW()-5,50))+22):INDEX($B:$B,(5+50*QUOTIENT(ROW()-5,50))+45),0),INDEX(Engine!$A$4:$AC$4,COLUMN())),"")=Setup!$B$36)</formula>
    </cfRule>
    <cfRule type="expression" priority="12" dxfId="14">
      <formula>AND(C8&lt;&gt;"",INDEX(Engine!$A$5:$AC$5,COLUMN())=1,Setup!$B$37&lt;&gt;"",IFERROR(INDEX($A:$Z,(5+50*QUOTIENT(ROW()-5,50))+21+MATCH(SUBSTITUTE(C8," *",""),INDEX($B:$B,(5+50*QUOTIENT(ROW()-5,50))+22):INDEX($B:$B,(5+50*QUOTIENT(ROW()-5,50))+45),0),INDEX(Engine!$A$4:$AC$4,COLUMN())),"")=Setup!$B$37)</formula>
    </cfRule>
    <cfRule type="expression" priority="13" dxfId="15">
      <formula>AND(C8&lt;&gt;"",INDEX(Engine!$A$5:$AC$5,COLUMN())=1,Setup!$B$38&lt;&gt;"",IFERROR(INDEX($A:$Z,(5+50*QUOTIENT(ROW()-5,50))+21+MATCH(SUBSTITUTE(C8," *",""),INDEX($B:$B,(5+50*QUOTIENT(ROW()-5,50))+22):INDEX($B:$B,(5+50*QUOTIENT(ROW()-5,50))+45),0),INDEX(Engine!$A$4:$AC$4,COLUMN())),"")=Setup!$B$38)</formula>
    </cfRule>
    <cfRule type="expression" priority="14" dxfId="16">
      <formula>AND(C8&lt;&gt;"",INDEX(Engine!$A$5:$AC$5,COLUMN())=1,Setup!$B$39&lt;&gt;"",IFERROR(INDEX($A:$Z,(5+50*QUOTIENT(ROW()-5,50))+21+MATCH(SUBSTITUTE(C8," *",""),INDEX($B:$B,(5+50*QUOTIENT(ROW()-5,50))+22):INDEX($B:$B,(5+50*QUOTIENT(ROW()-5,50))+45),0),INDEX(Engine!$A$4:$AC$4,COLUMN())),"")=Setup!$B$39)</formula>
    </cfRule>
    <cfRule type="expression" priority="15" dxfId="17">
      <formula>AND(C8&lt;&gt;"",INDEX(Engine!$A$5:$AC$5,COLUMN())=1,Setup!$B$40&lt;&gt;"",IFERROR(INDEX($A:$Z,(5+50*QUOTIENT(ROW()-5,50))+21+MATCH(SUBSTITUTE(C8," *",""),INDEX($B:$B,(5+50*QUOTIENT(ROW()-5,50))+22):INDEX($B:$B,(5+50*QUOTIENT(ROW()-5,50))+45),0),INDEX(Engine!$A$4:$AC$4,COLUMN())),"")=Setup!$B$40)</formula>
    </cfRule>
  </conditionalFormatting>
  <conditionalFormatting sqref="C6:Z51 C56:Z101 C106:Z151 C156:Z201 C206:Z251 C256:Z301 C306:Z351 C356:Z401 C406:Z451 C456:Z501 C506:Z551 C556:Z601 C606:Z651 C656:Z701 C706:Z751 C756:Z801 C806:Z851 C856:Z901 C906:Z951 C956:Z1001 C1006:Z1051 C1056:Z1101 C1106:Z1151 C1156:Z1201 C1206:Z1251 C1256:Z1301 C1306:Z1351 C1356:Z1401 C1406:Z1451 C1456:Z1501 C1506:Z1551 C1556:Z1601 C1606:Z1651 C1656:Z1701 C1706:Z1751 C1756:Z1801 C1806:Z1851 C1856:Z1901 C1906:Z1951 C1956:Z2001 C2006:Z2051 C2056:Z2101 C2106:Z2151 C2156:Z2201 C2206:Z2251 C2256:Z2301 C2306:Z2351 C2356:Z2401 C2406:Z2451 C2456:Z2501 C2506:Z2551 C2556:Z2601 C2606:Z2651">
    <cfRule type="expression" priority="16" dxfId="6">
      <formula>AND(INDEX(Engine!$A$4:$AC$4,COLUMN())&gt;0,INDEX($A:$Z,(5+50*QUOTIENT(ROW()-5,50))+1,INDEX(Engine!$A$4:$AC$4,COLUMN()))=TODAY())</formula>
    </cfRule>
  </conditionalFormatting>
  <conditionalFormatting sqref="C27:Z50 C77:Z100 C127:Z150 C177:Z200 C227:Z250 C277:Z300 C327:Z350 C377:Z400 C427:Z450 C477:Z500 C527:Z550 C577:Z600 C627:Z650 C677:Z700 C727:Z750 C777:Z800 C827:Z850 C877:Z900 C927:Z950 C977:Z1000 C1027:Z1050 C1077:Z1100 C1127:Z1150 C1177:Z1200 C1227:Z1250 C1277:Z1300 C1327:Z1350 C1377:Z1400 C1427:Z1450 C1477:Z1500 C1527:Z1550 C1577:Z1600 C1627:Z1650 C1677:Z1700 C1727:Z1750 C1777:Z1800 C1827:Z1850 C1877:Z1900 C1927:Z1950 C1977:Z2000 C2027:Z2050 C2077:Z2100 C2127:Z2150 C2177:Z2200 C2227:Z2250 C2277:Z2300 C2327:Z2350 C2377:Z2400 C2427:Z2450 C2477:Z2500 C2527:Z2550 C2577:Z2600 C2627:Z2650">
    <cfRule type="expression" priority="17" dxfId="3" stopIfTrue="1">
      <formula>AND(IFERROR(INDEX(Setup!$G$33:$G$40,MATCH(INDEX($A:$Z,ROW(),INDEX(Engine!$A$4:$AC$4,COLUMN())),Setup!$B$33:$B$40,0)),0)=1,COUNTIF(INDEX($A:$Z,(5+50*QUOTIENT(ROW()-5,50))+3,INDEX(Engine!$A$4:$AC$4,COLUMN())):INDEX($A:$Z,(5+50*QUOTIENT(ROW()-5,50))+20,INDEX(Engine!$A$4:$AC$4,COLUMN())+INDEX(Engine!$A$6:$AC$6,COLUMN())-1),$B27)+COUNTIF(INDEX($A:$Z,(5+50*QUOTIENT(ROW()-5,50))+3,INDEX(Engine!$A$4:$AC$4,COLUMN())):INDEX($A:$Z,(5+50*QUOTIENT(ROW()-5,50))+20,INDEX(Engine!$A$4:$AC$4,COLUMN())+INDEX(Engine!$A$6:$AC$6,COLUMN())-1),$B27&amp;" ~*")&gt;0)</formula>
    </cfRule>
    <cfRule type="expression" priority="18" dxfId="10">
      <formula>AND(Setup!$B$33&lt;&gt;"",INDEX($A:$Z,ROW(),INDEX(Engine!$A$4:$AC$4,COLUMN()))=Setup!$B$33)</formula>
    </cfRule>
    <cfRule type="expression" priority="19" dxfId="11">
      <formula>AND(Setup!$B$34&lt;&gt;"",INDEX($A:$Z,ROW(),INDEX(Engine!$A$4:$AC$4,COLUMN()))=Setup!$B$34)</formula>
    </cfRule>
    <cfRule type="expression" priority="20" dxfId="12">
      <formula>AND(Setup!$B$35&lt;&gt;"",INDEX($A:$Z,ROW(),INDEX(Engine!$A$4:$AC$4,COLUMN()))=Setup!$B$35)</formula>
    </cfRule>
    <cfRule type="expression" priority="21" dxfId="13">
      <formula>AND(Setup!$B$36&lt;&gt;"",INDEX($A:$Z,ROW(),INDEX(Engine!$A$4:$AC$4,COLUMN()))=Setup!$B$36)</formula>
    </cfRule>
    <cfRule type="expression" priority="22" dxfId="14">
      <formula>AND(Setup!$B$37&lt;&gt;"",INDEX($A:$Z,ROW(),INDEX(Engine!$A$4:$AC$4,COLUMN()))=Setup!$B$37)</formula>
    </cfRule>
    <cfRule type="expression" priority="23" dxfId="15">
      <formula>AND(Setup!$B$38&lt;&gt;"",INDEX($A:$Z,ROW(),INDEX(Engine!$A$4:$AC$4,COLUMN()))=Setup!$B$38)</formula>
    </cfRule>
    <cfRule type="expression" priority="24" dxfId="16">
      <formula>AND(Setup!$B$39&lt;&gt;"",INDEX($A:$Z,ROW(),INDEX(Engine!$A$4:$AC$4,COLUMN()))=Setup!$B$39)</formula>
    </cfRule>
    <cfRule type="expression" priority="25" dxfId="17">
      <formula>AND(Setup!$B$40&lt;&gt;"",INDEX($A:$Z,ROW(),INDEX(Engine!$A$4:$AC$4,COLUMN()))=Setup!$B$40)</formula>
    </cfRule>
    <cfRule type="expression" priority="26" dxfId="4">
      <formula>AND(INDEX($A:$Z,ROW(),INDEX(Engine!$A$4:$AC$4,COLUMN()))&lt;&gt;"",ISNA(MATCH(INDEX($A:$Z,ROW(),INDEX(Engine!$A$4:$AC$4,COLUMN())),Setup!$B$33:$B$40,0)))</formula>
    </cfRule>
  </conditionalFormatting>
  <conditionalFormatting sqref="B27:B50 B77:B100 B127:B150 B177:B200 B227:B250 B277:B300 B327:B350 B377:B400 B427:B450 B477:B500 B527:B550 B577:B600 B627:B650 B677:B700 B727:B750 B777:B800 B827:B850 B877:B900 B927:B950 B977:B1000 B1027:B1050 B1077:B1100 B1127:B1150 B1177:B1200 B1227:B1250 B1277:B1300 B1327:B1350 B1377:B1400 B1427:B1450 B1477:B1500 B1527:B1550 B1577:B1600 B1627:B1650 B1677:B1700 B1727:B1750 B1777:B1800 B1827:B1850 B1877:B1900 B1927:B1950 B1977:B2000 B2027:B2050 B2077:B2100 B2127:B2150 B2177:B2200 B2227:B2250 B2277:B2300 B2327:B2350 B2377:B2400 B2427:B2450 B2477:B2500 B2527:B2550 B2577:B2600 B2627:B2650">
    <cfRule type="expression" priority="27" dxfId="19">
      <formula>AND($B27&lt;&gt;"",IFERROR(INDEX(Setup!$E$6:$E$29,MATCH($B27,Setup!$B$6:$B$29,0)),"")&lt;&gt;"Y")</formula>
    </cfRule>
  </conditionalFormatting>
  <conditionalFormatting sqref="AB8:AB25 AB58:AB75 AB108:AB125 AB158:AB175 AB208:AB225 AB258:AB275 AB308:AB325 AB358:AB375 AB408:AB425 AB458:AB475 AB508:AB525 AB558:AB575 AB608:AB625 AB658:AB675 AB708:AB725 AB758:AB775 AB808:AB825 AB858:AB875 AB908:AB925 AB958:AB975 AB1008:AB1025 AB1058:AB1075 AB1108:AB1125 AB1158:AB1175 AB1208:AB1225 AB1258:AB1275 AB1308:AB1325 AB1358:AB1375 AB1408:AB1425 AB1458:AB1475 AB1508:AB1525 AB1558:AB1575 AB1608:AB1625 AB1658:AB1675 AB1708:AB1725 AB1758:AB1775 AB1808:AB1825 AB1858:AB1875 AB1908:AB1925 AB1958:AB1975 AB2008:AB2025 AB2058:AB2075 AB2108:AB2125 AB2158:AB2175 AB2208:AB2225 AB2258:AB2275 AB2308:AB2325 AB2358:AB2375 AB2408:AB2425 AB2458:AB2475 AB2508:AB2525 AB2558:AB2575 AB2608:AB2625">
    <cfRule type="expression" priority="28" dxfId="4">
      <formula>AND(ISNUMBER(AB8),AB8&gt;0)</formula>
    </cfRule>
  </conditionalFormatting>
  <conditionalFormatting sqref="AC8:AC25 AC58:AC75 AC108:AC125 AC158:AC175 AC208:AC225 AC258:AC275 AC308:AC325 AC358:AC375 AC408:AC425 AC458:AC475 AC508:AC525 AC558:AC575 AC608:AC625 AC658:AC675 AC708:AC725 AC758:AC775 AC808:AC825 AC858:AC875 AC908:AC925 AC958:AC975 AC1008:AC1025 AC1058:AC1075 AC1108:AC1125 AC1158:AC1175 AC1208:AC1225 AC1258:AC1275 AC1308:AC1325 AC1358:AC1375 AC1408:AC1425 AC1458:AC1475 AC1508:AC1525 AC1558:AC1575 AC1608:AC1625 AC1658:AC1675 AC1708:AC1725 AC1758:AC1775 AC1808:AC1825 AC1858:AC1875 AC1908:AC1925 AC1958:AC1975 AC2008:AC2025 AC2058:AC2075 AC2108:AC2125 AC2158:AC2175 AC2208:AC2225 AC2258:AC2275 AC2308:AC2325 AC2358:AC2375 AC2408:AC2425 AC2458:AC2475 AC2508:AC2525 AC2558:AC2575 AC2608:AC2625">
    <cfRule type="expression" priority="29" dxfId="4">
      <formula>LEFT(AC8,1)="⚠"</formula>
    </cfRule>
  </conditionalFormatting>
  <conditionalFormatting sqref="AC27:AC50 AC77:AC100 AC127:AC150 AC177:AC200 AC227:AC250 AC277:AC300 AC327:AC350 AC377:AC400 AC427:AC450 AC477:AC500 AC527:AC550 AC577:AC600 AC627:AC650 AC677:AC700 AC727:AC750 AC777:AC800 AC827:AC850 AC877:AC900 AC927:AC950 AC977:AC1000 AC1027:AC1050 AC1077:AC1100 AC1127:AC1150 AC1177:AC1200 AC1227:AC1250 AC1277:AC1300 AC1327:AC1350 AC1377:AC1400 AC1427:AC1450 AC1477:AC1500 AC1527:AC1550 AC1577:AC1600 AC1627:AC1650 AC1677:AC1700 AC1727:AC1750 AC1777:AC1800 AC1827:AC1850 AC1877:AC1900 AC1927:AC1950 AC1977:AC2000 AC2027:AC2050 AC2077:AC2100 AC2127:AC2150 AC2177:AC2200 AC2227:AC2250 AC2277:AC2300 AC2327:AC2350 AC2377:AC2400 AC2427:AC2450 AC2477:AC2500 AC2527:AC2550 AC2577:AC2600 AC2627:AC2650">
    <cfRule type="expression" priority="30" dxfId="3">
      <formula>AND(ISNUMBER(AC27),AC27&gt;0)</formula>
    </cfRule>
    <cfRule type="expression" priority="31" dxfId="20">
      <formula>AND(ISNUMBER(AC27),AC27=0)</formula>
    </cfRule>
  </conditionalFormatting>
  <conditionalFormatting sqref="S5:V5 S55:V55 S105:V105 S155:V155 S205:V205 S255:V255 S305:V305 S355:V355 S405:V405 S455:V455 S505:V505 S555:V555 S605:V605 S655:V655 S705:V705 S755:V755 S805:V805 S855:V855 S905:V905 S955:V955 S1005:V1005 S1055:V1055 S1105:V1105 S1155:V1155 S1205:V1205 S1255:V1255 S1305:V1305 S1355:V1355 S1405:V1405 S1455:V1455 S1505:V1505 S1555:V1555 S1605:V1605 S1655:V1655 S1705:V1705 S1755:V1755 S1805:V1805 S1855:V1855 S1905:V1905 S1955:V1955 S2005:V2005 S2055:V2055 S2105:V2105 S2155:V2155 S2205:V2205 S2255:V2255 S2305:V2305 S2355:V2355 S2405:V2405 S2455:V2455 S2505:V2505 S2555:V2555 S2605:V2605">
    <cfRule type="cellIs" priority="32" operator="equal" dxfId="21">
      <formula>"THIS WEEK"</formula>
    </cfRule>
    <cfRule type="cellIs" priority="33" operator="equal" dxfId="22">
      <formula>"PAST"</formula>
    </cfRule>
  </conditionalFormatting>
  <conditionalFormatting sqref="W5:Z5 W55:Z55 W105:Z105 W155:Z155 W205:Z205 W255:Z255 W305:Z305 W355:Z355 W405:Z405 W455:Z455 W505:Z505 W555:Z555 W605:Z605 W655:Z655 W705:Z705 W755:Z755 W805:Z805 W855:Z855 W905:Z905 W955:Z955 W1005:Z1005 W1055:Z1055 W1105:Z1105 W1155:Z1155 W1205:Z1205 W1255:Z1255 W1305:Z1305 W1355:Z1355 W1405:Z1405 W1455:Z1455 W1505:Z1505 W1555:Z1555 W1605:Z1605 W1655:Z1655 W1705:Z1705 W1755:Z1755 W1805:Z1805 W1855:Z1855 W1905:Z1905 W1955:Z1955 W2005:Z2005 W2055:Z2055 W2105:Z2105 W2155:Z2155 W2205:Z2205 W2255:Z2255 W2305:Z2305 W2355:Z2355 W2405:Z2405 W2455:Z2455 W2505:Z2505 W2555:Z2555 W2605:Z2605">
    <cfRule type="expression" priority="34" dxfId="7">
      <formula>W5&lt;&gt;""</formula>
    </cfRule>
  </conditionalFormatting>
  <conditionalFormatting sqref="B5:R5 B55:R55 B105:R105 B155:R155 B205:R205 B255:R255 B305:R305 B355:R355 B405:R405 B455:R455 B505:R505 B555:R555 B605:R605 B655:R655 B705:R705 B755:R755 B805:R805 B855:R855 B905:R905 B955:R955 B1005:R1005 B1055:R1055 B1105:R1105 B1155:R1155 B1205:R1205 B1255:R1255 B1305:R1305 B1355:R1355 B1405:R1405 B1455:R1455 B1505:R1505 B1555:R1555 B1605:R1605 B1655:R1655 B1705:R1705 B1755:R1755 B1805:R1805 B1855:R1855 B1905:R1905 B1955:R1955 B2005:R2005 B2055:R2055 B2105:R2105 B2155:R2155 B2205:R2205 B2255:R2255 B2305:R2305 B2355:R2355 B2405:R2405 B2455:R2455 B2505:R2505 B2555:R2555 B2605:R2605">
    <cfRule type="expression" priority="35" dxfId="23">
      <formula>$W5&lt;&gt;""</formula>
    </cfRule>
  </conditionalFormatting>
  <dataValidations count="3">
    <dataValidation sqref="Y1" showDropDown="0" showInputMessage="0" showErrorMessage="0" allowBlank="0" errorTitle="Week" error="Enter a week number from 1 to 53." type="whole" operator="between">
      <formula1>1</formula1>
      <formula2>53</formula2>
    </dataValidation>
    <dataValidation sqref="C8:E25 C58:E75 C108:E125 C158:E175 C208:E225 C258:E275 C308:E325 C358:E375 C408:E425 C458:E475 C508:E525 C558:E575 C608:E625 C658:E675 C708:E725 C758:E775 C808:E825 C858:E875 C908:E925 C958:E975 C1008:E1025 C1058:E1075 C1108:E1125 C1158:E1175 C1208:E1225 C1258:E1275 C1308:E1325 C1358:E1375 C1408:E1425 C1458:E1475 C1508:E1525 C1558:E1575 C1608:E1625 C1658:E1675 C1708:E1725 C1758:E1775 C1808:E1825 C1858:E1875 C1908:E1925 C1958:E1975 C2008:E2025 C2058:E2075 C2108:E2125 C2158:E2175 C2208:E2225 C2258:E2275 C2308:E2325 C2358:E2375 C2408:E2425 C2458:E2475 C2508:E2525 C2558:E2575 C2608:E2625 G8:I25 G58:I75 G108:I125 G158:I175 G208:I225 G258:I275 G308:I325 G358:I375 G408:I425 G458:I475 G508:I525 G558:I575 G608:I625 G658:I675 G708:I725 G758:I775 G808:I825 G858:I875 G908:I925 G958:I975 G1008:I1025 G1058:I1075 G1108:I1125 G1158:I1175 G1208:I1225 G1258:I1275 G1308:I1325 G1358:I1375 G1408:I1425 G1458:I1475 G1508:I1525 G1558:I1575 G1608:I1625 G1658:I1675 G1708:I1725 G1758:I1775 G1808:I1825 G1858:I1875 G1908:I1925 G1958:I1975 G2008:I2025 G2058:I2075 G2108:I2125 G2158:I2175 G2208:I2225 G2258:I2275 G2308:I2325 G2358:I2375 G2408:I2425 G2458:I2475 G2508:I2525 G2558:I2575 G2608:I2625 K8:M25 K58:M75 K108:M125 K158:M175 K208:M225 K258:M275 K308:M325 K358:M375 K408:M425 K458:M475 K508:M525 K558:M575 K608:M625 K658:M675 K708:M725 K758:M775 K808:M825 K858:M875 K908:M925 K958:M975 K1008:M1025 K1058:M1075 K1108:M1125 K1158:M1175 K1208:M1225 K1258:M1275 K1308:M1325 K1358:M1375 K1408:M1425 K1458:M1475 K1508:M1525 K1558:M1575 K1608:M1625 K1658:M1675 K1708:M1725 K1758:M1775 K1808:M1825 K1858:M1875 K1908:M1925 K1958:M1975 K2008:M2025 K2058:M2075 K2108:M2125 K2158:M2175 K2208:M2225 K2258:M2275 K2308:M2325 K2358:M2375 K2408:M2425 K2458:M2475 K2508:M2525 K2558:M2575 K2608:M2625 O8:Q25 O58:Q75 O108:Q125 O158:Q175 O208:Q225 O258:Q275 O308:Q325 O358:Q375 O408:Q425 O458:Q475 O508:Q525 O558:Q575 O608:Q625 O658:Q675 O708:Q725 O758:Q775 O808:Q825 O858:Q875 O908:Q925 O958:Q975 O1008:Q1025 O1058:Q1075 O1108:Q1125 O1158:Q1175 O1208:Q1225 O1258:Q1275 O1308:Q1325 O1358:Q1375 O1408:Q1425 O1458:Q1475 O1508:Q1525 O1558:Q1575 O1608:Q1625 O1658:Q1675 O1708:Q1725 O1758:Q1775 O1808:Q1825 O1858:Q1875 O1908:Q1925 O1958:Q1975 O2008:Q2025 O2058:Q2075 O2108:Q2125 O2158:Q2175 O2208:Q2225 O2258:Q2275 O2308:Q2325 O2358:Q2375 O2408:Q2425 O2458:Q2475 O2508:Q2525 O2558:Q2575 O2608:Q2625 S8:U25 S58:U75 S108:U125 S158:U175 S208:U225 S258:U275 S308:U325 S358:U375 S408:U425 S458:U475 S508:U525 S558:U575 S608:U625 S658:U675 S708:U725 S758:U775 S808:U825 S858:U875 S908:U925 S958:U975 S1008:U1025 S1058:U1075 S1108:U1125 S1158:U1175 S1208:U1225 S1258:U1275 S1308:U1325 S1358:U1375 S1408:U1425 S1458:U1475 S1508:U1525 S1558:U1575 S1608:U1625 S1658:U1675 S1708:U1725 S1758:U1775 S1808:U1825 S1858:U1875 S1908:U1925 S1958:U1975 S2008:U2025 S2058:U2075 S2108:U2125 S2158:U2175 S2208:U2225 S2258:U2275 S2308:U2325 S2358:U2375 S2408:U2425 S2458:U2475 S2508:U2525 S2558:U2575 S2608:U2625 W8:W25 W58:W75 W108:W125 W158:W175 W208:W225 W258:W275 W308:W325 W358:W375 W408:W425 W458:W475 W508:W525 W558:W575 W608:W625 W658:W675 W708:W725 W758:W775 W808:W825 W858:W875 W908:W925 W958:W975 W1008:W1025 W1058:W1075 W1108:W1125 W1158:W1175 W1208:W1225 W1258:W1275 W1308:W1325 W1358:W1375 W1408:W1425 W1458:W1475 W1508:W1525 W1558:W1575 W1608:W1625 W1658:W1675 W1708:W1725 W1758:W1775 W1808:W1825 W1858:W1875 W1908:W1925 W1958:W1975 W2008:W2025 W2058:W2075 W2108:W2125 W2158:W2175 W2208:W2225 W2258:W2275 W2308:W2325 W2358:W2375 W2408:W2425 W2458:W2475 W2508:W2525 W2558:W2575 W2608:W2625 Y8:Y25 Y58:Y75 Y108:Y125 Y158:Y175 Y208:Y225 Y258:Y275 Y308:Y325 Y358:Y375 Y408:Y425 Y458:Y475 Y508:Y525 Y558:Y575 Y608:Y625 Y658:Y675 Y708:Y725 Y758:Y775 Y808:Y825 Y858:Y875 Y908:Y925 Y958:Y975 Y1008:Y1025 Y1058:Y1075 Y1108:Y1125 Y1158:Y1175 Y1208:Y1225 Y1258:Y1275 Y1308:Y1325 Y1358:Y1375 Y1408:Y1425 Y1458:Y1475 Y1508:Y1525 Y1558:Y1575 Y1608:Y1625 Y1658:Y1675 Y1708:Y1725 Y1758:Y1775 Y1808:Y1825 Y1858:Y1875 Y1908:Y1925 Y1958:Y1975 Y2008:Y2025 Y2058:Y2075 Y2108:Y2125 Y2158:Y2175 Y2208:Y2225 Y2258:Y2275 Y2308:Y2325 Y2358:Y2375 Y2408:Y2425 Y2458:Y2475 Y2508:Y2525 Y2558:Y2575 Y2608:Y2625" showDropDown="0" showInputMessage="0" showErrorMessage="0" allowBlank="1" type="list">
      <formula1>OFFSET(Engine!$O$68,(INDEX(Engine!$A$3:$AC$3,COLUMN())-1)*18+MOD(ROW()-5,50)-3,0,1,MAX(1,INDEX(Engine!$N$68:$N$193,(INDEX(Engine!$A$3:$AC$3,COLUMN())-1)*18+MOD(ROW()-5,50)-2)))</formula1>
    </dataValidation>
    <dataValidation sqref="C27:C50 C77:C100 C127:C150 C177:C200 C227:C250 C277:C300 C327:C350 C377:C400 C427:C450 C477:C500 C527:C550 C577:C600 C627:C650 C677:C700 C727:C750 C777:C800 C827:C850 C877:C900 C927:C950 C977:C1000 C1027:C1050 C1077:C1100 C1127:C1150 C1177:C1200 C1227:C1250 C1277:C1300 C1327:C1350 C1377:C1400 C1427:C1450 C1477:C1500 C1527:C1550 C1577:C1600 C1627:C1650 C1677:C1700 C1727:C1750 C1777:C1800 C1827:C1850 C1877:C1900 C1927:C1950 C1977:C2000 C2027:C2050 C2077:C2100 C2127:C2150 C2177:C2200 C2227:C2250 C2277:C2300 C2327:C2350 C2377:C2400 C2427:C2450 C2477:C2500 C2527:C2550 C2577:C2600 C2627:C2650 G27:G50 G77:G100 G127:G150 G177:G200 G227:G250 G277:G300 G327:G350 G377:G400 G427:G450 G477:G500 G527:G550 G577:G600 G627:G650 G677:G700 G727:G750 G777:G800 G827:G850 G877:G900 G927:G950 G977:G1000 G1027:G1050 G1077:G1100 G1127:G1150 G1177:G1200 G1227:G1250 G1277:G1300 G1327:G1350 G1377:G1400 G1427:G1450 G1477:G1500 G1527:G1550 G1577:G1600 G1627:G1650 G1677:G1700 G1727:G1750 G1777:G1800 G1827:G1850 G1877:G1900 G1927:G1950 G1977:G2000 G2027:G2050 G2077:G2100 G2127:G2150 G2177:G2200 G2227:G2250 G2277:G2300 G2327:G2350 G2377:G2400 G2427:G2450 G2477:G2500 G2527:G2550 G2577:G2600 G2627:G2650 K27:K50 K77:K100 K127:K150 K177:K200 K227:K250 K277:K300 K327:K350 K377:K400 K427:K450 K477:K500 K527:K550 K577:K600 K627:K650 K677:K700 K727:K750 K777:K800 K827:K850 K877:K900 K927:K950 K977:K1000 K1027:K1050 K1077:K1100 K1127:K1150 K1177:K1200 K1227:K1250 K1277:K1300 K1327:K1350 K1377:K1400 K1427:K1450 K1477:K1500 K1527:K1550 K1577:K1600 K1627:K1650 K1677:K1700 K1727:K1750 K1777:K1800 K1827:K1850 K1877:K1900 K1927:K1950 K1977:K2000 K2027:K2050 K2077:K2100 K2127:K2150 K2177:K2200 K2227:K2250 K2277:K2300 K2327:K2350 K2377:K2400 K2427:K2450 K2477:K2500 K2527:K2550 K2577:K2600 K2627:K2650 O27:O50 O77:O100 O127:O150 O177:O200 O227:O250 O277:O300 O327:O350 O377:O400 O427:O450 O477:O500 O527:O550 O577:O600 O627:O650 O677:O700 O727:O750 O777:O800 O827:O850 O877:O900 O927:O950 O977:O1000 O1027:O1050 O1077:O1100 O1127:O1150 O1177:O1200 O1227:O1250 O1277:O1300 O1327:O1350 O1377:O1400 O1427:O1450 O1477:O1500 O1527:O1550 O1577:O1600 O1627:O1650 O1677:O1700 O1727:O1750 O1777:O1800 O1827:O1850 O1877:O1900 O1927:O1950 O1977:O2000 O2027:O2050 O2077:O2100 O2127:O2150 O2177:O2200 O2227:O2250 O2277:O2300 O2327:O2350 O2377:O2400 O2427:O2450 O2477:O2500 O2527:O2550 O2577:O2600 O2627:O2650 S27:S50 S77:S100 S127:S150 S177:S200 S227:S250 S277:S300 S327:S350 S377:S400 S427:S450 S477:S500 S527:S550 S577:S600 S627:S650 S677:S700 S727:S750 S777:S800 S827:S850 S877:S900 S927:S950 S977:S1000 S1027:S1050 S1077:S1100 S1127:S1150 S1177:S1200 S1227:S1250 S1277:S1300 S1327:S1350 S1377:S1400 S1427:S1450 S1477:S1500 S1527:S1550 S1577:S1600 S1627:S1650 S1677:S1700 S1727:S1750 S1777:S1800 S1827:S1850 S1877:S1900 S1927:S1950 S1977:S2000 S2027:S2050 S2077:S2100 S2127:S2150 S2177:S2200 S2227:S2250 S2277:S2300 S2327:S2350 S2377:S2400 S2427:S2450 S2477:S2500 S2527:S2550 S2577:S2600 S2627:S2650 W27:W50 W77:W100 W127:W150 W177:W200 W227:W250 W277:W300 W327:W350 W377:W400 W427:W450 W477:W500 W527:W550 W577:W600 W627:W650 W677:W700 W727:W750 W777:W800 W827:W850 W877:W900 W927:W950 W977:W1000 W1027:W1050 W1077:W1100 W1127:W1150 W1177:W1200 W1227:W1250 W1277:W1300 W1327:W1350 W1377:W1400 W1427:W1450 W1477:W1500 W1527:W1550 W1577:W1600 W1627:W1650 W1677:W1700 W1727:W1750 W1777:W1800 W1827:W1850 W1877:W1900 W1927:W1950 W1977:W2000 W2027:W2050 W2077:W2100 W2127:W2150 W2177:W2200 W2227:W2250 W2277:W2300 W2327:W2350 W2377:W2400 W2427:W2450 W2477:W2500 W2527:W2550 W2577:W2600 W2627:W2650 Y27:Y50 Y77:Y100 Y127:Y150 Y177:Y200 Y227:Y250 Y277:Y300 Y327:Y350 Y377:Y400 Y427:Y450 Y477:Y500 Y527:Y550 Y577:Y600 Y627:Y650 Y677:Y700 Y727:Y750 Y777:Y800 Y827:Y850 Y877:Y900 Y927:Y950 Y977:Y1000 Y1027:Y1050 Y1077:Y1100 Y1127:Y1150 Y1177:Y1200 Y1227:Y1250 Y1277:Y1300 Y1327:Y1350 Y1377:Y1400 Y1427:Y1450 Y1477:Y1500 Y1527:Y1550 Y1577:Y1600 Y1627:Y1650 Y1677:Y1700 Y1727:Y1750 Y1777:Y1800 Y1827:Y1850 Y1877:Y1900 Y1927:Y1950 Y1977:Y2000 Y2027:Y2050 Y2077:Y2100 Y2127:Y2150 Y2177:Y2200 Y2227:Y2250 Y2277:Y2300 Y2327:Y2350 Y2377:Y2400 Y2427:Y2450 Y2477:Y2500 Y2527:Y2550 Y2577:Y2600 Y2627:Y2650" showDropDown="0" showInputMessage="0" showErrorMessage="1" allowBlank="1" errorTitle="Status code" error="That is not one of the status codes on the Setup sheet. Keep it anyway?" type="list" errorStyle="warning">
      <formula1>OFFSET(Setup!$B$33,0,0,MAX(1,COUNTIF(Setup!$B$33:$B$40,"?*")),1)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AB5" r:id="rId2"/>
    <hyperlink xmlns:r="http://schemas.openxmlformats.org/officeDocument/2006/relationships" ref="AC5" r:id="rId3"/>
    <hyperlink xmlns:r="http://schemas.openxmlformats.org/officeDocument/2006/relationships" ref="AB55" r:id="rId4"/>
    <hyperlink xmlns:r="http://schemas.openxmlformats.org/officeDocument/2006/relationships" ref="AC55" r:id="rId5"/>
    <hyperlink xmlns:r="http://schemas.openxmlformats.org/officeDocument/2006/relationships" ref="AB105" r:id="rId6"/>
    <hyperlink xmlns:r="http://schemas.openxmlformats.org/officeDocument/2006/relationships" ref="AC105" r:id="rId7"/>
    <hyperlink xmlns:r="http://schemas.openxmlformats.org/officeDocument/2006/relationships" ref="AB155" r:id="rId8"/>
    <hyperlink xmlns:r="http://schemas.openxmlformats.org/officeDocument/2006/relationships" ref="AC155" r:id="rId9"/>
    <hyperlink xmlns:r="http://schemas.openxmlformats.org/officeDocument/2006/relationships" ref="AB205" r:id="rId10"/>
    <hyperlink xmlns:r="http://schemas.openxmlformats.org/officeDocument/2006/relationships" ref="AC205" r:id="rId11"/>
    <hyperlink xmlns:r="http://schemas.openxmlformats.org/officeDocument/2006/relationships" ref="AB255" r:id="rId12"/>
    <hyperlink xmlns:r="http://schemas.openxmlformats.org/officeDocument/2006/relationships" ref="AC255" r:id="rId13"/>
    <hyperlink xmlns:r="http://schemas.openxmlformats.org/officeDocument/2006/relationships" ref="AB305" r:id="rId14"/>
    <hyperlink xmlns:r="http://schemas.openxmlformats.org/officeDocument/2006/relationships" ref="AC305" r:id="rId15"/>
    <hyperlink xmlns:r="http://schemas.openxmlformats.org/officeDocument/2006/relationships" ref="AB355" r:id="rId16"/>
    <hyperlink xmlns:r="http://schemas.openxmlformats.org/officeDocument/2006/relationships" ref="AC355" r:id="rId17"/>
    <hyperlink xmlns:r="http://schemas.openxmlformats.org/officeDocument/2006/relationships" ref="AB405" r:id="rId18"/>
    <hyperlink xmlns:r="http://schemas.openxmlformats.org/officeDocument/2006/relationships" ref="AC405" r:id="rId19"/>
    <hyperlink xmlns:r="http://schemas.openxmlformats.org/officeDocument/2006/relationships" ref="AB455" r:id="rId20"/>
    <hyperlink xmlns:r="http://schemas.openxmlformats.org/officeDocument/2006/relationships" ref="AC455" r:id="rId21"/>
    <hyperlink xmlns:r="http://schemas.openxmlformats.org/officeDocument/2006/relationships" ref="AB505" r:id="rId22"/>
    <hyperlink xmlns:r="http://schemas.openxmlformats.org/officeDocument/2006/relationships" ref="AC505" r:id="rId23"/>
    <hyperlink xmlns:r="http://schemas.openxmlformats.org/officeDocument/2006/relationships" ref="AB555" r:id="rId24"/>
    <hyperlink xmlns:r="http://schemas.openxmlformats.org/officeDocument/2006/relationships" ref="AC555" r:id="rId25"/>
    <hyperlink xmlns:r="http://schemas.openxmlformats.org/officeDocument/2006/relationships" ref="AB605" r:id="rId26"/>
    <hyperlink xmlns:r="http://schemas.openxmlformats.org/officeDocument/2006/relationships" ref="AC605" r:id="rId27"/>
    <hyperlink xmlns:r="http://schemas.openxmlformats.org/officeDocument/2006/relationships" ref="AB655" r:id="rId28"/>
    <hyperlink xmlns:r="http://schemas.openxmlformats.org/officeDocument/2006/relationships" ref="AC655" r:id="rId29"/>
    <hyperlink xmlns:r="http://schemas.openxmlformats.org/officeDocument/2006/relationships" ref="AB705" r:id="rId30"/>
    <hyperlink xmlns:r="http://schemas.openxmlformats.org/officeDocument/2006/relationships" ref="AC705" r:id="rId31"/>
    <hyperlink xmlns:r="http://schemas.openxmlformats.org/officeDocument/2006/relationships" ref="AB755" r:id="rId32"/>
    <hyperlink xmlns:r="http://schemas.openxmlformats.org/officeDocument/2006/relationships" ref="AC755" r:id="rId33"/>
    <hyperlink xmlns:r="http://schemas.openxmlformats.org/officeDocument/2006/relationships" ref="AB805" r:id="rId34"/>
    <hyperlink xmlns:r="http://schemas.openxmlformats.org/officeDocument/2006/relationships" ref="AC805" r:id="rId35"/>
    <hyperlink xmlns:r="http://schemas.openxmlformats.org/officeDocument/2006/relationships" ref="AB855" r:id="rId36"/>
    <hyperlink xmlns:r="http://schemas.openxmlformats.org/officeDocument/2006/relationships" ref="AC855" r:id="rId37"/>
    <hyperlink xmlns:r="http://schemas.openxmlformats.org/officeDocument/2006/relationships" ref="AB905" r:id="rId38"/>
    <hyperlink xmlns:r="http://schemas.openxmlformats.org/officeDocument/2006/relationships" ref="AC905" r:id="rId39"/>
    <hyperlink xmlns:r="http://schemas.openxmlformats.org/officeDocument/2006/relationships" ref="AB955" r:id="rId40"/>
    <hyperlink xmlns:r="http://schemas.openxmlformats.org/officeDocument/2006/relationships" ref="AC955" r:id="rId41"/>
    <hyperlink xmlns:r="http://schemas.openxmlformats.org/officeDocument/2006/relationships" ref="AB1005" r:id="rId42"/>
    <hyperlink xmlns:r="http://schemas.openxmlformats.org/officeDocument/2006/relationships" ref="AC1005" r:id="rId43"/>
    <hyperlink xmlns:r="http://schemas.openxmlformats.org/officeDocument/2006/relationships" ref="AB1055" r:id="rId44"/>
    <hyperlink xmlns:r="http://schemas.openxmlformats.org/officeDocument/2006/relationships" ref="AC1055" r:id="rId45"/>
    <hyperlink xmlns:r="http://schemas.openxmlformats.org/officeDocument/2006/relationships" ref="AB1105" r:id="rId46"/>
    <hyperlink xmlns:r="http://schemas.openxmlformats.org/officeDocument/2006/relationships" ref="AC1105" r:id="rId47"/>
    <hyperlink xmlns:r="http://schemas.openxmlformats.org/officeDocument/2006/relationships" ref="AB1155" r:id="rId48"/>
    <hyperlink xmlns:r="http://schemas.openxmlformats.org/officeDocument/2006/relationships" ref="AC1155" r:id="rId49"/>
    <hyperlink xmlns:r="http://schemas.openxmlformats.org/officeDocument/2006/relationships" ref="AB1205" r:id="rId50"/>
    <hyperlink xmlns:r="http://schemas.openxmlformats.org/officeDocument/2006/relationships" ref="AC1205" r:id="rId51"/>
    <hyperlink xmlns:r="http://schemas.openxmlformats.org/officeDocument/2006/relationships" ref="AB1255" r:id="rId52"/>
    <hyperlink xmlns:r="http://schemas.openxmlformats.org/officeDocument/2006/relationships" ref="AC1255" r:id="rId53"/>
    <hyperlink xmlns:r="http://schemas.openxmlformats.org/officeDocument/2006/relationships" ref="AB1305" r:id="rId54"/>
    <hyperlink xmlns:r="http://schemas.openxmlformats.org/officeDocument/2006/relationships" ref="AC1305" r:id="rId55"/>
    <hyperlink xmlns:r="http://schemas.openxmlformats.org/officeDocument/2006/relationships" ref="AB1355" r:id="rId56"/>
    <hyperlink xmlns:r="http://schemas.openxmlformats.org/officeDocument/2006/relationships" ref="AC1355" r:id="rId57"/>
    <hyperlink xmlns:r="http://schemas.openxmlformats.org/officeDocument/2006/relationships" ref="AB1405" r:id="rId58"/>
    <hyperlink xmlns:r="http://schemas.openxmlformats.org/officeDocument/2006/relationships" ref="AC1405" r:id="rId59"/>
    <hyperlink xmlns:r="http://schemas.openxmlformats.org/officeDocument/2006/relationships" ref="AB1455" r:id="rId60"/>
    <hyperlink xmlns:r="http://schemas.openxmlformats.org/officeDocument/2006/relationships" ref="AC1455" r:id="rId61"/>
    <hyperlink xmlns:r="http://schemas.openxmlformats.org/officeDocument/2006/relationships" ref="AB1505" r:id="rId62"/>
    <hyperlink xmlns:r="http://schemas.openxmlformats.org/officeDocument/2006/relationships" ref="AC1505" r:id="rId63"/>
    <hyperlink xmlns:r="http://schemas.openxmlformats.org/officeDocument/2006/relationships" ref="AB1555" r:id="rId64"/>
    <hyperlink xmlns:r="http://schemas.openxmlformats.org/officeDocument/2006/relationships" ref="AC1555" r:id="rId65"/>
    <hyperlink xmlns:r="http://schemas.openxmlformats.org/officeDocument/2006/relationships" ref="AB1605" r:id="rId66"/>
    <hyperlink xmlns:r="http://schemas.openxmlformats.org/officeDocument/2006/relationships" ref="AC1605" r:id="rId67"/>
    <hyperlink xmlns:r="http://schemas.openxmlformats.org/officeDocument/2006/relationships" ref="AB1655" r:id="rId68"/>
    <hyperlink xmlns:r="http://schemas.openxmlformats.org/officeDocument/2006/relationships" ref="AC1655" r:id="rId69"/>
    <hyperlink xmlns:r="http://schemas.openxmlformats.org/officeDocument/2006/relationships" ref="AB1705" r:id="rId70"/>
    <hyperlink xmlns:r="http://schemas.openxmlformats.org/officeDocument/2006/relationships" ref="AC1705" r:id="rId71"/>
    <hyperlink xmlns:r="http://schemas.openxmlformats.org/officeDocument/2006/relationships" ref="AB1755" r:id="rId72"/>
    <hyperlink xmlns:r="http://schemas.openxmlformats.org/officeDocument/2006/relationships" ref="AC1755" r:id="rId73"/>
    <hyperlink xmlns:r="http://schemas.openxmlformats.org/officeDocument/2006/relationships" ref="AB1805" r:id="rId74"/>
    <hyperlink xmlns:r="http://schemas.openxmlformats.org/officeDocument/2006/relationships" ref="AC1805" r:id="rId75"/>
    <hyperlink xmlns:r="http://schemas.openxmlformats.org/officeDocument/2006/relationships" ref="AB1855" r:id="rId76"/>
    <hyperlink xmlns:r="http://schemas.openxmlformats.org/officeDocument/2006/relationships" ref="AC1855" r:id="rId77"/>
    <hyperlink xmlns:r="http://schemas.openxmlformats.org/officeDocument/2006/relationships" ref="AB1905" r:id="rId78"/>
    <hyperlink xmlns:r="http://schemas.openxmlformats.org/officeDocument/2006/relationships" ref="AC1905" r:id="rId79"/>
    <hyperlink xmlns:r="http://schemas.openxmlformats.org/officeDocument/2006/relationships" ref="AB1955" r:id="rId80"/>
    <hyperlink xmlns:r="http://schemas.openxmlformats.org/officeDocument/2006/relationships" ref="AC1955" r:id="rId81"/>
    <hyperlink xmlns:r="http://schemas.openxmlformats.org/officeDocument/2006/relationships" ref="AB2005" r:id="rId82"/>
    <hyperlink xmlns:r="http://schemas.openxmlformats.org/officeDocument/2006/relationships" ref="AC2005" r:id="rId83"/>
    <hyperlink xmlns:r="http://schemas.openxmlformats.org/officeDocument/2006/relationships" ref="AB2055" r:id="rId84"/>
    <hyperlink xmlns:r="http://schemas.openxmlformats.org/officeDocument/2006/relationships" ref="AC2055" r:id="rId85"/>
    <hyperlink xmlns:r="http://schemas.openxmlformats.org/officeDocument/2006/relationships" ref="AB2105" r:id="rId86"/>
    <hyperlink xmlns:r="http://schemas.openxmlformats.org/officeDocument/2006/relationships" ref="AC2105" r:id="rId87"/>
    <hyperlink xmlns:r="http://schemas.openxmlformats.org/officeDocument/2006/relationships" ref="AB2155" r:id="rId88"/>
    <hyperlink xmlns:r="http://schemas.openxmlformats.org/officeDocument/2006/relationships" ref="AC2155" r:id="rId89"/>
    <hyperlink xmlns:r="http://schemas.openxmlformats.org/officeDocument/2006/relationships" ref="AB2205" r:id="rId90"/>
    <hyperlink xmlns:r="http://schemas.openxmlformats.org/officeDocument/2006/relationships" ref="AC2205" r:id="rId91"/>
    <hyperlink xmlns:r="http://schemas.openxmlformats.org/officeDocument/2006/relationships" ref="AB2255" r:id="rId92"/>
    <hyperlink xmlns:r="http://schemas.openxmlformats.org/officeDocument/2006/relationships" ref="AC2255" r:id="rId93"/>
    <hyperlink xmlns:r="http://schemas.openxmlformats.org/officeDocument/2006/relationships" ref="AB2305" r:id="rId94"/>
    <hyperlink xmlns:r="http://schemas.openxmlformats.org/officeDocument/2006/relationships" ref="AC2305" r:id="rId95"/>
    <hyperlink xmlns:r="http://schemas.openxmlformats.org/officeDocument/2006/relationships" ref="AB2355" r:id="rId96"/>
    <hyperlink xmlns:r="http://schemas.openxmlformats.org/officeDocument/2006/relationships" ref="AC2355" r:id="rId97"/>
    <hyperlink xmlns:r="http://schemas.openxmlformats.org/officeDocument/2006/relationships" ref="AB2405" r:id="rId98"/>
    <hyperlink xmlns:r="http://schemas.openxmlformats.org/officeDocument/2006/relationships" ref="AC2405" r:id="rId99"/>
    <hyperlink xmlns:r="http://schemas.openxmlformats.org/officeDocument/2006/relationships" ref="AB2455" r:id="rId100"/>
    <hyperlink xmlns:r="http://schemas.openxmlformats.org/officeDocument/2006/relationships" ref="AC2455" r:id="rId101"/>
    <hyperlink xmlns:r="http://schemas.openxmlformats.org/officeDocument/2006/relationships" ref="AB2505" r:id="rId102"/>
    <hyperlink xmlns:r="http://schemas.openxmlformats.org/officeDocument/2006/relationships" ref="AC2505" r:id="rId103"/>
    <hyperlink xmlns:r="http://schemas.openxmlformats.org/officeDocument/2006/relationships" ref="AB2555" r:id="rId104"/>
    <hyperlink xmlns:r="http://schemas.openxmlformats.org/officeDocument/2006/relationships" ref="AC2555" r:id="rId105"/>
    <hyperlink xmlns:r="http://schemas.openxmlformats.org/officeDocument/2006/relationships" ref="AB2605" r:id="rId106"/>
    <hyperlink xmlns:r="http://schemas.openxmlformats.org/officeDocument/2006/relationships" ref="AC2605" r:id="rId107"/>
  </hyperlinks>
  <pageMargins left="0.75" right="0.75" top="1" bottom="1" header="0.5" footer="0.5"/>
  <pageSetup orientation="landscape" fitToHeight="0" fitToWidth="1"/>
  <rowBreaks count="52" manualBreakCount="52">
    <brk id="54" min="0" max="16383" man="1"/>
    <brk id="104" min="0" max="16383" man="1"/>
    <brk id="154" min="0" max="16383" man="1"/>
    <brk id="204" min="0" max="16383" man="1"/>
    <brk id="254" min="0" max="16383" man="1"/>
    <brk id="304" min="0" max="16383" man="1"/>
    <brk id="354" min="0" max="16383" man="1"/>
    <brk id="404" min="0" max="16383" man="1"/>
    <brk id="454" min="0" max="16383" man="1"/>
    <brk id="504" min="0" max="16383" man="1"/>
    <brk id="554" min="0" max="16383" man="1"/>
    <brk id="604" min="0" max="16383" man="1"/>
    <brk id="654" min="0" max="16383" man="1"/>
    <brk id="704" min="0" max="16383" man="1"/>
    <brk id="754" min="0" max="16383" man="1"/>
    <brk id="804" min="0" max="16383" man="1"/>
    <brk id="854" min="0" max="16383" man="1"/>
    <brk id="904" min="0" max="16383" man="1"/>
    <brk id="954" min="0" max="16383" man="1"/>
    <brk id="1004" min="0" max="16383" man="1"/>
    <brk id="1054" min="0" max="16383" man="1"/>
    <brk id="1104" min="0" max="16383" man="1"/>
    <brk id="1154" min="0" max="16383" man="1"/>
    <brk id="1204" min="0" max="16383" man="1"/>
    <brk id="1254" min="0" max="16383" man="1"/>
    <brk id="1304" min="0" max="16383" man="1"/>
    <brk id="1354" min="0" max="16383" man="1"/>
    <brk id="1404" min="0" max="16383" man="1"/>
    <brk id="1454" min="0" max="16383" man="1"/>
    <brk id="1504" min="0" max="16383" man="1"/>
    <brk id="1554" min="0" max="16383" man="1"/>
    <brk id="1604" min="0" max="16383" man="1"/>
    <brk id="1654" min="0" max="16383" man="1"/>
    <brk id="1704" min="0" max="16383" man="1"/>
    <brk id="1754" min="0" max="16383" man="1"/>
    <brk id="1804" min="0" max="16383" man="1"/>
    <brk id="1854" min="0" max="16383" man="1"/>
    <brk id="1904" min="0" max="16383" man="1"/>
    <brk id="1954" min="0" max="16383" man="1"/>
    <brk id="2004" min="0" max="16383" man="1"/>
    <brk id="2054" min="0" max="16383" man="1"/>
    <brk id="2104" min="0" max="16383" man="1"/>
    <brk id="2154" min="0" max="16383" man="1"/>
    <brk id="2204" min="0" max="16383" man="1"/>
    <brk id="2254" min="0" max="16383" man="1"/>
    <brk id="2304" min="0" max="16383" man="1"/>
    <brk id="2354" min="0" max="16383" man="1"/>
    <brk id="2404" min="0" max="16383" man="1"/>
    <brk id="2454" min="0" max="16383" man="1"/>
    <brk id="2504" min="0" max="16383" man="1"/>
    <brk id="2554" min="0" max="16383" man="1"/>
    <brk id="2604" min="0" max="16383" man="1"/>
  </rowBreaks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C265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3" customWidth="1" min="1" max="1"/>
    <col width="24" customWidth="1" min="2" max="2"/>
    <col width="6.5" customWidth="1" min="3" max="3"/>
    <col width="6.5" customWidth="1" min="4" max="4"/>
    <col width="6.5" customWidth="1" min="5" max="5"/>
    <col width="15" customWidth="1" min="6" max="6"/>
    <col width="6.5" customWidth="1" min="7" max="7"/>
    <col width="6.5" customWidth="1" min="8" max="8"/>
    <col width="6.5" customWidth="1" min="9" max="9"/>
    <col width="15" customWidth="1" min="10" max="10"/>
    <col width="6.5" customWidth="1" min="11" max="11"/>
    <col width="6.5" customWidth="1" min="12" max="12"/>
    <col width="6.5" customWidth="1" min="13" max="13"/>
    <col width="15" customWidth="1" min="14" max="14"/>
    <col width="6.5" customWidth="1" min="15" max="15"/>
    <col width="6.5" customWidth="1" min="16" max="16"/>
    <col width="6.5" customWidth="1" min="17" max="17"/>
    <col width="15" customWidth="1" min="18" max="18"/>
    <col width="6.5" customWidth="1" min="19" max="19"/>
    <col width="6.5" customWidth="1" min="20" max="20"/>
    <col width="6.5" customWidth="1" min="21" max="21"/>
    <col width="15" customWidth="1" min="22" max="22"/>
    <col width="7.5" customWidth="1" min="23" max="23"/>
    <col width="11" customWidth="1" min="24" max="24"/>
    <col width="7.5" customWidth="1" min="25" max="25"/>
    <col width="11" customWidth="1" min="26" max="26"/>
    <col width="2" customWidth="1" min="27" max="27"/>
    <col width="11" customWidth="1" min="28" max="28"/>
    <col width="13" customWidth="1" min="29" max="29"/>
  </cols>
  <sheetData>
    <row r="1" ht="30" customHeight="1">
      <c r="A1" s="1" t="n"/>
      <c r="B1" s="52" t="inlineStr">
        <is>
          <t>2028  PLANNER</t>
        </is>
      </c>
      <c r="C1" s="53" t="inlineStr">
        <is>
          <t>◀ Dashboard</t>
        </is>
      </c>
      <c r="G1" s="54">
        <f>HYPERLINK("#'"&amp;Engine!$B$11&amp;"'!B"&amp;Engine!$B$10,"Active week: W"&amp;Engine!$B$9&amp;" of "&amp;Engine!$B$11&amp;" ▶")</f>
        <v/>
      </c>
      <c r="O1" s="53">
        <f>IF(AND(Engine!$B$17&gt;=2027,Engine!$B$17&lt;=2030),HYPERLINK("#'"&amp;Engine!$B$17&amp;"'!B"&amp;(5+50*(Engine!$B$18-1)),"Today's week ▶"),"Today is outside 2027-2030")</f>
        <v/>
      </c>
      <c r="W1" s="55" t="inlineStr">
        <is>
          <t>Jump to week:</t>
        </is>
      </c>
      <c r="Y1" s="56" t="n">
        <v>1</v>
      </c>
      <c r="Z1" s="54">
        <f>HYPERLINK("#'2028'!B"&amp;(5+50*(MAX(1,MIN(53,N($Y$1)))-1)),"Go ▶")</f>
        <v/>
      </c>
      <c r="AA1" s="1" t="n"/>
      <c r="AB1" s="57" t="inlineStr">
        <is>
          <t>Year</t>
        </is>
      </c>
      <c r="AC1" s="58" t="n">
        <v>2028</v>
      </c>
    </row>
    <row r="2" ht="16" customHeight="1">
      <c r="A2" s="1" t="n"/>
      <c r="B2" s="59" t="inlineStr">
        <is>
          <t>Pick people from the dropdowns (they only list qualified, available staff for the active week). Type a status code against a person to mark leave, training or sickness.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57" t="inlineStr">
        <is>
          <t>Week 1 starts</t>
        </is>
      </c>
      <c r="AC2" s="60">
        <f>INDEX(Setup!$L$33:$L$36,MATCH($AC$1,Setup!$K$33:$K$36,0))</f>
        <v/>
      </c>
    </row>
    <row r="3" ht="18" customHeight="1">
      <c r="A3" s="1" t="n"/>
      <c r="B3" s="61" t="inlineStr">
        <is>
          <t>Legend:</t>
        </is>
      </c>
      <c r="C3" s="62">
        <f>IF(Setup!$B$33="","",Setup!$B$33)</f>
        <v/>
      </c>
      <c r="D3" s="63">
        <f>IF(Setup!$B$34="","",Setup!$B$34)</f>
        <v/>
      </c>
      <c r="E3" s="64">
        <f>IF(Setup!$B$35="","",Setup!$B$35)</f>
        <v/>
      </c>
      <c r="F3" s="65">
        <f>IF(Setup!$B$36="","",Setup!$B$36)</f>
        <v/>
      </c>
      <c r="G3" s="66">
        <f>IF(Setup!$B$37="","",Setup!$B$37)</f>
        <v/>
      </c>
      <c r="H3" s="67">
        <f>IF(Setup!$B$38="","",Setup!$B$38)</f>
        <v/>
      </c>
      <c r="I3" s="68">
        <f>IF(Setup!$B$39="","",Setup!$B$39)</f>
        <v/>
      </c>
      <c r="J3" s="69">
        <f>IF(Setup!$B$40="","",Setup!$B$40)</f>
        <v/>
      </c>
      <c r="K3" s="70" t="inlineStr">
        <is>
          <t>* trainee</t>
        </is>
      </c>
      <c r="L3" s="48" t="inlineStr">
        <is>
          <t>gap</t>
        </is>
      </c>
      <c r="M3" s="49" t="inlineStr">
        <is>
          <t>not SQEP / conflict</t>
        </is>
      </c>
      <c r="P3" s="50" t="inlineStr">
        <is>
          <t>today</t>
        </is>
      </c>
      <c r="Q3" s="71" t="inlineStr">
        <is>
          <t>n/a weekend</t>
        </is>
      </c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57" t="inlineStr">
        <is>
          <t>Year index</t>
        </is>
      </c>
      <c r="AC3" s="72">
        <f>$AC$1-2026</f>
        <v/>
      </c>
    </row>
    <row r="4" ht="6" customHeight="1"/>
    <row r="5" ht="24" customHeight="1">
      <c r="A5" t="n">
        <v>1</v>
      </c>
      <c r="B5" s="73">
        <f>"WEEK 1     "&amp;TEXT(C6,"ddd d mmm")&amp;"  –  "&amp;TEXT(C6+6,"ddd d mmm yyyy")</f>
        <v/>
      </c>
      <c r="S5" s="74">
        <f>IF(TODAY()&lt;C6,"FUTURE",IF(TODAY()&gt;C6+6,"PAST","THIS WEEK"))</f>
        <v/>
      </c>
      <c r="W5" s="75">
        <f>IF(AND(Engine!$B$8=$AC$3,Engine!$B$9=$A5),"◀ ACTIVE WEEK","")</f>
        <v/>
      </c>
      <c r="AA5" s="76" t="n"/>
      <c r="AB5" s="77" t="inlineStr">
        <is>
          <t>▲ Top</t>
        </is>
      </c>
      <c r="AC5" s="77" t="inlineStr">
        <is>
          <t>Next ▶</t>
        </is>
      </c>
    </row>
    <row r="6" ht="18" customHeight="1">
      <c r="A6" t="n">
        <v>1</v>
      </c>
      <c r="B6" s="78" t="inlineStr">
        <is>
          <t>DUTY</t>
        </is>
      </c>
      <c r="C6" s="79">
        <f>$AC$2+7*($A6-1)</f>
        <v/>
      </c>
      <c r="D6" s="80" t="n"/>
      <c r="E6" s="80" t="n"/>
      <c r="F6" s="81" t="n"/>
      <c r="G6" s="79">
        <f>C6+1</f>
        <v/>
      </c>
      <c r="H6" s="80" t="n"/>
      <c r="I6" s="80" t="n"/>
      <c r="J6" s="81" t="n"/>
      <c r="K6" s="79">
        <f>C6+2</f>
        <v/>
      </c>
      <c r="L6" s="80" t="n"/>
      <c r="M6" s="80" t="n"/>
      <c r="N6" s="81" t="n"/>
      <c r="O6" s="79">
        <f>C6+3</f>
        <v/>
      </c>
      <c r="P6" s="80" t="n"/>
      <c r="Q6" s="80" t="n"/>
      <c r="R6" s="81" t="n"/>
      <c r="S6" s="79">
        <f>C6+4</f>
        <v/>
      </c>
      <c r="T6" s="80" t="n"/>
      <c r="U6" s="80" t="n"/>
      <c r="V6" s="81" t="n"/>
      <c r="W6" s="82">
        <f>C6+5</f>
        <v/>
      </c>
      <c r="X6" s="83" t="n"/>
      <c r="Y6" s="82">
        <f>C6+6</f>
        <v/>
      </c>
      <c r="Z6" s="83" t="n"/>
      <c r="AB6" s="72" t="inlineStr">
        <is>
          <t>Gaps</t>
        </is>
      </c>
      <c r="AC6" s="72" t="inlineStr">
        <is>
          <t>Cover</t>
        </is>
      </c>
    </row>
    <row r="7" ht="14" customHeight="1">
      <c r="A7" t="n">
        <v>1</v>
      </c>
      <c r="B7" s="84" t="inlineStr">
        <is>
          <t>(from Setup)</t>
        </is>
      </c>
      <c r="C7" s="85" t="inlineStr">
        <is>
          <t>1</t>
        </is>
      </c>
      <c r="D7" s="85" t="inlineStr">
        <is>
          <t>2</t>
        </is>
      </c>
      <c r="E7" s="85" t="inlineStr">
        <is>
          <t>3</t>
        </is>
      </c>
      <c r="F7" s="85" t="inlineStr">
        <is>
          <t>Notes</t>
        </is>
      </c>
      <c r="G7" s="85" t="inlineStr">
        <is>
          <t>1</t>
        </is>
      </c>
      <c r="H7" s="85" t="inlineStr">
        <is>
          <t>2</t>
        </is>
      </c>
      <c r="I7" s="85" t="inlineStr">
        <is>
          <t>3</t>
        </is>
      </c>
      <c r="J7" s="85" t="inlineStr">
        <is>
          <t>Notes</t>
        </is>
      </c>
      <c r="K7" s="85" t="inlineStr">
        <is>
          <t>1</t>
        </is>
      </c>
      <c r="L7" s="85" t="inlineStr">
        <is>
          <t>2</t>
        </is>
      </c>
      <c r="M7" s="85" t="inlineStr">
        <is>
          <t>3</t>
        </is>
      </c>
      <c r="N7" s="85" t="inlineStr">
        <is>
          <t>Notes</t>
        </is>
      </c>
      <c r="O7" s="85" t="inlineStr">
        <is>
          <t>1</t>
        </is>
      </c>
      <c r="P7" s="85" t="inlineStr">
        <is>
          <t>2</t>
        </is>
      </c>
      <c r="Q7" s="85" t="inlineStr">
        <is>
          <t>3</t>
        </is>
      </c>
      <c r="R7" s="85" t="inlineStr">
        <is>
          <t>Notes</t>
        </is>
      </c>
      <c r="S7" s="85" t="inlineStr">
        <is>
          <t>1</t>
        </is>
      </c>
      <c r="T7" s="85" t="inlineStr">
        <is>
          <t>2</t>
        </is>
      </c>
      <c r="U7" s="85" t="inlineStr">
        <is>
          <t>3</t>
        </is>
      </c>
      <c r="V7" s="85" t="inlineStr">
        <is>
          <t>Notes</t>
        </is>
      </c>
      <c r="W7" s="85" t="inlineStr">
        <is>
          <t>Cover</t>
        </is>
      </c>
      <c r="X7" s="85" t="inlineStr">
        <is>
          <t>Notes</t>
        </is>
      </c>
      <c r="Y7" s="85" t="inlineStr">
        <is>
          <t>Cover</t>
        </is>
      </c>
      <c r="Z7" s="85" t="inlineStr">
        <is>
          <t>Notes</t>
        </is>
      </c>
      <c r="AB7" s="86" t="inlineStr">
        <is>
          <t>weekdays short</t>
        </is>
      </c>
      <c r="AC7" s="87" t="inlineStr"/>
    </row>
    <row r="8" ht="17" customHeight="1">
      <c r="A8" t="n">
        <v>1</v>
      </c>
      <c r="B8" s="24">
        <f>IF(Setup!$K$6="","",Setup!$K$6)</f>
        <v/>
      </c>
      <c r="C8" s="88" t="n"/>
      <c r="D8" s="88" t="n"/>
      <c r="E8" s="88" t="n"/>
      <c r="F8" s="89" t="n"/>
      <c r="G8" s="88" t="n"/>
      <c r="H8" s="88" t="n"/>
      <c r="I8" s="88" t="n"/>
      <c r="J8" s="89" t="n"/>
      <c r="K8" s="88" t="n"/>
      <c r="L8" s="88" t="n"/>
      <c r="M8" s="88" t="n"/>
      <c r="N8" s="89" t="n"/>
      <c r="O8" s="88" t="n"/>
      <c r="P8" s="88" t="n"/>
      <c r="Q8" s="88" t="n"/>
      <c r="R8" s="89" t="n"/>
      <c r="S8" s="88" t="n"/>
      <c r="T8" s="88" t="n"/>
      <c r="U8" s="88" t="n"/>
      <c r="V8" s="89" t="n"/>
      <c r="W8" s="88" t="n"/>
      <c r="X8" s="89" t="n"/>
      <c r="Y8" s="88" t="n"/>
      <c r="Z8" s="89" t="n"/>
      <c r="AB8" s="25">
        <f>IF($B8="","",(COUNTIF(C8:E8,"?*")&lt;N(INDEX(Setup!$L$6:$L$23,1)))+(COUNTIF(G8:I8,"?*")&lt;N(INDEX(Setup!$L$6:$L$23,1)))+(COUNTIF(K8:M8,"?*")&lt;N(INDEX(Setup!$L$6:$L$23,1)))+(COUNTIF(O8:Q8,"?*")&lt;N(INDEX(Setup!$L$6:$L$23,1)))+(COUNTIF(S8:U8,"?*")&lt;N(INDEX(Setup!$L$6:$L$23,1)))+((W8="")*(INDEX(Setup!$M$6:$M$23,1)="Y"))+((Y8="")*(INDEX(Setup!$M$6:$M$23,1)="Y")))</f>
        <v/>
      </c>
      <c r="AC8" s="90">
        <f>IF($B8="","",IF(AB8=0,"✓ covered","⚠ "&amp;AB8&amp;IF(AB8=1," gap"," gaps")))</f>
        <v/>
      </c>
    </row>
    <row r="9" ht="17" customHeight="1">
      <c r="A9" t="n">
        <v>1</v>
      </c>
      <c r="B9" s="29">
        <f>IF(Setup!$K$7="","",Setup!$K$7)</f>
        <v/>
      </c>
      <c r="C9" s="88" t="n"/>
      <c r="D9" s="88" t="n"/>
      <c r="E9" s="88" t="n"/>
      <c r="F9" s="89" t="n"/>
      <c r="G9" s="88" t="n"/>
      <c r="H9" s="88" t="n"/>
      <c r="I9" s="88" t="n"/>
      <c r="J9" s="89" t="n"/>
      <c r="K9" s="88" t="n"/>
      <c r="L9" s="88" t="n"/>
      <c r="M9" s="88" t="n"/>
      <c r="N9" s="89" t="n"/>
      <c r="O9" s="88" t="n"/>
      <c r="P9" s="88" t="n"/>
      <c r="Q9" s="88" t="n"/>
      <c r="R9" s="89" t="n"/>
      <c r="S9" s="88" t="n"/>
      <c r="T9" s="88" t="n"/>
      <c r="U9" s="88" t="n"/>
      <c r="V9" s="89" t="n"/>
      <c r="W9" s="88" t="n"/>
      <c r="X9" s="89" t="n"/>
      <c r="Y9" s="88" t="n"/>
      <c r="Z9" s="89" t="n"/>
      <c r="AB9" s="30">
        <f>IF($B9="","",(COUNTIF(C9:E9,"?*")&lt;N(INDEX(Setup!$L$6:$L$23,2)))+(COUNTIF(G9:I9,"?*")&lt;N(INDEX(Setup!$L$6:$L$23,2)))+(COUNTIF(K9:M9,"?*")&lt;N(INDEX(Setup!$L$6:$L$23,2)))+(COUNTIF(O9:Q9,"?*")&lt;N(INDEX(Setup!$L$6:$L$23,2)))+(COUNTIF(S9:U9,"?*")&lt;N(INDEX(Setup!$L$6:$L$23,2)))+((W9="")*(INDEX(Setup!$M$6:$M$23,2)="Y"))+((Y9="")*(INDEX(Setup!$M$6:$M$23,2)="Y")))</f>
        <v/>
      </c>
      <c r="AC9" s="91">
        <f>IF($B9="","",IF(AB9=0,"✓ covered","⚠ "&amp;AB9&amp;IF(AB9=1," gap"," gaps")))</f>
        <v/>
      </c>
    </row>
    <row r="10" ht="17" customHeight="1">
      <c r="A10" t="n">
        <v>1</v>
      </c>
      <c r="B10" s="24">
        <f>IF(Setup!$K$8="","",Setup!$K$8)</f>
        <v/>
      </c>
      <c r="C10" s="88" t="n"/>
      <c r="D10" s="88" t="n"/>
      <c r="E10" s="88" t="n"/>
      <c r="F10" s="89" t="n"/>
      <c r="G10" s="88" t="n"/>
      <c r="H10" s="88" t="n"/>
      <c r="I10" s="88" t="n"/>
      <c r="J10" s="89" t="n"/>
      <c r="K10" s="88" t="n"/>
      <c r="L10" s="88" t="n"/>
      <c r="M10" s="88" t="n"/>
      <c r="N10" s="89" t="n"/>
      <c r="O10" s="88" t="n"/>
      <c r="P10" s="88" t="n"/>
      <c r="Q10" s="88" t="n"/>
      <c r="R10" s="89" t="n"/>
      <c r="S10" s="88" t="n"/>
      <c r="T10" s="88" t="n"/>
      <c r="U10" s="88" t="n"/>
      <c r="V10" s="89" t="n"/>
      <c r="W10" s="88" t="n"/>
      <c r="X10" s="89" t="n"/>
      <c r="Y10" s="88" t="n"/>
      <c r="Z10" s="89" t="n"/>
      <c r="AB10" s="25">
        <f>IF($B10="","",(COUNTIF(C10:E10,"?*")&lt;N(INDEX(Setup!$L$6:$L$23,3)))+(COUNTIF(G10:I10,"?*")&lt;N(INDEX(Setup!$L$6:$L$23,3)))+(COUNTIF(K10:M10,"?*")&lt;N(INDEX(Setup!$L$6:$L$23,3)))+(COUNTIF(O10:Q10,"?*")&lt;N(INDEX(Setup!$L$6:$L$23,3)))+(COUNTIF(S10:U10,"?*")&lt;N(INDEX(Setup!$L$6:$L$23,3)))+((W10="")*(INDEX(Setup!$M$6:$M$23,3)="Y"))+((Y10="")*(INDEX(Setup!$M$6:$M$23,3)="Y")))</f>
        <v/>
      </c>
      <c r="AC10" s="90">
        <f>IF($B10="","",IF(AB10=0,"✓ covered","⚠ "&amp;AB10&amp;IF(AB10=1," gap"," gaps")))</f>
        <v/>
      </c>
    </row>
    <row r="11" ht="17" customHeight="1">
      <c r="A11" t="n">
        <v>1</v>
      </c>
      <c r="B11" s="29">
        <f>IF(Setup!$K$9="","",Setup!$K$9)</f>
        <v/>
      </c>
      <c r="C11" s="88" t="n"/>
      <c r="D11" s="88" t="n"/>
      <c r="E11" s="88" t="n"/>
      <c r="F11" s="89" t="n"/>
      <c r="G11" s="88" t="n"/>
      <c r="H11" s="88" t="n"/>
      <c r="I11" s="88" t="n"/>
      <c r="J11" s="89" t="n"/>
      <c r="K11" s="88" t="n"/>
      <c r="L11" s="88" t="n"/>
      <c r="M11" s="88" t="n"/>
      <c r="N11" s="89" t="n"/>
      <c r="O11" s="88" t="n"/>
      <c r="P11" s="88" t="n"/>
      <c r="Q11" s="88" t="n"/>
      <c r="R11" s="89" t="n"/>
      <c r="S11" s="88" t="n"/>
      <c r="T11" s="88" t="n"/>
      <c r="U11" s="88" t="n"/>
      <c r="V11" s="89" t="n"/>
      <c r="W11" s="88" t="n"/>
      <c r="X11" s="89" t="n"/>
      <c r="Y11" s="88" t="n"/>
      <c r="Z11" s="89" t="n"/>
      <c r="AB11" s="30">
        <f>IF($B11="","",(COUNTIF(C11:E11,"?*")&lt;N(INDEX(Setup!$L$6:$L$23,4)))+(COUNTIF(G11:I11,"?*")&lt;N(INDEX(Setup!$L$6:$L$23,4)))+(COUNTIF(K11:M11,"?*")&lt;N(INDEX(Setup!$L$6:$L$23,4)))+(COUNTIF(O11:Q11,"?*")&lt;N(INDEX(Setup!$L$6:$L$23,4)))+(COUNTIF(S11:U11,"?*")&lt;N(INDEX(Setup!$L$6:$L$23,4)))+((W11="")*(INDEX(Setup!$M$6:$M$23,4)="Y"))+((Y11="")*(INDEX(Setup!$M$6:$M$23,4)="Y")))</f>
        <v/>
      </c>
      <c r="AC11" s="91">
        <f>IF($B11="","",IF(AB11=0,"✓ covered","⚠ "&amp;AB11&amp;IF(AB11=1," gap"," gaps")))</f>
        <v/>
      </c>
    </row>
    <row r="12" ht="17" customHeight="1">
      <c r="A12" t="n">
        <v>1</v>
      </c>
      <c r="B12" s="24">
        <f>IF(Setup!$K$10="","",Setup!$K$10)</f>
        <v/>
      </c>
      <c r="C12" s="88" t="n"/>
      <c r="D12" s="88" t="n"/>
      <c r="E12" s="88" t="n"/>
      <c r="F12" s="89" t="n"/>
      <c r="G12" s="88" t="n"/>
      <c r="H12" s="88" t="n"/>
      <c r="I12" s="88" t="n"/>
      <c r="J12" s="89" t="n"/>
      <c r="K12" s="88" t="n"/>
      <c r="L12" s="88" t="n"/>
      <c r="M12" s="88" t="n"/>
      <c r="N12" s="89" t="n"/>
      <c r="O12" s="88" t="n"/>
      <c r="P12" s="88" t="n"/>
      <c r="Q12" s="88" t="n"/>
      <c r="R12" s="89" t="n"/>
      <c r="S12" s="88" t="n"/>
      <c r="T12" s="88" t="n"/>
      <c r="U12" s="88" t="n"/>
      <c r="V12" s="89" t="n"/>
      <c r="W12" s="88" t="n"/>
      <c r="X12" s="89" t="n"/>
      <c r="Y12" s="88" t="n"/>
      <c r="Z12" s="89" t="n"/>
      <c r="AB12" s="25">
        <f>IF($B12="","",(COUNTIF(C12:E12,"?*")&lt;N(INDEX(Setup!$L$6:$L$23,5)))+(COUNTIF(G12:I12,"?*")&lt;N(INDEX(Setup!$L$6:$L$23,5)))+(COUNTIF(K12:M12,"?*")&lt;N(INDEX(Setup!$L$6:$L$23,5)))+(COUNTIF(O12:Q12,"?*")&lt;N(INDEX(Setup!$L$6:$L$23,5)))+(COUNTIF(S12:U12,"?*")&lt;N(INDEX(Setup!$L$6:$L$23,5)))+((W12="")*(INDEX(Setup!$M$6:$M$23,5)="Y"))+((Y12="")*(INDEX(Setup!$M$6:$M$23,5)="Y")))</f>
        <v/>
      </c>
      <c r="AC12" s="90">
        <f>IF($B12="","",IF(AB12=0,"✓ covered","⚠ "&amp;AB12&amp;IF(AB12=1," gap"," gaps")))</f>
        <v/>
      </c>
    </row>
    <row r="13" ht="17" customHeight="1">
      <c r="A13" t="n">
        <v>1</v>
      </c>
      <c r="B13" s="29">
        <f>IF(Setup!$K$11="","",Setup!$K$11)</f>
        <v/>
      </c>
      <c r="C13" s="88" t="n"/>
      <c r="D13" s="88" t="n"/>
      <c r="E13" s="88" t="n"/>
      <c r="F13" s="89" t="n"/>
      <c r="G13" s="88" t="n"/>
      <c r="H13" s="88" t="n"/>
      <c r="I13" s="88" t="n"/>
      <c r="J13" s="89" t="n"/>
      <c r="K13" s="88" t="n"/>
      <c r="L13" s="88" t="n"/>
      <c r="M13" s="88" t="n"/>
      <c r="N13" s="89" t="n"/>
      <c r="O13" s="88" t="n"/>
      <c r="P13" s="88" t="n"/>
      <c r="Q13" s="88" t="n"/>
      <c r="R13" s="89" t="n"/>
      <c r="S13" s="88" t="n"/>
      <c r="T13" s="88" t="n"/>
      <c r="U13" s="88" t="n"/>
      <c r="V13" s="89" t="n"/>
      <c r="W13" s="88" t="n"/>
      <c r="X13" s="89" t="n"/>
      <c r="Y13" s="88" t="n"/>
      <c r="Z13" s="89" t="n"/>
      <c r="AB13" s="30">
        <f>IF($B13="","",(COUNTIF(C13:E13,"?*")&lt;N(INDEX(Setup!$L$6:$L$23,6)))+(COUNTIF(G13:I13,"?*")&lt;N(INDEX(Setup!$L$6:$L$23,6)))+(COUNTIF(K13:M13,"?*")&lt;N(INDEX(Setup!$L$6:$L$23,6)))+(COUNTIF(O13:Q13,"?*")&lt;N(INDEX(Setup!$L$6:$L$23,6)))+(COUNTIF(S13:U13,"?*")&lt;N(INDEX(Setup!$L$6:$L$23,6)))+((W13="")*(INDEX(Setup!$M$6:$M$23,6)="Y"))+((Y13="")*(INDEX(Setup!$M$6:$M$23,6)="Y")))</f>
        <v/>
      </c>
      <c r="AC13" s="91">
        <f>IF($B13="","",IF(AB13=0,"✓ covered","⚠ "&amp;AB13&amp;IF(AB13=1," gap"," gaps")))</f>
        <v/>
      </c>
    </row>
    <row r="14" ht="17" customHeight="1">
      <c r="A14" t="n">
        <v>1</v>
      </c>
      <c r="B14" s="24">
        <f>IF(Setup!$K$12="","",Setup!$K$12)</f>
        <v/>
      </c>
      <c r="C14" s="88" t="n"/>
      <c r="D14" s="88" t="n"/>
      <c r="E14" s="88" t="n"/>
      <c r="F14" s="89" t="n"/>
      <c r="G14" s="88" t="n"/>
      <c r="H14" s="88" t="n"/>
      <c r="I14" s="88" t="n"/>
      <c r="J14" s="89" t="n"/>
      <c r="K14" s="88" t="n"/>
      <c r="L14" s="88" t="n"/>
      <c r="M14" s="88" t="n"/>
      <c r="N14" s="89" t="n"/>
      <c r="O14" s="88" t="n"/>
      <c r="P14" s="88" t="n"/>
      <c r="Q14" s="88" t="n"/>
      <c r="R14" s="89" t="n"/>
      <c r="S14" s="88" t="n"/>
      <c r="T14" s="88" t="n"/>
      <c r="U14" s="88" t="n"/>
      <c r="V14" s="89" t="n"/>
      <c r="W14" s="88" t="n"/>
      <c r="X14" s="89" t="n"/>
      <c r="Y14" s="88" t="n"/>
      <c r="Z14" s="89" t="n"/>
      <c r="AB14" s="25">
        <f>IF($B14="","",(COUNTIF(C14:E14,"?*")&lt;N(INDEX(Setup!$L$6:$L$23,7)))+(COUNTIF(G14:I14,"?*")&lt;N(INDEX(Setup!$L$6:$L$23,7)))+(COUNTIF(K14:M14,"?*")&lt;N(INDEX(Setup!$L$6:$L$23,7)))+(COUNTIF(O14:Q14,"?*")&lt;N(INDEX(Setup!$L$6:$L$23,7)))+(COUNTIF(S14:U14,"?*")&lt;N(INDEX(Setup!$L$6:$L$23,7)))+((W14="")*(INDEX(Setup!$M$6:$M$23,7)="Y"))+((Y14="")*(INDEX(Setup!$M$6:$M$23,7)="Y")))</f>
        <v/>
      </c>
      <c r="AC14" s="90">
        <f>IF($B14="","",IF(AB14=0,"✓ covered","⚠ "&amp;AB14&amp;IF(AB14=1," gap"," gaps")))</f>
        <v/>
      </c>
    </row>
    <row r="15" ht="17" customHeight="1">
      <c r="A15" t="n">
        <v>1</v>
      </c>
      <c r="B15" s="29">
        <f>IF(Setup!$K$13="","",Setup!$K$13)</f>
        <v/>
      </c>
      <c r="C15" s="88" t="n"/>
      <c r="D15" s="88" t="n"/>
      <c r="E15" s="88" t="n"/>
      <c r="F15" s="89" t="n"/>
      <c r="G15" s="88" t="n"/>
      <c r="H15" s="88" t="n"/>
      <c r="I15" s="88" t="n"/>
      <c r="J15" s="89" t="n"/>
      <c r="K15" s="88" t="n"/>
      <c r="L15" s="88" t="n"/>
      <c r="M15" s="88" t="n"/>
      <c r="N15" s="89" t="n"/>
      <c r="O15" s="88" t="n"/>
      <c r="P15" s="88" t="n"/>
      <c r="Q15" s="88" t="n"/>
      <c r="R15" s="89" t="n"/>
      <c r="S15" s="88" t="n"/>
      <c r="T15" s="88" t="n"/>
      <c r="U15" s="88" t="n"/>
      <c r="V15" s="89" t="n"/>
      <c r="W15" s="88" t="n"/>
      <c r="X15" s="89" t="n"/>
      <c r="Y15" s="88" t="n"/>
      <c r="Z15" s="89" t="n"/>
      <c r="AB15" s="30">
        <f>IF($B15="","",(COUNTIF(C15:E15,"?*")&lt;N(INDEX(Setup!$L$6:$L$23,8)))+(COUNTIF(G15:I15,"?*")&lt;N(INDEX(Setup!$L$6:$L$23,8)))+(COUNTIF(K15:M15,"?*")&lt;N(INDEX(Setup!$L$6:$L$23,8)))+(COUNTIF(O15:Q15,"?*")&lt;N(INDEX(Setup!$L$6:$L$23,8)))+(COUNTIF(S15:U15,"?*")&lt;N(INDEX(Setup!$L$6:$L$23,8)))+((W15="")*(INDEX(Setup!$M$6:$M$23,8)="Y"))+((Y15="")*(INDEX(Setup!$M$6:$M$23,8)="Y")))</f>
        <v/>
      </c>
      <c r="AC15" s="91">
        <f>IF($B15="","",IF(AB15=0,"✓ covered","⚠ "&amp;AB15&amp;IF(AB15=1," gap"," gaps")))</f>
        <v/>
      </c>
    </row>
    <row r="16" ht="17" customHeight="1">
      <c r="A16" t="n">
        <v>1</v>
      </c>
      <c r="B16" s="24">
        <f>IF(Setup!$K$14="","",Setup!$K$14)</f>
        <v/>
      </c>
      <c r="C16" s="88" t="n"/>
      <c r="D16" s="88" t="n"/>
      <c r="E16" s="88" t="n"/>
      <c r="F16" s="89" t="n"/>
      <c r="G16" s="88" t="n"/>
      <c r="H16" s="88" t="n"/>
      <c r="I16" s="88" t="n"/>
      <c r="J16" s="89" t="n"/>
      <c r="K16" s="88" t="n"/>
      <c r="L16" s="88" t="n"/>
      <c r="M16" s="88" t="n"/>
      <c r="N16" s="89" t="n"/>
      <c r="O16" s="88" t="n"/>
      <c r="P16" s="88" t="n"/>
      <c r="Q16" s="88" t="n"/>
      <c r="R16" s="89" t="n"/>
      <c r="S16" s="88" t="n"/>
      <c r="T16" s="88" t="n"/>
      <c r="U16" s="88" t="n"/>
      <c r="V16" s="89" t="n"/>
      <c r="W16" s="88" t="n"/>
      <c r="X16" s="89" t="n"/>
      <c r="Y16" s="88" t="n"/>
      <c r="Z16" s="89" t="n"/>
      <c r="AB16" s="25">
        <f>IF($B16="","",(COUNTIF(C16:E16,"?*")&lt;N(INDEX(Setup!$L$6:$L$23,9)))+(COUNTIF(G16:I16,"?*")&lt;N(INDEX(Setup!$L$6:$L$23,9)))+(COUNTIF(K16:M16,"?*")&lt;N(INDEX(Setup!$L$6:$L$23,9)))+(COUNTIF(O16:Q16,"?*")&lt;N(INDEX(Setup!$L$6:$L$23,9)))+(COUNTIF(S16:U16,"?*")&lt;N(INDEX(Setup!$L$6:$L$23,9)))+((W16="")*(INDEX(Setup!$M$6:$M$23,9)="Y"))+((Y16="")*(INDEX(Setup!$M$6:$M$23,9)="Y")))</f>
        <v/>
      </c>
      <c r="AC16" s="90">
        <f>IF($B16="","",IF(AB16=0,"✓ covered","⚠ "&amp;AB16&amp;IF(AB16=1," gap"," gaps")))</f>
        <v/>
      </c>
    </row>
    <row r="17" ht="17" customHeight="1">
      <c r="A17" t="n">
        <v>1</v>
      </c>
      <c r="B17" s="29">
        <f>IF(Setup!$K$15="","",Setup!$K$15)</f>
        <v/>
      </c>
      <c r="C17" s="88" t="n"/>
      <c r="D17" s="88" t="n"/>
      <c r="E17" s="88" t="n"/>
      <c r="F17" s="89" t="n"/>
      <c r="G17" s="88" t="n"/>
      <c r="H17" s="88" t="n"/>
      <c r="I17" s="88" t="n"/>
      <c r="J17" s="89" t="n"/>
      <c r="K17" s="88" t="n"/>
      <c r="L17" s="88" t="n"/>
      <c r="M17" s="88" t="n"/>
      <c r="N17" s="89" t="n"/>
      <c r="O17" s="88" t="n"/>
      <c r="P17" s="88" t="n"/>
      <c r="Q17" s="88" t="n"/>
      <c r="R17" s="89" t="n"/>
      <c r="S17" s="88" t="n"/>
      <c r="T17" s="88" t="n"/>
      <c r="U17" s="88" t="n"/>
      <c r="V17" s="89" t="n"/>
      <c r="W17" s="88" t="n"/>
      <c r="X17" s="89" t="n"/>
      <c r="Y17" s="88" t="n"/>
      <c r="Z17" s="89" t="n"/>
      <c r="AB17" s="30">
        <f>IF($B17="","",(COUNTIF(C17:E17,"?*")&lt;N(INDEX(Setup!$L$6:$L$23,10)))+(COUNTIF(G17:I17,"?*")&lt;N(INDEX(Setup!$L$6:$L$23,10)))+(COUNTIF(K17:M17,"?*")&lt;N(INDEX(Setup!$L$6:$L$23,10)))+(COUNTIF(O17:Q17,"?*")&lt;N(INDEX(Setup!$L$6:$L$23,10)))+(COUNTIF(S17:U17,"?*")&lt;N(INDEX(Setup!$L$6:$L$23,10)))+((W17="")*(INDEX(Setup!$M$6:$M$23,10)="Y"))+((Y17="")*(INDEX(Setup!$M$6:$M$23,10)="Y")))</f>
        <v/>
      </c>
      <c r="AC17" s="91">
        <f>IF($B17="","",IF(AB17=0,"✓ covered","⚠ "&amp;AB17&amp;IF(AB17=1," gap"," gaps")))</f>
        <v/>
      </c>
    </row>
    <row r="18" ht="17" customHeight="1">
      <c r="A18" t="n">
        <v>1</v>
      </c>
      <c r="B18" s="24">
        <f>IF(Setup!$K$16="","",Setup!$K$16)</f>
        <v/>
      </c>
      <c r="C18" s="88" t="n"/>
      <c r="D18" s="88" t="n"/>
      <c r="E18" s="88" t="n"/>
      <c r="F18" s="89" t="n"/>
      <c r="G18" s="88" t="n"/>
      <c r="H18" s="88" t="n"/>
      <c r="I18" s="88" t="n"/>
      <c r="J18" s="89" t="n"/>
      <c r="K18" s="88" t="n"/>
      <c r="L18" s="88" t="n"/>
      <c r="M18" s="88" t="n"/>
      <c r="N18" s="89" t="n"/>
      <c r="O18" s="88" t="n"/>
      <c r="P18" s="88" t="n"/>
      <c r="Q18" s="88" t="n"/>
      <c r="R18" s="89" t="n"/>
      <c r="S18" s="88" t="n"/>
      <c r="T18" s="88" t="n"/>
      <c r="U18" s="88" t="n"/>
      <c r="V18" s="89" t="n"/>
      <c r="W18" s="88" t="n"/>
      <c r="X18" s="89" t="n"/>
      <c r="Y18" s="88" t="n"/>
      <c r="Z18" s="89" t="n"/>
      <c r="AB18" s="25">
        <f>IF($B18="","",(COUNTIF(C18:E18,"?*")&lt;N(INDEX(Setup!$L$6:$L$23,11)))+(COUNTIF(G18:I18,"?*")&lt;N(INDEX(Setup!$L$6:$L$23,11)))+(COUNTIF(K18:M18,"?*")&lt;N(INDEX(Setup!$L$6:$L$23,11)))+(COUNTIF(O18:Q18,"?*")&lt;N(INDEX(Setup!$L$6:$L$23,11)))+(COUNTIF(S18:U18,"?*")&lt;N(INDEX(Setup!$L$6:$L$23,11)))+((W18="")*(INDEX(Setup!$M$6:$M$23,11)="Y"))+((Y18="")*(INDEX(Setup!$M$6:$M$23,11)="Y")))</f>
        <v/>
      </c>
      <c r="AC18" s="90">
        <f>IF($B18="","",IF(AB18=0,"✓ covered","⚠ "&amp;AB18&amp;IF(AB18=1," gap"," gaps")))</f>
        <v/>
      </c>
    </row>
    <row r="19" ht="17" customHeight="1">
      <c r="A19" t="n">
        <v>1</v>
      </c>
      <c r="B19" s="29">
        <f>IF(Setup!$K$17="","",Setup!$K$17)</f>
        <v/>
      </c>
      <c r="C19" s="88" t="n"/>
      <c r="D19" s="88" t="n"/>
      <c r="E19" s="88" t="n"/>
      <c r="F19" s="89" t="n"/>
      <c r="G19" s="88" t="n"/>
      <c r="H19" s="88" t="n"/>
      <c r="I19" s="88" t="n"/>
      <c r="J19" s="89" t="n"/>
      <c r="K19" s="88" t="n"/>
      <c r="L19" s="88" t="n"/>
      <c r="M19" s="88" t="n"/>
      <c r="N19" s="89" t="n"/>
      <c r="O19" s="88" t="n"/>
      <c r="P19" s="88" t="n"/>
      <c r="Q19" s="88" t="n"/>
      <c r="R19" s="89" t="n"/>
      <c r="S19" s="88" t="n"/>
      <c r="T19" s="88" t="n"/>
      <c r="U19" s="88" t="n"/>
      <c r="V19" s="89" t="n"/>
      <c r="W19" s="88" t="n"/>
      <c r="X19" s="89" t="n"/>
      <c r="Y19" s="88" t="n"/>
      <c r="Z19" s="89" t="n"/>
      <c r="AB19" s="30">
        <f>IF($B19="","",(COUNTIF(C19:E19,"?*")&lt;N(INDEX(Setup!$L$6:$L$23,12)))+(COUNTIF(G19:I19,"?*")&lt;N(INDEX(Setup!$L$6:$L$23,12)))+(COUNTIF(K19:M19,"?*")&lt;N(INDEX(Setup!$L$6:$L$23,12)))+(COUNTIF(O19:Q19,"?*")&lt;N(INDEX(Setup!$L$6:$L$23,12)))+(COUNTIF(S19:U19,"?*")&lt;N(INDEX(Setup!$L$6:$L$23,12)))+((W19="")*(INDEX(Setup!$M$6:$M$23,12)="Y"))+((Y19="")*(INDEX(Setup!$M$6:$M$23,12)="Y")))</f>
        <v/>
      </c>
      <c r="AC19" s="91">
        <f>IF($B19="","",IF(AB19=0,"✓ covered","⚠ "&amp;AB19&amp;IF(AB19=1," gap"," gaps")))</f>
        <v/>
      </c>
    </row>
    <row r="20" ht="17" customHeight="1">
      <c r="A20" t="n">
        <v>1</v>
      </c>
      <c r="B20" s="24">
        <f>IF(Setup!$K$18="","",Setup!$K$18)</f>
        <v/>
      </c>
      <c r="C20" s="88" t="n"/>
      <c r="D20" s="88" t="n"/>
      <c r="E20" s="88" t="n"/>
      <c r="F20" s="89" t="n"/>
      <c r="G20" s="88" t="n"/>
      <c r="H20" s="88" t="n"/>
      <c r="I20" s="88" t="n"/>
      <c r="J20" s="89" t="n"/>
      <c r="K20" s="88" t="n"/>
      <c r="L20" s="88" t="n"/>
      <c r="M20" s="88" t="n"/>
      <c r="N20" s="89" t="n"/>
      <c r="O20" s="88" t="n"/>
      <c r="P20" s="88" t="n"/>
      <c r="Q20" s="88" t="n"/>
      <c r="R20" s="89" t="n"/>
      <c r="S20" s="88" t="n"/>
      <c r="T20" s="88" t="n"/>
      <c r="U20" s="88" t="n"/>
      <c r="V20" s="89" t="n"/>
      <c r="W20" s="88" t="n"/>
      <c r="X20" s="89" t="n"/>
      <c r="Y20" s="88" t="n"/>
      <c r="Z20" s="89" t="n"/>
      <c r="AB20" s="25">
        <f>IF($B20="","",(COUNTIF(C20:E20,"?*")&lt;N(INDEX(Setup!$L$6:$L$23,13)))+(COUNTIF(G20:I20,"?*")&lt;N(INDEX(Setup!$L$6:$L$23,13)))+(COUNTIF(K20:M20,"?*")&lt;N(INDEX(Setup!$L$6:$L$23,13)))+(COUNTIF(O20:Q20,"?*")&lt;N(INDEX(Setup!$L$6:$L$23,13)))+(COUNTIF(S20:U20,"?*")&lt;N(INDEX(Setup!$L$6:$L$23,13)))+((W20="")*(INDEX(Setup!$M$6:$M$23,13)="Y"))+((Y20="")*(INDEX(Setup!$M$6:$M$23,13)="Y")))</f>
        <v/>
      </c>
      <c r="AC20" s="90">
        <f>IF($B20="","",IF(AB20=0,"✓ covered","⚠ "&amp;AB20&amp;IF(AB20=1," gap"," gaps")))</f>
        <v/>
      </c>
    </row>
    <row r="21" ht="17" customHeight="1">
      <c r="A21" t="n">
        <v>1</v>
      </c>
      <c r="B21" s="29">
        <f>IF(Setup!$K$19="","",Setup!$K$19)</f>
        <v/>
      </c>
      <c r="C21" s="88" t="n"/>
      <c r="D21" s="88" t="n"/>
      <c r="E21" s="88" t="n"/>
      <c r="F21" s="89" t="n"/>
      <c r="G21" s="88" t="n"/>
      <c r="H21" s="88" t="n"/>
      <c r="I21" s="88" t="n"/>
      <c r="J21" s="89" t="n"/>
      <c r="K21" s="88" t="n"/>
      <c r="L21" s="88" t="n"/>
      <c r="M21" s="88" t="n"/>
      <c r="N21" s="89" t="n"/>
      <c r="O21" s="88" t="n"/>
      <c r="P21" s="88" t="n"/>
      <c r="Q21" s="88" t="n"/>
      <c r="R21" s="89" t="n"/>
      <c r="S21" s="88" t="n"/>
      <c r="T21" s="88" t="n"/>
      <c r="U21" s="88" t="n"/>
      <c r="V21" s="89" t="n"/>
      <c r="W21" s="88" t="n"/>
      <c r="X21" s="89" t="n"/>
      <c r="Y21" s="88" t="n"/>
      <c r="Z21" s="89" t="n"/>
      <c r="AB21" s="30">
        <f>IF($B21="","",(COUNTIF(C21:E21,"?*")&lt;N(INDEX(Setup!$L$6:$L$23,14)))+(COUNTIF(G21:I21,"?*")&lt;N(INDEX(Setup!$L$6:$L$23,14)))+(COUNTIF(K21:M21,"?*")&lt;N(INDEX(Setup!$L$6:$L$23,14)))+(COUNTIF(O21:Q21,"?*")&lt;N(INDEX(Setup!$L$6:$L$23,14)))+(COUNTIF(S21:U21,"?*")&lt;N(INDEX(Setup!$L$6:$L$23,14)))+((W21="")*(INDEX(Setup!$M$6:$M$23,14)="Y"))+((Y21="")*(INDEX(Setup!$M$6:$M$23,14)="Y")))</f>
        <v/>
      </c>
      <c r="AC21" s="91">
        <f>IF($B21="","",IF(AB21=0,"✓ covered","⚠ "&amp;AB21&amp;IF(AB21=1," gap"," gaps")))</f>
        <v/>
      </c>
    </row>
    <row r="22" ht="17" customHeight="1">
      <c r="A22" t="n">
        <v>1</v>
      </c>
      <c r="B22" s="24">
        <f>IF(Setup!$K$20="","",Setup!$K$20)</f>
        <v/>
      </c>
      <c r="C22" s="88" t="n"/>
      <c r="D22" s="88" t="n"/>
      <c r="E22" s="88" t="n"/>
      <c r="F22" s="89" t="n"/>
      <c r="G22" s="88" t="n"/>
      <c r="H22" s="88" t="n"/>
      <c r="I22" s="88" t="n"/>
      <c r="J22" s="89" t="n"/>
      <c r="K22" s="88" t="n"/>
      <c r="L22" s="88" t="n"/>
      <c r="M22" s="88" t="n"/>
      <c r="N22" s="89" t="n"/>
      <c r="O22" s="88" t="n"/>
      <c r="P22" s="88" t="n"/>
      <c r="Q22" s="88" t="n"/>
      <c r="R22" s="89" t="n"/>
      <c r="S22" s="88" t="n"/>
      <c r="T22" s="88" t="n"/>
      <c r="U22" s="88" t="n"/>
      <c r="V22" s="89" t="n"/>
      <c r="W22" s="88" t="n"/>
      <c r="X22" s="89" t="n"/>
      <c r="Y22" s="88" t="n"/>
      <c r="Z22" s="89" t="n"/>
      <c r="AB22" s="25">
        <f>IF($B22="","",(COUNTIF(C22:E22,"?*")&lt;N(INDEX(Setup!$L$6:$L$23,15)))+(COUNTIF(G22:I22,"?*")&lt;N(INDEX(Setup!$L$6:$L$23,15)))+(COUNTIF(K22:M22,"?*")&lt;N(INDEX(Setup!$L$6:$L$23,15)))+(COUNTIF(O22:Q22,"?*")&lt;N(INDEX(Setup!$L$6:$L$23,15)))+(COUNTIF(S22:U22,"?*")&lt;N(INDEX(Setup!$L$6:$L$23,15)))+((W22="")*(INDEX(Setup!$M$6:$M$23,15)="Y"))+((Y22="")*(INDEX(Setup!$M$6:$M$23,15)="Y")))</f>
        <v/>
      </c>
      <c r="AC22" s="90">
        <f>IF($B22="","",IF(AB22=0,"✓ covered","⚠ "&amp;AB22&amp;IF(AB22=1," gap"," gaps")))</f>
        <v/>
      </c>
    </row>
    <row r="23" ht="17" customHeight="1">
      <c r="A23" t="n">
        <v>1</v>
      </c>
      <c r="B23" s="29">
        <f>IF(Setup!$K$21="","",Setup!$K$21)</f>
        <v/>
      </c>
      <c r="C23" s="88" t="n"/>
      <c r="D23" s="88" t="n"/>
      <c r="E23" s="88" t="n"/>
      <c r="F23" s="89" t="n"/>
      <c r="G23" s="88" t="n"/>
      <c r="H23" s="88" t="n"/>
      <c r="I23" s="88" t="n"/>
      <c r="J23" s="89" t="n"/>
      <c r="K23" s="88" t="n"/>
      <c r="L23" s="88" t="n"/>
      <c r="M23" s="88" t="n"/>
      <c r="N23" s="89" t="n"/>
      <c r="O23" s="88" t="n"/>
      <c r="P23" s="88" t="n"/>
      <c r="Q23" s="88" t="n"/>
      <c r="R23" s="89" t="n"/>
      <c r="S23" s="88" t="n"/>
      <c r="T23" s="88" t="n"/>
      <c r="U23" s="88" t="n"/>
      <c r="V23" s="89" t="n"/>
      <c r="W23" s="88" t="n"/>
      <c r="X23" s="89" t="n"/>
      <c r="Y23" s="88" t="n"/>
      <c r="Z23" s="89" t="n"/>
      <c r="AB23" s="30">
        <f>IF($B23="","",(COUNTIF(C23:E23,"?*")&lt;N(INDEX(Setup!$L$6:$L$23,16)))+(COUNTIF(G23:I23,"?*")&lt;N(INDEX(Setup!$L$6:$L$23,16)))+(COUNTIF(K23:M23,"?*")&lt;N(INDEX(Setup!$L$6:$L$23,16)))+(COUNTIF(O23:Q23,"?*")&lt;N(INDEX(Setup!$L$6:$L$23,16)))+(COUNTIF(S23:U23,"?*")&lt;N(INDEX(Setup!$L$6:$L$23,16)))+((W23="")*(INDEX(Setup!$M$6:$M$23,16)="Y"))+((Y23="")*(INDEX(Setup!$M$6:$M$23,16)="Y")))</f>
        <v/>
      </c>
      <c r="AC23" s="91">
        <f>IF($B23="","",IF(AB23=0,"✓ covered","⚠ "&amp;AB23&amp;IF(AB23=1," gap"," gaps")))</f>
        <v/>
      </c>
    </row>
    <row r="24" ht="17" customHeight="1">
      <c r="A24" t="n">
        <v>1</v>
      </c>
      <c r="B24" s="24">
        <f>IF(Setup!$K$22="","",Setup!$K$22)</f>
        <v/>
      </c>
      <c r="C24" s="88" t="n"/>
      <c r="D24" s="88" t="n"/>
      <c r="E24" s="88" t="n"/>
      <c r="F24" s="89" t="n"/>
      <c r="G24" s="88" t="n"/>
      <c r="H24" s="88" t="n"/>
      <c r="I24" s="88" t="n"/>
      <c r="J24" s="89" t="n"/>
      <c r="K24" s="88" t="n"/>
      <c r="L24" s="88" t="n"/>
      <c r="M24" s="88" t="n"/>
      <c r="N24" s="89" t="n"/>
      <c r="O24" s="88" t="n"/>
      <c r="P24" s="88" t="n"/>
      <c r="Q24" s="88" t="n"/>
      <c r="R24" s="89" t="n"/>
      <c r="S24" s="88" t="n"/>
      <c r="T24" s="88" t="n"/>
      <c r="U24" s="88" t="n"/>
      <c r="V24" s="89" t="n"/>
      <c r="W24" s="88" t="n"/>
      <c r="X24" s="89" t="n"/>
      <c r="Y24" s="88" t="n"/>
      <c r="Z24" s="89" t="n"/>
      <c r="AB24" s="25">
        <f>IF($B24="","",(COUNTIF(C24:E24,"?*")&lt;N(INDEX(Setup!$L$6:$L$23,17)))+(COUNTIF(G24:I24,"?*")&lt;N(INDEX(Setup!$L$6:$L$23,17)))+(COUNTIF(K24:M24,"?*")&lt;N(INDEX(Setup!$L$6:$L$23,17)))+(COUNTIF(O24:Q24,"?*")&lt;N(INDEX(Setup!$L$6:$L$23,17)))+(COUNTIF(S24:U24,"?*")&lt;N(INDEX(Setup!$L$6:$L$23,17)))+((W24="")*(INDEX(Setup!$M$6:$M$23,17)="Y"))+((Y24="")*(INDEX(Setup!$M$6:$M$23,17)="Y")))</f>
        <v/>
      </c>
      <c r="AC24" s="90">
        <f>IF($B24="","",IF(AB24=0,"✓ covered","⚠ "&amp;AB24&amp;IF(AB24=1," gap"," gaps")))</f>
        <v/>
      </c>
    </row>
    <row r="25" ht="17" customHeight="1">
      <c r="A25" t="n">
        <v>1</v>
      </c>
      <c r="B25" s="29">
        <f>IF(Setup!$K$23="","",Setup!$K$23)</f>
        <v/>
      </c>
      <c r="C25" s="88" t="n"/>
      <c r="D25" s="88" t="n"/>
      <c r="E25" s="88" t="n"/>
      <c r="F25" s="89" t="n"/>
      <c r="G25" s="88" t="n"/>
      <c r="H25" s="88" t="n"/>
      <c r="I25" s="88" t="n"/>
      <c r="J25" s="89" t="n"/>
      <c r="K25" s="88" t="n"/>
      <c r="L25" s="88" t="n"/>
      <c r="M25" s="88" t="n"/>
      <c r="N25" s="89" t="n"/>
      <c r="O25" s="88" t="n"/>
      <c r="P25" s="88" t="n"/>
      <c r="Q25" s="88" t="n"/>
      <c r="R25" s="89" t="n"/>
      <c r="S25" s="88" t="n"/>
      <c r="T25" s="88" t="n"/>
      <c r="U25" s="88" t="n"/>
      <c r="V25" s="89" t="n"/>
      <c r="W25" s="88" t="n"/>
      <c r="X25" s="89" t="n"/>
      <c r="Y25" s="88" t="n"/>
      <c r="Z25" s="89" t="n"/>
      <c r="AB25" s="30">
        <f>IF($B25="","",(COUNTIF(C25:E25,"?*")&lt;N(INDEX(Setup!$L$6:$L$23,18)))+(COUNTIF(G25:I25,"?*")&lt;N(INDEX(Setup!$L$6:$L$23,18)))+(COUNTIF(K25:M25,"?*")&lt;N(INDEX(Setup!$L$6:$L$23,18)))+(COUNTIF(O25:Q25,"?*")&lt;N(INDEX(Setup!$L$6:$L$23,18)))+(COUNTIF(S25:U25,"?*")&lt;N(INDEX(Setup!$L$6:$L$23,18)))+((W25="")*(INDEX(Setup!$M$6:$M$23,18)="Y"))+((Y25="")*(INDEX(Setup!$M$6:$M$23,18)="Y")))</f>
        <v/>
      </c>
      <c r="AC25" s="91">
        <f>IF($B25="","",IF(AB25=0,"✓ covered","⚠ "&amp;AB25&amp;IF(AB25=1," gap"," gaps")))</f>
        <v/>
      </c>
    </row>
    <row r="26" ht="18" customHeight="1">
      <c r="A26" t="n">
        <v>1</v>
      </c>
      <c r="B26" s="78" t="inlineStr">
        <is>
          <t>TEAM AVAILABILITY</t>
        </is>
      </c>
      <c r="C26" s="92" t="inlineStr">
        <is>
          <t>Mon</t>
        </is>
      </c>
      <c r="D26" s="93" t="n"/>
      <c r="E26" s="93" t="n"/>
      <c r="F26" s="94" t="n"/>
      <c r="G26" s="92" t="inlineStr">
        <is>
          <t>Tue</t>
        </is>
      </c>
      <c r="H26" s="93" t="n"/>
      <c r="I26" s="93" t="n"/>
      <c r="J26" s="94" t="n"/>
      <c r="K26" s="92" t="inlineStr">
        <is>
          <t>Wed</t>
        </is>
      </c>
      <c r="L26" s="93" t="n"/>
      <c r="M26" s="93" t="n"/>
      <c r="N26" s="94" t="n"/>
      <c r="O26" s="92" t="inlineStr">
        <is>
          <t>Thu</t>
        </is>
      </c>
      <c r="P26" s="93" t="n"/>
      <c r="Q26" s="93" t="n"/>
      <c r="R26" s="94" t="n"/>
      <c r="S26" s="92" t="inlineStr">
        <is>
          <t>Fri</t>
        </is>
      </c>
      <c r="T26" s="93" t="n"/>
      <c r="U26" s="93" t="n"/>
      <c r="V26" s="94" t="n"/>
      <c r="W26" s="95" t="inlineStr">
        <is>
          <t>Sat</t>
        </is>
      </c>
      <c r="X26" s="96" t="n"/>
      <c r="Y26" s="95" t="inlineStr">
        <is>
          <t>Sun</t>
        </is>
      </c>
      <c r="Z26" s="96" t="n"/>
      <c r="AB26" s="97" t="inlineStr">
        <is>
          <t>Days rostered</t>
        </is>
      </c>
      <c r="AC26" s="97" t="inlineStr">
        <is>
          <t>Conflicts</t>
        </is>
      </c>
    </row>
    <row r="27" ht="15" customHeight="1">
      <c r="A27" t="n">
        <v>1</v>
      </c>
      <c r="B27" s="35">
        <f>IF(Setup!$B$6="","",Setup!$B$6)</f>
        <v/>
      </c>
      <c r="C27" s="98" t="n"/>
      <c r="D27" s="99" t="n"/>
      <c r="E27" s="99" t="n"/>
      <c r="F27" s="100" t="n"/>
      <c r="G27" s="98" t="n"/>
      <c r="H27" s="99" t="n"/>
      <c r="I27" s="99" t="n"/>
      <c r="J27" s="100" t="n"/>
      <c r="K27" s="98" t="n"/>
      <c r="L27" s="99" t="n"/>
      <c r="M27" s="99" t="n"/>
      <c r="N27" s="100" t="n"/>
      <c r="O27" s="98" t="n"/>
      <c r="P27" s="99" t="n"/>
      <c r="Q27" s="99" t="n"/>
      <c r="R27" s="100" t="n"/>
      <c r="S27" s="98" t="n"/>
      <c r="T27" s="99" t="n"/>
      <c r="U27" s="99" t="n"/>
      <c r="V27" s="100" t="n"/>
      <c r="W27" s="98" t="n"/>
      <c r="X27" s="100" t="n"/>
      <c r="Y27" s="98" t="n"/>
      <c r="Z27" s="100" t="n"/>
      <c r="AB27" s="101">
        <f>IF($B27="","",(COUNTIF(C8:E25,$B27)+COUNTIF(C8:E25,$B27&amp;" ~*")&gt;0)+(COUNTIF(G8:I25,$B27)+COUNTIF(G8:I25,$B27&amp;" ~*")&gt;0)+(COUNTIF(K8:M25,$B27)+COUNTIF(K8:M25,$B27&amp;" ~*")&gt;0)+(COUNTIF(O8:Q25,$B27)+COUNTIF(O8:Q25,$B27&amp;" ~*")&gt;0)+(COUNTIF(S8:U25,$B27)+COUNTIF(S8:U25,$B27&amp;" ~*")&gt;0)+(COUNTIF(W8:W25,$B27)+COUNTIF(W8:W25,$B27&amp;" ~*")&gt;0)+(COUNTIF(Y8:Y25,$B27)+COUNTIF(Y8:Y25,$B27&amp;" ~*")&gt;0))</f>
        <v/>
      </c>
      <c r="AC27" s="36">
        <f>IF($B27="","",(IFERROR(INDEX(Setup!$G$33:$G$40,MATCH(C27,Setup!$B$33:$B$40,0)),0)=1)*(COUNTIF(C8:E25,$B27)+COUNTIF(C8:E25,$B27&amp;" ~*")&gt;0)+(IFERROR(INDEX(Setup!$G$33:$G$40,MATCH(G27,Setup!$B$33:$B$40,0)),0)=1)*(COUNTIF(G8:I25,$B27)+COUNTIF(G8:I25,$B27&amp;" ~*")&gt;0)+(IFERROR(INDEX(Setup!$G$33:$G$40,MATCH(K27,Setup!$B$33:$B$40,0)),0)=1)*(COUNTIF(K8:M25,$B27)+COUNTIF(K8:M25,$B27&amp;" ~*")&gt;0)+(IFERROR(INDEX(Setup!$G$33:$G$40,MATCH(O27,Setup!$B$33:$B$40,0)),0)=1)*(COUNTIF(O8:Q25,$B27)+COUNTIF(O8:Q25,$B27&amp;" ~*")&gt;0)+(IFERROR(INDEX(Setup!$G$33:$G$40,MATCH(S27,Setup!$B$33:$B$40,0)),0)=1)*(COUNTIF(S8:U25,$B27)+COUNTIF(S8:U25,$B27&amp;" ~*")&gt;0)+(IFERROR(INDEX(Setup!$G$33:$G$40,MATCH(W27,Setup!$B$33:$B$40,0)),0)=1)*(COUNTIF(W8:W25,$B27)+COUNTIF(W8:W25,$B27&amp;" ~*")&gt;0)+(IFERROR(INDEX(Setup!$G$33:$G$40,MATCH(Y27,Setup!$B$33:$B$40,0)),0)=1)*(COUNTIF(Y8:Y25,$B27)+COUNTIF(Y8:Y25,$B27&amp;" ~*")&gt;0))</f>
        <v/>
      </c>
    </row>
    <row r="28" ht="15" customHeight="1">
      <c r="A28" t="n">
        <v>1</v>
      </c>
      <c r="B28" s="37">
        <f>IF(Setup!$B$7="","",Setup!$B$7)</f>
        <v/>
      </c>
      <c r="C28" s="102" t="n"/>
      <c r="D28" s="103" t="n"/>
      <c r="E28" s="103" t="n"/>
      <c r="F28" s="104" t="n"/>
      <c r="G28" s="102" t="n"/>
      <c r="H28" s="103" t="n"/>
      <c r="I28" s="103" t="n"/>
      <c r="J28" s="104" t="n"/>
      <c r="K28" s="102" t="n"/>
      <c r="L28" s="103" t="n"/>
      <c r="M28" s="103" t="n"/>
      <c r="N28" s="104" t="n"/>
      <c r="O28" s="102" t="n"/>
      <c r="P28" s="103" t="n"/>
      <c r="Q28" s="103" t="n"/>
      <c r="R28" s="104" t="n"/>
      <c r="S28" s="102" t="n"/>
      <c r="T28" s="103" t="n"/>
      <c r="U28" s="103" t="n"/>
      <c r="V28" s="104" t="n"/>
      <c r="W28" s="102" t="n"/>
      <c r="X28" s="104" t="n"/>
      <c r="Y28" s="102" t="n"/>
      <c r="Z28" s="104" t="n"/>
      <c r="AB28" s="105">
        <f>IF($B28="","",(COUNTIF(C8:E25,$B28)+COUNTIF(C8:E25,$B28&amp;" ~*")&gt;0)+(COUNTIF(G8:I25,$B28)+COUNTIF(G8:I25,$B28&amp;" ~*")&gt;0)+(COUNTIF(K8:M25,$B28)+COUNTIF(K8:M25,$B28&amp;" ~*")&gt;0)+(COUNTIF(O8:Q25,$B28)+COUNTIF(O8:Q25,$B28&amp;" ~*")&gt;0)+(COUNTIF(S8:U25,$B28)+COUNTIF(S8:U25,$B28&amp;" ~*")&gt;0)+(COUNTIF(W8:W25,$B28)+COUNTIF(W8:W25,$B28&amp;" ~*")&gt;0)+(COUNTIF(Y8:Y25,$B28)+COUNTIF(Y8:Y25,$B28&amp;" ~*")&gt;0))</f>
        <v/>
      </c>
      <c r="AC28" s="38">
        <f>IF($B28="","",(IFERROR(INDEX(Setup!$G$33:$G$40,MATCH(C28,Setup!$B$33:$B$40,0)),0)=1)*(COUNTIF(C8:E25,$B28)+COUNTIF(C8:E25,$B28&amp;" ~*")&gt;0)+(IFERROR(INDEX(Setup!$G$33:$G$40,MATCH(G28,Setup!$B$33:$B$40,0)),0)=1)*(COUNTIF(G8:I25,$B28)+COUNTIF(G8:I25,$B28&amp;" ~*")&gt;0)+(IFERROR(INDEX(Setup!$G$33:$G$40,MATCH(K28,Setup!$B$33:$B$40,0)),0)=1)*(COUNTIF(K8:M25,$B28)+COUNTIF(K8:M25,$B28&amp;" ~*")&gt;0)+(IFERROR(INDEX(Setup!$G$33:$G$40,MATCH(O28,Setup!$B$33:$B$40,0)),0)=1)*(COUNTIF(O8:Q25,$B28)+COUNTIF(O8:Q25,$B28&amp;" ~*")&gt;0)+(IFERROR(INDEX(Setup!$G$33:$G$40,MATCH(S28,Setup!$B$33:$B$40,0)),0)=1)*(COUNTIF(S8:U25,$B28)+COUNTIF(S8:U25,$B28&amp;" ~*")&gt;0)+(IFERROR(INDEX(Setup!$G$33:$G$40,MATCH(W28,Setup!$B$33:$B$40,0)),0)=1)*(COUNTIF(W8:W25,$B28)+COUNTIF(W8:W25,$B28&amp;" ~*")&gt;0)+(IFERROR(INDEX(Setup!$G$33:$G$40,MATCH(Y28,Setup!$B$33:$B$40,0)),0)=1)*(COUNTIF(Y8:Y25,$B28)+COUNTIF(Y8:Y25,$B28&amp;" ~*")&gt;0))</f>
        <v/>
      </c>
    </row>
    <row r="29" ht="15" customHeight="1">
      <c r="A29" t="n">
        <v>1</v>
      </c>
      <c r="B29" s="35">
        <f>IF(Setup!$B$8="","",Setup!$B$8)</f>
        <v/>
      </c>
      <c r="C29" s="98" t="n"/>
      <c r="D29" s="99" t="n"/>
      <c r="E29" s="99" t="n"/>
      <c r="F29" s="100" t="n"/>
      <c r="G29" s="98" t="n"/>
      <c r="H29" s="99" t="n"/>
      <c r="I29" s="99" t="n"/>
      <c r="J29" s="100" t="n"/>
      <c r="K29" s="98" t="n"/>
      <c r="L29" s="99" t="n"/>
      <c r="M29" s="99" t="n"/>
      <c r="N29" s="100" t="n"/>
      <c r="O29" s="98" t="n"/>
      <c r="P29" s="99" t="n"/>
      <c r="Q29" s="99" t="n"/>
      <c r="R29" s="100" t="n"/>
      <c r="S29" s="98" t="n"/>
      <c r="T29" s="99" t="n"/>
      <c r="U29" s="99" t="n"/>
      <c r="V29" s="100" t="n"/>
      <c r="W29" s="98" t="n"/>
      <c r="X29" s="100" t="n"/>
      <c r="Y29" s="98" t="n"/>
      <c r="Z29" s="100" t="n"/>
      <c r="AB29" s="101">
        <f>IF($B29="","",(COUNTIF(C8:E25,$B29)+COUNTIF(C8:E25,$B29&amp;" ~*")&gt;0)+(COUNTIF(G8:I25,$B29)+COUNTIF(G8:I25,$B29&amp;" ~*")&gt;0)+(COUNTIF(K8:M25,$B29)+COUNTIF(K8:M25,$B29&amp;" ~*")&gt;0)+(COUNTIF(O8:Q25,$B29)+COUNTIF(O8:Q25,$B29&amp;" ~*")&gt;0)+(COUNTIF(S8:U25,$B29)+COUNTIF(S8:U25,$B29&amp;" ~*")&gt;0)+(COUNTIF(W8:W25,$B29)+COUNTIF(W8:W25,$B29&amp;" ~*")&gt;0)+(COUNTIF(Y8:Y25,$B29)+COUNTIF(Y8:Y25,$B29&amp;" ~*")&gt;0))</f>
        <v/>
      </c>
      <c r="AC29" s="36">
        <f>IF($B29="","",(IFERROR(INDEX(Setup!$G$33:$G$40,MATCH(C29,Setup!$B$33:$B$40,0)),0)=1)*(COUNTIF(C8:E25,$B29)+COUNTIF(C8:E25,$B29&amp;" ~*")&gt;0)+(IFERROR(INDEX(Setup!$G$33:$G$40,MATCH(G29,Setup!$B$33:$B$40,0)),0)=1)*(COUNTIF(G8:I25,$B29)+COUNTIF(G8:I25,$B29&amp;" ~*")&gt;0)+(IFERROR(INDEX(Setup!$G$33:$G$40,MATCH(K29,Setup!$B$33:$B$40,0)),0)=1)*(COUNTIF(K8:M25,$B29)+COUNTIF(K8:M25,$B29&amp;" ~*")&gt;0)+(IFERROR(INDEX(Setup!$G$33:$G$40,MATCH(O29,Setup!$B$33:$B$40,0)),0)=1)*(COUNTIF(O8:Q25,$B29)+COUNTIF(O8:Q25,$B29&amp;" ~*")&gt;0)+(IFERROR(INDEX(Setup!$G$33:$G$40,MATCH(S29,Setup!$B$33:$B$40,0)),0)=1)*(COUNTIF(S8:U25,$B29)+COUNTIF(S8:U25,$B29&amp;" ~*")&gt;0)+(IFERROR(INDEX(Setup!$G$33:$G$40,MATCH(W29,Setup!$B$33:$B$40,0)),0)=1)*(COUNTIF(W8:W25,$B29)+COUNTIF(W8:W25,$B29&amp;" ~*")&gt;0)+(IFERROR(INDEX(Setup!$G$33:$G$40,MATCH(Y29,Setup!$B$33:$B$40,0)),0)=1)*(COUNTIF(Y8:Y25,$B29)+COUNTIF(Y8:Y25,$B29&amp;" ~*")&gt;0))</f>
        <v/>
      </c>
    </row>
    <row r="30" ht="15" customHeight="1">
      <c r="A30" t="n">
        <v>1</v>
      </c>
      <c r="B30" s="37">
        <f>IF(Setup!$B$9="","",Setup!$B$9)</f>
        <v/>
      </c>
      <c r="C30" s="102" t="n"/>
      <c r="D30" s="103" t="n"/>
      <c r="E30" s="103" t="n"/>
      <c r="F30" s="104" t="n"/>
      <c r="G30" s="102" t="n"/>
      <c r="H30" s="103" t="n"/>
      <c r="I30" s="103" t="n"/>
      <c r="J30" s="104" t="n"/>
      <c r="K30" s="102" t="n"/>
      <c r="L30" s="103" t="n"/>
      <c r="M30" s="103" t="n"/>
      <c r="N30" s="104" t="n"/>
      <c r="O30" s="102" t="n"/>
      <c r="P30" s="103" t="n"/>
      <c r="Q30" s="103" t="n"/>
      <c r="R30" s="104" t="n"/>
      <c r="S30" s="102" t="n"/>
      <c r="T30" s="103" t="n"/>
      <c r="U30" s="103" t="n"/>
      <c r="V30" s="104" t="n"/>
      <c r="W30" s="102" t="n"/>
      <c r="X30" s="104" t="n"/>
      <c r="Y30" s="102" t="n"/>
      <c r="Z30" s="104" t="n"/>
      <c r="AB30" s="105">
        <f>IF($B30="","",(COUNTIF(C8:E25,$B30)+COUNTIF(C8:E25,$B30&amp;" ~*")&gt;0)+(COUNTIF(G8:I25,$B30)+COUNTIF(G8:I25,$B30&amp;" ~*")&gt;0)+(COUNTIF(K8:M25,$B30)+COUNTIF(K8:M25,$B30&amp;" ~*")&gt;0)+(COUNTIF(O8:Q25,$B30)+COUNTIF(O8:Q25,$B30&amp;" ~*")&gt;0)+(COUNTIF(S8:U25,$B30)+COUNTIF(S8:U25,$B30&amp;" ~*")&gt;0)+(COUNTIF(W8:W25,$B30)+COUNTIF(W8:W25,$B30&amp;" ~*")&gt;0)+(COUNTIF(Y8:Y25,$B30)+COUNTIF(Y8:Y25,$B30&amp;" ~*")&gt;0))</f>
        <v/>
      </c>
      <c r="AC30" s="38">
        <f>IF($B30="","",(IFERROR(INDEX(Setup!$G$33:$G$40,MATCH(C30,Setup!$B$33:$B$40,0)),0)=1)*(COUNTIF(C8:E25,$B30)+COUNTIF(C8:E25,$B30&amp;" ~*")&gt;0)+(IFERROR(INDEX(Setup!$G$33:$G$40,MATCH(G30,Setup!$B$33:$B$40,0)),0)=1)*(COUNTIF(G8:I25,$B30)+COUNTIF(G8:I25,$B30&amp;" ~*")&gt;0)+(IFERROR(INDEX(Setup!$G$33:$G$40,MATCH(K30,Setup!$B$33:$B$40,0)),0)=1)*(COUNTIF(K8:M25,$B30)+COUNTIF(K8:M25,$B30&amp;" ~*")&gt;0)+(IFERROR(INDEX(Setup!$G$33:$G$40,MATCH(O30,Setup!$B$33:$B$40,0)),0)=1)*(COUNTIF(O8:Q25,$B30)+COUNTIF(O8:Q25,$B30&amp;" ~*")&gt;0)+(IFERROR(INDEX(Setup!$G$33:$G$40,MATCH(S30,Setup!$B$33:$B$40,0)),0)=1)*(COUNTIF(S8:U25,$B30)+COUNTIF(S8:U25,$B30&amp;" ~*")&gt;0)+(IFERROR(INDEX(Setup!$G$33:$G$40,MATCH(W30,Setup!$B$33:$B$40,0)),0)=1)*(COUNTIF(W8:W25,$B30)+COUNTIF(W8:W25,$B30&amp;" ~*")&gt;0)+(IFERROR(INDEX(Setup!$G$33:$G$40,MATCH(Y30,Setup!$B$33:$B$40,0)),0)=1)*(COUNTIF(Y8:Y25,$B30)+COUNTIF(Y8:Y25,$B30&amp;" ~*")&gt;0))</f>
        <v/>
      </c>
    </row>
    <row r="31" ht="15" customHeight="1">
      <c r="A31" t="n">
        <v>1</v>
      </c>
      <c r="B31" s="35">
        <f>IF(Setup!$B$10="","",Setup!$B$10)</f>
        <v/>
      </c>
      <c r="C31" s="98" t="n"/>
      <c r="D31" s="99" t="n"/>
      <c r="E31" s="99" t="n"/>
      <c r="F31" s="100" t="n"/>
      <c r="G31" s="98" t="n"/>
      <c r="H31" s="99" t="n"/>
      <c r="I31" s="99" t="n"/>
      <c r="J31" s="100" t="n"/>
      <c r="K31" s="98" t="n"/>
      <c r="L31" s="99" t="n"/>
      <c r="M31" s="99" t="n"/>
      <c r="N31" s="100" t="n"/>
      <c r="O31" s="98" t="n"/>
      <c r="P31" s="99" t="n"/>
      <c r="Q31" s="99" t="n"/>
      <c r="R31" s="100" t="n"/>
      <c r="S31" s="98" t="n"/>
      <c r="T31" s="99" t="n"/>
      <c r="U31" s="99" t="n"/>
      <c r="V31" s="100" t="n"/>
      <c r="W31" s="98" t="n"/>
      <c r="X31" s="100" t="n"/>
      <c r="Y31" s="98" t="n"/>
      <c r="Z31" s="100" t="n"/>
      <c r="AB31" s="101">
        <f>IF($B31="","",(COUNTIF(C8:E25,$B31)+COUNTIF(C8:E25,$B31&amp;" ~*")&gt;0)+(COUNTIF(G8:I25,$B31)+COUNTIF(G8:I25,$B31&amp;" ~*")&gt;0)+(COUNTIF(K8:M25,$B31)+COUNTIF(K8:M25,$B31&amp;" ~*")&gt;0)+(COUNTIF(O8:Q25,$B31)+COUNTIF(O8:Q25,$B31&amp;" ~*")&gt;0)+(COUNTIF(S8:U25,$B31)+COUNTIF(S8:U25,$B31&amp;" ~*")&gt;0)+(COUNTIF(W8:W25,$B31)+COUNTIF(W8:W25,$B31&amp;" ~*")&gt;0)+(COUNTIF(Y8:Y25,$B31)+COUNTIF(Y8:Y25,$B31&amp;" ~*")&gt;0))</f>
        <v/>
      </c>
      <c r="AC31" s="36">
        <f>IF($B31="","",(IFERROR(INDEX(Setup!$G$33:$G$40,MATCH(C31,Setup!$B$33:$B$40,0)),0)=1)*(COUNTIF(C8:E25,$B31)+COUNTIF(C8:E25,$B31&amp;" ~*")&gt;0)+(IFERROR(INDEX(Setup!$G$33:$G$40,MATCH(G31,Setup!$B$33:$B$40,0)),0)=1)*(COUNTIF(G8:I25,$B31)+COUNTIF(G8:I25,$B31&amp;" ~*")&gt;0)+(IFERROR(INDEX(Setup!$G$33:$G$40,MATCH(K31,Setup!$B$33:$B$40,0)),0)=1)*(COUNTIF(K8:M25,$B31)+COUNTIF(K8:M25,$B31&amp;" ~*")&gt;0)+(IFERROR(INDEX(Setup!$G$33:$G$40,MATCH(O31,Setup!$B$33:$B$40,0)),0)=1)*(COUNTIF(O8:Q25,$B31)+COUNTIF(O8:Q25,$B31&amp;" ~*")&gt;0)+(IFERROR(INDEX(Setup!$G$33:$G$40,MATCH(S31,Setup!$B$33:$B$40,0)),0)=1)*(COUNTIF(S8:U25,$B31)+COUNTIF(S8:U25,$B31&amp;" ~*")&gt;0)+(IFERROR(INDEX(Setup!$G$33:$G$40,MATCH(W31,Setup!$B$33:$B$40,0)),0)=1)*(COUNTIF(W8:W25,$B31)+COUNTIF(W8:W25,$B31&amp;" ~*")&gt;0)+(IFERROR(INDEX(Setup!$G$33:$G$40,MATCH(Y31,Setup!$B$33:$B$40,0)),0)=1)*(COUNTIF(Y8:Y25,$B31)+COUNTIF(Y8:Y25,$B31&amp;" ~*")&gt;0))</f>
        <v/>
      </c>
    </row>
    <row r="32" ht="15" customHeight="1">
      <c r="A32" t="n">
        <v>1</v>
      </c>
      <c r="B32" s="37">
        <f>IF(Setup!$B$11="","",Setup!$B$11)</f>
        <v/>
      </c>
      <c r="C32" s="102" t="n"/>
      <c r="D32" s="103" t="n"/>
      <c r="E32" s="103" t="n"/>
      <c r="F32" s="104" t="n"/>
      <c r="G32" s="102" t="n"/>
      <c r="H32" s="103" t="n"/>
      <c r="I32" s="103" t="n"/>
      <c r="J32" s="104" t="n"/>
      <c r="K32" s="102" t="n"/>
      <c r="L32" s="103" t="n"/>
      <c r="M32" s="103" t="n"/>
      <c r="N32" s="104" t="n"/>
      <c r="O32" s="102" t="n"/>
      <c r="P32" s="103" t="n"/>
      <c r="Q32" s="103" t="n"/>
      <c r="R32" s="104" t="n"/>
      <c r="S32" s="102" t="n"/>
      <c r="T32" s="103" t="n"/>
      <c r="U32" s="103" t="n"/>
      <c r="V32" s="104" t="n"/>
      <c r="W32" s="102" t="n"/>
      <c r="X32" s="104" t="n"/>
      <c r="Y32" s="102" t="n"/>
      <c r="Z32" s="104" t="n"/>
      <c r="AB32" s="105">
        <f>IF($B32="","",(COUNTIF(C8:E25,$B32)+COUNTIF(C8:E25,$B32&amp;" ~*")&gt;0)+(COUNTIF(G8:I25,$B32)+COUNTIF(G8:I25,$B32&amp;" ~*")&gt;0)+(COUNTIF(K8:M25,$B32)+COUNTIF(K8:M25,$B32&amp;" ~*")&gt;0)+(COUNTIF(O8:Q25,$B32)+COUNTIF(O8:Q25,$B32&amp;" ~*")&gt;0)+(COUNTIF(S8:U25,$B32)+COUNTIF(S8:U25,$B32&amp;" ~*")&gt;0)+(COUNTIF(W8:W25,$B32)+COUNTIF(W8:W25,$B32&amp;" ~*")&gt;0)+(COUNTIF(Y8:Y25,$B32)+COUNTIF(Y8:Y25,$B32&amp;" ~*")&gt;0))</f>
        <v/>
      </c>
      <c r="AC32" s="38">
        <f>IF($B32="","",(IFERROR(INDEX(Setup!$G$33:$G$40,MATCH(C32,Setup!$B$33:$B$40,0)),0)=1)*(COUNTIF(C8:E25,$B32)+COUNTIF(C8:E25,$B32&amp;" ~*")&gt;0)+(IFERROR(INDEX(Setup!$G$33:$G$40,MATCH(G32,Setup!$B$33:$B$40,0)),0)=1)*(COUNTIF(G8:I25,$B32)+COUNTIF(G8:I25,$B32&amp;" ~*")&gt;0)+(IFERROR(INDEX(Setup!$G$33:$G$40,MATCH(K32,Setup!$B$33:$B$40,0)),0)=1)*(COUNTIF(K8:M25,$B32)+COUNTIF(K8:M25,$B32&amp;" ~*")&gt;0)+(IFERROR(INDEX(Setup!$G$33:$G$40,MATCH(O32,Setup!$B$33:$B$40,0)),0)=1)*(COUNTIF(O8:Q25,$B32)+COUNTIF(O8:Q25,$B32&amp;" ~*")&gt;0)+(IFERROR(INDEX(Setup!$G$33:$G$40,MATCH(S32,Setup!$B$33:$B$40,0)),0)=1)*(COUNTIF(S8:U25,$B32)+COUNTIF(S8:U25,$B32&amp;" ~*")&gt;0)+(IFERROR(INDEX(Setup!$G$33:$G$40,MATCH(W32,Setup!$B$33:$B$40,0)),0)=1)*(COUNTIF(W8:W25,$B32)+COUNTIF(W8:W25,$B32&amp;" ~*")&gt;0)+(IFERROR(INDEX(Setup!$G$33:$G$40,MATCH(Y32,Setup!$B$33:$B$40,0)),0)=1)*(COUNTIF(Y8:Y25,$B32)+COUNTIF(Y8:Y25,$B32&amp;" ~*")&gt;0))</f>
        <v/>
      </c>
    </row>
    <row r="33" ht="15" customHeight="1">
      <c r="A33" t="n">
        <v>1</v>
      </c>
      <c r="B33" s="35">
        <f>IF(Setup!$B$12="","",Setup!$B$12)</f>
        <v/>
      </c>
      <c r="C33" s="98" t="n"/>
      <c r="D33" s="99" t="n"/>
      <c r="E33" s="99" t="n"/>
      <c r="F33" s="100" t="n"/>
      <c r="G33" s="98" t="n"/>
      <c r="H33" s="99" t="n"/>
      <c r="I33" s="99" t="n"/>
      <c r="J33" s="100" t="n"/>
      <c r="K33" s="98" t="n"/>
      <c r="L33" s="99" t="n"/>
      <c r="M33" s="99" t="n"/>
      <c r="N33" s="100" t="n"/>
      <c r="O33" s="98" t="n"/>
      <c r="P33" s="99" t="n"/>
      <c r="Q33" s="99" t="n"/>
      <c r="R33" s="100" t="n"/>
      <c r="S33" s="98" t="n"/>
      <c r="T33" s="99" t="n"/>
      <c r="U33" s="99" t="n"/>
      <c r="V33" s="100" t="n"/>
      <c r="W33" s="98" t="n"/>
      <c r="X33" s="100" t="n"/>
      <c r="Y33" s="98" t="n"/>
      <c r="Z33" s="100" t="n"/>
      <c r="AB33" s="101">
        <f>IF($B33="","",(COUNTIF(C8:E25,$B33)+COUNTIF(C8:E25,$B33&amp;" ~*")&gt;0)+(COUNTIF(G8:I25,$B33)+COUNTIF(G8:I25,$B33&amp;" ~*")&gt;0)+(COUNTIF(K8:M25,$B33)+COUNTIF(K8:M25,$B33&amp;" ~*")&gt;0)+(COUNTIF(O8:Q25,$B33)+COUNTIF(O8:Q25,$B33&amp;" ~*")&gt;0)+(COUNTIF(S8:U25,$B33)+COUNTIF(S8:U25,$B33&amp;" ~*")&gt;0)+(COUNTIF(W8:W25,$B33)+COUNTIF(W8:W25,$B33&amp;" ~*")&gt;0)+(COUNTIF(Y8:Y25,$B33)+COUNTIF(Y8:Y25,$B33&amp;" ~*")&gt;0))</f>
        <v/>
      </c>
      <c r="AC33" s="36">
        <f>IF($B33="","",(IFERROR(INDEX(Setup!$G$33:$G$40,MATCH(C33,Setup!$B$33:$B$40,0)),0)=1)*(COUNTIF(C8:E25,$B33)+COUNTIF(C8:E25,$B33&amp;" ~*")&gt;0)+(IFERROR(INDEX(Setup!$G$33:$G$40,MATCH(G33,Setup!$B$33:$B$40,0)),0)=1)*(COUNTIF(G8:I25,$B33)+COUNTIF(G8:I25,$B33&amp;" ~*")&gt;0)+(IFERROR(INDEX(Setup!$G$33:$G$40,MATCH(K33,Setup!$B$33:$B$40,0)),0)=1)*(COUNTIF(K8:M25,$B33)+COUNTIF(K8:M25,$B33&amp;" ~*")&gt;0)+(IFERROR(INDEX(Setup!$G$33:$G$40,MATCH(O33,Setup!$B$33:$B$40,0)),0)=1)*(COUNTIF(O8:Q25,$B33)+COUNTIF(O8:Q25,$B33&amp;" ~*")&gt;0)+(IFERROR(INDEX(Setup!$G$33:$G$40,MATCH(S33,Setup!$B$33:$B$40,0)),0)=1)*(COUNTIF(S8:U25,$B33)+COUNTIF(S8:U25,$B33&amp;" ~*")&gt;0)+(IFERROR(INDEX(Setup!$G$33:$G$40,MATCH(W33,Setup!$B$33:$B$40,0)),0)=1)*(COUNTIF(W8:W25,$B33)+COUNTIF(W8:W25,$B33&amp;" ~*")&gt;0)+(IFERROR(INDEX(Setup!$G$33:$G$40,MATCH(Y33,Setup!$B$33:$B$40,0)),0)=1)*(COUNTIF(Y8:Y25,$B33)+COUNTIF(Y8:Y25,$B33&amp;" ~*")&gt;0))</f>
        <v/>
      </c>
    </row>
    <row r="34" ht="15" customHeight="1">
      <c r="A34" t="n">
        <v>1</v>
      </c>
      <c r="B34" s="37">
        <f>IF(Setup!$B$13="","",Setup!$B$13)</f>
        <v/>
      </c>
      <c r="C34" s="102" t="inlineStr">
        <is>
          <t>AL</t>
        </is>
      </c>
      <c r="D34" s="103" t="n"/>
      <c r="E34" s="103" t="n"/>
      <c r="F34" s="104" t="n"/>
      <c r="G34" s="102" t="inlineStr">
        <is>
          <t>AL</t>
        </is>
      </c>
      <c r="H34" s="103" t="n"/>
      <c r="I34" s="103" t="n"/>
      <c r="J34" s="104" t="n"/>
      <c r="K34" s="102" t="inlineStr">
        <is>
          <t>AL</t>
        </is>
      </c>
      <c r="L34" s="103" t="n"/>
      <c r="M34" s="103" t="n"/>
      <c r="N34" s="104" t="n"/>
      <c r="O34" s="102" t="inlineStr">
        <is>
          <t>AL</t>
        </is>
      </c>
      <c r="P34" s="103" t="n"/>
      <c r="Q34" s="103" t="n"/>
      <c r="R34" s="104" t="n"/>
      <c r="S34" s="102" t="inlineStr">
        <is>
          <t>AL</t>
        </is>
      </c>
      <c r="T34" s="103" t="n"/>
      <c r="U34" s="103" t="n"/>
      <c r="V34" s="104" t="n"/>
      <c r="W34" s="102" t="n"/>
      <c r="X34" s="104" t="n"/>
      <c r="Y34" s="102" t="n"/>
      <c r="Z34" s="104" t="n"/>
      <c r="AB34" s="105">
        <f>IF($B34="","",(COUNTIF(C8:E25,$B34)+COUNTIF(C8:E25,$B34&amp;" ~*")&gt;0)+(COUNTIF(G8:I25,$B34)+COUNTIF(G8:I25,$B34&amp;" ~*")&gt;0)+(COUNTIF(K8:M25,$B34)+COUNTIF(K8:M25,$B34&amp;" ~*")&gt;0)+(COUNTIF(O8:Q25,$B34)+COUNTIF(O8:Q25,$B34&amp;" ~*")&gt;0)+(COUNTIF(S8:U25,$B34)+COUNTIF(S8:U25,$B34&amp;" ~*")&gt;0)+(COUNTIF(W8:W25,$B34)+COUNTIF(W8:W25,$B34&amp;" ~*")&gt;0)+(COUNTIF(Y8:Y25,$B34)+COUNTIF(Y8:Y25,$B34&amp;" ~*")&gt;0))</f>
        <v/>
      </c>
      <c r="AC34" s="38">
        <f>IF($B34="","",(IFERROR(INDEX(Setup!$G$33:$G$40,MATCH(C34,Setup!$B$33:$B$40,0)),0)=1)*(COUNTIF(C8:E25,$B34)+COUNTIF(C8:E25,$B34&amp;" ~*")&gt;0)+(IFERROR(INDEX(Setup!$G$33:$G$40,MATCH(G34,Setup!$B$33:$B$40,0)),0)=1)*(COUNTIF(G8:I25,$B34)+COUNTIF(G8:I25,$B34&amp;" ~*")&gt;0)+(IFERROR(INDEX(Setup!$G$33:$G$40,MATCH(K34,Setup!$B$33:$B$40,0)),0)=1)*(COUNTIF(K8:M25,$B34)+COUNTIF(K8:M25,$B34&amp;" ~*")&gt;0)+(IFERROR(INDEX(Setup!$G$33:$G$40,MATCH(O34,Setup!$B$33:$B$40,0)),0)=1)*(COUNTIF(O8:Q25,$B34)+COUNTIF(O8:Q25,$B34&amp;" ~*")&gt;0)+(IFERROR(INDEX(Setup!$G$33:$G$40,MATCH(S34,Setup!$B$33:$B$40,0)),0)=1)*(COUNTIF(S8:U25,$B34)+COUNTIF(S8:U25,$B34&amp;" ~*")&gt;0)+(IFERROR(INDEX(Setup!$G$33:$G$40,MATCH(W34,Setup!$B$33:$B$40,0)),0)=1)*(COUNTIF(W8:W25,$B34)+COUNTIF(W8:W25,$B34&amp;" ~*")&gt;0)+(IFERROR(INDEX(Setup!$G$33:$G$40,MATCH(Y34,Setup!$B$33:$B$40,0)),0)=1)*(COUNTIF(Y8:Y25,$B34)+COUNTIF(Y8:Y25,$B34&amp;" ~*")&gt;0))</f>
        <v/>
      </c>
    </row>
    <row r="35" ht="15" customHeight="1">
      <c r="A35" t="n">
        <v>1</v>
      </c>
      <c r="B35" s="35">
        <f>IF(Setup!$B$14="","",Setup!$B$14)</f>
        <v/>
      </c>
      <c r="C35" s="98" t="n"/>
      <c r="D35" s="99" t="n"/>
      <c r="E35" s="99" t="n"/>
      <c r="F35" s="100" t="n"/>
      <c r="G35" s="98" t="n"/>
      <c r="H35" s="99" t="n"/>
      <c r="I35" s="99" t="n"/>
      <c r="J35" s="100" t="n"/>
      <c r="K35" s="98" t="n"/>
      <c r="L35" s="99" t="n"/>
      <c r="M35" s="99" t="n"/>
      <c r="N35" s="100" t="n"/>
      <c r="O35" s="98" t="n"/>
      <c r="P35" s="99" t="n"/>
      <c r="Q35" s="99" t="n"/>
      <c r="R35" s="100" t="n"/>
      <c r="S35" s="98" t="n"/>
      <c r="T35" s="99" t="n"/>
      <c r="U35" s="99" t="n"/>
      <c r="V35" s="100" t="n"/>
      <c r="W35" s="98" t="n"/>
      <c r="X35" s="100" t="n"/>
      <c r="Y35" s="98" t="n"/>
      <c r="Z35" s="100" t="n"/>
      <c r="AB35" s="101">
        <f>IF($B35="","",(COUNTIF(C8:E25,$B35)+COUNTIF(C8:E25,$B35&amp;" ~*")&gt;0)+(COUNTIF(G8:I25,$B35)+COUNTIF(G8:I25,$B35&amp;" ~*")&gt;0)+(COUNTIF(K8:M25,$B35)+COUNTIF(K8:M25,$B35&amp;" ~*")&gt;0)+(COUNTIF(O8:Q25,$B35)+COUNTIF(O8:Q25,$B35&amp;" ~*")&gt;0)+(COUNTIF(S8:U25,$B35)+COUNTIF(S8:U25,$B35&amp;" ~*")&gt;0)+(COUNTIF(W8:W25,$B35)+COUNTIF(W8:W25,$B35&amp;" ~*")&gt;0)+(COUNTIF(Y8:Y25,$B35)+COUNTIF(Y8:Y25,$B35&amp;" ~*")&gt;0))</f>
        <v/>
      </c>
      <c r="AC35" s="36">
        <f>IF($B35="","",(IFERROR(INDEX(Setup!$G$33:$G$40,MATCH(C35,Setup!$B$33:$B$40,0)),0)=1)*(COUNTIF(C8:E25,$B35)+COUNTIF(C8:E25,$B35&amp;" ~*")&gt;0)+(IFERROR(INDEX(Setup!$G$33:$G$40,MATCH(G35,Setup!$B$33:$B$40,0)),0)=1)*(COUNTIF(G8:I25,$B35)+COUNTIF(G8:I25,$B35&amp;" ~*")&gt;0)+(IFERROR(INDEX(Setup!$G$33:$G$40,MATCH(K35,Setup!$B$33:$B$40,0)),0)=1)*(COUNTIF(K8:M25,$B35)+COUNTIF(K8:M25,$B35&amp;" ~*")&gt;0)+(IFERROR(INDEX(Setup!$G$33:$G$40,MATCH(O35,Setup!$B$33:$B$40,0)),0)=1)*(COUNTIF(O8:Q25,$B35)+COUNTIF(O8:Q25,$B35&amp;" ~*")&gt;0)+(IFERROR(INDEX(Setup!$G$33:$G$40,MATCH(S35,Setup!$B$33:$B$40,0)),0)=1)*(COUNTIF(S8:U25,$B35)+COUNTIF(S8:U25,$B35&amp;" ~*")&gt;0)+(IFERROR(INDEX(Setup!$G$33:$G$40,MATCH(W35,Setup!$B$33:$B$40,0)),0)=1)*(COUNTIF(W8:W25,$B35)+COUNTIF(W8:W25,$B35&amp;" ~*")&gt;0)+(IFERROR(INDEX(Setup!$G$33:$G$40,MATCH(Y35,Setup!$B$33:$B$40,0)),0)=1)*(COUNTIF(Y8:Y25,$B35)+COUNTIF(Y8:Y25,$B35&amp;" ~*")&gt;0))</f>
        <v/>
      </c>
    </row>
    <row r="36" ht="15" customHeight="1">
      <c r="A36" t="n">
        <v>1</v>
      </c>
      <c r="B36" s="37">
        <f>IF(Setup!$B$15="","",Setup!$B$15)</f>
        <v/>
      </c>
      <c r="C36" s="102" t="n"/>
      <c r="D36" s="103" t="n"/>
      <c r="E36" s="103" t="n"/>
      <c r="F36" s="104" t="n"/>
      <c r="G36" s="102" t="n"/>
      <c r="H36" s="103" t="n"/>
      <c r="I36" s="103" t="n"/>
      <c r="J36" s="104" t="n"/>
      <c r="K36" s="102" t="n"/>
      <c r="L36" s="103" t="n"/>
      <c r="M36" s="103" t="n"/>
      <c r="N36" s="104" t="n"/>
      <c r="O36" s="102" t="n"/>
      <c r="P36" s="103" t="n"/>
      <c r="Q36" s="103" t="n"/>
      <c r="R36" s="104" t="n"/>
      <c r="S36" s="102" t="n"/>
      <c r="T36" s="103" t="n"/>
      <c r="U36" s="103" t="n"/>
      <c r="V36" s="104" t="n"/>
      <c r="W36" s="102" t="n"/>
      <c r="X36" s="104" t="n"/>
      <c r="Y36" s="102" t="n"/>
      <c r="Z36" s="104" t="n"/>
      <c r="AB36" s="105">
        <f>IF($B36="","",(COUNTIF(C8:E25,$B36)+COUNTIF(C8:E25,$B36&amp;" ~*")&gt;0)+(COUNTIF(G8:I25,$B36)+COUNTIF(G8:I25,$B36&amp;" ~*")&gt;0)+(COUNTIF(K8:M25,$B36)+COUNTIF(K8:M25,$B36&amp;" ~*")&gt;0)+(COUNTIF(O8:Q25,$B36)+COUNTIF(O8:Q25,$B36&amp;" ~*")&gt;0)+(COUNTIF(S8:U25,$B36)+COUNTIF(S8:U25,$B36&amp;" ~*")&gt;0)+(COUNTIF(W8:W25,$B36)+COUNTIF(W8:W25,$B36&amp;" ~*")&gt;0)+(COUNTIF(Y8:Y25,$B36)+COUNTIF(Y8:Y25,$B36&amp;" ~*")&gt;0))</f>
        <v/>
      </c>
      <c r="AC36" s="38">
        <f>IF($B36="","",(IFERROR(INDEX(Setup!$G$33:$G$40,MATCH(C36,Setup!$B$33:$B$40,0)),0)=1)*(COUNTIF(C8:E25,$B36)+COUNTIF(C8:E25,$B36&amp;" ~*")&gt;0)+(IFERROR(INDEX(Setup!$G$33:$G$40,MATCH(G36,Setup!$B$33:$B$40,0)),0)=1)*(COUNTIF(G8:I25,$B36)+COUNTIF(G8:I25,$B36&amp;" ~*")&gt;0)+(IFERROR(INDEX(Setup!$G$33:$G$40,MATCH(K36,Setup!$B$33:$B$40,0)),0)=1)*(COUNTIF(K8:M25,$B36)+COUNTIF(K8:M25,$B36&amp;" ~*")&gt;0)+(IFERROR(INDEX(Setup!$G$33:$G$40,MATCH(O36,Setup!$B$33:$B$40,0)),0)=1)*(COUNTIF(O8:Q25,$B36)+COUNTIF(O8:Q25,$B36&amp;" ~*")&gt;0)+(IFERROR(INDEX(Setup!$G$33:$G$40,MATCH(S36,Setup!$B$33:$B$40,0)),0)=1)*(COUNTIF(S8:U25,$B36)+COUNTIF(S8:U25,$B36&amp;" ~*")&gt;0)+(IFERROR(INDEX(Setup!$G$33:$G$40,MATCH(W36,Setup!$B$33:$B$40,0)),0)=1)*(COUNTIF(W8:W25,$B36)+COUNTIF(W8:W25,$B36&amp;" ~*")&gt;0)+(IFERROR(INDEX(Setup!$G$33:$G$40,MATCH(Y36,Setup!$B$33:$B$40,0)),0)=1)*(COUNTIF(Y8:Y25,$B36)+COUNTIF(Y8:Y25,$B36&amp;" ~*")&gt;0))</f>
        <v/>
      </c>
    </row>
    <row r="37" ht="15" customHeight="1">
      <c r="A37" t="n">
        <v>1</v>
      </c>
      <c r="B37" s="35">
        <f>IF(Setup!$B$16="","",Setup!$B$16)</f>
        <v/>
      </c>
      <c r="C37" s="98" t="n"/>
      <c r="D37" s="99" t="n"/>
      <c r="E37" s="99" t="n"/>
      <c r="F37" s="100" t="n"/>
      <c r="G37" s="98" t="n"/>
      <c r="H37" s="99" t="n"/>
      <c r="I37" s="99" t="n"/>
      <c r="J37" s="100" t="n"/>
      <c r="K37" s="98" t="n"/>
      <c r="L37" s="99" t="n"/>
      <c r="M37" s="99" t="n"/>
      <c r="N37" s="100" t="n"/>
      <c r="O37" s="98" t="n"/>
      <c r="P37" s="99" t="n"/>
      <c r="Q37" s="99" t="n"/>
      <c r="R37" s="100" t="n"/>
      <c r="S37" s="98" t="n"/>
      <c r="T37" s="99" t="n"/>
      <c r="U37" s="99" t="n"/>
      <c r="V37" s="100" t="n"/>
      <c r="W37" s="98" t="n"/>
      <c r="X37" s="100" t="n"/>
      <c r="Y37" s="98" t="n"/>
      <c r="Z37" s="100" t="n"/>
      <c r="AB37" s="101">
        <f>IF($B37="","",(COUNTIF(C8:E25,$B37)+COUNTIF(C8:E25,$B37&amp;" ~*")&gt;0)+(COUNTIF(G8:I25,$B37)+COUNTIF(G8:I25,$B37&amp;" ~*")&gt;0)+(COUNTIF(K8:M25,$B37)+COUNTIF(K8:M25,$B37&amp;" ~*")&gt;0)+(COUNTIF(O8:Q25,$B37)+COUNTIF(O8:Q25,$B37&amp;" ~*")&gt;0)+(COUNTIF(S8:U25,$B37)+COUNTIF(S8:U25,$B37&amp;" ~*")&gt;0)+(COUNTIF(W8:W25,$B37)+COUNTIF(W8:W25,$B37&amp;" ~*")&gt;0)+(COUNTIF(Y8:Y25,$B37)+COUNTIF(Y8:Y25,$B37&amp;" ~*")&gt;0))</f>
        <v/>
      </c>
      <c r="AC37" s="36">
        <f>IF($B37="","",(IFERROR(INDEX(Setup!$G$33:$G$40,MATCH(C37,Setup!$B$33:$B$40,0)),0)=1)*(COUNTIF(C8:E25,$B37)+COUNTIF(C8:E25,$B37&amp;" ~*")&gt;0)+(IFERROR(INDEX(Setup!$G$33:$G$40,MATCH(G37,Setup!$B$33:$B$40,0)),0)=1)*(COUNTIF(G8:I25,$B37)+COUNTIF(G8:I25,$B37&amp;" ~*")&gt;0)+(IFERROR(INDEX(Setup!$G$33:$G$40,MATCH(K37,Setup!$B$33:$B$40,0)),0)=1)*(COUNTIF(K8:M25,$B37)+COUNTIF(K8:M25,$B37&amp;" ~*")&gt;0)+(IFERROR(INDEX(Setup!$G$33:$G$40,MATCH(O37,Setup!$B$33:$B$40,0)),0)=1)*(COUNTIF(O8:Q25,$B37)+COUNTIF(O8:Q25,$B37&amp;" ~*")&gt;0)+(IFERROR(INDEX(Setup!$G$33:$G$40,MATCH(S37,Setup!$B$33:$B$40,0)),0)=1)*(COUNTIF(S8:U25,$B37)+COUNTIF(S8:U25,$B37&amp;" ~*")&gt;0)+(IFERROR(INDEX(Setup!$G$33:$G$40,MATCH(W37,Setup!$B$33:$B$40,0)),0)=1)*(COUNTIF(W8:W25,$B37)+COUNTIF(W8:W25,$B37&amp;" ~*")&gt;0)+(IFERROR(INDEX(Setup!$G$33:$G$40,MATCH(Y37,Setup!$B$33:$B$40,0)),0)=1)*(COUNTIF(Y8:Y25,$B37)+COUNTIF(Y8:Y25,$B37&amp;" ~*")&gt;0))</f>
        <v/>
      </c>
    </row>
    <row r="38" ht="15" customHeight="1">
      <c r="A38" t="n">
        <v>1</v>
      </c>
      <c r="B38" s="37">
        <f>IF(Setup!$B$17="","",Setup!$B$17)</f>
        <v/>
      </c>
      <c r="C38" s="102" t="n"/>
      <c r="D38" s="103" t="n"/>
      <c r="E38" s="103" t="n"/>
      <c r="F38" s="104" t="n"/>
      <c r="G38" s="102" t="n"/>
      <c r="H38" s="103" t="n"/>
      <c r="I38" s="103" t="n"/>
      <c r="J38" s="104" t="n"/>
      <c r="K38" s="102" t="n"/>
      <c r="L38" s="103" t="n"/>
      <c r="M38" s="103" t="n"/>
      <c r="N38" s="104" t="n"/>
      <c r="O38" s="102" t="n"/>
      <c r="P38" s="103" t="n"/>
      <c r="Q38" s="103" t="n"/>
      <c r="R38" s="104" t="n"/>
      <c r="S38" s="102" t="n"/>
      <c r="T38" s="103" t="n"/>
      <c r="U38" s="103" t="n"/>
      <c r="V38" s="104" t="n"/>
      <c r="W38" s="102" t="n"/>
      <c r="X38" s="104" t="n"/>
      <c r="Y38" s="102" t="n"/>
      <c r="Z38" s="104" t="n"/>
      <c r="AB38" s="105">
        <f>IF($B38="","",(COUNTIF(C8:E25,$B38)+COUNTIF(C8:E25,$B38&amp;" ~*")&gt;0)+(COUNTIF(G8:I25,$B38)+COUNTIF(G8:I25,$B38&amp;" ~*")&gt;0)+(COUNTIF(K8:M25,$B38)+COUNTIF(K8:M25,$B38&amp;" ~*")&gt;0)+(COUNTIF(O8:Q25,$B38)+COUNTIF(O8:Q25,$B38&amp;" ~*")&gt;0)+(COUNTIF(S8:U25,$B38)+COUNTIF(S8:U25,$B38&amp;" ~*")&gt;0)+(COUNTIF(W8:W25,$B38)+COUNTIF(W8:W25,$B38&amp;" ~*")&gt;0)+(COUNTIF(Y8:Y25,$B38)+COUNTIF(Y8:Y25,$B38&amp;" ~*")&gt;0))</f>
        <v/>
      </c>
      <c r="AC38" s="38">
        <f>IF($B38="","",(IFERROR(INDEX(Setup!$G$33:$G$40,MATCH(C38,Setup!$B$33:$B$40,0)),0)=1)*(COUNTIF(C8:E25,$B38)+COUNTIF(C8:E25,$B38&amp;" ~*")&gt;0)+(IFERROR(INDEX(Setup!$G$33:$G$40,MATCH(G38,Setup!$B$33:$B$40,0)),0)=1)*(COUNTIF(G8:I25,$B38)+COUNTIF(G8:I25,$B38&amp;" ~*")&gt;0)+(IFERROR(INDEX(Setup!$G$33:$G$40,MATCH(K38,Setup!$B$33:$B$40,0)),0)=1)*(COUNTIF(K8:M25,$B38)+COUNTIF(K8:M25,$B38&amp;" ~*")&gt;0)+(IFERROR(INDEX(Setup!$G$33:$G$40,MATCH(O38,Setup!$B$33:$B$40,0)),0)=1)*(COUNTIF(O8:Q25,$B38)+COUNTIF(O8:Q25,$B38&amp;" ~*")&gt;0)+(IFERROR(INDEX(Setup!$G$33:$G$40,MATCH(S38,Setup!$B$33:$B$40,0)),0)=1)*(COUNTIF(S8:U25,$B38)+COUNTIF(S8:U25,$B38&amp;" ~*")&gt;0)+(IFERROR(INDEX(Setup!$G$33:$G$40,MATCH(W38,Setup!$B$33:$B$40,0)),0)=1)*(COUNTIF(W8:W25,$B38)+COUNTIF(W8:W25,$B38&amp;" ~*")&gt;0)+(IFERROR(INDEX(Setup!$G$33:$G$40,MATCH(Y38,Setup!$B$33:$B$40,0)),0)=1)*(COUNTIF(Y8:Y25,$B38)+COUNTIF(Y8:Y25,$B38&amp;" ~*")&gt;0))</f>
        <v/>
      </c>
    </row>
    <row r="39" ht="15" customHeight="1">
      <c r="A39" t="n">
        <v>1</v>
      </c>
      <c r="B39" s="35">
        <f>IF(Setup!$B$18="","",Setup!$B$18)</f>
        <v/>
      </c>
      <c r="C39" s="98" t="n"/>
      <c r="D39" s="99" t="n"/>
      <c r="E39" s="99" t="n"/>
      <c r="F39" s="100" t="n"/>
      <c r="G39" s="98" t="n"/>
      <c r="H39" s="99" t="n"/>
      <c r="I39" s="99" t="n"/>
      <c r="J39" s="100" t="n"/>
      <c r="K39" s="98" t="n"/>
      <c r="L39" s="99" t="n"/>
      <c r="M39" s="99" t="n"/>
      <c r="N39" s="100" t="n"/>
      <c r="O39" s="98" t="n"/>
      <c r="P39" s="99" t="n"/>
      <c r="Q39" s="99" t="n"/>
      <c r="R39" s="100" t="n"/>
      <c r="S39" s="98" t="n"/>
      <c r="T39" s="99" t="n"/>
      <c r="U39" s="99" t="n"/>
      <c r="V39" s="100" t="n"/>
      <c r="W39" s="98" t="n"/>
      <c r="X39" s="100" t="n"/>
      <c r="Y39" s="98" t="n"/>
      <c r="Z39" s="100" t="n"/>
      <c r="AB39" s="101">
        <f>IF($B39="","",(COUNTIF(C8:E25,$B39)+COUNTIF(C8:E25,$B39&amp;" ~*")&gt;0)+(COUNTIF(G8:I25,$B39)+COUNTIF(G8:I25,$B39&amp;" ~*")&gt;0)+(COUNTIF(K8:M25,$B39)+COUNTIF(K8:M25,$B39&amp;" ~*")&gt;0)+(COUNTIF(O8:Q25,$B39)+COUNTIF(O8:Q25,$B39&amp;" ~*")&gt;0)+(COUNTIF(S8:U25,$B39)+COUNTIF(S8:U25,$B39&amp;" ~*")&gt;0)+(COUNTIF(W8:W25,$B39)+COUNTIF(W8:W25,$B39&amp;" ~*")&gt;0)+(COUNTIF(Y8:Y25,$B39)+COUNTIF(Y8:Y25,$B39&amp;" ~*")&gt;0))</f>
        <v/>
      </c>
      <c r="AC39" s="36">
        <f>IF($B39="","",(IFERROR(INDEX(Setup!$G$33:$G$40,MATCH(C39,Setup!$B$33:$B$40,0)),0)=1)*(COUNTIF(C8:E25,$B39)+COUNTIF(C8:E25,$B39&amp;" ~*")&gt;0)+(IFERROR(INDEX(Setup!$G$33:$G$40,MATCH(G39,Setup!$B$33:$B$40,0)),0)=1)*(COUNTIF(G8:I25,$B39)+COUNTIF(G8:I25,$B39&amp;" ~*")&gt;0)+(IFERROR(INDEX(Setup!$G$33:$G$40,MATCH(K39,Setup!$B$33:$B$40,0)),0)=1)*(COUNTIF(K8:M25,$B39)+COUNTIF(K8:M25,$B39&amp;" ~*")&gt;0)+(IFERROR(INDEX(Setup!$G$33:$G$40,MATCH(O39,Setup!$B$33:$B$40,0)),0)=1)*(COUNTIF(O8:Q25,$B39)+COUNTIF(O8:Q25,$B39&amp;" ~*")&gt;0)+(IFERROR(INDEX(Setup!$G$33:$G$40,MATCH(S39,Setup!$B$33:$B$40,0)),0)=1)*(COUNTIF(S8:U25,$B39)+COUNTIF(S8:U25,$B39&amp;" ~*")&gt;0)+(IFERROR(INDEX(Setup!$G$33:$G$40,MATCH(W39,Setup!$B$33:$B$40,0)),0)=1)*(COUNTIF(W8:W25,$B39)+COUNTIF(W8:W25,$B39&amp;" ~*")&gt;0)+(IFERROR(INDEX(Setup!$G$33:$G$40,MATCH(Y39,Setup!$B$33:$B$40,0)),0)=1)*(COUNTIF(Y8:Y25,$B39)+COUNTIF(Y8:Y25,$B39&amp;" ~*")&gt;0))</f>
        <v/>
      </c>
    </row>
    <row r="40" ht="15" customHeight="1">
      <c r="A40" t="n">
        <v>1</v>
      </c>
      <c r="B40" s="37">
        <f>IF(Setup!$B$19="","",Setup!$B$19)</f>
        <v/>
      </c>
      <c r="C40" s="102" t="n"/>
      <c r="D40" s="103" t="n"/>
      <c r="E40" s="103" t="n"/>
      <c r="F40" s="104" t="n"/>
      <c r="G40" s="102" t="n"/>
      <c r="H40" s="103" t="n"/>
      <c r="I40" s="103" t="n"/>
      <c r="J40" s="104" t="n"/>
      <c r="K40" s="102" t="n"/>
      <c r="L40" s="103" t="n"/>
      <c r="M40" s="103" t="n"/>
      <c r="N40" s="104" t="n"/>
      <c r="O40" s="102" t="n"/>
      <c r="P40" s="103" t="n"/>
      <c r="Q40" s="103" t="n"/>
      <c r="R40" s="104" t="n"/>
      <c r="S40" s="102" t="n"/>
      <c r="T40" s="103" t="n"/>
      <c r="U40" s="103" t="n"/>
      <c r="V40" s="104" t="n"/>
      <c r="W40" s="102" t="n"/>
      <c r="X40" s="104" t="n"/>
      <c r="Y40" s="102" t="n"/>
      <c r="Z40" s="104" t="n"/>
      <c r="AB40" s="105">
        <f>IF($B40="","",(COUNTIF(C8:E25,$B40)+COUNTIF(C8:E25,$B40&amp;" ~*")&gt;0)+(COUNTIF(G8:I25,$B40)+COUNTIF(G8:I25,$B40&amp;" ~*")&gt;0)+(COUNTIF(K8:M25,$B40)+COUNTIF(K8:M25,$B40&amp;" ~*")&gt;0)+(COUNTIF(O8:Q25,$B40)+COUNTIF(O8:Q25,$B40&amp;" ~*")&gt;0)+(COUNTIF(S8:U25,$B40)+COUNTIF(S8:U25,$B40&amp;" ~*")&gt;0)+(COUNTIF(W8:W25,$B40)+COUNTIF(W8:W25,$B40&amp;" ~*")&gt;0)+(COUNTIF(Y8:Y25,$B40)+COUNTIF(Y8:Y25,$B40&amp;" ~*")&gt;0))</f>
        <v/>
      </c>
      <c r="AC40" s="38">
        <f>IF($B40="","",(IFERROR(INDEX(Setup!$G$33:$G$40,MATCH(C40,Setup!$B$33:$B$40,0)),0)=1)*(COUNTIF(C8:E25,$B40)+COUNTIF(C8:E25,$B40&amp;" ~*")&gt;0)+(IFERROR(INDEX(Setup!$G$33:$G$40,MATCH(G40,Setup!$B$33:$B$40,0)),0)=1)*(COUNTIF(G8:I25,$B40)+COUNTIF(G8:I25,$B40&amp;" ~*")&gt;0)+(IFERROR(INDEX(Setup!$G$33:$G$40,MATCH(K40,Setup!$B$33:$B$40,0)),0)=1)*(COUNTIF(K8:M25,$B40)+COUNTIF(K8:M25,$B40&amp;" ~*")&gt;0)+(IFERROR(INDEX(Setup!$G$33:$G$40,MATCH(O40,Setup!$B$33:$B$40,0)),0)=1)*(COUNTIF(O8:Q25,$B40)+COUNTIF(O8:Q25,$B40&amp;" ~*")&gt;0)+(IFERROR(INDEX(Setup!$G$33:$G$40,MATCH(S40,Setup!$B$33:$B$40,0)),0)=1)*(COUNTIF(S8:U25,$B40)+COUNTIF(S8:U25,$B40&amp;" ~*")&gt;0)+(IFERROR(INDEX(Setup!$G$33:$G$40,MATCH(W40,Setup!$B$33:$B$40,0)),0)=1)*(COUNTIF(W8:W25,$B40)+COUNTIF(W8:W25,$B40&amp;" ~*")&gt;0)+(IFERROR(INDEX(Setup!$G$33:$G$40,MATCH(Y40,Setup!$B$33:$B$40,0)),0)=1)*(COUNTIF(Y8:Y25,$B40)+COUNTIF(Y8:Y25,$B40&amp;" ~*")&gt;0))</f>
        <v/>
      </c>
    </row>
    <row r="41" ht="15" customHeight="1">
      <c r="A41" t="n">
        <v>1</v>
      </c>
      <c r="B41" s="35">
        <f>IF(Setup!$B$20="","",Setup!$B$20)</f>
        <v/>
      </c>
      <c r="C41" s="98" t="n"/>
      <c r="D41" s="99" t="n"/>
      <c r="E41" s="99" t="n"/>
      <c r="F41" s="100" t="n"/>
      <c r="G41" s="98" t="n"/>
      <c r="H41" s="99" t="n"/>
      <c r="I41" s="99" t="n"/>
      <c r="J41" s="100" t="n"/>
      <c r="K41" s="98" t="n"/>
      <c r="L41" s="99" t="n"/>
      <c r="M41" s="99" t="n"/>
      <c r="N41" s="100" t="n"/>
      <c r="O41" s="98" t="n"/>
      <c r="P41" s="99" t="n"/>
      <c r="Q41" s="99" t="n"/>
      <c r="R41" s="100" t="n"/>
      <c r="S41" s="98" t="n"/>
      <c r="T41" s="99" t="n"/>
      <c r="U41" s="99" t="n"/>
      <c r="V41" s="100" t="n"/>
      <c r="W41" s="98" t="n"/>
      <c r="X41" s="100" t="n"/>
      <c r="Y41" s="98" t="n"/>
      <c r="Z41" s="100" t="n"/>
      <c r="AB41" s="101">
        <f>IF($B41="","",(COUNTIF(C8:E25,$B41)+COUNTIF(C8:E25,$B41&amp;" ~*")&gt;0)+(COUNTIF(G8:I25,$B41)+COUNTIF(G8:I25,$B41&amp;" ~*")&gt;0)+(COUNTIF(K8:M25,$B41)+COUNTIF(K8:M25,$B41&amp;" ~*")&gt;0)+(COUNTIF(O8:Q25,$B41)+COUNTIF(O8:Q25,$B41&amp;" ~*")&gt;0)+(COUNTIF(S8:U25,$B41)+COUNTIF(S8:U25,$B41&amp;" ~*")&gt;0)+(COUNTIF(W8:W25,$B41)+COUNTIF(W8:W25,$B41&amp;" ~*")&gt;0)+(COUNTIF(Y8:Y25,$B41)+COUNTIF(Y8:Y25,$B41&amp;" ~*")&gt;0))</f>
        <v/>
      </c>
      <c r="AC41" s="36">
        <f>IF($B41="","",(IFERROR(INDEX(Setup!$G$33:$G$40,MATCH(C41,Setup!$B$33:$B$40,0)),0)=1)*(COUNTIF(C8:E25,$B41)+COUNTIF(C8:E25,$B41&amp;" ~*")&gt;0)+(IFERROR(INDEX(Setup!$G$33:$G$40,MATCH(G41,Setup!$B$33:$B$40,0)),0)=1)*(COUNTIF(G8:I25,$B41)+COUNTIF(G8:I25,$B41&amp;" ~*")&gt;0)+(IFERROR(INDEX(Setup!$G$33:$G$40,MATCH(K41,Setup!$B$33:$B$40,0)),0)=1)*(COUNTIF(K8:M25,$B41)+COUNTIF(K8:M25,$B41&amp;" ~*")&gt;0)+(IFERROR(INDEX(Setup!$G$33:$G$40,MATCH(O41,Setup!$B$33:$B$40,0)),0)=1)*(COUNTIF(O8:Q25,$B41)+COUNTIF(O8:Q25,$B41&amp;" ~*")&gt;0)+(IFERROR(INDEX(Setup!$G$33:$G$40,MATCH(S41,Setup!$B$33:$B$40,0)),0)=1)*(COUNTIF(S8:U25,$B41)+COUNTIF(S8:U25,$B41&amp;" ~*")&gt;0)+(IFERROR(INDEX(Setup!$G$33:$G$40,MATCH(W41,Setup!$B$33:$B$40,0)),0)=1)*(COUNTIF(W8:W25,$B41)+COUNTIF(W8:W25,$B41&amp;" ~*")&gt;0)+(IFERROR(INDEX(Setup!$G$33:$G$40,MATCH(Y41,Setup!$B$33:$B$40,0)),0)=1)*(COUNTIF(Y8:Y25,$B41)+COUNTIF(Y8:Y25,$B41&amp;" ~*")&gt;0))</f>
        <v/>
      </c>
    </row>
    <row r="42" ht="15" customHeight="1">
      <c r="A42" t="n">
        <v>1</v>
      </c>
      <c r="B42" s="37">
        <f>IF(Setup!$B$21="","",Setup!$B$21)</f>
        <v/>
      </c>
      <c r="C42" s="102" t="n"/>
      <c r="D42" s="103" t="n"/>
      <c r="E42" s="103" t="n"/>
      <c r="F42" s="104" t="n"/>
      <c r="G42" s="102" t="n"/>
      <c r="H42" s="103" t="n"/>
      <c r="I42" s="103" t="n"/>
      <c r="J42" s="104" t="n"/>
      <c r="K42" s="102" t="n"/>
      <c r="L42" s="103" t="n"/>
      <c r="M42" s="103" t="n"/>
      <c r="N42" s="104" t="n"/>
      <c r="O42" s="102" t="n"/>
      <c r="P42" s="103" t="n"/>
      <c r="Q42" s="103" t="n"/>
      <c r="R42" s="104" t="n"/>
      <c r="S42" s="102" t="n"/>
      <c r="T42" s="103" t="n"/>
      <c r="U42" s="103" t="n"/>
      <c r="V42" s="104" t="n"/>
      <c r="W42" s="102" t="n"/>
      <c r="X42" s="104" t="n"/>
      <c r="Y42" s="102" t="n"/>
      <c r="Z42" s="104" t="n"/>
      <c r="AB42" s="105">
        <f>IF($B42="","",(COUNTIF(C8:E25,$B42)+COUNTIF(C8:E25,$B42&amp;" ~*")&gt;0)+(COUNTIF(G8:I25,$B42)+COUNTIF(G8:I25,$B42&amp;" ~*")&gt;0)+(COUNTIF(K8:M25,$B42)+COUNTIF(K8:M25,$B42&amp;" ~*")&gt;0)+(COUNTIF(O8:Q25,$B42)+COUNTIF(O8:Q25,$B42&amp;" ~*")&gt;0)+(COUNTIF(S8:U25,$B42)+COUNTIF(S8:U25,$B42&amp;" ~*")&gt;0)+(COUNTIF(W8:W25,$B42)+COUNTIF(W8:W25,$B42&amp;" ~*")&gt;0)+(COUNTIF(Y8:Y25,$B42)+COUNTIF(Y8:Y25,$B42&amp;" ~*")&gt;0))</f>
        <v/>
      </c>
      <c r="AC42" s="38">
        <f>IF($B42="","",(IFERROR(INDEX(Setup!$G$33:$G$40,MATCH(C42,Setup!$B$33:$B$40,0)),0)=1)*(COUNTIF(C8:E25,$B42)+COUNTIF(C8:E25,$B42&amp;" ~*")&gt;0)+(IFERROR(INDEX(Setup!$G$33:$G$40,MATCH(G42,Setup!$B$33:$B$40,0)),0)=1)*(COUNTIF(G8:I25,$B42)+COUNTIF(G8:I25,$B42&amp;" ~*")&gt;0)+(IFERROR(INDEX(Setup!$G$33:$G$40,MATCH(K42,Setup!$B$33:$B$40,0)),0)=1)*(COUNTIF(K8:M25,$B42)+COUNTIF(K8:M25,$B42&amp;" ~*")&gt;0)+(IFERROR(INDEX(Setup!$G$33:$G$40,MATCH(O42,Setup!$B$33:$B$40,0)),0)=1)*(COUNTIF(O8:Q25,$B42)+COUNTIF(O8:Q25,$B42&amp;" ~*")&gt;0)+(IFERROR(INDEX(Setup!$G$33:$G$40,MATCH(S42,Setup!$B$33:$B$40,0)),0)=1)*(COUNTIF(S8:U25,$B42)+COUNTIF(S8:U25,$B42&amp;" ~*")&gt;0)+(IFERROR(INDEX(Setup!$G$33:$G$40,MATCH(W42,Setup!$B$33:$B$40,0)),0)=1)*(COUNTIF(W8:W25,$B42)+COUNTIF(W8:W25,$B42&amp;" ~*")&gt;0)+(IFERROR(INDEX(Setup!$G$33:$G$40,MATCH(Y42,Setup!$B$33:$B$40,0)),0)=1)*(COUNTIF(Y8:Y25,$B42)+COUNTIF(Y8:Y25,$B42&amp;" ~*")&gt;0))</f>
        <v/>
      </c>
    </row>
    <row r="43" ht="15" customHeight="1">
      <c r="A43" t="n">
        <v>1</v>
      </c>
      <c r="B43" s="35">
        <f>IF(Setup!$B$22="","",Setup!$B$22)</f>
        <v/>
      </c>
      <c r="C43" s="98" t="inlineStr">
        <is>
          <t>AL</t>
        </is>
      </c>
      <c r="D43" s="99" t="n"/>
      <c r="E43" s="99" t="n"/>
      <c r="F43" s="100" t="n"/>
      <c r="G43" s="98" t="n"/>
      <c r="H43" s="99" t="n"/>
      <c r="I43" s="99" t="n"/>
      <c r="J43" s="100" t="n"/>
      <c r="K43" s="98" t="n"/>
      <c r="L43" s="99" t="n"/>
      <c r="M43" s="99" t="n"/>
      <c r="N43" s="100" t="n"/>
      <c r="O43" s="98" t="n"/>
      <c r="P43" s="99" t="n"/>
      <c r="Q43" s="99" t="n"/>
      <c r="R43" s="100" t="n"/>
      <c r="S43" s="98" t="n"/>
      <c r="T43" s="99" t="n"/>
      <c r="U43" s="99" t="n"/>
      <c r="V43" s="100" t="n"/>
      <c r="W43" s="98" t="n"/>
      <c r="X43" s="100" t="n"/>
      <c r="Y43" s="98" t="n"/>
      <c r="Z43" s="100" t="n"/>
      <c r="AB43" s="101">
        <f>IF($B43="","",(COUNTIF(C8:E25,$B43)+COUNTIF(C8:E25,$B43&amp;" ~*")&gt;0)+(COUNTIF(G8:I25,$B43)+COUNTIF(G8:I25,$B43&amp;" ~*")&gt;0)+(COUNTIF(K8:M25,$B43)+COUNTIF(K8:M25,$B43&amp;" ~*")&gt;0)+(COUNTIF(O8:Q25,$B43)+COUNTIF(O8:Q25,$B43&amp;" ~*")&gt;0)+(COUNTIF(S8:U25,$B43)+COUNTIF(S8:U25,$B43&amp;" ~*")&gt;0)+(COUNTIF(W8:W25,$B43)+COUNTIF(W8:W25,$B43&amp;" ~*")&gt;0)+(COUNTIF(Y8:Y25,$B43)+COUNTIF(Y8:Y25,$B43&amp;" ~*")&gt;0))</f>
        <v/>
      </c>
      <c r="AC43" s="36">
        <f>IF($B43="","",(IFERROR(INDEX(Setup!$G$33:$G$40,MATCH(C43,Setup!$B$33:$B$40,0)),0)=1)*(COUNTIF(C8:E25,$B43)+COUNTIF(C8:E25,$B43&amp;" ~*")&gt;0)+(IFERROR(INDEX(Setup!$G$33:$G$40,MATCH(G43,Setup!$B$33:$B$40,0)),0)=1)*(COUNTIF(G8:I25,$B43)+COUNTIF(G8:I25,$B43&amp;" ~*")&gt;0)+(IFERROR(INDEX(Setup!$G$33:$G$40,MATCH(K43,Setup!$B$33:$B$40,0)),0)=1)*(COUNTIF(K8:M25,$B43)+COUNTIF(K8:M25,$B43&amp;" ~*")&gt;0)+(IFERROR(INDEX(Setup!$G$33:$G$40,MATCH(O43,Setup!$B$33:$B$40,0)),0)=1)*(COUNTIF(O8:Q25,$B43)+COUNTIF(O8:Q25,$B43&amp;" ~*")&gt;0)+(IFERROR(INDEX(Setup!$G$33:$G$40,MATCH(S43,Setup!$B$33:$B$40,0)),0)=1)*(COUNTIF(S8:U25,$B43)+COUNTIF(S8:U25,$B43&amp;" ~*")&gt;0)+(IFERROR(INDEX(Setup!$G$33:$G$40,MATCH(W43,Setup!$B$33:$B$40,0)),0)=1)*(COUNTIF(W8:W25,$B43)+COUNTIF(W8:W25,$B43&amp;" ~*")&gt;0)+(IFERROR(INDEX(Setup!$G$33:$G$40,MATCH(Y43,Setup!$B$33:$B$40,0)),0)=1)*(COUNTIF(Y8:Y25,$B43)+COUNTIF(Y8:Y25,$B43&amp;" ~*")&gt;0))</f>
        <v/>
      </c>
    </row>
    <row r="44" ht="15" customHeight="1">
      <c r="A44" t="n">
        <v>1</v>
      </c>
      <c r="B44" s="37">
        <f>IF(Setup!$B$23="","",Setup!$B$23)</f>
        <v/>
      </c>
      <c r="C44" s="102" t="n"/>
      <c r="D44" s="103" t="n"/>
      <c r="E44" s="103" t="n"/>
      <c r="F44" s="104" t="n"/>
      <c r="G44" s="102" t="n"/>
      <c r="H44" s="103" t="n"/>
      <c r="I44" s="103" t="n"/>
      <c r="J44" s="104" t="n"/>
      <c r="K44" s="102" t="n"/>
      <c r="L44" s="103" t="n"/>
      <c r="M44" s="103" t="n"/>
      <c r="N44" s="104" t="n"/>
      <c r="O44" s="102" t="n"/>
      <c r="P44" s="103" t="n"/>
      <c r="Q44" s="103" t="n"/>
      <c r="R44" s="104" t="n"/>
      <c r="S44" s="102" t="n"/>
      <c r="T44" s="103" t="n"/>
      <c r="U44" s="103" t="n"/>
      <c r="V44" s="104" t="n"/>
      <c r="W44" s="102" t="n"/>
      <c r="X44" s="104" t="n"/>
      <c r="Y44" s="102" t="n"/>
      <c r="Z44" s="104" t="n"/>
      <c r="AB44" s="105">
        <f>IF($B44="","",(COUNTIF(C8:E25,$B44)+COUNTIF(C8:E25,$B44&amp;" ~*")&gt;0)+(COUNTIF(G8:I25,$B44)+COUNTIF(G8:I25,$B44&amp;" ~*")&gt;0)+(COUNTIF(K8:M25,$B44)+COUNTIF(K8:M25,$B44&amp;" ~*")&gt;0)+(COUNTIF(O8:Q25,$B44)+COUNTIF(O8:Q25,$B44&amp;" ~*")&gt;0)+(COUNTIF(S8:U25,$B44)+COUNTIF(S8:U25,$B44&amp;" ~*")&gt;0)+(COUNTIF(W8:W25,$B44)+COUNTIF(W8:W25,$B44&amp;" ~*")&gt;0)+(COUNTIF(Y8:Y25,$B44)+COUNTIF(Y8:Y25,$B44&amp;" ~*")&gt;0))</f>
        <v/>
      </c>
      <c r="AC44" s="38">
        <f>IF($B44="","",(IFERROR(INDEX(Setup!$G$33:$G$40,MATCH(C44,Setup!$B$33:$B$40,0)),0)=1)*(COUNTIF(C8:E25,$B44)+COUNTIF(C8:E25,$B44&amp;" ~*")&gt;0)+(IFERROR(INDEX(Setup!$G$33:$G$40,MATCH(G44,Setup!$B$33:$B$40,0)),0)=1)*(COUNTIF(G8:I25,$B44)+COUNTIF(G8:I25,$B44&amp;" ~*")&gt;0)+(IFERROR(INDEX(Setup!$G$33:$G$40,MATCH(K44,Setup!$B$33:$B$40,0)),0)=1)*(COUNTIF(K8:M25,$B44)+COUNTIF(K8:M25,$B44&amp;" ~*")&gt;0)+(IFERROR(INDEX(Setup!$G$33:$G$40,MATCH(O44,Setup!$B$33:$B$40,0)),0)=1)*(COUNTIF(O8:Q25,$B44)+COUNTIF(O8:Q25,$B44&amp;" ~*")&gt;0)+(IFERROR(INDEX(Setup!$G$33:$G$40,MATCH(S44,Setup!$B$33:$B$40,0)),0)=1)*(COUNTIF(S8:U25,$B44)+COUNTIF(S8:U25,$B44&amp;" ~*")&gt;0)+(IFERROR(INDEX(Setup!$G$33:$G$40,MATCH(W44,Setup!$B$33:$B$40,0)),0)=1)*(COUNTIF(W8:W25,$B44)+COUNTIF(W8:W25,$B44&amp;" ~*")&gt;0)+(IFERROR(INDEX(Setup!$G$33:$G$40,MATCH(Y44,Setup!$B$33:$B$40,0)),0)=1)*(COUNTIF(Y8:Y25,$B44)+COUNTIF(Y8:Y25,$B44&amp;" ~*")&gt;0))</f>
        <v/>
      </c>
    </row>
    <row r="45" ht="15" customHeight="1">
      <c r="A45" t="n">
        <v>1</v>
      </c>
      <c r="B45" s="35">
        <f>IF(Setup!$B$24="","",Setup!$B$24)</f>
        <v/>
      </c>
      <c r="C45" s="98" t="n"/>
      <c r="D45" s="99" t="n"/>
      <c r="E45" s="99" t="n"/>
      <c r="F45" s="100" t="n"/>
      <c r="G45" s="98" t="n"/>
      <c r="H45" s="99" t="n"/>
      <c r="I45" s="99" t="n"/>
      <c r="J45" s="100" t="n"/>
      <c r="K45" s="98" t="n"/>
      <c r="L45" s="99" t="n"/>
      <c r="M45" s="99" t="n"/>
      <c r="N45" s="100" t="n"/>
      <c r="O45" s="98" t="n"/>
      <c r="P45" s="99" t="n"/>
      <c r="Q45" s="99" t="n"/>
      <c r="R45" s="100" t="n"/>
      <c r="S45" s="98" t="n"/>
      <c r="T45" s="99" t="n"/>
      <c r="U45" s="99" t="n"/>
      <c r="V45" s="100" t="n"/>
      <c r="W45" s="98" t="n"/>
      <c r="X45" s="100" t="n"/>
      <c r="Y45" s="98" t="n"/>
      <c r="Z45" s="100" t="n"/>
      <c r="AB45" s="101">
        <f>IF($B45="","",(COUNTIF(C8:E25,$B45)+COUNTIF(C8:E25,$B45&amp;" ~*")&gt;0)+(COUNTIF(G8:I25,$B45)+COUNTIF(G8:I25,$B45&amp;" ~*")&gt;0)+(COUNTIF(K8:M25,$B45)+COUNTIF(K8:M25,$B45&amp;" ~*")&gt;0)+(COUNTIF(O8:Q25,$B45)+COUNTIF(O8:Q25,$B45&amp;" ~*")&gt;0)+(COUNTIF(S8:U25,$B45)+COUNTIF(S8:U25,$B45&amp;" ~*")&gt;0)+(COUNTIF(W8:W25,$B45)+COUNTIF(W8:W25,$B45&amp;" ~*")&gt;0)+(COUNTIF(Y8:Y25,$B45)+COUNTIF(Y8:Y25,$B45&amp;" ~*")&gt;0))</f>
        <v/>
      </c>
      <c r="AC45" s="36">
        <f>IF($B45="","",(IFERROR(INDEX(Setup!$G$33:$G$40,MATCH(C45,Setup!$B$33:$B$40,0)),0)=1)*(COUNTIF(C8:E25,$B45)+COUNTIF(C8:E25,$B45&amp;" ~*")&gt;0)+(IFERROR(INDEX(Setup!$G$33:$G$40,MATCH(G45,Setup!$B$33:$B$40,0)),0)=1)*(COUNTIF(G8:I25,$B45)+COUNTIF(G8:I25,$B45&amp;" ~*")&gt;0)+(IFERROR(INDEX(Setup!$G$33:$G$40,MATCH(K45,Setup!$B$33:$B$40,0)),0)=1)*(COUNTIF(K8:M25,$B45)+COUNTIF(K8:M25,$B45&amp;" ~*")&gt;0)+(IFERROR(INDEX(Setup!$G$33:$G$40,MATCH(O45,Setup!$B$33:$B$40,0)),0)=1)*(COUNTIF(O8:Q25,$B45)+COUNTIF(O8:Q25,$B45&amp;" ~*")&gt;0)+(IFERROR(INDEX(Setup!$G$33:$G$40,MATCH(S45,Setup!$B$33:$B$40,0)),0)=1)*(COUNTIF(S8:U25,$B45)+COUNTIF(S8:U25,$B45&amp;" ~*")&gt;0)+(IFERROR(INDEX(Setup!$G$33:$G$40,MATCH(W45,Setup!$B$33:$B$40,0)),0)=1)*(COUNTIF(W8:W25,$B45)+COUNTIF(W8:W25,$B45&amp;" ~*")&gt;0)+(IFERROR(INDEX(Setup!$G$33:$G$40,MATCH(Y45,Setup!$B$33:$B$40,0)),0)=1)*(COUNTIF(Y8:Y25,$B45)+COUNTIF(Y8:Y25,$B45&amp;" ~*")&gt;0))</f>
        <v/>
      </c>
    </row>
    <row r="46" ht="15" customHeight="1">
      <c r="A46" t="n">
        <v>1</v>
      </c>
      <c r="B46" s="37">
        <f>IF(Setup!$B$25="","",Setup!$B$25)</f>
        <v/>
      </c>
      <c r="C46" s="102" t="n"/>
      <c r="D46" s="103" t="n"/>
      <c r="E46" s="103" t="n"/>
      <c r="F46" s="104" t="n"/>
      <c r="G46" s="102" t="n"/>
      <c r="H46" s="103" t="n"/>
      <c r="I46" s="103" t="n"/>
      <c r="J46" s="104" t="n"/>
      <c r="K46" s="102" t="n"/>
      <c r="L46" s="103" t="n"/>
      <c r="M46" s="103" t="n"/>
      <c r="N46" s="104" t="n"/>
      <c r="O46" s="102" t="n"/>
      <c r="P46" s="103" t="n"/>
      <c r="Q46" s="103" t="n"/>
      <c r="R46" s="104" t="n"/>
      <c r="S46" s="102" t="n"/>
      <c r="T46" s="103" t="n"/>
      <c r="U46" s="103" t="n"/>
      <c r="V46" s="104" t="n"/>
      <c r="W46" s="102" t="n"/>
      <c r="X46" s="104" t="n"/>
      <c r="Y46" s="102" t="n"/>
      <c r="Z46" s="104" t="n"/>
      <c r="AB46" s="105">
        <f>IF($B46="","",(COUNTIF(C8:E25,$B46)+COUNTIF(C8:E25,$B46&amp;" ~*")&gt;0)+(COUNTIF(G8:I25,$B46)+COUNTIF(G8:I25,$B46&amp;" ~*")&gt;0)+(COUNTIF(K8:M25,$B46)+COUNTIF(K8:M25,$B46&amp;" ~*")&gt;0)+(COUNTIF(O8:Q25,$B46)+COUNTIF(O8:Q25,$B46&amp;" ~*")&gt;0)+(COUNTIF(S8:U25,$B46)+COUNTIF(S8:U25,$B46&amp;" ~*")&gt;0)+(COUNTIF(W8:W25,$B46)+COUNTIF(W8:W25,$B46&amp;" ~*")&gt;0)+(COUNTIF(Y8:Y25,$B46)+COUNTIF(Y8:Y25,$B46&amp;" ~*")&gt;0))</f>
        <v/>
      </c>
      <c r="AC46" s="38">
        <f>IF($B46="","",(IFERROR(INDEX(Setup!$G$33:$G$40,MATCH(C46,Setup!$B$33:$B$40,0)),0)=1)*(COUNTIF(C8:E25,$B46)+COUNTIF(C8:E25,$B46&amp;" ~*")&gt;0)+(IFERROR(INDEX(Setup!$G$33:$G$40,MATCH(G46,Setup!$B$33:$B$40,0)),0)=1)*(COUNTIF(G8:I25,$B46)+COUNTIF(G8:I25,$B46&amp;" ~*")&gt;0)+(IFERROR(INDEX(Setup!$G$33:$G$40,MATCH(K46,Setup!$B$33:$B$40,0)),0)=1)*(COUNTIF(K8:M25,$B46)+COUNTIF(K8:M25,$B46&amp;" ~*")&gt;0)+(IFERROR(INDEX(Setup!$G$33:$G$40,MATCH(O46,Setup!$B$33:$B$40,0)),0)=1)*(COUNTIF(O8:Q25,$B46)+COUNTIF(O8:Q25,$B46&amp;" ~*")&gt;0)+(IFERROR(INDEX(Setup!$G$33:$G$40,MATCH(S46,Setup!$B$33:$B$40,0)),0)=1)*(COUNTIF(S8:U25,$B46)+COUNTIF(S8:U25,$B46&amp;" ~*")&gt;0)+(IFERROR(INDEX(Setup!$G$33:$G$40,MATCH(W46,Setup!$B$33:$B$40,0)),0)=1)*(COUNTIF(W8:W25,$B46)+COUNTIF(W8:W25,$B46&amp;" ~*")&gt;0)+(IFERROR(INDEX(Setup!$G$33:$G$40,MATCH(Y46,Setup!$B$33:$B$40,0)),0)=1)*(COUNTIF(Y8:Y25,$B46)+COUNTIF(Y8:Y25,$B46&amp;" ~*")&gt;0))</f>
        <v/>
      </c>
    </row>
    <row r="47" ht="15" customHeight="1">
      <c r="A47" t="n">
        <v>1</v>
      </c>
      <c r="B47" s="35">
        <f>IF(Setup!$B$26="","",Setup!$B$26)</f>
        <v/>
      </c>
      <c r="C47" s="98" t="n"/>
      <c r="D47" s="99" t="n"/>
      <c r="E47" s="99" t="n"/>
      <c r="F47" s="100" t="n"/>
      <c r="G47" s="98" t="n"/>
      <c r="H47" s="99" t="n"/>
      <c r="I47" s="99" t="n"/>
      <c r="J47" s="100" t="n"/>
      <c r="K47" s="98" t="n"/>
      <c r="L47" s="99" t="n"/>
      <c r="M47" s="99" t="n"/>
      <c r="N47" s="100" t="n"/>
      <c r="O47" s="98" t="n"/>
      <c r="P47" s="99" t="n"/>
      <c r="Q47" s="99" t="n"/>
      <c r="R47" s="100" t="n"/>
      <c r="S47" s="98" t="n"/>
      <c r="T47" s="99" t="n"/>
      <c r="U47" s="99" t="n"/>
      <c r="V47" s="100" t="n"/>
      <c r="W47" s="98" t="n"/>
      <c r="X47" s="100" t="n"/>
      <c r="Y47" s="98" t="n"/>
      <c r="Z47" s="100" t="n"/>
      <c r="AB47" s="101">
        <f>IF($B47="","",(COUNTIF(C8:E25,$B47)+COUNTIF(C8:E25,$B47&amp;" ~*")&gt;0)+(COUNTIF(G8:I25,$B47)+COUNTIF(G8:I25,$B47&amp;" ~*")&gt;0)+(COUNTIF(K8:M25,$B47)+COUNTIF(K8:M25,$B47&amp;" ~*")&gt;0)+(COUNTIF(O8:Q25,$B47)+COUNTIF(O8:Q25,$B47&amp;" ~*")&gt;0)+(COUNTIF(S8:U25,$B47)+COUNTIF(S8:U25,$B47&amp;" ~*")&gt;0)+(COUNTIF(W8:W25,$B47)+COUNTIF(W8:W25,$B47&amp;" ~*")&gt;0)+(COUNTIF(Y8:Y25,$B47)+COUNTIF(Y8:Y25,$B47&amp;" ~*")&gt;0))</f>
        <v/>
      </c>
      <c r="AC47" s="36">
        <f>IF($B47="","",(IFERROR(INDEX(Setup!$G$33:$G$40,MATCH(C47,Setup!$B$33:$B$40,0)),0)=1)*(COUNTIF(C8:E25,$B47)+COUNTIF(C8:E25,$B47&amp;" ~*")&gt;0)+(IFERROR(INDEX(Setup!$G$33:$G$40,MATCH(G47,Setup!$B$33:$B$40,0)),0)=1)*(COUNTIF(G8:I25,$B47)+COUNTIF(G8:I25,$B47&amp;" ~*")&gt;0)+(IFERROR(INDEX(Setup!$G$33:$G$40,MATCH(K47,Setup!$B$33:$B$40,0)),0)=1)*(COUNTIF(K8:M25,$B47)+COUNTIF(K8:M25,$B47&amp;" ~*")&gt;0)+(IFERROR(INDEX(Setup!$G$33:$G$40,MATCH(O47,Setup!$B$33:$B$40,0)),0)=1)*(COUNTIF(O8:Q25,$B47)+COUNTIF(O8:Q25,$B47&amp;" ~*")&gt;0)+(IFERROR(INDEX(Setup!$G$33:$G$40,MATCH(S47,Setup!$B$33:$B$40,0)),0)=1)*(COUNTIF(S8:U25,$B47)+COUNTIF(S8:U25,$B47&amp;" ~*")&gt;0)+(IFERROR(INDEX(Setup!$G$33:$G$40,MATCH(W47,Setup!$B$33:$B$40,0)),0)=1)*(COUNTIF(W8:W25,$B47)+COUNTIF(W8:W25,$B47&amp;" ~*")&gt;0)+(IFERROR(INDEX(Setup!$G$33:$G$40,MATCH(Y47,Setup!$B$33:$B$40,0)),0)=1)*(COUNTIF(Y8:Y25,$B47)+COUNTIF(Y8:Y25,$B47&amp;" ~*")&gt;0))</f>
        <v/>
      </c>
    </row>
    <row r="48" ht="15" customHeight="1">
      <c r="A48" t="n">
        <v>1</v>
      </c>
      <c r="B48" s="37">
        <f>IF(Setup!$B$27="","",Setup!$B$27)</f>
        <v/>
      </c>
      <c r="C48" s="102" t="n"/>
      <c r="D48" s="103" t="n"/>
      <c r="E48" s="103" t="n"/>
      <c r="F48" s="104" t="n"/>
      <c r="G48" s="102" t="n"/>
      <c r="H48" s="103" t="n"/>
      <c r="I48" s="103" t="n"/>
      <c r="J48" s="104" t="n"/>
      <c r="K48" s="102" t="n"/>
      <c r="L48" s="103" t="n"/>
      <c r="M48" s="103" t="n"/>
      <c r="N48" s="104" t="n"/>
      <c r="O48" s="102" t="n"/>
      <c r="P48" s="103" t="n"/>
      <c r="Q48" s="103" t="n"/>
      <c r="R48" s="104" t="n"/>
      <c r="S48" s="102" t="n"/>
      <c r="T48" s="103" t="n"/>
      <c r="U48" s="103" t="n"/>
      <c r="V48" s="104" t="n"/>
      <c r="W48" s="102" t="n"/>
      <c r="X48" s="104" t="n"/>
      <c r="Y48" s="102" t="n"/>
      <c r="Z48" s="104" t="n"/>
      <c r="AB48" s="105">
        <f>IF($B48="","",(COUNTIF(C8:E25,$B48)+COUNTIF(C8:E25,$B48&amp;" ~*")&gt;0)+(COUNTIF(G8:I25,$B48)+COUNTIF(G8:I25,$B48&amp;" ~*")&gt;0)+(COUNTIF(K8:M25,$B48)+COUNTIF(K8:M25,$B48&amp;" ~*")&gt;0)+(COUNTIF(O8:Q25,$B48)+COUNTIF(O8:Q25,$B48&amp;" ~*")&gt;0)+(COUNTIF(S8:U25,$B48)+COUNTIF(S8:U25,$B48&amp;" ~*")&gt;0)+(COUNTIF(W8:W25,$B48)+COUNTIF(W8:W25,$B48&amp;" ~*")&gt;0)+(COUNTIF(Y8:Y25,$B48)+COUNTIF(Y8:Y25,$B48&amp;" ~*")&gt;0))</f>
        <v/>
      </c>
      <c r="AC48" s="38">
        <f>IF($B48="","",(IFERROR(INDEX(Setup!$G$33:$G$40,MATCH(C48,Setup!$B$33:$B$40,0)),0)=1)*(COUNTIF(C8:E25,$B48)+COUNTIF(C8:E25,$B48&amp;" ~*")&gt;0)+(IFERROR(INDEX(Setup!$G$33:$G$40,MATCH(G48,Setup!$B$33:$B$40,0)),0)=1)*(COUNTIF(G8:I25,$B48)+COUNTIF(G8:I25,$B48&amp;" ~*")&gt;0)+(IFERROR(INDEX(Setup!$G$33:$G$40,MATCH(K48,Setup!$B$33:$B$40,0)),0)=1)*(COUNTIF(K8:M25,$B48)+COUNTIF(K8:M25,$B48&amp;" ~*")&gt;0)+(IFERROR(INDEX(Setup!$G$33:$G$40,MATCH(O48,Setup!$B$33:$B$40,0)),0)=1)*(COUNTIF(O8:Q25,$B48)+COUNTIF(O8:Q25,$B48&amp;" ~*")&gt;0)+(IFERROR(INDEX(Setup!$G$33:$G$40,MATCH(S48,Setup!$B$33:$B$40,0)),0)=1)*(COUNTIF(S8:U25,$B48)+COUNTIF(S8:U25,$B48&amp;" ~*")&gt;0)+(IFERROR(INDEX(Setup!$G$33:$G$40,MATCH(W48,Setup!$B$33:$B$40,0)),0)=1)*(COUNTIF(W8:W25,$B48)+COUNTIF(W8:W25,$B48&amp;" ~*")&gt;0)+(IFERROR(INDEX(Setup!$G$33:$G$40,MATCH(Y48,Setup!$B$33:$B$40,0)),0)=1)*(COUNTIF(Y8:Y25,$B48)+COUNTIF(Y8:Y25,$B48&amp;" ~*")&gt;0))</f>
        <v/>
      </c>
    </row>
    <row r="49" ht="15" customHeight="1">
      <c r="A49" t="n">
        <v>1</v>
      </c>
      <c r="B49" s="35">
        <f>IF(Setup!$B$28="","",Setup!$B$28)</f>
        <v/>
      </c>
      <c r="C49" s="98" t="n"/>
      <c r="D49" s="99" t="n"/>
      <c r="E49" s="99" t="n"/>
      <c r="F49" s="100" t="n"/>
      <c r="G49" s="98" t="n"/>
      <c r="H49" s="99" t="n"/>
      <c r="I49" s="99" t="n"/>
      <c r="J49" s="100" t="n"/>
      <c r="K49" s="98" t="n"/>
      <c r="L49" s="99" t="n"/>
      <c r="M49" s="99" t="n"/>
      <c r="N49" s="100" t="n"/>
      <c r="O49" s="98" t="n"/>
      <c r="P49" s="99" t="n"/>
      <c r="Q49" s="99" t="n"/>
      <c r="R49" s="100" t="n"/>
      <c r="S49" s="98" t="n"/>
      <c r="T49" s="99" t="n"/>
      <c r="U49" s="99" t="n"/>
      <c r="V49" s="100" t="n"/>
      <c r="W49" s="98" t="n"/>
      <c r="X49" s="100" t="n"/>
      <c r="Y49" s="98" t="n"/>
      <c r="Z49" s="100" t="n"/>
      <c r="AB49" s="101">
        <f>IF($B49="","",(COUNTIF(C8:E25,$B49)+COUNTIF(C8:E25,$B49&amp;" ~*")&gt;0)+(COUNTIF(G8:I25,$B49)+COUNTIF(G8:I25,$B49&amp;" ~*")&gt;0)+(COUNTIF(K8:M25,$B49)+COUNTIF(K8:M25,$B49&amp;" ~*")&gt;0)+(COUNTIF(O8:Q25,$B49)+COUNTIF(O8:Q25,$B49&amp;" ~*")&gt;0)+(COUNTIF(S8:U25,$B49)+COUNTIF(S8:U25,$B49&amp;" ~*")&gt;0)+(COUNTIF(W8:W25,$B49)+COUNTIF(W8:W25,$B49&amp;" ~*")&gt;0)+(COUNTIF(Y8:Y25,$B49)+COUNTIF(Y8:Y25,$B49&amp;" ~*")&gt;0))</f>
        <v/>
      </c>
      <c r="AC49" s="36">
        <f>IF($B49="","",(IFERROR(INDEX(Setup!$G$33:$G$40,MATCH(C49,Setup!$B$33:$B$40,0)),0)=1)*(COUNTIF(C8:E25,$B49)+COUNTIF(C8:E25,$B49&amp;" ~*")&gt;0)+(IFERROR(INDEX(Setup!$G$33:$G$40,MATCH(G49,Setup!$B$33:$B$40,0)),0)=1)*(COUNTIF(G8:I25,$B49)+COUNTIF(G8:I25,$B49&amp;" ~*")&gt;0)+(IFERROR(INDEX(Setup!$G$33:$G$40,MATCH(K49,Setup!$B$33:$B$40,0)),0)=1)*(COUNTIF(K8:M25,$B49)+COUNTIF(K8:M25,$B49&amp;" ~*")&gt;0)+(IFERROR(INDEX(Setup!$G$33:$G$40,MATCH(O49,Setup!$B$33:$B$40,0)),0)=1)*(COUNTIF(O8:Q25,$B49)+COUNTIF(O8:Q25,$B49&amp;" ~*")&gt;0)+(IFERROR(INDEX(Setup!$G$33:$G$40,MATCH(S49,Setup!$B$33:$B$40,0)),0)=1)*(COUNTIF(S8:U25,$B49)+COUNTIF(S8:U25,$B49&amp;" ~*")&gt;0)+(IFERROR(INDEX(Setup!$G$33:$G$40,MATCH(W49,Setup!$B$33:$B$40,0)),0)=1)*(COUNTIF(W8:W25,$B49)+COUNTIF(W8:W25,$B49&amp;" ~*")&gt;0)+(IFERROR(INDEX(Setup!$G$33:$G$40,MATCH(Y49,Setup!$B$33:$B$40,0)),0)=1)*(COUNTIF(Y8:Y25,$B49)+COUNTIF(Y8:Y25,$B49&amp;" ~*")&gt;0))</f>
        <v/>
      </c>
    </row>
    <row r="50" ht="15" customHeight="1">
      <c r="A50" t="n">
        <v>1</v>
      </c>
      <c r="B50" s="37">
        <f>IF(Setup!$B$29="","",Setup!$B$29)</f>
        <v/>
      </c>
      <c r="C50" s="102" t="n"/>
      <c r="D50" s="103" t="n"/>
      <c r="E50" s="103" t="n"/>
      <c r="F50" s="104" t="n"/>
      <c r="G50" s="102" t="n"/>
      <c r="H50" s="103" t="n"/>
      <c r="I50" s="103" t="n"/>
      <c r="J50" s="104" t="n"/>
      <c r="K50" s="102" t="n"/>
      <c r="L50" s="103" t="n"/>
      <c r="M50" s="103" t="n"/>
      <c r="N50" s="104" t="n"/>
      <c r="O50" s="102" t="n"/>
      <c r="P50" s="103" t="n"/>
      <c r="Q50" s="103" t="n"/>
      <c r="R50" s="104" t="n"/>
      <c r="S50" s="102" t="n"/>
      <c r="T50" s="103" t="n"/>
      <c r="U50" s="103" t="n"/>
      <c r="V50" s="104" t="n"/>
      <c r="W50" s="102" t="n"/>
      <c r="X50" s="104" t="n"/>
      <c r="Y50" s="102" t="n"/>
      <c r="Z50" s="104" t="n"/>
      <c r="AB50" s="105">
        <f>IF($B50="","",(COUNTIF(C8:E25,$B50)+COUNTIF(C8:E25,$B50&amp;" ~*")&gt;0)+(COUNTIF(G8:I25,$B50)+COUNTIF(G8:I25,$B50&amp;" ~*")&gt;0)+(COUNTIF(K8:M25,$B50)+COUNTIF(K8:M25,$B50&amp;" ~*")&gt;0)+(COUNTIF(O8:Q25,$B50)+COUNTIF(O8:Q25,$B50&amp;" ~*")&gt;0)+(COUNTIF(S8:U25,$B50)+COUNTIF(S8:U25,$B50&amp;" ~*")&gt;0)+(COUNTIF(W8:W25,$B50)+COUNTIF(W8:W25,$B50&amp;" ~*")&gt;0)+(COUNTIF(Y8:Y25,$B50)+COUNTIF(Y8:Y25,$B50&amp;" ~*")&gt;0))</f>
        <v/>
      </c>
      <c r="AC50" s="38">
        <f>IF($B50="","",(IFERROR(INDEX(Setup!$G$33:$G$40,MATCH(C50,Setup!$B$33:$B$40,0)),0)=1)*(COUNTIF(C8:E25,$B50)+COUNTIF(C8:E25,$B50&amp;" ~*")&gt;0)+(IFERROR(INDEX(Setup!$G$33:$G$40,MATCH(G50,Setup!$B$33:$B$40,0)),0)=1)*(COUNTIF(G8:I25,$B50)+COUNTIF(G8:I25,$B50&amp;" ~*")&gt;0)+(IFERROR(INDEX(Setup!$G$33:$G$40,MATCH(K50,Setup!$B$33:$B$40,0)),0)=1)*(COUNTIF(K8:M25,$B50)+COUNTIF(K8:M25,$B50&amp;" ~*")&gt;0)+(IFERROR(INDEX(Setup!$G$33:$G$40,MATCH(O50,Setup!$B$33:$B$40,0)),0)=1)*(COUNTIF(O8:Q25,$B50)+COUNTIF(O8:Q25,$B50&amp;" ~*")&gt;0)+(IFERROR(INDEX(Setup!$G$33:$G$40,MATCH(S50,Setup!$B$33:$B$40,0)),0)=1)*(COUNTIF(S8:U25,$B50)+COUNTIF(S8:U25,$B50&amp;" ~*")&gt;0)+(IFERROR(INDEX(Setup!$G$33:$G$40,MATCH(W50,Setup!$B$33:$B$40,0)),0)=1)*(COUNTIF(W8:W25,$B50)+COUNTIF(W8:W25,$B50&amp;" ~*")&gt;0)+(IFERROR(INDEX(Setup!$G$33:$G$40,MATCH(Y50,Setup!$B$33:$B$40,0)),0)=1)*(COUNTIF(Y8:Y25,$B50)+COUNTIF(Y8:Y25,$B50&amp;" ~*")&gt;0))</f>
        <v/>
      </c>
    </row>
    <row r="51" ht="16" customHeight="1">
      <c r="A51" t="n">
        <v>1</v>
      </c>
      <c r="B51" s="106" t="inlineStr">
        <is>
          <t>Available people</t>
        </is>
      </c>
      <c r="C51" s="107">
        <f>COUNTIFS(Setup!$E$6:$E$29,"Y",Setup!$B$6:$B$29,"?*")-SUMPRODUCT(COUNTIF(C27:C50,Setup!$F$33:$F$40))</f>
        <v/>
      </c>
      <c r="D51" s="107" t="n"/>
      <c r="E51" s="107" t="n"/>
      <c r="F51" s="107" t="n"/>
      <c r="G51" s="107">
        <f>COUNTIFS(Setup!$E$6:$E$29,"Y",Setup!$B$6:$B$29,"?*")-SUMPRODUCT(COUNTIF(G27:G50,Setup!$F$33:$F$40))</f>
        <v/>
      </c>
      <c r="H51" s="107" t="n"/>
      <c r="I51" s="107" t="n"/>
      <c r="J51" s="107" t="n"/>
      <c r="K51" s="107">
        <f>COUNTIFS(Setup!$E$6:$E$29,"Y",Setup!$B$6:$B$29,"?*")-SUMPRODUCT(COUNTIF(K27:K50,Setup!$F$33:$F$40))</f>
        <v/>
      </c>
      <c r="L51" s="107" t="n"/>
      <c r="M51" s="107" t="n"/>
      <c r="N51" s="107" t="n"/>
      <c r="O51" s="107">
        <f>COUNTIFS(Setup!$E$6:$E$29,"Y",Setup!$B$6:$B$29,"?*")-SUMPRODUCT(COUNTIF(O27:O50,Setup!$F$33:$F$40))</f>
        <v/>
      </c>
      <c r="P51" s="107" t="n"/>
      <c r="Q51" s="107" t="n"/>
      <c r="R51" s="107" t="n"/>
      <c r="S51" s="107">
        <f>COUNTIFS(Setup!$E$6:$E$29,"Y",Setup!$B$6:$B$29,"?*")-SUMPRODUCT(COUNTIF(S27:S50,Setup!$F$33:$F$40))</f>
        <v/>
      </c>
      <c r="T51" s="107" t="n"/>
      <c r="U51" s="107" t="n"/>
      <c r="V51" s="107" t="n"/>
      <c r="W51" s="107">
        <f>COUNTIFS(Setup!$E$6:$E$29,"Y",Setup!$B$6:$B$29,"?*")-SUMPRODUCT(COUNTIF(W27:W50,Setup!$F$33:$F$40))</f>
        <v/>
      </c>
      <c r="X51" s="107" t="n"/>
      <c r="Y51" s="107">
        <f>COUNTIFS(Setup!$E$6:$E$29,"Y",Setup!$B$6:$B$29,"?*")-SUMPRODUCT(COUNTIF(Y27:Y50,Setup!$F$33:$F$40))</f>
        <v/>
      </c>
      <c r="Z51" s="107" t="n"/>
      <c r="AB51" s="108">
        <f>SUM(AB27:AB50)</f>
        <v/>
      </c>
      <c r="AC51" s="109">
        <f>SUM(AC27:AC50)</f>
        <v/>
      </c>
    </row>
    <row r="52" ht="30" customHeight="1">
      <c r="A52" t="n">
        <v>1</v>
      </c>
      <c r="B52" s="110" t="inlineStr">
        <is>
          <t>Week notes</t>
        </is>
      </c>
      <c r="C52" s="111" t="n"/>
      <c r="D52" s="112" t="n"/>
      <c r="E52" s="112" t="n"/>
      <c r="F52" s="112" t="n"/>
      <c r="G52" s="112" t="n"/>
      <c r="H52" s="112" t="n"/>
      <c r="I52" s="112" t="n"/>
      <c r="J52" s="112" t="n"/>
      <c r="K52" s="112" t="n"/>
      <c r="L52" s="112" t="n"/>
      <c r="M52" s="112" t="n"/>
      <c r="N52" s="112" t="n"/>
      <c r="O52" s="112" t="n"/>
      <c r="P52" s="112" t="n"/>
      <c r="Q52" s="112" t="n"/>
      <c r="R52" s="112" t="n"/>
      <c r="S52" s="112" t="n"/>
      <c r="T52" s="112" t="n"/>
      <c r="U52" s="112" t="n"/>
      <c r="V52" s="112" t="n"/>
      <c r="W52" s="112" t="n"/>
      <c r="X52" s="112" t="n"/>
      <c r="Y52" s="112" t="n"/>
      <c r="Z52" s="113" t="n"/>
    </row>
    <row r="53" ht="8" customHeight="1">
      <c r="A53" t="n">
        <v>1</v>
      </c>
    </row>
    <row r="54" ht="8" customHeight="1">
      <c r="A54" t="n">
        <v>1</v>
      </c>
    </row>
    <row r="55" ht="24" customHeight="1">
      <c r="A55" t="n">
        <v>2</v>
      </c>
      <c r="B55" s="73">
        <f>"WEEK 2     "&amp;TEXT(C56,"ddd d mmm")&amp;"  –  "&amp;TEXT(C56+6,"ddd d mmm yyyy")</f>
        <v/>
      </c>
      <c r="S55" s="74">
        <f>IF(TODAY()&lt;C56,"FUTURE",IF(TODAY()&gt;C56+6,"PAST","THIS WEEK"))</f>
        <v/>
      </c>
      <c r="W55" s="75">
        <f>IF(AND(Engine!$B$8=$AC$3,Engine!$B$9=$A55),"◀ ACTIVE WEEK","")</f>
        <v/>
      </c>
      <c r="AA55" s="76" t="n"/>
      <c r="AB55" s="77" t="inlineStr">
        <is>
          <t>◀ Prev</t>
        </is>
      </c>
      <c r="AC55" s="77" t="inlineStr">
        <is>
          <t>Next ▶</t>
        </is>
      </c>
    </row>
    <row r="56" ht="18" customHeight="1">
      <c r="A56" t="n">
        <v>2</v>
      </c>
      <c r="B56" s="78" t="inlineStr">
        <is>
          <t>DUTY</t>
        </is>
      </c>
      <c r="C56" s="79">
        <f>$AC$2+7*($A56-1)</f>
        <v/>
      </c>
      <c r="D56" s="80" t="n"/>
      <c r="E56" s="80" t="n"/>
      <c r="F56" s="81" t="n"/>
      <c r="G56" s="79">
        <f>C56+1</f>
        <v/>
      </c>
      <c r="H56" s="80" t="n"/>
      <c r="I56" s="80" t="n"/>
      <c r="J56" s="81" t="n"/>
      <c r="K56" s="79">
        <f>C56+2</f>
        <v/>
      </c>
      <c r="L56" s="80" t="n"/>
      <c r="M56" s="80" t="n"/>
      <c r="N56" s="81" t="n"/>
      <c r="O56" s="79">
        <f>C56+3</f>
        <v/>
      </c>
      <c r="P56" s="80" t="n"/>
      <c r="Q56" s="80" t="n"/>
      <c r="R56" s="81" t="n"/>
      <c r="S56" s="79">
        <f>C56+4</f>
        <v/>
      </c>
      <c r="T56" s="80" t="n"/>
      <c r="U56" s="80" t="n"/>
      <c r="V56" s="81" t="n"/>
      <c r="W56" s="82">
        <f>C56+5</f>
        <v/>
      </c>
      <c r="X56" s="83" t="n"/>
      <c r="Y56" s="82">
        <f>C56+6</f>
        <v/>
      </c>
      <c r="Z56" s="83" t="n"/>
      <c r="AB56" s="72" t="inlineStr">
        <is>
          <t>Gaps</t>
        </is>
      </c>
      <c r="AC56" s="72" t="inlineStr">
        <is>
          <t>Cover</t>
        </is>
      </c>
    </row>
    <row r="57" ht="14" customHeight="1">
      <c r="A57" t="n">
        <v>2</v>
      </c>
      <c r="B57" s="84" t="inlineStr">
        <is>
          <t>(from Setup)</t>
        </is>
      </c>
      <c r="C57" s="85" t="inlineStr">
        <is>
          <t>1</t>
        </is>
      </c>
      <c r="D57" s="85" t="inlineStr">
        <is>
          <t>2</t>
        </is>
      </c>
      <c r="E57" s="85" t="inlineStr">
        <is>
          <t>3</t>
        </is>
      </c>
      <c r="F57" s="85" t="inlineStr">
        <is>
          <t>Notes</t>
        </is>
      </c>
      <c r="G57" s="85" t="inlineStr">
        <is>
          <t>1</t>
        </is>
      </c>
      <c r="H57" s="85" t="inlineStr">
        <is>
          <t>2</t>
        </is>
      </c>
      <c r="I57" s="85" t="inlineStr">
        <is>
          <t>3</t>
        </is>
      </c>
      <c r="J57" s="85" t="inlineStr">
        <is>
          <t>Notes</t>
        </is>
      </c>
      <c r="K57" s="85" t="inlineStr">
        <is>
          <t>1</t>
        </is>
      </c>
      <c r="L57" s="85" t="inlineStr">
        <is>
          <t>2</t>
        </is>
      </c>
      <c r="M57" s="85" t="inlineStr">
        <is>
          <t>3</t>
        </is>
      </c>
      <c r="N57" s="85" t="inlineStr">
        <is>
          <t>Notes</t>
        </is>
      </c>
      <c r="O57" s="85" t="inlineStr">
        <is>
          <t>1</t>
        </is>
      </c>
      <c r="P57" s="85" t="inlineStr">
        <is>
          <t>2</t>
        </is>
      </c>
      <c r="Q57" s="85" t="inlineStr">
        <is>
          <t>3</t>
        </is>
      </c>
      <c r="R57" s="85" t="inlineStr">
        <is>
          <t>Notes</t>
        </is>
      </c>
      <c r="S57" s="85" t="inlineStr">
        <is>
          <t>1</t>
        </is>
      </c>
      <c r="T57" s="85" t="inlineStr">
        <is>
          <t>2</t>
        </is>
      </c>
      <c r="U57" s="85" t="inlineStr">
        <is>
          <t>3</t>
        </is>
      </c>
      <c r="V57" s="85" t="inlineStr">
        <is>
          <t>Notes</t>
        </is>
      </c>
      <c r="W57" s="85" t="inlineStr">
        <is>
          <t>Cover</t>
        </is>
      </c>
      <c r="X57" s="85" t="inlineStr">
        <is>
          <t>Notes</t>
        </is>
      </c>
      <c r="Y57" s="85" t="inlineStr">
        <is>
          <t>Cover</t>
        </is>
      </c>
      <c r="Z57" s="85" t="inlineStr">
        <is>
          <t>Notes</t>
        </is>
      </c>
      <c r="AB57" s="86" t="inlineStr">
        <is>
          <t>weekdays short</t>
        </is>
      </c>
      <c r="AC57" s="87" t="inlineStr"/>
    </row>
    <row r="58" ht="17" customHeight="1">
      <c r="A58" t="n">
        <v>2</v>
      </c>
      <c r="B58" s="24">
        <f>IF(Setup!$K$6="","",Setup!$K$6)</f>
        <v/>
      </c>
      <c r="C58" s="88" t="n"/>
      <c r="D58" s="88" t="n"/>
      <c r="E58" s="88" t="n"/>
      <c r="F58" s="89" t="n"/>
      <c r="G58" s="88" t="n"/>
      <c r="H58" s="88" t="n"/>
      <c r="I58" s="88" t="n"/>
      <c r="J58" s="89" t="n"/>
      <c r="K58" s="88" t="n"/>
      <c r="L58" s="88" t="n"/>
      <c r="M58" s="88" t="n"/>
      <c r="N58" s="89" t="n"/>
      <c r="O58" s="88" t="n"/>
      <c r="P58" s="88" t="n"/>
      <c r="Q58" s="88" t="n"/>
      <c r="R58" s="89" t="n"/>
      <c r="S58" s="88" t="n"/>
      <c r="T58" s="88" t="n"/>
      <c r="U58" s="88" t="n"/>
      <c r="V58" s="89" t="n"/>
      <c r="W58" s="88" t="n"/>
      <c r="X58" s="89" t="n"/>
      <c r="Y58" s="88" t="n"/>
      <c r="Z58" s="89" t="n"/>
      <c r="AB58" s="25">
        <f>IF($B58="","",(COUNTIF(C58:E58,"?*")&lt;N(INDEX(Setup!$L$6:$L$23,1)))+(COUNTIF(G58:I58,"?*")&lt;N(INDEX(Setup!$L$6:$L$23,1)))+(COUNTIF(K58:M58,"?*")&lt;N(INDEX(Setup!$L$6:$L$23,1)))+(COUNTIF(O58:Q58,"?*")&lt;N(INDEX(Setup!$L$6:$L$23,1)))+(COUNTIF(S58:U58,"?*")&lt;N(INDEX(Setup!$L$6:$L$23,1)))+((W58="")*(INDEX(Setup!$M$6:$M$23,1)="Y"))+((Y58="")*(INDEX(Setup!$M$6:$M$23,1)="Y")))</f>
        <v/>
      </c>
      <c r="AC58" s="90">
        <f>IF($B58="","",IF(AB58=0,"✓ covered","⚠ "&amp;AB58&amp;IF(AB58=1," gap"," gaps")))</f>
        <v/>
      </c>
    </row>
    <row r="59" ht="17" customHeight="1">
      <c r="A59" t="n">
        <v>2</v>
      </c>
      <c r="B59" s="29">
        <f>IF(Setup!$K$7="","",Setup!$K$7)</f>
        <v/>
      </c>
      <c r="C59" s="88" t="n"/>
      <c r="D59" s="88" t="n"/>
      <c r="E59" s="88" t="n"/>
      <c r="F59" s="89" t="n"/>
      <c r="G59" s="88" t="n"/>
      <c r="H59" s="88" t="n"/>
      <c r="I59" s="88" t="n"/>
      <c r="J59" s="89" t="n"/>
      <c r="K59" s="88" t="n"/>
      <c r="L59" s="88" t="n"/>
      <c r="M59" s="88" t="n"/>
      <c r="N59" s="89" t="n"/>
      <c r="O59" s="88" t="n"/>
      <c r="P59" s="88" t="n"/>
      <c r="Q59" s="88" t="n"/>
      <c r="R59" s="89" t="n"/>
      <c r="S59" s="88" t="n"/>
      <c r="T59" s="88" t="n"/>
      <c r="U59" s="88" t="n"/>
      <c r="V59" s="89" t="n"/>
      <c r="W59" s="88" t="n"/>
      <c r="X59" s="89" t="n"/>
      <c r="Y59" s="88" t="n"/>
      <c r="Z59" s="89" t="n"/>
      <c r="AB59" s="30">
        <f>IF($B59="","",(COUNTIF(C59:E59,"?*")&lt;N(INDEX(Setup!$L$6:$L$23,2)))+(COUNTIF(G59:I59,"?*")&lt;N(INDEX(Setup!$L$6:$L$23,2)))+(COUNTIF(K59:M59,"?*")&lt;N(INDEX(Setup!$L$6:$L$23,2)))+(COUNTIF(O59:Q59,"?*")&lt;N(INDEX(Setup!$L$6:$L$23,2)))+(COUNTIF(S59:U59,"?*")&lt;N(INDEX(Setup!$L$6:$L$23,2)))+((W59="")*(INDEX(Setup!$M$6:$M$23,2)="Y"))+((Y59="")*(INDEX(Setup!$M$6:$M$23,2)="Y")))</f>
        <v/>
      </c>
      <c r="AC59" s="91">
        <f>IF($B59="","",IF(AB59=0,"✓ covered","⚠ "&amp;AB59&amp;IF(AB59=1," gap"," gaps")))</f>
        <v/>
      </c>
    </row>
    <row r="60" ht="17" customHeight="1">
      <c r="A60" t="n">
        <v>2</v>
      </c>
      <c r="B60" s="24">
        <f>IF(Setup!$K$8="","",Setup!$K$8)</f>
        <v/>
      </c>
      <c r="C60" s="88" t="n"/>
      <c r="D60" s="88" t="n"/>
      <c r="E60" s="88" t="n"/>
      <c r="F60" s="89" t="n"/>
      <c r="G60" s="88" t="n"/>
      <c r="H60" s="88" t="n"/>
      <c r="I60" s="88" t="n"/>
      <c r="J60" s="89" t="n"/>
      <c r="K60" s="88" t="n"/>
      <c r="L60" s="88" t="n"/>
      <c r="M60" s="88" t="n"/>
      <c r="N60" s="89" t="n"/>
      <c r="O60" s="88" t="n"/>
      <c r="P60" s="88" t="n"/>
      <c r="Q60" s="88" t="n"/>
      <c r="R60" s="89" t="n"/>
      <c r="S60" s="88" t="n"/>
      <c r="T60" s="88" t="n"/>
      <c r="U60" s="88" t="n"/>
      <c r="V60" s="89" t="n"/>
      <c r="W60" s="88" t="n"/>
      <c r="X60" s="89" t="n"/>
      <c r="Y60" s="88" t="n"/>
      <c r="Z60" s="89" t="n"/>
      <c r="AB60" s="25">
        <f>IF($B60="","",(COUNTIF(C60:E60,"?*")&lt;N(INDEX(Setup!$L$6:$L$23,3)))+(COUNTIF(G60:I60,"?*")&lt;N(INDEX(Setup!$L$6:$L$23,3)))+(COUNTIF(K60:M60,"?*")&lt;N(INDEX(Setup!$L$6:$L$23,3)))+(COUNTIF(O60:Q60,"?*")&lt;N(INDEX(Setup!$L$6:$L$23,3)))+(COUNTIF(S60:U60,"?*")&lt;N(INDEX(Setup!$L$6:$L$23,3)))+((W60="")*(INDEX(Setup!$M$6:$M$23,3)="Y"))+((Y60="")*(INDEX(Setup!$M$6:$M$23,3)="Y")))</f>
        <v/>
      </c>
      <c r="AC60" s="90">
        <f>IF($B60="","",IF(AB60=0,"✓ covered","⚠ "&amp;AB60&amp;IF(AB60=1," gap"," gaps")))</f>
        <v/>
      </c>
    </row>
    <row r="61" ht="17" customHeight="1">
      <c r="A61" t="n">
        <v>2</v>
      </c>
      <c r="B61" s="29">
        <f>IF(Setup!$K$9="","",Setup!$K$9)</f>
        <v/>
      </c>
      <c r="C61" s="88" t="n"/>
      <c r="D61" s="88" t="n"/>
      <c r="E61" s="88" t="n"/>
      <c r="F61" s="89" t="n"/>
      <c r="G61" s="88" t="n"/>
      <c r="H61" s="88" t="n"/>
      <c r="I61" s="88" t="n"/>
      <c r="J61" s="89" t="n"/>
      <c r="K61" s="88" t="n"/>
      <c r="L61" s="88" t="n"/>
      <c r="M61" s="88" t="n"/>
      <c r="N61" s="89" t="n"/>
      <c r="O61" s="88" t="n"/>
      <c r="P61" s="88" t="n"/>
      <c r="Q61" s="88" t="n"/>
      <c r="R61" s="89" t="n"/>
      <c r="S61" s="88" t="n"/>
      <c r="T61" s="88" t="n"/>
      <c r="U61" s="88" t="n"/>
      <c r="V61" s="89" t="n"/>
      <c r="W61" s="88" t="n"/>
      <c r="X61" s="89" t="n"/>
      <c r="Y61" s="88" t="n"/>
      <c r="Z61" s="89" t="n"/>
      <c r="AB61" s="30">
        <f>IF($B61="","",(COUNTIF(C61:E61,"?*")&lt;N(INDEX(Setup!$L$6:$L$23,4)))+(COUNTIF(G61:I61,"?*")&lt;N(INDEX(Setup!$L$6:$L$23,4)))+(COUNTIF(K61:M61,"?*")&lt;N(INDEX(Setup!$L$6:$L$23,4)))+(COUNTIF(O61:Q61,"?*")&lt;N(INDEX(Setup!$L$6:$L$23,4)))+(COUNTIF(S61:U61,"?*")&lt;N(INDEX(Setup!$L$6:$L$23,4)))+((W61="")*(INDEX(Setup!$M$6:$M$23,4)="Y"))+((Y61="")*(INDEX(Setup!$M$6:$M$23,4)="Y")))</f>
        <v/>
      </c>
      <c r="AC61" s="91">
        <f>IF($B61="","",IF(AB61=0,"✓ covered","⚠ "&amp;AB61&amp;IF(AB61=1," gap"," gaps")))</f>
        <v/>
      </c>
    </row>
    <row r="62" ht="17" customHeight="1">
      <c r="A62" t="n">
        <v>2</v>
      </c>
      <c r="B62" s="24">
        <f>IF(Setup!$K$10="","",Setup!$K$10)</f>
        <v/>
      </c>
      <c r="C62" s="88" t="n"/>
      <c r="D62" s="88" t="n"/>
      <c r="E62" s="88" t="n"/>
      <c r="F62" s="89" t="n"/>
      <c r="G62" s="88" t="n"/>
      <c r="H62" s="88" t="n"/>
      <c r="I62" s="88" t="n"/>
      <c r="J62" s="89" t="n"/>
      <c r="K62" s="88" t="n"/>
      <c r="L62" s="88" t="n"/>
      <c r="M62" s="88" t="n"/>
      <c r="N62" s="89" t="n"/>
      <c r="O62" s="88" t="n"/>
      <c r="P62" s="88" t="n"/>
      <c r="Q62" s="88" t="n"/>
      <c r="R62" s="89" t="n"/>
      <c r="S62" s="88" t="n"/>
      <c r="T62" s="88" t="n"/>
      <c r="U62" s="88" t="n"/>
      <c r="V62" s="89" t="n"/>
      <c r="W62" s="88" t="n"/>
      <c r="X62" s="89" t="n"/>
      <c r="Y62" s="88" t="n"/>
      <c r="Z62" s="89" t="n"/>
      <c r="AB62" s="25">
        <f>IF($B62="","",(COUNTIF(C62:E62,"?*")&lt;N(INDEX(Setup!$L$6:$L$23,5)))+(COUNTIF(G62:I62,"?*")&lt;N(INDEX(Setup!$L$6:$L$23,5)))+(COUNTIF(K62:M62,"?*")&lt;N(INDEX(Setup!$L$6:$L$23,5)))+(COUNTIF(O62:Q62,"?*")&lt;N(INDEX(Setup!$L$6:$L$23,5)))+(COUNTIF(S62:U62,"?*")&lt;N(INDEX(Setup!$L$6:$L$23,5)))+((W62="")*(INDEX(Setup!$M$6:$M$23,5)="Y"))+((Y62="")*(INDEX(Setup!$M$6:$M$23,5)="Y")))</f>
        <v/>
      </c>
      <c r="AC62" s="90">
        <f>IF($B62="","",IF(AB62=0,"✓ covered","⚠ "&amp;AB62&amp;IF(AB62=1," gap"," gaps")))</f>
        <v/>
      </c>
    </row>
    <row r="63" ht="17" customHeight="1">
      <c r="A63" t="n">
        <v>2</v>
      </c>
      <c r="B63" s="29">
        <f>IF(Setup!$K$11="","",Setup!$K$11)</f>
        <v/>
      </c>
      <c r="C63" s="88" t="n"/>
      <c r="D63" s="88" t="n"/>
      <c r="E63" s="88" t="n"/>
      <c r="F63" s="89" t="n"/>
      <c r="G63" s="88" t="n"/>
      <c r="H63" s="88" t="n"/>
      <c r="I63" s="88" t="n"/>
      <c r="J63" s="89" t="n"/>
      <c r="K63" s="88" t="n"/>
      <c r="L63" s="88" t="n"/>
      <c r="M63" s="88" t="n"/>
      <c r="N63" s="89" t="n"/>
      <c r="O63" s="88" t="n"/>
      <c r="P63" s="88" t="n"/>
      <c r="Q63" s="88" t="n"/>
      <c r="R63" s="89" t="n"/>
      <c r="S63" s="88" t="n"/>
      <c r="T63" s="88" t="n"/>
      <c r="U63" s="88" t="n"/>
      <c r="V63" s="89" t="n"/>
      <c r="W63" s="88" t="n"/>
      <c r="X63" s="89" t="n"/>
      <c r="Y63" s="88" t="n"/>
      <c r="Z63" s="89" t="n"/>
      <c r="AB63" s="30">
        <f>IF($B63="","",(COUNTIF(C63:E63,"?*")&lt;N(INDEX(Setup!$L$6:$L$23,6)))+(COUNTIF(G63:I63,"?*")&lt;N(INDEX(Setup!$L$6:$L$23,6)))+(COUNTIF(K63:M63,"?*")&lt;N(INDEX(Setup!$L$6:$L$23,6)))+(COUNTIF(O63:Q63,"?*")&lt;N(INDEX(Setup!$L$6:$L$23,6)))+(COUNTIF(S63:U63,"?*")&lt;N(INDEX(Setup!$L$6:$L$23,6)))+((W63="")*(INDEX(Setup!$M$6:$M$23,6)="Y"))+((Y63="")*(INDEX(Setup!$M$6:$M$23,6)="Y")))</f>
        <v/>
      </c>
      <c r="AC63" s="91">
        <f>IF($B63="","",IF(AB63=0,"✓ covered","⚠ "&amp;AB63&amp;IF(AB63=1," gap"," gaps")))</f>
        <v/>
      </c>
    </row>
    <row r="64" ht="17" customHeight="1">
      <c r="A64" t="n">
        <v>2</v>
      </c>
      <c r="B64" s="24">
        <f>IF(Setup!$K$12="","",Setup!$K$12)</f>
        <v/>
      </c>
      <c r="C64" s="88" t="n"/>
      <c r="D64" s="88" t="n"/>
      <c r="E64" s="88" t="n"/>
      <c r="F64" s="89" t="n"/>
      <c r="G64" s="88" t="n"/>
      <c r="H64" s="88" t="n"/>
      <c r="I64" s="88" t="n"/>
      <c r="J64" s="89" t="n"/>
      <c r="K64" s="88" t="n"/>
      <c r="L64" s="88" t="n"/>
      <c r="M64" s="88" t="n"/>
      <c r="N64" s="89" t="n"/>
      <c r="O64" s="88" t="n"/>
      <c r="P64" s="88" t="n"/>
      <c r="Q64" s="88" t="n"/>
      <c r="R64" s="89" t="n"/>
      <c r="S64" s="88" t="n"/>
      <c r="T64" s="88" t="n"/>
      <c r="U64" s="88" t="n"/>
      <c r="V64" s="89" t="n"/>
      <c r="W64" s="88" t="n"/>
      <c r="X64" s="89" t="n"/>
      <c r="Y64" s="88" t="n"/>
      <c r="Z64" s="89" t="n"/>
      <c r="AB64" s="25">
        <f>IF($B64="","",(COUNTIF(C64:E64,"?*")&lt;N(INDEX(Setup!$L$6:$L$23,7)))+(COUNTIF(G64:I64,"?*")&lt;N(INDEX(Setup!$L$6:$L$23,7)))+(COUNTIF(K64:M64,"?*")&lt;N(INDEX(Setup!$L$6:$L$23,7)))+(COUNTIF(O64:Q64,"?*")&lt;N(INDEX(Setup!$L$6:$L$23,7)))+(COUNTIF(S64:U64,"?*")&lt;N(INDEX(Setup!$L$6:$L$23,7)))+((W64="")*(INDEX(Setup!$M$6:$M$23,7)="Y"))+((Y64="")*(INDEX(Setup!$M$6:$M$23,7)="Y")))</f>
        <v/>
      </c>
      <c r="AC64" s="90">
        <f>IF($B64="","",IF(AB64=0,"✓ covered","⚠ "&amp;AB64&amp;IF(AB64=1," gap"," gaps")))</f>
        <v/>
      </c>
    </row>
    <row r="65" ht="17" customHeight="1">
      <c r="A65" t="n">
        <v>2</v>
      </c>
      <c r="B65" s="29">
        <f>IF(Setup!$K$13="","",Setup!$K$13)</f>
        <v/>
      </c>
      <c r="C65" s="88" t="n"/>
      <c r="D65" s="88" t="n"/>
      <c r="E65" s="88" t="n"/>
      <c r="F65" s="89" t="n"/>
      <c r="G65" s="88" t="n"/>
      <c r="H65" s="88" t="n"/>
      <c r="I65" s="88" t="n"/>
      <c r="J65" s="89" t="n"/>
      <c r="K65" s="88" t="n"/>
      <c r="L65" s="88" t="n"/>
      <c r="M65" s="88" t="n"/>
      <c r="N65" s="89" t="n"/>
      <c r="O65" s="88" t="n"/>
      <c r="P65" s="88" t="n"/>
      <c r="Q65" s="88" t="n"/>
      <c r="R65" s="89" t="n"/>
      <c r="S65" s="88" t="n"/>
      <c r="T65" s="88" t="n"/>
      <c r="U65" s="88" t="n"/>
      <c r="V65" s="89" t="n"/>
      <c r="W65" s="88" t="n"/>
      <c r="X65" s="89" t="n"/>
      <c r="Y65" s="88" t="n"/>
      <c r="Z65" s="89" t="n"/>
      <c r="AB65" s="30">
        <f>IF($B65="","",(COUNTIF(C65:E65,"?*")&lt;N(INDEX(Setup!$L$6:$L$23,8)))+(COUNTIF(G65:I65,"?*")&lt;N(INDEX(Setup!$L$6:$L$23,8)))+(COUNTIF(K65:M65,"?*")&lt;N(INDEX(Setup!$L$6:$L$23,8)))+(COUNTIF(O65:Q65,"?*")&lt;N(INDEX(Setup!$L$6:$L$23,8)))+(COUNTIF(S65:U65,"?*")&lt;N(INDEX(Setup!$L$6:$L$23,8)))+((W65="")*(INDEX(Setup!$M$6:$M$23,8)="Y"))+((Y65="")*(INDEX(Setup!$M$6:$M$23,8)="Y")))</f>
        <v/>
      </c>
      <c r="AC65" s="91">
        <f>IF($B65="","",IF(AB65=0,"✓ covered","⚠ "&amp;AB65&amp;IF(AB65=1," gap"," gaps")))</f>
        <v/>
      </c>
    </row>
    <row r="66" ht="17" customHeight="1">
      <c r="A66" t="n">
        <v>2</v>
      </c>
      <c r="B66" s="24">
        <f>IF(Setup!$K$14="","",Setup!$K$14)</f>
        <v/>
      </c>
      <c r="C66" s="88" t="n"/>
      <c r="D66" s="88" t="n"/>
      <c r="E66" s="88" t="n"/>
      <c r="F66" s="89" t="n"/>
      <c r="G66" s="88" t="n"/>
      <c r="H66" s="88" t="n"/>
      <c r="I66" s="88" t="n"/>
      <c r="J66" s="89" t="n"/>
      <c r="K66" s="88" t="n"/>
      <c r="L66" s="88" t="n"/>
      <c r="M66" s="88" t="n"/>
      <c r="N66" s="89" t="n"/>
      <c r="O66" s="88" t="n"/>
      <c r="P66" s="88" t="n"/>
      <c r="Q66" s="88" t="n"/>
      <c r="R66" s="89" t="n"/>
      <c r="S66" s="88" t="n"/>
      <c r="T66" s="88" t="n"/>
      <c r="U66" s="88" t="n"/>
      <c r="V66" s="89" t="n"/>
      <c r="W66" s="88" t="n"/>
      <c r="X66" s="89" t="n"/>
      <c r="Y66" s="88" t="n"/>
      <c r="Z66" s="89" t="n"/>
      <c r="AB66" s="25">
        <f>IF($B66="","",(COUNTIF(C66:E66,"?*")&lt;N(INDEX(Setup!$L$6:$L$23,9)))+(COUNTIF(G66:I66,"?*")&lt;N(INDEX(Setup!$L$6:$L$23,9)))+(COUNTIF(K66:M66,"?*")&lt;N(INDEX(Setup!$L$6:$L$23,9)))+(COUNTIF(O66:Q66,"?*")&lt;N(INDEX(Setup!$L$6:$L$23,9)))+(COUNTIF(S66:U66,"?*")&lt;N(INDEX(Setup!$L$6:$L$23,9)))+((W66="")*(INDEX(Setup!$M$6:$M$23,9)="Y"))+((Y66="")*(INDEX(Setup!$M$6:$M$23,9)="Y")))</f>
        <v/>
      </c>
      <c r="AC66" s="90">
        <f>IF($B66="","",IF(AB66=0,"✓ covered","⚠ "&amp;AB66&amp;IF(AB66=1," gap"," gaps")))</f>
        <v/>
      </c>
    </row>
    <row r="67" ht="17" customHeight="1">
      <c r="A67" t="n">
        <v>2</v>
      </c>
      <c r="B67" s="29">
        <f>IF(Setup!$K$15="","",Setup!$K$15)</f>
        <v/>
      </c>
      <c r="C67" s="88" t="n"/>
      <c r="D67" s="88" t="n"/>
      <c r="E67" s="88" t="n"/>
      <c r="F67" s="89" t="n"/>
      <c r="G67" s="88" t="n"/>
      <c r="H67" s="88" t="n"/>
      <c r="I67" s="88" t="n"/>
      <c r="J67" s="89" t="n"/>
      <c r="K67" s="88" t="n"/>
      <c r="L67" s="88" t="n"/>
      <c r="M67" s="88" t="n"/>
      <c r="N67" s="89" t="n"/>
      <c r="O67" s="88" t="n"/>
      <c r="P67" s="88" t="n"/>
      <c r="Q67" s="88" t="n"/>
      <c r="R67" s="89" t="n"/>
      <c r="S67" s="88" t="n"/>
      <c r="T67" s="88" t="n"/>
      <c r="U67" s="88" t="n"/>
      <c r="V67" s="89" t="n"/>
      <c r="W67" s="88" t="n"/>
      <c r="X67" s="89" t="n"/>
      <c r="Y67" s="88" t="n"/>
      <c r="Z67" s="89" t="n"/>
      <c r="AB67" s="30">
        <f>IF($B67="","",(COUNTIF(C67:E67,"?*")&lt;N(INDEX(Setup!$L$6:$L$23,10)))+(COUNTIF(G67:I67,"?*")&lt;N(INDEX(Setup!$L$6:$L$23,10)))+(COUNTIF(K67:M67,"?*")&lt;N(INDEX(Setup!$L$6:$L$23,10)))+(COUNTIF(O67:Q67,"?*")&lt;N(INDEX(Setup!$L$6:$L$23,10)))+(COUNTIF(S67:U67,"?*")&lt;N(INDEX(Setup!$L$6:$L$23,10)))+((W67="")*(INDEX(Setup!$M$6:$M$23,10)="Y"))+((Y67="")*(INDEX(Setup!$M$6:$M$23,10)="Y")))</f>
        <v/>
      </c>
      <c r="AC67" s="91">
        <f>IF($B67="","",IF(AB67=0,"✓ covered","⚠ "&amp;AB67&amp;IF(AB67=1," gap"," gaps")))</f>
        <v/>
      </c>
    </row>
    <row r="68" ht="17" customHeight="1">
      <c r="A68" t="n">
        <v>2</v>
      </c>
      <c r="B68" s="24">
        <f>IF(Setup!$K$16="","",Setup!$K$16)</f>
        <v/>
      </c>
      <c r="C68" s="88" t="n"/>
      <c r="D68" s="88" t="n"/>
      <c r="E68" s="88" t="n"/>
      <c r="F68" s="89" t="n"/>
      <c r="G68" s="88" t="n"/>
      <c r="H68" s="88" t="n"/>
      <c r="I68" s="88" t="n"/>
      <c r="J68" s="89" t="n"/>
      <c r="K68" s="88" t="n"/>
      <c r="L68" s="88" t="n"/>
      <c r="M68" s="88" t="n"/>
      <c r="N68" s="89" t="n"/>
      <c r="O68" s="88" t="n"/>
      <c r="P68" s="88" t="n"/>
      <c r="Q68" s="88" t="n"/>
      <c r="R68" s="89" t="n"/>
      <c r="S68" s="88" t="n"/>
      <c r="T68" s="88" t="n"/>
      <c r="U68" s="88" t="n"/>
      <c r="V68" s="89" t="n"/>
      <c r="W68" s="88" t="n"/>
      <c r="X68" s="89" t="n"/>
      <c r="Y68" s="88" t="n"/>
      <c r="Z68" s="89" t="n"/>
      <c r="AB68" s="25">
        <f>IF($B68="","",(COUNTIF(C68:E68,"?*")&lt;N(INDEX(Setup!$L$6:$L$23,11)))+(COUNTIF(G68:I68,"?*")&lt;N(INDEX(Setup!$L$6:$L$23,11)))+(COUNTIF(K68:M68,"?*")&lt;N(INDEX(Setup!$L$6:$L$23,11)))+(COUNTIF(O68:Q68,"?*")&lt;N(INDEX(Setup!$L$6:$L$23,11)))+(COUNTIF(S68:U68,"?*")&lt;N(INDEX(Setup!$L$6:$L$23,11)))+((W68="")*(INDEX(Setup!$M$6:$M$23,11)="Y"))+((Y68="")*(INDEX(Setup!$M$6:$M$23,11)="Y")))</f>
        <v/>
      </c>
      <c r="AC68" s="90">
        <f>IF($B68="","",IF(AB68=0,"✓ covered","⚠ "&amp;AB68&amp;IF(AB68=1," gap"," gaps")))</f>
        <v/>
      </c>
    </row>
    <row r="69" ht="17" customHeight="1">
      <c r="A69" t="n">
        <v>2</v>
      </c>
      <c r="B69" s="29">
        <f>IF(Setup!$K$17="","",Setup!$K$17)</f>
        <v/>
      </c>
      <c r="C69" s="88" t="n"/>
      <c r="D69" s="88" t="n"/>
      <c r="E69" s="88" t="n"/>
      <c r="F69" s="89" t="n"/>
      <c r="G69" s="88" t="n"/>
      <c r="H69" s="88" t="n"/>
      <c r="I69" s="88" t="n"/>
      <c r="J69" s="89" t="n"/>
      <c r="K69" s="88" t="n"/>
      <c r="L69" s="88" t="n"/>
      <c r="M69" s="88" t="n"/>
      <c r="N69" s="89" t="n"/>
      <c r="O69" s="88" t="n"/>
      <c r="P69" s="88" t="n"/>
      <c r="Q69" s="88" t="n"/>
      <c r="R69" s="89" t="n"/>
      <c r="S69" s="88" t="n"/>
      <c r="T69" s="88" t="n"/>
      <c r="U69" s="88" t="n"/>
      <c r="V69" s="89" t="n"/>
      <c r="W69" s="88" t="n"/>
      <c r="X69" s="89" t="n"/>
      <c r="Y69" s="88" t="n"/>
      <c r="Z69" s="89" t="n"/>
      <c r="AB69" s="30">
        <f>IF($B69="","",(COUNTIF(C69:E69,"?*")&lt;N(INDEX(Setup!$L$6:$L$23,12)))+(COUNTIF(G69:I69,"?*")&lt;N(INDEX(Setup!$L$6:$L$23,12)))+(COUNTIF(K69:M69,"?*")&lt;N(INDEX(Setup!$L$6:$L$23,12)))+(COUNTIF(O69:Q69,"?*")&lt;N(INDEX(Setup!$L$6:$L$23,12)))+(COUNTIF(S69:U69,"?*")&lt;N(INDEX(Setup!$L$6:$L$23,12)))+((W69="")*(INDEX(Setup!$M$6:$M$23,12)="Y"))+((Y69="")*(INDEX(Setup!$M$6:$M$23,12)="Y")))</f>
        <v/>
      </c>
      <c r="AC69" s="91">
        <f>IF($B69="","",IF(AB69=0,"✓ covered","⚠ "&amp;AB69&amp;IF(AB69=1," gap"," gaps")))</f>
        <v/>
      </c>
    </row>
    <row r="70" ht="17" customHeight="1">
      <c r="A70" t="n">
        <v>2</v>
      </c>
      <c r="B70" s="24">
        <f>IF(Setup!$K$18="","",Setup!$K$18)</f>
        <v/>
      </c>
      <c r="C70" s="88" t="n"/>
      <c r="D70" s="88" t="n"/>
      <c r="E70" s="88" t="n"/>
      <c r="F70" s="89" t="n"/>
      <c r="G70" s="88" t="n"/>
      <c r="H70" s="88" t="n"/>
      <c r="I70" s="88" t="n"/>
      <c r="J70" s="89" t="n"/>
      <c r="K70" s="88" t="n"/>
      <c r="L70" s="88" t="n"/>
      <c r="M70" s="88" t="n"/>
      <c r="N70" s="89" t="n"/>
      <c r="O70" s="88" t="n"/>
      <c r="P70" s="88" t="n"/>
      <c r="Q70" s="88" t="n"/>
      <c r="R70" s="89" t="n"/>
      <c r="S70" s="88" t="n"/>
      <c r="T70" s="88" t="n"/>
      <c r="U70" s="88" t="n"/>
      <c r="V70" s="89" t="n"/>
      <c r="W70" s="88" t="n"/>
      <c r="X70" s="89" t="n"/>
      <c r="Y70" s="88" t="n"/>
      <c r="Z70" s="89" t="n"/>
      <c r="AB70" s="25">
        <f>IF($B70="","",(COUNTIF(C70:E70,"?*")&lt;N(INDEX(Setup!$L$6:$L$23,13)))+(COUNTIF(G70:I70,"?*")&lt;N(INDEX(Setup!$L$6:$L$23,13)))+(COUNTIF(K70:M70,"?*")&lt;N(INDEX(Setup!$L$6:$L$23,13)))+(COUNTIF(O70:Q70,"?*")&lt;N(INDEX(Setup!$L$6:$L$23,13)))+(COUNTIF(S70:U70,"?*")&lt;N(INDEX(Setup!$L$6:$L$23,13)))+((W70="")*(INDEX(Setup!$M$6:$M$23,13)="Y"))+((Y70="")*(INDEX(Setup!$M$6:$M$23,13)="Y")))</f>
        <v/>
      </c>
      <c r="AC70" s="90">
        <f>IF($B70="","",IF(AB70=0,"✓ covered","⚠ "&amp;AB70&amp;IF(AB70=1," gap"," gaps")))</f>
        <v/>
      </c>
    </row>
    <row r="71" ht="17" customHeight="1">
      <c r="A71" t="n">
        <v>2</v>
      </c>
      <c r="B71" s="29">
        <f>IF(Setup!$K$19="","",Setup!$K$19)</f>
        <v/>
      </c>
      <c r="C71" s="88" t="n"/>
      <c r="D71" s="88" t="n"/>
      <c r="E71" s="88" t="n"/>
      <c r="F71" s="89" t="n"/>
      <c r="G71" s="88" t="n"/>
      <c r="H71" s="88" t="n"/>
      <c r="I71" s="88" t="n"/>
      <c r="J71" s="89" t="n"/>
      <c r="K71" s="88" t="n"/>
      <c r="L71" s="88" t="n"/>
      <c r="M71" s="88" t="n"/>
      <c r="N71" s="89" t="n"/>
      <c r="O71" s="88" t="n"/>
      <c r="P71" s="88" t="n"/>
      <c r="Q71" s="88" t="n"/>
      <c r="R71" s="89" t="n"/>
      <c r="S71" s="88" t="n"/>
      <c r="T71" s="88" t="n"/>
      <c r="U71" s="88" t="n"/>
      <c r="V71" s="89" t="n"/>
      <c r="W71" s="88" t="n"/>
      <c r="X71" s="89" t="n"/>
      <c r="Y71" s="88" t="n"/>
      <c r="Z71" s="89" t="n"/>
      <c r="AB71" s="30">
        <f>IF($B71="","",(COUNTIF(C71:E71,"?*")&lt;N(INDEX(Setup!$L$6:$L$23,14)))+(COUNTIF(G71:I71,"?*")&lt;N(INDEX(Setup!$L$6:$L$23,14)))+(COUNTIF(K71:M71,"?*")&lt;N(INDEX(Setup!$L$6:$L$23,14)))+(COUNTIF(O71:Q71,"?*")&lt;N(INDEX(Setup!$L$6:$L$23,14)))+(COUNTIF(S71:U71,"?*")&lt;N(INDEX(Setup!$L$6:$L$23,14)))+((W71="")*(INDEX(Setup!$M$6:$M$23,14)="Y"))+((Y71="")*(INDEX(Setup!$M$6:$M$23,14)="Y")))</f>
        <v/>
      </c>
      <c r="AC71" s="91">
        <f>IF($B71="","",IF(AB71=0,"✓ covered","⚠ "&amp;AB71&amp;IF(AB71=1," gap"," gaps")))</f>
        <v/>
      </c>
    </row>
    <row r="72" ht="17" customHeight="1">
      <c r="A72" t="n">
        <v>2</v>
      </c>
      <c r="B72" s="24">
        <f>IF(Setup!$K$20="","",Setup!$K$20)</f>
        <v/>
      </c>
      <c r="C72" s="88" t="n"/>
      <c r="D72" s="88" t="n"/>
      <c r="E72" s="88" t="n"/>
      <c r="F72" s="89" t="n"/>
      <c r="G72" s="88" t="n"/>
      <c r="H72" s="88" t="n"/>
      <c r="I72" s="88" t="n"/>
      <c r="J72" s="89" t="n"/>
      <c r="K72" s="88" t="n"/>
      <c r="L72" s="88" t="n"/>
      <c r="M72" s="88" t="n"/>
      <c r="N72" s="89" t="n"/>
      <c r="O72" s="88" t="n"/>
      <c r="P72" s="88" t="n"/>
      <c r="Q72" s="88" t="n"/>
      <c r="R72" s="89" t="n"/>
      <c r="S72" s="88" t="n"/>
      <c r="T72" s="88" t="n"/>
      <c r="U72" s="88" t="n"/>
      <c r="V72" s="89" t="n"/>
      <c r="W72" s="88" t="n"/>
      <c r="X72" s="89" t="n"/>
      <c r="Y72" s="88" t="n"/>
      <c r="Z72" s="89" t="n"/>
      <c r="AB72" s="25">
        <f>IF($B72="","",(COUNTIF(C72:E72,"?*")&lt;N(INDEX(Setup!$L$6:$L$23,15)))+(COUNTIF(G72:I72,"?*")&lt;N(INDEX(Setup!$L$6:$L$23,15)))+(COUNTIF(K72:M72,"?*")&lt;N(INDEX(Setup!$L$6:$L$23,15)))+(COUNTIF(O72:Q72,"?*")&lt;N(INDEX(Setup!$L$6:$L$23,15)))+(COUNTIF(S72:U72,"?*")&lt;N(INDEX(Setup!$L$6:$L$23,15)))+((W72="")*(INDEX(Setup!$M$6:$M$23,15)="Y"))+((Y72="")*(INDEX(Setup!$M$6:$M$23,15)="Y")))</f>
        <v/>
      </c>
      <c r="AC72" s="90">
        <f>IF($B72="","",IF(AB72=0,"✓ covered","⚠ "&amp;AB72&amp;IF(AB72=1," gap"," gaps")))</f>
        <v/>
      </c>
    </row>
    <row r="73" ht="17" customHeight="1">
      <c r="A73" t="n">
        <v>2</v>
      </c>
      <c r="B73" s="29">
        <f>IF(Setup!$K$21="","",Setup!$K$21)</f>
        <v/>
      </c>
      <c r="C73" s="88" t="n"/>
      <c r="D73" s="88" t="n"/>
      <c r="E73" s="88" t="n"/>
      <c r="F73" s="89" t="n"/>
      <c r="G73" s="88" t="n"/>
      <c r="H73" s="88" t="n"/>
      <c r="I73" s="88" t="n"/>
      <c r="J73" s="89" t="n"/>
      <c r="K73" s="88" t="n"/>
      <c r="L73" s="88" t="n"/>
      <c r="M73" s="88" t="n"/>
      <c r="N73" s="89" t="n"/>
      <c r="O73" s="88" t="n"/>
      <c r="P73" s="88" t="n"/>
      <c r="Q73" s="88" t="n"/>
      <c r="R73" s="89" t="n"/>
      <c r="S73" s="88" t="n"/>
      <c r="T73" s="88" t="n"/>
      <c r="U73" s="88" t="n"/>
      <c r="V73" s="89" t="n"/>
      <c r="W73" s="88" t="n"/>
      <c r="X73" s="89" t="n"/>
      <c r="Y73" s="88" t="n"/>
      <c r="Z73" s="89" t="n"/>
      <c r="AB73" s="30">
        <f>IF($B73="","",(COUNTIF(C73:E73,"?*")&lt;N(INDEX(Setup!$L$6:$L$23,16)))+(COUNTIF(G73:I73,"?*")&lt;N(INDEX(Setup!$L$6:$L$23,16)))+(COUNTIF(K73:M73,"?*")&lt;N(INDEX(Setup!$L$6:$L$23,16)))+(COUNTIF(O73:Q73,"?*")&lt;N(INDEX(Setup!$L$6:$L$23,16)))+(COUNTIF(S73:U73,"?*")&lt;N(INDEX(Setup!$L$6:$L$23,16)))+((W73="")*(INDEX(Setup!$M$6:$M$23,16)="Y"))+((Y73="")*(INDEX(Setup!$M$6:$M$23,16)="Y")))</f>
        <v/>
      </c>
      <c r="AC73" s="91">
        <f>IF($B73="","",IF(AB73=0,"✓ covered","⚠ "&amp;AB73&amp;IF(AB73=1," gap"," gaps")))</f>
        <v/>
      </c>
    </row>
    <row r="74" ht="17" customHeight="1">
      <c r="A74" t="n">
        <v>2</v>
      </c>
      <c r="B74" s="24">
        <f>IF(Setup!$K$22="","",Setup!$K$22)</f>
        <v/>
      </c>
      <c r="C74" s="88" t="n"/>
      <c r="D74" s="88" t="n"/>
      <c r="E74" s="88" t="n"/>
      <c r="F74" s="89" t="n"/>
      <c r="G74" s="88" t="n"/>
      <c r="H74" s="88" t="n"/>
      <c r="I74" s="88" t="n"/>
      <c r="J74" s="89" t="n"/>
      <c r="K74" s="88" t="n"/>
      <c r="L74" s="88" t="n"/>
      <c r="M74" s="88" t="n"/>
      <c r="N74" s="89" t="n"/>
      <c r="O74" s="88" t="n"/>
      <c r="P74" s="88" t="n"/>
      <c r="Q74" s="88" t="n"/>
      <c r="R74" s="89" t="n"/>
      <c r="S74" s="88" t="n"/>
      <c r="T74" s="88" t="n"/>
      <c r="U74" s="88" t="n"/>
      <c r="V74" s="89" t="n"/>
      <c r="W74" s="88" t="n"/>
      <c r="X74" s="89" t="n"/>
      <c r="Y74" s="88" t="n"/>
      <c r="Z74" s="89" t="n"/>
      <c r="AB74" s="25">
        <f>IF($B74="","",(COUNTIF(C74:E74,"?*")&lt;N(INDEX(Setup!$L$6:$L$23,17)))+(COUNTIF(G74:I74,"?*")&lt;N(INDEX(Setup!$L$6:$L$23,17)))+(COUNTIF(K74:M74,"?*")&lt;N(INDEX(Setup!$L$6:$L$23,17)))+(COUNTIF(O74:Q74,"?*")&lt;N(INDEX(Setup!$L$6:$L$23,17)))+(COUNTIF(S74:U74,"?*")&lt;N(INDEX(Setup!$L$6:$L$23,17)))+((W74="")*(INDEX(Setup!$M$6:$M$23,17)="Y"))+((Y74="")*(INDEX(Setup!$M$6:$M$23,17)="Y")))</f>
        <v/>
      </c>
      <c r="AC74" s="90">
        <f>IF($B74="","",IF(AB74=0,"✓ covered","⚠ "&amp;AB74&amp;IF(AB74=1," gap"," gaps")))</f>
        <v/>
      </c>
    </row>
    <row r="75" ht="17" customHeight="1">
      <c r="A75" t="n">
        <v>2</v>
      </c>
      <c r="B75" s="29">
        <f>IF(Setup!$K$23="","",Setup!$K$23)</f>
        <v/>
      </c>
      <c r="C75" s="88" t="n"/>
      <c r="D75" s="88" t="n"/>
      <c r="E75" s="88" t="n"/>
      <c r="F75" s="89" t="n"/>
      <c r="G75" s="88" t="n"/>
      <c r="H75" s="88" t="n"/>
      <c r="I75" s="88" t="n"/>
      <c r="J75" s="89" t="n"/>
      <c r="K75" s="88" t="n"/>
      <c r="L75" s="88" t="n"/>
      <c r="M75" s="88" t="n"/>
      <c r="N75" s="89" t="n"/>
      <c r="O75" s="88" t="n"/>
      <c r="P75" s="88" t="n"/>
      <c r="Q75" s="88" t="n"/>
      <c r="R75" s="89" t="n"/>
      <c r="S75" s="88" t="n"/>
      <c r="T75" s="88" t="n"/>
      <c r="U75" s="88" t="n"/>
      <c r="V75" s="89" t="n"/>
      <c r="W75" s="88" t="n"/>
      <c r="X75" s="89" t="n"/>
      <c r="Y75" s="88" t="n"/>
      <c r="Z75" s="89" t="n"/>
      <c r="AB75" s="30">
        <f>IF($B75="","",(COUNTIF(C75:E75,"?*")&lt;N(INDEX(Setup!$L$6:$L$23,18)))+(COUNTIF(G75:I75,"?*")&lt;N(INDEX(Setup!$L$6:$L$23,18)))+(COUNTIF(K75:M75,"?*")&lt;N(INDEX(Setup!$L$6:$L$23,18)))+(COUNTIF(O75:Q75,"?*")&lt;N(INDEX(Setup!$L$6:$L$23,18)))+(COUNTIF(S75:U75,"?*")&lt;N(INDEX(Setup!$L$6:$L$23,18)))+((W75="")*(INDEX(Setup!$M$6:$M$23,18)="Y"))+((Y75="")*(INDEX(Setup!$M$6:$M$23,18)="Y")))</f>
        <v/>
      </c>
      <c r="AC75" s="91">
        <f>IF($B75="","",IF(AB75=0,"✓ covered","⚠ "&amp;AB75&amp;IF(AB75=1," gap"," gaps")))</f>
        <v/>
      </c>
    </row>
    <row r="76" ht="18" customHeight="1">
      <c r="A76" t="n">
        <v>2</v>
      </c>
      <c r="B76" s="78" t="inlineStr">
        <is>
          <t>TEAM AVAILABILITY</t>
        </is>
      </c>
      <c r="C76" s="92" t="inlineStr">
        <is>
          <t>Mon</t>
        </is>
      </c>
      <c r="D76" s="93" t="n"/>
      <c r="E76" s="93" t="n"/>
      <c r="F76" s="94" t="n"/>
      <c r="G76" s="92" t="inlineStr">
        <is>
          <t>Tue</t>
        </is>
      </c>
      <c r="H76" s="93" t="n"/>
      <c r="I76" s="93" t="n"/>
      <c r="J76" s="94" t="n"/>
      <c r="K76" s="92" t="inlineStr">
        <is>
          <t>Wed</t>
        </is>
      </c>
      <c r="L76" s="93" t="n"/>
      <c r="M76" s="93" t="n"/>
      <c r="N76" s="94" t="n"/>
      <c r="O76" s="92" t="inlineStr">
        <is>
          <t>Thu</t>
        </is>
      </c>
      <c r="P76" s="93" t="n"/>
      <c r="Q76" s="93" t="n"/>
      <c r="R76" s="94" t="n"/>
      <c r="S76" s="92" t="inlineStr">
        <is>
          <t>Fri</t>
        </is>
      </c>
      <c r="T76" s="93" t="n"/>
      <c r="U76" s="93" t="n"/>
      <c r="V76" s="94" t="n"/>
      <c r="W76" s="95" t="inlineStr">
        <is>
          <t>Sat</t>
        </is>
      </c>
      <c r="X76" s="96" t="n"/>
      <c r="Y76" s="95" t="inlineStr">
        <is>
          <t>Sun</t>
        </is>
      </c>
      <c r="Z76" s="96" t="n"/>
      <c r="AB76" s="97" t="inlineStr">
        <is>
          <t>Days rostered</t>
        </is>
      </c>
      <c r="AC76" s="97" t="inlineStr">
        <is>
          <t>Conflicts</t>
        </is>
      </c>
    </row>
    <row r="77" ht="15" customHeight="1">
      <c r="A77" t="n">
        <v>2</v>
      </c>
      <c r="B77" s="35">
        <f>IF(Setup!$B$6="","",Setup!$B$6)</f>
        <v/>
      </c>
      <c r="C77" s="98" t="inlineStr">
        <is>
          <t>AL</t>
        </is>
      </c>
      <c r="D77" s="99" t="n"/>
      <c r="E77" s="99" t="n"/>
      <c r="F77" s="100" t="n"/>
      <c r="G77" s="98" t="n"/>
      <c r="H77" s="99" t="n"/>
      <c r="I77" s="99" t="n"/>
      <c r="J77" s="100" t="n"/>
      <c r="K77" s="98" t="n"/>
      <c r="L77" s="99" t="n"/>
      <c r="M77" s="99" t="n"/>
      <c r="N77" s="100" t="n"/>
      <c r="O77" s="98" t="n"/>
      <c r="P77" s="99" t="n"/>
      <c r="Q77" s="99" t="n"/>
      <c r="R77" s="100" t="n"/>
      <c r="S77" s="98" t="n"/>
      <c r="T77" s="99" t="n"/>
      <c r="U77" s="99" t="n"/>
      <c r="V77" s="100" t="n"/>
      <c r="W77" s="98" t="n"/>
      <c r="X77" s="100" t="n"/>
      <c r="Y77" s="98" t="n"/>
      <c r="Z77" s="100" t="n"/>
      <c r="AB77" s="101">
        <f>IF($B77="","",(COUNTIF(C58:E75,$B77)+COUNTIF(C58:E75,$B77&amp;" ~*")&gt;0)+(COUNTIF(G58:I75,$B77)+COUNTIF(G58:I75,$B77&amp;" ~*")&gt;0)+(COUNTIF(K58:M75,$B77)+COUNTIF(K58:M75,$B77&amp;" ~*")&gt;0)+(COUNTIF(O58:Q75,$B77)+COUNTIF(O58:Q75,$B77&amp;" ~*")&gt;0)+(COUNTIF(S58:U75,$B77)+COUNTIF(S58:U75,$B77&amp;" ~*")&gt;0)+(COUNTIF(W58:W75,$B77)+COUNTIF(W58:W75,$B77&amp;" ~*")&gt;0)+(COUNTIF(Y58:Y75,$B77)+COUNTIF(Y58:Y75,$B77&amp;" ~*")&gt;0))</f>
        <v/>
      </c>
      <c r="AC77" s="36">
        <f>IF($B77="","",(IFERROR(INDEX(Setup!$G$33:$G$40,MATCH(C77,Setup!$B$33:$B$40,0)),0)=1)*(COUNTIF(C58:E75,$B77)+COUNTIF(C58:E75,$B77&amp;" ~*")&gt;0)+(IFERROR(INDEX(Setup!$G$33:$G$40,MATCH(G77,Setup!$B$33:$B$40,0)),0)=1)*(COUNTIF(G58:I75,$B77)+COUNTIF(G58:I75,$B77&amp;" ~*")&gt;0)+(IFERROR(INDEX(Setup!$G$33:$G$40,MATCH(K77,Setup!$B$33:$B$40,0)),0)=1)*(COUNTIF(K58:M75,$B77)+COUNTIF(K58:M75,$B77&amp;" ~*")&gt;0)+(IFERROR(INDEX(Setup!$G$33:$G$40,MATCH(O77,Setup!$B$33:$B$40,0)),0)=1)*(COUNTIF(O58:Q75,$B77)+COUNTIF(O58:Q75,$B77&amp;" ~*")&gt;0)+(IFERROR(INDEX(Setup!$G$33:$G$40,MATCH(S77,Setup!$B$33:$B$40,0)),0)=1)*(COUNTIF(S58:U75,$B77)+COUNTIF(S58:U75,$B77&amp;" ~*")&gt;0)+(IFERROR(INDEX(Setup!$G$33:$G$40,MATCH(W77,Setup!$B$33:$B$40,0)),0)=1)*(COUNTIF(W58:W75,$B77)+COUNTIF(W58:W75,$B77&amp;" ~*")&gt;0)+(IFERROR(INDEX(Setup!$G$33:$G$40,MATCH(Y77,Setup!$B$33:$B$40,0)),0)=1)*(COUNTIF(Y58:Y75,$B77)+COUNTIF(Y58:Y75,$B77&amp;" ~*")&gt;0))</f>
        <v/>
      </c>
    </row>
    <row r="78" ht="15" customHeight="1">
      <c r="A78" t="n">
        <v>2</v>
      </c>
      <c r="B78" s="37">
        <f>IF(Setup!$B$7="","",Setup!$B$7)</f>
        <v/>
      </c>
      <c r="C78" s="102" t="n"/>
      <c r="D78" s="103" t="n"/>
      <c r="E78" s="103" t="n"/>
      <c r="F78" s="104" t="n"/>
      <c r="G78" s="102" t="n"/>
      <c r="H78" s="103" t="n"/>
      <c r="I78" s="103" t="n"/>
      <c r="J78" s="104" t="n"/>
      <c r="K78" s="102" t="n"/>
      <c r="L78" s="103" t="n"/>
      <c r="M78" s="103" t="n"/>
      <c r="N78" s="104" t="n"/>
      <c r="O78" s="102" t="n"/>
      <c r="P78" s="103" t="n"/>
      <c r="Q78" s="103" t="n"/>
      <c r="R78" s="104" t="n"/>
      <c r="S78" s="102" t="n"/>
      <c r="T78" s="103" t="n"/>
      <c r="U78" s="103" t="n"/>
      <c r="V78" s="104" t="n"/>
      <c r="W78" s="102" t="n"/>
      <c r="X78" s="104" t="n"/>
      <c r="Y78" s="102" t="n"/>
      <c r="Z78" s="104" t="n"/>
      <c r="AB78" s="105">
        <f>IF($B78="","",(COUNTIF(C58:E75,$B78)+COUNTIF(C58:E75,$B78&amp;" ~*")&gt;0)+(COUNTIF(G58:I75,$B78)+COUNTIF(G58:I75,$B78&amp;" ~*")&gt;0)+(COUNTIF(K58:M75,$B78)+COUNTIF(K58:M75,$B78&amp;" ~*")&gt;0)+(COUNTIF(O58:Q75,$B78)+COUNTIF(O58:Q75,$B78&amp;" ~*")&gt;0)+(COUNTIF(S58:U75,$B78)+COUNTIF(S58:U75,$B78&amp;" ~*")&gt;0)+(COUNTIF(W58:W75,$B78)+COUNTIF(W58:W75,$B78&amp;" ~*")&gt;0)+(COUNTIF(Y58:Y75,$B78)+COUNTIF(Y58:Y75,$B78&amp;" ~*")&gt;0))</f>
        <v/>
      </c>
      <c r="AC78" s="38">
        <f>IF($B78="","",(IFERROR(INDEX(Setup!$G$33:$G$40,MATCH(C78,Setup!$B$33:$B$40,0)),0)=1)*(COUNTIF(C58:E75,$B78)+COUNTIF(C58:E75,$B78&amp;" ~*")&gt;0)+(IFERROR(INDEX(Setup!$G$33:$G$40,MATCH(G78,Setup!$B$33:$B$40,0)),0)=1)*(COUNTIF(G58:I75,$B78)+COUNTIF(G58:I75,$B78&amp;" ~*")&gt;0)+(IFERROR(INDEX(Setup!$G$33:$G$40,MATCH(K78,Setup!$B$33:$B$40,0)),0)=1)*(COUNTIF(K58:M75,$B78)+COUNTIF(K58:M75,$B78&amp;" ~*")&gt;0)+(IFERROR(INDEX(Setup!$G$33:$G$40,MATCH(O78,Setup!$B$33:$B$40,0)),0)=1)*(COUNTIF(O58:Q75,$B78)+COUNTIF(O58:Q75,$B78&amp;" ~*")&gt;0)+(IFERROR(INDEX(Setup!$G$33:$G$40,MATCH(S78,Setup!$B$33:$B$40,0)),0)=1)*(COUNTIF(S58:U75,$B78)+COUNTIF(S58:U75,$B78&amp;" ~*")&gt;0)+(IFERROR(INDEX(Setup!$G$33:$G$40,MATCH(W78,Setup!$B$33:$B$40,0)),0)=1)*(COUNTIF(W58:W75,$B78)+COUNTIF(W58:W75,$B78&amp;" ~*")&gt;0)+(IFERROR(INDEX(Setup!$G$33:$G$40,MATCH(Y78,Setup!$B$33:$B$40,0)),0)=1)*(COUNTIF(Y58:Y75,$B78)+COUNTIF(Y58:Y75,$B78&amp;" ~*")&gt;0))</f>
        <v/>
      </c>
    </row>
    <row r="79" ht="15" customHeight="1">
      <c r="A79" t="n">
        <v>2</v>
      </c>
      <c r="B79" s="35">
        <f>IF(Setup!$B$8="","",Setup!$B$8)</f>
        <v/>
      </c>
      <c r="C79" s="98" t="n"/>
      <c r="D79" s="99" t="n"/>
      <c r="E79" s="99" t="n"/>
      <c r="F79" s="100" t="n"/>
      <c r="G79" s="98" t="n"/>
      <c r="H79" s="99" t="n"/>
      <c r="I79" s="99" t="n"/>
      <c r="J79" s="100" t="n"/>
      <c r="K79" s="98" t="n"/>
      <c r="L79" s="99" t="n"/>
      <c r="M79" s="99" t="n"/>
      <c r="N79" s="100" t="n"/>
      <c r="O79" s="98" t="n"/>
      <c r="P79" s="99" t="n"/>
      <c r="Q79" s="99" t="n"/>
      <c r="R79" s="100" t="n"/>
      <c r="S79" s="98" t="n"/>
      <c r="T79" s="99" t="n"/>
      <c r="U79" s="99" t="n"/>
      <c r="V79" s="100" t="n"/>
      <c r="W79" s="98" t="n"/>
      <c r="X79" s="100" t="n"/>
      <c r="Y79" s="98" t="n"/>
      <c r="Z79" s="100" t="n"/>
      <c r="AB79" s="101">
        <f>IF($B79="","",(COUNTIF(C58:E75,$B79)+COUNTIF(C58:E75,$B79&amp;" ~*")&gt;0)+(COUNTIF(G58:I75,$B79)+COUNTIF(G58:I75,$B79&amp;" ~*")&gt;0)+(COUNTIF(K58:M75,$B79)+COUNTIF(K58:M75,$B79&amp;" ~*")&gt;0)+(COUNTIF(O58:Q75,$B79)+COUNTIF(O58:Q75,$B79&amp;" ~*")&gt;0)+(COUNTIF(S58:U75,$B79)+COUNTIF(S58:U75,$B79&amp;" ~*")&gt;0)+(COUNTIF(W58:W75,$B79)+COUNTIF(W58:W75,$B79&amp;" ~*")&gt;0)+(COUNTIF(Y58:Y75,$B79)+COUNTIF(Y58:Y75,$B79&amp;" ~*")&gt;0))</f>
        <v/>
      </c>
      <c r="AC79" s="36">
        <f>IF($B79="","",(IFERROR(INDEX(Setup!$G$33:$G$40,MATCH(C79,Setup!$B$33:$B$40,0)),0)=1)*(COUNTIF(C58:E75,$B79)+COUNTIF(C58:E75,$B79&amp;" ~*")&gt;0)+(IFERROR(INDEX(Setup!$G$33:$G$40,MATCH(G79,Setup!$B$33:$B$40,0)),0)=1)*(COUNTIF(G58:I75,$B79)+COUNTIF(G58:I75,$B79&amp;" ~*")&gt;0)+(IFERROR(INDEX(Setup!$G$33:$G$40,MATCH(K79,Setup!$B$33:$B$40,0)),0)=1)*(COUNTIF(K58:M75,$B79)+COUNTIF(K58:M75,$B79&amp;" ~*")&gt;0)+(IFERROR(INDEX(Setup!$G$33:$G$40,MATCH(O79,Setup!$B$33:$B$40,0)),0)=1)*(COUNTIF(O58:Q75,$B79)+COUNTIF(O58:Q75,$B79&amp;" ~*")&gt;0)+(IFERROR(INDEX(Setup!$G$33:$G$40,MATCH(S79,Setup!$B$33:$B$40,0)),0)=1)*(COUNTIF(S58:U75,$B79)+COUNTIF(S58:U75,$B79&amp;" ~*")&gt;0)+(IFERROR(INDEX(Setup!$G$33:$G$40,MATCH(W79,Setup!$B$33:$B$40,0)),0)=1)*(COUNTIF(W58:W75,$B79)+COUNTIF(W58:W75,$B79&amp;" ~*")&gt;0)+(IFERROR(INDEX(Setup!$G$33:$G$40,MATCH(Y79,Setup!$B$33:$B$40,0)),0)=1)*(COUNTIF(Y58:Y75,$B79)+COUNTIF(Y58:Y75,$B79&amp;" ~*")&gt;0))</f>
        <v/>
      </c>
    </row>
    <row r="80" ht="15" customHeight="1">
      <c r="A80" t="n">
        <v>2</v>
      </c>
      <c r="B80" s="37">
        <f>IF(Setup!$B$9="","",Setup!$B$9)</f>
        <v/>
      </c>
      <c r="C80" s="102" t="n"/>
      <c r="D80" s="103" t="n"/>
      <c r="E80" s="103" t="n"/>
      <c r="F80" s="104" t="n"/>
      <c r="G80" s="102" t="n"/>
      <c r="H80" s="103" t="n"/>
      <c r="I80" s="103" t="n"/>
      <c r="J80" s="104" t="n"/>
      <c r="K80" s="102" t="n"/>
      <c r="L80" s="103" t="n"/>
      <c r="M80" s="103" t="n"/>
      <c r="N80" s="104" t="n"/>
      <c r="O80" s="102" t="n"/>
      <c r="P80" s="103" t="n"/>
      <c r="Q80" s="103" t="n"/>
      <c r="R80" s="104" t="n"/>
      <c r="S80" s="102" t="n"/>
      <c r="T80" s="103" t="n"/>
      <c r="U80" s="103" t="n"/>
      <c r="V80" s="104" t="n"/>
      <c r="W80" s="102" t="n"/>
      <c r="X80" s="104" t="n"/>
      <c r="Y80" s="102" t="n"/>
      <c r="Z80" s="104" t="n"/>
      <c r="AB80" s="105">
        <f>IF($B80="","",(COUNTIF(C58:E75,$B80)+COUNTIF(C58:E75,$B80&amp;" ~*")&gt;0)+(COUNTIF(G58:I75,$B80)+COUNTIF(G58:I75,$B80&amp;" ~*")&gt;0)+(COUNTIF(K58:M75,$B80)+COUNTIF(K58:M75,$B80&amp;" ~*")&gt;0)+(COUNTIF(O58:Q75,$B80)+COUNTIF(O58:Q75,$B80&amp;" ~*")&gt;0)+(COUNTIF(S58:U75,$B80)+COUNTIF(S58:U75,$B80&amp;" ~*")&gt;0)+(COUNTIF(W58:W75,$B80)+COUNTIF(W58:W75,$B80&amp;" ~*")&gt;0)+(COUNTIF(Y58:Y75,$B80)+COUNTIF(Y58:Y75,$B80&amp;" ~*")&gt;0))</f>
        <v/>
      </c>
      <c r="AC80" s="38">
        <f>IF($B80="","",(IFERROR(INDEX(Setup!$G$33:$G$40,MATCH(C80,Setup!$B$33:$B$40,0)),0)=1)*(COUNTIF(C58:E75,$B80)+COUNTIF(C58:E75,$B80&amp;" ~*")&gt;0)+(IFERROR(INDEX(Setup!$G$33:$G$40,MATCH(G80,Setup!$B$33:$B$40,0)),0)=1)*(COUNTIF(G58:I75,$B80)+COUNTIF(G58:I75,$B80&amp;" ~*")&gt;0)+(IFERROR(INDEX(Setup!$G$33:$G$40,MATCH(K80,Setup!$B$33:$B$40,0)),0)=1)*(COUNTIF(K58:M75,$B80)+COUNTIF(K58:M75,$B80&amp;" ~*")&gt;0)+(IFERROR(INDEX(Setup!$G$33:$G$40,MATCH(O80,Setup!$B$33:$B$40,0)),0)=1)*(COUNTIF(O58:Q75,$B80)+COUNTIF(O58:Q75,$B80&amp;" ~*")&gt;0)+(IFERROR(INDEX(Setup!$G$33:$G$40,MATCH(S80,Setup!$B$33:$B$40,0)),0)=1)*(COUNTIF(S58:U75,$B80)+COUNTIF(S58:U75,$B80&amp;" ~*")&gt;0)+(IFERROR(INDEX(Setup!$G$33:$G$40,MATCH(W80,Setup!$B$33:$B$40,0)),0)=1)*(COUNTIF(W58:W75,$B80)+COUNTIF(W58:W75,$B80&amp;" ~*")&gt;0)+(IFERROR(INDEX(Setup!$G$33:$G$40,MATCH(Y80,Setup!$B$33:$B$40,0)),0)=1)*(COUNTIF(Y58:Y75,$B80)+COUNTIF(Y58:Y75,$B80&amp;" ~*")&gt;0))</f>
        <v/>
      </c>
    </row>
    <row r="81" ht="15" customHeight="1">
      <c r="A81" t="n">
        <v>2</v>
      </c>
      <c r="B81" s="35">
        <f>IF(Setup!$B$10="","",Setup!$B$10)</f>
        <v/>
      </c>
      <c r="C81" s="98" t="n"/>
      <c r="D81" s="99" t="n"/>
      <c r="E81" s="99" t="n"/>
      <c r="F81" s="100" t="n"/>
      <c r="G81" s="98" t="n"/>
      <c r="H81" s="99" t="n"/>
      <c r="I81" s="99" t="n"/>
      <c r="J81" s="100" t="n"/>
      <c r="K81" s="98" t="n"/>
      <c r="L81" s="99" t="n"/>
      <c r="M81" s="99" t="n"/>
      <c r="N81" s="100" t="n"/>
      <c r="O81" s="98" t="n"/>
      <c r="P81" s="99" t="n"/>
      <c r="Q81" s="99" t="n"/>
      <c r="R81" s="100" t="n"/>
      <c r="S81" s="98" t="n"/>
      <c r="T81" s="99" t="n"/>
      <c r="U81" s="99" t="n"/>
      <c r="V81" s="100" t="n"/>
      <c r="W81" s="98" t="n"/>
      <c r="X81" s="100" t="n"/>
      <c r="Y81" s="98" t="n"/>
      <c r="Z81" s="100" t="n"/>
      <c r="AB81" s="101">
        <f>IF($B81="","",(COUNTIF(C58:E75,$B81)+COUNTIF(C58:E75,$B81&amp;" ~*")&gt;0)+(COUNTIF(G58:I75,$B81)+COUNTIF(G58:I75,$B81&amp;" ~*")&gt;0)+(COUNTIF(K58:M75,$B81)+COUNTIF(K58:M75,$B81&amp;" ~*")&gt;0)+(COUNTIF(O58:Q75,$B81)+COUNTIF(O58:Q75,$B81&amp;" ~*")&gt;0)+(COUNTIF(S58:U75,$B81)+COUNTIF(S58:U75,$B81&amp;" ~*")&gt;0)+(COUNTIF(W58:W75,$B81)+COUNTIF(W58:W75,$B81&amp;" ~*")&gt;0)+(COUNTIF(Y58:Y75,$B81)+COUNTIF(Y58:Y75,$B81&amp;" ~*")&gt;0))</f>
        <v/>
      </c>
      <c r="AC81" s="36">
        <f>IF($B81="","",(IFERROR(INDEX(Setup!$G$33:$G$40,MATCH(C81,Setup!$B$33:$B$40,0)),0)=1)*(COUNTIF(C58:E75,$B81)+COUNTIF(C58:E75,$B81&amp;" ~*")&gt;0)+(IFERROR(INDEX(Setup!$G$33:$G$40,MATCH(G81,Setup!$B$33:$B$40,0)),0)=1)*(COUNTIF(G58:I75,$B81)+COUNTIF(G58:I75,$B81&amp;" ~*")&gt;0)+(IFERROR(INDEX(Setup!$G$33:$G$40,MATCH(K81,Setup!$B$33:$B$40,0)),0)=1)*(COUNTIF(K58:M75,$B81)+COUNTIF(K58:M75,$B81&amp;" ~*")&gt;0)+(IFERROR(INDEX(Setup!$G$33:$G$40,MATCH(O81,Setup!$B$33:$B$40,0)),0)=1)*(COUNTIF(O58:Q75,$B81)+COUNTIF(O58:Q75,$B81&amp;" ~*")&gt;0)+(IFERROR(INDEX(Setup!$G$33:$G$40,MATCH(S81,Setup!$B$33:$B$40,0)),0)=1)*(COUNTIF(S58:U75,$B81)+COUNTIF(S58:U75,$B81&amp;" ~*")&gt;0)+(IFERROR(INDEX(Setup!$G$33:$G$40,MATCH(W81,Setup!$B$33:$B$40,0)),0)=1)*(COUNTIF(W58:W75,$B81)+COUNTIF(W58:W75,$B81&amp;" ~*")&gt;0)+(IFERROR(INDEX(Setup!$G$33:$G$40,MATCH(Y81,Setup!$B$33:$B$40,0)),0)=1)*(COUNTIF(Y58:Y75,$B81)+COUNTIF(Y58:Y75,$B81&amp;" ~*")&gt;0))</f>
        <v/>
      </c>
    </row>
    <row r="82" ht="15" customHeight="1">
      <c r="A82" t="n">
        <v>2</v>
      </c>
      <c r="B82" s="37">
        <f>IF(Setup!$B$11="","",Setup!$B$11)</f>
        <v/>
      </c>
      <c r="C82" s="102" t="n"/>
      <c r="D82" s="103" t="n"/>
      <c r="E82" s="103" t="n"/>
      <c r="F82" s="104" t="n"/>
      <c r="G82" s="102" t="n"/>
      <c r="H82" s="103" t="n"/>
      <c r="I82" s="103" t="n"/>
      <c r="J82" s="104" t="n"/>
      <c r="K82" s="102" t="n"/>
      <c r="L82" s="103" t="n"/>
      <c r="M82" s="103" t="n"/>
      <c r="N82" s="104" t="n"/>
      <c r="O82" s="102" t="n"/>
      <c r="P82" s="103" t="n"/>
      <c r="Q82" s="103" t="n"/>
      <c r="R82" s="104" t="n"/>
      <c r="S82" s="102" t="n"/>
      <c r="T82" s="103" t="n"/>
      <c r="U82" s="103" t="n"/>
      <c r="V82" s="104" t="n"/>
      <c r="W82" s="102" t="n"/>
      <c r="X82" s="104" t="n"/>
      <c r="Y82" s="102" t="n"/>
      <c r="Z82" s="104" t="n"/>
      <c r="AB82" s="105">
        <f>IF($B82="","",(COUNTIF(C58:E75,$B82)+COUNTIF(C58:E75,$B82&amp;" ~*")&gt;0)+(COUNTIF(G58:I75,$B82)+COUNTIF(G58:I75,$B82&amp;" ~*")&gt;0)+(COUNTIF(K58:M75,$B82)+COUNTIF(K58:M75,$B82&amp;" ~*")&gt;0)+(COUNTIF(O58:Q75,$B82)+COUNTIF(O58:Q75,$B82&amp;" ~*")&gt;0)+(COUNTIF(S58:U75,$B82)+COUNTIF(S58:U75,$B82&amp;" ~*")&gt;0)+(COUNTIF(W58:W75,$B82)+COUNTIF(W58:W75,$B82&amp;" ~*")&gt;0)+(COUNTIF(Y58:Y75,$B82)+COUNTIF(Y58:Y75,$B82&amp;" ~*")&gt;0))</f>
        <v/>
      </c>
      <c r="AC82" s="38">
        <f>IF($B82="","",(IFERROR(INDEX(Setup!$G$33:$G$40,MATCH(C82,Setup!$B$33:$B$40,0)),0)=1)*(COUNTIF(C58:E75,$B82)+COUNTIF(C58:E75,$B82&amp;" ~*")&gt;0)+(IFERROR(INDEX(Setup!$G$33:$G$40,MATCH(G82,Setup!$B$33:$B$40,0)),0)=1)*(COUNTIF(G58:I75,$B82)+COUNTIF(G58:I75,$B82&amp;" ~*")&gt;0)+(IFERROR(INDEX(Setup!$G$33:$G$40,MATCH(K82,Setup!$B$33:$B$40,0)),0)=1)*(COUNTIF(K58:M75,$B82)+COUNTIF(K58:M75,$B82&amp;" ~*")&gt;0)+(IFERROR(INDEX(Setup!$G$33:$G$40,MATCH(O82,Setup!$B$33:$B$40,0)),0)=1)*(COUNTIF(O58:Q75,$B82)+COUNTIF(O58:Q75,$B82&amp;" ~*")&gt;0)+(IFERROR(INDEX(Setup!$G$33:$G$40,MATCH(S82,Setup!$B$33:$B$40,0)),0)=1)*(COUNTIF(S58:U75,$B82)+COUNTIF(S58:U75,$B82&amp;" ~*")&gt;0)+(IFERROR(INDEX(Setup!$G$33:$G$40,MATCH(W82,Setup!$B$33:$B$40,0)),0)=1)*(COUNTIF(W58:W75,$B82)+COUNTIF(W58:W75,$B82&amp;" ~*")&gt;0)+(IFERROR(INDEX(Setup!$G$33:$G$40,MATCH(Y82,Setup!$B$33:$B$40,0)),0)=1)*(COUNTIF(Y58:Y75,$B82)+COUNTIF(Y58:Y75,$B82&amp;" ~*")&gt;0))</f>
        <v/>
      </c>
    </row>
    <row r="83" ht="15" customHeight="1">
      <c r="A83" t="n">
        <v>2</v>
      </c>
      <c r="B83" s="35">
        <f>IF(Setup!$B$12="","",Setup!$B$12)</f>
        <v/>
      </c>
      <c r="C83" s="98" t="n"/>
      <c r="D83" s="99" t="n"/>
      <c r="E83" s="99" t="n"/>
      <c r="F83" s="100" t="n"/>
      <c r="G83" s="98" t="n"/>
      <c r="H83" s="99" t="n"/>
      <c r="I83" s="99" t="n"/>
      <c r="J83" s="100" t="n"/>
      <c r="K83" s="98" t="n"/>
      <c r="L83" s="99" t="n"/>
      <c r="M83" s="99" t="n"/>
      <c r="N83" s="100" t="n"/>
      <c r="O83" s="98" t="n"/>
      <c r="P83" s="99" t="n"/>
      <c r="Q83" s="99" t="n"/>
      <c r="R83" s="100" t="n"/>
      <c r="S83" s="98" t="inlineStr">
        <is>
          <t>AL</t>
        </is>
      </c>
      <c r="T83" s="99" t="n"/>
      <c r="U83" s="99" t="n"/>
      <c r="V83" s="100" t="n"/>
      <c r="W83" s="98" t="n"/>
      <c r="X83" s="100" t="n"/>
      <c r="Y83" s="98" t="n"/>
      <c r="Z83" s="100" t="n"/>
      <c r="AB83" s="101">
        <f>IF($B83="","",(COUNTIF(C58:E75,$B83)+COUNTIF(C58:E75,$B83&amp;" ~*")&gt;0)+(COUNTIF(G58:I75,$B83)+COUNTIF(G58:I75,$B83&amp;" ~*")&gt;0)+(COUNTIF(K58:M75,$B83)+COUNTIF(K58:M75,$B83&amp;" ~*")&gt;0)+(COUNTIF(O58:Q75,$B83)+COUNTIF(O58:Q75,$B83&amp;" ~*")&gt;0)+(COUNTIF(S58:U75,$B83)+COUNTIF(S58:U75,$B83&amp;" ~*")&gt;0)+(COUNTIF(W58:W75,$B83)+COUNTIF(W58:W75,$B83&amp;" ~*")&gt;0)+(COUNTIF(Y58:Y75,$B83)+COUNTIF(Y58:Y75,$B83&amp;" ~*")&gt;0))</f>
        <v/>
      </c>
      <c r="AC83" s="36">
        <f>IF($B83="","",(IFERROR(INDEX(Setup!$G$33:$G$40,MATCH(C83,Setup!$B$33:$B$40,0)),0)=1)*(COUNTIF(C58:E75,$B83)+COUNTIF(C58:E75,$B83&amp;" ~*")&gt;0)+(IFERROR(INDEX(Setup!$G$33:$G$40,MATCH(G83,Setup!$B$33:$B$40,0)),0)=1)*(COUNTIF(G58:I75,$B83)+COUNTIF(G58:I75,$B83&amp;" ~*")&gt;0)+(IFERROR(INDEX(Setup!$G$33:$G$40,MATCH(K83,Setup!$B$33:$B$40,0)),0)=1)*(COUNTIF(K58:M75,$B83)+COUNTIF(K58:M75,$B83&amp;" ~*")&gt;0)+(IFERROR(INDEX(Setup!$G$33:$G$40,MATCH(O83,Setup!$B$33:$B$40,0)),0)=1)*(COUNTIF(O58:Q75,$B83)+COUNTIF(O58:Q75,$B83&amp;" ~*")&gt;0)+(IFERROR(INDEX(Setup!$G$33:$G$40,MATCH(S83,Setup!$B$33:$B$40,0)),0)=1)*(COUNTIF(S58:U75,$B83)+COUNTIF(S58:U75,$B83&amp;" ~*")&gt;0)+(IFERROR(INDEX(Setup!$G$33:$G$40,MATCH(W83,Setup!$B$33:$B$40,0)),0)=1)*(COUNTIF(W58:W75,$B83)+COUNTIF(W58:W75,$B83&amp;" ~*")&gt;0)+(IFERROR(INDEX(Setup!$G$33:$G$40,MATCH(Y83,Setup!$B$33:$B$40,0)),0)=1)*(COUNTIF(Y58:Y75,$B83)+COUNTIF(Y58:Y75,$B83&amp;" ~*")&gt;0))</f>
        <v/>
      </c>
    </row>
    <row r="84" ht="15" customHeight="1">
      <c r="A84" t="n">
        <v>2</v>
      </c>
      <c r="B84" s="37">
        <f>IF(Setup!$B$13="","",Setup!$B$13)</f>
        <v/>
      </c>
      <c r="C84" s="102" t="n"/>
      <c r="D84" s="103" t="n"/>
      <c r="E84" s="103" t="n"/>
      <c r="F84" s="104" t="n"/>
      <c r="G84" s="102" t="n"/>
      <c r="H84" s="103" t="n"/>
      <c r="I84" s="103" t="n"/>
      <c r="J84" s="104" t="n"/>
      <c r="K84" s="102" t="n"/>
      <c r="L84" s="103" t="n"/>
      <c r="M84" s="103" t="n"/>
      <c r="N84" s="104" t="n"/>
      <c r="O84" s="102" t="n"/>
      <c r="P84" s="103" t="n"/>
      <c r="Q84" s="103" t="n"/>
      <c r="R84" s="104" t="n"/>
      <c r="S84" s="102" t="n"/>
      <c r="T84" s="103" t="n"/>
      <c r="U84" s="103" t="n"/>
      <c r="V84" s="104" t="n"/>
      <c r="W84" s="102" t="n"/>
      <c r="X84" s="104" t="n"/>
      <c r="Y84" s="102" t="n"/>
      <c r="Z84" s="104" t="n"/>
      <c r="AB84" s="105">
        <f>IF($B84="","",(COUNTIF(C58:E75,$B84)+COUNTIF(C58:E75,$B84&amp;" ~*")&gt;0)+(COUNTIF(G58:I75,$B84)+COUNTIF(G58:I75,$B84&amp;" ~*")&gt;0)+(COUNTIF(K58:M75,$B84)+COUNTIF(K58:M75,$B84&amp;" ~*")&gt;0)+(COUNTIF(O58:Q75,$B84)+COUNTIF(O58:Q75,$B84&amp;" ~*")&gt;0)+(COUNTIF(S58:U75,$B84)+COUNTIF(S58:U75,$B84&amp;" ~*")&gt;0)+(COUNTIF(W58:W75,$B84)+COUNTIF(W58:W75,$B84&amp;" ~*")&gt;0)+(COUNTIF(Y58:Y75,$B84)+COUNTIF(Y58:Y75,$B84&amp;" ~*")&gt;0))</f>
        <v/>
      </c>
      <c r="AC84" s="38">
        <f>IF($B84="","",(IFERROR(INDEX(Setup!$G$33:$G$40,MATCH(C84,Setup!$B$33:$B$40,0)),0)=1)*(COUNTIF(C58:E75,$B84)+COUNTIF(C58:E75,$B84&amp;" ~*")&gt;0)+(IFERROR(INDEX(Setup!$G$33:$G$40,MATCH(G84,Setup!$B$33:$B$40,0)),0)=1)*(COUNTIF(G58:I75,$B84)+COUNTIF(G58:I75,$B84&amp;" ~*")&gt;0)+(IFERROR(INDEX(Setup!$G$33:$G$40,MATCH(K84,Setup!$B$33:$B$40,0)),0)=1)*(COUNTIF(K58:M75,$B84)+COUNTIF(K58:M75,$B84&amp;" ~*")&gt;0)+(IFERROR(INDEX(Setup!$G$33:$G$40,MATCH(O84,Setup!$B$33:$B$40,0)),0)=1)*(COUNTIF(O58:Q75,$B84)+COUNTIF(O58:Q75,$B84&amp;" ~*")&gt;0)+(IFERROR(INDEX(Setup!$G$33:$G$40,MATCH(S84,Setup!$B$33:$B$40,0)),0)=1)*(COUNTIF(S58:U75,$B84)+COUNTIF(S58:U75,$B84&amp;" ~*")&gt;0)+(IFERROR(INDEX(Setup!$G$33:$G$40,MATCH(W84,Setup!$B$33:$B$40,0)),0)=1)*(COUNTIF(W58:W75,$B84)+COUNTIF(W58:W75,$B84&amp;" ~*")&gt;0)+(IFERROR(INDEX(Setup!$G$33:$G$40,MATCH(Y84,Setup!$B$33:$B$40,0)),0)=1)*(COUNTIF(Y58:Y75,$B84)+COUNTIF(Y58:Y75,$B84&amp;" ~*")&gt;0))</f>
        <v/>
      </c>
    </row>
    <row r="85" ht="15" customHeight="1">
      <c r="A85" t="n">
        <v>2</v>
      </c>
      <c r="B85" s="35">
        <f>IF(Setup!$B$14="","",Setup!$B$14)</f>
        <v/>
      </c>
      <c r="C85" s="98" t="n"/>
      <c r="D85" s="99" t="n"/>
      <c r="E85" s="99" t="n"/>
      <c r="F85" s="100" t="n"/>
      <c r="G85" s="98" t="n"/>
      <c r="H85" s="99" t="n"/>
      <c r="I85" s="99" t="n"/>
      <c r="J85" s="100" t="n"/>
      <c r="K85" s="98" t="n"/>
      <c r="L85" s="99" t="n"/>
      <c r="M85" s="99" t="n"/>
      <c r="N85" s="100" t="n"/>
      <c r="O85" s="98" t="n"/>
      <c r="P85" s="99" t="n"/>
      <c r="Q85" s="99" t="n"/>
      <c r="R85" s="100" t="n"/>
      <c r="S85" s="98" t="n"/>
      <c r="T85" s="99" t="n"/>
      <c r="U85" s="99" t="n"/>
      <c r="V85" s="100" t="n"/>
      <c r="W85" s="98" t="n"/>
      <c r="X85" s="100" t="n"/>
      <c r="Y85" s="98" t="n"/>
      <c r="Z85" s="100" t="n"/>
      <c r="AB85" s="101">
        <f>IF($B85="","",(COUNTIF(C58:E75,$B85)+COUNTIF(C58:E75,$B85&amp;" ~*")&gt;0)+(COUNTIF(G58:I75,$B85)+COUNTIF(G58:I75,$B85&amp;" ~*")&gt;0)+(COUNTIF(K58:M75,$B85)+COUNTIF(K58:M75,$B85&amp;" ~*")&gt;0)+(COUNTIF(O58:Q75,$B85)+COUNTIF(O58:Q75,$B85&amp;" ~*")&gt;0)+(COUNTIF(S58:U75,$B85)+COUNTIF(S58:U75,$B85&amp;" ~*")&gt;0)+(COUNTIF(W58:W75,$B85)+COUNTIF(W58:W75,$B85&amp;" ~*")&gt;0)+(COUNTIF(Y58:Y75,$B85)+COUNTIF(Y58:Y75,$B85&amp;" ~*")&gt;0))</f>
        <v/>
      </c>
      <c r="AC85" s="36">
        <f>IF($B85="","",(IFERROR(INDEX(Setup!$G$33:$G$40,MATCH(C85,Setup!$B$33:$B$40,0)),0)=1)*(COUNTIF(C58:E75,$B85)+COUNTIF(C58:E75,$B85&amp;" ~*")&gt;0)+(IFERROR(INDEX(Setup!$G$33:$G$40,MATCH(G85,Setup!$B$33:$B$40,0)),0)=1)*(COUNTIF(G58:I75,$B85)+COUNTIF(G58:I75,$B85&amp;" ~*")&gt;0)+(IFERROR(INDEX(Setup!$G$33:$G$40,MATCH(K85,Setup!$B$33:$B$40,0)),0)=1)*(COUNTIF(K58:M75,$B85)+COUNTIF(K58:M75,$B85&amp;" ~*")&gt;0)+(IFERROR(INDEX(Setup!$G$33:$G$40,MATCH(O85,Setup!$B$33:$B$40,0)),0)=1)*(COUNTIF(O58:Q75,$B85)+COUNTIF(O58:Q75,$B85&amp;" ~*")&gt;0)+(IFERROR(INDEX(Setup!$G$33:$G$40,MATCH(S85,Setup!$B$33:$B$40,0)),0)=1)*(COUNTIF(S58:U75,$B85)+COUNTIF(S58:U75,$B85&amp;" ~*")&gt;0)+(IFERROR(INDEX(Setup!$G$33:$G$40,MATCH(W85,Setup!$B$33:$B$40,0)),0)=1)*(COUNTIF(W58:W75,$B85)+COUNTIF(W58:W75,$B85&amp;" ~*")&gt;0)+(IFERROR(INDEX(Setup!$G$33:$G$40,MATCH(Y85,Setup!$B$33:$B$40,0)),0)=1)*(COUNTIF(Y58:Y75,$B85)+COUNTIF(Y58:Y75,$B85&amp;" ~*")&gt;0))</f>
        <v/>
      </c>
    </row>
    <row r="86" ht="15" customHeight="1">
      <c r="A86" t="n">
        <v>2</v>
      </c>
      <c r="B86" s="37">
        <f>IF(Setup!$B$15="","",Setup!$B$15)</f>
        <v/>
      </c>
      <c r="C86" s="102" t="n"/>
      <c r="D86" s="103" t="n"/>
      <c r="E86" s="103" t="n"/>
      <c r="F86" s="104" t="n"/>
      <c r="G86" s="102" t="n"/>
      <c r="H86" s="103" t="n"/>
      <c r="I86" s="103" t="n"/>
      <c r="J86" s="104" t="n"/>
      <c r="K86" s="102" t="n"/>
      <c r="L86" s="103" t="n"/>
      <c r="M86" s="103" t="n"/>
      <c r="N86" s="104" t="n"/>
      <c r="O86" s="102" t="n"/>
      <c r="P86" s="103" t="n"/>
      <c r="Q86" s="103" t="n"/>
      <c r="R86" s="104" t="n"/>
      <c r="S86" s="102" t="n"/>
      <c r="T86" s="103" t="n"/>
      <c r="U86" s="103" t="n"/>
      <c r="V86" s="104" t="n"/>
      <c r="W86" s="102" t="n"/>
      <c r="X86" s="104" t="n"/>
      <c r="Y86" s="102" t="n"/>
      <c r="Z86" s="104" t="n"/>
      <c r="AB86" s="105">
        <f>IF($B86="","",(COUNTIF(C58:E75,$B86)+COUNTIF(C58:E75,$B86&amp;" ~*")&gt;0)+(COUNTIF(G58:I75,$B86)+COUNTIF(G58:I75,$B86&amp;" ~*")&gt;0)+(COUNTIF(K58:M75,$B86)+COUNTIF(K58:M75,$B86&amp;" ~*")&gt;0)+(COUNTIF(O58:Q75,$B86)+COUNTIF(O58:Q75,$B86&amp;" ~*")&gt;0)+(COUNTIF(S58:U75,$B86)+COUNTIF(S58:U75,$B86&amp;" ~*")&gt;0)+(COUNTIF(W58:W75,$B86)+COUNTIF(W58:W75,$B86&amp;" ~*")&gt;0)+(COUNTIF(Y58:Y75,$B86)+COUNTIF(Y58:Y75,$B86&amp;" ~*")&gt;0))</f>
        <v/>
      </c>
      <c r="AC86" s="38">
        <f>IF($B86="","",(IFERROR(INDEX(Setup!$G$33:$G$40,MATCH(C86,Setup!$B$33:$B$40,0)),0)=1)*(COUNTIF(C58:E75,$B86)+COUNTIF(C58:E75,$B86&amp;" ~*")&gt;0)+(IFERROR(INDEX(Setup!$G$33:$G$40,MATCH(G86,Setup!$B$33:$B$40,0)),0)=1)*(COUNTIF(G58:I75,$B86)+COUNTIF(G58:I75,$B86&amp;" ~*")&gt;0)+(IFERROR(INDEX(Setup!$G$33:$G$40,MATCH(K86,Setup!$B$33:$B$40,0)),0)=1)*(COUNTIF(K58:M75,$B86)+COUNTIF(K58:M75,$B86&amp;" ~*")&gt;0)+(IFERROR(INDEX(Setup!$G$33:$G$40,MATCH(O86,Setup!$B$33:$B$40,0)),0)=1)*(COUNTIF(O58:Q75,$B86)+COUNTIF(O58:Q75,$B86&amp;" ~*")&gt;0)+(IFERROR(INDEX(Setup!$G$33:$G$40,MATCH(S86,Setup!$B$33:$B$40,0)),0)=1)*(COUNTIF(S58:U75,$B86)+COUNTIF(S58:U75,$B86&amp;" ~*")&gt;0)+(IFERROR(INDEX(Setup!$G$33:$G$40,MATCH(W86,Setup!$B$33:$B$40,0)),0)=1)*(COUNTIF(W58:W75,$B86)+COUNTIF(W58:W75,$B86&amp;" ~*")&gt;0)+(IFERROR(INDEX(Setup!$G$33:$G$40,MATCH(Y86,Setup!$B$33:$B$40,0)),0)=1)*(COUNTIF(Y58:Y75,$B86)+COUNTIF(Y58:Y75,$B86&amp;" ~*")&gt;0))</f>
        <v/>
      </c>
    </row>
    <row r="87" ht="15" customHeight="1">
      <c r="A87" t="n">
        <v>2</v>
      </c>
      <c r="B87" s="35">
        <f>IF(Setup!$B$16="","",Setup!$B$16)</f>
        <v/>
      </c>
      <c r="C87" s="98" t="n"/>
      <c r="D87" s="99" t="n"/>
      <c r="E87" s="99" t="n"/>
      <c r="F87" s="100" t="n"/>
      <c r="G87" s="98" t="n"/>
      <c r="H87" s="99" t="n"/>
      <c r="I87" s="99" t="n"/>
      <c r="J87" s="100" t="n"/>
      <c r="K87" s="98" t="n"/>
      <c r="L87" s="99" t="n"/>
      <c r="M87" s="99" t="n"/>
      <c r="N87" s="100" t="n"/>
      <c r="O87" s="98" t="n"/>
      <c r="P87" s="99" t="n"/>
      <c r="Q87" s="99" t="n"/>
      <c r="R87" s="100" t="n"/>
      <c r="S87" s="98" t="n"/>
      <c r="T87" s="99" t="n"/>
      <c r="U87" s="99" t="n"/>
      <c r="V87" s="100" t="n"/>
      <c r="W87" s="98" t="n"/>
      <c r="X87" s="100" t="n"/>
      <c r="Y87" s="98" t="n"/>
      <c r="Z87" s="100" t="n"/>
      <c r="AB87" s="101">
        <f>IF($B87="","",(COUNTIF(C58:E75,$B87)+COUNTIF(C58:E75,$B87&amp;" ~*")&gt;0)+(COUNTIF(G58:I75,$B87)+COUNTIF(G58:I75,$B87&amp;" ~*")&gt;0)+(COUNTIF(K58:M75,$B87)+COUNTIF(K58:M75,$B87&amp;" ~*")&gt;0)+(COUNTIF(O58:Q75,$B87)+COUNTIF(O58:Q75,$B87&amp;" ~*")&gt;0)+(COUNTIF(S58:U75,$B87)+COUNTIF(S58:U75,$B87&amp;" ~*")&gt;0)+(COUNTIF(W58:W75,$B87)+COUNTIF(W58:W75,$B87&amp;" ~*")&gt;0)+(COUNTIF(Y58:Y75,$B87)+COUNTIF(Y58:Y75,$B87&amp;" ~*")&gt;0))</f>
        <v/>
      </c>
      <c r="AC87" s="36">
        <f>IF($B87="","",(IFERROR(INDEX(Setup!$G$33:$G$40,MATCH(C87,Setup!$B$33:$B$40,0)),0)=1)*(COUNTIF(C58:E75,$B87)+COUNTIF(C58:E75,$B87&amp;" ~*")&gt;0)+(IFERROR(INDEX(Setup!$G$33:$G$40,MATCH(G87,Setup!$B$33:$B$40,0)),0)=1)*(COUNTIF(G58:I75,$B87)+COUNTIF(G58:I75,$B87&amp;" ~*")&gt;0)+(IFERROR(INDEX(Setup!$G$33:$G$40,MATCH(K87,Setup!$B$33:$B$40,0)),0)=1)*(COUNTIF(K58:M75,$B87)+COUNTIF(K58:M75,$B87&amp;" ~*")&gt;0)+(IFERROR(INDEX(Setup!$G$33:$G$40,MATCH(O87,Setup!$B$33:$B$40,0)),0)=1)*(COUNTIF(O58:Q75,$B87)+COUNTIF(O58:Q75,$B87&amp;" ~*")&gt;0)+(IFERROR(INDEX(Setup!$G$33:$G$40,MATCH(S87,Setup!$B$33:$B$40,0)),0)=1)*(COUNTIF(S58:U75,$B87)+COUNTIF(S58:U75,$B87&amp;" ~*")&gt;0)+(IFERROR(INDEX(Setup!$G$33:$G$40,MATCH(W87,Setup!$B$33:$B$40,0)),0)=1)*(COUNTIF(W58:W75,$B87)+COUNTIF(W58:W75,$B87&amp;" ~*")&gt;0)+(IFERROR(INDEX(Setup!$G$33:$G$40,MATCH(Y87,Setup!$B$33:$B$40,0)),0)=1)*(COUNTIF(Y58:Y75,$B87)+COUNTIF(Y58:Y75,$B87&amp;" ~*")&gt;0))</f>
        <v/>
      </c>
    </row>
    <row r="88" ht="15" customHeight="1">
      <c r="A88" t="n">
        <v>2</v>
      </c>
      <c r="B88" s="37">
        <f>IF(Setup!$B$17="","",Setup!$B$17)</f>
        <v/>
      </c>
      <c r="C88" s="102" t="n"/>
      <c r="D88" s="103" t="n"/>
      <c r="E88" s="103" t="n"/>
      <c r="F88" s="104" t="n"/>
      <c r="G88" s="102" t="n"/>
      <c r="H88" s="103" t="n"/>
      <c r="I88" s="103" t="n"/>
      <c r="J88" s="104" t="n"/>
      <c r="K88" s="102" t="n"/>
      <c r="L88" s="103" t="n"/>
      <c r="M88" s="103" t="n"/>
      <c r="N88" s="104" t="n"/>
      <c r="O88" s="102" t="n"/>
      <c r="P88" s="103" t="n"/>
      <c r="Q88" s="103" t="n"/>
      <c r="R88" s="104" t="n"/>
      <c r="S88" s="102" t="n"/>
      <c r="T88" s="103" t="n"/>
      <c r="U88" s="103" t="n"/>
      <c r="V88" s="104" t="n"/>
      <c r="W88" s="102" t="n"/>
      <c r="X88" s="104" t="n"/>
      <c r="Y88" s="102" t="n"/>
      <c r="Z88" s="104" t="n"/>
      <c r="AB88" s="105">
        <f>IF($B88="","",(COUNTIF(C58:E75,$B88)+COUNTIF(C58:E75,$B88&amp;" ~*")&gt;0)+(COUNTIF(G58:I75,$B88)+COUNTIF(G58:I75,$B88&amp;" ~*")&gt;0)+(COUNTIF(K58:M75,$B88)+COUNTIF(K58:M75,$B88&amp;" ~*")&gt;0)+(COUNTIF(O58:Q75,$B88)+COUNTIF(O58:Q75,$B88&amp;" ~*")&gt;0)+(COUNTIF(S58:U75,$B88)+COUNTIF(S58:U75,$B88&amp;" ~*")&gt;0)+(COUNTIF(W58:W75,$B88)+COUNTIF(W58:W75,$B88&amp;" ~*")&gt;0)+(COUNTIF(Y58:Y75,$B88)+COUNTIF(Y58:Y75,$B88&amp;" ~*")&gt;0))</f>
        <v/>
      </c>
      <c r="AC88" s="38">
        <f>IF($B88="","",(IFERROR(INDEX(Setup!$G$33:$G$40,MATCH(C88,Setup!$B$33:$B$40,0)),0)=1)*(COUNTIF(C58:E75,$B88)+COUNTIF(C58:E75,$B88&amp;" ~*")&gt;0)+(IFERROR(INDEX(Setup!$G$33:$G$40,MATCH(G88,Setup!$B$33:$B$40,0)),0)=1)*(COUNTIF(G58:I75,$B88)+COUNTIF(G58:I75,$B88&amp;" ~*")&gt;0)+(IFERROR(INDEX(Setup!$G$33:$G$40,MATCH(K88,Setup!$B$33:$B$40,0)),0)=1)*(COUNTIF(K58:M75,$B88)+COUNTIF(K58:M75,$B88&amp;" ~*")&gt;0)+(IFERROR(INDEX(Setup!$G$33:$G$40,MATCH(O88,Setup!$B$33:$B$40,0)),0)=1)*(COUNTIF(O58:Q75,$B88)+COUNTIF(O58:Q75,$B88&amp;" ~*")&gt;0)+(IFERROR(INDEX(Setup!$G$33:$G$40,MATCH(S88,Setup!$B$33:$B$40,0)),0)=1)*(COUNTIF(S58:U75,$B88)+COUNTIF(S58:U75,$B88&amp;" ~*")&gt;0)+(IFERROR(INDEX(Setup!$G$33:$G$40,MATCH(W88,Setup!$B$33:$B$40,0)),0)=1)*(COUNTIF(W58:W75,$B88)+COUNTIF(W58:W75,$B88&amp;" ~*")&gt;0)+(IFERROR(INDEX(Setup!$G$33:$G$40,MATCH(Y88,Setup!$B$33:$B$40,0)),0)=1)*(COUNTIF(Y58:Y75,$B88)+COUNTIF(Y58:Y75,$B88&amp;" ~*")&gt;0))</f>
        <v/>
      </c>
    </row>
    <row r="89" ht="15" customHeight="1">
      <c r="A89" t="n">
        <v>2</v>
      </c>
      <c r="B89" s="35">
        <f>IF(Setup!$B$18="","",Setup!$B$18)</f>
        <v/>
      </c>
      <c r="C89" s="98" t="n"/>
      <c r="D89" s="99" t="n"/>
      <c r="E89" s="99" t="n"/>
      <c r="F89" s="100" t="n"/>
      <c r="G89" s="98" t="n"/>
      <c r="H89" s="99" t="n"/>
      <c r="I89" s="99" t="n"/>
      <c r="J89" s="100" t="n"/>
      <c r="K89" s="98" t="n"/>
      <c r="L89" s="99" t="n"/>
      <c r="M89" s="99" t="n"/>
      <c r="N89" s="100" t="n"/>
      <c r="O89" s="98" t="n"/>
      <c r="P89" s="99" t="n"/>
      <c r="Q89" s="99" t="n"/>
      <c r="R89" s="100" t="n"/>
      <c r="S89" s="98" t="n"/>
      <c r="T89" s="99" t="n"/>
      <c r="U89" s="99" t="n"/>
      <c r="V89" s="100" t="n"/>
      <c r="W89" s="98" t="n"/>
      <c r="X89" s="100" t="n"/>
      <c r="Y89" s="98" t="n"/>
      <c r="Z89" s="100" t="n"/>
      <c r="AB89" s="101">
        <f>IF($B89="","",(COUNTIF(C58:E75,$B89)+COUNTIF(C58:E75,$B89&amp;" ~*")&gt;0)+(COUNTIF(G58:I75,$B89)+COUNTIF(G58:I75,$B89&amp;" ~*")&gt;0)+(COUNTIF(K58:M75,$B89)+COUNTIF(K58:M75,$B89&amp;" ~*")&gt;0)+(COUNTIF(O58:Q75,$B89)+COUNTIF(O58:Q75,$B89&amp;" ~*")&gt;0)+(COUNTIF(S58:U75,$B89)+COUNTIF(S58:U75,$B89&amp;" ~*")&gt;0)+(COUNTIF(W58:W75,$B89)+COUNTIF(W58:W75,$B89&amp;" ~*")&gt;0)+(COUNTIF(Y58:Y75,$B89)+COUNTIF(Y58:Y75,$B89&amp;" ~*")&gt;0))</f>
        <v/>
      </c>
      <c r="AC89" s="36">
        <f>IF($B89="","",(IFERROR(INDEX(Setup!$G$33:$G$40,MATCH(C89,Setup!$B$33:$B$40,0)),0)=1)*(COUNTIF(C58:E75,$B89)+COUNTIF(C58:E75,$B89&amp;" ~*")&gt;0)+(IFERROR(INDEX(Setup!$G$33:$G$40,MATCH(G89,Setup!$B$33:$B$40,0)),0)=1)*(COUNTIF(G58:I75,$B89)+COUNTIF(G58:I75,$B89&amp;" ~*")&gt;0)+(IFERROR(INDEX(Setup!$G$33:$G$40,MATCH(K89,Setup!$B$33:$B$40,0)),0)=1)*(COUNTIF(K58:M75,$B89)+COUNTIF(K58:M75,$B89&amp;" ~*")&gt;0)+(IFERROR(INDEX(Setup!$G$33:$G$40,MATCH(O89,Setup!$B$33:$B$40,0)),0)=1)*(COUNTIF(O58:Q75,$B89)+COUNTIF(O58:Q75,$B89&amp;" ~*")&gt;0)+(IFERROR(INDEX(Setup!$G$33:$G$40,MATCH(S89,Setup!$B$33:$B$40,0)),0)=1)*(COUNTIF(S58:U75,$B89)+COUNTIF(S58:U75,$B89&amp;" ~*")&gt;0)+(IFERROR(INDEX(Setup!$G$33:$G$40,MATCH(W89,Setup!$B$33:$B$40,0)),0)=1)*(COUNTIF(W58:W75,$B89)+COUNTIF(W58:W75,$B89&amp;" ~*")&gt;0)+(IFERROR(INDEX(Setup!$G$33:$G$40,MATCH(Y89,Setup!$B$33:$B$40,0)),0)=1)*(COUNTIF(Y58:Y75,$B89)+COUNTIF(Y58:Y75,$B89&amp;" ~*")&gt;0))</f>
        <v/>
      </c>
    </row>
    <row r="90" ht="15" customHeight="1">
      <c r="A90" t="n">
        <v>2</v>
      </c>
      <c r="B90" s="37">
        <f>IF(Setup!$B$19="","",Setup!$B$19)</f>
        <v/>
      </c>
      <c r="C90" s="102" t="n"/>
      <c r="D90" s="103" t="n"/>
      <c r="E90" s="103" t="n"/>
      <c r="F90" s="104" t="n"/>
      <c r="G90" s="102" t="n"/>
      <c r="H90" s="103" t="n"/>
      <c r="I90" s="103" t="n"/>
      <c r="J90" s="104" t="n"/>
      <c r="K90" s="102" t="n"/>
      <c r="L90" s="103" t="n"/>
      <c r="M90" s="103" t="n"/>
      <c r="N90" s="104" t="n"/>
      <c r="O90" s="102" t="n"/>
      <c r="P90" s="103" t="n"/>
      <c r="Q90" s="103" t="n"/>
      <c r="R90" s="104" t="n"/>
      <c r="S90" s="102" t="n"/>
      <c r="T90" s="103" t="n"/>
      <c r="U90" s="103" t="n"/>
      <c r="V90" s="104" t="n"/>
      <c r="W90" s="102" t="n"/>
      <c r="X90" s="104" t="n"/>
      <c r="Y90" s="102" t="n"/>
      <c r="Z90" s="104" t="n"/>
      <c r="AB90" s="105">
        <f>IF($B90="","",(COUNTIF(C58:E75,$B90)+COUNTIF(C58:E75,$B90&amp;" ~*")&gt;0)+(COUNTIF(G58:I75,$B90)+COUNTIF(G58:I75,$B90&amp;" ~*")&gt;0)+(COUNTIF(K58:M75,$B90)+COUNTIF(K58:M75,$B90&amp;" ~*")&gt;0)+(COUNTIF(O58:Q75,$B90)+COUNTIF(O58:Q75,$B90&amp;" ~*")&gt;0)+(COUNTIF(S58:U75,$B90)+COUNTIF(S58:U75,$B90&amp;" ~*")&gt;0)+(COUNTIF(W58:W75,$B90)+COUNTIF(W58:W75,$B90&amp;" ~*")&gt;0)+(COUNTIF(Y58:Y75,$B90)+COUNTIF(Y58:Y75,$B90&amp;" ~*")&gt;0))</f>
        <v/>
      </c>
      <c r="AC90" s="38">
        <f>IF($B90="","",(IFERROR(INDEX(Setup!$G$33:$G$40,MATCH(C90,Setup!$B$33:$B$40,0)),0)=1)*(COUNTIF(C58:E75,$B90)+COUNTIF(C58:E75,$B90&amp;" ~*")&gt;0)+(IFERROR(INDEX(Setup!$G$33:$G$40,MATCH(G90,Setup!$B$33:$B$40,0)),0)=1)*(COUNTIF(G58:I75,$B90)+COUNTIF(G58:I75,$B90&amp;" ~*")&gt;0)+(IFERROR(INDEX(Setup!$G$33:$G$40,MATCH(K90,Setup!$B$33:$B$40,0)),0)=1)*(COUNTIF(K58:M75,$B90)+COUNTIF(K58:M75,$B90&amp;" ~*")&gt;0)+(IFERROR(INDEX(Setup!$G$33:$G$40,MATCH(O90,Setup!$B$33:$B$40,0)),0)=1)*(COUNTIF(O58:Q75,$B90)+COUNTIF(O58:Q75,$B90&amp;" ~*")&gt;0)+(IFERROR(INDEX(Setup!$G$33:$G$40,MATCH(S90,Setup!$B$33:$B$40,0)),0)=1)*(COUNTIF(S58:U75,$B90)+COUNTIF(S58:U75,$B90&amp;" ~*")&gt;0)+(IFERROR(INDEX(Setup!$G$33:$G$40,MATCH(W90,Setup!$B$33:$B$40,0)),0)=1)*(COUNTIF(W58:W75,$B90)+COUNTIF(W58:W75,$B90&amp;" ~*")&gt;0)+(IFERROR(INDEX(Setup!$G$33:$G$40,MATCH(Y90,Setup!$B$33:$B$40,0)),0)=1)*(COUNTIF(Y58:Y75,$B90)+COUNTIF(Y58:Y75,$B90&amp;" ~*")&gt;0))</f>
        <v/>
      </c>
    </row>
    <row r="91" ht="15" customHeight="1">
      <c r="A91" t="n">
        <v>2</v>
      </c>
      <c r="B91" s="35">
        <f>IF(Setup!$B$20="","",Setup!$B$20)</f>
        <v/>
      </c>
      <c r="C91" s="98" t="n"/>
      <c r="D91" s="99" t="n"/>
      <c r="E91" s="99" t="n"/>
      <c r="F91" s="100" t="n"/>
      <c r="G91" s="98" t="n"/>
      <c r="H91" s="99" t="n"/>
      <c r="I91" s="99" t="n"/>
      <c r="J91" s="100" t="n"/>
      <c r="K91" s="98" t="n"/>
      <c r="L91" s="99" t="n"/>
      <c r="M91" s="99" t="n"/>
      <c r="N91" s="100" t="n"/>
      <c r="O91" s="98" t="n"/>
      <c r="P91" s="99" t="n"/>
      <c r="Q91" s="99" t="n"/>
      <c r="R91" s="100" t="n"/>
      <c r="S91" s="98" t="n"/>
      <c r="T91" s="99" t="n"/>
      <c r="U91" s="99" t="n"/>
      <c r="V91" s="100" t="n"/>
      <c r="W91" s="98" t="n"/>
      <c r="X91" s="100" t="n"/>
      <c r="Y91" s="98" t="n"/>
      <c r="Z91" s="100" t="n"/>
      <c r="AB91" s="101">
        <f>IF($B91="","",(COUNTIF(C58:E75,$B91)+COUNTIF(C58:E75,$B91&amp;" ~*")&gt;0)+(COUNTIF(G58:I75,$B91)+COUNTIF(G58:I75,$B91&amp;" ~*")&gt;0)+(COUNTIF(K58:M75,$B91)+COUNTIF(K58:M75,$B91&amp;" ~*")&gt;0)+(COUNTIF(O58:Q75,$B91)+COUNTIF(O58:Q75,$B91&amp;" ~*")&gt;0)+(COUNTIF(S58:U75,$B91)+COUNTIF(S58:U75,$B91&amp;" ~*")&gt;0)+(COUNTIF(W58:W75,$B91)+COUNTIF(W58:W75,$B91&amp;" ~*")&gt;0)+(COUNTIF(Y58:Y75,$B91)+COUNTIF(Y58:Y75,$B91&amp;" ~*")&gt;0))</f>
        <v/>
      </c>
      <c r="AC91" s="36">
        <f>IF($B91="","",(IFERROR(INDEX(Setup!$G$33:$G$40,MATCH(C91,Setup!$B$33:$B$40,0)),0)=1)*(COUNTIF(C58:E75,$B91)+COUNTIF(C58:E75,$B91&amp;" ~*")&gt;0)+(IFERROR(INDEX(Setup!$G$33:$G$40,MATCH(G91,Setup!$B$33:$B$40,0)),0)=1)*(COUNTIF(G58:I75,$B91)+COUNTIF(G58:I75,$B91&amp;" ~*")&gt;0)+(IFERROR(INDEX(Setup!$G$33:$G$40,MATCH(K91,Setup!$B$33:$B$40,0)),0)=1)*(COUNTIF(K58:M75,$B91)+COUNTIF(K58:M75,$B91&amp;" ~*")&gt;0)+(IFERROR(INDEX(Setup!$G$33:$G$40,MATCH(O91,Setup!$B$33:$B$40,0)),0)=1)*(COUNTIF(O58:Q75,$B91)+COUNTIF(O58:Q75,$B91&amp;" ~*")&gt;0)+(IFERROR(INDEX(Setup!$G$33:$G$40,MATCH(S91,Setup!$B$33:$B$40,0)),0)=1)*(COUNTIF(S58:U75,$B91)+COUNTIF(S58:U75,$B91&amp;" ~*")&gt;0)+(IFERROR(INDEX(Setup!$G$33:$G$40,MATCH(W91,Setup!$B$33:$B$40,0)),0)=1)*(COUNTIF(W58:W75,$B91)+COUNTIF(W58:W75,$B91&amp;" ~*")&gt;0)+(IFERROR(INDEX(Setup!$G$33:$G$40,MATCH(Y91,Setup!$B$33:$B$40,0)),0)=1)*(COUNTIF(Y58:Y75,$B91)+COUNTIF(Y58:Y75,$B91&amp;" ~*")&gt;0))</f>
        <v/>
      </c>
    </row>
    <row r="92" ht="15" customHeight="1">
      <c r="A92" t="n">
        <v>2</v>
      </c>
      <c r="B92" s="37">
        <f>IF(Setup!$B$21="","",Setup!$B$21)</f>
        <v/>
      </c>
      <c r="C92" s="102" t="n"/>
      <c r="D92" s="103" t="n"/>
      <c r="E92" s="103" t="n"/>
      <c r="F92" s="104" t="n"/>
      <c r="G92" s="102" t="n"/>
      <c r="H92" s="103" t="n"/>
      <c r="I92" s="103" t="n"/>
      <c r="J92" s="104" t="n"/>
      <c r="K92" s="102" t="n"/>
      <c r="L92" s="103" t="n"/>
      <c r="M92" s="103" t="n"/>
      <c r="N92" s="104" t="n"/>
      <c r="O92" s="102" t="n"/>
      <c r="P92" s="103" t="n"/>
      <c r="Q92" s="103" t="n"/>
      <c r="R92" s="104" t="n"/>
      <c r="S92" s="102" t="n"/>
      <c r="T92" s="103" t="n"/>
      <c r="U92" s="103" t="n"/>
      <c r="V92" s="104" t="n"/>
      <c r="W92" s="102" t="n"/>
      <c r="X92" s="104" t="n"/>
      <c r="Y92" s="102" t="n"/>
      <c r="Z92" s="104" t="n"/>
      <c r="AB92" s="105">
        <f>IF($B92="","",(COUNTIF(C58:E75,$B92)+COUNTIF(C58:E75,$B92&amp;" ~*")&gt;0)+(COUNTIF(G58:I75,$B92)+COUNTIF(G58:I75,$B92&amp;" ~*")&gt;0)+(COUNTIF(K58:M75,$B92)+COUNTIF(K58:M75,$B92&amp;" ~*")&gt;0)+(COUNTIF(O58:Q75,$B92)+COUNTIF(O58:Q75,$B92&amp;" ~*")&gt;0)+(COUNTIF(S58:U75,$B92)+COUNTIF(S58:U75,$B92&amp;" ~*")&gt;0)+(COUNTIF(W58:W75,$B92)+COUNTIF(W58:W75,$B92&amp;" ~*")&gt;0)+(COUNTIF(Y58:Y75,$B92)+COUNTIF(Y58:Y75,$B92&amp;" ~*")&gt;0))</f>
        <v/>
      </c>
      <c r="AC92" s="38">
        <f>IF($B92="","",(IFERROR(INDEX(Setup!$G$33:$G$40,MATCH(C92,Setup!$B$33:$B$40,0)),0)=1)*(COUNTIF(C58:E75,$B92)+COUNTIF(C58:E75,$B92&amp;" ~*")&gt;0)+(IFERROR(INDEX(Setup!$G$33:$G$40,MATCH(G92,Setup!$B$33:$B$40,0)),0)=1)*(COUNTIF(G58:I75,$B92)+COUNTIF(G58:I75,$B92&amp;" ~*")&gt;0)+(IFERROR(INDEX(Setup!$G$33:$G$40,MATCH(K92,Setup!$B$33:$B$40,0)),0)=1)*(COUNTIF(K58:M75,$B92)+COUNTIF(K58:M75,$B92&amp;" ~*")&gt;0)+(IFERROR(INDEX(Setup!$G$33:$G$40,MATCH(O92,Setup!$B$33:$B$40,0)),0)=1)*(COUNTIF(O58:Q75,$B92)+COUNTIF(O58:Q75,$B92&amp;" ~*")&gt;0)+(IFERROR(INDEX(Setup!$G$33:$G$40,MATCH(S92,Setup!$B$33:$B$40,0)),0)=1)*(COUNTIF(S58:U75,$B92)+COUNTIF(S58:U75,$B92&amp;" ~*")&gt;0)+(IFERROR(INDEX(Setup!$G$33:$G$40,MATCH(W92,Setup!$B$33:$B$40,0)),0)=1)*(COUNTIF(W58:W75,$B92)+COUNTIF(W58:W75,$B92&amp;" ~*")&gt;0)+(IFERROR(INDEX(Setup!$G$33:$G$40,MATCH(Y92,Setup!$B$33:$B$40,0)),0)=1)*(COUNTIF(Y58:Y75,$B92)+COUNTIF(Y58:Y75,$B92&amp;" ~*")&gt;0))</f>
        <v/>
      </c>
    </row>
    <row r="93" ht="15" customHeight="1">
      <c r="A93" t="n">
        <v>2</v>
      </c>
      <c r="B93" s="35">
        <f>IF(Setup!$B$22="","",Setup!$B$22)</f>
        <v/>
      </c>
      <c r="C93" s="98" t="n"/>
      <c r="D93" s="99" t="n"/>
      <c r="E93" s="99" t="n"/>
      <c r="F93" s="100" t="n"/>
      <c r="G93" s="98" t="n"/>
      <c r="H93" s="99" t="n"/>
      <c r="I93" s="99" t="n"/>
      <c r="J93" s="100" t="n"/>
      <c r="K93" s="98" t="n"/>
      <c r="L93" s="99" t="n"/>
      <c r="M93" s="99" t="n"/>
      <c r="N93" s="100" t="n"/>
      <c r="O93" s="98" t="n"/>
      <c r="P93" s="99" t="n"/>
      <c r="Q93" s="99" t="n"/>
      <c r="R93" s="100" t="n"/>
      <c r="S93" s="98" t="n"/>
      <c r="T93" s="99" t="n"/>
      <c r="U93" s="99" t="n"/>
      <c r="V93" s="100" t="n"/>
      <c r="W93" s="98" t="n"/>
      <c r="X93" s="100" t="n"/>
      <c r="Y93" s="98" t="n"/>
      <c r="Z93" s="100" t="n"/>
      <c r="AB93" s="101">
        <f>IF($B93="","",(COUNTIF(C58:E75,$B93)+COUNTIF(C58:E75,$B93&amp;" ~*")&gt;0)+(COUNTIF(G58:I75,$B93)+COUNTIF(G58:I75,$B93&amp;" ~*")&gt;0)+(COUNTIF(K58:M75,$B93)+COUNTIF(K58:M75,$B93&amp;" ~*")&gt;0)+(COUNTIF(O58:Q75,$B93)+COUNTIF(O58:Q75,$B93&amp;" ~*")&gt;0)+(COUNTIF(S58:U75,$B93)+COUNTIF(S58:U75,$B93&amp;" ~*")&gt;0)+(COUNTIF(W58:W75,$B93)+COUNTIF(W58:W75,$B93&amp;" ~*")&gt;0)+(COUNTIF(Y58:Y75,$B93)+COUNTIF(Y58:Y75,$B93&amp;" ~*")&gt;0))</f>
        <v/>
      </c>
      <c r="AC93" s="36">
        <f>IF($B93="","",(IFERROR(INDEX(Setup!$G$33:$G$40,MATCH(C93,Setup!$B$33:$B$40,0)),0)=1)*(COUNTIF(C58:E75,$B93)+COUNTIF(C58:E75,$B93&amp;" ~*")&gt;0)+(IFERROR(INDEX(Setup!$G$33:$G$40,MATCH(G93,Setup!$B$33:$B$40,0)),0)=1)*(COUNTIF(G58:I75,$B93)+COUNTIF(G58:I75,$B93&amp;" ~*")&gt;0)+(IFERROR(INDEX(Setup!$G$33:$G$40,MATCH(K93,Setup!$B$33:$B$40,0)),0)=1)*(COUNTIF(K58:M75,$B93)+COUNTIF(K58:M75,$B93&amp;" ~*")&gt;0)+(IFERROR(INDEX(Setup!$G$33:$G$40,MATCH(O93,Setup!$B$33:$B$40,0)),0)=1)*(COUNTIF(O58:Q75,$B93)+COUNTIF(O58:Q75,$B93&amp;" ~*")&gt;0)+(IFERROR(INDEX(Setup!$G$33:$G$40,MATCH(S93,Setup!$B$33:$B$40,0)),0)=1)*(COUNTIF(S58:U75,$B93)+COUNTIF(S58:U75,$B93&amp;" ~*")&gt;0)+(IFERROR(INDEX(Setup!$G$33:$G$40,MATCH(W93,Setup!$B$33:$B$40,0)),0)=1)*(COUNTIF(W58:W75,$B93)+COUNTIF(W58:W75,$B93&amp;" ~*")&gt;0)+(IFERROR(INDEX(Setup!$G$33:$G$40,MATCH(Y93,Setup!$B$33:$B$40,0)),0)=1)*(COUNTIF(Y58:Y75,$B93)+COUNTIF(Y58:Y75,$B93&amp;" ~*")&gt;0))</f>
        <v/>
      </c>
    </row>
    <row r="94" ht="15" customHeight="1">
      <c r="A94" t="n">
        <v>2</v>
      </c>
      <c r="B94" s="37">
        <f>IF(Setup!$B$23="","",Setup!$B$23)</f>
        <v/>
      </c>
      <c r="C94" s="102" t="n"/>
      <c r="D94" s="103" t="n"/>
      <c r="E94" s="103" t="n"/>
      <c r="F94" s="104" t="n"/>
      <c r="G94" s="102" t="n"/>
      <c r="H94" s="103" t="n"/>
      <c r="I94" s="103" t="n"/>
      <c r="J94" s="104" t="n"/>
      <c r="K94" s="102" t="n"/>
      <c r="L94" s="103" t="n"/>
      <c r="M94" s="103" t="n"/>
      <c r="N94" s="104" t="n"/>
      <c r="O94" s="102" t="n"/>
      <c r="P94" s="103" t="n"/>
      <c r="Q94" s="103" t="n"/>
      <c r="R94" s="104" t="n"/>
      <c r="S94" s="102" t="n"/>
      <c r="T94" s="103" t="n"/>
      <c r="U94" s="103" t="n"/>
      <c r="V94" s="104" t="n"/>
      <c r="W94" s="102" t="n"/>
      <c r="X94" s="104" t="n"/>
      <c r="Y94" s="102" t="n"/>
      <c r="Z94" s="104" t="n"/>
      <c r="AB94" s="105">
        <f>IF($B94="","",(COUNTIF(C58:E75,$B94)+COUNTIF(C58:E75,$B94&amp;" ~*")&gt;0)+(COUNTIF(G58:I75,$B94)+COUNTIF(G58:I75,$B94&amp;" ~*")&gt;0)+(COUNTIF(K58:M75,$B94)+COUNTIF(K58:M75,$B94&amp;" ~*")&gt;0)+(COUNTIF(O58:Q75,$B94)+COUNTIF(O58:Q75,$B94&amp;" ~*")&gt;0)+(COUNTIF(S58:U75,$B94)+COUNTIF(S58:U75,$B94&amp;" ~*")&gt;0)+(COUNTIF(W58:W75,$B94)+COUNTIF(W58:W75,$B94&amp;" ~*")&gt;0)+(COUNTIF(Y58:Y75,$B94)+COUNTIF(Y58:Y75,$B94&amp;" ~*")&gt;0))</f>
        <v/>
      </c>
      <c r="AC94" s="38">
        <f>IF($B94="","",(IFERROR(INDEX(Setup!$G$33:$G$40,MATCH(C94,Setup!$B$33:$B$40,0)),0)=1)*(COUNTIF(C58:E75,$B94)+COUNTIF(C58:E75,$B94&amp;" ~*")&gt;0)+(IFERROR(INDEX(Setup!$G$33:$G$40,MATCH(G94,Setup!$B$33:$B$40,0)),0)=1)*(COUNTIF(G58:I75,$B94)+COUNTIF(G58:I75,$B94&amp;" ~*")&gt;0)+(IFERROR(INDEX(Setup!$G$33:$G$40,MATCH(K94,Setup!$B$33:$B$40,0)),0)=1)*(COUNTIF(K58:M75,$B94)+COUNTIF(K58:M75,$B94&amp;" ~*")&gt;0)+(IFERROR(INDEX(Setup!$G$33:$G$40,MATCH(O94,Setup!$B$33:$B$40,0)),0)=1)*(COUNTIF(O58:Q75,$B94)+COUNTIF(O58:Q75,$B94&amp;" ~*")&gt;0)+(IFERROR(INDEX(Setup!$G$33:$G$40,MATCH(S94,Setup!$B$33:$B$40,0)),0)=1)*(COUNTIF(S58:U75,$B94)+COUNTIF(S58:U75,$B94&amp;" ~*")&gt;0)+(IFERROR(INDEX(Setup!$G$33:$G$40,MATCH(W94,Setup!$B$33:$B$40,0)),0)=1)*(COUNTIF(W58:W75,$B94)+COUNTIF(W58:W75,$B94&amp;" ~*")&gt;0)+(IFERROR(INDEX(Setup!$G$33:$G$40,MATCH(Y94,Setup!$B$33:$B$40,0)),0)=1)*(COUNTIF(Y58:Y75,$B94)+COUNTIF(Y58:Y75,$B94&amp;" ~*")&gt;0))</f>
        <v/>
      </c>
    </row>
    <row r="95" ht="15" customHeight="1">
      <c r="A95" t="n">
        <v>2</v>
      </c>
      <c r="B95" s="35">
        <f>IF(Setup!$B$24="","",Setup!$B$24)</f>
        <v/>
      </c>
      <c r="C95" s="98" t="n"/>
      <c r="D95" s="99" t="n"/>
      <c r="E95" s="99" t="n"/>
      <c r="F95" s="100" t="n"/>
      <c r="G95" s="98" t="n"/>
      <c r="H95" s="99" t="n"/>
      <c r="I95" s="99" t="n"/>
      <c r="J95" s="100" t="n"/>
      <c r="K95" s="98" t="n"/>
      <c r="L95" s="99" t="n"/>
      <c r="M95" s="99" t="n"/>
      <c r="N95" s="100" t="n"/>
      <c r="O95" s="98" t="n"/>
      <c r="P95" s="99" t="n"/>
      <c r="Q95" s="99" t="n"/>
      <c r="R95" s="100" t="n"/>
      <c r="S95" s="98" t="n"/>
      <c r="T95" s="99" t="n"/>
      <c r="U95" s="99" t="n"/>
      <c r="V95" s="100" t="n"/>
      <c r="W95" s="98" t="n"/>
      <c r="X95" s="100" t="n"/>
      <c r="Y95" s="98" t="n"/>
      <c r="Z95" s="100" t="n"/>
      <c r="AB95" s="101">
        <f>IF($B95="","",(COUNTIF(C58:E75,$B95)+COUNTIF(C58:E75,$B95&amp;" ~*")&gt;0)+(COUNTIF(G58:I75,$B95)+COUNTIF(G58:I75,$B95&amp;" ~*")&gt;0)+(COUNTIF(K58:M75,$B95)+COUNTIF(K58:M75,$B95&amp;" ~*")&gt;0)+(COUNTIF(O58:Q75,$B95)+COUNTIF(O58:Q75,$B95&amp;" ~*")&gt;0)+(COUNTIF(S58:U75,$B95)+COUNTIF(S58:U75,$B95&amp;" ~*")&gt;0)+(COUNTIF(W58:W75,$B95)+COUNTIF(W58:W75,$B95&amp;" ~*")&gt;0)+(COUNTIF(Y58:Y75,$B95)+COUNTIF(Y58:Y75,$B95&amp;" ~*")&gt;0))</f>
        <v/>
      </c>
      <c r="AC95" s="36">
        <f>IF($B95="","",(IFERROR(INDEX(Setup!$G$33:$G$40,MATCH(C95,Setup!$B$33:$B$40,0)),0)=1)*(COUNTIF(C58:E75,$B95)+COUNTIF(C58:E75,$B95&amp;" ~*")&gt;0)+(IFERROR(INDEX(Setup!$G$33:$G$40,MATCH(G95,Setup!$B$33:$B$40,0)),0)=1)*(COUNTIF(G58:I75,$B95)+COUNTIF(G58:I75,$B95&amp;" ~*")&gt;0)+(IFERROR(INDEX(Setup!$G$33:$G$40,MATCH(K95,Setup!$B$33:$B$40,0)),0)=1)*(COUNTIF(K58:M75,$B95)+COUNTIF(K58:M75,$B95&amp;" ~*")&gt;0)+(IFERROR(INDEX(Setup!$G$33:$G$40,MATCH(O95,Setup!$B$33:$B$40,0)),0)=1)*(COUNTIF(O58:Q75,$B95)+COUNTIF(O58:Q75,$B95&amp;" ~*")&gt;0)+(IFERROR(INDEX(Setup!$G$33:$G$40,MATCH(S95,Setup!$B$33:$B$40,0)),0)=1)*(COUNTIF(S58:U75,$B95)+COUNTIF(S58:U75,$B95&amp;" ~*")&gt;0)+(IFERROR(INDEX(Setup!$G$33:$G$40,MATCH(W95,Setup!$B$33:$B$40,0)),0)=1)*(COUNTIF(W58:W75,$B95)+COUNTIF(W58:W75,$B95&amp;" ~*")&gt;0)+(IFERROR(INDEX(Setup!$G$33:$G$40,MATCH(Y95,Setup!$B$33:$B$40,0)),0)=1)*(COUNTIF(Y58:Y75,$B95)+COUNTIF(Y58:Y75,$B95&amp;" ~*")&gt;0))</f>
        <v/>
      </c>
    </row>
    <row r="96" ht="15" customHeight="1">
      <c r="A96" t="n">
        <v>2</v>
      </c>
      <c r="B96" s="37">
        <f>IF(Setup!$B$25="","",Setup!$B$25)</f>
        <v/>
      </c>
      <c r="C96" s="102" t="n"/>
      <c r="D96" s="103" t="n"/>
      <c r="E96" s="103" t="n"/>
      <c r="F96" s="104" t="n"/>
      <c r="G96" s="102" t="n"/>
      <c r="H96" s="103" t="n"/>
      <c r="I96" s="103" t="n"/>
      <c r="J96" s="104" t="n"/>
      <c r="K96" s="102" t="n"/>
      <c r="L96" s="103" t="n"/>
      <c r="M96" s="103" t="n"/>
      <c r="N96" s="104" t="n"/>
      <c r="O96" s="102" t="n"/>
      <c r="P96" s="103" t="n"/>
      <c r="Q96" s="103" t="n"/>
      <c r="R96" s="104" t="n"/>
      <c r="S96" s="102" t="n"/>
      <c r="T96" s="103" t="n"/>
      <c r="U96" s="103" t="n"/>
      <c r="V96" s="104" t="n"/>
      <c r="W96" s="102" t="n"/>
      <c r="X96" s="104" t="n"/>
      <c r="Y96" s="102" t="n"/>
      <c r="Z96" s="104" t="n"/>
      <c r="AB96" s="105">
        <f>IF($B96="","",(COUNTIF(C58:E75,$B96)+COUNTIF(C58:E75,$B96&amp;" ~*")&gt;0)+(COUNTIF(G58:I75,$B96)+COUNTIF(G58:I75,$B96&amp;" ~*")&gt;0)+(COUNTIF(K58:M75,$B96)+COUNTIF(K58:M75,$B96&amp;" ~*")&gt;0)+(COUNTIF(O58:Q75,$B96)+COUNTIF(O58:Q75,$B96&amp;" ~*")&gt;0)+(COUNTIF(S58:U75,$B96)+COUNTIF(S58:U75,$B96&amp;" ~*")&gt;0)+(COUNTIF(W58:W75,$B96)+COUNTIF(W58:W75,$B96&amp;" ~*")&gt;0)+(COUNTIF(Y58:Y75,$B96)+COUNTIF(Y58:Y75,$B96&amp;" ~*")&gt;0))</f>
        <v/>
      </c>
      <c r="AC96" s="38">
        <f>IF($B96="","",(IFERROR(INDEX(Setup!$G$33:$G$40,MATCH(C96,Setup!$B$33:$B$40,0)),0)=1)*(COUNTIF(C58:E75,$B96)+COUNTIF(C58:E75,$B96&amp;" ~*")&gt;0)+(IFERROR(INDEX(Setup!$G$33:$G$40,MATCH(G96,Setup!$B$33:$B$40,0)),0)=1)*(COUNTIF(G58:I75,$B96)+COUNTIF(G58:I75,$B96&amp;" ~*")&gt;0)+(IFERROR(INDEX(Setup!$G$33:$G$40,MATCH(K96,Setup!$B$33:$B$40,0)),0)=1)*(COUNTIF(K58:M75,$B96)+COUNTIF(K58:M75,$B96&amp;" ~*")&gt;0)+(IFERROR(INDEX(Setup!$G$33:$G$40,MATCH(O96,Setup!$B$33:$B$40,0)),0)=1)*(COUNTIF(O58:Q75,$B96)+COUNTIF(O58:Q75,$B96&amp;" ~*")&gt;0)+(IFERROR(INDEX(Setup!$G$33:$G$40,MATCH(S96,Setup!$B$33:$B$40,0)),0)=1)*(COUNTIF(S58:U75,$B96)+COUNTIF(S58:U75,$B96&amp;" ~*")&gt;0)+(IFERROR(INDEX(Setup!$G$33:$G$40,MATCH(W96,Setup!$B$33:$B$40,0)),0)=1)*(COUNTIF(W58:W75,$B96)+COUNTIF(W58:W75,$B96&amp;" ~*")&gt;0)+(IFERROR(INDEX(Setup!$G$33:$G$40,MATCH(Y96,Setup!$B$33:$B$40,0)),0)=1)*(COUNTIF(Y58:Y75,$B96)+COUNTIF(Y58:Y75,$B96&amp;" ~*")&gt;0))</f>
        <v/>
      </c>
    </row>
    <row r="97" ht="15" customHeight="1">
      <c r="A97" t="n">
        <v>2</v>
      </c>
      <c r="B97" s="35">
        <f>IF(Setup!$B$26="","",Setup!$B$26)</f>
        <v/>
      </c>
      <c r="C97" s="98" t="n"/>
      <c r="D97" s="99" t="n"/>
      <c r="E97" s="99" t="n"/>
      <c r="F97" s="100" t="n"/>
      <c r="G97" s="98" t="n"/>
      <c r="H97" s="99" t="n"/>
      <c r="I97" s="99" t="n"/>
      <c r="J97" s="100" t="n"/>
      <c r="K97" s="98" t="n"/>
      <c r="L97" s="99" t="n"/>
      <c r="M97" s="99" t="n"/>
      <c r="N97" s="100" t="n"/>
      <c r="O97" s="98" t="n"/>
      <c r="P97" s="99" t="n"/>
      <c r="Q97" s="99" t="n"/>
      <c r="R97" s="100" t="n"/>
      <c r="S97" s="98" t="n"/>
      <c r="T97" s="99" t="n"/>
      <c r="U97" s="99" t="n"/>
      <c r="V97" s="100" t="n"/>
      <c r="W97" s="98" t="n"/>
      <c r="X97" s="100" t="n"/>
      <c r="Y97" s="98" t="n"/>
      <c r="Z97" s="100" t="n"/>
      <c r="AB97" s="101">
        <f>IF($B97="","",(COUNTIF(C58:E75,$B97)+COUNTIF(C58:E75,$B97&amp;" ~*")&gt;0)+(COUNTIF(G58:I75,$B97)+COUNTIF(G58:I75,$B97&amp;" ~*")&gt;0)+(COUNTIF(K58:M75,$B97)+COUNTIF(K58:M75,$B97&amp;" ~*")&gt;0)+(COUNTIF(O58:Q75,$B97)+COUNTIF(O58:Q75,$B97&amp;" ~*")&gt;0)+(COUNTIF(S58:U75,$B97)+COUNTIF(S58:U75,$B97&amp;" ~*")&gt;0)+(COUNTIF(W58:W75,$B97)+COUNTIF(W58:W75,$B97&amp;" ~*")&gt;0)+(COUNTIF(Y58:Y75,$B97)+COUNTIF(Y58:Y75,$B97&amp;" ~*")&gt;0))</f>
        <v/>
      </c>
      <c r="AC97" s="36">
        <f>IF($B97="","",(IFERROR(INDEX(Setup!$G$33:$G$40,MATCH(C97,Setup!$B$33:$B$40,0)),0)=1)*(COUNTIF(C58:E75,$B97)+COUNTIF(C58:E75,$B97&amp;" ~*")&gt;0)+(IFERROR(INDEX(Setup!$G$33:$G$40,MATCH(G97,Setup!$B$33:$B$40,0)),0)=1)*(COUNTIF(G58:I75,$B97)+COUNTIF(G58:I75,$B97&amp;" ~*")&gt;0)+(IFERROR(INDEX(Setup!$G$33:$G$40,MATCH(K97,Setup!$B$33:$B$40,0)),0)=1)*(COUNTIF(K58:M75,$B97)+COUNTIF(K58:M75,$B97&amp;" ~*")&gt;0)+(IFERROR(INDEX(Setup!$G$33:$G$40,MATCH(O97,Setup!$B$33:$B$40,0)),0)=1)*(COUNTIF(O58:Q75,$B97)+COUNTIF(O58:Q75,$B97&amp;" ~*")&gt;0)+(IFERROR(INDEX(Setup!$G$33:$G$40,MATCH(S97,Setup!$B$33:$B$40,0)),0)=1)*(COUNTIF(S58:U75,$B97)+COUNTIF(S58:U75,$B97&amp;" ~*")&gt;0)+(IFERROR(INDEX(Setup!$G$33:$G$40,MATCH(W97,Setup!$B$33:$B$40,0)),0)=1)*(COUNTIF(W58:W75,$B97)+COUNTIF(W58:W75,$B97&amp;" ~*")&gt;0)+(IFERROR(INDEX(Setup!$G$33:$G$40,MATCH(Y97,Setup!$B$33:$B$40,0)),0)=1)*(COUNTIF(Y58:Y75,$B97)+COUNTIF(Y58:Y75,$B97&amp;" ~*")&gt;0))</f>
        <v/>
      </c>
    </row>
    <row r="98" ht="15" customHeight="1">
      <c r="A98" t="n">
        <v>2</v>
      </c>
      <c r="B98" s="37">
        <f>IF(Setup!$B$27="","",Setup!$B$27)</f>
        <v/>
      </c>
      <c r="C98" s="102" t="n"/>
      <c r="D98" s="103" t="n"/>
      <c r="E98" s="103" t="n"/>
      <c r="F98" s="104" t="n"/>
      <c r="G98" s="102" t="n"/>
      <c r="H98" s="103" t="n"/>
      <c r="I98" s="103" t="n"/>
      <c r="J98" s="104" t="n"/>
      <c r="K98" s="102" t="n"/>
      <c r="L98" s="103" t="n"/>
      <c r="M98" s="103" t="n"/>
      <c r="N98" s="104" t="n"/>
      <c r="O98" s="102" t="n"/>
      <c r="P98" s="103" t="n"/>
      <c r="Q98" s="103" t="n"/>
      <c r="R98" s="104" t="n"/>
      <c r="S98" s="102" t="n"/>
      <c r="T98" s="103" t="n"/>
      <c r="U98" s="103" t="n"/>
      <c r="V98" s="104" t="n"/>
      <c r="W98" s="102" t="n"/>
      <c r="X98" s="104" t="n"/>
      <c r="Y98" s="102" t="n"/>
      <c r="Z98" s="104" t="n"/>
      <c r="AB98" s="105">
        <f>IF($B98="","",(COUNTIF(C58:E75,$B98)+COUNTIF(C58:E75,$B98&amp;" ~*")&gt;0)+(COUNTIF(G58:I75,$B98)+COUNTIF(G58:I75,$B98&amp;" ~*")&gt;0)+(COUNTIF(K58:M75,$B98)+COUNTIF(K58:M75,$B98&amp;" ~*")&gt;0)+(COUNTIF(O58:Q75,$B98)+COUNTIF(O58:Q75,$B98&amp;" ~*")&gt;0)+(COUNTIF(S58:U75,$B98)+COUNTIF(S58:U75,$B98&amp;" ~*")&gt;0)+(COUNTIF(W58:W75,$B98)+COUNTIF(W58:W75,$B98&amp;" ~*")&gt;0)+(COUNTIF(Y58:Y75,$B98)+COUNTIF(Y58:Y75,$B98&amp;" ~*")&gt;0))</f>
        <v/>
      </c>
      <c r="AC98" s="38">
        <f>IF($B98="","",(IFERROR(INDEX(Setup!$G$33:$G$40,MATCH(C98,Setup!$B$33:$B$40,0)),0)=1)*(COUNTIF(C58:E75,$B98)+COUNTIF(C58:E75,$B98&amp;" ~*")&gt;0)+(IFERROR(INDEX(Setup!$G$33:$G$40,MATCH(G98,Setup!$B$33:$B$40,0)),0)=1)*(COUNTIF(G58:I75,$B98)+COUNTIF(G58:I75,$B98&amp;" ~*")&gt;0)+(IFERROR(INDEX(Setup!$G$33:$G$40,MATCH(K98,Setup!$B$33:$B$40,0)),0)=1)*(COUNTIF(K58:M75,$B98)+COUNTIF(K58:M75,$B98&amp;" ~*")&gt;0)+(IFERROR(INDEX(Setup!$G$33:$G$40,MATCH(O98,Setup!$B$33:$B$40,0)),0)=1)*(COUNTIF(O58:Q75,$B98)+COUNTIF(O58:Q75,$B98&amp;" ~*")&gt;0)+(IFERROR(INDEX(Setup!$G$33:$G$40,MATCH(S98,Setup!$B$33:$B$40,0)),0)=1)*(COUNTIF(S58:U75,$B98)+COUNTIF(S58:U75,$B98&amp;" ~*")&gt;0)+(IFERROR(INDEX(Setup!$G$33:$G$40,MATCH(W98,Setup!$B$33:$B$40,0)),0)=1)*(COUNTIF(W58:W75,$B98)+COUNTIF(W58:W75,$B98&amp;" ~*")&gt;0)+(IFERROR(INDEX(Setup!$G$33:$G$40,MATCH(Y98,Setup!$B$33:$B$40,0)),0)=1)*(COUNTIF(Y58:Y75,$B98)+COUNTIF(Y58:Y75,$B98&amp;" ~*")&gt;0))</f>
        <v/>
      </c>
    </row>
    <row r="99" ht="15" customHeight="1">
      <c r="A99" t="n">
        <v>2</v>
      </c>
      <c r="B99" s="35">
        <f>IF(Setup!$B$28="","",Setup!$B$28)</f>
        <v/>
      </c>
      <c r="C99" s="98" t="n"/>
      <c r="D99" s="99" t="n"/>
      <c r="E99" s="99" t="n"/>
      <c r="F99" s="100" t="n"/>
      <c r="G99" s="98" t="n"/>
      <c r="H99" s="99" t="n"/>
      <c r="I99" s="99" t="n"/>
      <c r="J99" s="100" t="n"/>
      <c r="K99" s="98" t="n"/>
      <c r="L99" s="99" t="n"/>
      <c r="M99" s="99" t="n"/>
      <c r="N99" s="100" t="n"/>
      <c r="O99" s="98" t="n"/>
      <c r="P99" s="99" t="n"/>
      <c r="Q99" s="99" t="n"/>
      <c r="R99" s="100" t="n"/>
      <c r="S99" s="98" t="n"/>
      <c r="T99" s="99" t="n"/>
      <c r="U99" s="99" t="n"/>
      <c r="V99" s="100" t="n"/>
      <c r="W99" s="98" t="n"/>
      <c r="X99" s="100" t="n"/>
      <c r="Y99" s="98" t="n"/>
      <c r="Z99" s="100" t="n"/>
      <c r="AB99" s="101">
        <f>IF($B99="","",(COUNTIF(C58:E75,$B99)+COUNTIF(C58:E75,$B99&amp;" ~*")&gt;0)+(COUNTIF(G58:I75,$B99)+COUNTIF(G58:I75,$B99&amp;" ~*")&gt;0)+(COUNTIF(K58:M75,$B99)+COUNTIF(K58:M75,$B99&amp;" ~*")&gt;0)+(COUNTIF(O58:Q75,$B99)+COUNTIF(O58:Q75,$B99&amp;" ~*")&gt;0)+(COUNTIF(S58:U75,$B99)+COUNTIF(S58:U75,$B99&amp;" ~*")&gt;0)+(COUNTIF(W58:W75,$B99)+COUNTIF(W58:W75,$B99&amp;" ~*")&gt;0)+(COUNTIF(Y58:Y75,$B99)+COUNTIF(Y58:Y75,$B99&amp;" ~*")&gt;0))</f>
        <v/>
      </c>
      <c r="AC99" s="36">
        <f>IF($B99="","",(IFERROR(INDEX(Setup!$G$33:$G$40,MATCH(C99,Setup!$B$33:$B$40,0)),0)=1)*(COUNTIF(C58:E75,$B99)+COUNTIF(C58:E75,$B99&amp;" ~*")&gt;0)+(IFERROR(INDEX(Setup!$G$33:$G$40,MATCH(G99,Setup!$B$33:$B$40,0)),0)=1)*(COUNTIF(G58:I75,$B99)+COUNTIF(G58:I75,$B99&amp;" ~*")&gt;0)+(IFERROR(INDEX(Setup!$G$33:$G$40,MATCH(K99,Setup!$B$33:$B$40,0)),0)=1)*(COUNTIF(K58:M75,$B99)+COUNTIF(K58:M75,$B99&amp;" ~*")&gt;0)+(IFERROR(INDEX(Setup!$G$33:$G$40,MATCH(O99,Setup!$B$33:$B$40,0)),0)=1)*(COUNTIF(O58:Q75,$B99)+COUNTIF(O58:Q75,$B99&amp;" ~*")&gt;0)+(IFERROR(INDEX(Setup!$G$33:$G$40,MATCH(S99,Setup!$B$33:$B$40,0)),0)=1)*(COUNTIF(S58:U75,$B99)+COUNTIF(S58:U75,$B99&amp;" ~*")&gt;0)+(IFERROR(INDEX(Setup!$G$33:$G$40,MATCH(W99,Setup!$B$33:$B$40,0)),0)=1)*(COUNTIF(W58:W75,$B99)+COUNTIF(W58:W75,$B99&amp;" ~*")&gt;0)+(IFERROR(INDEX(Setup!$G$33:$G$40,MATCH(Y99,Setup!$B$33:$B$40,0)),0)=1)*(COUNTIF(Y58:Y75,$B99)+COUNTIF(Y58:Y75,$B99&amp;" ~*")&gt;0))</f>
        <v/>
      </c>
    </row>
    <row r="100" ht="15" customHeight="1">
      <c r="A100" t="n">
        <v>2</v>
      </c>
      <c r="B100" s="37">
        <f>IF(Setup!$B$29="","",Setup!$B$29)</f>
        <v/>
      </c>
      <c r="C100" s="102" t="n"/>
      <c r="D100" s="103" t="n"/>
      <c r="E100" s="103" t="n"/>
      <c r="F100" s="104" t="n"/>
      <c r="G100" s="102" t="n"/>
      <c r="H100" s="103" t="n"/>
      <c r="I100" s="103" t="n"/>
      <c r="J100" s="104" t="n"/>
      <c r="K100" s="102" t="n"/>
      <c r="L100" s="103" t="n"/>
      <c r="M100" s="103" t="n"/>
      <c r="N100" s="104" t="n"/>
      <c r="O100" s="102" t="n"/>
      <c r="P100" s="103" t="n"/>
      <c r="Q100" s="103" t="n"/>
      <c r="R100" s="104" t="n"/>
      <c r="S100" s="102" t="n"/>
      <c r="T100" s="103" t="n"/>
      <c r="U100" s="103" t="n"/>
      <c r="V100" s="104" t="n"/>
      <c r="W100" s="102" t="n"/>
      <c r="X100" s="104" t="n"/>
      <c r="Y100" s="102" t="n"/>
      <c r="Z100" s="104" t="n"/>
      <c r="AB100" s="105">
        <f>IF($B100="","",(COUNTIF(C58:E75,$B100)+COUNTIF(C58:E75,$B100&amp;" ~*")&gt;0)+(COUNTIF(G58:I75,$B100)+COUNTIF(G58:I75,$B100&amp;" ~*")&gt;0)+(COUNTIF(K58:M75,$B100)+COUNTIF(K58:M75,$B100&amp;" ~*")&gt;0)+(COUNTIF(O58:Q75,$B100)+COUNTIF(O58:Q75,$B100&amp;" ~*")&gt;0)+(COUNTIF(S58:U75,$B100)+COUNTIF(S58:U75,$B100&amp;" ~*")&gt;0)+(COUNTIF(W58:W75,$B100)+COUNTIF(W58:W75,$B100&amp;" ~*")&gt;0)+(COUNTIF(Y58:Y75,$B100)+COUNTIF(Y58:Y75,$B100&amp;" ~*")&gt;0))</f>
        <v/>
      </c>
      <c r="AC100" s="38">
        <f>IF($B100="","",(IFERROR(INDEX(Setup!$G$33:$G$40,MATCH(C100,Setup!$B$33:$B$40,0)),0)=1)*(COUNTIF(C58:E75,$B100)+COUNTIF(C58:E75,$B100&amp;" ~*")&gt;0)+(IFERROR(INDEX(Setup!$G$33:$G$40,MATCH(G100,Setup!$B$33:$B$40,0)),0)=1)*(COUNTIF(G58:I75,$B100)+COUNTIF(G58:I75,$B100&amp;" ~*")&gt;0)+(IFERROR(INDEX(Setup!$G$33:$G$40,MATCH(K100,Setup!$B$33:$B$40,0)),0)=1)*(COUNTIF(K58:M75,$B100)+COUNTIF(K58:M75,$B100&amp;" ~*")&gt;0)+(IFERROR(INDEX(Setup!$G$33:$G$40,MATCH(O100,Setup!$B$33:$B$40,0)),0)=1)*(COUNTIF(O58:Q75,$B100)+COUNTIF(O58:Q75,$B100&amp;" ~*")&gt;0)+(IFERROR(INDEX(Setup!$G$33:$G$40,MATCH(S100,Setup!$B$33:$B$40,0)),0)=1)*(COUNTIF(S58:U75,$B100)+COUNTIF(S58:U75,$B100&amp;" ~*")&gt;0)+(IFERROR(INDEX(Setup!$G$33:$G$40,MATCH(W100,Setup!$B$33:$B$40,0)),0)=1)*(COUNTIF(W58:W75,$B100)+COUNTIF(W58:W75,$B100&amp;" ~*")&gt;0)+(IFERROR(INDEX(Setup!$G$33:$G$40,MATCH(Y100,Setup!$B$33:$B$40,0)),0)=1)*(COUNTIF(Y58:Y75,$B100)+COUNTIF(Y58:Y75,$B100&amp;" ~*")&gt;0))</f>
        <v/>
      </c>
    </row>
    <row r="101" ht="16" customHeight="1">
      <c r="A101" t="n">
        <v>2</v>
      </c>
      <c r="B101" s="106" t="inlineStr">
        <is>
          <t>Available people</t>
        </is>
      </c>
      <c r="C101" s="107">
        <f>COUNTIFS(Setup!$E$6:$E$29,"Y",Setup!$B$6:$B$29,"?*")-SUMPRODUCT(COUNTIF(C77:C100,Setup!$F$33:$F$40))</f>
        <v/>
      </c>
      <c r="D101" s="107" t="n"/>
      <c r="E101" s="107" t="n"/>
      <c r="F101" s="107" t="n"/>
      <c r="G101" s="107">
        <f>COUNTIFS(Setup!$E$6:$E$29,"Y",Setup!$B$6:$B$29,"?*")-SUMPRODUCT(COUNTIF(G77:G100,Setup!$F$33:$F$40))</f>
        <v/>
      </c>
      <c r="H101" s="107" t="n"/>
      <c r="I101" s="107" t="n"/>
      <c r="J101" s="107" t="n"/>
      <c r="K101" s="107">
        <f>COUNTIFS(Setup!$E$6:$E$29,"Y",Setup!$B$6:$B$29,"?*")-SUMPRODUCT(COUNTIF(K77:K100,Setup!$F$33:$F$40))</f>
        <v/>
      </c>
      <c r="L101" s="107" t="n"/>
      <c r="M101" s="107" t="n"/>
      <c r="N101" s="107" t="n"/>
      <c r="O101" s="107">
        <f>COUNTIFS(Setup!$E$6:$E$29,"Y",Setup!$B$6:$B$29,"?*")-SUMPRODUCT(COUNTIF(O77:O100,Setup!$F$33:$F$40))</f>
        <v/>
      </c>
      <c r="P101" s="107" t="n"/>
      <c r="Q101" s="107" t="n"/>
      <c r="R101" s="107" t="n"/>
      <c r="S101" s="107">
        <f>COUNTIFS(Setup!$E$6:$E$29,"Y",Setup!$B$6:$B$29,"?*")-SUMPRODUCT(COUNTIF(S77:S100,Setup!$F$33:$F$40))</f>
        <v/>
      </c>
      <c r="T101" s="107" t="n"/>
      <c r="U101" s="107" t="n"/>
      <c r="V101" s="107" t="n"/>
      <c r="W101" s="107">
        <f>COUNTIFS(Setup!$E$6:$E$29,"Y",Setup!$B$6:$B$29,"?*")-SUMPRODUCT(COUNTIF(W77:W100,Setup!$F$33:$F$40))</f>
        <v/>
      </c>
      <c r="X101" s="107" t="n"/>
      <c r="Y101" s="107">
        <f>COUNTIFS(Setup!$E$6:$E$29,"Y",Setup!$B$6:$B$29,"?*")-SUMPRODUCT(COUNTIF(Y77:Y100,Setup!$F$33:$F$40))</f>
        <v/>
      </c>
      <c r="Z101" s="107" t="n"/>
      <c r="AB101" s="108">
        <f>SUM(AB77:AB100)</f>
        <v/>
      </c>
      <c r="AC101" s="109">
        <f>SUM(AC77:AC100)</f>
        <v/>
      </c>
    </row>
    <row r="102" ht="30" customHeight="1">
      <c r="A102" t="n">
        <v>2</v>
      </c>
      <c r="B102" s="110" t="inlineStr">
        <is>
          <t>Week notes</t>
        </is>
      </c>
      <c r="C102" s="111" t="n"/>
      <c r="D102" s="112" t="n"/>
      <c r="E102" s="112" t="n"/>
      <c r="F102" s="112" t="n"/>
      <c r="G102" s="112" t="n"/>
      <c r="H102" s="112" t="n"/>
      <c r="I102" s="112" t="n"/>
      <c r="J102" s="112" t="n"/>
      <c r="K102" s="112" t="n"/>
      <c r="L102" s="112" t="n"/>
      <c r="M102" s="112" t="n"/>
      <c r="N102" s="112" t="n"/>
      <c r="O102" s="112" t="n"/>
      <c r="P102" s="112" t="n"/>
      <c r="Q102" s="112" t="n"/>
      <c r="R102" s="112" t="n"/>
      <c r="S102" s="112" t="n"/>
      <c r="T102" s="112" t="n"/>
      <c r="U102" s="112" t="n"/>
      <c r="V102" s="112" t="n"/>
      <c r="W102" s="112" t="n"/>
      <c r="X102" s="112" t="n"/>
      <c r="Y102" s="112" t="n"/>
      <c r="Z102" s="113" t="n"/>
    </row>
    <row r="103" ht="8" customHeight="1">
      <c r="A103" t="n">
        <v>2</v>
      </c>
    </row>
    <row r="104" ht="8" customHeight="1">
      <c r="A104" t="n">
        <v>2</v>
      </c>
    </row>
    <row r="105" ht="24" customHeight="1">
      <c r="A105" t="n">
        <v>3</v>
      </c>
      <c r="B105" s="73">
        <f>"WEEK 3     "&amp;TEXT(C106,"ddd d mmm")&amp;"  –  "&amp;TEXT(C106+6,"ddd d mmm yyyy")</f>
        <v/>
      </c>
      <c r="S105" s="74">
        <f>IF(TODAY()&lt;C106,"FUTURE",IF(TODAY()&gt;C106+6,"PAST","THIS WEEK"))</f>
        <v/>
      </c>
      <c r="W105" s="75">
        <f>IF(AND(Engine!$B$8=$AC$3,Engine!$B$9=$A105),"◀ ACTIVE WEEK","")</f>
        <v/>
      </c>
      <c r="AA105" s="76" t="n"/>
      <c r="AB105" s="77" t="inlineStr">
        <is>
          <t>◀ Prev</t>
        </is>
      </c>
      <c r="AC105" s="77" t="inlineStr">
        <is>
          <t>Next ▶</t>
        </is>
      </c>
    </row>
    <row r="106" ht="18" customHeight="1">
      <c r="A106" t="n">
        <v>3</v>
      </c>
      <c r="B106" s="78" t="inlineStr">
        <is>
          <t>DUTY</t>
        </is>
      </c>
      <c r="C106" s="79">
        <f>$AC$2+7*($A106-1)</f>
        <v/>
      </c>
      <c r="D106" s="80" t="n"/>
      <c r="E106" s="80" t="n"/>
      <c r="F106" s="81" t="n"/>
      <c r="G106" s="79">
        <f>C106+1</f>
        <v/>
      </c>
      <c r="H106" s="80" t="n"/>
      <c r="I106" s="80" t="n"/>
      <c r="J106" s="81" t="n"/>
      <c r="K106" s="79">
        <f>C106+2</f>
        <v/>
      </c>
      <c r="L106" s="80" t="n"/>
      <c r="M106" s="80" t="n"/>
      <c r="N106" s="81" t="n"/>
      <c r="O106" s="79">
        <f>C106+3</f>
        <v/>
      </c>
      <c r="P106" s="80" t="n"/>
      <c r="Q106" s="80" t="n"/>
      <c r="R106" s="81" t="n"/>
      <c r="S106" s="79">
        <f>C106+4</f>
        <v/>
      </c>
      <c r="T106" s="80" t="n"/>
      <c r="U106" s="80" t="n"/>
      <c r="V106" s="81" t="n"/>
      <c r="W106" s="82">
        <f>C106+5</f>
        <v/>
      </c>
      <c r="X106" s="83" t="n"/>
      <c r="Y106" s="82">
        <f>C106+6</f>
        <v/>
      </c>
      <c r="Z106" s="83" t="n"/>
      <c r="AB106" s="72" t="inlineStr">
        <is>
          <t>Gaps</t>
        </is>
      </c>
      <c r="AC106" s="72" t="inlineStr">
        <is>
          <t>Cover</t>
        </is>
      </c>
    </row>
    <row r="107" ht="14" customHeight="1">
      <c r="A107" t="n">
        <v>3</v>
      </c>
      <c r="B107" s="84" t="inlineStr">
        <is>
          <t>(from Setup)</t>
        </is>
      </c>
      <c r="C107" s="85" t="inlineStr">
        <is>
          <t>1</t>
        </is>
      </c>
      <c r="D107" s="85" t="inlineStr">
        <is>
          <t>2</t>
        </is>
      </c>
      <c r="E107" s="85" t="inlineStr">
        <is>
          <t>3</t>
        </is>
      </c>
      <c r="F107" s="85" t="inlineStr">
        <is>
          <t>Notes</t>
        </is>
      </c>
      <c r="G107" s="85" t="inlineStr">
        <is>
          <t>1</t>
        </is>
      </c>
      <c r="H107" s="85" t="inlineStr">
        <is>
          <t>2</t>
        </is>
      </c>
      <c r="I107" s="85" t="inlineStr">
        <is>
          <t>3</t>
        </is>
      </c>
      <c r="J107" s="85" t="inlineStr">
        <is>
          <t>Notes</t>
        </is>
      </c>
      <c r="K107" s="85" t="inlineStr">
        <is>
          <t>1</t>
        </is>
      </c>
      <c r="L107" s="85" t="inlineStr">
        <is>
          <t>2</t>
        </is>
      </c>
      <c r="M107" s="85" t="inlineStr">
        <is>
          <t>3</t>
        </is>
      </c>
      <c r="N107" s="85" t="inlineStr">
        <is>
          <t>Notes</t>
        </is>
      </c>
      <c r="O107" s="85" t="inlineStr">
        <is>
          <t>1</t>
        </is>
      </c>
      <c r="P107" s="85" t="inlineStr">
        <is>
          <t>2</t>
        </is>
      </c>
      <c r="Q107" s="85" t="inlineStr">
        <is>
          <t>3</t>
        </is>
      </c>
      <c r="R107" s="85" t="inlineStr">
        <is>
          <t>Notes</t>
        </is>
      </c>
      <c r="S107" s="85" t="inlineStr">
        <is>
          <t>1</t>
        </is>
      </c>
      <c r="T107" s="85" t="inlineStr">
        <is>
          <t>2</t>
        </is>
      </c>
      <c r="U107" s="85" t="inlineStr">
        <is>
          <t>3</t>
        </is>
      </c>
      <c r="V107" s="85" t="inlineStr">
        <is>
          <t>Notes</t>
        </is>
      </c>
      <c r="W107" s="85" t="inlineStr">
        <is>
          <t>Cover</t>
        </is>
      </c>
      <c r="X107" s="85" t="inlineStr">
        <is>
          <t>Notes</t>
        </is>
      </c>
      <c r="Y107" s="85" t="inlineStr">
        <is>
          <t>Cover</t>
        </is>
      </c>
      <c r="Z107" s="85" t="inlineStr">
        <is>
          <t>Notes</t>
        </is>
      </c>
      <c r="AB107" s="86" t="inlineStr">
        <is>
          <t>weekdays short</t>
        </is>
      </c>
      <c r="AC107" s="87" t="inlineStr"/>
    </row>
    <row r="108" ht="17" customHeight="1">
      <c r="A108" t="n">
        <v>3</v>
      </c>
      <c r="B108" s="24">
        <f>IF(Setup!$K$6="","",Setup!$K$6)</f>
        <v/>
      </c>
      <c r="C108" s="88" t="n"/>
      <c r="D108" s="88" t="n"/>
      <c r="E108" s="88" t="n"/>
      <c r="F108" s="89" t="n"/>
      <c r="G108" s="88" t="n"/>
      <c r="H108" s="88" t="n"/>
      <c r="I108" s="88" t="n"/>
      <c r="J108" s="89" t="n"/>
      <c r="K108" s="88" t="n"/>
      <c r="L108" s="88" t="n"/>
      <c r="M108" s="88" t="n"/>
      <c r="N108" s="89" t="n"/>
      <c r="O108" s="88" t="n"/>
      <c r="P108" s="88" t="n"/>
      <c r="Q108" s="88" t="n"/>
      <c r="R108" s="89" t="n"/>
      <c r="S108" s="88" t="n"/>
      <c r="T108" s="88" t="n"/>
      <c r="U108" s="88" t="n"/>
      <c r="V108" s="89" t="n"/>
      <c r="W108" s="88" t="n"/>
      <c r="X108" s="89" t="n"/>
      <c r="Y108" s="88" t="n"/>
      <c r="Z108" s="89" t="n"/>
      <c r="AB108" s="25">
        <f>IF($B108="","",(COUNTIF(C108:E108,"?*")&lt;N(INDEX(Setup!$L$6:$L$23,1)))+(COUNTIF(G108:I108,"?*")&lt;N(INDEX(Setup!$L$6:$L$23,1)))+(COUNTIF(K108:M108,"?*")&lt;N(INDEX(Setup!$L$6:$L$23,1)))+(COUNTIF(O108:Q108,"?*")&lt;N(INDEX(Setup!$L$6:$L$23,1)))+(COUNTIF(S108:U108,"?*")&lt;N(INDEX(Setup!$L$6:$L$23,1)))+((W108="")*(INDEX(Setup!$M$6:$M$23,1)="Y"))+((Y108="")*(INDEX(Setup!$M$6:$M$23,1)="Y")))</f>
        <v/>
      </c>
      <c r="AC108" s="90">
        <f>IF($B108="","",IF(AB108=0,"✓ covered","⚠ "&amp;AB108&amp;IF(AB108=1," gap"," gaps")))</f>
        <v/>
      </c>
    </row>
    <row r="109" ht="17" customHeight="1">
      <c r="A109" t="n">
        <v>3</v>
      </c>
      <c r="B109" s="29">
        <f>IF(Setup!$K$7="","",Setup!$K$7)</f>
        <v/>
      </c>
      <c r="C109" s="88" t="n"/>
      <c r="D109" s="88" t="n"/>
      <c r="E109" s="88" t="n"/>
      <c r="F109" s="89" t="n"/>
      <c r="G109" s="88" t="n"/>
      <c r="H109" s="88" t="n"/>
      <c r="I109" s="88" t="n"/>
      <c r="J109" s="89" t="n"/>
      <c r="K109" s="88" t="n"/>
      <c r="L109" s="88" t="n"/>
      <c r="M109" s="88" t="n"/>
      <c r="N109" s="89" t="n"/>
      <c r="O109" s="88" t="n"/>
      <c r="P109" s="88" t="n"/>
      <c r="Q109" s="88" t="n"/>
      <c r="R109" s="89" t="n"/>
      <c r="S109" s="88" t="n"/>
      <c r="T109" s="88" t="n"/>
      <c r="U109" s="88" t="n"/>
      <c r="V109" s="89" t="n"/>
      <c r="W109" s="88" t="n"/>
      <c r="X109" s="89" t="n"/>
      <c r="Y109" s="88" t="n"/>
      <c r="Z109" s="89" t="n"/>
      <c r="AB109" s="30">
        <f>IF($B109="","",(COUNTIF(C109:E109,"?*")&lt;N(INDEX(Setup!$L$6:$L$23,2)))+(COUNTIF(G109:I109,"?*")&lt;N(INDEX(Setup!$L$6:$L$23,2)))+(COUNTIF(K109:M109,"?*")&lt;N(INDEX(Setup!$L$6:$L$23,2)))+(COUNTIF(O109:Q109,"?*")&lt;N(INDEX(Setup!$L$6:$L$23,2)))+(COUNTIF(S109:U109,"?*")&lt;N(INDEX(Setup!$L$6:$L$23,2)))+((W109="")*(INDEX(Setup!$M$6:$M$23,2)="Y"))+((Y109="")*(INDEX(Setup!$M$6:$M$23,2)="Y")))</f>
        <v/>
      </c>
      <c r="AC109" s="91">
        <f>IF($B109="","",IF(AB109=0,"✓ covered","⚠ "&amp;AB109&amp;IF(AB109=1," gap"," gaps")))</f>
        <v/>
      </c>
    </row>
    <row r="110" ht="17" customHeight="1">
      <c r="A110" t="n">
        <v>3</v>
      </c>
      <c r="B110" s="24">
        <f>IF(Setup!$K$8="","",Setup!$K$8)</f>
        <v/>
      </c>
      <c r="C110" s="88" t="n"/>
      <c r="D110" s="88" t="n"/>
      <c r="E110" s="88" t="n"/>
      <c r="F110" s="89" t="n"/>
      <c r="G110" s="88" t="n"/>
      <c r="H110" s="88" t="n"/>
      <c r="I110" s="88" t="n"/>
      <c r="J110" s="89" t="n"/>
      <c r="K110" s="88" t="n"/>
      <c r="L110" s="88" t="n"/>
      <c r="M110" s="88" t="n"/>
      <c r="N110" s="89" t="n"/>
      <c r="O110" s="88" t="n"/>
      <c r="P110" s="88" t="n"/>
      <c r="Q110" s="88" t="n"/>
      <c r="R110" s="89" t="n"/>
      <c r="S110" s="88" t="n"/>
      <c r="T110" s="88" t="n"/>
      <c r="U110" s="88" t="n"/>
      <c r="V110" s="89" t="n"/>
      <c r="W110" s="88" t="n"/>
      <c r="X110" s="89" t="n"/>
      <c r="Y110" s="88" t="n"/>
      <c r="Z110" s="89" t="n"/>
      <c r="AB110" s="25">
        <f>IF($B110="","",(COUNTIF(C110:E110,"?*")&lt;N(INDEX(Setup!$L$6:$L$23,3)))+(COUNTIF(G110:I110,"?*")&lt;N(INDEX(Setup!$L$6:$L$23,3)))+(COUNTIF(K110:M110,"?*")&lt;N(INDEX(Setup!$L$6:$L$23,3)))+(COUNTIF(O110:Q110,"?*")&lt;N(INDEX(Setup!$L$6:$L$23,3)))+(COUNTIF(S110:U110,"?*")&lt;N(INDEX(Setup!$L$6:$L$23,3)))+((W110="")*(INDEX(Setup!$M$6:$M$23,3)="Y"))+((Y110="")*(INDEX(Setup!$M$6:$M$23,3)="Y")))</f>
        <v/>
      </c>
      <c r="AC110" s="90">
        <f>IF($B110="","",IF(AB110=0,"✓ covered","⚠ "&amp;AB110&amp;IF(AB110=1," gap"," gaps")))</f>
        <v/>
      </c>
    </row>
    <row r="111" ht="17" customHeight="1">
      <c r="A111" t="n">
        <v>3</v>
      </c>
      <c r="B111" s="29">
        <f>IF(Setup!$K$9="","",Setup!$K$9)</f>
        <v/>
      </c>
      <c r="C111" s="88" t="n"/>
      <c r="D111" s="88" t="n"/>
      <c r="E111" s="88" t="n"/>
      <c r="F111" s="89" t="n"/>
      <c r="G111" s="88" t="n"/>
      <c r="H111" s="88" t="n"/>
      <c r="I111" s="88" t="n"/>
      <c r="J111" s="89" t="n"/>
      <c r="K111" s="88" t="n"/>
      <c r="L111" s="88" t="n"/>
      <c r="M111" s="88" t="n"/>
      <c r="N111" s="89" t="n"/>
      <c r="O111" s="88" t="n"/>
      <c r="P111" s="88" t="n"/>
      <c r="Q111" s="88" t="n"/>
      <c r="R111" s="89" t="n"/>
      <c r="S111" s="88" t="n"/>
      <c r="T111" s="88" t="n"/>
      <c r="U111" s="88" t="n"/>
      <c r="V111" s="89" t="n"/>
      <c r="W111" s="88" t="n"/>
      <c r="X111" s="89" t="n"/>
      <c r="Y111" s="88" t="n"/>
      <c r="Z111" s="89" t="n"/>
      <c r="AB111" s="30">
        <f>IF($B111="","",(COUNTIF(C111:E111,"?*")&lt;N(INDEX(Setup!$L$6:$L$23,4)))+(COUNTIF(G111:I111,"?*")&lt;N(INDEX(Setup!$L$6:$L$23,4)))+(COUNTIF(K111:M111,"?*")&lt;N(INDEX(Setup!$L$6:$L$23,4)))+(COUNTIF(O111:Q111,"?*")&lt;N(INDEX(Setup!$L$6:$L$23,4)))+(COUNTIF(S111:U111,"?*")&lt;N(INDEX(Setup!$L$6:$L$23,4)))+((W111="")*(INDEX(Setup!$M$6:$M$23,4)="Y"))+((Y111="")*(INDEX(Setup!$M$6:$M$23,4)="Y")))</f>
        <v/>
      </c>
      <c r="AC111" s="91">
        <f>IF($B111="","",IF(AB111=0,"✓ covered","⚠ "&amp;AB111&amp;IF(AB111=1," gap"," gaps")))</f>
        <v/>
      </c>
    </row>
    <row r="112" ht="17" customHeight="1">
      <c r="A112" t="n">
        <v>3</v>
      </c>
      <c r="B112" s="24">
        <f>IF(Setup!$K$10="","",Setup!$K$10)</f>
        <v/>
      </c>
      <c r="C112" s="88" t="n"/>
      <c r="D112" s="88" t="n"/>
      <c r="E112" s="88" t="n"/>
      <c r="F112" s="89" t="n"/>
      <c r="G112" s="88" t="n"/>
      <c r="H112" s="88" t="n"/>
      <c r="I112" s="88" t="n"/>
      <c r="J112" s="89" t="n"/>
      <c r="K112" s="88" t="n"/>
      <c r="L112" s="88" t="n"/>
      <c r="M112" s="88" t="n"/>
      <c r="N112" s="89" t="n"/>
      <c r="O112" s="88" t="n"/>
      <c r="P112" s="88" t="n"/>
      <c r="Q112" s="88" t="n"/>
      <c r="R112" s="89" t="n"/>
      <c r="S112" s="88" t="n"/>
      <c r="T112" s="88" t="n"/>
      <c r="U112" s="88" t="n"/>
      <c r="V112" s="89" t="n"/>
      <c r="W112" s="88" t="n"/>
      <c r="X112" s="89" t="n"/>
      <c r="Y112" s="88" t="n"/>
      <c r="Z112" s="89" t="n"/>
      <c r="AB112" s="25">
        <f>IF($B112="","",(COUNTIF(C112:E112,"?*")&lt;N(INDEX(Setup!$L$6:$L$23,5)))+(COUNTIF(G112:I112,"?*")&lt;N(INDEX(Setup!$L$6:$L$23,5)))+(COUNTIF(K112:M112,"?*")&lt;N(INDEX(Setup!$L$6:$L$23,5)))+(COUNTIF(O112:Q112,"?*")&lt;N(INDEX(Setup!$L$6:$L$23,5)))+(COUNTIF(S112:U112,"?*")&lt;N(INDEX(Setup!$L$6:$L$23,5)))+((W112="")*(INDEX(Setup!$M$6:$M$23,5)="Y"))+((Y112="")*(INDEX(Setup!$M$6:$M$23,5)="Y")))</f>
        <v/>
      </c>
      <c r="AC112" s="90">
        <f>IF($B112="","",IF(AB112=0,"✓ covered","⚠ "&amp;AB112&amp;IF(AB112=1," gap"," gaps")))</f>
        <v/>
      </c>
    </row>
    <row r="113" ht="17" customHeight="1">
      <c r="A113" t="n">
        <v>3</v>
      </c>
      <c r="B113" s="29">
        <f>IF(Setup!$K$11="","",Setup!$K$11)</f>
        <v/>
      </c>
      <c r="C113" s="88" t="n"/>
      <c r="D113" s="88" t="n"/>
      <c r="E113" s="88" t="n"/>
      <c r="F113" s="89" t="n"/>
      <c r="G113" s="88" t="n"/>
      <c r="H113" s="88" t="n"/>
      <c r="I113" s="88" t="n"/>
      <c r="J113" s="89" t="n"/>
      <c r="K113" s="88" t="n"/>
      <c r="L113" s="88" t="n"/>
      <c r="M113" s="88" t="n"/>
      <c r="N113" s="89" t="n"/>
      <c r="O113" s="88" t="n"/>
      <c r="P113" s="88" t="n"/>
      <c r="Q113" s="88" t="n"/>
      <c r="R113" s="89" t="n"/>
      <c r="S113" s="88" t="n"/>
      <c r="T113" s="88" t="n"/>
      <c r="U113" s="88" t="n"/>
      <c r="V113" s="89" t="n"/>
      <c r="W113" s="88" t="n"/>
      <c r="X113" s="89" t="n"/>
      <c r="Y113" s="88" t="n"/>
      <c r="Z113" s="89" t="n"/>
      <c r="AB113" s="30">
        <f>IF($B113="","",(COUNTIF(C113:E113,"?*")&lt;N(INDEX(Setup!$L$6:$L$23,6)))+(COUNTIF(G113:I113,"?*")&lt;N(INDEX(Setup!$L$6:$L$23,6)))+(COUNTIF(K113:M113,"?*")&lt;N(INDEX(Setup!$L$6:$L$23,6)))+(COUNTIF(O113:Q113,"?*")&lt;N(INDEX(Setup!$L$6:$L$23,6)))+(COUNTIF(S113:U113,"?*")&lt;N(INDEX(Setup!$L$6:$L$23,6)))+((W113="")*(INDEX(Setup!$M$6:$M$23,6)="Y"))+((Y113="")*(INDEX(Setup!$M$6:$M$23,6)="Y")))</f>
        <v/>
      </c>
      <c r="AC113" s="91">
        <f>IF($B113="","",IF(AB113=0,"✓ covered","⚠ "&amp;AB113&amp;IF(AB113=1," gap"," gaps")))</f>
        <v/>
      </c>
    </row>
    <row r="114" ht="17" customHeight="1">
      <c r="A114" t="n">
        <v>3</v>
      </c>
      <c r="B114" s="24">
        <f>IF(Setup!$K$12="","",Setup!$K$12)</f>
        <v/>
      </c>
      <c r="C114" s="88" t="n"/>
      <c r="D114" s="88" t="n"/>
      <c r="E114" s="88" t="n"/>
      <c r="F114" s="89" t="n"/>
      <c r="G114" s="88" t="n"/>
      <c r="H114" s="88" t="n"/>
      <c r="I114" s="88" t="n"/>
      <c r="J114" s="89" t="n"/>
      <c r="K114" s="88" t="n"/>
      <c r="L114" s="88" t="n"/>
      <c r="M114" s="88" t="n"/>
      <c r="N114" s="89" t="n"/>
      <c r="O114" s="88" t="n"/>
      <c r="P114" s="88" t="n"/>
      <c r="Q114" s="88" t="n"/>
      <c r="R114" s="89" t="n"/>
      <c r="S114" s="88" t="n"/>
      <c r="T114" s="88" t="n"/>
      <c r="U114" s="88" t="n"/>
      <c r="V114" s="89" t="n"/>
      <c r="W114" s="88" t="n"/>
      <c r="X114" s="89" t="n"/>
      <c r="Y114" s="88" t="n"/>
      <c r="Z114" s="89" t="n"/>
      <c r="AB114" s="25">
        <f>IF($B114="","",(COUNTIF(C114:E114,"?*")&lt;N(INDEX(Setup!$L$6:$L$23,7)))+(COUNTIF(G114:I114,"?*")&lt;N(INDEX(Setup!$L$6:$L$23,7)))+(COUNTIF(K114:M114,"?*")&lt;N(INDEX(Setup!$L$6:$L$23,7)))+(COUNTIF(O114:Q114,"?*")&lt;N(INDEX(Setup!$L$6:$L$23,7)))+(COUNTIF(S114:U114,"?*")&lt;N(INDEX(Setup!$L$6:$L$23,7)))+((W114="")*(INDEX(Setup!$M$6:$M$23,7)="Y"))+((Y114="")*(INDEX(Setup!$M$6:$M$23,7)="Y")))</f>
        <v/>
      </c>
      <c r="AC114" s="90">
        <f>IF($B114="","",IF(AB114=0,"✓ covered","⚠ "&amp;AB114&amp;IF(AB114=1," gap"," gaps")))</f>
        <v/>
      </c>
    </row>
    <row r="115" ht="17" customHeight="1">
      <c r="A115" t="n">
        <v>3</v>
      </c>
      <c r="B115" s="29">
        <f>IF(Setup!$K$13="","",Setup!$K$13)</f>
        <v/>
      </c>
      <c r="C115" s="88" t="n"/>
      <c r="D115" s="88" t="n"/>
      <c r="E115" s="88" t="n"/>
      <c r="F115" s="89" t="n"/>
      <c r="G115" s="88" t="n"/>
      <c r="H115" s="88" t="n"/>
      <c r="I115" s="88" t="n"/>
      <c r="J115" s="89" t="n"/>
      <c r="K115" s="88" t="n"/>
      <c r="L115" s="88" t="n"/>
      <c r="M115" s="88" t="n"/>
      <c r="N115" s="89" t="n"/>
      <c r="O115" s="88" t="n"/>
      <c r="P115" s="88" t="n"/>
      <c r="Q115" s="88" t="n"/>
      <c r="R115" s="89" t="n"/>
      <c r="S115" s="88" t="n"/>
      <c r="T115" s="88" t="n"/>
      <c r="U115" s="88" t="n"/>
      <c r="V115" s="89" t="n"/>
      <c r="W115" s="88" t="n"/>
      <c r="X115" s="89" t="n"/>
      <c r="Y115" s="88" t="n"/>
      <c r="Z115" s="89" t="n"/>
      <c r="AB115" s="30">
        <f>IF($B115="","",(COUNTIF(C115:E115,"?*")&lt;N(INDEX(Setup!$L$6:$L$23,8)))+(COUNTIF(G115:I115,"?*")&lt;N(INDEX(Setup!$L$6:$L$23,8)))+(COUNTIF(K115:M115,"?*")&lt;N(INDEX(Setup!$L$6:$L$23,8)))+(COUNTIF(O115:Q115,"?*")&lt;N(INDEX(Setup!$L$6:$L$23,8)))+(COUNTIF(S115:U115,"?*")&lt;N(INDEX(Setup!$L$6:$L$23,8)))+((W115="")*(INDEX(Setup!$M$6:$M$23,8)="Y"))+((Y115="")*(INDEX(Setup!$M$6:$M$23,8)="Y")))</f>
        <v/>
      </c>
      <c r="AC115" s="91">
        <f>IF($B115="","",IF(AB115=0,"✓ covered","⚠ "&amp;AB115&amp;IF(AB115=1," gap"," gaps")))</f>
        <v/>
      </c>
    </row>
    <row r="116" ht="17" customHeight="1">
      <c r="A116" t="n">
        <v>3</v>
      </c>
      <c r="B116" s="24">
        <f>IF(Setup!$K$14="","",Setup!$K$14)</f>
        <v/>
      </c>
      <c r="C116" s="88" t="n"/>
      <c r="D116" s="88" t="n"/>
      <c r="E116" s="88" t="n"/>
      <c r="F116" s="89" t="n"/>
      <c r="G116" s="88" t="n"/>
      <c r="H116" s="88" t="n"/>
      <c r="I116" s="88" t="n"/>
      <c r="J116" s="89" t="n"/>
      <c r="K116" s="88" t="n"/>
      <c r="L116" s="88" t="n"/>
      <c r="M116" s="88" t="n"/>
      <c r="N116" s="89" t="n"/>
      <c r="O116" s="88" t="n"/>
      <c r="P116" s="88" t="n"/>
      <c r="Q116" s="88" t="n"/>
      <c r="R116" s="89" t="n"/>
      <c r="S116" s="88" t="n"/>
      <c r="T116" s="88" t="n"/>
      <c r="U116" s="88" t="n"/>
      <c r="V116" s="89" t="n"/>
      <c r="W116" s="88" t="n"/>
      <c r="X116" s="89" t="n"/>
      <c r="Y116" s="88" t="n"/>
      <c r="Z116" s="89" t="n"/>
      <c r="AB116" s="25">
        <f>IF($B116="","",(COUNTIF(C116:E116,"?*")&lt;N(INDEX(Setup!$L$6:$L$23,9)))+(COUNTIF(G116:I116,"?*")&lt;N(INDEX(Setup!$L$6:$L$23,9)))+(COUNTIF(K116:M116,"?*")&lt;N(INDEX(Setup!$L$6:$L$23,9)))+(COUNTIF(O116:Q116,"?*")&lt;N(INDEX(Setup!$L$6:$L$23,9)))+(COUNTIF(S116:U116,"?*")&lt;N(INDEX(Setup!$L$6:$L$23,9)))+((W116="")*(INDEX(Setup!$M$6:$M$23,9)="Y"))+((Y116="")*(INDEX(Setup!$M$6:$M$23,9)="Y")))</f>
        <v/>
      </c>
      <c r="AC116" s="90">
        <f>IF($B116="","",IF(AB116=0,"✓ covered","⚠ "&amp;AB116&amp;IF(AB116=1," gap"," gaps")))</f>
        <v/>
      </c>
    </row>
    <row r="117" ht="17" customHeight="1">
      <c r="A117" t="n">
        <v>3</v>
      </c>
      <c r="B117" s="29">
        <f>IF(Setup!$K$15="","",Setup!$K$15)</f>
        <v/>
      </c>
      <c r="C117" s="88" t="n"/>
      <c r="D117" s="88" t="n"/>
      <c r="E117" s="88" t="n"/>
      <c r="F117" s="89" t="n"/>
      <c r="G117" s="88" t="n"/>
      <c r="H117" s="88" t="n"/>
      <c r="I117" s="88" t="n"/>
      <c r="J117" s="89" t="n"/>
      <c r="K117" s="88" t="n"/>
      <c r="L117" s="88" t="n"/>
      <c r="M117" s="88" t="n"/>
      <c r="N117" s="89" t="n"/>
      <c r="O117" s="88" t="n"/>
      <c r="P117" s="88" t="n"/>
      <c r="Q117" s="88" t="n"/>
      <c r="R117" s="89" t="n"/>
      <c r="S117" s="88" t="n"/>
      <c r="T117" s="88" t="n"/>
      <c r="U117" s="88" t="n"/>
      <c r="V117" s="89" t="n"/>
      <c r="W117" s="88" t="n"/>
      <c r="X117" s="89" t="n"/>
      <c r="Y117" s="88" t="n"/>
      <c r="Z117" s="89" t="n"/>
      <c r="AB117" s="30">
        <f>IF($B117="","",(COUNTIF(C117:E117,"?*")&lt;N(INDEX(Setup!$L$6:$L$23,10)))+(COUNTIF(G117:I117,"?*")&lt;N(INDEX(Setup!$L$6:$L$23,10)))+(COUNTIF(K117:M117,"?*")&lt;N(INDEX(Setup!$L$6:$L$23,10)))+(COUNTIF(O117:Q117,"?*")&lt;N(INDEX(Setup!$L$6:$L$23,10)))+(COUNTIF(S117:U117,"?*")&lt;N(INDEX(Setup!$L$6:$L$23,10)))+((W117="")*(INDEX(Setup!$M$6:$M$23,10)="Y"))+((Y117="")*(INDEX(Setup!$M$6:$M$23,10)="Y")))</f>
        <v/>
      </c>
      <c r="AC117" s="91">
        <f>IF($B117="","",IF(AB117=0,"✓ covered","⚠ "&amp;AB117&amp;IF(AB117=1," gap"," gaps")))</f>
        <v/>
      </c>
    </row>
    <row r="118" ht="17" customHeight="1">
      <c r="A118" t="n">
        <v>3</v>
      </c>
      <c r="B118" s="24">
        <f>IF(Setup!$K$16="","",Setup!$K$16)</f>
        <v/>
      </c>
      <c r="C118" s="88" t="n"/>
      <c r="D118" s="88" t="n"/>
      <c r="E118" s="88" t="n"/>
      <c r="F118" s="89" t="n"/>
      <c r="G118" s="88" t="n"/>
      <c r="H118" s="88" t="n"/>
      <c r="I118" s="88" t="n"/>
      <c r="J118" s="89" t="n"/>
      <c r="K118" s="88" t="n"/>
      <c r="L118" s="88" t="n"/>
      <c r="M118" s="88" t="n"/>
      <c r="N118" s="89" t="n"/>
      <c r="O118" s="88" t="n"/>
      <c r="P118" s="88" t="n"/>
      <c r="Q118" s="88" t="n"/>
      <c r="R118" s="89" t="n"/>
      <c r="S118" s="88" t="n"/>
      <c r="T118" s="88" t="n"/>
      <c r="U118" s="88" t="n"/>
      <c r="V118" s="89" t="n"/>
      <c r="W118" s="88" t="n"/>
      <c r="X118" s="89" t="n"/>
      <c r="Y118" s="88" t="n"/>
      <c r="Z118" s="89" t="n"/>
      <c r="AB118" s="25">
        <f>IF($B118="","",(COUNTIF(C118:E118,"?*")&lt;N(INDEX(Setup!$L$6:$L$23,11)))+(COUNTIF(G118:I118,"?*")&lt;N(INDEX(Setup!$L$6:$L$23,11)))+(COUNTIF(K118:M118,"?*")&lt;N(INDEX(Setup!$L$6:$L$23,11)))+(COUNTIF(O118:Q118,"?*")&lt;N(INDEX(Setup!$L$6:$L$23,11)))+(COUNTIF(S118:U118,"?*")&lt;N(INDEX(Setup!$L$6:$L$23,11)))+((W118="")*(INDEX(Setup!$M$6:$M$23,11)="Y"))+((Y118="")*(INDEX(Setup!$M$6:$M$23,11)="Y")))</f>
        <v/>
      </c>
      <c r="AC118" s="90">
        <f>IF($B118="","",IF(AB118=0,"✓ covered","⚠ "&amp;AB118&amp;IF(AB118=1," gap"," gaps")))</f>
        <v/>
      </c>
    </row>
    <row r="119" ht="17" customHeight="1">
      <c r="A119" t="n">
        <v>3</v>
      </c>
      <c r="B119" s="29">
        <f>IF(Setup!$K$17="","",Setup!$K$17)</f>
        <v/>
      </c>
      <c r="C119" s="88" t="n"/>
      <c r="D119" s="88" t="n"/>
      <c r="E119" s="88" t="n"/>
      <c r="F119" s="89" t="n"/>
      <c r="G119" s="88" t="n"/>
      <c r="H119" s="88" t="n"/>
      <c r="I119" s="88" t="n"/>
      <c r="J119" s="89" t="n"/>
      <c r="K119" s="88" t="n"/>
      <c r="L119" s="88" t="n"/>
      <c r="M119" s="88" t="n"/>
      <c r="N119" s="89" t="n"/>
      <c r="O119" s="88" t="n"/>
      <c r="P119" s="88" t="n"/>
      <c r="Q119" s="88" t="n"/>
      <c r="R119" s="89" t="n"/>
      <c r="S119" s="88" t="n"/>
      <c r="T119" s="88" t="n"/>
      <c r="U119" s="88" t="n"/>
      <c r="V119" s="89" t="n"/>
      <c r="W119" s="88" t="n"/>
      <c r="X119" s="89" t="n"/>
      <c r="Y119" s="88" t="n"/>
      <c r="Z119" s="89" t="n"/>
      <c r="AB119" s="30">
        <f>IF($B119="","",(COUNTIF(C119:E119,"?*")&lt;N(INDEX(Setup!$L$6:$L$23,12)))+(COUNTIF(G119:I119,"?*")&lt;N(INDEX(Setup!$L$6:$L$23,12)))+(COUNTIF(K119:M119,"?*")&lt;N(INDEX(Setup!$L$6:$L$23,12)))+(COUNTIF(O119:Q119,"?*")&lt;N(INDEX(Setup!$L$6:$L$23,12)))+(COUNTIF(S119:U119,"?*")&lt;N(INDEX(Setup!$L$6:$L$23,12)))+((W119="")*(INDEX(Setup!$M$6:$M$23,12)="Y"))+((Y119="")*(INDEX(Setup!$M$6:$M$23,12)="Y")))</f>
        <v/>
      </c>
      <c r="AC119" s="91">
        <f>IF($B119="","",IF(AB119=0,"✓ covered","⚠ "&amp;AB119&amp;IF(AB119=1," gap"," gaps")))</f>
        <v/>
      </c>
    </row>
    <row r="120" ht="17" customHeight="1">
      <c r="A120" t="n">
        <v>3</v>
      </c>
      <c r="B120" s="24">
        <f>IF(Setup!$K$18="","",Setup!$K$18)</f>
        <v/>
      </c>
      <c r="C120" s="88" t="n"/>
      <c r="D120" s="88" t="n"/>
      <c r="E120" s="88" t="n"/>
      <c r="F120" s="89" t="n"/>
      <c r="G120" s="88" t="n"/>
      <c r="H120" s="88" t="n"/>
      <c r="I120" s="88" t="n"/>
      <c r="J120" s="89" t="n"/>
      <c r="K120" s="88" t="n"/>
      <c r="L120" s="88" t="n"/>
      <c r="M120" s="88" t="n"/>
      <c r="N120" s="89" t="n"/>
      <c r="O120" s="88" t="n"/>
      <c r="P120" s="88" t="n"/>
      <c r="Q120" s="88" t="n"/>
      <c r="R120" s="89" t="n"/>
      <c r="S120" s="88" t="n"/>
      <c r="T120" s="88" t="n"/>
      <c r="U120" s="88" t="n"/>
      <c r="V120" s="89" t="n"/>
      <c r="W120" s="88" t="n"/>
      <c r="X120" s="89" t="n"/>
      <c r="Y120" s="88" t="n"/>
      <c r="Z120" s="89" t="n"/>
      <c r="AB120" s="25">
        <f>IF($B120="","",(COUNTIF(C120:E120,"?*")&lt;N(INDEX(Setup!$L$6:$L$23,13)))+(COUNTIF(G120:I120,"?*")&lt;N(INDEX(Setup!$L$6:$L$23,13)))+(COUNTIF(K120:M120,"?*")&lt;N(INDEX(Setup!$L$6:$L$23,13)))+(COUNTIF(O120:Q120,"?*")&lt;N(INDEX(Setup!$L$6:$L$23,13)))+(COUNTIF(S120:U120,"?*")&lt;N(INDEX(Setup!$L$6:$L$23,13)))+((W120="")*(INDEX(Setup!$M$6:$M$23,13)="Y"))+((Y120="")*(INDEX(Setup!$M$6:$M$23,13)="Y")))</f>
        <v/>
      </c>
      <c r="AC120" s="90">
        <f>IF($B120="","",IF(AB120=0,"✓ covered","⚠ "&amp;AB120&amp;IF(AB120=1," gap"," gaps")))</f>
        <v/>
      </c>
    </row>
    <row r="121" ht="17" customHeight="1">
      <c r="A121" t="n">
        <v>3</v>
      </c>
      <c r="B121" s="29">
        <f>IF(Setup!$K$19="","",Setup!$K$19)</f>
        <v/>
      </c>
      <c r="C121" s="88" t="n"/>
      <c r="D121" s="88" t="n"/>
      <c r="E121" s="88" t="n"/>
      <c r="F121" s="89" t="n"/>
      <c r="G121" s="88" t="n"/>
      <c r="H121" s="88" t="n"/>
      <c r="I121" s="88" t="n"/>
      <c r="J121" s="89" t="n"/>
      <c r="K121" s="88" t="n"/>
      <c r="L121" s="88" t="n"/>
      <c r="M121" s="88" t="n"/>
      <c r="N121" s="89" t="n"/>
      <c r="O121" s="88" t="n"/>
      <c r="P121" s="88" t="n"/>
      <c r="Q121" s="88" t="n"/>
      <c r="R121" s="89" t="n"/>
      <c r="S121" s="88" t="n"/>
      <c r="T121" s="88" t="n"/>
      <c r="U121" s="88" t="n"/>
      <c r="V121" s="89" t="n"/>
      <c r="W121" s="88" t="n"/>
      <c r="X121" s="89" t="n"/>
      <c r="Y121" s="88" t="n"/>
      <c r="Z121" s="89" t="n"/>
      <c r="AB121" s="30">
        <f>IF($B121="","",(COUNTIF(C121:E121,"?*")&lt;N(INDEX(Setup!$L$6:$L$23,14)))+(COUNTIF(G121:I121,"?*")&lt;N(INDEX(Setup!$L$6:$L$23,14)))+(COUNTIF(K121:M121,"?*")&lt;N(INDEX(Setup!$L$6:$L$23,14)))+(COUNTIF(O121:Q121,"?*")&lt;N(INDEX(Setup!$L$6:$L$23,14)))+(COUNTIF(S121:U121,"?*")&lt;N(INDEX(Setup!$L$6:$L$23,14)))+((W121="")*(INDEX(Setup!$M$6:$M$23,14)="Y"))+((Y121="")*(INDEX(Setup!$M$6:$M$23,14)="Y")))</f>
        <v/>
      </c>
      <c r="AC121" s="91">
        <f>IF($B121="","",IF(AB121=0,"✓ covered","⚠ "&amp;AB121&amp;IF(AB121=1," gap"," gaps")))</f>
        <v/>
      </c>
    </row>
    <row r="122" ht="17" customHeight="1">
      <c r="A122" t="n">
        <v>3</v>
      </c>
      <c r="B122" s="24">
        <f>IF(Setup!$K$20="","",Setup!$K$20)</f>
        <v/>
      </c>
      <c r="C122" s="88" t="n"/>
      <c r="D122" s="88" t="n"/>
      <c r="E122" s="88" t="n"/>
      <c r="F122" s="89" t="n"/>
      <c r="G122" s="88" t="n"/>
      <c r="H122" s="88" t="n"/>
      <c r="I122" s="88" t="n"/>
      <c r="J122" s="89" t="n"/>
      <c r="K122" s="88" t="n"/>
      <c r="L122" s="88" t="n"/>
      <c r="M122" s="88" t="n"/>
      <c r="N122" s="89" t="n"/>
      <c r="O122" s="88" t="n"/>
      <c r="P122" s="88" t="n"/>
      <c r="Q122" s="88" t="n"/>
      <c r="R122" s="89" t="n"/>
      <c r="S122" s="88" t="n"/>
      <c r="T122" s="88" t="n"/>
      <c r="U122" s="88" t="n"/>
      <c r="V122" s="89" t="n"/>
      <c r="W122" s="88" t="n"/>
      <c r="X122" s="89" t="n"/>
      <c r="Y122" s="88" t="n"/>
      <c r="Z122" s="89" t="n"/>
      <c r="AB122" s="25">
        <f>IF($B122="","",(COUNTIF(C122:E122,"?*")&lt;N(INDEX(Setup!$L$6:$L$23,15)))+(COUNTIF(G122:I122,"?*")&lt;N(INDEX(Setup!$L$6:$L$23,15)))+(COUNTIF(K122:M122,"?*")&lt;N(INDEX(Setup!$L$6:$L$23,15)))+(COUNTIF(O122:Q122,"?*")&lt;N(INDEX(Setup!$L$6:$L$23,15)))+(COUNTIF(S122:U122,"?*")&lt;N(INDEX(Setup!$L$6:$L$23,15)))+((W122="")*(INDEX(Setup!$M$6:$M$23,15)="Y"))+((Y122="")*(INDEX(Setup!$M$6:$M$23,15)="Y")))</f>
        <v/>
      </c>
      <c r="AC122" s="90">
        <f>IF($B122="","",IF(AB122=0,"✓ covered","⚠ "&amp;AB122&amp;IF(AB122=1," gap"," gaps")))</f>
        <v/>
      </c>
    </row>
    <row r="123" ht="17" customHeight="1">
      <c r="A123" t="n">
        <v>3</v>
      </c>
      <c r="B123" s="29">
        <f>IF(Setup!$K$21="","",Setup!$K$21)</f>
        <v/>
      </c>
      <c r="C123" s="88" t="n"/>
      <c r="D123" s="88" t="n"/>
      <c r="E123" s="88" t="n"/>
      <c r="F123" s="89" t="n"/>
      <c r="G123" s="88" t="n"/>
      <c r="H123" s="88" t="n"/>
      <c r="I123" s="88" t="n"/>
      <c r="J123" s="89" t="n"/>
      <c r="K123" s="88" t="n"/>
      <c r="L123" s="88" t="n"/>
      <c r="M123" s="88" t="n"/>
      <c r="N123" s="89" t="n"/>
      <c r="O123" s="88" t="n"/>
      <c r="P123" s="88" t="n"/>
      <c r="Q123" s="88" t="n"/>
      <c r="R123" s="89" t="n"/>
      <c r="S123" s="88" t="n"/>
      <c r="T123" s="88" t="n"/>
      <c r="U123" s="88" t="n"/>
      <c r="V123" s="89" t="n"/>
      <c r="W123" s="88" t="n"/>
      <c r="X123" s="89" t="n"/>
      <c r="Y123" s="88" t="n"/>
      <c r="Z123" s="89" t="n"/>
      <c r="AB123" s="30">
        <f>IF($B123="","",(COUNTIF(C123:E123,"?*")&lt;N(INDEX(Setup!$L$6:$L$23,16)))+(COUNTIF(G123:I123,"?*")&lt;N(INDEX(Setup!$L$6:$L$23,16)))+(COUNTIF(K123:M123,"?*")&lt;N(INDEX(Setup!$L$6:$L$23,16)))+(COUNTIF(O123:Q123,"?*")&lt;N(INDEX(Setup!$L$6:$L$23,16)))+(COUNTIF(S123:U123,"?*")&lt;N(INDEX(Setup!$L$6:$L$23,16)))+((W123="")*(INDEX(Setup!$M$6:$M$23,16)="Y"))+((Y123="")*(INDEX(Setup!$M$6:$M$23,16)="Y")))</f>
        <v/>
      </c>
      <c r="AC123" s="91">
        <f>IF($B123="","",IF(AB123=0,"✓ covered","⚠ "&amp;AB123&amp;IF(AB123=1," gap"," gaps")))</f>
        <v/>
      </c>
    </row>
    <row r="124" ht="17" customHeight="1">
      <c r="A124" t="n">
        <v>3</v>
      </c>
      <c r="B124" s="24">
        <f>IF(Setup!$K$22="","",Setup!$K$22)</f>
        <v/>
      </c>
      <c r="C124" s="88" t="n"/>
      <c r="D124" s="88" t="n"/>
      <c r="E124" s="88" t="n"/>
      <c r="F124" s="89" t="n"/>
      <c r="G124" s="88" t="n"/>
      <c r="H124" s="88" t="n"/>
      <c r="I124" s="88" t="n"/>
      <c r="J124" s="89" t="n"/>
      <c r="K124" s="88" t="n"/>
      <c r="L124" s="88" t="n"/>
      <c r="M124" s="88" t="n"/>
      <c r="N124" s="89" t="n"/>
      <c r="O124" s="88" t="n"/>
      <c r="P124" s="88" t="n"/>
      <c r="Q124" s="88" t="n"/>
      <c r="R124" s="89" t="n"/>
      <c r="S124" s="88" t="n"/>
      <c r="T124" s="88" t="n"/>
      <c r="U124" s="88" t="n"/>
      <c r="V124" s="89" t="n"/>
      <c r="W124" s="88" t="n"/>
      <c r="X124" s="89" t="n"/>
      <c r="Y124" s="88" t="n"/>
      <c r="Z124" s="89" t="n"/>
      <c r="AB124" s="25">
        <f>IF($B124="","",(COUNTIF(C124:E124,"?*")&lt;N(INDEX(Setup!$L$6:$L$23,17)))+(COUNTIF(G124:I124,"?*")&lt;N(INDEX(Setup!$L$6:$L$23,17)))+(COUNTIF(K124:M124,"?*")&lt;N(INDEX(Setup!$L$6:$L$23,17)))+(COUNTIF(O124:Q124,"?*")&lt;N(INDEX(Setup!$L$6:$L$23,17)))+(COUNTIF(S124:U124,"?*")&lt;N(INDEX(Setup!$L$6:$L$23,17)))+((W124="")*(INDEX(Setup!$M$6:$M$23,17)="Y"))+((Y124="")*(INDEX(Setup!$M$6:$M$23,17)="Y")))</f>
        <v/>
      </c>
      <c r="AC124" s="90">
        <f>IF($B124="","",IF(AB124=0,"✓ covered","⚠ "&amp;AB124&amp;IF(AB124=1," gap"," gaps")))</f>
        <v/>
      </c>
    </row>
    <row r="125" ht="17" customHeight="1">
      <c r="A125" t="n">
        <v>3</v>
      </c>
      <c r="B125" s="29">
        <f>IF(Setup!$K$23="","",Setup!$K$23)</f>
        <v/>
      </c>
      <c r="C125" s="88" t="n"/>
      <c r="D125" s="88" t="n"/>
      <c r="E125" s="88" t="n"/>
      <c r="F125" s="89" t="n"/>
      <c r="G125" s="88" t="n"/>
      <c r="H125" s="88" t="n"/>
      <c r="I125" s="88" t="n"/>
      <c r="J125" s="89" t="n"/>
      <c r="K125" s="88" t="n"/>
      <c r="L125" s="88" t="n"/>
      <c r="M125" s="88" t="n"/>
      <c r="N125" s="89" t="n"/>
      <c r="O125" s="88" t="n"/>
      <c r="P125" s="88" t="n"/>
      <c r="Q125" s="88" t="n"/>
      <c r="R125" s="89" t="n"/>
      <c r="S125" s="88" t="n"/>
      <c r="T125" s="88" t="n"/>
      <c r="U125" s="88" t="n"/>
      <c r="V125" s="89" t="n"/>
      <c r="W125" s="88" t="n"/>
      <c r="X125" s="89" t="n"/>
      <c r="Y125" s="88" t="n"/>
      <c r="Z125" s="89" t="n"/>
      <c r="AB125" s="30">
        <f>IF($B125="","",(COUNTIF(C125:E125,"?*")&lt;N(INDEX(Setup!$L$6:$L$23,18)))+(COUNTIF(G125:I125,"?*")&lt;N(INDEX(Setup!$L$6:$L$23,18)))+(COUNTIF(K125:M125,"?*")&lt;N(INDEX(Setup!$L$6:$L$23,18)))+(COUNTIF(O125:Q125,"?*")&lt;N(INDEX(Setup!$L$6:$L$23,18)))+(COUNTIF(S125:U125,"?*")&lt;N(INDEX(Setup!$L$6:$L$23,18)))+((W125="")*(INDEX(Setup!$M$6:$M$23,18)="Y"))+((Y125="")*(INDEX(Setup!$M$6:$M$23,18)="Y")))</f>
        <v/>
      </c>
      <c r="AC125" s="91">
        <f>IF($B125="","",IF(AB125=0,"✓ covered","⚠ "&amp;AB125&amp;IF(AB125=1," gap"," gaps")))</f>
        <v/>
      </c>
    </row>
    <row r="126" ht="18" customHeight="1">
      <c r="A126" t="n">
        <v>3</v>
      </c>
      <c r="B126" s="78" t="inlineStr">
        <is>
          <t>TEAM AVAILABILITY</t>
        </is>
      </c>
      <c r="C126" s="92" t="inlineStr">
        <is>
          <t>Mon</t>
        </is>
      </c>
      <c r="D126" s="93" t="n"/>
      <c r="E126" s="93" t="n"/>
      <c r="F126" s="94" t="n"/>
      <c r="G126" s="92" t="inlineStr">
        <is>
          <t>Tue</t>
        </is>
      </c>
      <c r="H126" s="93" t="n"/>
      <c r="I126" s="93" t="n"/>
      <c r="J126" s="94" t="n"/>
      <c r="K126" s="92" t="inlineStr">
        <is>
          <t>Wed</t>
        </is>
      </c>
      <c r="L126" s="93" t="n"/>
      <c r="M126" s="93" t="n"/>
      <c r="N126" s="94" t="n"/>
      <c r="O126" s="92" t="inlineStr">
        <is>
          <t>Thu</t>
        </is>
      </c>
      <c r="P126" s="93" t="n"/>
      <c r="Q126" s="93" t="n"/>
      <c r="R126" s="94" t="n"/>
      <c r="S126" s="92" t="inlineStr">
        <is>
          <t>Fri</t>
        </is>
      </c>
      <c r="T126" s="93" t="n"/>
      <c r="U126" s="93" t="n"/>
      <c r="V126" s="94" t="n"/>
      <c r="W126" s="95" t="inlineStr">
        <is>
          <t>Sat</t>
        </is>
      </c>
      <c r="X126" s="96" t="n"/>
      <c r="Y126" s="95" t="inlineStr">
        <is>
          <t>Sun</t>
        </is>
      </c>
      <c r="Z126" s="96" t="n"/>
      <c r="AB126" s="97" t="inlineStr">
        <is>
          <t>Days rostered</t>
        </is>
      </c>
      <c r="AC126" s="97" t="inlineStr">
        <is>
          <t>Conflicts</t>
        </is>
      </c>
    </row>
    <row r="127" ht="15" customHeight="1">
      <c r="A127" t="n">
        <v>3</v>
      </c>
      <c r="B127" s="35">
        <f>IF(Setup!$B$6="","",Setup!$B$6)</f>
        <v/>
      </c>
      <c r="C127" s="98" t="n"/>
      <c r="D127" s="99" t="n"/>
      <c r="E127" s="99" t="n"/>
      <c r="F127" s="100" t="n"/>
      <c r="G127" s="98" t="n"/>
      <c r="H127" s="99" t="n"/>
      <c r="I127" s="99" t="n"/>
      <c r="J127" s="100" t="n"/>
      <c r="K127" s="98" t="n"/>
      <c r="L127" s="99" t="n"/>
      <c r="M127" s="99" t="n"/>
      <c r="N127" s="100" t="n"/>
      <c r="O127" s="98" t="n"/>
      <c r="P127" s="99" t="n"/>
      <c r="Q127" s="99" t="n"/>
      <c r="R127" s="100" t="n"/>
      <c r="S127" s="98" t="n"/>
      <c r="T127" s="99" t="n"/>
      <c r="U127" s="99" t="n"/>
      <c r="V127" s="100" t="n"/>
      <c r="W127" s="98" t="n"/>
      <c r="X127" s="100" t="n"/>
      <c r="Y127" s="98" t="n"/>
      <c r="Z127" s="100" t="n"/>
      <c r="AB127" s="101">
        <f>IF($B127="","",(COUNTIF(C108:E125,$B127)+COUNTIF(C108:E125,$B127&amp;" ~*")&gt;0)+(COUNTIF(G108:I125,$B127)+COUNTIF(G108:I125,$B127&amp;" ~*")&gt;0)+(COUNTIF(K108:M125,$B127)+COUNTIF(K108:M125,$B127&amp;" ~*")&gt;0)+(COUNTIF(O108:Q125,$B127)+COUNTIF(O108:Q125,$B127&amp;" ~*")&gt;0)+(COUNTIF(S108:U125,$B127)+COUNTIF(S108:U125,$B127&amp;" ~*")&gt;0)+(COUNTIF(W108:W125,$B127)+COUNTIF(W108:W125,$B127&amp;" ~*")&gt;0)+(COUNTIF(Y108:Y125,$B127)+COUNTIF(Y108:Y125,$B127&amp;" ~*")&gt;0))</f>
        <v/>
      </c>
      <c r="AC127" s="36">
        <f>IF($B127="","",(IFERROR(INDEX(Setup!$G$33:$G$40,MATCH(C127,Setup!$B$33:$B$40,0)),0)=1)*(COUNTIF(C108:E125,$B127)+COUNTIF(C108:E125,$B127&amp;" ~*")&gt;0)+(IFERROR(INDEX(Setup!$G$33:$G$40,MATCH(G127,Setup!$B$33:$B$40,0)),0)=1)*(COUNTIF(G108:I125,$B127)+COUNTIF(G108:I125,$B127&amp;" ~*")&gt;0)+(IFERROR(INDEX(Setup!$G$33:$G$40,MATCH(K127,Setup!$B$33:$B$40,0)),0)=1)*(COUNTIF(K108:M125,$B127)+COUNTIF(K108:M125,$B127&amp;" ~*")&gt;0)+(IFERROR(INDEX(Setup!$G$33:$G$40,MATCH(O127,Setup!$B$33:$B$40,0)),0)=1)*(COUNTIF(O108:Q125,$B127)+COUNTIF(O108:Q125,$B127&amp;" ~*")&gt;0)+(IFERROR(INDEX(Setup!$G$33:$G$40,MATCH(S127,Setup!$B$33:$B$40,0)),0)=1)*(COUNTIF(S108:U125,$B127)+COUNTIF(S108:U125,$B127&amp;" ~*")&gt;0)+(IFERROR(INDEX(Setup!$G$33:$G$40,MATCH(W127,Setup!$B$33:$B$40,0)),0)=1)*(COUNTIF(W108:W125,$B127)+COUNTIF(W108:W125,$B127&amp;" ~*")&gt;0)+(IFERROR(INDEX(Setup!$G$33:$G$40,MATCH(Y127,Setup!$B$33:$B$40,0)),0)=1)*(COUNTIF(Y108:Y125,$B127)+COUNTIF(Y108:Y125,$B127&amp;" ~*")&gt;0))</f>
        <v/>
      </c>
    </row>
    <row r="128" ht="15" customHeight="1">
      <c r="A128" t="n">
        <v>3</v>
      </c>
      <c r="B128" s="37">
        <f>IF(Setup!$B$7="","",Setup!$B$7)</f>
        <v/>
      </c>
      <c r="C128" s="102" t="n"/>
      <c r="D128" s="103" t="n"/>
      <c r="E128" s="103" t="n"/>
      <c r="F128" s="104" t="n"/>
      <c r="G128" s="102" t="n"/>
      <c r="H128" s="103" t="n"/>
      <c r="I128" s="103" t="n"/>
      <c r="J128" s="104" t="n"/>
      <c r="K128" s="102" t="n"/>
      <c r="L128" s="103" t="n"/>
      <c r="M128" s="103" t="n"/>
      <c r="N128" s="104" t="n"/>
      <c r="O128" s="102" t="n"/>
      <c r="P128" s="103" t="n"/>
      <c r="Q128" s="103" t="n"/>
      <c r="R128" s="104" t="n"/>
      <c r="S128" s="102" t="n"/>
      <c r="T128" s="103" t="n"/>
      <c r="U128" s="103" t="n"/>
      <c r="V128" s="104" t="n"/>
      <c r="W128" s="102" t="n"/>
      <c r="X128" s="104" t="n"/>
      <c r="Y128" s="102" t="n"/>
      <c r="Z128" s="104" t="n"/>
      <c r="AB128" s="105">
        <f>IF($B128="","",(COUNTIF(C108:E125,$B128)+COUNTIF(C108:E125,$B128&amp;" ~*")&gt;0)+(COUNTIF(G108:I125,$B128)+COUNTIF(G108:I125,$B128&amp;" ~*")&gt;0)+(COUNTIF(K108:M125,$B128)+COUNTIF(K108:M125,$B128&amp;" ~*")&gt;0)+(COUNTIF(O108:Q125,$B128)+COUNTIF(O108:Q125,$B128&amp;" ~*")&gt;0)+(COUNTIF(S108:U125,$B128)+COUNTIF(S108:U125,$B128&amp;" ~*")&gt;0)+(COUNTIF(W108:W125,$B128)+COUNTIF(W108:W125,$B128&amp;" ~*")&gt;0)+(COUNTIF(Y108:Y125,$B128)+COUNTIF(Y108:Y125,$B128&amp;" ~*")&gt;0))</f>
        <v/>
      </c>
      <c r="AC128" s="38">
        <f>IF($B128="","",(IFERROR(INDEX(Setup!$G$33:$G$40,MATCH(C128,Setup!$B$33:$B$40,0)),0)=1)*(COUNTIF(C108:E125,$B128)+COUNTIF(C108:E125,$B128&amp;" ~*")&gt;0)+(IFERROR(INDEX(Setup!$G$33:$G$40,MATCH(G128,Setup!$B$33:$B$40,0)),0)=1)*(COUNTIF(G108:I125,$B128)+COUNTIF(G108:I125,$B128&amp;" ~*")&gt;0)+(IFERROR(INDEX(Setup!$G$33:$G$40,MATCH(K128,Setup!$B$33:$B$40,0)),0)=1)*(COUNTIF(K108:M125,$B128)+COUNTIF(K108:M125,$B128&amp;" ~*")&gt;0)+(IFERROR(INDEX(Setup!$G$33:$G$40,MATCH(O128,Setup!$B$33:$B$40,0)),0)=1)*(COUNTIF(O108:Q125,$B128)+COUNTIF(O108:Q125,$B128&amp;" ~*")&gt;0)+(IFERROR(INDEX(Setup!$G$33:$G$40,MATCH(S128,Setup!$B$33:$B$40,0)),0)=1)*(COUNTIF(S108:U125,$B128)+COUNTIF(S108:U125,$B128&amp;" ~*")&gt;0)+(IFERROR(INDEX(Setup!$G$33:$G$40,MATCH(W128,Setup!$B$33:$B$40,0)),0)=1)*(COUNTIF(W108:W125,$B128)+COUNTIF(W108:W125,$B128&amp;" ~*")&gt;0)+(IFERROR(INDEX(Setup!$G$33:$G$40,MATCH(Y128,Setup!$B$33:$B$40,0)),0)=1)*(COUNTIF(Y108:Y125,$B128)+COUNTIF(Y108:Y125,$B128&amp;" ~*")&gt;0))</f>
        <v/>
      </c>
    </row>
    <row r="129" ht="15" customHeight="1">
      <c r="A129" t="n">
        <v>3</v>
      </c>
      <c r="B129" s="35">
        <f>IF(Setup!$B$8="","",Setup!$B$8)</f>
        <v/>
      </c>
      <c r="C129" s="98" t="n"/>
      <c r="D129" s="99" t="n"/>
      <c r="E129" s="99" t="n"/>
      <c r="F129" s="100" t="n"/>
      <c r="G129" s="98" t="n"/>
      <c r="H129" s="99" t="n"/>
      <c r="I129" s="99" t="n"/>
      <c r="J129" s="100" t="n"/>
      <c r="K129" s="98" t="n"/>
      <c r="L129" s="99" t="n"/>
      <c r="M129" s="99" t="n"/>
      <c r="N129" s="100" t="n"/>
      <c r="O129" s="98" t="n"/>
      <c r="P129" s="99" t="n"/>
      <c r="Q129" s="99" t="n"/>
      <c r="R129" s="100" t="n"/>
      <c r="S129" s="98" t="n"/>
      <c r="T129" s="99" t="n"/>
      <c r="U129" s="99" t="n"/>
      <c r="V129" s="100" t="n"/>
      <c r="W129" s="98" t="n"/>
      <c r="X129" s="100" t="n"/>
      <c r="Y129" s="98" t="n"/>
      <c r="Z129" s="100" t="n"/>
      <c r="AB129" s="101">
        <f>IF($B129="","",(COUNTIF(C108:E125,$B129)+COUNTIF(C108:E125,$B129&amp;" ~*")&gt;0)+(COUNTIF(G108:I125,$B129)+COUNTIF(G108:I125,$B129&amp;" ~*")&gt;0)+(COUNTIF(K108:M125,$B129)+COUNTIF(K108:M125,$B129&amp;" ~*")&gt;0)+(COUNTIF(O108:Q125,$B129)+COUNTIF(O108:Q125,$B129&amp;" ~*")&gt;0)+(COUNTIF(S108:U125,$B129)+COUNTIF(S108:U125,$B129&amp;" ~*")&gt;0)+(COUNTIF(W108:W125,$B129)+COUNTIF(W108:W125,$B129&amp;" ~*")&gt;0)+(COUNTIF(Y108:Y125,$B129)+COUNTIF(Y108:Y125,$B129&amp;" ~*")&gt;0))</f>
        <v/>
      </c>
      <c r="AC129" s="36">
        <f>IF($B129="","",(IFERROR(INDEX(Setup!$G$33:$G$40,MATCH(C129,Setup!$B$33:$B$40,0)),0)=1)*(COUNTIF(C108:E125,$B129)+COUNTIF(C108:E125,$B129&amp;" ~*")&gt;0)+(IFERROR(INDEX(Setup!$G$33:$G$40,MATCH(G129,Setup!$B$33:$B$40,0)),0)=1)*(COUNTIF(G108:I125,$B129)+COUNTIF(G108:I125,$B129&amp;" ~*")&gt;0)+(IFERROR(INDEX(Setup!$G$33:$G$40,MATCH(K129,Setup!$B$33:$B$40,0)),0)=1)*(COUNTIF(K108:M125,$B129)+COUNTIF(K108:M125,$B129&amp;" ~*")&gt;0)+(IFERROR(INDEX(Setup!$G$33:$G$40,MATCH(O129,Setup!$B$33:$B$40,0)),0)=1)*(COUNTIF(O108:Q125,$B129)+COUNTIF(O108:Q125,$B129&amp;" ~*")&gt;0)+(IFERROR(INDEX(Setup!$G$33:$G$40,MATCH(S129,Setup!$B$33:$B$40,0)),0)=1)*(COUNTIF(S108:U125,$B129)+COUNTIF(S108:U125,$B129&amp;" ~*")&gt;0)+(IFERROR(INDEX(Setup!$G$33:$G$40,MATCH(W129,Setup!$B$33:$B$40,0)),0)=1)*(COUNTIF(W108:W125,$B129)+COUNTIF(W108:W125,$B129&amp;" ~*")&gt;0)+(IFERROR(INDEX(Setup!$G$33:$G$40,MATCH(Y129,Setup!$B$33:$B$40,0)),0)=1)*(COUNTIF(Y108:Y125,$B129)+COUNTIF(Y108:Y125,$B129&amp;" ~*")&gt;0))</f>
        <v/>
      </c>
    </row>
    <row r="130" ht="15" customHeight="1">
      <c r="A130" t="n">
        <v>3</v>
      </c>
      <c r="B130" s="37">
        <f>IF(Setup!$B$9="","",Setup!$B$9)</f>
        <v/>
      </c>
      <c r="C130" s="102" t="n"/>
      <c r="D130" s="103" t="n"/>
      <c r="E130" s="103" t="n"/>
      <c r="F130" s="104" t="n"/>
      <c r="G130" s="102" t="n"/>
      <c r="H130" s="103" t="n"/>
      <c r="I130" s="103" t="n"/>
      <c r="J130" s="104" t="n"/>
      <c r="K130" s="102" t="n"/>
      <c r="L130" s="103" t="n"/>
      <c r="M130" s="103" t="n"/>
      <c r="N130" s="104" t="n"/>
      <c r="O130" s="102" t="n"/>
      <c r="P130" s="103" t="n"/>
      <c r="Q130" s="103" t="n"/>
      <c r="R130" s="104" t="n"/>
      <c r="S130" s="102" t="n"/>
      <c r="T130" s="103" t="n"/>
      <c r="U130" s="103" t="n"/>
      <c r="V130" s="104" t="n"/>
      <c r="W130" s="102" t="n"/>
      <c r="X130" s="104" t="n"/>
      <c r="Y130" s="102" t="n"/>
      <c r="Z130" s="104" t="n"/>
      <c r="AB130" s="105">
        <f>IF($B130="","",(COUNTIF(C108:E125,$B130)+COUNTIF(C108:E125,$B130&amp;" ~*")&gt;0)+(COUNTIF(G108:I125,$B130)+COUNTIF(G108:I125,$B130&amp;" ~*")&gt;0)+(COUNTIF(K108:M125,$B130)+COUNTIF(K108:M125,$B130&amp;" ~*")&gt;0)+(COUNTIF(O108:Q125,$B130)+COUNTIF(O108:Q125,$B130&amp;" ~*")&gt;0)+(COUNTIF(S108:U125,$B130)+COUNTIF(S108:U125,$B130&amp;" ~*")&gt;0)+(COUNTIF(W108:W125,$B130)+COUNTIF(W108:W125,$B130&amp;" ~*")&gt;0)+(COUNTIF(Y108:Y125,$B130)+COUNTIF(Y108:Y125,$B130&amp;" ~*")&gt;0))</f>
        <v/>
      </c>
      <c r="AC130" s="38">
        <f>IF($B130="","",(IFERROR(INDEX(Setup!$G$33:$G$40,MATCH(C130,Setup!$B$33:$B$40,0)),0)=1)*(COUNTIF(C108:E125,$B130)+COUNTIF(C108:E125,$B130&amp;" ~*")&gt;0)+(IFERROR(INDEX(Setup!$G$33:$G$40,MATCH(G130,Setup!$B$33:$B$40,0)),0)=1)*(COUNTIF(G108:I125,$B130)+COUNTIF(G108:I125,$B130&amp;" ~*")&gt;0)+(IFERROR(INDEX(Setup!$G$33:$G$40,MATCH(K130,Setup!$B$33:$B$40,0)),0)=1)*(COUNTIF(K108:M125,$B130)+COUNTIF(K108:M125,$B130&amp;" ~*")&gt;0)+(IFERROR(INDEX(Setup!$G$33:$G$40,MATCH(O130,Setup!$B$33:$B$40,0)),0)=1)*(COUNTIF(O108:Q125,$B130)+COUNTIF(O108:Q125,$B130&amp;" ~*")&gt;0)+(IFERROR(INDEX(Setup!$G$33:$G$40,MATCH(S130,Setup!$B$33:$B$40,0)),0)=1)*(COUNTIF(S108:U125,$B130)+COUNTIF(S108:U125,$B130&amp;" ~*")&gt;0)+(IFERROR(INDEX(Setup!$G$33:$G$40,MATCH(W130,Setup!$B$33:$B$40,0)),0)=1)*(COUNTIF(W108:W125,$B130)+COUNTIF(W108:W125,$B130&amp;" ~*")&gt;0)+(IFERROR(INDEX(Setup!$G$33:$G$40,MATCH(Y130,Setup!$B$33:$B$40,0)),0)=1)*(COUNTIF(Y108:Y125,$B130)+COUNTIF(Y108:Y125,$B130&amp;" ~*")&gt;0))</f>
        <v/>
      </c>
    </row>
    <row r="131" ht="15" customHeight="1">
      <c r="A131" t="n">
        <v>3</v>
      </c>
      <c r="B131" s="35">
        <f>IF(Setup!$B$10="","",Setup!$B$10)</f>
        <v/>
      </c>
      <c r="C131" s="98" t="n"/>
      <c r="D131" s="99" t="n"/>
      <c r="E131" s="99" t="n"/>
      <c r="F131" s="100" t="n"/>
      <c r="G131" s="98" t="n"/>
      <c r="H131" s="99" t="n"/>
      <c r="I131" s="99" t="n"/>
      <c r="J131" s="100" t="n"/>
      <c r="K131" s="98" t="n"/>
      <c r="L131" s="99" t="n"/>
      <c r="M131" s="99" t="n"/>
      <c r="N131" s="100" t="n"/>
      <c r="O131" s="98" t="n"/>
      <c r="P131" s="99" t="n"/>
      <c r="Q131" s="99" t="n"/>
      <c r="R131" s="100" t="n"/>
      <c r="S131" s="98" t="n"/>
      <c r="T131" s="99" t="n"/>
      <c r="U131" s="99" t="n"/>
      <c r="V131" s="100" t="n"/>
      <c r="W131" s="98" t="n"/>
      <c r="X131" s="100" t="n"/>
      <c r="Y131" s="98" t="n"/>
      <c r="Z131" s="100" t="n"/>
      <c r="AB131" s="101">
        <f>IF($B131="","",(COUNTIF(C108:E125,$B131)+COUNTIF(C108:E125,$B131&amp;" ~*")&gt;0)+(COUNTIF(G108:I125,$B131)+COUNTIF(G108:I125,$B131&amp;" ~*")&gt;0)+(COUNTIF(K108:M125,$B131)+COUNTIF(K108:M125,$B131&amp;" ~*")&gt;0)+(COUNTIF(O108:Q125,$B131)+COUNTIF(O108:Q125,$B131&amp;" ~*")&gt;0)+(COUNTIF(S108:U125,$B131)+COUNTIF(S108:U125,$B131&amp;" ~*")&gt;0)+(COUNTIF(W108:W125,$B131)+COUNTIF(W108:W125,$B131&amp;" ~*")&gt;0)+(COUNTIF(Y108:Y125,$B131)+COUNTIF(Y108:Y125,$B131&amp;" ~*")&gt;0))</f>
        <v/>
      </c>
      <c r="AC131" s="36">
        <f>IF($B131="","",(IFERROR(INDEX(Setup!$G$33:$G$40,MATCH(C131,Setup!$B$33:$B$40,0)),0)=1)*(COUNTIF(C108:E125,$B131)+COUNTIF(C108:E125,$B131&amp;" ~*")&gt;0)+(IFERROR(INDEX(Setup!$G$33:$G$40,MATCH(G131,Setup!$B$33:$B$40,0)),0)=1)*(COUNTIF(G108:I125,$B131)+COUNTIF(G108:I125,$B131&amp;" ~*")&gt;0)+(IFERROR(INDEX(Setup!$G$33:$G$40,MATCH(K131,Setup!$B$33:$B$40,0)),0)=1)*(COUNTIF(K108:M125,$B131)+COUNTIF(K108:M125,$B131&amp;" ~*")&gt;0)+(IFERROR(INDEX(Setup!$G$33:$G$40,MATCH(O131,Setup!$B$33:$B$40,0)),0)=1)*(COUNTIF(O108:Q125,$B131)+COUNTIF(O108:Q125,$B131&amp;" ~*")&gt;0)+(IFERROR(INDEX(Setup!$G$33:$G$40,MATCH(S131,Setup!$B$33:$B$40,0)),0)=1)*(COUNTIF(S108:U125,$B131)+COUNTIF(S108:U125,$B131&amp;" ~*")&gt;0)+(IFERROR(INDEX(Setup!$G$33:$G$40,MATCH(W131,Setup!$B$33:$B$40,0)),0)=1)*(COUNTIF(W108:W125,$B131)+COUNTIF(W108:W125,$B131&amp;" ~*")&gt;0)+(IFERROR(INDEX(Setup!$G$33:$G$40,MATCH(Y131,Setup!$B$33:$B$40,0)),0)=1)*(COUNTIF(Y108:Y125,$B131)+COUNTIF(Y108:Y125,$B131&amp;" ~*")&gt;0))</f>
        <v/>
      </c>
    </row>
    <row r="132" ht="15" customHeight="1">
      <c r="A132" t="n">
        <v>3</v>
      </c>
      <c r="B132" s="37">
        <f>IF(Setup!$B$11="","",Setup!$B$11)</f>
        <v/>
      </c>
      <c r="C132" s="102" t="n"/>
      <c r="D132" s="103" t="n"/>
      <c r="E132" s="103" t="n"/>
      <c r="F132" s="104" t="n"/>
      <c r="G132" s="102" t="n"/>
      <c r="H132" s="103" t="n"/>
      <c r="I132" s="103" t="n"/>
      <c r="J132" s="104" t="n"/>
      <c r="K132" s="102" t="n"/>
      <c r="L132" s="103" t="n"/>
      <c r="M132" s="103" t="n"/>
      <c r="N132" s="104" t="n"/>
      <c r="O132" s="102" t="n"/>
      <c r="P132" s="103" t="n"/>
      <c r="Q132" s="103" t="n"/>
      <c r="R132" s="104" t="n"/>
      <c r="S132" s="102" t="n"/>
      <c r="T132" s="103" t="n"/>
      <c r="U132" s="103" t="n"/>
      <c r="V132" s="104" t="n"/>
      <c r="W132" s="102" t="n"/>
      <c r="X132" s="104" t="n"/>
      <c r="Y132" s="102" t="n"/>
      <c r="Z132" s="104" t="n"/>
      <c r="AB132" s="105">
        <f>IF($B132="","",(COUNTIF(C108:E125,$B132)+COUNTIF(C108:E125,$B132&amp;" ~*")&gt;0)+(COUNTIF(G108:I125,$B132)+COUNTIF(G108:I125,$B132&amp;" ~*")&gt;0)+(COUNTIF(K108:M125,$B132)+COUNTIF(K108:M125,$B132&amp;" ~*")&gt;0)+(COUNTIF(O108:Q125,$B132)+COUNTIF(O108:Q125,$B132&amp;" ~*")&gt;0)+(COUNTIF(S108:U125,$B132)+COUNTIF(S108:U125,$B132&amp;" ~*")&gt;0)+(COUNTIF(W108:W125,$B132)+COUNTIF(W108:W125,$B132&amp;" ~*")&gt;0)+(COUNTIF(Y108:Y125,$B132)+COUNTIF(Y108:Y125,$B132&amp;" ~*")&gt;0))</f>
        <v/>
      </c>
      <c r="AC132" s="38">
        <f>IF($B132="","",(IFERROR(INDEX(Setup!$G$33:$G$40,MATCH(C132,Setup!$B$33:$B$40,0)),0)=1)*(COUNTIF(C108:E125,$B132)+COUNTIF(C108:E125,$B132&amp;" ~*")&gt;0)+(IFERROR(INDEX(Setup!$G$33:$G$40,MATCH(G132,Setup!$B$33:$B$40,0)),0)=1)*(COUNTIF(G108:I125,$B132)+COUNTIF(G108:I125,$B132&amp;" ~*")&gt;0)+(IFERROR(INDEX(Setup!$G$33:$G$40,MATCH(K132,Setup!$B$33:$B$40,0)),0)=1)*(COUNTIF(K108:M125,$B132)+COUNTIF(K108:M125,$B132&amp;" ~*")&gt;0)+(IFERROR(INDEX(Setup!$G$33:$G$40,MATCH(O132,Setup!$B$33:$B$40,0)),0)=1)*(COUNTIF(O108:Q125,$B132)+COUNTIF(O108:Q125,$B132&amp;" ~*")&gt;0)+(IFERROR(INDEX(Setup!$G$33:$G$40,MATCH(S132,Setup!$B$33:$B$40,0)),0)=1)*(COUNTIF(S108:U125,$B132)+COUNTIF(S108:U125,$B132&amp;" ~*")&gt;0)+(IFERROR(INDEX(Setup!$G$33:$G$40,MATCH(W132,Setup!$B$33:$B$40,0)),0)=1)*(COUNTIF(W108:W125,$B132)+COUNTIF(W108:W125,$B132&amp;" ~*")&gt;0)+(IFERROR(INDEX(Setup!$G$33:$G$40,MATCH(Y132,Setup!$B$33:$B$40,0)),0)=1)*(COUNTIF(Y108:Y125,$B132)+COUNTIF(Y108:Y125,$B132&amp;" ~*")&gt;0))</f>
        <v/>
      </c>
    </row>
    <row r="133" ht="15" customHeight="1">
      <c r="A133" t="n">
        <v>3</v>
      </c>
      <c r="B133" s="35">
        <f>IF(Setup!$B$12="","",Setup!$B$12)</f>
        <v/>
      </c>
      <c r="C133" s="98" t="inlineStr">
        <is>
          <t>AL</t>
        </is>
      </c>
      <c r="D133" s="99" t="n"/>
      <c r="E133" s="99" t="n"/>
      <c r="F133" s="100" t="n"/>
      <c r="G133" s="98" t="n"/>
      <c r="H133" s="99" t="n"/>
      <c r="I133" s="99" t="n"/>
      <c r="J133" s="100" t="n"/>
      <c r="K133" s="98" t="n"/>
      <c r="L133" s="99" t="n"/>
      <c r="M133" s="99" t="n"/>
      <c r="N133" s="100" t="n"/>
      <c r="O133" s="98" t="n"/>
      <c r="P133" s="99" t="n"/>
      <c r="Q133" s="99" t="n"/>
      <c r="R133" s="100" t="n"/>
      <c r="S133" s="98" t="n"/>
      <c r="T133" s="99" t="n"/>
      <c r="U133" s="99" t="n"/>
      <c r="V133" s="100" t="n"/>
      <c r="W133" s="98" t="n"/>
      <c r="X133" s="100" t="n"/>
      <c r="Y133" s="98" t="n"/>
      <c r="Z133" s="100" t="n"/>
      <c r="AB133" s="101">
        <f>IF($B133="","",(COUNTIF(C108:E125,$B133)+COUNTIF(C108:E125,$B133&amp;" ~*")&gt;0)+(COUNTIF(G108:I125,$B133)+COUNTIF(G108:I125,$B133&amp;" ~*")&gt;0)+(COUNTIF(K108:M125,$B133)+COUNTIF(K108:M125,$B133&amp;" ~*")&gt;0)+(COUNTIF(O108:Q125,$B133)+COUNTIF(O108:Q125,$B133&amp;" ~*")&gt;0)+(COUNTIF(S108:U125,$B133)+COUNTIF(S108:U125,$B133&amp;" ~*")&gt;0)+(COUNTIF(W108:W125,$B133)+COUNTIF(W108:W125,$B133&amp;" ~*")&gt;0)+(COUNTIF(Y108:Y125,$B133)+COUNTIF(Y108:Y125,$B133&amp;" ~*")&gt;0))</f>
        <v/>
      </c>
      <c r="AC133" s="36">
        <f>IF($B133="","",(IFERROR(INDEX(Setup!$G$33:$G$40,MATCH(C133,Setup!$B$33:$B$40,0)),0)=1)*(COUNTIF(C108:E125,$B133)+COUNTIF(C108:E125,$B133&amp;" ~*")&gt;0)+(IFERROR(INDEX(Setup!$G$33:$G$40,MATCH(G133,Setup!$B$33:$B$40,0)),0)=1)*(COUNTIF(G108:I125,$B133)+COUNTIF(G108:I125,$B133&amp;" ~*")&gt;0)+(IFERROR(INDEX(Setup!$G$33:$G$40,MATCH(K133,Setup!$B$33:$B$40,0)),0)=1)*(COUNTIF(K108:M125,$B133)+COUNTIF(K108:M125,$B133&amp;" ~*")&gt;0)+(IFERROR(INDEX(Setup!$G$33:$G$40,MATCH(O133,Setup!$B$33:$B$40,0)),0)=1)*(COUNTIF(O108:Q125,$B133)+COUNTIF(O108:Q125,$B133&amp;" ~*")&gt;0)+(IFERROR(INDEX(Setup!$G$33:$G$40,MATCH(S133,Setup!$B$33:$B$40,0)),0)=1)*(COUNTIF(S108:U125,$B133)+COUNTIF(S108:U125,$B133&amp;" ~*")&gt;0)+(IFERROR(INDEX(Setup!$G$33:$G$40,MATCH(W133,Setup!$B$33:$B$40,0)),0)=1)*(COUNTIF(W108:W125,$B133)+COUNTIF(W108:W125,$B133&amp;" ~*")&gt;0)+(IFERROR(INDEX(Setup!$G$33:$G$40,MATCH(Y133,Setup!$B$33:$B$40,0)),0)=1)*(COUNTIF(Y108:Y125,$B133)+COUNTIF(Y108:Y125,$B133&amp;" ~*")&gt;0))</f>
        <v/>
      </c>
    </row>
    <row r="134" ht="15" customHeight="1">
      <c r="A134" t="n">
        <v>3</v>
      </c>
      <c r="B134" s="37">
        <f>IF(Setup!$B$13="","",Setup!$B$13)</f>
        <v/>
      </c>
      <c r="C134" s="102" t="n"/>
      <c r="D134" s="103" t="n"/>
      <c r="E134" s="103" t="n"/>
      <c r="F134" s="104" t="n"/>
      <c r="G134" s="102" t="n"/>
      <c r="H134" s="103" t="n"/>
      <c r="I134" s="103" t="n"/>
      <c r="J134" s="104" t="n"/>
      <c r="K134" s="102" t="n"/>
      <c r="L134" s="103" t="n"/>
      <c r="M134" s="103" t="n"/>
      <c r="N134" s="104" t="n"/>
      <c r="O134" s="102" t="n"/>
      <c r="P134" s="103" t="n"/>
      <c r="Q134" s="103" t="n"/>
      <c r="R134" s="104" t="n"/>
      <c r="S134" s="102" t="n"/>
      <c r="T134" s="103" t="n"/>
      <c r="U134" s="103" t="n"/>
      <c r="V134" s="104" t="n"/>
      <c r="W134" s="102" t="n"/>
      <c r="X134" s="104" t="n"/>
      <c r="Y134" s="102" t="n"/>
      <c r="Z134" s="104" t="n"/>
      <c r="AB134" s="105">
        <f>IF($B134="","",(COUNTIF(C108:E125,$B134)+COUNTIF(C108:E125,$B134&amp;" ~*")&gt;0)+(COUNTIF(G108:I125,$B134)+COUNTIF(G108:I125,$B134&amp;" ~*")&gt;0)+(COUNTIF(K108:M125,$B134)+COUNTIF(K108:M125,$B134&amp;" ~*")&gt;0)+(COUNTIF(O108:Q125,$B134)+COUNTIF(O108:Q125,$B134&amp;" ~*")&gt;0)+(COUNTIF(S108:U125,$B134)+COUNTIF(S108:U125,$B134&amp;" ~*")&gt;0)+(COUNTIF(W108:W125,$B134)+COUNTIF(W108:W125,$B134&amp;" ~*")&gt;0)+(COUNTIF(Y108:Y125,$B134)+COUNTIF(Y108:Y125,$B134&amp;" ~*")&gt;0))</f>
        <v/>
      </c>
      <c r="AC134" s="38">
        <f>IF($B134="","",(IFERROR(INDEX(Setup!$G$33:$G$40,MATCH(C134,Setup!$B$33:$B$40,0)),0)=1)*(COUNTIF(C108:E125,$B134)+COUNTIF(C108:E125,$B134&amp;" ~*")&gt;0)+(IFERROR(INDEX(Setup!$G$33:$G$40,MATCH(G134,Setup!$B$33:$B$40,0)),0)=1)*(COUNTIF(G108:I125,$B134)+COUNTIF(G108:I125,$B134&amp;" ~*")&gt;0)+(IFERROR(INDEX(Setup!$G$33:$G$40,MATCH(K134,Setup!$B$33:$B$40,0)),0)=1)*(COUNTIF(K108:M125,$B134)+COUNTIF(K108:M125,$B134&amp;" ~*")&gt;0)+(IFERROR(INDEX(Setup!$G$33:$G$40,MATCH(O134,Setup!$B$33:$B$40,0)),0)=1)*(COUNTIF(O108:Q125,$B134)+COUNTIF(O108:Q125,$B134&amp;" ~*")&gt;0)+(IFERROR(INDEX(Setup!$G$33:$G$40,MATCH(S134,Setup!$B$33:$B$40,0)),0)=1)*(COUNTIF(S108:U125,$B134)+COUNTIF(S108:U125,$B134&amp;" ~*")&gt;0)+(IFERROR(INDEX(Setup!$G$33:$G$40,MATCH(W134,Setup!$B$33:$B$40,0)),0)=1)*(COUNTIF(W108:W125,$B134)+COUNTIF(W108:W125,$B134&amp;" ~*")&gt;0)+(IFERROR(INDEX(Setup!$G$33:$G$40,MATCH(Y134,Setup!$B$33:$B$40,0)),0)=1)*(COUNTIF(Y108:Y125,$B134)+COUNTIF(Y108:Y125,$B134&amp;" ~*")&gt;0))</f>
        <v/>
      </c>
    </row>
    <row r="135" ht="15" customHeight="1">
      <c r="A135" t="n">
        <v>3</v>
      </c>
      <c r="B135" s="35">
        <f>IF(Setup!$B$14="","",Setup!$B$14)</f>
        <v/>
      </c>
      <c r="C135" s="98" t="inlineStr">
        <is>
          <t>AL</t>
        </is>
      </c>
      <c r="D135" s="99" t="n"/>
      <c r="E135" s="99" t="n"/>
      <c r="F135" s="100" t="n"/>
      <c r="G135" s="98" t="inlineStr">
        <is>
          <t>AL</t>
        </is>
      </c>
      <c r="H135" s="99" t="n"/>
      <c r="I135" s="99" t="n"/>
      <c r="J135" s="100" t="n"/>
      <c r="K135" s="98" t="inlineStr">
        <is>
          <t>AL</t>
        </is>
      </c>
      <c r="L135" s="99" t="n"/>
      <c r="M135" s="99" t="n"/>
      <c r="N135" s="100" t="n"/>
      <c r="O135" s="98" t="inlineStr">
        <is>
          <t>AL</t>
        </is>
      </c>
      <c r="P135" s="99" t="n"/>
      <c r="Q135" s="99" t="n"/>
      <c r="R135" s="100" t="n"/>
      <c r="S135" s="98" t="inlineStr">
        <is>
          <t>AL</t>
        </is>
      </c>
      <c r="T135" s="99" t="n"/>
      <c r="U135" s="99" t="n"/>
      <c r="V135" s="100" t="n"/>
      <c r="W135" s="98" t="n"/>
      <c r="X135" s="100" t="n"/>
      <c r="Y135" s="98" t="n"/>
      <c r="Z135" s="100" t="n"/>
      <c r="AB135" s="101">
        <f>IF($B135="","",(COUNTIF(C108:E125,$B135)+COUNTIF(C108:E125,$B135&amp;" ~*")&gt;0)+(COUNTIF(G108:I125,$B135)+COUNTIF(G108:I125,$B135&amp;" ~*")&gt;0)+(COUNTIF(K108:M125,$B135)+COUNTIF(K108:M125,$B135&amp;" ~*")&gt;0)+(COUNTIF(O108:Q125,$B135)+COUNTIF(O108:Q125,$B135&amp;" ~*")&gt;0)+(COUNTIF(S108:U125,$B135)+COUNTIF(S108:U125,$B135&amp;" ~*")&gt;0)+(COUNTIF(W108:W125,$B135)+COUNTIF(W108:W125,$B135&amp;" ~*")&gt;0)+(COUNTIF(Y108:Y125,$B135)+COUNTIF(Y108:Y125,$B135&amp;" ~*")&gt;0))</f>
        <v/>
      </c>
      <c r="AC135" s="36">
        <f>IF($B135="","",(IFERROR(INDEX(Setup!$G$33:$G$40,MATCH(C135,Setup!$B$33:$B$40,0)),0)=1)*(COUNTIF(C108:E125,$B135)+COUNTIF(C108:E125,$B135&amp;" ~*")&gt;0)+(IFERROR(INDEX(Setup!$G$33:$G$40,MATCH(G135,Setup!$B$33:$B$40,0)),0)=1)*(COUNTIF(G108:I125,$B135)+COUNTIF(G108:I125,$B135&amp;" ~*")&gt;0)+(IFERROR(INDEX(Setup!$G$33:$G$40,MATCH(K135,Setup!$B$33:$B$40,0)),0)=1)*(COUNTIF(K108:M125,$B135)+COUNTIF(K108:M125,$B135&amp;" ~*")&gt;0)+(IFERROR(INDEX(Setup!$G$33:$G$40,MATCH(O135,Setup!$B$33:$B$40,0)),0)=1)*(COUNTIF(O108:Q125,$B135)+COUNTIF(O108:Q125,$B135&amp;" ~*")&gt;0)+(IFERROR(INDEX(Setup!$G$33:$G$40,MATCH(S135,Setup!$B$33:$B$40,0)),0)=1)*(COUNTIF(S108:U125,$B135)+COUNTIF(S108:U125,$B135&amp;" ~*")&gt;0)+(IFERROR(INDEX(Setup!$G$33:$G$40,MATCH(W135,Setup!$B$33:$B$40,0)),0)=1)*(COUNTIF(W108:W125,$B135)+COUNTIF(W108:W125,$B135&amp;" ~*")&gt;0)+(IFERROR(INDEX(Setup!$G$33:$G$40,MATCH(Y135,Setup!$B$33:$B$40,0)),0)=1)*(COUNTIF(Y108:Y125,$B135)+COUNTIF(Y108:Y125,$B135&amp;" ~*")&gt;0))</f>
        <v/>
      </c>
    </row>
    <row r="136" ht="15" customHeight="1">
      <c r="A136" t="n">
        <v>3</v>
      </c>
      <c r="B136" s="37">
        <f>IF(Setup!$B$15="","",Setup!$B$15)</f>
        <v/>
      </c>
      <c r="C136" s="102" t="n"/>
      <c r="D136" s="103" t="n"/>
      <c r="E136" s="103" t="n"/>
      <c r="F136" s="104" t="n"/>
      <c r="G136" s="102" t="n"/>
      <c r="H136" s="103" t="n"/>
      <c r="I136" s="103" t="n"/>
      <c r="J136" s="104" t="n"/>
      <c r="K136" s="102" t="n"/>
      <c r="L136" s="103" t="n"/>
      <c r="M136" s="103" t="n"/>
      <c r="N136" s="104" t="n"/>
      <c r="O136" s="102" t="n"/>
      <c r="P136" s="103" t="n"/>
      <c r="Q136" s="103" t="n"/>
      <c r="R136" s="104" t="n"/>
      <c r="S136" s="102" t="n"/>
      <c r="T136" s="103" t="n"/>
      <c r="U136" s="103" t="n"/>
      <c r="V136" s="104" t="n"/>
      <c r="W136" s="102" t="n"/>
      <c r="X136" s="104" t="n"/>
      <c r="Y136" s="102" t="n"/>
      <c r="Z136" s="104" t="n"/>
      <c r="AB136" s="105">
        <f>IF($B136="","",(COUNTIF(C108:E125,$B136)+COUNTIF(C108:E125,$B136&amp;" ~*")&gt;0)+(COUNTIF(G108:I125,$B136)+COUNTIF(G108:I125,$B136&amp;" ~*")&gt;0)+(COUNTIF(K108:M125,$B136)+COUNTIF(K108:M125,$B136&amp;" ~*")&gt;0)+(COUNTIF(O108:Q125,$B136)+COUNTIF(O108:Q125,$B136&amp;" ~*")&gt;0)+(COUNTIF(S108:U125,$B136)+COUNTIF(S108:U125,$B136&amp;" ~*")&gt;0)+(COUNTIF(W108:W125,$B136)+COUNTIF(W108:W125,$B136&amp;" ~*")&gt;0)+(COUNTIF(Y108:Y125,$B136)+COUNTIF(Y108:Y125,$B136&amp;" ~*")&gt;0))</f>
        <v/>
      </c>
      <c r="AC136" s="38">
        <f>IF($B136="","",(IFERROR(INDEX(Setup!$G$33:$G$40,MATCH(C136,Setup!$B$33:$B$40,0)),0)=1)*(COUNTIF(C108:E125,$B136)+COUNTIF(C108:E125,$B136&amp;" ~*")&gt;0)+(IFERROR(INDEX(Setup!$G$33:$G$40,MATCH(G136,Setup!$B$33:$B$40,0)),0)=1)*(COUNTIF(G108:I125,$B136)+COUNTIF(G108:I125,$B136&amp;" ~*")&gt;0)+(IFERROR(INDEX(Setup!$G$33:$G$40,MATCH(K136,Setup!$B$33:$B$40,0)),0)=1)*(COUNTIF(K108:M125,$B136)+COUNTIF(K108:M125,$B136&amp;" ~*")&gt;0)+(IFERROR(INDEX(Setup!$G$33:$G$40,MATCH(O136,Setup!$B$33:$B$40,0)),0)=1)*(COUNTIF(O108:Q125,$B136)+COUNTIF(O108:Q125,$B136&amp;" ~*")&gt;0)+(IFERROR(INDEX(Setup!$G$33:$G$40,MATCH(S136,Setup!$B$33:$B$40,0)),0)=1)*(COUNTIF(S108:U125,$B136)+COUNTIF(S108:U125,$B136&amp;" ~*")&gt;0)+(IFERROR(INDEX(Setup!$G$33:$G$40,MATCH(W136,Setup!$B$33:$B$40,0)),0)=1)*(COUNTIF(W108:W125,$B136)+COUNTIF(W108:W125,$B136&amp;" ~*")&gt;0)+(IFERROR(INDEX(Setup!$G$33:$G$40,MATCH(Y136,Setup!$B$33:$B$40,0)),0)=1)*(COUNTIF(Y108:Y125,$B136)+COUNTIF(Y108:Y125,$B136&amp;" ~*")&gt;0))</f>
        <v/>
      </c>
    </row>
    <row r="137" ht="15" customHeight="1">
      <c r="A137" t="n">
        <v>3</v>
      </c>
      <c r="B137" s="35">
        <f>IF(Setup!$B$16="","",Setup!$B$16)</f>
        <v/>
      </c>
      <c r="C137" s="98" t="n"/>
      <c r="D137" s="99" t="n"/>
      <c r="E137" s="99" t="n"/>
      <c r="F137" s="100" t="n"/>
      <c r="G137" s="98" t="n"/>
      <c r="H137" s="99" t="n"/>
      <c r="I137" s="99" t="n"/>
      <c r="J137" s="100" t="n"/>
      <c r="K137" s="98" t="n"/>
      <c r="L137" s="99" t="n"/>
      <c r="M137" s="99" t="n"/>
      <c r="N137" s="100" t="n"/>
      <c r="O137" s="98" t="n"/>
      <c r="P137" s="99" t="n"/>
      <c r="Q137" s="99" t="n"/>
      <c r="R137" s="100" t="n"/>
      <c r="S137" s="98" t="n"/>
      <c r="T137" s="99" t="n"/>
      <c r="U137" s="99" t="n"/>
      <c r="V137" s="100" t="n"/>
      <c r="W137" s="98" t="n"/>
      <c r="X137" s="100" t="n"/>
      <c r="Y137" s="98" t="n"/>
      <c r="Z137" s="100" t="n"/>
      <c r="AB137" s="101">
        <f>IF($B137="","",(COUNTIF(C108:E125,$B137)+COUNTIF(C108:E125,$B137&amp;" ~*")&gt;0)+(COUNTIF(G108:I125,$B137)+COUNTIF(G108:I125,$B137&amp;" ~*")&gt;0)+(COUNTIF(K108:M125,$B137)+COUNTIF(K108:M125,$B137&amp;" ~*")&gt;0)+(COUNTIF(O108:Q125,$B137)+COUNTIF(O108:Q125,$B137&amp;" ~*")&gt;0)+(COUNTIF(S108:U125,$B137)+COUNTIF(S108:U125,$B137&amp;" ~*")&gt;0)+(COUNTIF(W108:W125,$B137)+COUNTIF(W108:W125,$B137&amp;" ~*")&gt;0)+(COUNTIF(Y108:Y125,$B137)+COUNTIF(Y108:Y125,$B137&amp;" ~*")&gt;0))</f>
        <v/>
      </c>
      <c r="AC137" s="36">
        <f>IF($B137="","",(IFERROR(INDEX(Setup!$G$33:$G$40,MATCH(C137,Setup!$B$33:$B$40,0)),0)=1)*(COUNTIF(C108:E125,$B137)+COUNTIF(C108:E125,$B137&amp;" ~*")&gt;0)+(IFERROR(INDEX(Setup!$G$33:$G$40,MATCH(G137,Setup!$B$33:$B$40,0)),0)=1)*(COUNTIF(G108:I125,$B137)+COUNTIF(G108:I125,$B137&amp;" ~*")&gt;0)+(IFERROR(INDEX(Setup!$G$33:$G$40,MATCH(K137,Setup!$B$33:$B$40,0)),0)=1)*(COUNTIF(K108:M125,$B137)+COUNTIF(K108:M125,$B137&amp;" ~*")&gt;0)+(IFERROR(INDEX(Setup!$G$33:$G$40,MATCH(O137,Setup!$B$33:$B$40,0)),0)=1)*(COUNTIF(O108:Q125,$B137)+COUNTIF(O108:Q125,$B137&amp;" ~*")&gt;0)+(IFERROR(INDEX(Setup!$G$33:$G$40,MATCH(S137,Setup!$B$33:$B$40,0)),0)=1)*(COUNTIF(S108:U125,$B137)+COUNTIF(S108:U125,$B137&amp;" ~*")&gt;0)+(IFERROR(INDEX(Setup!$G$33:$G$40,MATCH(W137,Setup!$B$33:$B$40,0)),0)=1)*(COUNTIF(W108:W125,$B137)+COUNTIF(W108:W125,$B137&amp;" ~*")&gt;0)+(IFERROR(INDEX(Setup!$G$33:$G$40,MATCH(Y137,Setup!$B$33:$B$40,0)),0)=1)*(COUNTIF(Y108:Y125,$B137)+COUNTIF(Y108:Y125,$B137&amp;" ~*")&gt;0))</f>
        <v/>
      </c>
    </row>
    <row r="138" ht="15" customHeight="1">
      <c r="A138" t="n">
        <v>3</v>
      </c>
      <c r="B138" s="37">
        <f>IF(Setup!$B$17="","",Setup!$B$17)</f>
        <v/>
      </c>
      <c r="C138" s="102" t="n"/>
      <c r="D138" s="103" t="n"/>
      <c r="E138" s="103" t="n"/>
      <c r="F138" s="104" t="n"/>
      <c r="G138" s="102" t="n"/>
      <c r="H138" s="103" t="n"/>
      <c r="I138" s="103" t="n"/>
      <c r="J138" s="104" t="n"/>
      <c r="K138" s="102" t="n"/>
      <c r="L138" s="103" t="n"/>
      <c r="M138" s="103" t="n"/>
      <c r="N138" s="104" t="n"/>
      <c r="O138" s="102" t="n"/>
      <c r="P138" s="103" t="n"/>
      <c r="Q138" s="103" t="n"/>
      <c r="R138" s="104" t="n"/>
      <c r="S138" s="102" t="n"/>
      <c r="T138" s="103" t="n"/>
      <c r="U138" s="103" t="n"/>
      <c r="V138" s="104" t="n"/>
      <c r="W138" s="102" t="n"/>
      <c r="X138" s="104" t="n"/>
      <c r="Y138" s="102" t="n"/>
      <c r="Z138" s="104" t="n"/>
      <c r="AB138" s="105">
        <f>IF($B138="","",(COUNTIF(C108:E125,$B138)+COUNTIF(C108:E125,$B138&amp;" ~*")&gt;0)+(COUNTIF(G108:I125,$B138)+COUNTIF(G108:I125,$B138&amp;" ~*")&gt;0)+(COUNTIF(K108:M125,$B138)+COUNTIF(K108:M125,$B138&amp;" ~*")&gt;0)+(COUNTIF(O108:Q125,$B138)+COUNTIF(O108:Q125,$B138&amp;" ~*")&gt;0)+(COUNTIF(S108:U125,$B138)+COUNTIF(S108:U125,$B138&amp;" ~*")&gt;0)+(COUNTIF(W108:W125,$B138)+COUNTIF(W108:W125,$B138&amp;" ~*")&gt;0)+(COUNTIF(Y108:Y125,$B138)+COUNTIF(Y108:Y125,$B138&amp;" ~*")&gt;0))</f>
        <v/>
      </c>
      <c r="AC138" s="38">
        <f>IF($B138="","",(IFERROR(INDEX(Setup!$G$33:$G$40,MATCH(C138,Setup!$B$33:$B$40,0)),0)=1)*(COUNTIF(C108:E125,$B138)+COUNTIF(C108:E125,$B138&amp;" ~*")&gt;0)+(IFERROR(INDEX(Setup!$G$33:$G$40,MATCH(G138,Setup!$B$33:$B$40,0)),0)=1)*(COUNTIF(G108:I125,$B138)+COUNTIF(G108:I125,$B138&amp;" ~*")&gt;0)+(IFERROR(INDEX(Setup!$G$33:$G$40,MATCH(K138,Setup!$B$33:$B$40,0)),0)=1)*(COUNTIF(K108:M125,$B138)+COUNTIF(K108:M125,$B138&amp;" ~*")&gt;0)+(IFERROR(INDEX(Setup!$G$33:$G$40,MATCH(O138,Setup!$B$33:$B$40,0)),0)=1)*(COUNTIF(O108:Q125,$B138)+COUNTIF(O108:Q125,$B138&amp;" ~*")&gt;0)+(IFERROR(INDEX(Setup!$G$33:$G$40,MATCH(S138,Setup!$B$33:$B$40,0)),0)=1)*(COUNTIF(S108:U125,$B138)+COUNTIF(S108:U125,$B138&amp;" ~*")&gt;0)+(IFERROR(INDEX(Setup!$G$33:$G$40,MATCH(W138,Setup!$B$33:$B$40,0)),0)=1)*(COUNTIF(W108:W125,$B138)+COUNTIF(W108:W125,$B138&amp;" ~*")&gt;0)+(IFERROR(INDEX(Setup!$G$33:$G$40,MATCH(Y138,Setup!$B$33:$B$40,0)),0)=1)*(COUNTIF(Y108:Y125,$B138)+COUNTIF(Y108:Y125,$B138&amp;" ~*")&gt;0))</f>
        <v/>
      </c>
    </row>
    <row r="139" ht="15" customHeight="1">
      <c r="A139" t="n">
        <v>3</v>
      </c>
      <c r="B139" s="35">
        <f>IF(Setup!$B$18="","",Setup!$B$18)</f>
        <v/>
      </c>
      <c r="C139" s="98" t="n"/>
      <c r="D139" s="99" t="n"/>
      <c r="E139" s="99" t="n"/>
      <c r="F139" s="100" t="n"/>
      <c r="G139" s="98" t="n"/>
      <c r="H139" s="99" t="n"/>
      <c r="I139" s="99" t="n"/>
      <c r="J139" s="100" t="n"/>
      <c r="K139" s="98" t="n"/>
      <c r="L139" s="99" t="n"/>
      <c r="M139" s="99" t="n"/>
      <c r="N139" s="100" t="n"/>
      <c r="O139" s="98" t="n"/>
      <c r="P139" s="99" t="n"/>
      <c r="Q139" s="99" t="n"/>
      <c r="R139" s="100" t="n"/>
      <c r="S139" s="98" t="n"/>
      <c r="T139" s="99" t="n"/>
      <c r="U139" s="99" t="n"/>
      <c r="V139" s="100" t="n"/>
      <c r="W139" s="98" t="n"/>
      <c r="X139" s="100" t="n"/>
      <c r="Y139" s="98" t="n"/>
      <c r="Z139" s="100" t="n"/>
      <c r="AB139" s="101">
        <f>IF($B139="","",(COUNTIF(C108:E125,$B139)+COUNTIF(C108:E125,$B139&amp;" ~*")&gt;0)+(COUNTIF(G108:I125,$B139)+COUNTIF(G108:I125,$B139&amp;" ~*")&gt;0)+(COUNTIF(K108:M125,$B139)+COUNTIF(K108:M125,$B139&amp;" ~*")&gt;0)+(COUNTIF(O108:Q125,$B139)+COUNTIF(O108:Q125,$B139&amp;" ~*")&gt;0)+(COUNTIF(S108:U125,$B139)+COUNTIF(S108:U125,$B139&amp;" ~*")&gt;0)+(COUNTIF(W108:W125,$B139)+COUNTIF(W108:W125,$B139&amp;" ~*")&gt;0)+(COUNTIF(Y108:Y125,$B139)+COUNTIF(Y108:Y125,$B139&amp;" ~*")&gt;0))</f>
        <v/>
      </c>
      <c r="AC139" s="36">
        <f>IF($B139="","",(IFERROR(INDEX(Setup!$G$33:$G$40,MATCH(C139,Setup!$B$33:$B$40,0)),0)=1)*(COUNTIF(C108:E125,$B139)+COUNTIF(C108:E125,$B139&amp;" ~*")&gt;0)+(IFERROR(INDEX(Setup!$G$33:$G$40,MATCH(G139,Setup!$B$33:$B$40,0)),0)=1)*(COUNTIF(G108:I125,$B139)+COUNTIF(G108:I125,$B139&amp;" ~*")&gt;0)+(IFERROR(INDEX(Setup!$G$33:$G$40,MATCH(K139,Setup!$B$33:$B$40,0)),0)=1)*(COUNTIF(K108:M125,$B139)+COUNTIF(K108:M125,$B139&amp;" ~*")&gt;0)+(IFERROR(INDEX(Setup!$G$33:$G$40,MATCH(O139,Setup!$B$33:$B$40,0)),0)=1)*(COUNTIF(O108:Q125,$B139)+COUNTIF(O108:Q125,$B139&amp;" ~*")&gt;0)+(IFERROR(INDEX(Setup!$G$33:$G$40,MATCH(S139,Setup!$B$33:$B$40,0)),0)=1)*(COUNTIF(S108:U125,$B139)+COUNTIF(S108:U125,$B139&amp;" ~*")&gt;0)+(IFERROR(INDEX(Setup!$G$33:$G$40,MATCH(W139,Setup!$B$33:$B$40,0)),0)=1)*(COUNTIF(W108:W125,$B139)+COUNTIF(W108:W125,$B139&amp;" ~*")&gt;0)+(IFERROR(INDEX(Setup!$G$33:$G$40,MATCH(Y139,Setup!$B$33:$B$40,0)),0)=1)*(COUNTIF(Y108:Y125,$B139)+COUNTIF(Y108:Y125,$B139&amp;" ~*")&gt;0))</f>
        <v/>
      </c>
    </row>
    <row r="140" ht="15" customHeight="1">
      <c r="A140" t="n">
        <v>3</v>
      </c>
      <c r="B140" s="37">
        <f>IF(Setup!$B$19="","",Setup!$B$19)</f>
        <v/>
      </c>
      <c r="C140" s="102" t="n"/>
      <c r="D140" s="103" t="n"/>
      <c r="E140" s="103" t="n"/>
      <c r="F140" s="104" t="n"/>
      <c r="G140" s="102" t="n"/>
      <c r="H140" s="103" t="n"/>
      <c r="I140" s="103" t="n"/>
      <c r="J140" s="104" t="n"/>
      <c r="K140" s="102" t="n"/>
      <c r="L140" s="103" t="n"/>
      <c r="M140" s="103" t="n"/>
      <c r="N140" s="104" t="n"/>
      <c r="O140" s="102" t="n"/>
      <c r="P140" s="103" t="n"/>
      <c r="Q140" s="103" t="n"/>
      <c r="R140" s="104" t="n"/>
      <c r="S140" s="102" t="n"/>
      <c r="T140" s="103" t="n"/>
      <c r="U140" s="103" t="n"/>
      <c r="V140" s="104" t="n"/>
      <c r="W140" s="102" t="n"/>
      <c r="X140" s="104" t="n"/>
      <c r="Y140" s="102" t="n"/>
      <c r="Z140" s="104" t="n"/>
      <c r="AB140" s="105">
        <f>IF($B140="","",(COUNTIF(C108:E125,$B140)+COUNTIF(C108:E125,$B140&amp;" ~*")&gt;0)+(COUNTIF(G108:I125,$B140)+COUNTIF(G108:I125,$B140&amp;" ~*")&gt;0)+(COUNTIF(K108:M125,$B140)+COUNTIF(K108:M125,$B140&amp;" ~*")&gt;0)+(COUNTIF(O108:Q125,$B140)+COUNTIF(O108:Q125,$B140&amp;" ~*")&gt;0)+(COUNTIF(S108:U125,$B140)+COUNTIF(S108:U125,$B140&amp;" ~*")&gt;0)+(COUNTIF(W108:W125,$B140)+COUNTIF(W108:W125,$B140&amp;" ~*")&gt;0)+(COUNTIF(Y108:Y125,$B140)+COUNTIF(Y108:Y125,$B140&amp;" ~*")&gt;0))</f>
        <v/>
      </c>
      <c r="AC140" s="38">
        <f>IF($B140="","",(IFERROR(INDEX(Setup!$G$33:$G$40,MATCH(C140,Setup!$B$33:$B$40,0)),0)=1)*(COUNTIF(C108:E125,$B140)+COUNTIF(C108:E125,$B140&amp;" ~*")&gt;0)+(IFERROR(INDEX(Setup!$G$33:$G$40,MATCH(G140,Setup!$B$33:$B$40,0)),0)=1)*(COUNTIF(G108:I125,$B140)+COUNTIF(G108:I125,$B140&amp;" ~*")&gt;0)+(IFERROR(INDEX(Setup!$G$33:$G$40,MATCH(K140,Setup!$B$33:$B$40,0)),0)=1)*(COUNTIF(K108:M125,$B140)+COUNTIF(K108:M125,$B140&amp;" ~*")&gt;0)+(IFERROR(INDEX(Setup!$G$33:$G$40,MATCH(O140,Setup!$B$33:$B$40,0)),0)=1)*(COUNTIF(O108:Q125,$B140)+COUNTIF(O108:Q125,$B140&amp;" ~*")&gt;0)+(IFERROR(INDEX(Setup!$G$33:$G$40,MATCH(S140,Setup!$B$33:$B$40,0)),0)=1)*(COUNTIF(S108:U125,$B140)+COUNTIF(S108:U125,$B140&amp;" ~*")&gt;0)+(IFERROR(INDEX(Setup!$G$33:$G$40,MATCH(W140,Setup!$B$33:$B$40,0)),0)=1)*(COUNTIF(W108:W125,$B140)+COUNTIF(W108:W125,$B140&amp;" ~*")&gt;0)+(IFERROR(INDEX(Setup!$G$33:$G$40,MATCH(Y140,Setup!$B$33:$B$40,0)),0)=1)*(COUNTIF(Y108:Y125,$B140)+COUNTIF(Y108:Y125,$B140&amp;" ~*")&gt;0))</f>
        <v/>
      </c>
    </row>
    <row r="141" ht="15" customHeight="1">
      <c r="A141" t="n">
        <v>3</v>
      </c>
      <c r="B141" s="35">
        <f>IF(Setup!$B$20="","",Setup!$B$20)</f>
        <v/>
      </c>
      <c r="C141" s="98" t="n"/>
      <c r="D141" s="99" t="n"/>
      <c r="E141" s="99" t="n"/>
      <c r="F141" s="100" t="n"/>
      <c r="G141" s="98" t="n"/>
      <c r="H141" s="99" t="n"/>
      <c r="I141" s="99" t="n"/>
      <c r="J141" s="100" t="n"/>
      <c r="K141" s="98" t="n"/>
      <c r="L141" s="99" t="n"/>
      <c r="M141" s="99" t="n"/>
      <c r="N141" s="100" t="n"/>
      <c r="O141" s="98" t="n"/>
      <c r="P141" s="99" t="n"/>
      <c r="Q141" s="99" t="n"/>
      <c r="R141" s="100" t="n"/>
      <c r="S141" s="98" t="n"/>
      <c r="T141" s="99" t="n"/>
      <c r="U141" s="99" t="n"/>
      <c r="V141" s="100" t="n"/>
      <c r="W141" s="98" t="n"/>
      <c r="X141" s="100" t="n"/>
      <c r="Y141" s="98" t="n"/>
      <c r="Z141" s="100" t="n"/>
      <c r="AB141" s="101">
        <f>IF($B141="","",(COUNTIF(C108:E125,$B141)+COUNTIF(C108:E125,$B141&amp;" ~*")&gt;0)+(COUNTIF(G108:I125,$B141)+COUNTIF(G108:I125,$B141&amp;" ~*")&gt;0)+(COUNTIF(K108:M125,$B141)+COUNTIF(K108:M125,$B141&amp;" ~*")&gt;0)+(COUNTIF(O108:Q125,$B141)+COUNTIF(O108:Q125,$B141&amp;" ~*")&gt;0)+(COUNTIF(S108:U125,$B141)+COUNTIF(S108:U125,$B141&amp;" ~*")&gt;0)+(COUNTIF(W108:W125,$B141)+COUNTIF(W108:W125,$B141&amp;" ~*")&gt;0)+(COUNTIF(Y108:Y125,$B141)+COUNTIF(Y108:Y125,$B141&amp;" ~*")&gt;0))</f>
        <v/>
      </c>
      <c r="AC141" s="36">
        <f>IF($B141="","",(IFERROR(INDEX(Setup!$G$33:$G$40,MATCH(C141,Setup!$B$33:$B$40,0)),0)=1)*(COUNTIF(C108:E125,$B141)+COUNTIF(C108:E125,$B141&amp;" ~*")&gt;0)+(IFERROR(INDEX(Setup!$G$33:$G$40,MATCH(G141,Setup!$B$33:$B$40,0)),0)=1)*(COUNTIF(G108:I125,$B141)+COUNTIF(G108:I125,$B141&amp;" ~*")&gt;0)+(IFERROR(INDEX(Setup!$G$33:$G$40,MATCH(K141,Setup!$B$33:$B$40,0)),0)=1)*(COUNTIF(K108:M125,$B141)+COUNTIF(K108:M125,$B141&amp;" ~*")&gt;0)+(IFERROR(INDEX(Setup!$G$33:$G$40,MATCH(O141,Setup!$B$33:$B$40,0)),0)=1)*(COUNTIF(O108:Q125,$B141)+COUNTIF(O108:Q125,$B141&amp;" ~*")&gt;0)+(IFERROR(INDEX(Setup!$G$33:$G$40,MATCH(S141,Setup!$B$33:$B$40,0)),0)=1)*(COUNTIF(S108:U125,$B141)+COUNTIF(S108:U125,$B141&amp;" ~*")&gt;0)+(IFERROR(INDEX(Setup!$G$33:$G$40,MATCH(W141,Setup!$B$33:$B$40,0)),0)=1)*(COUNTIF(W108:W125,$B141)+COUNTIF(W108:W125,$B141&amp;" ~*")&gt;0)+(IFERROR(INDEX(Setup!$G$33:$G$40,MATCH(Y141,Setup!$B$33:$B$40,0)),0)=1)*(COUNTIF(Y108:Y125,$B141)+COUNTIF(Y108:Y125,$B141&amp;" ~*")&gt;0))</f>
        <v/>
      </c>
    </row>
    <row r="142" ht="15" customHeight="1">
      <c r="A142" t="n">
        <v>3</v>
      </c>
      <c r="B142" s="37">
        <f>IF(Setup!$B$21="","",Setup!$B$21)</f>
        <v/>
      </c>
      <c r="C142" s="102" t="n"/>
      <c r="D142" s="103" t="n"/>
      <c r="E142" s="103" t="n"/>
      <c r="F142" s="104" t="n"/>
      <c r="G142" s="102" t="n"/>
      <c r="H142" s="103" t="n"/>
      <c r="I142" s="103" t="n"/>
      <c r="J142" s="104" t="n"/>
      <c r="K142" s="102" t="n"/>
      <c r="L142" s="103" t="n"/>
      <c r="M142" s="103" t="n"/>
      <c r="N142" s="104" t="n"/>
      <c r="O142" s="102" t="n"/>
      <c r="P142" s="103" t="n"/>
      <c r="Q142" s="103" t="n"/>
      <c r="R142" s="104" t="n"/>
      <c r="S142" s="102" t="n"/>
      <c r="T142" s="103" t="n"/>
      <c r="U142" s="103" t="n"/>
      <c r="V142" s="104" t="n"/>
      <c r="W142" s="102" t="n"/>
      <c r="X142" s="104" t="n"/>
      <c r="Y142" s="102" t="n"/>
      <c r="Z142" s="104" t="n"/>
      <c r="AB142" s="105">
        <f>IF($B142="","",(COUNTIF(C108:E125,$B142)+COUNTIF(C108:E125,$B142&amp;" ~*")&gt;0)+(COUNTIF(G108:I125,$B142)+COUNTIF(G108:I125,$B142&amp;" ~*")&gt;0)+(COUNTIF(K108:M125,$B142)+COUNTIF(K108:M125,$B142&amp;" ~*")&gt;0)+(COUNTIF(O108:Q125,$B142)+COUNTIF(O108:Q125,$B142&amp;" ~*")&gt;0)+(COUNTIF(S108:U125,$B142)+COUNTIF(S108:U125,$B142&amp;" ~*")&gt;0)+(COUNTIF(W108:W125,$B142)+COUNTIF(W108:W125,$B142&amp;" ~*")&gt;0)+(COUNTIF(Y108:Y125,$B142)+COUNTIF(Y108:Y125,$B142&amp;" ~*")&gt;0))</f>
        <v/>
      </c>
      <c r="AC142" s="38">
        <f>IF($B142="","",(IFERROR(INDEX(Setup!$G$33:$G$40,MATCH(C142,Setup!$B$33:$B$40,0)),0)=1)*(COUNTIF(C108:E125,$B142)+COUNTIF(C108:E125,$B142&amp;" ~*")&gt;0)+(IFERROR(INDEX(Setup!$G$33:$G$40,MATCH(G142,Setup!$B$33:$B$40,0)),0)=1)*(COUNTIF(G108:I125,$B142)+COUNTIF(G108:I125,$B142&amp;" ~*")&gt;0)+(IFERROR(INDEX(Setup!$G$33:$G$40,MATCH(K142,Setup!$B$33:$B$40,0)),0)=1)*(COUNTIF(K108:M125,$B142)+COUNTIF(K108:M125,$B142&amp;" ~*")&gt;0)+(IFERROR(INDEX(Setup!$G$33:$G$40,MATCH(O142,Setup!$B$33:$B$40,0)),0)=1)*(COUNTIF(O108:Q125,$B142)+COUNTIF(O108:Q125,$B142&amp;" ~*")&gt;0)+(IFERROR(INDEX(Setup!$G$33:$G$40,MATCH(S142,Setup!$B$33:$B$40,0)),0)=1)*(COUNTIF(S108:U125,$B142)+COUNTIF(S108:U125,$B142&amp;" ~*")&gt;0)+(IFERROR(INDEX(Setup!$G$33:$G$40,MATCH(W142,Setup!$B$33:$B$40,0)),0)=1)*(COUNTIF(W108:W125,$B142)+COUNTIF(W108:W125,$B142&amp;" ~*")&gt;0)+(IFERROR(INDEX(Setup!$G$33:$G$40,MATCH(Y142,Setup!$B$33:$B$40,0)),0)=1)*(COUNTIF(Y108:Y125,$B142)+COUNTIF(Y108:Y125,$B142&amp;" ~*")&gt;0))</f>
        <v/>
      </c>
    </row>
    <row r="143" ht="15" customHeight="1">
      <c r="A143" t="n">
        <v>3</v>
      </c>
      <c r="B143" s="35">
        <f>IF(Setup!$B$22="","",Setup!$B$22)</f>
        <v/>
      </c>
      <c r="C143" s="98" t="n"/>
      <c r="D143" s="99" t="n"/>
      <c r="E143" s="99" t="n"/>
      <c r="F143" s="100" t="n"/>
      <c r="G143" s="98" t="n"/>
      <c r="H143" s="99" t="n"/>
      <c r="I143" s="99" t="n"/>
      <c r="J143" s="100" t="n"/>
      <c r="K143" s="98" t="n"/>
      <c r="L143" s="99" t="n"/>
      <c r="M143" s="99" t="n"/>
      <c r="N143" s="100" t="n"/>
      <c r="O143" s="98" t="n"/>
      <c r="P143" s="99" t="n"/>
      <c r="Q143" s="99" t="n"/>
      <c r="R143" s="100" t="n"/>
      <c r="S143" s="98" t="n"/>
      <c r="T143" s="99" t="n"/>
      <c r="U143" s="99" t="n"/>
      <c r="V143" s="100" t="n"/>
      <c r="W143" s="98" t="n"/>
      <c r="X143" s="100" t="n"/>
      <c r="Y143" s="98" t="n"/>
      <c r="Z143" s="100" t="n"/>
      <c r="AB143" s="101">
        <f>IF($B143="","",(COUNTIF(C108:E125,$B143)+COUNTIF(C108:E125,$B143&amp;" ~*")&gt;0)+(COUNTIF(G108:I125,$B143)+COUNTIF(G108:I125,$B143&amp;" ~*")&gt;0)+(COUNTIF(K108:M125,$B143)+COUNTIF(K108:M125,$B143&amp;" ~*")&gt;0)+(COUNTIF(O108:Q125,$B143)+COUNTIF(O108:Q125,$B143&amp;" ~*")&gt;0)+(COUNTIF(S108:U125,$B143)+COUNTIF(S108:U125,$B143&amp;" ~*")&gt;0)+(COUNTIF(W108:W125,$B143)+COUNTIF(W108:W125,$B143&amp;" ~*")&gt;0)+(COUNTIF(Y108:Y125,$B143)+COUNTIF(Y108:Y125,$B143&amp;" ~*")&gt;0))</f>
        <v/>
      </c>
      <c r="AC143" s="36">
        <f>IF($B143="","",(IFERROR(INDEX(Setup!$G$33:$G$40,MATCH(C143,Setup!$B$33:$B$40,0)),0)=1)*(COUNTIF(C108:E125,$B143)+COUNTIF(C108:E125,$B143&amp;" ~*")&gt;0)+(IFERROR(INDEX(Setup!$G$33:$G$40,MATCH(G143,Setup!$B$33:$B$40,0)),0)=1)*(COUNTIF(G108:I125,$B143)+COUNTIF(G108:I125,$B143&amp;" ~*")&gt;0)+(IFERROR(INDEX(Setup!$G$33:$G$40,MATCH(K143,Setup!$B$33:$B$40,0)),0)=1)*(COUNTIF(K108:M125,$B143)+COUNTIF(K108:M125,$B143&amp;" ~*")&gt;0)+(IFERROR(INDEX(Setup!$G$33:$G$40,MATCH(O143,Setup!$B$33:$B$40,0)),0)=1)*(COUNTIF(O108:Q125,$B143)+COUNTIF(O108:Q125,$B143&amp;" ~*")&gt;0)+(IFERROR(INDEX(Setup!$G$33:$G$40,MATCH(S143,Setup!$B$33:$B$40,0)),0)=1)*(COUNTIF(S108:U125,$B143)+COUNTIF(S108:U125,$B143&amp;" ~*")&gt;0)+(IFERROR(INDEX(Setup!$G$33:$G$40,MATCH(W143,Setup!$B$33:$B$40,0)),0)=1)*(COUNTIF(W108:W125,$B143)+COUNTIF(W108:W125,$B143&amp;" ~*")&gt;0)+(IFERROR(INDEX(Setup!$G$33:$G$40,MATCH(Y143,Setup!$B$33:$B$40,0)),0)=1)*(COUNTIF(Y108:Y125,$B143)+COUNTIF(Y108:Y125,$B143&amp;" ~*")&gt;0))</f>
        <v/>
      </c>
    </row>
    <row r="144" ht="15" customHeight="1">
      <c r="A144" t="n">
        <v>3</v>
      </c>
      <c r="B144" s="37">
        <f>IF(Setup!$B$23="","",Setup!$B$23)</f>
        <v/>
      </c>
      <c r="C144" s="102" t="n"/>
      <c r="D144" s="103" t="n"/>
      <c r="E144" s="103" t="n"/>
      <c r="F144" s="104" t="n"/>
      <c r="G144" s="102" t="n"/>
      <c r="H144" s="103" t="n"/>
      <c r="I144" s="103" t="n"/>
      <c r="J144" s="104" t="n"/>
      <c r="K144" s="102" t="n"/>
      <c r="L144" s="103" t="n"/>
      <c r="M144" s="103" t="n"/>
      <c r="N144" s="104" t="n"/>
      <c r="O144" s="102" t="n"/>
      <c r="P144" s="103" t="n"/>
      <c r="Q144" s="103" t="n"/>
      <c r="R144" s="104" t="n"/>
      <c r="S144" s="102" t="n"/>
      <c r="T144" s="103" t="n"/>
      <c r="U144" s="103" t="n"/>
      <c r="V144" s="104" t="n"/>
      <c r="W144" s="102" t="n"/>
      <c r="X144" s="104" t="n"/>
      <c r="Y144" s="102" t="n"/>
      <c r="Z144" s="104" t="n"/>
      <c r="AB144" s="105">
        <f>IF($B144="","",(COUNTIF(C108:E125,$B144)+COUNTIF(C108:E125,$B144&amp;" ~*")&gt;0)+(COUNTIF(G108:I125,$B144)+COUNTIF(G108:I125,$B144&amp;" ~*")&gt;0)+(COUNTIF(K108:M125,$B144)+COUNTIF(K108:M125,$B144&amp;" ~*")&gt;0)+(COUNTIF(O108:Q125,$B144)+COUNTIF(O108:Q125,$B144&amp;" ~*")&gt;0)+(COUNTIF(S108:U125,$B144)+COUNTIF(S108:U125,$B144&amp;" ~*")&gt;0)+(COUNTIF(W108:W125,$B144)+COUNTIF(W108:W125,$B144&amp;" ~*")&gt;0)+(COUNTIF(Y108:Y125,$B144)+COUNTIF(Y108:Y125,$B144&amp;" ~*")&gt;0))</f>
        <v/>
      </c>
      <c r="AC144" s="38">
        <f>IF($B144="","",(IFERROR(INDEX(Setup!$G$33:$G$40,MATCH(C144,Setup!$B$33:$B$40,0)),0)=1)*(COUNTIF(C108:E125,$B144)+COUNTIF(C108:E125,$B144&amp;" ~*")&gt;0)+(IFERROR(INDEX(Setup!$G$33:$G$40,MATCH(G144,Setup!$B$33:$B$40,0)),0)=1)*(COUNTIF(G108:I125,$B144)+COUNTIF(G108:I125,$B144&amp;" ~*")&gt;0)+(IFERROR(INDEX(Setup!$G$33:$G$40,MATCH(K144,Setup!$B$33:$B$40,0)),0)=1)*(COUNTIF(K108:M125,$B144)+COUNTIF(K108:M125,$B144&amp;" ~*")&gt;0)+(IFERROR(INDEX(Setup!$G$33:$G$40,MATCH(O144,Setup!$B$33:$B$40,0)),0)=1)*(COUNTIF(O108:Q125,$B144)+COUNTIF(O108:Q125,$B144&amp;" ~*")&gt;0)+(IFERROR(INDEX(Setup!$G$33:$G$40,MATCH(S144,Setup!$B$33:$B$40,0)),0)=1)*(COUNTIF(S108:U125,$B144)+COUNTIF(S108:U125,$B144&amp;" ~*")&gt;0)+(IFERROR(INDEX(Setup!$G$33:$G$40,MATCH(W144,Setup!$B$33:$B$40,0)),0)=1)*(COUNTIF(W108:W125,$B144)+COUNTIF(W108:W125,$B144&amp;" ~*")&gt;0)+(IFERROR(INDEX(Setup!$G$33:$G$40,MATCH(Y144,Setup!$B$33:$B$40,0)),0)=1)*(COUNTIF(Y108:Y125,$B144)+COUNTIF(Y108:Y125,$B144&amp;" ~*")&gt;0))</f>
        <v/>
      </c>
    </row>
    <row r="145" ht="15" customHeight="1">
      <c r="A145" t="n">
        <v>3</v>
      </c>
      <c r="B145" s="35">
        <f>IF(Setup!$B$24="","",Setup!$B$24)</f>
        <v/>
      </c>
      <c r="C145" s="98" t="n"/>
      <c r="D145" s="99" t="n"/>
      <c r="E145" s="99" t="n"/>
      <c r="F145" s="100" t="n"/>
      <c r="G145" s="98" t="n"/>
      <c r="H145" s="99" t="n"/>
      <c r="I145" s="99" t="n"/>
      <c r="J145" s="100" t="n"/>
      <c r="K145" s="98" t="n"/>
      <c r="L145" s="99" t="n"/>
      <c r="M145" s="99" t="n"/>
      <c r="N145" s="100" t="n"/>
      <c r="O145" s="98" t="n"/>
      <c r="P145" s="99" t="n"/>
      <c r="Q145" s="99" t="n"/>
      <c r="R145" s="100" t="n"/>
      <c r="S145" s="98" t="n"/>
      <c r="T145" s="99" t="n"/>
      <c r="U145" s="99" t="n"/>
      <c r="V145" s="100" t="n"/>
      <c r="W145" s="98" t="n"/>
      <c r="X145" s="100" t="n"/>
      <c r="Y145" s="98" t="n"/>
      <c r="Z145" s="100" t="n"/>
      <c r="AB145" s="101">
        <f>IF($B145="","",(COUNTIF(C108:E125,$B145)+COUNTIF(C108:E125,$B145&amp;" ~*")&gt;0)+(COUNTIF(G108:I125,$B145)+COUNTIF(G108:I125,$B145&amp;" ~*")&gt;0)+(COUNTIF(K108:M125,$B145)+COUNTIF(K108:M125,$B145&amp;" ~*")&gt;0)+(COUNTIF(O108:Q125,$B145)+COUNTIF(O108:Q125,$B145&amp;" ~*")&gt;0)+(COUNTIF(S108:U125,$B145)+COUNTIF(S108:U125,$B145&amp;" ~*")&gt;0)+(COUNTIF(W108:W125,$B145)+COUNTIF(W108:W125,$B145&amp;" ~*")&gt;0)+(COUNTIF(Y108:Y125,$B145)+COUNTIF(Y108:Y125,$B145&amp;" ~*")&gt;0))</f>
        <v/>
      </c>
      <c r="AC145" s="36">
        <f>IF($B145="","",(IFERROR(INDEX(Setup!$G$33:$G$40,MATCH(C145,Setup!$B$33:$B$40,0)),0)=1)*(COUNTIF(C108:E125,$B145)+COUNTIF(C108:E125,$B145&amp;" ~*")&gt;0)+(IFERROR(INDEX(Setup!$G$33:$G$40,MATCH(G145,Setup!$B$33:$B$40,0)),0)=1)*(COUNTIF(G108:I125,$B145)+COUNTIF(G108:I125,$B145&amp;" ~*")&gt;0)+(IFERROR(INDEX(Setup!$G$33:$G$40,MATCH(K145,Setup!$B$33:$B$40,0)),0)=1)*(COUNTIF(K108:M125,$B145)+COUNTIF(K108:M125,$B145&amp;" ~*")&gt;0)+(IFERROR(INDEX(Setup!$G$33:$G$40,MATCH(O145,Setup!$B$33:$B$40,0)),0)=1)*(COUNTIF(O108:Q125,$B145)+COUNTIF(O108:Q125,$B145&amp;" ~*")&gt;0)+(IFERROR(INDEX(Setup!$G$33:$G$40,MATCH(S145,Setup!$B$33:$B$40,0)),0)=1)*(COUNTIF(S108:U125,$B145)+COUNTIF(S108:U125,$B145&amp;" ~*")&gt;0)+(IFERROR(INDEX(Setup!$G$33:$G$40,MATCH(W145,Setup!$B$33:$B$40,0)),0)=1)*(COUNTIF(W108:W125,$B145)+COUNTIF(W108:W125,$B145&amp;" ~*")&gt;0)+(IFERROR(INDEX(Setup!$G$33:$G$40,MATCH(Y145,Setup!$B$33:$B$40,0)),0)=1)*(COUNTIF(Y108:Y125,$B145)+COUNTIF(Y108:Y125,$B145&amp;" ~*")&gt;0))</f>
        <v/>
      </c>
    </row>
    <row r="146" ht="15" customHeight="1">
      <c r="A146" t="n">
        <v>3</v>
      </c>
      <c r="B146" s="37">
        <f>IF(Setup!$B$25="","",Setup!$B$25)</f>
        <v/>
      </c>
      <c r="C146" s="102" t="n"/>
      <c r="D146" s="103" t="n"/>
      <c r="E146" s="103" t="n"/>
      <c r="F146" s="104" t="n"/>
      <c r="G146" s="102" t="n"/>
      <c r="H146" s="103" t="n"/>
      <c r="I146" s="103" t="n"/>
      <c r="J146" s="104" t="n"/>
      <c r="K146" s="102" t="n"/>
      <c r="L146" s="103" t="n"/>
      <c r="M146" s="103" t="n"/>
      <c r="N146" s="104" t="n"/>
      <c r="O146" s="102" t="n"/>
      <c r="P146" s="103" t="n"/>
      <c r="Q146" s="103" t="n"/>
      <c r="R146" s="104" t="n"/>
      <c r="S146" s="102" t="n"/>
      <c r="T146" s="103" t="n"/>
      <c r="U146" s="103" t="n"/>
      <c r="V146" s="104" t="n"/>
      <c r="W146" s="102" t="n"/>
      <c r="X146" s="104" t="n"/>
      <c r="Y146" s="102" t="n"/>
      <c r="Z146" s="104" t="n"/>
      <c r="AB146" s="105">
        <f>IF($B146="","",(COUNTIF(C108:E125,$B146)+COUNTIF(C108:E125,$B146&amp;" ~*")&gt;0)+(COUNTIF(G108:I125,$B146)+COUNTIF(G108:I125,$B146&amp;" ~*")&gt;0)+(COUNTIF(K108:M125,$B146)+COUNTIF(K108:M125,$B146&amp;" ~*")&gt;0)+(COUNTIF(O108:Q125,$B146)+COUNTIF(O108:Q125,$B146&amp;" ~*")&gt;0)+(COUNTIF(S108:U125,$B146)+COUNTIF(S108:U125,$B146&amp;" ~*")&gt;0)+(COUNTIF(W108:W125,$B146)+COUNTIF(W108:W125,$B146&amp;" ~*")&gt;0)+(COUNTIF(Y108:Y125,$B146)+COUNTIF(Y108:Y125,$B146&amp;" ~*")&gt;0))</f>
        <v/>
      </c>
      <c r="AC146" s="38">
        <f>IF($B146="","",(IFERROR(INDEX(Setup!$G$33:$G$40,MATCH(C146,Setup!$B$33:$B$40,0)),0)=1)*(COUNTIF(C108:E125,$B146)+COUNTIF(C108:E125,$B146&amp;" ~*")&gt;0)+(IFERROR(INDEX(Setup!$G$33:$G$40,MATCH(G146,Setup!$B$33:$B$40,0)),0)=1)*(COUNTIF(G108:I125,$B146)+COUNTIF(G108:I125,$B146&amp;" ~*")&gt;0)+(IFERROR(INDEX(Setup!$G$33:$G$40,MATCH(K146,Setup!$B$33:$B$40,0)),0)=1)*(COUNTIF(K108:M125,$B146)+COUNTIF(K108:M125,$B146&amp;" ~*")&gt;0)+(IFERROR(INDEX(Setup!$G$33:$G$40,MATCH(O146,Setup!$B$33:$B$40,0)),0)=1)*(COUNTIF(O108:Q125,$B146)+COUNTIF(O108:Q125,$B146&amp;" ~*")&gt;0)+(IFERROR(INDEX(Setup!$G$33:$G$40,MATCH(S146,Setup!$B$33:$B$40,0)),0)=1)*(COUNTIF(S108:U125,$B146)+COUNTIF(S108:U125,$B146&amp;" ~*")&gt;0)+(IFERROR(INDEX(Setup!$G$33:$G$40,MATCH(W146,Setup!$B$33:$B$40,0)),0)=1)*(COUNTIF(W108:W125,$B146)+COUNTIF(W108:W125,$B146&amp;" ~*")&gt;0)+(IFERROR(INDEX(Setup!$G$33:$G$40,MATCH(Y146,Setup!$B$33:$B$40,0)),0)=1)*(COUNTIF(Y108:Y125,$B146)+COUNTIF(Y108:Y125,$B146&amp;" ~*")&gt;0))</f>
        <v/>
      </c>
    </row>
    <row r="147" ht="15" customHeight="1">
      <c r="A147" t="n">
        <v>3</v>
      </c>
      <c r="B147" s="35">
        <f>IF(Setup!$B$26="","",Setup!$B$26)</f>
        <v/>
      </c>
      <c r="C147" s="98" t="n"/>
      <c r="D147" s="99" t="n"/>
      <c r="E147" s="99" t="n"/>
      <c r="F147" s="100" t="n"/>
      <c r="G147" s="98" t="n"/>
      <c r="H147" s="99" t="n"/>
      <c r="I147" s="99" t="n"/>
      <c r="J147" s="100" t="n"/>
      <c r="K147" s="98" t="n"/>
      <c r="L147" s="99" t="n"/>
      <c r="M147" s="99" t="n"/>
      <c r="N147" s="100" t="n"/>
      <c r="O147" s="98" t="n"/>
      <c r="P147" s="99" t="n"/>
      <c r="Q147" s="99" t="n"/>
      <c r="R147" s="100" t="n"/>
      <c r="S147" s="98" t="n"/>
      <c r="T147" s="99" t="n"/>
      <c r="U147" s="99" t="n"/>
      <c r="V147" s="100" t="n"/>
      <c r="W147" s="98" t="n"/>
      <c r="X147" s="100" t="n"/>
      <c r="Y147" s="98" t="n"/>
      <c r="Z147" s="100" t="n"/>
      <c r="AB147" s="101">
        <f>IF($B147="","",(COUNTIF(C108:E125,$B147)+COUNTIF(C108:E125,$B147&amp;" ~*")&gt;0)+(COUNTIF(G108:I125,$B147)+COUNTIF(G108:I125,$B147&amp;" ~*")&gt;0)+(COUNTIF(K108:M125,$B147)+COUNTIF(K108:M125,$B147&amp;" ~*")&gt;0)+(COUNTIF(O108:Q125,$B147)+COUNTIF(O108:Q125,$B147&amp;" ~*")&gt;0)+(COUNTIF(S108:U125,$B147)+COUNTIF(S108:U125,$B147&amp;" ~*")&gt;0)+(COUNTIF(W108:W125,$B147)+COUNTIF(W108:W125,$B147&amp;" ~*")&gt;0)+(COUNTIF(Y108:Y125,$B147)+COUNTIF(Y108:Y125,$B147&amp;" ~*")&gt;0))</f>
        <v/>
      </c>
      <c r="AC147" s="36">
        <f>IF($B147="","",(IFERROR(INDEX(Setup!$G$33:$G$40,MATCH(C147,Setup!$B$33:$B$40,0)),0)=1)*(COUNTIF(C108:E125,$B147)+COUNTIF(C108:E125,$B147&amp;" ~*")&gt;0)+(IFERROR(INDEX(Setup!$G$33:$G$40,MATCH(G147,Setup!$B$33:$B$40,0)),0)=1)*(COUNTIF(G108:I125,$B147)+COUNTIF(G108:I125,$B147&amp;" ~*")&gt;0)+(IFERROR(INDEX(Setup!$G$33:$G$40,MATCH(K147,Setup!$B$33:$B$40,0)),0)=1)*(COUNTIF(K108:M125,$B147)+COUNTIF(K108:M125,$B147&amp;" ~*")&gt;0)+(IFERROR(INDEX(Setup!$G$33:$G$40,MATCH(O147,Setup!$B$33:$B$40,0)),0)=1)*(COUNTIF(O108:Q125,$B147)+COUNTIF(O108:Q125,$B147&amp;" ~*")&gt;0)+(IFERROR(INDEX(Setup!$G$33:$G$40,MATCH(S147,Setup!$B$33:$B$40,0)),0)=1)*(COUNTIF(S108:U125,$B147)+COUNTIF(S108:U125,$B147&amp;" ~*")&gt;0)+(IFERROR(INDEX(Setup!$G$33:$G$40,MATCH(W147,Setup!$B$33:$B$40,0)),0)=1)*(COUNTIF(W108:W125,$B147)+COUNTIF(W108:W125,$B147&amp;" ~*")&gt;0)+(IFERROR(INDEX(Setup!$G$33:$G$40,MATCH(Y147,Setup!$B$33:$B$40,0)),0)=1)*(COUNTIF(Y108:Y125,$B147)+COUNTIF(Y108:Y125,$B147&amp;" ~*")&gt;0))</f>
        <v/>
      </c>
    </row>
    <row r="148" ht="15" customHeight="1">
      <c r="A148" t="n">
        <v>3</v>
      </c>
      <c r="B148" s="37">
        <f>IF(Setup!$B$27="","",Setup!$B$27)</f>
        <v/>
      </c>
      <c r="C148" s="102" t="n"/>
      <c r="D148" s="103" t="n"/>
      <c r="E148" s="103" t="n"/>
      <c r="F148" s="104" t="n"/>
      <c r="G148" s="102" t="n"/>
      <c r="H148" s="103" t="n"/>
      <c r="I148" s="103" t="n"/>
      <c r="J148" s="104" t="n"/>
      <c r="K148" s="102" t="n"/>
      <c r="L148" s="103" t="n"/>
      <c r="M148" s="103" t="n"/>
      <c r="N148" s="104" t="n"/>
      <c r="O148" s="102" t="n"/>
      <c r="P148" s="103" t="n"/>
      <c r="Q148" s="103" t="n"/>
      <c r="R148" s="104" t="n"/>
      <c r="S148" s="102" t="n"/>
      <c r="T148" s="103" t="n"/>
      <c r="U148" s="103" t="n"/>
      <c r="V148" s="104" t="n"/>
      <c r="W148" s="102" t="n"/>
      <c r="X148" s="104" t="n"/>
      <c r="Y148" s="102" t="n"/>
      <c r="Z148" s="104" t="n"/>
      <c r="AB148" s="105">
        <f>IF($B148="","",(COUNTIF(C108:E125,$B148)+COUNTIF(C108:E125,$B148&amp;" ~*")&gt;0)+(COUNTIF(G108:I125,$B148)+COUNTIF(G108:I125,$B148&amp;" ~*")&gt;0)+(COUNTIF(K108:M125,$B148)+COUNTIF(K108:M125,$B148&amp;" ~*")&gt;0)+(COUNTIF(O108:Q125,$B148)+COUNTIF(O108:Q125,$B148&amp;" ~*")&gt;0)+(COUNTIF(S108:U125,$B148)+COUNTIF(S108:U125,$B148&amp;" ~*")&gt;0)+(COUNTIF(W108:W125,$B148)+COUNTIF(W108:W125,$B148&amp;" ~*")&gt;0)+(COUNTIF(Y108:Y125,$B148)+COUNTIF(Y108:Y125,$B148&amp;" ~*")&gt;0))</f>
        <v/>
      </c>
      <c r="AC148" s="38">
        <f>IF($B148="","",(IFERROR(INDEX(Setup!$G$33:$G$40,MATCH(C148,Setup!$B$33:$B$40,0)),0)=1)*(COUNTIF(C108:E125,$B148)+COUNTIF(C108:E125,$B148&amp;" ~*")&gt;0)+(IFERROR(INDEX(Setup!$G$33:$G$40,MATCH(G148,Setup!$B$33:$B$40,0)),0)=1)*(COUNTIF(G108:I125,$B148)+COUNTIF(G108:I125,$B148&amp;" ~*")&gt;0)+(IFERROR(INDEX(Setup!$G$33:$G$40,MATCH(K148,Setup!$B$33:$B$40,0)),0)=1)*(COUNTIF(K108:M125,$B148)+COUNTIF(K108:M125,$B148&amp;" ~*")&gt;0)+(IFERROR(INDEX(Setup!$G$33:$G$40,MATCH(O148,Setup!$B$33:$B$40,0)),0)=1)*(COUNTIF(O108:Q125,$B148)+COUNTIF(O108:Q125,$B148&amp;" ~*")&gt;0)+(IFERROR(INDEX(Setup!$G$33:$G$40,MATCH(S148,Setup!$B$33:$B$40,0)),0)=1)*(COUNTIF(S108:U125,$B148)+COUNTIF(S108:U125,$B148&amp;" ~*")&gt;0)+(IFERROR(INDEX(Setup!$G$33:$G$40,MATCH(W148,Setup!$B$33:$B$40,0)),0)=1)*(COUNTIF(W108:W125,$B148)+COUNTIF(W108:W125,$B148&amp;" ~*")&gt;0)+(IFERROR(INDEX(Setup!$G$33:$G$40,MATCH(Y148,Setup!$B$33:$B$40,0)),0)=1)*(COUNTIF(Y108:Y125,$B148)+COUNTIF(Y108:Y125,$B148&amp;" ~*")&gt;0))</f>
        <v/>
      </c>
    </row>
    <row r="149" ht="15" customHeight="1">
      <c r="A149" t="n">
        <v>3</v>
      </c>
      <c r="B149" s="35">
        <f>IF(Setup!$B$28="","",Setup!$B$28)</f>
        <v/>
      </c>
      <c r="C149" s="98" t="n"/>
      <c r="D149" s="99" t="n"/>
      <c r="E149" s="99" t="n"/>
      <c r="F149" s="100" t="n"/>
      <c r="G149" s="98" t="n"/>
      <c r="H149" s="99" t="n"/>
      <c r="I149" s="99" t="n"/>
      <c r="J149" s="100" t="n"/>
      <c r="K149" s="98" t="n"/>
      <c r="L149" s="99" t="n"/>
      <c r="M149" s="99" t="n"/>
      <c r="N149" s="100" t="n"/>
      <c r="O149" s="98" t="n"/>
      <c r="P149" s="99" t="n"/>
      <c r="Q149" s="99" t="n"/>
      <c r="R149" s="100" t="n"/>
      <c r="S149" s="98" t="n"/>
      <c r="T149" s="99" t="n"/>
      <c r="U149" s="99" t="n"/>
      <c r="V149" s="100" t="n"/>
      <c r="W149" s="98" t="n"/>
      <c r="X149" s="100" t="n"/>
      <c r="Y149" s="98" t="n"/>
      <c r="Z149" s="100" t="n"/>
      <c r="AB149" s="101">
        <f>IF($B149="","",(COUNTIF(C108:E125,$B149)+COUNTIF(C108:E125,$B149&amp;" ~*")&gt;0)+(COUNTIF(G108:I125,$B149)+COUNTIF(G108:I125,$B149&amp;" ~*")&gt;0)+(COUNTIF(K108:M125,$B149)+COUNTIF(K108:M125,$B149&amp;" ~*")&gt;0)+(COUNTIF(O108:Q125,$B149)+COUNTIF(O108:Q125,$B149&amp;" ~*")&gt;0)+(COUNTIF(S108:U125,$B149)+COUNTIF(S108:U125,$B149&amp;" ~*")&gt;0)+(COUNTIF(W108:W125,$B149)+COUNTIF(W108:W125,$B149&amp;" ~*")&gt;0)+(COUNTIF(Y108:Y125,$B149)+COUNTIF(Y108:Y125,$B149&amp;" ~*")&gt;0))</f>
        <v/>
      </c>
      <c r="AC149" s="36">
        <f>IF($B149="","",(IFERROR(INDEX(Setup!$G$33:$G$40,MATCH(C149,Setup!$B$33:$B$40,0)),0)=1)*(COUNTIF(C108:E125,$B149)+COUNTIF(C108:E125,$B149&amp;" ~*")&gt;0)+(IFERROR(INDEX(Setup!$G$33:$G$40,MATCH(G149,Setup!$B$33:$B$40,0)),0)=1)*(COUNTIF(G108:I125,$B149)+COUNTIF(G108:I125,$B149&amp;" ~*")&gt;0)+(IFERROR(INDEX(Setup!$G$33:$G$40,MATCH(K149,Setup!$B$33:$B$40,0)),0)=1)*(COUNTIF(K108:M125,$B149)+COUNTIF(K108:M125,$B149&amp;" ~*")&gt;0)+(IFERROR(INDEX(Setup!$G$33:$G$40,MATCH(O149,Setup!$B$33:$B$40,0)),0)=1)*(COUNTIF(O108:Q125,$B149)+COUNTIF(O108:Q125,$B149&amp;" ~*")&gt;0)+(IFERROR(INDEX(Setup!$G$33:$G$40,MATCH(S149,Setup!$B$33:$B$40,0)),0)=1)*(COUNTIF(S108:U125,$B149)+COUNTIF(S108:U125,$B149&amp;" ~*")&gt;0)+(IFERROR(INDEX(Setup!$G$33:$G$40,MATCH(W149,Setup!$B$33:$B$40,0)),0)=1)*(COUNTIF(W108:W125,$B149)+COUNTIF(W108:W125,$B149&amp;" ~*")&gt;0)+(IFERROR(INDEX(Setup!$G$33:$G$40,MATCH(Y149,Setup!$B$33:$B$40,0)),0)=1)*(COUNTIF(Y108:Y125,$B149)+COUNTIF(Y108:Y125,$B149&amp;" ~*")&gt;0))</f>
        <v/>
      </c>
    </row>
    <row r="150" ht="15" customHeight="1">
      <c r="A150" t="n">
        <v>3</v>
      </c>
      <c r="B150" s="37">
        <f>IF(Setup!$B$29="","",Setup!$B$29)</f>
        <v/>
      </c>
      <c r="C150" s="102" t="n"/>
      <c r="D150" s="103" t="n"/>
      <c r="E150" s="103" t="n"/>
      <c r="F150" s="104" t="n"/>
      <c r="G150" s="102" t="n"/>
      <c r="H150" s="103" t="n"/>
      <c r="I150" s="103" t="n"/>
      <c r="J150" s="104" t="n"/>
      <c r="K150" s="102" t="n"/>
      <c r="L150" s="103" t="n"/>
      <c r="M150" s="103" t="n"/>
      <c r="N150" s="104" t="n"/>
      <c r="O150" s="102" t="n"/>
      <c r="P150" s="103" t="n"/>
      <c r="Q150" s="103" t="n"/>
      <c r="R150" s="104" t="n"/>
      <c r="S150" s="102" t="n"/>
      <c r="T150" s="103" t="n"/>
      <c r="U150" s="103" t="n"/>
      <c r="V150" s="104" t="n"/>
      <c r="W150" s="102" t="n"/>
      <c r="X150" s="104" t="n"/>
      <c r="Y150" s="102" t="n"/>
      <c r="Z150" s="104" t="n"/>
      <c r="AB150" s="105">
        <f>IF($B150="","",(COUNTIF(C108:E125,$B150)+COUNTIF(C108:E125,$B150&amp;" ~*")&gt;0)+(COUNTIF(G108:I125,$B150)+COUNTIF(G108:I125,$B150&amp;" ~*")&gt;0)+(COUNTIF(K108:M125,$B150)+COUNTIF(K108:M125,$B150&amp;" ~*")&gt;0)+(COUNTIF(O108:Q125,$B150)+COUNTIF(O108:Q125,$B150&amp;" ~*")&gt;0)+(COUNTIF(S108:U125,$B150)+COUNTIF(S108:U125,$B150&amp;" ~*")&gt;0)+(COUNTIF(W108:W125,$B150)+COUNTIF(W108:W125,$B150&amp;" ~*")&gt;0)+(COUNTIF(Y108:Y125,$B150)+COUNTIF(Y108:Y125,$B150&amp;" ~*")&gt;0))</f>
        <v/>
      </c>
      <c r="AC150" s="38">
        <f>IF($B150="","",(IFERROR(INDEX(Setup!$G$33:$G$40,MATCH(C150,Setup!$B$33:$B$40,0)),0)=1)*(COUNTIF(C108:E125,$B150)+COUNTIF(C108:E125,$B150&amp;" ~*")&gt;0)+(IFERROR(INDEX(Setup!$G$33:$G$40,MATCH(G150,Setup!$B$33:$B$40,0)),0)=1)*(COUNTIF(G108:I125,$B150)+COUNTIF(G108:I125,$B150&amp;" ~*")&gt;0)+(IFERROR(INDEX(Setup!$G$33:$G$40,MATCH(K150,Setup!$B$33:$B$40,0)),0)=1)*(COUNTIF(K108:M125,$B150)+COUNTIF(K108:M125,$B150&amp;" ~*")&gt;0)+(IFERROR(INDEX(Setup!$G$33:$G$40,MATCH(O150,Setup!$B$33:$B$40,0)),0)=1)*(COUNTIF(O108:Q125,$B150)+COUNTIF(O108:Q125,$B150&amp;" ~*")&gt;0)+(IFERROR(INDEX(Setup!$G$33:$G$40,MATCH(S150,Setup!$B$33:$B$40,0)),0)=1)*(COUNTIF(S108:U125,$B150)+COUNTIF(S108:U125,$B150&amp;" ~*")&gt;0)+(IFERROR(INDEX(Setup!$G$33:$G$40,MATCH(W150,Setup!$B$33:$B$40,0)),0)=1)*(COUNTIF(W108:W125,$B150)+COUNTIF(W108:W125,$B150&amp;" ~*")&gt;0)+(IFERROR(INDEX(Setup!$G$33:$G$40,MATCH(Y150,Setup!$B$33:$B$40,0)),0)=1)*(COUNTIF(Y108:Y125,$B150)+COUNTIF(Y108:Y125,$B150&amp;" ~*")&gt;0))</f>
        <v/>
      </c>
    </row>
    <row r="151" ht="16" customHeight="1">
      <c r="A151" t="n">
        <v>3</v>
      </c>
      <c r="B151" s="106" t="inlineStr">
        <is>
          <t>Available people</t>
        </is>
      </c>
      <c r="C151" s="107">
        <f>COUNTIFS(Setup!$E$6:$E$29,"Y",Setup!$B$6:$B$29,"?*")-SUMPRODUCT(COUNTIF(C127:C150,Setup!$F$33:$F$40))</f>
        <v/>
      </c>
      <c r="D151" s="107" t="n"/>
      <c r="E151" s="107" t="n"/>
      <c r="F151" s="107" t="n"/>
      <c r="G151" s="107">
        <f>COUNTIFS(Setup!$E$6:$E$29,"Y",Setup!$B$6:$B$29,"?*")-SUMPRODUCT(COUNTIF(G127:G150,Setup!$F$33:$F$40))</f>
        <v/>
      </c>
      <c r="H151" s="107" t="n"/>
      <c r="I151" s="107" t="n"/>
      <c r="J151" s="107" t="n"/>
      <c r="K151" s="107">
        <f>COUNTIFS(Setup!$E$6:$E$29,"Y",Setup!$B$6:$B$29,"?*")-SUMPRODUCT(COUNTIF(K127:K150,Setup!$F$33:$F$40))</f>
        <v/>
      </c>
      <c r="L151" s="107" t="n"/>
      <c r="M151" s="107" t="n"/>
      <c r="N151" s="107" t="n"/>
      <c r="O151" s="107">
        <f>COUNTIFS(Setup!$E$6:$E$29,"Y",Setup!$B$6:$B$29,"?*")-SUMPRODUCT(COUNTIF(O127:O150,Setup!$F$33:$F$40))</f>
        <v/>
      </c>
      <c r="P151" s="107" t="n"/>
      <c r="Q151" s="107" t="n"/>
      <c r="R151" s="107" t="n"/>
      <c r="S151" s="107">
        <f>COUNTIFS(Setup!$E$6:$E$29,"Y",Setup!$B$6:$B$29,"?*")-SUMPRODUCT(COUNTIF(S127:S150,Setup!$F$33:$F$40))</f>
        <v/>
      </c>
      <c r="T151" s="107" t="n"/>
      <c r="U151" s="107" t="n"/>
      <c r="V151" s="107" t="n"/>
      <c r="W151" s="107">
        <f>COUNTIFS(Setup!$E$6:$E$29,"Y",Setup!$B$6:$B$29,"?*")-SUMPRODUCT(COUNTIF(W127:W150,Setup!$F$33:$F$40))</f>
        <v/>
      </c>
      <c r="X151" s="107" t="n"/>
      <c r="Y151" s="107">
        <f>COUNTIFS(Setup!$E$6:$E$29,"Y",Setup!$B$6:$B$29,"?*")-SUMPRODUCT(COUNTIF(Y127:Y150,Setup!$F$33:$F$40))</f>
        <v/>
      </c>
      <c r="Z151" s="107" t="n"/>
      <c r="AB151" s="108">
        <f>SUM(AB127:AB150)</f>
        <v/>
      </c>
      <c r="AC151" s="109">
        <f>SUM(AC127:AC150)</f>
        <v/>
      </c>
    </row>
    <row r="152" ht="30" customHeight="1">
      <c r="A152" t="n">
        <v>3</v>
      </c>
      <c r="B152" s="110" t="inlineStr">
        <is>
          <t>Week notes</t>
        </is>
      </c>
      <c r="C152" s="111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112" t="n"/>
      <c r="R152" s="112" t="n"/>
      <c r="S152" s="112" t="n"/>
      <c r="T152" s="112" t="n"/>
      <c r="U152" s="112" t="n"/>
      <c r="V152" s="112" t="n"/>
      <c r="W152" s="112" t="n"/>
      <c r="X152" s="112" t="n"/>
      <c r="Y152" s="112" t="n"/>
      <c r="Z152" s="113" t="n"/>
    </row>
    <row r="153" ht="8" customHeight="1">
      <c r="A153" t="n">
        <v>3</v>
      </c>
    </row>
    <row r="154" ht="8" customHeight="1">
      <c r="A154" t="n">
        <v>3</v>
      </c>
    </row>
    <row r="155" ht="24" customHeight="1">
      <c r="A155" t="n">
        <v>4</v>
      </c>
      <c r="B155" s="73">
        <f>"WEEK 4     "&amp;TEXT(C156,"ddd d mmm")&amp;"  –  "&amp;TEXT(C156+6,"ddd d mmm yyyy")</f>
        <v/>
      </c>
      <c r="S155" s="74">
        <f>IF(TODAY()&lt;C156,"FUTURE",IF(TODAY()&gt;C156+6,"PAST","THIS WEEK"))</f>
        <v/>
      </c>
      <c r="W155" s="75">
        <f>IF(AND(Engine!$B$8=$AC$3,Engine!$B$9=$A155),"◀ ACTIVE WEEK","")</f>
        <v/>
      </c>
      <c r="AA155" s="76" t="n"/>
      <c r="AB155" s="77" t="inlineStr">
        <is>
          <t>◀ Prev</t>
        </is>
      </c>
      <c r="AC155" s="77" t="inlineStr">
        <is>
          <t>Next ▶</t>
        </is>
      </c>
    </row>
    <row r="156" ht="18" customHeight="1">
      <c r="A156" t="n">
        <v>4</v>
      </c>
      <c r="B156" s="78" t="inlineStr">
        <is>
          <t>DUTY</t>
        </is>
      </c>
      <c r="C156" s="79">
        <f>$AC$2+7*($A156-1)</f>
        <v/>
      </c>
      <c r="D156" s="80" t="n"/>
      <c r="E156" s="80" t="n"/>
      <c r="F156" s="81" t="n"/>
      <c r="G156" s="79">
        <f>C156+1</f>
        <v/>
      </c>
      <c r="H156" s="80" t="n"/>
      <c r="I156" s="80" t="n"/>
      <c r="J156" s="81" t="n"/>
      <c r="K156" s="79">
        <f>C156+2</f>
        <v/>
      </c>
      <c r="L156" s="80" t="n"/>
      <c r="M156" s="80" t="n"/>
      <c r="N156" s="81" t="n"/>
      <c r="O156" s="79">
        <f>C156+3</f>
        <v/>
      </c>
      <c r="P156" s="80" t="n"/>
      <c r="Q156" s="80" t="n"/>
      <c r="R156" s="81" t="n"/>
      <c r="S156" s="79">
        <f>C156+4</f>
        <v/>
      </c>
      <c r="T156" s="80" t="n"/>
      <c r="U156" s="80" t="n"/>
      <c r="V156" s="81" t="n"/>
      <c r="W156" s="82">
        <f>C156+5</f>
        <v/>
      </c>
      <c r="X156" s="83" t="n"/>
      <c r="Y156" s="82">
        <f>C156+6</f>
        <v/>
      </c>
      <c r="Z156" s="83" t="n"/>
      <c r="AB156" s="72" t="inlineStr">
        <is>
          <t>Gaps</t>
        </is>
      </c>
      <c r="AC156" s="72" t="inlineStr">
        <is>
          <t>Cover</t>
        </is>
      </c>
    </row>
    <row r="157" ht="14" customHeight="1">
      <c r="A157" t="n">
        <v>4</v>
      </c>
      <c r="B157" s="84" t="inlineStr">
        <is>
          <t>(from Setup)</t>
        </is>
      </c>
      <c r="C157" s="85" t="inlineStr">
        <is>
          <t>1</t>
        </is>
      </c>
      <c r="D157" s="85" t="inlineStr">
        <is>
          <t>2</t>
        </is>
      </c>
      <c r="E157" s="85" t="inlineStr">
        <is>
          <t>3</t>
        </is>
      </c>
      <c r="F157" s="85" t="inlineStr">
        <is>
          <t>Notes</t>
        </is>
      </c>
      <c r="G157" s="85" t="inlineStr">
        <is>
          <t>1</t>
        </is>
      </c>
      <c r="H157" s="85" t="inlineStr">
        <is>
          <t>2</t>
        </is>
      </c>
      <c r="I157" s="85" t="inlineStr">
        <is>
          <t>3</t>
        </is>
      </c>
      <c r="J157" s="85" t="inlineStr">
        <is>
          <t>Notes</t>
        </is>
      </c>
      <c r="K157" s="85" t="inlineStr">
        <is>
          <t>1</t>
        </is>
      </c>
      <c r="L157" s="85" t="inlineStr">
        <is>
          <t>2</t>
        </is>
      </c>
      <c r="M157" s="85" t="inlineStr">
        <is>
          <t>3</t>
        </is>
      </c>
      <c r="N157" s="85" t="inlineStr">
        <is>
          <t>Notes</t>
        </is>
      </c>
      <c r="O157" s="85" t="inlineStr">
        <is>
          <t>1</t>
        </is>
      </c>
      <c r="P157" s="85" t="inlineStr">
        <is>
          <t>2</t>
        </is>
      </c>
      <c r="Q157" s="85" t="inlineStr">
        <is>
          <t>3</t>
        </is>
      </c>
      <c r="R157" s="85" t="inlineStr">
        <is>
          <t>Notes</t>
        </is>
      </c>
      <c r="S157" s="85" t="inlineStr">
        <is>
          <t>1</t>
        </is>
      </c>
      <c r="T157" s="85" t="inlineStr">
        <is>
          <t>2</t>
        </is>
      </c>
      <c r="U157" s="85" t="inlineStr">
        <is>
          <t>3</t>
        </is>
      </c>
      <c r="V157" s="85" t="inlineStr">
        <is>
          <t>Notes</t>
        </is>
      </c>
      <c r="W157" s="85" t="inlineStr">
        <is>
          <t>Cover</t>
        </is>
      </c>
      <c r="X157" s="85" t="inlineStr">
        <is>
          <t>Notes</t>
        </is>
      </c>
      <c r="Y157" s="85" t="inlineStr">
        <is>
          <t>Cover</t>
        </is>
      </c>
      <c r="Z157" s="85" t="inlineStr">
        <is>
          <t>Notes</t>
        </is>
      </c>
      <c r="AB157" s="86" t="inlineStr">
        <is>
          <t>weekdays short</t>
        </is>
      </c>
      <c r="AC157" s="87" t="inlineStr"/>
    </row>
    <row r="158" ht="17" customHeight="1">
      <c r="A158" t="n">
        <v>4</v>
      </c>
      <c r="B158" s="24">
        <f>IF(Setup!$K$6="","",Setup!$K$6)</f>
        <v/>
      </c>
      <c r="C158" s="88" t="n"/>
      <c r="D158" s="88" t="n"/>
      <c r="E158" s="88" t="n"/>
      <c r="F158" s="89" t="n"/>
      <c r="G158" s="88" t="n"/>
      <c r="H158" s="88" t="n"/>
      <c r="I158" s="88" t="n"/>
      <c r="J158" s="89" t="n"/>
      <c r="K158" s="88" t="n"/>
      <c r="L158" s="88" t="n"/>
      <c r="M158" s="88" t="n"/>
      <c r="N158" s="89" t="n"/>
      <c r="O158" s="88" t="n"/>
      <c r="P158" s="88" t="n"/>
      <c r="Q158" s="88" t="n"/>
      <c r="R158" s="89" t="n"/>
      <c r="S158" s="88" t="n"/>
      <c r="T158" s="88" t="n"/>
      <c r="U158" s="88" t="n"/>
      <c r="V158" s="89" t="n"/>
      <c r="W158" s="88" t="n"/>
      <c r="X158" s="89" t="n"/>
      <c r="Y158" s="88" t="n"/>
      <c r="Z158" s="89" t="n"/>
      <c r="AB158" s="25">
        <f>IF($B158="","",(COUNTIF(C158:E158,"?*")&lt;N(INDEX(Setup!$L$6:$L$23,1)))+(COUNTIF(G158:I158,"?*")&lt;N(INDEX(Setup!$L$6:$L$23,1)))+(COUNTIF(K158:M158,"?*")&lt;N(INDEX(Setup!$L$6:$L$23,1)))+(COUNTIF(O158:Q158,"?*")&lt;N(INDEX(Setup!$L$6:$L$23,1)))+(COUNTIF(S158:U158,"?*")&lt;N(INDEX(Setup!$L$6:$L$23,1)))+((W158="")*(INDEX(Setup!$M$6:$M$23,1)="Y"))+((Y158="")*(INDEX(Setup!$M$6:$M$23,1)="Y")))</f>
        <v/>
      </c>
      <c r="AC158" s="90">
        <f>IF($B158="","",IF(AB158=0,"✓ covered","⚠ "&amp;AB158&amp;IF(AB158=1," gap"," gaps")))</f>
        <v/>
      </c>
    </row>
    <row r="159" ht="17" customHeight="1">
      <c r="A159" t="n">
        <v>4</v>
      </c>
      <c r="B159" s="29">
        <f>IF(Setup!$K$7="","",Setup!$K$7)</f>
        <v/>
      </c>
      <c r="C159" s="88" t="n"/>
      <c r="D159" s="88" t="n"/>
      <c r="E159" s="88" t="n"/>
      <c r="F159" s="89" t="n"/>
      <c r="G159" s="88" t="n"/>
      <c r="H159" s="88" t="n"/>
      <c r="I159" s="88" t="n"/>
      <c r="J159" s="89" t="n"/>
      <c r="K159" s="88" t="n"/>
      <c r="L159" s="88" t="n"/>
      <c r="M159" s="88" t="n"/>
      <c r="N159" s="89" t="n"/>
      <c r="O159" s="88" t="n"/>
      <c r="P159" s="88" t="n"/>
      <c r="Q159" s="88" t="n"/>
      <c r="R159" s="89" t="n"/>
      <c r="S159" s="88" t="n"/>
      <c r="T159" s="88" t="n"/>
      <c r="U159" s="88" t="n"/>
      <c r="V159" s="89" t="n"/>
      <c r="W159" s="88" t="n"/>
      <c r="X159" s="89" t="n"/>
      <c r="Y159" s="88" t="n"/>
      <c r="Z159" s="89" t="n"/>
      <c r="AB159" s="30">
        <f>IF($B159="","",(COUNTIF(C159:E159,"?*")&lt;N(INDEX(Setup!$L$6:$L$23,2)))+(COUNTIF(G159:I159,"?*")&lt;N(INDEX(Setup!$L$6:$L$23,2)))+(COUNTIF(K159:M159,"?*")&lt;N(INDEX(Setup!$L$6:$L$23,2)))+(COUNTIF(O159:Q159,"?*")&lt;N(INDEX(Setup!$L$6:$L$23,2)))+(COUNTIF(S159:U159,"?*")&lt;N(INDEX(Setup!$L$6:$L$23,2)))+((W159="")*(INDEX(Setup!$M$6:$M$23,2)="Y"))+((Y159="")*(INDEX(Setup!$M$6:$M$23,2)="Y")))</f>
        <v/>
      </c>
      <c r="AC159" s="91">
        <f>IF($B159="","",IF(AB159=0,"✓ covered","⚠ "&amp;AB159&amp;IF(AB159=1," gap"," gaps")))</f>
        <v/>
      </c>
    </row>
    <row r="160" ht="17" customHeight="1">
      <c r="A160" t="n">
        <v>4</v>
      </c>
      <c r="B160" s="24">
        <f>IF(Setup!$K$8="","",Setup!$K$8)</f>
        <v/>
      </c>
      <c r="C160" s="88" t="n"/>
      <c r="D160" s="88" t="n"/>
      <c r="E160" s="88" t="n"/>
      <c r="F160" s="89" t="n"/>
      <c r="G160" s="88" t="n"/>
      <c r="H160" s="88" t="n"/>
      <c r="I160" s="88" t="n"/>
      <c r="J160" s="89" t="n"/>
      <c r="K160" s="88" t="n"/>
      <c r="L160" s="88" t="n"/>
      <c r="M160" s="88" t="n"/>
      <c r="N160" s="89" t="n"/>
      <c r="O160" s="88" t="n"/>
      <c r="P160" s="88" t="n"/>
      <c r="Q160" s="88" t="n"/>
      <c r="R160" s="89" t="n"/>
      <c r="S160" s="88" t="n"/>
      <c r="T160" s="88" t="n"/>
      <c r="U160" s="88" t="n"/>
      <c r="V160" s="89" t="n"/>
      <c r="W160" s="88" t="n"/>
      <c r="X160" s="89" t="n"/>
      <c r="Y160" s="88" t="n"/>
      <c r="Z160" s="89" t="n"/>
      <c r="AB160" s="25">
        <f>IF($B160="","",(COUNTIF(C160:E160,"?*")&lt;N(INDEX(Setup!$L$6:$L$23,3)))+(COUNTIF(G160:I160,"?*")&lt;N(INDEX(Setup!$L$6:$L$23,3)))+(COUNTIF(K160:M160,"?*")&lt;N(INDEX(Setup!$L$6:$L$23,3)))+(COUNTIF(O160:Q160,"?*")&lt;N(INDEX(Setup!$L$6:$L$23,3)))+(COUNTIF(S160:U160,"?*")&lt;N(INDEX(Setup!$L$6:$L$23,3)))+((W160="")*(INDEX(Setup!$M$6:$M$23,3)="Y"))+((Y160="")*(INDEX(Setup!$M$6:$M$23,3)="Y")))</f>
        <v/>
      </c>
      <c r="AC160" s="90">
        <f>IF($B160="","",IF(AB160=0,"✓ covered","⚠ "&amp;AB160&amp;IF(AB160=1," gap"," gaps")))</f>
        <v/>
      </c>
    </row>
    <row r="161" ht="17" customHeight="1">
      <c r="A161" t="n">
        <v>4</v>
      </c>
      <c r="B161" s="29">
        <f>IF(Setup!$K$9="","",Setup!$K$9)</f>
        <v/>
      </c>
      <c r="C161" s="88" t="n"/>
      <c r="D161" s="88" t="n"/>
      <c r="E161" s="88" t="n"/>
      <c r="F161" s="89" t="n"/>
      <c r="G161" s="88" t="n"/>
      <c r="H161" s="88" t="n"/>
      <c r="I161" s="88" t="n"/>
      <c r="J161" s="89" t="n"/>
      <c r="K161" s="88" t="n"/>
      <c r="L161" s="88" t="n"/>
      <c r="M161" s="88" t="n"/>
      <c r="N161" s="89" t="n"/>
      <c r="O161" s="88" t="n"/>
      <c r="P161" s="88" t="n"/>
      <c r="Q161" s="88" t="n"/>
      <c r="R161" s="89" t="n"/>
      <c r="S161" s="88" t="n"/>
      <c r="T161" s="88" t="n"/>
      <c r="U161" s="88" t="n"/>
      <c r="V161" s="89" t="n"/>
      <c r="W161" s="88" t="n"/>
      <c r="X161" s="89" t="n"/>
      <c r="Y161" s="88" t="n"/>
      <c r="Z161" s="89" t="n"/>
      <c r="AB161" s="30">
        <f>IF($B161="","",(COUNTIF(C161:E161,"?*")&lt;N(INDEX(Setup!$L$6:$L$23,4)))+(COUNTIF(G161:I161,"?*")&lt;N(INDEX(Setup!$L$6:$L$23,4)))+(COUNTIF(K161:M161,"?*")&lt;N(INDEX(Setup!$L$6:$L$23,4)))+(COUNTIF(O161:Q161,"?*")&lt;N(INDEX(Setup!$L$6:$L$23,4)))+(COUNTIF(S161:U161,"?*")&lt;N(INDEX(Setup!$L$6:$L$23,4)))+((W161="")*(INDEX(Setup!$M$6:$M$23,4)="Y"))+((Y161="")*(INDEX(Setup!$M$6:$M$23,4)="Y")))</f>
        <v/>
      </c>
      <c r="AC161" s="91">
        <f>IF($B161="","",IF(AB161=0,"✓ covered","⚠ "&amp;AB161&amp;IF(AB161=1," gap"," gaps")))</f>
        <v/>
      </c>
    </row>
    <row r="162" ht="17" customHeight="1">
      <c r="A162" t="n">
        <v>4</v>
      </c>
      <c r="B162" s="24">
        <f>IF(Setup!$K$10="","",Setup!$K$10)</f>
        <v/>
      </c>
      <c r="C162" s="88" t="n"/>
      <c r="D162" s="88" t="n"/>
      <c r="E162" s="88" t="n"/>
      <c r="F162" s="89" t="n"/>
      <c r="G162" s="88" t="n"/>
      <c r="H162" s="88" t="n"/>
      <c r="I162" s="88" t="n"/>
      <c r="J162" s="89" t="n"/>
      <c r="K162" s="88" t="n"/>
      <c r="L162" s="88" t="n"/>
      <c r="M162" s="88" t="n"/>
      <c r="N162" s="89" t="n"/>
      <c r="O162" s="88" t="n"/>
      <c r="P162" s="88" t="n"/>
      <c r="Q162" s="88" t="n"/>
      <c r="R162" s="89" t="n"/>
      <c r="S162" s="88" t="n"/>
      <c r="T162" s="88" t="n"/>
      <c r="U162" s="88" t="n"/>
      <c r="V162" s="89" t="n"/>
      <c r="W162" s="88" t="n"/>
      <c r="X162" s="89" t="n"/>
      <c r="Y162" s="88" t="n"/>
      <c r="Z162" s="89" t="n"/>
      <c r="AB162" s="25">
        <f>IF($B162="","",(COUNTIF(C162:E162,"?*")&lt;N(INDEX(Setup!$L$6:$L$23,5)))+(COUNTIF(G162:I162,"?*")&lt;N(INDEX(Setup!$L$6:$L$23,5)))+(COUNTIF(K162:M162,"?*")&lt;N(INDEX(Setup!$L$6:$L$23,5)))+(COUNTIF(O162:Q162,"?*")&lt;N(INDEX(Setup!$L$6:$L$23,5)))+(COUNTIF(S162:U162,"?*")&lt;N(INDEX(Setup!$L$6:$L$23,5)))+((W162="")*(INDEX(Setup!$M$6:$M$23,5)="Y"))+((Y162="")*(INDEX(Setup!$M$6:$M$23,5)="Y")))</f>
        <v/>
      </c>
      <c r="AC162" s="90">
        <f>IF($B162="","",IF(AB162=0,"✓ covered","⚠ "&amp;AB162&amp;IF(AB162=1," gap"," gaps")))</f>
        <v/>
      </c>
    </row>
    <row r="163" ht="17" customHeight="1">
      <c r="A163" t="n">
        <v>4</v>
      </c>
      <c r="B163" s="29">
        <f>IF(Setup!$K$11="","",Setup!$K$11)</f>
        <v/>
      </c>
      <c r="C163" s="88" t="n"/>
      <c r="D163" s="88" t="n"/>
      <c r="E163" s="88" t="n"/>
      <c r="F163" s="89" t="n"/>
      <c r="G163" s="88" t="n"/>
      <c r="H163" s="88" t="n"/>
      <c r="I163" s="88" t="n"/>
      <c r="J163" s="89" t="n"/>
      <c r="K163" s="88" t="n"/>
      <c r="L163" s="88" t="n"/>
      <c r="M163" s="88" t="n"/>
      <c r="N163" s="89" t="n"/>
      <c r="O163" s="88" t="n"/>
      <c r="P163" s="88" t="n"/>
      <c r="Q163" s="88" t="n"/>
      <c r="R163" s="89" t="n"/>
      <c r="S163" s="88" t="n"/>
      <c r="T163" s="88" t="n"/>
      <c r="U163" s="88" t="n"/>
      <c r="V163" s="89" t="n"/>
      <c r="W163" s="88" t="n"/>
      <c r="X163" s="89" t="n"/>
      <c r="Y163" s="88" t="n"/>
      <c r="Z163" s="89" t="n"/>
      <c r="AB163" s="30">
        <f>IF($B163="","",(COUNTIF(C163:E163,"?*")&lt;N(INDEX(Setup!$L$6:$L$23,6)))+(COUNTIF(G163:I163,"?*")&lt;N(INDEX(Setup!$L$6:$L$23,6)))+(COUNTIF(K163:M163,"?*")&lt;N(INDEX(Setup!$L$6:$L$23,6)))+(COUNTIF(O163:Q163,"?*")&lt;N(INDEX(Setup!$L$6:$L$23,6)))+(COUNTIF(S163:U163,"?*")&lt;N(INDEX(Setup!$L$6:$L$23,6)))+((W163="")*(INDEX(Setup!$M$6:$M$23,6)="Y"))+((Y163="")*(INDEX(Setup!$M$6:$M$23,6)="Y")))</f>
        <v/>
      </c>
      <c r="AC163" s="91">
        <f>IF($B163="","",IF(AB163=0,"✓ covered","⚠ "&amp;AB163&amp;IF(AB163=1," gap"," gaps")))</f>
        <v/>
      </c>
    </row>
    <row r="164" ht="17" customHeight="1">
      <c r="A164" t="n">
        <v>4</v>
      </c>
      <c r="B164" s="24">
        <f>IF(Setup!$K$12="","",Setup!$K$12)</f>
        <v/>
      </c>
      <c r="C164" s="88" t="n"/>
      <c r="D164" s="88" t="n"/>
      <c r="E164" s="88" t="n"/>
      <c r="F164" s="89" t="n"/>
      <c r="G164" s="88" t="n"/>
      <c r="H164" s="88" t="n"/>
      <c r="I164" s="88" t="n"/>
      <c r="J164" s="89" t="n"/>
      <c r="K164" s="88" t="n"/>
      <c r="L164" s="88" t="n"/>
      <c r="M164" s="88" t="n"/>
      <c r="N164" s="89" t="n"/>
      <c r="O164" s="88" t="n"/>
      <c r="P164" s="88" t="n"/>
      <c r="Q164" s="88" t="n"/>
      <c r="R164" s="89" t="n"/>
      <c r="S164" s="88" t="n"/>
      <c r="T164" s="88" t="n"/>
      <c r="U164" s="88" t="n"/>
      <c r="V164" s="89" t="n"/>
      <c r="W164" s="88" t="n"/>
      <c r="X164" s="89" t="n"/>
      <c r="Y164" s="88" t="n"/>
      <c r="Z164" s="89" t="n"/>
      <c r="AB164" s="25">
        <f>IF($B164="","",(COUNTIF(C164:E164,"?*")&lt;N(INDEX(Setup!$L$6:$L$23,7)))+(COUNTIF(G164:I164,"?*")&lt;N(INDEX(Setup!$L$6:$L$23,7)))+(COUNTIF(K164:M164,"?*")&lt;N(INDEX(Setup!$L$6:$L$23,7)))+(COUNTIF(O164:Q164,"?*")&lt;N(INDEX(Setup!$L$6:$L$23,7)))+(COUNTIF(S164:U164,"?*")&lt;N(INDEX(Setup!$L$6:$L$23,7)))+((W164="")*(INDEX(Setup!$M$6:$M$23,7)="Y"))+((Y164="")*(INDEX(Setup!$M$6:$M$23,7)="Y")))</f>
        <v/>
      </c>
      <c r="AC164" s="90">
        <f>IF($B164="","",IF(AB164=0,"✓ covered","⚠ "&amp;AB164&amp;IF(AB164=1," gap"," gaps")))</f>
        <v/>
      </c>
    </row>
    <row r="165" ht="17" customHeight="1">
      <c r="A165" t="n">
        <v>4</v>
      </c>
      <c r="B165" s="29">
        <f>IF(Setup!$K$13="","",Setup!$K$13)</f>
        <v/>
      </c>
      <c r="C165" s="88" t="n"/>
      <c r="D165" s="88" t="n"/>
      <c r="E165" s="88" t="n"/>
      <c r="F165" s="89" t="n"/>
      <c r="G165" s="88" t="n"/>
      <c r="H165" s="88" t="n"/>
      <c r="I165" s="88" t="n"/>
      <c r="J165" s="89" t="n"/>
      <c r="K165" s="88" t="n"/>
      <c r="L165" s="88" t="n"/>
      <c r="M165" s="88" t="n"/>
      <c r="N165" s="89" t="n"/>
      <c r="O165" s="88" t="n"/>
      <c r="P165" s="88" t="n"/>
      <c r="Q165" s="88" t="n"/>
      <c r="R165" s="89" t="n"/>
      <c r="S165" s="88" t="n"/>
      <c r="T165" s="88" t="n"/>
      <c r="U165" s="88" t="n"/>
      <c r="V165" s="89" t="n"/>
      <c r="W165" s="88" t="n"/>
      <c r="X165" s="89" t="n"/>
      <c r="Y165" s="88" t="n"/>
      <c r="Z165" s="89" t="n"/>
      <c r="AB165" s="30">
        <f>IF($B165="","",(COUNTIF(C165:E165,"?*")&lt;N(INDEX(Setup!$L$6:$L$23,8)))+(COUNTIF(G165:I165,"?*")&lt;N(INDEX(Setup!$L$6:$L$23,8)))+(COUNTIF(K165:M165,"?*")&lt;N(INDEX(Setup!$L$6:$L$23,8)))+(COUNTIF(O165:Q165,"?*")&lt;N(INDEX(Setup!$L$6:$L$23,8)))+(COUNTIF(S165:U165,"?*")&lt;N(INDEX(Setup!$L$6:$L$23,8)))+((W165="")*(INDEX(Setup!$M$6:$M$23,8)="Y"))+((Y165="")*(INDEX(Setup!$M$6:$M$23,8)="Y")))</f>
        <v/>
      </c>
      <c r="AC165" s="91">
        <f>IF($B165="","",IF(AB165=0,"✓ covered","⚠ "&amp;AB165&amp;IF(AB165=1," gap"," gaps")))</f>
        <v/>
      </c>
    </row>
    <row r="166" ht="17" customHeight="1">
      <c r="A166" t="n">
        <v>4</v>
      </c>
      <c r="B166" s="24">
        <f>IF(Setup!$K$14="","",Setup!$K$14)</f>
        <v/>
      </c>
      <c r="C166" s="88" t="n"/>
      <c r="D166" s="88" t="n"/>
      <c r="E166" s="88" t="n"/>
      <c r="F166" s="89" t="n"/>
      <c r="G166" s="88" t="n"/>
      <c r="H166" s="88" t="n"/>
      <c r="I166" s="88" t="n"/>
      <c r="J166" s="89" t="n"/>
      <c r="K166" s="88" t="n"/>
      <c r="L166" s="88" t="n"/>
      <c r="M166" s="88" t="n"/>
      <c r="N166" s="89" t="n"/>
      <c r="O166" s="88" t="n"/>
      <c r="P166" s="88" t="n"/>
      <c r="Q166" s="88" t="n"/>
      <c r="R166" s="89" t="n"/>
      <c r="S166" s="88" t="n"/>
      <c r="T166" s="88" t="n"/>
      <c r="U166" s="88" t="n"/>
      <c r="V166" s="89" t="n"/>
      <c r="W166" s="88" t="n"/>
      <c r="X166" s="89" t="n"/>
      <c r="Y166" s="88" t="n"/>
      <c r="Z166" s="89" t="n"/>
      <c r="AB166" s="25">
        <f>IF($B166="","",(COUNTIF(C166:E166,"?*")&lt;N(INDEX(Setup!$L$6:$L$23,9)))+(COUNTIF(G166:I166,"?*")&lt;N(INDEX(Setup!$L$6:$L$23,9)))+(COUNTIF(K166:M166,"?*")&lt;N(INDEX(Setup!$L$6:$L$23,9)))+(COUNTIF(O166:Q166,"?*")&lt;N(INDEX(Setup!$L$6:$L$23,9)))+(COUNTIF(S166:U166,"?*")&lt;N(INDEX(Setup!$L$6:$L$23,9)))+((W166="")*(INDEX(Setup!$M$6:$M$23,9)="Y"))+((Y166="")*(INDEX(Setup!$M$6:$M$23,9)="Y")))</f>
        <v/>
      </c>
      <c r="AC166" s="90">
        <f>IF($B166="","",IF(AB166=0,"✓ covered","⚠ "&amp;AB166&amp;IF(AB166=1," gap"," gaps")))</f>
        <v/>
      </c>
    </row>
    <row r="167" ht="17" customHeight="1">
      <c r="A167" t="n">
        <v>4</v>
      </c>
      <c r="B167" s="29">
        <f>IF(Setup!$K$15="","",Setup!$K$15)</f>
        <v/>
      </c>
      <c r="C167" s="88" t="n"/>
      <c r="D167" s="88" t="n"/>
      <c r="E167" s="88" t="n"/>
      <c r="F167" s="89" t="n"/>
      <c r="G167" s="88" t="n"/>
      <c r="H167" s="88" t="n"/>
      <c r="I167" s="88" t="n"/>
      <c r="J167" s="89" t="n"/>
      <c r="K167" s="88" t="n"/>
      <c r="L167" s="88" t="n"/>
      <c r="M167" s="88" t="n"/>
      <c r="N167" s="89" t="n"/>
      <c r="O167" s="88" t="n"/>
      <c r="P167" s="88" t="n"/>
      <c r="Q167" s="88" t="n"/>
      <c r="R167" s="89" t="n"/>
      <c r="S167" s="88" t="n"/>
      <c r="T167" s="88" t="n"/>
      <c r="U167" s="88" t="n"/>
      <c r="V167" s="89" t="n"/>
      <c r="W167" s="88" t="n"/>
      <c r="X167" s="89" t="n"/>
      <c r="Y167" s="88" t="n"/>
      <c r="Z167" s="89" t="n"/>
      <c r="AB167" s="30">
        <f>IF($B167="","",(COUNTIF(C167:E167,"?*")&lt;N(INDEX(Setup!$L$6:$L$23,10)))+(COUNTIF(G167:I167,"?*")&lt;N(INDEX(Setup!$L$6:$L$23,10)))+(COUNTIF(K167:M167,"?*")&lt;N(INDEX(Setup!$L$6:$L$23,10)))+(COUNTIF(O167:Q167,"?*")&lt;N(INDEX(Setup!$L$6:$L$23,10)))+(COUNTIF(S167:U167,"?*")&lt;N(INDEX(Setup!$L$6:$L$23,10)))+((W167="")*(INDEX(Setup!$M$6:$M$23,10)="Y"))+((Y167="")*(INDEX(Setup!$M$6:$M$23,10)="Y")))</f>
        <v/>
      </c>
      <c r="AC167" s="91">
        <f>IF($B167="","",IF(AB167=0,"✓ covered","⚠ "&amp;AB167&amp;IF(AB167=1," gap"," gaps")))</f>
        <v/>
      </c>
    </row>
    <row r="168" ht="17" customHeight="1">
      <c r="A168" t="n">
        <v>4</v>
      </c>
      <c r="B168" s="24">
        <f>IF(Setup!$K$16="","",Setup!$K$16)</f>
        <v/>
      </c>
      <c r="C168" s="88" t="n"/>
      <c r="D168" s="88" t="n"/>
      <c r="E168" s="88" t="n"/>
      <c r="F168" s="89" t="n"/>
      <c r="G168" s="88" t="n"/>
      <c r="H168" s="88" t="n"/>
      <c r="I168" s="88" t="n"/>
      <c r="J168" s="89" t="n"/>
      <c r="K168" s="88" t="n"/>
      <c r="L168" s="88" t="n"/>
      <c r="M168" s="88" t="n"/>
      <c r="N168" s="89" t="n"/>
      <c r="O168" s="88" t="n"/>
      <c r="P168" s="88" t="n"/>
      <c r="Q168" s="88" t="n"/>
      <c r="R168" s="89" t="n"/>
      <c r="S168" s="88" t="n"/>
      <c r="T168" s="88" t="n"/>
      <c r="U168" s="88" t="n"/>
      <c r="V168" s="89" t="n"/>
      <c r="W168" s="88" t="n"/>
      <c r="X168" s="89" t="n"/>
      <c r="Y168" s="88" t="n"/>
      <c r="Z168" s="89" t="n"/>
      <c r="AB168" s="25">
        <f>IF($B168="","",(COUNTIF(C168:E168,"?*")&lt;N(INDEX(Setup!$L$6:$L$23,11)))+(COUNTIF(G168:I168,"?*")&lt;N(INDEX(Setup!$L$6:$L$23,11)))+(COUNTIF(K168:M168,"?*")&lt;N(INDEX(Setup!$L$6:$L$23,11)))+(COUNTIF(O168:Q168,"?*")&lt;N(INDEX(Setup!$L$6:$L$23,11)))+(COUNTIF(S168:U168,"?*")&lt;N(INDEX(Setup!$L$6:$L$23,11)))+((W168="")*(INDEX(Setup!$M$6:$M$23,11)="Y"))+((Y168="")*(INDEX(Setup!$M$6:$M$23,11)="Y")))</f>
        <v/>
      </c>
      <c r="AC168" s="90">
        <f>IF($B168="","",IF(AB168=0,"✓ covered","⚠ "&amp;AB168&amp;IF(AB168=1," gap"," gaps")))</f>
        <v/>
      </c>
    </row>
    <row r="169" ht="17" customHeight="1">
      <c r="A169" t="n">
        <v>4</v>
      </c>
      <c r="B169" s="29">
        <f>IF(Setup!$K$17="","",Setup!$K$17)</f>
        <v/>
      </c>
      <c r="C169" s="88" t="n"/>
      <c r="D169" s="88" t="n"/>
      <c r="E169" s="88" t="n"/>
      <c r="F169" s="89" t="n"/>
      <c r="G169" s="88" t="n"/>
      <c r="H169" s="88" t="n"/>
      <c r="I169" s="88" t="n"/>
      <c r="J169" s="89" t="n"/>
      <c r="K169" s="88" t="n"/>
      <c r="L169" s="88" t="n"/>
      <c r="M169" s="88" t="n"/>
      <c r="N169" s="89" t="n"/>
      <c r="O169" s="88" t="n"/>
      <c r="P169" s="88" t="n"/>
      <c r="Q169" s="88" t="n"/>
      <c r="R169" s="89" t="n"/>
      <c r="S169" s="88" t="n"/>
      <c r="T169" s="88" t="n"/>
      <c r="U169" s="88" t="n"/>
      <c r="V169" s="89" t="n"/>
      <c r="W169" s="88" t="n"/>
      <c r="X169" s="89" t="n"/>
      <c r="Y169" s="88" t="n"/>
      <c r="Z169" s="89" t="n"/>
      <c r="AB169" s="30">
        <f>IF($B169="","",(COUNTIF(C169:E169,"?*")&lt;N(INDEX(Setup!$L$6:$L$23,12)))+(COUNTIF(G169:I169,"?*")&lt;N(INDEX(Setup!$L$6:$L$23,12)))+(COUNTIF(K169:M169,"?*")&lt;N(INDEX(Setup!$L$6:$L$23,12)))+(COUNTIF(O169:Q169,"?*")&lt;N(INDEX(Setup!$L$6:$L$23,12)))+(COUNTIF(S169:U169,"?*")&lt;N(INDEX(Setup!$L$6:$L$23,12)))+((W169="")*(INDEX(Setup!$M$6:$M$23,12)="Y"))+((Y169="")*(INDEX(Setup!$M$6:$M$23,12)="Y")))</f>
        <v/>
      </c>
      <c r="AC169" s="91">
        <f>IF($B169="","",IF(AB169=0,"✓ covered","⚠ "&amp;AB169&amp;IF(AB169=1," gap"," gaps")))</f>
        <v/>
      </c>
    </row>
    <row r="170" ht="17" customHeight="1">
      <c r="A170" t="n">
        <v>4</v>
      </c>
      <c r="B170" s="24">
        <f>IF(Setup!$K$18="","",Setup!$K$18)</f>
        <v/>
      </c>
      <c r="C170" s="88" t="n"/>
      <c r="D170" s="88" t="n"/>
      <c r="E170" s="88" t="n"/>
      <c r="F170" s="89" t="n"/>
      <c r="G170" s="88" t="n"/>
      <c r="H170" s="88" t="n"/>
      <c r="I170" s="88" t="n"/>
      <c r="J170" s="89" t="n"/>
      <c r="K170" s="88" t="n"/>
      <c r="L170" s="88" t="n"/>
      <c r="M170" s="88" t="n"/>
      <c r="N170" s="89" t="n"/>
      <c r="O170" s="88" t="n"/>
      <c r="P170" s="88" t="n"/>
      <c r="Q170" s="88" t="n"/>
      <c r="R170" s="89" t="n"/>
      <c r="S170" s="88" t="n"/>
      <c r="T170" s="88" t="n"/>
      <c r="U170" s="88" t="n"/>
      <c r="V170" s="89" t="n"/>
      <c r="W170" s="88" t="n"/>
      <c r="X170" s="89" t="n"/>
      <c r="Y170" s="88" t="n"/>
      <c r="Z170" s="89" t="n"/>
      <c r="AB170" s="25">
        <f>IF($B170="","",(COUNTIF(C170:E170,"?*")&lt;N(INDEX(Setup!$L$6:$L$23,13)))+(COUNTIF(G170:I170,"?*")&lt;N(INDEX(Setup!$L$6:$L$23,13)))+(COUNTIF(K170:M170,"?*")&lt;N(INDEX(Setup!$L$6:$L$23,13)))+(COUNTIF(O170:Q170,"?*")&lt;N(INDEX(Setup!$L$6:$L$23,13)))+(COUNTIF(S170:U170,"?*")&lt;N(INDEX(Setup!$L$6:$L$23,13)))+((W170="")*(INDEX(Setup!$M$6:$M$23,13)="Y"))+((Y170="")*(INDEX(Setup!$M$6:$M$23,13)="Y")))</f>
        <v/>
      </c>
      <c r="AC170" s="90">
        <f>IF($B170="","",IF(AB170=0,"✓ covered","⚠ "&amp;AB170&amp;IF(AB170=1," gap"," gaps")))</f>
        <v/>
      </c>
    </row>
    <row r="171" ht="17" customHeight="1">
      <c r="A171" t="n">
        <v>4</v>
      </c>
      <c r="B171" s="29">
        <f>IF(Setup!$K$19="","",Setup!$K$19)</f>
        <v/>
      </c>
      <c r="C171" s="88" t="n"/>
      <c r="D171" s="88" t="n"/>
      <c r="E171" s="88" t="n"/>
      <c r="F171" s="89" t="n"/>
      <c r="G171" s="88" t="n"/>
      <c r="H171" s="88" t="n"/>
      <c r="I171" s="88" t="n"/>
      <c r="J171" s="89" t="n"/>
      <c r="K171" s="88" t="n"/>
      <c r="L171" s="88" t="n"/>
      <c r="M171" s="88" t="n"/>
      <c r="N171" s="89" t="n"/>
      <c r="O171" s="88" t="n"/>
      <c r="P171" s="88" t="n"/>
      <c r="Q171" s="88" t="n"/>
      <c r="R171" s="89" t="n"/>
      <c r="S171" s="88" t="n"/>
      <c r="T171" s="88" t="n"/>
      <c r="U171" s="88" t="n"/>
      <c r="V171" s="89" t="n"/>
      <c r="W171" s="88" t="n"/>
      <c r="X171" s="89" t="n"/>
      <c r="Y171" s="88" t="n"/>
      <c r="Z171" s="89" t="n"/>
      <c r="AB171" s="30">
        <f>IF($B171="","",(COUNTIF(C171:E171,"?*")&lt;N(INDEX(Setup!$L$6:$L$23,14)))+(COUNTIF(G171:I171,"?*")&lt;N(INDEX(Setup!$L$6:$L$23,14)))+(COUNTIF(K171:M171,"?*")&lt;N(INDEX(Setup!$L$6:$L$23,14)))+(COUNTIF(O171:Q171,"?*")&lt;N(INDEX(Setup!$L$6:$L$23,14)))+(COUNTIF(S171:U171,"?*")&lt;N(INDEX(Setup!$L$6:$L$23,14)))+((W171="")*(INDEX(Setup!$M$6:$M$23,14)="Y"))+((Y171="")*(INDEX(Setup!$M$6:$M$23,14)="Y")))</f>
        <v/>
      </c>
      <c r="AC171" s="91">
        <f>IF($B171="","",IF(AB171=0,"✓ covered","⚠ "&amp;AB171&amp;IF(AB171=1," gap"," gaps")))</f>
        <v/>
      </c>
    </row>
    <row r="172" ht="17" customHeight="1">
      <c r="A172" t="n">
        <v>4</v>
      </c>
      <c r="B172" s="24">
        <f>IF(Setup!$K$20="","",Setup!$K$20)</f>
        <v/>
      </c>
      <c r="C172" s="88" t="n"/>
      <c r="D172" s="88" t="n"/>
      <c r="E172" s="88" t="n"/>
      <c r="F172" s="89" t="n"/>
      <c r="G172" s="88" t="n"/>
      <c r="H172" s="88" t="n"/>
      <c r="I172" s="88" t="n"/>
      <c r="J172" s="89" t="n"/>
      <c r="K172" s="88" t="n"/>
      <c r="L172" s="88" t="n"/>
      <c r="M172" s="88" t="n"/>
      <c r="N172" s="89" t="n"/>
      <c r="O172" s="88" t="n"/>
      <c r="P172" s="88" t="n"/>
      <c r="Q172" s="88" t="n"/>
      <c r="R172" s="89" t="n"/>
      <c r="S172" s="88" t="n"/>
      <c r="T172" s="88" t="n"/>
      <c r="U172" s="88" t="n"/>
      <c r="V172" s="89" t="n"/>
      <c r="W172" s="88" t="n"/>
      <c r="X172" s="89" t="n"/>
      <c r="Y172" s="88" t="n"/>
      <c r="Z172" s="89" t="n"/>
      <c r="AB172" s="25">
        <f>IF($B172="","",(COUNTIF(C172:E172,"?*")&lt;N(INDEX(Setup!$L$6:$L$23,15)))+(COUNTIF(G172:I172,"?*")&lt;N(INDEX(Setup!$L$6:$L$23,15)))+(COUNTIF(K172:M172,"?*")&lt;N(INDEX(Setup!$L$6:$L$23,15)))+(COUNTIF(O172:Q172,"?*")&lt;N(INDEX(Setup!$L$6:$L$23,15)))+(COUNTIF(S172:U172,"?*")&lt;N(INDEX(Setup!$L$6:$L$23,15)))+((W172="")*(INDEX(Setup!$M$6:$M$23,15)="Y"))+((Y172="")*(INDEX(Setup!$M$6:$M$23,15)="Y")))</f>
        <v/>
      </c>
      <c r="AC172" s="90">
        <f>IF($B172="","",IF(AB172=0,"✓ covered","⚠ "&amp;AB172&amp;IF(AB172=1," gap"," gaps")))</f>
        <v/>
      </c>
    </row>
    <row r="173" ht="17" customHeight="1">
      <c r="A173" t="n">
        <v>4</v>
      </c>
      <c r="B173" s="29">
        <f>IF(Setup!$K$21="","",Setup!$K$21)</f>
        <v/>
      </c>
      <c r="C173" s="88" t="n"/>
      <c r="D173" s="88" t="n"/>
      <c r="E173" s="88" t="n"/>
      <c r="F173" s="89" t="n"/>
      <c r="G173" s="88" t="n"/>
      <c r="H173" s="88" t="n"/>
      <c r="I173" s="88" t="n"/>
      <c r="J173" s="89" t="n"/>
      <c r="K173" s="88" t="n"/>
      <c r="L173" s="88" t="n"/>
      <c r="M173" s="88" t="n"/>
      <c r="N173" s="89" t="n"/>
      <c r="O173" s="88" t="n"/>
      <c r="P173" s="88" t="n"/>
      <c r="Q173" s="88" t="n"/>
      <c r="R173" s="89" t="n"/>
      <c r="S173" s="88" t="n"/>
      <c r="T173" s="88" t="n"/>
      <c r="U173" s="88" t="n"/>
      <c r="V173" s="89" t="n"/>
      <c r="W173" s="88" t="n"/>
      <c r="X173" s="89" t="n"/>
      <c r="Y173" s="88" t="n"/>
      <c r="Z173" s="89" t="n"/>
      <c r="AB173" s="30">
        <f>IF($B173="","",(COUNTIF(C173:E173,"?*")&lt;N(INDEX(Setup!$L$6:$L$23,16)))+(COUNTIF(G173:I173,"?*")&lt;N(INDEX(Setup!$L$6:$L$23,16)))+(COUNTIF(K173:M173,"?*")&lt;N(INDEX(Setup!$L$6:$L$23,16)))+(COUNTIF(O173:Q173,"?*")&lt;N(INDEX(Setup!$L$6:$L$23,16)))+(COUNTIF(S173:U173,"?*")&lt;N(INDEX(Setup!$L$6:$L$23,16)))+((W173="")*(INDEX(Setup!$M$6:$M$23,16)="Y"))+((Y173="")*(INDEX(Setup!$M$6:$M$23,16)="Y")))</f>
        <v/>
      </c>
      <c r="AC173" s="91">
        <f>IF($B173="","",IF(AB173=0,"✓ covered","⚠ "&amp;AB173&amp;IF(AB173=1," gap"," gaps")))</f>
        <v/>
      </c>
    </row>
    <row r="174" ht="17" customHeight="1">
      <c r="A174" t="n">
        <v>4</v>
      </c>
      <c r="B174" s="24">
        <f>IF(Setup!$K$22="","",Setup!$K$22)</f>
        <v/>
      </c>
      <c r="C174" s="88" t="n"/>
      <c r="D174" s="88" t="n"/>
      <c r="E174" s="88" t="n"/>
      <c r="F174" s="89" t="n"/>
      <c r="G174" s="88" t="n"/>
      <c r="H174" s="88" t="n"/>
      <c r="I174" s="88" t="n"/>
      <c r="J174" s="89" t="n"/>
      <c r="K174" s="88" t="n"/>
      <c r="L174" s="88" t="n"/>
      <c r="M174" s="88" t="n"/>
      <c r="N174" s="89" t="n"/>
      <c r="O174" s="88" t="n"/>
      <c r="P174" s="88" t="n"/>
      <c r="Q174" s="88" t="n"/>
      <c r="R174" s="89" t="n"/>
      <c r="S174" s="88" t="n"/>
      <c r="T174" s="88" t="n"/>
      <c r="U174" s="88" t="n"/>
      <c r="V174" s="89" t="n"/>
      <c r="W174" s="88" t="n"/>
      <c r="X174" s="89" t="n"/>
      <c r="Y174" s="88" t="n"/>
      <c r="Z174" s="89" t="n"/>
      <c r="AB174" s="25">
        <f>IF($B174="","",(COUNTIF(C174:E174,"?*")&lt;N(INDEX(Setup!$L$6:$L$23,17)))+(COUNTIF(G174:I174,"?*")&lt;N(INDEX(Setup!$L$6:$L$23,17)))+(COUNTIF(K174:M174,"?*")&lt;N(INDEX(Setup!$L$6:$L$23,17)))+(COUNTIF(O174:Q174,"?*")&lt;N(INDEX(Setup!$L$6:$L$23,17)))+(COUNTIF(S174:U174,"?*")&lt;N(INDEX(Setup!$L$6:$L$23,17)))+((W174="")*(INDEX(Setup!$M$6:$M$23,17)="Y"))+((Y174="")*(INDEX(Setup!$M$6:$M$23,17)="Y")))</f>
        <v/>
      </c>
      <c r="AC174" s="90">
        <f>IF($B174="","",IF(AB174=0,"✓ covered","⚠ "&amp;AB174&amp;IF(AB174=1," gap"," gaps")))</f>
        <v/>
      </c>
    </row>
    <row r="175" ht="17" customHeight="1">
      <c r="A175" t="n">
        <v>4</v>
      </c>
      <c r="B175" s="29">
        <f>IF(Setup!$K$23="","",Setup!$K$23)</f>
        <v/>
      </c>
      <c r="C175" s="88" t="n"/>
      <c r="D175" s="88" t="n"/>
      <c r="E175" s="88" t="n"/>
      <c r="F175" s="89" t="n"/>
      <c r="G175" s="88" t="n"/>
      <c r="H175" s="88" t="n"/>
      <c r="I175" s="88" t="n"/>
      <c r="J175" s="89" t="n"/>
      <c r="K175" s="88" t="n"/>
      <c r="L175" s="88" t="n"/>
      <c r="M175" s="88" t="n"/>
      <c r="N175" s="89" t="n"/>
      <c r="O175" s="88" t="n"/>
      <c r="P175" s="88" t="n"/>
      <c r="Q175" s="88" t="n"/>
      <c r="R175" s="89" t="n"/>
      <c r="S175" s="88" t="n"/>
      <c r="T175" s="88" t="n"/>
      <c r="U175" s="88" t="n"/>
      <c r="V175" s="89" t="n"/>
      <c r="W175" s="88" t="n"/>
      <c r="X175" s="89" t="n"/>
      <c r="Y175" s="88" t="n"/>
      <c r="Z175" s="89" t="n"/>
      <c r="AB175" s="30">
        <f>IF($B175="","",(COUNTIF(C175:E175,"?*")&lt;N(INDEX(Setup!$L$6:$L$23,18)))+(COUNTIF(G175:I175,"?*")&lt;N(INDEX(Setup!$L$6:$L$23,18)))+(COUNTIF(K175:M175,"?*")&lt;N(INDEX(Setup!$L$6:$L$23,18)))+(COUNTIF(O175:Q175,"?*")&lt;N(INDEX(Setup!$L$6:$L$23,18)))+(COUNTIF(S175:U175,"?*")&lt;N(INDEX(Setup!$L$6:$L$23,18)))+((W175="")*(INDEX(Setup!$M$6:$M$23,18)="Y"))+((Y175="")*(INDEX(Setup!$M$6:$M$23,18)="Y")))</f>
        <v/>
      </c>
      <c r="AC175" s="91">
        <f>IF($B175="","",IF(AB175=0,"✓ covered","⚠ "&amp;AB175&amp;IF(AB175=1," gap"," gaps")))</f>
        <v/>
      </c>
    </row>
    <row r="176" ht="18" customHeight="1">
      <c r="A176" t="n">
        <v>4</v>
      </c>
      <c r="B176" s="78" t="inlineStr">
        <is>
          <t>TEAM AVAILABILITY</t>
        </is>
      </c>
      <c r="C176" s="92" t="inlineStr">
        <is>
          <t>Mon</t>
        </is>
      </c>
      <c r="D176" s="93" t="n"/>
      <c r="E176" s="93" t="n"/>
      <c r="F176" s="94" t="n"/>
      <c r="G176" s="92" t="inlineStr">
        <is>
          <t>Tue</t>
        </is>
      </c>
      <c r="H176" s="93" t="n"/>
      <c r="I176" s="93" t="n"/>
      <c r="J176" s="94" t="n"/>
      <c r="K176" s="92" t="inlineStr">
        <is>
          <t>Wed</t>
        </is>
      </c>
      <c r="L176" s="93" t="n"/>
      <c r="M176" s="93" t="n"/>
      <c r="N176" s="94" t="n"/>
      <c r="O176" s="92" t="inlineStr">
        <is>
          <t>Thu</t>
        </is>
      </c>
      <c r="P176" s="93" t="n"/>
      <c r="Q176" s="93" t="n"/>
      <c r="R176" s="94" t="n"/>
      <c r="S176" s="92" t="inlineStr">
        <is>
          <t>Fri</t>
        </is>
      </c>
      <c r="T176" s="93" t="n"/>
      <c r="U176" s="93" t="n"/>
      <c r="V176" s="94" t="n"/>
      <c r="W176" s="95" t="inlineStr">
        <is>
          <t>Sat</t>
        </is>
      </c>
      <c r="X176" s="96" t="n"/>
      <c r="Y176" s="95" t="inlineStr">
        <is>
          <t>Sun</t>
        </is>
      </c>
      <c r="Z176" s="96" t="n"/>
      <c r="AB176" s="97" t="inlineStr">
        <is>
          <t>Days rostered</t>
        </is>
      </c>
      <c r="AC176" s="97" t="inlineStr">
        <is>
          <t>Conflicts</t>
        </is>
      </c>
    </row>
    <row r="177" ht="15" customHeight="1">
      <c r="A177" t="n">
        <v>4</v>
      </c>
      <c r="B177" s="35">
        <f>IF(Setup!$B$6="","",Setup!$B$6)</f>
        <v/>
      </c>
      <c r="C177" s="98" t="n"/>
      <c r="D177" s="99" t="n"/>
      <c r="E177" s="99" t="n"/>
      <c r="F177" s="100" t="n"/>
      <c r="G177" s="98" t="n"/>
      <c r="H177" s="99" t="n"/>
      <c r="I177" s="99" t="n"/>
      <c r="J177" s="100" t="n"/>
      <c r="K177" s="98" t="n"/>
      <c r="L177" s="99" t="n"/>
      <c r="M177" s="99" t="n"/>
      <c r="N177" s="100" t="n"/>
      <c r="O177" s="98" t="n"/>
      <c r="P177" s="99" t="n"/>
      <c r="Q177" s="99" t="n"/>
      <c r="R177" s="100" t="n"/>
      <c r="S177" s="98" t="n"/>
      <c r="T177" s="99" t="n"/>
      <c r="U177" s="99" t="n"/>
      <c r="V177" s="100" t="n"/>
      <c r="W177" s="98" t="n"/>
      <c r="X177" s="100" t="n"/>
      <c r="Y177" s="98" t="n"/>
      <c r="Z177" s="100" t="n"/>
      <c r="AB177" s="101">
        <f>IF($B177="","",(COUNTIF(C158:E175,$B177)+COUNTIF(C158:E175,$B177&amp;" ~*")&gt;0)+(COUNTIF(G158:I175,$B177)+COUNTIF(G158:I175,$B177&amp;" ~*")&gt;0)+(COUNTIF(K158:M175,$B177)+COUNTIF(K158:M175,$B177&amp;" ~*")&gt;0)+(COUNTIF(O158:Q175,$B177)+COUNTIF(O158:Q175,$B177&amp;" ~*")&gt;0)+(COUNTIF(S158:U175,$B177)+COUNTIF(S158:U175,$B177&amp;" ~*")&gt;0)+(COUNTIF(W158:W175,$B177)+COUNTIF(W158:W175,$B177&amp;" ~*")&gt;0)+(COUNTIF(Y158:Y175,$B177)+COUNTIF(Y158:Y175,$B177&amp;" ~*")&gt;0))</f>
        <v/>
      </c>
      <c r="AC177" s="36">
        <f>IF($B177="","",(IFERROR(INDEX(Setup!$G$33:$G$40,MATCH(C177,Setup!$B$33:$B$40,0)),0)=1)*(COUNTIF(C158:E175,$B177)+COUNTIF(C158:E175,$B177&amp;" ~*")&gt;0)+(IFERROR(INDEX(Setup!$G$33:$G$40,MATCH(G177,Setup!$B$33:$B$40,0)),0)=1)*(COUNTIF(G158:I175,$B177)+COUNTIF(G158:I175,$B177&amp;" ~*")&gt;0)+(IFERROR(INDEX(Setup!$G$33:$G$40,MATCH(K177,Setup!$B$33:$B$40,0)),0)=1)*(COUNTIF(K158:M175,$B177)+COUNTIF(K158:M175,$B177&amp;" ~*")&gt;0)+(IFERROR(INDEX(Setup!$G$33:$G$40,MATCH(O177,Setup!$B$33:$B$40,0)),0)=1)*(COUNTIF(O158:Q175,$B177)+COUNTIF(O158:Q175,$B177&amp;" ~*")&gt;0)+(IFERROR(INDEX(Setup!$G$33:$G$40,MATCH(S177,Setup!$B$33:$B$40,0)),0)=1)*(COUNTIF(S158:U175,$B177)+COUNTIF(S158:U175,$B177&amp;" ~*")&gt;0)+(IFERROR(INDEX(Setup!$G$33:$G$40,MATCH(W177,Setup!$B$33:$B$40,0)),0)=1)*(COUNTIF(W158:W175,$B177)+COUNTIF(W158:W175,$B177&amp;" ~*")&gt;0)+(IFERROR(INDEX(Setup!$G$33:$G$40,MATCH(Y177,Setup!$B$33:$B$40,0)),0)=1)*(COUNTIF(Y158:Y175,$B177)+COUNTIF(Y158:Y175,$B177&amp;" ~*")&gt;0))</f>
        <v/>
      </c>
    </row>
    <row r="178" ht="15" customHeight="1">
      <c r="A178" t="n">
        <v>4</v>
      </c>
      <c r="B178" s="37">
        <f>IF(Setup!$B$7="","",Setup!$B$7)</f>
        <v/>
      </c>
      <c r="C178" s="102" t="n"/>
      <c r="D178" s="103" t="n"/>
      <c r="E178" s="103" t="n"/>
      <c r="F178" s="104" t="n"/>
      <c r="G178" s="102" t="n"/>
      <c r="H178" s="103" t="n"/>
      <c r="I178" s="103" t="n"/>
      <c r="J178" s="104" t="n"/>
      <c r="K178" s="102" t="n"/>
      <c r="L178" s="103" t="n"/>
      <c r="M178" s="103" t="n"/>
      <c r="N178" s="104" t="n"/>
      <c r="O178" s="102" t="n"/>
      <c r="P178" s="103" t="n"/>
      <c r="Q178" s="103" t="n"/>
      <c r="R178" s="104" t="n"/>
      <c r="S178" s="102" t="n"/>
      <c r="T178" s="103" t="n"/>
      <c r="U178" s="103" t="n"/>
      <c r="V178" s="104" t="n"/>
      <c r="W178" s="102" t="n"/>
      <c r="X178" s="104" t="n"/>
      <c r="Y178" s="102" t="n"/>
      <c r="Z178" s="104" t="n"/>
      <c r="AB178" s="105">
        <f>IF($B178="","",(COUNTIF(C158:E175,$B178)+COUNTIF(C158:E175,$B178&amp;" ~*")&gt;0)+(COUNTIF(G158:I175,$B178)+COUNTIF(G158:I175,$B178&amp;" ~*")&gt;0)+(COUNTIF(K158:M175,$B178)+COUNTIF(K158:M175,$B178&amp;" ~*")&gt;0)+(COUNTIF(O158:Q175,$B178)+COUNTIF(O158:Q175,$B178&amp;" ~*")&gt;0)+(COUNTIF(S158:U175,$B178)+COUNTIF(S158:U175,$B178&amp;" ~*")&gt;0)+(COUNTIF(W158:W175,$B178)+COUNTIF(W158:W175,$B178&amp;" ~*")&gt;0)+(COUNTIF(Y158:Y175,$B178)+COUNTIF(Y158:Y175,$B178&amp;" ~*")&gt;0))</f>
        <v/>
      </c>
      <c r="AC178" s="38">
        <f>IF($B178="","",(IFERROR(INDEX(Setup!$G$33:$G$40,MATCH(C178,Setup!$B$33:$B$40,0)),0)=1)*(COUNTIF(C158:E175,$B178)+COUNTIF(C158:E175,$B178&amp;" ~*")&gt;0)+(IFERROR(INDEX(Setup!$G$33:$G$40,MATCH(G178,Setup!$B$33:$B$40,0)),0)=1)*(COUNTIF(G158:I175,$B178)+COUNTIF(G158:I175,$B178&amp;" ~*")&gt;0)+(IFERROR(INDEX(Setup!$G$33:$G$40,MATCH(K178,Setup!$B$33:$B$40,0)),0)=1)*(COUNTIF(K158:M175,$B178)+COUNTIF(K158:M175,$B178&amp;" ~*")&gt;0)+(IFERROR(INDEX(Setup!$G$33:$G$40,MATCH(O178,Setup!$B$33:$B$40,0)),0)=1)*(COUNTIF(O158:Q175,$B178)+COUNTIF(O158:Q175,$B178&amp;" ~*")&gt;0)+(IFERROR(INDEX(Setup!$G$33:$G$40,MATCH(S178,Setup!$B$33:$B$40,0)),0)=1)*(COUNTIF(S158:U175,$B178)+COUNTIF(S158:U175,$B178&amp;" ~*")&gt;0)+(IFERROR(INDEX(Setup!$G$33:$G$40,MATCH(W178,Setup!$B$33:$B$40,0)),0)=1)*(COUNTIF(W158:W175,$B178)+COUNTIF(W158:W175,$B178&amp;" ~*")&gt;0)+(IFERROR(INDEX(Setup!$G$33:$G$40,MATCH(Y178,Setup!$B$33:$B$40,0)),0)=1)*(COUNTIF(Y158:Y175,$B178)+COUNTIF(Y158:Y175,$B178&amp;" ~*")&gt;0))</f>
        <v/>
      </c>
    </row>
    <row r="179" ht="15" customHeight="1">
      <c r="A179" t="n">
        <v>4</v>
      </c>
      <c r="B179" s="35">
        <f>IF(Setup!$B$8="","",Setup!$B$8)</f>
        <v/>
      </c>
      <c r="C179" s="98" t="n"/>
      <c r="D179" s="99" t="n"/>
      <c r="E179" s="99" t="n"/>
      <c r="F179" s="100" t="n"/>
      <c r="G179" s="98" t="n"/>
      <c r="H179" s="99" t="n"/>
      <c r="I179" s="99" t="n"/>
      <c r="J179" s="100" t="n"/>
      <c r="K179" s="98" t="n"/>
      <c r="L179" s="99" t="n"/>
      <c r="M179" s="99" t="n"/>
      <c r="N179" s="100" t="n"/>
      <c r="O179" s="98" t="n"/>
      <c r="P179" s="99" t="n"/>
      <c r="Q179" s="99" t="n"/>
      <c r="R179" s="100" t="n"/>
      <c r="S179" s="98" t="n"/>
      <c r="T179" s="99" t="n"/>
      <c r="U179" s="99" t="n"/>
      <c r="V179" s="100" t="n"/>
      <c r="W179" s="98" t="n"/>
      <c r="X179" s="100" t="n"/>
      <c r="Y179" s="98" t="n"/>
      <c r="Z179" s="100" t="n"/>
      <c r="AB179" s="101">
        <f>IF($B179="","",(COUNTIF(C158:E175,$B179)+COUNTIF(C158:E175,$B179&amp;" ~*")&gt;0)+(COUNTIF(G158:I175,$B179)+COUNTIF(G158:I175,$B179&amp;" ~*")&gt;0)+(COUNTIF(K158:M175,$B179)+COUNTIF(K158:M175,$B179&amp;" ~*")&gt;0)+(COUNTIF(O158:Q175,$B179)+COUNTIF(O158:Q175,$B179&amp;" ~*")&gt;0)+(COUNTIF(S158:U175,$B179)+COUNTIF(S158:U175,$B179&amp;" ~*")&gt;0)+(COUNTIF(W158:W175,$B179)+COUNTIF(W158:W175,$B179&amp;" ~*")&gt;0)+(COUNTIF(Y158:Y175,$B179)+COUNTIF(Y158:Y175,$B179&amp;" ~*")&gt;0))</f>
        <v/>
      </c>
      <c r="AC179" s="36">
        <f>IF($B179="","",(IFERROR(INDEX(Setup!$G$33:$G$40,MATCH(C179,Setup!$B$33:$B$40,0)),0)=1)*(COUNTIF(C158:E175,$B179)+COUNTIF(C158:E175,$B179&amp;" ~*")&gt;0)+(IFERROR(INDEX(Setup!$G$33:$G$40,MATCH(G179,Setup!$B$33:$B$40,0)),0)=1)*(COUNTIF(G158:I175,$B179)+COUNTIF(G158:I175,$B179&amp;" ~*")&gt;0)+(IFERROR(INDEX(Setup!$G$33:$G$40,MATCH(K179,Setup!$B$33:$B$40,0)),0)=1)*(COUNTIF(K158:M175,$B179)+COUNTIF(K158:M175,$B179&amp;" ~*")&gt;0)+(IFERROR(INDEX(Setup!$G$33:$G$40,MATCH(O179,Setup!$B$33:$B$40,0)),0)=1)*(COUNTIF(O158:Q175,$B179)+COUNTIF(O158:Q175,$B179&amp;" ~*")&gt;0)+(IFERROR(INDEX(Setup!$G$33:$G$40,MATCH(S179,Setup!$B$33:$B$40,0)),0)=1)*(COUNTIF(S158:U175,$B179)+COUNTIF(S158:U175,$B179&amp;" ~*")&gt;0)+(IFERROR(INDEX(Setup!$G$33:$G$40,MATCH(W179,Setup!$B$33:$B$40,0)),0)=1)*(COUNTIF(W158:W175,$B179)+COUNTIF(W158:W175,$B179&amp;" ~*")&gt;0)+(IFERROR(INDEX(Setup!$G$33:$G$40,MATCH(Y179,Setup!$B$33:$B$40,0)),0)=1)*(COUNTIF(Y158:Y175,$B179)+COUNTIF(Y158:Y175,$B179&amp;" ~*")&gt;0))</f>
        <v/>
      </c>
    </row>
    <row r="180" ht="15" customHeight="1">
      <c r="A180" t="n">
        <v>4</v>
      </c>
      <c r="B180" s="37">
        <f>IF(Setup!$B$9="","",Setup!$B$9)</f>
        <v/>
      </c>
      <c r="C180" s="102" t="n"/>
      <c r="D180" s="103" t="n"/>
      <c r="E180" s="103" t="n"/>
      <c r="F180" s="104" t="n"/>
      <c r="G180" s="102" t="n"/>
      <c r="H180" s="103" t="n"/>
      <c r="I180" s="103" t="n"/>
      <c r="J180" s="104" t="n"/>
      <c r="K180" s="102" t="n"/>
      <c r="L180" s="103" t="n"/>
      <c r="M180" s="103" t="n"/>
      <c r="N180" s="104" t="n"/>
      <c r="O180" s="102" t="n"/>
      <c r="P180" s="103" t="n"/>
      <c r="Q180" s="103" t="n"/>
      <c r="R180" s="104" t="n"/>
      <c r="S180" s="102" t="n"/>
      <c r="T180" s="103" t="n"/>
      <c r="U180" s="103" t="n"/>
      <c r="V180" s="104" t="n"/>
      <c r="W180" s="102" t="n"/>
      <c r="X180" s="104" t="n"/>
      <c r="Y180" s="102" t="n"/>
      <c r="Z180" s="104" t="n"/>
      <c r="AB180" s="105">
        <f>IF($B180="","",(COUNTIF(C158:E175,$B180)+COUNTIF(C158:E175,$B180&amp;" ~*")&gt;0)+(COUNTIF(G158:I175,$B180)+COUNTIF(G158:I175,$B180&amp;" ~*")&gt;0)+(COUNTIF(K158:M175,$B180)+COUNTIF(K158:M175,$B180&amp;" ~*")&gt;0)+(COUNTIF(O158:Q175,$B180)+COUNTIF(O158:Q175,$B180&amp;" ~*")&gt;0)+(COUNTIF(S158:U175,$B180)+COUNTIF(S158:U175,$B180&amp;" ~*")&gt;0)+(COUNTIF(W158:W175,$B180)+COUNTIF(W158:W175,$B180&amp;" ~*")&gt;0)+(COUNTIF(Y158:Y175,$B180)+COUNTIF(Y158:Y175,$B180&amp;" ~*")&gt;0))</f>
        <v/>
      </c>
      <c r="AC180" s="38">
        <f>IF($B180="","",(IFERROR(INDEX(Setup!$G$33:$G$40,MATCH(C180,Setup!$B$33:$B$40,0)),0)=1)*(COUNTIF(C158:E175,$B180)+COUNTIF(C158:E175,$B180&amp;" ~*")&gt;0)+(IFERROR(INDEX(Setup!$G$33:$G$40,MATCH(G180,Setup!$B$33:$B$40,0)),0)=1)*(COUNTIF(G158:I175,$B180)+COUNTIF(G158:I175,$B180&amp;" ~*")&gt;0)+(IFERROR(INDEX(Setup!$G$33:$G$40,MATCH(K180,Setup!$B$33:$B$40,0)),0)=1)*(COUNTIF(K158:M175,$B180)+COUNTIF(K158:M175,$B180&amp;" ~*")&gt;0)+(IFERROR(INDEX(Setup!$G$33:$G$40,MATCH(O180,Setup!$B$33:$B$40,0)),0)=1)*(COUNTIF(O158:Q175,$B180)+COUNTIF(O158:Q175,$B180&amp;" ~*")&gt;0)+(IFERROR(INDEX(Setup!$G$33:$G$40,MATCH(S180,Setup!$B$33:$B$40,0)),0)=1)*(COUNTIF(S158:U175,$B180)+COUNTIF(S158:U175,$B180&amp;" ~*")&gt;0)+(IFERROR(INDEX(Setup!$G$33:$G$40,MATCH(W180,Setup!$B$33:$B$40,0)),0)=1)*(COUNTIF(W158:W175,$B180)+COUNTIF(W158:W175,$B180&amp;" ~*")&gt;0)+(IFERROR(INDEX(Setup!$G$33:$G$40,MATCH(Y180,Setup!$B$33:$B$40,0)),0)=1)*(COUNTIF(Y158:Y175,$B180)+COUNTIF(Y158:Y175,$B180&amp;" ~*")&gt;0))</f>
        <v/>
      </c>
    </row>
    <row r="181" ht="15" customHeight="1">
      <c r="A181" t="n">
        <v>4</v>
      </c>
      <c r="B181" s="35">
        <f>IF(Setup!$B$10="","",Setup!$B$10)</f>
        <v/>
      </c>
      <c r="C181" s="98" t="n"/>
      <c r="D181" s="99" t="n"/>
      <c r="E181" s="99" t="n"/>
      <c r="F181" s="100" t="n"/>
      <c r="G181" s="98" t="n"/>
      <c r="H181" s="99" t="n"/>
      <c r="I181" s="99" t="n"/>
      <c r="J181" s="100" t="n"/>
      <c r="K181" s="98" t="n"/>
      <c r="L181" s="99" t="n"/>
      <c r="M181" s="99" t="n"/>
      <c r="N181" s="100" t="n"/>
      <c r="O181" s="98" t="n"/>
      <c r="P181" s="99" t="n"/>
      <c r="Q181" s="99" t="n"/>
      <c r="R181" s="100" t="n"/>
      <c r="S181" s="98" t="n"/>
      <c r="T181" s="99" t="n"/>
      <c r="U181" s="99" t="n"/>
      <c r="V181" s="100" t="n"/>
      <c r="W181" s="98" t="n"/>
      <c r="X181" s="100" t="n"/>
      <c r="Y181" s="98" t="n"/>
      <c r="Z181" s="100" t="n"/>
      <c r="AB181" s="101">
        <f>IF($B181="","",(COUNTIF(C158:E175,$B181)+COUNTIF(C158:E175,$B181&amp;" ~*")&gt;0)+(COUNTIF(G158:I175,$B181)+COUNTIF(G158:I175,$B181&amp;" ~*")&gt;0)+(COUNTIF(K158:M175,$B181)+COUNTIF(K158:M175,$B181&amp;" ~*")&gt;0)+(COUNTIF(O158:Q175,$B181)+COUNTIF(O158:Q175,$B181&amp;" ~*")&gt;0)+(COUNTIF(S158:U175,$B181)+COUNTIF(S158:U175,$B181&amp;" ~*")&gt;0)+(COUNTIF(W158:W175,$B181)+COUNTIF(W158:W175,$B181&amp;" ~*")&gt;0)+(COUNTIF(Y158:Y175,$B181)+COUNTIF(Y158:Y175,$B181&amp;" ~*")&gt;0))</f>
        <v/>
      </c>
      <c r="AC181" s="36">
        <f>IF($B181="","",(IFERROR(INDEX(Setup!$G$33:$G$40,MATCH(C181,Setup!$B$33:$B$40,0)),0)=1)*(COUNTIF(C158:E175,$B181)+COUNTIF(C158:E175,$B181&amp;" ~*")&gt;0)+(IFERROR(INDEX(Setup!$G$33:$G$40,MATCH(G181,Setup!$B$33:$B$40,0)),0)=1)*(COUNTIF(G158:I175,$B181)+COUNTIF(G158:I175,$B181&amp;" ~*")&gt;0)+(IFERROR(INDEX(Setup!$G$33:$G$40,MATCH(K181,Setup!$B$33:$B$40,0)),0)=1)*(COUNTIF(K158:M175,$B181)+COUNTIF(K158:M175,$B181&amp;" ~*")&gt;0)+(IFERROR(INDEX(Setup!$G$33:$G$40,MATCH(O181,Setup!$B$33:$B$40,0)),0)=1)*(COUNTIF(O158:Q175,$B181)+COUNTIF(O158:Q175,$B181&amp;" ~*")&gt;0)+(IFERROR(INDEX(Setup!$G$33:$G$40,MATCH(S181,Setup!$B$33:$B$40,0)),0)=1)*(COUNTIF(S158:U175,$B181)+COUNTIF(S158:U175,$B181&amp;" ~*")&gt;0)+(IFERROR(INDEX(Setup!$G$33:$G$40,MATCH(W181,Setup!$B$33:$B$40,0)),0)=1)*(COUNTIF(W158:W175,$B181)+COUNTIF(W158:W175,$B181&amp;" ~*")&gt;0)+(IFERROR(INDEX(Setup!$G$33:$G$40,MATCH(Y181,Setup!$B$33:$B$40,0)),0)=1)*(COUNTIF(Y158:Y175,$B181)+COUNTIF(Y158:Y175,$B181&amp;" ~*")&gt;0))</f>
        <v/>
      </c>
    </row>
    <row r="182" ht="15" customHeight="1">
      <c r="A182" t="n">
        <v>4</v>
      </c>
      <c r="B182" s="37">
        <f>IF(Setup!$B$11="","",Setup!$B$11)</f>
        <v/>
      </c>
      <c r="C182" s="102" t="n"/>
      <c r="D182" s="103" t="n"/>
      <c r="E182" s="103" t="n"/>
      <c r="F182" s="104" t="n"/>
      <c r="G182" s="102" t="n"/>
      <c r="H182" s="103" t="n"/>
      <c r="I182" s="103" t="n"/>
      <c r="J182" s="104" t="n"/>
      <c r="K182" s="102" t="n"/>
      <c r="L182" s="103" t="n"/>
      <c r="M182" s="103" t="n"/>
      <c r="N182" s="104" t="n"/>
      <c r="O182" s="102" t="n"/>
      <c r="P182" s="103" t="n"/>
      <c r="Q182" s="103" t="n"/>
      <c r="R182" s="104" t="n"/>
      <c r="S182" s="102" t="n"/>
      <c r="T182" s="103" t="n"/>
      <c r="U182" s="103" t="n"/>
      <c r="V182" s="104" t="n"/>
      <c r="W182" s="102" t="n"/>
      <c r="X182" s="104" t="n"/>
      <c r="Y182" s="102" t="n"/>
      <c r="Z182" s="104" t="n"/>
      <c r="AB182" s="105">
        <f>IF($B182="","",(COUNTIF(C158:E175,$B182)+COUNTIF(C158:E175,$B182&amp;" ~*")&gt;0)+(COUNTIF(G158:I175,$B182)+COUNTIF(G158:I175,$B182&amp;" ~*")&gt;0)+(COUNTIF(K158:M175,$B182)+COUNTIF(K158:M175,$B182&amp;" ~*")&gt;0)+(COUNTIF(O158:Q175,$B182)+COUNTIF(O158:Q175,$B182&amp;" ~*")&gt;0)+(COUNTIF(S158:U175,$B182)+COUNTIF(S158:U175,$B182&amp;" ~*")&gt;0)+(COUNTIF(W158:W175,$B182)+COUNTIF(W158:W175,$B182&amp;" ~*")&gt;0)+(COUNTIF(Y158:Y175,$B182)+COUNTIF(Y158:Y175,$B182&amp;" ~*")&gt;0))</f>
        <v/>
      </c>
      <c r="AC182" s="38">
        <f>IF($B182="","",(IFERROR(INDEX(Setup!$G$33:$G$40,MATCH(C182,Setup!$B$33:$B$40,0)),0)=1)*(COUNTIF(C158:E175,$B182)+COUNTIF(C158:E175,$B182&amp;" ~*")&gt;0)+(IFERROR(INDEX(Setup!$G$33:$G$40,MATCH(G182,Setup!$B$33:$B$40,0)),0)=1)*(COUNTIF(G158:I175,$B182)+COUNTIF(G158:I175,$B182&amp;" ~*")&gt;0)+(IFERROR(INDEX(Setup!$G$33:$G$40,MATCH(K182,Setup!$B$33:$B$40,0)),0)=1)*(COUNTIF(K158:M175,$B182)+COUNTIF(K158:M175,$B182&amp;" ~*")&gt;0)+(IFERROR(INDEX(Setup!$G$33:$G$40,MATCH(O182,Setup!$B$33:$B$40,0)),0)=1)*(COUNTIF(O158:Q175,$B182)+COUNTIF(O158:Q175,$B182&amp;" ~*")&gt;0)+(IFERROR(INDEX(Setup!$G$33:$G$40,MATCH(S182,Setup!$B$33:$B$40,0)),0)=1)*(COUNTIF(S158:U175,$B182)+COUNTIF(S158:U175,$B182&amp;" ~*")&gt;0)+(IFERROR(INDEX(Setup!$G$33:$G$40,MATCH(W182,Setup!$B$33:$B$40,0)),0)=1)*(COUNTIF(W158:W175,$B182)+COUNTIF(W158:W175,$B182&amp;" ~*")&gt;0)+(IFERROR(INDEX(Setup!$G$33:$G$40,MATCH(Y182,Setup!$B$33:$B$40,0)),0)=1)*(COUNTIF(Y158:Y175,$B182)+COUNTIF(Y158:Y175,$B182&amp;" ~*")&gt;0))</f>
        <v/>
      </c>
    </row>
    <row r="183" ht="15" customHeight="1">
      <c r="A183" t="n">
        <v>4</v>
      </c>
      <c r="B183" s="35">
        <f>IF(Setup!$B$12="","",Setup!$B$12)</f>
        <v/>
      </c>
      <c r="C183" s="98" t="n"/>
      <c r="D183" s="99" t="n"/>
      <c r="E183" s="99" t="n"/>
      <c r="F183" s="100" t="n"/>
      <c r="G183" s="98" t="n"/>
      <c r="H183" s="99" t="n"/>
      <c r="I183" s="99" t="n"/>
      <c r="J183" s="100" t="n"/>
      <c r="K183" s="98" t="n"/>
      <c r="L183" s="99" t="n"/>
      <c r="M183" s="99" t="n"/>
      <c r="N183" s="100" t="n"/>
      <c r="O183" s="98" t="n"/>
      <c r="P183" s="99" t="n"/>
      <c r="Q183" s="99" t="n"/>
      <c r="R183" s="100" t="n"/>
      <c r="S183" s="98" t="n"/>
      <c r="T183" s="99" t="n"/>
      <c r="U183" s="99" t="n"/>
      <c r="V183" s="100" t="n"/>
      <c r="W183" s="98" t="n"/>
      <c r="X183" s="100" t="n"/>
      <c r="Y183" s="98" t="n"/>
      <c r="Z183" s="100" t="n"/>
      <c r="AB183" s="101">
        <f>IF($B183="","",(COUNTIF(C158:E175,$B183)+COUNTIF(C158:E175,$B183&amp;" ~*")&gt;0)+(COUNTIF(G158:I175,$B183)+COUNTIF(G158:I175,$B183&amp;" ~*")&gt;0)+(COUNTIF(K158:M175,$B183)+COUNTIF(K158:M175,$B183&amp;" ~*")&gt;0)+(COUNTIF(O158:Q175,$B183)+COUNTIF(O158:Q175,$B183&amp;" ~*")&gt;0)+(COUNTIF(S158:U175,$B183)+COUNTIF(S158:U175,$B183&amp;" ~*")&gt;0)+(COUNTIF(W158:W175,$B183)+COUNTIF(W158:W175,$B183&amp;" ~*")&gt;0)+(COUNTIF(Y158:Y175,$B183)+COUNTIF(Y158:Y175,$B183&amp;" ~*")&gt;0))</f>
        <v/>
      </c>
      <c r="AC183" s="36">
        <f>IF($B183="","",(IFERROR(INDEX(Setup!$G$33:$G$40,MATCH(C183,Setup!$B$33:$B$40,0)),0)=1)*(COUNTIF(C158:E175,$B183)+COUNTIF(C158:E175,$B183&amp;" ~*")&gt;0)+(IFERROR(INDEX(Setup!$G$33:$G$40,MATCH(G183,Setup!$B$33:$B$40,0)),0)=1)*(COUNTIF(G158:I175,$B183)+COUNTIF(G158:I175,$B183&amp;" ~*")&gt;0)+(IFERROR(INDEX(Setup!$G$33:$G$40,MATCH(K183,Setup!$B$33:$B$40,0)),0)=1)*(COUNTIF(K158:M175,$B183)+COUNTIF(K158:M175,$B183&amp;" ~*")&gt;0)+(IFERROR(INDEX(Setup!$G$33:$G$40,MATCH(O183,Setup!$B$33:$B$40,0)),0)=1)*(COUNTIF(O158:Q175,$B183)+COUNTIF(O158:Q175,$B183&amp;" ~*")&gt;0)+(IFERROR(INDEX(Setup!$G$33:$G$40,MATCH(S183,Setup!$B$33:$B$40,0)),0)=1)*(COUNTIF(S158:U175,$B183)+COUNTIF(S158:U175,$B183&amp;" ~*")&gt;0)+(IFERROR(INDEX(Setup!$G$33:$G$40,MATCH(W183,Setup!$B$33:$B$40,0)),0)=1)*(COUNTIF(W158:W175,$B183)+COUNTIF(W158:W175,$B183&amp;" ~*")&gt;0)+(IFERROR(INDEX(Setup!$G$33:$G$40,MATCH(Y183,Setup!$B$33:$B$40,0)),0)=1)*(COUNTIF(Y158:Y175,$B183)+COUNTIF(Y158:Y175,$B183&amp;" ~*")&gt;0))</f>
        <v/>
      </c>
    </row>
    <row r="184" ht="15" customHeight="1">
      <c r="A184" t="n">
        <v>4</v>
      </c>
      <c r="B184" s="37">
        <f>IF(Setup!$B$13="","",Setup!$B$13)</f>
        <v/>
      </c>
      <c r="C184" s="102" t="n"/>
      <c r="D184" s="103" t="n"/>
      <c r="E184" s="103" t="n"/>
      <c r="F184" s="104" t="n"/>
      <c r="G184" s="102" t="n"/>
      <c r="H184" s="103" t="n"/>
      <c r="I184" s="103" t="n"/>
      <c r="J184" s="104" t="n"/>
      <c r="K184" s="102" t="n"/>
      <c r="L184" s="103" t="n"/>
      <c r="M184" s="103" t="n"/>
      <c r="N184" s="104" t="n"/>
      <c r="O184" s="102" t="n"/>
      <c r="P184" s="103" t="n"/>
      <c r="Q184" s="103" t="n"/>
      <c r="R184" s="104" t="n"/>
      <c r="S184" s="102" t="n"/>
      <c r="T184" s="103" t="n"/>
      <c r="U184" s="103" t="n"/>
      <c r="V184" s="104" t="n"/>
      <c r="W184" s="102" t="n"/>
      <c r="X184" s="104" t="n"/>
      <c r="Y184" s="102" t="n"/>
      <c r="Z184" s="104" t="n"/>
      <c r="AB184" s="105">
        <f>IF($B184="","",(COUNTIF(C158:E175,$B184)+COUNTIF(C158:E175,$B184&amp;" ~*")&gt;0)+(COUNTIF(G158:I175,$B184)+COUNTIF(G158:I175,$B184&amp;" ~*")&gt;0)+(COUNTIF(K158:M175,$B184)+COUNTIF(K158:M175,$B184&amp;" ~*")&gt;0)+(COUNTIF(O158:Q175,$B184)+COUNTIF(O158:Q175,$B184&amp;" ~*")&gt;0)+(COUNTIF(S158:U175,$B184)+COUNTIF(S158:U175,$B184&amp;" ~*")&gt;0)+(COUNTIF(W158:W175,$B184)+COUNTIF(W158:W175,$B184&amp;" ~*")&gt;0)+(COUNTIF(Y158:Y175,$B184)+COUNTIF(Y158:Y175,$B184&amp;" ~*")&gt;0))</f>
        <v/>
      </c>
      <c r="AC184" s="38">
        <f>IF($B184="","",(IFERROR(INDEX(Setup!$G$33:$G$40,MATCH(C184,Setup!$B$33:$B$40,0)),0)=1)*(COUNTIF(C158:E175,$B184)+COUNTIF(C158:E175,$B184&amp;" ~*")&gt;0)+(IFERROR(INDEX(Setup!$G$33:$G$40,MATCH(G184,Setup!$B$33:$B$40,0)),0)=1)*(COUNTIF(G158:I175,$B184)+COUNTIF(G158:I175,$B184&amp;" ~*")&gt;0)+(IFERROR(INDEX(Setup!$G$33:$G$40,MATCH(K184,Setup!$B$33:$B$40,0)),0)=1)*(COUNTIF(K158:M175,$B184)+COUNTIF(K158:M175,$B184&amp;" ~*")&gt;0)+(IFERROR(INDEX(Setup!$G$33:$G$40,MATCH(O184,Setup!$B$33:$B$40,0)),0)=1)*(COUNTIF(O158:Q175,$B184)+COUNTIF(O158:Q175,$B184&amp;" ~*")&gt;0)+(IFERROR(INDEX(Setup!$G$33:$G$40,MATCH(S184,Setup!$B$33:$B$40,0)),0)=1)*(COUNTIF(S158:U175,$B184)+COUNTIF(S158:U175,$B184&amp;" ~*")&gt;0)+(IFERROR(INDEX(Setup!$G$33:$G$40,MATCH(W184,Setup!$B$33:$B$40,0)),0)=1)*(COUNTIF(W158:W175,$B184)+COUNTIF(W158:W175,$B184&amp;" ~*")&gt;0)+(IFERROR(INDEX(Setup!$G$33:$G$40,MATCH(Y184,Setup!$B$33:$B$40,0)),0)=1)*(COUNTIF(Y158:Y175,$B184)+COUNTIF(Y158:Y175,$B184&amp;" ~*")&gt;0))</f>
        <v/>
      </c>
    </row>
    <row r="185" ht="15" customHeight="1">
      <c r="A185" t="n">
        <v>4</v>
      </c>
      <c r="B185" s="35">
        <f>IF(Setup!$B$14="","",Setup!$B$14)</f>
        <v/>
      </c>
      <c r="C185" s="98" t="n"/>
      <c r="D185" s="99" t="n"/>
      <c r="E185" s="99" t="n"/>
      <c r="F185" s="100" t="n"/>
      <c r="G185" s="98" t="n"/>
      <c r="H185" s="99" t="n"/>
      <c r="I185" s="99" t="n"/>
      <c r="J185" s="100" t="n"/>
      <c r="K185" s="98" t="n"/>
      <c r="L185" s="99" t="n"/>
      <c r="M185" s="99" t="n"/>
      <c r="N185" s="100" t="n"/>
      <c r="O185" s="98" t="n"/>
      <c r="P185" s="99" t="n"/>
      <c r="Q185" s="99" t="n"/>
      <c r="R185" s="100" t="n"/>
      <c r="S185" s="98" t="n"/>
      <c r="T185" s="99" t="n"/>
      <c r="U185" s="99" t="n"/>
      <c r="V185" s="100" t="n"/>
      <c r="W185" s="98" t="n"/>
      <c r="X185" s="100" t="n"/>
      <c r="Y185" s="98" t="n"/>
      <c r="Z185" s="100" t="n"/>
      <c r="AB185" s="101">
        <f>IF($B185="","",(COUNTIF(C158:E175,$B185)+COUNTIF(C158:E175,$B185&amp;" ~*")&gt;0)+(COUNTIF(G158:I175,$B185)+COUNTIF(G158:I175,$B185&amp;" ~*")&gt;0)+(COUNTIF(K158:M175,$B185)+COUNTIF(K158:M175,$B185&amp;" ~*")&gt;0)+(COUNTIF(O158:Q175,$B185)+COUNTIF(O158:Q175,$B185&amp;" ~*")&gt;0)+(COUNTIF(S158:U175,$B185)+COUNTIF(S158:U175,$B185&amp;" ~*")&gt;0)+(COUNTIF(W158:W175,$B185)+COUNTIF(W158:W175,$B185&amp;" ~*")&gt;0)+(COUNTIF(Y158:Y175,$B185)+COUNTIF(Y158:Y175,$B185&amp;" ~*")&gt;0))</f>
        <v/>
      </c>
      <c r="AC185" s="36">
        <f>IF($B185="","",(IFERROR(INDEX(Setup!$G$33:$G$40,MATCH(C185,Setup!$B$33:$B$40,0)),0)=1)*(COUNTIF(C158:E175,$B185)+COUNTIF(C158:E175,$B185&amp;" ~*")&gt;0)+(IFERROR(INDEX(Setup!$G$33:$G$40,MATCH(G185,Setup!$B$33:$B$40,0)),0)=1)*(COUNTIF(G158:I175,$B185)+COUNTIF(G158:I175,$B185&amp;" ~*")&gt;0)+(IFERROR(INDEX(Setup!$G$33:$G$40,MATCH(K185,Setup!$B$33:$B$40,0)),0)=1)*(COUNTIF(K158:M175,$B185)+COUNTIF(K158:M175,$B185&amp;" ~*")&gt;0)+(IFERROR(INDEX(Setup!$G$33:$G$40,MATCH(O185,Setup!$B$33:$B$40,0)),0)=1)*(COUNTIF(O158:Q175,$B185)+COUNTIF(O158:Q175,$B185&amp;" ~*")&gt;0)+(IFERROR(INDEX(Setup!$G$33:$G$40,MATCH(S185,Setup!$B$33:$B$40,0)),0)=1)*(COUNTIF(S158:U175,$B185)+COUNTIF(S158:U175,$B185&amp;" ~*")&gt;0)+(IFERROR(INDEX(Setup!$G$33:$G$40,MATCH(W185,Setup!$B$33:$B$40,0)),0)=1)*(COUNTIF(W158:W175,$B185)+COUNTIF(W158:W175,$B185&amp;" ~*")&gt;0)+(IFERROR(INDEX(Setup!$G$33:$G$40,MATCH(Y185,Setup!$B$33:$B$40,0)),0)=1)*(COUNTIF(Y158:Y175,$B185)+COUNTIF(Y158:Y175,$B185&amp;" ~*")&gt;0))</f>
        <v/>
      </c>
    </row>
    <row r="186" ht="15" customHeight="1">
      <c r="A186" t="n">
        <v>4</v>
      </c>
      <c r="B186" s="37">
        <f>IF(Setup!$B$15="","",Setup!$B$15)</f>
        <v/>
      </c>
      <c r="C186" s="102" t="n"/>
      <c r="D186" s="103" t="n"/>
      <c r="E186" s="103" t="n"/>
      <c r="F186" s="104" t="n"/>
      <c r="G186" s="102" t="n"/>
      <c r="H186" s="103" t="n"/>
      <c r="I186" s="103" t="n"/>
      <c r="J186" s="104" t="n"/>
      <c r="K186" s="102" t="n"/>
      <c r="L186" s="103" t="n"/>
      <c r="M186" s="103" t="n"/>
      <c r="N186" s="104" t="n"/>
      <c r="O186" s="102" t="n"/>
      <c r="P186" s="103" t="n"/>
      <c r="Q186" s="103" t="n"/>
      <c r="R186" s="104" t="n"/>
      <c r="S186" s="102" t="n"/>
      <c r="T186" s="103" t="n"/>
      <c r="U186" s="103" t="n"/>
      <c r="V186" s="104" t="n"/>
      <c r="W186" s="102" t="n"/>
      <c r="X186" s="104" t="n"/>
      <c r="Y186" s="102" t="n"/>
      <c r="Z186" s="104" t="n"/>
      <c r="AB186" s="105">
        <f>IF($B186="","",(COUNTIF(C158:E175,$B186)+COUNTIF(C158:E175,$B186&amp;" ~*")&gt;0)+(COUNTIF(G158:I175,$B186)+COUNTIF(G158:I175,$B186&amp;" ~*")&gt;0)+(COUNTIF(K158:M175,$B186)+COUNTIF(K158:M175,$B186&amp;" ~*")&gt;0)+(COUNTIF(O158:Q175,$B186)+COUNTIF(O158:Q175,$B186&amp;" ~*")&gt;0)+(COUNTIF(S158:U175,$B186)+COUNTIF(S158:U175,$B186&amp;" ~*")&gt;0)+(COUNTIF(W158:W175,$B186)+COUNTIF(W158:W175,$B186&amp;" ~*")&gt;0)+(COUNTIF(Y158:Y175,$B186)+COUNTIF(Y158:Y175,$B186&amp;" ~*")&gt;0))</f>
        <v/>
      </c>
      <c r="AC186" s="38">
        <f>IF($B186="","",(IFERROR(INDEX(Setup!$G$33:$G$40,MATCH(C186,Setup!$B$33:$B$40,0)),0)=1)*(COUNTIF(C158:E175,$B186)+COUNTIF(C158:E175,$B186&amp;" ~*")&gt;0)+(IFERROR(INDEX(Setup!$G$33:$G$40,MATCH(G186,Setup!$B$33:$B$40,0)),0)=1)*(COUNTIF(G158:I175,$B186)+COUNTIF(G158:I175,$B186&amp;" ~*")&gt;0)+(IFERROR(INDEX(Setup!$G$33:$G$40,MATCH(K186,Setup!$B$33:$B$40,0)),0)=1)*(COUNTIF(K158:M175,$B186)+COUNTIF(K158:M175,$B186&amp;" ~*")&gt;0)+(IFERROR(INDEX(Setup!$G$33:$G$40,MATCH(O186,Setup!$B$33:$B$40,0)),0)=1)*(COUNTIF(O158:Q175,$B186)+COUNTIF(O158:Q175,$B186&amp;" ~*")&gt;0)+(IFERROR(INDEX(Setup!$G$33:$G$40,MATCH(S186,Setup!$B$33:$B$40,0)),0)=1)*(COUNTIF(S158:U175,$B186)+COUNTIF(S158:U175,$B186&amp;" ~*")&gt;0)+(IFERROR(INDEX(Setup!$G$33:$G$40,MATCH(W186,Setup!$B$33:$B$40,0)),0)=1)*(COUNTIF(W158:W175,$B186)+COUNTIF(W158:W175,$B186&amp;" ~*")&gt;0)+(IFERROR(INDEX(Setup!$G$33:$G$40,MATCH(Y186,Setup!$B$33:$B$40,0)),0)=1)*(COUNTIF(Y158:Y175,$B186)+COUNTIF(Y158:Y175,$B186&amp;" ~*")&gt;0))</f>
        <v/>
      </c>
    </row>
    <row r="187" ht="15" customHeight="1">
      <c r="A187" t="n">
        <v>4</v>
      </c>
      <c r="B187" s="35">
        <f>IF(Setup!$B$16="","",Setup!$B$16)</f>
        <v/>
      </c>
      <c r="C187" s="98" t="n"/>
      <c r="D187" s="99" t="n"/>
      <c r="E187" s="99" t="n"/>
      <c r="F187" s="100" t="n"/>
      <c r="G187" s="98" t="n"/>
      <c r="H187" s="99" t="n"/>
      <c r="I187" s="99" t="n"/>
      <c r="J187" s="100" t="n"/>
      <c r="K187" s="98" t="n"/>
      <c r="L187" s="99" t="n"/>
      <c r="M187" s="99" t="n"/>
      <c r="N187" s="100" t="n"/>
      <c r="O187" s="98" t="n"/>
      <c r="P187" s="99" t="n"/>
      <c r="Q187" s="99" t="n"/>
      <c r="R187" s="100" t="n"/>
      <c r="S187" s="98" t="n"/>
      <c r="T187" s="99" t="n"/>
      <c r="U187" s="99" t="n"/>
      <c r="V187" s="100" t="n"/>
      <c r="W187" s="98" t="n"/>
      <c r="X187" s="100" t="n"/>
      <c r="Y187" s="98" t="n"/>
      <c r="Z187" s="100" t="n"/>
      <c r="AB187" s="101">
        <f>IF($B187="","",(COUNTIF(C158:E175,$B187)+COUNTIF(C158:E175,$B187&amp;" ~*")&gt;0)+(COUNTIF(G158:I175,$B187)+COUNTIF(G158:I175,$B187&amp;" ~*")&gt;0)+(COUNTIF(K158:M175,$B187)+COUNTIF(K158:M175,$B187&amp;" ~*")&gt;0)+(COUNTIF(O158:Q175,$B187)+COUNTIF(O158:Q175,$B187&amp;" ~*")&gt;0)+(COUNTIF(S158:U175,$B187)+COUNTIF(S158:U175,$B187&amp;" ~*")&gt;0)+(COUNTIF(W158:W175,$B187)+COUNTIF(W158:W175,$B187&amp;" ~*")&gt;0)+(COUNTIF(Y158:Y175,$B187)+COUNTIF(Y158:Y175,$B187&amp;" ~*")&gt;0))</f>
        <v/>
      </c>
      <c r="AC187" s="36">
        <f>IF($B187="","",(IFERROR(INDEX(Setup!$G$33:$G$40,MATCH(C187,Setup!$B$33:$B$40,0)),0)=1)*(COUNTIF(C158:E175,$B187)+COUNTIF(C158:E175,$B187&amp;" ~*")&gt;0)+(IFERROR(INDEX(Setup!$G$33:$G$40,MATCH(G187,Setup!$B$33:$B$40,0)),0)=1)*(COUNTIF(G158:I175,$B187)+COUNTIF(G158:I175,$B187&amp;" ~*")&gt;0)+(IFERROR(INDEX(Setup!$G$33:$G$40,MATCH(K187,Setup!$B$33:$B$40,0)),0)=1)*(COUNTIF(K158:M175,$B187)+COUNTIF(K158:M175,$B187&amp;" ~*")&gt;0)+(IFERROR(INDEX(Setup!$G$33:$G$40,MATCH(O187,Setup!$B$33:$B$40,0)),0)=1)*(COUNTIF(O158:Q175,$B187)+COUNTIF(O158:Q175,$B187&amp;" ~*")&gt;0)+(IFERROR(INDEX(Setup!$G$33:$G$40,MATCH(S187,Setup!$B$33:$B$40,0)),0)=1)*(COUNTIF(S158:U175,$B187)+COUNTIF(S158:U175,$B187&amp;" ~*")&gt;0)+(IFERROR(INDEX(Setup!$G$33:$G$40,MATCH(W187,Setup!$B$33:$B$40,0)),0)=1)*(COUNTIF(W158:W175,$B187)+COUNTIF(W158:W175,$B187&amp;" ~*")&gt;0)+(IFERROR(INDEX(Setup!$G$33:$G$40,MATCH(Y187,Setup!$B$33:$B$40,0)),0)=1)*(COUNTIF(Y158:Y175,$B187)+COUNTIF(Y158:Y175,$B187&amp;" ~*")&gt;0))</f>
        <v/>
      </c>
    </row>
    <row r="188" ht="15" customHeight="1">
      <c r="A188" t="n">
        <v>4</v>
      </c>
      <c r="B188" s="37">
        <f>IF(Setup!$B$17="","",Setup!$B$17)</f>
        <v/>
      </c>
      <c r="C188" s="102" t="n"/>
      <c r="D188" s="103" t="n"/>
      <c r="E188" s="103" t="n"/>
      <c r="F188" s="104" t="n"/>
      <c r="G188" s="102" t="n"/>
      <c r="H188" s="103" t="n"/>
      <c r="I188" s="103" t="n"/>
      <c r="J188" s="104" t="n"/>
      <c r="K188" s="102" t="n"/>
      <c r="L188" s="103" t="n"/>
      <c r="M188" s="103" t="n"/>
      <c r="N188" s="104" t="n"/>
      <c r="O188" s="102" t="n"/>
      <c r="P188" s="103" t="n"/>
      <c r="Q188" s="103" t="n"/>
      <c r="R188" s="104" t="n"/>
      <c r="S188" s="102" t="n"/>
      <c r="T188" s="103" t="n"/>
      <c r="U188" s="103" t="n"/>
      <c r="V188" s="104" t="n"/>
      <c r="W188" s="102" t="n"/>
      <c r="X188" s="104" t="n"/>
      <c r="Y188" s="102" t="n"/>
      <c r="Z188" s="104" t="n"/>
      <c r="AB188" s="105">
        <f>IF($B188="","",(COUNTIF(C158:E175,$B188)+COUNTIF(C158:E175,$B188&amp;" ~*")&gt;0)+(COUNTIF(G158:I175,$B188)+COUNTIF(G158:I175,$B188&amp;" ~*")&gt;0)+(COUNTIF(K158:M175,$B188)+COUNTIF(K158:M175,$B188&amp;" ~*")&gt;0)+(COUNTIF(O158:Q175,$B188)+COUNTIF(O158:Q175,$B188&amp;" ~*")&gt;0)+(COUNTIF(S158:U175,$B188)+COUNTIF(S158:U175,$B188&amp;" ~*")&gt;0)+(COUNTIF(W158:W175,$B188)+COUNTIF(W158:W175,$B188&amp;" ~*")&gt;0)+(COUNTIF(Y158:Y175,$B188)+COUNTIF(Y158:Y175,$B188&amp;" ~*")&gt;0))</f>
        <v/>
      </c>
      <c r="AC188" s="38">
        <f>IF($B188="","",(IFERROR(INDEX(Setup!$G$33:$G$40,MATCH(C188,Setup!$B$33:$B$40,0)),0)=1)*(COUNTIF(C158:E175,$B188)+COUNTIF(C158:E175,$B188&amp;" ~*")&gt;0)+(IFERROR(INDEX(Setup!$G$33:$G$40,MATCH(G188,Setup!$B$33:$B$40,0)),0)=1)*(COUNTIF(G158:I175,$B188)+COUNTIF(G158:I175,$B188&amp;" ~*")&gt;0)+(IFERROR(INDEX(Setup!$G$33:$G$40,MATCH(K188,Setup!$B$33:$B$40,0)),0)=1)*(COUNTIF(K158:M175,$B188)+COUNTIF(K158:M175,$B188&amp;" ~*")&gt;0)+(IFERROR(INDEX(Setup!$G$33:$G$40,MATCH(O188,Setup!$B$33:$B$40,0)),0)=1)*(COUNTIF(O158:Q175,$B188)+COUNTIF(O158:Q175,$B188&amp;" ~*")&gt;0)+(IFERROR(INDEX(Setup!$G$33:$G$40,MATCH(S188,Setup!$B$33:$B$40,0)),0)=1)*(COUNTIF(S158:U175,$B188)+COUNTIF(S158:U175,$B188&amp;" ~*")&gt;0)+(IFERROR(INDEX(Setup!$G$33:$G$40,MATCH(W188,Setup!$B$33:$B$40,0)),0)=1)*(COUNTIF(W158:W175,$B188)+COUNTIF(W158:W175,$B188&amp;" ~*")&gt;0)+(IFERROR(INDEX(Setup!$G$33:$G$40,MATCH(Y188,Setup!$B$33:$B$40,0)),0)=1)*(COUNTIF(Y158:Y175,$B188)+COUNTIF(Y158:Y175,$B188&amp;" ~*")&gt;0))</f>
        <v/>
      </c>
    </row>
    <row r="189" ht="15" customHeight="1">
      <c r="A189" t="n">
        <v>4</v>
      </c>
      <c r="B189" s="35">
        <f>IF(Setup!$B$18="","",Setup!$B$18)</f>
        <v/>
      </c>
      <c r="C189" s="98" t="n"/>
      <c r="D189" s="99" t="n"/>
      <c r="E189" s="99" t="n"/>
      <c r="F189" s="100" t="n"/>
      <c r="G189" s="98" t="n"/>
      <c r="H189" s="99" t="n"/>
      <c r="I189" s="99" t="n"/>
      <c r="J189" s="100" t="n"/>
      <c r="K189" s="98" t="n"/>
      <c r="L189" s="99" t="n"/>
      <c r="M189" s="99" t="n"/>
      <c r="N189" s="100" t="n"/>
      <c r="O189" s="98" t="n"/>
      <c r="P189" s="99" t="n"/>
      <c r="Q189" s="99" t="n"/>
      <c r="R189" s="100" t="n"/>
      <c r="S189" s="98" t="n"/>
      <c r="T189" s="99" t="n"/>
      <c r="U189" s="99" t="n"/>
      <c r="V189" s="100" t="n"/>
      <c r="W189" s="98" t="n"/>
      <c r="X189" s="100" t="n"/>
      <c r="Y189" s="98" t="n"/>
      <c r="Z189" s="100" t="n"/>
      <c r="AB189" s="101">
        <f>IF($B189="","",(COUNTIF(C158:E175,$B189)+COUNTIF(C158:E175,$B189&amp;" ~*")&gt;0)+(COUNTIF(G158:I175,$B189)+COUNTIF(G158:I175,$B189&amp;" ~*")&gt;0)+(COUNTIF(K158:M175,$B189)+COUNTIF(K158:M175,$B189&amp;" ~*")&gt;0)+(COUNTIF(O158:Q175,$B189)+COUNTIF(O158:Q175,$B189&amp;" ~*")&gt;0)+(COUNTIF(S158:U175,$B189)+COUNTIF(S158:U175,$B189&amp;" ~*")&gt;0)+(COUNTIF(W158:W175,$B189)+COUNTIF(W158:W175,$B189&amp;" ~*")&gt;0)+(COUNTIF(Y158:Y175,$B189)+COUNTIF(Y158:Y175,$B189&amp;" ~*")&gt;0))</f>
        <v/>
      </c>
      <c r="AC189" s="36">
        <f>IF($B189="","",(IFERROR(INDEX(Setup!$G$33:$G$40,MATCH(C189,Setup!$B$33:$B$40,0)),0)=1)*(COUNTIF(C158:E175,$B189)+COUNTIF(C158:E175,$B189&amp;" ~*")&gt;0)+(IFERROR(INDEX(Setup!$G$33:$G$40,MATCH(G189,Setup!$B$33:$B$40,0)),0)=1)*(COUNTIF(G158:I175,$B189)+COUNTIF(G158:I175,$B189&amp;" ~*")&gt;0)+(IFERROR(INDEX(Setup!$G$33:$G$40,MATCH(K189,Setup!$B$33:$B$40,0)),0)=1)*(COUNTIF(K158:M175,$B189)+COUNTIF(K158:M175,$B189&amp;" ~*")&gt;0)+(IFERROR(INDEX(Setup!$G$33:$G$40,MATCH(O189,Setup!$B$33:$B$40,0)),0)=1)*(COUNTIF(O158:Q175,$B189)+COUNTIF(O158:Q175,$B189&amp;" ~*")&gt;0)+(IFERROR(INDEX(Setup!$G$33:$G$40,MATCH(S189,Setup!$B$33:$B$40,0)),0)=1)*(COUNTIF(S158:U175,$B189)+COUNTIF(S158:U175,$B189&amp;" ~*")&gt;0)+(IFERROR(INDEX(Setup!$G$33:$G$40,MATCH(W189,Setup!$B$33:$B$40,0)),0)=1)*(COUNTIF(W158:W175,$B189)+COUNTIF(W158:W175,$B189&amp;" ~*")&gt;0)+(IFERROR(INDEX(Setup!$G$33:$G$40,MATCH(Y189,Setup!$B$33:$B$40,0)),0)=1)*(COUNTIF(Y158:Y175,$B189)+COUNTIF(Y158:Y175,$B189&amp;" ~*")&gt;0))</f>
        <v/>
      </c>
    </row>
    <row r="190" ht="15" customHeight="1">
      <c r="A190" t="n">
        <v>4</v>
      </c>
      <c r="B190" s="37">
        <f>IF(Setup!$B$19="","",Setup!$B$19)</f>
        <v/>
      </c>
      <c r="C190" s="102" t="n"/>
      <c r="D190" s="103" t="n"/>
      <c r="E190" s="103" t="n"/>
      <c r="F190" s="104" t="n"/>
      <c r="G190" s="102" t="n"/>
      <c r="H190" s="103" t="n"/>
      <c r="I190" s="103" t="n"/>
      <c r="J190" s="104" t="n"/>
      <c r="K190" s="102" t="n"/>
      <c r="L190" s="103" t="n"/>
      <c r="M190" s="103" t="n"/>
      <c r="N190" s="104" t="n"/>
      <c r="O190" s="102" t="n"/>
      <c r="P190" s="103" t="n"/>
      <c r="Q190" s="103" t="n"/>
      <c r="R190" s="104" t="n"/>
      <c r="S190" s="102" t="n"/>
      <c r="T190" s="103" t="n"/>
      <c r="U190" s="103" t="n"/>
      <c r="V190" s="104" t="n"/>
      <c r="W190" s="102" t="n"/>
      <c r="X190" s="104" t="n"/>
      <c r="Y190" s="102" t="n"/>
      <c r="Z190" s="104" t="n"/>
      <c r="AB190" s="105">
        <f>IF($B190="","",(COUNTIF(C158:E175,$B190)+COUNTIF(C158:E175,$B190&amp;" ~*")&gt;0)+(COUNTIF(G158:I175,$B190)+COUNTIF(G158:I175,$B190&amp;" ~*")&gt;0)+(COUNTIF(K158:M175,$B190)+COUNTIF(K158:M175,$B190&amp;" ~*")&gt;0)+(COUNTIF(O158:Q175,$B190)+COUNTIF(O158:Q175,$B190&amp;" ~*")&gt;0)+(COUNTIF(S158:U175,$B190)+COUNTIF(S158:U175,$B190&amp;" ~*")&gt;0)+(COUNTIF(W158:W175,$B190)+COUNTIF(W158:W175,$B190&amp;" ~*")&gt;0)+(COUNTIF(Y158:Y175,$B190)+COUNTIF(Y158:Y175,$B190&amp;" ~*")&gt;0))</f>
        <v/>
      </c>
      <c r="AC190" s="38">
        <f>IF($B190="","",(IFERROR(INDEX(Setup!$G$33:$G$40,MATCH(C190,Setup!$B$33:$B$40,0)),0)=1)*(COUNTIF(C158:E175,$B190)+COUNTIF(C158:E175,$B190&amp;" ~*")&gt;0)+(IFERROR(INDEX(Setup!$G$33:$G$40,MATCH(G190,Setup!$B$33:$B$40,0)),0)=1)*(COUNTIF(G158:I175,$B190)+COUNTIF(G158:I175,$B190&amp;" ~*")&gt;0)+(IFERROR(INDEX(Setup!$G$33:$G$40,MATCH(K190,Setup!$B$33:$B$40,0)),0)=1)*(COUNTIF(K158:M175,$B190)+COUNTIF(K158:M175,$B190&amp;" ~*")&gt;0)+(IFERROR(INDEX(Setup!$G$33:$G$40,MATCH(O190,Setup!$B$33:$B$40,0)),0)=1)*(COUNTIF(O158:Q175,$B190)+COUNTIF(O158:Q175,$B190&amp;" ~*")&gt;0)+(IFERROR(INDEX(Setup!$G$33:$G$40,MATCH(S190,Setup!$B$33:$B$40,0)),0)=1)*(COUNTIF(S158:U175,$B190)+COUNTIF(S158:U175,$B190&amp;" ~*")&gt;0)+(IFERROR(INDEX(Setup!$G$33:$G$40,MATCH(W190,Setup!$B$33:$B$40,0)),0)=1)*(COUNTIF(W158:W175,$B190)+COUNTIF(W158:W175,$B190&amp;" ~*")&gt;0)+(IFERROR(INDEX(Setup!$G$33:$G$40,MATCH(Y190,Setup!$B$33:$B$40,0)),0)=1)*(COUNTIF(Y158:Y175,$B190)+COUNTIF(Y158:Y175,$B190&amp;" ~*")&gt;0))</f>
        <v/>
      </c>
    </row>
    <row r="191" ht="15" customHeight="1">
      <c r="A191" t="n">
        <v>4</v>
      </c>
      <c r="B191" s="35">
        <f>IF(Setup!$B$20="","",Setup!$B$20)</f>
        <v/>
      </c>
      <c r="C191" s="98" t="n"/>
      <c r="D191" s="99" t="n"/>
      <c r="E191" s="99" t="n"/>
      <c r="F191" s="100" t="n"/>
      <c r="G191" s="98" t="n"/>
      <c r="H191" s="99" t="n"/>
      <c r="I191" s="99" t="n"/>
      <c r="J191" s="100" t="n"/>
      <c r="K191" s="98" t="n"/>
      <c r="L191" s="99" t="n"/>
      <c r="M191" s="99" t="n"/>
      <c r="N191" s="100" t="n"/>
      <c r="O191" s="98" t="n"/>
      <c r="P191" s="99" t="n"/>
      <c r="Q191" s="99" t="n"/>
      <c r="R191" s="100" t="n"/>
      <c r="S191" s="98" t="n"/>
      <c r="T191" s="99" t="n"/>
      <c r="U191" s="99" t="n"/>
      <c r="V191" s="100" t="n"/>
      <c r="W191" s="98" t="n"/>
      <c r="X191" s="100" t="n"/>
      <c r="Y191" s="98" t="n"/>
      <c r="Z191" s="100" t="n"/>
      <c r="AB191" s="101">
        <f>IF($B191="","",(COUNTIF(C158:E175,$B191)+COUNTIF(C158:E175,$B191&amp;" ~*")&gt;0)+(COUNTIF(G158:I175,$B191)+COUNTIF(G158:I175,$B191&amp;" ~*")&gt;0)+(COUNTIF(K158:M175,$B191)+COUNTIF(K158:M175,$B191&amp;" ~*")&gt;0)+(COUNTIF(O158:Q175,$B191)+COUNTIF(O158:Q175,$B191&amp;" ~*")&gt;0)+(COUNTIF(S158:U175,$B191)+COUNTIF(S158:U175,$B191&amp;" ~*")&gt;0)+(COUNTIF(W158:W175,$B191)+COUNTIF(W158:W175,$B191&amp;" ~*")&gt;0)+(COUNTIF(Y158:Y175,$B191)+COUNTIF(Y158:Y175,$B191&amp;" ~*")&gt;0))</f>
        <v/>
      </c>
      <c r="AC191" s="36">
        <f>IF($B191="","",(IFERROR(INDEX(Setup!$G$33:$G$40,MATCH(C191,Setup!$B$33:$B$40,0)),0)=1)*(COUNTIF(C158:E175,$B191)+COUNTIF(C158:E175,$B191&amp;" ~*")&gt;0)+(IFERROR(INDEX(Setup!$G$33:$G$40,MATCH(G191,Setup!$B$33:$B$40,0)),0)=1)*(COUNTIF(G158:I175,$B191)+COUNTIF(G158:I175,$B191&amp;" ~*")&gt;0)+(IFERROR(INDEX(Setup!$G$33:$G$40,MATCH(K191,Setup!$B$33:$B$40,0)),0)=1)*(COUNTIF(K158:M175,$B191)+COUNTIF(K158:M175,$B191&amp;" ~*")&gt;0)+(IFERROR(INDEX(Setup!$G$33:$G$40,MATCH(O191,Setup!$B$33:$B$40,0)),0)=1)*(COUNTIF(O158:Q175,$B191)+COUNTIF(O158:Q175,$B191&amp;" ~*")&gt;0)+(IFERROR(INDEX(Setup!$G$33:$G$40,MATCH(S191,Setup!$B$33:$B$40,0)),0)=1)*(COUNTIF(S158:U175,$B191)+COUNTIF(S158:U175,$B191&amp;" ~*")&gt;0)+(IFERROR(INDEX(Setup!$G$33:$G$40,MATCH(W191,Setup!$B$33:$B$40,0)),0)=1)*(COUNTIF(W158:W175,$B191)+COUNTIF(W158:W175,$B191&amp;" ~*")&gt;0)+(IFERROR(INDEX(Setup!$G$33:$G$40,MATCH(Y191,Setup!$B$33:$B$40,0)),0)=1)*(COUNTIF(Y158:Y175,$B191)+COUNTIF(Y158:Y175,$B191&amp;" ~*")&gt;0))</f>
        <v/>
      </c>
    </row>
    <row r="192" ht="15" customHeight="1">
      <c r="A192" t="n">
        <v>4</v>
      </c>
      <c r="B192" s="37">
        <f>IF(Setup!$B$21="","",Setup!$B$21)</f>
        <v/>
      </c>
      <c r="C192" s="102" t="n"/>
      <c r="D192" s="103" t="n"/>
      <c r="E192" s="103" t="n"/>
      <c r="F192" s="104" t="n"/>
      <c r="G192" s="102" t="n"/>
      <c r="H192" s="103" t="n"/>
      <c r="I192" s="103" t="n"/>
      <c r="J192" s="104" t="n"/>
      <c r="K192" s="102" t="n"/>
      <c r="L192" s="103" t="n"/>
      <c r="M192" s="103" t="n"/>
      <c r="N192" s="104" t="n"/>
      <c r="O192" s="102" t="n"/>
      <c r="P192" s="103" t="n"/>
      <c r="Q192" s="103" t="n"/>
      <c r="R192" s="104" t="n"/>
      <c r="S192" s="102" t="n"/>
      <c r="T192" s="103" t="n"/>
      <c r="U192" s="103" t="n"/>
      <c r="V192" s="104" t="n"/>
      <c r="W192" s="102" t="n"/>
      <c r="X192" s="104" t="n"/>
      <c r="Y192" s="102" t="n"/>
      <c r="Z192" s="104" t="n"/>
      <c r="AB192" s="105">
        <f>IF($B192="","",(COUNTIF(C158:E175,$B192)+COUNTIF(C158:E175,$B192&amp;" ~*")&gt;0)+(COUNTIF(G158:I175,$B192)+COUNTIF(G158:I175,$B192&amp;" ~*")&gt;0)+(COUNTIF(K158:M175,$B192)+COUNTIF(K158:M175,$B192&amp;" ~*")&gt;0)+(COUNTIF(O158:Q175,$B192)+COUNTIF(O158:Q175,$B192&amp;" ~*")&gt;0)+(COUNTIF(S158:U175,$B192)+COUNTIF(S158:U175,$B192&amp;" ~*")&gt;0)+(COUNTIF(W158:W175,$B192)+COUNTIF(W158:W175,$B192&amp;" ~*")&gt;0)+(COUNTIF(Y158:Y175,$B192)+COUNTIF(Y158:Y175,$B192&amp;" ~*")&gt;0))</f>
        <v/>
      </c>
      <c r="AC192" s="38">
        <f>IF($B192="","",(IFERROR(INDEX(Setup!$G$33:$G$40,MATCH(C192,Setup!$B$33:$B$40,0)),0)=1)*(COUNTIF(C158:E175,$B192)+COUNTIF(C158:E175,$B192&amp;" ~*")&gt;0)+(IFERROR(INDEX(Setup!$G$33:$G$40,MATCH(G192,Setup!$B$33:$B$40,0)),0)=1)*(COUNTIF(G158:I175,$B192)+COUNTIF(G158:I175,$B192&amp;" ~*")&gt;0)+(IFERROR(INDEX(Setup!$G$33:$G$40,MATCH(K192,Setup!$B$33:$B$40,0)),0)=1)*(COUNTIF(K158:M175,$B192)+COUNTIF(K158:M175,$B192&amp;" ~*")&gt;0)+(IFERROR(INDEX(Setup!$G$33:$G$40,MATCH(O192,Setup!$B$33:$B$40,0)),0)=1)*(COUNTIF(O158:Q175,$B192)+COUNTIF(O158:Q175,$B192&amp;" ~*")&gt;0)+(IFERROR(INDEX(Setup!$G$33:$G$40,MATCH(S192,Setup!$B$33:$B$40,0)),0)=1)*(COUNTIF(S158:U175,$B192)+COUNTIF(S158:U175,$B192&amp;" ~*")&gt;0)+(IFERROR(INDEX(Setup!$G$33:$G$40,MATCH(W192,Setup!$B$33:$B$40,0)),0)=1)*(COUNTIF(W158:W175,$B192)+COUNTIF(W158:W175,$B192&amp;" ~*")&gt;0)+(IFERROR(INDEX(Setup!$G$33:$G$40,MATCH(Y192,Setup!$B$33:$B$40,0)),0)=1)*(COUNTIF(Y158:Y175,$B192)+COUNTIF(Y158:Y175,$B192&amp;" ~*")&gt;0))</f>
        <v/>
      </c>
    </row>
    <row r="193" ht="15" customHeight="1">
      <c r="A193" t="n">
        <v>4</v>
      </c>
      <c r="B193" s="35">
        <f>IF(Setup!$B$22="","",Setup!$B$22)</f>
        <v/>
      </c>
      <c r="C193" s="98" t="n"/>
      <c r="D193" s="99" t="n"/>
      <c r="E193" s="99" t="n"/>
      <c r="F193" s="100" t="n"/>
      <c r="G193" s="98" t="n"/>
      <c r="H193" s="99" t="n"/>
      <c r="I193" s="99" t="n"/>
      <c r="J193" s="100" t="n"/>
      <c r="K193" s="98" t="n"/>
      <c r="L193" s="99" t="n"/>
      <c r="M193" s="99" t="n"/>
      <c r="N193" s="100" t="n"/>
      <c r="O193" s="98" t="n"/>
      <c r="P193" s="99" t="n"/>
      <c r="Q193" s="99" t="n"/>
      <c r="R193" s="100" t="n"/>
      <c r="S193" s="98" t="n"/>
      <c r="T193" s="99" t="n"/>
      <c r="U193" s="99" t="n"/>
      <c r="V193" s="100" t="n"/>
      <c r="W193" s="98" t="n"/>
      <c r="X193" s="100" t="n"/>
      <c r="Y193" s="98" t="n"/>
      <c r="Z193" s="100" t="n"/>
      <c r="AB193" s="101">
        <f>IF($B193="","",(COUNTIF(C158:E175,$B193)+COUNTIF(C158:E175,$B193&amp;" ~*")&gt;0)+(COUNTIF(G158:I175,$B193)+COUNTIF(G158:I175,$B193&amp;" ~*")&gt;0)+(COUNTIF(K158:M175,$B193)+COUNTIF(K158:M175,$B193&amp;" ~*")&gt;0)+(COUNTIF(O158:Q175,$B193)+COUNTIF(O158:Q175,$B193&amp;" ~*")&gt;0)+(COUNTIF(S158:U175,$B193)+COUNTIF(S158:U175,$B193&amp;" ~*")&gt;0)+(COUNTIF(W158:W175,$B193)+COUNTIF(W158:W175,$B193&amp;" ~*")&gt;0)+(COUNTIF(Y158:Y175,$B193)+COUNTIF(Y158:Y175,$B193&amp;" ~*")&gt;0))</f>
        <v/>
      </c>
      <c r="AC193" s="36">
        <f>IF($B193="","",(IFERROR(INDEX(Setup!$G$33:$G$40,MATCH(C193,Setup!$B$33:$B$40,0)),0)=1)*(COUNTIF(C158:E175,$B193)+COUNTIF(C158:E175,$B193&amp;" ~*")&gt;0)+(IFERROR(INDEX(Setup!$G$33:$G$40,MATCH(G193,Setup!$B$33:$B$40,0)),0)=1)*(COUNTIF(G158:I175,$B193)+COUNTIF(G158:I175,$B193&amp;" ~*")&gt;0)+(IFERROR(INDEX(Setup!$G$33:$G$40,MATCH(K193,Setup!$B$33:$B$40,0)),0)=1)*(COUNTIF(K158:M175,$B193)+COUNTIF(K158:M175,$B193&amp;" ~*")&gt;0)+(IFERROR(INDEX(Setup!$G$33:$G$40,MATCH(O193,Setup!$B$33:$B$40,0)),0)=1)*(COUNTIF(O158:Q175,$B193)+COUNTIF(O158:Q175,$B193&amp;" ~*")&gt;0)+(IFERROR(INDEX(Setup!$G$33:$G$40,MATCH(S193,Setup!$B$33:$B$40,0)),0)=1)*(COUNTIF(S158:U175,$B193)+COUNTIF(S158:U175,$B193&amp;" ~*")&gt;0)+(IFERROR(INDEX(Setup!$G$33:$G$40,MATCH(W193,Setup!$B$33:$B$40,0)),0)=1)*(COUNTIF(W158:W175,$B193)+COUNTIF(W158:W175,$B193&amp;" ~*")&gt;0)+(IFERROR(INDEX(Setup!$G$33:$G$40,MATCH(Y193,Setup!$B$33:$B$40,0)),0)=1)*(COUNTIF(Y158:Y175,$B193)+COUNTIF(Y158:Y175,$B193&amp;" ~*")&gt;0))</f>
        <v/>
      </c>
    </row>
    <row r="194" ht="15" customHeight="1">
      <c r="A194" t="n">
        <v>4</v>
      </c>
      <c r="B194" s="37">
        <f>IF(Setup!$B$23="","",Setup!$B$23)</f>
        <v/>
      </c>
      <c r="C194" s="102" t="n"/>
      <c r="D194" s="103" t="n"/>
      <c r="E194" s="103" t="n"/>
      <c r="F194" s="104" t="n"/>
      <c r="G194" s="102" t="n"/>
      <c r="H194" s="103" t="n"/>
      <c r="I194" s="103" t="n"/>
      <c r="J194" s="104" t="n"/>
      <c r="K194" s="102" t="n"/>
      <c r="L194" s="103" t="n"/>
      <c r="M194" s="103" t="n"/>
      <c r="N194" s="104" t="n"/>
      <c r="O194" s="102" t="n"/>
      <c r="P194" s="103" t="n"/>
      <c r="Q194" s="103" t="n"/>
      <c r="R194" s="104" t="n"/>
      <c r="S194" s="102" t="n"/>
      <c r="T194" s="103" t="n"/>
      <c r="U194" s="103" t="n"/>
      <c r="V194" s="104" t="n"/>
      <c r="W194" s="102" t="n"/>
      <c r="X194" s="104" t="n"/>
      <c r="Y194" s="102" t="n"/>
      <c r="Z194" s="104" t="n"/>
      <c r="AB194" s="105">
        <f>IF($B194="","",(COUNTIF(C158:E175,$B194)+COUNTIF(C158:E175,$B194&amp;" ~*")&gt;0)+(COUNTIF(G158:I175,$B194)+COUNTIF(G158:I175,$B194&amp;" ~*")&gt;0)+(COUNTIF(K158:M175,$B194)+COUNTIF(K158:M175,$B194&amp;" ~*")&gt;0)+(COUNTIF(O158:Q175,$B194)+COUNTIF(O158:Q175,$B194&amp;" ~*")&gt;0)+(COUNTIF(S158:U175,$B194)+COUNTIF(S158:U175,$B194&amp;" ~*")&gt;0)+(COUNTIF(W158:W175,$B194)+COUNTIF(W158:W175,$B194&amp;" ~*")&gt;0)+(COUNTIF(Y158:Y175,$B194)+COUNTIF(Y158:Y175,$B194&amp;" ~*")&gt;0))</f>
        <v/>
      </c>
      <c r="AC194" s="38">
        <f>IF($B194="","",(IFERROR(INDEX(Setup!$G$33:$G$40,MATCH(C194,Setup!$B$33:$B$40,0)),0)=1)*(COUNTIF(C158:E175,$B194)+COUNTIF(C158:E175,$B194&amp;" ~*")&gt;0)+(IFERROR(INDEX(Setup!$G$33:$G$40,MATCH(G194,Setup!$B$33:$B$40,0)),0)=1)*(COUNTIF(G158:I175,$B194)+COUNTIF(G158:I175,$B194&amp;" ~*")&gt;0)+(IFERROR(INDEX(Setup!$G$33:$G$40,MATCH(K194,Setup!$B$33:$B$40,0)),0)=1)*(COUNTIF(K158:M175,$B194)+COUNTIF(K158:M175,$B194&amp;" ~*")&gt;0)+(IFERROR(INDEX(Setup!$G$33:$G$40,MATCH(O194,Setup!$B$33:$B$40,0)),0)=1)*(COUNTIF(O158:Q175,$B194)+COUNTIF(O158:Q175,$B194&amp;" ~*")&gt;0)+(IFERROR(INDEX(Setup!$G$33:$G$40,MATCH(S194,Setup!$B$33:$B$40,0)),0)=1)*(COUNTIF(S158:U175,$B194)+COUNTIF(S158:U175,$B194&amp;" ~*")&gt;0)+(IFERROR(INDEX(Setup!$G$33:$G$40,MATCH(W194,Setup!$B$33:$B$40,0)),0)=1)*(COUNTIF(W158:W175,$B194)+COUNTIF(W158:W175,$B194&amp;" ~*")&gt;0)+(IFERROR(INDEX(Setup!$G$33:$G$40,MATCH(Y194,Setup!$B$33:$B$40,0)),0)=1)*(COUNTIF(Y158:Y175,$B194)+COUNTIF(Y158:Y175,$B194&amp;" ~*")&gt;0))</f>
        <v/>
      </c>
    </row>
    <row r="195" ht="15" customHeight="1">
      <c r="A195" t="n">
        <v>4</v>
      </c>
      <c r="B195" s="35">
        <f>IF(Setup!$B$24="","",Setup!$B$24)</f>
        <v/>
      </c>
      <c r="C195" s="98" t="n"/>
      <c r="D195" s="99" t="n"/>
      <c r="E195" s="99" t="n"/>
      <c r="F195" s="100" t="n"/>
      <c r="G195" s="98" t="n"/>
      <c r="H195" s="99" t="n"/>
      <c r="I195" s="99" t="n"/>
      <c r="J195" s="100" t="n"/>
      <c r="K195" s="98" t="n"/>
      <c r="L195" s="99" t="n"/>
      <c r="M195" s="99" t="n"/>
      <c r="N195" s="100" t="n"/>
      <c r="O195" s="98" t="n"/>
      <c r="P195" s="99" t="n"/>
      <c r="Q195" s="99" t="n"/>
      <c r="R195" s="100" t="n"/>
      <c r="S195" s="98" t="n"/>
      <c r="T195" s="99" t="n"/>
      <c r="U195" s="99" t="n"/>
      <c r="V195" s="100" t="n"/>
      <c r="W195" s="98" t="n"/>
      <c r="X195" s="100" t="n"/>
      <c r="Y195" s="98" t="n"/>
      <c r="Z195" s="100" t="n"/>
      <c r="AB195" s="101">
        <f>IF($B195="","",(COUNTIF(C158:E175,$B195)+COUNTIF(C158:E175,$B195&amp;" ~*")&gt;0)+(COUNTIF(G158:I175,$B195)+COUNTIF(G158:I175,$B195&amp;" ~*")&gt;0)+(COUNTIF(K158:M175,$B195)+COUNTIF(K158:M175,$B195&amp;" ~*")&gt;0)+(COUNTIF(O158:Q175,$B195)+COUNTIF(O158:Q175,$B195&amp;" ~*")&gt;0)+(COUNTIF(S158:U175,$B195)+COUNTIF(S158:U175,$B195&amp;" ~*")&gt;0)+(COUNTIF(W158:W175,$B195)+COUNTIF(W158:W175,$B195&amp;" ~*")&gt;0)+(COUNTIF(Y158:Y175,$B195)+COUNTIF(Y158:Y175,$B195&amp;" ~*")&gt;0))</f>
        <v/>
      </c>
      <c r="AC195" s="36">
        <f>IF($B195="","",(IFERROR(INDEX(Setup!$G$33:$G$40,MATCH(C195,Setup!$B$33:$B$40,0)),0)=1)*(COUNTIF(C158:E175,$B195)+COUNTIF(C158:E175,$B195&amp;" ~*")&gt;0)+(IFERROR(INDEX(Setup!$G$33:$G$40,MATCH(G195,Setup!$B$33:$B$40,0)),0)=1)*(COUNTIF(G158:I175,$B195)+COUNTIF(G158:I175,$B195&amp;" ~*")&gt;0)+(IFERROR(INDEX(Setup!$G$33:$G$40,MATCH(K195,Setup!$B$33:$B$40,0)),0)=1)*(COUNTIF(K158:M175,$B195)+COUNTIF(K158:M175,$B195&amp;" ~*")&gt;0)+(IFERROR(INDEX(Setup!$G$33:$G$40,MATCH(O195,Setup!$B$33:$B$40,0)),0)=1)*(COUNTIF(O158:Q175,$B195)+COUNTIF(O158:Q175,$B195&amp;" ~*")&gt;0)+(IFERROR(INDEX(Setup!$G$33:$G$40,MATCH(S195,Setup!$B$33:$B$40,0)),0)=1)*(COUNTIF(S158:U175,$B195)+COUNTIF(S158:U175,$B195&amp;" ~*")&gt;0)+(IFERROR(INDEX(Setup!$G$33:$G$40,MATCH(W195,Setup!$B$33:$B$40,0)),0)=1)*(COUNTIF(W158:W175,$B195)+COUNTIF(W158:W175,$B195&amp;" ~*")&gt;0)+(IFERROR(INDEX(Setup!$G$33:$G$40,MATCH(Y195,Setup!$B$33:$B$40,0)),0)=1)*(COUNTIF(Y158:Y175,$B195)+COUNTIF(Y158:Y175,$B195&amp;" ~*")&gt;0))</f>
        <v/>
      </c>
    </row>
    <row r="196" ht="15" customHeight="1">
      <c r="A196" t="n">
        <v>4</v>
      </c>
      <c r="B196" s="37">
        <f>IF(Setup!$B$25="","",Setup!$B$25)</f>
        <v/>
      </c>
      <c r="C196" s="102" t="n"/>
      <c r="D196" s="103" t="n"/>
      <c r="E196" s="103" t="n"/>
      <c r="F196" s="104" t="n"/>
      <c r="G196" s="102" t="n"/>
      <c r="H196" s="103" t="n"/>
      <c r="I196" s="103" t="n"/>
      <c r="J196" s="104" t="n"/>
      <c r="K196" s="102" t="n"/>
      <c r="L196" s="103" t="n"/>
      <c r="M196" s="103" t="n"/>
      <c r="N196" s="104" t="n"/>
      <c r="O196" s="102" t="n"/>
      <c r="P196" s="103" t="n"/>
      <c r="Q196" s="103" t="n"/>
      <c r="R196" s="104" t="n"/>
      <c r="S196" s="102" t="n"/>
      <c r="T196" s="103" t="n"/>
      <c r="U196" s="103" t="n"/>
      <c r="V196" s="104" t="n"/>
      <c r="W196" s="102" t="n"/>
      <c r="X196" s="104" t="n"/>
      <c r="Y196" s="102" t="n"/>
      <c r="Z196" s="104" t="n"/>
      <c r="AB196" s="105">
        <f>IF($B196="","",(COUNTIF(C158:E175,$B196)+COUNTIF(C158:E175,$B196&amp;" ~*")&gt;0)+(COUNTIF(G158:I175,$B196)+COUNTIF(G158:I175,$B196&amp;" ~*")&gt;0)+(COUNTIF(K158:M175,$B196)+COUNTIF(K158:M175,$B196&amp;" ~*")&gt;0)+(COUNTIF(O158:Q175,$B196)+COUNTIF(O158:Q175,$B196&amp;" ~*")&gt;0)+(COUNTIF(S158:U175,$B196)+COUNTIF(S158:U175,$B196&amp;" ~*")&gt;0)+(COUNTIF(W158:W175,$B196)+COUNTIF(W158:W175,$B196&amp;" ~*")&gt;0)+(COUNTIF(Y158:Y175,$B196)+COUNTIF(Y158:Y175,$B196&amp;" ~*")&gt;0))</f>
        <v/>
      </c>
      <c r="AC196" s="38">
        <f>IF($B196="","",(IFERROR(INDEX(Setup!$G$33:$G$40,MATCH(C196,Setup!$B$33:$B$40,0)),0)=1)*(COUNTIF(C158:E175,$B196)+COUNTIF(C158:E175,$B196&amp;" ~*")&gt;0)+(IFERROR(INDEX(Setup!$G$33:$G$40,MATCH(G196,Setup!$B$33:$B$40,0)),0)=1)*(COUNTIF(G158:I175,$B196)+COUNTIF(G158:I175,$B196&amp;" ~*")&gt;0)+(IFERROR(INDEX(Setup!$G$33:$G$40,MATCH(K196,Setup!$B$33:$B$40,0)),0)=1)*(COUNTIF(K158:M175,$B196)+COUNTIF(K158:M175,$B196&amp;" ~*")&gt;0)+(IFERROR(INDEX(Setup!$G$33:$G$40,MATCH(O196,Setup!$B$33:$B$40,0)),0)=1)*(COUNTIF(O158:Q175,$B196)+COUNTIF(O158:Q175,$B196&amp;" ~*")&gt;0)+(IFERROR(INDEX(Setup!$G$33:$G$40,MATCH(S196,Setup!$B$33:$B$40,0)),0)=1)*(COUNTIF(S158:U175,$B196)+COUNTIF(S158:U175,$B196&amp;" ~*")&gt;0)+(IFERROR(INDEX(Setup!$G$33:$G$40,MATCH(W196,Setup!$B$33:$B$40,0)),0)=1)*(COUNTIF(W158:W175,$B196)+COUNTIF(W158:W175,$B196&amp;" ~*")&gt;0)+(IFERROR(INDEX(Setup!$G$33:$G$40,MATCH(Y196,Setup!$B$33:$B$40,0)),0)=1)*(COUNTIF(Y158:Y175,$B196)+COUNTIF(Y158:Y175,$B196&amp;" ~*")&gt;0))</f>
        <v/>
      </c>
    </row>
    <row r="197" ht="15" customHeight="1">
      <c r="A197" t="n">
        <v>4</v>
      </c>
      <c r="B197" s="35">
        <f>IF(Setup!$B$26="","",Setup!$B$26)</f>
        <v/>
      </c>
      <c r="C197" s="98" t="n"/>
      <c r="D197" s="99" t="n"/>
      <c r="E197" s="99" t="n"/>
      <c r="F197" s="100" t="n"/>
      <c r="G197" s="98" t="n"/>
      <c r="H197" s="99" t="n"/>
      <c r="I197" s="99" t="n"/>
      <c r="J197" s="100" t="n"/>
      <c r="K197" s="98" t="n"/>
      <c r="L197" s="99" t="n"/>
      <c r="M197" s="99" t="n"/>
      <c r="N197" s="100" t="n"/>
      <c r="O197" s="98" t="n"/>
      <c r="P197" s="99" t="n"/>
      <c r="Q197" s="99" t="n"/>
      <c r="R197" s="100" t="n"/>
      <c r="S197" s="98" t="n"/>
      <c r="T197" s="99" t="n"/>
      <c r="U197" s="99" t="n"/>
      <c r="V197" s="100" t="n"/>
      <c r="W197" s="98" t="n"/>
      <c r="X197" s="100" t="n"/>
      <c r="Y197" s="98" t="n"/>
      <c r="Z197" s="100" t="n"/>
      <c r="AB197" s="101">
        <f>IF($B197="","",(COUNTIF(C158:E175,$B197)+COUNTIF(C158:E175,$B197&amp;" ~*")&gt;0)+(COUNTIF(G158:I175,$B197)+COUNTIF(G158:I175,$B197&amp;" ~*")&gt;0)+(COUNTIF(K158:M175,$B197)+COUNTIF(K158:M175,$B197&amp;" ~*")&gt;0)+(COUNTIF(O158:Q175,$B197)+COUNTIF(O158:Q175,$B197&amp;" ~*")&gt;0)+(COUNTIF(S158:U175,$B197)+COUNTIF(S158:U175,$B197&amp;" ~*")&gt;0)+(COUNTIF(W158:W175,$B197)+COUNTIF(W158:W175,$B197&amp;" ~*")&gt;0)+(COUNTIF(Y158:Y175,$B197)+COUNTIF(Y158:Y175,$B197&amp;" ~*")&gt;0))</f>
        <v/>
      </c>
      <c r="AC197" s="36">
        <f>IF($B197="","",(IFERROR(INDEX(Setup!$G$33:$G$40,MATCH(C197,Setup!$B$33:$B$40,0)),0)=1)*(COUNTIF(C158:E175,$B197)+COUNTIF(C158:E175,$B197&amp;" ~*")&gt;0)+(IFERROR(INDEX(Setup!$G$33:$G$40,MATCH(G197,Setup!$B$33:$B$40,0)),0)=1)*(COUNTIF(G158:I175,$B197)+COUNTIF(G158:I175,$B197&amp;" ~*")&gt;0)+(IFERROR(INDEX(Setup!$G$33:$G$40,MATCH(K197,Setup!$B$33:$B$40,0)),0)=1)*(COUNTIF(K158:M175,$B197)+COUNTIF(K158:M175,$B197&amp;" ~*")&gt;0)+(IFERROR(INDEX(Setup!$G$33:$G$40,MATCH(O197,Setup!$B$33:$B$40,0)),0)=1)*(COUNTIF(O158:Q175,$B197)+COUNTIF(O158:Q175,$B197&amp;" ~*")&gt;0)+(IFERROR(INDEX(Setup!$G$33:$G$40,MATCH(S197,Setup!$B$33:$B$40,0)),0)=1)*(COUNTIF(S158:U175,$B197)+COUNTIF(S158:U175,$B197&amp;" ~*")&gt;0)+(IFERROR(INDEX(Setup!$G$33:$G$40,MATCH(W197,Setup!$B$33:$B$40,0)),0)=1)*(COUNTIF(W158:W175,$B197)+COUNTIF(W158:W175,$B197&amp;" ~*")&gt;0)+(IFERROR(INDEX(Setup!$G$33:$G$40,MATCH(Y197,Setup!$B$33:$B$40,0)),0)=1)*(COUNTIF(Y158:Y175,$B197)+COUNTIF(Y158:Y175,$B197&amp;" ~*")&gt;0))</f>
        <v/>
      </c>
    </row>
    <row r="198" ht="15" customHeight="1">
      <c r="A198" t="n">
        <v>4</v>
      </c>
      <c r="B198" s="37">
        <f>IF(Setup!$B$27="","",Setup!$B$27)</f>
        <v/>
      </c>
      <c r="C198" s="102" t="n"/>
      <c r="D198" s="103" t="n"/>
      <c r="E198" s="103" t="n"/>
      <c r="F198" s="104" t="n"/>
      <c r="G198" s="102" t="n"/>
      <c r="H198" s="103" t="n"/>
      <c r="I198" s="103" t="n"/>
      <c r="J198" s="104" t="n"/>
      <c r="K198" s="102" t="n"/>
      <c r="L198" s="103" t="n"/>
      <c r="M198" s="103" t="n"/>
      <c r="N198" s="104" t="n"/>
      <c r="O198" s="102" t="n"/>
      <c r="P198" s="103" t="n"/>
      <c r="Q198" s="103" t="n"/>
      <c r="R198" s="104" t="n"/>
      <c r="S198" s="102" t="n"/>
      <c r="T198" s="103" t="n"/>
      <c r="U198" s="103" t="n"/>
      <c r="V198" s="104" t="n"/>
      <c r="W198" s="102" t="n"/>
      <c r="X198" s="104" t="n"/>
      <c r="Y198" s="102" t="n"/>
      <c r="Z198" s="104" t="n"/>
      <c r="AB198" s="105">
        <f>IF($B198="","",(COUNTIF(C158:E175,$B198)+COUNTIF(C158:E175,$B198&amp;" ~*")&gt;0)+(COUNTIF(G158:I175,$B198)+COUNTIF(G158:I175,$B198&amp;" ~*")&gt;0)+(COUNTIF(K158:M175,$B198)+COUNTIF(K158:M175,$B198&amp;" ~*")&gt;0)+(COUNTIF(O158:Q175,$B198)+COUNTIF(O158:Q175,$B198&amp;" ~*")&gt;0)+(COUNTIF(S158:U175,$B198)+COUNTIF(S158:U175,$B198&amp;" ~*")&gt;0)+(COUNTIF(W158:W175,$B198)+COUNTIF(W158:W175,$B198&amp;" ~*")&gt;0)+(COUNTIF(Y158:Y175,$B198)+COUNTIF(Y158:Y175,$B198&amp;" ~*")&gt;0))</f>
        <v/>
      </c>
      <c r="AC198" s="38">
        <f>IF($B198="","",(IFERROR(INDEX(Setup!$G$33:$G$40,MATCH(C198,Setup!$B$33:$B$40,0)),0)=1)*(COUNTIF(C158:E175,$B198)+COUNTIF(C158:E175,$B198&amp;" ~*")&gt;0)+(IFERROR(INDEX(Setup!$G$33:$G$40,MATCH(G198,Setup!$B$33:$B$40,0)),0)=1)*(COUNTIF(G158:I175,$B198)+COUNTIF(G158:I175,$B198&amp;" ~*")&gt;0)+(IFERROR(INDEX(Setup!$G$33:$G$40,MATCH(K198,Setup!$B$33:$B$40,0)),0)=1)*(COUNTIF(K158:M175,$B198)+COUNTIF(K158:M175,$B198&amp;" ~*")&gt;0)+(IFERROR(INDEX(Setup!$G$33:$G$40,MATCH(O198,Setup!$B$33:$B$40,0)),0)=1)*(COUNTIF(O158:Q175,$B198)+COUNTIF(O158:Q175,$B198&amp;" ~*")&gt;0)+(IFERROR(INDEX(Setup!$G$33:$G$40,MATCH(S198,Setup!$B$33:$B$40,0)),0)=1)*(COUNTIF(S158:U175,$B198)+COUNTIF(S158:U175,$B198&amp;" ~*")&gt;0)+(IFERROR(INDEX(Setup!$G$33:$G$40,MATCH(W198,Setup!$B$33:$B$40,0)),0)=1)*(COUNTIF(W158:W175,$B198)+COUNTIF(W158:W175,$B198&amp;" ~*")&gt;0)+(IFERROR(INDEX(Setup!$G$33:$G$40,MATCH(Y198,Setup!$B$33:$B$40,0)),0)=1)*(COUNTIF(Y158:Y175,$B198)+COUNTIF(Y158:Y175,$B198&amp;" ~*")&gt;0))</f>
        <v/>
      </c>
    </row>
    <row r="199" ht="15" customHeight="1">
      <c r="A199" t="n">
        <v>4</v>
      </c>
      <c r="B199" s="35">
        <f>IF(Setup!$B$28="","",Setup!$B$28)</f>
        <v/>
      </c>
      <c r="C199" s="98" t="n"/>
      <c r="D199" s="99" t="n"/>
      <c r="E199" s="99" t="n"/>
      <c r="F199" s="100" t="n"/>
      <c r="G199" s="98" t="n"/>
      <c r="H199" s="99" t="n"/>
      <c r="I199" s="99" t="n"/>
      <c r="J199" s="100" t="n"/>
      <c r="K199" s="98" t="n"/>
      <c r="L199" s="99" t="n"/>
      <c r="M199" s="99" t="n"/>
      <c r="N199" s="100" t="n"/>
      <c r="O199" s="98" t="n"/>
      <c r="P199" s="99" t="n"/>
      <c r="Q199" s="99" t="n"/>
      <c r="R199" s="100" t="n"/>
      <c r="S199" s="98" t="n"/>
      <c r="T199" s="99" t="n"/>
      <c r="U199" s="99" t="n"/>
      <c r="V199" s="100" t="n"/>
      <c r="W199" s="98" t="n"/>
      <c r="X199" s="100" t="n"/>
      <c r="Y199" s="98" t="n"/>
      <c r="Z199" s="100" t="n"/>
      <c r="AB199" s="101">
        <f>IF($B199="","",(COUNTIF(C158:E175,$B199)+COUNTIF(C158:E175,$B199&amp;" ~*")&gt;0)+(COUNTIF(G158:I175,$B199)+COUNTIF(G158:I175,$B199&amp;" ~*")&gt;0)+(COUNTIF(K158:M175,$B199)+COUNTIF(K158:M175,$B199&amp;" ~*")&gt;0)+(COUNTIF(O158:Q175,$B199)+COUNTIF(O158:Q175,$B199&amp;" ~*")&gt;0)+(COUNTIF(S158:U175,$B199)+COUNTIF(S158:U175,$B199&amp;" ~*")&gt;0)+(COUNTIF(W158:W175,$B199)+COUNTIF(W158:W175,$B199&amp;" ~*")&gt;0)+(COUNTIF(Y158:Y175,$B199)+COUNTIF(Y158:Y175,$B199&amp;" ~*")&gt;0))</f>
        <v/>
      </c>
      <c r="AC199" s="36">
        <f>IF($B199="","",(IFERROR(INDEX(Setup!$G$33:$G$40,MATCH(C199,Setup!$B$33:$B$40,0)),0)=1)*(COUNTIF(C158:E175,$B199)+COUNTIF(C158:E175,$B199&amp;" ~*")&gt;0)+(IFERROR(INDEX(Setup!$G$33:$G$40,MATCH(G199,Setup!$B$33:$B$40,0)),0)=1)*(COUNTIF(G158:I175,$B199)+COUNTIF(G158:I175,$B199&amp;" ~*")&gt;0)+(IFERROR(INDEX(Setup!$G$33:$G$40,MATCH(K199,Setup!$B$33:$B$40,0)),0)=1)*(COUNTIF(K158:M175,$B199)+COUNTIF(K158:M175,$B199&amp;" ~*")&gt;0)+(IFERROR(INDEX(Setup!$G$33:$G$40,MATCH(O199,Setup!$B$33:$B$40,0)),0)=1)*(COUNTIF(O158:Q175,$B199)+COUNTIF(O158:Q175,$B199&amp;" ~*")&gt;0)+(IFERROR(INDEX(Setup!$G$33:$G$40,MATCH(S199,Setup!$B$33:$B$40,0)),0)=1)*(COUNTIF(S158:U175,$B199)+COUNTIF(S158:U175,$B199&amp;" ~*")&gt;0)+(IFERROR(INDEX(Setup!$G$33:$G$40,MATCH(W199,Setup!$B$33:$B$40,0)),0)=1)*(COUNTIF(W158:W175,$B199)+COUNTIF(W158:W175,$B199&amp;" ~*")&gt;0)+(IFERROR(INDEX(Setup!$G$33:$G$40,MATCH(Y199,Setup!$B$33:$B$40,0)),0)=1)*(COUNTIF(Y158:Y175,$B199)+COUNTIF(Y158:Y175,$B199&amp;" ~*")&gt;0))</f>
        <v/>
      </c>
    </row>
    <row r="200" ht="15" customHeight="1">
      <c r="A200" t="n">
        <v>4</v>
      </c>
      <c r="B200" s="37">
        <f>IF(Setup!$B$29="","",Setup!$B$29)</f>
        <v/>
      </c>
      <c r="C200" s="102" t="n"/>
      <c r="D200" s="103" t="n"/>
      <c r="E200" s="103" t="n"/>
      <c r="F200" s="104" t="n"/>
      <c r="G200" s="102" t="n"/>
      <c r="H200" s="103" t="n"/>
      <c r="I200" s="103" t="n"/>
      <c r="J200" s="104" t="n"/>
      <c r="K200" s="102" t="n"/>
      <c r="L200" s="103" t="n"/>
      <c r="M200" s="103" t="n"/>
      <c r="N200" s="104" t="n"/>
      <c r="O200" s="102" t="n"/>
      <c r="P200" s="103" t="n"/>
      <c r="Q200" s="103" t="n"/>
      <c r="R200" s="104" t="n"/>
      <c r="S200" s="102" t="n"/>
      <c r="T200" s="103" t="n"/>
      <c r="U200" s="103" t="n"/>
      <c r="V200" s="104" t="n"/>
      <c r="W200" s="102" t="n"/>
      <c r="X200" s="104" t="n"/>
      <c r="Y200" s="102" t="n"/>
      <c r="Z200" s="104" t="n"/>
      <c r="AB200" s="105">
        <f>IF($B200="","",(COUNTIF(C158:E175,$B200)+COUNTIF(C158:E175,$B200&amp;" ~*")&gt;0)+(COUNTIF(G158:I175,$B200)+COUNTIF(G158:I175,$B200&amp;" ~*")&gt;0)+(COUNTIF(K158:M175,$B200)+COUNTIF(K158:M175,$B200&amp;" ~*")&gt;0)+(COUNTIF(O158:Q175,$B200)+COUNTIF(O158:Q175,$B200&amp;" ~*")&gt;0)+(COUNTIF(S158:U175,$B200)+COUNTIF(S158:U175,$B200&amp;" ~*")&gt;0)+(COUNTIF(W158:W175,$B200)+COUNTIF(W158:W175,$B200&amp;" ~*")&gt;0)+(COUNTIF(Y158:Y175,$B200)+COUNTIF(Y158:Y175,$B200&amp;" ~*")&gt;0))</f>
        <v/>
      </c>
      <c r="AC200" s="38">
        <f>IF($B200="","",(IFERROR(INDEX(Setup!$G$33:$G$40,MATCH(C200,Setup!$B$33:$B$40,0)),0)=1)*(COUNTIF(C158:E175,$B200)+COUNTIF(C158:E175,$B200&amp;" ~*")&gt;0)+(IFERROR(INDEX(Setup!$G$33:$G$40,MATCH(G200,Setup!$B$33:$B$40,0)),0)=1)*(COUNTIF(G158:I175,$B200)+COUNTIF(G158:I175,$B200&amp;" ~*")&gt;0)+(IFERROR(INDEX(Setup!$G$33:$G$40,MATCH(K200,Setup!$B$33:$B$40,0)),0)=1)*(COUNTIF(K158:M175,$B200)+COUNTIF(K158:M175,$B200&amp;" ~*")&gt;0)+(IFERROR(INDEX(Setup!$G$33:$G$40,MATCH(O200,Setup!$B$33:$B$40,0)),0)=1)*(COUNTIF(O158:Q175,$B200)+COUNTIF(O158:Q175,$B200&amp;" ~*")&gt;0)+(IFERROR(INDEX(Setup!$G$33:$G$40,MATCH(S200,Setup!$B$33:$B$40,0)),0)=1)*(COUNTIF(S158:U175,$B200)+COUNTIF(S158:U175,$B200&amp;" ~*")&gt;0)+(IFERROR(INDEX(Setup!$G$33:$G$40,MATCH(W200,Setup!$B$33:$B$40,0)),0)=1)*(COUNTIF(W158:W175,$B200)+COUNTIF(W158:W175,$B200&amp;" ~*")&gt;0)+(IFERROR(INDEX(Setup!$G$33:$G$40,MATCH(Y200,Setup!$B$33:$B$40,0)),0)=1)*(COUNTIF(Y158:Y175,$B200)+COUNTIF(Y158:Y175,$B200&amp;" ~*")&gt;0))</f>
        <v/>
      </c>
    </row>
    <row r="201" ht="16" customHeight="1">
      <c r="A201" t="n">
        <v>4</v>
      </c>
      <c r="B201" s="106" t="inlineStr">
        <is>
          <t>Available people</t>
        </is>
      </c>
      <c r="C201" s="107">
        <f>COUNTIFS(Setup!$E$6:$E$29,"Y",Setup!$B$6:$B$29,"?*")-SUMPRODUCT(COUNTIF(C177:C200,Setup!$F$33:$F$40))</f>
        <v/>
      </c>
      <c r="D201" s="107" t="n"/>
      <c r="E201" s="107" t="n"/>
      <c r="F201" s="107" t="n"/>
      <c r="G201" s="107">
        <f>COUNTIFS(Setup!$E$6:$E$29,"Y",Setup!$B$6:$B$29,"?*")-SUMPRODUCT(COUNTIF(G177:G200,Setup!$F$33:$F$40))</f>
        <v/>
      </c>
      <c r="H201" s="107" t="n"/>
      <c r="I201" s="107" t="n"/>
      <c r="J201" s="107" t="n"/>
      <c r="K201" s="107">
        <f>COUNTIFS(Setup!$E$6:$E$29,"Y",Setup!$B$6:$B$29,"?*")-SUMPRODUCT(COUNTIF(K177:K200,Setup!$F$33:$F$40))</f>
        <v/>
      </c>
      <c r="L201" s="107" t="n"/>
      <c r="M201" s="107" t="n"/>
      <c r="N201" s="107" t="n"/>
      <c r="O201" s="107">
        <f>COUNTIFS(Setup!$E$6:$E$29,"Y",Setup!$B$6:$B$29,"?*")-SUMPRODUCT(COUNTIF(O177:O200,Setup!$F$33:$F$40))</f>
        <v/>
      </c>
      <c r="P201" s="107" t="n"/>
      <c r="Q201" s="107" t="n"/>
      <c r="R201" s="107" t="n"/>
      <c r="S201" s="107">
        <f>COUNTIFS(Setup!$E$6:$E$29,"Y",Setup!$B$6:$B$29,"?*")-SUMPRODUCT(COUNTIF(S177:S200,Setup!$F$33:$F$40))</f>
        <v/>
      </c>
      <c r="T201" s="107" t="n"/>
      <c r="U201" s="107" t="n"/>
      <c r="V201" s="107" t="n"/>
      <c r="W201" s="107">
        <f>COUNTIFS(Setup!$E$6:$E$29,"Y",Setup!$B$6:$B$29,"?*")-SUMPRODUCT(COUNTIF(W177:W200,Setup!$F$33:$F$40))</f>
        <v/>
      </c>
      <c r="X201" s="107" t="n"/>
      <c r="Y201" s="107">
        <f>COUNTIFS(Setup!$E$6:$E$29,"Y",Setup!$B$6:$B$29,"?*")-SUMPRODUCT(COUNTIF(Y177:Y200,Setup!$F$33:$F$40))</f>
        <v/>
      </c>
      <c r="Z201" s="107" t="n"/>
      <c r="AB201" s="108">
        <f>SUM(AB177:AB200)</f>
        <v/>
      </c>
      <c r="AC201" s="109">
        <f>SUM(AC177:AC200)</f>
        <v/>
      </c>
    </row>
    <row r="202" ht="30" customHeight="1">
      <c r="A202" t="n">
        <v>4</v>
      </c>
      <c r="B202" s="110" t="inlineStr">
        <is>
          <t>Week notes</t>
        </is>
      </c>
      <c r="C202" s="111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112" t="n"/>
      <c r="R202" s="112" t="n"/>
      <c r="S202" s="112" t="n"/>
      <c r="T202" s="112" t="n"/>
      <c r="U202" s="112" t="n"/>
      <c r="V202" s="112" t="n"/>
      <c r="W202" s="112" t="n"/>
      <c r="X202" s="112" t="n"/>
      <c r="Y202" s="112" t="n"/>
      <c r="Z202" s="113" t="n"/>
    </row>
    <row r="203" ht="8" customHeight="1">
      <c r="A203" t="n">
        <v>4</v>
      </c>
    </row>
    <row r="204" ht="8" customHeight="1">
      <c r="A204" t="n">
        <v>4</v>
      </c>
    </row>
    <row r="205" ht="24" customHeight="1">
      <c r="A205" t="n">
        <v>5</v>
      </c>
      <c r="B205" s="73">
        <f>"WEEK 5     "&amp;TEXT(C206,"ddd d mmm")&amp;"  –  "&amp;TEXT(C206+6,"ddd d mmm yyyy")</f>
        <v/>
      </c>
      <c r="S205" s="74">
        <f>IF(TODAY()&lt;C206,"FUTURE",IF(TODAY()&gt;C206+6,"PAST","THIS WEEK"))</f>
        <v/>
      </c>
      <c r="W205" s="75">
        <f>IF(AND(Engine!$B$8=$AC$3,Engine!$B$9=$A205),"◀ ACTIVE WEEK","")</f>
        <v/>
      </c>
      <c r="AA205" s="76" t="n"/>
      <c r="AB205" s="77" t="inlineStr">
        <is>
          <t>◀ Prev</t>
        </is>
      </c>
      <c r="AC205" s="77" t="inlineStr">
        <is>
          <t>Next ▶</t>
        </is>
      </c>
    </row>
    <row r="206" ht="18" customHeight="1">
      <c r="A206" t="n">
        <v>5</v>
      </c>
      <c r="B206" s="78" t="inlineStr">
        <is>
          <t>DUTY</t>
        </is>
      </c>
      <c r="C206" s="79">
        <f>$AC$2+7*($A206-1)</f>
        <v/>
      </c>
      <c r="D206" s="80" t="n"/>
      <c r="E206" s="80" t="n"/>
      <c r="F206" s="81" t="n"/>
      <c r="G206" s="79">
        <f>C206+1</f>
        <v/>
      </c>
      <c r="H206" s="80" t="n"/>
      <c r="I206" s="80" t="n"/>
      <c r="J206" s="81" t="n"/>
      <c r="K206" s="79">
        <f>C206+2</f>
        <v/>
      </c>
      <c r="L206" s="80" t="n"/>
      <c r="M206" s="80" t="n"/>
      <c r="N206" s="81" t="n"/>
      <c r="O206" s="79">
        <f>C206+3</f>
        <v/>
      </c>
      <c r="P206" s="80" t="n"/>
      <c r="Q206" s="80" t="n"/>
      <c r="R206" s="81" t="n"/>
      <c r="S206" s="79">
        <f>C206+4</f>
        <v/>
      </c>
      <c r="T206" s="80" t="n"/>
      <c r="U206" s="80" t="n"/>
      <c r="V206" s="81" t="n"/>
      <c r="W206" s="82">
        <f>C206+5</f>
        <v/>
      </c>
      <c r="X206" s="83" t="n"/>
      <c r="Y206" s="82">
        <f>C206+6</f>
        <v/>
      </c>
      <c r="Z206" s="83" t="n"/>
      <c r="AB206" s="72" t="inlineStr">
        <is>
          <t>Gaps</t>
        </is>
      </c>
      <c r="AC206" s="72" t="inlineStr">
        <is>
          <t>Cover</t>
        </is>
      </c>
    </row>
    <row r="207" ht="14" customHeight="1">
      <c r="A207" t="n">
        <v>5</v>
      </c>
      <c r="B207" s="84" t="inlineStr">
        <is>
          <t>(from Setup)</t>
        </is>
      </c>
      <c r="C207" s="85" t="inlineStr">
        <is>
          <t>1</t>
        </is>
      </c>
      <c r="D207" s="85" t="inlineStr">
        <is>
          <t>2</t>
        </is>
      </c>
      <c r="E207" s="85" t="inlineStr">
        <is>
          <t>3</t>
        </is>
      </c>
      <c r="F207" s="85" t="inlineStr">
        <is>
          <t>Notes</t>
        </is>
      </c>
      <c r="G207" s="85" t="inlineStr">
        <is>
          <t>1</t>
        </is>
      </c>
      <c r="H207" s="85" t="inlineStr">
        <is>
          <t>2</t>
        </is>
      </c>
      <c r="I207" s="85" t="inlineStr">
        <is>
          <t>3</t>
        </is>
      </c>
      <c r="J207" s="85" t="inlineStr">
        <is>
          <t>Notes</t>
        </is>
      </c>
      <c r="K207" s="85" t="inlineStr">
        <is>
          <t>1</t>
        </is>
      </c>
      <c r="L207" s="85" t="inlineStr">
        <is>
          <t>2</t>
        </is>
      </c>
      <c r="M207" s="85" t="inlineStr">
        <is>
          <t>3</t>
        </is>
      </c>
      <c r="N207" s="85" t="inlineStr">
        <is>
          <t>Notes</t>
        </is>
      </c>
      <c r="O207" s="85" t="inlineStr">
        <is>
          <t>1</t>
        </is>
      </c>
      <c r="P207" s="85" t="inlineStr">
        <is>
          <t>2</t>
        </is>
      </c>
      <c r="Q207" s="85" t="inlineStr">
        <is>
          <t>3</t>
        </is>
      </c>
      <c r="R207" s="85" t="inlineStr">
        <is>
          <t>Notes</t>
        </is>
      </c>
      <c r="S207" s="85" t="inlineStr">
        <is>
          <t>1</t>
        </is>
      </c>
      <c r="T207" s="85" t="inlineStr">
        <is>
          <t>2</t>
        </is>
      </c>
      <c r="U207" s="85" t="inlineStr">
        <is>
          <t>3</t>
        </is>
      </c>
      <c r="V207" s="85" t="inlineStr">
        <is>
          <t>Notes</t>
        </is>
      </c>
      <c r="W207" s="85" t="inlineStr">
        <is>
          <t>Cover</t>
        </is>
      </c>
      <c r="X207" s="85" t="inlineStr">
        <is>
          <t>Notes</t>
        </is>
      </c>
      <c r="Y207" s="85" t="inlineStr">
        <is>
          <t>Cover</t>
        </is>
      </c>
      <c r="Z207" s="85" t="inlineStr">
        <is>
          <t>Notes</t>
        </is>
      </c>
      <c r="AB207" s="86" t="inlineStr">
        <is>
          <t>weekdays short</t>
        </is>
      </c>
      <c r="AC207" s="87" t="inlineStr"/>
    </row>
    <row r="208" ht="17" customHeight="1">
      <c r="A208" t="n">
        <v>5</v>
      </c>
      <c r="B208" s="24">
        <f>IF(Setup!$K$6="","",Setup!$K$6)</f>
        <v/>
      </c>
      <c r="C208" s="88" t="n"/>
      <c r="D208" s="88" t="n"/>
      <c r="E208" s="88" t="n"/>
      <c r="F208" s="89" t="n"/>
      <c r="G208" s="88" t="n"/>
      <c r="H208" s="88" t="n"/>
      <c r="I208" s="88" t="n"/>
      <c r="J208" s="89" t="n"/>
      <c r="K208" s="88" t="n"/>
      <c r="L208" s="88" t="n"/>
      <c r="M208" s="88" t="n"/>
      <c r="N208" s="89" t="n"/>
      <c r="O208" s="88" t="n"/>
      <c r="P208" s="88" t="n"/>
      <c r="Q208" s="88" t="n"/>
      <c r="R208" s="89" t="n"/>
      <c r="S208" s="88" t="n"/>
      <c r="T208" s="88" t="n"/>
      <c r="U208" s="88" t="n"/>
      <c r="V208" s="89" t="n"/>
      <c r="W208" s="88" t="n"/>
      <c r="X208" s="89" t="n"/>
      <c r="Y208" s="88" t="n"/>
      <c r="Z208" s="89" t="n"/>
      <c r="AB208" s="25">
        <f>IF($B208="","",(COUNTIF(C208:E208,"?*")&lt;N(INDEX(Setup!$L$6:$L$23,1)))+(COUNTIF(G208:I208,"?*")&lt;N(INDEX(Setup!$L$6:$L$23,1)))+(COUNTIF(K208:M208,"?*")&lt;N(INDEX(Setup!$L$6:$L$23,1)))+(COUNTIF(O208:Q208,"?*")&lt;N(INDEX(Setup!$L$6:$L$23,1)))+(COUNTIF(S208:U208,"?*")&lt;N(INDEX(Setup!$L$6:$L$23,1)))+((W208="")*(INDEX(Setup!$M$6:$M$23,1)="Y"))+((Y208="")*(INDEX(Setup!$M$6:$M$23,1)="Y")))</f>
        <v/>
      </c>
      <c r="AC208" s="90">
        <f>IF($B208="","",IF(AB208=0,"✓ covered","⚠ "&amp;AB208&amp;IF(AB208=1," gap"," gaps")))</f>
        <v/>
      </c>
    </row>
    <row r="209" ht="17" customHeight="1">
      <c r="A209" t="n">
        <v>5</v>
      </c>
      <c r="B209" s="29">
        <f>IF(Setup!$K$7="","",Setup!$K$7)</f>
        <v/>
      </c>
      <c r="C209" s="88" t="n"/>
      <c r="D209" s="88" t="n"/>
      <c r="E209" s="88" t="n"/>
      <c r="F209" s="89" t="n"/>
      <c r="G209" s="88" t="n"/>
      <c r="H209" s="88" t="n"/>
      <c r="I209" s="88" t="n"/>
      <c r="J209" s="89" t="n"/>
      <c r="K209" s="88" t="n"/>
      <c r="L209" s="88" t="n"/>
      <c r="M209" s="88" t="n"/>
      <c r="N209" s="89" t="n"/>
      <c r="O209" s="88" t="n"/>
      <c r="P209" s="88" t="n"/>
      <c r="Q209" s="88" t="n"/>
      <c r="R209" s="89" t="n"/>
      <c r="S209" s="88" t="n"/>
      <c r="T209" s="88" t="n"/>
      <c r="U209" s="88" t="n"/>
      <c r="V209" s="89" t="n"/>
      <c r="W209" s="88" t="n"/>
      <c r="X209" s="89" t="n"/>
      <c r="Y209" s="88" t="n"/>
      <c r="Z209" s="89" t="n"/>
      <c r="AB209" s="30">
        <f>IF($B209="","",(COUNTIF(C209:E209,"?*")&lt;N(INDEX(Setup!$L$6:$L$23,2)))+(COUNTIF(G209:I209,"?*")&lt;N(INDEX(Setup!$L$6:$L$23,2)))+(COUNTIF(K209:M209,"?*")&lt;N(INDEX(Setup!$L$6:$L$23,2)))+(COUNTIF(O209:Q209,"?*")&lt;N(INDEX(Setup!$L$6:$L$23,2)))+(COUNTIF(S209:U209,"?*")&lt;N(INDEX(Setup!$L$6:$L$23,2)))+((W209="")*(INDEX(Setup!$M$6:$M$23,2)="Y"))+((Y209="")*(INDEX(Setup!$M$6:$M$23,2)="Y")))</f>
        <v/>
      </c>
      <c r="AC209" s="91">
        <f>IF($B209="","",IF(AB209=0,"✓ covered","⚠ "&amp;AB209&amp;IF(AB209=1," gap"," gaps")))</f>
        <v/>
      </c>
    </row>
    <row r="210" ht="17" customHeight="1">
      <c r="A210" t="n">
        <v>5</v>
      </c>
      <c r="B210" s="24">
        <f>IF(Setup!$K$8="","",Setup!$K$8)</f>
        <v/>
      </c>
      <c r="C210" s="88" t="n"/>
      <c r="D210" s="88" t="n"/>
      <c r="E210" s="88" t="n"/>
      <c r="F210" s="89" t="n"/>
      <c r="G210" s="88" t="n"/>
      <c r="H210" s="88" t="n"/>
      <c r="I210" s="88" t="n"/>
      <c r="J210" s="89" t="n"/>
      <c r="K210" s="88" t="n"/>
      <c r="L210" s="88" t="n"/>
      <c r="M210" s="88" t="n"/>
      <c r="N210" s="89" t="n"/>
      <c r="O210" s="88" t="n"/>
      <c r="P210" s="88" t="n"/>
      <c r="Q210" s="88" t="n"/>
      <c r="R210" s="89" t="n"/>
      <c r="S210" s="88" t="n"/>
      <c r="T210" s="88" t="n"/>
      <c r="U210" s="88" t="n"/>
      <c r="V210" s="89" t="n"/>
      <c r="W210" s="88" t="n"/>
      <c r="X210" s="89" t="n"/>
      <c r="Y210" s="88" t="n"/>
      <c r="Z210" s="89" t="n"/>
      <c r="AB210" s="25">
        <f>IF($B210="","",(COUNTIF(C210:E210,"?*")&lt;N(INDEX(Setup!$L$6:$L$23,3)))+(COUNTIF(G210:I210,"?*")&lt;N(INDEX(Setup!$L$6:$L$23,3)))+(COUNTIF(K210:M210,"?*")&lt;N(INDEX(Setup!$L$6:$L$23,3)))+(COUNTIF(O210:Q210,"?*")&lt;N(INDEX(Setup!$L$6:$L$23,3)))+(COUNTIF(S210:U210,"?*")&lt;N(INDEX(Setup!$L$6:$L$23,3)))+((W210="")*(INDEX(Setup!$M$6:$M$23,3)="Y"))+((Y210="")*(INDEX(Setup!$M$6:$M$23,3)="Y")))</f>
        <v/>
      </c>
      <c r="AC210" s="90">
        <f>IF($B210="","",IF(AB210=0,"✓ covered","⚠ "&amp;AB210&amp;IF(AB210=1," gap"," gaps")))</f>
        <v/>
      </c>
    </row>
    <row r="211" ht="17" customHeight="1">
      <c r="A211" t="n">
        <v>5</v>
      </c>
      <c r="B211" s="29">
        <f>IF(Setup!$K$9="","",Setup!$K$9)</f>
        <v/>
      </c>
      <c r="C211" s="88" t="n"/>
      <c r="D211" s="88" t="n"/>
      <c r="E211" s="88" t="n"/>
      <c r="F211" s="89" t="n"/>
      <c r="G211" s="88" t="n"/>
      <c r="H211" s="88" t="n"/>
      <c r="I211" s="88" t="n"/>
      <c r="J211" s="89" t="n"/>
      <c r="K211" s="88" t="n"/>
      <c r="L211" s="88" t="n"/>
      <c r="M211" s="88" t="n"/>
      <c r="N211" s="89" t="n"/>
      <c r="O211" s="88" t="n"/>
      <c r="P211" s="88" t="n"/>
      <c r="Q211" s="88" t="n"/>
      <c r="R211" s="89" t="n"/>
      <c r="S211" s="88" t="n"/>
      <c r="T211" s="88" t="n"/>
      <c r="U211" s="88" t="n"/>
      <c r="V211" s="89" t="n"/>
      <c r="W211" s="88" t="n"/>
      <c r="X211" s="89" t="n"/>
      <c r="Y211" s="88" t="n"/>
      <c r="Z211" s="89" t="n"/>
      <c r="AB211" s="30">
        <f>IF($B211="","",(COUNTIF(C211:E211,"?*")&lt;N(INDEX(Setup!$L$6:$L$23,4)))+(COUNTIF(G211:I211,"?*")&lt;N(INDEX(Setup!$L$6:$L$23,4)))+(COUNTIF(K211:M211,"?*")&lt;N(INDEX(Setup!$L$6:$L$23,4)))+(COUNTIF(O211:Q211,"?*")&lt;N(INDEX(Setup!$L$6:$L$23,4)))+(COUNTIF(S211:U211,"?*")&lt;N(INDEX(Setup!$L$6:$L$23,4)))+((W211="")*(INDEX(Setup!$M$6:$M$23,4)="Y"))+((Y211="")*(INDEX(Setup!$M$6:$M$23,4)="Y")))</f>
        <v/>
      </c>
      <c r="AC211" s="91">
        <f>IF($B211="","",IF(AB211=0,"✓ covered","⚠ "&amp;AB211&amp;IF(AB211=1," gap"," gaps")))</f>
        <v/>
      </c>
    </row>
    <row r="212" ht="17" customHeight="1">
      <c r="A212" t="n">
        <v>5</v>
      </c>
      <c r="B212" s="24">
        <f>IF(Setup!$K$10="","",Setup!$K$10)</f>
        <v/>
      </c>
      <c r="C212" s="88" t="n"/>
      <c r="D212" s="88" t="n"/>
      <c r="E212" s="88" t="n"/>
      <c r="F212" s="89" t="n"/>
      <c r="G212" s="88" t="n"/>
      <c r="H212" s="88" t="n"/>
      <c r="I212" s="88" t="n"/>
      <c r="J212" s="89" t="n"/>
      <c r="K212" s="88" t="n"/>
      <c r="L212" s="88" t="n"/>
      <c r="M212" s="88" t="n"/>
      <c r="N212" s="89" t="n"/>
      <c r="O212" s="88" t="n"/>
      <c r="P212" s="88" t="n"/>
      <c r="Q212" s="88" t="n"/>
      <c r="R212" s="89" t="n"/>
      <c r="S212" s="88" t="n"/>
      <c r="T212" s="88" t="n"/>
      <c r="U212" s="88" t="n"/>
      <c r="V212" s="89" t="n"/>
      <c r="W212" s="88" t="n"/>
      <c r="X212" s="89" t="n"/>
      <c r="Y212" s="88" t="n"/>
      <c r="Z212" s="89" t="n"/>
      <c r="AB212" s="25">
        <f>IF($B212="","",(COUNTIF(C212:E212,"?*")&lt;N(INDEX(Setup!$L$6:$L$23,5)))+(COUNTIF(G212:I212,"?*")&lt;N(INDEX(Setup!$L$6:$L$23,5)))+(COUNTIF(K212:M212,"?*")&lt;N(INDEX(Setup!$L$6:$L$23,5)))+(COUNTIF(O212:Q212,"?*")&lt;N(INDEX(Setup!$L$6:$L$23,5)))+(COUNTIF(S212:U212,"?*")&lt;N(INDEX(Setup!$L$6:$L$23,5)))+((W212="")*(INDEX(Setup!$M$6:$M$23,5)="Y"))+((Y212="")*(INDEX(Setup!$M$6:$M$23,5)="Y")))</f>
        <v/>
      </c>
      <c r="AC212" s="90">
        <f>IF($B212="","",IF(AB212=0,"✓ covered","⚠ "&amp;AB212&amp;IF(AB212=1," gap"," gaps")))</f>
        <v/>
      </c>
    </row>
    <row r="213" ht="17" customHeight="1">
      <c r="A213" t="n">
        <v>5</v>
      </c>
      <c r="B213" s="29">
        <f>IF(Setup!$K$11="","",Setup!$K$11)</f>
        <v/>
      </c>
      <c r="C213" s="88" t="n"/>
      <c r="D213" s="88" t="n"/>
      <c r="E213" s="88" t="n"/>
      <c r="F213" s="89" t="n"/>
      <c r="G213" s="88" t="n"/>
      <c r="H213" s="88" t="n"/>
      <c r="I213" s="88" t="n"/>
      <c r="J213" s="89" t="n"/>
      <c r="K213" s="88" t="n"/>
      <c r="L213" s="88" t="n"/>
      <c r="M213" s="88" t="n"/>
      <c r="N213" s="89" t="n"/>
      <c r="O213" s="88" t="n"/>
      <c r="P213" s="88" t="n"/>
      <c r="Q213" s="88" t="n"/>
      <c r="R213" s="89" t="n"/>
      <c r="S213" s="88" t="n"/>
      <c r="T213" s="88" t="n"/>
      <c r="U213" s="88" t="n"/>
      <c r="V213" s="89" t="n"/>
      <c r="W213" s="88" t="n"/>
      <c r="X213" s="89" t="n"/>
      <c r="Y213" s="88" t="n"/>
      <c r="Z213" s="89" t="n"/>
      <c r="AB213" s="30">
        <f>IF($B213="","",(COUNTIF(C213:E213,"?*")&lt;N(INDEX(Setup!$L$6:$L$23,6)))+(COUNTIF(G213:I213,"?*")&lt;N(INDEX(Setup!$L$6:$L$23,6)))+(COUNTIF(K213:M213,"?*")&lt;N(INDEX(Setup!$L$6:$L$23,6)))+(COUNTIF(O213:Q213,"?*")&lt;N(INDEX(Setup!$L$6:$L$23,6)))+(COUNTIF(S213:U213,"?*")&lt;N(INDEX(Setup!$L$6:$L$23,6)))+((W213="")*(INDEX(Setup!$M$6:$M$23,6)="Y"))+((Y213="")*(INDEX(Setup!$M$6:$M$23,6)="Y")))</f>
        <v/>
      </c>
      <c r="AC213" s="91">
        <f>IF($B213="","",IF(AB213=0,"✓ covered","⚠ "&amp;AB213&amp;IF(AB213=1," gap"," gaps")))</f>
        <v/>
      </c>
    </row>
    <row r="214" ht="17" customHeight="1">
      <c r="A214" t="n">
        <v>5</v>
      </c>
      <c r="B214" s="24">
        <f>IF(Setup!$K$12="","",Setup!$K$12)</f>
        <v/>
      </c>
      <c r="C214" s="88" t="n"/>
      <c r="D214" s="88" t="n"/>
      <c r="E214" s="88" t="n"/>
      <c r="F214" s="89" t="n"/>
      <c r="G214" s="88" t="n"/>
      <c r="H214" s="88" t="n"/>
      <c r="I214" s="88" t="n"/>
      <c r="J214" s="89" t="n"/>
      <c r="K214" s="88" t="n"/>
      <c r="L214" s="88" t="n"/>
      <c r="M214" s="88" t="n"/>
      <c r="N214" s="89" t="n"/>
      <c r="O214" s="88" t="n"/>
      <c r="P214" s="88" t="n"/>
      <c r="Q214" s="88" t="n"/>
      <c r="R214" s="89" t="n"/>
      <c r="S214" s="88" t="n"/>
      <c r="T214" s="88" t="n"/>
      <c r="U214" s="88" t="n"/>
      <c r="V214" s="89" t="n"/>
      <c r="W214" s="88" t="n"/>
      <c r="X214" s="89" t="n"/>
      <c r="Y214" s="88" t="n"/>
      <c r="Z214" s="89" t="n"/>
      <c r="AB214" s="25">
        <f>IF($B214="","",(COUNTIF(C214:E214,"?*")&lt;N(INDEX(Setup!$L$6:$L$23,7)))+(COUNTIF(G214:I214,"?*")&lt;N(INDEX(Setup!$L$6:$L$23,7)))+(COUNTIF(K214:M214,"?*")&lt;N(INDEX(Setup!$L$6:$L$23,7)))+(COUNTIF(O214:Q214,"?*")&lt;N(INDEX(Setup!$L$6:$L$23,7)))+(COUNTIF(S214:U214,"?*")&lt;N(INDEX(Setup!$L$6:$L$23,7)))+((W214="")*(INDEX(Setup!$M$6:$M$23,7)="Y"))+((Y214="")*(INDEX(Setup!$M$6:$M$23,7)="Y")))</f>
        <v/>
      </c>
      <c r="AC214" s="90">
        <f>IF($B214="","",IF(AB214=0,"✓ covered","⚠ "&amp;AB214&amp;IF(AB214=1," gap"," gaps")))</f>
        <v/>
      </c>
    </row>
    <row r="215" ht="17" customHeight="1">
      <c r="A215" t="n">
        <v>5</v>
      </c>
      <c r="B215" s="29">
        <f>IF(Setup!$K$13="","",Setup!$K$13)</f>
        <v/>
      </c>
      <c r="C215" s="88" t="n"/>
      <c r="D215" s="88" t="n"/>
      <c r="E215" s="88" t="n"/>
      <c r="F215" s="89" t="n"/>
      <c r="G215" s="88" t="n"/>
      <c r="H215" s="88" t="n"/>
      <c r="I215" s="88" t="n"/>
      <c r="J215" s="89" t="n"/>
      <c r="K215" s="88" t="n"/>
      <c r="L215" s="88" t="n"/>
      <c r="M215" s="88" t="n"/>
      <c r="N215" s="89" t="n"/>
      <c r="O215" s="88" t="n"/>
      <c r="P215" s="88" t="n"/>
      <c r="Q215" s="88" t="n"/>
      <c r="R215" s="89" t="n"/>
      <c r="S215" s="88" t="n"/>
      <c r="T215" s="88" t="n"/>
      <c r="U215" s="88" t="n"/>
      <c r="V215" s="89" t="n"/>
      <c r="W215" s="88" t="n"/>
      <c r="X215" s="89" t="n"/>
      <c r="Y215" s="88" t="n"/>
      <c r="Z215" s="89" t="n"/>
      <c r="AB215" s="30">
        <f>IF($B215="","",(COUNTIF(C215:E215,"?*")&lt;N(INDEX(Setup!$L$6:$L$23,8)))+(COUNTIF(G215:I215,"?*")&lt;N(INDEX(Setup!$L$6:$L$23,8)))+(COUNTIF(K215:M215,"?*")&lt;N(INDEX(Setup!$L$6:$L$23,8)))+(COUNTIF(O215:Q215,"?*")&lt;N(INDEX(Setup!$L$6:$L$23,8)))+(COUNTIF(S215:U215,"?*")&lt;N(INDEX(Setup!$L$6:$L$23,8)))+((W215="")*(INDEX(Setup!$M$6:$M$23,8)="Y"))+((Y215="")*(INDEX(Setup!$M$6:$M$23,8)="Y")))</f>
        <v/>
      </c>
      <c r="AC215" s="91">
        <f>IF($B215="","",IF(AB215=0,"✓ covered","⚠ "&amp;AB215&amp;IF(AB215=1," gap"," gaps")))</f>
        <v/>
      </c>
    </row>
    <row r="216" ht="17" customHeight="1">
      <c r="A216" t="n">
        <v>5</v>
      </c>
      <c r="B216" s="24">
        <f>IF(Setup!$K$14="","",Setup!$K$14)</f>
        <v/>
      </c>
      <c r="C216" s="88" t="n"/>
      <c r="D216" s="88" t="n"/>
      <c r="E216" s="88" t="n"/>
      <c r="F216" s="89" t="n"/>
      <c r="G216" s="88" t="n"/>
      <c r="H216" s="88" t="n"/>
      <c r="I216" s="88" t="n"/>
      <c r="J216" s="89" t="n"/>
      <c r="K216" s="88" t="n"/>
      <c r="L216" s="88" t="n"/>
      <c r="M216" s="88" t="n"/>
      <c r="N216" s="89" t="n"/>
      <c r="O216" s="88" t="n"/>
      <c r="P216" s="88" t="n"/>
      <c r="Q216" s="88" t="n"/>
      <c r="R216" s="89" t="n"/>
      <c r="S216" s="88" t="n"/>
      <c r="T216" s="88" t="n"/>
      <c r="U216" s="88" t="n"/>
      <c r="V216" s="89" t="n"/>
      <c r="W216" s="88" t="n"/>
      <c r="X216" s="89" t="n"/>
      <c r="Y216" s="88" t="n"/>
      <c r="Z216" s="89" t="n"/>
      <c r="AB216" s="25">
        <f>IF($B216="","",(COUNTIF(C216:E216,"?*")&lt;N(INDEX(Setup!$L$6:$L$23,9)))+(COUNTIF(G216:I216,"?*")&lt;N(INDEX(Setup!$L$6:$L$23,9)))+(COUNTIF(K216:M216,"?*")&lt;N(INDEX(Setup!$L$6:$L$23,9)))+(COUNTIF(O216:Q216,"?*")&lt;N(INDEX(Setup!$L$6:$L$23,9)))+(COUNTIF(S216:U216,"?*")&lt;N(INDEX(Setup!$L$6:$L$23,9)))+((W216="")*(INDEX(Setup!$M$6:$M$23,9)="Y"))+((Y216="")*(INDEX(Setup!$M$6:$M$23,9)="Y")))</f>
        <v/>
      </c>
      <c r="AC216" s="90">
        <f>IF($B216="","",IF(AB216=0,"✓ covered","⚠ "&amp;AB216&amp;IF(AB216=1," gap"," gaps")))</f>
        <v/>
      </c>
    </row>
    <row r="217" ht="17" customHeight="1">
      <c r="A217" t="n">
        <v>5</v>
      </c>
      <c r="B217" s="29">
        <f>IF(Setup!$K$15="","",Setup!$K$15)</f>
        <v/>
      </c>
      <c r="C217" s="88" t="n"/>
      <c r="D217" s="88" t="n"/>
      <c r="E217" s="88" t="n"/>
      <c r="F217" s="89" t="n"/>
      <c r="G217" s="88" t="n"/>
      <c r="H217" s="88" t="n"/>
      <c r="I217" s="88" t="n"/>
      <c r="J217" s="89" t="n"/>
      <c r="K217" s="88" t="n"/>
      <c r="L217" s="88" t="n"/>
      <c r="M217" s="88" t="n"/>
      <c r="N217" s="89" t="n"/>
      <c r="O217" s="88" t="n"/>
      <c r="P217" s="88" t="n"/>
      <c r="Q217" s="88" t="n"/>
      <c r="R217" s="89" t="n"/>
      <c r="S217" s="88" t="n"/>
      <c r="T217" s="88" t="n"/>
      <c r="U217" s="88" t="n"/>
      <c r="V217" s="89" t="n"/>
      <c r="W217" s="88" t="n"/>
      <c r="X217" s="89" t="n"/>
      <c r="Y217" s="88" t="n"/>
      <c r="Z217" s="89" t="n"/>
      <c r="AB217" s="30">
        <f>IF($B217="","",(COUNTIF(C217:E217,"?*")&lt;N(INDEX(Setup!$L$6:$L$23,10)))+(COUNTIF(G217:I217,"?*")&lt;N(INDEX(Setup!$L$6:$L$23,10)))+(COUNTIF(K217:M217,"?*")&lt;N(INDEX(Setup!$L$6:$L$23,10)))+(COUNTIF(O217:Q217,"?*")&lt;N(INDEX(Setup!$L$6:$L$23,10)))+(COUNTIF(S217:U217,"?*")&lt;N(INDEX(Setup!$L$6:$L$23,10)))+((W217="")*(INDEX(Setup!$M$6:$M$23,10)="Y"))+((Y217="")*(INDEX(Setup!$M$6:$M$23,10)="Y")))</f>
        <v/>
      </c>
      <c r="AC217" s="91">
        <f>IF($B217="","",IF(AB217=0,"✓ covered","⚠ "&amp;AB217&amp;IF(AB217=1," gap"," gaps")))</f>
        <v/>
      </c>
    </row>
    <row r="218" ht="17" customHeight="1">
      <c r="A218" t="n">
        <v>5</v>
      </c>
      <c r="B218" s="24">
        <f>IF(Setup!$K$16="","",Setup!$K$16)</f>
        <v/>
      </c>
      <c r="C218" s="88" t="n"/>
      <c r="D218" s="88" t="n"/>
      <c r="E218" s="88" t="n"/>
      <c r="F218" s="89" t="n"/>
      <c r="G218" s="88" t="n"/>
      <c r="H218" s="88" t="n"/>
      <c r="I218" s="88" t="n"/>
      <c r="J218" s="89" t="n"/>
      <c r="K218" s="88" t="n"/>
      <c r="L218" s="88" t="n"/>
      <c r="M218" s="88" t="n"/>
      <c r="N218" s="89" t="n"/>
      <c r="O218" s="88" t="n"/>
      <c r="P218" s="88" t="n"/>
      <c r="Q218" s="88" t="n"/>
      <c r="R218" s="89" t="n"/>
      <c r="S218" s="88" t="n"/>
      <c r="T218" s="88" t="n"/>
      <c r="U218" s="88" t="n"/>
      <c r="V218" s="89" t="n"/>
      <c r="W218" s="88" t="n"/>
      <c r="X218" s="89" t="n"/>
      <c r="Y218" s="88" t="n"/>
      <c r="Z218" s="89" t="n"/>
      <c r="AB218" s="25">
        <f>IF($B218="","",(COUNTIF(C218:E218,"?*")&lt;N(INDEX(Setup!$L$6:$L$23,11)))+(COUNTIF(G218:I218,"?*")&lt;N(INDEX(Setup!$L$6:$L$23,11)))+(COUNTIF(K218:M218,"?*")&lt;N(INDEX(Setup!$L$6:$L$23,11)))+(COUNTIF(O218:Q218,"?*")&lt;N(INDEX(Setup!$L$6:$L$23,11)))+(COUNTIF(S218:U218,"?*")&lt;N(INDEX(Setup!$L$6:$L$23,11)))+((W218="")*(INDEX(Setup!$M$6:$M$23,11)="Y"))+((Y218="")*(INDEX(Setup!$M$6:$M$23,11)="Y")))</f>
        <v/>
      </c>
      <c r="AC218" s="90">
        <f>IF($B218="","",IF(AB218=0,"✓ covered","⚠ "&amp;AB218&amp;IF(AB218=1," gap"," gaps")))</f>
        <v/>
      </c>
    </row>
    <row r="219" ht="17" customHeight="1">
      <c r="A219" t="n">
        <v>5</v>
      </c>
      <c r="B219" s="29">
        <f>IF(Setup!$K$17="","",Setup!$K$17)</f>
        <v/>
      </c>
      <c r="C219" s="88" t="n"/>
      <c r="D219" s="88" t="n"/>
      <c r="E219" s="88" t="n"/>
      <c r="F219" s="89" t="n"/>
      <c r="G219" s="88" t="n"/>
      <c r="H219" s="88" t="n"/>
      <c r="I219" s="88" t="n"/>
      <c r="J219" s="89" t="n"/>
      <c r="K219" s="88" t="n"/>
      <c r="L219" s="88" t="n"/>
      <c r="M219" s="88" t="n"/>
      <c r="N219" s="89" t="n"/>
      <c r="O219" s="88" t="n"/>
      <c r="P219" s="88" t="n"/>
      <c r="Q219" s="88" t="n"/>
      <c r="R219" s="89" t="n"/>
      <c r="S219" s="88" t="n"/>
      <c r="T219" s="88" t="n"/>
      <c r="U219" s="88" t="n"/>
      <c r="V219" s="89" t="n"/>
      <c r="W219" s="88" t="n"/>
      <c r="X219" s="89" t="n"/>
      <c r="Y219" s="88" t="n"/>
      <c r="Z219" s="89" t="n"/>
      <c r="AB219" s="30">
        <f>IF($B219="","",(COUNTIF(C219:E219,"?*")&lt;N(INDEX(Setup!$L$6:$L$23,12)))+(COUNTIF(G219:I219,"?*")&lt;N(INDEX(Setup!$L$6:$L$23,12)))+(COUNTIF(K219:M219,"?*")&lt;N(INDEX(Setup!$L$6:$L$23,12)))+(COUNTIF(O219:Q219,"?*")&lt;N(INDEX(Setup!$L$6:$L$23,12)))+(COUNTIF(S219:U219,"?*")&lt;N(INDEX(Setup!$L$6:$L$23,12)))+((W219="")*(INDEX(Setup!$M$6:$M$23,12)="Y"))+((Y219="")*(INDEX(Setup!$M$6:$M$23,12)="Y")))</f>
        <v/>
      </c>
      <c r="AC219" s="91">
        <f>IF($B219="","",IF(AB219=0,"✓ covered","⚠ "&amp;AB219&amp;IF(AB219=1," gap"," gaps")))</f>
        <v/>
      </c>
    </row>
    <row r="220" ht="17" customHeight="1">
      <c r="A220" t="n">
        <v>5</v>
      </c>
      <c r="B220" s="24">
        <f>IF(Setup!$K$18="","",Setup!$K$18)</f>
        <v/>
      </c>
      <c r="C220" s="88" t="n"/>
      <c r="D220" s="88" t="n"/>
      <c r="E220" s="88" t="n"/>
      <c r="F220" s="89" t="n"/>
      <c r="G220" s="88" t="n"/>
      <c r="H220" s="88" t="n"/>
      <c r="I220" s="88" t="n"/>
      <c r="J220" s="89" t="n"/>
      <c r="K220" s="88" t="n"/>
      <c r="L220" s="88" t="n"/>
      <c r="M220" s="88" t="n"/>
      <c r="N220" s="89" t="n"/>
      <c r="O220" s="88" t="n"/>
      <c r="P220" s="88" t="n"/>
      <c r="Q220" s="88" t="n"/>
      <c r="R220" s="89" t="n"/>
      <c r="S220" s="88" t="n"/>
      <c r="T220" s="88" t="n"/>
      <c r="U220" s="88" t="n"/>
      <c r="V220" s="89" t="n"/>
      <c r="W220" s="88" t="n"/>
      <c r="X220" s="89" t="n"/>
      <c r="Y220" s="88" t="n"/>
      <c r="Z220" s="89" t="n"/>
      <c r="AB220" s="25">
        <f>IF($B220="","",(COUNTIF(C220:E220,"?*")&lt;N(INDEX(Setup!$L$6:$L$23,13)))+(COUNTIF(G220:I220,"?*")&lt;N(INDEX(Setup!$L$6:$L$23,13)))+(COUNTIF(K220:M220,"?*")&lt;N(INDEX(Setup!$L$6:$L$23,13)))+(COUNTIF(O220:Q220,"?*")&lt;N(INDEX(Setup!$L$6:$L$23,13)))+(COUNTIF(S220:U220,"?*")&lt;N(INDEX(Setup!$L$6:$L$23,13)))+((W220="")*(INDEX(Setup!$M$6:$M$23,13)="Y"))+((Y220="")*(INDEX(Setup!$M$6:$M$23,13)="Y")))</f>
        <v/>
      </c>
      <c r="AC220" s="90">
        <f>IF($B220="","",IF(AB220=0,"✓ covered","⚠ "&amp;AB220&amp;IF(AB220=1," gap"," gaps")))</f>
        <v/>
      </c>
    </row>
    <row r="221" ht="17" customHeight="1">
      <c r="A221" t="n">
        <v>5</v>
      </c>
      <c r="B221" s="29">
        <f>IF(Setup!$K$19="","",Setup!$K$19)</f>
        <v/>
      </c>
      <c r="C221" s="88" t="n"/>
      <c r="D221" s="88" t="n"/>
      <c r="E221" s="88" t="n"/>
      <c r="F221" s="89" t="n"/>
      <c r="G221" s="88" t="n"/>
      <c r="H221" s="88" t="n"/>
      <c r="I221" s="88" t="n"/>
      <c r="J221" s="89" t="n"/>
      <c r="K221" s="88" t="n"/>
      <c r="L221" s="88" t="n"/>
      <c r="M221" s="88" t="n"/>
      <c r="N221" s="89" t="n"/>
      <c r="O221" s="88" t="n"/>
      <c r="P221" s="88" t="n"/>
      <c r="Q221" s="88" t="n"/>
      <c r="R221" s="89" t="n"/>
      <c r="S221" s="88" t="n"/>
      <c r="T221" s="88" t="n"/>
      <c r="U221" s="88" t="n"/>
      <c r="V221" s="89" t="n"/>
      <c r="W221" s="88" t="n"/>
      <c r="X221" s="89" t="n"/>
      <c r="Y221" s="88" t="n"/>
      <c r="Z221" s="89" t="n"/>
      <c r="AB221" s="30">
        <f>IF($B221="","",(COUNTIF(C221:E221,"?*")&lt;N(INDEX(Setup!$L$6:$L$23,14)))+(COUNTIF(G221:I221,"?*")&lt;N(INDEX(Setup!$L$6:$L$23,14)))+(COUNTIF(K221:M221,"?*")&lt;N(INDEX(Setup!$L$6:$L$23,14)))+(COUNTIF(O221:Q221,"?*")&lt;N(INDEX(Setup!$L$6:$L$23,14)))+(COUNTIF(S221:U221,"?*")&lt;N(INDEX(Setup!$L$6:$L$23,14)))+((W221="")*(INDEX(Setup!$M$6:$M$23,14)="Y"))+((Y221="")*(INDEX(Setup!$M$6:$M$23,14)="Y")))</f>
        <v/>
      </c>
      <c r="AC221" s="91">
        <f>IF($B221="","",IF(AB221=0,"✓ covered","⚠ "&amp;AB221&amp;IF(AB221=1," gap"," gaps")))</f>
        <v/>
      </c>
    </row>
    <row r="222" ht="17" customHeight="1">
      <c r="A222" t="n">
        <v>5</v>
      </c>
      <c r="B222" s="24">
        <f>IF(Setup!$K$20="","",Setup!$K$20)</f>
        <v/>
      </c>
      <c r="C222" s="88" t="n"/>
      <c r="D222" s="88" t="n"/>
      <c r="E222" s="88" t="n"/>
      <c r="F222" s="89" t="n"/>
      <c r="G222" s="88" t="n"/>
      <c r="H222" s="88" t="n"/>
      <c r="I222" s="88" t="n"/>
      <c r="J222" s="89" t="n"/>
      <c r="K222" s="88" t="n"/>
      <c r="L222" s="88" t="n"/>
      <c r="M222" s="88" t="n"/>
      <c r="N222" s="89" t="n"/>
      <c r="O222" s="88" t="n"/>
      <c r="P222" s="88" t="n"/>
      <c r="Q222" s="88" t="n"/>
      <c r="R222" s="89" t="n"/>
      <c r="S222" s="88" t="n"/>
      <c r="T222" s="88" t="n"/>
      <c r="U222" s="88" t="n"/>
      <c r="V222" s="89" t="n"/>
      <c r="W222" s="88" t="n"/>
      <c r="X222" s="89" t="n"/>
      <c r="Y222" s="88" t="n"/>
      <c r="Z222" s="89" t="n"/>
      <c r="AB222" s="25">
        <f>IF($B222="","",(COUNTIF(C222:E222,"?*")&lt;N(INDEX(Setup!$L$6:$L$23,15)))+(COUNTIF(G222:I222,"?*")&lt;N(INDEX(Setup!$L$6:$L$23,15)))+(COUNTIF(K222:M222,"?*")&lt;N(INDEX(Setup!$L$6:$L$23,15)))+(COUNTIF(O222:Q222,"?*")&lt;N(INDEX(Setup!$L$6:$L$23,15)))+(COUNTIF(S222:U222,"?*")&lt;N(INDEX(Setup!$L$6:$L$23,15)))+((W222="")*(INDEX(Setup!$M$6:$M$23,15)="Y"))+((Y222="")*(INDEX(Setup!$M$6:$M$23,15)="Y")))</f>
        <v/>
      </c>
      <c r="AC222" s="90">
        <f>IF($B222="","",IF(AB222=0,"✓ covered","⚠ "&amp;AB222&amp;IF(AB222=1," gap"," gaps")))</f>
        <v/>
      </c>
    </row>
    <row r="223" ht="17" customHeight="1">
      <c r="A223" t="n">
        <v>5</v>
      </c>
      <c r="B223" s="29">
        <f>IF(Setup!$K$21="","",Setup!$K$21)</f>
        <v/>
      </c>
      <c r="C223" s="88" t="n"/>
      <c r="D223" s="88" t="n"/>
      <c r="E223" s="88" t="n"/>
      <c r="F223" s="89" t="n"/>
      <c r="G223" s="88" t="n"/>
      <c r="H223" s="88" t="n"/>
      <c r="I223" s="88" t="n"/>
      <c r="J223" s="89" t="n"/>
      <c r="K223" s="88" t="n"/>
      <c r="L223" s="88" t="n"/>
      <c r="M223" s="88" t="n"/>
      <c r="N223" s="89" t="n"/>
      <c r="O223" s="88" t="n"/>
      <c r="P223" s="88" t="n"/>
      <c r="Q223" s="88" t="n"/>
      <c r="R223" s="89" t="n"/>
      <c r="S223" s="88" t="n"/>
      <c r="T223" s="88" t="n"/>
      <c r="U223" s="88" t="n"/>
      <c r="V223" s="89" t="n"/>
      <c r="W223" s="88" t="n"/>
      <c r="X223" s="89" t="n"/>
      <c r="Y223" s="88" t="n"/>
      <c r="Z223" s="89" t="n"/>
      <c r="AB223" s="30">
        <f>IF($B223="","",(COUNTIF(C223:E223,"?*")&lt;N(INDEX(Setup!$L$6:$L$23,16)))+(COUNTIF(G223:I223,"?*")&lt;N(INDEX(Setup!$L$6:$L$23,16)))+(COUNTIF(K223:M223,"?*")&lt;N(INDEX(Setup!$L$6:$L$23,16)))+(COUNTIF(O223:Q223,"?*")&lt;N(INDEX(Setup!$L$6:$L$23,16)))+(COUNTIF(S223:U223,"?*")&lt;N(INDEX(Setup!$L$6:$L$23,16)))+((W223="")*(INDEX(Setup!$M$6:$M$23,16)="Y"))+((Y223="")*(INDEX(Setup!$M$6:$M$23,16)="Y")))</f>
        <v/>
      </c>
      <c r="AC223" s="91">
        <f>IF($B223="","",IF(AB223=0,"✓ covered","⚠ "&amp;AB223&amp;IF(AB223=1," gap"," gaps")))</f>
        <v/>
      </c>
    </row>
    <row r="224" ht="17" customHeight="1">
      <c r="A224" t="n">
        <v>5</v>
      </c>
      <c r="B224" s="24">
        <f>IF(Setup!$K$22="","",Setup!$K$22)</f>
        <v/>
      </c>
      <c r="C224" s="88" t="n"/>
      <c r="D224" s="88" t="n"/>
      <c r="E224" s="88" t="n"/>
      <c r="F224" s="89" t="n"/>
      <c r="G224" s="88" t="n"/>
      <c r="H224" s="88" t="n"/>
      <c r="I224" s="88" t="n"/>
      <c r="J224" s="89" t="n"/>
      <c r="K224" s="88" t="n"/>
      <c r="L224" s="88" t="n"/>
      <c r="M224" s="88" t="n"/>
      <c r="N224" s="89" t="n"/>
      <c r="O224" s="88" t="n"/>
      <c r="P224" s="88" t="n"/>
      <c r="Q224" s="88" t="n"/>
      <c r="R224" s="89" t="n"/>
      <c r="S224" s="88" t="n"/>
      <c r="T224" s="88" t="n"/>
      <c r="U224" s="88" t="n"/>
      <c r="V224" s="89" t="n"/>
      <c r="W224" s="88" t="n"/>
      <c r="X224" s="89" t="n"/>
      <c r="Y224" s="88" t="n"/>
      <c r="Z224" s="89" t="n"/>
      <c r="AB224" s="25">
        <f>IF($B224="","",(COUNTIF(C224:E224,"?*")&lt;N(INDEX(Setup!$L$6:$L$23,17)))+(COUNTIF(G224:I224,"?*")&lt;N(INDEX(Setup!$L$6:$L$23,17)))+(COUNTIF(K224:M224,"?*")&lt;N(INDEX(Setup!$L$6:$L$23,17)))+(COUNTIF(O224:Q224,"?*")&lt;N(INDEX(Setup!$L$6:$L$23,17)))+(COUNTIF(S224:U224,"?*")&lt;N(INDEX(Setup!$L$6:$L$23,17)))+((W224="")*(INDEX(Setup!$M$6:$M$23,17)="Y"))+((Y224="")*(INDEX(Setup!$M$6:$M$23,17)="Y")))</f>
        <v/>
      </c>
      <c r="AC224" s="90">
        <f>IF($B224="","",IF(AB224=0,"✓ covered","⚠ "&amp;AB224&amp;IF(AB224=1," gap"," gaps")))</f>
        <v/>
      </c>
    </row>
    <row r="225" ht="17" customHeight="1">
      <c r="A225" t="n">
        <v>5</v>
      </c>
      <c r="B225" s="29">
        <f>IF(Setup!$K$23="","",Setup!$K$23)</f>
        <v/>
      </c>
      <c r="C225" s="88" t="n"/>
      <c r="D225" s="88" t="n"/>
      <c r="E225" s="88" t="n"/>
      <c r="F225" s="89" t="n"/>
      <c r="G225" s="88" t="n"/>
      <c r="H225" s="88" t="n"/>
      <c r="I225" s="88" t="n"/>
      <c r="J225" s="89" t="n"/>
      <c r="K225" s="88" t="n"/>
      <c r="L225" s="88" t="n"/>
      <c r="M225" s="88" t="n"/>
      <c r="N225" s="89" t="n"/>
      <c r="O225" s="88" t="n"/>
      <c r="P225" s="88" t="n"/>
      <c r="Q225" s="88" t="n"/>
      <c r="R225" s="89" t="n"/>
      <c r="S225" s="88" t="n"/>
      <c r="T225" s="88" t="n"/>
      <c r="U225" s="88" t="n"/>
      <c r="V225" s="89" t="n"/>
      <c r="W225" s="88" t="n"/>
      <c r="X225" s="89" t="n"/>
      <c r="Y225" s="88" t="n"/>
      <c r="Z225" s="89" t="n"/>
      <c r="AB225" s="30">
        <f>IF($B225="","",(COUNTIF(C225:E225,"?*")&lt;N(INDEX(Setup!$L$6:$L$23,18)))+(COUNTIF(G225:I225,"?*")&lt;N(INDEX(Setup!$L$6:$L$23,18)))+(COUNTIF(K225:M225,"?*")&lt;N(INDEX(Setup!$L$6:$L$23,18)))+(COUNTIF(O225:Q225,"?*")&lt;N(INDEX(Setup!$L$6:$L$23,18)))+(COUNTIF(S225:U225,"?*")&lt;N(INDEX(Setup!$L$6:$L$23,18)))+((W225="")*(INDEX(Setup!$M$6:$M$23,18)="Y"))+((Y225="")*(INDEX(Setup!$M$6:$M$23,18)="Y")))</f>
        <v/>
      </c>
      <c r="AC225" s="91">
        <f>IF($B225="","",IF(AB225=0,"✓ covered","⚠ "&amp;AB225&amp;IF(AB225=1," gap"," gaps")))</f>
        <v/>
      </c>
    </row>
    <row r="226" ht="18" customHeight="1">
      <c r="A226" t="n">
        <v>5</v>
      </c>
      <c r="B226" s="78" t="inlineStr">
        <is>
          <t>TEAM AVAILABILITY</t>
        </is>
      </c>
      <c r="C226" s="92" t="inlineStr">
        <is>
          <t>Mon</t>
        </is>
      </c>
      <c r="D226" s="93" t="n"/>
      <c r="E226" s="93" t="n"/>
      <c r="F226" s="94" t="n"/>
      <c r="G226" s="92" t="inlineStr">
        <is>
          <t>Tue</t>
        </is>
      </c>
      <c r="H226" s="93" t="n"/>
      <c r="I226" s="93" t="n"/>
      <c r="J226" s="94" t="n"/>
      <c r="K226" s="92" t="inlineStr">
        <is>
          <t>Wed</t>
        </is>
      </c>
      <c r="L226" s="93" t="n"/>
      <c r="M226" s="93" t="n"/>
      <c r="N226" s="94" t="n"/>
      <c r="O226" s="92" t="inlineStr">
        <is>
          <t>Thu</t>
        </is>
      </c>
      <c r="P226" s="93" t="n"/>
      <c r="Q226" s="93" t="n"/>
      <c r="R226" s="94" t="n"/>
      <c r="S226" s="92" t="inlineStr">
        <is>
          <t>Fri</t>
        </is>
      </c>
      <c r="T226" s="93" t="n"/>
      <c r="U226" s="93" t="n"/>
      <c r="V226" s="94" t="n"/>
      <c r="W226" s="95" t="inlineStr">
        <is>
          <t>Sat</t>
        </is>
      </c>
      <c r="X226" s="96" t="n"/>
      <c r="Y226" s="95" t="inlineStr">
        <is>
          <t>Sun</t>
        </is>
      </c>
      <c r="Z226" s="96" t="n"/>
      <c r="AB226" s="97" t="inlineStr">
        <is>
          <t>Days rostered</t>
        </is>
      </c>
      <c r="AC226" s="97" t="inlineStr">
        <is>
          <t>Conflicts</t>
        </is>
      </c>
    </row>
    <row r="227" ht="15" customHeight="1">
      <c r="A227" t="n">
        <v>5</v>
      </c>
      <c r="B227" s="35">
        <f>IF(Setup!$B$6="","",Setup!$B$6)</f>
        <v/>
      </c>
      <c r="C227" s="98" t="n"/>
      <c r="D227" s="99" t="n"/>
      <c r="E227" s="99" t="n"/>
      <c r="F227" s="100" t="n"/>
      <c r="G227" s="98" t="n"/>
      <c r="H227" s="99" t="n"/>
      <c r="I227" s="99" t="n"/>
      <c r="J227" s="100" t="n"/>
      <c r="K227" s="98" t="n"/>
      <c r="L227" s="99" t="n"/>
      <c r="M227" s="99" t="n"/>
      <c r="N227" s="100" t="n"/>
      <c r="O227" s="98" t="n"/>
      <c r="P227" s="99" t="n"/>
      <c r="Q227" s="99" t="n"/>
      <c r="R227" s="100" t="n"/>
      <c r="S227" s="98" t="n"/>
      <c r="T227" s="99" t="n"/>
      <c r="U227" s="99" t="n"/>
      <c r="V227" s="100" t="n"/>
      <c r="W227" s="98" t="n"/>
      <c r="X227" s="100" t="n"/>
      <c r="Y227" s="98" t="n"/>
      <c r="Z227" s="100" t="n"/>
      <c r="AB227" s="101">
        <f>IF($B227="","",(COUNTIF(C208:E225,$B227)+COUNTIF(C208:E225,$B227&amp;" ~*")&gt;0)+(COUNTIF(G208:I225,$B227)+COUNTIF(G208:I225,$B227&amp;" ~*")&gt;0)+(COUNTIF(K208:M225,$B227)+COUNTIF(K208:M225,$B227&amp;" ~*")&gt;0)+(COUNTIF(O208:Q225,$B227)+COUNTIF(O208:Q225,$B227&amp;" ~*")&gt;0)+(COUNTIF(S208:U225,$B227)+COUNTIF(S208:U225,$B227&amp;" ~*")&gt;0)+(COUNTIF(W208:W225,$B227)+COUNTIF(W208:W225,$B227&amp;" ~*")&gt;0)+(COUNTIF(Y208:Y225,$B227)+COUNTIF(Y208:Y225,$B227&amp;" ~*")&gt;0))</f>
        <v/>
      </c>
      <c r="AC227" s="36">
        <f>IF($B227="","",(IFERROR(INDEX(Setup!$G$33:$G$40,MATCH(C227,Setup!$B$33:$B$40,0)),0)=1)*(COUNTIF(C208:E225,$B227)+COUNTIF(C208:E225,$B227&amp;" ~*")&gt;0)+(IFERROR(INDEX(Setup!$G$33:$G$40,MATCH(G227,Setup!$B$33:$B$40,0)),0)=1)*(COUNTIF(G208:I225,$B227)+COUNTIF(G208:I225,$B227&amp;" ~*")&gt;0)+(IFERROR(INDEX(Setup!$G$33:$G$40,MATCH(K227,Setup!$B$33:$B$40,0)),0)=1)*(COUNTIF(K208:M225,$B227)+COUNTIF(K208:M225,$B227&amp;" ~*")&gt;0)+(IFERROR(INDEX(Setup!$G$33:$G$40,MATCH(O227,Setup!$B$33:$B$40,0)),0)=1)*(COUNTIF(O208:Q225,$B227)+COUNTIF(O208:Q225,$B227&amp;" ~*")&gt;0)+(IFERROR(INDEX(Setup!$G$33:$G$40,MATCH(S227,Setup!$B$33:$B$40,0)),0)=1)*(COUNTIF(S208:U225,$B227)+COUNTIF(S208:U225,$B227&amp;" ~*")&gt;0)+(IFERROR(INDEX(Setup!$G$33:$G$40,MATCH(W227,Setup!$B$33:$B$40,0)),0)=1)*(COUNTIF(W208:W225,$B227)+COUNTIF(W208:W225,$B227&amp;" ~*")&gt;0)+(IFERROR(INDEX(Setup!$G$33:$G$40,MATCH(Y227,Setup!$B$33:$B$40,0)),0)=1)*(COUNTIF(Y208:Y225,$B227)+COUNTIF(Y208:Y225,$B227&amp;" ~*")&gt;0))</f>
        <v/>
      </c>
    </row>
    <row r="228" ht="15" customHeight="1">
      <c r="A228" t="n">
        <v>5</v>
      </c>
      <c r="B228" s="37">
        <f>IF(Setup!$B$7="","",Setup!$B$7)</f>
        <v/>
      </c>
      <c r="C228" s="102" t="n"/>
      <c r="D228" s="103" t="n"/>
      <c r="E228" s="103" t="n"/>
      <c r="F228" s="104" t="n"/>
      <c r="G228" s="102" t="n"/>
      <c r="H228" s="103" t="n"/>
      <c r="I228" s="103" t="n"/>
      <c r="J228" s="104" t="n"/>
      <c r="K228" s="102" t="n"/>
      <c r="L228" s="103" t="n"/>
      <c r="M228" s="103" t="n"/>
      <c r="N228" s="104" t="n"/>
      <c r="O228" s="102" t="n"/>
      <c r="P228" s="103" t="n"/>
      <c r="Q228" s="103" t="n"/>
      <c r="R228" s="104" t="n"/>
      <c r="S228" s="102" t="n"/>
      <c r="T228" s="103" t="n"/>
      <c r="U228" s="103" t="n"/>
      <c r="V228" s="104" t="n"/>
      <c r="W228" s="102" t="n"/>
      <c r="X228" s="104" t="n"/>
      <c r="Y228" s="102" t="n"/>
      <c r="Z228" s="104" t="n"/>
      <c r="AB228" s="105">
        <f>IF($B228="","",(COUNTIF(C208:E225,$B228)+COUNTIF(C208:E225,$B228&amp;" ~*")&gt;0)+(COUNTIF(G208:I225,$B228)+COUNTIF(G208:I225,$B228&amp;" ~*")&gt;0)+(COUNTIF(K208:M225,$B228)+COUNTIF(K208:M225,$B228&amp;" ~*")&gt;0)+(COUNTIF(O208:Q225,$B228)+COUNTIF(O208:Q225,$B228&amp;" ~*")&gt;0)+(COUNTIF(S208:U225,$B228)+COUNTIF(S208:U225,$B228&amp;" ~*")&gt;0)+(COUNTIF(W208:W225,$B228)+COUNTIF(W208:W225,$B228&amp;" ~*")&gt;0)+(COUNTIF(Y208:Y225,$B228)+COUNTIF(Y208:Y225,$B228&amp;" ~*")&gt;0))</f>
        <v/>
      </c>
      <c r="AC228" s="38">
        <f>IF($B228="","",(IFERROR(INDEX(Setup!$G$33:$G$40,MATCH(C228,Setup!$B$33:$B$40,0)),0)=1)*(COUNTIF(C208:E225,$B228)+COUNTIF(C208:E225,$B228&amp;" ~*")&gt;0)+(IFERROR(INDEX(Setup!$G$33:$G$40,MATCH(G228,Setup!$B$33:$B$40,0)),0)=1)*(COUNTIF(G208:I225,$B228)+COUNTIF(G208:I225,$B228&amp;" ~*")&gt;0)+(IFERROR(INDEX(Setup!$G$33:$G$40,MATCH(K228,Setup!$B$33:$B$40,0)),0)=1)*(COUNTIF(K208:M225,$B228)+COUNTIF(K208:M225,$B228&amp;" ~*")&gt;0)+(IFERROR(INDEX(Setup!$G$33:$G$40,MATCH(O228,Setup!$B$33:$B$40,0)),0)=1)*(COUNTIF(O208:Q225,$B228)+COUNTIF(O208:Q225,$B228&amp;" ~*")&gt;0)+(IFERROR(INDEX(Setup!$G$33:$G$40,MATCH(S228,Setup!$B$33:$B$40,0)),0)=1)*(COUNTIF(S208:U225,$B228)+COUNTIF(S208:U225,$B228&amp;" ~*")&gt;0)+(IFERROR(INDEX(Setup!$G$33:$G$40,MATCH(W228,Setup!$B$33:$B$40,0)),0)=1)*(COUNTIF(W208:W225,$B228)+COUNTIF(W208:W225,$B228&amp;" ~*")&gt;0)+(IFERROR(INDEX(Setup!$G$33:$G$40,MATCH(Y228,Setup!$B$33:$B$40,0)),0)=1)*(COUNTIF(Y208:Y225,$B228)+COUNTIF(Y208:Y225,$B228&amp;" ~*")&gt;0))</f>
        <v/>
      </c>
    </row>
    <row r="229" ht="15" customHeight="1">
      <c r="A229" t="n">
        <v>5</v>
      </c>
      <c r="B229" s="35">
        <f>IF(Setup!$B$8="","",Setup!$B$8)</f>
        <v/>
      </c>
      <c r="C229" s="98" t="n"/>
      <c r="D229" s="99" t="n"/>
      <c r="E229" s="99" t="n"/>
      <c r="F229" s="100" t="n"/>
      <c r="G229" s="98" t="n"/>
      <c r="H229" s="99" t="n"/>
      <c r="I229" s="99" t="n"/>
      <c r="J229" s="100" t="n"/>
      <c r="K229" s="98" t="n"/>
      <c r="L229" s="99" t="n"/>
      <c r="M229" s="99" t="n"/>
      <c r="N229" s="100" t="n"/>
      <c r="O229" s="98" t="n"/>
      <c r="P229" s="99" t="n"/>
      <c r="Q229" s="99" t="n"/>
      <c r="R229" s="100" t="n"/>
      <c r="S229" s="98" t="n"/>
      <c r="T229" s="99" t="n"/>
      <c r="U229" s="99" t="n"/>
      <c r="V229" s="100" t="n"/>
      <c r="W229" s="98" t="n"/>
      <c r="X229" s="100" t="n"/>
      <c r="Y229" s="98" t="n"/>
      <c r="Z229" s="100" t="n"/>
      <c r="AB229" s="101">
        <f>IF($B229="","",(COUNTIF(C208:E225,$B229)+COUNTIF(C208:E225,$B229&amp;" ~*")&gt;0)+(COUNTIF(G208:I225,$B229)+COUNTIF(G208:I225,$B229&amp;" ~*")&gt;0)+(COUNTIF(K208:M225,$B229)+COUNTIF(K208:M225,$B229&amp;" ~*")&gt;0)+(COUNTIF(O208:Q225,$B229)+COUNTIF(O208:Q225,$B229&amp;" ~*")&gt;0)+(COUNTIF(S208:U225,$B229)+COUNTIF(S208:U225,$B229&amp;" ~*")&gt;0)+(COUNTIF(W208:W225,$B229)+COUNTIF(W208:W225,$B229&amp;" ~*")&gt;0)+(COUNTIF(Y208:Y225,$B229)+COUNTIF(Y208:Y225,$B229&amp;" ~*")&gt;0))</f>
        <v/>
      </c>
      <c r="AC229" s="36">
        <f>IF($B229="","",(IFERROR(INDEX(Setup!$G$33:$G$40,MATCH(C229,Setup!$B$33:$B$40,0)),0)=1)*(COUNTIF(C208:E225,$B229)+COUNTIF(C208:E225,$B229&amp;" ~*")&gt;0)+(IFERROR(INDEX(Setup!$G$33:$G$40,MATCH(G229,Setup!$B$33:$B$40,0)),0)=1)*(COUNTIF(G208:I225,$B229)+COUNTIF(G208:I225,$B229&amp;" ~*")&gt;0)+(IFERROR(INDEX(Setup!$G$33:$G$40,MATCH(K229,Setup!$B$33:$B$40,0)),0)=1)*(COUNTIF(K208:M225,$B229)+COUNTIF(K208:M225,$B229&amp;" ~*")&gt;0)+(IFERROR(INDEX(Setup!$G$33:$G$40,MATCH(O229,Setup!$B$33:$B$40,0)),0)=1)*(COUNTIF(O208:Q225,$B229)+COUNTIF(O208:Q225,$B229&amp;" ~*")&gt;0)+(IFERROR(INDEX(Setup!$G$33:$G$40,MATCH(S229,Setup!$B$33:$B$40,0)),0)=1)*(COUNTIF(S208:U225,$B229)+COUNTIF(S208:U225,$B229&amp;" ~*")&gt;0)+(IFERROR(INDEX(Setup!$G$33:$G$40,MATCH(W229,Setup!$B$33:$B$40,0)),0)=1)*(COUNTIF(W208:W225,$B229)+COUNTIF(W208:W225,$B229&amp;" ~*")&gt;0)+(IFERROR(INDEX(Setup!$G$33:$G$40,MATCH(Y229,Setup!$B$33:$B$40,0)),0)=1)*(COUNTIF(Y208:Y225,$B229)+COUNTIF(Y208:Y225,$B229&amp;" ~*")&gt;0))</f>
        <v/>
      </c>
    </row>
    <row r="230" ht="15" customHeight="1">
      <c r="A230" t="n">
        <v>5</v>
      </c>
      <c r="B230" s="37">
        <f>IF(Setup!$B$9="","",Setup!$B$9)</f>
        <v/>
      </c>
      <c r="C230" s="102" t="n"/>
      <c r="D230" s="103" t="n"/>
      <c r="E230" s="103" t="n"/>
      <c r="F230" s="104" t="n"/>
      <c r="G230" s="102" t="n"/>
      <c r="H230" s="103" t="n"/>
      <c r="I230" s="103" t="n"/>
      <c r="J230" s="104" t="n"/>
      <c r="K230" s="102" t="n"/>
      <c r="L230" s="103" t="n"/>
      <c r="M230" s="103" t="n"/>
      <c r="N230" s="104" t="n"/>
      <c r="O230" s="102" t="n"/>
      <c r="P230" s="103" t="n"/>
      <c r="Q230" s="103" t="n"/>
      <c r="R230" s="104" t="n"/>
      <c r="S230" s="102" t="n"/>
      <c r="T230" s="103" t="n"/>
      <c r="U230" s="103" t="n"/>
      <c r="V230" s="104" t="n"/>
      <c r="W230" s="102" t="n"/>
      <c r="X230" s="104" t="n"/>
      <c r="Y230" s="102" t="n"/>
      <c r="Z230" s="104" t="n"/>
      <c r="AB230" s="105">
        <f>IF($B230="","",(COUNTIF(C208:E225,$B230)+COUNTIF(C208:E225,$B230&amp;" ~*")&gt;0)+(COUNTIF(G208:I225,$B230)+COUNTIF(G208:I225,$B230&amp;" ~*")&gt;0)+(COUNTIF(K208:M225,$B230)+COUNTIF(K208:M225,$B230&amp;" ~*")&gt;0)+(COUNTIF(O208:Q225,$B230)+COUNTIF(O208:Q225,$B230&amp;" ~*")&gt;0)+(COUNTIF(S208:U225,$B230)+COUNTIF(S208:U225,$B230&amp;" ~*")&gt;0)+(COUNTIF(W208:W225,$B230)+COUNTIF(W208:W225,$B230&amp;" ~*")&gt;0)+(COUNTIF(Y208:Y225,$B230)+COUNTIF(Y208:Y225,$B230&amp;" ~*")&gt;0))</f>
        <v/>
      </c>
      <c r="AC230" s="38">
        <f>IF($B230="","",(IFERROR(INDEX(Setup!$G$33:$G$40,MATCH(C230,Setup!$B$33:$B$40,0)),0)=1)*(COUNTIF(C208:E225,$B230)+COUNTIF(C208:E225,$B230&amp;" ~*")&gt;0)+(IFERROR(INDEX(Setup!$G$33:$G$40,MATCH(G230,Setup!$B$33:$B$40,0)),0)=1)*(COUNTIF(G208:I225,$B230)+COUNTIF(G208:I225,$B230&amp;" ~*")&gt;0)+(IFERROR(INDEX(Setup!$G$33:$G$40,MATCH(K230,Setup!$B$33:$B$40,0)),0)=1)*(COUNTIF(K208:M225,$B230)+COUNTIF(K208:M225,$B230&amp;" ~*")&gt;0)+(IFERROR(INDEX(Setup!$G$33:$G$40,MATCH(O230,Setup!$B$33:$B$40,0)),0)=1)*(COUNTIF(O208:Q225,$B230)+COUNTIF(O208:Q225,$B230&amp;" ~*")&gt;0)+(IFERROR(INDEX(Setup!$G$33:$G$40,MATCH(S230,Setup!$B$33:$B$40,0)),0)=1)*(COUNTIF(S208:U225,$B230)+COUNTIF(S208:U225,$B230&amp;" ~*")&gt;0)+(IFERROR(INDEX(Setup!$G$33:$G$40,MATCH(W230,Setup!$B$33:$B$40,0)),0)=1)*(COUNTIF(W208:W225,$B230)+COUNTIF(W208:W225,$B230&amp;" ~*")&gt;0)+(IFERROR(INDEX(Setup!$G$33:$G$40,MATCH(Y230,Setup!$B$33:$B$40,0)),0)=1)*(COUNTIF(Y208:Y225,$B230)+COUNTIF(Y208:Y225,$B230&amp;" ~*")&gt;0))</f>
        <v/>
      </c>
    </row>
    <row r="231" ht="15" customHeight="1">
      <c r="A231" t="n">
        <v>5</v>
      </c>
      <c r="B231" s="35">
        <f>IF(Setup!$B$10="","",Setup!$B$10)</f>
        <v/>
      </c>
      <c r="C231" s="98" t="n"/>
      <c r="D231" s="99" t="n"/>
      <c r="E231" s="99" t="n"/>
      <c r="F231" s="100" t="n"/>
      <c r="G231" s="98" t="n"/>
      <c r="H231" s="99" t="n"/>
      <c r="I231" s="99" t="n"/>
      <c r="J231" s="100" t="n"/>
      <c r="K231" s="98" t="n"/>
      <c r="L231" s="99" t="n"/>
      <c r="M231" s="99" t="n"/>
      <c r="N231" s="100" t="n"/>
      <c r="O231" s="98" t="n"/>
      <c r="P231" s="99" t="n"/>
      <c r="Q231" s="99" t="n"/>
      <c r="R231" s="100" t="n"/>
      <c r="S231" s="98" t="n"/>
      <c r="T231" s="99" t="n"/>
      <c r="U231" s="99" t="n"/>
      <c r="V231" s="100" t="n"/>
      <c r="W231" s="98" t="n"/>
      <c r="X231" s="100" t="n"/>
      <c r="Y231" s="98" t="n"/>
      <c r="Z231" s="100" t="n"/>
      <c r="AB231" s="101">
        <f>IF($B231="","",(COUNTIF(C208:E225,$B231)+COUNTIF(C208:E225,$B231&amp;" ~*")&gt;0)+(COUNTIF(G208:I225,$B231)+COUNTIF(G208:I225,$B231&amp;" ~*")&gt;0)+(COUNTIF(K208:M225,$B231)+COUNTIF(K208:M225,$B231&amp;" ~*")&gt;0)+(COUNTIF(O208:Q225,$B231)+COUNTIF(O208:Q225,$B231&amp;" ~*")&gt;0)+(COUNTIF(S208:U225,$B231)+COUNTIF(S208:U225,$B231&amp;" ~*")&gt;0)+(COUNTIF(W208:W225,$B231)+COUNTIF(W208:W225,$B231&amp;" ~*")&gt;0)+(COUNTIF(Y208:Y225,$B231)+COUNTIF(Y208:Y225,$B231&amp;" ~*")&gt;0))</f>
        <v/>
      </c>
      <c r="AC231" s="36">
        <f>IF($B231="","",(IFERROR(INDEX(Setup!$G$33:$G$40,MATCH(C231,Setup!$B$33:$B$40,0)),0)=1)*(COUNTIF(C208:E225,$B231)+COUNTIF(C208:E225,$B231&amp;" ~*")&gt;0)+(IFERROR(INDEX(Setup!$G$33:$G$40,MATCH(G231,Setup!$B$33:$B$40,0)),0)=1)*(COUNTIF(G208:I225,$B231)+COUNTIF(G208:I225,$B231&amp;" ~*")&gt;0)+(IFERROR(INDEX(Setup!$G$33:$G$40,MATCH(K231,Setup!$B$33:$B$40,0)),0)=1)*(COUNTIF(K208:M225,$B231)+COUNTIF(K208:M225,$B231&amp;" ~*")&gt;0)+(IFERROR(INDEX(Setup!$G$33:$G$40,MATCH(O231,Setup!$B$33:$B$40,0)),0)=1)*(COUNTIF(O208:Q225,$B231)+COUNTIF(O208:Q225,$B231&amp;" ~*")&gt;0)+(IFERROR(INDEX(Setup!$G$33:$G$40,MATCH(S231,Setup!$B$33:$B$40,0)),0)=1)*(COUNTIF(S208:U225,$B231)+COUNTIF(S208:U225,$B231&amp;" ~*")&gt;0)+(IFERROR(INDEX(Setup!$G$33:$G$40,MATCH(W231,Setup!$B$33:$B$40,0)),0)=1)*(COUNTIF(W208:W225,$B231)+COUNTIF(W208:W225,$B231&amp;" ~*")&gt;0)+(IFERROR(INDEX(Setup!$G$33:$G$40,MATCH(Y231,Setup!$B$33:$B$40,0)),0)=1)*(COUNTIF(Y208:Y225,$B231)+COUNTIF(Y208:Y225,$B231&amp;" ~*")&gt;0))</f>
        <v/>
      </c>
    </row>
    <row r="232" ht="15" customHeight="1">
      <c r="A232" t="n">
        <v>5</v>
      </c>
      <c r="B232" s="37">
        <f>IF(Setup!$B$11="","",Setup!$B$11)</f>
        <v/>
      </c>
      <c r="C232" s="102" t="n"/>
      <c r="D232" s="103" t="n"/>
      <c r="E232" s="103" t="n"/>
      <c r="F232" s="104" t="n"/>
      <c r="G232" s="102" t="n"/>
      <c r="H232" s="103" t="n"/>
      <c r="I232" s="103" t="n"/>
      <c r="J232" s="104" t="n"/>
      <c r="K232" s="102" t="n"/>
      <c r="L232" s="103" t="n"/>
      <c r="M232" s="103" t="n"/>
      <c r="N232" s="104" t="n"/>
      <c r="O232" s="102" t="n"/>
      <c r="P232" s="103" t="n"/>
      <c r="Q232" s="103" t="n"/>
      <c r="R232" s="104" t="n"/>
      <c r="S232" s="102" t="n"/>
      <c r="T232" s="103" t="n"/>
      <c r="U232" s="103" t="n"/>
      <c r="V232" s="104" t="n"/>
      <c r="W232" s="102" t="n"/>
      <c r="X232" s="104" t="n"/>
      <c r="Y232" s="102" t="n"/>
      <c r="Z232" s="104" t="n"/>
      <c r="AB232" s="105">
        <f>IF($B232="","",(COUNTIF(C208:E225,$B232)+COUNTIF(C208:E225,$B232&amp;" ~*")&gt;0)+(COUNTIF(G208:I225,$B232)+COUNTIF(G208:I225,$B232&amp;" ~*")&gt;0)+(COUNTIF(K208:M225,$B232)+COUNTIF(K208:M225,$B232&amp;" ~*")&gt;0)+(COUNTIF(O208:Q225,$B232)+COUNTIF(O208:Q225,$B232&amp;" ~*")&gt;0)+(COUNTIF(S208:U225,$B232)+COUNTIF(S208:U225,$B232&amp;" ~*")&gt;0)+(COUNTIF(W208:W225,$B232)+COUNTIF(W208:W225,$B232&amp;" ~*")&gt;0)+(COUNTIF(Y208:Y225,$B232)+COUNTIF(Y208:Y225,$B232&amp;" ~*")&gt;0))</f>
        <v/>
      </c>
      <c r="AC232" s="38">
        <f>IF($B232="","",(IFERROR(INDEX(Setup!$G$33:$G$40,MATCH(C232,Setup!$B$33:$B$40,0)),0)=1)*(COUNTIF(C208:E225,$B232)+COUNTIF(C208:E225,$B232&amp;" ~*")&gt;0)+(IFERROR(INDEX(Setup!$G$33:$G$40,MATCH(G232,Setup!$B$33:$B$40,0)),0)=1)*(COUNTIF(G208:I225,$B232)+COUNTIF(G208:I225,$B232&amp;" ~*")&gt;0)+(IFERROR(INDEX(Setup!$G$33:$G$40,MATCH(K232,Setup!$B$33:$B$40,0)),0)=1)*(COUNTIF(K208:M225,$B232)+COUNTIF(K208:M225,$B232&amp;" ~*")&gt;0)+(IFERROR(INDEX(Setup!$G$33:$G$40,MATCH(O232,Setup!$B$33:$B$40,0)),0)=1)*(COUNTIF(O208:Q225,$B232)+COUNTIF(O208:Q225,$B232&amp;" ~*")&gt;0)+(IFERROR(INDEX(Setup!$G$33:$G$40,MATCH(S232,Setup!$B$33:$B$40,0)),0)=1)*(COUNTIF(S208:U225,$B232)+COUNTIF(S208:U225,$B232&amp;" ~*")&gt;0)+(IFERROR(INDEX(Setup!$G$33:$G$40,MATCH(W232,Setup!$B$33:$B$40,0)),0)=1)*(COUNTIF(W208:W225,$B232)+COUNTIF(W208:W225,$B232&amp;" ~*")&gt;0)+(IFERROR(INDEX(Setup!$G$33:$G$40,MATCH(Y232,Setup!$B$33:$B$40,0)),0)=1)*(COUNTIF(Y208:Y225,$B232)+COUNTIF(Y208:Y225,$B232&amp;" ~*")&gt;0))</f>
        <v/>
      </c>
    </row>
    <row r="233" ht="15" customHeight="1">
      <c r="A233" t="n">
        <v>5</v>
      </c>
      <c r="B233" s="35">
        <f>IF(Setup!$B$12="","",Setup!$B$12)</f>
        <v/>
      </c>
      <c r="C233" s="98" t="n"/>
      <c r="D233" s="99" t="n"/>
      <c r="E233" s="99" t="n"/>
      <c r="F233" s="100" t="n"/>
      <c r="G233" s="98" t="n"/>
      <c r="H233" s="99" t="n"/>
      <c r="I233" s="99" t="n"/>
      <c r="J233" s="100" t="n"/>
      <c r="K233" s="98" t="n"/>
      <c r="L233" s="99" t="n"/>
      <c r="M233" s="99" t="n"/>
      <c r="N233" s="100" t="n"/>
      <c r="O233" s="98" t="n"/>
      <c r="P233" s="99" t="n"/>
      <c r="Q233" s="99" t="n"/>
      <c r="R233" s="100" t="n"/>
      <c r="S233" s="98" t="n"/>
      <c r="T233" s="99" t="n"/>
      <c r="U233" s="99" t="n"/>
      <c r="V233" s="100" t="n"/>
      <c r="W233" s="98" t="n"/>
      <c r="X233" s="100" t="n"/>
      <c r="Y233" s="98" t="n"/>
      <c r="Z233" s="100" t="n"/>
      <c r="AB233" s="101">
        <f>IF($B233="","",(COUNTIF(C208:E225,$B233)+COUNTIF(C208:E225,$B233&amp;" ~*")&gt;0)+(COUNTIF(G208:I225,$B233)+COUNTIF(G208:I225,$B233&amp;" ~*")&gt;0)+(COUNTIF(K208:M225,$B233)+COUNTIF(K208:M225,$B233&amp;" ~*")&gt;0)+(COUNTIF(O208:Q225,$B233)+COUNTIF(O208:Q225,$B233&amp;" ~*")&gt;0)+(COUNTIF(S208:U225,$B233)+COUNTIF(S208:U225,$B233&amp;" ~*")&gt;0)+(COUNTIF(W208:W225,$B233)+COUNTIF(W208:W225,$B233&amp;" ~*")&gt;0)+(COUNTIF(Y208:Y225,$B233)+COUNTIF(Y208:Y225,$B233&amp;" ~*")&gt;0))</f>
        <v/>
      </c>
      <c r="AC233" s="36">
        <f>IF($B233="","",(IFERROR(INDEX(Setup!$G$33:$G$40,MATCH(C233,Setup!$B$33:$B$40,0)),0)=1)*(COUNTIF(C208:E225,$B233)+COUNTIF(C208:E225,$B233&amp;" ~*")&gt;0)+(IFERROR(INDEX(Setup!$G$33:$G$40,MATCH(G233,Setup!$B$33:$B$40,0)),0)=1)*(COUNTIF(G208:I225,$B233)+COUNTIF(G208:I225,$B233&amp;" ~*")&gt;0)+(IFERROR(INDEX(Setup!$G$33:$G$40,MATCH(K233,Setup!$B$33:$B$40,0)),0)=1)*(COUNTIF(K208:M225,$B233)+COUNTIF(K208:M225,$B233&amp;" ~*")&gt;0)+(IFERROR(INDEX(Setup!$G$33:$G$40,MATCH(O233,Setup!$B$33:$B$40,0)),0)=1)*(COUNTIF(O208:Q225,$B233)+COUNTIF(O208:Q225,$B233&amp;" ~*")&gt;0)+(IFERROR(INDEX(Setup!$G$33:$G$40,MATCH(S233,Setup!$B$33:$B$40,0)),0)=1)*(COUNTIF(S208:U225,$B233)+COUNTIF(S208:U225,$B233&amp;" ~*")&gt;0)+(IFERROR(INDEX(Setup!$G$33:$G$40,MATCH(W233,Setup!$B$33:$B$40,0)),0)=1)*(COUNTIF(W208:W225,$B233)+COUNTIF(W208:W225,$B233&amp;" ~*")&gt;0)+(IFERROR(INDEX(Setup!$G$33:$G$40,MATCH(Y233,Setup!$B$33:$B$40,0)),0)=1)*(COUNTIF(Y208:Y225,$B233)+COUNTIF(Y208:Y225,$B233&amp;" ~*")&gt;0))</f>
        <v/>
      </c>
    </row>
    <row r="234" ht="15" customHeight="1">
      <c r="A234" t="n">
        <v>5</v>
      </c>
      <c r="B234" s="37">
        <f>IF(Setup!$B$13="","",Setup!$B$13)</f>
        <v/>
      </c>
      <c r="C234" s="102" t="n"/>
      <c r="D234" s="103" t="n"/>
      <c r="E234" s="103" t="n"/>
      <c r="F234" s="104" t="n"/>
      <c r="G234" s="102" t="n"/>
      <c r="H234" s="103" t="n"/>
      <c r="I234" s="103" t="n"/>
      <c r="J234" s="104" t="n"/>
      <c r="K234" s="102" t="n"/>
      <c r="L234" s="103" t="n"/>
      <c r="M234" s="103" t="n"/>
      <c r="N234" s="104" t="n"/>
      <c r="O234" s="102" t="n"/>
      <c r="P234" s="103" t="n"/>
      <c r="Q234" s="103" t="n"/>
      <c r="R234" s="104" t="n"/>
      <c r="S234" s="102" t="n"/>
      <c r="T234" s="103" t="n"/>
      <c r="U234" s="103" t="n"/>
      <c r="V234" s="104" t="n"/>
      <c r="W234" s="102" t="n"/>
      <c r="X234" s="104" t="n"/>
      <c r="Y234" s="102" t="n"/>
      <c r="Z234" s="104" t="n"/>
      <c r="AB234" s="105">
        <f>IF($B234="","",(COUNTIF(C208:E225,$B234)+COUNTIF(C208:E225,$B234&amp;" ~*")&gt;0)+(COUNTIF(G208:I225,$B234)+COUNTIF(G208:I225,$B234&amp;" ~*")&gt;0)+(COUNTIF(K208:M225,$B234)+COUNTIF(K208:M225,$B234&amp;" ~*")&gt;0)+(COUNTIF(O208:Q225,$B234)+COUNTIF(O208:Q225,$B234&amp;" ~*")&gt;0)+(COUNTIF(S208:U225,$B234)+COUNTIF(S208:U225,$B234&amp;" ~*")&gt;0)+(COUNTIF(W208:W225,$B234)+COUNTIF(W208:W225,$B234&amp;" ~*")&gt;0)+(COUNTIF(Y208:Y225,$B234)+COUNTIF(Y208:Y225,$B234&amp;" ~*")&gt;0))</f>
        <v/>
      </c>
      <c r="AC234" s="38">
        <f>IF($B234="","",(IFERROR(INDEX(Setup!$G$33:$G$40,MATCH(C234,Setup!$B$33:$B$40,0)),0)=1)*(COUNTIF(C208:E225,$B234)+COUNTIF(C208:E225,$B234&amp;" ~*")&gt;0)+(IFERROR(INDEX(Setup!$G$33:$G$40,MATCH(G234,Setup!$B$33:$B$40,0)),0)=1)*(COUNTIF(G208:I225,$B234)+COUNTIF(G208:I225,$B234&amp;" ~*")&gt;0)+(IFERROR(INDEX(Setup!$G$33:$G$40,MATCH(K234,Setup!$B$33:$B$40,0)),0)=1)*(COUNTIF(K208:M225,$B234)+COUNTIF(K208:M225,$B234&amp;" ~*")&gt;0)+(IFERROR(INDEX(Setup!$G$33:$G$40,MATCH(O234,Setup!$B$33:$B$40,0)),0)=1)*(COUNTIF(O208:Q225,$B234)+COUNTIF(O208:Q225,$B234&amp;" ~*")&gt;0)+(IFERROR(INDEX(Setup!$G$33:$G$40,MATCH(S234,Setup!$B$33:$B$40,0)),0)=1)*(COUNTIF(S208:U225,$B234)+COUNTIF(S208:U225,$B234&amp;" ~*")&gt;0)+(IFERROR(INDEX(Setup!$G$33:$G$40,MATCH(W234,Setup!$B$33:$B$40,0)),0)=1)*(COUNTIF(W208:W225,$B234)+COUNTIF(W208:W225,$B234&amp;" ~*")&gt;0)+(IFERROR(INDEX(Setup!$G$33:$G$40,MATCH(Y234,Setup!$B$33:$B$40,0)),0)=1)*(COUNTIF(Y208:Y225,$B234)+COUNTIF(Y208:Y225,$B234&amp;" ~*")&gt;0))</f>
        <v/>
      </c>
    </row>
    <row r="235" ht="15" customHeight="1">
      <c r="A235" t="n">
        <v>5</v>
      </c>
      <c r="B235" s="35">
        <f>IF(Setup!$B$14="","",Setup!$B$14)</f>
        <v/>
      </c>
      <c r="C235" s="98" t="n"/>
      <c r="D235" s="99" t="n"/>
      <c r="E235" s="99" t="n"/>
      <c r="F235" s="100" t="n"/>
      <c r="G235" s="98" t="n"/>
      <c r="H235" s="99" t="n"/>
      <c r="I235" s="99" t="n"/>
      <c r="J235" s="100" t="n"/>
      <c r="K235" s="98" t="n"/>
      <c r="L235" s="99" t="n"/>
      <c r="M235" s="99" t="n"/>
      <c r="N235" s="100" t="n"/>
      <c r="O235" s="98" t="n"/>
      <c r="P235" s="99" t="n"/>
      <c r="Q235" s="99" t="n"/>
      <c r="R235" s="100" t="n"/>
      <c r="S235" s="98" t="n"/>
      <c r="T235" s="99" t="n"/>
      <c r="U235" s="99" t="n"/>
      <c r="V235" s="100" t="n"/>
      <c r="W235" s="98" t="n"/>
      <c r="X235" s="100" t="n"/>
      <c r="Y235" s="98" t="n"/>
      <c r="Z235" s="100" t="n"/>
      <c r="AB235" s="101">
        <f>IF($B235="","",(COUNTIF(C208:E225,$B235)+COUNTIF(C208:E225,$B235&amp;" ~*")&gt;0)+(COUNTIF(G208:I225,$B235)+COUNTIF(G208:I225,$B235&amp;" ~*")&gt;0)+(COUNTIF(K208:M225,$B235)+COUNTIF(K208:M225,$B235&amp;" ~*")&gt;0)+(COUNTIF(O208:Q225,$B235)+COUNTIF(O208:Q225,$B235&amp;" ~*")&gt;0)+(COUNTIF(S208:U225,$B235)+COUNTIF(S208:U225,$B235&amp;" ~*")&gt;0)+(COUNTIF(W208:W225,$B235)+COUNTIF(W208:W225,$B235&amp;" ~*")&gt;0)+(COUNTIF(Y208:Y225,$B235)+COUNTIF(Y208:Y225,$B235&amp;" ~*")&gt;0))</f>
        <v/>
      </c>
      <c r="AC235" s="36">
        <f>IF($B235="","",(IFERROR(INDEX(Setup!$G$33:$G$40,MATCH(C235,Setup!$B$33:$B$40,0)),0)=1)*(COUNTIF(C208:E225,$B235)+COUNTIF(C208:E225,$B235&amp;" ~*")&gt;0)+(IFERROR(INDEX(Setup!$G$33:$G$40,MATCH(G235,Setup!$B$33:$B$40,0)),0)=1)*(COUNTIF(G208:I225,$B235)+COUNTIF(G208:I225,$B235&amp;" ~*")&gt;0)+(IFERROR(INDEX(Setup!$G$33:$G$40,MATCH(K235,Setup!$B$33:$B$40,0)),0)=1)*(COUNTIF(K208:M225,$B235)+COUNTIF(K208:M225,$B235&amp;" ~*")&gt;0)+(IFERROR(INDEX(Setup!$G$33:$G$40,MATCH(O235,Setup!$B$33:$B$40,0)),0)=1)*(COUNTIF(O208:Q225,$B235)+COUNTIF(O208:Q225,$B235&amp;" ~*")&gt;0)+(IFERROR(INDEX(Setup!$G$33:$G$40,MATCH(S235,Setup!$B$33:$B$40,0)),0)=1)*(COUNTIF(S208:U225,$B235)+COUNTIF(S208:U225,$B235&amp;" ~*")&gt;0)+(IFERROR(INDEX(Setup!$G$33:$G$40,MATCH(W235,Setup!$B$33:$B$40,0)),0)=1)*(COUNTIF(W208:W225,$B235)+COUNTIF(W208:W225,$B235&amp;" ~*")&gt;0)+(IFERROR(INDEX(Setup!$G$33:$G$40,MATCH(Y235,Setup!$B$33:$B$40,0)),0)=1)*(COUNTIF(Y208:Y225,$B235)+COUNTIF(Y208:Y225,$B235&amp;" ~*")&gt;0))</f>
        <v/>
      </c>
    </row>
    <row r="236" ht="15" customHeight="1">
      <c r="A236" t="n">
        <v>5</v>
      </c>
      <c r="B236" s="37">
        <f>IF(Setup!$B$15="","",Setup!$B$15)</f>
        <v/>
      </c>
      <c r="C236" s="102" t="n"/>
      <c r="D236" s="103" t="n"/>
      <c r="E236" s="103" t="n"/>
      <c r="F236" s="104" t="n"/>
      <c r="G236" s="102" t="n"/>
      <c r="H236" s="103" t="n"/>
      <c r="I236" s="103" t="n"/>
      <c r="J236" s="104" t="n"/>
      <c r="K236" s="102" t="n"/>
      <c r="L236" s="103" t="n"/>
      <c r="M236" s="103" t="n"/>
      <c r="N236" s="104" t="n"/>
      <c r="O236" s="102" t="n"/>
      <c r="P236" s="103" t="n"/>
      <c r="Q236" s="103" t="n"/>
      <c r="R236" s="104" t="n"/>
      <c r="S236" s="102" t="n"/>
      <c r="T236" s="103" t="n"/>
      <c r="U236" s="103" t="n"/>
      <c r="V236" s="104" t="n"/>
      <c r="W236" s="102" t="n"/>
      <c r="X236" s="104" t="n"/>
      <c r="Y236" s="102" t="n"/>
      <c r="Z236" s="104" t="n"/>
      <c r="AB236" s="105">
        <f>IF($B236="","",(COUNTIF(C208:E225,$B236)+COUNTIF(C208:E225,$B236&amp;" ~*")&gt;0)+(COUNTIF(G208:I225,$B236)+COUNTIF(G208:I225,$B236&amp;" ~*")&gt;0)+(COUNTIF(K208:M225,$B236)+COUNTIF(K208:M225,$B236&amp;" ~*")&gt;0)+(COUNTIF(O208:Q225,$B236)+COUNTIF(O208:Q225,$B236&amp;" ~*")&gt;0)+(COUNTIF(S208:U225,$B236)+COUNTIF(S208:U225,$B236&amp;" ~*")&gt;0)+(COUNTIF(W208:W225,$B236)+COUNTIF(W208:W225,$B236&amp;" ~*")&gt;0)+(COUNTIF(Y208:Y225,$B236)+COUNTIF(Y208:Y225,$B236&amp;" ~*")&gt;0))</f>
        <v/>
      </c>
      <c r="AC236" s="38">
        <f>IF($B236="","",(IFERROR(INDEX(Setup!$G$33:$G$40,MATCH(C236,Setup!$B$33:$B$40,0)),0)=1)*(COUNTIF(C208:E225,$B236)+COUNTIF(C208:E225,$B236&amp;" ~*")&gt;0)+(IFERROR(INDEX(Setup!$G$33:$G$40,MATCH(G236,Setup!$B$33:$B$40,0)),0)=1)*(COUNTIF(G208:I225,$B236)+COUNTIF(G208:I225,$B236&amp;" ~*")&gt;0)+(IFERROR(INDEX(Setup!$G$33:$G$40,MATCH(K236,Setup!$B$33:$B$40,0)),0)=1)*(COUNTIF(K208:M225,$B236)+COUNTIF(K208:M225,$B236&amp;" ~*")&gt;0)+(IFERROR(INDEX(Setup!$G$33:$G$40,MATCH(O236,Setup!$B$33:$B$40,0)),0)=1)*(COUNTIF(O208:Q225,$B236)+COUNTIF(O208:Q225,$B236&amp;" ~*")&gt;0)+(IFERROR(INDEX(Setup!$G$33:$G$40,MATCH(S236,Setup!$B$33:$B$40,0)),0)=1)*(COUNTIF(S208:U225,$B236)+COUNTIF(S208:U225,$B236&amp;" ~*")&gt;0)+(IFERROR(INDEX(Setup!$G$33:$G$40,MATCH(W236,Setup!$B$33:$B$40,0)),0)=1)*(COUNTIF(W208:W225,$B236)+COUNTIF(W208:W225,$B236&amp;" ~*")&gt;0)+(IFERROR(INDEX(Setup!$G$33:$G$40,MATCH(Y236,Setup!$B$33:$B$40,0)),0)=1)*(COUNTIF(Y208:Y225,$B236)+COUNTIF(Y208:Y225,$B236&amp;" ~*")&gt;0))</f>
        <v/>
      </c>
    </row>
    <row r="237" ht="15" customHeight="1">
      <c r="A237" t="n">
        <v>5</v>
      </c>
      <c r="B237" s="35">
        <f>IF(Setup!$B$16="","",Setup!$B$16)</f>
        <v/>
      </c>
      <c r="C237" s="98" t="n"/>
      <c r="D237" s="99" t="n"/>
      <c r="E237" s="99" t="n"/>
      <c r="F237" s="100" t="n"/>
      <c r="G237" s="98" t="n"/>
      <c r="H237" s="99" t="n"/>
      <c r="I237" s="99" t="n"/>
      <c r="J237" s="100" t="n"/>
      <c r="K237" s="98" t="n"/>
      <c r="L237" s="99" t="n"/>
      <c r="M237" s="99" t="n"/>
      <c r="N237" s="100" t="n"/>
      <c r="O237" s="98" t="n"/>
      <c r="P237" s="99" t="n"/>
      <c r="Q237" s="99" t="n"/>
      <c r="R237" s="100" t="n"/>
      <c r="S237" s="98" t="n"/>
      <c r="T237" s="99" t="n"/>
      <c r="U237" s="99" t="n"/>
      <c r="V237" s="100" t="n"/>
      <c r="W237" s="98" t="n"/>
      <c r="X237" s="100" t="n"/>
      <c r="Y237" s="98" t="n"/>
      <c r="Z237" s="100" t="n"/>
      <c r="AB237" s="101">
        <f>IF($B237="","",(COUNTIF(C208:E225,$B237)+COUNTIF(C208:E225,$B237&amp;" ~*")&gt;0)+(COUNTIF(G208:I225,$B237)+COUNTIF(G208:I225,$B237&amp;" ~*")&gt;0)+(COUNTIF(K208:M225,$B237)+COUNTIF(K208:M225,$B237&amp;" ~*")&gt;0)+(COUNTIF(O208:Q225,$B237)+COUNTIF(O208:Q225,$B237&amp;" ~*")&gt;0)+(COUNTIF(S208:U225,$B237)+COUNTIF(S208:U225,$B237&amp;" ~*")&gt;0)+(COUNTIF(W208:W225,$B237)+COUNTIF(W208:W225,$B237&amp;" ~*")&gt;0)+(COUNTIF(Y208:Y225,$B237)+COUNTIF(Y208:Y225,$B237&amp;" ~*")&gt;0))</f>
        <v/>
      </c>
      <c r="AC237" s="36">
        <f>IF($B237="","",(IFERROR(INDEX(Setup!$G$33:$G$40,MATCH(C237,Setup!$B$33:$B$40,0)),0)=1)*(COUNTIF(C208:E225,$B237)+COUNTIF(C208:E225,$B237&amp;" ~*")&gt;0)+(IFERROR(INDEX(Setup!$G$33:$G$40,MATCH(G237,Setup!$B$33:$B$40,0)),0)=1)*(COUNTIF(G208:I225,$B237)+COUNTIF(G208:I225,$B237&amp;" ~*")&gt;0)+(IFERROR(INDEX(Setup!$G$33:$G$40,MATCH(K237,Setup!$B$33:$B$40,0)),0)=1)*(COUNTIF(K208:M225,$B237)+COUNTIF(K208:M225,$B237&amp;" ~*")&gt;0)+(IFERROR(INDEX(Setup!$G$33:$G$40,MATCH(O237,Setup!$B$33:$B$40,0)),0)=1)*(COUNTIF(O208:Q225,$B237)+COUNTIF(O208:Q225,$B237&amp;" ~*")&gt;0)+(IFERROR(INDEX(Setup!$G$33:$G$40,MATCH(S237,Setup!$B$33:$B$40,0)),0)=1)*(COUNTIF(S208:U225,$B237)+COUNTIF(S208:U225,$B237&amp;" ~*")&gt;0)+(IFERROR(INDEX(Setup!$G$33:$G$40,MATCH(W237,Setup!$B$33:$B$40,0)),0)=1)*(COUNTIF(W208:W225,$B237)+COUNTIF(W208:W225,$B237&amp;" ~*")&gt;0)+(IFERROR(INDEX(Setup!$G$33:$G$40,MATCH(Y237,Setup!$B$33:$B$40,0)),0)=1)*(COUNTIF(Y208:Y225,$B237)+COUNTIF(Y208:Y225,$B237&amp;" ~*")&gt;0))</f>
        <v/>
      </c>
    </row>
    <row r="238" ht="15" customHeight="1">
      <c r="A238" t="n">
        <v>5</v>
      </c>
      <c r="B238" s="37">
        <f>IF(Setup!$B$17="","",Setup!$B$17)</f>
        <v/>
      </c>
      <c r="C238" s="102" t="n"/>
      <c r="D238" s="103" t="n"/>
      <c r="E238" s="103" t="n"/>
      <c r="F238" s="104" t="n"/>
      <c r="G238" s="102" t="n"/>
      <c r="H238" s="103" t="n"/>
      <c r="I238" s="103" t="n"/>
      <c r="J238" s="104" t="n"/>
      <c r="K238" s="102" t="n"/>
      <c r="L238" s="103" t="n"/>
      <c r="M238" s="103" t="n"/>
      <c r="N238" s="104" t="n"/>
      <c r="O238" s="102" t="n"/>
      <c r="P238" s="103" t="n"/>
      <c r="Q238" s="103" t="n"/>
      <c r="R238" s="104" t="n"/>
      <c r="S238" s="102" t="n"/>
      <c r="T238" s="103" t="n"/>
      <c r="U238" s="103" t="n"/>
      <c r="V238" s="104" t="n"/>
      <c r="W238" s="102" t="n"/>
      <c r="X238" s="104" t="n"/>
      <c r="Y238" s="102" t="n"/>
      <c r="Z238" s="104" t="n"/>
      <c r="AB238" s="105">
        <f>IF($B238="","",(COUNTIF(C208:E225,$B238)+COUNTIF(C208:E225,$B238&amp;" ~*")&gt;0)+(COUNTIF(G208:I225,$B238)+COUNTIF(G208:I225,$B238&amp;" ~*")&gt;0)+(COUNTIF(K208:M225,$B238)+COUNTIF(K208:M225,$B238&amp;" ~*")&gt;0)+(COUNTIF(O208:Q225,$B238)+COUNTIF(O208:Q225,$B238&amp;" ~*")&gt;0)+(COUNTIF(S208:U225,$B238)+COUNTIF(S208:U225,$B238&amp;" ~*")&gt;0)+(COUNTIF(W208:W225,$B238)+COUNTIF(W208:W225,$B238&amp;" ~*")&gt;0)+(COUNTIF(Y208:Y225,$B238)+COUNTIF(Y208:Y225,$B238&amp;" ~*")&gt;0))</f>
        <v/>
      </c>
      <c r="AC238" s="38">
        <f>IF($B238="","",(IFERROR(INDEX(Setup!$G$33:$G$40,MATCH(C238,Setup!$B$33:$B$40,0)),0)=1)*(COUNTIF(C208:E225,$B238)+COUNTIF(C208:E225,$B238&amp;" ~*")&gt;0)+(IFERROR(INDEX(Setup!$G$33:$G$40,MATCH(G238,Setup!$B$33:$B$40,0)),0)=1)*(COUNTIF(G208:I225,$B238)+COUNTIF(G208:I225,$B238&amp;" ~*")&gt;0)+(IFERROR(INDEX(Setup!$G$33:$G$40,MATCH(K238,Setup!$B$33:$B$40,0)),0)=1)*(COUNTIF(K208:M225,$B238)+COUNTIF(K208:M225,$B238&amp;" ~*")&gt;0)+(IFERROR(INDEX(Setup!$G$33:$G$40,MATCH(O238,Setup!$B$33:$B$40,0)),0)=1)*(COUNTIF(O208:Q225,$B238)+COUNTIF(O208:Q225,$B238&amp;" ~*")&gt;0)+(IFERROR(INDEX(Setup!$G$33:$G$40,MATCH(S238,Setup!$B$33:$B$40,0)),0)=1)*(COUNTIF(S208:U225,$B238)+COUNTIF(S208:U225,$B238&amp;" ~*")&gt;0)+(IFERROR(INDEX(Setup!$G$33:$G$40,MATCH(W238,Setup!$B$33:$B$40,0)),0)=1)*(COUNTIF(W208:W225,$B238)+COUNTIF(W208:W225,$B238&amp;" ~*")&gt;0)+(IFERROR(INDEX(Setup!$G$33:$G$40,MATCH(Y238,Setup!$B$33:$B$40,0)),0)=1)*(COUNTIF(Y208:Y225,$B238)+COUNTIF(Y208:Y225,$B238&amp;" ~*")&gt;0))</f>
        <v/>
      </c>
    </row>
    <row r="239" ht="15" customHeight="1">
      <c r="A239" t="n">
        <v>5</v>
      </c>
      <c r="B239" s="35">
        <f>IF(Setup!$B$18="","",Setup!$B$18)</f>
        <v/>
      </c>
      <c r="C239" s="98" t="n"/>
      <c r="D239" s="99" t="n"/>
      <c r="E239" s="99" t="n"/>
      <c r="F239" s="100" t="n"/>
      <c r="G239" s="98" t="n"/>
      <c r="H239" s="99" t="n"/>
      <c r="I239" s="99" t="n"/>
      <c r="J239" s="100" t="n"/>
      <c r="K239" s="98" t="n"/>
      <c r="L239" s="99" t="n"/>
      <c r="M239" s="99" t="n"/>
      <c r="N239" s="100" t="n"/>
      <c r="O239" s="98" t="n"/>
      <c r="P239" s="99" t="n"/>
      <c r="Q239" s="99" t="n"/>
      <c r="R239" s="100" t="n"/>
      <c r="S239" s="98" t="n"/>
      <c r="T239" s="99" t="n"/>
      <c r="U239" s="99" t="n"/>
      <c r="V239" s="100" t="n"/>
      <c r="W239" s="98" t="n"/>
      <c r="X239" s="100" t="n"/>
      <c r="Y239" s="98" t="n"/>
      <c r="Z239" s="100" t="n"/>
      <c r="AB239" s="101">
        <f>IF($B239="","",(COUNTIF(C208:E225,$B239)+COUNTIF(C208:E225,$B239&amp;" ~*")&gt;0)+(COUNTIF(G208:I225,$B239)+COUNTIF(G208:I225,$B239&amp;" ~*")&gt;0)+(COUNTIF(K208:M225,$B239)+COUNTIF(K208:M225,$B239&amp;" ~*")&gt;0)+(COUNTIF(O208:Q225,$B239)+COUNTIF(O208:Q225,$B239&amp;" ~*")&gt;0)+(COUNTIF(S208:U225,$B239)+COUNTIF(S208:U225,$B239&amp;" ~*")&gt;0)+(COUNTIF(W208:W225,$B239)+COUNTIF(W208:W225,$B239&amp;" ~*")&gt;0)+(COUNTIF(Y208:Y225,$B239)+COUNTIF(Y208:Y225,$B239&amp;" ~*")&gt;0))</f>
        <v/>
      </c>
      <c r="AC239" s="36">
        <f>IF($B239="","",(IFERROR(INDEX(Setup!$G$33:$G$40,MATCH(C239,Setup!$B$33:$B$40,0)),0)=1)*(COUNTIF(C208:E225,$B239)+COUNTIF(C208:E225,$B239&amp;" ~*")&gt;0)+(IFERROR(INDEX(Setup!$G$33:$G$40,MATCH(G239,Setup!$B$33:$B$40,0)),0)=1)*(COUNTIF(G208:I225,$B239)+COUNTIF(G208:I225,$B239&amp;" ~*")&gt;0)+(IFERROR(INDEX(Setup!$G$33:$G$40,MATCH(K239,Setup!$B$33:$B$40,0)),0)=1)*(COUNTIF(K208:M225,$B239)+COUNTIF(K208:M225,$B239&amp;" ~*")&gt;0)+(IFERROR(INDEX(Setup!$G$33:$G$40,MATCH(O239,Setup!$B$33:$B$40,0)),0)=1)*(COUNTIF(O208:Q225,$B239)+COUNTIF(O208:Q225,$B239&amp;" ~*")&gt;0)+(IFERROR(INDEX(Setup!$G$33:$G$40,MATCH(S239,Setup!$B$33:$B$40,0)),0)=1)*(COUNTIF(S208:U225,$B239)+COUNTIF(S208:U225,$B239&amp;" ~*")&gt;0)+(IFERROR(INDEX(Setup!$G$33:$G$40,MATCH(W239,Setup!$B$33:$B$40,0)),0)=1)*(COUNTIF(W208:W225,$B239)+COUNTIF(W208:W225,$B239&amp;" ~*")&gt;0)+(IFERROR(INDEX(Setup!$G$33:$G$40,MATCH(Y239,Setup!$B$33:$B$40,0)),0)=1)*(COUNTIF(Y208:Y225,$B239)+COUNTIF(Y208:Y225,$B239&amp;" ~*")&gt;0))</f>
        <v/>
      </c>
    </row>
    <row r="240" ht="15" customHeight="1">
      <c r="A240" t="n">
        <v>5</v>
      </c>
      <c r="B240" s="37">
        <f>IF(Setup!$B$19="","",Setup!$B$19)</f>
        <v/>
      </c>
      <c r="C240" s="102" t="n"/>
      <c r="D240" s="103" t="n"/>
      <c r="E240" s="103" t="n"/>
      <c r="F240" s="104" t="n"/>
      <c r="G240" s="102" t="n"/>
      <c r="H240" s="103" t="n"/>
      <c r="I240" s="103" t="n"/>
      <c r="J240" s="104" t="n"/>
      <c r="K240" s="102" t="n"/>
      <c r="L240" s="103" t="n"/>
      <c r="M240" s="103" t="n"/>
      <c r="N240" s="104" t="n"/>
      <c r="O240" s="102" t="n"/>
      <c r="P240" s="103" t="n"/>
      <c r="Q240" s="103" t="n"/>
      <c r="R240" s="104" t="n"/>
      <c r="S240" s="102" t="n"/>
      <c r="T240" s="103" t="n"/>
      <c r="U240" s="103" t="n"/>
      <c r="V240" s="104" t="n"/>
      <c r="W240" s="102" t="n"/>
      <c r="X240" s="104" t="n"/>
      <c r="Y240" s="102" t="n"/>
      <c r="Z240" s="104" t="n"/>
      <c r="AB240" s="105">
        <f>IF($B240="","",(COUNTIF(C208:E225,$B240)+COUNTIF(C208:E225,$B240&amp;" ~*")&gt;0)+(COUNTIF(G208:I225,$B240)+COUNTIF(G208:I225,$B240&amp;" ~*")&gt;0)+(COUNTIF(K208:M225,$B240)+COUNTIF(K208:M225,$B240&amp;" ~*")&gt;0)+(COUNTIF(O208:Q225,$B240)+COUNTIF(O208:Q225,$B240&amp;" ~*")&gt;0)+(COUNTIF(S208:U225,$B240)+COUNTIF(S208:U225,$B240&amp;" ~*")&gt;0)+(COUNTIF(W208:W225,$B240)+COUNTIF(W208:W225,$B240&amp;" ~*")&gt;0)+(COUNTIF(Y208:Y225,$B240)+COUNTIF(Y208:Y225,$B240&amp;" ~*")&gt;0))</f>
        <v/>
      </c>
      <c r="AC240" s="38">
        <f>IF($B240="","",(IFERROR(INDEX(Setup!$G$33:$G$40,MATCH(C240,Setup!$B$33:$B$40,0)),0)=1)*(COUNTIF(C208:E225,$B240)+COUNTIF(C208:E225,$B240&amp;" ~*")&gt;0)+(IFERROR(INDEX(Setup!$G$33:$G$40,MATCH(G240,Setup!$B$33:$B$40,0)),0)=1)*(COUNTIF(G208:I225,$B240)+COUNTIF(G208:I225,$B240&amp;" ~*")&gt;0)+(IFERROR(INDEX(Setup!$G$33:$G$40,MATCH(K240,Setup!$B$33:$B$40,0)),0)=1)*(COUNTIF(K208:M225,$B240)+COUNTIF(K208:M225,$B240&amp;" ~*")&gt;0)+(IFERROR(INDEX(Setup!$G$33:$G$40,MATCH(O240,Setup!$B$33:$B$40,0)),0)=1)*(COUNTIF(O208:Q225,$B240)+COUNTIF(O208:Q225,$B240&amp;" ~*")&gt;0)+(IFERROR(INDEX(Setup!$G$33:$G$40,MATCH(S240,Setup!$B$33:$B$40,0)),0)=1)*(COUNTIF(S208:U225,$B240)+COUNTIF(S208:U225,$B240&amp;" ~*")&gt;0)+(IFERROR(INDEX(Setup!$G$33:$G$40,MATCH(W240,Setup!$B$33:$B$40,0)),0)=1)*(COUNTIF(W208:W225,$B240)+COUNTIF(W208:W225,$B240&amp;" ~*")&gt;0)+(IFERROR(INDEX(Setup!$G$33:$G$40,MATCH(Y240,Setup!$B$33:$B$40,0)),0)=1)*(COUNTIF(Y208:Y225,$B240)+COUNTIF(Y208:Y225,$B240&amp;" ~*")&gt;0))</f>
        <v/>
      </c>
    </row>
    <row r="241" ht="15" customHeight="1">
      <c r="A241" t="n">
        <v>5</v>
      </c>
      <c r="B241" s="35">
        <f>IF(Setup!$B$20="","",Setup!$B$20)</f>
        <v/>
      </c>
      <c r="C241" s="98" t="n"/>
      <c r="D241" s="99" t="n"/>
      <c r="E241" s="99" t="n"/>
      <c r="F241" s="100" t="n"/>
      <c r="G241" s="98" t="n"/>
      <c r="H241" s="99" t="n"/>
      <c r="I241" s="99" t="n"/>
      <c r="J241" s="100" t="n"/>
      <c r="K241" s="98" t="n"/>
      <c r="L241" s="99" t="n"/>
      <c r="M241" s="99" t="n"/>
      <c r="N241" s="100" t="n"/>
      <c r="O241" s="98" t="n"/>
      <c r="P241" s="99" t="n"/>
      <c r="Q241" s="99" t="n"/>
      <c r="R241" s="100" t="n"/>
      <c r="S241" s="98" t="n"/>
      <c r="T241" s="99" t="n"/>
      <c r="U241" s="99" t="n"/>
      <c r="V241" s="100" t="n"/>
      <c r="W241" s="98" t="n"/>
      <c r="X241" s="100" t="n"/>
      <c r="Y241" s="98" t="n"/>
      <c r="Z241" s="100" t="n"/>
      <c r="AB241" s="101">
        <f>IF($B241="","",(COUNTIF(C208:E225,$B241)+COUNTIF(C208:E225,$B241&amp;" ~*")&gt;0)+(COUNTIF(G208:I225,$B241)+COUNTIF(G208:I225,$B241&amp;" ~*")&gt;0)+(COUNTIF(K208:M225,$B241)+COUNTIF(K208:M225,$B241&amp;" ~*")&gt;0)+(COUNTIF(O208:Q225,$B241)+COUNTIF(O208:Q225,$B241&amp;" ~*")&gt;0)+(COUNTIF(S208:U225,$B241)+COUNTIF(S208:U225,$B241&amp;" ~*")&gt;0)+(COUNTIF(W208:W225,$B241)+COUNTIF(W208:W225,$B241&amp;" ~*")&gt;0)+(COUNTIF(Y208:Y225,$B241)+COUNTIF(Y208:Y225,$B241&amp;" ~*")&gt;0))</f>
        <v/>
      </c>
      <c r="AC241" s="36">
        <f>IF($B241="","",(IFERROR(INDEX(Setup!$G$33:$G$40,MATCH(C241,Setup!$B$33:$B$40,0)),0)=1)*(COUNTIF(C208:E225,$B241)+COUNTIF(C208:E225,$B241&amp;" ~*")&gt;0)+(IFERROR(INDEX(Setup!$G$33:$G$40,MATCH(G241,Setup!$B$33:$B$40,0)),0)=1)*(COUNTIF(G208:I225,$B241)+COUNTIF(G208:I225,$B241&amp;" ~*")&gt;0)+(IFERROR(INDEX(Setup!$G$33:$G$40,MATCH(K241,Setup!$B$33:$B$40,0)),0)=1)*(COUNTIF(K208:M225,$B241)+COUNTIF(K208:M225,$B241&amp;" ~*")&gt;0)+(IFERROR(INDEX(Setup!$G$33:$G$40,MATCH(O241,Setup!$B$33:$B$40,0)),0)=1)*(COUNTIF(O208:Q225,$B241)+COUNTIF(O208:Q225,$B241&amp;" ~*")&gt;0)+(IFERROR(INDEX(Setup!$G$33:$G$40,MATCH(S241,Setup!$B$33:$B$40,0)),0)=1)*(COUNTIF(S208:U225,$B241)+COUNTIF(S208:U225,$B241&amp;" ~*")&gt;0)+(IFERROR(INDEX(Setup!$G$33:$G$40,MATCH(W241,Setup!$B$33:$B$40,0)),0)=1)*(COUNTIF(W208:W225,$B241)+COUNTIF(W208:W225,$B241&amp;" ~*")&gt;0)+(IFERROR(INDEX(Setup!$G$33:$G$40,MATCH(Y241,Setup!$B$33:$B$40,0)),0)=1)*(COUNTIF(Y208:Y225,$B241)+COUNTIF(Y208:Y225,$B241&amp;" ~*")&gt;0))</f>
        <v/>
      </c>
    </row>
    <row r="242" ht="15" customHeight="1">
      <c r="A242" t="n">
        <v>5</v>
      </c>
      <c r="B242" s="37">
        <f>IF(Setup!$B$21="","",Setup!$B$21)</f>
        <v/>
      </c>
      <c r="C242" s="102" t="n"/>
      <c r="D242" s="103" t="n"/>
      <c r="E242" s="103" t="n"/>
      <c r="F242" s="104" t="n"/>
      <c r="G242" s="102" t="n"/>
      <c r="H242" s="103" t="n"/>
      <c r="I242" s="103" t="n"/>
      <c r="J242" s="104" t="n"/>
      <c r="K242" s="102" t="n"/>
      <c r="L242" s="103" t="n"/>
      <c r="M242" s="103" t="n"/>
      <c r="N242" s="104" t="n"/>
      <c r="O242" s="102" t="n"/>
      <c r="P242" s="103" t="n"/>
      <c r="Q242" s="103" t="n"/>
      <c r="R242" s="104" t="n"/>
      <c r="S242" s="102" t="n"/>
      <c r="T242" s="103" t="n"/>
      <c r="U242" s="103" t="n"/>
      <c r="V242" s="104" t="n"/>
      <c r="W242" s="102" t="n"/>
      <c r="X242" s="104" t="n"/>
      <c r="Y242" s="102" t="n"/>
      <c r="Z242" s="104" t="n"/>
      <c r="AB242" s="105">
        <f>IF($B242="","",(COUNTIF(C208:E225,$B242)+COUNTIF(C208:E225,$B242&amp;" ~*")&gt;0)+(COUNTIF(G208:I225,$B242)+COUNTIF(G208:I225,$B242&amp;" ~*")&gt;0)+(COUNTIF(K208:M225,$B242)+COUNTIF(K208:M225,$B242&amp;" ~*")&gt;0)+(COUNTIF(O208:Q225,$B242)+COUNTIF(O208:Q225,$B242&amp;" ~*")&gt;0)+(COUNTIF(S208:U225,$B242)+COUNTIF(S208:U225,$B242&amp;" ~*")&gt;0)+(COUNTIF(W208:W225,$B242)+COUNTIF(W208:W225,$B242&amp;" ~*")&gt;0)+(COUNTIF(Y208:Y225,$B242)+COUNTIF(Y208:Y225,$B242&amp;" ~*")&gt;0))</f>
        <v/>
      </c>
      <c r="AC242" s="38">
        <f>IF($B242="","",(IFERROR(INDEX(Setup!$G$33:$G$40,MATCH(C242,Setup!$B$33:$B$40,0)),0)=1)*(COUNTIF(C208:E225,$B242)+COUNTIF(C208:E225,$B242&amp;" ~*")&gt;0)+(IFERROR(INDEX(Setup!$G$33:$G$40,MATCH(G242,Setup!$B$33:$B$40,0)),0)=1)*(COUNTIF(G208:I225,$B242)+COUNTIF(G208:I225,$B242&amp;" ~*")&gt;0)+(IFERROR(INDEX(Setup!$G$33:$G$40,MATCH(K242,Setup!$B$33:$B$40,0)),0)=1)*(COUNTIF(K208:M225,$B242)+COUNTIF(K208:M225,$B242&amp;" ~*")&gt;0)+(IFERROR(INDEX(Setup!$G$33:$G$40,MATCH(O242,Setup!$B$33:$B$40,0)),0)=1)*(COUNTIF(O208:Q225,$B242)+COUNTIF(O208:Q225,$B242&amp;" ~*")&gt;0)+(IFERROR(INDEX(Setup!$G$33:$G$40,MATCH(S242,Setup!$B$33:$B$40,0)),0)=1)*(COUNTIF(S208:U225,$B242)+COUNTIF(S208:U225,$B242&amp;" ~*")&gt;0)+(IFERROR(INDEX(Setup!$G$33:$G$40,MATCH(W242,Setup!$B$33:$B$40,0)),0)=1)*(COUNTIF(W208:W225,$B242)+COUNTIF(W208:W225,$B242&amp;" ~*")&gt;0)+(IFERROR(INDEX(Setup!$G$33:$G$40,MATCH(Y242,Setup!$B$33:$B$40,0)),0)=1)*(COUNTIF(Y208:Y225,$B242)+COUNTIF(Y208:Y225,$B242&amp;" ~*")&gt;0))</f>
        <v/>
      </c>
    </row>
    <row r="243" ht="15" customHeight="1">
      <c r="A243" t="n">
        <v>5</v>
      </c>
      <c r="B243" s="35">
        <f>IF(Setup!$B$22="","",Setup!$B$22)</f>
        <v/>
      </c>
      <c r="C243" s="98" t="n"/>
      <c r="D243" s="99" t="n"/>
      <c r="E243" s="99" t="n"/>
      <c r="F243" s="100" t="n"/>
      <c r="G243" s="98" t="n"/>
      <c r="H243" s="99" t="n"/>
      <c r="I243" s="99" t="n"/>
      <c r="J243" s="100" t="n"/>
      <c r="K243" s="98" t="n"/>
      <c r="L243" s="99" t="n"/>
      <c r="M243" s="99" t="n"/>
      <c r="N243" s="100" t="n"/>
      <c r="O243" s="98" t="n"/>
      <c r="P243" s="99" t="n"/>
      <c r="Q243" s="99" t="n"/>
      <c r="R243" s="100" t="n"/>
      <c r="S243" s="98" t="n"/>
      <c r="T243" s="99" t="n"/>
      <c r="U243" s="99" t="n"/>
      <c r="V243" s="100" t="n"/>
      <c r="W243" s="98" t="n"/>
      <c r="X243" s="100" t="n"/>
      <c r="Y243" s="98" t="n"/>
      <c r="Z243" s="100" t="n"/>
      <c r="AB243" s="101">
        <f>IF($B243="","",(COUNTIF(C208:E225,$B243)+COUNTIF(C208:E225,$B243&amp;" ~*")&gt;0)+(COUNTIF(G208:I225,$B243)+COUNTIF(G208:I225,$B243&amp;" ~*")&gt;0)+(COUNTIF(K208:M225,$B243)+COUNTIF(K208:M225,$B243&amp;" ~*")&gt;0)+(COUNTIF(O208:Q225,$B243)+COUNTIF(O208:Q225,$B243&amp;" ~*")&gt;0)+(COUNTIF(S208:U225,$B243)+COUNTIF(S208:U225,$B243&amp;" ~*")&gt;0)+(COUNTIF(W208:W225,$B243)+COUNTIF(W208:W225,$B243&amp;" ~*")&gt;0)+(COUNTIF(Y208:Y225,$B243)+COUNTIF(Y208:Y225,$B243&amp;" ~*")&gt;0))</f>
        <v/>
      </c>
      <c r="AC243" s="36">
        <f>IF($B243="","",(IFERROR(INDEX(Setup!$G$33:$G$40,MATCH(C243,Setup!$B$33:$B$40,0)),0)=1)*(COUNTIF(C208:E225,$B243)+COUNTIF(C208:E225,$B243&amp;" ~*")&gt;0)+(IFERROR(INDEX(Setup!$G$33:$G$40,MATCH(G243,Setup!$B$33:$B$40,0)),0)=1)*(COUNTIF(G208:I225,$B243)+COUNTIF(G208:I225,$B243&amp;" ~*")&gt;0)+(IFERROR(INDEX(Setup!$G$33:$G$40,MATCH(K243,Setup!$B$33:$B$40,0)),0)=1)*(COUNTIF(K208:M225,$B243)+COUNTIF(K208:M225,$B243&amp;" ~*")&gt;0)+(IFERROR(INDEX(Setup!$G$33:$G$40,MATCH(O243,Setup!$B$33:$B$40,0)),0)=1)*(COUNTIF(O208:Q225,$B243)+COUNTIF(O208:Q225,$B243&amp;" ~*")&gt;0)+(IFERROR(INDEX(Setup!$G$33:$G$40,MATCH(S243,Setup!$B$33:$B$40,0)),0)=1)*(COUNTIF(S208:U225,$B243)+COUNTIF(S208:U225,$B243&amp;" ~*")&gt;0)+(IFERROR(INDEX(Setup!$G$33:$G$40,MATCH(W243,Setup!$B$33:$B$40,0)),0)=1)*(COUNTIF(W208:W225,$B243)+COUNTIF(W208:W225,$B243&amp;" ~*")&gt;0)+(IFERROR(INDEX(Setup!$G$33:$G$40,MATCH(Y243,Setup!$B$33:$B$40,0)),0)=1)*(COUNTIF(Y208:Y225,$B243)+COUNTIF(Y208:Y225,$B243&amp;" ~*")&gt;0))</f>
        <v/>
      </c>
    </row>
    <row r="244" ht="15" customHeight="1">
      <c r="A244" t="n">
        <v>5</v>
      </c>
      <c r="B244" s="37">
        <f>IF(Setup!$B$23="","",Setup!$B$23)</f>
        <v/>
      </c>
      <c r="C244" s="102" t="n"/>
      <c r="D244" s="103" t="n"/>
      <c r="E244" s="103" t="n"/>
      <c r="F244" s="104" t="n"/>
      <c r="G244" s="102" t="n"/>
      <c r="H244" s="103" t="n"/>
      <c r="I244" s="103" t="n"/>
      <c r="J244" s="104" t="n"/>
      <c r="K244" s="102" t="n"/>
      <c r="L244" s="103" t="n"/>
      <c r="M244" s="103" t="n"/>
      <c r="N244" s="104" t="n"/>
      <c r="O244" s="102" t="n"/>
      <c r="P244" s="103" t="n"/>
      <c r="Q244" s="103" t="n"/>
      <c r="R244" s="104" t="n"/>
      <c r="S244" s="102" t="n"/>
      <c r="T244" s="103" t="n"/>
      <c r="U244" s="103" t="n"/>
      <c r="V244" s="104" t="n"/>
      <c r="W244" s="102" t="n"/>
      <c r="X244" s="104" t="n"/>
      <c r="Y244" s="102" t="n"/>
      <c r="Z244" s="104" t="n"/>
      <c r="AB244" s="105">
        <f>IF($B244="","",(COUNTIF(C208:E225,$B244)+COUNTIF(C208:E225,$B244&amp;" ~*")&gt;0)+(COUNTIF(G208:I225,$B244)+COUNTIF(G208:I225,$B244&amp;" ~*")&gt;0)+(COUNTIF(K208:M225,$B244)+COUNTIF(K208:M225,$B244&amp;" ~*")&gt;0)+(COUNTIF(O208:Q225,$B244)+COUNTIF(O208:Q225,$B244&amp;" ~*")&gt;0)+(COUNTIF(S208:U225,$B244)+COUNTIF(S208:U225,$B244&amp;" ~*")&gt;0)+(COUNTIF(W208:W225,$B244)+COUNTIF(W208:W225,$B244&amp;" ~*")&gt;0)+(COUNTIF(Y208:Y225,$B244)+COUNTIF(Y208:Y225,$B244&amp;" ~*")&gt;0))</f>
        <v/>
      </c>
      <c r="AC244" s="38">
        <f>IF($B244="","",(IFERROR(INDEX(Setup!$G$33:$G$40,MATCH(C244,Setup!$B$33:$B$40,0)),0)=1)*(COUNTIF(C208:E225,$B244)+COUNTIF(C208:E225,$B244&amp;" ~*")&gt;0)+(IFERROR(INDEX(Setup!$G$33:$G$40,MATCH(G244,Setup!$B$33:$B$40,0)),0)=1)*(COUNTIF(G208:I225,$B244)+COUNTIF(G208:I225,$B244&amp;" ~*")&gt;0)+(IFERROR(INDEX(Setup!$G$33:$G$40,MATCH(K244,Setup!$B$33:$B$40,0)),0)=1)*(COUNTIF(K208:M225,$B244)+COUNTIF(K208:M225,$B244&amp;" ~*")&gt;0)+(IFERROR(INDEX(Setup!$G$33:$G$40,MATCH(O244,Setup!$B$33:$B$40,0)),0)=1)*(COUNTIF(O208:Q225,$B244)+COUNTIF(O208:Q225,$B244&amp;" ~*")&gt;0)+(IFERROR(INDEX(Setup!$G$33:$G$40,MATCH(S244,Setup!$B$33:$B$40,0)),0)=1)*(COUNTIF(S208:U225,$B244)+COUNTIF(S208:U225,$B244&amp;" ~*")&gt;0)+(IFERROR(INDEX(Setup!$G$33:$G$40,MATCH(W244,Setup!$B$33:$B$40,0)),0)=1)*(COUNTIF(W208:W225,$B244)+COUNTIF(W208:W225,$B244&amp;" ~*")&gt;0)+(IFERROR(INDEX(Setup!$G$33:$G$40,MATCH(Y244,Setup!$B$33:$B$40,0)),0)=1)*(COUNTIF(Y208:Y225,$B244)+COUNTIF(Y208:Y225,$B244&amp;" ~*")&gt;0))</f>
        <v/>
      </c>
    </row>
    <row r="245" ht="15" customHeight="1">
      <c r="A245" t="n">
        <v>5</v>
      </c>
      <c r="B245" s="35">
        <f>IF(Setup!$B$24="","",Setup!$B$24)</f>
        <v/>
      </c>
      <c r="C245" s="98" t="n"/>
      <c r="D245" s="99" t="n"/>
      <c r="E245" s="99" t="n"/>
      <c r="F245" s="100" t="n"/>
      <c r="G245" s="98" t="n"/>
      <c r="H245" s="99" t="n"/>
      <c r="I245" s="99" t="n"/>
      <c r="J245" s="100" t="n"/>
      <c r="K245" s="98" t="n"/>
      <c r="L245" s="99" t="n"/>
      <c r="M245" s="99" t="n"/>
      <c r="N245" s="100" t="n"/>
      <c r="O245" s="98" t="n"/>
      <c r="P245" s="99" t="n"/>
      <c r="Q245" s="99" t="n"/>
      <c r="R245" s="100" t="n"/>
      <c r="S245" s="98" t="n"/>
      <c r="T245" s="99" t="n"/>
      <c r="U245" s="99" t="n"/>
      <c r="V245" s="100" t="n"/>
      <c r="W245" s="98" t="n"/>
      <c r="X245" s="100" t="n"/>
      <c r="Y245" s="98" t="n"/>
      <c r="Z245" s="100" t="n"/>
      <c r="AB245" s="101">
        <f>IF($B245="","",(COUNTIF(C208:E225,$B245)+COUNTIF(C208:E225,$B245&amp;" ~*")&gt;0)+(COUNTIF(G208:I225,$B245)+COUNTIF(G208:I225,$B245&amp;" ~*")&gt;0)+(COUNTIF(K208:M225,$B245)+COUNTIF(K208:M225,$B245&amp;" ~*")&gt;0)+(COUNTIF(O208:Q225,$B245)+COUNTIF(O208:Q225,$B245&amp;" ~*")&gt;0)+(COUNTIF(S208:U225,$B245)+COUNTIF(S208:U225,$B245&amp;" ~*")&gt;0)+(COUNTIF(W208:W225,$B245)+COUNTIF(W208:W225,$B245&amp;" ~*")&gt;0)+(COUNTIF(Y208:Y225,$B245)+COUNTIF(Y208:Y225,$B245&amp;" ~*")&gt;0))</f>
        <v/>
      </c>
      <c r="AC245" s="36">
        <f>IF($B245="","",(IFERROR(INDEX(Setup!$G$33:$G$40,MATCH(C245,Setup!$B$33:$B$40,0)),0)=1)*(COUNTIF(C208:E225,$B245)+COUNTIF(C208:E225,$B245&amp;" ~*")&gt;0)+(IFERROR(INDEX(Setup!$G$33:$G$40,MATCH(G245,Setup!$B$33:$B$40,0)),0)=1)*(COUNTIF(G208:I225,$B245)+COUNTIF(G208:I225,$B245&amp;" ~*")&gt;0)+(IFERROR(INDEX(Setup!$G$33:$G$40,MATCH(K245,Setup!$B$33:$B$40,0)),0)=1)*(COUNTIF(K208:M225,$B245)+COUNTIF(K208:M225,$B245&amp;" ~*")&gt;0)+(IFERROR(INDEX(Setup!$G$33:$G$40,MATCH(O245,Setup!$B$33:$B$40,0)),0)=1)*(COUNTIF(O208:Q225,$B245)+COUNTIF(O208:Q225,$B245&amp;" ~*")&gt;0)+(IFERROR(INDEX(Setup!$G$33:$G$40,MATCH(S245,Setup!$B$33:$B$40,0)),0)=1)*(COUNTIF(S208:U225,$B245)+COUNTIF(S208:U225,$B245&amp;" ~*")&gt;0)+(IFERROR(INDEX(Setup!$G$33:$G$40,MATCH(W245,Setup!$B$33:$B$40,0)),0)=1)*(COUNTIF(W208:W225,$B245)+COUNTIF(W208:W225,$B245&amp;" ~*")&gt;0)+(IFERROR(INDEX(Setup!$G$33:$G$40,MATCH(Y245,Setup!$B$33:$B$40,0)),0)=1)*(COUNTIF(Y208:Y225,$B245)+COUNTIF(Y208:Y225,$B245&amp;" ~*")&gt;0))</f>
        <v/>
      </c>
    </row>
    <row r="246" ht="15" customHeight="1">
      <c r="A246" t="n">
        <v>5</v>
      </c>
      <c r="B246" s="37">
        <f>IF(Setup!$B$25="","",Setup!$B$25)</f>
        <v/>
      </c>
      <c r="C246" s="102" t="n"/>
      <c r="D246" s="103" t="n"/>
      <c r="E246" s="103" t="n"/>
      <c r="F246" s="104" t="n"/>
      <c r="G246" s="102" t="n"/>
      <c r="H246" s="103" t="n"/>
      <c r="I246" s="103" t="n"/>
      <c r="J246" s="104" t="n"/>
      <c r="K246" s="102" t="n"/>
      <c r="L246" s="103" t="n"/>
      <c r="M246" s="103" t="n"/>
      <c r="N246" s="104" t="n"/>
      <c r="O246" s="102" t="n"/>
      <c r="P246" s="103" t="n"/>
      <c r="Q246" s="103" t="n"/>
      <c r="R246" s="104" t="n"/>
      <c r="S246" s="102" t="n"/>
      <c r="T246" s="103" t="n"/>
      <c r="U246" s="103" t="n"/>
      <c r="V246" s="104" t="n"/>
      <c r="W246" s="102" t="n"/>
      <c r="X246" s="104" t="n"/>
      <c r="Y246" s="102" t="n"/>
      <c r="Z246" s="104" t="n"/>
      <c r="AB246" s="105">
        <f>IF($B246="","",(COUNTIF(C208:E225,$B246)+COUNTIF(C208:E225,$B246&amp;" ~*")&gt;0)+(COUNTIF(G208:I225,$B246)+COUNTIF(G208:I225,$B246&amp;" ~*")&gt;0)+(COUNTIF(K208:M225,$B246)+COUNTIF(K208:M225,$B246&amp;" ~*")&gt;0)+(COUNTIF(O208:Q225,$B246)+COUNTIF(O208:Q225,$B246&amp;" ~*")&gt;0)+(COUNTIF(S208:U225,$B246)+COUNTIF(S208:U225,$B246&amp;" ~*")&gt;0)+(COUNTIF(W208:W225,$B246)+COUNTIF(W208:W225,$B246&amp;" ~*")&gt;0)+(COUNTIF(Y208:Y225,$B246)+COUNTIF(Y208:Y225,$B246&amp;" ~*")&gt;0))</f>
        <v/>
      </c>
      <c r="AC246" s="38">
        <f>IF($B246="","",(IFERROR(INDEX(Setup!$G$33:$G$40,MATCH(C246,Setup!$B$33:$B$40,0)),0)=1)*(COUNTIF(C208:E225,$B246)+COUNTIF(C208:E225,$B246&amp;" ~*")&gt;0)+(IFERROR(INDEX(Setup!$G$33:$G$40,MATCH(G246,Setup!$B$33:$B$40,0)),0)=1)*(COUNTIF(G208:I225,$B246)+COUNTIF(G208:I225,$B246&amp;" ~*")&gt;0)+(IFERROR(INDEX(Setup!$G$33:$G$40,MATCH(K246,Setup!$B$33:$B$40,0)),0)=1)*(COUNTIF(K208:M225,$B246)+COUNTIF(K208:M225,$B246&amp;" ~*")&gt;0)+(IFERROR(INDEX(Setup!$G$33:$G$40,MATCH(O246,Setup!$B$33:$B$40,0)),0)=1)*(COUNTIF(O208:Q225,$B246)+COUNTIF(O208:Q225,$B246&amp;" ~*")&gt;0)+(IFERROR(INDEX(Setup!$G$33:$G$40,MATCH(S246,Setup!$B$33:$B$40,0)),0)=1)*(COUNTIF(S208:U225,$B246)+COUNTIF(S208:U225,$B246&amp;" ~*")&gt;0)+(IFERROR(INDEX(Setup!$G$33:$G$40,MATCH(W246,Setup!$B$33:$B$40,0)),0)=1)*(COUNTIF(W208:W225,$B246)+COUNTIF(W208:W225,$B246&amp;" ~*")&gt;0)+(IFERROR(INDEX(Setup!$G$33:$G$40,MATCH(Y246,Setup!$B$33:$B$40,0)),0)=1)*(COUNTIF(Y208:Y225,$B246)+COUNTIF(Y208:Y225,$B246&amp;" ~*")&gt;0))</f>
        <v/>
      </c>
    </row>
    <row r="247" ht="15" customHeight="1">
      <c r="A247" t="n">
        <v>5</v>
      </c>
      <c r="B247" s="35">
        <f>IF(Setup!$B$26="","",Setup!$B$26)</f>
        <v/>
      </c>
      <c r="C247" s="98" t="n"/>
      <c r="D247" s="99" t="n"/>
      <c r="E247" s="99" t="n"/>
      <c r="F247" s="100" t="n"/>
      <c r="G247" s="98" t="n"/>
      <c r="H247" s="99" t="n"/>
      <c r="I247" s="99" t="n"/>
      <c r="J247" s="100" t="n"/>
      <c r="K247" s="98" t="n"/>
      <c r="L247" s="99" t="n"/>
      <c r="M247" s="99" t="n"/>
      <c r="N247" s="100" t="n"/>
      <c r="O247" s="98" t="n"/>
      <c r="P247" s="99" t="n"/>
      <c r="Q247" s="99" t="n"/>
      <c r="R247" s="100" t="n"/>
      <c r="S247" s="98" t="n"/>
      <c r="T247" s="99" t="n"/>
      <c r="U247" s="99" t="n"/>
      <c r="V247" s="100" t="n"/>
      <c r="W247" s="98" t="n"/>
      <c r="X247" s="100" t="n"/>
      <c r="Y247" s="98" t="n"/>
      <c r="Z247" s="100" t="n"/>
      <c r="AB247" s="101">
        <f>IF($B247="","",(COUNTIF(C208:E225,$B247)+COUNTIF(C208:E225,$B247&amp;" ~*")&gt;0)+(COUNTIF(G208:I225,$B247)+COUNTIF(G208:I225,$B247&amp;" ~*")&gt;0)+(COUNTIF(K208:M225,$B247)+COUNTIF(K208:M225,$B247&amp;" ~*")&gt;0)+(COUNTIF(O208:Q225,$B247)+COUNTIF(O208:Q225,$B247&amp;" ~*")&gt;0)+(COUNTIF(S208:U225,$B247)+COUNTIF(S208:U225,$B247&amp;" ~*")&gt;0)+(COUNTIF(W208:W225,$B247)+COUNTIF(W208:W225,$B247&amp;" ~*")&gt;0)+(COUNTIF(Y208:Y225,$B247)+COUNTIF(Y208:Y225,$B247&amp;" ~*")&gt;0))</f>
        <v/>
      </c>
      <c r="AC247" s="36">
        <f>IF($B247="","",(IFERROR(INDEX(Setup!$G$33:$G$40,MATCH(C247,Setup!$B$33:$B$40,0)),0)=1)*(COUNTIF(C208:E225,$B247)+COUNTIF(C208:E225,$B247&amp;" ~*")&gt;0)+(IFERROR(INDEX(Setup!$G$33:$G$40,MATCH(G247,Setup!$B$33:$B$40,0)),0)=1)*(COUNTIF(G208:I225,$B247)+COUNTIF(G208:I225,$B247&amp;" ~*")&gt;0)+(IFERROR(INDEX(Setup!$G$33:$G$40,MATCH(K247,Setup!$B$33:$B$40,0)),0)=1)*(COUNTIF(K208:M225,$B247)+COUNTIF(K208:M225,$B247&amp;" ~*")&gt;0)+(IFERROR(INDEX(Setup!$G$33:$G$40,MATCH(O247,Setup!$B$33:$B$40,0)),0)=1)*(COUNTIF(O208:Q225,$B247)+COUNTIF(O208:Q225,$B247&amp;" ~*")&gt;0)+(IFERROR(INDEX(Setup!$G$33:$G$40,MATCH(S247,Setup!$B$33:$B$40,0)),0)=1)*(COUNTIF(S208:U225,$B247)+COUNTIF(S208:U225,$B247&amp;" ~*")&gt;0)+(IFERROR(INDEX(Setup!$G$33:$G$40,MATCH(W247,Setup!$B$33:$B$40,0)),0)=1)*(COUNTIF(W208:W225,$B247)+COUNTIF(W208:W225,$B247&amp;" ~*")&gt;0)+(IFERROR(INDEX(Setup!$G$33:$G$40,MATCH(Y247,Setup!$B$33:$B$40,0)),0)=1)*(COUNTIF(Y208:Y225,$B247)+COUNTIF(Y208:Y225,$B247&amp;" ~*")&gt;0))</f>
        <v/>
      </c>
    </row>
    <row r="248" ht="15" customHeight="1">
      <c r="A248" t="n">
        <v>5</v>
      </c>
      <c r="B248" s="37">
        <f>IF(Setup!$B$27="","",Setup!$B$27)</f>
        <v/>
      </c>
      <c r="C248" s="102" t="n"/>
      <c r="D248" s="103" t="n"/>
      <c r="E248" s="103" t="n"/>
      <c r="F248" s="104" t="n"/>
      <c r="G248" s="102" t="n"/>
      <c r="H248" s="103" t="n"/>
      <c r="I248" s="103" t="n"/>
      <c r="J248" s="104" t="n"/>
      <c r="K248" s="102" t="n"/>
      <c r="L248" s="103" t="n"/>
      <c r="M248" s="103" t="n"/>
      <c r="N248" s="104" t="n"/>
      <c r="O248" s="102" t="n"/>
      <c r="P248" s="103" t="n"/>
      <c r="Q248" s="103" t="n"/>
      <c r="R248" s="104" t="n"/>
      <c r="S248" s="102" t="n"/>
      <c r="T248" s="103" t="n"/>
      <c r="U248" s="103" t="n"/>
      <c r="V248" s="104" t="n"/>
      <c r="W248" s="102" t="n"/>
      <c r="X248" s="104" t="n"/>
      <c r="Y248" s="102" t="n"/>
      <c r="Z248" s="104" t="n"/>
      <c r="AB248" s="105">
        <f>IF($B248="","",(COUNTIF(C208:E225,$B248)+COUNTIF(C208:E225,$B248&amp;" ~*")&gt;0)+(COUNTIF(G208:I225,$B248)+COUNTIF(G208:I225,$B248&amp;" ~*")&gt;0)+(COUNTIF(K208:M225,$B248)+COUNTIF(K208:M225,$B248&amp;" ~*")&gt;0)+(COUNTIF(O208:Q225,$B248)+COUNTIF(O208:Q225,$B248&amp;" ~*")&gt;0)+(COUNTIF(S208:U225,$B248)+COUNTIF(S208:U225,$B248&amp;" ~*")&gt;0)+(COUNTIF(W208:W225,$B248)+COUNTIF(W208:W225,$B248&amp;" ~*")&gt;0)+(COUNTIF(Y208:Y225,$B248)+COUNTIF(Y208:Y225,$B248&amp;" ~*")&gt;0))</f>
        <v/>
      </c>
      <c r="AC248" s="38">
        <f>IF($B248="","",(IFERROR(INDEX(Setup!$G$33:$G$40,MATCH(C248,Setup!$B$33:$B$40,0)),0)=1)*(COUNTIF(C208:E225,$B248)+COUNTIF(C208:E225,$B248&amp;" ~*")&gt;0)+(IFERROR(INDEX(Setup!$G$33:$G$40,MATCH(G248,Setup!$B$33:$B$40,0)),0)=1)*(COUNTIF(G208:I225,$B248)+COUNTIF(G208:I225,$B248&amp;" ~*")&gt;0)+(IFERROR(INDEX(Setup!$G$33:$G$40,MATCH(K248,Setup!$B$33:$B$40,0)),0)=1)*(COUNTIF(K208:M225,$B248)+COUNTIF(K208:M225,$B248&amp;" ~*")&gt;0)+(IFERROR(INDEX(Setup!$G$33:$G$40,MATCH(O248,Setup!$B$33:$B$40,0)),0)=1)*(COUNTIF(O208:Q225,$B248)+COUNTIF(O208:Q225,$B248&amp;" ~*")&gt;0)+(IFERROR(INDEX(Setup!$G$33:$G$40,MATCH(S248,Setup!$B$33:$B$40,0)),0)=1)*(COUNTIF(S208:U225,$B248)+COUNTIF(S208:U225,$B248&amp;" ~*")&gt;0)+(IFERROR(INDEX(Setup!$G$33:$G$40,MATCH(W248,Setup!$B$33:$B$40,0)),0)=1)*(COUNTIF(W208:W225,$B248)+COUNTIF(W208:W225,$B248&amp;" ~*")&gt;0)+(IFERROR(INDEX(Setup!$G$33:$G$40,MATCH(Y248,Setup!$B$33:$B$40,0)),0)=1)*(COUNTIF(Y208:Y225,$B248)+COUNTIF(Y208:Y225,$B248&amp;" ~*")&gt;0))</f>
        <v/>
      </c>
    </row>
    <row r="249" ht="15" customHeight="1">
      <c r="A249" t="n">
        <v>5</v>
      </c>
      <c r="B249" s="35">
        <f>IF(Setup!$B$28="","",Setup!$B$28)</f>
        <v/>
      </c>
      <c r="C249" s="98" t="n"/>
      <c r="D249" s="99" t="n"/>
      <c r="E249" s="99" t="n"/>
      <c r="F249" s="100" t="n"/>
      <c r="G249" s="98" t="n"/>
      <c r="H249" s="99" t="n"/>
      <c r="I249" s="99" t="n"/>
      <c r="J249" s="100" t="n"/>
      <c r="K249" s="98" t="n"/>
      <c r="L249" s="99" t="n"/>
      <c r="M249" s="99" t="n"/>
      <c r="N249" s="100" t="n"/>
      <c r="O249" s="98" t="n"/>
      <c r="P249" s="99" t="n"/>
      <c r="Q249" s="99" t="n"/>
      <c r="R249" s="100" t="n"/>
      <c r="S249" s="98" t="n"/>
      <c r="T249" s="99" t="n"/>
      <c r="U249" s="99" t="n"/>
      <c r="V249" s="100" t="n"/>
      <c r="W249" s="98" t="n"/>
      <c r="X249" s="100" t="n"/>
      <c r="Y249" s="98" t="n"/>
      <c r="Z249" s="100" t="n"/>
      <c r="AB249" s="101">
        <f>IF($B249="","",(COUNTIF(C208:E225,$B249)+COUNTIF(C208:E225,$B249&amp;" ~*")&gt;0)+(COUNTIF(G208:I225,$B249)+COUNTIF(G208:I225,$B249&amp;" ~*")&gt;0)+(COUNTIF(K208:M225,$B249)+COUNTIF(K208:M225,$B249&amp;" ~*")&gt;0)+(COUNTIF(O208:Q225,$B249)+COUNTIF(O208:Q225,$B249&amp;" ~*")&gt;0)+(COUNTIF(S208:U225,$B249)+COUNTIF(S208:U225,$B249&amp;" ~*")&gt;0)+(COUNTIF(W208:W225,$B249)+COUNTIF(W208:W225,$B249&amp;" ~*")&gt;0)+(COUNTIF(Y208:Y225,$B249)+COUNTIF(Y208:Y225,$B249&amp;" ~*")&gt;0))</f>
        <v/>
      </c>
      <c r="AC249" s="36">
        <f>IF($B249="","",(IFERROR(INDEX(Setup!$G$33:$G$40,MATCH(C249,Setup!$B$33:$B$40,0)),0)=1)*(COUNTIF(C208:E225,$B249)+COUNTIF(C208:E225,$B249&amp;" ~*")&gt;0)+(IFERROR(INDEX(Setup!$G$33:$G$40,MATCH(G249,Setup!$B$33:$B$40,0)),0)=1)*(COUNTIF(G208:I225,$B249)+COUNTIF(G208:I225,$B249&amp;" ~*")&gt;0)+(IFERROR(INDEX(Setup!$G$33:$G$40,MATCH(K249,Setup!$B$33:$B$40,0)),0)=1)*(COUNTIF(K208:M225,$B249)+COUNTIF(K208:M225,$B249&amp;" ~*")&gt;0)+(IFERROR(INDEX(Setup!$G$33:$G$40,MATCH(O249,Setup!$B$33:$B$40,0)),0)=1)*(COUNTIF(O208:Q225,$B249)+COUNTIF(O208:Q225,$B249&amp;" ~*")&gt;0)+(IFERROR(INDEX(Setup!$G$33:$G$40,MATCH(S249,Setup!$B$33:$B$40,0)),0)=1)*(COUNTIF(S208:U225,$B249)+COUNTIF(S208:U225,$B249&amp;" ~*")&gt;0)+(IFERROR(INDEX(Setup!$G$33:$G$40,MATCH(W249,Setup!$B$33:$B$40,0)),0)=1)*(COUNTIF(W208:W225,$B249)+COUNTIF(W208:W225,$B249&amp;" ~*")&gt;0)+(IFERROR(INDEX(Setup!$G$33:$G$40,MATCH(Y249,Setup!$B$33:$B$40,0)),0)=1)*(COUNTIF(Y208:Y225,$B249)+COUNTIF(Y208:Y225,$B249&amp;" ~*")&gt;0))</f>
        <v/>
      </c>
    </row>
    <row r="250" ht="15" customHeight="1">
      <c r="A250" t="n">
        <v>5</v>
      </c>
      <c r="B250" s="37">
        <f>IF(Setup!$B$29="","",Setup!$B$29)</f>
        <v/>
      </c>
      <c r="C250" s="102" t="n"/>
      <c r="D250" s="103" t="n"/>
      <c r="E250" s="103" t="n"/>
      <c r="F250" s="104" t="n"/>
      <c r="G250" s="102" t="n"/>
      <c r="H250" s="103" t="n"/>
      <c r="I250" s="103" t="n"/>
      <c r="J250" s="104" t="n"/>
      <c r="K250" s="102" t="n"/>
      <c r="L250" s="103" t="n"/>
      <c r="M250" s="103" t="n"/>
      <c r="N250" s="104" t="n"/>
      <c r="O250" s="102" t="n"/>
      <c r="P250" s="103" t="n"/>
      <c r="Q250" s="103" t="n"/>
      <c r="R250" s="104" t="n"/>
      <c r="S250" s="102" t="n"/>
      <c r="T250" s="103" t="n"/>
      <c r="U250" s="103" t="n"/>
      <c r="V250" s="104" t="n"/>
      <c r="W250" s="102" t="n"/>
      <c r="X250" s="104" t="n"/>
      <c r="Y250" s="102" t="n"/>
      <c r="Z250" s="104" t="n"/>
      <c r="AB250" s="105">
        <f>IF($B250="","",(COUNTIF(C208:E225,$B250)+COUNTIF(C208:E225,$B250&amp;" ~*")&gt;0)+(COUNTIF(G208:I225,$B250)+COUNTIF(G208:I225,$B250&amp;" ~*")&gt;0)+(COUNTIF(K208:M225,$B250)+COUNTIF(K208:M225,$B250&amp;" ~*")&gt;0)+(COUNTIF(O208:Q225,$B250)+COUNTIF(O208:Q225,$B250&amp;" ~*")&gt;0)+(COUNTIF(S208:U225,$B250)+COUNTIF(S208:U225,$B250&amp;" ~*")&gt;0)+(COUNTIF(W208:W225,$B250)+COUNTIF(W208:W225,$B250&amp;" ~*")&gt;0)+(COUNTIF(Y208:Y225,$B250)+COUNTIF(Y208:Y225,$B250&amp;" ~*")&gt;0))</f>
        <v/>
      </c>
      <c r="AC250" s="38">
        <f>IF($B250="","",(IFERROR(INDEX(Setup!$G$33:$G$40,MATCH(C250,Setup!$B$33:$B$40,0)),0)=1)*(COUNTIF(C208:E225,$B250)+COUNTIF(C208:E225,$B250&amp;" ~*")&gt;0)+(IFERROR(INDEX(Setup!$G$33:$G$40,MATCH(G250,Setup!$B$33:$B$40,0)),0)=1)*(COUNTIF(G208:I225,$B250)+COUNTIF(G208:I225,$B250&amp;" ~*")&gt;0)+(IFERROR(INDEX(Setup!$G$33:$G$40,MATCH(K250,Setup!$B$33:$B$40,0)),0)=1)*(COUNTIF(K208:M225,$B250)+COUNTIF(K208:M225,$B250&amp;" ~*")&gt;0)+(IFERROR(INDEX(Setup!$G$33:$G$40,MATCH(O250,Setup!$B$33:$B$40,0)),0)=1)*(COUNTIF(O208:Q225,$B250)+COUNTIF(O208:Q225,$B250&amp;" ~*")&gt;0)+(IFERROR(INDEX(Setup!$G$33:$G$40,MATCH(S250,Setup!$B$33:$B$40,0)),0)=1)*(COUNTIF(S208:U225,$B250)+COUNTIF(S208:U225,$B250&amp;" ~*")&gt;0)+(IFERROR(INDEX(Setup!$G$33:$G$40,MATCH(W250,Setup!$B$33:$B$40,0)),0)=1)*(COUNTIF(W208:W225,$B250)+COUNTIF(W208:W225,$B250&amp;" ~*")&gt;0)+(IFERROR(INDEX(Setup!$G$33:$G$40,MATCH(Y250,Setup!$B$33:$B$40,0)),0)=1)*(COUNTIF(Y208:Y225,$B250)+COUNTIF(Y208:Y225,$B250&amp;" ~*")&gt;0))</f>
        <v/>
      </c>
    </row>
    <row r="251" ht="16" customHeight="1">
      <c r="A251" t="n">
        <v>5</v>
      </c>
      <c r="B251" s="106" t="inlineStr">
        <is>
          <t>Available people</t>
        </is>
      </c>
      <c r="C251" s="107">
        <f>COUNTIFS(Setup!$E$6:$E$29,"Y",Setup!$B$6:$B$29,"?*")-SUMPRODUCT(COUNTIF(C227:C250,Setup!$F$33:$F$40))</f>
        <v/>
      </c>
      <c r="D251" s="107" t="n"/>
      <c r="E251" s="107" t="n"/>
      <c r="F251" s="107" t="n"/>
      <c r="G251" s="107">
        <f>COUNTIFS(Setup!$E$6:$E$29,"Y",Setup!$B$6:$B$29,"?*")-SUMPRODUCT(COUNTIF(G227:G250,Setup!$F$33:$F$40))</f>
        <v/>
      </c>
      <c r="H251" s="107" t="n"/>
      <c r="I251" s="107" t="n"/>
      <c r="J251" s="107" t="n"/>
      <c r="K251" s="107">
        <f>COUNTIFS(Setup!$E$6:$E$29,"Y",Setup!$B$6:$B$29,"?*")-SUMPRODUCT(COUNTIF(K227:K250,Setup!$F$33:$F$40))</f>
        <v/>
      </c>
      <c r="L251" s="107" t="n"/>
      <c r="M251" s="107" t="n"/>
      <c r="N251" s="107" t="n"/>
      <c r="O251" s="107">
        <f>COUNTIFS(Setup!$E$6:$E$29,"Y",Setup!$B$6:$B$29,"?*")-SUMPRODUCT(COUNTIF(O227:O250,Setup!$F$33:$F$40))</f>
        <v/>
      </c>
      <c r="P251" s="107" t="n"/>
      <c r="Q251" s="107" t="n"/>
      <c r="R251" s="107" t="n"/>
      <c r="S251" s="107">
        <f>COUNTIFS(Setup!$E$6:$E$29,"Y",Setup!$B$6:$B$29,"?*")-SUMPRODUCT(COUNTIF(S227:S250,Setup!$F$33:$F$40))</f>
        <v/>
      </c>
      <c r="T251" s="107" t="n"/>
      <c r="U251" s="107" t="n"/>
      <c r="V251" s="107" t="n"/>
      <c r="W251" s="107">
        <f>COUNTIFS(Setup!$E$6:$E$29,"Y",Setup!$B$6:$B$29,"?*")-SUMPRODUCT(COUNTIF(W227:W250,Setup!$F$33:$F$40))</f>
        <v/>
      </c>
      <c r="X251" s="107" t="n"/>
      <c r="Y251" s="107">
        <f>COUNTIFS(Setup!$E$6:$E$29,"Y",Setup!$B$6:$B$29,"?*")-SUMPRODUCT(COUNTIF(Y227:Y250,Setup!$F$33:$F$40))</f>
        <v/>
      </c>
      <c r="Z251" s="107" t="n"/>
      <c r="AB251" s="108">
        <f>SUM(AB227:AB250)</f>
        <v/>
      </c>
      <c r="AC251" s="109">
        <f>SUM(AC227:AC250)</f>
        <v/>
      </c>
    </row>
    <row r="252" ht="30" customHeight="1">
      <c r="A252" t="n">
        <v>5</v>
      </c>
      <c r="B252" s="110" t="inlineStr">
        <is>
          <t>Week notes</t>
        </is>
      </c>
      <c r="C252" s="111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112" t="n"/>
      <c r="R252" s="112" t="n"/>
      <c r="S252" s="112" t="n"/>
      <c r="T252" s="112" t="n"/>
      <c r="U252" s="112" t="n"/>
      <c r="V252" s="112" t="n"/>
      <c r="W252" s="112" t="n"/>
      <c r="X252" s="112" t="n"/>
      <c r="Y252" s="112" t="n"/>
      <c r="Z252" s="113" t="n"/>
    </row>
    <row r="253" ht="8" customHeight="1">
      <c r="A253" t="n">
        <v>5</v>
      </c>
    </row>
    <row r="254" ht="8" customHeight="1">
      <c r="A254" t="n">
        <v>5</v>
      </c>
    </row>
    <row r="255" ht="24" customHeight="1">
      <c r="A255" t="n">
        <v>6</v>
      </c>
      <c r="B255" s="73">
        <f>"WEEK 6     "&amp;TEXT(C256,"ddd d mmm")&amp;"  –  "&amp;TEXT(C256+6,"ddd d mmm yyyy")</f>
        <v/>
      </c>
      <c r="S255" s="74">
        <f>IF(TODAY()&lt;C256,"FUTURE",IF(TODAY()&gt;C256+6,"PAST","THIS WEEK"))</f>
        <v/>
      </c>
      <c r="W255" s="75">
        <f>IF(AND(Engine!$B$8=$AC$3,Engine!$B$9=$A255),"◀ ACTIVE WEEK","")</f>
        <v/>
      </c>
      <c r="AA255" s="76" t="n"/>
      <c r="AB255" s="77" t="inlineStr">
        <is>
          <t>◀ Prev</t>
        </is>
      </c>
      <c r="AC255" s="77" t="inlineStr">
        <is>
          <t>Next ▶</t>
        </is>
      </c>
    </row>
    <row r="256" ht="18" customHeight="1">
      <c r="A256" t="n">
        <v>6</v>
      </c>
      <c r="B256" s="78" t="inlineStr">
        <is>
          <t>DUTY</t>
        </is>
      </c>
      <c r="C256" s="79">
        <f>$AC$2+7*($A256-1)</f>
        <v/>
      </c>
      <c r="D256" s="80" t="n"/>
      <c r="E256" s="80" t="n"/>
      <c r="F256" s="81" t="n"/>
      <c r="G256" s="79">
        <f>C256+1</f>
        <v/>
      </c>
      <c r="H256" s="80" t="n"/>
      <c r="I256" s="80" t="n"/>
      <c r="J256" s="81" t="n"/>
      <c r="K256" s="79">
        <f>C256+2</f>
        <v/>
      </c>
      <c r="L256" s="80" t="n"/>
      <c r="M256" s="80" t="n"/>
      <c r="N256" s="81" t="n"/>
      <c r="O256" s="79">
        <f>C256+3</f>
        <v/>
      </c>
      <c r="P256" s="80" t="n"/>
      <c r="Q256" s="80" t="n"/>
      <c r="R256" s="81" t="n"/>
      <c r="S256" s="79">
        <f>C256+4</f>
        <v/>
      </c>
      <c r="T256" s="80" t="n"/>
      <c r="U256" s="80" t="n"/>
      <c r="V256" s="81" t="n"/>
      <c r="W256" s="82">
        <f>C256+5</f>
        <v/>
      </c>
      <c r="X256" s="83" t="n"/>
      <c r="Y256" s="82">
        <f>C256+6</f>
        <v/>
      </c>
      <c r="Z256" s="83" t="n"/>
      <c r="AB256" s="72" t="inlineStr">
        <is>
          <t>Gaps</t>
        </is>
      </c>
      <c r="AC256" s="72" t="inlineStr">
        <is>
          <t>Cover</t>
        </is>
      </c>
    </row>
    <row r="257" ht="14" customHeight="1">
      <c r="A257" t="n">
        <v>6</v>
      </c>
      <c r="B257" s="84" t="inlineStr">
        <is>
          <t>(from Setup)</t>
        </is>
      </c>
      <c r="C257" s="85" t="inlineStr">
        <is>
          <t>1</t>
        </is>
      </c>
      <c r="D257" s="85" t="inlineStr">
        <is>
          <t>2</t>
        </is>
      </c>
      <c r="E257" s="85" t="inlineStr">
        <is>
          <t>3</t>
        </is>
      </c>
      <c r="F257" s="85" t="inlineStr">
        <is>
          <t>Notes</t>
        </is>
      </c>
      <c r="G257" s="85" t="inlineStr">
        <is>
          <t>1</t>
        </is>
      </c>
      <c r="H257" s="85" t="inlineStr">
        <is>
          <t>2</t>
        </is>
      </c>
      <c r="I257" s="85" t="inlineStr">
        <is>
          <t>3</t>
        </is>
      </c>
      <c r="J257" s="85" t="inlineStr">
        <is>
          <t>Notes</t>
        </is>
      </c>
      <c r="K257" s="85" t="inlineStr">
        <is>
          <t>1</t>
        </is>
      </c>
      <c r="L257" s="85" t="inlineStr">
        <is>
          <t>2</t>
        </is>
      </c>
      <c r="M257" s="85" t="inlineStr">
        <is>
          <t>3</t>
        </is>
      </c>
      <c r="N257" s="85" t="inlineStr">
        <is>
          <t>Notes</t>
        </is>
      </c>
      <c r="O257" s="85" t="inlineStr">
        <is>
          <t>1</t>
        </is>
      </c>
      <c r="P257" s="85" t="inlineStr">
        <is>
          <t>2</t>
        </is>
      </c>
      <c r="Q257" s="85" t="inlineStr">
        <is>
          <t>3</t>
        </is>
      </c>
      <c r="R257" s="85" t="inlineStr">
        <is>
          <t>Notes</t>
        </is>
      </c>
      <c r="S257" s="85" t="inlineStr">
        <is>
          <t>1</t>
        </is>
      </c>
      <c r="T257" s="85" t="inlineStr">
        <is>
          <t>2</t>
        </is>
      </c>
      <c r="U257" s="85" t="inlineStr">
        <is>
          <t>3</t>
        </is>
      </c>
      <c r="V257" s="85" t="inlineStr">
        <is>
          <t>Notes</t>
        </is>
      </c>
      <c r="W257" s="85" t="inlineStr">
        <is>
          <t>Cover</t>
        </is>
      </c>
      <c r="X257" s="85" t="inlineStr">
        <is>
          <t>Notes</t>
        </is>
      </c>
      <c r="Y257" s="85" t="inlineStr">
        <is>
          <t>Cover</t>
        </is>
      </c>
      <c r="Z257" s="85" t="inlineStr">
        <is>
          <t>Notes</t>
        </is>
      </c>
      <c r="AB257" s="86" t="inlineStr">
        <is>
          <t>weekdays short</t>
        </is>
      </c>
      <c r="AC257" s="87" t="inlineStr"/>
    </row>
    <row r="258" ht="17" customHeight="1">
      <c r="A258" t="n">
        <v>6</v>
      </c>
      <c r="B258" s="24">
        <f>IF(Setup!$K$6="","",Setup!$K$6)</f>
        <v/>
      </c>
      <c r="C258" s="88" t="n"/>
      <c r="D258" s="88" t="n"/>
      <c r="E258" s="88" t="n"/>
      <c r="F258" s="89" t="n"/>
      <c r="G258" s="88" t="n"/>
      <c r="H258" s="88" t="n"/>
      <c r="I258" s="88" t="n"/>
      <c r="J258" s="89" t="n"/>
      <c r="K258" s="88" t="n"/>
      <c r="L258" s="88" t="n"/>
      <c r="M258" s="88" t="n"/>
      <c r="N258" s="89" t="n"/>
      <c r="O258" s="88" t="n"/>
      <c r="P258" s="88" t="n"/>
      <c r="Q258" s="88" t="n"/>
      <c r="R258" s="89" t="n"/>
      <c r="S258" s="88" t="n"/>
      <c r="T258" s="88" t="n"/>
      <c r="U258" s="88" t="n"/>
      <c r="V258" s="89" t="n"/>
      <c r="W258" s="88" t="n"/>
      <c r="X258" s="89" t="n"/>
      <c r="Y258" s="88" t="n"/>
      <c r="Z258" s="89" t="n"/>
      <c r="AB258" s="25">
        <f>IF($B258="","",(COUNTIF(C258:E258,"?*")&lt;N(INDEX(Setup!$L$6:$L$23,1)))+(COUNTIF(G258:I258,"?*")&lt;N(INDEX(Setup!$L$6:$L$23,1)))+(COUNTIF(K258:M258,"?*")&lt;N(INDEX(Setup!$L$6:$L$23,1)))+(COUNTIF(O258:Q258,"?*")&lt;N(INDEX(Setup!$L$6:$L$23,1)))+(COUNTIF(S258:U258,"?*")&lt;N(INDEX(Setup!$L$6:$L$23,1)))+((W258="")*(INDEX(Setup!$M$6:$M$23,1)="Y"))+((Y258="")*(INDEX(Setup!$M$6:$M$23,1)="Y")))</f>
        <v/>
      </c>
      <c r="AC258" s="90">
        <f>IF($B258="","",IF(AB258=0,"✓ covered","⚠ "&amp;AB258&amp;IF(AB258=1," gap"," gaps")))</f>
        <v/>
      </c>
    </row>
    <row r="259" ht="17" customHeight="1">
      <c r="A259" t="n">
        <v>6</v>
      </c>
      <c r="B259" s="29">
        <f>IF(Setup!$K$7="","",Setup!$K$7)</f>
        <v/>
      </c>
      <c r="C259" s="88" t="n"/>
      <c r="D259" s="88" t="n"/>
      <c r="E259" s="88" t="n"/>
      <c r="F259" s="89" t="n"/>
      <c r="G259" s="88" t="n"/>
      <c r="H259" s="88" t="n"/>
      <c r="I259" s="88" t="n"/>
      <c r="J259" s="89" t="n"/>
      <c r="K259" s="88" t="n"/>
      <c r="L259" s="88" t="n"/>
      <c r="M259" s="88" t="n"/>
      <c r="N259" s="89" t="n"/>
      <c r="O259" s="88" t="n"/>
      <c r="P259" s="88" t="n"/>
      <c r="Q259" s="88" t="n"/>
      <c r="R259" s="89" t="n"/>
      <c r="S259" s="88" t="n"/>
      <c r="T259" s="88" t="n"/>
      <c r="U259" s="88" t="n"/>
      <c r="V259" s="89" t="n"/>
      <c r="W259" s="88" t="n"/>
      <c r="X259" s="89" t="n"/>
      <c r="Y259" s="88" t="n"/>
      <c r="Z259" s="89" t="n"/>
      <c r="AB259" s="30">
        <f>IF($B259="","",(COUNTIF(C259:E259,"?*")&lt;N(INDEX(Setup!$L$6:$L$23,2)))+(COUNTIF(G259:I259,"?*")&lt;N(INDEX(Setup!$L$6:$L$23,2)))+(COUNTIF(K259:M259,"?*")&lt;N(INDEX(Setup!$L$6:$L$23,2)))+(COUNTIF(O259:Q259,"?*")&lt;N(INDEX(Setup!$L$6:$L$23,2)))+(COUNTIF(S259:U259,"?*")&lt;N(INDEX(Setup!$L$6:$L$23,2)))+((W259="")*(INDEX(Setup!$M$6:$M$23,2)="Y"))+((Y259="")*(INDEX(Setup!$M$6:$M$23,2)="Y")))</f>
        <v/>
      </c>
      <c r="AC259" s="91">
        <f>IF($B259="","",IF(AB259=0,"✓ covered","⚠ "&amp;AB259&amp;IF(AB259=1," gap"," gaps")))</f>
        <v/>
      </c>
    </row>
    <row r="260" ht="17" customHeight="1">
      <c r="A260" t="n">
        <v>6</v>
      </c>
      <c r="B260" s="24">
        <f>IF(Setup!$K$8="","",Setup!$K$8)</f>
        <v/>
      </c>
      <c r="C260" s="88" t="n"/>
      <c r="D260" s="88" t="n"/>
      <c r="E260" s="88" t="n"/>
      <c r="F260" s="89" t="n"/>
      <c r="G260" s="88" t="n"/>
      <c r="H260" s="88" t="n"/>
      <c r="I260" s="88" t="n"/>
      <c r="J260" s="89" t="n"/>
      <c r="K260" s="88" t="n"/>
      <c r="L260" s="88" t="n"/>
      <c r="M260" s="88" t="n"/>
      <c r="N260" s="89" t="n"/>
      <c r="O260" s="88" t="n"/>
      <c r="P260" s="88" t="n"/>
      <c r="Q260" s="88" t="n"/>
      <c r="R260" s="89" t="n"/>
      <c r="S260" s="88" t="n"/>
      <c r="T260" s="88" t="n"/>
      <c r="U260" s="88" t="n"/>
      <c r="V260" s="89" t="n"/>
      <c r="W260" s="88" t="n"/>
      <c r="X260" s="89" t="n"/>
      <c r="Y260" s="88" t="n"/>
      <c r="Z260" s="89" t="n"/>
      <c r="AB260" s="25">
        <f>IF($B260="","",(COUNTIF(C260:E260,"?*")&lt;N(INDEX(Setup!$L$6:$L$23,3)))+(COUNTIF(G260:I260,"?*")&lt;N(INDEX(Setup!$L$6:$L$23,3)))+(COUNTIF(K260:M260,"?*")&lt;N(INDEX(Setup!$L$6:$L$23,3)))+(COUNTIF(O260:Q260,"?*")&lt;N(INDEX(Setup!$L$6:$L$23,3)))+(COUNTIF(S260:U260,"?*")&lt;N(INDEX(Setup!$L$6:$L$23,3)))+((W260="")*(INDEX(Setup!$M$6:$M$23,3)="Y"))+((Y260="")*(INDEX(Setup!$M$6:$M$23,3)="Y")))</f>
        <v/>
      </c>
      <c r="AC260" s="90">
        <f>IF($B260="","",IF(AB260=0,"✓ covered","⚠ "&amp;AB260&amp;IF(AB260=1," gap"," gaps")))</f>
        <v/>
      </c>
    </row>
    <row r="261" ht="17" customHeight="1">
      <c r="A261" t="n">
        <v>6</v>
      </c>
      <c r="B261" s="29">
        <f>IF(Setup!$K$9="","",Setup!$K$9)</f>
        <v/>
      </c>
      <c r="C261" s="88" t="n"/>
      <c r="D261" s="88" t="n"/>
      <c r="E261" s="88" t="n"/>
      <c r="F261" s="89" t="n"/>
      <c r="G261" s="88" t="n"/>
      <c r="H261" s="88" t="n"/>
      <c r="I261" s="88" t="n"/>
      <c r="J261" s="89" t="n"/>
      <c r="K261" s="88" t="n"/>
      <c r="L261" s="88" t="n"/>
      <c r="M261" s="88" t="n"/>
      <c r="N261" s="89" t="n"/>
      <c r="O261" s="88" t="n"/>
      <c r="P261" s="88" t="n"/>
      <c r="Q261" s="88" t="n"/>
      <c r="R261" s="89" t="n"/>
      <c r="S261" s="88" t="n"/>
      <c r="T261" s="88" t="n"/>
      <c r="U261" s="88" t="n"/>
      <c r="V261" s="89" t="n"/>
      <c r="W261" s="88" t="n"/>
      <c r="X261" s="89" t="n"/>
      <c r="Y261" s="88" t="n"/>
      <c r="Z261" s="89" t="n"/>
      <c r="AB261" s="30">
        <f>IF($B261="","",(COUNTIF(C261:E261,"?*")&lt;N(INDEX(Setup!$L$6:$L$23,4)))+(COUNTIF(G261:I261,"?*")&lt;N(INDEX(Setup!$L$6:$L$23,4)))+(COUNTIF(K261:M261,"?*")&lt;N(INDEX(Setup!$L$6:$L$23,4)))+(COUNTIF(O261:Q261,"?*")&lt;N(INDEX(Setup!$L$6:$L$23,4)))+(COUNTIF(S261:U261,"?*")&lt;N(INDEX(Setup!$L$6:$L$23,4)))+((W261="")*(INDEX(Setup!$M$6:$M$23,4)="Y"))+((Y261="")*(INDEX(Setup!$M$6:$M$23,4)="Y")))</f>
        <v/>
      </c>
      <c r="AC261" s="91">
        <f>IF($B261="","",IF(AB261=0,"✓ covered","⚠ "&amp;AB261&amp;IF(AB261=1," gap"," gaps")))</f>
        <v/>
      </c>
    </row>
    <row r="262" ht="17" customHeight="1">
      <c r="A262" t="n">
        <v>6</v>
      </c>
      <c r="B262" s="24">
        <f>IF(Setup!$K$10="","",Setup!$K$10)</f>
        <v/>
      </c>
      <c r="C262" s="88" t="n"/>
      <c r="D262" s="88" t="n"/>
      <c r="E262" s="88" t="n"/>
      <c r="F262" s="89" t="n"/>
      <c r="G262" s="88" t="n"/>
      <c r="H262" s="88" t="n"/>
      <c r="I262" s="88" t="n"/>
      <c r="J262" s="89" t="n"/>
      <c r="K262" s="88" t="n"/>
      <c r="L262" s="88" t="n"/>
      <c r="M262" s="88" t="n"/>
      <c r="N262" s="89" t="n"/>
      <c r="O262" s="88" t="n"/>
      <c r="P262" s="88" t="n"/>
      <c r="Q262" s="88" t="n"/>
      <c r="R262" s="89" t="n"/>
      <c r="S262" s="88" t="n"/>
      <c r="T262" s="88" t="n"/>
      <c r="U262" s="88" t="n"/>
      <c r="V262" s="89" t="n"/>
      <c r="W262" s="88" t="n"/>
      <c r="X262" s="89" t="n"/>
      <c r="Y262" s="88" t="n"/>
      <c r="Z262" s="89" t="n"/>
      <c r="AB262" s="25">
        <f>IF($B262="","",(COUNTIF(C262:E262,"?*")&lt;N(INDEX(Setup!$L$6:$L$23,5)))+(COUNTIF(G262:I262,"?*")&lt;N(INDEX(Setup!$L$6:$L$23,5)))+(COUNTIF(K262:M262,"?*")&lt;N(INDEX(Setup!$L$6:$L$23,5)))+(COUNTIF(O262:Q262,"?*")&lt;N(INDEX(Setup!$L$6:$L$23,5)))+(COUNTIF(S262:U262,"?*")&lt;N(INDEX(Setup!$L$6:$L$23,5)))+((W262="")*(INDEX(Setup!$M$6:$M$23,5)="Y"))+((Y262="")*(INDEX(Setup!$M$6:$M$23,5)="Y")))</f>
        <v/>
      </c>
      <c r="AC262" s="90">
        <f>IF($B262="","",IF(AB262=0,"✓ covered","⚠ "&amp;AB262&amp;IF(AB262=1," gap"," gaps")))</f>
        <v/>
      </c>
    </row>
    <row r="263" ht="17" customHeight="1">
      <c r="A263" t="n">
        <v>6</v>
      </c>
      <c r="B263" s="29">
        <f>IF(Setup!$K$11="","",Setup!$K$11)</f>
        <v/>
      </c>
      <c r="C263" s="88" t="n"/>
      <c r="D263" s="88" t="n"/>
      <c r="E263" s="88" t="n"/>
      <c r="F263" s="89" t="n"/>
      <c r="G263" s="88" t="n"/>
      <c r="H263" s="88" t="n"/>
      <c r="I263" s="88" t="n"/>
      <c r="J263" s="89" t="n"/>
      <c r="K263" s="88" t="n"/>
      <c r="L263" s="88" t="n"/>
      <c r="M263" s="88" t="n"/>
      <c r="N263" s="89" t="n"/>
      <c r="O263" s="88" t="n"/>
      <c r="P263" s="88" t="n"/>
      <c r="Q263" s="88" t="n"/>
      <c r="R263" s="89" t="n"/>
      <c r="S263" s="88" t="n"/>
      <c r="T263" s="88" t="n"/>
      <c r="U263" s="88" t="n"/>
      <c r="V263" s="89" t="n"/>
      <c r="W263" s="88" t="n"/>
      <c r="X263" s="89" t="n"/>
      <c r="Y263" s="88" t="n"/>
      <c r="Z263" s="89" t="n"/>
      <c r="AB263" s="30">
        <f>IF($B263="","",(COUNTIF(C263:E263,"?*")&lt;N(INDEX(Setup!$L$6:$L$23,6)))+(COUNTIF(G263:I263,"?*")&lt;N(INDEX(Setup!$L$6:$L$23,6)))+(COUNTIF(K263:M263,"?*")&lt;N(INDEX(Setup!$L$6:$L$23,6)))+(COUNTIF(O263:Q263,"?*")&lt;N(INDEX(Setup!$L$6:$L$23,6)))+(COUNTIF(S263:U263,"?*")&lt;N(INDEX(Setup!$L$6:$L$23,6)))+((W263="")*(INDEX(Setup!$M$6:$M$23,6)="Y"))+((Y263="")*(INDEX(Setup!$M$6:$M$23,6)="Y")))</f>
        <v/>
      </c>
      <c r="AC263" s="91">
        <f>IF($B263="","",IF(AB263=0,"✓ covered","⚠ "&amp;AB263&amp;IF(AB263=1," gap"," gaps")))</f>
        <v/>
      </c>
    </row>
    <row r="264" ht="17" customHeight="1">
      <c r="A264" t="n">
        <v>6</v>
      </c>
      <c r="B264" s="24">
        <f>IF(Setup!$K$12="","",Setup!$K$12)</f>
        <v/>
      </c>
      <c r="C264" s="88" t="n"/>
      <c r="D264" s="88" t="n"/>
      <c r="E264" s="88" t="n"/>
      <c r="F264" s="89" t="n"/>
      <c r="G264" s="88" t="n"/>
      <c r="H264" s="88" t="n"/>
      <c r="I264" s="88" t="n"/>
      <c r="J264" s="89" t="n"/>
      <c r="K264" s="88" t="n"/>
      <c r="L264" s="88" t="n"/>
      <c r="M264" s="88" t="n"/>
      <c r="N264" s="89" t="n"/>
      <c r="O264" s="88" t="n"/>
      <c r="P264" s="88" t="n"/>
      <c r="Q264" s="88" t="n"/>
      <c r="R264" s="89" t="n"/>
      <c r="S264" s="88" t="n"/>
      <c r="T264" s="88" t="n"/>
      <c r="U264" s="88" t="n"/>
      <c r="V264" s="89" t="n"/>
      <c r="W264" s="88" t="n"/>
      <c r="X264" s="89" t="n"/>
      <c r="Y264" s="88" t="n"/>
      <c r="Z264" s="89" t="n"/>
      <c r="AB264" s="25">
        <f>IF($B264="","",(COUNTIF(C264:E264,"?*")&lt;N(INDEX(Setup!$L$6:$L$23,7)))+(COUNTIF(G264:I264,"?*")&lt;N(INDEX(Setup!$L$6:$L$23,7)))+(COUNTIF(K264:M264,"?*")&lt;N(INDEX(Setup!$L$6:$L$23,7)))+(COUNTIF(O264:Q264,"?*")&lt;N(INDEX(Setup!$L$6:$L$23,7)))+(COUNTIF(S264:U264,"?*")&lt;N(INDEX(Setup!$L$6:$L$23,7)))+((W264="")*(INDEX(Setup!$M$6:$M$23,7)="Y"))+((Y264="")*(INDEX(Setup!$M$6:$M$23,7)="Y")))</f>
        <v/>
      </c>
      <c r="AC264" s="90">
        <f>IF($B264="","",IF(AB264=0,"✓ covered","⚠ "&amp;AB264&amp;IF(AB264=1," gap"," gaps")))</f>
        <v/>
      </c>
    </row>
    <row r="265" ht="17" customHeight="1">
      <c r="A265" t="n">
        <v>6</v>
      </c>
      <c r="B265" s="29">
        <f>IF(Setup!$K$13="","",Setup!$K$13)</f>
        <v/>
      </c>
      <c r="C265" s="88" t="n"/>
      <c r="D265" s="88" t="n"/>
      <c r="E265" s="88" t="n"/>
      <c r="F265" s="89" t="n"/>
      <c r="G265" s="88" t="n"/>
      <c r="H265" s="88" t="n"/>
      <c r="I265" s="88" t="n"/>
      <c r="J265" s="89" t="n"/>
      <c r="K265" s="88" t="n"/>
      <c r="L265" s="88" t="n"/>
      <c r="M265" s="88" t="n"/>
      <c r="N265" s="89" t="n"/>
      <c r="O265" s="88" t="n"/>
      <c r="P265" s="88" t="n"/>
      <c r="Q265" s="88" t="n"/>
      <c r="R265" s="89" t="n"/>
      <c r="S265" s="88" t="n"/>
      <c r="T265" s="88" t="n"/>
      <c r="U265" s="88" t="n"/>
      <c r="V265" s="89" t="n"/>
      <c r="W265" s="88" t="n"/>
      <c r="X265" s="89" t="n"/>
      <c r="Y265" s="88" t="n"/>
      <c r="Z265" s="89" t="n"/>
      <c r="AB265" s="30">
        <f>IF($B265="","",(COUNTIF(C265:E265,"?*")&lt;N(INDEX(Setup!$L$6:$L$23,8)))+(COUNTIF(G265:I265,"?*")&lt;N(INDEX(Setup!$L$6:$L$23,8)))+(COUNTIF(K265:M265,"?*")&lt;N(INDEX(Setup!$L$6:$L$23,8)))+(COUNTIF(O265:Q265,"?*")&lt;N(INDEX(Setup!$L$6:$L$23,8)))+(COUNTIF(S265:U265,"?*")&lt;N(INDEX(Setup!$L$6:$L$23,8)))+((W265="")*(INDEX(Setup!$M$6:$M$23,8)="Y"))+((Y265="")*(INDEX(Setup!$M$6:$M$23,8)="Y")))</f>
        <v/>
      </c>
      <c r="AC265" s="91">
        <f>IF($B265="","",IF(AB265=0,"✓ covered","⚠ "&amp;AB265&amp;IF(AB265=1," gap"," gaps")))</f>
        <v/>
      </c>
    </row>
    <row r="266" ht="17" customHeight="1">
      <c r="A266" t="n">
        <v>6</v>
      </c>
      <c r="B266" s="24">
        <f>IF(Setup!$K$14="","",Setup!$K$14)</f>
        <v/>
      </c>
      <c r="C266" s="88" t="n"/>
      <c r="D266" s="88" t="n"/>
      <c r="E266" s="88" t="n"/>
      <c r="F266" s="89" t="n"/>
      <c r="G266" s="88" t="n"/>
      <c r="H266" s="88" t="n"/>
      <c r="I266" s="88" t="n"/>
      <c r="J266" s="89" t="n"/>
      <c r="K266" s="88" t="n"/>
      <c r="L266" s="88" t="n"/>
      <c r="M266" s="88" t="n"/>
      <c r="N266" s="89" t="n"/>
      <c r="O266" s="88" t="n"/>
      <c r="P266" s="88" t="n"/>
      <c r="Q266" s="88" t="n"/>
      <c r="R266" s="89" t="n"/>
      <c r="S266" s="88" t="n"/>
      <c r="T266" s="88" t="n"/>
      <c r="U266" s="88" t="n"/>
      <c r="V266" s="89" t="n"/>
      <c r="W266" s="88" t="n"/>
      <c r="X266" s="89" t="n"/>
      <c r="Y266" s="88" t="n"/>
      <c r="Z266" s="89" t="n"/>
      <c r="AB266" s="25">
        <f>IF($B266="","",(COUNTIF(C266:E266,"?*")&lt;N(INDEX(Setup!$L$6:$L$23,9)))+(COUNTIF(G266:I266,"?*")&lt;N(INDEX(Setup!$L$6:$L$23,9)))+(COUNTIF(K266:M266,"?*")&lt;N(INDEX(Setup!$L$6:$L$23,9)))+(COUNTIF(O266:Q266,"?*")&lt;N(INDEX(Setup!$L$6:$L$23,9)))+(COUNTIF(S266:U266,"?*")&lt;N(INDEX(Setup!$L$6:$L$23,9)))+((W266="")*(INDEX(Setup!$M$6:$M$23,9)="Y"))+((Y266="")*(INDEX(Setup!$M$6:$M$23,9)="Y")))</f>
        <v/>
      </c>
      <c r="AC266" s="90">
        <f>IF($B266="","",IF(AB266=0,"✓ covered","⚠ "&amp;AB266&amp;IF(AB266=1," gap"," gaps")))</f>
        <v/>
      </c>
    </row>
    <row r="267" ht="17" customHeight="1">
      <c r="A267" t="n">
        <v>6</v>
      </c>
      <c r="B267" s="29">
        <f>IF(Setup!$K$15="","",Setup!$K$15)</f>
        <v/>
      </c>
      <c r="C267" s="88" t="n"/>
      <c r="D267" s="88" t="n"/>
      <c r="E267" s="88" t="n"/>
      <c r="F267" s="89" t="n"/>
      <c r="G267" s="88" t="n"/>
      <c r="H267" s="88" t="n"/>
      <c r="I267" s="88" t="n"/>
      <c r="J267" s="89" t="n"/>
      <c r="K267" s="88" t="n"/>
      <c r="L267" s="88" t="n"/>
      <c r="M267" s="88" t="n"/>
      <c r="N267" s="89" t="n"/>
      <c r="O267" s="88" t="n"/>
      <c r="P267" s="88" t="n"/>
      <c r="Q267" s="88" t="n"/>
      <c r="R267" s="89" t="n"/>
      <c r="S267" s="88" t="n"/>
      <c r="T267" s="88" t="n"/>
      <c r="U267" s="88" t="n"/>
      <c r="V267" s="89" t="n"/>
      <c r="W267" s="88" t="n"/>
      <c r="X267" s="89" t="n"/>
      <c r="Y267" s="88" t="n"/>
      <c r="Z267" s="89" t="n"/>
      <c r="AB267" s="30">
        <f>IF($B267="","",(COUNTIF(C267:E267,"?*")&lt;N(INDEX(Setup!$L$6:$L$23,10)))+(COUNTIF(G267:I267,"?*")&lt;N(INDEX(Setup!$L$6:$L$23,10)))+(COUNTIF(K267:M267,"?*")&lt;N(INDEX(Setup!$L$6:$L$23,10)))+(COUNTIF(O267:Q267,"?*")&lt;N(INDEX(Setup!$L$6:$L$23,10)))+(COUNTIF(S267:U267,"?*")&lt;N(INDEX(Setup!$L$6:$L$23,10)))+((W267="")*(INDEX(Setup!$M$6:$M$23,10)="Y"))+((Y267="")*(INDEX(Setup!$M$6:$M$23,10)="Y")))</f>
        <v/>
      </c>
      <c r="AC267" s="91">
        <f>IF($B267="","",IF(AB267=0,"✓ covered","⚠ "&amp;AB267&amp;IF(AB267=1," gap"," gaps")))</f>
        <v/>
      </c>
    </row>
    <row r="268" ht="17" customHeight="1">
      <c r="A268" t="n">
        <v>6</v>
      </c>
      <c r="B268" s="24">
        <f>IF(Setup!$K$16="","",Setup!$K$16)</f>
        <v/>
      </c>
      <c r="C268" s="88" t="n"/>
      <c r="D268" s="88" t="n"/>
      <c r="E268" s="88" t="n"/>
      <c r="F268" s="89" t="n"/>
      <c r="G268" s="88" t="n"/>
      <c r="H268" s="88" t="n"/>
      <c r="I268" s="88" t="n"/>
      <c r="J268" s="89" t="n"/>
      <c r="K268" s="88" t="n"/>
      <c r="L268" s="88" t="n"/>
      <c r="M268" s="88" t="n"/>
      <c r="N268" s="89" t="n"/>
      <c r="O268" s="88" t="n"/>
      <c r="P268" s="88" t="n"/>
      <c r="Q268" s="88" t="n"/>
      <c r="R268" s="89" t="n"/>
      <c r="S268" s="88" t="n"/>
      <c r="T268" s="88" t="n"/>
      <c r="U268" s="88" t="n"/>
      <c r="V268" s="89" t="n"/>
      <c r="W268" s="88" t="n"/>
      <c r="X268" s="89" t="n"/>
      <c r="Y268" s="88" t="n"/>
      <c r="Z268" s="89" t="n"/>
      <c r="AB268" s="25">
        <f>IF($B268="","",(COUNTIF(C268:E268,"?*")&lt;N(INDEX(Setup!$L$6:$L$23,11)))+(COUNTIF(G268:I268,"?*")&lt;N(INDEX(Setup!$L$6:$L$23,11)))+(COUNTIF(K268:M268,"?*")&lt;N(INDEX(Setup!$L$6:$L$23,11)))+(COUNTIF(O268:Q268,"?*")&lt;N(INDEX(Setup!$L$6:$L$23,11)))+(COUNTIF(S268:U268,"?*")&lt;N(INDEX(Setup!$L$6:$L$23,11)))+((W268="")*(INDEX(Setup!$M$6:$M$23,11)="Y"))+((Y268="")*(INDEX(Setup!$M$6:$M$23,11)="Y")))</f>
        <v/>
      </c>
      <c r="AC268" s="90">
        <f>IF($B268="","",IF(AB268=0,"✓ covered","⚠ "&amp;AB268&amp;IF(AB268=1," gap"," gaps")))</f>
        <v/>
      </c>
    </row>
    <row r="269" ht="17" customHeight="1">
      <c r="A269" t="n">
        <v>6</v>
      </c>
      <c r="B269" s="29">
        <f>IF(Setup!$K$17="","",Setup!$K$17)</f>
        <v/>
      </c>
      <c r="C269" s="88" t="n"/>
      <c r="D269" s="88" t="n"/>
      <c r="E269" s="88" t="n"/>
      <c r="F269" s="89" t="n"/>
      <c r="G269" s="88" t="n"/>
      <c r="H269" s="88" t="n"/>
      <c r="I269" s="88" t="n"/>
      <c r="J269" s="89" t="n"/>
      <c r="K269" s="88" t="n"/>
      <c r="L269" s="88" t="n"/>
      <c r="M269" s="88" t="n"/>
      <c r="N269" s="89" t="n"/>
      <c r="O269" s="88" t="n"/>
      <c r="P269" s="88" t="n"/>
      <c r="Q269" s="88" t="n"/>
      <c r="R269" s="89" t="n"/>
      <c r="S269" s="88" t="n"/>
      <c r="T269" s="88" t="n"/>
      <c r="U269" s="88" t="n"/>
      <c r="V269" s="89" t="n"/>
      <c r="W269" s="88" t="n"/>
      <c r="X269" s="89" t="n"/>
      <c r="Y269" s="88" t="n"/>
      <c r="Z269" s="89" t="n"/>
      <c r="AB269" s="30">
        <f>IF($B269="","",(COUNTIF(C269:E269,"?*")&lt;N(INDEX(Setup!$L$6:$L$23,12)))+(COUNTIF(G269:I269,"?*")&lt;N(INDEX(Setup!$L$6:$L$23,12)))+(COUNTIF(K269:M269,"?*")&lt;N(INDEX(Setup!$L$6:$L$23,12)))+(COUNTIF(O269:Q269,"?*")&lt;N(INDEX(Setup!$L$6:$L$23,12)))+(COUNTIF(S269:U269,"?*")&lt;N(INDEX(Setup!$L$6:$L$23,12)))+((W269="")*(INDEX(Setup!$M$6:$M$23,12)="Y"))+((Y269="")*(INDEX(Setup!$M$6:$M$23,12)="Y")))</f>
        <v/>
      </c>
      <c r="AC269" s="91">
        <f>IF($B269="","",IF(AB269=0,"✓ covered","⚠ "&amp;AB269&amp;IF(AB269=1," gap"," gaps")))</f>
        <v/>
      </c>
    </row>
    <row r="270" ht="17" customHeight="1">
      <c r="A270" t="n">
        <v>6</v>
      </c>
      <c r="B270" s="24">
        <f>IF(Setup!$K$18="","",Setup!$K$18)</f>
        <v/>
      </c>
      <c r="C270" s="88" t="n"/>
      <c r="D270" s="88" t="n"/>
      <c r="E270" s="88" t="n"/>
      <c r="F270" s="89" t="n"/>
      <c r="G270" s="88" t="n"/>
      <c r="H270" s="88" t="n"/>
      <c r="I270" s="88" t="n"/>
      <c r="J270" s="89" t="n"/>
      <c r="K270" s="88" t="n"/>
      <c r="L270" s="88" t="n"/>
      <c r="M270" s="88" t="n"/>
      <c r="N270" s="89" t="n"/>
      <c r="O270" s="88" t="n"/>
      <c r="P270" s="88" t="n"/>
      <c r="Q270" s="88" t="n"/>
      <c r="R270" s="89" t="n"/>
      <c r="S270" s="88" t="n"/>
      <c r="T270" s="88" t="n"/>
      <c r="U270" s="88" t="n"/>
      <c r="V270" s="89" t="n"/>
      <c r="W270" s="88" t="n"/>
      <c r="X270" s="89" t="n"/>
      <c r="Y270" s="88" t="n"/>
      <c r="Z270" s="89" t="n"/>
      <c r="AB270" s="25">
        <f>IF($B270="","",(COUNTIF(C270:E270,"?*")&lt;N(INDEX(Setup!$L$6:$L$23,13)))+(COUNTIF(G270:I270,"?*")&lt;N(INDEX(Setup!$L$6:$L$23,13)))+(COUNTIF(K270:M270,"?*")&lt;N(INDEX(Setup!$L$6:$L$23,13)))+(COUNTIF(O270:Q270,"?*")&lt;N(INDEX(Setup!$L$6:$L$23,13)))+(COUNTIF(S270:U270,"?*")&lt;N(INDEX(Setup!$L$6:$L$23,13)))+((W270="")*(INDEX(Setup!$M$6:$M$23,13)="Y"))+((Y270="")*(INDEX(Setup!$M$6:$M$23,13)="Y")))</f>
        <v/>
      </c>
      <c r="AC270" s="90">
        <f>IF($B270="","",IF(AB270=0,"✓ covered","⚠ "&amp;AB270&amp;IF(AB270=1," gap"," gaps")))</f>
        <v/>
      </c>
    </row>
    <row r="271" ht="17" customHeight="1">
      <c r="A271" t="n">
        <v>6</v>
      </c>
      <c r="B271" s="29">
        <f>IF(Setup!$K$19="","",Setup!$K$19)</f>
        <v/>
      </c>
      <c r="C271" s="88" t="n"/>
      <c r="D271" s="88" t="n"/>
      <c r="E271" s="88" t="n"/>
      <c r="F271" s="89" t="n"/>
      <c r="G271" s="88" t="n"/>
      <c r="H271" s="88" t="n"/>
      <c r="I271" s="88" t="n"/>
      <c r="J271" s="89" t="n"/>
      <c r="K271" s="88" t="n"/>
      <c r="L271" s="88" t="n"/>
      <c r="M271" s="88" t="n"/>
      <c r="N271" s="89" t="n"/>
      <c r="O271" s="88" t="n"/>
      <c r="P271" s="88" t="n"/>
      <c r="Q271" s="88" t="n"/>
      <c r="R271" s="89" t="n"/>
      <c r="S271" s="88" t="n"/>
      <c r="T271" s="88" t="n"/>
      <c r="U271" s="88" t="n"/>
      <c r="V271" s="89" t="n"/>
      <c r="W271" s="88" t="n"/>
      <c r="X271" s="89" t="n"/>
      <c r="Y271" s="88" t="n"/>
      <c r="Z271" s="89" t="n"/>
      <c r="AB271" s="30">
        <f>IF($B271="","",(COUNTIF(C271:E271,"?*")&lt;N(INDEX(Setup!$L$6:$L$23,14)))+(COUNTIF(G271:I271,"?*")&lt;N(INDEX(Setup!$L$6:$L$23,14)))+(COUNTIF(K271:M271,"?*")&lt;N(INDEX(Setup!$L$6:$L$23,14)))+(COUNTIF(O271:Q271,"?*")&lt;N(INDEX(Setup!$L$6:$L$23,14)))+(COUNTIF(S271:U271,"?*")&lt;N(INDEX(Setup!$L$6:$L$23,14)))+((W271="")*(INDEX(Setup!$M$6:$M$23,14)="Y"))+((Y271="")*(INDEX(Setup!$M$6:$M$23,14)="Y")))</f>
        <v/>
      </c>
      <c r="AC271" s="91">
        <f>IF($B271="","",IF(AB271=0,"✓ covered","⚠ "&amp;AB271&amp;IF(AB271=1," gap"," gaps")))</f>
        <v/>
      </c>
    </row>
    <row r="272" ht="17" customHeight="1">
      <c r="A272" t="n">
        <v>6</v>
      </c>
      <c r="B272" s="24">
        <f>IF(Setup!$K$20="","",Setup!$K$20)</f>
        <v/>
      </c>
      <c r="C272" s="88" t="n"/>
      <c r="D272" s="88" t="n"/>
      <c r="E272" s="88" t="n"/>
      <c r="F272" s="89" t="n"/>
      <c r="G272" s="88" t="n"/>
      <c r="H272" s="88" t="n"/>
      <c r="I272" s="88" t="n"/>
      <c r="J272" s="89" t="n"/>
      <c r="K272" s="88" t="n"/>
      <c r="L272" s="88" t="n"/>
      <c r="M272" s="88" t="n"/>
      <c r="N272" s="89" t="n"/>
      <c r="O272" s="88" t="n"/>
      <c r="P272" s="88" t="n"/>
      <c r="Q272" s="88" t="n"/>
      <c r="R272" s="89" t="n"/>
      <c r="S272" s="88" t="n"/>
      <c r="T272" s="88" t="n"/>
      <c r="U272" s="88" t="n"/>
      <c r="V272" s="89" t="n"/>
      <c r="W272" s="88" t="n"/>
      <c r="X272" s="89" t="n"/>
      <c r="Y272" s="88" t="n"/>
      <c r="Z272" s="89" t="n"/>
      <c r="AB272" s="25">
        <f>IF($B272="","",(COUNTIF(C272:E272,"?*")&lt;N(INDEX(Setup!$L$6:$L$23,15)))+(COUNTIF(G272:I272,"?*")&lt;N(INDEX(Setup!$L$6:$L$23,15)))+(COUNTIF(K272:M272,"?*")&lt;N(INDEX(Setup!$L$6:$L$23,15)))+(COUNTIF(O272:Q272,"?*")&lt;N(INDEX(Setup!$L$6:$L$23,15)))+(COUNTIF(S272:U272,"?*")&lt;N(INDEX(Setup!$L$6:$L$23,15)))+((W272="")*(INDEX(Setup!$M$6:$M$23,15)="Y"))+((Y272="")*(INDEX(Setup!$M$6:$M$23,15)="Y")))</f>
        <v/>
      </c>
      <c r="AC272" s="90">
        <f>IF($B272="","",IF(AB272=0,"✓ covered","⚠ "&amp;AB272&amp;IF(AB272=1," gap"," gaps")))</f>
        <v/>
      </c>
    </row>
    <row r="273" ht="17" customHeight="1">
      <c r="A273" t="n">
        <v>6</v>
      </c>
      <c r="B273" s="29">
        <f>IF(Setup!$K$21="","",Setup!$K$21)</f>
        <v/>
      </c>
      <c r="C273" s="88" t="n"/>
      <c r="D273" s="88" t="n"/>
      <c r="E273" s="88" t="n"/>
      <c r="F273" s="89" t="n"/>
      <c r="G273" s="88" t="n"/>
      <c r="H273" s="88" t="n"/>
      <c r="I273" s="88" t="n"/>
      <c r="J273" s="89" t="n"/>
      <c r="K273" s="88" t="n"/>
      <c r="L273" s="88" t="n"/>
      <c r="M273" s="88" t="n"/>
      <c r="N273" s="89" t="n"/>
      <c r="O273" s="88" t="n"/>
      <c r="P273" s="88" t="n"/>
      <c r="Q273" s="88" t="n"/>
      <c r="R273" s="89" t="n"/>
      <c r="S273" s="88" t="n"/>
      <c r="T273" s="88" t="n"/>
      <c r="U273" s="88" t="n"/>
      <c r="V273" s="89" t="n"/>
      <c r="W273" s="88" t="n"/>
      <c r="X273" s="89" t="n"/>
      <c r="Y273" s="88" t="n"/>
      <c r="Z273" s="89" t="n"/>
      <c r="AB273" s="30">
        <f>IF($B273="","",(COUNTIF(C273:E273,"?*")&lt;N(INDEX(Setup!$L$6:$L$23,16)))+(COUNTIF(G273:I273,"?*")&lt;N(INDEX(Setup!$L$6:$L$23,16)))+(COUNTIF(K273:M273,"?*")&lt;N(INDEX(Setup!$L$6:$L$23,16)))+(COUNTIF(O273:Q273,"?*")&lt;N(INDEX(Setup!$L$6:$L$23,16)))+(COUNTIF(S273:U273,"?*")&lt;N(INDEX(Setup!$L$6:$L$23,16)))+((W273="")*(INDEX(Setup!$M$6:$M$23,16)="Y"))+((Y273="")*(INDEX(Setup!$M$6:$M$23,16)="Y")))</f>
        <v/>
      </c>
      <c r="AC273" s="91">
        <f>IF($B273="","",IF(AB273=0,"✓ covered","⚠ "&amp;AB273&amp;IF(AB273=1," gap"," gaps")))</f>
        <v/>
      </c>
    </row>
    <row r="274" ht="17" customHeight="1">
      <c r="A274" t="n">
        <v>6</v>
      </c>
      <c r="B274" s="24">
        <f>IF(Setup!$K$22="","",Setup!$K$22)</f>
        <v/>
      </c>
      <c r="C274" s="88" t="n"/>
      <c r="D274" s="88" t="n"/>
      <c r="E274" s="88" t="n"/>
      <c r="F274" s="89" t="n"/>
      <c r="G274" s="88" t="n"/>
      <c r="H274" s="88" t="n"/>
      <c r="I274" s="88" t="n"/>
      <c r="J274" s="89" t="n"/>
      <c r="K274" s="88" t="n"/>
      <c r="L274" s="88" t="n"/>
      <c r="M274" s="88" t="n"/>
      <c r="N274" s="89" t="n"/>
      <c r="O274" s="88" t="n"/>
      <c r="P274" s="88" t="n"/>
      <c r="Q274" s="88" t="n"/>
      <c r="R274" s="89" t="n"/>
      <c r="S274" s="88" t="n"/>
      <c r="T274" s="88" t="n"/>
      <c r="U274" s="88" t="n"/>
      <c r="V274" s="89" t="n"/>
      <c r="W274" s="88" t="n"/>
      <c r="X274" s="89" t="n"/>
      <c r="Y274" s="88" t="n"/>
      <c r="Z274" s="89" t="n"/>
      <c r="AB274" s="25">
        <f>IF($B274="","",(COUNTIF(C274:E274,"?*")&lt;N(INDEX(Setup!$L$6:$L$23,17)))+(COUNTIF(G274:I274,"?*")&lt;N(INDEX(Setup!$L$6:$L$23,17)))+(COUNTIF(K274:M274,"?*")&lt;N(INDEX(Setup!$L$6:$L$23,17)))+(COUNTIF(O274:Q274,"?*")&lt;N(INDEX(Setup!$L$6:$L$23,17)))+(COUNTIF(S274:U274,"?*")&lt;N(INDEX(Setup!$L$6:$L$23,17)))+((W274="")*(INDEX(Setup!$M$6:$M$23,17)="Y"))+((Y274="")*(INDEX(Setup!$M$6:$M$23,17)="Y")))</f>
        <v/>
      </c>
      <c r="AC274" s="90">
        <f>IF($B274="","",IF(AB274=0,"✓ covered","⚠ "&amp;AB274&amp;IF(AB274=1," gap"," gaps")))</f>
        <v/>
      </c>
    </row>
    <row r="275" ht="17" customHeight="1">
      <c r="A275" t="n">
        <v>6</v>
      </c>
      <c r="B275" s="29">
        <f>IF(Setup!$K$23="","",Setup!$K$23)</f>
        <v/>
      </c>
      <c r="C275" s="88" t="n"/>
      <c r="D275" s="88" t="n"/>
      <c r="E275" s="88" t="n"/>
      <c r="F275" s="89" t="n"/>
      <c r="G275" s="88" t="n"/>
      <c r="H275" s="88" t="n"/>
      <c r="I275" s="88" t="n"/>
      <c r="J275" s="89" t="n"/>
      <c r="K275" s="88" t="n"/>
      <c r="L275" s="88" t="n"/>
      <c r="M275" s="88" t="n"/>
      <c r="N275" s="89" t="n"/>
      <c r="O275" s="88" t="n"/>
      <c r="P275" s="88" t="n"/>
      <c r="Q275" s="88" t="n"/>
      <c r="R275" s="89" t="n"/>
      <c r="S275" s="88" t="n"/>
      <c r="T275" s="88" t="n"/>
      <c r="U275" s="88" t="n"/>
      <c r="V275" s="89" t="n"/>
      <c r="W275" s="88" t="n"/>
      <c r="X275" s="89" t="n"/>
      <c r="Y275" s="88" t="n"/>
      <c r="Z275" s="89" t="n"/>
      <c r="AB275" s="30">
        <f>IF($B275="","",(COUNTIF(C275:E275,"?*")&lt;N(INDEX(Setup!$L$6:$L$23,18)))+(COUNTIF(G275:I275,"?*")&lt;N(INDEX(Setup!$L$6:$L$23,18)))+(COUNTIF(K275:M275,"?*")&lt;N(INDEX(Setup!$L$6:$L$23,18)))+(COUNTIF(O275:Q275,"?*")&lt;N(INDEX(Setup!$L$6:$L$23,18)))+(COUNTIF(S275:U275,"?*")&lt;N(INDEX(Setup!$L$6:$L$23,18)))+((W275="")*(INDEX(Setup!$M$6:$M$23,18)="Y"))+((Y275="")*(INDEX(Setup!$M$6:$M$23,18)="Y")))</f>
        <v/>
      </c>
      <c r="AC275" s="91">
        <f>IF($B275="","",IF(AB275=0,"✓ covered","⚠ "&amp;AB275&amp;IF(AB275=1," gap"," gaps")))</f>
        <v/>
      </c>
    </row>
    <row r="276" ht="18" customHeight="1">
      <c r="A276" t="n">
        <v>6</v>
      </c>
      <c r="B276" s="78" t="inlineStr">
        <is>
          <t>TEAM AVAILABILITY</t>
        </is>
      </c>
      <c r="C276" s="92" t="inlineStr">
        <is>
          <t>Mon</t>
        </is>
      </c>
      <c r="D276" s="93" t="n"/>
      <c r="E276" s="93" t="n"/>
      <c r="F276" s="94" t="n"/>
      <c r="G276" s="92" t="inlineStr">
        <is>
          <t>Tue</t>
        </is>
      </c>
      <c r="H276" s="93" t="n"/>
      <c r="I276" s="93" t="n"/>
      <c r="J276" s="94" t="n"/>
      <c r="K276" s="92" t="inlineStr">
        <is>
          <t>Wed</t>
        </is>
      </c>
      <c r="L276" s="93" t="n"/>
      <c r="M276" s="93" t="n"/>
      <c r="N276" s="94" t="n"/>
      <c r="O276" s="92" t="inlineStr">
        <is>
          <t>Thu</t>
        </is>
      </c>
      <c r="P276" s="93" t="n"/>
      <c r="Q276" s="93" t="n"/>
      <c r="R276" s="94" t="n"/>
      <c r="S276" s="92" t="inlineStr">
        <is>
          <t>Fri</t>
        </is>
      </c>
      <c r="T276" s="93" t="n"/>
      <c r="U276" s="93" t="n"/>
      <c r="V276" s="94" t="n"/>
      <c r="W276" s="95" t="inlineStr">
        <is>
          <t>Sat</t>
        </is>
      </c>
      <c r="X276" s="96" t="n"/>
      <c r="Y276" s="95" t="inlineStr">
        <is>
          <t>Sun</t>
        </is>
      </c>
      <c r="Z276" s="96" t="n"/>
      <c r="AB276" s="97" t="inlineStr">
        <is>
          <t>Days rostered</t>
        </is>
      </c>
      <c r="AC276" s="97" t="inlineStr">
        <is>
          <t>Conflicts</t>
        </is>
      </c>
    </row>
    <row r="277" ht="15" customHeight="1">
      <c r="A277" t="n">
        <v>6</v>
      </c>
      <c r="B277" s="35">
        <f>IF(Setup!$B$6="","",Setup!$B$6)</f>
        <v/>
      </c>
      <c r="C277" s="98" t="n"/>
      <c r="D277" s="99" t="n"/>
      <c r="E277" s="99" t="n"/>
      <c r="F277" s="100" t="n"/>
      <c r="G277" s="98" t="n"/>
      <c r="H277" s="99" t="n"/>
      <c r="I277" s="99" t="n"/>
      <c r="J277" s="100" t="n"/>
      <c r="K277" s="98" t="n"/>
      <c r="L277" s="99" t="n"/>
      <c r="M277" s="99" t="n"/>
      <c r="N277" s="100" t="n"/>
      <c r="O277" s="98" t="n"/>
      <c r="P277" s="99" t="n"/>
      <c r="Q277" s="99" t="n"/>
      <c r="R277" s="100" t="n"/>
      <c r="S277" s="98" t="n"/>
      <c r="T277" s="99" t="n"/>
      <c r="U277" s="99" t="n"/>
      <c r="V277" s="100" t="n"/>
      <c r="W277" s="98" t="n"/>
      <c r="X277" s="100" t="n"/>
      <c r="Y277" s="98" t="n"/>
      <c r="Z277" s="100" t="n"/>
      <c r="AB277" s="101">
        <f>IF($B277="","",(COUNTIF(C258:E275,$B277)+COUNTIF(C258:E275,$B277&amp;" ~*")&gt;0)+(COUNTIF(G258:I275,$B277)+COUNTIF(G258:I275,$B277&amp;" ~*")&gt;0)+(COUNTIF(K258:M275,$B277)+COUNTIF(K258:M275,$B277&amp;" ~*")&gt;0)+(COUNTIF(O258:Q275,$B277)+COUNTIF(O258:Q275,$B277&amp;" ~*")&gt;0)+(COUNTIF(S258:U275,$B277)+COUNTIF(S258:U275,$B277&amp;" ~*")&gt;0)+(COUNTIF(W258:W275,$B277)+COUNTIF(W258:W275,$B277&amp;" ~*")&gt;0)+(COUNTIF(Y258:Y275,$B277)+COUNTIF(Y258:Y275,$B277&amp;" ~*")&gt;0))</f>
        <v/>
      </c>
      <c r="AC277" s="36">
        <f>IF($B277="","",(IFERROR(INDEX(Setup!$G$33:$G$40,MATCH(C277,Setup!$B$33:$B$40,0)),0)=1)*(COUNTIF(C258:E275,$B277)+COUNTIF(C258:E275,$B277&amp;" ~*")&gt;0)+(IFERROR(INDEX(Setup!$G$33:$G$40,MATCH(G277,Setup!$B$33:$B$40,0)),0)=1)*(COUNTIF(G258:I275,$B277)+COUNTIF(G258:I275,$B277&amp;" ~*")&gt;0)+(IFERROR(INDEX(Setup!$G$33:$G$40,MATCH(K277,Setup!$B$33:$B$40,0)),0)=1)*(COUNTIF(K258:M275,$B277)+COUNTIF(K258:M275,$B277&amp;" ~*")&gt;0)+(IFERROR(INDEX(Setup!$G$33:$G$40,MATCH(O277,Setup!$B$33:$B$40,0)),0)=1)*(COUNTIF(O258:Q275,$B277)+COUNTIF(O258:Q275,$B277&amp;" ~*")&gt;0)+(IFERROR(INDEX(Setup!$G$33:$G$40,MATCH(S277,Setup!$B$33:$B$40,0)),0)=1)*(COUNTIF(S258:U275,$B277)+COUNTIF(S258:U275,$B277&amp;" ~*")&gt;0)+(IFERROR(INDEX(Setup!$G$33:$G$40,MATCH(W277,Setup!$B$33:$B$40,0)),0)=1)*(COUNTIF(W258:W275,$B277)+COUNTIF(W258:W275,$B277&amp;" ~*")&gt;0)+(IFERROR(INDEX(Setup!$G$33:$G$40,MATCH(Y277,Setup!$B$33:$B$40,0)),0)=1)*(COUNTIF(Y258:Y275,$B277)+COUNTIF(Y258:Y275,$B277&amp;" ~*")&gt;0))</f>
        <v/>
      </c>
    </row>
    <row r="278" ht="15" customHeight="1">
      <c r="A278" t="n">
        <v>6</v>
      </c>
      <c r="B278" s="37">
        <f>IF(Setup!$B$7="","",Setup!$B$7)</f>
        <v/>
      </c>
      <c r="C278" s="102" t="n"/>
      <c r="D278" s="103" t="n"/>
      <c r="E278" s="103" t="n"/>
      <c r="F278" s="104" t="n"/>
      <c r="G278" s="102" t="n"/>
      <c r="H278" s="103" t="n"/>
      <c r="I278" s="103" t="n"/>
      <c r="J278" s="104" t="n"/>
      <c r="K278" s="102" t="n"/>
      <c r="L278" s="103" t="n"/>
      <c r="M278" s="103" t="n"/>
      <c r="N278" s="104" t="n"/>
      <c r="O278" s="102" t="n"/>
      <c r="P278" s="103" t="n"/>
      <c r="Q278" s="103" t="n"/>
      <c r="R278" s="104" t="n"/>
      <c r="S278" s="102" t="n"/>
      <c r="T278" s="103" t="n"/>
      <c r="U278" s="103" t="n"/>
      <c r="V278" s="104" t="n"/>
      <c r="W278" s="102" t="n"/>
      <c r="X278" s="104" t="n"/>
      <c r="Y278" s="102" t="n"/>
      <c r="Z278" s="104" t="n"/>
      <c r="AB278" s="105">
        <f>IF($B278="","",(COUNTIF(C258:E275,$B278)+COUNTIF(C258:E275,$B278&amp;" ~*")&gt;0)+(COUNTIF(G258:I275,$B278)+COUNTIF(G258:I275,$B278&amp;" ~*")&gt;0)+(COUNTIF(K258:M275,$B278)+COUNTIF(K258:M275,$B278&amp;" ~*")&gt;0)+(COUNTIF(O258:Q275,$B278)+COUNTIF(O258:Q275,$B278&amp;" ~*")&gt;0)+(COUNTIF(S258:U275,$B278)+COUNTIF(S258:U275,$B278&amp;" ~*")&gt;0)+(COUNTIF(W258:W275,$B278)+COUNTIF(W258:W275,$B278&amp;" ~*")&gt;0)+(COUNTIF(Y258:Y275,$B278)+COUNTIF(Y258:Y275,$B278&amp;" ~*")&gt;0))</f>
        <v/>
      </c>
      <c r="AC278" s="38">
        <f>IF($B278="","",(IFERROR(INDEX(Setup!$G$33:$G$40,MATCH(C278,Setup!$B$33:$B$40,0)),0)=1)*(COUNTIF(C258:E275,$B278)+COUNTIF(C258:E275,$B278&amp;" ~*")&gt;0)+(IFERROR(INDEX(Setup!$G$33:$G$40,MATCH(G278,Setup!$B$33:$B$40,0)),0)=1)*(COUNTIF(G258:I275,$B278)+COUNTIF(G258:I275,$B278&amp;" ~*")&gt;0)+(IFERROR(INDEX(Setup!$G$33:$G$40,MATCH(K278,Setup!$B$33:$B$40,0)),0)=1)*(COUNTIF(K258:M275,$B278)+COUNTIF(K258:M275,$B278&amp;" ~*")&gt;0)+(IFERROR(INDEX(Setup!$G$33:$G$40,MATCH(O278,Setup!$B$33:$B$40,0)),0)=1)*(COUNTIF(O258:Q275,$B278)+COUNTIF(O258:Q275,$B278&amp;" ~*")&gt;0)+(IFERROR(INDEX(Setup!$G$33:$G$40,MATCH(S278,Setup!$B$33:$B$40,0)),0)=1)*(COUNTIF(S258:U275,$B278)+COUNTIF(S258:U275,$B278&amp;" ~*")&gt;0)+(IFERROR(INDEX(Setup!$G$33:$G$40,MATCH(W278,Setup!$B$33:$B$40,0)),0)=1)*(COUNTIF(W258:W275,$B278)+COUNTIF(W258:W275,$B278&amp;" ~*")&gt;0)+(IFERROR(INDEX(Setup!$G$33:$G$40,MATCH(Y278,Setup!$B$33:$B$40,0)),0)=1)*(COUNTIF(Y258:Y275,$B278)+COUNTIF(Y258:Y275,$B278&amp;" ~*")&gt;0))</f>
        <v/>
      </c>
    </row>
    <row r="279" ht="15" customHeight="1">
      <c r="A279" t="n">
        <v>6</v>
      </c>
      <c r="B279" s="35">
        <f>IF(Setup!$B$8="","",Setup!$B$8)</f>
        <v/>
      </c>
      <c r="C279" s="98" t="n"/>
      <c r="D279" s="99" t="n"/>
      <c r="E279" s="99" t="n"/>
      <c r="F279" s="100" t="n"/>
      <c r="G279" s="98" t="n"/>
      <c r="H279" s="99" t="n"/>
      <c r="I279" s="99" t="n"/>
      <c r="J279" s="100" t="n"/>
      <c r="K279" s="98" t="n"/>
      <c r="L279" s="99" t="n"/>
      <c r="M279" s="99" t="n"/>
      <c r="N279" s="100" t="n"/>
      <c r="O279" s="98" t="n"/>
      <c r="P279" s="99" t="n"/>
      <c r="Q279" s="99" t="n"/>
      <c r="R279" s="100" t="n"/>
      <c r="S279" s="98" t="n"/>
      <c r="T279" s="99" t="n"/>
      <c r="U279" s="99" t="n"/>
      <c r="V279" s="100" t="n"/>
      <c r="W279" s="98" t="n"/>
      <c r="X279" s="100" t="n"/>
      <c r="Y279" s="98" t="n"/>
      <c r="Z279" s="100" t="n"/>
      <c r="AB279" s="101">
        <f>IF($B279="","",(COUNTIF(C258:E275,$B279)+COUNTIF(C258:E275,$B279&amp;" ~*")&gt;0)+(COUNTIF(G258:I275,$B279)+COUNTIF(G258:I275,$B279&amp;" ~*")&gt;0)+(COUNTIF(K258:M275,$B279)+COUNTIF(K258:M275,$B279&amp;" ~*")&gt;0)+(COUNTIF(O258:Q275,$B279)+COUNTIF(O258:Q275,$B279&amp;" ~*")&gt;0)+(COUNTIF(S258:U275,$B279)+COUNTIF(S258:U275,$B279&amp;" ~*")&gt;0)+(COUNTIF(W258:W275,$B279)+COUNTIF(W258:W275,$B279&amp;" ~*")&gt;0)+(COUNTIF(Y258:Y275,$B279)+COUNTIF(Y258:Y275,$B279&amp;" ~*")&gt;0))</f>
        <v/>
      </c>
      <c r="AC279" s="36">
        <f>IF($B279="","",(IFERROR(INDEX(Setup!$G$33:$G$40,MATCH(C279,Setup!$B$33:$B$40,0)),0)=1)*(COUNTIF(C258:E275,$B279)+COUNTIF(C258:E275,$B279&amp;" ~*")&gt;0)+(IFERROR(INDEX(Setup!$G$33:$G$40,MATCH(G279,Setup!$B$33:$B$40,0)),0)=1)*(COUNTIF(G258:I275,$B279)+COUNTIF(G258:I275,$B279&amp;" ~*")&gt;0)+(IFERROR(INDEX(Setup!$G$33:$G$40,MATCH(K279,Setup!$B$33:$B$40,0)),0)=1)*(COUNTIF(K258:M275,$B279)+COUNTIF(K258:M275,$B279&amp;" ~*")&gt;0)+(IFERROR(INDEX(Setup!$G$33:$G$40,MATCH(O279,Setup!$B$33:$B$40,0)),0)=1)*(COUNTIF(O258:Q275,$B279)+COUNTIF(O258:Q275,$B279&amp;" ~*")&gt;0)+(IFERROR(INDEX(Setup!$G$33:$G$40,MATCH(S279,Setup!$B$33:$B$40,0)),0)=1)*(COUNTIF(S258:U275,$B279)+COUNTIF(S258:U275,$B279&amp;" ~*")&gt;0)+(IFERROR(INDEX(Setup!$G$33:$G$40,MATCH(W279,Setup!$B$33:$B$40,0)),0)=1)*(COUNTIF(W258:W275,$B279)+COUNTIF(W258:W275,$B279&amp;" ~*")&gt;0)+(IFERROR(INDEX(Setup!$G$33:$G$40,MATCH(Y279,Setup!$B$33:$B$40,0)),0)=1)*(COUNTIF(Y258:Y275,$B279)+COUNTIF(Y258:Y275,$B279&amp;" ~*")&gt;0))</f>
        <v/>
      </c>
    </row>
    <row r="280" ht="15" customHeight="1">
      <c r="A280" t="n">
        <v>6</v>
      </c>
      <c r="B280" s="37">
        <f>IF(Setup!$B$9="","",Setup!$B$9)</f>
        <v/>
      </c>
      <c r="C280" s="102" t="n"/>
      <c r="D280" s="103" t="n"/>
      <c r="E280" s="103" t="n"/>
      <c r="F280" s="104" t="n"/>
      <c r="G280" s="102" t="n"/>
      <c r="H280" s="103" t="n"/>
      <c r="I280" s="103" t="n"/>
      <c r="J280" s="104" t="n"/>
      <c r="K280" s="102" t="n"/>
      <c r="L280" s="103" t="n"/>
      <c r="M280" s="103" t="n"/>
      <c r="N280" s="104" t="n"/>
      <c r="O280" s="102" t="n"/>
      <c r="P280" s="103" t="n"/>
      <c r="Q280" s="103" t="n"/>
      <c r="R280" s="104" t="n"/>
      <c r="S280" s="102" t="n"/>
      <c r="T280" s="103" t="n"/>
      <c r="U280" s="103" t="n"/>
      <c r="V280" s="104" t="n"/>
      <c r="W280" s="102" t="n"/>
      <c r="X280" s="104" t="n"/>
      <c r="Y280" s="102" t="n"/>
      <c r="Z280" s="104" t="n"/>
      <c r="AB280" s="105">
        <f>IF($B280="","",(COUNTIF(C258:E275,$B280)+COUNTIF(C258:E275,$B280&amp;" ~*")&gt;0)+(COUNTIF(G258:I275,$B280)+COUNTIF(G258:I275,$B280&amp;" ~*")&gt;0)+(COUNTIF(K258:M275,$B280)+COUNTIF(K258:M275,$B280&amp;" ~*")&gt;0)+(COUNTIF(O258:Q275,$B280)+COUNTIF(O258:Q275,$B280&amp;" ~*")&gt;0)+(COUNTIF(S258:U275,$B280)+COUNTIF(S258:U275,$B280&amp;" ~*")&gt;0)+(COUNTIF(W258:W275,$B280)+COUNTIF(W258:W275,$B280&amp;" ~*")&gt;0)+(COUNTIF(Y258:Y275,$B280)+COUNTIF(Y258:Y275,$B280&amp;" ~*")&gt;0))</f>
        <v/>
      </c>
      <c r="AC280" s="38">
        <f>IF($B280="","",(IFERROR(INDEX(Setup!$G$33:$G$40,MATCH(C280,Setup!$B$33:$B$40,0)),0)=1)*(COUNTIF(C258:E275,$B280)+COUNTIF(C258:E275,$B280&amp;" ~*")&gt;0)+(IFERROR(INDEX(Setup!$G$33:$G$40,MATCH(G280,Setup!$B$33:$B$40,0)),0)=1)*(COUNTIF(G258:I275,$B280)+COUNTIF(G258:I275,$B280&amp;" ~*")&gt;0)+(IFERROR(INDEX(Setup!$G$33:$G$40,MATCH(K280,Setup!$B$33:$B$40,0)),0)=1)*(COUNTIF(K258:M275,$B280)+COUNTIF(K258:M275,$B280&amp;" ~*")&gt;0)+(IFERROR(INDEX(Setup!$G$33:$G$40,MATCH(O280,Setup!$B$33:$B$40,0)),0)=1)*(COUNTIF(O258:Q275,$B280)+COUNTIF(O258:Q275,$B280&amp;" ~*")&gt;0)+(IFERROR(INDEX(Setup!$G$33:$G$40,MATCH(S280,Setup!$B$33:$B$40,0)),0)=1)*(COUNTIF(S258:U275,$B280)+COUNTIF(S258:U275,$B280&amp;" ~*")&gt;0)+(IFERROR(INDEX(Setup!$G$33:$G$40,MATCH(W280,Setup!$B$33:$B$40,0)),0)=1)*(COUNTIF(W258:W275,$B280)+COUNTIF(W258:W275,$B280&amp;" ~*")&gt;0)+(IFERROR(INDEX(Setup!$G$33:$G$40,MATCH(Y280,Setup!$B$33:$B$40,0)),0)=1)*(COUNTIF(Y258:Y275,$B280)+COUNTIF(Y258:Y275,$B280&amp;" ~*")&gt;0))</f>
        <v/>
      </c>
    </row>
    <row r="281" ht="15" customHeight="1">
      <c r="A281" t="n">
        <v>6</v>
      </c>
      <c r="B281" s="35">
        <f>IF(Setup!$B$10="","",Setup!$B$10)</f>
        <v/>
      </c>
      <c r="C281" s="98" t="n"/>
      <c r="D281" s="99" t="n"/>
      <c r="E281" s="99" t="n"/>
      <c r="F281" s="100" t="n"/>
      <c r="G281" s="98" t="n"/>
      <c r="H281" s="99" t="n"/>
      <c r="I281" s="99" t="n"/>
      <c r="J281" s="100" t="n"/>
      <c r="K281" s="98" t="n"/>
      <c r="L281" s="99" t="n"/>
      <c r="M281" s="99" t="n"/>
      <c r="N281" s="100" t="n"/>
      <c r="O281" s="98" t="n"/>
      <c r="P281" s="99" t="n"/>
      <c r="Q281" s="99" t="n"/>
      <c r="R281" s="100" t="n"/>
      <c r="S281" s="98" t="n"/>
      <c r="T281" s="99" t="n"/>
      <c r="U281" s="99" t="n"/>
      <c r="V281" s="100" t="n"/>
      <c r="W281" s="98" t="n"/>
      <c r="X281" s="100" t="n"/>
      <c r="Y281" s="98" t="n"/>
      <c r="Z281" s="100" t="n"/>
      <c r="AB281" s="101">
        <f>IF($B281="","",(COUNTIF(C258:E275,$B281)+COUNTIF(C258:E275,$B281&amp;" ~*")&gt;0)+(COUNTIF(G258:I275,$B281)+COUNTIF(G258:I275,$B281&amp;" ~*")&gt;0)+(COUNTIF(K258:M275,$B281)+COUNTIF(K258:M275,$B281&amp;" ~*")&gt;0)+(COUNTIF(O258:Q275,$B281)+COUNTIF(O258:Q275,$B281&amp;" ~*")&gt;0)+(COUNTIF(S258:U275,$B281)+COUNTIF(S258:U275,$B281&amp;" ~*")&gt;0)+(COUNTIF(W258:W275,$B281)+COUNTIF(W258:W275,$B281&amp;" ~*")&gt;0)+(COUNTIF(Y258:Y275,$B281)+COUNTIF(Y258:Y275,$B281&amp;" ~*")&gt;0))</f>
        <v/>
      </c>
      <c r="AC281" s="36">
        <f>IF($B281="","",(IFERROR(INDEX(Setup!$G$33:$G$40,MATCH(C281,Setup!$B$33:$B$40,0)),0)=1)*(COUNTIF(C258:E275,$B281)+COUNTIF(C258:E275,$B281&amp;" ~*")&gt;0)+(IFERROR(INDEX(Setup!$G$33:$G$40,MATCH(G281,Setup!$B$33:$B$40,0)),0)=1)*(COUNTIF(G258:I275,$B281)+COUNTIF(G258:I275,$B281&amp;" ~*")&gt;0)+(IFERROR(INDEX(Setup!$G$33:$G$40,MATCH(K281,Setup!$B$33:$B$40,0)),0)=1)*(COUNTIF(K258:M275,$B281)+COUNTIF(K258:M275,$B281&amp;" ~*")&gt;0)+(IFERROR(INDEX(Setup!$G$33:$G$40,MATCH(O281,Setup!$B$33:$B$40,0)),0)=1)*(COUNTIF(O258:Q275,$B281)+COUNTIF(O258:Q275,$B281&amp;" ~*")&gt;0)+(IFERROR(INDEX(Setup!$G$33:$G$40,MATCH(S281,Setup!$B$33:$B$40,0)),0)=1)*(COUNTIF(S258:U275,$B281)+COUNTIF(S258:U275,$B281&amp;" ~*")&gt;0)+(IFERROR(INDEX(Setup!$G$33:$G$40,MATCH(W281,Setup!$B$33:$B$40,0)),0)=1)*(COUNTIF(W258:W275,$B281)+COUNTIF(W258:W275,$B281&amp;" ~*")&gt;0)+(IFERROR(INDEX(Setup!$G$33:$G$40,MATCH(Y281,Setup!$B$33:$B$40,0)),0)=1)*(COUNTIF(Y258:Y275,$B281)+COUNTIF(Y258:Y275,$B281&amp;" ~*")&gt;0))</f>
        <v/>
      </c>
    </row>
    <row r="282" ht="15" customHeight="1">
      <c r="A282" t="n">
        <v>6</v>
      </c>
      <c r="B282" s="37">
        <f>IF(Setup!$B$11="","",Setup!$B$11)</f>
        <v/>
      </c>
      <c r="C282" s="102" t="n"/>
      <c r="D282" s="103" t="n"/>
      <c r="E282" s="103" t="n"/>
      <c r="F282" s="104" t="n"/>
      <c r="G282" s="102" t="n"/>
      <c r="H282" s="103" t="n"/>
      <c r="I282" s="103" t="n"/>
      <c r="J282" s="104" t="n"/>
      <c r="K282" s="102" t="n"/>
      <c r="L282" s="103" t="n"/>
      <c r="M282" s="103" t="n"/>
      <c r="N282" s="104" t="n"/>
      <c r="O282" s="102" t="n"/>
      <c r="P282" s="103" t="n"/>
      <c r="Q282" s="103" t="n"/>
      <c r="R282" s="104" t="n"/>
      <c r="S282" s="102" t="n"/>
      <c r="T282" s="103" t="n"/>
      <c r="U282" s="103" t="n"/>
      <c r="V282" s="104" t="n"/>
      <c r="W282" s="102" t="n"/>
      <c r="X282" s="104" t="n"/>
      <c r="Y282" s="102" t="n"/>
      <c r="Z282" s="104" t="n"/>
      <c r="AB282" s="105">
        <f>IF($B282="","",(COUNTIF(C258:E275,$B282)+COUNTIF(C258:E275,$B282&amp;" ~*")&gt;0)+(COUNTIF(G258:I275,$B282)+COUNTIF(G258:I275,$B282&amp;" ~*")&gt;0)+(COUNTIF(K258:M275,$B282)+COUNTIF(K258:M275,$B282&amp;" ~*")&gt;0)+(COUNTIF(O258:Q275,$B282)+COUNTIF(O258:Q275,$B282&amp;" ~*")&gt;0)+(COUNTIF(S258:U275,$B282)+COUNTIF(S258:U275,$B282&amp;" ~*")&gt;0)+(COUNTIF(W258:W275,$B282)+COUNTIF(W258:W275,$B282&amp;" ~*")&gt;0)+(COUNTIF(Y258:Y275,$B282)+COUNTIF(Y258:Y275,$B282&amp;" ~*")&gt;0))</f>
        <v/>
      </c>
      <c r="AC282" s="38">
        <f>IF($B282="","",(IFERROR(INDEX(Setup!$G$33:$G$40,MATCH(C282,Setup!$B$33:$B$40,0)),0)=1)*(COUNTIF(C258:E275,$B282)+COUNTIF(C258:E275,$B282&amp;" ~*")&gt;0)+(IFERROR(INDEX(Setup!$G$33:$G$40,MATCH(G282,Setup!$B$33:$B$40,0)),0)=1)*(COUNTIF(G258:I275,$B282)+COUNTIF(G258:I275,$B282&amp;" ~*")&gt;0)+(IFERROR(INDEX(Setup!$G$33:$G$40,MATCH(K282,Setup!$B$33:$B$40,0)),0)=1)*(COUNTIF(K258:M275,$B282)+COUNTIF(K258:M275,$B282&amp;" ~*")&gt;0)+(IFERROR(INDEX(Setup!$G$33:$G$40,MATCH(O282,Setup!$B$33:$B$40,0)),0)=1)*(COUNTIF(O258:Q275,$B282)+COUNTIF(O258:Q275,$B282&amp;" ~*")&gt;0)+(IFERROR(INDEX(Setup!$G$33:$G$40,MATCH(S282,Setup!$B$33:$B$40,0)),0)=1)*(COUNTIF(S258:U275,$B282)+COUNTIF(S258:U275,$B282&amp;" ~*")&gt;0)+(IFERROR(INDEX(Setup!$G$33:$G$40,MATCH(W282,Setup!$B$33:$B$40,0)),0)=1)*(COUNTIF(W258:W275,$B282)+COUNTIF(W258:W275,$B282&amp;" ~*")&gt;0)+(IFERROR(INDEX(Setup!$G$33:$G$40,MATCH(Y282,Setup!$B$33:$B$40,0)),0)=1)*(COUNTIF(Y258:Y275,$B282)+COUNTIF(Y258:Y275,$B282&amp;" ~*")&gt;0))</f>
        <v/>
      </c>
    </row>
    <row r="283" ht="15" customHeight="1">
      <c r="A283" t="n">
        <v>6</v>
      </c>
      <c r="B283" s="35">
        <f>IF(Setup!$B$12="","",Setup!$B$12)</f>
        <v/>
      </c>
      <c r="C283" s="98" t="n"/>
      <c r="D283" s="99" t="n"/>
      <c r="E283" s="99" t="n"/>
      <c r="F283" s="100" t="n"/>
      <c r="G283" s="98" t="n"/>
      <c r="H283" s="99" t="n"/>
      <c r="I283" s="99" t="n"/>
      <c r="J283" s="100" t="n"/>
      <c r="K283" s="98" t="n"/>
      <c r="L283" s="99" t="n"/>
      <c r="M283" s="99" t="n"/>
      <c r="N283" s="100" t="n"/>
      <c r="O283" s="98" t="n"/>
      <c r="P283" s="99" t="n"/>
      <c r="Q283" s="99" t="n"/>
      <c r="R283" s="100" t="n"/>
      <c r="S283" s="98" t="n"/>
      <c r="T283" s="99" t="n"/>
      <c r="U283" s="99" t="n"/>
      <c r="V283" s="100" t="n"/>
      <c r="W283" s="98" t="n"/>
      <c r="X283" s="100" t="n"/>
      <c r="Y283" s="98" t="n"/>
      <c r="Z283" s="100" t="n"/>
      <c r="AB283" s="101">
        <f>IF($B283="","",(COUNTIF(C258:E275,$B283)+COUNTIF(C258:E275,$B283&amp;" ~*")&gt;0)+(COUNTIF(G258:I275,$B283)+COUNTIF(G258:I275,$B283&amp;" ~*")&gt;0)+(COUNTIF(K258:M275,$B283)+COUNTIF(K258:M275,$B283&amp;" ~*")&gt;0)+(COUNTIF(O258:Q275,$B283)+COUNTIF(O258:Q275,$B283&amp;" ~*")&gt;0)+(COUNTIF(S258:U275,$B283)+COUNTIF(S258:U275,$B283&amp;" ~*")&gt;0)+(COUNTIF(W258:W275,$B283)+COUNTIF(W258:W275,$B283&amp;" ~*")&gt;0)+(COUNTIF(Y258:Y275,$B283)+COUNTIF(Y258:Y275,$B283&amp;" ~*")&gt;0))</f>
        <v/>
      </c>
      <c r="AC283" s="36">
        <f>IF($B283="","",(IFERROR(INDEX(Setup!$G$33:$G$40,MATCH(C283,Setup!$B$33:$B$40,0)),0)=1)*(COUNTIF(C258:E275,$B283)+COUNTIF(C258:E275,$B283&amp;" ~*")&gt;0)+(IFERROR(INDEX(Setup!$G$33:$G$40,MATCH(G283,Setup!$B$33:$B$40,0)),0)=1)*(COUNTIF(G258:I275,$B283)+COUNTIF(G258:I275,$B283&amp;" ~*")&gt;0)+(IFERROR(INDEX(Setup!$G$33:$G$40,MATCH(K283,Setup!$B$33:$B$40,0)),0)=1)*(COUNTIF(K258:M275,$B283)+COUNTIF(K258:M275,$B283&amp;" ~*")&gt;0)+(IFERROR(INDEX(Setup!$G$33:$G$40,MATCH(O283,Setup!$B$33:$B$40,0)),0)=1)*(COUNTIF(O258:Q275,$B283)+COUNTIF(O258:Q275,$B283&amp;" ~*")&gt;0)+(IFERROR(INDEX(Setup!$G$33:$G$40,MATCH(S283,Setup!$B$33:$B$40,0)),0)=1)*(COUNTIF(S258:U275,$B283)+COUNTIF(S258:U275,$B283&amp;" ~*")&gt;0)+(IFERROR(INDEX(Setup!$G$33:$G$40,MATCH(W283,Setup!$B$33:$B$40,0)),0)=1)*(COUNTIF(W258:W275,$B283)+COUNTIF(W258:W275,$B283&amp;" ~*")&gt;0)+(IFERROR(INDEX(Setup!$G$33:$G$40,MATCH(Y283,Setup!$B$33:$B$40,0)),0)=1)*(COUNTIF(Y258:Y275,$B283)+COUNTIF(Y258:Y275,$B283&amp;" ~*")&gt;0))</f>
        <v/>
      </c>
    </row>
    <row r="284" ht="15" customHeight="1">
      <c r="A284" t="n">
        <v>6</v>
      </c>
      <c r="B284" s="37">
        <f>IF(Setup!$B$13="","",Setup!$B$13)</f>
        <v/>
      </c>
      <c r="C284" s="102" t="n"/>
      <c r="D284" s="103" t="n"/>
      <c r="E284" s="103" t="n"/>
      <c r="F284" s="104" t="n"/>
      <c r="G284" s="102" t="n"/>
      <c r="H284" s="103" t="n"/>
      <c r="I284" s="103" t="n"/>
      <c r="J284" s="104" t="n"/>
      <c r="K284" s="102" t="n"/>
      <c r="L284" s="103" t="n"/>
      <c r="M284" s="103" t="n"/>
      <c r="N284" s="104" t="n"/>
      <c r="O284" s="102" t="n"/>
      <c r="P284" s="103" t="n"/>
      <c r="Q284" s="103" t="n"/>
      <c r="R284" s="104" t="n"/>
      <c r="S284" s="102" t="n"/>
      <c r="T284" s="103" t="n"/>
      <c r="U284" s="103" t="n"/>
      <c r="V284" s="104" t="n"/>
      <c r="W284" s="102" t="n"/>
      <c r="X284" s="104" t="n"/>
      <c r="Y284" s="102" t="n"/>
      <c r="Z284" s="104" t="n"/>
      <c r="AB284" s="105">
        <f>IF($B284="","",(COUNTIF(C258:E275,$B284)+COUNTIF(C258:E275,$B284&amp;" ~*")&gt;0)+(COUNTIF(G258:I275,$B284)+COUNTIF(G258:I275,$B284&amp;" ~*")&gt;0)+(COUNTIF(K258:M275,$B284)+COUNTIF(K258:M275,$B284&amp;" ~*")&gt;0)+(COUNTIF(O258:Q275,$B284)+COUNTIF(O258:Q275,$B284&amp;" ~*")&gt;0)+(COUNTIF(S258:U275,$B284)+COUNTIF(S258:U275,$B284&amp;" ~*")&gt;0)+(COUNTIF(W258:W275,$B284)+COUNTIF(W258:W275,$B284&amp;" ~*")&gt;0)+(COUNTIF(Y258:Y275,$B284)+COUNTIF(Y258:Y275,$B284&amp;" ~*")&gt;0))</f>
        <v/>
      </c>
      <c r="AC284" s="38">
        <f>IF($B284="","",(IFERROR(INDEX(Setup!$G$33:$G$40,MATCH(C284,Setup!$B$33:$B$40,0)),0)=1)*(COUNTIF(C258:E275,$B284)+COUNTIF(C258:E275,$B284&amp;" ~*")&gt;0)+(IFERROR(INDEX(Setup!$G$33:$G$40,MATCH(G284,Setup!$B$33:$B$40,0)),0)=1)*(COUNTIF(G258:I275,$B284)+COUNTIF(G258:I275,$B284&amp;" ~*")&gt;0)+(IFERROR(INDEX(Setup!$G$33:$G$40,MATCH(K284,Setup!$B$33:$B$40,0)),0)=1)*(COUNTIF(K258:M275,$B284)+COUNTIF(K258:M275,$B284&amp;" ~*")&gt;0)+(IFERROR(INDEX(Setup!$G$33:$G$40,MATCH(O284,Setup!$B$33:$B$40,0)),0)=1)*(COUNTIF(O258:Q275,$B284)+COUNTIF(O258:Q275,$B284&amp;" ~*")&gt;0)+(IFERROR(INDEX(Setup!$G$33:$G$40,MATCH(S284,Setup!$B$33:$B$40,0)),0)=1)*(COUNTIF(S258:U275,$B284)+COUNTIF(S258:U275,$B284&amp;" ~*")&gt;0)+(IFERROR(INDEX(Setup!$G$33:$G$40,MATCH(W284,Setup!$B$33:$B$40,0)),0)=1)*(COUNTIF(W258:W275,$B284)+COUNTIF(W258:W275,$B284&amp;" ~*")&gt;0)+(IFERROR(INDEX(Setup!$G$33:$G$40,MATCH(Y284,Setup!$B$33:$B$40,0)),0)=1)*(COUNTIF(Y258:Y275,$B284)+COUNTIF(Y258:Y275,$B284&amp;" ~*")&gt;0))</f>
        <v/>
      </c>
    </row>
    <row r="285" ht="15" customHeight="1">
      <c r="A285" t="n">
        <v>6</v>
      </c>
      <c r="B285" s="35">
        <f>IF(Setup!$B$14="","",Setup!$B$14)</f>
        <v/>
      </c>
      <c r="C285" s="98" t="n"/>
      <c r="D285" s="99" t="n"/>
      <c r="E285" s="99" t="n"/>
      <c r="F285" s="100" t="n"/>
      <c r="G285" s="98" t="n"/>
      <c r="H285" s="99" t="n"/>
      <c r="I285" s="99" t="n"/>
      <c r="J285" s="100" t="n"/>
      <c r="K285" s="98" t="n"/>
      <c r="L285" s="99" t="n"/>
      <c r="M285" s="99" t="n"/>
      <c r="N285" s="100" t="n"/>
      <c r="O285" s="98" t="n"/>
      <c r="P285" s="99" t="n"/>
      <c r="Q285" s="99" t="n"/>
      <c r="R285" s="100" t="n"/>
      <c r="S285" s="98" t="n"/>
      <c r="T285" s="99" t="n"/>
      <c r="U285" s="99" t="n"/>
      <c r="V285" s="100" t="n"/>
      <c r="W285" s="98" t="n"/>
      <c r="X285" s="100" t="n"/>
      <c r="Y285" s="98" t="n"/>
      <c r="Z285" s="100" t="n"/>
      <c r="AB285" s="101">
        <f>IF($B285="","",(COUNTIF(C258:E275,$B285)+COUNTIF(C258:E275,$B285&amp;" ~*")&gt;0)+(COUNTIF(G258:I275,$B285)+COUNTIF(G258:I275,$B285&amp;" ~*")&gt;0)+(COUNTIF(K258:M275,$B285)+COUNTIF(K258:M275,$B285&amp;" ~*")&gt;0)+(COUNTIF(O258:Q275,$B285)+COUNTIF(O258:Q275,$B285&amp;" ~*")&gt;0)+(COUNTIF(S258:U275,$B285)+COUNTIF(S258:U275,$B285&amp;" ~*")&gt;0)+(COUNTIF(W258:W275,$B285)+COUNTIF(W258:W275,$B285&amp;" ~*")&gt;0)+(COUNTIF(Y258:Y275,$B285)+COUNTIF(Y258:Y275,$B285&amp;" ~*")&gt;0))</f>
        <v/>
      </c>
      <c r="AC285" s="36">
        <f>IF($B285="","",(IFERROR(INDEX(Setup!$G$33:$G$40,MATCH(C285,Setup!$B$33:$B$40,0)),0)=1)*(COUNTIF(C258:E275,$B285)+COUNTIF(C258:E275,$B285&amp;" ~*")&gt;0)+(IFERROR(INDEX(Setup!$G$33:$G$40,MATCH(G285,Setup!$B$33:$B$40,0)),0)=1)*(COUNTIF(G258:I275,$B285)+COUNTIF(G258:I275,$B285&amp;" ~*")&gt;0)+(IFERROR(INDEX(Setup!$G$33:$G$40,MATCH(K285,Setup!$B$33:$B$40,0)),0)=1)*(COUNTIF(K258:M275,$B285)+COUNTIF(K258:M275,$B285&amp;" ~*")&gt;0)+(IFERROR(INDEX(Setup!$G$33:$G$40,MATCH(O285,Setup!$B$33:$B$40,0)),0)=1)*(COUNTIF(O258:Q275,$B285)+COUNTIF(O258:Q275,$B285&amp;" ~*")&gt;0)+(IFERROR(INDEX(Setup!$G$33:$G$40,MATCH(S285,Setup!$B$33:$B$40,0)),0)=1)*(COUNTIF(S258:U275,$B285)+COUNTIF(S258:U275,$B285&amp;" ~*")&gt;0)+(IFERROR(INDEX(Setup!$G$33:$G$40,MATCH(W285,Setup!$B$33:$B$40,0)),0)=1)*(COUNTIF(W258:W275,$B285)+COUNTIF(W258:W275,$B285&amp;" ~*")&gt;0)+(IFERROR(INDEX(Setup!$G$33:$G$40,MATCH(Y285,Setup!$B$33:$B$40,0)),0)=1)*(COUNTIF(Y258:Y275,$B285)+COUNTIF(Y258:Y275,$B285&amp;" ~*")&gt;0))</f>
        <v/>
      </c>
    </row>
    <row r="286" ht="15" customHeight="1">
      <c r="A286" t="n">
        <v>6</v>
      </c>
      <c r="B286" s="37">
        <f>IF(Setup!$B$15="","",Setup!$B$15)</f>
        <v/>
      </c>
      <c r="C286" s="102" t="n"/>
      <c r="D286" s="103" t="n"/>
      <c r="E286" s="103" t="n"/>
      <c r="F286" s="104" t="n"/>
      <c r="G286" s="102" t="n"/>
      <c r="H286" s="103" t="n"/>
      <c r="I286" s="103" t="n"/>
      <c r="J286" s="104" t="n"/>
      <c r="K286" s="102" t="n"/>
      <c r="L286" s="103" t="n"/>
      <c r="M286" s="103" t="n"/>
      <c r="N286" s="104" t="n"/>
      <c r="O286" s="102" t="n"/>
      <c r="P286" s="103" t="n"/>
      <c r="Q286" s="103" t="n"/>
      <c r="R286" s="104" t="n"/>
      <c r="S286" s="102" t="n"/>
      <c r="T286" s="103" t="n"/>
      <c r="U286" s="103" t="n"/>
      <c r="V286" s="104" t="n"/>
      <c r="W286" s="102" t="n"/>
      <c r="X286" s="104" t="n"/>
      <c r="Y286" s="102" t="n"/>
      <c r="Z286" s="104" t="n"/>
      <c r="AB286" s="105">
        <f>IF($B286="","",(COUNTIF(C258:E275,$B286)+COUNTIF(C258:E275,$B286&amp;" ~*")&gt;0)+(COUNTIF(G258:I275,$B286)+COUNTIF(G258:I275,$B286&amp;" ~*")&gt;0)+(COUNTIF(K258:M275,$B286)+COUNTIF(K258:M275,$B286&amp;" ~*")&gt;0)+(COUNTIF(O258:Q275,$B286)+COUNTIF(O258:Q275,$B286&amp;" ~*")&gt;0)+(COUNTIF(S258:U275,$B286)+COUNTIF(S258:U275,$B286&amp;" ~*")&gt;0)+(COUNTIF(W258:W275,$B286)+COUNTIF(W258:W275,$B286&amp;" ~*")&gt;0)+(COUNTIF(Y258:Y275,$B286)+COUNTIF(Y258:Y275,$B286&amp;" ~*")&gt;0))</f>
        <v/>
      </c>
      <c r="AC286" s="38">
        <f>IF($B286="","",(IFERROR(INDEX(Setup!$G$33:$G$40,MATCH(C286,Setup!$B$33:$B$40,0)),0)=1)*(COUNTIF(C258:E275,$B286)+COUNTIF(C258:E275,$B286&amp;" ~*")&gt;0)+(IFERROR(INDEX(Setup!$G$33:$G$40,MATCH(G286,Setup!$B$33:$B$40,0)),0)=1)*(COUNTIF(G258:I275,$B286)+COUNTIF(G258:I275,$B286&amp;" ~*")&gt;0)+(IFERROR(INDEX(Setup!$G$33:$G$40,MATCH(K286,Setup!$B$33:$B$40,0)),0)=1)*(COUNTIF(K258:M275,$B286)+COUNTIF(K258:M275,$B286&amp;" ~*")&gt;0)+(IFERROR(INDEX(Setup!$G$33:$G$40,MATCH(O286,Setup!$B$33:$B$40,0)),0)=1)*(COUNTIF(O258:Q275,$B286)+COUNTIF(O258:Q275,$B286&amp;" ~*")&gt;0)+(IFERROR(INDEX(Setup!$G$33:$G$40,MATCH(S286,Setup!$B$33:$B$40,0)),0)=1)*(COUNTIF(S258:U275,$B286)+COUNTIF(S258:U275,$B286&amp;" ~*")&gt;0)+(IFERROR(INDEX(Setup!$G$33:$G$40,MATCH(W286,Setup!$B$33:$B$40,0)),0)=1)*(COUNTIF(W258:W275,$B286)+COUNTIF(W258:W275,$B286&amp;" ~*")&gt;0)+(IFERROR(INDEX(Setup!$G$33:$G$40,MATCH(Y286,Setup!$B$33:$B$40,0)),0)=1)*(COUNTIF(Y258:Y275,$B286)+COUNTIF(Y258:Y275,$B286&amp;" ~*")&gt;0))</f>
        <v/>
      </c>
    </row>
    <row r="287" ht="15" customHeight="1">
      <c r="A287" t="n">
        <v>6</v>
      </c>
      <c r="B287" s="35">
        <f>IF(Setup!$B$16="","",Setup!$B$16)</f>
        <v/>
      </c>
      <c r="C287" s="98" t="n"/>
      <c r="D287" s="99" t="n"/>
      <c r="E287" s="99" t="n"/>
      <c r="F287" s="100" t="n"/>
      <c r="G287" s="98" t="n"/>
      <c r="H287" s="99" t="n"/>
      <c r="I287" s="99" t="n"/>
      <c r="J287" s="100" t="n"/>
      <c r="K287" s="98" t="n"/>
      <c r="L287" s="99" t="n"/>
      <c r="M287" s="99" t="n"/>
      <c r="N287" s="100" t="n"/>
      <c r="O287" s="98" t="n"/>
      <c r="P287" s="99" t="n"/>
      <c r="Q287" s="99" t="n"/>
      <c r="R287" s="100" t="n"/>
      <c r="S287" s="98" t="n"/>
      <c r="T287" s="99" t="n"/>
      <c r="U287" s="99" t="n"/>
      <c r="V287" s="100" t="n"/>
      <c r="W287" s="98" t="n"/>
      <c r="X287" s="100" t="n"/>
      <c r="Y287" s="98" t="n"/>
      <c r="Z287" s="100" t="n"/>
      <c r="AB287" s="101">
        <f>IF($B287="","",(COUNTIF(C258:E275,$B287)+COUNTIF(C258:E275,$B287&amp;" ~*")&gt;0)+(COUNTIF(G258:I275,$B287)+COUNTIF(G258:I275,$B287&amp;" ~*")&gt;0)+(COUNTIF(K258:M275,$B287)+COUNTIF(K258:M275,$B287&amp;" ~*")&gt;0)+(COUNTIF(O258:Q275,$B287)+COUNTIF(O258:Q275,$B287&amp;" ~*")&gt;0)+(COUNTIF(S258:U275,$B287)+COUNTIF(S258:U275,$B287&amp;" ~*")&gt;0)+(COUNTIF(W258:W275,$B287)+COUNTIF(W258:W275,$B287&amp;" ~*")&gt;0)+(COUNTIF(Y258:Y275,$B287)+COUNTIF(Y258:Y275,$B287&amp;" ~*")&gt;0))</f>
        <v/>
      </c>
      <c r="AC287" s="36">
        <f>IF($B287="","",(IFERROR(INDEX(Setup!$G$33:$G$40,MATCH(C287,Setup!$B$33:$B$40,0)),0)=1)*(COUNTIF(C258:E275,$B287)+COUNTIF(C258:E275,$B287&amp;" ~*")&gt;0)+(IFERROR(INDEX(Setup!$G$33:$G$40,MATCH(G287,Setup!$B$33:$B$40,0)),0)=1)*(COUNTIF(G258:I275,$B287)+COUNTIF(G258:I275,$B287&amp;" ~*")&gt;0)+(IFERROR(INDEX(Setup!$G$33:$G$40,MATCH(K287,Setup!$B$33:$B$40,0)),0)=1)*(COUNTIF(K258:M275,$B287)+COUNTIF(K258:M275,$B287&amp;" ~*")&gt;0)+(IFERROR(INDEX(Setup!$G$33:$G$40,MATCH(O287,Setup!$B$33:$B$40,0)),0)=1)*(COUNTIF(O258:Q275,$B287)+COUNTIF(O258:Q275,$B287&amp;" ~*")&gt;0)+(IFERROR(INDEX(Setup!$G$33:$G$40,MATCH(S287,Setup!$B$33:$B$40,0)),0)=1)*(COUNTIF(S258:U275,$B287)+COUNTIF(S258:U275,$B287&amp;" ~*")&gt;0)+(IFERROR(INDEX(Setup!$G$33:$G$40,MATCH(W287,Setup!$B$33:$B$40,0)),0)=1)*(COUNTIF(W258:W275,$B287)+COUNTIF(W258:W275,$B287&amp;" ~*")&gt;0)+(IFERROR(INDEX(Setup!$G$33:$G$40,MATCH(Y287,Setup!$B$33:$B$40,0)),0)=1)*(COUNTIF(Y258:Y275,$B287)+COUNTIF(Y258:Y275,$B287&amp;" ~*")&gt;0))</f>
        <v/>
      </c>
    </row>
    <row r="288" ht="15" customHeight="1">
      <c r="A288" t="n">
        <v>6</v>
      </c>
      <c r="B288" s="37">
        <f>IF(Setup!$B$17="","",Setup!$B$17)</f>
        <v/>
      </c>
      <c r="C288" s="102" t="n"/>
      <c r="D288" s="103" t="n"/>
      <c r="E288" s="103" t="n"/>
      <c r="F288" s="104" t="n"/>
      <c r="G288" s="102" t="n"/>
      <c r="H288" s="103" t="n"/>
      <c r="I288" s="103" t="n"/>
      <c r="J288" s="104" t="n"/>
      <c r="K288" s="102" t="n"/>
      <c r="L288" s="103" t="n"/>
      <c r="M288" s="103" t="n"/>
      <c r="N288" s="104" t="n"/>
      <c r="O288" s="102" t="n"/>
      <c r="P288" s="103" t="n"/>
      <c r="Q288" s="103" t="n"/>
      <c r="R288" s="104" t="n"/>
      <c r="S288" s="102" t="n"/>
      <c r="T288" s="103" t="n"/>
      <c r="U288" s="103" t="n"/>
      <c r="V288" s="104" t="n"/>
      <c r="W288" s="102" t="n"/>
      <c r="X288" s="104" t="n"/>
      <c r="Y288" s="102" t="n"/>
      <c r="Z288" s="104" t="n"/>
      <c r="AB288" s="105">
        <f>IF($B288="","",(COUNTIF(C258:E275,$B288)+COUNTIF(C258:E275,$B288&amp;" ~*")&gt;0)+(COUNTIF(G258:I275,$B288)+COUNTIF(G258:I275,$B288&amp;" ~*")&gt;0)+(COUNTIF(K258:M275,$B288)+COUNTIF(K258:M275,$B288&amp;" ~*")&gt;0)+(COUNTIF(O258:Q275,$B288)+COUNTIF(O258:Q275,$B288&amp;" ~*")&gt;0)+(COUNTIF(S258:U275,$B288)+COUNTIF(S258:U275,$B288&amp;" ~*")&gt;0)+(COUNTIF(W258:W275,$B288)+COUNTIF(W258:W275,$B288&amp;" ~*")&gt;0)+(COUNTIF(Y258:Y275,$B288)+COUNTIF(Y258:Y275,$B288&amp;" ~*")&gt;0))</f>
        <v/>
      </c>
      <c r="AC288" s="38">
        <f>IF($B288="","",(IFERROR(INDEX(Setup!$G$33:$G$40,MATCH(C288,Setup!$B$33:$B$40,0)),0)=1)*(COUNTIF(C258:E275,$B288)+COUNTIF(C258:E275,$B288&amp;" ~*")&gt;0)+(IFERROR(INDEX(Setup!$G$33:$G$40,MATCH(G288,Setup!$B$33:$B$40,0)),0)=1)*(COUNTIF(G258:I275,$B288)+COUNTIF(G258:I275,$B288&amp;" ~*")&gt;0)+(IFERROR(INDEX(Setup!$G$33:$G$40,MATCH(K288,Setup!$B$33:$B$40,0)),0)=1)*(COUNTIF(K258:M275,$B288)+COUNTIF(K258:M275,$B288&amp;" ~*")&gt;0)+(IFERROR(INDEX(Setup!$G$33:$G$40,MATCH(O288,Setup!$B$33:$B$40,0)),0)=1)*(COUNTIF(O258:Q275,$B288)+COUNTIF(O258:Q275,$B288&amp;" ~*")&gt;0)+(IFERROR(INDEX(Setup!$G$33:$G$40,MATCH(S288,Setup!$B$33:$B$40,0)),0)=1)*(COUNTIF(S258:U275,$B288)+COUNTIF(S258:U275,$B288&amp;" ~*")&gt;0)+(IFERROR(INDEX(Setup!$G$33:$G$40,MATCH(W288,Setup!$B$33:$B$40,0)),0)=1)*(COUNTIF(W258:W275,$B288)+COUNTIF(W258:W275,$B288&amp;" ~*")&gt;0)+(IFERROR(INDEX(Setup!$G$33:$G$40,MATCH(Y288,Setup!$B$33:$B$40,0)),0)=1)*(COUNTIF(Y258:Y275,$B288)+COUNTIF(Y258:Y275,$B288&amp;" ~*")&gt;0))</f>
        <v/>
      </c>
    </row>
    <row r="289" ht="15" customHeight="1">
      <c r="A289" t="n">
        <v>6</v>
      </c>
      <c r="B289" s="35">
        <f>IF(Setup!$B$18="","",Setup!$B$18)</f>
        <v/>
      </c>
      <c r="C289" s="98" t="n"/>
      <c r="D289" s="99" t="n"/>
      <c r="E289" s="99" t="n"/>
      <c r="F289" s="100" t="n"/>
      <c r="G289" s="98" t="n"/>
      <c r="H289" s="99" t="n"/>
      <c r="I289" s="99" t="n"/>
      <c r="J289" s="100" t="n"/>
      <c r="K289" s="98" t="n"/>
      <c r="L289" s="99" t="n"/>
      <c r="M289" s="99" t="n"/>
      <c r="N289" s="100" t="n"/>
      <c r="O289" s="98" t="n"/>
      <c r="P289" s="99" t="n"/>
      <c r="Q289" s="99" t="n"/>
      <c r="R289" s="100" t="n"/>
      <c r="S289" s="98" t="n"/>
      <c r="T289" s="99" t="n"/>
      <c r="U289" s="99" t="n"/>
      <c r="V289" s="100" t="n"/>
      <c r="W289" s="98" t="n"/>
      <c r="X289" s="100" t="n"/>
      <c r="Y289" s="98" t="n"/>
      <c r="Z289" s="100" t="n"/>
      <c r="AB289" s="101">
        <f>IF($B289="","",(COUNTIF(C258:E275,$B289)+COUNTIF(C258:E275,$B289&amp;" ~*")&gt;0)+(COUNTIF(G258:I275,$B289)+COUNTIF(G258:I275,$B289&amp;" ~*")&gt;0)+(COUNTIF(K258:M275,$B289)+COUNTIF(K258:M275,$B289&amp;" ~*")&gt;0)+(COUNTIF(O258:Q275,$B289)+COUNTIF(O258:Q275,$B289&amp;" ~*")&gt;0)+(COUNTIF(S258:U275,$B289)+COUNTIF(S258:U275,$B289&amp;" ~*")&gt;0)+(COUNTIF(W258:W275,$B289)+COUNTIF(W258:W275,$B289&amp;" ~*")&gt;0)+(COUNTIF(Y258:Y275,$B289)+COUNTIF(Y258:Y275,$B289&amp;" ~*")&gt;0))</f>
        <v/>
      </c>
      <c r="AC289" s="36">
        <f>IF($B289="","",(IFERROR(INDEX(Setup!$G$33:$G$40,MATCH(C289,Setup!$B$33:$B$40,0)),0)=1)*(COUNTIF(C258:E275,$B289)+COUNTIF(C258:E275,$B289&amp;" ~*")&gt;0)+(IFERROR(INDEX(Setup!$G$33:$G$40,MATCH(G289,Setup!$B$33:$B$40,0)),0)=1)*(COUNTIF(G258:I275,$B289)+COUNTIF(G258:I275,$B289&amp;" ~*")&gt;0)+(IFERROR(INDEX(Setup!$G$33:$G$40,MATCH(K289,Setup!$B$33:$B$40,0)),0)=1)*(COUNTIF(K258:M275,$B289)+COUNTIF(K258:M275,$B289&amp;" ~*")&gt;0)+(IFERROR(INDEX(Setup!$G$33:$G$40,MATCH(O289,Setup!$B$33:$B$40,0)),0)=1)*(COUNTIF(O258:Q275,$B289)+COUNTIF(O258:Q275,$B289&amp;" ~*")&gt;0)+(IFERROR(INDEX(Setup!$G$33:$G$40,MATCH(S289,Setup!$B$33:$B$40,0)),0)=1)*(COUNTIF(S258:U275,$B289)+COUNTIF(S258:U275,$B289&amp;" ~*")&gt;0)+(IFERROR(INDEX(Setup!$G$33:$G$40,MATCH(W289,Setup!$B$33:$B$40,0)),0)=1)*(COUNTIF(W258:W275,$B289)+COUNTIF(W258:W275,$B289&amp;" ~*")&gt;0)+(IFERROR(INDEX(Setup!$G$33:$G$40,MATCH(Y289,Setup!$B$33:$B$40,0)),0)=1)*(COUNTIF(Y258:Y275,$B289)+COUNTIF(Y258:Y275,$B289&amp;" ~*")&gt;0))</f>
        <v/>
      </c>
    </row>
    <row r="290" ht="15" customHeight="1">
      <c r="A290" t="n">
        <v>6</v>
      </c>
      <c r="B290" s="37">
        <f>IF(Setup!$B$19="","",Setup!$B$19)</f>
        <v/>
      </c>
      <c r="C290" s="102" t="n"/>
      <c r="D290" s="103" t="n"/>
      <c r="E290" s="103" t="n"/>
      <c r="F290" s="104" t="n"/>
      <c r="G290" s="102" t="n"/>
      <c r="H290" s="103" t="n"/>
      <c r="I290" s="103" t="n"/>
      <c r="J290" s="104" t="n"/>
      <c r="K290" s="102" t="n"/>
      <c r="L290" s="103" t="n"/>
      <c r="M290" s="103" t="n"/>
      <c r="N290" s="104" t="n"/>
      <c r="O290" s="102" t="n"/>
      <c r="P290" s="103" t="n"/>
      <c r="Q290" s="103" t="n"/>
      <c r="R290" s="104" t="n"/>
      <c r="S290" s="102" t="n"/>
      <c r="T290" s="103" t="n"/>
      <c r="U290" s="103" t="n"/>
      <c r="V290" s="104" t="n"/>
      <c r="W290" s="102" t="n"/>
      <c r="X290" s="104" t="n"/>
      <c r="Y290" s="102" t="n"/>
      <c r="Z290" s="104" t="n"/>
      <c r="AB290" s="105">
        <f>IF($B290="","",(COUNTIF(C258:E275,$B290)+COUNTIF(C258:E275,$B290&amp;" ~*")&gt;0)+(COUNTIF(G258:I275,$B290)+COUNTIF(G258:I275,$B290&amp;" ~*")&gt;0)+(COUNTIF(K258:M275,$B290)+COUNTIF(K258:M275,$B290&amp;" ~*")&gt;0)+(COUNTIF(O258:Q275,$B290)+COUNTIF(O258:Q275,$B290&amp;" ~*")&gt;0)+(COUNTIF(S258:U275,$B290)+COUNTIF(S258:U275,$B290&amp;" ~*")&gt;0)+(COUNTIF(W258:W275,$B290)+COUNTIF(W258:W275,$B290&amp;" ~*")&gt;0)+(COUNTIF(Y258:Y275,$B290)+COUNTIF(Y258:Y275,$B290&amp;" ~*")&gt;0))</f>
        <v/>
      </c>
      <c r="AC290" s="38">
        <f>IF($B290="","",(IFERROR(INDEX(Setup!$G$33:$G$40,MATCH(C290,Setup!$B$33:$B$40,0)),0)=1)*(COUNTIF(C258:E275,$B290)+COUNTIF(C258:E275,$B290&amp;" ~*")&gt;0)+(IFERROR(INDEX(Setup!$G$33:$G$40,MATCH(G290,Setup!$B$33:$B$40,0)),0)=1)*(COUNTIF(G258:I275,$B290)+COUNTIF(G258:I275,$B290&amp;" ~*")&gt;0)+(IFERROR(INDEX(Setup!$G$33:$G$40,MATCH(K290,Setup!$B$33:$B$40,0)),0)=1)*(COUNTIF(K258:M275,$B290)+COUNTIF(K258:M275,$B290&amp;" ~*")&gt;0)+(IFERROR(INDEX(Setup!$G$33:$G$40,MATCH(O290,Setup!$B$33:$B$40,0)),0)=1)*(COUNTIF(O258:Q275,$B290)+COUNTIF(O258:Q275,$B290&amp;" ~*")&gt;0)+(IFERROR(INDEX(Setup!$G$33:$G$40,MATCH(S290,Setup!$B$33:$B$40,0)),0)=1)*(COUNTIF(S258:U275,$B290)+COUNTIF(S258:U275,$B290&amp;" ~*")&gt;0)+(IFERROR(INDEX(Setup!$G$33:$G$40,MATCH(W290,Setup!$B$33:$B$40,0)),0)=1)*(COUNTIF(W258:W275,$B290)+COUNTIF(W258:W275,$B290&amp;" ~*")&gt;0)+(IFERROR(INDEX(Setup!$G$33:$G$40,MATCH(Y290,Setup!$B$33:$B$40,0)),0)=1)*(COUNTIF(Y258:Y275,$B290)+COUNTIF(Y258:Y275,$B290&amp;" ~*")&gt;0))</f>
        <v/>
      </c>
    </row>
    <row r="291" ht="15" customHeight="1">
      <c r="A291" t="n">
        <v>6</v>
      </c>
      <c r="B291" s="35">
        <f>IF(Setup!$B$20="","",Setup!$B$20)</f>
        <v/>
      </c>
      <c r="C291" s="98" t="n"/>
      <c r="D291" s="99" t="n"/>
      <c r="E291" s="99" t="n"/>
      <c r="F291" s="100" t="n"/>
      <c r="G291" s="98" t="n"/>
      <c r="H291" s="99" t="n"/>
      <c r="I291" s="99" t="n"/>
      <c r="J291" s="100" t="n"/>
      <c r="K291" s="98" t="n"/>
      <c r="L291" s="99" t="n"/>
      <c r="M291" s="99" t="n"/>
      <c r="N291" s="100" t="n"/>
      <c r="O291" s="98" t="n"/>
      <c r="P291" s="99" t="n"/>
      <c r="Q291" s="99" t="n"/>
      <c r="R291" s="100" t="n"/>
      <c r="S291" s="98" t="n"/>
      <c r="T291" s="99" t="n"/>
      <c r="U291" s="99" t="n"/>
      <c r="V291" s="100" t="n"/>
      <c r="W291" s="98" t="n"/>
      <c r="X291" s="100" t="n"/>
      <c r="Y291" s="98" t="n"/>
      <c r="Z291" s="100" t="n"/>
      <c r="AB291" s="101">
        <f>IF($B291="","",(COUNTIF(C258:E275,$B291)+COUNTIF(C258:E275,$B291&amp;" ~*")&gt;0)+(COUNTIF(G258:I275,$B291)+COUNTIF(G258:I275,$B291&amp;" ~*")&gt;0)+(COUNTIF(K258:M275,$B291)+COUNTIF(K258:M275,$B291&amp;" ~*")&gt;0)+(COUNTIF(O258:Q275,$B291)+COUNTIF(O258:Q275,$B291&amp;" ~*")&gt;0)+(COUNTIF(S258:U275,$B291)+COUNTIF(S258:U275,$B291&amp;" ~*")&gt;0)+(COUNTIF(W258:W275,$B291)+COUNTIF(W258:W275,$B291&amp;" ~*")&gt;0)+(COUNTIF(Y258:Y275,$B291)+COUNTIF(Y258:Y275,$B291&amp;" ~*")&gt;0))</f>
        <v/>
      </c>
      <c r="AC291" s="36">
        <f>IF($B291="","",(IFERROR(INDEX(Setup!$G$33:$G$40,MATCH(C291,Setup!$B$33:$B$40,0)),0)=1)*(COUNTIF(C258:E275,$B291)+COUNTIF(C258:E275,$B291&amp;" ~*")&gt;0)+(IFERROR(INDEX(Setup!$G$33:$G$40,MATCH(G291,Setup!$B$33:$B$40,0)),0)=1)*(COUNTIF(G258:I275,$B291)+COUNTIF(G258:I275,$B291&amp;" ~*")&gt;0)+(IFERROR(INDEX(Setup!$G$33:$G$40,MATCH(K291,Setup!$B$33:$B$40,0)),0)=1)*(COUNTIF(K258:M275,$B291)+COUNTIF(K258:M275,$B291&amp;" ~*")&gt;0)+(IFERROR(INDEX(Setup!$G$33:$G$40,MATCH(O291,Setup!$B$33:$B$40,0)),0)=1)*(COUNTIF(O258:Q275,$B291)+COUNTIF(O258:Q275,$B291&amp;" ~*")&gt;0)+(IFERROR(INDEX(Setup!$G$33:$G$40,MATCH(S291,Setup!$B$33:$B$40,0)),0)=1)*(COUNTIF(S258:U275,$B291)+COUNTIF(S258:U275,$B291&amp;" ~*")&gt;0)+(IFERROR(INDEX(Setup!$G$33:$G$40,MATCH(W291,Setup!$B$33:$B$40,0)),0)=1)*(COUNTIF(W258:W275,$B291)+COUNTIF(W258:W275,$B291&amp;" ~*")&gt;0)+(IFERROR(INDEX(Setup!$G$33:$G$40,MATCH(Y291,Setup!$B$33:$B$40,0)),0)=1)*(COUNTIF(Y258:Y275,$B291)+COUNTIF(Y258:Y275,$B291&amp;" ~*")&gt;0))</f>
        <v/>
      </c>
    </row>
    <row r="292" ht="15" customHeight="1">
      <c r="A292" t="n">
        <v>6</v>
      </c>
      <c r="B292" s="37">
        <f>IF(Setup!$B$21="","",Setup!$B$21)</f>
        <v/>
      </c>
      <c r="C292" s="102" t="n"/>
      <c r="D292" s="103" t="n"/>
      <c r="E292" s="103" t="n"/>
      <c r="F292" s="104" t="n"/>
      <c r="G292" s="102" t="n"/>
      <c r="H292" s="103" t="n"/>
      <c r="I292" s="103" t="n"/>
      <c r="J292" s="104" t="n"/>
      <c r="K292" s="102" t="n"/>
      <c r="L292" s="103" t="n"/>
      <c r="M292" s="103" t="n"/>
      <c r="N292" s="104" t="n"/>
      <c r="O292" s="102" t="n"/>
      <c r="P292" s="103" t="n"/>
      <c r="Q292" s="103" t="n"/>
      <c r="R292" s="104" t="n"/>
      <c r="S292" s="102" t="n"/>
      <c r="T292" s="103" t="n"/>
      <c r="U292" s="103" t="n"/>
      <c r="V292" s="104" t="n"/>
      <c r="W292" s="102" t="n"/>
      <c r="X292" s="104" t="n"/>
      <c r="Y292" s="102" t="n"/>
      <c r="Z292" s="104" t="n"/>
      <c r="AB292" s="105">
        <f>IF($B292="","",(COUNTIF(C258:E275,$B292)+COUNTIF(C258:E275,$B292&amp;" ~*")&gt;0)+(COUNTIF(G258:I275,$B292)+COUNTIF(G258:I275,$B292&amp;" ~*")&gt;0)+(COUNTIF(K258:M275,$B292)+COUNTIF(K258:M275,$B292&amp;" ~*")&gt;0)+(COUNTIF(O258:Q275,$B292)+COUNTIF(O258:Q275,$B292&amp;" ~*")&gt;0)+(COUNTIF(S258:U275,$B292)+COUNTIF(S258:U275,$B292&amp;" ~*")&gt;0)+(COUNTIF(W258:W275,$B292)+COUNTIF(W258:W275,$B292&amp;" ~*")&gt;0)+(COUNTIF(Y258:Y275,$B292)+COUNTIF(Y258:Y275,$B292&amp;" ~*")&gt;0))</f>
        <v/>
      </c>
      <c r="AC292" s="38">
        <f>IF($B292="","",(IFERROR(INDEX(Setup!$G$33:$G$40,MATCH(C292,Setup!$B$33:$B$40,0)),0)=1)*(COUNTIF(C258:E275,$B292)+COUNTIF(C258:E275,$B292&amp;" ~*")&gt;0)+(IFERROR(INDEX(Setup!$G$33:$G$40,MATCH(G292,Setup!$B$33:$B$40,0)),0)=1)*(COUNTIF(G258:I275,$B292)+COUNTIF(G258:I275,$B292&amp;" ~*")&gt;0)+(IFERROR(INDEX(Setup!$G$33:$G$40,MATCH(K292,Setup!$B$33:$B$40,0)),0)=1)*(COUNTIF(K258:M275,$B292)+COUNTIF(K258:M275,$B292&amp;" ~*")&gt;0)+(IFERROR(INDEX(Setup!$G$33:$G$40,MATCH(O292,Setup!$B$33:$B$40,0)),0)=1)*(COUNTIF(O258:Q275,$B292)+COUNTIF(O258:Q275,$B292&amp;" ~*")&gt;0)+(IFERROR(INDEX(Setup!$G$33:$G$40,MATCH(S292,Setup!$B$33:$B$40,0)),0)=1)*(COUNTIF(S258:U275,$B292)+COUNTIF(S258:U275,$B292&amp;" ~*")&gt;0)+(IFERROR(INDEX(Setup!$G$33:$G$40,MATCH(W292,Setup!$B$33:$B$40,0)),0)=1)*(COUNTIF(W258:W275,$B292)+COUNTIF(W258:W275,$B292&amp;" ~*")&gt;0)+(IFERROR(INDEX(Setup!$G$33:$G$40,MATCH(Y292,Setup!$B$33:$B$40,0)),0)=1)*(COUNTIF(Y258:Y275,$B292)+COUNTIF(Y258:Y275,$B292&amp;" ~*")&gt;0))</f>
        <v/>
      </c>
    </row>
    <row r="293" ht="15" customHeight="1">
      <c r="A293" t="n">
        <v>6</v>
      </c>
      <c r="B293" s="35">
        <f>IF(Setup!$B$22="","",Setup!$B$22)</f>
        <v/>
      </c>
      <c r="C293" s="98" t="n"/>
      <c r="D293" s="99" t="n"/>
      <c r="E293" s="99" t="n"/>
      <c r="F293" s="100" t="n"/>
      <c r="G293" s="98" t="n"/>
      <c r="H293" s="99" t="n"/>
      <c r="I293" s="99" t="n"/>
      <c r="J293" s="100" t="n"/>
      <c r="K293" s="98" t="n"/>
      <c r="L293" s="99" t="n"/>
      <c r="M293" s="99" t="n"/>
      <c r="N293" s="100" t="n"/>
      <c r="O293" s="98" t="n"/>
      <c r="P293" s="99" t="n"/>
      <c r="Q293" s="99" t="n"/>
      <c r="R293" s="100" t="n"/>
      <c r="S293" s="98" t="n"/>
      <c r="T293" s="99" t="n"/>
      <c r="U293" s="99" t="n"/>
      <c r="V293" s="100" t="n"/>
      <c r="W293" s="98" t="n"/>
      <c r="X293" s="100" t="n"/>
      <c r="Y293" s="98" t="n"/>
      <c r="Z293" s="100" t="n"/>
      <c r="AB293" s="101">
        <f>IF($B293="","",(COUNTIF(C258:E275,$B293)+COUNTIF(C258:E275,$B293&amp;" ~*")&gt;0)+(COUNTIF(G258:I275,$B293)+COUNTIF(G258:I275,$B293&amp;" ~*")&gt;0)+(COUNTIF(K258:M275,$B293)+COUNTIF(K258:M275,$B293&amp;" ~*")&gt;0)+(COUNTIF(O258:Q275,$B293)+COUNTIF(O258:Q275,$B293&amp;" ~*")&gt;0)+(COUNTIF(S258:U275,$B293)+COUNTIF(S258:U275,$B293&amp;" ~*")&gt;0)+(COUNTIF(W258:W275,$B293)+COUNTIF(W258:W275,$B293&amp;" ~*")&gt;0)+(COUNTIF(Y258:Y275,$B293)+COUNTIF(Y258:Y275,$B293&amp;" ~*")&gt;0))</f>
        <v/>
      </c>
      <c r="AC293" s="36">
        <f>IF($B293="","",(IFERROR(INDEX(Setup!$G$33:$G$40,MATCH(C293,Setup!$B$33:$B$40,0)),0)=1)*(COUNTIF(C258:E275,$B293)+COUNTIF(C258:E275,$B293&amp;" ~*")&gt;0)+(IFERROR(INDEX(Setup!$G$33:$G$40,MATCH(G293,Setup!$B$33:$B$40,0)),0)=1)*(COUNTIF(G258:I275,$B293)+COUNTIF(G258:I275,$B293&amp;" ~*")&gt;0)+(IFERROR(INDEX(Setup!$G$33:$G$40,MATCH(K293,Setup!$B$33:$B$40,0)),0)=1)*(COUNTIF(K258:M275,$B293)+COUNTIF(K258:M275,$B293&amp;" ~*")&gt;0)+(IFERROR(INDEX(Setup!$G$33:$G$40,MATCH(O293,Setup!$B$33:$B$40,0)),0)=1)*(COUNTIF(O258:Q275,$B293)+COUNTIF(O258:Q275,$B293&amp;" ~*")&gt;0)+(IFERROR(INDEX(Setup!$G$33:$G$40,MATCH(S293,Setup!$B$33:$B$40,0)),0)=1)*(COUNTIF(S258:U275,$B293)+COUNTIF(S258:U275,$B293&amp;" ~*")&gt;0)+(IFERROR(INDEX(Setup!$G$33:$G$40,MATCH(W293,Setup!$B$33:$B$40,0)),0)=1)*(COUNTIF(W258:W275,$B293)+COUNTIF(W258:W275,$B293&amp;" ~*")&gt;0)+(IFERROR(INDEX(Setup!$G$33:$G$40,MATCH(Y293,Setup!$B$33:$B$40,0)),0)=1)*(COUNTIF(Y258:Y275,$B293)+COUNTIF(Y258:Y275,$B293&amp;" ~*")&gt;0))</f>
        <v/>
      </c>
    </row>
    <row r="294" ht="15" customHeight="1">
      <c r="A294" t="n">
        <v>6</v>
      </c>
      <c r="B294" s="37">
        <f>IF(Setup!$B$23="","",Setup!$B$23)</f>
        <v/>
      </c>
      <c r="C294" s="102" t="n"/>
      <c r="D294" s="103" t="n"/>
      <c r="E294" s="103" t="n"/>
      <c r="F294" s="104" t="n"/>
      <c r="G294" s="102" t="n"/>
      <c r="H294" s="103" t="n"/>
      <c r="I294" s="103" t="n"/>
      <c r="J294" s="104" t="n"/>
      <c r="K294" s="102" t="n"/>
      <c r="L294" s="103" t="n"/>
      <c r="M294" s="103" t="n"/>
      <c r="N294" s="104" t="n"/>
      <c r="O294" s="102" t="n"/>
      <c r="P294" s="103" t="n"/>
      <c r="Q294" s="103" t="n"/>
      <c r="R294" s="104" t="n"/>
      <c r="S294" s="102" t="n"/>
      <c r="T294" s="103" t="n"/>
      <c r="U294" s="103" t="n"/>
      <c r="V294" s="104" t="n"/>
      <c r="W294" s="102" t="n"/>
      <c r="X294" s="104" t="n"/>
      <c r="Y294" s="102" t="n"/>
      <c r="Z294" s="104" t="n"/>
      <c r="AB294" s="105">
        <f>IF($B294="","",(COUNTIF(C258:E275,$B294)+COUNTIF(C258:E275,$B294&amp;" ~*")&gt;0)+(COUNTIF(G258:I275,$B294)+COUNTIF(G258:I275,$B294&amp;" ~*")&gt;0)+(COUNTIF(K258:M275,$B294)+COUNTIF(K258:M275,$B294&amp;" ~*")&gt;0)+(COUNTIF(O258:Q275,$B294)+COUNTIF(O258:Q275,$B294&amp;" ~*")&gt;0)+(COUNTIF(S258:U275,$B294)+COUNTIF(S258:U275,$B294&amp;" ~*")&gt;0)+(COUNTIF(W258:W275,$B294)+COUNTIF(W258:W275,$B294&amp;" ~*")&gt;0)+(COUNTIF(Y258:Y275,$B294)+COUNTIF(Y258:Y275,$B294&amp;" ~*")&gt;0))</f>
        <v/>
      </c>
      <c r="AC294" s="38">
        <f>IF($B294="","",(IFERROR(INDEX(Setup!$G$33:$G$40,MATCH(C294,Setup!$B$33:$B$40,0)),0)=1)*(COUNTIF(C258:E275,$B294)+COUNTIF(C258:E275,$B294&amp;" ~*")&gt;0)+(IFERROR(INDEX(Setup!$G$33:$G$40,MATCH(G294,Setup!$B$33:$B$40,0)),0)=1)*(COUNTIF(G258:I275,$B294)+COUNTIF(G258:I275,$B294&amp;" ~*")&gt;0)+(IFERROR(INDEX(Setup!$G$33:$G$40,MATCH(K294,Setup!$B$33:$B$40,0)),0)=1)*(COUNTIF(K258:M275,$B294)+COUNTIF(K258:M275,$B294&amp;" ~*")&gt;0)+(IFERROR(INDEX(Setup!$G$33:$G$40,MATCH(O294,Setup!$B$33:$B$40,0)),0)=1)*(COUNTIF(O258:Q275,$B294)+COUNTIF(O258:Q275,$B294&amp;" ~*")&gt;0)+(IFERROR(INDEX(Setup!$G$33:$G$40,MATCH(S294,Setup!$B$33:$B$40,0)),0)=1)*(COUNTIF(S258:U275,$B294)+COUNTIF(S258:U275,$B294&amp;" ~*")&gt;0)+(IFERROR(INDEX(Setup!$G$33:$G$40,MATCH(W294,Setup!$B$33:$B$40,0)),0)=1)*(COUNTIF(W258:W275,$B294)+COUNTIF(W258:W275,$B294&amp;" ~*")&gt;0)+(IFERROR(INDEX(Setup!$G$33:$G$40,MATCH(Y294,Setup!$B$33:$B$40,0)),0)=1)*(COUNTIF(Y258:Y275,$B294)+COUNTIF(Y258:Y275,$B294&amp;" ~*")&gt;0))</f>
        <v/>
      </c>
    </row>
    <row r="295" ht="15" customHeight="1">
      <c r="A295" t="n">
        <v>6</v>
      </c>
      <c r="B295" s="35">
        <f>IF(Setup!$B$24="","",Setup!$B$24)</f>
        <v/>
      </c>
      <c r="C295" s="98" t="n"/>
      <c r="D295" s="99" t="n"/>
      <c r="E295" s="99" t="n"/>
      <c r="F295" s="100" t="n"/>
      <c r="G295" s="98" t="n"/>
      <c r="H295" s="99" t="n"/>
      <c r="I295" s="99" t="n"/>
      <c r="J295" s="100" t="n"/>
      <c r="K295" s="98" t="n"/>
      <c r="L295" s="99" t="n"/>
      <c r="M295" s="99" t="n"/>
      <c r="N295" s="100" t="n"/>
      <c r="O295" s="98" t="n"/>
      <c r="P295" s="99" t="n"/>
      <c r="Q295" s="99" t="n"/>
      <c r="R295" s="100" t="n"/>
      <c r="S295" s="98" t="n"/>
      <c r="T295" s="99" t="n"/>
      <c r="U295" s="99" t="n"/>
      <c r="V295" s="100" t="n"/>
      <c r="W295" s="98" t="n"/>
      <c r="X295" s="100" t="n"/>
      <c r="Y295" s="98" t="n"/>
      <c r="Z295" s="100" t="n"/>
      <c r="AB295" s="101">
        <f>IF($B295="","",(COUNTIF(C258:E275,$B295)+COUNTIF(C258:E275,$B295&amp;" ~*")&gt;0)+(COUNTIF(G258:I275,$B295)+COUNTIF(G258:I275,$B295&amp;" ~*")&gt;0)+(COUNTIF(K258:M275,$B295)+COUNTIF(K258:M275,$B295&amp;" ~*")&gt;0)+(COUNTIF(O258:Q275,$B295)+COUNTIF(O258:Q275,$B295&amp;" ~*")&gt;0)+(COUNTIF(S258:U275,$B295)+COUNTIF(S258:U275,$B295&amp;" ~*")&gt;0)+(COUNTIF(W258:W275,$B295)+COUNTIF(W258:W275,$B295&amp;" ~*")&gt;0)+(COUNTIF(Y258:Y275,$B295)+COUNTIF(Y258:Y275,$B295&amp;" ~*")&gt;0))</f>
        <v/>
      </c>
      <c r="AC295" s="36">
        <f>IF($B295="","",(IFERROR(INDEX(Setup!$G$33:$G$40,MATCH(C295,Setup!$B$33:$B$40,0)),0)=1)*(COUNTIF(C258:E275,$B295)+COUNTIF(C258:E275,$B295&amp;" ~*")&gt;0)+(IFERROR(INDEX(Setup!$G$33:$G$40,MATCH(G295,Setup!$B$33:$B$40,0)),0)=1)*(COUNTIF(G258:I275,$B295)+COUNTIF(G258:I275,$B295&amp;" ~*")&gt;0)+(IFERROR(INDEX(Setup!$G$33:$G$40,MATCH(K295,Setup!$B$33:$B$40,0)),0)=1)*(COUNTIF(K258:M275,$B295)+COUNTIF(K258:M275,$B295&amp;" ~*")&gt;0)+(IFERROR(INDEX(Setup!$G$33:$G$40,MATCH(O295,Setup!$B$33:$B$40,0)),0)=1)*(COUNTIF(O258:Q275,$B295)+COUNTIF(O258:Q275,$B295&amp;" ~*")&gt;0)+(IFERROR(INDEX(Setup!$G$33:$G$40,MATCH(S295,Setup!$B$33:$B$40,0)),0)=1)*(COUNTIF(S258:U275,$B295)+COUNTIF(S258:U275,$B295&amp;" ~*")&gt;0)+(IFERROR(INDEX(Setup!$G$33:$G$40,MATCH(W295,Setup!$B$33:$B$40,0)),0)=1)*(COUNTIF(W258:W275,$B295)+COUNTIF(W258:W275,$B295&amp;" ~*")&gt;0)+(IFERROR(INDEX(Setup!$G$33:$G$40,MATCH(Y295,Setup!$B$33:$B$40,0)),0)=1)*(COUNTIF(Y258:Y275,$B295)+COUNTIF(Y258:Y275,$B295&amp;" ~*")&gt;0))</f>
        <v/>
      </c>
    </row>
    <row r="296" ht="15" customHeight="1">
      <c r="A296" t="n">
        <v>6</v>
      </c>
      <c r="B296" s="37">
        <f>IF(Setup!$B$25="","",Setup!$B$25)</f>
        <v/>
      </c>
      <c r="C296" s="102" t="n"/>
      <c r="D296" s="103" t="n"/>
      <c r="E296" s="103" t="n"/>
      <c r="F296" s="104" t="n"/>
      <c r="G296" s="102" t="n"/>
      <c r="H296" s="103" t="n"/>
      <c r="I296" s="103" t="n"/>
      <c r="J296" s="104" t="n"/>
      <c r="K296" s="102" t="n"/>
      <c r="L296" s="103" t="n"/>
      <c r="M296" s="103" t="n"/>
      <c r="N296" s="104" t="n"/>
      <c r="O296" s="102" t="n"/>
      <c r="P296" s="103" t="n"/>
      <c r="Q296" s="103" t="n"/>
      <c r="R296" s="104" t="n"/>
      <c r="S296" s="102" t="n"/>
      <c r="T296" s="103" t="n"/>
      <c r="U296" s="103" t="n"/>
      <c r="V296" s="104" t="n"/>
      <c r="W296" s="102" t="n"/>
      <c r="X296" s="104" t="n"/>
      <c r="Y296" s="102" t="n"/>
      <c r="Z296" s="104" t="n"/>
      <c r="AB296" s="105">
        <f>IF($B296="","",(COUNTIF(C258:E275,$B296)+COUNTIF(C258:E275,$B296&amp;" ~*")&gt;0)+(COUNTIF(G258:I275,$B296)+COUNTIF(G258:I275,$B296&amp;" ~*")&gt;0)+(COUNTIF(K258:M275,$B296)+COUNTIF(K258:M275,$B296&amp;" ~*")&gt;0)+(COUNTIF(O258:Q275,$B296)+COUNTIF(O258:Q275,$B296&amp;" ~*")&gt;0)+(COUNTIF(S258:U275,$B296)+COUNTIF(S258:U275,$B296&amp;" ~*")&gt;0)+(COUNTIF(W258:W275,$B296)+COUNTIF(W258:W275,$B296&amp;" ~*")&gt;0)+(COUNTIF(Y258:Y275,$B296)+COUNTIF(Y258:Y275,$B296&amp;" ~*")&gt;0))</f>
        <v/>
      </c>
      <c r="AC296" s="38">
        <f>IF($B296="","",(IFERROR(INDEX(Setup!$G$33:$G$40,MATCH(C296,Setup!$B$33:$B$40,0)),0)=1)*(COUNTIF(C258:E275,$B296)+COUNTIF(C258:E275,$B296&amp;" ~*")&gt;0)+(IFERROR(INDEX(Setup!$G$33:$G$40,MATCH(G296,Setup!$B$33:$B$40,0)),0)=1)*(COUNTIF(G258:I275,$B296)+COUNTIF(G258:I275,$B296&amp;" ~*")&gt;0)+(IFERROR(INDEX(Setup!$G$33:$G$40,MATCH(K296,Setup!$B$33:$B$40,0)),0)=1)*(COUNTIF(K258:M275,$B296)+COUNTIF(K258:M275,$B296&amp;" ~*")&gt;0)+(IFERROR(INDEX(Setup!$G$33:$G$40,MATCH(O296,Setup!$B$33:$B$40,0)),0)=1)*(COUNTIF(O258:Q275,$B296)+COUNTIF(O258:Q275,$B296&amp;" ~*")&gt;0)+(IFERROR(INDEX(Setup!$G$33:$G$40,MATCH(S296,Setup!$B$33:$B$40,0)),0)=1)*(COUNTIF(S258:U275,$B296)+COUNTIF(S258:U275,$B296&amp;" ~*")&gt;0)+(IFERROR(INDEX(Setup!$G$33:$G$40,MATCH(W296,Setup!$B$33:$B$40,0)),0)=1)*(COUNTIF(W258:W275,$B296)+COUNTIF(W258:W275,$B296&amp;" ~*")&gt;0)+(IFERROR(INDEX(Setup!$G$33:$G$40,MATCH(Y296,Setup!$B$33:$B$40,0)),0)=1)*(COUNTIF(Y258:Y275,$B296)+COUNTIF(Y258:Y275,$B296&amp;" ~*")&gt;0))</f>
        <v/>
      </c>
    </row>
    <row r="297" ht="15" customHeight="1">
      <c r="A297" t="n">
        <v>6</v>
      </c>
      <c r="B297" s="35">
        <f>IF(Setup!$B$26="","",Setup!$B$26)</f>
        <v/>
      </c>
      <c r="C297" s="98" t="n"/>
      <c r="D297" s="99" t="n"/>
      <c r="E297" s="99" t="n"/>
      <c r="F297" s="100" t="n"/>
      <c r="G297" s="98" t="n"/>
      <c r="H297" s="99" t="n"/>
      <c r="I297" s="99" t="n"/>
      <c r="J297" s="100" t="n"/>
      <c r="K297" s="98" t="n"/>
      <c r="L297" s="99" t="n"/>
      <c r="M297" s="99" t="n"/>
      <c r="N297" s="100" t="n"/>
      <c r="O297" s="98" t="n"/>
      <c r="P297" s="99" t="n"/>
      <c r="Q297" s="99" t="n"/>
      <c r="R297" s="100" t="n"/>
      <c r="S297" s="98" t="n"/>
      <c r="T297" s="99" t="n"/>
      <c r="U297" s="99" t="n"/>
      <c r="V297" s="100" t="n"/>
      <c r="W297" s="98" t="n"/>
      <c r="X297" s="100" t="n"/>
      <c r="Y297" s="98" t="n"/>
      <c r="Z297" s="100" t="n"/>
      <c r="AB297" s="101">
        <f>IF($B297="","",(COUNTIF(C258:E275,$B297)+COUNTIF(C258:E275,$B297&amp;" ~*")&gt;0)+(COUNTIF(G258:I275,$B297)+COUNTIF(G258:I275,$B297&amp;" ~*")&gt;0)+(COUNTIF(K258:M275,$B297)+COUNTIF(K258:M275,$B297&amp;" ~*")&gt;0)+(COUNTIF(O258:Q275,$B297)+COUNTIF(O258:Q275,$B297&amp;" ~*")&gt;0)+(COUNTIF(S258:U275,$B297)+COUNTIF(S258:U275,$B297&amp;" ~*")&gt;0)+(COUNTIF(W258:W275,$B297)+COUNTIF(W258:W275,$B297&amp;" ~*")&gt;0)+(COUNTIF(Y258:Y275,$B297)+COUNTIF(Y258:Y275,$B297&amp;" ~*")&gt;0))</f>
        <v/>
      </c>
      <c r="AC297" s="36">
        <f>IF($B297="","",(IFERROR(INDEX(Setup!$G$33:$G$40,MATCH(C297,Setup!$B$33:$B$40,0)),0)=1)*(COUNTIF(C258:E275,$B297)+COUNTIF(C258:E275,$B297&amp;" ~*")&gt;0)+(IFERROR(INDEX(Setup!$G$33:$G$40,MATCH(G297,Setup!$B$33:$B$40,0)),0)=1)*(COUNTIF(G258:I275,$B297)+COUNTIF(G258:I275,$B297&amp;" ~*")&gt;0)+(IFERROR(INDEX(Setup!$G$33:$G$40,MATCH(K297,Setup!$B$33:$B$40,0)),0)=1)*(COUNTIF(K258:M275,$B297)+COUNTIF(K258:M275,$B297&amp;" ~*")&gt;0)+(IFERROR(INDEX(Setup!$G$33:$G$40,MATCH(O297,Setup!$B$33:$B$40,0)),0)=1)*(COUNTIF(O258:Q275,$B297)+COUNTIF(O258:Q275,$B297&amp;" ~*")&gt;0)+(IFERROR(INDEX(Setup!$G$33:$G$40,MATCH(S297,Setup!$B$33:$B$40,0)),0)=1)*(COUNTIF(S258:U275,$B297)+COUNTIF(S258:U275,$B297&amp;" ~*")&gt;0)+(IFERROR(INDEX(Setup!$G$33:$G$40,MATCH(W297,Setup!$B$33:$B$40,0)),0)=1)*(COUNTIF(W258:W275,$B297)+COUNTIF(W258:W275,$B297&amp;" ~*")&gt;0)+(IFERROR(INDEX(Setup!$G$33:$G$40,MATCH(Y297,Setup!$B$33:$B$40,0)),0)=1)*(COUNTIF(Y258:Y275,$B297)+COUNTIF(Y258:Y275,$B297&amp;" ~*")&gt;0))</f>
        <v/>
      </c>
    </row>
    <row r="298" ht="15" customHeight="1">
      <c r="A298" t="n">
        <v>6</v>
      </c>
      <c r="B298" s="37">
        <f>IF(Setup!$B$27="","",Setup!$B$27)</f>
        <v/>
      </c>
      <c r="C298" s="102" t="n"/>
      <c r="D298" s="103" t="n"/>
      <c r="E298" s="103" t="n"/>
      <c r="F298" s="104" t="n"/>
      <c r="G298" s="102" t="n"/>
      <c r="H298" s="103" t="n"/>
      <c r="I298" s="103" t="n"/>
      <c r="J298" s="104" t="n"/>
      <c r="K298" s="102" t="n"/>
      <c r="L298" s="103" t="n"/>
      <c r="M298" s="103" t="n"/>
      <c r="N298" s="104" t="n"/>
      <c r="O298" s="102" t="n"/>
      <c r="P298" s="103" t="n"/>
      <c r="Q298" s="103" t="n"/>
      <c r="R298" s="104" t="n"/>
      <c r="S298" s="102" t="n"/>
      <c r="T298" s="103" t="n"/>
      <c r="U298" s="103" t="n"/>
      <c r="V298" s="104" t="n"/>
      <c r="W298" s="102" t="n"/>
      <c r="X298" s="104" t="n"/>
      <c r="Y298" s="102" t="n"/>
      <c r="Z298" s="104" t="n"/>
      <c r="AB298" s="105">
        <f>IF($B298="","",(COUNTIF(C258:E275,$B298)+COUNTIF(C258:E275,$B298&amp;" ~*")&gt;0)+(COUNTIF(G258:I275,$B298)+COUNTIF(G258:I275,$B298&amp;" ~*")&gt;0)+(COUNTIF(K258:M275,$B298)+COUNTIF(K258:M275,$B298&amp;" ~*")&gt;0)+(COUNTIF(O258:Q275,$B298)+COUNTIF(O258:Q275,$B298&amp;" ~*")&gt;0)+(COUNTIF(S258:U275,$B298)+COUNTIF(S258:U275,$B298&amp;" ~*")&gt;0)+(COUNTIF(W258:W275,$B298)+COUNTIF(W258:W275,$B298&amp;" ~*")&gt;0)+(COUNTIF(Y258:Y275,$B298)+COUNTIF(Y258:Y275,$B298&amp;" ~*")&gt;0))</f>
        <v/>
      </c>
      <c r="AC298" s="38">
        <f>IF($B298="","",(IFERROR(INDEX(Setup!$G$33:$G$40,MATCH(C298,Setup!$B$33:$B$40,0)),0)=1)*(COUNTIF(C258:E275,$B298)+COUNTIF(C258:E275,$B298&amp;" ~*")&gt;0)+(IFERROR(INDEX(Setup!$G$33:$G$40,MATCH(G298,Setup!$B$33:$B$40,0)),0)=1)*(COUNTIF(G258:I275,$B298)+COUNTIF(G258:I275,$B298&amp;" ~*")&gt;0)+(IFERROR(INDEX(Setup!$G$33:$G$40,MATCH(K298,Setup!$B$33:$B$40,0)),0)=1)*(COUNTIF(K258:M275,$B298)+COUNTIF(K258:M275,$B298&amp;" ~*")&gt;0)+(IFERROR(INDEX(Setup!$G$33:$G$40,MATCH(O298,Setup!$B$33:$B$40,0)),0)=1)*(COUNTIF(O258:Q275,$B298)+COUNTIF(O258:Q275,$B298&amp;" ~*")&gt;0)+(IFERROR(INDEX(Setup!$G$33:$G$40,MATCH(S298,Setup!$B$33:$B$40,0)),0)=1)*(COUNTIF(S258:U275,$B298)+COUNTIF(S258:U275,$B298&amp;" ~*")&gt;0)+(IFERROR(INDEX(Setup!$G$33:$G$40,MATCH(W298,Setup!$B$33:$B$40,0)),0)=1)*(COUNTIF(W258:W275,$B298)+COUNTIF(W258:W275,$B298&amp;" ~*")&gt;0)+(IFERROR(INDEX(Setup!$G$33:$G$40,MATCH(Y298,Setup!$B$33:$B$40,0)),0)=1)*(COUNTIF(Y258:Y275,$B298)+COUNTIF(Y258:Y275,$B298&amp;" ~*")&gt;0))</f>
        <v/>
      </c>
    </row>
    <row r="299" ht="15" customHeight="1">
      <c r="A299" t="n">
        <v>6</v>
      </c>
      <c r="B299" s="35">
        <f>IF(Setup!$B$28="","",Setup!$B$28)</f>
        <v/>
      </c>
      <c r="C299" s="98" t="n"/>
      <c r="D299" s="99" t="n"/>
      <c r="E299" s="99" t="n"/>
      <c r="F299" s="100" t="n"/>
      <c r="G299" s="98" t="n"/>
      <c r="H299" s="99" t="n"/>
      <c r="I299" s="99" t="n"/>
      <c r="J299" s="100" t="n"/>
      <c r="K299" s="98" t="n"/>
      <c r="L299" s="99" t="n"/>
      <c r="M299" s="99" t="n"/>
      <c r="N299" s="100" t="n"/>
      <c r="O299" s="98" t="n"/>
      <c r="P299" s="99" t="n"/>
      <c r="Q299" s="99" t="n"/>
      <c r="R299" s="100" t="n"/>
      <c r="S299" s="98" t="n"/>
      <c r="T299" s="99" t="n"/>
      <c r="U299" s="99" t="n"/>
      <c r="V299" s="100" t="n"/>
      <c r="W299" s="98" t="n"/>
      <c r="X299" s="100" t="n"/>
      <c r="Y299" s="98" t="n"/>
      <c r="Z299" s="100" t="n"/>
      <c r="AB299" s="101">
        <f>IF($B299="","",(COUNTIF(C258:E275,$B299)+COUNTIF(C258:E275,$B299&amp;" ~*")&gt;0)+(COUNTIF(G258:I275,$B299)+COUNTIF(G258:I275,$B299&amp;" ~*")&gt;0)+(COUNTIF(K258:M275,$B299)+COUNTIF(K258:M275,$B299&amp;" ~*")&gt;0)+(COUNTIF(O258:Q275,$B299)+COUNTIF(O258:Q275,$B299&amp;" ~*")&gt;0)+(COUNTIF(S258:U275,$B299)+COUNTIF(S258:U275,$B299&amp;" ~*")&gt;0)+(COUNTIF(W258:W275,$B299)+COUNTIF(W258:W275,$B299&amp;" ~*")&gt;0)+(COUNTIF(Y258:Y275,$B299)+COUNTIF(Y258:Y275,$B299&amp;" ~*")&gt;0))</f>
        <v/>
      </c>
      <c r="AC299" s="36">
        <f>IF($B299="","",(IFERROR(INDEX(Setup!$G$33:$G$40,MATCH(C299,Setup!$B$33:$B$40,0)),0)=1)*(COUNTIF(C258:E275,$B299)+COUNTIF(C258:E275,$B299&amp;" ~*")&gt;0)+(IFERROR(INDEX(Setup!$G$33:$G$40,MATCH(G299,Setup!$B$33:$B$40,0)),0)=1)*(COUNTIF(G258:I275,$B299)+COUNTIF(G258:I275,$B299&amp;" ~*")&gt;0)+(IFERROR(INDEX(Setup!$G$33:$G$40,MATCH(K299,Setup!$B$33:$B$40,0)),0)=1)*(COUNTIF(K258:M275,$B299)+COUNTIF(K258:M275,$B299&amp;" ~*")&gt;0)+(IFERROR(INDEX(Setup!$G$33:$G$40,MATCH(O299,Setup!$B$33:$B$40,0)),0)=1)*(COUNTIF(O258:Q275,$B299)+COUNTIF(O258:Q275,$B299&amp;" ~*")&gt;0)+(IFERROR(INDEX(Setup!$G$33:$G$40,MATCH(S299,Setup!$B$33:$B$40,0)),0)=1)*(COUNTIF(S258:U275,$B299)+COUNTIF(S258:U275,$B299&amp;" ~*")&gt;0)+(IFERROR(INDEX(Setup!$G$33:$G$40,MATCH(W299,Setup!$B$33:$B$40,0)),0)=1)*(COUNTIF(W258:W275,$B299)+COUNTIF(W258:W275,$B299&amp;" ~*")&gt;0)+(IFERROR(INDEX(Setup!$G$33:$G$40,MATCH(Y299,Setup!$B$33:$B$40,0)),0)=1)*(COUNTIF(Y258:Y275,$B299)+COUNTIF(Y258:Y275,$B299&amp;" ~*")&gt;0))</f>
        <v/>
      </c>
    </row>
    <row r="300" ht="15" customHeight="1">
      <c r="A300" t="n">
        <v>6</v>
      </c>
      <c r="B300" s="37">
        <f>IF(Setup!$B$29="","",Setup!$B$29)</f>
        <v/>
      </c>
      <c r="C300" s="102" t="n"/>
      <c r="D300" s="103" t="n"/>
      <c r="E300" s="103" t="n"/>
      <c r="F300" s="104" t="n"/>
      <c r="G300" s="102" t="n"/>
      <c r="H300" s="103" t="n"/>
      <c r="I300" s="103" t="n"/>
      <c r="J300" s="104" t="n"/>
      <c r="K300" s="102" t="n"/>
      <c r="L300" s="103" t="n"/>
      <c r="M300" s="103" t="n"/>
      <c r="N300" s="104" t="n"/>
      <c r="O300" s="102" t="n"/>
      <c r="P300" s="103" t="n"/>
      <c r="Q300" s="103" t="n"/>
      <c r="R300" s="104" t="n"/>
      <c r="S300" s="102" t="n"/>
      <c r="T300" s="103" t="n"/>
      <c r="U300" s="103" t="n"/>
      <c r="V300" s="104" t="n"/>
      <c r="W300" s="102" t="n"/>
      <c r="X300" s="104" t="n"/>
      <c r="Y300" s="102" t="n"/>
      <c r="Z300" s="104" t="n"/>
      <c r="AB300" s="105">
        <f>IF($B300="","",(COUNTIF(C258:E275,$B300)+COUNTIF(C258:E275,$B300&amp;" ~*")&gt;0)+(COUNTIF(G258:I275,$B300)+COUNTIF(G258:I275,$B300&amp;" ~*")&gt;0)+(COUNTIF(K258:M275,$B300)+COUNTIF(K258:M275,$B300&amp;" ~*")&gt;0)+(COUNTIF(O258:Q275,$B300)+COUNTIF(O258:Q275,$B300&amp;" ~*")&gt;0)+(COUNTIF(S258:U275,$B300)+COUNTIF(S258:U275,$B300&amp;" ~*")&gt;0)+(COUNTIF(W258:W275,$B300)+COUNTIF(W258:W275,$B300&amp;" ~*")&gt;0)+(COUNTIF(Y258:Y275,$B300)+COUNTIF(Y258:Y275,$B300&amp;" ~*")&gt;0))</f>
        <v/>
      </c>
      <c r="AC300" s="38">
        <f>IF($B300="","",(IFERROR(INDEX(Setup!$G$33:$G$40,MATCH(C300,Setup!$B$33:$B$40,0)),0)=1)*(COUNTIF(C258:E275,$B300)+COUNTIF(C258:E275,$B300&amp;" ~*")&gt;0)+(IFERROR(INDEX(Setup!$G$33:$G$40,MATCH(G300,Setup!$B$33:$B$40,0)),0)=1)*(COUNTIF(G258:I275,$B300)+COUNTIF(G258:I275,$B300&amp;" ~*")&gt;0)+(IFERROR(INDEX(Setup!$G$33:$G$40,MATCH(K300,Setup!$B$33:$B$40,0)),0)=1)*(COUNTIF(K258:M275,$B300)+COUNTIF(K258:M275,$B300&amp;" ~*")&gt;0)+(IFERROR(INDEX(Setup!$G$33:$G$40,MATCH(O300,Setup!$B$33:$B$40,0)),0)=1)*(COUNTIF(O258:Q275,$B300)+COUNTIF(O258:Q275,$B300&amp;" ~*")&gt;0)+(IFERROR(INDEX(Setup!$G$33:$G$40,MATCH(S300,Setup!$B$33:$B$40,0)),0)=1)*(COUNTIF(S258:U275,$B300)+COUNTIF(S258:U275,$B300&amp;" ~*")&gt;0)+(IFERROR(INDEX(Setup!$G$33:$G$40,MATCH(W300,Setup!$B$33:$B$40,0)),0)=1)*(COUNTIF(W258:W275,$B300)+COUNTIF(W258:W275,$B300&amp;" ~*")&gt;0)+(IFERROR(INDEX(Setup!$G$33:$G$40,MATCH(Y300,Setup!$B$33:$B$40,0)),0)=1)*(COUNTIF(Y258:Y275,$B300)+COUNTIF(Y258:Y275,$B300&amp;" ~*")&gt;0))</f>
        <v/>
      </c>
    </row>
    <row r="301" ht="16" customHeight="1">
      <c r="A301" t="n">
        <v>6</v>
      </c>
      <c r="B301" s="106" t="inlineStr">
        <is>
          <t>Available people</t>
        </is>
      </c>
      <c r="C301" s="107">
        <f>COUNTIFS(Setup!$E$6:$E$29,"Y",Setup!$B$6:$B$29,"?*")-SUMPRODUCT(COUNTIF(C277:C300,Setup!$F$33:$F$40))</f>
        <v/>
      </c>
      <c r="D301" s="107" t="n"/>
      <c r="E301" s="107" t="n"/>
      <c r="F301" s="107" t="n"/>
      <c r="G301" s="107">
        <f>COUNTIFS(Setup!$E$6:$E$29,"Y",Setup!$B$6:$B$29,"?*")-SUMPRODUCT(COUNTIF(G277:G300,Setup!$F$33:$F$40))</f>
        <v/>
      </c>
      <c r="H301" s="107" t="n"/>
      <c r="I301" s="107" t="n"/>
      <c r="J301" s="107" t="n"/>
      <c r="K301" s="107">
        <f>COUNTIFS(Setup!$E$6:$E$29,"Y",Setup!$B$6:$B$29,"?*")-SUMPRODUCT(COUNTIF(K277:K300,Setup!$F$33:$F$40))</f>
        <v/>
      </c>
      <c r="L301" s="107" t="n"/>
      <c r="M301" s="107" t="n"/>
      <c r="N301" s="107" t="n"/>
      <c r="O301" s="107">
        <f>COUNTIFS(Setup!$E$6:$E$29,"Y",Setup!$B$6:$B$29,"?*")-SUMPRODUCT(COUNTIF(O277:O300,Setup!$F$33:$F$40))</f>
        <v/>
      </c>
      <c r="P301" s="107" t="n"/>
      <c r="Q301" s="107" t="n"/>
      <c r="R301" s="107" t="n"/>
      <c r="S301" s="107">
        <f>COUNTIFS(Setup!$E$6:$E$29,"Y",Setup!$B$6:$B$29,"?*")-SUMPRODUCT(COUNTIF(S277:S300,Setup!$F$33:$F$40))</f>
        <v/>
      </c>
      <c r="T301" s="107" t="n"/>
      <c r="U301" s="107" t="n"/>
      <c r="V301" s="107" t="n"/>
      <c r="W301" s="107">
        <f>COUNTIFS(Setup!$E$6:$E$29,"Y",Setup!$B$6:$B$29,"?*")-SUMPRODUCT(COUNTIF(W277:W300,Setup!$F$33:$F$40))</f>
        <v/>
      </c>
      <c r="X301" s="107" t="n"/>
      <c r="Y301" s="107">
        <f>COUNTIFS(Setup!$E$6:$E$29,"Y",Setup!$B$6:$B$29,"?*")-SUMPRODUCT(COUNTIF(Y277:Y300,Setup!$F$33:$F$40))</f>
        <v/>
      </c>
      <c r="Z301" s="107" t="n"/>
      <c r="AB301" s="108">
        <f>SUM(AB277:AB300)</f>
        <v/>
      </c>
      <c r="AC301" s="109">
        <f>SUM(AC277:AC300)</f>
        <v/>
      </c>
    </row>
    <row r="302" ht="30" customHeight="1">
      <c r="A302" t="n">
        <v>6</v>
      </c>
      <c r="B302" s="110" t="inlineStr">
        <is>
          <t>Week notes</t>
        </is>
      </c>
      <c r="C302" s="111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112" t="n"/>
      <c r="R302" s="112" t="n"/>
      <c r="S302" s="112" t="n"/>
      <c r="T302" s="112" t="n"/>
      <c r="U302" s="112" t="n"/>
      <c r="V302" s="112" t="n"/>
      <c r="W302" s="112" t="n"/>
      <c r="X302" s="112" t="n"/>
      <c r="Y302" s="112" t="n"/>
      <c r="Z302" s="113" t="n"/>
    </row>
    <row r="303" ht="8" customHeight="1">
      <c r="A303" t="n">
        <v>6</v>
      </c>
    </row>
    <row r="304" ht="8" customHeight="1">
      <c r="A304" t="n">
        <v>6</v>
      </c>
    </row>
    <row r="305" ht="24" customHeight="1">
      <c r="A305" t="n">
        <v>7</v>
      </c>
      <c r="B305" s="73">
        <f>"WEEK 7     "&amp;TEXT(C306,"ddd d mmm")&amp;"  –  "&amp;TEXT(C306+6,"ddd d mmm yyyy")</f>
        <v/>
      </c>
      <c r="S305" s="74">
        <f>IF(TODAY()&lt;C306,"FUTURE",IF(TODAY()&gt;C306+6,"PAST","THIS WEEK"))</f>
        <v/>
      </c>
      <c r="W305" s="75">
        <f>IF(AND(Engine!$B$8=$AC$3,Engine!$B$9=$A305),"◀ ACTIVE WEEK","")</f>
        <v/>
      </c>
      <c r="AA305" s="76" t="n"/>
      <c r="AB305" s="77" t="inlineStr">
        <is>
          <t>◀ Prev</t>
        </is>
      </c>
      <c r="AC305" s="77" t="inlineStr">
        <is>
          <t>Next ▶</t>
        </is>
      </c>
    </row>
    <row r="306" ht="18" customHeight="1">
      <c r="A306" t="n">
        <v>7</v>
      </c>
      <c r="B306" s="78" t="inlineStr">
        <is>
          <t>DUTY</t>
        </is>
      </c>
      <c r="C306" s="79">
        <f>$AC$2+7*($A306-1)</f>
        <v/>
      </c>
      <c r="D306" s="80" t="n"/>
      <c r="E306" s="80" t="n"/>
      <c r="F306" s="81" t="n"/>
      <c r="G306" s="79">
        <f>C306+1</f>
        <v/>
      </c>
      <c r="H306" s="80" t="n"/>
      <c r="I306" s="80" t="n"/>
      <c r="J306" s="81" t="n"/>
      <c r="K306" s="79">
        <f>C306+2</f>
        <v/>
      </c>
      <c r="L306" s="80" t="n"/>
      <c r="M306" s="80" t="n"/>
      <c r="N306" s="81" t="n"/>
      <c r="O306" s="79">
        <f>C306+3</f>
        <v/>
      </c>
      <c r="P306" s="80" t="n"/>
      <c r="Q306" s="80" t="n"/>
      <c r="R306" s="81" t="n"/>
      <c r="S306" s="79">
        <f>C306+4</f>
        <v/>
      </c>
      <c r="T306" s="80" t="n"/>
      <c r="U306" s="80" t="n"/>
      <c r="V306" s="81" t="n"/>
      <c r="W306" s="82">
        <f>C306+5</f>
        <v/>
      </c>
      <c r="X306" s="83" t="n"/>
      <c r="Y306" s="82">
        <f>C306+6</f>
        <v/>
      </c>
      <c r="Z306" s="83" t="n"/>
      <c r="AB306" s="72" t="inlineStr">
        <is>
          <t>Gaps</t>
        </is>
      </c>
      <c r="AC306" s="72" t="inlineStr">
        <is>
          <t>Cover</t>
        </is>
      </c>
    </row>
    <row r="307" ht="14" customHeight="1">
      <c r="A307" t="n">
        <v>7</v>
      </c>
      <c r="B307" s="84" t="inlineStr">
        <is>
          <t>(from Setup)</t>
        </is>
      </c>
      <c r="C307" s="85" t="inlineStr">
        <is>
          <t>1</t>
        </is>
      </c>
      <c r="D307" s="85" t="inlineStr">
        <is>
          <t>2</t>
        </is>
      </c>
      <c r="E307" s="85" t="inlineStr">
        <is>
          <t>3</t>
        </is>
      </c>
      <c r="F307" s="85" t="inlineStr">
        <is>
          <t>Notes</t>
        </is>
      </c>
      <c r="G307" s="85" t="inlineStr">
        <is>
          <t>1</t>
        </is>
      </c>
      <c r="H307" s="85" t="inlineStr">
        <is>
          <t>2</t>
        </is>
      </c>
      <c r="I307" s="85" t="inlineStr">
        <is>
          <t>3</t>
        </is>
      </c>
      <c r="J307" s="85" t="inlineStr">
        <is>
          <t>Notes</t>
        </is>
      </c>
      <c r="K307" s="85" t="inlineStr">
        <is>
          <t>1</t>
        </is>
      </c>
      <c r="L307" s="85" t="inlineStr">
        <is>
          <t>2</t>
        </is>
      </c>
      <c r="M307" s="85" t="inlineStr">
        <is>
          <t>3</t>
        </is>
      </c>
      <c r="N307" s="85" t="inlineStr">
        <is>
          <t>Notes</t>
        </is>
      </c>
      <c r="O307" s="85" t="inlineStr">
        <is>
          <t>1</t>
        </is>
      </c>
      <c r="P307" s="85" t="inlineStr">
        <is>
          <t>2</t>
        </is>
      </c>
      <c r="Q307" s="85" t="inlineStr">
        <is>
          <t>3</t>
        </is>
      </c>
      <c r="R307" s="85" t="inlineStr">
        <is>
          <t>Notes</t>
        </is>
      </c>
      <c r="S307" s="85" t="inlineStr">
        <is>
          <t>1</t>
        </is>
      </c>
      <c r="T307" s="85" t="inlineStr">
        <is>
          <t>2</t>
        </is>
      </c>
      <c r="U307" s="85" t="inlineStr">
        <is>
          <t>3</t>
        </is>
      </c>
      <c r="V307" s="85" t="inlineStr">
        <is>
          <t>Notes</t>
        </is>
      </c>
      <c r="W307" s="85" t="inlineStr">
        <is>
          <t>Cover</t>
        </is>
      </c>
      <c r="X307" s="85" t="inlineStr">
        <is>
          <t>Notes</t>
        </is>
      </c>
      <c r="Y307" s="85" t="inlineStr">
        <is>
          <t>Cover</t>
        </is>
      </c>
      <c r="Z307" s="85" t="inlineStr">
        <is>
          <t>Notes</t>
        </is>
      </c>
      <c r="AB307" s="86" t="inlineStr">
        <is>
          <t>weekdays short</t>
        </is>
      </c>
      <c r="AC307" s="87" t="inlineStr"/>
    </row>
    <row r="308" ht="17" customHeight="1">
      <c r="A308" t="n">
        <v>7</v>
      </c>
      <c r="B308" s="24">
        <f>IF(Setup!$K$6="","",Setup!$K$6)</f>
        <v/>
      </c>
      <c r="C308" s="88" t="n"/>
      <c r="D308" s="88" t="n"/>
      <c r="E308" s="88" t="n"/>
      <c r="F308" s="89" t="n"/>
      <c r="G308" s="88" t="n"/>
      <c r="H308" s="88" t="n"/>
      <c r="I308" s="88" t="n"/>
      <c r="J308" s="89" t="n"/>
      <c r="K308" s="88" t="n"/>
      <c r="L308" s="88" t="n"/>
      <c r="M308" s="88" t="n"/>
      <c r="N308" s="89" t="n"/>
      <c r="O308" s="88" t="n"/>
      <c r="P308" s="88" t="n"/>
      <c r="Q308" s="88" t="n"/>
      <c r="R308" s="89" t="n"/>
      <c r="S308" s="88" t="n"/>
      <c r="T308" s="88" t="n"/>
      <c r="U308" s="88" t="n"/>
      <c r="V308" s="89" t="n"/>
      <c r="W308" s="88" t="n"/>
      <c r="X308" s="89" t="n"/>
      <c r="Y308" s="88" t="n"/>
      <c r="Z308" s="89" t="n"/>
      <c r="AB308" s="25">
        <f>IF($B308="","",(COUNTIF(C308:E308,"?*")&lt;N(INDEX(Setup!$L$6:$L$23,1)))+(COUNTIF(G308:I308,"?*")&lt;N(INDEX(Setup!$L$6:$L$23,1)))+(COUNTIF(K308:M308,"?*")&lt;N(INDEX(Setup!$L$6:$L$23,1)))+(COUNTIF(O308:Q308,"?*")&lt;N(INDEX(Setup!$L$6:$L$23,1)))+(COUNTIF(S308:U308,"?*")&lt;N(INDEX(Setup!$L$6:$L$23,1)))+((W308="")*(INDEX(Setup!$M$6:$M$23,1)="Y"))+((Y308="")*(INDEX(Setup!$M$6:$M$23,1)="Y")))</f>
        <v/>
      </c>
      <c r="AC308" s="90">
        <f>IF($B308="","",IF(AB308=0,"✓ covered","⚠ "&amp;AB308&amp;IF(AB308=1," gap"," gaps")))</f>
        <v/>
      </c>
    </row>
    <row r="309" ht="17" customHeight="1">
      <c r="A309" t="n">
        <v>7</v>
      </c>
      <c r="B309" s="29">
        <f>IF(Setup!$K$7="","",Setup!$K$7)</f>
        <v/>
      </c>
      <c r="C309" s="88" t="n"/>
      <c r="D309" s="88" t="n"/>
      <c r="E309" s="88" t="n"/>
      <c r="F309" s="89" t="n"/>
      <c r="G309" s="88" t="n"/>
      <c r="H309" s="88" t="n"/>
      <c r="I309" s="88" t="n"/>
      <c r="J309" s="89" t="n"/>
      <c r="K309" s="88" t="n"/>
      <c r="L309" s="88" t="n"/>
      <c r="M309" s="88" t="n"/>
      <c r="N309" s="89" t="n"/>
      <c r="O309" s="88" t="n"/>
      <c r="P309" s="88" t="n"/>
      <c r="Q309" s="88" t="n"/>
      <c r="R309" s="89" t="n"/>
      <c r="S309" s="88" t="n"/>
      <c r="T309" s="88" t="n"/>
      <c r="U309" s="88" t="n"/>
      <c r="V309" s="89" t="n"/>
      <c r="W309" s="88" t="n"/>
      <c r="X309" s="89" t="n"/>
      <c r="Y309" s="88" t="n"/>
      <c r="Z309" s="89" t="n"/>
      <c r="AB309" s="30">
        <f>IF($B309="","",(COUNTIF(C309:E309,"?*")&lt;N(INDEX(Setup!$L$6:$L$23,2)))+(COUNTIF(G309:I309,"?*")&lt;N(INDEX(Setup!$L$6:$L$23,2)))+(COUNTIF(K309:M309,"?*")&lt;N(INDEX(Setup!$L$6:$L$23,2)))+(COUNTIF(O309:Q309,"?*")&lt;N(INDEX(Setup!$L$6:$L$23,2)))+(COUNTIF(S309:U309,"?*")&lt;N(INDEX(Setup!$L$6:$L$23,2)))+((W309="")*(INDEX(Setup!$M$6:$M$23,2)="Y"))+((Y309="")*(INDEX(Setup!$M$6:$M$23,2)="Y")))</f>
        <v/>
      </c>
      <c r="AC309" s="91">
        <f>IF($B309="","",IF(AB309=0,"✓ covered","⚠ "&amp;AB309&amp;IF(AB309=1," gap"," gaps")))</f>
        <v/>
      </c>
    </row>
    <row r="310" ht="17" customHeight="1">
      <c r="A310" t="n">
        <v>7</v>
      </c>
      <c r="B310" s="24">
        <f>IF(Setup!$K$8="","",Setup!$K$8)</f>
        <v/>
      </c>
      <c r="C310" s="88" t="n"/>
      <c r="D310" s="88" t="n"/>
      <c r="E310" s="88" t="n"/>
      <c r="F310" s="89" t="n"/>
      <c r="G310" s="88" t="n"/>
      <c r="H310" s="88" t="n"/>
      <c r="I310" s="88" t="n"/>
      <c r="J310" s="89" t="n"/>
      <c r="K310" s="88" t="n"/>
      <c r="L310" s="88" t="n"/>
      <c r="M310" s="88" t="n"/>
      <c r="N310" s="89" t="n"/>
      <c r="O310" s="88" t="n"/>
      <c r="P310" s="88" t="n"/>
      <c r="Q310" s="88" t="n"/>
      <c r="R310" s="89" t="n"/>
      <c r="S310" s="88" t="n"/>
      <c r="T310" s="88" t="n"/>
      <c r="U310" s="88" t="n"/>
      <c r="V310" s="89" t="n"/>
      <c r="W310" s="88" t="n"/>
      <c r="X310" s="89" t="n"/>
      <c r="Y310" s="88" t="n"/>
      <c r="Z310" s="89" t="n"/>
      <c r="AB310" s="25">
        <f>IF($B310="","",(COUNTIF(C310:E310,"?*")&lt;N(INDEX(Setup!$L$6:$L$23,3)))+(COUNTIF(G310:I310,"?*")&lt;N(INDEX(Setup!$L$6:$L$23,3)))+(COUNTIF(K310:M310,"?*")&lt;N(INDEX(Setup!$L$6:$L$23,3)))+(COUNTIF(O310:Q310,"?*")&lt;N(INDEX(Setup!$L$6:$L$23,3)))+(COUNTIF(S310:U310,"?*")&lt;N(INDEX(Setup!$L$6:$L$23,3)))+((W310="")*(INDEX(Setup!$M$6:$M$23,3)="Y"))+((Y310="")*(INDEX(Setup!$M$6:$M$23,3)="Y")))</f>
        <v/>
      </c>
      <c r="AC310" s="90">
        <f>IF($B310="","",IF(AB310=0,"✓ covered","⚠ "&amp;AB310&amp;IF(AB310=1," gap"," gaps")))</f>
        <v/>
      </c>
    </row>
    <row r="311" ht="17" customHeight="1">
      <c r="A311" t="n">
        <v>7</v>
      </c>
      <c r="B311" s="29">
        <f>IF(Setup!$K$9="","",Setup!$K$9)</f>
        <v/>
      </c>
      <c r="C311" s="88" t="n"/>
      <c r="D311" s="88" t="n"/>
      <c r="E311" s="88" t="n"/>
      <c r="F311" s="89" t="n"/>
      <c r="G311" s="88" t="n"/>
      <c r="H311" s="88" t="n"/>
      <c r="I311" s="88" t="n"/>
      <c r="J311" s="89" t="n"/>
      <c r="K311" s="88" t="n"/>
      <c r="L311" s="88" t="n"/>
      <c r="M311" s="88" t="n"/>
      <c r="N311" s="89" t="n"/>
      <c r="O311" s="88" t="n"/>
      <c r="P311" s="88" t="n"/>
      <c r="Q311" s="88" t="n"/>
      <c r="R311" s="89" t="n"/>
      <c r="S311" s="88" t="n"/>
      <c r="T311" s="88" t="n"/>
      <c r="U311" s="88" t="n"/>
      <c r="V311" s="89" t="n"/>
      <c r="W311" s="88" t="n"/>
      <c r="X311" s="89" t="n"/>
      <c r="Y311" s="88" t="n"/>
      <c r="Z311" s="89" t="n"/>
      <c r="AB311" s="30">
        <f>IF($B311="","",(COUNTIF(C311:E311,"?*")&lt;N(INDEX(Setup!$L$6:$L$23,4)))+(COUNTIF(G311:I311,"?*")&lt;N(INDEX(Setup!$L$6:$L$23,4)))+(COUNTIF(K311:M311,"?*")&lt;N(INDEX(Setup!$L$6:$L$23,4)))+(COUNTIF(O311:Q311,"?*")&lt;N(INDEX(Setup!$L$6:$L$23,4)))+(COUNTIF(S311:U311,"?*")&lt;N(INDEX(Setup!$L$6:$L$23,4)))+((W311="")*(INDEX(Setup!$M$6:$M$23,4)="Y"))+((Y311="")*(INDEX(Setup!$M$6:$M$23,4)="Y")))</f>
        <v/>
      </c>
      <c r="AC311" s="91">
        <f>IF($B311="","",IF(AB311=0,"✓ covered","⚠ "&amp;AB311&amp;IF(AB311=1," gap"," gaps")))</f>
        <v/>
      </c>
    </row>
    <row r="312" ht="17" customHeight="1">
      <c r="A312" t="n">
        <v>7</v>
      </c>
      <c r="B312" s="24">
        <f>IF(Setup!$K$10="","",Setup!$K$10)</f>
        <v/>
      </c>
      <c r="C312" s="88" t="n"/>
      <c r="D312" s="88" t="n"/>
      <c r="E312" s="88" t="n"/>
      <c r="F312" s="89" t="n"/>
      <c r="G312" s="88" t="n"/>
      <c r="H312" s="88" t="n"/>
      <c r="I312" s="88" t="n"/>
      <c r="J312" s="89" t="n"/>
      <c r="K312" s="88" t="n"/>
      <c r="L312" s="88" t="n"/>
      <c r="M312" s="88" t="n"/>
      <c r="N312" s="89" t="n"/>
      <c r="O312" s="88" t="n"/>
      <c r="P312" s="88" t="n"/>
      <c r="Q312" s="88" t="n"/>
      <c r="R312" s="89" t="n"/>
      <c r="S312" s="88" t="n"/>
      <c r="T312" s="88" t="n"/>
      <c r="U312" s="88" t="n"/>
      <c r="V312" s="89" t="n"/>
      <c r="W312" s="88" t="n"/>
      <c r="X312" s="89" t="n"/>
      <c r="Y312" s="88" t="n"/>
      <c r="Z312" s="89" t="n"/>
      <c r="AB312" s="25">
        <f>IF($B312="","",(COUNTIF(C312:E312,"?*")&lt;N(INDEX(Setup!$L$6:$L$23,5)))+(COUNTIF(G312:I312,"?*")&lt;N(INDEX(Setup!$L$6:$L$23,5)))+(COUNTIF(K312:M312,"?*")&lt;N(INDEX(Setup!$L$6:$L$23,5)))+(COUNTIF(O312:Q312,"?*")&lt;N(INDEX(Setup!$L$6:$L$23,5)))+(COUNTIF(S312:U312,"?*")&lt;N(INDEX(Setup!$L$6:$L$23,5)))+((W312="")*(INDEX(Setup!$M$6:$M$23,5)="Y"))+((Y312="")*(INDEX(Setup!$M$6:$M$23,5)="Y")))</f>
        <v/>
      </c>
      <c r="AC312" s="90">
        <f>IF($B312="","",IF(AB312=0,"✓ covered","⚠ "&amp;AB312&amp;IF(AB312=1," gap"," gaps")))</f>
        <v/>
      </c>
    </row>
    <row r="313" ht="17" customHeight="1">
      <c r="A313" t="n">
        <v>7</v>
      </c>
      <c r="B313" s="29">
        <f>IF(Setup!$K$11="","",Setup!$K$11)</f>
        <v/>
      </c>
      <c r="C313" s="88" t="n"/>
      <c r="D313" s="88" t="n"/>
      <c r="E313" s="88" t="n"/>
      <c r="F313" s="89" t="n"/>
      <c r="G313" s="88" t="n"/>
      <c r="H313" s="88" t="n"/>
      <c r="I313" s="88" t="n"/>
      <c r="J313" s="89" t="n"/>
      <c r="K313" s="88" t="n"/>
      <c r="L313" s="88" t="n"/>
      <c r="M313" s="88" t="n"/>
      <c r="N313" s="89" t="n"/>
      <c r="O313" s="88" t="n"/>
      <c r="P313" s="88" t="n"/>
      <c r="Q313" s="88" t="n"/>
      <c r="R313" s="89" t="n"/>
      <c r="S313" s="88" t="n"/>
      <c r="T313" s="88" t="n"/>
      <c r="U313" s="88" t="n"/>
      <c r="V313" s="89" t="n"/>
      <c r="W313" s="88" t="n"/>
      <c r="X313" s="89" t="n"/>
      <c r="Y313" s="88" t="n"/>
      <c r="Z313" s="89" t="n"/>
      <c r="AB313" s="30">
        <f>IF($B313="","",(COUNTIF(C313:E313,"?*")&lt;N(INDEX(Setup!$L$6:$L$23,6)))+(COUNTIF(G313:I313,"?*")&lt;N(INDEX(Setup!$L$6:$L$23,6)))+(COUNTIF(K313:M313,"?*")&lt;N(INDEX(Setup!$L$6:$L$23,6)))+(COUNTIF(O313:Q313,"?*")&lt;N(INDEX(Setup!$L$6:$L$23,6)))+(COUNTIF(S313:U313,"?*")&lt;N(INDEX(Setup!$L$6:$L$23,6)))+((W313="")*(INDEX(Setup!$M$6:$M$23,6)="Y"))+((Y313="")*(INDEX(Setup!$M$6:$M$23,6)="Y")))</f>
        <v/>
      </c>
      <c r="AC313" s="91">
        <f>IF($B313="","",IF(AB313=0,"✓ covered","⚠ "&amp;AB313&amp;IF(AB313=1," gap"," gaps")))</f>
        <v/>
      </c>
    </row>
    <row r="314" ht="17" customHeight="1">
      <c r="A314" t="n">
        <v>7</v>
      </c>
      <c r="B314" s="24">
        <f>IF(Setup!$K$12="","",Setup!$K$12)</f>
        <v/>
      </c>
      <c r="C314" s="88" t="n"/>
      <c r="D314" s="88" t="n"/>
      <c r="E314" s="88" t="n"/>
      <c r="F314" s="89" t="n"/>
      <c r="G314" s="88" t="n"/>
      <c r="H314" s="88" t="n"/>
      <c r="I314" s="88" t="n"/>
      <c r="J314" s="89" t="n"/>
      <c r="K314" s="88" t="n"/>
      <c r="L314" s="88" t="n"/>
      <c r="M314" s="88" t="n"/>
      <c r="N314" s="89" t="n"/>
      <c r="O314" s="88" t="n"/>
      <c r="P314" s="88" t="n"/>
      <c r="Q314" s="88" t="n"/>
      <c r="R314" s="89" t="n"/>
      <c r="S314" s="88" t="n"/>
      <c r="T314" s="88" t="n"/>
      <c r="U314" s="88" t="n"/>
      <c r="V314" s="89" t="n"/>
      <c r="W314" s="88" t="n"/>
      <c r="X314" s="89" t="n"/>
      <c r="Y314" s="88" t="n"/>
      <c r="Z314" s="89" t="n"/>
      <c r="AB314" s="25">
        <f>IF($B314="","",(COUNTIF(C314:E314,"?*")&lt;N(INDEX(Setup!$L$6:$L$23,7)))+(COUNTIF(G314:I314,"?*")&lt;N(INDEX(Setup!$L$6:$L$23,7)))+(COUNTIF(K314:M314,"?*")&lt;N(INDEX(Setup!$L$6:$L$23,7)))+(COUNTIF(O314:Q314,"?*")&lt;N(INDEX(Setup!$L$6:$L$23,7)))+(COUNTIF(S314:U314,"?*")&lt;N(INDEX(Setup!$L$6:$L$23,7)))+((W314="")*(INDEX(Setup!$M$6:$M$23,7)="Y"))+((Y314="")*(INDEX(Setup!$M$6:$M$23,7)="Y")))</f>
        <v/>
      </c>
      <c r="AC314" s="90">
        <f>IF($B314="","",IF(AB314=0,"✓ covered","⚠ "&amp;AB314&amp;IF(AB314=1," gap"," gaps")))</f>
        <v/>
      </c>
    </row>
    <row r="315" ht="17" customHeight="1">
      <c r="A315" t="n">
        <v>7</v>
      </c>
      <c r="B315" s="29">
        <f>IF(Setup!$K$13="","",Setup!$K$13)</f>
        <v/>
      </c>
      <c r="C315" s="88" t="n"/>
      <c r="D315" s="88" t="n"/>
      <c r="E315" s="88" t="n"/>
      <c r="F315" s="89" t="n"/>
      <c r="G315" s="88" t="n"/>
      <c r="H315" s="88" t="n"/>
      <c r="I315" s="88" t="n"/>
      <c r="J315" s="89" t="n"/>
      <c r="K315" s="88" t="n"/>
      <c r="L315" s="88" t="n"/>
      <c r="M315" s="88" t="n"/>
      <c r="N315" s="89" t="n"/>
      <c r="O315" s="88" t="n"/>
      <c r="P315" s="88" t="n"/>
      <c r="Q315" s="88" t="n"/>
      <c r="R315" s="89" t="n"/>
      <c r="S315" s="88" t="n"/>
      <c r="T315" s="88" t="n"/>
      <c r="U315" s="88" t="n"/>
      <c r="V315" s="89" t="n"/>
      <c r="W315" s="88" t="n"/>
      <c r="X315" s="89" t="n"/>
      <c r="Y315" s="88" t="n"/>
      <c r="Z315" s="89" t="n"/>
      <c r="AB315" s="30">
        <f>IF($B315="","",(COUNTIF(C315:E315,"?*")&lt;N(INDEX(Setup!$L$6:$L$23,8)))+(COUNTIF(G315:I315,"?*")&lt;N(INDEX(Setup!$L$6:$L$23,8)))+(COUNTIF(K315:M315,"?*")&lt;N(INDEX(Setup!$L$6:$L$23,8)))+(COUNTIF(O315:Q315,"?*")&lt;N(INDEX(Setup!$L$6:$L$23,8)))+(COUNTIF(S315:U315,"?*")&lt;N(INDEX(Setup!$L$6:$L$23,8)))+((W315="")*(INDEX(Setup!$M$6:$M$23,8)="Y"))+((Y315="")*(INDEX(Setup!$M$6:$M$23,8)="Y")))</f>
        <v/>
      </c>
      <c r="AC315" s="91">
        <f>IF($B315="","",IF(AB315=0,"✓ covered","⚠ "&amp;AB315&amp;IF(AB315=1," gap"," gaps")))</f>
        <v/>
      </c>
    </row>
    <row r="316" ht="17" customHeight="1">
      <c r="A316" t="n">
        <v>7</v>
      </c>
      <c r="B316" s="24">
        <f>IF(Setup!$K$14="","",Setup!$K$14)</f>
        <v/>
      </c>
      <c r="C316" s="88" t="n"/>
      <c r="D316" s="88" t="n"/>
      <c r="E316" s="88" t="n"/>
      <c r="F316" s="89" t="n"/>
      <c r="G316" s="88" t="n"/>
      <c r="H316" s="88" t="n"/>
      <c r="I316" s="88" t="n"/>
      <c r="J316" s="89" t="n"/>
      <c r="K316" s="88" t="n"/>
      <c r="L316" s="88" t="n"/>
      <c r="M316" s="88" t="n"/>
      <c r="N316" s="89" t="n"/>
      <c r="O316" s="88" t="n"/>
      <c r="P316" s="88" t="n"/>
      <c r="Q316" s="88" t="n"/>
      <c r="R316" s="89" t="n"/>
      <c r="S316" s="88" t="n"/>
      <c r="T316" s="88" t="n"/>
      <c r="U316" s="88" t="n"/>
      <c r="V316" s="89" t="n"/>
      <c r="W316" s="88" t="n"/>
      <c r="X316" s="89" t="n"/>
      <c r="Y316" s="88" t="n"/>
      <c r="Z316" s="89" t="n"/>
      <c r="AB316" s="25">
        <f>IF($B316="","",(COUNTIF(C316:E316,"?*")&lt;N(INDEX(Setup!$L$6:$L$23,9)))+(COUNTIF(G316:I316,"?*")&lt;N(INDEX(Setup!$L$6:$L$23,9)))+(COUNTIF(K316:M316,"?*")&lt;N(INDEX(Setup!$L$6:$L$23,9)))+(COUNTIF(O316:Q316,"?*")&lt;N(INDEX(Setup!$L$6:$L$23,9)))+(COUNTIF(S316:U316,"?*")&lt;N(INDEX(Setup!$L$6:$L$23,9)))+((W316="")*(INDEX(Setup!$M$6:$M$23,9)="Y"))+((Y316="")*(INDEX(Setup!$M$6:$M$23,9)="Y")))</f>
        <v/>
      </c>
      <c r="AC316" s="90">
        <f>IF($B316="","",IF(AB316=0,"✓ covered","⚠ "&amp;AB316&amp;IF(AB316=1," gap"," gaps")))</f>
        <v/>
      </c>
    </row>
    <row r="317" ht="17" customHeight="1">
      <c r="A317" t="n">
        <v>7</v>
      </c>
      <c r="B317" s="29">
        <f>IF(Setup!$K$15="","",Setup!$K$15)</f>
        <v/>
      </c>
      <c r="C317" s="88" t="n"/>
      <c r="D317" s="88" t="n"/>
      <c r="E317" s="88" t="n"/>
      <c r="F317" s="89" t="n"/>
      <c r="G317" s="88" t="n"/>
      <c r="H317" s="88" t="n"/>
      <c r="I317" s="88" t="n"/>
      <c r="J317" s="89" t="n"/>
      <c r="K317" s="88" t="n"/>
      <c r="L317" s="88" t="n"/>
      <c r="M317" s="88" t="n"/>
      <c r="N317" s="89" t="n"/>
      <c r="O317" s="88" t="n"/>
      <c r="P317" s="88" t="n"/>
      <c r="Q317" s="88" t="n"/>
      <c r="R317" s="89" t="n"/>
      <c r="S317" s="88" t="n"/>
      <c r="T317" s="88" t="n"/>
      <c r="U317" s="88" t="n"/>
      <c r="V317" s="89" t="n"/>
      <c r="W317" s="88" t="n"/>
      <c r="X317" s="89" t="n"/>
      <c r="Y317" s="88" t="n"/>
      <c r="Z317" s="89" t="n"/>
      <c r="AB317" s="30">
        <f>IF($B317="","",(COUNTIF(C317:E317,"?*")&lt;N(INDEX(Setup!$L$6:$L$23,10)))+(COUNTIF(G317:I317,"?*")&lt;N(INDEX(Setup!$L$6:$L$23,10)))+(COUNTIF(K317:M317,"?*")&lt;N(INDEX(Setup!$L$6:$L$23,10)))+(COUNTIF(O317:Q317,"?*")&lt;N(INDEX(Setup!$L$6:$L$23,10)))+(COUNTIF(S317:U317,"?*")&lt;N(INDEX(Setup!$L$6:$L$23,10)))+((W317="")*(INDEX(Setup!$M$6:$M$23,10)="Y"))+((Y317="")*(INDEX(Setup!$M$6:$M$23,10)="Y")))</f>
        <v/>
      </c>
      <c r="AC317" s="91">
        <f>IF($B317="","",IF(AB317=0,"✓ covered","⚠ "&amp;AB317&amp;IF(AB317=1," gap"," gaps")))</f>
        <v/>
      </c>
    </row>
    <row r="318" ht="17" customHeight="1">
      <c r="A318" t="n">
        <v>7</v>
      </c>
      <c r="B318" s="24">
        <f>IF(Setup!$K$16="","",Setup!$K$16)</f>
        <v/>
      </c>
      <c r="C318" s="88" t="n"/>
      <c r="D318" s="88" t="n"/>
      <c r="E318" s="88" t="n"/>
      <c r="F318" s="89" t="n"/>
      <c r="G318" s="88" t="n"/>
      <c r="H318" s="88" t="n"/>
      <c r="I318" s="88" t="n"/>
      <c r="J318" s="89" t="n"/>
      <c r="K318" s="88" t="n"/>
      <c r="L318" s="88" t="n"/>
      <c r="M318" s="88" t="n"/>
      <c r="N318" s="89" t="n"/>
      <c r="O318" s="88" t="n"/>
      <c r="P318" s="88" t="n"/>
      <c r="Q318" s="88" t="n"/>
      <c r="R318" s="89" t="n"/>
      <c r="S318" s="88" t="n"/>
      <c r="T318" s="88" t="n"/>
      <c r="U318" s="88" t="n"/>
      <c r="V318" s="89" t="n"/>
      <c r="W318" s="88" t="n"/>
      <c r="X318" s="89" t="n"/>
      <c r="Y318" s="88" t="n"/>
      <c r="Z318" s="89" t="n"/>
      <c r="AB318" s="25">
        <f>IF($B318="","",(COUNTIF(C318:E318,"?*")&lt;N(INDEX(Setup!$L$6:$L$23,11)))+(COUNTIF(G318:I318,"?*")&lt;N(INDEX(Setup!$L$6:$L$23,11)))+(COUNTIF(K318:M318,"?*")&lt;N(INDEX(Setup!$L$6:$L$23,11)))+(COUNTIF(O318:Q318,"?*")&lt;N(INDEX(Setup!$L$6:$L$23,11)))+(COUNTIF(S318:U318,"?*")&lt;N(INDEX(Setup!$L$6:$L$23,11)))+((W318="")*(INDEX(Setup!$M$6:$M$23,11)="Y"))+((Y318="")*(INDEX(Setup!$M$6:$M$23,11)="Y")))</f>
        <v/>
      </c>
      <c r="AC318" s="90">
        <f>IF($B318="","",IF(AB318=0,"✓ covered","⚠ "&amp;AB318&amp;IF(AB318=1," gap"," gaps")))</f>
        <v/>
      </c>
    </row>
    <row r="319" ht="17" customHeight="1">
      <c r="A319" t="n">
        <v>7</v>
      </c>
      <c r="B319" s="29">
        <f>IF(Setup!$K$17="","",Setup!$K$17)</f>
        <v/>
      </c>
      <c r="C319" s="88" t="n"/>
      <c r="D319" s="88" t="n"/>
      <c r="E319" s="88" t="n"/>
      <c r="F319" s="89" t="n"/>
      <c r="G319" s="88" t="n"/>
      <c r="H319" s="88" t="n"/>
      <c r="I319" s="88" t="n"/>
      <c r="J319" s="89" t="n"/>
      <c r="K319" s="88" t="n"/>
      <c r="L319" s="88" t="n"/>
      <c r="M319" s="88" t="n"/>
      <c r="N319" s="89" t="n"/>
      <c r="O319" s="88" t="n"/>
      <c r="P319" s="88" t="n"/>
      <c r="Q319" s="88" t="n"/>
      <c r="R319" s="89" t="n"/>
      <c r="S319" s="88" t="n"/>
      <c r="T319" s="88" t="n"/>
      <c r="U319" s="88" t="n"/>
      <c r="V319" s="89" t="n"/>
      <c r="W319" s="88" t="n"/>
      <c r="X319" s="89" t="n"/>
      <c r="Y319" s="88" t="n"/>
      <c r="Z319" s="89" t="n"/>
      <c r="AB319" s="30">
        <f>IF($B319="","",(COUNTIF(C319:E319,"?*")&lt;N(INDEX(Setup!$L$6:$L$23,12)))+(COUNTIF(G319:I319,"?*")&lt;N(INDEX(Setup!$L$6:$L$23,12)))+(COUNTIF(K319:M319,"?*")&lt;N(INDEX(Setup!$L$6:$L$23,12)))+(COUNTIF(O319:Q319,"?*")&lt;N(INDEX(Setup!$L$6:$L$23,12)))+(COUNTIF(S319:U319,"?*")&lt;N(INDEX(Setup!$L$6:$L$23,12)))+((W319="")*(INDEX(Setup!$M$6:$M$23,12)="Y"))+((Y319="")*(INDEX(Setup!$M$6:$M$23,12)="Y")))</f>
        <v/>
      </c>
      <c r="AC319" s="91">
        <f>IF($B319="","",IF(AB319=0,"✓ covered","⚠ "&amp;AB319&amp;IF(AB319=1," gap"," gaps")))</f>
        <v/>
      </c>
    </row>
    <row r="320" ht="17" customHeight="1">
      <c r="A320" t="n">
        <v>7</v>
      </c>
      <c r="B320" s="24">
        <f>IF(Setup!$K$18="","",Setup!$K$18)</f>
        <v/>
      </c>
      <c r="C320" s="88" t="n"/>
      <c r="D320" s="88" t="n"/>
      <c r="E320" s="88" t="n"/>
      <c r="F320" s="89" t="n"/>
      <c r="G320" s="88" t="n"/>
      <c r="H320" s="88" t="n"/>
      <c r="I320" s="88" t="n"/>
      <c r="J320" s="89" t="n"/>
      <c r="K320" s="88" t="n"/>
      <c r="L320" s="88" t="n"/>
      <c r="M320" s="88" t="n"/>
      <c r="N320" s="89" t="n"/>
      <c r="O320" s="88" t="n"/>
      <c r="P320" s="88" t="n"/>
      <c r="Q320" s="88" t="n"/>
      <c r="R320" s="89" t="n"/>
      <c r="S320" s="88" t="n"/>
      <c r="T320" s="88" t="n"/>
      <c r="U320" s="88" t="n"/>
      <c r="V320" s="89" t="n"/>
      <c r="W320" s="88" t="n"/>
      <c r="X320" s="89" t="n"/>
      <c r="Y320" s="88" t="n"/>
      <c r="Z320" s="89" t="n"/>
      <c r="AB320" s="25">
        <f>IF($B320="","",(COUNTIF(C320:E320,"?*")&lt;N(INDEX(Setup!$L$6:$L$23,13)))+(COUNTIF(G320:I320,"?*")&lt;N(INDEX(Setup!$L$6:$L$23,13)))+(COUNTIF(K320:M320,"?*")&lt;N(INDEX(Setup!$L$6:$L$23,13)))+(COUNTIF(O320:Q320,"?*")&lt;N(INDEX(Setup!$L$6:$L$23,13)))+(COUNTIF(S320:U320,"?*")&lt;N(INDEX(Setup!$L$6:$L$23,13)))+((W320="")*(INDEX(Setup!$M$6:$M$23,13)="Y"))+((Y320="")*(INDEX(Setup!$M$6:$M$23,13)="Y")))</f>
        <v/>
      </c>
      <c r="AC320" s="90">
        <f>IF($B320="","",IF(AB320=0,"✓ covered","⚠ "&amp;AB320&amp;IF(AB320=1," gap"," gaps")))</f>
        <v/>
      </c>
    </row>
    <row r="321" ht="17" customHeight="1">
      <c r="A321" t="n">
        <v>7</v>
      </c>
      <c r="B321" s="29">
        <f>IF(Setup!$K$19="","",Setup!$K$19)</f>
        <v/>
      </c>
      <c r="C321" s="88" t="n"/>
      <c r="D321" s="88" t="n"/>
      <c r="E321" s="88" t="n"/>
      <c r="F321" s="89" t="n"/>
      <c r="G321" s="88" t="n"/>
      <c r="H321" s="88" t="n"/>
      <c r="I321" s="88" t="n"/>
      <c r="J321" s="89" t="n"/>
      <c r="K321" s="88" t="n"/>
      <c r="L321" s="88" t="n"/>
      <c r="M321" s="88" t="n"/>
      <c r="N321" s="89" t="n"/>
      <c r="O321" s="88" t="n"/>
      <c r="P321" s="88" t="n"/>
      <c r="Q321" s="88" t="n"/>
      <c r="R321" s="89" t="n"/>
      <c r="S321" s="88" t="n"/>
      <c r="T321" s="88" t="n"/>
      <c r="U321" s="88" t="n"/>
      <c r="V321" s="89" t="n"/>
      <c r="W321" s="88" t="n"/>
      <c r="X321" s="89" t="n"/>
      <c r="Y321" s="88" t="n"/>
      <c r="Z321" s="89" t="n"/>
      <c r="AB321" s="30">
        <f>IF($B321="","",(COUNTIF(C321:E321,"?*")&lt;N(INDEX(Setup!$L$6:$L$23,14)))+(COUNTIF(G321:I321,"?*")&lt;N(INDEX(Setup!$L$6:$L$23,14)))+(COUNTIF(K321:M321,"?*")&lt;N(INDEX(Setup!$L$6:$L$23,14)))+(COUNTIF(O321:Q321,"?*")&lt;N(INDEX(Setup!$L$6:$L$23,14)))+(COUNTIF(S321:U321,"?*")&lt;N(INDEX(Setup!$L$6:$L$23,14)))+((W321="")*(INDEX(Setup!$M$6:$M$23,14)="Y"))+((Y321="")*(INDEX(Setup!$M$6:$M$23,14)="Y")))</f>
        <v/>
      </c>
      <c r="AC321" s="91">
        <f>IF($B321="","",IF(AB321=0,"✓ covered","⚠ "&amp;AB321&amp;IF(AB321=1," gap"," gaps")))</f>
        <v/>
      </c>
    </row>
    <row r="322" ht="17" customHeight="1">
      <c r="A322" t="n">
        <v>7</v>
      </c>
      <c r="B322" s="24">
        <f>IF(Setup!$K$20="","",Setup!$K$20)</f>
        <v/>
      </c>
      <c r="C322" s="88" t="n"/>
      <c r="D322" s="88" t="n"/>
      <c r="E322" s="88" t="n"/>
      <c r="F322" s="89" t="n"/>
      <c r="G322" s="88" t="n"/>
      <c r="H322" s="88" t="n"/>
      <c r="I322" s="88" t="n"/>
      <c r="J322" s="89" t="n"/>
      <c r="K322" s="88" t="n"/>
      <c r="L322" s="88" t="n"/>
      <c r="M322" s="88" t="n"/>
      <c r="N322" s="89" t="n"/>
      <c r="O322" s="88" t="n"/>
      <c r="P322" s="88" t="n"/>
      <c r="Q322" s="88" t="n"/>
      <c r="R322" s="89" t="n"/>
      <c r="S322" s="88" t="n"/>
      <c r="T322" s="88" t="n"/>
      <c r="U322" s="88" t="n"/>
      <c r="V322" s="89" t="n"/>
      <c r="W322" s="88" t="n"/>
      <c r="X322" s="89" t="n"/>
      <c r="Y322" s="88" t="n"/>
      <c r="Z322" s="89" t="n"/>
      <c r="AB322" s="25">
        <f>IF($B322="","",(COUNTIF(C322:E322,"?*")&lt;N(INDEX(Setup!$L$6:$L$23,15)))+(COUNTIF(G322:I322,"?*")&lt;N(INDEX(Setup!$L$6:$L$23,15)))+(COUNTIF(K322:M322,"?*")&lt;N(INDEX(Setup!$L$6:$L$23,15)))+(COUNTIF(O322:Q322,"?*")&lt;N(INDEX(Setup!$L$6:$L$23,15)))+(COUNTIF(S322:U322,"?*")&lt;N(INDEX(Setup!$L$6:$L$23,15)))+((W322="")*(INDEX(Setup!$M$6:$M$23,15)="Y"))+((Y322="")*(INDEX(Setup!$M$6:$M$23,15)="Y")))</f>
        <v/>
      </c>
      <c r="AC322" s="90">
        <f>IF($B322="","",IF(AB322=0,"✓ covered","⚠ "&amp;AB322&amp;IF(AB322=1," gap"," gaps")))</f>
        <v/>
      </c>
    </row>
    <row r="323" ht="17" customHeight="1">
      <c r="A323" t="n">
        <v>7</v>
      </c>
      <c r="B323" s="29">
        <f>IF(Setup!$K$21="","",Setup!$K$21)</f>
        <v/>
      </c>
      <c r="C323" s="88" t="n"/>
      <c r="D323" s="88" t="n"/>
      <c r="E323" s="88" t="n"/>
      <c r="F323" s="89" t="n"/>
      <c r="G323" s="88" t="n"/>
      <c r="H323" s="88" t="n"/>
      <c r="I323" s="88" t="n"/>
      <c r="J323" s="89" t="n"/>
      <c r="K323" s="88" t="n"/>
      <c r="L323" s="88" t="n"/>
      <c r="M323" s="88" t="n"/>
      <c r="N323" s="89" t="n"/>
      <c r="O323" s="88" t="n"/>
      <c r="P323" s="88" t="n"/>
      <c r="Q323" s="88" t="n"/>
      <c r="R323" s="89" t="n"/>
      <c r="S323" s="88" t="n"/>
      <c r="T323" s="88" t="n"/>
      <c r="U323" s="88" t="n"/>
      <c r="V323" s="89" t="n"/>
      <c r="W323" s="88" t="n"/>
      <c r="X323" s="89" t="n"/>
      <c r="Y323" s="88" t="n"/>
      <c r="Z323" s="89" t="n"/>
      <c r="AB323" s="30">
        <f>IF($B323="","",(COUNTIF(C323:E323,"?*")&lt;N(INDEX(Setup!$L$6:$L$23,16)))+(COUNTIF(G323:I323,"?*")&lt;N(INDEX(Setup!$L$6:$L$23,16)))+(COUNTIF(K323:M323,"?*")&lt;N(INDEX(Setup!$L$6:$L$23,16)))+(COUNTIF(O323:Q323,"?*")&lt;N(INDEX(Setup!$L$6:$L$23,16)))+(COUNTIF(S323:U323,"?*")&lt;N(INDEX(Setup!$L$6:$L$23,16)))+((W323="")*(INDEX(Setup!$M$6:$M$23,16)="Y"))+((Y323="")*(INDEX(Setup!$M$6:$M$23,16)="Y")))</f>
        <v/>
      </c>
      <c r="AC323" s="91">
        <f>IF($B323="","",IF(AB323=0,"✓ covered","⚠ "&amp;AB323&amp;IF(AB323=1," gap"," gaps")))</f>
        <v/>
      </c>
    </row>
    <row r="324" ht="17" customHeight="1">
      <c r="A324" t="n">
        <v>7</v>
      </c>
      <c r="B324" s="24">
        <f>IF(Setup!$K$22="","",Setup!$K$22)</f>
        <v/>
      </c>
      <c r="C324" s="88" t="n"/>
      <c r="D324" s="88" t="n"/>
      <c r="E324" s="88" t="n"/>
      <c r="F324" s="89" t="n"/>
      <c r="G324" s="88" t="n"/>
      <c r="H324" s="88" t="n"/>
      <c r="I324" s="88" t="n"/>
      <c r="J324" s="89" t="n"/>
      <c r="K324" s="88" t="n"/>
      <c r="L324" s="88" t="n"/>
      <c r="M324" s="88" t="n"/>
      <c r="N324" s="89" t="n"/>
      <c r="O324" s="88" t="n"/>
      <c r="P324" s="88" t="n"/>
      <c r="Q324" s="88" t="n"/>
      <c r="R324" s="89" t="n"/>
      <c r="S324" s="88" t="n"/>
      <c r="T324" s="88" t="n"/>
      <c r="U324" s="88" t="n"/>
      <c r="V324" s="89" t="n"/>
      <c r="W324" s="88" t="n"/>
      <c r="X324" s="89" t="n"/>
      <c r="Y324" s="88" t="n"/>
      <c r="Z324" s="89" t="n"/>
      <c r="AB324" s="25">
        <f>IF($B324="","",(COUNTIF(C324:E324,"?*")&lt;N(INDEX(Setup!$L$6:$L$23,17)))+(COUNTIF(G324:I324,"?*")&lt;N(INDEX(Setup!$L$6:$L$23,17)))+(COUNTIF(K324:M324,"?*")&lt;N(INDEX(Setup!$L$6:$L$23,17)))+(COUNTIF(O324:Q324,"?*")&lt;N(INDEX(Setup!$L$6:$L$23,17)))+(COUNTIF(S324:U324,"?*")&lt;N(INDEX(Setup!$L$6:$L$23,17)))+((W324="")*(INDEX(Setup!$M$6:$M$23,17)="Y"))+((Y324="")*(INDEX(Setup!$M$6:$M$23,17)="Y")))</f>
        <v/>
      </c>
      <c r="AC324" s="90">
        <f>IF($B324="","",IF(AB324=0,"✓ covered","⚠ "&amp;AB324&amp;IF(AB324=1," gap"," gaps")))</f>
        <v/>
      </c>
    </row>
    <row r="325" ht="17" customHeight="1">
      <c r="A325" t="n">
        <v>7</v>
      </c>
      <c r="B325" s="29">
        <f>IF(Setup!$K$23="","",Setup!$K$23)</f>
        <v/>
      </c>
      <c r="C325" s="88" t="n"/>
      <c r="D325" s="88" t="n"/>
      <c r="E325" s="88" t="n"/>
      <c r="F325" s="89" t="n"/>
      <c r="G325" s="88" t="n"/>
      <c r="H325" s="88" t="n"/>
      <c r="I325" s="88" t="n"/>
      <c r="J325" s="89" t="n"/>
      <c r="K325" s="88" t="n"/>
      <c r="L325" s="88" t="n"/>
      <c r="M325" s="88" t="n"/>
      <c r="N325" s="89" t="n"/>
      <c r="O325" s="88" t="n"/>
      <c r="P325" s="88" t="n"/>
      <c r="Q325" s="88" t="n"/>
      <c r="R325" s="89" t="n"/>
      <c r="S325" s="88" t="n"/>
      <c r="T325" s="88" t="n"/>
      <c r="U325" s="88" t="n"/>
      <c r="V325" s="89" t="n"/>
      <c r="W325" s="88" t="n"/>
      <c r="X325" s="89" t="n"/>
      <c r="Y325" s="88" t="n"/>
      <c r="Z325" s="89" t="n"/>
      <c r="AB325" s="30">
        <f>IF($B325="","",(COUNTIF(C325:E325,"?*")&lt;N(INDEX(Setup!$L$6:$L$23,18)))+(COUNTIF(G325:I325,"?*")&lt;N(INDEX(Setup!$L$6:$L$23,18)))+(COUNTIF(K325:M325,"?*")&lt;N(INDEX(Setup!$L$6:$L$23,18)))+(COUNTIF(O325:Q325,"?*")&lt;N(INDEX(Setup!$L$6:$L$23,18)))+(COUNTIF(S325:U325,"?*")&lt;N(INDEX(Setup!$L$6:$L$23,18)))+((W325="")*(INDEX(Setup!$M$6:$M$23,18)="Y"))+((Y325="")*(INDEX(Setup!$M$6:$M$23,18)="Y")))</f>
        <v/>
      </c>
      <c r="AC325" s="91">
        <f>IF($B325="","",IF(AB325=0,"✓ covered","⚠ "&amp;AB325&amp;IF(AB325=1," gap"," gaps")))</f>
        <v/>
      </c>
    </row>
    <row r="326" ht="18" customHeight="1">
      <c r="A326" t="n">
        <v>7</v>
      </c>
      <c r="B326" s="78" t="inlineStr">
        <is>
          <t>TEAM AVAILABILITY</t>
        </is>
      </c>
      <c r="C326" s="92" t="inlineStr">
        <is>
          <t>Mon</t>
        </is>
      </c>
      <c r="D326" s="93" t="n"/>
      <c r="E326" s="93" t="n"/>
      <c r="F326" s="94" t="n"/>
      <c r="G326" s="92" t="inlineStr">
        <is>
          <t>Tue</t>
        </is>
      </c>
      <c r="H326" s="93" t="n"/>
      <c r="I326" s="93" t="n"/>
      <c r="J326" s="94" t="n"/>
      <c r="K326" s="92" t="inlineStr">
        <is>
          <t>Wed</t>
        </is>
      </c>
      <c r="L326" s="93" t="n"/>
      <c r="M326" s="93" t="n"/>
      <c r="N326" s="94" t="n"/>
      <c r="O326" s="92" t="inlineStr">
        <is>
          <t>Thu</t>
        </is>
      </c>
      <c r="P326" s="93" t="n"/>
      <c r="Q326" s="93" t="n"/>
      <c r="R326" s="94" t="n"/>
      <c r="S326" s="92" t="inlineStr">
        <is>
          <t>Fri</t>
        </is>
      </c>
      <c r="T326" s="93" t="n"/>
      <c r="U326" s="93" t="n"/>
      <c r="V326" s="94" t="n"/>
      <c r="W326" s="95" t="inlineStr">
        <is>
          <t>Sat</t>
        </is>
      </c>
      <c r="X326" s="96" t="n"/>
      <c r="Y326" s="95" t="inlineStr">
        <is>
          <t>Sun</t>
        </is>
      </c>
      <c r="Z326" s="96" t="n"/>
      <c r="AB326" s="97" t="inlineStr">
        <is>
          <t>Days rostered</t>
        </is>
      </c>
      <c r="AC326" s="97" t="inlineStr">
        <is>
          <t>Conflicts</t>
        </is>
      </c>
    </row>
    <row r="327" ht="15" customHeight="1">
      <c r="A327" t="n">
        <v>7</v>
      </c>
      <c r="B327" s="35">
        <f>IF(Setup!$B$6="","",Setup!$B$6)</f>
        <v/>
      </c>
      <c r="C327" s="98" t="n"/>
      <c r="D327" s="99" t="n"/>
      <c r="E327" s="99" t="n"/>
      <c r="F327" s="100" t="n"/>
      <c r="G327" s="98" t="n"/>
      <c r="H327" s="99" t="n"/>
      <c r="I327" s="99" t="n"/>
      <c r="J327" s="100" t="n"/>
      <c r="K327" s="98" t="n"/>
      <c r="L327" s="99" t="n"/>
      <c r="M327" s="99" t="n"/>
      <c r="N327" s="100" t="n"/>
      <c r="O327" s="98" t="n"/>
      <c r="P327" s="99" t="n"/>
      <c r="Q327" s="99" t="n"/>
      <c r="R327" s="100" t="n"/>
      <c r="S327" s="98" t="n"/>
      <c r="T327" s="99" t="n"/>
      <c r="U327" s="99" t="n"/>
      <c r="V327" s="100" t="n"/>
      <c r="W327" s="98" t="n"/>
      <c r="X327" s="100" t="n"/>
      <c r="Y327" s="98" t="n"/>
      <c r="Z327" s="100" t="n"/>
      <c r="AB327" s="101">
        <f>IF($B327="","",(COUNTIF(C308:E325,$B327)+COUNTIF(C308:E325,$B327&amp;" ~*")&gt;0)+(COUNTIF(G308:I325,$B327)+COUNTIF(G308:I325,$B327&amp;" ~*")&gt;0)+(COUNTIF(K308:M325,$B327)+COUNTIF(K308:M325,$B327&amp;" ~*")&gt;0)+(COUNTIF(O308:Q325,$B327)+COUNTIF(O308:Q325,$B327&amp;" ~*")&gt;0)+(COUNTIF(S308:U325,$B327)+COUNTIF(S308:U325,$B327&amp;" ~*")&gt;0)+(COUNTIF(W308:W325,$B327)+COUNTIF(W308:W325,$B327&amp;" ~*")&gt;0)+(COUNTIF(Y308:Y325,$B327)+COUNTIF(Y308:Y325,$B327&amp;" ~*")&gt;0))</f>
        <v/>
      </c>
      <c r="AC327" s="36">
        <f>IF($B327="","",(IFERROR(INDEX(Setup!$G$33:$G$40,MATCH(C327,Setup!$B$33:$B$40,0)),0)=1)*(COUNTIF(C308:E325,$B327)+COUNTIF(C308:E325,$B327&amp;" ~*")&gt;0)+(IFERROR(INDEX(Setup!$G$33:$G$40,MATCH(G327,Setup!$B$33:$B$40,0)),0)=1)*(COUNTIF(G308:I325,$B327)+COUNTIF(G308:I325,$B327&amp;" ~*")&gt;0)+(IFERROR(INDEX(Setup!$G$33:$G$40,MATCH(K327,Setup!$B$33:$B$40,0)),0)=1)*(COUNTIF(K308:M325,$B327)+COUNTIF(K308:M325,$B327&amp;" ~*")&gt;0)+(IFERROR(INDEX(Setup!$G$33:$G$40,MATCH(O327,Setup!$B$33:$B$40,0)),0)=1)*(COUNTIF(O308:Q325,$B327)+COUNTIF(O308:Q325,$B327&amp;" ~*")&gt;0)+(IFERROR(INDEX(Setup!$G$33:$G$40,MATCH(S327,Setup!$B$33:$B$40,0)),0)=1)*(COUNTIF(S308:U325,$B327)+COUNTIF(S308:U325,$B327&amp;" ~*")&gt;0)+(IFERROR(INDEX(Setup!$G$33:$G$40,MATCH(W327,Setup!$B$33:$B$40,0)),0)=1)*(COUNTIF(W308:W325,$B327)+COUNTIF(W308:W325,$B327&amp;" ~*")&gt;0)+(IFERROR(INDEX(Setup!$G$33:$G$40,MATCH(Y327,Setup!$B$33:$B$40,0)),0)=1)*(COUNTIF(Y308:Y325,$B327)+COUNTIF(Y308:Y325,$B327&amp;" ~*")&gt;0))</f>
        <v/>
      </c>
    </row>
    <row r="328" ht="15" customHeight="1">
      <c r="A328" t="n">
        <v>7</v>
      </c>
      <c r="B328" s="37">
        <f>IF(Setup!$B$7="","",Setup!$B$7)</f>
        <v/>
      </c>
      <c r="C328" s="102" t="n"/>
      <c r="D328" s="103" t="n"/>
      <c r="E328" s="103" t="n"/>
      <c r="F328" s="104" t="n"/>
      <c r="G328" s="102" t="n"/>
      <c r="H328" s="103" t="n"/>
      <c r="I328" s="103" t="n"/>
      <c r="J328" s="104" t="n"/>
      <c r="K328" s="102" t="n"/>
      <c r="L328" s="103" t="n"/>
      <c r="M328" s="103" t="n"/>
      <c r="N328" s="104" t="n"/>
      <c r="O328" s="102" t="n"/>
      <c r="P328" s="103" t="n"/>
      <c r="Q328" s="103" t="n"/>
      <c r="R328" s="104" t="n"/>
      <c r="S328" s="102" t="n"/>
      <c r="T328" s="103" t="n"/>
      <c r="U328" s="103" t="n"/>
      <c r="V328" s="104" t="n"/>
      <c r="W328" s="102" t="n"/>
      <c r="X328" s="104" t="n"/>
      <c r="Y328" s="102" t="n"/>
      <c r="Z328" s="104" t="n"/>
      <c r="AB328" s="105">
        <f>IF($B328="","",(COUNTIF(C308:E325,$B328)+COUNTIF(C308:E325,$B328&amp;" ~*")&gt;0)+(COUNTIF(G308:I325,$B328)+COUNTIF(G308:I325,$B328&amp;" ~*")&gt;0)+(COUNTIF(K308:M325,$B328)+COUNTIF(K308:M325,$B328&amp;" ~*")&gt;0)+(COUNTIF(O308:Q325,$B328)+COUNTIF(O308:Q325,$B328&amp;" ~*")&gt;0)+(COUNTIF(S308:U325,$B328)+COUNTIF(S308:U325,$B328&amp;" ~*")&gt;0)+(COUNTIF(W308:W325,$B328)+COUNTIF(W308:W325,$B328&amp;" ~*")&gt;0)+(COUNTIF(Y308:Y325,$B328)+COUNTIF(Y308:Y325,$B328&amp;" ~*")&gt;0))</f>
        <v/>
      </c>
      <c r="AC328" s="38">
        <f>IF($B328="","",(IFERROR(INDEX(Setup!$G$33:$G$40,MATCH(C328,Setup!$B$33:$B$40,0)),0)=1)*(COUNTIF(C308:E325,$B328)+COUNTIF(C308:E325,$B328&amp;" ~*")&gt;0)+(IFERROR(INDEX(Setup!$G$33:$G$40,MATCH(G328,Setup!$B$33:$B$40,0)),0)=1)*(COUNTIF(G308:I325,$B328)+COUNTIF(G308:I325,$B328&amp;" ~*")&gt;0)+(IFERROR(INDEX(Setup!$G$33:$G$40,MATCH(K328,Setup!$B$33:$B$40,0)),0)=1)*(COUNTIF(K308:M325,$B328)+COUNTIF(K308:M325,$B328&amp;" ~*")&gt;0)+(IFERROR(INDEX(Setup!$G$33:$G$40,MATCH(O328,Setup!$B$33:$B$40,0)),0)=1)*(COUNTIF(O308:Q325,$B328)+COUNTIF(O308:Q325,$B328&amp;" ~*")&gt;0)+(IFERROR(INDEX(Setup!$G$33:$G$40,MATCH(S328,Setup!$B$33:$B$40,0)),0)=1)*(COUNTIF(S308:U325,$B328)+COUNTIF(S308:U325,$B328&amp;" ~*")&gt;0)+(IFERROR(INDEX(Setup!$G$33:$G$40,MATCH(W328,Setup!$B$33:$B$40,0)),0)=1)*(COUNTIF(W308:W325,$B328)+COUNTIF(W308:W325,$B328&amp;" ~*")&gt;0)+(IFERROR(INDEX(Setup!$G$33:$G$40,MATCH(Y328,Setup!$B$33:$B$40,0)),0)=1)*(COUNTIF(Y308:Y325,$B328)+COUNTIF(Y308:Y325,$B328&amp;" ~*")&gt;0))</f>
        <v/>
      </c>
    </row>
    <row r="329" ht="15" customHeight="1">
      <c r="A329" t="n">
        <v>7</v>
      </c>
      <c r="B329" s="35">
        <f>IF(Setup!$B$8="","",Setup!$B$8)</f>
        <v/>
      </c>
      <c r="C329" s="98" t="n"/>
      <c r="D329" s="99" t="n"/>
      <c r="E329" s="99" t="n"/>
      <c r="F329" s="100" t="n"/>
      <c r="G329" s="98" t="n"/>
      <c r="H329" s="99" t="n"/>
      <c r="I329" s="99" t="n"/>
      <c r="J329" s="100" t="n"/>
      <c r="K329" s="98" t="n"/>
      <c r="L329" s="99" t="n"/>
      <c r="M329" s="99" t="n"/>
      <c r="N329" s="100" t="n"/>
      <c r="O329" s="98" t="n"/>
      <c r="P329" s="99" t="n"/>
      <c r="Q329" s="99" t="n"/>
      <c r="R329" s="100" t="n"/>
      <c r="S329" s="98" t="n"/>
      <c r="T329" s="99" t="n"/>
      <c r="U329" s="99" t="n"/>
      <c r="V329" s="100" t="n"/>
      <c r="W329" s="98" t="n"/>
      <c r="X329" s="100" t="n"/>
      <c r="Y329" s="98" t="n"/>
      <c r="Z329" s="100" t="n"/>
      <c r="AB329" s="101">
        <f>IF($B329="","",(COUNTIF(C308:E325,$B329)+COUNTIF(C308:E325,$B329&amp;" ~*")&gt;0)+(COUNTIF(G308:I325,$B329)+COUNTIF(G308:I325,$B329&amp;" ~*")&gt;0)+(COUNTIF(K308:M325,$B329)+COUNTIF(K308:M325,$B329&amp;" ~*")&gt;0)+(COUNTIF(O308:Q325,$B329)+COUNTIF(O308:Q325,$B329&amp;" ~*")&gt;0)+(COUNTIF(S308:U325,$B329)+COUNTIF(S308:U325,$B329&amp;" ~*")&gt;0)+(COUNTIF(W308:W325,$B329)+COUNTIF(W308:W325,$B329&amp;" ~*")&gt;0)+(COUNTIF(Y308:Y325,$B329)+COUNTIF(Y308:Y325,$B329&amp;" ~*")&gt;0))</f>
        <v/>
      </c>
      <c r="AC329" s="36">
        <f>IF($B329="","",(IFERROR(INDEX(Setup!$G$33:$G$40,MATCH(C329,Setup!$B$33:$B$40,0)),0)=1)*(COUNTIF(C308:E325,$B329)+COUNTIF(C308:E325,$B329&amp;" ~*")&gt;0)+(IFERROR(INDEX(Setup!$G$33:$G$40,MATCH(G329,Setup!$B$33:$B$40,0)),0)=1)*(COUNTIF(G308:I325,$B329)+COUNTIF(G308:I325,$B329&amp;" ~*")&gt;0)+(IFERROR(INDEX(Setup!$G$33:$G$40,MATCH(K329,Setup!$B$33:$B$40,0)),0)=1)*(COUNTIF(K308:M325,$B329)+COUNTIF(K308:M325,$B329&amp;" ~*")&gt;0)+(IFERROR(INDEX(Setup!$G$33:$G$40,MATCH(O329,Setup!$B$33:$B$40,0)),0)=1)*(COUNTIF(O308:Q325,$B329)+COUNTIF(O308:Q325,$B329&amp;" ~*")&gt;0)+(IFERROR(INDEX(Setup!$G$33:$G$40,MATCH(S329,Setup!$B$33:$B$40,0)),0)=1)*(COUNTIF(S308:U325,$B329)+COUNTIF(S308:U325,$B329&amp;" ~*")&gt;0)+(IFERROR(INDEX(Setup!$G$33:$G$40,MATCH(W329,Setup!$B$33:$B$40,0)),0)=1)*(COUNTIF(W308:W325,$B329)+COUNTIF(W308:W325,$B329&amp;" ~*")&gt;0)+(IFERROR(INDEX(Setup!$G$33:$G$40,MATCH(Y329,Setup!$B$33:$B$40,0)),0)=1)*(COUNTIF(Y308:Y325,$B329)+COUNTIF(Y308:Y325,$B329&amp;" ~*")&gt;0))</f>
        <v/>
      </c>
    </row>
    <row r="330" ht="15" customHeight="1">
      <c r="A330" t="n">
        <v>7</v>
      </c>
      <c r="B330" s="37">
        <f>IF(Setup!$B$9="","",Setup!$B$9)</f>
        <v/>
      </c>
      <c r="C330" s="102" t="n"/>
      <c r="D330" s="103" t="n"/>
      <c r="E330" s="103" t="n"/>
      <c r="F330" s="104" t="n"/>
      <c r="G330" s="102" t="n"/>
      <c r="H330" s="103" t="n"/>
      <c r="I330" s="103" t="n"/>
      <c r="J330" s="104" t="n"/>
      <c r="K330" s="102" t="n"/>
      <c r="L330" s="103" t="n"/>
      <c r="M330" s="103" t="n"/>
      <c r="N330" s="104" t="n"/>
      <c r="O330" s="102" t="n"/>
      <c r="P330" s="103" t="n"/>
      <c r="Q330" s="103" t="n"/>
      <c r="R330" s="104" t="n"/>
      <c r="S330" s="102" t="n"/>
      <c r="T330" s="103" t="n"/>
      <c r="U330" s="103" t="n"/>
      <c r="V330" s="104" t="n"/>
      <c r="W330" s="102" t="n"/>
      <c r="X330" s="104" t="n"/>
      <c r="Y330" s="102" t="n"/>
      <c r="Z330" s="104" t="n"/>
      <c r="AB330" s="105">
        <f>IF($B330="","",(COUNTIF(C308:E325,$B330)+COUNTIF(C308:E325,$B330&amp;" ~*")&gt;0)+(COUNTIF(G308:I325,$B330)+COUNTIF(G308:I325,$B330&amp;" ~*")&gt;0)+(COUNTIF(K308:M325,$B330)+COUNTIF(K308:M325,$B330&amp;" ~*")&gt;0)+(COUNTIF(O308:Q325,$B330)+COUNTIF(O308:Q325,$B330&amp;" ~*")&gt;0)+(COUNTIF(S308:U325,$B330)+COUNTIF(S308:U325,$B330&amp;" ~*")&gt;0)+(COUNTIF(W308:W325,$B330)+COUNTIF(W308:W325,$B330&amp;" ~*")&gt;0)+(COUNTIF(Y308:Y325,$B330)+COUNTIF(Y308:Y325,$B330&amp;" ~*")&gt;0))</f>
        <v/>
      </c>
      <c r="AC330" s="38">
        <f>IF($B330="","",(IFERROR(INDEX(Setup!$G$33:$G$40,MATCH(C330,Setup!$B$33:$B$40,0)),0)=1)*(COUNTIF(C308:E325,$B330)+COUNTIF(C308:E325,$B330&amp;" ~*")&gt;0)+(IFERROR(INDEX(Setup!$G$33:$G$40,MATCH(G330,Setup!$B$33:$B$40,0)),0)=1)*(COUNTIF(G308:I325,$B330)+COUNTIF(G308:I325,$B330&amp;" ~*")&gt;0)+(IFERROR(INDEX(Setup!$G$33:$G$40,MATCH(K330,Setup!$B$33:$B$40,0)),0)=1)*(COUNTIF(K308:M325,$B330)+COUNTIF(K308:M325,$B330&amp;" ~*")&gt;0)+(IFERROR(INDEX(Setup!$G$33:$G$40,MATCH(O330,Setup!$B$33:$B$40,0)),0)=1)*(COUNTIF(O308:Q325,$B330)+COUNTIF(O308:Q325,$B330&amp;" ~*")&gt;0)+(IFERROR(INDEX(Setup!$G$33:$G$40,MATCH(S330,Setup!$B$33:$B$40,0)),0)=1)*(COUNTIF(S308:U325,$B330)+COUNTIF(S308:U325,$B330&amp;" ~*")&gt;0)+(IFERROR(INDEX(Setup!$G$33:$G$40,MATCH(W330,Setup!$B$33:$B$40,0)),0)=1)*(COUNTIF(W308:W325,$B330)+COUNTIF(W308:W325,$B330&amp;" ~*")&gt;0)+(IFERROR(INDEX(Setup!$G$33:$G$40,MATCH(Y330,Setup!$B$33:$B$40,0)),0)=1)*(COUNTIF(Y308:Y325,$B330)+COUNTIF(Y308:Y325,$B330&amp;" ~*")&gt;0))</f>
        <v/>
      </c>
    </row>
    <row r="331" ht="15" customHeight="1">
      <c r="A331" t="n">
        <v>7</v>
      </c>
      <c r="B331" s="35">
        <f>IF(Setup!$B$10="","",Setup!$B$10)</f>
        <v/>
      </c>
      <c r="C331" s="98" t="n"/>
      <c r="D331" s="99" t="n"/>
      <c r="E331" s="99" t="n"/>
      <c r="F331" s="100" t="n"/>
      <c r="G331" s="98" t="n"/>
      <c r="H331" s="99" t="n"/>
      <c r="I331" s="99" t="n"/>
      <c r="J331" s="100" t="n"/>
      <c r="K331" s="98" t="n"/>
      <c r="L331" s="99" t="n"/>
      <c r="M331" s="99" t="n"/>
      <c r="N331" s="100" t="n"/>
      <c r="O331" s="98" t="n"/>
      <c r="P331" s="99" t="n"/>
      <c r="Q331" s="99" t="n"/>
      <c r="R331" s="100" t="n"/>
      <c r="S331" s="98" t="n"/>
      <c r="T331" s="99" t="n"/>
      <c r="U331" s="99" t="n"/>
      <c r="V331" s="100" t="n"/>
      <c r="W331" s="98" t="n"/>
      <c r="X331" s="100" t="n"/>
      <c r="Y331" s="98" t="n"/>
      <c r="Z331" s="100" t="n"/>
      <c r="AB331" s="101">
        <f>IF($B331="","",(COUNTIF(C308:E325,$B331)+COUNTIF(C308:E325,$B331&amp;" ~*")&gt;0)+(COUNTIF(G308:I325,$B331)+COUNTIF(G308:I325,$B331&amp;" ~*")&gt;0)+(COUNTIF(K308:M325,$B331)+COUNTIF(K308:M325,$B331&amp;" ~*")&gt;0)+(COUNTIF(O308:Q325,$B331)+COUNTIF(O308:Q325,$B331&amp;" ~*")&gt;0)+(COUNTIF(S308:U325,$B331)+COUNTIF(S308:U325,$B331&amp;" ~*")&gt;0)+(COUNTIF(W308:W325,$B331)+COUNTIF(W308:W325,$B331&amp;" ~*")&gt;0)+(COUNTIF(Y308:Y325,$B331)+COUNTIF(Y308:Y325,$B331&amp;" ~*")&gt;0))</f>
        <v/>
      </c>
      <c r="AC331" s="36">
        <f>IF($B331="","",(IFERROR(INDEX(Setup!$G$33:$G$40,MATCH(C331,Setup!$B$33:$B$40,0)),0)=1)*(COUNTIF(C308:E325,$B331)+COUNTIF(C308:E325,$B331&amp;" ~*")&gt;0)+(IFERROR(INDEX(Setup!$G$33:$G$40,MATCH(G331,Setup!$B$33:$B$40,0)),0)=1)*(COUNTIF(G308:I325,$B331)+COUNTIF(G308:I325,$B331&amp;" ~*")&gt;0)+(IFERROR(INDEX(Setup!$G$33:$G$40,MATCH(K331,Setup!$B$33:$B$40,0)),0)=1)*(COUNTIF(K308:M325,$B331)+COUNTIF(K308:M325,$B331&amp;" ~*")&gt;0)+(IFERROR(INDEX(Setup!$G$33:$G$40,MATCH(O331,Setup!$B$33:$B$40,0)),0)=1)*(COUNTIF(O308:Q325,$B331)+COUNTIF(O308:Q325,$B331&amp;" ~*")&gt;0)+(IFERROR(INDEX(Setup!$G$33:$G$40,MATCH(S331,Setup!$B$33:$B$40,0)),0)=1)*(COUNTIF(S308:U325,$B331)+COUNTIF(S308:U325,$B331&amp;" ~*")&gt;0)+(IFERROR(INDEX(Setup!$G$33:$G$40,MATCH(W331,Setup!$B$33:$B$40,0)),0)=1)*(COUNTIF(W308:W325,$B331)+COUNTIF(W308:W325,$B331&amp;" ~*")&gt;0)+(IFERROR(INDEX(Setup!$G$33:$G$40,MATCH(Y331,Setup!$B$33:$B$40,0)),0)=1)*(COUNTIF(Y308:Y325,$B331)+COUNTIF(Y308:Y325,$B331&amp;" ~*")&gt;0))</f>
        <v/>
      </c>
    </row>
    <row r="332" ht="15" customHeight="1">
      <c r="A332" t="n">
        <v>7</v>
      </c>
      <c r="B332" s="37">
        <f>IF(Setup!$B$11="","",Setup!$B$11)</f>
        <v/>
      </c>
      <c r="C332" s="102" t="n"/>
      <c r="D332" s="103" t="n"/>
      <c r="E332" s="103" t="n"/>
      <c r="F332" s="104" t="n"/>
      <c r="G332" s="102" t="n"/>
      <c r="H332" s="103" t="n"/>
      <c r="I332" s="103" t="n"/>
      <c r="J332" s="104" t="n"/>
      <c r="K332" s="102" t="n"/>
      <c r="L332" s="103" t="n"/>
      <c r="M332" s="103" t="n"/>
      <c r="N332" s="104" t="n"/>
      <c r="O332" s="102" t="n"/>
      <c r="P332" s="103" t="n"/>
      <c r="Q332" s="103" t="n"/>
      <c r="R332" s="104" t="n"/>
      <c r="S332" s="102" t="n"/>
      <c r="T332" s="103" t="n"/>
      <c r="U332" s="103" t="n"/>
      <c r="V332" s="104" t="n"/>
      <c r="W332" s="102" t="n"/>
      <c r="X332" s="104" t="n"/>
      <c r="Y332" s="102" t="n"/>
      <c r="Z332" s="104" t="n"/>
      <c r="AB332" s="105">
        <f>IF($B332="","",(COUNTIF(C308:E325,$B332)+COUNTIF(C308:E325,$B332&amp;" ~*")&gt;0)+(COUNTIF(G308:I325,$B332)+COUNTIF(G308:I325,$B332&amp;" ~*")&gt;0)+(COUNTIF(K308:M325,$B332)+COUNTIF(K308:M325,$B332&amp;" ~*")&gt;0)+(COUNTIF(O308:Q325,$B332)+COUNTIF(O308:Q325,$B332&amp;" ~*")&gt;0)+(COUNTIF(S308:U325,$B332)+COUNTIF(S308:U325,$B332&amp;" ~*")&gt;0)+(COUNTIF(W308:W325,$B332)+COUNTIF(W308:W325,$B332&amp;" ~*")&gt;0)+(COUNTIF(Y308:Y325,$B332)+COUNTIF(Y308:Y325,$B332&amp;" ~*")&gt;0))</f>
        <v/>
      </c>
      <c r="AC332" s="38">
        <f>IF($B332="","",(IFERROR(INDEX(Setup!$G$33:$G$40,MATCH(C332,Setup!$B$33:$B$40,0)),0)=1)*(COUNTIF(C308:E325,$B332)+COUNTIF(C308:E325,$B332&amp;" ~*")&gt;0)+(IFERROR(INDEX(Setup!$G$33:$G$40,MATCH(G332,Setup!$B$33:$B$40,0)),0)=1)*(COUNTIF(G308:I325,$B332)+COUNTIF(G308:I325,$B332&amp;" ~*")&gt;0)+(IFERROR(INDEX(Setup!$G$33:$G$40,MATCH(K332,Setup!$B$33:$B$40,0)),0)=1)*(COUNTIF(K308:M325,$B332)+COUNTIF(K308:M325,$B332&amp;" ~*")&gt;0)+(IFERROR(INDEX(Setup!$G$33:$G$40,MATCH(O332,Setup!$B$33:$B$40,0)),0)=1)*(COUNTIF(O308:Q325,$B332)+COUNTIF(O308:Q325,$B332&amp;" ~*")&gt;0)+(IFERROR(INDEX(Setup!$G$33:$G$40,MATCH(S332,Setup!$B$33:$B$40,0)),0)=1)*(COUNTIF(S308:U325,$B332)+COUNTIF(S308:U325,$B332&amp;" ~*")&gt;0)+(IFERROR(INDEX(Setup!$G$33:$G$40,MATCH(W332,Setup!$B$33:$B$40,0)),0)=1)*(COUNTIF(W308:W325,$B332)+COUNTIF(W308:W325,$B332&amp;" ~*")&gt;0)+(IFERROR(INDEX(Setup!$G$33:$G$40,MATCH(Y332,Setup!$B$33:$B$40,0)),0)=1)*(COUNTIF(Y308:Y325,$B332)+COUNTIF(Y308:Y325,$B332&amp;" ~*")&gt;0))</f>
        <v/>
      </c>
    </row>
    <row r="333" ht="15" customHeight="1">
      <c r="A333" t="n">
        <v>7</v>
      </c>
      <c r="B333" s="35">
        <f>IF(Setup!$B$12="","",Setup!$B$12)</f>
        <v/>
      </c>
      <c r="C333" s="98" t="inlineStr">
        <is>
          <t>AL</t>
        </is>
      </c>
      <c r="D333" s="99" t="n"/>
      <c r="E333" s="99" t="n"/>
      <c r="F333" s="100" t="n"/>
      <c r="G333" s="98" t="n"/>
      <c r="H333" s="99" t="n"/>
      <c r="I333" s="99" t="n"/>
      <c r="J333" s="100" t="n"/>
      <c r="K333" s="98" t="n"/>
      <c r="L333" s="99" t="n"/>
      <c r="M333" s="99" t="n"/>
      <c r="N333" s="100" t="n"/>
      <c r="O333" s="98" t="inlineStr">
        <is>
          <t>AL</t>
        </is>
      </c>
      <c r="P333" s="99" t="n"/>
      <c r="Q333" s="99" t="n"/>
      <c r="R333" s="100" t="n"/>
      <c r="S333" s="98" t="n"/>
      <c r="T333" s="99" t="n"/>
      <c r="U333" s="99" t="n"/>
      <c r="V333" s="100" t="n"/>
      <c r="W333" s="98" t="n"/>
      <c r="X333" s="100" t="n"/>
      <c r="Y333" s="98" t="n"/>
      <c r="Z333" s="100" t="n"/>
      <c r="AB333" s="101">
        <f>IF($B333="","",(COUNTIF(C308:E325,$B333)+COUNTIF(C308:E325,$B333&amp;" ~*")&gt;0)+(COUNTIF(G308:I325,$B333)+COUNTIF(G308:I325,$B333&amp;" ~*")&gt;0)+(COUNTIF(K308:M325,$B333)+COUNTIF(K308:M325,$B333&amp;" ~*")&gt;0)+(COUNTIF(O308:Q325,$B333)+COUNTIF(O308:Q325,$B333&amp;" ~*")&gt;0)+(COUNTIF(S308:U325,$B333)+COUNTIF(S308:U325,$B333&amp;" ~*")&gt;0)+(COUNTIF(W308:W325,$B333)+COUNTIF(W308:W325,$B333&amp;" ~*")&gt;0)+(COUNTIF(Y308:Y325,$B333)+COUNTIF(Y308:Y325,$B333&amp;" ~*")&gt;0))</f>
        <v/>
      </c>
      <c r="AC333" s="36">
        <f>IF($B333="","",(IFERROR(INDEX(Setup!$G$33:$G$40,MATCH(C333,Setup!$B$33:$B$40,0)),0)=1)*(COUNTIF(C308:E325,$B333)+COUNTIF(C308:E325,$B333&amp;" ~*")&gt;0)+(IFERROR(INDEX(Setup!$G$33:$G$40,MATCH(G333,Setup!$B$33:$B$40,0)),0)=1)*(COUNTIF(G308:I325,$B333)+COUNTIF(G308:I325,$B333&amp;" ~*")&gt;0)+(IFERROR(INDEX(Setup!$G$33:$G$40,MATCH(K333,Setup!$B$33:$B$40,0)),0)=1)*(COUNTIF(K308:M325,$B333)+COUNTIF(K308:M325,$B333&amp;" ~*")&gt;0)+(IFERROR(INDEX(Setup!$G$33:$G$40,MATCH(O333,Setup!$B$33:$B$40,0)),0)=1)*(COUNTIF(O308:Q325,$B333)+COUNTIF(O308:Q325,$B333&amp;" ~*")&gt;0)+(IFERROR(INDEX(Setup!$G$33:$G$40,MATCH(S333,Setup!$B$33:$B$40,0)),0)=1)*(COUNTIF(S308:U325,$B333)+COUNTIF(S308:U325,$B333&amp;" ~*")&gt;0)+(IFERROR(INDEX(Setup!$G$33:$G$40,MATCH(W333,Setup!$B$33:$B$40,0)),0)=1)*(COUNTIF(W308:W325,$B333)+COUNTIF(W308:W325,$B333&amp;" ~*")&gt;0)+(IFERROR(INDEX(Setup!$G$33:$G$40,MATCH(Y333,Setup!$B$33:$B$40,0)),0)=1)*(COUNTIF(Y308:Y325,$B333)+COUNTIF(Y308:Y325,$B333&amp;" ~*")&gt;0))</f>
        <v/>
      </c>
    </row>
    <row r="334" ht="15" customHeight="1">
      <c r="A334" t="n">
        <v>7</v>
      </c>
      <c r="B334" s="37">
        <f>IF(Setup!$B$13="","",Setup!$B$13)</f>
        <v/>
      </c>
      <c r="C334" s="102" t="n"/>
      <c r="D334" s="103" t="n"/>
      <c r="E334" s="103" t="n"/>
      <c r="F334" s="104" t="n"/>
      <c r="G334" s="102" t="n"/>
      <c r="H334" s="103" t="n"/>
      <c r="I334" s="103" t="n"/>
      <c r="J334" s="104" t="n"/>
      <c r="K334" s="102" t="n"/>
      <c r="L334" s="103" t="n"/>
      <c r="M334" s="103" t="n"/>
      <c r="N334" s="104" t="n"/>
      <c r="O334" s="102" t="n"/>
      <c r="P334" s="103" t="n"/>
      <c r="Q334" s="103" t="n"/>
      <c r="R334" s="104" t="n"/>
      <c r="S334" s="102" t="n"/>
      <c r="T334" s="103" t="n"/>
      <c r="U334" s="103" t="n"/>
      <c r="V334" s="104" t="n"/>
      <c r="W334" s="102" t="n"/>
      <c r="X334" s="104" t="n"/>
      <c r="Y334" s="102" t="n"/>
      <c r="Z334" s="104" t="n"/>
      <c r="AB334" s="105">
        <f>IF($B334="","",(COUNTIF(C308:E325,$B334)+COUNTIF(C308:E325,$B334&amp;" ~*")&gt;0)+(COUNTIF(G308:I325,$B334)+COUNTIF(G308:I325,$B334&amp;" ~*")&gt;0)+(COUNTIF(K308:M325,$B334)+COUNTIF(K308:M325,$B334&amp;" ~*")&gt;0)+(COUNTIF(O308:Q325,$B334)+COUNTIF(O308:Q325,$B334&amp;" ~*")&gt;0)+(COUNTIF(S308:U325,$B334)+COUNTIF(S308:U325,$B334&amp;" ~*")&gt;0)+(COUNTIF(W308:W325,$B334)+COUNTIF(W308:W325,$B334&amp;" ~*")&gt;0)+(COUNTIF(Y308:Y325,$B334)+COUNTIF(Y308:Y325,$B334&amp;" ~*")&gt;0))</f>
        <v/>
      </c>
      <c r="AC334" s="38">
        <f>IF($B334="","",(IFERROR(INDEX(Setup!$G$33:$G$40,MATCH(C334,Setup!$B$33:$B$40,0)),0)=1)*(COUNTIF(C308:E325,$B334)+COUNTIF(C308:E325,$B334&amp;" ~*")&gt;0)+(IFERROR(INDEX(Setup!$G$33:$G$40,MATCH(G334,Setup!$B$33:$B$40,0)),0)=1)*(COUNTIF(G308:I325,$B334)+COUNTIF(G308:I325,$B334&amp;" ~*")&gt;0)+(IFERROR(INDEX(Setup!$G$33:$G$40,MATCH(K334,Setup!$B$33:$B$40,0)),0)=1)*(COUNTIF(K308:M325,$B334)+COUNTIF(K308:M325,$B334&amp;" ~*")&gt;0)+(IFERROR(INDEX(Setup!$G$33:$G$40,MATCH(O334,Setup!$B$33:$B$40,0)),0)=1)*(COUNTIF(O308:Q325,$B334)+COUNTIF(O308:Q325,$B334&amp;" ~*")&gt;0)+(IFERROR(INDEX(Setup!$G$33:$G$40,MATCH(S334,Setup!$B$33:$B$40,0)),0)=1)*(COUNTIF(S308:U325,$B334)+COUNTIF(S308:U325,$B334&amp;" ~*")&gt;0)+(IFERROR(INDEX(Setup!$G$33:$G$40,MATCH(W334,Setup!$B$33:$B$40,0)),0)=1)*(COUNTIF(W308:W325,$B334)+COUNTIF(W308:W325,$B334&amp;" ~*")&gt;0)+(IFERROR(INDEX(Setup!$G$33:$G$40,MATCH(Y334,Setup!$B$33:$B$40,0)),0)=1)*(COUNTIF(Y308:Y325,$B334)+COUNTIF(Y308:Y325,$B334&amp;" ~*")&gt;0))</f>
        <v/>
      </c>
    </row>
    <row r="335" ht="15" customHeight="1">
      <c r="A335" t="n">
        <v>7</v>
      </c>
      <c r="B335" s="35">
        <f>IF(Setup!$B$14="","",Setup!$B$14)</f>
        <v/>
      </c>
      <c r="C335" s="98" t="n"/>
      <c r="D335" s="99" t="n"/>
      <c r="E335" s="99" t="n"/>
      <c r="F335" s="100" t="n"/>
      <c r="G335" s="98" t="n"/>
      <c r="H335" s="99" t="n"/>
      <c r="I335" s="99" t="n"/>
      <c r="J335" s="100" t="n"/>
      <c r="K335" s="98" t="n"/>
      <c r="L335" s="99" t="n"/>
      <c r="M335" s="99" t="n"/>
      <c r="N335" s="100" t="n"/>
      <c r="O335" s="98" t="n"/>
      <c r="P335" s="99" t="n"/>
      <c r="Q335" s="99" t="n"/>
      <c r="R335" s="100" t="n"/>
      <c r="S335" s="98" t="n"/>
      <c r="T335" s="99" t="n"/>
      <c r="U335" s="99" t="n"/>
      <c r="V335" s="100" t="n"/>
      <c r="W335" s="98" t="n"/>
      <c r="X335" s="100" t="n"/>
      <c r="Y335" s="98" t="n"/>
      <c r="Z335" s="100" t="n"/>
      <c r="AB335" s="101">
        <f>IF($B335="","",(COUNTIF(C308:E325,$B335)+COUNTIF(C308:E325,$B335&amp;" ~*")&gt;0)+(COUNTIF(G308:I325,$B335)+COUNTIF(G308:I325,$B335&amp;" ~*")&gt;0)+(COUNTIF(K308:M325,$B335)+COUNTIF(K308:M325,$B335&amp;" ~*")&gt;0)+(COUNTIF(O308:Q325,$B335)+COUNTIF(O308:Q325,$B335&amp;" ~*")&gt;0)+(COUNTIF(S308:U325,$B335)+COUNTIF(S308:U325,$B335&amp;" ~*")&gt;0)+(COUNTIF(W308:W325,$B335)+COUNTIF(W308:W325,$B335&amp;" ~*")&gt;0)+(COUNTIF(Y308:Y325,$B335)+COUNTIF(Y308:Y325,$B335&amp;" ~*")&gt;0))</f>
        <v/>
      </c>
      <c r="AC335" s="36">
        <f>IF($B335="","",(IFERROR(INDEX(Setup!$G$33:$G$40,MATCH(C335,Setup!$B$33:$B$40,0)),0)=1)*(COUNTIF(C308:E325,$B335)+COUNTIF(C308:E325,$B335&amp;" ~*")&gt;0)+(IFERROR(INDEX(Setup!$G$33:$G$40,MATCH(G335,Setup!$B$33:$B$40,0)),0)=1)*(COUNTIF(G308:I325,$B335)+COUNTIF(G308:I325,$B335&amp;" ~*")&gt;0)+(IFERROR(INDEX(Setup!$G$33:$G$40,MATCH(K335,Setup!$B$33:$B$40,0)),0)=1)*(COUNTIF(K308:M325,$B335)+COUNTIF(K308:M325,$B335&amp;" ~*")&gt;0)+(IFERROR(INDEX(Setup!$G$33:$G$40,MATCH(O335,Setup!$B$33:$B$40,0)),0)=1)*(COUNTIF(O308:Q325,$B335)+COUNTIF(O308:Q325,$B335&amp;" ~*")&gt;0)+(IFERROR(INDEX(Setup!$G$33:$G$40,MATCH(S335,Setup!$B$33:$B$40,0)),0)=1)*(COUNTIF(S308:U325,$B335)+COUNTIF(S308:U325,$B335&amp;" ~*")&gt;0)+(IFERROR(INDEX(Setup!$G$33:$G$40,MATCH(W335,Setup!$B$33:$B$40,0)),0)=1)*(COUNTIF(W308:W325,$B335)+COUNTIF(W308:W325,$B335&amp;" ~*")&gt;0)+(IFERROR(INDEX(Setup!$G$33:$G$40,MATCH(Y335,Setup!$B$33:$B$40,0)),0)=1)*(COUNTIF(Y308:Y325,$B335)+COUNTIF(Y308:Y325,$B335&amp;" ~*")&gt;0))</f>
        <v/>
      </c>
    </row>
    <row r="336" ht="15" customHeight="1">
      <c r="A336" t="n">
        <v>7</v>
      </c>
      <c r="B336" s="37">
        <f>IF(Setup!$B$15="","",Setup!$B$15)</f>
        <v/>
      </c>
      <c r="C336" s="102" t="inlineStr">
        <is>
          <t>AL</t>
        </is>
      </c>
      <c r="D336" s="103" t="n"/>
      <c r="E336" s="103" t="n"/>
      <c r="F336" s="104" t="n"/>
      <c r="G336" s="102" t="inlineStr">
        <is>
          <t>AL</t>
        </is>
      </c>
      <c r="H336" s="103" t="n"/>
      <c r="I336" s="103" t="n"/>
      <c r="J336" s="104" t="n"/>
      <c r="K336" s="102" t="inlineStr">
        <is>
          <t>AL</t>
        </is>
      </c>
      <c r="L336" s="103" t="n"/>
      <c r="M336" s="103" t="n"/>
      <c r="N336" s="104" t="n"/>
      <c r="O336" s="102" t="n"/>
      <c r="P336" s="103" t="n"/>
      <c r="Q336" s="103" t="n"/>
      <c r="R336" s="104" t="n"/>
      <c r="S336" s="102" t="n"/>
      <c r="T336" s="103" t="n"/>
      <c r="U336" s="103" t="n"/>
      <c r="V336" s="104" t="n"/>
      <c r="W336" s="102" t="n"/>
      <c r="X336" s="104" t="n"/>
      <c r="Y336" s="102" t="n"/>
      <c r="Z336" s="104" t="n"/>
      <c r="AB336" s="105">
        <f>IF($B336="","",(COUNTIF(C308:E325,$B336)+COUNTIF(C308:E325,$B336&amp;" ~*")&gt;0)+(COUNTIF(G308:I325,$B336)+COUNTIF(G308:I325,$B336&amp;" ~*")&gt;0)+(COUNTIF(K308:M325,$B336)+COUNTIF(K308:M325,$B336&amp;" ~*")&gt;0)+(COUNTIF(O308:Q325,$B336)+COUNTIF(O308:Q325,$B336&amp;" ~*")&gt;0)+(COUNTIF(S308:U325,$B336)+COUNTIF(S308:U325,$B336&amp;" ~*")&gt;0)+(COUNTIF(W308:W325,$B336)+COUNTIF(W308:W325,$B336&amp;" ~*")&gt;0)+(COUNTIF(Y308:Y325,$B336)+COUNTIF(Y308:Y325,$B336&amp;" ~*")&gt;0))</f>
        <v/>
      </c>
      <c r="AC336" s="38">
        <f>IF($B336="","",(IFERROR(INDEX(Setup!$G$33:$G$40,MATCH(C336,Setup!$B$33:$B$40,0)),0)=1)*(COUNTIF(C308:E325,$B336)+COUNTIF(C308:E325,$B336&amp;" ~*")&gt;0)+(IFERROR(INDEX(Setup!$G$33:$G$40,MATCH(G336,Setup!$B$33:$B$40,0)),0)=1)*(COUNTIF(G308:I325,$B336)+COUNTIF(G308:I325,$B336&amp;" ~*")&gt;0)+(IFERROR(INDEX(Setup!$G$33:$G$40,MATCH(K336,Setup!$B$33:$B$40,0)),0)=1)*(COUNTIF(K308:M325,$B336)+COUNTIF(K308:M325,$B336&amp;" ~*")&gt;0)+(IFERROR(INDEX(Setup!$G$33:$G$40,MATCH(O336,Setup!$B$33:$B$40,0)),0)=1)*(COUNTIF(O308:Q325,$B336)+COUNTIF(O308:Q325,$B336&amp;" ~*")&gt;0)+(IFERROR(INDEX(Setup!$G$33:$G$40,MATCH(S336,Setup!$B$33:$B$40,0)),0)=1)*(COUNTIF(S308:U325,$B336)+COUNTIF(S308:U325,$B336&amp;" ~*")&gt;0)+(IFERROR(INDEX(Setup!$G$33:$G$40,MATCH(W336,Setup!$B$33:$B$40,0)),0)=1)*(COUNTIF(W308:W325,$B336)+COUNTIF(W308:W325,$B336&amp;" ~*")&gt;0)+(IFERROR(INDEX(Setup!$G$33:$G$40,MATCH(Y336,Setup!$B$33:$B$40,0)),0)=1)*(COUNTIF(Y308:Y325,$B336)+COUNTIF(Y308:Y325,$B336&amp;" ~*")&gt;0))</f>
        <v/>
      </c>
    </row>
    <row r="337" ht="15" customHeight="1">
      <c r="A337" t="n">
        <v>7</v>
      </c>
      <c r="B337" s="35">
        <f>IF(Setup!$B$16="","",Setup!$B$16)</f>
        <v/>
      </c>
      <c r="C337" s="98" t="n"/>
      <c r="D337" s="99" t="n"/>
      <c r="E337" s="99" t="n"/>
      <c r="F337" s="100" t="n"/>
      <c r="G337" s="98" t="n"/>
      <c r="H337" s="99" t="n"/>
      <c r="I337" s="99" t="n"/>
      <c r="J337" s="100" t="n"/>
      <c r="K337" s="98" t="n"/>
      <c r="L337" s="99" t="n"/>
      <c r="M337" s="99" t="n"/>
      <c r="N337" s="100" t="n"/>
      <c r="O337" s="98" t="n"/>
      <c r="P337" s="99" t="n"/>
      <c r="Q337" s="99" t="n"/>
      <c r="R337" s="100" t="n"/>
      <c r="S337" s="98" t="n"/>
      <c r="T337" s="99" t="n"/>
      <c r="U337" s="99" t="n"/>
      <c r="V337" s="100" t="n"/>
      <c r="W337" s="98" t="n"/>
      <c r="X337" s="100" t="n"/>
      <c r="Y337" s="98" t="n"/>
      <c r="Z337" s="100" t="n"/>
      <c r="AB337" s="101">
        <f>IF($B337="","",(COUNTIF(C308:E325,$B337)+COUNTIF(C308:E325,$B337&amp;" ~*")&gt;0)+(COUNTIF(G308:I325,$B337)+COUNTIF(G308:I325,$B337&amp;" ~*")&gt;0)+(COUNTIF(K308:M325,$B337)+COUNTIF(K308:M325,$B337&amp;" ~*")&gt;0)+(COUNTIF(O308:Q325,$B337)+COUNTIF(O308:Q325,$B337&amp;" ~*")&gt;0)+(COUNTIF(S308:U325,$B337)+COUNTIF(S308:U325,$B337&amp;" ~*")&gt;0)+(COUNTIF(W308:W325,$B337)+COUNTIF(W308:W325,$B337&amp;" ~*")&gt;0)+(COUNTIF(Y308:Y325,$B337)+COUNTIF(Y308:Y325,$B337&amp;" ~*")&gt;0))</f>
        <v/>
      </c>
      <c r="AC337" s="36">
        <f>IF($B337="","",(IFERROR(INDEX(Setup!$G$33:$G$40,MATCH(C337,Setup!$B$33:$B$40,0)),0)=1)*(COUNTIF(C308:E325,$B337)+COUNTIF(C308:E325,$B337&amp;" ~*")&gt;0)+(IFERROR(INDEX(Setup!$G$33:$G$40,MATCH(G337,Setup!$B$33:$B$40,0)),0)=1)*(COUNTIF(G308:I325,$B337)+COUNTIF(G308:I325,$B337&amp;" ~*")&gt;0)+(IFERROR(INDEX(Setup!$G$33:$G$40,MATCH(K337,Setup!$B$33:$B$40,0)),0)=1)*(COUNTIF(K308:M325,$B337)+COUNTIF(K308:M325,$B337&amp;" ~*")&gt;0)+(IFERROR(INDEX(Setup!$G$33:$G$40,MATCH(O337,Setup!$B$33:$B$40,0)),0)=1)*(COUNTIF(O308:Q325,$B337)+COUNTIF(O308:Q325,$B337&amp;" ~*")&gt;0)+(IFERROR(INDEX(Setup!$G$33:$G$40,MATCH(S337,Setup!$B$33:$B$40,0)),0)=1)*(COUNTIF(S308:U325,$B337)+COUNTIF(S308:U325,$B337&amp;" ~*")&gt;0)+(IFERROR(INDEX(Setup!$G$33:$G$40,MATCH(W337,Setup!$B$33:$B$40,0)),0)=1)*(COUNTIF(W308:W325,$B337)+COUNTIF(W308:W325,$B337&amp;" ~*")&gt;0)+(IFERROR(INDEX(Setup!$G$33:$G$40,MATCH(Y337,Setup!$B$33:$B$40,0)),0)=1)*(COUNTIF(Y308:Y325,$B337)+COUNTIF(Y308:Y325,$B337&amp;" ~*")&gt;0))</f>
        <v/>
      </c>
    </row>
    <row r="338" ht="15" customHeight="1">
      <c r="A338" t="n">
        <v>7</v>
      </c>
      <c r="B338" s="37">
        <f>IF(Setup!$B$17="","",Setup!$B$17)</f>
        <v/>
      </c>
      <c r="C338" s="102" t="n"/>
      <c r="D338" s="103" t="n"/>
      <c r="E338" s="103" t="n"/>
      <c r="F338" s="104" t="n"/>
      <c r="G338" s="102" t="n"/>
      <c r="H338" s="103" t="n"/>
      <c r="I338" s="103" t="n"/>
      <c r="J338" s="104" t="n"/>
      <c r="K338" s="102" t="n"/>
      <c r="L338" s="103" t="n"/>
      <c r="M338" s="103" t="n"/>
      <c r="N338" s="104" t="n"/>
      <c r="O338" s="102" t="n"/>
      <c r="P338" s="103" t="n"/>
      <c r="Q338" s="103" t="n"/>
      <c r="R338" s="104" t="n"/>
      <c r="S338" s="102" t="n"/>
      <c r="T338" s="103" t="n"/>
      <c r="U338" s="103" t="n"/>
      <c r="V338" s="104" t="n"/>
      <c r="W338" s="102" t="n"/>
      <c r="X338" s="104" t="n"/>
      <c r="Y338" s="102" t="n"/>
      <c r="Z338" s="104" t="n"/>
      <c r="AB338" s="105">
        <f>IF($B338="","",(COUNTIF(C308:E325,$B338)+COUNTIF(C308:E325,$B338&amp;" ~*")&gt;0)+(COUNTIF(G308:I325,$B338)+COUNTIF(G308:I325,$B338&amp;" ~*")&gt;0)+(COUNTIF(K308:M325,$B338)+COUNTIF(K308:M325,$B338&amp;" ~*")&gt;0)+(COUNTIF(O308:Q325,$B338)+COUNTIF(O308:Q325,$B338&amp;" ~*")&gt;0)+(COUNTIF(S308:U325,$B338)+COUNTIF(S308:U325,$B338&amp;" ~*")&gt;0)+(COUNTIF(W308:W325,$B338)+COUNTIF(W308:W325,$B338&amp;" ~*")&gt;0)+(COUNTIF(Y308:Y325,$B338)+COUNTIF(Y308:Y325,$B338&amp;" ~*")&gt;0))</f>
        <v/>
      </c>
      <c r="AC338" s="38">
        <f>IF($B338="","",(IFERROR(INDEX(Setup!$G$33:$G$40,MATCH(C338,Setup!$B$33:$B$40,0)),0)=1)*(COUNTIF(C308:E325,$B338)+COUNTIF(C308:E325,$B338&amp;" ~*")&gt;0)+(IFERROR(INDEX(Setup!$G$33:$G$40,MATCH(G338,Setup!$B$33:$B$40,0)),0)=1)*(COUNTIF(G308:I325,$B338)+COUNTIF(G308:I325,$B338&amp;" ~*")&gt;0)+(IFERROR(INDEX(Setup!$G$33:$G$40,MATCH(K338,Setup!$B$33:$B$40,0)),0)=1)*(COUNTIF(K308:M325,$B338)+COUNTIF(K308:M325,$B338&amp;" ~*")&gt;0)+(IFERROR(INDEX(Setup!$G$33:$G$40,MATCH(O338,Setup!$B$33:$B$40,0)),0)=1)*(COUNTIF(O308:Q325,$B338)+COUNTIF(O308:Q325,$B338&amp;" ~*")&gt;0)+(IFERROR(INDEX(Setup!$G$33:$G$40,MATCH(S338,Setup!$B$33:$B$40,0)),0)=1)*(COUNTIF(S308:U325,$B338)+COUNTIF(S308:U325,$B338&amp;" ~*")&gt;0)+(IFERROR(INDEX(Setup!$G$33:$G$40,MATCH(W338,Setup!$B$33:$B$40,0)),0)=1)*(COUNTIF(W308:W325,$B338)+COUNTIF(W308:W325,$B338&amp;" ~*")&gt;0)+(IFERROR(INDEX(Setup!$G$33:$G$40,MATCH(Y338,Setup!$B$33:$B$40,0)),0)=1)*(COUNTIF(Y308:Y325,$B338)+COUNTIF(Y308:Y325,$B338&amp;" ~*")&gt;0))</f>
        <v/>
      </c>
    </row>
    <row r="339" ht="15" customHeight="1">
      <c r="A339" t="n">
        <v>7</v>
      </c>
      <c r="B339" s="35">
        <f>IF(Setup!$B$18="","",Setup!$B$18)</f>
        <v/>
      </c>
      <c r="C339" s="98" t="n"/>
      <c r="D339" s="99" t="n"/>
      <c r="E339" s="99" t="n"/>
      <c r="F339" s="100" t="n"/>
      <c r="G339" s="98" t="n"/>
      <c r="H339" s="99" t="n"/>
      <c r="I339" s="99" t="n"/>
      <c r="J339" s="100" t="n"/>
      <c r="K339" s="98" t="n"/>
      <c r="L339" s="99" t="n"/>
      <c r="M339" s="99" t="n"/>
      <c r="N339" s="100" t="n"/>
      <c r="O339" s="98" t="n"/>
      <c r="P339" s="99" t="n"/>
      <c r="Q339" s="99" t="n"/>
      <c r="R339" s="100" t="n"/>
      <c r="S339" s="98" t="n"/>
      <c r="T339" s="99" t="n"/>
      <c r="U339" s="99" t="n"/>
      <c r="V339" s="100" t="n"/>
      <c r="W339" s="98" t="n"/>
      <c r="X339" s="100" t="n"/>
      <c r="Y339" s="98" t="n"/>
      <c r="Z339" s="100" t="n"/>
      <c r="AB339" s="101">
        <f>IF($B339="","",(COUNTIF(C308:E325,$B339)+COUNTIF(C308:E325,$B339&amp;" ~*")&gt;0)+(COUNTIF(G308:I325,$B339)+COUNTIF(G308:I325,$B339&amp;" ~*")&gt;0)+(COUNTIF(K308:M325,$B339)+COUNTIF(K308:M325,$B339&amp;" ~*")&gt;0)+(COUNTIF(O308:Q325,$B339)+COUNTIF(O308:Q325,$B339&amp;" ~*")&gt;0)+(COUNTIF(S308:U325,$B339)+COUNTIF(S308:U325,$B339&amp;" ~*")&gt;0)+(COUNTIF(W308:W325,$B339)+COUNTIF(W308:W325,$B339&amp;" ~*")&gt;0)+(COUNTIF(Y308:Y325,$B339)+COUNTIF(Y308:Y325,$B339&amp;" ~*")&gt;0))</f>
        <v/>
      </c>
      <c r="AC339" s="36">
        <f>IF($B339="","",(IFERROR(INDEX(Setup!$G$33:$G$40,MATCH(C339,Setup!$B$33:$B$40,0)),0)=1)*(COUNTIF(C308:E325,$B339)+COUNTIF(C308:E325,$B339&amp;" ~*")&gt;0)+(IFERROR(INDEX(Setup!$G$33:$G$40,MATCH(G339,Setup!$B$33:$B$40,0)),0)=1)*(COUNTIF(G308:I325,$B339)+COUNTIF(G308:I325,$B339&amp;" ~*")&gt;0)+(IFERROR(INDEX(Setup!$G$33:$G$40,MATCH(K339,Setup!$B$33:$B$40,0)),0)=1)*(COUNTIF(K308:M325,$B339)+COUNTIF(K308:M325,$B339&amp;" ~*")&gt;0)+(IFERROR(INDEX(Setup!$G$33:$G$40,MATCH(O339,Setup!$B$33:$B$40,0)),0)=1)*(COUNTIF(O308:Q325,$B339)+COUNTIF(O308:Q325,$B339&amp;" ~*")&gt;0)+(IFERROR(INDEX(Setup!$G$33:$G$40,MATCH(S339,Setup!$B$33:$B$40,0)),0)=1)*(COUNTIF(S308:U325,$B339)+COUNTIF(S308:U325,$B339&amp;" ~*")&gt;0)+(IFERROR(INDEX(Setup!$G$33:$G$40,MATCH(W339,Setup!$B$33:$B$40,0)),0)=1)*(COUNTIF(W308:W325,$B339)+COUNTIF(W308:W325,$B339&amp;" ~*")&gt;0)+(IFERROR(INDEX(Setup!$G$33:$G$40,MATCH(Y339,Setup!$B$33:$B$40,0)),0)=1)*(COUNTIF(Y308:Y325,$B339)+COUNTIF(Y308:Y325,$B339&amp;" ~*")&gt;0))</f>
        <v/>
      </c>
    </row>
    <row r="340" ht="15" customHeight="1">
      <c r="A340" t="n">
        <v>7</v>
      </c>
      <c r="B340" s="37">
        <f>IF(Setup!$B$19="","",Setup!$B$19)</f>
        <v/>
      </c>
      <c r="C340" s="102" t="inlineStr">
        <is>
          <t>AL</t>
        </is>
      </c>
      <c r="D340" s="103" t="n"/>
      <c r="E340" s="103" t="n"/>
      <c r="F340" s="104" t="n"/>
      <c r="G340" s="102" t="inlineStr">
        <is>
          <t>AL</t>
        </is>
      </c>
      <c r="H340" s="103" t="n"/>
      <c r="I340" s="103" t="n"/>
      <c r="J340" s="104" t="n"/>
      <c r="K340" s="102" t="inlineStr">
        <is>
          <t>AL</t>
        </is>
      </c>
      <c r="L340" s="103" t="n"/>
      <c r="M340" s="103" t="n"/>
      <c r="N340" s="104" t="n"/>
      <c r="O340" s="102" t="inlineStr">
        <is>
          <t>AL</t>
        </is>
      </c>
      <c r="P340" s="103" t="n"/>
      <c r="Q340" s="103" t="n"/>
      <c r="R340" s="104" t="n"/>
      <c r="S340" s="102" t="inlineStr">
        <is>
          <t>AL</t>
        </is>
      </c>
      <c r="T340" s="103" t="n"/>
      <c r="U340" s="103" t="n"/>
      <c r="V340" s="104" t="n"/>
      <c r="W340" s="102" t="n"/>
      <c r="X340" s="104" t="n"/>
      <c r="Y340" s="102" t="n"/>
      <c r="Z340" s="104" t="n"/>
      <c r="AB340" s="105">
        <f>IF($B340="","",(COUNTIF(C308:E325,$B340)+COUNTIF(C308:E325,$B340&amp;" ~*")&gt;0)+(COUNTIF(G308:I325,$B340)+COUNTIF(G308:I325,$B340&amp;" ~*")&gt;0)+(COUNTIF(K308:M325,$B340)+COUNTIF(K308:M325,$B340&amp;" ~*")&gt;0)+(COUNTIF(O308:Q325,$B340)+COUNTIF(O308:Q325,$B340&amp;" ~*")&gt;0)+(COUNTIF(S308:U325,$B340)+COUNTIF(S308:U325,$B340&amp;" ~*")&gt;0)+(COUNTIF(W308:W325,$B340)+COUNTIF(W308:W325,$B340&amp;" ~*")&gt;0)+(COUNTIF(Y308:Y325,$B340)+COUNTIF(Y308:Y325,$B340&amp;" ~*")&gt;0))</f>
        <v/>
      </c>
      <c r="AC340" s="38">
        <f>IF($B340="","",(IFERROR(INDEX(Setup!$G$33:$G$40,MATCH(C340,Setup!$B$33:$B$40,0)),0)=1)*(COUNTIF(C308:E325,$B340)+COUNTIF(C308:E325,$B340&amp;" ~*")&gt;0)+(IFERROR(INDEX(Setup!$G$33:$G$40,MATCH(G340,Setup!$B$33:$B$40,0)),0)=1)*(COUNTIF(G308:I325,$B340)+COUNTIF(G308:I325,$B340&amp;" ~*")&gt;0)+(IFERROR(INDEX(Setup!$G$33:$G$40,MATCH(K340,Setup!$B$33:$B$40,0)),0)=1)*(COUNTIF(K308:M325,$B340)+COUNTIF(K308:M325,$B340&amp;" ~*")&gt;0)+(IFERROR(INDEX(Setup!$G$33:$G$40,MATCH(O340,Setup!$B$33:$B$40,0)),0)=1)*(COUNTIF(O308:Q325,$B340)+COUNTIF(O308:Q325,$B340&amp;" ~*")&gt;0)+(IFERROR(INDEX(Setup!$G$33:$G$40,MATCH(S340,Setup!$B$33:$B$40,0)),0)=1)*(COUNTIF(S308:U325,$B340)+COUNTIF(S308:U325,$B340&amp;" ~*")&gt;0)+(IFERROR(INDEX(Setup!$G$33:$G$40,MATCH(W340,Setup!$B$33:$B$40,0)),0)=1)*(COUNTIF(W308:W325,$B340)+COUNTIF(W308:W325,$B340&amp;" ~*")&gt;0)+(IFERROR(INDEX(Setup!$G$33:$G$40,MATCH(Y340,Setup!$B$33:$B$40,0)),0)=1)*(COUNTIF(Y308:Y325,$B340)+COUNTIF(Y308:Y325,$B340&amp;" ~*")&gt;0))</f>
        <v/>
      </c>
    </row>
    <row r="341" ht="15" customHeight="1">
      <c r="A341" t="n">
        <v>7</v>
      </c>
      <c r="B341" s="35">
        <f>IF(Setup!$B$20="","",Setup!$B$20)</f>
        <v/>
      </c>
      <c r="C341" s="98" t="n"/>
      <c r="D341" s="99" t="n"/>
      <c r="E341" s="99" t="n"/>
      <c r="F341" s="100" t="n"/>
      <c r="G341" s="98" t="n"/>
      <c r="H341" s="99" t="n"/>
      <c r="I341" s="99" t="n"/>
      <c r="J341" s="100" t="n"/>
      <c r="K341" s="98" t="n"/>
      <c r="L341" s="99" t="n"/>
      <c r="M341" s="99" t="n"/>
      <c r="N341" s="100" t="n"/>
      <c r="O341" s="98" t="n"/>
      <c r="P341" s="99" t="n"/>
      <c r="Q341" s="99" t="n"/>
      <c r="R341" s="100" t="n"/>
      <c r="S341" s="98" t="n"/>
      <c r="T341" s="99" t="n"/>
      <c r="U341" s="99" t="n"/>
      <c r="V341" s="100" t="n"/>
      <c r="W341" s="98" t="n"/>
      <c r="X341" s="100" t="n"/>
      <c r="Y341" s="98" t="n"/>
      <c r="Z341" s="100" t="n"/>
      <c r="AB341" s="101">
        <f>IF($B341="","",(COUNTIF(C308:E325,$B341)+COUNTIF(C308:E325,$B341&amp;" ~*")&gt;0)+(COUNTIF(G308:I325,$B341)+COUNTIF(G308:I325,$B341&amp;" ~*")&gt;0)+(COUNTIF(K308:M325,$B341)+COUNTIF(K308:M325,$B341&amp;" ~*")&gt;0)+(COUNTIF(O308:Q325,$B341)+COUNTIF(O308:Q325,$B341&amp;" ~*")&gt;0)+(COUNTIF(S308:U325,$B341)+COUNTIF(S308:U325,$B341&amp;" ~*")&gt;0)+(COUNTIF(W308:W325,$B341)+COUNTIF(W308:W325,$B341&amp;" ~*")&gt;0)+(COUNTIF(Y308:Y325,$B341)+COUNTIF(Y308:Y325,$B341&amp;" ~*")&gt;0))</f>
        <v/>
      </c>
      <c r="AC341" s="36">
        <f>IF($B341="","",(IFERROR(INDEX(Setup!$G$33:$G$40,MATCH(C341,Setup!$B$33:$B$40,0)),0)=1)*(COUNTIF(C308:E325,$B341)+COUNTIF(C308:E325,$B341&amp;" ~*")&gt;0)+(IFERROR(INDEX(Setup!$G$33:$G$40,MATCH(G341,Setup!$B$33:$B$40,0)),0)=1)*(COUNTIF(G308:I325,$B341)+COUNTIF(G308:I325,$B341&amp;" ~*")&gt;0)+(IFERROR(INDEX(Setup!$G$33:$G$40,MATCH(K341,Setup!$B$33:$B$40,0)),0)=1)*(COUNTIF(K308:M325,$B341)+COUNTIF(K308:M325,$B341&amp;" ~*")&gt;0)+(IFERROR(INDEX(Setup!$G$33:$G$40,MATCH(O341,Setup!$B$33:$B$40,0)),0)=1)*(COUNTIF(O308:Q325,$B341)+COUNTIF(O308:Q325,$B341&amp;" ~*")&gt;0)+(IFERROR(INDEX(Setup!$G$33:$G$40,MATCH(S341,Setup!$B$33:$B$40,0)),0)=1)*(COUNTIF(S308:U325,$B341)+COUNTIF(S308:U325,$B341&amp;" ~*")&gt;0)+(IFERROR(INDEX(Setup!$G$33:$G$40,MATCH(W341,Setup!$B$33:$B$40,0)),0)=1)*(COUNTIF(W308:W325,$B341)+COUNTIF(W308:W325,$B341&amp;" ~*")&gt;0)+(IFERROR(INDEX(Setup!$G$33:$G$40,MATCH(Y341,Setup!$B$33:$B$40,0)),0)=1)*(COUNTIF(Y308:Y325,$B341)+COUNTIF(Y308:Y325,$B341&amp;" ~*")&gt;0))</f>
        <v/>
      </c>
    </row>
    <row r="342" ht="15" customHeight="1">
      <c r="A342" t="n">
        <v>7</v>
      </c>
      <c r="B342" s="37">
        <f>IF(Setup!$B$21="","",Setup!$B$21)</f>
        <v/>
      </c>
      <c r="C342" s="102" t="inlineStr">
        <is>
          <t>AL</t>
        </is>
      </c>
      <c r="D342" s="103" t="n"/>
      <c r="E342" s="103" t="n"/>
      <c r="F342" s="104" t="n"/>
      <c r="G342" s="102" t="inlineStr">
        <is>
          <t>AL</t>
        </is>
      </c>
      <c r="H342" s="103" t="n"/>
      <c r="I342" s="103" t="n"/>
      <c r="J342" s="104" t="n"/>
      <c r="K342" s="102" t="inlineStr">
        <is>
          <t>AL</t>
        </is>
      </c>
      <c r="L342" s="103" t="n"/>
      <c r="M342" s="103" t="n"/>
      <c r="N342" s="104" t="n"/>
      <c r="O342" s="102" t="inlineStr">
        <is>
          <t>AL</t>
        </is>
      </c>
      <c r="P342" s="103" t="n"/>
      <c r="Q342" s="103" t="n"/>
      <c r="R342" s="104" t="n"/>
      <c r="S342" s="102" t="inlineStr">
        <is>
          <t>AL</t>
        </is>
      </c>
      <c r="T342" s="103" t="n"/>
      <c r="U342" s="103" t="n"/>
      <c r="V342" s="104" t="n"/>
      <c r="W342" s="102" t="n"/>
      <c r="X342" s="104" t="n"/>
      <c r="Y342" s="102" t="n"/>
      <c r="Z342" s="104" t="n"/>
      <c r="AB342" s="105">
        <f>IF($B342="","",(COUNTIF(C308:E325,$B342)+COUNTIF(C308:E325,$B342&amp;" ~*")&gt;0)+(COUNTIF(G308:I325,$B342)+COUNTIF(G308:I325,$B342&amp;" ~*")&gt;0)+(COUNTIF(K308:M325,$B342)+COUNTIF(K308:M325,$B342&amp;" ~*")&gt;0)+(COUNTIF(O308:Q325,$B342)+COUNTIF(O308:Q325,$B342&amp;" ~*")&gt;0)+(COUNTIF(S308:U325,$B342)+COUNTIF(S308:U325,$B342&amp;" ~*")&gt;0)+(COUNTIF(W308:W325,$B342)+COUNTIF(W308:W325,$B342&amp;" ~*")&gt;0)+(COUNTIF(Y308:Y325,$B342)+COUNTIF(Y308:Y325,$B342&amp;" ~*")&gt;0))</f>
        <v/>
      </c>
      <c r="AC342" s="38">
        <f>IF($B342="","",(IFERROR(INDEX(Setup!$G$33:$G$40,MATCH(C342,Setup!$B$33:$B$40,0)),0)=1)*(COUNTIF(C308:E325,$B342)+COUNTIF(C308:E325,$B342&amp;" ~*")&gt;0)+(IFERROR(INDEX(Setup!$G$33:$G$40,MATCH(G342,Setup!$B$33:$B$40,0)),0)=1)*(COUNTIF(G308:I325,$B342)+COUNTIF(G308:I325,$B342&amp;" ~*")&gt;0)+(IFERROR(INDEX(Setup!$G$33:$G$40,MATCH(K342,Setup!$B$33:$B$40,0)),0)=1)*(COUNTIF(K308:M325,$B342)+COUNTIF(K308:M325,$B342&amp;" ~*")&gt;0)+(IFERROR(INDEX(Setup!$G$33:$G$40,MATCH(O342,Setup!$B$33:$B$40,0)),0)=1)*(COUNTIF(O308:Q325,$B342)+COUNTIF(O308:Q325,$B342&amp;" ~*")&gt;0)+(IFERROR(INDEX(Setup!$G$33:$G$40,MATCH(S342,Setup!$B$33:$B$40,0)),0)=1)*(COUNTIF(S308:U325,$B342)+COUNTIF(S308:U325,$B342&amp;" ~*")&gt;0)+(IFERROR(INDEX(Setup!$G$33:$G$40,MATCH(W342,Setup!$B$33:$B$40,0)),0)=1)*(COUNTIF(W308:W325,$B342)+COUNTIF(W308:W325,$B342&amp;" ~*")&gt;0)+(IFERROR(INDEX(Setup!$G$33:$G$40,MATCH(Y342,Setup!$B$33:$B$40,0)),0)=1)*(COUNTIF(Y308:Y325,$B342)+COUNTIF(Y308:Y325,$B342&amp;" ~*")&gt;0))</f>
        <v/>
      </c>
    </row>
    <row r="343" ht="15" customHeight="1">
      <c r="A343" t="n">
        <v>7</v>
      </c>
      <c r="B343" s="35">
        <f>IF(Setup!$B$22="","",Setup!$B$22)</f>
        <v/>
      </c>
      <c r="C343" s="98" t="n"/>
      <c r="D343" s="99" t="n"/>
      <c r="E343" s="99" t="n"/>
      <c r="F343" s="100" t="n"/>
      <c r="G343" s="98" t="n"/>
      <c r="H343" s="99" t="n"/>
      <c r="I343" s="99" t="n"/>
      <c r="J343" s="100" t="n"/>
      <c r="K343" s="98" t="n"/>
      <c r="L343" s="99" t="n"/>
      <c r="M343" s="99" t="n"/>
      <c r="N343" s="100" t="n"/>
      <c r="O343" s="98" t="n"/>
      <c r="P343" s="99" t="n"/>
      <c r="Q343" s="99" t="n"/>
      <c r="R343" s="100" t="n"/>
      <c r="S343" s="98" t="n"/>
      <c r="T343" s="99" t="n"/>
      <c r="U343" s="99" t="n"/>
      <c r="V343" s="100" t="n"/>
      <c r="W343" s="98" t="n"/>
      <c r="X343" s="100" t="n"/>
      <c r="Y343" s="98" t="n"/>
      <c r="Z343" s="100" t="n"/>
      <c r="AB343" s="101">
        <f>IF($B343="","",(COUNTIF(C308:E325,$B343)+COUNTIF(C308:E325,$B343&amp;" ~*")&gt;0)+(COUNTIF(G308:I325,$B343)+COUNTIF(G308:I325,$B343&amp;" ~*")&gt;0)+(COUNTIF(K308:M325,$B343)+COUNTIF(K308:M325,$B343&amp;" ~*")&gt;0)+(COUNTIF(O308:Q325,$B343)+COUNTIF(O308:Q325,$B343&amp;" ~*")&gt;0)+(COUNTIF(S308:U325,$B343)+COUNTIF(S308:U325,$B343&amp;" ~*")&gt;0)+(COUNTIF(W308:W325,$B343)+COUNTIF(W308:W325,$B343&amp;" ~*")&gt;0)+(COUNTIF(Y308:Y325,$B343)+COUNTIF(Y308:Y325,$B343&amp;" ~*")&gt;0))</f>
        <v/>
      </c>
      <c r="AC343" s="36">
        <f>IF($B343="","",(IFERROR(INDEX(Setup!$G$33:$G$40,MATCH(C343,Setup!$B$33:$B$40,0)),0)=1)*(COUNTIF(C308:E325,$B343)+COUNTIF(C308:E325,$B343&amp;" ~*")&gt;0)+(IFERROR(INDEX(Setup!$G$33:$G$40,MATCH(G343,Setup!$B$33:$B$40,0)),0)=1)*(COUNTIF(G308:I325,$B343)+COUNTIF(G308:I325,$B343&amp;" ~*")&gt;0)+(IFERROR(INDEX(Setup!$G$33:$G$40,MATCH(K343,Setup!$B$33:$B$40,0)),0)=1)*(COUNTIF(K308:M325,$B343)+COUNTIF(K308:M325,$B343&amp;" ~*")&gt;0)+(IFERROR(INDEX(Setup!$G$33:$G$40,MATCH(O343,Setup!$B$33:$B$40,0)),0)=1)*(COUNTIF(O308:Q325,$B343)+COUNTIF(O308:Q325,$B343&amp;" ~*")&gt;0)+(IFERROR(INDEX(Setup!$G$33:$G$40,MATCH(S343,Setup!$B$33:$B$40,0)),0)=1)*(COUNTIF(S308:U325,$B343)+COUNTIF(S308:U325,$B343&amp;" ~*")&gt;0)+(IFERROR(INDEX(Setup!$G$33:$G$40,MATCH(W343,Setup!$B$33:$B$40,0)),0)=1)*(COUNTIF(W308:W325,$B343)+COUNTIF(W308:W325,$B343&amp;" ~*")&gt;0)+(IFERROR(INDEX(Setup!$G$33:$G$40,MATCH(Y343,Setup!$B$33:$B$40,0)),0)=1)*(COUNTIF(Y308:Y325,$B343)+COUNTIF(Y308:Y325,$B343&amp;" ~*")&gt;0))</f>
        <v/>
      </c>
    </row>
    <row r="344" ht="15" customHeight="1">
      <c r="A344" t="n">
        <v>7</v>
      </c>
      <c r="B344" s="37">
        <f>IF(Setup!$B$23="","",Setup!$B$23)</f>
        <v/>
      </c>
      <c r="C344" s="102" t="n"/>
      <c r="D344" s="103" t="n"/>
      <c r="E344" s="103" t="n"/>
      <c r="F344" s="104" t="n"/>
      <c r="G344" s="102" t="n"/>
      <c r="H344" s="103" t="n"/>
      <c r="I344" s="103" t="n"/>
      <c r="J344" s="104" t="n"/>
      <c r="K344" s="102" t="n"/>
      <c r="L344" s="103" t="n"/>
      <c r="M344" s="103" t="n"/>
      <c r="N344" s="104" t="n"/>
      <c r="O344" s="102" t="n"/>
      <c r="P344" s="103" t="n"/>
      <c r="Q344" s="103" t="n"/>
      <c r="R344" s="104" t="n"/>
      <c r="S344" s="102" t="n"/>
      <c r="T344" s="103" t="n"/>
      <c r="U344" s="103" t="n"/>
      <c r="V344" s="104" t="n"/>
      <c r="W344" s="102" t="n"/>
      <c r="X344" s="104" t="n"/>
      <c r="Y344" s="102" t="n"/>
      <c r="Z344" s="104" t="n"/>
      <c r="AB344" s="105">
        <f>IF($B344="","",(COUNTIF(C308:E325,$B344)+COUNTIF(C308:E325,$B344&amp;" ~*")&gt;0)+(COUNTIF(G308:I325,$B344)+COUNTIF(G308:I325,$B344&amp;" ~*")&gt;0)+(COUNTIF(K308:M325,$B344)+COUNTIF(K308:M325,$B344&amp;" ~*")&gt;0)+(COUNTIF(O308:Q325,$B344)+COUNTIF(O308:Q325,$B344&amp;" ~*")&gt;0)+(COUNTIF(S308:U325,$B344)+COUNTIF(S308:U325,$B344&amp;" ~*")&gt;0)+(COUNTIF(W308:W325,$B344)+COUNTIF(W308:W325,$B344&amp;" ~*")&gt;0)+(COUNTIF(Y308:Y325,$B344)+COUNTIF(Y308:Y325,$B344&amp;" ~*")&gt;0))</f>
        <v/>
      </c>
      <c r="AC344" s="38">
        <f>IF($B344="","",(IFERROR(INDEX(Setup!$G$33:$G$40,MATCH(C344,Setup!$B$33:$B$40,0)),0)=1)*(COUNTIF(C308:E325,$B344)+COUNTIF(C308:E325,$B344&amp;" ~*")&gt;0)+(IFERROR(INDEX(Setup!$G$33:$G$40,MATCH(G344,Setup!$B$33:$B$40,0)),0)=1)*(COUNTIF(G308:I325,$B344)+COUNTIF(G308:I325,$B344&amp;" ~*")&gt;0)+(IFERROR(INDEX(Setup!$G$33:$G$40,MATCH(K344,Setup!$B$33:$B$40,0)),0)=1)*(COUNTIF(K308:M325,$B344)+COUNTIF(K308:M325,$B344&amp;" ~*")&gt;0)+(IFERROR(INDEX(Setup!$G$33:$G$40,MATCH(O344,Setup!$B$33:$B$40,0)),0)=1)*(COUNTIF(O308:Q325,$B344)+COUNTIF(O308:Q325,$B344&amp;" ~*")&gt;0)+(IFERROR(INDEX(Setup!$G$33:$G$40,MATCH(S344,Setup!$B$33:$B$40,0)),0)=1)*(COUNTIF(S308:U325,$B344)+COUNTIF(S308:U325,$B344&amp;" ~*")&gt;0)+(IFERROR(INDEX(Setup!$G$33:$G$40,MATCH(W344,Setup!$B$33:$B$40,0)),0)=1)*(COUNTIF(W308:W325,$B344)+COUNTIF(W308:W325,$B344&amp;" ~*")&gt;0)+(IFERROR(INDEX(Setup!$G$33:$G$40,MATCH(Y344,Setup!$B$33:$B$40,0)),0)=1)*(COUNTIF(Y308:Y325,$B344)+COUNTIF(Y308:Y325,$B344&amp;" ~*")&gt;0))</f>
        <v/>
      </c>
    </row>
    <row r="345" ht="15" customHeight="1">
      <c r="A345" t="n">
        <v>7</v>
      </c>
      <c r="B345" s="35">
        <f>IF(Setup!$B$24="","",Setup!$B$24)</f>
        <v/>
      </c>
      <c r="C345" s="98" t="n"/>
      <c r="D345" s="99" t="n"/>
      <c r="E345" s="99" t="n"/>
      <c r="F345" s="100" t="n"/>
      <c r="G345" s="98" t="n"/>
      <c r="H345" s="99" t="n"/>
      <c r="I345" s="99" t="n"/>
      <c r="J345" s="100" t="n"/>
      <c r="K345" s="98" t="n"/>
      <c r="L345" s="99" t="n"/>
      <c r="M345" s="99" t="n"/>
      <c r="N345" s="100" t="n"/>
      <c r="O345" s="98" t="n"/>
      <c r="P345" s="99" t="n"/>
      <c r="Q345" s="99" t="n"/>
      <c r="R345" s="100" t="n"/>
      <c r="S345" s="98" t="n"/>
      <c r="T345" s="99" t="n"/>
      <c r="U345" s="99" t="n"/>
      <c r="V345" s="100" t="n"/>
      <c r="W345" s="98" t="n"/>
      <c r="X345" s="100" t="n"/>
      <c r="Y345" s="98" t="n"/>
      <c r="Z345" s="100" t="n"/>
      <c r="AB345" s="101">
        <f>IF($B345="","",(COUNTIF(C308:E325,$B345)+COUNTIF(C308:E325,$B345&amp;" ~*")&gt;0)+(COUNTIF(G308:I325,$B345)+COUNTIF(G308:I325,$B345&amp;" ~*")&gt;0)+(COUNTIF(K308:M325,$B345)+COUNTIF(K308:M325,$B345&amp;" ~*")&gt;0)+(COUNTIF(O308:Q325,$B345)+COUNTIF(O308:Q325,$B345&amp;" ~*")&gt;0)+(COUNTIF(S308:U325,$B345)+COUNTIF(S308:U325,$B345&amp;" ~*")&gt;0)+(COUNTIF(W308:W325,$B345)+COUNTIF(W308:W325,$B345&amp;" ~*")&gt;0)+(COUNTIF(Y308:Y325,$B345)+COUNTIF(Y308:Y325,$B345&amp;" ~*")&gt;0))</f>
        <v/>
      </c>
      <c r="AC345" s="36">
        <f>IF($B345="","",(IFERROR(INDEX(Setup!$G$33:$G$40,MATCH(C345,Setup!$B$33:$B$40,0)),0)=1)*(COUNTIF(C308:E325,$B345)+COUNTIF(C308:E325,$B345&amp;" ~*")&gt;0)+(IFERROR(INDEX(Setup!$G$33:$G$40,MATCH(G345,Setup!$B$33:$B$40,0)),0)=1)*(COUNTIF(G308:I325,$B345)+COUNTIF(G308:I325,$B345&amp;" ~*")&gt;0)+(IFERROR(INDEX(Setup!$G$33:$G$40,MATCH(K345,Setup!$B$33:$B$40,0)),0)=1)*(COUNTIF(K308:M325,$B345)+COUNTIF(K308:M325,$B345&amp;" ~*")&gt;0)+(IFERROR(INDEX(Setup!$G$33:$G$40,MATCH(O345,Setup!$B$33:$B$40,0)),0)=1)*(COUNTIF(O308:Q325,$B345)+COUNTIF(O308:Q325,$B345&amp;" ~*")&gt;0)+(IFERROR(INDEX(Setup!$G$33:$G$40,MATCH(S345,Setup!$B$33:$B$40,0)),0)=1)*(COUNTIF(S308:U325,$B345)+COUNTIF(S308:U325,$B345&amp;" ~*")&gt;0)+(IFERROR(INDEX(Setup!$G$33:$G$40,MATCH(W345,Setup!$B$33:$B$40,0)),0)=1)*(COUNTIF(W308:W325,$B345)+COUNTIF(W308:W325,$B345&amp;" ~*")&gt;0)+(IFERROR(INDEX(Setup!$G$33:$G$40,MATCH(Y345,Setup!$B$33:$B$40,0)),0)=1)*(COUNTIF(Y308:Y325,$B345)+COUNTIF(Y308:Y325,$B345&amp;" ~*")&gt;0))</f>
        <v/>
      </c>
    </row>
    <row r="346" ht="15" customHeight="1">
      <c r="A346" t="n">
        <v>7</v>
      </c>
      <c r="B346" s="37">
        <f>IF(Setup!$B$25="","",Setup!$B$25)</f>
        <v/>
      </c>
      <c r="C346" s="102" t="n"/>
      <c r="D346" s="103" t="n"/>
      <c r="E346" s="103" t="n"/>
      <c r="F346" s="104" t="n"/>
      <c r="G346" s="102" t="n"/>
      <c r="H346" s="103" t="n"/>
      <c r="I346" s="103" t="n"/>
      <c r="J346" s="104" t="n"/>
      <c r="K346" s="102" t="n"/>
      <c r="L346" s="103" t="n"/>
      <c r="M346" s="103" t="n"/>
      <c r="N346" s="104" t="n"/>
      <c r="O346" s="102" t="n"/>
      <c r="P346" s="103" t="n"/>
      <c r="Q346" s="103" t="n"/>
      <c r="R346" s="104" t="n"/>
      <c r="S346" s="102" t="n"/>
      <c r="T346" s="103" t="n"/>
      <c r="U346" s="103" t="n"/>
      <c r="V346" s="104" t="n"/>
      <c r="W346" s="102" t="n"/>
      <c r="X346" s="104" t="n"/>
      <c r="Y346" s="102" t="n"/>
      <c r="Z346" s="104" t="n"/>
      <c r="AB346" s="105">
        <f>IF($B346="","",(COUNTIF(C308:E325,$B346)+COUNTIF(C308:E325,$B346&amp;" ~*")&gt;0)+(COUNTIF(G308:I325,$B346)+COUNTIF(G308:I325,$B346&amp;" ~*")&gt;0)+(COUNTIF(K308:M325,$B346)+COUNTIF(K308:M325,$B346&amp;" ~*")&gt;0)+(COUNTIF(O308:Q325,$B346)+COUNTIF(O308:Q325,$B346&amp;" ~*")&gt;0)+(COUNTIF(S308:U325,$B346)+COUNTIF(S308:U325,$B346&amp;" ~*")&gt;0)+(COUNTIF(W308:W325,$B346)+COUNTIF(W308:W325,$B346&amp;" ~*")&gt;0)+(COUNTIF(Y308:Y325,$B346)+COUNTIF(Y308:Y325,$B346&amp;" ~*")&gt;0))</f>
        <v/>
      </c>
      <c r="AC346" s="38">
        <f>IF($B346="","",(IFERROR(INDEX(Setup!$G$33:$G$40,MATCH(C346,Setup!$B$33:$B$40,0)),0)=1)*(COUNTIF(C308:E325,$B346)+COUNTIF(C308:E325,$B346&amp;" ~*")&gt;0)+(IFERROR(INDEX(Setup!$G$33:$G$40,MATCH(G346,Setup!$B$33:$B$40,0)),0)=1)*(COUNTIF(G308:I325,$B346)+COUNTIF(G308:I325,$B346&amp;" ~*")&gt;0)+(IFERROR(INDEX(Setup!$G$33:$G$40,MATCH(K346,Setup!$B$33:$B$40,0)),0)=1)*(COUNTIF(K308:M325,$B346)+COUNTIF(K308:M325,$B346&amp;" ~*")&gt;0)+(IFERROR(INDEX(Setup!$G$33:$G$40,MATCH(O346,Setup!$B$33:$B$40,0)),0)=1)*(COUNTIF(O308:Q325,$B346)+COUNTIF(O308:Q325,$B346&amp;" ~*")&gt;0)+(IFERROR(INDEX(Setup!$G$33:$G$40,MATCH(S346,Setup!$B$33:$B$40,0)),0)=1)*(COUNTIF(S308:U325,$B346)+COUNTIF(S308:U325,$B346&amp;" ~*")&gt;0)+(IFERROR(INDEX(Setup!$G$33:$G$40,MATCH(W346,Setup!$B$33:$B$40,0)),0)=1)*(COUNTIF(W308:W325,$B346)+COUNTIF(W308:W325,$B346&amp;" ~*")&gt;0)+(IFERROR(INDEX(Setup!$G$33:$G$40,MATCH(Y346,Setup!$B$33:$B$40,0)),0)=1)*(COUNTIF(Y308:Y325,$B346)+COUNTIF(Y308:Y325,$B346&amp;" ~*")&gt;0))</f>
        <v/>
      </c>
    </row>
    <row r="347" ht="15" customHeight="1">
      <c r="A347" t="n">
        <v>7</v>
      </c>
      <c r="B347" s="35">
        <f>IF(Setup!$B$26="","",Setup!$B$26)</f>
        <v/>
      </c>
      <c r="C347" s="98" t="n"/>
      <c r="D347" s="99" t="n"/>
      <c r="E347" s="99" t="n"/>
      <c r="F347" s="100" t="n"/>
      <c r="G347" s="98" t="n"/>
      <c r="H347" s="99" t="n"/>
      <c r="I347" s="99" t="n"/>
      <c r="J347" s="100" t="n"/>
      <c r="K347" s="98" t="n"/>
      <c r="L347" s="99" t="n"/>
      <c r="M347" s="99" t="n"/>
      <c r="N347" s="100" t="n"/>
      <c r="O347" s="98" t="n"/>
      <c r="P347" s="99" t="n"/>
      <c r="Q347" s="99" t="n"/>
      <c r="R347" s="100" t="n"/>
      <c r="S347" s="98" t="n"/>
      <c r="T347" s="99" t="n"/>
      <c r="U347" s="99" t="n"/>
      <c r="V347" s="100" t="n"/>
      <c r="W347" s="98" t="n"/>
      <c r="X347" s="100" t="n"/>
      <c r="Y347" s="98" t="n"/>
      <c r="Z347" s="100" t="n"/>
      <c r="AB347" s="101">
        <f>IF($B347="","",(COUNTIF(C308:E325,$B347)+COUNTIF(C308:E325,$B347&amp;" ~*")&gt;0)+(COUNTIF(G308:I325,$B347)+COUNTIF(G308:I325,$B347&amp;" ~*")&gt;0)+(COUNTIF(K308:M325,$B347)+COUNTIF(K308:M325,$B347&amp;" ~*")&gt;0)+(COUNTIF(O308:Q325,$B347)+COUNTIF(O308:Q325,$B347&amp;" ~*")&gt;0)+(COUNTIF(S308:U325,$B347)+COUNTIF(S308:U325,$B347&amp;" ~*")&gt;0)+(COUNTIF(W308:W325,$B347)+COUNTIF(W308:W325,$B347&amp;" ~*")&gt;0)+(COUNTIF(Y308:Y325,$B347)+COUNTIF(Y308:Y325,$B347&amp;" ~*")&gt;0))</f>
        <v/>
      </c>
      <c r="AC347" s="36">
        <f>IF($B347="","",(IFERROR(INDEX(Setup!$G$33:$G$40,MATCH(C347,Setup!$B$33:$B$40,0)),0)=1)*(COUNTIF(C308:E325,$B347)+COUNTIF(C308:E325,$B347&amp;" ~*")&gt;0)+(IFERROR(INDEX(Setup!$G$33:$G$40,MATCH(G347,Setup!$B$33:$B$40,0)),0)=1)*(COUNTIF(G308:I325,$B347)+COUNTIF(G308:I325,$B347&amp;" ~*")&gt;0)+(IFERROR(INDEX(Setup!$G$33:$G$40,MATCH(K347,Setup!$B$33:$B$40,0)),0)=1)*(COUNTIF(K308:M325,$B347)+COUNTIF(K308:M325,$B347&amp;" ~*")&gt;0)+(IFERROR(INDEX(Setup!$G$33:$G$40,MATCH(O347,Setup!$B$33:$B$40,0)),0)=1)*(COUNTIF(O308:Q325,$B347)+COUNTIF(O308:Q325,$B347&amp;" ~*")&gt;0)+(IFERROR(INDEX(Setup!$G$33:$G$40,MATCH(S347,Setup!$B$33:$B$40,0)),0)=1)*(COUNTIF(S308:U325,$B347)+COUNTIF(S308:U325,$B347&amp;" ~*")&gt;0)+(IFERROR(INDEX(Setup!$G$33:$G$40,MATCH(W347,Setup!$B$33:$B$40,0)),0)=1)*(COUNTIF(W308:W325,$B347)+COUNTIF(W308:W325,$B347&amp;" ~*")&gt;0)+(IFERROR(INDEX(Setup!$G$33:$G$40,MATCH(Y347,Setup!$B$33:$B$40,0)),0)=1)*(COUNTIF(Y308:Y325,$B347)+COUNTIF(Y308:Y325,$B347&amp;" ~*")&gt;0))</f>
        <v/>
      </c>
    </row>
    <row r="348" ht="15" customHeight="1">
      <c r="A348" t="n">
        <v>7</v>
      </c>
      <c r="B348" s="37">
        <f>IF(Setup!$B$27="","",Setup!$B$27)</f>
        <v/>
      </c>
      <c r="C348" s="102" t="n"/>
      <c r="D348" s="103" t="n"/>
      <c r="E348" s="103" t="n"/>
      <c r="F348" s="104" t="n"/>
      <c r="G348" s="102" t="n"/>
      <c r="H348" s="103" t="n"/>
      <c r="I348" s="103" t="n"/>
      <c r="J348" s="104" t="n"/>
      <c r="K348" s="102" t="n"/>
      <c r="L348" s="103" t="n"/>
      <c r="M348" s="103" t="n"/>
      <c r="N348" s="104" t="n"/>
      <c r="O348" s="102" t="n"/>
      <c r="P348" s="103" t="n"/>
      <c r="Q348" s="103" t="n"/>
      <c r="R348" s="104" t="n"/>
      <c r="S348" s="102" t="n"/>
      <c r="T348" s="103" t="n"/>
      <c r="U348" s="103" t="n"/>
      <c r="V348" s="104" t="n"/>
      <c r="W348" s="102" t="n"/>
      <c r="X348" s="104" t="n"/>
      <c r="Y348" s="102" t="n"/>
      <c r="Z348" s="104" t="n"/>
      <c r="AB348" s="105">
        <f>IF($B348="","",(COUNTIF(C308:E325,$B348)+COUNTIF(C308:E325,$B348&amp;" ~*")&gt;0)+(COUNTIF(G308:I325,$B348)+COUNTIF(G308:I325,$B348&amp;" ~*")&gt;0)+(COUNTIF(K308:M325,$B348)+COUNTIF(K308:M325,$B348&amp;" ~*")&gt;0)+(COUNTIF(O308:Q325,$B348)+COUNTIF(O308:Q325,$B348&amp;" ~*")&gt;0)+(COUNTIF(S308:U325,$B348)+COUNTIF(S308:U325,$B348&amp;" ~*")&gt;0)+(COUNTIF(W308:W325,$B348)+COUNTIF(W308:W325,$B348&amp;" ~*")&gt;0)+(COUNTIF(Y308:Y325,$B348)+COUNTIF(Y308:Y325,$B348&amp;" ~*")&gt;0))</f>
        <v/>
      </c>
      <c r="AC348" s="38">
        <f>IF($B348="","",(IFERROR(INDEX(Setup!$G$33:$G$40,MATCH(C348,Setup!$B$33:$B$40,0)),0)=1)*(COUNTIF(C308:E325,$B348)+COUNTIF(C308:E325,$B348&amp;" ~*")&gt;0)+(IFERROR(INDEX(Setup!$G$33:$G$40,MATCH(G348,Setup!$B$33:$B$40,0)),0)=1)*(COUNTIF(G308:I325,$B348)+COUNTIF(G308:I325,$B348&amp;" ~*")&gt;0)+(IFERROR(INDEX(Setup!$G$33:$G$40,MATCH(K348,Setup!$B$33:$B$40,0)),0)=1)*(COUNTIF(K308:M325,$B348)+COUNTIF(K308:M325,$B348&amp;" ~*")&gt;0)+(IFERROR(INDEX(Setup!$G$33:$G$40,MATCH(O348,Setup!$B$33:$B$40,0)),0)=1)*(COUNTIF(O308:Q325,$B348)+COUNTIF(O308:Q325,$B348&amp;" ~*")&gt;0)+(IFERROR(INDEX(Setup!$G$33:$G$40,MATCH(S348,Setup!$B$33:$B$40,0)),0)=1)*(COUNTIF(S308:U325,$B348)+COUNTIF(S308:U325,$B348&amp;" ~*")&gt;0)+(IFERROR(INDEX(Setup!$G$33:$G$40,MATCH(W348,Setup!$B$33:$B$40,0)),0)=1)*(COUNTIF(W308:W325,$B348)+COUNTIF(W308:W325,$B348&amp;" ~*")&gt;0)+(IFERROR(INDEX(Setup!$G$33:$G$40,MATCH(Y348,Setup!$B$33:$B$40,0)),0)=1)*(COUNTIF(Y308:Y325,$B348)+COUNTIF(Y308:Y325,$B348&amp;" ~*")&gt;0))</f>
        <v/>
      </c>
    </row>
    <row r="349" ht="15" customHeight="1">
      <c r="A349" t="n">
        <v>7</v>
      </c>
      <c r="B349" s="35">
        <f>IF(Setup!$B$28="","",Setup!$B$28)</f>
        <v/>
      </c>
      <c r="C349" s="98" t="n"/>
      <c r="D349" s="99" t="n"/>
      <c r="E349" s="99" t="n"/>
      <c r="F349" s="100" t="n"/>
      <c r="G349" s="98" t="n"/>
      <c r="H349" s="99" t="n"/>
      <c r="I349" s="99" t="n"/>
      <c r="J349" s="100" t="n"/>
      <c r="K349" s="98" t="n"/>
      <c r="L349" s="99" t="n"/>
      <c r="M349" s="99" t="n"/>
      <c r="N349" s="100" t="n"/>
      <c r="O349" s="98" t="n"/>
      <c r="P349" s="99" t="n"/>
      <c r="Q349" s="99" t="n"/>
      <c r="R349" s="100" t="n"/>
      <c r="S349" s="98" t="n"/>
      <c r="T349" s="99" t="n"/>
      <c r="U349" s="99" t="n"/>
      <c r="V349" s="100" t="n"/>
      <c r="W349" s="98" t="n"/>
      <c r="X349" s="100" t="n"/>
      <c r="Y349" s="98" t="n"/>
      <c r="Z349" s="100" t="n"/>
      <c r="AB349" s="101">
        <f>IF($B349="","",(COUNTIF(C308:E325,$B349)+COUNTIF(C308:E325,$B349&amp;" ~*")&gt;0)+(COUNTIF(G308:I325,$B349)+COUNTIF(G308:I325,$B349&amp;" ~*")&gt;0)+(COUNTIF(K308:M325,$B349)+COUNTIF(K308:M325,$B349&amp;" ~*")&gt;0)+(COUNTIF(O308:Q325,$B349)+COUNTIF(O308:Q325,$B349&amp;" ~*")&gt;0)+(COUNTIF(S308:U325,$B349)+COUNTIF(S308:U325,$B349&amp;" ~*")&gt;0)+(COUNTIF(W308:W325,$B349)+COUNTIF(W308:W325,$B349&amp;" ~*")&gt;0)+(COUNTIF(Y308:Y325,$B349)+COUNTIF(Y308:Y325,$B349&amp;" ~*")&gt;0))</f>
        <v/>
      </c>
      <c r="AC349" s="36">
        <f>IF($B349="","",(IFERROR(INDEX(Setup!$G$33:$G$40,MATCH(C349,Setup!$B$33:$B$40,0)),0)=1)*(COUNTIF(C308:E325,$B349)+COUNTIF(C308:E325,$B349&amp;" ~*")&gt;0)+(IFERROR(INDEX(Setup!$G$33:$G$40,MATCH(G349,Setup!$B$33:$B$40,0)),0)=1)*(COUNTIF(G308:I325,$B349)+COUNTIF(G308:I325,$B349&amp;" ~*")&gt;0)+(IFERROR(INDEX(Setup!$G$33:$G$40,MATCH(K349,Setup!$B$33:$B$40,0)),0)=1)*(COUNTIF(K308:M325,$B349)+COUNTIF(K308:M325,$B349&amp;" ~*")&gt;0)+(IFERROR(INDEX(Setup!$G$33:$G$40,MATCH(O349,Setup!$B$33:$B$40,0)),0)=1)*(COUNTIF(O308:Q325,$B349)+COUNTIF(O308:Q325,$B349&amp;" ~*")&gt;0)+(IFERROR(INDEX(Setup!$G$33:$G$40,MATCH(S349,Setup!$B$33:$B$40,0)),0)=1)*(COUNTIF(S308:U325,$B349)+COUNTIF(S308:U325,$B349&amp;" ~*")&gt;0)+(IFERROR(INDEX(Setup!$G$33:$G$40,MATCH(W349,Setup!$B$33:$B$40,0)),0)=1)*(COUNTIF(W308:W325,$B349)+COUNTIF(W308:W325,$B349&amp;" ~*")&gt;0)+(IFERROR(INDEX(Setup!$G$33:$G$40,MATCH(Y349,Setup!$B$33:$B$40,0)),0)=1)*(COUNTIF(Y308:Y325,$B349)+COUNTIF(Y308:Y325,$B349&amp;" ~*")&gt;0))</f>
        <v/>
      </c>
    </row>
    <row r="350" ht="15" customHeight="1">
      <c r="A350" t="n">
        <v>7</v>
      </c>
      <c r="B350" s="37">
        <f>IF(Setup!$B$29="","",Setup!$B$29)</f>
        <v/>
      </c>
      <c r="C350" s="102" t="n"/>
      <c r="D350" s="103" t="n"/>
      <c r="E350" s="103" t="n"/>
      <c r="F350" s="104" t="n"/>
      <c r="G350" s="102" t="n"/>
      <c r="H350" s="103" t="n"/>
      <c r="I350" s="103" t="n"/>
      <c r="J350" s="104" t="n"/>
      <c r="K350" s="102" t="n"/>
      <c r="L350" s="103" t="n"/>
      <c r="M350" s="103" t="n"/>
      <c r="N350" s="104" t="n"/>
      <c r="O350" s="102" t="n"/>
      <c r="P350" s="103" t="n"/>
      <c r="Q350" s="103" t="n"/>
      <c r="R350" s="104" t="n"/>
      <c r="S350" s="102" t="n"/>
      <c r="T350" s="103" t="n"/>
      <c r="U350" s="103" t="n"/>
      <c r="V350" s="104" t="n"/>
      <c r="W350" s="102" t="n"/>
      <c r="X350" s="104" t="n"/>
      <c r="Y350" s="102" t="n"/>
      <c r="Z350" s="104" t="n"/>
      <c r="AB350" s="105">
        <f>IF($B350="","",(COUNTIF(C308:E325,$B350)+COUNTIF(C308:E325,$B350&amp;" ~*")&gt;0)+(COUNTIF(G308:I325,$B350)+COUNTIF(G308:I325,$B350&amp;" ~*")&gt;0)+(COUNTIF(K308:M325,$B350)+COUNTIF(K308:M325,$B350&amp;" ~*")&gt;0)+(COUNTIF(O308:Q325,$B350)+COUNTIF(O308:Q325,$B350&amp;" ~*")&gt;0)+(COUNTIF(S308:U325,$B350)+COUNTIF(S308:U325,$B350&amp;" ~*")&gt;0)+(COUNTIF(W308:W325,$B350)+COUNTIF(W308:W325,$B350&amp;" ~*")&gt;0)+(COUNTIF(Y308:Y325,$B350)+COUNTIF(Y308:Y325,$B350&amp;" ~*")&gt;0))</f>
        <v/>
      </c>
      <c r="AC350" s="38">
        <f>IF($B350="","",(IFERROR(INDEX(Setup!$G$33:$G$40,MATCH(C350,Setup!$B$33:$B$40,0)),0)=1)*(COUNTIF(C308:E325,$B350)+COUNTIF(C308:E325,$B350&amp;" ~*")&gt;0)+(IFERROR(INDEX(Setup!$G$33:$G$40,MATCH(G350,Setup!$B$33:$B$40,0)),0)=1)*(COUNTIF(G308:I325,$B350)+COUNTIF(G308:I325,$B350&amp;" ~*")&gt;0)+(IFERROR(INDEX(Setup!$G$33:$G$40,MATCH(K350,Setup!$B$33:$B$40,0)),0)=1)*(COUNTIF(K308:M325,$B350)+COUNTIF(K308:M325,$B350&amp;" ~*")&gt;0)+(IFERROR(INDEX(Setup!$G$33:$G$40,MATCH(O350,Setup!$B$33:$B$40,0)),0)=1)*(COUNTIF(O308:Q325,$B350)+COUNTIF(O308:Q325,$B350&amp;" ~*")&gt;0)+(IFERROR(INDEX(Setup!$G$33:$G$40,MATCH(S350,Setup!$B$33:$B$40,0)),0)=1)*(COUNTIF(S308:U325,$B350)+COUNTIF(S308:U325,$B350&amp;" ~*")&gt;0)+(IFERROR(INDEX(Setup!$G$33:$G$40,MATCH(W350,Setup!$B$33:$B$40,0)),0)=1)*(COUNTIF(W308:W325,$B350)+COUNTIF(W308:W325,$B350&amp;" ~*")&gt;0)+(IFERROR(INDEX(Setup!$G$33:$G$40,MATCH(Y350,Setup!$B$33:$B$40,0)),0)=1)*(COUNTIF(Y308:Y325,$B350)+COUNTIF(Y308:Y325,$B350&amp;" ~*")&gt;0))</f>
        <v/>
      </c>
    </row>
    <row r="351" ht="16" customHeight="1">
      <c r="A351" t="n">
        <v>7</v>
      </c>
      <c r="B351" s="106" t="inlineStr">
        <is>
          <t>Available people</t>
        </is>
      </c>
      <c r="C351" s="107">
        <f>COUNTIFS(Setup!$E$6:$E$29,"Y",Setup!$B$6:$B$29,"?*")-SUMPRODUCT(COUNTIF(C327:C350,Setup!$F$33:$F$40))</f>
        <v/>
      </c>
      <c r="D351" s="107" t="n"/>
      <c r="E351" s="107" t="n"/>
      <c r="F351" s="107" t="n"/>
      <c r="G351" s="107">
        <f>COUNTIFS(Setup!$E$6:$E$29,"Y",Setup!$B$6:$B$29,"?*")-SUMPRODUCT(COUNTIF(G327:G350,Setup!$F$33:$F$40))</f>
        <v/>
      </c>
      <c r="H351" s="107" t="n"/>
      <c r="I351" s="107" t="n"/>
      <c r="J351" s="107" t="n"/>
      <c r="K351" s="107">
        <f>COUNTIFS(Setup!$E$6:$E$29,"Y",Setup!$B$6:$B$29,"?*")-SUMPRODUCT(COUNTIF(K327:K350,Setup!$F$33:$F$40))</f>
        <v/>
      </c>
      <c r="L351" s="107" t="n"/>
      <c r="M351" s="107" t="n"/>
      <c r="N351" s="107" t="n"/>
      <c r="O351" s="107">
        <f>COUNTIFS(Setup!$E$6:$E$29,"Y",Setup!$B$6:$B$29,"?*")-SUMPRODUCT(COUNTIF(O327:O350,Setup!$F$33:$F$40))</f>
        <v/>
      </c>
      <c r="P351" s="107" t="n"/>
      <c r="Q351" s="107" t="n"/>
      <c r="R351" s="107" t="n"/>
      <c r="S351" s="107">
        <f>COUNTIFS(Setup!$E$6:$E$29,"Y",Setup!$B$6:$B$29,"?*")-SUMPRODUCT(COUNTIF(S327:S350,Setup!$F$33:$F$40))</f>
        <v/>
      </c>
      <c r="T351" s="107" t="n"/>
      <c r="U351" s="107" t="n"/>
      <c r="V351" s="107" t="n"/>
      <c r="W351" s="107">
        <f>COUNTIFS(Setup!$E$6:$E$29,"Y",Setup!$B$6:$B$29,"?*")-SUMPRODUCT(COUNTIF(W327:W350,Setup!$F$33:$F$40))</f>
        <v/>
      </c>
      <c r="X351" s="107" t="n"/>
      <c r="Y351" s="107">
        <f>COUNTIFS(Setup!$E$6:$E$29,"Y",Setup!$B$6:$B$29,"?*")-SUMPRODUCT(COUNTIF(Y327:Y350,Setup!$F$33:$F$40))</f>
        <v/>
      </c>
      <c r="Z351" s="107" t="n"/>
      <c r="AB351" s="108">
        <f>SUM(AB327:AB350)</f>
        <v/>
      </c>
      <c r="AC351" s="109">
        <f>SUM(AC327:AC350)</f>
        <v/>
      </c>
    </row>
    <row r="352" ht="30" customHeight="1">
      <c r="A352" t="n">
        <v>7</v>
      </c>
      <c r="B352" s="110" t="inlineStr">
        <is>
          <t>Week notes</t>
        </is>
      </c>
      <c r="C352" s="111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112" t="n"/>
      <c r="R352" s="112" t="n"/>
      <c r="S352" s="112" t="n"/>
      <c r="T352" s="112" t="n"/>
      <c r="U352" s="112" t="n"/>
      <c r="V352" s="112" t="n"/>
      <c r="W352" s="112" t="n"/>
      <c r="X352" s="112" t="n"/>
      <c r="Y352" s="112" t="n"/>
      <c r="Z352" s="113" t="n"/>
    </row>
    <row r="353" ht="8" customHeight="1">
      <c r="A353" t="n">
        <v>7</v>
      </c>
    </row>
    <row r="354" ht="8" customHeight="1">
      <c r="A354" t="n">
        <v>7</v>
      </c>
    </row>
    <row r="355" ht="24" customHeight="1">
      <c r="A355" t="n">
        <v>8</v>
      </c>
      <c r="B355" s="73">
        <f>"WEEK 8     "&amp;TEXT(C356,"ddd d mmm")&amp;"  –  "&amp;TEXT(C356+6,"ddd d mmm yyyy")</f>
        <v/>
      </c>
      <c r="S355" s="74">
        <f>IF(TODAY()&lt;C356,"FUTURE",IF(TODAY()&gt;C356+6,"PAST","THIS WEEK"))</f>
        <v/>
      </c>
      <c r="W355" s="75">
        <f>IF(AND(Engine!$B$8=$AC$3,Engine!$B$9=$A355),"◀ ACTIVE WEEK","")</f>
        <v/>
      </c>
      <c r="AA355" s="76" t="n"/>
      <c r="AB355" s="77" t="inlineStr">
        <is>
          <t>◀ Prev</t>
        </is>
      </c>
      <c r="AC355" s="77" t="inlineStr">
        <is>
          <t>Next ▶</t>
        </is>
      </c>
    </row>
    <row r="356" ht="18" customHeight="1">
      <c r="A356" t="n">
        <v>8</v>
      </c>
      <c r="B356" s="78" t="inlineStr">
        <is>
          <t>DUTY</t>
        </is>
      </c>
      <c r="C356" s="79">
        <f>$AC$2+7*($A356-1)</f>
        <v/>
      </c>
      <c r="D356" s="80" t="n"/>
      <c r="E356" s="80" t="n"/>
      <c r="F356" s="81" t="n"/>
      <c r="G356" s="79">
        <f>C356+1</f>
        <v/>
      </c>
      <c r="H356" s="80" t="n"/>
      <c r="I356" s="80" t="n"/>
      <c r="J356" s="81" t="n"/>
      <c r="K356" s="79">
        <f>C356+2</f>
        <v/>
      </c>
      <c r="L356" s="80" t="n"/>
      <c r="M356" s="80" t="n"/>
      <c r="N356" s="81" t="n"/>
      <c r="O356" s="79">
        <f>C356+3</f>
        <v/>
      </c>
      <c r="P356" s="80" t="n"/>
      <c r="Q356" s="80" t="n"/>
      <c r="R356" s="81" t="n"/>
      <c r="S356" s="79">
        <f>C356+4</f>
        <v/>
      </c>
      <c r="T356" s="80" t="n"/>
      <c r="U356" s="80" t="n"/>
      <c r="V356" s="81" t="n"/>
      <c r="W356" s="82">
        <f>C356+5</f>
        <v/>
      </c>
      <c r="X356" s="83" t="n"/>
      <c r="Y356" s="82">
        <f>C356+6</f>
        <v/>
      </c>
      <c r="Z356" s="83" t="n"/>
      <c r="AB356" s="72" t="inlineStr">
        <is>
          <t>Gaps</t>
        </is>
      </c>
      <c r="AC356" s="72" t="inlineStr">
        <is>
          <t>Cover</t>
        </is>
      </c>
    </row>
    <row r="357" ht="14" customHeight="1">
      <c r="A357" t="n">
        <v>8</v>
      </c>
      <c r="B357" s="84" t="inlineStr">
        <is>
          <t>(from Setup)</t>
        </is>
      </c>
      <c r="C357" s="85" t="inlineStr">
        <is>
          <t>1</t>
        </is>
      </c>
      <c r="D357" s="85" t="inlineStr">
        <is>
          <t>2</t>
        </is>
      </c>
      <c r="E357" s="85" t="inlineStr">
        <is>
          <t>3</t>
        </is>
      </c>
      <c r="F357" s="85" t="inlineStr">
        <is>
          <t>Notes</t>
        </is>
      </c>
      <c r="G357" s="85" t="inlineStr">
        <is>
          <t>1</t>
        </is>
      </c>
      <c r="H357" s="85" t="inlineStr">
        <is>
          <t>2</t>
        </is>
      </c>
      <c r="I357" s="85" t="inlineStr">
        <is>
          <t>3</t>
        </is>
      </c>
      <c r="J357" s="85" t="inlineStr">
        <is>
          <t>Notes</t>
        </is>
      </c>
      <c r="K357" s="85" t="inlineStr">
        <is>
          <t>1</t>
        </is>
      </c>
      <c r="L357" s="85" t="inlineStr">
        <is>
          <t>2</t>
        </is>
      </c>
      <c r="M357" s="85" t="inlineStr">
        <is>
          <t>3</t>
        </is>
      </c>
      <c r="N357" s="85" t="inlineStr">
        <is>
          <t>Notes</t>
        </is>
      </c>
      <c r="O357" s="85" t="inlineStr">
        <is>
          <t>1</t>
        </is>
      </c>
      <c r="P357" s="85" t="inlineStr">
        <is>
          <t>2</t>
        </is>
      </c>
      <c r="Q357" s="85" t="inlineStr">
        <is>
          <t>3</t>
        </is>
      </c>
      <c r="R357" s="85" t="inlineStr">
        <is>
          <t>Notes</t>
        </is>
      </c>
      <c r="S357" s="85" t="inlineStr">
        <is>
          <t>1</t>
        </is>
      </c>
      <c r="T357" s="85" t="inlineStr">
        <is>
          <t>2</t>
        </is>
      </c>
      <c r="U357" s="85" t="inlineStr">
        <is>
          <t>3</t>
        </is>
      </c>
      <c r="V357" s="85" t="inlineStr">
        <is>
          <t>Notes</t>
        </is>
      </c>
      <c r="W357" s="85" t="inlineStr">
        <is>
          <t>Cover</t>
        </is>
      </c>
      <c r="X357" s="85" t="inlineStr">
        <is>
          <t>Notes</t>
        </is>
      </c>
      <c r="Y357" s="85" t="inlineStr">
        <is>
          <t>Cover</t>
        </is>
      </c>
      <c r="Z357" s="85" t="inlineStr">
        <is>
          <t>Notes</t>
        </is>
      </c>
      <c r="AB357" s="86" t="inlineStr">
        <is>
          <t>weekdays short</t>
        </is>
      </c>
      <c r="AC357" s="87" t="inlineStr"/>
    </row>
    <row r="358" ht="17" customHeight="1">
      <c r="A358" t="n">
        <v>8</v>
      </c>
      <c r="B358" s="24">
        <f>IF(Setup!$K$6="","",Setup!$K$6)</f>
        <v/>
      </c>
      <c r="C358" s="88" t="n"/>
      <c r="D358" s="88" t="n"/>
      <c r="E358" s="88" t="n"/>
      <c r="F358" s="89" t="n"/>
      <c r="G358" s="88" t="n"/>
      <c r="H358" s="88" t="n"/>
      <c r="I358" s="88" t="n"/>
      <c r="J358" s="89" t="n"/>
      <c r="K358" s="88" t="n"/>
      <c r="L358" s="88" t="n"/>
      <c r="M358" s="88" t="n"/>
      <c r="N358" s="89" t="n"/>
      <c r="O358" s="88" t="n"/>
      <c r="P358" s="88" t="n"/>
      <c r="Q358" s="88" t="n"/>
      <c r="R358" s="89" t="n"/>
      <c r="S358" s="88" t="n"/>
      <c r="T358" s="88" t="n"/>
      <c r="U358" s="88" t="n"/>
      <c r="V358" s="89" t="n"/>
      <c r="W358" s="88" t="n"/>
      <c r="X358" s="89" t="n"/>
      <c r="Y358" s="88" t="n"/>
      <c r="Z358" s="89" t="n"/>
      <c r="AB358" s="25">
        <f>IF($B358="","",(COUNTIF(C358:E358,"?*")&lt;N(INDEX(Setup!$L$6:$L$23,1)))+(COUNTIF(G358:I358,"?*")&lt;N(INDEX(Setup!$L$6:$L$23,1)))+(COUNTIF(K358:M358,"?*")&lt;N(INDEX(Setup!$L$6:$L$23,1)))+(COUNTIF(O358:Q358,"?*")&lt;N(INDEX(Setup!$L$6:$L$23,1)))+(COUNTIF(S358:U358,"?*")&lt;N(INDEX(Setup!$L$6:$L$23,1)))+((W358="")*(INDEX(Setup!$M$6:$M$23,1)="Y"))+((Y358="")*(INDEX(Setup!$M$6:$M$23,1)="Y")))</f>
        <v/>
      </c>
      <c r="AC358" s="90">
        <f>IF($B358="","",IF(AB358=0,"✓ covered","⚠ "&amp;AB358&amp;IF(AB358=1," gap"," gaps")))</f>
        <v/>
      </c>
    </row>
    <row r="359" ht="17" customHeight="1">
      <c r="A359" t="n">
        <v>8</v>
      </c>
      <c r="B359" s="29">
        <f>IF(Setup!$K$7="","",Setup!$K$7)</f>
        <v/>
      </c>
      <c r="C359" s="88" t="n"/>
      <c r="D359" s="88" t="n"/>
      <c r="E359" s="88" t="n"/>
      <c r="F359" s="89" t="n"/>
      <c r="G359" s="88" t="n"/>
      <c r="H359" s="88" t="n"/>
      <c r="I359" s="88" t="n"/>
      <c r="J359" s="89" t="n"/>
      <c r="K359" s="88" t="n"/>
      <c r="L359" s="88" t="n"/>
      <c r="M359" s="88" t="n"/>
      <c r="N359" s="89" t="n"/>
      <c r="O359" s="88" t="n"/>
      <c r="P359" s="88" t="n"/>
      <c r="Q359" s="88" t="n"/>
      <c r="R359" s="89" t="n"/>
      <c r="S359" s="88" t="n"/>
      <c r="T359" s="88" t="n"/>
      <c r="U359" s="88" t="n"/>
      <c r="V359" s="89" t="n"/>
      <c r="W359" s="88" t="n"/>
      <c r="X359" s="89" t="n"/>
      <c r="Y359" s="88" t="n"/>
      <c r="Z359" s="89" t="n"/>
      <c r="AB359" s="30">
        <f>IF($B359="","",(COUNTIF(C359:E359,"?*")&lt;N(INDEX(Setup!$L$6:$L$23,2)))+(COUNTIF(G359:I359,"?*")&lt;N(INDEX(Setup!$L$6:$L$23,2)))+(COUNTIF(K359:M359,"?*")&lt;N(INDEX(Setup!$L$6:$L$23,2)))+(COUNTIF(O359:Q359,"?*")&lt;N(INDEX(Setup!$L$6:$L$23,2)))+(COUNTIF(S359:U359,"?*")&lt;N(INDEX(Setup!$L$6:$L$23,2)))+((W359="")*(INDEX(Setup!$M$6:$M$23,2)="Y"))+((Y359="")*(INDEX(Setup!$M$6:$M$23,2)="Y")))</f>
        <v/>
      </c>
      <c r="AC359" s="91">
        <f>IF($B359="","",IF(AB359=0,"✓ covered","⚠ "&amp;AB359&amp;IF(AB359=1," gap"," gaps")))</f>
        <v/>
      </c>
    </row>
    <row r="360" ht="17" customHeight="1">
      <c r="A360" t="n">
        <v>8</v>
      </c>
      <c r="B360" s="24">
        <f>IF(Setup!$K$8="","",Setup!$K$8)</f>
        <v/>
      </c>
      <c r="C360" s="88" t="n"/>
      <c r="D360" s="88" t="n"/>
      <c r="E360" s="88" t="n"/>
      <c r="F360" s="89" t="n"/>
      <c r="G360" s="88" t="n"/>
      <c r="H360" s="88" t="n"/>
      <c r="I360" s="88" t="n"/>
      <c r="J360" s="89" t="n"/>
      <c r="K360" s="88" t="n"/>
      <c r="L360" s="88" t="n"/>
      <c r="M360" s="88" t="n"/>
      <c r="N360" s="89" t="n"/>
      <c r="O360" s="88" t="n"/>
      <c r="P360" s="88" t="n"/>
      <c r="Q360" s="88" t="n"/>
      <c r="R360" s="89" t="n"/>
      <c r="S360" s="88" t="n"/>
      <c r="T360" s="88" t="n"/>
      <c r="U360" s="88" t="n"/>
      <c r="V360" s="89" t="n"/>
      <c r="W360" s="88" t="n"/>
      <c r="X360" s="89" t="n"/>
      <c r="Y360" s="88" t="n"/>
      <c r="Z360" s="89" t="n"/>
      <c r="AB360" s="25">
        <f>IF($B360="","",(COUNTIF(C360:E360,"?*")&lt;N(INDEX(Setup!$L$6:$L$23,3)))+(COUNTIF(G360:I360,"?*")&lt;N(INDEX(Setup!$L$6:$L$23,3)))+(COUNTIF(K360:M360,"?*")&lt;N(INDEX(Setup!$L$6:$L$23,3)))+(COUNTIF(O360:Q360,"?*")&lt;N(INDEX(Setup!$L$6:$L$23,3)))+(COUNTIF(S360:U360,"?*")&lt;N(INDEX(Setup!$L$6:$L$23,3)))+((W360="")*(INDEX(Setup!$M$6:$M$23,3)="Y"))+((Y360="")*(INDEX(Setup!$M$6:$M$23,3)="Y")))</f>
        <v/>
      </c>
      <c r="AC360" s="90">
        <f>IF($B360="","",IF(AB360=0,"✓ covered","⚠ "&amp;AB360&amp;IF(AB360=1," gap"," gaps")))</f>
        <v/>
      </c>
    </row>
    <row r="361" ht="17" customHeight="1">
      <c r="A361" t="n">
        <v>8</v>
      </c>
      <c r="B361" s="29">
        <f>IF(Setup!$K$9="","",Setup!$K$9)</f>
        <v/>
      </c>
      <c r="C361" s="88" t="n"/>
      <c r="D361" s="88" t="n"/>
      <c r="E361" s="88" t="n"/>
      <c r="F361" s="89" t="n"/>
      <c r="G361" s="88" t="n"/>
      <c r="H361" s="88" t="n"/>
      <c r="I361" s="88" t="n"/>
      <c r="J361" s="89" t="n"/>
      <c r="K361" s="88" t="n"/>
      <c r="L361" s="88" t="n"/>
      <c r="M361" s="88" t="n"/>
      <c r="N361" s="89" t="n"/>
      <c r="O361" s="88" t="n"/>
      <c r="P361" s="88" t="n"/>
      <c r="Q361" s="88" t="n"/>
      <c r="R361" s="89" t="n"/>
      <c r="S361" s="88" t="n"/>
      <c r="T361" s="88" t="n"/>
      <c r="U361" s="88" t="n"/>
      <c r="V361" s="89" t="n"/>
      <c r="W361" s="88" t="n"/>
      <c r="X361" s="89" t="n"/>
      <c r="Y361" s="88" t="n"/>
      <c r="Z361" s="89" t="n"/>
      <c r="AB361" s="30">
        <f>IF($B361="","",(COUNTIF(C361:E361,"?*")&lt;N(INDEX(Setup!$L$6:$L$23,4)))+(COUNTIF(G361:I361,"?*")&lt;N(INDEX(Setup!$L$6:$L$23,4)))+(COUNTIF(K361:M361,"?*")&lt;N(INDEX(Setup!$L$6:$L$23,4)))+(COUNTIF(O361:Q361,"?*")&lt;N(INDEX(Setup!$L$6:$L$23,4)))+(COUNTIF(S361:U361,"?*")&lt;N(INDEX(Setup!$L$6:$L$23,4)))+((W361="")*(INDEX(Setup!$M$6:$M$23,4)="Y"))+((Y361="")*(INDEX(Setup!$M$6:$M$23,4)="Y")))</f>
        <v/>
      </c>
      <c r="AC361" s="91">
        <f>IF($B361="","",IF(AB361=0,"✓ covered","⚠ "&amp;AB361&amp;IF(AB361=1," gap"," gaps")))</f>
        <v/>
      </c>
    </row>
    <row r="362" ht="17" customHeight="1">
      <c r="A362" t="n">
        <v>8</v>
      </c>
      <c r="B362" s="24">
        <f>IF(Setup!$K$10="","",Setup!$K$10)</f>
        <v/>
      </c>
      <c r="C362" s="88" t="n"/>
      <c r="D362" s="88" t="n"/>
      <c r="E362" s="88" t="n"/>
      <c r="F362" s="89" t="n"/>
      <c r="G362" s="88" t="n"/>
      <c r="H362" s="88" t="n"/>
      <c r="I362" s="88" t="n"/>
      <c r="J362" s="89" t="n"/>
      <c r="K362" s="88" t="n"/>
      <c r="L362" s="88" t="n"/>
      <c r="M362" s="88" t="n"/>
      <c r="N362" s="89" t="n"/>
      <c r="O362" s="88" t="n"/>
      <c r="P362" s="88" t="n"/>
      <c r="Q362" s="88" t="n"/>
      <c r="R362" s="89" t="n"/>
      <c r="S362" s="88" t="n"/>
      <c r="T362" s="88" t="n"/>
      <c r="U362" s="88" t="n"/>
      <c r="V362" s="89" t="n"/>
      <c r="W362" s="88" t="n"/>
      <c r="X362" s="89" t="n"/>
      <c r="Y362" s="88" t="n"/>
      <c r="Z362" s="89" t="n"/>
      <c r="AB362" s="25">
        <f>IF($B362="","",(COUNTIF(C362:E362,"?*")&lt;N(INDEX(Setup!$L$6:$L$23,5)))+(COUNTIF(G362:I362,"?*")&lt;N(INDEX(Setup!$L$6:$L$23,5)))+(COUNTIF(K362:M362,"?*")&lt;N(INDEX(Setup!$L$6:$L$23,5)))+(COUNTIF(O362:Q362,"?*")&lt;N(INDEX(Setup!$L$6:$L$23,5)))+(COUNTIF(S362:U362,"?*")&lt;N(INDEX(Setup!$L$6:$L$23,5)))+((W362="")*(INDEX(Setup!$M$6:$M$23,5)="Y"))+((Y362="")*(INDEX(Setup!$M$6:$M$23,5)="Y")))</f>
        <v/>
      </c>
      <c r="AC362" s="90">
        <f>IF($B362="","",IF(AB362=0,"✓ covered","⚠ "&amp;AB362&amp;IF(AB362=1," gap"," gaps")))</f>
        <v/>
      </c>
    </row>
    <row r="363" ht="17" customHeight="1">
      <c r="A363" t="n">
        <v>8</v>
      </c>
      <c r="B363" s="29">
        <f>IF(Setup!$K$11="","",Setup!$K$11)</f>
        <v/>
      </c>
      <c r="C363" s="88" t="n"/>
      <c r="D363" s="88" t="n"/>
      <c r="E363" s="88" t="n"/>
      <c r="F363" s="89" t="n"/>
      <c r="G363" s="88" t="n"/>
      <c r="H363" s="88" t="n"/>
      <c r="I363" s="88" t="n"/>
      <c r="J363" s="89" t="n"/>
      <c r="K363" s="88" t="n"/>
      <c r="L363" s="88" t="n"/>
      <c r="M363" s="88" t="n"/>
      <c r="N363" s="89" t="n"/>
      <c r="O363" s="88" t="n"/>
      <c r="P363" s="88" t="n"/>
      <c r="Q363" s="88" t="n"/>
      <c r="R363" s="89" t="n"/>
      <c r="S363" s="88" t="n"/>
      <c r="T363" s="88" t="n"/>
      <c r="U363" s="88" t="n"/>
      <c r="V363" s="89" t="n"/>
      <c r="W363" s="88" t="n"/>
      <c r="X363" s="89" t="n"/>
      <c r="Y363" s="88" t="n"/>
      <c r="Z363" s="89" t="n"/>
      <c r="AB363" s="30">
        <f>IF($B363="","",(COUNTIF(C363:E363,"?*")&lt;N(INDEX(Setup!$L$6:$L$23,6)))+(COUNTIF(G363:I363,"?*")&lt;N(INDEX(Setup!$L$6:$L$23,6)))+(COUNTIF(K363:M363,"?*")&lt;N(INDEX(Setup!$L$6:$L$23,6)))+(COUNTIF(O363:Q363,"?*")&lt;N(INDEX(Setup!$L$6:$L$23,6)))+(COUNTIF(S363:U363,"?*")&lt;N(INDEX(Setup!$L$6:$L$23,6)))+((W363="")*(INDEX(Setup!$M$6:$M$23,6)="Y"))+((Y363="")*(INDEX(Setup!$M$6:$M$23,6)="Y")))</f>
        <v/>
      </c>
      <c r="AC363" s="91">
        <f>IF($B363="","",IF(AB363=0,"✓ covered","⚠ "&amp;AB363&amp;IF(AB363=1," gap"," gaps")))</f>
        <v/>
      </c>
    </row>
    <row r="364" ht="17" customHeight="1">
      <c r="A364" t="n">
        <v>8</v>
      </c>
      <c r="B364" s="24">
        <f>IF(Setup!$K$12="","",Setup!$K$12)</f>
        <v/>
      </c>
      <c r="C364" s="88" t="n"/>
      <c r="D364" s="88" t="n"/>
      <c r="E364" s="88" t="n"/>
      <c r="F364" s="89" t="n"/>
      <c r="G364" s="88" t="n"/>
      <c r="H364" s="88" t="n"/>
      <c r="I364" s="88" t="n"/>
      <c r="J364" s="89" t="n"/>
      <c r="K364" s="88" t="n"/>
      <c r="L364" s="88" t="n"/>
      <c r="M364" s="88" t="n"/>
      <c r="N364" s="89" t="n"/>
      <c r="O364" s="88" t="n"/>
      <c r="P364" s="88" t="n"/>
      <c r="Q364" s="88" t="n"/>
      <c r="R364" s="89" t="n"/>
      <c r="S364" s="88" t="n"/>
      <c r="T364" s="88" t="n"/>
      <c r="U364" s="88" t="n"/>
      <c r="V364" s="89" t="n"/>
      <c r="W364" s="88" t="n"/>
      <c r="X364" s="89" t="n"/>
      <c r="Y364" s="88" t="n"/>
      <c r="Z364" s="89" t="n"/>
      <c r="AB364" s="25">
        <f>IF($B364="","",(COUNTIF(C364:E364,"?*")&lt;N(INDEX(Setup!$L$6:$L$23,7)))+(COUNTIF(G364:I364,"?*")&lt;N(INDEX(Setup!$L$6:$L$23,7)))+(COUNTIF(K364:M364,"?*")&lt;N(INDEX(Setup!$L$6:$L$23,7)))+(COUNTIF(O364:Q364,"?*")&lt;N(INDEX(Setup!$L$6:$L$23,7)))+(COUNTIF(S364:U364,"?*")&lt;N(INDEX(Setup!$L$6:$L$23,7)))+((W364="")*(INDEX(Setup!$M$6:$M$23,7)="Y"))+((Y364="")*(INDEX(Setup!$M$6:$M$23,7)="Y")))</f>
        <v/>
      </c>
      <c r="AC364" s="90">
        <f>IF($B364="","",IF(AB364=0,"✓ covered","⚠ "&amp;AB364&amp;IF(AB364=1," gap"," gaps")))</f>
        <v/>
      </c>
    </row>
    <row r="365" ht="17" customHeight="1">
      <c r="A365" t="n">
        <v>8</v>
      </c>
      <c r="B365" s="29">
        <f>IF(Setup!$K$13="","",Setup!$K$13)</f>
        <v/>
      </c>
      <c r="C365" s="88" t="n"/>
      <c r="D365" s="88" t="n"/>
      <c r="E365" s="88" t="n"/>
      <c r="F365" s="89" t="n"/>
      <c r="G365" s="88" t="n"/>
      <c r="H365" s="88" t="n"/>
      <c r="I365" s="88" t="n"/>
      <c r="J365" s="89" t="n"/>
      <c r="K365" s="88" t="n"/>
      <c r="L365" s="88" t="n"/>
      <c r="M365" s="88" t="n"/>
      <c r="N365" s="89" t="n"/>
      <c r="O365" s="88" t="n"/>
      <c r="P365" s="88" t="n"/>
      <c r="Q365" s="88" t="n"/>
      <c r="R365" s="89" t="n"/>
      <c r="S365" s="88" t="n"/>
      <c r="T365" s="88" t="n"/>
      <c r="U365" s="88" t="n"/>
      <c r="V365" s="89" t="n"/>
      <c r="W365" s="88" t="n"/>
      <c r="X365" s="89" t="n"/>
      <c r="Y365" s="88" t="n"/>
      <c r="Z365" s="89" t="n"/>
      <c r="AB365" s="30">
        <f>IF($B365="","",(COUNTIF(C365:E365,"?*")&lt;N(INDEX(Setup!$L$6:$L$23,8)))+(COUNTIF(G365:I365,"?*")&lt;N(INDEX(Setup!$L$6:$L$23,8)))+(COUNTIF(K365:M365,"?*")&lt;N(INDEX(Setup!$L$6:$L$23,8)))+(COUNTIF(O365:Q365,"?*")&lt;N(INDEX(Setup!$L$6:$L$23,8)))+(COUNTIF(S365:U365,"?*")&lt;N(INDEX(Setup!$L$6:$L$23,8)))+((W365="")*(INDEX(Setup!$M$6:$M$23,8)="Y"))+((Y365="")*(INDEX(Setup!$M$6:$M$23,8)="Y")))</f>
        <v/>
      </c>
      <c r="AC365" s="91">
        <f>IF($B365="","",IF(AB365=0,"✓ covered","⚠ "&amp;AB365&amp;IF(AB365=1," gap"," gaps")))</f>
        <v/>
      </c>
    </row>
    <row r="366" ht="17" customHeight="1">
      <c r="A366" t="n">
        <v>8</v>
      </c>
      <c r="B366" s="24">
        <f>IF(Setup!$K$14="","",Setup!$K$14)</f>
        <v/>
      </c>
      <c r="C366" s="88" t="n"/>
      <c r="D366" s="88" t="n"/>
      <c r="E366" s="88" t="n"/>
      <c r="F366" s="89" t="n"/>
      <c r="G366" s="88" t="n"/>
      <c r="H366" s="88" t="n"/>
      <c r="I366" s="88" t="n"/>
      <c r="J366" s="89" t="n"/>
      <c r="K366" s="88" t="n"/>
      <c r="L366" s="88" t="n"/>
      <c r="M366" s="88" t="n"/>
      <c r="N366" s="89" t="n"/>
      <c r="O366" s="88" t="n"/>
      <c r="P366" s="88" t="n"/>
      <c r="Q366" s="88" t="n"/>
      <c r="R366" s="89" t="n"/>
      <c r="S366" s="88" t="n"/>
      <c r="T366" s="88" t="n"/>
      <c r="U366" s="88" t="n"/>
      <c r="V366" s="89" t="n"/>
      <c r="W366" s="88" t="n"/>
      <c r="X366" s="89" t="n"/>
      <c r="Y366" s="88" t="n"/>
      <c r="Z366" s="89" t="n"/>
      <c r="AB366" s="25">
        <f>IF($B366="","",(COUNTIF(C366:E366,"?*")&lt;N(INDEX(Setup!$L$6:$L$23,9)))+(COUNTIF(G366:I366,"?*")&lt;N(INDEX(Setup!$L$6:$L$23,9)))+(COUNTIF(K366:M366,"?*")&lt;N(INDEX(Setup!$L$6:$L$23,9)))+(COUNTIF(O366:Q366,"?*")&lt;N(INDEX(Setup!$L$6:$L$23,9)))+(COUNTIF(S366:U366,"?*")&lt;N(INDEX(Setup!$L$6:$L$23,9)))+((W366="")*(INDEX(Setup!$M$6:$M$23,9)="Y"))+((Y366="")*(INDEX(Setup!$M$6:$M$23,9)="Y")))</f>
        <v/>
      </c>
      <c r="AC366" s="90">
        <f>IF($B366="","",IF(AB366=0,"✓ covered","⚠ "&amp;AB366&amp;IF(AB366=1," gap"," gaps")))</f>
        <v/>
      </c>
    </row>
    <row r="367" ht="17" customHeight="1">
      <c r="A367" t="n">
        <v>8</v>
      </c>
      <c r="B367" s="29">
        <f>IF(Setup!$K$15="","",Setup!$K$15)</f>
        <v/>
      </c>
      <c r="C367" s="88" t="n"/>
      <c r="D367" s="88" t="n"/>
      <c r="E367" s="88" t="n"/>
      <c r="F367" s="89" t="n"/>
      <c r="G367" s="88" t="n"/>
      <c r="H367" s="88" t="n"/>
      <c r="I367" s="88" t="n"/>
      <c r="J367" s="89" t="n"/>
      <c r="K367" s="88" t="n"/>
      <c r="L367" s="88" t="n"/>
      <c r="M367" s="88" t="n"/>
      <c r="N367" s="89" t="n"/>
      <c r="O367" s="88" t="n"/>
      <c r="P367" s="88" t="n"/>
      <c r="Q367" s="88" t="n"/>
      <c r="R367" s="89" t="n"/>
      <c r="S367" s="88" t="n"/>
      <c r="T367" s="88" t="n"/>
      <c r="U367" s="88" t="n"/>
      <c r="V367" s="89" t="n"/>
      <c r="W367" s="88" t="n"/>
      <c r="X367" s="89" t="n"/>
      <c r="Y367" s="88" t="n"/>
      <c r="Z367" s="89" t="n"/>
      <c r="AB367" s="30">
        <f>IF($B367="","",(COUNTIF(C367:E367,"?*")&lt;N(INDEX(Setup!$L$6:$L$23,10)))+(COUNTIF(G367:I367,"?*")&lt;N(INDEX(Setup!$L$6:$L$23,10)))+(COUNTIF(K367:M367,"?*")&lt;N(INDEX(Setup!$L$6:$L$23,10)))+(COUNTIF(O367:Q367,"?*")&lt;N(INDEX(Setup!$L$6:$L$23,10)))+(COUNTIF(S367:U367,"?*")&lt;N(INDEX(Setup!$L$6:$L$23,10)))+((W367="")*(INDEX(Setup!$M$6:$M$23,10)="Y"))+((Y367="")*(INDEX(Setup!$M$6:$M$23,10)="Y")))</f>
        <v/>
      </c>
      <c r="AC367" s="91">
        <f>IF($B367="","",IF(AB367=0,"✓ covered","⚠ "&amp;AB367&amp;IF(AB367=1," gap"," gaps")))</f>
        <v/>
      </c>
    </row>
    <row r="368" ht="17" customHeight="1">
      <c r="A368" t="n">
        <v>8</v>
      </c>
      <c r="B368" s="24">
        <f>IF(Setup!$K$16="","",Setup!$K$16)</f>
        <v/>
      </c>
      <c r="C368" s="88" t="n"/>
      <c r="D368" s="88" t="n"/>
      <c r="E368" s="88" t="n"/>
      <c r="F368" s="89" t="n"/>
      <c r="G368" s="88" t="n"/>
      <c r="H368" s="88" t="n"/>
      <c r="I368" s="88" t="n"/>
      <c r="J368" s="89" t="n"/>
      <c r="K368" s="88" t="n"/>
      <c r="L368" s="88" t="n"/>
      <c r="M368" s="88" t="n"/>
      <c r="N368" s="89" t="n"/>
      <c r="O368" s="88" t="n"/>
      <c r="P368" s="88" t="n"/>
      <c r="Q368" s="88" t="n"/>
      <c r="R368" s="89" t="n"/>
      <c r="S368" s="88" t="n"/>
      <c r="T368" s="88" t="n"/>
      <c r="U368" s="88" t="n"/>
      <c r="V368" s="89" t="n"/>
      <c r="W368" s="88" t="n"/>
      <c r="X368" s="89" t="n"/>
      <c r="Y368" s="88" t="n"/>
      <c r="Z368" s="89" t="n"/>
      <c r="AB368" s="25">
        <f>IF($B368="","",(COUNTIF(C368:E368,"?*")&lt;N(INDEX(Setup!$L$6:$L$23,11)))+(COUNTIF(G368:I368,"?*")&lt;N(INDEX(Setup!$L$6:$L$23,11)))+(COUNTIF(K368:M368,"?*")&lt;N(INDEX(Setup!$L$6:$L$23,11)))+(COUNTIF(O368:Q368,"?*")&lt;N(INDEX(Setup!$L$6:$L$23,11)))+(COUNTIF(S368:U368,"?*")&lt;N(INDEX(Setup!$L$6:$L$23,11)))+((W368="")*(INDEX(Setup!$M$6:$M$23,11)="Y"))+((Y368="")*(INDEX(Setup!$M$6:$M$23,11)="Y")))</f>
        <v/>
      </c>
      <c r="AC368" s="90">
        <f>IF($B368="","",IF(AB368=0,"✓ covered","⚠ "&amp;AB368&amp;IF(AB368=1," gap"," gaps")))</f>
        <v/>
      </c>
    </row>
    <row r="369" ht="17" customHeight="1">
      <c r="A369" t="n">
        <v>8</v>
      </c>
      <c r="B369" s="29">
        <f>IF(Setup!$K$17="","",Setup!$K$17)</f>
        <v/>
      </c>
      <c r="C369" s="88" t="n"/>
      <c r="D369" s="88" t="n"/>
      <c r="E369" s="88" t="n"/>
      <c r="F369" s="89" t="n"/>
      <c r="G369" s="88" t="n"/>
      <c r="H369" s="88" t="n"/>
      <c r="I369" s="88" t="n"/>
      <c r="J369" s="89" t="n"/>
      <c r="K369" s="88" t="n"/>
      <c r="L369" s="88" t="n"/>
      <c r="M369" s="88" t="n"/>
      <c r="N369" s="89" t="n"/>
      <c r="O369" s="88" t="n"/>
      <c r="P369" s="88" t="n"/>
      <c r="Q369" s="88" t="n"/>
      <c r="R369" s="89" t="n"/>
      <c r="S369" s="88" t="n"/>
      <c r="T369" s="88" t="n"/>
      <c r="U369" s="88" t="n"/>
      <c r="V369" s="89" t="n"/>
      <c r="W369" s="88" t="n"/>
      <c r="X369" s="89" t="n"/>
      <c r="Y369" s="88" t="n"/>
      <c r="Z369" s="89" t="n"/>
      <c r="AB369" s="30">
        <f>IF($B369="","",(COUNTIF(C369:E369,"?*")&lt;N(INDEX(Setup!$L$6:$L$23,12)))+(COUNTIF(G369:I369,"?*")&lt;N(INDEX(Setup!$L$6:$L$23,12)))+(COUNTIF(K369:M369,"?*")&lt;N(INDEX(Setup!$L$6:$L$23,12)))+(COUNTIF(O369:Q369,"?*")&lt;N(INDEX(Setup!$L$6:$L$23,12)))+(COUNTIF(S369:U369,"?*")&lt;N(INDEX(Setup!$L$6:$L$23,12)))+((W369="")*(INDEX(Setup!$M$6:$M$23,12)="Y"))+((Y369="")*(INDEX(Setup!$M$6:$M$23,12)="Y")))</f>
        <v/>
      </c>
      <c r="AC369" s="91">
        <f>IF($B369="","",IF(AB369=0,"✓ covered","⚠ "&amp;AB369&amp;IF(AB369=1," gap"," gaps")))</f>
        <v/>
      </c>
    </row>
    <row r="370" ht="17" customHeight="1">
      <c r="A370" t="n">
        <v>8</v>
      </c>
      <c r="B370" s="24">
        <f>IF(Setup!$K$18="","",Setup!$K$18)</f>
        <v/>
      </c>
      <c r="C370" s="88" t="n"/>
      <c r="D370" s="88" t="n"/>
      <c r="E370" s="88" t="n"/>
      <c r="F370" s="89" t="n"/>
      <c r="G370" s="88" t="n"/>
      <c r="H370" s="88" t="n"/>
      <c r="I370" s="88" t="n"/>
      <c r="J370" s="89" t="n"/>
      <c r="K370" s="88" t="n"/>
      <c r="L370" s="88" t="n"/>
      <c r="M370" s="88" t="n"/>
      <c r="N370" s="89" t="n"/>
      <c r="O370" s="88" t="n"/>
      <c r="P370" s="88" t="n"/>
      <c r="Q370" s="88" t="n"/>
      <c r="R370" s="89" t="n"/>
      <c r="S370" s="88" t="n"/>
      <c r="T370" s="88" t="n"/>
      <c r="U370" s="88" t="n"/>
      <c r="V370" s="89" t="n"/>
      <c r="W370" s="88" t="n"/>
      <c r="X370" s="89" t="n"/>
      <c r="Y370" s="88" t="n"/>
      <c r="Z370" s="89" t="n"/>
      <c r="AB370" s="25">
        <f>IF($B370="","",(COUNTIF(C370:E370,"?*")&lt;N(INDEX(Setup!$L$6:$L$23,13)))+(COUNTIF(G370:I370,"?*")&lt;N(INDEX(Setup!$L$6:$L$23,13)))+(COUNTIF(K370:M370,"?*")&lt;N(INDEX(Setup!$L$6:$L$23,13)))+(COUNTIF(O370:Q370,"?*")&lt;N(INDEX(Setup!$L$6:$L$23,13)))+(COUNTIF(S370:U370,"?*")&lt;N(INDEX(Setup!$L$6:$L$23,13)))+((W370="")*(INDEX(Setup!$M$6:$M$23,13)="Y"))+((Y370="")*(INDEX(Setup!$M$6:$M$23,13)="Y")))</f>
        <v/>
      </c>
      <c r="AC370" s="90">
        <f>IF($B370="","",IF(AB370=0,"✓ covered","⚠ "&amp;AB370&amp;IF(AB370=1," gap"," gaps")))</f>
        <v/>
      </c>
    </row>
    <row r="371" ht="17" customHeight="1">
      <c r="A371" t="n">
        <v>8</v>
      </c>
      <c r="B371" s="29">
        <f>IF(Setup!$K$19="","",Setup!$K$19)</f>
        <v/>
      </c>
      <c r="C371" s="88" t="n"/>
      <c r="D371" s="88" t="n"/>
      <c r="E371" s="88" t="n"/>
      <c r="F371" s="89" t="n"/>
      <c r="G371" s="88" t="n"/>
      <c r="H371" s="88" t="n"/>
      <c r="I371" s="88" t="n"/>
      <c r="J371" s="89" t="n"/>
      <c r="K371" s="88" t="n"/>
      <c r="L371" s="88" t="n"/>
      <c r="M371" s="88" t="n"/>
      <c r="N371" s="89" t="n"/>
      <c r="O371" s="88" t="n"/>
      <c r="P371" s="88" t="n"/>
      <c r="Q371" s="88" t="n"/>
      <c r="R371" s="89" t="n"/>
      <c r="S371" s="88" t="n"/>
      <c r="T371" s="88" t="n"/>
      <c r="U371" s="88" t="n"/>
      <c r="V371" s="89" t="n"/>
      <c r="W371" s="88" t="n"/>
      <c r="X371" s="89" t="n"/>
      <c r="Y371" s="88" t="n"/>
      <c r="Z371" s="89" t="n"/>
      <c r="AB371" s="30">
        <f>IF($B371="","",(COUNTIF(C371:E371,"?*")&lt;N(INDEX(Setup!$L$6:$L$23,14)))+(COUNTIF(G371:I371,"?*")&lt;N(INDEX(Setup!$L$6:$L$23,14)))+(COUNTIF(K371:M371,"?*")&lt;N(INDEX(Setup!$L$6:$L$23,14)))+(COUNTIF(O371:Q371,"?*")&lt;N(INDEX(Setup!$L$6:$L$23,14)))+(COUNTIF(S371:U371,"?*")&lt;N(INDEX(Setup!$L$6:$L$23,14)))+((W371="")*(INDEX(Setup!$M$6:$M$23,14)="Y"))+((Y371="")*(INDEX(Setup!$M$6:$M$23,14)="Y")))</f>
        <v/>
      </c>
      <c r="AC371" s="91">
        <f>IF($B371="","",IF(AB371=0,"✓ covered","⚠ "&amp;AB371&amp;IF(AB371=1," gap"," gaps")))</f>
        <v/>
      </c>
    </row>
    <row r="372" ht="17" customHeight="1">
      <c r="A372" t="n">
        <v>8</v>
      </c>
      <c r="B372" s="24">
        <f>IF(Setup!$K$20="","",Setup!$K$20)</f>
        <v/>
      </c>
      <c r="C372" s="88" t="n"/>
      <c r="D372" s="88" t="n"/>
      <c r="E372" s="88" t="n"/>
      <c r="F372" s="89" t="n"/>
      <c r="G372" s="88" t="n"/>
      <c r="H372" s="88" t="n"/>
      <c r="I372" s="88" t="n"/>
      <c r="J372" s="89" t="n"/>
      <c r="K372" s="88" t="n"/>
      <c r="L372" s="88" t="n"/>
      <c r="M372" s="88" t="n"/>
      <c r="N372" s="89" t="n"/>
      <c r="O372" s="88" t="n"/>
      <c r="P372" s="88" t="n"/>
      <c r="Q372" s="88" t="n"/>
      <c r="R372" s="89" t="n"/>
      <c r="S372" s="88" t="n"/>
      <c r="T372" s="88" t="n"/>
      <c r="U372" s="88" t="n"/>
      <c r="V372" s="89" t="n"/>
      <c r="W372" s="88" t="n"/>
      <c r="X372" s="89" t="n"/>
      <c r="Y372" s="88" t="n"/>
      <c r="Z372" s="89" t="n"/>
      <c r="AB372" s="25">
        <f>IF($B372="","",(COUNTIF(C372:E372,"?*")&lt;N(INDEX(Setup!$L$6:$L$23,15)))+(COUNTIF(G372:I372,"?*")&lt;N(INDEX(Setup!$L$6:$L$23,15)))+(COUNTIF(K372:M372,"?*")&lt;N(INDEX(Setup!$L$6:$L$23,15)))+(COUNTIF(O372:Q372,"?*")&lt;N(INDEX(Setup!$L$6:$L$23,15)))+(COUNTIF(S372:U372,"?*")&lt;N(INDEX(Setup!$L$6:$L$23,15)))+((W372="")*(INDEX(Setup!$M$6:$M$23,15)="Y"))+((Y372="")*(INDEX(Setup!$M$6:$M$23,15)="Y")))</f>
        <v/>
      </c>
      <c r="AC372" s="90">
        <f>IF($B372="","",IF(AB372=0,"✓ covered","⚠ "&amp;AB372&amp;IF(AB372=1," gap"," gaps")))</f>
        <v/>
      </c>
    </row>
    <row r="373" ht="17" customHeight="1">
      <c r="A373" t="n">
        <v>8</v>
      </c>
      <c r="B373" s="29">
        <f>IF(Setup!$K$21="","",Setup!$K$21)</f>
        <v/>
      </c>
      <c r="C373" s="88" t="n"/>
      <c r="D373" s="88" t="n"/>
      <c r="E373" s="88" t="n"/>
      <c r="F373" s="89" t="n"/>
      <c r="G373" s="88" t="n"/>
      <c r="H373" s="88" t="n"/>
      <c r="I373" s="88" t="n"/>
      <c r="J373" s="89" t="n"/>
      <c r="K373" s="88" t="n"/>
      <c r="L373" s="88" t="n"/>
      <c r="M373" s="88" t="n"/>
      <c r="N373" s="89" t="n"/>
      <c r="O373" s="88" t="n"/>
      <c r="P373" s="88" t="n"/>
      <c r="Q373" s="88" t="n"/>
      <c r="R373" s="89" t="n"/>
      <c r="S373" s="88" t="n"/>
      <c r="T373" s="88" t="n"/>
      <c r="U373" s="88" t="n"/>
      <c r="V373" s="89" t="n"/>
      <c r="W373" s="88" t="n"/>
      <c r="X373" s="89" t="n"/>
      <c r="Y373" s="88" t="n"/>
      <c r="Z373" s="89" t="n"/>
      <c r="AB373" s="30">
        <f>IF($B373="","",(COUNTIF(C373:E373,"?*")&lt;N(INDEX(Setup!$L$6:$L$23,16)))+(COUNTIF(G373:I373,"?*")&lt;N(INDEX(Setup!$L$6:$L$23,16)))+(COUNTIF(K373:M373,"?*")&lt;N(INDEX(Setup!$L$6:$L$23,16)))+(COUNTIF(O373:Q373,"?*")&lt;N(INDEX(Setup!$L$6:$L$23,16)))+(COUNTIF(S373:U373,"?*")&lt;N(INDEX(Setup!$L$6:$L$23,16)))+((W373="")*(INDEX(Setup!$M$6:$M$23,16)="Y"))+((Y373="")*(INDEX(Setup!$M$6:$M$23,16)="Y")))</f>
        <v/>
      </c>
      <c r="AC373" s="91">
        <f>IF($B373="","",IF(AB373=0,"✓ covered","⚠ "&amp;AB373&amp;IF(AB373=1," gap"," gaps")))</f>
        <v/>
      </c>
    </row>
    <row r="374" ht="17" customHeight="1">
      <c r="A374" t="n">
        <v>8</v>
      </c>
      <c r="B374" s="24">
        <f>IF(Setup!$K$22="","",Setup!$K$22)</f>
        <v/>
      </c>
      <c r="C374" s="88" t="n"/>
      <c r="D374" s="88" t="n"/>
      <c r="E374" s="88" t="n"/>
      <c r="F374" s="89" t="n"/>
      <c r="G374" s="88" t="n"/>
      <c r="H374" s="88" t="n"/>
      <c r="I374" s="88" t="n"/>
      <c r="J374" s="89" t="n"/>
      <c r="K374" s="88" t="n"/>
      <c r="L374" s="88" t="n"/>
      <c r="M374" s="88" t="n"/>
      <c r="N374" s="89" t="n"/>
      <c r="O374" s="88" t="n"/>
      <c r="P374" s="88" t="n"/>
      <c r="Q374" s="88" t="n"/>
      <c r="R374" s="89" t="n"/>
      <c r="S374" s="88" t="n"/>
      <c r="T374" s="88" t="n"/>
      <c r="U374" s="88" t="n"/>
      <c r="V374" s="89" t="n"/>
      <c r="W374" s="88" t="n"/>
      <c r="X374" s="89" t="n"/>
      <c r="Y374" s="88" t="n"/>
      <c r="Z374" s="89" t="n"/>
      <c r="AB374" s="25">
        <f>IF($B374="","",(COUNTIF(C374:E374,"?*")&lt;N(INDEX(Setup!$L$6:$L$23,17)))+(COUNTIF(G374:I374,"?*")&lt;N(INDEX(Setup!$L$6:$L$23,17)))+(COUNTIF(K374:M374,"?*")&lt;N(INDEX(Setup!$L$6:$L$23,17)))+(COUNTIF(O374:Q374,"?*")&lt;N(INDEX(Setup!$L$6:$L$23,17)))+(COUNTIF(S374:U374,"?*")&lt;N(INDEX(Setup!$L$6:$L$23,17)))+((W374="")*(INDEX(Setup!$M$6:$M$23,17)="Y"))+((Y374="")*(INDEX(Setup!$M$6:$M$23,17)="Y")))</f>
        <v/>
      </c>
      <c r="AC374" s="90">
        <f>IF($B374="","",IF(AB374=0,"✓ covered","⚠ "&amp;AB374&amp;IF(AB374=1," gap"," gaps")))</f>
        <v/>
      </c>
    </row>
    <row r="375" ht="17" customHeight="1">
      <c r="A375" t="n">
        <v>8</v>
      </c>
      <c r="B375" s="29">
        <f>IF(Setup!$K$23="","",Setup!$K$23)</f>
        <v/>
      </c>
      <c r="C375" s="88" t="n"/>
      <c r="D375" s="88" t="n"/>
      <c r="E375" s="88" t="n"/>
      <c r="F375" s="89" t="n"/>
      <c r="G375" s="88" t="n"/>
      <c r="H375" s="88" t="n"/>
      <c r="I375" s="88" t="n"/>
      <c r="J375" s="89" t="n"/>
      <c r="K375" s="88" t="n"/>
      <c r="L375" s="88" t="n"/>
      <c r="M375" s="88" t="n"/>
      <c r="N375" s="89" t="n"/>
      <c r="O375" s="88" t="n"/>
      <c r="P375" s="88" t="n"/>
      <c r="Q375" s="88" t="n"/>
      <c r="R375" s="89" t="n"/>
      <c r="S375" s="88" t="n"/>
      <c r="T375" s="88" t="n"/>
      <c r="U375" s="88" t="n"/>
      <c r="V375" s="89" t="n"/>
      <c r="W375" s="88" t="n"/>
      <c r="X375" s="89" t="n"/>
      <c r="Y375" s="88" t="n"/>
      <c r="Z375" s="89" t="n"/>
      <c r="AB375" s="30">
        <f>IF($B375="","",(COUNTIF(C375:E375,"?*")&lt;N(INDEX(Setup!$L$6:$L$23,18)))+(COUNTIF(G375:I375,"?*")&lt;N(INDEX(Setup!$L$6:$L$23,18)))+(COUNTIF(K375:M375,"?*")&lt;N(INDEX(Setup!$L$6:$L$23,18)))+(COUNTIF(O375:Q375,"?*")&lt;N(INDEX(Setup!$L$6:$L$23,18)))+(COUNTIF(S375:U375,"?*")&lt;N(INDEX(Setup!$L$6:$L$23,18)))+((W375="")*(INDEX(Setup!$M$6:$M$23,18)="Y"))+((Y375="")*(INDEX(Setup!$M$6:$M$23,18)="Y")))</f>
        <v/>
      </c>
      <c r="AC375" s="91">
        <f>IF($B375="","",IF(AB375=0,"✓ covered","⚠ "&amp;AB375&amp;IF(AB375=1," gap"," gaps")))</f>
        <v/>
      </c>
    </row>
    <row r="376" ht="18" customHeight="1">
      <c r="A376" t="n">
        <v>8</v>
      </c>
      <c r="B376" s="78" t="inlineStr">
        <is>
          <t>TEAM AVAILABILITY</t>
        </is>
      </c>
      <c r="C376" s="92" t="inlineStr">
        <is>
          <t>Mon</t>
        </is>
      </c>
      <c r="D376" s="93" t="n"/>
      <c r="E376" s="93" t="n"/>
      <c r="F376" s="94" t="n"/>
      <c r="G376" s="92" t="inlineStr">
        <is>
          <t>Tue</t>
        </is>
      </c>
      <c r="H376" s="93" t="n"/>
      <c r="I376" s="93" t="n"/>
      <c r="J376" s="94" t="n"/>
      <c r="K376" s="92" t="inlineStr">
        <is>
          <t>Wed</t>
        </is>
      </c>
      <c r="L376" s="93" t="n"/>
      <c r="M376" s="93" t="n"/>
      <c r="N376" s="94" t="n"/>
      <c r="O376" s="92" t="inlineStr">
        <is>
          <t>Thu</t>
        </is>
      </c>
      <c r="P376" s="93" t="n"/>
      <c r="Q376" s="93" t="n"/>
      <c r="R376" s="94" t="n"/>
      <c r="S376" s="92" t="inlineStr">
        <is>
          <t>Fri</t>
        </is>
      </c>
      <c r="T376" s="93" t="n"/>
      <c r="U376" s="93" t="n"/>
      <c r="V376" s="94" t="n"/>
      <c r="W376" s="95" t="inlineStr">
        <is>
          <t>Sat</t>
        </is>
      </c>
      <c r="X376" s="96" t="n"/>
      <c r="Y376" s="95" t="inlineStr">
        <is>
          <t>Sun</t>
        </is>
      </c>
      <c r="Z376" s="96" t="n"/>
      <c r="AB376" s="97" t="inlineStr">
        <is>
          <t>Days rostered</t>
        </is>
      </c>
      <c r="AC376" s="97" t="inlineStr">
        <is>
          <t>Conflicts</t>
        </is>
      </c>
    </row>
    <row r="377" ht="15" customHeight="1">
      <c r="A377" t="n">
        <v>8</v>
      </c>
      <c r="B377" s="35">
        <f>IF(Setup!$B$6="","",Setup!$B$6)</f>
        <v/>
      </c>
      <c r="C377" s="98" t="n"/>
      <c r="D377" s="99" t="n"/>
      <c r="E377" s="99" t="n"/>
      <c r="F377" s="100" t="n"/>
      <c r="G377" s="98" t="n"/>
      <c r="H377" s="99" t="n"/>
      <c r="I377" s="99" t="n"/>
      <c r="J377" s="100" t="n"/>
      <c r="K377" s="98" t="n"/>
      <c r="L377" s="99" t="n"/>
      <c r="M377" s="99" t="n"/>
      <c r="N377" s="100" t="n"/>
      <c r="O377" s="98" t="n"/>
      <c r="P377" s="99" t="n"/>
      <c r="Q377" s="99" t="n"/>
      <c r="R377" s="100" t="n"/>
      <c r="S377" s="98" t="n"/>
      <c r="T377" s="99" t="n"/>
      <c r="U377" s="99" t="n"/>
      <c r="V377" s="100" t="n"/>
      <c r="W377" s="98" t="n"/>
      <c r="X377" s="100" t="n"/>
      <c r="Y377" s="98" t="n"/>
      <c r="Z377" s="100" t="n"/>
      <c r="AB377" s="101">
        <f>IF($B377="","",(COUNTIF(C358:E375,$B377)+COUNTIF(C358:E375,$B377&amp;" ~*")&gt;0)+(COUNTIF(G358:I375,$B377)+COUNTIF(G358:I375,$B377&amp;" ~*")&gt;0)+(COUNTIF(K358:M375,$B377)+COUNTIF(K358:M375,$B377&amp;" ~*")&gt;0)+(COUNTIF(O358:Q375,$B377)+COUNTIF(O358:Q375,$B377&amp;" ~*")&gt;0)+(COUNTIF(S358:U375,$B377)+COUNTIF(S358:U375,$B377&amp;" ~*")&gt;0)+(COUNTIF(W358:W375,$B377)+COUNTIF(W358:W375,$B377&amp;" ~*")&gt;0)+(COUNTIF(Y358:Y375,$B377)+COUNTIF(Y358:Y375,$B377&amp;" ~*")&gt;0))</f>
        <v/>
      </c>
      <c r="AC377" s="36">
        <f>IF($B377="","",(IFERROR(INDEX(Setup!$G$33:$G$40,MATCH(C377,Setup!$B$33:$B$40,0)),0)=1)*(COUNTIF(C358:E375,$B377)+COUNTIF(C358:E375,$B377&amp;" ~*")&gt;0)+(IFERROR(INDEX(Setup!$G$33:$G$40,MATCH(G377,Setup!$B$33:$B$40,0)),0)=1)*(COUNTIF(G358:I375,$B377)+COUNTIF(G358:I375,$B377&amp;" ~*")&gt;0)+(IFERROR(INDEX(Setup!$G$33:$G$40,MATCH(K377,Setup!$B$33:$B$40,0)),0)=1)*(COUNTIF(K358:M375,$B377)+COUNTIF(K358:M375,$B377&amp;" ~*")&gt;0)+(IFERROR(INDEX(Setup!$G$33:$G$40,MATCH(O377,Setup!$B$33:$B$40,0)),0)=1)*(COUNTIF(O358:Q375,$B377)+COUNTIF(O358:Q375,$B377&amp;" ~*")&gt;0)+(IFERROR(INDEX(Setup!$G$33:$G$40,MATCH(S377,Setup!$B$33:$B$40,0)),0)=1)*(COUNTIF(S358:U375,$B377)+COUNTIF(S358:U375,$B377&amp;" ~*")&gt;0)+(IFERROR(INDEX(Setup!$G$33:$G$40,MATCH(W377,Setup!$B$33:$B$40,0)),0)=1)*(COUNTIF(W358:W375,$B377)+COUNTIF(W358:W375,$B377&amp;" ~*")&gt;0)+(IFERROR(INDEX(Setup!$G$33:$G$40,MATCH(Y377,Setup!$B$33:$B$40,0)),0)=1)*(COUNTIF(Y358:Y375,$B377)+COUNTIF(Y358:Y375,$B377&amp;" ~*")&gt;0))</f>
        <v/>
      </c>
    </row>
    <row r="378" ht="15" customHeight="1">
      <c r="A378" t="n">
        <v>8</v>
      </c>
      <c r="B378" s="37">
        <f>IF(Setup!$B$7="","",Setup!$B$7)</f>
        <v/>
      </c>
      <c r="C378" s="102" t="n"/>
      <c r="D378" s="103" t="n"/>
      <c r="E378" s="103" t="n"/>
      <c r="F378" s="104" t="n"/>
      <c r="G378" s="102" t="n"/>
      <c r="H378" s="103" t="n"/>
      <c r="I378" s="103" t="n"/>
      <c r="J378" s="104" t="n"/>
      <c r="K378" s="102" t="n"/>
      <c r="L378" s="103" t="n"/>
      <c r="M378" s="103" t="n"/>
      <c r="N378" s="104" t="n"/>
      <c r="O378" s="102" t="n"/>
      <c r="P378" s="103" t="n"/>
      <c r="Q378" s="103" t="n"/>
      <c r="R378" s="104" t="n"/>
      <c r="S378" s="102" t="n"/>
      <c r="T378" s="103" t="n"/>
      <c r="U378" s="103" t="n"/>
      <c r="V378" s="104" t="n"/>
      <c r="W378" s="102" t="n"/>
      <c r="X378" s="104" t="n"/>
      <c r="Y378" s="102" t="n"/>
      <c r="Z378" s="104" t="n"/>
      <c r="AB378" s="105">
        <f>IF($B378="","",(COUNTIF(C358:E375,$B378)+COUNTIF(C358:E375,$B378&amp;" ~*")&gt;0)+(COUNTIF(G358:I375,$B378)+COUNTIF(G358:I375,$B378&amp;" ~*")&gt;0)+(COUNTIF(K358:M375,$B378)+COUNTIF(K358:M375,$B378&amp;" ~*")&gt;0)+(COUNTIF(O358:Q375,$B378)+COUNTIF(O358:Q375,$B378&amp;" ~*")&gt;0)+(COUNTIF(S358:U375,$B378)+COUNTIF(S358:U375,$B378&amp;" ~*")&gt;0)+(COUNTIF(W358:W375,$B378)+COUNTIF(W358:W375,$B378&amp;" ~*")&gt;0)+(COUNTIF(Y358:Y375,$B378)+COUNTIF(Y358:Y375,$B378&amp;" ~*")&gt;0))</f>
        <v/>
      </c>
      <c r="AC378" s="38">
        <f>IF($B378="","",(IFERROR(INDEX(Setup!$G$33:$G$40,MATCH(C378,Setup!$B$33:$B$40,0)),0)=1)*(COUNTIF(C358:E375,$B378)+COUNTIF(C358:E375,$B378&amp;" ~*")&gt;0)+(IFERROR(INDEX(Setup!$G$33:$G$40,MATCH(G378,Setup!$B$33:$B$40,0)),0)=1)*(COUNTIF(G358:I375,$B378)+COUNTIF(G358:I375,$B378&amp;" ~*")&gt;0)+(IFERROR(INDEX(Setup!$G$33:$G$40,MATCH(K378,Setup!$B$33:$B$40,0)),0)=1)*(COUNTIF(K358:M375,$B378)+COUNTIF(K358:M375,$B378&amp;" ~*")&gt;0)+(IFERROR(INDEX(Setup!$G$33:$G$40,MATCH(O378,Setup!$B$33:$B$40,0)),0)=1)*(COUNTIF(O358:Q375,$B378)+COUNTIF(O358:Q375,$B378&amp;" ~*")&gt;0)+(IFERROR(INDEX(Setup!$G$33:$G$40,MATCH(S378,Setup!$B$33:$B$40,0)),0)=1)*(COUNTIF(S358:U375,$B378)+COUNTIF(S358:U375,$B378&amp;" ~*")&gt;0)+(IFERROR(INDEX(Setup!$G$33:$G$40,MATCH(W378,Setup!$B$33:$B$40,0)),0)=1)*(COUNTIF(W358:W375,$B378)+COUNTIF(W358:W375,$B378&amp;" ~*")&gt;0)+(IFERROR(INDEX(Setup!$G$33:$G$40,MATCH(Y378,Setup!$B$33:$B$40,0)),0)=1)*(COUNTIF(Y358:Y375,$B378)+COUNTIF(Y358:Y375,$B378&amp;" ~*")&gt;0))</f>
        <v/>
      </c>
    </row>
    <row r="379" ht="15" customHeight="1">
      <c r="A379" t="n">
        <v>8</v>
      </c>
      <c r="B379" s="35">
        <f>IF(Setup!$B$8="","",Setup!$B$8)</f>
        <v/>
      </c>
      <c r="C379" s="98" t="n"/>
      <c r="D379" s="99" t="n"/>
      <c r="E379" s="99" t="n"/>
      <c r="F379" s="100" t="n"/>
      <c r="G379" s="98" t="n"/>
      <c r="H379" s="99" t="n"/>
      <c r="I379" s="99" t="n"/>
      <c r="J379" s="100" t="n"/>
      <c r="K379" s="98" t="n"/>
      <c r="L379" s="99" t="n"/>
      <c r="M379" s="99" t="n"/>
      <c r="N379" s="100" t="n"/>
      <c r="O379" s="98" t="n"/>
      <c r="P379" s="99" t="n"/>
      <c r="Q379" s="99" t="n"/>
      <c r="R379" s="100" t="n"/>
      <c r="S379" s="98" t="n"/>
      <c r="T379" s="99" t="n"/>
      <c r="U379" s="99" t="n"/>
      <c r="V379" s="100" t="n"/>
      <c r="W379" s="98" t="n"/>
      <c r="X379" s="100" t="n"/>
      <c r="Y379" s="98" t="n"/>
      <c r="Z379" s="100" t="n"/>
      <c r="AB379" s="101">
        <f>IF($B379="","",(COUNTIF(C358:E375,$B379)+COUNTIF(C358:E375,$B379&amp;" ~*")&gt;0)+(COUNTIF(G358:I375,$B379)+COUNTIF(G358:I375,$B379&amp;" ~*")&gt;0)+(COUNTIF(K358:M375,$B379)+COUNTIF(K358:M375,$B379&amp;" ~*")&gt;0)+(COUNTIF(O358:Q375,$B379)+COUNTIF(O358:Q375,$B379&amp;" ~*")&gt;0)+(COUNTIF(S358:U375,$B379)+COUNTIF(S358:U375,$B379&amp;" ~*")&gt;0)+(COUNTIF(W358:W375,$B379)+COUNTIF(W358:W375,$B379&amp;" ~*")&gt;0)+(COUNTIF(Y358:Y375,$B379)+COUNTIF(Y358:Y375,$B379&amp;" ~*")&gt;0))</f>
        <v/>
      </c>
      <c r="AC379" s="36">
        <f>IF($B379="","",(IFERROR(INDEX(Setup!$G$33:$G$40,MATCH(C379,Setup!$B$33:$B$40,0)),0)=1)*(COUNTIF(C358:E375,$B379)+COUNTIF(C358:E375,$B379&amp;" ~*")&gt;0)+(IFERROR(INDEX(Setup!$G$33:$G$40,MATCH(G379,Setup!$B$33:$B$40,0)),0)=1)*(COUNTIF(G358:I375,$B379)+COUNTIF(G358:I375,$B379&amp;" ~*")&gt;0)+(IFERROR(INDEX(Setup!$G$33:$G$40,MATCH(K379,Setup!$B$33:$B$40,0)),0)=1)*(COUNTIF(K358:M375,$B379)+COUNTIF(K358:M375,$B379&amp;" ~*")&gt;0)+(IFERROR(INDEX(Setup!$G$33:$G$40,MATCH(O379,Setup!$B$33:$B$40,0)),0)=1)*(COUNTIF(O358:Q375,$B379)+COUNTIF(O358:Q375,$B379&amp;" ~*")&gt;0)+(IFERROR(INDEX(Setup!$G$33:$G$40,MATCH(S379,Setup!$B$33:$B$40,0)),0)=1)*(COUNTIF(S358:U375,$B379)+COUNTIF(S358:U375,$B379&amp;" ~*")&gt;0)+(IFERROR(INDEX(Setup!$G$33:$G$40,MATCH(W379,Setup!$B$33:$B$40,0)),0)=1)*(COUNTIF(W358:W375,$B379)+COUNTIF(W358:W375,$B379&amp;" ~*")&gt;0)+(IFERROR(INDEX(Setup!$G$33:$G$40,MATCH(Y379,Setup!$B$33:$B$40,0)),0)=1)*(COUNTIF(Y358:Y375,$B379)+COUNTIF(Y358:Y375,$B379&amp;" ~*")&gt;0))</f>
        <v/>
      </c>
    </row>
    <row r="380" ht="15" customHeight="1">
      <c r="A380" t="n">
        <v>8</v>
      </c>
      <c r="B380" s="37">
        <f>IF(Setup!$B$9="","",Setup!$B$9)</f>
        <v/>
      </c>
      <c r="C380" s="102" t="n"/>
      <c r="D380" s="103" t="n"/>
      <c r="E380" s="103" t="n"/>
      <c r="F380" s="104" t="n"/>
      <c r="G380" s="102" t="n"/>
      <c r="H380" s="103" t="n"/>
      <c r="I380" s="103" t="n"/>
      <c r="J380" s="104" t="n"/>
      <c r="K380" s="102" t="n"/>
      <c r="L380" s="103" t="n"/>
      <c r="M380" s="103" t="n"/>
      <c r="N380" s="104" t="n"/>
      <c r="O380" s="102" t="n"/>
      <c r="P380" s="103" t="n"/>
      <c r="Q380" s="103" t="n"/>
      <c r="R380" s="104" t="n"/>
      <c r="S380" s="102" t="n"/>
      <c r="T380" s="103" t="n"/>
      <c r="U380" s="103" t="n"/>
      <c r="V380" s="104" t="n"/>
      <c r="W380" s="102" t="n"/>
      <c r="X380" s="104" t="n"/>
      <c r="Y380" s="102" t="n"/>
      <c r="Z380" s="104" t="n"/>
      <c r="AB380" s="105">
        <f>IF($B380="","",(COUNTIF(C358:E375,$B380)+COUNTIF(C358:E375,$B380&amp;" ~*")&gt;0)+(COUNTIF(G358:I375,$B380)+COUNTIF(G358:I375,$B380&amp;" ~*")&gt;0)+(COUNTIF(K358:M375,$B380)+COUNTIF(K358:M375,$B380&amp;" ~*")&gt;0)+(COUNTIF(O358:Q375,$B380)+COUNTIF(O358:Q375,$B380&amp;" ~*")&gt;0)+(COUNTIF(S358:U375,$B380)+COUNTIF(S358:U375,$B380&amp;" ~*")&gt;0)+(COUNTIF(W358:W375,$B380)+COUNTIF(W358:W375,$B380&amp;" ~*")&gt;0)+(COUNTIF(Y358:Y375,$B380)+COUNTIF(Y358:Y375,$B380&amp;" ~*")&gt;0))</f>
        <v/>
      </c>
      <c r="AC380" s="38">
        <f>IF($B380="","",(IFERROR(INDEX(Setup!$G$33:$G$40,MATCH(C380,Setup!$B$33:$B$40,0)),0)=1)*(COUNTIF(C358:E375,$B380)+COUNTIF(C358:E375,$B380&amp;" ~*")&gt;0)+(IFERROR(INDEX(Setup!$G$33:$G$40,MATCH(G380,Setup!$B$33:$B$40,0)),0)=1)*(COUNTIF(G358:I375,$B380)+COUNTIF(G358:I375,$B380&amp;" ~*")&gt;0)+(IFERROR(INDEX(Setup!$G$33:$G$40,MATCH(K380,Setup!$B$33:$B$40,0)),0)=1)*(COUNTIF(K358:M375,$B380)+COUNTIF(K358:M375,$B380&amp;" ~*")&gt;0)+(IFERROR(INDEX(Setup!$G$33:$G$40,MATCH(O380,Setup!$B$33:$B$40,0)),0)=1)*(COUNTIF(O358:Q375,$B380)+COUNTIF(O358:Q375,$B380&amp;" ~*")&gt;0)+(IFERROR(INDEX(Setup!$G$33:$G$40,MATCH(S380,Setup!$B$33:$B$40,0)),0)=1)*(COUNTIF(S358:U375,$B380)+COUNTIF(S358:U375,$B380&amp;" ~*")&gt;0)+(IFERROR(INDEX(Setup!$G$33:$G$40,MATCH(W380,Setup!$B$33:$B$40,0)),0)=1)*(COUNTIF(W358:W375,$B380)+COUNTIF(W358:W375,$B380&amp;" ~*")&gt;0)+(IFERROR(INDEX(Setup!$G$33:$G$40,MATCH(Y380,Setup!$B$33:$B$40,0)),0)=1)*(COUNTIF(Y358:Y375,$B380)+COUNTIF(Y358:Y375,$B380&amp;" ~*")&gt;0))</f>
        <v/>
      </c>
    </row>
    <row r="381" ht="15" customHeight="1">
      <c r="A381" t="n">
        <v>8</v>
      </c>
      <c r="B381" s="35">
        <f>IF(Setup!$B$10="","",Setup!$B$10)</f>
        <v/>
      </c>
      <c r="C381" s="98" t="n"/>
      <c r="D381" s="99" t="n"/>
      <c r="E381" s="99" t="n"/>
      <c r="F381" s="100" t="n"/>
      <c r="G381" s="98" t="n"/>
      <c r="H381" s="99" t="n"/>
      <c r="I381" s="99" t="n"/>
      <c r="J381" s="100" t="n"/>
      <c r="K381" s="98" t="n"/>
      <c r="L381" s="99" t="n"/>
      <c r="M381" s="99" t="n"/>
      <c r="N381" s="100" t="n"/>
      <c r="O381" s="98" t="n"/>
      <c r="P381" s="99" t="n"/>
      <c r="Q381" s="99" t="n"/>
      <c r="R381" s="100" t="n"/>
      <c r="S381" s="98" t="n"/>
      <c r="T381" s="99" t="n"/>
      <c r="U381" s="99" t="n"/>
      <c r="V381" s="100" t="n"/>
      <c r="W381" s="98" t="n"/>
      <c r="X381" s="100" t="n"/>
      <c r="Y381" s="98" t="n"/>
      <c r="Z381" s="100" t="n"/>
      <c r="AB381" s="101">
        <f>IF($B381="","",(COUNTIF(C358:E375,$B381)+COUNTIF(C358:E375,$B381&amp;" ~*")&gt;0)+(COUNTIF(G358:I375,$B381)+COUNTIF(G358:I375,$B381&amp;" ~*")&gt;0)+(COUNTIF(K358:M375,$B381)+COUNTIF(K358:M375,$B381&amp;" ~*")&gt;0)+(COUNTIF(O358:Q375,$B381)+COUNTIF(O358:Q375,$B381&amp;" ~*")&gt;0)+(COUNTIF(S358:U375,$B381)+COUNTIF(S358:U375,$B381&amp;" ~*")&gt;0)+(COUNTIF(W358:W375,$B381)+COUNTIF(W358:W375,$B381&amp;" ~*")&gt;0)+(COUNTIF(Y358:Y375,$B381)+COUNTIF(Y358:Y375,$B381&amp;" ~*")&gt;0))</f>
        <v/>
      </c>
      <c r="AC381" s="36">
        <f>IF($B381="","",(IFERROR(INDEX(Setup!$G$33:$G$40,MATCH(C381,Setup!$B$33:$B$40,0)),0)=1)*(COUNTIF(C358:E375,$B381)+COUNTIF(C358:E375,$B381&amp;" ~*")&gt;0)+(IFERROR(INDEX(Setup!$G$33:$G$40,MATCH(G381,Setup!$B$33:$B$40,0)),0)=1)*(COUNTIF(G358:I375,$B381)+COUNTIF(G358:I375,$B381&amp;" ~*")&gt;0)+(IFERROR(INDEX(Setup!$G$33:$G$40,MATCH(K381,Setup!$B$33:$B$40,0)),0)=1)*(COUNTIF(K358:M375,$B381)+COUNTIF(K358:M375,$B381&amp;" ~*")&gt;0)+(IFERROR(INDEX(Setup!$G$33:$G$40,MATCH(O381,Setup!$B$33:$B$40,0)),0)=1)*(COUNTIF(O358:Q375,$B381)+COUNTIF(O358:Q375,$B381&amp;" ~*")&gt;0)+(IFERROR(INDEX(Setup!$G$33:$G$40,MATCH(S381,Setup!$B$33:$B$40,0)),0)=1)*(COUNTIF(S358:U375,$B381)+COUNTIF(S358:U375,$B381&amp;" ~*")&gt;0)+(IFERROR(INDEX(Setup!$G$33:$G$40,MATCH(W381,Setup!$B$33:$B$40,0)),0)=1)*(COUNTIF(W358:W375,$B381)+COUNTIF(W358:W375,$B381&amp;" ~*")&gt;0)+(IFERROR(INDEX(Setup!$G$33:$G$40,MATCH(Y381,Setup!$B$33:$B$40,0)),0)=1)*(COUNTIF(Y358:Y375,$B381)+COUNTIF(Y358:Y375,$B381&amp;" ~*")&gt;0))</f>
        <v/>
      </c>
    </row>
    <row r="382" ht="15" customHeight="1">
      <c r="A382" t="n">
        <v>8</v>
      </c>
      <c r="B382" s="37">
        <f>IF(Setup!$B$11="","",Setup!$B$11)</f>
        <v/>
      </c>
      <c r="C382" s="102" t="n"/>
      <c r="D382" s="103" t="n"/>
      <c r="E382" s="103" t="n"/>
      <c r="F382" s="104" t="n"/>
      <c r="G382" s="102" t="n"/>
      <c r="H382" s="103" t="n"/>
      <c r="I382" s="103" t="n"/>
      <c r="J382" s="104" t="n"/>
      <c r="K382" s="102" t="n"/>
      <c r="L382" s="103" t="n"/>
      <c r="M382" s="103" t="n"/>
      <c r="N382" s="104" t="n"/>
      <c r="O382" s="102" t="n"/>
      <c r="P382" s="103" t="n"/>
      <c r="Q382" s="103" t="n"/>
      <c r="R382" s="104" t="n"/>
      <c r="S382" s="102" t="n"/>
      <c r="T382" s="103" t="n"/>
      <c r="U382" s="103" t="n"/>
      <c r="V382" s="104" t="n"/>
      <c r="W382" s="102" t="n"/>
      <c r="X382" s="104" t="n"/>
      <c r="Y382" s="102" t="n"/>
      <c r="Z382" s="104" t="n"/>
      <c r="AB382" s="105">
        <f>IF($B382="","",(COUNTIF(C358:E375,$B382)+COUNTIF(C358:E375,$B382&amp;" ~*")&gt;0)+(COUNTIF(G358:I375,$B382)+COUNTIF(G358:I375,$B382&amp;" ~*")&gt;0)+(COUNTIF(K358:M375,$B382)+COUNTIF(K358:M375,$B382&amp;" ~*")&gt;0)+(COUNTIF(O358:Q375,$B382)+COUNTIF(O358:Q375,$B382&amp;" ~*")&gt;0)+(COUNTIF(S358:U375,$B382)+COUNTIF(S358:U375,$B382&amp;" ~*")&gt;0)+(COUNTIF(W358:W375,$B382)+COUNTIF(W358:W375,$B382&amp;" ~*")&gt;0)+(COUNTIF(Y358:Y375,$B382)+COUNTIF(Y358:Y375,$B382&amp;" ~*")&gt;0))</f>
        <v/>
      </c>
      <c r="AC382" s="38">
        <f>IF($B382="","",(IFERROR(INDEX(Setup!$G$33:$G$40,MATCH(C382,Setup!$B$33:$B$40,0)),0)=1)*(COUNTIF(C358:E375,$B382)+COUNTIF(C358:E375,$B382&amp;" ~*")&gt;0)+(IFERROR(INDEX(Setup!$G$33:$G$40,MATCH(G382,Setup!$B$33:$B$40,0)),0)=1)*(COUNTIF(G358:I375,$B382)+COUNTIF(G358:I375,$B382&amp;" ~*")&gt;0)+(IFERROR(INDEX(Setup!$G$33:$G$40,MATCH(K382,Setup!$B$33:$B$40,0)),0)=1)*(COUNTIF(K358:M375,$B382)+COUNTIF(K358:M375,$B382&amp;" ~*")&gt;0)+(IFERROR(INDEX(Setup!$G$33:$G$40,MATCH(O382,Setup!$B$33:$B$40,0)),0)=1)*(COUNTIF(O358:Q375,$B382)+COUNTIF(O358:Q375,$B382&amp;" ~*")&gt;0)+(IFERROR(INDEX(Setup!$G$33:$G$40,MATCH(S382,Setup!$B$33:$B$40,0)),0)=1)*(COUNTIF(S358:U375,$B382)+COUNTIF(S358:U375,$B382&amp;" ~*")&gt;0)+(IFERROR(INDEX(Setup!$G$33:$G$40,MATCH(W382,Setup!$B$33:$B$40,0)),0)=1)*(COUNTIF(W358:W375,$B382)+COUNTIF(W358:W375,$B382&amp;" ~*")&gt;0)+(IFERROR(INDEX(Setup!$G$33:$G$40,MATCH(Y382,Setup!$B$33:$B$40,0)),0)=1)*(COUNTIF(Y358:Y375,$B382)+COUNTIF(Y358:Y375,$B382&amp;" ~*")&gt;0))</f>
        <v/>
      </c>
    </row>
    <row r="383" ht="15" customHeight="1">
      <c r="A383" t="n">
        <v>8</v>
      </c>
      <c r="B383" s="35">
        <f>IF(Setup!$B$12="","",Setup!$B$12)</f>
        <v/>
      </c>
      <c r="C383" s="98" t="n"/>
      <c r="D383" s="99" t="n"/>
      <c r="E383" s="99" t="n"/>
      <c r="F383" s="100" t="n"/>
      <c r="G383" s="98" t="n"/>
      <c r="H383" s="99" t="n"/>
      <c r="I383" s="99" t="n"/>
      <c r="J383" s="100" t="n"/>
      <c r="K383" s="98" t="n"/>
      <c r="L383" s="99" t="n"/>
      <c r="M383" s="99" t="n"/>
      <c r="N383" s="100" t="n"/>
      <c r="O383" s="98" t="n"/>
      <c r="P383" s="99" t="n"/>
      <c r="Q383" s="99" t="n"/>
      <c r="R383" s="100" t="n"/>
      <c r="S383" s="98" t="n"/>
      <c r="T383" s="99" t="n"/>
      <c r="U383" s="99" t="n"/>
      <c r="V383" s="100" t="n"/>
      <c r="W383" s="98" t="n"/>
      <c r="X383" s="100" t="n"/>
      <c r="Y383" s="98" t="n"/>
      <c r="Z383" s="100" t="n"/>
      <c r="AB383" s="101">
        <f>IF($B383="","",(COUNTIF(C358:E375,$B383)+COUNTIF(C358:E375,$B383&amp;" ~*")&gt;0)+(COUNTIF(G358:I375,$B383)+COUNTIF(G358:I375,$B383&amp;" ~*")&gt;0)+(COUNTIF(K358:M375,$B383)+COUNTIF(K358:M375,$B383&amp;" ~*")&gt;0)+(COUNTIF(O358:Q375,$B383)+COUNTIF(O358:Q375,$B383&amp;" ~*")&gt;0)+(COUNTIF(S358:U375,$B383)+COUNTIF(S358:U375,$B383&amp;" ~*")&gt;0)+(COUNTIF(W358:W375,$B383)+COUNTIF(W358:W375,$B383&amp;" ~*")&gt;0)+(COUNTIF(Y358:Y375,$B383)+COUNTIF(Y358:Y375,$B383&amp;" ~*")&gt;0))</f>
        <v/>
      </c>
      <c r="AC383" s="36">
        <f>IF($B383="","",(IFERROR(INDEX(Setup!$G$33:$G$40,MATCH(C383,Setup!$B$33:$B$40,0)),0)=1)*(COUNTIF(C358:E375,$B383)+COUNTIF(C358:E375,$B383&amp;" ~*")&gt;0)+(IFERROR(INDEX(Setup!$G$33:$G$40,MATCH(G383,Setup!$B$33:$B$40,0)),0)=1)*(COUNTIF(G358:I375,$B383)+COUNTIF(G358:I375,$B383&amp;" ~*")&gt;0)+(IFERROR(INDEX(Setup!$G$33:$G$40,MATCH(K383,Setup!$B$33:$B$40,0)),0)=1)*(COUNTIF(K358:M375,$B383)+COUNTIF(K358:M375,$B383&amp;" ~*")&gt;0)+(IFERROR(INDEX(Setup!$G$33:$G$40,MATCH(O383,Setup!$B$33:$B$40,0)),0)=1)*(COUNTIF(O358:Q375,$B383)+COUNTIF(O358:Q375,$B383&amp;" ~*")&gt;0)+(IFERROR(INDEX(Setup!$G$33:$G$40,MATCH(S383,Setup!$B$33:$B$40,0)),0)=1)*(COUNTIF(S358:U375,$B383)+COUNTIF(S358:U375,$B383&amp;" ~*")&gt;0)+(IFERROR(INDEX(Setup!$G$33:$G$40,MATCH(W383,Setup!$B$33:$B$40,0)),0)=1)*(COUNTIF(W358:W375,$B383)+COUNTIF(W358:W375,$B383&amp;" ~*")&gt;0)+(IFERROR(INDEX(Setup!$G$33:$G$40,MATCH(Y383,Setup!$B$33:$B$40,0)),0)=1)*(COUNTIF(Y358:Y375,$B383)+COUNTIF(Y358:Y375,$B383&amp;" ~*")&gt;0))</f>
        <v/>
      </c>
    </row>
    <row r="384" ht="15" customHeight="1">
      <c r="A384" t="n">
        <v>8</v>
      </c>
      <c r="B384" s="37">
        <f>IF(Setup!$B$13="","",Setup!$B$13)</f>
        <v/>
      </c>
      <c r="C384" s="102" t="n"/>
      <c r="D384" s="103" t="n"/>
      <c r="E384" s="103" t="n"/>
      <c r="F384" s="104" t="n"/>
      <c r="G384" s="102" t="n"/>
      <c r="H384" s="103" t="n"/>
      <c r="I384" s="103" t="n"/>
      <c r="J384" s="104" t="n"/>
      <c r="K384" s="102" t="n"/>
      <c r="L384" s="103" t="n"/>
      <c r="M384" s="103" t="n"/>
      <c r="N384" s="104" t="n"/>
      <c r="O384" s="102" t="n"/>
      <c r="P384" s="103" t="n"/>
      <c r="Q384" s="103" t="n"/>
      <c r="R384" s="104" t="n"/>
      <c r="S384" s="102" t="n"/>
      <c r="T384" s="103" t="n"/>
      <c r="U384" s="103" t="n"/>
      <c r="V384" s="104" t="n"/>
      <c r="W384" s="102" t="n"/>
      <c r="X384" s="104" t="n"/>
      <c r="Y384" s="102" t="n"/>
      <c r="Z384" s="104" t="n"/>
      <c r="AB384" s="105">
        <f>IF($B384="","",(COUNTIF(C358:E375,$B384)+COUNTIF(C358:E375,$B384&amp;" ~*")&gt;0)+(COUNTIF(G358:I375,$B384)+COUNTIF(G358:I375,$B384&amp;" ~*")&gt;0)+(COUNTIF(K358:M375,$B384)+COUNTIF(K358:M375,$B384&amp;" ~*")&gt;0)+(COUNTIF(O358:Q375,$B384)+COUNTIF(O358:Q375,$B384&amp;" ~*")&gt;0)+(COUNTIF(S358:U375,$B384)+COUNTIF(S358:U375,$B384&amp;" ~*")&gt;0)+(COUNTIF(W358:W375,$B384)+COUNTIF(W358:W375,$B384&amp;" ~*")&gt;0)+(COUNTIF(Y358:Y375,$B384)+COUNTIF(Y358:Y375,$B384&amp;" ~*")&gt;0))</f>
        <v/>
      </c>
      <c r="AC384" s="38">
        <f>IF($B384="","",(IFERROR(INDEX(Setup!$G$33:$G$40,MATCH(C384,Setup!$B$33:$B$40,0)),0)=1)*(COUNTIF(C358:E375,$B384)+COUNTIF(C358:E375,$B384&amp;" ~*")&gt;0)+(IFERROR(INDEX(Setup!$G$33:$G$40,MATCH(G384,Setup!$B$33:$B$40,0)),0)=1)*(COUNTIF(G358:I375,$B384)+COUNTIF(G358:I375,$B384&amp;" ~*")&gt;0)+(IFERROR(INDEX(Setup!$G$33:$G$40,MATCH(K384,Setup!$B$33:$B$40,0)),0)=1)*(COUNTIF(K358:M375,$B384)+COUNTIF(K358:M375,$B384&amp;" ~*")&gt;0)+(IFERROR(INDEX(Setup!$G$33:$G$40,MATCH(O384,Setup!$B$33:$B$40,0)),0)=1)*(COUNTIF(O358:Q375,$B384)+COUNTIF(O358:Q375,$B384&amp;" ~*")&gt;0)+(IFERROR(INDEX(Setup!$G$33:$G$40,MATCH(S384,Setup!$B$33:$B$40,0)),0)=1)*(COUNTIF(S358:U375,$B384)+COUNTIF(S358:U375,$B384&amp;" ~*")&gt;0)+(IFERROR(INDEX(Setup!$G$33:$G$40,MATCH(W384,Setup!$B$33:$B$40,0)),0)=1)*(COUNTIF(W358:W375,$B384)+COUNTIF(W358:W375,$B384&amp;" ~*")&gt;0)+(IFERROR(INDEX(Setup!$G$33:$G$40,MATCH(Y384,Setup!$B$33:$B$40,0)),0)=1)*(COUNTIF(Y358:Y375,$B384)+COUNTIF(Y358:Y375,$B384&amp;" ~*")&gt;0))</f>
        <v/>
      </c>
    </row>
    <row r="385" ht="15" customHeight="1">
      <c r="A385" t="n">
        <v>8</v>
      </c>
      <c r="B385" s="35">
        <f>IF(Setup!$B$14="","",Setup!$B$14)</f>
        <v/>
      </c>
      <c r="C385" s="98" t="n"/>
      <c r="D385" s="99" t="n"/>
      <c r="E385" s="99" t="n"/>
      <c r="F385" s="100" t="n"/>
      <c r="G385" s="98" t="n"/>
      <c r="H385" s="99" t="n"/>
      <c r="I385" s="99" t="n"/>
      <c r="J385" s="100" t="n"/>
      <c r="K385" s="98" t="n"/>
      <c r="L385" s="99" t="n"/>
      <c r="M385" s="99" t="n"/>
      <c r="N385" s="100" t="n"/>
      <c r="O385" s="98" t="n"/>
      <c r="P385" s="99" t="n"/>
      <c r="Q385" s="99" t="n"/>
      <c r="R385" s="100" t="n"/>
      <c r="S385" s="98" t="n"/>
      <c r="T385" s="99" t="n"/>
      <c r="U385" s="99" t="n"/>
      <c r="V385" s="100" t="n"/>
      <c r="W385" s="98" t="n"/>
      <c r="X385" s="100" t="n"/>
      <c r="Y385" s="98" t="n"/>
      <c r="Z385" s="100" t="n"/>
      <c r="AB385" s="101">
        <f>IF($B385="","",(COUNTIF(C358:E375,$B385)+COUNTIF(C358:E375,$B385&amp;" ~*")&gt;0)+(COUNTIF(G358:I375,$B385)+COUNTIF(G358:I375,$B385&amp;" ~*")&gt;0)+(COUNTIF(K358:M375,$B385)+COUNTIF(K358:M375,$B385&amp;" ~*")&gt;0)+(COUNTIF(O358:Q375,$B385)+COUNTIF(O358:Q375,$B385&amp;" ~*")&gt;0)+(COUNTIF(S358:U375,$B385)+COUNTIF(S358:U375,$B385&amp;" ~*")&gt;0)+(COUNTIF(W358:W375,$B385)+COUNTIF(W358:W375,$B385&amp;" ~*")&gt;0)+(COUNTIF(Y358:Y375,$B385)+COUNTIF(Y358:Y375,$B385&amp;" ~*")&gt;0))</f>
        <v/>
      </c>
      <c r="AC385" s="36">
        <f>IF($B385="","",(IFERROR(INDEX(Setup!$G$33:$G$40,MATCH(C385,Setup!$B$33:$B$40,0)),0)=1)*(COUNTIF(C358:E375,$B385)+COUNTIF(C358:E375,$B385&amp;" ~*")&gt;0)+(IFERROR(INDEX(Setup!$G$33:$G$40,MATCH(G385,Setup!$B$33:$B$40,0)),0)=1)*(COUNTIF(G358:I375,$B385)+COUNTIF(G358:I375,$B385&amp;" ~*")&gt;0)+(IFERROR(INDEX(Setup!$G$33:$G$40,MATCH(K385,Setup!$B$33:$B$40,0)),0)=1)*(COUNTIF(K358:M375,$B385)+COUNTIF(K358:M375,$B385&amp;" ~*")&gt;0)+(IFERROR(INDEX(Setup!$G$33:$G$40,MATCH(O385,Setup!$B$33:$B$40,0)),0)=1)*(COUNTIF(O358:Q375,$B385)+COUNTIF(O358:Q375,$B385&amp;" ~*")&gt;0)+(IFERROR(INDEX(Setup!$G$33:$G$40,MATCH(S385,Setup!$B$33:$B$40,0)),0)=1)*(COUNTIF(S358:U375,$B385)+COUNTIF(S358:U375,$B385&amp;" ~*")&gt;0)+(IFERROR(INDEX(Setup!$G$33:$G$40,MATCH(W385,Setup!$B$33:$B$40,0)),0)=1)*(COUNTIF(W358:W375,$B385)+COUNTIF(W358:W375,$B385&amp;" ~*")&gt;0)+(IFERROR(INDEX(Setup!$G$33:$G$40,MATCH(Y385,Setup!$B$33:$B$40,0)),0)=1)*(COUNTIF(Y358:Y375,$B385)+COUNTIF(Y358:Y375,$B385&amp;" ~*")&gt;0))</f>
        <v/>
      </c>
    </row>
    <row r="386" ht="15" customHeight="1">
      <c r="A386" t="n">
        <v>8</v>
      </c>
      <c r="B386" s="37">
        <f>IF(Setup!$B$15="","",Setup!$B$15)</f>
        <v/>
      </c>
      <c r="C386" s="102" t="n"/>
      <c r="D386" s="103" t="n"/>
      <c r="E386" s="103" t="n"/>
      <c r="F386" s="104" t="n"/>
      <c r="G386" s="102" t="n"/>
      <c r="H386" s="103" t="n"/>
      <c r="I386" s="103" t="n"/>
      <c r="J386" s="104" t="n"/>
      <c r="K386" s="102" t="n"/>
      <c r="L386" s="103" t="n"/>
      <c r="M386" s="103" t="n"/>
      <c r="N386" s="104" t="n"/>
      <c r="O386" s="102" t="n"/>
      <c r="P386" s="103" t="n"/>
      <c r="Q386" s="103" t="n"/>
      <c r="R386" s="104" t="n"/>
      <c r="S386" s="102" t="n"/>
      <c r="T386" s="103" t="n"/>
      <c r="U386" s="103" t="n"/>
      <c r="V386" s="104" t="n"/>
      <c r="W386" s="102" t="n"/>
      <c r="X386" s="104" t="n"/>
      <c r="Y386" s="102" t="n"/>
      <c r="Z386" s="104" t="n"/>
      <c r="AB386" s="105">
        <f>IF($B386="","",(COUNTIF(C358:E375,$B386)+COUNTIF(C358:E375,$B386&amp;" ~*")&gt;0)+(COUNTIF(G358:I375,$B386)+COUNTIF(G358:I375,$B386&amp;" ~*")&gt;0)+(COUNTIF(K358:M375,$B386)+COUNTIF(K358:M375,$B386&amp;" ~*")&gt;0)+(COUNTIF(O358:Q375,$B386)+COUNTIF(O358:Q375,$B386&amp;" ~*")&gt;0)+(COUNTIF(S358:U375,$B386)+COUNTIF(S358:U375,$B386&amp;" ~*")&gt;0)+(COUNTIF(W358:W375,$B386)+COUNTIF(W358:W375,$B386&amp;" ~*")&gt;0)+(COUNTIF(Y358:Y375,$B386)+COUNTIF(Y358:Y375,$B386&amp;" ~*")&gt;0))</f>
        <v/>
      </c>
      <c r="AC386" s="38">
        <f>IF($B386="","",(IFERROR(INDEX(Setup!$G$33:$G$40,MATCH(C386,Setup!$B$33:$B$40,0)),0)=1)*(COUNTIF(C358:E375,$B386)+COUNTIF(C358:E375,$B386&amp;" ~*")&gt;0)+(IFERROR(INDEX(Setup!$G$33:$G$40,MATCH(G386,Setup!$B$33:$B$40,0)),0)=1)*(COUNTIF(G358:I375,$B386)+COUNTIF(G358:I375,$B386&amp;" ~*")&gt;0)+(IFERROR(INDEX(Setup!$G$33:$G$40,MATCH(K386,Setup!$B$33:$B$40,0)),0)=1)*(COUNTIF(K358:M375,$B386)+COUNTIF(K358:M375,$B386&amp;" ~*")&gt;0)+(IFERROR(INDEX(Setup!$G$33:$G$40,MATCH(O386,Setup!$B$33:$B$40,0)),0)=1)*(COUNTIF(O358:Q375,$B386)+COUNTIF(O358:Q375,$B386&amp;" ~*")&gt;0)+(IFERROR(INDEX(Setup!$G$33:$G$40,MATCH(S386,Setup!$B$33:$B$40,0)),0)=1)*(COUNTIF(S358:U375,$B386)+COUNTIF(S358:U375,$B386&amp;" ~*")&gt;0)+(IFERROR(INDEX(Setup!$G$33:$G$40,MATCH(W386,Setup!$B$33:$B$40,0)),0)=1)*(COUNTIF(W358:W375,$B386)+COUNTIF(W358:W375,$B386&amp;" ~*")&gt;0)+(IFERROR(INDEX(Setup!$G$33:$G$40,MATCH(Y386,Setup!$B$33:$B$40,0)),0)=1)*(COUNTIF(Y358:Y375,$B386)+COUNTIF(Y358:Y375,$B386&amp;" ~*")&gt;0))</f>
        <v/>
      </c>
    </row>
    <row r="387" ht="15" customHeight="1">
      <c r="A387" t="n">
        <v>8</v>
      </c>
      <c r="B387" s="35">
        <f>IF(Setup!$B$16="","",Setup!$B$16)</f>
        <v/>
      </c>
      <c r="C387" s="98" t="n"/>
      <c r="D387" s="99" t="n"/>
      <c r="E387" s="99" t="n"/>
      <c r="F387" s="100" t="n"/>
      <c r="G387" s="98" t="n"/>
      <c r="H387" s="99" t="n"/>
      <c r="I387" s="99" t="n"/>
      <c r="J387" s="100" t="n"/>
      <c r="K387" s="98" t="n"/>
      <c r="L387" s="99" t="n"/>
      <c r="M387" s="99" t="n"/>
      <c r="N387" s="100" t="n"/>
      <c r="O387" s="98" t="n"/>
      <c r="P387" s="99" t="n"/>
      <c r="Q387" s="99" t="n"/>
      <c r="R387" s="100" t="n"/>
      <c r="S387" s="98" t="n"/>
      <c r="T387" s="99" t="n"/>
      <c r="U387" s="99" t="n"/>
      <c r="V387" s="100" t="n"/>
      <c r="W387" s="98" t="n"/>
      <c r="X387" s="100" t="n"/>
      <c r="Y387" s="98" t="n"/>
      <c r="Z387" s="100" t="n"/>
      <c r="AB387" s="101">
        <f>IF($B387="","",(COUNTIF(C358:E375,$B387)+COUNTIF(C358:E375,$B387&amp;" ~*")&gt;0)+(COUNTIF(G358:I375,$B387)+COUNTIF(G358:I375,$B387&amp;" ~*")&gt;0)+(COUNTIF(K358:M375,$B387)+COUNTIF(K358:M375,$B387&amp;" ~*")&gt;0)+(COUNTIF(O358:Q375,$B387)+COUNTIF(O358:Q375,$B387&amp;" ~*")&gt;0)+(COUNTIF(S358:U375,$B387)+COUNTIF(S358:U375,$B387&amp;" ~*")&gt;0)+(COUNTIF(W358:W375,$B387)+COUNTIF(W358:W375,$B387&amp;" ~*")&gt;0)+(COUNTIF(Y358:Y375,$B387)+COUNTIF(Y358:Y375,$B387&amp;" ~*")&gt;0))</f>
        <v/>
      </c>
      <c r="AC387" s="36">
        <f>IF($B387="","",(IFERROR(INDEX(Setup!$G$33:$G$40,MATCH(C387,Setup!$B$33:$B$40,0)),0)=1)*(COUNTIF(C358:E375,$B387)+COUNTIF(C358:E375,$B387&amp;" ~*")&gt;0)+(IFERROR(INDEX(Setup!$G$33:$G$40,MATCH(G387,Setup!$B$33:$B$40,0)),0)=1)*(COUNTIF(G358:I375,$B387)+COUNTIF(G358:I375,$B387&amp;" ~*")&gt;0)+(IFERROR(INDEX(Setup!$G$33:$G$40,MATCH(K387,Setup!$B$33:$B$40,0)),0)=1)*(COUNTIF(K358:M375,$B387)+COUNTIF(K358:M375,$B387&amp;" ~*")&gt;0)+(IFERROR(INDEX(Setup!$G$33:$G$40,MATCH(O387,Setup!$B$33:$B$40,0)),0)=1)*(COUNTIF(O358:Q375,$B387)+COUNTIF(O358:Q375,$B387&amp;" ~*")&gt;0)+(IFERROR(INDEX(Setup!$G$33:$G$40,MATCH(S387,Setup!$B$33:$B$40,0)),0)=1)*(COUNTIF(S358:U375,$B387)+COUNTIF(S358:U375,$B387&amp;" ~*")&gt;0)+(IFERROR(INDEX(Setup!$G$33:$G$40,MATCH(W387,Setup!$B$33:$B$40,0)),0)=1)*(COUNTIF(W358:W375,$B387)+COUNTIF(W358:W375,$B387&amp;" ~*")&gt;0)+(IFERROR(INDEX(Setup!$G$33:$G$40,MATCH(Y387,Setup!$B$33:$B$40,0)),0)=1)*(COUNTIF(Y358:Y375,$B387)+COUNTIF(Y358:Y375,$B387&amp;" ~*")&gt;0))</f>
        <v/>
      </c>
    </row>
    <row r="388" ht="15" customHeight="1">
      <c r="A388" t="n">
        <v>8</v>
      </c>
      <c r="B388" s="37">
        <f>IF(Setup!$B$17="","",Setup!$B$17)</f>
        <v/>
      </c>
      <c r="C388" s="102" t="n"/>
      <c r="D388" s="103" t="n"/>
      <c r="E388" s="103" t="n"/>
      <c r="F388" s="104" t="n"/>
      <c r="G388" s="102" t="n"/>
      <c r="H388" s="103" t="n"/>
      <c r="I388" s="103" t="n"/>
      <c r="J388" s="104" t="n"/>
      <c r="K388" s="102" t="n"/>
      <c r="L388" s="103" t="n"/>
      <c r="M388" s="103" t="n"/>
      <c r="N388" s="104" t="n"/>
      <c r="O388" s="102" t="n"/>
      <c r="P388" s="103" t="n"/>
      <c r="Q388" s="103" t="n"/>
      <c r="R388" s="104" t="n"/>
      <c r="S388" s="102" t="n"/>
      <c r="T388" s="103" t="n"/>
      <c r="U388" s="103" t="n"/>
      <c r="V388" s="104" t="n"/>
      <c r="W388" s="102" t="n"/>
      <c r="X388" s="104" t="n"/>
      <c r="Y388" s="102" t="n"/>
      <c r="Z388" s="104" t="n"/>
      <c r="AB388" s="105">
        <f>IF($B388="","",(COUNTIF(C358:E375,$B388)+COUNTIF(C358:E375,$B388&amp;" ~*")&gt;0)+(COUNTIF(G358:I375,$B388)+COUNTIF(G358:I375,$B388&amp;" ~*")&gt;0)+(COUNTIF(K358:M375,$B388)+COUNTIF(K358:M375,$B388&amp;" ~*")&gt;0)+(COUNTIF(O358:Q375,$B388)+COUNTIF(O358:Q375,$B388&amp;" ~*")&gt;0)+(COUNTIF(S358:U375,$B388)+COUNTIF(S358:U375,$B388&amp;" ~*")&gt;0)+(COUNTIF(W358:W375,$B388)+COUNTIF(W358:W375,$B388&amp;" ~*")&gt;0)+(COUNTIF(Y358:Y375,$B388)+COUNTIF(Y358:Y375,$B388&amp;" ~*")&gt;0))</f>
        <v/>
      </c>
      <c r="AC388" s="38">
        <f>IF($B388="","",(IFERROR(INDEX(Setup!$G$33:$G$40,MATCH(C388,Setup!$B$33:$B$40,0)),0)=1)*(COUNTIF(C358:E375,$B388)+COUNTIF(C358:E375,$B388&amp;" ~*")&gt;0)+(IFERROR(INDEX(Setup!$G$33:$G$40,MATCH(G388,Setup!$B$33:$B$40,0)),0)=1)*(COUNTIF(G358:I375,$B388)+COUNTIF(G358:I375,$B388&amp;" ~*")&gt;0)+(IFERROR(INDEX(Setup!$G$33:$G$40,MATCH(K388,Setup!$B$33:$B$40,0)),0)=1)*(COUNTIF(K358:M375,$B388)+COUNTIF(K358:M375,$B388&amp;" ~*")&gt;0)+(IFERROR(INDEX(Setup!$G$33:$G$40,MATCH(O388,Setup!$B$33:$B$40,0)),0)=1)*(COUNTIF(O358:Q375,$B388)+COUNTIF(O358:Q375,$B388&amp;" ~*")&gt;0)+(IFERROR(INDEX(Setup!$G$33:$G$40,MATCH(S388,Setup!$B$33:$B$40,0)),0)=1)*(COUNTIF(S358:U375,$B388)+COUNTIF(S358:U375,$B388&amp;" ~*")&gt;0)+(IFERROR(INDEX(Setup!$G$33:$G$40,MATCH(W388,Setup!$B$33:$B$40,0)),0)=1)*(COUNTIF(W358:W375,$B388)+COUNTIF(W358:W375,$B388&amp;" ~*")&gt;0)+(IFERROR(INDEX(Setup!$G$33:$G$40,MATCH(Y388,Setup!$B$33:$B$40,0)),0)=1)*(COUNTIF(Y358:Y375,$B388)+COUNTIF(Y358:Y375,$B388&amp;" ~*")&gt;0))</f>
        <v/>
      </c>
    </row>
    <row r="389" ht="15" customHeight="1">
      <c r="A389" t="n">
        <v>8</v>
      </c>
      <c r="B389" s="35">
        <f>IF(Setup!$B$18="","",Setup!$B$18)</f>
        <v/>
      </c>
      <c r="C389" s="98" t="n"/>
      <c r="D389" s="99" t="n"/>
      <c r="E389" s="99" t="n"/>
      <c r="F389" s="100" t="n"/>
      <c r="G389" s="98" t="n"/>
      <c r="H389" s="99" t="n"/>
      <c r="I389" s="99" t="n"/>
      <c r="J389" s="100" t="n"/>
      <c r="K389" s="98" t="n"/>
      <c r="L389" s="99" t="n"/>
      <c r="M389" s="99" t="n"/>
      <c r="N389" s="100" t="n"/>
      <c r="O389" s="98" t="n"/>
      <c r="P389" s="99" t="n"/>
      <c r="Q389" s="99" t="n"/>
      <c r="R389" s="100" t="n"/>
      <c r="S389" s="98" t="n"/>
      <c r="T389" s="99" t="n"/>
      <c r="U389" s="99" t="n"/>
      <c r="V389" s="100" t="n"/>
      <c r="W389" s="98" t="n"/>
      <c r="X389" s="100" t="n"/>
      <c r="Y389" s="98" t="n"/>
      <c r="Z389" s="100" t="n"/>
      <c r="AB389" s="101">
        <f>IF($B389="","",(COUNTIF(C358:E375,$B389)+COUNTIF(C358:E375,$B389&amp;" ~*")&gt;0)+(COUNTIF(G358:I375,$B389)+COUNTIF(G358:I375,$B389&amp;" ~*")&gt;0)+(COUNTIF(K358:M375,$B389)+COUNTIF(K358:M375,$B389&amp;" ~*")&gt;0)+(COUNTIF(O358:Q375,$B389)+COUNTIF(O358:Q375,$B389&amp;" ~*")&gt;0)+(COUNTIF(S358:U375,$B389)+COUNTIF(S358:U375,$B389&amp;" ~*")&gt;0)+(COUNTIF(W358:W375,$B389)+COUNTIF(W358:W375,$B389&amp;" ~*")&gt;0)+(COUNTIF(Y358:Y375,$B389)+COUNTIF(Y358:Y375,$B389&amp;" ~*")&gt;0))</f>
        <v/>
      </c>
      <c r="AC389" s="36">
        <f>IF($B389="","",(IFERROR(INDEX(Setup!$G$33:$G$40,MATCH(C389,Setup!$B$33:$B$40,0)),0)=1)*(COUNTIF(C358:E375,$B389)+COUNTIF(C358:E375,$B389&amp;" ~*")&gt;0)+(IFERROR(INDEX(Setup!$G$33:$G$40,MATCH(G389,Setup!$B$33:$B$40,0)),0)=1)*(COUNTIF(G358:I375,$B389)+COUNTIF(G358:I375,$B389&amp;" ~*")&gt;0)+(IFERROR(INDEX(Setup!$G$33:$G$40,MATCH(K389,Setup!$B$33:$B$40,0)),0)=1)*(COUNTIF(K358:M375,$B389)+COUNTIF(K358:M375,$B389&amp;" ~*")&gt;0)+(IFERROR(INDEX(Setup!$G$33:$G$40,MATCH(O389,Setup!$B$33:$B$40,0)),0)=1)*(COUNTIF(O358:Q375,$B389)+COUNTIF(O358:Q375,$B389&amp;" ~*")&gt;0)+(IFERROR(INDEX(Setup!$G$33:$G$40,MATCH(S389,Setup!$B$33:$B$40,0)),0)=1)*(COUNTIF(S358:U375,$B389)+COUNTIF(S358:U375,$B389&amp;" ~*")&gt;0)+(IFERROR(INDEX(Setup!$G$33:$G$40,MATCH(W389,Setup!$B$33:$B$40,0)),0)=1)*(COUNTIF(W358:W375,$B389)+COUNTIF(W358:W375,$B389&amp;" ~*")&gt;0)+(IFERROR(INDEX(Setup!$G$33:$G$40,MATCH(Y389,Setup!$B$33:$B$40,0)),0)=1)*(COUNTIF(Y358:Y375,$B389)+COUNTIF(Y358:Y375,$B389&amp;" ~*")&gt;0))</f>
        <v/>
      </c>
    </row>
    <row r="390" ht="15" customHeight="1">
      <c r="A390" t="n">
        <v>8</v>
      </c>
      <c r="B390" s="37">
        <f>IF(Setup!$B$19="","",Setup!$B$19)</f>
        <v/>
      </c>
      <c r="C390" s="102" t="n"/>
      <c r="D390" s="103" t="n"/>
      <c r="E390" s="103" t="n"/>
      <c r="F390" s="104" t="n"/>
      <c r="G390" s="102" t="n"/>
      <c r="H390" s="103" t="n"/>
      <c r="I390" s="103" t="n"/>
      <c r="J390" s="104" t="n"/>
      <c r="K390" s="102" t="n"/>
      <c r="L390" s="103" t="n"/>
      <c r="M390" s="103" t="n"/>
      <c r="N390" s="104" t="n"/>
      <c r="O390" s="102" t="n"/>
      <c r="P390" s="103" t="n"/>
      <c r="Q390" s="103" t="n"/>
      <c r="R390" s="104" t="n"/>
      <c r="S390" s="102" t="n"/>
      <c r="T390" s="103" t="n"/>
      <c r="U390" s="103" t="n"/>
      <c r="V390" s="104" t="n"/>
      <c r="W390" s="102" t="n"/>
      <c r="X390" s="104" t="n"/>
      <c r="Y390" s="102" t="n"/>
      <c r="Z390" s="104" t="n"/>
      <c r="AB390" s="105">
        <f>IF($B390="","",(COUNTIF(C358:E375,$B390)+COUNTIF(C358:E375,$B390&amp;" ~*")&gt;0)+(COUNTIF(G358:I375,$B390)+COUNTIF(G358:I375,$B390&amp;" ~*")&gt;0)+(COUNTIF(K358:M375,$B390)+COUNTIF(K358:M375,$B390&amp;" ~*")&gt;0)+(COUNTIF(O358:Q375,$B390)+COUNTIF(O358:Q375,$B390&amp;" ~*")&gt;0)+(COUNTIF(S358:U375,$B390)+COUNTIF(S358:U375,$B390&amp;" ~*")&gt;0)+(COUNTIF(W358:W375,$B390)+COUNTIF(W358:W375,$B390&amp;" ~*")&gt;0)+(COUNTIF(Y358:Y375,$B390)+COUNTIF(Y358:Y375,$B390&amp;" ~*")&gt;0))</f>
        <v/>
      </c>
      <c r="AC390" s="38">
        <f>IF($B390="","",(IFERROR(INDEX(Setup!$G$33:$G$40,MATCH(C390,Setup!$B$33:$B$40,0)),0)=1)*(COUNTIF(C358:E375,$B390)+COUNTIF(C358:E375,$B390&amp;" ~*")&gt;0)+(IFERROR(INDEX(Setup!$G$33:$G$40,MATCH(G390,Setup!$B$33:$B$40,0)),0)=1)*(COUNTIF(G358:I375,$B390)+COUNTIF(G358:I375,$B390&amp;" ~*")&gt;0)+(IFERROR(INDEX(Setup!$G$33:$G$40,MATCH(K390,Setup!$B$33:$B$40,0)),0)=1)*(COUNTIF(K358:M375,$B390)+COUNTIF(K358:M375,$B390&amp;" ~*")&gt;0)+(IFERROR(INDEX(Setup!$G$33:$G$40,MATCH(O390,Setup!$B$33:$B$40,0)),0)=1)*(COUNTIF(O358:Q375,$B390)+COUNTIF(O358:Q375,$B390&amp;" ~*")&gt;0)+(IFERROR(INDEX(Setup!$G$33:$G$40,MATCH(S390,Setup!$B$33:$B$40,0)),0)=1)*(COUNTIF(S358:U375,$B390)+COUNTIF(S358:U375,$B390&amp;" ~*")&gt;0)+(IFERROR(INDEX(Setup!$G$33:$G$40,MATCH(W390,Setup!$B$33:$B$40,0)),0)=1)*(COUNTIF(W358:W375,$B390)+COUNTIF(W358:W375,$B390&amp;" ~*")&gt;0)+(IFERROR(INDEX(Setup!$G$33:$G$40,MATCH(Y390,Setup!$B$33:$B$40,0)),0)=1)*(COUNTIF(Y358:Y375,$B390)+COUNTIF(Y358:Y375,$B390&amp;" ~*")&gt;0))</f>
        <v/>
      </c>
    </row>
    <row r="391" ht="15" customHeight="1">
      <c r="A391" t="n">
        <v>8</v>
      </c>
      <c r="B391" s="35">
        <f>IF(Setup!$B$20="","",Setup!$B$20)</f>
        <v/>
      </c>
      <c r="C391" s="98" t="n"/>
      <c r="D391" s="99" t="n"/>
      <c r="E391" s="99" t="n"/>
      <c r="F391" s="100" t="n"/>
      <c r="G391" s="98" t="n"/>
      <c r="H391" s="99" t="n"/>
      <c r="I391" s="99" t="n"/>
      <c r="J391" s="100" t="n"/>
      <c r="K391" s="98" t="n"/>
      <c r="L391" s="99" t="n"/>
      <c r="M391" s="99" t="n"/>
      <c r="N391" s="100" t="n"/>
      <c r="O391" s="98" t="n"/>
      <c r="P391" s="99" t="n"/>
      <c r="Q391" s="99" t="n"/>
      <c r="R391" s="100" t="n"/>
      <c r="S391" s="98" t="n"/>
      <c r="T391" s="99" t="n"/>
      <c r="U391" s="99" t="n"/>
      <c r="V391" s="100" t="n"/>
      <c r="W391" s="98" t="n"/>
      <c r="X391" s="100" t="n"/>
      <c r="Y391" s="98" t="n"/>
      <c r="Z391" s="100" t="n"/>
      <c r="AB391" s="101">
        <f>IF($B391="","",(COUNTIF(C358:E375,$B391)+COUNTIF(C358:E375,$B391&amp;" ~*")&gt;0)+(COUNTIF(G358:I375,$B391)+COUNTIF(G358:I375,$B391&amp;" ~*")&gt;0)+(COUNTIF(K358:M375,$B391)+COUNTIF(K358:M375,$B391&amp;" ~*")&gt;0)+(COUNTIF(O358:Q375,$B391)+COUNTIF(O358:Q375,$B391&amp;" ~*")&gt;0)+(COUNTIF(S358:U375,$B391)+COUNTIF(S358:U375,$B391&amp;" ~*")&gt;0)+(COUNTIF(W358:W375,$B391)+COUNTIF(W358:W375,$B391&amp;" ~*")&gt;0)+(COUNTIF(Y358:Y375,$B391)+COUNTIF(Y358:Y375,$B391&amp;" ~*")&gt;0))</f>
        <v/>
      </c>
      <c r="AC391" s="36">
        <f>IF($B391="","",(IFERROR(INDEX(Setup!$G$33:$G$40,MATCH(C391,Setup!$B$33:$B$40,0)),0)=1)*(COUNTIF(C358:E375,$B391)+COUNTIF(C358:E375,$B391&amp;" ~*")&gt;0)+(IFERROR(INDEX(Setup!$G$33:$G$40,MATCH(G391,Setup!$B$33:$B$40,0)),0)=1)*(COUNTIF(G358:I375,$B391)+COUNTIF(G358:I375,$B391&amp;" ~*")&gt;0)+(IFERROR(INDEX(Setup!$G$33:$G$40,MATCH(K391,Setup!$B$33:$B$40,0)),0)=1)*(COUNTIF(K358:M375,$B391)+COUNTIF(K358:M375,$B391&amp;" ~*")&gt;0)+(IFERROR(INDEX(Setup!$G$33:$G$40,MATCH(O391,Setup!$B$33:$B$40,0)),0)=1)*(COUNTIF(O358:Q375,$B391)+COUNTIF(O358:Q375,$B391&amp;" ~*")&gt;0)+(IFERROR(INDEX(Setup!$G$33:$G$40,MATCH(S391,Setup!$B$33:$B$40,0)),0)=1)*(COUNTIF(S358:U375,$B391)+COUNTIF(S358:U375,$B391&amp;" ~*")&gt;0)+(IFERROR(INDEX(Setup!$G$33:$G$40,MATCH(W391,Setup!$B$33:$B$40,0)),0)=1)*(COUNTIF(W358:W375,$B391)+COUNTIF(W358:W375,$B391&amp;" ~*")&gt;0)+(IFERROR(INDEX(Setup!$G$33:$G$40,MATCH(Y391,Setup!$B$33:$B$40,0)),0)=1)*(COUNTIF(Y358:Y375,$B391)+COUNTIF(Y358:Y375,$B391&amp;" ~*")&gt;0))</f>
        <v/>
      </c>
    </row>
    <row r="392" ht="15" customHeight="1">
      <c r="A392" t="n">
        <v>8</v>
      </c>
      <c r="B392" s="37">
        <f>IF(Setup!$B$21="","",Setup!$B$21)</f>
        <v/>
      </c>
      <c r="C392" s="102" t="n"/>
      <c r="D392" s="103" t="n"/>
      <c r="E392" s="103" t="n"/>
      <c r="F392" s="104" t="n"/>
      <c r="G392" s="102" t="n"/>
      <c r="H392" s="103" t="n"/>
      <c r="I392" s="103" t="n"/>
      <c r="J392" s="104" t="n"/>
      <c r="K392" s="102" t="n"/>
      <c r="L392" s="103" t="n"/>
      <c r="M392" s="103" t="n"/>
      <c r="N392" s="104" t="n"/>
      <c r="O392" s="102" t="n"/>
      <c r="P392" s="103" t="n"/>
      <c r="Q392" s="103" t="n"/>
      <c r="R392" s="104" t="n"/>
      <c r="S392" s="102" t="n"/>
      <c r="T392" s="103" t="n"/>
      <c r="U392" s="103" t="n"/>
      <c r="V392" s="104" t="n"/>
      <c r="W392" s="102" t="n"/>
      <c r="X392" s="104" t="n"/>
      <c r="Y392" s="102" t="n"/>
      <c r="Z392" s="104" t="n"/>
      <c r="AB392" s="105">
        <f>IF($B392="","",(COUNTIF(C358:E375,$B392)+COUNTIF(C358:E375,$B392&amp;" ~*")&gt;0)+(COUNTIF(G358:I375,$B392)+COUNTIF(G358:I375,$B392&amp;" ~*")&gt;0)+(COUNTIF(K358:M375,$B392)+COUNTIF(K358:M375,$B392&amp;" ~*")&gt;0)+(COUNTIF(O358:Q375,$B392)+COUNTIF(O358:Q375,$B392&amp;" ~*")&gt;0)+(COUNTIF(S358:U375,$B392)+COUNTIF(S358:U375,$B392&amp;" ~*")&gt;0)+(COUNTIF(W358:W375,$B392)+COUNTIF(W358:W375,$B392&amp;" ~*")&gt;0)+(COUNTIF(Y358:Y375,$B392)+COUNTIF(Y358:Y375,$B392&amp;" ~*")&gt;0))</f>
        <v/>
      </c>
      <c r="AC392" s="38">
        <f>IF($B392="","",(IFERROR(INDEX(Setup!$G$33:$G$40,MATCH(C392,Setup!$B$33:$B$40,0)),0)=1)*(COUNTIF(C358:E375,$B392)+COUNTIF(C358:E375,$B392&amp;" ~*")&gt;0)+(IFERROR(INDEX(Setup!$G$33:$G$40,MATCH(G392,Setup!$B$33:$B$40,0)),0)=1)*(COUNTIF(G358:I375,$B392)+COUNTIF(G358:I375,$B392&amp;" ~*")&gt;0)+(IFERROR(INDEX(Setup!$G$33:$G$40,MATCH(K392,Setup!$B$33:$B$40,0)),0)=1)*(COUNTIF(K358:M375,$B392)+COUNTIF(K358:M375,$B392&amp;" ~*")&gt;0)+(IFERROR(INDEX(Setup!$G$33:$G$40,MATCH(O392,Setup!$B$33:$B$40,0)),0)=1)*(COUNTIF(O358:Q375,$B392)+COUNTIF(O358:Q375,$B392&amp;" ~*")&gt;0)+(IFERROR(INDEX(Setup!$G$33:$G$40,MATCH(S392,Setup!$B$33:$B$40,0)),0)=1)*(COUNTIF(S358:U375,$B392)+COUNTIF(S358:U375,$B392&amp;" ~*")&gt;0)+(IFERROR(INDEX(Setup!$G$33:$G$40,MATCH(W392,Setup!$B$33:$B$40,0)),0)=1)*(COUNTIF(W358:W375,$B392)+COUNTIF(W358:W375,$B392&amp;" ~*")&gt;0)+(IFERROR(INDEX(Setup!$G$33:$G$40,MATCH(Y392,Setup!$B$33:$B$40,0)),0)=1)*(COUNTIF(Y358:Y375,$B392)+COUNTIF(Y358:Y375,$B392&amp;" ~*")&gt;0))</f>
        <v/>
      </c>
    </row>
    <row r="393" ht="15" customHeight="1">
      <c r="A393" t="n">
        <v>8</v>
      </c>
      <c r="B393" s="35">
        <f>IF(Setup!$B$22="","",Setup!$B$22)</f>
        <v/>
      </c>
      <c r="C393" s="98" t="n"/>
      <c r="D393" s="99" t="n"/>
      <c r="E393" s="99" t="n"/>
      <c r="F393" s="100" t="n"/>
      <c r="G393" s="98" t="n"/>
      <c r="H393" s="99" t="n"/>
      <c r="I393" s="99" t="n"/>
      <c r="J393" s="100" t="n"/>
      <c r="K393" s="98" t="n"/>
      <c r="L393" s="99" t="n"/>
      <c r="M393" s="99" t="n"/>
      <c r="N393" s="100" t="n"/>
      <c r="O393" s="98" t="n"/>
      <c r="P393" s="99" t="n"/>
      <c r="Q393" s="99" t="n"/>
      <c r="R393" s="100" t="n"/>
      <c r="S393" s="98" t="n"/>
      <c r="T393" s="99" t="n"/>
      <c r="U393" s="99" t="n"/>
      <c r="V393" s="100" t="n"/>
      <c r="W393" s="98" t="n"/>
      <c r="X393" s="100" t="n"/>
      <c r="Y393" s="98" t="n"/>
      <c r="Z393" s="100" t="n"/>
      <c r="AB393" s="101">
        <f>IF($B393="","",(COUNTIF(C358:E375,$B393)+COUNTIF(C358:E375,$B393&amp;" ~*")&gt;0)+(COUNTIF(G358:I375,$B393)+COUNTIF(G358:I375,$B393&amp;" ~*")&gt;0)+(COUNTIF(K358:M375,$B393)+COUNTIF(K358:M375,$B393&amp;" ~*")&gt;0)+(COUNTIF(O358:Q375,$B393)+COUNTIF(O358:Q375,$B393&amp;" ~*")&gt;0)+(COUNTIF(S358:U375,$B393)+COUNTIF(S358:U375,$B393&amp;" ~*")&gt;0)+(COUNTIF(W358:W375,$B393)+COUNTIF(W358:W375,$B393&amp;" ~*")&gt;0)+(COUNTIF(Y358:Y375,$B393)+COUNTIF(Y358:Y375,$B393&amp;" ~*")&gt;0))</f>
        <v/>
      </c>
      <c r="AC393" s="36">
        <f>IF($B393="","",(IFERROR(INDEX(Setup!$G$33:$G$40,MATCH(C393,Setup!$B$33:$B$40,0)),0)=1)*(COUNTIF(C358:E375,$B393)+COUNTIF(C358:E375,$B393&amp;" ~*")&gt;0)+(IFERROR(INDEX(Setup!$G$33:$G$40,MATCH(G393,Setup!$B$33:$B$40,0)),0)=1)*(COUNTIF(G358:I375,$B393)+COUNTIF(G358:I375,$B393&amp;" ~*")&gt;0)+(IFERROR(INDEX(Setup!$G$33:$G$40,MATCH(K393,Setup!$B$33:$B$40,0)),0)=1)*(COUNTIF(K358:M375,$B393)+COUNTIF(K358:M375,$B393&amp;" ~*")&gt;0)+(IFERROR(INDEX(Setup!$G$33:$G$40,MATCH(O393,Setup!$B$33:$B$40,0)),0)=1)*(COUNTIF(O358:Q375,$B393)+COUNTIF(O358:Q375,$B393&amp;" ~*")&gt;0)+(IFERROR(INDEX(Setup!$G$33:$G$40,MATCH(S393,Setup!$B$33:$B$40,0)),0)=1)*(COUNTIF(S358:U375,$B393)+COUNTIF(S358:U375,$B393&amp;" ~*")&gt;0)+(IFERROR(INDEX(Setup!$G$33:$G$40,MATCH(W393,Setup!$B$33:$B$40,0)),0)=1)*(COUNTIF(W358:W375,$B393)+COUNTIF(W358:W375,$B393&amp;" ~*")&gt;0)+(IFERROR(INDEX(Setup!$G$33:$G$40,MATCH(Y393,Setup!$B$33:$B$40,0)),0)=1)*(COUNTIF(Y358:Y375,$B393)+COUNTIF(Y358:Y375,$B393&amp;" ~*")&gt;0))</f>
        <v/>
      </c>
    </row>
    <row r="394" ht="15" customHeight="1">
      <c r="A394" t="n">
        <v>8</v>
      </c>
      <c r="B394" s="37">
        <f>IF(Setup!$B$23="","",Setup!$B$23)</f>
        <v/>
      </c>
      <c r="C394" s="102" t="n"/>
      <c r="D394" s="103" t="n"/>
      <c r="E394" s="103" t="n"/>
      <c r="F394" s="104" t="n"/>
      <c r="G394" s="102" t="n"/>
      <c r="H394" s="103" t="n"/>
      <c r="I394" s="103" t="n"/>
      <c r="J394" s="104" t="n"/>
      <c r="K394" s="102" t="n"/>
      <c r="L394" s="103" t="n"/>
      <c r="M394" s="103" t="n"/>
      <c r="N394" s="104" t="n"/>
      <c r="O394" s="102" t="n"/>
      <c r="P394" s="103" t="n"/>
      <c r="Q394" s="103" t="n"/>
      <c r="R394" s="104" t="n"/>
      <c r="S394" s="102" t="n"/>
      <c r="T394" s="103" t="n"/>
      <c r="U394" s="103" t="n"/>
      <c r="V394" s="104" t="n"/>
      <c r="W394" s="102" t="n"/>
      <c r="X394" s="104" t="n"/>
      <c r="Y394" s="102" t="n"/>
      <c r="Z394" s="104" t="n"/>
      <c r="AB394" s="105">
        <f>IF($B394="","",(COUNTIF(C358:E375,$B394)+COUNTIF(C358:E375,$B394&amp;" ~*")&gt;0)+(COUNTIF(G358:I375,$B394)+COUNTIF(G358:I375,$B394&amp;" ~*")&gt;0)+(COUNTIF(K358:M375,$B394)+COUNTIF(K358:M375,$B394&amp;" ~*")&gt;0)+(COUNTIF(O358:Q375,$B394)+COUNTIF(O358:Q375,$B394&amp;" ~*")&gt;0)+(COUNTIF(S358:U375,$B394)+COUNTIF(S358:U375,$B394&amp;" ~*")&gt;0)+(COUNTIF(W358:W375,$B394)+COUNTIF(W358:W375,$B394&amp;" ~*")&gt;0)+(COUNTIF(Y358:Y375,$B394)+COUNTIF(Y358:Y375,$B394&amp;" ~*")&gt;0))</f>
        <v/>
      </c>
      <c r="AC394" s="38">
        <f>IF($B394="","",(IFERROR(INDEX(Setup!$G$33:$G$40,MATCH(C394,Setup!$B$33:$B$40,0)),0)=1)*(COUNTIF(C358:E375,$B394)+COUNTIF(C358:E375,$B394&amp;" ~*")&gt;0)+(IFERROR(INDEX(Setup!$G$33:$G$40,MATCH(G394,Setup!$B$33:$B$40,0)),0)=1)*(COUNTIF(G358:I375,$B394)+COUNTIF(G358:I375,$B394&amp;" ~*")&gt;0)+(IFERROR(INDEX(Setup!$G$33:$G$40,MATCH(K394,Setup!$B$33:$B$40,0)),0)=1)*(COUNTIF(K358:M375,$B394)+COUNTIF(K358:M375,$B394&amp;" ~*")&gt;0)+(IFERROR(INDEX(Setup!$G$33:$G$40,MATCH(O394,Setup!$B$33:$B$40,0)),0)=1)*(COUNTIF(O358:Q375,$B394)+COUNTIF(O358:Q375,$B394&amp;" ~*")&gt;0)+(IFERROR(INDEX(Setup!$G$33:$G$40,MATCH(S394,Setup!$B$33:$B$40,0)),0)=1)*(COUNTIF(S358:U375,$B394)+COUNTIF(S358:U375,$B394&amp;" ~*")&gt;0)+(IFERROR(INDEX(Setup!$G$33:$G$40,MATCH(W394,Setup!$B$33:$B$40,0)),0)=1)*(COUNTIF(W358:W375,$B394)+COUNTIF(W358:W375,$B394&amp;" ~*")&gt;0)+(IFERROR(INDEX(Setup!$G$33:$G$40,MATCH(Y394,Setup!$B$33:$B$40,0)),0)=1)*(COUNTIF(Y358:Y375,$B394)+COUNTIF(Y358:Y375,$B394&amp;" ~*")&gt;0))</f>
        <v/>
      </c>
    </row>
    <row r="395" ht="15" customHeight="1">
      <c r="A395" t="n">
        <v>8</v>
      </c>
      <c r="B395" s="35">
        <f>IF(Setup!$B$24="","",Setup!$B$24)</f>
        <v/>
      </c>
      <c r="C395" s="98" t="n"/>
      <c r="D395" s="99" t="n"/>
      <c r="E395" s="99" t="n"/>
      <c r="F395" s="100" t="n"/>
      <c r="G395" s="98" t="n"/>
      <c r="H395" s="99" t="n"/>
      <c r="I395" s="99" t="n"/>
      <c r="J395" s="100" t="n"/>
      <c r="K395" s="98" t="n"/>
      <c r="L395" s="99" t="n"/>
      <c r="M395" s="99" t="n"/>
      <c r="N395" s="100" t="n"/>
      <c r="O395" s="98" t="n"/>
      <c r="P395" s="99" t="n"/>
      <c r="Q395" s="99" t="n"/>
      <c r="R395" s="100" t="n"/>
      <c r="S395" s="98" t="n"/>
      <c r="T395" s="99" t="n"/>
      <c r="U395" s="99" t="n"/>
      <c r="V395" s="100" t="n"/>
      <c r="W395" s="98" t="n"/>
      <c r="X395" s="100" t="n"/>
      <c r="Y395" s="98" t="n"/>
      <c r="Z395" s="100" t="n"/>
      <c r="AB395" s="101">
        <f>IF($B395="","",(COUNTIF(C358:E375,$B395)+COUNTIF(C358:E375,$B395&amp;" ~*")&gt;0)+(COUNTIF(G358:I375,$B395)+COUNTIF(G358:I375,$B395&amp;" ~*")&gt;0)+(COUNTIF(K358:M375,$B395)+COUNTIF(K358:M375,$B395&amp;" ~*")&gt;0)+(COUNTIF(O358:Q375,$B395)+COUNTIF(O358:Q375,$B395&amp;" ~*")&gt;0)+(COUNTIF(S358:U375,$B395)+COUNTIF(S358:U375,$B395&amp;" ~*")&gt;0)+(COUNTIF(W358:W375,$B395)+COUNTIF(W358:W375,$B395&amp;" ~*")&gt;0)+(COUNTIF(Y358:Y375,$B395)+COUNTIF(Y358:Y375,$B395&amp;" ~*")&gt;0))</f>
        <v/>
      </c>
      <c r="AC395" s="36">
        <f>IF($B395="","",(IFERROR(INDEX(Setup!$G$33:$G$40,MATCH(C395,Setup!$B$33:$B$40,0)),0)=1)*(COUNTIF(C358:E375,$B395)+COUNTIF(C358:E375,$B395&amp;" ~*")&gt;0)+(IFERROR(INDEX(Setup!$G$33:$G$40,MATCH(G395,Setup!$B$33:$B$40,0)),0)=1)*(COUNTIF(G358:I375,$B395)+COUNTIF(G358:I375,$B395&amp;" ~*")&gt;0)+(IFERROR(INDEX(Setup!$G$33:$G$40,MATCH(K395,Setup!$B$33:$B$40,0)),0)=1)*(COUNTIF(K358:M375,$B395)+COUNTIF(K358:M375,$B395&amp;" ~*")&gt;0)+(IFERROR(INDEX(Setup!$G$33:$G$40,MATCH(O395,Setup!$B$33:$B$40,0)),0)=1)*(COUNTIF(O358:Q375,$B395)+COUNTIF(O358:Q375,$B395&amp;" ~*")&gt;0)+(IFERROR(INDEX(Setup!$G$33:$G$40,MATCH(S395,Setup!$B$33:$B$40,0)),0)=1)*(COUNTIF(S358:U375,$B395)+COUNTIF(S358:U375,$B395&amp;" ~*")&gt;0)+(IFERROR(INDEX(Setup!$G$33:$G$40,MATCH(W395,Setup!$B$33:$B$40,0)),0)=1)*(COUNTIF(W358:W375,$B395)+COUNTIF(W358:W375,$B395&amp;" ~*")&gt;0)+(IFERROR(INDEX(Setup!$G$33:$G$40,MATCH(Y395,Setup!$B$33:$B$40,0)),0)=1)*(COUNTIF(Y358:Y375,$B395)+COUNTIF(Y358:Y375,$B395&amp;" ~*")&gt;0))</f>
        <v/>
      </c>
    </row>
    <row r="396" ht="15" customHeight="1">
      <c r="A396" t="n">
        <v>8</v>
      </c>
      <c r="B396" s="37">
        <f>IF(Setup!$B$25="","",Setup!$B$25)</f>
        <v/>
      </c>
      <c r="C396" s="102" t="n"/>
      <c r="D396" s="103" t="n"/>
      <c r="E396" s="103" t="n"/>
      <c r="F396" s="104" t="n"/>
      <c r="G396" s="102" t="n"/>
      <c r="H396" s="103" t="n"/>
      <c r="I396" s="103" t="n"/>
      <c r="J396" s="104" t="n"/>
      <c r="K396" s="102" t="n"/>
      <c r="L396" s="103" t="n"/>
      <c r="M396" s="103" t="n"/>
      <c r="N396" s="104" t="n"/>
      <c r="O396" s="102" t="n"/>
      <c r="P396" s="103" t="n"/>
      <c r="Q396" s="103" t="n"/>
      <c r="R396" s="104" t="n"/>
      <c r="S396" s="102" t="n"/>
      <c r="T396" s="103" t="n"/>
      <c r="U396" s="103" t="n"/>
      <c r="V396" s="104" t="n"/>
      <c r="W396" s="102" t="n"/>
      <c r="X396" s="104" t="n"/>
      <c r="Y396" s="102" t="n"/>
      <c r="Z396" s="104" t="n"/>
      <c r="AB396" s="105">
        <f>IF($B396="","",(COUNTIF(C358:E375,$B396)+COUNTIF(C358:E375,$B396&amp;" ~*")&gt;0)+(COUNTIF(G358:I375,$B396)+COUNTIF(G358:I375,$B396&amp;" ~*")&gt;0)+(COUNTIF(K358:M375,$B396)+COUNTIF(K358:M375,$B396&amp;" ~*")&gt;0)+(COUNTIF(O358:Q375,$B396)+COUNTIF(O358:Q375,$B396&amp;" ~*")&gt;0)+(COUNTIF(S358:U375,$B396)+COUNTIF(S358:U375,$B396&amp;" ~*")&gt;0)+(COUNTIF(W358:W375,$B396)+COUNTIF(W358:W375,$B396&amp;" ~*")&gt;0)+(COUNTIF(Y358:Y375,$B396)+COUNTIF(Y358:Y375,$B396&amp;" ~*")&gt;0))</f>
        <v/>
      </c>
      <c r="AC396" s="38">
        <f>IF($B396="","",(IFERROR(INDEX(Setup!$G$33:$G$40,MATCH(C396,Setup!$B$33:$B$40,0)),0)=1)*(COUNTIF(C358:E375,$B396)+COUNTIF(C358:E375,$B396&amp;" ~*")&gt;0)+(IFERROR(INDEX(Setup!$G$33:$G$40,MATCH(G396,Setup!$B$33:$B$40,0)),0)=1)*(COUNTIF(G358:I375,$B396)+COUNTIF(G358:I375,$B396&amp;" ~*")&gt;0)+(IFERROR(INDEX(Setup!$G$33:$G$40,MATCH(K396,Setup!$B$33:$B$40,0)),0)=1)*(COUNTIF(K358:M375,$B396)+COUNTIF(K358:M375,$B396&amp;" ~*")&gt;0)+(IFERROR(INDEX(Setup!$G$33:$G$40,MATCH(O396,Setup!$B$33:$B$40,0)),0)=1)*(COUNTIF(O358:Q375,$B396)+COUNTIF(O358:Q375,$B396&amp;" ~*")&gt;0)+(IFERROR(INDEX(Setup!$G$33:$G$40,MATCH(S396,Setup!$B$33:$B$40,0)),0)=1)*(COUNTIF(S358:U375,$B396)+COUNTIF(S358:U375,$B396&amp;" ~*")&gt;0)+(IFERROR(INDEX(Setup!$G$33:$G$40,MATCH(W396,Setup!$B$33:$B$40,0)),0)=1)*(COUNTIF(W358:W375,$B396)+COUNTIF(W358:W375,$B396&amp;" ~*")&gt;0)+(IFERROR(INDEX(Setup!$G$33:$G$40,MATCH(Y396,Setup!$B$33:$B$40,0)),0)=1)*(COUNTIF(Y358:Y375,$B396)+COUNTIF(Y358:Y375,$B396&amp;" ~*")&gt;0))</f>
        <v/>
      </c>
    </row>
    <row r="397" ht="15" customHeight="1">
      <c r="A397" t="n">
        <v>8</v>
      </c>
      <c r="B397" s="35">
        <f>IF(Setup!$B$26="","",Setup!$B$26)</f>
        <v/>
      </c>
      <c r="C397" s="98" t="n"/>
      <c r="D397" s="99" t="n"/>
      <c r="E397" s="99" t="n"/>
      <c r="F397" s="100" t="n"/>
      <c r="G397" s="98" t="n"/>
      <c r="H397" s="99" t="n"/>
      <c r="I397" s="99" t="n"/>
      <c r="J397" s="100" t="n"/>
      <c r="K397" s="98" t="n"/>
      <c r="L397" s="99" t="n"/>
      <c r="M397" s="99" t="n"/>
      <c r="N397" s="100" t="n"/>
      <c r="O397" s="98" t="n"/>
      <c r="P397" s="99" t="n"/>
      <c r="Q397" s="99" t="n"/>
      <c r="R397" s="100" t="n"/>
      <c r="S397" s="98" t="n"/>
      <c r="T397" s="99" t="n"/>
      <c r="U397" s="99" t="n"/>
      <c r="V397" s="100" t="n"/>
      <c r="W397" s="98" t="n"/>
      <c r="X397" s="100" t="n"/>
      <c r="Y397" s="98" t="n"/>
      <c r="Z397" s="100" t="n"/>
      <c r="AB397" s="101">
        <f>IF($B397="","",(COUNTIF(C358:E375,$B397)+COUNTIF(C358:E375,$B397&amp;" ~*")&gt;0)+(COUNTIF(G358:I375,$B397)+COUNTIF(G358:I375,$B397&amp;" ~*")&gt;0)+(COUNTIF(K358:M375,$B397)+COUNTIF(K358:M375,$B397&amp;" ~*")&gt;0)+(COUNTIF(O358:Q375,$B397)+COUNTIF(O358:Q375,$B397&amp;" ~*")&gt;0)+(COUNTIF(S358:U375,$B397)+COUNTIF(S358:U375,$B397&amp;" ~*")&gt;0)+(COUNTIF(W358:W375,$B397)+COUNTIF(W358:W375,$B397&amp;" ~*")&gt;0)+(COUNTIF(Y358:Y375,$B397)+COUNTIF(Y358:Y375,$B397&amp;" ~*")&gt;0))</f>
        <v/>
      </c>
      <c r="AC397" s="36">
        <f>IF($B397="","",(IFERROR(INDEX(Setup!$G$33:$G$40,MATCH(C397,Setup!$B$33:$B$40,0)),0)=1)*(COUNTIF(C358:E375,$B397)+COUNTIF(C358:E375,$B397&amp;" ~*")&gt;0)+(IFERROR(INDEX(Setup!$G$33:$G$40,MATCH(G397,Setup!$B$33:$B$40,0)),0)=1)*(COUNTIF(G358:I375,$B397)+COUNTIF(G358:I375,$B397&amp;" ~*")&gt;0)+(IFERROR(INDEX(Setup!$G$33:$G$40,MATCH(K397,Setup!$B$33:$B$40,0)),0)=1)*(COUNTIF(K358:M375,$B397)+COUNTIF(K358:M375,$B397&amp;" ~*")&gt;0)+(IFERROR(INDEX(Setup!$G$33:$G$40,MATCH(O397,Setup!$B$33:$B$40,0)),0)=1)*(COUNTIF(O358:Q375,$B397)+COUNTIF(O358:Q375,$B397&amp;" ~*")&gt;0)+(IFERROR(INDEX(Setup!$G$33:$G$40,MATCH(S397,Setup!$B$33:$B$40,0)),0)=1)*(COUNTIF(S358:U375,$B397)+COUNTIF(S358:U375,$B397&amp;" ~*")&gt;0)+(IFERROR(INDEX(Setup!$G$33:$G$40,MATCH(W397,Setup!$B$33:$B$40,0)),0)=1)*(COUNTIF(W358:W375,$B397)+COUNTIF(W358:W375,$B397&amp;" ~*")&gt;0)+(IFERROR(INDEX(Setup!$G$33:$G$40,MATCH(Y397,Setup!$B$33:$B$40,0)),0)=1)*(COUNTIF(Y358:Y375,$B397)+COUNTIF(Y358:Y375,$B397&amp;" ~*")&gt;0))</f>
        <v/>
      </c>
    </row>
    <row r="398" ht="15" customHeight="1">
      <c r="A398" t="n">
        <v>8</v>
      </c>
      <c r="B398" s="37">
        <f>IF(Setup!$B$27="","",Setup!$B$27)</f>
        <v/>
      </c>
      <c r="C398" s="102" t="n"/>
      <c r="D398" s="103" t="n"/>
      <c r="E398" s="103" t="n"/>
      <c r="F398" s="104" t="n"/>
      <c r="G398" s="102" t="n"/>
      <c r="H398" s="103" t="n"/>
      <c r="I398" s="103" t="n"/>
      <c r="J398" s="104" t="n"/>
      <c r="K398" s="102" t="n"/>
      <c r="L398" s="103" t="n"/>
      <c r="M398" s="103" t="n"/>
      <c r="N398" s="104" t="n"/>
      <c r="O398" s="102" t="n"/>
      <c r="P398" s="103" t="n"/>
      <c r="Q398" s="103" t="n"/>
      <c r="R398" s="104" t="n"/>
      <c r="S398" s="102" t="n"/>
      <c r="T398" s="103" t="n"/>
      <c r="U398" s="103" t="n"/>
      <c r="V398" s="104" t="n"/>
      <c r="W398" s="102" t="n"/>
      <c r="X398" s="104" t="n"/>
      <c r="Y398" s="102" t="n"/>
      <c r="Z398" s="104" t="n"/>
      <c r="AB398" s="105">
        <f>IF($B398="","",(COUNTIF(C358:E375,$B398)+COUNTIF(C358:E375,$B398&amp;" ~*")&gt;0)+(COUNTIF(G358:I375,$B398)+COUNTIF(G358:I375,$B398&amp;" ~*")&gt;0)+(COUNTIF(K358:M375,$B398)+COUNTIF(K358:M375,$B398&amp;" ~*")&gt;0)+(COUNTIF(O358:Q375,$B398)+COUNTIF(O358:Q375,$B398&amp;" ~*")&gt;0)+(COUNTIF(S358:U375,$B398)+COUNTIF(S358:U375,$B398&amp;" ~*")&gt;0)+(COUNTIF(W358:W375,$B398)+COUNTIF(W358:W375,$B398&amp;" ~*")&gt;0)+(COUNTIF(Y358:Y375,$B398)+COUNTIF(Y358:Y375,$B398&amp;" ~*")&gt;0))</f>
        <v/>
      </c>
      <c r="AC398" s="38">
        <f>IF($B398="","",(IFERROR(INDEX(Setup!$G$33:$G$40,MATCH(C398,Setup!$B$33:$B$40,0)),0)=1)*(COUNTIF(C358:E375,$B398)+COUNTIF(C358:E375,$B398&amp;" ~*")&gt;0)+(IFERROR(INDEX(Setup!$G$33:$G$40,MATCH(G398,Setup!$B$33:$B$40,0)),0)=1)*(COUNTIF(G358:I375,$B398)+COUNTIF(G358:I375,$B398&amp;" ~*")&gt;0)+(IFERROR(INDEX(Setup!$G$33:$G$40,MATCH(K398,Setup!$B$33:$B$40,0)),0)=1)*(COUNTIF(K358:M375,$B398)+COUNTIF(K358:M375,$B398&amp;" ~*")&gt;0)+(IFERROR(INDEX(Setup!$G$33:$G$40,MATCH(O398,Setup!$B$33:$B$40,0)),0)=1)*(COUNTIF(O358:Q375,$B398)+COUNTIF(O358:Q375,$B398&amp;" ~*")&gt;0)+(IFERROR(INDEX(Setup!$G$33:$G$40,MATCH(S398,Setup!$B$33:$B$40,0)),0)=1)*(COUNTIF(S358:U375,$B398)+COUNTIF(S358:U375,$B398&amp;" ~*")&gt;0)+(IFERROR(INDEX(Setup!$G$33:$G$40,MATCH(W398,Setup!$B$33:$B$40,0)),0)=1)*(COUNTIF(W358:W375,$B398)+COUNTIF(W358:W375,$B398&amp;" ~*")&gt;0)+(IFERROR(INDEX(Setup!$G$33:$G$40,MATCH(Y398,Setup!$B$33:$B$40,0)),0)=1)*(COUNTIF(Y358:Y375,$B398)+COUNTIF(Y358:Y375,$B398&amp;" ~*")&gt;0))</f>
        <v/>
      </c>
    </row>
    <row r="399" ht="15" customHeight="1">
      <c r="A399" t="n">
        <v>8</v>
      </c>
      <c r="B399" s="35">
        <f>IF(Setup!$B$28="","",Setup!$B$28)</f>
        <v/>
      </c>
      <c r="C399" s="98" t="n"/>
      <c r="D399" s="99" t="n"/>
      <c r="E399" s="99" t="n"/>
      <c r="F399" s="100" t="n"/>
      <c r="G399" s="98" t="n"/>
      <c r="H399" s="99" t="n"/>
      <c r="I399" s="99" t="n"/>
      <c r="J399" s="100" t="n"/>
      <c r="K399" s="98" t="n"/>
      <c r="L399" s="99" t="n"/>
      <c r="M399" s="99" t="n"/>
      <c r="N399" s="100" t="n"/>
      <c r="O399" s="98" t="n"/>
      <c r="P399" s="99" t="n"/>
      <c r="Q399" s="99" t="n"/>
      <c r="R399" s="100" t="n"/>
      <c r="S399" s="98" t="n"/>
      <c r="T399" s="99" t="n"/>
      <c r="U399" s="99" t="n"/>
      <c r="V399" s="100" t="n"/>
      <c r="W399" s="98" t="n"/>
      <c r="X399" s="100" t="n"/>
      <c r="Y399" s="98" t="n"/>
      <c r="Z399" s="100" t="n"/>
      <c r="AB399" s="101">
        <f>IF($B399="","",(COUNTIF(C358:E375,$B399)+COUNTIF(C358:E375,$B399&amp;" ~*")&gt;0)+(COUNTIF(G358:I375,$B399)+COUNTIF(G358:I375,$B399&amp;" ~*")&gt;0)+(COUNTIF(K358:M375,$B399)+COUNTIF(K358:M375,$B399&amp;" ~*")&gt;0)+(COUNTIF(O358:Q375,$B399)+COUNTIF(O358:Q375,$B399&amp;" ~*")&gt;0)+(COUNTIF(S358:U375,$B399)+COUNTIF(S358:U375,$B399&amp;" ~*")&gt;0)+(COUNTIF(W358:W375,$B399)+COUNTIF(W358:W375,$B399&amp;" ~*")&gt;0)+(COUNTIF(Y358:Y375,$B399)+COUNTIF(Y358:Y375,$B399&amp;" ~*")&gt;0))</f>
        <v/>
      </c>
      <c r="AC399" s="36">
        <f>IF($B399="","",(IFERROR(INDEX(Setup!$G$33:$G$40,MATCH(C399,Setup!$B$33:$B$40,0)),0)=1)*(COUNTIF(C358:E375,$B399)+COUNTIF(C358:E375,$B399&amp;" ~*")&gt;0)+(IFERROR(INDEX(Setup!$G$33:$G$40,MATCH(G399,Setup!$B$33:$B$40,0)),0)=1)*(COUNTIF(G358:I375,$B399)+COUNTIF(G358:I375,$B399&amp;" ~*")&gt;0)+(IFERROR(INDEX(Setup!$G$33:$G$40,MATCH(K399,Setup!$B$33:$B$40,0)),0)=1)*(COUNTIF(K358:M375,$B399)+COUNTIF(K358:M375,$B399&amp;" ~*")&gt;0)+(IFERROR(INDEX(Setup!$G$33:$G$40,MATCH(O399,Setup!$B$33:$B$40,0)),0)=1)*(COUNTIF(O358:Q375,$B399)+COUNTIF(O358:Q375,$B399&amp;" ~*")&gt;0)+(IFERROR(INDEX(Setup!$G$33:$G$40,MATCH(S399,Setup!$B$33:$B$40,0)),0)=1)*(COUNTIF(S358:U375,$B399)+COUNTIF(S358:U375,$B399&amp;" ~*")&gt;0)+(IFERROR(INDEX(Setup!$G$33:$G$40,MATCH(W399,Setup!$B$33:$B$40,0)),0)=1)*(COUNTIF(W358:W375,$B399)+COUNTIF(W358:W375,$B399&amp;" ~*")&gt;0)+(IFERROR(INDEX(Setup!$G$33:$G$40,MATCH(Y399,Setup!$B$33:$B$40,0)),0)=1)*(COUNTIF(Y358:Y375,$B399)+COUNTIF(Y358:Y375,$B399&amp;" ~*")&gt;0))</f>
        <v/>
      </c>
    </row>
    <row r="400" ht="15" customHeight="1">
      <c r="A400" t="n">
        <v>8</v>
      </c>
      <c r="B400" s="37">
        <f>IF(Setup!$B$29="","",Setup!$B$29)</f>
        <v/>
      </c>
      <c r="C400" s="102" t="n"/>
      <c r="D400" s="103" t="n"/>
      <c r="E400" s="103" t="n"/>
      <c r="F400" s="104" t="n"/>
      <c r="G400" s="102" t="n"/>
      <c r="H400" s="103" t="n"/>
      <c r="I400" s="103" t="n"/>
      <c r="J400" s="104" t="n"/>
      <c r="K400" s="102" t="n"/>
      <c r="L400" s="103" t="n"/>
      <c r="M400" s="103" t="n"/>
      <c r="N400" s="104" t="n"/>
      <c r="O400" s="102" t="n"/>
      <c r="P400" s="103" t="n"/>
      <c r="Q400" s="103" t="n"/>
      <c r="R400" s="104" t="n"/>
      <c r="S400" s="102" t="n"/>
      <c r="T400" s="103" t="n"/>
      <c r="U400" s="103" t="n"/>
      <c r="V400" s="104" t="n"/>
      <c r="W400" s="102" t="n"/>
      <c r="X400" s="104" t="n"/>
      <c r="Y400" s="102" t="n"/>
      <c r="Z400" s="104" t="n"/>
      <c r="AB400" s="105">
        <f>IF($B400="","",(COUNTIF(C358:E375,$B400)+COUNTIF(C358:E375,$B400&amp;" ~*")&gt;0)+(COUNTIF(G358:I375,$B400)+COUNTIF(G358:I375,$B400&amp;" ~*")&gt;0)+(COUNTIF(K358:M375,$B400)+COUNTIF(K358:M375,$B400&amp;" ~*")&gt;0)+(COUNTIF(O358:Q375,$B400)+COUNTIF(O358:Q375,$B400&amp;" ~*")&gt;0)+(COUNTIF(S358:U375,$B400)+COUNTIF(S358:U375,$B400&amp;" ~*")&gt;0)+(COUNTIF(W358:W375,$B400)+COUNTIF(W358:W375,$B400&amp;" ~*")&gt;0)+(COUNTIF(Y358:Y375,$B400)+COUNTIF(Y358:Y375,$B400&amp;" ~*")&gt;0))</f>
        <v/>
      </c>
      <c r="AC400" s="38">
        <f>IF($B400="","",(IFERROR(INDEX(Setup!$G$33:$G$40,MATCH(C400,Setup!$B$33:$B$40,0)),0)=1)*(COUNTIF(C358:E375,$B400)+COUNTIF(C358:E375,$B400&amp;" ~*")&gt;0)+(IFERROR(INDEX(Setup!$G$33:$G$40,MATCH(G400,Setup!$B$33:$B$40,0)),0)=1)*(COUNTIF(G358:I375,$B400)+COUNTIF(G358:I375,$B400&amp;" ~*")&gt;0)+(IFERROR(INDEX(Setup!$G$33:$G$40,MATCH(K400,Setup!$B$33:$B$40,0)),0)=1)*(COUNTIF(K358:M375,$B400)+COUNTIF(K358:M375,$B400&amp;" ~*")&gt;0)+(IFERROR(INDEX(Setup!$G$33:$G$40,MATCH(O400,Setup!$B$33:$B$40,0)),0)=1)*(COUNTIF(O358:Q375,$B400)+COUNTIF(O358:Q375,$B400&amp;" ~*")&gt;0)+(IFERROR(INDEX(Setup!$G$33:$G$40,MATCH(S400,Setup!$B$33:$B$40,0)),0)=1)*(COUNTIF(S358:U375,$B400)+COUNTIF(S358:U375,$B400&amp;" ~*")&gt;0)+(IFERROR(INDEX(Setup!$G$33:$G$40,MATCH(W400,Setup!$B$33:$B$40,0)),0)=1)*(COUNTIF(W358:W375,$B400)+COUNTIF(W358:W375,$B400&amp;" ~*")&gt;0)+(IFERROR(INDEX(Setup!$G$33:$G$40,MATCH(Y400,Setup!$B$33:$B$40,0)),0)=1)*(COUNTIF(Y358:Y375,$B400)+COUNTIF(Y358:Y375,$B400&amp;" ~*")&gt;0))</f>
        <v/>
      </c>
    </row>
    <row r="401" ht="16" customHeight="1">
      <c r="A401" t="n">
        <v>8</v>
      </c>
      <c r="B401" s="106" t="inlineStr">
        <is>
          <t>Available people</t>
        </is>
      </c>
      <c r="C401" s="107">
        <f>COUNTIFS(Setup!$E$6:$E$29,"Y",Setup!$B$6:$B$29,"?*")-SUMPRODUCT(COUNTIF(C377:C400,Setup!$F$33:$F$40))</f>
        <v/>
      </c>
      <c r="D401" s="107" t="n"/>
      <c r="E401" s="107" t="n"/>
      <c r="F401" s="107" t="n"/>
      <c r="G401" s="107">
        <f>COUNTIFS(Setup!$E$6:$E$29,"Y",Setup!$B$6:$B$29,"?*")-SUMPRODUCT(COUNTIF(G377:G400,Setup!$F$33:$F$40))</f>
        <v/>
      </c>
      <c r="H401" s="107" t="n"/>
      <c r="I401" s="107" t="n"/>
      <c r="J401" s="107" t="n"/>
      <c r="K401" s="107">
        <f>COUNTIFS(Setup!$E$6:$E$29,"Y",Setup!$B$6:$B$29,"?*")-SUMPRODUCT(COUNTIF(K377:K400,Setup!$F$33:$F$40))</f>
        <v/>
      </c>
      <c r="L401" s="107" t="n"/>
      <c r="M401" s="107" t="n"/>
      <c r="N401" s="107" t="n"/>
      <c r="O401" s="107">
        <f>COUNTIFS(Setup!$E$6:$E$29,"Y",Setup!$B$6:$B$29,"?*")-SUMPRODUCT(COUNTIF(O377:O400,Setup!$F$33:$F$40))</f>
        <v/>
      </c>
      <c r="P401" s="107" t="n"/>
      <c r="Q401" s="107" t="n"/>
      <c r="R401" s="107" t="n"/>
      <c r="S401" s="107">
        <f>COUNTIFS(Setup!$E$6:$E$29,"Y",Setup!$B$6:$B$29,"?*")-SUMPRODUCT(COUNTIF(S377:S400,Setup!$F$33:$F$40))</f>
        <v/>
      </c>
      <c r="T401" s="107" t="n"/>
      <c r="U401" s="107" t="n"/>
      <c r="V401" s="107" t="n"/>
      <c r="W401" s="107">
        <f>COUNTIFS(Setup!$E$6:$E$29,"Y",Setup!$B$6:$B$29,"?*")-SUMPRODUCT(COUNTIF(W377:W400,Setup!$F$33:$F$40))</f>
        <v/>
      </c>
      <c r="X401" s="107" t="n"/>
      <c r="Y401" s="107">
        <f>COUNTIFS(Setup!$E$6:$E$29,"Y",Setup!$B$6:$B$29,"?*")-SUMPRODUCT(COUNTIF(Y377:Y400,Setup!$F$33:$F$40))</f>
        <v/>
      </c>
      <c r="Z401" s="107" t="n"/>
      <c r="AB401" s="108">
        <f>SUM(AB377:AB400)</f>
        <v/>
      </c>
      <c r="AC401" s="109">
        <f>SUM(AC377:AC400)</f>
        <v/>
      </c>
    </row>
    <row r="402" ht="30" customHeight="1">
      <c r="A402" t="n">
        <v>8</v>
      </c>
      <c r="B402" s="110" t="inlineStr">
        <is>
          <t>Week notes</t>
        </is>
      </c>
      <c r="C402" s="111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112" t="n"/>
      <c r="R402" s="112" t="n"/>
      <c r="S402" s="112" t="n"/>
      <c r="T402" s="112" t="n"/>
      <c r="U402" s="112" t="n"/>
      <c r="V402" s="112" t="n"/>
      <c r="W402" s="112" t="n"/>
      <c r="X402" s="112" t="n"/>
      <c r="Y402" s="112" t="n"/>
      <c r="Z402" s="113" t="n"/>
    </row>
    <row r="403" ht="8" customHeight="1">
      <c r="A403" t="n">
        <v>8</v>
      </c>
    </row>
    <row r="404" ht="8" customHeight="1">
      <c r="A404" t="n">
        <v>8</v>
      </c>
    </row>
    <row r="405" ht="24" customHeight="1">
      <c r="A405" t="n">
        <v>9</v>
      </c>
      <c r="B405" s="73">
        <f>"WEEK 9     "&amp;TEXT(C406,"ddd d mmm")&amp;"  –  "&amp;TEXT(C406+6,"ddd d mmm yyyy")</f>
        <v/>
      </c>
      <c r="S405" s="74">
        <f>IF(TODAY()&lt;C406,"FUTURE",IF(TODAY()&gt;C406+6,"PAST","THIS WEEK"))</f>
        <v/>
      </c>
      <c r="W405" s="75">
        <f>IF(AND(Engine!$B$8=$AC$3,Engine!$B$9=$A405),"◀ ACTIVE WEEK","")</f>
        <v/>
      </c>
      <c r="AA405" s="76" t="n"/>
      <c r="AB405" s="77" t="inlineStr">
        <is>
          <t>◀ Prev</t>
        </is>
      </c>
      <c r="AC405" s="77" t="inlineStr">
        <is>
          <t>Next ▶</t>
        </is>
      </c>
    </row>
    <row r="406" ht="18" customHeight="1">
      <c r="A406" t="n">
        <v>9</v>
      </c>
      <c r="B406" s="78" t="inlineStr">
        <is>
          <t>DUTY</t>
        </is>
      </c>
      <c r="C406" s="79">
        <f>$AC$2+7*($A406-1)</f>
        <v/>
      </c>
      <c r="D406" s="80" t="n"/>
      <c r="E406" s="80" t="n"/>
      <c r="F406" s="81" t="n"/>
      <c r="G406" s="79">
        <f>C406+1</f>
        <v/>
      </c>
      <c r="H406" s="80" t="n"/>
      <c r="I406" s="80" t="n"/>
      <c r="J406" s="81" t="n"/>
      <c r="K406" s="79">
        <f>C406+2</f>
        <v/>
      </c>
      <c r="L406" s="80" t="n"/>
      <c r="M406" s="80" t="n"/>
      <c r="N406" s="81" t="n"/>
      <c r="O406" s="79">
        <f>C406+3</f>
        <v/>
      </c>
      <c r="P406" s="80" t="n"/>
      <c r="Q406" s="80" t="n"/>
      <c r="R406" s="81" t="n"/>
      <c r="S406" s="79">
        <f>C406+4</f>
        <v/>
      </c>
      <c r="T406" s="80" t="n"/>
      <c r="U406" s="80" t="n"/>
      <c r="V406" s="81" t="n"/>
      <c r="W406" s="82">
        <f>C406+5</f>
        <v/>
      </c>
      <c r="X406" s="83" t="n"/>
      <c r="Y406" s="82">
        <f>C406+6</f>
        <v/>
      </c>
      <c r="Z406" s="83" t="n"/>
      <c r="AB406" s="72" t="inlineStr">
        <is>
          <t>Gaps</t>
        </is>
      </c>
      <c r="AC406" s="72" t="inlineStr">
        <is>
          <t>Cover</t>
        </is>
      </c>
    </row>
    <row r="407" ht="14" customHeight="1">
      <c r="A407" t="n">
        <v>9</v>
      </c>
      <c r="B407" s="84" t="inlineStr">
        <is>
          <t>(from Setup)</t>
        </is>
      </c>
      <c r="C407" s="85" t="inlineStr">
        <is>
          <t>1</t>
        </is>
      </c>
      <c r="D407" s="85" t="inlineStr">
        <is>
          <t>2</t>
        </is>
      </c>
      <c r="E407" s="85" t="inlineStr">
        <is>
          <t>3</t>
        </is>
      </c>
      <c r="F407" s="85" t="inlineStr">
        <is>
          <t>Notes</t>
        </is>
      </c>
      <c r="G407" s="85" t="inlineStr">
        <is>
          <t>1</t>
        </is>
      </c>
      <c r="H407" s="85" t="inlineStr">
        <is>
          <t>2</t>
        </is>
      </c>
      <c r="I407" s="85" t="inlineStr">
        <is>
          <t>3</t>
        </is>
      </c>
      <c r="J407" s="85" t="inlineStr">
        <is>
          <t>Notes</t>
        </is>
      </c>
      <c r="K407" s="85" t="inlineStr">
        <is>
          <t>1</t>
        </is>
      </c>
      <c r="L407" s="85" t="inlineStr">
        <is>
          <t>2</t>
        </is>
      </c>
      <c r="M407" s="85" t="inlineStr">
        <is>
          <t>3</t>
        </is>
      </c>
      <c r="N407" s="85" t="inlineStr">
        <is>
          <t>Notes</t>
        </is>
      </c>
      <c r="O407" s="85" t="inlineStr">
        <is>
          <t>1</t>
        </is>
      </c>
      <c r="P407" s="85" t="inlineStr">
        <is>
          <t>2</t>
        </is>
      </c>
      <c r="Q407" s="85" t="inlineStr">
        <is>
          <t>3</t>
        </is>
      </c>
      <c r="R407" s="85" t="inlineStr">
        <is>
          <t>Notes</t>
        </is>
      </c>
      <c r="S407" s="85" t="inlineStr">
        <is>
          <t>1</t>
        </is>
      </c>
      <c r="T407" s="85" t="inlineStr">
        <is>
          <t>2</t>
        </is>
      </c>
      <c r="U407" s="85" t="inlineStr">
        <is>
          <t>3</t>
        </is>
      </c>
      <c r="V407" s="85" t="inlineStr">
        <is>
          <t>Notes</t>
        </is>
      </c>
      <c r="W407" s="85" t="inlineStr">
        <is>
          <t>Cover</t>
        </is>
      </c>
      <c r="X407" s="85" t="inlineStr">
        <is>
          <t>Notes</t>
        </is>
      </c>
      <c r="Y407" s="85" t="inlineStr">
        <is>
          <t>Cover</t>
        </is>
      </c>
      <c r="Z407" s="85" t="inlineStr">
        <is>
          <t>Notes</t>
        </is>
      </c>
      <c r="AB407" s="86" t="inlineStr">
        <is>
          <t>weekdays short</t>
        </is>
      </c>
      <c r="AC407" s="87" t="inlineStr"/>
    </row>
    <row r="408" ht="17" customHeight="1">
      <c r="A408" t="n">
        <v>9</v>
      </c>
      <c r="B408" s="24">
        <f>IF(Setup!$K$6="","",Setup!$K$6)</f>
        <v/>
      </c>
      <c r="C408" s="88" t="n"/>
      <c r="D408" s="88" t="n"/>
      <c r="E408" s="88" t="n"/>
      <c r="F408" s="89" t="n"/>
      <c r="G408" s="88" t="n"/>
      <c r="H408" s="88" t="n"/>
      <c r="I408" s="88" t="n"/>
      <c r="J408" s="89" t="n"/>
      <c r="K408" s="88" t="n"/>
      <c r="L408" s="88" t="n"/>
      <c r="M408" s="88" t="n"/>
      <c r="N408" s="89" t="n"/>
      <c r="O408" s="88" t="n"/>
      <c r="P408" s="88" t="n"/>
      <c r="Q408" s="88" t="n"/>
      <c r="R408" s="89" t="n"/>
      <c r="S408" s="88" t="n"/>
      <c r="T408" s="88" t="n"/>
      <c r="U408" s="88" t="n"/>
      <c r="V408" s="89" t="n"/>
      <c r="W408" s="88" t="n"/>
      <c r="X408" s="89" t="n"/>
      <c r="Y408" s="88" t="n"/>
      <c r="Z408" s="89" t="n"/>
      <c r="AB408" s="25">
        <f>IF($B408="","",(COUNTIF(C408:E408,"?*")&lt;N(INDEX(Setup!$L$6:$L$23,1)))+(COUNTIF(G408:I408,"?*")&lt;N(INDEX(Setup!$L$6:$L$23,1)))+(COUNTIF(K408:M408,"?*")&lt;N(INDEX(Setup!$L$6:$L$23,1)))+(COUNTIF(O408:Q408,"?*")&lt;N(INDEX(Setup!$L$6:$L$23,1)))+(COUNTIF(S408:U408,"?*")&lt;N(INDEX(Setup!$L$6:$L$23,1)))+((W408="")*(INDEX(Setup!$M$6:$M$23,1)="Y"))+((Y408="")*(INDEX(Setup!$M$6:$M$23,1)="Y")))</f>
        <v/>
      </c>
      <c r="AC408" s="90">
        <f>IF($B408="","",IF(AB408=0,"✓ covered","⚠ "&amp;AB408&amp;IF(AB408=1," gap"," gaps")))</f>
        <v/>
      </c>
    </row>
    <row r="409" ht="17" customHeight="1">
      <c r="A409" t="n">
        <v>9</v>
      </c>
      <c r="B409" s="29">
        <f>IF(Setup!$K$7="","",Setup!$K$7)</f>
        <v/>
      </c>
      <c r="C409" s="88" t="n"/>
      <c r="D409" s="88" t="n"/>
      <c r="E409" s="88" t="n"/>
      <c r="F409" s="89" t="n"/>
      <c r="G409" s="88" t="n"/>
      <c r="H409" s="88" t="n"/>
      <c r="I409" s="88" t="n"/>
      <c r="J409" s="89" t="n"/>
      <c r="K409" s="88" t="n"/>
      <c r="L409" s="88" t="n"/>
      <c r="M409" s="88" t="n"/>
      <c r="N409" s="89" t="n"/>
      <c r="O409" s="88" t="n"/>
      <c r="P409" s="88" t="n"/>
      <c r="Q409" s="88" t="n"/>
      <c r="R409" s="89" t="n"/>
      <c r="S409" s="88" t="n"/>
      <c r="T409" s="88" t="n"/>
      <c r="U409" s="88" t="n"/>
      <c r="V409" s="89" t="n"/>
      <c r="W409" s="88" t="n"/>
      <c r="X409" s="89" t="n"/>
      <c r="Y409" s="88" t="n"/>
      <c r="Z409" s="89" t="n"/>
      <c r="AB409" s="30">
        <f>IF($B409="","",(COUNTIF(C409:E409,"?*")&lt;N(INDEX(Setup!$L$6:$L$23,2)))+(COUNTIF(G409:I409,"?*")&lt;N(INDEX(Setup!$L$6:$L$23,2)))+(COUNTIF(K409:M409,"?*")&lt;N(INDEX(Setup!$L$6:$L$23,2)))+(COUNTIF(O409:Q409,"?*")&lt;N(INDEX(Setup!$L$6:$L$23,2)))+(COUNTIF(S409:U409,"?*")&lt;N(INDEX(Setup!$L$6:$L$23,2)))+((W409="")*(INDEX(Setup!$M$6:$M$23,2)="Y"))+((Y409="")*(INDEX(Setup!$M$6:$M$23,2)="Y")))</f>
        <v/>
      </c>
      <c r="AC409" s="91">
        <f>IF($B409="","",IF(AB409=0,"✓ covered","⚠ "&amp;AB409&amp;IF(AB409=1," gap"," gaps")))</f>
        <v/>
      </c>
    </row>
    <row r="410" ht="17" customHeight="1">
      <c r="A410" t="n">
        <v>9</v>
      </c>
      <c r="B410" s="24">
        <f>IF(Setup!$K$8="","",Setup!$K$8)</f>
        <v/>
      </c>
      <c r="C410" s="88" t="n"/>
      <c r="D410" s="88" t="n"/>
      <c r="E410" s="88" t="n"/>
      <c r="F410" s="89" t="n"/>
      <c r="G410" s="88" t="n"/>
      <c r="H410" s="88" t="n"/>
      <c r="I410" s="88" t="n"/>
      <c r="J410" s="89" t="n"/>
      <c r="K410" s="88" t="n"/>
      <c r="L410" s="88" t="n"/>
      <c r="M410" s="88" t="n"/>
      <c r="N410" s="89" t="n"/>
      <c r="O410" s="88" t="n"/>
      <c r="P410" s="88" t="n"/>
      <c r="Q410" s="88" t="n"/>
      <c r="R410" s="89" t="n"/>
      <c r="S410" s="88" t="n"/>
      <c r="T410" s="88" t="n"/>
      <c r="U410" s="88" t="n"/>
      <c r="V410" s="89" t="n"/>
      <c r="W410" s="88" t="n"/>
      <c r="X410" s="89" t="n"/>
      <c r="Y410" s="88" t="n"/>
      <c r="Z410" s="89" t="n"/>
      <c r="AB410" s="25">
        <f>IF($B410="","",(COUNTIF(C410:E410,"?*")&lt;N(INDEX(Setup!$L$6:$L$23,3)))+(COUNTIF(G410:I410,"?*")&lt;N(INDEX(Setup!$L$6:$L$23,3)))+(COUNTIF(K410:M410,"?*")&lt;N(INDEX(Setup!$L$6:$L$23,3)))+(COUNTIF(O410:Q410,"?*")&lt;N(INDEX(Setup!$L$6:$L$23,3)))+(COUNTIF(S410:U410,"?*")&lt;N(INDEX(Setup!$L$6:$L$23,3)))+((W410="")*(INDEX(Setup!$M$6:$M$23,3)="Y"))+((Y410="")*(INDEX(Setup!$M$6:$M$23,3)="Y")))</f>
        <v/>
      </c>
      <c r="AC410" s="90">
        <f>IF($B410="","",IF(AB410=0,"✓ covered","⚠ "&amp;AB410&amp;IF(AB410=1," gap"," gaps")))</f>
        <v/>
      </c>
    </row>
    <row r="411" ht="17" customHeight="1">
      <c r="A411" t="n">
        <v>9</v>
      </c>
      <c r="B411" s="29">
        <f>IF(Setup!$K$9="","",Setup!$K$9)</f>
        <v/>
      </c>
      <c r="C411" s="88" t="n"/>
      <c r="D411" s="88" t="n"/>
      <c r="E411" s="88" t="n"/>
      <c r="F411" s="89" t="n"/>
      <c r="G411" s="88" t="n"/>
      <c r="H411" s="88" t="n"/>
      <c r="I411" s="88" t="n"/>
      <c r="J411" s="89" t="n"/>
      <c r="K411" s="88" t="n"/>
      <c r="L411" s="88" t="n"/>
      <c r="M411" s="88" t="n"/>
      <c r="N411" s="89" t="n"/>
      <c r="O411" s="88" t="n"/>
      <c r="P411" s="88" t="n"/>
      <c r="Q411" s="88" t="n"/>
      <c r="R411" s="89" t="n"/>
      <c r="S411" s="88" t="n"/>
      <c r="T411" s="88" t="n"/>
      <c r="U411" s="88" t="n"/>
      <c r="V411" s="89" t="n"/>
      <c r="W411" s="88" t="n"/>
      <c r="X411" s="89" t="n"/>
      <c r="Y411" s="88" t="n"/>
      <c r="Z411" s="89" t="n"/>
      <c r="AB411" s="30">
        <f>IF($B411="","",(COUNTIF(C411:E411,"?*")&lt;N(INDEX(Setup!$L$6:$L$23,4)))+(COUNTIF(G411:I411,"?*")&lt;N(INDEX(Setup!$L$6:$L$23,4)))+(COUNTIF(K411:M411,"?*")&lt;N(INDEX(Setup!$L$6:$L$23,4)))+(COUNTIF(O411:Q411,"?*")&lt;N(INDEX(Setup!$L$6:$L$23,4)))+(COUNTIF(S411:U411,"?*")&lt;N(INDEX(Setup!$L$6:$L$23,4)))+((W411="")*(INDEX(Setup!$M$6:$M$23,4)="Y"))+((Y411="")*(INDEX(Setup!$M$6:$M$23,4)="Y")))</f>
        <v/>
      </c>
      <c r="AC411" s="91">
        <f>IF($B411="","",IF(AB411=0,"✓ covered","⚠ "&amp;AB411&amp;IF(AB411=1," gap"," gaps")))</f>
        <v/>
      </c>
    </row>
    <row r="412" ht="17" customHeight="1">
      <c r="A412" t="n">
        <v>9</v>
      </c>
      <c r="B412" s="24">
        <f>IF(Setup!$K$10="","",Setup!$K$10)</f>
        <v/>
      </c>
      <c r="C412" s="88" t="n"/>
      <c r="D412" s="88" t="n"/>
      <c r="E412" s="88" t="n"/>
      <c r="F412" s="89" t="n"/>
      <c r="G412" s="88" t="n"/>
      <c r="H412" s="88" t="n"/>
      <c r="I412" s="88" t="n"/>
      <c r="J412" s="89" t="n"/>
      <c r="K412" s="88" t="n"/>
      <c r="L412" s="88" t="n"/>
      <c r="M412" s="88" t="n"/>
      <c r="N412" s="89" t="n"/>
      <c r="O412" s="88" t="n"/>
      <c r="P412" s="88" t="n"/>
      <c r="Q412" s="88" t="n"/>
      <c r="R412" s="89" t="n"/>
      <c r="S412" s="88" t="n"/>
      <c r="T412" s="88" t="n"/>
      <c r="U412" s="88" t="n"/>
      <c r="V412" s="89" t="n"/>
      <c r="W412" s="88" t="n"/>
      <c r="X412" s="89" t="n"/>
      <c r="Y412" s="88" t="n"/>
      <c r="Z412" s="89" t="n"/>
      <c r="AB412" s="25">
        <f>IF($B412="","",(COUNTIF(C412:E412,"?*")&lt;N(INDEX(Setup!$L$6:$L$23,5)))+(COUNTIF(G412:I412,"?*")&lt;N(INDEX(Setup!$L$6:$L$23,5)))+(COUNTIF(K412:M412,"?*")&lt;N(INDEX(Setup!$L$6:$L$23,5)))+(COUNTIF(O412:Q412,"?*")&lt;N(INDEX(Setup!$L$6:$L$23,5)))+(COUNTIF(S412:U412,"?*")&lt;N(INDEX(Setup!$L$6:$L$23,5)))+((W412="")*(INDEX(Setup!$M$6:$M$23,5)="Y"))+((Y412="")*(INDEX(Setup!$M$6:$M$23,5)="Y")))</f>
        <v/>
      </c>
      <c r="AC412" s="90">
        <f>IF($B412="","",IF(AB412=0,"✓ covered","⚠ "&amp;AB412&amp;IF(AB412=1," gap"," gaps")))</f>
        <v/>
      </c>
    </row>
    <row r="413" ht="17" customHeight="1">
      <c r="A413" t="n">
        <v>9</v>
      </c>
      <c r="B413" s="29">
        <f>IF(Setup!$K$11="","",Setup!$K$11)</f>
        <v/>
      </c>
      <c r="C413" s="88" t="n"/>
      <c r="D413" s="88" t="n"/>
      <c r="E413" s="88" t="n"/>
      <c r="F413" s="89" t="n"/>
      <c r="G413" s="88" t="n"/>
      <c r="H413" s="88" t="n"/>
      <c r="I413" s="88" t="n"/>
      <c r="J413" s="89" t="n"/>
      <c r="K413" s="88" t="n"/>
      <c r="L413" s="88" t="n"/>
      <c r="M413" s="88" t="n"/>
      <c r="N413" s="89" t="n"/>
      <c r="O413" s="88" t="n"/>
      <c r="P413" s="88" t="n"/>
      <c r="Q413" s="88" t="n"/>
      <c r="R413" s="89" t="n"/>
      <c r="S413" s="88" t="n"/>
      <c r="T413" s="88" t="n"/>
      <c r="U413" s="88" t="n"/>
      <c r="V413" s="89" t="n"/>
      <c r="W413" s="88" t="n"/>
      <c r="X413" s="89" t="n"/>
      <c r="Y413" s="88" t="n"/>
      <c r="Z413" s="89" t="n"/>
      <c r="AB413" s="30">
        <f>IF($B413="","",(COUNTIF(C413:E413,"?*")&lt;N(INDEX(Setup!$L$6:$L$23,6)))+(COUNTIF(G413:I413,"?*")&lt;N(INDEX(Setup!$L$6:$L$23,6)))+(COUNTIF(K413:M413,"?*")&lt;N(INDEX(Setup!$L$6:$L$23,6)))+(COUNTIF(O413:Q413,"?*")&lt;N(INDEX(Setup!$L$6:$L$23,6)))+(COUNTIF(S413:U413,"?*")&lt;N(INDEX(Setup!$L$6:$L$23,6)))+((W413="")*(INDEX(Setup!$M$6:$M$23,6)="Y"))+((Y413="")*(INDEX(Setup!$M$6:$M$23,6)="Y")))</f>
        <v/>
      </c>
      <c r="AC413" s="91">
        <f>IF($B413="","",IF(AB413=0,"✓ covered","⚠ "&amp;AB413&amp;IF(AB413=1," gap"," gaps")))</f>
        <v/>
      </c>
    </row>
    <row r="414" ht="17" customHeight="1">
      <c r="A414" t="n">
        <v>9</v>
      </c>
      <c r="B414" s="24">
        <f>IF(Setup!$K$12="","",Setup!$K$12)</f>
        <v/>
      </c>
      <c r="C414" s="88" t="n"/>
      <c r="D414" s="88" t="n"/>
      <c r="E414" s="88" t="n"/>
      <c r="F414" s="89" t="n"/>
      <c r="G414" s="88" t="n"/>
      <c r="H414" s="88" t="n"/>
      <c r="I414" s="88" t="n"/>
      <c r="J414" s="89" t="n"/>
      <c r="K414" s="88" t="n"/>
      <c r="L414" s="88" t="n"/>
      <c r="M414" s="88" t="n"/>
      <c r="N414" s="89" t="n"/>
      <c r="O414" s="88" t="n"/>
      <c r="P414" s="88" t="n"/>
      <c r="Q414" s="88" t="n"/>
      <c r="R414" s="89" t="n"/>
      <c r="S414" s="88" t="n"/>
      <c r="T414" s="88" t="n"/>
      <c r="U414" s="88" t="n"/>
      <c r="V414" s="89" t="n"/>
      <c r="W414" s="88" t="n"/>
      <c r="X414" s="89" t="n"/>
      <c r="Y414" s="88" t="n"/>
      <c r="Z414" s="89" t="n"/>
      <c r="AB414" s="25">
        <f>IF($B414="","",(COUNTIF(C414:E414,"?*")&lt;N(INDEX(Setup!$L$6:$L$23,7)))+(COUNTIF(G414:I414,"?*")&lt;N(INDEX(Setup!$L$6:$L$23,7)))+(COUNTIF(K414:M414,"?*")&lt;N(INDEX(Setup!$L$6:$L$23,7)))+(COUNTIF(O414:Q414,"?*")&lt;N(INDEX(Setup!$L$6:$L$23,7)))+(COUNTIF(S414:U414,"?*")&lt;N(INDEX(Setup!$L$6:$L$23,7)))+((W414="")*(INDEX(Setup!$M$6:$M$23,7)="Y"))+((Y414="")*(INDEX(Setup!$M$6:$M$23,7)="Y")))</f>
        <v/>
      </c>
      <c r="AC414" s="90">
        <f>IF($B414="","",IF(AB414=0,"✓ covered","⚠ "&amp;AB414&amp;IF(AB414=1," gap"," gaps")))</f>
        <v/>
      </c>
    </row>
    <row r="415" ht="17" customHeight="1">
      <c r="A415" t="n">
        <v>9</v>
      </c>
      <c r="B415" s="29">
        <f>IF(Setup!$K$13="","",Setup!$K$13)</f>
        <v/>
      </c>
      <c r="C415" s="88" t="n"/>
      <c r="D415" s="88" t="n"/>
      <c r="E415" s="88" t="n"/>
      <c r="F415" s="89" t="n"/>
      <c r="G415" s="88" t="n"/>
      <c r="H415" s="88" t="n"/>
      <c r="I415" s="88" t="n"/>
      <c r="J415" s="89" t="n"/>
      <c r="K415" s="88" t="n"/>
      <c r="L415" s="88" t="n"/>
      <c r="M415" s="88" t="n"/>
      <c r="N415" s="89" t="n"/>
      <c r="O415" s="88" t="n"/>
      <c r="P415" s="88" t="n"/>
      <c r="Q415" s="88" t="n"/>
      <c r="R415" s="89" t="n"/>
      <c r="S415" s="88" t="n"/>
      <c r="T415" s="88" t="n"/>
      <c r="U415" s="88" t="n"/>
      <c r="V415" s="89" t="n"/>
      <c r="W415" s="88" t="n"/>
      <c r="X415" s="89" t="n"/>
      <c r="Y415" s="88" t="n"/>
      <c r="Z415" s="89" t="n"/>
      <c r="AB415" s="30">
        <f>IF($B415="","",(COUNTIF(C415:E415,"?*")&lt;N(INDEX(Setup!$L$6:$L$23,8)))+(COUNTIF(G415:I415,"?*")&lt;N(INDEX(Setup!$L$6:$L$23,8)))+(COUNTIF(K415:M415,"?*")&lt;N(INDEX(Setup!$L$6:$L$23,8)))+(COUNTIF(O415:Q415,"?*")&lt;N(INDEX(Setup!$L$6:$L$23,8)))+(COUNTIF(S415:U415,"?*")&lt;N(INDEX(Setup!$L$6:$L$23,8)))+((W415="")*(INDEX(Setup!$M$6:$M$23,8)="Y"))+((Y415="")*(INDEX(Setup!$M$6:$M$23,8)="Y")))</f>
        <v/>
      </c>
      <c r="AC415" s="91">
        <f>IF($B415="","",IF(AB415=0,"✓ covered","⚠ "&amp;AB415&amp;IF(AB415=1," gap"," gaps")))</f>
        <v/>
      </c>
    </row>
    <row r="416" ht="17" customHeight="1">
      <c r="A416" t="n">
        <v>9</v>
      </c>
      <c r="B416" s="24">
        <f>IF(Setup!$K$14="","",Setup!$K$14)</f>
        <v/>
      </c>
      <c r="C416" s="88" t="n"/>
      <c r="D416" s="88" t="n"/>
      <c r="E416" s="88" t="n"/>
      <c r="F416" s="89" t="n"/>
      <c r="G416" s="88" t="n"/>
      <c r="H416" s="88" t="n"/>
      <c r="I416" s="88" t="n"/>
      <c r="J416" s="89" t="n"/>
      <c r="K416" s="88" t="n"/>
      <c r="L416" s="88" t="n"/>
      <c r="M416" s="88" t="n"/>
      <c r="N416" s="89" t="n"/>
      <c r="O416" s="88" t="n"/>
      <c r="P416" s="88" t="n"/>
      <c r="Q416" s="88" t="n"/>
      <c r="R416" s="89" t="n"/>
      <c r="S416" s="88" t="n"/>
      <c r="T416" s="88" t="n"/>
      <c r="U416" s="88" t="n"/>
      <c r="V416" s="89" t="n"/>
      <c r="W416" s="88" t="n"/>
      <c r="X416" s="89" t="n"/>
      <c r="Y416" s="88" t="n"/>
      <c r="Z416" s="89" t="n"/>
      <c r="AB416" s="25">
        <f>IF($B416="","",(COUNTIF(C416:E416,"?*")&lt;N(INDEX(Setup!$L$6:$L$23,9)))+(COUNTIF(G416:I416,"?*")&lt;N(INDEX(Setup!$L$6:$L$23,9)))+(COUNTIF(K416:M416,"?*")&lt;N(INDEX(Setup!$L$6:$L$23,9)))+(COUNTIF(O416:Q416,"?*")&lt;N(INDEX(Setup!$L$6:$L$23,9)))+(COUNTIF(S416:U416,"?*")&lt;N(INDEX(Setup!$L$6:$L$23,9)))+((W416="")*(INDEX(Setup!$M$6:$M$23,9)="Y"))+((Y416="")*(INDEX(Setup!$M$6:$M$23,9)="Y")))</f>
        <v/>
      </c>
      <c r="AC416" s="90">
        <f>IF($B416="","",IF(AB416=0,"✓ covered","⚠ "&amp;AB416&amp;IF(AB416=1," gap"," gaps")))</f>
        <v/>
      </c>
    </row>
    <row r="417" ht="17" customHeight="1">
      <c r="A417" t="n">
        <v>9</v>
      </c>
      <c r="B417" s="29">
        <f>IF(Setup!$K$15="","",Setup!$K$15)</f>
        <v/>
      </c>
      <c r="C417" s="88" t="n"/>
      <c r="D417" s="88" t="n"/>
      <c r="E417" s="88" t="n"/>
      <c r="F417" s="89" t="n"/>
      <c r="G417" s="88" t="n"/>
      <c r="H417" s="88" t="n"/>
      <c r="I417" s="88" t="n"/>
      <c r="J417" s="89" t="n"/>
      <c r="K417" s="88" t="n"/>
      <c r="L417" s="88" t="n"/>
      <c r="M417" s="88" t="n"/>
      <c r="N417" s="89" t="n"/>
      <c r="O417" s="88" t="n"/>
      <c r="P417" s="88" t="n"/>
      <c r="Q417" s="88" t="n"/>
      <c r="R417" s="89" t="n"/>
      <c r="S417" s="88" t="n"/>
      <c r="T417" s="88" t="n"/>
      <c r="U417" s="88" t="n"/>
      <c r="V417" s="89" t="n"/>
      <c r="W417" s="88" t="n"/>
      <c r="X417" s="89" t="n"/>
      <c r="Y417" s="88" t="n"/>
      <c r="Z417" s="89" t="n"/>
      <c r="AB417" s="30">
        <f>IF($B417="","",(COUNTIF(C417:E417,"?*")&lt;N(INDEX(Setup!$L$6:$L$23,10)))+(COUNTIF(G417:I417,"?*")&lt;N(INDEX(Setup!$L$6:$L$23,10)))+(COUNTIF(K417:M417,"?*")&lt;N(INDEX(Setup!$L$6:$L$23,10)))+(COUNTIF(O417:Q417,"?*")&lt;N(INDEX(Setup!$L$6:$L$23,10)))+(COUNTIF(S417:U417,"?*")&lt;N(INDEX(Setup!$L$6:$L$23,10)))+((W417="")*(INDEX(Setup!$M$6:$M$23,10)="Y"))+((Y417="")*(INDEX(Setup!$M$6:$M$23,10)="Y")))</f>
        <v/>
      </c>
      <c r="AC417" s="91">
        <f>IF($B417="","",IF(AB417=0,"✓ covered","⚠ "&amp;AB417&amp;IF(AB417=1," gap"," gaps")))</f>
        <v/>
      </c>
    </row>
    <row r="418" ht="17" customHeight="1">
      <c r="A418" t="n">
        <v>9</v>
      </c>
      <c r="B418" s="24">
        <f>IF(Setup!$K$16="","",Setup!$K$16)</f>
        <v/>
      </c>
      <c r="C418" s="88" t="n"/>
      <c r="D418" s="88" t="n"/>
      <c r="E418" s="88" t="n"/>
      <c r="F418" s="89" t="n"/>
      <c r="G418" s="88" t="n"/>
      <c r="H418" s="88" t="n"/>
      <c r="I418" s="88" t="n"/>
      <c r="J418" s="89" t="n"/>
      <c r="K418" s="88" t="n"/>
      <c r="L418" s="88" t="n"/>
      <c r="M418" s="88" t="n"/>
      <c r="N418" s="89" t="n"/>
      <c r="O418" s="88" t="n"/>
      <c r="P418" s="88" t="n"/>
      <c r="Q418" s="88" t="n"/>
      <c r="R418" s="89" t="n"/>
      <c r="S418" s="88" t="n"/>
      <c r="T418" s="88" t="n"/>
      <c r="U418" s="88" t="n"/>
      <c r="V418" s="89" t="n"/>
      <c r="W418" s="88" t="n"/>
      <c r="X418" s="89" t="n"/>
      <c r="Y418" s="88" t="n"/>
      <c r="Z418" s="89" t="n"/>
      <c r="AB418" s="25">
        <f>IF($B418="","",(COUNTIF(C418:E418,"?*")&lt;N(INDEX(Setup!$L$6:$L$23,11)))+(COUNTIF(G418:I418,"?*")&lt;N(INDEX(Setup!$L$6:$L$23,11)))+(COUNTIF(K418:M418,"?*")&lt;N(INDEX(Setup!$L$6:$L$23,11)))+(COUNTIF(O418:Q418,"?*")&lt;N(INDEX(Setup!$L$6:$L$23,11)))+(COUNTIF(S418:U418,"?*")&lt;N(INDEX(Setup!$L$6:$L$23,11)))+((W418="")*(INDEX(Setup!$M$6:$M$23,11)="Y"))+((Y418="")*(INDEX(Setup!$M$6:$M$23,11)="Y")))</f>
        <v/>
      </c>
      <c r="AC418" s="90">
        <f>IF($B418="","",IF(AB418=0,"✓ covered","⚠ "&amp;AB418&amp;IF(AB418=1," gap"," gaps")))</f>
        <v/>
      </c>
    </row>
    <row r="419" ht="17" customHeight="1">
      <c r="A419" t="n">
        <v>9</v>
      </c>
      <c r="B419" s="29">
        <f>IF(Setup!$K$17="","",Setup!$K$17)</f>
        <v/>
      </c>
      <c r="C419" s="88" t="n"/>
      <c r="D419" s="88" t="n"/>
      <c r="E419" s="88" t="n"/>
      <c r="F419" s="89" t="n"/>
      <c r="G419" s="88" t="n"/>
      <c r="H419" s="88" t="n"/>
      <c r="I419" s="88" t="n"/>
      <c r="J419" s="89" t="n"/>
      <c r="K419" s="88" t="n"/>
      <c r="L419" s="88" t="n"/>
      <c r="M419" s="88" t="n"/>
      <c r="N419" s="89" t="n"/>
      <c r="O419" s="88" t="n"/>
      <c r="P419" s="88" t="n"/>
      <c r="Q419" s="88" t="n"/>
      <c r="R419" s="89" t="n"/>
      <c r="S419" s="88" t="n"/>
      <c r="T419" s="88" t="n"/>
      <c r="U419" s="88" t="n"/>
      <c r="V419" s="89" t="n"/>
      <c r="W419" s="88" t="n"/>
      <c r="X419" s="89" t="n"/>
      <c r="Y419" s="88" t="n"/>
      <c r="Z419" s="89" t="n"/>
      <c r="AB419" s="30">
        <f>IF($B419="","",(COUNTIF(C419:E419,"?*")&lt;N(INDEX(Setup!$L$6:$L$23,12)))+(COUNTIF(G419:I419,"?*")&lt;N(INDEX(Setup!$L$6:$L$23,12)))+(COUNTIF(K419:M419,"?*")&lt;N(INDEX(Setup!$L$6:$L$23,12)))+(COUNTIF(O419:Q419,"?*")&lt;N(INDEX(Setup!$L$6:$L$23,12)))+(COUNTIF(S419:U419,"?*")&lt;N(INDEX(Setup!$L$6:$L$23,12)))+((W419="")*(INDEX(Setup!$M$6:$M$23,12)="Y"))+((Y419="")*(INDEX(Setup!$M$6:$M$23,12)="Y")))</f>
        <v/>
      </c>
      <c r="AC419" s="91">
        <f>IF($B419="","",IF(AB419=0,"✓ covered","⚠ "&amp;AB419&amp;IF(AB419=1," gap"," gaps")))</f>
        <v/>
      </c>
    </row>
    <row r="420" ht="17" customHeight="1">
      <c r="A420" t="n">
        <v>9</v>
      </c>
      <c r="B420" s="24">
        <f>IF(Setup!$K$18="","",Setup!$K$18)</f>
        <v/>
      </c>
      <c r="C420" s="88" t="n"/>
      <c r="D420" s="88" t="n"/>
      <c r="E420" s="88" t="n"/>
      <c r="F420" s="89" t="n"/>
      <c r="G420" s="88" t="n"/>
      <c r="H420" s="88" t="n"/>
      <c r="I420" s="88" t="n"/>
      <c r="J420" s="89" t="n"/>
      <c r="K420" s="88" t="n"/>
      <c r="L420" s="88" t="n"/>
      <c r="M420" s="88" t="n"/>
      <c r="N420" s="89" t="n"/>
      <c r="O420" s="88" t="n"/>
      <c r="P420" s="88" t="n"/>
      <c r="Q420" s="88" t="n"/>
      <c r="R420" s="89" t="n"/>
      <c r="S420" s="88" t="n"/>
      <c r="T420" s="88" t="n"/>
      <c r="U420" s="88" t="n"/>
      <c r="V420" s="89" t="n"/>
      <c r="W420" s="88" t="n"/>
      <c r="X420" s="89" t="n"/>
      <c r="Y420" s="88" t="n"/>
      <c r="Z420" s="89" t="n"/>
      <c r="AB420" s="25">
        <f>IF($B420="","",(COUNTIF(C420:E420,"?*")&lt;N(INDEX(Setup!$L$6:$L$23,13)))+(COUNTIF(G420:I420,"?*")&lt;N(INDEX(Setup!$L$6:$L$23,13)))+(COUNTIF(K420:M420,"?*")&lt;N(INDEX(Setup!$L$6:$L$23,13)))+(COUNTIF(O420:Q420,"?*")&lt;N(INDEX(Setup!$L$6:$L$23,13)))+(COUNTIF(S420:U420,"?*")&lt;N(INDEX(Setup!$L$6:$L$23,13)))+((W420="")*(INDEX(Setup!$M$6:$M$23,13)="Y"))+((Y420="")*(INDEX(Setup!$M$6:$M$23,13)="Y")))</f>
        <v/>
      </c>
      <c r="AC420" s="90">
        <f>IF($B420="","",IF(AB420=0,"✓ covered","⚠ "&amp;AB420&amp;IF(AB420=1," gap"," gaps")))</f>
        <v/>
      </c>
    </row>
    <row r="421" ht="17" customHeight="1">
      <c r="A421" t="n">
        <v>9</v>
      </c>
      <c r="B421" s="29">
        <f>IF(Setup!$K$19="","",Setup!$K$19)</f>
        <v/>
      </c>
      <c r="C421" s="88" t="n"/>
      <c r="D421" s="88" t="n"/>
      <c r="E421" s="88" t="n"/>
      <c r="F421" s="89" t="n"/>
      <c r="G421" s="88" t="n"/>
      <c r="H421" s="88" t="n"/>
      <c r="I421" s="88" t="n"/>
      <c r="J421" s="89" t="n"/>
      <c r="K421" s="88" t="n"/>
      <c r="L421" s="88" t="n"/>
      <c r="M421" s="88" t="n"/>
      <c r="N421" s="89" t="n"/>
      <c r="O421" s="88" t="n"/>
      <c r="P421" s="88" t="n"/>
      <c r="Q421" s="88" t="n"/>
      <c r="R421" s="89" t="n"/>
      <c r="S421" s="88" t="n"/>
      <c r="T421" s="88" t="n"/>
      <c r="U421" s="88" t="n"/>
      <c r="V421" s="89" t="n"/>
      <c r="W421" s="88" t="n"/>
      <c r="X421" s="89" t="n"/>
      <c r="Y421" s="88" t="n"/>
      <c r="Z421" s="89" t="n"/>
      <c r="AB421" s="30">
        <f>IF($B421="","",(COUNTIF(C421:E421,"?*")&lt;N(INDEX(Setup!$L$6:$L$23,14)))+(COUNTIF(G421:I421,"?*")&lt;N(INDEX(Setup!$L$6:$L$23,14)))+(COUNTIF(K421:M421,"?*")&lt;N(INDEX(Setup!$L$6:$L$23,14)))+(COUNTIF(O421:Q421,"?*")&lt;N(INDEX(Setup!$L$6:$L$23,14)))+(COUNTIF(S421:U421,"?*")&lt;N(INDEX(Setup!$L$6:$L$23,14)))+((W421="")*(INDEX(Setup!$M$6:$M$23,14)="Y"))+((Y421="")*(INDEX(Setup!$M$6:$M$23,14)="Y")))</f>
        <v/>
      </c>
      <c r="AC421" s="91">
        <f>IF($B421="","",IF(AB421=0,"✓ covered","⚠ "&amp;AB421&amp;IF(AB421=1," gap"," gaps")))</f>
        <v/>
      </c>
    </row>
    <row r="422" ht="17" customHeight="1">
      <c r="A422" t="n">
        <v>9</v>
      </c>
      <c r="B422" s="24">
        <f>IF(Setup!$K$20="","",Setup!$K$20)</f>
        <v/>
      </c>
      <c r="C422" s="88" t="n"/>
      <c r="D422" s="88" t="n"/>
      <c r="E422" s="88" t="n"/>
      <c r="F422" s="89" t="n"/>
      <c r="G422" s="88" t="n"/>
      <c r="H422" s="88" t="n"/>
      <c r="I422" s="88" t="n"/>
      <c r="J422" s="89" t="n"/>
      <c r="K422" s="88" t="n"/>
      <c r="L422" s="88" t="n"/>
      <c r="M422" s="88" t="n"/>
      <c r="N422" s="89" t="n"/>
      <c r="O422" s="88" t="n"/>
      <c r="P422" s="88" t="n"/>
      <c r="Q422" s="88" t="n"/>
      <c r="R422" s="89" t="n"/>
      <c r="S422" s="88" t="n"/>
      <c r="T422" s="88" t="n"/>
      <c r="U422" s="88" t="n"/>
      <c r="V422" s="89" t="n"/>
      <c r="W422" s="88" t="n"/>
      <c r="X422" s="89" t="n"/>
      <c r="Y422" s="88" t="n"/>
      <c r="Z422" s="89" t="n"/>
      <c r="AB422" s="25">
        <f>IF($B422="","",(COUNTIF(C422:E422,"?*")&lt;N(INDEX(Setup!$L$6:$L$23,15)))+(COUNTIF(G422:I422,"?*")&lt;N(INDEX(Setup!$L$6:$L$23,15)))+(COUNTIF(K422:M422,"?*")&lt;N(INDEX(Setup!$L$6:$L$23,15)))+(COUNTIF(O422:Q422,"?*")&lt;N(INDEX(Setup!$L$6:$L$23,15)))+(COUNTIF(S422:U422,"?*")&lt;N(INDEX(Setup!$L$6:$L$23,15)))+((W422="")*(INDEX(Setup!$M$6:$M$23,15)="Y"))+((Y422="")*(INDEX(Setup!$M$6:$M$23,15)="Y")))</f>
        <v/>
      </c>
      <c r="AC422" s="90">
        <f>IF($B422="","",IF(AB422=0,"✓ covered","⚠ "&amp;AB422&amp;IF(AB422=1," gap"," gaps")))</f>
        <v/>
      </c>
    </row>
    <row r="423" ht="17" customHeight="1">
      <c r="A423" t="n">
        <v>9</v>
      </c>
      <c r="B423" s="29">
        <f>IF(Setup!$K$21="","",Setup!$K$21)</f>
        <v/>
      </c>
      <c r="C423" s="88" t="n"/>
      <c r="D423" s="88" t="n"/>
      <c r="E423" s="88" t="n"/>
      <c r="F423" s="89" t="n"/>
      <c r="G423" s="88" t="n"/>
      <c r="H423" s="88" t="n"/>
      <c r="I423" s="88" t="n"/>
      <c r="J423" s="89" t="n"/>
      <c r="K423" s="88" t="n"/>
      <c r="L423" s="88" t="n"/>
      <c r="M423" s="88" t="n"/>
      <c r="N423" s="89" t="n"/>
      <c r="O423" s="88" t="n"/>
      <c r="P423" s="88" t="n"/>
      <c r="Q423" s="88" t="n"/>
      <c r="R423" s="89" t="n"/>
      <c r="S423" s="88" t="n"/>
      <c r="T423" s="88" t="n"/>
      <c r="U423" s="88" t="n"/>
      <c r="V423" s="89" t="n"/>
      <c r="W423" s="88" t="n"/>
      <c r="X423" s="89" t="n"/>
      <c r="Y423" s="88" t="n"/>
      <c r="Z423" s="89" t="n"/>
      <c r="AB423" s="30">
        <f>IF($B423="","",(COUNTIF(C423:E423,"?*")&lt;N(INDEX(Setup!$L$6:$L$23,16)))+(COUNTIF(G423:I423,"?*")&lt;N(INDEX(Setup!$L$6:$L$23,16)))+(COUNTIF(K423:M423,"?*")&lt;N(INDEX(Setup!$L$6:$L$23,16)))+(COUNTIF(O423:Q423,"?*")&lt;N(INDEX(Setup!$L$6:$L$23,16)))+(COUNTIF(S423:U423,"?*")&lt;N(INDEX(Setup!$L$6:$L$23,16)))+((W423="")*(INDEX(Setup!$M$6:$M$23,16)="Y"))+((Y423="")*(INDEX(Setup!$M$6:$M$23,16)="Y")))</f>
        <v/>
      </c>
      <c r="AC423" s="91">
        <f>IF($B423="","",IF(AB423=0,"✓ covered","⚠ "&amp;AB423&amp;IF(AB423=1," gap"," gaps")))</f>
        <v/>
      </c>
    </row>
    <row r="424" ht="17" customHeight="1">
      <c r="A424" t="n">
        <v>9</v>
      </c>
      <c r="B424" s="24">
        <f>IF(Setup!$K$22="","",Setup!$K$22)</f>
        <v/>
      </c>
      <c r="C424" s="88" t="n"/>
      <c r="D424" s="88" t="n"/>
      <c r="E424" s="88" t="n"/>
      <c r="F424" s="89" t="n"/>
      <c r="G424" s="88" t="n"/>
      <c r="H424" s="88" t="n"/>
      <c r="I424" s="88" t="n"/>
      <c r="J424" s="89" t="n"/>
      <c r="K424" s="88" t="n"/>
      <c r="L424" s="88" t="n"/>
      <c r="M424" s="88" t="n"/>
      <c r="N424" s="89" t="n"/>
      <c r="O424" s="88" t="n"/>
      <c r="P424" s="88" t="n"/>
      <c r="Q424" s="88" t="n"/>
      <c r="R424" s="89" t="n"/>
      <c r="S424" s="88" t="n"/>
      <c r="T424" s="88" t="n"/>
      <c r="U424" s="88" t="n"/>
      <c r="V424" s="89" t="n"/>
      <c r="W424" s="88" t="n"/>
      <c r="X424" s="89" t="n"/>
      <c r="Y424" s="88" t="n"/>
      <c r="Z424" s="89" t="n"/>
      <c r="AB424" s="25">
        <f>IF($B424="","",(COUNTIF(C424:E424,"?*")&lt;N(INDEX(Setup!$L$6:$L$23,17)))+(COUNTIF(G424:I424,"?*")&lt;N(INDEX(Setup!$L$6:$L$23,17)))+(COUNTIF(K424:M424,"?*")&lt;N(INDEX(Setup!$L$6:$L$23,17)))+(COUNTIF(O424:Q424,"?*")&lt;N(INDEX(Setup!$L$6:$L$23,17)))+(COUNTIF(S424:U424,"?*")&lt;N(INDEX(Setup!$L$6:$L$23,17)))+((W424="")*(INDEX(Setup!$M$6:$M$23,17)="Y"))+((Y424="")*(INDEX(Setup!$M$6:$M$23,17)="Y")))</f>
        <v/>
      </c>
      <c r="AC424" s="90">
        <f>IF($B424="","",IF(AB424=0,"✓ covered","⚠ "&amp;AB424&amp;IF(AB424=1," gap"," gaps")))</f>
        <v/>
      </c>
    </row>
    <row r="425" ht="17" customHeight="1">
      <c r="A425" t="n">
        <v>9</v>
      </c>
      <c r="B425" s="29">
        <f>IF(Setup!$K$23="","",Setup!$K$23)</f>
        <v/>
      </c>
      <c r="C425" s="88" t="n"/>
      <c r="D425" s="88" t="n"/>
      <c r="E425" s="88" t="n"/>
      <c r="F425" s="89" t="n"/>
      <c r="G425" s="88" t="n"/>
      <c r="H425" s="88" t="n"/>
      <c r="I425" s="88" t="n"/>
      <c r="J425" s="89" t="n"/>
      <c r="K425" s="88" t="n"/>
      <c r="L425" s="88" t="n"/>
      <c r="M425" s="88" t="n"/>
      <c r="N425" s="89" t="n"/>
      <c r="O425" s="88" t="n"/>
      <c r="P425" s="88" t="n"/>
      <c r="Q425" s="88" t="n"/>
      <c r="R425" s="89" t="n"/>
      <c r="S425" s="88" t="n"/>
      <c r="T425" s="88" t="n"/>
      <c r="U425" s="88" t="n"/>
      <c r="V425" s="89" t="n"/>
      <c r="W425" s="88" t="n"/>
      <c r="X425" s="89" t="n"/>
      <c r="Y425" s="88" t="n"/>
      <c r="Z425" s="89" t="n"/>
      <c r="AB425" s="30">
        <f>IF($B425="","",(COUNTIF(C425:E425,"?*")&lt;N(INDEX(Setup!$L$6:$L$23,18)))+(COUNTIF(G425:I425,"?*")&lt;N(INDEX(Setup!$L$6:$L$23,18)))+(COUNTIF(K425:M425,"?*")&lt;N(INDEX(Setup!$L$6:$L$23,18)))+(COUNTIF(O425:Q425,"?*")&lt;N(INDEX(Setup!$L$6:$L$23,18)))+(COUNTIF(S425:U425,"?*")&lt;N(INDEX(Setup!$L$6:$L$23,18)))+((W425="")*(INDEX(Setup!$M$6:$M$23,18)="Y"))+((Y425="")*(INDEX(Setup!$M$6:$M$23,18)="Y")))</f>
        <v/>
      </c>
      <c r="AC425" s="91">
        <f>IF($B425="","",IF(AB425=0,"✓ covered","⚠ "&amp;AB425&amp;IF(AB425=1," gap"," gaps")))</f>
        <v/>
      </c>
    </row>
    <row r="426" ht="18" customHeight="1">
      <c r="A426" t="n">
        <v>9</v>
      </c>
      <c r="B426" s="78" t="inlineStr">
        <is>
          <t>TEAM AVAILABILITY</t>
        </is>
      </c>
      <c r="C426" s="92" t="inlineStr">
        <is>
          <t>Mon</t>
        </is>
      </c>
      <c r="D426" s="93" t="n"/>
      <c r="E426" s="93" t="n"/>
      <c r="F426" s="94" t="n"/>
      <c r="G426" s="92" t="inlineStr">
        <is>
          <t>Tue</t>
        </is>
      </c>
      <c r="H426" s="93" t="n"/>
      <c r="I426" s="93" t="n"/>
      <c r="J426" s="94" t="n"/>
      <c r="K426" s="92" t="inlineStr">
        <is>
          <t>Wed</t>
        </is>
      </c>
      <c r="L426" s="93" t="n"/>
      <c r="M426" s="93" t="n"/>
      <c r="N426" s="94" t="n"/>
      <c r="O426" s="92" t="inlineStr">
        <is>
          <t>Thu</t>
        </is>
      </c>
      <c r="P426" s="93" t="n"/>
      <c r="Q426" s="93" t="n"/>
      <c r="R426" s="94" t="n"/>
      <c r="S426" s="92" t="inlineStr">
        <is>
          <t>Fri</t>
        </is>
      </c>
      <c r="T426" s="93" t="n"/>
      <c r="U426" s="93" t="n"/>
      <c r="V426" s="94" t="n"/>
      <c r="W426" s="95" t="inlineStr">
        <is>
          <t>Sat</t>
        </is>
      </c>
      <c r="X426" s="96" t="n"/>
      <c r="Y426" s="95" t="inlineStr">
        <is>
          <t>Sun</t>
        </is>
      </c>
      <c r="Z426" s="96" t="n"/>
      <c r="AB426" s="97" t="inlineStr">
        <is>
          <t>Days rostered</t>
        </is>
      </c>
      <c r="AC426" s="97" t="inlineStr">
        <is>
          <t>Conflicts</t>
        </is>
      </c>
    </row>
    <row r="427" ht="15" customHeight="1">
      <c r="A427" t="n">
        <v>9</v>
      </c>
      <c r="B427" s="35">
        <f>IF(Setup!$B$6="","",Setup!$B$6)</f>
        <v/>
      </c>
      <c r="C427" s="98" t="n"/>
      <c r="D427" s="99" t="n"/>
      <c r="E427" s="99" t="n"/>
      <c r="F427" s="100" t="n"/>
      <c r="G427" s="98" t="n"/>
      <c r="H427" s="99" t="n"/>
      <c r="I427" s="99" t="n"/>
      <c r="J427" s="100" t="n"/>
      <c r="K427" s="98" t="n"/>
      <c r="L427" s="99" t="n"/>
      <c r="M427" s="99" t="n"/>
      <c r="N427" s="100" t="n"/>
      <c r="O427" s="98" t="n"/>
      <c r="P427" s="99" t="n"/>
      <c r="Q427" s="99" t="n"/>
      <c r="R427" s="100" t="n"/>
      <c r="S427" s="98" t="n"/>
      <c r="T427" s="99" t="n"/>
      <c r="U427" s="99" t="n"/>
      <c r="V427" s="100" t="n"/>
      <c r="W427" s="98" t="n"/>
      <c r="X427" s="100" t="n"/>
      <c r="Y427" s="98" t="n"/>
      <c r="Z427" s="100" t="n"/>
      <c r="AB427" s="101">
        <f>IF($B427="","",(COUNTIF(C408:E425,$B427)+COUNTIF(C408:E425,$B427&amp;" ~*")&gt;0)+(COUNTIF(G408:I425,$B427)+COUNTIF(G408:I425,$B427&amp;" ~*")&gt;0)+(COUNTIF(K408:M425,$B427)+COUNTIF(K408:M425,$B427&amp;" ~*")&gt;0)+(COUNTIF(O408:Q425,$B427)+COUNTIF(O408:Q425,$B427&amp;" ~*")&gt;0)+(COUNTIF(S408:U425,$B427)+COUNTIF(S408:U425,$B427&amp;" ~*")&gt;0)+(COUNTIF(W408:W425,$B427)+COUNTIF(W408:W425,$B427&amp;" ~*")&gt;0)+(COUNTIF(Y408:Y425,$B427)+COUNTIF(Y408:Y425,$B427&amp;" ~*")&gt;0))</f>
        <v/>
      </c>
      <c r="AC427" s="36">
        <f>IF($B427="","",(IFERROR(INDEX(Setup!$G$33:$G$40,MATCH(C427,Setup!$B$33:$B$40,0)),0)=1)*(COUNTIF(C408:E425,$B427)+COUNTIF(C408:E425,$B427&amp;" ~*")&gt;0)+(IFERROR(INDEX(Setup!$G$33:$G$40,MATCH(G427,Setup!$B$33:$B$40,0)),0)=1)*(COUNTIF(G408:I425,$B427)+COUNTIF(G408:I425,$B427&amp;" ~*")&gt;0)+(IFERROR(INDEX(Setup!$G$33:$G$40,MATCH(K427,Setup!$B$33:$B$40,0)),0)=1)*(COUNTIF(K408:M425,$B427)+COUNTIF(K408:M425,$B427&amp;" ~*")&gt;0)+(IFERROR(INDEX(Setup!$G$33:$G$40,MATCH(O427,Setup!$B$33:$B$40,0)),0)=1)*(COUNTIF(O408:Q425,$B427)+COUNTIF(O408:Q425,$B427&amp;" ~*")&gt;0)+(IFERROR(INDEX(Setup!$G$33:$G$40,MATCH(S427,Setup!$B$33:$B$40,0)),0)=1)*(COUNTIF(S408:U425,$B427)+COUNTIF(S408:U425,$B427&amp;" ~*")&gt;0)+(IFERROR(INDEX(Setup!$G$33:$G$40,MATCH(W427,Setup!$B$33:$B$40,0)),0)=1)*(COUNTIF(W408:W425,$B427)+COUNTIF(W408:W425,$B427&amp;" ~*")&gt;0)+(IFERROR(INDEX(Setup!$G$33:$G$40,MATCH(Y427,Setup!$B$33:$B$40,0)),0)=1)*(COUNTIF(Y408:Y425,$B427)+COUNTIF(Y408:Y425,$B427&amp;" ~*")&gt;0))</f>
        <v/>
      </c>
    </row>
    <row r="428" ht="15" customHeight="1">
      <c r="A428" t="n">
        <v>9</v>
      </c>
      <c r="B428" s="37">
        <f>IF(Setup!$B$7="","",Setup!$B$7)</f>
        <v/>
      </c>
      <c r="C428" s="102" t="n"/>
      <c r="D428" s="103" t="n"/>
      <c r="E428" s="103" t="n"/>
      <c r="F428" s="104" t="n"/>
      <c r="G428" s="102" t="n"/>
      <c r="H428" s="103" t="n"/>
      <c r="I428" s="103" t="n"/>
      <c r="J428" s="104" t="n"/>
      <c r="K428" s="102" t="n"/>
      <c r="L428" s="103" t="n"/>
      <c r="M428" s="103" t="n"/>
      <c r="N428" s="104" t="n"/>
      <c r="O428" s="102" t="n"/>
      <c r="P428" s="103" t="n"/>
      <c r="Q428" s="103" t="n"/>
      <c r="R428" s="104" t="n"/>
      <c r="S428" s="102" t="n"/>
      <c r="T428" s="103" t="n"/>
      <c r="U428" s="103" t="n"/>
      <c r="V428" s="104" t="n"/>
      <c r="W428" s="102" t="n"/>
      <c r="X428" s="104" t="n"/>
      <c r="Y428" s="102" t="n"/>
      <c r="Z428" s="104" t="n"/>
      <c r="AB428" s="105">
        <f>IF($B428="","",(COUNTIF(C408:E425,$B428)+COUNTIF(C408:E425,$B428&amp;" ~*")&gt;0)+(COUNTIF(G408:I425,$B428)+COUNTIF(G408:I425,$B428&amp;" ~*")&gt;0)+(COUNTIF(K408:M425,$B428)+COUNTIF(K408:M425,$B428&amp;" ~*")&gt;0)+(COUNTIF(O408:Q425,$B428)+COUNTIF(O408:Q425,$B428&amp;" ~*")&gt;0)+(COUNTIF(S408:U425,$B428)+COUNTIF(S408:U425,$B428&amp;" ~*")&gt;0)+(COUNTIF(W408:W425,$B428)+COUNTIF(W408:W425,$B428&amp;" ~*")&gt;0)+(COUNTIF(Y408:Y425,$B428)+COUNTIF(Y408:Y425,$B428&amp;" ~*")&gt;0))</f>
        <v/>
      </c>
      <c r="AC428" s="38">
        <f>IF($B428="","",(IFERROR(INDEX(Setup!$G$33:$G$40,MATCH(C428,Setup!$B$33:$B$40,0)),0)=1)*(COUNTIF(C408:E425,$B428)+COUNTIF(C408:E425,$B428&amp;" ~*")&gt;0)+(IFERROR(INDEX(Setup!$G$33:$G$40,MATCH(G428,Setup!$B$33:$B$40,0)),0)=1)*(COUNTIF(G408:I425,$B428)+COUNTIF(G408:I425,$B428&amp;" ~*")&gt;0)+(IFERROR(INDEX(Setup!$G$33:$G$40,MATCH(K428,Setup!$B$33:$B$40,0)),0)=1)*(COUNTIF(K408:M425,$B428)+COUNTIF(K408:M425,$B428&amp;" ~*")&gt;0)+(IFERROR(INDEX(Setup!$G$33:$G$40,MATCH(O428,Setup!$B$33:$B$40,0)),0)=1)*(COUNTIF(O408:Q425,$B428)+COUNTIF(O408:Q425,$B428&amp;" ~*")&gt;0)+(IFERROR(INDEX(Setup!$G$33:$G$40,MATCH(S428,Setup!$B$33:$B$40,0)),0)=1)*(COUNTIF(S408:U425,$B428)+COUNTIF(S408:U425,$B428&amp;" ~*")&gt;0)+(IFERROR(INDEX(Setup!$G$33:$G$40,MATCH(W428,Setup!$B$33:$B$40,0)),0)=1)*(COUNTIF(W408:W425,$B428)+COUNTIF(W408:W425,$B428&amp;" ~*")&gt;0)+(IFERROR(INDEX(Setup!$G$33:$G$40,MATCH(Y428,Setup!$B$33:$B$40,0)),0)=1)*(COUNTIF(Y408:Y425,$B428)+COUNTIF(Y408:Y425,$B428&amp;" ~*")&gt;0))</f>
        <v/>
      </c>
    </row>
    <row r="429" ht="15" customHeight="1">
      <c r="A429" t="n">
        <v>9</v>
      </c>
      <c r="B429" s="35">
        <f>IF(Setup!$B$8="","",Setup!$B$8)</f>
        <v/>
      </c>
      <c r="C429" s="98" t="n"/>
      <c r="D429" s="99" t="n"/>
      <c r="E429" s="99" t="n"/>
      <c r="F429" s="100" t="n"/>
      <c r="G429" s="98" t="n"/>
      <c r="H429" s="99" t="n"/>
      <c r="I429" s="99" t="n"/>
      <c r="J429" s="100" t="n"/>
      <c r="K429" s="98" t="n"/>
      <c r="L429" s="99" t="n"/>
      <c r="M429" s="99" t="n"/>
      <c r="N429" s="100" t="n"/>
      <c r="O429" s="98" t="n"/>
      <c r="P429" s="99" t="n"/>
      <c r="Q429" s="99" t="n"/>
      <c r="R429" s="100" t="n"/>
      <c r="S429" s="98" t="n"/>
      <c r="T429" s="99" t="n"/>
      <c r="U429" s="99" t="n"/>
      <c r="V429" s="100" t="n"/>
      <c r="W429" s="98" t="n"/>
      <c r="X429" s="100" t="n"/>
      <c r="Y429" s="98" t="n"/>
      <c r="Z429" s="100" t="n"/>
      <c r="AB429" s="101">
        <f>IF($B429="","",(COUNTIF(C408:E425,$B429)+COUNTIF(C408:E425,$B429&amp;" ~*")&gt;0)+(COUNTIF(G408:I425,$B429)+COUNTIF(G408:I425,$B429&amp;" ~*")&gt;0)+(COUNTIF(K408:M425,$B429)+COUNTIF(K408:M425,$B429&amp;" ~*")&gt;0)+(COUNTIF(O408:Q425,$B429)+COUNTIF(O408:Q425,$B429&amp;" ~*")&gt;0)+(COUNTIF(S408:U425,$B429)+COUNTIF(S408:U425,$B429&amp;" ~*")&gt;0)+(COUNTIF(W408:W425,$B429)+COUNTIF(W408:W425,$B429&amp;" ~*")&gt;0)+(COUNTIF(Y408:Y425,$B429)+COUNTIF(Y408:Y425,$B429&amp;" ~*")&gt;0))</f>
        <v/>
      </c>
      <c r="AC429" s="36">
        <f>IF($B429="","",(IFERROR(INDEX(Setup!$G$33:$G$40,MATCH(C429,Setup!$B$33:$B$40,0)),0)=1)*(COUNTIF(C408:E425,$B429)+COUNTIF(C408:E425,$B429&amp;" ~*")&gt;0)+(IFERROR(INDEX(Setup!$G$33:$G$40,MATCH(G429,Setup!$B$33:$B$40,0)),0)=1)*(COUNTIF(G408:I425,$B429)+COUNTIF(G408:I425,$B429&amp;" ~*")&gt;0)+(IFERROR(INDEX(Setup!$G$33:$G$40,MATCH(K429,Setup!$B$33:$B$40,0)),0)=1)*(COUNTIF(K408:M425,$B429)+COUNTIF(K408:M425,$B429&amp;" ~*")&gt;0)+(IFERROR(INDEX(Setup!$G$33:$G$40,MATCH(O429,Setup!$B$33:$B$40,0)),0)=1)*(COUNTIF(O408:Q425,$B429)+COUNTIF(O408:Q425,$B429&amp;" ~*")&gt;0)+(IFERROR(INDEX(Setup!$G$33:$G$40,MATCH(S429,Setup!$B$33:$B$40,0)),0)=1)*(COUNTIF(S408:U425,$B429)+COUNTIF(S408:U425,$B429&amp;" ~*")&gt;0)+(IFERROR(INDEX(Setup!$G$33:$G$40,MATCH(W429,Setup!$B$33:$B$40,0)),0)=1)*(COUNTIF(W408:W425,$B429)+COUNTIF(W408:W425,$B429&amp;" ~*")&gt;0)+(IFERROR(INDEX(Setup!$G$33:$G$40,MATCH(Y429,Setup!$B$33:$B$40,0)),0)=1)*(COUNTIF(Y408:Y425,$B429)+COUNTIF(Y408:Y425,$B429&amp;" ~*")&gt;0))</f>
        <v/>
      </c>
    </row>
    <row r="430" ht="15" customHeight="1">
      <c r="A430" t="n">
        <v>9</v>
      </c>
      <c r="B430" s="37">
        <f>IF(Setup!$B$9="","",Setup!$B$9)</f>
        <v/>
      </c>
      <c r="C430" s="102" t="n"/>
      <c r="D430" s="103" t="n"/>
      <c r="E430" s="103" t="n"/>
      <c r="F430" s="104" t="n"/>
      <c r="G430" s="102" t="n"/>
      <c r="H430" s="103" t="n"/>
      <c r="I430" s="103" t="n"/>
      <c r="J430" s="104" t="n"/>
      <c r="K430" s="102" t="n"/>
      <c r="L430" s="103" t="n"/>
      <c r="M430" s="103" t="n"/>
      <c r="N430" s="104" t="n"/>
      <c r="O430" s="102" t="n"/>
      <c r="P430" s="103" t="n"/>
      <c r="Q430" s="103" t="n"/>
      <c r="R430" s="104" t="n"/>
      <c r="S430" s="102" t="n"/>
      <c r="T430" s="103" t="n"/>
      <c r="U430" s="103" t="n"/>
      <c r="V430" s="104" t="n"/>
      <c r="W430" s="102" t="n"/>
      <c r="X430" s="104" t="n"/>
      <c r="Y430" s="102" t="n"/>
      <c r="Z430" s="104" t="n"/>
      <c r="AB430" s="105">
        <f>IF($B430="","",(COUNTIF(C408:E425,$B430)+COUNTIF(C408:E425,$B430&amp;" ~*")&gt;0)+(COUNTIF(G408:I425,$B430)+COUNTIF(G408:I425,$B430&amp;" ~*")&gt;0)+(COUNTIF(K408:M425,$B430)+COUNTIF(K408:M425,$B430&amp;" ~*")&gt;0)+(COUNTIF(O408:Q425,$B430)+COUNTIF(O408:Q425,$B430&amp;" ~*")&gt;0)+(COUNTIF(S408:U425,$B430)+COUNTIF(S408:U425,$B430&amp;" ~*")&gt;0)+(COUNTIF(W408:W425,$B430)+COUNTIF(W408:W425,$B430&amp;" ~*")&gt;0)+(COUNTIF(Y408:Y425,$B430)+COUNTIF(Y408:Y425,$B430&amp;" ~*")&gt;0))</f>
        <v/>
      </c>
      <c r="AC430" s="38">
        <f>IF($B430="","",(IFERROR(INDEX(Setup!$G$33:$G$40,MATCH(C430,Setup!$B$33:$B$40,0)),0)=1)*(COUNTIF(C408:E425,$B430)+COUNTIF(C408:E425,$B430&amp;" ~*")&gt;0)+(IFERROR(INDEX(Setup!$G$33:$G$40,MATCH(G430,Setup!$B$33:$B$40,0)),0)=1)*(COUNTIF(G408:I425,$B430)+COUNTIF(G408:I425,$B430&amp;" ~*")&gt;0)+(IFERROR(INDEX(Setup!$G$33:$G$40,MATCH(K430,Setup!$B$33:$B$40,0)),0)=1)*(COUNTIF(K408:M425,$B430)+COUNTIF(K408:M425,$B430&amp;" ~*")&gt;0)+(IFERROR(INDEX(Setup!$G$33:$G$40,MATCH(O430,Setup!$B$33:$B$40,0)),0)=1)*(COUNTIF(O408:Q425,$B430)+COUNTIF(O408:Q425,$B430&amp;" ~*")&gt;0)+(IFERROR(INDEX(Setup!$G$33:$G$40,MATCH(S430,Setup!$B$33:$B$40,0)),0)=1)*(COUNTIF(S408:U425,$B430)+COUNTIF(S408:U425,$B430&amp;" ~*")&gt;0)+(IFERROR(INDEX(Setup!$G$33:$G$40,MATCH(W430,Setup!$B$33:$B$40,0)),0)=1)*(COUNTIF(W408:W425,$B430)+COUNTIF(W408:W425,$B430&amp;" ~*")&gt;0)+(IFERROR(INDEX(Setup!$G$33:$G$40,MATCH(Y430,Setup!$B$33:$B$40,0)),0)=1)*(COUNTIF(Y408:Y425,$B430)+COUNTIF(Y408:Y425,$B430&amp;" ~*")&gt;0))</f>
        <v/>
      </c>
    </row>
    <row r="431" ht="15" customHeight="1">
      <c r="A431" t="n">
        <v>9</v>
      </c>
      <c r="B431" s="35">
        <f>IF(Setup!$B$10="","",Setup!$B$10)</f>
        <v/>
      </c>
      <c r="C431" s="98" t="n"/>
      <c r="D431" s="99" t="n"/>
      <c r="E431" s="99" t="n"/>
      <c r="F431" s="100" t="n"/>
      <c r="G431" s="98" t="n"/>
      <c r="H431" s="99" t="n"/>
      <c r="I431" s="99" t="n"/>
      <c r="J431" s="100" t="n"/>
      <c r="K431" s="98" t="n"/>
      <c r="L431" s="99" t="n"/>
      <c r="M431" s="99" t="n"/>
      <c r="N431" s="100" t="n"/>
      <c r="O431" s="98" t="n"/>
      <c r="P431" s="99" t="n"/>
      <c r="Q431" s="99" t="n"/>
      <c r="R431" s="100" t="n"/>
      <c r="S431" s="98" t="n"/>
      <c r="T431" s="99" t="n"/>
      <c r="U431" s="99" t="n"/>
      <c r="V431" s="100" t="n"/>
      <c r="W431" s="98" t="n"/>
      <c r="X431" s="100" t="n"/>
      <c r="Y431" s="98" t="n"/>
      <c r="Z431" s="100" t="n"/>
      <c r="AB431" s="101">
        <f>IF($B431="","",(COUNTIF(C408:E425,$B431)+COUNTIF(C408:E425,$B431&amp;" ~*")&gt;0)+(COUNTIF(G408:I425,$B431)+COUNTIF(G408:I425,$B431&amp;" ~*")&gt;0)+(COUNTIF(K408:M425,$B431)+COUNTIF(K408:M425,$B431&amp;" ~*")&gt;0)+(COUNTIF(O408:Q425,$B431)+COUNTIF(O408:Q425,$B431&amp;" ~*")&gt;0)+(COUNTIF(S408:U425,$B431)+COUNTIF(S408:U425,$B431&amp;" ~*")&gt;0)+(COUNTIF(W408:W425,$B431)+COUNTIF(W408:W425,$B431&amp;" ~*")&gt;0)+(COUNTIF(Y408:Y425,$B431)+COUNTIF(Y408:Y425,$B431&amp;" ~*")&gt;0))</f>
        <v/>
      </c>
      <c r="AC431" s="36">
        <f>IF($B431="","",(IFERROR(INDEX(Setup!$G$33:$G$40,MATCH(C431,Setup!$B$33:$B$40,0)),0)=1)*(COUNTIF(C408:E425,$B431)+COUNTIF(C408:E425,$B431&amp;" ~*")&gt;0)+(IFERROR(INDEX(Setup!$G$33:$G$40,MATCH(G431,Setup!$B$33:$B$40,0)),0)=1)*(COUNTIF(G408:I425,$B431)+COUNTIF(G408:I425,$B431&amp;" ~*")&gt;0)+(IFERROR(INDEX(Setup!$G$33:$G$40,MATCH(K431,Setup!$B$33:$B$40,0)),0)=1)*(COUNTIF(K408:M425,$B431)+COUNTIF(K408:M425,$B431&amp;" ~*")&gt;0)+(IFERROR(INDEX(Setup!$G$33:$G$40,MATCH(O431,Setup!$B$33:$B$40,0)),0)=1)*(COUNTIF(O408:Q425,$B431)+COUNTIF(O408:Q425,$B431&amp;" ~*")&gt;0)+(IFERROR(INDEX(Setup!$G$33:$G$40,MATCH(S431,Setup!$B$33:$B$40,0)),0)=1)*(COUNTIF(S408:U425,$B431)+COUNTIF(S408:U425,$B431&amp;" ~*")&gt;0)+(IFERROR(INDEX(Setup!$G$33:$G$40,MATCH(W431,Setup!$B$33:$B$40,0)),0)=1)*(COUNTIF(W408:W425,$B431)+COUNTIF(W408:W425,$B431&amp;" ~*")&gt;0)+(IFERROR(INDEX(Setup!$G$33:$G$40,MATCH(Y431,Setup!$B$33:$B$40,0)),0)=1)*(COUNTIF(Y408:Y425,$B431)+COUNTIF(Y408:Y425,$B431&amp;" ~*")&gt;0))</f>
        <v/>
      </c>
    </row>
    <row r="432" ht="15" customHeight="1">
      <c r="A432" t="n">
        <v>9</v>
      </c>
      <c r="B432" s="37">
        <f>IF(Setup!$B$11="","",Setup!$B$11)</f>
        <v/>
      </c>
      <c r="C432" s="102" t="n"/>
      <c r="D432" s="103" t="n"/>
      <c r="E432" s="103" t="n"/>
      <c r="F432" s="104" t="n"/>
      <c r="G432" s="102" t="n"/>
      <c r="H432" s="103" t="n"/>
      <c r="I432" s="103" t="n"/>
      <c r="J432" s="104" t="n"/>
      <c r="K432" s="102" t="n"/>
      <c r="L432" s="103" t="n"/>
      <c r="M432" s="103" t="n"/>
      <c r="N432" s="104" t="n"/>
      <c r="O432" s="102" t="n"/>
      <c r="P432" s="103" t="n"/>
      <c r="Q432" s="103" t="n"/>
      <c r="R432" s="104" t="n"/>
      <c r="S432" s="102" t="n"/>
      <c r="T432" s="103" t="n"/>
      <c r="U432" s="103" t="n"/>
      <c r="V432" s="104" t="n"/>
      <c r="W432" s="102" t="n"/>
      <c r="X432" s="104" t="n"/>
      <c r="Y432" s="102" t="n"/>
      <c r="Z432" s="104" t="n"/>
      <c r="AB432" s="105">
        <f>IF($B432="","",(COUNTIF(C408:E425,$B432)+COUNTIF(C408:E425,$B432&amp;" ~*")&gt;0)+(COUNTIF(G408:I425,$B432)+COUNTIF(G408:I425,$B432&amp;" ~*")&gt;0)+(COUNTIF(K408:M425,$B432)+COUNTIF(K408:M425,$B432&amp;" ~*")&gt;0)+(COUNTIF(O408:Q425,$B432)+COUNTIF(O408:Q425,$B432&amp;" ~*")&gt;0)+(COUNTIF(S408:U425,$B432)+COUNTIF(S408:U425,$B432&amp;" ~*")&gt;0)+(COUNTIF(W408:W425,$B432)+COUNTIF(W408:W425,$B432&amp;" ~*")&gt;0)+(COUNTIF(Y408:Y425,$B432)+COUNTIF(Y408:Y425,$B432&amp;" ~*")&gt;0))</f>
        <v/>
      </c>
      <c r="AC432" s="38">
        <f>IF($B432="","",(IFERROR(INDEX(Setup!$G$33:$G$40,MATCH(C432,Setup!$B$33:$B$40,0)),0)=1)*(COUNTIF(C408:E425,$B432)+COUNTIF(C408:E425,$B432&amp;" ~*")&gt;0)+(IFERROR(INDEX(Setup!$G$33:$G$40,MATCH(G432,Setup!$B$33:$B$40,0)),0)=1)*(COUNTIF(G408:I425,$B432)+COUNTIF(G408:I425,$B432&amp;" ~*")&gt;0)+(IFERROR(INDEX(Setup!$G$33:$G$40,MATCH(K432,Setup!$B$33:$B$40,0)),0)=1)*(COUNTIF(K408:M425,$B432)+COUNTIF(K408:M425,$B432&amp;" ~*")&gt;0)+(IFERROR(INDEX(Setup!$G$33:$G$40,MATCH(O432,Setup!$B$33:$B$40,0)),0)=1)*(COUNTIF(O408:Q425,$B432)+COUNTIF(O408:Q425,$B432&amp;" ~*")&gt;0)+(IFERROR(INDEX(Setup!$G$33:$G$40,MATCH(S432,Setup!$B$33:$B$40,0)),0)=1)*(COUNTIF(S408:U425,$B432)+COUNTIF(S408:U425,$B432&amp;" ~*")&gt;0)+(IFERROR(INDEX(Setup!$G$33:$G$40,MATCH(W432,Setup!$B$33:$B$40,0)),0)=1)*(COUNTIF(W408:W425,$B432)+COUNTIF(W408:W425,$B432&amp;" ~*")&gt;0)+(IFERROR(INDEX(Setup!$G$33:$G$40,MATCH(Y432,Setup!$B$33:$B$40,0)),0)=1)*(COUNTIF(Y408:Y425,$B432)+COUNTIF(Y408:Y425,$B432&amp;" ~*")&gt;0))</f>
        <v/>
      </c>
    </row>
    <row r="433" ht="15" customHeight="1">
      <c r="A433" t="n">
        <v>9</v>
      </c>
      <c r="B433" s="35">
        <f>IF(Setup!$B$12="","",Setup!$B$12)</f>
        <v/>
      </c>
      <c r="C433" s="98" t="n"/>
      <c r="D433" s="99" t="n"/>
      <c r="E433" s="99" t="n"/>
      <c r="F433" s="100" t="n"/>
      <c r="G433" s="98" t="n"/>
      <c r="H433" s="99" t="n"/>
      <c r="I433" s="99" t="n"/>
      <c r="J433" s="100" t="n"/>
      <c r="K433" s="98" t="n"/>
      <c r="L433" s="99" t="n"/>
      <c r="M433" s="99" t="n"/>
      <c r="N433" s="100" t="n"/>
      <c r="O433" s="98" t="n"/>
      <c r="P433" s="99" t="n"/>
      <c r="Q433" s="99" t="n"/>
      <c r="R433" s="100" t="n"/>
      <c r="S433" s="98" t="n"/>
      <c r="T433" s="99" t="n"/>
      <c r="U433" s="99" t="n"/>
      <c r="V433" s="100" t="n"/>
      <c r="W433" s="98" t="n"/>
      <c r="X433" s="100" t="n"/>
      <c r="Y433" s="98" t="n"/>
      <c r="Z433" s="100" t="n"/>
      <c r="AB433" s="101">
        <f>IF($B433="","",(COUNTIF(C408:E425,$B433)+COUNTIF(C408:E425,$B433&amp;" ~*")&gt;0)+(COUNTIF(G408:I425,$B433)+COUNTIF(G408:I425,$B433&amp;" ~*")&gt;0)+(COUNTIF(K408:M425,$B433)+COUNTIF(K408:M425,$B433&amp;" ~*")&gt;0)+(COUNTIF(O408:Q425,$B433)+COUNTIF(O408:Q425,$B433&amp;" ~*")&gt;0)+(COUNTIF(S408:U425,$B433)+COUNTIF(S408:U425,$B433&amp;" ~*")&gt;0)+(COUNTIF(W408:W425,$B433)+COUNTIF(W408:W425,$B433&amp;" ~*")&gt;0)+(COUNTIF(Y408:Y425,$B433)+COUNTIF(Y408:Y425,$B433&amp;" ~*")&gt;0))</f>
        <v/>
      </c>
      <c r="AC433" s="36">
        <f>IF($B433="","",(IFERROR(INDEX(Setup!$G$33:$G$40,MATCH(C433,Setup!$B$33:$B$40,0)),0)=1)*(COUNTIF(C408:E425,$B433)+COUNTIF(C408:E425,$B433&amp;" ~*")&gt;0)+(IFERROR(INDEX(Setup!$G$33:$G$40,MATCH(G433,Setup!$B$33:$B$40,0)),0)=1)*(COUNTIF(G408:I425,$B433)+COUNTIF(G408:I425,$B433&amp;" ~*")&gt;0)+(IFERROR(INDEX(Setup!$G$33:$G$40,MATCH(K433,Setup!$B$33:$B$40,0)),0)=1)*(COUNTIF(K408:M425,$B433)+COUNTIF(K408:M425,$B433&amp;" ~*")&gt;0)+(IFERROR(INDEX(Setup!$G$33:$G$40,MATCH(O433,Setup!$B$33:$B$40,0)),0)=1)*(COUNTIF(O408:Q425,$B433)+COUNTIF(O408:Q425,$B433&amp;" ~*")&gt;0)+(IFERROR(INDEX(Setup!$G$33:$G$40,MATCH(S433,Setup!$B$33:$B$40,0)),0)=1)*(COUNTIF(S408:U425,$B433)+COUNTIF(S408:U425,$B433&amp;" ~*")&gt;0)+(IFERROR(INDEX(Setup!$G$33:$G$40,MATCH(W433,Setup!$B$33:$B$40,0)),0)=1)*(COUNTIF(W408:W425,$B433)+COUNTIF(W408:W425,$B433&amp;" ~*")&gt;0)+(IFERROR(INDEX(Setup!$G$33:$G$40,MATCH(Y433,Setup!$B$33:$B$40,0)),0)=1)*(COUNTIF(Y408:Y425,$B433)+COUNTIF(Y408:Y425,$B433&amp;" ~*")&gt;0))</f>
        <v/>
      </c>
    </row>
    <row r="434" ht="15" customHeight="1">
      <c r="A434" t="n">
        <v>9</v>
      </c>
      <c r="B434" s="37">
        <f>IF(Setup!$B$13="","",Setup!$B$13)</f>
        <v/>
      </c>
      <c r="C434" s="102" t="n"/>
      <c r="D434" s="103" t="n"/>
      <c r="E434" s="103" t="n"/>
      <c r="F434" s="104" t="n"/>
      <c r="G434" s="102" t="n"/>
      <c r="H434" s="103" t="n"/>
      <c r="I434" s="103" t="n"/>
      <c r="J434" s="104" t="n"/>
      <c r="K434" s="102" t="n"/>
      <c r="L434" s="103" t="n"/>
      <c r="M434" s="103" t="n"/>
      <c r="N434" s="104" t="n"/>
      <c r="O434" s="102" t="n"/>
      <c r="P434" s="103" t="n"/>
      <c r="Q434" s="103" t="n"/>
      <c r="R434" s="104" t="n"/>
      <c r="S434" s="102" t="n"/>
      <c r="T434" s="103" t="n"/>
      <c r="U434" s="103" t="n"/>
      <c r="V434" s="104" t="n"/>
      <c r="W434" s="102" t="n"/>
      <c r="X434" s="104" t="n"/>
      <c r="Y434" s="102" t="n"/>
      <c r="Z434" s="104" t="n"/>
      <c r="AB434" s="105">
        <f>IF($B434="","",(COUNTIF(C408:E425,$B434)+COUNTIF(C408:E425,$B434&amp;" ~*")&gt;0)+(COUNTIF(G408:I425,$B434)+COUNTIF(G408:I425,$B434&amp;" ~*")&gt;0)+(COUNTIF(K408:M425,$B434)+COUNTIF(K408:M425,$B434&amp;" ~*")&gt;0)+(COUNTIF(O408:Q425,$B434)+COUNTIF(O408:Q425,$B434&amp;" ~*")&gt;0)+(COUNTIF(S408:U425,$B434)+COUNTIF(S408:U425,$B434&amp;" ~*")&gt;0)+(COUNTIF(W408:W425,$B434)+COUNTIF(W408:W425,$B434&amp;" ~*")&gt;0)+(COUNTIF(Y408:Y425,$B434)+COUNTIF(Y408:Y425,$B434&amp;" ~*")&gt;0))</f>
        <v/>
      </c>
      <c r="AC434" s="38">
        <f>IF($B434="","",(IFERROR(INDEX(Setup!$G$33:$G$40,MATCH(C434,Setup!$B$33:$B$40,0)),0)=1)*(COUNTIF(C408:E425,$B434)+COUNTIF(C408:E425,$B434&amp;" ~*")&gt;0)+(IFERROR(INDEX(Setup!$G$33:$G$40,MATCH(G434,Setup!$B$33:$B$40,0)),0)=1)*(COUNTIF(G408:I425,$B434)+COUNTIF(G408:I425,$B434&amp;" ~*")&gt;0)+(IFERROR(INDEX(Setup!$G$33:$G$40,MATCH(K434,Setup!$B$33:$B$40,0)),0)=1)*(COUNTIF(K408:M425,$B434)+COUNTIF(K408:M425,$B434&amp;" ~*")&gt;0)+(IFERROR(INDEX(Setup!$G$33:$G$40,MATCH(O434,Setup!$B$33:$B$40,0)),0)=1)*(COUNTIF(O408:Q425,$B434)+COUNTIF(O408:Q425,$B434&amp;" ~*")&gt;0)+(IFERROR(INDEX(Setup!$G$33:$G$40,MATCH(S434,Setup!$B$33:$B$40,0)),0)=1)*(COUNTIF(S408:U425,$B434)+COUNTIF(S408:U425,$B434&amp;" ~*")&gt;0)+(IFERROR(INDEX(Setup!$G$33:$G$40,MATCH(W434,Setup!$B$33:$B$40,0)),0)=1)*(COUNTIF(W408:W425,$B434)+COUNTIF(W408:W425,$B434&amp;" ~*")&gt;0)+(IFERROR(INDEX(Setup!$G$33:$G$40,MATCH(Y434,Setup!$B$33:$B$40,0)),0)=1)*(COUNTIF(Y408:Y425,$B434)+COUNTIF(Y408:Y425,$B434&amp;" ~*")&gt;0))</f>
        <v/>
      </c>
    </row>
    <row r="435" ht="15" customHeight="1">
      <c r="A435" t="n">
        <v>9</v>
      </c>
      <c r="B435" s="35">
        <f>IF(Setup!$B$14="","",Setup!$B$14)</f>
        <v/>
      </c>
      <c r="C435" s="98" t="n"/>
      <c r="D435" s="99" t="n"/>
      <c r="E435" s="99" t="n"/>
      <c r="F435" s="100" t="n"/>
      <c r="G435" s="98" t="n"/>
      <c r="H435" s="99" t="n"/>
      <c r="I435" s="99" t="n"/>
      <c r="J435" s="100" t="n"/>
      <c r="K435" s="98" t="n"/>
      <c r="L435" s="99" t="n"/>
      <c r="M435" s="99" t="n"/>
      <c r="N435" s="100" t="n"/>
      <c r="O435" s="98" t="n"/>
      <c r="P435" s="99" t="n"/>
      <c r="Q435" s="99" t="n"/>
      <c r="R435" s="100" t="n"/>
      <c r="S435" s="98" t="n"/>
      <c r="T435" s="99" t="n"/>
      <c r="U435" s="99" t="n"/>
      <c r="V435" s="100" t="n"/>
      <c r="W435" s="98" t="n"/>
      <c r="X435" s="100" t="n"/>
      <c r="Y435" s="98" t="n"/>
      <c r="Z435" s="100" t="n"/>
      <c r="AB435" s="101">
        <f>IF($B435="","",(COUNTIF(C408:E425,$B435)+COUNTIF(C408:E425,$B435&amp;" ~*")&gt;0)+(COUNTIF(G408:I425,$B435)+COUNTIF(G408:I425,$B435&amp;" ~*")&gt;0)+(COUNTIF(K408:M425,$B435)+COUNTIF(K408:M425,$B435&amp;" ~*")&gt;0)+(COUNTIF(O408:Q425,$B435)+COUNTIF(O408:Q425,$B435&amp;" ~*")&gt;0)+(COUNTIF(S408:U425,$B435)+COUNTIF(S408:U425,$B435&amp;" ~*")&gt;0)+(COUNTIF(W408:W425,$B435)+COUNTIF(W408:W425,$B435&amp;" ~*")&gt;0)+(COUNTIF(Y408:Y425,$B435)+COUNTIF(Y408:Y425,$B435&amp;" ~*")&gt;0))</f>
        <v/>
      </c>
      <c r="AC435" s="36">
        <f>IF($B435="","",(IFERROR(INDEX(Setup!$G$33:$G$40,MATCH(C435,Setup!$B$33:$B$40,0)),0)=1)*(COUNTIF(C408:E425,$B435)+COUNTIF(C408:E425,$B435&amp;" ~*")&gt;0)+(IFERROR(INDEX(Setup!$G$33:$G$40,MATCH(G435,Setup!$B$33:$B$40,0)),0)=1)*(COUNTIF(G408:I425,$B435)+COUNTIF(G408:I425,$B435&amp;" ~*")&gt;0)+(IFERROR(INDEX(Setup!$G$33:$G$40,MATCH(K435,Setup!$B$33:$B$40,0)),0)=1)*(COUNTIF(K408:M425,$B435)+COUNTIF(K408:M425,$B435&amp;" ~*")&gt;0)+(IFERROR(INDEX(Setup!$G$33:$G$40,MATCH(O435,Setup!$B$33:$B$40,0)),0)=1)*(COUNTIF(O408:Q425,$B435)+COUNTIF(O408:Q425,$B435&amp;" ~*")&gt;0)+(IFERROR(INDEX(Setup!$G$33:$G$40,MATCH(S435,Setup!$B$33:$B$40,0)),0)=1)*(COUNTIF(S408:U425,$B435)+COUNTIF(S408:U425,$B435&amp;" ~*")&gt;0)+(IFERROR(INDEX(Setup!$G$33:$G$40,MATCH(W435,Setup!$B$33:$B$40,0)),0)=1)*(COUNTIF(W408:W425,$B435)+COUNTIF(W408:W425,$B435&amp;" ~*")&gt;0)+(IFERROR(INDEX(Setup!$G$33:$G$40,MATCH(Y435,Setup!$B$33:$B$40,0)),0)=1)*(COUNTIF(Y408:Y425,$B435)+COUNTIF(Y408:Y425,$B435&amp;" ~*")&gt;0))</f>
        <v/>
      </c>
    </row>
    <row r="436" ht="15" customHeight="1">
      <c r="A436" t="n">
        <v>9</v>
      </c>
      <c r="B436" s="37">
        <f>IF(Setup!$B$15="","",Setup!$B$15)</f>
        <v/>
      </c>
      <c r="C436" s="102" t="n"/>
      <c r="D436" s="103" t="n"/>
      <c r="E436" s="103" t="n"/>
      <c r="F436" s="104" t="n"/>
      <c r="G436" s="102" t="n"/>
      <c r="H436" s="103" t="n"/>
      <c r="I436" s="103" t="n"/>
      <c r="J436" s="104" t="n"/>
      <c r="K436" s="102" t="n"/>
      <c r="L436" s="103" t="n"/>
      <c r="M436" s="103" t="n"/>
      <c r="N436" s="104" t="n"/>
      <c r="O436" s="102" t="n"/>
      <c r="P436" s="103" t="n"/>
      <c r="Q436" s="103" t="n"/>
      <c r="R436" s="104" t="n"/>
      <c r="S436" s="102" t="n"/>
      <c r="T436" s="103" t="n"/>
      <c r="U436" s="103" t="n"/>
      <c r="V436" s="104" t="n"/>
      <c r="W436" s="102" t="n"/>
      <c r="X436" s="104" t="n"/>
      <c r="Y436" s="102" t="n"/>
      <c r="Z436" s="104" t="n"/>
      <c r="AB436" s="105">
        <f>IF($B436="","",(COUNTIF(C408:E425,$B436)+COUNTIF(C408:E425,$B436&amp;" ~*")&gt;0)+(COUNTIF(G408:I425,$B436)+COUNTIF(G408:I425,$B436&amp;" ~*")&gt;0)+(COUNTIF(K408:M425,$B436)+COUNTIF(K408:M425,$B436&amp;" ~*")&gt;0)+(COUNTIF(O408:Q425,$B436)+COUNTIF(O408:Q425,$B436&amp;" ~*")&gt;0)+(COUNTIF(S408:U425,$B436)+COUNTIF(S408:U425,$B436&amp;" ~*")&gt;0)+(COUNTIF(W408:W425,$B436)+COUNTIF(W408:W425,$B436&amp;" ~*")&gt;0)+(COUNTIF(Y408:Y425,$B436)+COUNTIF(Y408:Y425,$B436&amp;" ~*")&gt;0))</f>
        <v/>
      </c>
      <c r="AC436" s="38">
        <f>IF($B436="","",(IFERROR(INDEX(Setup!$G$33:$G$40,MATCH(C436,Setup!$B$33:$B$40,0)),0)=1)*(COUNTIF(C408:E425,$B436)+COUNTIF(C408:E425,$B436&amp;" ~*")&gt;0)+(IFERROR(INDEX(Setup!$G$33:$G$40,MATCH(G436,Setup!$B$33:$B$40,0)),0)=1)*(COUNTIF(G408:I425,$B436)+COUNTIF(G408:I425,$B436&amp;" ~*")&gt;0)+(IFERROR(INDEX(Setup!$G$33:$G$40,MATCH(K436,Setup!$B$33:$B$40,0)),0)=1)*(COUNTIF(K408:M425,$B436)+COUNTIF(K408:M425,$B436&amp;" ~*")&gt;0)+(IFERROR(INDEX(Setup!$G$33:$G$40,MATCH(O436,Setup!$B$33:$B$40,0)),0)=1)*(COUNTIF(O408:Q425,$B436)+COUNTIF(O408:Q425,$B436&amp;" ~*")&gt;0)+(IFERROR(INDEX(Setup!$G$33:$G$40,MATCH(S436,Setup!$B$33:$B$40,0)),0)=1)*(COUNTIF(S408:U425,$B436)+COUNTIF(S408:U425,$B436&amp;" ~*")&gt;0)+(IFERROR(INDEX(Setup!$G$33:$G$40,MATCH(W436,Setup!$B$33:$B$40,0)),0)=1)*(COUNTIF(W408:W425,$B436)+COUNTIF(W408:W425,$B436&amp;" ~*")&gt;0)+(IFERROR(INDEX(Setup!$G$33:$G$40,MATCH(Y436,Setup!$B$33:$B$40,0)),0)=1)*(COUNTIF(Y408:Y425,$B436)+COUNTIF(Y408:Y425,$B436&amp;" ~*")&gt;0))</f>
        <v/>
      </c>
    </row>
    <row r="437" ht="15" customHeight="1">
      <c r="A437" t="n">
        <v>9</v>
      </c>
      <c r="B437" s="35">
        <f>IF(Setup!$B$16="","",Setup!$B$16)</f>
        <v/>
      </c>
      <c r="C437" s="98" t="n"/>
      <c r="D437" s="99" t="n"/>
      <c r="E437" s="99" t="n"/>
      <c r="F437" s="100" t="n"/>
      <c r="G437" s="98" t="n"/>
      <c r="H437" s="99" t="n"/>
      <c r="I437" s="99" t="n"/>
      <c r="J437" s="100" t="n"/>
      <c r="K437" s="98" t="n"/>
      <c r="L437" s="99" t="n"/>
      <c r="M437" s="99" t="n"/>
      <c r="N437" s="100" t="n"/>
      <c r="O437" s="98" t="n"/>
      <c r="P437" s="99" t="n"/>
      <c r="Q437" s="99" t="n"/>
      <c r="R437" s="100" t="n"/>
      <c r="S437" s="98" t="n"/>
      <c r="T437" s="99" t="n"/>
      <c r="U437" s="99" t="n"/>
      <c r="V437" s="100" t="n"/>
      <c r="W437" s="98" t="n"/>
      <c r="X437" s="100" t="n"/>
      <c r="Y437" s="98" t="n"/>
      <c r="Z437" s="100" t="n"/>
      <c r="AB437" s="101">
        <f>IF($B437="","",(COUNTIF(C408:E425,$B437)+COUNTIF(C408:E425,$B437&amp;" ~*")&gt;0)+(COUNTIF(G408:I425,$B437)+COUNTIF(G408:I425,$B437&amp;" ~*")&gt;0)+(COUNTIF(K408:M425,$B437)+COUNTIF(K408:M425,$B437&amp;" ~*")&gt;0)+(COUNTIF(O408:Q425,$B437)+COUNTIF(O408:Q425,$B437&amp;" ~*")&gt;0)+(COUNTIF(S408:U425,$B437)+COUNTIF(S408:U425,$B437&amp;" ~*")&gt;0)+(COUNTIF(W408:W425,$B437)+COUNTIF(W408:W425,$B437&amp;" ~*")&gt;0)+(COUNTIF(Y408:Y425,$B437)+COUNTIF(Y408:Y425,$B437&amp;" ~*")&gt;0))</f>
        <v/>
      </c>
      <c r="AC437" s="36">
        <f>IF($B437="","",(IFERROR(INDEX(Setup!$G$33:$G$40,MATCH(C437,Setup!$B$33:$B$40,0)),0)=1)*(COUNTIF(C408:E425,$B437)+COUNTIF(C408:E425,$B437&amp;" ~*")&gt;0)+(IFERROR(INDEX(Setup!$G$33:$G$40,MATCH(G437,Setup!$B$33:$B$40,0)),0)=1)*(COUNTIF(G408:I425,$B437)+COUNTIF(G408:I425,$B437&amp;" ~*")&gt;0)+(IFERROR(INDEX(Setup!$G$33:$G$40,MATCH(K437,Setup!$B$33:$B$40,0)),0)=1)*(COUNTIF(K408:M425,$B437)+COUNTIF(K408:M425,$B437&amp;" ~*")&gt;0)+(IFERROR(INDEX(Setup!$G$33:$G$40,MATCH(O437,Setup!$B$33:$B$40,0)),0)=1)*(COUNTIF(O408:Q425,$B437)+COUNTIF(O408:Q425,$B437&amp;" ~*")&gt;0)+(IFERROR(INDEX(Setup!$G$33:$G$40,MATCH(S437,Setup!$B$33:$B$40,0)),0)=1)*(COUNTIF(S408:U425,$B437)+COUNTIF(S408:U425,$B437&amp;" ~*")&gt;0)+(IFERROR(INDEX(Setup!$G$33:$G$40,MATCH(W437,Setup!$B$33:$B$40,0)),0)=1)*(COUNTIF(W408:W425,$B437)+COUNTIF(W408:W425,$B437&amp;" ~*")&gt;0)+(IFERROR(INDEX(Setup!$G$33:$G$40,MATCH(Y437,Setup!$B$33:$B$40,0)),0)=1)*(COUNTIF(Y408:Y425,$B437)+COUNTIF(Y408:Y425,$B437&amp;" ~*")&gt;0))</f>
        <v/>
      </c>
    </row>
    <row r="438" ht="15" customHeight="1">
      <c r="A438" t="n">
        <v>9</v>
      </c>
      <c r="B438" s="37">
        <f>IF(Setup!$B$17="","",Setup!$B$17)</f>
        <v/>
      </c>
      <c r="C438" s="102" t="n"/>
      <c r="D438" s="103" t="n"/>
      <c r="E438" s="103" t="n"/>
      <c r="F438" s="104" t="n"/>
      <c r="G438" s="102" t="n"/>
      <c r="H438" s="103" t="n"/>
      <c r="I438" s="103" t="n"/>
      <c r="J438" s="104" t="n"/>
      <c r="K438" s="102" t="n"/>
      <c r="L438" s="103" t="n"/>
      <c r="M438" s="103" t="n"/>
      <c r="N438" s="104" t="n"/>
      <c r="O438" s="102" t="n"/>
      <c r="P438" s="103" t="n"/>
      <c r="Q438" s="103" t="n"/>
      <c r="R438" s="104" t="n"/>
      <c r="S438" s="102" t="n"/>
      <c r="T438" s="103" t="n"/>
      <c r="U438" s="103" t="n"/>
      <c r="V438" s="104" t="n"/>
      <c r="W438" s="102" t="n"/>
      <c r="X438" s="104" t="n"/>
      <c r="Y438" s="102" t="n"/>
      <c r="Z438" s="104" t="n"/>
      <c r="AB438" s="105">
        <f>IF($B438="","",(COUNTIF(C408:E425,$B438)+COUNTIF(C408:E425,$B438&amp;" ~*")&gt;0)+(COUNTIF(G408:I425,$B438)+COUNTIF(G408:I425,$B438&amp;" ~*")&gt;0)+(COUNTIF(K408:M425,$B438)+COUNTIF(K408:M425,$B438&amp;" ~*")&gt;0)+(COUNTIF(O408:Q425,$B438)+COUNTIF(O408:Q425,$B438&amp;" ~*")&gt;0)+(COUNTIF(S408:U425,$B438)+COUNTIF(S408:U425,$B438&amp;" ~*")&gt;0)+(COUNTIF(W408:W425,$B438)+COUNTIF(W408:W425,$B438&amp;" ~*")&gt;0)+(COUNTIF(Y408:Y425,$B438)+COUNTIF(Y408:Y425,$B438&amp;" ~*")&gt;0))</f>
        <v/>
      </c>
      <c r="AC438" s="38">
        <f>IF($B438="","",(IFERROR(INDEX(Setup!$G$33:$G$40,MATCH(C438,Setup!$B$33:$B$40,0)),0)=1)*(COUNTIF(C408:E425,$B438)+COUNTIF(C408:E425,$B438&amp;" ~*")&gt;0)+(IFERROR(INDEX(Setup!$G$33:$G$40,MATCH(G438,Setup!$B$33:$B$40,0)),0)=1)*(COUNTIF(G408:I425,$B438)+COUNTIF(G408:I425,$B438&amp;" ~*")&gt;0)+(IFERROR(INDEX(Setup!$G$33:$G$40,MATCH(K438,Setup!$B$33:$B$40,0)),0)=1)*(COUNTIF(K408:M425,$B438)+COUNTIF(K408:M425,$B438&amp;" ~*")&gt;0)+(IFERROR(INDEX(Setup!$G$33:$G$40,MATCH(O438,Setup!$B$33:$B$40,0)),0)=1)*(COUNTIF(O408:Q425,$B438)+COUNTIF(O408:Q425,$B438&amp;" ~*")&gt;0)+(IFERROR(INDEX(Setup!$G$33:$G$40,MATCH(S438,Setup!$B$33:$B$40,0)),0)=1)*(COUNTIF(S408:U425,$B438)+COUNTIF(S408:U425,$B438&amp;" ~*")&gt;0)+(IFERROR(INDEX(Setup!$G$33:$G$40,MATCH(W438,Setup!$B$33:$B$40,0)),0)=1)*(COUNTIF(W408:W425,$B438)+COUNTIF(W408:W425,$B438&amp;" ~*")&gt;0)+(IFERROR(INDEX(Setup!$G$33:$G$40,MATCH(Y438,Setup!$B$33:$B$40,0)),0)=1)*(COUNTIF(Y408:Y425,$B438)+COUNTIF(Y408:Y425,$B438&amp;" ~*")&gt;0))</f>
        <v/>
      </c>
    </row>
    <row r="439" ht="15" customHeight="1">
      <c r="A439" t="n">
        <v>9</v>
      </c>
      <c r="B439" s="35">
        <f>IF(Setup!$B$18="","",Setup!$B$18)</f>
        <v/>
      </c>
      <c r="C439" s="98" t="n"/>
      <c r="D439" s="99" t="n"/>
      <c r="E439" s="99" t="n"/>
      <c r="F439" s="100" t="n"/>
      <c r="G439" s="98" t="n"/>
      <c r="H439" s="99" t="n"/>
      <c r="I439" s="99" t="n"/>
      <c r="J439" s="100" t="n"/>
      <c r="K439" s="98" t="n"/>
      <c r="L439" s="99" t="n"/>
      <c r="M439" s="99" t="n"/>
      <c r="N439" s="100" t="n"/>
      <c r="O439" s="98" t="n"/>
      <c r="P439" s="99" t="n"/>
      <c r="Q439" s="99" t="n"/>
      <c r="R439" s="100" t="n"/>
      <c r="S439" s="98" t="n"/>
      <c r="T439" s="99" t="n"/>
      <c r="U439" s="99" t="n"/>
      <c r="V439" s="100" t="n"/>
      <c r="W439" s="98" t="n"/>
      <c r="X439" s="100" t="n"/>
      <c r="Y439" s="98" t="n"/>
      <c r="Z439" s="100" t="n"/>
      <c r="AB439" s="101">
        <f>IF($B439="","",(COUNTIF(C408:E425,$B439)+COUNTIF(C408:E425,$B439&amp;" ~*")&gt;0)+(COUNTIF(G408:I425,$B439)+COUNTIF(G408:I425,$B439&amp;" ~*")&gt;0)+(COUNTIF(K408:M425,$B439)+COUNTIF(K408:M425,$B439&amp;" ~*")&gt;0)+(COUNTIF(O408:Q425,$B439)+COUNTIF(O408:Q425,$B439&amp;" ~*")&gt;0)+(COUNTIF(S408:U425,$B439)+COUNTIF(S408:U425,$B439&amp;" ~*")&gt;0)+(COUNTIF(W408:W425,$B439)+COUNTIF(W408:W425,$B439&amp;" ~*")&gt;0)+(COUNTIF(Y408:Y425,$B439)+COUNTIF(Y408:Y425,$B439&amp;" ~*")&gt;0))</f>
        <v/>
      </c>
      <c r="AC439" s="36">
        <f>IF($B439="","",(IFERROR(INDEX(Setup!$G$33:$G$40,MATCH(C439,Setup!$B$33:$B$40,0)),0)=1)*(COUNTIF(C408:E425,$B439)+COUNTIF(C408:E425,$B439&amp;" ~*")&gt;0)+(IFERROR(INDEX(Setup!$G$33:$G$40,MATCH(G439,Setup!$B$33:$B$40,0)),0)=1)*(COUNTIF(G408:I425,$B439)+COUNTIF(G408:I425,$B439&amp;" ~*")&gt;0)+(IFERROR(INDEX(Setup!$G$33:$G$40,MATCH(K439,Setup!$B$33:$B$40,0)),0)=1)*(COUNTIF(K408:M425,$B439)+COUNTIF(K408:M425,$B439&amp;" ~*")&gt;0)+(IFERROR(INDEX(Setup!$G$33:$G$40,MATCH(O439,Setup!$B$33:$B$40,0)),0)=1)*(COUNTIF(O408:Q425,$B439)+COUNTIF(O408:Q425,$B439&amp;" ~*")&gt;0)+(IFERROR(INDEX(Setup!$G$33:$G$40,MATCH(S439,Setup!$B$33:$B$40,0)),0)=1)*(COUNTIF(S408:U425,$B439)+COUNTIF(S408:U425,$B439&amp;" ~*")&gt;0)+(IFERROR(INDEX(Setup!$G$33:$G$40,MATCH(W439,Setup!$B$33:$B$40,0)),0)=1)*(COUNTIF(W408:W425,$B439)+COUNTIF(W408:W425,$B439&amp;" ~*")&gt;0)+(IFERROR(INDEX(Setup!$G$33:$G$40,MATCH(Y439,Setup!$B$33:$B$40,0)),0)=1)*(COUNTIF(Y408:Y425,$B439)+COUNTIF(Y408:Y425,$B439&amp;" ~*")&gt;0))</f>
        <v/>
      </c>
    </row>
    <row r="440" ht="15" customHeight="1">
      <c r="A440" t="n">
        <v>9</v>
      </c>
      <c r="B440" s="37">
        <f>IF(Setup!$B$19="","",Setup!$B$19)</f>
        <v/>
      </c>
      <c r="C440" s="102" t="n"/>
      <c r="D440" s="103" t="n"/>
      <c r="E440" s="103" t="n"/>
      <c r="F440" s="104" t="n"/>
      <c r="G440" s="102" t="n"/>
      <c r="H440" s="103" t="n"/>
      <c r="I440" s="103" t="n"/>
      <c r="J440" s="104" t="n"/>
      <c r="K440" s="102" t="n"/>
      <c r="L440" s="103" t="n"/>
      <c r="M440" s="103" t="n"/>
      <c r="N440" s="104" t="n"/>
      <c r="O440" s="102" t="n"/>
      <c r="P440" s="103" t="n"/>
      <c r="Q440" s="103" t="n"/>
      <c r="R440" s="104" t="n"/>
      <c r="S440" s="102" t="n"/>
      <c r="T440" s="103" t="n"/>
      <c r="U440" s="103" t="n"/>
      <c r="V440" s="104" t="n"/>
      <c r="W440" s="102" t="n"/>
      <c r="X440" s="104" t="n"/>
      <c r="Y440" s="102" t="n"/>
      <c r="Z440" s="104" t="n"/>
      <c r="AB440" s="105">
        <f>IF($B440="","",(COUNTIF(C408:E425,$B440)+COUNTIF(C408:E425,$B440&amp;" ~*")&gt;0)+(COUNTIF(G408:I425,$B440)+COUNTIF(G408:I425,$B440&amp;" ~*")&gt;0)+(COUNTIF(K408:M425,$B440)+COUNTIF(K408:M425,$B440&amp;" ~*")&gt;0)+(COUNTIF(O408:Q425,$B440)+COUNTIF(O408:Q425,$B440&amp;" ~*")&gt;0)+(COUNTIF(S408:U425,$B440)+COUNTIF(S408:U425,$B440&amp;" ~*")&gt;0)+(COUNTIF(W408:W425,$B440)+COUNTIF(W408:W425,$B440&amp;" ~*")&gt;0)+(COUNTIF(Y408:Y425,$B440)+COUNTIF(Y408:Y425,$B440&amp;" ~*")&gt;0))</f>
        <v/>
      </c>
      <c r="AC440" s="38">
        <f>IF($B440="","",(IFERROR(INDEX(Setup!$G$33:$G$40,MATCH(C440,Setup!$B$33:$B$40,0)),0)=1)*(COUNTIF(C408:E425,$B440)+COUNTIF(C408:E425,$B440&amp;" ~*")&gt;0)+(IFERROR(INDEX(Setup!$G$33:$G$40,MATCH(G440,Setup!$B$33:$B$40,0)),0)=1)*(COUNTIF(G408:I425,$B440)+COUNTIF(G408:I425,$B440&amp;" ~*")&gt;0)+(IFERROR(INDEX(Setup!$G$33:$G$40,MATCH(K440,Setup!$B$33:$B$40,0)),0)=1)*(COUNTIF(K408:M425,$B440)+COUNTIF(K408:M425,$B440&amp;" ~*")&gt;0)+(IFERROR(INDEX(Setup!$G$33:$G$40,MATCH(O440,Setup!$B$33:$B$40,0)),0)=1)*(COUNTIF(O408:Q425,$B440)+COUNTIF(O408:Q425,$B440&amp;" ~*")&gt;0)+(IFERROR(INDEX(Setup!$G$33:$G$40,MATCH(S440,Setup!$B$33:$B$40,0)),0)=1)*(COUNTIF(S408:U425,$B440)+COUNTIF(S408:U425,$B440&amp;" ~*")&gt;0)+(IFERROR(INDEX(Setup!$G$33:$G$40,MATCH(W440,Setup!$B$33:$B$40,0)),0)=1)*(COUNTIF(W408:W425,$B440)+COUNTIF(W408:W425,$B440&amp;" ~*")&gt;0)+(IFERROR(INDEX(Setup!$G$33:$G$40,MATCH(Y440,Setup!$B$33:$B$40,0)),0)=1)*(COUNTIF(Y408:Y425,$B440)+COUNTIF(Y408:Y425,$B440&amp;" ~*")&gt;0))</f>
        <v/>
      </c>
    </row>
    <row r="441" ht="15" customHeight="1">
      <c r="A441" t="n">
        <v>9</v>
      </c>
      <c r="B441" s="35">
        <f>IF(Setup!$B$20="","",Setup!$B$20)</f>
        <v/>
      </c>
      <c r="C441" s="98" t="n"/>
      <c r="D441" s="99" t="n"/>
      <c r="E441" s="99" t="n"/>
      <c r="F441" s="100" t="n"/>
      <c r="G441" s="98" t="n"/>
      <c r="H441" s="99" t="n"/>
      <c r="I441" s="99" t="n"/>
      <c r="J441" s="100" t="n"/>
      <c r="K441" s="98" t="n"/>
      <c r="L441" s="99" t="n"/>
      <c r="M441" s="99" t="n"/>
      <c r="N441" s="100" t="n"/>
      <c r="O441" s="98" t="n"/>
      <c r="P441" s="99" t="n"/>
      <c r="Q441" s="99" t="n"/>
      <c r="R441" s="100" t="n"/>
      <c r="S441" s="98" t="n"/>
      <c r="T441" s="99" t="n"/>
      <c r="U441" s="99" t="n"/>
      <c r="V441" s="100" t="n"/>
      <c r="W441" s="98" t="n"/>
      <c r="X441" s="100" t="n"/>
      <c r="Y441" s="98" t="n"/>
      <c r="Z441" s="100" t="n"/>
      <c r="AB441" s="101">
        <f>IF($B441="","",(COUNTIF(C408:E425,$B441)+COUNTIF(C408:E425,$B441&amp;" ~*")&gt;0)+(COUNTIF(G408:I425,$B441)+COUNTIF(G408:I425,$B441&amp;" ~*")&gt;0)+(COUNTIF(K408:M425,$B441)+COUNTIF(K408:M425,$B441&amp;" ~*")&gt;0)+(COUNTIF(O408:Q425,$B441)+COUNTIF(O408:Q425,$B441&amp;" ~*")&gt;0)+(COUNTIF(S408:U425,$B441)+COUNTIF(S408:U425,$B441&amp;" ~*")&gt;0)+(COUNTIF(W408:W425,$B441)+COUNTIF(W408:W425,$B441&amp;" ~*")&gt;0)+(COUNTIF(Y408:Y425,$B441)+COUNTIF(Y408:Y425,$B441&amp;" ~*")&gt;0))</f>
        <v/>
      </c>
      <c r="AC441" s="36">
        <f>IF($B441="","",(IFERROR(INDEX(Setup!$G$33:$G$40,MATCH(C441,Setup!$B$33:$B$40,0)),0)=1)*(COUNTIF(C408:E425,$B441)+COUNTIF(C408:E425,$B441&amp;" ~*")&gt;0)+(IFERROR(INDEX(Setup!$G$33:$G$40,MATCH(G441,Setup!$B$33:$B$40,0)),0)=1)*(COUNTIF(G408:I425,$B441)+COUNTIF(G408:I425,$B441&amp;" ~*")&gt;0)+(IFERROR(INDEX(Setup!$G$33:$G$40,MATCH(K441,Setup!$B$33:$B$40,0)),0)=1)*(COUNTIF(K408:M425,$B441)+COUNTIF(K408:M425,$B441&amp;" ~*")&gt;0)+(IFERROR(INDEX(Setup!$G$33:$G$40,MATCH(O441,Setup!$B$33:$B$40,0)),0)=1)*(COUNTIF(O408:Q425,$B441)+COUNTIF(O408:Q425,$B441&amp;" ~*")&gt;0)+(IFERROR(INDEX(Setup!$G$33:$G$40,MATCH(S441,Setup!$B$33:$B$40,0)),0)=1)*(COUNTIF(S408:U425,$B441)+COUNTIF(S408:U425,$B441&amp;" ~*")&gt;0)+(IFERROR(INDEX(Setup!$G$33:$G$40,MATCH(W441,Setup!$B$33:$B$40,0)),0)=1)*(COUNTIF(W408:W425,$B441)+COUNTIF(W408:W425,$B441&amp;" ~*")&gt;0)+(IFERROR(INDEX(Setup!$G$33:$G$40,MATCH(Y441,Setup!$B$33:$B$40,0)),0)=1)*(COUNTIF(Y408:Y425,$B441)+COUNTIF(Y408:Y425,$B441&amp;" ~*")&gt;0))</f>
        <v/>
      </c>
    </row>
    <row r="442" ht="15" customHeight="1">
      <c r="A442" t="n">
        <v>9</v>
      </c>
      <c r="B442" s="37">
        <f>IF(Setup!$B$21="","",Setup!$B$21)</f>
        <v/>
      </c>
      <c r="C442" s="102" t="n"/>
      <c r="D442" s="103" t="n"/>
      <c r="E442" s="103" t="n"/>
      <c r="F442" s="104" t="n"/>
      <c r="G442" s="102" t="n"/>
      <c r="H442" s="103" t="n"/>
      <c r="I442" s="103" t="n"/>
      <c r="J442" s="104" t="n"/>
      <c r="K442" s="102" t="n"/>
      <c r="L442" s="103" t="n"/>
      <c r="M442" s="103" t="n"/>
      <c r="N442" s="104" t="n"/>
      <c r="O442" s="102" t="n"/>
      <c r="P442" s="103" t="n"/>
      <c r="Q442" s="103" t="n"/>
      <c r="R442" s="104" t="n"/>
      <c r="S442" s="102" t="n"/>
      <c r="T442" s="103" t="n"/>
      <c r="U442" s="103" t="n"/>
      <c r="V442" s="104" t="n"/>
      <c r="W442" s="102" t="n"/>
      <c r="X442" s="104" t="n"/>
      <c r="Y442" s="102" t="n"/>
      <c r="Z442" s="104" t="n"/>
      <c r="AB442" s="105">
        <f>IF($B442="","",(COUNTIF(C408:E425,$B442)+COUNTIF(C408:E425,$B442&amp;" ~*")&gt;0)+(COUNTIF(G408:I425,$B442)+COUNTIF(G408:I425,$B442&amp;" ~*")&gt;0)+(COUNTIF(K408:M425,$B442)+COUNTIF(K408:M425,$B442&amp;" ~*")&gt;0)+(COUNTIF(O408:Q425,$B442)+COUNTIF(O408:Q425,$B442&amp;" ~*")&gt;0)+(COUNTIF(S408:U425,$B442)+COUNTIF(S408:U425,$B442&amp;" ~*")&gt;0)+(COUNTIF(W408:W425,$B442)+COUNTIF(W408:W425,$B442&amp;" ~*")&gt;0)+(COUNTIF(Y408:Y425,$B442)+COUNTIF(Y408:Y425,$B442&amp;" ~*")&gt;0))</f>
        <v/>
      </c>
      <c r="AC442" s="38">
        <f>IF($B442="","",(IFERROR(INDEX(Setup!$G$33:$G$40,MATCH(C442,Setup!$B$33:$B$40,0)),0)=1)*(COUNTIF(C408:E425,$B442)+COUNTIF(C408:E425,$B442&amp;" ~*")&gt;0)+(IFERROR(INDEX(Setup!$G$33:$G$40,MATCH(G442,Setup!$B$33:$B$40,0)),0)=1)*(COUNTIF(G408:I425,$B442)+COUNTIF(G408:I425,$B442&amp;" ~*")&gt;0)+(IFERROR(INDEX(Setup!$G$33:$G$40,MATCH(K442,Setup!$B$33:$B$40,0)),0)=1)*(COUNTIF(K408:M425,$B442)+COUNTIF(K408:M425,$B442&amp;" ~*")&gt;0)+(IFERROR(INDEX(Setup!$G$33:$G$40,MATCH(O442,Setup!$B$33:$B$40,0)),0)=1)*(COUNTIF(O408:Q425,$B442)+COUNTIF(O408:Q425,$B442&amp;" ~*")&gt;0)+(IFERROR(INDEX(Setup!$G$33:$G$40,MATCH(S442,Setup!$B$33:$B$40,0)),0)=1)*(COUNTIF(S408:U425,$B442)+COUNTIF(S408:U425,$B442&amp;" ~*")&gt;0)+(IFERROR(INDEX(Setup!$G$33:$G$40,MATCH(W442,Setup!$B$33:$B$40,0)),0)=1)*(COUNTIF(W408:W425,$B442)+COUNTIF(W408:W425,$B442&amp;" ~*")&gt;0)+(IFERROR(INDEX(Setup!$G$33:$G$40,MATCH(Y442,Setup!$B$33:$B$40,0)),0)=1)*(COUNTIF(Y408:Y425,$B442)+COUNTIF(Y408:Y425,$B442&amp;" ~*")&gt;0))</f>
        <v/>
      </c>
    </row>
    <row r="443" ht="15" customHeight="1">
      <c r="A443" t="n">
        <v>9</v>
      </c>
      <c r="B443" s="35">
        <f>IF(Setup!$B$22="","",Setup!$B$22)</f>
        <v/>
      </c>
      <c r="C443" s="98" t="n"/>
      <c r="D443" s="99" t="n"/>
      <c r="E443" s="99" t="n"/>
      <c r="F443" s="100" t="n"/>
      <c r="G443" s="98" t="n"/>
      <c r="H443" s="99" t="n"/>
      <c r="I443" s="99" t="n"/>
      <c r="J443" s="100" t="n"/>
      <c r="K443" s="98" t="n"/>
      <c r="L443" s="99" t="n"/>
      <c r="M443" s="99" t="n"/>
      <c r="N443" s="100" t="n"/>
      <c r="O443" s="98" t="n"/>
      <c r="P443" s="99" t="n"/>
      <c r="Q443" s="99" t="n"/>
      <c r="R443" s="100" t="n"/>
      <c r="S443" s="98" t="n"/>
      <c r="T443" s="99" t="n"/>
      <c r="U443" s="99" t="n"/>
      <c r="V443" s="100" t="n"/>
      <c r="W443" s="98" t="n"/>
      <c r="X443" s="100" t="n"/>
      <c r="Y443" s="98" t="n"/>
      <c r="Z443" s="100" t="n"/>
      <c r="AB443" s="101">
        <f>IF($B443="","",(COUNTIF(C408:E425,$B443)+COUNTIF(C408:E425,$B443&amp;" ~*")&gt;0)+(COUNTIF(G408:I425,$B443)+COUNTIF(G408:I425,$B443&amp;" ~*")&gt;0)+(COUNTIF(K408:M425,$B443)+COUNTIF(K408:M425,$B443&amp;" ~*")&gt;0)+(COUNTIF(O408:Q425,$B443)+COUNTIF(O408:Q425,$B443&amp;" ~*")&gt;0)+(COUNTIF(S408:U425,$B443)+COUNTIF(S408:U425,$B443&amp;" ~*")&gt;0)+(COUNTIF(W408:W425,$B443)+COUNTIF(W408:W425,$B443&amp;" ~*")&gt;0)+(COUNTIF(Y408:Y425,$B443)+COUNTIF(Y408:Y425,$B443&amp;" ~*")&gt;0))</f>
        <v/>
      </c>
      <c r="AC443" s="36">
        <f>IF($B443="","",(IFERROR(INDEX(Setup!$G$33:$G$40,MATCH(C443,Setup!$B$33:$B$40,0)),0)=1)*(COUNTIF(C408:E425,$B443)+COUNTIF(C408:E425,$B443&amp;" ~*")&gt;0)+(IFERROR(INDEX(Setup!$G$33:$G$40,MATCH(G443,Setup!$B$33:$B$40,0)),0)=1)*(COUNTIF(G408:I425,$B443)+COUNTIF(G408:I425,$B443&amp;" ~*")&gt;0)+(IFERROR(INDEX(Setup!$G$33:$G$40,MATCH(K443,Setup!$B$33:$B$40,0)),0)=1)*(COUNTIF(K408:M425,$B443)+COUNTIF(K408:M425,$B443&amp;" ~*")&gt;0)+(IFERROR(INDEX(Setup!$G$33:$G$40,MATCH(O443,Setup!$B$33:$B$40,0)),0)=1)*(COUNTIF(O408:Q425,$B443)+COUNTIF(O408:Q425,$B443&amp;" ~*")&gt;0)+(IFERROR(INDEX(Setup!$G$33:$G$40,MATCH(S443,Setup!$B$33:$B$40,0)),0)=1)*(COUNTIF(S408:U425,$B443)+COUNTIF(S408:U425,$B443&amp;" ~*")&gt;0)+(IFERROR(INDEX(Setup!$G$33:$G$40,MATCH(W443,Setup!$B$33:$B$40,0)),0)=1)*(COUNTIF(W408:W425,$B443)+COUNTIF(W408:W425,$B443&amp;" ~*")&gt;0)+(IFERROR(INDEX(Setup!$G$33:$G$40,MATCH(Y443,Setup!$B$33:$B$40,0)),0)=1)*(COUNTIF(Y408:Y425,$B443)+COUNTIF(Y408:Y425,$B443&amp;" ~*")&gt;0))</f>
        <v/>
      </c>
    </row>
    <row r="444" ht="15" customHeight="1">
      <c r="A444" t="n">
        <v>9</v>
      </c>
      <c r="B444" s="37">
        <f>IF(Setup!$B$23="","",Setup!$B$23)</f>
        <v/>
      </c>
      <c r="C444" s="102" t="n"/>
      <c r="D444" s="103" t="n"/>
      <c r="E444" s="103" t="n"/>
      <c r="F444" s="104" t="n"/>
      <c r="G444" s="102" t="n"/>
      <c r="H444" s="103" t="n"/>
      <c r="I444" s="103" t="n"/>
      <c r="J444" s="104" t="n"/>
      <c r="K444" s="102" t="n"/>
      <c r="L444" s="103" t="n"/>
      <c r="M444" s="103" t="n"/>
      <c r="N444" s="104" t="n"/>
      <c r="O444" s="102" t="n"/>
      <c r="P444" s="103" t="n"/>
      <c r="Q444" s="103" t="n"/>
      <c r="R444" s="104" t="n"/>
      <c r="S444" s="102" t="n"/>
      <c r="T444" s="103" t="n"/>
      <c r="U444" s="103" t="n"/>
      <c r="V444" s="104" t="n"/>
      <c r="W444" s="102" t="n"/>
      <c r="X444" s="104" t="n"/>
      <c r="Y444" s="102" t="n"/>
      <c r="Z444" s="104" t="n"/>
      <c r="AB444" s="105">
        <f>IF($B444="","",(COUNTIF(C408:E425,$B444)+COUNTIF(C408:E425,$B444&amp;" ~*")&gt;0)+(COUNTIF(G408:I425,$B444)+COUNTIF(G408:I425,$B444&amp;" ~*")&gt;0)+(COUNTIF(K408:M425,$B444)+COUNTIF(K408:M425,$B444&amp;" ~*")&gt;0)+(COUNTIF(O408:Q425,$B444)+COUNTIF(O408:Q425,$B444&amp;" ~*")&gt;0)+(COUNTIF(S408:U425,$B444)+COUNTIF(S408:U425,$B444&amp;" ~*")&gt;0)+(COUNTIF(W408:W425,$B444)+COUNTIF(W408:W425,$B444&amp;" ~*")&gt;0)+(COUNTIF(Y408:Y425,$B444)+COUNTIF(Y408:Y425,$B444&amp;" ~*")&gt;0))</f>
        <v/>
      </c>
      <c r="AC444" s="38">
        <f>IF($B444="","",(IFERROR(INDEX(Setup!$G$33:$G$40,MATCH(C444,Setup!$B$33:$B$40,0)),0)=1)*(COUNTIF(C408:E425,$B444)+COUNTIF(C408:E425,$B444&amp;" ~*")&gt;0)+(IFERROR(INDEX(Setup!$G$33:$G$40,MATCH(G444,Setup!$B$33:$B$40,0)),0)=1)*(COUNTIF(G408:I425,$B444)+COUNTIF(G408:I425,$B444&amp;" ~*")&gt;0)+(IFERROR(INDEX(Setup!$G$33:$G$40,MATCH(K444,Setup!$B$33:$B$40,0)),0)=1)*(COUNTIF(K408:M425,$B444)+COUNTIF(K408:M425,$B444&amp;" ~*")&gt;0)+(IFERROR(INDEX(Setup!$G$33:$G$40,MATCH(O444,Setup!$B$33:$B$40,0)),0)=1)*(COUNTIF(O408:Q425,$B444)+COUNTIF(O408:Q425,$B444&amp;" ~*")&gt;0)+(IFERROR(INDEX(Setup!$G$33:$G$40,MATCH(S444,Setup!$B$33:$B$40,0)),0)=1)*(COUNTIF(S408:U425,$B444)+COUNTIF(S408:U425,$B444&amp;" ~*")&gt;0)+(IFERROR(INDEX(Setup!$G$33:$G$40,MATCH(W444,Setup!$B$33:$B$40,0)),0)=1)*(COUNTIF(W408:W425,$B444)+COUNTIF(W408:W425,$B444&amp;" ~*")&gt;0)+(IFERROR(INDEX(Setup!$G$33:$G$40,MATCH(Y444,Setup!$B$33:$B$40,0)),0)=1)*(COUNTIF(Y408:Y425,$B444)+COUNTIF(Y408:Y425,$B444&amp;" ~*")&gt;0))</f>
        <v/>
      </c>
    </row>
    <row r="445" ht="15" customHeight="1">
      <c r="A445" t="n">
        <v>9</v>
      </c>
      <c r="B445" s="35">
        <f>IF(Setup!$B$24="","",Setup!$B$24)</f>
        <v/>
      </c>
      <c r="C445" s="98" t="n"/>
      <c r="D445" s="99" t="n"/>
      <c r="E445" s="99" t="n"/>
      <c r="F445" s="100" t="n"/>
      <c r="G445" s="98" t="n"/>
      <c r="H445" s="99" t="n"/>
      <c r="I445" s="99" t="n"/>
      <c r="J445" s="100" t="n"/>
      <c r="K445" s="98" t="n"/>
      <c r="L445" s="99" t="n"/>
      <c r="M445" s="99" t="n"/>
      <c r="N445" s="100" t="n"/>
      <c r="O445" s="98" t="n"/>
      <c r="P445" s="99" t="n"/>
      <c r="Q445" s="99" t="n"/>
      <c r="R445" s="100" t="n"/>
      <c r="S445" s="98" t="n"/>
      <c r="T445" s="99" t="n"/>
      <c r="U445" s="99" t="n"/>
      <c r="V445" s="100" t="n"/>
      <c r="W445" s="98" t="n"/>
      <c r="X445" s="100" t="n"/>
      <c r="Y445" s="98" t="n"/>
      <c r="Z445" s="100" t="n"/>
      <c r="AB445" s="101">
        <f>IF($B445="","",(COUNTIF(C408:E425,$B445)+COUNTIF(C408:E425,$B445&amp;" ~*")&gt;0)+(COUNTIF(G408:I425,$B445)+COUNTIF(G408:I425,$B445&amp;" ~*")&gt;0)+(COUNTIF(K408:M425,$B445)+COUNTIF(K408:M425,$B445&amp;" ~*")&gt;0)+(COUNTIF(O408:Q425,$B445)+COUNTIF(O408:Q425,$B445&amp;" ~*")&gt;0)+(COUNTIF(S408:U425,$B445)+COUNTIF(S408:U425,$B445&amp;" ~*")&gt;0)+(COUNTIF(W408:W425,$B445)+COUNTIF(W408:W425,$B445&amp;" ~*")&gt;0)+(COUNTIF(Y408:Y425,$B445)+COUNTIF(Y408:Y425,$B445&amp;" ~*")&gt;0))</f>
        <v/>
      </c>
      <c r="AC445" s="36">
        <f>IF($B445="","",(IFERROR(INDEX(Setup!$G$33:$G$40,MATCH(C445,Setup!$B$33:$B$40,0)),0)=1)*(COUNTIF(C408:E425,$B445)+COUNTIF(C408:E425,$B445&amp;" ~*")&gt;0)+(IFERROR(INDEX(Setup!$G$33:$G$40,MATCH(G445,Setup!$B$33:$B$40,0)),0)=1)*(COUNTIF(G408:I425,$B445)+COUNTIF(G408:I425,$B445&amp;" ~*")&gt;0)+(IFERROR(INDEX(Setup!$G$33:$G$40,MATCH(K445,Setup!$B$33:$B$40,0)),0)=1)*(COUNTIF(K408:M425,$B445)+COUNTIF(K408:M425,$B445&amp;" ~*")&gt;0)+(IFERROR(INDEX(Setup!$G$33:$G$40,MATCH(O445,Setup!$B$33:$B$40,0)),0)=1)*(COUNTIF(O408:Q425,$B445)+COUNTIF(O408:Q425,$B445&amp;" ~*")&gt;0)+(IFERROR(INDEX(Setup!$G$33:$G$40,MATCH(S445,Setup!$B$33:$B$40,0)),0)=1)*(COUNTIF(S408:U425,$B445)+COUNTIF(S408:U425,$B445&amp;" ~*")&gt;0)+(IFERROR(INDEX(Setup!$G$33:$G$40,MATCH(W445,Setup!$B$33:$B$40,0)),0)=1)*(COUNTIF(W408:W425,$B445)+COUNTIF(W408:W425,$B445&amp;" ~*")&gt;0)+(IFERROR(INDEX(Setup!$G$33:$G$40,MATCH(Y445,Setup!$B$33:$B$40,0)),0)=1)*(COUNTIF(Y408:Y425,$B445)+COUNTIF(Y408:Y425,$B445&amp;" ~*")&gt;0))</f>
        <v/>
      </c>
    </row>
    <row r="446" ht="15" customHeight="1">
      <c r="A446" t="n">
        <v>9</v>
      </c>
      <c r="B446" s="37">
        <f>IF(Setup!$B$25="","",Setup!$B$25)</f>
        <v/>
      </c>
      <c r="C446" s="102" t="n"/>
      <c r="D446" s="103" t="n"/>
      <c r="E446" s="103" t="n"/>
      <c r="F446" s="104" t="n"/>
      <c r="G446" s="102" t="n"/>
      <c r="H446" s="103" t="n"/>
      <c r="I446" s="103" t="n"/>
      <c r="J446" s="104" t="n"/>
      <c r="K446" s="102" t="n"/>
      <c r="L446" s="103" t="n"/>
      <c r="M446" s="103" t="n"/>
      <c r="N446" s="104" t="n"/>
      <c r="O446" s="102" t="n"/>
      <c r="P446" s="103" t="n"/>
      <c r="Q446" s="103" t="n"/>
      <c r="R446" s="104" t="n"/>
      <c r="S446" s="102" t="n"/>
      <c r="T446" s="103" t="n"/>
      <c r="U446" s="103" t="n"/>
      <c r="V446" s="104" t="n"/>
      <c r="W446" s="102" t="n"/>
      <c r="X446" s="104" t="n"/>
      <c r="Y446" s="102" t="n"/>
      <c r="Z446" s="104" t="n"/>
      <c r="AB446" s="105">
        <f>IF($B446="","",(COUNTIF(C408:E425,$B446)+COUNTIF(C408:E425,$B446&amp;" ~*")&gt;0)+(COUNTIF(G408:I425,$B446)+COUNTIF(G408:I425,$B446&amp;" ~*")&gt;0)+(COUNTIF(K408:M425,$B446)+COUNTIF(K408:M425,$B446&amp;" ~*")&gt;0)+(COUNTIF(O408:Q425,$B446)+COUNTIF(O408:Q425,$B446&amp;" ~*")&gt;0)+(COUNTIF(S408:U425,$B446)+COUNTIF(S408:U425,$B446&amp;" ~*")&gt;0)+(COUNTIF(W408:W425,$B446)+COUNTIF(W408:W425,$B446&amp;" ~*")&gt;0)+(COUNTIF(Y408:Y425,$B446)+COUNTIF(Y408:Y425,$B446&amp;" ~*")&gt;0))</f>
        <v/>
      </c>
      <c r="AC446" s="38">
        <f>IF($B446="","",(IFERROR(INDEX(Setup!$G$33:$G$40,MATCH(C446,Setup!$B$33:$B$40,0)),0)=1)*(COUNTIF(C408:E425,$B446)+COUNTIF(C408:E425,$B446&amp;" ~*")&gt;0)+(IFERROR(INDEX(Setup!$G$33:$G$40,MATCH(G446,Setup!$B$33:$B$40,0)),0)=1)*(COUNTIF(G408:I425,$B446)+COUNTIF(G408:I425,$B446&amp;" ~*")&gt;0)+(IFERROR(INDEX(Setup!$G$33:$G$40,MATCH(K446,Setup!$B$33:$B$40,0)),0)=1)*(COUNTIF(K408:M425,$B446)+COUNTIF(K408:M425,$B446&amp;" ~*")&gt;0)+(IFERROR(INDEX(Setup!$G$33:$G$40,MATCH(O446,Setup!$B$33:$B$40,0)),0)=1)*(COUNTIF(O408:Q425,$B446)+COUNTIF(O408:Q425,$B446&amp;" ~*")&gt;0)+(IFERROR(INDEX(Setup!$G$33:$G$40,MATCH(S446,Setup!$B$33:$B$40,0)),0)=1)*(COUNTIF(S408:U425,$B446)+COUNTIF(S408:U425,$B446&amp;" ~*")&gt;0)+(IFERROR(INDEX(Setup!$G$33:$G$40,MATCH(W446,Setup!$B$33:$B$40,0)),0)=1)*(COUNTIF(W408:W425,$B446)+COUNTIF(W408:W425,$B446&amp;" ~*")&gt;0)+(IFERROR(INDEX(Setup!$G$33:$G$40,MATCH(Y446,Setup!$B$33:$B$40,0)),0)=1)*(COUNTIF(Y408:Y425,$B446)+COUNTIF(Y408:Y425,$B446&amp;" ~*")&gt;0))</f>
        <v/>
      </c>
    </row>
    <row r="447" ht="15" customHeight="1">
      <c r="A447" t="n">
        <v>9</v>
      </c>
      <c r="B447" s="35">
        <f>IF(Setup!$B$26="","",Setup!$B$26)</f>
        <v/>
      </c>
      <c r="C447" s="98" t="n"/>
      <c r="D447" s="99" t="n"/>
      <c r="E447" s="99" t="n"/>
      <c r="F447" s="100" t="n"/>
      <c r="G447" s="98" t="n"/>
      <c r="H447" s="99" t="n"/>
      <c r="I447" s="99" t="n"/>
      <c r="J447" s="100" t="n"/>
      <c r="K447" s="98" t="n"/>
      <c r="L447" s="99" t="n"/>
      <c r="M447" s="99" t="n"/>
      <c r="N447" s="100" t="n"/>
      <c r="O447" s="98" t="n"/>
      <c r="P447" s="99" t="n"/>
      <c r="Q447" s="99" t="n"/>
      <c r="R447" s="100" t="n"/>
      <c r="S447" s="98" t="n"/>
      <c r="T447" s="99" t="n"/>
      <c r="U447" s="99" t="n"/>
      <c r="V447" s="100" t="n"/>
      <c r="W447" s="98" t="n"/>
      <c r="X447" s="100" t="n"/>
      <c r="Y447" s="98" t="n"/>
      <c r="Z447" s="100" t="n"/>
      <c r="AB447" s="101">
        <f>IF($B447="","",(COUNTIF(C408:E425,$B447)+COUNTIF(C408:E425,$B447&amp;" ~*")&gt;0)+(COUNTIF(G408:I425,$B447)+COUNTIF(G408:I425,$B447&amp;" ~*")&gt;0)+(COUNTIF(K408:M425,$B447)+COUNTIF(K408:M425,$B447&amp;" ~*")&gt;0)+(COUNTIF(O408:Q425,$B447)+COUNTIF(O408:Q425,$B447&amp;" ~*")&gt;0)+(COUNTIF(S408:U425,$B447)+COUNTIF(S408:U425,$B447&amp;" ~*")&gt;0)+(COUNTIF(W408:W425,$B447)+COUNTIF(W408:W425,$B447&amp;" ~*")&gt;0)+(COUNTIF(Y408:Y425,$B447)+COUNTIF(Y408:Y425,$B447&amp;" ~*")&gt;0))</f>
        <v/>
      </c>
      <c r="AC447" s="36">
        <f>IF($B447="","",(IFERROR(INDEX(Setup!$G$33:$G$40,MATCH(C447,Setup!$B$33:$B$40,0)),0)=1)*(COUNTIF(C408:E425,$B447)+COUNTIF(C408:E425,$B447&amp;" ~*")&gt;0)+(IFERROR(INDEX(Setup!$G$33:$G$40,MATCH(G447,Setup!$B$33:$B$40,0)),0)=1)*(COUNTIF(G408:I425,$B447)+COUNTIF(G408:I425,$B447&amp;" ~*")&gt;0)+(IFERROR(INDEX(Setup!$G$33:$G$40,MATCH(K447,Setup!$B$33:$B$40,0)),0)=1)*(COUNTIF(K408:M425,$B447)+COUNTIF(K408:M425,$B447&amp;" ~*")&gt;0)+(IFERROR(INDEX(Setup!$G$33:$G$40,MATCH(O447,Setup!$B$33:$B$40,0)),0)=1)*(COUNTIF(O408:Q425,$B447)+COUNTIF(O408:Q425,$B447&amp;" ~*")&gt;0)+(IFERROR(INDEX(Setup!$G$33:$G$40,MATCH(S447,Setup!$B$33:$B$40,0)),0)=1)*(COUNTIF(S408:U425,$B447)+COUNTIF(S408:U425,$B447&amp;" ~*")&gt;0)+(IFERROR(INDEX(Setup!$G$33:$G$40,MATCH(W447,Setup!$B$33:$B$40,0)),0)=1)*(COUNTIF(W408:W425,$B447)+COUNTIF(W408:W425,$B447&amp;" ~*")&gt;0)+(IFERROR(INDEX(Setup!$G$33:$G$40,MATCH(Y447,Setup!$B$33:$B$40,0)),0)=1)*(COUNTIF(Y408:Y425,$B447)+COUNTIF(Y408:Y425,$B447&amp;" ~*")&gt;0))</f>
        <v/>
      </c>
    </row>
    <row r="448" ht="15" customHeight="1">
      <c r="A448" t="n">
        <v>9</v>
      </c>
      <c r="B448" s="37">
        <f>IF(Setup!$B$27="","",Setup!$B$27)</f>
        <v/>
      </c>
      <c r="C448" s="102" t="n"/>
      <c r="D448" s="103" t="n"/>
      <c r="E448" s="103" t="n"/>
      <c r="F448" s="104" t="n"/>
      <c r="G448" s="102" t="n"/>
      <c r="H448" s="103" t="n"/>
      <c r="I448" s="103" t="n"/>
      <c r="J448" s="104" t="n"/>
      <c r="K448" s="102" t="n"/>
      <c r="L448" s="103" t="n"/>
      <c r="M448" s="103" t="n"/>
      <c r="N448" s="104" t="n"/>
      <c r="O448" s="102" t="n"/>
      <c r="P448" s="103" t="n"/>
      <c r="Q448" s="103" t="n"/>
      <c r="R448" s="104" t="n"/>
      <c r="S448" s="102" t="n"/>
      <c r="T448" s="103" t="n"/>
      <c r="U448" s="103" t="n"/>
      <c r="V448" s="104" t="n"/>
      <c r="W448" s="102" t="n"/>
      <c r="X448" s="104" t="n"/>
      <c r="Y448" s="102" t="n"/>
      <c r="Z448" s="104" t="n"/>
      <c r="AB448" s="105">
        <f>IF($B448="","",(COUNTIF(C408:E425,$B448)+COUNTIF(C408:E425,$B448&amp;" ~*")&gt;0)+(COUNTIF(G408:I425,$B448)+COUNTIF(G408:I425,$B448&amp;" ~*")&gt;0)+(COUNTIF(K408:M425,$B448)+COUNTIF(K408:M425,$B448&amp;" ~*")&gt;0)+(COUNTIF(O408:Q425,$B448)+COUNTIF(O408:Q425,$B448&amp;" ~*")&gt;0)+(COUNTIF(S408:U425,$B448)+COUNTIF(S408:U425,$B448&amp;" ~*")&gt;0)+(COUNTIF(W408:W425,$B448)+COUNTIF(W408:W425,$B448&amp;" ~*")&gt;0)+(COUNTIF(Y408:Y425,$B448)+COUNTIF(Y408:Y425,$B448&amp;" ~*")&gt;0))</f>
        <v/>
      </c>
      <c r="AC448" s="38">
        <f>IF($B448="","",(IFERROR(INDEX(Setup!$G$33:$G$40,MATCH(C448,Setup!$B$33:$B$40,0)),0)=1)*(COUNTIF(C408:E425,$B448)+COUNTIF(C408:E425,$B448&amp;" ~*")&gt;0)+(IFERROR(INDEX(Setup!$G$33:$G$40,MATCH(G448,Setup!$B$33:$B$40,0)),0)=1)*(COUNTIF(G408:I425,$B448)+COUNTIF(G408:I425,$B448&amp;" ~*")&gt;0)+(IFERROR(INDEX(Setup!$G$33:$G$40,MATCH(K448,Setup!$B$33:$B$40,0)),0)=1)*(COUNTIF(K408:M425,$B448)+COUNTIF(K408:M425,$B448&amp;" ~*")&gt;0)+(IFERROR(INDEX(Setup!$G$33:$G$40,MATCH(O448,Setup!$B$33:$B$40,0)),0)=1)*(COUNTIF(O408:Q425,$B448)+COUNTIF(O408:Q425,$B448&amp;" ~*")&gt;0)+(IFERROR(INDEX(Setup!$G$33:$G$40,MATCH(S448,Setup!$B$33:$B$40,0)),0)=1)*(COUNTIF(S408:U425,$B448)+COUNTIF(S408:U425,$B448&amp;" ~*")&gt;0)+(IFERROR(INDEX(Setup!$G$33:$G$40,MATCH(W448,Setup!$B$33:$B$40,0)),0)=1)*(COUNTIF(W408:W425,$B448)+COUNTIF(W408:W425,$B448&amp;" ~*")&gt;0)+(IFERROR(INDEX(Setup!$G$33:$G$40,MATCH(Y448,Setup!$B$33:$B$40,0)),0)=1)*(COUNTIF(Y408:Y425,$B448)+COUNTIF(Y408:Y425,$B448&amp;" ~*")&gt;0))</f>
        <v/>
      </c>
    </row>
    <row r="449" ht="15" customHeight="1">
      <c r="A449" t="n">
        <v>9</v>
      </c>
      <c r="B449" s="35">
        <f>IF(Setup!$B$28="","",Setup!$B$28)</f>
        <v/>
      </c>
      <c r="C449" s="98" t="n"/>
      <c r="D449" s="99" t="n"/>
      <c r="E449" s="99" t="n"/>
      <c r="F449" s="100" t="n"/>
      <c r="G449" s="98" t="n"/>
      <c r="H449" s="99" t="n"/>
      <c r="I449" s="99" t="n"/>
      <c r="J449" s="100" t="n"/>
      <c r="K449" s="98" t="n"/>
      <c r="L449" s="99" t="n"/>
      <c r="M449" s="99" t="n"/>
      <c r="N449" s="100" t="n"/>
      <c r="O449" s="98" t="n"/>
      <c r="P449" s="99" t="n"/>
      <c r="Q449" s="99" t="n"/>
      <c r="R449" s="100" t="n"/>
      <c r="S449" s="98" t="n"/>
      <c r="T449" s="99" t="n"/>
      <c r="U449" s="99" t="n"/>
      <c r="V449" s="100" t="n"/>
      <c r="W449" s="98" t="n"/>
      <c r="X449" s="100" t="n"/>
      <c r="Y449" s="98" t="n"/>
      <c r="Z449" s="100" t="n"/>
      <c r="AB449" s="101">
        <f>IF($B449="","",(COUNTIF(C408:E425,$B449)+COUNTIF(C408:E425,$B449&amp;" ~*")&gt;0)+(COUNTIF(G408:I425,$B449)+COUNTIF(G408:I425,$B449&amp;" ~*")&gt;0)+(COUNTIF(K408:M425,$B449)+COUNTIF(K408:M425,$B449&amp;" ~*")&gt;0)+(COUNTIF(O408:Q425,$B449)+COUNTIF(O408:Q425,$B449&amp;" ~*")&gt;0)+(COUNTIF(S408:U425,$B449)+COUNTIF(S408:U425,$B449&amp;" ~*")&gt;0)+(COUNTIF(W408:W425,$B449)+COUNTIF(W408:W425,$B449&amp;" ~*")&gt;0)+(COUNTIF(Y408:Y425,$B449)+COUNTIF(Y408:Y425,$B449&amp;" ~*")&gt;0))</f>
        <v/>
      </c>
      <c r="AC449" s="36">
        <f>IF($B449="","",(IFERROR(INDEX(Setup!$G$33:$G$40,MATCH(C449,Setup!$B$33:$B$40,0)),0)=1)*(COUNTIF(C408:E425,$B449)+COUNTIF(C408:E425,$B449&amp;" ~*")&gt;0)+(IFERROR(INDEX(Setup!$G$33:$G$40,MATCH(G449,Setup!$B$33:$B$40,0)),0)=1)*(COUNTIF(G408:I425,$B449)+COUNTIF(G408:I425,$B449&amp;" ~*")&gt;0)+(IFERROR(INDEX(Setup!$G$33:$G$40,MATCH(K449,Setup!$B$33:$B$40,0)),0)=1)*(COUNTIF(K408:M425,$B449)+COUNTIF(K408:M425,$B449&amp;" ~*")&gt;0)+(IFERROR(INDEX(Setup!$G$33:$G$40,MATCH(O449,Setup!$B$33:$B$40,0)),0)=1)*(COUNTIF(O408:Q425,$B449)+COUNTIF(O408:Q425,$B449&amp;" ~*")&gt;0)+(IFERROR(INDEX(Setup!$G$33:$G$40,MATCH(S449,Setup!$B$33:$B$40,0)),0)=1)*(COUNTIF(S408:U425,$B449)+COUNTIF(S408:U425,$B449&amp;" ~*")&gt;0)+(IFERROR(INDEX(Setup!$G$33:$G$40,MATCH(W449,Setup!$B$33:$B$40,0)),0)=1)*(COUNTIF(W408:W425,$B449)+COUNTIF(W408:W425,$B449&amp;" ~*")&gt;0)+(IFERROR(INDEX(Setup!$G$33:$G$40,MATCH(Y449,Setup!$B$33:$B$40,0)),0)=1)*(COUNTIF(Y408:Y425,$B449)+COUNTIF(Y408:Y425,$B449&amp;" ~*")&gt;0))</f>
        <v/>
      </c>
    </row>
    <row r="450" ht="15" customHeight="1">
      <c r="A450" t="n">
        <v>9</v>
      </c>
      <c r="B450" s="37">
        <f>IF(Setup!$B$29="","",Setup!$B$29)</f>
        <v/>
      </c>
      <c r="C450" s="102" t="n"/>
      <c r="D450" s="103" t="n"/>
      <c r="E450" s="103" t="n"/>
      <c r="F450" s="104" t="n"/>
      <c r="G450" s="102" t="n"/>
      <c r="H450" s="103" t="n"/>
      <c r="I450" s="103" t="n"/>
      <c r="J450" s="104" t="n"/>
      <c r="K450" s="102" t="n"/>
      <c r="L450" s="103" t="n"/>
      <c r="M450" s="103" t="n"/>
      <c r="N450" s="104" t="n"/>
      <c r="O450" s="102" t="n"/>
      <c r="P450" s="103" t="n"/>
      <c r="Q450" s="103" t="n"/>
      <c r="R450" s="104" t="n"/>
      <c r="S450" s="102" t="n"/>
      <c r="T450" s="103" t="n"/>
      <c r="U450" s="103" t="n"/>
      <c r="V450" s="104" t="n"/>
      <c r="W450" s="102" t="n"/>
      <c r="X450" s="104" t="n"/>
      <c r="Y450" s="102" t="n"/>
      <c r="Z450" s="104" t="n"/>
      <c r="AB450" s="105">
        <f>IF($B450="","",(COUNTIF(C408:E425,$B450)+COUNTIF(C408:E425,$B450&amp;" ~*")&gt;0)+(COUNTIF(G408:I425,$B450)+COUNTIF(G408:I425,$B450&amp;" ~*")&gt;0)+(COUNTIF(K408:M425,$B450)+COUNTIF(K408:M425,$B450&amp;" ~*")&gt;0)+(COUNTIF(O408:Q425,$B450)+COUNTIF(O408:Q425,$B450&amp;" ~*")&gt;0)+(COUNTIF(S408:U425,$B450)+COUNTIF(S408:U425,$B450&amp;" ~*")&gt;0)+(COUNTIF(W408:W425,$B450)+COUNTIF(W408:W425,$B450&amp;" ~*")&gt;0)+(COUNTIF(Y408:Y425,$B450)+COUNTIF(Y408:Y425,$B450&amp;" ~*")&gt;0))</f>
        <v/>
      </c>
      <c r="AC450" s="38">
        <f>IF($B450="","",(IFERROR(INDEX(Setup!$G$33:$G$40,MATCH(C450,Setup!$B$33:$B$40,0)),0)=1)*(COUNTIF(C408:E425,$B450)+COUNTIF(C408:E425,$B450&amp;" ~*")&gt;0)+(IFERROR(INDEX(Setup!$G$33:$G$40,MATCH(G450,Setup!$B$33:$B$40,0)),0)=1)*(COUNTIF(G408:I425,$B450)+COUNTIF(G408:I425,$B450&amp;" ~*")&gt;0)+(IFERROR(INDEX(Setup!$G$33:$G$40,MATCH(K450,Setup!$B$33:$B$40,0)),0)=1)*(COUNTIF(K408:M425,$B450)+COUNTIF(K408:M425,$B450&amp;" ~*")&gt;0)+(IFERROR(INDEX(Setup!$G$33:$G$40,MATCH(O450,Setup!$B$33:$B$40,0)),0)=1)*(COUNTIF(O408:Q425,$B450)+COUNTIF(O408:Q425,$B450&amp;" ~*")&gt;0)+(IFERROR(INDEX(Setup!$G$33:$G$40,MATCH(S450,Setup!$B$33:$B$40,0)),0)=1)*(COUNTIF(S408:U425,$B450)+COUNTIF(S408:U425,$B450&amp;" ~*")&gt;0)+(IFERROR(INDEX(Setup!$G$33:$G$40,MATCH(W450,Setup!$B$33:$B$40,0)),0)=1)*(COUNTIF(W408:W425,$B450)+COUNTIF(W408:W425,$B450&amp;" ~*")&gt;0)+(IFERROR(INDEX(Setup!$G$33:$G$40,MATCH(Y450,Setup!$B$33:$B$40,0)),0)=1)*(COUNTIF(Y408:Y425,$B450)+COUNTIF(Y408:Y425,$B450&amp;" ~*")&gt;0))</f>
        <v/>
      </c>
    </row>
    <row r="451" ht="16" customHeight="1">
      <c r="A451" t="n">
        <v>9</v>
      </c>
      <c r="B451" s="106" t="inlineStr">
        <is>
          <t>Available people</t>
        </is>
      </c>
      <c r="C451" s="107">
        <f>COUNTIFS(Setup!$E$6:$E$29,"Y",Setup!$B$6:$B$29,"?*")-SUMPRODUCT(COUNTIF(C427:C450,Setup!$F$33:$F$40))</f>
        <v/>
      </c>
      <c r="D451" s="107" t="n"/>
      <c r="E451" s="107" t="n"/>
      <c r="F451" s="107" t="n"/>
      <c r="G451" s="107">
        <f>COUNTIFS(Setup!$E$6:$E$29,"Y",Setup!$B$6:$B$29,"?*")-SUMPRODUCT(COUNTIF(G427:G450,Setup!$F$33:$F$40))</f>
        <v/>
      </c>
      <c r="H451" s="107" t="n"/>
      <c r="I451" s="107" t="n"/>
      <c r="J451" s="107" t="n"/>
      <c r="K451" s="107">
        <f>COUNTIFS(Setup!$E$6:$E$29,"Y",Setup!$B$6:$B$29,"?*")-SUMPRODUCT(COUNTIF(K427:K450,Setup!$F$33:$F$40))</f>
        <v/>
      </c>
      <c r="L451" s="107" t="n"/>
      <c r="M451" s="107" t="n"/>
      <c r="N451" s="107" t="n"/>
      <c r="O451" s="107">
        <f>COUNTIFS(Setup!$E$6:$E$29,"Y",Setup!$B$6:$B$29,"?*")-SUMPRODUCT(COUNTIF(O427:O450,Setup!$F$33:$F$40))</f>
        <v/>
      </c>
      <c r="P451" s="107" t="n"/>
      <c r="Q451" s="107" t="n"/>
      <c r="R451" s="107" t="n"/>
      <c r="S451" s="107">
        <f>COUNTIFS(Setup!$E$6:$E$29,"Y",Setup!$B$6:$B$29,"?*")-SUMPRODUCT(COUNTIF(S427:S450,Setup!$F$33:$F$40))</f>
        <v/>
      </c>
      <c r="T451" s="107" t="n"/>
      <c r="U451" s="107" t="n"/>
      <c r="V451" s="107" t="n"/>
      <c r="W451" s="107">
        <f>COUNTIFS(Setup!$E$6:$E$29,"Y",Setup!$B$6:$B$29,"?*")-SUMPRODUCT(COUNTIF(W427:W450,Setup!$F$33:$F$40))</f>
        <v/>
      </c>
      <c r="X451" s="107" t="n"/>
      <c r="Y451" s="107">
        <f>COUNTIFS(Setup!$E$6:$E$29,"Y",Setup!$B$6:$B$29,"?*")-SUMPRODUCT(COUNTIF(Y427:Y450,Setup!$F$33:$F$40))</f>
        <v/>
      </c>
      <c r="Z451" s="107" t="n"/>
      <c r="AB451" s="108">
        <f>SUM(AB427:AB450)</f>
        <v/>
      </c>
      <c r="AC451" s="109">
        <f>SUM(AC427:AC450)</f>
        <v/>
      </c>
    </row>
    <row r="452" ht="30" customHeight="1">
      <c r="A452" t="n">
        <v>9</v>
      </c>
      <c r="B452" s="110" t="inlineStr">
        <is>
          <t>Week notes</t>
        </is>
      </c>
      <c r="C452" s="111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112" t="n"/>
      <c r="R452" s="112" t="n"/>
      <c r="S452" s="112" t="n"/>
      <c r="T452" s="112" t="n"/>
      <c r="U452" s="112" t="n"/>
      <c r="V452" s="112" t="n"/>
      <c r="W452" s="112" t="n"/>
      <c r="X452" s="112" t="n"/>
      <c r="Y452" s="112" t="n"/>
      <c r="Z452" s="113" t="n"/>
    </row>
    <row r="453" ht="8" customHeight="1">
      <c r="A453" t="n">
        <v>9</v>
      </c>
    </row>
    <row r="454" ht="8" customHeight="1">
      <c r="A454" t="n">
        <v>9</v>
      </c>
    </row>
    <row r="455" ht="24" customHeight="1">
      <c r="A455" t="n">
        <v>10</v>
      </c>
      <c r="B455" s="73">
        <f>"WEEK 10     "&amp;TEXT(C456,"ddd d mmm")&amp;"  –  "&amp;TEXT(C456+6,"ddd d mmm yyyy")</f>
        <v/>
      </c>
      <c r="S455" s="74">
        <f>IF(TODAY()&lt;C456,"FUTURE",IF(TODAY()&gt;C456+6,"PAST","THIS WEEK"))</f>
        <v/>
      </c>
      <c r="W455" s="75">
        <f>IF(AND(Engine!$B$8=$AC$3,Engine!$B$9=$A455),"◀ ACTIVE WEEK","")</f>
        <v/>
      </c>
      <c r="AA455" s="76" t="n"/>
      <c r="AB455" s="77" t="inlineStr">
        <is>
          <t>◀ Prev</t>
        </is>
      </c>
      <c r="AC455" s="77" t="inlineStr">
        <is>
          <t>Next ▶</t>
        </is>
      </c>
    </row>
    <row r="456" ht="18" customHeight="1">
      <c r="A456" t="n">
        <v>10</v>
      </c>
      <c r="B456" s="78" t="inlineStr">
        <is>
          <t>DUTY</t>
        </is>
      </c>
      <c r="C456" s="79">
        <f>$AC$2+7*($A456-1)</f>
        <v/>
      </c>
      <c r="D456" s="80" t="n"/>
      <c r="E456" s="80" t="n"/>
      <c r="F456" s="81" t="n"/>
      <c r="G456" s="79">
        <f>C456+1</f>
        <v/>
      </c>
      <c r="H456" s="80" t="n"/>
      <c r="I456" s="80" t="n"/>
      <c r="J456" s="81" t="n"/>
      <c r="K456" s="79">
        <f>C456+2</f>
        <v/>
      </c>
      <c r="L456" s="80" t="n"/>
      <c r="M456" s="80" t="n"/>
      <c r="N456" s="81" t="n"/>
      <c r="O456" s="79">
        <f>C456+3</f>
        <v/>
      </c>
      <c r="P456" s="80" t="n"/>
      <c r="Q456" s="80" t="n"/>
      <c r="R456" s="81" t="n"/>
      <c r="S456" s="79">
        <f>C456+4</f>
        <v/>
      </c>
      <c r="T456" s="80" t="n"/>
      <c r="U456" s="80" t="n"/>
      <c r="V456" s="81" t="n"/>
      <c r="W456" s="82">
        <f>C456+5</f>
        <v/>
      </c>
      <c r="X456" s="83" t="n"/>
      <c r="Y456" s="82">
        <f>C456+6</f>
        <v/>
      </c>
      <c r="Z456" s="83" t="n"/>
      <c r="AB456" s="72" t="inlineStr">
        <is>
          <t>Gaps</t>
        </is>
      </c>
      <c r="AC456" s="72" t="inlineStr">
        <is>
          <t>Cover</t>
        </is>
      </c>
    </row>
    <row r="457" ht="14" customHeight="1">
      <c r="A457" t="n">
        <v>10</v>
      </c>
      <c r="B457" s="84" t="inlineStr">
        <is>
          <t>(from Setup)</t>
        </is>
      </c>
      <c r="C457" s="85" t="inlineStr">
        <is>
          <t>1</t>
        </is>
      </c>
      <c r="D457" s="85" t="inlineStr">
        <is>
          <t>2</t>
        </is>
      </c>
      <c r="E457" s="85" t="inlineStr">
        <is>
          <t>3</t>
        </is>
      </c>
      <c r="F457" s="85" t="inlineStr">
        <is>
          <t>Notes</t>
        </is>
      </c>
      <c r="G457" s="85" t="inlineStr">
        <is>
          <t>1</t>
        </is>
      </c>
      <c r="H457" s="85" t="inlineStr">
        <is>
          <t>2</t>
        </is>
      </c>
      <c r="I457" s="85" t="inlineStr">
        <is>
          <t>3</t>
        </is>
      </c>
      <c r="J457" s="85" t="inlineStr">
        <is>
          <t>Notes</t>
        </is>
      </c>
      <c r="K457" s="85" t="inlineStr">
        <is>
          <t>1</t>
        </is>
      </c>
      <c r="L457" s="85" t="inlineStr">
        <is>
          <t>2</t>
        </is>
      </c>
      <c r="M457" s="85" t="inlineStr">
        <is>
          <t>3</t>
        </is>
      </c>
      <c r="N457" s="85" t="inlineStr">
        <is>
          <t>Notes</t>
        </is>
      </c>
      <c r="O457" s="85" t="inlineStr">
        <is>
          <t>1</t>
        </is>
      </c>
      <c r="P457" s="85" t="inlineStr">
        <is>
          <t>2</t>
        </is>
      </c>
      <c r="Q457" s="85" t="inlineStr">
        <is>
          <t>3</t>
        </is>
      </c>
      <c r="R457" s="85" t="inlineStr">
        <is>
          <t>Notes</t>
        </is>
      </c>
      <c r="S457" s="85" t="inlineStr">
        <is>
          <t>1</t>
        </is>
      </c>
      <c r="T457" s="85" t="inlineStr">
        <is>
          <t>2</t>
        </is>
      </c>
      <c r="U457" s="85" t="inlineStr">
        <is>
          <t>3</t>
        </is>
      </c>
      <c r="V457" s="85" t="inlineStr">
        <is>
          <t>Notes</t>
        </is>
      </c>
      <c r="W457" s="85" t="inlineStr">
        <is>
          <t>Cover</t>
        </is>
      </c>
      <c r="X457" s="85" t="inlineStr">
        <is>
          <t>Notes</t>
        </is>
      </c>
      <c r="Y457" s="85" t="inlineStr">
        <is>
          <t>Cover</t>
        </is>
      </c>
      <c r="Z457" s="85" t="inlineStr">
        <is>
          <t>Notes</t>
        </is>
      </c>
      <c r="AB457" s="86" t="inlineStr">
        <is>
          <t>weekdays short</t>
        </is>
      </c>
      <c r="AC457" s="87" t="inlineStr"/>
    </row>
    <row r="458" ht="17" customHeight="1">
      <c r="A458" t="n">
        <v>10</v>
      </c>
      <c r="B458" s="24">
        <f>IF(Setup!$K$6="","",Setup!$K$6)</f>
        <v/>
      </c>
      <c r="C458" s="88" t="n"/>
      <c r="D458" s="88" t="n"/>
      <c r="E458" s="88" t="n"/>
      <c r="F458" s="89" t="n"/>
      <c r="G458" s="88" t="n"/>
      <c r="H458" s="88" t="n"/>
      <c r="I458" s="88" t="n"/>
      <c r="J458" s="89" t="n"/>
      <c r="K458" s="88" t="n"/>
      <c r="L458" s="88" t="n"/>
      <c r="M458" s="88" t="n"/>
      <c r="N458" s="89" t="n"/>
      <c r="O458" s="88" t="n"/>
      <c r="P458" s="88" t="n"/>
      <c r="Q458" s="88" t="n"/>
      <c r="R458" s="89" t="n"/>
      <c r="S458" s="88" t="n"/>
      <c r="T458" s="88" t="n"/>
      <c r="U458" s="88" t="n"/>
      <c r="V458" s="89" t="n"/>
      <c r="W458" s="88" t="n"/>
      <c r="X458" s="89" t="n"/>
      <c r="Y458" s="88" t="n"/>
      <c r="Z458" s="89" t="n"/>
      <c r="AB458" s="25">
        <f>IF($B458="","",(COUNTIF(C458:E458,"?*")&lt;N(INDEX(Setup!$L$6:$L$23,1)))+(COUNTIF(G458:I458,"?*")&lt;N(INDEX(Setup!$L$6:$L$23,1)))+(COUNTIF(K458:M458,"?*")&lt;N(INDEX(Setup!$L$6:$L$23,1)))+(COUNTIF(O458:Q458,"?*")&lt;N(INDEX(Setup!$L$6:$L$23,1)))+(COUNTIF(S458:U458,"?*")&lt;N(INDEX(Setup!$L$6:$L$23,1)))+((W458="")*(INDEX(Setup!$M$6:$M$23,1)="Y"))+((Y458="")*(INDEX(Setup!$M$6:$M$23,1)="Y")))</f>
        <v/>
      </c>
      <c r="AC458" s="90">
        <f>IF($B458="","",IF(AB458=0,"✓ covered","⚠ "&amp;AB458&amp;IF(AB458=1," gap"," gaps")))</f>
        <v/>
      </c>
    </row>
    <row r="459" ht="17" customHeight="1">
      <c r="A459" t="n">
        <v>10</v>
      </c>
      <c r="B459" s="29">
        <f>IF(Setup!$K$7="","",Setup!$K$7)</f>
        <v/>
      </c>
      <c r="C459" s="88" t="n"/>
      <c r="D459" s="88" t="n"/>
      <c r="E459" s="88" t="n"/>
      <c r="F459" s="89" t="n"/>
      <c r="G459" s="88" t="n"/>
      <c r="H459" s="88" t="n"/>
      <c r="I459" s="88" t="n"/>
      <c r="J459" s="89" t="n"/>
      <c r="K459" s="88" t="n"/>
      <c r="L459" s="88" t="n"/>
      <c r="M459" s="88" t="n"/>
      <c r="N459" s="89" t="n"/>
      <c r="O459" s="88" t="n"/>
      <c r="P459" s="88" t="n"/>
      <c r="Q459" s="88" t="n"/>
      <c r="R459" s="89" t="n"/>
      <c r="S459" s="88" t="n"/>
      <c r="T459" s="88" t="n"/>
      <c r="U459" s="88" t="n"/>
      <c r="V459" s="89" t="n"/>
      <c r="W459" s="88" t="n"/>
      <c r="X459" s="89" t="n"/>
      <c r="Y459" s="88" t="n"/>
      <c r="Z459" s="89" t="n"/>
      <c r="AB459" s="30">
        <f>IF($B459="","",(COUNTIF(C459:E459,"?*")&lt;N(INDEX(Setup!$L$6:$L$23,2)))+(COUNTIF(G459:I459,"?*")&lt;N(INDEX(Setup!$L$6:$L$23,2)))+(COUNTIF(K459:M459,"?*")&lt;N(INDEX(Setup!$L$6:$L$23,2)))+(COUNTIF(O459:Q459,"?*")&lt;N(INDEX(Setup!$L$6:$L$23,2)))+(COUNTIF(S459:U459,"?*")&lt;N(INDEX(Setup!$L$6:$L$23,2)))+((W459="")*(INDEX(Setup!$M$6:$M$23,2)="Y"))+((Y459="")*(INDEX(Setup!$M$6:$M$23,2)="Y")))</f>
        <v/>
      </c>
      <c r="AC459" s="91">
        <f>IF($B459="","",IF(AB459=0,"✓ covered","⚠ "&amp;AB459&amp;IF(AB459=1," gap"," gaps")))</f>
        <v/>
      </c>
    </row>
    <row r="460" ht="17" customHeight="1">
      <c r="A460" t="n">
        <v>10</v>
      </c>
      <c r="B460" s="24">
        <f>IF(Setup!$K$8="","",Setup!$K$8)</f>
        <v/>
      </c>
      <c r="C460" s="88" t="n"/>
      <c r="D460" s="88" t="n"/>
      <c r="E460" s="88" t="n"/>
      <c r="F460" s="89" t="n"/>
      <c r="G460" s="88" t="n"/>
      <c r="H460" s="88" t="n"/>
      <c r="I460" s="88" t="n"/>
      <c r="J460" s="89" t="n"/>
      <c r="K460" s="88" t="n"/>
      <c r="L460" s="88" t="n"/>
      <c r="M460" s="88" t="n"/>
      <c r="N460" s="89" t="n"/>
      <c r="O460" s="88" t="n"/>
      <c r="P460" s="88" t="n"/>
      <c r="Q460" s="88" t="n"/>
      <c r="R460" s="89" t="n"/>
      <c r="S460" s="88" t="n"/>
      <c r="T460" s="88" t="n"/>
      <c r="U460" s="88" t="n"/>
      <c r="V460" s="89" t="n"/>
      <c r="W460" s="88" t="n"/>
      <c r="X460" s="89" t="n"/>
      <c r="Y460" s="88" t="n"/>
      <c r="Z460" s="89" t="n"/>
      <c r="AB460" s="25">
        <f>IF($B460="","",(COUNTIF(C460:E460,"?*")&lt;N(INDEX(Setup!$L$6:$L$23,3)))+(COUNTIF(G460:I460,"?*")&lt;N(INDEX(Setup!$L$6:$L$23,3)))+(COUNTIF(K460:M460,"?*")&lt;N(INDEX(Setup!$L$6:$L$23,3)))+(COUNTIF(O460:Q460,"?*")&lt;N(INDEX(Setup!$L$6:$L$23,3)))+(COUNTIF(S460:U460,"?*")&lt;N(INDEX(Setup!$L$6:$L$23,3)))+((W460="")*(INDEX(Setup!$M$6:$M$23,3)="Y"))+((Y460="")*(INDEX(Setup!$M$6:$M$23,3)="Y")))</f>
        <v/>
      </c>
      <c r="AC460" s="90">
        <f>IF($B460="","",IF(AB460=0,"✓ covered","⚠ "&amp;AB460&amp;IF(AB460=1," gap"," gaps")))</f>
        <v/>
      </c>
    </row>
    <row r="461" ht="17" customHeight="1">
      <c r="A461" t="n">
        <v>10</v>
      </c>
      <c r="B461" s="29">
        <f>IF(Setup!$K$9="","",Setup!$K$9)</f>
        <v/>
      </c>
      <c r="C461" s="88" t="n"/>
      <c r="D461" s="88" t="n"/>
      <c r="E461" s="88" t="n"/>
      <c r="F461" s="89" t="n"/>
      <c r="G461" s="88" t="n"/>
      <c r="H461" s="88" t="n"/>
      <c r="I461" s="88" t="n"/>
      <c r="J461" s="89" t="n"/>
      <c r="K461" s="88" t="n"/>
      <c r="L461" s="88" t="n"/>
      <c r="M461" s="88" t="n"/>
      <c r="N461" s="89" t="n"/>
      <c r="O461" s="88" t="n"/>
      <c r="P461" s="88" t="n"/>
      <c r="Q461" s="88" t="n"/>
      <c r="R461" s="89" t="n"/>
      <c r="S461" s="88" t="n"/>
      <c r="T461" s="88" t="n"/>
      <c r="U461" s="88" t="n"/>
      <c r="V461" s="89" t="n"/>
      <c r="W461" s="88" t="n"/>
      <c r="X461" s="89" t="n"/>
      <c r="Y461" s="88" t="n"/>
      <c r="Z461" s="89" t="n"/>
      <c r="AB461" s="30">
        <f>IF($B461="","",(COUNTIF(C461:E461,"?*")&lt;N(INDEX(Setup!$L$6:$L$23,4)))+(COUNTIF(G461:I461,"?*")&lt;N(INDEX(Setup!$L$6:$L$23,4)))+(COUNTIF(K461:M461,"?*")&lt;N(INDEX(Setup!$L$6:$L$23,4)))+(COUNTIF(O461:Q461,"?*")&lt;N(INDEX(Setup!$L$6:$L$23,4)))+(COUNTIF(S461:U461,"?*")&lt;N(INDEX(Setup!$L$6:$L$23,4)))+((W461="")*(INDEX(Setup!$M$6:$M$23,4)="Y"))+((Y461="")*(INDEX(Setup!$M$6:$M$23,4)="Y")))</f>
        <v/>
      </c>
      <c r="AC461" s="91">
        <f>IF($B461="","",IF(AB461=0,"✓ covered","⚠ "&amp;AB461&amp;IF(AB461=1," gap"," gaps")))</f>
        <v/>
      </c>
    </row>
    <row r="462" ht="17" customHeight="1">
      <c r="A462" t="n">
        <v>10</v>
      </c>
      <c r="B462" s="24">
        <f>IF(Setup!$K$10="","",Setup!$K$10)</f>
        <v/>
      </c>
      <c r="C462" s="88" t="n"/>
      <c r="D462" s="88" t="n"/>
      <c r="E462" s="88" t="n"/>
      <c r="F462" s="89" t="n"/>
      <c r="G462" s="88" t="n"/>
      <c r="H462" s="88" t="n"/>
      <c r="I462" s="88" t="n"/>
      <c r="J462" s="89" t="n"/>
      <c r="K462" s="88" t="n"/>
      <c r="L462" s="88" t="n"/>
      <c r="M462" s="88" t="n"/>
      <c r="N462" s="89" t="n"/>
      <c r="O462" s="88" t="n"/>
      <c r="P462" s="88" t="n"/>
      <c r="Q462" s="88" t="n"/>
      <c r="R462" s="89" t="n"/>
      <c r="S462" s="88" t="n"/>
      <c r="T462" s="88" t="n"/>
      <c r="U462" s="88" t="n"/>
      <c r="V462" s="89" t="n"/>
      <c r="W462" s="88" t="n"/>
      <c r="X462" s="89" t="n"/>
      <c r="Y462" s="88" t="n"/>
      <c r="Z462" s="89" t="n"/>
      <c r="AB462" s="25">
        <f>IF($B462="","",(COUNTIF(C462:E462,"?*")&lt;N(INDEX(Setup!$L$6:$L$23,5)))+(COUNTIF(G462:I462,"?*")&lt;N(INDEX(Setup!$L$6:$L$23,5)))+(COUNTIF(K462:M462,"?*")&lt;N(INDEX(Setup!$L$6:$L$23,5)))+(COUNTIF(O462:Q462,"?*")&lt;N(INDEX(Setup!$L$6:$L$23,5)))+(COUNTIF(S462:U462,"?*")&lt;N(INDEX(Setup!$L$6:$L$23,5)))+((W462="")*(INDEX(Setup!$M$6:$M$23,5)="Y"))+((Y462="")*(INDEX(Setup!$M$6:$M$23,5)="Y")))</f>
        <v/>
      </c>
      <c r="AC462" s="90">
        <f>IF($B462="","",IF(AB462=0,"✓ covered","⚠ "&amp;AB462&amp;IF(AB462=1," gap"," gaps")))</f>
        <v/>
      </c>
    </row>
    <row r="463" ht="17" customHeight="1">
      <c r="A463" t="n">
        <v>10</v>
      </c>
      <c r="B463" s="29">
        <f>IF(Setup!$K$11="","",Setup!$K$11)</f>
        <v/>
      </c>
      <c r="C463" s="88" t="n"/>
      <c r="D463" s="88" t="n"/>
      <c r="E463" s="88" t="n"/>
      <c r="F463" s="89" t="n"/>
      <c r="G463" s="88" t="n"/>
      <c r="H463" s="88" t="n"/>
      <c r="I463" s="88" t="n"/>
      <c r="J463" s="89" t="n"/>
      <c r="K463" s="88" t="n"/>
      <c r="L463" s="88" t="n"/>
      <c r="M463" s="88" t="n"/>
      <c r="N463" s="89" t="n"/>
      <c r="O463" s="88" t="n"/>
      <c r="P463" s="88" t="n"/>
      <c r="Q463" s="88" t="n"/>
      <c r="R463" s="89" t="n"/>
      <c r="S463" s="88" t="n"/>
      <c r="T463" s="88" t="n"/>
      <c r="U463" s="88" t="n"/>
      <c r="V463" s="89" t="n"/>
      <c r="W463" s="88" t="n"/>
      <c r="X463" s="89" t="n"/>
      <c r="Y463" s="88" t="n"/>
      <c r="Z463" s="89" t="n"/>
      <c r="AB463" s="30">
        <f>IF($B463="","",(COUNTIF(C463:E463,"?*")&lt;N(INDEX(Setup!$L$6:$L$23,6)))+(COUNTIF(G463:I463,"?*")&lt;N(INDEX(Setup!$L$6:$L$23,6)))+(COUNTIF(K463:M463,"?*")&lt;N(INDEX(Setup!$L$6:$L$23,6)))+(COUNTIF(O463:Q463,"?*")&lt;N(INDEX(Setup!$L$6:$L$23,6)))+(COUNTIF(S463:U463,"?*")&lt;N(INDEX(Setup!$L$6:$L$23,6)))+((W463="")*(INDEX(Setup!$M$6:$M$23,6)="Y"))+((Y463="")*(INDEX(Setup!$M$6:$M$23,6)="Y")))</f>
        <v/>
      </c>
      <c r="AC463" s="91">
        <f>IF($B463="","",IF(AB463=0,"✓ covered","⚠ "&amp;AB463&amp;IF(AB463=1," gap"," gaps")))</f>
        <v/>
      </c>
    </row>
    <row r="464" ht="17" customHeight="1">
      <c r="A464" t="n">
        <v>10</v>
      </c>
      <c r="B464" s="24">
        <f>IF(Setup!$K$12="","",Setup!$K$12)</f>
        <v/>
      </c>
      <c r="C464" s="88" t="n"/>
      <c r="D464" s="88" t="n"/>
      <c r="E464" s="88" t="n"/>
      <c r="F464" s="89" t="n"/>
      <c r="G464" s="88" t="n"/>
      <c r="H464" s="88" t="n"/>
      <c r="I464" s="88" t="n"/>
      <c r="J464" s="89" t="n"/>
      <c r="K464" s="88" t="n"/>
      <c r="L464" s="88" t="n"/>
      <c r="M464" s="88" t="n"/>
      <c r="N464" s="89" t="n"/>
      <c r="O464" s="88" t="n"/>
      <c r="P464" s="88" t="n"/>
      <c r="Q464" s="88" t="n"/>
      <c r="R464" s="89" t="n"/>
      <c r="S464" s="88" t="n"/>
      <c r="T464" s="88" t="n"/>
      <c r="U464" s="88" t="n"/>
      <c r="V464" s="89" t="n"/>
      <c r="W464" s="88" t="n"/>
      <c r="X464" s="89" t="n"/>
      <c r="Y464" s="88" t="n"/>
      <c r="Z464" s="89" t="n"/>
      <c r="AB464" s="25">
        <f>IF($B464="","",(COUNTIF(C464:E464,"?*")&lt;N(INDEX(Setup!$L$6:$L$23,7)))+(COUNTIF(G464:I464,"?*")&lt;N(INDEX(Setup!$L$6:$L$23,7)))+(COUNTIF(K464:M464,"?*")&lt;N(INDEX(Setup!$L$6:$L$23,7)))+(COUNTIF(O464:Q464,"?*")&lt;N(INDEX(Setup!$L$6:$L$23,7)))+(COUNTIF(S464:U464,"?*")&lt;N(INDEX(Setup!$L$6:$L$23,7)))+((W464="")*(INDEX(Setup!$M$6:$M$23,7)="Y"))+((Y464="")*(INDEX(Setup!$M$6:$M$23,7)="Y")))</f>
        <v/>
      </c>
      <c r="AC464" s="90">
        <f>IF($B464="","",IF(AB464=0,"✓ covered","⚠ "&amp;AB464&amp;IF(AB464=1," gap"," gaps")))</f>
        <v/>
      </c>
    </row>
    <row r="465" ht="17" customHeight="1">
      <c r="A465" t="n">
        <v>10</v>
      </c>
      <c r="B465" s="29">
        <f>IF(Setup!$K$13="","",Setup!$K$13)</f>
        <v/>
      </c>
      <c r="C465" s="88" t="n"/>
      <c r="D465" s="88" t="n"/>
      <c r="E465" s="88" t="n"/>
      <c r="F465" s="89" t="n"/>
      <c r="G465" s="88" t="n"/>
      <c r="H465" s="88" t="n"/>
      <c r="I465" s="88" t="n"/>
      <c r="J465" s="89" t="n"/>
      <c r="K465" s="88" t="n"/>
      <c r="L465" s="88" t="n"/>
      <c r="M465" s="88" t="n"/>
      <c r="N465" s="89" t="n"/>
      <c r="O465" s="88" t="n"/>
      <c r="P465" s="88" t="n"/>
      <c r="Q465" s="88" t="n"/>
      <c r="R465" s="89" t="n"/>
      <c r="S465" s="88" t="n"/>
      <c r="T465" s="88" t="n"/>
      <c r="U465" s="88" t="n"/>
      <c r="V465" s="89" t="n"/>
      <c r="W465" s="88" t="n"/>
      <c r="X465" s="89" t="n"/>
      <c r="Y465" s="88" t="n"/>
      <c r="Z465" s="89" t="n"/>
      <c r="AB465" s="30">
        <f>IF($B465="","",(COUNTIF(C465:E465,"?*")&lt;N(INDEX(Setup!$L$6:$L$23,8)))+(COUNTIF(G465:I465,"?*")&lt;N(INDEX(Setup!$L$6:$L$23,8)))+(COUNTIF(K465:M465,"?*")&lt;N(INDEX(Setup!$L$6:$L$23,8)))+(COUNTIF(O465:Q465,"?*")&lt;N(INDEX(Setup!$L$6:$L$23,8)))+(COUNTIF(S465:U465,"?*")&lt;N(INDEX(Setup!$L$6:$L$23,8)))+((W465="")*(INDEX(Setup!$M$6:$M$23,8)="Y"))+((Y465="")*(INDEX(Setup!$M$6:$M$23,8)="Y")))</f>
        <v/>
      </c>
      <c r="AC465" s="91">
        <f>IF($B465="","",IF(AB465=0,"✓ covered","⚠ "&amp;AB465&amp;IF(AB465=1," gap"," gaps")))</f>
        <v/>
      </c>
    </row>
    <row r="466" ht="17" customHeight="1">
      <c r="A466" t="n">
        <v>10</v>
      </c>
      <c r="B466" s="24">
        <f>IF(Setup!$K$14="","",Setup!$K$14)</f>
        <v/>
      </c>
      <c r="C466" s="88" t="n"/>
      <c r="D466" s="88" t="n"/>
      <c r="E466" s="88" t="n"/>
      <c r="F466" s="89" t="n"/>
      <c r="G466" s="88" t="n"/>
      <c r="H466" s="88" t="n"/>
      <c r="I466" s="88" t="n"/>
      <c r="J466" s="89" t="n"/>
      <c r="K466" s="88" t="n"/>
      <c r="L466" s="88" t="n"/>
      <c r="M466" s="88" t="n"/>
      <c r="N466" s="89" t="n"/>
      <c r="O466" s="88" t="n"/>
      <c r="P466" s="88" t="n"/>
      <c r="Q466" s="88" t="n"/>
      <c r="R466" s="89" t="n"/>
      <c r="S466" s="88" t="n"/>
      <c r="T466" s="88" t="n"/>
      <c r="U466" s="88" t="n"/>
      <c r="V466" s="89" t="n"/>
      <c r="W466" s="88" t="n"/>
      <c r="X466" s="89" t="n"/>
      <c r="Y466" s="88" t="n"/>
      <c r="Z466" s="89" t="n"/>
      <c r="AB466" s="25">
        <f>IF($B466="","",(COUNTIF(C466:E466,"?*")&lt;N(INDEX(Setup!$L$6:$L$23,9)))+(COUNTIF(G466:I466,"?*")&lt;N(INDEX(Setup!$L$6:$L$23,9)))+(COUNTIF(K466:M466,"?*")&lt;N(INDEX(Setup!$L$6:$L$23,9)))+(COUNTIF(O466:Q466,"?*")&lt;N(INDEX(Setup!$L$6:$L$23,9)))+(COUNTIF(S466:U466,"?*")&lt;N(INDEX(Setup!$L$6:$L$23,9)))+((W466="")*(INDEX(Setup!$M$6:$M$23,9)="Y"))+((Y466="")*(INDEX(Setup!$M$6:$M$23,9)="Y")))</f>
        <v/>
      </c>
      <c r="AC466" s="90">
        <f>IF($B466="","",IF(AB466=0,"✓ covered","⚠ "&amp;AB466&amp;IF(AB466=1," gap"," gaps")))</f>
        <v/>
      </c>
    </row>
    <row r="467" ht="17" customHeight="1">
      <c r="A467" t="n">
        <v>10</v>
      </c>
      <c r="B467" s="29">
        <f>IF(Setup!$K$15="","",Setup!$K$15)</f>
        <v/>
      </c>
      <c r="C467" s="88" t="n"/>
      <c r="D467" s="88" t="n"/>
      <c r="E467" s="88" t="n"/>
      <c r="F467" s="89" t="n"/>
      <c r="G467" s="88" t="n"/>
      <c r="H467" s="88" t="n"/>
      <c r="I467" s="88" t="n"/>
      <c r="J467" s="89" t="n"/>
      <c r="K467" s="88" t="n"/>
      <c r="L467" s="88" t="n"/>
      <c r="M467" s="88" t="n"/>
      <c r="N467" s="89" t="n"/>
      <c r="O467" s="88" t="n"/>
      <c r="P467" s="88" t="n"/>
      <c r="Q467" s="88" t="n"/>
      <c r="R467" s="89" t="n"/>
      <c r="S467" s="88" t="n"/>
      <c r="T467" s="88" t="n"/>
      <c r="U467" s="88" t="n"/>
      <c r="V467" s="89" t="n"/>
      <c r="W467" s="88" t="n"/>
      <c r="X467" s="89" t="n"/>
      <c r="Y467" s="88" t="n"/>
      <c r="Z467" s="89" t="n"/>
      <c r="AB467" s="30">
        <f>IF($B467="","",(COUNTIF(C467:E467,"?*")&lt;N(INDEX(Setup!$L$6:$L$23,10)))+(COUNTIF(G467:I467,"?*")&lt;N(INDEX(Setup!$L$6:$L$23,10)))+(COUNTIF(K467:M467,"?*")&lt;N(INDEX(Setup!$L$6:$L$23,10)))+(COUNTIF(O467:Q467,"?*")&lt;N(INDEX(Setup!$L$6:$L$23,10)))+(COUNTIF(S467:U467,"?*")&lt;N(INDEX(Setup!$L$6:$L$23,10)))+((W467="")*(INDEX(Setup!$M$6:$M$23,10)="Y"))+((Y467="")*(INDEX(Setup!$M$6:$M$23,10)="Y")))</f>
        <v/>
      </c>
      <c r="AC467" s="91">
        <f>IF($B467="","",IF(AB467=0,"✓ covered","⚠ "&amp;AB467&amp;IF(AB467=1," gap"," gaps")))</f>
        <v/>
      </c>
    </row>
    <row r="468" ht="17" customHeight="1">
      <c r="A468" t="n">
        <v>10</v>
      </c>
      <c r="B468" s="24">
        <f>IF(Setup!$K$16="","",Setup!$K$16)</f>
        <v/>
      </c>
      <c r="C468" s="88" t="n"/>
      <c r="D468" s="88" t="n"/>
      <c r="E468" s="88" t="n"/>
      <c r="F468" s="89" t="n"/>
      <c r="G468" s="88" t="n"/>
      <c r="H468" s="88" t="n"/>
      <c r="I468" s="88" t="n"/>
      <c r="J468" s="89" t="n"/>
      <c r="K468" s="88" t="n"/>
      <c r="L468" s="88" t="n"/>
      <c r="M468" s="88" t="n"/>
      <c r="N468" s="89" t="n"/>
      <c r="O468" s="88" t="n"/>
      <c r="P468" s="88" t="n"/>
      <c r="Q468" s="88" t="n"/>
      <c r="R468" s="89" t="n"/>
      <c r="S468" s="88" t="n"/>
      <c r="T468" s="88" t="n"/>
      <c r="U468" s="88" t="n"/>
      <c r="V468" s="89" t="n"/>
      <c r="W468" s="88" t="n"/>
      <c r="X468" s="89" t="n"/>
      <c r="Y468" s="88" t="n"/>
      <c r="Z468" s="89" t="n"/>
      <c r="AB468" s="25">
        <f>IF($B468="","",(COUNTIF(C468:E468,"?*")&lt;N(INDEX(Setup!$L$6:$L$23,11)))+(COUNTIF(G468:I468,"?*")&lt;N(INDEX(Setup!$L$6:$L$23,11)))+(COUNTIF(K468:M468,"?*")&lt;N(INDEX(Setup!$L$6:$L$23,11)))+(COUNTIF(O468:Q468,"?*")&lt;N(INDEX(Setup!$L$6:$L$23,11)))+(COUNTIF(S468:U468,"?*")&lt;N(INDEX(Setup!$L$6:$L$23,11)))+((W468="")*(INDEX(Setup!$M$6:$M$23,11)="Y"))+((Y468="")*(INDEX(Setup!$M$6:$M$23,11)="Y")))</f>
        <v/>
      </c>
      <c r="AC468" s="90">
        <f>IF($B468="","",IF(AB468=0,"✓ covered","⚠ "&amp;AB468&amp;IF(AB468=1," gap"," gaps")))</f>
        <v/>
      </c>
    </row>
    <row r="469" ht="17" customHeight="1">
      <c r="A469" t="n">
        <v>10</v>
      </c>
      <c r="B469" s="29">
        <f>IF(Setup!$K$17="","",Setup!$K$17)</f>
        <v/>
      </c>
      <c r="C469" s="88" t="n"/>
      <c r="D469" s="88" t="n"/>
      <c r="E469" s="88" t="n"/>
      <c r="F469" s="89" t="n"/>
      <c r="G469" s="88" t="n"/>
      <c r="H469" s="88" t="n"/>
      <c r="I469" s="88" t="n"/>
      <c r="J469" s="89" t="n"/>
      <c r="K469" s="88" t="n"/>
      <c r="L469" s="88" t="n"/>
      <c r="M469" s="88" t="n"/>
      <c r="N469" s="89" t="n"/>
      <c r="O469" s="88" t="n"/>
      <c r="P469" s="88" t="n"/>
      <c r="Q469" s="88" t="n"/>
      <c r="R469" s="89" t="n"/>
      <c r="S469" s="88" t="n"/>
      <c r="T469" s="88" t="n"/>
      <c r="U469" s="88" t="n"/>
      <c r="V469" s="89" t="n"/>
      <c r="W469" s="88" t="n"/>
      <c r="X469" s="89" t="n"/>
      <c r="Y469" s="88" t="n"/>
      <c r="Z469" s="89" t="n"/>
      <c r="AB469" s="30">
        <f>IF($B469="","",(COUNTIF(C469:E469,"?*")&lt;N(INDEX(Setup!$L$6:$L$23,12)))+(COUNTIF(G469:I469,"?*")&lt;N(INDEX(Setup!$L$6:$L$23,12)))+(COUNTIF(K469:M469,"?*")&lt;N(INDEX(Setup!$L$6:$L$23,12)))+(COUNTIF(O469:Q469,"?*")&lt;N(INDEX(Setup!$L$6:$L$23,12)))+(COUNTIF(S469:U469,"?*")&lt;N(INDEX(Setup!$L$6:$L$23,12)))+((W469="")*(INDEX(Setup!$M$6:$M$23,12)="Y"))+((Y469="")*(INDEX(Setup!$M$6:$M$23,12)="Y")))</f>
        <v/>
      </c>
      <c r="AC469" s="91">
        <f>IF($B469="","",IF(AB469=0,"✓ covered","⚠ "&amp;AB469&amp;IF(AB469=1," gap"," gaps")))</f>
        <v/>
      </c>
    </row>
    <row r="470" ht="17" customHeight="1">
      <c r="A470" t="n">
        <v>10</v>
      </c>
      <c r="B470" s="24">
        <f>IF(Setup!$K$18="","",Setup!$K$18)</f>
        <v/>
      </c>
      <c r="C470" s="88" t="n"/>
      <c r="D470" s="88" t="n"/>
      <c r="E470" s="88" t="n"/>
      <c r="F470" s="89" t="n"/>
      <c r="G470" s="88" t="n"/>
      <c r="H470" s="88" t="n"/>
      <c r="I470" s="88" t="n"/>
      <c r="J470" s="89" t="n"/>
      <c r="K470" s="88" t="n"/>
      <c r="L470" s="88" t="n"/>
      <c r="M470" s="88" t="n"/>
      <c r="N470" s="89" t="n"/>
      <c r="O470" s="88" t="n"/>
      <c r="P470" s="88" t="n"/>
      <c r="Q470" s="88" t="n"/>
      <c r="R470" s="89" t="n"/>
      <c r="S470" s="88" t="n"/>
      <c r="T470" s="88" t="n"/>
      <c r="U470" s="88" t="n"/>
      <c r="V470" s="89" t="n"/>
      <c r="W470" s="88" t="n"/>
      <c r="X470" s="89" t="n"/>
      <c r="Y470" s="88" t="n"/>
      <c r="Z470" s="89" t="n"/>
      <c r="AB470" s="25">
        <f>IF($B470="","",(COUNTIF(C470:E470,"?*")&lt;N(INDEX(Setup!$L$6:$L$23,13)))+(COUNTIF(G470:I470,"?*")&lt;N(INDEX(Setup!$L$6:$L$23,13)))+(COUNTIF(K470:M470,"?*")&lt;N(INDEX(Setup!$L$6:$L$23,13)))+(COUNTIF(O470:Q470,"?*")&lt;N(INDEX(Setup!$L$6:$L$23,13)))+(COUNTIF(S470:U470,"?*")&lt;N(INDEX(Setup!$L$6:$L$23,13)))+((W470="")*(INDEX(Setup!$M$6:$M$23,13)="Y"))+((Y470="")*(INDEX(Setup!$M$6:$M$23,13)="Y")))</f>
        <v/>
      </c>
      <c r="AC470" s="90">
        <f>IF($B470="","",IF(AB470=0,"✓ covered","⚠ "&amp;AB470&amp;IF(AB470=1," gap"," gaps")))</f>
        <v/>
      </c>
    </row>
    <row r="471" ht="17" customHeight="1">
      <c r="A471" t="n">
        <v>10</v>
      </c>
      <c r="B471" s="29">
        <f>IF(Setup!$K$19="","",Setup!$K$19)</f>
        <v/>
      </c>
      <c r="C471" s="88" t="n"/>
      <c r="D471" s="88" t="n"/>
      <c r="E471" s="88" t="n"/>
      <c r="F471" s="89" t="n"/>
      <c r="G471" s="88" t="n"/>
      <c r="H471" s="88" t="n"/>
      <c r="I471" s="88" t="n"/>
      <c r="J471" s="89" t="n"/>
      <c r="K471" s="88" t="n"/>
      <c r="L471" s="88" t="n"/>
      <c r="M471" s="88" t="n"/>
      <c r="N471" s="89" t="n"/>
      <c r="O471" s="88" t="n"/>
      <c r="P471" s="88" t="n"/>
      <c r="Q471" s="88" t="n"/>
      <c r="R471" s="89" t="n"/>
      <c r="S471" s="88" t="n"/>
      <c r="T471" s="88" t="n"/>
      <c r="U471" s="88" t="n"/>
      <c r="V471" s="89" t="n"/>
      <c r="W471" s="88" t="n"/>
      <c r="X471" s="89" t="n"/>
      <c r="Y471" s="88" t="n"/>
      <c r="Z471" s="89" t="n"/>
      <c r="AB471" s="30">
        <f>IF($B471="","",(COUNTIF(C471:E471,"?*")&lt;N(INDEX(Setup!$L$6:$L$23,14)))+(COUNTIF(G471:I471,"?*")&lt;N(INDEX(Setup!$L$6:$L$23,14)))+(COUNTIF(K471:M471,"?*")&lt;N(INDEX(Setup!$L$6:$L$23,14)))+(COUNTIF(O471:Q471,"?*")&lt;N(INDEX(Setup!$L$6:$L$23,14)))+(COUNTIF(S471:U471,"?*")&lt;N(INDEX(Setup!$L$6:$L$23,14)))+((W471="")*(INDEX(Setup!$M$6:$M$23,14)="Y"))+((Y471="")*(INDEX(Setup!$M$6:$M$23,14)="Y")))</f>
        <v/>
      </c>
      <c r="AC471" s="91">
        <f>IF($B471="","",IF(AB471=0,"✓ covered","⚠ "&amp;AB471&amp;IF(AB471=1," gap"," gaps")))</f>
        <v/>
      </c>
    </row>
    <row r="472" ht="17" customHeight="1">
      <c r="A472" t="n">
        <v>10</v>
      </c>
      <c r="B472" s="24">
        <f>IF(Setup!$K$20="","",Setup!$K$20)</f>
        <v/>
      </c>
      <c r="C472" s="88" t="n"/>
      <c r="D472" s="88" t="n"/>
      <c r="E472" s="88" t="n"/>
      <c r="F472" s="89" t="n"/>
      <c r="G472" s="88" t="n"/>
      <c r="H472" s="88" t="n"/>
      <c r="I472" s="88" t="n"/>
      <c r="J472" s="89" t="n"/>
      <c r="K472" s="88" t="n"/>
      <c r="L472" s="88" t="n"/>
      <c r="M472" s="88" t="n"/>
      <c r="N472" s="89" t="n"/>
      <c r="O472" s="88" t="n"/>
      <c r="P472" s="88" t="n"/>
      <c r="Q472" s="88" t="n"/>
      <c r="R472" s="89" t="n"/>
      <c r="S472" s="88" t="n"/>
      <c r="T472" s="88" t="n"/>
      <c r="U472" s="88" t="n"/>
      <c r="V472" s="89" t="n"/>
      <c r="W472" s="88" t="n"/>
      <c r="X472" s="89" t="n"/>
      <c r="Y472" s="88" t="n"/>
      <c r="Z472" s="89" t="n"/>
      <c r="AB472" s="25">
        <f>IF($B472="","",(COUNTIF(C472:E472,"?*")&lt;N(INDEX(Setup!$L$6:$L$23,15)))+(COUNTIF(G472:I472,"?*")&lt;N(INDEX(Setup!$L$6:$L$23,15)))+(COUNTIF(K472:M472,"?*")&lt;N(INDEX(Setup!$L$6:$L$23,15)))+(COUNTIF(O472:Q472,"?*")&lt;N(INDEX(Setup!$L$6:$L$23,15)))+(COUNTIF(S472:U472,"?*")&lt;N(INDEX(Setup!$L$6:$L$23,15)))+((W472="")*(INDEX(Setup!$M$6:$M$23,15)="Y"))+((Y472="")*(INDEX(Setup!$M$6:$M$23,15)="Y")))</f>
        <v/>
      </c>
      <c r="AC472" s="90">
        <f>IF($B472="","",IF(AB472=0,"✓ covered","⚠ "&amp;AB472&amp;IF(AB472=1," gap"," gaps")))</f>
        <v/>
      </c>
    </row>
    <row r="473" ht="17" customHeight="1">
      <c r="A473" t="n">
        <v>10</v>
      </c>
      <c r="B473" s="29">
        <f>IF(Setup!$K$21="","",Setup!$K$21)</f>
        <v/>
      </c>
      <c r="C473" s="88" t="n"/>
      <c r="D473" s="88" t="n"/>
      <c r="E473" s="88" t="n"/>
      <c r="F473" s="89" t="n"/>
      <c r="G473" s="88" t="n"/>
      <c r="H473" s="88" t="n"/>
      <c r="I473" s="88" t="n"/>
      <c r="J473" s="89" t="n"/>
      <c r="K473" s="88" t="n"/>
      <c r="L473" s="88" t="n"/>
      <c r="M473" s="88" t="n"/>
      <c r="N473" s="89" t="n"/>
      <c r="O473" s="88" t="n"/>
      <c r="P473" s="88" t="n"/>
      <c r="Q473" s="88" t="n"/>
      <c r="R473" s="89" t="n"/>
      <c r="S473" s="88" t="n"/>
      <c r="T473" s="88" t="n"/>
      <c r="U473" s="88" t="n"/>
      <c r="V473" s="89" t="n"/>
      <c r="W473" s="88" t="n"/>
      <c r="X473" s="89" t="n"/>
      <c r="Y473" s="88" t="n"/>
      <c r="Z473" s="89" t="n"/>
      <c r="AB473" s="30">
        <f>IF($B473="","",(COUNTIF(C473:E473,"?*")&lt;N(INDEX(Setup!$L$6:$L$23,16)))+(COUNTIF(G473:I473,"?*")&lt;N(INDEX(Setup!$L$6:$L$23,16)))+(COUNTIF(K473:M473,"?*")&lt;N(INDEX(Setup!$L$6:$L$23,16)))+(COUNTIF(O473:Q473,"?*")&lt;N(INDEX(Setup!$L$6:$L$23,16)))+(COUNTIF(S473:U473,"?*")&lt;N(INDEX(Setup!$L$6:$L$23,16)))+((W473="")*(INDEX(Setup!$M$6:$M$23,16)="Y"))+((Y473="")*(INDEX(Setup!$M$6:$M$23,16)="Y")))</f>
        <v/>
      </c>
      <c r="AC473" s="91">
        <f>IF($B473="","",IF(AB473=0,"✓ covered","⚠ "&amp;AB473&amp;IF(AB473=1," gap"," gaps")))</f>
        <v/>
      </c>
    </row>
    <row r="474" ht="17" customHeight="1">
      <c r="A474" t="n">
        <v>10</v>
      </c>
      <c r="B474" s="24">
        <f>IF(Setup!$K$22="","",Setup!$K$22)</f>
        <v/>
      </c>
      <c r="C474" s="88" t="n"/>
      <c r="D474" s="88" t="n"/>
      <c r="E474" s="88" t="n"/>
      <c r="F474" s="89" t="n"/>
      <c r="G474" s="88" t="n"/>
      <c r="H474" s="88" t="n"/>
      <c r="I474" s="88" t="n"/>
      <c r="J474" s="89" t="n"/>
      <c r="K474" s="88" t="n"/>
      <c r="L474" s="88" t="n"/>
      <c r="M474" s="88" t="n"/>
      <c r="N474" s="89" t="n"/>
      <c r="O474" s="88" t="n"/>
      <c r="P474" s="88" t="n"/>
      <c r="Q474" s="88" t="n"/>
      <c r="R474" s="89" t="n"/>
      <c r="S474" s="88" t="n"/>
      <c r="T474" s="88" t="n"/>
      <c r="U474" s="88" t="n"/>
      <c r="V474" s="89" t="n"/>
      <c r="W474" s="88" t="n"/>
      <c r="X474" s="89" t="n"/>
      <c r="Y474" s="88" t="n"/>
      <c r="Z474" s="89" t="n"/>
      <c r="AB474" s="25">
        <f>IF($B474="","",(COUNTIF(C474:E474,"?*")&lt;N(INDEX(Setup!$L$6:$L$23,17)))+(COUNTIF(G474:I474,"?*")&lt;N(INDEX(Setup!$L$6:$L$23,17)))+(COUNTIF(K474:M474,"?*")&lt;N(INDEX(Setup!$L$6:$L$23,17)))+(COUNTIF(O474:Q474,"?*")&lt;N(INDEX(Setup!$L$6:$L$23,17)))+(COUNTIF(S474:U474,"?*")&lt;N(INDEX(Setup!$L$6:$L$23,17)))+((W474="")*(INDEX(Setup!$M$6:$M$23,17)="Y"))+((Y474="")*(INDEX(Setup!$M$6:$M$23,17)="Y")))</f>
        <v/>
      </c>
      <c r="AC474" s="90">
        <f>IF($B474="","",IF(AB474=0,"✓ covered","⚠ "&amp;AB474&amp;IF(AB474=1," gap"," gaps")))</f>
        <v/>
      </c>
    </row>
    <row r="475" ht="17" customHeight="1">
      <c r="A475" t="n">
        <v>10</v>
      </c>
      <c r="B475" s="29">
        <f>IF(Setup!$K$23="","",Setup!$K$23)</f>
        <v/>
      </c>
      <c r="C475" s="88" t="n"/>
      <c r="D475" s="88" t="n"/>
      <c r="E475" s="88" t="n"/>
      <c r="F475" s="89" t="n"/>
      <c r="G475" s="88" t="n"/>
      <c r="H475" s="88" t="n"/>
      <c r="I475" s="88" t="n"/>
      <c r="J475" s="89" t="n"/>
      <c r="K475" s="88" t="n"/>
      <c r="L475" s="88" t="n"/>
      <c r="M475" s="88" t="n"/>
      <c r="N475" s="89" t="n"/>
      <c r="O475" s="88" t="n"/>
      <c r="P475" s="88" t="n"/>
      <c r="Q475" s="88" t="n"/>
      <c r="R475" s="89" t="n"/>
      <c r="S475" s="88" t="n"/>
      <c r="T475" s="88" t="n"/>
      <c r="U475" s="88" t="n"/>
      <c r="V475" s="89" t="n"/>
      <c r="W475" s="88" t="n"/>
      <c r="X475" s="89" t="n"/>
      <c r="Y475" s="88" t="n"/>
      <c r="Z475" s="89" t="n"/>
      <c r="AB475" s="30">
        <f>IF($B475="","",(COUNTIF(C475:E475,"?*")&lt;N(INDEX(Setup!$L$6:$L$23,18)))+(COUNTIF(G475:I475,"?*")&lt;N(INDEX(Setup!$L$6:$L$23,18)))+(COUNTIF(K475:M475,"?*")&lt;N(INDEX(Setup!$L$6:$L$23,18)))+(COUNTIF(O475:Q475,"?*")&lt;N(INDEX(Setup!$L$6:$L$23,18)))+(COUNTIF(S475:U475,"?*")&lt;N(INDEX(Setup!$L$6:$L$23,18)))+((W475="")*(INDEX(Setup!$M$6:$M$23,18)="Y"))+((Y475="")*(INDEX(Setup!$M$6:$M$23,18)="Y")))</f>
        <v/>
      </c>
      <c r="AC475" s="91">
        <f>IF($B475="","",IF(AB475=0,"✓ covered","⚠ "&amp;AB475&amp;IF(AB475=1," gap"," gaps")))</f>
        <v/>
      </c>
    </row>
    <row r="476" ht="18" customHeight="1">
      <c r="A476" t="n">
        <v>10</v>
      </c>
      <c r="B476" s="78" t="inlineStr">
        <is>
          <t>TEAM AVAILABILITY</t>
        </is>
      </c>
      <c r="C476" s="92" t="inlineStr">
        <is>
          <t>Mon</t>
        </is>
      </c>
      <c r="D476" s="93" t="n"/>
      <c r="E476" s="93" t="n"/>
      <c r="F476" s="94" t="n"/>
      <c r="G476" s="92" t="inlineStr">
        <is>
          <t>Tue</t>
        </is>
      </c>
      <c r="H476" s="93" t="n"/>
      <c r="I476" s="93" t="n"/>
      <c r="J476" s="94" t="n"/>
      <c r="K476" s="92" t="inlineStr">
        <is>
          <t>Wed</t>
        </is>
      </c>
      <c r="L476" s="93" t="n"/>
      <c r="M476" s="93" t="n"/>
      <c r="N476" s="94" t="n"/>
      <c r="O476" s="92" t="inlineStr">
        <is>
          <t>Thu</t>
        </is>
      </c>
      <c r="P476" s="93" t="n"/>
      <c r="Q476" s="93" t="n"/>
      <c r="R476" s="94" t="n"/>
      <c r="S476" s="92" t="inlineStr">
        <is>
          <t>Fri</t>
        </is>
      </c>
      <c r="T476" s="93" t="n"/>
      <c r="U476" s="93" t="n"/>
      <c r="V476" s="94" t="n"/>
      <c r="W476" s="95" t="inlineStr">
        <is>
          <t>Sat</t>
        </is>
      </c>
      <c r="X476" s="96" t="n"/>
      <c r="Y476" s="95" t="inlineStr">
        <is>
          <t>Sun</t>
        </is>
      </c>
      <c r="Z476" s="96" t="n"/>
      <c r="AB476" s="97" t="inlineStr">
        <is>
          <t>Days rostered</t>
        </is>
      </c>
      <c r="AC476" s="97" t="inlineStr">
        <is>
          <t>Conflicts</t>
        </is>
      </c>
    </row>
    <row r="477" ht="15" customHeight="1">
      <c r="A477" t="n">
        <v>10</v>
      </c>
      <c r="B477" s="35">
        <f>IF(Setup!$B$6="","",Setup!$B$6)</f>
        <v/>
      </c>
      <c r="C477" s="98" t="n"/>
      <c r="D477" s="99" t="n"/>
      <c r="E477" s="99" t="n"/>
      <c r="F477" s="100" t="n"/>
      <c r="G477" s="98" t="n"/>
      <c r="H477" s="99" t="n"/>
      <c r="I477" s="99" t="n"/>
      <c r="J477" s="100" t="n"/>
      <c r="K477" s="98" t="n"/>
      <c r="L477" s="99" t="n"/>
      <c r="M477" s="99" t="n"/>
      <c r="N477" s="100" t="n"/>
      <c r="O477" s="98" t="n"/>
      <c r="P477" s="99" t="n"/>
      <c r="Q477" s="99" t="n"/>
      <c r="R477" s="100" t="n"/>
      <c r="S477" s="98" t="n"/>
      <c r="T477" s="99" t="n"/>
      <c r="U477" s="99" t="n"/>
      <c r="V477" s="100" t="n"/>
      <c r="W477" s="98" t="n"/>
      <c r="X477" s="100" t="n"/>
      <c r="Y477" s="98" t="n"/>
      <c r="Z477" s="100" t="n"/>
      <c r="AB477" s="101">
        <f>IF($B477="","",(COUNTIF(C458:E475,$B477)+COUNTIF(C458:E475,$B477&amp;" ~*")&gt;0)+(COUNTIF(G458:I475,$B477)+COUNTIF(G458:I475,$B477&amp;" ~*")&gt;0)+(COUNTIF(K458:M475,$B477)+COUNTIF(K458:M475,$B477&amp;" ~*")&gt;0)+(COUNTIF(O458:Q475,$B477)+COUNTIF(O458:Q475,$B477&amp;" ~*")&gt;0)+(COUNTIF(S458:U475,$B477)+COUNTIF(S458:U475,$B477&amp;" ~*")&gt;0)+(COUNTIF(W458:W475,$B477)+COUNTIF(W458:W475,$B477&amp;" ~*")&gt;0)+(COUNTIF(Y458:Y475,$B477)+COUNTIF(Y458:Y475,$B477&amp;" ~*")&gt;0))</f>
        <v/>
      </c>
      <c r="AC477" s="36">
        <f>IF($B477="","",(IFERROR(INDEX(Setup!$G$33:$G$40,MATCH(C477,Setup!$B$33:$B$40,0)),0)=1)*(COUNTIF(C458:E475,$B477)+COUNTIF(C458:E475,$B477&amp;" ~*")&gt;0)+(IFERROR(INDEX(Setup!$G$33:$G$40,MATCH(G477,Setup!$B$33:$B$40,0)),0)=1)*(COUNTIF(G458:I475,$B477)+COUNTIF(G458:I475,$B477&amp;" ~*")&gt;0)+(IFERROR(INDEX(Setup!$G$33:$G$40,MATCH(K477,Setup!$B$33:$B$40,0)),0)=1)*(COUNTIF(K458:M475,$B477)+COUNTIF(K458:M475,$B477&amp;" ~*")&gt;0)+(IFERROR(INDEX(Setup!$G$33:$G$40,MATCH(O477,Setup!$B$33:$B$40,0)),0)=1)*(COUNTIF(O458:Q475,$B477)+COUNTIF(O458:Q475,$B477&amp;" ~*")&gt;0)+(IFERROR(INDEX(Setup!$G$33:$G$40,MATCH(S477,Setup!$B$33:$B$40,0)),0)=1)*(COUNTIF(S458:U475,$B477)+COUNTIF(S458:U475,$B477&amp;" ~*")&gt;0)+(IFERROR(INDEX(Setup!$G$33:$G$40,MATCH(W477,Setup!$B$33:$B$40,0)),0)=1)*(COUNTIF(W458:W475,$B477)+COUNTIF(W458:W475,$B477&amp;" ~*")&gt;0)+(IFERROR(INDEX(Setup!$G$33:$G$40,MATCH(Y477,Setup!$B$33:$B$40,0)),0)=1)*(COUNTIF(Y458:Y475,$B477)+COUNTIF(Y458:Y475,$B477&amp;" ~*")&gt;0))</f>
        <v/>
      </c>
    </row>
    <row r="478" ht="15" customHeight="1">
      <c r="A478" t="n">
        <v>10</v>
      </c>
      <c r="B478" s="37">
        <f>IF(Setup!$B$7="","",Setup!$B$7)</f>
        <v/>
      </c>
      <c r="C478" s="102" t="n"/>
      <c r="D478" s="103" t="n"/>
      <c r="E478" s="103" t="n"/>
      <c r="F478" s="104" t="n"/>
      <c r="G478" s="102" t="n"/>
      <c r="H478" s="103" t="n"/>
      <c r="I478" s="103" t="n"/>
      <c r="J478" s="104" t="n"/>
      <c r="K478" s="102" t="n"/>
      <c r="L478" s="103" t="n"/>
      <c r="M478" s="103" t="n"/>
      <c r="N478" s="104" t="n"/>
      <c r="O478" s="102" t="n"/>
      <c r="P478" s="103" t="n"/>
      <c r="Q478" s="103" t="n"/>
      <c r="R478" s="104" t="n"/>
      <c r="S478" s="102" t="n"/>
      <c r="T478" s="103" t="n"/>
      <c r="U478" s="103" t="n"/>
      <c r="V478" s="104" t="n"/>
      <c r="W478" s="102" t="n"/>
      <c r="X478" s="104" t="n"/>
      <c r="Y478" s="102" t="n"/>
      <c r="Z478" s="104" t="n"/>
      <c r="AB478" s="105">
        <f>IF($B478="","",(COUNTIF(C458:E475,$B478)+COUNTIF(C458:E475,$B478&amp;" ~*")&gt;0)+(COUNTIF(G458:I475,$B478)+COUNTIF(G458:I475,$B478&amp;" ~*")&gt;0)+(COUNTIF(K458:M475,$B478)+COUNTIF(K458:M475,$B478&amp;" ~*")&gt;0)+(COUNTIF(O458:Q475,$B478)+COUNTIF(O458:Q475,$B478&amp;" ~*")&gt;0)+(COUNTIF(S458:U475,$B478)+COUNTIF(S458:U475,$B478&amp;" ~*")&gt;0)+(COUNTIF(W458:W475,$B478)+COUNTIF(W458:W475,$B478&amp;" ~*")&gt;0)+(COUNTIF(Y458:Y475,$B478)+COUNTIF(Y458:Y475,$B478&amp;" ~*")&gt;0))</f>
        <v/>
      </c>
      <c r="AC478" s="38">
        <f>IF($B478="","",(IFERROR(INDEX(Setup!$G$33:$G$40,MATCH(C478,Setup!$B$33:$B$40,0)),0)=1)*(COUNTIF(C458:E475,$B478)+COUNTIF(C458:E475,$B478&amp;" ~*")&gt;0)+(IFERROR(INDEX(Setup!$G$33:$G$40,MATCH(G478,Setup!$B$33:$B$40,0)),0)=1)*(COUNTIF(G458:I475,$B478)+COUNTIF(G458:I475,$B478&amp;" ~*")&gt;0)+(IFERROR(INDEX(Setup!$G$33:$G$40,MATCH(K478,Setup!$B$33:$B$40,0)),0)=1)*(COUNTIF(K458:M475,$B478)+COUNTIF(K458:M475,$B478&amp;" ~*")&gt;0)+(IFERROR(INDEX(Setup!$G$33:$G$40,MATCH(O478,Setup!$B$33:$B$40,0)),0)=1)*(COUNTIF(O458:Q475,$B478)+COUNTIF(O458:Q475,$B478&amp;" ~*")&gt;0)+(IFERROR(INDEX(Setup!$G$33:$G$40,MATCH(S478,Setup!$B$33:$B$40,0)),0)=1)*(COUNTIF(S458:U475,$B478)+COUNTIF(S458:U475,$B478&amp;" ~*")&gt;0)+(IFERROR(INDEX(Setup!$G$33:$G$40,MATCH(W478,Setup!$B$33:$B$40,0)),0)=1)*(COUNTIF(W458:W475,$B478)+COUNTIF(W458:W475,$B478&amp;" ~*")&gt;0)+(IFERROR(INDEX(Setup!$G$33:$G$40,MATCH(Y478,Setup!$B$33:$B$40,0)),0)=1)*(COUNTIF(Y458:Y475,$B478)+COUNTIF(Y458:Y475,$B478&amp;" ~*")&gt;0))</f>
        <v/>
      </c>
    </row>
    <row r="479" ht="15" customHeight="1">
      <c r="A479" t="n">
        <v>10</v>
      </c>
      <c r="B479" s="35">
        <f>IF(Setup!$B$8="","",Setup!$B$8)</f>
        <v/>
      </c>
      <c r="C479" s="98" t="n"/>
      <c r="D479" s="99" t="n"/>
      <c r="E479" s="99" t="n"/>
      <c r="F479" s="100" t="n"/>
      <c r="G479" s="98" t="n"/>
      <c r="H479" s="99" t="n"/>
      <c r="I479" s="99" t="n"/>
      <c r="J479" s="100" t="n"/>
      <c r="K479" s="98" t="n"/>
      <c r="L479" s="99" t="n"/>
      <c r="M479" s="99" t="n"/>
      <c r="N479" s="100" t="n"/>
      <c r="O479" s="98" t="n"/>
      <c r="P479" s="99" t="n"/>
      <c r="Q479" s="99" t="n"/>
      <c r="R479" s="100" t="n"/>
      <c r="S479" s="98" t="n"/>
      <c r="T479" s="99" t="n"/>
      <c r="U479" s="99" t="n"/>
      <c r="V479" s="100" t="n"/>
      <c r="W479" s="98" t="n"/>
      <c r="X479" s="100" t="n"/>
      <c r="Y479" s="98" t="n"/>
      <c r="Z479" s="100" t="n"/>
      <c r="AB479" s="101">
        <f>IF($B479="","",(COUNTIF(C458:E475,$B479)+COUNTIF(C458:E475,$B479&amp;" ~*")&gt;0)+(COUNTIF(G458:I475,$B479)+COUNTIF(G458:I475,$B479&amp;" ~*")&gt;0)+(COUNTIF(K458:M475,$B479)+COUNTIF(K458:M475,$B479&amp;" ~*")&gt;0)+(COUNTIF(O458:Q475,$B479)+COUNTIF(O458:Q475,$B479&amp;" ~*")&gt;0)+(COUNTIF(S458:U475,$B479)+COUNTIF(S458:U475,$B479&amp;" ~*")&gt;0)+(COUNTIF(W458:W475,$B479)+COUNTIF(W458:W475,$B479&amp;" ~*")&gt;0)+(COUNTIF(Y458:Y475,$B479)+COUNTIF(Y458:Y475,$B479&amp;" ~*")&gt;0))</f>
        <v/>
      </c>
      <c r="AC479" s="36">
        <f>IF($B479="","",(IFERROR(INDEX(Setup!$G$33:$G$40,MATCH(C479,Setup!$B$33:$B$40,0)),0)=1)*(COUNTIF(C458:E475,$B479)+COUNTIF(C458:E475,$B479&amp;" ~*")&gt;0)+(IFERROR(INDEX(Setup!$G$33:$G$40,MATCH(G479,Setup!$B$33:$B$40,0)),0)=1)*(COUNTIF(G458:I475,$B479)+COUNTIF(G458:I475,$B479&amp;" ~*")&gt;0)+(IFERROR(INDEX(Setup!$G$33:$G$40,MATCH(K479,Setup!$B$33:$B$40,0)),0)=1)*(COUNTIF(K458:M475,$B479)+COUNTIF(K458:M475,$B479&amp;" ~*")&gt;0)+(IFERROR(INDEX(Setup!$G$33:$G$40,MATCH(O479,Setup!$B$33:$B$40,0)),0)=1)*(COUNTIF(O458:Q475,$B479)+COUNTIF(O458:Q475,$B479&amp;" ~*")&gt;0)+(IFERROR(INDEX(Setup!$G$33:$G$40,MATCH(S479,Setup!$B$33:$B$40,0)),0)=1)*(COUNTIF(S458:U475,$B479)+COUNTIF(S458:U475,$B479&amp;" ~*")&gt;0)+(IFERROR(INDEX(Setup!$G$33:$G$40,MATCH(W479,Setup!$B$33:$B$40,0)),0)=1)*(COUNTIF(W458:W475,$B479)+COUNTIF(W458:W475,$B479&amp;" ~*")&gt;0)+(IFERROR(INDEX(Setup!$G$33:$G$40,MATCH(Y479,Setup!$B$33:$B$40,0)),0)=1)*(COUNTIF(Y458:Y475,$B479)+COUNTIF(Y458:Y475,$B479&amp;" ~*")&gt;0))</f>
        <v/>
      </c>
    </row>
    <row r="480" ht="15" customHeight="1">
      <c r="A480" t="n">
        <v>10</v>
      </c>
      <c r="B480" s="37">
        <f>IF(Setup!$B$9="","",Setup!$B$9)</f>
        <v/>
      </c>
      <c r="C480" s="102" t="n"/>
      <c r="D480" s="103" t="n"/>
      <c r="E480" s="103" t="n"/>
      <c r="F480" s="104" t="n"/>
      <c r="G480" s="102" t="n"/>
      <c r="H480" s="103" t="n"/>
      <c r="I480" s="103" t="n"/>
      <c r="J480" s="104" t="n"/>
      <c r="K480" s="102" t="n"/>
      <c r="L480" s="103" t="n"/>
      <c r="M480" s="103" t="n"/>
      <c r="N480" s="104" t="n"/>
      <c r="O480" s="102" t="n"/>
      <c r="P480" s="103" t="n"/>
      <c r="Q480" s="103" t="n"/>
      <c r="R480" s="104" t="n"/>
      <c r="S480" s="102" t="n"/>
      <c r="T480" s="103" t="n"/>
      <c r="U480" s="103" t="n"/>
      <c r="V480" s="104" t="n"/>
      <c r="W480" s="102" t="n"/>
      <c r="X480" s="104" t="n"/>
      <c r="Y480" s="102" t="n"/>
      <c r="Z480" s="104" t="n"/>
      <c r="AB480" s="105">
        <f>IF($B480="","",(COUNTIF(C458:E475,$B480)+COUNTIF(C458:E475,$B480&amp;" ~*")&gt;0)+(COUNTIF(G458:I475,$B480)+COUNTIF(G458:I475,$B480&amp;" ~*")&gt;0)+(COUNTIF(K458:M475,$B480)+COUNTIF(K458:M475,$B480&amp;" ~*")&gt;0)+(COUNTIF(O458:Q475,$B480)+COUNTIF(O458:Q475,$B480&amp;" ~*")&gt;0)+(COUNTIF(S458:U475,$B480)+COUNTIF(S458:U475,$B480&amp;" ~*")&gt;0)+(COUNTIF(W458:W475,$B480)+COUNTIF(W458:W475,$B480&amp;" ~*")&gt;0)+(COUNTIF(Y458:Y475,$B480)+COUNTIF(Y458:Y475,$B480&amp;" ~*")&gt;0))</f>
        <v/>
      </c>
      <c r="AC480" s="38">
        <f>IF($B480="","",(IFERROR(INDEX(Setup!$G$33:$G$40,MATCH(C480,Setup!$B$33:$B$40,0)),0)=1)*(COUNTIF(C458:E475,$B480)+COUNTIF(C458:E475,$B480&amp;" ~*")&gt;0)+(IFERROR(INDEX(Setup!$G$33:$G$40,MATCH(G480,Setup!$B$33:$B$40,0)),0)=1)*(COUNTIF(G458:I475,$B480)+COUNTIF(G458:I475,$B480&amp;" ~*")&gt;0)+(IFERROR(INDEX(Setup!$G$33:$G$40,MATCH(K480,Setup!$B$33:$B$40,0)),0)=1)*(COUNTIF(K458:M475,$B480)+COUNTIF(K458:M475,$B480&amp;" ~*")&gt;0)+(IFERROR(INDEX(Setup!$G$33:$G$40,MATCH(O480,Setup!$B$33:$B$40,0)),0)=1)*(COUNTIF(O458:Q475,$B480)+COUNTIF(O458:Q475,$B480&amp;" ~*")&gt;0)+(IFERROR(INDEX(Setup!$G$33:$G$40,MATCH(S480,Setup!$B$33:$B$40,0)),0)=1)*(COUNTIF(S458:U475,$B480)+COUNTIF(S458:U475,$B480&amp;" ~*")&gt;0)+(IFERROR(INDEX(Setup!$G$33:$G$40,MATCH(W480,Setup!$B$33:$B$40,0)),0)=1)*(COUNTIF(W458:W475,$B480)+COUNTIF(W458:W475,$B480&amp;" ~*")&gt;0)+(IFERROR(INDEX(Setup!$G$33:$G$40,MATCH(Y480,Setup!$B$33:$B$40,0)),0)=1)*(COUNTIF(Y458:Y475,$B480)+COUNTIF(Y458:Y475,$B480&amp;" ~*")&gt;0))</f>
        <v/>
      </c>
    </row>
    <row r="481" ht="15" customHeight="1">
      <c r="A481" t="n">
        <v>10</v>
      </c>
      <c r="B481" s="35">
        <f>IF(Setup!$B$10="","",Setup!$B$10)</f>
        <v/>
      </c>
      <c r="C481" s="98" t="n"/>
      <c r="D481" s="99" t="n"/>
      <c r="E481" s="99" t="n"/>
      <c r="F481" s="100" t="n"/>
      <c r="G481" s="98" t="n"/>
      <c r="H481" s="99" t="n"/>
      <c r="I481" s="99" t="n"/>
      <c r="J481" s="100" t="n"/>
      <c r="K481" s="98" t="n"/>
      <c r="L481" s="99" t="n"/>
      <c r="M481" s="99" t="n"/>
      <c r="N481" s="100" t="n"/>
      <c r="O481" s="98" t="n"/>
      <c r="P481" s="99" t="n"/>
      <c r="Q481" s="99" t="n"/>
      <c r="R481" s="100" t="n"/>
      <c r="S481" s="98" t="n"/>
      <c r="T481" s="99" t="n"/>
      <c r="U481" s="99" t="n"/>
      <c r="V481" s="100" t="n"/>
      <c r="W481" s="98" t="n"/>
      <c r="X481" s="100" t="n"/>
      <c r="Y481" s="98" t="n"/>
      <c r="Z481" s="100" t="n"/>
      <c r="AB481" s="101">
        <f>IF($B481="","",(COUNTIF(C458:E475,$B481)+COUNTIF(C458:E475,$B481&amp;" ~*")&gt;0)+(COUNTIF(G458:I475,$B481)+COUNTIF(G458:I475,$B481&amp;" ~*")&gt;0)+(COUNTIF(K458:M475,$B481)+COUNTIF(K458:M475,$B481&amp;" ~*")&gt;0)+(COUNTIF(O458:Q475,$B481)+COUNTIF(O458:Q475,$B481&amp;" ~*")&gt;0)+(COUNTIF(S458:U475,$B481)+COUNTIF(S458:U475,$B481&amp;" ~*")&gt;0)+(COUNTIF(W458:W475,$B481)+COUNTIF(W458:W475,$B481&amp;" ~*")&gt;0)+(COUNTIF(Y458:Y475,$B481)+COUNTIF(Y458:Y475,$B481&amp;" ~*")&gt;0))</f>
        <v/>
      </c>
      <c r="AC481" s="36">
        <f>IF($B481="","",(IFERROR(INDEX(Setup!$G$33:$G$40,MATCH(C481,Setup!$B$33:$B$40,0)),0)=1)*(COUNTIF(C458:E475,$B481)+COUNTIF(C458:E475,$B481&amp;" ~*")&gt;0)+(IFERROR(INDEX(Setup!$G$33:$G$40,MATCH(G481,Setup!$B$33:$B$40,0)),0)=1)*(COUNTIF(G458:I475,$B481)+COUNTIF(G458:I475,$B481&amp;" ~*")&gt;0)+(IFERROR(INDEX(Setup!$G$33:$G$40,MATCH(K481,Setup!$B$33:$B$40,0)),0)=1)*(COUNTIF(K458:M475,$B481)+COUNTIF(K458:M475,$B481&amp;" ~*")&gt;0)+(IFERROR(INDEX(Setup!$G$33:$G$40,MATCH(O481,Setup!$B$33:$B$40,0)),0)=1)*(COUNTIF(O458:Q475,$B481)+COUNTIF(O458:Q475,$B481&amp;" ~*")&gt;0)+(IFERROR(INDEX(Setup!$G$33:$G$40,MATCH(S481,Setup!$B$33:$B$40,0)),0)=1)*(COUNTIF(S458:U475,$B481)+COUNTIF(S458:U475,$B481&amp;" ~*")&gt;0)+(IFERROR(INDEX(Setup!$G$33:$G$40,MATCH(W481,Setup!$B$33:$B$40,0)),0)=1)*(COUNTIF(W458:W475,$B481)+COUNTIF(W458:W475,$B481&amp;" ~*")&gt;0)+(IFERROR(INDEX(Setup!$G$33:$G$40,MATCH(Y481,Setup!$B$33:$B$40,0)),0)=1)*(COUNTIF(Y458:Y475,$B481)+COUNTIF(Y458:Y475,$B481&amp;" ~*")&gt;0))</f>
        <v/>
      </c>
    </row>
    <row r="482" ht="15" customHeight="1">
      <c r="A482" t="n">
        <v>10</v>
      </c>
      <c r="B482" s="37">
        <f>IF(Setup!$B$11="","",Setup!$B$11)</f>
        <v/>
      </c>
      <c r="C482" s="102" t="n"/>
      <c r="D482" s="103" t="n"/>
      <c r="E482" s="103" t="n"/>
      <c r="F482" s="104" t="n"/>
      <c r="G482" s="102" t="n"/>
      <c r="H482" s="103" t="n"/>
      <c r="I482" s="103" t="n"/>
      <c r="J482" s="104" t="n"/>
      <c r="K482" s="102" t="n"/>
      <c r="L482" s="103" t="n"/>
      <c r="M482" s="103" t="n"/>
      <c r="N482" s="104" t="n"/>
      <c r="O482" s="102" t="n"/>
      <c r="P482" s="103" t="n"/>
      <c r="Q482" s="103" t="n"/>
      <c r="R482" s="104" t="n"/>
      <c r="S482" s="102" t="n"/>
      <c r="T482" s="103" t="n"/>
      <c r="U482" s="103" t="n"/>
      <c r="V482" s="104" t="n"/>
      <c r="W482" s="102" t="n"/>
      <c r="X482" s="104" t="n"/>
      <c r="Y482" s="102" t="n"/>
      <c r="Z482" s="104" t="n"/>
      <c r="AB482" s="105">
        <f>IF($B482="","",(COUNTIF(C458:E475,$B482)+COUNTIF(C458:E475,$B482&amp;" ~*")&gt;0)+(COUNTIF(G458:I475,$B482)+COUNTIF(G458:I475,$B482&amp;" ~*")&gt;0)+(COUNTIF(K458:M475,$B482)+COUNTIF(K458:M475,$B482&amp;" ~*")&gt;0)+(COUNTIF(O458:Q475,$B482)+COUNTIF(O458:Q475,$B482&amp;" ~*")&gt;0)+(COUNTIF(S458:U475,$B482)+COUNTIF(S458:U475,$B482&amp;" ~*")&gt;0)+(COUNTIF(W458:W475,$B482)+COUNTIF(W458:W475,$B482&amp;" ~*")&gt;0)+(COUNTIF(Y458:Y475,$B482)+COUNTIF(Y458:Y475,$B482&amp;" ~*")&gt;0))</f>
        <v/>
      </c>
      <c r="AC482" s="38">
        <f>IF($B482="","",(IFERROR(INDEX(Setup!$G$33:$G$40,MATCH(C482,Setup!$B$33:$B$40,0)),0)=1)*(COUNTIF(C458:E475,$B482)+COUNTIF(C458:E475,$B482&amp;" ~*")&gt;0)+(IFERROR(INDEX(Setup!$G$33:$G$40,MATCH(G482,Setup!$B$33:$B$40,0)),0)=1)*(COUNTIF(G458:I475,$B482)+COUNTIF(G458:I475,$B482&amp;" ~*")&gt;0)+(IFERROR(INDEX(Setup!$G$33:$G$40,MATCH(K482,Setup!$B$33:$B$40,0)),0)=1)*(COUNTIF(K458:M475,$B482)+COUNTIF(K458:M475,$B482&amp;" ~*")&gt;0)+(IFERROR(INDEX(Setup!$G$33:$G$40,MATCH(O482,Setup!$B$33:$B$40,0)),0)=1)*(COUNTIF(O458:Q475,$B482)+COUNTIF(O458:Q475,$B482&amp;" ~*")&gt;0)+(IFERROR(INDEX(Setup!$G$33:$G$40,MATCH(S482,Setup!$B$33:$B$40,0)),0)=1)*(COUNTIF(S458:U475,$B482)+COUNTIF(S458:U475,$B482&amp;" ~*")&gt;0)+(IFERROR(INDEX(Setup!$G$33:$G$40,MATCH(W482,Setup!$B$33:$B$40,0)),0)=1)*(COUNTIF(W458:W475,$B482)+COUNTIF(W458:W475,$B482&amp;" ~*")&gt;0)+(IFERROR(INDEX(Setup!$G$33:$G$40,MATCH(Y482,Setup!$B$33:$B$40,0)),0)=1)*(COUNTIF(Y458:Y475,$B482)+COUNTIF(Y458:Y475,$B482&amp;" ~*")&gt;0))</f>
        <v/>
      </c>
    </row>
    <row r="483" ht="15" customHeight="1">
      <c r="A483" t="n">
        <v>10</v>
      </c>
      <c r="B483" s="35">
        <f>IF(Setup!$B$12="","",Setup!$B$12)</f>
        <v/>
      </c>
      <c r="C483" s="98" t="n"/>
      <c r="D483" s="99" t="n"/>
      <c r="E483" s="99" t="n"/>
      <c r="F483" s="100" t="n"/>
      <c r="G483" s="98" t="n"/>
      <c r="H483" s="99" t="n"/>
      <c r="I483" s="99" t="n"/>
      <c r="J483" s="100" t="n"/>
      <c r="K483" s="98" t="n"/>
      <c r="L483" s="99" t="n"/>
      <c r="M483" s="99" t="n"/>
      <c r="N483" s="100" t="n"/>
      <c r="O483" s="98" t="n"/>
      <c r="P483" s="99" t="n"/>
      <c r="Q483" s="99" t="n"/>
      <c r="R483" s="100" t="n"/>
      <c r="S483" s="98" t="n"/>
      <c r="T483" s="99" t="n"/>
      <c r="U483" s="99" t="n"/>
      <c r="V483" s="100" t="n"/>
      <c r="W483" s="98" t="n"/>
      <c r="X483" s="100" t="n"/>
      <c r="Y483" s="98" t="n"/>
      <c r="Z483" s="100" t="n"/>
      <c r="AB483" s="101">
        <f>IF($B483="","",(COUNTIF(C458:E475,$B483)+COUNTIF(C458:E475,$B483&amp;" ~*")&gt;0)+(COUNTIF(G458:I475,$B483)+COUNTIF(G458:I475,$B483&amp;" ~*")&gt;0)+(COUNTIF(K458:M475,$B483)+COUNTIF(K458:M475,$B483&amp;" ~*")&gt;0)+(COUNTIF(O458:Q475,$B483)+COUNTIF(O458:Q475,$B483&amp;" ~*")&gt;0)+(COUNTIF(S458:U475,$B483)+COUNTIF(S458:U475,$B483&amp;" ~*")&gt;0)+(COUNTIF(W458:W475,$B483)+COUNTIF(W458:W475,$B483&amp;" ~*")&gt;0)+(COUNTIF(Y458:Y475,$B483)+COUNTIF(Y458:Y475,$B483&amp;" ~*")&gt;0))</f>
        <v/>
      </c>
      <c r="AC483" s="36">
        <f>IF($B483="","",(IFERROR(INDEX(Setup!$G$33:$G$40,MATCH(C483,Setup!$B$33:$B$40,0)),0)=1)*(COUNTIF(C458:E475,$B483)+COUNTIF(C458:E475,$B483&amp;" ~*")&gt;0)+(IFERROR(INDEX(Setup!$G$33:$G$40,MATCH(G483,Setup!$B$33:$B$40,0)),0)=1)*(COUNTIF(G458:I475,$B483)+COUNTIF(G458:I475,$B483&amp;" ~*")&gt;0)+(IFERROR(INDEX(Setup!$G$33:$G$40,MATCH(K483,Setup!$B$33:$B$40,0)),0)=1)*(COUNTIF(K458:M475,$B483)+COUNTIF(K458:M475,$B483&amp;" ~*")&gt;0)+(IFERROR(INDEX(Setup!$G$33:$G$40,MATCH(O483,Setup!$B$33:$B$40,0)),0)=1)*(COUNTIF(O458:Q475,$B483)+COUNTIF(O458:Q475,$B483&amp;" ~*")&gt;0)+(IFERROR(INDEX(Setup!$G$33:$G$40,MATCH(S483,Setup!$B$33:$B$40,0)),0)=1)*(COUNTIF(S458:U475,$B483)+COUNTIF(S458:U475,$B483&amp;" ~*")&gt;0)+(IFERROR(INDEX(Setup!$G$33:$G$40,MATCH(W483,Setup!$B$33:$B$40,0)),0)=1)*(COUNTIF(W458:W475,$B483)+COUNTIF(W458:W475,$B483&amp;" ~*")&gt;0)+(IFERROR(INDEX(Setup!$G$33:$G$40,MATCH(Y483,Setup!$B$33:$B$40,0)),0)=1)*(COUNTIF(Y458:Y475,$B483)+COUNTIF(Y458:Y475,$B483&amp;" ~*")&gt;0))</f>
        <v/>
      </c>
    </row>
    <row r="484" ht="15" customHeight="1">
      <c r="A484" t="n">
        <v>10</v>
      </c>
      <c r="B484" s="37">
        <f>IF(Setup!$B$13="","",Setup!$B$13)</f>
        <v/>
      </c>
      <c r="C484" s="102" t="n"/>
      <c r="D484" s="103" t="n"/>
      <c r="E484" s="103" t="n"/>
      <c r="F484" s="104" t="n"/>
      <c r="G484" s="102" t="n"/>
      <c r="H484" s="103" t="n"/>
      <c r="I484" s="103" t="n"/>
      <c r="J484" s="104" t="n"/>
      <c r="K484" s="102" t="n"/>
      <c r="L484" s="103" t="n"/>
      <c r="M484" s="103" t="n"/>
      <c r="N484" s="104" t="n"/>
      <c r="O484" s="102" t="n"/>
      <c r="P484" s="103" t="n"/>
      <c r="Q484" s="103" t="n"/>
      <c r="R484" s="104" t="n"/>
      <c r="S484" s="102" t="n"/>
      <c r="T484" s="103" t="n"/>
      <c r="U484" s="103" t="n"/>
      <c r="V484" s="104" t="n"/>
      <c r="W484" s="102" t="n"/>
      <c r="X484" s="104" t="n"/>
      <c r="Y484" s="102" t="n"/>
      <c r="Z484" s="104" t="n"/>
      <c r="AB484" s="105">
        <f>IF($B484="","",(COUNTIF(C458:E475,$B484)+COUNTIF(C458:E475,$B484&amp;" ~*")&gt;0)+(COUNTIF(G458:I475,$B484)+COUNTIF(G458:I475,$B484&amp;" ~*")&gt;0)+(COUNTIF(K458:M475,$B484)+COUNTIF(K458:M475,$B484&amp;" ~*")&gt;0)+(COUNTIF(O458:Q475,$B484)+COUNTIF(O458:Q475,$B484&amp;" ~*")&gt;0)+(COUNTIF(S458:U475,$B484)+COUNTIF(S458:U475,$B484&amp;" ~*")&gt;0)+(COUNTIF(W458:W475,$B484)+COUNTIF(W458:W475,$B484&amp;" ~*")&gt;0)+(COUNTIF(Y458:Y475,$B484)+COUNTIF(Y458:Y475,$B484&amp;" ~*")&gt;0))</f>
        <v/>
      </c>
      <c r="AC484" s="38">
        <f>IF($B484="","",(IFERROR(INDEX(Setup!$G$33:$G$40,MATCH(C484,Setup!$B$33:$B$40,0)),0)=1)*(COUNTIF(C458:E475,$B484)+COUNTIF(C458:E475,$B484&amp;" ~*")&gt;0)+(IFERROR(INDEX(Setup!$G$33:$G$40,MATCH(G484,Setup!$B$33:$B$40,0)),0)=1)*(COUNTIF(G458:I475,$B484)+COUNTIF(G458:I475,$B484&amp;" ~*")&gt;0)+(IFERROR(INDEX(Setup!$G$33:$G$40,MATCH(K484,Setup!$B$33:$B$40,0)),0)=1)*(COUNTIF(K458:M475,$B484)+COUNTIF(K458:M475,$B484&amp;" ~*")&gt;0)+(IFERROR(INDEX(Setup!$G$33:$G$40,MATCH(O484,Setup!$B$33:$B$40,0)),0)=1)*(COUNTIF(O458:Q475,$B484)+COUNTIF(O458:Q475,$B484&amp;" ~*")&gt;0)+(IFERROR(INDEX(Setup!$G$33:$G$40,MATCH(S484,Setup!$B$33:$B$40,0)),0)=1)*(COUNTIF(S458:U475,$B484)+COUNTIF(S458:U475,$B484&amp;" ~*")&gt;0)+(IFERROR(INDEX(Setup!$G$33:$G$40,MATCH(W484,Setup!$B$33:$B$40,0)),0)=1)*(COUNTIF(W458:W475,$B484)+COUNTIF(W458:W475,$B484&amp;" ~*")&gt;0)+(IFERROR(INDEX(Setup!$G$33:$G$40,MATCH(Y484,Setup!$B$33:$B$40,0)),0)=1)*(COUNTIF(Y458:Y475,$B484)+COUNTIF(Y458:Y475,$B484&amp;" ~*")&gt;0))</f>
        <v/>
      </c>
    </row>
    <row r="485" ht="15" customHeight="1">
      <c r="A485" t="n">
        <v>10</v>
      </c>
      <c r="B485" s="35">
        <f>IF(Setup!$B$14="","",Setup!$B$14)</f>
        <v/>
      </c>
      <c r="C485" s="98" t="n"/>
      <c r="D485" s="99" t="n"/>
      <c r="E485" s="99" t="n"/>
      <c r="F485" s="100" t="n"/>
      <c r="G485" s="98" t="n"/>
      <c r="H485" s="99" t="n"/>
      <c r="I485" s="99" t="n"/>
      <c r="J485" s="100" t="n"/>
      <c r="K485" s="98" t="n"/>
      <c r="L485" s="99" t="n"/>
      <c r="M485" s="99" t="n"/>
      <c r="N485" s="100" t="n"/>
      <c r="O485" s="98" t="n"/>
      <c r="P485" s="99" t="n"/>
      <c r="Q485" s="99" t="n"/>
      <c r="R485" s="100" t="n"/>
      <c r="S485" s="98" t="n"/>
      <c r="T485" s="99" t="n"/>
      <c r="U485" s="99" t="n"/>
      <c r="V485" s="100" t="n"/>
      <c r="W485" s="98" t="n"/>
      <c r="X485" s="100" t="n"/>
      <c r="Y485" s="98" t="n"/>
      <c r="Z485" s="100" t="n"/>
      <c r="AB485" s="101">
        <f>IF($B485="","",(COUNTIF(C458:E475,$B485)+COUNTIF(C458:E475,$B485&amp;" ~*")&gt;0)+(COUNTIF(G458:I475,$B485)+COUNTIF(G458:I475,$B485&amp;" ~*")&gt;0)+(COUNTIF(K458:M475,$B485)+COUNTIF(K458:M475,$B485&amp;" ~*")&gt;0)+(COUNTIF(O458:Q475,$B485)+COUNTIF(O458:Q475,$B485&amp;" ~*")&gt;0)+(COUNTIF(S458:U475,$B485)+COUNTIF(S458:U475,$B485&amp;" ~*")&gt;0)+(COUNTIF(W458:W475,$B485)+COUNTIF(W458:W475,$B485&amp;" ~*")&gt;0)+(COUNTIF(Y458:Y475,$B485)+COUNTIF(Y458:Y475,$B485&amp;" ~*")&gt;0))</f>
        <v/>
      </c>
      <c r="AC485" s="36">
        <f>IF($B485="","",(IFERROR(INDEX(Setup!$G$33:$G$40,MATCH(C485,Setup!$B$33:$B$40,0)),0)=1)*(COUNTIF(C458:E475,$B485)+COUNTIF(C458:E475,$B485&amp;" ~*")&gt;0)+(IFERROR(INDEX(Setup!$G$33:$G$40,MATCH(G485,Setup!$B$33:$B$40,0)),0)=1)*(COUNTIF(G458:I475,$B485)+COUNTIF(G458:I475,$B485&amp;" ~*")&gt;0)+(IFERROR(INDEX(Setup!$G$33:$G$40,MATCH(K485,Setup!$B$33:$B$40,0)),0)=1)*(COUNTIF(K458:M475,$B485)+COUNTIF(K458:M475,$B485&amp;" ~*")&gt;0)+(IFERROR(INDEX(Setup!$G$33:$G$40,MATCH(O485,Setup!$B$33:$B$40,0)),0)=1)*(COUNTIF(O458:Q475,$B485)+COUNTIF(O458:Q475,$B485&amp;" ~*")&gt;0)+(IFERROR(INDEX(Setup!$G$33:$G$40,MATCH(S485,Setup!$B$33:$B$40,0)),0)=1)*(COUNTIF(S458:U475,$B485)+COUNTIF(S458:U475,$B485&amp;" ~*")&gt;0)+(IFERROR(INDEX(Setup!$G$33:$G$40,MATCH(W485,Setup!$B$33:$B$40,0)),0)=1)*(COUNTIF(W458:W475,$B485)+COUNTIF(W458:W475,$B485&amp;" ~*")&gt;0)+(IFERROR(INDEX(Setup!$G$33:$G$40,MATCH(Y485,Setup!$B$33:$B$40,0)),0)=1)*(COUNTIF(Y458:Y475,$B485)+COUNTIF(Y458:Y475,$B485&amp;" ~*")&gt;0))</f>
        <v/>
      </c>
    </row>
    <row r="486" ht="15" customHeight="1">
      <c r="A486" t="n">
        <v>10</v>
      </c>
      <c r="B486" s="37">
        <f>IF(Setup!$B$15="","",Setup!$B$15)</f>
        <v/>
      </c>
      <c r="C486" s="102" t="n"/>
      <c r="D486" s="103" t="n"/>
      <c r="E486" s="103" t="n"/>
      <c r="F486" s="104" t="n"/>
      <c r="G486" s="102" t="n"/>
      <c r="H486" s="103" t="n"/>
      <c r="I486" s="103" t="n"/>
      <c r="J486" s="104" t="n"/>
      <c r="K486" s="102" t="n"/>
      <c r="L486" s="103" t="n"/>
      <c r="M486" s="103" t="n"/>
      <c r="N486" s="104" t="n"/>
      <c r="O486" s="102" t="n"/>
      <c r="P486" s="103" t="n"/>
      <c r="Q486" s="103" t="n"/>
      <c r="R486" s="104" t="n"/>
      <c r="S486" s="102" t="n"/>
      <c r="T486" s="103" t="n"/>
      <c r="U486" s="103" t="n"/>
      <c r="V486" s="104" t="n"/>
      <c r="W486" s="102" t="n"/>
      <c r="X486" s="104" t="n"/>
      <c r="Y486" s="102" t="n"/>
      <c r="Z486" s="104" t="n"/>
      <c r="AB486" s="105">
        <f>IF($B486="","",(COUNTIF(C458:E475,$B486)+COUNTIF(C458:E475,$B486&amp;" ~*")&gt;0)+(COUNTIF(G458:I475,$B486)+COUNTIF(G458:I475,$B486&amp;" ~*")&gt;0)+(COUNTIF(K458:M475,$B486)+COUNTIF(K458:M475,$B486&amp;" ~*")&gt;0)+(COUNTIF(O458:Q475,$B486)+COUNTIF(O458:Q475,$B486&amp;" ~*")&gt;0)+(COUNTIF(S458:U475,$B486)+COUNTIF(S458:U475,$B486&amp;" ~*")&gt;0)+(COUNTIF(W458:W475,$B486)+COUNTIF(W458:W475,$B486&amp;" ~*")&gt;0)+(COUNTIF(Y458:Y475,$B486)+COUNTIF(Y458:Y475,$B486&amp;" ~*")&gt;0))</f>
        <v/>
      </c>
      <c r="AC486" s="38">
        <f>IF($B486="","",(IFERROR(INDEX(Setup!$G$33:$G$40,MATCH(C486,Setup!$B$33:$B$40,0)),0)=1)*(COUNTIF(C458:E475,$B486)+COUNTIF(C458:E475,$B486&amp;" ~*")&gt;0)+(IFERROR(INDEX(Setup!$G$33:$G$40,MATCH(G486,Setup!$B$33:$B$40,0)),0)=1)*(COUNTIF(G458:I475,$B486)+COUNTIF(G458:I475,$B486&amp;" ~*")&gt;0)+(IFERROR(INDEX(Setup!$G$33:$G$40,MATCH(K486,Setup!$B$33:$B$40,0)),0)=1)*(COUNTIF(K458:M475,$B486)+COUNTIF(K458:M475,$B486&amp;" ~*")&gt;0)+(IFERROR(INDEX(Setup!$G$33:$G$40,MATCH(O486,Setup!$B$33:$B$40,0)),0)=1)*(COUNTIF(O458:Q475,$B486)+COUNTIF(O458:Q475,$B486&amp;" ~*")&gt;0)+(IFERROR(INDEX(Setup!$G$33:$G$40,MATCH(S486,Setup!$B$33:$B$40,0)),0)=1)*(COUNTIF(S458:U475,$B486)+COUNTIF(S458:U475,$B486&amp;" ~*")&gt;0)+(IFERROR(INDEX(Setup!$G$33:$G$40,MATCH(W486,Setup!$B$33:$B$40,0)),0)=1)*(COUNTIF(W458:W475,$B486)+COUNTIF(W458:W475,$B486&amp;" ~*")&gt;0)+(IFERROR(INDEX(Setup!$G$33:$G$40,MATCH(Y486,Setup!$B$33:$B$40,0)),0)=1)*(COUNTIF(Y458:Y475,$B486)+COUNTIF(Y458:Y475,$B486&amp;" ~*")&gt;0))</f>
        <v/>
      </c>
    </row>
    <row r="487" ht="15" customHeight="1">
      <c r="A487" t="n">
        <v>10</v>
      </c>
      <c r="B487" s="35">
        <f>IF(Setup!$B$16="","",Setup!$B$16)</f>
        <v/>
      </c>
      <c r="C487" s="98" t="n"/>
      <c r="D487" s="99" t="n"/>
      <c r="E487" s="99" t="n"/>
      <c r="F487" s="100" t="n"/>
      <c r="G487" s="98" t="n"/>
      <c r="H487" s="99" t="n"/>
      <c r="I487" s="99" t="n"/>
      <c r="J487" s="100" t="n"/>
      <c r="K487" s="98" t="n"/>
      <c r="L487" s="99" t="n"/>
      <c r="M487" s="99" t="n"/>
      <c r="N487" s="100" t="n"/>
      <c r="O487" s="98" t="n"/>
      <c r="P487" s="99" t="n"/>
      <c r="Q487" s="99" t="n"/>
      <c r="R487" s="100" t="n"/>
      <c r="S487" s="98" t="n"/>
      <c r="T487" s="99" t="n"/>
      <c r="U487" s="99" t="n"/>
      <c r="V487" s="100" t="n"/>
      <c r="W487" s="98" t="n"/>
      <c r="X487" s="100" t="n"/>
      <c r="Y487" s="98" t="n"/>
      <c r="Z487" s="100" t="n"/>
      <c r="AB487" s="101">
        <f>IF($B487="","",(COUNTIF(C458:E475,$B487)+COUNTIF(C458:E475,$B487&amp;" ~*")&gt;0)+(COUNTIF(G458:I475,$B487)+COUNTIF(G458:I475,$B487&amp;" ~*")&gt;0)+(COUNTIF(K458:M475,$B487)+COUNTIF(K458:M475,$B487&amp;" ~*")&gt;0)+(COUNTIF(O458:Q475,$B487)+COUNTIF(O458:Q475,$B487&amp;" ~*")&gt;0)+(COUNTIF(S458:U475,$B487)+COUNTIF(S458:U475,$B487&amp;" ~*")&gt;0)+(COUNTIF(W458:W475,$B487)+COUNTIF(W458:W475,$B487&amp;" ~*")&gt;0)+(COUNTIF(Y458:Y475,$B487)+COUNTIF(Y458:Y475,$B487&amp;" ~*")&gt;0))</f>
        <v/>
      </c>
      <c r="AC487" s="36">
        <f>IF($B487="","",(IFERROR(INDEX(Setup!$G$33:$G$40,MATCH(C487,Setup!$B$33:$B$40,0)),0)=1)*(COUNTIF(C458:E475,$B487)+COUNTIF(C458:E475,$B487&amp;" ~*")&gt;0)+(IFERROR(INDEX(Setup!$G$33:$G$40,MATCH(G487,Setup!$B$33:$B$40,0)),0)=1)*(COUNTIF(G458:I475,$B487)+COUNTIF(G458:I475,$B487&amp;" ~*")&gt;0)+(IFERROR(INDEX(Setup!$G$33:$G$40,MATCH(K487,Setup!$B$33:$B$40,0)),0)=1)*(COUNTIF(K458:M475,$B487)+COUNTIF(K458:M475,$B487&amp;" ~*")&gt;0)+(IFERROR(INDEX(Setup!$G$33:$G$40,MATCH(O487,Setup!$B$33:$B$40,0)),0)=1)*(COUNTIF(O458:Q475,$B487)+COUNTIF(O458:Q475,$B487&amp;" ~*")&gt;0)+(IFERROR(INDEX(Setup!$G$33:$G$40,MATCH(S487,Setup!$B$33:$B$40,0)),0)=1)*(COUNTIF(S458:U475,$B487)+COUNTIF(S458:U475,$B487&amp;" ~*")&gt;0)+(IFERROR(INDEX(Setup!$G$33:$G$40,MATCH(W487,Setup!$B$33:$B$40,0)),0)=1)*(COUNTIF(W458:W475,$B487)+COUNTIF(W458:W475,$B487&amp;" ~*")&gt;0)+(IFERROR(INDEX(Setup!$G$33:$G$40,MATCH(Y487,Setup!$B$33:$B$40,0)),0)=1)*(COUNTIF(Y458:Y475,$B487)+COUNTIF(Y458:Y475,$B487&amp;" ~*")&gt;0))</f>
        <v/>
      </c>
    </row>
    <row r="488" ht="15" customHeight="1">
      <c r="A488" t="n">
        <v>10</v>
      </c>
      <c r="B488" s="37">
        <f>IF(Setup!$B$17="","",Setup!$B$17)</f>
        <v/>
      </c>
      <c r="C488" s="102" t="n"/>
      <c r="D488" s="103" t="n"/>
      <c r="E488" s="103" t="n"/>
      <c r="F488" s="104" t="n"/>
      <c r="G488" s="102" t="n"/>
      <c r="H488" s="103" t="n"/>
      <c r="I488" s="103" t="n"/>
      <c r="J488" s="104" t="n"/>
      <c r="K488" s="102" t="n"/>
      <c r="L488" s="103" t="n"/>
      <c r="M488" s="103" t="n"/>
      <c r="N488" s="104" t="n"/>
      <c r="O488" s="102" t="n"/>
      <c r="P488" s="103" t="n"/>
      <c r="Q488" s="103" t="n"/>
      <c r="R488" s="104" t="n"/>
      <c r="S488" s="102" t="n"/>
      <c r="T488" s="103" t="n"/>
      <c r="U488" s="103" t="n"/>
      <c r="V488" s="104" t="n"/>
      <c r="W488" s="102" t="n"/>
      <c r="X488" s="104" t="n"/>
      <c r="Y488" s="102" t="n"/>
      <c r="Z488" s="104" t="n"/>
      <c r="AB488" s="105">
        <f>IF($B488="","",(COUNTIF(C458:E475,$B488)+COUNTIF(C458:E475,$B488&amp;" ~*")&gt;0)+(COUNTIF(G458:I475,$B488)+COUNTIF(G458:I475,$B488&amp;" ~*")&gt;0)+(COUNTIF(K458:M475,$B488)+COUNTIF(K458:M475,$B488&amp;" ~*")&gt;0)+(COUNTIF(O458:Q475,$B488)+COUNTIF(O458:Q475,$B488&amp;" ~*")&gt;0)+(COUNTIF(S458:U475,$B488)+COUNTIF(S458:U475,$B488&amp;" ~*")&gt;0)+(COUNTIF(W458:W475,$B488)+COUNTIF(W458:W475,$B488&amp;" ~*")&gt;0)+(COUNTIF(Y458:Y475,$B488)+COUNTIF(Y458:Y475,$B488&amp;" ~*")&gt;0))</f>
        <v/>
      </c>
      <c r="AC488" s="38">
        <f>IF($B488="","",(IFERROR(INDEX(Setup!$G$33:$G$40,MATCH(C488,Setup!$B$33:$B$40,0)),0)=1)*(COUNTIF(C458:E475,$B488)+COUNTIF(C458:E475,$B488&amp;" ~*")&gt;0)+(IFERROR(INDEX(Setup!$G$33:$G$40,MATCH(G488,Setup!$B$33:$B$40,0)),0)=1)*(COUNTIF(G458:I475,$B488)+COUNTIF(G458:I475,$B488&amp;" ~*")&gt;0)+(IFERROR(INDEX(Setup!$G$33:$G$40,MATCH(K488,Setup!$B$33:$B$40,0)),0)=1)*(COUNTIF(K458:M475,$B488)+COUNTIF(K458:M475,$B488&amp;" ~*")&gt;0)+(IFERROR(INDEX(Setup!$G$33:$G$40,MATCH(O488,Setup!$B$33:$B$40,0)),0)=1)*(COUNTIF(O458:Q475,$B488)+COUNTIF(O458:Q475,$B488&amp;" ~*")&gt;0)+(IFERROR(INDEX(Setup!$G$33:$G$40,MATCH(S488,Setup!$B$33:$B$40,0)),0)=1)*(COUNTIF(S458:U475,$B488)+COUNTIF(S458:U475,$B488&amp;" ~*")&gt;0)+(IFERROR(INDEX(Setup!$G$33:$G$40,MATCH(W488,Setup!$B$33:$B$40,0)),0)=1)*(COUNTIF(W458:W475,$B488)+COUNTIF(W458:W475,$B488&amp;" ~*")&gt;0)+(IFERROR(INDEX(Setup!$G$33:$G$40,MATCH(Y488,Setup!$B$33:$B$40,0)),0)=1)*(COUNTIF(Y458:Y475,$B488)+COUNTIF(Y458:Y475,$B488&amp;" ~*")&gt;0))</f>
        <v/>
      </c>
    </row>
    <row r="489" ht="15" customHeight="1">
      <c r="A489" t="n">
        <v>10</v>
      </c>
      <c r="B489" s="35">
        <f>IF(Setup!$B$18="","",Setup!$B$18)</f>
        <v/>
      </c>
      <c r="C489" s="98" t="n"/>
      <c r="D489" s="99" t="n"/>
      <c r="E489" s="99" t="n"/>
      <c r="F489" s="100" t="n"/>
      <c r="G489" s="98" t="n"/>
      <c r="H489" s="99" t="n"/>
      <c r="I489" s="99" t="n"/>
      <c r="J489" s="100" t="n"/>
      <c r="K489" s="98" t="n"/>
      <c r="L489" s="99" t="n"/>
      <c r="M489" s="99" t="n"/>
      <c r="N489" s="100" t="n"/>
      <c r="O489" s="98" t="n"/>
      <c r="P489" s="99" t="n"/>
      <c r="Q489" s="99" t="n"/>
      <c r="R489" s="100" t="n"/>
      <c r="S489" s="98" t="n"/>
      <c r="T489" s="99" t="n"/>
      <c r="U489" s="99" t="n"/>
      <c r="V489" s="100" t="n"/>
      <c r="W489" s="98" t="n"/>
      <c r="X489" s="100" t="n"/>
      <c r="Y489" s="98" t="n"/>
      <c r="Z489" s="100" t="n"/>
      <c r="AB489" s="101">
        <f>IF($B489="","",(COUNTIF(C458:E475,$B489)+COUNTIF(C458:E475,$B489&amp;" ~*")&gt;0)+(COUNTIF(G458:I475,$B489)+COUNTIF(G458:I475,$B489&amp;" ~*")&gt;0)+(COUNTIF(K458:M475,$B489)+COUNTIF(K458:M475,$B489&amp;" ~*")&gt;0)+(COUNTIF(O458:Q475,$B489)+COUNTIF(O458:Q475,$B489&amp;" ~*")&gt;0)+(COUNTIF(S458:U475,$B489)+COUNTIF(S458:U475,$B489&amp;" ~*")&gt;0)+(COUNTIF(W458:W475,$B489)+COUNTIF(W458:W475,$B489&amp;" ~*")&gt;0)+(COUNTIF(Y458:Y475,$B489)+COUNTIF(Y458:Y475,$B489&amp;" ~*")&gt;0))</f>
        <v/>
      </c>
      <c r="AC489" s="36">
        <f>IF($B489="","",(IFERROR(INDEX(Setup!$G$33:$G$40,MATCH(C489,Setup!$B$33:$B$40,0)),0)=1)*(COUNTIF(C458:E475,$B489)+COUNTIF(C458:E475,$B489&amp;" ~*")&gt;0)+(IFERROR(INDEX(Setup!$G$33:$G$40,MATCH(G489,Setup!$B$33:$B$40,0)),0)=1)*(COUNTIF(G458:I475,$B489)+COUNTIF(G458:I475,$B489&amp;" ~*")&gt;0)+(IFERROR(INDEX(Setup!$G$33:$G$40,MATCH(K489,Setup!$B$33:$B$40,0)),0)=1)*(COUNTIF(K458:M475,$B489)+COUNTIF(K458:M475,$B489&amp;" ~*")&gt;0)+(IFERROR(INDEX(Setup!$G$33:$G$40,MATCH(O489,Setup!$B$33:$B$40,0)),0)=1)*(COUNTIF(O458:Q475,$B489)+COUNTIF(O458:Q475,$B489&amp;" ~*")&gt;0)+(IFERROR(INDEX(Setup!$G$33:$G$40,MATCH(S489,Setup!$B$33:$B$40,0)),0)=1)*(COUNTIF(S458:U475,$B489)+COUNTIF(S458:U475,$B489&amp;" ~*")&gt;0)+(IFERROR(INDEX(Setup!$G$33:$G$40,MATCH(W489,Setup!$B$33:$B$40,0)),0)=1)*(COUNTIF(W458:W475,$B489)+COUNTIF(W458:W475,$B489&amp;" ~*")&gt;0)+(IFERROR(INDEX(Setup!$G$33:$G$40,MATCH(Y489,Setup!$B$33:$B$40,0)),0)=1)*(COUNTIF(Y458:Y475,$B489)+COUNTIF(Y458:Y475,$B489&amp;" ~*")&gt;0))</f>
        <v/>
      </c>
    </row>
    <row r="490" ht="15" customHeight="1">
      <c r="A490" t="n">
        <v>10</v>
      </c>
      <c r="B490" s="37">
        <f>IF(Setup!$B$19="","",Setup!$B$19)</f>
        <v/>
      </c>
      <c r="C490" s="102" t="n"/>
      <c r="D490" s="103" t="n"/>
      <c r="E490" s="103" t="n"/>
      <c r="F490" s="104" t="n"/>
      <c r="G490" s="102" t="n"/>
      <c r="H490" s="103" t="n"/>
      <c r="I490" s="103" t="n"/>
      <c r="J490" s="104" t="n"/>
      <c r="K490" s="102" t="n"/>
      <c r="L490" s="103" t="n"/>
      <c r="M490" s="103" t="n"/>
      <c r="N490" s="104" t="n"/>
      <c r="O490" s="102" t="inlineStr">
        <is>
          <t>AL</t>
        </is>
      </c>
      <c r="P490" s="103" t="n"/>
      <c r="Q490" s="103" t="n"/>
      <c r="R490" s="104" t="n"/>
      <c r="S490" s="102" t="inlineStr">
        <is>
          <t>AL</t>
        </is>
      </c>
      <c r="T490" s="103" t="n"/>
      <c r="U490" s="103" t="n"/>
      <c r="V490" s="104" t="n"/>
      <c r="W490" s="102" t="n"/>
      <c r="X490" s="104" t="n"/>
      <c r="Y490" s="102" t="n"/>
      <c r="Z490" s="104" t="n"/>
      <c r="AB490" s="105">
        <f>IF($B490="","",(COUNTIF(C458:E475,$B490)+COUNTIF(C458:E475,$B490&amp;" ~*")&gt;0)+(COUNTIF(G458:I475,$B490)+COUNTIF(G458:I475,$B490&amp;" ~*")&gt;0)+(COUNTIF(K458:M475,$B490)+COUNTIF(K458:M475,$B490&amp;" ~*")&gt;0)+(COUNTIF(O458:Q475,$B490)+COUNTIF(O458:Q475,$B490&amp;" ~*")&gt;0)+(COUNTIF(S458:U475,$B490)+COUNTIF(S458:U475,$B490&amp;" ~*")&gt;0)+(COUNTIF(W458:W475,$B490)+COUNTIF(W458:W475,$B490&amp;" ~*")&gt;0)+(COUNTIF(Y458:Y475,$B490)+COUNTIF(Y458:Y475,$B490&amp;" ~*")&gt;0))</f>
        <v/>
      </c>
      <c r="AC490" s="38">
        <f>IF($B490="","",(IFERROR(INDEX(Setup!$G$33:$G$40,MATCH(C490,Setup!$B$33:$B$40,0)),0)=1)*(COUNTIF(C458:E475,$B490)+COUNTIF(C458:E475,$B490&amp;" ~*")&gt;0)+(IFERROR(INDEX(Setup!$G$33:$G$40,MATCH(G490,Setup!$B$33:$B$40,0)),0)=1)*(COUNTIF(G458:I475,$B490)+COUNTIF(G458:I475,$B490&amp;" ~*")&gt;0)+(IFERROR(INDEX(Setup!$G$33:$G$40,MATCH(K490,Setup!$B$33:$B$40,0)),0)=1)*(COUNTIF(K458:M475,$B490)+COUNTIF(K458:M475,$B490&amp;" ~*")&gt;0)+(IFERROR(INDEX(Setup!$G$33:$G$40,MATCH(O490,Setup!$B$33:$B$40,0)),0)=1)*(COUNTIF(O458:Q475,$B490)+COUNTIF(O458:Q475,$B490&amp;" ~*")&gt;0)+(IFERROR(INDEX(Setup!$G$33:$G$40,MATCH(S490,Setup!$B$33:$B$40,0)),0)=1)*(COUNTIF(S458:U475,$B490)+COUNTIF(S458:U475,$B490&amp;" ~*")&gt;0)+(IFERROR(INDEX(Setup!$G$33:$G$40,MATCH(W490,Setup!$B$33:$B$40,0)),0)=1)*(COUNTIF(W458:W475,$B490)+COUNTIF(W458:W475,$B490&amp;" ~*")&gt;0)+(IFERROR(INDEX(Setup!$G$33:$G$40,MATCH(Y490,Setup!$B$33:$B$40,0)),0)=1)*(COUNTIF(Y458:Y475,$B490)+COUNTIF(Y458:Y475,$B490&amp;" ~*")&gt;0))</f>
        <v/>
      </c>
    </row>
    <row r="491" ht="15" customHeight="1">
      <c r="A491" t="n">
        <v>10</v>
      </c>
      <c r="B491" s="35">
        <f>IF(Setup!$B$20="","",Setup!$B$20)</f>
        <v/>
      </c>
      <c r="C491" s="98" t="n"/>
      <c r="D491" s="99" t="n"/>
      <c r="E491" s="99" t="n"/>
      <c r="F491" s="100" t="n"/>
      <c r="G491" s="98" t="n"/>
      <c r="H491" s="99" t="n"/>
      <c r="I491" s="99" t="n"/>
      <c r="J491" s="100" t="n"/>
      <c r="K491" s="98" t="n"/>
      <c r="L491" s="99" t="n"/>
      <c r="M491" s="99" t="n"/>
      <c r="N491" s="100" t="n"/>
      <c r="O491" s="98" t="n"/>
      <c r="P491" s="99" t="n"/>
      <c r="Q491" s="99" t="n"/>
      <c r="R491" s="100" t="n"/>
      <c r="S491" s="98" t="n"/>
      <c r="T491" s="99" t="n"/>
      <c r="U491" s="99" t="n"/>
      <c r="V491" s="100" t="n"/>
      <c r="W491" s="98" t="n"/>
      <c r="X491" s="100" t="n"/>
      <c r="Y491" s="98" t="n"/>
      <c r="Z491" s="100" t="n"/>
      <c r="AB491" s="101">
        <f>IF($B491="","",(COUNTIF(C458:E475,$B491)+COUNTIF(C458:E475,$B491&amp;" ~*")&gt;0)+(COUNTIF(G458:I475,$B491)+COUNTIF(G458:I475,$B491&amp;" ~*")&gt;0)+(COUNTIF(K458:M475,$B491)+COUNTIF(K458:M475,$B491&amp;" ~*")&gt;0)+(COUNTIF(O458:Q475,$B491)+COUNTIF(O458:Q475,$B491&amp;" ~*")&gt;0)+(COUNTIF(S458:U475,$B491)+COUNTIF(S458:U475,$B491&amp;" ~*")&gt;0)+(COUNTIF(W458:W475,$B491)+COUNTIF(W458:W475,$B491&amp;" ~*")&gt;0)+(COUNTIF(Y458:Y475,$B491)+COUNTIF(Y458:Y475,$B491&amp;" ~*")&gt;0))</f>
        <v/>
      </c>
      <c r="AC491" s="36">
        <f>IF($B491="","",(IFERROR(INDEX(Setup!$G$33:$G$40,MATCH(C491,Setup!$B$33:$B$40,0)),0)=1)*(COUNTIF(C458:E475,$B491)+COUNTIF(C458:E475,$B491&amp;" ~*")&gt;0)+(IFERROR(INDEX(Setup!$G$33:$G$40,MATCH(G491,Setup!$B$33:$B$40,0)),0)=1)*(COUNTIF(G458:I475,$B491)+COUNTIF(G458:I475,$B491&amp;" ~*")&gt;0)+(IFERROR(INDEX(Setup!$G$33:$G$40,MATCH(K491,Setup!$B$33:$B$40,0)),0)=1)*(COUNTIF(K458:M475,$B491)+COUNTIF(K458:M475,$B491&amp;" ~*")&gt;0)+(IFERROR(INDEX(Setup!$G$33:$G$40,MATCH(O491,Setup!$B$33:$B$40,0)),0)=1)*(COUNTIF(O458:Q475,$B491)+COUNTIF(O458:Q475,$B491&amp;" ~*")&gt;0)+(IFERROR(INDEX(Setup!$G$33:$G$40,MATCH(S491,Setup!$B$33:$B$40,0)),0)=1)*(COUNTIF(S458:U475,$B491)+COUNTIF(S458:U475,$B491&amp;" ~*")&gt;0)+(IFERROR(INDEX(Setup!$G$33:$G$40,MATCH(W491,Setup!$B$33:$B$40,0)),0)=1)*(COUNTIF(W458:W475,$B491)+COUNTIF(W458:W475,$B491&amp;" ~*")&gt;0)+(IFERROR(INDEX(Setup!$G$33:$G$40,MATCH(Y491,Setup!$B$33:$B$40,0)),0)=1)*(COUNTIF(Y458:Y475,$B491)+COUNTIF(Y458:Y475,$B491&amp;" ~*")&gt;0))</f>
        <v/>
      </c>
    </row>
    <row r="492" ht="15" customHeight="1">
      <c r="A492" t="n">
        <v>10</v>
      </c>
      <c r="B492" s="37">
        <f>IF(Setup!$B$21="","",Setup!$B$21)</f>
        <v/>
      </c>
      <c r="C492" s="102" t="n"/>
      <c r="D492" s="103" t="n"/>
      <c r="E492" s="103" t="n"/>
      <c r="F492" s="104" t="n"/>
      <c r="G492" s="102" t="n"/>
      <c r="H492" s="103" t="n"/>
      <c r="I492" s="103" t="n"/>
      <c r="J492" s="104" t="n"/>
      <c r="K492" s="102" t="n"/>
      <c r="L492" s="103" t="n"/>
      <c r="M492" s="103" t="n"/>
      <c r="N492" s="104" t="n"/>
      <c r="O492" s="102" t="n"/>
      <c r="P492" s="103" t="n"/>
      <c r="Q492" s="103" t="n"/>
      <c r="R492" s="104" t="n"/>
      <c r="S492" s="102" t="n"/>
      <c r="T492" s="103" t="n"/>
      <c r="U492" s="103" t="n"/>
      <c r="V492" s="104" t="n"/>
      <c r="W492" s="102" t="n"/>
      <c r="X492" s="104" t="n"/>
      <c r="Y492" s="102" t="n"/>
      <c r="Z492" s="104" t="n"/>
      <c r="AB492" s="105">
        <f>IF($B492="","",(COUNTIF(C458:E475,$B492)+COUNTIF(C458:E475,$B492&amp;" ~*")&gt;0)+(COUNTIF(G458:I475,$B492)+COUNTIF(G458:I475,$B492&amp;" ~*")&gt;0)+(COUNTIF(K458:M475,$B492)+COUNTIF(K458:M475,$B492&amp;" ~*")&gt;0)+(COUNTIF(O458:Q475,$B492)+COUNTIF(O458:Q475,$B492&amp;" ~*")&gt;0)+(COUNTIF(S458:U475,$B492)+COUNTIF(S458:U475,$B492&amp;" ~*")&gt;0)+(COUNTIF(W458:W475,$B492)+COUNTIF(W458:W475,$B492&amp;" ~*")&gt;0)+(COUNTIF(Y458:Y475,$B492)+COUNTIF(Y458:Y475,$B492&amp;" ~*")&gt;0))</f>
        <v/>
      </c>
      <c r="AC492" s="38">
        <f>IF($B492="","",(IFERROR(INDEX(Setup!$G$33:$G$40,MATCH(C492,Setup!$B$33:$B$40,0)),0)=1)*(COUNTIF(C458:E475,$B492)+COUNTIF(C458:E475,$B492&amp;" ~*")&gt;0)+(IFERROR(INDEX(Setup!$G$33:$G$40,MATCH(G492,Setup!$B$33:$B$40,0)),0)=1)*(COUNTIF(G458:I475,$B492)+COUNTIF(G458:I475,$B492&amp;" ~*")&gt;0)+(IFERROR(INDEX(Setup!$G$33:$G$40,MATCH(K492,Setup!$B$33:$B$40,0)),0)=1)*(COUNTIF(K458:M475,$B492)+COUNTIF(K458:M475,$B492&amp;" ~*")&gt;0)+(IFERROR(INDEX(Setup!$G$33:$G$40,MATCH(O492,Setup!$B$33:$B$40,0)),0)=1)*(COUNTIF(O458:Q475,$B492)+COUNTIF(O458:Q475,$B492&amp;" ~*")&gt;0)+(IFERROR(INDEX(Setup!$G$33:$G$40,MATCH(S492,Setup!$B$33:$B$40,0)),0)=1)*(COUNTIF(S458:U475,$B492)+COUNTIF(S458:U475,$B492&amp;" ~*")&gt;0)+(IFERROR(INDEX(Setup!$G$33:$G$40,MATCH(W492,Setup!$B$33:$B$40,0)),0)=1)*(COUNTIF(W458:W475,$B492)+COUNTIF(W458:W475,$B492&amp;" ~*")&gt;0)+(IFERROR(INDEX(Setup!$G$33:$G$40,MATCH(Y492,Setup!$B$33:$B$40,0)),0)=1)*(COUNTIF(Y458:Y475,$B492)+COUNTIF(Y458:Y475,$B492&amp;" ~*")&gt;0))</f>
        <v/>
      </c>
    </row>
    <row r="493" ht="15" customHeight="1">
      <c r="A493" t="n">
        <v>10</v>
      </c>
      <c r="B493" s="35">
        <f>IF(Setup!$B$22="","",Setup!$B$22)</f>
        <v/>
      </c>
      <c r="C493" s="98" t="n"/>
      <c r="D493" s="99" t="n"/>
      <c r="E493" s="99" t="n"/>
      <c r="F493" s="100" t="n"/>
      <c r="G493" s="98" t="n"/>
      <c r="H493" s="99" t="n"/>
      <c r="I493" s="99" t="n"/>
      <c r="J493" s="100" t="n"/>
      <c r="K493" s="98" t="n"/>
      <c r="L493" s="99" t="n"/>
      <c r="M493" s="99" t="n"/>
      <c r="N493" s="100" t="n"/>
      <c r="O493" s="98" t="n"/>
      <c r="P493" s="99" t="n"/>
      <c r="Q493" s="99" t="n"/>
      <c r="R493" s="100" t="n"/>
      <c r="S493" s="98" t="n"/>
      <c r="T493" s="99" t="n"/>
      <c r="U493" s="99" t="n"/>
      <c r="V493" s="100" t="n"/>
      <c r="W493" s="98" t="n"/>
      <c r="X493" s="100" t="n"/>
      <c r="Y493" s="98" t="n"/>
      <c r="Z493" s="100" t="n"/>
      <c r="AB493" s="101">
        <f>IF($B493="","",(COUNTIF(C458:E475,$B493)+COUNTIF(C458:E475,$B493&amp;" ~*")&gt;0)+(COUNTIF(G458:I475,$B493)+COUNTIF(G458:I475,$B493&amp;" ~*")&gt;0)+(COUNTIF(K458:M475,$B493)+COUNTIF(K458:M475,$B493&amp;" ~*")&gt;0)+(COUNTIF(O458:Q475,$B493)+COUNTIF(O458:Q475,$B493&amp;" ~*")&gt;0)+(COUNTIF(S458:U475,$B493)+COUNTIF(S458:U475,$B493&amp;" ~*")&gt;0)+(COUNTIF(W458:W475,$B493)+COUNTIF(W458:W475,$B493&amp;" ~*")&gt;0)+(COUNTIF(Y458:Y475,$B493)+COUNTIF(Y458:Y475,$B493&amp;" ~*")&gt;0))</f>
        <v/>
      </c>
      <c r="AC493" s="36">
        <f>IF($B493="","",(IFERROR(INDEX(Setup!$G$33:$G$40,MATCH(C493,Setup!$B$33:$B$40,0)),0)=1)*(COUNTIF(C458:E475,$B493)+COUNTIF(C458:E475,$B493&amp;" ~*")&gt;0)+(IFERROR(INDEX(Setup!$G$33:$G$40,MATCH(G493,Setup!$B$33:$B$40,0)),0)=1)*(COUNTIF(G458:I475,$B493)+COUNTIF(G458:I475,$B493&amp;" ~*")&gt;0)+(IFERROR(INDEX(Setup!$G$33:$G$40,MATCH(K493,Setup!$B$33:$B$40,0)),0)=1)*(COUNTIF(K458:M475,$B493)+COUNTIF(K458:M475,$B493&amp;" ~*")&gt;0)+(IFERROR(INDEX(Setup!$G$33:$G$40,MATCH(O493,Setup!$B$33:$B$40,0)),0)=1)*(COUNTIF(O458:Q475,$B493)+COUNTIF(O458:Q475,$B493&amp;" ~*")&gt;0)+(IFERROR(INDEX(Setup!$G$33:$G$40,MATCH(S493,Setup!$B$33:$B$40,0)),0)=1)*(COUNTIF(S458:U475,$B493)+COUNTIF(S458:U475,$B493&amp;" ~*")&gt;0)+(IFERROR(INDEX(Setup!$G$33:$G$40,MATCH(W493,Setup!$B$33:$B$40,0)),0)=1)*(COUNTIF(W458:W475,$B493)+COUNTIF(W458:W475,$B493&amp;" ~*")&gt;0)+(IFERROR(INDEX(Setup!$G$33:$G$40,MATCH(Y493,Setup!$B$33:$B$40,0)),0)=1)*(COUNTIF(Y458:Y475,$B493)+COUNTIF(Y458:Y475,$B493&amp;" ~*")&gt;0))</f>
        <v/>
      </c>
    </row>
    <row r="494" ht="15" customHeight="1">
      <c r="A494" t="n">
        <v>10</v>
      </c>
      <c r="B494" s="37">
        <f>IF(Setup!$B$23="","",Setup!$B$23)</f>
        <v/>
      </c>
      <c r="C494" s="102" t="n"/>
      <c r="D494" s="103" t="n"/>
      <c r="E494" s="103" t="n"/>
      <c r="F494" s="104" t="n"/>
      <c r="G494" s="102" t="n"/>
      <c r="H494" s="103" t="n"/>
      <c r="I494" s="103" t="n"/>
      <c r="J494" s="104" t="n"/>
      <c r="K494" s="102" t="n"/>
      <c r="L494" s="103" t="n"/>
      <c r="M494" s="103" t="n"/>
      <c r="N494" s="104" t="n"/>
      <c r="O494" s="102" t="n"/>
      <c r="P494" s="103" t="n"/>
      <c r="Q494" s="103" t="n"/>
      <c r="R494" s="104" t="n"/>
      <c r="S494" s="102" t="n"/>
      <c r="T494" s="103" t="n"/>
      <c r="U494" s="103" t="n"/>
      <c r="V494" s="104" t="n"/>
      <c r="W494" s="102" t="n"/>
      <c r="X494" s="104" t="n"/>
      <c r="Y494" s="102" t="n"/>
      <c r="Z494" s="104" t="n"/>
      <c r="AB494" s="105">
        <f>IF($B494="","",(COUNTIF(C458:E475,$B494)+COUNTIF(C458:E475,$B494&amp;" ~*")&gt;0)+(COUNTIF(G458:I475,$B494)+COUNTIF(G458:I475,$B494&amp;" ~*")&gt;0)+(COUNTIF(K458:M475,$B494)+COUNTIF(K458:M475,$B494&amp;" ~*")&gt;0)+(COUNTIF(O458:Q475,$B494)+COUNTIF(O458:Q475,$B494&amp;" ~*")&gt;0)+(COUNTIF(S458:U475,$B494)+COUNTIF(S458:U475,$B494&amp;" ~*")&gt;0)+(COUNTIF(W458:W475,$B494)+COUNTIF(W458:W475,$B494&amp;" ~*")&gt;0)+(COUNTIF(Y458:Y475,$B494)+COUNTIF(Y458:Y475,$B494&amp;" ~*")&gt;0))</f>
        <v/>
      </c>
      <c r="AC494" s="38">
        <f>IF($B494="","",(IFERROR(INDEX(Setup!$G$33:$G$40,MATCH(C494,Setup!$B$33:$B$40,0)),0)=1)*(COUNTIF(C458:E475,$B494)+COUNTIF(C458:E475,$B494&amp;" ~*")&gt;0)+(IFERROR(INDEX(Setup!$G$33:$G$40,MATCH(G494,Setup!$B$33:$B$40,0)),0)=1)*(COUNTIF(G458:I475,$B494)+COUNTIF(G458:I475,$B494&amp;" ~*")&gt;0)+(IFERROR(INDEX(Setup!$G$33:$G$40,MATCH(K494,Setup!$B$33:$B$40,0)),0)=1)*(COUNTIF(K458:M475,$B494)+COUNTIF(K458:M475,$B494&amp;" ~*")&gt;0)+(IFERROR(INDEX(Setup!$G$33:$G$40,MATCH(O494,Setup!$B$33:$B$40,0)),0)=1)*(COUNTIF(O458:Q475,$B494)+COUNTIF(O458:Q475,$B494&amp;" ~*")&gt;0)+(IFERROR(INDEX(Setup!$G$33:$G$40,MATCH(S494,Setup!$B$33:$B$40,0)),0)=1)*(COUNTIF(S458:U475,$B494)+COUNTIF(S458:U475,$B494&amp;" ~*")&gt;0)+(IFERROR(INDEX(Setup!$G$33:$G$40,MATCH(W494,Setup!$B$33:$B$40,0)),0)=1)*(COUNTIF(W458:W475,$B494)+COUNTIF(W458:W475,$B494&amp;" ~*")&gt;0)+(IFERROR(INDEX(Setup!$G$33:$G$40,MATCH(Y494,Setup!$B$33:$B$40,0)),0)=1)*(COUNTIF(Y458:Y475,$B494)+COUNTIF(Y458:Y475,$B494&amp;" ~*")&gt;0))</f>
        <v/>
      </c>
    </row>
    <row r="495" ht="15" customHeight="1">
      <c r="A495" t="n">
        <v>10</v>
      </c>
      <c r="B495" s="35">
        <f>IF(Setup!$B$24="","",Setup!$B$24)</f>
        <v/>
      </c>
      <c r="C495" s="98" t="n"/>
      <c r="D495" s="99" t="n"/>
      <c r="E495" s="99" t="n"/>
      <c r="F495" s="100" t="n"/>
      <c r="G495" s="98" t="n"/>
      <c r="H495" s="99" t="n"/>
      <c r="I495" s="99" t="n"/>
      <c r="J495" s="100" t="n"/>
      <c r="K495" s="98" t="n"/>
      <c r="L495" s="99" t="n"/>
      <c r="M495" s="99" t="n"/>
      <c r="N495" s="100" t="n"/>
      <c r="O495" s="98" t="n"/>
      <c r="P495" s="99" t="n"/>
      <c r="Q495" s="99" t="n"/>
      <c r="R495" s="100" t="n"/>
      <c r="S495" s="98" t="n"/>
      <c r="T495" s="99" t="n"/>
      <c r="U495" s="99" t="n"/>
      <c r="V495" s="100" t="n"/>
      <c r="W495" s="98" t="n"/>
      <c r="X495" s="100" t="n"/>
      <c r="Y495" s="98" t="n"/>
      <c r="Z495" s="100" t="n"/>
      <c r="AB495" s="101">
        <f>IF($B495="","",(COUNTIF(C458:E475,$B495)+COUNTIF(C458:E475,$B495&amp;" ~*")&gt;0)+(COUNTIF(G458:I475,$B495)+COUNTIF(G458:I475,$B495&amp;" ~*")&gt;0)+(COUNTIF(K458:M475,$B495)+COUNTIF(K458:M475,$B495&amp;" ~*")&gt;0)+(COUNTIF(O458:Q475,$B495)+COUNTIF(O458:Q475,$B495&amp;" ~*")&gt;0)+(COUNTIF(S458:U475,$B495)+COUNTIF(S458:U475,$B495&amp;" ~*")&gt;0)+(COUNTIF(W458:W475,$B495)+COUNTIF(W458:W475,$B495&amp;" ~*")&gt;0)+(COUNTIF(Y458:Y475,$B495)+COUNTIF(Y458:Y475,$B495&amp;" ~*")&gt;0))</f>
        <v/>
      </c>
      <c r="AC495" s="36">
        <f>IF($B495="","",(IFERROR(INDEX(Setup!$G$33:$G$40,MATCH(C495,Setup!$B$33:$B$40,0)),0)=1)*(COUNTIF(C458:E475,$B495)+COUNTIF(C458:E475,$B495&amp;" ~*")&gt;0)+(IFERROR(INDEX(Setup!$G$33:$G$40,MATCH(G495,Setup!$B$33:$B$40,0)),0)=1)*(COUNTIF(G458:I475,$B495)+COUNTIF(G458:I475,$B495&amp;" ~*")&gt;0)+(IFERROR(INDEX(Setup!$G$33:$G$40,MATCH(K495,Setup!$B$33:$B$40,0)),0)=1)*(COUNTIF(K458:M475,$B495)+COUNTIF(K458:M475,$B495&amp;" ~*")&gt;0)+(IFERROR(INDEX(Setup!$G$33:$G$40,MATCH(O495,Setup!$B$33:$B$40,0)),0)=1)*(COUNTIF(O458:Q475,$B495)+COUNTIF(O458:Q475,$B495&amp;" ~*")&gt;0)+(IFERROR(INDEX(Setup!$G$33:$G$40,MATCH(S495,Setup!$B$33:$B$40,0)),0)=1)*(COUNTIF(S458:U475,$B495)+COUNTIF(S458:U475,$B495&amp;" ~*")&gt;0)+(IFERROR(INDEX(Setup!$G$33:$G$40,MATCH(W495,Setup!$B$33:$B$40,0)),0)=1)*(COUNTIF(W458:W475,$B495)+COUNTIF(W458:W475,$B495&amp;" ~*")&gt;0)+(IFERROR(INDEX(Setup!$G$33:$G$40,MATCH(Y495,Setup!$B$33:$B$40,0)),0)=1)*(COUNTIF(Y458:Y475,$B495)+COUNTIF(Y458:Y475,$B495&amp;" ~*")&gt;0))</f>
        <v/>
      </c>
    </row>
    <row r="496" ht="15" customHeight="1">
      <c r="A496" t="n">
        <v>10</v>
      </c>
      <c r="B496" s="37">
        <f>IF(Setup!$B$25="","",Setup!$B$25)</f>
        <v/>
      </c>
      <c r="C496" s="102" t="n"/>
      <c r="D496" s="103" t="n"/>
      <c r="E496" s="103" t="n"/>
      <c r="F496" s="104" t="n"/>
      <c r="G496" s="102" t="n"/>
      <c r="H496" s="103" t="n"/>
      <c r="I496" s="103" t="n"/>
      <c r="J496" s="104" t="n"/>
      <c r="K496" s="102" t="n"/>
      <c r="L496" s="103" t="n"/>
      <c r="M496" s="103" t="n"/>
      <c r="N496" s="104" t="n"/>
      <c r="O496" s="102" t="n"/>
      <c r="P496" s="103" t="n"/>
      <c r="Q496" s="103" t="n"/>
      <c r="R496" s="104" t="n"/>
      <c r="S496" s="102" t="n"/>
      <c r="T496" s="103" t="n"/>
      <c r="U496" s="103" t="n"/>
      <c r="V496" s="104" t="n"/>
      <c r="W496" s="102" t="n"/>
      <c r="X496" s="104" t="n"/>
      <c r="Y496" s="102" t="n"/>
      <c r="Z496" s="104" t="n"/>
      <c r="AB496" s="105">
        <f>IF($B496="","",(COUNTIF(C458:E475,$B496)+COUNTIF(C458:E475,$B496&amp;" ~*")&gt;0)+(COUNTIF(G458:I475,$B496)+COUNTIF(G458:I475,$B496&amp;" ~*")&gt;0)+(COUNTIF(K458:M475,$B496)+COUNTIF(K458:M475,$B496&amp;" ~*")&gt;0)+(COUNTIF(O458:Q475,$B496)+COUNTIF(O458:Q475,$B496&amp;" ~*")&gt;0)+(COUNTIF(S458:U475,$B496)+COUNTIF(S458:U475,$B496&amp;" ~*")&gt;0)+(COUNTIF(W458:W475,$B496)+COUNTIF(W458:W475,$B496&amp;" ~*")&gt;0)+(COUNTIF(Y458:Y475,$B496)+COUNTIF(Y458:Y475,$B496&amp;" ~*")&gt;0))</f>
        <v/>
      </c>
      <c r="AC496" s="38">
        <f>IF($B496="","",(IFERROR(INDEX(Setup!$G$33:$G$40,MATCH(C496,Setup!$B$33:$B$40,0)),0)=1)*(COUNTIF(C458:E475,$B496)+COUNTIF(C458:E475,$B496&amp;" ~*")&gt;0)+(IFERROR(INDEX(Setup!$G$33:$G$40,MATCH(G496,Setup!$B$33:$B$40,0)),0)=1)*(COUNTIF(G458:I475,$B496)+COUNTIF(G458:I475,$B496&amp;" ~*")&gt;0)+(IFERROR(INDEX(Setup!$G$33:$G$40,MATCH(K496,Setup!$B$33:$B$40,0)),0)=1)*(COUNTIF(K458:M475,$B496)+COUNTIF(K458:M475,$B496&amp;" ~*")&gt;0)+(IFERROR(INDEX(Setup!$G$33:$G$40,MATCH(O496,Setup!$B$33:$B$40,0)),0)=1)*(COUNTIF(O458:Q475,$B496)+COUNTIF(O458:Q475,$B496&amp;" ~*")&gt;0)+(IFERROR(INDEX(Setup!$G$33:$G$40,MATCH(S496,Setup!$B$33:$B$40,0)),0)=1)*(COUNTIF(S458:U475,$B496)+COUNTIF(S458:U475,$B496&amp;" ~*")&gt;0)+(IFERROR(INDEX(Setup!$G$33:$G$40,MATCH(W496,Setup!$B$33:$B$40,0)),0)=1)*(COUNTIF(W458:W475,$B496)+COUNTIF(W458:W475,$B496&amp;" ~*")&gt;0)+(IFERROR(INDEX(Setup!$G$33:$G$40,MATCH(Y496,Setup!$B$33:$B$40,0)),0)=1)*(COUNTIF(Y458:Y475,$B496)+COUNTIF(Y458:Y475,$B496&amp;" ~*")&gt;0))</f>
        <v/>
      </c>
    </row>
    <row r="497" ht="15" customHeight="1">
      <c r="A497" t="n">
        <v>10</v>
      </c>
      <c r="B497" s="35">
        <f>IF(Setup!$B$26="","",Setup!$B$26)</f>
        <v/>
      </c>
      <c r="C497" s="98" t="n"/>
      <c r="D497" s="99" t="n"/>
      <c r="E497" s="99" t="n"/>
      <c r="F497" s="100" t="n"/>
      <c r="G497" s="98" t="n"/>
      <c r="H497" s="99" t="n"/>
      <c r="I497" s="99" t="n"/>
      <c r="J497" s="100" t="n"/>
      <c r="K497" s="98" t="n"/>
      <c r="L497" s="99" t="n"/>
      <c r="M497" s="99" t="n"/>
      <c r="N497" s="100" t="n"/>
      <c r="O497" s="98" t="n"/>
      <c r="P497" s="99" t="n"/>
      <c r="Q497" s="99" t="n"/>
      <c r="R497" s="100" t="n"/>
      <c r="S497" s="98" t="n"/>
      <c r="T497" s="99" t="n"/>
      <c r="U497" s="99" t="n"/>
      <c r="V497" s="100" t="n"/>
      <c r="W497" s="98" t="n"/>
      <c r="X497" s="100" t="n"/>
      <c r="Y497" s="98" t="n"/>
      <c r="Z497" s="100" t="n"/>
      <c r="AB497" s="101">
        <f>IF($B497="","",(COUNTIF(C458:E475,$B497)+COUNTIF(C458:E475,$B497&amp;" ~*")&gt;0)+(COUNTIF(G458:I475,$B497)+COUNTIF(G458:I475,$B497&amp;" ~*")&gt;0)+(COUNTIF(K458:M475,$B497)+COUNTIF(K458:M475,$B497&amp;" ~*")&gt;0)+(COUNTIF(O458:Q475,$B497)+COUNTIF(O458:Q475,$B497&amp;" ~*")&gt;0)+(COUNTIF(S458:U475,$B497)+COUNTIF(S458:U475,$B497&amp;" ~*")&gt;0)+(COUNTIF(W458:W475,$B497)+COUNTIF(W458:W475,$B497&amp;" ~*")&gt;0)+(COUNTIF(Y458:Y475,$B497)+COUNTIF(Y458:Y475,$B497&amp;" ~*")&gt;0))</f>
        <v/>
      </c>
      <c r="AC497" s="36">
        <f>IF($B497="","",(IFERROR(INDEX(Setup!$G$33:$G$40,MATCH(C497,Setup!$B$33:$B$40,0)),0)=1)*(COUNTIF(C458:E475,$B497)+COUNTIF(C458:E475,$B497&amp;" ~*")&gt;0)+(IFERROR(INDEX(Setup!$G$33:$G$40,MATCH(G497,Setup!$B$33:$B$40,0)),0)=1)*(COUNTIF(G458:I475,$B497)+COUNTIF(G458:I475,$B497&amp;" ~*")&gt;0)+(IFERROR(INDEX(Setup!$G$33:$G$40,MATCH(K497,Setup!$B$33:$B$40,0)),0)=1)*(COUNTIF(K458:M475,$B497)+COUNTIF(K458:M475,$B497&amp;" ~*")&gt;0)+(IFERROR(INDEX(Setup!$G$33:$G$40,MATCH(O497,Setup!$B$33:$B$40,0)),0)=1)*(COUNTIF(O458:Q475,$B497)+COUNTIF(O458:Q475,$B497&amp;" ~*")&gt;0)+(IFERROR(INDEX(Setup!$G$33:$G$40,MATCH(S497,Setup!$B$33:$B$40,0)),0)=1)*(COUNTIF(S458:U475,$B497)+COUNTIF(S458:U475,$B497&amp;" ~*")&gt;0)+(IFERROR(INDEX(Setup!$G$33:$G$40,MATCH(W497,Setup!$B$33:$B$40,0)),0)=1)*(COUNTIF(W458:W475,$B497)+COUNTIF(W458:W475,$B497&amp;" ~*")&gt;0)+(IFERROR(INDEX(Setup!$G$33:$G$40,MATCH(Y497,Setup!$B$33:$B$40,0)),0)=1)*(COUNTIF(Y458:Y475,$B497)+COUNTIF(Y458:Y475,$B497&amp;" ~*")&gt;0))</f>
        <v/>
      </c>
    </row>
    <row r="498" ht="15" customHeight="1">
      <c r="A498" t="n">
        <v>10</v>
      </c>
      <c r="B498" s="37">
        <f>IF(Setup!$B$27="","",Setup!$B$27)</f>
        <v/>
      </c>
      <c r="C498" s="102" t="n"/>
      <c r="D498" s="103" t="n"/>
      <c r="E498" s="103" t="n"/>
      <c r="F498" s="104" t="n"/>
      <c r="G498" s="102" t="n"/>
      <c r="H498" s="103" t="n"/>
      <c r="I498" s="103" t="n"/>
      <c r="J498" s="104" t="n"/>
      <c r="K498" s="102" t="n"/>
      <c r="L498" s="103" t="n"/>
      <c r="M498" s="103" t="n"/>
      <c r="N498" s="104" t="n"/>
      <c r="O498" s="102" t="n"/>
      <c r="P498" s="103" t="n"/>
      <c r="Q498" s="103" t="n"/>
      <c r="R498" s="104" t="n"/>
      <c r="S498" s="102" t="n"/>
      <c r="T498" s="103" t="n"/>
      <c r="U498" s="103" t="n"/>
      <c r="V498" s="104" t="n"/>
      <c r="W498" s="102" t="n"/>
      <c r="X498" s="104" t="n"/>
      <c r="Y498" s="102" t="n"/>
      <c r="Z498" s="104" t="n"/>
      <c r="AB498" s="105">
        <f>IF($B498="","",(COUNTIF(C458:E475,$B498)+COUNTIF(C458:E475,$B498&amp;" ~*")&gt;0)+(COUNTIF(G458:I475,$B498)+COUNTIF(G458:I475,$B498&amp;" ~*")&gt;0)+(COUNTIF(K458:M475,$B498)+COUNTIF(K458:M475,$B498&amp;" ~*")&gt;0)+(COUNTIF(O458:Q475,$B498)+COUNTIF(O458:Q475,$B498&amp;" ~*")&gt;0)+(COUNTIF(S458:U475,$B498)+COUNTIF(S458:U475,$B498&amp;" ~*")&gt;0)+(COUNTIF(W458:W475,$B498)+COUNTIF(W458:W475,$B498&amp;" ~*")&gt;0)+(COUNTIF(Y458:Y475,$B498)+COUNTIF(Y458:Y475,$B498&amp;" ~*")&gt;0))</f>
        <v/>
      </c>
      <c r="AC498" s="38">
        <f>IF($B498="","",(IFERROR(INDEX(Setup!$G$33:$G$40,MATCH(C498,Setup!$B$33:$B$40,0)),0)=1)*(COUNTIF(C458:E475,$B498)+COUNTIF(C458:E475,$B498&amp;" ~*")&gt;0)+(IFERROR(INDEX(Setup!$G$33:$G$40,MATCH(G498,Setup!$B$33:$B$40,0)),0)=1)*(COUNTIF(G458:I475,$B498)+COUNTIF(G458:I475,$B498&amp;" ~*")&gt;0)+(IFERROR(INDEX(Setup!$G$33:$G$40,MATCH(K498,Setup!$B$33:$B$40,0)),0)=1)*(COUNTIF(K458:M475,$B498)+COUNTIF(K458:M475,$B498&amp;" ~*")&gt;0)+(IFERROR(INDEX(Setup!$G$33:$G$40,MATCH(O498,Setup!$B$33:$B$40,0)),0)=1)*(COUNTIF(O458:Q475,$B498)+COUNTIF(O458:Q475,$B498&amp;" ~*")&gt;0)+(IFERROR(INDEX(Setup!$G$33:$G$40,MATCH(S498,Setup!$B$33:$B$40,0)),0)=1)*(COUNTIF(S458:U475,$B498)+COUNTIF(S458:U475,$B498&amp;" ~*")&gt;0)+(IFERROR(INDEX(Setup!$G$33:$G$40,MATCH(W498,Setup!$B$33:$B$40,0)),0)=1)*(COUNTIF(W458:W475,$B498)+COUNTIF(W458:W475,$B498&amp;" ~*")&gt;0)+(IFERROR(INDEX(Setup!$G$33:$G$40,MATCH(Y498,Setup!$B$33:$B$40,0)),0)=1)*(COUNTIF(Y458:Y475,$B498)+COUNTIF(Y458:Y475,$B498&amp;" ~*")&gt;0))</f>
        <v/>
      </c>
    </row>
    <row r="499" ht="15" customHeight="1">
      <c r="A499" t="n">
        <v>10</v>
      </c>
      <c r="B499" s="35">
        <f>IF(Setup!$B$28="","",Setup!$B$28)</f>
        <v/>
      </c>
      <c r="C499" s="98" t="n"/>
      <c r="D499" s="99" t="n"/>
      <c r="E499" s="99" t="n"/>
      <c r="F499" s="100" t="n"/>
      <c r="G499" s="98" t="n"/>
      <c r="H499" s="99" t="n"/>
      <c r="I499" s="99" t="n"/>
      <c r="J499" s="100" t="n"/>
      <c r="K499" s="98" t="n"/>
      <c r="L499" s="99" t="n"/>
      <c r="M499" s="99" t="n"/>
      <c r="N499" s="100" t="n"/>
      <c r="O499" s="98" t="n"/>
      <c r="P499" s="99" t="n"/>
      <c r="Q499" s="99" t="n"/>
      <c r="R499" s="100" t="n"/>
      <c r="S499" s="98" t="n"/>
      <c r="T499" s="99" t="n"/>
      <c r="U499" s="99" t="n"/>
      <c r="V499" s="100" t="n"/>
      <c r="W499" s="98" t="n"/>
      <c r="X499" s="100" t="n"/>
      <c r="Y499" s="98" t="n"/>
      <c r="Z499" s="100" t="n"/>
      <c r="AB499" s="101">
        <f>IF($B499="","",(COUNTIF(C458:E475,$B499)+COUNTIF(C458:E475,$B499&amp;" ~*")&gt;0)+(COUNTIF(G458:I475,$B499)+COUNTIF(G458:I475,$B499&amp;" ~*")&gt;0)+(COUNTIF(K458:M475,$B499)+COUNTIF(K458:M475,$B499&amp;" ~*")&gt;0)+(COUNTIF(O458:Q475,$B499)+COUNTIF(O458:Q475,$B499&amp;" ~*")&gt;0)+(COUNTIF(S458:U475,$B499)+COUNTIF(S458:U475,$B499&amp;" ~*")&gt;0)+(COUNTIF(W458:W475,$B499)+COUNTIF(W458:W475,$B499&amp;" ~*")&gt;0)+(COUNTIF(Y458:Y475,$B499)+COUNTIF(Y458:Y475,$B499&amp;" ~*")&gt;0))</f>
        <v/>
      </c>
      <c r="AC499" s="36">
        <f>IF($B499="","",(IFERROR(INDEX(Setup!$G$33:$G$40,MATCH(C499,Setup!$B$33:$B$40,0)),0)=1)*(COUNTIF(C458:E475,$B499)+COUNTIF(C458:E475,$B499&amp;" ~*")&gt;0)+(IFERROR(INDEX(Setup!$G$33:$G$40,MATCH(G499,Setup!$B$33:$B$40,0)),0)=1)*(COUNTIF(G458:I475,$B499)+COUNTIF(G458:I475,$B499&amp;" ~*")&gt;0)+(IFERROR(INDEX(Setup!$G$33:$G$40,MATCH(K499,Setup!$B$33:$B$40,0)),0)=1)*(COUNTIF(K458:M475,$B499)+COUNTIF(K458:M475,$B499&amp;" ~*")&gt;0)+(IFERROR(INDEX(Setup!$G$33:$G$40,MATCH(O499,Setup!$B$33:$B$40,0)),0)=1)*(COUNTIF(O458:Q475,$B499)+COUNTIF(O458:Q475,$B499&amp;" ~*")&gt;0)+(IFERROR(INDEX(Setup!$G$33:$G$40,MATCH(S499,Setup!$B$33:$B$40,0)),0)=1)*(COUNTIF(S458:U475,$B499)+COUNTIF(S458:U475,$B499&amp;" ~*")&gt;0)+(IFERROR(INDEX(Setup!$G$33:$G$40,MATCH(W499,Setup!$B$33:$B$40,0)),0)=1)*(COUNTIF(W458:W475,$B499)+COUNTIF(W458:W475,$B499&amp;" ~*")&gt;0)+(IFERROR(INDEX(Setup!$G$33:$G$40,MATCH(Y499,Setup!$B$33:$B$40,0)),0)=1)*(COUNTIF(Y458:Y475,$B499)+COUNTIF(Y458:Y475,$B499&amp;" ~*")&gt;0))</f>
        <v/>
      </c>
    </row>
    <row r="500" ht="15" customHeight="1">
      <c r="A500" t="n">
        <v>10</v>
      </c>
      <c r="B500" s="37">
        <f>IF(Setup!$B$29="","",Setup!$B$29)</f>
        <v/>
      </c>
      <c r="C500" s="102" t="n"/>
      <c r="D500" s="103" t="n"/>
      <c r="E500" s="103" t="n"/>
      <c r="F500" s="104" t="n"/>
      <c r="G500" s="102" t="n"/>
      <c r="H500" s="103" t="n"/>
      <c r="I500" s="103" t="n"/>
      <c r="J500" s="104" t="n"/>
      <c r="K500" s="102" t="n"/>
      <c r="L500" s="103" t="n"/>
      <c r="M500" s="103" t="n"/>
      <c r="N500" s="104" t="n"/>
      <c r="O500" s="102" t="n"/>
      <c r="P500" s="103" t="n"/>
      <c r="Q500" s="103" t="n"/>
      <c r="R500" s="104" t="n"/>
      <c r="S500" s="102" t="n"/>
      <c r="T500" s="103" t="n"/>
      <c r="U500" s="103" t="n"/>
      <c r="V500" s="104" t="n"/>
      <c r="W500" s="102" t="n"/>
      <c r="X500" s="104" t="n"/>
      <c r="Y500" s="102" t="n"/>
      <c r="Z500" s="104" t="n"/>
      <c r="AB500" s="105">
        <f>IF($B500="","",(COUNTIF(C458:E475,$B500)+COUNTIF(C458:E475,$B500&amp;" ~*")&gt;0)+(COUNTIF(G458:I475,$B500)+COUNTIF(G458:I475,$B500&amp;" ~*")&gt;0)+(COUNTIF(K458:M475,$B500)+COUNTIF(K458:M475,$B500&amp;" ~*")&gt;0)+(COUNTIF(O458:Q475,$B500)+COUNTIF(O458:Q475,$B500&amp;" ~*")&gt;0)+(COUNTIF(S458:U475,$B500)+COUNTIF(S458:U475,$B500&amp;" ~*")&gt;0)+(COUNTIF(W458:W475,$B500)+COUNTIF(W458:W475,$B500&amp;" ~*")&gt;0)+(COUNTIF(Y458:Y475,$B500)+COUNTIF(Y458:Y475,$B500&amp;" ~*")&gt;0))</f>
        <v/>
      </c>
      <c r="AC500" s="38">
        <f>IF($B500="","",(IFERROR(INDEX(Setup!$G$33:$G$40,MATCH(C500,Setup!$B$33:$B$40,0)),0)=1)*(COUNTIF(C458:E475,$B500)+COUNTIF(C458:E475,$B500&amp;" ~*")&gt;0)+(IFERROR(INDEX(Setup!$G$33:$G$40,MATCH(G500,Setup!$B$33:$B$40,0)),0)=1)*(COUNTIF(G458:I475,$B500)+COUNTIF(G458:I475,$B500&amp;" ~*")&gt;0)+(IFERROR(INDEX(Setup!$G$33:$G$40,MATCH(K500,Setup!$B$33:$B$40,0)),0)=1)*(COUNTIF(K458:M475,$B500)+COUNTIF(K458:M475,$B500&amp;" ~*")&gt;0)+(IFERROR(INDEX(Setup!$G$33:$G$40,MATCH(O500,Setup!$B$33:$B$40,0)),0)=1)*(COUNTIF(O458:Q475,$B500)+COUNTIF(O458:Q475,$B500&amp;" ~*")&gt;0)+(IFERROR(INDEX(Setup!$G$33:$G$40,MATCH(S500,Setup!$B$33:$B$40,0)),0)=1)*(COUNTIF(S458:U475,$B500)+COUNTIF(S458:U475,$B500&amp;" ~*")&gt;0)+(IFERROR(INDEX(Setup!$G$33:$G$40,MATCH(W500,Setup!$B$33:$B$40,0)),0)=1)*(COUNTIF(W458:W475,$B500)+COUNTIF(W458:W475,$B500&amp;" ~*")&gt;0)+(IFERROR(INDEX(Setup!$G$33:$G$40,MATCH(Y500,Setup!$B$33:$B$40,0)),0)=1)*(COUNTIF(Y458:Y475,$B500)+COUNTIF(Y458:Y475,$B500&amp;" ~*")&gt;0))</f>
        <v/>
      </c>
    </row>
    <row r="501" ht="16" customHeight="1">
      <c r="A501" t="n">
        <v>10</v>
      </c>
      <c r="B501" s="106" t="inlineStr">
        <is>
          <t>Available people</t>
        </is>
      </c>
      <c r="C501" s="107">
        <f>COUNTIFS(Setup!$E$6:$E$29,"Y",Setup!$B$6:$B$29,"?*")-SUMPRODUCT(COUNTIF(C477:C500,Setup!$F$33:$F$40))</f>
        <v/>
      </c>
      <c r="D501" s="107" t="n"/>
      <c r="E501" s="107" t="n"/>
      <c r="F501" s="107" t="n"/>
      <c r="G501" s="107">
        <f>COUNTIFS(Setup!$E$6:$E$29,"Y",Setup!$B$6:$B$29,"?*")-SUMPRODUCT(COUNTIF(G477:G500,Setup!$F$33:$F$40))</f>
        <v/>
      </c>
      <c r="H501" s="107" t="n"/>
      <c r="I501" s="107" t="n"/>
      <c r="J501" s="107" t="n"/>
      <c r="K501" s="107">
        <f>COUNTIFS(Setup!$E$6:$E$29,"Y",Setup!$B$6:$B$29,"?*")-SUMPRODUCT(COUNTIF(K477:K500,Setup!$F$33:$F$40))</f>
        <v/>
      </c>
      <c r="L501" s="107" t="n"/>
      <c r="M501" s="107" t="n"/>
      <c r="N501" s="107" t="n"/>
      <c r="O501" s="107">
        <f>COUNTIFS(Setup!$E$6:$E$29,"Y",Setup!$B$6:$B$29,"?*")-SUMPRODUCT(COUNTIF(O477:O500,Setup!$F$33:$F$40))</f>
        <v/>
      </c>
      <c r="P501" s="107" t="n"/>
      <c r="Q501" s="107" t="n"/>
      <c r="R501" s="107" t="n"/>
      <c r="S501" s="107">
        <f>COUNTIFS(Setup!$E$6:$E$29,"Y",Setup!$B$6:$B$29,"?*")-SUMPRODUCT(COUNTIF(S477:S500,Setup!$F$33:$F$40))</f>
        <v/>
      </c>
      <c r="T501" s="107" t="n"/>
      <c r="U501" s="107" t="n"/>
      <c r="V501" s="107" t="n"/>
      <c r="W501" s="107">
        <f>COUNTIFS(Setup!$E$6:$E$29,"Y",Setup!$B$6:$B$29,"?*")-SUMPRODUCT(COUNTIF(W477:W500,Setup!$F$33:$F$40))</f>
        <v/>
      </c>
      <c r="X501" s="107" t="n"/>
      <c r="Y501" s="107">
        <f>COUNTIFS(Setup!$E$6:$E$29,"Y",Setup!$B$6:$B$29,"?*")-SUMPRODUCT(COUNTIF(Y477:Y500,Setup!$F$33:$F$40))</f>
        <v/>
      </c>
      <c r="Z501" s="107" t="n"/>
      <c r="AB501" s="108">
        <f>SUM(AB477:AB500)</f>
        <v/>
      </c>
      <c r="AC501" s="109">
        <f>SUM(AC477:AC500)</f>
        <v/>
      </c>
    </row>
    <row r="502" ht="30" customHeight="1">
      <c r="A502" t="n">
        <v>10</v>
      </c>
      <c r="B502" s="110" t="inlineStr">
        <is>
          <t>Week notes</t>
        </is>
      </c>
      <c r="C502" s="111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112" t="n"/>
      <c r="R502" s="112" t="n"/>
      <c r="S502" s="112" t="n"/>
      <c r="T502" s="112" t="n"/>
      <c r="U502" s="112" t="n"/>
      <c r="V502" s="112" t="n"/>
      <c r="W502" s="112" t="n"/>
      <c r="X502" s="112" t="n"/>
      <c r="Y502" s="112" t="n"/>
      <c r="Z502" s="113" t="n"/>
    </row>
    <row r="503" ht="8" customHeight="1">
      <c r="A503" t="n">
        <v>10</v>
      </c>
    </row>
    <row r="504" ht="8" customHeight="1">
      <c r="A504" t="n">
        <v>10</v>
      </c>
    </row>
    <row r="505" ht="24" customHeight="1">
      <c r="A505" t="n">
        <v>11</v>
      </c>
      <c r="B505" s="73">
        <f>"WEEK 11     "&amp;TEXT(C506,"ddd d mmm")&amp;"  –  "&amp;TEXT(C506+6,"ddd d mmm yyyy")</f>
        <v/>
      </c>
      <c r="S505" s="74">
        <f>IF(TODAY()&lt;C506,"FUTURE",IF(TODAY()&gt;C506+6,"PAST","THIS WEEK"))</f>
        <v/>
      </c>
      <c r="W505" s="75">
        <f>IF(AND(Engine!$B$8=$AC$3,Engine!$B$9=$A505),"◀ ACTIVE WEEK","")</f>
        <v/>
      </c>
      <c r="AA505" s="76" t="n"/>
      <c r="AB505" s="77" t="inlineStr">
        <is>
          <t>◀ Prev</t>
        </is>
      </c>
      <c r="AC505" s="77" t="inlineStr">
        <is>
          <t>Next ▶</t>
        </is>
      </c>
    </row>
    <row r="506" ht="18" customHeight="1">
      <c r="A506" t="n">
        <v>11</v>
      </c>
      <c r="B506" s="78" t="inlineStr">
        <is>
          <t>DUTY</t>
        </is>
      </c>
      <c r="C506" s="79">
        <f>$AC$2+7*($A506-1)</f>
        <v/>
      </c>
      <c r="D506" s="80" t="n"/>
      <c r="E506" s="80" t="n"/>
      <c r="F506" s="81" t="n"/>
      <c r="G506" s="79">
        <f>C506+1</f>
        <v/>
      </c>
      <c r="H506" s="80" t="n"/>
      <c r="I506" s="80" t="n"/>
      <c r="J506" s="81" t="n"/>
      <c r="K506" s="79">
        <f>C506+2</f>
        <v/>
      </c>
      <c r="L506" s="80" t="n"/>
      <c r="M506" s="80" t="n"/>
      <c r="N506" s="81" t="n"/>
      <c r="O506" s="79">
        <f>C506+3</f>
        <v/>
      </c>
      <c r="P506" s="80" t="n"/>
      <c r="Q506" s="80" t="n"/>
      <c r="R506" s="81" t="n"/>
      <c r="S506" s="79">
        <f>C506+4</f>
        <v/>
      </c>
      <c r="T506" s="80" t="n"/>
      <c r="U506" s="80" t="n"/>
      <c r="V506" s="81" t="n"/>
      <c r="W506" s="82">
        <f>C506+5</f>
        <v/>
      </c>
      <c r="X506" s="83" t="n"/>
      <c r="Y506" s="82">
        <f>C506+6</f>
        <v/>
      </c>
      <c r="Z506" s="83" t="n"/>
      <c r="AB506" s="72" t="inlineStr">
        <is>
          <t>Gaps</t>
        </is>
      </c>
      <c r="AC506" s="72" t="inlineStr">
        <is>
          <t>Cover</t>
        </is>
      </c>
    </row>
    <row r="507" ht="14" customHeight="1">
      <c r="A507" t="n">
        <v>11</v>
      </c>
      <c r="B507" s="84" t="inlineStr">
        <is>
          <t>(from Setup)</t>
        </is>
      </c>
      <c r="C507" s="85" t="inlineStr">
        <is>
          <t>1</t>
        </is>
      </c>
      <c r="D507" s="85" t="inlineStr">
        <is>
          <t>2</t>
        </is>
      </c>
      <c r="E507" s="85" t="inlineStr">
        <is>
          <t>3</t>
        </is>
      </c>
      <c r="F507" s="85" t="inlineStr">
        <is>
          <t>Notes</t>
        </is>
      </c>
      <c r="G507" s="85" t="inlineStr">
        <is>
          <t>1</t>
        </is>
      </c>
      <c r="H507" s="85" t="inlineStr">
        <is>
          <t>2</t>
        </is>
      </c>
      <c r="I507" s="85" t="inlineStr">
        <is>
          <t>3</t>
        </is>
      </c>
      <c r="J507" s="85" t="inlineStr">
        <is>
          <t>Notes</t>
        </is>
      </c>
      <c r="K507" s="85" t="inlineStr">
        <is>
          <t>1</t>
        </is>
      </c>
      <c r="L507" s="85" t="inlineStr">
        <is>
          <t>2</t>
        </is>
      </c>
      <c r="M507" s="85" t="inlineStr">
        <is>
          <t>3</t>
        </is>
      </c>
      <c r="N507" s="85" t="inlineStr">
        <is>
          <t>Notes</t>
        </is>
      </c>
      <c r="O507" s="85" t="inlineStr">
        <is>
          <t>1</t>
        </is>
      </c>
      <c r="P507" s="85" t="inlineStr">
        <is>
          <t>2</t>
        </is>
      </c>
      <c r="Q507" s="85" t="inlineStr">
        <is>
          <t>3</t>
        </is>
      </c>
      <c r="R507" s="85" t="inlineStr">
        <is>
          <t>Notes</t>
        </is>
      </c>
      <c r="S507" s="85" t="inlineStr">
        <is>
          <t>1</t>
        </is>
      </c>
      <c r="T507" s="85" t="inlineStr">
        <is>
          <t>2</t>
        </is>
      </c>
      <c r="U507" s="85" t="inlineStr">
        <is>
          <t>3</t>
        </is>
      </c>
      <c r="V507" s="85" t="inlineStr">
        <is>
          <t>Notes</t>
        </is>
      </c>
      <c r="W507" s="85" t="inlineStr">
        <is>
          <t>Cover</t>
        </is>
      </c>
      <c r="X507" s="85" t="inlineStr">
        <is>
          <t>Notes</t>
        </is>
      </c>
      <c r="Y507" s="85" t="inlineStr">
        <is>
          <t>Cover</t>
        </is>
      </c>
      <c r="Z507" s="85" t="inlineStr">
        <is>
          <t>Notes</t>
        </is>
      </c>
      <c r="AB507" s="86" t="inlineStr">
        <is>
          <t>weekdays short</t>
        </is>
      </c>
      <c r="AC507" s="87" t="inlineStr"/>
    </row>
    <row r="508" ht="17" customHeight="1">
      <c r="A508" t="n">
        <v>11</v>
      </c>
      <c r="B508" s="24">
        <f>IF(Setup!$K$6="","",Setup!$K$6)</f>
        <v/>
      </c>
      <c r="C508" s="88" t="n"/>
      <c r="D508" s="88" t="n"/>
      <c r="E508" s="88" t="n"/>
      <c r="F508" s="89" t="n"/>
      <c r="G508" s="88" t="n"/>
      <c r="H508" s="88" t="n"/>
      <c r="I508" s="88" t="n"/>
      <c r="J508" s="89" t="n"/>
      <c r="K508" s="88" t="n"/>
      <c r="L508" s="88" t="n"/>
      <c r="M508" s="88" t="n"/>
      <c r="N508" s="89" t="n"/>
      <c r="O508" s="88" t="n"/>
      <c r="P508" s="88" t="n"/>
      <c r="Q508" s="88" t="n"/>
      <c r="R508" s="89" t="n"/>
      <c r="S508" s="88" t="n"/>
      <c r="T508" s="88" t="n"/>
      <c r="U508" s="88" t="n"/>
      <c r="V508" s="89" t="n"/>
      <c r="W508" s="88" t="n"/>
      <c r="X508" s="89" t="n"/>
      <c r="Y508" s="88" t="n"/>
      <c r="Z508" s="89" t="n"/>
      <c r="AB508" s="25">
        <f>IF($B508="","",(COUNTIF(C508:E508,"?*")&lt;N(INDEX(Setup!$L$6:$L$23,1)))+(COUNTIF(G508:I508,"?*")&lt;N(INDEX(Setup!$L$6:$L$23,1)))+(COUNTIF(K508:M508,"?*")&lt;N(INDEX(Setup!$L$6:$L$23,1)))+(COUNTIF(O508:Q508,"?*")&lt;N(INDEX(Setup!$L$6:$L$23,1)))+(COUNTIF(S508:U508,"?*")&lt;N(INDEX(Setup!$L$6:$L$23,1)))+((W508="")*(INDEX(Setup!$M$6:$M$23,1)="Y"))+((Y508="")*(INDEX(Setup!$M$6:$M$23,1)="Y")))</f>
        <v/>
      </c>
      <c r="AC508" s="90">
        <f>IF($B508="","",IF(AB508=0,"✓ covered","⚠ "&amp;AB508&amp;IF(AB508=1," gap"," gaps")))</f>
        <v/>
      </c>
    </row>
    <row r="509" ht="17" customHeight="1">
      <c r="A509" t="n">
        <v>11</v>
      </c>
      <c r="B509" s="29">
        <f>IF(Setup!$K$7="","",Setup!$K$7)</f>
        <v/>
      </c>
      <c r="C509" s="88" t="n"/>
      <c r="D509" s="88" t="n"/>
      <c r="E509" s="88" t="n"/>
      <c r="F509" s="89" t="n"/>
      <c r="G509" s="88" t="n"/>
      <c r="H509" s="88" t="n"/>
      <c r="I509" s="88" t="n"/>
      <c r="J509" s="89" t="n"/>
      <c r="K509" s="88" t="n"/>
      <c r="L509" s="88" t="n"/>
      <c r="M509" s="88" t="n"/>
      <c r="N509" s="89" t="n"/>
      <c r="O509" s="88" t="n"/>
      <c r="P509" s="88" t="n"/>
      <c r="Q509" s="88" t="n"/>
      <c r="R509" s="89" t="n"/>
      <c r="S509" s="88" t="n"/>
      <c r="T509" s="88" t="n"/>
      <c r="U509" s="88" t="n"/>
      <c r="V509" s="89" t="n"/>
      <c r="W509" s="88" t="n"/>
      <c r="X509" s="89" t="n"/>
      <c r="Y509" s="88" t="n"/>
      <c r="Z509" s="89" t="n"/>
      <c r="AB509" s="30">
        <f>IF($B509="","",(COUNTIF(C509:E509,"?*")&lt;N(INDEX(Setup!$L$6:$L$23,2)))+(COUNTIF(G509:I509,"?*")&lt;N(INDEX(Setup!$L$6:$L$23,2)))+(COUNTIF(K509:M509,"?*")&lt;N(INDEX(Setup!$L$6:$L$23,2)))+(COUNTIF(O509:Q509,"?*")&lt;N(INDEX(Setup!$L$6:$L$23,2)))+(COUNTIF(S509:U509,"?*")&lt;N(INDEX(Setup!$L$6:$L$23,2)))+((W509="")*(INDEX(Setup!$M$6:$M$23,2)="Y"))+((Y509="")*(INDEX(Setup!$M$6:$M$23,2)="Y")))</f>
        <v/>
      </c>
      <c r="AC509" s="91">
        <f>IF($B509="","",IF(AB509=0,"✓ covered","⚠ "&amp;AB509&amp;IF(AB509=1," gap"," gaps")))</f>
        <v/>
      </c>
    </row>
    <row r="510" ht="17" customHeight="1">
      <c r="A510" t="n">
        <v>11</v>
      </c>
      <c r="B510" s="24">
        <f>IF(Setup!$K$8="","",Setup!$K$8)</f>
        <v/>
      </c>
      <c r="C510" s="88" t="n"/>
      <c r="D510" s="88" t="n"/>
      <c r="E510" s="88" t="n"/>
      <c r="F510" s="89" t="n"/>
      <c r="G510" s="88" t="n"/>
      <c r="H510" s="88" t="n"/>
      <c r="I510" s="88" t="n"/>
      <c r="J510" s="89" t="n"/>
      <c r="K510" s="88" t="n"/>
      <c r="L510" s="88" t="n"/>
      <c r="M510" s="88" t="n"/>
      <c r="N510" s="89" t="n"/>
      <c r="O510" s="88" t="n"/>
      <c r="P510" s="88" t="n"/>
      <c r="Q510" s="88" t="n"/>
      <c r="R510" s="89" t="n"/>
      <c r="S510" s="88" t="n"/>
      <c r="T510" s="88" t="n"/>
      <c r="U510" s="88" t="n"/>
      <c r="V510" s="89" t="n"/>
      <c r="W510" s="88" t="n"/>
      <c r="X510" s="89" t="n"/>
      <c r="Y510" s="88" t="n"/>
      <c r="Z510" s="89" t="n"/>
      <c r="AB510" s="25">
        <f>IF($B510="","",(COUNTIF(C510:E510,"?*")&lt;N(INDEX(Setup!$L$6:$L$23,3)))+(COUNTIF(G510:I510,"?*")&lt;N(INDEX(Setup!$L$6:$L$23,3)))+(COUNTIF(K510:M510,"?*")&lt;N(INDEX(Setup!$L$6:$L$23,3)))+(COUNTIF(O510:Q510,"?*")&lt;N(INDEX(Setup!$L$6:$L$23,3)))+(COUNTIF(S510:U510,"?*")&lt;N(INDEX(Setup!$L$6:$L$23,3)))+((W510="")*(INDEX(Setup!$M$6:$M$23,3)="Y"))+((Y510="")*(INDEX(Setup!$M$6:$M$23,3)="Y")))</f>
        <v/>
      </c>
      <c r="AC510" s="90">
        <f>IF($B510="","",IF(AB510=0,"✓ covered","⚠ "&amp;AB510&amp;IF(AB510=1," gap"," gaps")))</f>
        <v/>
      </c>
    </row>
    <row r="511" ht="17" customHeight="1">
      <c r="A511" t="n">
        <v>11</v>
      </c>
      <c r="B511" s="29">
        <f>IF(Setup!$K$9="","",Setup!$K$9)</f>
        <v/>
      </c>
      <c r="C511" s="88" t="n"/>
      <c r="D511" s="88" t="n"/>
      <c r="E511" s="88" t="n"/>
      <c r="F511" s="89" t="n"/>
      <c r="G511" s="88" t="n"/>
      <c r="H511" s="88" t="n"/>
      <c r="I511" s="88" t="n"/>
      <c r="J511" s="89" t="n"/>
      <c r="K511" s="88" t="n"/>
      <c r="L511" s="88" t="n"/>
      <c r="M511" s="88" t="n"/>
      <c r="N511" s="89" t="n"/>
      <c r="O511" s="88" t="n"/>
      <c r="P511" s="88" t="n"/>
      <c r="Q511" s="88" t="n"/>
      <c r="R511" s="89" t="n"/>
      <c r="S511" s="88" t="n"/>
      <c r="T511" s="88" t="n"/>
      <c r="U511" s="88" t="n"/>
      <c r="V511" s="89" t="n"/>
      <c r="W511" s="88" t="n"/>
      <c r="X511" s="89" t="n"/>
      <c r="Y511" s="88" t="n"/>
      <c r="Z511" s="89" t="n"/>
      <c r="AB511" s="30">
        <f>IF($B511="","",(COUNTIF(C511:E511,"?*")&lt;N(INDEX(Setup!$L$6:$L$23,4)))+(COUNTIF(G511:I511,"?*")&lt;N(INDEX(Setup!$L$6:$L$23,4)))+(COUNTIF(K511:M511,"?*")&lt;N(INDEX(Setup!$L$6:$L$23,4)))+(COUNTIF(O511:Q511,"?*")&lt;N(INDEX(Setup!$L$6:$L$23,4)))+(COUNTIF(S511:U511,"?*")&lt;N(INDEX(Setup!$L$6:$L$23,4)))+((W511="")*(INDEX(Setup!$M$6:$M$23,4)="Y"))+((Y511="")*(INDEX(Setup!$M$6:$M$23,4)="Y")))</f>
        <v/>
      </c>
      <c r="AC511" s="91">
        <f>IF($B511="","",IF(AB511=0,"✓ covered","⚠ "&amp;AB511&amp;IF(AB511=1," gap"," gaps")))</f>
        <v/>
      </c>
    </row>
    <row r="512" ht="17" customHeight="1">
      <c r="A512" t="n">
        <v>11</v>
      </c>
      <c r="B512" s="24">
        <f>IF(Setup!$K$10="","",Setup!$K$10)</f>
        <v/>
      </c>
      <c r="C512" s="88" t="n"/>
      <c r="D512" s="88" t="n"/>
      <c r="E512" s="88" t="n"/>
      <c r="F512" s="89" t="n"/>
      <c r="G512" s="88" t="n"/>
      <c r="H512" s="88" t="n"/>
      <c r="I512" s="88" t="n"/>
      <c r="J512" s="89" t="n"/>
      <c r="K512" s="88" t="n"/>
      <c r="L512" s="88" t="n"/>
      <c r="M512" s="88" t="n"/>
      <c r="N512" s="89" t="n"/>
      <c r="O512" s="88" t="n"/>
      <c r="P512" s="88" t="n"/>
      <c r="Q512" s="88" t="n"/>
      <c r="R512" s="89" t="n"/>
      <c r="S512" s="88" t="n"/>
      <c r="T512" s="88" t="n"/>
      <c r="U512" s="88" t="n"/>
      <c r="V512" s="89" t="n"/>
      <c r="W512" s="88" t="n"/>
      <c r="X512" s="89" t="n"/>
      <c r="Y512" s="88" t="n"/>
      <c r="Z512" s="89" t="n"/>
      <c r="AB512" s="25">
        <f>IF($B512="","",(COUNTIF(C512:E512,"?*")&lt;N(INDEX(Setup!$L$6:$L$23,5)))+(COUNTIF(G512:I512,"?*")&lt;N(INDEX(Setup!$L$6:$L$23,5)))+(COUNTIF(K512:M512,"?*")&lt;N(INDEX(Setup!$L$6:$L$23,5)))+(COUNTIF(O512:Q512,"?*")&lt;N(INDEX(Setup!$L$6:$L$23,5)))+(COUNTIF(S512:U512,"?*")&lt;N(INDEX(Setup!$L$6:$L$23,5)))+((W512="")*(INDEX(Setup!$M$6:$M$23,5)="Y"))+((Y512="")*(INDEX(Setup!$M$6:$M$23,5)="Y")))</f>
        <v/>
      </c>
      <c r="AC512" s="90">
        <f>IF($B512="","",IF(AB512=0,"✓ covered","⚠ "&amp;AB512&amp;IF(AB512=1," gap"," gaps")))</f>
        <v/>
      </c>
    </row>
    <row r="513" ht="17" customHeight="1">
      <c r="A513" t="n">
        <v>11</v>
      </c>
      <c r="B513" s="29">
        <f>IF(Setup!$K$11="","",Setup!$K$11)</f>
        <v/>
      </c>
      <c r="C513" s="88" t="n"/>
      <c r="D513" s="88" t="n"/>
      <c r="E513" s="88" t="n"/>
      <c r="F513" s="89" t="n"/>
      <c r="G513" s="88" t="n"/>
      <c r="H513" s="88" t="n"/>
      <c r="I513" s="88" t="n"/>
      <c r="J513" s="89" t="n"/>
      <c r="K513" s="88" t="n"/>
      <c r="L513" s="88" t="n"/>
      <c r="M513" s="88" t="n"/>
      <c r="N513" s="89" t="n"/>
      <c r="O513" s="88" t="n"/>
      <c r="P513" s="88" t="n"/>
      <c r="Q513" s="88" t="n"/>
      <c r="R513" s="89" t="n"/>
      <c r="S513" s="88" t="n"/>
      <c r="T513" s="88" t="n"/>
      <c r="U513" s="88" t="n"/>
      <c r="V513" s="89" t="n"/>
      <c r="W513" s="88" t="n"/>
      <c r="X513" s="89" t="n"/>
      <c r="Y513" s="88" t="n"/>
      <c r="Z513" s="89" t="n"/>
      <c r="AB513" s="30">
        <f>IF($B513="","",(COUNTIF(C513:E513,"?*")&lt;N(INDEX(Setup!$L$6:$L$23,6)))+(COUNTIF(G513:I513,"?*")&lt;N(INDEX(Setup!$L$6:$L$23,6)))+(COUNTIF(K513:M513,"?*")&lt;N(INDEX(Setup!$L$6:$L$23,6)))+(COUNTIF(O513:Q513,"?*")&lt;N(INDEX(Setup!$L$6:$L$23,6)))+(COUNTIF(S513:U513,"?*")&lt;N(INDEX(Setup!$L$6:$L$23,6)))+((W513="")*(INDEX(Setup!$M$6:$M$23,6)="Y"))+((Y513="")*(INDEX(Setup!$M$6:$M$23,6)="Y")))</f>
        <v/>
      </c>
      <c r="AC513" s="91">
        <f>IF($B513="","",IF(AB513=0,"✓ covered","⚠ "&amp;AB513&amp;IF(AB513=1," gap"," gaps")))</f>
        <v/>
      </c>
    </row>
    <row r="514" ht="17" customHeight="1">
      <c r="A514" t="n">
        <v>11</v>
      </c>
      <c r="B514" s="24">
        <f>IF(Setup!$K$12="","",Setup!$K$12)</f>
        <v/>
      </c>
      <c r="C514" s="88" t="n"/>
      <c r="D514" s="88" t="n"/>
      <c r="E514" s="88" t="n"/>
      <c r="F514" s="89" t="n"/>
      <c r="G514" s="88" t="n"/>
      <c r="H514" s="88" t="n"/>
      <c r="I514" s="88" t="n"/>
      <c r="J514" s="89" t="n"/>
      <c r="K514" s="88" t="n"/>
      <c r="L514" s="88" t="n"/>
      <c r="M514" s="88" t="n"/>
      <c r="N514" s="89" t="n"/>
      <c r="O514" s="88" t="n"/>
      <c r="P514" s="88" t="n"/>
      <c r="Q514" s="88" t="n"/>
      <c r="R514" s="89" t="n"/>
      <c r="S514" s="88" t="n"/>
      <c r="T514" s="88" t="n"/>
      <c r="U514" s="88" t="n"/>
      <c r="V514" s="89" t="n"/>
      <c r="W514" s="88" t="n"/>
      <c r="X514" s="89" t="n"/>
      <c r="Y514" s="88" t="n"/>
      <c r="Z514" s="89" t="n"/>
      <c r="AB514" s="25">
        <f>IF($B514="","",(COUNTIF(C514:E514,"?*")&lt;N(INDEX(Setup!$L$6:$L$23,7)))+(COUNTIF(G514:I514,"?*")&lt;N(INDEX(Setup!$L$6:$L$23,7)))+(COUNTIF(K514:M514,"?*")&lt;N(INDEX(Setup!$L$6:$L$23,7)))+(COUNTIF(O514:Q514,"?*")&lt;N(INDEX(Setup!$L$6:$L$23,7)))+(COUNTIF(S514:U514,"?*")&lt;N(INDEX(Setup!$L$6:$L$23,7)))+((W514="")*(INDEX(Setup!$M$6:$M$23,7)="Y"))+((Y514="")*(INDEX(Setup!$M$6:$M$23,7)="Y")))</f>
        <v/>
      </c>
      <c r="AC514" s="90">
        <f>IF($B514="","",IF(AB514=0,"✓ covered","⚠ "&amp;AB514&amp;IF(AB514=1," gap"," gaps")))</f>
        <v/>
      </c>
    </row>
    <row r="515" ht="17" customHeight="1">
      <c r="A515" t="n">
        <v>11</v>
      </c>
      <c r="B515" s="29">
        <f>IF(Setup!$K$13="","",Setup!$K$13)</f>
        <v/>
      </c>
      <c r="C515" s="88" t="n"/>
      <c r="D515" s="88" t="n"/>
      <c r="E515" s="88" t="n"/>
      <c r="F515" s="89" t="n"/>
      <c r="G515" s="88" t="n"/>
      <c r="H515" s="88" t="n"/>
      <c r="I515" s="88" t="n"/>
      <c r="J515" s="89" t="n"/>
      <c r="K515" s="88" t="n"/>
      <c r="L515" s="88" t="n"/>
      <c r="M515" s="88" t="n"/>
      <c r="N515" s="89" t="n"/>
      <c r="O515" s="88" t="n"/>
      <c r="P515" s="88" t="n"/>
      <c r="Q515" s="88" t="n"/>
      <c r="R515" s="89" t="n"/>
      <c r="S515" s="88" t="n"/>
      <c r="T515" s="88" t="n"/>
      <c r="U515" s="88" t="n"/>
      <c r="V515" s="89" t="n"/>
      <c r="W515" s="88" t="n"/>
      <c r="X515" s="89" t="n"/>
      <c r="Y515" s="88" t="n"/>
      <c r="Z515" s="89" t="n"/>
      <c r="AB515" s="30">
        <f>IF($B515="","",(COUNTIF(C515:E515,"?*")&lt;N(INDEX(Setup!$L$6:$L$23,8)))+(COUNTIF(G515:I515,"?*")&lt;N(INDEX(Setup!$L$6:$L$23,8)))+(COUNTIF(K515:M515,"?*")&lt;N(INDEX(Setup!$L$6:$L$23,8)))+(COUNTIF(O515:Q515,"?*")&lt;N(INDEX(Setup!$L$6:$L$23,8)))+(COUNTIF(S515:U515,"?*")&lt;N(INDEX(Setup!$L$6:$L$23,8)))+((W515="")*(INDEX(Setup!$M$6:$M$23,8)="Y"))+((Y515="")*(INDEX(Setup!$M$6:$M$23,8)="Y")))</f>
        <v/>
      </c>
      <c r="AC515" s="91">
        <f>IF($B515="","",IF(AB515=0,"✓ covered","⚠ "&amp;AB515&amp;IF(AB515=1," gap"," gaps")))</f>
        <v/>
      </c>
    </row>
    <row r="516" ht="17" customHeight="1">
      <c r="A516" t="n">
        <v>11</v>
      </c>
      <c r="B516" s="24">
        <f>IF(Setup!$K$14="","",Setup!$K$14)</f>
        <v/>
      </c>
      <c r="C516" s="88" t="n"/>
      <c r="D516" s="88" t="n"/>
      <c r="E516" s="88" t="n"/>
      <c r="F516" s="89" t="n"/>
      <c r="G516" s="88" t="n"/>
      <c r="H516" s="88" t="n"/>
      <c r="I516" s="88" t="n"/>
      <c r="J516" s="89" t="n"/>
      <c r="K516" s="88" t="n"/>
      <c r="L516" s="88" t="n"/>
      <c r="M516" s="88" t="n"/>
      <c r="N516" s="89" t="n"/>
      <c r="O516" s="88" t="n"/>
      <c r="P516" s="88" t="n"/>
      <c r="Q516" s="88" t="n"/>
      <c r="R516" s="89" t="n"/>
      <c r="S516" s="88" t="n"/>
      <c r="T516" s="88" t="n"/>
      <c r="U516" s="88" t="n"/>
      <c r="V516" s="89" t="n"/>
      <c r="W516" s="88" t="n"/>
      <c r="X516" s="89" t="n"/>
      <c r="Y516" s="88" t="n"/>
      <c r="Z516" s="89" t="n"/>
      <c r="AB516" s="25">
        <f>IF($B516="","",(COUNTIF(C516:E516,"?*")&lt;N(INDEX(Setup!$L$6:$L$23,9)))+(COUNTIF(G516:I516,"?*")&lt;N(INDEX(Setup!$L$6:$L$23,9)))+(COUNTIF(K516:M516,"?*")&lt;N(INDEX(Setup!$L$6:$L$23,9)))+(COUNTIF(O516:Q516,"?*")&lt;N(INDEX(Setup!$L$6:$L$23,9)))+(COUNTIF(S516:U516,"?*")&lt;N(INDEX(Setup!$L$6:$L$23,9)))+((W516="")*(INDEX(Setup!$M$6:$M$23,9)="Y"))+((Y516="")*(INDEX(Setup!$M$6:$M$23,9)="Y")))</f>
        <v/>
      </c>
      <c r="AC516" s="90">
        <f>IF($B516="","",IF(AB516=0,"✓ covered","⚠ "&amp;AB516&amp;IF(AB516=1," gap"," gaps")))</f>
        <v/>
      </c>
    </row>
    <row r="517" ht="17" customHeight="1">
      <c r="A517" t="n">
        <v>11</v>
      </c>
      <c r="B517" s="29">
        <f>IF(Setup!$K$15="","",Setup!$K$15)</f>
        <v/>
      </c>
      <c r="C517" s="88" t="n"/>
      <c r="D517" s="88" t="n"/>
      <c r="E517" s="88" t="n"/>
      <c r="F517" s="89" t="n"/>
      <c r="G517" s="88" t="n"/>
      <c r="H517" s="88" t="n"/>
      <c r="I517" s="88" t="n"/>
      <c r="J517" s="89" t="n"/>
      <c r="K517" s="88" t="n"/>
      <c r="L517" s="88" t="n"/>
      <c r="M517" s="88" t="n"/>
      <c r="N517" s="89" t="n"/>
      <c r="O517" s="88" t="n"/>
      <c r="P517" s="88" t="n"/>
      <c r="Q517" s="88" t="n"/>
      <c r="R517" s="89" t="n"/>
      <c r="S517" s="88" t="n"/>
      <c r="T517" s="88" t="n"/>
      <c r="U517" s="88" t="n"/>
      <c r="V517" s="89" t="n"/>
      <c r="W517" s="88" t="n"/>
      <c r="X517" s="89" t="n"/>
      <c r="Y517" s="88" t="n"/>
      <c r="Z517" s="89" t="n"/>
      <c r="AB517" s="30">
        <f>IF($B517="","",(COUNTIF(C517:E517,"?*")&lt;N(INDEX(Setup!$L$6:$L$23,10)))+(COUNTIF(G517:I517,"?*")&lt;N(INDEX(Setup!$L$6:$L$23,10)))+(COUNTIF(K517:M517,"?*")&lt;N(INDEX(Setup!$L$6:$L$23,10)))+(COUNTIF(O517:Q517,"?*")&lt;N(INDEX(Setup!$L$6:$L$23,10)))+(COUNTIF(S517:U517,"?*")&lt;N(INDEX(Setup!$L$6:$L$23,10)))+((W517="")*(INDEX(Setup!$M$6:$M$23,10)="Y"))+((Y517="")*(INDEX(Setup!$M$6:$M$23,10)="Y")))</f>
        <v/>
      </c>
      <c r="AC517" s="91">
        <f>IF($B517="","",IF(AB517=0,"✓ covered","⚠ "&amp;AB517&amp;IF(AB517=1," gap"," gaps")))</f>
        <v/>
      </c>
    </row>
    <row r="518" ht="17" customHeight="1">
      <c r="A518" t="n">
        <v>11</v>
      </c>
      <c r="B518" s="24">
        <f>IF(Setup!$K$16="","",Setup!$K$16)</f>
        <v/>
      </c>
      <c r="C518" s="88" t="n"/>
      <c r="D518" s="88" t="n"/>
      <c r="E518" s="88" t="n"/>
      <c r="F518" s="89" t="n"/>
      <c r="G518" s="88" t="n"/>
      <c r="H518" s="88" t="n"/>
      <c r="I518" s="88" t="n"/>
      <c r="J518" s="89" t="n"/>
      <c r="K518" s="88" t="n"/>
      <c r="L518" s="88" t="n"/>
      <c r="M518" s="88" t="n"/>
      <c r="N518" s="89" t="n"/>
      <c r="O518" s="88" t="n"/>
      <c r="P518" s="88" t="n"/>
      <c r="Q518" s="88" t="n"/>
      <c r="R518" s="89" t="n"/>
      <c r="S518" s="88" t="n"/>
      <c r="T518" s="88" t="n"/>
      <c r="U518" s="88" t="n"/>
      <c r="V518" s="89" t="n"/>
      <c r="W518" s="88" t="n"/>
      <c r="X518" s="89" t="n"/>
      <c r="Y518" s="88" t="n"/>
      <c r="Z518" s="89" t="n"/>
      <c r="AB518" s="25">
        <f>IF($B518="","",(COUNTIF(C518:E518,"?*")&lt;N(INDEX(Setup!$L$6:$L$23,11)))+(COUNTIF(G518:I518,"?*")&lt;N(INDEX(Setup!$L$6:$L$23,11)))+(COUNTIF(K518:M518,"?*")&lt;N(INDEX(Setup!$L$6:$L$23,11)))+(COUNTIF(O518:Q518,"?*")&lt;N(INDEX(Setup!$L$6:$L$23,11)))+(COUNTIF(S518:U518,"?*")&lt;N(INDEX(Setup!$L$6:$L$23,11)))+((W518="")*(INDEX(Setup!$M$6:$M$23,11)="Y"))+((Y518="")*(INDEX(Setup!$M$6:$M$23,11)="Y")))</f>
        <v/>
      </c>
      <c r="AC518" s="90">
        <f>IF($B518="","",IF(AB518=0,"✓ covered","⚠ "&amp;AB518&amp;IF(AB518=1," gap"," gaps")))</f>
        <v/>
      </c>
    </row>
    <row r="519" ht="17" customHeight="1">
      <c r="A519" t="n">
        <v>11</v>
      </c>
      <c r="B519" s="29">
        <f>IF(Setup!$K$17="","",Setup!$K$17)</f>
        <v/>
      </c>
      <c r="C519" s="88" t="n"/>
      <c r="D519" s="88" t="n"/>
      <c r="E519" s="88" t="n"/>
      <c r="F519" s="89" t="n"/>
      <c r="G519" s="88" t="n"/>
      <c r="H519" s="88" t="n"/>
      <c r="I519" s="88" t="n"/>
      <c r="J519" s="89" t="n"/>
      <c r="K519" s="88" t="n"/>
      <c r="L519" s="88" t="n"/>
      <c r="M519" s="88" t="n"/>
      <c r="N519" s="89" t="n"/>
      <c r="O519" s="88" t="n"/>
      <c r="P519" s="88" t="n"/>
      <c r="Q519" s="88" t="n"/>
      <c r="R519" s="89" t="n"/>
      <c r="S519" s="88" t="n"/>
      <c r="T519" s="88" t="n"/>
      <c r="U519" s="88" t="n"/>
      <c r="V519" s="89" t="n"/>
      <c r="W519" s="88" t="n"/>
      <c r="X519" s="89" t="n"/>
      <c r="Y519" s="88" t="n"/>
      <c r="Z519" s="89" t="n"/>
      <c r="AB519" s="30">
        <f>IF($B519="","",(COUNTIF(C519:E519,"?*")&lt;N(INDEX(Setup!$L$6:$L$23,12)))+(COUNTIF(G519:I519,"?*")&lt;N(INDEX(Setup!$L$6:$L$23,12)))+(COUNTIF(K519:M519,"?*")&lt;N(INDEX(Setup!$L$6:$L$23,12)))+(COUNTIF(O519:Q519,"?*")&lt;N(INDEX(Setup!$L$6:$L$23,12)))+(COUNTIF(S519:U519,"?*")&lt;N(INDEX(Setup!$L$6:$L$23,12)))+((W519="")*(INDEX(Setup!$M$6:$M$23,12)="Y"))+((Y519="")*(INDEX(Setup!$M$6:$M$23,12)="Y")))</f>
        <v/>
      </c>
      <c r="AC519" s="91">
        <f>IF($B519="","",IF(AB519=0,"✓ covered","⚠ "&amp;AB519&amp;IF(AB519=1," gap"," gaps")))</f>
        <v/>
      </c>
    </row>
    <row r="520" ht="17" customHeight="1">
      <c r="A520" t="n">
        <v>11</v>
      </c>
      <c r="B520" s="24">
        <f>IF(Setup!$K$18="","",Setup!$K$18)</f>
        <v/>
      </c>
      <c r="C520" s="88" t="n"/>
      <c r="D520" s="88" t="n"/>
      <c r="E520" s="88" t="n"/>
      <c r="F520" s="89" t="n"/>
      <c r="G520" s="88" t="n"/>
      <c r="H520" s="88" t="n"/>
      <c r="I520" s="88" t="n"/>
      <c r="J520" s="89" t="n"/>
      <c r="K520" s="88" t="n"/>
      <c r="L520" s="88" t="n"/>
      <c r="M520" s="88" t="n"/>
      <c r="N520" s="89" t="n"/>
      <c r="O520" s="88" t="n"/>
      <c r="P520" s="88" t="n"/>
      <c r="Q520" s="88" t="n"/>
      <c r="R520" s="89" t="n"/>
      <c r="S520" s="88" t="n"/>
      <c r="T520" s="88" t="n"/>
      <c r="U520" s="88" t="n"/>
      <c r="V520" s="89" t="n"/>
      <c r="W520" s="88" t="n"/>
      <c r="X520" s="89" t="n"/>
      <c r="Y520" s="88" t="n"/>
      <c r="Z520" s="89" t="n"/>
      <c r="AB520" s="25">
        <f>IF($B520="","",(COUNTIF(C520:E520,"?*")&lt;N(INDEX(Setup!$L$6:$L$23,13)))+(COUNTIF(G520:I520,"?*")&lt;N(INDEX(Setup!$L$6:$L$23,13)))+(COUNTIF(K520:M520,"?*")&lt;N(INDEX(Setup!$L$6:$L$23,13)))+(COUNTIF(O520:Q520,"?*")&lt;N(INDEX(Setup!$L$6:$L$23,13)))+(COUNTIF(S520:U520,"?*")&lt;N(INDEX(Setup!$L$6:$L$23,13)))+((W520="")*(INDEX(Setup!$M$6:$M$23,13)="Y"))+((Y520="")*(INDEX(Setup!$M$6:$M$23,13)="Y")))</f>
        <v/>
      </c>
      <c r="AC520" s="90">
        <f>IF($B520="","",IF(AB520=0,"✓ covered","⚠ "&amp;AB520&amp;IF(AB520=1," gap"," gaps")))</f>
        <v/>
      </c>
    </row>
    <row r="521" ht="17" customHeight="1">
      <c r="A521" t="n">
        <v>11</v>
      </c>
      <c r="B521" s="29">
        <f>IF(Setup!$K$19="","",Setup!$K$19)</f>
        <v/>
      </c>
      <c r="C521" s="88" t="n"/>
      <c r="D521" s="88" t="n"/>
      <c r="E521" s="88" t="n"/>
      <c r="F521" s="89" t="n"/>
      <c r="G521" s="88" t="n"/>
      <c r="H521" s="88" t="n"/>
      <c r="I521" s="88" t="n"/>
      <c r="J521" s="89" t="n"/>
      <c r="K521" s="88" t="n"/>
      <c r="L521" s="88" t="n"/>
      <c r="M521" s="88" t="n"/>
      <c r="N521" s="89" t="n"/>
      <c r="O521" s="88" t="n"/>
      <c r="P521" s="88" t="n"/>
      <c r="Q521" s="88" t="n"/>
      <c r="R521" s="89" t="n"/>
      <c r="S521" s="88" t="n"/>
      <c r="T521" s="88" t="n"/>
      <c r="U521" s="88" t="n"/>
      <c r="V521" s="89" t="n"/>
      <c r="W521" s="88" t="n"/>
      <c r="X521" s="89" t="n"/>
      <c r="Y521" s="88" t="n"/>
      <c r="Z521" s="89" t="n"/>
      <c r="AB521" s="30">
        <f>IF($B521="","",(COUNTIF(C521:E521,"?*")&lt;N(INDEX(Setup!$L$6:$L$23,14)))+(COUNTIF(G521:I521,"?*")&lt;N(INDEX(Setup!$L$6:$L$23,14)))+(COUNTIF(K521:M521,"?*")&lt;N(INDEX(Setup!$L$6:$L$23,14)))+(COUNTIF(O521:Q521,"?*")&lt;N(INDEX(Setup!$L$6:$L$23,14)))+(COUNTIF(S521:U521,"?*")&lt;N(INDEX(Setup!$L$6:$L$23,14)))+((W521="")*(INDEX(Setup!$M$6:$M$23,14)="Y"))+((Y521="")*(INDEX(Setup!$M$6:$M$23,14)="Y")))</f>
        <v/>
      </c>
      <c r="AC521" s="91">
        <f>IF($B521="","",IF(AB521=0,"✓ covered","⚠ "&amp;AB521&amp;IF(AB521=1," gap"," gaps")))</f>
        <v/>
      </c>
    </row>
    <row r="522" ht="17" customHeight="1">
      <c r="A522" t="n">
        <v>11</v>
      </c>
      <c r="B522" s="24">
        <f>IF(Setup!$K$20="","",Setup!$K$20)</f>
        <v/>
      </c>
      <c r="C522" s="88" t="n"/>
      <c r="D522" s="88" t="n"/>
      <c r="E522" s="88" t="n"/>
      <c r="F522" s="89" t="n"/>
      <c r="G522" s="88" t="n"/>
      <c r="H522" s="88" t="n"/>
      <c r="I522" s="88" t="n"/>
      <c r="J522" s="89" t="n"/>
      <c r="K522" s="88" t="n"/>
      <c r="L522" s="88" t="n"/>
      <c r="M522" s="88" t="n"/>
      <c r="N522" s="89" t="n"/>
      <c r="O522" s="88" t="n"/>
      <c r="P522" s="88" t="n"/>
      <c r="Q522" s="88" t="n"/>
      <c r="R522" s="89" t="n"/>
      <c r="S522" s="88" t="n"/>
      <c r="T522" s="88" t="n"/>
      <c r="U522" s="88" t="n"/>
      <c r="V522" s="89" t="n"/>
      <c r="W522" s="88" t="n"/>
      <c r="X522" s="89" t="n"/>
      <c r="Y522" s="88" t="n"/>
      <c r="Z522" s="89" t="n"/>
      <c r="AB522" s="25">
        <f>IF($B522="","",(COUNTIF(C522:E522,"?*")&lt;N(INDEX(Setup!$L$6:$L$23,15)))+(COUNTIF(G522:I522,"?*")&lt;N(INDEX(Setup!$L$6:$L$23,15)))+(COUNTIF(K522:M522,"?*")&lt;N(INDEX(Setup!$L$6:$L$23,15)))+(COUNTIF(O522:Q522,"?*")&lt;N(INDEX(Setup!$L$6:$L$23,15)))+(COUNTIF(S522:U522,"?*")&lt;N(INDEX(Setup!$L$6:$L$23,15)))+((W522="")*(INDEX(Setup!$M$6:$M$23,15)="Y"))+((Y522="")*(INDEX(Setup!$M$6:$M$23,15)="Y")))</f>
        <v/>
      </c>
      <c r="AC522" s="90">
        <f>IF($B522="","",IF(AB522=0,"✓ covered","⚠ "&amp;AB522&amp;IF(AB522=1," gap"," gaps")))</f>
        <v/>
      </c>
    </row>
    <row r="523" ht="17" customHeight="1">
      <c r="A523" t="n">
        <v>11</v>
      </c>
      <c r="B523" s="29">
        <f>IF(Setup!$K$21="","",Setup!$K$21)</f>
        <v/>
      </c>
      <c r="C523" s="88" t="n"/>
      <c r="D523" s="88" t="n"/>
      <c r="E523" s="88" t="n"/>
      <c r="F523" s="89" t="n"/>
      <c r="G523" s="88" t="n"/>
      <c r="H523" s="88" t="n"/>
      <c r="I523" s="88" t="n"/>
      <c r="J523" s="89" t="n"/>
      <c r="K523" s="88" t="n"/>
      <c r="L523" s="88" t="n"/>
      <c r="M523" s="88" t="n"/>
      <c r="N523" s="89" t="n"/>
      <c r="O523" s="88" t="n"/>
      <c r="P523" s="88" t="n"/>
      <c r="Q523" s="88" t="n"/>
      <c r="R523" s="89" t="n"/>
      <c r="S523" s="88" t="n"/>
      <c r="T523" s="88" t="n"/>
      <c r="U523" s="88" t="n"/>
      <c r="V523" s="89" t="n"/>
      <c r="W523" s="88" t="n"/>
      <c r="X523" s="89" t="n"/>
      <c r="Y523" s="88" t="n"/>
      <c r="Z523" s="89" t="n"/>
      <c r="AB523" s="30">
        <f>IF($B523="","",(COUNTIF(C523:E523,"?*")&lt;N(INDEX(Setup!$L$6:$L$23,16)))+(COUNTIF(G523:I523,"?*")&lt;N(INDEX(Setup!$L$6:$L$23,16)))+(COUNTIF(K523:M523,"?*")&lt;N(INDEX(Setup!$L$6:$L$23,16)))+(COUNTIF(O523:Q523,"?*")&lt;N(INDEX(Setup!$L$6:$L$23,16)))+(COUNTIF(S523:U523,"?*")&lt;N(INDEX(Setup!$L$6:$L$23,16)))+((W523="")*(INDEX(Setup!$M$6:$M$23,16)="Y"))+((Y523="")*(INDEX(Setup!$M$6:$M$23,16)="Y")))</f>
        <v/>
      </c>
      <c r="AC523" s="91">
        <f>IF($B523="","",IF(AB523=0,"✓ covered","⚠ "&amp;AB523&amp;IF(AB523=1," gap"," gaps")))</f>
        <v/>
      </c>
    </row>
    <row r="524" ht="17" customHeight="1">
      <c r="A524" t="n">
        <v>11</v>
      </c>
      <c r="B524" s="24">
        <f>IF(Setup!$K$22="","",Setup!$K$22)</f>
        <v/>
      </c>
      <c r="C524" s="88" t="n"/>
      <c r="D524" s="88" t="n"/>
      <c r="E524" s="88" t="n"/>
      <c r="F524" s="89" t="n"/>
      <c r="G524" s="88" t="n"/>
      <c r="H524" s="88" t="n"/>
      <c r="I524" s="88" t="n"/>
      <c r="J524" s="89" t="n"/>
      <c r="K524" s="88" t="n"/>
      <c r="L524" s="88" t="n"/>
      <c r="M524" s="88" t="n"/>
      <c r="N524" s="89" t="n"/>
      <c r="O524" s="88" t="n"/>
      <c r="P524" s="88" t="n"/>
      <c r="Q524" s="88" t="n"/>
      <c r="R524" s="89" t="n"/>
      <c r="S524" s="88" t="n"/>
      <c r="T524" s="88" t="n"/>
      <c r="U524" s="88" t="n"/>
      <c r="V524" s="89" t="n"/>
      <c r="W524" s="88" t="n"/>
      <c r="X524" s="89" t="n"/>
      <c r="Y524" s="88" t="n"/>
      <c r="Z524" s="89" t="n"/>
      <c r="AB524" s="25">
        <f>IF($B524="","",(COUNTIF(C524:E524,"?*")&lt;N(INDEX(Setup!$L$6:$L$23,17)))+(COUNTIF(G524:I524,"?*")&lt;N(INDEX(Setup!$L$6:$L$23,17)))+(COUNTIF(K524:M524,"?*")&lt;N(INDEX(Setup!$L$6:$L$23,17)))+(COUNTIF(O524:Q524,"?*")&lt;N(INDEX(Setup!$L$6:$L$23,17)))+(COUNTIF(S524:U524,"?*")&lt;N(INDEX(Setup!$L$6:$L$23,17)))+((W524="")*(INDEX(Setup!$M$6:$M$23,17)="Y"))+((Y524="")*(INDEX(Setup!$M$6:$M$23,17)="Y")))</f>
        <v/>
      </c>
      <c r="AC524" s="90">
        <f>IF($B524="","",IF(AB524=0,"✓ covered","⚠ "&amp;AB524&amp;IF(AB524=1," gap"," gaps")))</f>
        <v/>
      </c>
    </row>
    <row r="525" ht="17" customHeight="1">
      <c r="A525" t="n">
        <v>11</v>
      </c>
      <c r="B525" s="29">
        <f>IF(Setup!$K$23="","",Setup!$K$23)</f>
        <v/>
      </c>
      <c r="C525" s="88" t="n"/>
      <c r="D525" s="88" t="n"/>
      <c r="E525" s="88" t="n"/>
      <c r="F525" s="89" t="n"/>
      <c r="G525" s="88" t="n"/>
      <c r="H525" s="88" t="n"/>
      <c r="I525" s="88" t="n"/>
      <c r="J525" s="89" t="n"/>
      <c r="K525" s="88" t="n"/>
      <c r="L525" s="88" t="n"/>
      <c r="M525" s="88" t="n"/>
      <c r="N525" s="89" t="n"/>
      <c r="O525" s="88" t="n"/>
      <c r="P525" s="88" t="n"/>
      <c r="Q525" s="88" t="n"/>
      <c r="R525" s="89" t="n"/>
      <c r="S525" s="88" t="n"/>
      <c r="T525" s="88" t="n"/>
      <c r="U525" s="88" t="n"/>
      <c r="V525" s="89" t="n"/>
      <c r="W525" s="88" t="n"/>
      <c r="X525" s="89" t="n"/>
      <c r="Y525" s="88" t="n"/>
      <c r="Z525" s="89" t="n"/>
      <c r="AB525" s="30">
        <f>IF($B525="","",(COUNTIF(C525:E525,"?*")&lt;N(INDEX(Setup!$L$6:$L$23,18)))+(COUNTIF(G525:I525,"?*")&lt;N(INDEX(Setup!$L$6:$L$23,18)))+(COUNTIF(K525:M525,"?*")&lt;N(INDEX(Setup!$L$6:$L$23,18)))+(COUNTIF(O525:Q525,"?*")&lt;N(INDEX(Setup!$L$6:$L$23,18)))+(COUNTIF(S525:U525,"?*")&lt;N(INDEX(Setup!$L$6:$L$23,18)))+((W525="")*(INDEX(Setup!$M$6:$M$23,18)="Y"))+((Y525="")*(INDEX(Setup!$M$6:$M$23,18)="Y")))</f>
        <v/>
      </c>
      <c r="AC525" s="91">
        <f>IF($B525="","",IF(AB525=0,"✓ covered","⚠ "&amp;AB525&amp;IF(AB525=1," gap"," gaps")))</f>
        <v/>
      </c>
    </row>
    <row r="526" ht="18" customHeight="1">
      <c r="A526" t="n">
        <v>11</v>
      </c>
      <c r="B526" s="78" t="inlineStr">
        <is>
          <t>TEAM AVAILABILITY</t>
        </is>
      </c>
      <c r="C526" s="92" t="inlineStr">
        <is>
          <t>Mon</t>
        </is>
      </c>
      <c r="D526" s="93" t="n"/>
      <c r="E526" s="93" t="n"/>
      <c r="F526" s="94" t="n"/>
      <c r="G526" s="92" t="inlineStr">
        <is>
          <t>Tue</t>
        </is>
      </c>
      <c r="H526" s="93" t="n"/>
      <c r="I526" s="93" t="n"/>
      <c r="J526" s="94" t="n"/>
      <c r="K526" s="92" t="inlineStr">
        <is>
          <t>Wed</t>
        </is>
      </c>
      <c r="L526" s="93" t="n"/>
      <c r="M526" s="93" t="n"/>
      <c r="N526" s="94" t="n"/>
      <c r="O526" s="92" t="inlineStr">
        <is>
          <t>Thu</t>
        </is>
      </c>
      <c r="P526" s="93" t="n"/>
      <c r="Q526" s="93" t="n"/>
      <c r="R526" s="94" t="n"/>
      <c r="S526" s="92" t="inlineStr">
        <is>
          <t>Fri</t>
        </is>
      </c>
      <c r="T526" s="93" t="n"/>
      <c r="U526" s="93" t="n"/>
      <c r="V526" s="94" t="n"/>
      <c r="W526" s="95" t="inlineStr">
        <is>
          <t>Sat</t>
        </is>
      </c>
      <c r="X526" s="96" t="n"/>
      <c r="Y526" s="95" t="inlineStr">
        <is>
          <t>Sun</t>
        </is>
      </c>
      <c r="Z526" s="96" t="n"/>
      <c r="AB526" s="97" t="inlineStr">
        <is>
          <t>Days rostered</t>
        </is>
      </c>
      <c r="AC526" s="97" t="inlineStr">
        <is>
          <t>Conflicts</t>
        </is>
      </c>
    </row>
    <row r="527" ht="15" customHeight="1">
      <c r="A527" t="n">
        <v>11</v>
      </c>
      <c r="B527" s="35">
        <f>IF(Setup!$B$6="","",Setup!$B$6)</f>
        <v/>
      </c>
      <c r="C527" s="98" t="n"/>
      <c r="D527" s="99" t="n"/>
      <c r="E527" s="99" t="n"/>
      <c r="F527" s="100" t="n"/>
      <c r="G527" s="98" t="n"/>
      <c r="H527" s="99" t="n"/>
      <c r="I527" s="99" t="n"/>
      <c r="J527" s="100" t="n"/>
      <c r="K527" s="98" t="n"/>
      <c r="L527" s="99" t="n"/>
      <c r="M527" s="99" t="n"/>
      <c r="N527" s="100" t="n"/>
      <c r="O527" s="98" t="n"/>
      <c r="P527" s="99" t="n"/>
      <c r="Q527" s="99" t="n"/>
      <c r="R527" s="100" t="n"/>
      <c r="S527" s="98" t="n"/>
      <c r="T527" s="99" t="n"/>
      <c r="U527" s="99" t="n"/>
      <c r="V527" s="100" t="n"/>
      <c r="W527" s="98" t="n"/>
      <c r="X527" s="100" t="n"/>
      <c r="Y527" s="98" t="n"/>
      <c r="Z527" s="100" t="n"/>
      <c r="AB527" s="101">
        <f>IF($B527="","",(COUNTIF(C508:E525,$B527)+COUNTIF(C508:E525,$B527&amp;" ~*")&gt;0)+(COUNTIF(G508:I525,$B527)+COUNTIF(G508:I525,$B527&amp;" ~*")&gt;0)+(COUNTIF(K508:M525,$B527)+COUNTIF(K508:M525,$B527&amp;" ~*")&gt;0)+(COUNTIF(O508:Q525,$B527)+COUNTIF(O508:Q525,$B527&amp;" ~*")&gt;0)+(COUNTIF(S508:U525,$B527)+COUNTIF(S508:U525,$B527&amp;" ~*")&gt;0)+(COUNTIF(W508:W525,$B527)+COUNTIF(W508:W525,$B527&amp;" ~*")&gt;0)+(COUNTIF(Y508:Y525,$B527)+COUNTIF(Y508:Y525,$B527&amp;" ~*")&gt;0))</f>
        <v/>
      </c>
      <c r="AC527" s="36">
        <f>IF($B527="","",(IFERROR(INDEX(Setup!$G$33:$G$40,MATCH(C527,Setup!$B$33:$B$40,0)),0)=1)*(COUNTIF(C508:E525,$B527)+COUNTIF(C508:E525,$B527&amp;" ~*")&gt;0)+(IFERROR(INDEX(Setup!$G$33:$G$40,MATCH(G527,Setup!$B$33:$B$40,0)),0)=1)*(COUNTIF(G508:I525,$B527)+COUNTIF(G508:I525,$B527&amp;" ~*")&gt;0)+(IFERROR(INDEX(Setup!$G$33:$G$40,MATCH(K527,Setup!$B$33:$B$40,0)),0)=1)*(COUNTIF(K508:M525,$B527)+COUNTIF(K508:M525,$B527&amp;" ~*")&gt;0)+(IFERROR(INDEX(Setup!$G$33:$G$40,MATCH(O527,Setup!$B$33:$B$40,0)),0)=1)*(COUNTIF(O508:Q525,$B527)+COUNTIF(O508:Q525,$B527&amp;" ~*")&gt;0)+(IFERROR(INDEX(Setup!$G$33:$G$40,MATCH(S527,Setup!$B$33:$B$40,0)),0)=1)*(COUNTIF(S508:U525,$B527)+COUNTIF(S508:U525,$B527&amp;" ~*")&gt;0)+(IFERROR(INDEX(Setup!$G$33:$G$40,MATCH(W527,Setup!$B$33:$B$40,0)),0)=1)*(COUNTIF(W508:W525,$B527)+COUNTIF(W508:W525,$B527&amp;" ~*")&gt;0)+(IFERROR(INDEX(Setup!$G$33:$G$40,MATCH(Y527,Setup!$B$33:$B$40,0)),0)=1)*(COUNTIF(Y508:Y525,$B527)+COUNTIF(Y508:Y525,$B527&amp;" ~*")&gt;0))</f>
        <v/>
      </c>
    </row>
    <row r="528" ht="15" customHeight="1">
      <c r="A528" t="n">
        <v>11</v>
      </c>
      <c r="B528" s="37">
        <f>IF(Setup!$B$7="","",Setup!$B$7)</f>
        <v/>
      </c>
      <c r="C528" s="102" t="n"/>
      <c r="D528" s="103" t="n"/>
      <c r="E528" s="103" t="n"/>
      <c r="F528" s="104" t="n"/>
      <c r="G528" s="102" t="n"/>
      <c r="H528" s="103" t="n"/>
      <c r="I528" s="103" t="n"/>
      <c r="J528" s="104" t="n"/>
      <c r="K528" s="102" t="n"/>
      <c r="L528" s="103" t="n"/>
      <c r="M528" s="103" t="n"/>
      <c r="N528" s="104" t="n"/>
      <c r="O528" s="102" t="n"/>
      <c r="P528" s="103" t="n"/>
      <c r="Q528" s="103" t="n"/>
      <c r="R528" s="104" t="n"/>
      <c r="S528" s="102" t="n"/>
      <c r="T528" s="103" t="n"/>
      <c r="U528" s="103" t="n"/>
      <c r="V528" s="104" t="n"/>
      <c r="W528" s="102" t="n"/>
      <c r="X528" s="104" t="n"/>
      <c r="Y528" s="102" t="n"/>
      <c r="Z528" s="104" t="n"/>
      <c r="AB528" s="105">
        <f>IF($B528="","",(COUNTIF(C508:E525,$B528)+COUNTIF(C508:E525,$B528&amp;" ~*")&gt;0)+(COUNTIF(G508:I525,$B528)+COUNTIF(G508:I525,$B528&amp;" ~*")&gt;0)+(COUNTIF(K508:M525,$B528)+COUNTIF(K508:M525,$B528&amp;" ~*")&gt;0)+(COUNTIF(O508:Q525,$B528)+COUNTIF(O508:Q525,$B528&amp;" ~*")&gt;0)+(COUNTIF(S508:U525,$B528)+COUNTIF(S508:U525,$B528&amp;" ~*")&gt;0)+(COUNTIF(W508:W525,$B528)+COUNTIF(W508:W525,$B528&amp;" ~*")&gt;0)+(COUNTIF(Y508:Y525,$B528)+COUNTIF(Y508:Y525,$B528&amp;" ~*")&gt;0))</f>
        <v/>
      </c>
      <c r="AC528" s="38">
        <f>IF($B528="","",(IFERROR(INDEX(Setup!$G$33:$G$40,MATCH(C528,Setup!$B$33:$B$40,0)),0)=1)*(COUNTIF(C508:E525,$B528)+COUNTIF(C508:E525,$B528&amp;" ~*")&gt;0)+(IFERROR(INDEX(Setup!$G$33:$G$40,MATCH(G528,Setup!$B$33:$B$40,0)),0)=1)*(COUNTIF(G508:I525,$B528)+COUNTIF(G508:I525,$B528&amp;" ~*")&gt;0)+(IFERROR(INDEX(Setup!$G$33:$G$40,MATCH(K528,Setup!$B$33:$B$40,0)),0)=1)*(COUNTIF(K508:M525,$B528)+COUNTIF(K508:M525,$B528&amp;" ~*")&gt;0)+(IFERROR(INDEX(Setup!$G$33:$G$40,MATCH(O528,Setup!$B$33:$B$40,0)),0)=1)*(COUNTIF(O508:Q525,$B528)+COUNTIF(O508:Q525,$B528&amp;" ~*")&gt;0)+(IFERROR(INDEX(Setup!$G$33:$G$40,MATCH(S528,Setup!$B$33:$B$40,0)),0)=1)*(COUNTIF(S508:U525,$B528)+COUNTIF(S508:U525,$B528&amp;" ~*")&gt;0)+(IFERROR(INDEX(Setup!$G$33:$G$40,MATCH(W528,Setup!$B$33:$B$40,0)),0)=1)*(COUNTIF(W508:W525,$B528)+COUNTIF(W508:W525,$B528&amp;" ~*")&gt;0)+(IFERROR(INDEX(Setup!$G$33:$G$40,MATCH(Y528,Setup!$B$33:$B$40,0)),0)=1)*(COUNTIF(Y508:Y525,$B528)+COUNTIF(Y508:Y525,$B528&amp;" ~*")&gt;0))</f>
        <v/>
      </c>
    </row>
    <row r="529" ht="15" customHeight="1">
      <c r="A529" t="n">
        <v>11</v>
      </c>
      <c r="B529" s="35">
        <f>IF(Setup!$B$8="","",Setup!$B$8)</f>
        <v/>
      </c>
      <c r="C529" s="98" t="n"/>
      <c r="D529" s="99" t="n"/>
      <c r="E529" s="99" t="n"/>
      <c r="F529" s="100" t="n"/>
      <c r="G529" s="98" t="n"/>
      <c r="H529" s="99" t="n"/>
      <c r="I529" s="99" t="n"/>
      <c r="J529" s="100" t="n"/>
      <c r="K529" s="98" t="n"/>
      <c r="L529" s="99" t="n"/>
      <c r="M529" s="99" t="n"/>
      <c r="N529" s="100" t="n"/>
      <c r="O529" s="98" t="n"/>
      <c r="P529" s="99" t="n"/>
      <c r="Q529" s="99" t="n"/>
      <c r="R529" s="100" t="n"/>
      <c r="S529" s="98" t="n"/>
      <c r="T529" s="99" t="n"/>
      <c r="U529" s="99" t="n"/>
      <c r="V529" s="100" t="n"/>
      <c r="W529" s="98" t="n"/>
      <c r="X529" s="100" t="n"/>
      <c r="Y529" s="98" t="n"/>
      <c r="Z529" s="100" t="n"/>
      <c r="AB529" s="101">
        <f>IF($B529="","",(COUNTIF(C508:E525,$B529)+COUNTIF(C508:E525,$B529&amp;" ~*")&gt;0)+(COUNTIF(G508:I525,$B529)+COUNTIF(G508:I525,$B529&amp;" ~*")&gt;0)+(COUNTIF(K508:M525,$B529)+COUNTIF(K508:M525,$B529&amp;" ~*")&gt;0)+(COUNTIF(O508:Q525,$B529)+COUNTIF(O508:Q525,$B529&amp;" ~*")&gt;0)+(COUNTIF(S508:U525,$B529)+COUNTIF(S508:U525,$B529&amp;" ~*")&gt;0)+(COUNTIF(W508:W525,$B529)+COUNTIF(W508:W525,$B529&amp;" ~*")&gt;0)+(COUNTIF(Y508:Y525,$B529)+COUNTIF(Y508:Y525,$B529&amp;" ~*")&gt;0))</f>
        <v/>
      </c>
      <c r="AC529" s="36">
        <f>IF($B529="","",(IFERROR(INDEX(Setup!$G$33:$G$40,MATCH(C529,Setup!$B$33:$B$40,0)),0)=1)*(COUNTIF(C508:E525,$B529)+COUNTIF(C508:E525,$B529&amp;" ~*")&gt;0)+(IFERROR(INDEX(Setup!$G$33:$G$40,MATCH(G529,Setup!$B$33:$B$40,0)),0)=1)*(COUNTIF(G508:I525,$B529)+COUNTIF(G508:I525,$B529&amp;" ~*")&gt;0)+(IFERROR(INDEX(Setup!$G$33:$G$40,MATCH(K529,Setup!$B$33:$B$40,0)),0)=1)*(COUNTIF(K508:M525,$B529)+COUNTIF(K508:M525,$B529&amp;" ~*")&gt;0)+(IFERROR(INDEX(Setup!$G$33:$G$40,MATCH(O529,Setup!$B$33:$B$40,0)),0)=1)*(COUNTIF(O508:Q525,$B529)+COUNTIF(O508:Q525,$B529&amp;" ~*")&gt;0)+(IFERROR(INDEX(Setup!$G$33:$G$40,MATCH(S529,Setup!$B$33:$B$40,0)),0)=1)*(COUNTIF(S508:U525,$B529)+COUNTIF(S508:U525,$B529&amp;" ~*")&gt;0)+(IFERROR(INDEX(Setup!$G$33:$G$40,MATCH(W529,Setup!$B$33:$B$40,0)),0)=1)*(COUNTIF(W508:W525,$B529)+COUNTIF(W508:W525,$B529&amp;" ~*")&gt;0)+(IFERROR(INDEX(Setup!$G$33:$G$40,MATCH(Y529,Setup!$B$33:$B$40,0)),0)=1)*(COUNTIF(Y508:Y525,$B529)+COUNTIF(Y508:Y525,$B529&amp;" ~*")&gt;0))</f>
        <v/>
      </c>
    </row>
    <row r="530" ht="15" customHeight="1">
      <c r="A530" t="n">
        <v>11</v>
      </c>
      <c r="B530" s="37">
        <f>IF(Setup!$B$9="","",Setup!$B$9)</f>
        <v/>
      </c>
      <c r="C530" s="102" t="n"/>
      <c r="D530" s="103" t="n"/>
      <c r="E530" s="103" t="n"/>
      <c r="F530" s="104" t="n"/>
      <c r="G530" s="102" t="n"/>
      <c r="H530" s="103" t="n"/>
      <c r="I530" s="103" t="n"/>
      <c r="J530" s="104" t="n"/>
      <c r="K530" s="102" t="n"/>
      <c r="L530" s="103" t="n"/>
      <c r="M530" s="103" t="n"/>
      <c r="N530" s="104" t="n"/>
      <c r="O530" s="102" t="n"/>
      <c r="P530" s="103" t="n"/>
      <c r="Q530" s="103" t="n"/>
      <c r="R530" s="104" t="n"/>
      <c r="S530" s="102" t="n"/>
      <c r="T530" s="103" t="n"/>
      <c r="U530" s="103" t="n"/>
      <c r="V530" s="104" t="n"/>
      <c r="W530" s="102" t="n"/>
      <c r="X530" s="104" t="n"/>
      <c r="Y530" s="102" t="n"/>
      <c r="Z530" s="104" t="n"/>
      <c r="AB530" s="105">
        <f>IF($B530="","",(COUNTIF(C508:E525,$B530)+COUNTIF(C508:E525,$B530&amp;" ~*")&gt;0)+(COUNTIF(G508:I525,$B530)+COUNTIF(G508:I525,$B530&amp;" ~*")&gt;0)+(COUNTIF(K508:M525,$B530)+COUNTIF(K508:M525,$B530&amp;" ~*")&gt;0)+(COUNTIF(O508:Q525,$B530)+COUNTIF(O508:Q525,$B530&amp;" ~*")&gt;0)+(COUNTIF(S508:U525,$B530)+COUNTIF(S508:U525,$B530&amp;" ~*")&gt;0)+(COUNTIF(W508:W525,$B530)+COUNTIF(W508:W525,$B530&amp;" ~*")&gt;0)+(COUNTIF(Y508:Y525,$B530)+COUNTIF(Y508:Y525,$B530&amp;" ~*")&gt;0))</f>
        <v/>
      </c>
      <c r="AC530" s="38">
        <f>IF($B530="","",(IFERROR(INDEX(Setup!$G$33:$G$40,MATCH(C530,Setup!$B$33:$B$40,0)),0)=1)*(COUNTIF(C508:E525,$B530)+COUNTIF(C508:E525,$B530&amp;" ~*")&gt;0)+(IFERROR(INDEX(Setup!$G$33:$G$40,MATCH(G530,Setup!$B$33:$B$40,0)),0)=1)*(COUNTIF(G508:I525,$B530)+COUNTIF(G508:I525,$B530&amp;" ~*")&gt;0)+(IFERROR(INDEX(Setup!$G$33:$G$40,MATCH(K530,Setup!$B$33:$B$40,0)),0)=1)*(COUNTIF(K508:M525,$B530)+COUNTIF(K508:M525,$B530&amp;" ~*")&gt;0)+(IFERROR(INDEX(Setup!$G$33:$G$40,MATCH(O530,Setup!$B$33:$B$40,0)),0)=1)*(COUNTIF(O508:Q525,$B530)+COUNTIF(O508:Q525,$B530&amp;" ~*")&gt;0)+(IFERROR(INDEX(Setup!$G$33:$G$40,MATCH(S530,Setup!$B$33:$B$40,0)),0)=1)*(COUNTIF(S508:U525,$B530)+COUNTIF(S508:U525,$B530&amp;" ~*")&gt;0)+(IFERROR(INDEX(Setup!$G$33:$G$40,MATCH(W530,Setup!$B$33:$B$40,0)),0)=1)*(COUNTIF(W508:W525,$B530)+COUNTIF(W508:W525,$B530&amp;" ~*")&gt;0)+(IFERROR(INDEX(Setup!$G$33:$G$40,MATCH(Y530,Setup!$B$33:$B$40,0)),0)=1)*(COUNTIF(Y508:Y525,$B530)+COUNTIF(Y508:Y525,$B530&amp;" ~*")&gt;0))</f>
        <v/>
      </c>
    </row>
    <row r="531" ht="15" customHeight="1">
      <c r="A531" t="n">
        <v>11</v>
      </c>
      <c r="B531" s="35">
        <f>IF(Setup!$B$10="","",Setup!$B$10)</f>
        <v/>
      </c>
      <c r="C531" s="98" t="n"/>
      <c r="D531" s="99" t="n"/>
      <c r="E531" s="99" t="n"/>
      <c r="F531" s="100" t="n"/>
      <c r="G531" s="98" t="n"/>
      <c r="H531" s="99" t="n"/>
      <c r="I531" s="99" t="n"/>
      <c r="J531" s="100" t="n"/>
      <c r="K531" s="98" t="n"/>
      <c r="L531" s="99" t="n"/>
      <c r="M531" s="99" t="n"/>
      <c r="N531" s="100" t="n"/>
      <c r="O531" s="98" t="n"/>
      <c r="P531" s="99" t="n"/>
      <c r="Q531" s="99" t="n"/>
      <c r="R531" s="100" t="n"/>
      <c r="S531" s="98" t="n"/>
      <c r="T531" s="99" t="n"/>
      <c r="U531" s="99" t="n"/>
      <c r="V531" s="100" t="n"/>
      <c r="W531" s="98" t="n"/>
      <c r="X531" s="100" t="n"/>
      <c r="Y531" s="98" t="n"/>
      <c r="Z531" s="100" t="n"/>
      <c r="AB531" s="101">
        <f>IF($B531="","",(COUNTIF(C508:E525,$B531)+COUNTIF(C508:E525,$B531&amp;" ~*")&gt;0)+(COUNTIF(G508:I525,$B531)+COUNTIF(G508:I525,$B531&amp;" ~*")&gt;0)+(COUNTIF(K508:M525,$B531)+COUNTIF(K508:M525,$B531&amp;" ~*")&gt;0)+(COUNTIF(O508:Q525,$B531)+COUNTIF(O508:Q525,$B531&amp;" ~*")&gt;0)+(COUNTIF(S508:U525,$B531)+COUNTIF(S508:U525,$B531&amp;" ~*")&gt;0)+(COUNTIF(W508:W525,$B531)+COUNTIF(W508:W525,$B531&amp;" ~*")&gt;0)+(COUNTIF(Y508:Y525,$B531)+COUNTIF(Y508:Y525,$B531&amp;" ~*")&gt;0))</f>
        <v/>
      </c>
      <c r="AC531" s="36">
        <f>IF($B531="","",(IFERROR(INDEX(Setup!$G$33:$G$40,MATCH(C531,Setup!$B$33:$B$40,0)),0)=1)*(COUNTIF(C508:E525,$B531)+COUNTIF(C508:E525,$B531&amp;" ~*")&gt;0)+(IFERROR(INDEX(Setup!$G$33:$G$40,MATCH(G531,Setup!$B$33:$B$40,0)),0)=1)*(COUNTIF(G508:I525,$B531)+COUNTIF(G508:I525,$B531&amp;" ~*")&gt;0)+(IFERROR(INDEX(Setup!$G$33:$G$40,MATCH(K531,Setup!$B$33:$B$40,0)),0)=1)*(COUNTIF(K508:M525,$B531)+COUNTIF(K508:M525,$B531&amp;" ~*")&gt;0)+(IFERROR(INDEX(Setup!$G$33:$G$40,MATCH(O531,Setup!$B$33:$B$40,0)),0)=1)*(COUNTIF(O508:Q525,$B531)+COUNTIF(O508:Q525,$B531&amp;" ~*")&gt;0)+(IFERROR(INDEX(Setup!$G$33:$G$40,MATCH(S531,Setup!$B$33:$B$40,0)),0)=1)*(COUNTIF(S508:U525,$B531)+COUNTIF(S508:U525,$B531&amp;" ~*")&gt;0)+(IFERROR(INDEX(Setup!$G$33:$G$40,MATCH(W531,Setup!$B$33:$B$40,0)),0)=1)*(COUNTIF(W508:W525,$B531)+COUNTIF(W508:W525,$B531&amp;" ~*")&gt;0)+(IFERROR(INDEX(Setup!$G$33:$G$40,MATCH(Y531,Setup!$B$33:$B$40,0)),0)=1)*(COUNTIF(Y508:Y525,$B531)+COUNTIF(Y508:Y525,$B531&amp;" ~*")&gt;0))</f>
        <v/>
      </c>
    </row>
    <row r="532" ht="15" customHeight="1">
      <c r="A532" t="n">
        <v>11</v>
      </c>
      <c r="B532" s="37">
        <f>IF(Setup!$B$11="","",Setup!$B$11)</f>
        <v/>
      </c>
      <c r="C532" s="102" t="n"/>
      <c r="D532" s="103" t="n"/>
      <c r="E532" s="103" t="n"/>
      <c r="F532" s="104" t="n"/>
      <c r="G532" s="102" t="n"/>
      <c r="H532" s="103" t="n"/>
      <c r="I532" s="103" t="n"/>
      <c r="J532" s="104" t="n"/>
      <c r="K532" s="102" t="n"/>
      <c r="L532" s="103" t="n"/>
      <c r="M532" s="103" t="n"/>
      <c r="N532" s="104" t="n"/>
      <c r="O532" s="102" t="n"/>
      <c r="P532" s="103" t="n"/>
      <c r="Q532" s="103" t="n"/>
      <c r="R532" s="104" t="n"/>
      <c r="S532" s="102" t="n"/>
      <c r="T532" s="103" t="n"/>
      <c r="U532" s="103" t="n"/>
      <c r="V532" s="104" t="n"/>
      <c r="W532" s="102" t="n"/>
      <c r="X532" s="104" t="n"/>
      <c r="Y532" s="102" t="n"/>
      <c r="Z532" s="104" t="n"/>
      <c r="AB532" s="105">
        <f>IF($B532="","",(COUNTIF(C508:E525,$B532)+COUNTIF(C508:E525,$B532&amp;" ~*")&gt;0)+(COUNTIF(G508:I525,$B532)+COUNTIF(G508:I525,$B532&amp;" ~*")&gt;0)+(COUNTIF(K508:M525,$B532)+COUNTIF(K508:M525,$B532&amp;" ~*")&gt;0)+(COUNTIF(O508:Q525,$B532)+COUNTIF(O508:Q525,$B532&amp;" ~*")&gt;0)+(COUNTIF(S508:U525,$B532)+COUNTIF(S508:U525,$B532&amp;" ~*")&gt;0)+(COUNTIF(W508:W525,$B532)+COUNTIF(W508:W525,$B532&amp;" ~*")&gt;0)+(COUNTIF(Y508:Y525,$B532)+COUNTIF(Y508:Y525,$B532&amp;" ~*")&gt;0))</f>
        <v/>
      </c>
      <c r="AC532" s="38">
        <f>IF($B532="","",(IFERROR(INDEX(Setup!$G$33:$G$40,MATCH(C532,Setup!$B$33:$B$40,0)),0)=1)*(COUNTIF(C508:E525,$B532)+COUNTIF(C508:E525,$B532&amp;" ~*")&gt;0)+(IFERROR(INDEX(Setup!$G$33:$G$40,MATCH(G532,Setup!$B$33:$B$40,0)),0)=1)*(COUNTIF(G508:I525,$B532)+COUNTIF(G508:I525,$B532&amp;" ~*")&gt;0)+(IFERROR(INDEX(Setup!$G$33:$G$40,MATCH(K532,Setup!$B$33:$B$40,0)),0)=1)*(COUNTIF(K508:M525,$B532)+COUNTIF(K508:M525,$B532&amp;" ~*")&gt;0)+(IFERROR(INDEX(Setup!$G$33:$G$40,MATCH(O532,Setup!$B$33:$B$40,0)),0)=1)*(COUNTIF(O508:Q525,$B532)+COUNTIF(O508:Q525,$B532&amp;" ~*")&gt;0)+(IFERROR(INDEX(Setup!$G$33:$G$40,MATCH(S532,Setup!$B$33:$B$40,0)),0)=1)*(COUNTIF(S508:U525,$B532)+COUNTIF(S508:U525,$B532&amp;" ~*")&gt;0)+(IFERROR(INDEX(Setup!$G$33:$G$40,MATCH(W532,Setup!$B$33:$B$40,0)),0)=1)*(COUNTIF(W508:W525,$B532)+COUNTIF(W508:W525,$B532&amp;" ~*")&gt;0)+(IFERROR(INDEX(Setup!$G$33:$G$40,MATCH(Y532,Setup!$B$33:$B$40,0)),0)=1)*(COUNTIF(Y508:Y525,$B532)+COUNTIF(Y508:Y525,$B532&amp;" ~*")&gt;0))</f>
        <v/>
      </c>
    </row>
    <row r="533" ht="15" customHeight="1">
      <c r="A533" t="n">
        <v>11</v>
      </c>
      <c r="B533" s="35">
        <f>IF(Setup!$B$12="","",Setup!$B$12)</f>
        <v/>
      </c>
      <c r="C533" s="98" t="n"/>
      <c r="D533" s="99" t="n"/>
      <c r="E533" s="99" t="n"/>
      <c r="F533" s="100" t="n"/>
      <c r="G533" s="98" t="n"/>
      <c r="H533" s="99" t="n"/>
      <c r="I533" s="99" t="n"/>
      <c r="J533" s="100" t="n"/>
      <c r="K533" s="98" t="n"/>
      <c r="L533" s="99" t="n"/>
      <c r="M533" s="99" t="n"/>
      <c r="N533" s="100" t="n"/>
      <c r="O533" s="98" t="n"/>
      <c r="P533" s="99" t="n"/>
      <c r="Q533" s="99" t="n"/>
      <c r="R533" s="100" t="n"/>
      <c r="S533" s="98" t="n"/>
      <c r="T533" s="99" t="n"/>
      <c r="U533" s="99" t="n"/>
      <c r="V533" s="100" t="n"/>
      <c r="W533" s="98" t="n"/>
      <c r="X533" s="100" t="n"/>
      <c r="Y533" s="98" t="n"/>
      <c r="Z533" s="100" t="n"/>
      <c r="AB533" s="101">
        <f>IF($B533="","",(COUNTIF(C508:E525,$B533)+COUNTIF(C508:E525,$B533&amp;" ~*")&gt;0)+(COUNTIF(G508:I525,$B533)+COUNTIF(G508:I525,$B533&amp;" ~*")&gt;0)+(COUNTIF(K508:M525,$B533)+COUNTIF(K508:M525,$B533&amp;" ~*")&gt;0)+(COUNTIF(O508:Q525,$B533)+COUNTIF(O508:Q525,$B533&amp;" ~*")&gt;0)+(COUNTIF(S508:U525,$B533)+COUNTIF(S508:U525,$B533&amp;" ~*")&gt;0)+(COUNTIF(W508:W525,$B533)+COUNTIF(W508:W525,$B533&amp;" ~*")&gt;0)+(COUNTIF(Y508:Y525,$B533)+COUNTIF(Y508:Y525,$B533&amp;" ~*")&gt;0))</f>
        <v/>
      </c>
      <c r="AC533" s="36">
        <f>IF($B533="","",(IFERROR(INDEX(Setup!$G$33:$G$40,MATCH(C533,Setup!$B$33:$B$40,0)),0)=1)*(COUNTIF(C508:E525,$B533)+COUNTIF(C508:E525,$B533&amp;" ~*")&gt;0)+(IFERROR(INDEX(Setup!$G$33:$G$40,MATCH(G533,Setup!$B$33:$B$40,0)),0)=1)*(COUNTIF(G508:I525,$B533)+COUNTIF(G508:I525,$B533&amp;" ~*")&gt;0)+(IFERROR(INDEX(Setup!$G$33:$G$40,MATCH(K533,Setup!$B$33:$B$40,0)),0)=1)*(COUNTIF(K508:M525,$B533)+COUNTIF(K508:M525,$B533&amp;" ~*")&gt;0)+(IFERROR(INDEX(Setup!$G$33:$G$40,MATCH(O533,Setup!$B$33:$B$40,0)),0)=1)*(COUNTIF(O508:Q525,$B533)+COUNTIF(O508:Q525,$B533&amp;" ~*")&gt;0)+(IFERROR(INDEX(Setup!$G$33:$G$40,MATCH(S533,Setup!$B$33:$B$40,0)),0)=1)*(COUNTIF(S508:U525,$B533)+COUNTIF(S508:U525,$B533&amp;" ~*")&gt;0)+(IFERROR(INDEX(Setup!$G$33:$G$40,MATCH(W533,Setup!$B$33:$B$40,0)),0)=1)*(COUNTIF(W508:W525,$B533)+COUNTIF(W508:W525,$B533&amp;" ~*")&gt;0)+(IFERROR(INDEX(Setup!$G$33:$G$40,MATCH(Y533,Setup!$B$33:$B$40,0)),0)=1)*(COUNTIF(Y508:Y525,$B533)+COUNTIF(Y508:Y525,$B533&amp;" ~*")&gt;0))</f>
        <v/>
      </c>
    </row>
    <row r="534" ht="15" customHeight="1">
      <c r="A534" t="n">
        <v>11</v>
      </c>
      <c r="B534" s="37">
        <f>IF(Setup!$B$13="","",Setup!$B$13)</f>
        <v/>
      </c>
      <c r="C534" s="102" t="n"/>
      <c r="D534" s="103" t="n"/>
      <c r="E534" s="103" t="n"/>
      <c r="F534" s="104" t="n"/>
      <c r="G534" s="102" t="n"/>
      <c r="H534" s="103" t="n"/>
      <c r="I534" s="103" t="n"/>
      <c r="J534" s="104" t="n"/>
      <c r="K534" s="102" t="n"/>
      <c r="L534" s="103" t="n"/>
      <c r="M534" s="103" t="n"/>
      <c r="N534" s="104" t="n"/>
      <c r="O534" s="102" t="n"/>
      <c r="P534" s="103" t="n"/>
      <c r="Q534" s="103" t="n"/>
      <c r="R534" s="104" t="n"/>
      <c r="S534" s="102" t="n"/>
      <c r="T534" s="103" t="n"/>
      <c r="U534" s="103" t="n"/>
      <c r="V534" s="104" t="n"/>
      <c r="W534" s="102" t="n"/>
      <c r="X534" s="104" t="n"/>
      <c r="Y534" s="102" t="n"/>
      <c r="Z534" s="104" t="n"/>
      <c r="AB534" s="105">
        <f>IF($B534="","",(COUNTIF(C508:E525,$B534)+COUNTIF(C508:E525,$B534&amp;" ~*")&gt;0)+(COUNTIF(G508:I525,$B534)+COUNTIF(G508:I525,$B534&amp;" ~*")&gt;0)+(COUNTIF(K508:M525,$B534)+COUNTIF(K508:M525,$B534&amp;" ~*")&gt;0)+(COUNTIF(O508:Q525,$B534)+COUNTIF(O508:Q525,$B534&amp;" ~*")&gt;0)+(COUNTIF(S508:U525,$B534)+COUNTIF(S508:U525,$B534&amp;" ~*")&gt;0)+(COUNTIF(W508:W525,$B534)+COUNTIF(W508:W525,$B534&amp;" ~*")&gt;0)+(COUNTIF(Y508:Y525,$B534)+COUNTIF(Y508:Y525,$B534&amp;" ~*")&gt;0))</f>
        <v/>
      </c>
      <c r="AC534" s="38">
        <f>IF($B534="","",(IFERROR(INDEX(Setup!$G$33:$G$40,MATCH(C534,Setup!$B$33:$B$40,0)),0)=1)*(COUNTIF(C508:E525,$B534)+COUNTIF(C508:E525,$B534&amp;" ~*")&gt;0)+(IFERROR(INDEX(Setup!$G$33:$G$40,MATCH(G534,Setup!$B$33:$B$40,0)),0)=1)*(COUNTIF(G508:I525,$B534)+COUNTIF(G508:I525,$B534&amp;" ~*")&gt;0)+(IFERROR(INDEX(Setup!$G$33:$G$40,MATCH(K534,Setup!$B$33:$B$40,0)),0)=1)*(COUNTIF(K508:M525,$B534)+COUNTIF(K508:M525,$B534&amp;" ~*")&gt;0)+(IFERROR(INDEX(Setup!$G$33:$G$40,MATCH(O534,Setup!$B$33:$B$40,0)),0)=1)*(COUNTIF(O508:Q525,$B534)+COUNTIF(O508:Q525,$B534&amp;" ~*")&gt;0)+(IFERROR(INDEX(Setup!$G$33:$G$40,MATCH(S534,Setup!$B$33:$B$40,0)),0)=1)*(COUNTIF(S508:U525,$B534)+COUNTIF(S508:U525,$B534&amp;" ~*")&gt;0)+(IFERROR(INDEX(Setup!$G$33:$G$40,MATCH(W534,Setup!$B$33:$B$40,0)),0)=1)*(COUNTIF(W508:W525,$B534)+COUNTIF(W508:W525,$B534&amp;" ~*")&gt;0)+(IFERROR(INDEX(Setup!$G$33:$G$40,MATCH(Y534,Setup!$B$33:$B$40,0)),0)=1)*(COUNTIF(Y508:Y525,$B534)+COUNTIF(Y508:Y525,$B534&amp;" ~*")&gt;0))</f>
        <v/>
      </c>
    </row>
    <row r="535" ht="15" customHeight="1">
      <c r="A535" t="n">
        <v>11</v>
      </c>
      <c r="B535" s="35">
        <f>IF(Setup!$B$14="","",Setup!$B$14)</f>
        <v/>
      </c>
      <c r="C535" s="98" t="n"/>
      <c r="D535" s="99" t="n"/>
      <c r="E535" s="99" t="n"/>
      <c r="F535" s="100" t="n"/>
      <c r="G535" s="98" t="n"/>
      <c r="H535" s="99" t="n"/>
      <c r="I535" s="99" t="n"/>
      <c r="J535" s="100" t="n"/>
      <c r="K535" s="98" t="n"/>
      <c r="L535" s="99" t="n"/>
      <c r="M535" s="99" t="n"/>
      <c r="N535" s="100" t="n"/>
      <c r="O535" s="98" t="n"/>
      <c r="P535" s="99" t="n"/>
      <c r="Q535" s="99" t="n"/>
      <c r="R535" s="100" t="n"/>
      <c r="S535" s="98" t="n"/>
      <c r="T535" s="99" t="n"/>
      <c r="U535" s="99" t="n"/>
      <c r="V535" s="100" t="n"/>
      <c r="W535" s="98" t="n"/>
      <c r="X535" s="100" t="n"/>
      <c r="Y535" s="98" t="n"/>
      <c r="Z535" s="100" t="n"/>
      <c r="AB535" s="101">
        <f>IF($B535="","",(COUNTIF(C508:E525,$B535)+COUNTIF(C508:E525,$B535&amp;" ~*")&gt;0)+(COUNTIF(G508:I525,$B535)+COUNTIF(G508:I525,$B535&amp;" ~*")&gt;0)+(COUNTIF(K508:M525,$B535)+COUNTIF(K508:M525,$B535&amp;" ~*")&gt;0)+(COUNTIF(O508:Q525,$B535)+COUNTIF(O508:Q525,$B535&amp;" ~*")&gt;0)+(COUNTIF(S508:U525,$B535)+COUNTIF(S508:U525,$B535&amp;" ~*")&gt;0)+(COUNTIF(W508:W525,$B535)+COUNTIF(W508:W525,$B535&amp;" ~*")&gt;0)+(COUNTIF(Y508:Y525,$B535)+COUNTIF(Y508:Y525,$B535&amp;" ~*")&gt;0))</f>
        <v/>
      </c>
      <c r="AC535" s="36">
        <f>IF($B535="","",(IFERROR(INDEX(Setup!$G$33:$G$40,MATCH(C535,Setup!$B$33:$B$40,0)),0)=1)*(COUNTIF(C508:E525,$B535)+COUNTIF(C508:E525,$B535&amp;" ~*")&gt;0)+(IFERROR(INDEX(Setup!$G$33:$G$40,MATCH(G535,Setup!$B$33:$B$40,0)),0)=1)*(COUNTIF(G508:I525,$B535)+COUNTIF(G508:I525,$B535&amp;" ~*")&gt;0)+(IFERROR(INDEX(Setup!$G$33:$G$40,MATCH(K535,Setup!$B$33:$B$40,0)),0)=1)*(COUNTIF(K508:M525,$B535)+COUNTIF(K508:M525,$B535&amp;" ~*")&gt;0)+(IFERROR(INDEX(Setup!$G$33:$G$40,MATCH(O535,Setup!$B$33:$B$40,0)),0)=1)*(COUNTIF(O508:Q525,$B535)+COUNTIF(O508:Q525,$B535&amp;" ~*")&gt;0)+(IFERROR(INDEX(Setup!$G$33:$G$40,MATCH(S535,Setup!$B$33:$B$40,0)),0)=1)*(COUNTIF(S508:U525,$B535)+COUNTIF(S508:U525,$B535&amp;" ~*")&gt;0)+(IFERROR(INDEX(Setup!$G$33:$G$40,MATCH(W535,Setup!$B$33:$B$40,0)),0)=1)*(COUNTIF(W508:W525,$B535)+COUNTIF(W508:W525,$B535&amp;" ~*")&gt;0)+(IFERROR(INDEX(Setup!$G$33:$G$40,MATCH(Y535,Setup!$B$33:$B$40,0)),0)=1)*(COUNTIF(Y508:Y525,$B535)+COUNTIF(Y508:Y525,$B535&amp;" ~*")&gt;0))</f>
        <v/>
      </c>
    </row>
    <row r="536" ht="15" customHeight="1">
      <c r="A536" t="n">
        <v>11</v>
      </c>
      <c r="B536" s="37">
        <f>IF(Setup!$B$15="","",Setup!$B$15)</f>
        <v/>
      </c>
      <c r="C536" s="102" t="n"/>
      <c r="D536" s="103" t="n"/>
      <c r="E536" s="103" t="n"/>
      <c r="F536" s="104" t="n"/>
      <c r="G536" s="102" t="n"/>
      <c r="H536" s="103" t="n"/>
      <c r="I536" s="103" t="n"/>
      <c r="J536" s="104" t="n"/>
      <c r="K536" s="102" t="n"/>
      <c r="L536" s="103" t="n"/>
      <c r="M536" s="103" t="n"/>
      <c r="N536" s="104" t="n"/>
      <c r="O536" s="102" t="n"/>
      <c r="P536" s="103" t="n"/>
      <c r="Q536" s="103" t="n"/>
      <c r="R536" s="104" t="n"/>
      <c r="S536" s="102" t="n"/>
      <c r="T536" s="103" t="n"/>
      <c r="U536" s="103" t="n"/>
      <c r="V536" s="104" t="n"/>
      <c r="W536" s="102" t="n"/>
      <c r="X536" s="104" t="n"/>
      <c r="Y536" s="102" t="n"/>
      <c r="Z536" s="104" t="n"/>
      <c r="AB536" s="105">
        <f>IF($B536="","",(COUNTIF(C508:E525,$B536)+COUNTIF(C508:E525,$B536&amp;" ~*")&gt;0)+(COUNTIF(G508:I525,$B536)+COUNTIF(G508:I525,$B536&amp;" ~*")&gt;0)+(COUNTIF(K508:M525,$B536)+COUNTIF(K508:M525,$B536&amp;" ~*")&gt;0)+(COUNTIF(O508:Q525,$B536)+COUNTIF(O508:Q525,$B536&amp;" ~*")&gt;0)+(COUNTIF(S508:U525,$B536)+COUNTIF(S508:U525,$B536&amp;" ~*")&gt;0)+(COUNTIF(W508:W525,$B536)+COUNTIF(W508:W525,$B536&amp;" ~*")&gt;0)+(COUNTIF(Y508:Y525,$B536)+COUNTIF(Y508:Y525,$B536&amp;" ~*")&gt;0))</f>
        <v/>
      </c>
      <c r="AC536" s="38">
        <f>IF($B536="","",(IFERROR(INDEX(Setup!$G$33:$G$40,MATCH(C536,Setup!$B$33:$B$40,0)),0)=1)*(COUNTIF(C508:E525,$B536)+COUNTIF(C508:E525,$B536&amp;" ~*")&gt;0)+(IFERROR(INDEX(Setup!$G$33:$G$40,MATCH(G536,Setup!$B$33:$B$40,0)),0)=1)*(COUNTIF(G508:I525,$B536)+COUNTIF(G508:I525,$B536&amp;" ~*")&gt;0)+(IFERROR(INDEX(Setup!$G$33:$G$40,MATCH(K536,Setup!$B$33:$B$40,0)),0)=1)*(COUNTIF(K508:M525,$B536)+COUNTIF(K508:M525,$B536&amp;" ~*")&gt;0)+(IFERROR(INDEX(Setup!$G$33:$G$40,MATCH(O536,Setup!$B$33:$B$40,0)),0)=1)*(COUNTIF(O508:Q525,$B536)+COUNTIF(O508:Q525,$B536&amp;" ~*")&gt;0)+(IFERROR(INDEX(Setup!$G$33:$G$40,MATCH(S536,Setup!$B$33:$B$40,0)),0)=1)*(COUNTIF(S508:U525,$B536)+COUNTIF(S508:U525,$B536&amp;" ~*")&gt;0)+(IFERROR(INDEX(Setup!$G$33:$G$40,MATCH(W536,Setup!$B$33:$B$40,0)),0)=1)*(COUNTIF(W508:W525,$B536)+COUNTIF(W508:W525,$B536&amp;" ~*")&gt;0)+(IFERROR(INDEX(Setup!$G$33:$G$40,MATCH(Y536,Setup!$B$33:$B$40,0)),0)=1)*(COUNTIF(Y508:Y525,$B536)+COUNTIF(Y508:Y525,$B536&amp;" ~*")&gt;0))</f>
        <v/>
      </c>
    </row>
    <row r="537" ht="15" customHeight="1">
      <c r="A537" t="n">
        <v>11</v>
      </c>
      <c r="B537" s="35">
        <f>IF(Setup!$B$16="","",Setup!$B$16)</f>
        <v/>
      </c>
      <c r="C537" s="98" t="n"/>
      <c r="D537" s="99" t="n"/>
      <c r="E537" s="99" t="n"/>
      <c r="F537" s="100" t="n"/>
      <c r="G537" s="98" t="n"/>
      <c r="H537" s="99" t="n"/>
      <c r="I537" s="99" t="n"/>
      <c r="J537" s="100" t="n"/>
      <c r="K537" s="98" t="n"/>
      <c r="L537" s="99" t="n"/>
      <c r="M537" s="99" t="n"/>
      <c r="N537" s="100" t="n"/>
      <c r="O537" s="98" t="n"/>
      <c r="P537" s="99" t="n"/>
      <c r="Q537" s="99" t="n"/>
      <c r="R537" s="100" t="n"/>
      <c r="S537" s="98" t="n"/>
      <c r="T537" s="99" t="n"/>
      <c r="U537" s="99" t="n"/>
      <c r="V537" s="100" t="n"/>
      <c r="W537" s="98" t="n"/>
      <c r="X537" s="100" t="n"/>
      <c r="Y537" s="98" t="n"/>
      <c r="Z537" s="100" t="n"/>
      <c r="AB537" s="101">
        <f>IF($B537="","",(COUNTIF(C508:E525,$B537)+COUNTIF(C508:E525,$B537&amp;" ~*")&gt;0)+(COUNTIF(G508:I525,$B537)+COUNTIF(G508:I525,$B537&amp;" ~*")&gt;0)+(COUNTIF(K508:M525,$B537)+COUNTIF(K508:M525,$B537&amp;" ~*")&gt;0)+(COUNTIF(O508:Q525,$B537)+COUNTIF(O508:Q525,$B537&amp;" ~*")&gt;0)+(COUNTIF(S508:U525,$B537)+COUNTIF(S508:U525,$B537&amp;" ~*")&gt;0)+(COUNTIF(W508:W525,$B537)+COUNTIF(W508:W525,$B537&amp;" ~*")&gt;0)+(COUNTIF(Y508:Y525,$B537)+COUNTIF(Y508:Y525,$B537&amp;" ~*")&gt;0))</f>
        <v/>
      </c>
      <c r="AC537" s="36">
        <f>IF($B537="","",(IFERROR(INDEX(Setup!$G$33:$G$40,MATCH(C537,Setup!$B$33:$B$40,0)),0)=1)*(COUNTIF(C508:E525,$B537)+COUNTIF(C508:E525,$B537&amp;" ~*")&gt;0)+(IFERROR(INDEX(Setup!$G$33:$G$40,MATCH(G537,Setup!$B$33:$B$40,0)),0)=1)*(COUNTIF(G508:I525,$B537)+COUNTIF(G508:I525,$B537&amp;" ~*")&gt;0)+(IFERROR(INDEX(Setup!$G$33:$G$40,MATCH(K537,Setup!$B$33:$B$40,0)),0)=1)*(COUNTIF(K508:M525,$B537)+COUNTIF(K508:M525,$B537&amp;" ~*")&gt;0)+(IFERROR(INDEX(Setup!$G$33:$G$40,MATCH(O537,Setup!$B$33:$B$40,0)),0)=1)*(COUNTIF(O508:Q525,$B537)+COUNTIF(O508:Q525,$B537&amp;" ~*")&gt;0)+(IFERROR(INDEX(Setup!$G$33:$G$40,MATCH(S537,Setup!$B$33:$B$40,0)),0)=1)*(COUNTIF(S508:U525,$B537)+COUNTIF(S508:U525,$B537&amp;" ~*")&gt;0)+(IFERROR(INDEX(Setup!$G$33:$G$40,MATCH(W537,Setup!$B$33:$B$40,0)),0)=1)*(COUNTIF(W508:W525,$B537)+COUNTIF(W508:W525,$B537&amp;" ~*")&gt;0)+(IFERROR(INDEX(Setup!$G$33:$G$40,MATCH(Y537,Setup!$B$33:$B$40,0)),0)=1)*(COUNTIF(Y508:Y525,$B537)+COUNTIF(Y508:Y525,$B537&amp;" ~*")&gt;0))</f>
        <v/>
      </c>
    </row>
    <row r="538" ht="15" customHeight="1">
      <c r="A538" t="n">
        <v>11</v>
      </c>
      <c r="B538" s="37">
        <f>IF(Setup!$B$17="","",Setup!$B$17)</f>
        <v/>
      </c>
      <c r="C538" s="102" t="n"/>
      <c r="D538" s="103" t="n"/>
      <c r="E538" s="103" t="n"/>
      <c r="F538" s="104" t="n"/>
      <c r="G538" s="102" t="n"/>
      <c r="H538" s="103" t="n"/>
      <c r="I538" s="103" t="n"/>
      <c r="J538" s="104" t="n"/>
      <c r="K538" s="102" t="n"/>
      <c r="L538" s="103" t="n"/>
      <c r="M538" s="103" t="n"/>
      <c r="N538" s="104" t="n"/>
      <c r="O538" s="102" t="n"/>
      <c r="P538" s="103" t="n"/>
      <c r="Q538" s="103" t="n"/>
      <c r="R538" s="104" t="n"/>
      <c r="S538" s="102" t="n"/>
      <c r="T538" s="103" t="n"/>
      <c r="U538" s="103" t="n"/>
      <c r="V538" s="104" t="n"/>
      <c r="W538" s="102" t="n"/>
      <c r="X538" s="104" t="n"/>
      <c r="Y538" s="102" t="n"/>
      <c r="Z538" s="104" t="n"/>
      <c r="AB538" s="105">
        <f>IF($B538="","",(COUNTIF(C508:E525,$B538)+COUNTIF(C508:E525,$B538&amp;" ~*")&gt;0)+(COUNTIF(G508:I525,$B538)+COUNTIF(G508:I525,$B538&amp;" ~*")&gt;0)+(COUNTIF(K508:M525,$B538)+COUNTIF(K508:M525,$B538&amp;" ~*")&gt;0)+(COUNTIF(O508:Q525,$B538)+COUNTIF(O508:Q525,$B538&amp;" ~*")&gt;0)+(COUNTIF(S508:U525,$B538)+COUNTIF(S508:U525,$B538&amp;" ~*")&gt;0)+(COUNTIF(W508:W525,$B538)+COUNTIF(W508:W525,$B538&amp;" ~*")&gt;0)+(COUNTIF(Y508:Y525,$B538)+COUNTIF(Y508:Y525,$B538&amp;" ~*")&gt;0))</f>
        <v/>
      </c>
      <c r="AC538" s="38">
        <f>IF($B538="","",(IFERROR(INDEX(Setup!$G$33:$G$40,MATCH(C538,Setup!$B$33:$B$40,0)),0)=1)*(COUNTIF(C508:E525,$B538)+COUNTIF(C508:E525,$B538&amp;" ~*")&gt;0)+(IFERROR(INDEX(Setup!$G$33:$G$40,MATCH(G538,Setup!$B$33:$B$40,0)),0)=1)*(COUNTIF(G508:I525,$B538)+COUNTIF(G508:I525,$B538&amp;" ~*")&gt;0)+(IFERROR(INDEX(Setup!$G$33:$G$40,MATCH(K538,Setup!$B$33:$B$40,0)),0)=1)*(COUNTIF(K508:M525,$B538)+COUNTIF(K508:M525,$B538&amp;" ~*")&gt;0)+(IFERROR(INDEX(Setup!$G$33:$G$40,MATCH(O538,Setup!$B$33:$B$40,0)),0)=1)*(COUNTIF(O508:Q525,$B538)+COUNTIF(O508:Q525,$B538&amp;" ~*")&gt;0)+(IFERROR(INDEX(Setup!$G$33:$G$40,MATCH(S538,Setup!$B$33:$B$40,0)),0)=1)*(COUNTIF(S508:U525,$B538)+COUNTIF(S508:U525,$B538&amp;" ~*")&gt;0)+(IFERROR(INDEX(Setup!$G$33:$G$40,MATCH(W538,Setup!$B$33:$B$40,0)),0)=1)*(COUNTIF(W508:W525,$B538)+COUNTIF(W508:W525,$B538&amp;" ~*")&gt;0)+(IFERROR(INDEX(Setup!$G$33:$G$40,MATCH(Y538,Setup!$B$33:$B$40,0)),0)=1)*(COUNTIF(Y508:Y525,$B538)+COUNTIF(Y508:Y525,$B538&amp;" ~*")&gt;0))</f>
        <v/>
      </c>
    </row>
    <row r="539" ht="15" customHeight="1">
      <c r="A539" t="n">
        <v>11</v>
      </c>
      <c r="B539" s="35">
        <f>IF(Setup!$B$18="","",Setup!$B$18)</f>
        <v/>
      </c>
      <c r="C539" s="98" t="n"/>
      <c r="D539" s="99" t="n"/>
      <c r="E539" s="99" t="n"/>
      <c r="F539" s="100" t="n"/>
      <c r="G539" s="98" t="n"/>
      <c r="H539" s="99" t="n"/>
      <c r="I539" s="99" t="n"/>
      <c r="J539" s="100" t="n"/>
      <c r="K539" s="98" t="n"/>
      <c r="L539" s="99" t="n"/>
      <c r="M539" s="99" t="n"/>
      <c r="N539" s="100" t="n"/>
      <c r="O539" s="98" t="n"/>
      <c r="P539" s="99" t="n"/>
      <c r="Q539" s="99" t="n"/>
      <c r="R539" s="100" t="n"/>
      <c r="S539" s="98" t="n"/>
      <c r="T539" s="99" t="n"/>
      <c r="U539" s="99" t="n"/>
      <c r="V539" s="100" t="n"/>
      <c r="W539" s="98" t="n"/>
      <c r="X539" s="100" t="n"/>
      <c r="Y539" s="98" t="n"/>
      <c r="Z539" s="100" t="n"/>
      <c r="AB539" s="101">
        <f>IF($B539="","",(COUNTIF(C508:E525,$B539)+COUNTIF(C508:E525,$B539&amp;" ~*")&gt;0)+(COUNTIF(G508:I525,$B539)+COUNTIF(G508:I525,$B539&amp;" ~*")&gt;0)+(COUNTIF(K508:M525,$B539)+COUNTIF(K508:M525,$B539&amp;" ~*")&gt;0)+(COUNTIF(O508:Q525,$B539)+COUNTIF(O508:Q525,$B539&amp;" ~*")&gt;0)+(COUNTIF(S508:U525,$B539)+COUNTIF(S508:U525,$B539&amp;" ~*")&gt;0)+(COUNTIF(W508:W525,$B539)+COUNTIF(W508:W525,$B539&amp;" ~*")&gt;0)+(COUNTIF(Y508:Y525,$B539)+COUNTIF(Y508:Y525,$B539&amp;" ~*")&gt;0))</f>
        <v/>
      </c>
      <c r="AC539" s="36">
        <f>IF($B539="","",(IFERROR(INDEX(Setup!$G$33:$G$40,MATCH(C539,Setup!$B$33:$B$40,0)),0)=1)*(COUNTIF(C508:E525,$B539)+COUNTIF(C508:E525,$B539&amp;" ~*")&gt;0)+(IFERROR(INDEX(Setup!$G$33:$G$40,MATCH(G539,Setup!$B$33:$B$40,0)),0)=1)*(COUNTIF(G508:I525,$B539)+COUNTIF(G508:I525,$B539&amp;" ~*")&gt;0)+(IFERROR(INDEX(Setup!$G$33:$G$40,MATCH(K539,Setup!$B$33:$B$40,0)),0)=1)*(COUNTIF(K508:M525,$B539)+COUNTIF(K508:M525,$B539&amp;" ~*")&gt;0)+(IFERROR(INDEX(Setup!$G$33:$G$40,MATCH(O539,Setup!$B$33:$B$40,0)),0)=1)*(COUNTIF(O508:Q525,$B539)+COUNTIF(O508:Q525,$B539&amp;" ~*")&gt;0)+(IFERROR(INDEX(Setup!$G$33:$G$40,MATCH(S539,Setup!$B$33:$B$40,0)),0)=1)*(COUNTIF(S508:U525,$B539)+COUNTIF(S508:U525,$B539&amp;" ~*")&gt;0)+(IFERROR(INDEX(Setup!$G$33:$G$40,MATCH(W539,Setup!$B$33:$B$40,0)),0)=1)*(COUNTIF(W508:W525,$B539)+COUNTIF(W508:W525,$B539&amp;" ~*")&gt;0)+(IFERROR(INDEX(Setup!$G$33:$G$40,MATCH(Y539,Setup!$B$33:$B$40,0)),0)=1)*(COUNTIF(Y508:Y525,$B539)+COUNTIF(Y508:Y525,$B539&amp;" ~*")&gt;0))</f>
        <v/>
      </c>
    </row>
    <row r="540" ht="15" customHeight="1">
      <c r="A540" t="n">
        <v>11</v>
      </c>
      <c r="B540" s="37">
        <f>IF(Setup!$B$19="","",Setup!$B$19)</f>
        <v/>
      </c>
      <c r="C540" s="102" t="n"/>
      <c r="D540" s="103" t="n"/>
      <c r="E540" s="103" t="n"/>
      <c r="F540" s="104" t="n"/>
      <c r="G540" s="102" t="n"/>
      <c r="H540" s="103" t="n"/>
      <c r="I540" s="103" t="n"/>
      <c r="J540" s="104" t="n"/>
      <c r="K540" s="102" t="n"/>
      <c r="L540" s="103" t="n"/>
      <c r="M540" s="103" t="n"/>
      <c r="N540" s="104" t="n"/>
      <c r="O540" s="102" t="n"/>
      <c r="P540" s="103" t="n"/>
      <c r="Q540" s="103" t="n"/>
      <c r="R540" s="104" t="n"/>
      <c r="S540" s="102" t="n"/>
      <c r="T540" s="103" t="n"/>
      <c r="U540" s="103" t="n"/>
      <c r="V540" s="104" t="n"/>
      <c r="W540" s="102" t="n"/>
      <c r="X540" s="104" t="n"/>
      <c r="Y540" s="102" t="n"/>
      <c r="Z540" s="104" t="n"/>
      <c r="AB540" s="105">
        <f>IF($B540="","",(COUNTIF(C508:E525,$B540)+COUNTIF(C508:E525,$B540&amp;" ~*")&gt;0)+(COUNTIF(G508:I525,$B540)+COUNTIF(G508:I525,$B540&amp;" ~*")&gt;0)+(COUNTIF(K508:M525,$B540)+COUNTIF(K508:M525,$B540&amp;" ~*")&gt;0)+(COUNTIF(O508:Q525,$B540)+COUNTIF(O508:Q525,$B540&amp;" ~*")&gt;0)+(COUNTIF(S508:U525,$B540)+COUNTIF(S508:U525,$B540&amp;" ~*")&gt;0)+(COUNTIF(W508:W525,$B540)+COUNTIF(W508:W525,$B540&amp;" ~*")&gt;0)+(COUNTIF(Y508:Y525,$B540)+COUNTIF(Y508:Y525,$B540&amp;" ~*")&gt;0))</f>
        <v/>
      </c>
      <c r="AC540" s="38">
        <f>IF($B540="","",(IFERROR(INDEX(Setup!$G$33:$G$40,MATCH(C540,Setup!$B$33:$B$40,0)),0)=1)*(COUNTIF(C508:E525,$B540)+COUNTIF(C508:E525,$B540&amp;" ~*")&gt;0)+(IFERROR(INDEX(Setup!$G$33:$G$40,MATCH(G540,Setup!$B$33:$B$40,0)),0)=1)*(COUNTIF(G508:I525,$B540)+COUNTIF(G508:I525,$B540&amp;" ~*")&gt;0)+(IFERROR(INDEX(Setup!$G$33:$G$40,MATCH(K540,Setup!$B$33:$B$40,0)),0)=1)*(COUNTIF(K508:M525,$B540)+COUNTIF(K508:M525,$B540&amp;" ~*")&gt;0)+(IFERROR(INDEX(Setup!$G$33:$G$40,MATCH(O540,Setup!$B$33:$B$40,0)),0)=1)*(COUNTIF(O508:Q525,$B540)+COUNTIF(O508:Q525,$B540&amp;" ~*")&gt;0)+(IFERROR(INDEX(Setup!$G$33:$G$40,MATCH(S540,Setup!$B$33:$B$40,0)),0)=1)*(COUNTIF(S508:U525,$B540)+COUNTIF(S508:U525,$B540&amp;" ~*")&gt;0)+(IFERROR(INDEX(Setup!$G$33:$G$40,MATCH(W540,Setup!$B$33:$B$40,0)),0)=1)*(COUNTIF(W508:W525,$B540)+COUNTIF(W508:W525,$B540&amp;" ~*")&gt;0)+(IFERROR(INDEX(Setup!$G$33:$G$40,MATCH(Y540,Setup!$B$33:$B$40,0)),0)=1)*(COUNTIF(Y508:Y525,$B540)+COUNTIF(Y508:Y525,$B540&amp;" ~*")&gt;0))</f>
        <v/>
      </c>
    </row>
    <row r="541" ht="15" customHeight="1">
      <c r="A541" t="n">
        <v>11</v>
      </c>
      <c r="B541" s="35">
        <f>IF(Setup!$B$20="","",Setup!$B$20)</f>
        <v/>
      </c>
      <c r="C541" s="98" t="n"/>
      <c r="D541" s="99" t="n"/>
      <c r="E541" s="99" t="n"/>
      <c r="F541" s="100" t="n"/>
      <c r="G541" s="98" t="n"/>
      <c r="H541" s="99" t="n"/>
      <c r="I541" s="99" t="n"/>
      <c r="J541" s="100" t="n"/>
      <c r="K541" s="98" t="n"/>
      <c r="L541" s="99" t="n"/>
      <c r="M541" s="99" t="n"/>
      <c r="N541" s="100" t="n"/>
      <c r="O541" s="98" t="n"/>
      <c r="P541" s="99" t="n"/>
      <c r="Q541" s="99" t="n"/>
      <c r="R541" s="100" t="n"/>
      <c r="S541" s="98" t="n"/>
      <c r="T541" s="99" t="n"/>
      <c r="U541" s="99" t="n"/>
      <c r="V541" s="100" t="n"/>
      <c r="W541" s="98" t="n"/>
      <c r="X541" s="100" t="n"/>
      <c r="Y541" s="98" t="n"/>
      <c r="Z541" s="100" t="n"/>
      <c r="AB541" s="101">
        <f>IF($B541="","",(COUNTIF(C508:E525,$B541)+COUNTIF(C508:E525,$B541&amp;" ~*")&gt;0)+(COUNTIF(G508:I525,$B541)+COUNTIF(G508:I525,$B541&amp;" ~*")&gt;0)+(COUNTIF(K508:M525,$B541)+COUNTIF(K508:M525,$B541&amp;" ~*")&gt;0)+(COUNTIF(O508:Q525,$B541)+COUNTIF(O508:Q525,$B541&amp;" ~*")&gt;0)+(COUNTIF(S508:U525,$B541)+COUNTIF(S508:U525,$B541&amp;" ~*")&gt;0)+(COUNTIF(W508:W525,$B541)+COUNTIF(W508:W525,$B541&amp;" ~*")&gt;0)+(COUNTIF(Y508:Y525,$B541)+COUNTIF(Y508:Y525,$B541&amp;" ~*")&gt;0))</f>
        <v/>
      </c>
      <c r="AC541" s="36">
        <f>IF($B541="","",(IFERROR(INDEX(Setup!$G$33:$G$40,MATCH(C541,Setup!$B$33:$B$40,0)),0)=1)*(COUNTIF(C508:E525,$B541)+COUNTIF(C508:E525,$B541&amp;" ~*")&gt;0)+(IFERROR(INDEX(Setup!$G$33:$G$40,MATCH(G541,Setup!$B$33:$B$40,0)),0)=1)*(COUNTIF(G508:I525,$B541)+COUNTIF(G508:I525,$B541&amp;" ~*")&gt;0)+(IFERROR(INDEX(Setup!$G$33:$G$40,MATCH(K541,Setup!$B$33:$B$40,0)),0)=1)*(COUNTIF(K508:M525,$B541)+COUNTIF(K508:M525,$B541&amp;" ~*")&gt;0)+(IFERROR(INDEX(Setup!$G$33:$G$40,MATCH(O541,Setup!$B$33:$B$40,0)),0)=1)*(COUNTIF(O508:Q525,$B541)+COUNTIF(O508:Q525,$B541&amp;" ~*")&gt;0)+(IFERROR(INDEX(Setup!$G$33:$G$40,MATCH(S541,Setup!$B$33:$B$40,0)),0)=1)*(COUNTIF(S508:U525,$B541)+COUNTIF(S508:U525,$B541&amp;" ~*")&gt;0)+(IFERROR(INDEX(Setup!$G$33:$G$40,MATCH(W541,Setup!$B$33:$B$40,0)),0)=1)*(COUNTIF(W508:W525,$B541)+COUNTIF(W508:W525,$B541&amp;" ~*")&gt;0)+(IFERROR(INDEX(Setup!$G$33:$G$40,MATCH(Y541,Setup!$B$33:$B$40,0)),0)=1)*(COUNTIF(Y508:Y525,$B541)+COUNTIF(Y508:Y525,$B541&amp;" ~*")&gt;0))</f>
        <v/>
      </c>
    </row>
    <row r="542" ht="15" customHeight="1">
      <c r="A542" t="n">
        <v>11</v>
      </c>
      <c r="B542" s="37">
        <f>IF(Setup!$B$21="","",Setup!$B$21)</f>
        <v/>
      </c>
      <c r="C542" s="102" t="inlineStr">
        <is>
          <t>AL</t>
        </is>
      </c>
      <c r="D542" s="103" t="n"/>
      <c r="E542" s="103" t="n"/>
      <c r="F542" s="104" t="n"/>
      <c r="G542" s="102" t="inlineStr">
        <is>
          <t>AL</t>
        </is>
      </c>
      <c r="H542" s="103" t="n"/>
      <c r="I542" s="103" t="n"/>
      <c r="J542" s="104" t="n"/>
      <c r="K542" s="102" t="inlineStr">
        <is>
          <t>AL</t>
        </is>
      </c>
      <c r="L542" s="103" t="n"/>
      <c r="M542" s="103" t="n"/>
      <c r="N542" s="104" t="n"/>
      <c r="O542" s="102" t="inlineStr">
        <is>
          <t>AL</t>
        </is>
      </c>
      <c r="P542" s="103" t="n"/>
      <c r="Q542" s="103" t="n"/>
      <c r="R542" s="104" t="n"/>
      <c r="S542" s="102" t="n"/>
      <c r="T542" s="103" t="n"/>
      <c r="U542" s="103" t="n"/>
      <c r="V542" s="104" t="n"/>
      <c r="W542" s="102" t="n"/>
      <c r="X542" s="104" t="n"/>
      <c r="Y542" s="102" t="n"/>
      <c r="Z542" s="104" t="n"/>
      <c r="AB542" s="105">
        <f>IF($B542="","",(COUNTIF(C508:E525,$B542)+COUNTIF(C508:E525,$B542&amp;" ~*")&gt;0)+(COUNTIF(G508:I525,$B542)+COUNTIF(G508:I525,$B542&amp;" ~*")&gt;0)+(COUNTIF(K508:M525,$B542)+COUNTIF(K508:M525,$B542&amp;" ~*")&gt;0)+(COUNTIF(O508:Q525,$B542)+COUNTIF(O508:Q525,$B542&amp;" ~*")&gt;0)+(COUNTIF(S508:U525,$B542)+COUNTIF(S508:U525,$B542&amp;" ~*")&gt;0)+(COUNTIF(W508:W525,$B542)+COUNTIF(W508:W525,$B542&amp;" ~*")&gt;0)+(COUNTIF(Y508:Y525,$B542)+COUNTIF(Y508:Y525,$B542&amp;" ~*")&gt;0))</f>
        <v/>
      </c>
      <c r="AC542" s="38">
        <f>IF($B542="","",(IFERROR(INDEX(Setup!$G$33:$G$40,MATCH(C542,Setup!$B$33:$B$40,0)),0)=1)*(COUNTIF(C508:E525,$B542)+COUNTIF(C508:E525,$B542&amp;" ~*")&gt;0)+(IFERROR(INDEX(Setup!$G$33:$G$40,MATCH(G542,Setup!$B$33:$B$40,0)),0)=1)*(COUNTIF(G508:I525,$B542)+COUNTIF(G508:I525,$B542&amp;" ~*")&gt;0)+(IFERROR(INDEX(Setup!$G$33:$G$40,MATCH(K542,Setup!$B$33:$B$40,0)),0)=1)*(COUNTIF(K508:M525,$B542)+COUNTIF(K508:M525,$B542&amp;" ~*")&gt;0)+(IFERROR(INDEX(Setup!$G$33:$G$40,MATCH(O542,Setup!$B$33:$B$40,0)),0)=1)*(COUNTIF(O508:Q525,$B542)+COUNTIF(O508:Q525,$B542&amp;" ~*")&gt;0)+(IFERROR(INDEX(Setup!$G$33:$G$40,MATCH(S542,Setup!$B$33:$B$40,0)),0)=1)*(COUNTIF(S508:U525,$B542)+COUNTIF(S508:U525,$B542&amp;" ~*")&gt;0)+(IFERROR(INDEX(Setup!$G$33:$G$40,MATCH(W542,Setup!$B$33:$B$40,0)),0)=1)*(COUNTIF(W508:W525,$B542)+COUNTIF(W508:W525,$B542&amp;" ~*")&gt;0)+(IFERROR(INDEX(Setup!$G$33:$G$40,MATCH(Y542,Setup!$B$33:$B$40,0)),0)=1)*(COUNTIF(Y508:Y525,$B542)+COUNTIF(Y508:Y525,$B542&amp;" ~*")&gt;0))</f>
        <v/>
      </c>
    </row>
    <row r="543" ht="15" customHeight="1">
      <c r="A543" t="n">
        <v>11</v>
      </c>
      <c r="B543" s="35">
        <f>IF(Setup!$B$22="","",Setup!$B$22)</f>
        <v/>
      </c>
      <c r="C543" s="98" t="n"/>
      <c r="D543" s="99" t="n"/>
      <c r="E543" s="99" t="n"/>
      <c r="F543" s="100" t="n"/>
      <c r="G543" s="98" t="n"/>
      <c r="H543" s="99" t="n"/>
      <c r="I543" s="99" t="n"/>
      <c r="J543" s="100" t="n"/>
      <c r="K543" s="98" t="n"/>
      <c r="L543" s="99" t="n"/>
      <c r="M543" s="99" t="n"/>
      <c r="N543" s="100" t="n"/>
      <c r="O543" s="98" t="n"/>
      <c r="P543" s="99" t="n"/>
      <c r="Q543" s="99" t="n"/>
      <c r="R543" s="100" t="n"/>
      <c r="S543" s="98" t="n"/>
      <c r="T543" s="99" t="n"/>
      <c r="U543" s="99" t="n"/>
      <c r="V543" s="100" t="n"/>
      <c r="W543" s="98" t="n"/>
      <c r="X543" s="100" t="n"/>
      <c r="Y543" s="98" t="n"/>
      <c r="Z543" s="100" t="n"/>
      <c r="AB543" s="101">
        <f>IF($B543="","",(COUNTIF(C508:E525,$B543)+COUNTIF(C508:E525,$B543&amp;" ~*")&gt;0)+(COUNTIF(G508:I525,$B543)+COUNTIF(G508:I525,$B543&amp;" ~*")&gt;0)+(COUNTIF(K508:M525,$B543)+COUNTIF(K508:M525,$B543&amp;" ~*")&gt;0)+(COUNTIF(O508:Q525,$B543)+COUNTIF(O508:Q525,$B543&amp;" ~*")&gt;0)+(COUNTIF(S508:U525,$B543)+COUNTIF(S508:U525,$B543&amp;" ~*")&gt;0)+(COUNTIF(W508:W525,$B543)+COUNTIF(W508:W525,$B543&amp;" ~*")&gt;0)+(COUNTIF(Y508:Y525,$B543)+COUNTIF(Y508:Y525,$B543&amp;" ~*")&gt;0))</f>
        <v/>
      </c>
      <c r="AC543" s="36">
        <f>IF($B543="","",(IFERROR(INDEX(Setup!$G$33:$G$40,MATCH(C543,Setup!$B$33:$B$40,0)),0)=1)*(COUNTIF(C508:E525,$B543)+COUNTIF(C508:E525,$B543&amp;" ~*")&gt;0)+(IFERROR(INDEX(Setup!$G$33:$G$40,MATCH(G543,Setup!$B$33:$B$40,0)),0)=1)*(COUNTIF(G508:I525,$B543)+COUNTIF(G508:I525,$B543&amp;" ~*")&gt;0)+(IFERROR(INDEX(Setup!$G$33:$G$40,MATCH(K543,Setup!$B$33:$B$40,0)),0)=1)*(COUNTIF(K508:M525,$B543)+COUNTIF(K508:M525,$B543&amp;" ~*")&gt;0)+(IFERROR(INDEX(Setup!$G$33:$G$40,MATCH(O543,Setup!$B$33:$B$40,0)),0)=1)*(COUNTIF(O508:Q525,$B543)+COUNTIF(O508:Q525,$B543&amp;" ~*")&gt;0)+(IFERROR(INDEX(Setup!$G$33:$G$40,MATCH(S543,Setup!$B$33:$B$40,0)),0)=1)*(COUNTIF(S508:U525,$B543)+COUNTIF(S508:U525,$B543&amp;" ~*")&gt;0)+(IFERROR(INDEX(Setup!$G$33:$G$40,MATCH(W543,Setup!$B$33:$B$40,0)),0)=1)*(COUNTIF(W508:W525,$B543)+COUNTIF(W508:W525,$B543&amp;" ~*")&gt;0)+(IFERROR(INDEX(Setup!$G$33:$G$40,MATCH(Y543,Setup!$B$33:$B$40,0)),0)=1)*(COUNTIF(Y508:Y525,$B543)+COUNTIF(Y508:Y525,$B543&amp;" ~*")&gt;0))</f>
        <v/>
      </c>
    </row>
    <row r="544" ht="15" customHeight="1">
      <c r="A544" t="n">
        <v>11</v>
      </c>
      <c r="B544" s="37">
        <f>IF(Setup!$B$23="","",Setup!$B$23)</f>
        <v/>
      </c>
      <c r="C544" s="102" t="n"/>
      <c r="D544" s="103" t="n"/>
      <c r="E544" s="103" t="n"/>
      <c r="F544" s="104" t="n"/>
      <c r="G544" s="102" t="n"/>
      <c r="H544" s="103" t="n"/>
      <c r="I544" s="103" t="n"/>
      <c r="J544" s="104" t="n"/>
      <c r="K544" s="102" t="n"/>
      <c r="L544" s="103" t="n"/>
      <c r="M544" s="103" t="n"/>
      <c r="N544" s="104" t="n"/>
      <c r="O544" s="102" t="n"/>
      <c r="P544" s="103" t="n"/>
      <c r="Q544" s="103" t="n"/>
      <c r="R544" s="104" t="n"/>
      <c r="S544" s="102" t="n"/>
      <c r="T544" s="103" t="n"/>
      <c r="U544" s="103" t="n"/>
      <c r="V544" s="104" t="n"/>
      <c r="W544" s="102" t="n"/>
      <c r="X544" s="104" t="n"/>
      <c r="Y544" s="102" t="n"/>
      <c r="Z544" s="104" t="n"/>
      <c r="AB544" s="105">
        <f>IF($B544="","",(COUNTIF(C508:E525,$B544)+COUNTIF(C508:E525,$B544&amp;" ~*")&gt;0)+(COUNTIF(G508:I525,$B544)+COUNTIF(G508:I525,$B544&amp;" ~*")&gt;0)+(COUNTIF(K508:M525,$B544)+COUNTIF(K508:M525,$B544&amp;" ~*")&gt;0)+(COUNTIF(O508:Q525,$B544)+COUNTIF(O508:Q525,$B544&amp;" ~*")&gt;0)+(COUNTIF(S508:U525,$B544)+COUNTIF(S508:U525,$B544&amp;" ~*")&gt;0)+(COUNTIF(W508:W525,$B544)+COUNTIF(W508:W525,$B544&amp;" ~*")&gt;0)+(COUNTIF(Y508:Y525,$B544)+COUNTIF(Y508:Y525,$B544&amp;" ~*")&gt;0))</f>
        <v/>
      </c>
      <c r="AC544" s="38">
        <f>IF($B544="","",(IFERROR(INDEX(Setup!$G$33:$G$40,MATCH(C544,Setup!$B$33:$B$40,0)),0)=1)*(COUNTIF(C508:E525,$B544)+COUNTIF(C508:E525,$B544&amp;" ~*")&gt;0)+(IFERROR(INDEX(Setup!$G$33:$G$40,MATCH(G544,Setup!$B$33:$B$40,0)),0)=1)*(COUNTIF(G508:I525,$B544)+COUNTIF(G508:I525,$B544&amp;" ~*")&gt;0)+(IFERROR(INDEX(Setup!$G$33:$G$40,MATCH(K544,Setup!$B$33:$B$40,0)),0)=1)*(COUNTIF(K508:M525,$B544)+COUNTIF(K508:M525,$B544&amp;" ~*")&gt;0)+(IFERROR(INDEX(Setup!$G$33:$G$40,MATCH(O544,Setup!$B$33:$B$40,0)),0)=1)*(COUNTIF(O508:Q525,$B544)+COUNTIF(O508:Q525,$B544&amp;" ~*")&gt;0)+(IFERROR(INDEX(Setup!$G$33:$G$40,MATCH(S544,Setup!$B$33:$B$40,0)),0)=1)*(COUNTIF(S508:U525,$B544)+COUNTIF(S508:U525,$B544&amp;" ~*")&gt;0)+(IFERROR(INDEX(Setup!$G$33:$G$40,MATCH(W544,Setup!$B$33:$B$40,0)),0)=1)*(COUNTIF(W508:W525,$B544)+COUNTIF(W508:W525,$B544&amp;" ~*")&gt;0)+(IFERROR(INDEX(Setup!$G$33:$G$40,MATCH(Y544,Setup!$B$33:$B$40,0)),0)=1)*(COUNTIF(Y508:Y525,$B544)+COUNTIF(Y508:Y525,$B544&amp;" ~*")&gt;0))</f>
        <v/>
      </c>
    </row>
    <row r="545" ht="15" customHeight="1">
      <c r="A545" t="n">
        <v>11</v>
      </c>
      <c r="B545" s="35">
        <f>IF(Setup!$B$24="","",Setup!$B$24)</f>
        <v/>
      </c>
      <c r="C545" s="98" t="n"/>
      <c r="D545" s="99" t="n"/>
      <c r="E545" s="99" t="n"/>
      <c r="F545" s="100" t="n"/>
      <c r="G545" s="98" t="n"/>
      <c r="H545" s="99" t="n"/>
      <c r="I545" s="99" t="n"/>
      <c r="J545" s="100" t="n"/>
      <c r="K545" s="98" t="n"/>
      <c r="L545" s="99" t="n"/>
      <c r="M545" s="99" t="n"/>
      <c r="N545" s="100" t="n"/>
      <c r="O545" s="98" t="n"/>
      <c r="P545" s="99" t="n"/>
      <c r="Q545" s="99" t="n"/>
      <c r="R545" s="100" t="n"/>
      <c r="S545" s="98" t="n"/>
      <c r="T545" s="99" t="n"/>
      <c r="U545" s="99" t="n"/>
      <c r="V545" s="100" t="n"/>
      <c r="W545" s="98" t="n"/>
      <c r="X545" s="100" t="n"/>
      <c r="Y545" s="98" t="n"/>
      <c r="Z545" s="100" t="n"/>
      <c r="AB545" s="101">
        <f>IF($B545="","",(COUNTIF(C508:E525,$B545)+COUNTIF(C508:E525,$B545&amp;" ~*")&gt;0)+(COUNTIF(G508:I525,$B545)+COUNTIF(G508:I525,$B545&amp;" ~*")&gt;0)+(COUNTIF(K508:M525,$B545)+COUNTIF(K508:M525,$B545&amp;" ~*")&gt;0)+(COUNTIF(O508:Q525,$B545)+COUNTIF(O508:Q525,$B545&amp;" ~*")&gt;0)+(COUNTIF(S508:U525,$B545)+COUNTIF(S508:U525,$B545&amp;" ~*")&gt;0)+(COUNTIF(W508:W525,$B545)+COUNTIF(W508:W525,$B545&amp;" ~*")&gt;0)+(COUNTIF(Y508:Y525,$B545)+COUNTIF(Y508:Y525,$B545&amp;" ~*")&gt;0))</f>
        <v/>
      </c>
      <c r="AC545" s="36">
        <f>IF($B545="","",(IFERROR(INDEX(Setup!$G$33:$G$40,MATCH(C545,Setup!$B$33:$B$40,0)),0)=1)*(COUNTIF(C508:E525,$B545)+COUNTIF(C508:E525,$B545&amp;" ~*")&gt;0)+(IFERROR(INDEX(Setup!$G$33:$G$40,MATCH(G545,Setup!$B$33:$B$40,0)),0)=1)*(COUNTIF(G508:I525,$B545)+COUNTIF(G508:I525,$B545&amp;" ~*")&gt;0)+(IFERROR(INDEX(Setup!$G$33:$G$40,MATCH(K545,Setup!$B$33:$B$40,0)),0)=1)*(COUNTIF(K508:M525,$B545)+COUNTIF(K508:M525,$B545&amp;" ~*")&gt;0)+(IFERROR(INDEX(Setup!$G$33:$G$40,MATCH(O545,Setup!$B$33:$B$40,0)),0)=1)*(COUNTIF(O508:Q525,$B545)+COUNTIF(O508:Q525,$B545&amp;" ~*")&gt;0)+(IFERROR(INDEX(Setup!$G$33:$G$40,MATCH(S545,Setup!$B$33:$B$40,0)),0)=1)*(COUNTIF(S508:U525,$B545)+COUNTIF(S508:U525,$B545&amp;" ~*")&gt;0)+(IFERROR(INDEX(Setup!$G$33:$G$40,MATCH(W545,Setup!$B$33:$B$40,0)),0)=1)*(COUNTIF(W508:W525,$B545)+COUNTIF(W508:W525,$B545&amp;" ~*")&gt;0)+(IFERROR(INDEX(Setup!$G$33:$G$40,MATCH(Y545,Setup!$B$33:$B$40,0)),0)=1)*(COUNTIF(Y508:Y525,$B545)+COUNTIF(Y508:Y525,$B545&amp;" ~*")&gt;0))</f>
        <v/>
      </c>
    </row>
    <row r="546" ht="15" customHeight="1">
      <c r="A546" t="n">
        <v>11</v>
      </c>
      <c r="B546" s="37">
        <f>IF(Setup!$B$25="","",Setup!$B$25)</f>
        <v/>
      </c>
      <c r="C546" s="102" t="n"/>
      <c r="D546" s="103" t="n"/>
      <c r="E546" s="103" t="n"/>
      <c r="F546" s="104" t="n"/>
      <c r="G546" s="102" t="n"/>
      <c r="H546" s="103" t="n"/>
      <c r="I546" s="103" t="n"/>
      <c r="J546" s="104" t="n"/>
      <c r="K546" s="102" t="n"/>
      <c r="L546" s="103" t="n"/>
      <c r="M546" s="103" t="n"/>
      <c r="N546" s="104" t="n"/>
      <c r="O546" s="102" t="n"/>
      <c r="P546" s="103" t="n"/>
      <c r="Q546" s="103" t="n"/>
      <c r="R546" s="104" t="n"/>
      <c r="S546" s="102" t="n"/>
      <c r="T546" s="103" t="n"/>
      <c r="U546" s="103" t="n"/>
      <c r="V546" s="104" t="n"/>
      <c r="W546" s="102" t="n"/>
      <c r="X546" s="104" t="n"/>
      <c r="Y546" s="102" t="n"/>
      <c r="Z546" s="104" t="n"/>
      <c r="AB546" s="105">
        <f>IF($B546="","",(COUNTIF(C508:E525,$B546)+COUNTIF(C508:E525,$B546&amp;" ~*")&gt;0)+(COUNTIF(G508:I525,$B546)+COUNTIF(G508:I525,$B546&amp;" ~*")&gt;0)+(COUNTIF(K508:M525,$B546)+COUNTIF(K508:M525,$B546&amp;" ~*")&gt;0)+(COUNTIF(O508:Q525,$B546)+COUNTIF(O508:Q525,$B546&amp;" ~*")&gt;0)+(COUNTIF(S508:U525,$B546)+COUNTIF(S508:U525,$B546&amp;" ~*")&gt;0)+(COUNTIF(W508:W525,$B546)+COUNTIF(W508:W525,$B546&amp;" ~*")&gt;0)+(COUNTIF(Y508:Y525,$B546)+COUNTIF(Y508:Y525,$B546&amp;" ~*")&gt;0))</f>
        <v/>
      </c>
      <c r="AC546" s="38">
        <f>IF($B546="","",(IFERROR(INDEX(Setup!$G$33:$G$40,MATCH(C546,Setup!$B$33:$B$40,0)),0)=1)*(COUNTIF(C508:E525,$B546)+COUNTIF(C508:E525,$B546&amp;" ~*")&gt;0)+(IFERROR(INDEX(Setup!$G$33:$G$40,MATCH(G546,Setup!$B$33:$B$40,0)),0)=1)*(COUNTIF(G508:I525,$B546)+COUNTIF(G508:I525,$B546&amp;" ~*")&gt;0)+(IFERROR(INDEX(Setup!$G$33:$G$40,MATCH(K546,Setup!$B$33:$B$40,0)),0)=1)*(COUNTIF(K508:M525,$B546)+COUNTIF(K508:M525,$B546&amp;" ~*")&gt;0)+(IFERROR(INDEX(Setup!$G$33:$G$40,MATCH(O546,Setup!$B$33:$B$40,0)),0)=1)*(COUNTIF(O508:Q525,$B546)+COUNTIF(O508:Q525,$B546&amp;" ~*")&gt;0)+(IFERROR(INDEX(Setup!$G$33:$G$40,MATCH(S546,Setup!$B$33:$B$40,0)),0)=1)*(COUNTIF(S508:U525,$B546)+COUNTIF(S508:U525,$B546&amp;" ~*")&gt;0)+(IFERROR(INDEX(Setup!$G$33:$G$40,MATCH(W546,Setup!$B$33:$B$40,0)),0)=1)*(COUNTIF(W508:W525,$B546)+COUNTIF(W508:W525,$B546&amp;" ~*")&gt;0)+(IFERROR(INDEX(Setup!$G$33:$G$40,MATCH(Y546,Setup!$B$33:$B$40,0)),0)=1)*(COUNTIF(Y508:Y525,$B546)+COUNTIF(Y508:Y525,$B546&amp;" ~*")&gt;0))</f>
        <v/>
      </c>
    </row>
    <row r="547" ht="15" customHeight="1">
      <c r="A547" t="n">
        <v>11</v>
      </c>
      <c r="B547" s="35">
        <f>IF(Setup!$B$26="","",Setup!$B$26)</f>
        <v/>
      </c>
      <c r="C547" s="98" t="n"/>
      <c r="D547" s="99" t="n"/>
      <c r="E547" s="99" t="n"/>
      <c r="F547" s="100" t="n"/>
      <c r="G547" s="98" t="n"/>
      <c r="H547" s="99" t="n"/>
      <c r="I547" s="99" t="n"/>
      <c r="J547" s="100" t="n"/>
      <c r="K547" s="98" t="n"/>
      <c r="L547" s="99" t="n"/>
      <c r="M547" s="99" t="n"/>
      <c r="N547" s="100" t="n"/>
      <c r="O547" s="98" t="n"/>
      <c r="P547" s="99" t="n"/>
      <c r="Q547" s="99" t="n"/>
      <c r="R547" s="100" t="n"/>
      <c r="S547" s="98" t="n"/>
      <c r="T547" s="99" t="n"/>
      <c r="U547" s="99" t="n"/>
      <c r="V547" s="100" t="n"/>
      <c r="W547" s="98" t="n"/>
      <c r="X547" s="100" t="n"/>
      <c r="Y547" s="98" t="n"/>
      <c r="Z547" s="100" t="n"/>
      <c r="AB547" s="101">
        <f>IF($B547="","",(COUNTIF(C508:E525,$B547)+COUNTIF(C508:E525,$B547&amp;" ~*")&gt;0)+(COUNTIF(G508:I525,$B547)+COUNTIF(G508:I525,$B547&amp;" ~*")&gt;0)+(COUNTIF(K508:M525,$B547)+COUNTIF(K508:M525,$B547&amp;" ~*")&gt;0)+(COUNTIF(O508:Q525,$B547)+COUNTIF(O508:Q525,$B547&amp;" ~*")&gt;0)+(COUNTIF(S508:U525,$B547)+COUNTIF(S508:U525,$B547&amp;" ~*")&gt;0)+(COUNTIF(W508:W525,$B547)+COUNTIF(W508:W525,$B547&amp;" ~*")&gt;0)+(COUNTIF(Y508:Y525,$B547)+COUNTIF(Y508:Y525,$B547&amp;" ~*")&gt;0))</f>
        <v/>
      </c>
      <c r="AC547" s="36">
        <f>IF($B547="","",(IFERROR(INDEX(Setup!$G$33:$G$40,MATCH(C547,Setup!$B$33:$B$40,0)),0)=1)*(COUNTIF(C508:E525,$B547)+COUNTIF(C508:E525,$B547&amp;" ~*")&gt;0)+(IFERROR(INDEX(Setup!$G$33:$G$40,MATCH(G547,Setup!$B$33:$B$40,0)),0)=1)*(COUNTIF(G508:I525,$B547)+COUNTIF(G508:I525,$B547&amp;" ~*")&gt;0)+(IFERROR(INDEX(Setup!$G$33:$G$40,MATCH(K547,Setup!$B$33:$B$40,0)),0)=1)*(COUNTIF(K508:M525,$B547)+COUNTIF(K508:M525,$B547&amp;" ~*")&gt;0)+(IFERROR(INDEX(Setup!$G$33:$G$40,MATCH(O547,Setup!$B$33:$B$40,0)),0)=1)*(COUNTIF(O508:Q525,$B547)+COUNTIF(O508:Q525,$B547&amp;" ~*")&gt;0)+(IFERROR(INDEX(Setup!$G$33:$G$40,MATCH(S547,Setup!$B$33:$B$40,0)),0)=1)*(COUNTIF(S508:U525,$B547)+COUNTIF(S508:U525,$B547&amp;" ~*")&gt;0)+(IFERROR(INDEX(Setup!$G$33:$G$40,MATCH(W547,Setup!$B$33:$B$40,0)),0)=1)*(COUNTIF(W508:W525,$B547)+COUNTIF(W508:W525,$B547&amp;" ~*")&gt;0)+(IFERROR(INDEX(Setup!$G$33:$G$40,MATCH(Y547,Setup!$B$33:$B$40,0)),0)=1)*(COUNTIF(Y508:Y525,$B547)+COUNTIF(Y508:Y525,$B547&amp;" ~*")&gt;0))</f>
        <v/>
      </c>
    </row>
    <row r="548" ht="15" customHeight="1">
      <c r="A548" t="n">
        <v>11</v>
      </c>
      <c r="B548" s="37">
        <f>IF(Setup!$B$27="","",Setup!$B$27)</f>
        <v/>
      </c>
      <c r="C548" s="102" t="n"/>
      <c r="D548" s="103" t="n"/>
      <c r="E548" s="103" t="n"/>
      <c r="F548" s="104" t="n"/>
      <c r="G548" s="102" t="n"/>
      <c r="H548" s="103" t="n"/>
      <c r="I548" s="103" t="n"/>
      <c r="J548" s="104" t="n"/>
      <c r="K548" s="102" t="n"/>
      <c r="L548" s="103" t="n"/>
      <c r="M548" s="103" t="n"/>
      <c r="N548" s="104" t="n"/>
      <c r="O548" s="102" t="n"/>
      <c r="P548" s="103" t="n"/>
      <c r="Q548" s="103" t="n"/>
      <c r="R548" s="104" t="n"/>
      <c r="S548" s="102" t="n"/>
      <c r="T548" s="103" t="n"/>
      <c r="U548" s="103" t="n"/>
      <c r="V548" s="104" t="n"/>
      <c r="W548" s="102" t="n"/>
      <c r="X548" s="104" t="n"/>
      <c r="Y548" s="102" t="n"/>
      <c r="Z548" s="104" t="n"/>
      <c r="AB548" s="105">
        <f>IF($B548="","",(COUNTIF(C508:E525,$B548)+COUNTIF(C508:E525,$B548&amp;" ~*")&gt;0)+(COUNTIF(G508:I525,$B548)+COUNTIF(G508:I525,$B548&amp;" ~*")&gt;0)+(COUNTIF(K508:M525,$B548)+COUNTIF(K508:M525,$B548&amp;" ~*")&gt;0)+(COUNTIF(O508:Q525,$B548)+COUNTIF(O508:Q525,$B548&amp;" ~*")&gt;0)+(COUNTIF(S508:U525,$B548)+COUNTIF(S508:U525,$B548&amp;" ~*")&gt;0)+(COUNTIF(W508:W525,$B548)+COUNTIF(W508:W525,$B548&amp;" ~*")&gt;0)+(COUNTIF(Y508:Y525,$B548)+COUNTIF(Y508:Y525,$B548&amp;" ~*")&gt;0))</f>
        <v/>
      </c>
      <c r="AC548" s="38">
        <f>IF($B548="","",(IFERROR(INDEX(Setup!$G$33:$G$40,MATCH(C548,Setup!$B$33:$B$40,0)),0)=1)*(COUNTIF(C508:E525,$B548)+COUNTIF(C508:E525,$B548&amp;" ~*")&gt;0)+(IFERROR(INDEX(Setup!$G$33:$G$40,MATCH(G548,Setup!$B$33:$B$40,0)),0)=1)*(COUNTIF(G508:I525,$B548)+COUNTIF(G508:I525,$B548&amp;" ~*")&gt;0)+(IFERROR(INDEX(Setup!$G$33:$G$40,MATCH(K548,Setup!$B$33:$B$40,0)),0)=1)*(COUNTIF(K508:M525,$B548)+COUNTIF(K508:M525,$B548&amp;" ~*")&gt;0)+(IFERROR(INDEX(Setup!$G$33:$G$40,MATCH(O548,Setup!$B$33:$B$40,0)),0)=1)*(COUNTIF(O508:Q525,$B548)+COUNTIF(O508:Q525,$B548&amp;" ~*")&gt;0)+(IFERROR(INDEX(Setup!$G$33:$G$40,MATCH(S548,Setup!$B$33:$B$40,0)),0)=1)*(COUNTIF(S508:U525,$B548)+COUNTIF(S508:U525,$B548&amp;" ~*")&gt;0)+(IFERROR(INDEX(Setup!$G$33:$G$40,MATCH(W548,Setup!$B$33:$B$40,0)),0)=1)*(COUNTIF(W508:W525,$B548)+COUNTIF(W508:W525,$B548&amp;" ~*")&gt;0)+(IFERROR(INDEX(Setup!$G$33:$G$40,MATCH(Y548,Setup!$B$33:$B$40,0)),0)=1)*(COUNTIF(Y508:Y525,$B548)+COUNTIF(Y508:Y525,$B548&amp;" ~*")&gt;0))</f>
        <v/>
      </c>
    </row>
    <row r="549" ht="15" customHeight="1">
      <c r="A549" t="n">
        <v>11</v>
      </c>
      <c r="B549" s="35">
        <f>IF(Setup!$B$28="","",Setup!$B$28)</f>
        <v/>
      </c>
      <c r="C549" s="98" t="n"/>
      <c r="D549" s="99" t="n"/>
      <c r="E549" s="99" t="n"/>
      <c r="F549" s="100" t="n"/>
      <c r="G549" s="98" t="n"/>
      <c r="H549" s="99" t="n"/>
      <c r="I549" s="99" t="n"/>
      <c r="J549" s="100" t="n"/>
      <c r="K549" s="98" t="n"/>
      <c r="L549" s="99" t="n"/>
      <c r="M549" s="99" t="n"/>
      <c r="N549" s="100" t="n"/>
      <c r="O549" s="98" t="n"/>
      <c r="P549" s="99" t="n"/>
      <c r="Q549" s="99" t="n"/>
      <c r="R549" s="100" t="n"/>
      <c r="S549" s="98" t="n"/>
      <c r="T549" s="99" t="n"/>
      <c r="U549" s="99" t="n"/>
      <c r="V549" s="100" t="n"/>
      <c r="W549" s="98" t="n"/>
      <c r="X549" s="100" t="n"/>
      <c r="Y549" s="98" t="n"/>
      <c r="Z549" s="100" t="n"/>
      <c r="AB549" s="101">
        <f>IF($B549="","",(COUNTIF(C508:E525,$B549)+COUNTIF(C508:E525,$B549&amp;" ~*")&gt;0)+(COUNTIF(G508:I525,$B549)+COUNTIF(G508:I525,$B549&amp;" ~*")&gt;0)+(COUNTIF(K508:M525,$B549)+COUNTIF(K508:M525,$B549&amp;" ~*")&gt;0)+(COUNTIF(O508:Q525,$B549)+COUNTIF(O508:Q525,$B549&amp;" ~*")&gt;0)+(COUNTIF(S508:U525,$B549)+COUNTIF(S508:U525,$B549&amp;" ~*")&gt;0)+(COUNTIF(W508:W525,$B549)+COUNTIF(W508:W525,$B549&amp;" ~*")&gt;0)+(COUNTIF(Y508:Y525,$B549)+COUNTIF(Y508:Y525,$B549&amp;" ~*")&gt;0))</f>
        <v/>
      </c>
      <c r="AC549" s="36">
        <f>IF($B549="","",(IFERROR(INDEX(Setup!$G$33:$G$40,MATCH(C549,Setup!$B$33:$B$40,0)),0)=1)*(COUNTIF(C508:E525,$B549)+COUNTIF(C508:E525,$B549&amp;" ~*")&gt;0)+(IFERROR(INDEX(Setup!$G$33:$G$40,MATCH(G549,Setup!$B$33:$B$40,0)),0)=1)*(COUNTIF(G508:I525,$B549)+COUNTIF(G508:I525,$B549&amp;" ~*")&gt;0)+(IFERROR(INDEX(Setup!$G$33:$G$40,MATCH(K549,Setup!$B$33:$B$40,0)),0)=1)*(COUNTIF(K508:M525,$B549)+COUNTIF(K508:M525,$B549&amp;" ~*")&gt;0)+(IFERROR(INDEX(Setup!$G$33:$G$40,MATCH(O549,Setup!$B$33:$B$40,0)),0)=1)*(COUNTIF(O508:Q525,$B549)+COUNTIF(O508:Q525,$B549&amp;" ~*")&gt;0)+(IFERROR(INDEX(Setup!$G$33:$G$40,MATCH(S549,Setup!$B$33:$B$40,0)),0)=1)*(COUNTIF(S508:U525,$B549)+COUNTIF(S508:U525,$B549&amp;" ~*")&gt;0)+(IFERROR(INDEX(Setup!$G$33:$G$40,MATCH(W549,Setup!$B$33:$B$40,0)),0)=1)*(COUNTIF(W508:W525,$B549)+COUNTIF(W508:W525,$B549&amp;" ~*")&gt;0)+(IFERROR(INDEX(Setup!$G$33:$G$40,MATCH(Y549,Setup!$B$33:$B$40,0)),0)=1)*(COUNTIF(Y508:Y525,$B549)+COUNTIF(Y508:Y525,$B549&amp;" ~*")&gt;0))</f>
        <v/>
      </c>
    </row>
    <row r="550" ht="15" customHeight="1">
      <c r="A550" t="n">
        <v>11</v>
      </c>
      <c r="B550" s="37">
        <f>IF(Setup!$B$29="","",Setup!$B$29)</f>
        <v/>
      </c>
      <c r="C550" s="102" t="n"/>
      <c r="D550" s="103" t="n"/>
      <c r="E550" s="103" t="n"/>
      <c r="F550" s="104" t="n"/>
      <c r="G550" s="102" t="n"/>
      <c r="H550" s="103" t="n"/>
      <c r="I550" s="103" t="n"/>
      <c r="J550" s="104" t="n"/>
      <c r="K550" s="102" t="n"/>
      <c r="L550" s="103" t="n"/>
      <c r="M550" s="103" t="n"/>
      <c r="N550" s="104" t="n"/>
      <c r="O550" s="102" t="n"/>
      <c r="P550" s="103" t="n"/>
      <c r="Q550" s="103" t="n"/>
      <c r="R550" s="104" t="n"/>
      <c r="S550" s="102" t="n"/>
      <c r="T550" s="103" t="n"/>
      <c r="U550" s="103" t="n"/>
      <c r="V550" s="104" t="n"/>
      <c r="W550" s="102" t="n"/>
      <c r="X550" s="104" t="n"/>
      <c r="Y550" s="102" t="n"/>
      <c r="Z550" s="104" t="n"/>
      <c r="AB550" s="105">
        <f>IF($B550="","",(COUNTIF(C508:E525,$B550)+COUNTIF(C508:E525,$B550&amp;" ~*")&gt;0)+(COUNTIF(G508:I525,$B550)+COUNTIF(G508:I525,$B550&amp;" ~*")&gt;0)+(COUNTIF(K508:M525,$B550)+COUNTIF(K508:M525,$B550&amp;" ~*")&gt;0)+(COUNTIF(O508:Q525,$B550)+COUNTIF(O508:Q525,$B550&amp;" ~*")&gt;0)+(COUNTIF(S508:U525,$B550)+COUNTIF(S508:U525,$B550&amp;" ~*")&gt;0)+(COUNTIF(W508:W525,$B550)+COUNTIF(W508:W525,$B550&amp;" ~*")&gt;0)+(COUNTIF(Y508:Y525,$B550)+COUNTIF(Y508:Y525,$B550&amp;" ~*")&gt;0))</f>
        <v/>
      </c>
      <c r="AC550" s="38">
        <f>IF($B550="","",(IFERROR(INDEX(Setup!$G$33:$G$40,MATCH(C550,Setup!$B$33:$B$40,0)),0)=1)*(COUNTIF(C508:E525,$B550)+COUNTIF(C508:E525,$B550&amp;" ~*")&gt;0)+(IFERROR(INDEX(Setup!$G$33:$G$40,MATCH(G550,Setup!$B$33:$B$40,0)),0)=1)*(COUNTIF(G508:I525,$B550)+COUNTIF(G508:I525,$B550&amp;" ~*")&gt;0)+(IFERROR(INDEX(Setup!$G$33:$G$40,MATCH(K550,Setup!$B$33:$B$40,0)),0)=1)*(COUNTIF(K508:M525,$B550)+COUNTIF(K508:M525,$B550&amp;" ~*")&gt;0)+(IFERROR(INDEX(Setup!$G$33:$G$40,MATCH(O550,Setup!$B$33:$B$40,0)),0)=1)*(COUNTIF(O508:Q525,$B550)+COUNTIF(O508:Q525,$B550&amp;" ~*")&gt;0)+(IFERROR(INDEX(Setup!$G$33:$G$40,MATCH(S550,Setup!$B$33:$B$40,0)),0)=1)*(COUNTIF(S508:U525,$B550)+COUNTIF(S508:U525,$B550&amp;" ~*")&gt;0)+(IFERROR(INDEX(Setup!$G$33:$G$40,MATCH(W550,Setup!$B$33:$B$40,0)),0)=1)*(COUNTIF(W508:W525,$B550)+COUNTIF(W508:W525,$B550&amp;" ~*")&gt;0)+(IFERROR(INDEX(Setup!$G$33:$G$40,MATCH(Y550,Setup!$B$33:$B$40,0)),0)=1)*(COUNTIF(Y508:Y525,$B550)+COUNTIF(Y508:Y525,$B550&amp;" ~*")&gt;0))</f>
        <v/>
      </c>
    </row>
    <row r="551" ht="16" customHeight="1">
      <c r="A551" t="n">
        <v>11</v>
      </c>
      <c r="B551" s="106" t="inlineStr">
        <is>
          <t>Available people</t>
        </is>
      </c>
      <c r="C551" s="107">
        <f>COUNTIFS(Setup!$E$6:$E$29,"Y",Setup!$B$6:$B$29,"?*")-SUMPRODUCT(COUNTIF(C527:C550,Setup!$F$33:$F$40))</f>
        <v/>
      </c>
      <c r="D551" s="107" t="n"/>
      <c r="E551" s="107" t="n"/>
      <c r="F551" s="107" t="n"/>
      <c r="G551" s="107">
        <f>COUNTIFS(Setup!$E$6:$E$29,"Y",Setup!$B$6:$B$29,"?*")-SUMPRODUCT(COUNTIF(G527:G550,Setup!$F$33:$F$40))</f>
        <v/>
      </c>
      <c r="H551" s="107" t="n"/>
      <c r="I551" s="107" t="n"/>
      <c r="J551" s="107" t="n"/>
      <c r="K551" s="107">
        <f>COUNTIFS(Setup!$E$6:$E$29,"Y",Setup!$B$6:$B$29,"?*")-SUMPRODUCT(COUNTIF(K527:K550,Setup!$F$33:$F$40))</f>
        <v/>
      </c>
      <c r="L551" s="107" t="n"/>
      <c r="M551" s="107" t="n"/>
      <c r="N551" s="107" t="n"/>
      <c r="O551" s="107">
        <f>COUNTIFS(Setup!$E$6:$E$29,"Y",Setup!$B$6:$B$29,"?*")-SUMPRODUCT(COUNTIF(O527:O550,Setup!$F$33:$F$40))</f>
        <v/>
      </c>
      <c r="P551" s="107" t="n"/>
      <c r="Q551" s="107" t="n"/>
      <c r="R551" s="107" t="n"/>
      <c r="S551" s="107">
        <f>COUNTIFS(Setup!$E$6:$E$29,"Y",Setup!$B$6:$B$29,"?*")-SUMPRODUCT(COUNTIF(S527:S550,Setup!$F$33:$F$40))</f>
        <v/>
      </c>
      <c r="T551" s="107" t="n"/>
      <c r="U551" s="107" t="n"/>
      <c r="V551" s="107" t="n"/>
      <c r="W551" s="107">
        <f>COUNTIFS(Setup!$E$6:$E$29,"Y",Setup!$B$6:$B$29,"?*")-SUMPRODUCT(COUNTIF(W527:W550,Setup!$F$33:$F$40))</f>
        <v/>
      </c>
      <c r="X551" s="107" t="n"/>
      <c r="Y551" s="107">
        <f>COUNTIFS(Setup!$E$6:$E$29,"Y",Setup!$B$6:$B$29,"?*")-SUMPRODUCT(COUNTIF(Y527:Y550,Setup!$F$33:$F$40))</f>
        <v/>
      </c>
      <c r="Z551" s="107" t="n"/>
      <c r="AB551" s="108">
        <f>SUM(AB527:AB550)</f>
        <v/>
      </c>
      <c r="AC551" s="109">
        <f>SUM(AC527:AC550)</f>
        <v/>
      </c>
    </row>
    <row r="552" ht="30" customHeight="1">
      <c r="A552" t="n">
        <v>11</v>
      </c>
      <c r="B552" s="110" t="inlineStr">
        <is>
          <t>Week notes</t>
        </is>
      </c>
      <c r="C552" s="111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112" t="n"/>
      <c r="R552" s="112" t="n"/>
      <c r="S552" s="112" t="n"/>
      <c r="T552" s="112" t="n"/>
      <c r="U552" s="112" t="n"/>
      <c r="V552" s="112" t="n"/>
      <c r="W552" s="112" t="n"/>
      <c r="X552" s="112" t="n"/>
      <c r="Y552" s="112" t="n"/>
      <c r="Z552" s="113" t="n"/>
    </row>
    <row r="553" ht="8" customHeight="1">
      <c r="A553" t="n">
        <v>11</v>
      </c>
    </row>
    <row r="554" ht="8" customHeight="1">
      <c r="A554" t="n">
        <v>11</v>
      </c>
    </row>
    <row r="555" ht="24" customHeight="1">
      <c r="A555" t="n">
        <v>12</v>
      </c>
      <c r="B555" s="73">
        <f>"WEEK 12     "&amp;TEXT(C556,"ddd d mmm")&amp;"  –  "&amp;TEXT(C556+6,"ddd d mmm yyyy")</f>
        <v/>
      </c>
      <c r="S555" s="74">
        <f>IF(TODAY()&lt;C556,"FUTURE",IF(TODAY()&gt;C556+6,"PAST","THIS WEEK"))</f>
        <v/>
      </c>
      <c r="W555" s="75">
        <f>IF(AND(Engine!$B$8=$AC$3,Engine!$B$9=$A555),"◀ ACTIVE WEEK","")</f>
        <v/>
      </c>
      <c r="AA555" s="76" t="n"/>
      <c r="AB555" s="77" t="inlineStr">
        <is>
          <t>◀ Prev</t>
        </is>
      </c>
      <c r="AC555" s="77" t="inlineStr">
        <is>
          <t>Next ▶</t>
        </is>
      </c>
    </row>
    <row r="556" ht="18" customHeight="1">
      <c r="A556" t="n">
        <v>12</v>
      </c>
      <c r="B556" s="78" t="inlineStr">
        <is>
          <t>DUTY</t>
        </is>
      </c>
      <c r="C556" s="79">
        <f>$AC$2+7*($A556-1)</f>
        <v/>
      </c>
      <c r="D556" s="80" t="n"/>
      <c r="E556" s="80" t="n"/>
      <c r="F556" s="81" t="n"/>
      <c r="G556" s="79">
        <f>C556+1</f>
        <v/>
      </c>
      <c r="H556" s="80" t="n"/>
      <c r="I556" s="80" t="n"/>
      <c r="J556" s="81" t="n"/>
      <c r="K556" s="79">
        <f>C556+2</f>
        <v/>
      </c>
      <c r="L556" s="80" t="n"/>
      <c r="M556" s="80" t="n"/>
      <c r="N556" s="81" t="n"/>
      <c r="O556" s="79">
        <f>C556+3</f>
        <v/>
      </c>
      <c r="P556" s="80" t="n"/>
      <c r="Q556" s="80" t="n"/>
      <c r="R556" s="81" t="n"/>
      <c r="S556" s="79">
        <f>C556+4</f>
        <v/>
      </c>
      <c r="T556" s="80" t="n"/>
      <c r="U556" s="80" t="n"/>
      <c r="V556" s="81" t="n"/>
      <c r="W556" s="82">
        <f>C556+5</f>
        <v/>
      </c>
      <c r="X556" s="83" t="n"/>
      <c r="Y556" s="82">
        <f>C556+6</f>
        <v/>
      </c>
      <c r="Z556" s="83" t="n"/>
      <c r="AB556" s="72" t="inlineStr">
        <is>
          <t>Gaps</t>
        </is>
      </c>
      <c r="AC556" s="72" t="inlineStr">
        <is>
          <t>Cover</t>
        </is>
      </c>
    </row>
    <row r="557" ht="14" customHeight="1">
      <c r="A557" t="n">
        <v>12</v>
      </c>
      <c r="B557" s="84" t="inlineStr">
        <is>
          <t>(from Setup)</t>
        </is>
      </c>
      <c r="C557" s="85" t="inlineStr">
        <is>
          <t>1</t>
        </is>
      </c>
      <c r="D557" s="85" t="inlineStr">
        <is>
          <t>2</t>
        </is>
      </c>
      <c r="E557" s="85" t="inlineStr">
        <is>
          <t>3</t>
        </is>
      </c>
      <c r="F557" s="85" t="inlineStr">
        <is>
          <t>Notes</t>
        </is>
      </c>
      <c r="G557" s="85" t="inlineStr">
        <is>
          <t>1</t>
        </is>
      </c>
      <c r="H557" s="85" t="inlineStr">
        <is>
          <t>2</t>
        </is>
      </c>
      <c r="I557" s="85" t="inlineStr">
        <is>
          <t>3</t>
        </is>
      </c>
      <c r="J557" s="85" t="inlineStr">
        <is>
          <t>Notes</t>
        </is>
      </c>
      <c r="K557" s="85" t="inlineStr">
        <is>
          <t>1</t>
        </is>
      </c>
      <c r="L557" s="85" t="inlineStr">
        <is>
          <t>2</t>
        </is>
      </c>
      <c r="M557" s="85" t="inlineStr">
        <is>
          <t>3</t>
        </is>
      </c>
      <c r="N557" s="85" t="inlineStr">
        <is>
          <t>Notes</t>
        </is>
      </c>
      <c r="O557" s="85" t="inlineStr">
        <is>
          <t>1</t>
        </is>
      </c>
      <c r="P557" s="85" t="inlineStr">
        <is>
          <t>2</t>
        </is>
      </c>
      <c r="Q557" s="85" t="inlineStr">
        <is>
          <t>3</t>
        </is>
      </c>
      <c r="R557" s="85" t="inlineStr">
        <is>
          <t>Notes</t>
        </is>
      </c>
      <c r="S557" s="85" t="inlineStr">
        <is>
          <t>1</t>
        </is>
      </c>
      <c r="T557" s="85" t="inlineStr">
        <is>
          <t>2</t>
        </is>
      </c>
      <c r="U557" s="85" t="inlineStr">
        <is>
          <t>3</t>
        </is>
      </c>
      <c r="V557" s="85" t="inlineStr">
        <is>
          <t>Notes</t>
        </is>
      </c>
      <c r="W557" s="85" t="inlineStr">
        <is>
          <t>Cover</t>
        </is>
      </c>
      <c r="X557" s="85" t="inlineStr">
        <is>
          <t>Notes</t>
        </is>
      </c>
      <c r="Y557" s="85" t="inlineStr">
        <is>
          <t>Cover</t>
        </is>
      </c>
      <c r="Z557" s="85" t="inlineStr">
        <is>
          <t>Notes</t>
        </is>
      </c>
      <c r="AB557" s="86" t="inlineStr">
        <is>
          <t>weekdays short</t>
        </is>
      </c>
      <c r="AC557" s="87" t="inlineStr"/>
    </row>
    <row r="558" ht="17" customHeight="1">
      <c r="A558" t="n">
        <v>12</v>
      </c>
      <c r="B558" s="24">
        <f>IF(Setup!$K$6="","",Setup!$K$6)</f>
        <v/>
      </c>
      <c r="C558" s="88" t="n"/>
      <c r="D558" s="88" t="n"/>
      <c r="E558" s="88" t="n"/>
      <c r="F558" s="89" t="n"/>
      <c r="G558" s="88" t="n"/>
      <c r="H558" s="88" t="n"/>
      <c r="I558" s="88" t="n"/>
      <c r="J558" s="89" t="n"/>
      <c r="K558" s="88" t="n"/>
      <c r="L558" s="88" t="n"/>
      <c r="M558" s="88" t="n"/>
      <c r="N558" s="89" t="n"/>
      <c r="O558" s="88" t="n"/>
      <c r="P558" s="88" t="n"/>
      <c r="Q558" s="88" t="n"/>
      <c r="R558" s="89" t="n"/>
      <c r="S558" s="88" t="n"/>
      <c r="T558" s="88" t="n"/>
      <c r="U558" s="88" t="n"/>
      <c r="V558" s="89" t="n"/>
      <c r="W558" s="88" t="n"/>
      <c r="X558" s="89" t="n"/>
      <c r="Y558" s="88" t="n"/>
      <c r="Z558" s="89" t="n"/>
      <c r="AB558" s="25">
        <f>IF($B558="","",(COUNTIF(C558:E558,"?*")&lt;N(INDEX(Setup!$L$6:$L$23,1)))+(COUNTIF(G558:I558,"?*")&lt;N(INDEX(Setup!$L$6:$L$23,1)))+(COUNTIF(K558:M558,"?*")&lt;N(INDEX(Setup!$L$6:$L$23,1)))+(COUNTIF(O558:Q558,"?*")&lt;N(INDEX(Setup!$L$6:$L$23,1)))+(COUNTIF(S558:U558,"?*")&lt;N(INDEX(Setup!$L$6:$L$23,1)))+((W558="")*(INDEX(Setup!$M$6:$M$23,1)="Y"))+((Y558="")*(INDEX(Setup!$M$6:$M$23,1)="Y")))</f>
        <v/>
      </c>
      <c r="AC558" s="90">
        <f>IF($B558="","",IF(AB558=0,"✓ covered","⚠ "&amp;AB558&amp;IF(AB558=1," gap"," gaps")))</f>
        <v/>
      </c>
    </row>
    <row r="559" ht="17" customHeight="1">
      <c r="A559" t="n">
        <v>12</v>
      </c>
      <c r="B559" s="29">
        <f>IF(Setup!$K$7="","",Setup!$K$7)</f>
        <v/>
      </c>
      <c r="C559" s="88" t="n"/>
      <c r="D559" s="88" t="n"/>
      <c r="E559" s="88" t="n"/>
      <c r="F559" s="89" t="n"/>
      <c r="G559" s="88" t="n"/>
      <c r="H559" s="88" t="n"/>
      <c r="I559" s="88" t="n"/>
      <c r="J559" s="89" t="n"/>
      <c r="K559" s="88" t="n"/>
      <c r="L559" s="88" t="n"/>
      <c r="M559" s="88" t="n"/>
      <c r="N559" s="89" t="n"/>
      <c r="O559" s="88" t="n"/>
      <c r="P559" s="88" t="n"/>
      <c r="Q559" s="88" t="n"/>
      <c r="R559" s="89" t="n"/>
      <c r="S559" s="88" t="n"/>
      <c r="T559" s="88" t="n"/>
      <c r="U559" s="88" t="n"/>
      <c r="V559" s="89" t="n"/>
      <c r="W559" s="88" t="n"/>
      <c r="X559" s="89" t="n"/>
      <c r="Y559" s="88" t="n"/>
      <c r="Z559" s="89" t="n"/>
      <c r="AB559" s="30">
        <f>IF($B559="","",(COUNTIF(C559:E559,"?*")&lt;N(INDEX(Setup!$L$6:$L$23,2)))+(COUNTIF(G559:I559,"?*")&lt;N(INDEX(Setup!$L$6:$L$23,2)))+(COUNTIF(K559:M559,"?*")&lt;N(INDEX(Setup!$L$6:$L$23,2)))+(COUNTIF(O559:Q559,"?*")&lt;N(INDEX(Setup!$L$6:$L$23,2)))+(COUNTIF(S559:U559,"?*")&lt;N(INDEX(Setup!$L$6:$L$23,2)))+((W559="")*(INDEX(Setup!$M$6:$M$23,2)="Y"))+((Y559="")*(INDEX(Setup!$M$6:$M$23,2)="Y")))</f>
        <v/>
      </c>
      <c r="AC559" s="91">
        <f>IF($B559="","",IF(AB559=0,"✓ covered","⚠ "&amp;AB559&amp;IF(AB559=1," gap"," gaps")))</f>
        <v/>
      </c>
    </row>
    <row r="560" ht="17" customHeight="1">
      <c r="A560" t="n">
        <v>12</v>
      </c>
      <c r="B560" s="24">
        <f>IF(Setup!$K$8="","",Setup!$K$8)</f>
        <v/>
      </c>
      <c r="C560" s="88" t="n"/>
      <c r="D560" s="88" t="n"/>
      <c r="E560" s="88" t="n"/>
      <c r="F560" s="89" t="n"/>
      <c r="G560" s="88" t="n"/>
      <c r="H560" s="88" t="n"/>
      <c r="I560" s="88" t="n"/>
      <c r="J560" s="89" t="n"/>
      <c r="K560" s="88" t="n"/>
      <c r="L560" s="88" t="n"/>
      <c r="M560" s="88" t="n"/>
      <c r="N560" s="89" t="n"/>
      <c r="O560" s="88" t="n"/>
      <c r="P560" s="88" t="n"/>
      <c r="Q560" s="88" t="n"/>
      <c r="R560" s="89" t="n"/>
      <c r="S560" s="88" t="n"/>
      <c r="T560" s="88" t="n"/>
      <c r="U560" s="88" t="n"/>
      <c r="V560" s="89" t="n"/>
      <c r="W560" s="88" t="n"/>
      <c r="X560" s="89" t="n"/>
      <c r="Y560" s="88" t="n"/>
      <c r="Z560" s="89" t="n"/>
      <c r="AB560" s="25">
        <f>IF($B560="","",(COUNTIF(C560:E560,"?*")&lt;N(INDEX(Setup!$L$6:$L$23,3)))+(COUNTIF(G560:I560,"?*")&lt;N(INDEX(Setup!$L$6:$L$23,3)))+(COUNTIF(K560:M560,"?*")&lt;N(INDEX(Setup!$L$6:$L$23,3)))+(COUNTIF(O560:Q560,"?*")&lt;N(INDEX(Setup!$L$6:$L$23,3)))+(COUNTIF(S560:U560,"?*")&lt;N(INDEX(Setup!$L$6:$L$23,3)))+((W560="")*(INDEX(Setup!$M$6:$M$23,3)="Y"))+((Y560="")*(INDEX(Setup!$M$6:$M$23,3)="Y")))</f>
        <v/>
      </c>
      <c r="AC560" s="90">
        <f>IF($B560="","",IF(AB560=0,"✓ covered","⚠ "&amp;AB560&amp;IF(AB560=1," gap"," gaps")))</f>
        <v/>
      </c>
    </row>
    <row r="561" ht="17" customHeight="1">
      <c r="A561" t="n">
        <v>12</v>
      </c>
      <c r="B561" s="29">
        <f>IF(Setup!$K$9="","",Setup!$K$9)</f>
        <v/>
      </c>
      <c r="C561" s="88" t="n"/>
      <c r="D561" s="88" t="n"/>
      <c r="E561" s="88" t="n"/>
      <c r="F561" s="89" t="n"/>
      <c r="G561" s="88" t="n"/>
      <c r="H561" s="88" t="n"/>
      <c r="I561" s="88" t="n"/>
      <c r="J561" s="89" t="n"/>
      <c r="K561" s="88" t="n"/>
      <c r="L561" s="88" t="n"/>
      <c r="M561" s="88" t="n"/>
      <c r="N561" s="89" t="n"/>
      <c r="O561" s="88" t="n"/>
      <c r="P561" s="88" t="n"/>
      <c r="Q561" s="88" t="n"/>
      <c r="R561" s="89" t="n"/>
      <c r="S561" s="88" t="n"/>
      <c r="T561" s="88" t="n"/>
      <c r="U561" s="88" t="n"/>
      <c r="V561" s="89" t="n"/>
      <c r="W561" s="88" t="n"/>
      <c r="X561" s="89" t="n"/>
      <c r="Y561" s="88" t="n"/>
      <c r="Z561" s="89" t="n"/>
      <c r="AB561" s="30">
        <f>IF($B561="","",(COUNTIF(C561:E561,"?*")&lt;N(INDEX(Setup!$L$6:$L$23,4)))+(COUNTIF(G561:I561,"?*")&lt;N(INDEX(Setup!$L$6:$L$23,4)))+(COUNTIF(K561:M561,"?*")&lt;N(INDEX(Setup!$L$6:$L$23,4)))+(COUNTIF(O561:Q561,"?*")&lt;N(INDEX(Setup!$L$6:$L$23,4)))+(COUNTIF(S561:U561,"?*")&lt;N(INDEX(Setup!$L$6:$L$23,4)))+((W561="")*(INDEX(Setup!$M$6:$M$23,4)="Y"))+((Y561="")*(INDEX(Setup!$M$6:$M$23,4)="Y")))</f>
        <v/>
      </c>
      <c r="AC561" s="91">
        <f>IF($B561="","",IF(AB561=0,"✓ covered","⚠ "&amp;AB561&amp;IF(AB561=1," gap"," gaps")))</f>
        <v/>
      </c>
    </row>
    <row r="562" ht="17" customHeight="1">
      <c r="A562" t="n">
        <v>12</v>
      </c>
      <c r="B562" s="24">
        <f>IF(Setup!$K$10="","",Setup!$K$10)</f>
        <v/>
      </c>
      <c r="C562" s="88" t="n"/>
      <c r="D562" s="88" t="n"/>
      <c r="E562" s="88" t="n"/>
      <c r="F562" s="89" t="n"/>
      <c r="G562" s="88" t="n"/>
      <c r="H562" s="88" t="n"/>
      <c r="I562" s="88" t="n"/>
      <c r="J562" s="89" t="n"/>
      <c r="K562" s="88" t="n"/>
      <c r="L562" s="88" t="n"/>
      <c r="M562" s="88" t="n"/>
      <c r="N562" s="89" t="n"/>
      <c r="O562" s="88" t="n"/>
      <c r="P562" s="88" t="n"/>
      <c r="Q562" s="88" t="n"/>
      <c r="R562" s="89" t="n"/>
      <c r="S562" s="88" t="n"/>
      <c r="T562" s="88" t="n"/>
      <c r="U562" s="88" t="n"/>
      <c r="V562" s="89" t="n"/>
      <c r="W562" s="88" t="n"/>
      <c r="X562" s="89" t="n"/>
      <c r="Y562" s="88" t="n"/>
      <c r="Z562" s="89" t="n"/>
      <c r="AB562" s="25">
        <f>IF($B562="","",(COUNTIF(C562:E562,"?*")&lt;N(INDEX(Setup!$L$6:$L$23,5)))+(COUNTIF(G562:I562,"?*")&lt;N(INDEX(Setup!$L$6:$L$23,5)))+(COUNTIF(K562:M562,"?*")&lt;N(INDEX(Setup!$L$6:$L$23,5)))+(COUNTIF(O562:Q562,"?*")&lt;N(INDEX(Setup!$L$6:$L$23,5)))+(COUNTIF(S562:U562,"?*")&lt;N(INDEX(Setup!$L$6:$L$23,5)))+((W562="")*(INDEX(Setup!$M$6:$M$23,5)="Y"))+((Y562="")*(INDEX(Setup!$M$6:$M$23,5)="Y")))</f>
        <v/>
      </c>
      <c r="AC562" s="90">
        <f>IF($B562="","",IF(AB562=0,"✓ covered","⚠ "&amp;AB562&amp;IF(AB562=1," gap"," gaps")))</f>
        <v/>
      </c>
    </row>
    <row r="563" ht="17" customHeight="1">
      <c r="A563" t="n">
        <v>12</v>
      </c>
      <c r="B563" s="29">
        <f>IF(Setup!$K$11="","",Setup!$K$11)</f>
        <v/>
      </c>
      <c r="C563" s="88" t="n"/>
      <c r="D563" s="88" t="n"/>
      <c r="E563" s="88" t="n"/>
      <c r="F563" s="89" t="n"/>
      <c r="G563" s="88" t="n"/>
      <c r="H563" s="88" t="n"/>
      <c r="I563" s="88" t="n"/>
      <c r="J563" s="89" t="n"/>
      <c r="K563" s="88" t="n"/>
      <c r="L563" s="88" t="n"/>
      <c r="M563" s="88" t="n"/>
      <c r="N563" s="89" t="n"/>
      <c r="O563" s="88" t="n"/>
      <c r="P563" s="88" t="n"/>
      <c r="Q563" s="88" t="n"/>
      <c r="R563" s="89" t="n"/>
      <c r="S563" s="88" t="n"/>
      <c r="T563" s="88" t="n"/>
      <c r="U563" s="88" t="n"/>
      <c r="V563" s="89" t="n"/>
      <c r="W563" s="88" t="n"/>
      <c r="X563" s="89" t="n"/>
      <c r="Y563" s="88" t="n"/>
      <c r="Z563" s="89" t="n"/>
      <c r="AB563" s="30">
        <f>IF($B563="","",(COUNTIF(C563:E563,"?*")&lt;N(INDEX(Setup!$L$6:$L$23,6)))+(COUNTIF(G563:I563,"?*")&lt;N(INDEX(Setup!$L$6:$L$23,6)))+(COUNTIF(K563:M563,"?*")&lt;N(INDEX(Setup!$L$6:$L$23,6)))+(COUNTIF(O563:Q563,"?*")&lt;N(INDEX(Setup!$L$6:$L$23,6)))+(COUNTIF(S563:U563,"?*")&lt;N(INDEX(Setup!$L$6:$L$23,6)))+((W563="")*(INDEX(Setup!$M$6:$M$23,6)="Y"))+((Y563="")*(INDEX(Setup!$M$6:$M$23,6)="Y")))</f>
        <v/>
      </c>
      <c r="AC563" s="91">
        <f>IF($B563="","",IF(AB563=0,"✓ covered","⚠ "&amp;AB563&amp;IF(AB563=1," gap"," gaps")))</f>
        <v/>
      </c>
    </row>
    <row r="564" ht="17" customHeight="1">
      <c r="A564" t="n">
        <v>12</v>
      </c>
      <c r="B564" s="24">
        <f>IF(Setup!$K$12="","",Setup!$K$12)</f>
        <v/>
      </c>
      <c r="C564" s="88" t="n"/>
      <c r="D564" s="88" t="n"/>
      <c r="E564" s="88" t="n"/>
      <c r="F564" s="89" t="n"/>
      <c r="G564" s="88" t="n"/>
      <c r="H564" s="88" t="n"/>
      <c r="I564" s="88" t="n"/>
      <c r="J564" s="89" t="n"/>
      <c r="K564" s="88" t="n"/>
      <c r="L564" s="88" t="n"/>
      <c r="M564" s="88" t="n"/>
      <c r="N564" s="89" t="n"/>
      <c r="O564" s="88" t="n"/>
      <c r="P564" s="88" t="n"/>
      <c r="Q564" s="88" t="n"/>
      <c r="R564" s="89" t="n"/>
      <c r="S564" s="88" t="n"/>
      <c r="T564" s="88" t="n"/>
      <c r="U564" s="88" t="n"/>
      <c r="V564" s="89" t="n"/>
      <c r="W564" s="88" t="n"/>
      <c r="X564" s="89" t="n"/>
      <c r="Y564" s="88" t="n"/>
      <c r="Z564" s="89" t="n"/>
      <c r="AB564" s="25">
        <f>IF($B564="","",(COUNTIF(C564:E564,"?*")&lt;N(INDEX(Setup!$L$6:$L$23,7)))+(COUNTIF(G564:I564,"?*")&lt;N(INDEX(Setup!$L$6:$L$23,7)))+(COUNTIF(K564:M564,"?*")&lt;N(INDEX(Setup!$L$6:$L$23,7)))+(COUNTIF(O564:Q564,"?*")&lt;N(INDEX(Setup!$L$6:$L$23,7)))+(COUNTIF(S564:U564,"?*")&lt;N(INDEX(Setup!$L$6:$L$23,7)))+((W564="")*(INDEX(Setup!$M$6:$M$23,7)="Y"))+((Y564="")*(INDEX(Setup!$M$6:$M$23,7)="Y")))</f>
        <v/>
      </c>
      <c r="AC564" s="90">
        <f>IF($B564="","",IF(AB564=0,"✓ covered","⚠ "&amp;AB564&amp;IF(AB564=1," gap"," gaps")))</f>
        <v/>
      </c>
    </row>
    <row r="565" ht="17" customHeight="1">
      <c r="A565" t="n">
        <v>12</v>
      </c>
      <c r="B565" s="29">
        <f>IF(Setup!$K$13="","",Setup!$K$13)</f>
        <v/>
      </c>
      <c r="C565" s="88" t="n"/>
      <c r="D565" s="88" t="n"/>
      <c r="E565" s="88" t="n"/>
      <c r="F565" s="89" t="n"/>
      <c r="G565" s="88" t="n"/>
      <c r="H565" s="88" t="n"/>
      <c r="I565" s="88" t="n"/>
      <c r="J565" s="89" t="n"/>
      <c r="K565" s="88" t="n"/>
      <c r="L565" s="88" t="n"/>
      <c r="M565" s="88" t="n"/>
      <c r="N565" s="89" t="n"/>
      <c r="O565" s="88" t="n"/>
      <c r="P565" s="88" t="n"/>
      <c r="Q565" s="88" t="n"/>
      <c r="R565" s="89" t="n"/>
      <c r="S565" s="88" t="n"/>
      <c r="T565" s="88" t="n"/>
      <c r="U565" s="88" t="n"/>
      <c r="V565" s="89" t="n"/>
      <c r="W565" s="88" t="n"/>
      <c r="X565" s="89" t="n"/>
      <c r="Y565" s="88" t="n"/>
      <c r="Z565" s="89" t="n"/>
      <c r="AB565" s="30">
        <f>IF($B565="","",(COUNTIF(C565:E565,"?*")&lt;N(INDEX(Setup!$L$6:$L$23,8)))+(COUNTIF(G565:I565,"?*")&lt;N(INDEX(Setup!$L$6:$L$23,8)))+(COUNTIF(K565:M565,"?*")&lt;N(INDEX(Setup!$L$6:$L$23,8)))+(COUNTIF(O565:Q565,"?*")&lt;N(INDEX(Setup!$L$6:$L$23,8)))+(COUNTIF(S565:U565,"?*")&lt;N(INDEX(Setup!$L$6:$L$23,8)))+((W565="")*(INDEX(Setup!$M$6:$M$23,8)="Y"))+((Y565="")*(INDEX(Setup!$M$6:$M$23,8)="Y")))</f>
        <v/>
      </c>
      <c r="AC565" s="91">
        <f>IF($B565="","",IF(AB565=0,"✓ covered","⚠ "&amp;AB565&amp;IF(AB565=1," gap"," gaps")))</f>
        <v/>
      </c>
    </row>
    <row r="566" ht="17" customHeight="1">
      <c r="A566" t="n">
        <v>12</v>
      </c>
      <c r="B566" s="24">
        <f>IF(Setup!$K$14="","",Setup!$K$14)</f>
        <v/>
      </c>
      <c r="C566" s="88" t="n"/>
      <c r="D566" s="88" t="n"/>
      <c r="E566" s="88" t="n"/>
      <c r="F566" s="89" t="n"/>
      <c r="G566" s="88" t="n"/>
      <c r="H566" s="88" t="n"/>
      <c r="I566" s="88" t="n"/>
      <c r="J566" s="89" t="n"/>
      <c r="K566" s="88" t="n"/>
      <c r="L566" s="88" t="n"/>
      <c r="M566" s="88" t="n"/>
      <c r="N566" s="89" t="n"/>
      <c r="O566" s="88" t="n"/>
      <c r="P566" s="88" t="n"/>
      <c r="Q566" s="88" t="n"/>
      <c r="R566" s="89" t="n"/>
      <c r="S566" s="88" t="n"/>
      <c r="T566" s="88" t="n"/>
      <c r="U566" s="88" t="n"/>
      <c r="V566" s="89" t="n"/>
      <c r="W566" s="88" t="n"/>
      <c r="X566" s="89" t="n"/>
      <c r="Y566" s="88" t="n"/>
      <c r="Z566" s="89" t="n"/>
      <c r="AB566" s="25">
        <f>IF($B566="","",(COUNTIF(C566:E566,"?*")&lt;N(INDEX(Setup!$L$6:$L$23,9)))+(COUNTIF(G566:I566,"?*")&lt;N(INDEX(Setup!$L$6:$L$23,9)))+(COUNTIF(K566:M566,"?*")&lt;N(INDEX(Setup!$L$6:$L$23,9)))+(COUNTIF(O566:Q566,"?*")&lt;N(INDEX(Setup!$L$6:$L$23,9)))+(COUNTIF(S566:U566,"?*")&lt;N(INDEX(Setup!$L$6:$L$23,9)))+((W566="")*(INDEX(Setup!$M$6:$M$23,9)="Y"))+((Y566="")*(INDEX(Setup!$M$6:$M$23,9)="Y")))</f>
        <v/>
      </c>
      <c r="AC566" s="90">
        <f>IF($B566="","",IF(AB566=0,"✓ covered","⚠ "&amp;AB566&amp;IF(AB566=1," gap"," gaps")))</f>
        <v/>
      </c>
    </row>
    <row r="567" ht="17" customHeight="1">
      <c r="A567" t="n">
        <v>12</v>
      </c>
      <c r="B567" s="29">
        <f>IF(Setup!$K$15="","",Setup!$K$15)</f>
        <v/>
      </c>
      <c r="C567" s="88" t="n"/>
      <c r="D567" s="88" t="n"/>
      <c r="E567" s="88" t="n"/>
      <c r="F567" s="89" t="n"/>
      <c r="G567" s="88" t="n"/>
      <c r="H567" s="88" t="n"/>
      <c r="I567" s="88" t="n"/>
      <c r="J567" s="89" t="n"/>
      <c r="K567" s="88" t="n"/>
      <c r="L567" s="88" t="n"/>
      <c r="M567" s="88" t="n"/>
      <c r="N567" s="89" t="n"/>
      <c r="O567" s="88" t="n"/>
      <c r="P567" s="88" t="n"/>
      <c r="Q567" s="88" t="n"/>
      <c r="R567" s="89" t="n"/>
      <c r="S567" s="88" t="n"/>
      <c r="T567" s="88" t="n"/>
      <c r="U567" s="88" t="n"/>
      <c r="V567" s="89" t="n"/>
      <c r="W567" s="88" t="n"/>
      <c r="X567" s="89" t="n"/>
      <c r="Y567" s="88" t="n"/>
      <c r="Z567" s="89" t="n"/>
      <c r="AB567" s="30">
        <f>IF($B567="","",(COUNTIF(C567:E567,"?*")&lt;N(INDEX(Setup!$L$6:$L$23,10)))+(COUNTIF(G567:I567,"?*")&lt;N(INDEX(Setup!$L$6:$L$23,10)))+(COUNTIF(K567:M567,"?*")&lt;N(INDEX(Setup!$L$6:$L$23,10)))+(COUNTIF(O567:Q567,"?*")&lt;N(INDEX(Setup!$L$6:$L$23,10)))+(COUNTIF(S567:U567,"?*")&lt;N(INDEX(Setup!$L$6:$L$23,10)))+((W567="")*(INDEX(Setup!$M$6:$M$23,10)="Y"))+((Y567="")*(INDEX(Setup!$M$6:$M$23,10)="Y")))</f>
        <v/>
      </c>
      <c r="AC567" s="91">
        <f>IF($B567="","",IF(AB567=0,"✓ covered","⚠ "&amp;AB567&amp;IF(AB567=1," gap"," gaps")))</f>
        <v/>
      </c>
    </row>
    <row r="568" ht="17" customHeight="1">
      <c r="A568" t="n">
        <v>12</v>
      </c>
      <c r="B568" s="24">
        <f>IF(Setup!$K$16="","",Setup!$K$16)</f>
        <v/>
      </c>
      <c r="C568" s="88" t="n"/>
      <c r="D568" s="88" t="n"/>
      <c r="E568" s="88" t="n"/>
      <c r="F568" s="89" t="n"/>
      <c r="G568" s="88" t="n"/>
      <c r="H568" s="88" t="n"/>
      <c r="I568" s="88" t="n"/>
      <c r="J568" s="89" t="n"/>
      <c r="K568" s="88" t="n"/>
      <c r="L568" s="88" t="n"/>
      <c r="M568" s="88" t="n"/>
      <c r="N568" s="89" t="n"/>
      <c r="O568" s="88" t="n"/>
      <c r="P568" s="88" t="n"/>
      <c r="Q568" s="88" t="n"/>
      <c r="R568" s="89" t="n"/>
      <c r="S568" s="88" t="n"/>
      <c r="T568" s="88" t="n"/>
      <c r="U568" s="88" t="n"/>
      <c r="V568" s="89" t="n"/>
      <c r="W568" s="88" t="n"/>
      <c r="X568" s="89" t="n"/>
      <c r="Y568" s="88" t="n"/>
      <c r="Z568" s="89" t="n"/>
      <c r="AB568" s="25">
        <f>IF($B568="","",(COUNTIF(C568:E568,"?*")&lt;N(INDEX(Setup!$L$6:$L$23,11)))+(COUNTIF(G568:I568,"?*")&lt;N(INDEX(Setup!$L$6:$L$23,11)))+(COUNTIF(K568:M568,"?*")&lt;N(INDEX(Setup!$L$6:$L$23,11)))+(COUNTIF(O568:Q568,"?*")&lt;N(INDEX(Setup!$L$6:$L$23,11)))+(COUNTIF(S568:U568,"?*")&lt;N(INDEX(Setup!$L$6:$L$23,11)))+((W568="")*(INDEX(Setup!$M$6:$M$23,11)="Y"))+((Y568="")*(INDEX(Setup!$M$6:$M$23,11)="Y")))</f>
        <v/>
      </c>
      <c r="AC568" s="90">
        <f>IF($B568="","",IF(AB568=0,"✓ covered","⚠ "&amp;AB568&amp;IF(AB568=1," gap"," gaps")))</f>
        <v/>
      </c>
    </row>
    <row r="569" ht="17" customHeight="1">
      <c r="A569" t="n">
        <v>12</v>
      </c>
      <c r="B569" s="29">
        <f>IF(Setup!$K$17="","",Setup!$K$17)</f>
        <v/>
      </c>
      <c r="C569" s="88" t="n"/>
      <c r="D569" s="88" t="n"/>
      <c r="E569" s="88" t="n"/>
      <c r="F569" s="89" t="n"/>
      <c r="G569" s="88" t="n"/>
      <c r="H569" s="88" t="n"/>
      <c r="I569" s="88" t="n"/>
      <c r="J569" s="89" t="n"/>
      <c r="K569" s="88" t="n"/>
      <c r="L569" s="88" t="n"/>
      <c r="M569" s="88" t="n"/>
      <c r="N569" s="89" t="n"/>
      <c r="O569" s="88" t="n"/>
      <c r="P569" s="88" t="n"/>
      <c r="Q569" s="88" t="n"/>
      <c r="R569" s="89" t="n"/>
      <c r="S569" s="88" t="n"/>
      <c r="T569" s="88" t="n"/>
      <c r="U569" s="88" t="n"/>
      <c r="V569" s="89" t="n"/>
      <c r="W569" s="88" t="n"/>
      <c r="X569" s="89" t="n"/>
      <c r="Y569" s="88" t="n"/>
      <c r="Z569" s="89" t="n"/>
      <c r="AB569" s="30">
        <f>IF($B569="","",(COUNTIF(C569:E569,"?*")&lt;N(INDEX(Setup!$L$6:$L$23,12)))+(COUNTIF(G569:I569,"?*")&lt;N(INDEX(Setup!$L$6:$L$23,12)))+(COUNTIF(K569:M569,"?*")&lt;N(INDEX(Setup!$L$6:$L$23,12)))+(COUNTIF(O569:Q569,"?*")&lt;N(INDEX(Setup!$L$6:$L$23,12)))+(COUNTIF(S569:U569,"?*")&lt;N(INDEX(Setup!$L$6:$L$23,12)))+((W569="")*(INDEX(Setup!$M$6:$M$23,12)="Y"))+((Y569="")*(INDEX(Setup!$M$6:$M$23,12)="Y")))</f>
        <v/>
      </c>
      <c r="AC569" s="91">
        <f>IF($B569="","",IF(AB569=0,"✓ covered","⚠ "&amp;AB569&amp;IF(AB569=1," gap"," gaps")))</f>
        <v/>
      </c>
    </row>
    <row r="570" ht="17" customHeight="1">
      <c r="A570" t="n">
        <v>12</v>
      </c>
      <c r="B570" s="24">
        <f>IF(Setup!$K$18="","",Setup!$K$18)</f>
        <v/>
      </c>
      <c r="C570" s="88" t="n"/>
      <c r="D570" s="88" t="n"/>
      <c r="E570" s="88" t="n"/>
      <c r="F570" s="89" t="n"/>
      <c r="G570" s="88" t="n"/>
      <c r="H570" s="88" t="n"/>
      <c r="I570" s="88" t="n"/>
      <c r="J570" s="89" t="n"/>
      <c r="K570" s="88" t="n"/>
      <c r="L570" s="88" t="n"/>
      <c r="M570" s="88" t="n"/>
      <c r="N570" s="89" t="n"/>
      <c r="O570" s="88" t="n"/>
      <c r="P570" s="88" t="n"/>
      <c r="Q570" s="88" t="n"/>
      <c r="R570" s="89" t="n"/>
      <c r="S570" s="88" t="n"/>
      <c r="T570" s="88" t="n"/>
      <c r="U570" s="88" t="n"/>
      <c r="V570" s="89" t="n"/>
      <c r="W570" s="88" t="n"/>
      <c r="X570" s="89" t="n"/>
      <c r="Y570" s="88" t="n"/>
      <c r="Z570" s="89" t="n"/>
      <c r="AB570" s="25">
        <f>IF($B570="","",(COUNTIF(C570:E570,"?*")&lt;N(INDEX(Setup!$L$6:$L$23,13)))+(COUNTIF(G570:I570,"?*")&lt;N(INDEX(Setup!$L$6:$L$23,13)))+(COUNTIF(K570:M570,"?*")&lt;N(INDEX(Setup!$L$6:$L$23,13)))+(COUNTIF(O570:Q570,"?*")&lt;N(INDEX(Setup!$L$6:$L$23,13)))+(COUNTIF(S570:U570,"?*")&lt;N(INDEX(Setup!$L$6:$L$23,13)))+((W570="")*(INDEX(Setup!$M$6:$M$23,13)="Y"))+((Y570="")*(INDEX(Setup!$M$6:$M$23,13)="Y")))</f>
        <v/>
      </c>
      <c r="AC570" s="90">
        <f>IF($B570="","",IF(AB570=0,"✓ covered","⚠ "&amp;AB570&amp;IF(AB570=1," gap"," gaps")))</f>
        <v/>
      </c>
    </row>
    <row r="571" ht="17" customHeight="1">
      <c r="A571" t="n">
        <v>12</v>
      </c>
      <c r="B571" s="29">
        <f>IF(Setup!$K$19="","",Setup!$K$19)</f>
        <v/>
      </c>
      <c r="C571" s="88" t="n"/>
      <c r="D571" s="88" t="n"/>
      <c r="E571" s="88" t="n"/>
      <c r="F571" s="89" t="n"/>
      <c r="G571" s="88" t="n"/>
      <c r="H571" s="88" t="n"/>
      <c r="I571" s="88" t="n"/>
      <c r="J571" s="89" t="n"/>
      <c r="K571" s="88" t="n"/>
      <c r="L571" s="88" t="n"/>
      <c r="M571" s="88" t="n"/>
      <c r="N571" s="89" t="n"/>
      <c r="O571" s="88" t="n"/>
      <c r="P571" s="88" t="n"/>
      <c r="Q571" s="88" t="n"/>
      <c r="R571" s="89" t="n"/>
      <c r="S571" s="88" t="n"/>
      <c r="T571" s="88" t="n"/>
      <c r="U571" s="88" t="n"/>
      <c r="V571" s="89" t="n"/>
      <c r="W571" s="88" t="n"/>
      <c r="X571" s="89" t="n"/>
      <c r="Y571" s="88" t="n"/>
      <c r="Z571" s="89" t="n"/>
      <c r="AB571" s="30">
        <f>IF($B571="","",(COUNTIF(C571:E571,"?*")&lt;N(INDEX(Setup!$L$6:$L$23,14)))+(COUNTIF(G571:I571,"?*")&lt;N(INDEX(Setup!$L$6:$L$23,14)))+(COUNTIF(K571:M571,"?*")&lt;N(INDEX(Setup!$L$6:$L$23,14)))+(COUNTIF(O571:Q571,"?*")&lt;N(INDEX(Setup!$L$6:$L$23,14)))+(COUNTIF(S571:U571,"?*")&lt;N(INDEX(Setup!$L$6:$L$23,14)))+((W571="")*(INDEX(Setup!$M$6:$M$23,14)="Y"))+((Y571="")*(INDEX(Setup!$M$6:$M$23,14)="Y")))</f>
        <v/>
      </c>
      <c r="AC571" s="91">
        <f>IF($B571="","",IF(AB571=0,"✓ covered","⚠ "&amp;AB571&amp;IF(AB571=1," gap"," gaps")))</f>
        <v/>
      </c>
    </row>
    <row r="572" ht="17" customHeight="1">
      <c r="A572" t="n">
        <v>12</v>
      </c>
      <c r="B572" s="24">
        <f>IF(Setup!$K$20="","",Setup!$K$20)</f>
        <v/>
      </c>
      <c r="C572" s="88" t="n"/>
      <c r="D572" s="88" t="n"/>
      <c r="E572" s="88" t="n"/>
      <c r="F572" s="89" t="n"/>
      <c r="G572" s="88" t="n"/>
      <c r="H572" s="88" t="n"/>
      <c r="I572" s="88" t="n"/>
      <c r="J572" s="89" t="n"/>
      <c r="K572" s="88" t="n"/>
      <c r="L572" s="88" t="n"/>
      <c r="M572" s="88" t="n"/>
      <c r="N572" s="89" t="n"/>
      <c r="O572" s="88" t="n"/>
      <c r="P572" s="88" t="n"/>
      <c r="Q572" s="88" t="n"/>
      <c r="R572" s="89" t="n"/>
      <c r="S572" s="88" t="n"/>
      <c r="T572" s="88" t="n"/>
      <c r="U572" s="88" t="n"/>
      <c r="V572" s="89" t="n"/>
      <c r="W572" s="88" t="n"/>
      <c r="X572" s="89" t="n"/>
      <c r="Y572" s="88" t="n"/>
      <c r="Z572" s="89" t="n"/>
      <c r="AB572" s="25">
        <f>IF($B572="","",(COUNTIF(C572:E572,"?*")&lt;N(INDEX(Setup!$L$6:$L$23,15)))+(COUNTIF(G572:I572,"?*")&lt;N(INDEX(Setup!$L$6:$L$23,15)))+(COUNTIF(K572:M572,"?*")&lt;N(INDEX(Setup!$L$6:$L$23,15)))+(COUNTIF(O572:Q572,"?*")&lt;N(INDEX(Setup!$L$6:$L$23,15)))+(COUNTIF(S572:U572,"?*")&lt;N(INDEX(Setup!$L$6:$L$23,15)))+((W572="")*(INDEX(Setup!$M$6:$M$23,15)="Y"))+((Y572="")*(INDEX(Setup!$M$6:$M$23,15)="Y")))</f>
        <v/>
      </c>
      <c r="AC572" s="90">
        <f>IF($B572="","",IF(AB572=0,"✓ covered","⚠ "&amp;AB572&amp;IF(AB572=1," gap"," gaps")))</f>
        <v/>
      </c>
    </row>
    <row r="573" ht="17" customHeight="1">
      <c r="A573" t="n">
        <v>12</v>
      </c>
      <c r="B573" s="29">
        <f>IF(Setup!$K$21="","",Setup!$K$21)</f>
        <v/>
      </c>
      <c r="C573" s="88" t="n"/>
      <c r="D573" s="88" t="n"/>
      <c r="E573" s="88" t="n"/>
      <c r="F573" s="89" t="n"/>
      <c r="G573" s="88" t="n"/>
      <c r="H573" s="88" t="n"/>
      <c r="I573" s="88" t="n"/>
      <c r="J573" s="89" t="n"/>
      <c r="K573" s="88" t="n"/>
      <c r="L573" s="88" t="n"/>
      <c r="M573" s="88" t="n"/>
      <c r="N573" s="89" t="n"/>
      <c r="O573" s="88" t="n"/>
      <c r="P573" s="88" t="n"/>
      <c r="Q573" s="88" t="n"/>
      <c r="R573" s="89" t="n"/>
      <c r="S573" s="88" t="n"/>
      <c r="T573" s="88" t="n"/>
      <c r="U573" s="88" t="n"/>
      <c r="V573" s="89" t="n"/>
      <c r="W573" s="88" t="n"/>
      <c r="X573" s="89" t="n"/>
      <c r="Y573" s="88" t="n"/>
      <c r="Z573" s="89" t="n"/>
      <c r="AB573" s="30">
        <f>IF($B573="","",(COUNTIF(C573:E573,"?*")&lt;N(INDEX(Setup!$L$6:$L$23,16)))+(COUNTIF(G573:I573,"?*")&lt;N(INDEX(Setup!$L$6:$L$23,16)))+(COUNTIF(K573:M573,"?*")&lt;N(INDEX(Setup!$L$6:$L$23,16)))+(COUNTIF(O573:Q573,"?*")&lt;N(INDEX(Setup!$L$6:$L$23,16)))+(COUNTIF(S573:U573,"?*")&lt;N(INDEX(Setup!$L$6:$L$23,16)))+((W573="")*(INDEX(Setup!$M$6:$M$23,16)="Y"))+((Y573="")*(INDEX(Setup!$M$6:$M$23,16)="Y")))</f>
        <v/>
      </c>
      <c r="AC573" s="91">
        <f>IF($B573="","",IF(AB573=0,"✓ covered","⚠ "&amp;AB573&amp;IF(AB573=1," gap"," gaps")))</f>
        <v/>
      </c>
    </row>
    <row r="574" ht="17" customHeight="1">
      <c r="A574" t="n">
        <v>12</v>
      </c>
      <c r="B574" s="24">
        <f>IF(Setup!$K$22="","",Setup!$K$22)</f>
        <v/>
      </c>
      <c r="C574" s="88" t="n"/>
      <c r="D574" s="88" t="n"/>
      <c r="E574" s="88" t="n"/>
      <c r="F574" s="89" t="n"/>
      <c r="G574" s="88" t="n"/>
      <c r="H574" s="88" t="n"/>
      <c r="I574" s="88" t="n"/>
      <c r="J574" s="89" t="n"/>
      <c r="K574" s="88" t="n"/>
      <c r="L574" s="88" t="n"/>
      <c r="M574" s="88" t="n"/>
      <c r="N574" s="89" t="n"/>
      <c r="O574" s="88" t="n"/>
      <c r="P574" s="88" t="n"/>
      <c r="Q574" s="88" t="n"/>
      <c r="R574" s="89" t="n"/>
      <c r="S574" s="88" t="n"/>
      <c r="T574" s="88" t="n"/>
      <c r="U574" s="88" t="n"/>
      <c r="V574" s="89" t="n"/>
      <c r="W574" s="88" t="n"/>
      <c r="X574" s="89" t="n"/>
      <c r="Y574" s="88" t="n"/>
      <c r="Z574" s="89" t="n"/>
      <c r="AB574" s="25">
        <f>IF($B574="","",(COUNTIF(C574:E574,"?*")&lt;N(INDEX(Setup!$L$6:$L$23,17)))+(COUNTIF(G574:I574,"?*")&lt;N(INDEX(Setup!$L$6:$L$23,17)))+(COUNTIF(K574:M574,"?*")&lt;N(INDEX(Setup!$L$6:$L$23,17)))+(COUNTIF(O574:Q574,"?*")&lt;N(INDEX(Setup!$L$6:$L$23,17)))+(COUNTIF(S574:U574,"?*")&lt;N(INDEX(Setup!$L$6:$L$23,17)))+((W574="")*(INDEX(Setup!$M$6:$M$23,17)="Y"))+((Y574="")*(INDEX(Setup!$M$6:$M$23,17)="Y")))</f>
        <v/>
      </c>
      <c r="AC574" s="90">
        <f>IF($B574="","",IF(AB574=0,"✓ covered","⚠ "&amp;AB574&amp;IF(AB574=1," gap"," gaps")))</f>
        <v/>
      </c>
    </row>
    <row r="575" ht="17" customHeight="1">
      <c r="A575" t="n">
        <v>12</v>
      </c>
      <c r="B575" s="29">
        <f>IF(Setup!$K$23="","",Setup!$K$23)</f>
        <v/>
      </c>
      <c r="C575" s="88" t="n"/>
      <c r="D575" s="88" t="n"/>
      <c r="E575" s="88" t="n"/>
      <c r="F575" s="89" t="n"/>
      <c r="G575" s="88" t="n"/>
      <c r="H575" s="88" t="n"/>
      <c r="I575" s="88" t="n"/>
      <c r="J575" s="89" t="n"/>
      <c r="K575" s="88" t="n"/>
      <c r="L575" s="88" t="n"/>
      <c r="M575" s="88" t="n"/>
      <c r="N575" s="89" t="n"/>
      <c r="O575" s="88" t="n"/>
      <c r="P575" s="88" t="n"/>
      <c r="Q575" s="88" t="n"/>
      <c r="R575" s="89" t="n"/>
      <c r="S575" s="88" t="n"/>
      <c r="T575" s="88" t="n"/>
      <c r="U575" s="88" t="n"/>
      <c r="V575" s="89" t="n"/>
      <c r="W575" s="88" t="n"/>
      <c r="X575" s="89" t="n"/>
      <c r="Y575" s="88" t="n"/>
      <c r="Z575" s="89" t="n"/>
      <c r="AB575" s="30">
        <f>IF($B575="","",(COUNTIF(C575:E575,"?*")&lt;N(INDEX(Setup!$L$6:$L$23,18)))+(COUNTIF(G575:I575,"?*")&lt;N(INDEX(Setup!$L$6:$L$23,18)))+(COUNTIF(K575:M575,"?*")&lt;N(INDEX(Setup!$L$6:$L$23,18)))+(COUNTIF(O575:Q575,"?*")&lt;N(INDEX(Setup!$L$6:$L$23,18)))+(COUNTIF(S575:U575,"?*")&lt;N(INDEX(Setup!$L$6:$L$23,18)))+((W575="")*(INDEX(Setup!$M$6:$M$23,18)="Y"))+((Y575="")*(INDEX(Setup!$M$6:$M$23,18)="Y")))</f>
        <v/>
      </c>
      <c r="AC575" s="91">
        <f>IF($B575="","",IF(AB575=0,"✓ covered","⚠ "&amp;AB575&amp;IF(AB575=1," gap"," gaps")))</f>
        <v/>
      </c>
    </row>
    <row r="576" ht="18" customHeight="1">
      <c r="A576" t="n">
        <v>12</v>
      </c>
      <c r="B576" s="78" t="inlineStr">
        <is>
          <t>TEAM AVAILABILITY</t>
        </is>
      </c>
      <c r="C576" s="92" t="inlineStr">
        <is>
          <t>Mon</t>
        </is>
      </c>
      <c r="D576" s="93" t="n"/>
      <c r="E576" s="93" t="n"/>
      <c r="F576" s="94" t="n"/>
      <c r="G576" s="92" t="inlineStr">
        <is>
          <t>Tue</t>
        </is>
      </c>
      <c r="H576" s="93" t="n"/>
      <c r="I576" s="93" t="n"/>
      <c r="J576" s="94" t="n"/>
      <c r="K576" s="92" t="inlineStr">
        <is>
          <t>Wed</t>
        </is>
      </c>
      <c r="L576" s="93" t="n"/>
      <c r="M576" s="93" t="n"/>
      <c r="N576" s="94" t="n"/>
      <c r="O576" s="92" t="inlineStr">
        <is>
          <t>Thu</t>
        </is>
      </c>
      <c r="P576" s="93" t="n"/>
      <c r="Q576" s="93" t="n"/>
      <c r="R576" s="94" t="n"/>
      <c r="S576" s="92" t="inlineStr">
        <is>
          <t>Fri</t>
        </is>
      </c>
      <c r="T576" s="93" t="n"/>
      <c r="U576" s="93" t="n"/>
      <c r="V576" s="94" t="n"/>
      <c r="W576" s="95" t="inlineStr">
        <is>
          <t>Sat</t>
        </is>
      </c>
      <c r="X576" s="96" t="n"/>
      <c r="Y576" s="95" t="inlineStr">
        <is>
          <t>Sun</t>
        </is>
      </c>
      <c r="Z576" s="96" t="n"/>
      <c r="AB576" s="97" t="inlineStr">
        <is>
          <t>Days rostered</t>
        </is>
      </c>
      <c r="AC576" s="97" t="inlineStr">
        <is>
          <t>Conflicts</t>
        </is>
      </c>
    </row>
    <row r="577" ht="15" customHeight="1">
      <c r="A577" t="n">
        <v>12</v>
      </c>
      <c r="B577" s="35">
        <f>IF(Setup!$B$6="","",Setup!$B$6)</f>
        <v/>
      </c>
      <c r="C577" s="98" t="n"/>
      <c r="D577" s="99" t="n"/>
      <c r="E577" s="99" t="n"/>
      <c r="F577" s="100" t="n"/>
      <c r="G577" s="98" t="n"/>
      <c r="H577" s="99" t="n"/>
      <c r="I577" s="99" t="n"/>
      <c r="J577" s="100" t="n"/>
      <c r="K577" s="98" t="n"/>
      <c r="L577" s="99" t="n"/>
      <c r="M577" s="99" t="n"/>
      <c r="N577" s="100" t="n"/>
      <c r="O577" s="98" t="n"/>
      <c r="P577" s="99" t="n"/>
      <c r="Q577" s="99" t="n"/>
      <c r="R577" s="100" t="n"/>
      <c r="S577" s="98" t="n"/>
      <c r="T577" s="99" t="n"/>
      <c r="U577" s="99" t="n"/>
      <c r="V577" s="100" t="n"/>
      <c r="W577" s="98" t="n"/>
      <c r="X577" s="100" t="n"/>
      <c r="Y577" s="98" t="n"/>
      <c r="Z577" s="100" t="n"/>
      <c r="AB577" s="101">
        <f>IF($B577="","",(COUNTIF(C558:E575,$B577)+COUNTIF(C558:E575,$B577&amp;" ~*")&gt;0)+(COUNTIF(G558:I575,$B577)+COUNTIF(G558:I575,$B577&amp;" ~*")&gt;0)+(COUNTIF(K558:M575,$B577)+COUNTIF(K558:M575,$B577&amp;" ~*")&gt;0)+(COUNTIF(O558:Q575,$B577)+COUNTIF(O558:Q575,$B577&amp;" ~*")&gt;0)+(COUNTIF(S558:U575,$B577)+COUNTIF(S558:U575,$B577&amp;" ~*")&gt;0)+(COUNTIF(W558:W575,$B577)+COUNTIF(W558:W575,$B577&amp;" ~*")&gt;0)+(COUNTIF(Y558:Y575,$B577)+COUNTIF(Y558:Y575,$B577&amp;" ~*")&gt;0))</f>
        <v/>
      </c>
      <c r="AC577" s="36">
        <f>IF($B577="","",(IFERROR(INDEX(Setup!$G$33:$G$40,MATCH(C577,Setup!$B$33:$B$40,0)),0)=1)*(COUNTIF(C558:E575,$B577)+COUNTIF(C558:E575,$B577&amp;" ~*")&gt;0)+(IFERROR(INDEX(Setup!$G$33:$G$40,MATCH(G577,Setup!$B$33:$B$40,0)),0)=1)*(COUNTIF(G558:I575,$B577)+COUNTIF(G558:I575,$B577&amp;" ~*")&gt;0)+(IFERROR(INDEX(Setup!$G$33:$G$40,MATCH(K577,Setup!$B$33:$B$40,0)),0)=1)*(COUNTIF(K558:M575,$B577)+COUNTIF(K558:M575,$B577&amp;" ~*")&gt;0)+(IFERROR(INDEX(Setup!$G$33:$G$40,MATCH(O577,Setup!$B$33:$B$40,0)),0)=1)*(COUNTIF(O558:Q575,$B577)+COUNTIF(O558:Q575,$B577&amp;" ~*")&gt;0)+(IFERROR(INDEX(Setup!$G$33:$G$40,MATCH(S577,Setup!$B$33:$B$40,0)),0)=1)*(COUNTIF(S558:U575,$B577)+COUNTIF(S558:U575,$B577&amp;" ~*")&gt;0)+(IFERROR(INDEX(Setup!$G$33:$G$40,MATCH(W577,Setup!$B$33:$B$40,0)),0)=1)*(COUNTIF(W558:W575,$B577)+COUNTIF(W558:W575,$B577&amp;" ~*")&gt;0)+(IFERROR(INDEX(Setup!$G$33:$G$40,MATCH(Y577,Setup!$B$33:$B$40,0)),0)=1)*(COUNTIF(Y558:Y575,$B577)+COUNTIF(Y558:Y575,$B577&amp;" ~*")&gt;0))</f>
        <v/>
      </c>
    </row>
    <row r="578" ht="15" customHeight="1">
      <c r="A578" t="n">
        <v>12</v>
      </c>
      <c r="B578" s="37">
        <f>IF(Setup!$B$7="","",Setup!$B$7)</f>
        <v/>
      </c>
      <c r="C578" s="102" t="n"/>
      <c r="D578" s="103" t="n"/>
      <c r="E578" s="103" t="n"/>
      <c r="F578" s="104" t="n"/>
      <c r="G578" s="102" t="n"/>
      <c r="H578" s="103" t="n"/>
      <c r="I578" s="103" t="n"/>
      <c r="J578" s="104" t="n"/>
      <c r="K578" s="102" t="n"/>
      <c r="L578" s="103" t="n"/>
      <c r="M578" s="103" t="n"/>
      <c r="N578" s="104" t="n"/>
      <c r="O578" s="102" t="n"/>
      <c r="P578" s="103" t="n"/>
      <c r="Q578" s="103" t="n"/>
      <c r="R578" s="104" t="n"/>
      <c r="S578" s="102" t="n"/>
      <c r="T578" s="103" t="n"/>
      <c r="U578" s="103" t="n"/>
      <c r="V578" s="104" t="n"/>
      <c r="W578" s="102" t="n"/>
      <c r="X578" s="104" t="n"/>
      <c r="Y578" s="102" t="n"/>
      <c r="Z578" s="104" t="n"/>
      <c r="AB578" s="105">
        <f>IF($B578="","",(COUNTIF(C558:E575,$B578)+COUNTIF(C558:E575,$B578&amp;" ~*")&gt;0)+(COUNTIF(G558:I575,$B578)+COUNTIF(G558:I575,$B578&amp;" ~*")&gt;0)+(COUNTIF(K558:M575,$B578)+COUNTIF(K558:M575,$B578&amp;" ~*")&gt;0)+(COUNTIF(O558:Q575,$B578)+COUNTIF(O558:Q575,$B578&amp;" ~*")&gt;0)+(COUNTIF(S558:U575,$B578)+COUNTIF(S558:U575,$B578&amp;" ~*")&gt;0)+(COUNTIF(W558:W575,$B578)+COUNTIF(W558:W575,$B578&amp;" ~*")&gt;0)+(COUNTIF(Y558:Y575,$B578)+COUNTIF(Y558:Y575,$B578&amp;" ~*")&gt;0))</f>
        <v/>
      </c>
      <c r="AC578" s="38">
        <f>IF($B578="","",(IFERROR(INDEX(Setup!$G$33:$G$40,MATCH(C578,Setup!$B$33:$B$40,0)),0)=1)*(COUNTIF(C558:E575,$B578)+COUNTIF(C558:E575,$B578&amp;" ~*")&gt;0)+(IFERROR(INDEX(Setup!$G$33:$G$40,MATCH(G578,Setup!$B$33:$B$40,0)),0)=1)*(COUNTIF(G558:I575,$B578)+COUNTIF(G558:I575,$B578&amp;" ~*")&gt;0)+(IFERROR(INDEX(Setup!$G$33:$G$40,MATCH(K578,Setup!$B$33:$B$40,0)),0)=1)*(COUNTIF(K558:M575,$B578)+COUNTIF(K558:M575,$B578&amp;" ~*")&gt;0)+(IFERROR(INDEX(Setup!$G$33:$G$40,MATCH(O578,Setup!$B$33:$B$40,0)),0)=1)*(COUNTIF(O558:Q575,$B578)+COUNTIF(O558:Q575,$B578&amp;" ~*")&gt;0)+(IFERROR(INDEX(Setup!$G$33:$G$40,MATCH(S578,Setup!$B$33:$B$40,0)),0)=1)*(COUNTIF(S558:U575,$B578)+COUNTIF(S558:U575,$B578&amp;" ~*")&gt;0)+(IFERROR(INDEX(Setup!$G$33:$G$40,MATCH(W578,Setup!$B$33:$B$40,0)),0)=1)*(COUNTIF(W558:W575,$B578)+COUNTIF(W558:W575,$B578&amp;" ~*")&gt;0)+(IFERROR(INDEX(Setup!$G$33:$G$40,MATCH(Y578,Setup!$B$33:$B$40,0)),0)=1)*(COUNTIF(Y558:Y575,$B578)+COUNTIF(Y558:Y575,$B578&amp;" ~*")&gt;0))</f>
        <v/>
      </c>
    </row>
    <row r="579" ht="15" customHeight="1">
      <c r="A579" t="n">
        <v>12</v>
      </c>
      <c r="B579" s="35">
        <f>IF(Setup!$B$8="","",Setup!$B$8)</f>
        <v/>
      </c>
      <c r="C579" s="98" t="n"/>
      <c r="D579" s="99" t="n"/>
      <c r="E579" s="99" t="n"/>
      <c r="F579" s="100" t="n"/>
      <c r="G579" s="98" t="n"/>
      <c r="H579" s="99" t="n"/>
      <c r="I579" s="99" t="n"/>
      <c r="J579" s="100" t="n"/>
      <c r="K579" s="98" t="n"/>
      <c r="L579" s="99" t="n"/>
      <c r="M579" s="99" t="n"/>
      <c r="N579" s="100" t="n"/>
      <c r="O579" s="98" t="n"/>
      <c r="P579" s="99" t="n"/>
      <c r="Q579" s="99" t="n"/>
      <c r="R579" s="100" t="n"/>
      <c r="S579" s="98" t="n"/>
      <c r="T579" s="99" t="n"/>
      <c r="U579" s="99" t="n"/>
      <c r="V579" s="100" t="n"/>
      <c r="W579" s="98" t="n"/>
      <c r="X579" s="100" t="n"/>
      <c r="Y579" s="98" t="n"/>
      <c r="Z579" s="100" t="n"/>
      <c r="AB579" s="101">
        <f>IF($B579="","",(COUNTIF(C558:E575,$B579)+COUNTIF(C558:E575,$B579&amp;" ~*")&gt;0)+(COUNTIF(G558:I575,$B579)+COUNTIF(G558:I575,$B579&amp;" ~*")&gt;0)+(COUNTIF(K558:M575,$B579)+COUNTIF(K558:M575,$B579&amp;" ~*")&gt;0)+(COUNTIF(O558:Q575,$B579)+COUNTIF(O558:Q575,$B579&amp;" ~*")&gt;0)+(COUNTIF(S558:U575,$B579)+COUNTIF(S558:U575,$B579&amp;" ~*")&gt;0)+(COUNTIF(W558:W575,$B579)+COUNTIF(W558:W575,$B579&amp;" ~*")&gt;0)+(COUNTIF(Y558:Y575,$B579)+COUNTIF(Y558:Y575,$B579&amp;" ~*")&gt;0))</f>
        <v/>
      </c>
      <c r="AC579" s="36">
        <f>IF($B579="","",(IFERROR(INDEX(Setup!$G$33:$G$40,MATCH(C579,Setup!$B$33:$B$40,0)),0)=1)*(COUNTIF(C558:E575,$B579)+COUNTIF(C558:E575,$B579&amp;" ~*")&gt;0)+(IFERROR(INDEX(Setup!$G$33:$G$40,MATCH(G579,Setup!$B$33:$B$40,0)),0)=1)*(COUNTIF(G558:I575,$B579)+COUNTIF(G558:I575,$B579&amp;" ~*")&gt;0)+(IFERROR(INDEX(Setup!$G$33:$G$40,MATCH(K579,Setup!$B$33:$B$40,0)),0)=1)*(COUNTIF(K558:M575,$B579)+COUNTIF(K558:M575,$B579&amp;" ~*")&gt;0)+(IFERROR(INDEX(Setup!$G$33:$G$40,MATCH(O579,Setup!$B$33:$B$40,0)),0)=1)*(COUNTIF(O558:Q575,$B579)+COUNTIF(O558:Q575,$B579&amp;" ~*")&gt;0)+(IFERROR(INDEX(Setup!$G$33:$G$40,MATCH(S579,Setup!$B$33:$B$40,0)),0)=1)*(COUNTIF(S558:U575,$B579)+COUNTIF(S558:U575,$B579&amp;" ~*")&gt;0)+(IFERROR(INDEX(Setup!$G$33:$G$40,MATCH(W579,Setup!$B$33:$B$40,0)),0)=1)*(COUNTIF(W558:W575,$B579)+COUNTIF(W558:W575,$B579&amp;" ~*")&gt;0)+(IFERROR(INDEX(Setup!$G$33:$G$40,MATCH(Y579,Setup!$B$33:$B$40,0)),0)=1)*(COUNTIF(Y558:Y575,$B579)+COUNTIF(Y558:Y575,$B579&amp;" ~*")&gt;0))</f>
        <v/>
      </c>
    </row>
    <row r="580" ht="15" customHeight="1">
      <c r="A580" t="n">
        <v>12</v>
      </c>
      <c r="B580" s="37">
        <f>IF(Setup!$B$9="","",Setup!$B$9)</f>
        <v/>
      </c>
      <c r="C580" s="102" t="n"/>
      <c r="D580" s="103" t="n"/>
      <c r="E580" s="103" t="n"/>
      <c r="F580" s="104" t="n"/>
      <c r="G580" s="102" t="n"/>
      <c r="H580" s="103" t="n"/>
      <c r="I580" s="103" t="n"/>
      <c r="J580" s="104" t="n"/>
      <c r="K580" s="102" t="n"/>
      <c r="L580" s="103" t="n"/>
      <c r="M580" s="103" t="n"/>
      <c r="N580" s="104" t="n"/>
      <c r="O580" s="102" t="n"/>
      <c r="P580" s="103" t="n"/>
      <c r="Q580" s="103" t="n"/>
      <c r="R580" s="104" t="n"/>
      <c r="S580" s="102" t="n"/>
      <c r="T580" s="103" t="n"/>
      <c r="U580" s="103" t="n"/>
      <c r="V580" s="104" t="n"/>
      <c r="W580" s="102" t="n"/>
      <c r="X580" s="104" t="n"/>
      <c r="Y580" s="102" t="n"/>
      <c r="Z580" s="104" t="n"/>
      <c r="AB580" s="105">
        <f>IF($B580="","",(COUNTIF(C558:E575,$B580)+COUNTIF(C558:E575,$B580&amp;" ~*")&gt;0)+(COUNTIF(G558:I575,$B580)+COUNTIF(G558:I575,$B580&amp;" ~*")&gt;0)+(COUNTIF(K558:M575,$B580)+COUNTIF(K558:M575,$B580&amp;" ~*")&gt;0)+(COUNTIF(O558:Q575,$B580)+COUNTIF(O558:Q575,$B580&amp;" ~*")&gt;0)+(COUNTIF(S558:U575,$B580)+COUNTIF(S558:U575,$B580&amp;" ~*")&gt;0)+(COUNTIF(W558:W575,$B580)+COUNTIF(W558:W575,$B580&amp;" ~*")&gt;0)+(COUNTIF(Y558:Y575,$B580)+COUNTIF(Y558:Y575,$B580&amp;" ~*")&gt;0))</f>
        <v/>
      </c>
      <c r="AC580" s="38">
        <f>IF($B580="","",(IFERROR(INDEX(Setup!$G$33:$G$40,MATCH(C580,Setup!$B$33:$B$40,0)),0)=1)*(COUNTIF(C558:E575,$B580)+COUNTIF(C558:E575,$B580&amp;" ~*")&gt;0)+(IFERROR(INDEX(Setup!$G$33:$G$40,MATCH(G580,Setup!$B$33:$B$40,0)),0)=1)*(COUNTIF(G558:I575,$B580)+COUNTIF(G558:I575,$B580&amp;" ~*")&gt;0)+(IFERROR(INDEX(Setup!$G$33:$G$40,MATCH(K580,Setup!$B$33:$B$40,0)),0)=1)*(COUNTIF(K558:M575,$B580)+COUNTIF(K558:M575,$B580&amp;" ~*")&gt;0)+(IFERROR(INDEX(Setup!$G$33:$G$40,MATCH(O580,Setup!$B$33:$B$40,0)),0)=1)*(COUNTIF(O558:Q575,$B580)+COUNTIF(O558:Q575,$B580&amp;" ~*")&gt;0)+(IFERROR(INDEX(Setup!$G$33:$G$40,MATCH(S580,Setup!$B$33:$B$40,0)),0)=1)*(COUNTIF(S558:U575,$B580)+COUNTIF(S558:U575,$B580&amp;" ~*")&gt;0)+(IFERROR(INDEX(Setup!$G$33:$G$40,MATCH(W580,Setup!$B$33:$B$40,0)),0)=1)*(COUNTIF(W558:W575,$B580)+COUNTIF(W558:W575,$B580&amp;" ~*")&gt;0)+(IFERROR(INDEX(Setup!$G$33:$G$40,MATCH(Y580,Setup!$B$33:$B$40,0)),0)=1)*(COUNTIF(Y558:Y575,$B580)+COUNTIF(Y558:Y575,$B580&amp;" ~*")&gt;0))</f>
        <v/>
      </c>
    </row>
    <row r="581" ht="15" customHeight="1">
      <c r="A581" t="n">
        <v>12</v>
      </c>
      <c r="B581" s="35">
        <f>IF(Setup!$B$10="","",Setup!$B$10)</f>
        <v/>
      </c>
      <c r="C581" s="98" t="n"/>
      <c r="D581" s="99" t="n"/>
      <c r="E581" s="99" t="n"/>
      <c r="F581" s="100" t="n"/>
      <c r="G581" s="98" t="n"/>
      <c r="H581" s="99" t="n"/>
      <c r="I581" s="99" t="n"/>
      <c r="J581" s="100" t="n"/>
      <c r="K581" s="98" t="n"/>
      <c r="L581" s="99" t="n"/>
      <c r="M581" s="99" t="n"/>
      <c r="N581" s="100" t="n"/>
      <c r="O581" s="98" t="n"/>
      <c r="P581" s="99" t="n"/>
      <c r="Q581" s="99" t="n"/>
      <c r="R581" s="100" t="n"/>
      <c r="S581" s="98" t="n"/>
      <c r="T581" s="99" t="n"/>
      <c r="U581" s="99" t="n"/>
      <c r="V581" s="100" t="n"/>
      <c r="W581" s="98" t="n"/>
      <c r="X581" s="100" t="n"/>
      <c r="Y581" s="98" t="n"/>
      <c r="Z581" s="100" t="n"/>
      <c r="AB581" s="101">
        <f>IF($B581="","",(COUNTIF(C558:E575,$B581)+COUNTIF(C558:E575,$B581&amp;" ~*")&gt;0)+(COUNTIF(G558:I575,$B581)+COUNTIF(G558:I575,$B581&amp;" ~*")&gt;0)+(COUNTIF(K558:M575,$B581)+COUNTIF(K558:M575,$B581&amp;" ~*")&gt;0)+(COUNTIF(O558:Q575,$B581)+COUNTIF(O558:Q575,$B581&amp;" ~*")&gt;0)+(COUNTIF(S558:U575,$B581)+COUNTIF(S558:U575,$B581&amp;" ~*")&gt;0)+(COUNTIF(W558:W575,$B581)+COUNTIF(W558:W575,$B581&amp;" ~*")&gt;0)+(COUNTIF(Y558:Y575,$B581)+COUNTIF(Y558:Y575,$B581&amp;" ~*")&gt;0))</f>
        <v/>
      </c>
      <c r="AC581" s="36">
        <f>IF($B581="","",(IFERROR(INDEX(Setup!$G$33:$G$40,MATCH(C581,Setup!$B$33:$B$40,0)),0)=1)*(COUNTIF(C558:E575,$B581)+COUNTIF(C558:E575,$B581&amp;" ~*")&gt;0)+(IFERROR(INDEX(Setup!$G$33:$G$40,MATCH(G581,Setup!$B$33:$B$40,0)),0)=1)*(COUNTIF(G558:I575,$B581)+COUNTIF(G558:I575,$B581&amp;" ~*")&gt;0)+(IFERROR(INDEX(Setup!$G$33:$G$40,MATCH(K581,Setup!$B$33:$B$40,0)),0)=1)*(COUNTIF(K558:M575,$B581)+COUNTIF(K558:M575,$B581&amp;" ~*")&gt;0)+(IFERROR(INDEX(Setup!$G$33:$G$40,MATCH(O581,Setup!$B$33:$B$40,0)),0)=1)*(COUNTIF(O558:Q575,$B581)+COUNTIF(O558:Q575,$B581&amp;" ~*")&gt;0)+(IFERROR(INDEX(Setup!$G$33:$G$40,MATCH(S581,Setup!$B$33:$B$40,0)),0)=1)*(COUNTIF(S558:U575,$B581)+COUNTIF(S558:U575,$B581&amp;" ~*")&gt;0)+(IFERROR(INDEX(Setup!$G$33:$G$40,MATCH(W581,Setup!$B$33:$B$40,0)),0)=1)*(COUNTIF(W558:W575,$B581)+COUNTIF(W558:W575,$B581&amp;" ~*")&gt;0)+(IFERROR(INDEX(Setup!$G$33:$G$40,MATCH(Y581,Setup!$B$33:$B$40,0)),0)=1)*(COUNTIF(Y558:Y575,$B581)+COUNTIF(Y558:Y575,$B581&amp;" ~*")&gt;0))</f>
        <v/>
      </c>
    </row>
    <row r="582" ht="15" customHeight="1">
      <c r="A582" t="n">
        <v>12</v>
      </c>
      <c r="B582" s="37">
        <f>IF(Setup!$B$11="","",Setup!$B$11)</f>
        <v/>
      </c>
      <c r="C582" s="102" t="n"/>
      <c r="D582" s="103" t="n"/>
      <c r="E582" s="103" t="n"/>
      <c r="F582" s="104" t="n"/>
      <c r="G582" s="102" t="n"/>
      <c r="H582" s="103" t="n"/>
      <c r="I582" s="103" t="n"/>
      <c r="J582" s="104" t="n"/>
      <c r="K582" s="102" t="n"/>
      <c r="L582" s="103" t="n"/>
      <c r="M582" s="103" t="n"/>
      <c r="N582" s="104" t="n"/>
      <c r="O582" s="102" t="n"/>
      <c r="P582" s="103" t="n"/>
      <c r="Q582" s="103" t="n"/>
      <c r="R582" s="104" t="n"/>
      <c r="S582" s="102" t="n"/>
      <c r="T582" s="103" t="n"/>
      <c r="U582" s="103" t="n"/>
      <c r="V582" s="104" t="n"/>
      <c r="W582" s="102" t="n"/>
      <c r="X582" s="104" t="n"/>
      <c r="Y582" s="102" t="n"/>
      <c r="Z582" s="104" t="n"/>
      <c r="AB582" s="105">
        <f>IF($B582="","",(COUNTIF(C558:E575,$B582)+COUNTIF(C558:E575,$B582&amp;" ~*")&gt;0)+(COUNTIF(G558:I575,$B582)+COUNTIF(G558:I575,$B582&amp;" ~*")&gt;0)+(COUNTIF(K558:M575,$B582)+COUNTIF(K558:M575,$B582&amp;" ~*")&gt;0)+(COUNTIF(O558:Q575,$B582)+COUNTIF(O558:Q575,$B582&amp;" ~*")&gt;0)+(COUNTIF(S558:U575,$B582)+COUNTIF(S558:U575,$B582&amp;" ~*")&gt;0)+(COUNTIF(W558:W575,$B582)+COUNTIF(W558:W575,$B582&amp;" ~*")&gt;0)+(COUNTIF(Y558:Y575,$B582)+COUNTIF(Y558:Y575,$B582&amp;" ~*")&gt;0))</f>
        <v/>
      </c>
      <c r="AC582" s="38">
        <f>IF($B582="","",(IFERROR(INDEX(Setup!$G$33:$G$40,MATCH(C582,Setup!$B$33:$B$40,0)),0)=1)*(COUNTIF(C558:E575,$B582)+COUNTIF(C558:E575,$B582&amp;" ~*")&gt;0)+(IFERROR(INDEX(Setup!$G$33:$G$40,MATCH(G582,Setup!$B$33:$B$40,0)),0)=1)*(COUNTIF(G558:I575,$B582)+COUNTIF(G558:I575,$B582&amp;" ~*")&gt;0)+(IFERROR(INDEX(Setup!$G$33:$G$40,MATCH(K582,Setup!$B$33:$B$40,0)),0)=1)*(COUNTIF(K558:M575,$B582)+COUNTIF(K558:M575,$B582&amp;" ~*")&gt;0)+(IFERROR(INDEX(Setup!$G$33:$G$40,MATCH(O582,Setup!$B$33:$B$40,0)),0)=1)*(COUNTIF(O558:Q575,$B582)+COUNTIF(O558:Q575,$B582&amp;" ~*")&gt;0)+(IFERROR(INDEX(Setup!$G$33:$G$40,MATCH(S582,Setup!$B$33:$B$40,0)),0)=1)*(COUNTIF(S558:U575,$B582)+COUNTIF(S558:U575,$B582&amp;" ~*")&gt;0)+(IFERROR(INDEX(Setup!$G$33:$G$40,MATCH(W582,Setup!$B$33:$B$40,0)),0)=1)*(COUNTIF(W558:W575,$B582)+COUNTIF(W558:W575,$B582&amp;" ~*")&gt;0)+(IFERROR(INDEX(Setup!$G$33:$G$40,MATCH(Y582,Setup!$B$33:$B$40,0)),0)=1)*(COUNTIF(Y558:Y575,$B582)+COUNTIF(Y558:Y575,$B582&amp;" ~*")&gt;0))</f>
        <v/>
      </c>
    </row>
    <row r="583" ht="15" customHeight="1">
      <c r="A583" t="n">
        <v>12</v>
      </c>
      <c r="B583" s="35">
        <f>IF(Setup!$B$12="","",Setup!$B$12)</f>
        <v/>
      </c>
      <c r="C583" s="98" t="n"/>
      <c r="D583" s="99" t="n"/>
      <c r="E583" s="99" t="n"/>
      <c r="F583" s="100" t="n"/>
      <c r="G583" s="98" t="n"/>
      <c r="H583" s="99" t="n"/>
      <c r="I583" s="99" t="n"/>
      <c r="J583" s="100" t="n"/>
      <c r="K583" s="98" t="n"/>
      <c r="L583" s="99" t="n"/>
      <c r="M583" s="99" t="n"/>
      <c r="N583" s="100" t="n"/>
      <c r="O583" s="98" t="n"/>
      <c r="P583" s="99" t="n"/>
      <c r="Q583" s="99" t="n"/>
      <c r="R583" s="100" t="n"/>
      <c r="S583" s="98" t="n"/>
      <c r="T583" s="99" t="n"/>
      <c r="U583" s="99" t="n"/>
      <c r="V583" s="100" t="n"/>
      <c r="W583" s="98" t="n"/>
      <c r="X583" s="100" t="n"/>
      <c r="Y583" s="98" t="n"/>
      <c r="Z583" s="100" t="n"/>
      <c r="AB583" s="101">
        <f>IF($B583="","",(COUNTIF(C558:E575,$B583)+COUNTIF(C558:E575,$B583&amp;" ~*")&gt;0)+(COUNTIF(G558:I575,$B583)+COUNTIF(G558:I575,$B583&amp;" ~*")&gt;0)+(COUNTIF(K558:M575,$B583)+COUNTIF(K558:M575,$B583&amp;" ~*")&gt;0)+(COUNTIF(O558:Q575,$B583)+COUNTIF(O558:Q575,$B583&amp;" ~*")&gt;0)+(COUNTIF(S558:U575,$B583)+COUNTIF(S558:U575,$B583&amp;" ~*")&gt;0)+(COUNTIF(W558:W575,$B583)+COUNTIF(W558:W575,$B583&amp;" ~*")&gt;0)+(COUNTIF(Y558:Y575,$B583)+COUNTIF(Y558:Y575,$B583&amp;" ~*")&gt;0))</f>
        <v/>
      </c>
      <c r="AC583" s="36">
        <f>IF($B583="","",(IFERROR(INDEX(Setup!$G$33:$G$40,MATCH(C583,Setup!$B$33:$B$40,0)),0)=1)*(COUNTIF(C558:E575,$B583)+COUNTIF(C558:E575,$B583&amp;" ~*")&gt;0)+(IFERROR(INDEX(Setup!$G$33:$G$40,MATCH(G583,Setup!$B$33:$B$40,0)),0)=1)*(COUNTIF(G558:I575,$B583)+COUNTIF(G558:I575,$B583&amp;" ~*")&gt;0)+(IFERROR(INDEX(Setup!$G$33:$G$40,MATCH(K583,Setup!$B$33:$B$40,0)),0)=1)*(COUNTIF(K558:M575,$B583)+COUNTIF(K558:M575,$B583&amp;" ~*")&gt;0)+(IFERROR(INDEX(Setup!$G$33:$G$40,MATCH(O583,Setup!$B$33:$B$40,0)),0)=1)*(COUNTIF(O558:Q575,$B583)+COUNTIF(O558:Q575,$B583&amp;" ~*")&gt;0)+(IFERROR(INDEX(Setup!$G$33:$G$40,MATCH(S583,Setup!$B$33:$B$40,0)),0)=1)*(COUNTIF(S558:U575,$B583)+COUNTIF(S558:U575,$B583&amp;" ~*")&gt;0)+(IFERROR(INDEX(Setup!$G$33:$G$40,MATCH(W583,Setup!$B$33:$B$40,0)),0)=1)*(COUNTIF(W558:W575,$B583)+COUNTIF(W558:W575,$B583&amp;" ~*")&gt;0)+(IFERROR(INDEX(Setup!$G$33:$G$40,MATCH(Y583,Setup!$B$33:$B$40,0)),0)=1)*(COUNTIF(Y558:Y575,$B583)+COUNTIF(Y558:Y575,$B583&amp;" ~*")&gt;0))</f>
        <v/>
      </c>
    </row>
    <row r="584" ht="15" customHeight="1">
      <c r="A584" t="n">
        <v>12</v>
      </c>
      <c r="B584" s="37">
        <f>IF(Setup!$B$13="","",Setup!$B$13)</f>
        <v/>
      </c>
      <c r="C584" s="102" t="n"/>
      <c r="D584" s="103" t="n"/>
      <c r="E584" s="103" t="n"/>
      <c r="F584" s="104" t="n"/>
      <c r="G584" s="102" t="n"/>
      <c r="H584" s="103" t="n"/>
      <c r="I584" s="103" t="n"/>
      <c r="J584" s="104" t="n"/>
      <c r="K584" s="102" t="n"/>
      <c r="L584" s="103" t="n"/>
      <c r="M584" s="103" t="n"/>
      <c r="N584" s="104" t="n"/>
      <c r="O584" s="102" t="n"/>
      <c r="P584" s="103" t="n"/>
      <c r="Q584" s="103" t="n"/>
      <c r="R584" s="104" t="n"/>
      <c r="S584" s="102" t="n"/>
      <c r="T584" s="103" t="n"/>
      <c r="U584" s="103" t="n"/>
      <c r="V584" s="104" t="n"/>
      <c r="W584" s="102" t="n"/>
      <c r="X584" s="104" t="n"/>
      <c r="Y584" s="102" t="n"/>
      <c r="Z584" s="104" t="n"/>
      <c r="AB584" s="105">
        <f>IF($B584="","",(COUNTIF(C558:E575,$B584)+COUNTIF(C558:E575,$B584&amp;" ~*")&gt;0)+(COUNTIF(G558:I575,$B584)+COUNTIF(G558:I575,$B584&amp;" ~*")&gt;0)+(COUNTIF(K558:M575,$B584)+COUNTIF(K558:M575,$B584&amp;" ~*")&gt;0)+(COUNTIF(O558:Q575,$B584)+COUNTIF(O558:Q575,$B584&amp;" ~*")&gt;0)+(COUNTIF(S558:U575,$B584)+COUNTIF(S558:U575,$B584&amp;" ~*")&gt;0)+(COUNTIF(W558:W575,$B584)+COUNTIF(W558:W575,$B584&amp;" ~*")&gt;0)+(COUNTIF(Y558:Y575,$B584)+COUNTIF(Y558:Y575,$B584&amp;" ~*")&gt;0))</f>
        <v/>
      </c>
      <c r="AC584" s="38">
        <f>IF($B584="","",(IFERROR(INDEX(Setup!$G$33:$G$40,MATCH(C584,Setup!$B$33:$B$40,0)),0)=1)*(COUNTIF(C558:E575,$B584)+COUNTIF(C558:E575,$B584&amp;" ~*")&gt;0)+(IFERROR(INDEX(Setup!$G$33:$G$40,MATCH(G584,Setup!$B$33:$B$40,0)),0)=1)*(COUNTIF(G558:I575,$B584)+COUNTIF(G558:I575,$B584&amp;" ~*")&gt;0)+(IFERROR(INDEX(Setup!$G$33:$G$40,MATCH(K584,Setup!$B$33:$B$40,0)),0)=1)*(COUNTIF(K558:M575,$B584)+COUNTIF(K558:M575,$B584&amp;" ~*")&gt;0)+(IFERROR(INDEX(Setup!$G$33:$G$40,MATCH(O584,Setup!$B$33:$B$40,0)),0)=1)*(COUNTIF(O558:Q575,$B584)+COUNTIF(O558:Q575,$B584&amp;" ~*")&gt;0)+(IFERROR(INDEX(Setup!$G$33:$G$40,MATCH(S584,Setup!$B$33:$B$40,0)),0)=1)*(COUNTIF(S558:U575,$B584)+COUNTIF(S558:U575,$B584&amp;" ~*")&gt;0)+(IFERROR(INDEX(Setup!$G$33:$G$40,MATCH(W584,Setup!$B$33:$B$40,0)),0)=1)*(COUNTIF(W558:W575,$B584)+COUNTIF(W558:W575,$B584&amp;" ~*")&gt;0)+(IFERROR(INDEX(Setup!$G$33:$G$40,MATCH(Y584,Setup!$B$33:$B$40,0)),0)=1)*(COUNTIF(Y558:Y575,$B584)+COUNTIF(Y558:Y575,$B584&amp;" ~*")&gt;0))</f>
        <v/>
      </c>
    </row>
    <row r="585" ht="15" customHeight="1">
      <c r="A585" t="n">
        <v>12</v>
      </c>
      <c r="B585" s="35">
        <f>IF(Setup!$B$14="","",Setup!$B$14)</f>
        <v/>
      </c>
      <c r="C585" s="98" t="n"/>
      <c r="D585" s="99" t="n"/>
      <c r="E585" s="99" t="n"/>
      <c r="F585" s="100" t="n"/>
      <c r="G585" s="98" t="n"/>
      <c r="H585" s="99" t="n"/>
      <c r="I585" s="99" t="n"/>
      <c r="J585" s="100" t="n"/>
      <c r="K585" s="98" t="n"/>
      <c r="L585" s="99" t="n"/>
      <c r="M585" s="99" t="n"/>
      <c r="N585" s="100" t="n"/>
      <c r="O585" s="98" t="n"/>
      <c r="P585" s="99" t="n"/>
      <c r="Q585" s="99" t="n"/>
      <c r="R585" s="100" t="n"/>
      <c r="S585" s="98" t="n"/>
      <c r="T585" s="99" t="n"/>
      <c r="U585" s="99" t="n"/>
      <c r="V585" s="100" t="n"/>
      <c r="W585" s="98" t="n"/>
      <c r="X585" s="100" t="n"/>
      <c r="Y585" s="98" t="n"/>
      <c r="Z585" s="100" t="n"/>
      <c r="AB585" s="101">
        <f>IF($B585="","",(COUNTIF(C558:E575,$B585)+COUNTIF(C558:E575,$B585&amp;" ~*")&gt;0)+(COUNTIF(G558:I575,$B585)+COUNTIF(G558:I575,$B585&amp;" ~*")&gt;0)+(COUNTIF(K558:M575,$B585)+COUNTIF(K558:M575,$B585&amp;" ~*")&gt;0)+(COUNTIF(O558:Q575,$B585)+COUNTIF(O558:Q575,$B585&amp;" ~*")&gt;0)+(COUNTIF(S558:U575,$B585)+COUNTIF(S558:U575,$B585&amp;" ~*")&gt;0)+(COUNTIF(W558:W575,$B585)+COUNTIF(W558:W575,$B585&amp;" ~*")&gt;0)+(COUNTIF(Y558:Y575,$B585)+COUNTIF(Y558:Y575,$B585&amp;" ~*")&gt;0))</f>
        <v/>
      </c>
      <c r="AC585" s="36">
        <f>IF($B585="","",(IFERROR(INDEX(Setup!$G$33:$G$40,MATCH(C585,Setup!$B$33:$B$40,0)),0)=1)*(COUNTIF(C558:E575,$B585)+COUNTIF(C558:E575,$B585&amp;" ~*")&gt;0)+(IFERROR(INDEX(Setup!$G$33:$G$40,MATCH(G585,Setup!$B$33:$B$40,0)),0)=1)*(COUNTIF(G558:I575,$B585)+COUNTIF(G558:I575,$B585&amp;" ~*")&gt;0)+(IFERROR(INDEX(Setup!$G$33:$G$40,MATCH(K585,Setup!$B$33:$B$40,0)),0)=1)*(COUNTIF(K558:M575,$B585)+COUNTIF(K558:M575,$B585&amp;" ~*")&gt;0)+(IFERROR(INDEX(Setup!$G$33:$G$40,MATCH(O585,Setup!$B$33:$B$40,0)),0)=1)*(COUNTIF(O558:Q575,$B585)+COUNTIF(O558:Q575,$B585&amp;" ~*")&gt;0)+(IFERROR(INDEX(Setup!$G$33:$G$40,MATCH(S585,Setup!$B$33:$B$40,0)),0)=1)*(COUNTIF(S558:U575,$B585)+COUNTIF(S558:U575,$B585&amp;" ~*")&gt;0)+(IFERROR(INDEX(Setup!$G$33:$G$40,MATCH(W585,Setup!$B$33:$B$40,0)),0)=1)*(COUNTIF(W558:W575,$B585)+COUNTIF(W558:W575,$B585&amp;" ~*")&gt;0)+(IFERROR(INDEX(Setup!$G$33:$G$40,MATCH(Y585,Setup!$B$33:$B$40,0)),0)=1)*(COUNTIF(Y558:Y575,$B585)+COUNTIF(Y558:Y575,$B585&amp;" ~*")&gt;0))</f>
        <v/>
      </c>
    </row>
    <row r="586" ht="15" customHeight="1">
      <c r="A586" t="n">
        <v>12</v>
      </c>
      <c r="B586" s="37">
        <f>IF(Setup!$B$15="","",Setup!$B$15)</f>
        <v/>
      </c>
      <c r="C586" s="102" t="n"/>
      <c r="D586" s="103" t="n"/>
      <c r="E586" s="103" t="n"/>
      <c r="F586" s="104" t="n"/>
      <c r="G586" s="102" t="n"/>
      <c r="H586" s="103" t="n"/>
      <c r="I586" s="103" t="n"/>
      <c r="J586" s="104" t="n"/>
      <c r="K586" s="102" t="n"/>
      <c r="L586" s="103" t="n"/>
      <c r="M586" s="103" t="n"/>
      <c r="N586" s="104" t="n"/>
      <c r="O586" s="102" t="n"/>
      <c r="P586" s="103" t="n"/>
      <c r="Q586" s="103" t="n"/>
      <c r="R586" s="104" t="n"/>
      <c r="S586" s="102" t="n"/>
      <c r="T586" s="103" t="n"/>
      <c r="U586" s="103" t="n"/>
      <c r="V586" s="104" t="n"/>
      <c r="W586" s="102" t="n"/>
      <c r="X586" s="104" t="n"/>
      <c r="Y586" s="102" t="n"/>
      <c r="Z586" s="104" t="n"/>
      <c r="AB586" s="105">
        <f>IF($B586="","",(COUNTIF(C558:E575,$B586)+COUNTIF(C558:E575,$B586&amp;" ~*")&gt;0)+(COUNTIF(G558:I575,$B586)+COUNTIF(G558:I575,$B586&amp;" ~*")&gt;0)+(COUNTIF(K558:M575,$B586)+COUNTIF(K558:M575,$B586&amp;" ~*")&gt;0)+(COUNTIF(O558:Q575,$B586)+COUNTIF(O558:Q575,$B586&amp;" ~*")&gt;0)+(COUNTIF(S558:U575,$B586)+COUNTIF(S558:U575,$B586&amp;" ~*")&gt;0)+(COUNTIF(W558:W575,$B586)+COUNTIF(W558:W575,$B586&amp;" ~*")&gt;0)+(COUNTIF(Y558:Y575,$B586)+COUNTIF(Y558:Y575,$B586&amp;" ~*")&gt;0))</f>
        <v/>
      </c>
      <c r="AC586" s="38">
        <f>IF($B586="","",(IFERROR(INDEX(Setup!$G$33:$G$40,MATCH(C586,Setup!$B$33:$B$40,0)),0)=1)*(COUNTIF(C558:E575,$B586)+COUNTIF(C558:E575,$B586&amp;" ~*")&gt;0)+(IFERROR(INDEX(Setup!$G$33:$G$40,MATCH(G586,Setup!$B$33:$B$40,0)),0)=1)*(COUNTIF(G558:I575,$B586)+COUNTIF(G558:I575,$B586&amp;" ~*")&gt;0)+(IFERROR(INDEX(Setup!$G$33:$G$40,MATCH(K586,Setup!$B$33:$B$40,0)),0)=1)*(COUNTIF(K558:M575,$B586)+COUNTIF(K558:M575,$B586&amp;" ~*")&gt;0)+(IFERROR(INDEX(Setup!$G$33:$G$40,MATCH(O586,Setup!$B$33:$B$40,0)),0)=1)*(COUNTIF(O558:Q575,$B586)+COUNTIF(O558:Q575,$B586&amp;" ~*")&gt;0)+(IFERROR(INDEX(Setup!$G$33:$G$40,MATCH(S586,Setup!$B$33:$B$40,0)),0)=1)*(COUNTIF(S558:U575,$B586)+COUNTIF(S558:U575,$B586&amp;" ~*")&gt;0)+(IFERROR(INDEX(Setup!$G$33:$G$40,MATCH(W586,Setup!$B$33:$B$40,0)),0)=1)*(COUNTIF(W558:W575,$B586)+COUNTIF(W558:W575,$B586&amp;" ~*")&gt;0)+(IFERROR(INDEX(Setup!$G$33:$G$40,MATCH(Y586,Setup!$B$33:$B$40,0)),0)=1)*(COUNTIF(Y558:Y575,$B586)+COUNTIF(Y558:Y575,$B586&amp;" ~*")&gt;0))</f>
        <v/>
      </c>
    </row>
    <row r="587" ht="15" customHeight="1">
      <c r="A587" t="n">
        <v>12</v>
      </c>
      <c r="B587" s="35">
        <f>IF(Setup!$B$16="","",Setup!$B$16)</f>
        <v/>
      </c>
      <c r="C587" s="98" t="n"/>
      <c r="D587" s="99" t="n"/>
      <c r="E587" s="99" t="n"/>
      <c r="F587" s="100" t="n"/>
      <c r="G587" s="98" t="n"/>
      <c r="H587" s="99" t="n"/>
      <c r="I587" s="99" t="n"/>
      <c r="J587" s="100" t="n"/>
      <c r="K587" s="98" t="n"/>
      <c r="L587" s="99" t="n"/>
      <c r="M587" s="99" t="n"/>
      <c r="N587" s="100" t="n"/>
      <c r="O587" s="98" t="n"/>
      <c r="P587" s="99" t="n"/>
      <c r="Q587" s="99" t="n"/>
      <c r="R587" s="100" t="n"/>
      <c r="S587" s="98" t="n"/>
      <c r="T587" s="99" t="n"/>
      <c r="U587" s="99" t="n"/>
      <c r="V587" s="100" t="n"/>
      <c r="W587" s="98" t="n"/>
      <c r="X587" s="100" t="n"/>
      <c r="Y587" s="98" t="n"/>
      <c r="Z587" s="100" t="n"/>
      <c r="AB587" s="101">
        <f>IF($B587="","",(COUNTIF(C558:E575,$B587)+COUNTIF(C558:E575,$B587&amp;" ~*")&gt;0)+(COUNTIF(G558:I575,$B587)+COUNTIF(G558:I575,$B587&amp;" ~*")&gt;0)+(COUNTIF(K558:M575,$B587)+COUNTIF(K558:M575,$B587&amp;" ~*")&gt;0)+(COUNTIF(O558:Q575,$B587)+COUNTIF(O558:Q575,$B587&amp;" ~*")&gt;0)+(COUNTIF(S558:U575,$B587)+COUNTIF(S558:U575,$B587&amp;" ~*")&gt;0)+(COUNTIF(W558:W575,$B587)+COUNTIF(W558:W575,$B587&amp;" ~*")&gt;0)+(COUNTIF(Y558:Y575,$B587)+COUNTIF(Y558:Y575,$B587&amp;" ~*")&gt;0))</f>
        <v/>
      </c>
      <c r="AC587" s="36">
        <f>IF($B587="","",(IFERROR(INDEX(Setup!$G$33:$G$40,MATCH(C587,Setup!$B$33:$B$40,0)),0)=1)*(COUNTIF(C558:E575,$B587)+COUNTIF(C558:E575,$B587&amp;" ~*")&gt;0)+(IFERROR(INDEX(Setup!$G$33:$G$40,MATCH(G587,Setup!$B$33:$B$40,0)),0)=1)*(COUNTIF(G558:I575,$B587)+COUNTIF(G558:I575,$B587&amp;" ~*")&gt;0)+(IFERROR(INDEX(Setup!$G$33:$G$40,MATCH(K587,Setup!$B$33:$B$40,0)),0)=1)*(COUNTIF(K558:M575,$B587)+COUNTIF(K558:M575,$B587&amp;" ~*")&gt;0)+(IFERROR(INDEX(Setup!$G$33:$G$40,MATCH(O587,Setup!$B$33:$B$40,0)),0)=1)*(COUNTIF(O558:Q575,$B587)+COUNTIF(O558:Q575,$B587&amp;" ~*")&gt;0)+(IFERROR(INDEX(Setup!$G$33:$G$40,MATCH(S587,Setup!$B$33:$B$40,0)),0)=1)*(COUNTIF(S558:U575,$B587)+COUNTIF(S558:U575,$B587&amp;" ~*")&gt;0)+(IFERROR(INDEX(Setup!$G$33:$G$40,MATCH(W587,Setup!$B$33:$B$40,0)),0)=1)*(COUNTIF(W558:W575,$B587)+COUNTIF(W558:W575,$B587&amp;" ~*")&gt;0)+(IFERROR(INDEX(Setup!$G$33:$G$40,MATCH(Y587,Setup!$B$33:$B$40,0)),0)=1)*(COUNTIF(Y558:Y575,$B587)+COUNTIF(Y558:Y575,$B587&amp;" ~*")&gt;0))</f>
        <v/>
      </c>
    </row>
    <row r="588" ht="15" customHeight="1">
      <c r="A588" t="n">
        <v>12</v>
      </c>
      <c r="B588" s="37">
        <f>IF(Setup!$B$17="","",Setup!$B$17)</f>
        <v/>
      </c>
      <c r="C588" s="102" t="n"/>
      <c r="D588" s="103" t="n"/>
      <c r="E588" s="103" t="n"/>
      <c r="F588" s="104" t="n"/>
      <c r="G588" s="102" t="n"/>
      <c r="H588" s="103" t="n"/>
      <c r="I588" s="103" t="n"/>
      <c r="J588" s="104" t="n"/>
      <c r="K588" s="102" t="n"/>
      <c r="L588" s="103" t="n"/>
      <c r="M588" s="103" t="n"/>
      <c r="N588" s="104" t="n"/>
      <c r="O588" s="102" t="n"/>
      <c r="P588" s="103" t="n"/>
      <c r="Q588" s="103" t="n"/>
      <c r="R588" s="104" t="n"/>
      <c r="S588" s="102" t="n"/>
      <c r="T588" s="103" t="n"/>
      <c r="U588" s="103" t="n"/>
      <c r="V588" s="104" t="n"/>
      <c r="W588" s="102" t="n"/>
      <c r="X588" s="104" t="n"/>
      <c r="Y588" s="102" t="n"/>
      <c r="Z588" s="104" t="n"/>
      <c r="AB588" s="105">
        <f>IF($B588="","",(COUNTIF(C558:E575,$B588)+COUNTIF(C558:E575,$B588&amp;" ~*")&gt;0)+(COUNTIF(G558:I575,$B588)+COUNTIF(G558:I575,$B588&amp;" ~*")&gt;0)+(COUNTIF(K558:M575,$B588)+COUNTIF(K558:M575,$B588&amp;" ~*")&gt;0)+(COUNTIF(O558:Q575,$B588)+COUNTIF(O558:Q575,$B588&amp;" ~*")&gt;0)+(COUNTIF(S558:U575,$B588)+COUNTIF(S558:U575,$B588&amp;" ~*")&gt;0)+(COUNTIF(W558:W575,$B588)+COUNTIF(W558:W575,$B588&amp;" ~*")&gt;0)+(COUNTIF(Y558:Y575,$B588)+COUNTIF(Y558:Y575,$B588&amp;" ~*")&gt;0))</f>
        <v/>
      </c>
      <c r="AC588" s="38">
        <f>IF($B588="","",(IFERROR(INDEX(Setup!$G$33:$G$40,MATCH(C588,Setup!$B$33:$B$40,0)),0)=1)*(COUNTIF(C558:E575,$B588)+COUNTIF(C558:E575,$B588&amp;" ~*")&gt;0)+(IFERROR(INDEX(Setup!$G$33:$G$40,MATCH(G588,Setup!$B$33:$B$40,0)),0)=1)*(COUNTIF(G558:I575,$B588)+COUNTIF(G558:I575,$B588&amp;" ~*")&gt;0)+(IFERROR(INDEX(Setup!$G$33:$G$40,MATCH(K588,Setup!$B$33:$B$40,0)),0)=1)*(COUNTIF(K558:M575,$B588)+COUNTIF(K558:M575,$B588&amp;" ~*")&gt;0)+(IFERROR(INDEX(Setup!$G$33:$G$40,MATCH(O588,Setup!$B$33:$B$40,0)),0)=1)*(COUNTIF(O558:Q575,$B588)+COUNTIF(O558:Q575,$B588&amp;" ~*")&gt;0)+(IFERROR(INDEX(Setup!$G$33:$G$40,MATCH(S588,Setup!$B$33:$B$40,0)),0)=1)*(COUNTIF(S558:U575,$B588)+COUNTIF(S558:U575,$B588&amp;" ~*")&gt;0)+(IFERROR(INDEX(Setup!$G$33:$G$40,MATCH(W588,Setup!$B$33:$B$40,0)),0)=1)*(COUNTIF(W558:W575,$B588)+COUNTIF(W558:W575,$B588&amp;" ~*")&gt;0)+(IFERROR(INDEX(Setup!$G$33:$G$40,MATCH(Y588,Setup!$B$33:$B$40,0)),0)=1)*(COUNTIF(Y558:Y575,$B588)+COUNTIF(Y558:Y575,$B588&amp;" ~*")&gt;0))</f>
        <v/>
      </c>
    </row>
    <row r="589" ht="15" customHeight="1">
      <c r="A589" t="n">
        <v>12</v>
      </c>
      <c r="B589" s="35">
        <f>IF(Setup!$B$18="","",Setup!$B$18)</f>
        <v/>
      </c>
      <c r="C589" s="98" t="n"/>
      <c r="D589" s="99" t="n"/>
      <c r="E589" s="99" t="n"/>
      <c r="F589" s="100" t="n"/>
      <c r="G589" s="98" t="n"/>
      <c r="H589" s="99" t="n"/>
      <c r="I589" s="99" t="n"/>
      <c r="J589" s="100" t="n"/>
      <c r="K589" s="98" t="n"/>
      <c r="L589" s="99" t="n"/>
      <c r="M589" s="99" t="n"/>
      <c r="N589" s="100" t="n"/>
      <c r="O589" s="98" t="n"/>
      <c r="P589" s="99" t="n"/>
      <c r="Q589" s="99" t="n"/>
      <c r="R589" s="100" t="n"/>
      <c r="S589" s="98" t="n"/>
      <c r="T589" s="99" t="n"/>
      <c r="U589" s="99" t="n"/>
      <c r="V589" s="100" t="n"/>
      <c r="W589" s="98" t="n"/>
      <c r="X589" s="100" t="n"/>
      <c r="Y589" s="98" t="n"/>
      <c r="Z589" s="100" t="n"/>
      <c r="AB589" s="101">
        <f>IF($B589="","",(COUNTIF(C558:E575,$B589)+COUNTIF(C558:E575,$B589&amp;" ~*")&gt;0)+(COUNTIF(G558:I575,$B589)+COUNTIF(G558:I575,$B589&amp;" ~*")&gt;0)+(COUNTIF(K558:M575,$B589)+COUNTIF(K558:M575,$B589&amp;" ~*")&gt;0)+(COUNTIF(O558:Q575,$B589)+COUNTIF(O558:Q575,$B589&amp;" ~*")&gt;0)+(COUNTIF(S558:U575,$B589)+COUNTIF(S558:U575,$B589&amp;" ~*")&gt;0)+(COUNTIF(W558:W575,$B589)+COUNTIF(W558:W575,$B589&amp;" ~*")&gt;0)+(COUNTIF(Y558:Y575,$B589)+COUNTIF(Y558:Y575,$B589&amp;" ~*")&gt;0))</f>
        <v/>
      </c>
      <c r="AC589" s="36">
        <f>IF($B589="","",(IFERROR(INDEX(Setup!$G$33:$G$40,MATCH(C589,Setup!$B$33:$B$40,0)),0)=1)*(COUNTIF(C558:E575,$B589)+COUNTIF(C558:E575,$B589&amp;" ~*")&gt;0)+(IFERROR(INDEX(Setup!$G$33:$G$40,MATCH(G589,Setup!$B$33:$B$40,0)),0)=1)*(COUNTIF(G558:I575,$B589)+COUNTIF(G558:I575,$B589&amp;" ~*")&gt;0)+(IFERROR(INDEX(Setup!$G$33:$G$40,MATCH(K589,Setup!$B$33:$B$40,0)),0)=1)*(COUNTIF(K558:M575,$B589)+COUNTIF(K558:M575,$B589&amp;" ~*")&gt;0)+(IFERROR(INDEX(Setup!$G$33:$G$40,MATCH(O589,Setup!$B$33:$B$40,0)),0)=1)*(COUNTIF(O558:Q575,$B589)+COUNTIF(O558:Q575,$B589&amp;" ~*")&gt;0)+(IFERROR(INDEX(Setup!$G$33:$G$40,MATCH(S589,Setup!$B$33:$B$40,0)),0)=1)*(COUNTIF(S558:U575,$B589)+COUNTIF(S558:U575,$B589&amp;" ~*")&gt;0)+(IFERROR(INDEX(Setup!$G$33:$G$40,MATCH(W589,Setup!$B$33:$B$40,0)),0)=1)*(COUNTIF(W558:W575,$B589)+COUNTIF(W558:W575,$B589&amp;" ~*")&gt;0)+(IFERROR(INDEX(Setup!$G$33:$G$40,MATCH(Y589,Setup!$B$33:$B$40,0)),0)=1)*(COUNTIF(Y558:Y575,$B589)+COUNTIF(Y558:Y575,$B589&amp;" ~*")&gt;0))</f>
        <v/>
      </c>
    </row>
    <row r="590" ht="15" customHeight="1">
      <c r="A590" t="n">
        <v>12</v>
      </c>
      <c r="B590" s="37">
        <f>IF(Setup!$B$19="","",Setup!$B$19)</f>
        <v/>
      </c>
      <c r="C590" s="102" t="n"/>
      <c r="D590" s="103" t="n"/>
      <c r="E590" s="103" t="n"/>
      <c r="F590" s="104" t="n"/>
      <c r="G590" s="102" t="n"/>
      <c r="H590" s="103" t="n"/>
      <c r="I590" s="103" t="n"/>
      <c r="J590" s="104" t="n"/>
      <c r="K590" s="102" t="n"/>
      <c r="L590" s="103" t="n"/>
      <c r="M590" s="103" t="n"/>
      <c r="N590" s="104" t="n"/>
      <c r="O590" s="102" t="n"/>
      <c r="P590" s="103" t="n"/>
      <c r="Q590" s="103" t="n"/>
      <c r="R590" s="104" t="n"/>
      <c r="S590" s="102" t="n"/>
      <c r="T590" s="103" t="n"/>
      <c r="U590" s="103" t="n"/>
      <c r="V590" s="104" t="n"/>
      <c r="W590" s="102" t="n"/>
      <c r="X590" s="104" t="n"/>
      <c r="Y590" s="102" t="n"/>
      <c r="Z590" s="104" t="n"/>
      <c r="AB590" s="105">
        <f>IF($B590="","",(COUNTIF(C558:E575,$B590)+COUNTIF(C558:E575,$B590&amp;" ~*")&gt;0)+(COUNTIF(G558:I575,$B590)+COUNTIF(G558:I575,$B590&amp;" ~*")&gt;0)+(COUNTIF(K558:M575,$B590)+COUNTIF(K558:M575,$B590&amp;" ~*")&gt;0)+(COUNTIF(O558:Q575,$B590)+COUNTIF(O558:Q575,$B590&amp;" ~*")&gt;0)+(COUNTIF(S558:U575,$B590)+COUNTIF(S558:U575,$B590&amp;" ~*")&gt;0)+(COUNTIF(W558:W575,$B590)+COUNTIF(W558:W575,$B590&amp;" ~*")&gt;0)+(COUNTIF(Y558:Y575,$B590)+COUNTIF(Y558:Y575,$B590&amp;" ~*")&gt;0))</f>
        <v/>
      </c>
      <c r="AC590" s="38">
        <f>IF($B590="","",(IFERROR(INDEX(Setup!$G$33:$G$40,MATCH(C590,Setup!$B$33:$B$40,0)),0)=1)*(COUNTIF(C558:E575,$B590)+COUNTIF(C558:E575,$B590&amp;" ~*")&gt;0)+(IFERROR(INDEX(Setup!$G$33:$G$40,MATCH(G590,Setup!$B$33:$B$40,0)),0)=1)*(COUNTIF(G558:I575,$B590)+COUNTIF(G558:I575,$B590&amp;" ~*")&gt;0)+(IFERROR(INDEX(Setup!$G$33:$G$40,MATCH(K590,Setup!$B$33:$B$40,0)),0)=1)*(COUNTIF(K558:M575,$B590)+COUNTIF(K558:M575,$B590&amp;" ~*")&gt;0)+(IFERROR(INDEX(Setup!$G$33:$G$40,MATCH(O590,Setup!$B$33:$B$40,0)),0)=1)*(COUNTIF(O558:Q575,$B590)+COUNTIF(O558:Q575,$B590&amp;" ~*")&gt;0)+(IFERROR(INDEX(Setup!$G$33:$G$40,MATCH(S590,Setup!$B$33:$B$40,0)),0)=1)*(COUNTIF(S558:U575,$B590)+COUNTIF(S558:U575,$B590&amp;" ~*")&gt;0)+(IFERROR(INDEX(Setup!$G$33:$G$40,MATCH(W590,Setup!$B$33:$B$40,0)),0)=1)*(COUNTIF(W558:W575,$B590)+COUNTIF(W558:W575,$B590&amp;" ~*")&gt;0)+(IFERROR(INDEX(Setup!$G$33:$G$40,MATCH(Y590,Setup!$B$33:$B$40,0)),0)=1)*(COUNTIF(Y558:Y575,$B590)+COUNTIF(Y558:Y575,$B590&amp;" ~*")&gt;0))</f>
        <v/>
      </c>
    </row>
    <row r="591" ht="15" customHeight="1">
      <c r="A591" t="n">
        <v>12</v>
      </c>
      <c r="B591" s="35">
        <f>IF(Setup!$B$20="","",Setup!$B$20)</f>
        <v/>
      </c>
      <c r="C591" s="98" t="n"/>
      <c r="D591" s="99" t="n"/>
      <c r="E591" s="99" t="n"/>
      <c r="F591" s="100" t="n"/>
      <c r="G591" s="98" t="n"/>
      <c r="H591" s="99" t="n"/>
      <c r="I591" s="99" t="n"/>
      <c r="J591" s="100" t="n"/>
      <c r="K591" s="98" t="n"/>
      <c r="L591" s="99" t="n"/>
      <c r="M591" s="99" t="n"/>
      <c r="N591" s="100" t="n"/>
      <c r="O591" s="98" t="n"/>
      <c r="P591" s="99" t="n"/>
      <c r="Q591" s="99" t="n"/>
      <c r="R591" s="100" t="n"/>
      <c r="S591" s="98" t="n"/>
      <c r="T591" s="99" t="n"/>
      <c r="U591" s="99" t="n"/>
      <c r="V591" s="100" t="n"/>
      <c r="W591" s="98" t="n"/>
      <c r="X591" s="100" t="n"/>
      <c r="Y591" s="98" t="n"/>
      <c r="Z591" s="100" t="n"/>
      <c r="AB591" s="101">
        <f>IF($B591="","",(COUNTIF(C558:E575,$B591)+COUNTIF(C558:E575,$B591&amp;" ~*")&gt;0)+(COUNTIF(G558:I575,$B591)+COUNTIF(G558:I575,$B591&amp;" ~*")&gt;0)+(COUNTIF(K558:M575,$B591)+COUNTIF(K558:M575,$B591&amp;" ~*")&gt;0)+(COUNTIF(O558:Q575,$B591)+COUNTIF(O558:Q575,$B591&amp;" ~*")&gt;0)+(COUNTIF(S558:U575,$B591)+COUNTIF(S558:U575,$B591&amp;" ~*")&gt;0)+(COUNTIF(W558:W575,$B591)+COUNTIF(W558:W575,$B591&amp;" ~*")&gt;0)+(COUNTIF(Y558:Y575,$B591)+COUNTIF(Y558:Y575,$B591&amp;" ~*")&gt;0))</f>
        <v/>
      </c>
      <c r="AC591" s="36">
        <f>IF($B591="","",(IFERROR(INDEX(Setup!$G$33:$G$40,MATCH(C591,Setup!$B$33:$B$40,0)),0)=1)*(COUNTIF(C558:E575,$B591)+COUNTIF(C558:E575,$B591&amp;" ~*")&gt;0)+(IFERROR(INDEX(Setup!$G$33:$G$40,MATCH(G591,Setup!$B$33:$B$40,0)),0)=1)*(COUNTIF(G558:I575,$B591)+COUNTIF(G558:I575,$B591&amp;" ~*")&gt;0)+(IFERROR(INDEX(Setup!$G$33:$G$40,MATCH(K591,Setup!$B$33:$B$40,0)),0)=1)*(COUNTIF(K558:M575,$B591)+COUNTIF(K558:M575,$B591&amp;" ~*")&gt;0)+(IFERROR(INDEX(Setup!$G$33:$G$40,MATCH(O591,Setup!$B$33:$B$40,0)),0)=1)*(COUNTIF(O558:Q575,$B591)+COUNTIF(O558:Q575,$B591&amp;" ~*")&gt;0)+(IFERROR(INDEX(Setup!$G$33:$G$40,MATCH(S591,Setup!$B$33:$B$40,0)),0)=1)*(COUNTIF(S558:U575,$B591)+COUNTIF(S558:U575,$B591&amp;" ~*")&gt;0)+(IFERROR(INDEX(Setup!$G$33:$G$40,MATCH(W591,Setup!$B$33:$B$40,0)),0)=1)*(COUNTIF(W558:W575,$B591)+COUNTIF(W558:W575,$B591&amp;" ~*")&gt;0)+(IFERROR(INDEX(Setup!$G$33:$G$40,MATCH(Y591,Setup!$B$33:$B$40,0)),0)=1)*(COUNTIF(Y558:Y575,$B591)+COUNTIF(Y558:Y575,$B591&amp;" ~*")&gt;0))</f>
        <v/>
      </c>
    </row>
    <row r="592" ht="15" customHeight="1">
      <c r="A592" t="n">
        <v>12</v>
      </c>
      <c r="B592" s="37">
        <f>IF(Setup!$B$21="","",Setup!$B$21)</f>
        <v/>
      </c>
      <c r="C592" s="102" t="n"/>
      <c r="D592" s="103" t="n"/>
      <c r="E592" s="103" t="n"/>
      <c r="F592" s="104" t="n"/>
      <c r="G592" s="102" t="n"/>
      <c r="H592" s="103" t="n"/>
      <c r="I592" s="103" t="n"/>
      <c r="J592" s="104" t="n"/>
      <c r="K592" s="102" t="n"/>
      <c r="L592" s="103" t="n"/>
      <c r="M592" s="103" t="n"/>
      <c r="N592" s="104" t="n"/>
      <c r="O592" s="102" t="n"/>
      <c r="P592" s="103" t="n"/>
      <c r="Q592" s="103" t="n"/>
      <c r="R592" s="104" t="n"/>
      <c r="S592" s="102" t="n"/>
      <c r="T592" s="103" t="n"/>
      <c r="U592" s="103" t="n"/>
      <c r="V592" s="104" t="n"/>
      <c r="W592" s="102" t="n"/>
      <c r="X592" s="104" t="n"/>
      <c r="Y592" s="102" t="n"/>
      <c r="Z592" s="104" t="n"/>
      <c r="AB592" s="105">
        <f>IF($B592="","",(COUNTIF(C558:E575,$B592)+COUNTIF(C558:E575,$B592&amp;" ~*")&gt;0)+(COUNTIF(G558:I575,$B592)+COUNTIF(G558:I575,$B592&amp;" ~*")&gt;0)+(COUNTIF(K558:M575,$B592)+COUNTIF(K558:M575,$B592&amp;" ~*")&gt;0)+(COUNTIF(O558:Q575,$B592)+COUNTIF(O558:Q575,$B592&amp;" ~*")&gt;0)+(COUNTIF(S558:U575,$B592)+COUNTIF(S558:U575,$B592&amp;" ~*")&gt;0)+(COUNTIF(W558:W575,$B592)+COUNTIF(W558:W575,$B592&amp;" ~*")&gt;0)+(COUNTIF(Y558:Y575,$B592)+COUNTIF(Y558:Y575,$B592&amp;" ~*")&gt;0))</f>
        <v/>
      </c>
      <c r="AC592" s="38">
        <f>IF($B592="","",(IFERROR(INDEX(Setup!$G$33:$G$40,MATCH(C592,Setup!$B$33:$B$40,0)),0)=1)*(COUNTIF(C558:E575,$B592)+COUNTIF(C558:E575,$B592&amp;" ~*")&gt;0)+(IFERROR(INDEX(Setup!$G$33:$G$40,MATCH(G592,Setup!$B$33:$B$40,0)),0)=1)*(COUNTIF(G558:I575,$B592)+COUNTIF(G558:I575,$B592&amp;" ~*")&gt;0)+(IFERROR(INDEX(Setup!$G$33:$G$40,MATCH(K592,Setup!$B$33:$B$40,0)),0)=1)*(COUNTIF(K558:M575,$B592)+COUNTIF(K558:M575,$B592&amp;" ~*")&gt;0)+(IFERROR(INDEX(Setup!$G$33:$G$40,MATCH(O592,Setup!$B$33:$B$40,0)),0)=1)*(COUNTIF(O558:Q575,$B592)+COUNTIF(O558:Q575,$B592&amp;" ~*")&gt;0)+(IFERROR(INDEX(Setup!$G$33:$G$40,MATCH(S592,Setup!$B$33:$B$40,0)),0)=1)*(COUNTIF(S558:U575,$B592)+COUNTIF(S558:U575,$B592&amp;" ~*")&gt;0)+(IFERROR(INDEX(Setup!$G$33:$G$40,MATCH(W592,Setup!$B$33:$B$40,0)),0)=1)*(COUNTIF(W558:W575,$B592)+COUNTIF(W558:W575,$B592&amp;" ~*")&gt;0)+(IFERROR(INDEX(Setup!$G$33:$G$40,MATCH(Y592,Setup!$B$33:$B$40,0)),0)=1)*(COUNTIF(Y558:Y575,$B592)+COUNTIF(Y558:Y575,$B592&amp;" ~*")&gt;0))</f>
        <v/>
      </c>
    </row>
    <row r="593" ht="15" customHeight="1">
      <c r="A593" t="n">
        <v>12</v>
      </c>
      <c r="B593" s="35">
        <f>IF(Setup!$B$22="","",Setup!$B$22)</f>
        <v/>
      </c>
      <c r="C593" s="98" t="n"/>
      <c r="D593" s="99" t="n"/>
      <c r="E593" s="99" t="n"/>
      <c r="F593" s="100" t="n"/>
      <c r="G593" s="98" t="n"/>
      <c r="H593" s="99" t="n"/>
      <c r="I593" s="99" t="n"/>
      <c r="J593" s="100" t="n"/>
      <c r="K593" s="98" t="n"/>
      <c r="L593" s="99" t="n"/>
      <c r="M593" s="99" t="n"/>
      <c r="N593" s="100" t="n"/>
      <c r="O593" s="98" t="n"/>
      <c r="P593" s="99" t="n"/>
      <c r="Q593" s="99" t="n"/>
      <c r="R593" s="100" t="n"/>
      <c r="S593" s="98" t="n"/>
      <c r="T593" s="99" t="n"/>
      <c r="U593" s="99" t="n"/>
      <c r="V593" s="100" t="n"/>
      <c r="W593" s="98" t="n"/>
      <c r="X593" s="100" t="n"/>
      <c r="Y593" s="98" t="n"/>
      <c r="Z593" s="100" t="n"/>
      <c r="AB593" s="101">
        <f>IF($B593="","",(COUNTIF(C558:E575,$B593)+COUNTIF(C558:E575,$B593&amp;" ~*")&gt;0)+(COUNTIF(G558:I575,$B593)+COUNTIF(G558:I575,$B593&amp;" ~*")&gt;0)+(COUNTIF(K558:M575,$B593)+COUNTIF(K558:M575,$B593&amp;" ~*")&gt;0)+(COUNTIF(O558:Q575,$B593)+COUNTIF(O558:Q575,$B593&amp;" ~*")&gt;0)+(COUNTIF(S558:U575,$B593)+COUNTIF(S558:U575,$B593&amp;" ~*")&gt;0)+(COUNTIF(W558:W575,$B593)+COUNTIF(W558:W575,$B593&amp;" ~*")&gt;0)+(COUNTIF(Y558:Y575,$B593)+COUNTIF(Y558:Y575,$B593&amp;" ~*")&gt;0))</f>
        <v/>
      </c>
      <c r="AC593" s="36">
        <f>IF($B593="","",(IFERROR(INDEX(Setup!$G$33:$G$40,MATCH(C593,Setup!$B$33:$B$40,0)),0)=1)*(COUNTIF(C558:E575,$B593)+COUNTIF(C558:E575,$B593&amp;" ~*")&gt;0)+(IFERROR(INDEX(Setup!$G$33:$G$40,MATCH(G593,Setup!$B$33:$B$40,0)),0)=1)*(COUNTIF(G558:I575,$B593)+COUNTIF(G558:I575,$B593&amp;" ~*")&gt;0)+(IFERROR(INDEX(Setup!$G$33:$G$40,MATCH(K593,Setup!$B$33:$B$40,0)),0)=1)*(COUNTIF(K558:M575,$B593)+COUNTIF(K558:M575,$B593&amp;" ~*")&gt;0)+(IFERROR(INDEX(Setup!$G$33:$G$40,MATCH(O593,Setup!$B$33:$B$40,0)),0)=1)*(COUNTIF(O558:Q575,$B593)+COUNTIF(O558:Q575,$B593&amp;" ~*")&gt;0)+(IFERROR(INDEX(Setup!$G$33:$G$40,MATCH(S593,Setup!$B$33:$B$40,0)),0)=1)*(COUNTIF(S558:U575,$B593)+COUNTIF(S558:U575,$B593&amp;" ~*")&gt;0)+(IFERROR(INDEX(Setup!$G$33:$G$40,MATCH(W593,Setup!$B$33:$B$40,0)),0)=1)*(COUNTIF(W558:W575,$B593)+COUNTIF(W558:W575,$B593&amp;" ~*")&gt;0)+(IFERROR(INDEX(Setup!$G$33:$G$40,MATCH(Y593,Setup!$B$33:$B$40,0)),0)=1)*(COUNTIF(Y558:Y575,$B593)+COUNTIF(Y558:Y575,$B593&amp;" ~*")&gt;0))</f>
        <v/>
      </c>
    </row>
    <row r="594" ht="15" customHeight="1">
      <c r="A594" t="n">
        <v>12</v>
      </c>
      <c r="B594" s="37">
        <f>IF(Setup!$B$23="","",Setup!$B$23)</f>
        <v/>
      </c>
      <c r="C594" s="102" t="n"/>
      <c r="D594" s="103" t="n"/>
      <c r="E594" s="103" t="n"/>
      <c r="F594" s="104" t="n"/>
      <c r="G594" s="102" t="n"/>
      <c r="H594" s="103" t="n"/>
      <c r="I594" s="103" t="n"/>
      <c r="J594" s="104" t="n"/>
      <c r="K594" s="102" t="n"/>
      <c r="L594" s="103" t="n"/>
      <c r="M594" s="103" t="n"/>
      <c r="N594" s="104" t="n"/>
      <c r="O594" s="102" t="n"/>
      <c r="P594" s="103" t="n"/>
      <c r="Q594" s="103" t="n"/>
      <c r="R594" s="104" t="n"/>
      <c r="S594" s="102" t="n"/>
      <c r="T594" s="103" t="n"/>
      <c r="U594" s="103" t="n"/>
      <c r="V594" s="104" t="n"/>
      <c r="W594" s="102" t="n"/>
      <c r="X594" s="104" t="n"/>
      <c r="Y594" s="102" t="n"/>
      <c r="Z594" s="104" t="n"/>
      <c r="AB594" s="105">
        <f>IF($B594="","",(COUNTIF(C558:E575,$B594)+COUNTIF(C558:E575,$B594&amp;" ~*")&gt;0)+(COUNTIF(G558:I575,$B594)+COUNTIF(G558:I575,$B594&amp;" ~*")&gt;0)+(COUNTIF(K558:M575,$B594)+COUNTIF(K558:M575,$B594&amp;" ~*")&gt;0)+(COUNTIF(O558:Q575,$B594)+COUNTIF(O558:Q575,$B594&amp;" ~*")&gt;0)+(COUNTIF(S558:U575,$B594)+COUNTIF(S558:U575,$B594&amp;" ~*")&gt;0)+(COUNTIF(W558:W575,$B594)+COUNTIF(W558:W575,$B594&amp;" ~*")&gt;0)+(COUNTIF(Y558:Y575,$B594)+COUNTIF(Y558:Y575,$B594&amp;" ~*")&gt;0))</f>
        <v/>
      </c>
      <c r="AC594" s="38">
        <f>IF($B594="","",(IFERROR(INDEX(Setup!$G$33:$G$40,MATCH(C594,Setup!$B$33:$B$40,0)),0)=1)*(COUNTIF(C558:E575,$B594)+COUNTIF(C558:E575,$B594&amp;" ~*")&gt;0)+(IFERROR(INDEX(Setup!$G$33:$G$40,MATCH(G594,Setup!$B$33:$B$40,0)),0)=1)*(COUNTIF(G558:I575,$B594)+COUNTIF(G558:I575,$B594&amp;" ~*")&gt;0)+(IFERROR(INDEX(Setup!$G$33:$G$40,MATCH(K594,Setup!$B$33:$B$40,0)),0)=1)*(COUNTIF(K558:M575,$B594)+COUNTIF(K558:M575,$B594&amp;" ~*")&gt;0)+(IFERROR(INDEX(Setup!$G$33:$G$40,MATCH(O594,Setup!$B$33:$B$40,0)),0)=1)*(COUNTIF(O558:Q575,$B594)+COUNTIF(O558:Q575,$B594&amp;" ~*")&gt;0)+(IFERROR(INDEX(Setup!$G$33:$G$40,MATCH(S594,Setup!$B$33:$B$40,0)),0)=1)*(COUNTIF(S558:U575,$B594)+COUNTIF(S558:U575,$B594&amp;" ~*")&gt;0)+(IFERROR(INDEX(Setup!$G$33:$G$40,MATCH(W594,Setup!$B$33:$B$40,0)),0)=1)*(COUNTIF(W558:W575,$B594)+COUNTIF(W558:W575,$B594&amp;" ~*")&gt;0)+(IFERROR(INDEX(Setup!$G$33:$G$40,MATCH(Y594,Setup!$B$33:$B$40,0)),0)=1)*(COUNTIF(Y558:Y575,$B594)+COUNTIF(Y558:Y575,$B594&amp;" ~*")&gt;0))</f>
        <v/>
      </c>
    </row>
    <row r="595" ht="15" customHeight="1">
      <c r="A595" t="n">
        <v>12</v>
      </c>
      <c r="B595" s="35">
        <f>IF(Setup!$B$24="","",Setup!$B$24)</f>
        <v/>
      </c>
      <c r="C595" s="98" t="n"/>
      <c r="D595" s="99" t="n"/>
      <c r="E595" s="99" t="n"/>
      <c r="F595" s="100" t="n"/>
      <c r="G595" s="98" t="n"/>
      <c r="H595" s="99" t="n"/>
      <c r="I595" s="99" t="n"/>
      <c r="J595" s="100" t="n"/>
      <c r="K595" s="98" t="n"/>
      <c r="L595" s="99" t="n"/>
      <c r="M595" s="99" t="n"/>
      <c r="N595" s="100" t="n"/>
      <c r="O595" s="98" t="n"/>
      <c r="P595" s="99" t="n"/>
      <c r="Q595" s="99" t="n"/>
      <c r="R595" s="100" t="n"/>
      <c r="S595" s="98" t="n"/>
      <c r="T595" s="99" t="n"/>
      <c r="U595" s="99" t="n"/>
      <c r="V595" s="100" t="n"/>
      <c r="W595" s="98" t="n"/>
      <c r="X595" s="100" t="n"/>
      <c r="Y595" s="98" t="n"/>
      <c r="Z595" s="100" t="n"/>
      <c r="AB595" s="101">
        <f>IF($B595="","",(COUNTIF(C558:E575,$B595)+COUNTIF(C558:E575,$B595&amp;" ~*")&gt;0)+(COUNTIF(G558:I575,$B595)+COUNTIF(G558:I575,$B595&amp;" ~*")&gt;0)+(COUNTIF(K558:M575,$B595)+COUNTIF(K558:M575,$B595&amp;" ~*")&gt;0)+(COUNTIF(O558:Q575,$B595)+COUNTIF(O558:Q575,$B595&amp;" ~*")&gt;0)+(COUNTIF(S558:U575,$B595)+COUNTIF(S558:U575,$B595&amp;" ~*")&gt;0)+(COUNTIF(W558:W575,$B595)+COUNTIF(W558:W575,$B595&amp;" ~*")&gt;0)+(COUNTIF(Y558:Y575,$B595)+COUNTIF(Y558:Y575,$B595&amp;" ~*")&gt;0))</f>
        <v/>
      </c>
      <c r="AC595" s="36">
        <f>IF($B595="","",(IFERROR(INDEX(Setup!$G$33:$G$40,MATCH(C595,Setup!$B$33:$B$40,0)),0)=1)*(COUNTIF(C558:E575,$B595)+COUNTIF(C558:E575,$B595&amp;" ~*")&gt;0)+(IFERROR(INDEX(Setup!$G$33:$G$40,MATCH(G595,Setup!$B$33:$B$40,0)),0)=1)*(COUNTIF(G558:I575,$B595)+COUNTIF(G558:I575,$B595&amp;" ~*")&gt;0)+(IFERROR(INDEX(Setup!$G$33:$G$40,MATCH(K595,Setup!$B$33:$B$40,0)),0)=1)*(COUNTIF(K558:M575,$B595)+COUNTIF(K558:M575,$B595&amp;" ~*")&gt;0)+(IFERROR(INDEX(Setup!$G$33:$G$40,MATCH(O595,Setup!$B$33:$B$40,0)),0)=1)*(COUNTIF(O558:Q575,$B595)+COUNTIF(O558:Q575,$B595&amp;" ~*")&gt;0)+(IFERROR(INDEX(Setup!$G$33:$G$40,MATCH(S595,Setup!$B$33:$B$40,0)),0)=1)*(COUNTIF(S558:U575,$B595)+COUNTIF(S558:U575,$B595&amp;" ~*")&gt;0)+(IFERROR(INDEX(Setup!$G$33:$G$40,MATCH(W595,Setup!$B$33:$B$40,0)),0)=1)*(COUNTIF(W558:W575,$B595)+COUNTIF(W558:W575,$B595&amp;" ~*")&gt;0)+(IFERROR(INDEX(Setup!$G$33:$G$40,MATCH(Y595,Setup!$B$33:$B$40,0)),0)=1)*(COUNTIF(Y558:Y575,$B595)+COUNTIF(Y558:Y575,$B595&amp;" ~*")&gt;0))</f>
        <v/>
      </c>
    </row>
    <row r="596" ht="15" customHeight="1">
      <c r="A596" t="n">
        <v>12</v>
      </c>
      <c r="B596" s="37">
        <f>IF(Setup!$B$25="","",Setup!$B$25)</f>
        <v/>
      </c>
      <c r="C596" s="102" t="n"/>
      <c r="D596" s="103" t="n"/>
      <c r="E596" s="103" t="n"/>
      <c r="F596" s="104" t="n"/>
      <c r="G596" s="102" t="n"/>
      <c r="H596" s="103" t="n"/>
      <c r="I596" s="103" t="n"/>
      <c r="J596" s="104" t="n"/>
      <c r="K596" s="102" t="n"/>
      <c r="L596" s="103" t="n"/>
      <c r="M596" s="103" t="n"/>
      <c r="N596" s="104" t="n"/>
      <c r="O596" s="102" t="n"/>
      <c r="P596" s="103" t="n"/>
      <c r="Q596" s="103" t="n"/>
      <c r="R596" s="104" t="n"/>
      <c r="S596" s="102" t="n"/>
      <c r="T596" s="103" t="n"/>
      <c r="U596" s="103" t="n"/>
      <c r="V596" s="104" t="n"/>
      <c r="W596" s="102" t="n"/>
      <c r="X596" s="104" t="n"/>
      <c r="Y596" s="102" t="n"/>
      <c r="Z596" s="104" t="n"/>
      <c r="AB596" s="105">
        <f>IF($B596="","",(COUNTIF(C558:E575,$B596)+COUNTIF(C558:E575,$B596&amp;" ~*")&gt;0)+(COUNTIF(G558:I575,$B596)+COUNTIF(G558:I575,$B596&amp;" ~*")&gt;0)+(COUNTIF(K558:M575,$B596)+COUNTIF(K558:M575,$B596&amp;" ~*")&gt;0)+(COUNTIF(O558:Q575,$B596)+COUNTIF(O558:Q575,$B596&amp;" ~*")&gt;0)+(COUNTIF(S558:U575,$B596)+COUNTIF(S558:U575,$B596&amp;" ~*")&gt;0)+(COUNTIF(W558:W575,$B596)+COUNTIF(W558:W575,$B596&amp;" ~*")&gt;0)+(COUNTIF(Y558:Y575,$B596)+COUNTIF(Y558:Y575,$B596&amp;" ~*")&gt;0))</f>
        <v/>
      </c>
      <c r="AC596" s="38">
        <f>IF($B596="","",(IFERROR(INDEX(Setup!$G$33:$G$40,MATCH(C596,Setup!$B$33:$B$40,0)),0)=1)*(COUNTIF(C558:E575,$B596)+COUNTIF(C558:E575,$B596&amp;" ~*")&gt;0)+(IFERROR(INDEX(Setup!$G$33:$G$40,MATCH(G596,Setup!$B$33:$B$40,0)),0)=1)*(COUNTIF(G558:I575,$B596)+COUNTIF(G558:I575,$B596&amp;" ~*")&gt;0)+(IFERROR(INDEX(Setup!$G$33:$G$40,MATCH(K596,Setup!$B$33:$B$40,0)),0)=1)*(COUNTIF(K558:M575,$B596)+COUNTIF(K558:M575,$B596&amp;" ~*")&gt;0)+(IFERROR(INDEX(Setup!$G$33:$G$40,MATCH(O596,Setup!$B$33:$B$40,0)),0)=1)*(COUNTIF(O558:Q575,$B596)+COUNTIF(O558:Q575,$B596&amp;" ~*")&gt;0)+(IFERROR(INDEX(Setup!$G$33:$G$40,MATCH(S596,Setup!$B$33:$B$40,0)),0)=1)*(COUNTIF(S558:U575,$B596)+COUNTIF(S558:U575,$B596&amp;" ~*")&gt;0)+(IFERROR(INDEX(Setup!$G$33:$G$40,MATCH(W596,Setup!$B$33:$B$40,0)),0)=1)*(COUNTIF(W558:W575,$B596)+COUNTIF(W558:W575,$B596&amp;" ~*")&gt;0)+(IFERROR(INDEX(Setup!$G$33:$G$40,MATCH(Y596,Setup!$B$33:$B$40,0)),0)=1)*(COUNTIF(Y558:Y575,$B596)+COUNTIF(Y558:Y575,$B596&amp;" ~*")&gt;0))</f>
        <v/>
      </c>
    </row>
    <row r="597" ht="15" customHeight="1">
      <c r="A597" t="n">
        <v>12</v>
      </c>
      <c r="B597" s="35">
        <f>IF(Setup!$B$26="","",Setup!$B$26)</f>
        <v/>
      </c>
      <c r="C597" s="98" t="n"/>
      <c r="D597" s="99" t="n"/>
      <c r="E597" s="99" t="n"/>
      <c r="F597" s="100" t="n"/>
      <c r="G597" s="98" t="n"/>
      <c r="H597" s="99" t="n"/>
      <c r="I597" s="99" t="n"/>
      <c r="J597" s="100" t="n"/>
      <c r="K597" s="98" t="n"/>
      <c r="L597" s="99" t="n"/>
      <c r="M597" s="99" t="n"/>
      <c r="N597" s="100" t="n"/>
      <c r="O597" s="98" t="n"/>
      <c r="P597" s="99" t="n"/>
      <c r="Q597" s="99" t="n"/>
      <c r="R597" s="100" t="n"/>
      <c r="S597" s="98" t="n"/>
      <c r="T597" s="99" t="n"/>
      <c r="U597" s="99" t="n"/>
      <c r="V597" s="100" t="n"/>
      <c r="W597" s="98" t="n"/>
      <c r="X597" s="100" t="n"/>
      <c r="Y597" s="98" t="n"/>
      <c r="Z597" s="100" t="n"/>
      <c r="AB597" s="101">
        <f>IF($B597="","",(COUNTIF(C558:E575,$B597)+COUNTIF(C558:E575,$B597&amp;" ~*")&gt;0)+(COUNTIF(G558:I575,$B597)+COUNTIF(G558:I575,$B597&amp;" ~*")&gt;0)+(COUNTIF(K558:M575,$B597)+COUNTIF(K558:M575,$B597&amp;" ~*")&gt;0)+(COUNTIF(O558:Q575,$B597)+COUNTIF(O558:Q575,$B597&amp;" ~*")&gt;0)+(COUNTIF(S558:U575,$B597)+COUNTIF(S558:U575,$B597&amp;" ~*")&gt;0)+(COUNTIF(W558:W575,$B597)+COUNTIF(W558:W575,$B597&amp;" ~*")&gt;0)+(COUNTIF(Y558:Y575,$B597)+COUNTIF(Y558:Y575,$B597&amp;" ~*")&gt;0))</f>
        <v/>
      </c>
      <c r="AC597" s="36">
        <f>IF($B597="","",(IFERROR(INDEX(Setup!$G$33:$G$40,MATCH(C597,Setup!$B$33:$B$40,0)),0)=1)*(COUNTIF(C558:E575,$B597)+COUNTIF(C558:E575,$B597&amp;" ~*")&gt;0)+(IFERROR(INDEX(Setup!$G$33:$G$40,MATCH(G597,Setup!$B$33:$B$40,0)),0)=1)*(COUNTIF(G558:I575,$B597)+COUNTIF(G558:I575,$B597&amp;" ~*")&gt;0)+(IFERROR(INDEX(Setup!$G$33:$G$40,MATCH(K597,Setup!$B$33:$B$40,0)),0)=1)*(COUNTIF(K558:M575,$B597)+COUNTIF(K558:M575,$B597&amp;" ~*")&gt;0)+(IFERROR(INDEX(Setup!$G$33:$G$40,MATCH(O597,Setup!$B$33:$B$40,0)),0)=1)*(COUNTIF(O558:Q575,$B597)+COUNTIF(O558:Q575,$B597&amp;" ~*")&gt;0)+(IFERROR(INDEX(Setup!$G$33:$G$40,MATCH(S597,Setup!$B$33:$B$40,0)),0)=1)*(COUNTIF(S558:U575,$B597)+COUNTIF(S558:U575,$B597&amp;" ~*")&gt;0)+(IFERROR(INDEX(Setup!$G$33:$G$40,MATCH(W597,Setup!$B$33:$B$40,0)),0)=1)*(COUNTIF(W558:W575,$B597)+COUNTIF(W558:W575,$B597&amp;" ~*")&gt;0)+(IFERROR(INDEX(Setup!$G$33:$G$40,MATCH(Y597,Setup!$B$33:$B$40,0)),0)=1)*(COUNTIF(Y558:Y575,$B597)+COUNTIF(Y558:Y575,$B597&amp;" ~*")&gt;0))</f>
        <v/>
      </c>
    </row>
    <row r="598" ht="15" customHeight="1">
      <c r="A598" t="n">
        <v>12</v>
      </c>
      <c r="B598" s="37">
        <f>IF(Setup!$B$27="","",Setup!$B$27)</f>
        <v/>
      </c>
      <c r="C598" s="102" t="n"/>
      <c r="D598" s="103" t="n"/>
      <c r="E598" s="103" t="n"/>
      <c r="F598" s="104" t="n"/>
      <c r="G598" s="102" t="n"/>
      <c r="H598" s="103" t="n"/>
      <c r="I598" s="103" t="n"/>
      <c r="J598" s="104" t="n"/>
      <c r="K598" s="102" t="n"/>
      <c r="L598" s="103" t="n"/>
      <c r="M598" s="103" t="n"/>
      <c r="N598" s="104" t="n"/>
      <c r="O598" s="102" t="n"/>
      <c r="P598" s="103" t="n"/>
      <c r="Q598" s="103" t="n"/>
      <c r="R598" s="104" t="n"/>
      <c r="S598" s="102" t="n"/>
      <c r="T598" s="103" t="n"/>
      <c r="U598" s="103" t="n"/>
      <c r="V598" s="104" t="n"/>
      <c r="W598" s="102" t="n"/>
      <c r="X598" s="104" t="n"/>
      <c r="Y598" s="102" t="n"/>
      <c r="Z598" s="104" t="n"/>
      <c r="AB598" s="105">
        <f>IF($B598="","",(COUNTIF(C558:E575,$B598)+COUNTIF(C558:E575,$B598&amp;" ~*")&gt;0)+(COUNTIF(G558:I575,$B598)+COUNTIF(G558:I575,$B598&amp;" ~*")&gt;0)+(COUNTIF(K558:M575,$B598)+COUNTIF(K558:M575,$B598&amp;" ~*")&gt;0)+(COUNTIF(O558:Q575,$B598)+COUNTIF(O558:Q575,$B598&amp;" ~*")&gt;0)+(COUNTIF(S558:U575,$B598)+COUNTIF(S558:U575,$B598&amp;" ~*")&gt;0)+(COUNTIF(W558:W575,$B598)+COUNTIF(W558:W575,$B598&amp;" ~*")&gt;0)+(COUNTIF(Y558:Y575,$B598)+COUNTIF(Y558:Y575,$B598&amp;" ~*")&gt;0))</f>
        <v/>
      </c>
      <c r="AC598" s="38">
        <f>IF($B598="","",(IFERROR(INDEX(Setup!$G$33:$G$40,MATCH(C598,Setup!$B$33:$B$40,0)),0)=1)*(COUNTIF(C558:E575,$B598)+COUNTIF(C558:E575,$B598&amp;" ~*")&gt;0)+(IFERROR(INDEX(Setup!$G$33:$G$40,MATCH(G598,Setup!$B$33:$B$40,0)),0)=1)*(COUNTIF(G558:I575,$B598)+COUNTIF(G558:I575,$B598&amp;" ~*")&gt;0)+(IFERROR(INDEX(Setup!$G$33:$G$40,MATCH(K598,Setup!$B$33:$B$40,0)),0)=1)*(COUNTIF(K558:M575,$B598)+COUNTIF(K558:M575,$B598&amp;" ~*")&gt;0)+(IFERROR(INDEX(Setup!$G$33:$G$40,MATCH(O598,Setup!$B$33:$B$40,0)),0)=1)*(COUNTIF(O558:Q575,$B598)+COUNTIF(O558:Q575,$B598&amp;" ~*")&gt;0)+(IFERROR(INDEX(Setup!$G$33:$G$40,MATCH(S598,Setup!$B$33:$B$40,0)),0)=1)*(COUNTIF(S558:U575,$B598)+COUNTIF(S558:U575,$B598&amp;" ~*")&gt;0)+(IFERROR(INDEX(Setup!$G$33:$G$40,MATCH(W598,Setup!$B$33:$B$40,0)),0)=1)*(COUNTIF(W558:W575,$B598)+COUNTIF(W558:W575,$B598&amp;" ~*")&gt;0)+(IFERROR(INDEX(Setup!$G$33:$G$40,MATCH(Y598,Setup!$B$33:$B$40,0)),0)=1)*(COUNTIF(Y558:Y575,$B598)+COUNTIF(Y558:Y575,$B598&amp;" ~*")&gt;0))</f>
        <v/>
      </c>
    </row>
    <row r="599" ht="15" customHeight="1">
      <c r="A599" t="n">
        <v>12</v>
      </c>
      <c r="B599" s="35">
        <f>IF(Setup!$B$28="","",Setup!$B$28)</f>
        <v/>
      </c>
      <c r="C599" s="98" t="n"/>
      <c r="D599" s="99" t="n"/>
      <c r="E599" s="99" t="n"/>
      <c r="F599" s="100" t="n"/>
      <c r="G599" s="98" t="n"/>
      <c r="H599" s="99" t="n"/>
      <c r="I599" s="99" t="n"/>
      <c r="J599" s="100" t="n"/>
      <c r="K599" s="98" t="n"/>
      <c r="L599" s="99" t="n"/>
      <c r="M599" s="99" t="n"/>
      <c r="N599" s="100" t="n"/>
      <c r="O599" s="98" t="n"/>
      <c r="P599" s="99" t="n"/>
      <c r="Q599" s="99" t="n"/>
      <c r="R599" s="100" t="n"/>
      <c r="S599" s="98" t="n"/>
      <c r="T599" s="99" t="n"/>
      <c r="U599" s="99" t="n"/>
      <c r="V599" s="100" t="n"/>
      <c r="W599" s="98" t="n"/>
      <c r="X599" s="100" t="n"/>
      <c r="Y599" s="98" t="n"/>
      <c r="Z599" s="100" t="n"/>
      <c r="AB599" s="101">
        <f>IF($B599="","",(COUNTIF(C558:E575,$B599)+COUNTIF(C558:E575,$B599&amp;" ~*")&gt;0)+(COUNTIF(G558:I575,$B599)+COUNTIF(G558:I575,$B599&amp;" ~*")&gt;0)+(COUNTIF(K558:M575,$B599)+COUNTIF(K558:M575,$B599&amp;" ~*")&gt;0)+(COUNTIF(O558:Q575,$B599)+COUNTIF(O558:Q575,$B599&amp;" ~*")&gt;0)+(COUNTIF(S558:U575,$B599)+COUNTIF(S558:U575,$B599&amp;" ~*")&gt;0)+(COUNTIF(W558:W575,$B599)+COUNTIF(W558:W575,$B599&amp;" ~*")&gt;0)+(COUNTIF(Y558:Y575,$B599)+COUNTIF(Y558:Y575,$B599&amp;" ~*")&gt;0))</f>
        <v/>
      </c>
      <c r="AC599" s="36">
        <f>IF($B599="","",(IFERROR(INDEX(Setup!$G$33:$G$40,MATCH(C599,Setup!$B$33:$B$40,0)),0)=1)*(COUNTIF(C558:E575,$B599)+COUNTIF(C558:E575,$B599&amp;" ~*")&gt;0)+(IFERROR(INDEX(Setup!$G$33:$G$40,MATCH(G599,Setup!$B$33:$B$40,0)),0)=1)*(COUNTIF(G558:I575,$B599)+COUNTIF(G558:I575,$B599&amp;" ~*")&gt;0)+(IFERROR(INDEX(Setup!$G$33:$G$40,MATCH(K599,Setup!$B$33:$B$40,0)),0)=1)*(COUNTIF(K558:M575,$B599)+COUNTIF(K558:M575,$B599&amp;" ~*")&gt;0)+(IFERROR(INDEX(Setup!$G$33:$G$40,MATCH(O599,Setup!$B$33:$B$40,0)),0)=1)*(COUNTIF(O558:Q575,$B599)+COUNTIF(O558:Q575,$B599&amp;" ~*")&gt;0)+(IFERROR(INDEX(Setup!$G$33:$G$40,MATCH(S599,Setup!$B$33:$B$40,0)),0)=1)*(COUNTIF(S558:U575,$B599)+COUNTIF(S558:U575,$B599&amp;" ~*")&gt;0)+(IFERROR(INDEX(Setup!$G$33:$G$40,MATCH(W599,Setup!$B$33:$B$40,0)),0)=1)*(COUNTIF(W558:W575,$B599)+COUNTIF(W558:W575,$B599&amp;" ~*")&gt;0)+(IFERROR(INDEX(Setup!$G$33:$G$40,MATCH(Y599,Setup!$B$33:$B$40,0)),0)=1)*(COUNTIF(Y558:Y575,$B599)+COUNTIF(Y558:Y575,$B599&amp;" ~*")&gt;0))</f>
        <v/>
      </c>
    </row>
    <row r="600" ht="15" customHeight="1">
      <c r="A600" t="n">
        <v>12</v>
      </c>
      <c r="B600" s="37">
        <f>IF(Setup!$B$29="","",Setup!$B$29)</f>
        <v/>
      </c>
      <c r="C600" s="102" t="n"/>
      <c r="D600" s="103" t="n"/>
      <c r="E600" s="103" t="n"/>
      <c r="F600" s="104" t="n"/>
      <c r="G600" s="102" t="n"/>
      <c r="H600" s="103" t="n"/>
      <c r="I600" s="103" t="n"/>
      <c r="J600" s="104" t="n"/>
      <c r="K600" s="102" t="n"/>
      <c r="L600" s="103" t="n"/>
      <c r="M600" s="103" t="n"/>
      <c r="N600" s="104" t="n"/>
      <c r="O600" s="102" t="n"/>
      <c r="P600" s="103" t="n"/>
      <c r="Q600" s="103" t="n"/>
      <c r="R600" s="104" t="n"/>
      <c r="S600" s="102" t="n"/>
      <c r="T600" s="103" t="n"/>
      <c r="U600" s="103" t="n"/>
      <c r="V600" s="104" t="n"/>
      <c r="W600" s="102" t="n"/>
      <c r="X600" s="104" t="n"/>
      <c r="Y600" s="102" t="n"/>
      <c r="Z600" s="104" t="n"/>
      <c r="AB600" s="105">
        <f>IF($B600="","",(COUNTIF(C558:E575,$B600)+COUNTIF(C558:E575,$B600&amp;" ~*")&gt;0)+(COUNTIF(G558:I575,$B600)+COUNTIF(G558:I575,$B600&amp;" ~*")&gt;0)+(COUNTIF(K558:M575,$B600)+COUNTIF(K558:M575,$B600&amp;" ~*")&gt;0)+(COUNTIF(O558:Q575,$B600)+COUNTIF(O558:Q575,$B600&amp;" ~*")&gt;0)+(COUNTIF(S558:U575,$B600)+COUNTIF(S558:U575,$B600&amp;" ~*")&gt;0)+(COUNTIF(W558:W575,$B600)+COUNTIF(W558:W575,$B600&amp;" ~*")&gt;0)+(COUNTIF(Y558:Y575,$B600)+COUNTIF(Y558:Y575,$B600&amp;" ~*")&gt;0))</f>
        <v/>
      </c>
      <c r="AC600" s="38">
        <f>IF($B600="","",(IFERROR(INDEX(Setup!$G$33:$G$40,MATCH(C600,Setup!$B$33:$B$40,0)),0)=1)*(COUNTIF(C558:E575,$B600)+COUNTIF(C558:E575,$B600&amp;" ~*")&gt;0)+(IFERROR(INDEX(Setup!$G$33:$G$40,MATCH(G600,Setup!$B$33:$B$40,0)),0)=1)*(COUNTIF(G558:I575,$B600)+COUNTIF(G558:I575,$B600&amp;" ~*")&gt;0)+(IFERROR(INDEX(Setup!$G$33:$G$40,MATCH(K600,Setup!$B$33:$B$40,0)),0)=1)*(COUNTIF(K558:M575,$B600)+COUNTIF(K558:M575,$B600&amp;" ~*")&gt;0)+(IFERROR(INDEX(Setup!$G$33:$G$40,MATCH(O600,Setup!$B$33:$B$40,0)),0)=1)*(COUNTIF(O558:Q575,$B600)+COUNTIF(O558:Q575,$B600&amp;" ~*")&gt;0)+(IFERROR(INDEX(Setup!$G$33:$G$40,MATCH(S600,Setup!$B$33:$B$40,0)),0)=1)*(COUNTIF(S558:U575,$B600)+COUNTIF(S558:U575,$B600&amp;" ~*")&gt;0)+(IFERROR(INDEX(Setup!$G$33:$G$40,MATCH(W600,Setup!$B$33:$B$40,0)),0)=1)*(COUNTIF(W558:W575,$B600)+COUNTIF(W558:W575,$B600&amp;" ~*")&gt;0)+(IFERROR(INDEX(Setup!$G$33:$G$40,MATCH(Y600,Setup!$B$33:$B$40,0)),0)=1)*(COUNTIF(Y558:Y575,$B600)+COUNTIF(Y558:Y575,$B600&amp;" ~*")&gt;0))</f>
        <v/>
      </c>
    </row>
    <row r="601" ht="16" customHeight="1">
      <c r="A601" t="n">
        <v>12</v>
      </c>
      <c r="B601" s="106" t="inlineStr">
        <is>
          <t>Available people</t>
        </is>
      </c>
      <c r="C601" s="107">
        <f>COUNTIFS(Setup!$E$6:$E$29,"Y",Setup!$B$6:$B$29,"?*")-SUMPRODUCT(COUNTIF(C577:C600,Setup!$F$33:$F$40))</f>
        <v/>
      </c>
      <c r="D601" s="107" t="n"/>
      <c r="E601" s="107" t="n"/>
      <c r="F601" s="107" t="n"/>
      <c r="G601" s="107">
        <f>COUNTIFS(Setup!$E$6:$E$29,"Y",Setup!$B$6:$B$29,"?*")-SUMPRODUCT(COUNTIF(G577:G600,Setup!$F$33:$F$40))</f>
        <v/>
      </c>
      <c r="H601" s="107" t="n"/>
      <c r="I601" s="107" t="n"/>
      <c r="J601" s="107" t="n"/>
      <c r="K601" s="107">
        <f>COUNTIFS(Setup!$E$6:$E$29,"Y",Setup!$B$6:$B$29,"?*")-SUMPRODUCT(COUNTIF(K577:K600,Setup!$F$33:$F$40))</f>
        <v/>
      </c>
      <c r="L601" s="107" t="n"/>
      <c r="M601" s="107" t="n"/>
      <c r="N601" s="107" t="n"/>
      <c r="O601" s="107">
        <f>COUNTIFS(Setup!$E$6:$E$29,"Y",Setup!$B$6:$B$29,"?*")-SUMPRODUCT(COUNTIF(O577:O600,Setup!$F$33:$F$40))</f>
        <v/>
      </c>
      <c r="P601" s="107" t="n"/>
      <c r="Q601" s="107" t="n"/>
      <c r="R601" s="107" t="n"/>
      <c r="S601" s="107">
        <f>COUNTIFS(Setup!$E$6:$E$29,"Y",Setup!$B$6:$B$29,"?*")-SUMPRODUCT(COUNTIF(S577:S600,Setup!$F$33:$F$40))</f>
        <v/>
      </c>
      <c r="T601" s="107" t="n"/>
      <c r="U601" s="107" t="n"/>
      <c r="V601" s="107" t="n"/>
      <c r="W601" s="107">
        <f>COUNTIFS(Setup!$E$6:$E$29,"Y",Setup!$B$6:$B$29,"?*")-SUMPRODUCT(COUNTIF(W577:W600,Setup!$F$33:$F$40))</f>
        <v/>
      </c>
      <c r="X601" s="107" t="n"/>
      <c r="Y601" s="107">
        <f>COUNTIFS(Setup!$E$6:$E$29,"Y",Setup!$B$6:$B$29,"?*")-SUMPRODUCT(COUNTIF(Y577:Y600,Setup!$F$33:$F$40))</f>
        <v/>
      </c>
      <c r="Z601" s="107" t="n"/>
      <c r="AB601" s="108">
        <f>SUM(AB577:AB600)</f>
        <v/>
      </c>
      <c r="AC601" s="109">
        <f>SUM(AC577:AC600)</f>
        <v/>
      </c>
    </row>
    <row r="602" ht="30" customHeight="1">
      <c r="A602" t="n">
        <v>12</v>
      </c>
      <c r="B602" s="110" t="inlineStr">
        <is>
          <t>Week notes</t>
        </is>
      </c>
      <c r="C602" s="111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112" t="n"/>
      <c r="R602" s="112" t="n"/>
      <c r="S602" s="112" t="n"/>
      <c r="T602" s="112" t="n"/>
      <c r="U602" s="112" t="n"/>
      <c r="V602" s="112" t="n"/>
      <c r="W602" s="112" t="n"/>
      <c r="X602" s="112" t="n"/>
      <c r="Y602" s="112" t="n"/>
      <c r="Z602" s="113" t="n"/>
    </row>
    <row r="603" ht="8" customHeight="1">
      <c r="A603" t="n">
        <v>12</v>
      </c>
    </row>
    <row r="604" ht="8" customHeight="1">
      <c r="A604" t="n">
        <v>12</v>
      </c>
    </row>
    <row r="605" ht="24" customHeight="1">
      <c r="A605" t="n">
        <v>13</v>
      </c>
      <c r="B605" s="73">
        <f>"WEEK 13     "&amp;TEXT(C606,"ddd d mmm")&amp;"  –  "&amp;TEXT(C606+6,"ddd d mmm yyyy")</f>
        <v/>
      </c>
      <c r="S605" s="74">
        <f>IF(TODAY()&lt;C606,"FUTURE",IF(TODAY()&gt;C606+6,"PAST","THIS WEEK"))</f>
        <v/>
      </c>
      <c r="W605" s="75">
        <f>IF(AND(Engine!$B$8=$AC$3,Engine!$B$9=$A605),"◀ ACTIVE WEEK","")</f>
        <v/>
      </c>
      <c r="AA605" s="76" t="n"/>
      <c r="AB605" s="77" t="inlineStr">
        <is>
          <t>◀ Prev</t>
        </is>
      </c>
      <c r="AC605" s="77" t="inlineStr">
        <is>
          <t>Next ▶</t>
        </is>
      </c>
    </row>
    <row r="606" ht="18" customHeight="1">
      <c r="A606" t="n">
        <v>13</v>
      </c>
      <c r="B606" s="78" t="inlineStr">
        <is>
          <t>DUTY</t>
        </is>
      </c>
      <c r="C606" s="79">
        <f>$AC$2+7*($A606-1)</f>
        <v/>
      </c>
      <c r="D606" s="80" t="n"/>
      <c r="E606" s="80" t="n"/>
      <c r="F606" s="81" t="n"/>
      <c r="G606" s="79">
        <f>C606+1</f>
        <v/>
      </c>
      <c r="H606" s="80" t="n"/>
      <c r="I606" s="80" t="n"/>
      <c r="J606" s="81" t="n"/>
      <c r="K606" s="79">
        <f>C606+2</f>
        <v/>
      </c>
      <c r="L606" s="80" t="n"/>
      <c r="M606" s="80" t="n"/>
      <c r="N606" s="81" t="n"/>
      <c r="O606" s="79">
        <f>C606+3</f>
        <v/>
      </c>
      <c r="P606" s="80" t="n"/>
      <c r="Q606" s="80" t="n"/>
      <c r="R606" s="81" t="n"/>
      <c r="S606" s="79">
        <f>C606+4</f>
        <v/>
      </c>
      <c r="T606" s="80" t="n"/>
      <c r="U606" s="80" t="n"/>
      <c r="V606" s="81" t="n"/>
      <c r="W606" s="82">
        <f>C606+5</f>
        <v/>
      </c>
      <c r="X606" s="83" t="n"/>
      <c r="Y606" s="82">
        <f>C606+6</f>
        <v/>
      </c>
      <c r="Z606" s="83" t="n"/>
      <c r="AB606" s="72" t="inlineStr">
        <is>
          <t>Gaps</t>
        </is>
      </c>
      <c r="AC606" s="72" t="inlineStr">
        <is>
          <t>Cover</t>
        </is>
      </c>
    </row>
    <row r="607" ht="14" customHeight="1">
      <c r="A607" t="n">
        <v>13</v>
      </c>
      <c r="B607" s="84" t="inlineStr">
        <is>
          <t>(from Setup)</t>
        </is>
      </c>
      <c r="C607" s="85" t="inlineStr">
        <is>
          <t>1</t>
        </is>
      </c>
      <c r="D607" s="85" t="inlineStr">
        <is>
          <t>2</t>
        </is>
      </c>
      <c r="E607" s="85" t="inlineStr">
        <is>
          <t>3</t>
        </is>
      </c>
      <c r="F607" s="85" t="inlineStr">
        <is>
          <t>Notes</t>
        </is>
      </c>
      <c r="G607" s="85" t="inlineStr">
        <is>
          <t>1</t>
        </is>
      </c>
      <c r="H607" s="85" t="inlineStr">
        <is>
          <t>2</t>
        </is>
      </c>
      <c r="I607" s="85" t="inlineStr">
        <is>
          <t>3</t>
        </is>
      </c>
      <c r="J607" s="85" t="inlineStr">
        <is>
          <t>Notes</t>
        </is>
      </c>
      <c r="K607" s="85" t="inlineStr">
        <is>
          <t>1</t>
        </is>
      </c>
      <c r="L607" s="85" t="inlineStr">
        <is>
          <t>2</t>
        </is>
      </c>
      <c r="M607" s="85" t="inlineStr">
        <is>
          <t>3</t>
        </is>
      </c>
      <c r="N607" s="85" t="inlineStr">
        <is>
          <t>Notes</t>
        </is>
      </c>
      <c r="O607" s="85" t="inlineStr">
        <is>
          <t>1</t>
        </is>
      </c>
      <c r="P607" s="85" t="inlineStr">
        <is>
          <t>2</t>
        </is>
      </c>
      <c r="Q607" s="85" t="inlineStr">
        <is>
          <t>3</t>
        </is>
      </c>
      <c r="R607" s="85" t="inlineStr">
        <is>
          <t>Notes</t>
        </is>
      </c>
      <c r="S607" s="85" t="inlineStr">
        <is>
          <t>1</t>
        </is>
      </c>
      <c r="T607" s="85" t="inlineStr">
        <is>
          <t>2</t>
        </is>
      </c>
      <c r="U607" s="85" t="inlineStr">
        <is>
          <t>3</t>
        </is>
      </c>
      <c r="V607" s="85" t="inlineStr">
        <is>
          <t>Notes</t>
        </is>
      </c>
      <c r="W607" s="85" t="inlineStr">
        <is>
          <t>Cover</t>
        </is>
      </c>
      <c r="X607" s="85" t="inlineStr">
        <is>
          <t>Notes</t>
        </is>
      </c>
      <c r="Y607" s="85" t="inlineStr">
        <is>
          <t>Cover</t>
        </is>
      </c>
      <c r="Z607" s="85" t="inlineStr">
        <is>
          <t>Notes</t>
        </is>
      </c>
      <c r="AB607" s="86" t="inlineStr">
        <is>
          <t>weekdays short</t>
        </is>
      </c>
      <c r="AC607" s="87" t="inlineStr"/>
    </row>
    <row r="608" ht="17" customHeight="1">
      <c r="A608" t="n">
        <v>13</v>
      </c>
      <c r="B608" s="24">
        <f>IF(Setup!$K$6="","",Setup!$K$6)</f>
        <v/>
      </c>
      <c r="C608" s="88" t="n"/>
      <c r="D608" s="88" t="n"/>
      <c r="E608" s="88" t="n"/>
      <c r="F608" s="89" t="n"/>
      <c r="G608" s="88" t="n"/>
      <c r="H608" s="88" t="n"/>
      <c r="I608" s="88" t="n"/>
      <c r="J608" s="89" t="n"/>
      <c r="K608" s="88" t="n"/>
      <c r="L608" s="88" t="n"/>
      <c r="M608" s="88" t="n"/>
      <c r="N608" s="89" t="n"/>
      <c r="O608" s="88" t="n"/>
      <c r="P608" s="88" t="n"/>
      <c r="Q608" s="88" t="n"/>
      <c r="R608" s="89" t="n"/>
      <c r="S608" s="88" t="n"/>
      <c r="T608" s="88" t="n"/>
      <c r="U608" s="88" t="n"/>
      <c r="V608" s="89" t="n"/>
      <c r="W608" s="88" t="n"/>
      <c r="X608" s="89" t="n"/>
      <c r="Y608" s="88" t="n"/>
      <c r="Z608" s="89" t="n"/>
      <c r="AB608" s="25">
        <f>IF($B608="","",(COUNTIF(C608:E608,"?*")&lt;N(INDEX(Setup!$L$6:$L$23,1)))+(COUNTIF(G608:I608,"?*")&lt;N(INDEX(Setup!$L$6:$L$23,1)))+(COUNTIF(K608:M608,"?*")&lt;N(INDEX(Setup!$L$6:$L$23,1)))+(COUNTIF(O608:Q608,"?*")&lt;N(INDEX(Setup!$L$6:$L$23,1)))+(COUNTIF(S608:U608,"?*")&lt;N(INDEX(Setup!$L$6:$L$23,1)))+((W608="")*(INDEX(Setup!$M$6:$M$23,1)="Y"))+((Y608="")*(INDEX(Setup!$M$6:$M$23,1)="Y")))</f>
        <v/>
      </c>
      <c r="AC608" s="90">
        <f>IF($B608="","",IF(AB608=0,"✓ covered","⚠ "&amp;AB608&amp;IF(AB608=1," gap"," gaps")))</f>
        <v/>
      </c>
    </row>
    <row r="609" ht="17" customHeight="1">
      <c r="A609" t="n">
        <v>13</v>
      </c>
      <c r="B609" s="29">
        <f>IF(Setup!$K$7="","",Setup!$K$7)</f>
        <v/>
      </c>
      <c r="C609" s="88" t="n"/>
      <c r="D609" s="88" t="n"/>
      <c r="E609" s="88" t="n"/>
      <c r="F609" s="89" t="n"/>
      <c r="G609" s="88" t="n"/>
      <c r="H609" s="88" t="n"/>
      <c r="I609" s="88" t="n"/>
      <c r="J609" s="89" t="n"/>
      <c r="K609" s="88" t="n"/>
      <c r="L609" s="88" t="n"/>
      <c r="M609" s="88" t="n"/>
      <c r="N609" s="89" t="n"/>
      <c r="O609" s="88" t="n"/>
      <c r="P609" s="88" t="n"/>
      <c r="Q609" s="88" t="n"/>
      <c r="R609" s="89" t="n"/>
      <c r="S609" s="88" t="n"/>
      <c r="T609" s="88" t="n"/>
      <c r="U609" s="88" t="n"/>
      <c r="V609" s="89" t="n"/>
      <c r="W609" s="88" t="n"/>
      <c r="X609" s="89" t="n"/>
      <c r="Y609" s="88" t="n"/>
      <c r="Z609" s="89" t="n"/>
      <c r="AB609" s="30">
        <f>IF($B609="","",(COUNTIF(C609:E609,"?*")&lt;N(INDEX(Setup!$L$6:$L$23,2)))+(COUNTIF(G609:I609,"?*")&lt;N(INDEX(Setup!$L$6:$L$23,2)))+(COUNTIF(K609:M609,"?*")&lt;N(INDEX(Setup!$L$6:$L$23,2)))+(COUNTIF(O609:Q609,"?*")&lt;N(INDEX(Setup!$L$6:$L$23,2)))+(COUNTIF(S609:U609,"?*")&lt;N(INDEX(Setup!$L$6:$L$23,2)))+((W609="")*(INDEX(Setup!$M$6:$M$23,2)="Y"))+((Y609="")*(INDEX(Setup!$M$6:$M$23,2)="Y")))</f>
        <v/>
      </c>
      <c r="AC609" s="91">
        <f>IF($B609="","",IF(AB609=0,"✓ covered","⚠ "&amp;AB609&amp;IF(AB609=1," gap"," gaps")))</f>
        <v/>
      </c>
    </row>
    <row r="610" ht="17" customHeight="1">
      <c r="A610" t="n">
        <v>13</v>
      </c>
      <c r="B610" s="24">
        <f>IF(Setup!$K$8="","",Setup!$K$8)</f>
        <v/>
      </c>
      <c r="C610" s="88" t="n"/>
      <c r="D610" s="88" t="n"/>
      <c r="E610" s="88" t="n"/>
      <c r="F610" s="89" t="n"/>
      <c r="G610" s="88" t="n"/>
      <c r="H610" s="88" t="n"/>
      <c r="I610" s="88" t="n"/>
      <c r="J610" s="89" t="n"/>
      <c r="K610" s="88" t="n"/>
      <c r="L610" s="88" t="n"/>
      <c r="M610" s="88" t="n"/>
      <c r="N610" s="89" t="n"/>
      <c r="O610" s="88" t="n"/>
      <c r="P610" s="88" t="n"/>
      <c r="Q610" s="88" t="n"/>
      <c r="R610" s="89" t="n"/>
      <c r="S610" s="88" t="n"/>
      <c r="T610" s="88" t="n"/>
      <c r="U610" s="88" t="n"/>
      <c r="V610" s="89" t="n"/>
      <c r="W610" s="88" t="n"/>
      <c r="X610" s="89" t="n"/>
      <c r="Y610" s="88" t="n"/>
      <c r="Z610" s="89" t="n"/>
      <c r="AB610" s="25">
        <f>IF($B610="","",(COUNTIF(C610:E610,"?*")&lt;N(INDEX(Setup!$L$6:$L$23,3)))+(COUNTIF(G610:I610,"?*")&lt;N(INDEX(Setup!$L$6:$L$23,3)))+(COUNTIF(K610:M610,"?*")&lt;N(INDEX(Setup!$L$6:$L$23,3)))+(COUNTIF(O610:Q610,"?*")&lt;N(INDEX(Setup!$L$6:$L$23,3)))+(COUNTIF(S610:U610,"?*")&lt;N(INDEX(Setup!$L$6:$L$23,3)))+((W610="")*(INDEX(Setup!$M$6:$M$23,3)="Y"))+((Y610="")*(INDEX(Setup!$M$6:$M$23,3)="Y")))</f>
        <v/>
      </c>
      <c r="AC610" s="90">
        <f>IF($B610="","",IF(AB610=0,"✓ covered","⚠ "&amp;AB610&amp;IF(AB610=1," gap"," gaps")))</f>
        <v/>
      </c>
    </row>
    <row r="611" ht="17" customHeight="1">
      <c r="A611" t="n">
        <v>13</v>
      </c>
      <c r="B611" s="29">
        <f>IF(Setup!$K$9="","",Setup!$K$9)</f>
        <v/>
      </c>
      <c r="C611" s="88" t="n"/>
      <c r="D611" s="88" t="n"/>
      <c r="E611" s="88" t="n"/>
      <c r="F611" s="89" t="n"/>
      <c r="G611" s="88" t="n"/>
      <c r="H611" s="88" t="n"/>
      <c r="I611" s="88" t="n"/>
      <c r="J611" s="89" t="n"/>
      <c r="K611" s="88" t="n"/>
      <c r="L611" s="88" t="n"/>
      <c r="M611" s="88" t="n"/>
      <c r="N611" s="89" t="n"/>
      <c r="O611" s="88" t="n"/>
      <c r="P611" s="88" t="n"/>
      <c r="Q611" s="88" t="n"/>
      <c r="R611" s="89" t="n"/>
      <c r="S611" s="88" t="n"/>
      <c r="T611" s="88" t="n"/>
      <c r="U611" s="88" t="n"/>
      <c r="V611" s="89" t="n"/>
      <c r="W611" s="88" t="n"/>
      <c r="X611" s="89" t="n"/>
      <c r="Y611" s="88" t="n"/>
      <c r="Z611" s="89" t="n"/>
      <c r="AB611" s="30">
        <f>IF($B611="","",(COUNTIF(C611:E611,"?*")&lt;N(INDEX(Setup!$L$6:$L$23,4)))+(COUNTIF(G611:I611,"?*")&lt;N(INDEX(Setup!$L$6:$L$23,4)))+(COUNTIF(K611:M611,"?*")&lt;N(INDEX(Setup!$L$6:$L$23,4)))+(COUNTIF(O611:Q611,"?*")&lt;N(INDEX(Setup!$L$6:$L$23,4)))+(COUNTIF(S611:U611,"?*")&lt;N(INDEX(Setup!$L$6:$L$23,4)))+((W611="")*(INDEX(Setup!$M$6:$M$23,4)="Y"))+((Y611="")*(INDEX(Setup!$M$6:$M$23,4)="Y")))</f>
        <v/>
      </c>
      <c r="AC611" s="91">
        <f>IF($B611="","",IF(AB611=0,"✓ covered","⚠ "&amp;AB611&amp;IF(AB611=1," gap"," gaps")))</f>
        <v/>
      </c>
    </row>
    <row r="612" ht="17" customHeight="1">
      <c r="A612" t="n">
        <v>13</v>
      </c>
      <c r="B612" s="24">
        <f>IF(Setup!$K$10="","",Setup!$K$10)</f>
        <v/>
      </c>
      <c r="C612" s="88" t="n"/>
      <c r="D612" s="88" t="n"/>
      <c r="E612" s="88" t="n"/>
      <c r="F612" s="89" t="n"/>
      <c r="G612" s="88" t="n"/>
      <c r="H612" s="88" t="n"/>
      <c r="I612" s="88" t="n"/>
      <c r="J612" s="89" t="n"/>
      <c r="K612" s="88" t="n"/>
      <c r="L612" s="88" t="n"/>
      <c r="M612" s="88" t="n"/>
      <c r="N612" s="89" t="n"/>
      <c r="O612" s="88" t="n"/>
      <c r="P612" s="88" t="n"/>
      <c r="Q612" s="88" t="n"/>
      <c r="R612" s="89" t="n"/>
      <c r="S612" s="88" t="n"/>
      <c r="T612" s="88" t="n"/>
      <c r="U612" s="88" t="n"/>
      <c r="V612" s="89" t="n"/>
      <c r="W612" s="88" t="n"/>
      <c r="X612" s="89" t="n"/>
      <c r="Y612" s="88" t="n"/>
      <c r="Z612" s="89" t="n"/>
      <c r="AB612" s="25">
        <f>IF($B612="","",(COUNTIF(C612:E612,"?*")&lt;N(INDEX(Setup!$L$6:$L$23,5)))+(COUNTIF(G612:I612,"?*")&lt;N(INDEX(Setup!$L$6:$L$23,5)))+(COUNTIF(K612:M612,"?*")&lt;N(INDEX(Setup!$L$6:$L$23,5)))+(COUNTIF(O612:Q612,"?*")&lt;N(INDEX(Setup!$L$6:$L$23,5)))+(COUNTIF(S612:U612,"?*")&lt;N(INDEX(Setup!$L$6:$L$23,5)))+((W612="")*(INDEX(Setup!$M$6:$M$23,5)="Y"))+((Y612="")*(INDEX(Setup!$M$6:$M$23,5)="Y")))</f>
        <v/>
      </c>
      <c r="AC612" s="90">
        <f>IF($B612="","",IF(AB612=0,"✓ covered","⚠ "&amp;AB612&amp;IF(AB612=1," gap"," gaps")))</f>
        <v/>
      </c>
    </row>
    <row r="613" ht="17" customHeight="1">
      <c r="A613" t="n">
        <v>13</v>
      </c>
      <c r="B613" s="29">
        <f>IF(Setup!$K$11="","",Setup!$K$11)</f>
        <v/>
      </c>
      <c r="C613" s="88" t="n"/>
      <c r="D613" s="88" t="n"/>
      <c r="E613" s="88" t="n"/>
      <c r="F613" s="89" t="n"/>
      <c r="G613" s="88" t="n"/>
      <c r="H613" s="88" t="n"/>
      <c r="I613" s="88" t="n"/>
      <c r="J613" s="89" t="n"/>
      <c r="K613" s="88" t="n"/>
      <c r="L613" s="88" t="n"/>
      <c r="M613" s="88" t="n"/>
      <c r="N613" s="89" t="n"/>
      <c r="O613" s="88" t="n"/>
      <c r="P613" s="88" t="n"/>
      <c r="Q613" s="88" t="n"/>
      <c r="R613" s="89" t="n"/>
      <c r="S613" s="88" t="n"/>
      <c r="T613" s="88" t="n"/>
      <c r="U613" s="88" t="n"/>
      <c r="V613" s="89" t="n"/>
      <c r="W613" s="88" t="n"/>
      <c r="X613" s="89" t="n"/>
      <c r="Y613" s="88" t="n"/>
      <c r="Z613" s="89" t="n"/>
      <c r="AB613" s="30">
        <f>IF($B613="","",(COUNTIF(C613:E613,"?*")&lt;N(INDEX(Setup!$L$6:$L$23,6)))+(COUNTIF(G613:I613,"?*")&lt;N(INDEX(Setup!$L$6:$L$23,6)))+(COUNTIF(K613:M613,"?*")&lt;N(INDEX(Setup!$L$6:$L$23,6)))+(COUNTIF(O613:Q613,"?*")&lt;N(INDEX(Setup!$L$6:$L$23,6)))+(COUNTIF(S613:U613,"?*")&lt;N(INDEX(Setup!$L$6:$L$23,6)))+((W613="")*(INDEX(Setup!$M$6:$M$23,6)="Y"))+((Y613="")*(INDEX(Setup!$M$6:$M$23,6)="Y")))</f>
        <v/>
      </c>
      <c r="AC613" s="91">
        <f>IF($B613="","",IF(AB613=0,"✓ covered","⚠ "&amp;AB613&amp;IF(AB613=1," gap"," gaps")))</f>
        <v/>
      </c>
    </row>
    <row r="614" ht="17" customHeight="1">
      <c r="A614" t="n">
        <v>13</v>
      </c>
      <c r="B614" s="24">
        <f>IF(Setup!$K$12="","",Setup!$K$12)</f>
        <v/>
      </c>
      <c r="C614" s="88" t="n"/>
      <c r="D614" s="88" t="n"/>
      <c r="E614" s="88" t="n"/>
      <c r="F614" s="89" t="n"/>
      <c r="G614" s="88" t="n"/>
      <c r="H614" s="88" t="n"/>
      <c r="I614" s="88" t="n"/>
      <c r="J614" s="89" t="n"/>
      <c r="K614" s="88" t="n"/>
      <c r="L614" s="88" t="n"/>
      <c r="M614" s="88" t="n"/>
      <c r="N614" s="89" t="n"/>
      <c r="O614" s="88" t="n"/>
      <c r="P614" s="88" t="n"/>
      <c r="Q614" s="88" t="n"/>
      <c r="R614" s="89" t="n"/>
      <c r="S614" s="88" t="n"/>
      <c r="T614" s="88" t="n"/>
      <c r="U614" s="88" t="n"/>
      <c r="V614" s="89" t="n"/>
      <c r="W614" s="88" t="n"/>
      <c r="X614" s="89" t="n"/>
      <c r="Y614" s="88" t="n"/>
      <c r="Z614" s="89" t="n"/>
      <c r="AB614" s="25">
        <f>IF($B614="","",(COUNTIF(C614:E614,"?*")&lt;N(INDEX(Setup!$L$6:$L$23,7)))+(COUNTIF(G614:I614,"?*")&lt;N(INDEX(Setup!$L$6:$L$23,7)))+(COUNTIF(K614:M614,"?*")&lt;N(INDEX(Setup!$L$6:$L$23,7)))+(COUNTIF(O614:Q614,"?*")&lt;N(INDEX(Setup!$L$6:$L$23,7)))+(COUNTIF(S614:U614,"?*")&lt;N(INDEX(Setup!$L$6:$L$23,7)))+((W614="")*(INDEX(Setup!$M$6:$M$23,7)="Y"))+((Y614="")*(INDEX(Setup!$M$6:$M$23,7)="Y")))</f>
        <v/>
      </c>
      <c r="AC614" s="90">
        <f>IF($B614="","",IF(AB614=0,"✓ covered","⚠ "&amp;AB614&amp;IF(AB614=1," gap"," gaps")))</f>
        <v/>
      </c>
    </row>
    <row r="615" ht="17" customHeight="1">
      <c r="A615" t="n">
        <v>13</v>
      </c>
      <c r="B615" s="29">
        <f>IF(Setup!$K$13="","",Setup!$K$13)</f>
        <v/>
      </c>
      <c r="C615" s="88" t="n"/>
      <c r="D615" s="88" t="n"/>
      <c r="E615" s="88" t="n"/>
      <c r="F615" s="89" t="n"/>
      <c r="G615" s="88" t="n"/>
      <c r="H615" s="88" t="n"/>
      <c r="I615" s="88" t="n"/>
      <c r="J615" s="89" t="n"/>
      <c r="K615" s="88" t="n"/>
      <c r="L615" s="88" t="n"/>
      <c r="M615" s="88" t="n"/>
      <c r="N615" s="89" t="n"/>
      <c r="O615" s="88" t="n"/>
      <c r="P615" s="88" t="n"/>
      <c r="Q615" s="88" t="n"/>
      <c r="R615" s="89" t="n"/>
      <c r="S615" s="88" t="n"/>
      <c r="T615" s="88" t="n"/>
      <c r="U615" s="88" t="n"/>
      <c r="V615" s="89" t="n"/>
      <c r="W615" s="88" t="n"/>
      <c r="X615" s="89" t="n"/>
      <c r="Y615" s="88" t="n"/>
      <c r="Z615" s="89" t="n"/>
      <c r="AB615" s="30">
        <f>IF($B615="","",(COUNTIF(C615:E615,"?*")&lt;N(INDEX(Setup!$L$6:$L$23,8)))+(COUNTIF(G615:I615,"?*")&lt;N(INDEX(Setup!$L$6:$L$23,8)))+(COUNTIF(K615:M615,"?*")&lt;N(INDEX(Setup!$L$6:$L$23,8)))+(COUNTIF(O615:Q615,"?*")&lt;N(INDEX(Setup!$L$6:$L$23,8)))+(COUNTIF(S615:U615,"?*")&lt;N(INDEX(Setup!$L$6:$L$23,8)))+((W615="")*(INDEX(Setup!$M$6:$M$23,8)="Y"))+((Y615="")*(INDEX(Setup!$M$6:$M$23,8)="Y")))</f>
        <v/>
      </c>
      <c r="AC615" s="91">
        <f>IF($B615="","",IF(AB615=0,"✓ covered","⚠ "&amp;AB615&amp;IF(AB615=1," gap"," gaps")))</f>
        <v/>
      </c>
    </row>
    <row r="616" ht="17" customHeight="1">
      <c r="A616" t="n">
        <v>13</v>
      </c>
      <c r="B616" s="24">
        <f>IF(Setup!$K$14="","",Setup!$K$14)</f>
        <v/>
      </c>
      <c r="C616" s="88" t="n"/>
      <c r="D616" s="88" t="n"/>
      <c r="E616" s="88" t="n"/>
      <c r="F616" s="89" t="n"/>
      <c r="G616" s="88" t="n"/>
      <c r="H616" s="88" t="n"/>
      <c r="I616" s="88" t="n"/>
      <c r="J616" s="89" t="n"/>
      <c r="K616" s="88" t="n"/>
      <c r="L616" s="88" t="n"/>
      <c r="M616" s="88" t="n"/>
      <c r="N616" s="89" t="n"/>
      <c r="O616" s="88" t="n"/>
      <c r="P616" s="88" t="n"/>
      <c r="Q616" s="88" t="n"/>
      <c r="R616" s="89" t="n"/>
      <c r="S616" s="88" t="n"/>
      <c r="T616" s="88" t="n"/>
      <c r="U616" s="88" t="n"/>
      <c r="V616" s="89" t="n"/>
      <c r="W616" s="88" t="n"/>
      <c r="X616" s="89" t="n"/>
      <c r="Y616" s="88" t="n"/>
      <c r="Z616" s="89" t="n"/>
      <c r="AB616" s="25">
        <f>IF($B616="","",(COUNTIF(C616:E616,"?*")&lt;N(INDEX(Setup!$L$6:$L$23,9)))+(COUNTIF(G616:I616,"?*")&lt;N(INDEX(Setup!$L$6:$L$23,9)))+(COUNTIF(K616:M616,"?*")&lt;N(INDEX(Setup!$L$6:$L$23,9)))+(COUNTIF(O616:Q616,"?*")&lt;N(INDEX(Setup!$L$6:$L$23,9)))+(COUNTIF(S616:U616,"?*")&lt;N(INDEX(Setup!$L$6:$L$23,9)))+((W616="")*(INDEX(Setup!$M$6:$M$23,9)="Y"))+((Y616="")*(INDEX(Setup!$M$6:$M$23,9)="Y")))</f>
        <v/>
      </c>
      <c r="AC616" s="90">
        <f>IF($B616="","",IF(AB616=0,"✓ covered","⚠ "&amp;AB616&amp;IF(AB616=1," gap"," gaps")))</f>
        <v/>
      </c>
    </row>
    <row r="617" ht="17" customHeight="1">
      <c r="A617" t="n">
        <v>13</v>
      </c>
      <c r="B617" s="29">
        <f>IF(Setup!$K$15="","",Setup!$K$15)</f>
        <v/>
      </c>
      <c r="C617" s="88" t="n"/>
      <c r="D617" s="88" t="n"/>
      <c r="E617" s="88" t="n"/>
      <c r="F617" s="89" t="n"/>
      <c r="G617" s="88" t="n"/>
      <c r="H617" s="88" t="n"/>
      <c r="I617" s="88" t="n"/>
      <c r="J617" s="89" t="n"/>
      <c r="K617" s="88" t="n"/>
      <c r="L617" s="88" t="n"/>
      <c r="M617" s="88" t="n"/>
      <c r="N617" s="89" t="n"/>
      <c r="O617" s="88" t="n"/>
      <c r="P617" s="88" t="n"/>
      <c r="Q617" s="88" t="n"/>
      <c r="R617" s="89" t="n"/>
      <c r="S617" s="88" t="n"/>
      <c r="T617" s="88" t="n"/>
      <c r="U617" s="88" t="n"/>
      <c r="V617" s="89" t="n"/>
      <c r="W617" s="88" t="n"/>
      <c r="X617" s="89" t="n"/>
      <c r="Y617" s="88" t="n"/>
      <c r="Z617" s="89" t="n"/>
      <c r="AB617" s="30">
        <f>IF($B617="","",(COUNTIF(C617:E617,"?*")&lt;N(INDEX(Setup!$L$6:$L$23,10)))+(COUNTIF(G617:I617,"?*")&lt;N(INDEX(Setup!$L$6:$L$23,10)))+(COUNTIF(K617:M617,"?*")&lt;N(INDEX(Setup!$L$6:$L$23,10)))+(COUNTIF(O617:Q617,"?*")&lt;N(INDEX(Setup!$L$6:$L$23,10)))+(COUNTIF(S617:U617,"?*")&lt;N(INDEX(Setup!$L$6:$L$23,10)))+((W617="")*(INDEX(Setup!$M$6:$M$23,10)="Y"))+((Y617="")*(INDEX(Setup!$M$6:$M$23,10)="Y")))</f>
        <v/>
      </c>
      <c r="AC617" s="91">
        <f>IF($B617="","",IF(AB617=0,"✓ covered","⚠ "&amp;AB617&amp;IF(AB617=1," gap"," gaps")))</f>
        <v/>
      </c>
    </row>
    <row r="618" ht="17" customHeight="1">
      <c r="A618" t="n">
        <v>13</v>
      </c>
      <c r="B618" s="24">
        <f>IF(Setup!$K$16="","",Setup!$K$16)</f>
        <v/>
      </c>
      <c r="C618" s="88" t="n"/>
      <c r="D618" s="88" t="n"/>
      <c r="E618" s="88" t="n"/>
      <c r="F618" s="89" t="n"/>
      <c r="G618" s="88" t="n"/>
      <c r="H618" s="88" t="n"/>
      <c r="I618" s="88" t="n"/>
      <c r="J618" s="89" t="n"/>
      <c r="K618" s="88" t="n"/>
      <c r="L618" s="88" t="n"/>
      <c r="M618" s="88" t="n"/>
      <c r="N618" s="89" t="n"/>
      <c r="O618" s="88" t="n"/>
      <c r="P618" s="88" t="n"/>
      <c r="Q618" s="88" t="n"/>
      <c r="R618" s="89" t="n"/>
      <c r="S618" s="88" t="n"/>
      <c r="T618" s="88" t="n"/>
      <c r="U618" s="88" t="n"/>
      <c r="V618" s="89" t="n"/>
      <c r="W618" s="88" t="n"/>
      <c r="X618" s="89" t="n"/>
      <c r="Y618" s="88" t="n"/>
      <c r="Z618" s="89" t="n"/>
      <c r="AB618" s="25">
        <f>IF($B618="","",(COUNTIF(C618:E618,"?*")&lt;N(INDEX(Setup!$L$6:$L$23,11)))+(COUNTIF(G618:I618,"?*")&lt;N(INDEX(Setup!$L$6:$L$23,11)))+(COUNTIF(K618:M618,"?*")&lt;N(INDEX(Setup!$L$6:$L$23,11)))+(COUNTIF(O618:Q618,"?*")&lt;N(INDEX(Setup!$L$6:$L$23,11)))+(COUNTIF(S618:U618,"?*")&lt;N(INDEX(Setup!$L$6:$L$23,11)))+((W618="")*(INDEX(Setup!$M$6:$M$23,11)="Y"))+((Y618="")*(INDEX(Setup!$M$6:$M$23,11)="Y")))</f>
        <v/>
      </c>
      <c r="AC618" s="90">
        <f>IF($B618="","",IF(AB618=0,"✓ covered","⚠ "&amp;AB618&amp;IF(AB618=1," gap"," gaps")))</f>
        <v/>
      </c>
    </row>
    <row r="619" ht="17" customHeight="1">
      <c r="A619" t="n">
        <v>13</v>
      </c>
      <c r="B619" s="29">
        <f>IF(Setup!$K$17="","",Setup!$K$17)</f>
        <v/>
      </c>
      <c r="C619" s="88" t="n"/>
      <c r="D619" s="88" t="n"/>
      <c r="E619" s="88" t="n"/>
      <c r="F619" s="89" t="n"/>
      <c r="G619" s="88" t="n"/>
      <c r="H619" s="88" t="n"/>
      <c r="I619" s="88" t="n"/>
      <c r="J619" s="89" t="n"/>
      <c r="K619" s="88" t="n"/>
      <c r="L619" s="88" t="n"/>
      <c r="M619" s="88" t="n"/>
      <c r="N619" s="89" t="n"/>
      <c r="O619" s="88" t="n"/>
      <c r="P619" s="88" t="n"/>
      <c r="Q619" s="88" t="n"/>
      <c r="R619" s="89" t="n"/>
      <c r="S619" s="88" t="n"/>
      <c r="T619" s="88" t="n"/>
      <c r="U619" s="88" t="n"/>
      <c r="V619" s="89" t="n"/>
      <c r="W619" s="88" t="n"/>
      <c r="X619" s="89" t="n"/>
      <c r="Y619" s="88" t="n"/>
      <c r="Z619" s="89" t="n"/>
      <c r="AB619" s="30">
        <f>IF($B619="","",(COUNTIF(C619:E619,"?*")&lt;N(INDEX(Setup!$L$6:$L$23,12)))+(COUNTIF(G619:I619,"?*")&lt;N(INDEX(Setup!$L$6:$L$23,12)))+(COUNTIF(K619:M619,"?*")&lt;N(INDEX(Setup!$L$6:$L$23,12)))+(COUNTIF(O619:Q619,"?*")&lt;N(INDEX(Setup!$L$6:$L$23,12)))+(COUNTIF(S619:U619,"?*")&lt;N(INDEX(Setup!$L$6:$L$23,12)))+((W619="")*(INDEX(Setup!$M$6:$M$23,12)="Y"))+((Y619="")*(INDEX(Setup!$M$6:$M$23,12)="Y")))</f>
        <v/>
      </c>
      <c r="AC619" s="91">
        <f>IF($B619="","",IF(AB619=0,"✓ covered","⚠ "&amp;AB619&amp;IF(AB619=1," gap"," gaps")))</f>
        <v/>
      </c>
    </row>
    <row r="620" ht="17" customHeight="1">
      <c r="A620" t="n">
        <v>13</v>
      </c>
      <c r="B620" s="24">
        <f>IF(Setup!$K$18="","",Setup!$K$18)</f>
        <v/>
      </c>
      <c r="C620" s="88" t="n"/>
      <c r="D620" s="88" t="n"/>
      <c r="E620" s="88" t="n"/>
      <c r="F620" s="89" t="n"/>
      <c r="G620" s="88" t="n"/>
      <c r="H620" s="88" t="n"/>
      <c r="I620" s="88" t="n"/>
      <c r="J620" s="89" t="n"/>
      <c r="K620" s="88" t="n"/>
      <c r="L620" s="88" t="n"/>
      <c r="M620" s="88" t="n"/>
      <c r="N620" s="89" t="n"/>
      <c r="O620" s="88" t="n"/>
      <c r="P620" s="88" t="n"/>
      <c r="Q620" s="88" t="n"/>
      <c r="R620" s="89" t="n"/>
      <c r="S620" s="88" t="n"/>
      <c r="T620" s="88" t="n"/>
      <c r="U620" s="88" t="n"/>
      <c r="V620" s="89" t="n"/>
      <c r="W620" s="88" t="n"/>
      <c r="X620" s="89" t="n"/>
      <c r="Y620" s="88" t="n"/>
      <c r="Z620" s="89" t="n"/>
      <c r="AB620" s="25">
        <f>IF($B620="","",(COUNTIF(C620:E620,"?*")&lt;N(INDEX(Setup!$L$6:$L$23,13)))+(COUNTIF(G620:I620,"?*")&lt;N(INDEX(Setup!$L$6:$L$23,13)))+(COUNTIF(K620:M620,"?*")&lt;N(INDEX(Setup!$L$6:$L$23,13)))+(COUNTIF(O620:Q620,"?*")&lt;N(INDEX(Setup!$L$6:$L$23,13)))+(COUNTIF(S620:U620,"?*")&lt;N(INDEX(Setup!$L$6:$L$23,13)))+((W620="")*(INDEX(Setup!$M$6:$M$23,13)="Y"))+((Y620="")*(INDEX(Setup!$M$6:$M$23,13)="Y")))</f>
        <v/>
      </c>
      <c r="AC620" s="90">
        <f>IF($B620="","",IF(AB620=0,"✓ covered","⚠ "&amp;AB620&amp;IF(AB620=1," gap"," gaps")))</f>
        <v/>
      </c>
    </row>
    <row r="621" ht="17" customHeight="1">
      <c r="A621" t="n">
        <v>13</v>
      </c>
      <c r="B621" s="29">
        <f>IF(Setup!$K$19="","",Setup!$K$19)</f>
        <v/>
      </c>
      <c r="C621" s="88" t="n"/>
      <c r="D621" s="88" t="n"/>
      <c r="E621" s="88" t="n"/>
      <c r="F621" s="89" t="n"/>
      <c r="G621" s="88" t="n"/>
      <c r="H621" s="88" t="n"/>
      <c r="I621" s="88" t="n"/>
      <c r="J621" s="89" t="n"/>
      <c r="K621" s="88" t="n"/>
      <c r="L621" s="88" t="n"/>
      <c r="M621" s="88" t="n"/>
      <c r="N621" s="89" t="n"/>
      <c r="O621" s="88" t="n"/>
      <c r="P621" s="88" t="n"/>
      <c r="Q621" s="88" t="n"/>
      <c r="R621" s="89" t="n"/>
      <c r="S621" s="88" t="n"/>
      <c r="T621" s="88" t="n"/>
      <c r="U621" s="88" t="n"/>
      <c r="V621" s="89" t="n"/>
      <c r="W621" s="88" t="n"/>
      <c r="X621" s="89" t="n"/>
      <c r="Y621" s="88" t="n"/>
      <c r="Z621" s="89" t="n"/>
      <c r="AB621" s="30">
        <f>IF($B621="","",(COUNTIF(C621:E621,"?*")&lt;N(INDEX(Setup!$L$6:$L$23,14)))+(COUNTIF(G621:I621,"?*")&lt;N(INDEX(Setup!$L$6:$L$23,14)))+(COUNTIF(K621:M621,"?*")&lt;N(INDEX(Setup!$L$6:$L$23,14)))+(COUNTIF(O621:Q621,"?*")&lt;N(INDEX(Setup!$L$6:$L$23,14)))+(COUNTIF(S621:U621,"?*")&lt;N(INDEX(Setup!$L$6:$L$23,14)))+((W621="")*(INDEX(Setup!$M$6:$M$23,14)="Y"))+((Y621="")*(INDEX(Setup!$M$6:$M$23,14)="Y")))</f>
        <v/>
      </c>
      <c r="AC621" s="91">
        <f>IF($B621="","",IF(AB621=0,"✓ covered","⚠ "&amp;AB621&amp;IF(AB621=1," gap"," gaps")))</f>
        <v/>
      </c>
    </row>
    <row r="622" ht="17" customHeight="1">
      <c r="A622" t="n">
        <v>13</v>
      </c>
      <c r="B622" s="24">
        <f>IF(Setup!$K$20="","",Setup!$K$20)</f>
        <v/>
      </c>
      <c r="C622" s="88" t="n"/>
      <c r="D622" s="88" t="n"/>
      <c r="E622" s="88" t="n"/>
      <c r="F622" s="89" t="n"/>
      <c r="G622" s="88" t="n"/>
      <c r="H622" s="88" t="n"/>
      <c r="I622" s="88" t="n"/>
      <c r="J622" s="89" t="n"/>
      <c r="K622" s="88" t="n"/>
      <c r="L622" s="88" t="n"/>
      <c r="M622" s="88" t="n"/>
      <c r="N622" s="89" t="n"/>
      <c r="O622" s="88" t="n"/>
      <c r="P622" s="88" t="n"/>
      <c r="Q622" s="88" t="n"/>
      <c r="R622" s="89" t="n"/>
      <c r="S622" s="88" t="n"/>
      <c r="T622" s="88" t="n"/>
      <c r="U622" s="88" t="n"/>
      <c r="V622" s="89" t="n"/>
      <c r="W622" s="88" t="n"/>
      <c r="X622" s="89" t="n"/>
      <c r="Y622" s="88" t="n"/>
      <c r="Z622" s="89" t="n"/>
      <c r="AB622" s="25">
        <f>IF($B622="","",(COUNTIF(C622:E622,"?*")&lt;N(INDEX(Setup!$L$6:$L$23,15)))+(COUNTIF(G622:I622,"?*")&lt;N(INDEX(Setup!$L$6:$L$23,15)))+(COUNTIF(K622:M622,"?*")&lt;N(INDEX(Setup!$L$6:$L$23,15)))+(COUNTIF(O622:Q622,"?*")&lt;N(INDEX(Setup!$L$6:$L$23,15)))+(COUNTIF(S622:U622,"?*")&lt;N(INDEX(Setup!$L$6:$L$23,15)))+((W622="")*(INDEX(Setup!$M$6:$M$23,15)="Y"))+((Y622="")*(INDEX(Setup!$M$6:$M$23,15)="Y")))</f>
        <v/>
      </c>
      <c r="AC622" s="90">
        <f>IF($B622="","",IF(AB622=0,"✓ covered","⚠ "&amp;AB622&amp;IF(AB622=1," gap"," gaps")))</f>
        <v/>
      </c>
    </row>
    <row r="623" ht="17" customHeight="1">
      <c r="A623" t="n">
        <v>13</v>
      </c>
      <c r="B623" s="29">
        <f>IF(Setup!$K$21="","",Setup!$K$21)</f>
        <v/>
      </c>
      <c r="C623" s="88" t="n"/>
      <c r="D623" s="88" t="n"/>
      <c r="E623" s="88" t="n"/>
      <c r="F623" s="89" t="n"/>
      <c r="G623" s="88" t="n"/>
      <c r="H623" s="88" t="n"/>
      <c r="I623" s="88" t="n"/>
      <c r="J623" s="89" t="n"/>
      <c r="K623" s="88" t="n"/>
      <c r="L623" s="88" t="n"/>
      <c r="M623" s="88" t="n"/>
      <c r="N623" s="89" t="n"/>
      <c r="O623" s="88" t="n"/>
      <c r="P623" s="88" t="n"/>
      <c r="Q623" s="88" t="n"/>
      <c r="R623" s="89" t="n"/>
      <c r="S623" s="88" t="n"/>
      <c r="T623" s="88" t="n"/>
      <c r="U623" s="88" t="n"/>
      <c r="V623" s="89" t="n"/>
      <c r="W623" s="88" t="n"/>
      <c r="X623" s="89" t="n"/>
      <c r="Y623" s="88" t="n"/>
      <c r="Z623" s="89" t="n"/>
      <c r="AB623" s="30">
        <f>IF($B623="","",(COUNTIF(C623:E623,"?*")&lt;N(INDEX(Setup!$L$6:$L$23,16)))+(COUNTIF(G623:I623,"?*")&lt;N(INDEX(Setup!$L$6:$L$23,16)))+(COUNTIF(K623:M623,"?*")&lt;N(INDEX(Setup!$L$6:$L$23,16)))+(COUNTIF(O623:Q623,"?*")&lt;N(INDEX(Setup!$L$6:$L$23,16)))+(COUNTIF(S623:U623,"?*")&lt;N(INDEX(Setup!$L$6:$L$23,16)))+((W623="")*(INDEX(Setup!$M$6:$M$23,16)="Y"))+((Y623="")*(INDEX(Setup!$M$6:$M$23,16)="Y")))</f>
        <v/>
      </c>
      <c r="AC623" s="91">
        <f>IF($B623="","",IF(AB623=0,"✓ covered","⚠ "&amp;AB623&amp;IF(AB623=1," gap"," gaps")))</f>
        <v/>
      </c>
    </row>
    <row r="624" ht="17" customHeight="1">
      <c r="A624" t="n">
        <v>13</v>
      </c>
      <c r="B624" s="24">
        <f>IF(Setup!$K$22="","",Setup!$K$22)</f>
        <v/>
      </c>
      <c r="C624" s="88" t="n"/>
      <c r="D624" s="88" t="n"/>
      <c r="E624" s="88" t="n"/>
      <c r="F624" s="89" t="n"/>
      <c r="G624" s="88" t="n"/>
      <c r="H624" s="88" t="n"/>
      <c r="I624" s="88" t="n"/>
      <c r="J624" s="89" t="n"/>
      <c r="K624" s="88" t="n"/>
      <c r="L624" s="88" t="n"/>
      <c r="M624" s="88" t="n"/>
      <c r="N624" s="89" t="n"/>
      <c r="O624" s="88" t="n"/>
      <c r="P624" s="88" t="n"/>
      <c r="Q624" s="88" t="n"/>
      <c r="R624" s="89" t="n"/>
      <c r="S624" s="88" t="n"/>
      <c r="T624" s="88" t="n"/>
      <c r="U624" s="88" t="n"/>
      <c r="V624" s="89" t="n"/>
      <c r="W624" s="88" t="n"/>
      <c r="X624" s="89" t="n"/>
      <c r="Y624" s="88" t="n"/>
      <c r="Z624" s="89" t="n"/>
      <c r="AB624" s="25">
        <f>IF($B624="","",(COUNTIF(C624:E624,"?*")&lt;N(INDEX(Setup!$L$6:$L$23,17)))+(COUNTIF(G624:I624,"?*")&lt;N(INDEX(Setup!$L$6:$L$23,17)))+(COUNTIF(K624:M624,"?*")&lt;N(INDEX(Setup!$L$6:$L$23,17)))+(COUNTIF(O624:Q624,"?*")&lt;N(INDEX(Setup!$L$6:$L$23,17)))+(COUNTIF(S624:U624,"?*")&lt;N(INDEX(Setup!$L$6:$L$23,17)))+((W624="")*(INDEX(Setup!$M$6:$M$23,17)="Y"))+((Y624="")*(INDEX(Setup!$M$6:$M$23,17)="Y")))</f>
        <v/>
      </c>
      <c r="AC624" s="90">
        <f>IF($B624="","",IF(AB624=0,"✓ covered","⚠ "&amp;AB624&amp;IF(AB624=1," gap"," gaps")))</f>
        <v/>
      </c>
    </row>
    <row r="625" ht="17" customHeight="1">
      <c r="A625" t="n">
        <v>13</v>
      </c>
      <c r="B625" s="29">
        <f>IF(Setup!$K$23="","",Setup!$K$23)</f>
        <v/>
      </c>
      <c r="C625" s="88" t="n"/>
      <c r="D625" s="88" t="n"/>
      <c r="E625" s="88" t="n"/>
      <c r="F625" s="89" t="n"/>
      <c r="G625" s="88" t="n"/>
      <c r="H625" s="88" t="n"/>
      <c r="I625" s="88" t="n"/>
      <c r="J625" s="89" t="n"/>
      <c r="K625" s="88" t="n"/>
      <c r="L625" s="88" t="n"/>
      <c r="M625" s="88" t="n"/>
      <c r="N625" s="89" t="n"/>
      <c r="O625" s="88" t="n"/>
      <c r="P625" s="88" t="n"/>
      <c r="Q625" s="88" t="n"/>
      <c r="R625" s="89" t="n"/>
      <c r="S625" s="88" t="n"/>
      <c r="T625" s="88" t="n"/>
      <c r="U625" s="88" t="n"/>
      <c r="V625" s="89" t="n"/>
      <c r="W625" s="88" t="n"/>
      <c r="X625" s="89" t="n"/>
      <c r="Y625" s="88" t="n"/>
      <c r="Z625" s="89" t="n"/>
      <c r="AB625" s="30">
        <f>IF($B625="","",(COUNTIF(C625:E625,"?*")&lt;N(INDEX(Setup!$L$6:$L$23,18)))+(COUNTIF(G625:I625,"?*")&lt;N(INDEX(Setup!$L$6:$L$23,18)))+(COUNTIF(K625:M625,"?*")&lt;N(INDEX(Setup!$L$6:$L$23,18)))+(COUNTIF(O625:Q625,"?*")&lt;N(INDEX(Setup!$L$6:$L$23,18)))+(COUNTIF(S625:U625,"?*")&lt;N(INDEX(Setup!$L$6:$L$23,18)))+((W625="")*(INDEX(Setup!$M$6:$M$23,18)="Y"))+((Y625="")*(INDEX(Setup!$M$6:$M$23,18)="Y")))</f>
        <v/>
      </c>
      <c r="AC625" s="91">
        <f>IF($B625="","",IF(AB625=0,"✓ covered","⚠ "&amp;AB625&amp;IF(AB625=1," gap"," gaps")))</f>
        <v/>
      </c>
    </row>
    <row r="626" ht="18" customHeight="1">
      <c r="A626" t="n">
        <v>13</v>
      </c>
      <c r="B626" s="78" t="inlineStr">
        <is>
          <t>TEAM AVAILABILITY</t>
        </is>
      </c>
      <c r="C626" s="92" t="inlineStr">
        <is>
          <t>Mon</t>
        </is>
      </c>
      <c r="D626" s="93" t="n"/>
      <c r="E626" s="93" t="n"/>
      <c r="F626" s="94" t="n"/>
      <c r="G626" s="92" t="inlineStr">
        <is>
          <t>Tue</t>
        </is>
      </c>
      <c r="H626" s="93" t="n"/>
      <c r="I626" s="93" t="n"/>
      <c r="J626" s="94" t="n"/>
      <c r="K626" s="92" t="inlineStr">
        <is>
          <t>Wed</t>
        </is>
      </c>
      <c r="L626" s="93" t="n"/>
      <c r="M626" s="93" t="n"/>
      <c r="N626" s="94" t="n"/>
      <c r="O626" s="92" t="inlineStr">
        <is>
          <t>Thu</t>
        </is>
      </c>
      <c r="P626" s="93" t="n"/>
      <c r="Q626" s="93" t="n"/>
      <c r="R626" s="94" t="n"/>
      <c r="S626" s="92" t="inlineStr">
        <is>
          <t>Fri</t>
        </is>
      </c>
      <c r="T626" s="93" t="n"/>
      <c r="U626" s="93" t="n"/>
      <c r="V626" s="94" t="n"/>
      <c r="W626" s="95" t="inlineStr">
        <is>
          <t>Sat</t>
        </is>
      </c>
      <c r="X626" s="96" t="n"/>
      <c r="Y626" s="95" t="inlineStr">
        <is>
          <t>Sun</t>
        </is>
      </c>
      <c r="Z626" s="96" t="n"/>
      <c r="AB626" s="97" t="inlineStr">
        <is>
          <t>Days rostered</t>
        </is>
      </c>
      <c r="AC626" s="97" t="inlineStr">
        <is>
          <t>Conflicts</t>
        </is>
      </c>
    </row>
    <row r="627" ht="15" customHeight="1">
      <c r="A627" t="n">
        <v>13</v>
      </c>
      <c r="B627" s="35">
        <f>IF(Setup!$B$6="","",Setup!$B$6)</f>
        <v/>
      </c>
      <c r="C627" s="98" t="n"/>
      <c r="D627" s="99" t="n"/>
      <c r="E627" s="99" t="n"/>
      <c r="F627" s="100" t="n"/>
      <c r="G627" s="98" t="n"/>
      <c r="H627" s="99" t="n"/>
      <c r="I627" s="99" t="n"/>
      <c r="J627" s="100" t="n"/>
      <c r="K627" s="98" t="n"/>
      <c r="L627" s="99" t="n"/>
      <c r="M627" s="99" t="n"/>
      <c r="N627" s="100" t="n"/>
      <c r="O627" s="98" t="n"/>
      <c r="P627" s="99" t="n"/>
      <c r="Q627" s="99" t="n"/>
      <c r="R627" s="100" t="n"/>
      <c r="S627" s="98" t="n"/>
      <c r="T627" s="99" t="n"/>
      <c r="U627" s="99" t="n"/>
      <c r="V627" s="100" t="n"/>
      <c r="W627" s="98" t="n"/>
      <c r="X627" s="100" t="n"/>
      <c r="Y627" s="98" t="n"/>
      <c r="Z627" s="100" t="n"/>
      <c r="AB627" s="101">
        <f>IF($B627="","",(COUNTIF(C608:E625,$B627)+COUNTIF(C608:E625,$B627&amp;" ~*")&gt;0)+(COUNTIF(G608:I625,$B627)+COUNTIF(G608:I625,$B627&amp;" ~*")&gt;0)+(COUNTIF(K608:M625,$B627)+COUNTIF(K608:M625,$B627&amp;" ~*")&gt;0)+(COUNTIF(O608:Q625,$B627)+COUNTIF(O608:Q625,$B627&amp;" ~*")&gt;0)+(COUNTIF(S608:U625,$B627)+COUNTIF(S608:U625,$B627&amp;" ~*")&gt;0)+(COUNTIF(W608:W625,$B627)+COUNTIF(W608:W625,$B627&amp;" ~*")&gt;0)+(COUNTIF(Y608:Y625,$B627)+COUNTIF(Y608:Y625,$B627&amp;" ~*")&gt;0))</f>
        <v/>
      </c>
      <c r="AC627" s="36">
        <f>IF($B627="","",(IFERROR(INDEX(Setup!$G$33:$G$40,MATCH(C627,Setup!$B$33:$B$40,0)),0)=1)*(COUNTIF(C608:E625,$B627)+COUNTIF(C608:E625,$B627&amp;" ~*")&gt;0)+(IFERROR(INDEX(Setup!$G$33:$G$40,MATCH(G627,Setup!$B$33:$B$40,0)),0)=1)*(COUNTIF(G608:I625,$B627)+COUNTIF(G608:I625,$B627&amp;" ~*")&gt;0)+(IFERROR(INDEX(Setup!$G$33:$G$40,MATCH(K627,Setup!$B$33:$B$40,0)),0)=1)*(COUNTIF(K608:M625,$B627)+COUNTIF(K608:M625,$B627&amp;" ~*")&gt;0)+(IFERROR(INDEX(Setup!$G$33:$G$40,MATCH(O627,Setup!$B$33:$B$40,0)),0)=1)*(COUNTIF(O608:Q625,$B627)+COUNTIF(O608:Q625,$B627&amp;" ~*")&gt;0)+(IFERROR(INDEX(Setup!$G$33:$G$40,MATCH(S627,Setup!$B$33:$B$40,0)),0)=1)*(COUNTIF(S608:U625,$B627)+COUNTIF(S608:U625,$B627&amp;" ~*")&gt;0)+(IFERROR(INDEX(Setup!$G$33:$G$40,MATCH(W627,Setup!$B$33:$B$40,0)),0)=1)*(COUNTIF(W608:W625,$B627)+COUNTIF(W608:W625,$B627&amp;" ~*")&gt;0)+(IFERROR(INDEX(Setup!$G$33:$G$40,MATCH(Y627,Setup!$B$33:$B$40,0)),0)=1)*(COUNTIF(Y608:Y625,$B627)+COUNTIF(Y608:Y625,$B627&amp;" ~*")&gt;0))</f>
        <v/>
      </c>
    </row>
    <row r="628" ht="15" customHeight="1">
      <c r="A628" t="n">
        <v>13</v>
      </c>
      <c r="B628" s="37">
        <f>IF(Setup!$B$7="","",Setup!$B$7)</f>
        <v/>
      </c>
      <c r="C628" s="102" t="n"/>
      <c r="D628" s="103" t="n"/>
      <c r="E628" s="103" t="n"/>
      <c r="F628" s="104" t="n"/>
      <c r="G628" s="102" t="n"/>
      <c r="H628" s="103" t="n"/>
      <c r="I628" s="103" t="n"/>
      <c r="J628" s="104" t="n"/>
      <c r="K628" s="102" t="n"/>
      <c r="L628" s="103" t="n"/>
      <c r="M628" s="103" t="n"/>
      <c r="N628" s="104" t="n"/>
      <c r="O628" s="102" t="n"/>
      <c r="P628" s="103" t="n"/>
      <c r="Q628" s="103" t="n"/>
      <c r="R628" s="104" t="n"/>
      <c r="S628" s="102" t="n"/>
      <c r="T628" s="103" t="n"/>
      <c r="U628" s="103" t="n"/>
      <c r="V628" s="104" t="n"/>
      <c r="W628" s="102" t="n"/>
      <c r="X628" s="104" t="n"/>
      <c r="Y628" s="102" t="n"/>
      <c r="Z628" s="104" t="n"/>
      <c r="AB628" s="105">
        <f>IF($B628="","",(COUNTIF(C608:E625,$B628)+COUNTIF(C608:E625,$B628&amp;" ~*")&gt;0)+(COUNTIF(G608:I625,$B628)+COUNTIF(G608:I625,$B628&amp;" ~*")&gt;0)+(COUNTIF(K608:M625,$B628)+COUNTIF(K608:M625,$B628&amp;" ~*")&gt;0)+(COUNTIF(O608:Q625,$B628)+COUNTIF(O608:Q625,$B628&amp;" ~*")&gt;0)+(COUNTIF(S608:U625,$B628)+COUNTIF(S608:U625,$B628&amp;" ~*")&gt;0)+(COUNTIF(W608:W625,$B628)+COUNTIF(W608:W625,$B628&amp;" ~*")&gt;0)+(COUNTIF(Y608:Y625,$B628)+COUNTIF(Y608:Y625,$B628&amp;" ~*")&gt;0))</f>
        <v/>
      </c>
      <c r="AC628" s="38">
        <f>IF($B628="","",(IFERROR(INDEX(Setup!$G$33:$G$40,MATCH(C628,Setup!$B$33:$B$40,0)),0)=1)*(COUNTIF(C608:E625,$B628)+COUNTIF(C608:E625,$B628&amp;" ~*")&gt;0)+(IFERROR(INDEX(Setup!$G$33:$G$40,MATCH(G628,Setup!$B$33:$B$40,0)),0)=1)*(COUNTIF(G608:I625,$B628)+COUNTIF(G608:I625,$B628&amp;" ~*")&gt;0)+(IFERROR(INDEX(Setup!$G$33:$G$40,MATCH(K628,Setup!$B$33:$B$40,0)),0)=1)*(COUNTIF(K608:M625,$B628)+COUNTIF(K608:M625,$B628&amp;" ~*")&gt;0)+(IFERROR(INDEX(Setup!$G$33:$G$40,MATCH(O628,Setup!$B$33:$B$40,0)),0)=1)*(COUNTIF(O608:Q625,$B628)+COUNTIF(O608:Q625,$B628&amp;" ~*")&gt;0)+(IFERROR(INDEX(Setup!$G$33:$G$40,MATCH(S628,Setup!$B$33:$B$40,0)),0)=1)*(COUNTIF(S608:U625,$B628)+COUNTIF(S608:U625,$B628&amp;" ~*")&gt;0)+(IFERROR(INDEX(Setup!$G$33:$G$40,MATCH(W628,Setup!$B$33:$B$40,0)),0)=1)*(COUNTIF(W608:W625,$B628)+COUNTIF(W608:W625,$B628&amp;" ~*")&gt;0)+(IFERROR(INDEX(Setup!$G$33:$G$40,MATCH(Y628,Setup!$B$33:$B$40,0)),0)=1)*(COUNTIF(Y608:Y625,$B628)+COUNTIF(Y608:Y625,$B628&amp;" ~*")&gt;0))</f>
        <v/>
      </c>
    </row>
    <row r="629" ht="15" customHeight="1">
      <c r="A629" t="n">
        <v>13</v>
      </c>
      <c r="B629" s="35">
        <f>IF(Setup!$B$8="","",Setup!$B$8)</f>
        <v/>
      </c>
      <c r="C629" s="98" t="n"/>
      <c r="D629" s="99" t="n"/>
      <c r="E629" s="99" t="n"/>
      <c r="F629" s="100" t="n"/>
      <c r="G629" s="98" t="n"/>
      <c r="H629" s="99" t="n"/>
      <c r="I629" s="99" t="n"/>
      <c r="J629" s="100" t="n"/>
      <c r="K629" s="98" t="n"/>
      <c r="L629" s="99" t="n"/>
      <c r="M629" s="99" t="n"/>
      <c r="N629" s="100" t="n"/>
      <c r="O629" s="98" t="n"/>
      <c r="P629" s="99" t="n"/>
      <c r="Q629" s="99" t="n"/>
      <c r="R629" s="100" t="n"/>
      <c r="S629" s="98" t="n"/>
      <c r="T629" s="99" t="n"/>
      <c r="U629" s="99" t="n"/>
      <c r="V629" s="100" t="n"/>
      <c r="W629" s="98" t="n"/>
      <c r="X629" s="100" t="n"/>
      <c r="Y629" s="98" t="n"/>
      <c r="Z629" s="100" t="n"/>
      <c r="AB629" s="101">
        <f>IF($B629="","",(COUNTIF(C608:E625,$B629)+COUNTIF(C608:E625,$B629&amp;" ~*")&gt;0)+(COUNTIF(G608:I625,$B629)+COUNTIF(G608:I625,$B629&amp;" ~*")&gt;0)+(COUNTIF(K608:M625,$B629)+COUNTIF(K608:M625,$B629&amp;" ~*")&gt;0)+(COUNTIF(O608:Q625,$B629)+COUNTIF(O608:Q625,$B629&amp;" ~*")&gt;0)+(COUNTIF(S608:U625,$B629)+COUNTIF(S608:U625,$B629&amp;" ~*")&gt;0)+(COUNTIF(W608:W625,$B629)+COUNTIF(W608:W625,$B629&amp;" ~*")&gt;0)+(COUNTIF(Y608:Y625,$B629)+COUNTIF(Y608:Y625,$B629&amp;" ~*")&gt;0))</f>
        <v/>
      </c>
      <c r="AC629" s="36">
        <f>IF($B629="","",(IFERROR(INDEX(Setup!$G$33:$G$40,MATCH(C629,Setup!$B$33:$B$40,0)),0)=1)*(COUNTIF(C608:E625,$B629)+COUNTIF(C608:E625,$B629&amp;" ~*")&gt;0)+(IFERROR(INDEX(Setup!$G$33:$G$40,MATCH(G629,Setup!$B$33:$B$40,0)),0)=1)*(COUNTIF(G608:I625,$B629)+COUNTIF(G608:I625,$B629&amp;" ~*")&gt;0)+(IFERROR(INDEX(Setup!$G$33:$G$40,MATCH(K629,Setup!$B$33:$B$40,0)),0)=1)*(COUNTIF(K608:M625,$B629)+COUNTIF(K608:M625,$B629&amp;" ~*")&gt;0)+(IFERROR(INDEX(Setup!$G$33:$G$40,MATCH(O629,Setup!$B$33:$B$40,0)),0)=1)*(COUNTIF(O608:Q625,$B629)+COUNTIF(O608:Q625,$B629&amp;" ~*")&gt;0)+(IFERROR(INDEX(Setup!$G$33:$G$40,MATCH(S629,Setup!$B$33:$B$40,0)),0)=1)*(COUNTIF(S608:U625,$B629)+COUNTIF(S608:U625,$B629&amp;" ~*")&gt;0)+(IFERROR(INDEX(Setup!$G$33:$G$40,MATCH(W629,Setup!$B$33:$B$40,0)),0)=1)*(COUNTIF(W608:W625,$B629)+COUNTIF(W608:W625,$B629&amp;" ~*")&gt;0)+(IFERROR(INDEX(Setup!$G$33:$G$40,MATCH(Y629,Setup!$B$33:$B$40,0)),0)=1)*(COUNTIF(Y608:Y625,$B629)+COUNTIF(Y608:Y625,$B629&amp;" ~*")&gt;0))</f>
        <v/>
      </c>
    </row>
    <row r="630" ht="15" customHeight="1">
      <c r="A630" t="n">
        <v>13</v>
      </c>
      <c r="B630" s="37">
        <f>IF(Setup!$B$9="","",Setup!$B$9)</f>
        <v/>
      </c>
      <c r="C630" s="102" t="n"/>
      <c r="D630" s="103" t="n"/>
      <c r="E630" s="103" t="n"/>
      <c r="F630" s="104" t="n"/>
      <c r="G630" s="102" t="n"/>
      <c r="H630" s="103" t="n"/>
      <c r="I630" s="103" t="n"/>
      <c r="J630" s="104" t="n"/>
      <c r="K630" s="102" t="n"/>
      <c r="L630" s="103" t="n"/>
      <c r="M630" s="103" t="n"/>
      <c r="N630" s="104" t="n"/>
      <c r="O630" s="102" t="n"/>
      <c r="P630" s="103" t="n"/>
      <c r="Q630" s="103" t="n"/>
      <c r="R630" s="104" t="n"/>
      <c r="S630" s="102" t="n"/>
      <c r="T630" s="103" t="n"/>
      <c r="U630" s="103" t="n"/>
      <c r="V630" s="104" t="n"/>
      <c r="W630" s="102" t="n"/>
      <c r="X630" s="104" t="n"/>
      <c r="Y630" s="102" t="n"/>
      <c r="Z630" s="104" t="n"/>
      <c r="AB630" s="105">
        <f>IF($B630="","",(COUNTIF(C608:E625,$B630)+COUNTIF(C608:E625,$B630&amp;" ~*")&gt;0)+(COUNTIF(G608:I625,$B630)+COUNTIF(G608:I625,$B630&amp;" ~*")&gt;0)+(COUNTIF(K608:M625,$B630)+COUNTIF(K608:M625,$B630&amp;" ~*")&gt;0)+(COUNTIF(O608:Q625,$B630)+COUNTIF(O608:Q625,$B630&amp;" ~*")&gt;0)+(COUNTIF(S608:U625,$B630)+COUNTIF(S608:U625,$B630&amp;" ~*")&gt;0)+(COUNTIF(W608:W625,$B630)+COUNTIF(W608:W625,$B630&amp;" ~*")&gt;0)+(COUNTIF(Y608:Y625,$B630)+COUNTIF(Y608:Y625,$B630&amp;" ~*")&gt;0))</f>
        <v/>
      </c>
      <c r="AC630" s="38">
        <f>IF($B630="","",(IFERROR(INDEX(Setup!$G$33:$G$40,MATCH(C630,Setup!$B$33:$B$40,0)),0)=1)*(COUNTIF(C608:E625,$B630)+COUNTIF(C608:E625,$B630&amp;" ~*")&gt;0)+(IFERROR(INDEX(Setup!$G$33:$G$40,MATCH(G630,Setup!$B$33:$B$40,0)),0)=1)*(COUNTIF(G608:I625,$B630)+COUNTIF(G608:I625,$B630&amp;" ~*")&gt;0)+(IFERROR(INDEX(Setup!$G$33:$G$40,MATCH(K630,Setup!$B$33:$B$40,0)),0)=1)*(COUNTIF(K608:M625,$B630)+COUNTIF(K608:M625,$B630&amp;" ~*")&gt;0)+(IFERROR(INDEX(Setup!$G$33:$G$40,MATCH(O630,Setup!$B$33:$B$40,0)),0)=1)*(COUNTIF(O608:Q625,$B630)+COUNTIF(O608:Q625,$B630&amp;" ~*")&gt;0)+(IFERROR(INDEX(Setup!$G$33:$G$40,MATCH(S630,Setup!$B$33:$B$40,0)),0)=1)*(COUNTIF(S608:U625,$B630)+COUNTIF(S608:U625,$B630&amp;" ~*")&gt;0)+(IFERROR(INDEX(Setup!$G$33:$G$40,MATCH(W630,Setup!$B$33:$B$40,0)),0)=1)*(COUNTIF(W608:W625,$B630)+COUNTIF(W608:W625,$B630&amp;" ~*")&gt;0)+(IFERROR(INDEX(Setup!$G$33:$G$40,MATCH(Y630,Setup!$B$33:$B$40,0)),0)=1)*(COUNTIF(Y608:Y625,$B630)+COUNTIF(Y608:Y625,$B630&amp;" ~*")&gt;0))</f>
        <v/>
      </c>
    </row>
    <row r="631" ht="15" customHeight="1">
      <c r="A631" t="n">
        <v>13</v>
      </c>
      <c r="B631" s="35">
        <f>IF(Setup!$B$10="","",Setup!$B$10)</f>
        <v/>
      </c>
      <c r="C631" s="98" t="n"/>
      <c r="D631" s="99" t="n"/>
      <c r="E631" s="99" t="n"/>
      <c r="F631" s="100" t="n"/>
      <c r="G631" s="98" t="n"/>
      <c r="H631" s="99" t="n"/>
      <c r="I631" s="99" t="n"/>
      <c r="J631" s="100" t="n"/>
      <c r="K631" s="98" t="n"/>
      <c r="L631" s="99" t="n"/>
      <c r="M631" s="99" t="n"/>
      <c r="N631" s="100" t="n"/>
      <c r="O631" s="98" t="n"/>
      <c r="P631" s="99" t="n"/>
      <c r="Q631" s="99" t="n"/>
      <c r="R631" s="100" t="n"/>
      <c r="S631" s="98" t="n"/>
      <c r="T631" s="99" t="n"/>
      <c r="U631" s="99" t="n"/>
      <c r="V631" s="100" t="n"/>
      <c r="W631" s="98" t="n"/>
      <c r="X631" s="100" t="n"/>
      <c r="Y631" s="98" t="n"/>
      <c r="Z631" s="100" t="n"/>
      <c r="AB631" s="101">
        <f>IF($B631="","",(COUNTIF(C608:E625,$B631)+COUNTIF(C608:E625,$B631&amp;" ~*")&gt;0)+(COUNTIF(G608:I625,$B631)+COUNTIF(G608:I625,$B631&amp;" ~*")&gt;0)+(COUNTIF(K608:M625,$B631)+COUNTIF(K608:M625,$B631&amp;" ~*")&gt;0)+(COUNTIF(O608:Q625,$B631)+COUNTIF(O608:Q625,$B631&amp;" ~*")&gt;0)+(COUNTIF(S608:U625,$B631)+COUNTIF(S608:U625,$B631&amp;" ~*")&gt;0)+(COUNTIF(W608:W625,$B631)+COUNTIF(W608:W625,$B631&amp;" ~*")&gt;0)+(COUNTIF(Y608:Y625,$B631)+COUNTIF(Y608:Y625,$B631&amp;" ~*")&gt;0))</f>
        <v/>
      </c>
      <c r="AC631" s="36">
        <f>IF($B631="","",(IFERROR(INDEX(Setup!$G$33:$G$40,MATCH(C631,Setup!$B$33:$B$40,0)),0)=1)*(COUNTIF(C608:E625,$B631)+COUNTIF(C608:E625,$B631&amp;" ~*")&gt;0)+(IFERROR(INDEX(Setup!$G$33:$G$40,MATCH(G631,Setup!$B$33:$B$40,0)),0)=1)*(COUNTIF(G608:I625,$B631)+COUNTIF(G608:I625,$B631&amp;" ~*")&gt;0)+(IFERROR(INDEX(Setup!$G$33:$G$40,MATCH(K631,Setup!$B$33:$B$40,0)),0)=1)*(COUNTIF(K608:M625,$B631)+COUNTIF(K608:M625,$B631&amp;" ~*")&gt;0)+(IFERROR(INDEX(Setup!$G$33:$G$40,MATCH(O631,Setup!$B$33:$B$40,0)),0)=1)*(COUNTIF(O608:Q625,$B631)+COUNTIF(O608:Q625,$B631&amp;" ~*")&gt;0)+(IFERROR(INDEX(Setup!$G$33:$G$40,MATCH(S631,Setup!$B$33:$B$40,0)),0)=1)*(COUNTIF(S608:U625,$B631)+COUNTIF(S608:U625,$B631&amp;" ~*")&gt;0)+(IFERROR(INDEX(Setup!$G$33:$G$40,MATCH(W631,Setup!$B$33:$B$40,0)),0)=1)*(COUNTIF(W608:W625,$B631)+COUNTIF(W608:W625,$B631&amp;" ~*")&gt;0)+(IFERROR(INDEX(Setup!$G$33:$G$40,MATCH(Y631,Setup!$B$33:$B$40,0)),0)=1)*(COUNTIF(Y608:Y625,$B631)+COUNTIF(Y608:Y625,$B631&amp;" ~*")&gt;0))</f>
        <v/>
      </c>
    </row>
    <row r="632" ht="15" customHeight="1">
      <c r="A632" t="n">
        <v>13</v>
      </c>
      <c r="B632" s="37">
        <f>IF(Setup!$B$11="","",Setup!$B$11)</f>
        <v/>
      </c>
      <c r="C632" s="102" t="n"/>
      <c r="D632" s="103" t="n"/>
      <c r="E632" s="103" t="n"/>
      <c r="F632" s="104" t="n"/>
      <c r="G632" s="102" t="n"/>
      <c r="H632" s="103" t="n"/>
      <c r="I632" s="103" t="n"/>
      <c r="J632" s="104" t="n"/>
      <c r="K632" s="102" t="n"/>
      <c r="L632" s="103" t="n"/>
      <c r="M632" s="103" t="n"/>
      <c r="N632" s="104" t="n"/>
      <c r="O632" s="102" t="n"/>
      <c r="P632" s="103" t="n"/>
      <c r="Q632" s="103" t="n"/>
      <c r="R632" s="104" t="n"/>
      <c r="S632" s="102" t="n"/>
      <c r="T632" s="103" t="n"/>
      <c r="U632" s="103" t="n"/>
      <c r="V632" s="104" t="n"/>
      <c r="W632" s="102" t="n"/>
      <c r="X632" s="104" t="n"/>
      <c r="Y632" s="102" t="n"/>
      <c r="Z632" s="104" t="n"/>
      <c r="AB632" s="105">
        <f>IF($B632="","",(COUNTIF(C608:E625,$B632)+COUNTIF(C608:E625,$B632&amp;" ~*")&gt;0)+(COUNTIF(G608:I625,$B632)+COUNTIF(G608:I625,$B632&amp;" ~*")&gt;0)+(COUNTIF(K608:M625,$B632)+COUNTIF(K608:M625,$B632&amp;" ~*")&gt;0)+(COUNTIF(O608:Q625,$B632)+COUNTIF(O608:Q625,$B632&amp;" ~*")&gt;0)+(COUNTIF(S608:U625,$B632)+COUNTIF(S608:U625,$B632&amp;" ~*")&gt;0)+(COUNTIF(W608:W625,$B632)+COUNTIF(W608:W625,$B632&amp;" ~*")&gt;0)+(COUNTIF(Y608:Y625,$B632)+COUNTIF(Y608:Y625,$B632&amp;" ~*")&gt;0))</f>
        <v/>
      </c>
      <c r="AC632" s="38">
        <f>IF($B632="","",(IFERROR(INDEX(Setup!$G$33:$G$40,MATCH(C632,Setup!$B$33:$B$40,0)),0)=1)*(COUNTIF(C608:E625,$B632)+COUNTIF(C608:E625,$B632&amp;" ~*")&gt;0)+(IFERROR(INDEX(Setup!$G$33:$G$40,MATCH(G632,Setup!$B$33:$B$40,0)),0)=1)*(COUNTIF(G608:I625,$B632)+COUNTIF(G608:I625,$B632&amp;" ~*")&gt;0)+(IFERROR(INDEX(Setup!$G$33:$G$40,MATCH(K632,Setup!$B$33:$B$40,0)),0)=1)*(COUNTIF(K608:M625,$B632)+COUNTIF(K608:M625,$B632&amp;" ~*")&gt;0)+(IFERROR(INDEX(Setup!$G$33:$G$40,MATCH(O632,Setup!$B$33:$B$40,0)),0)=1)*(COUNTIF(O608:Q625,$B632)+COUNTIF(O608:Q625,$B632&amp;" ~*")&gt;0)+(IFERROR(INDEX(Setup!$G$33:$G$40,MATCH(S632,Setup!$B$33:$B$40,0)),0)=1)*(COUNTIF(S608:U625,$B632)+COUNTIF(S608:U625,$B632&amp;" ~*")&gt;0)+(IFERROR(INDEX(Setup!$G$33:$G$40,MATCH(W632,Setup!$B$33:$B$40,0)),0)=1)*(COUNTIF(W608:W625,$B632)+COUNTIF(W608:W625,$B632&amp;" ~*")&gt;0)+(IFERROR(INDEX(Setup!$G$33:$G$40,MATCH(Y632,Setup!$B$33:$B$40,0)),0)=1)*(COUNTIF(Y608:Y625,$B632)+COUNTIF(Y608:Y625,$B632&amp;" ~*")&gt;0))</f>
        <v/>
      </c>
    </row>
    <row r="633" ht="15" customHeight="1">
      <c r="A633" t="n">
        <v>13</v>
      </c>
      <c r="B633" s="35">
        <f>IF(Setup!$B$12="","",Setup!$B$12)</f>
        <v/>
      </c>
      <c r="C633" s="98" t="n"/>
      <c r="D633" s="99" t="n"/>
      <c r="E633" s="99" t="n"/>
      <c r="F633" s="100" t="n"/>
      <c r="G633" s="98" t="inlineStr">
        <is>
          <t>AL</t>
        </is>
      </c>
      <c r="H633" s="99" t="n"/>
      <c r="I633" s="99" t="n"/>
      <c r="J633" s="100" t="n"/>
      <c r="K633" s="98" t="inlineStr">
        <is>
          <t>AL</t>
        </is>
      </c>
      <c r="L633" s="99" t="n"/>
      <c r="M633" s="99" t="n"/>
      <c r="N633" s="100" t="n"/>
      <c r="O633" s="98" t="inlineStr">
        <is>
          <t>AL</t>
        </is>
      </c>
      <c r="P633" s="99" t="n"/>
      <c r="Q633" s="99" t="n"/>
      <c r="R633" s="100" t="n"/>
      <c r="S633" s="98" t="inlineStr">
        <is>
          <t>AL</t>
        </is>
      </c>
      <c r="T633" s="99" t="n"/>
      <c r="U633" s="99" t="n"/>
      <c r="V633" s="100" t="n"/>
      <c r="W633" s="98" t="n"/>
      <c r="X633" s="100" t="n"/>
      <c r="Y633" s="98" t="n"/>
      <c r="Z633" s="100" t="n"/>
      <c r="AB633" s="101">
        <f>IF($B633="","",(COUNTIF(C608:E625,$B633)+COUNTIF(C608:E625,$B633&amp;" ~*")&gt;0)+(COUNTIF(G608:I625,$B633)+COUNTIF(G608:I625,$B633&amp;" ~*")&gt;0)+(COUNTIF(K608:M625,$B633)+COUNTIF(K608:M625,$B633&amp;" ~*")&gt;0)+(COUNTIF(O608:Q625,$B633)+COUNTIF(O608:Q625,$B633&amp;" ~*")&gt;0)+(COUNTIF(S608:U625,$B633)+COUNTIF(S608:U625,$B633&amp;" ~*")&gt;0)+(COUNTIF(W608:W625,$B633)+COUNTIF(W608:W625,$B633&amp;" ~*")&gt;0)+(COUNTIF(Y608:Y625,$B633)+COUNTIF(Y608:Y625,$B633&amp;" ~*")&gt;0))</f>
        <v/>
      </c>
      <c r="AC633" s="36">
        <f>IF($B633="","",(IFERROR(INDEX(Setup!$G$33:$G$40,MATCH(C633,Setup!$B$33:$B$40,0)),0)=1)*(COUNTIF(C608:E625,$B633)+COUNTIF(C608:E625,$B633&amp;" ~*")&gt;0)+(IFERROR(INDEX(Setup!$G$33:$G$40,MATCH(G633,Setup!$B$33:$B$40,0)),0)=1)*(COUNTIF(G608:I625,$B633)+COUNTIF(G608:I625,$B633&amp;" ~*")&gt;0)+(IFERROR(INDEX(Setup!$G$33:$G$40,MATCH(K633,Setup!$B$33:$B$40,0)),0)=1)*(COUNTIF(K608:M625,$B633)+COUNTIF(K608:M625,$B633&amp;" ~*")&gt;0)+(IFERROR(INDEX(Setup!$G$33:$G$40,MATCH(O633,Setup!$B$33:$B$40,0)),0)=1)*(COUNTIF(O608:Q625,$B633)+COUNTIF(O608:Q625,$B633&amp;" ~*")&gt;0)+(IFERROR(INDEX(Setup!$G$33:$G$40,MATCH(S633,Setup!$B$33:$B$40,0)),0)=1)*(COUNTIF(S608:U625,$B633)+COUNTIF(S608:U625,$B633&amp;" ~*")&gt;0)+(IFERROR(INDEX(Setup!$G$33:$G$40,MATCH(W633,Setup!$B$33:$B$40,0)),0)=1)*(COUNTIF(W608:W625,$B633)+COUNTIF(W608:W625,$B633&amp;" ~*")&gt;0)+(IFERROR(INDEX(Setup!$G$33:$G$40,MATCH(Y633,Setup!$B$33:$B$40,0)),0)=1)*(COUNTIF(Y608:Y625,$B633)+COUNTIF(Y608:Y625,$B633&amp;" ~*")&gt;0))</f>
        <v/>
      </c>
    </row>
    <row r="634" ht="15" customHeight="1">
      <c r="A634" t="n">
        <v>13</v>
      </c>
      <c r="B634" s="37">
        <f>IF(Setup!$B$13="","",Setup!$B$13)</f>
        <v/>
      </c>
      <c r="C634" s="102" t="n"/>
      <c r="D634" s="103" t="n"/>
      <c r="E634" s="103" t="n"/>
      <c r="F634" s="104" t="n"/>
      <c r="G634" s="102" t="inlineStr">
        <is>
          <t>AL</t>
        </is>
      </c>
      <c r="H634" s="103" t="n"/>
      <c r="I634" s="103" t="n"/>
      <c r="J634" s="104" t="n"/>
      <c r="K634" s="102" t="inlineStr">
        <is>
          <t>AL</t>
        </is>
      </c>
      <c r="L634" s="103" t="n"/>
      <c r="M634" s="103" t="n"/>
      <c r="N634" s="104" t="n"/>
      <c r="O634" s="102" t="n"/>
      <c r="P634" s="103" t="n"/>
      <c r="Q634" s="103" t="n"/>
      <c r="R634" s="104" t="n"/>
      <c r="S634" s="102" t="inlineStr">
        <is>
          <t>AL</t>
        </is>
      </c>
      <c r="T634" s="103" t="n"/>
      <c r="U634" s="103" t="n"/>
      <c r="V634" s="104" t="n"/>
      <c r="W634" s="102" t="n"/>
      <c r="X634" s="104" t="n"/>
      <c r="Y634" s="102" t="n"/>
      <c r="Z634" s="104" t="n"/>
      <c r="AB634" s="105">
        <f>IF($B634="","",(COUNTIF(C608:E625,$B634)+COUNTIF(C608:E625,$B634&amp;" ~*")&gt;0)+(COUNTIF(G608:I625,$B634)+COUNTIF(G608:I625,$B634&amp;" ~*")&gt;0)+(COUNTIF(K608:M625,$B634)+COUNTIF(K608:M625,$B634&amp;" ~*")&gt;0)+(COUNTIF(O608:Q625,$B634)+COUNTIF(O608:Q625,$B634&amp;" ~*")&gt;0)+(COUNTIF(S608:U625,$B634)+COUNTIF(S608:U625,$B634&amp;" ~*")&gt;0)+(COUNTIF(W608:W625,$B634)+COUNTIF(W608:W625,$B634&amp;" ~*")&gt;0)+(COUNTIF(Y608:Y625,$B634)+COUNTIF(Y608:Y625,$B634&amp;" ~*")&gt;0))</f>
        <v/>
      </c>
      <c r="AC634" s="38">
        <f>IF($B634="","",(IFERROR(INDEX(Setup!$G$33:$G$40,MATCH(C634,Setup!$B$33:$B$40,0)),0)=1)*(COUNTIF(C608:E625,$B634)+COUNTIF(C608:E625,$B634&amp;" ~*")&gt;0)+(IFERROR(INDEX(Setup!$G$33:$G$40,MATCH(G634,Setup!$B$33:$B$40,0)),0)=1)*(COUNTIF(G608:I625,$B634)+COUNTIF(G608:I625,$B634&amp;" ~*")&gt;0)+(IFERROR(INDEX(Setup!$G$33:$G$40,MATCH(K634,Setup!$B$33:$B$40,0)),0)=1)*(COUNTIF(K608:M625,$B634)+COUNTIF(K608:M625,$B634&amp;" ~*")&gt;0)+(IFERROR(INDEX(Setup!$G$33:$G$40,MATCH(O634,Setup!$B$33:$B$40,0)),0)=1)*(COUNTIF(O608:Q625,$B634)+COUNTIF(O608:Q625,$B634&amp;" ~*")&gt;0)+(IFERROR(INDEX(Setup!$G$33:$G$40,MATCH(S634,Setup!$B$33:$B$40,0)),0)=1)*(COUNTIF(S608:U625,$B634)+COUNTIF(S608:U625,$B634&amp;" ~*")&gt;0)+(IFERROR(INDEX(Setup!$G$33:$G$40,MATCH(W634,Setup!$B$33:$B$40,0)),0)=1)*(COUNTIF(W608:W625,$B634)+COUNTIF(W608:W625,$B634&amp;" ~*")&gt;0)+(IFERROR(INDEX(Setup!$G$33:$G$40,MATCH(Y634,Setup!$B$33:$B$40,0)),0)=1)*(COUNTIF(Y608:Y625,$B634)+COUNTIF(Y608:Y625,$B634&amp;" ~*")&gt;0))</f>
        <v/>
      </c>
    </row>
    <row r="635" ht="15" customHeight="1">
      <c r="A635" t="n">
        <v>13</v>
      </c>
      <c r="B635" s="35">
        <f>IF(Setup!$B$14="","",Setup!$B$14)</f>
        <v/>
      </c>
      <c r="C635" s="98" t="n"/>
      <c r="D635" s="99" t="n"/>
      <c r="E635" s="99" t="n"/>
      <c r="F635" s="100" t="n"/>
      <c r="G635" s="98" t="n"/>
      <c r="H635" s="99" t="n"/>
      <c r="I635" s="99" t="n"/>
      <c r="J635" s="100" t="n"/>
      <c r="K635" s="98" t="n"/>
      <c r="L635" s="99" t="n"/>
      <c r="M635" s="99" t="n"/>
      <c r="N635" s="100" t="n"/>
      <c r="O635" s="98" t="n"/>
      <c r="P635" s="99" t="n"/>
      <c r="Q635" s="99" t="n"/>
      <c r="R635" s="100" t="n"/>
      <c r="S635" s="98" t="n"/>
      <c r="T635" s="99" t="n"/>
      <c r="U635" s="99" t="n"/>
      <c r="V635" s="100" t="n"/>
      <c r="W635" s="98" t="n"/>
      <c r="X635" s="100" t="n"/>
      <c r="Y635" s="98" t="n"/>
      <c r="Z635" s="100" t="n"/>
      <c r="AB635" s="101">
        <f>IF($B635="","",(COUNTIF(C608:E625,$B635)+COUNTIF(C608:E625,$B635&amp;" ~*")&gt;0)+(COUNTIF(G608:I625,$B635)+COUNTIF(G608:I625,$B635&amp;" ~*")&gt;0)+(COUNTIF(K608:M625,$B635)+COUNTIF(K608:M625,$B635&amp;" ~*")&gt;0)+(COUNTIF(O608:Q625,$B635)+COUNTIF(O608:Q625,$B635&amp;" ~*")&gt;0)+(COUNTIF(S608:U625,$B635)+COUNTIF(S608:U625,$B635&amp;" ~*")&gt;0)+(COUNTIF(W608:W625,$B635)+COUNTIF(W608:W625,$B635&amp;" ~*")&gt;0)+(COUNTIF(Y608:Y625,$B635)+COUNTIF(Y608:Y625,$B635&amp;" ~*")&gt;0))</f>
        <v/>
      </c>
      <c r="AC635" s="36">
        <f>IF($B635="","",(IFERROR(INDEX(Setup!$G$33:$G$40,MATCH(C635,Setup!$B$33:$B$40,0)),0)=1)*(COUNTIF(C608:E625,$B635)+COUNTIF(C608:E625,$B635&amp;" ~*")&gt;0)+(IFERROR(INDEX(Setup!$G$33:$G$40,MATCH(G635,Setup!$B$33:$B$40,0)),0)=1)*(COUNTIF(G608:I625,$B635)+COUNTIF(G608:I625,$B635&amp;" ~*")&gt;0)+(IFERROR(INDEX(Setup!$G$33:$G$40,MATCH(K635,Setup!$B$33:$B$40,0)),0)=1)*(COUNTIF(K608:M625,$B635)+COUNTIF(K608:M625,$B635&amp;" ~*")&gt;0)+(IFERROR(INDEX(Setup!$G$33:$G$40,MATCH(O635,Setup!$B$33:$B$40,0)),0)=1)*(COUNTIF(O608:Q625,$B635)+COUNTIF(O608:Q625,$B635&amp;" ~*")&gt;0)+(IFERROR(INDEX(Setup!$G$33:$G$40,MATCH(S635,Setup!$B$33:$B$40,0)),0)=1)*(COUNTIF(S608:U625,$B635)+COUNTIF(S608:U625,$B635&amp;" ~*")&gt;0)+(IFERROR(INDEX(Setup!$G$33:$G$40,MATCH(W635,Setup!$B$33:$B$40,0)),0)=1)*(COUNTIF(W608:W625,$B635)+COUNTIF(W608:W625,$B635&amp;" ~*")&gt;0)+(IFERROR(INDEX(Setup!$G$33:$G$40,MATCH(Y635,Setup!$B$33:$B$40,0)),0)=1)*(COUNTIF(Y608:Y625,$B635)+COUNTIF(Y608:Y625,$B635&amp;" ~*")&gt;0))</f>
        <v/>
      </c>
    </row>
    <row r="636" ht="15" customHeight="1">
      <c r="A636" t="n">
        <v>13</v>
      </c>
      <c r="B636" s="37">
        <f>IF(Setup!$B$15="","",Setup!$B$15)</f>
        <v/>
      </c>
      <c r="C636" s="102" t="n"/>
      <c r="D636" s="103" t="n"/>
      <c r="E636" s="103" t="n"/>
      <c r="F636" s="104" t="n"/>
      <c r="G636" s="102" t="n"/>
      <c r="H636" s="103" t="n"/>
      <c r="I636" s="103" t="n"/>
      <c r="J636" s="104" t="n"/>
      <c r="K636" s="102" t="n"/>
      <c r="L636" s="103" t="n"/>
      <c r="M636" s="103" t="n"/>
      <c r="N636" s="104" t="n"/>
      <c r="O636" s="102" t="n"/>
      <c r="P636" s="103" t="n"/>
      <c r="Q636" s="103" t="n"/>
      <c r="R636" s="104" t="n"/>
      <c r="S636" s="102" t="n"/>
      <c r="T636" s="103" t="n"/>
      <c r="U636" s="103" t="n"/>
      <c r="V636" s="104" t="n"/>
      <c r="W636" s="102" t="n"/>
      <c r="X636" s="104" t="n"/>
      <c r="Y636" s="102" t="n"/>
      <c r="Z636" s="104" t="n"/>
      <c r="AB636" s="105">
        <f>IF($B636="","",(COUNTIF(C608:E625,$B636)+COUNTIF(C608:E625,$B636&amp;" ~*")&gt;0)+(COUNTIF(G608:I625,$B636)+COUNTIF(G608:I625,$B636&amp;" ~*")&gt;0)+(COUNTIF(K608:M625,$B636)+COUNTIF(K608:M625,$B636&amp;" ~*")&gt;0)+(COUNTIF(O608:Q625,$B636)+COUNTIF(O608:Q625,$B636&amp;" ~*")&gt;0)+(COUNTIF(S608:U625,$B636)+COUNTIF(S608:U625,$B636&amp;" ~*")&gt;0)+(COUNTIF(W608:W625,$B636)+COUNTIF(W608:W625,$B636&amp;" ~*")&gt;0)+(COUNTIF(Y608:Y625,$B636)+COUNTIF(Y608:Y625,$B636&amp;" ~*")&gt;0))</f>
        <v/>
      </c>
      <c r="AC636" s="38">
        <f>IF($B636="","",(IFERROR(INDEX(Setup!$G$33:$G$40,MATCH(C636,Setup!$B$33:$B$40,0)),0)=1)*(COUNTIF(C608:E625,$B636)+COUNTIF(C608:E625,$B636&amp;" ~*")&gt;0)+(IFERROR(INDEX(Setup!$G$33:$G$40,MATCH(G636,Setup!$B$33:$B$40,0)),0)=1)*(COUNTIF(G608:I625,$B636)+COUNTIF(G608:I625,$B636&amp;" ~*")&gt;0)+(IFERROR(INDEX(Setup!$G$33:$G$40,MATCH(K636,Setup!$B$33:$B$40,0)),0)=1)*(COUNTIF(K608:M625,$B636)+COUNTIF(K608:M625,$B636&amp;" ~*")&gt;0)+(IFERROR(INDEX(Setup!$G$33:$G$40,MATCH(O636,Setup!$B$33:$B$40,0)),0)=1)*(COUNTIF(O608:Q625,$B636)+COUNTIF(O608:Q625,$B636&amp;" ~*")&gt;0)+(IFERROR(INDEX(Setup!$G$33:$G$40,MATCH(S636,Setup!$B$33:$B$40,0)),0)=1)*(COUNTIF(S608:U625,$B636)+COUNTIF(S608:U625,$B636&amp;" ~*")&gt;0)+(IFERROR(INDEX(Setup!$G$33:$G$40,MATCH(W636,Setup!$B$33:$B$40,0)),0)=1)*(COUNTIF(W608:W625,$B636)+COUNTIF(W608:W625,$B636&amp;" ~*")&gt;0)+(IFERROR(INDEX(Setup!$G$33:$G$40,MATCH(Y636,Setup!$B$33:$B$40,0)),0)=1)*(COUNTIF(Y608:Y625,$B636)+COUNTIF(Y608:Y625,$B636&amp;" ~*")&gt;0))</f>
        <v/>
      </c>
    </row>
    <row r="637" ht="15" customHeight="1">
      <c r="A637" t="n">
        <v>13</v>
      </c>
      <c r="B637" s="35">
        <f>IF(Setup!$B$16="","",Setup!$B$16)</f>
        <v/>
      </c>
      <c r="C637" s="98" t="n"/>
      <c r="D637" s="99" t="n"/>
      <c r="E637" s="99" t="n"/>
      <c r="F637" s="100" t="n"/>
      <c r="G637" s="98" t="n"/>
      <c r="H637" s="99" t="n"/>
      <c r="I637" s="99" t="n"/>
      <c r="J637" s="100" t="n"/>
      <c r="K637" s="98" t="n"/>
      <c r="L637" s="99" t="n"/>
      <c r="M637" s="99" t="n"/>
      <c r="N637" s="100" t="n"/>
      <c r="O637" s="98" t="n"/>
      <c r="P637" s="99" t="n"/>
      <c r="Q637" s="99" t="n"/>
      <c r="R637" s="100" t="n"/>
      <c r="S637" s="98" t="n"/>
      <c r="T637" s="99" t="n"/>
      <c r="U637" s="99" t="n"/>
      <c r="V637" s="100" t="n"/>
      <c r="W637" s="98" t="n"/>
      <c r="X637" s="100" t="n"/>
      <c r="Y637" s="98" t="n"/>
      <c r="Z637" s="100" t="n"/>
      <c r="AB637" s="101">
        <f>IF($B637="","",(COUNTIF(C608:E625,$B637)+COUNTIF(C608:E625,$B637&amp;" ~*")&gt;0)+(COUNTIF(G608:I625,$B637)+COUNTIF(G608:I625,$B637&amp;" ~*")&gt;0)+(COUNTIF(K608:M625,$B637)+COUNTIF(K608:M625,$B637&amp;" ~*")&gt;0)+(COUNTIF(O608:Q625,$B637)+COUNTIF(O608:Q625,$B637&amp;" ~*")&gt;0)+(COUNTIF(S608:U625,$B637)+COUNTIF(S608:U625,$B637&amp;" ~*")&gt;0)+(COUNTIF(W608:W625,$B637)+COUNTIF(W608:W625,$B637&amp;" ~*")&gt;0)+(COUNTIF(Y608:Y625,$B637)+COUNTIF(Y608:Y625,$B637&amp;" ~*")&gt;0))</f>
        <v/>
      </c>
      <c r="AC637" s="36">
        <f>IF($B637="","",(IFERROR(INDEX(Setup!$G$33:$G$40,MATCH(C637,Setup!$B$33:$B$40,0)),0)=1)*(COUNTIF(C608:E625,$B637)+COUNTIF(C608:E625,$B637&amp;" ~*")&gt;0)+(IFERROR(INDEX(Setup!$G$33:$G$40,MATCH(G637,Setup!$B$33:$B$40,0)),0)=1)*(COUNTIF(G608:I625,$B637)+COUNTIF(G608:I625,$B637&amp;" ~*")&gt;0)+(IFERROR(INDEX(Setup!$G$33:$G$40,MATCH(K637,Setup!$B$33:$B$40,0)),0)=1)*(COUNTIF(K608:M625,$B637)+COUNTIF(K608:M625,$B637&amp;" ~*")&gt;0)+(IFERROR(INDEX(Setup!$G$33:$G$40,MATCH(O637,Setup!$B$33:$B$40,0)),0)=1)*(COUNTIF(O608:Q625,$B637)+COUNTIF(O608:Q625,$B637&amp;" ~*")&gt;0)+(IFERROR(INDEX(Setup!$G$33:$G$40,MATCH(S637,Setup!$B$33:$B$40,0)),0)=1)*(COUNTIF(S608:U625,$B637)+COUNTIF(S608:U625,$B637&amp;" ~*")&gt;0)+(IFERROR(INDEX(Setup!$G$33:$G$40,MATCH(W637,Setup!$B$33:$B$40,0)),0)=1)*(COUNTIF(W608:W625,$B637)+COUNTIF(W608:W625,$B637&amp;" ~*")&gt;0)+(IFERROR(INDEX(Setup!$G$33:$G$40,MATCH(Y637,Setup!$B$33:$B$40,0)),0)=1)*(COUNTIF(Y608:Y625,$B637)+COUNTIF(Y608:Y625,$B637&amp;" ~*")&gt;0))</f>
        <v/>
      </c>
    </row>
    <row r="638" ht="15" customHeight="1">
      <c r="A638" t="n">
        <v>13</v>
      </c>
      <c r="B638" s="37">
        <f>IF(Setup!$B$17="","",Setup!$B$17)</f>
        <v/>
      </c>
      <c r="C638" s="102" t="n"/>
      <c r="D638" s="103" t="n"/>
      <c r="E638" s="103" t="n"/>
      <c r="F638" s="104" t="n"/>
      <c r="G638" s="102" t="n"/>
      <c r="H638" s="103" t="n"/>
      <c r="I638" s="103" t="n"/>
      <c r="J638" s="104" t="n"/>
      <c r="K638" s="102" t="n"/>
      <c r="L638" s="103" t="n"/>
      <c r="M638" s="103" t="n"/>
      <c r="N638" s="104" t="n"/>
      <c r="O638" s="102" t="n"/>
      <c r="P638" s="103" t="n"/>
      <c r="Q638" s="103" t="n"/>
      <c r="R638" s="104" t="n"/>
      <c r="S638" s="102" t="n"/>
      <c r="T638" s="103" t="n"/>
      <c r="U638" s="103" t="n"/>
      <c r="V638" s="104" t="n"/>
      <c r="W638" s="102" t="n"/>
      <c r="X638" s="104" t="n"/>
      <c r="Y638" s="102" t="n"/>
      <c r="Z638" s="104" t="n"/>
      <c r="AB638" s="105">
        <f>IF($B638="","",(COUNTIF(C608:E625,$B638)+COUNTIF(C608:E625,$B638&amp;" ~*")&gt;0)+(COUNTIF(G608:I625,$B638)+COUNTIF(G608:I625,$B638&amp;" ~*")&gt;0)+(COUNTIF(K608:M625,$B638)+COUNTIF(K608:M625,$B638&amp;" ~*")&gt;0)+(COUNTIF(O608:Q625,$B638)+COUNTIF(O608:Q625,$B638&amp;" ~*")&gt;0)+(COUNTIF(S608:U625,$B638)+COUNTIF(S608:U625,$B638&amp;" ~*")&gt;0)+(COUNTIF(W608:W625,$B638)+COUNTIF(W608:W625,$B638&amp;" ~*")&gt;0)+(COUNTIF(Y608:Y625,$B638)+COUNTIF(Y608:Y625,$B638&amp;" ~*")&gt;0))</f>
        <v/>
      </c>
      <c r="AC638" s="38">
        <f>IF($B638="","",(IFERROR(INDEX(Setup!$G$33:$G$40,MATCH(C638,Setup!$B$33:$B$40,0)),0)=1)*(COUNTIF(C608:E625,$B638)+COUNTIF(C608:E625,$B638&amp;" ~*")&gt;0)+(IFERROR(INDEX(Setup!$G$33:$G$40,MATCH(G638,Setup!$B$33:$B$40,0)),0)=1)*(COUNTIF(G608:I625,$B638)+COUNTIF(G608:I625,$B638&amp;" ~*")&gt;0)+(IFERROR(INDEX(Setup!$G$33:$G$40,MATCH(K638,Setup!$B$33:$B$40,0)),0)=1)*(COUNTIF(K608:M625,$B638)+COUNTIF(K608:M625,$B638&amp;" ~*")&gt;0)+(IFERROR(INDEX(Setup!$G$33:$G$40,MATCH(O638,Setup!$B$33:$B$40,0)),0)=1)*(COUNTIF(O608:Q625,$B638)+COUNTIF(O608:Q625,$B638&amp;" ~*")&gt;0)+(IFERROR(INDEX(Setup!$G$33:$G$40,MATCH(S638,Setup!$B$33:$B$40,0)),0)=1)*(COUNTIF(S608:U625,$B638)+COUNTIF(S608:U625,$B638&amp;" ~*")&gt;0)+(IFERROR(INDEX(Setup!$G$33:$G$40,MATCH(W638,Setup!$B$33:$B$40,0)),0)=1)*(COUNTIF(W608:W625,$B638)+COUNTIF(W608:W625,$B638&amp;" ~*")&gt;0)+(IFERROR(INDEX(Setup!$G$33:$G$40,MATCH(Y638,Setup!$B$33:$B$40,0)),0)=1)*(COUNTIF(Y608:Y625,$B638)+COUNTIF(Y608:Y625,$B638&amp;" ~*")&gt;0))</f>
        <v/>
      </c>
    </row>
    <row r="639" ht="15" customHeight="1">
      <c r="A639" t="n">
        <v>13</v>
      </c>
      <c r="B639" s="35">
        <f>IF(Setup!$B$18="","",Setup!$B$18)</f>
        <v/>
      </c>
      <c r="C639" s="98" t="n"/>
      <c r="D639" s="99" t="n"/>
      <c r="E639" s="99" t="n"/>
      <c r="F639" s="100" t="n"/>
      <c r="G639" s="98" t="n"/>
      <c r="H639" s="99" t="n"/>
      <c r="I639" s="99" t="n"/>
      <c r="J639" s="100" t="n"/>
      <c r="K639" s="98" t="n"/>
      <c r="L639" s="99" t="n"/>
      <c r="M639" s="99" t="n"/>
      <c r="N639" s="100" t="n"/>
      <c r="O639" s="98" t="n"/>
      <c r="P639" s="99" t="n"/>
      <c r="Q639" s="99" t="n"/>
      <c r="R639" s="100" t="n"/>
      <c r="S639" s="98" t="n"/>
      <c r="T639" s="99" t="n"/>
      <c r="U639" s="99" t="n"/>
      <c r="V639" s="100" t="n"/>
      <c r="W639" s="98" t="n"/>
      <c r="X639" s="100" t="n"/>
      <c r="Y639" s="98" t="n"/>
      <c r="Z639" s="100" t="n"/>
      <c r="AB639" s="101">
        <f>IF($B639="","",(COUNTIF(C608:E625,$B639)+COUNTIF(C608:E625,$B639&amp;" ~*")&gt;0)+(COUNTIF(G608:I625,$B639)+COUNTIF(G608:I625,$B639&amp;" ~*")&gt;0)+(COUNTIF(K608:M625,$B639)+COUNTIF(K608:M625,$B639&amp;" ~*")&gt;0)+(COUNTIF(O608:Q625,$B639)+COUNTIF(O608:Q625,$B639&amp;" ~*")&gt;0)+(COUNTIF(S608:U625,$B639)+COUNTIF(S608:U625,$B639&amp;" ~*")&gt;0)+(COUNTIF(W608:W625,$B639)+COUNTIF(W608:W625,$B639&amp;" ~*")&gt;0)+(COUNTIF(Y608:Y625,$B639)+COUNTIF(Y608:Y625,$B639&amp;" ~*")&gt;0))</f>
        <v/>
      </c>
      <c r="AC639" s="36">
        <f>IF($B639="","",(IFERROR(INDEX(Setup!$G$33:$G$40,MATCH(C639,Setup!$B$33:$B$40,0)),0)=1)*(COUNTIF(C608:E625,$B639)+COUNTIF(C608:E625,$B639&amp;" ~*")&gt;0)+(IFERROR(INDEX(Setup!$G$33:$G$40,MATCH(G639,Setup!$B$33:$B$40,0)),0)=1)*(COUNTIF(G608:I625,$B639)+COUNTIF(G608:I625,$B639&amp;" ~*")&gt;0)+(IFERROR(INDEX(Setup!$G$33:$G$40,MATCH(K639,Setup!$B$33:$B$40,0)),0)=1)*(COUNTIF(K608:M625,$B639)+COUNTIF(K608:M625,$B639&amp;" ~*")&gt;0)+(IFERROR(INDEX(Setup!$G$33:$G$40,MATCH(O639,Setup!$B$33:$B$40,0)),0)=1)*(COUNTIF(O608:Q625,$B639)+COUNTIF(O608:Q625,$B639&amp;" ~*")&gt;0)+(IFERROR(INDEX(Setup!$G$33:$G$40,MATCH(S639,Setup!$B$33:$B$40,0)),0)=1)*(COUNTIF(S608:U625,$B639)+COUNTIF(S608:U625,$B639&amp;" ~*")&gt;0)+(IFERROR(INDEX(Setup!$G$33:$G$40,MATCH(W639,Setup!$B$33:$B$40,0)),0)=1)*(COUNTIF(W608:W625,$B639)+COUNTIF(W608:W625,$B639&amp;" ~*")&gt;0)+(IFERROR(INDEX(Setup!$G$33:$G$40,MATCH(Y639,Setup!$B$33:$B$40,0)),0)=1)*(COUNTIF(Y608:Y625,$B639)+COUNTIF(Y608:Y625,$B639&amp;" ~*")&gt;0))</f>
        <v/>
      </c>
    </row>
    <row r="640" ht="15" customHeight="1">
      <c r="A640" t="n">
        <v>13</v>
      </c>
      <c r="B640" s="37">
        <f>IF(Setup!$B$19="","",Setup!$B$19)</f>
        <v/>
      </c>
      <c r="C640" s="102" t="n"/>
      <c r="D640" s="103" t="n"/>
      <c r="E640" s="103" t="n"/>
      <c r="F640" s="104" t="n"/>
      <c r="G640" s="102" t="n"/>
      <c r="H640" s="103" t="n"/>
      <c r="I640" s="103" t="n"/>
      <c r="J640" s="104" t="n"/>
      <c r="K640" s="102" t="n"/>
      <c r="L640" s="103" t="n"/>
      <c r="M640" s="103" t="n"/>
      <c r="N640" s="104" t="n"/>
      <c r="O640" s="102" t="n"/>
      <c r="P640" s="103" t="n"/>
      <c r="Q640" s="103" t="n"/>
      <c r="R640" s="104" t="n"/>
      <c r="S640" s="102" t="n"/>
      <c r="T640" s="103" t="n"/>
      <c r="U640" s="103" t="n"/>
      <c r="V640" s="104" t="n"/>
      <c r="W640" s="102" t="n"/>
      <c r="X640" s="104" t="n"/>
      <c r="Y640" s="102" t="n"/>
      <c r="Z640" s="104" t="n"/>
      <c r="AB640" s="105">
        <f>IF($B640="","",(COUNTIF(C608:E625,$B640)+COUNTIF(C608:E625,$B640&amp;" ~*")&gt;0)+(COUNTIF(G608:I625,$B640)+COUNTIF(G608:I625,$B640&amp;" ~*")&gt;0)+(COUNTIF(K608:M625,$B640)+COUNTIF(K608:M625,$B640&amp;" ~*")&gt;0)+(COUNTIF(O608:Q625,$B640)+COUNTIF(O608:Q625,$B640&amp;" ~*")&gt;0)+(COUNTIF(S608:U625,$B640)+COUNTIF(S608:U625,$B640&amp;" ~*")&gt;0)+(COUNTIF(W608:W625,$B640)+COUNTIF(W608:W625,$B640&amp;" ~*")&gt;0)+(COUNTIF(Y608:Y625,$B640)+COUNTIF(Y608:Y625,$B640&amp;" ~*")&gt;0))</f>
        <v/>
      </c>
      <c r="AC640" s="38">
        <f>IF($B640="","",(IFERROR(INDEX(Setup!$G$33:$G$40,MATCH(C640,Setup!$B$33:$B$40,0)),0)=1)*(COUNTIF(C608:E625,$B640)+COUNTIF(C608:E625,$B640&amp;" ~*")&gt;0)+(IFERROR(INDEX(Setup!$G$33:$G$40,MATCH(G640,Setup!$B$33:$B$40,0)),0)=1)*(COUNTIF(G608:I625,$B640)+COUNTIF(G608:I625,$B640&amp;" ~*")&gt;0)+(IFERROR(INDEX(Setup!$G$33:$G$40,MATCH(K640,Setup!$B$33:$B$40,0)),0)=1)*(COUNTIF(K608:M625,$B640)+COUNTIF(K608:M625,$B640&amp;" ~*")&gt;0)+(IFERROR(INDEX(Setup!$G$33:$G$40,MATCH(O640,Setup!$B$33:$B$40,0)),0)=1)*(COUNTIF(O608:Q625,$B640)+COUNTIF(O608:Q625,$B640&amp;" ~*")&gt;0)+(IFERROR(INDEX(Setup!$G$33:$G$40,MATCH(S640,Setup!$B$33:$B$40,0)),0)=1)*(COUNTIF(S608:U625,$B640)+COUNTIF(S608:U625,$B640&amp;" ~*")&gt;0)+(IFERROR(INDEX(Setup!$G$33:$G$40,MATCH(W640,Setup!$B$33:$B$40,0)),0)=1)*(COUNTIF(W608:W625,$B640)+COUNTIF(W608:W625,$B640&amp;" ~*")&gt;0)+(IFERROR(INDEX(Setup!$G$33:$G$40,MATCH(Y640,Setup!$B$33:$B$40,0)),0)=1)*(COUNTIF(Y608:Y625,$B640)+COUNTIF(Y608:Y625,$B640&amp;" ~*")&gt;0))</f>
        <v/>
      </c>
    </row>
    <row r="641" ht="15" customHeight="1">
      <c r="A641" t="n">
        <v>13</v>
      </c>
      <c r="B641" s="35">
        <f>IF(Setup!$B$20="","",Setup!$B$20)</f>
        <v/>
      </c>
      <c r="C641" s="98" t="n"/>
      <c r="D641" s="99" t="n"/>
      <c r="E641" s="99" t="n"/>
      <c r="F641" s="100" t="n"/>
      <c r="G641" s="98" t="n"/>
      <c r="H641" s="99" t="n"/>
      <c r="I641" s="99" t="n"/>
      <c r="J641" s="100" t="n"/>
      <c r="K641" s="98" t="n"/>
      <c r="L641" s="99" t="n"/>
      <c r="M641" s="99" t="n"/>
      <c r="N641" s="100" t="n"/>
      <c r="O641" s="98" t="n"/>
      <c r="P641" s="99" t="n"/>
      <c r="Q641" s="99" t="n"/>
      <c r="R641" s="100" t="n"/>
      <c r="S641" s="98" t="n"/>
      <c r="T641" s="99" t="n"/>
      <c r="U641" s="99" t="n"/>
      <c r="V641" s="100" t="n"/>
      <c r="W641" s="98" t="n"/>
      <c r="X641" s="100" t="n"/>
      <c r="Y641" s="98" t="n"/>
      <c r="Z641" s="100" t="n"/>
      <c r="AB641" s="101">
        <f>IF($B641="","",(COUNTIF(C608:E625,$B641)+COUNTIF(C608:E625,$B641&amp;" ~*")&gt;0)+(COUNTIF(G608:I625,$B641)+COUNTIF(G608:I625,$B641&amp;" ~*")&gt;0)+(COUNTIF(K608:M625,$B641)+COUNTIF(K608:M625,$B641&amp;" ~*")&gt;0)+(COUNTIF(O608:Q625,$B641)+COUNTIF(O608:Q625,$B641&amp;" ~*")&gt;0)+(COUNTIF(S608:U625,$B641)+COUNTIF(S608:U625,$B641&amp;" ~*")&gt;0)+(COUNTIF(W608:W625,$B641)+COUNTIF(W608:W625,$B641&amp;" ~*")&gt;0)+(COUNTIF(Y608:Y625,$B641)+COUNTIF(Y608:Y625,$B641&amp;" ~*")&gt;0))</f>
        <v/>
      </c>
      <c r="AC641" s="36">
        <f>IF($B641="","",(IFERROR(INDEX(Setup!$G$33:$G$40,MATCH(C641,Setup!$B$33:$B$40,0)),0)=1)*(COUNTIF(C608:E625,$B641)+COUNTIF(C608:E625,$B641&amp;" ~*")&gt;0)+(IFERROR(INDEX(Setup!$G$33:$G$40,MATCH(G641,Setup!$B$33:$B$40,0)),0)=1)*(COUNTIF(G608:I625,$B641)+COUNTIF(G608:I625,$B641&amp;" ~*")&gt;0)+(IFERROR(INDEX(Setup!$G$33:$G$40,MATCH(K641,Setup!$B$33:$B$40,0)),0)=1)*(COUNTIF(K608:M625,$B641)+COUNTIF(K608:M625,$B641&amp;" ~*")&gt;0)+(IFERROR(INDEX(Setup!$G$33:$G$40,MATCH(O641,Setup!$B$33:$B$40,0)),0)=1)*(COUNTIF(O608:Q625,$B641)+COUNTIF(O608:Q625,$B641&amp;" ~*")&gt;0)+(IFERROR(INDEX(Setup!$G$33:$G$40,MATCH(S641,Setup!$B$33:$B$40,0)),0)=1)*(COUNTIF(S608:U625,$B641)+COUNTIF(S608:U625,$B641&amp;" ~*")&gt;0)+(IFERROR(INDEX(Setup!$G$33:$G$40,MATCH(W641,Setup!$B$33:$B$40,0)),0)=1)*(COUNTIF(W608:W625,$B641)+COUNTIF(W608:W625,$B641&amp;" ~*")&gt;0)+(IFERROR(INDEX(Setup!$G$33:$G$40,MATCH(Y641,Setup!$B$33:$B$40,0)),0)=1)*(COUNTIF(Y608:Y625,$B641)+COUNTIF(Y608:Y625,$B641&amp;" ~*")&gt;0))</f>
        <v/>
      </c>
    </row>
    <row r="642" ht="15" customHeight="1">
      <c r="A642" t="n">
        <v>13</v>
      </c>
      <c r="B642" s="37">
        <f>IF(Setup!$B$21="","",Setup!$B$21)</f>
        <v/>
      </c>
      <c r="C642" s="102" t="n"/>
      <c r="D642" s="103" t="n"/>
      <c r="E642" s="103" t="n"/>
      <c r="F642" s="104" t="n"/>
      <c r="G642" s="102" t="inlineStr">
        <is>
          <t>AL</t>
        </is>
      </c>
      <c r="H642" s="103" t="n"/>
      <c r="I642" s="103" t="n"/>
      <c r="J642" s="104" t="n"/>
      <c r="K642" s="102" t="inlineStr">
        <is>
          <t>AL</t>
        </is>
      </c>
      <c r="L642" s="103" t="n"/>
      <c r="M642" s="103" t="n"/>
      <c r="N642" s="104" t="n"/>
      <c r="O642" s="102" t="n"/>
      <c r="P642" s="103" t="n"/>
      <c r="Q642" s="103" t="n"/>
      <c r="R642" s="104" t="n"/>
      <c r="S642" s="102" t="n"/>
      <c r="T642" s="103" t="n"/>
      <c r="U642" s="103" t="n"/>
      <c r="V642" s="104" t="n"/>
      <c r="W642" s="102" t="n"/>
      <c r="X642" s="104" t="n"/>
      <c r="Y642" s="102" t="n"/>
      <c r="Z642" s="104" t="n"/>
      <c r="AB642" s="105">
        <f>IF($B642="","",(COUNTIF(C608:E625,$B642)+COUNTIF(C608:E625,$B642&amp;" ~*")&gt;0)+(COUNTIF(G608:I625,$B642)+COUNTIF(G608:I625,$B642&amp;" ~*")&gt;0)+(COUNTIF(K608:M625,$B642)+COUNTIF(K608:M625,$B642&amp;" ~*")&gt;0)+(COUNTIF(O608:Q625,$B642)+COUNTIF(O608:Q625,$B642&amp;" ~*")&gt;0)+(COUNTIF(S608:U625,$B642)+COUNTIF(S608:U625,$B642&amp;" ~*")&gt;0)+(COUNTIF(W608:W625,$B642)+COUNTIF(W608:W625,$B642&amp;" ~*")&gt;0)+(COUNTIF(Y608:Y625,$B642)+COUNTIF(Y608:Y625,$B642&amp;" ~*")&gt;0))</f>
        <v/>
      </c>
      <c r="AC642" s="38">
        <f>IF($B642="","",(IFERROR(INDEX(Setup!$G$33:$G$40,MATCH(C642,Setup!$B$33:$B$40,0)),0)=1)*(COUNTIF(C608:E625,$B642)+COUNTIF(C608:E625,$B642&amp;" ~*")&gt;0)+(IFERROR(INDEX(Setup!$G$33:$G$40,MATCH(G642,Setup!$B$33:$B$40,0)),0)=1)*(COUNTIF(G608:I625,$B642)+COUNTIF(G608:I625,$B642&amp;" ~*")&gt;0)+(IFERROR(INDEX(Setup!$G$33:$G$40,MATCH(K642,Setup!$B$33:$B$40,0)),0)=1)*(COUNTIF(K608:M625,$B642)+COUNTIF(K608:M625,$B642&amp;" ~*")&gt;0)+(IFERROR(INDEX(Setup!$G$33:$G$40,MATCH(O642,Setup!$B$33:$B$40,0)),0)=1)*(COUNTIF(O608:Q625,$B642)+COUNTIF(O608:Q625,$B642&amp;" ~*")&gt;0)+(IFERROR(INDEX(Setup!$G$33:$G$40,MATCH(S642,Setup!$B$33:$B$40,0)),0)=1)*(COUNTIF(S608:U625,$B642)+COUNTIF(S608:U625,$B642&amp;" ~*")&gt;0)+(IFERROR(INDEX(Setup!$G$33:$G$40,MATCH(W642,Setup!$B$33:$B$40,0)),0)=1)*(COUNTIF(W608:W625,$B642)+COUNTIF(W608:W625,$B642&amp;" ~*")&gt;0)+(IFERROR(INDEX(Setup!$G$33:$G$40,MATCH(Y642,Setup!$B$33:$B$40,0)),0)=1)*(COUNTIF(Y608:Y625,$B642)+COUNTIF(Y608:Y625,$B642&amp;" ~*")&gt;0))</f>
        <v/>
      </c>
    </row>
    <row r="643" ht="15" customHeight="1">
      <c r="A643" t="n">
        <v>13</v>
      </c>
      <c r="B643" s="35">
        <f>IF(Setup!$B$22="","",Setup!$B$22)</f>
        <v/>
      </c>
      <c r="C643" s="98" t="n"/>
      <c r="D643" s="99" t="n"/>
      <c r="E643" s="99" t="n"/>
      <c r="F643" s="100" t="n"/>
      <c r="G643" s="98" t="inlineStr">
        <is>
          <t>AL</t>
        </is>
      </c>
      <c r="H643" s="99" t="n"/>
      <c r="I643" s="99" t="n"/>
      <c r="J643" s="100" t="n"/>
      <c r="K643" s="98" t="inlineStr">
        <is>
          <t>AL</t>
        </is>
      </c>
      <c r="L643" s="99" t="n"/>
      <c r="M643" s="99" t="n"/>
      <c r="N643" s="100" t="n"/>
      <c r="O643" s="98" t="inlineStr">
        <is>
          <t>AL</t>
        </is>
      </c>
      <c r="P643" s="99" t="n"/>
      <c r="Q643" s="99" t="n"/>
      <c r="R643" s="100" t="n"/>
      <c r="S643" s="98" t="inlineStr">
        <is>
          <t>AL</t>
        </is>
      </c>
      <c r="T643" s="99" t="n"/>
      <c r="U643" s="99" t="n"/>
      <c r="V643" s="100" t="n"/>
      <c r="W643" s="98" t="n"/>
      <c r="X643" s="100" t="n"/>
      <c r="Y643" s="98" t="n"/>
      <c r="Z643" s="100" t="n"/>
      <c r="AB643" s="101">
        <f>IF($B643="","",(COUNTIF(C608:E625,$B643)+COUNTIF(C608:E625,$B643&amp;" ~*")&gt;0)+(COUNTIF(G608:I625,$B643)+COUNTIF(G608:I625,$B643&amp;" ~*")&gt;0)+(COUNTIF(K608:M625,$B643)+COUNTIF(K608:M625,$B643&amp;" ~*")&gt;0)+(COUNTIF(O608:Q625,$B643)+COUNTIF(O608:Q625,$B643&amp;" ~*")&gt;0)+(COUNTIF(S608:U625,$B643)+COUNTIF(S608:U625,$B643&amp;" ~*")&gt;0)+(COUNTIF(W608:W625,$B643)+COUNTIF(W608:W625,$B643&amp;" ~*")&gt;0)+(COUNTIF(Y608:Y625,$B643)+COUNTIF(Y608:Y625,$B643&amp;" ~*")&gt;0))</f>
        <v/>
      </c>
      <c r="AC643" s="36">
        <f>IF($B643="","",(IFERROR(INDEX(Setup!$G$33:$G$40,MATCH(C643,Setup!$B$33:$B$40,0)),0)=1)*(COUNTIF(C608:E625,$B643)+COUNTIF(C608:E625,$B643&amp;" ~*")&gt;0)+(IFERROR(INDEX(Setup!$G$33:$G$40,MATCH(G643,Setup!$B$33:$B$40,0)),0)=1)*(COUNTIF(G608:I625,$B643)+COUNTIF(G608:I625,$B643&amp;" ~*")&gt;0)+(IFERROR(INDEX(Setup!$G$33:$G$40,MATCH(K643,Setup!$B$33:$B$40,0)),0)=1)*(COUNTIF(K608:M625,$B643)+COUNTIF(K608:M625,$B643&amp;" ~*")&gt;0)+(IFERROR(INDEX(Setup!$G$33:$G$40,MATCH(O643,Setup!$B$33:$B$40,0)),0)=1)*(COUNTIF(O608:Q625,$B643)+COUNTIF(O608:Q625,$B643&amp;" ~*")&gt;0)+(IFERROR(INDEX(Setup!$G$33:$G$40,MATCH(S643,Setup!$B$33:$B$40,0)),0)=1)*(COUNTIF(S608:U625,$B643)+COUNTIF(S608:U625,$B643&amp;" ~*")&gt;0)+(IFERROR(INDEX(Setup!$G$33:$G$40,MATCH(W643,Setup!$B$33:$B$40,0)),0)=1)*(COUNTIF(W608:W625,$B643)+COUNTIF(W608:W625,$B643&amp;" ~*")&gt;0)+(IFERROR(INDEX(Setup!$G$33:$G$40,MATCH(Y643,Setup!$B$33:$B$40,0)),0)=1)*(COUNTIF(Y608:Y625,$B643)+COUNTIF(Y608:Y625,$B643&amp;" ~*")&gt;0))</f>
        <v/>
      </c>
    </row>
    <row r="644" ht="15" customHeight="1">
      <c r="A644" t="n">
        <v>13</v>
      </c>
      <c r="B644" s="37">
        <f>IF(Setup!$B$23="","",Setup!$B$23)</f>
        <v/>
      </c>
      <c r="C644" s="102" t="n"/>
      <c r="D644" s="103" t="n"/>
      <c r="E644" s="103" t="n"/>
      <c r="F644" s="104" t="n"/>
      <c r="G644" s="102" t="n"/>
      <c r="H644" s="103" t="n"/>
      <c r="I644" s="103" t="n"/>
      <c r="J644" s="104" t="n"/>
      <c r="K644" s="102" t="n"/>
      <c r="L644" s="103" t="n"/>
      <c r="M644" s="103" t="n"/>
      <c r="N644" s="104" t="n"/>
      <c r="O644" s="102" t="n"/>
      <c r="P644" s="103" t="n"/>
      <c r="Q644" s="103" t="n"/>
      <c r="R644" s="104" t="n"/>
      <c r="S644" s="102" t="n"/>
      <c r="T644" s="103" t="n"/>
      <c r="U644" s="103" t="n"/>
      <c r="V644" s="104" t="n"/>
      <c r="W644" s="102" t="n"/>
      <c r="X644" s="104" t="n"/>
      <c r="Y644" s="102" t="n"/>
      <c r="Z644" s="104" t="n"/>
      <c r="AB644" s="105">
        <f>IF($B644="","",(COUNTIF(C608:E625,$B644)+COUNTIF(C608:E625,$B644&amp;" ~*")&gt;0)+(COUNTIF(G608:I625,$B644)+COUNTIF(G608:I625,$B644&amp;" ~*")&gt;0)+(COUNTIF(K608:M625,$B644)+COUNTIF(K608:M625,$B644&amp;" ~*")&gt;0)+(COUNTIF(O608:Q625,$B644)+COUNTIF(O608:Q625,$B644&amp;" ~*")&gt;0)+(COUNTIF(S608:U625,$B644)+COUNTIF(S608:U625,$B644&amp;" ~*")&gt;0)+(COUNTIF(W608:W625,$B644)+COUNTIF(W608:W625,$B644&amp;" ~*")&gt;0)+(COUNTIF(Y608:Y625,$B644)+COUNTIF(Y608:Y625,$B644&amp;" ~*")&gt;0))</f>
        <v/>
      </c>
      <c r="AC644" s="38">
        <f>IF($B644="","",(IFERROR(INDEX(Setup!$G$33:$G$40,MATCH(C644,Setup!$B$33:$B$40,0)),0)=1)*(COUNTIF(C608:E625,$B644)+COUNTIF(C608:E625,$B644&amp;" ~*")&gt;0)+(IFERROR(INDEX(Setup!$G$33:$G$40,MATCH(G644,Setup!$B$33:$B$40,0)),0)=1)*(COUNTIF(G608:I625,$B644)+COUNTIF(G608:I625,$B644&amp;" ~*")&gt;0)+(IFERROR(INDEX(Setup!$G$33:$G$40,MATCH(K644,Setup!$B$33:$B$40,0)),0)=1)*(COUNTIF(K608:M625,$B644)+COUNTIF(K608:M625,$B644&amp;" ~*")&gt;0)+(IFERROR(INDEX(Setup!$G$33:$G$40,MATCH(O644,Setup!$B$33:$B$40,0)),0)=1)*(COUNTIF(O608:Q625,$B644)+COUNTIF(O608:Q625,$B644&amp;" ~*")&gt;0)+(IFERROR(INDEX(Setup!$G$33:$G$40,MATCH(S644,Setup!$B$33:$B$40,0)),0)=1)*(COUNTIF(S608:U625,$B644)+COUNTIF(S608:U625,$B644&amp;" ~*")&gt;0)+(IFERROR(INDEX(Setup!$G$33:$G$40,MATCH(W644,Setup!$B$33:$B$40,0)),0)=1)*(COUNTIF(W608:W625,$B644)+COUNTIF(W608:W625,$B644&amp;" ~*")&gt;0)+(IFERROR(INDEX(Setup!$G$33:$G$40,MATCH(Y644,Setup!$B$33:$B$40,0)),0)=1)*(COUNTIF(Y608:Y625,$B644)+COUNTIF(Y608:Y625,$B644&amp;" ~*")&gt;0))</f>
        <v/>
      </c>
    </row>
    <row r="645" ht="15" customHeight="1">
      <c r="A645" t="n">
        <v>13</v>
      </c>
      <c r="B645" s="35">
        <f>IF(Setup!$B$24="","",Setup!$B$24)</f>
        <v/>
      </c>
      <c r="C645" s="98" t="n"/>
      <c r="D645" s="99" t="n"/>
      <c r="E645" s="99" t="n"/>
      <c r="F645" s="100" t="n"/>
      <c r="G645" s="98" t="n"/>
      <c r="H645" s="99" t="n"/>
      <c r="I645" s="99" t="n"/>
      <c r="J645" s="100" t="n"/>
      <c r="K645" s="98" t="n"/>
      <c r="L645" s="99" t="n"/>
      <c r="M645" s="99" t="n"/>
      <c r="N645" s="100" t="n"/>
      <c r="O645" s="98" t="n"/>
      <c r="P645" s="99" t="n"/>
      <c r="Q645" s="99" t="n"/>
      <c r="R645" s="100" t="n"/>
      <c r="S645" s="98" t="n"/>
      <c r="T645" s="99" t="n"/>
      <c r="U645" s="99" t="n"/>
      <c r="V645" s="100" t="n"/>
      <c r="W645" s="98" t="n"/>
      <c r="X645" s="100" t="n"/>
      <c r="Y645" s="98" t="n"/>
      <c r="Z645" s="100" t="n"/>
      <c r="AB645" s="101">
        <f>IF($B645="","",(COUNTIF(C608:E625,$B645)+COUNTIF(C608:E625,$B645&amp;" ~*")&gt;0)+(COUNTIF(G608:I625,$B645)+COUNTIF(G608:I625,$B645&amp;" ~*")&gt;0)+(COUNTIF(K608:M625,$B645)+COUNTIF(K608:M625,$B645&amp;" ~*")&gt;0)+(COUNTIF(O608:Q625,$B645)+COUNTIF(O608:Q625,$B645&amp;" ~*")&gt;0)+(COUNTIF(S608:U625,$B645)+COUNTIF(S608:U625,$B645&amp;" ~*")&gt;0)+(COUNTIF(W608:W625,$B645)+COUNTIF(W608:W625,$B645&amp;" ~*")&gt;0)+(COUNTIF(Y608:Y625,$B645)+COUNTIF(Y608:Y625,$B645&amp;" ~*")&gt;0))</f>
        <v/>
      </c>
      <c r="AC645" s="36">
        <f>IF($B645="","",(IFERROR(INDEX(Setup!$G$33:$G$40,MATCH(C645,Setup!$B$33:$B$40,0)),0)=1)*(COUNTIF(C608:E625,$B645)+COUNTIF(C608:E625,$B645&amp;" ~*")&gt;0)+(IFERROR(INDEX(Setup!$G$33:$G$40,MATCH(G645,Setup!$B$33:$B$40,0)),0)=1)*(COUNTIF(G608:I625,$B645)+COUNTIF(G608:I625,$B645&amp;" ~*")&gt;0)+(IFERROR(INDEX(Setup!$G$33:$G$40,MATCH(K645,Setup!$B$33:$B$40,0)),0)=1)*(COUNTIF(K608:M625,$B645)+COUNTIF(K608:M625,$B645&amp;" ~*")&gt;0)+(IFERROR(INDEX(Setup!$G$33:$G$40,MATCH(O645,Setup!$B$33:$B$40,0)),0)=1)*(COUNTIF(O608:Q625,$B645)+COUNTIF(O608:Q625,$B645&amp;" ~*")&gt;0)+(IFERROR(INDEX(Setup!$G$33:$G$40,MATCH(S645,Setup!$B$33:$B$40,0)),0)=1)*(COUNTIF(S608:U625,$B645)+COUNTIF(S608:U625,$B645&amp;" ~*")&gt;0)+(IFERROR(INDEX(Setup!$G$33:$G$40,MATCH(W645,Setup!$B$33:$B$40,0)),0)=1)*(COUNTIF(W608:W625,$B645)+COUNTIF(W608:W625,$B645&amp;" ~*")&gt;0)+(IFERROR(INDEX(Setup!$G$33:$G$40,MATCH(Y645,Setup!$B$33:$B$40,0)),0)=1)*(COUNTIF(Y608:Y625,$B645)+COUNTIF(Y608:Y625,$B645&amp;" ~*")&gt;0))</f>
        <v/>
      </c>
    </row>
    <row r="646" ht="15" customHeight="1">
      <c r="A646" t="n">
        <v>13</v>
      </c>
      <c r="B646" s="37">
        <f>IF(Setup!$B$25="","",Setup!$B$25)</f>
        <v/>
      </c>
      <c r="C646" s="102" t="n"/>
      <c r="D646" s="103" t="n"/>
      <c r="E646" s="103" t="n"/>
      <c r="F646" s="104" t="n"/>
      <c r="G646" s="102" t="n"/>
      <c r="H646" s="103" t="n"/>
      <c r="I646" s="103" t="n"/>
      <c r="J646" s="104" t="n"/>
      <c r="K646" s="102" t="n"/>
      <c r="L646" s="103" t="n"/>
      <c r="M646" s="103" t="n"/>
      <c r="N646" s="104" t="n"/>
      <c r="O646" s="102" t="n"/>
      <c r="P646" s="103" t="n"/>
      <c r="Q646" s="103" t="n"/>
      <c r="R646" s="104" t="n"/>
      <c r="S646" s="102" t="n"/>
      <c r="T646" s="103" t="n"/>
      <c r="U646" s="103" t="n"/>
      <c r="V646" s="104" t="n"/>
      <c r="W646" s="102" t="n"/>
      <c r="X646" s="104" t="n"/>
      <c r="Y646" s="102" t="n"/>
      <c r="Z646" s="104" t="n"/>
      <c r="AB646" s="105">
        <f>IF($B646="","",(COUNTIF(C608:E625,$B646)+COUNTIF(C608:E625,$B646&amp;" ~*")&gt;0)+(COUNTIF(G608:I625,$B646)+COUNTIF(G608:I625,$B646&amp;" ~*")&gt;0)+(COUNTIF(K608:M625,$B646)+COUNTIF(K608:M625,$B646&amp;" ~*")&gt;0)+(COUNTIF(O608:Q625,$B646)+COUNTIF(O608:Q625,$B646&amp;" ~*")&gt;0)+(COUNTIF(S608:U625,$B646)+COUNTIF(S608:U625,$B646&amp;" ~*")&gt;0)+(COUNTIF(W608:W625,$B646)+COUNTIF(W608:W625,$B646&amp;" ~*")&gt;0)+(COUNTIF(Y608:Y625,$B646)+COUNTIF(Y608:Y625,$B646&amp;" ~*")&gt;0))</f>
        <v/>
      </c>
      <c r="AC646" s="38">
        <f>IF($B646="","",(IFERROR(INDEX(Setup!$G$33:$G$40,MATCH(C646,Setup!$B$33:$B$40,0)),0)=1)*(COUNTIF(C608:E625,$B646)+COUNTIF(C608:E625,$B646&amp;" ~*")&gt;0)+(IFERROR(INDEX(Setup!$G$33:$G$40,MATCH(G646,Setup!$B$33:$B$40,0)),0)=1)*(COUNTIF(G608:I625,$B646)+COUNTIF(G608:I625,$B646&amp;" ~*")&gt;0)+(IFERROR(INDEX(Setup!$G$33:$G$40,MATCH(K646,Setup!$B$33:$B$40,0)),0)=1)*(COUNTIF(K608:M625,$B646)+COUNTIF(K608:M625,$B646&amp;" ~*")&gt;0)+(IFERROR(INDEX(Setup!$G$33:$G$40,MATCH(O646,Setup!$B$33:$B$40,0)),0)=1)*(COUNTIF(O608:Q625,$B646)+COUNTIF(O608:Q625,$B646&amp;" ~*")&gt;0)+(IFERROR(INDEX(Setup!$G$33:$G$40,MATCH(S646,Setup!$B$33:$B$40,0)),0)=1)*(COUNTIF(S608:U625,$B646)+COUNTIF(S608:U625,$B646&amp;" ~*")&gt;0)+(IFERROR(INDEX(Setup!$G$33:$G$40,MATCH(W646,Setup!$B$33:$B$40,0)),0)=1)*(COUNTIF(W608:W625,$B646)+COUNTIF(W608:W625,$B646&amp;" ~*")&gt;0)+(IFERROR(INDEX(Setup!$G$33:$G$40,MATCH(Y646,Setup!$B$33:$B$40,0)),0)=1)*(COUNTIF(Y608:Y625,$B646)+COUNTIF(Y608:Y625,$B646&amp;" ~*")&gt;0))</f>
        <v/>
      </c>
    </row>
    <row r="647" ht="15" customHeight="1">
      <c r="A647" t="n">
        <v>13</v>
      </c>
      <c r="B647" s="35">
        <f>IF(Setup!$B$26="","",Setup!$B$26)</f>
        <v/>
      </c>
      <c r="C647" s="98" t="n"/>
      <c r="D647" s="99" t="n"/>
      <c r="E647" s="99" t="n"/>
      <c r="F647" s="100" t="n"/>
      <c r="G647" s="98" t="n"/>
      <c r="H647" s="99" t="n"/>
      <c r="I647" s="99" t="n"/>
      <c r="J647" s="100" t="n"/>
      <c r="K647" s="98" t="n"/>
      <c r="L647" s="99" t="n"/>
      <c r="M647" s="99" t="n"/>
      <c r="N647" s="100" t="n"/>
      <c r="O647" s="98" t="n"/>
      <c r="P647" s="99" t="n"/>
      <c r="Q647" s="99" t="n"/>
      <c r="R647" s="100" t="n"/>
      <c r="S647" s="98" t="n"/>
      <c r="T647" s="99" t="n"/>
      <c r="U647" s="99" t="n"/>
      <c r="V647" s="100" t="n"/>
      <c r="W647" s="98" t="n"/>
      <c r="X647" s="100" t="n"/>
      <c r="Y647" s="98" t="n"/>
      <c r="Z647" s="100" t="n"/>
      <c r="AB647" s="101">
        <f>IF($B647="","",(COUNTIF(C608:E625,$B647)+COUNTIF(C608:E625,$B647&amp;" ~*")&gt;0)+(COUNTIF(G608:I625,$B647)+COUNTIF(G608:I625,$B647&amp;" ~*")&gt;0)+(COUNTIF(K608:M625,$B647)+COUNTIF(K608:M625,$B647&amp;" ~*")&gt;0)+(COUNTIF(O608:Q625,$B647)+COUNTIF(O608:Q625,$B647&amp;" ~*")&gt;0)+(COUNTIF(S608:U625,$B647)+COUNTIF(S608:U625,$B647&amp;" ~*")&gt;0)+(COUNTIF(W608:W625,$B647)+COUNTIF(W608:W625,$B647&amp;" ~*")&gt;0)+(COUNTIF(Y608:Y625,$B647)+COUNTIF(Y608:Y625,$B647&amp;" ~*")&gt;0))</f>
        <v/>
      </c>
      <c r="AC647" s="36">
        <f>IF($B647="","",(IFERROR(INDEX(Setup!$G$33:$G$40,MATCH(C647,Setup!$B$33:$B$40,0)),0)=1)*(COUNTIF(C608:E625,$B647)+COUNTIF(C608:E625,$B647&amp;" ~*")&gt;0)+(IFERROR(INDEX(Setup!$G$33:$G$40,MATCH(G647,Setup!$B$33:$B$40,0)),0)=1)*(COUNTIF(G608:I625,$B647)+COUNTIF(G608:I625,$B647&amp;" ~*")&gt;0)+(IFERROR(INDEX(Setup!$G$33:$G$40,MATCH(K647,Setup!$B$33:$B$40,0)),0)=1)*(COUNTIF(K608:M625,$B647)+COUNTIF(K608:M625,$B647&amp;" ~*")&gt;0)+(IFERROR(INDEX(Setup!$G$33:$G$40,MATCH(O647,Setup!$B$33:$B$40,0)),0)=1)*(COUNTIF(O608:Q625,$B647)+COUNTIF(O608:Q625,$B647&amp;" ~*")&gt;0)+(IFERROR(INDEX(Setup!$G$33:$G$40,MATCH(S647,Setup!$B$33:$B$40,0)),0)=1)*(COUNTIF(S608:U625,$B647)+COUNTIF(S608:U625,$B647&amp;" ~*")&gt;0)+(IFERROR(INDEX(Setup!$G$33:$G$40,MATCH(W647,Setup!$B$33:$B$40,0)),0)=1)*(COUNTIF(W608:W625,$B647)+COUNTIF(W608:W625,$B647&amp;" ~*")&gt;0)+(IFERROR(INDEX(Setup!$G$33:$G$40,MATCH(Y647,Setup!$B$33:$B$40,0)),0)=1)*(COUNTIF(Y608:Y625,$B647)+COUNTIF(Y608:Y625,$B647&amp;" ~*")&gt;0))</f>
        <v/>
      </c>
    </row>
    <row r="648" ht="15" customHeight="1">
      <c r="A648" t="n">
        <v>13</v>
      </c>
      <c r="B648" s="37">
        <f>IF(Setup!$B$27="","",Setup!$B$27)</f>
        <v/>
      </c>
      <c r="C648" s="102" t="n"/>
      <c r="D648" s="103" t="n"/>
      <c r="E648" s="103" t="n"/>
      <c r="F648" s="104" t="n"/>
      <c r="G648" s="102" t="n"/>
      <c r="H648" s="103" t="n"/>
      <c r="I648" s="103" t="n"/>
      <c r="J648" s="104" t="n"/>
      <c r="K648" s="102" t="n"/>
      <c r="L648" s="103" t="n"/>
      <c r="M648" s="103" t="n"/>
      <c r="N648" s="104" t="n"/>
      <c r="O648" s="102" t="n"/>
      <c r="P648" s="103" t="n"/>
      <c r="Q648" s="103" t="n"/>
      <c r="R648" s="104" t="n"/>
      <c r="S648" s="102" t="n"/>
      <c r="T648" s="103" t="n"/>
      <c r="U648" s="103" t="n"/>
      <c r="V648" s="104" t="n"/>
      <c r="W648" s="102" t="n"/>
      <c r="X648" s="104" t="n"/>
      <c r="Y648" s="102" t="n"/>
      <c r="Z648" s="104" t="n"/>
      <c r="AB648" s="105">
        <f>IF($B648="","",(COUNTIF(C608:E625,$B648)+COUNTIF(C608:E625,$B648&amp;" ~*")&gt;0)+(COUNTIF(G608:I625,$B648)+COUNTIF(G608:I625,$B648&amp;" ~*")&gt;0)+(COUNTIF(K608:M625,$B648)+COUNTIF(K608:M625,$B648&amp;" ~*")&gt;0)+(COUNTIF(O608:Q625,$B648)+COUNTIF(O608:Q625,$B648&amp;" ~*")&gt;0)+(COUNTIF(S608:U625,$B648)+COUNTIF(S608:U625,$B648&amp;" ~*")&gt;0)+(COUNTIF(W608:W625,$B648)+COUNTIF(W608:W625,$B648&amp;" ~*")&gt;0)+(COUNTIF(Y608:Y625,$B648)+COUNTIF(Y608:Y625,$B648&amp;" ~*")&gt;0))</f>
        <v/>
      </c>
      <c r="AC648" s="38">
        <f>IF($B648="","",(IFERROR(INDEX(Setup!$G$33:$G$40,MATCH(C648,Setup!$B$33:$B$40,0)),0)=1)*(COUNTIF(C608:E625,$B648)+COUNTIF(C608:E625,$B648&amp;" ~*")&gt;0)+(IFERROR(INDEX(Setup!$G$33:$G$40,MATCH(G648,Setup!$B$33:$B$40,0)),0)=1)*(COUNTIF(G608:I625,$B648)+COUNTIF(G608:I625,$B648&amp;" ~*")&gt;0)+(IFERROR(INDEX(Setup!$G$33:$G$40,MATCH(K648,Setup!$B$33:$B$40,0)),0)=1)*(COUNTIF(K608:M625,$B648)+COUNTIF(K608:M625,$B648&amp;" ~*")&gt;0)+(IFERROR(INDEX(Setup!$G$33:$G$40,MATCH(O648,Setup!$B$33:$B$40,0)),0)=1)*(COUNTIF(O608:Q625,$B648)+COUNTIF(O608:Q625,$B648&amp;" ~*")&gt;0)+(IFERROR(INDEX(Setup!$G$33:$G$40,MATCH(S648,Setup!$B$33:$B$40,0)),0)=1)*(COUNTIF(S608:U625,$B648)+COUNTIF(S608:U625,$B648&amp;" ~*")&gt;0)+(IFERROR(INDEX(Setup!$G$33:$G$40,MATCH(W648,Setup!$B$33:$B$40,0)),0)=1)*(COUNTIF(W608:W625,$B648)+COUNTIF(W608:W625,$B648&amp;" ~*")&gt;0)+(IFERROR(INDEX(Setup!$G$33:$G$40,MATCH(Y648,Setup!$B$33:$B$40,0)),0)=1)*(COUNTIF(Y608:Y625,$B648)+COUNTIF(Y608:Y625,$B648&amp;" ~*")&gt;0))</f>
        <v/>
      </c>
    </row>
    <row r="649" ht="15" customHeight="1">
      <c r="A649" t="n">
        <v>13</v>
      </c>
      <c r="B649" s="35">
        <f>IF(Setup!$B$28="","",Setup!$B$28)</f>
        <v/>
      </c>
      <c r="C649" s="98" t="n"/>
      <c r="D649" s="99" t="n"/>
      <c r="E649" s="99" t="n"/>
      <c r="F649" s="100" t="n"/>
      <c r="G649" s="98" t="n"/>
      <c r="H649" s="99" t="n"/>
      <c r="I649" s="99" t="n"/>
      <c r="J649" s="100" t="n"/>
      <c r="K649" s="98" t="n"/>
      <c r="L649" s="99" t="n"/>
      <c r="M649" s="99" t="n"/>
      <c r="N649" s="100" t="n"/>
      <c r="O649" s="98" t="n"/>
      <c r="P649" s="99" t="n"/>
      <c r="Q649" s="99" t="n"/>
      <c r="R649" s="100" t="n"/>
      <c r="S649" s="98" t="n"/>
      <c r="T649" s="99" t="n"/>
      <c r="U649" s="99" t="n"/>
      <c r="V649" s="100" t="n"/>
      <c r="W649" s="98" t="n"/>
      <c r="X649" s="100" t="n"/>
      <c r="Y649" s="98" t="n"/>
      <c r="Z649" s="100" t="n"/>
      <c r="AB649" s="101">
        <f>IF($B649="","",(COUNTIF(C608:E625,$B649)+COUNTIF(C608:E625,$B649&amp;" ~*")&gt;0)+(COUNTIF(G608:I625,$B649)+COUNTIF(G608:I625,$B649&amp;" ~*")&gt;0)+(COUNTIF(K608:M625,$B649)+COUNTIF(K608:M625,$B649&amp;" ~*")&gt;0)+(COUNTIF(O608:Q625,$B649)+COUNTIF(O608:Q625,$B649&amp;" ~*")&gt;0)+(COUNTIF(S608:U625,$B649)+COUNTIF(S608:U625,$B649&amp;" ~*")&gt;0)+(COUNTIF(W608:W625,$B649)+COUNTIF(W608:W625,$B649&amp;" ~*")&gt;0)+(COUNTIF(Y608:Y625,$B649)+COUNTIF(Y608:Y625,$B649&amp;" ~*")&gt;0))</f>
        <v/>
      </c>
      <c r="AC649" s="36">
        <f>IF($B649="","",(IFERROR(INDEX(Setup!$G$33:$G$40,MATCH(C649,Setup!$B$33:$B$40,0)),0)=1)*(COUNTIF(C608:E625,$B649)+COUNTIF(C608:E625,$B649&amp;" ~*")&gt;0)+(IFERROR(INDEX(Setup!$G$33:$G$40,MATCH(G649,Setup!$B$33:$B$40,0)),0)=1)*(COUNTIF(G608:I625,$B649)+COUNTIF(G608:I625,$B649&amp;" ~*")&gt;0)+(IFERROR(INDEX(Setup!$G$33:$G$40,MATCH(K649,Setup!$B$33:$B$40,0)),0)=1)*(COUNTIF(K608:M625,$B649)+COUNTIF(K608:M625,$B649&amp;" ~*")&gt;0)+(IFERROR(INDEX(Setup!$G$33:$G$40,MATCH(O649,Setup!$B$33:$B$40,0)),0)=1)*(COUNTIF(O608:Q625,$B649)+COUNTIF(O608:Q625,$B649&amp;" ~*")&gt;0)+(IFERROR(INDEX(Setup!$G$33:$G$40,MATCH(S649,Setup!$B$33:$B$40,0)),0)=1)*(COUNTIF(S608:U625,$B649)+COUNTIF(S608:U625,$B649&amp;" ~*")&gt;0)+(IFERROR(INDEX(Setup!$G$33:$G$40,MATCH(W649,Setup!$B$33:$B$40,0)),0)=1)*(COUNTIF(W608:W625,$B649)+COUNTIF(W608:W625,$B649&amp;" ~*")&gt;0)+(IFERROR(INDEX(Setup!$G$33:$G$40,MATCH(Y649,Setup!$B$33:$B$40,0)),0)=1)*(COUNTIF(Y608:Y625,$B649)+COUNTIF(Y608:Y625,$B649&amp;" ~*")&gt;0))</f>
        <v/>
      </c>
    </row>
    <row r="650" ht="15" customHeight="1">
      <c r="A650" t="n">
        <v>13</v>
      </c>
      <c r="B650" s="37">
        <f>IF(Setup!$B$29="","",Setup!$B$29)</f>
        <v/>
      </c>
      <c r="C650" s="102" t="n"/>
      <c r="D650" s="103" t="n"/>
      <c r="E650" s="103" t="n"/>
      <c r="F650" s="104" t="n"/>
      <c r="G650" s="102" t="n"/>
      <c r="H650" s="103" t="n"/>
      <c r="I650" s="103" t="n"/>
      <c r="J650" s="104" t="n"/>
      <c r="K650" s="102" t="n"/>
      <c r="L650" s="103" t="n"/>
      <c r="M650" s="103" t="n"/>
      <c r="N650" s="104" t="n"/>
      <c r="O650" s="102" t="n"/>
      <c r="P650" s="103" t="n"/>
      <c r="Q650" s="103" t="n"/>
      <c r="R650" s="104" t="n"/>
      <c r="S650" s="102" t="n"/>
      <c r="T650" s="103" t="n"/>
      <c r="U650" s="103" t="n"/>
      <c r="V650" s="104" t="n"/>
      <c r="W650" s="102" t="n"/>
      <c r="X650" s="104" t="n"/>
      <c r="Y650" s="102" t="n"/>
      <c r="Z650" s="104" t="n"/>
      <c r="AB650" s="105">
        <f>IF($B650="","",(COUNTIF(C608:E625,$B650)+COUNTIF(C608:E625,$B650&amp;" ~*")&gt;0)+(COUNTIF(G608:I625,$B650)+COUNTIF(G608:I625,$B650&amp;" ~*")&gt;0)+(COUNTIF(K608:M625,$B650)+COUNTIF(K608:M625,$B650&amp;" ~*")&gt;0)+(COUNTIF(O608:Q625,$B650)+COUNTIF(O608:Q625,$B650&amp;" ~*")&gt;0)+(COUNTIF(S608:U625,$B650)+COUNTIF(S608:U625,$B650&amp;" ~*")&gt;0)+(COUNTIF(W608:W625,$B650)+COUNTIF(W608:W625,$B650&amp;" ~*")&gt;0)+(COUNTIF(Y608:Y625,$B650)+COUNTIF(Y608:Y625,$B650&amp;" ~*")&gt;0))</f>
        <v/>
      </c>
      <c r="AC650" s="38">
        <f>IF($B650="","",(IFERROR(INDEX(Setup!$G$33:$G$40,MATCH(C650,Setup!$B$33:$B$40,0)),0)=1)*(COUNTIF(C608:E625,$B650)+COUNTIF(C608:E625,$B650&amp;" ~*")&gt;0)+(IFERROR(INDEX(Setup!$G$33:$G$40,MATCH(G650,Setup!$B$33:$B$40,0)),0)=1)*(COUNTIF(G608:I625,$B650)+COUNTIF(G608:I625,$B650&amp;" ~*")&gt;0)+(IFERROR(INDEX(Setup!$G$33:$G$40,MATCH(K650,Setup!$B$33:$B$40,0)),0)=1)*(COUNTIF(K608:M625,$B650)+COUNTIF(K608:M625,$B650&amp;" ~*")&gt;0)+(IFERROR(INDEX(Setup!$G$33:$G$40,MATCH(O650,Setup!$B$33:$B$40,0)),0)=1)*(COUNTIF(O608:Q625,$B650)+COUNTIF(O608:Q625,$B650&amp;" ~*")&gt;0)+(IFERROR(INDEX(Setup!$G$33:$G$40,MATCH(S650,Setup!$B$33:$B$40,0)),0)=1)*(COUNTIF(S608:U625,$B650)+COUNTIF(S608:U625,$B650&amp;" ~*")&gt;0)+(IFERROR(INDEX(Setup!$G$33:$G$40,MATCH(W650,Setup!$B$33:$B$40,0)),0)=1)*(COUNTIF(W608:W625,$B650)+COUNTIF(W608:W625,$B650&amp;" ~*")&gt;0)+(IFERROR(INDEX(Setup!$G$33:$G$40,MATCH(Y650,Setup!$B$33:$B$40,0)),0)=1)*(COUNTIF(Y608:Y625,$B650)+COUNTIF(Y608:Y625,$B650&amp;" ~*")&gt;0))</f>
        <v/>
      </c>
    </row>
    <row r="651" ht="16" customHeight="1">
      <c r="A651" t="n">
        <v>13</v>
      </c>
      <c r="B651" s="106" t="inlineStr">
        <is>
          <t>Available people</t>
        </is>
      </c>
      <c r="C651" s="107">
        <f>COUNTIFS(Setup!$E$6:$E$29,"Y",Setup!$B$6:$B$29,"?*")-SUMPRODUCT(COUNTIF(C627:C650,Setup!$F$33:$F$40))</f>
        <v/>
      </c>
      <c r="D651" s="107" t="n"/>
      <c r="E651" s="107" t="n"/>
      <c r="F651" s="107" t="n"/>
      <c r="G651" s="107">
        <f>COUNTIFS(Setup!$E$6:$E$29,"Y",Setup!$B$6:$B$29,"?*")-SUMPRODUCT(COUNTIF(G627:G650,Setup!$F$33:$F$40))</f>
        <v/>
      </c>
      <c r="H651" s="107" t="n"/>
      <c r="I651" s="107" t="n"/>
      <c r="J651" s="107" t="n"/>
      <c r="K651" s="107">
        <f>COUNTIFS(Setup!$E$6:$E$29,"Y",Setup!$B$6:$B$29,"?*")-SUMPRODUCT(COUNTIF(K627:K650,Setup!$F$33:$F$40))</f>
        <v/>
      </c>
      <c r="L651" s="107" t="n"/>
      <c r="M651" s="107" t="n"/>
      <c r="N651" s="107" t="n"/>
      <c r="O651" s="107">
        <f>COUNTIFS(Setup!$E$6:$E$29,"Y",Setup!$B$6:$B$29,"?*")-SUMPRODUCT(COUNTIF(O627:O650,Setup!$F$33:$F$40))</f>
        <v/>
      </c>
      <c r="P651" s="107" t="n"/>
      <c r="Q651" s="107" t="n"/>
      <c r="R651" s="107" t="n"/>
      <c r="S651" s="107">
        <f>COUNTIFS(Setup!$E$6:$E$29,"Y",Setup!$B$6:$B$29,"?*")-SUMPRODUCT(COUNTIF(S627:S650,Setup!$F$33:$F$40))</f>
        <v/>
      </c>
      <c r="T651" s="107" t="n"/>
      <c r="U651" s="107" t="n"/>
      <c r="V651" s="107" t="n"/>
      <c r="W651" s="107">
        <f>COUNTIFS(Setup!$E$6:$E$29,"Y",Setup!$B$6:$B$29,"?*")-SUMPRODUCT(COUNTIF(W627:W650,Setup!$F$33:$F$40))</f>
        <v/>
      </c>
      <c r="X651" s="107" t="n"/>
      <c r="Y651" s="107">
        <f>COUNTIFS(Setup!$E$6:$E$29,"Y",Setup!$B$6:$B$29,"?*")-SUMPRODUCT(COUNTIF(Y627:Y650,Setup!$F$33:$F$40))</f>
        <v/>
      </c>
      <c r="Z651" s="107" t="n"/>
      <c r="AB651" s="108">
        <f>SUM(AB627:AB650)</f>
        <v/>
      </c>
      <c r="AC651" s="109">
        <f>SUM(AC627:AC650)</f>
        <v/>
      </c>
    </row>
    <row r="652" ht="30" customHeight="1">
      <c r="A652" t="n">
        <v>13</v>
      </c>
      <c r="B652" s="110" t="inlineStr">
        <is>
          <t>Week notes</t>
        </is>
      </c>
      <c r="C652" s="111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112" t="n"/>
      <c r="R652" s="112" t="n"/>
      <c r="S652" s="112" t="n"/>
      <c r="T652" s="112" t="n"/>
      <c r="U652" s="112" t="n"/>
      <c r="V652" s="112" t="n"/>
      <c r="W652" s="112" t="n"/>
      <c r="X652" s="112" t="n"/>
      <c r="Y652" s="112" t="n"/>
      <c r="Z652" s="113" t="n"/>
    </row>
    <row r="653" ht="8" customHeight="1">
      <c r="A653" t="n">
        <v>13</v>
      </c>
    </row>
    <row r="654" ht="8" customHeight="1">
      <c r="A654" t="n">
        <v>13</v>
      </c>
    </row>
    <row r="655" ht="24" customHeight="1">
      <c r="A655" t="n">
        <v>14</v>
      </c>
      <c r="B655" s="73">
        <f>"WEEK 14     "&amp;TEXT(C656,"ddd d mmm")&amp;"  –  "&amp;TEXT(C656+6,"ddd d mmm yyyy")</f>
        <v/>
      </c>
      <c r="S655" s="74">
        <f>IF(TODAY()&lt;C656,"FUTURE",IF(TODAY()&gt;C656+6,"PAST","THIS WEEK"))</f>
        <v/>
      </c>
      <c r="W655" s="75">
        <f>IF(AND(Engine!$B$8=$AC$3,Engine!$B$9=$A655),"◀ ACTIVE WEEK","")</f>
        <v/>
      </c>
      <c r="AA655" s="76" t="n"/>
      <c r="AB655" s="77" t="inlineStr">
        <is>
          <t>◀ Prev</t>
        </is>
      </c>
      <c r="AC655" s="77" t="inlineStr">
        <is>
          <t>Next ▶</t>
        </is>
      </c>
    </row>
    <row r="656" ht="18" customHeight="1">
      <c r="A656" t="n">
        <v>14</v>
      </c>
      <c r="B656" s="78" t="inlineStr">
        <is>
          <t>DUTY</t>
        </is>
      </c>
      <c r="C656" s="79">
        <f>$AC$2+7*($A656-1)</f>
        <v/>
      </c>
      <c r="D656" s="80" t="n"/>
      <c r="E656" s="80" t="n"/>
      <c r="F656" s="81" t="n"/>
      <c r="G656" s="79">
        <f>C656+1</f>
        <v/>
      </c>
      <c r="H656" s="80" t="n"/>
      <c r="I656" s="80" t="n"/>
      <c r="J656" s="81" t="n"/>
      <c r="K656" s="79">
        <f>C656+2</f>
        <v/>
      </c>
      <c r="L656" s="80" t="n"/>
      <c r="M656" s="80" t="n"/>
      <c r="N656" s="81" t="n"/>
      <c r="O656" s="79">
        <f>C656+3</f>
        <v/>
      </c>
      <c r="P656" s="80" t="n"/>
      <c r="Q656" s="80" t="n"/>
      <c r="R656" s="81" t="n"/>
      <c r="S656" s="79">
        <f>C656+4</f>
        <v/>
      </c>
      <c r="T656" s="80" t="n"/>
      <c r="U656" s="80" t="n"/>
      <c r="V656" s="81" t="n"/>
      <c r="W656" s="82">
        <f>C656+5</f>
        <v/>
      </c>
      <c r="X656" s="83" t="n"/>
      <c r="Y656" s="82">
        <f>C656+6</f>
        <v/>
      </c>
      <c r="Z656" s="83" t="n"/>
      <c r="AB656" s="72" t="inlineStr">
        <is>
          <t>Gaps</t>
        </is>
      </c>
      <c r="AC656" s="72" t="inlineStr">
        <is>
          <t>Cover</t>
        </is>
      </c>
    </row>
    <row r="657" ht="14" customHeight="1">
      <c r="A657" t="n">
        <v>14</v>
      </c>
      <c r="B657" s="84" t="inlineStr">
        <is>
          <t>(from Setup)</t>
        </is>
      </c>
      <c r="C657" s="85" t="inlineStr">
        <is>
          <t>1</t>
        </is>
      </c>
      <c r="D657" s="85" t="inlineStr">
        <is>
          <t>2</t>
        </is>
      </c>
      <c r="E657" s="85" t="inlineStr">
        <is>
          <t>3</t>
        </is>
      </c>
      <c r="F657" s="85" t="inlineStr">
        <is>
          <t>Notes</t>
        </is>
      </c>
      <c r="G657" s="85" t="inlineStr">
        <is>
          <t>1</t>
        </is>
      </c>
      <c r="H657" s="85" t="inlineStr">
        <is>
          <t>2</t>
        </is>
      </c>
      <c r="I657" s="85" t="inlineStr">
        <is>
          <t>3</t>
        </is>
      </c>
      <c r="J657" s="85" t="inlineStr">
        <is>
          <t>Notes</t>
        </is>
      </c>
      <c r="K657" s="85" t="inlineStr">
        <is>
          <t>1</t>
        </is>
      </c>
      <c r="L657" s="85" t="inlineStr">
        <is>
          <t>2</t>
        </is>
      </c>
      <c r="M657" s="85" t="inlineStr">
        <is>
          <t>3</t>
        </is>
      </c>
      <c r="N657" s="85" t="inlineStr">
        <is>
          <t>Notes</t>
        </is>
      </c>
      <c r="O657" s="85" t="inlineStr">
        <is>
          <t>1</t>
        </is>
      </c>
      <c r="P657" s="85" t="inlineStr">
        <is>
          <t>2</t>
        </is>
      </c>
      <c r="Q657" s="85" t="inlineStr">
        <is>
          <t>3</t>
        </is>
      </c>
      <c r="R657" s="85" t="inlineStr">
        <is>
          <t>Notes</t>
        </is>
      </c>
      <c r="S657" s="85" t="inlineStr">
        <is>
          <t>1</t>
        </is>
      </c>
      <c r="T657" s="85" t="inlineStr">
        <is>
          <t>2</t>
        </is>
      </c>
      <c r="U657" s="85" t="inlineStr">
        <is>
          <t>3</t>
        </is>
      </c>
      <c r="V657" s="85" t="inlineStr">
        <is>
          <t>Notes</t>
        </is>
      </c>
      <c r="W657" s="85" t="inlineStr">
        <is>
          <t>Cover</t>
        </is>
      </c>
      <c r="X657" s="85" t="inlineStr">
        <is>
          <t>Notes</t>
        </is>
      </c>
      <c r="Y657" s="85" t="inlineStr">
        <is>
          <t>Cover</t>
        </is>
      </c>
      <c r="Z657" s="85" t="inlineStr">
        <is>
          <t>Notes</t>
        </is>
      </c>
      <c r="AB657" s="86" t="inlineStr">
        <is>
          <t>weekdays short</t>
        </is>
      </c>
      <c r="AC657" s="87" t="inlineStr"/>
    </row>
    <row r="658" ht="17" customHeight="1">
      <c r="A658" t="n">
        <v>14</v>
      </c>
      <c r="B658" s="24">
        <f>IF(Setup!$K$6="","",Setup!$K$6)</f>
        <v/>
      </c>
      <c r="C658" s="88" t="n"/>
      <c r="D658" s="88" t="n"/>
      <c r="E658" s="88" t="n"/>
      <c r="F658" s="89" t="n"/>
      <c r="G658" s="88" t="n"/>
      <c r="H658" s="88" t="n"/>
      <c r="I658" s="88" t="n"/>
      <c r="J658" s="89" t="n"/>
      <c r="K658" s="88" t="n"/>
      <c r="L658" s="88" t="n"/>
      <c r="M658" s="88" t="n"/>
      <c r="N658" s="89" t="n"/>
      <c r="O658" s="88" t="n"/>
      <c r="P658" s="88" t="n"/>
      <c r="Q658" s="88" t="n"/>
      <c r="R658" s="89" t="n"/>
      <c r="S658" s="88" t="n"/>
      <c r="T658" s="88" t="n"/>
      <c r="U658" s="88" t="n"/>
      <c r="V658" s="89" t="n"/>
      <c r="W658" s="88" t="n"/>
      <c r="X658" s="89" t="n"/>
      <c r="Y658" s="88" t="n"/>
      <c r="Z658" s="89" t="n"/>
      <c r="AB658" s="25">
        <f>IF($B658="","",(COUNTIF(C658:E658,"?*")&lt;N(INDEX(Setup!$L$6:$L$23,1)))+(COUNTIF(G658:I658,"?*")&lt;N(INDEX(Setup!$L$6:$L$23,1)))+(COUNTIF(K658:M658,"?*")&lt;N(INDEX(Setup!$L$6:$L$23,1)))+(COUNTIF(O658:Q658,"?*")&lt;N(INDEX(Setup!$L$6:$L$23,1)))+(COUNTIF(S658:U658,"?*")&lt;N(INDEX(Setup!$L$6:$L$23,1)))+((W658="")*(INDEX(Setup!$M$6:$M$23,1)="Y"))+((Y658="")*(INDEX(Setup!$M$6:$M$23,1)="Y")))</f>
        <v/>
      </c>
      <c r="AC658" s="90">
        <f>IF($B658="","",IF(AB658=0,"✓ covered","⚠ "&amp;AB658&amp;IF(AB658=1," gap"," gaps")))</f>
        <v/>
      </c>
    </row>
    <row r="659" ht="17" customHeight="1">
      <c r="A659" t="n">
        <v>14</v>
      </c>
      <c r="B659" s="29">
        <f>IF(Setup!$K$7="","",Setup!$K$7)</f>
        <v/>
      </c>
      <c r="C659" s="88" t="n"/>
      <c r="D659" s="88" t="n"/>
      <c r="E659" s="88" t="n"/>
      <c r="F659" s="89" t="n"/>
      <c r="G659" s="88" t="n"/>
      <c r="H659" s="88" t="n"/>
      <c r="I659" s="88" t="n"/>
      <c r="J659" s="89" t="n"/>
      <c r="K659" s="88" t="n"/>
      <c r="L659" s="88" t="n"/>
      <c r="M659" s="88" t="n"/>
      <c r="N659" s="89" t="n"/>
      <c r="O659" s="88" t="n"/>
      <c r="P659" s="88" t="n"/>
      <c r="Q659" s="88" t="n"/>
      <c r="R659" s="89" t="n"/>
      <c r="S659" s="88" t="n"/>
      <c r="T659" s="88" t="n"/>
      <c r="U659" s="88" t="n"/>
      <c r="V659" s="89" t="n"/>
      <c r="W659" s="88" t="n"/>
      <c r="X659" s="89" t="n"/>
      <c r="Y659" s="88" t="n"/>
      <c r="Z659" s="89" t="n"/>
      <c r="AB659" s="30">
        <f>IF($B659="","",(COUNTIF(C659:E659,"?*")&lt;N(INDEX(Setup!$L$6:$L$23,2)))+(COUNTIF(G659:I659,"?*")&lt;N(INDEX(Setup!$L$6:$L$23,2)))+(COUNTIF(K659:M659,"?*")&lt;N(INDEX(Setup!$L$6:$L$23,2)))+(COUNTIF(O659:Q659,"?*")&lt;N(INDEX(Setup!$L$6:$L$23,2)))+(COUNTIF(S659:U659,"?*")&lt;N(INDEX(Setup!$L$6:$L$23,2)))+((W659="")*(INDEX(Setup!$M$6:$M$23,2)="Y"))+((Y659="")*(INDEX(Setup!$M$6:$M$23,2)="Y")))</f>
        <v/>
      </c>
      <c r="AC659" s="91">
        <f>IF($B659="","",IF(AB659=0,"✓ covered","⚠ "&amp;AB659&amp;IF(AB659=1," gap"," gaps")))</f>
        <v/>
      </c>
    </row>
    <row r="660" ht="17" customHeight="1">
      <c r="A660" t="n">
        <v>14</v>
      </c>
      <c r="B660" s="24">
        <f>IF(Setup!$K$8="","",Setup!$K$8)</f>
        <v/>
      </c>
      <c r="C660" s="88" t="n"/>
      <c r="D660" s="88" t="n"/>
      <c r="E660" s="88" t="n"/>
      <c r="F660" s="89" t="n"/>
      <c r="G660" s="88" t="n"/>
      <c r="H660" s="88" t="n"/>
      <c r="I660" s="88" t="n"/>
      <c r="J660" s="89" t="n"/>
      <c r="K660" s="88" t="n"/>
      <c r="L660" s="88" t="n"/>
      <c r="M660" s="88" t="n"/>
      <c r="N660" s="89" t="n"/>
      <c r="O660" s="88" t="n"/>
      <c r="P660" s="88" t="n"/>
      <c r="Q660" s="88" t="n"/>
      <c r="R660" s="89" t="n"/>
      <c r="S660" s="88" t="n"/>
      <c r="T660" s="88" t="n"/>
      <c r="U660" s="88" t="n"/>
      <c r="V660" s="89" t="n"/>
      <c r="W660" s="88" t="n"/>
      <c r="X660" s="89" t="n"/>
      <c r="Y660" s="88" t="n"/>
      <c r="Z660" s="89" t="n"/>
      <c r="AB660" s="25">
        <f>IF($B660="","",(COUNTIF(C660:E660,"?*")&lt;N(INDEX(Setup!$L$6:$L$23,3)))+(COUNTIF(G660:I660,"?*")&lt;N(INDEX(Setup!$L$6:$L$23,3)))+(COUNTIF(K660:M660,"?*")&lt;N(INDEX(Setup!$L$6:$L$23,3)))+(COUNTIF(O660:Q660,"?*")&lt;N(INDEX(Setup!$L$6:$L$23,3)))+(COUNTIF(S660:U660,"?*")&lt;N(INDEX(Setup!$L$6:$L$23,3)))+((W660="")*(INDEX(Setup!$M$6:$M$23,3)="Y"))+((Y660="")*(INDEX(Setup!$M$6:$M$23,3)="Y")))</f>
        <v/>
      </c>
      <c r="AC660" s="90">
        <f>IF($B660="","",IF(AB660=0,"✓ covered","⚠ "&amp;AB660&amp;IF(AB660=1," gap"," gaps")))</f>
        <v/>
      </c>
    </row>
    <row r="661" ht="17" customHeight="1">
      <c r="A661" t="n">
        <v>14</v>
      </c>
      <c r="B661" s="29">
        <f>IF(Setup!$K$9="","",Setup!$K$9)</f>
        <v/>
      </c>
      <c r="C661" s="88" t="n"/>
      <c r="D661" s="88" t="n"/>
      <c r="E661" s="88" t="n"/>
      <c r="F661" s="89" t="n"/>
      <c r="G661" s="88" t="n"/>
      <c r="H661" s="88" t="n"/>
      <c r="I661" s="88" t="n"/>
      <c r="J661" s="89" t="n"/>
      <c r="K661" s="88" t="n"/>
      <c r="L661" s="88" t="n"/>
      <c r="M661" s="88" t="n"/>
      <c r="N661" s="89" t="n"/>
      <c r="O661" s="88" t="n"/>
      <c r="P661" s="88" t="n"/>
      <c r="Q661" s="88" t="n"/>
      <c r="R661" s="89" t="n"/>
      <c r="S661" s="88" t="n"/>
      <c r="T661" s="88" t="n"/>
      <c r="U661" s="88" t="n"/>
      <c r="V661" s="89" t="n"/>
      <c r="W661" s="88" t="n"/>
      <c r="X661" s="89" t="n"/>
      <c r="Y661" s="88" t="n"/>
      <c r="Z661" s="89" t="n"/>
      <c r="AB661" s="30">
        <f>IF($B661="","",(COUNTIF(C661:E661,"?*")&lt;N(INDEX(Setup!$L$6:$L$23,4)))+(COUNTIF(G661:I661,"?*")&lt;N(INDEX(Setup!$L$6:$L$23,4)))+(COUNTIF(K661:M661,"?*")&lt;N(INDEX(Setup!$L$6:$L$23,4)))+(COUNTIF(O661:Q661,"?*")&lt;N(INDEX(Setup!$L$6:$L$23,4)))+(COUNTIF(S661:U661,"?*")&lt;N(INDEX(Setup!$L$6:$L$23,4)))+((W661="")*(INDEX(Setup!$M$6:$M$23,4)="Y"))+((Y661="")*(INDEX(Setup!$M$6:$M$23,4)="Y")))</f>
        <v/>
      </c>
      <c r="AC661" s="91">
        <f>IF($B661="","",IF(AB661=0,"✓ covered","⚠ "&amp;AB661&amp;IF(AB661=1," gap"," gaps")))</f>
        <v/>
      </c>
    </row>
    <row r="662" ht="17" customHeight="1">
      <c r="A662" t="n">
        <v>14</v>
      </c>
      <c r="B662" s="24">
        <f>IF(Setup!$K$10="","",Setup!$K$10)</f>
        <v/>
      </c>
      <c r="C662" s="88" t="n"/>
      <c r="D662" s="88" t="n"/>
      <c r="E662" s="88" t="n"/>
      <c r="F662" s="89" t="n"/>
      <c r="G662" s="88" t="n"/>
      <c r="H662" s="88" t="n"/>
      <c r="I662" s="88" t="n"/>
      <c r="J662" s="89" t="n"/>
      <c r="K662" s="88" t="n"/>
      <c r="L662" s="88" t="n"/>
      <c r="M662" s="88" t="n"/>
      <c r="N662" s="89" t="n"/>
      <c r="O662" s="88" t="n"/>
      <c r="P662" s="88" t="n"/>
      <c r="Q662" s="88" t="n"/>
      <c r="R662" s="89" t="n"/>
      <c r="S662" s="88" t="n"/>
      <c r="T662" s="88" t="n"/>
      <c r="U662" s="88" t="n"/>
      <c r="V662" s="89" t="n"/>
      <c r="W662" s="88" t="n"/>
      <c r="X662" s="89" t="n"/>
      <c r="Y662" s="88" t="n"/>
      <c r="Z662" s="89" t="n"/>
      <c r="AB662" s="25">
        <f>IF($B662="","",(COUNTIF(C662:E662,"?*")&lt;N(INDEX(Setup!$L$6:$L$23,5)))+(COUNTIF(G662:I662,"?*")&lt;N(INDEX(Setup!$L$6:$L$23,5)))+(COUNTIF(K662:M662,"?*")&lt;N(INDEX(Setup!$L$6:$L$23,5)))+(COUNTIF(O662:Q662,"?*")&lt;N(INDEX(Setup!$L$6:$L$23,5)))+(COUNTIF(S662:U662,"?*")&lt;N(INDEX(Setup!$L$6:$L$23,5)))+((W662="")*(INDEX(Setup!$M$6:$M$23,5)="Y"))+((Y662="")*(INDEX(Setup!$M$6:$M$23,5)="Y")))</f>
        <v/>
      </c>
      <c r="AC662" s="90">
        <f>IF($B662="","",IF(AB662=0,"✓ covered","⚠ "&amp;AB662&amp;IF(AB662=1," gap"," gaps")))</f>
        <v/>
      </c>
    </row>
    <row r="663" ht="17" customHeight="1">
      <c r="A663" t="n">
        <v>14</v>
      </c>
      <c r="B663" s="29">
        <f>IF(Setup!$K$11="","",Setup!$K$11)</f>
        <v/>
      </c>
      <c r="C663" s="88" t="n"/>
      <c r="D663" s="88" t="n"/>
      <c r="E663" s="88" t="n"/>
      <c r="F663" s="89" t="n"/>
      <c r="G663" s="88" t="n"/>
      <c r="H663" s="88" t="n"/>
      <c r="I663" s="88" t="n"/>
      <c r="J663" s="89" t="n"/>
      <c r="K663" s="88" t="n"/>
      <c r="L663" s="88" t="n"/>
      <c r="M663" s="88" t="n"/>
      <c r="N663" s="89" t="n"/>
      <c r="O663" s="88" t="n"/>
      <c r="P663" s="88" t="n"/>
      <c r="Q663" s="88" t="n"/>
      <c r="R663" s="89" t="n"/>
      <c r="S663" s="88" t="n"/>
      <c r="T663" s="88" t="n"/>
      <c r="U663" s="88" t="n"/>
      <c r="V663" s="89" t="n"/>
      <c r="W663" s="88" t="n"/>
      <c r="X663" s="89" t="n"/>
      <c r="Y663" s="88" t="n"/>
      <c r="Z663" s="89" t="n"/>
      <c r="AB663" s="30">
        <f>IF($B663="","",(COUNTIF(C663:E663,"?*")&lt;N(INDEX(Setup!$L$6:$L$23,6)))+(COUNTIF(G663:I663,"?*")&lt;N(INDEX(Setup!$L$6:$L$23,6)))+(COUNTIF(K663:M663,"?*")&lt;N(INDEX(Setup!$L$6:$L$23,6)))+(COUNTIF(O663:Q663,"?*")&lt;N(INDEX(Setup!$L$6:$L$23,6)))+(COUNTIF(S663:U663,"?*")&lt;N(INDEX(Setup!$L$6:$L$23,6)))+((W663="")*(INDEX(Setup!$M$6:$M$23,6)="Y"))+((Y663="")*(INDEX(Setup!$M$6:$M$23,6)="Y")))</f>
        <v/>
      </c>
      <c r="AC663" s="91">
        <f>IF($B663="","",IF(AB663=0,"✓ covered","⚠ "&amp;AB663&amp;IF(AB663=1," gap"," gaps")))</f>
        <v/>
      </c>
    </row>
    <row r="664" ht="17" customHeight="1">
      <c r="A664" t="n">
        <v>14</v>
      </c>
      <c r="B664" s="24">
        <f>IF(Setup!$K$12="","",Setup!$K$12)</f>
        <v/>
      </c>
      <c r="C664" s="88" t="n"/>
      <c r="D664" s="88" t="n"/>
      <c r="E664" s="88" t="n"/>
      <c r="F664" s="89" t="n"/>
      <c r="G664" s="88" t="n"/>
      <c r="H664" s="88" t="n"/>
      <c r="I664" s="88" t="n"/>
      <c r="J664" s="89" t="n"/>
      <c r="K664" s="88" t="n"/>
      <c r="L664" s="88" t="n"/>
      <c r="M664" s="88" t="n"/>
      <c r="N664" s="89" t="n"/>
      <c r="O664" s="88" t="n"/>
      <c r="P664" s="88" t="n"/>
      <c r="Q664" s="88" t="n"/>
      <c r="R664" s="89" t="n"/>
      <c r="S664" s="88" t="n"/>
      <c r="T664" s="88" t="n"/>
      <c r="U664" s="88" t="n"/>
      <c r="V664" s="89" t="n"/>
      <c r="W664" s="88" t="n"/>
      <c r="X664" s="89" t="n"/>
      <c r="Y664" s="88" t="n"/>
      <c r="Z664" s="89" t="n"/>
      <c r="AB664" s="25">
        <f>IF($B664="","",(COUNTIF(C664:E664,"?*")&lt;N(INDEX(Setup!$L$6:$L$23,7)))+(COUNTIF(G664:I664,"?*")&lt;N(INDEX(Setup!$L$6:$L$23,7)))+(COUNTIF(K664:M664,"?*")&lt;N(INDEX(Setup!$L$6:$L$23,7)))+(COUNTIF(O664:Q664,"?*")&lt;N(INDEX(Setup!$L$6:$L$23,7)))+(COUNTIF(S664:U664,"?*")&lt;N(INDEX(Setup!$L$6:$L$23,7)))+((W664="")*(INDEX(Setup!$M$6:$M$23,7)="Y"))+((Y664="")*(INDEX(Setup!$M$6:$M$23,7)="Y")))</f>
        <v/>
      </c>
      <c r="AC664" s="90">
        <f>IF($B664="","",IF(AB664=0,"✓ covered","⚠ "&amp;AB664&amp;IF(AB664=1," gap"," gaps")))</f>
        <v/>
      </c>
    </row>
    <row r="665" ht="17" customHeight="1">
      <c r="A665" t="n">
        <v>14</v>
      </c>
      <c r="B665" s="29">
        <f>IF(Setup!$K$13="","",Setup!$K$13)</f>
        <v/>
      </c>
      <c r="C665" s="88" t="n"/>
      <c r="D665" s="88" t="n"/>
      <c r="E665" s="88" t="n"/>
      <c r="F665" s="89" t="n"/>
      <c r="G665" s="88" t="n"/>
      <c r="H665" s="88" t="n"/>
      <c r="I665" s="88" t="n"/>
      <c r="J665" s="89" t="n"/>
      <c r="K665" s="88" t="n"/>
      <c r="L665" s="88" t="n"/>
      <c r="M665" s="88" t="n"/>
      <c r="N665" s="89" t="n"/>
      <c r="O665" s="88" t="n"/>
      <c r="P665" s="88" t="n"/>
      <c r="Q665" s="88" t="n"/>
      <c r="R665" s="89" t="n"/>
      <c r="S665" s="88" t="n"/>
      <c r="T665" s="88" t="n"/>
      <c r="U665" s="88" t="n"/>
      <c r="V665" s="89" t="n"/>
      <c r="W665" s="88" t="n"/>
      <c r="X665" s="89" t="n"/>
      <c r="Y665" s="88" t="n"/>
      <c r="Z665" s="89" t="n"/>
      <c r="AB665" s="30">
        <f>IF($B665="","",(COUNTIF(C665:E665,"?*")&lt;N(INDEX(Setup!$L$6:$L$23,8)))+(COUNTIF(G665:I665,"?*")&lt;N(INDEX(Setup!$L$6:$L$23,8)))+(COUNTIF(K665:M665,"?*")&lt;N(INDEX(Setup!$L$6:$L$23,8)))+(COUNTIF(O665:Q665,"?*")&lt;N(INDEX(Setup!$L$6:$L$23,8)))+(COUNTIF(S665:U665,"?*")&lt;N(INDEX(Setup!$L$6:$L$23,8)))+((W665="")*(INDEX(Setup!$M$6:$M$23,8)="Y"))+((Y665="")*(INDEX(Setup!$M$6:$M$23,8)="Y")))</f>
        <v/>
      </c>
      <c r="AC665" s="91">
        <f>IF($B665="","",IF(AB665=0,"✓ covered","⚠ "&amp;AB665&amp;IF(AB665=1," gap"," gaps")))</f>
        <v/>
      </c>
    </row>
    <row r="666" ht="17" customHeight="1">
      <c r="A666" t="n">
        <v>14</v>
      </c>
      <c r="B666" s="24">
        <f>IF(Setup!$K$14="","",Setup!$K$14)</f>
        <v/>
      </c>
      <c r="C666" s="88" t="n"/>
      <c r="D666" s="88" t="n"/>
      <c r="E666" s="88" t="n"/>
      <c r="F666" s="89" t="n"/>
      <c r="G666" s="88" t="n"/>
      <c r="H666" s="88" t="n"/>
      <c r="I666" s="88" t="n"/>
      <c r="J666" s="89" t="n"/>
      <c r="K666" s="88" t="n"/>
      <c r="L666" s="88" t="n"/>
      <c r="M666" s="88" t="n"/>
      <c r="N666" s="89" t="n"/>
      <c r="O666" s="88" t="n"/>
      <c r="P666" s="88" t="n"/>
      <c r="Q666" s="88" t="n"/>
      <c r="R666" s="89" t="n"/>
      <c r="S666" s="88" t="n"/>
      <c r="T666" s="88" t="n"/>
      <c r="U666" s="88" t="n"/>
      <c r="V666" s="89" t="n"/>
      <c r="W666" s="88" t="n"/>
      <c r="X666" s="89" t="n"/>
      <c r="Y666" s="88" t="n"/>
      <c r="Z666" s="89" t="n"/>
      <c r="AB666" s="25">
        <f>IF($B666="","",(COUNTIF(C666:E666,"?*")&lt;N(INDEX(Setup!$L$6:$L$23,9)))+(COUNTIF(G666:I666,"?*")&lt;N(INDEX(Setup!$L$6:$L$23,9)))+(COUNTIF(K666:M666,"?*")&lt;N(INDEX(Setup!$L$6:$L$23,9)))+(COUNTIF(O666:Q666,"?*")&lt;N(INDEX(Setup!$L$6:$L$23,9)))+(COUNTIF(S666:U666,"?*")&lt;N(INDEX(Setup!$L$6:$L$23,9)))+((W666="")*(INDEX(Setup!$M$6:$M$23,9)="Y"))+((Y666="")*(INDEX(Setup!$M$6:$M$23,9)="Y")))</f>
        <v/>
      </c>
      <c r="AC666" s="90">
        <f>IF($B666="","",IF(AB666=0,"✓ covered","⚠ "&amp;AB666&amp;IF(AB666=1," gap"," gaps")))</f>
        <v/>
      </c>
    </row>
    <row r="667" ht="17" customHeight="1">
      <c r="A667" t="n">
        <v>14</v>
      </c>
      <c r="B667" s="29">
        <f>IF(Setup!$K$15="","",Setup!$K$15)</f>
        <v/>
      </c>
      <c r="C667" s="88" t="n"/>
      <c r="D667" s="88" t="n"/>
      <c r="E667" s="88" t="n"/>
      <c r="F667" s="89" t="n"/>
      <c r="G667" s="88" t="n"/>
      <c r="H667" s="88" t="n"/>
      <c r="I667" s="88" t="n"/>
      <c r="J667" s="89" t="n"/>
      <c r="K667" s="88" t="n"/>
      <c r="L667" s="88" t="n"/>
      <c r="M667" s="88" t="n"/>
      <c r="N667" s="89" t="n"/>
      <c r="O667" s="88" t="n"/>
      <c r="P667" s="88" t="n"/>
      <c r="Q667" s="88" t="n"/>
      <c r="R667" s="89" t="n"/>
      <c r="S667" s="88" t="n"/>
      <c r="T667" s="88" t="n"/>
      <c r="U667" s="88" t="n"/>
      <c r="V667" s="89" t="n"/>
      <c r="W667" s="88" t="n"/>
      <c r="X667" s="89" t="n"/>
      <c r="Y667" s="88" t="n"/>
      <c r="Z667" s="89" t="n"/>
      <c r="AB667" s="30">
        <f>IF($B667="","",(COUNTIF(C667:E667,"?*")&lt;N(INDEX(Setup!$L$6:$L$23,10)))+(COUNTIF(G667:I667,"?*")&lt;N(INDEX(Setup!$L$6:$L$23,10)))+(COUNTIF(K667:M667,"?*")&lt;N(INDEX(Setup!$L$6:$L$23,10)))+(COUNTIF(O667:Q667,"?*")&lt;N(INDEX(Setup!$L$6:$L$23,10)))+(COUNTIF(S667:U667,"?*")&lt;N(INDEX(Setup!$L$6:$L$23,10)))+((W667="")*(INDEX(Setup!$M$6:$M$23,10)="Y"))+((Y667="")*(INDEX(Setup!$M$6:$M$23,10)="Y")))</f>
        <v/>
      </c>
      <c r="AC667" s="91">
        <f>IF($B667="","",IF(AB667=0,"✓ covered","⚠ "&amp;AB667&amp;IF(AB667=1," gap"," gaps")))</f>
        <v/>
      </c>
    </row>
    <row r="668" ht="17" customHeight="1">
      <c r="A668" t="n">
        <v>14</v>
      </c>
      <c r="B668" s="24">
        <f>IF(Setup!$K$16="","",Setup!$K$16)</f>
        <v/>
      </c>
      <c r="C668" s="88" t="n"/>
      <c r="D668" s="88" t="n"/>
      <c r="E668" s="88" t="n"/>
      <c r="F668" s="89" t="n"/>
      <c r="G668" s="88" t="n"/>
      <c r="H668" s="88" t="n"/>
      <c r="I668" s="88" t="n"/>
      <c r="J668" s="89" t="n"/>
      <c r="K668" s="88" t="n"/>
      <c r="L668" s="88" t="n"/>
      <c r="M668" s="88" t="n"/>
      <c r="N668" s="89" t="n"/>
      <c r="O668" s="88" t="n"/>
      <c r="P668" s="88" t="n"/>
      <c r="Q668" s="88" t="n"/>
      <c r="R668" s="89" t="n"/>
      <c r="S668" s="88" t="n"/>
      <c r="T668" s="88" t="n"/>
      <c r="U668" s="88" t="n"/>
      <c r="V668" s="89" t="n"/>
      <c r="W668" s="88" t="n"/>
      <c r="X668" s="89" t="n"/>
      <c r="Y668" s="88" t="n"/>
      <c r="Z668" s="89" t="n"/>
      <c r="AB668" s="25">
        <f>IF($B668="","",(COUNTIF(C668:E668,"?*")&lt;N(INDEX(Setup!$L$6:$L$23,11)))+(COUNTIF(G668:I668,"?*")&lt;N(INDEX(Setup!$L$6:$L$23,11)))+(COUNTIF(K668:M668,"?*")&lt;N(INDEX(Setup!$L$6:$L$23,11)))+(COUNTIF(O668:Q668,"?*")&lt;N(INDEX(Setup!$L$6:$L$23,11)))+(COUNTIF(S668:U668,"?*")&lt;N(INDEX(Setup!$L$6:$L$23,11)))+((W668="")*(INDEX(Setup!$M$6:$M$23,11)="Y"))+((Y668="")*(INDEX(Setup!$M$6:$M$23,11)="Y")))</f>
        <v/>
      </c>
      <c r="AC668" s="90">
        <f>IF($B668="","",IF(AB668=0,"✓ covered","⚠ "&amp;AB668&amp;IF(AB668=1," gap"," gaps")))</f>
        <v/>
      </c>
    </row>
    <row r="669" ht="17" customHeight="1">
      <c r="A669" t="n">
        <v>14</v>
      </c>
      <c r="B669" s="29">
        <f>IF(Setup!$K$17="","",Setup!$K$17)</f>
        <v/>
      </c>
      <c r="C669" s="88" t="n"/>
      <c r="D669" s="88" t="n"/>
      <c r="E669" s="88" t="n"/>
      <c r="F669" s="89" t="n"/>
      <c r="G669" s="88" t="n"/>
      <c r="H669" s="88" t="n"/>
      <c r="I669" s="88" t="n"/>
      <c r="J669" s="89" t="n"/>
      <c r="K669" s="88" t="n"/>
      <c r="L669" s="88" t="n"/>
      <c r="M669" s="88" t="n"/>
      <c r="N669" s="89" t="n"/>
      <c r="O669" s="88" t="n"/>
      <c r="P669" s="88" t="n"/>
      <c r="Q669" s="88" t="n"/>
      <c r="R669" s="89" t="n"/>
      <c r="S669" s="88" t="n"/>
      <c r="T669" s="88" t="n"/>
      <c r="U669" s="88" t="n"/>
      <c r="V669" s="89" t="n"/>
      <c r="W669" s="88" t="n"/>
      <c r="X669" s="89" t="n"/>
      <c r="Y669" s="88" t="n"/>
      <c r="Z669" s="89" t="n"/>
      <c r="AB669" s="30">
        <f>IF($B669="","",(COUNTIF(C669:E669,"?*")&lt;N(INDEX(Setup!$L$6:$L$23,12)))+(COUNTIF(G669:I669,"?*")&lt;N(INDEX(Setup!$L$6:$L$23,12)))+(COUNTIF(K669:M669,"?*")&lt;N(INDEX(Setup!$L$6:$L$23,12)))+(COUNTIF(O669:Q669,"?*")&lt;N(INDEX(Setup!$L$6:$L$23,12)))+(COUNTIF(S669:U669,"?*")&lt;N(INDEX(Setup!$L$6:$L$23,12)))+((W669="")*(INDEX(Setup!$M$6:$M$23,12)="Y"))+((Y669="")*(INDEX(Setup!$M$6:$M$23,12)="Y")))</f>
        <v/>
      </c>
      <c r="AC669" s="91">
        <f>IF($B669="","",IF(AB669=0,"✓ covered","⚠ "&amp;AB669&amp;IF(AB669=1," gap"," gaps")))</f>
        <v/>
      </c>
    </row>
    <row r="670" ht="17" customHeight="1">
      <c r="A670" t="n">
        <v>14</v>
      </c>
      <c r="B670" s="24">
        <f>IF(Setup!$K$18="","",Setup!$K$18)</f>
        <v/>
      </c>
      <c r="C670" s="88" t="n"/>
      <c r="D670" s="88" t="n"/>
      <c r="E670" s="88" t="n"/>
      <c r="F670" s="89" t="n"/>
      <c r="G670" s="88" t="n"/>
      <c r="H670" s="88" t="n"/>
      <c r="I670" s="88" t="n"/>
      <c r="J670" s="89" t="n"/>
      <c r="K670" s="88" t="n"/>
      <c r="L670" s="88" t="n"/>
      <c r="M670" s="88" t="n"/>
      <c r="N670" s="89" t="n"/>
      <c r="O670" s="88" t="n"/>
      <c r="P670" s="88" t="n"/>
      <c r="Q670" s="88" t="n"/>
      <c r="R670" s="89" t="n"/>
      <c r="S670" s="88" t="n"/>
      <c r="T670" s="88" t="n"/>
      <c r="U670" s="88" t="n"/>
      <c r="V670" s="89" t="n"/>
      <c r="W670" s="88" t="n"/>
      <c r="X670" s="89" t="n"/>
      <c r="Y670" s="88" t="n"/>
      <c r="Z670" s="89" t="n"/>
      <c r="AB670" s="25">
        <f>IF($B670="","",(COUNTIF(C670:E670,"?*")&lt;N(INDEX(Setup!$L$6:$L$23,13)))+(COUNTIF(G670:I670,"?*")&lt;N(INDEX(Setup!$L$6:$L$23,13)))+(COUNTIF(K670:M670,"?*")&lt;N(INDEX(Setup!$L$6:$L$23,13)))+(COUNTIF(O670:Q670,"?*")&lt;N(INDEX(Setup!$L$6:$L$23,13)))+(COUNTIF(S670:U670,"?*")&lt;N(INDEX(Setup!$L$6:$L$23,13)))+((W670="")*(INDEX(Setup!$M$6:$M$23,13)="Y"))+((Y670="")*(INDEX(Setup!$M$6:$M$23,13)="Y")))</f>
        <v/>
      </c>
      <c r="AC670" s="90">
        <f>IF($B670="","",IF(AB670=0,"✓ covered","⚠ "&amp;AB670&amp;IF(AB670=1," gap"," gaps")))</f>
        <v/>
      </c>
    </row>
    <row r="671" ht="17" customHeight="1">
      <c r="A671" t="n">
        <v>14</v>
      </c>
      <c r="B671" s="29">
        <f>IF(Setup!$K$19="","",Setup!$K$19)</f>
        <v/>
      </c>
      <c r="C671" s="88" t="n"/>
      <c r="D671" s="88" t="n"/>
      <c r="E671" s="88" t="n"/>
      <c r="F671" s="89" t="n"/>
      <c r="G671" s="88" t="n"/>
      <c r="H671" s="88" t="n"/>
      <c r="I671" s="88" t="n"/>
      <c r="J671" s="89" t="n"/>
      <c r="K671" s="88" t="n"/>
      <c r="L671" s="88" t="n"/>
      <c r="M671" s="88" t="n"/>
      <c r="N671" s="89" t="n"/>
      <c r="O671" s="88" t="n"/>
      <c r="P671" s="88" t="n"/>
      <c r="Q671" s="88" t="n"/>
      <c r="R671" s="89" t="n"/>
      <c r="S671" s="88" t="n"/>
      <c r="T671" s="88" t="n"/>
      <c r="U671" s="88" t="n"/>
      <c r="V671" s="89" t="n"/>
      <c r="W671" s="88" t="n"/>
      <c r="X671" s="89" t="n"/>
      <c r="Y671" s="88" t="n"/>
      <c r="Z671" s="89" t="n"/>
      <c r="AB671" s="30">
        <f>IF($B671="","",(COUNTIF(C671:E671,"?*")&lt;N(INDEX(Setup!$L$6:$L$23,14)))+(COUNTIF(G671:I671,"?*")&lt;N(INDEX(Setup!$L$6:$L$23,14)))+(COUNTIF(K671:M671,"?*")&lt;N(INDEX(Setup!$L$6:$L$23,14)))+(COUNTIF(O671:Q671,"?*")&lt;N(INDEX(Setup!$L$6:$L$23,14)))+(COUNTIF(S671:U671,"?*")&lt;N(INDEX(Setup!$L$6:$L$23,14)))+((W671="")*(INDEX(Setup!$M$6:$M$23,14)="Y"))+((Y671="")*(INDEX(Setup!$M$6:$M$23,14)="Y")))</f>
        <v/>
      </c>
      <c r="AC671" s="91">
        <f>IF($B671="","",IF(AB671=0,"✓ covered","⚠ "&amp;AB671&amp;IF(AB671=1," gap"," gaps")))</f>
        <v/>
      </c>
    </row>
    <row r="672" ht="17" customHeight="1">
      <c r="A672" t="n">
        <v>14</v>
      </c>
      <c r="B672" s="24">
        <f>IF(Setup!$K$20="","",Setup!$K$20)</f>
        <v/>
      </c>
      <c r="C672" s="88" t="n"/>
      <c r="D672" s="88" t="n"/>
      <c r="E672" s="88" t="n"/>
      <c r="F672" s="89" t="n"/>
      <c r="G672" s="88" t="n"/>
      <c r="H672" s="88" t="n"/>
      <c r="I672" s="88" t="n"/>
      <c r="J672" s="89" t="n"/>
      <c r="K672" s="88" t="n"/>
      <c r="L672" s="88" t="n"/>
      <c r="M672" s="88" t="n"/>
      <c r="N672" s="89" t="n"/>
      <c r="O672" s="88" t="n"/>
      <c r="P672" s="88" t="n"/>
      <c r="Q672" s="88" t="n"/>
      <c r="R672" s="89" t="n"/>
      <c r="S672" s="88" t="n"/>
      <c r="T672" s="88" t="n"/>
      <c r="U672" s="88" t="n"/>
      <c r="V672" s="89" t="n"/>
      <c r="W672" s="88" t="n"/>
      <c r="X672" s="89" t="n"/>
      <c r="Y672" s="88" t="n"/>
      <c r="Z672" s="89" t="n"/>
      <c r="AB672" s="25">
        <f>IF($B672="","",(COUNTIF(C672:E672,"?*")&lt;N(INDEX(Setup!$L$6:$L$23,15)))+(COUNTIF(G672:I672,"?*")&lt;N(INDEX(Setup!$L$6:$L$23,15)))+(COUNTIF(K672:M672,"?*")&lt;N(INDEX(Setup!$L$6:$L$23,15)))+(COUNTIF(O672:Q672,"?*")&lt;N(INDEX(Setup!$L$6:$L$23,15)))+(COUNTIF(S672:U672,"?*")&lt;N(INDEX(Setup!$L$6:$L$23,15)))+((W672="")*(INDEX(Setup!$M$6:$M$23,15)="Y"))+((Y672="")*(INDEX(Setup!$M$6:$M$23,15)="Y")))</f>
        <v/>
      </c>
      <c r="AC672" s="90">
        <f>IF($B672="","",IF(AB672=0,"✓ covered","⚠ "&amp;AB672&amp;IF(AB672=1," gap"," gaps")))</f>
        <v/>
      </c>
    </row>
    <row r="673" ht="17" customHeight="1">
      <c r="A673" t="n">
        <v>14</v>
      </c>
      <c r="B673" s="29">
        <f>IF(Setup!$K$21="","",Setup!$K$21)</f>
        <v/>
      </c>
      <c r="C673" s="88" t="n"/>
      <c r="D673" s="88" t="n"/>
      <c r="E673" s="88" t="n"/>
      <c r="F673" s="89" t="n"/>
      <c r="G673" s="88" t="n"/>
      <c r="H673" s="88" t="n"/>
      <c r="I673" s="88" t="n"/>
      <c r="J673" s="89" t="n"/>
      <c r="K673" s="88" t="n"/>
      <c r="L673" s="88" t="n"/>
      <c r="M673" s="88" t="n"/>
      <c r="N673" s="89" t="n"/>
      <c r="O673" s="88" t="n"/>
      <c r="P673" s="88" t="n"/>
      <c r="Q673" s="88" t="n"/>
      <c r="R673" s="89" t="n"/>
      <c r="S673" s="88" t="n"/>
      <c r="T673" s="88" t="n"/>
      <c r="U673" s="88" t="n"/>
      <c r="V673" s="89" t="n"/>
      <c r="W673" s="88" t="n"/>
      <c r="X673" s="89" t="n"/>
      <c r="Y673" s="88" t="n"/>
      <c r="Z673" s="89" t="n"/>
      <c r="AB673" s="30">
        <f>IF($B673="","",(COUNTIF(C673:E673,"?*")&lt;N(INDEX(Setup!$L$6:$L$23,16)))+(COUNTIF(G673:I673,"?*")&lt;N(INDEX(Setup!$L$6:$L$23,16)))+(COUNTIF(K673:M673,"?*")&lt;N(INDEX(Setup!$L$6:$L$23,16)))+(COUNTIF(O673:Q673,"?*")&lt;N(INDEX(Setup!$L$6:$L$23,16)))+(COUNTIF(S673:U673,"?*")&lt;N(INDEX(Setup!$L$6:$L$23,16)))+((W673="")*(INDEX(Setup!$M$6:$M$23,16)="Y"))+((Y673="")*(INDEX(Setup!$M$6:$M$23,16)="Y")))</f>
        <v/>
      </c>
      <c r="AC673" s="91">
        <f>IF($B673="","",IF(AB673=0,"✓ covered","⚠ "&amp;AB673&amp;IF(AB673=1," gap"," gaps")))</f>
        <v/>
      </c>
    </row>
    <row r="674" ht="17" customHeight="1">
      <c r="A674" t="n">
        <v>14</v>
      </c>
      <c r="B674" s="24">
        <f>IF(Setup!$K$22="","",Setup!$K$22)</f>
        <v/>
      </c>
      <c r="C674" s="88" t="n"/>
      <c r="D674" s="88" t="n"/>
      <c r="E674" s="88" t="n"/>
      <c r="F674" s="89" t="n"/>
      <c r="G674" s="88" t="n"/>
      <c r="H674" s="88" t="n"/>
      <c r="I674" s="88" t="n"/>
      <c r="J674" s="89" t="n"/>
      <c r="K674" s="88" t="n"/>
      <c r="L674" s="88" t="n"/>
      <c r="M674" s="88" t="n"/>
      <c r="N674" s="89" t="n"/>
      <c r="O674" s="88" t="n"/>
      <c r="P674" s="88" t="n"/>
      <c r="Q674" s="88" t="n"/>
      <c r="R674" s="89" t="n"/>
      <c r="S674" s="88" t="n"/>
      <c r="T674" s="88" t="n"/>
      <c r="U674" s="88" t="n"/>
      <c r="V674" s="89" t="n"/>
      <c r="W674" s="88" t="n"/>
      <c r="X674" s="89" t="n"/>
      <c r="Y674" s="88" t="n"/>
      <c r="Z674" s="89" t="n"/>
      <c r="AB674" s="25">
        <f>IF($B674="","",(COUNTIF(C674:E674,"?*")&lt;N(INDEX(Setup!$L$6:$L$23,17)))+(COUNTIF(G674:I674,"?*")&lt;N(INDEX(Setup!$L$6:$L$23,17)))+(COUNTIF(K674:M674,"?*")&lt;N(INDEX(Setup!$L$6:$L$23,17)))+(COUNTIF(O674:Q674,"?*")&lt;N(INDEX(Setup!$L$6:$L$23,17)))+(COUNTIF(S674:U674,"?*")&lt;N(INDEX(Setup!$L$6:$L$23,17)))+((W674="")*(INDEX(Setup!$M$6:$M$23,17)="Y"))+((Y674="")*(INDEX(Setup!$M$6:$M$23,17)="Y")))</f>
        <v/>
      </c>
      <c r="AC674" s="90">
        <f>IF($B674="","",IF(AB674=0,"✓ covered","⚠ "&amp;AB674&amp;IF(AB674=1," gap"," gaps")))</f>
        <v/>
      </c>
    </row>
    <row r="675" ht="17" customHeight="1">
      <c r="A675" t="n">
        <v>14</v>
      </c>
      <c r="B675" s="29">
        <f>IF(Setup!$K$23="","",Setup!$K$23)</f>
        <v/>
      </c>
      <c r="C675" s="88" t="n"/>
      <c r="D675" s="88" t="n"/>
      <c r="E675" s="88" t="n"/>
      <c r="F675" s="89" t="n"/>
      <c r="G675" s="88" t="n"/>
      <c r="H675" s="88" t="n"/>
      <c r="I675" s="88" t="n"/>
      <c r="J675" s="89" t="n"/>
      <c r="K675" s="88" t="n"/>
      <c r="L675" s="88" t="n"/>
      <c r="M675" s="88" t="n"/>
      <c r="N675" s="89" t="n"/>
      <c r="O675" s="88" t="n"/>
      <c r="P675" s="88" t="n"/>
      <c r="Q675" s="88" t="n"/>
      <c r="R675" s="89" t="n"/>
      <c r="S675" s="88" t="n"/>
      <c r="T675" s="88" t="n"/>
      <c r="U675" s="88" t="n"/>
      <c r="V675" s="89" t="n"/>
      <c r="W675" s="88" t="n"/>
      <c r="X675" s="89" t="n"/>
      <c r="Y675" s="88" t="n"/>
      <c r="Z675" s="89" t="n"/>
      <c r="AB675" s="30">
        <f>IF($B675="","",(COUNTIF(C675:E675,"?*")&lt;N(INDEX(Setup!$L$6:$L$23,18)))+(COUNTIF(G675:I675,"?*")&lt;N(INDEX(Setup!$L$6:$L$23,18)))+(COUNTIF(K675:M675,"?*")&lt;N(INDEX(Setup!$L$6:$L$23,18)))+(COUNTIF(O675:Q675,"?*")&lt;N(INDEX(Setup!$L$6:$L$23,18)))+(COUNTIF(S675:U675,"?*")&lt;N(INDEX(Setup!$L$6:$L$23,18)))+((W675="")*(INDEX(Setup!$M$6:$M$23,18)="Y"))+((Y675="")*(INDEX(Setup!$M$6:$M$23,18)="Y")))</f>
        <v/>
      </c>
      <c r="AC675" s="91">
        <f>IF($B675="","",IF(AB675=0,"✓ covered","⚠ "&amp;AB675&amp;IF(AB675=1," gap"," gaps")))</f>
        <v/>
      </c>
    </row>
    <row r="676" ht="18" customHeight="1">
      <c r="A676" t="n">
        <v>14</v>
      </c>
      <c r="B676" s="78" t="inlineStr">
        <is>
          <t>TEAM AVAILABILITY</t>
        </is>
      </c>
      <c r="C676" s="92" t="inlineStr">
        <is>
          <t>Mon</t>
        </is>
      </c>
      <c r="D676" s="93" t="n"/>
      <c r="E676" s="93" t="n"/>
      <c r="F676" s="94" t="n"/>
      <c r="G676" s="92" t="inlineStr">
        <is>
          <t>Tue</t>
        </is>
      </c>
      <c r="H676" s="93" t="n"/>
      <c r="I676" s="93" t="n"/>
      <c r="J676" s="94" t="n"/>
      <c r="K676" s="92" t="inlineStr">
        <is>
          <t>Wed</t>
        </is>
      </c>
      <c r="L676" s="93" t="n"/>
      <c r="M676" s="93" t="n"/>
      <c r="N676" s="94" t="n"/>
      <c r="O676" s="92" t="inlineStr">
        <is>
          <t>Thu</t>
        </is>
      </c>
      <c r="P676" s="93" t="n"/>
      <c r="Q676" s="93" t="n"/>
      <c r="R676" s="94" t="n"/>
      <c r="S676" s="92" t="inlineStr">
        <is>
          <t>Fri</t>
        </is>
      </c>
      <c r="T676" s="93" t="n"/>
      <c r="U676" s="93" t="n"/>
      <c r="V676" s="94" t="n"/>
      <c r="W676" s="95" t="inlineStr">
        <is>
          <t>Sat</t>
        </is>
      </c>
      <c r="X676" s="96" t="n"/>
      <c r="Y676" s="95" t="inlineStr">
        <is>
          <t>Sun</t>
        </is>
      </c>
      <c r="Z676" s="96" t="n"/>
      <c r="AB676" s="97" t="inlineStr">
        <is>
          <t>Days rostered</t>
        </is>
      </c>
      <c r="AC676" s="97" t="inlineStr">
        <is>
          <t>Conflicts</t>
        </is>
      </c>
    </row>
    <row r="677" ht="15" customHeight="1">
      <c r="A677" t="n">
        <v>14</v>
      </c>
      <c r="B677" s="35">
        <f>IF(Setup!$B$6="","",Setup!$B$6)</f>
        <v/>
      </c>
      <c r="C677" s="98" t="n"/>
      <c r="D677" s="99" t="n"/>
      <c r="E677" s="99" t="n"/>
      <c r="F677" s="100" t="n"/>
      <c r="G677" s="98" t="n"/>
      <c r="H677" s="99" t="n"/>
      <c r="I677" s="99" t="n"/>
      <c r="J677" s="100" t="n"/>
      <c r="K677" s="98" t="n"/>
      <c r="L677" s="99" t="n"/>
      <c r="M677" s="99" t="n"/>
      <c r="N677" s="100" t="n"/>
      <c r="O677" s="98" t="n"/>
      <c r="P677" s="99" t="n"/>
      <c r="Q677" s="99" t="n"/>
      <c r="R677" s="100" t="n"/>
      <c r="S677" s="98" t="n"/>
      <c r="T677" s="99" t="n"/>
      <c r="U677" s="99" t="n"/>
      <c r="V677" s="100" t="n"/>
      <c r="W677" s="98" t="n"/>
      <c r="X677" s="100" t="n"/>
      <c r="Y677" s="98" t="n"/>
      <c r="Z677" s="100" t="n"/>
      <c r="AB677" s="101">
        <f>IF($B677="","",(COUNTIF(C658:E675,$B677)+COUNTIF(C658:E675,$B677&amp;" ~*")&gt;0)+(COUNTIF(G658:I675,$B677)+COUNTIF(G658:I675,$B677&amp;" ~*")&gt;0)+(COUNTIF(K658:M675,$B677)+COUNTIF(K658:M675,$B677&amp;" ~*")&gt;0)+(COUNTIF(O658:Q675,$B677)+COUNTIF(O658:Q675,$B677&amp;" ~*")&gt;0)+(COUNTIF(S658:U675,$B677)+COUNTIF(S658:U675,$B677&amp;" ~*")&gt;0)+(COUNTIF(W658:W675,$B677)+COUNTIF(W658:W675,$B677&amp;" ~*")&gt;0)+(COUNTIF(Y658:Y675,$B677)+COUNTIF(Y658:Y675,$B677&amp;" ~*")&gt;0))</f>
        <v/>
      </c>
      <c r="AC677" s="36">
        <f>IF($B677="","",(IFERROR(INDEX(Setup!$G$33:$G$40,MATCH(C677,Setup!$B$33:$B$40,0)),0)=1)*(COUNTIF(C658:E675,$B677)+COUNTIF(C658:E675,$B677&amp;" ~*")&gt;0)+(IFERROR(INDEX(Setup!$G$33:$G$40,MATCH(G677,Setup!$B$33:$B$40,0)),0)=1)*(COUNTIF(G658:I675,$B677)+COUNTIF(G658:I675,$B677&amp;" ~*")&gt;0)+(IFERROR(INDEX(Setup!$G$33:$G$40,MATCH(K677,Setup!$B$33:$B$40,0)),0)=1)*(COUNTIF(K658:M675,$B677)+COUNTIF(K658:M675,$B677&amp;" ~*")&gt;0)+(IFERROR(INDEX(Setup!$G$33:$G$40,MATCH(O677,Setup!$B$33:$B$40,0)),0)=1)*(COUNTIF(O658:Q675,$B677)+COUNTIF(O658:Q675,$B677&amp;" ~*")&gt;0)+(IFERROR(INDEX(Setup!$G$33:$G$40,MATCH(S677,Setup!$B$33:$B$40,0)),0)=1)*(COUNTIF(S658:U675,$B677)+COUNTIF(S658:U675,$B677&amp;" ~*")&gt;0)+(IFERROR(INDEX(Setup!$G$33:$G$40,MATCH(W677,Setup!$B$33:$B$40,0)),0)=1)*(COUNTIF(W658:W675,$B677)+COUNTIF(W658:W675,$B677&amp;" ~*")&gt;0)+(IFERROR(INDEX(Setup!$G$33:$G$40,MATCH(Y677,Setup!$B$33:$B$40,0)),0)=1)*(COUNTIF(Y658:Y675,$B677)+COUNTIF(Y658:Y675,$B677&amp;" ~*")&gt;0))</f>
        <v/>
      </c>
    </row>
    <row r="678" ht="15" customHeight="1">
      <c r="A678" t="n">
        <v>14</v>
      </c>
      <c r="B678" s="37">
        <f>IF(Setup!$B$7="","",Setup!$B$7)</f>
        <v/>
      </c>
      <c r="C678" s="102" t="n"/>
      <c r="D678" s="103" t="n"/>
      <c r="E678" s="103" t="n"/>
      <c r="F678" s="104" t="n"/>
      <c r="G678" s="102" t="n"/>
      <c r="H678" s="103" t="n"/>
      <c r="I678" s="103" t="n"/>
      <c r="J678" s="104" t="n"/>
      <c r="K678" s="102" t="n"/>
      <c r="L678" s="103" t="n"/>
      <c r="M678" s="103" t="n"/>
      <c r="N678" s="104" t="n"/>
      <c r="O678" s="102" t="n"/>
      <c r="P678" s="103" t="n"/>
      <c r="Q678" s="103" t="n"/>
      <c r="R678" s="104" t="n"/>
      <c r="S678" s="102" t="n"/>
      <c r="T678" s="103" t="n"/>
      <c r="U678" s="103" t="n"/>
      <c r="V678" s="104" t="n"/>
      <c r="W678" s="102" t="n"/>
      <c r="X678" s="104" t="n"/>
      <c r="Y678" s="102" t="n"/>
      <c r="Z678" s="104" t="n"/>
      <c r="AB678" s="105">
        <f>IF($B678="","",(COUNTIF(C658:E675,$B678)+COUNTIF(C658:E675,$B678&amp;" ~*")&gt;0)+(COUNTIF(G658:I675,$B678)+COUNTIF(G658:I675,$B678&amp;" ~*")&gt;0)+(COUNTIF(K658:M675,$B678)+COUNTIF(K658:M675,$B678&amp;" ~*")&gt;0)+(COUNTIF(O658:Q675,$B678)+COUNTIF(O658:Q675,$B678&amp;" ~*")&gt;0)+(COUNTIF(S658:U675,$B678)+COUNTIF(S658:U675,$B678&amp;" ~*")&gt;0)+(COUNTIF(W658:W675,$B678)+COUNTIF(W658:W675,$B678&amp;" ~*")&gt;0)+(COUNTIF(Y658:Y675,$B678)+COUNTIF(Y658:Y675,$B678&amp;" ~*")&gt;0))</f>
        <v/>
      </c>
      <c r="AC678" s="38">
        <f>IF($B678="","",(IFERROR(INDEX(Setup!$G$33:$G$40,MATCH(C678,Setup!$B$33:$B$40,0)),0)=1)*(COUNTIF(C658:E675,$B678)+COUNTIF(C658:E675,$B678&amp;" ~*")&gt;0)+(IFERROR(INDEX(Setup!$G$33:$G$40,MATCH(G678,Setup!$B$33:$B$40,0)),0)=1)*(COUNTIF(G658:I675,$B678)+COUNTIF(G658:I675,$B678&amp;" ~*")&gt;0)+(IFERROR(INDEX(Setup!$G$33:$G$40,MATCH(K678,Setup!$B$33:$B$40,0)),0)=1)*(COUNTIF(K658:M675,$B678)+COUNTIF(K658:M675,$B678&amp;" ~*")&gt;0)+(IFERROR(INDEX(Setup!$G$33:$G$40,MATCH(O678,Setup!$B$33:$B$40,0)),0)=1)*(COUNTIF(O658:Q675,$B678)+COUNTIF(O658:Q675,$B678&amp;" ~*")&gt;0)+(IFERROR(INDEX(Setup!$G$33:$G$40,MATCH(S678,Setup!$B$33:$B$40,0)),0)=1)*(COUNTIF(S658:U675,$B678)+COUNTIF(S658:U675,$B678&amp;" ~*")&gt;0)+(IFERROR(INDEX(Setup!$G$33:$G$40,MATCH(W678,Setup!$B$33:$B$40,0)),0)=1)*(COUNTIF(W658:W675,$B678)+COUNTIF(W658:W675,$B678&amp;" ~*")&gt;0)+(IFERROR(INDEX(Setup!$G$33:$G$40,MATCH(Y678,Setup!$B$33:$B$40,0)),0)=1)*(COUNTIF(Y658:Y675,$B678)+COUNTIF(Y658:Y675,$B678&amp;" ~*")&gt;0))</f>
        <v/>
      </c>
    </row>
    <row r="679" ht="15" customHeight="1">
      <c r="A679" t="n">
        <v>14</v>
      </c>
      <c r="B679" s="35">
        <f>IF(Setup!$B$8="","",Setup!$B$8)</f>
        <v/>
      </c>
      <c r="C679" s="98" t="n"/>
      <c r="D679" s="99" t="n"/>
      <c r="E679" s="99" t="n"/>
      <c r="F679" s="100" t="n"/>
      <c r="G679" s="98" t="n"/>
      <c r="H679" s="99" t="n"/>
      <c r="I679" s="99" t="n"/>
      <c r="J679" s="100" t="n"/>
      <c r="K679" s="98" t="n"/>
      <c r="L679" s="99" t="n"/>
      <c r="M679" s="99" t="n"/>
      <c r="N679" s="100" t="n"/>
      <c r="O679" s="98" t="n"/>
      <c r="P679" s="99" t="n"/>
      <c r="Q679" s="99" t="n"/>
      <c r="R679" s="100" t="n"/>
      <c r="S679" s="98" t="n"/>
      <c r="T679" s="99" t="n"/>
      <c r="U679" s="99" t="n"/>
      <c r="V679" s="100" t="n"/>
      <c r="W679" s="98" t="n"/>
      <c r="X679" s="100" t="n"/>
      <c r="Y679" s="98" t="n"/>
      <c r="Z679" s="100" t="n"/>
      <c r="AB679" s="101">
        <f>IF($B679="","",(COUNTIF(C658:E675,$B679)+COUNTIF(C658:E675,$B679&amp;" ~*")&gt;0)+(COUNTIF(G658:I675,$B679)+COUNTIF(G658:I675,$B679&amp;" ~*")&gt;0)+(COUNTIF(K658:M675,$B679)+COUNTIF(K658:M675,$B679&amp;" ~*")&gt;0)+(COUNTIF(O658:Q675,$B679)+COUNTIF(O658:Q675,$B679&amp;" ~*")&gt;0)+(COUNTIF(S658:U675,$B679)+COUNTIF(S658:U675,$B679&amp;" ~*")&gt;0)+(COUNTIF(W658:W675,$B679)+COUNTIF(W658:W675,$B679&amp;" ~*")&gt;0)+(COUNTIF(Y658:Y675,$B679)+COUNTIF(Y658:Y675,$B679&amp;" ~*")&gt;0))</f>
        <v/>
      </c>
      <c r="AC679" s="36">
        <f>IF($B679="","",(IFERROR(INDEX(Setup!$G$33:$G$40,MATCH(C679,Setup!$B$33:$B$40,0)),0)=1)*(COUNTIF(C658:E675,$B679)+COUNTIF(C658:E675,$B679&amp;" ~*")&gt;0)+(IFERROR(INDEX(Setup!$G$33:$G$40,MATCH(G679,Setup!$B$33:$B$40,0)),0)=1)*(COUNTIF(G658:I675,$B679)+COUNTIF(G658:I675,$B679&amp;" ~*")&gt;0)+(IFERROR(INDEX(Setup!$G$33:$G$40,MATCH(K679,Setup!$B$33:$B$40,0)),0)=1)*(COUNTIF(K658:M675,$B679)+COUNTIF(K658:M675,$B679&amp;" ~*")&gt;0)+(IFERROR(INDEX(Setup!$G$33:$G$40,MATCH(O679,Setup!$B$33:$B$40,0)),0)=1)*(COUNTIF(O658:Q675,$B679)+COUNTIF(O658:Q675,$B679&amp;" ~*")&gt;0)+(IFERROR(INDEX(Setup!$G$33:$G$40,MATCH(S679,Setup!$B$33:$B$40,0)),0)=1)*(COUNTIF(S658:U675,$B679)+COUNTIF(S658:U675,$B679&amp;" ~*")&gt;0)+(IFERROR(INDEX(Setup!$G$33:$G$40,MATCH(W679,Setup!$B$33:$B$40,0)),0)=1)*(COUNTIF(W658:W675,$B679)+COUNTIF(W658:W675,$B679&amp;" ~*")&gt;0)+(IFERROR(INDEX(Setup!$G$33:$G$40,MATCH(Y679,Setup!$B$33:$B$40,0)),0)=1)*(COUNTIF(Y658:Y675,$B679)+COUNTIF(Y658:Y675,$B679&amp;" ~*")&gt;0))</f>
        <v/>
      </c>
    </row>
    <row r="680" ht="15" customHeight="1">
      <c r="A680" t="n">
        <v>14</v>
      </c>
      <c r="B680" s="37">
        <f>IF(Setup!$B$9="","",Setup!$B$9)</f>
        <v/>
      </c>
      <c r="C680" s="102" t="inlineStr">
        <is>
          <t>AL</t>
        </is>
      </c>
      <c r="D680" s="103" t="n"/>
      <c r="E680" s="103" t="n"/>
      <c r="F680" s="104" t="n"/>
      <c r="G680" s="102" t="inlineStr">
        <is>
          <t>AL</t>
        </is>
      </c>
      <c r="H680" s="103" t="n"/>
      <c r="I680" s="103" t="n"/>
      <c r="J680" s="104" t="n"/>
      <c r="K680" s="102" t="inlineStr">
        <is>
          <t>AL</t>
        </is>
      </c>
      <c r="L680" s="103" t="n"/>
      <c r="M680" s="103" t="n"/>
      <c r="N680" s="104" t="n"/>
      <c r="O680" s="102" t="inlineStr">
        <is>
          <t>AL</t>
        </is>
      </c>
      <c r="P680" s="103" t="n"/>
      <c r="Q680" s="103" t="n"/>
      <c r="R680" s="104" t="n"/>
      <c r="S680" s="102" t="inlineStr">
        <is>
          <t>AL</t>
        </is>
      </c>
      <c r="T680" s="103" t="n"/>
      <c r="U680" s="103" t="n"/>
      <c r="V680" s="104" t="n"/>
      <c r="W680" s="102" t="n"/>
      <c r="X680" s="104" t="n"/>
      <c r="Y680" s="102" t="n"/>
      <c r="Z680" s="104" t="n"/>
      <c r="AB680" s="105">
        <f>IF($B680="","",(COUNTIF(C658:E675,$B680)+COUNTIF(C658:E675,$B680&amp;" ~*")&gt;0)+(COUNTIF(G658:I675,$B680)+COUNTIF(G658:I675,$B680&amp;" ~*")&gt;0)+(COUNTIF(K658:M675,$B680)+COUNTIF(K658:M675,$B680&amp;" ~*")&gt;0)+(COUNTIF(O658:Q675,$B680)+COUNTIF(O658:Q675,$B680&amp;" ~*")&gt;0)+(COUNTIF(S658:U675,$B680)+COUNTIF(S658:U675,$B680&amp;" ~*")&gt;0)+(COUNTIF(W658:W675,$B680)+COUNTIF(W658:W675,$B680&amp;" ~*")&gt;0)+(COUNTIF(Y658:Y675,$B680)+COUNTIF(Y658:Y675,$B680&amp;" ~*")&gt;0))</f>
        <v/>
      </c>
      <c r="AC680" s="38">
        <f>IF($B680="","",(IFERROR(INDEX(Setup!$G$33:$G$40,MATCH(C680,Setup!$B$33:$B$40,0)),0)=1)*(COUNTIF(C658:E675,$B680)+COUNTIF(C658:E675,$B680&amp;" ~*")&gt;0)+(IFERROR(INDEX(Setup!$G$33:$G$40,MATCH(G680,Setup!$B$33:$B$40,0)),0)=1)*(COUNTIF(G658:I675,$B680)+COUNTIF(G658:I675,$B680&amp;" ~*")&gt;0)+(IFERROR(INDEX(Setup!$G$33:$G$40,MATCH(K680,Setup!$B$33:$B$40,0)),0)=1)*(COUNTIF(K658:M675,$B680)+COUNTIF(K658:M675,$B680&amp;" ~*")&gt;0)+(IFERROR(INDEX(Setup!$G$33:$G$40,MATCH(O680,Setup!$B$33:$B$40,0)),0)=1)*(COUNTIF(O658:Q675,$B680)+COUNTIF(O658:Q675,$B680&amp;" ~*")&gt;0)+(IFERROR(INDEX(Setup!$G$33:$G$40,MATCH(S680,Setup!$B$33:$B$40,0)),0)=1)*(COUNTIF(S658:U675,$B680)+COUNTIF(S658:U675,$B680&amp;" ~*")&gt;0)+(IFERROR(INDEX(Setup!$G$33:$G$40,MATCH(W680,Setup!$B$33:$B$40,0)),0)=1)*(COUNTIF(W658:W675,$B680)+COUNTIF(W658:W675,$B680&amp;" ~*")&gt;0)+(IFERROR(INDEX(Setup!$G$33:$G$40,MATCH(Y680,Setup!$B$33:$B$40,0)),0)=1)*(COUNTIF(Y658:Y675,$B680)+COUNTIF(Y658:Y675,$B680&amp;" ~*")&gt;0))</f>
        <v/>
      </c>
    </row>
    <row r="681" ht="15" customHeight="1">
      <c r="A681" t="n">
        <v>14</v>
      </c>
      <c r="B681" s="35">
        <f>IF(Setup!$B$10="","",Setup!$B$10)</f>
        <v/>
      </c>
      <c r="C681" s="98" t="n"/>
      <c r="D681" s="99" t="n"/>
      <c r="E681" s="99" t="n"/>
      <c r="F681" s="100" t="n"/>
      <c r="G681" s="98" t="n"/>
      <c r="H681" s="99" t="n"/>
      <c r="I681" s="99" t="n"/>
      <c r="J681" s="100" t="n"/>
      <c r="K681" s="98" t="n"/>
      <c r="L681" s="99" t="n"/>
      <c r="M681" s="99" t="n"/>
      <c r="N681" s="100" t="n"/>
      <c r="O681" s="98" t="n"/>
      <c r="P681" s="99" t="n"/>
      <c r="Q681" s="99" t="n"/>
      <c r="R681" s="100" t="n"/>
      <c r="S681" s="98" t="n"/>
      <c r="T681" s="99" t="n"/>
      <c r="U681" s="99" t="n"/>
      <c r="V681" s="100" t="n"/>
      <c r="W681" s="98" t="n"/>
      <c r="X681" s="100" t="n"/>
      <c r="Y681" s="98" t="n"/>
      <c r="Z681" s="100" t="n"/>
      <c r="AB681" s="101">
        <f>IF($B681="","",(COUNTIF(C658:E675,$B681)+COUNTIF(C658:E675,$B681&amp;" ~*")&gt;0)+(COUNTIF(G658:I675,$B681)+COUNTIF(G658:I675,$B681&amp;" ~*")&gt;0)+(COUNTIF(K658:M675,$B681)+COUNTIF(K658:M675,$B681&amp;" ~*")&gt;0)+(COUNTIF(O658:Q675,$B681)+COUNTIF(O658:Q675,$B681&amp;" ~*")&gt;0)+(COUNTIF(S658:U675,$B681)+COUNTIF(S658:U675,$B681&amp;" ~*")&gt;0)+(COUNTIF(W658:W675,$B681)+COUNTIF(W658:W675,$B681&amp;" ~*")&gt;0)+(COUNTIF(Y658:Y675,$B681)+COUNTIF(Y658:Y675,$B681&amp;" ~*")&gt;0))</f>
        <v/>
      </c>
      <c r="AC681" s="36">
        <f>IF($B681="","",(IFERROR(INDEX(Setup!$G$33:$G$40,MATCH(C681,Setup!$B$33:$B$40,0)),0)=1)*(COUNTIF(C658:E675,$B681)+COUNTIF(C658:E675,$B681&amp;" ~*")&gt;0)+(IFERROR(INDEX(Setup!$G$33:$G$40,MATCH(G681,Setup!$B$33:$B$40,0)),0)=1)*(COUNTIF(G658:I675,$B681)+COUNTIF(G658:I675,$B681&amp;" ~*")&gt;0)+(IFERROR(INDEX(Setup!$G$33:$G$40,MATCH(K681,Setup!$B$33:$B$40,0)),0)=1)*(COUNTIF(K658:M675,$B681)+COUNTIF(K658:M675,$B681&amp;" ~*")&gt;0)+(IFERROR(INDEX(Setup!$G$33:$G$40,MATCH(O681,Setup!$B$33:$B$40,0)),0)=1)*(COUNTIF(O658:Q675,$B681)+COUNTIF(O658:Q675,$B681&amp;" ~*")&gt;0)+(IFERROR(INDEX(Setup!$G$33:$G$40,MATCH(S681,Setup!$B$33:$B$40,0)),0)=1)*(COUNTIF(S658:U675,$B681)+COUNTIF(S658:U675,$B681&amp;" ~*")&gt;0)+(IFERROR(INDEX(Setup!$G$33:$G$40,MATCH(W681,Setup!$B$33:$B$40,0)),0)=1)*(COUNTIF(W658:W675,$B681)+COUNTIF(W658:W675,$B681&amp;" ~*")&gt;0)+(IFERROR(INDEX(Setup!$G$33:$G$40,MATCH(Y681,Setup!$B$33:$B$40,0)),0)=1)*(COUNTIF(Y658:Y675,$B681)+COUNTIF(Y658:Y675,$B681&amp;" ~*")&gt;0))</f>
        <v/>
      </c>
    </row>
    <row r="682" ht="15" customHeight="1">
      <c r="A682" t="n">
        <v>14</v>
      </c>
      <c r="B682" s="37">
        <f>IF(Setup!$B$11="","",Setup!$B$11)</f>
        <v/>
      </c>
      <c r="C682" s="102" t="n"/>
      <c r="D682" s="103" t="n"/>
      <c r="E682" s="103" t="n"/>
      <c r="F682" s="104" t="n"/>
      <c r="G682" s="102" t="n"/>
      <c r="H682" s="103" t="n"/>
      <c r="I682" s="103" t="n"/>
      <c r="J682" s="104" t="n"/>
      <c r="K682" s="102" t="n"/>
      <c r="L682" s="103" t="n"/>
      <c r="M682" s="103" t="n"/>
      <c r="N682" s="104" t="n"/>
      <c r="O682" s="102" t="n"/>
      <c r="P682" s="103" t="n"/>
      <c r="Q682" s="103" t="n"/>
      <c r="R682" s="104" t="n"/>
      <c r="S682" s="102" t="n"/>
      <c r="T682" s="103" t="n"/>
      <c r="U682" s="103" t="n"/>
      <c r="V682" s="104" t="n"/>
      <c r="W682" s="102" t="n"/>
      <c r="X682" s="104" t="n"/>
      <c r="Y682" s="102" t="n"/>
      <c r="Z682" s="104" t="n"/>
      <c r="AB682" s="105">
        <f>IF($B682="","",(COUNTIF(C658:E675,$B682)+COUNTIF(C658:E675,$B682&amp;" ~*")&gt;0)+(COUNTIF(G658:I675,$B682)+COUNTIF(G658:I675,$B682&amp;" ~*")&gt;0)+(COUNTIF(K658:M675,$B682)+COUNTIF(K658:M675,$B682&amp;" ~*")&gt;0)+(COUNTIF(O658:Q675,$B682)+COUNTIF(O658:Q675,$B682&amp;" ~*")&gt;0)+(COUNTIF(S658:U675,$B682)+COUNTIF(S658:U675,$B682&amp;" ~*")&gt;0)+(COUNTIF(W658:W675,$B682)+COUNTIF(W658:W675,$B682&amp;" ~*")&gt;0)+(COUNTIF(Y658:Y675,$B682)+COUNTIF(Y658:Y675,$B682&amp;" ~*")&gt;0))</f>
        <v/>
      </c>
      <c r="AC682" s="38">
        <f>IF($B682="","",(IFERROR(INDEX(Setup!$G$33:$G$40,MATCH(C682,Setup!$B$33:$B$40,0)),0)=1)*(COUNTIF(C658:E675,$B682)+COUNTIF(C658:E675,$B682&amp;" ~*")&gt;0)+(IFERROR(INDEX(Setup!$G$33:$G$40,MATCH(G682,Setup!$B$33:$B$40,0)),0)=1)*(COUNTIF(G658:I675,$B682)+COUNTIF(G658:I675,$B682&amp;" ~*")&gt;0)+(IFERROR(INDEX(Setup!$G$33:$G$40,MATCH(K682,Setup!$B$33:$B$40,0)),0)=1)*(COUNTIF(K658:M675,$B682)+COUNTIF(K658:M675,$B682&amp;" ~*")&gt;0)+(IFERROR(INDEX(Setup!$G$33:$G$40,MATCH(O682,Setup!$B$33:$B$40,0)),0)=1)*(COUNTIF(O658:Q675,$B682)+COUNTIF(O658:Q675,$B682&amp;" ~*")&gt;0)+(IFERROR(INDEX(Setup!$G$33:$G$40,MATCH(S682,Setup!$B$33:$B$40,0)),0)=1)*(COUNTIF(S658:U675,$B682)+COUNTIF(S658:U675,$B682&amp;" ~*")&gt;0)+(IFERROR(INDEX(Setup!$G$33:$G$40,MATCH(W682,Setup!$B$33:$B$40,0)),0)=1)*(COUNTIF(W658:W675,$B682)+COUNTIF(W658:W675,$B682&amp;" ~*")&gt;0)+(IFERROR(INDEX(Setup!$G$33:$G$40,MATCH(Y682,Setup!$B$33:$B$40,0)),0)=1)*(COUNTIF(Y658:Y675,$B682)+COUNTIF(Y658:Y675,$B682&amp;" ~*")&gt;0))</f>
        <v/>
      </c>
    </row>
    <row r="683" ht="15" customHeight="1">
      <c r="A683" t="n">
        <v>14</v>
      </c>
      <c r="B683" s="35">
        <f>IF(Setup!$B$12="","",Setup!$B$12)</f>
        <v/>
      </c>
      <c r="C683" s="98" t="inlineStr">
        <is>
          <t>AL</t>
        </is>
      </c>
      <c r="D683" s="99" t="n"/>
      <c r="E683" s="99" t="n"/>
      <c r="F683" s="100" t="n"/>
      <c r="G683" s="98" t="n"/>
      <c r="H683" s="99" t="n"/>
      <c r="I683" s="99" t="n"/>
      <c r="J683" s="100" t="n"/>
      <c r="K683" s="98" t="n"/>
      <c r="L683" s="99" t="n"/>
      <c r="M683" s="99" t="n"/>
      <c r="N683" s="100" t="n"/>
      <c r="O683" s="98" t="inlineStr">
        <is>
          <t>AL</t>
        </is>
      </c>
      <c r="P683" s="99" t="n"/>
      <c r="Q683" s="99" t="n"/>
      <c r="R683" s="100" t="n"/>
      <c r="S683" s="98" t="n"/>
      <c r="T683" s="99" t="n"/>
      <c r="U683" s="99" t="n"/>
      <c r="V683" s="100" t="n"/>
      <c r="W683" s="98" t="n"/>
      <c r="X683" s="100" t="n"/>
      <c r="Y683" s="98" t="n"/>
      <c r="Z683" s="100" t="n"/>
      <c r="AB683" s="101">
        <f>IF($B683="","",(COUNTIF(C658:E675,$B683)+COUNTIF(C658:E675,$B683&amp;" ~*")&gt;0)+(COUNTIF(G658:I675,$B683)+COUNTIF(G658:I675,$B683&amp;" ~*")&gt;0)+(COUNTIF(K658:M675,$B683)+COUNTIF(K658:M675,$B683&amp;" ~*")&gt;0)+(COUNTIF(O658:Q675,$B683)+COUNTIF(O658:Q675,$B683&amp;" ~*")&gt;0)+(COUNTIF(S658:U675,$B683)+COUNTIF(S658:U675,$B683&amp;" ~*")&gt;0)+(COUNTIF(W658:W675,$B683)+COUNTIF(W658:W675,$B683&amp;" ~*")&gt;0)+(COUNTIF(Y658:Y675,$B683)+COUNTIF(Y658:Y675,$B683&amp;" ~*")&gt;0))</f>
        <v/>
      </c>
      <c r="AC683" s="36">
        <f>IF($B683="","",(IFERROR(INDEX(Setup!$G$33:$G$40,MATCH(C683,Setup!$B$33:$B$40,0)),0)=1)*(COUNTIF(C658:E675,$B683)+COUNTIF(C658:E675,$B683&amp;" ~*")&gt;0)+(IFERROR(INDEX(Setup!$G$33:$G$40,MATCH(G683,Setup!$B$33:$B$40,0)),0)=1)*(COUNTIF(G658:I675,$B683)+COUNTIF(G658:I675,$B683&amp;" ~*")&gt;0)+(IFERROR(INDEX(Setup!$G$33:$G$40,MATCH(K683,Setup!$B$33:$B$40,0)),0)=1)*(COUNTIF(K658:M675,$B683)+COUNTIF(K658:M675,$B683&amp;" ~*")&gt;0)+(IFERROR(INDEX(Setup!$G$33:$G$40,MATCH(O683,Setup!$B$33:$B$40,0)),0)=1)*(COUNTIF(O658:Q675,$B683)+COUNTIF(O658:Q675,$B683&amp;" ~*")&gt;0)+(IFERROR(INDEX(Setup!$G$33:$G$40,MATCH(S683,Setup!$B$33:$B$40,0)),0)=1)*(COUNTIF(S658:U675,$B683)+COUNTIF(S658:U675,$B683&amp;" ~*")&gt;0)+(IFERROR(INDEX(Setup!$G$33:$G$40,MATCH(W683,Setup!$B$33:$B$40,0)),0)=1)*(COUNTIF(W658:W675,$B683)+COUNTIF(W658:W675,$B683&amp;" ~*")&gt;0)+(IFERROR(INDEX(Setup!$G$33:$G$40,MATCH(Y683,Setup!$B$33:$B$40,0)),0)=1)*(COUNTIF(Y658:Y675,$B683)+COUNTIF(Y658:Y675,$B683&amp;" ~*")&gt;0))</f>
        <v/>
      </c>
    </row>
    <row r="684" ht="15" customHeight="1">
      <c r="A684" t="n">
        <v>14</v>
      </c>
      <c r="B684" s="37">
        <f>IF(Setup!$B$13="","",Setup!$B$13)</f>
        <v/>
      </c>
      <c r="C684" s="102" t="n"/>
      <c r="D684" s="103" t="n"/>
      <c r="E684" s="103" t="n"/>
      <c r="F684" s="104" t="n"/>
      <c r="G684" s="102" t="n"/>
      <c r="H684" s="103" t="n"/>
      <c r="I684" s="103" t="n"/>
      <c r="J684" s="104" t="n"/>
      <c r="K684" s="102" t="n"/>
      <c r="L684" s="103" t="n"/>
      <c r="M684" s="103" t="n"/>
      <c r="N684" s="104" t="n"/>
      <c r="O684" s="102" t="n"/>
      <c r="P684" s="103" t="n"/>
      <c r="Q684" s="103" t="n"/>
      <c r="R684" s="104" t="n"/>
      <c r="S684" s="102" t="n"/>
      <c r="T684" s="103" t="n"/>
      <c r="U684" s="103" t="n"/>
      <c r="V684" s="104" t="n"/>
      <c r="W684" s="102" t="n"/>
      <c r="X684" s="104" t="n"/>
      <c r="Y684" s="102" t="n"/>
      <c r="Z684" s="104" t="n"/>
      <c r="AB684" s="105">
        <f>IF($B684="","",(COUNTIF(C658:E675,$B684)+COUNTIF(C658:E675,$B684&amp;" ~*")&gt;0)+(COUNTIF(G658:I675,$B684)+COUNTIF(G658:I675,$B684&amp;" ~*")&gt;0)+(COUNTIF(K658:M675,$B684)+COUNTIF(K658:M675,$B684&amp;" ~*")&gt;0)+(COUNTIF(O658:Q675,$B684)+COUNTIF(O658:Q675,$B684&amp;" ~*")&gt;0)+(COUNTIF(S658:U675,$B684)+COUNTIF(S658:U675,$B684&amp;" ~*")&gt;0)+(COUNTIF(W658:W675,$B684)+COUNTIF(W658:W675,$B684&amp;" ~*")&gt;0)+(COUNTIF(Y658:Y675,$B684)+COUNTIF(Y658:Y675,$B684&amp;" ~*")&gt;0))</f>
        <v/>
      </c>
      <c r="AC684" s="38">
        <f>IF($B684="","",(IFERROR(INDEX(Setup!$G$33:$G$40,MATCH(C684,Setup!$B$33:$B$40,0)),0)=1)*(COUNTIF(C658:E675,$B684)+COUNTIF(C658:E675,$B684&amp;" ~*")&gt;0)+(IFERROR(INDEX(Setup!$G$33:$G$40,MATCH(G684,Setup!$B$33:$B$40,0)),0)=1)*(COUNTIF(G658:I675,$B684)+COUNTIF(G658:I675,$B684&amp;" ~*")&gt;0)+(IFERROR(INDEX(Setup!$G$33:$G$40,MATCH(K684,Setup!$B$33:$B$40,0)),0)=1)*(COUNTIF(K658:M675,$B684)+COUNTIF(K658:M675,$B684&amp;" ~*")&gt;0)+(IFERROR(INDEX(Setup!$G$33:$G$40,MATCH(O684,Setup!$B$33:$B$40,0)),0)=1)*(COUNTIF(O658:Q675,$B684)+COUNTIF(O658:Q675,$B684&amp;" ~*")&gt;0)+(IFERROR(INDEX(Setup!$G$33:$G$40,MATCH(S684,Setup!$B$33:$B$40,0)),0)=1)*(COUNTIF(S658:U675,$B684)+COUNTIF(S658:U675,$B684&amp;" ~*")&gt;0)+(IFERROR(INDEX(Setup!$G$33:$G$40,MATCH(W684,Setup!$B$33:$B$40,0)),0)=1)*(COUNTIF(W658:W675,$B684)+COUNTIF(W658:W675,$B684&amp;" ~*")&gt;0)+(IFERROR(INDEX(Setup!$G$33:$G$40,MATCH(Y684,Setup!$B$33:$B$40,0)),0)=1)*(COUNTIF(Y658:Y675,$B684)+COUNTIF(Y658:Y675,$B684&amp;" ~*")&gt;0))</f>
        <v/>
      </c>
    </row>
    <row r="685" ht="15" customHeight="1">
      <c r="A685" t="n">
        <v>14</v>
      </c>
      <c r="B685" s="35">
        <f>IF(Setup!$B$14="","",Setup!$B$14)</f>
        <v/>
      </c>
      <c r="C685" s="98" t="n"/>
      <c r="D685" s="99" t="n"/>
      <c r="E685" s="99" t="n"/>
      <c r="F685" s="100" t="n"/>
      <c r="G685" s="98" t="n"/>
      <c r="H685" s="99" t="n"/>
      <c r="I685" s="99" t="n"/>
      <c r="J685" s="100" t="n"/>
      <c r="K685" s="98" t="n"/>
      <c r="L685" s="99" t="n"/>
      <c r="M685" s="99" t="n"/>
      <c r="N685" s="100" t="n"/>
      <c r="O685" s="98" t="n"/>
      <c r="P685" s="99" t="n"/>
      <c r="Q685" s="99" t="n"/>
      <c r="R685" s="100" t="n"/>
      <c r="S685" s="98" t="n"/>
      <c r="T685" s="99" t="n"/>
      <c r="U685" s="99" t="n"/>
      <c r="V685" s="100" t="n"/>
      <c r="W685" s="98" t="n"/>
      <c r="X685" s="100" t="n"/>
      <c r="Y685" s="98" t="n"/>
      <c r="Z685" s="100" t="n"/>
      <c r="AB685" s="101">
        <f>IF($B685="","",(COUNTIF(C658:E675,$B685)+COUNTIF(C658:E675,$B685&amp;" ~*")&gt;0)+(COUNTIF(G658:I675,$B685)+COUNTIF(G658:I675,$B685&amp;" ~*")&gt;0)+(COUNTIF(K658:M675,$B685)+COUNTIF(K658:M675,$B685&amp;" ~*")&gt;0)+(COUNTIF(O658:Q675,$B685)+COUNTIF(O658:Q675,$B685&amp;" ~*")&gt;0)+(COUNTIF(S658:U675,$B685)+COUNTIF(S658:U675,$B685&amp;" ~*")&gt;0)+(COUNTIF(W658:W675,$B685)+COUNTIF(W658:W675,$B685&amp;" ~*")&gt;0)+(COUNTIF(Y658:Y675,$B685)+COUNTIF(Y658:Y675,$B685&amp;" ~*")&gt;0))</f>
        <v/>
      </c>
      <c r="AC685" s="36">
        <f>IF($B685="","",(IFERROR(INDEX(Setup!$G$33:$G$40,MATCH(C685,Setup!$B$33:$B$40,0)),0)=1)*(COUNTIF(C658:E675,$B685)+COUNTIF(C658:E675,$B685&amp;" ~*")&gt;0)+(IFERROR(INDEX(Setup!$G$33:$G$40,MATCH(G685,Setup!$B$33:$B$40,0)),0)=1)*(COUNTIF(G658:I675,$B685)+COUNTIF(G658:I675,$B685&amp;" ~*")&gt;0)+(IFERROR(INDEX(Setup!$G$33:$G$40,MATCH(K685,Setup!$B$33:$B$40,0)),0)=1)*(COUNTIF(K658:M675,$B685)+COUNTIF(K658:M675,$B685&amp;" ~*")&gt;0)+(IFERROR(INDEX(Setup!$G$33:$G$40,MATCH(O685,Setup!$B$33:$B$40,0)),0)=1)*(COUNTIF(O658:Q675,$B685)+COUNTIF(O658:Q675,$B685&amp;" ~*")&gt;0)+(IFERROR(INDEX(Setup!$G$33:$G$40,MATCH(S685,Setup!$B$33:$B$40,0)),0)=1)*(COUNTIF(S658:U675,$B685)+COUNTIF(S658:U675,$B685&amp;" ~*")&gt;0)+(IFERROR(INDEX(Setup!$G$33:$G$40,MATCH(W685,Setup!$B$33:$B$40,0)),0)=1)*(COUNTIF(W658:W675,$B685)+COUNTIF(W658:W675,$B685&amp;" ~*")&gt;0)+(IFERROR(INDEX(Setup!$G$33:$G$40,MATCH(Y685,Setup!$B$33:$B$40,0)),0)=1)*(COUNTIF(Y658:Y675,$B685)+COUNTIF(Y658:Y675,$B685&amp;" ~*")&gt;0))</f>
        <v/>
      </c>
    </row>
    <row r="686" ht="15" customHeight="1">
      <c r="A686" t="n">
        <v>14</v>
      </c>
      <c r="B686" s="37">
        <f>IF(Setup!$B$15="","",Setup!$B$15)</f>
        <v/>
      </c>
      <c r="C686" s="102" t="n"/>
      <c r="D686" s="103" t="n"/>
      <c r="E686" s="103" t="n"/>
      <c r="F686" s="104" t="n"/>
      <c r="G686" s="102" t="n"/>
      <c r="H686" s="103" t="n"/>
      <c r="I686" s="103" t="n"/>
      <c r="J686" s="104" t="n"/>
      <c r="K686" s="102" t="n"/>
      <c r="L686" s="103" t="n"/>
      <c r="M686" s="103" t="n"/>
      <c r="N686" s="104" t="n"/>
      <c r="O686" s="102" t="n"/>
      <c r="P686" s="103" t="n"/>
      <c r="Q686" s="103" t="n"/>
      <c r="R686" s="104" t="n"/>
      <c r="S686" s="102" t="n"/>
      <c r="T686" s="103" t="n"/>
      <c r="U686" s="103" t="n"/>
      <c r="V686" s="104" t="n"/>
      <c r="W686" s="102" t="n"/>
      <c r="X686" s="104" t="n"/>
      <c r="Y686" s="102" t="n"/>
      <c r="Z686" s="104" t="n"/>
      <c r="AB686" s="105">
        <f>IF($B686="","",(COUNTIF(C658:E675,$B686)+COUNTIF(C658:E675,$B686&amp;" ~*")&gt;0)+(COUNTIF(G658:I675,$B686)+COUNTIF(G658:I675,$B686&amp;" ~*")&gt;0)+(COUNTIF(K658:M675,$B686)+COUNTIF(K658:M675,$B686&amp;" ~*")&gt;0)+(COUNTIF(O658:Q675,$B686)+COUNTIF(O658:Q675,$B686&amp;" ~*")&gt;0)+(COUNTIF(S658:U675,$B686)+COUNTIF(S658:U675,$B686&amp;" ~*")&gt;0)+(COUNTIF(W658:W675,$B686)+COUNTIF(W658:W675,$B686&amp;" ~*")&gt;0)+(COUNTIF(Y658:Y675,$B686)+COUNTIF(Y658:Y675,$B686&amp;" ~*")&gt;0))</f>
        <v/>
      </c>
      <c r="AC686" s="38">
        <f>IF($B686="","",(IFERROR(INDEX(Setup!$G$33:$G$40,MATCH(C686,Setup!$B$33:$B$40,0)),0)=1)*(COUNTIF(C658:E675,$B686)+COUNTIF(C658:E675,$B686&amp;" ~*")&gt;0)+(IFERROR(INDEX(Setup!$G$33:$G$40,MATCH(G686,Setup!$B$33:$B$40,0)),0)=1)*(COUNTIF(G658:I675,$B686)+COUNTIF(G658:I675,$B686&amp;" ~*")&gt;0)+(IFERROR(INDEX(Setup!$G$33:$G$40,MATCH(K686,Setup!$B$33:$B$40,0)),0)=1)*(COUNTIF(K658:M675,$B686)+COUNTIF(K658:M675,$B686&amp;" ~*")&gt;0)+(IFERROR(INDEX(Setup!$G$33:$G$40,MATCH(O686,Setup!$B$33:$B$40,0)),0)=1)*(COUNTIF(O658:Q675,$B686)+COUNTIF(O658:Q675,$B686&amp;" ~*")&gt;0)+(IFERROR(INDEX(Setup!$G$33:$G$40,MATCH(S686,Setup!$B$33:$B$40,0)),0)=1)*(COUNTIF(S658:U675,$B686)+COUNTIF(S658:U675,$B686&amp;" ~*")&gt;0)+(IFERROR(INDEX(Setup!$G$33:$G$40,MATCH(W686,Setup!$B$33:$B$40,0)),0)=1)*(COUNTIF(W658:W675,$B686)+COUNTIF(W658:W675,$B686&amp;" ~*")&gt;0)+(IFERROR(INDEX(Setup!$G$33:$G$40,MATCH(Y686,Setup!$B$33:$B$40,0)),0)=1)*(COUNTIF(Y658:Y675,$B686)+COUNTIF(Y658:Y675,$B686&amp;" ~*")&gt;0))</f>
        <v/>
      </c>
    </row>
    <row r="687" ht="15" customHeight="1">
      <c r="A687" t="n">
        <v>14</v>
      </c>
      <c r="B687" s="35">
        <f>IF(Setup!$B$16="","",Setup!$B$16)</f>
        <v/>
      </c>
      <c r="C687" s="98" t="n"/>
      <c r="D687" s="99" t="n"/>
      <c r="E687" s="99" t="n"/>
      <c r="F687" s="100" t="n"/>
      <c r="G687" s="98" t="n"/>
      <c r="H687" s="99" t="n"/>
      <c r="I687" s="99" t="n"/>
      <c r="J687" s="100" t="n"/>
      <c r="K687" s="98" t="n"/>
      <c r="L687" s="99" t="n"/>
      <c r="M687" s="99" t="n"/>
      <c r="N687" s="100" t="n"/>
      <c r="O687" s="98" t="n"/>
      <c r="P687" s="99" t="n"/>
      <c r="Q687" s="99" t="n"/>
      <c r="R687" s="100" t="n"/>
      <c r="S687" s="98" t="n"/>
      <c r="T687" s="99" t="n"/>
      <c r="U687" s="99" t="n"/>
      <c r="V687" s="100" t="n"/>
      <c r="W687" s="98" t="n"/>
      <c r="X687" s="100" t="n"/>
      <c r="Y687" s="98" t="n"/>
      <c r="Z687" s="100" t="n"/>
      <c r="AB687" s="101">
        <f>IF($B687="","",(COUNTIF(C658:E675,$B687)+COUNTIF(C658:E675,$B687&amp;" ~*")&gt;0)+(COUNTIF(G658:I675,$B687)+COUNTIF(G658:I675,$B687&amp;" ~*")&gt;0)+(COUNTIF(K658:M675,$B687)+COUNTIF(K658:M675,$B687&amp;" ~*")&gt;0)+(COUNTIF(O658:Q675,$B687)+COUNTIF(O658:Q675,$B687&amp;" ~*")&gt;0)+(COUNTIF(S658:U675,$B687)+COUNTIF(S658:U675,$B687&amp;" ~*")&gt;0)+(COUNTIF(W658:W675,$B687)+COUNTIF(W658:W675,$B687&amp;" ~*")&gt;0)+(COUNTIF(Y658:Y675,$B687)+COUNTIF(Y658:Y675,$B687&amp;" ~*")&gt;0))</f>
        <v/>
      </c>
      <c r="AC687" s="36">
        <f>IF($B687="","",(IFERROR(INDEX(Setup!$G$33:$G$40,MATCH(C687,Setup!$B$33:$B$40,0)),0)=1)*(COUNTIF(C658:E675,$B687)+COUNTIF(C658:E675,$B687&amp;" ~*")&gt;0)+(IFERROR(INDEX(Setup!$G$33:$G$40,MATCH(G687,Setup!$B$33:$B$40,0)),0)=1)*(COUNTIF(G658:I675,$B687)+COUNTIF(G658:I675,$B687&amp;" ~*")&gt;0)+(IFERROR(INDEX(Setup!$G$33:$G$40,MATCH(K687,Setup!$B$33:$B$40,0)),0)=1)*(COUNTIF(K658:M675,$B687)+COUNTIF(K658:M675,$B687&amp;" ~*")&gt;0)+(IFERROR(INDEX(Setup!$G$33:$G$40,MATCH(O687,Setup!$B$33:$B$40,0)),0)=1)*(COUNTIF(O658:Q675,$B687)+COUNTIF(O658:Q675,$B687&amp;" ~*")&gt;0)+(IFERROR(INDEX(Setup!$G$33:$G$40,MATCH(S687,Setup!$B$33:$B$40,0)),0)=1)*(COUNTIF(S658:U675,$B687)+COUNTIF(S658:U675,$B687&amp;" ~*")&gt;0)+(IFERROR(INDEX(Setup!$G$33:$G$40,MATCH(W687,Setup!$B$33:$B$40,0)),0)=1)*(COUNTIF(W658:W675,$B687)+COUNTIF(W658:W675,$B687&amp;" ~*")&gt;0)+(IFERROR(INDEX(Setup!$G$33:$G$40,MATCH(Y687,Setup!$B$33:$B$40,0)),0)=1)*(COUNTIF(Y658:Y675,$B687)+COUNTIF(Y658:Y675,$B687&amp;" ~*")&gt;0))</f>
        <v/>
      </c>
    </row>
    <row r="688" ht="15" customHeight="1">
      <c r="A688" t="n">
        <v>14</v>
      </c>
      <c r="B688" s="37">
        <f>IF(Setup!$B$17="","",Setup!$B$17)</f>
        <v/>
      </c>
      <c r="C688" s="102" t="n"/>
      <c r="D688" s="103" t="n"/>
      <c r="E688" s="103" t="n"/>
      <c r="F688" s="104" t="n"/>
      <c r="G688" s="102" t="n"/>
      <c r="H688" s="103" t="n"/>
      <c r="I688" s="103" t="n"/>
      <c r="J688" s="104" t="n"/>
      <c r="K688" s="102" t="n"/>
      <c r="L688" s="103" t="n"/>
      <c r="M688" s="103" t="n"/>
      <c r="N688" s="104" t="n"/>
      <c r="O688" s="102" t="n"/>
      <c r="P688" s="103" t="n"/>
      <c r="Q688" s="103" t="n"/>
      <c r="R688" s="104" t="n"/>
      <c r="S688" s="102" t="n"/>
      <c r="T688" s="103" t="n"/>
      <c r="U688" s="103" t="n"/>
      <c r="V688" s="104" t="n"/>
      <c r="W688" s="102" t="n"/>
      <c r="X688" s="104" t="n"/>
      <c r="Y688" s="102" t="n"/>
      <c r="Z688" s="104" t="n"/>
      <c r="AB688" s="105">
        <f>IF($B688="","",(COUNTIF(C658:E675,$B688)+COUNTIF(C658:E675,$B688&amp;" ~*")&gt;0)+(COUNTIF(G658:I675,$B688)+COUNTIF(G658:I675,$B688&amp;" ~*")&gt;0)+(COUNTIF(K658:M675,$B688)+COUNTIF(K658:M675,$B688&amp;" ~*")&gt;0)+(COUNTIF(O658:Q675,$B688)+COUNTIF(O658:Q675,$B688&amp;" ~*")&gt;0)+(COUNTIF(S658:U675,$B688)+COUNTIF(S658:U675,$B688&amp;" ~*")&gt;0)+(COUNTIF(W658:W675,$B688)+COUNTIF(W658:W675,$B688&amp;" ~*")&gt;0)+(COUNTIF(Y658:Y675,$B688)+COUNTIF(Y658:Y675,$B688&amp;" ~*")&gt;0))</f>
        <v/>
      </c>
      <c r="AC688" s="38">
        <f>IF($B688="","",(IFERROR(INDEX(Setup!$G$33:$G$40,MATCH(C688,Setup!$B$33:$B$40,0)),0)=1)*(COUNTIF(C658:E675,$B688)+COUNTIF(C658:E675,$B688&amp;" ~*")&gt;0)+(IFERROR(INDEX(Setup!$G$33:$G$40,MATCH(G688,Setup!$B$33:$B$40,0)),0)=1)*(COUNTIF(G658:I675,$B688)+COUNTIF(G658:I675,$B688&amp;" ~*")&gt;0)+(IFERROR(INDEX(Setup!$G$33:$G$40,MATCH(K688,Setup!$B$33:$B$40,0)),0)=1)*(COUNTIF(K658:M675,$B688)+COUNTIF(K658:M675,$B688&amp;" ~*")&gt;0)+(IFERROR(INDEX(Setup!$G$33:$G$40,MATCH(O688,Setup!$B$33:$B$40,0)),0)=1)*(COUNTIF(O658:Q675,$B688)+COUNTIF(O658:Q675,$B688&amp;" ~*")&gt;0)+(IFERROR(INDEX(Setup!$G$33:$G$40,MATCH(S688,Setup!$B$33:$B$40,0)),0)=1)*(COUNTIF(S658:U675,$B688)+COUNTIF(S658:U675,$B688&amp;" ~*")&gt;0)+(IFERROR(INDEX(Setup!$G$33:$G$40,MATCH(W688,Setup!$B$33:$B$40,0)),0)=1)*(COUNTIF(W658:W675,$B688)+COUNTIF(W658:W675,$B688&amp;" ~*")&gt;0)+(IFERROR(INDEX(Setup!$G$33:$G$40,MATCH(Y688,Setup!$B$33:$B$40,0)),0)=1)*(COUNTIF(Y658:Y675,$B688)+COUNTIF(Y658:Y675,$B688&amp;" ~*")&gt;0))</f>
        <v/>
      </c>
    </row>
    <row r="689" ht="15" customHeight="1">
      <c r="A689" t="n">
        <v>14</v>
      </c>
      <c r="B689" s="35">
        <f>IF(Setup!$B$18="","",Setup!$B$18)</f>
        <v/>
      </c>
      <c r="C689" s="98" t="n"/>
      <c r="D689" s="99" t="n"/>
      <c r="E689" s="99" t="n"/>
      <c r="F689" s="100" t="n"/>
      <c r="G689" s="98" t="n"/>
      <c r="H689" s="99" t="n"/>
      <c r="I689" s="99" t="n"/>
      <c r="J689" s="100" t="n"/>
      <c r="K689" s="98" t="n"/>
      <c r="L689" s="99" t="n"/>
      <c r="M689" s="99" t="n"/>
      <c r="N689" s="100" t="n"/>
      <c r="O689" s="98" t="n"/>
      <c r="P689" s="99" t="n"/>
      <c r="Q689" s="99" t="n"/>
      <c r="R689" s="100" t="n"/>
      <c r="S689" s="98" t="n"/>
      <c r="T689" s="99" t="n"/>
      <c r="U689" s="99" t="n"/>
      <c r="V689" s="100" t="n"/>
      <c r="W689" s="98" t="n"/>
      <c r="X689" s="100" t="n"/>
      <c r="Y689" s="98" t="n"/>
      <c r="Z689" s="100" t="n"/>
      <c r="AB689" s="101">
        <f>IF($B689="","",(COUNTIF(C658:E675,$B689)+COUNTIF(C658:E675,$B689&amp;" ~*")&gt;0)+(COUNTIF(G658:I675,$B689)+COUNTIF(G658:I675,$B689&amp;" ~*")&gt;0)+(COUNTIF(K658:M675,$B689)+COUNTIF(K658:M675,$B689&amp;" ~*")&gt;0)+(COUNTIF(O658:Q675,$B689)+COUNTIF(O658:Q675,$B689&amp;" ~*")&gt;0)+(COUNTIF(S658:U675,$B689)+COUNTIF(S658:U675,$B689&amp;" ~*")&gt;0)+(COUNTIF(W658:W675,$B689)+COUNTIF(W658:W675,$B689&amp;" ~*")&gt;0)+(COUNTIF(Y658:Y675,$B689)+COUNTIF(Y658:Y675,$B689&amp;" ~*")&gt;0))</f>
        <v/>
      </c>
      <c r="AC689" s="36">
        <f>IF($B689="","",(IFERROR(INDEX(Setup!$G$33:$G$40,MATCH(C689,Setup!$B$33:$B$40,0)),0)=1)*(COUNTIF(C658:E675,$B689)+COUNTIF(C658:E675,$B689&amp;" ~*")&gt;0)+(IFERROR(INDEX(Setup!$G$33:$G$40,MATCH(G689,Setup!$B$33:$B$40,0)),0)=1)*(COUNTIF(G658:I675,$B689)+COUNTIF(G658:I675,$B689&amp;" ~*")&gt;0)+(IFERROR(INDEX(Setup!$G$33:$G$40,MATCH(K689,Setup!$B$33:$B$40,0)),0)=1)*(COUNTIF(K658:M675,$B689)+COUNTIF(K658:M675,$B689&amp;" ~*")&gt;0)+(IFERROR(INDEX(Setup!$G$33:$G$40,MATCH(O689,Setup!$B$33:$B$40,0)),0)=1)*(COUNTIF(O658:Q675,$B689)+COUNTIF(O658:Q675,$B689&amp;" ~*")&gt;0)+(IFERROR(INDEX(Setup!$G$33:$G$40,MATCH(S689,Setup!$B$33:$B$40,0)),0)=1)*(COUNTIF(S658:U675,$B689)+COUNTIF(S658:U675,$B689&amp;" ~*")&gt;0)+(IFERROR(INDEX(Setup!$G$33:$G$40,MATCH(W689,Setup!$B$33:$B$40,0)),0)=1)*(COUNTIF(W658:W675,$B689)+COUNTIF(W658:W675,$B689&amp;" ~*")&gt;0)+(IFERROR(INDEX(Setup!$G$33:$G$40,MATCH(Y689,Setup!$B$33:$B$40,0)),0)=1)*(COUNTIF(Y658:Y675,$B689)+COUNTIF(Y658:Y675,$B689&amp;" ~*")&gt;0))</f>
        <v/>
      </c>
    </row>
    <row r="690" ht="15" customHeight="1">
      <c r="A690" t="n">
        <v>14</v>
      </c>
      <c r="B690" s="37">
        <f>IF(Setup!$B$19="","",Setup!$B$19)</f>
        <v/>
      </c>
      <c r="C690" s="102" t="n"/>
      <c r="D690" s="103" t="n"/>
      <c r="E690" s="103" t="n"/>
      <c r="F690" s="104" t="n"/>
      <c r="G690" s="102" t="n"/>
      <c r="H690" s="103" t="n"/>
      <c r="I690" s="103" t="n"/>
      <c r="J690" s="104" t="n"/>
      <c r="K690" s="102" t="n"/>
      <c r="L690" s="103" t="n"/>
      <c r="M690" s="103" t="n"/>
      <c r="N690" s="104" t="n"/>
      <c r="O690" s="102" t="n"/>
      <c r="P690" s="103" t="n"/>
      <c r="Q690" s="103" t="n"/>
      <c r="R690" s="104" t="n"/>
      <c r="S690" s="102" t="n"/>
      <c r="T690" s="103" t="n"/>
      <c r="U690" s="103" t="n"/>
      <c r="V690" s="104" t="n"/>
      <c r="W690" s="102" t="n"/>
      <c r="X690" s="104" t="n"/>
      <c r="Y690" s="102" t="n"/>
      <c r="Z690" s="104" t="n"/>
      <c r="AB690" s="105">
        <f>IF($B690="","",(COUNTIF(C658:E675,$B690)+COUNTIF(C658:E675,$B690&amp;" ~*")&gt;0)+(COUNTIF(G658:I675,$B690)+COUNTIF(G658:I675,$B690&amp;" ~*")&gt;0)+(COUNTIF(K658:M675,$B690)+COUNTIF(K658:M675,$B690&amp;" ~*")&gt;0)+(COUNTIF(O658:Q675,$B690)+COUNTIF(O658:Q675,$B690&amp;" ~*")&gt;0)+(COUNTIF(S658:U675,$B690)+COUNTIF(S658:U675,$B690&amp;" ~*")&gt;0)+(COUNTIF(W658:W675,$B690)+COUNTIF(W658:W675,$B690&amp;" ~*")&gt;0)+(COUNTIF(Y658:Y675,$B690)+COUNTIF(Y658:Y675,$B690&amp;" ~*")&gt;0))</f>
        <v/>
      </c>
      <c r="AC690" s="38">
        <f>IF($B690="","",(IFERROR(INDEX(Setup!$G$33:$G$40,MATCH(C690,Setup!$B$33:$B$40,0)),0)=1)*(COUNTIF(C658:E675,$B690)+COUNTIF(C658:E675,$B690&amp;" ~*")&gt;0)+(IFERROR(INDEX(Setup!$G$33:$G$40,MATCH(G690,Setup!$B$33:$B$40,0)),0)=1)*(COUNTIF(G658:I675,$B690)+COUNTIF(G658:I675,$B690&amp;" ~*")&gt;0)+(IFERROR(INDEX(Setup!$G$33:$G$40,MATCH(K690,Setup!$B$33:$B$40,0)),0)=1)*(COUNTIF(K658:M675,$B690)+COUNTIF(K658:M675,$B690&amp;" ~*")&gt;0)+(IFERROR(INDEX(Setup!$G$33:$G$40,MATCH(O690,Setup!$B$33:$B$40,0)),0)=1)*(COUNTIF(O658:Q675,$B690)+COUNTIF(O658:Q675,$B690&amp;" ~*")&gt;0)+(IFERROR(INDEX(Setup!$G$33:$G$40,MATCH(S690,Setup!$B$33:$B$40,0)),0)=1)*(COUNTIF(S658:U675,$B690)+COUNTIF(S658:U675,$B690&amp;" ~*")&gt;0)+(IFERROR(INDEX(Setup!$G$33:$G$40,MATCH(W690,Setup!$B$33:$B$40,0)),0)=1)*(COUNTIF(W658:W675,$B690)+COUNTIF(W658:W675,$B690&amp;" ~*")&gt;0)+(IFERROR(INDEX(Setup!$G$33:$G$40,MATCH(Y690,Setup!$B$33:$B$40,0)),0)=1)*(COUNTIF(Y658:Y675,$B690)+COUNTIF(Y658:Y675,$B690&amp;" ~*")&gt;0))</f>
        <v/>
      </c>
    </row>
    <row r="691" ht="15" customHeight="1">
      <c r="A691" t="n">
        <v>14</v>
      </c>
      <c r="B691" s="35">
        <f>IF(Setup!$B$20="","",Setup!$B$20)</f>
        <v/>
      </c>
      <c r="C691" s="98" t="n"/>
      <c r="D691" s="99" t="n"/>
      <c r="E691" s="99" t="n"/>
      <c r="F691" s="100" t="n"/>
      <c r="G691" s="98" t="n"/>
      <c r="H691" s="99" t="n"/>
      <c r="I691" s="99" t="n"/>
      <c r="J691" s="100" t="n"/>
      <c r="K691" s="98" t="n"/>
      <c r="L691" s="99" t="n"/>
      <c r="M691" s="99" t="n"/>
      <c r="N691" s="100" t="n"/>
      <c r="O691" s="98" t="n"/>
      <c r="P691" s="99" t="n"/>
      <c r="Q691" s="99" t="n"/>
      <c r="R691" s="100" t="n"/>
      <c r="S691" s="98" t="n"/>
      <c r="T691" s="99" t="n"/>
      <c r="U691" s="99" t="n"/>
      <c r="V691" s="100" t="n"/>
      <c r="W691" s="98" t="n"/>
      <c r="X691" s="100" t="n"/>
      <c r="Y691" s="98" t="n"/>
      <c r="Z691" s="100" t="n"/>
      <c r="AB691" s="101">
        <f>IF($B691="","",(COUNTIF(C658:E675,$B691)+COUNTIF(C658:E675,$B691&amp;" ~*")&gt;0)+(COUNTIF(G658:I675,$B691)+COUNTIF(G658:I675,$B691&amp;" ~*")&gt;0)+(COUNTIF(K658:M675,$B691)+COUNTIF(K658:M675,$B691&amp;" ~*")&gt;0)+(COUNTIF(O658:Q675,$B691)+COUNTIF(O658:Q675,$B691&amp;" ~*")&gt;0)+(COUNTIF(S658:U675,$B691)+COUNTIF(S658:U675,$B691&amp;" ~*")&gt;0)+(COUNTIF(W658:W675,$B691)+COUNTIF(W658:W675,$B691&amp;" ~*")&gt;0)+(COUNTIF(Y658:Y675,$B691)+COUNTIF(Y658:Y675,$B691&amp;" ~*")&gt;0))</f>
        <v/>
      </c>
      <c r="AC691" s="36">
        <f>IF($B691="","",(IFERROR(INDEX(Setup!$G$33:$G$40,MATCH(C691,Setup!$B$33:$B$40,0)),0)=1)*(COUNTIF(C658:E675,$B691)+COUNTIF(C658:E675,$B691&amp;" ~*")&gt;0)+(IFERROR(INDEX(Setup!$G$33:$G$40,MATCH(G691,Setup!$B$33:$B$40,0)),0)=1)*(COUNTIF(G658:I675,$B691)+COUNTIF(G658:I675,$B691&amp;" ~*")&gt;0)+(IFERROR(INDEX(Setup!$G$33:$G$40,MATCH(K691,Setup!$B$33:$B$40,0)),0)=1)*(COUNTIF(K658:M675,$B691)+COUNTIF(K658:M675,$B691&amp;" ~*")&gt;0)+(IFERROR(INDEX(Setup!$G$33:$G$40,MATCH(O691,Setup!$B$33:$B$40,0)),0)=1)*(COUNTIF(O658:Q675,$B691)+COUNTIF(O658:Q675,$B691&amp;" ~*")&gt;0)+(IFERROR(INDEX(Setup!$G$33:$G$40,MATCH(S691,Setup!$B$33:$B$40,0)),0)=1)*(COUNTIF(S658:U675,$B691)+COUNTIF(S658:U675,$B691&amp;" ~*")&gt;0)+(IFERROR(INDEX(Setup!$G$33:$G$40,MATCH(W691,Setup!$B$33:$B$40,0)),0)=1)*(COUNTIF(W658:W675,$B691)+COUNTIF(W658:W675,$B691&amp;" ~*")&gt;0)+(IFERROR(INDEX(Setup!$G$33:$G$40,MATCH(Y691,Setup!$B$33:$B$40,0)),0)=1)*(COUNTIF(Y658:Y675,$B691)+COUNTIF(Y658:Y675,$B691&amp;" ~*")&gt;0))</f>
        <v/>
      </c>
    </row>
    <row r="692" ht="15" customHeight="1">
      <c r="A692" t="n">
        <v>14</v>
      </c>
      <c r="B692" s="37">
        <f>IF(Setup!$B$21="","",Setup!$B$21)</f>
        <v/>
      </c>
      <c r="C692" s="102" t="inlineStr">
        <is>
          <t>AL</t>
        </is>
      </c>
      <c r="D692" s="103" t="n"/>
      <c r="E692" s="103" t="n"/>
      <c r="F692" s="104" t="n"/>
      <c r="G692" s="102" t="inlineStr">
        <is>
          <t>AL</t>
        </is>
      </c>
      <c r="H692" s="103" t="n"/>
      <c r="I692" s="103" t="n"/>
      <c r="J692" s="104" t="n"/>
      <c r="K692" s="102" t="inlineStr">
        <is>
          <t>AL</t>
        </is>
      </c>
      <c r="L692" s="103" t="n"/>
      <c r="M692" s="103" t="n"/>
      <c r="N692" s="104" t="n"/>
      <c r="O692" s="102" t="inlineStr">
        <is>
          <t>AL</t>
        </is>
      </c>
      <c r="P692" s="103" t="n"/>
      <c r="Q692" s="103" t="n"/>
      <c r="R692" s="104" t="n"/>
      <c r="S692" s="102" t="inlineStr">
        <is>
          <t>AL</t>
        </is>
      </c>
      <c r="T692" s="103" t="n"/>
      <c r="U692" s="103" t="n"/>
      <c r="V692" s="104" t="n"/>
      <c r="W692" s="102" t="n"/>
      <c r="X692" s="104" t="n"/>
      <c r="Y692" s="102" t="n"/>
      <c r="Z692" s="104" t="n"/>
      <c r="AB692" s="105">
        <f>IF($B692="","",(COUNTIF(C658:E675,$B692)+COUNTIF(C658:E675,$B692&amp;" ~*")&gt;0)+(COUNTIF(G658:I675,$B692)+COUNTIF(G658:I675,$B692&amp;" ~*")&gt;0)+(COUNTIF(K658:M675,$B692)+COUNTIF(K658:M675,$B692&amp;" ~*")&gt;0)+(COUNTIF(O658:Q675,$B692)+COUNTIF(O658:Q675,$B692&amp;" ~*")&gt;0)+(COUNTIF(S658:U675,$B692)+COUNTIF(S658:U675,$B692&amp;" ~*")&gt;0)+(COUNTIF(W658:W675,$B692)+COUNTIF(W658:W675,$B692&amp;" ~*")&gt;0)+(COUNTIF(Y658:Y675,$B692)+COUNTIF(Y658:Y675,$B692&amp;" ~*")&gt;0))</f>
        <v/>
      </c>
      <c r="AC692" s="38">
        <f>IF($B692="","",(IFERROR(INDEX(Setup!$G$33:$G$40,MATCH(C692,Setup!$B$33:$B$40,0)),0)=1)*(COUNTIF(C658:E675,$B692)+COUNTIF(C658:E675,$B692&amp;" ~*")&gt;0)+(IFERROR(INDEX(Setup!$G$33:$G$40,MATCH(G692,Setup!$B$33:$B$40,0)),0)=1)*(COUNTIF(G658:I675,$B692)+COUNTIF(G658:I675,$B692&amp;" ~*")&gt;0)+(IFERROR(INDEX(Setup!$G$33:$G$40,MATCH(K692,Setup!$B$33:$B$40,0)),0)=1)*(COUNTIF(K658:M675,$B692)+COUNTIF(K658:M675,$B692&amp;" ~*")&gt;0)+(IFERROR(INDEX(Setup!$G$33:$G$40,MATCH(O692,Setup!$B$33:$B$40,0)),0)=1)*(COUNTIF(O658:Q675,$B692)+COUNTIF(O658:Q675,$B692&amp;" ~*")&gt;0)+(IFERROR(INDEX(Setup!$G$33:$G$40,MATCH(S692,Setup!$B$33:$B$40,0)),0)=1)*(COUNTIF(S658:U675,$B692)+COUNTIF(S658:U675,$B692&amp;" ~*")&gt;0)+(IFERROR(INDEX(Setup!$G$33:$G$40,MATCH(W692,Setup!$B$33:$B$40,0)),0)=1)*(COUNTIF(W658:W675,$B692)+COUNTIF(W658:W675,$B692&amp;" ~*")&gt;0)+(IFERROR(INDEX(Setup!$G$33:$G$40,MATCH(Y692,Setup!$B$33:$B$40,0)),0)=1)*(COUNTIF(Y658:Y675,$B692)+COUNTIF(Y658:Y675,$B692&amp;" ~*")&gt;0))</f>
        <v/>
      </c>
    </row>
    <row r="693" ht="15" customHeight="1">
      <c r="A693" t="n">
        <v>14</v>
      </c>
      <c r="B693" s="35">
        <f>IF(Setup!$B$22="","",Setup!$B$22)</f>
        <v/>
      </c>
      <c r="C693" s="98" t="inlineStr">
        <is>
          <t>AL</t>
        </is>
      </c>
      <c r="D693" s="99" t="n"/>
      <c r="E693" s="99" t="n"/>
      <c r="F693" s="100" t="n"/>
      <c r="G693" s="98" t="inlineStr">
        <is>
          <t>AL</t>
        </is>
      </c>
      <c r="H693" s="99" t="n"/>
      <c r="I693" s="99" t="n"/>
      <c r="J693" s="100" t="n"/>
      <c r="K693" s="98" t="inlineStr">
        <is>
          <t>AL</t>
        </is>
      </c>
      <c r="L693" s="99" t="n"/>
      <c r="M693" s="99" t="n"/>
      <c r="N693" s="100" t="n"/>
      <c r="O693" s="98" t="inlineStr">
        <is>
          <t>AL</t>
        </is>
      </c>
      <c r="P693" s="99" t="n"/>
      <c r="Q693" s="99" t="n"/>
      <c r="R693" s="100" t="n"/>
      <c r="S693" s="98" t="inlineStr">
        <is>
          <t>AL</t>
        </is>
      </c>
      <c r="T693" s="99" t="n"/>
      <c r="U693" s="99" t="n"/>
      <c r="V693" s="100" t="n"/>
      <c r="W693" s="98" t="n"/>
      <c r="X693" s="100" t="n"/>
      <c r="Y693" s="98" t="n"/>
      <c r="Z693" s="100" t="n"/>
      <c r="AB693" s="101">
        <f>IF($B693="","",(COUNTIF(C658:E675,$B693)+COUNTIF(C658:E675,$B693&amp;" ~*")&gt;0)+(COUNTIF(G658:I675,$B693)+COUNTIF(G658:I675,$B693&amp;" ~*")&gt;0)+(COUNTIF(K658:M675,$B693)+COUNTIF(K658:M675,$B693&amp;" ~*")&gt;0)+(COUNTIF(O658:Q675,$B693)+COUNTIF(O658:Q675,$B693&amp;" ~*")&gt;0)+(COUNTIF(S658:U675,$B693)+COUNTIF(S658:U675,$B693&amp;" ~*")&gt;0)+(COUNTIF(W658:W675,$B693)+COUNTIF(W658:W675,$B693&amp;" ~*")&gt;0)+(COUNTIF(Y658:Y675,$B693)+COUNTIF(Y658:Y675,$B693&amp;" ~*")&gt;0))</f>
        <v/>
      </c>
      <c r="AC693" s="36">
        <f>IF($B693="","",(IFERROR(INDEX(Setup!$G$33:$G$40,MATCH(C693,Setup!$B$33:$B$40,0)),0)=1)*(COUNTIF(C658:E675,$B693)+COUNTIF(C658:E675,$B693&amp;" ~*")&gt;0)+(IFERROR(INDEX(Setup!$G$33:$G$40,MATCH(G693,Setup!$B$33:$B$40,0)),0)=1)*(COUNTIF(G658:I675,$B693)+COUNTIF(G658:I675,$B693&amp;" ~*")&gt;0)+(IFERROR(INDEX(Setup!$G$33:$G$40,MATCH(K693,Setup!$B$33:$B$40,0)),0)=1)*(COUNTIF(K658:M675,$B693)+COUNTIF(K658:M675,$B693&amp;" ~*")&gt;0)+(IFERROR(INDEX(Setup!$G$33:$G$40,MATCH(O693,Setup!$B$33:$B$40,0)),0)=1)*(COUNTIF(O658:Q675,$B693)+COUNTIF(O658:Q675,$B693&amp;" ~*")&gt;0)+(IFERROR(INDEX(Setup!$G$33:$G$40,MATCH(S693,Setup!$B$33:$B$40,0)),0)=1)*(COUNTIF(S658:U675,$B693)+COUNTIF(S658:U675,$B693&amp;" ~*")&gt;0)+(IFERROR(INDEX(Setup!$G$33:$G$40,MATCH(W693,Setup!$B$33:$B$40,0)),0)=1)*(COUNTIF(W658:W675,$B693)+COUNTIF(W658:W675,$B693&amp;" ~*")&gt;0)+(IFERROR(INDEX(Setup!$G$33:$G$40,MATCH(Y693,Setup!$B$33:$B$40,0)),0)=1)*(COUNTIF(Y658:Y675,$B693)+COUNTIF(Y658:Y675,$B693&amp;" ~*")&gt;0))</f>
        <v/>
      </c>
    </row>
    <row r="694" ht="15" customHeight="1">
      <c r="A694" t="n">
        <v>14</v>
      </c>
      <c r="B694" s="37">
        <f>IF(Setup!$B$23="","",Setup!$B$23)</f>
        <v/>
      </c>
      <c r="C694" s="102" t="n"/>
      <c r="D694" s="103" t="n"/>
      <c r="E694" s="103" t="n"/>
      <c r="F694" s="104" t="n"/>
      <c r="G694" s="102" t="n"/>
      <c r="H694" s="103" t="n"/>
      <c r="I694" s="103" t="n"/>
      <c r="J694" s="104" t="n"/>
      <c r="K694" s="102" t="n"/>
      <c r="L694" s="103" t="n"/>
      <c r="M694" s="103" t="n"/>
      <c r="N694" s="104" t="n"/>
      <c r="O694" s="102" t="n"/>
      <c r="P694" s="103" t="n"/>
      <c r="Q694" s="103" t="n"/>
      <c r="R694" s="104" t="n"/>
      <c r="S694" s="102" t="n"/>
      <c r="T694" s="103" t="n"/>
      <c r="U694" s="103" t="n"/>
      <c r="V694" s="104" t="n"/>
      <c r="W694" s="102" t="n"/>
      <c r="X694" s="104" t="n"/>
      <c r="Y694" s="102" t="n"/>
      <c r="Z694" s="104" t="n"/>
      <c r="AB694" s="105">
        <f>IF($B694="","",(COUNTIF(C658:E675,$B694)+COUNTIF(C658:E675,$B694&amp;" ~*")&gt;0)+(COUNTIF(G658:I675,$B694)+COUNTIF(G658:I675,$B694&amp;" ~*")&gt;0)+(COUNTIF(K658:M675,$B694)+COUNTIF(K658:M675,$B694&amp;" ~*")&gt;0)+(COUNTIF(O658:Q675,$B694)+COUNTIF(O658:Q675,$B694&amp;" ~*")&gt;0)+(COUNTIF(S658:U675,$B694)+COUNTIF(S658:U675,$B694&amp;" ~*")&gt;0)+(COUNTIF(W658:W675,$B694)+COUNTIF(W658:W675,$B694&amp;" ~*")&gt;0)+(COUNTIF(Y658:Y675,$B694)+COUNTIF(Y658:Y675,$B694&amp;" ~*")&gt;0))</f>
        <v/>
      </c>
      <c r="AC694" s="38">
        <f>IF($B694="","",(IFERROR(INDEX(Setup!$G$33:$G$40,MATCH(C694,Setup!$B$33:$B$40,0)),0)=1)*(COUNTIF(C658:E675,$B694)+COUNTIF(C658:E675,$B694&amp;" ~*")&gt;0)+(IFERROR(INDEX(Setup!$G$33:$G$40,MATCH(G694,Setup!$B$33:$B$40,0)),0)=1)*(COUNTIF(G658:I675,$B694)+COUNTIF(G658:I675,$B694&amp;" ~*")&gt;0)+(IFERROR(INDEX(Setup!$G$33:$G$40,MATCH(K694,Setup!$B$33:$B$40,0)),0)=1)*(COUNTIF(K658:M675,$B694)+COUNTIF(K658:M675,$B694&amp;" ~*")&gt;0)+(IFERROR(INDEX(Setup!$G$33:$G$40,MATCH(O694,Setup!$B$33:$B$40,0)),0)=1)*(COUNTIF(O658:Q675,$B694)+COUNTIF(O658:Q675,$B694&amp;" ~*")&gt;0)+(IFERROR(INDEX(Setup!$G$33:$G$40,MATCH(S694,Setup!$B$33:$B$40,0)),0)=1)*(COUNTIF(S658:U675,$B694)+COUNTIF(S658:U675,$B694&amp;" ~*")&gt;0)+(IFERROR(INDEX(Setup!$G$33:$G$40,MATCH(W694,Setup!$B$33:$B$40,0)),0)=1)*(COUNTIF(W658:W675,$B694)+COUNTIF(W658:W675,$B694&amp;" ~*")&gt;0)+(IFERROR(INDEX(Setup!$G$33:$G$40,MATCH(Y694,Setup!$B$33:$B$40,0)),0)=1)*(COUNTIF(Y658:Y675,$B694)+COUNTIF(Y658:Y675,$B694&amp;" ~*")&gt;0))</f>
        <v/>
      </c>
    </row>
    <row r="695" ht="15" customHeight="1">
      <c r="A695" t="n">
        <v>14</v>
      </c>
      <c r="B695" s="35">
        <f>IF(Setup!$B$24="","",Setup!$B$24)</f>
        <v/>
      </c>
      <c r="C695" s="98" t="n"/>
      <c r="D695" s="99" t="n"/>
      <c r="E695" s="99" t="n"/>
      <c r="F695" s="100" t="n"/>
      <c r="G695" s="98" t="n"/>
      <c r="H695" s="99" t="n"/>
      <c r="I695" s="99" t="n"/>
      <c r="J695" s="100" t="n"/>
      <c r="K695" s="98" t="n"/>
      <c r="L695" s="99" t="n"/>
      <c r="M695" s="99" t="n"/>
      <c r="N695" s="100" t="n"/>
      <c r="O695" s="98" t="n"/>
      <c r="P695" s="99" t="n"/>
      <c r="Q695" s="99" t="n"/>
      <c r="R695" s="100" t="n"/>
      <c r="S695" s="98" t="n"/>
      <c r="T695" s="99" t="n"/>
      <c r="U695" s="99" t="n"/>
      <c r="V695" s="100" t="n"/>
      <c r="W695" s="98" t="n"/>
      <c r="X695" s="100" t="n"/>
      <c r="Y695" s="98" t="n"/>
      <c r="Z695" s="100" t="n"/>
      <c r="AB695" s="101">
        <f>IF($B695="","",(COUNTIF(C658:E675,$B695)+COUNTIF(C658:E675,$B695&amp;" ~*")&gt;0)+(COUNTIF(G658:I675,$B695)+COUNTIF(G658:I675,$B695&amp;" ~*")&gt;0)+(COUNTIF(K658:M675,$B695)+COUNTIF(K658:M675,$B695&amp;" ~*")&gt;0)+(COUNTIF(O658:Q675,$B695)+COUNTIF(O658:Q675,$B695&amp;" ~*")&gt;0)+(COUNTIF(S658:U675,$B695)+COUNTIF(S658:U675,$B695&amp;" ~*")&gt;0)+(COUNTIF(W658:W675,$B695)+COUNTIF(W658:W675,$B695&amp;" ~*")&gt;0)+(COUNTIF(Y658:Y675,$B695)+COUNTIF(Y658:Y675,$B695&amp;" ~*")&gt;0))</f>
        <v/>
      </c>
      <c r="AC695" s="36">
        <f>IF($B695="","",(IFERROR(INDEX(Setup!$G$33:$G$40,MATCH(C695,Setup!$B$33:$B$40,0)),0)=1)*(COUNTIF(C658:E675,$B695)+COUNTIF(C658:E675,$B695&amp;" ~*")&gt;0)+(IFERROR(INDEX(Setup!$G$33:$G$40,MATCH(G695,Setup!$B$33:$B$40,0)),0)=1)*(COUNTIF(G658:I675,$B695)+COUNTIF(G658:I675,$B695&amp;" ~*")&gt;0)+(IFERROR(INDEX(Setup!$G$33:$G$40,MATCH(K695,Setup!$B$33:$B$40,0)),0)=1)*(COUNTIF(K658:M675,$B695)+COUNTIF(K658:M675,$B695&amp;" ~*")&gt;0)+(IFERROR(INDEX(Setup!$G$33:$G$40,MATCH(O695,Setup!$B$33:$B$40,0)),0)=1)*(COUNTIF(O658:Q675,$B695)+COUNTIF(O658:Q675,$B695&amp;" ~*")&gt;0)+(IFERROR(INDEX(Setup!$G$33:$G$40,MATCH(S695,Setup!$B$33:$B$40,0)),0)=1)*(COUNTIF(S658:U675,$B695)+COUNTIF(S658:U675,$B695&amp;" ~*")&gt;0)+(IFERROR(INDEX(Setup!$G$33:$G$40,MATCH(W695,Setup!$B$33:$B$40,0)),0)=1)*(COUNTIF(W658:W675,$B695)+COUNTIF(W658:W675,$B695&amp;" ~*")&gt;0)+(IFERROR(INDEX(Setup!$G$33:$G$40,MATCH(Y695,Setup!$B$33:$B$40,0)),0)=1)*(COUNTIF(Y658:Y675,$B695)+COUNTIF(Y658:Y675,$B695&amp;" ~*")&gt;0))</f>
        <v/>
      </c>
    </row>
    <row r="696" ht="15" customHeight="1">
      <c r="A696" t="n">
        <v>14</v>
      </c>
      <c r="B696" s="37">
        <f>IF(Setup!$B$25="","",Setup!$B$25)</f>
        <v/>
      </c>
      <c r="C696" s="102" t="n"/>
      <c r="D696" s="103" t="n"/>
      <c r="E696" s="103" t="n"/>
      <c r="F696" s="104" t="n"/>
      <c r="G696" s="102" t="n"/>
      <c r="H696" s="103" t="n"/>
      <c r="I696" s="103" t="n"/>
      <c r="J696" s="104" t="n"/>
      <c r="K696" s="102" t="n"/>
      <c r="L696" s="103" t="n"/>
      <c r="M696" s="103" t="n"/>
      <c r="N696" s="104" t="n"/>
      <c r="O696" s="102" t="n"/>
      <c r="P696" s="103" t="n"/>
      <c r="Q696" s="103" t="n"/>
      <c r="R696" s="104" t="n"/>
      <c r="S696" s="102" t="n"/>
      <c r="T696" s="103" t="n"/>
      <c r="U696" s="103" t="n"/>
      <c r="V696" s="104" t="n"/>
      <c r="W696" s="102" t="n"/>
      <c r="X696" s="104" t="n"/>
      <c r="Y696" s="102" t="n"/>
      <c r="Z696" s="104" t="n"/>
      <c r="AB696" s="105">
        <f>IF($B696="","",(COUNTIF(C658:E675,$B696)+COUNTIF(C658:E675,$B696&amp;" ~*")&gt;0)+(COUNTIF(G658:I675,$B696)+COUNTIF(G658:I675,$B696&amp;" ~*")&gt;0)+(COUNTIF(K658:M675,$B696)+COUNTIF(K658:M675,$B696&amp;" ~*")&gt;0)+(COUNTIF(O658:Q675,$B696)+COUNTIF(O658:Q675,$B696&amp;" ~*")&gt;0)+(COUNTIF(S658:U675,$B696)+COUNTIF(S658:U675,$B696&amp;" ~*")&gt;0)+(COUNTIF(W658:W675,$B696)+COUNTIF(W658:W675,$B696&amp;" ~*")&gt;0)+(COUNTIF(Y658:Y675,$B696)+COUNTIF(Y658:Y675,$B696&amp;" ~*")&gt;0))</f>
        <v/>
      </c>
      <c r="AC696" s="38">
        <f>IF($B696="","",(IFERROR(INDEX(Setup!$G$33:$G$40,MATCH(C696,Setup!$B$33:$B$40,0)),0)=1)*(COUNTIF(C658:E675,$B696)+COUNTIF(C658:E675,$B696&amp;" ~*")&gt;0)+(IFERROR(INDEX(Setup!$G$33:$G$40,MATCH(G696,Setup!$B$33:$B$40,0)),0)=1)*(COUNTIF(G658:I675,$B696)+COUNTIF(G658:I675,$B696&amp;" ~*")&gt;0)+(IFERROR(INDEX(Setup!$G$33:$G$40,MATCH(K696,Setup!$B$33:$B$40,0)),0)=1)*(COUNTIF(K658:M675,$B696)+COUNTIF(K658:M675,$B696&amp;" ~*")&gt;0)+(IFERROR(INDEX(Setup!$G$33:$G$40,MATCH(O696,Setup!$B$33:$B$40,0)),0)=1)*(COUNTIF(O658:Q675,$B696)+COUNTIF(O658:Q675,$B696&amp;" ~*")&gt;0)+(IFERROR(INDEX(Setup!$G$33:$G$40,MATCH(S696,Setup!$B$33:$B$40,0)),0)=1)*(COUNTIF(S658:U675,$B696)+COUNTIF(S658:U675,$B696&amp;" ~*")&gt;0)+(IFERROR(INDEX(Setup!$G$33:$G$40,MATCH(W696,Setup!$B$33:$B$40,0)),0)=1)*(COUNTIF(W658:W675,$B696)+COUNTIF(W658:W675,$B696&amp;" ~*")&gt;0)+(IFERROR(INDEX(Setup!$G$33:$G$40,MATCH(Y696,Setup!$B$33:$B$40,0)),0)=1)*(COUNTIF(Y658:Y675,$B696)+COUNTIF(Y658:Y675,$B696&amp;" ~*")&gt;0))</f>
        <v/>
      </c>
    </row>
    <row r="697" ht="15" customHeight="1">
      <c r="A697" t="n">
        <v>14</v>
      </c>
      <c r="B697" s="35">
        <f>IF(Setup!$B$26="","",Setup!$B$26)</f>
        <v/>
      </c>
      <c r="C697" s="98" t="n"/>
      <c r="D697" s="99" t="n"/>
      <c r="E697" s="99" t="n"/>
      <c r="F697" s="100" t="n"/>
      <c r="G697" s="98" t="n"/>
      <c r="H697" s="99" t="n"/>
      <c r="I697" s="99" t="n"/>
      <c r="J697" s="100" t="n"/>
      <c r="K697" s="98" t="n"/>
      <c r="L697" s="99" t="n"/>
      <c r="M697" s="99" t="n"/>
      <c r="N697" s="100" t="n"/>
      <c r="O697" s="98" t="n"/>
      <c r="P697" s="99" t="n"/>
      <c r="Q697" s="99" t="n"/>
      <c r="R697" s="100" t="n"/>
      <c r="S697" s="98" t="n"/>
      <c r="T697" s="99" t="n"/>
      <c r="U697" s="99" t="n"/>
      <c r="V697" s="100" t="n"/>
      <c r="W697" s="98" t="n"/>
      <c r="X697" s="100" t="n"/>
      <c r="Y697" s="98" t="n"/>
      <c r="Z697" s="100" t="n"/>
      <c r="AB697" s="101">
        <f>IF($B697="","",(COUNTIF(C658:E675,$B697)+COUNTIF(C658:E675,$B697&amp;" ~*")&gt;0)+(COUNTIF(G658:I675,$B697)+COUNTIF(G658:I675,$B697&amp;" ~*")&gt;0)+(COUNTIF(K658:M675,$B697)+COUNTIF(K658:M675,$B697&amp;" ~*")&gt;0)+(COUNTIF(O658:Q675,$B697)+COUNTIF(O658:Q675,$B697&amp;" ~*")&gt;0)+(COUNTIF(S658:U675,$B697)+COUNTIF(S658:U675,$B697&amp;" ~*")&gt;0)+(COUNTIF(W658:W675,$B697)+COUNTIF(W658:W675,$B697&amp;" ~*")&gt;0)+(COUNTIF(Y658:Y675,$B697)+COUNTIF(Y658:Y675,$B697&amp;" ~*")&gt;0))</f>
        <v/>
      </c>
      <c r="AC697" s="36">
        <f>IF($B697="","",(IFERROR(INDEX(Setup!$G$33:$G$40,MATCH(C697,Setup!$B$33:$B$40,0)),0)=1)*(COUNTIF(C658:E675,$B697)+COUNTIF(C658:E675,$B697&amp;" ~*")&gt;0)+(IFERROR(INDEX(Setup!$G$33:$G$40,MATCH(G697,Setup!$B$33:$B$40,0)),0)=1)*(COUNTIF(G658:I675,$B697)+COUNTIF(G658:I675,$B697&amp;" ~*")&gt;0)+(IFERROR(INDEX(Setup!$G$33:$G$40,MATCH(K697,Setup!$B$33:$B$40,0)),0)=1)*(COUNTIF(K658:M675,$B697)+COUNTIF(K658:M675,$B697&amp;" ~*")&gt;0)+(IFERROR(INDEX(Setup!$G$33:$G$40,MATCH(O697,Setup!$B$33:$B$40,0)),0)=1)*(COUNTIF(O658:Q675,$B697)+COUNTIF(O658:Q675,$B697&amp;" ~*")&gt;0)+(IFERROR(INDEX(Setup!$G$33:$G$40,MATCH(S697,Setup!$B$33:$B$40,0)),0)=1)*(COUNTIF(S658:U675,$B697)+COUNTIF(S658:U675,$B697&amp;" ~*")&gt;0)+(IFERROR(INDEX(Setup!$G$33:$G$40,MATCH(W697,Setup!$B$33:$B$40,0)),0)=1)*(COUNTIF(W658:W675,$B697)+COUNTIF(W658:W675,$B697&amp;" ~*")&gt;0)+(IFERROR(INDEX(Setup!$G$33:$G$40,MATCH(Y697,Setup!$B$33:$B$40,0)),0)=1)*(COUNTIF(Y658:Y675,$B697)+COUNTIF(Y658:Y675,$B697&amp;" ~*")&gt;0))</f>
        <v/>
      </c>
    </row>
    <row r="698" ht="15" customHeight="1">
      <c r="A698" t="n">
        <v>14</v>
      </c>
      <c r="B698" s="37">
        <f>IF(Setup!$B$27="","",Setup!$B$27)</f>
        <v/>
      </c>
      <c r="C698" s="102" t="n"/>
      <c r="D698" s="103" t="n"/>
      <c r="E698" s="103" t="n"/>
      <c r="F698" s="104" t="n"/>
      <c r="G698" s="102" t="n"/>
      <c r="H698" s="103" t="n"/>
      <c r="I698" s="103" t="n"/>
      <c r="J698" s="104" t="n"/>
      <c r="K698" s="102" t="n"/>
      <c r="L698" s="103" t="n"/>
      <c r="M698" s="103" t="n"/>
      <c r="N698" s="104" t="n"/>
      <c r="O698" s="102" t="n"/>
      <c r="P698" s="103" t="n"/>
      <c r="Q698" s="103" t="n"/>
      <c r="R698" s="104" t="n"/>
      <c r="S698" s="102" t="n"/>
      <c r="T698" s="103" t="n"/>
      <c r="U698" s="103" t="n"/>
      <c r="V698" s="104" t="n"/>
      <c r="W698" s="102" t="n"/>
      <c r="X698" s="104" t="n"/>
      <c r="Y698" s="102" t="n"/>
      <c r="Z698" s="104" t="n"/>
      <c r="AB698" s="105">
        <f>IF($B698="","",(COUNTIF(C658:E675,$B698)+COUNTIF(C658:E675,$B698&amp;" ~*")&gt;0)+(COUNTIF(G658:I675,$B698)+COUNTIF(G658:I675,$B698&amp;" ~*")&gt;0)+(COUNTIF(K658:M675,$B698)+COUNTIF(K658:M675,$B698&amp;" ~*")&gt;0)+(COUNTIF(O658:Q675,$B698)+COUNTIF(O658:Q675,$B698&amp;" ~*")&gt;0)+(COUNTIF(S658:U675,$B698)+COUNTIF(S658:U675,$B698&amp;" ~*")&gt;0)+(COUNTIF(W658:W675,$B698)+COUNTIF(W658:W675,$B698&amp;" ~*")&gt;0)+(COUNTIF(Y658:Y675,$B698)+COUNTIF(Y658:Y675,$B698&amp;" ~*")&gt;0))</f>
        <v/>
      </c>
      <c r="AC698" s="38">
        <f>IF($B698="","",(IFERROR(INDEX(Setup!$G$33:$G$40,MATCH(C698,Setup!$B$33:$B$40,0)),0)=1)*(COUNTIF(C658:E675,$B698)+COUNTIF(C658:E675,$B698&amp;" ~*")&gt;0)+(IFERROR(INDEX(Setup!$G$33:$G$40,MATCH(G698,Setup!$B$33:$B$40,0)),0)=1)*(COUNTIF(G658:I675,$B698)+COUNTIF(G658:I675,$B698&amp;" ~*")&gt;0)+(IFERROR(INDEX(Setup!$G$33:$G$40,MATCH(K698,Setup!$B$33:$B$40,0)),0)=1)*(COUNTIF(K658:M675,$B698)+COUNTIF(K658:M675,$B698&amp;" ~*")&gt;0)+(IFERROR(INDEX(Setup!$G$33:$G$40,MATCH(O698,Setup!$B$33:$B$40,0)),0)=1)*(COUNTIF(O658:Q675,$B698)+COUNTIF(O658:Q675,$B698&amp;" ~*")&gt;0)+(IFERROR(INDEX(Setup!$G$33:$G$40,MATCH(S698,Setup!$B$33:$B$40,0)),0)=1)*(COUNTIF(S658:U675,$B698)+COUNTIF(S658:U675,$B698&amp;" ~*")&gt;0)+(IFERROR(INDEX(Setup!$G$33:$G$40,MATCH(W698,Setup!$B$33:$B$40,0)),0)=1)*(COUNTIF(W658:W675,$B698)+COUNTIF(W658:W675,$B698&amp;" ~*")&gt;0)+(IFERROR(INDEX(Setup!$G$33:$G$40,MATCH(Y698,Setup!$B$33:$B$40,0)),0)=1)*(COUNTIF(Y658:Y675,$B698)+COUNTIF(Y658:Y675,$B698&amp;" ~*")&gt;0))</f>
        <v/>
      </c>
    </row>
    <row r="699" ht="15" customHeight="1">
      <c r="A699" t="n">
        <v>14</v>
      </c>
      <c r="B699" s="35">
        <f>IF(Setup!$B$28="","",Setup!$B$28)</f>
        <v/>
      </c>
      <c r="C699" s="98" t="n"/>
      <c r="D699" s="99" t="n"/>
      <c r="E699" s="99" t="n"/>
      <c r="F699" s="100" t="n"/>
      <c r="G699" s="98" t="n"/>
      <c r="H699" s="99" t="n"/>
      <c r="I699" s="99" t="n"/>
      <c r="J699" s="100" t="n"/>
      <c r="K699" s="98" t="n"/>
      <c r="L699" s="99" t="n"/>
      <c r="M699" s="99" t="n"/>
      <c r="N699" s="100" t="n"/>
      <c r="O699" s="98" t="n"/>
      <c r="P699" s="99" t="n"/>
      <c r="Q699" s="99" t="n"/>
      <c r="R699" s="100" t="n"/>
      <c r="S699" s="98" t="n"/>
      <c r="T699" s="99" t="n"/>
      <c r="U699" s="99" t="n"/>
      <c r="V699" s="100" t="n"/>
      <c r="W699" s="98" t="n"/>
      <c r="X699" s="100" t="n"/>
      <c r="Y699" s="98" t="n"/>
      <c r="Z699" s="100" t="n"/>
      <c r="AB699" s="101">
        <f>IF($B699="","",(COUNTIF(C658:E675,$B699)+COUNTIF(C658:E675,$B699&amp;" ~*")&gt;0)+(COUNTIF(G658:I675,$B699)+COUNTIF(G658:I675,$B699&amp;" ~*")&gt;0)+(COUNTIF(K658:M675,$B699)+COUNTIF(K658:M675,$B699&amp;" ~*")&gt;0)+(COUNTIF(O658:Q675,$B699)+COUNTIF(O658:Q675,$B699&amp;" ~*")&gt;0)+(COUNTIF(S658:U675,$B699)+COUNTIF(S658:U675,$B699&amp;" ~*")&gt;0)+(COUNTIF(W658:W675,$B699)+COUNTIF(W658:W675,$B699&amp;" ~*")&gt;0)+(COUNTIF(Y658:Y675,$B699)+COUNTIF(Y658:Y675,$B699&amp;" ~*")&gt;0))</f>
        <v/>
      </c>
      <c r="AC699" s="36">
        <f>IF($B699="","",(IFERROR(INDEX(Setup!$G$33:$G$40,MATCH(C699,Setup!$B$33:$B$40,0)),0)=1)*(COUNTIF(C658:E675,$B699)+COUNTIF(C658:E675,$B699&amp;" ~*")&gt;0)+(IFERROR(INDEX(Setup!$G$33:$G$40,MATCH(G699,Setup!$B$33:$B$40,0)),0)=1)*(COUNTIF(G658:I675,$B699)+COUNTIF(G658:I675,$B699&amp;" ~*")&gt;0)+(IFERROR(INDEX(Setup!$G$33:$G$40,MATCH(K699,Setup!$B$33:$B$40,0)),0)=1)*(COUNTIF(K658:M675,$B699)+COUNTIF(K658:M675,$B699&amp;" ~*")&gt;0)+(IFERROR(INDEX(Setup!$G$33:$G$40,MATCH(O699,Setup!$B$33:$B$40,0)),0)=1)*(COUNTIF(O658:Q675,$B699)+COUNTIF(O658:Q675,$B699&amp;" ~*")&gt;0)+(IFERROR(INDEX(Setup!$G$33:$G$40,MATCH(S699,Setup!$B$33:$B$40,0)),0)=1)*(COUNTIF(S658:U675,$B699)+COUNTIF(S658:U675,$B699&amp;" ~*")&gt;0)+(IFERROR(INDEX(Setup!$G$33:$G$40,MATCH(W699,Setup!$B$33:$B$40,0)),0)=1)*(COUNTIF(W658:W675,$B699)+COUNTIF(W658:W675,$B699&amp;" ~*")&gt;0)+(IFERROR(INDEX(Setup!$G$33:$G$40,MATCH(Y699,Setup!$B$33:$B$40,0)),0)=1)*(COUNTIF(Y658:Y675,$B699)+COUNTIF(Y658:Y675,$B699&amp;" ~*")&gt;0))</f>
        <v/>
      </c>
    </row>
    <row r="700" ht="15" customHeight="1">
      <c r="A700" t="n">
        <v>14</v>
      </c>
      <c r="B700" s="37">
        <f>IF(Setup!$B$29="","",Setup!$B$29)</f>
        <v/>
      </c>
      <c r="C700" s="102" t="n"/>
      <c r="D700" s="103" t="n"/>
      <c r="E700" s="103" t="n"/>
      <c r="F700" s="104" t="n"/>
      <c r="G700" s="102" t="n"/>
      <c r="H700" s="103" t="n"/>
      <c r="I700" s="103" t="n"/>
      <c r="J700" s="104" t="n"/>
      <c r="K700" s="102" t="n"/>
      <c r="L700" s="103" t="n"/>
      <c r="M700" s="103" t="n"/>
      <c r="N700" s="104" t="n"/>
      <c r="O700" s="102" t="n"/>
      <c r="P700" s="103" t="n"/>
      <c r="Q700" s="103" t="n"/>
      <c r="R700" s="104" t="n"/>
      <c r="S700" s="102" t="n"/>
      <c r="T700" s="103" t="n"/>
      <c r="U700" s="103" t="n"/>
      <c r="V700" s="104" t="n"/>
      <c r="W700" s="102" t="n"/>
      <c r="X700" s="104" t="n"/>
      <c r="Y700" s="102" t="n"/>
      <c r="Z700" s="104" t="n"/>
      <c r="AB700" s="105">
        <f>IF($B700="","",(COUNTIF(C658:E675,$B700)+COUNTIF(C658:E675,$B700&amp;" ~*")&gt;0)+(COUNTIF(G658:I675,$B700)+COUNTIF(G658:I675,$B700&amp;" ~*")&gt;0)+(COUNTIF(K658:M675,$B700)+COUNTIF(K658:M675,$B700&amp;" ~*")&gt;0)+(COUNTIF(O658:Q675,$B700)+COUNTIF(O658:Q675,$B700&amp;" ~*")&gt;0)+(COUNTIF(S658:U675,$B700)+COUNTIF(S658:U675,$B700&amp;" ~*")&gt;0)+(COUNTIF(W658:W675,$B700)+COUNTIF(W658:W675,$B700&amp;" ~*")&gt;0)+(COUNTIF(Y658:Y675,$B700)+COUNTIF(Y658:Y675,$B700&amp;" ~*")&gt;0))</f>
        <v/>
      </c>
      <c r="AC700" s="38">
        <f>IF($B700="","",(IFERROR(INDEX(Setup!$G$33:$G$40,MATCH(C700,Setup!$B$33:$B$40,0)),0)=1)*(COUNTIF(C658:E675,$B700)+COUNTIF(C658:E675,$B700&amp;" ~*")&gt;0)+(IFERROR(INDEX(Setup!$G$33:$G$40,MATCH(G700,Setup!$B$33:$B$40,0)),0)=1)*(COUNTIF(G658:I675,$B700)+COUNTIF(G658:I675,$B700&amp;" ~*")&gt;0)+(IFERROR(INDEX(Setup!$G$33:$G$40,MATCH(K700,Setup!$B$33:$B$40,0)),0)=1)*(COUNTIF(K658:M675,$B700)+COUNTIF(K658:M675,$B700&amp;" ~*")&gt;0)+(IFERROR(INDEX(Setup!$G$33:$G$40,MATCH(O700,Setup!$B$33:$B$40,0)),0)=1)*(COUNTIF(O658:Q675,$B700)+COUNTIF(O658:Q675,$B700&amp;" ~*")&gt;0)+(IFERROR(INDEX(Setup!$G$33:$G$40,MATCH(S700,Setup!$B$33:$B$40,0)),0)=1)*(COUNTIF(S658:U675,$B700)+COUNTIF(S658:U675,$B700&amp;" ~*")&gt;0)+(IFERROR(INDEX(Setup!$G$33:$G$40,MATCH(W700,Setup!$B$33:$B$40,0)),0)=1)*(COUNTIF(W658:W675,$B700)+COUNTIF(W658:W675,$B700&amp;" ~*")&gt;0)+(IFERROR(INDEX(Setup!$G$33:$G$40,MATCH(Y700,Setup!$B$33:$B$40,0)),0)=1)*(COUNTIF(Y658:Y675,$B700)+COUNTIF(Y658:Y675,$B700&amp;" ~*")&gt;0))</f>
        <v/>
      </c>
    </row>
    <row r="701" ht="16" customHeight="1">
      <c r="A701" t="n">
        <v>14</v>
      </c>
      <c r="B701" s="106" t="inlineStr">
        <is>
          <t>Available people</t>
        </is>
      </c>
      <c r="C701" s="107">
        <f>COUNTIFS(Setup!$E$6:$E$29,"Y",Setup!$B$6:$B$29,"?*")-SUMPRODUCT(COUNTIF(C677:C700,Setup!$F$33:$F$40))</f>
        <v/>
      </c>
      <c r="D701" s="107" t="n"/>
      <c r="E701" s="107" t="n"/>
      <c r="F701" s="107" t="n"/>
      <c r="G701" s="107">
        <f>COUNTIFS(Setup!$E$6:$E$29,"Y",Setup!$B$6:$B$29,"?*")-SUMPRODUCT(COUNTIF(G677:G700,Setup!$F$33:$F$40))</f>
        <v/>
      </c>
      <c r="H701" s="107" t="n"/>
      <c r="I701" s="107" t="n"/>
      <c r="J701" s="107" t="n"/>
      <c r="K701" s="107">
        <f>COUNTIFS(Setup!$E$6:$E$29,"Y",Setup!$B$6:$B$29,"?*")-SUMPRODUCT(COUNTIF(K677:K700,Setup!$F$33:$F$40))</f>
        <v/>
      </c>
      <c r="L701" s="107" t="n"/>
      <c r="M701" s="107" t="n"/>
      <c r="N701" s="107" t="n"/>
      <c r="O701" s="107">
        <f>COUNTIFS(Setup!$E$6:$E$29,"Y",Setup!$B$6:$B$29,"?*")-SUMPRODUCT(COUNTIF(O677:O700,Setup!$F$33:$F$40))</f>
        <v/>
      </c>
      <c r="P701" s="107" t="n"/>
      <c r="Q701" s="107" t="n"/>
      <c r="R701" s="107" t="n"/>
      <c r="S701" s="107">
        <f>COUNTIFS(Setup!$E$6:$E$29,"Y",Setup!$B$6:$B$29,"?*")-SUMPRODUCT(COUNTIF(S677:S700,Setup!$F$33:$F$40))</f>
        <v/>
      </c>
      <c r="T701" s="107" t="n"/>
      <c r="U701" s="107" t="n"/>
      <c r="V701" s="107" t="n"/>
      <c r="W701" s="107">
        <f>COUNTIFS(Setup!$E$6:$E$29,"Y",Setup!$B$6:$B$29,"?*")-SUMPRODUCT(COUNTIF(W677:W700,Setup!$F$33:$F$40))</f>
        <v/>
      </c>
      <c r="X701" s="107" t="n"/>
      <c r="Y701" s="107">
        <f>COUNTIFS(Setup!$E$6:$E$29,"Y",Setup!$B$6:$B$29,"?*")-SUMPRODUCT(COUNTIF(Y677:Y700,Setup!$F$33:$F$40))</f>
        <v/>
      </c>
      <c r="Z701" s="107" t="n"/>
      <c r="AB701" s="108">
        <f>SUM(AB677:AB700)</f>
        <v/>
      </c>
      <c r="AC701" s="109">
        <f>SUM(AC677:AC700)</f>
        <v/>
      </c>
    </row>
    <row r="702" ht="30" customHeight="1">
      <c r="A702" t="n">
        <v>14</v>
      </c>
      <c r="B702" s="110" t="inlineStr">
        <is>
          <t>Week notes</t>
        </is>
      </c>
      <c r="C702" s="111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112" t="n"/>
      <c r="R702" s="112" t="n"/>
      <c r="S702" s="112" t="n"/>
      <c r="T702" s="112" t="n"/>
      <c r="U702" s="112" t="n"/>
      <c r="V702" s="112" t="n"/>
      <c r="W702" s="112" t="n"/>
      <c r="X702" s="112" t="n"/>
      <c r="Y702" s="112" t="n"/>
      <c r="Z702" s="113" t="n"/>
    </row>
    <row r="703" ht="8" customHeight="1">
      <c r="A703" t="n">
        <v>14</v>
      </c>
    </row>
    <row r="704" ht="8" customHeight="1">
      <c r="A704" t="n">
        <v>14</v>
      </c>
    </row>
    <row r="705" ht="24" customHeight="1">
      <c r="A705" t="n">
        <v>15</v>
      </c>
      <c r="B705" s="73">
        <f>"WEEK 15     "&amp;TEXT(C706,"ddd d mmm")&amp;"  –  "&amp;TEXT(C706+6,"ddd d mmm yyyy")</f>
        <v/>
      </c>
      <c r="S705" s="74">
        <f>IF(TODAY()&lt;C706,"FUTURE",IF(TODAY()&gt;C706+6,"PAST","THIS WEEK"))</f>
        <v/>
      </c>
      <c r="W705" s="75">
        <f>IF(AND(Engine!$B$8=$AC$3,Engine!$B$9=$A705),"◀ ACTIVE WEEK","")</f>
        <v/>
      </c>
      <c r="AA705" s="76" t="n"/>
      <c r="AB705" s="77" t="inlineStr">
        <is>
          <t>◀ Prev</t>
        </is>
      </c>
      <c r="AC705" s="77" t="inlineStr">
        <is>
          <t>Next ▶</t>
        </is>
      </c>
    </row>
    <row r="706" ht="18" customHeight="1">
      <c r="A706" t="n">
        <v>15</v>
      </c>
      <c r="B706" s="78" t="inlineStr">
        <is>
          <t>DUTY</t>
        </is>
      </c>
      <c r="C706" s="79">
        <f>$AC$2+7*($A706-1)</f>
        <v/>
      </c>
      <c r="D706" s="80" t="n"/>
      <c r="E706" s="80" t="n"/>
      <c r="F706" s="81" t="n"/>
      <c r="G706" s="79">
        <f>C706+1</f>
        <v/>
      </c>
      <c r="H706" s="80" t="n"/>
      <c r="I706" s="80" t="n"/>
      <c r="J706" s="81" t="n"/>
      <c r="K706" s="79">
        <f>C706+2</f>
        <v/>
      </c>
      <c r="L706" s="80" t="n"/>
      <c r="M706" s="80" t="n"/>
      <c r="N706" s="81" t="n"/>
      <c r="O706" s="79">
        <f>C706+3</f>
        <v/>
      </c>
      <c r="P706" s="80" t="n"/>
      <c r="Q706" s="80" t="n"/>
      <c r="R706" s="81" t="n"/>
      <c r="S706" s="79">
        <f>C706+4</f>
        <v/>
      </c>
      <c r="T706" s="80" t="n"/>
      <c r="U706" s="80" t="n"/>
      <c r="V706" s="81" t="n"/>
      <c r="W706" s="82">
        <f>C706+5</f>
        <v/>
      </c>
      <c r="X706" s="83" t="n"/>
      <c r="Y706" s="82">
        <f>C706+6</f>
        <v/>
      </c>
      <c r="Z706" s="83" t="n"/>
      <c r="AB706" s="72" t="inlineStr">
        <is>
          <t>Gaps</t>
        </is>
      </c>
      <c r="AC706" s="72" t="inlineStr">
        <is>
          <t>Cover</t>
        </is>
      </c>
    </row>
    <row r="707" ht="14" customHeight="1">
      <c r="A707" t="n">
        <v>15</v>
      </c>
      <c r="B707" s="84" t="inlineStr">
        <is>
          <t>(from Setup)</t>
        </is>
      </c>
      <c r="C707" s="85" t="inlineStr">
        <is>
          <t>1</t>
        </is>
      </c>
      <c r="D707" s="85" t="inlineStr">
        <is>
          <t>2</t>
        </is>
      </c>
      <c r="E707" s="85" t="inlineStr">
        <is>
          <t>3</t>
        </is>
      </c>
      <c r="F707" s="85" t="inlineStr">
        <is>
          <t>Notes</t>
        </is>
      </c>
      <c r="G707" s="85" t="inlineStr">
        <is>
          <t>1</t>
        </is>
      </c>
      <c r="H707" s="85" t="inlineStr">
        <is>
          <t>2</t>
        </is>
      </c>
      <c r="I707" s="85" t="inlineStr">
        <is>
          <t>3</t>
        </is>
      </c>
      <c r="J707" s="85" t="inlineStr">
        <is>
          <t>Notes</t>
        </is>
      </c>
      <c r="K707" s="85" t="inlineStr">
        <is>
          <t>1</t>
        </is>
      </c>
      <c r="L707" s="85" t="inlineStr">
        <is>
          <t>2</t>
        </is>
      </c>
      <c r="M707" s="85" t="inlineStr">
        <is>
          <t>3</t>
        </is>
      </c>
      <c r="N707" s="85" t="inlineStr">
        <is>
          <t>Notes</t>
        </is>
      </c>
      <c r="O707" s="85" t="inlineStr">
        <is>
          <t>1</t>
        </is>
      </c>
      <c r="P707" s="85" t="inlineStr">
        <is>
          <t>2</t>
        </is>
      </c>
      <c r="Q707" s="85" t="inlineStr">
        <is>
          <t>3</t>
        </is>
      </c>
      <c r="R707" s="85" t="inlineStr">
        <is>
          <t>Notes</t>
        </is>
      </c>
      <c r="S707" s="85" t="inlineStr">
        <is>
          <t>1</t>
        </is>
      </c>
      <c r="T707" s="85" t="inlineStr">
        <is>
          <t>2</t>
        </is>
      </c>
      <c r="U707" s="85" t="inlineStr">
        <is>
          <t>3</t>
        </is>
      </c>
      <c r="V707" s="85" t="inlineStr">
        <is>
          <t>Notes</t>
        </is>
      </c>
      <c r="W707" s="85" t="inlineStr">
        <is>
          <t>Cover</t>
        </is>
      </c>
      <c r="X707" s="85" t="inlineStr">
        <is>
          <t>Notes</t>
        </is>
      </c>
      <c r="Y707" s="85" t="inlineStr">
        <is>
          <t>Cover</t>
        </is>
      </c>
      <c r="Z707" s="85" t="inlineStr">
        <is>
          <t>Notes</t>
        </is>
      </c>
      <c r="AB707" s="86" t="inlineStr">
        <is>
          <t>weekdays short</t>
        </is>
      </c>
      <c r="AC707" s="87" t="inlineStr"/>
    </row>
    <row r="708" ht="17" customHeight="1">
      <c r="A708" t="n">
        <v>15</v>
      </c>
      <c r="B708" s="24">
        <f>IF(Setup!$K$6="","",Setup!$K$6)</f>
        <v/>
      </c>
      <c r="C708" s="88" t="n"/>
      <c r="D708" s="88" t="n"/>
      <c r="E708" s="88" t="n"/>
      <c r="F708" s="89" t="n"/>
      <c r="G708" s="88" t="n"/>
      <c r="H708" s="88" t="n"/>
      <c r="I708" s="88" t="n"/>
      <c r="J708" s="89" t="n"/>
      <c r="K708" s="88" t="n"/>
      <c r="L708" s="88" t="n"/>
      <c r="M708" s="88" t="n"/>
      <c r="N708" s="89" t="n"/>
      <c r="O708" s="88" t="n"/>
      <c r="P708" s="88" t="n"/>
      <c r="Q708" s="88" t="n"/>
      <c r="R708" s="89" t="n"/>
      <c r="S708" s="88" t="n"/>
      <c r="T708" s="88" t="n"/>
      <c r="U708" s="88" t="n"/>
      <c r="V708" s="89" t="n"/>
      <c r="W708" s="88" t="n"/>
      <c r="X708" s="89" t="n"/>
      <c r="Y708" s="88" t="n"/>
      <c r="Z708" s="89" t="n"/>
      <c r="AB708" s="25">
        <f>IF($B708="","",(COUNTIF(C708:E708,"?*")&lt;N(INDEX(Setup!$L$6:$L$23,1)))+(COUNTIF(G708:I708,"?*")&lt;N(INDEX(Setup!$L$6:$L$23,1)))+(COUNTIF(K708:M708,"?*")&lt;N(INDEX(Setup!$L$6:$L$23,1)))+(COUNTIF(O708:Q708,"?*")&lt;N(INDEX(Setup!$L$6:$L$23,1)))+(COUNTIF(S708:U708,"?*")&lt;N(INDEX(Setup!$L$6:$L$23,1)))+((W708="")*(INDEX(Setup!$M$6:$M$23,1)="Y"))+((Y708="")*(INDEX(Setup!$M$6:$M$23,1)="Y")))</f>
        <v/>
      </c>
      <c r="AC708" s="90">
        <f>IF($B708="","",IF(AB708=0,"✓ covered","⚠ "&amp;AB708&amp;IF(AB708=1," gap"," gaps")))</f>
        <v/>
      </c>
    </row>
    <row r="709" ht="17" customHeight="1">
      <c r="A709" t="n">
        <v>15</v>
      </c>
      <c r="B709" s="29">
        <f>IF(Setup!$K$7="","",Setup!$K$7)</f>
        <v/>
      </c>
      <c r="C709" s="88" t="n"/>
      <c r="D709" s="88" t="n"/>
      <c r="E709" s="88" t="n"/>
      <c r="F709" s="89" t="n"/>
      <c r="G709" s="88" t="n"/>
      <c r="H709" s="88" t="n"/>
      <c r="I709" s="88" t="n"/>
      <c r="J709" s="89" t="n"/>
      <c r="K709" s="88" t="n"/>
      <c r="L709" s="88" t="n"/>
      <c r="M709" s="88" t="n"/>
      <c r="N709" s="89" t="n"/>
      <c r="O709" s="88" t="n"/>
      <c r="P709" s="88" t="n"/>
      <c r="Q709" s="88" t="n"/>
      <c r="R709" s="89" t="n"/>
      <c r="S709" s="88" t="n"/>
      <c r="T709" s="88" t="n"/>
      <c r="U709" s="88" t="n"/>
      <c r="V709" s="89" t="n"/>
      <c r="W709" s="88" t="n"/>
      <c r="X709" s="89" t="n"/>
      <c r="Y709" s="88" t="n"/>
      <c r="Z709" s="89" t="n"/>
      <c r="AB709" s="30">
        <f>IF($B709="","",(COUNTIF(C709:E709,"?*")&lt;N(INDEX(Setup!$L$6:$L$23,2)))+(COUNTIF(G709:I709,"?*")&lt;N(INDEX(Setup!$L$6:$L$23,2)))+(COUNTIF(K709:M709,"?*")&lt;N(INDEX(Setup!$L$6:$L$23,2)))+(COUNTIF(O709:Q709,"?*")&lt;N(INDEX(Setup!$L$6:$L$23,2)))+(COUNTIF(S709:U709,"?*")&lt;N(INDEX(Setup!$L$6:$L$23,2)))+((W709="")*(INDEX(Setup!$M$6:$M$23,2)="Y"))+((Y709="")*(INDEX(Setup!$M$6:$M$23,2)="Y")))</f>
        <v/>
      </c>
      <c r="AC709" s="91">
        <f>IF($B709="","",IF(AB709=0,"✓ covered","⚠ "&amp;AB709&amp;IF(AB709=1," gap"," gaps")))</f>
        <v/>
      </c>
    </row>
    <row r="710" ht="17" customHeight="1">
      <c r="A710" t="n">
        <v>15</v>
      </c>
      <c r="B710" s="24">
        <f>IF(Setup!$K$8="","",Setup!$K$8)</f>
        <v/>
      </c>
      <c r="C710" s="88" t="n"/>
      <c r="D710" s="88" t="n"/>
      <c r="E710" s="88" t="n"/>
      <c r="F710" s="89" t="n"/>
      <c r="G710" s="88" t="n"/>
      <c r="H710" s="88" t="n"/>
      <c r="I710" s="88" t="n"/>
      <c r="J710" s="89" t="n"/>
      <c r="K710" s="88" t="n"/>
      <c r="L710" s="88" t="n"/>
      <c r="M710" s="88" t="n"/>
      <c r="N710" s="89" t="n"/>
      <c r="O710" s="88" t="n"/>
      <c r="P710" s="88" t="n"/>
      <c r="Q710" s="88" t="n"/>
      <c r="R710" s="89" t="n"/>
      <c r="S710" s="88" t="n"/>
      <c r="T710" s="88" t="n"/>
      <c r="U710" s="88" t="n"/>
      <c r="V710" s="89" t="n"/>
      <c r="W710" s="88" t="n"/>
      <c r="X710" s="89" t="n"/>
      <c r="Y710" s="88" t="n"/>
      <c r="Z710" s="89" t="n"/>
      <c r="AB710" s="25">
        <f>IF($B710="","",(COUNTIF(C710:E710,"?*")&lt;N(INDEX(Setup!$L$6:$L$23,3)))+(COUNTIF(G710:I710,"?*")&lt;N(INDEX(Setup!$L$6:$L$23,3)))+(COUNTIF(K710:M710,"?*")&lt;N(INDEX(Setup!$L$6:$L$23,3)))+(COUNTIF(O710:Q710,"?*")&lt;N(INDEX(Setup!$L$6:$L$23,3)))+(COUNTIF(S710:U710,"?*")&lt;N(INDEX(Setup!$L$6:$L$23,3)))+((W710="")*(INDEX(Setup!$M$6:$M$23,3)="Y"))+((Y710="")*(INDEX(Setup!$M$6:$M$23,3)="Y")))</f>
        <v/>
      </c>
      <c r="AC710" s="90">
        <f>IF($B710="","",IF(AB710=0,"✓ covered","⚠ "&amp;AB710&amp;IF(AB710=1," gap"," gaps")))</f>
        <v/>
      </c>
    </row>
    <row r="711" ht="17" customHeight="1">
      <c r="A711" t="n">
        <v>15</v>
      </c>
      <c r="B711" s="29">
        <f>IF(Setup!$K$9="","",Setup!$K$9)</f>
        <v/>
      </c>
      <c r="C711" s="88" t="n"/>
      <c r="D711" s="88" t="n"/>
      <c r="E711" s="88" t="n"/>
      <c r="F711" s="89" t="n"/>
      <c r="G711" s="88" t="n"/>
      <c r="H711" s="88" t="n"/>
      <c r="I711" s="88" t="n"/>
      <c r="J711" s="89" t="n"/>
      <c r="K711" s="88" t="n"/>
      <c r="L711" s="88" t="n"/>
      <c r="M711" s="88" t="n"/>
      <c r="N711" s="89" t="n"/>
      <c r="O711" s="88" t="n"/>
      <c r="P711" s="88" t="n"/>
      <c r="Q711" s="88" t="n"/>
      <c r="R711" s="89" t="n"/>
      <c r="S711" s="88" t="n"/>
      <c r="T711" s="88" t="n"/>
      <c r="U711" s="88" t="n"/>
      <c r="V711" s="89" t="n"/>
      <c r="W711" s="88" t="n"/>
      <c r="X711" s="89" t="n"/>
      <c r="Y711" s="88" t="n"/>
      <c r="Z711" s="89" t="n"/>
      <c r="AB711" s="30">
        <f>IF($B711="","",(COUNTIF(C711:E711,"?*")&lt;N(INDEX(Setup!$L$6:$L$23,4)))+(COUNTIF(G711:I711,"?*")&lt;N(INDEX(Setup!$L$6:$L$23,4)))+(COUNTIF(K711:M711,"?*")&lt;N(INDEX(Setup!$L$6:$L$23,4)))+(COUNTIF(O711:Q711,"?*")&lt;N(INDEX(Setup!$L$6:$L$23,4)))+(COUNTIF(S711:U711,"?*")&lt;N(INDEX(Setup!$L$6:$L$23,4)))+((W711="")*(INDEX(Setup!$M$6:$M$23,4)="Y"))+((Y711="")*(INDEX(Setup!$M$6:$M$23,4)="Y")))</f>
        <v/>
      </c>
      <c r="AC711" s="91">
        <f>IF($B711="","",IF(AB711=0,"✓ covered","⚠ "&amp;AB711&amp;IF(AB711=1," gap"," gaps")))</f>
        <v/>
      </c>
    </row>
    <row r="712" ht="17" customHeight="1">
      <c r="A712" t="n">
        <v>15</v>
      </c>
      <c r="B712" s="24">
        <f>IF(Setup!$K$10="","",Setup!$K$10)</f>
        <v/>
      </c>
      <c r="C712" s="88" t="n"/>
      <c r="D712" s="88" t="n"/>
      <c r="E712" s="88" t="n"/>
      <c r="F712" s="89" t="n"/>
      <c r="G712" s="88" t="n"/>
      <c r="H712" s="88" t="n"/>
      <c r="I712" s="88" t="n"/>
      <c r="J712" s="89" t="n"/>
      <c r="K712" s="88" t="n"/>
      <c r="L712" s="88" t="n"/>
      <c r="M712" s="88" t="n"/>
      <c r="N712" s="89" t="n"/>
      <c r="O712" s="88" t="n"/>
      <c r="P712" s="88" t="n"/>
      <c r="Q712" s="88" t="n"/>
      <c r="R712" s="89" t="n"/>
      <c r="S712" s="88" t="n"/>
      <c r="T712" s="88" t="n"/>
      <c r="U712" s="88" t="n"/>
      <c r="V712" s="89" t="n"/>
      <c r="W712" s="88" t="n"/>
      <c r="X712" s="89" t="n"/>
      <c r="Y712" s="88" t="n"/>
      <c r="Z712" s="89" t="n"/>
      <c r="AB712" s="25">
        <f>IF($B712="","",(COUNTIF(C712:E712,"?*")&lt;N(INDEX(Setup!$L$6:$L$23,5)))+(COUNTIF(G712:I712,"?*")&lt;N(INDEX(Setup!$L$6:$L$23,5)))+(COUNTIF(K712:M712,"?*")&lt;N(INDEX(Setup!$L$6:$L$23,5)))+(COUNTIF(O712:Q712,"?*")&lt;N(INDEX(Setup!$L$6:$L$23,5)))+(COUNTIF(S712:U712,"?*")&lt;N(INDEX(Setup!$L$6:$L$23,5)))+((W712="")*(INDEX(Setup!$M$6:$M$23,5)="Y"))+((Y712="")*(INDEX(Setup!$M$6:$M$23,5)="Y")))</f>
        <v/>
      </c>
      <c r="AC712" s="90">
        <f>IF($B712="","",IF(AB712=0,"✓ covered","⚠ "&amp;AB712&amp;IF(AB712=1," gap"," gaps")))</f>
        <v/>
      </c>
    </row>
    <row r="713" ht="17" customHeight="1">
      <c r="A713" t="n">
        <v>15</v>
      </c>
      <c r="B713" s="29">
        <f>IF(Setup!$K$11="","",Setup!$K$11)</f>
        <v/>
      </c>
      <c r="C713" s="88" t="n"/>
      <c r="D713" s="88" t="n"/>
      <c r="E713" s="88" t="n"/>
      <c r="F713" s="89" t="n"/>
      <c r="G713" s="88" t="n"/>
      <c r="H713" s="88" t="n"/>
      <c r="I713" s="88" t="n"/>
      <c r="J713" s="89" t="n"/>
      <c r="K713" s="88" t="n"/>
      <c r="L713" s="88" t="n"/>
      <c r="M713" s="88" t="n"/>
      <c r="N713" s="89" t="n"/>
      <c r="O713" s="88" t="n"/>
      <c r="P713" s="88" t="n"/>
      <c r="Q713" s="88" t="n"/>
      <c r="R713" s="89" t="n"/>
      <c r="S713" s="88" t="n"/>
      <c r="T713" s="88" t="n"/>
      <c r="U713" s="88" t="n"/>
      <c r="V713" s="89" t="n"/>
      <c r="W713" s="88" t="n"/>
      <c r="X713" s="89" t="n"/>
      <c r="Y713" s="88" t="n"/>
      <c r="Z713" s="89" t="n"/>
      <c r="AB713" s="30">
        <f>IF($B713="","",(COUNTIF(C713:E713,"?*")&lt;N(INDEX(Setup!$L$6:$L$23,6)))+(COUNTIF(G713:I713,"?*")&lt;N(INDEX(Setup!$L$6:$L$23,6)))+(COUNTIF(K713:M713,"?*")&lt;N(INDEX(Setup!$L$6:$L$23,6)))+(COUNTIF(O713:Q713,"?*")&lt;N(INDEX(Setup!$L$6:$L$23,6)))+(COUNTIF(S713:U713,"?*")&lt;N(INDEX(Setup!$L$6:$L$23,6)))+((W713="")*(INDEX(Setup!$M$6:$M$23,6)="Y"))+((Y713="")*(INDEX(Setup!$M$6:$M$23,6)="Y")))</f>
        <v/>
      </c>
      <c r="AC713" s="91">
        <f>IF($B713="","",IF(AB713=0,"✓ covered","⚠ "&amp;AB713&amp;IF(AB713=1," gap"," gaps")))</f>
        <v/>
      </c>
    </row>
    <row r="714" ht="17" customHeight="1">
      <c r="A714" t="n">
        <v>15</v>
      </c>
      <c r="B714" s="24">
        <f>IF(Setup!$K$12="","",Setup!$K$12)</f>
        <v/>
      </c>
      <c r="C714" s="88" t="n"/>
      <c r="D714" s="88" t="n"/>
      <c r="E714" s="88" t="n"/>
      <c r="F714" s="89" t="n"/>
      <c r="G714" s="88" t="n"/>
      <c r="H714" s="88" t="n"/>
      <c r="I714" s="88" t="n"/>
      <c r="J714" s="89" t="n"/>
      <c r="K714" s="88" t="n"/>
      <c r="L714" s="88" t="n"/>
      <c r="M714" s="88" t="n"/>
      <c r="N714" s="89" t="n"/>
      <c r="O714" s="88" t="n"/>
      <c r="P714" s="88" t="n"/>
      <c r="Q714" s="88" t="n"/>
      <c r="R714" s="89" t="n"/>
      <c r="S714" s="88" t="n"/>
      <c r="T714" s="88" t="n"/>
      <c r="U714" s="88" t="n"/>
      <c r="V714" s="89" t="n"/>
      <c r="W714" s="88" t="n"/>
      <c r="X714" s="89" t="n"/>
      <c r="Y714" s="88" t="n"/>
      <c r="Z714" s="89" t="n"/>
      <c r="AB714" s="25">
        <f>IF($B714="","",(COUNTIF(C714:E714,"?*")&lt;N(INDEX(Setup!$L$6:$L$23,7)))+(COUNTIF(G714:I714,"?*")&lt;N(INDEX(Setup!$L$6:$L$23,7)))+(COUNTIF(K714:M714,"?*")&lt;N(INDEX(Setup!$L$6:$L$23,7)))+(COUNTIF(O714:Q714,"?*")&lt;N(INDEX(Setup!$L$6:$L$23,7)))+(COUNTIF(S714:U714,"?*")&lt;N(INDEX(Setup!$L$6:$L$23,7)))+((W714="")*(INDEX(Setup!$M$6:$M$23,7)="Y"))+((Y714="")*(INDEX(Setup!$M$6:$M$23,7)="Y")))</f>
        <v/>
      </c>
      <c r="AC714" s="90">
        <f>IF($B714="","",IF(AB714=0,"✓ covered","⚠ "&amp;AB714&amp;IF(AB714=1," gap"," gaps")))</f>
        <v/>
      </c>
    </row>
    <row r="715" ht="17" customHeight="1">
      <c r="A715" t="n">
        <v>15</v>
      </c>
      <c r="B715" s="29">
        <f>IF(Setup!$K$13="","",Setup!$K$13)</f>
        <v/>
      </c>
      <c r="C715" s="88" t="n"/>
      <c r="D715" s="88" t="n"/>
      <c r="E715" s="88" t="n"/>
      <c r="F715" s="89" t="n"/>
      <c r="G715" s="88" t="n"/>
      <c r="H715" s="88" t="n"/>
      <c r="I715" s="88" t="n"/>
      <c r="J715" s="89" t="n"/>
      <c r="K715" s="88" t="n"/>
      <c r="L715" s="88" t="n"/>
      <c r="M715" s="88" t="n"/>
      <c r="N715" s="89" t="n"/>
      <c r="O715" s="88" t="n"/>
      <c r="P715" s="88" t="n"/>
      <c r="Q715" s="88" t="n"/>
      <c r="R715" s="89" t="n"/>
      <c r="S715" s="88" t="n"/>
      <c r="T715" s="88" t="n"/>
      <c r="U715" s="88" t="n"/>
      <c r="V715" s="89" t="n"/>
      <c r="W715" s="88" t="n"/>
      <c r="X715" s="89" t="n"/>
      <c r="Y715" s="88" t="n"/>
      <c r="Z715" s="89" t="n"/>
      <c r="AB715" s="30">
        <f>IF($B715="","",(COUNTIF(C715:E715,"?*")&lt;N(INDEX(Setup!$L$6:$L$23,8)))+(COUNTIF(G715:I715,"?*")&lt;N(INDEX(Setup!$L$6:$L$23,8)))+(COUNTIF(K715:M715,"?*")&lt;N(INDEX(Setup!$L$6:$L$23,8)))+(COUNTIF(O715:Q715,"?*")&lt;N(INDEX(Setup!$L$6:$L$23,8)))+(COUNTIF(S715:U715,"?*")&lt;N(INDEX(Setup!$L$6:$L$23,8)))+((W715="")*(INDEX(Setup!$M$6:$M$23,8)="Y"))+((Y715="")*(INDEX(Setup!$M$6:$M$23,8)="Y")))</f>
        <v/>
      </c>
      <c r="AC715" s="91">
        <f>IF($B715="","",IF(AB715=0,"✓ covered","⚠ "&amp;AB715&amp;IF(AB715=1," gap"," gaps")))</f>
        <v/>
      </c>
    </row>
    <row r="716" ht="17" customHeight="1">
      <c r="A716" t="n">
        <v>15</v>
      </c>
      <c r="B716" s="24">
        <f>IF(Setup!$K$14="","",Setup!$K$14)</f>
        <v/>
      </c>
      <c r="C716" s="88" t="n"/>
      <c r="D716" s="88" t="n"/>
      <c r="E716" s="88" t="n"/>
      <c r="F716" s="89" t="n"/>
      <c r="G716" s="88" t="n"/>
      <c r="H716" s="88" t="n"/>
      <c r="I716" s="88" t="n"/>
      <c r="J716" s="89" t="n"/>
      <c r="K716" s="88" t="n"/>
      <c r="L716" s="88" t="n"/>
      <c r="M716" s="88" t="n"/>
      <c r="N716" s="89" t="n"/>
      <c r="O716" s="88" t="n"/>
      <c r="P716" s="88" t="n"/>
      <c r="Q716" s="88" t="n"/>
      <c r="R716" s="89" t="n"/>
      <c r="S716" s="88" t="n"/>
      <c r="T716" s="88" t="n"/>
      <c r="U716" s="88" t="n"/>
      <c r="V716" s="89" t="n"/>
      <c r="W716" s="88" t="n"/>
      <c r="X716" s="89" t="n"/>
      <c r="Y716" s="88" t="n"/>
      <c r="Z716" s="89" t="n"/>
      <c r="AB716" s="25">
        <f>IF($B716="","",(COUNTIF(C716:E716,"?*")&lt;N(INDEX(Setup!$L$6:$L$23,9)))+(COUNTIF(G716:I716,"?*")&lt;N(INDEX(Setup!$L$6:$L$23,9)))+(COUNTIF(K716:M716,"?*")&lt;N(INDEX(Setup!$L$6:$L$23,9)))+(COUNTIF(O716:Q716,"?*")&lt;N(INDEX(Setup!$L$6:$L$23,9)))+(COUNTIF(S716:U716,"?*")&lt;N(INDEX(Setup!$L$6:$L$23,9)))+((W716="")*(INDEX(Setup!$M$6:$M$23,9)="Y"))+((Y716="")*(INDEX(Setup!$M$6:$M$23,9)="Y")))</f>
        <v/>
      </c>
      <c r="AC716" s="90">
        <f>IF($B716="","",IF(AB716=0,"✓ covered","⚠ "&amp;AB716&amp;IF(AB716=1," gap"," gaps")))</f>
        <v/>
      </c>
    </row>
    <row r="717" ht="17" customHeight="1">
      <c r="A717" t="n">
        <v>15</v>
      </c>
      <c r="B717" s="29">
        <f>IF(Setup!$K$15="","",Setup!$K$15)</f>
        <v/>
      </c>
      <c r="C717" s="88" t="n"/>
      <c r="D717" s="88" t="n"/>
      <c r="E717" s="88" t="n"/>
      <c r="F717" s="89" t="n"/>
      <c r="G717" s="88" t="n"/>
      <c r="H717" s="88" t="n"/>
      <c r="I717" s="88" t="n"/>
      <c r="J717" s="89" t="n"/>
      <c r="K717" s="88" t="n"/>
      <c r="L717" s="88" t="n"/>
      <c r="M717" s="88" t="n"/>
      <c r="N717" s="89" t="n"/>
      <c r="O717" s="88" t="n"/>
      <c r="P717" s="88" t="n"/>
      <c r="Q717" s="88" t="n"/>
      <c r="R717" s="89" t="n"/>
      <c r="S717" s="88" t="n"/>
      <c r="T717" s="88" t="n"/>
      <c r="U717" s="88" t="n"/>
      <c r="V717" s="89" t="n"/>
      <c r="W717" s="88" t="n"/>
      <c r="X717" s="89" t="n"/>
      <c r="Y717" s="88" t="n"/>
      <c r="Z717" s="89" t="n"/>
      <c r="AB717" s="30">
        <f>IF($B717="","",(COUNTIF(C717:E717,"?*")&lt;N(INDEX(Setup!$L$6:$L$23,10)))+(COUNTIF(G717:I717,"?*")&lt;N(INDEX(Setup!$L$6:$L$23,10)))+(COUNTIF(K717:M717,"?*")&lt;N(INDEX(Setup!$L$6:$L$23,10)))+(COUNTIF(O717:Q717,"?*")&lt;N(INDEX(Setup!$L$6:$L$23,10)))+(COUNTIF(S717:U717,"?*")&lt;N(INDEX(Setup!$L$6:$L$23,10)))+((W717="")*(INDEX(Setup!$M$6:$M$23,10)="Y"))+((Y717="")*(INDEX(Setup!$M$6:$M$23,10)="Y")))</f>
        <v/>
      </c>
      <c r="AC717" s="91">
        <f>IF($B717="","",IF(AB717=0,"✓ covered","⚠ "&amp;AB717&amp;IF(AB717=1," gap"," gaps")))</f>
        <v/>
      </c>
    </row>
    <row r="718" ht="17" customHeight="1">
      <c r="A718" t="n">
        <v>15</v>
      </c>
      <c r="B718" s="24">
        <f>IF(Setup!$K$16="","",Setup!$K$16)</f>
        <v/>
      </c>
      <c r="C718" s="88" t="n"/>
      <c r="D718" s="88" t="n"/>
      <c r="E718" s="88" t="n"/>
      <c r="F718" s="89" t="n"/>
      <c r="G718" s="88" t="n"/>
      <c r="H718" s="88" t="n"/>
      <c r="I718" s="88" t="n"/>
      <c r="J718" s="89" t="n"/>
      <c r="K718" s="88" t="n"/>
      <c r="L718" s="88" t="n"/>
      <c r="M718" s="88" t="n"/>
      <c r="N718" s="89" t="n"/>
      <c r="O718" s="88" t="n"/>
      <c r="P718" s="88" t="n"/>
      <c r="Q718" s="88" t="n"/>
      <c r="R718" s="89" t="n"/>
      <c r="S718" s="88" t="n"/>
      <c r="T718" s="88" t="n"/>
      <c r="U718" s="88" t="n"/>
      <c r="V718" s="89" t="n"/>
      <c r="W718" s="88" t="n"/>
      <c r="X718" s="89" t="n"/>
      <c r="Y718" s="88" t="n"/>
      <c r="Z718" s="89" t="n"/>
      <c r="AB718" s="25">
        <f>IF($B718="","",(COUNTIF(C718:E718,"?*")&lt;N(INDEX(Setup!$L$6:$L$23,11)))+(COUNTIF(G718:I718,"?*")&lt;N(INDEX(Setup!$L$6:$L$23,11)))+(COUNTIF(K718:M718,"?*")&lt;N(INDEX(Setup!$L$6:$L$23,11)))+(COUNTIF(O718:Q718,"?*")&lt;N(INDEX(Setup!$L$6:$L$23,11)))+(COUNTIF(S718:U718,"?*")&lt;N(INDEX(Setup!$L$6:$L$23,11)))+((W718="")*(INDEX(Setup!$M$6:$M$23,11)="Y"))+((Y718="")*(INDEX(Setup!$M$6:$M$23,11)="Y")))</f>
        <v/>
      </c>
      <c r="AC718" s="90">
        <f>IF($B718="","",IF(AB718=0,"✓ covered","⚠ "&amp;AB718&amp;IF(AB718=1," gap"," gaps")))</f>
        <v/>
      </c>
    </row>
    <row r="719" ht="17" customHeight="1">
      <c r="A719" t="n">
        <v>15</v>
      </c>
      <c r="B719" s="29">
        <f>IF(Setup!$K$17="","",Setup!$K$17)</f>
        <v/>
      </c>
      <c r="C719" s="88" t="n"/>
      <c r="D719" s="88" t="n"/>
      <c r="E719" s="88" t="n"/>
      <c r="F719" s="89" t="n"/>
      <c r="G719" s="88" t="n"/>
      <c r="H719" s="88" t="n"/>
      <c r="I719" s="88" t="n"/>
      <c r="J719" s="89" t="n"/>
      <c r="K719" s="88" t="n"/>
      <c r="L719" s="88" t="n"/>
      <c r="M719" s="88" t="n"/>
      <c r="N719" s="89" t="n"/>
      <c r="O719" s="88" t="n"/>
      <c r="P719" s="88" t="n"/>
      <c r="Q719" s="88" t="n"/>
      <c r="R719" s="89" t="n"/>
      <c r="S719" s="88" t="n"/>
      <c r="T719" s="88" t="n"/>
      <c r="U719" s="88" t="n"/>
      <c r="V719" s="89" t="n"/>
      <c r="W719" s="88" t="n"/>
      <c r="X719" s="89" t="n"/>
      <c r="Y719" s="88" t="n"/>
      <c r="Z719" s="89" t="n"/>
      <c r="AB719" s="30">
        <f>IF($B719="","",(COUNTIF(C719:E719,"?*")&lt;N(INDEX(Setup!$L$6:$L$23,12)))+(COUNTIF(G719:I719,"?*")&lt;N(INDEX(Setup!$L$6:$L$23,12)))+(COUNTIF(K719:M719,"?*")&lt;N(INDEX(Setup!$L$6:$L$23,12)))+(COUNTIF(O719:Q719,"?*")&lt;N(INDEX(Setup!$L$6:$L$23,12)))+(COUNTIF(S719:U719,"?*")&lt;N(INDEX(Setup!$L$6:$L$23,12)))+((W719="")*(INDEX(Setup!$M$6:$M$23,12)="Y"))+((Y719="")*(INDEX(Setup!$M$6:$M$23,12)="Y")))</f>
        <v/>
      </c>
      <c r="AC719" s="91">
        <f>IF($B719="","",IF(AB719=0,"✓ covered","⚠ "&amp;AB719&amp;IF(AB719=1," gap"," gaps")))</f>
        <v/>
      </c>
    </row>
    <row r="720" ht="17" customHeight="1">
      <c r="A720" t="n">
        <v>15</v>
      </c>
      <c r="B720" s="24">
        <f>IF(Setup!$K$18="","",Setup!$K$18)</f>
        <v/>
      </c>
      <c r="C720" s="88" t="n"/>
      <c r="D720" s="88" t="n"/>
      <c r="E720" s="88" t="n"/>
      <c r="F720" s="89" t="n"/>
      <c r="G720" s="88" t="n"/>
      <c r="H720" s="88" t="n"/>
      <c r="I720" s="88" t="n"/>
      <c r="J720" s="89" t="n"/>
      <c r="K720" s="88" t="n"/>
      <c r="L720" s="88" t="n"/>
      <c r="M720" s="88" t="n"/>
      <c r="N720" s="89" t="n"/>
      <c r="O720" s="88" t="n"/>
      <c r="P720" s="88" t="n"/>
      <c r="Q720" s="88" t="n"/>
      <c r="R720" s="89" t="n"/>
      <c r="S720" s="88" t="n"/>
      <c r="T720" s="88" t="n"/>
      <c r="U720" s="88" t="n"/>
      <c r="V720" s="89" t="n"/>
      <c r="W720" s="88" t="n"/>
      <c r="X720" s="89" t="n"/>
      <c r="Y720" s="88" t="n"/>
      <c r="Z720" s="89" t="n"/>
      <c r="AB720" s="25">
        <f>IF($B720="","",(COUNTIF(C720:E720,"?*")&lt;N(INDEX(Setup!$L$6:$L$23,13)))+(COUNTIF(G720:I720,"?*")&lt;N(INDEX(Setup!$L$6:$L$23,13)))+(COUNTIF(K720:M720,"?*")&lt;N(INDEX(Setup!$L$6:$L$23,13)))+(COUNTIF(O720:Q720,"?*")&lt;N(INDEX(Setup!$L$6:$L$23,13)))+(COUNTIF(S720:U720,"?*")&lt;N(INDEX(Setup!$L$6:$L$23,13)))+((W720="")*(INDEX(Setup!$M$6:$M$23,13)="Y"))+((Y720="")*(INDEX(Setup!$M$6:$M$23,13)="Y")))</f>
        <v/>
      </c>
      <c r="AC720" s="90">
        <f>IF($B720="","",IF(AB720=0,"✓ covered","⚠ "&amp;AB720&amp;IF(AB720=1," gap"," gaps")))</f>
        <v/>
      </c>
    </row>
    <row r="721" ht="17" customHeight="1">
      <c r="A721" t="n">
        <v>15</v>
      </c>
      <c r="B721" s="29">
        <f>IF(Setup!$K$19="","",Setup!$K$19)</f>
        <v/>
      </c>
      <c r="C721" s="88" t="n"/>
      <c r="D721" s="88" t="n"/>
      <c r="E721" s="88" t="n"/>
      <c r="F721" s="89" t="n"/>
      <c r="G721" s="88" t="n"/>
      <c r="H721" s="88" t="n"/>
      <c r="I721" s="88" t="n"/>
      <c r="J721" s="89" t="n"/>
      <c r="K721" s="88" t="n"/>
      <c r="L721" s="88" t="n"/>
      <c r="M721" s="88" t="n"/>
      <c r="N721" s="89" t="n"/>
      <c r="O721" s="88" t="n"/>
      <c r="P721" s="88" t="n"/>
      <c r="Q721" s="88" t="n"/>
      <c r="R721" s="89" t="n"/>
      <c r="S721" s="88" t="n"/>
      <c r="T721" s="88" t="n"/>
      <c r="U721" s="88" t="n"/>
      <c r="V721" s="89" t="n"/>
      <c r="W721" s="88" t="n"/>
      <c r="X721" s="89" t="n"/>
      <c r="Y721" s="88" t="n"/>
      <c r="Z721" s="89" t="n"/>
      <c r="AB721" s="30">
        <f>IF($B721="","",(COUNTIF(C721:E721,"?*")&lt;N(INDEX(Setup!$L$6:$L$23,14)))+(COUNTIF(G721:I721,"?*")&lt;N(INDEX(Setup!$L$6:$L$23,14)))+(COUNTIF(K721:M721,"?*")&lt;N(INDEX(Setup!$L$6:$L$23,14)))+(COUNTIF(O721:Q721,"?*")&lt;N(INDEX(Setup!$L$6:$L$23,14)))+(COUNTIF(S721:U721,"?*")&lt;N(INDEX(Setup!$L$6:$L$23,14)))+((W721="")*(INDEX(Setup!$M$6:$M$23,14)="Y"))+((Y721="")*(INDEX(Setup!$M$6:$M$23,14)="Y")))</f>
        <v/>
      </c>
      <c r="AC721" s="91">
        <f>IF($B721="","",IF(AB721=0,"✓ covered","⚠ "&amp;AB721&amp;IF(AB721=1," gap"," gaps")))</f>
        <v/>
      </c>
    </row>
    <row r="722" ht="17" customHeight="1">
      <c r="A722" t="n">
        <v>15</v>
      </c>
      <c r="B722" s="24">
        <f>IF(Setup!$K$20="","",Setup!$K$20)</f>
        <v/>
      </c>
      <c r="C722" s="88" t="n"/>
      <c r="D722" s="88" t="n"/>
      <c r="E722" s="88" t="n"/>
      <c r="F722" s="89" t="n"/>
      <c r="G722" s="88" t="n"/>
      <c r="H722" s="88" t="n"/>
      <c r="I722" s="88" t="n"/>
      <c r="J722" s="89" t="n"/>
      <c r="K722" s="88" t="n"/>
      <c r="L722" s="88" t="n"/>
      <c r="M722" s="88" t="n"/>
      <c r="N722" s="89" t="n"/>
      <c r="O722" s="88" t="n"/>
      <c r="P722" s="88" t="n"/>
      <c r="Q722" s="88" t="n"/>
      <c r="R722" s="89" t="n"/>
      <c r="S722" s="88" t="n"/>
      <c r="T722" s="88" t="n"/>
      <c r="U722" s="88" t="n"/>
      <c r="V722" s="89" t="n"/>
      <c r="W722" s="88" t="n"/>
      <c r="X722" s="89" t="n"/>
      <c r="Y722" s="88" t="n"/>
      <c r="Z722" s="89" t="n"/>
      <c r="AB722" s="25">
        <f>IF($B722="","",(COUNTIF(C722:E722,"?*")&lt;N(INDEX(Setup!$L$6:$L$23,15)))+(COUNTIF(G722:I722,"?*")&lt;N(INDEX(Setup!$L$6:$L$23,15)))+(COUNTIF(K722:M722,"?*")&lt;N(INDEX(Setup!$L$6:$L$23,15)))+(COUNTIF(O722:Q722,"?*")&lt;N(INDEX(Setup!$L$6:$L$23,15)))+(COUNTIF(S722:U722,"?*")&lt;N(INDEX(Setup!$L$6:$L$23,15)))+((W722="")*(INDEX(Setup!$M$6:$M$23,15)="Y"))+((Y722="")*(INDEX(Setup!$M$6:$M$23,15)="Y")))</f>
        <v/>
      </c>
      <c r="AC722" s="90">
        <f>IF($B722="","",IF(AB722=0,"✓ covered","⚠ "&amp;AB722&amp;IF(AB722=1," gap"," gaps")))</f>
        <v/>
      </c>
    </row>
    <row r="723" ht="17" customHeight="1">
      <c r="A723" t="n">
        <v>15</v>
      </c>
      <c r="B723" s="29">
        <f>IF(Setup!$K$21="","",Setup!$K$21)</f>
        <v/>
      </c>
      <c r="C723" s="88" t="n"/>
      <c r="D723" s="88" t="n"/>
      <c r="E723" s="88" t="n"/>
      <c r="F723" s="89" t="n"/>
      <c r="G723" s="88" t="n"/>
      <c r="H723" s="88" t="n"/>
      <c r="I723" s="88" t="n"/>
      <c r="J723" s="89" t="n"/>
      <c r="K723" s="88" t="n"/>
      <c r="L723" s="88" t="n"/>
      <c r="M723" s="88" t="n"/>
      <c r="N723" s="89" t="n"/>
      <c r="O723" s="88" t="n"/>
      <c r="P723" s="88" t="n"/>
      <c r="Q723" s="88" t="n"/>
      <c r="R723" s="89" t="n"/>
      <c r="S723" s="88" t="n"/>
      <c r="T723" s="88" t="n"/>
      <c r="U723" s="88" t="n"/>
      <c r="V723" s="89" t="n"/>
      <c r="W723" s="88" t="n"/>
      <c r="X723" s="89" t="n"/>
      <c r="Y723" s="88" t="n"/>
      <c r="Z723" s="89" t="n"/>
      <c r="AB723" s="30">
        <f>IF($B723="","",(COUNTIF(C723:E723,"?*")&lt;N(INDEX(Setup!$L$6:$L$23,16)))+(COUNTIF(G723:I723,"?*")&lt;N(INDEX(Setup!$L$6:$L$23,16)))+(COUNTIF(K723:M723,"?*")&lt;N(INDEX(Setup!$L$6:$L$23,16)))+(COUNTIF(O723:Q723,"?*")&lt;N(INDEX(Setup!$L$6:$L$23,16)))+(COUNTIF(S723:U723,"?*")&lt;N(INDEX(Setup!$L$6:$L$23,16)))+((W723="")*(INDEX(Setup!$M$6:$M$23,16)="Y"))+((Y723="")*(INDEX(Setup!$M$6:$M$23,16)="Y")))</f>
        <v/>
      </c>
      <c r="AC723" s="91">
        <f>IF($B723="","",IF(AB723=0,"✓ covered","⚠ "&amp;AB723&amp;IF(AB723=1," gap"," gaps")))</f>
        <v/>
      </c>
    </row>
    <row r="724" ht="17" customHeight="1">
      <c r="A724" t="n">
        <v>15</v>
      </c>
      <c r="B724" s="24">
        <f>IF(Setup!$K$22="","",Setup!$K$22)</f>
        <v/>
      </c>
      <c r="C724" s="88" t="n"/>
      <c r="D724" s="88" t="n"/>
      <c r="E724" s="88" t="n"/>
      <c r="F724" s="89" t="n"/>
      <c r="G724" s="88" t="n"/>
      <c r="H724" s="88" t="n"/>
      <c r="I724" s="88" t="n"/>
      <c r="J724" s="89" t="n"/>
      <c r="K724" s="88" t="n"/>
      <c r="L724" s="88" t="n"/>
      <c r="M724" s="88" t="n"/>
      <c r="N724" s="89" t="n"/>
      <c r="O724" s="88" t="n"/>
      <c r="P724" s="88" t="n"/>
      <c r="Q724" s="88" t="n"/>
      <c r="R724" s="89" t="n"/>
      <c r="S724" s="88" t="n"/>
      <c r="T724" s="88" t="n"/>
      <c r="U724" s="88" t="n"/>
      <c r="V724" s="89" t="n"/>
      <c r="W724" s="88" t="n"/>
      <c r="X724" s="89" t="n"/>
      <c r="Y724" s="88" t="n"/>
      <c r="Z724" s="89" t="n"/>
      <c r="AB724" s="25">
        <f>IF($B724="","",(COUNTIF(C724:E724,"?*")&lt;N(INDEX(Setup!$L$6:$L$23,17)))+(COUNTIF(G724:I724,"?*")&lt;N(INDEX(Setup!$L$6:$L$23,17)))+(COUNTIF(K724:M724,"?*")&lt;N(INDEX(Setup!$L$6:$L$23,17)))+(COUNTIF(O724:Q724,"?*")&lt;N(INDEX(Setup!$L$6:$L$23,17)))+(COUNTIF(S724:U724,"?*")&lt;N(INDEX(Setup!$L$6:$L$23,17)))+((W724="")*(INDEX(Setup!$M$6:$M$23,17)="Y"))+((Y724="")*(INDEX(Setup!$M$6:$M$23,17)="Y")))</f>
        <v/>
      </c>
      <c r="AC724" s="90">
        <f>IF($B724="","",IF(AB724=0,"✓ covered","⚠ "&amp;AB724&amp;IF(AB724=1," gap"," gaps")))</f>
        <v/>
      </c>
    </row>
    <row r="725" ht="17" customHeight="1">
      <c r="A725" t="n">
        <v>15</v>
      </c>
      <c r="B725" s="29">
        <f>IF(Setup!$K$23="","",Setup!$K$23)</f>
        <v/>
      </c>
      <c r="C725" s="88" t="n"/>
      <c r="D725" s="88" t="n"/>
      <c r="E725" s="88" t="n"/>
      <c r="F725" s="89" t="n"/>
      <c r="G725" s="88" t="n"/>
      <c r="H725" s="88" t="n"/>
      <c r="I725" s="88" t="n"/>
      <c r="J725" s="89" t="n"/>
      <c r="K725" s="88" t="n"/>
      <c r="L725" s="88" t="n"/>
      <c r="M725" s="88" t="n"/>
      <c r="N725" s="89" t="n"/>
      <c r="O725" s="88" t="n"/>
      <c r="P725" s="88" t="n"/>
      <c r="Q725" s="88" t="n"/>
      <c r="R725" s="89" t="n"/>
      <c r="S725" s="88" t="n"/>
      <c r="T725" s="88" t="n"/>
      <c r="U725" s="88" t="n"/>
      <c r="V725" s="89" t="n"/>
      <c r="W725" s="88" t="n"/>
      <c r="X725" s="89" t="n"/>
      <c r="Y725" s="88" t="n"/>
      <c r="Z725" s="89" t="n"/>
      <c r="AB725" s="30">
        <f>IF($B725="","",(COUNTIF(C725:E725,"?*")&lt;N(INDEX(Setup!$L$6:$L$23,18)))+(COUNTIF(G725:I725,"?*")&lt;N(INDEX(Setup!$L$6:$L$23,18)))+(COUNTIF(K725:M725,"?*")&lt;N(INDEX(Setup!$L$6:$L$23,18)))+(COUNTIF(O725:Q725,"?*")&lt;N(INDEX(Setup!$L$6:$L$23,18)))+(COUNTIF(S725:U725,"?*")&lt;N(INDEX(Setup!$L$6:$L$23,18)))+((W725="")*(INDEX(Setup!$M$6:$M$23,18)="Y"))+((Y725="")*(INDEX(Setup!$M$6:$M$23,18)="Y")))</f>
        <v/>
      </c>
      <c r="AC725" s="91">
        <f>IF($B725="","",IF(AB725=0,"✓ covered","⚠ "&amp;AB725&amp;IF(AB725=1," gap"," gaps")))</f>
        <v/>
      </c>
    </row>
    <row r="726" ht="18" customHeight="1">
      <c r="A726" t="n">
        <v>15</v>
      </c>
      <c r="B726" s="78" t="inlineStr">
        <is>
          <t>TEAM AVAILABILITY</t>
        </is>
      </c>
      <c r="C726" s="92" t="inlineStr">
        <is>
          <t>Mon</t>
        </is>
      </c>
      <c r="D726" s="93" t="n"/>
      <c r="E726" s="93" t="n"/>
      <c r="F726" s="94" t="n"/>
      <c r="G726" s="92" t="inlineStr">
        <is>
          <t>Tue</t>
        </is>
      </c>
      <c r="H726" s="93" t="n"/>
      <c r="I726" s="93" t="n"/>
      <c r="J726" s="94" t="n"/>
      <c r="K726" s="92" t="inlineStr">
        <is>
          <t>Wed</t>
        </is>
      </c>
      <c r="L726" s="93" t="n"/>
      <c r="M726" s="93" t="n"/>
      <c r="N726" s="94" t="n"/>
      <c r="O726" s="92" t="inlineStr">
        <is>
          <t>Thu</t>
        </is>
      </c>
      <c r="P726" s="93" t="n"/>
      <c r="Q726" s="93" t="n"/>
      <c r="R726" s="94" t="n"/>
      <c r="S726" s="92" t="inlineStr">
        <is>
          <t>Fri</t>
        </is>
      </c>
      <c r="T726" s="93" t="n"/>
      <c r="U726" s="93" t="n"/>
      <c r="V726" s="94" t="n"/>
      <c r="W726" s="95" t="inlineStr">
        <is>
          <t>Sat</t>
        </is>
      </c>
      <c r="X726" s="96" t="n"/>
      <c r="Y726" s="95" t="inlineStr">
        <is>
          <t>Sun</t>
        </is>
      </c>
      <c r="Z726" s="96" t="n"/>
      <c r="AB726" s="97" t="inlineStr">
        <is>
          <t>Days rostered</t>
        </is>
      </c>
      <c r="AC726" s="97" t="inlineStr">
        <is>
          <t>Conflicts</t>
        </is>
      </c>
    </row>
    <row r="727" ht="15" customHeight="1">
      <c r="A727" t="n">
        <v>15</v>
      </c>
      <c r="B727" s="35">
        <f>IF(Setup!$B$6="","",Setup!$B$6)</f>
        <v/>
      </c>
      <c r="C727" s="98" t="n"/>
      <c r="D727" s="99" t="n"/>
      <c r="E727" s="99" t="n"/>
      <c r="F727" s="100" t="n"/>
      <c r="G727" s="98" t="n"/>
      <c r="H727" s="99" t="n"/>
      <c r="I727" s="99" t="n"/>
      <c r="J727" s="100" t="n"/>
      <c r="K727" s="98" t="n"/>
      <c r="L727" s="99" t="n"/>
      <c r="M727" s="99" t="n"/>
      <c r="N727" s="100" t="n"/>
      <c r="O727" s="98" t="n"/>
      <c r="P727" s="99" t="n"/>
      <c r="Q727" s="99" t="n"/>
      <c r="R727" s="100" t="n"/>
      <c r="S727" s="98" t="n"/>
      <c r="T727" s="99" t="n"/>
      <c r="U727" s="99" t="n"/>
      <c r="V727" s="100" t="n"/>
      <c r="W727" s="98" t="n"/>
      <c r="X727" s="100" t="n"/>
      <c r="Y727" s="98" t="n"/>
      <c r="Z727" s="100" t="n"/>
      <c r="AB727" s="101">
        <f>IF($B727="","",(COUNTIF(C708:E725,$B727)+COUNTIF(C708:E725,$B727&amp;" ~*")&gt;0)+(COUNTIF(G708:I725,$B727)+COUNTIF(G708:I725,$B727&amp;" ~*")&gt;0)+(COUNTIF(K708:M725,$B727)+COUNTIF(K708:M725,$B727&amp;" ~*")&gt;0)+(COUNTIF(O708:Q725,$B727)+COUNTIF(O708:Q725,$B727&amp;" ~*")&gt;0)+(COUNTIF(S708:U725,$B727)+COUNTIF(S708:U725,$B727&amp;" ~*")&gt;0)+(COUNTIF(W708:W725,$B727)+COUNTIF(W708:W725,$B727&amp;" ~*")&gt;0)+(COUNTIF(Y708:Y725,$B727)+COUNTIF(Y708:Y725,$B727&amp;" ~*")&gt;0))</f>
        <v/>
      </c>
      <c r="AC727" s="36">
        <f>IF($B727="","",(IFERROR(INDEX(Setup!$G$33:$G$40,MATCH(C727,Setup!$B$33:$B$40,0)),0)=1)*(COUNTIF(C708:E725,$B727)+COUNTIF(C708:E725,$B727&amp;" ~*")&gt;0)+(IFERROR(INDEX(Setup!$G$33:$G$40,MATCH(G727,Setup!$B$33:$B$40,0)),0)=1)*(COUNTIF(G708:I725,$B727)+COUNTIF(G708:I725,$B727&amp;" ~*")&gt;0)+(IFERROR(INDEX(Setup!$G$33:$G$40,MATCH(K727,Setup!$B$33:$B$40,0)),0)=1)*(COUNTIF(K708:M725,$B727)+COUNTIF(K708:M725,$B727&amp;" ~*")&gt;0)+(IFERROR(INDEX(Setup!$G$33:$G$40,MATCH(O727,Setup!$B$33:$B$40,0)),0)=1)*(COUNTIF(O708:Q725,$B727)+COUNTIF(O708:Q725,$B727&amp;" ~*")&gt;0)+(IFERROR(INDEX(Setup!$G$33:$G$40,MATCH(S727,Setup!$B$33:$B$40,0)),0)=1)*(COUNTIF(S708:U725,$B727)+COUNTIF(S708:U725,$B727&amp;" ~*")&gt;0)+(IFERROR(INDEX(Setup!$G$33:$G$40,MATCH(W727,Setup!$B$33:$B$40,0)),0)=1)*(COUNTIF(W708:W725,$B727)+COUNTIF(W708:W725,$B727&amp;" ~*")&gt;0)+(IFERROR(INDEX(Setup!$G$33:$G$40,MATCH(Y727,Setup!$B$33:$B$40,0)),0)=1)*(COUNTIF(Y708:Y725,$B727)+COUNTIF(Y708:Y725,$B727&amp;" ~*")&gt;0))</f>
        <v/>
      </c>
    </row>
    <row r="728" ht="15" customHeight="1">
      <c r="A728" t="n">
        <v>15</v>
      </c>
      <c r="B728" s="37">
        <f>IF(Setup!$B$7="","",Setup!$B$7)</f>
        <v/>
      </c>
      <c r="C728" s="102" t="n"/>
      <c r="D728" s="103" t="n"/>
      <c r="E728" s="103" t="n"/>
      <c r="F728" s="104" t="n"/>
      <c r="G728" s="102" t="n"/>
      <c r="H728" s="103" t="n"/>
      <c r="I728" s="103" t="n"/>
      <c r="J728" s="104" t="n"/>
      <c r="K728" s="102" t="n"/>
      <c r="L728" s="103" t="n"/>
      <c r="M728" s="103" t="n"/>
      <c r="N728" s="104" t="n"/>
      <c r="O728" s="102" t="n"/>
      <c r="P728" s="103" t="n"/>
      <c r="Q728" s="103" t="n"/>
      <c r="R728" s="104" t="n"/>
      <c r="S728" s="102" t="n"/>
      <c r="T728" s="103" t="n"/>
      <c r="U728" s="103" t="n"/>
      <c r="V728" s="104" t="n"/>
      <c r="W728" s="102" t="n"/>
      <c r="X728" s="104" t="n"/>
      <c r="Y728" s="102" t="n"/>
      <c r="Z728" s="104" t="n"/>
      <c r="AB728" s="105">
        <f>IF($B728="","",(COUNTIF(C708:E725,$B728)+COUNTIF(C708:E725,$B728&amp;" ~*")&gt;0)+(COUNTIF(G708:I725,$B728)+COUNTIF(G708:I725,$B728&amp;" ~*")&gt;0)+(COUNTIF(K708:M725,$B728)+COUNTIF(K708:M725,$B728&amp;" ~*")&gt;0)+(COUNTIF(O708:Q725,$B728)+COUNTIF(O708:Q725,$B728&amp;" ~*")&gt;0)+(COUNTIF(S708:U725,$B728)+COUNTIF(S708:U725,$B728&amp;" ~*")&gt;0)+(COUNTIF(W708:W725,$B728)+COUNTIF(W708:W725,$B728&amp;" ~*")&gt;0)+(COUNTIF(Y708:Y725,$B728)+COUNTIF(Y708:Y725,$B728&amp;" ~*")&gt;0))</f>
        <v/>
      </c>
      <c r="AC728" s="38">
        <f>IF($B728="","",(IFERROR(INDEX(Setup!$G$33:$G$40,MATCH(C728,Setup!$B$33:$B$40,0)),0)=1)*(COUNTIF(C708:E725,$B728)+COUNTIF(C708:E725,$B728&amp;" ~*")&gt;0)+(IFERROR(INDEX(Setup!$G$33:$G$40,MATCH(G728,Setup!$B$33:$B$40,0)),0)=1)*(COUNTIF(G708:I725,$B728)+COUNTIF(G708:I725,$B728&amp;" ~*")&gt;0)+(IFERROR(INDEX(Setup!$G$33:$G$40,MATCH(K728,Setup!$B$33:$B$40,0)),0)=1)*(COUNTIF(K708:M725,$B728)+COUNTIF(K708:M725,$B728&amp;" ~*")&gt;0)+(IFERROR(INDEX(Setup!$G$33:$G$40,MATCH(O728,Setup!$B$33:$B$40,0)),0)=1)*(COUNTIF(O708:Q725,$B728)+COUNTIF(O708:Q725,$B728&amp;" ~*")&gt;0)+(IFERROR(INDEX(Setup!$G$33:$G$40,MATCH(S728,Setup!$B$33:$B$40,0)),0)=1)*(COUNTIF(S708:U725,$B728)+COUNTIF(S708:U725,$B728&amp;" ~*")&gt;0)+(IFERROR(INDEX(Setup!$G$33:$G$40,MATCH(W728,Setup!$B$33:$B$40,0)),0)=1)*(COUNTIF(W708:W725,$B728)+COUNTIF(W708:W725,$B728&amp;" ~*")&gt;0)+(IFERROR(INDEX(Setup!$G$33:$G$40,MATCH(Y728,Setup!$B$33:$B$40,0)),0)=1)*(COUNTIF(Y708:Y725,$B728)+COUNTIF(Y708:Y725,$B728&amp;" ~*")&gt;0))</f>
        <v/>
      </c>
    </row>
    <row r="729" ht="15" customHeight="1">
      <c r="A729" t="n">
        <v>15</v>
      </c>
      <c r="B729" s="35">
        <f>IF(Setup!$B$8="","",Setup!$B$8)</f>
        <v/>
      </c>
      <c r="C729" s="98" t="n"/>
      <c r="D729" s="99" t="n"/>
      <c r="E729" s="99" t="n"/>
      <c r="F729" s="100" t="n"/>
      <c r="G729" s="98" t="n"/>
      <c r="H729" s="99" t="n"/>
      <c r="I729" s="99" t="n"/>
      <c r="J729" s="100" t="n"/>
      <c r="K729" s="98" t="n"/>
      <c r="L729" s="99" t="n"/>
      <c r="M729" s="99" t="n"/>
      <c r="N729" s="100" t="n"/>
      <c r="O729" s="98" t="n"/>
      <c r="P729" s="99" t="n"/>
      <c r="Q729" s="99" t="n"/>
      <c r="R729" s="100" t="n"/>
      <c r="S729" s="98" t="n"/>
      <c r="T729" s="99" t="n"/>
      <c r="U729" s="99" t="n"/>
      <c r="V729" s="100" t="n"/>
      <c r="W729" s="98" t="n"/>
      <c r="X729" s="100" t="n"/>
      <c r="Y729" s="98" t="n"/>
      <c r="Z729" s="100" t="n"/>
      <c r="AB729" s="101">
        <f>IF($B729="","",(COUNTIF(C708:E725,$B729)+COUNTIF(C708:E725,$B729&amp;" ~*")&gt;0)+(COUNTIF(G708:I725,$B729)+COUNTIF(G708:I725,$B729&amp;" ~*")&gt;0)+(COUNTIF(K708:M725,$B729)+COUNTIF(K708:M725,$B729&amp;" ~*")&gt;0)+(COUNTIF(O708:Q725,$B729)+COUNTIF(O708:Q725,$B729&amp;" ~*")&gt;0)+(COUNTIF(S708:U725,$B729)+COUNTIF(S708:U725,$B729&amp;" ~*")&gt;0)+(COUNTIF(W708:W725,$B729)+COUNTIF(W708:W725,$B729&amp;" ~*")&gt;0)+(COUNTIF(Y708:Y725,$B729)+COUNTIF(Y708:Y725,$B729&amp;" ~*")&gt;0))</f>
        <v/>
      </c>
      <c r="AC729" s="36">
        <f>IF($B729="","",(IFERROR(INDEX(Setup!$G$33:$G$40,MATCH(C729,Setup!$B$33:$B$40,0)),0)=1)*(COUNTIF(C708:E725,$B729)+COUNTIF(C708:E725,$B729&amp;" ~*")&gt;0)+(IFERROR(INDEX(Setup!$G$33:$G$40,MATCH(G729,Setup!$B$33:$B$40,0)),0)=1)*(COUNTIF(G708:I725,$B729)+COUNTIF(G708:I725,$B729&amp;" ~*")&gt;0)+(IFERROR(INDEX(Setup!$G$33:$G$40,MATCH(K729,Setup!$B$33:$B$40,0)),0)=1)*(COUNTIF(K708:M725,$B729)+COUNTIF(K708:M725,$B729&amp;" ~*")&gt;0)+(IFERROR(INDEX(Setup!$G$33:$G$40,MATCH(O729,Setup!$B$33:$B$40,0)),0)=1)*(COUNTIF(O708:Q725,$B729)+COUNTIF(O708:Q725,$B729&amp;" ~*")&gt;0)+(IFERROR(INDEX(Setup!$G$33:$G$40,MATCH(S729,Setup!$B$33:$B$40,0)),0)=1)*(COUNTIF(S708:U725,$B729)+COUNTIF(S708:U725,$B729&amp;" ~*")&gt;0)+(IFERROR(INDEX(Setup!$G$33:$G$40,MATCH(W729,Setup!$B$33:$B$40,0)),0)=1)*(COUNTIF(W708:W725,$B729)+COUNTIF(W708:W725,$B729&amp;" ~*")&gt;0)+(IFERROR(INDEX(Setup!$G$33:$G$40,MATCH(Y729,Setup!$B$33:$B$40,0)),0)=1)*(COUNTIF(Y708:Y725,$B729)+COUNTIF(Y708:Y725,$B729&amp;" ~*")&gt;0))</f>
        <v/>
      </c>
    </row>
    <row r="730" ht="15" customHeight="1">
      <c r="A730" t="n">
        <v>15</v>
      </c>
      <c r="B730" s="37">
        <f>IF(Setup!$B$9="","",Setup!$B$9)</f>
        <v/>
      </c>
      <c r="C730" s="102" t="n"/>
      <c r="D730" s="103" t="n"/>
      <c r="E730" s="103" t="n"/>
      <c r="F730" s="104" t="n"/>
      <c r="G730" s="102" t="n"/>
      <c r="H730" s="103" t="n"/>
      <c r="I730" s="103" t="n"/>
      <c r="J730" s="104" t="n"/>
      <c r="K730" s="102" t="n"/>
      <c r="L730" s="103" t="n"/>
      <c r="M730" s="103" t="n"/>
      <c r="N730" s="104" t="n"/>
      <c r="O730" s="102" t="n"/>
      <c r="P730" s="103" t="n"/>
      <c r="Q730" s="103" t="n"/>
      <c r="R730" s="104" t="n"/>
      <c r="S730" s="102" t="n"/>
      <c r="T730" s="103" t="n"/>
      <c r="U730" s="103" t="n"/>
      <c r="V730" s="104" t="n"/>
      <c r="W730" s="102" t="n"/>
      <c r="X730" s="104" t="n"/>
      <c r="Y730" s="102" t="n"/>
      <c r="Z730" s="104" t="n"/>
      <c r="AB730" s="105">
        <f>IF($B730="","",(COUNTIF(C708:E725,$B730)+COUNTIF(C708:E725,$B730&amp;" ~*")&gt;0)+(COUNTIF(G708:I725,$B730)+COUNTIF(G708:I725,$B730&amp;" ~*")&gt;0)+(COUNTIF(K708:M725,$B730)+COUNTIF(K708:M725,$B730&amp;" ~*")&gt;0)+(COUNTIF(O708:Q725,$B730)+COUNTIF(O708:Q725,$B730&amp;" ~*")&gt;0)+(COUNTIF(S708:U725,$B730)+COUNTIF(S708:U725,$B730&amp;" ~*")&gt;0)+(COUNTIF(W708:W725,$B730)+COUNTIF(W708:W725,$B730&amp;" ~*")&gt;0)+(COUNTIF(Y708:Y725,$B730)+COUNTIF(Y708:Y725,$B730&amp;" ~*")&gt;0))</f>
        <v/>
      </c>
      <c r="AC730" s="38">
        <f>IF($B730="","",(IFERROR(INDEX(Setup!$G$33:$G$40,MATCH(C730,Setup!$B$33:$B$40,0)),0)=1)*(COUNTIF(C708:E725,$B730)+COUNTIF(C708:E725,$B730&amp;" ~*")&gt;0)+(IFERROR(INDEX(Setup!$G$33:$G$40,MATCH(G730,Setup!$B$33:$B$40,0)),0)=1)*(COUNTIF(G708:I725,$B730)+COUNTIF(G708:I725,$B730&amp;" ~*")&gt;0)+(IFERROR(INDEX(Setup!$G$33:$G$40,MATCH(K730,Setup!$B$33:$B$40,0)),0)=1)*(COUNTIF(K708:M725,$B730)+COUNTIF(K708:M725,$B730&amp;" ~*")&gt;0)+(IFERROR(INDEX(Setup!$G$33:$G$40,MATCH(O730,Setup!$B$33:$B$40,0)),0)=1)*(COUNTIF(O708:Q725,$B730)+COUNTIF(O708:Q725,$B730&amp;" ~*")&gt;0)+(IFERROR(INDEX(Setup!$G$33:$G$40,MATCH(S730,Setup!$B$33:$B$40,0)),0)=1)*(COUNTIF(S708:U725,$B730)+COUNTIF(S708:U725,$B730&amp;" ~*")&gt;0)+(IFERROR(INDEX(Setup!$G$33:$G$40,MATCH(W730,Setup!$B$33:$B$40,0)),0)=1)*(COUNTIF(W708:W725,$B730)+COUNTIF(W708:W725,$B730&amp;" ~*")&gt;0)+(IFERROR(INDEX(Setup!$G$33:$G$40,MATCH(Y730,Setup!$B$33:$B$40,0)),0)=1)*(COUNTIF(Y708:Y725,$B730)+COUNTIF(Y708:Y725,$B730&amp;" ~*")&gt;0))</f>
        <v/>
      </c>
    </row>
    <row r="731" ht="15" customHeight="1">
      <c r="A731" t="n">
        <v>15</v>
      </c>
      <c r="B731" s="35">
        <f>IF(Setup!$B$10="","",Setup!$B$10)</f>
        <v/>
      </c>
      <c r="C731" s="98" t="n"/>
      <c r="D731" s="99" t="n"/>
      <c r="E731" s="99" t="n"/>
      <c r="F731" s="100" t="n"/>
      <c r="G731" s="98" t="n"/>
      <c r="H731" s="99" t="n"/>
      <c r="I731" s="99" t="n"/>
      <c r="J731" s="100" t="n"/>
      <c r="K731" s="98" t="n"/>
      <c r="L731" s="99" t="n"/>
      <c r="M731" s="99" t="n"/>
      <c r="N731" s="100" t="n"/>
      <c r="O731" s="98" t="n"/>
      <c r="P731" s="99" t="n"/>
      <c r="Q731" s="99" t="n"/>
      <c r="R731" s="100" t="n"/>
      <c r="S731" s="98" t="n"/>
      <c r="T731" s="99" t="n"/>
      <c r="U731" s="99" t="n"/>
      <c r="V731" s="100" t="n"/>
      <c r="W731" s="98" t="n"/>
      <c r="X731" s="100" t="n"/>
      <c r="Y731" s="98" t="n"/>
      <c r="Z731" s="100" t="n"/>
      <c r="AB731" s="101">
        <f>IF($B731="","",(COUNTIF(C708:E725,$B731)+COUNTIF(C708:E725,$B731&amp;" ~*")&gt;0)+(COUNTIF(G708:I725,$B731)+COUNTIF(G708:I725,$B731&amp;" ~*")&gt;0)+(COUNTIF(K708:M725,$B731)+COUNTIF(K708:M725,$B731&amp;" ~*")&gt;0)+(COUNTIF(O708:Q725,$B731)+COUNTIF(O708:Q725,$B731&amp;" ~*")&gt;0)+(COUNTIF(S708:U725,$B731)+COUNTIF(S708:U725,$B731&amp;" ~*")&gt;0)+(COUNTIF(W708:W725,$B731)+COUNTIF(W708:W725,$B731&amp;" ~*")&gt;0)+(COUNTIF(Y708:Y725,$B731)+COUNTIF(Y708:Y725,$B731&amp;" ~*")&gt;0))</f>
        <v/>
      </c>
      <c r="AC731" s="36">
        <f>IF($B731="","",(IFERROR(INDEX(Setup!$G$33:$G$40,MATCH(C731,Setup!$B$33:$B$40,0)),0)=1)*(COUNTIF(C708:E725,$B731)+COUNTIF(C708:E725,$B731&amp;" ~*")&gt;0)+(IFERROR(INDEX(Setup!$G$33:$G$40,MATCH(G731,Setup!$B$33:$B$40,0)),0)=1)*(COUNTIF(G708:I725,$B731)+COUNTIF(G708:I725,$B731&amp;" ~*")&gt;0)+(IFERROR(INDEX(Setup!$G$33:$G$40,MATCH(K731,Setup!$B$33:$B$40,0)),0)=1)*(COUNTIF(K708:M725,$B731)+COUNTIF(K708:M725,$B731&amp;" ~*")&gt;0)+(IFERROR(INDEX(Setup!$G$33:$G$40,MATCH(O731,Setup!$B$33:$B$40,0)),0)=1)*(COUNTIF(O708:Q725,$B731)+COUNTIF(O708:Q725,$B731&amp;" ~*")&gt;0)+(IFERROR(INDEX(Setup!$G$33:$G$40,MATCH(S731,Setup!$B$33:$B$40,0)),0)=1)*(COUNTIF(S708:U725,$B731)+COUNTIF(S708:U725,$B731&amp;" ~*")&gt;0)+(IFERROR(INDEX(Setup!$G$33:$G$40,MATCH(W731,Setup!$B$33:$B$40,0)),0)=1)*(COUNTIF(W708:W725,$B731)+COUNTIF(W708:W725,$B731&amp;" ~*")&gt;0)+(IFERROR(INDEX(Setup!$G$33:$G$40,MATCH(Y731,Setup!$B$33:$B$40,0)),0)=1)*(COUNTIF(Y708:Y725,$B731)+COUNTIF(Y708:Y725,$B731&amp;" ~*")&gt;0))</f>
        <v/>
      </c>
    </row>
    <row r="732" ht="15" customHeight="1">
      <c r="A732" t="n">
        <v>15</v>
      </c>
      <c r="B732" s="37">
        <f>IF(Setup!$B$11="","",Setup!$B$11)</f>
        <v/>
      </c>
      <c r="C732" s="102" t="n"/>
      <c r="D732" s="103" t="n"/>
      <c r="E732" s="103" t="n"/>
      <c r="F732" s="104" t="n"/>
      <c r="G732" s="102" t="n"/>
      <c r="H732" s="103" t="n"/>
      <c r="I732" s="103" t="n"/>
      <c r="J732" s="104" t="n"/>
      <c r="K732" s="102" t="n"/>
      <c r="L732" s="103" t="n"/>
      <c r="M732" s="103" t="n"/>
      <c r="N732" s="104" t="n"/>
      <c r="O732" s="102" t="n"/>
      <c r="P732" s="103" t="n"/>
      <c r="Q732" s="103" t="n"/>
      <c r="R732" s="104" t="n"/>
      <c r="S732" s="102" t="n"/>
      <c r="T732" s="103" t="n"/>
      <c r="U732" s="103" t="n"/>
      <c r="V732" s="104" t="n"/>
      <c r="W732" s="102" t="n"/>
      <c r="X732" s="104" t="n"/>
      <c r="Y732" s="102" t="n"/>
      <c r="Z732" s="104" t="n"/>
      <c r="AB732" s="105">
        <f>IF($B732="","",(COUNTIF(C708:E725,$B732)+COUNTIF(C708:E725,$B732&amp;" ~*")&gt;0)+(COUNTIF(G708:I725,$B732)+COUNTIF(G708:I725,$B732&amp;" ~*")&gt;0)+(COUNTIF(K708:M725,$B732)+COUNTIF(K708:M725,$B732&amp;" ~*")&gt;0)+(COUNTIF(O708:Q725,$B732)+COUNTIF(O708:Q725,$B732&amp;" ~*")&gt;0)+(COUNTIF(S708:U725,$B732)+COUNTIF(S708:U725,$B732&amp;" ~*")&gt;0)+(COUNTIF(W708:W725,$B732)+COUNTIF(W708:W725,$B732&amp;" ~*")&gt;0)+(COUNTIF(Y708:Y725,$B732)+COUNTIF(Y708:Y725,$B732&amp;" ~*")&gt;0))</f>
        <v/>
      </c>
      <c r="AC732" s="38">
        <f>IF($B732="","",(IFERROR(INDEX(Setup!$G$33:$G$40,MATCH(C732,Setup!$B$33:$B$40,0)),0)=1)*(COUNTIF(C708:E725,$B732)+COUNTIF(C708:E725,$B732&amp;" ~*")&gt;0)+(IFERROR(INDEX(Setup!$G$33:$G$40,MATCH(G732,Setup!$B$33:$B$40,0)),0)=1)*(COUNTIF(G708:I725,$B732)+COUNTIF(G708:I725,$B732&amp;" ~*")&gt;0)+(IFERROR(INDEX(Setup!$G$33:$G$40,MATCH(K732,Setup!$B$33:$B$40,0)),0)=1)*(COUNTIF(K708:M725,$B732)+COUNTIF(K708:M725,$B732&amp;" ~*")&gt;0)+(IFERROR(INDEX(Setup!$G$33:$G$40,MATCH(O732,Setup!$B$33:$B$40,0)),0)=1)*(COUNTIF(O708:Q725,$B732)+COUNTIF(O708:Q725,$B732&amp;" ~*")&gt;0)+(IFERROR(INDEX(Setup!$G$33:$G$40,MATCH(S732,Setup!$B$33:$B$40,0)),0)=1)*(COUNTIF(S708:U725,$B732)+COUNTIF(S708:U725,$B732&amp;" ~*")&gt;0)+(IFERROR(INDEX(Setup!$G$33:$G$40,MATCH(W732,Setup!$B$33:$B$40,0)),0)=1)*(COUNTIF(W708:W725,$B732)+COUNTIF(W708:W725,$B732&amp;" ~*")&gt;0)+(IFERROR(INDEX(Setup!$G$33:$G$40,MATCH(Y732,Setup!$B$33:$B$40,0)),0)=1)*(COUNTIF(Y708:Y725,$B732)+COUNTIF(Y708:Y725,$B732&amp;" ~*")&gt;0))</f>
        <v/>
      </c>
    </row>
    <row r="733" ht="15" customHeight="1">
      <c r="A733" t="n">
        <v>15</v>
      </c>
      <c r="B733" s="35">
        <f>IF(Setup!$B$12="","",Setup!$B$12)</f>
        <v/>
      </c>
      <c r="C733" s="98" t="n"/>
      <c r="D733" s="99" t="n"/>
      <c r="E733" s="99" t="n"/>
      <c r="F733" s="100" t="n"/>
      <c r="G733" s="98" t="n"/>
      <c r="H733" s="99" t="n"/>
      <c r="I733" s="99" t="n"/>
      <c r="J733" s="100" t="n"/>
      <c r="K733" s="98" t="n"/>
      <c r="L733" s="99" t="n"/>
      <c r="M733" s="99" t="n"/>
      <c r="N733" s="100" t="n"/>
      <c r="O733" s="98" t="n"/>
      <c r="P733" s="99" t="n"/>
      <c r="Q733" s="99" t="n"/>
      <c r="R733" s="100" t="n"/>
      <c r="S733" s="98" t="n"/>
      <c r="T733" s="99" t="n"/>
      <c r="U733" s="99" t="n"/>
      <c r="V733" s="100" t="n"/>
      <c r="W733" s="98" t="n"/>
      <c r="X733" s="100" t="n"/>
      <c r="Y733" s="98" t="n"/>
      <c r="Z733" s="100" t="n"/>
      <c r="AB733" s="101">
        <f>IF($B733="","",(COUNTIF(C708:E725,$B733)+COUNTIF(C708:E725,$B733&amp;" ~*")&gt;0)+(COUNTIF(G708:I725,$B733)+COUNTIF(G708:I725,$B733&amp;" ~*")&gt;0)+(COUNTIF(K708:M725,$B733)+COUNTIF(K708:M725,$B733&amp;" ~*")&gt;0)+(COUNTIF(O708:Q725,$B733)+COUNTIF(O708:Q725,$B733&amp;" ~*")&gt;0)+(COUNTIF(S708:U725,$B733)+COUNTIF(S708:U725,$B733&amp;" ~*")&gt;0)+(COUNTIF(W708:W725,$B733)+COUNTIF(W708:W725,$B733&amp;" ~*")&gt;0)+(COUNTIF(Y708:Y725,$B733)+COUNTIF(Y708:Y725,$B733&amp;" ~*")&gt;0))</f>
        <v/>
      </c>
      <c r="AC733" s="36">
        <f>IF($B733="","",(IFERROR(INDEX(Setup!$G$33:$G$40,MATCH(C733,Setup!$B$33:$B$40,0)),0)=1)*(COUNTIF(C708:E725,$B733)+COUNTIF(C708:E725,$B733&amp;" ~*")&gt;0)+(IFERROR(INDEX(Setup!$G$33:$G$40,MATCH(G733,Setup!$B$33:$B$40,0)),0)=1)*(COUNTIF(G708:I725,$B733)+COUNTIF(G708:I725,$B733&amp;" ~*")&gt;0)+(IFERROR(INDEX(Setup!$G$33:$G$40,MATCH(K733,Setup!$B$33:$B$40,0)),0)=1)*(COUNTIF(K708:M725,$B733)+COUNTIF(K708:M725,$B733&amp;" ~*")&gt;0)+(IFERROR(INDEX(Setup!$G$33:$G$40,MATCH(O733,Setup!$B$33:$B$40,0)),0)=1)*(COUNTIF(O708:Q725,$B733)+COUNTIF(O708:Q725,$B733&amp;" ~*")&gt;0)+(IFERROR(INDEX(Setup!$G$33:$G$40,MATCH(S733,Setup!$B$33:$B$40,0)),0)=1)*(COUNTIF(S708:U725,$B733)+COUNTIF(S708:U725,$B733&amp;" ~*")&gt;0)+(IFERROR(INDEX(Setup!$G$33:$G$40,MATCH(W733,Setup!$B$33:$B$40,0)),0)=1)*(COUNTIF(W708:W725,$B733)+COUNTIF(W708:W725,$B733&amp;" ~*")&gt;0)+(IFERROR(INDEX(Setup!$G$33:$G$40,MATCH(Y733,Setup!$B$33:$B$40,0)),0)=1)*(COUNTIF(Y708:Y725,$B733)+COUNTIF(Y708:Y725,$B733&amp;" ~*")&gt;0))</f>
        <v/>
      </c>
    </row>
    <row r="734" ht="15" customHeight="1">
      <c r="A734" t="n">
        <v>15</v>
      </c>
      <c r="B734" s="37">
        <f>IF(Setup!$B$13="","",Setup!$B$13)</f>
        <v/>
      </c>
      <c r="C734" s="102" t="n"/>
      <c r="D734" s="103" t="n"/>
      <c r="E734" s="103" t="n"/>
      <c r="F734" s="104" t="n"/>
      <c r="G734" s="102" t="n"/>
      <c r="H734" s="103" t="n"/>
      <c r="I734" s="103" t="n"/>
      <c r="J734" s="104" t="n"/>
      <c r="K734" s="102" t="n"/>
      <c r="L734" s="103" t="n"/>
      <c r="M734" s="103" t="n"/>
      <c r="N734" s="104" t="n"/>
      <c r="O734" s="102" t="n"/>
      <c r="P734" s="103" t="n"/>
      <c r="Q734" s="103" t="n"/>
      <c r="R734" s="104" t="n"/>
      <c r="S734" s="102" t="n"/>
      <c r="T734" s="103" t="n"/>
      <c r="U734" s="103" t="n"/>
      <c r="V734" s="104" t="n"/>
      <c r="W734" s="102" t="n"/>
      <c r="X734" s="104" t="n"/>
      <c r="Y734" s="102" t="n"/>
      <c r="Z734" s="104" t="n"/>
      <c r="AB734" s="105">
        <f>IF($B734="","",(COUNTIF(C708:E725,$B734)+COUNTIF(C708:E725,$B734&amp;" ~*")&gt;0)+(COUNTIF(G708:I725,$B734)+COUNTIF(G708:I725,$B734&amp;" ~*")&gt;0)+(COUNTIF(K708:M725,$B734)+COUNTIF(K708:M725,$B734&amp;" ~*")&gt;0)+(COUNTIF(O708:Q725,$B734)+COUNTIF(O708:Q725,$B734&amp;" ~*")&gt;0)+(COUNTIF(S708:U725,$B734)+COUNTIF(S708:U725,$B734&amp;" ~*")&gt;0)+(COUNTIF(W708:W725,$B734)+COUNTIF(W708:W725,$B734&amp;" ~*")&gt;0)+(COUNTIF(Y708:Y725,$B734)+COUNTIF(Y708:Y725,$B734&amp;" ~*")&gt;0))</f>
        <v/>
      </c>
      <c r="AC734" s="38">
        <f>IF($B734="","",(IFERROR(INDEX(Setup!$G$33:$G$40,MATCH(C734,Setup!$B$33:$B$40,0)),0)=1)*(COUNTIF(C708:E725,$B734)+COUNTIF(C708:E725,$B734&amp;" ~*")&gt;0)+(IFERROR(INDEX(Setup!$G$33:$G$40,MATCH(G734,Setup!$B$33:$B$40,0)),0)=1)*(COUNTIF(G708:I725,$B734)+COUNTIF(G708:I725,$B734&amp;" ~*")&gt;0)+(IFERROR(INDEX(Setup!$G$33:$G$40,MATCH(K734,Setup!$B$33:$B$40,0)),0)=1)*(COUNTIF(K708:M725,$B734)+COUNTIF(K708:M725,$B734&amp;" ~*")&gt;0)+(IFERROR(INDEX(Setup!$G$33:$G$40,MATCH(O734,Setup!$B$33:$B$40,0)),0)=1)*(COUNTIF(O708:Q725,$B734)+COUNTIF(O708:Q725,$B734&amp;" ~*")&gt;0)+(IFERROR(INDEX(Setup!$G$33:$G$40,MATCH(S734,Setup!$B$33:$B$40,0)),0)=1)*(COUNTIF(S708:U725,$B734)+COUNTIF(S708:U725,$B734&amp;" ~*")&gt;0)+(IFERROR(INDEX(Setup!$G$33:$G$40,MATCH(W734,Setup!$B$33:$B$40,0)),0)=1)*(COUNTIF(W708:W725,$B734)+COUNTIF(W708:W725,$B734&amp;" ~*")&gt;0)+(IFERROR(INDEX(Setup!$G$33:$G$40,MATCH(Y734,Setup!$B$33:$B$40,0)),0)=1)*(COUNTIF(Y708:Y725,$B734)+COUNTIF(Y708:Y725,$B734&amp;" ~*")&gt;0))</f>
        <v/>
      </c>
    </row>
    <row r="735" ht="15" customHeight="1">
      <c r="A735" t="n">
        <v>15</v>
      </c>
      <c r="B735" s="35">
        <f>IF(Setup!$B$14="","",Setup!$B$14)</f>
        <v/>
      </c>
      <c r="C735" s="98" t="n"/>
      <c r="D735" s="99" t="n"/>
      <c r="E735" s="99" t="n"/>
      <c r="F735" s="100" t="n"/>
      <c r="G735" s="98" t="n"/>
      <c r="H735" s="99" t="n"/>
      <c r="I735" s="99" t="n"/>
      <c r="J735" s="100" t="n"/>
      <c r="K735" s="98" t="n"/>
      <c r="L735" s="99" t="n"/>
      <c r="M735" s="99" t="n"/>
      <c r="N735" s="100" t="n"/>
      <c r="O735" s="98" t="n"/>
      <c r="P735" s="99" t="n"/>
      <c r="Q735" s="99" t="n"/>
      <c r="R735" s="100" t="n"/>
      <c r="S735" s="98" t="n"/>
      <c r="T735" s="99" t="n"/>
      <c r="U735" s="99" t="n"/>
      <c r="V735" s="100" t="n"/>
      <c r="W735" s="98" t="n"/>
      <c r="X735" s="100" t="n"/>
      <c r="Y735" s="98" t="n"/>
      <c r="Z735" s="100" t="n"/>
      <c r="AB735" s="101">
        <f>IF($B735="","",(COUNTIF(C708:E725,$B735)+COUNTIF(C708:E725,$B735&amp;" ~*")&gt;0)+(COUNTIF(G708:I725,$B735)+COUNTIF(G708:I725,$B735&amp;" ~*")&gt;0)+(COUNTIF(K708:M725,$B735)+COUNTIF(K708:M725,$B735&amp;" ~*")&gt;0)+(COUNTIF(O708:Q725,$B735)+COUNTIF(O708:Q725,$B735&amp;" ~*")&gt;0)+(COUNTIF(S708:U725,$B735)+COUNTIF(S708:U725,$B735&amp;" ~*")&gt;0)+(COUNTIF(W708:W725,$B735)+COUNTIF(W708:W725,$B735&amp;" ~*")&gt;0)+(COUNTIF(Y708:Y725,$B735)+COUNTIF(Y708:Y725,$B735&amp;" ~*")&gt;0))</f>
        <v/>
      </c>
      <c r="AC735" s="36">
        <f>IF($B735="","",(IFERROR(INDEX(Setup!$G$33:$G$40,MATCH(C735,Setup!$B$33:$B$40,0)),0)=1)*(COUNTIF(C708:E725,$B735)+COUNTIF(C708:E725,$B735&amp;" ~*")&gt;0)+(IFERROR(INDEX(Setup!$G$33:$G$40,MATCH(G735,Setup!$B$33:$B$40,0)),0)=1)*(COUNTIF(G708:I725,$B735)+COUNTIF(G708:I725,$B735&amp;" ~*")&gt;0)+(IFERROR(INDEX(Setup!$G$33:$G$40,MATCH(K735,Setup!$B$33:$B$40,0)),0)=1)*(COUNTIF(K708:M725,$B735)+COUNTIF(K708:M725,$B735&amp;" ~*")&gt;0)+(IFERROR(INDEX(Setup!$G$33:$G$40,MATCH(O735,Setup!$B$33:$B$40,0)),0)=1)*(COUNTIF(O708:Q725,$B735)+COUNTIF(O708:Q725,$B735&amp;" ~*")&gt;0)+(IFERROR(INDEX(Setup!$G$33:$G$40,MATCH(S735,Setup!$B$33:$B$40,0)),0)=1)*(COUNTIF(S708:U725,$B735)+COUNTIF(S708:U725,$B735&amp;" ~*")&gt;0)+(IFERROR(INDEX(Setup!$G$33:$G$40,MATCH(W735,Setup!$B$33:$B$40,0)),0)=1)*(COUNTIF(W708:W725,$B735)+COUNTIF(W708:W725,$B735&amp;" ~*")&gt;0)+(IFERROR(INDEX(Setup!$G$33:$G$40,MATCH(Y735,Setup!$B$33:$B$40,0)),0)=1)*(COUNTIF(Y708:Y725,$B735)+COUNTIF(Y708:Y725,$B735&amp;" ~*")&gt;0))</f>
        <v/>
      </c>
    </row>
    <row r="736" ht="15" customHeight="1">
      <c r="A736" t="n">
        <v>15</v>
      </c>
      <c r="B736" s="37">
        <f>IF(Setup!$B$15="","",Setup!$B$15)</f>
        <v/>
      </c>
      <c r="C736" s="102" t="n"/>
      <c r="D736" s="103" t="n"/>
      <c r="E736" s="103" t="n"/>
      <c r="F736" s="104" t="n"/>
      <c r="G736" s="102" t="n"/>
      <c r="H736" s="103" t="n"/>
      <c r="I736" s="103" t="n"/>
      <c r="J736" s="104" t="n"/>
      <c r="K736" s="102" t="n"/>
      <c r="L736" s="103" t="n"/>
      <c r="M736" s="103" t="n"/>
      <c r="N736" s="104" t="n"/>
      <c r="O736" s="102" t="n"/>
      <c r="P736" s="103" t="n"/>
      <c r="Q736" s="103" t="n"/>
      <c r="R736" s="104" t="n"/>
      <c r="S736" s="102" t="n"/>
      <c r="T736" s="103" t="n"/>
      <c r="U736" s="103" t="n"/>
      <c r="V736" s="104" t="n"/>
      <c r="W736" s="102" t="n"/>
      <c r="X736" s="104" t="n"/>
      <c r="Y736" s="102" t="n"/>
      <c r="Z736" s="104" t="n"/>
      <c r="AB736" s="105">
        <f>IF($B736="","",(COUNTIF(C708:E725,$B736)+COUNTIF(C708:E725,$B736&amp;" ~*")&gt;0)+(COUNTIF(G708:I725,$B736)+COUNTIF(G708:I725,$B736&amp;" ~*")&gt;0)+(COUNTIF(K708:M725,$B736)+COUNTIF(K708:M725,$B736&amp;" ~*")&gt;0)+(COUNTIF(O708:Q725,$B736)+COUNTIF(O708:Q725,$B736&amp;" ~*")&gt;0)+(COUNTIF(S708:U725,$B736)+COUNTIF(S708:U725,$B736&amp;" ~*")&gt;0)+(COUNTIF(W708:W725,$B736)+COUNTIF(W708:W725,$B736&amp;" ~*")&gt;0)+(COUNTIF(Y708:Y725,$B736)+COUNTIF(Y708:Y725,$B736&amp;" ~*")&gt;0))</f>
        <v/>
      </c>
      <c r="AC736" s="38">
        <f>IF($B736="","",(IFERROR(INDEX(Setup!$G$33:$G$40,MATCH(C736,Setup!$B$33:$B$40,0)),0)=1)*(COUNTIF(C708:E725,$B736)+COUNTIF(C708:E725,$B736&amp;" ~*")&gt;0)+(IFERROR(INDEX(Setup!$G$33:$G$40,MATCH(G736,Setup!$B$33:$B$40,0)),0)=1)*(COUNTIF(G708:I725,$B736)+COUNTIF(G708:I725,$B736&amp;" ~*")&gt;0)+(IFERROR(INDEX(Setup!$G$33:$G$40,MATCH(K736,Setup!$B$33:$B$40,0)),0)=1)*(COUNTIF(K708:M725,$B736)+COUNTIF(K708:M725,$B736&amp;" ~*")&gt;0)+(IFERROR(INDEX(Setup!$G$33:$G$40,MATCH(O736,Setup!$B$33:$B$40,0)),0)=1)*(COUNTIF(O708:Q725,$B736)+COUNTIF(O708:Q725,$B736&amp;" ~*")&gt;0)+(IFERROR(INDEX(Setup!$G$33:$G$40,MATCH(S736,Setup!$B$33:$B$40,0)),0)=1)*(COUNTIF(S708:U725,$B736)+COUNTIF(S708:U725,$B736&amp;" ~*")&gt;0)+(IFERROR(INDEX(Setup!$G$33:$G$40,MATCH(W736,Setup!$B$33:$B$40,0)),0)=1)*(COUNTIF(W708:W725,$B736)+COUNTIF(W708:W725,$B736&amp;" ~*")&gt;0)+(IFERROR(INDEX(Setup!$G$33:$G$40,MATCH(Y736,Setup!$B$33:$B$40,0)),0)=1)*(COUNTIF(Y708:Y725,$B736)+COUNTIF(Y708:Y725,$B736&amp;" ~*")&gt;0))</f>
        <v/>
      </c>
    </row>
    <row r="737" ht="15" customHeight="1">
      <c r="A737" t="n">
        <v>15</v>
      </c>
      <c r="B737" s="35">
        <f>IF(Setup!$B$16="","",Setup!$B$16)</f>
        <v/>
      </c>
      <c r="C737" s="98" t="n"/>
      <c r="D737" s="99" t="n"/>
      <c r="E737" s="99" t="n"/>
      <c r="F737" s="100" t="n"/>
      <c r="G737" s="98" t="n"/>
      <c r="H737" s="99" t="n"/>
      <c r="I737" s="99" t="n"/>
      <c r="J737" s="100" t="n"/>
      <c r="K737" s="98" t="n"/>
      <c r="L737" s="99" t="n"/>
      <c r="M737" s="99" t="n"/>
      <c r="N737" s="100" t="n"/>
      <c r="O737" s="98" t="n"/>
      <c r="P737" s="99" t="n"/>
      <c r="Q737" s="99" t="n"/>
      <c r="R737" s="100" t="n"/>
      <c r="S737" s="98" t="n"/>
      <c r="T737" s="99" t="n"/>
      <c r="U737" s="99" t="n"/>
      <c r="V737" s="100" t="n"/>
      <c r="W737" s="98" t="n"/>
      <c r="X737" s="100" t="n"/>
      <c r="Y737" s="98" t="n"/>
      <c r="Z737" s="100" t="n"/>
      <c r="AB737" s="101">
        <f>IF($B737="","",(COUNTIF(C708:E725,$B737)+COUNTIF(C708:E725,$B737&amp;" ~*")&gt;0)+(COUNTIF(G708:I725,$B737)+COUNTIF(G708:I725,$B737&amp;" ~*")&gt;0)+(COUNTIF(K708:M725,$B737)+COUNTIF(K708:M725,$B737&amp;" ~*")&gt;0)+(COUNTIF(O708:Q725,$B737)+COUNTIF(O708:Q725,$B737&amp;" ~*")&gt;0)+(COUNTIF(S708:U725,$B737)+COUNTIF(S708:U725,$B737&amp;" ~*")&gt;0)+(COUNTIF(W708:W725,$B737)+COUNTIF(W708:W725,$B737&amp;" ~*")&gt;0)+(COUNTIF(Y708:Y725,$B737)+COUNTIF(Y708:Y725,$B737&amp;" ~*")&gt;0))</f>
        <v/>
      </c>
      <c r="AC737" s="36">
        <f>IF($B737="","",(IFERROR(INDEX(Setup!$G$33:$G$40,MATCH(C737,Setup!$B$33:$B$40,0)),0)=1)*(COUNTIF(C708:E725,$B737)+COUNTIF(C708:E725,$B737&amp;" ~*")&gt;0)+(IFERROR(INDEX(Setup!$G$33:$G$40,MATCH(G737,Setup!$B$33:$B$40,0)),0)=1)*(COUNTIF(G708:I725,$B737)+COUNTIF(G708:I725,$B737&amp;" ~*")&gt;0)+(IFERROR(INDEX(Setup!$G$33:$G$40,MATCH(K737,Setup!$B$33:$B$40,0)),0)=1)*(COUNTIF(K708:M725,$B737)+COUNTIF(K708:M725,$B737&amp;" ~*")&gt;0)+(IFERROR(INDEX(Setup!$G$33:$G$40,MATCH(O737,Setup!$B$33:$B$40,0)),0)=1)*(COUNTIF(O708:Q725,$B737)+COUNTIF(O708:Q725,$B737&amp;" ~*")&gt;0)+(IFERROR(INDEX(Setup!$G$33:$G$40,MATCH(S737,Setup!$B$33:$B$40,0)),0)=1)*(COUNTIF(S708:U725,$B737)+COUNTIF(S708:U725,$B737&amp;" ~*")&gt;0)+(IFERROR(INDEX(Setup!$G$33:$G$40,MATCH(W737,Setup!$B$33:$B$40,0)),0)=1)*(COUNTIF(W708:W725,$B737)+COUNTIF(W708:W725,$B737&amp;" ~*")&gt;0)+(IFERROR(INDEX(Setup!$G$33:$G$40,MATCH(Y737,Setup!$B$33:$B$40,0)),0)=1)*(COUNTIF(Y708:Y725,$B737)+COUNTIF(Y708:Y725,$B737&amp;" ~*")&gt;0))</f>
        <v/>
      </c>
    </row>
    <row r="738" ht="15" customHeight="1">
      <c r="A738" t="n">
        <v>15</v>
      </c>
      <c r="B738" s="37">
        <f>IF(Setup!$B$17="","",Setup!$B$17)</f>
        <v/>
      </c>
      <c r="C738" s="102" t="n"/>
      <c r="D738" s="103" t="n"/>
      <c r="E738" s="103" t="n"/>
      <c r="F738" s="104" t="n"/>
      <c r="G738" s="102" t="n"/>
      <c r="H738" s="103" t="n"/>
      <c r="I738" s="103" t="n"/>
      <c r="J738" s="104" t="n"/>
      <c r="K738" s="102" t="n"/>
      <c r="L738" s="103" t="n"/>
      <c r="M738" s="103" t="n"/>
      <c r="N738" s="104" t="n"/>
      <c r="O738" s="102" t="n"/>
      <c r="P738" s="103" t="n"/>
      <c r="Q738" s="103" t="n"/>
      <c r="R738" s="104" t="n"/>
      <c r="S738" s="102" t="n"/>
      <c r="T738" s="103" t="n"/>
      <c r="U738" s="103" t="n"/>
      <c r="V738" s="104" t="n"/>
      <c r="W738" s="102" t="n"/>
      <c r="X738" s="104" t="n"/>
      <c r="Y738" s="102" t="n"/>
      <c r="Z738" s="104" t="n"/>
      <c r="AB738" s="105">
        <f>IF($B738="","",(COUNTIF(C708:E725,$B738)+COUNTIF(C708:E725,$B738&amp;" ~*")&gt;0)+(COUNTIF(G708:I725,$B738)+COUNTIF(G708:I725,$B738&amp;" ~*")&gt;0)+(COUNTIF(K708:M725,$B738)+COUNTIF(K708:M725,$B738&amp;" ~*")&gt;0)+(COUNTIF(O708:Q725,$B738)+COUNTIF(O708:Q725,$B738&amp;" ~*")&gt;0)+(COUNTIF(S708:U725,$B738)+COUNTIF(S708:U725,$B738&amp;" ~*")&gt;0)+(COUNTIF(W708:W725,$B738)+COUNTIF(W708:W725,$B738&amp;" ~*")&gt;0)+(COUNTIF(Y708:Y725,$B738)+COUNTIF(Y708:Y725,$B738&amp;" ~*")&gt;0))</f>
        <v/>
      </c>
      <c r="AC738" s="38">
        <f>IF($B738="","",(IFERROR(INDEX(Setup!$G$33:$G$40,MATCH(C738,Setup!$B$33:$B$40,0)),0)=1)*(COUNTIF(C708:E725,$B738)+COUNTIF(C708:E725,$B738&amp;" ~*")&gt;0)+(IFERROR(INDEX(Setup!$G$33:$G$40,MATCH(G738,Setup!$B$33:$B$40,0)),0)=1)*(COUNTIF(G708:I725,$B738)+COUNTIF(G708:I725,$B738&amp;" ~*")&gt;0)+(IFERROR(INDEX(Setup!$G$33:$G$40,MATCH(K738,Setup!$B$33:$B$40,0)),0)=1)*(COUNTIF(K708:M725,$B738)+COUNTIF(K708:M725,$B738&amp;" ~*")&gt;0)+(IFERROR(INDEX(Setup!$G$33:$G$40,MATCH(O738,Setup!$B$33:$B$40,0)),0)=1)*(COUNTIF(O708:Q725,$B738)+COUNTIF(O708:Q725,$B738&amp;" ~*")&gt;0)+(IFERROR(INDEX(Setup!$G$33:$G$40,MATCH(S738,Setup!$B$33:$B$40,0)),0)=1)*(COUNTIF(S708:U725,$B738)+COUNTIF(S708:U725,$B738&amp;" ~*")&gt;0)+(IFERROR(INDEX(Setup!$G$33:$G$40,MATCH(W738,Setup!$B$33:$B$40,0)),0)=1)*(COUNTIF(W708:W725,$B738)+COUNTIF(W708:W725,$B738&amp;" ~*")&gt;0)+(IFERROR(INDEX(Setup!$G$33:$G$40,MATCH(Y738,Setup!$B$33:$B$40,0)),0)=1)*(COUNTIF(Y708:Y725,$B738)+COUNTIF(Y708:Y725,$B738&amp;" ~*")&gt;0))</f>
        <v/>
      </c>
    </row>
    <row r="739" ht="15" customHeight="1">
      <c r="A739" t="n">
        <v>15</v>
      </c>
      <c r="B739" s="35">
        <f>IF(Setup!$B$18="","",Setup!$B$18)</f>
        <v/>
      </c>
      <c r="C739" s="98" t="n"/>
      <c r="D739" s="99" t="n"/>
      <c r="E739" s="99" t="n"/>
      <c r="F739" s="100" t="n"/>
      <c r="G739" s="98" t="n"/>
      <c r="H739" s="99" t="n"/>
      <c r="I739" s="99" t="n"/>
      <c r="J739" s="100" t="n"/>
      <c r="K739" s="98" t="n"/>
      <c r="L739" s="99" t="n"/>
      <c r="M739" s="99" t="n"/>
      <c r="N739" s="100" t="n"/>
      <c r="O739" s="98" t="n"/>
      <c r="P739" s="99" t="n"/>
      <c r="Q739" s="99" t="n"/>
      <c r="R739" s="100" t="n"/>
      <c r="S739" s="98" t="n"/>
      <c r="T739" s="99" t="n"/>
      <c r="U739" s="99" t="n"/>
      <c r="V739" s="100" t="n"/>
      <c r="W739" s="98" t="n"/>
      <c r="X739" s="100" t="n"/>
      <c r="Y739" s="98" t="n"/>
      <c r="Z739" s="100" t="n"/>
      <c r="AB739" s="101">
        <f>IF($B739="","",(COUNTIF(C708:E725,$B739)+COUNTIF(C708:E725,$B739&amp;" ~*")&gt;0)+(COUNTIF(G708:I725,$B739)+COUNTIF(G708:I725,$B739&amp;" ~*")&gt;0)+(COUNTIF(K708:M725,$B739)+COUNTIF(K708:M725,$B739&amp;" ~*")&gt;0)+(COUNTIF(O708:Q725,$B739)+COUNTIF(O708:Q725,$B739&amp;" ~*")&gt;0)+(COUNTIF(S708:U725,$B739)+COUNTIF(S708:U725,$B739&amp;" ~*")&gt;0)+(COUNTIF(W708:W725,$B739)+COUNTIF(W708:W725,$B739&amp;" ~*")&gt;0)+(COUNTIF(Y708:Y725,$B739)+COUNTIF(Y708:Y725,$B739&amp;" ~*")&gt;0))</f>
        <v/>
      </c>
      <c r="AC739" s="36">
        <f>IF($B739="","",(IFERROR(INDEX(Setup!$G$33:$G$40,MATCH(C739,Setup!$B$33:$B$40,0)),0)=1)*(COUNTIF(C708:E725,$B739)+COUNTIF(C708:E725,$B739&amp;" ~*")&gt;0)+(IFERROR(INDEX(Setup!$G$33:$G$40,MATCH(G739,Setup!$B$33:$B$40,0)),0)=1)*(COUNTIF(G708:I725,$B739)+COUNTIF(G708:I725,$B739&amp;" ~*")&gt;0)+(IFERROR(INDEX(Setup!$G$33:$G$40,MATCH(K739,Setup!$B$33:$B$40,0)),0)=1)*(COUNTIF(K708:M725,$B739)+COUNTIF(K708:M725,$B739&amp;" ~*")&gt;0)+(IFERROR(INDEX(Setup!$G$33:$G$40,MATCH(O739,Setup!$B$33:$B$40,0)),0)=1)*(COUNTIF(O708:Q725,$B739)+COUNTIF(O708:Q725,$B739&amp;" ~*")&gt;0)+(IFERROR(INDEX(Setup!$G$33:$G$40,MATCH(S739,Setup!$B$33:$B$40,0)),0)=1)*(COUNTIF(S708:U725,$B739)+COUNTIF(S708:U725,$B739&amp;" ~*")&gt;0)+(IFERROR(INDEX(Setup!$G$33:$G$40,MATCH(W739,Setup!$B$33:$B$40,0)),0)=1)*(COUNTIF(W708:W725,$B739)+COUNTIF(W708:W725,$B739&amp;" ~*")&gt;0)+(IFERROR(INDEX(Setup!$G$33:$G$40,MATCH(Y739,Setup!$B$33:$B$40,0)),0)=1)*(COUNTIF(Y708:Y725,$B739)+COUNTIF(Y708:Y725,$B739&amp;" ~*")&gt;0))</f>
        <v/>
      </c>
    </row>
    <row r="740" ht="15" customHeight="1">
      <c r="A740" t="n">
        <v>15</v>
      </c>
      <c r="B740" s="37">
        <f>IF(Setup!$B$19="","",Setup!$B$19)</f>
        <v/>
      </c>
      <c r="C740" s="102" t="n"/>
      <c r="D740" s="103" t="n"/>
      <c r="E740" s="103" t="n"/>
      <c r="F740" s="104" t="n"/>
      <c r="G740" s="102" t="n"/>
      <c r="H740" s="103" t="n"/>
      <c r="I740" s="103" t="n"/>
      <c r="J740" s="104" t="n"/>
      <c r="K740" s="102" t="n"/>
      <c r="L740" s="103" t="n"/>
      <c r="M740" s="103" t="n"/>
      <c r="N740" s="104" t="n"/>
      <c r="O740" s="102" t="n"/>
      <c r="P740" s="103" t="n"/>
      <c r="Q740" s="103" t="n"/>
      <c r="R740" s="104" t="n"/>
      <c r="S740" s="102" t="n"/>
      <c r="T740" s="103" t="n"/>
      <c r="U740" s="103" t="n"/>
      <c r="V740" s="104" t="n"/>
      <c r="W740" s="102" t="n"/>
      <c r="X740" s="104" t="n"/>
      <c r="Y740" s="102" t="n"/>
      <c r="Z740" s="104" t="n"/>
      <c r="AB740" s="105">
        <f>IF($B740="","",(COUNTIF(C708:E725,$B740)+COUNTIF(C708:E725,$B740&amp;" ~*")&gt;0)+(COUNTIF(G708:I725,$B740)+COUNTIF(G708:I725,$B740&amp;" ~*")&gt;0)+(COUNTIF(K708:M725,$B740)+COUNTIF(K708:M725,$B740&amp;" ~*")&gt;0)+(COUNTIF(O708:Q725,$B740)+COUNTIF(O708:Q725,$B740&amp;" ~*")&gt;0)+(COUNTIF(S708:U725,$B740)+COUNTIF(S708:U725,$B740&amp;" ~*")&gt;0)+(COUNTIF(W708:W725,$B740)+COUNTIF(W708:W725,$B740&amp;" ~*")&gt;0)+(COUNTIF(Y708:Y725,$B740)+COUNTIF(Y708:Y725,$B740&amp;" ~*")&gt;0))</f>
        <v/>
      </c>
      <c r="AC740" s="38">
        <f>IF($B740="","",(IFERROR(INDEX(Setup!$G$33:$G$40,MATCH(C740,Setup!$B$33:$B$40,0)),0)=1)*(COUNTIF(C708:E725,$B740)+COUNTIF(C708:E725,$B740&amp;" ~*")&gt;0)+(IFERROR(INDEX(Setup!$G$33:$G$40,MATCH(G740,Setup!$B$33:$B$40,0)),0)=1)*(COUNTIF(G708:I725,$B740)+COUNTIF(G708:I725,$B740&amp;" ~*")&gt;0)+(IFERROR(INDEX(Setup!$G$33:$G$40,MATCH(K740,Setup!$B$33:$B$40,0)),0)=1)*(COUNTIF(K708:M725,$B740)+COUNTIF(K708:M725,$B740&amp;" ~*")&gt;0)+(IFERROR(INDEX(Setup!$G$33:$G$40,MATCH(O740,Setup!$B$33:$B$40,0)),0)=1)*(COUNTIF(O708:Q725,$B740)+COUNTIF(O708:Q725,$B740&amp;" ~*")&gt;0)+(IFERROR(INDEX(Setup!$G$33:$G$40,MATCH(S740,Setup!$B$33:$B$40,0)),0)=1)*(COUNTIF(S708:U725,$B740)+COUNTIF(S708:U725,$B740&amp;" ~*")&gt;0)+(IFERROR(INDEX(Setup!$G$33:$G$40,MATCH(W740,Setup!$B$33:$B$40,0)),0)=1)*(COUNTIF(W708:W725,$B740)+COUNTIF(W708:W725,$B740&amp;" ~*")&gt;0)+(IFERROR(INDEX(Setup!$G$33:$G$40,MATCH(Y740,Setup!$B$33:$B$40,0)),0)=1)*(COUNTIF(Y708:Y725,$B740)+COUNTIF(Y708:Y725,$B740&amp;" ~*")&gt;0))</f>
        <v/>
      </c>
    </row>
    <row r="741" ht="15" customHeight="1">
      <c r="A741" t="n">
        <v>15</v>
      </c>
      <c r="B741" s="35">
        <f>IF(Setup!$B$20="","",Setup!$B$20)</f>
        <v/>
      </c>
      <c r="C741" s="98" t="n"/>
      <c r="D741" s="99" t="n"/>
      <c r="E741" s="99" t="n"/>
      <c r="F741" s="100" t="n"/>
      <c r="G741" s="98" t="n"/>
      <c r="H741" s="99" t="n"/>
      <c r="I741" s="99" t="n"/>
      <c r="J741" s="100" t="n"/>
      <c r="K741" s="98" t="n"/>
      <c r="L741" s="99" t="n"/>
      <c r="M741" s="99" t="n"/>
      <c r="N741" s="100" t="n"/>
      <c r="O741" s="98" t="n"/>
      <c r="P741" s="99" t="n"/>
      <c r="Q741" s="99" t="n"/>
      <c r="R741" s="100" t="n"/>
      <c r="S741" s="98" t="n"/>
      <c r="T741" s="99" t="n"/>
      <c r="U741" s="99" t="n"/>
      <c r="V741" s="100" t="n"/>
      <c r="W741" s="98" t="n"/>
      <c r="X741" s="100" t="n"/>
      <c r="Y741" s="98" t="n"/>
      <c r="Z741" s="100" t="n"/>
      <c r="AB741" s="101">
        <f>IF($B741="","",(COUNTIF(C708:E725,$B741)+COUNTIF(C708:E725,$B741&amp;" ~*")&gt;0)+(COUNTIF(G708:I725,$B741)+COUNTIF(G708:I725,$B741&amp;" ~*")&gt;0)+(COUNTIF(K708:M725,$B741)+COUNTIF(K708:M725,$B741&amp;" ~*")&gt;0)+(COUNTIF(O708:Q725,$B741)+COUNTIF(O708:Q725,$B741&amp;" ~*")&gt;0)+(COUNTIF(S708:U725,$B741)+COUNTIF(S708:U725,$B741&amp;" ~*")&gt;0)+(COUNTIF(W708:W725,$B741)+COUNTIF(W708:W725,$B741&amp;" ~*")&gt;0)+(COUNTIF(Y708:Y725,$B741)+COUNTIF(Y708:Y725,$B741&amp;" ~*")&gt;0))</f>
        <v/>
      </c>
      <c r="AC741" s="36">
        <f>IF($B741="","",(IFERROR(INDEX(Setup!$G$33:$G$40,MATCH(C741,Setup!$B$33:$B$40,0)),0)=1)*(COUNTIF(C708:E725,$B741)+COUNTIF(C708:E725,$B741&amp;" ~*")&gt;0)+(IFERROR(INDEX(Setup!$G$33:$G$40,MATCH(G741,Setup!$B$33:$B$40,0)),0)=1)*(COUNTIF(G708:I725,$B741)+COUNTIF(G708:I725,$B741&amp;" ~*")&gt;0)+(IFERROR(INDEX(Setup!$G$33:$G$40,MATCH(K741,Setup!$B$33:$B$40,0)),0)=1)*(COUNTIF(K708:M725,$B741)+COUNTIF(K708:M725,$B741&amp;" ~*")&gt;0)+(IFERROR(INDEX(Setup!$G$33:$G$40,MATCH(O741,Setup!$B$33:$B$40,0)),0)=1)*(COUNTIF(O708:Q725,$B741)+COUNTIF(O708:Q725,$B741&amp;" ~*")&gt;0)+(IFERROR(INDEX(Setup!$G$33:$G$40,MATCH(S741,Setup!$B$33:$B$40,0)),0)=1)*(COUNTIF(S708:U725,$B741)+COUNTIF(S708:U725,$B741&amp;" ~*")&gt;0)+(IFERROR(INDEX(Setup!$G$33:$G$40,MATCH(W741,Setup!$B$33:$B$40,0)),0)=1)*(COUNTIF(W708:W725,$B741)+COUNTIF(W708:W725,$B741&amp;" ~*")&gt;0)+(IFERROR(INDEX(Setup!$G$33:$G$40,MATCH(Y741,Setup!$B$33:$B$40,0)),0)=1)*(COUNTIF(Y708:Y725,$B741)+COUNTIF(Y708:Y725,$B741&amp;" ~*")&gt;0))</f>
        <v/>
      </c>
    </row>
    <row r="742" ht="15" customHeight="1">
      <c r="A742" t="n">
        <v>15</v>
      </c>
      <c r="B742" s="37">
        <f>IF(Setup!$B$21="","",Setup!$B$21)</f>
        <v/>
      </c>
      <c r="C742" s="102" t="n"/>
      <c r="D742" s="103" t="n"/>
      <c r="E742" s="103" t="n"/>
      <c r="F742" s="104" t="n"/>
      <c r="G742" s="102" t="n"/>
      <c r="H742" s="103" t="n"/>
      <c r="I742" s="103" t="n"/>
      <c r="J742" s="104" t="n"/>
      <c r="K742" s="102" t="n"/>
      <c r="L742" s="103" t="n"/>
      <c r="M742" s="103" t="n"/>
      <c r="N742" s="104" t="n"/>
      <c r="O742" s="102" t="n"/>
      <c r="P742" s="103" t="n"/>
      <c r="Q742" s="103" t="n"/>
      <c r="R742" s="104" t="n"/>
      <c r="S742" s="102" t="n"/>
      <c r="T742" s="103" t="n"/>
      <c r="U742" s="103" t="n"/>
      <c r="V742" s="104" t="n"/>
      <c r="W742" s="102" t="n"/>
      <c r="X742" s="104" t="n"/>
      <c r="Y742" s="102" t="n"/>
      <c r="Z742" s="104" t="n"/>
      <c r="AB742" s="105">
        <f>IF($B742="","",(COUNTIF(C708:E725,$B742)+COUNTIF(C708:E725,$B742&amp;" ~*")&gt;0)+(COUNTIF(G708:I725,$B742)+COUNTIF(G708:I725,$B742&amp;" ~*")&gt;0)+(COUNTIF(K708:M725,$B742)+COUNTIF(K708:M725,$B742&amp;" ~*")&gt;0)+(COUNTIF(O708:Q725,$B742)+COUNTIF(O708:Q725,$B742&amp;" ~*")&gt;0)+(COUNTIF(S708:U725,$B742)+COUNTIF(S708:U725,$B742&amp;" ~*")&gt;0)+(COUNTIF(W708:W725,$B742)+COUNTIF(W708:W725,$B742&amp;" ~*")&gt;0)+(COUNTIF(Y708:Y725,$B742)+COUNTIF(Y708:Y725,$B742&amp;" ~*")&gt;0))</f>
        <v/>
      </c>
      <c r="AC742" s="38">
        <f>IF($B742="","",(IFERROR(INDEX(Setup!$G$33:$G$40,MATCH(C742,Setup!$B$33:$B$40,0)),0)=1)*(COUNTIF(C708:E725,$B742)+COUNTIF(C708:E725,$B742&amp;" ~*")&gt;0)+(IFERROR(INDEX(Setup!$G$33:$G$40,MATCH(G742,Setup!$B$33:$B$40,0)),0)=1)*(COUNTIF(G708:I725,$B742)+COUNTIF(G708:I725,$B742&amp;" ~*")&gt;0)+(IFERROR(INDEX(Setup!$G$33:$G$40,MATCH(K742,Setup!$B$33:$B$40,0)),0)=1)*(COUNTIF(K708:M725,$B742)+COUNTIF(K708:M725,$B742&amp;" ~*")&gt;0)+(IFERROR(INDEX(Setup!$G$33:$G$40,MATCH(O742,Setup!$B$33:$B$40,0)),0)=1)*(COUNTIF(O708:Q725,$B742)+COUNTIF(O708:Q725,$B742&amp;" ~*")&gt;0)+(IFERROR(INDEX(Setup!$G$33:$G$40,MATCH(S742,Setup!$B$33:$B$40,0)),0)=1)*(COUNTIF(S708:U725,$B742)+COUNTIF(S708:U725,$B742&amp;" ~*")&gt;0)+(IFERROR(INDEX(Setup!$G$33:$G$40,MATCH(W742,Setup!$B$33:$B$40,0)),0)=1)*(COUNTIF(W708:W725,$B742)+COUNTIF(W708:W725,$B742&amp;" ~*")&gt;0)+(IFERROR(INDEX(Setup!$G$33:$G$40,MATCH(Y742,Setup!$B$33:$B$40,0)),0)=1)*(COUNTIF(Y708:Y725,$B742)+COUNTIF(Y708:Y725,$B742&amp;" ~*")&gt;0))</f>
        <v/>
      </c>
    </row>
    <row r="743" ht="15" customHeight="1">
      <c r="A743" t="n">
        <v>15</v>
      </c>
      <c r="B743" s="35">
        <f>IF(Setup!$B$22="","",Setup!$B$22)</f>
        <v/>
      </c>
      <c r="C743" s="98" t="n"/>
      <c r="D743" s="99" t="n"/>
      <c r="E743" s="99" t="n"/>
      <c r="F743" s="100" t="n"/>
      <c r="G743" s="98" t="n"/>
      <c r="H743" s="99" t="n"/>
      <c r="I743" s="99" t="n"/>
      <c r="J743" s="100" t="n"/>
      <c r="K743" s="98" t="n"/>
      <c r="L743" s="99" t="n"/>
      <c r="M743" s="99" t="n"/>
      <c r="N743" s="100" t="n"/>
      <c r="O743" s="98" t="n"/>
      <c r="P743" s="99" t="n"/>
      <c r="Q743" s="99" t="n"/>
      <c r="R743" s="100" t="n"/>
      <c r="S743" s="98" t="n"/>
      <c r="T743" s="99" t="n"/>
      <c r="U743" s="99" t="n"/>
      <c r="V743" s="100" t="n"/>
      <c r="W743" s="98" t="n"/>
      <c r="X743" s="100" t="n"/>
      <c r="Y743" s="98" t="n"/>
      <c r="Z743" s="100" t="n"/>
      <c r="AB743" s="101">
        <f>IF($B743="","",(COUNTIF(C708:E725,$B743)+COUNTIF(C708:E725,$B743&amp;" ~*")&gt;0)+(COUNTIF(G708:I725,$B743)+COUNTIF(G708:I725,$B743&amp;" ~*")&gt;0)+(COUNTIF(K708:M725,$B743)+COUNTIF(K708:M725,$B743&amp;" ~*")&gt;0)+(COUNTIF(O708:Q725,$B743)+COUNTIF(O708:Q725,$B743&amp;" ~*")&gt;0)+(COUNTIF(S708:U725,$B743)+COUNTIF(S708:U725,$B743&amp;" ~*")&gt;0)+(COUNTIF(W708:W725,$B743)+COUNTIF(W708:W725,$B743&amp;" ~*")&gt;0)+(COUNTIF(Y708:Y725,$B743)+COUNTIF(Y708:Y725,$B743&amp;" ~*")&gt;0))</f>
        <v/>
      </c>
      <c r="AC743" s="36">
        <f>IF($B743="","",(IFERROR(INDEX(Setup!$G$33:$G$40,MATCH(C743,Setup!$B$33:$B$40,0)),0)=1)*(COUNTIF(C708:E725,$B743)+COUNTIF(C708:E725,$B743&amp;" ~*")&gt;0)+(IFERROR(INDEX(Setup!$G$33:$G$40,MATCH(G743,Setup!$B$33:$B$40,0)),0)=1)*(COUNTIF(G708:I725,$B743)+COUNTIF(G708:I725,$B743&amp;" ~*")&gt;0)+(IFERROR(INDEX(Setup!$G$33:$G$40,MATCH(K743,Setup!$B$33:$B$40,0)),0)=1)*(COUNTIF(K708:M725,$B743)+COUNTIF(K708:M725,$B743&amp;" ~*")&gt;0)+(IFERROR(INDEX(Setup!$G$33:$G$40,MATCH(O743,Setup!$B$33:$B$40,0)),0)=1)*(COUNTIF(O708:Q725,$B743)+COUNTIF(O708:Q725,$B743&amp;" ~*")&gt;0)+(IFERROR(INDEX(Setup!$G$33:$G$40,MATCH(S743,Setup!$B$33:$B$40,0)),0)=1)*(COUNTIF(S708:U725,$B743)+COUNTIF(S708:U725,$B743&amp;" ~*")&gt;0)+(IFERROR(INDEX(Setup!$G$33:$G$40,MATCH(W743,Setup!$B$33:$B$40,0)),0)=1)*(COUNTIF(W708:W725,$B743)+COUNTIF(W708:W725,$B743&amp;" ~*")&gt;0)+(IFERROR(INDEX(Setup!$G$33:$G$40,MATCH(Y743,Setup!$B$33:$B$40,0)),0)=1)*(COUNTIF(Y708:Y725,$B743)+COUNTIF(Y708:Y725,$B743&amp;" ~*")&gt;0))</f>
        <v/>
      </c>
    </row>
    <row r="744" ht="15" customHeight="1">
      <c r="A744" t="n">
        <v>15</v>
      </c>
      <c r="B744" s="37">
        <f>IF(Setup!$B$23="","",Setup!$B$23)</f>
        <v/>
      </c>
      <c r="C744" s="102" t="n"/>
      <c r="D744" s="103" t="n"/>
      <c r="E744" s="103" t="n"/>
      <c r="F744" s="104" t="n"/>
      <c r="G744" s="102" t="n"/>
      <c r="H744" s="103" t="n"/>
      <c r="I744" s="103" t="n"/>
      <c r="J744" s="104" t="n"/>
      <c r="K744" s="102" t="n"/>
      <c r="L744" s="103" t="n"/>
      <c r="M744" s="103" t="n"/>
      <c r="N744" s="104" t="n"/>
      <c r="O744" s="102" t="n"/>
      <c r="P744" s="103" t="n"/>
      <c r="Q744" s="103" t="n"/>
      <c r="R744" s="104" t="n"/>
      <c r="S744" s="102" t="n"/>
      <c r="T744" s="103" t="n"/>
      <c r="U744" s="103" t="n"/>
      <c r="V744" s="104" t="n"/>
      <c r="W744" s="102" t="n"/>
      <c r="X744" s="104" t="n"/>
      <c r="Y744" s="102" t="n"/>
      <c r="Z744" s="104" t="n"/>
      <c r="AB744" s="105">
        <f>IF($B744="","",(COUNTIF(C708:E725,$B744)+COUNTIF(C708:E725,$B744&amp;" ~*")&gt;0)+(COUNTIF(G708:I725,$B744)+COUNTIF(G708:I725,$B744&amp;" ~*")&gt;0)+(COUNTIF(K708:M725,$B744)+COUNTIF(K708:M725,$B744&amp;" ~*")&gt;0)+(COUNTIF(O708:Q725,$B744)+COUNTIF(O708:Q725,$B744&amp;" ~*")&gt;0)+(COUNTIF(S708:U725,$B744)+COUNTIF(S708:U725,$B744&amp;" ~*")&gt;0)+(COUNTIF(W708:W725,$B744)+COUNTIF(W708:W725,$B744&amp;" ~*")&gt;0)+(COUNTIF(Y708:Y725,$B744)+COUNTIF(Y708:Y725,$B744&amp;" ~*")&gt;0))</f>
        <v/>
      </c>
      <c r="AC744" s="38">
        <f>IF($B744="","",(IFERROR(INDEX(Setup!$G$33:$G$40,MATCH(C744,Setup!$B$33:$B$40,0)),0)=1)*(COUNTIF(C708:E725,$B744)+COUNTIF(C708:E725,$B744&amp;" ~*")&gt;0)+(IFERROR(INDEX(Setup!$G$33:$G$40,MATCH(G744,Setup!$B$33:$B$40,0)),0)=1)*(COUNTIF(G708:I725,$B744)+COUNTIF(G708:I725,$B744&amp;" ~*")&gt;0)+(IFERROR(INDEX(Setup!$G$33:$G$40,MATCH(K744,Setup!$B$33:$B$40,0)),0)=1)*(COUNTIF(K708:M725,$B744)+COUNTIF(K708:M725,$B744&amp;" ~*")&gt;0)+(IFERROR(INDEX(Setup!$G$33:$G$40,MATCH(O744,Setup!$B$33:$B$40,0)),0)=1)*(COUNTIF(O708:Q725,$B744)+COUNTIF(O708:Q725,$B744&amp;" ~*")&gt;0)+(IFERROR(INDEX(Setup!$G$33:$G$40,MATCH(S744,Setup!$B$33:$B$40,0)),0)=1)*(COUNTIF(S708:U725,$B744)+COUNTIF(S708:U725,$B744&amp;" ~*")&gt;0)+(IFERROR(INDEX(Setup!$G$33:$G$40,MATCH(W744,Setup!$B$33:$B$40,0)),0)=1)*(COUNTIF(W708:W725,$B744)+COUNTIF(W708:W725,$B744&amp;" ~*")&gt;0)+(IFERROR(INDEX(Setup!$G$33:$G$40,MATCH(Y744,Setup!$B$33:$B$40,0)),0)=1)*(COUNTIF(Y708:Y725,$B744)+COUNTIF(Y708:Y725,$B744&amp;" ~*")&gt;0))</f>
        <v/>
      </c>
    </row>
    <row r="745" ht="15" customHeight="1">
      <c r="A745" t="n">
        <v>15</v>
      </c>
      <c r="B745" s="35">
        <f>IF(Setup!$B$24="","",Setup!$B$24)</f>
        <v/>
      </c>
      <c r="C745" s="98" t="n"/>
      <c r="D745" s="99" t="n"/>
      <c r="E745" s="99" t="n"/>
      <c r="F745" s="100" t="n"/>
      <c r="G745" s="98" t="n"/>
      <c r="H745" s="99" t="n"/>
      <c r="I745" s="99" t="n"/>
      <c r="J745" s="100" t="n"/>
      <c r="K745" s="98" t="n"/>
      <c r="L745" s="99" t="n"/>
      <c r="M745" s="99" t="n"/>
      <c r="N745" s="100" t="n"/>
      <c r="O745" s="98" t="n"/>
      <c r="P745" s="99" t="n"/>
      <c r="Q745" s="99" t="n"/>
      <c r="R745" s="100" t="n"/>
      <c r="S745" s="98" t="n"/>
      <c r="T745" s="99" t="n"/>
      <c r="U745" s="99" t="n"/>
      <c r="V745" s="100" t="n"/>
      <c r="W745" s="98" t="n"/>
      <c r="X745" s="100" t="n"/>
      <c r="Y745" s="98" t="n"/>
      <c r="Z745" s="100" t="n"/>
      <c r="AB745" s="101">
        <f>IF($B745="","",(COUNTIF(C708:E725,$B745)+COUNTIF(C708:E725,$B745&amp;" ~*")&gt;0)+(COUNTIF(G708:I725,$B745)+COUNTIF(G708:I725,$B745&amp;" ~*")&gt;0)+(COUNTIF(K708:M725,$B745)+COUNTIF(K708:M725,$B745&amp;" ~*")&gt;0)+(COUNTIF(O708:Q725,$B745)+COUNTIF(O708:Q725,$B745&amp;" ~*")&gt;0)+(COUNTIF(S708:U725,$B745)+COUNTIF(S708:U725,$B745&amp;" ~*")&gt;0)+(COUNTIF(W708:W725,$B745)+COUNTIF(W708:W725,$B745&amp;" ~*")&gt;0)+(COUNTIF(Y708:Y725,$B745)+COUNTIF(Y708:Y725,$B745&amp;" ~*")&gt;0))</f>
        <v/>
      </c>
      <c r="AC745" s="36">
        <f>IF($B745="","",(IFERROR(INDEX(Setup!$G$33:$G$40,MATCH(C745,Setup!$B$33:$B$40,0)),0)=1)*(COUNTIF(C708:E725,$B745)+COUNTIF(C708:E725,$B745&amp;" ~*")&gt;0)+(IFERROR(INDEX(Setup!$G$33:$G$40,MATCH(G745,Setup!$B$33:$B$40,0)),0)=1)*(COUNTIF(G708:I725,$B745)+COUNTIF(G708:I725,$B745&amp;" ~*")&gt;0)+(IFERROR(INDEX(Setup!$G$33:$G$40,MATCH(K745,Setup!$B$33:$B$40,0)),0)=1)*(COUNTIF(K708:M725,$B745)+COUNTIF(K708:M725,$B745&amp;" ~*")&gt;0)+(IFERROR(INDEX(Setup!$G$33:$G$40,MATCH(O745,Setup!$B$33:$B$40,0)),0)=1)*(COUNTIF(O708:Q725,$B745)+COUNTIF(O708:Q725,$B745&amp;" ~*")&gt;0)+(IFERROR(INDEX(Setup!$G$33:$G$40,MATCH(S745,Setup!$B$33:$B$40,0)),0)=1)*(COUNTIF(S708:U725,$B745)+COUNTIF(S708:U725,$B745&amp;" ~*")&gt;0)+(IFERROR(INDEX(Setup!$G$33:$G$40,MATCH(W745,Setup!$B$33:$B$40,0)),0)=1)*(COUNTIF(W708:W725,$B745)+COUNTIF(W708:W725,$B745&amp;" ~*")&gt;0)+(IFERROR(INDEX(Setup!$G$33:$G$40,MATCH(Y745,Setup!$B$33:$B$40,0)),0)=1)*(COUNTIF(Y708:Y725,$B745)+COUNTIF(Y708:Y725,$B745&amp;" ~*")&gt;0))</f>
        <v/>
      </c>
    </row>
    <row r="746" ht="15" customHeight="1">
      <c r="A746" t="n">
        <v>15</v>
      </c>
      <c r="B746" s="37">
        <f>IF(Setup!$B$25="","",Setup!$B$25)</f>
        <v/>
      </c>
      <c r="C746" s="102" t="n"/>
      <c r="D746" s="103" t="n"/>
      <c r="E746" s="103" t="n"/>
      <c r="F746" s="104" t="n"/>
      <c r="G746" s="102" t="n"/>
      <c r="H746" s="103" t="n"/>
      <c r="I746" s="103" t="n"/>
      <c r="J746" s="104" t="n"/>
      <c r="K746" s="102" t="n"/>
      <c r="L746" s="103" t="n"/>
      <c r="M746" s="103" t="n"/>
      <c r="N746" s="104" t="n"/>
      <c r="O746" s="102" t="n"/>
      <c r="P746" s="103" t="n"/>
      <c r="Q746" s="103" t="n"/>
      <c r="R746" s="104" t="n"/>
      <c r="S746" s="102" t="n"/>
      <c r="T746" s="103" t="n"/>
      <c r="U746" s="103" t="n"/>
      <c r="V746" s="104" t="n"/>
      <c r="W746" s="102" t="n"/>
      <c r="X746" s="104" t="n"/>
      <c r="Y746" s="102" t="n"/>
      <c r="Z746" s="104" t="n"/>
      <c r="AB746" s="105">
        <f>IF($B746="","",(COUNTIF(C708:E725,$B746)+COUNTIF(C708:E725,$B746&amp;" ~*")&gt;0)+(COUNTIF(G708:I725,$B746)+COUNTIF(G708:I725,$B746&amp;" ~*")&gt;0)+(COUNTIF(K708:M725,$B746)+COUNTIF(K708:M725,$B746&amp;" ~*")&gt;0)+(COUNTIF(O708:Q725,$B746)+COUNTIF(O708:Q725,$B746&amp;" ~*")&gt;0)+(COUNTIF(S708:U725,$B746)+COUNTIF(S708:U725,$B746&amp;" ~*")&gt;0)+(COUNTIF(W708:W725,$B746)+COUNTIF(W708:W725,$B746&amp;" ~*")&gt;0)+(COUNTIF(Y708:Y725,$B746)+COUNTIF(Y708:Y725,$B746&amp;" ~*")&gt;0))</f>
        <v/>
      </c>
      <c r="AC746" s="38">
        <f>IF($B746="","",(IFERROR(INDEX(Setup!$G$33:$G$40,MATCH(C746,Setup!$B$33:$B$40,0)),0)=1)*(COUNTIF(C708:E725,$B746)+COUNTIF(C708:E725,$B746&amp;" ~*")&gt;0)+(IFERROR(INDEX(Setup!$G$33:$G$40,MATCH(G746,Setup!$B$33:$B$40,0)),0)=1)*(COUNTIF(G708:I725,$B746)+COUNTIF(G708:I725,$B746&amp;" ~*")&gt;0)+(IFERROR(INDEX(Setup!$G$33:$G$40,MATCH(K746,Setup!$B$33:$B$40,0)),0)=1)*(COUNTIF(K708:M725,$B746)+COUNTIF(K708:M725,$B746&amp;" ~*")&gt;0)+(IFERROR(INDEX(Setup!$G$33:$G$40,MATCH(O746,Setup!$B$33:$B$40,0)),0)=1)*(COUNTIF(O708:Q725,$B746)+COUNTIF(O708:Q725,$B746&amp;" ~*")&gt;0)+(IFERROR(INDEX(Setup!$G$33:$G$40,MATCH(S746,Setup!$B$33:$B$40,0)),0)=1)*(COUNTIF(S708:U725,$B746)+COUNTIF(S708:U725,$B746&amp;" ~*")&gt;0)+(IFERROR(INDEX(Setup!$G$33:$G$40,MATCH(W746,Setup!$B$33:$B$40,0)),0)=1)*(COUNTIF(W708:W725,$B746)+COUNTIF(W708:W725,$B746&amp;" ~*")&gt;0)+(IFERROR(INDEX(Setup!$G$33:$G$40,MATCH(Y746,Setup!$B$33:$B$40,0)),0)=1)*(COUNTIF(Y708:Y725,$B746)+COUNTIF(Y708:Y725,$B746&amp;" ~*")&gt;0))</f>
        <v/>
      </c>
    </row>
    <row r="747" ht="15" customHeight="1">
      <c r="A747" t="n">
        <v>15</v>
      </c>
      <c r="B747" s="35">
        <f>IF(Setup!$B$26="","",Setup!$B$26)</f>
        <v/>
      </c>
      <c r="C747" s="98" t="n"/>
      <c r="D747" s="99" t="n"/>
      <c r="E747" s="99" t="n"/>
      <c r="F747" s="100" t="n"/>
      <c r="G747" s="98" t="n"/>
      <c r="H747" s="99" t="n"/>
      <c r="I747" s="99" t="n"/>
      <c r="J747" s="100" t="n"/>
      <c r="K747" s="98" t="n"/>
      <c r="L747" s="99" t="n"/>
      <c r="M747" s="99" t="n"/>
      <c r="N747" s="100" t="n"/>
      <c r="O747" s="98" t="n"/>
      <c r="P747" s="99" t="n"/>
      <c r="Q747" s="99" t="n"/>
      <c r="R747" s="100" t="n"/>
      <c r="S747" s="98" t="n"/>
      <c r="T747" s="99" t="n"/>
      <c r="U747" s="99" t="n"/>
      <c r="V747" s="100" t="n"/>
      <c r="W747" s="98" t="n"/>
      <c r="X747" s="100" t="n"/>
      <c r="Y747" s="98" t="n"/>
      <c r="Z747" s="100" t="n"/>
      <c r="AB747" s="101">
        <f>IF($B747="","",(COUNTIF(C708:E725,$B747)+COUNTIF(C708:E725,$B747&amp;" ~*")&gt;0)+(COUNTIF(G708:I725,$B747)+COUNTIF(G708:I725,$B747&amp;" ~*")&gt;0)+(COUNTIF(K708:M725,$B747)+COUNTIF(K708:M725,$B747&amp;" ~*")&gt;0)+(COUNTIF(O708:Q725,$B747)+COUNTIF(O708:Q725,$B747&amp;" ~*")&gt;0)+(COUNTIF(S708:U725,$B747)+COUNTIF(S708:U725,$B747&amp;" ~*")&gt;0)+(COUNTIF(W708:W725,$B747)+COUNTIF(W708:W725,$B747&amp;" ~*")&gt;0)+(COUNTIF(Y708:Y725,$B747)+COUNTIF(Y708:Y725,$B747&amp;" ~*")&gt;0))</f>
        <v/>
      </c>
      <c r="AC747" s="36">
        <f>IF($B747="","",(IFERROR(INDEX(Setup!$G$33:$G$40,MATCH(C747,Setup!$B$33:$B$40,0)),0)=1)*(COUNTIF(C708:E725,$B747)+COUNTIF(C708:E725,$B747&amp;" ~*")&gt;0)+(IFERROR(INDEX(Setup!$G$33:$G$40,MATCH(G747,Setup!$B$33:$B$40,0)),0)=1)*(COUNTIF(G708:I725,$B747)+COUNTIF(G708:I725,$B747&amp;" ~*")&gt;0)+(IFERROR(INDEX(Setup!$G$33:$G$40,MATCH(K747,Setup!$B$33:$B$40,0)),0)=1)*(COUNTIF(K708:M725,$B747)+COUNTIF(K708:M725,$B747&amp;" ~*")&gt;0)+(IFERROR(INDEX(Setup!$G$33:$G$40,MATCH(O747,Setup!$B$33:$B$40,0)),0)=1)*(COUNTIF(O708:Q725,$B747)+COUNTIF(O708:Q725,$B747&amp;" ~*")&gt;0)+(IFERROR(INDEX(Setup!$G$33:$G$40,MATCH(S747,Setup!$B$33:$B$40,0)),0)=1)*(COUNTIF(S708:U725,$B747)+COUNTIF(S708:U725,$B747&amp;" ~*")&gt;0)+(IFERROR(INDEX(Setup!$G$33:$G$40,MATCH(W747,Setup!$B$33:$B$40,0)),0)=1)*(COUNTIF(W708:W725,$B747)+COUNTIF(W708:W725,$B747&amp;" ~*")&gt;0)+(IFERROR(INDEX(Setup!$G$33:$G$40,MATCH(Y747,Setup!$B$33:$B$40,0)),0)=1)*(COUNTIF(Y708:Y725,$B747)+COUNTIF(Y708:Y725,$B747&amp;" ~*")&gt;0))</f>
        <v/>
      </c>
    </row>
    <row r="748" ht="15" customHeight="1">
      <c r="A748" t="n">
        <v>15</v>
      </c>
      <c r="B748" s="37">
        <f>IF(Setup!$B$27="","",Setup!$B$27)</f>
        <v/>
      </c>
      <c r="C748" s="102" t="n"/>
      <c r="D748" s="103" t="n"/>
      <c r="E748" s="103" t="n"/>
      <c r="F748" s="104" t="n"/>
      <c r="G748" s="102" t="n"/>
      <c r="H748" s="103" t="n"/>
      <c r="I748" s="103" t="n"/>
      <c r="J748" s="104" t="n"/>
      <c r="K748" s="102" t="n"/>
      <c r="L748" s="103" t="n"/>
      <c r="M748" s="103" t="n"/>
      <c r="N748" s="104" t="n"/>
      <c r="O748" s="102" t="n"/>
      <c r="P748" s="103" t="n"/>
      <c r="Q748" s="103" t="n"/>
      <c r="R748" s="104" t="n"/>
      <c r="S748" s="102" t="n"/>
      <c r="T748" s="103" t="n"/>
      <c r="U748" s="103" t="n"/>
      <c r="V748" s="104" t="n"/>
      <c r="W748" s="102" t="n"/>
      <c r="X748" s="104" t="n"/>
      <c r="Y748" s="102" t="n"/>
      <c r="Z748" s="104" t="n"/>
      <c r="AB748" s="105">
        <f>IF($B748="","",(COUNTIF(C708:E725,$B748)+COUNTIF(C708:E725,$B748&amp;" ~*")&gt;0)+(COUNTIF(G708:I725,$B748)+COUNTIF(G708:I725,$B748&amp;" ~*")&gt;0)+(COUNTIF(K708:M725,$B748)+COUNTIF(K708:M725,$B748&amp;" ~*")&gt;0)+(COUNTIF(O708:Q725,$B748)+COUNTIF(O708:Q725,$B748&amp;" ~*")&gt;0)+(COUNTIF(S708:U725,$B748)+COUNTIF(S708:U725,$B748&amp;" ~*")&gt;0)+(COUNTIF(W708:W725,$B748)+COUNTIF(W708:W725,$B748&amp;" ~*")&gt;0)+(COUNTIF(Y708:Y725,$B748)+COUNTIF(Y708:Y725,$B748&amp;" ~*")&gt;0))</f>
        <v/>
      </c>
      <c r="AC748" s="38">
        <f>IF($B748="","",(IFERROR(INDEX(Setup!$G$33:$G$40,MATCH(C748,Setup!$B$33:$B$40,0)),0)=1)*(COUNTIF(C708:E725,$B748)+COUNTIF(C708:E725,$B748&amp;" ~*")&gt;0)+(IFERROR(INDEX(Setup!$G$33:$G$40,MATCH(G748,Setup!$B$33:$B$40,0)),0)=1)*(COUNTIF(G708:I725,$B748)+COUNTIF(G708:I725,$B748&amp;" ~*")&gt;0)+(IFERROR(INDEX(Setup!$G$33:$G$40,MATCH(K748,Setup!$B$33:$B$40,0)),0)=1)*(COUNTIF(K708:M725,$B748)+COUNTIF(K708:M725,$B748&amp;" ~*")&gt;0)+(IFERROR(INDEX(Setup!$G$33:$G$40,MATCH(O748,Setup!$B$33:$B$40,0)),0)=1)*(COUNTIF(O708:Q725,$B748)+COUNTIF(O708:Q725,$B748&amp;" ~*")&gt;0)+(IFERROR(INDEX(Setup!$G$33:$G$40,MATCH(S748,Setup!$B$33:$B$40,0)),0)=1)*(COUNTIF(S708:U725,$B748)+COUNTIF(S708:U725,$B748&amp;" ~*")&gt;0)+(IFERROR(INDEX(Setup!$G$33:$G$40,MATCH(W748,Setup!$B$33:$B$40,0)),0)=1)*(COUNTIF(W708:W725,$B748)+COUNTIF(W708:W725,$B748&amp;" ~*")&gt;0)+(IFERROR(INDEX(Setup!$G$33:$G$40,MATCH(Y748,Setup!$B$33:$B$40,0)),0)=1)*(COUNTIF(Y708:Y725,$B748)+COUNTIF(Y708:Y725,$B748&amp;" ~*")&gt;0))</f>
        <v/>
      </c>
    </row>
    <row r="749" ht="15" customHeight="1">
      <c r="A749" t="n">
        <v>15</v>
      </c>
      <c r="B749" s="35">
        <f>IF(Setup!$B$28="","",Setup!$B$28)</f>
        <v/>
      </c>
      <c r="C749" s="98" t="n"/>
      <c r="D749" s="99" t="n"/>
      <c r="E749" s="99" t="n"/>
      <c r="F749" s="100" t="n"/>
      <c r="G749" s="98" t="n"/>
      <c r="H749" s="99" t="n"/>
      <c r="I749" s="99" t="n"/>
      <c r="J749" s="100" t="n"/>
      <c r="K749" s="98" t="n"/>
      <c r="L749" s="99" t="n"/>
      <c r="M749" s="99" t="n"/>
      <c r="N749" s="100" t="n"/>
      <c r="O749" s="98" t="n"/>
      <c r="P749" s="99" t="n"/>
      <c r="Q749" s="99" t="n"/>
      <c r="R749" s="100" t="n"/>
      <c r="S749" s="98" t="n"/>
      <c r="T749" s="99" t="n"/>
      <c r="U749" s="99" t="n"/>
      <c r="V749" s="100" t="n"/>
      <c r="W749" s="98" t="n"/>
      <c r="X749" s="100" t="n"/>
      <c r="Y749" s="98" t="n"/>
      <c r="Z749" s="100" t="n"/>
      <c r="AB749" s="101">
        <f>IF($B749="","",(COUNTIF(C708:E725,$B749)+COUNTIF(C708:E725,$B749&amp;" ~*")&gt;0)+(COUNTIF(G708:I725,$B749)+COUNTIF(G708:I725,$B749&amp;" ~*")&gt;0)+(COUNTIF(K708:M725,$B749)+COUNTIF(K708:M725,$B749&amp;" ~*")&gt;0)+(COUNTIF(O708:Q725,$B749)+COUNTIF(O708:Q725,$B749&amp;" ~*")&gt;0)+(COUNTIF(S708:U725,$B749)+COUNTIF(S708:U725,$B749&amp;" ~*")&gt;0)+(COUNTIF(W708:W725,$B749)+COUNTIF(W708:W725,$B749&amp;" ~*")&gt;0)+(COUNTIF(Y708:Y725,$B749)+COUNTIF(Y708:Y725,$B749&amp;" ~*")&gt;0))</f>
        <v/>
      </c>
      <c r="AC749" s="36">
        <f>IF($B749="","",(IFERROR(INDEX(Setup!$G$33:$G$40,MATCH(C749,Setup!$B$33:$B$40,0)),0)=1)*(COUNTIF(C708:E725,$B749)+COUNTIF(C708:E725,$B749&amp;" ~*")&gt;0)+(IFERROR(INDEX(Setup!$G$33:$G$40,MATCH(G749,Setup!$B$33:$B$40,0)),0)=1)*(COUNTIF(G708:I725,$B749)+COUNTIF(G708:I725,$B749&amp;" ~*")&gt;0)+(IFERROR(INDEX(Setup!$G$33:$G$40,MATCH(K749,Setup!$B$33:$B$40,0)),0)=1)*(COUNTIF(K708:M725,$B749)+COUNTIF(K708:M725,$B749&amp;" ~*")&gt;0)+(IFERROR(INDEX(Setup!$G$33:$G$40,MATCH(O749,Setup!$B$33:$B$40,0)),0)=1)*(COUNTIF(O708:Q725,$B749)+COUNTIF(O708:Q725,$B749&amp;" ~*")&gt;0)+(IFERROR(INDEX(Setup!$G$33:$G$40,MATCH(S749,Setup!$B$33:$B$40,0)),0)=1)*(COUNTIF(S708:U725,$B749)+COUNTIF(S708:U725,$B749&amp;" ~*")&gt;0)+(IFERROR(INDEX(Setup!$G$33:$G$40,MATCH(W749,Setup!$B$33:$B$40,0)),0)=1)*(COUNTIF(W708:W725,$B749)+COUNTIF(W708:W725,$B749&amp;" ~*")&gt;0)+(IFERROR(INDEX(Setup!$G$33:$G$40,MATCH(Y749,Setup!$B$33:$B$40,0)),0)=1)*(COUNTIF(Y708:Y725,$B749)+COUNTIF(Y708:Y725,$B749&amp;" ~*")&gt;0))</f>
        <v/>
      </c>
    </row>
    <row r="750" ht="15" customHeight="1">
      <c r="A750" t="n">
        <v>15</v>
      </c>
      <c r="B750" s="37">
        <f>IF(Setup!$B$29="","",Setup!$B$29)</f>
        <v/>
      </c>
      <c r="C750" s="102" t="n"/>
      <c r="D750" s="103" t="n"/>
      <c r="E750" s="103" t="n"/>
      <c r="F750" s="104" t="n"/>
      <c r="G750" s="102" t="n"/>
      <c r="H750" s="103" t="n"/>
      <c r="I750" s="103" t="n"/>
      <c r="J750" s="104" t="n"/>
      <c r="K750" s="102" t="n"/>
      <c r="L750" s="103" t="n"/>
      <c r="M750" s="103" t="n"/>
      <c r="N750" s="104" t="n"/>
      <c r="O750" s="102" t="n"/>
      <c r="P750" s="103" t="n"/>
      <c r="Q750" s="103" t="n"/>
      <c r="R750" s="104" t="n"/>
      <c r="S750" s="102" t="n"/>
      <c r="T750" s="103" t="n"/>
      <c r="U750" s="103" t="n"/>
      <c r="V750" s="104" t="n"/>
      <c r="W750" s="102" t="n"/>
      <c r="X750" s="104" t="n"/>
      <c r="Y750" s="102" t="n"/>
      <c r="Z750" s="104" t="n"/>
      <c r="AB750" s="105">
        <f>IF($B750="","",(COUNTIF(C708:E725,$B750)+COUNTIF(C708:E725,$B750&amp;" ~*")&gt;0)+(COUNTIF(G708:I725,$B750)+COUNTIF(G708:I725,$B750&amp;" ~*")&gt;0)+(COUNTIF(K708:M725,$B750)+COUNTIF(K708:M725,$B750&amp;" ~*")&gt;0)+(COUNTIF(O708:Q725,$B750)+COUNTIF(O708:Q725,$B750&amp;" ~*")&gt;0)+(COUNTIF(S708:U725,$B750)+COUNTIF(S708:U725,$B750&amp;" ~*")&gt;0)+(COUNTIF(W708:W725,$B750)+COUNTIF(W708:W725,$B750&amp;" ~*")&gt;0)+(COUNTIF(Y708:Y725,$B750)+COUNTIF(Y708:Y725,$B750&amp;" ~*")&gt;0))</f>
        <v/>
      </c>
      <c r="AC750" s="38">
        <f>IF($B750="","",(IFERROR(INDEX(Setup!$G$33:$G$40,MATCH(C750,Setup!$B$33:$B$40,0)),0)=1)*(COUNTIF(C708:E725,$B750)+COUNTIF(C708:E725,$B750&amp;" ~*")&gt;0)+(IFERROR(INDEX(Setup!$G$33:$G$40,MATCH(G750,Setup!$B$33:$B$40,0)),0)=1)*(COUNTIF(G708:I725,$B750)+COUNTIF(G708:I725,$B750&amp;" ~*")&gt;0)+(IFERROR(INDEX(Setup!$G$33:$G$40,MATCH(K750,Setup!$B$33:$B$40,0)),0)=1)*(COUNTIF(K708:M725,$B750)+COUNTIF(K708:M725,$B750&amp;" ~*")&gt;0)+(IFERROR(INDEX(Setup!$G$33:$G$40,MATCH(O750,Setup!$B$33:$B$40,0)),0)=1)*(COUNTIF(O708:Q725,$B750)+COUNTIF(O708:Q725,$B750&amp;" ~*")&gt;0)+(IFERROR(INDEX(Setup!$G$33:$G$40,MATCH(S750,Setup!$B$33:$B$40,0)),0)=1)*(COUNTIF(S708:U725,$B750)+COUNTIF(S708:U725,$B750&amp;" ~*")&gt;0)+(IFERROR(INDEX(Setup!$G$33:$G$40,MATCH(W750,Setup!$B$33:$B$40,0)),0)=1)*(COUNTIF(W708:W725,$B750)+COUNTIF(W708:W725,$B750&amp;" ~*")&gt;0)+(IFERROR(INDEX(Setup!$G$33:$G$40,MATCH(Y750,Setup!$B$33:$B$40,0)),0)=1)*(COUNTIF(Y708:Y725,$B750)+COUNTIF(Y708:Y725,$B750&amp;" ~*")&gt;0))</f>
        <v/>
      </c>
    </row>
    <row r="751" ht="16" customHeight="1">
      <c r="A751" t="n">
        <v>15</v>
      </c>
      <c r="B751" s="106" t="inlineStr">
        <is>
          <t>Available people</t>
        </is>
      </c>
      <c r="C751" s="107">
        <f>COUNTIFS(Setup!$E$6:$E$29,"Y",Setup!$B$6:$B$29,"?*")-SUMPRODUCT(COUNTIF(C727:C750,Setup!$F$33:$F$40))</f>
        <v/>
      </c>
      <c r="D751" s="107" t="n"/>
      <c r="E751" s="107" t="n"/>
      <c r="F751" s="107" t="n"/>
      <c r="G751" s="107">
        <f>COUNTIFS(Setup!$E$6:$E$29,"Y",Setup!$B$6:$B$29,"?*")-SUMPRODUCT(COUNTIF(G727:G750,Setup!$F$33:$F$40))</f>
        <v/>
      </c>
      <c r="H751" s="107" t="n"/>
      <c r="I751" s="107" t="n"/>
      <c r="J751" s="107" t="n"/>
      <c r="K751" s="107">
        <f>COUNTIFS(Setup!$E$6:$E$29,"Y",Setup!$B$6:$B$29,"?*")-SUMPRODUCT(COUNTIF(K727:K750,Setup!$F$33:$F$40))</f>
        <v/>
      </c>
      <c r="L751" s="107" t="n"/>
      <c r="M751" s="107" t="n"/>
      <c r="N751" s="107" t="n"/>
      <c r="O751" s="107">
        <f>COUNTIFS(Setup!$E$6:$E$29,"Y",Setup!$B$6:$B$29,"?*")-SUMPRODUCT(COUNTIF(O727:O750,Setup!$F$33:$F$40))</f>
        <v/>
      </c>
      <c r="P751" s="107" t="n"/>
      <c r="Q751" s="107" t="n"/>
      <c r="R751" s="107" t="n"/>
      <c r="S751" s="107">
        <f>COUNTIFS(Setup!$E$6:$E$29,"Y",Setup!$B$6:$B$29,"?*")-SUMPRODUCT(COUNTIF(S727:S750,Setup!$F$33:$F$40))</f>
        <v/>
      </c>
      <c r="T751" s="107" t="n"/>
      <c r="U751" s="107" t="n"/>
      <c r="V751" s="107" t="n"/>
      <c r="W751" s="107">
        <f>COUNTIFS(Setup!$E$6:$E$29,"Y",Setup!$B$6:$B$29,"?*")-SUMPRODUCT(COUNTIF(W727:W750,Setup!$F$33:$F$40))</f>
        <v/>
      </c>
      <c r="X751" s="107" t="n"/>
      <c r="Y751" s="107">
        <f>COUNTIFS(Setup!$E$6:$E$29,"Y",Setup!$B$6:$B$29,"?*")-SUMPRODUCT(COUNTIF(Y727:Y750,Setup!$F$33:$F$40))</f>
        <v/>
      </c>
      <c r="Z751" s="107" t="n"/>
      <c r="AB751" s="108">
        <f>SUM(AB727:AB750)</f>
        <v/>
      </c>
      <c r="AC751" s="109">
        <f>SUM(AC727:AC750)</f>
        <v/>
      </c>
    </row>
    <row r="752" ht="30" customHeight="1">
      <c r="A752" t="n">
        <v>15</v>
      </c>
      <c r="B752" s="110" t="inlineStr">
        <is>
          <t>Week notes</t>
        </is>
      </c>
      <c r="C752" s="111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112" t="n"/>
      <c r="R752" s="112" t="n"/>
      <c r="S752" s="112" t="n"/>
      <c r="T752" s="112" t="n"/>
      <c r="U752" s="112" t="n"/>
      <c r="V752" s="112" t="n"/>
      <c r="W752" s="112" t="n"/>
      <c r="X752" s="112" t="n"/>
      <c r="Y752" s="112" t="n"/>
      <c r="Z752" s="113" t="n"/>
    </row>
    <row r="753" ht="8" customHeight="1">
      <c r="A753" t="n">
        <v>15</v>
      </c>
    </row>
    <row r="754" ht="8" customHeight="1">
      <c r="A754" t="n">
        <v>15</v>
      </c>
    </row>
    <row r="755" ht="24" customHeight="1">
      <c r="A755" t="n">
        <v>16</v>
      </c>
      <c r="B755" s="73">
        <f>"WEEK 16     "&amp;TEXT(C756,"ddd d mmm")&amp;"  –  "&amp;TEXT(C756+6,"ddd d mmm yyyy")</f>
        <v/>
      </c>
      <c r="S755" s="74">
        <f>IF(TODAY()&lt;C756,"FUTURE",IF(TODAY()&gt;C756+6,"PAST","THIS WEEK"))</f>
        <v/>
      </c>
      <c r="W755" s="75">
        <f>IF(AND(Engine!$B$8=$AC$3,Engine!$B$9=$A755),"◀ ACTIVE WEEK","")</f>
        <v/>
      </c>
      <c r="AA755" s="76" t="n"/>
      <c r="AB755" s="77" t="inlineStr">
        <is>
          <t>◀ Prev</t>
        </is>
      </c>
      <c r="AC755" s="77" t="inlineStr">
        <is>
          <t>Next ▶</t>
        </is>
      </c>
    </row>
    <row r="756" ht="18" customHeight="1">
      <c r="A756" t="n">
        <v>16</v>
      </c>
      <c r="B756" s="78" t="inlineStr">
        <is>
          <t>DUTY</t>
        </is>
      </c>
      <c r="C756" s="79">
        <f>$AC$2+7*($A756-1)</f>
        <v/>
      </c>
      <c r="D756" s="80" t="n"/>
      <c r="E756" s="80" t="n"/>
      <c r="F756" s="81" t="n"/>
      <c r="G756" s="79">
        <f>C756+1</f>
        <v/>
      </c>
      <c r="H756" s="80" t="n"/>
      <c r="I756" s="80" t="n"/>
      <c r="J756" s="81" t="n"/>
      <c r="K756" s="79">
        <f>C756+2</f>
        <v/>
      </c>
      <c r="L756" s="80" t="n"/>
      <c r="M756" s="80" t="n"/>
      <c r="N756" s="81" t="n"/>
      <c r="O756" s="79">
        <f>C756+3</f>
        <v/>
      </c>
      <c r="P756" s="80" t="n"/>
      <c r="Q756" s="80" t="n"/>
      <c r="R756" s="81" t="n"/>
      <c r="S756" s="79">
        <f>C756+4</f>
        <v/>
      </c>
      <c r="T756" s="80" t="n"/>
      <c r="U756" s="80" t="n"/>
      <c r="V756" s="81" t="n"/>
      <c r="W756" s="82">
        <f>C756+5</f>
        <v/>
      </c>
      <c r="X756" s="83" t="n"/>
      <c r="Y756" s="82">
        <f>C756+6</f>
        <v/>
      </c>
      <c r="Z756" s="83" t="n"/>
      <c r="AB756" s="72" t="inlineStr">
        <is>
          <t>Gaps</t>
        </is>
      </c>
      <c r="AC756" s="72" t="inlineStr">
        <is>
          <t>Cover</t>
        </is>
      </c>
    </row>
    <row r="757" ht="14" customHeight="1">
      <c r="A757" t="n">
        <v>16</v>
      </c>
      <c r="B757" s="84" t="inlineStr">
        <is>
          <t>(from Setup)</t>
        </is>
      </c>
      <c r="C757" s="85" t="inlineStr">
        <is>
          <t>1</t>
        </is>
      </c>
      <c r="D757" s="85" t="inlineStr">
        <is>
          <t>2</t>
        </is>
      </c>
      <c r="E757" s="85" t="inlineStr">
        <is>
          <t>3</t>
        </is>
      </c>
      <c r="F757" s="85" t="inlineStr">
        <is>
          <t>Notes</t>
        </is>
      </c>
      <c r="G757" s="85" t="inlineStr">
        <is>
          <t>1</t>
        </is>
      </c>
      <c r="H757" s="85" t="inlineStr">
        <is>
          <t>2</t>
        </is>
      </c>
      <c r="I757" s="85" t="inlineStr">
        <is>
          <t>3</t>
        </is>
      </c>
      <c r="J757" s="85" t="inlineStr">
        <is>
          <t>Notes</t>
        </is>
      </c>
      <c r="K757" s="85" t="inlineStr">
        <is>
          <t>1</t>
        </is>
      </c>
      <c r="L757" s="85" t="inlineStr">
        <is>
          <t>2</t>
        </is>
      </c>
      <c r="M757" s="85" t="inlineStr">
        <is>
          <t>3</t>
        </is>
      </c>
      <c r="N757" s="85" t="inlineStr">
        <is>
          <t>Notes</t>
        </is>
      </c>
      <c r="O757" s="85" t="inlineStr">
        <is>
          <t>1</t>
        </is>
      </c>
      <c r="P757" s="85" t="inlineStr">
        <is>
          <t>2</t>
        </is>
      </c>
      <c r="Q757" s="85" t="inlineStr">
        <is>
          <t>3</t>
        </is>
      </c>
      <c r="R757" s="85" t="inlineStr">
        <is>
          <t>Notes</t>
        </is>
      </c>
      <c r="S757" s="85" t="inlineStr">
        <is>
          <t>1</t>
        </is>
      </c>
      <c r="T757" s="85" t="inlineStr">
        <is>
          <t>2</t>
        </is>
      </c>
      <c r="U757" s="85" t="inlineStr">
        <is>
          <t>3</t>
        </is>
      </c>
      <c r="V757" s="85" t="inlineStr">
        <is>
          <t>Notes</t>
        </is>
      </c>
      <c r="W757" s="85" t="inlineStr">
        <is>
          <t>Cover</t>
        </is>
      </c>
      <c r="X757" s="85" t="inlineStr">
        <is>
          <t>Notes</t>
        </is>
      </c>
      <c r="Y757" s="85" t="inlineStr">
        <is>
          <t>Cover</t>
        </is>
      </c>
      <c r="Z757" s="85" t="inlineStr">
        <is>
          <t>Notes</t>
        </is>
      </c>
      <c r="AB757" s="86" t="inlineStr">
        <is>
          <t>weekdays short</t>
        </is>
      </c>
      <c r="AC757" s="87" t="inlineStr"/>
    </row>
    <row r="758" ht="17" customHeight="1">
      <c r="A758" t="n">
        <v>16</v>
      </c>
      <c r="B758" s="24">
        <f>IF(Setup!$K$6="","",Setup!$K$6)</f>
        <v/>
      </c>
      <c r="C758" s="88" t="n"/>
      <c r="D758" s="88" t="n"/>
      <c r="E758" s="88" t="n"/>
      <c r="F758" s="89" t="n"/>
      <c r="G758" s="88" t="n"/>
      <c r="H758" s="88" t="n"/>
      <c r="I758" s="88" t="n"/>
      <c r="J758" s="89" t="n"/>
      <c r="K758" s="88" t="n"/>
      <c r="L758" s="88" t="n"/>
      <c r="M758" s="88" t="n"/>
      <c r="N758" s="89" t="n"/>
      <c r="O758" s="88" t="n"/>
      <c r="P758" s="88" t="n"/>
      <c r="Q758" s="88" t="n"/>
      <c r="R758" s="89" t="n"/>
      <c r="S758" s="88" t="n"/>
      <c r="T758" s="88" t="n"/>
      <c r="U758" s="88" t="n"/>
      <c r="V758" s="89" t="n"/>
      <c r="W758" s="88" t="n"/>
      <c r="X758" s="89" t="n"/>
      <c r="Y758" s="88" t="n"/>
      <c r="Z758" s="89" t="n"/>
      <c r="AB758" s="25">
        <f>IF($B758="","",(COUNTIF(C758:E758,"?*")&lt;N(INDEX(Setup!$L$6:$L$23,1)))+(COUNTIF(G758:I758,"?*")&lt;N(INDEX(Setup!$L$6:$L$23,1)))+(COUNTIF(K758:M758,"?*")&lt;N(INDEX(Setup!$L$6:$L$23,1)))+(COUNTIF(O758:Q758,"?*")&lt;N(INDEX(Setup!$L$6:$L$23,1)))+(COUNTIF(S758:U758,"?*")&lt;N(INDEX(Setup!$L$6:$L$23,1)))+((W758="")*(INDEX(Setup!$M$6:$M$23,1)="Y"))+((Y758="")*(INDEX(Setup!$M$6:$M$23,1)="Y")))</f>
        <v/>
      </c>
      <c r="AC758" s="90">
        <f>IF($B758="","",IF(AB758=0,"✓ covered","⚠ "&amp;AB758&amp;IF(AB758=1," gap"," gaps")))</f>
        <v/>
      </c>
    </row>
    <row r="759" ht="17" customHeight="1">
      <c r="A759" t="n">
        <v>16</v>
      </c>
      <c r="B759" s="29">
        <f>IF(Setup!$K$7="","",Setup!$K$7)</f>
        <v/>
      </c>
      <c r="C759" s="88" t="n"/>
      <c r="D759" s="88" t="n"/>
      <c r="E759" s="88" t="n"/>
      <c r="F759" s="89" t="n"/>
      <c r="G759" s="88" t="n"/>
      <c r="H759" s="88" t="n"/>
      <c r="I759" s="88" t="n"/>
      <c r="J759" s="89" t="n"/>
      <c r="K759" s="88" t="n"/>
      <c r="L759" s="88" t="n"/>
      <c r="M759" s="88" t="n"/>
      <c r="N759" s="89" t="n"/>
      <c r="O759" s="88" t="n"/>
      <c r="P759" s="88" t="n"/>
      <c r="Q759" s="88" t="n"/>
      <c r="R759" s="89" t="n"/>
      <c r="S759" s="88" t="n"/>
      <c r="T759" s="88" t="n"/>
      <c r="U759" s="88" t="n"/>
      <c r="V759" s="89" t="n"/>
      <c r="W759" s="88" t="n"/>
      <c r="X759" s="89" t="n"/>
      <c r="Y759" s="88" t="n"/>
      <c r="Z759" s="89" t="n"/>
      <c r="AB759" s="30">
        <f>IF($B759="","",(COUNTIF(C759:E759,"?*")&lt;N(INDEX(Setup!$L$6:$L$23,2)))+(COUNTIF(G759:I759,"?*")&lt;N(INDEX(Setup!$L$6:$L$23,2)))+(COUNTIF(K759:M759,"?*")&lt;N(INDEX(Setup!$L$6:$L$23,2)))+(COUNTIF(O759:Q759,"?*")&lt;N(INDEX(Setup!$L$6:$L$23,2)))+(COUNTIF(S759:U759,"?*")&lt;N(INDEX(Setup!$L$6:$L$23,2)))+((W759="")*(INDEX(Setup!$M$6:$M$23,2)="Y"))+((Y759="")*(INDEX(Setup!$M$6:$M$23,2)="Y")))</f>
        <v/>
      </c>
      <c r="AC759" s="91">
        <f>IF($B759="","",IF(AB759=0,"✓ covered","⚠ "&amp;AB759&amp;IF(AB759=1," gap"," gaps")))</f>
        <v/>
      </c>
    </row>
    <row r="760" ht="17" customHeight="1">
      <c r="A760" t="n">
        <v>16</v>
      </c>
      <c r="B760" s="24">
        <f>IF(Setup!$K$8="","",Setup!$K$8)</f>
        <v/>
      </c>
      <c r="C760" s="88" t="n"/>
      <c r="D760" s="88" t="n"/>
      <c r="E760" s="88" t="n"/>
      <c r="F760" s="89" t="n"/>
      <c r="G760" s="88" t="n"/>
      <c r="H760" s="88" t="n"/>
      <c r="I760" s="88" t="n"/>
      <c r="J760" s="89" t="n"/>
      <c r="K760" s="88" t="n"/>
      <c r="L760" s="88" t="n"/>
      <c r="M760" s="88" t="n"/>
      <c r="N760" s="89" t="n"/>
      <c r="O760" s="88" t="n"/>
      <c r="P760" s="88" t="n"/>
      <c r="Q760" s="88" t="n"/>
      <c r="R760" s="89" t="n"/>
      <c r="S760" s="88" t="n"/>
      <c r="T760" s="88" t="n"/>
      <c r="U760" s="88" t="n"/>
      <c r="V760" s="89" t="n"/>
      <c r="W760" s="88" t="n"/>
      <c r="X760" s="89" t="n"/>
      <c r="Y760" s="88" t="n"/>
      <c r="Z760" s="89" t="n"/>
      <c r="AB760" s="25">
        <f>IF($B760="","",(COUNTIF(C760:E760,"?*")&lt;N(INDEX(Setup!$L$6:$L$23,3)))+(COUNTIF(G760:I760,"?*")&lt;N(INDEX(Setup!$L$6:$L$23,3)))+(COUNTIF(K760:M760,"?*")&lt;N(INDEX(Setup!$L$6:$L$23,3)))+(COUNTIF(O760:Q760,"?*")&lt;N(INDEX(Setup!$L$6:$L$23,3)))+(COUNTIF(S760:U760,"?*")&lt;N(INDEX(Setup!$L$6:$L$23,3)))+((W760="")*(INDEX(Setup!$M$6:$M$23,3)="Y"))+((Y760="")*(INDEX(Setup!$M$6:$M$23,3)="Y")))</f>
        <v/>
      </c>
      <c r="AC760" s="90">
        <f>IF($B760="","",IF(AB760=0,"✓ covered","⚠ "&amp;AB760&amp;IF(AB760=1," gap"," gaps")))</f>
        <v/>
      </c>
    </row>
    <row r="761" ht="17" customHeight="1">
      <c r="A761" t="n">
        <v>16</v>
      </c>
      <c r="B761" s="29">
        <f>IF(Setup!$K$9="","",Setup!$K$9)</f>
        <v/>
      </c>
      <c r="C761" s="88" t="n"/>
      <c r="D761" s="88" t="n"/>
      <c r="E761" s="88" t="n"/>
      <c r="F761" s="89" t="n"/>
      <c r="G761" s="88" t="n"/>
      <c r="H761" s="88" t="n"/>
      <c r="I761" s="88" t="n"/>
      <c r="J761" s="89" t="n"/>
      <c r="K761" s="88" t="n"/>
      <c r="L761" s="88" t="n"/>
      <c r="M761" s="88" t="n"/>
      <c r="N761" s="89" t="n"/>
      <c r="O761" s="88" t="n"/>
      <c r="P761" s="88" t="n"/>
      <c r="Q761" s="88" t="n"/>
      <c r="R761" s="89" t="n"/>
      <c r="S761" s="88" t="n"/>
      <c r="T761" s="88" t="n"/>
      <c r="U761" s="88" t="n"/>
      <c r="V761" s="89" t="n"/>
      <c r="W761" s="88" t="n"/>
      <c r="X761" s="89" t="n"/>
      <c r="Y761" s="88" t="n"/>
      <c r="Z761" s="89" t="n"/>
      <c r="AB761" s="30">
        <f>IF($B761="","",(COUNTIF(C761:E761,"?*")&lt;N(INDEX(Setup!$L$6:$L$23,4)))+(COUNTIF(G761:I761,"?*")&lt;N(INDEX(Setup!$L$6:$L$23,4)))+(COUNTIF(K761:M761,"?*")&lt;N(INDEX(Setup!$L$6:$L$23,4)))+(COUNTIF(O761:Q761,"?*")&lt;N(INDEX(Setup!$L$6:$L$23,4)))+(COUNTIF(S761:U761,"?*")&lt;N(INDEX(Setup!$L$6:$L$23,4)))+((W761="")*(INDEX(Setup!$M$6:$M$23,4)="Y"))+((Y761="")*(INDEX(Setup!$M$6:$M$23,4)="Y")))</f>
        <v/>
      </c>
      <c r="AC761" s="91">
        <f>IF($B761="","",IF(AB761=0,"✓ covered","⚠ "&amp;AB761&amp;IF(AB761=1," gap"," gaps")))</f>
        <v/>
      </c>
    </row>
    <row r="762" ht="17" customHeight="1">
      <c r="A762" t="n">
        <v>16</v>
      </c>
      <c r="B762" s="24">
        <f>IF(Setup!$K$10="","",Setup!$K$10)</f>
        <v/>
      </c>
      <c r="C762" s="88" t="n"/>
      <c r="D762" s="88" t="n"/>
      <c r="E762" s="88" t="n"/>
      <c r="F762" s="89" t="n"/>
      <c r="G762" s="88" t="n"/>
      <c r="H762" s="88" t="n"/>
      <c r="I762" s="88" t="n"/>
      <c r="J762" s="89" t="n"/>
      <c r="K762" s="88" t="n"/>
      <c r="L762" s="88" t="n"/>
      <c r="M762" s="88" t="n"/>
      <c r="N762" s="89" t="n"/>
      <c r="O762" s="88" t="n"/>
      <c r="P762" s="88" t="n"/>
      <c r="Q762" s="88" t="n"/>
      <c r="R762" s="89" t="n"/>
      <c r="S762" s="88" t="n"/>
      <c r="T762" s="88" t="n"/>
      <c r="U762" s="88" t="n"/>
      <c r="V762" s="89" t="n"/>
      <c r="W762" s="88" t="n"/>
      <c r="X762" s="89" t="n"/>
      <c r="Y762" s="88" t="n"/>
      <c r="Z762" s="89" t="n"/>
      <c r="AB762" s="25">
        <f>IF($B762="","",(COUNTIF(C762:E762,"?*")&lt;N(INDEX(Setup!$L$6:$L$23,5)))+(COUNTIF(G762:I762,"?*")&lt;N(INDEX(Setup!$L$6:$L$23,5)))+(COUNTIF(K762:M762,"?*")&lt;N(INDEX(Setup!$L$6:$L$23,5)))+(COUNTIF(O762:Q762,"?*")&lt;N(INDEX(Setup!$L$6:$L$23,5)))+(COUNTIF(S762:U762,"?*")&lt;N(INDEX(Setup!$L$6:$L$23,5)))+((W762="")*(INDEX(Setup!$M$6:$M$23,5)="Y"))+((Y762="")*(INDEX(Setup!$M$6:$M$23,5)="Y")))</f>
        <v/>
      </c>
      <c r="AC762" s="90">
        <f>IF($B762="","",IF(AB762=0,"✓ covered","⚠ "&amp;AB762&amp;IF(AB762=1," gap"," gaps")))</f>
        <v/>
      </c>
    </row>
    <row r="763" ht="17" customHeight="1">
      <c r="A763" t="n">
        <v>16</v>
      </c>
      <c r="B763" s="29">
        <f>IF(Setup!$K$11="","",Setup!$K$11)</f>
        <v/>
      </c>
      <c r="C763" s="88" t="n"/>
      <c r="D763" s="88" t="n"/>
      <c r="E763" s="88" t="n"/>
      <c r="F763" s="89" t="n"/>
      <c r="G763" s="88" t="n"/>
      <c r="H763" s="88" t="n"/>
      <c r="I763" s="88" t="n"/>
      <c r="J763" s="89" t="n"/>
      <c r="K763" s="88" t="n"/>
      <c r="L763" s="88" t="n"/>
      <c r="M763" s="88" t="n"/>
      <c r="N763" s="89" t="n"/>
      <c r="O763" s="88" t="n"/>
      <c r="P763" s="88" t="n"/>
      <c r="Q763" s="88" t="n"/>
      <c r="R763" s="89" t="n"/>
      <c r="S763" s="88" t="n"/>
      <c r="T763" s="88" t="n"/>
      <c r="U763" s="88" t="n"/>
      <c r="V763" s="89" t="n"/>
      <c r="W763" s="88" t="n"/>
      <c r="X763" s="89" t="n"/>
      <c r="Y763" s="88" t="n"/>
      <c r="Z763" s="89" t="n"/>
      <c r="AB763" s="30">
        <f>IF($B763="","",(COUNTIF(C763:E763,"?*")&lt;N(INDEX(Setup!$L$6:$L$23,6)))+(COUNTIF(G763:I763,"?*")&lt;N(INDEX(Setup!$L$6:$L$23,6)))+(COUNTIF(K763:M763,"?*")&lt;N(INDEX(Setup!$L$6:$L$23,6)))+(COUNTIF(O763:Q763,"?*")&lt;N(INDEX(Setup!$L$6:$L$23,6)))+(COUNTIF(S763:U763,"?*")&lt;N(INDEX(Setup!$L$6:$L$23,6)))+((W763="")*(INDEX(Setup!$M$6:$M$23,6)="Y"))+((Y763="")*(INDEX(Setup!$M$6:$M$23,6)="Y")))</f>
        <v/>
      </c>
      <c r="AC763" s="91">
        <f>IF($B763="","",IF(AB763=0,"✓ covered","⚠ "&amp;AB763&amp;IF(AB763=1," gap"," gaps")))</f>
        <v/>
      </c>
    </row>
    <row r="764" ht="17" customHeight="1">
      <c r="A764" t="n">
        <v>16</v>
      </c>
      <c r="B764" s="24">
        <f>IF(Setup!$K$12="","",Setup!$K$12)</f>
        <v/>
      </c>
      <c r="C764" s="88" t="n"/>
      <c r="D764" s="88" t="n"/>
      <c r="E764" s="88" t="n"/>
      <c r="F764" s="89" t="n"/>
      <c r="G764" s="88" t="n"/>
      <c r="H764" s="88" t="n"/>
      <c r="I764" s="88" t="n"/>
      <c r="J764" s="89" t="n"/>
      <c r="K764" s="88" t="n"/>
      <c r="L764" s="88" t="n"/>
      <c r="M764" s="88" t="n"/>
      <c r="N764" s="89" t="n"/>
      <c r="O764" s="88" t="n"/>
      <c r="P764" s="88" t="n"/>
      <c r="Q764" s="88" t="n"/>
      <c r="R764" s="89" t="n"/>
      <c r="S764" s="88" t="n"/>
      <c r="T764" s="88" t="n"/>
      <c r="U764" s="88" t="n"/>
      <c r="V764" s="89" t="n"/>
      <c r="W764" s="88" t="n"/>
      <c r="X764" s="89" t="n"/>
      <c r="Y764" s="88" t="n"/>
      <c r="Z764" s="89" t="n"/>
      <c r="AB764" s="25">
        <f>IF($B764="","",(COUNTIF(C764:E764,"?*")&lt;N(INDEX(Setup!$L$6:$L$23,7)))+(COUNTIF(G764:I764,"?*")&lt;N(INDEX(Setup!$L$6:$L$23,7)))+(COUNTIF(K764:M764,"?*")&lt;N(INDEX(Setup!$L$6:$L$23,7)))+(COUNTIF(O764:Q764,"?*")&lt;N(INDEX(Setup!$L$6:$L$23,7)))+(COUNTIF(S764:U764,"?*")&lt;N(INDEX(Setup!$L$6:$L$23,7)))+((W764="")*(INDEX(Setup!$M$6:$M$23,7)="Y"))+((Y764="")*(INDEX(Setup!$M$6:$M$23,7)="Y")))</f>
        <v/>
      </c>
      <c r="AC764" s="90">
        <f>IF($B764="","",IF(AB764=0,"✓ covered","⚠ "&amp;AB764&amp;IF(AB764=1," gap"," gaps")))</f>
        <v/>
      </c>
    </row>
    <row r="765" ht="17" customHeight="1">
      <c r="A765" t="n">
        <v>16</v>
      </c>
      <c r="B765" s="29">
        <f>IF(Setup!$K$13="","",Setup!$K$13)</f>
        <v/>
      </c>
      <c r="C765" s="88" t="n"/>
      <c r="D765" s="88" t="n"/>
      <c r="E765" s="88" t="n"/>
      <c r="F765" s="89" t="n"/>
      <c r="G765" s="88" t="n"/>
      <c r="H765" s="88" t="n"/>
      <c r="I765" s="88" t="n"/>
      <c r="J765" s="89" t="n"/>
      <c r="K765" s="88" t="n"/>
      <c r="L765" s="88" t="n"/>
      <c r="M765" s="88" t="n"/>
      <c r="N765" s="89" t="n"/>
      <c r="O765" s="88" t="n"/>
      <c r="P765" s="88" t="n"/>
      <c r="Q765" s="88" t="n"/>
      <c r="R765" s="89" t="n"/>
      <c r="S765" s="88" t="n"/>
      <c r="T765" s="88" t="n"/>
      <c r="U765" s="88" t="n"/>
      <c r="V765" s="89" t="n"/>
      <c r="W765" s="88" t="n"/>
      <c r="X765" s="89" t="n"/>
      <c r="Y765" s="88" t="n"/>
      <c r="Z765" s="89" t="n"/>
      <c r="AB765" s="30">
        <f>IF($B765="","",(COUNTIF(C765:E765,"?*")&lt;N(INDEX(Setup!$L$6:$L$23,8)))+(COUNTIF(G765:I765,"?*")&lt;N(INDEX(Setup!$L$6:$L$23,8)))+(COUNTIF(K765:M765,"?*")&lt;N(INDEX(Setup!$L$6:$L$23,8)))+(COUNTIF(O765:Q765,"?*")&lt;N(INDEX(Setup!$L$6:$L$23,8)))+(COUNTIF(S765:U765,"?*")&lt;N(INDEX(Setup!$L$6:$L$23,8)))+((W765="")*(INDEX(Setup!$M$6:$M$23,8)="Y"))+((Y765="")*(INDEX(Setup!$M$6:$M$23,8)="Y")))</f>
        <v/>
      </c>
      <c r="AC765" s="91">
        <f>IF($B765="","",IF(AB765=0,"✓ covered","⚠ "&amp;AB765&amp;IF(AB765=1," gap"," gaps")))</f>
        <v/>
      </c>
    </row>
    <row r="766" ht="17" customHeight="1">
      <c r="A766" t="n">
        <v>16</v>
      </c>
      <c r="B766" s="24">
        <f>IF(Setup!$K$14="","",Setup!$K$14)</f>
        <v/>
      </c>
      <c r="C766" s="88" t="n"/>
      <c r="D766" s="88" t="n"/>
      <c r="E766" s="88" t="n"/>
      <c r="F766" s="89" t="n"/>
      <c r="G766" s="88" t="n"/>
      <c r="H766" s="88" t="n"/>
      <c r="I766" s="88" t="n"/>
      <c r="J766" s="89" t="n"/>
      <c r="K766" s="88" t="n"/>
      <c r="L766" s="88" t="n"/>
      <c r="M766" s="88" t="n"/>
      <c r="N766" s="89" t="n"/>
      <c r="O766" s="88" t="n"/>
      <c r="P766" s="88" t="n"/>
      <c r="Q766" s="88" t="n"/>
      <c r="R766" s="89" t="n"/>
      <c r="S766" s="88" t="n"/>
      <c r="T766" s="88" t="n"/>
      <c r="U766" s="88" t="n"/>
      <c r="V766" s="89" t="n"/>
      <c r="W766" s="88" t="n"/>
      <c r="X766" s="89" t="n"/>
      <c r="Y766" s="88" t="n"/>
      <c r="Z766" s="89" t="n"/>
      <c r="AB766" s="25">
        <f>IF($B766="","",(COUNTIF(C766:E766,"?*")&lt;N(INDEX(Setup!$L$6:$L$23,9)))+(COUNTIF(G766:I766,"?*")&lt;N(INDEX(Setup!$L$6:$L$23,9)))+(COUNTIF(K766:M766,"?*")&lt;N(INDEX(Setup!$L$6:$L$23,9)))+(COUNTIF(O766:Q766,"?*")&lt;N(INDEX(Setup!$L$6:$L$23,9)))+(COUNTIF(S766:U766,"?*")&lt;N(INDEX(Setup!$L$6:$L$23,9)))+((W766="")*(INDEX(Setup!$M$6:$M$23,9)="Y"))+((Y766="")*(INDEX(Setup!$M$6:$M$23,9)="Y")))</f>
        <v/>
      </c>
      <c r="AC766" s="90">
        <f>IF($B766="","",IF(AB766=0,"✓ covered","⚠ "&amp;AB766&amp;IF(AB766=1," gap"," gaps")))</f>
        <v/>
      </c>
    </row>
    <row r="767" ht="17" customHeight="1">
      <c r="A767" t="n">
        <v>16</v>
      </c>
      <c r="B767" s="29">
        <f>IF(Setup!$K$15="","",Setup!$K$15)</f>
        <v/>
      </c>
      <c r="C767" s="88" t="n"/>
      <c r="D767" s="88" t="n"/>
      <c r="E767" s="88" t="n"/>
      <c r="F767" s="89" t="n"/>
      <c r="G767" s="88" t="n"/>
      <c r="H767" s="88" t="n"/>
      <c r="I767" s="88" t="n"/>
      <c r="J767" s="89" t="n"/>
      <c r="K767" s="88" t="n"/>
      <c r="L767" s="88" t="n"/>
      <c r="M767" s="88" t="n"/>
      <c r="N767" s="89" t="n"/>
      <c r="O767" s="88" t="n"/>
      <c r="P767" s="88" t="n"/>
      <c r="Q767" s="88" t="n"/>
      <c r="R767" s="89" t="n"/>
      <c r="S767" s="88" t="n"/>
      <c r="T767" s="88" t="n"/>
      <c r="U767" s="88" t="n"/>
      <c r="V767" s="89" t="n"/>
      <c r="W767" s="88" t="n"/>
      <c r="X767" s="89" t="n"/>
      <c r="Y767" s="88" t="n"/>
      <c r="Z767" s="89" t="n"/>
      <c r="AB767" s="30">
        <f>IF($B767="","",(COUNTIF(C767:E767,"?*")&lt;N(INDEX(Setup!$L$6:$L$23,10)))+(COUNTIF(G767:I767,"?*")&lt;N(INDEX(Setup!$L$6:$L$23,10)))+(COUNTIF(K767:M767,"?*")&lt;N(INDEX(Setup!$L$6:$L$23,10)))+(COUNTIF(O767:Q767,"?*")&lt;N(INDEX(Setup!$L$6:$L$23,10)))+(COUNTIF(S767:U767,"?*")&lt;N(INDEX(Setup!$L$6:$L$23,10)))+((W767="")*(INDEX(Setup!$M$6:$M$23,10)="Y"))+((Y767="")*(INDEX(Setup!$M$6:$M$23,10)="Y")))</f>
        <v/>
      </c>
      <c r="AC767" s="91">
        <f>IF($B767="","",IF(AB767=0,"✓ covered","⚠ "&amp;AB767&amp;IF(AB767=1," gap"," gaps")))</f>
        <v/>
      </c>
    </row>
    <row r="768" ht="17" customHeight="1">
      <c r="A768" t="n">
        <v>16</v>
      </c>
      <c r="B768" s="24">
        <f>IF(Setup!$K$16="","",Setup!$K$16)</f>
        <v/>
      </c>
      <c r="C768" s="88" t="n"/>
      <c r="D768" s="88" t="n"/>
      <c r="E768" s="88" t="n"/>
      <c r="F768" s="89" t="n"/>
      <c r="G768" s="88" t="n"/>
      <c r="H768" s="88" t="n"/>
      <c r="I768" s="88" t="n"/>
      <c r="J768" s="89" t="n"/>
      <c r="K768" s="88" t="n"/>
      <c r="L768" s="88" t="n"/>
      <c r="M768" s="88" t="n"/>
      <c r="N768" s="89" t="n"/>
      <c r="O768" s="88" t="n"/>
      <c r="P768" s="88" t="n"/>
      <c r="Q768" s="88" t="n"/>
      <c r="R768" s="89" t="n"/>
      <c r="S768" s="88" t="n"/>
      <c r="T768" s="88" t="n"/>
      <c r="U768" s="88" t="n"/>
      <c r="V768" s="89" t="n"/>
      <c r="W768" s="88" t="n"/>
      <c r="X768" s="89" t="n"/>
      <c r="Y768" s="88" t="n"/>
      <c r="Z768" s="89" t="n"/>
      <c r="AB768" s="25">
        <f>IF($B768="","",(COUNTIF(C768:E768,"?*")&lt;N(INDEX(Setup!$L$6:$L$23,11)))+(COUNTIF(G768:I768,"?*")&lt;N(INDEX(Setup!$L$6:$L$23,11)))+(COUNTIF(K768:M768,"?*")&lt;N(INDEX(Setup!$L$6:$L$23,11)))+(COUNTIF(O768:Q768,"?*")&lt;N(INDEX(Setup!$L$6:$L$23,11)))+(COUNTIF(S768:U768,"?*")&lt;N(INDEX(Setup!$L$6:$L$23,11)))+((W768="")*(INDEX(Setup!$M$6:$M$23,11)="Y"))+((Y768="")*(INDEX(Setup!$M$6:$M$23,11)="Y")))</f>
        <v/>
      </c>
      <c r="AC768" s="90">
        <f>IF($B768="","",IF(AB768=0,"✓ covered","⚠ "&amp;AB768&amp;IF(AB768=1," gap"," gaps")))</f>
        <v/>
      </c>
    </row>
    <row r="769" ht="17" customHeight="1">
      <c r="A769" t="n">
        <v>16</v>
      </c>
      <c r="B769" s="29">
        <f>IF(Setup!$K$17="","",Setup!$K$17)</f>
        <v/>
      </c>
      <c r="C769" s="88" t="n"/>
      <c r="D769" s="88" t="n"/>
      <c r="E769" s="88" t="n"/>
      <c r="F769" s="89" t="n"/>
      <c r="G769" s="88" t="n"/>
      <c r="H769" s="88" t="n"/>
      <c r="I769" s="88" t="n"/>
      <c r="J769" s="89" t="n"/>
      <c r="K769" s="88" t="n"/>
      <c r="L769" s="88" t="n"/>
      <c r="M769" s="88" t="n"/>
      <c r="N769" s="89" t="n"/>
      <c r="O769" s="88" t="n"/>
      <c r="P769" s="88" t="n"/>
      <c r="Q769" s="88" t="n"/>
      <c r="R769" s="89" t="n"/>
      <c r="S769" s="88" t="n"/>
      <c r="T769" s="88" t="n"/>
      <c r="U769" s="88" t="n"/>
      <c r="V769" s="89" t="n"/>
      <c r="W769" s="88" t="n"/>
      <c r="X769" s="89" t="n"/>
      <c r="Y769" s="88" t="n"/>
      <c r="Z769" s="89" t="n"/>
      <c r="AB769" s="30">
        <f>IF($B769="","",(COUNTIF(C769:E769,"?*")&lt;N(INDEX(Setup!$L$6:$L$23,12)))+(COUNTIF(G769:I769,"?*")&lt;N(INDEX(Setup!$L$6:$L$23,12)))+(COUNTIF(K769:M769,"?*")&lt;N(INDEX(Setup!$L$6:$L$23,12)))+(COUNTIF(O769:Q769,"?*")&lt;N(INDEX(Setup!$L$6:$L$23,12)))+(COUNTIF(S769:U769,"?*")&lt;N(INDEX(Setup!$L$6:$L$23,12)))+((W769="")*(INDEX(Setup!$M$6:$M$23,12)="Y"))+((Y769="")*(INDEX(Setup!$M$6:$M$23,12)="Y")))</f>
        <v/>
      </c>
      <c r="AC769" s="91">
        <f>IF($B769="","",IF(AB769=0,"✓ covered","⚠ "&amp;AB769&amp;IF(AB769=1," gap"," gaps")))</f>
        <v/>
      </c>
    </row>
    <row r="770" ht="17" customHeight="1">
      <c r="A770" t="n">
        <v>16</v>
      </c>
      <c r="B770" s="24">
        <f>IF(Setup!$K$18="","",Setup!$K$18)</f>
        <v/>
      </c>
      <c r="C770" s="88" t="n"/>
      <c r="D770" s="88" t="n"/>
      <c r="E770" s="88" t="n"/>
      <c r="F770" s="89" t="n"/>
      <c r="G770" s="88" t="n"/>
      <c r="H770" s="88" t="n"/>
      <c r="I770" s="88" t="n"/>
      <c r="J770" s="89" t="n"/>
      <c r="K770" s="88" t="n"/>
      <c r="L770" s="88" t="n"/>
      <c r="M770" s="88" t="n"/>
      <c r="N770" s="89" t="n"/>
      <c r="O770" s="88" t="n"/>
      <c r="P770" s="88" t="n"/>
      <c r="Q770" s="88" t="n"/>
      <c r="R770" s="89" t="n"/>
      <c r="S770" s="88" t="n"/>
      <c r="T770" s="88" t="n"/>
      <c r="U770" s="88" t="n"/>
      <c r="V770" s="89" t="n"/>
      <c r="W770" s="88" t="n"/>
      <c r="X770" s="89" t="n"/>
      <c r="Y770" s="88" t="n"/>
      <c r="Z770" s="89" t="n"/>
      <c r="AB770" s="25">
        <f>IF($B770="","",(COUNTIF(C770:E770,"?*")&lt;N(INDEX(Setup!$L$6:$L$23,13)))+(COUNTIF(G770:I770,"?*")&lt;N(INDEX(Setup!$L$6:$L$23,13)))+(COUNTIF(K770:M770,"?*")&lt;N(INDEX(Setup!$L$6:$L$23,13)))+(COUNTIF(O770:Q770,"?*")&lt;N(INDEX(Setup!$L$6:$L$23,13)))+(COUNTIF(S770:U770,"?*")&lt;N(INDEX(Setup!$L$6:$L$23,13)))+((W770="")*(INDEX(Setup!$M$6:$M$23,13)="Y"))+((Y770="")*(INDEX(Setup!$M$6:$M$23,13)="Y")))</f>
        <v/>
      </c>
      <c r="AC770" s="90">
        <f>IF($B770="","",IF(AB770=0,"✓ covered","⚠ "&amp;AB770&amp;IF(AB770=1," gap"," gaps")))</f>
        <v/>
      </c>
    </row>
    <row r="771" ht="17" customHeight="1">
      <c r="A771" t="n">
        <v>16</v>
      </c>
      <c r="B771" s="29">
        <f>IF(Setup!$K$19="","",Setup!$K$19)</f>
        <v/>
      </c>
      <c r="C771" s="88" t="n"/>
      <c r="D771" s="88" t="n"/>
      <c r="E771" s="88" t="n"/>
      <c r="F771" s="89" t="n"/>
      <c r="G771" s="88" t="n"/>
      <c r="H771" s="88" t="n"/>
      <c r="I771" s="88" t="n"/>
      <c r="J771" s="89" t="n"/>
      <c r="K771" s="88" t="n"/>
      <c r="L771" s="88" t="n"/>
      <c r="M771" s="88" t="n"/>
      <c r="N771" s="89" t="n"/>
      <c r="O771" s="88" t="n"/>
      <c r="P771" s="88" t="n"/>
      <c r="Q771" s="88" t="n"/>
      <c r="R771" s="89" t="n"/>
      <c r="S771" s="88" t="n"/>
      <c r="T771" s="88" t="n"/>
      <c r="U771" s="88" t="n"/>
      <c r="V771" s="89" t="n"/>
      <c r="W771" s="88" t="n"/>
      <c r="X771" s="89" t="n"/>
      <c r="Y771" s="88" t="n"/>
      <c r="Z771" s="89" t="n"/>
      <c r="AB771" s="30">
        <f>IF($B771="","",(COUNTIF(C771:E771,"?*")&lt;N(INDEX(Setup!$L$6:$L$23,14)))+(COUNTIF(G771:I771,"?*")&lt;N(INDEX(Setup!$L$6:$L$23,14)))+(COUNTIF(K771:M771,"?*")&lt;N(INDEX(Setup!$L$6:$L$23,14)))+(COUNTIF(O771:Q771,"?*")&lt;N(INDEX(Setup!$L$6:$L$23,14)))+(COUNTIF(S771:U771,"?*")&lt;N(INDEX(Setup!$L$6:$L$23,14)))+((W771="")*(INDEX(Setup!$M$6:$M$23,14)="Y"))+((Y771="")*(INDEX(Setup!$M$6:$M$23,14)="Y")))</f>
        <v/>
      </c>
      <c r="AC771" s="91">
        <f>IF($B771="","",IF(AB771=0,"✓ covered","⚠ "&amp;AB771&amp;IF(AB771=1," gap"," gaps")))</f>
        <v/>
      </c>
    </row>
    <row r="772" ht="17" customHeight="1">
      <c r="A772" t="n">
        <v>16</v>
      </c>
      <c r="B772" s="24">
        <f>IF(Setup!$K$20="","",Setup!$K$20)</f>
        <v/>
      </c>
      <c r="C772" s="88" t="n"/>
      <c r="D772" s="88" t="n"/>
      <c r="E772" s="88" t="n"/>
      <c r="F772" s="89" t="n"/>
      <c r="G772" s="88" t="n"/>
      <c r="H772" s="88" t="n"/>
      <c r="I772" s="88" t="n"/>
      <c r="J772" s="89" t="n"/>
      <c r="K772" s="88" t="n"/>
      <c r="L772" s="88" t="n"/>
      <c r="M772" s="88" t="n"/>
      <c r="N772" s="89" t="n"/>
      <c r="O772" s="88" t="n"/>
      <c r="P772" s="88" t="n"/>
      <c r="Q772" s="88" t="n"/>
      <c r="R772" s="89" t="n"/>
      <c r="S772" s="88" t="n"/>
      <c r="T772" s="88" t="n"/>
      <c r="U772" s="88" t="n"/>
      <c r="V772" s="89" t="n"/>
      <c r="W772" s="88" t="n"/>
      <c r="X772" s="89" t="n"/>
      <c r="Y772" s="88" t="n"/>
      <c r="Z772" s="89" t="n"/>
      <c r="AB772" s="25">
        <f>IF($B772="","",(COUNTIF(C772:E772,"?*")&lt;N(INDEX(Setup!$L$6:$L$23,15)))+(COUNTIF(G772:I772,"?*")&lt;N(INDEX(Setup!$L$6:$L$23,15)))+(COUNTIF(K772:M772,"?*")&lt;N(INDEX(Setup!$L$6:$L$23,15)))+(COUNTIF(O772:Q772,"?*")&lt;N(INDEX(Setup!$L$6:$L$23,15)))+(COUNTIF(S772:U772,"?*")&lt;N(INDEX(Setup!$L$6:$L$23,15)))+((W772="")*(INDEX(Setup!$M$6:$M$23,15)="Y"))+((Y772="")*(INDEX(Setup!$M$6:$M$23,15)="Y")))</f>
        <v/>
      </c>
      <c r="AC772" s="90">
        <f>IF($B772="","",IF(AB772=0,"✓ covered","⚠ "&amp;AB772&amp;IF(AB772=1," gap"," gaps")))</f>
        <v/>
      </c>
    </row>
    <row r="773" ht="17" customHeight="1">
      <c r="A773" t="n">
        <v>16</v>
      </c>
      <c r="B773" s="29">
        <f>IF(Setup!$K$21="","",Setup!$K$21)</f>
        <v/>
      </c>
      <c r="C773" s="88" t="n"/>
      <c r="D773" s="88" t="n"/>
      <c r="E773" s="88" t="n"/>
      <c r="F773" s="89" t="n"/>
      <c r="G773" s="88" t="n"/>
      <c r="H773" s="88" t="n"/>
      <c r="I773" s="88" t="n"/>
      <c r="J773" s="89" t="n"/>
      <c r="K773" s="88" t="n"/>
      <c r="L773" s="88" t="n"/>
      <c r="M773" s="88" t="n"/>
      <c r="N773" s="89" t="n"/>
      <c r="O773" s="88" t="n"/>
      <c r="P773" s="88" t="n"/>
      <c r="Q773" s="88" t="n"/>
      <c r="R773" s="89" t="n"/>
      <c r="S773" s="88" t="n"/>
      <c r="T773" s="88" t="n"/>
      <c r="U773" s="88" t="n"/>
      <c r="V773" s="89" t="n"/>
      <c r="W773" s="88" t="n"/>
      <c r="X773" s="89" t="n"/>
      <c r="Y773" s="88" t="n"/>
      <c r="Z773" s="89" t="n"/>
      <c r="AB773" s="30">
        <f>IF($B773="","",(COUNTIF(C773:E773,"?*")&lt;N(INDEX(Setup!$L$6:$L$23,16)))+(COUNTIF(G773:I773,"?*")&lt;N(INDEX(Setup!$L$6:$L$23,16)))+(COUNTIF(K773:M773,"?*")&lt;N(INDEX(Setup!$L$6:$L$23,16)))+(COUNTIF(O773:Q773,"?*")&lt;N(INDEX(Setup!$L$6:$L$23,16)))+(COUNTIF(S773:U773,"?*")&lt;N(INDEX(Setup!$L$6:$L$23,16)))+((W773="")*(INDEX(Setup!$M$6:$M$23,16)="Y"))+((Y773="")*(INDEX(Setup!$M$6:$M$23,16)="Y")))</f>
        <v/>
      </c>
      <c r="AC773" s="91">
        <f>IF($B773="","",IF(AB773=0,"✓ covered","⚠ "&amp;AB773&amp;IF(AB773=1," gap"," gaps")))</f>
        <v/>
      </c>
    </row>
    <row r="774" ht="17" customHeight="1">
      <c r="A774" t="n">
        <v>16</v>
      </c>
      <c r="B774" s="24">
        <f>IF(Setup!$K$22="","",Setup!$K$22)</f>
        <v/>
      </c>
      <c r="C774" s="88" t="n"/>
      <c r="D774" s="88" t="n"/>
      <c r="E774" s="88" t="n"/>
      <c r="F774" s="89" t="n"/>
      <c r="G774" s="88" t="n"/>
      <c r="H774" s="88" t="n"/>
      <c r="I774" s="88" t="n"/>
      <c r="J774" s="89" t="n"/>
      <c r="K774" s="88" t="n"/>
      <c r="L774" s="88" t="n"/>
      <c r="M774" s="88" t="n"/>
      <c r="N774" s="89" t="n"/>
      <c r="O774" s="88" t="n"/>
      <c r="P774" s="88" t="n"/>
      <c r="Q774" s="88" t="n"/>
      <c r="R774" s="89" t="n"/>
      <c r="S774" s="88" t="n"/>
      <c r="T774" s="88" t="n"/>
      <c r="U774" s="88" t="n"/>
      <c r="V774" s="89" t="n"/>
      <c r="W774" s="88" t="n"/>
      <c r="X774" s="89" t="n"/>
      <c r="Y774" s="88" t="n"/>
      <c r="Z774" s="89" t="n"/>
      <c r="AB774" s="25">
        <f>IF($B774="","",(COUNTIF(C774:E774,"?*")&lt;N(INDEX(Setup!$L$6:$L$23,17)))+(COUNTIF(G774:I774,"?*")&lt;N(INDEX(Setup!$L$6:$L$23,17)))+(COUNTIF(K774:M774,"?*")&lt;N(INDEX(Setup!$L$6:$L$23,17)))+(COUNTIF(O774:Q774,"?*")&lt;N(INDEX(Setup!$L$6:$L$23,17)))+(COUNTIF(S774:U774,"?*")&lt;N(INDEX(Setup!$L$6:$L$23,17)))+((W774="")*(INDEX(Setup!$M$6:$M$23,17)="Y"))+((Y774="")*(INDEX(Setup!$M$6:$M$23,17)="Y")))</f>
        <v/>
      </c>
      <c r="AC774" s="90">
        <f>IF($B774="","",IF(AB774=0,"✓ covered","⚠ "&amp;AB774&amp;IF(AB774=1," gap"," gaps")))</f>
        <v/>
      </c>
    </row>
    <row r="775" ht="17" customHeight="1">
      <c r="A775" t="n">
        <v>16</v>
      </c>
      <c r="B775" s="29">
        <f>IF(Setup!$K$23="","",Setup!$K$23)</f>
        <v/>
      </c>
      <c r="C775" s="88" t="n"/>
      <c r="D775" s="88" t="n"/>
      <c r="E775" s="88" t="n"/>
      <c r="F775" s="89" t="n"/>
      <c r="G775" s="88" t="n"/>
      <c r="H775" s="88" t="n"/>
      <c r="I775" s="88" t="n"/>
      <c r="J775" s="89" t="n"/>
      <c r="K775" s="88" t="n"/>
      <c r="L775" s="88" t="n"/>
      <c r="M775" s="88" t="n"/>
      <c r="N775" s="89" t="n"/>
      <c r="O775" s="88" t="n"/>
      <c r="P775" s="88" t="n"/>
      <c r="Q775" s="88" t="n"/>
      <c r="R775" s="89" t="n"/>
      <c r="S775" s="88" t="n"/>
      <c r="T775" s="88" t="n"/>
      <c r="U775" s="88" t="n"/>
      <c r="V775" s="89" t="n"/>
      <c r="W775" s="88" t="n"/>
      <c r="X775" s="89" t="n"/>
      <c r="Y775" s="88" t="n"/>
      <c r="Z775" s="89" t="n"/>
      <c r="AB775" s="30">
        <f>IF($B775="","",(COUNTIF(C775:E775,"?*")&lt;N(INDEX(Setup!$L$6:$L$23,18)))+(COUNTIF(G775:I775,"?*")&lt;N(INDEX(Setup!$L$6:$L$23,18)))+(COUNTIF(K775:M775,"?*")&lt;N(INDEX(Setup!$L$6:$L$23,18)))+(COUNTIF(O775:Q775,"?*")&lt;N(INDEX(Setup!$L$6:$L$23,18)))+(COUNTIF(S775:U775,"?*")&lt;N(INDEX(Setup!$L$6:$L$23,18)))+((W775="")*(INDEX(Setup!$M$6:$M$23,18)="Y"))+((Y775="")*(INDEX(Setup!$M$6:$M$23,18)="Y")))</f>
        <v/>
      </c>
      <c r="AC775" s="91">
        <f>IF($B775="","",IF(AB775=0,"✓ covered","⚠ "&amp;AB775&amp;IF(AB775=1," gap"," gaps")))</f>
        <v/>
      </c>
    </row>
    <row r="776" ht="18" customHeight="1">
      <c r="A776" t="n">
        <v>16</v>
      </c>
      <c r="B776" s="78" t="inlineStr">
        <is>
          <t>TEAM AVAILABILITY</t>
        </is>
      </c>
      <c r="C776" s="92" t="inlineStr">
        <is>
          <t>Mon</t>
        </is>
      </c>
      <c r="D776" s="93" t="n"/>
      <c r="E776" s="93" t="n"/>
      <c r="F776" s="94" t="n"/>
      <c r="G776" s="92" t="inlineStr">
        <is>
          <t>Tue</t>
        </is>
      </c>
      <c r="H776" s="93" t="n"/>
      <c r="I776" s="93" t="n"/>
      <c r="J776" s="94" t="n"/>
      <c r="K776" s="92" t="inlineStr">
        <is>
          <t>Wed</t>
        </is>
      </c>
      <c r="L776" s="93" t="n"/>
      <c r="M776" s="93" t="n"/>
      <c r="N776" s="94" t="n"/>
      <c r="O776" s="92" t="inlineStr">
        <is>
          <t>Thu</t>
        </is>
      </c>
      <c r="P776" s="93" t="n"/>
      <c r="Q776" s="93" t="n"/>
      <c r="R776" s="94" t="n"/>
      <c r="S776" s="92" t="inlineStr">
        <is>
          <t>Fri</t>
        </is>
      </c>
      <c r="T776" s="93" t="n"/>
      <c r="U776" s="93" t="n"/>
      <c r="V776" s="94" t="n"/>
      <c r="W776" s="95" t="inlineStr">
        <is>
          <t>Sat</t>
        </is>
      </c>
      <c r="X776" s="96" t="n"/>
      <c r="Y776" s="95" t="inlineStr">
        <is>
          <t>Sun</t>
        </is>
      </c>
      <c r="Z776" s="96" t="n"/>
      <c r="AB776" s="97" t="inlineStr">
        <is>
          <t>Days rostered</t>
        </is>
      </c>
      <c r="AC776" s="97" t="inlineStr">
        <is>
          <t>Conflicts</t>
        </is>
      </c>
    </row>
    <row r="777" ht="15" customHeight="1">
      <c r="A777" t="n">
        <v>16</v>
      </c>
      <c r="B777" s="35">
        <f>IF(Setup!$B$6="","",Setup!$B$6)</f>
        <v/>
      </c>
      <c r="C777" s="98" t="n"/>
      <c r="D777" s="99" t="n"/>
      <c r="E777" s="99" t="n"/>
      <c r="F777" s="100" t="n"/>
      <c r="G777" s="98" t="n"/>
      <c r="H777" s="99" t="n"/>
      <c r="I777" s="99" t="n"/>
      <c r="J777" s="100" t="n"/>
      <c r="K777" s="98" t="n"/>
      <c r="L777" s="99" t="n"/>
      <c r="M777" s="99" t="n"/>
      <c r="N777" s="100" t="n"/>
      <c r="O777" s="98" t="n"/>
      <c r="P777" s="99" t="n"/>
      <c r="Q777" s="99" t="n"/>
      <c r="R777" s="100" t="n"/>
      <c r="S777" s="98" t="n"/>
      <c r="T777" s="99" t="n"/>
      <c r="U777" s="99" t="n"/>
      <c r="V777" s="100" t="n"/>
      <c r="W777" s="98" t="n"/>
      <c r="X777" s="100" t="n"/>
      <c r="Y777" s="98" t="n"/>
      <c r="Z777" s="100" t="n"/>
      <c r="AB777" s="101">
        <f>IF($B777="","",(COUNTIF(C758:E775,$B777)+COUNTIF(C758:E775,$B777&amp;" ~*")&gt;0)+(COUNTIF(G758:I775,$B777)+COUNTIF(G758:I775,$B777&amp;" ~*")&gt;0)+(COUNTIF(K758:M775,$B777)+COUNTIF(K758:M775,$B777&amp;" ~*")&gt;0)+(COUNTIF(O758:Q775,$B777)+COUNTIF(O758:Q775,$B777&amp;" ~*")&gt;0)+(COUNTIF(S758:U775,$B777)+COUNTIF(S758:U775,$B777&amp;" ~*")&gt;0)+(COUNTIF(W758:W775,$B777)+COUNTIF(W758:W775,$B777&amp;" ~*")&gt;0)+(COUNTIF(Y758:Y775,$B777)+COUNTIF(Y758:Y775,$B777&amp;" ~*")&gt;0))</f>
        <v/>
      </c>
      <c r="AC777" s="36">
        <f>IF($B777="","",(IFERROR(INDEX(Setup!$G$33:$G$40,MATCH(C777,Setup!$B$33:$B$40,0)),0)=1)*(COUNTIF(C758:E775,$B777)+COUNTIF(C758:E775,$B777&amp;" ~*")&gt;0)+(IFERROR(INDEX(Setup!$G$33:$G$40,MATCH(G777,Setup!$B$33:$B$40,0)),0)=1)*(COUNTIF(G758:I775,$B777)+COUNTIF(G758:I775,$B777&amp;" ~*")&gt;0)+(IFERROR(INDEX(Setup!$G$33:$G$40,MATCH(K777,Setup!$B$33:$B$40,0)),0)=1)*(COUNTIF(K758:M775,$B777)+COUNTIF(K758:M775,$B777&amp;" ~*")&gt;0)+(IFERROR(INDEX(Setup!$G$33:$G$40,MATCH(O777,Setup!$B$33:$B$40,0)),0)=1)*(COUNTIF(O758:Q775,$B777)+COUNTIF(O758:Q775,$B777&amp;" ~*")&gt;0)+(IFERROR(INDEX(Setup!$G$33:$G$40,MATCH(S777,Setup!$B$33:$B$40,0)),0)=1)*(COUNTIF(S758:U775,$B777)+COUNTIF(S758:U775,$B777&amp;" ~*")&gt;0)+(IFERROR(INDEX(Setup!$G$33:$G$40,MATCH(W777,Setup!$B$33:$B$40,0)),0)=1)*(COUNTIF(W758:W775,$B777)+COUNTIF(W758:W775,$B777&amp;" ~*")&gt;0)+(IFERROR(INDEX(Setup!$G$33:$G$40,MATCH(Y777,Setup!$B$33:$B$40,0)),0)=1)*(COUNTIF(Y758:Y775,$B777)+COUNTIF(Y758:Y775,$B777&amp;" ~*")&gt;0))</f>
        <v/>
      </c>
    </row>
    <row r="778" ht="15" customHeight="1">
      <c r="A778" t="n">
        <v>16</v>
      </c>
      <c r="B778" s="37">
        <f>IF(Setup!$B$7="","",Setup!$B$7)</f>
        <v/>
      </c>
      <c r="C778" s="102" t="n"/>
      <c r="D778" s="103" t="n"/>
      <c r="E778" s="103" t="n"/>
      <c r="F778" s="104" t="n"/>
      <c r="G778" s="102" t="n"/>
      <c r="H778" s="103" t="n"/>
      <c r="I778" s="103" t="n"/>
      <c r="J778" s="104" t="n"/>
      <c r="K778" s="102" t="n"/>
      <c r="L778" s="103" t="n"/>
      <c r="M778" s="103" t="n"/>
      <c r="N778" s="104" t="n"/>
      <c r="O778" s="102" t="n"/>
      <c r="P778" s="103" t="n"/>
      <c r="Q778" s="103" t="n"/>
      <c r="R778" s="104" t="n"/>
      <c r="S778" s="102" t="n"/>
      <c r="T778" s="103" t="n"/>
      <c r="U778" s="103" t="n"/>
      <c r="V778" s="104" t="n"/>
      <c r="W778" s="102" t="n"/>
      <c r="X778" s="104" t="n"/>
      <c r="Y778" s="102" t="n"/>
      <c r="Z778" s="104" t="n"/>
      <c r="AB778" s="105">
        <f>IF($B778="","",(COUNTIF(C758:E775,$B778)+COUNTIF(C758:E775,$B778&amp;" ~*")&gt;0)+(COUNTIF(G758:I775,$B778)+COUNTIF(G758:I775,$B778&amp;" ~*")&gt;0)+(COUNTIF(K758:M775,$B778)+COUNTIF(K758:M775,$B778&amp;" ~*")&gt;0)+(COUNTIF(O758:Q775,$B778)+COUNTIF(O758:Q775,$B778&amp;" ~*")&gt;0)+(COUNTIF(S758:U775,$B778)+COUNTIF(S758:U775,$B778&amp;" ~*")&gt;0)+(COUNTIF(W758:W775,$B778)+COUNTIF(W758:W775,$B778&amp;" ~*")&gt;0)+(COUNTIF(Y758:Y775,$B778)+COUNTIF(Y758:Y775,$B778&amp;" ~*")&gt;0))</f>
        <v/>
      </c>
      <c r="AC778" s="38">
        <f>IF($B778="","",(IFERROR(INDEX(Setup!$G$33:$G$40,MATCH(C778,Setup!$B$33:$B$40,0)),0)=1)*(COUNTIF(C758:E775,$B778)+COUNTIF(C758:E775,$B778&amp;" ~*")&gt;0)+(IFERROR(INDEX(Setup!$G$33:$G$40,MATCH(G778,Setup!$B$33:$B$40,0)),0)=1)*(COUNTIF(G758:I775,$B778)+COUNTIF(G758:I775,$B778&amp;" ~*")&gt;0)+(IFERROR(INDEX(Setup!$G$33:$G$40,MATCH(K778,Setup!$B$33:$B$40,0)),0)=1)*(COUNTIF(K758:M775,$B778)+COUNTIF(K758:M775,$B778&amp;" ~*")&gt;0)+(IFERROR(INDEX(Setup!$G$33:$G$40,MATCH(O778,Setup!$B$33:$B$40,0)),0)=1)*(COUNTIF(O758:Q775,$B778)+COUNTIF(O758:Q775,$B778&amp;" ~*")&gt;0)+(IFERROR(INDEX(Setup!$G$33:$G$40,MATCH(S778,Setup!$B$33:$B$40,0)),0)=1)*(COUNTIF(S758:U775,$B778)+COUNTIF(S758:U775,$B778&amp;" ~*")&gt;0)+(IFERROR(INDEX(Setup!$G$33:$G$40,MATCH(W778,Setup!$B$33:$B$40,0)),0)=1)*(COUNTIF(W758:W775,$B778)+COUNTIF(W758:W775,$B778&amp;" ~*")&gt;0)+(IFERROR(INDEX(Setup!$G$33:$G$40,MATCH(Y778,Setup!$B$33:$B$40,0)),0)=1)*(COUNTIF(Y758:Y775,$B778)+COUNTIF(Y758:Y775,$B778&amp;" ~*")&gt;0))</f>
        <v/>
      </c>
    </row>
    <row r="779" ht="15" customHeight="1">
      <c r="A779" t="n">
        <v>16</v>
      </c>
      <c r="B779" s="35">
        <f>IF(Setup!$B$8="","",Setup!$B$8)</f>
        <v/>
      </c>
      <c r="C779" s="98" t="n"/>
      <c r="D779" s="99" t="n"/>
      <c r="E779" s="99" t="n"/>
      <c r="F779" s="100" t="n"/>
      <c r="G779" s="98" t="n"/>
      <c r="H779" s="99" t="n"/>
      <c r="I779" s="99" t="n"/>
      <c r="J779" s="100" t="n"/>
      <c r="K779" s="98" t="n"/>
      <c r="L779" s="99" t="n"/>
      <c r="M779" s="99" t="n"/>
      <c r="N779" s="100" t="n"/>
      <c r="O779" s="98" t="n"/>
      <c r="P779" s="99" t="n"/>
      <c r="Q779" s="99" t="n"/>
      <c r="R779" s="100" t="n"/>
      <c r="S779" s="98" t="n"/>
      <c r="T779" s="99" t="n"/>
      <c r="U779" s="99" t="n"/>
      <c r="V779" s="100" t="n"/>
      <c r="W779" s="98" t="n"/>
      <c r="X779" s="100" t="n"/>
      <c r="Y779" s="98" t="n"/>
      <c r="Z779" s="100" t="n"/>
      <c r="AB779" s="101">
        <f>IF($B779="","",(COUNTIF(C758:E775,$B779)+COUNTIF(C758:E775,$B779&amp;" ~*")&gt;0)+(COUNTIF(G758:I775,$B779)+COUNTIF(G758:I775,$B779&amp;" ~*")&gt;0)+(COUNTIF(K758:M775,$B779)+COUNTIF(K758:M775,$B779&amp;" ~*")&gt;0)+(COUNTIF(O758:Q775,$B779)+COUNTIF(O758:Q775,$B779&amp;" ~*")&gt;0)+(COUNTIF(S758:U775,$B779)+COUNTIF(S758:U775,$B779&amp;" ~*")&gt;0)+(COUNTIF(W758:W775,$B779)+COUNTIF(W758:W775,$B779&amp;" ~*")&gt;0)+(COUNTIF(Y758:Y775,$B779)+COUNTIF(Y758:Y775,$B779&amp;" ~*")&gt;0))</f>
        <v/>
      </c>
      <c r="AC779" s="36">
        <f>IF($B779="","",(IFERROR(INDEX(Setup!$G$33:$G$40,MATCH(C779,Setup!$B$33:$B$40,0)),0)=1)*(COUNTIF(C758:E775,$B779)+COUNTIF(C758:E775,$B779&amp;" ~*")&gt;0)+(IFERROR(INDEX(Setup!$G$33:$G$40,MATCH(G779,Setup!$B$33:$B$40,0)),0)=1)*(COUNTIF(G758:I775,$B779)+COUNTIF(G758:I775,$B779&amp;" ~*")&gt;0)+(IFERROR(INDEX(Setup!$G$33:$G$40,MATCH(K779,Setup!$B$33:$B$40,0)),0)=1)*(COUNTIF(K758:M775,$B779)+COUNTIF(K758:M775,$B779&amp;" ~*")&gt;0)+(IFERROR(INDEX(Setup!$G$33:$G$40,MATCH(O779,Setup!$B$33:$B$40,0)),0)=1)*(COUNTIF(O758:Q775,$B779)+COUNTIF(O758:Q775,$B779&amp;" ~*")&gt;0)+(IFERROR(INDEX(Setup!$G$33:$G$40,MATCH(S779,Setup!$B$33:$B$40,0)),0)=1)*(COUNTIF(S758:U775,$B779)+COUNTIF(S758:U775,$B779&amp;" ~*")&gt;0)+(IFERROR(INDEX(Setup!$G$33:$G$40,MATCH(W779,Setup!$B$33:$B$40,0)),0)=1)*(COUNTIF(W758:W775,$B779)+COUNTIF(W758:W775,$B779&amp;" ~*")&gt;0)+(IFERROR(INDEX(Setup!$G$33:$G$40,MATCH(Y779,Setup!$B$33:$B$40,0)),0)=1)*(COUNTIF(Y758:Y775,$B779)+COUNTIF(Y758:Y775,$B779&amp;" ~*")&gt;0))</f>
        <v/>
      </c>
    </row>
    <row r="780" ht="15" customHeight="1">
      <c r="A780" t="n">
        <v>16</v>
      </c>
      <c r="B780" s="37">
        <f>IF(Setup!$B$9="","",Setup!$B$9)</f>
        <v/>
      </c>
      <c r="C780" s="102" t="n"/>
      <c r="D780" s="103" t="n"/>
      <c r="E780" s="103" t="n"/>
      <c r="F780" s="104" t="n"/>
      <c r="G780" s="102" t="n"/>
      <c r="H780" s="103" t="n"/>
      <c r="I780" s="103" t="n"/>
      <c r="J780" s="104" t="n"/>
      <c r="K780" s="102" t="n"/>
      <c r="L780" s="103" t="n"/>
      <c r="M780" s="103" t="n"/>
      <c r="N780" s="104" t="n"/>
      <c r="O780" s="102" t="n"/>
      <c r="P780" s="103" t="n"/>
      <c r="Q780" s="103" t="n"/>
      <c r="R780" s="104" t="n"/>
      <c r="S780" s="102" t="n"/>
      <c r="T780" s="103" t="n"/>
      <c r="U780" s="103" t="n"/>
      <c r="V780" s="104" t="n"/>
      <c r="W780" s="102" t="n"/>
      <c r="X780" s="104" t="n"/>
      <c r="Y780" s="102" t="n"/>
      <c r="Z780" s="104" t="n"/>
      <c r="AB780" s="105">
        <f>IF($B780="","",(COUNTIF(C758:E775,$B780)+COUNTIF(C758:E775,$B780&amp;" ~*")&gt;0)+(COUNTIF(G758:I775,$B780)+COUNTIF(G758:I775,$B780&amp;" ~*")&gt;0)+(COUNTIF(K758:M775,$B780)+COUNTIF(K758:M775,$B780&amp;" ~*")&gt;0)+(COUNTIF(O758:Q775,$B780)+COUNTIF(O758:Q775,$B780&amp;" ~*")&gt;0)+(COUNTIF(S758:U775,$B780)+COUNTIF(S758:U775,$B780&amp;" ~*")&gt;0)+(COUNTIF(W758:W775,$B780)+COUNTIF(W758:W775,$B780&amp;" ~*")&gt;0)+(COUNTIF(Y758:Y775,$B780)+COUNTIF(Y758:Y775,$B780&amp;" ~*")&gt;0))</f>
        <v/>
      </c>
      <c r="AC780" s="38">
        <f>IF($B780="","",(IFERROR(INDEX(Setup!$G$33:$G$40,MATCH(C780,Setup!$B$33:$B$40,0)),0)=1)*(COUNTIF(C758:E775,$B780)+COUNTIF(C758:E775,$B780&amp;" ~*")&gt;0)+(IFERROR(INDEX(Setup!$G$33:$G$40,MATCH(G780,Setup!$B$33:$B$40,0)),0)=1)*(COUNTIF(G758:I775,$B780)+COUNTIF(G758:I775,$B780&amp;" ~*")&gt;0)+(IFERROR(INDEX(Setup!$G$33:$G$40,MATCH(K780,Setup!$B$33:$B$40,0)),0)=1)*(COUNTIF(K758:M775,$B780)+COUNTIF(K758:M775,$B780&amp;" ~*")&gt;0)+(IFERROR(INDEX(Setup!$G$33:$G$40,MATCH(O780,Setup!$B$33:$B$40,0)),0)=1)*(COUNTIF(O758:Q775,$B780)+COUNTIF(O758:Q775,$B780&amp;" ~*")&gt;0)+(IFERROR(INDEX(Setup!$G$33:$G$40,MATCH(S780,Setup!$B$33:$B$40,0)),0)=1)*(COUNTIF(S758:U775,$B780)+COUNTIF(S758:U775,$B780&amp;" ~*")&gt;0)+(IFERROR(INDEX(Setup!$G$33:$G$40,MATCH(W780,Setup!$B$33:$B$40,0)),0)=1)*(COUNTIF(W758:W775,$B780)+COUNTIF(W758:W775,$B780&amp;" ~*")&gt;0)+(IFERROR(INDEX(Setup!$G$33:$G$40,MATCH(Y780,Setup!$B$33:$B$40,0)),0)=1)*(COUNTIF(Y758:Y775,$B780)+COUNTIF(Y758:Y775,$B780&amp;" ~*")&gt;0))</f>
        <v/>
      </c>
    </row>
    <row r="781" ht="15" customHeight="1">
      <c r="A781" t="n">
        <v>16</v>
      </c>
      <c r="B781" s="35">
        <f>IF(Setup!$B$10="","",Setup!$B$10)</f>
        <v/>
      </c>
      <c r="C781" s="98" t="n"/>
      <c r="D781" s="99" t="n"/>
      <c r="E781" s="99" t="n"/>
      <c r="F781" s="100" t="n"/>
      <c r="G781" s="98" t="n"/>
      <c r="H781" s="99" t="n"/>
      <c r="I781" s="99" t="n"/>
      <c r="J781" s="100" t="n"/>
      <c r="K781" s="98" t="n"/>
      <c r="L781" s="99" t="n"/>
      <c r="M781" s="99" t="n"/>
      <c r="N781" s="100" t="n"/>
      <c r="O781" s="98" t="n"/>
      <c r="P781" s="99" t="n"/>
      <c r="Q781" s="99" t="n"/>
      <c r="R781" s="100" t="n"/>
      <c r="S781" s="98" t="n"/>
      <c r="T781" s="99" t="n"/>
      <c r="U781" s="99" t="n"/>
      <c r="V781" s="100" t="n"/>
      <c r="W781" s="98" t="n"/>
      <c r="X781" s="100" t="n"/>
      <c r="Y781" s="98" t="n"/>
      <c r="Z781" s="100" t="n"/>
      <c r="AB781" s="101">
        <f>IF($B781="","",(COUNTIF(C758:E775,$B781)+COUNTIF(C758:E775,$B781&amp;" ~*")&gt;0)+(COUNTIF(G758:I775,$B781)+COUNTIF(G758:I775,$B781&amp;" ~*")&gt;0)+(COUNTIF(K758:M775,$B781)+COUNTIF(K758:M775,$B781&amp;" ~*")&gt;0)+(COUNTIF(O758:Q775,$B781)+COUNTIF(O758:Q775,$B781&amp;" ~*")&gt;0)+(COUNTIF(S758:U775,$B781)+COUNTIF(S758:U775,$B781&amp;" ~*")&gt;0)+(COUNTIF(W758:W775,$B781)+COUNTIF(W758:W775,$B781&amp;" ~*")&gt;0)+(COUNTIF(Y758:Y775,$B781)+COUNTIF(Y758:Y775,$B781&amp;" ~*")&gt;0))</f>
        <v/>
      </c>
      <c r="AC781" s="36">
        <f>IF($B781="","",(IFERROR(INDEX(Setup!$G$33:$G$40,MATCH(C781,Setup!$B$33:$B$40,0)),0)=1)*(COUNTIF(C758:E775,$B781)+COUNTIF(C758:E775,$B781&amp;" ~*")&gt;0)+(IFERROR(INDEX(Setup!$G$33:$G$40,MATCH(G781,Setup!$B$33:$B$40,0)),0)=1)*(COUNTIF(G758:I775,$B781)+COUNTIF(G758:I775,$B781&amp;" ~*")&gt;0)+(IFERROR(INDEX(Setup!$G$33:$G$40,MATCH(K781,Setup!$B$33:$B$40,0)),0)=1)*(COUNTIF(K758:M775,$B781)+COUNTIF(K758:M775,$B781&amp;" ~*")&gt;0)+(IFERROR(INDEX(Setup!$G$33:$G$40,MATCH(O781,Setup!$B$33:$B$40,0)),0)=1)*(COUNTIF(O758:Q775,$B781)+COUNTIF(O758:Q775,$B781&amp;" ~*")&gt;0)+(IFERROR(INDEX(Setup!$G$33:$G$40,MATCH(S781,Setup!$B$33:$B$40,0)),0)=1)*(COUNTIF(S758:U775,$B781)+COUNTIF(S758:U775,$B781&amp;" ~*")&gt;0)+(IFERROR(INDEX(Setup!$G$33:$G$40,MATCH(W781,Setup!$B$33:$B$40,0)),0)=1)*(COUNTIF(W758:W775,$B781)+COUNTIF(W758:W775,$B781&amp;" ~*")&gt;0)+(IFERROR(INDEX(Setup!$G$33:$G$40,MATCH(Y781,Setup!$B$33:$B$40,0)),0)=1)*(COUNTIF(Y758:Y775,$B781)+COUNTIF(Y758:Y775,$B781&amp;" ~*")&gt;0))</f>
        <v/>
      </c>
    </row>
    <row r="782" ht="15" customHeight="1">
      <c r="A782" t="n">
        <v>16</v>
      </c>
      <c r="B782" s="37">
        <f>IF(Setup!$B$11="","",Setup!$B$11)</f>
        <v/>
      </c>
      <c r="C782" s="102" t="n"/>
      <c r="D782" s="103" t="n"/>
      <c r="E782" s="103" t="n"/>
      <c r="F782" s="104" t="n"/>
      <c r="G782" s="102" t="n"/>
      <c r="H782" s="103" t="n"/>
      <c r="I782" s="103" t="n"/>
      <c r="J782" s="104" t="n"/>
      <c r="K782" s="102" t="n"/>
      <c r="L782" s="103" t="n"/>
      <c r="M782" s="103" t="n"/>
      <c r="N782" s="104" t="n"/>
      <c r="O782" s="102" t="n"/>
      <c r="P782" s="103" t="n"/>
      <c r="Q782" s="103" t="n"/>
      <c r="R782" s="104" t="n"/>
      <c r="S782" s="102" t="n"/>
      <c r="T782" s="103" t="n"/>
      <c r="U782" s="103" t="n"/>
      <c r="V782" s="104" t="n"/>
      <c r="W782" s="102" t="n"/>
      <c r="X782" s="104" t="n"/>
      <c r="Y782" s="102" t="n"/>
      <c r="Z782" s="104" t="n"/>
      <c r="AB782" s="105">
        <f>IF($B782="","",(COUNTIF(C758:E775,$B782)+COUNTIF(C758:E775,$B782&amp;" ~*")&gt;0)+(COUNTIF(G758:I775,$B782)+COUNTIF(G758:I775,$B782&amp;" ~*")&gt;0)+(COUNTIF(K758:M775,$B782)+COUNTIF(K758:M775,$B782&amp;" ~*")&gt;0)+(COUNTIF(O758:Q775,$B782)+COUNTIF(O758:Q775,$B782&amp;" ~*")&gt;0)+(COUNTIF(S758:U775,$B782)+COUNTIF(S758:U775,$B782&amp;" ~*")&gt;0)+(COUNTIF(W758:W775,$B782)+COUNTIF(W758:W775,$B782&amp;" ~*")&gt;0)+(COUNTIF(Y758:Y775,$B782)+COUNTIF(Y758:Y775,$B782&amp;" ~*")&gt;0))</f>
        <v/>
      </c>
      <c r="AC782" s="38">
        <f>IF($B782="","",(IFERROR(INDEX(Setup!$G$33:$G$40,MATCH(C782,Setup!$B$33:$B$40,0)),0)=1)*(COUNTIF(C758:E775,$B782)+COUNTIF(C758:E775,$B782&amp;" ~*")&gt;0)+(IFERROR(INDEX(Setup!$G$33:$G$40,MATCH(G782,Setup!$B$33:$B$40,0)),0)=1)*(COUNTIF(G758:I775,$B782)+COUNTIF(G758:I775,$B782&amp;" ~*")&gt;0)+(IFERROR(INDEX(Setup!$G$33:$G$40,MATCH(K782,Setup!$B$33:$B$40,0)),0)=1)*(COUNTIF(K758:M775,$B782)+COUNTIF(K758:M775,$B782&amp;" ~*")&gt;0)+(IFERROR(INDEX(Setup!$G$33:$G$40,MATCH(O782,Setup!$B$33:$B$40,0)),0)=1)*(COUNTIF(O758:Q775,$B782)+COUNTIF(O758:Q775,$B782&amp;" ~*")&gt;0)+(IFERROR(INDEX(Setup!$G$33:$G$40,MATCH(S782,Setup!$B$33:$B$40,0)),0)=1)*(COUNTIF(S758:U775,$B782)+COUNTIF(S758:U775,$B782&amp;" ~*")&gt;0)+(IFERROR(INDEX(Setup!$G$33:$G$40,MATCH(W782,Setup!$B$33:$B$40,0)),0)=1)*(COUNTIF(W758:W775,$B782)+COUNTIF(W758:W775,$B782&amp;" ~*")&gt;0)+(IFERROR(INDEX(Setup!$G$33:$G$40,MATCH(Y782,Setup!$B$33:$B$40,0)),0)=1)*(COUNTIF(Y758:Y775,$B782)+COUNTIF(Y758:Y775,$B782&amp;" ~*")&gt;0))</f>
        <v/>
      </c>
    </row>
    <row r="783" ht="15" customHeight="1">
      <c r="A783" t="n">
        <v>16</v>
      </c>
      <c r="B783" s="35">
        <f>IF(Setup!$B$12="","",Setup!$B$12)</f>
        <v/>
      </c>
      <c r="C783" s="98" t="n"/>
      <c r="D783" s="99" t="n"/>
      <c r="E783" s="99" t="n"/>
      <c r="F783" s="100" t="n"/>
      <c r="G783" s="98" t="n"/>
      <c r="H783" s="99" t="n"/>
      <c r="I783" s="99" t="n"/>
      <c r="J783" s="100" t="n"/>
      <c r="K783" s="98" t="n"/>
      <c r="L783" s="99" t="n"/>
      <c r="M783" s="99" t="n"/>
      <c r="N783" s="100" t="n"/>
      <c r="O783" s="98" t="n"/>
      <c r="P783" s="99" t="n"/>
      <c r="Q783" s="99" t="n"/>
      <c r="R783" s="100" t="n"/>
      <c r="S783" s="98" t="n"/>
      <c r="T783" s="99" t="n"/>
      <c r="U783" s="99" t="n"/>
      <c r="V783" s="100" t="n"/>
      <c r="W783" s="98" t="n"/>
      <c r="X783" s="100" t="n"/>
      <c r="Y783" s="98" t="n"/>
      <c r="Z783" s="100" t="n"/>
      <c r="AB783" s="101">
        <f>IF($B783="","",(COUNTIF(C758:E775,$B783)+COUNTIF(C758:E775,$B783&amp;" ~*")&gt;0)+(COUNTIF(G758:I775,$B783)+COUNTIF(G758:I775,$B783&amp;" ~*")&gt;0)+(COUNTIF(K758:M775,$B783)+COUNTIF(K758:M775,$B783&amp;" ~*")&gt;0)+(COUNTIF(O758:Q775,$B783)+COUNTIF(O758:Q775,$B783&amp;" ~*")&gt;0)+(COUNTIF(S758:U775,$B783)+COUNTIF(S758:U775,$B783&amp;" ~*")&gt;0)+(COUNTIF(W758:W775,$B783)+COUNTIF(W758:W775,$B783&amp;" ~*")&gt;0)+(COUNTIF(Y758:Y775,$B783)+COUNTIF(Y758:Y775,$B783&amp;" ~*")&gt;0))</f>
        <v/>
      </c>
      <c r="AC783" s="36">
        <f>IF($B783="","",(IFERROR(INDEX(Setup!$G$33:$G$40,MATCH(C783,Setup!$B$33:$B$40,0)),0)=1)*(COUNTIF(C758:E775,$B783)+COUNTIF(C758:E775,$B783&amp;" ~*")&gt;0)+(IFERROR(INDEX(Setup!$G$33:$G$40,MATCH(G783,Setup!$B$33:$B$40,0)),0)=1)*(COUNTIF(G758:I775,$B783)+COUNTIF(G758:I775,$B783&amp;" ~*")&gt;0)+(IFERROR(INDEX(Setup!$G$33:$G$40,MATCH(K783,Setup!$B$33:$B$40,0)),0)=1)*(COUNTIF(K758:M775,$B783)+COUNTIF(K758:M775,$B783&amp;" ~*")&gt;0)+(IFERROR(INDEX(Setup!$G$33:$G$40,MATCH(O783,Setup!$B$33:$B$40,0)),0)=1)*(COUNTIF(O758:Q775,$B783)+COUNTIF(O758:Q775,$B783&amp;" ~*")&gt;0)+(IFERROR(INDEX(Setup!$G$33:$G$40,MATCH(S783,Setup!$B$33:$B$40,0)),0)=1)*(COUNTIF(S758:U775,$B783)+COUNTIF(S758:U775,$B783&amp;" ~*")&gt;0)+(IFERROR(INDEX(Setup!$G$33:$G$40,MATCH(W783,Setup!$B$33:$B$40,0)),0)=1)*(COUNTIF(W758:W775,$B783)+COUNTIF(W758:W775,$B783&amp;" ~*")&gt;0)+(IFERROR(INDEX(Setup!$G$33:$G$40,MATCH(Y783,Setup!$B$33:$B$40,0)),0)=1)*(COUNTIF(Y758:Y775,$B783)+COUNTIF(Y758:Y775,$B783&amp;" ~*")&gt;0))</f>
        <v/>
      </c>
    </row>
    <row r="784" ht="15" customHeight="1">
      <c r="A784" t="n">
        <v>16</v>
      </c>
      <c r="B784" s="37">
        <f>IF(Setup!$B$13="","",Setup!$B$13)</f>
        <v/>
      </c>
      <c r="C784" s="102" t="n"/>
      <c r="D784" s="103" t="n"/>
      <c r="E784" s="103" t="n"/>
      <c r="F784" s="104" t="n"/>
      <c r="G784" s="102" t="n"/>
      <c r="H784" s="103" t="n"/>
      <c r="I784" s="103" t="n"/>
      <c r="J784" s="104" t="n"/>
      <c r="K784" s="102" t="n"/>
      <c r="L784" s="103" t="n"/>
      <c r="M784" s="103" t="n"/>
      <c r="N784" s="104" t="n"/>
      <c r="O784" s="102" t="n"/>
      <c r="P784" s="103" t="n"/>
      <c r="Q784" s="103" t="n"/>
      <c r="R784" s="104" t="n"/>
      <c r="S784" s="102" t="n"/>
      <c r="T784" s="103" t="n"/>
      <c r="U784" s="103" t="n"/>
      <c r="V784" s="104" t="n"/>
      <c r="W784" s="102" t="n"/>
      <c r="X784" s="104" t="n"/>
      <c r="Y784" s="102" t="n"/>
      <c r="Z784" s="104" t="n"/>
      <c r="AB784" s="105">
        <f>IF($B784="","",(COUNTIF(C758:E775,$B784)+COUNTIF(C758:E775,$B784&amp;" ~*")&gt;0)+(COUNTIF(G758:I775,$B784)+COUNTIF(G758:I775,$B784&amp;" ~*")&gt;0)+(COUNTIF(K758:M775,$B784)+COUNTIF(K758:M775,$B784&amp;" ~*")&gt;0)+(COUNTIF(O758:Q775,$B784)+COUNTIF(O758:Q775,$B784&amp;" ~*")&gt;0)+(COUNTIF(S758:U775,$B784)+COUNTIF(S758:U775,$B784&amp;" ~*")&gt;0)+(COUNTIF(W758:W775,$B784)+COUNTIF(W758:W775,$B784&amp;" ~*")&gt;0)+(COUNTIF(Y758:Y775,$B784)+COUNTIF(Y758:Y775,$B784&amp;" ~*")&gt;0))</f>
        <v/>
      </c>
      <c r="AC784" s="38">
        <f>IF($B784="","",(IFERROR(INDEX(Setup!$G$33:$G$40,MATCH(C784,Setup!$B$33:$B$40,0)),0)=1)*(COUNTIF(C758:E775,$B784)+COUNTIF(C758:E775,$B784&amp;" ~*")&gt;0)+(IFERROR(INDEX(Setup!$G$33:$G$40,MATCH(G784,Setup!$B$33:$B$40,0)),0)=1)*(COUNTIF(G758:I775,$B784)+COUNTIF(G758:I775,$B784&amp;" ~*")&gt;0)+(IFERROR(INDEX(Setup!$G$33:$G$40,MATCH(K784,Setup!$B$33:$B$40,0)),0)=1)*(COUNTIF(K758:M775,$B784)+COUNTIF(K758:M775,$B784&amp;" ~*")&gt;0)+(IFERROR(INDEX(Setup!$G$33:$G$40,MATCH(O784,Setup!$B$33:$B$40,0)),0)=1)*(COUNTIF(O758:Q775,$B784)+COUNTIF(O758:Q775,$B784&amp;" ~*")&gt;0)+(IFERROR(INDEX(Setup!$G$33:$G$40,MATCH(S784,Setup!$B$33:$B$40,0)),0)=1)*(COUNTIF(S758:U775,$B784)+COUNTIF(S758:U775,$B784&amp;" ~*")&gt;0)+(IFERROR(INDEX(Setup!$G$33:$G$40,MATCH(W784,Setup!$B$33:$B$40,0)),0)=1)*(COUNTIF(W758:W775,$B784)+COUNTIF(W758:W775,$B784&amp;" ~*")&gt;0)+(IFERROR(INDEX(Setup!$G$33:$G$40,MATCH(Y784,Setup!$B$33:$B$40,0)),0)=1)*(COUNTIF(Y758:Y775,$B784)+COUNTIF(Y758:Y775,$B784&amp;" ~*")&gt;0))</f>
        <v/>
      </c>
    </row>
    <row r="785" ht="15" customHeight="1">
      <c r="A785" t="n">
        <v>16</v>
      </c>
      <c r="B785" s="35">
        <f>IF(Setup!$B$14="","",Setup!$B$14)</f>
        <v/>
      </c>
      <c r="C785" s="98" t="n"/>
      <c r="D785" s="99" t="n"/>
      <c r="E785" s="99" t="n"/>
      <c r="F785" s="100" t="n"/>
      <c r="G785" s="98" t="n"/>
      <c r="H785" s="99" t="n"/>
      <c r="I785" s="99" t="n"/>
      <c r="J785" s="100" t="n"/>
      <c r="K785" s="98" t="n"/>
      <c r="L785" s="99" t="n"/>
      <c r="M785" s="99" t="n"/>
      <c r="N785" s="100" t="n"/>
      <c r="O785" s="98" t="n"/>
      <c r="P785" s="99" t="n"/>
      <c r="Q785" s="99" t="n"/>
      <c r="R785" s="100" t="n"/>
      <c r="S785" s="98" t="n"/>
      <c r="T785" s="99" t="n"/>
      <c r="U785" s="99" t="n"/>
      <c r="V785" s="100" t="n"/>
      <c r="W785" s="98" t="n"/>
      <c r="X785" s="100" t="n"/>
      <c r="Y785" s="98" t="n"/>
      <c r="Z785" s="100" t="n"/>
      <c r="AB785" s="101">
        <f>IF($B785="","",(COUNTIF(C758:E775,$B785)+COUNTIF(C758:E775,$B785&amp;" ~*")&gt;0)+(COUNTIF(G758:I775,$B785)+COUNTIF(G758:I775,$B785&amp;" ~*")&gt;0)+(COUNTIF(K758:M775,$B785)+COUNTIF(K758:M775,$B785&amp;" ~*")&gt;0)+(COUNTIF(O758:Q775,$B785)+COUNTIF(O758:Q775,$B785&amp;" ~*")&gt;0)+(COUNTIF(S758:U775,$B785)+COUNTIF(S758:U775,$B785&amp;" ~*")&gt;0)+(COUNTIF(W758:W775,$B785)+COUNTIF(W758:W775,$B785&amp;" ~*")&gt;0)+(COUNTIF(Y758:Y775,$B785)+COUNTIF(Y758:Y775,$B785&amp;" ~*")&gt;0))</f>
        <v/>
      </c>
      <c r="AC785" s="36">
        <f>IF($B785="","",(IFERROR(INDEX(Setup!$G$33:$G$40,MATCH(C785,Setup!$B$33:$B$40,0)),0)=1)*(COUNTIF(C758:E775,$B785)+COUNTIF(C758:E775,$B785&amp;" ~*")&gt;0)+(IFERROR(INDEX(Setup!$G$33:$G$40,MATCH(G785,Setup!$B$33:$B$40,0)),0)=1)*(COUNTIF(G758:I775,$B785)+COUNTIF(G758:I775,$B785&amp;" ~*")&gt;0)+(IFERROR(INDEX(Setup!$G$33:$G$40,MATCH(K785,Setup!$B$33:$B$40,0)),0)=1)*(COUNTIF(K758:M775,$B785)+COUNTIF(K758:M775,$B785&amp;" ~*")&gt;0)+(IFERROR(INDEX(Setup!$G$33:$G$40,MATCH(O785,Setup!$B$33:$B$40,0)),0)=1)*(COUNTIF(O758:Q775,$B785)+COUNTIF(O758:Q775,$B785&amp;" ~*")&gt;0)+(IFERROR(INDEX(Setup!$G$33:$G$40,MATCH(S785,Setup!$B$33:$B$40,0)),0)=1)*(COUNTIF(S758:U775,$B785)+COUNTIF(S758:U775,$B785&amp;" ~*")&gt;0)+(IFERROR(INDEX(Setup!$G$33:$G$40,MATCH(W785,Setup!$B$33:$B$40,0)),0)=1)*(COUNTIF(W758:W775,$B785)+COUNTIF(W758:W775,$B785&amp;" ~*")&gt;0)+(IFERROR(INDEX(Setup!$G$33:$G$40,MATCH(Y785,Setup!$B$33:$B$40,0)),0)=1)*(COUNTIF(Y758:Y775,$B785)+COUNTIF(Y758:Y775,$B785&amp;" ~*")&gt;0))</f>
        <v/>
      </c>
    </row>
    <row r="786" ht="15" customHeight="1">
      <c r="A786" t="n">
        <v>16</v>
      </c>
      <c r="B786" s="37">
        <f>IF(Setup!$B$15="","",Setup!$B$15)</f>
        <v/>
      </c>
      <c r="C786" s="102" t="n"/>
      <c r="D786" s="103" t="n"/>
      <c r="E786" s="103" t="n"/>
      <c r="F786" s="104" t="n"/>
      <c r="G786" s="102" t="n"/>
      <c r="H786" s="103" t="n"/>
      <c r="I786" s="103" t="n"/>
      <c r="J786" s="104" t="n"/>
      <c r="K786" s="102" t="n"/>
      <c r="L786" s="103" t="n"/>
      <c r="M786" s="103" t="n"/>
      <c r="N786" s="104" t="n"/>
      <c r="O786" s="102" t="n"/>
      <c r="P786" s="103" t="n"/>
      <c r="Q786" s="103" t="n"/>
      <c r="R786" s="104" t="n"/>
      <c r="S786" s="102" t="n"/>
      <c r="T786" s="103" t="n"/>
      <c r="U786" s="103" t="n"/>
      <c r="V786" s="104" t="n"/>
      <c r="W786" s="102" t="n"/>
      <c r="X786" s="104" t="n"/>
      <c r="Y786" s="102" t="n"/>
      <c r="Z786" s="104" t="n"/>
      <c r="AB786" s="105">
        <f>IF($B786="","",(COUNTIF(C758:E775,$B786)+COUNTIF(C758:E775,$B786&amp;" ~*")&gt;0)+(COUNTIF(G758:I775,$B786)+COUNTIF(G758:I775,$B786&amp;" ~*")&gt;0)+(COUNTIF(K758:M775,$B786)+COUNTIF(K758:M775,$B786&amp;" ~*")&gt;0)+(COUNTIF(O758:Q775,$B786)+COUNTIF(O758:Q775,$B786&amp;" ~*")&gt;0)+(COUNTIF(S758:U775,$B786)+COUNTIF(S758:U775,$B786&amp;" ~*")&gt;0)+(COUNTIF(W758:W775,$B786)+COUNTIF(W758:W775,$B786&amp;" ~*")&gt;0)+(COUNTIF(Y758:Y775,$B786)+COUNTIF(Y758:Y775,$B786&amp;" ~*")&gt;0))</f>
        <v/>
      </c>
      <c r="AC786" s="38">
        <f>IF($B786="","",(IFERROR(INDEX(Setup!$G$33:$G$40,MATCH(C786,Setup!$B$33:$B$40,0)),0)=1)*(COUNTIF(C758:E775,$B786)+COUNTIF(C758:E775,$B786&amp;" ~*")&gt;0)+(IFERROR(INDEX(Setup!$G$33:$G$40,MATCH(G786,Setup!$B$33:$B$40,0)),0)=1)*(COUNTIF(G758:I775,$B786)+COUNTIF(G758:I775,$B786&amp;" ~*")&gt;0)+(IFERROR(INDEX(Setup!$G$33:$G$40,MATCH(K786,Setup!$B$33:$B$40,0)),0)=1)*(COUNTIF(K758:M775,$B786)+COUNTIF(K758:M775,$B786&amp;" ~*")&gt;0)+(IFERROR(INDEX(Setup!$G$33:$G$40,MATCH(O786,Setup!$B$33:$B$40,0)),0)=1)*(COUNTIF(O758:Q775,$B786)+COUNTIF(O758:Q775,$B786&amp;" ~*")&gt;0)+(IFERROR(INDEX(Setup!$G$33:$G$40,MATCH(S786,Setup!$B$33:$B$40,0)),0)=1)*(COUNTIF(S758:U775,$B786)+COUNTIF(S758:U775,$B786&amp;" ~*")&gt;0)+(IFERROR(INDEX(Setup!$G$33:$G$40,MATCH(W786,Setup!$B$33:$B$40,0)),0)=1)*(COUNTIF(W758:W775,$B786)+COUNTIF(W758:W775,$B786&amp;" ~*")&gt;0)+(IFERROR(INDEX(Setup!$G$33:$G$40,MATCH(Y786,Setup!$B$33:$B$40,0)),0)=1)*(COUNTIF(Y758:Y775,$B786)+COUNTIF(Y758:Y775,$B786&amp;" ~*")&gt;0))</f>
        <v/>
      </c>
    </row>
    <row r="787" ht="15" customHeight="1">
      <c r="A787" t="n">
        <v>16</v>
      </c>
      <c r="B787" s="35">
        <f>IF(Setup!$B$16="","",Setup!$B$16)</f>
        <v/>
      </c>
      <c r="C787" s="98" t="n"/>
      <c r="D787" s="99" t="n"/>
      <c r="E787" s="99" t="n"/>
      <c r="F787" s="100" t="n"/>
      <c r="G787" s="98" t="n"/>
      <c r="H787" s="99" t="n"/>
      <c r="I787" s="99" t="n"/>
      <c r="J787" s="100" t="n"/>
      <c r="K787" s="98" t="n"/>
      <c r="L787" s="99" t="n"/>
      <c r="M787" s="99" t="n"/>
      <c r="N787" s="100" t="n"/>
      <c r="O787" s="98" t="n"/>
      <c r="P787" s="99" t="n"/>
      <c r="Q787" s="99" t="n"/>
      <c r="R787" s="100" t="n"/>
      <c r="S787" s="98" t="n"/>
      <c r="T787" s="99" t="n"/>
      <c r="U787" s="99" t="n"/>
      <c r="V787" s="100" t="n"/>
      <c r="W787" s="98" t="n"/>
      <c r="X787" s="100" t="n"/>
      <c r="Y787" s="98" t="n"/>
      <c r="Z787" s="100" t="n"/>
      <c r="AB787" s="101">
        <f>IF($B787="","",(COUNTIF(C758:E775,$B787)+COUNTIF(C758:E775,$B787&amp;" ~*")&gt;0)+(COUNTIF(G758:I775,$B787)+COUNTIF(G758:I775,$B787&amp;" ~*")&gt;0)+(COUNTIF(K758:M775,$B787)+COUNTIF(K758:M775,$B787&amp;" ~*")&gt;0)+(COUNTIF(O758:Q775,$B787)+COUNTIF(O758:Q775,$B787&amp;" ~*")&gt;0)+(COUNTIF(S758:U775,$B787)+COUNTIF(S758:U775,$B787&amp;" ~*")&gt;0)+(COUNTIF(W758:W775,$B787)+COUNTIF(W758:W775,$B787&amp;" ~*")&gt;0)+(COUNTIF(Y758:Y775,$B787)+COUNTIF(Y758:Y775,$B787&amp;" ~*")&gt;0))</f>
        <v/>
      </c>
      <c r="AC787" s="36">
        <f>IF($B787="","",(IFERROR(INDEX(Setup!$G$33:$G$40,MATCH(C787,Setup!$B$33:$B$40,0)),0)=1)*(COUNTIF(C758:E775,$B787)+COUNTIF(C758:E775,$B787&amp;" ~*")&gt;0)+(IFERROR(INDEX(Setup!$G$33:$G$40,MATCH(G787,Setup!$B$33:$B$40,0)),0)=1)*(COUNTIF(G758:I775,$B787)+COUNTIF(G758:I775,$B787&amp;" ~*")&gt;0)+(IFERROR(INDEX(Setup!$G$33:$G$40,MATCH(K787,Setup!$B$33:$B$40,0)),0)=1)*(COUNTIF(K758:M775,$B787)+COUNTIF(K758:M775,$B787&amp;" ~*")&gt;0)+(IFERROR(INDEX(Setup!$G$33:$G$40,MATCH(O787,Setup!$B$33:$B$40,0)),0)=1)*(COUNTIF(O758:Q775,$B787)+COUNTIF(O758:Q775,$B787&amp;" ~*")&gt;0)+(IFERROR(INDEX(Setup!$G$33:$G$40,MATCH(S787,Setup!$B$33:$B$40,0)),0)=1)*(COUNTIF(S758:U775,$B787)+COUNTIF(S758:U775,$B787&amp;" ~*")&gt;0)+(IFERROR(INDEX(Setup!$G$33:$G$40,MATCH(W787,Setup!$B$33:$B$40,0)),0)=1)*(COUNTIF(W758:W775,$B787)+COUNTIF(W758:W775,$B787&amp;" ~*")&gt;0)+(IFERROR(INDEX(Setup!$G$33:$G$40,MATCH(Y787,Setup!$B$33:$B$40,0)),0)=1)*(COUNTIF(Y758:Y775,$B787)+COUNTIF(Y758:Y775,$B787&amp;" ~*")&gt;0))</f>
        <v/>
      </c>
    </row>
    <row r="788" ht="15" customHeight="1">
      <c r="A788" t="n">
        <v>16</v>
      </c>
      <c r="B788" s="37">
        <f>IF(Setup!$B$17="","",Setup!$B$17)</f>
        <v/>
      </c>
      <c r="C788" s="102" t="n"/>
      <c r="D788" s="103" t="n"/>
      <c r="E788" s="103" t="n"/>
      <c r="F788" s="104" t="n"/>
      <c r="G788" s="102" t="n"/>
      <c r="H788" s="103" t="n"/>
      <c r="I788" s="103" t="n"/>
      <c r="J788" s="104" t="n"/>
      <c r="K788" s="102" t="n"/>
      <c r="L788" s="103" t="n"/>
      <c r="M788" s="103" t="n"/>
      <c r="N788" s="104" t="n"/>
      <c r="O788" s="102" t="n"/>
      <c r="P788" s="103" t="n"/>
      <c r="Q788" s="103" t="n"/>
      <c r="R788" s="104" t="n"/>
      <c r="S788" s="102" t="n"/>
      <c r="T788" s="103" t="n"/>
      <c r="U788" s="103" t="n"/>
      <c r="V788" s="104" t="n"/>
      <c r="W788" s="102" t="n"/>
      <c r="X788" s="104" t="n"/>
      <c r="Y788" s="102" t="n"/>
      <c r="Z788" s="104" t="n"/>
      <c r="AB788" s="105">
        <f>IF($B788="","",(COUNTIF(C758:E775,$B788)+COUNTIF(C758:E775,$B788&amp;" ~*")&gt;0)+(COUNTIF(G758:I775,$B788)+COUNTIF(G758:I775,$B788&amp;" ~*")&gt;0)+(COUNTIF(K758:M775,$B788)+COUNTIF(K758:M775,$B788&amp;" ~*")&gt;0)+(COUNTIF(O758:Q775,$B788)+COUNTIF(O758:Q775,$B788&amp;" ~*")&gt;0)+(COUNTIF(S758:U775,$B788)+COUNTIF(S758:U775,$B788&amp;" ~*")&gt;0)+(COUNTIF(W758:W775,$B788)+COUNTIF(W758:W775,$B788&amp;" ~*")&gt;0)+(COUNTIF(Y758:Y775,$B788)+COUNTIF(Y758:Y775,$B788&amp;" ~*")&gt;0))</f>
        <v/>
      </c>
      <c r="AC788" s="38">
        <f>IF($B788="","",(IFERROR(INDEX(Setup!$G$33:$G$40,MATCH(C788,Setup!$B$33:$B$40,0)),0)=1)*(COUNTIF(C758:E775,$B788)+COUNTIF(C758:E775,$B788&amp;" ~*")&gt;0)+(IFERROR(INDEX(Setup!$G$33:$G$40,MATCH(G788,Setup!$B$33:$B$40,0)),0)=1)*(COUNTIF(G758:I775,$B788)+COUNTIF(G758:I775,$B788&amp;" ~*")&gt;0)+(IFERROR(INDEX(Setup!$G$33:$G$40,MATCH(K788,Setup!$B$33:$B$40,0)),0)=1)*(COUNTIF(K758:M775,$B788)+COUNTIF(K758:M775,$B788&amp;" ~*")&gt;0)+(IFERROR(INDEX(Setup!$G$33:$G$40,MATCH(O788,Setup!$B$33:$B$40,0)),0)=1)*(COUNTIF(O758:Q775,$B788)+COUNTIF(O758:Q775,$B788&amp;" ~*")&gt;0)+(IFERROR(INDEX(Setup!$G$33:$G$40,MATCH(S788,Setup!$B$33:$B$40,0)),0)=1)*(COUNTIF(S758:U775,$B788)+COUNTIF(S758:U775,$B788&amp;" ~*")&gt;0)+(IFERROR(INDEX(Setup!$G$33:$G$40,MATCH(W788,Setup!$B$33:$B$40,0)),0)=1)*(COUNTIF(W758:W775,$B788)+COUNTIF(W758:W775,$B788&amp;" ~*")&gt;0)+(IFERROR(INDEX(Setup!$G$33:$G$40,MATCH(Y788,Setup!$B$33:$B$40,0)),0)=1)*(COUNTIF(Y758:Y775,$B788)+COUNTIF(Y758:Y775,$B788&amp;" ~*")&gt;0))</f>
        <v/>
      </c>
    </row>
    <row r="789" ht="15" customHeight="1">
      <c r="A789" t="n">
        <v>16</v>
      </c>
      <c r="B789" s="35">
        <f>IF(Setup!$B$18="","",Setup!$B$18)</f>
        <v/>
      </c>
      <c r="C789" s="98" t="n"/>
      <c r="D789" s="99" t="n"/>
      <c r="E789" s="99" t="n"/>
      <c r="F789" s="100" t="n"/>
      <c r="G789" s="98" t="n"/>
      <c r="H789" s="99" t="n"/>
      <c r="I789" s="99" t="n"/>
      <c r="J789" s="100" t="n"/>
      <c r="K789" s="98" t="n"/>
      <c r="L789" s="99" t="n"/>
      <c r="M789" s="99" t="n"/>
      <c r="N789" s="100" t="n"/>
      <c r="O789" s="98" t="n"/>
      <c r="P789" s="99" t="n"/>
      <c r="Q789" s="99" t="n"/>
      <c r="R789" s="100" t="n"/>
      <c r="S789" s="98" t="n"/>
      <c r="T789" s="99" t="n"/>
      <c r="U789" s="99" t="n"/>
      <c r="V789" s="100" t="n"/>
      <c r="W789" s="98" t="n"/>
      <c r="X789" s="100" t="n"/>
      <c r="Y789" s="98" t="n"/>
      <c r="Z789" s="100" t="n"/>
      <c r="AB789" s="101">
        <f>IF($B789="","",(COUNTIF(C758:E775,$B789)+COUNTIF(C758:E775,$B789&amp;" ~*")&gt;0)+(COUNTIF(G758:I775,$B789)+COUNTIF(G758:I775,$B789&amp;" ~*")&gt;0)+(COUNTIF(K758:M775,$B789)+COUNTIF(K758:M775,$B789&amp;" ~*")&gt;0)+(COUNTIF(O758:Q775,$B789)+COUNTIF(O758:Q775,$B789&amp;" ~*")&gt;0)+(COUNTIF(S758:U775,$B789)+COUNTIF(S758:U775,$B789&amp;" ~*")&gt;0)+(COUNTIF(W758:W775,$B789)+COUNTIF(W758:W775,$B789&amp;" ~*")&gt;0)+(COUNTIF(Y758:Y775,$B789)+COUNTIF(Y758:Y775,$B789&amp;" ~*")&gt;0))</f>
        <v/>
      </c>
      <c r="AC789" s="36">
        <f>IF($B789="","",(IFERROR(INDEX(Setup!$G$33:$G$40,MATCH(C789,Setup!$B$33:$B$40,0)),0)=1)*(COUNTIF(C758:E775,$B789)+COUNTIF(C758:E775,$B789&amp;" ~*")&gt;0)+(IFERROR(INDEX(Setup!$G$33:$G$40,MATCH(G789,Setup!$B$33:$B$40,0)),0)=1)*(COUNTIF(G758:I775,$B789)+COUNTIF(G758:I775,$B789&amp;" ~*")&gt;0)+(IFERROR(INDEX(Setup!$G$33:$G$40,MATCH(K789,Setup!$B$33:$B$40,0)),0)=1)*(COUNTIF(K758:M775,$B789)+COUNTIF(K758:M775,$B789&amp;" ~*")&gt;0)+(IFERROR(INDEX(Setup!$G$33:$G$40,MATCH(O789,Setup!$B$33:$B$40,0)),0)=1)*(COUNTIF(O758:Q775,$B789)+COUNTIF(O758:Q775,$B789&amp;" ~*")&gt;0)+(IFERROR(INDEX(Setup!$G$33:$G$40,MATCH(S789,Setup!$B$33:$B$40,0)),0)=1)*(COUNTIF(S758:U775,$B789)+COUNTIF(S758:U775,$B789&amp;" ~*")&gt;0)+(IFERROR(INDEX(Setup!$G$33:$G$40,MATCH(W789,Setup!$B$33:$B$40,0)),0)=1)*(COUNTIF(W758:W775,$B789)+COUNTIF(W758:W775,$B789&amp;" ~*")&gt;0)+(IFERROR(INDEX(Setup!$G$33:$G$40,MATCH(Y789,Setup!$B$33:$B$40,0)),0)=1)*(COUNTIF(Y758:Y775,$B789)+COUNTIF(Y758:Y775,$B789&amp;" ~*")&gt;0))</f>
        <v/>
      </c>
    </row>
    <row r="790" ht="15" customHeight="1">
      <c r="A790" t="n">
        <v>16</v>
      </c>
      <c r="B790" s="37">
        <f>IF(Setup!$B$19="","",Setup!$B$19)</f>
        <v/>
      </c>
      <c r="C790" s="102" t="n"/>
      <c r="D790" s="103" t="n"/>
      <c r="E790" s="103" t="n"/>
      <c r="F790" s="104" t="n"/>
      <c r="G790" s="102" t="n"/>
      <c r="H790" s="103" t="n"/>
      <c r="I790" s="103" t="n"/>
      <c r="J790" s="104" t="n"/>
      <c r="K790" s="102" t="n"/>
      <c r="L790" s="103" t="n"/>
      <c r="M790" s="103" t="n"/>
      <c r="N790" s="104" t="n"/>
      <c r="O790" s="102" t="n"/>
      <c r="P790" s="103" t="n"/>
      <c r="Q790" s="103" t="n"/>
      <c r="R790" s="104" t="n"/>
      <c r="S790" s="102" t="n"/>
      <c r="T790" s="103" t="n"/>
      <c r="U790" s="103" t="n"/>
      <c r="V790" s="104" t="n"/>
      <c r="W790" s="102" t="n"/>
      <c r="X790" s="104" t="n"/>
      <c r="Y790" s="102" t="n"/>
      <c r="Z790" s="104" t="n"/>
      <c r="AB790" s="105">
        <f>IF($B790="","",(COUNTIF(C758:E775,$B790)+COUNTIF(C758:E775,$B790&amp;" ~*")&gt;0)+(COUNTIF(G758:I775,$B790)+COUNTIF(G758:I775,$B790&amp;" ~*")&gt;0)+(COUNTIF(K758:M775,$B790)+COUNTIF(K758:M775,$B790&amp;" ~*")&gt;0)+(COUNTIF(O758:Q775,$B790)+COUNTIF(O758:Q775,$B790&amp;" ~*")&gt;0)+(COUNTIF(S758:U775,$B790)+COUNTIF(S758:U775,$B790&amp;" ~*")&gt;0)+(COUNTIF(W758:W775,$B790)+COUNTIF(W758:W775,$B790&amp;" ~*")&gt;0)+(COUNTIF(Y758:Y775,$B790)+COUNTIF(Y758:Y775,$B790&amp;" ~*")&gt;0))</f>
        <v/>
      </c>
      <c r="AC790" s="38">
        <f>IF($B790="","",(IFERROR(INDEX(Setup!$G$33:$G$40,MATCH(C790,Setup!$B$33:$B$40,0)),0)=1)*(COUNTIF(C758:E775,$B790)+COUNTIF(C758:E775,$B790&amp;" ~*")&gt;0)+(IFERROR(INDEX(Setup!$G$33:$G$40,MATCH(G790,Setup!$B$33:$B$40,0)),0)=1)*(COUNTIF(G758:I775,$B790)+COUNTIF(G758:I775,$B790&amp;" ~*")&gt;0)+(IFERROR(INDEX(Setup!$G$33:$G$40,MATCH(K790,Setup!$B$33:$B$40,0)),0)=1)*(COUNTIF(K758:M775,$B790)+COUNTIF(K758:M775,$B790&amp;" ~*")&gt;0)+(IFERROR(INDEX(Setup!$G$33:$G$40,MATCH(O790,Setup!$B$33:$B$40,0)),0)=1)*(COUNTIF(O758:Q775,$B790)+COUNTIF(O758:Q775,$B790&amp;" ~*")&gt;0)+(IFERROR(INDEX(Setup!$G$33:$G$40,MATCH(S790,Setup!$B$33:$B$40,0)),0)=1)*(COUNTIF(S758:U775,$B790)+COUNTIF(S758:U775,$B790&amp;" ~*")&gt;0)+(IFERROR(INDEX(Setup!$G$33:$G$40,MATCH(W790,Setup!$B$33:$B$40,0)),0)=1)*(COUNTIF(W758:W775,$B790)+COUNTIF(W758:W775,$B790&amp;" ~*")&gt;0)+(IFERROR(INDEX(Setup!$G$33:$G$40,MATCH(Y790,Setup!$B$33:$B$40,0)),0)=1)*(COUNTIF(Y758:Y775,$B790)+COUNTIF(Y758:Y775,$B790&amp;" ~*")&gt;0))</f>
        <v/>
      </c>
    </row>
    <row r="791" ht="15" customHeight="1">
      <c r="A791" t="n">
        <v>16</v>
      </c>
      <c r="B791" s="35">
        <f>IF(Setup!$B$20="","",Setup!$B$20)</f>
        <v/>
      </c>
      <c r="C791" s="98" t="n"/>
      <c r="D791" s="99" t="n"/>
      <c r="E791" s="99" t="n"/>
      <c r="F791" s="100" t="n"/>
      <c r="G791" s="98" t="n"/>
      <c r="H791" s="99" t="n"/>
      <c r="I791" s="99" t="n"/>
      <c r="J791" s="100" t="n"/>
      <c r="K791" s="98" t="n"/>
      <c r="L791" s="99" t="n"/>
      <c r="M791" s="99" t="n"/>
      <c r="N791" s="100" t="n"/>
      <c r="O791" s="98" t="n"/>
      <c r="P791" s="99" t="n"/>
      <c r="Q791" s="99" t="n"/>
      <c r="R791" s="100" t="n"/>
      <c r="S791" s="98" t="n"/>
      <c r="T791" s="99" t="n"/>
      <c r="U791" s="99" t="n"/>
      <c r="V791" s="100" t="n"/>
      <c r="W791" s="98" t="n"/>
      <c r="X791" s="100" t="n"/>
      <c r="Y791" s="98" t="n"/>
      <c r="Z791" s="100" t="n"/>
      <c r="AB791" s="101">
        <f>IF($B791="","",(COUNTIF(C758:E775,$B791)+COUNTIF(C758:E775,$B791&amp;" ~*")&gt;0)+(COUNTIF(G758:I775,$B791)+COUNTIF(G758:I775,$B791&amp;" ~*")&gt;0)+(COUNTIF(K758:M775,$B791)+COUNTIF(K758:M775,$B791&amp;" ~*")&gt;0)+(COUNTIF(O758:Q775,$B791)+COUNTIF(O758:Q775,$B791&amp;" ~*")&gt;0)+(COUNTIF(S758:U775,$B791)+COUNTIF(S758:U775,$B791&amp;" ~*")&gt;0)+(COUNTIF(W758:W775,$B791)+COUNTIF(W758:W775,$B791&amp;" ~*")&gt;0)+(COUNTIF(Y758:Y775,$B791)+COUNTIF(Y758:Y775,$B791&amp;" ~*")&gt;0))</f>
        <v/>
      </c>
      <c r="AC791" s="36">
        <f>IF($B791="","",(IFERROR(INDEX(Setup!$G$33:$G$40,MATCH(C791,Setup!$B$33:$B$40,0)),0)=1)*(COUNTIF(C758:E775,$B791)+COUNTIF(C758:E775,$B791&amp;" ~*")&gt;0)+(IFERROR(INDEX(Setup!$G$33:$G$40,MATCH(G791,Setup!$B$33:$B$40,0)),0)=1)*(COUNTIF(G758:I775,$B791)+COUNTIF(G758:I775,$B791&amp;" ~*")&gt;0)+(IFERROR(INDEX(Setup!$G$33:$G$40,MATCH(K791,Setup!$B$33:$B$40,0)),0)=1)*(COUNTIF(K758:M775,$B791)+COUNTIF(K758:M775,$B791&amp;" ~*")&gt;0)+(IFERROR(INDEX(Setup!$G$33:$G$40,MATCH(O791,Setup!$B$33:$B$40,0)),0)=1)*(COUNTIF(O758:Q775,$B791)+COUNTIF(O758:Q775,$B791&amp;" ~*")&gt;0)+(IFERROR(INDEX(Setup!$G$33:$G$40,MATCH(S791,Setup!$B$33:$B$40,0)),0)=1)*(COUNTIF(S758:U775,$B791)+COUNTIF(S758:U775,$B791&amp;" ~*")&gt;0)+(IFERROR(INDEX(Setup!$G$33:$G$40,MATCH(W791,Setup!$B$33:$B$40,0)),0)=1)*(COUNTIF(W758:W775,$B791)+COUNTIF(W758:W775,$B791&amp;" ~*")&gt;0)+(IFERROR(INDEX(Setup!$G$33:$G$40,MATCH(Y791,Setup!$B$33:$B$40,0)),0)=1)*(COUNTIF(Y758:Y775,$B791)+COUNTIF(Y758:Y775,$B791&amp;" ~*")&gt;0))</f>
        <v/>
      </c>
    </row>
    <row r="792" ht="15" customHeight="1">
      <c r="A792" t="n">
        <v>16</v>
      </c>
      <c r="B792" s="37">
        <f>IF(Setup!$B$21="","",Setup!$B$21)</f>
        <v/>
      </c>
      <c r="C792" s="102" t="n"/>
      <c r="D792" s="103" t="n"/>
      <c r="E792" s="103" t="n"/>
      <c r="F792" s="104" t="n"/>
      <c r="G792" s="102" t="n"/>
      <c r="H792" s="103" t="n"/>
      <c r="I792" s="103" t="n"/>
      <c r="J792" s="104" t="n"/>
      <c r="K792" s="102" t="n"/>
      <c r="L792" s="103" t="n"/>
      <c r="M792" s="103" t="n"/>
      <c r="N792" s="104" t="n"/>
      <c r="O792" s="102" t="n"/>
      <c r="P792" s="103" t="n"/>
      <c r="Q792" s="103" t="n"/>
      <c r="R792" s="104" t="n"/>
      <c r="S792" s="102" t="n"/>
      <c r="T792" s="103" t="n"/>
      <c r="U792" s="103" t="n"/>
      <c r="V792" s="104" t="n"/>
      <c r="W792" s="102" t="n"/>
      <c r="X792" s="104" t="n"/>
      <c r="Y792" s="102" t="n"/>
      <c r="Z792" s="104" t="n"/>
      <c r="AB792" s="105">
        <f>IF($B792="","",(COUNTIF(C758:E775,$B792)+COUNTIF(C758:E775,$B792&amp;" ~*")&gt;0)+(COUNTIF(G758:I775,$B792)+COUNTIF(G758:I775,$B792&amp;" ~*")&gt;0)+(COUNTIF(K758:M775,$B792)+COUNTIF(K758:M775,$B792&amp;" ~*")&gt;0)+(COUNTIF(O758:Q775,$B792)+COUNTIF(O758:Q775,$B792&amp;" ~*")&gt;0)+(COUNTIF(S758:U775,$B792)+COUNTIF(S758:U775,$B792&amp;" ~*")&gt;0)+(COUNTIF(W758:W775,$B792)+COUNTIF(W758:W775,$B792&amp;" ~*")&gt;0)+(COUNTIF(Y758:Y775,$B792)+COUNTIF(Y758:Y775,$B792&amp;" ~*")&gt;0))</f>
        <v/>
      </c>
      <c r="AC792" s="38">
        <f>IF($B792="","",(IFERROR(INDEX(Setup!$G$33:$G$40,MATCH(C792,Setup!$B$33:$B$40,0)),0)=1)*(COUNTIF(C758:E775,$B792)+COUNTIF(C758:E775,$B792&amp;" ~*")&gt;0)+(IFERROR(INDEX(Setup!$G$33:$G$40,MATCH(G792,Setup!$B$33:$B$40,0)),0)=1)*(COUNTIF(G758:I775,$B792)+COUNTIF(G758:I775,$B792&amp;" ~*")&gt;0)+(IFERROR(INDEX(Setup!$G$33:$G$40,MATCH(K792,Setup!$B$33:$B$40,0)),0)=1)*(COUNTIF(K758:M775,$B792)+COUNTIF(K758:M775,$B792&amp;" ~*")&gt;0)+(IFERROR(INDEX(Setup!$G$33:$G$40,MATCH(O792,Setup!$B$33:$B$40,0)),0)=1)*(COUNTIF(O758:Q775,$B792)+COUNTIF(O758:Q775,$B792&amp;" ~*")&gt;0)+(IFERROR(INDEX(Setup!$G$33:$G$40,MATCH(S792,Setup!$B$33:$B$40,0)),0)=1)*(COUNTIF(S758:U775,$B792)+COUNTIF(S758:U775,$B792&amp;" ~*")&gt;0)+(IFERROR(INDEX(Setup!$G$33:$G$40,MATCH(W792,Setup!$B$33:$B$40,0)),0)=1)*(COUNTIF(W758:W775,$B792)+COUNTIF(W758:W775,$B792&amp;" ~*")&gt;0)+(IFERROR(INDEX(Setup!$G$33:$G$40,MATCH(Y792,Setup!$B$33:$B$40,0)),0)=1)*(COUNTIF(Y758:Y775,$B792)+COUNTIF(Y758:Y775,$B792&amp;" ~*")&gt;0))</f>
        <v/>
      </c>
    </row>
    <row r="793" ht="15" customHeight="1">
      <c r="A793" t="n">
        <v>16</v>
      </c>
      <c r="B793" s="35">
        <f>IF(Setup!$B$22="","",Setup!$B$22)</f>
        <v/>
      </c>
      <c r="C793" s="98" t="n"/>
      <c r="D793" s="99" t="n"/>
      <c r="E793" s="99" t="n"/>
      <c r="F793" s="100" t="n"/>
      <c r="G793" s="98" t="n"/>
      <c r="H793" s="99" t="n"/>
      <c r="I793" s="99" t="n"/>
      <c r="J793" s="100" t="n"/>
      <c r="K793" s="98" t="n"/>
      <c r="L793" s="99" t="n"/>
      <c r="M793" s="99" t="n"/>
      <c r="N793" s="100" t="n"/>
      <c r="O793" s="98" t="n"/>
      <c r="P793" s="99" t="n"/>
      <c r="Q793" s="99" t="n"/>
      <c r="R793" s="100" t="n"/>
      <c r="S793" s="98" t="n"/>
      <c r="T793" s="99" t="n"/>
      <c r="U793" s="99" t="n"/>
      <c r="V793" s="100" t="n"/>
      <c r="W793" s="98" t="n"/>
      <c r="X793" s="100" t="n"/>
      <c r="Y793" s="98" t="n"/>
      <c r="Z793" s="100" t="n"/>
      <c r="AB793" s="101">
        <f>IF($B793="","",(COUNTIF(C758:E775,$B793)+COUNTIF(C758:E775,$B793&amp;" ~*")&gt;0)+(COUNTIF(G758:I775,$B793)+COUNTIF(G758:I775,$B793&amp;" ~*")&gt;0)+(COUNTIF(K758:M775,$B793)+COUNTIF(K758:M775,$B793&amp;" ~*")&gt;0)+(COUNTIF(O758:Q775,$B793)+COUNTIF(O758:Q775,$B793&amp;" ~*")&gt;0)+(COUNTIF(S758:U775,$B793)+COUNTIF(S758:U775,$B793&amp;" ~*")&gt;0)+(COUNTIF(W758:W775,$B793)+COUNTIF(W758:W775,$B793&amp;" ~*")&gt;0)+(COUNTIF(Y758:Y775,$B793)+COUNTIF(Y758:Y775,$B793&amp;" ~*")&gt;0))</f>
        <v/>
      </c>
      <c r="AC793" s="36">
        <f>IF($B793="","",(IFERROR(INDEX(Setup!$G$33:$G$40,MATCH(C793,Setup!$B$33:$B$40,0)),0)=1)*(COUNTIF(C758:E775,$B793)+COUNTIF(C758:E775,$B793&amp;" ~*")&gt;0)+(IFERROR(INDEX(Setup!$G$33:$G$40,MATCH(G793,Setup!$B$33:$B$40,0)),0)=1)*(COUNTIF(G758:I775,$B793)+COUNTIF(G758:I775,$B793&amp;" ~*")&gt;0)+(IFERROR(INDEX(Setup!$G$33:$G$40,MATCH(K793,Setup!$B$33:$B$40,0)),0)=1)*(COUNTIF(K758:M775,$B793)+COUNTIF(K758:M775,$B793&amp;" ~*")&gt;0)+(IFERROR(INDEX(Setup!$G$33:$G$40,MATCH(O793,Setup!$B$33:$B$40,0)),0)=1)*(COUNTIF(O758:Q775,$B793)+COUNTIF(O758:Q775,$B793&amp;" ~*")&gt;0)+(IFERROR(INDEX(Setup!$G$33:$G$40,MATCH(S793,Setup!$B$33:$B$40,0)),0)=1)*(COUNTIF(S758:U775,$B793)+COUNTIF(S758:U775,$B793&amp;" ~*")&gt;0)+(IFERROR(INDEX(Setup!$G$33:$G$40,MATCH(W793,Setup!$B$33:$B$40,0)),0)=1)*(COUNTIF(W758:W775,$B793)+COUNTIF(W758:W775,$B793&amp;" ~*")&gt;0)+(IFERROR(INDEX(Setup!$G$33:$G$40,MATCH(Y793,Setup!$B$33:$B$40,0)),0)=1)*(COUNTIF(Y758:Y775,$B793)+COUNTIF(Y758:Y775,$B793&amp;" ~*")&gt;0))</f>
        <v/>
      </c>
    </row>
    <row r="794" ht="15" customHeight="1">
      <c r="A794" t="n">
        <v>16</v>
      </c>
      <c r="B794" s="37">
        <f>IF(Setup!$B$23="","",Setup!$B$23)</f>
        <v/>
      </c>
      <c r="C794" s="102" t="n"/>
      <c r="D794" s="103" t="n"/>
      <c r="E794" s="103" t="n"/>
      <c r="F794" s="104" t="n"/>
      <c r="G794" s="102" t="n"/>
      <c r="H794" s="103" t="n"/>
      <c r="I794" s="103" t="n"/>
      <c r="J794" s="104" t="n"/>
      <c r="K794" s="102" t="n"/>
      <c r="L794" s="103" t="n"/>
      <c r="M794" s="103" t="n"/>
      <c r="N794" s="104" t="n"/>
      <c r="O794" s="102" t="n"/>
      <c r="P794" s="103" t="n"/>
      <c r="Q794" s="103" t="n"/>
      <c r="R794" s="104" t="n"/>
      <c r="S794" s="102" t="n"/>
      <c r="T794" s="103" t="n"/>
      <c r="U794" s="103" t="n"/>
      <c r="V794" s="104" t="n"/>
      <c r="W794" s="102" t="n"/>
      <c r="X794" s="104" t="n"/>
      <c r="Y794" s="102" t="n"/>
      <c r="Z794" s="104" t="n"/>
      <c r="AB794" s="105">
        <f>IF($B794="","",(COUNTIF(C758:E775,$B794)+COUNTIF(C758:E775,$B794&amp;" ~*")&gt;0)+(COUNTIF(G758:I775,$B794)+COUNTIF(G758:I775,$B794&amp;" ~*")&gt;0)+(COUNTIF(K758:M775,$B794)+COUNTIF(K758:M775,$B794&amp;" ~*")&gt;0)+(COUNTIF(O758:Q775,$B794)+COUNTIF(O758:Q775,$B794&amp;" ~*")&gt;0)+(COUNTIF(S758:U775,$B794)+COUNTIF(S758:U775,$B794&amp;" ~*")&gt;0)+(COUNTIF(W758:W775,$B794)+COUNTIF(W758:W775,$B794&amp;" ~*")&gt;0)+(COUNTIF(Y758:Y775,$B794)+COUNTIF(Y758:Y775,$B794&amp;" ~*")&gt;0))</f>
        <v/>
      </c>
      <c r="AC794" s="38">
        <f>IF($B794="","",(IFERROR(INDEX(Setup!$G$33:$G$40,MATCH(C794,Setup!$B$33:$B$40,0)),0)=1)*(COUNTIF(C758:E775,$B794)+COUNTIF(C758:E775,$B794&amp;" ~*")&gt;0)+(IFERROR(INDEX(Setup!$G$33:$G$40,MATCH(G794,Setup!$B$33:$B$40,0)),0)=1)*(COUNTIF(G758:I775,$B794)+COUNTIF(G758:I775,$B794&amp;" ~*")&gt;0)+(IFERROR(INDEX(Setup!$G$33:$G$40,MATCH(K794,Setup!$B$33:$B$40,0)),0)=1)*(COUNTIF(K758:M775,$B794)+COUNTIF(K758:M775,$B794&amp;" ~*")&gt;0)+(IFERROR(INDEX(Setup!$G$33:$G$40,MATCH(O794,Setup!$B$33:$B$40,0)),0)=1)*(COUNTIF(O758:Q775,$B794)+COUNTIF(O758:Q775,$B794&amp;" ~*")&gt;0)+(IFERROR(INDEX(Setup!$G$33:$G$40,MATCH(S794,Setup!$B$33:$B$40,0)),0)=1)*(COUNTIF(S758:U775,$B794)+COUNTIF(S758:U775,$B794&amp;" ~*")&gt;0)+(IFERROR(INDEX(Setup!$G$33:$G$40,MATCH(W794,Setup!$B$33:$B$40,0)),0)=1)*(COUNTIF(W758:W775,$B794)+COUNTIF(W758:W775,$B794&amp;" ~*")&gt;0)+(IFERROR(INDEX(Setup!$G$33:$G$40,MATCH(Y794,Setup!$B$33:$B$40,0)),0)=1)*(COUNTIF(Y758:Y775,$B794)+COUNTIF(Y758:Y775,$B794&amp;" ~*")&gt;0))</f>
        <v/>
      </c>
    </row>
    <row r="795" ht="15" customHeight="1">
      <c r="A795" t="n">
        <v>16</v>
      </c>
      <c r="B795" s="35">
        <f>IF(Setup!$B$24="","",Setup!$B$24)</f>
        <v/>
      </c>
      <c r="C795" s="98" t="n"/>
      <c r="D795" s="99" t="n"/>
      <c r="E795" s="99" t="n"/>
      <c r="F795" s="100" t="n"/>
      <c r="G795" s="98" t="n"/>
      <c r="H795" s="99" t="n"/>
      <c r="I795" s="99" t="n"/>
      <c r="J795" s="100" t="n"/>
      <c r="K795" s="98" t="n"/>
      <c r="L795" s="99" t="n"/>
      <c r="M795" s="99" t="n"/>
      <c r="N795" s="100" t="n"/>
      <c r="O795" s="98" t="n"/>
      <c r="P795" s="99" t="n"/>
      <c r="Q795" s="99" t="n"/>
      <c r="R795" s="100" t="n"/>
      <c r="S795" s="98" t="n"/>
      <c r="T795" s="99" t="n"/>
      <c r="U795" s="99" t="n"/>
      <c r="V795" s="100" t="n"/>
      <c r="W795" s="98" t="n"/>
      <c r="X795" s="100" t="n"/>
      <c r="Y795" s="98" t="n"/>
      <c r="Z795" s="100" t="n"/>
      <c r="AB795" s="101">
        <f>IF($B795="","",(COUNTIF(C758:E775,$B795)+COUNTIF(C758:E775,$B795&amp;" ~*")&gt;0)+(COUNTIF(G758:I775,$B795)+COUNTIF(G758:I775,$B795&amp;" ~*")&gt;0)+(COUNTIF(K758:M775,$B795)+COUNTIF(K758:M775,$B795&amp;" ~*")&gt;0)+(COUNTIF(O758:Q775,$B795)+COUNTIF(O758:Q775,$B795&amp;" ~*")&gt;0)+(COUNTIF(S758:U775,$B795)+COUNTIF(S758:U775,$B795&amp;" ~*")&gt;0)+(COUNTIF(W758:W775,$B795)+COUNTIF(W758:W775,$B795&amp;" ~*")&gt;0)+(COUNTIF(Y758:Y775,$B795)+COUNTIF(Y758:Y775,$B795&amp;" ~*")&gt;0))</f>
        <v/>
      </c>
      <c r="AC795" s="36">
        <f>IF($B795="","",(IFERROR(INDEX(Setup!$G$33:$G$40,MATCH(C795,Setup!$B$33:$B$40,0)),0)=1)*(COUNTIF(C758:E775,$B795)+COUNTIF(C758:E775,$B795&amp;" ~*")&gt;0)+(IFERROR(INDEX(Setup!$G$33:$G$40,MATCH(G795,Setup!$B$33:$B$40,0)),0)=1)*(COUNTIF(G758:I775,$B795)+COUNTIF(G758:I775,$B795&amp;" ~*")&gt;0)+(IFERROR(INDEX(Setup!$G$33:$G$40,MATCH(K795,Setup!$B$33:$B$40,0)),0)=1)*(COUNTIF(K758:M775,$B795)+COUNTIF(K758:M775,$B795&amp;" ~*")&gt;0)+(IFERROR(INDEX(Setup!$G$33:$G$40,MATCH(O795,Setup!$B$33:$B$40,0)),0)=1)*(COUNTIF(O758:Q775,$B795)+COUNTIF(O758:Q775,$B795&amp;" ~*")&gt;0)+(IFERROR(INDEX(Setup!$G$33:$G$40,MATCH(S795,Setup!$B$33:$B$40,0)),0)=1)*(COUNTIF(S758:U775,$B795)+COUNTIF(S758:U775,$B795&amp;" ~*")&gt;0)+(IFERROR(INDEX(Setup!$G$33:$G$40,MATCH(W795,Setup!$B$33:$B$40,0)),0)=1)*(COUNTIF(W758:W775,$B795)+COUNTIF(W758:W775,$B795&amp;" ~*")&gt;0)+(IFERROR(INDEX(Setup!$G$33:$G$40,MATCH(Y795,Setup!$B$33:$B$40,0)),0)=1)*(COUNTIF(Y758:Y775,$B795)+COUNTIF(Y758:Y775,$B795&amp;" ~*")&gt;0))</f>
        <v/>
      </c>
    </row>
    <row r="796" ht="15" customHeight="1">
      <c r="A796" t="n">
        <v>16</v>
      </c>
      <c r="B796" s="37">
        <f>IF(Setup!$B$25="","",Setup!$B$25)</f>
        <v/>
      </c>
      <c r="C796" s="102" t="n"/>
      <c r="D796" s="103" t="n"/>
      <c r="E796" s="103" t="n"/>
      <c r="F796" s="104" t="n"/>
      <c r="G796" s="102" t="n"/>
      <c r="H796" s="103" t="n"/>
      <c r="I796" s="103" t="n"/>
      <c r="J796" s="104" t="n"/>
      <c r="K796" s="102" t="n"/>
      <c r="L796" s="103" t="n"/>
      <c r="M796" s="103" t="n"/>
      <c r="N796" s="104" t="n"/>
      <c r="O796" s="102" t="n"/>
      <c r="P796" s="103" t="n"/>
      <c r="Q796" s="103" t="n"/>
      <c r="R796" s="104" t="n"/>
      <c r="S796" s="102" t="n"/>
      <c r="T796" s="103" t="n"/>
      <c r="U796" s="103" t="n"/>
      <c r="V796" s="104" t="n"/>
      <c r="W796" s="102" t="n"/>
      <c r="X796" s="104" t="n"/>
      <c r="Y796" s="102" t="n"/>
      <c r="Z796" s="104" t="n"/>
      <c r="AB796" s="105">
        <f>IF($B796="","",(COUNTIF(C758:E775,$B796)+COUNTIF(C758:E775,$B796&amp;" ~*")&gt;0)+(COUNTIF(G758:I775,$B796)+COUNTIF(G758:I775,$B796&amp;" ~*")&gt;0)+(COUNTIF(K758:M775,$B796)+COUNTIF(K758:M775,$B796&amp;" ~*")&gt;0)+(COUNTIF(O758:Q775,$B796)+COUNTIF(O758:Q775,$B796&amp;" ~*")&gt;0)+(COUNTIF(S758:U775,$B796)+COUNTIF(S758:U775,$B796&amp;" ~*")&gt;0)+(COUNTIF(W758:W775,$B796)+COUNTIF(W758:W775,$B796&amp;" ~*")&gt;0)+(COUNTIF(Y758:Y775,$B796)+COUNTIF(Y758:Y775,$B796&amp;" ~*")&gt;0))</f>
        <v/>
      </c>
      <c r="AC796" s="38">
        <f>IF($B796="","",(IFERROR(INDEX(Setup!$G$33:$G$40,MATCH(C796,Setup!$B$33:$B$40,0)),0)=1)*(COUNTIF(C758:E775,$B796)+COUNTIF(C758:E775,$B796&amp;" ~*")&gt;0)+(IFERROR(INDEX(Setup!$G$33:$G$40,MATCH(G796,Setup!$B$33:$B$40,0)),0)=1)*(COUNTIF(G758:I775,$B796)+COUNTIF(G758:I775,$B796&amp;" ~*")&gt;0)+(IFERROR(INDEX(Setup!$G$33:$G$40,MATCH(K796,Setup!$B$33:$B$40,0)),0)=1)*(COUNTIF(K758:M775,$B796)+COUNTIF(K758:M775,$B796&amp;" ~*")&gt;0)+(IFERROR(INDEX(Setup!$G$33:$G$40,MATCH(O796,Setup!$B$33:$B$40,0)),0)=1)*(COUNTIF(O758:Q775,$B796)+COUNTIF(O758:Q775,$B796&amp;" ~*")&gt;0)+(IFERROR(INDEX(Setup!$G$33:$G$40,MATCH(S796,Setup!$B$33:$B$40,0)),0)=1)*(COUNTIF(S758:U775,$B796)+COUNTIF(S758:U775,$B796&amp;" ~*")&gt;0)+(IFERROR(INDEX(Setup!$G$33:$G$40,MATCH(W796,Setup!$B$33:$B$40,0)),0)=1)*(COUNTIF(W758:W775,$B796)+COUNTIF(W758:W775,$B796&amp;" ~*")&gt;0)+(IFERROR(INDEX(Setup!$G$33:$G$40,MATCH(Y796,Setup!$B$33:$B$40,0)),0)=1)*(COUNTIF(Y758:Y775,$B796)+COUNTIF(Y758:Y775,$B796&amp;" ~*")&gt;0))</f>
        <v/>
      </c>
    </row>
    <row r="797" ht="15" customHeight="1">
      <c r="A797" t="n">
        <v>16</v>
      </c>
      <c r="B797" s="35">
        <f>IF(Setup!$B$26="","",Setup!$B$26)</f>
        <v/>
      </c>
      <c r="C797" s="98" t="n"/>
      <c r="D797" s="99" t="n"/>
      <c r="E797" s="99" t="n"/>
      <c r="F797" s="100" t="n"/>
      <c r="G797" s="98" t="n"/>
      <c r="H797" s="99" t="n"/>
      <c r="I797" s="99" t="n"/>
      <c r="J797" s="100" t="n"/>
      <c r="K797" s="98" t="n"/>
      <c r="L797" s="99" t="n"/>
      <c r="M797" s="99" t="n"/>
      <c r="N797" s="100" t="n"/>
      <c r="O797" s="98" t="n"/>
      <c r="P797" s="99" t="n"/>
      <c r="Q797" s="99" t="n"/>
      <c r="R797" s="100" t="n"/>
      <c r="S797" s="98" t="n"/>
      <c r="T797" s="99" t="n"/>
      <c r="U797" s="99" t="n"/>
      <c r="V797" s="100" t="n"/>
      <c r="W797" s="98" t="n"/>
      <c r="X797" s="100" t="n"/>
      <c r="Y797" s="98" t="n"/>
      <c r="Z797" s="100" t="n"/>
      <c r="AB797" s="101">
        <f>IF($B797="","",(COUNTIF(C758:E775,$B797)+COUNTIF(C758:E775,$B797&amp;" ~*")&gt;0)+(COUNTIF(G758:I775,$B797)+COUNTIF(G758:I775,$B797&amp;" ~*")&gt;0)+(COUNTIF(K758:M775,$B797)+COUNTIF(K758:M775,$B797&amp;" ~*")&gt;0)+(COUNTIF(O758:Q775,$B797)+COUNTIF(O758:Q775,$B797&amp;" ~*")&gt;0)+(COUNTIF(S758:U775,$B797)+COUNTIF(S758:U775,$B797&amp;" ~*")&gt;0)+(COUNTIF(W758:W775,$B797)+COUNTIF(W758:W775,$B797&amp;" ~*")&gt;0)+(COUNTIF(Y758:Y775,$B797)+COUNTIF(Y758:Y775,$B797&amp;" ~*")&gt;0))</f>
        <v/>
      </c>
      <c r="AC797" s="36">
        <f>IF($B797="","",(IFERROR(INDEX(Setup!$G$33:$G$40,MATCH(C797,Setup!$B$33:$B$40,0)),0)=1)*(COUNTIF(C758:E775,$B797)+COUNTIF(C758:E775,$B797&amp;" ~*")&gt;0)+(IFERROR(INDEX(Setup!$G$33:$G$40,MATCH(G797,Setup!$B$33:$B$40,0)),0)=1)*(COUNTIF(G758:I775,$B797)+COUNTIF(G758:I775,$B797&amp;" ~*")&gt;0)+(IFERROR(INDEX(Setup!$G$33:$G$40,MATCH(K797,Setup!$B$33:$B$40,0)),0)=1)*(COUNTIF(K758:M775,$B797)+COUNTIF(K758:M775,$B797&amp;" ~*")&gt;0)+(IFERROR(INDEX(Setup!$G$33:$G$40,MATCH(O797,Setup!$B$33:$B$40,0)),0)=1)*(COUNTIF(O758:Q775,$B797)+COUNTIF(O758:Q775,$B797&amp;" ~*")&gt;0)+(IFERROR(INDEX(Setup!$G$33:$G$40,MATCH(S797,Setup!$B$33:$B$40,0)),0)=1)*(COUNTIF(S758:U775,$B797)+COUNTIF(S758:U775,$B797&amp;" ~*")&gt;0)+(IFERROR(INDEX(Setup!$G$33:$G$40,MATCH(W797,Setup!$B$33:$B$40,0)),0)=1)*(COUNTIF(W758:W775,$B797)+COUNTIF(W758:W775,$B797&amp;" ~*")&gt;0)+(IFERROR(INDEX(Setup!$G$33:$G$40,MATCH(Y797,Setup!$B$33:$B$40,0)),0)=1)*(COUNTIF(Y758:Y775,$B797)+COUNTIF(Y758:Y775,$B797&amp;" ~*")&gt;0))</f>
        <v/>
      </c>
    </row>
    <row r="798" ht="15" customHeight="1">
      <c r="A798" t="n">
        <v>16</v>
      </c>
      <c r="B798" s="37">
        <f>IF(Setup!$B$27="","",Setup!$B$27)</f>
        <v/>
      </c>
      <c r="C798" s="102" t="n"/>
      <c r="D798" s="103" t="n"/>
      <c r="E798" s="103" t="n"/>
      <c r="F798" s="104" t="n"/>
      <c r="G798" s="102" t="n"/>
      <c r="H798" s="103" t="n"/>
      <c r="I798" s="103" t="n"/>
      <c r="J798" s="104" t="n"/>
      <c r="K798" s="102" t="n"/>
      <c r="L798" s="103" t="n"/>
      <c r="M798" s="103" t="n"/>
      <c r="N798" s="104" t="n"/>
      <c r="O798" s="102" t="n"/>
      <c r="P798" s="103" t="n"/>
      <c r="Q798" s="103" t="n"/>
      <c r="R798" s="104" t="n"/>
      <c r="S798" s="102" t="n"/>
      <c r="T798" s="103" t="n"/>
      <c r="U798" s="103" t="n"/>
      <c r="V798" s="104" t="n"/>
      <c r="W798" s="102" t="n"/>
      <c r="X798" s="104" t="n"/>
      <c r="Y798" s="102" t="n"/>
      <c r="Z798" s="104" t="n"/>
      <c r="AB798" s="105">
        <f>IF($B798="","",(COUNTIF(C758:E775,$B798)+COUNTIF(C758:E775,$B798&amp;" ~*")&gt;0)+(COUNTIF(G758:I775,$B798)+COUNTIF(G758:I775,$B798&amp;" ~*")&gt;0)+(COUNTIF(K758:M775,$B798)+COUNTIF(K758:M775,$B798&amp;" ~*")&gt;0)+(COUNTIF(O758:Q775,$B798)+COUNTIF(O758:Q775,$B798&amp;" ~*")&gt;0)+(COUNTIF(S758:U775,$B798)+COUNTIF(S758:U775,$B798&amp;" ~*")&gt;0)+(COUNTIF(W758:W775,$B798)+COUNTIF(W758:W775,$B798&amp;" ~*")&gt;0)+(COUNTIF(Y758:Y775,$B798)+COUNTIF(Y758:Y775,$B798&amp;" ~*")&gt;0))</f>
        <v/>
      </c>
      <c r="AC798" s="38">
        <f>IF($B798="","",(IFERROR(INDEX(Setup!$G$33:$G$40,MATCH(C798,Setup!$B$33:$B$40,0)),0)=1)*(COUNTIF(C758:E775,$B798)+COUNTIF(C758:E775,$B798&amp;" ~*")&gt;0)+(IFERROR(INDEX(Setup!$G$33:$G$40,MATCH(G798,Setup!$B$33:$B$40,0)),0)=1)*(COUNTIF(G758:I775,$B798)+COUNTIF(G758:I775,$B798&amp;" ~*")&gt;0)+(IFERROR(INDEX(Setup!$G$33:$G$40,MATCH(K798,Setup!$B$33:$B$40,0)),0)=1)*(COUNTIF(K758:M775,$B798)+COUNTIF(K758:M775,$B798&amp;" ~*")&gt;0)+(IFERROR(INDEX(Setup!$G$33:$G$40,MATCH(O798,Setup!$B$33:$B$40,0)),0)=1)*(COUNTIF(O758:Q775,$B798)+COUNTIF(O758:Q775,$B798&amp;" ~*")&gt;0)+(IFERROR(INDEX(Setup!$G$33:$G$40,MATCH(S798,Setup!$B$33:$B$40,0)),0)=1)*(COUNTIF(S758:U775,$B798)+COUNTIF(S758:U775,$B798&amp;" ~*")&gt;0)+(IFERROR(INDEX(Setup!$G$33:$G$40,MATCH(W798,Setup!$B$33:$B$40,0)),0)=1)*(COUNTIF(W758:W775,$B798)+COUNTIF(W758:W775,$B798&amp;" ~*")&gt;0)+(IFERROR(INDEX(Setup!$G$33:$G$40,MATCH(Y798,Setup!$B$33:$B$40,0)),0)=1)*(COUNTIF(Y758:Y775,$B798)+COUNTIF(Y758:Y775,$B798&amp;" ~*")&gt;0))</f>
        <v/>
      </c>
    </row>
    <row r="799" ht="15" customHeight="1">
      <c r="A799" t="n">
        <v>16</v>
      </c>
      <c r="B799" s="35">
        <f>IF(Setup!$B$28="","",Setup!$B$28)</f>
        <v/>
      </c>
      <c r="C799" s="98" t="n"/>
      <c r="D799" s="99" t="n"/>
      <c r="E799" s="99" t="n"/>
      <c r="F799" s="100" t="n"/>
      <c r="G799" s="98" t="n"/>
      <c r="H799" s="99" t="n"/>
      <c r="I799" s="99" t="n"/>
      <c r="J799" s="100" t="n"/>
      <c r="K799" s="98" t="n"/>
      <c r="L799" s="99" t="n"/>
      <c r="M799" s="99" t="n"/>
      <c r="N799" s="100" t="n"/>
      <c r="O799" s="98" t="n"/>
      <c r="P799" s="99" t="n"/>
      <c r="Q799" s="99" t="n"/>
      <c r="R799" s="100" t="n"/>
      <c r="S799" s="98" t="n"/>
      <c r="T799" s="99" t="n"/>
      <c r="U799" s="99" t="n"/>
      <c r="V799" s="100" t="n"/>
      <c r="W799" s="98" t="n"/>
      <c r="X799" s="100" t="n"/>
      <c r="Y799" s="98" t="n"/>
      <c r="Z799" s="100" t="n"/>
      <c r="AB799" s="101">
        <f>IF($B799="","",(COUNTIF(C758:E775,$B799)+COUNTIF(C758:E775,$B799&amp;" ~*")&gt;0)+(COUNTIF(G758:I775,$B799)+COUNTIF(G758:I775,$B799&amp;" ~*")&gt;0)+(COUNTIF(K758:M775,$B799)+COUNTIF(K758:M775,$B799&amp;" ~*")&gt;0)+(COUNTIF(O758:Q775,$B799)+COUNTIF(O758:Q775,$B799&amp;" ~*")&gt;0)+(COUNTIF(S758:U775,$B799)+COUNTIF(S758:U775,$B799&amp;" ~*")&gt;0)+(COUNTIF(W758:W775,$B799)+COUNTIF(W758:W775,$B799&amp;" ~*")&gt;0)+(COUNTIF(Y758:Y775,$B799)+COUNTIF(Y758:Y775,$B799&amp;" ~*")&gt;0))</f>
        <v/>
      </c>
      <c r="AC799" s="36">
        <f>IF($B799="","",(IFERROR(INDEX(Setup!$G$33:$G$40,MATCH(C799,Setup!$B$33:$B$40,0)),0)=1)*(COUNTIF(C758:E775,$B799)+COUNTIF(C758:E775,$B799&amp;" ~*")&gt;0)+(IFERROR(INDEX(Setup!$G$33:$G$40,MATCH(G799,Setup!$B$33:$B$40,0)),0)=1)*(COUNTIF(G758:I775,$B799)+COUNTIF(G758:I775,$B799&amp;" ~*")&gt;0)+(IFERROR(INDEX(Setup!$G$33:$G$40,MATCH(K799,Setup!$B$33:$B$40,0)),0)=1)*(COUNTIF(K758:M775,$B799)+COUNTIF(K758:M775,$B799&amp;" ~*")&gt;0)+(IFERROR(INDEX(Setup!$G$33:$G$40,MATCH(O799,Setup!$B$33:$B$40,0)),0)=1)*(COUNTIF(O758:Q775,$B799)+COUNTIF(O758:Q775,$B799&amp;" ~*")&gt;0)+(IFERROR(INDEX(Setup!$G$33:$G$40,MATCH(S799,Setup!$B$33:$B$40,0)),0)=1)*(COUNTIF(S758:U775,$B799)+COUNTIF(S758:U775,$B799&amp;" ~*")&gt;0)+(IFERROR(INDEX(Setup!$G$33:$G$40,MATCH(W799,Setup!$B$33:$B$40,0)),0)=1)*(COUNTIF(W758:W775,$B799)+COUNTIF(W758:W775,$B799&amp;" ~*")&gt;0)+(IFERROR(INDEX(Setup!$G$33:$G$40,MATCH(Y799,Setup!$B$33:$B$40,0)),0)=1)*(COUNTIF(Y758:Y775,$B799)+COUNTIF(Y758:Y775,$B799&amp;" ~*")&gt;0))</f>
        <v/>
      </c>
    </row>
    <row r="800" ht="15" customHeight="1">
      <c r="A800" t="n">
        <v>16</v>
      </c>
      <c r="B800" s="37">
        <f>IF(Setup!$B$29="","",Setup!$B$29)</f>
        <v/>
      </c>
      <c r="C800" s="102" t="n"/>
      <c r="D800" s="103" t="n"/>
      <c r="E800" s="103" t="n"/>
      <c r="F800" s="104" t="n"/>
      <c r="G800" s="102" t="n"/>
      <c r="H800" s="103" t="n"/>
      <c r="I800" s="103" t="n"/>
      <c r="J800" s="104" t="n"/>
      <c r="K800" s="102" t="n"/>
      <c r="L800" s="103" t="n"/>
      <c r="M800" s="103" t="n"/>
      <c r="N800" s="104" t="n"/>
      <c r="O800" s="102" t="n"/>
      <c r="P800" s="103" t="n"/>
      <c r="Q800" s="103" t="n"/>
      <c r="R800" s="104" t="n"/>
      <c r="S800" s="102" t="n"/>
      <c r="T800" s="103" t="n"/>
      <c r="U800" s="103" t="n"/>
      <c r="V800" s="104" t="n"/>
      <c r="W800" s="102" t="n"/>
      <c r="X800" s="104" t="n"/>
      <c r="Y800" s="102" t="n"/>
      <c r="Z800" s="104" t="n"/>
      <c r="AB800" s="105">
        <f>IF($B800="","",(COUNTIF(C758:E775,$B800)+COUNTIF(C758:E775,$B800&amp;" ~*")&gt;0)+(COUNTIF(G758:I775,$B800)+COUNTIF(G758:I775,$B800&amp;" ~*")&gt;0)+(COUNTIF(K758:M775,$B800)+COUNTIF(K758:M775,$B800&amp;" ~*")&gt;0)+(COUNTIF(O758:Q775,$B800)+COUNTIF(O758:Q775,$B800&amp;" ~*")&gt;0)+(COUNTIF(S758:U775,$B800)+COUNTIF(S758:U775,$B800&amp;" ~*")&gt;0)+(COUNTIF(W758:W775,$B800)+COUNTIF(W758:W775,$B800&amp;" ~*")&gt;0)+(COUNTIF(Y758:Y775,$B800)+COUNTIF(Y758:Y775,$B800&amp;" ~*")&gt;0))</f>
        <v/>
      </c>
      <c r="AC800" s="38">
        <f>IF($B800="","",(IFERROR(INDEX(Setup!$G$33:$G$40,MATCH(C800,Setup!$B$33:$B$40,0)),0)=1)*(COUNTIF(C758:E775,$B800)+COUNTIF(C758:E775,$B800&amp;" ~*")&gt;0)+(IFERROR(INDEX(Setup!$G$33:$G$40,MATCH(G800,Setup!$B$33:$B$40,0)),0)=1)*(COUNTIF(G758:I775,$B800)+COUNTIF(G758:I775,$B800&amp;" ~*")&gt;0)+(IFERROR(INDEX(Setup!$G$33:$G$40,MATCH(K800,Setup!$B$33:$B$40,0)),0)=1)*(COUNTIF(K758:M775,$B800)+COUNTIF(K758:M775,$B800&amp;" ~*")&gt;0)+(IFERROR(INDEX(Setup!$G$33:$G$40,MATCH(O800,Setup!$B$33:$B$40,0)),0)=1)*(COUNTIF(O758:Q775,$B800)+COUNTIF(O758:Q775,$B800&amp;" ~*")&gt;0)+(IFERROR(INDEX(Setup!$G$33:$G$40,MATCH(S800,Setup!$B$33:$B$40,0)),0)=1)*(COUNTIF(S758:U775,$B800)+COUNTIF(S758:U775,$B800&amp;" ~*")&gt;0)+(IFERROR(INDEX(Setup!$G$33:$G$40,MATCH(W800,Setup!$B$33:$B$40,0)),0)=1)*(COUNTIF(W758:W775,$B800)+COUNTIF(W758:W775,$B800&amp;" ~*")&gt;0)+(IFERROR(INDEX(Setup!$G$33:$G$40,MATCH(Y800,Setup!$B$33:$B$40,0)),0)=1)*(COUNTIF(Y758:Y775,$B800)+COUNTIF(Y758:Y775,$B800&amp;" ~*")&gt;0))</f>
        <v/>
      </c>
    </row>
    <row r="801" ht="16" customHeight="1">
      <c r="A801" t="n">
        <v>16</v>
      </c>
      <c r="B801" s="106" t="inlineStr">
        <is>
          <t>Available people</t>
        </is>
      </c>
      <c r="C801" s="107">
        <f>COUNTIFS(Setup!$E$6:$E$29,"Y",Setup!$B$6:$B$29,"?*")-SUMPRODUCT(COUNTIF(C777:C800,Setup!$F$33:$F$40))</f>
        <v/>
      </c>
      <c r="D801" s="107" t="n"/>
      <c r="E801" s="107" t="n"/>
      <c r="F801" s="107" t="n"/>
      <c r="G801" s="107">
        <f>COUNTIFS(Setup!$E$6:$E$29,"Y",Setup!$B$6:$B$29,"?*")-SUMPRODUCT(COUNTIF(G777:G800,Setup!$F$33:$F$40))</f>
        <v/>
      </c>
      <c r="H801" s="107" t="n"/>
      <c r="I801" s="107" t="n"/>
      <c r="J801" s="107" t="n"/>
      <c r="K801" s="107">
        <f>COUNTIFS(Setup!$E$6:$E$29,"Y",Setup!$B$6:$B$29,"?*")-SUMPRODUCT(COUNTIF(K777:K800,Setup!$F$33:$F$40))</f>
        <v/>
      </c>
      <c r="L801" s="107" t="n"/>
      <c r="M801" s="107" t="n"/>
      <c r="N801" s="107" t="n"/>
      <c r="O801" s="107">
        <f>COUNTIFS(Setup!$E$6:$E$29,"Y",Setup!$B$6:$B$29,"?*")-SUMPRODUCT(COUNTIF(O777:O800,Setup!$F$33:$F$40))</f>
        <v/>
      </c>
      <c r="P801" s="107" t="n"/>
      <c r="Q801" s="107" t="n"/>
      <c r="R801" s="107" t="n"/>
      <c r="S801" s="107">
        <f>COUNTIFS(Setup!$E$6:$E$29,"Y",Setup!$B$6:$B$29,"?*")-SUMPRODUCT(COUNTIF(S777:S800,Setup!$F$33:$F$40))</f>
        <v/>
      </c>
      <c r="T801" s="107" t="n"/>
      <c r="U801" s="107" t="n"/>
      <c r="V801" s="107" t="n"/>
      <c r="W801" s="107">
        <f>COUNTIFS(Setup!$E$6:$E$29,"Y",Setup!$B$6:$B$29,"?*")-SUMPRODUCT(COUNTIF(W777:W800,Setup!$F$33:$F$40))</f>
        <v/>
      </c>
      <c r="X801" s="107" t="n"/>
      <c r="Y801" s="107">
        <f>COUNTIFS(Setup!$E$6:$E$29,"Y",Setup!$B$6:$B$29,"?*")-SUMPRODUCT(COUNTIF(Y777:Y800,Setup!$F$33:$F$40))</f>
        <v/>
      </c>
      <c r="Z801" s="107" t="n"/>
      <c r="AB801" s="108">
        <f>SUM(AB777:AB800)</f>
        <v/>
      </c>
      <c r="AC801" s="109">
        <f>SUM(AC777:AC800)</f>
        <v/>
      </c>
    </row>
    <row r="802" ht="30" customHeight="1">
      <c r="A802" t="n">
        <v>16</v>
      </c>
      <c r="B802" s="110" t="inlineStr">
        <is>
          <t>Week notes</t>
        </is>
      </c>
      <c r="C802" s="111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112" t="n"/>
      <c r="R802" s="112" t="n"/>
      <c r="S802" s="112" t="n"/>
      <c r="T802" s="112" t="n"/>
      <c r="U802" s="112" t="n"/>
      <c r="V802" s="112" t="n"/>
      <c r="W802" s="112" t="n"/>
      <c r="X802" s="112" t="n"/>
      <c r="Y802" s="112" t="n"/>
      <c r="Z802" s="113" t="n"/>
    </row>
    <row r="803" ht="8" customHeight="1">
      <c r="A803" t="n">
        <v>16</v>
      </c>
    </row>
    <row r="804" ht="8" customHeight="1">
      <c r="A804" t="n">
        <v>16</v>
      </c>
    </row>
    <row r="805" ht="24" customHeight="1">
      <c r="A805" t="n">
        <v>17</v>
      </c>
      <c r="B805" s="73">
        <f>"WEEK 17     "&amp;TEXT(C806,"ddd d mmm")&amp;"  –  "&amp;TEXT(C806+6,"ddd d mmm yyyy")</f>
        <v/>
      </c>
      <c r="S805" s="74">
        <f>IF(TODAY()&lt;C806,"FUTURE",IF(TODAY()&gt;C806+6,"PAST","THIS WEEK"))</f>
        <v/>
      </c>
      <c r="W805" s="75">
        <f>IF(AND(Engine!$B$8=$AC$3,Engine!$B$9=$A805),"◀ ACTIVE WEEK","")</f>
        <v/>
      </c>
      <c r="AA805" s="76" t="n"/>
      <c r="AB805" s="77" t="inlineStr">
        <is>
          <t>◀ Prev</t>
        </is>
      </c>
      <c r="AC805" s="77" t="inlineStr">
        <is>
          <t>Next ▶</t>
        </is>
      </c>
    </row>
    <row r="806" ht="18" customHeight="1">
      <c r="A806" t="n">
        <v>17</v>
      </c>
      <c r="B806" s="78" t="inlineStr">
        <is>
          <t>DUTY</t>
        </is>
      </c>
      <c r="C806" s="79">
        <f>$AC$2+7*($A806-1)</f>
        <v/>
      </c>
      <c r="D806" s="80" t="n"/>
      <c r="E806" s="80" t="n"/>
      <c r="F806" s="81" t="n"/>
      <c r="G806" s="79">
        <f>C806+1</f>
        <v/>
      </c>
      <c r="H806" s="80" t="n"/>
      <c r="I806" s="80" t="n"/>
      <c r="J806" s="81" t="n"/>
      <c r="K806" s="79">
        <f>C806+2</f>
        <v/>
      </c>
      <c r="L806" s="80" t="n"/>
      <c r="M806" s="80" t="n"/>
      <c r="N806" s="81" t="n"/>
      <c r="O806" s="79">
        <f>C806+3</f>
        <v/>
      </c>
      <c r="P806" s="80" t="n"/>
      <c r="Q806" s="80" t="n"/>
      <c r="R806" s="81" t="n"/>
      <c r="S806" s="79">
        <f>C806+4</f>
        <v/>
      </c>
      <c r="T806" s="80" t="n"/>
      <c r="U806" s="80" t="n"/>
      <c r="V806" s="81" t="n"/>
      <c r="W806" s="82">
        <f>C806+5</f>
        <v/>
      </c>
      <c r="X806" s="83" t="n"/>
      <c r="Y806" s="82">
        <f>C806+6</f>
        <v/>
      </c>
      <c r="Z806" s="83" t="n"/>
      <c r="AB806" s="72" t="inlineStr">
        <is>
          <t>Gaps</t>
        </is>
      </c>
      <c r="AC806" s="72" t="inlineStr">
        <is>
          <t>Cover</t>
        </is>
      </c>
    </row>
    <row r="807" ht="14" customHeight="1">
      <c r="A807" t="n">
        <v>17</v>
      </c>
      <c r="B807" s="84" t="inlineStr">
        <is>
          <t>(from Setup)</t>
        </is>
      </c>
      <c r="C807" s="85" t="inlineStr">
        <is>
          <t>1</t>
        </is>
      </c>
      <c r="D807" s="85" t="inlineStr">
        <is>
          <t>2</t>
        </is>
      </c>
      <c r="E807" s="85" t="inlineStr">
        <is>
          <t>3</t>
        </is>
      </c>
      <c r="F807" s="85" t="inlineStr">
        <is>
          <t>Notes</t>
        </is>
      </c>
      <c r="G807" s="85" t="inlineStr">
        <is>
          <t>1</t>
        </is>
      </c>
      <c r="H807" s="85" t="inlineStr">
        <is>
          <t>2</t>
        </is>
      </c>
      <c r="I807" s="85" t="inlineStr">
        <is>
          <t>3</t>
        </is>
      </c>
      <c r="J807" s="85" t="inlineStr">
        <is>
          <t>Notes</t>
        </is>
      </c>
      <c r="K807" s="85" t="inlineStr">
        <is>
          <t>1</t>
        </is>
      </c>
      <c r="L807" s="85" t="inlineStr">
        <is>
          <t>2</t>
        </is>
      </c>
      <c r="M807" s="85" t="inlineStr">
        <is>
          <t>3</t>
        </is>
      </c>
      <c r="N807" s="85" t="inlineStr">
        <is>
          <t>Notes</t>
        </is>
      </c>
      <c r="O807" s="85" t="inlineStr">
        <is>
          <t>1</t>
        </is>
      </c>
      <c r="P807" s="85" t="inlineStr">
        <is>
          <t>2</t>
        </is>
      </c>
      <c r="Q807" s="85" t="inlineStr">
        <is>
          <t>3</t>
        </is>
      </c>
      <c r="R807" s="85" t="inlineStr">
        <is>
          <t>Notes</t>
        </is>
      </c>
      <c r="S807" s="85" t="inlineStr">
        <is>
          <t>1</t>
        </is>
      </c>
      <c r="T807" s="85" t="inlineStr">
        <is>
          <t>2</t>
        </is>
      </c>
      <c r="U807" s="85" t="inlineStr">
        <is>
          <t>3</t>
        </is>
      </c>
      <c r="V807" s="85" t="inlineStr">
        <is>
          <t>Notes</t>
        </is>
      </c>
      <c r="W807" s="85" t="inlineStr">
        <is>
          <t>Cover</t>
        </is>
      </c>
      <c r="X807" s="85" t="inlineStr">
        <is>
          <t>Notes</t>
        </is>
      </c>
      <c r="Y807" s="85" t="inlineStr">
        <is>
          <t>Cover</t>
        </is>
      </c>
      <c r="Z807" s="85" t="inlineStr">
        <is>
          <t>Notes</t>
        </is>
      </c>
      <c r="AB807" s="86" t="inlineStr">
        <is>
          <t>weekdays short</t>
        </is>
      </c>
      <c r="AC807" s="87" t="inlineStr"/>
    </row>
    <row r="808" ht="17" customHeight="1">
      <c r="A808" t="n">
        <v>17</v>
      </c>
      <c r="B808" s="24">
        <f>IF(Setup!$K$6="","",Setup!$K$6)</f>
        <v/>
      </c>
      <c r="C808" s="88" t="n"/>
      <c r="D808" s="88" t="n"/>
      <c r="E808" s="88" t="n"/>
      <c r="F808" s="89" t="n"/>
      <c r="G808" s="88" t="n"/>
      <c r="H808" s="88" t="n"/>
      <c r="I808" s="88" t="n"/>
      <c r="J808" s="89" t="n"/>
      <c r="K808" s="88" t="n"/>
      <c r="L808" s="88" t="n"/>
      <c r="M808" s="88" t="n"/>
      <c r="N808" s="89" t="n"/>
      <c r="O808" s="88" t="n"/>
      <c r="P808" s="88" t="n"/>
      <c r="Q808" s="88" t="n"/>
      <c r="R808" s="89" t="n"/>
      <c r="S808" s="88" t="n"/>
      <c r="T808" s="88" t="n"/>
      <c r="U808" s="88" t="n"/>
      <c r="V808" s="89" t="n"/>
      <c r="W808" s="88" t="n"/>
      <c r="X808" s="89" t="n"/>
      <c r="Y808" s="88" t="n"/>
      <c r="Z808" s="89" t="n"/>
      <c r="AB808" s="25">
        <f>IF($B808="","",(COUNTIF(C808:E808,"?*")&lt;N(INDEX(Setup!$L$6:$L$23,1)))+(COUNTIF(G808:I808,"?*")&lt;N(INDEX(Setup!$L$6:$L$23,1)))+(COUNTIF(K808:M808,"?*")&lt;N(INDEX(Setup!$L$6:$L$23,1)))+(COUNTIF(O808:Q808,"?*")&lt;N(INDEX(Setup!$L$6:$L$23,1)))+(COUNTIF(S808:U808,"?*")&lt;N(INDEX(Setup!$L$6:$L$23,1)))+((W808="")*(INDEX(Setup!$M$6:$M$23,1)="Y"))+((Y808="")*(INDEX(Setup!$M$6:$M$23,1)="Y")))</f>
        <v/>
      </c>
      <c r="AC808" s="90">
        <f>IF($B808="","",IF(AB808=0,"✓ covered","⚠ "&amp;AB808&amp;IF(AB808=1," gap"," gaps")))</f>
        <v/>
      </c>
    </row>
    <row r="809" ht="17" customHeight="1">
      <c r="A809" t="n">
        <v>17</v>
      </c>
      <c r="B809" s="29">
        <f>IF(Setup!$K$7="","",Setup!$K$7)</f>
        <v/>
      </c>
      <c r="C809" s="88" t="n"/>
      <c r="D809" s="88" t="n"/>
      <c r="E809" s="88" t="n"/>
      <c r="F809" s="89" t="n"/>
      <c r="G809" s="88" t="n"/>
      <c r="H809" s="88" t="n"/>
      <c r="I809" s="88" t="n"/>
      <c r="J809" s="89" t="n"/>
      <c r="K809" s="88" t="n"/>
      <c r="L809" s="88" t="n"/>
      <c r="M809" s="88" t="n"/>
      <c r="N809" s="89" t="n"/>
      <c r="O809" s="88" t="n"/>
      <c r="P809" s="88" t="n"/>
      <c r="Q809" s="88" t="n"/>
      <c r="R809" s="89" t="n"/>
      <c r="S809" s="88" t="n"/>
      <c r="T809" s="88" t="n"/>
      <c r="U809" s="88" t="n"/>
      <c r="V809" s="89" t="n"/>
      <c r="W809" s="88" t="n"/>
      <c r="X809" s="89" t="n"/>
      <c r="Y809" s="88" t="n"/>
      <c r="Z809" s="89" t="n"/>
      <c r="AB809" s="30">
        <f>IF($B809="","",(COUNTIF(C809:E809,"?*")&lt;N(INDEX(Setup!$L$6:$L$23,2)))+(COUNTIF(G809:I809,"?*")&lt;N(INDEX(Setup!$L$6:$L$23,2)))+(COUNTIF(K809:M809,"?*")&lt;N(INDEX(Setup!$L$6:$L$23,2)))+(COUNTIF(O809:Q809,"?*")&lt;N(INDEX(Setup!$L$6:$L$23,2)))+(COUNTIF(S809:U809,"?*")&lt;N(INDEX(Setup!$L$6:$L$23,2)))+((W809="")*(INDEX(Setup!$M$6:$M$23,2)="Y"))+((Y809="")*(INDEX(Setup!$M$6:$M$23,2)="Y")))</f>
        <v/>
      </c>
      <c r="AC809" s="91">
        <f>IF($B809="","",IF(AB809=0,"✓ covered","⚠ "&amp;AB809&amp;IF(AB809=1," gap"," gaps")))</f>
        <v/>
      </c>
    </row>
    <row r="810" ht="17" customHeight="1">
      <c r="A810" t="n">
        <v>17</v>
      </c>
      <c r="B810" s="24">
        <f>IF(Setup!$K$8="","",Setup!$K$8)</f>
        <v/>
      </c>
      <c r="C810" s="88" t="n"/>
      <c r="D810" s="88" t="n"/>
      <c r="E810" s="88" t="n"/>
      <c r="F810" s="89" t="n"/>
      <c r="G810" s="88" t="n"/>
      <c r="H810" s="88" t="n"/>
      <c r="I810" s="88" t="n"/>
      <c r="J810" s="89" t="n"/>
      <c r="K810" s="88" t="n"/>
      <c r="L810" s="88" t="n"/>
      <c r="M810" s="88" t="n"/>
      <c r="N810" s="89" t="n"/>
      <c r="O810" s="88" t="n"/>
      <c r="P810" s="88" t="n"/>
      <c r="Q810" s="88" t="n"/>
      <c r="R810" s="89" t="n"/>
      <c r="S810" s="88" t="n"/>
      <c r="T810" s="88" t="n"/>
      <c r="U810" s="88" t="n"/>
      <c r="V810" s="89" t="n"/>
      <c r="W810" s="88" t="n"/>
      <c r="X810" s="89" t="n"/>
      <c r="Y810" s="88" t="n"/>
      <c r="Z810" s="89" t="n"/>
      <c r="AB810" s="25">
        <f>IF($B810="","",(COUNTIF(C810:E810,"?*")&lt;N(INDEX(Setup!$L$6:$L$23,3)))+(COUNTIF(G810:I810,"?*")&lt;N(INDEX(Setup!$L$6:$L$23,3)))+(COUNTIF(K810:M810,"?*")&lt;N(INDEX(Setup!$L$6:$L$23,3)))+(COUNTIF(O810:Q810,"?*")&lt;N(INDEX(Setup!$L$6:$L$23,3)))+(COUNTIF(S810:U810,"?*")&lt;N(INDEX(Setup!$L$6:$L$23,3)))+((W810="")*(INDEX(Setup!$M$6:$M$23,3)="Y"))+((Y810="")*(INDEX(Setup!$M$6:$M$23,3)="Y")))</f>
        <v/>
      </c>
      <c r="AC810" s="90">
        <f>IF($B810="","",IF(AB810=0,"✓ covered","⚠ "&amp;AB810&amp;IF(AB810=1," gap"," gaps")))</f>
        <v/>
      </c>
    </row>
    <row r="811" ht="17" customHeight="1">
      <c r="A811" t="n">
        <v>17</v>
      </c>
      <c r="B811" s="29">
        <f>IF(Setup!$K$9="","",Setup!$K$9)</f>
        <v/>
      </c>
      <c r="C811" s="88" t="n"/>
      <c r="D811" s="88" t="n"/>
      <c r="E811" s="88" t="n"/>
      <c r="F811" s="89" t="n"/>
      <c r="G811" s="88" t="n"/>
      <c r="H811" s="88" t="n"/>
      <c r="I811" s="88" t="n"/>
      <c r="J811" s="89" t="n"/>
      <c r="K811" s="88" t="n"/>
      <c r="L811" s="88" t="n"/>
      <c r="M811" s="88" t="n"/>
      <c r="N811" s="89" t="n"/>
      <c r="O811" s="88" t="n"/>
      <c r="P811" s="88" t="n"/>
      <c r="Q811" s="88" t="n"/>
      <c r="R811" s="89" t="n"/>
      <c r="S811" s="88" t="n"/>
      <c r="T811" s="88" t="n"/>
      <c r="U811" s="88" t="n"/>
      <c r="V811" s="89" t="n"/>
      <c r="W811" s="88" t="n"/>
      <c r="X811" s="89" t="n"/>
      <c r="Y811" s="88" t="n"/>
      <c r="Z811" s="89" t="n"/>
      <c r="AB811" s="30">
        <f>IF($B811="","",(COUNTIF(C811:E811,"?*")&lt;N(INDEX(Setup!$L$6:$L$23,4)))+(COUNTIF(G811:I811,"?*")&lt;N(INDEX(Setup!$L$6:$L$23,4)))+(COUNTIF(K811:M811,"?*")&lt;N(INDEX(Setup!$L$6:$L$23,4)))+(COUNTIF(O811:Q811,"?*")&lt;N(INDEX(Setup!$L$6:$L$23,4)))+(COUNTIF(S811:U811,"?*")&lt;N(INDEX(Setup!$L$6:$L$23,4)))+((W811="")*(INDEX(Setup!$M$6:$M$23,4)="Y"))+((Y811="")*(INDEX(Setup!$M$6:$M$23,4)="Y")))</f>
        <v/>
      </c>
      <c r="AC811" s="91">
        <f>IF($B811="","",IF(AB811=0,"✓ covered","⚠ "&amp;AB811&amp;IF(AB811=1," gap"," gaps")))</f>
        <v/>
      </c>
    </row>
    <row r="812" ht="17" customHeight="1">
      <c r="A812" t="n">
        <v>17</v>
      </c>
      <c r="B812" s="24">
        <f>IF(Setup!$K$10="","",Setup!$K$10)</f>
        <v/>
      </c>
      <c r="C812" s="88" t="n"/>
      <c r="D812" s="88" t="n"/>
      <c r="E812" s="88" t="n"/>
      <c r="F812" s="89" t="n"/>
      <c r="G812" s="88" t="n"/>
      <c r="H812" s="88" t="n"/>
      <c r="I812" s="88" t="n"/>
      <c r="J812" s="89" t="n"/>
      <c r="K812" s="88" t="n"/>
      <c r="L812" s="88" t="n"/>
      <c r="M812" s="88" t="n"/>
      <c r="N812" s="89" t="n"/>
      <c r="O812" s="88" t="n"/>
      <c r="P812" s="88" t="n"/>
      <c r="Q812" s="88" t="n"/>
      <c r="R812" s="89" t="n"/>
      <c r="S812" s="88" t="n"/>
      <c r="T812" s="88" t="n"/>
      <c r="U812" s="88" t="n"/>
      <c r="V812" s="89" t="n"/>
      <c r="W812" s="88" t="n"/>
      <c r="X812" s="89" t="n"/>
      <c r="Y812" s="88" t="n"/>
      <c r="Z812" s="89" t="n"/>
      <c r="AB812" s="25">
        <f>IF($B812="","",(COUNTIF(C812:E812,"?*")&lt;N(INDEX(Setup!$L$6:$L$23,5)))+(COUNTIF(G812:I812,"?*")&lt;N(INDEX(Setup!$L$6:$L$23,5)))+(COUNTIF(K812:M812,"?*")&lt;N(INDEX(Setup!$L$6:$L$23,5)))+(COUNTIF(O812:Q812,"?*")&lt;N(INDEX(Setup!$L$6:$L$23,5)))+(COUNTIF(S812:U812,"?*")&lt;N(INDEX(Setup!$L$6:$L$23,5)))+((W812="")*(INDEX(Setup!$M$6:$M$23,5)="Y"))+((Y812="")*(INDEX(Setup!$M$6:$M$23,5)="Y")))</f>
        <v/>
      </c>
      <c r="AC812" s="90">
        <f>IF($B812="","",IF(AB812=0,"✓ covered","⚠ "&amp;AB812&amp;IF(AB812=1," gap"," gaps")))</f>
        <v/>
      </c>
    </row>
    <row r="813" ht="17" customHeight="1">
      <c r="A813" t="n">
        <v>17</v>
      </c>
      <c r="B813" s="29">
        <f>IF(Setup!$K$11="","",Setup!$K$11)</f>
        <v/>
      </c>
      <c r="C813" s="88" t="n"/>
      <c r="D813" s="88" t="n"/>
      <c r="E813" s="88" t="n"/>
      <c r="F813" s="89" t="n"/>
      <c r="G813" s="88" t="n"/>
      <c r="H813" s="88" t="n"/>
      <c r="I813" s="88" t="n"/>
      <c r="J813" s="89" t="n"/>
      <c r="K813" s="88" t="n"/>
      <c r="L813" s="88" t="n"/>
      <c r="M813" s="88" t="n"/>
      <c r="N813" s="89" t="n"/>
      <c r="O813" s="88" t="n"/>
      <c r="P813" s="88" t="n"/>
      <c r="Q813" s="88" t="n"/>
      <c r="R813" s="89" t="n"/>
      <c r="S813" s="88" t="n"/>
      <c r="T813" s="88" t="n"/>
      <c r="U813" s="88" t="n"/>
      <c r="V813" s="89" t="n"/>
      <c r="W813" s="88" t="n"/>
      <c r="X813" s="89" t="n"/>
      <c r="Y813" s="88" t="n"/>
      <c r="Z813" s="89" t="n"/>
      <c r="AB813" s="30">
        <f>IF($B813="","",(COUNTIF(C813:E813,"?*")&lt;N(INDEX(Setup!$L$6:$L$23,6)))+(COUNTIF(G813:I813,"?*")&lt;N(INDEX(Setup!$L$6:$L$23,6)))+(COUNTIF(K813:M813,"?*")&lt;N(INDEX(Setup!$L$6:$L$23,6)))+(COUNTIF(O813:Q813,"?*")&lt;N(INDEX(Setup!$L$6:$L$23,6)))+(COUNTIF(S813:U813,"?*")&lt;N(INDEX(Setup!$L$6:$L$23,6)))+((W813="")*(INDEX(Setup!$M$6:$M$23,6)="Y"))+((Y813="")*(INDEX(Setup!$M$6:$M$23,6)="Y")))</f>
        <v/>
      </c>
      <c r="AC813" s="91">
        <f>IF($B813="","",IF(AB813=0,"✓ covered","⚠ "&amp;AB813&amp;IF(AB813=1," gap"," gaps")))</f>
        <v/>
      </c>
    </row>
    <row r="814" ht="17" customHeight="1">
      <c r="A814" t="n">
        <v>17</v>
      </c>
      <c r="B814" s="24">
        <f>IF(Setup!$K$12="","",Setup!$K$12)</f>
        <v/>
      </c>
      <c r="C814" s="88" t="n"/>
      <c r="D814" s="88" t="n"/>
      <c r="E814" s="88" t="n"/>
      <c r="F814" s="89" t="n"/>
      <c r="G814" s="88" t="n"/>
      <c r="H814" s="88" t="n"/>
      <c r="I814" s="88" t="n"/>
      <c r="J814" s="89" t="n"/>
      <c r="K814" s="88" t="n"/>
      <c r="L814" s="88" t="n"/>
      <c r="M814" s="88" t="n"/>
      <c r="N814" s="89" t="n"/>
      <c r="O814" s="88" t="n"/>
      <c r="P814" s="88" t="n"/>
      <c r="Q814" s="88" t="n"/>
      <c r="R814" s="89" t="n"/>
      <c r="S814" s="88" t="n"/>
      <c r="T814" s="88" t="n"/>
      <c r="U814" s="88" t="n"/>
      <c r="V814" s="89" t="n"/>
      <c r="W814" s="88" t="n"/>
      <c r="X814" s="89" t="n"/>
      <c r="Y814" s="88" t="n"/>
      <c r="Z814" s="89" t="n"/>
      <c r="AB814" s="25">
        <f>IF($B814="","",(COUNTIF(C814:E814,"?*")&lt;N(INDEX(Setup!$L$6:$L$23,7)))+(COUNTIF(G814:I814,"?*")&lt;N(INDEX(Setup!$L$6:$L$23,7)))+(COUNTIF(K814:M814,"?*")&lt;N(INDEX(Setup!$L$6:$L$23,7)))+(COUNTIF(O814:Q814,"?*")&lt;N(INDEX(Setup!$L$6:$L$23,7)))+(COUNTIF(S814:U814,"?*")&lt;N(INDEX(Setup!$L$6:$L$23,7)))+((W814="")*(INDEX(Setup!$M$6:$M$23,7)="Y"))+((Y814="")*(INDEX(Setup!$M$6:$M$23,7)="Y")))</f>
        <v/>
      </c>
      <c r="AC814" s="90">
        <f>IF($B814="","",IF(AB814=0,"✓ covered","⚠ "&amp;AB814&amp;IF(AB814=1," gap"," gaps")))</f>
        <v/>
      </c>
    </row>
    <row r="815" ht="17" customHeight="1">
      <c r="A815" t="n">
        <v>17</v>
      </c>
      <c r="B815" s="29">
        <f>IF(Setup!$K$13="","",Setup!$K$13)</f>
        <v/>
      </c>
      <c r="C815" s="88" t="n"/>
      <c r="D815" s="88" t="n"/>
      <c r="E815" s="88" t="n"/>
      <c r="F815" s="89" t="n"/>
      <c r="G815" s="88" t="n"/>
      <c r="H815" s="88" t="n"/>
      <c r="I815" s="88" t="n"/>
      <c r="J815" s="89" t="n"/>
      <c r="K815" s="88" t="n"/>
      <c r="L815" s="88" t="n"/>
      <c r="M815" s="88" t="n"/>
      <c r="N815" s="89" t="n"/>
      <c r="O815" s="88" t="n"/>
      <c r="P815" s="88" t="n"/>
      <c r="Q815" s="88" t="n"/>
      <c r="R815" s="89" t="n"/>
      <c r="S815" s="88" t="n"/>
      <c r="T815" s="88" t="n"/>
      <c r="U815" s="88" t="n"/>
      <c r="V815" s="89" t="n"/>
      <c r="W815" s="88" t="n"/>
      <c r="X815" s="89" t="n"/>
      <c r="Y815" s="88" t="n"/>
      <c r="Z815" s="89" t="n"/>
      <c r="AB815" s="30">
        <f>IF($B815="","",(COUNTIF(C815:E815,"?*")&lt;N(INDEX(Setup!$L$6:$L$23,8)))+(COUNTIF(G815:I815,"?*")&lt;N(INDEX(Setup!$L$6:$L$23,8)))+(COUNTIF(K815:M815,"?*")&lt;N(INDEX(Setup!$L$6:$L$23,8)))+(COUNTIF(O815:Q815,"?*")&lt;N(INDEX(Setup!$L$6:$L$23,8)))+(COUNTIF(S815:U815,"?*")&lt;N(INDEX(Setup!$L$6:$L$23,8)))+((W815="")*(INDEX(Setup!$M$6:$M$23,8)="Y"))+((Y815="")*(INDEX(Setup!$M$6:$M$23,8)="Y")))</f>
        <v/>
      </c>
      <c r="AC815" s="91">
        <f>IF($B815="","",IF(AB815=0,"✓ covered","⚠ "&amp;AB815&amp;IF(AB815=1," gap"," gaps")))</f>
        <v/>
      </c>
    </row>
    <row r="816" ht="17" customHeight="1">
      <c r="A816" t="n">
        <v>17</v>
      </c>
      <c r="B816" s="24">
        <f>IF(Setup!$K$14="","",Setup!$K$14)</f>
        <v/>
      </c>
      <c r="C816" s="88" t="n"/>
      <c r="D816" s="88" t="n"/>
      <c r="E816" s="88" t="n"/>
      <c r="F816" s="89" t="n"/>
      <c r="G816" s="88" t="n"/>
      <c r="H816" s="88" t="n"/>
      <c r="I816" s="88" t="n"/>
      <c r="J816" s="89" t="n"/>
      <c r="K816" s="88" t="n"/>
      <c r="L816" s="88" t="n"/>
      <c r="M816" s="88" t="n"/>
      <c r="N816" s="89" t="n"/>
      <c r="O816" s="88" t="n"/>
      <c r="P816" s="88" t="n"/>
      <c r="Q816" s="88" t="n"/>
      <c r="R816" s="89" t="n"/>
      <c r="S816" s="88" t="n"/>
      <c r="T816" s="88" t="n"/>
      <c r="U816" s="88" t="n"/>
      <c r="V816" s="89" t="n"/>
      <c r="W816" s="88" t="n"/>
      <c r="X816" s="89" t="n"/>
      <c r="Y816" s="88" t="n"/>
      <c r="Z816" s="89" t="n"/>
      <c r="AB816" s="25">
        <f>IF($B816="","",(COUNTIF(C816:E816,"?*")&lt;N(INDEX(Setup!$L$6:$L$23,9)))+(COUNTIF(G816:I816,"?*")&lt;N(INDEX(Setup!$L$6:$L$23,9)))+(COUNTIF(K816:M816,"?*")&lt;N(INDEX(Setup!$L$6:$L$23,9)))+(COUNTIF(O816:Q816,"?*")&lt;N(INDEX(Setup!$L$6:$L$23,9)))+(COUNTIF(S816:U816,"?*")&lt;N(INDEX(Setup!$L$6:$L$23,9)))+((W816="")*(INDEX(Setup!$M$6:$M$23,9)="Y"))+((Y816="")*(INDEX(Setup!$M$6:$M$23,9)="Y")))</f>
        <v/>
      </c>
      <c r="AC816" s="90">
        <f>IF($B816="","",IF(AB816=0,"✓ covered","⚠ "&amp;AB816&amp;IF(AB816=1," gap"," gaps")))</f>
        <v/>
      </c>
    </row>
    <row r="817" ht="17" customHeight="1">
      <c r="A817" t="n">
        <v>17</v>
      </c>
      <c r="B817" s="29">
        <f>IF(Setup!$K$15="","",Setup!$K$15)</f>
        <v/>
      </c>
      <c r="C817" s="88" t="n"/>
      <c r="D817" s="88" t="n"/>
      <c r="E817" s="88" t="n"/>
      <c r="F817" s="89" t="n"/>
      <c r="G817" s="88" t="n"/>
      <c r="H817" s="88" t="n"/>
      <c r="I817" s="88" t="n"/>
      <c r="J817" s="89" t="n"/>
      <c r="K817" s="88" t="n"/>
      <c r="L817" s="88" t="n"/>
      <c r="M817" s="88" t="n"/>
      <c r="N817" s="89" t="n"/>
      <c r="O817" s="88" t="n"/>
      <c r="P817" s="88" t="n"/>
      <c r="Q817" s="88" t="n"/>
      <c r="R817" s="89" t="n"/>
      <c r="S817" s="88" t="n"/>
      <c r="T817" s="88" t="n"/>
      <c r="U817" s="88" t="n"/>
      <c r="V817" s="89" t="n"/>
      <c r="W817" s="88" t="n"/>
      <c r="X817" s="89" t="n"/>
      <c r="Y817" s="88" t="n"/>
      <c r="Z817" s="89" t="n"/>
      <c r="AB817" s="30">
        <f>IF($B817="","",(COUNTIF(C817:E817,"?*")&lt;N(INDEX(Setup!$L$6:$L$23,10)))+(COUNTIF(G817:I817,"?*")&lt;N(INDEX(Setup!$L$6:$L$23,10)))+(COUNTIF(K817:M817,"?*")&lt;N(INDEX(Setup!$L$6:$L$23,10)))+(COUNTIF(O817:Q817,"?*")&lt;N(INDEX(Setup!$L$6:$L$23,10)))+(COUNTIF(S817:U817,"?*")&lt;N(INDEX(Setup!$L$6:$L$23,10)))+((W817="")*(INDEX(Setup!$M$6:$M$23,10)="Y"))+((Y817="")*(INDEX(Setup!$M$6:$M$23,10)="Y")))</f>
        <v/>
      </c>
      <c r="AC817" s="91">
        <f>IF($B817="","",IF(AB817=0,"✓ covered","⚠ "&amp;AB817&amp;IF(AB817=1," gap"," gaps")))</f>
        <v/>
      </c>
    </row>
    <row r="818" ht="17" customHeight="1">
      <c r="A818" t="n">
        <v>17</v>
      </c>
      <c r="B818" s="24">
        <f>IF(Setup!$K$16="","",Setup!$K$16)</f>
        <v/>
      </c>
      <c r="C818" s="88" t="n"/>
      <c r="D818" s="88" t="n"/>
      <c r="E818" s="88" t="n"/>
      <c r="F818" s="89" t="n"/>
      <c r="G818" s="88" t="n"/>
      <c r="H818" s="88" t="n"/>
      <c r="I818" s="88" t="n"/>
      <c r="J818" s="89" t="n"/>
      <c r="K818" s="88" t="n"/>
      <c r="L818" s="88" t="n"/>
      <c r="M818" s="88" t="n"/>
      <c r="N818" s="89" t="n"/>
      <c r="O818" s="88" t="n"/>
      <c r="P818" s="88" t="n"/>
      <c r="Q818" s="88" t="n"/>
      <c r="R818" s="89" t="n"/>
      <c r="S818" s="88" t="n"/>
      <c r="T818" s="88" t="n"/>
      <c r="U818" s="88" t="n"/>
      <c r="V818" s="89" t="n"/>
      <c r="W818" s="88" t="n"/>
      <c r="X818" s="89" t="n"/>
      <c r="Y818" s="88" t="n"/>
      <c r="Z818" s="89" t="n"/>
      <c r="AB818" s="25">
        <f>IF($B818="","",(COUNTIF(C818:E818,"?*")&lt;N(INDEX(Setup!$L$6:$L$23,11)))+(COUNTIF(G818:I818,"?*")&lt;N(INDEX(Setup!$L$6:$L$23,11)))+(COUNTIF(K818:M818,"?*")&lt;N(INDEX(Setup!$L$6:$L$23,11)))+(COUNTIF(O818:Q818,"?*")&lt;N(INDEX(Setup!$L$6:$L$23,11)))+(COUNTIF(S818:U818,"?*")&lt;N(INDEX(Setup!$L$6:$L$23,11)))+((W818="")*(INDEX(Setup!$M$6:$M$23,11)="Y"))+((Y818="")*(INDEX(Setup!$M$6:$M$23,11)="Y")))</f>
        <v/>
      </c>
      <c r="AC818" s="90">
        <f>IF($B818="","",IF(AB818=0,"✓ covered","⚠ "&amp;AB818&amp;IF(AB818=1," gap"," gaps")))</f>
        <v/>
      </c>
    </row>
    <row r="819" ht="17" customHeight="1">
      <c r="A819" t="n">
        <v>17</v>
      </c>
      <c r="B819" s="29">
        <f>IF(Setup!$K$17="","",Setup!$K$17)</f>
        <v/>
      </c>
      <c r="C819" s="88" t="n"/>
      <c r="D819" s="88" t="n"/>
      <c r="E819" s="88" t="n"/>
      <c r="F819" s="89" t="n"/>
      <c r="G819" s="88" t="n"/>
      <c r="H819" s="88" t="n"/>
      <c r="I819" s="88" t="n"/>
      <c r="J819" s="89" t="n"/>
      <c r="K819" s="88" t="n"/>
      <c r="L819" s="88" t="n"/>
      <c r="M819" s="88" t="n"/>
      <c r="N819" s="89" t="n"/>
      <c r="O819" s="88" t="n"/>
      <c r="P819" s="88" t="n"/>
      <c r="Q819" s="88" t="n"/>
      <c r="R819" s="89" t="n"/>
      <c r="S819" s="88" t="n"/>
      <c r="T819" s="88" t="n"/>
      <c r="U819" s="88" t="n"/>
      <c r="V819" s="89" t="n"/>
      <c r="W819" s="88" t="n"/>
      <c r="X819" s="89" t="n"/>
      <c r="Y819" s="88" t="n"/>
      <c r="Z819" s="89" t="n"/>
      <c r="AB819" s="30">
        <f>IF($B819="","",(COUNTIF(C819:E819,"?*")&lt;N(INDEX(Setup!$L$6:$L$23,12)))+(COUNTIF(G819:I819,"?*")&lt;N(INDEX(Setup!$L$6:$L$23,12)))+(COUNTIF(K819:M819,"?*")&lt;N(INDEX(Setup!$L$6:$L$23,12)))+(COUNTIF(O819:Q819,"?*")&lt;N(INDEX(Setup!$L$6:$L$23,12)))+(COUNTIF(S819:U819,"?*")&lt;N(INDEX(Setup!$L$6:$L$23,12)))+((W819="")*(INDEX(Setup!$M$6:$M$23,12)="Y"))+((Y819="")*(INDEX(Setup!$M$6:$M$23,12)="Y")))</f>
        <v/>
      </c>
      <c r="AC819" s="91">
        <f>IF($B819="","",IF(AB819=0,"✓ covered","⚠ "&amp;AB819&amp;IF(AB819=1," gap"," gaps")))</f>
        <v/>
      </c>
    </row>
    <row r="820" ht="17" customHeight="1">
      <c r="A820" t="n">
        <v>17</v>
      </c>
      <c r="B820" s="24">
        <f>IF(Setup!$K$18="","",Setup!$K$18)</f>
        <v/>
      </c>
      <c r="C820" s="88" t="n"/>
      <c r="D820" s="88" t="n"/>
      <c r="E820" s="88" t="n"/>
      <c r="F820" s="89" t="n"/>
      <c r="G820" s="88" t="n"/>
      <c r="H820" s="88" t="n"/>
      <c r="I820" s="88" t="n"/>
      <c r="J820" s="89" t="n"/>
      <c r="K820" s="88" t="n"/>
      <c r="L820" s="88" t="n"/>
      <c r="M820" s="88" t="n"/>
      <c r="N820" s="89" t="n"/>
      <c r="O820" s="88" t="n"/>
      <c r="P820" s="88" t="n"/>
      <c r="Q820" s="88" t="n"/>
      <c r="R820" s="89" t="n"/>
      <c r="S820" s="88" t="n"/>
      <c r="T820" s="88" t="n"/>
      <c r="U820" s="88" t="n"/>
      <c r="V820" s="89" t="n"/>
      <c r="W820" s="88" t="n"/>
      <c r="X820" s="89" t="n"/>
      <c r="Y820" s="88" t="n"/>
      <c r="Z820" s="89" t="n"/>
      <c r="AB820" s="25">
        <f>IF($B820="","",(COUNTIF(C820:E820,"?*")&lt;N(INDEX(Setup!$L$6:$L$23,13)))+(COUNTIF(G820:I820,"?*")&lt;N(INDEX(Setup!$L$6:$L$23,13)))+(COUNTIF(K820:M820,"?*")&lt;N(INDEX(Setup!$L$6:$L$23,13)))+(COUNTIF(O820:Q820,"?*")&lt;N(INDEX(Setup!$L$6:$L$23,13)))+(COUNTIF(S820:U820,"?*")&lt;N(INDEX(Setup!$L$6:$L$23,13)))+((W820="")*(INDEX(Setup!$M$6:$M$23,13)="Y"))+((Y820="")*(INDEX(Setup!$M$6:$M$23,13)="Y")))</f>
        <v/>
      </c>
      <c r="AC820" s="90">
        <f>IF($B820="","",IF(AB820=0,"✓ covered","⚠ "&amp;AB820&amp;IF(AB820=1," gap"," gaps")))</f>
        <v/>
      </c>
    </row>
    <row r="821" ht="17" customHeight="1">
      <c r="A821" t="n">
        <v>17</v>
      </c>
      <c r="B821" s="29">
        <f>IF(Setup!$K$19="","",Setup!$K$19)</f>
        <v/>
      </c>
      <c r="C821" s="88" t="n"/>
      <c r="D821" s="88" t="n"/>
      <c r="E821" s="88" t="n"/>
      <c r="F821" s="89" t="n"/>
      <c r="G821" s="88" t="n"/>
      <c r="H821" s="88" t="n"/>
      <c r="I821" s="88" t="n"/>
      <c r="J821" s="89" t="n"/>
      <c r="K821" s="88" t="n"/>
      <c r="L821" s="88" t="n"/>
      <c r="M821" s="88" t="n"/>
      <c r="N821" s="89" t="n"/>
      <c r="O821" s="88" t="n"/>
      <c r="P821" s="88" t="n"/>
      <c r="Q821" s="88" t="n"/>
      <c r="R821" s="89" t="n"/>
      <c r="S821" s="88" t="n"/>
      <c r="T821" s="88" t="n"/>
      <c r="U821" s="88" t="n"/>
      <c r="V821" s="89" t="n"/>
      <c r="W821" s="88" t="n"/>
      <c r="X821" s="89" t="n"/>
      <c r="Y821" s="88" t="n"/>
      <c r="Z821" s="89" t="n"/>
      <c r="AB821" s="30">
        <f>IF($B821="","",(COUNTIF(C821:E821,"?*")&lt;N(INDEX(Setup!$L$6:$L$23,14)))+(COUNTIF(G821:I821,"?*")&lt;N(INDEX(Setup!$L$6:$L$23,14)))+(COUNTIF(K821:M821,"?*")&lt;N(INDEX(Setup!$L$6:$L$23,14)))+(COUNTIF(O821:Q821,"?*")&lt;N(INDEX(Setup!$L$6:$L$23,14)))+(COUNTIF(S821:U821,"?*")&lt;N(INDEX(Setup!$L$6:$L$23,14)))+((W821="")*(INDEX(Setup!$M$6:$M$23,14)="Y"))+((Y821="")*(INDEX(Setup!$M$6:$M$23,14)="Y")))</f>
        <v/>
      </c>
      <c r="AC821" s="91">
        <f>IF($B821="","",IF(AB821=0,"✓ covered","⚠ "&amp;AB821&amp;IF(AB821=1," gap"," gaps")))</f>
        <v/>
      </c>
    </row>
    <row r="822" ht="17" customHeight="1">
      <c r="A822" t="n">
        <v>17</v>
      </c>
      <c r="B822" s="24">
        <f>IF(Setup!$K$20="","",Setup!$K$20)</f>
        <v/>
      </c>
      <c r="C822" s="88" t="n"/>
      <c r="D822" s="88" t="n"/>
      <c r="E822" s="88" t="n"/>
      <c r="F822" s="89" t="n"/>
      <c r="G822" s="88" t="n"/>
      <c r="H822" s="88" t="n"/>
      <c r="I822" s="88" t="n"/>
      <c r="J822" s="89" t="n"/>
      <c r="K822" s="88" t="n"/>
      <c r="L822" s="88" t="n"/>
      <c r="M822" s="88" t="n"/>
      <c r="N822" s="89" t="n"/>
      <c r="O822" s="88" t="n"/>
      <c r="P822" s="88" t="n"/>
      <c r="Q822" s="88" t="n"/>
      <c r="R822" s="89" t="n"/>
      <c r="S822" s="88" t="n"/>
      <c r="T822" s="88" t="n"/>
      <c r="U822" s="88" t="n"/>
      <c r="V822" s="89" t="n"/>
      <c r="W822" s="88" t="n"/>
      <c r="X822" s="89" t="n"/>
      <c r="Y822" s="88" t="n"/>
      <c r="Z822" s="89" t="n"/>
      <c r="AB822" s="25">
        <f>IF($B822="","",(COUNTIF(C822:E822,"?*")&lt;N(INDEX(Setup!$L$6:$L$23,15)))+(COUNTIF(G822:I822,"?*")&lt;N(INDEX(Setup!$L$6:$L$23,15)))+(COUNTIF(K822:M822,"?*")&lt;N(INDEX(Setup!$L$6:$L$23,15)))+(COUNTIF(O822:Q822,"?*")&lt;N(INDEX(Setup!$L$6:$L$23,15)))+(COUNTIF(S822:U822,"?*")&lt;N(INDEX(Setup!$L$6:$L$23,15)))+((W822="")*(INDEX(Setup!$M$6:$M$23,15)="Y"))+((Y822="")*(INDEX(Setup!$M$6:$M$23,15)="Y")))</f>
        <v/>
      </c>
      <c r="AC822" s="90">
        <f>IF($B822="","",IF(AB822=0,"✓ covered","⚠ "&amp;AB822&amp;IF(AB822=1," gap"," gaps")))</f>
        <v/>
      </c>
    </row>
    <row r="823" ht="17" customHeight="1">
      <c r="A823" t="n">
        <v>17</v>
      </c>
      <c r="B823" s="29">
        <f>IF(Setup!$K$21="","",Setup!$K$21)</f>
        <v/>
      </c>
      <c r="C823" s="88" t="n"/>
      <c r="D823" s="88" t="n"/>
      <c r="E823" s="88" t="n"/>
      <c r="F823" s="89" t="n"/>
      <c r="G823" s="88" t="n"/>
      <c r="H823" s="88" t="n"/>
      <c r="I823" s="88" t="n"/>
      <c r="J823" s="89" t="n"/>
      <c r="K823" s="88" t="n"/>
      <c r="L823" s="88" t="n"/>
      <c r="M823" s="88" t="n"/>
      <c r="N823" s="89" t="n"/>
      <c r="O823" s="88" t="n"/>
      <c r="P823" s="88" t="n"/>
      <c r="Q823" s="88" t="n"/>
      <c r="R823" s="89" t="n"/>
      <c r="S823" s="88" t="n"/>
      <c r="T823" s="88" t="n"/>
      <c r="U823" s="88" t="n"/>
      <c r="V823" s="89" t="n"/>
      <c r="W823" s="88" t="n"/>
      <c r="X823" s="89" t="n"/>
      <c r="Y823" s="88" t="n"/>
      <c r="Z823" s="89" t="n"/>
      <c r="AB823" s="30">
        <f>IF($B823="","",(COUNTIF(C823:E823,"?*")&lt;N(INDEX(Setup!$L$6:$L$23,16)))+(COUNTIF(G823:I823,"?*")&lt;N(INDEX(Setup!$L$6:$L$23,16)))+(COUNTIF(K823:M823,"?*")&lt;N(INDEX(Setup!$L$6:$L$23,16)))+(COUNTIF(O823:Q823,"?*")&lt;N(INDEX(Setup!$L$6:$L$23,16)))+(COUNTIF(S823:U823,"?*")&lt;N(INDEX(Setup!$L$6:$L$23,16)))+((W823="")*(INDEX(Setup!$M$6:$M$23,16)="Y"))+((Y823="")*(INDEX(Setup!$M$6:$M$23,16)="Y")))</f>
        <v/>
      </c>
      <c r="AC823" s="91">
        <f>IF($B823="","",IF(AB823=0,"✓ covered","⚠ "&amp;AB823&amp;IF(AB823=1," gap"," gaps")))</f>
        <v/>
      </c>
    </row>
    <row r="824" ht="17" customHeight="1">
      <c r="A824" t="n">
        <v>17</v>
      </c>
      <c r="B824" s="24">
        <f>IF(Setup!$K$22="","",Setup!$K$22)</f>
        <v/>
      </c>
      <c r="C824" s="88" t="n"/>
      <c r="D824" s="88" t="n"/>
      <c r="E824" s="88" t="n"/>
      <c r="F824" s="89" t="n"/>
      <c r="G824" s="88" t="n"/>
      <c r="H824" s="88" t="n"/>
      <c r="I824" s="88" t="n"/>
      <c r="J824" s="89" t="n"/>
      <c r="K824" s="88" t="n"/>
      <c r="L824" s="88" t="n"/>
      <c r="M824" s="88" t="n"/>
      <c r="N824" s="89" t="n"/>
      <c r="O824" s="88" t="n"/>
      <c r="P824" s="88" t="n"/>
      <c r="Q824" s="88" t="n"/>
      <c r="R824" s="89" t="n"/>
      <c r="S824" s="88" t="n"/>
      <c r="T824" s="88" t="n"/>
      <c r="U824" s="88" t="n"/>
      <c r="V824" s="89" t="n"/>
      <c r="W824" s="88" t="n"/>
      <c r="X824" s="89" t="n"/>
      <c r="Y824" s="88" t="n"/>
      <c r="Z824" s="89" t="n"/>
      <c r="AB824" s="25">
        <f>IF($B824="","",(COUNTIF(C824:E824,"?*")&lt;N(INDEX(Setup!$L$6:$L$23,17)))+(COUNTIF(G824:I824,"?*")&lt;N(INDEX(Setup!$L$6:$L$23,17)))+(COUNTIF(K824:M824,"?*")&lt;N(INDEX(Setup!$L$6:$L$23,17)))+(COUNTIF(O824:Q824,"?*")&lt;N(INDEX(Setup!$L$6:$L$23,17)))+(COUNTIF(S824:U824,"?*")&lt;N(INDEX(Setup!$L$6:$L$23,17)))+((W824="")*(INDEX(Setup!$M$6:$M$23,17)="Y"))+((Y824="")*(INDEX(Setup!$M$6:$M$23,17)="Y")))</f>
        <v/>
      </c>
      <c r="AC824" s="90">
        <f>IF($B824="","",IF(AB824=0,"✓ covered","⚠ "&amp;AB824&amp;IF(AB824=1," gap"," gaps")))</f>
        <v/>
      </c>
    </row>
    <row r="825" ht="17" customHeight="1">
      <c r="A825" t="n">
        <v>17</v>
      </c>
      <c r="B825" s="29">
        <f>IF(Setup!$K$23="","",Setup!$K$23)</f>
        <v/>
      </c>
      <c r="C825" s="88" t="n"/>
      <c r="D825" s="88" t="n"/>
      <c r="E825" s="88" t="n"/>
      <c r="F825" s="89" t="n"/>
      <c r="G825" s="88" t="n"/>
      <c r="H825" s="88" t="n"/>
      <c r="I825" s="88" t="n"/>
      <c r="J825" s="89" t="n"/>
      <c r="K825" s="88" t="n"/>
      <c r="L825" s="88" t="n"/>
      <c r="M825" s="88" t="n"/>
      <c r="N825" s="89" t="n"/>
      <c r="O825" s="88" t="n"/>
      <c r="P825" s="88" t="n"/>
      <c r="Q825" s="88" t="n"/>
      <c r="R825" s="89" t="n"/>
      <c r="S825" s="88" t="n"/>
      <c r="T825" s="88" t="n"/>
      <c r="U825" s="88" t="n"/>
      <c r="V825" s="89" t="n"/>
      <c r="W825" s="88" t="n"/>
      <c r="X825" s="89" t="n"/>
      <c r="Y825" s="88" t="n"/>
      <c r="Z825" s="89" t="n"/>
      <c r="AB825" s="30">
        <f>IF($B825="","",(COUNTIF(C825:E825,"?*")&lt;N(INDEX(Setup!$L$6:$L$23,18)))+(COUNTIF(G825:I825,"?*")&lt;N(INDEX(Setup!$L$6:$L$23,18)))+(COUNTIF(K825:M825,"?*")&lt;N(INDEX(Setup!$L$6:$L$23,18)))+(COUNTIF(O825:Q825,"?*")&lt;N(INDEX(Setup!$L$6:$L$23,18)))+(COUNTIF(S825:U825,"?*")&lt;N(INDEX(Setup!$L$6:$L$23,18)))+((W825="")*(INDEX(Setup!$M$6:$M$23,18)="Y"))+((Y825="")*(INDEX(Setup!$M$6:$M$23,18)="Y")))</f>
        <v/>
      </c>
      <c r="AC825" s="91">
        <f>IF($B825="","",IF(AB825=0,"✓ covered","⚠ "&amp;AB825&amp;IF(AB825=1," gap"," gaps")))</f>
        <v/>
      </c>
    </row>
    <row r="826" ht="18" customHeight="1">
      <c r="A826" t="n">
        <v>17</v>
      </c>
      <c r="B826" s="78" t="inlineStr">
        <is>
          <t>TEAM AVAILABILITY</t>
        </is>
      </c>
      <c r="C826" s="92" t="inlineStr">
        <is>
          <t>Mon</t>
        </is>
      </c>
      <c r="D826" s="93" t="n"/>
      <c r="E826" s="93" t="n"/>
      <c r="F826" s="94" t="n"/>
      <c r="G826" s="92" t="inlineStr">
        <is>
          <t>Tue</t>
        </is>
      </c>
      <c r="H826" s="93" t="n"/>
      <c r="I826" s="93" t="n"/>
      <c r="J826" s="94" t="n"/>
      <c r="K826" s="92" t="inlineStr">
        <is>
          <t>Wed</t>
        </is>
      </c>
      <c r="L826" s="93" t="n"/>
      <c r="M826" s="93" t="n"/>
      <c r="N826" s="94" t="n"/>
      <c r="O826" s="92" t="inlineStr">
        <is>
          <t>Thu</t>
        </is>
      </c>
      <c r="P826" s="93" t="n"/>
      <c r="Q826" s="93" t="n"/>
      <c r="R826" s="94" t="n"/>
      <c r="S826" s="92" t="inlineStr">
        <is>
          <t>Fri</t>
        </is>
      </c>
      <c r="T826" s="93" t="n"/>
      <c r="U826" s="93" t="n"/>
      <c r="V826" s="94" t="n"/>
      <c r="W826" s="95" t="inlineStr">
        <is>
          <t>Sat</t>
        </is>
      </c>
      <c r="X826" s="96" t="n"/>
      <c r="Y826" s="95" t="inlineStr">
        <is>
          <t>Sun</t>
        </is>
      </c>
      <c r="Z826" s="96" t="n"/>
      <c r="AB826" s="97" t="inlineStr">
        <is>
          <t>Days rostered</t>
        </is>
      </c>
      <c r="AC826" s="97" t="inlineStr">
        <is>
          <t>Conflicts</t>
        </is>
      </c>
    </row>
    <row r="827" ht="15" customHeight="1">
      <c r="A827" t="n">
        <v>17</v>
      </c>
      <c r="B827" s="35">
        <f>IF(Setup!$B$6="","",Setup!$B$6)</f>
        <v/>
      </c>
      <c r="C827" s="98" t="n"/>
      <c r="D827" s="99" t="n"/>
      <c r="E827" s="99" t="n"/>
      <c r="F827" s="100" t="n"/>
      <c r="G827" s="98" t="n"/>
      <c r="H827" s="99" t="n"/>
      <c r="I827" s="99" t="n"/>
      <c r="J827" s="100" t="n"/>
      <c r="K827" s="98" t="n"/>
      <c r="L827" s="99" t="n"/>
      <c r="M827" s="99" t="n"/>
      <c r="N827" s="100" t="n"/>
      <c r="O827" s="98" t="n"/>
      <c r="P827" s="99" t="n"/>
      <c r="Q827" s="99" t="n"/>
      <c r="R827" s="100" t="n"/>
      <c r="S827" s="98" t="n"/>
      <c r="T827" s="99" t="n"/>
      <c r="U827" s="99" t="n"/>
      <c r="V827" s="100" t="n"/>
      <c r="W827" s="98" t="n"/>
      <c r="X827" s="100" t="n"/>
      <c r="Y827" s="98" t="n"/>
      <c r="Z827" s="100" t="n"/>
      <c r="AB827" s="101">
        <f>IF($B827="","",(COUNTIF(C808:E825,$B827)+COUNTIF(C808:E825,$B827&amp;" ~*")&gt;0)+(COUNTIF(G808:I825,$B827)+COUNTIF(G808:I825,$B827&amp;" ~*")&gt;0)+(COUNTIF(K808:M825,$B827)+COUNTIF(K808:M825,$B827&amp;" ~*")&gt;0)+(COUNTIF(O808:Q825,$B827)+COUNTIF(O808:Q825,$B827&amp;" ~*")&gt;0)+(COUNTIF(S808:U825,$B827)+COUNTIF(S808:U825,$B827&amp;" ~*")&gt;0)+(COUNTIF(W808:W825,$B827)+COUNTIF(W808:W825,$B827&amp;" ~*")&gt;0)+(COUNTIF(Y808:Y825,$B827)+COUNTIF(Y808:Y825,$B827&amp;" ~*")&gt;0))</f>
        <v/>
      </c>
      <c r="AC827" s="36">
        <f>IF($B827="","",(IFERROR(INDEX(Setup!$G$33:$G$40,MATCH(C827,Setup!$B$33:$B$40,0)),0)=1)*(COUNTIF(C808:E825,$B827)+COUNTIF(C808:E825,$B827&amp;" ~*")&gt;0)+(IFERROR(INDEX(Setup!$G$33:$G$40,MATCH(G827,Setup!$B$33:$B$40,0)),0)=1)*(COUNTIF(G808:I825,$B827)+COUNTIF(G808:I825,$B827&amp;" ~*")&gt;0)+(IFERROR(INDEX(Setup!$G$33:$G$40,MATCH(K827,Setup!$B$33:$B$40,0)),0)=1)*(COUNTIF(K808:M825,$B827)+COUNTIF(K808:M825,$B827&amp;" ~*")&gt;0)+(IFERROR(INDEX(Setup!$G$33:$G$40,MATCH(O827,Setup!$B$33:$B$40,0)),0)=1)*(COUNTIF(O808:Q825,$B827)+COUNTIF(O808:Q825,$B827&amp;" ~*")&gt;0)+(IFERROR(INDEX(Setup!$G$33:$G$40,MATCH(S827,Setup!$B$33:$B$40,0)),0)=1)*(COUNTIF(S808:U825,$B827)+COUNTIF(S808:U825,$B827&amp;" ~*")&gt;0)+(IFERROR(INDEX(Setup!$G$33:$G$40,MATCH(W827,Setup!$B$33:$B$40,0)),0)=1)*(COUNTIF(W808:W825,$B827)+COUNTIF(W808:W825,$B827&amp;" ~*")&gt;0)+(IFERROR(INDEX(Setup!$G$33:$G$40,MATCH(Y827,Setup!$B$33:$B$40,0)),0)=1)*(COUNTIF(Y808:Y825,$B827)+COUNTIF(Y808:Y825,$B827&amp;" ~*")&gt;0))</f>
        <v/>
      </c>
    </row>
    <row r="828" ht="15" customHeight="1">
      <c r="A828" t="n">
        <v>17</v>
      </c>
      <c r="B828" s="37">
        <f>IF(Setup!$B$7="","",Setup!$B$7)</f>
        <v/>
      </c>
      <c r="C828" s="102" t="n"/>
      <c r="D828" s="103" t="n"/>
      <c r="E828" s="103" t="n"/>
      <c r="F828" s="104" t="n"/>
      <c r="G828" s="102" t="n"/>
      <c r="H828" s="103" t="n"/>
      <c r="I828" s="103" t="n"/>
      <c r="J828" s="104" t="n"/>
      <c r="K828" s="102" t="n"/>
      <c r="L828" s="103" t="n"/>
      <c r="M828" s="103" t="n"/>
      <c r="N828" s="104" t="n"/>
      <c r="O828" s="102" t="n"/>
      <c r="P828" s="103" t="n"/>
      <c r="Q828" s="103" t="n"/>
      <c r="R828" s="104" t="n"/>
      <c r="S828" s="102" t="n"/>
      <c r="T828" s="103" t="n"/>
      <c r="U828" s="103" t="n"/>
      <c r="V828" s="104" t="n"/>
      <c r="W828" s="102" t="n"/>
      <c r="X828" s="104" t="n"/>
      <c r="Y828" s="102" t="n"/>
      <c r="Z828" s="104" t="n"/>
      <c r="AB828" s="105">
        <f>IF($B828="","",(COUNTIF(C808:E825,$B828)+COUNTIF(C808:E825,$B828&amp;" ~*")&gt;0)+(COUNTIF(G808:I825,$B828)+COUNTIF(G808:I825,$B828&amp;" ~*")&gt;0)+(COUNTIF(K808:M825,$B828)+COUNTIF(K808:M825,$B828&amp;" ~*")&gt;0)+(COUNTIF(O808:Q825,$B828)+COUNTIF(O808:Q825,$B828&amp;" ~*")&gt;0)+(COUNTIF(S808:U825,$B828)+COUNTIF(S808:U825,$B828&amp;" ~*")&gt;0)+(COUNTIF(W808:W825,$B828)+COUNTIF(W808:W825,$B828&amp;" ~*")&gt;0)+(COUNTIF(Y808:Y825,$B828)+COUNTIF(Y808:Y825,$B828&amp;" ~*")&gt;0))</f>
        <v/>
      </c>
      <c r="AC828" s="38">
        <f>IF($B828="","",(IFERROR(INDEX(Setup!$G$33:$G$40,MATCH(C828,Setup!$B$33:$B$40,0)),0)=1)*(COUNTIF(C808:E825,$B828)+COUNTIF(C808:E825,$B828&amp;" ~*")&gt;0)+(IFERROR(INDEX(Setup!$G$33:$G$40,MATCH(G828,Setup!$B$33:$B$40,0)),0)=1)*(COUNTIF(G808:I825,$B828)+COUNTIF(G808:I825,$B828&amp;" ~*")&gt;0)+(IFERROR(INDEX(Setup!$G$33:$G$40,MATCH(K828,Setup!$B$33:$B$40,0)),0)=1)*(COUNTIF(K808:M825,$B828)+COUNTIF(K808:M825,$B828&amp;" ~*")&gt;0)+(IFERROR(INDEX(Setup!$G$33:$G$40,MATCH(O828,Setup!$B$33:$B$40,0)),0)=1)*(COUNTIF(O808:Q825,$B828)+COUNTIF(O808:Q825,$B828&amp;" ~*")&gt;0)+(IFERROR(INDEX(Setup!$G$33:$G$40,MATCH(S828,Setup!$B$33:$B$40,0)),0)=1)*(COUNTIF(S808:U825,$B828)+COUNTIF(S808:U825,$B828&amp;" ~*")&gt;0)+(IFERROR(INDEX(Setup!$G$33:$G$40,MATCH(W828,Setup!$B$33:$B$40,0)),0)=1)*(COUNTIF(W808:W825,$B828)+COUNTIF(W808:W825,$B828&amp;" ~*")&gt;0)+(IFERROR(INDEX(Setup!$G$33:$G$40,MATCH(Y828,Setup!$B$33:$B$40,0)),0)=1)*(COUNTIF(Y808:Y825,$B828)+COUNTIF(Y808:Y825,$B828&amp;" ~*")&gt;0))</f>
        <v/>
      </c>
    </row>
    <row r="829" ht="15" customHeight="1">
      <c r="A829" t="n">
        <v>17</v>
      </c>
      <c r="B829" s="35">
        <f>IF(Setup!$B$8="","",Setup!$B$8)</f>
        <v/>
      </c>
      <c r="C829" s="98" t="n"/>
      <c r="D829" s="99" t="n"/>
      <c r="E829" s="99" t="n"/>
      <c r="F829" s="100" t="n"/>
      <c r="G829" s="98" t="n"/>
      <c r="H829" s="99" t="n"/>
      <c r="I829" s="99" t="n"/>
      <c r="J829" s="100" t="n"/>
      <c r="K829" s="98" t="n"/>
      <c r="L829" s="99" t="n"/>
      <c r="M829" s="99" t="n"/>
      <c r="N829" s="100" t="n"/>
      <c r="O829" s="98" t="n"/>
      <c r="P829" s="99" t="n"/>
      <c r="Q829" s="99" t="n"/>
      <c r="R829" s="100" t="n"/>
      <c r="S829" s="98" t="n"/>
      <c r="T829" s="99" t="n"/>
      <c r="U829" s="99" t="n"/>
      <c r="V829" s="100" t="n"/>
      <c r="W829" s="98" t="n"/>
      <c r="X829" s="100" t="n"/>
      <c r="Y829" s="98" t="n"/>
      <c r="Z829" s="100" t="n"/>
      <c r="AB829" s="101">
        <f>IF($B829="","",(COUNTIF(C808:E825,$B829)+COUNTIF(C808:E825,$B829&amp;" ~*")&gt;0)+(COUNTIF(G808:I825,$B829)+COUNTIF(G808:I825,$B829&amp;" ~*")&gt;0)+(COUNTIF(K808:M825,$B829)+COUNTIF(K808:M825,$B829&amp;" ~*")&gt;0)+(COUNTIF(O808:Q825,$B829)+COUNTIF(O808:Q825,$B829&amp;" ~*")&gt;0)+(COUNTIF(S808:U825,$B829)+COUNTIF(S808:U825,$B829&amp;" ~*")&gt;0)+(COUNTIF(W808:W825,$B829)+COUNTIF(W808:W825,$B829&amp;" ~*")&gt;0)+(COUNTIF(Y808:Y825,$B829)+COUNTIF(Y808:Y825,$B829&amp;" ~*")&gt;0))</f>
        <v/>
      </c>
      <c r="AC829" s="36">
        <f>IF($B829="","",(IFERROR(INDEX(Setup!$G$33:$G$40,MATCH(C829,Setup!$B$33:$B$40,0)),0)=1)*(COUNTIF(C808:E825,$B829)+COUNTIF(C808:E825,$B829&amp;" ~*")&gt;0)+(IFERROR(INDEX(Setup!$G$33:$G$40,MATCH(G829,Setup!$B$33:$B$40,0)),0)=1)*(COUNTIF(G808:I825,$B829)+COUNTIF(G808:I825,$B829&amp;" ~*")&gt;0)+(IFERROR(INDEX(Setup!$G$33:$G$40,MATCH(K829,Setup!$B$33:$B$40,0)),0)=1)*(COUNTIF(K808:M825,$B829)+COUNTIF(K808:M825,$B829&amp;" ~*")&gt;0)+(IFERROR(INDEX(Setup!$G$33:$G$40,MATCH(O829,Setup!$B$33:$B$40,0)),0)=1)*(COUNTIF(O808:Q825,$B829)+COUNTIF(O808:Q825,$B829&amp;" ~*")&gt;0)+(IFERROR(INDEX(Setup!$G$33:$G$40,MATCH(S829,Setup!$B$33:$B$40,0)),0)=1)*(COUNTIF(S808:U825,$B829)+COUNTIF(S808:U825,$B829&amp;" ~*")&gt;0)+(IFERROR(INDEX(Setup!$G$33:$G$40,MATCH(W829,Setup!$B$33:$B$40,0)),0)=1)*(COUNTIF(W808:W825,$B829)+COUNTIF(W808:W825,$B829&amp;" ~*")&gt;0)+(IFERROR(INDEX(Setup!$G$33:$G$40,MATCH(Y829,Setup!$B$33:$B$40,0)),0)=1)*(COUNTIF(Y808:Y825,$B829)+COUNTIF(Y808:Y825,$B829&amp;" ~*")&gt;0))</f>
        <v/>
      </c>
    </row>
    <row r="830" ht="15" customHeight="1">
      <c r="A830" t="n">
        <v>17</v>
      </c>
      <c r="B830" s="37">
        <f>IF(Setup!$B$9="","",Setup!$B$9)</f>
        <v/>
      </c>
      <c r="C830" s="102" t="n"/>
      <c r="D830" s="103" t="n"/>
      <c r="E830" s="103" t="n"/>
      <c r="F830" s="104" t="n"/>
      <c r="G830" s="102" t="n"/>
      <c r="H830" s="103" t="n"/>
      <c r="I830" s="103" t="n"/>
      <c r="J830" s="104" t="n"/>
      <c r="K830" s="102" t="n"/>
      <c r="L830" s="103" t="n"/>
      <c r="M830" s="103" t="n"/>
      <c r="N830" s="104" t="n"/>
      <c r="O830" s="102" t="n"/>
      <c r="P830" s="103" t="n"/>
      <c r="Q830" s="103" t="n"/>
      <c r="R830" s="104" t="n"/>
      <c r="S830" s="102" t="n"/>
      <c r="T830" s="103" t="n"/>
      <c r="U830" s="103" t="n"/>
      <c r="V830" s="104" t="n"/>
      <c r="W830" s="102" t="n"/>
      <c r="X830" s="104" t="n"/>
      <c r="Y830" s="102" t="n"/>
      <c r="Z830" s="104" t="n"/>
      <c r="AB830" s="105">
        <f>IF($B830="","",(COUNTIF(C808:E825,$B830)+COUNTIF(C808:E825,$B830&amp;" ~*")&gt;0)+(COUNTIF(G808:I825,$B830)+COUNTIF(G808:I825,$B830&amp;" ~*")&gt;0)+(COUNTIF(K808:M825,$B830)+COUNTIF(K808:M825,$B830&amp;" ~*")&gt;0)+(COUNTIF(O808:Q825,$B830)+COUNTIF(O808:Q825,$B830&amp;" ~*")&gt;0)+(COUNTIF(S808:U825,$B830)+COUNTIF(S808:U825,$B830&amp;" ~*")&gt;0)+(COUNTIF(W808:W825,$B830)+COUNTIF(W808:W825,$B830&amp;" ~*")&gt;0)+(COUNTIF(Y808:Y825,$B830)+COUNTIF(Y808:Y825,$B830&amp;" ~*")&gt;0))</f>
        <v/>
      </c>
      <c r="AC830" s="38">
        <f>IF($B830="","",(IFERROR(INDEX(Setup!$G$33:$G$40,MATCH(C830,Setup!$B$33:$B$40,0)),0)=1)*(COUNTIF(C808:E825,$B830)+COUNTIF(C808:E825,$B830&amp;" ~*")&gt;0)+(IFERROR(INDEX(Setup!$G$33:$G$40,MATCH(G830,Setup!$B$33:$B$40,0)),0)=1)*(COUNTIF(G808:I825,$B830)+COUNTIF(G808:I825,$B830&amp;" ~*")&gt;0)+(IFERROR(INDEX(Setup!$G$33:$G$40,MATCH(K830,Setup!$B$33:$B$40,0)),0)=1)*(COUNTIF(K808:M825,$B830)+COUNTIF(K808:M825,$B830&amp;" ~*")&gt;0)+(IFERROR(INDEX(Setup!$G$33:$G$40,MATCH(O830,Setup!$B$33:$B$40,0)),0)=1)*(COUNTIF(O808:Q825,$B830)+COUNTIF(O808:Q825,$B830&amp;" ~*")&gt;0)+(IFERROR(INDEX(Setup!$G$33:$G$40,MATCH(S830,Setup!$B$33:$B$40,0)),0)=1)*(COUNTIF(S808:U825,$B830)+COUNTIF(S808:U825,$B830&amp;" ~*")&gt;0)+(IFERROR(INDEX(Setup!$G$33:$G$40,MATCH(W830,Setup!$B$33:$B$40,0)),0)=1)*(COUNTIF(W808:W825,$B830)+COUNTIF(W808:W825,$B830&amp;" ~*")&gt;0)+(IFERROR(INDEX(Setup!$G$33:$G$40,MATCH(Y830,Setup!$B$33:$B$40,0)),0)=1)*(COUNTIF(Y808:Y825,$B830)+COUNTIF(Y808:Y825,$B830&amp;" ~*")&gt;0))</f>
        <v/>
      </c>
    </row>
    <row r="831" ht="15" customHeight="1">
      <c r="A831" t="n">
        <v>17</v>
      </c>
      <c r="B831" s="35">
        <f>IF(Setup!$B$10="","",Setup!$B$10)</f>
        <v/>
      </c>
      <c r="C831" s="98" t="n"/>
      <c r="D831" s="99" t="n"/>
      <c r="E831" s="99" t="n"/>
      <c r="F831" s="100" t="n"/>
      <c r="G831" s="98" t="n"/>
      <c r="H831" s="99" t="n"/>
      <c r="I831" s="99" t="n"/>
      <c r="J831" s="100" t="n"/>
      <c r="K831" s="98" t="n"/>
      <c r="L831" s="99" t="n"/>
      <c r="M831" s="99" t="n"/>
      <c r="N831" s="100" t="n"/>
      <c r="O831" s="98" t="n"/>
      <c r="P831" s="99" t="n"/>
      <c r="Q831" s="99" t="n"/>
      <c r="R831" s="100" t="n"/>
      <c r="S831" s="98" t="n"/>
      <c r="T831" s="99" t="n"/>
      <c r="U831" s="99" t="n"/>
      <c r="V831" s="100" t="n"/>
      <c r="W831" s="98" t="n"/>
      <c r="X831" s="100" t="n"/>
      <c r="Y831" s="98" t="n"/>
      <c r="Z831" s="100" t="n"/>
      <c r="AB831" s="101">
        <f>IF($B831="","",(COUNTIF(C808:E825,$B831)+COUNTIF(C808:E825,$B831&amp;" ~*")&gt;0)+(COUNTIF(G808:I825,$B831)+COUNTIF(G808:I825,$B831&amp;" ~*")&gt;0)+(COUNTIF(K808:M825,$B831)+COUNTIF(K808:M825,$B831&amp;" ~*")&gt;0)+(COUNTIF(O808:Q825,$B831)+COUNTIF(O808:Q825,$B831&amp;" ~*")&gt;0)+(COUNTIF(S808:U825,$B831)+COUNTIF(S808:U825,$B831&amp;" ~*")&gt;0)+(COUNTIF(W808:W825,$B831)+COUNTIF(W808:W825,$B831&amp;" ~*")&gt;0)+(COUNTIF(Y808:Y825,$B831)+COUNTIF(Y808:Y825,$B831&amp;" ~*")&gt;0))</f>
        <v/>
      </c>
      <c r="AC831" s="36">
        <f>IF($B831="","",(IFERROR(INDEX(Setup!$G$33:$G$40,MATCH(C831,Setup!$B$33:$B$40,0)),0)=1)*(COUNTIF(C808:E825,$B831)+COUNTIF(C808:E825,$B831&amp;" ~*")&gt;0)+(IFERROR(INDEX(Setup!$G$33:$G$40,MATCH(G831,Setup!$B$33:$B$40,0)),0)=1)*(COUNTIF(G808:I825,$B831)+COUNTIF(G808:I825,$B831&amp;" ~*")&gt;0)+(IFERROR(INDEX(Setup!$G$33:$G$40,MATCH(K831,Setup!$B$33:$B$40,0)),0)=1)*(COUNTIF(K808:M825,$B831)+COUNTIF(K808:M825,$B831&amp;" ~*")&gt;0)+(IFERROR(INDEX(Setup!$G$33:$G$40,MATCH(O831,Setup!$B$33:$B$40,0)),0)=1)*(COUNTIF(O808:Q825,$B831)+COUNTIF(O808:Q825,$B831&amp;" ~*")&gt;0)+(IFERROR(INDEX(Setup!$G$33:$G$40,MATCH(S831,Setup!$B$33:$B$40,0)),0)=1)*(COUNTIF(S808:U825,$B831)+COUNTIF(S808:U825,$B831&amp;" ~*")&gt;0)+(IFERROR(INDEX(Setup!$G$33:$G$40,MATCH(W831,Setup!$B$33:$B$40,0)),0)=1)*(COUNTIF(W808:W825,$B831)+COUNTIF(W808:W825,$B831&amp;" ~*")&gt;0)+(IFERROR(INDEX(Setup!$G$33:$G$40,MATCH(Y831,Setup!$B$33:$B$40,0)),0)=1)*(COUNTIF(Y808:Y825,$B831)+COUNTIF(Y808:Y825,$B831&amp;" ~*")&gt;0))</f>
        <v/>
      </c>
    </row>
    <row r="832" ht="15" customHeight="1">
      <c r="A832" t="n">
        <v>17</v>
      </c>
      <c r="B832" s="37">
        <f>IF(Setup!$B$11="","",Setup!$B$11)</f>
        <v/>
      </c>
      <c r="C832" s="102" t="n"/>
      <c r="D832" s="103" t="n"/>
      <c r="E832" s="103" t="n"/>
      <c r="F832" s="104" t="n"/>
      <c r="G832" s="102" t="n"/>
      <c r="H832" s="103" t="n"/>
      <c r="I832" s="103" t="n"/>
      <c r="J832" s="104" t="n"/>
      <c r="K832" s="102" t="n"/>
      <c r="L832" s="103" t="n"/>
      <c r="M832" s="103" t="n"/>
      <c r="N832" s="104" t="n"/>
      <c r="O832" s="102" t="n"/>
      <c r="P832" s="103" t="n"/>
      <c r="Q832" s="103" t="n"/>
      <c r="R832" s="104" t="n"/>
      <c r="S832" s="102" t="n"/>
      <c r="T832" s="103" t="n"/>
      <c r="U832" s="103" t="n"/>
      <c r="V832" s="104" t="n"/>
      <c r="W832" s="102" t="n"/>
      <c r="X832" s="104" t="n"/>
      <c r="Y832" s="102" t="n"/>
      <c r="Z832" s="104" t="n"/>
      <c r="AB832" s="105">
        <f>IF($B832="","",(COUNTIF(C808:E825,$B832)+COUNTIF(C808:E825,$B832&amp;" ~*")&gt;0)+(COUNTIF(G808:I825,$B832)+COUNTIF(G808:I825,$B832&amp;" ~*")&gt;0)+(COUNTIF(K808:M825,$B832)+COUNTIF(K808:M825,$B832&amp;" ~*")&gt;0)+(COUNTIF(O808:Q825,$B832)+COUNTIF(O808:Q825,$B832&amp;" ~*")&gt;0)+(COUNTIF(S808:U825,$B832)+COUNTIF(S808:U825,$B832&amp;" ~*")&gt;0)+(COUNTIF(W808:W825,$B832)+COUNTIF(W808:W825,$B832&amp;" ~*")&gt;0)+(COUNTIF(Y808:Y825,$B832)+COUNTIF(Y808:Y825,$B832&amp;" ~*")&gt;0))</f>
        <v/>
      </c>
      <c r="AC832" s="38">
        <f>IF($B832="","",(IFERROR(INDEX(Setup!$G$33:$G$40,MATCH(C832,Setup!$B$33:$B$40,0)),0)=1)*(COUNTIF(C808:E825,$B832)+COUNTIF(C808:E825,$B832&amp;" ~*")&gt;0)+(IFERROR(INDEX(Setup!$G$33:$G$40,MATCH(G832,Setup!$B$33:$B$40,0)),0)=1)*(COUNTIF(G808:I825,$B832)+COUNTIF(G808:I825,$B832&amp;" ~*")&gt;0)+(IFERROR(INDEX(Setup!$G$33:$G$40,MATCH(K832,Setup!$B$33:$B$40,0)),0)=1)*(COUNTIF(K808:M825,$B832)+COUNTIF(K808:M825,$B832&amp;" ~*")&gt;0)+(IFERROR(INDEX(Setup!$G$33:$G$40,MATCH(O832,Setup!$B$33:$B$40,0)),0)=1)*(COUNTIF(O808:Q825,$B832)+COUNTIF(O808:Q825,$B832&amp;" ~*")&gt;0)+(IFERROR(INDEX(Setup!$G$33:$G$40,MATCH(S832,Setup!$B$33:$B$40,0)),0)=1)*(COUNTIF(S808:U825,$B832)+COUNTIF(S808:U825,$B832&amp;" ~*")&gt;0)+(IFERROR(INDEX(Setup!$G$33:$G$40,MATCH(W832,Setup!$B$33:$B$40,0)),0)=1)*(COUNTIF(W808:W825,$B832)+COUNTIF(W808:W825,$B832&amp;" ~*")&gt;0)+(IFERROR(INDEX(Setup!$G$33:$G$40,MATCH(Y832,Setup!$B$33:$B$40,0)),0)=1)*(COUNTIF(Y808:Y825,$B832)+COUNTIF(Y808:Y825,$B832&amp;" ~*")&gt;0))</f>
        <v/>
      </c>
    </row>
    <row r="833" ht="15" customHeight="1">
      <c r="A833" t="n">
        <v>17</v>
      </c>
      <c r="B833" s="35">
        <f>IF(Setup!$B$12="","",Setup!$B$12)</f>
        <v/>
      </c>
      <c r="C833" s="98" t="n"/>
      <c r="D833" s="99" t="n"/>
      <c r="E833" s="99" t="n"/>
      <c r="F833" s="100" t="n"/>
      <c r="G833" s="98" t="n"/>
      <c r="H833" s="99" t="n"/>
      <c r="I833" s="99" t="n"/>
      <c r="J833" s="100" t="n"/>
      <c r="K833" s="98" t="n"/>
      <c r="L833" s="99" t="n"/>
      <c r="M833" s="99" t="n"/>
      <c r="N833" s="100" t="n"/>
      <c r="O833" s="98" t="n"/>
      <c r="P833" s="99" t="n"/>
      <c r="Q833" s="99" t="n"/>
      <c r="R833" s="100" t="n"/>
      <c r="S833" s="98" t="inlineStr">
        <is>
          <t>AL</t>
        </is>
      </c>
      <c r="T833" s="99" t="n"/>
      <c r="U833" s="99" t="n"/>
      <c r="V833" s="100" t="n"/>
      <c r="W833" s="98" t="n"/>
      <c r="X833" s="100" t="n"/>
      <c r="Y833" s="98" t="n"/>
      <c r="Z833" s="100" t="n"/>
      <c r="AB833" s="101">
        <f>IF($B833="","",(COUNTIF(C808:E825,$B833)+COUNTIF(C808:E825,$B833&amp;" ~*")&gt;0)+(COUNTIF(G808:I825,$B833)+COUNTIF(G808:I825,$B833&amp;" ~*")&gt;0)+(COUNTIF(K808:M825,$B833)+COUNTIF(K808:M825,$B833&amp;" ~*")&gt;0)+(COUNTIF(O808:Q825,$B833)+COUNTIF(O808:Q825,$B833&amp;" ~*")&gt;0)+(COUNTIF(S808:U825,$B833)+COUNTIF(S808:U825,$B833&amp;" ~*")&gt;0)+(COUNTIF(W808:W825,$B833)+COUNTIF(W808:W825,$B833&amp;" ~*")&gt;0)+(COUNTIF(Y808:Y825,$B833)+COUNTIF(Y808:Y825,$B833&amp;" ~*")&gt;0))</f>
        <v/>
      </c>
      <c r="AC833" s="36">
        <f>IF($B833="","",(IFERROR(INDEX(Setup!$G$33:$G$40,MATCH(C833,Setup!$B$33:$B$40,0)),0)=1)*(COUNTIF(C808:E825,$B833)+COUNTIF(C808:E825,$B833&amp;" ~*")&gt;0)+(IFERROR(INDEX(Setup!$G$33:$G$40,MATCH(G833,Setup!$B$33:$B$40,0)),0)=1)*(COUNTIF(G808:I825,$B833)+COUNTIF(G808:I825,$B833&amp;" ~*")&gt;0)+(IFERROR(INDEX(Setup!$G$33:$G$40,MATCH(K833,Setup!$B$33:$B$40,0)),0)=1)*(COUNTIF(K808:M825,$B833)+COUNTIF(K808:M825,$B833&amp;" ~*")&gt;0)+(IFERROR(INDEX(Setup!$G$33:$G$40,MATCH(O833,Setup!$B$33:$B$40,0)),0)=1)*(COUNTIF(O808:Q825,$B833)+COUNTIF(O808:Q825,$B833&amp;" ~*")&gt;0)+(IFERROR(INDEX(Setup!$G$33:$G$40,MATCH(S833,Setup!$B$33:$B$40,0)),0)=1)*(COUNTIF(S808:U825,$B833)+COUNTIF(S808:U825,$B833&amp;" ~*")&gt;0)+(IFERROR(INDEX(Setup!$G$33:$G$40,MATCH(W833,Setup!$B$33:$B$40,0)),0)=1)*(COUNTIF(W808:W825,$B833)+COUNTIF(W808:W825,$B833&amp;" ~*")&gt;0)+(IFERROR(INDEX(Setup!$G$33:$G$40,MATCH(Y833,Setup!$B$33:$B$40,0)),0)=1)*(COUNTIF(Y808:Y825,$B833)+COUNTIF(Y808:Y825,$B833&amp;" ~*")&gt;0))</f>
        <v/>
      </c>
    </row>
    <row r="834" ht="15" customHeight="1">
      <c r="A834" t="n">
        <v>17</v>
      </c>
      <c r="B834" s="37">
        <f>IF(Setup!$B$13="","",Setup!$B$13)</f>
        <v/>
      </c>
      <c r="C834" s="102" t="n"/>
      <c r="D834" s="103" t="n"/>
      <c r="E834" s="103" t="n"/>
      <c r="F834" s="104" t="n"/>
      <c r="G834" s="102" t="n"/>
      <c r="H834" s="103" t="n"/>
      <c r="I834" s="103" t="n"/>
      <c r="J834" s="104" t="n"/>
      <c r="K834" s="102" t="n"/>
      <c r="L834" s="103" t="n"/>
      <c r="M834" s="103" t="n"/>
      <c r="N834" s="104" t="n"/>
      <c r="O834" s="102" t="n"/>
      <c r="P834" s="103" t="n"/>
      <c r="Q834" s="103" t="n"/>
      <c r="R834" s="104" t="n"/>
      <c r="S834" s="102" t="n"/>
      <c r="T834" s="103" t="n"/>
      <c r="U834" s="103" t="n"/>
      <c r="V834" s="104" t="n"/>
      <c r="W834" s="102" t="n"/>
      <c r="X834" s="104" t="n"/>
      <c r="Y834" s="102" t="n"/>
      <c r="Z834" s="104" t="n"/>
      <c r="AB834" s="105">
        <f>IF($B834="","",(COUNTIF(C808:E825,$B834)+COUNTIF(C808:E825,$B834&amp;" ~*")&gt;0)+(COUNTIF(G808:I825,$B834)+COUNTIF(G808:I825,$B834&amp;" ~*")&gt;0)+(COUNTIF(K808:M825,$B834)+COUNTIF(K808:M825,$B834&amp;" ~*")&gt;0)+(COUNTIF(O808:Q825,$B834)+COUNTIF(O808:Q825,$B834&amp;" ~*")&gt;0)+(COUNTIF(S808:U825,$B834)+COUNTIF(S808:U825,$B834&amp;" ~*")&gt;0)+(COUNTIF(W808:W825,$B834)+COUNTIF(W808:W825,$B834&amp;" ~*")&gt;0)+(COUNTIF(Y808:Y825,$B834)+COUNTIF(Y808:Y825,$B834&amp;" ~*")&gt;0))</f>
        <v/>
      </c>
      <c r="AC834" s="38">
        <f>IF($B834="","",(IFERROR(INDEX(Setup!$G$33:$G$40,MATCH(C834,Setup!$B$33:$B$40,0)),0)=1)*(COUNTIF(C808:E825,$B834)+COUNTIF(C808:E825,$B834&amp;" ~*")&gt;0)+(IFERROR(INDEX(Setup!$G$33:$G$40,MATCH(G834,Setup!$B$33:$B$40,0)),0)=1)*(COUNTIF(G808:I825,$B834)+COUNTIF(G808:I825,$B834&amp;" ~*")&gt;0)+(IFERROR(INDEX(Setup!$G$33:$G$40,MATCH(K834,Setup!$B$33:$B$40,0)),0)=1)*(COUNTIF(K808:M825,$B834)+COUNTIF(K808:M825,$B834&amp;" ~*")&gt;0)+(IFERROR(INDEX(Setup!$G$33:$G$40,MATCH(O834,Setup!$B$33:$B$40,0)),0)=1)*(COUNTIF(O808:Q825,$B834)+COUNTIF(O808:Q825,$B834&amp;" ~*")&gt;0)+(IFERROR(INDEX(Setup!$G$33:$G$40,MATCH(S834,Setup!$B$33:$B$40,0)),0)=1)*(COUNTIF(S808:U825,$B834)+COUNTIF(S808:U825,$B834&amp;" ~*")&gt;0)+(IFERROR(INDEX(Setup!$G$33:$G$40,MATCH(W834,Setup!$B$33:$B$40,0)),0)=1)*(COUNTIF(W808:W825,$B834)+COUNTIF(W808:W825,$B834&amp;" ~*")&gt;0)+(IFERROR(INDEX(Setup!$G$33:$G$40,MATCH(Y834,Setup!$B$33:$B$40,0)),0)=1)*(COUNTIF(Y808:Y825,$B834)+COUNTIF(Y808:Y825,$B834&amp;" ~*")&gt;0))</f>
        <v/>
      </c>
    </row>
    <row r="835" ht="15" customHeight="1">
      <c r="A835" t="n">
        <v>17</v>
      </c>
      <c r="B835" s="35">
        <f>IF(Setup!$B$14="","",Setup!$B$14)</f>
        <v/>
      </c>
      <c r="C835" s="98" t="n"/>
      <c r="D835" s="99" t="n"/>
      <c r="E835" s="99" t="n"/>
      <c r="F835" s="100" t="n"/>
      <c r="G835" s="98" t="n"/>
      <c r="H835" s="99" t="n"/>
      <c r="I835" s="99" t="n"/>
      <c r="J835" s="100" t="n"/>
      <c r="K835" s="98" t="n"/>
      <c r="L835" s="99" t="n"/>
      <c r="M835" s="99" t="n"/>
      <c r="N835" s="100" t="n"/>
      <c r="O835" s="98" t="n"/>
      <c r="P835" s="99" t="n"/>
      <c r="Q835" s="99" t="n"/>
      <c r="R835" s="100" t="n"/>
      <c r="S835" s="98" t="n"/>
      <c r="T835" s="99" t="n"/>
      <c r="U835" s="99" t="n"/>
      <c r="V835" s="100" t="n"/>
      <c r="W835" s="98" t="n"/>
      <c r="X835" s="100" t="n"/>
      <c r="Y835" s="98" t="n"/>
      <c r="Z835" s="100" t="n"/>
      <c r="AB835" s="101">
        <f>IF($B835="","",(COUNTIF(C808:E825,$B835)+COUNTIF(C808:E825,$B835&amp;" ~*")&gt;0)+(COUNTIF(G808:I825,$B835)+COUNTIF(G808:I825,$B835&amp;" ~*")&gt;0)+(COUNTIF(K808:M825,$B835)+COUNTIF(K808:M825,$B835&amp;" ~*")&gt;0)+(COUNTIF(O808:Q825,$B835)+COUNTIF(O808:Q825,$B835&amp;" ~*")&gt;0)+(COUNTIF(S808:U825,$B835)+COUNTIF(S808:U825,$B835&amp;" ~*")&gt;0)+(COUNTIF(W808:W825,$B835)+COUNTIF(W808:W825,$B835&amp;" ~*")&gt;0)+(COUNTIF(Y808:Y825,$B835)+COUNTIF(Y808:Y825,$B835&amp;" ~*")&gt;0))</f>
        <v/>
      </c>
      <c r="AC835" s="36">
        <f>IF($B835="","",(IFERROR(INDEX(Setup!$G$33:$G$40,MATCH(C835,Setup!$B$33:$B$40,0)),0)=1)*(COUNTIF(C808:E825,$B835)+COUNTIF(C808:E825,$B835&amp;" ~*")&gt;0)+(IFERROR(INDEX(Setup!$G$33:$G$40,MATCH(G835,Setup!$B$33:$B$40,0)),0)=1)*(COUNTIF(G808:I825,$B835)+COUNTIF(G808:I825,$B835&amp;" ~*")&gt;0)+(IFERROR(INDEX(Setup!$G$33:$G$40,MATCH(K835,Setup!$B$33:$B$40,0)),0)=1)*(COUNTIF(K808:M825,$B835)+COUNTIF(K808:M825,$B835&amp;" ~*")&gt;0)+(IFERROR(INDEX(Setup!$G$33:$G$40,MATCH(O835,Setup!$B$33:$B$40,0)),0)=1)*(COUNTIF(O808:Q825,$B835)+COUNTIF(O808:Q825,$B835&amp;" ~*")&gt;0)+(IFERROR(INDEX(Setup!$G$33:$G$40,MATCH(S835,Setup!$B$33:$B$40,0)),0)=1)*(COUNTIF(S808:U825,$B835)+COUNTIF(S808:U825,$B835&amp;" ~*")&gt;0)+(IFERROR(INDEX(Setup!$G$33:$G$40,MATCH(W835,Setup!$B$33:$B$40,0)),0)=1)*(COUNTIF(W808:W825,$B835)+COUNTIF(W808:W825,$B835&amp;" ~*")&gt;0)+(IFERROR(INDEX(Setup!$G$33:$G$40,MATCH(Y835,Setup!$B$33:$B$40,0)),0)=1)*(COUNTIF(Y808:Y825,$B835)+COUNTIF(Y808:Y825,$B835&amp;" ~*")&gt;0))</f>
        <v/>
      </c>
    </row>
    <row r="836" ht="15" customHeight="1">
      <c r="A836" t="n">
        <v>17</v>
      </c>
      <c r="B836" s="37">
        <f>IF(Setup!$B$15="","",Setup!$B$15)</f>
        <v/>
      </c>
      <c r="C836" s="102" t="n"/>
      <c r="D836" s="103" t="n"/>
      <c r="E836" s="103" t="n"/>
      <c r="F836" s="104" t="n"/>
      <c r="G836" s="102" t="n"/>
      <c r="H836" s="103" t="n"/>
      <c r="I836" s="103" t="n"/>
      <c r="J836" s="104" t="n"/>
      <c r="K836" s="102" t="n"/>
      <c r="L836" s="103" t="n"/>
      <c r="M836" s="103" t="n"/>
      <c r="N836" s="104" t="n"/>
      <c r="O836" s="102" t="n"/>
      <c r="P836" s="103" t="n"/>
      <c r="Q836" s="103" t="n"/>
      <c r="R836" s="104" t="n"/>
      <c r="S836" s="102" t="n"/>
      <c r="T836" s="103" t="n"/>
      <c r="U836" s="103" t="n"/>
      <c r="V836" s="104" t="n"/>
      <c r="W836" s="102" t="n"/>
      <c r="X836" s="104" t="n"/>
      <c r="Y836" s="102" t="n"/>
      <c r="Z836" s="104" t="n"/>
      <c r="AB836" s="105">
        <f>IF($B836="","",(COUNTIF(C808:E825,$B836)+COUNTIF(C808:E825,$B836&amp;" ~*")&gt;0)+(COUNTIF(G808:I825,$B836)+COUNTIF(G808:I825,$B836&amp;" ~*")&gt;0)+(COUNTIF(K808:M825,$B836)+COUNTIF(K808:M825,$B836&amp;" ~*")&gt;0)+(COUNTIF(O808:Q825,$B836)+COUNTIF(O808:Q825,$B836&amp;" ~*")&gt;0)+(COUNTIF(S808:U825,$B836)+COUNTIF(S808:U825,$B836&amp;" ~*")&gt;0)+(COUNTIF(W808:W825,$B836)+COUNTIF(W808:W825,$B836&amp;" ~*")&gt;0)+(COUNTIF(Y808:Y825,$B836)+COUNTIF(Y808:Y825,$B836&amp;" ~*")&gt;0))</f>
        <v/>
      </c>
      <c r="AC836" s="38">
        <f>IF($B836="","",(IFERROR(INDEX(Setup!$G$33:$G$40,MATCH(C836,Setup!$B$33:$B$40,0)),0)=1)*(COUNTIF(C808:E825,$B836)+COUNTIF(C808:E825,$B836&amp;" ~*")&gt;0)+(IFERROR(INDEX(Setup!$G$33:$G$40,MATCH(G836,Setup!$B$33:$B$40,0)),0)=1)*(COUNTIF(G808:I825,$B836)+COUNTIF(G808:I825,$B836&amp;" ~*")&gt;0)+(IFERROR(INDEX(Setup!$G$33:$G$40,MATCH(K836,Setup!$B$33:$B$40,0)),0)=1)*(COUNTIF(K808:M825,$B836)+COUNTIF(K808:M825,$B836&amp;" ~*")&gt;0)+(IFERROR(INDEX(Setup!$G$33:$G$40,MATCH(O836,Setup!$B$33:$B$40,0)),0)=1)*(COUNTIF(O808:Q825,$B836)+COUNTIF(O808:Q825,$B836&amp;" ~*")&gt;0)+(IFERROR(INDEX(Setup!$G$33:$G$40,MATCH(S836,Setup!$B$33:$B$40,0)),0)=1)*(COUNTIF(S808:U825,$B836)+COUNTIF(S808:U825,$B836&amp;" ~*")&gt;0)+(IFERROR(INDEX(Setup!$G$33:$G$40,MATCH(W836,Setup!$B$33:$B$40,0)),0)=1)*(COUNTIF(W808:W825,$B836)+COUNTIF(W808:W825,$B836&amp;" ~*")&gt;0)+(IFERROR(INDEX(Setup!$G$33:$G$40,MATCH(Y836,Setup!$B$33:$B$40,0)),0)=1)*(COUNTIF(Y808:Y825,$B836)+COUNTIF(Y808:Y825,$B836&amp;" ~*")&gt;0))</f>
        <v/>
      </c>
    </row>
    <row r="837" ht="15" customHeight="1">
      <c r="A837" t="n">
        <v>17</v>
      </c>
      <c r="B837" s="35">
        <f>IF(Setup!$B$16="","",Setup!$B$16)</f>
        <v/>
      </c>
      <c r="C837" s="98" t="n"/>
      <c r="D837" s="99" t="n"/>
      <c r="E837" s="99" t="n"/>
      <c r="F837" s="100" t="n"/>
      <c r="G837" s="98" t="n"/>
      <c r="H837" s="99" t="n"/>
      <c r="I837" s="99" t="n"/>
      <c r="J837" s="100" t="n"/>
      <c r="K837" s="98" t="n"/>
      <c r="L837" s="99" t="n"/>
      <c r="M837" s="99" t="n"/>
      <c r="N837" s="100" t="n"/>
      <c r="O837" s="98" t="n"/>
      <c r="P837" s="99" t="n"/>
      <c r="Q837" s="99" t="n"/>
      <c r="R837" s="100" t="n"/>
      <c r="S837" s="98" t="n"/>
      <c r="T837" s="99" t="n"/>
      <c r="U837" s="99" t="n"/>
      <c r="V837" s="100" t="n"/>
      <c r="W837" s="98" t="n"/>
      <c r="X837" s="100" t="n"/>
      <c r="Y837" s="98" t="n"/>
      <c r="Z837" s="100" t="n"/>
      <c r="AB837" s="101">
        <f>IF($B837="","",(COUNTIF(C808:E825,$B837)+COUNTIF(C808:E825,$B837&amp;" ~*")&gt;0)+(COUNTIF(G808:I825,$B837)+COUNTIF(G808:I825,$B837&amp;" ~*")&gt;0)+(COUNTIF(K808:M825,$B837)+COUNTIF(K808:M825,$B837&amp;" ~*")&gt;0)+(COUNTIF(O808:Q825,$B837)+COUNTIF(O808:Q825,$B837&amp;" ~*")&gt;0)+(COUNTIF(S808:U825,$B837)+COUNTIF(S808:U825,$B837&amp;" ~*")&gt;0)+(COUNTIF(W808:W825,$B837)+COUNTIF(W808:W825,$B837&amp;" ~*")&gt;0)+(COUNTIF(Y808:Y825,$B837)+COUNTIF(Y808:Y825,$B837&amp;" ~*")&gt;0))</f>
        <v/>
      </c>
      <c r="AC837" s="36">
        <f>IF($B837="","",(IFERROR(INDEX(Setup!$G$33:$G$40,MATCH(C837,Setup!$B$33:$B$40,0)),0)=1)*(COUNTIF(C808:E825,$B837)+COUNTIF(C808:E825,$B837&amp;" ~*")&gt;0)+(IFERROR(INDEX(Setup!$G$33:$G$40,MATCH(G837,Setup!$B$33:$B$40,0)),0)=1)*(COUNTIF(G808:I825,$B837)+COUNTIF(G808:I825,$B837&amp;" ~*")&gt;0)+(IFERROR(INDEX(Setup!$G$33:$G$40,MATCH(K837,Setup!$B$33:$B$40,0)),0)=1)*(COUNTIF(K808:M825,$B837)+COUNTIF(K808:M825,$B837&amp;" ~*")&gt;0)+(IFERROR(INDEX(Setup!$G$33:$G$40,MATCH(O837,Setup!$B$33:$B$40,0)),0)=1)*(COUNTIF(O808:Q825,$B837)+COUNTIF(O808:Q825,$B837&amp;" ~*")&gt;0)+(IFERROR(INDEX(Setup!$G$33:$G$40,MATCH(S837,Setup!$B$33:$B$40,0)),0)=1)*(COUNTIF(S808:U825,$B837)+COUNTIF(S808:U825,$B837&amp;" ~*")&gt;0)+(IFERROR(INDEX(Setup!$G$33:$G$40,MATCH(W837,Setup!$B$33:$B$40,0)),0)=1)*(COUNTIF(W808:W825,$B837)+COUNTIF(W808:W825,$B837&amp;" ~*")&gt;0)+(IFERROR(INDEX(Setup!$G$33:$G$40,MATCH(Y837,Setup!$B$33:$B$40,0)),0)=1)*(COUNTIF(Y808:Y825,$B837)+COUNTIF(Y808:Y825,$B837&amp;" ~*")&gt;0))</f>
        <v/>
      </c>
    </row>
    <row r="838" ht="15" customHeight="1">
      <c r="A838" t="n">
        <v>17</v>
      </c>
      <c r="B838" s="37">
        <f>IF(Setup!$B$17="","",Setup!$B$17)</f>
        <v/>
      </c>
      <c r="C838" s="102" t="n"/>
      <c r="D838" s="103" t="n"/>
      <c r="E838" s="103" t="n"/>
      <c r="F838" s="104" t="n"/>
      <c r="G838" s="102" t="n"/>
      <c r="H838" s="103" t="n"/>
      <c r="I838" s="103" t="n"/>
      <c r="J838" s="104" t="n"/>
      <c r="K838" s="102" t="n"/>
      <c r="L838" s="103" t="n"/>
      <c r="M838" s="103" t="n"/>
      <c r="N838" s="104" t="n"/>
      <c r="O838" s="102" t="n"/>
      <c r="P838" s="103" t="n"/>
      <c r="Q838" s="103" t="n"/>
      <c r="R838" s="104" t="n"/>
      <c r="S838" s="102" t="n"/>
      <c r="T838" s="103" t="n"/>
      <c r="U838" s="103" t="n"/>
      <c r="V838" s="104" t="n"/>
      <c r="W838" s="102" t="n"/>
      <c r="X838" s="104" t="n"/>
      <c r="Y838" s="102" t="n"/>
      <c r="Z838" s="104" t="n"/>
      <c r="AB838" s="105">
        <f>IF($B838="","",(COUNTIF(C808:E825,$B838)+COUNTIF(C808:E825,$B838&amp;" ~*")&gt;0)+(COUNTIF(G808:I825,$B838)+COUNTIF(G808:I825,$B838&amp;" ~*")&gt;0)+(COUNTIF(K808:M825,$B838)+COUNTIF(K808:M825,$B838&amp;" ~*")&gt;0)+(COUNTIF(O808:Q825,$B838)+COUNTIF(O808:Q825,$B838&amp;" ~*")&gt;0)+(COUNTIF(S808:U825,$B838)+COUNTIF(S808:U825,$B838&amp;" ~*")&gt;0)+(COUNTIF(W808:W825,$B838)+COUNTIF(W808:W825,$B838&amp;" ~*")&gt;0)+(COUNTIF(Y808:Y825,$B838)+COUNTIF(Y808:Y825,$B838&amp;" ~*")&gt;0))</f>
        <v/>
      </c>
      <c r="AC838" s="38">
        <f>IF($B838="","",(IFERROR(INDEX(Setup!$G$33:$G$40,MATCH(C838,Setup!$B$33:$B$40,0)),0)=1)*(COUNTIF(C808:E825,$B838)+COUNTIF(C808:E825,$B838&amp;" ~*")&gt;0)+(IFERROR(INDEX(Setup!$G$33:$G$40,MATCH(G838,Setup!$B$33:$B$40,0)),0)=1)*(COUNTIF(G808:I825,$B838)+COUNTIF(G808:I825,$B838&amp;" ~*")&gt;0)+(IFERROR(INDEX(Setup!$G$33:$G$40,MATCH(K838,Setup!$B$33:$B$40,0)),0)=1)*(COUNTIF(K808:M825,$B838)+COUNTIF(K808:M825,$B838&amp;" ~*")&gt;0)+(IFERROR(INDEX(Setup!$G$33:$G$40,MATCH(O838,Setup!$B$33:$B$40,0)),0)=1)*(COUNTIF(O808:Q825,$B838)+COUNTIF(O808:Q825,$B838&amp;" ~*")&gt;0)+(IFERROR(INDEX(Setup!$G$33:$G$40,MATCH(S838,Setup!$B$33:$B$40,0)),0)=1)*(COUNTIF(S808:U825,$B838)+COUNTIF(S808:U825,$B838&amp;" ~*")&gt;0)+(IFERROR(INDEX(Setup!$G$33:$G$40,MATCH(W838,Setup!$B$33:$B$40,0)),0)=1)*(COUNTIF(W808:W825,$B838)+COUNTIF(W808:W825,$B838&amp;" ~*")&gt;0)+(IFERROR(INDEX(Setup!$G$33:$G$40,MATCH(Y838,Setup!$B$33:$B$40,0)),0)=1)*(COUNTIF(Y808:Y825,$B838)+COUNTIF(Y808:Y825,$B838&amp;" ~*")&gt;0))</f>
        <v/>
      </c>
    </row>
    <row r="839" ht="15" customHeight="1">
      <c r="A839" t="n">
        <v>17</v>
      </c>
      <c r="B839" s="35">
        <f>IF(Setup!$B$18="","",Setup!$B$18)</f>
        <v/>
      </c>
      <c r="C839" s="98" t="n"/>
      <c r="D839" s="99" t="n"/>
      <c r="E839" s="99" t="n"/>
      <c r="F839" s="100" t="n"/>
      <c r="G839" s="98" t="n"/>
      <c r="H839" s="99" t="n"/>
      <c r="I839" s="99" t="n"/>
      <c r="J839" s="100" t="n"/>
      <c r="K839" s="98" t="n"/>
      <c r="L839" s="99" t="n"/>
      <c r="M839" s="99" t="n"/>
      <c r="N839" s="100" t="n"/>
      <c r="O839" s="98" t="n"/>
      <c r="P839" s="99" t="n"/>
      <c r="Q839" s="99" t="n"/>
      <c r="R839" s="100" t="n"/>
      <c r="S839" s="98" t="n"/>
      <c r="T839" s="99" t="n"/>
      <c r="U839" s="99" t="n"/>
      <c r="V839" s="100" t="n"/>
      <c r="W839" s="98" t="n"/>
      <c r="X839" s="100" t="n"/>
      <c r="Y839" s="98" t="n"/>
      <c r="Z839" s="100" t="n"/>
      <c r="AB839" s="101">
        <f>IF($B839="","",(COUNTIF(C808:E825,$B839)+COUNTIF(C808:E825,$B839&amp;" ~*")&gt;0)+(COUNTIF(G808:I825,$B839)+COUNTIF(G808:I825,$B839&amp;" ~*")&gt;0)+(COUNTIF(K808:M825,$B839)+COUNTIF(K808:M825,$B839&amp;" ~*")&gt;0)+(COUNTIF(O808:Q825,$B839)+COUNTIF(O808:Q825,$B839&amp;" ~*")&gt;0)+(COUNTIF(S808:U825,$B839)+COUNTIF(S808:U825,$B839&amp;" ~*")&gt;0)+(COUNTIF(W808:W825,$B839)+COUNTIF(W808:W825,$B839&amp;" ~*")&gt;0)+(COUNTIF(Y808:Y825,$B839)+COUNTIF(Y808:Y825,$B839&amp;" ~*")&gt;0))</f>
        <v/>
      </c>
      <c r="AC839" s="36">
        <f>IF($B839="","",(IFERROR(INDEX(Setup!$G$33:$G$40,MATCH(C839,Setup!$B$33:$B$40,0)),0)=1)*(COUNTIF(C808:E825,$B839)+COUNTIF(C808:E825,$B839&amp;" ~*")&gt;0)+(IFERROR(INDEX(Setup!$G$33:$G$40,MATCH(G839,Setup!$B$33:$B$40,0)),0)=1)*(COUNTIF(G808:I825,$B839)+COUNTIF(G808:I825,$B839&amp;" ~*")&gt;0)+(IFERROR(INDEX(Setup!$G$33:$G$40,MATCH(K839,Setup!$B$33:$B$40,0)),0)=1)*(COUNTIF(K808:M825,$B839)+COUNTIF(K808:M825,$B839&amp;" ~*")&gt;0)+(IFERROR(INDEX(Setup!$G$33:$G$40,MATCH(O839,Setup!$B$33:$B$40,0)),0)=1)*(COUNTIF(O808:Q825,$B839)+COUNTIF(O808:Q825,$B839&amp;" ~*")&gt;0)+(IFERROR(INDEX(Setup!$G$33:$G$40,MATCH(S839,Setup!$B$33:$B$40,0)),0)=1)*(COUNTIF(S808:U825,$B839)+COUNTIF(S808:U825,$B839&amp;" ~*")&gt;0)+(IFERROR(INDEX(Setup!$G$33:$G$40,MATCH(W839,Setup!$B$33:$B$40,0)),0)=1)*(COUNTIF(W808:W825,$B839)+COUNTIF(W808:W825,$B839&amp;" ~*")&gt;0)+(IFERROR(INDEX(Setup!$G$33:$G$40,MATCH(Y839,Setup!$B$33:$B$40,0)),0)=1)*(COUNTIF(Y808:Y825,$B839)+COUNTIF(Y808:Y825,$B839&amp;" ~*")&gt;0))</f>
        <v/>
      </c>
    </row>
    <row r="840" ht="15" customHeight="1">
      <c r="A840" t="n">
        <v>17</v>
      </c>
      <c r="B840" s="37">
        <f>IF(Setup!$B$19="","",Setup!$B$19)</f>
        <v/>
      </c>
      <c r="C840" s="102" t="n"/>
      <c r="D840" s="103" t="n"/>
      <c r="E840" s="103" t="n"/>
      <c r="F840" s="104" t="n"/>
      <c r="G840" s="102" t="n"/>
      <c r="H840" s="103" t="n"/>
      <c r="I840" s="103" t="n"/>
      <c r="J840" s="104" t="n"/>
      <c r="K840" s="102" t="n"/>
      <c r="L840" s="103" t="n"/>
      <c r="M840" s="103" t="n"/>
      <c r="N840" s="104" t="n"/>
      <c r="O840" s="102" t="n"/>
      <c r="P840" s="103" t="n"/>
      <c r="Q840" s="103" t="n"/>
      <c r="R840" s="104" t="n"/>
      <c r="S840" s="102" t="n"/>
      <c r="T840" s="103" t="n"/>
      <c r="U840" s="103" t="n"/>
      <c r="V840" s="104" t="n"/>
      <c r="W840" s="102" t="n"/>
      <c r="X840" s="104" t="n"/>
      <c r="Y840" s="102" t="n"/>
      <c r="Z840" s="104" t="n"/>
      <c r="AB840" s="105">
        <f>IF($B840="","",(COUNTIF(C808:E825,$B840)+COUNTIF(C808:E825,$B840&amp;" ~*")&gt;0)+(COUNTIF(G808:I825,$B840)+COUNTIF(G808:I825,$B840&amp;" ~*")&gt;0)+(COUNTIF(K808:M825,$B840)+COUNTIF(K808:M825,$B840&amp;" ~*")&gt;0)+(COUNTIF(O808:Q825,$B840)+COUNTIF(O808:Q825,$B840&amp;" ~*")&gt;0)+(COUNTIF(S808:U825,$B840)+COUNTIF(S808:U825,$B840&amp;" ~*")&gt;0)+(COUNTIF(W808:W825,$B840)+COUNTIF(W808:W825,$B840&amp;" ~*")&gt;0)+(COUNTIF(Y808:Y825,$B840)+COUNTIF(Y808:Y825,$B840&amp;" ~*")&gt;0))</f>
        <v/>
      </c>
      <c r="AC840" s="38">
        <f>IF($B840="","",(IFERROR(INDEX(Setup!$G$33:$G$40,MATCH(C840,Setup!$B$33:$B$40,0)),0)=1)*(COUNTIF(C808:E825,$B840)+COUNTIF(C808:E825,$B840&amp;" ~*")&gt;0)+(IFERROR(INDEX(Setup!$G$33:$G$40,MATCH(G840,Setup!$B$33:$B$40,0)),0)=1)*(COUNTIF(G808:I825,$B840)+COUNTIF(G808:I825,$B840&amp;" ~*")&gt;0)+(IFERROR(INDEX(Setup!$G$33:$G$40,MATCH(K840,Setup!$B$33:$B$40,0)),0)=1)*(COUNTIF(K808:M825,$B840)+COUNTIF(K808:M825,$B840&amp;" ~*")&gt;0)+(IFERROR(INDEX(Setup!$G$33:$G$40,MATCH(O840,Setup!$B$33:$B$40,0)),0)=1)*(COUNTIF(O808:Q825,$B840)+COUNTIF(O808:Q825,$B840&amp;" ~*")&gt;0)+(IFERROR(INDEX(Setup!$G$33:$G$40,MATCH(S840,Setup!$B$33:$B$40,0)),0)=1)*(COUNTIF(S808:U825,$B840)+COUNTIF(S808:U825,$B840&amp;" ~*")&gt;0)+(IFERROR(INDEX(Setup!$G$33:$G$40,MATCH(W840,Setup!$B$33:$B$40,0)),0)=1)*(COUNTIF(W808:W825,$B840)+COUNTIF(W808:W825,$B840&amp;" ~*")&gt;0)+(IFERROR(INDEX(Setup!$G$33:$G$40,MATCH(Y840,Setup!$B$33:$B$40,0)),0)=1)*(COUNTIF(Y808:Y825,$B840)+COUNTIF(Y808:Y825,$B840&amp;" ~*")&gt;0))</f>
        <v/>
      </c>
    </row>
    <row r="841" ht="15" customHeight="1">
      <c r="A841" t="n">
        <v>17</v>
      </c>
      <c r="B841" s="35">
        <f>IF(Setup!$B$20="","",Setup!$B$20)</f>
        <v/>
      </c>
      <c r="C841" s="98" t="n"/>
      <c r="D841" s="99" t="n"/>
      <c r="E841" s="99" t="n"/>
      <c r="F841" s="100" t="n"/>
      <c r="G841" s="98" t="n"/>
      <c r="H841" s="99" t="n"/>
      <c r="I841" s="99" t="n"/>
      <c r="J841" s="100" t="n"/>
      <c r="K841" s="98" t="n"/>
      <c r="L841" s="99" t="n"/>
      <c r="M841" s="99" t="n"/>
      <c r="N841" s="100" t="n"/>
      <c r="O841" s="98" t="n"/>
      <c r="P841" s="99" t="n"/>
      <c r="Q841" s="99" t="n"/>
      <c r="R841" s="100" t="n"/>
      <c r="S841" s="98" t="n"/>
      <c r="T841" s="99" t="n"/>
      <c r="U841" s="99" t="n"/>
      <c r="V841" s="100" t="n"/>
      <c r="W841" s="98" t="n"/>
      <c r="X841" s="100" t="n"/>
      <c r="Y841" s="98" t="n"/>
      <c r="Z841" s="100" t="n"/>
      <c r="AB841" s="101">
        <f>IF($B841="","",(COUNTIF(C808:E825,$B841)+COUNTIF(C808:E825,$B841&amp;" ~*")&gt;0)+(COUNTIF(G808:I825,$B841)+COUNTIF(G808:I825,$B841&amp;" ~*")&gt;0)+(COUNTIF(K808:M825,$B841)+COUNTIF(K808:M825,$B841&amp;" ~*")&gt;0)+(COUNTIF(O808:Q825,$B841)+COUNTIF(O808:Q825,$B841&amp;" ~*")&gt;0)+(COUNTIF(S808:U825,$B841)+COUNTIF(S808:U825,$B841&amp;" ~*")&gt;0)+(COUNTIF(W808:W825,$B841)+COUNTIF(W808:W825,$B841&amp;" ~*")&gt;0)+(COUNTIF(Y808:Y825,$B841)+COUNTIF(Y808:Y825,$B841&amp;" ~*")&gt;0))</f>
        <v/>
      </c>
      <c r="AC841" s="36">
        <f>IF($B841="","",(IFERROR(INDEX(Setup!$G$33:$G$40,MATCH(C841,Setup!$B$33:$B$40,0)),0)=1)*(COUNTIF(C808:E825,$B841)+COUNTIF(C808:E825,$B841&amp;" ~*")&gt;0)+(IFERROR(INDEX(Setup!$G$33:$G$40,MATCH(G841,Setup!$B$33:$B$40,0)),0)=1)*(COUNTIF(G808:I825,$B841)+COUNTIF(G808:I825,$B841&amp;" ~*")&gt;0)+(IFERROR(INDEX(Setup!$G$33:$G$40,MATCH(K841,Setup!$B$33:$B$40,0)),0)=1)*(COUNTIF(K808:M825,$B841)+COUNTIF(K808:M825,$B841&amp;" ~*")&gt;0)+(IFERROR(INDEX(Setup!$G$33:$G$40,MATCH(O841,Setup!$B$33:$B$40,0)),0)=1)*(COUNTIF(O808:Q825,$B841)+COUNTIF(O808:Q825,$B841&amp;" ~*")&gt;0)+(IFERROR(INDEX(Setup!$G$33:$G$40,MATCH(S841,Setup!$B$33:$B$40,0)),0)=1)*(COUNTIF(S808:U825,$B841)+COUNTIF(S808:U825,$B841&amp;" ~*")&gt;0)+(IFERROR(INDEX(Setup!$G$33:$G$40,MATCH(W841,Setup!$B$33:$B$40,0)),0)=1)*(COUNTIF(W808:W825,$B841)+COUNTIF(W808:W825,$B841&amp;" ~*")&gt;0)+(IFERROR(INDEX(Setup!$G$33:$G$40,MATCH(Y841,Setup!$B$33:$B$40,0)),0)=1)*(COUNTIF(Y808:Y825,$B841)+COUNTIF(Y808:Y825,$B841&amp;" ~*")&gt;0))</f>
        <v/>
      </c>
    </row>
    <row r="842" ht="15" customHeight="1">
      <c r="A842" t="n">
        <v>17</v>
      </c>
      <c r="B842" s="37">
        <f>IF(Setup!$B$21="","",Setup!$B$21)</f>
        <v/>
      </c>
      <c r="C842" s="102" t="n"/>
      <c r="D842" s="103" t="n"/>
      <c r="E842" s="103" t="n"/>
      <c r="F842" s="104" t="n"/>
      <c r="G842" s="102" t="n"/>
      <c r="H842" s="103" t="n"/>
      <c r="I842" s="103" t="n"/>
      <c r="J842" s="104" t="n"/>
      <c r="K842" s="102" t="n"/>
      <c r="L842" s="103" t="n"/>
      <c r="M842" s="103" t="n"/>
      <c r="N842" s="104" t="n"/>
      <c r="O842" s="102" t="n"/>
      <c r="P842" s="103" t="n"/>
      <c r="Q842" s="103" t="n"/>
      <c r="R842" s="104" t="n"/>
      <c r="S842" s="102" t="n"/>
      <c r="T842" s="103" t="n"/>
      <c r="U842" s="103" t="n"/>
      <c r="V842" s="104" t="n"/>
      <c r="W842" s="102" t="n"/>
      <c r="X842" s="104" t="n"/>
      <c r="Y842" s="102" t="n"/>
      <c r="Z842" s="104" t="n"/>
      <c r="AB842" s="105">
        <f>IF($B842="","",(COUNTIF(C808:E825,$B842)+COUNTIF(C808:E825,$B842&amp;" ~*")&gt;0)+(COUNTIF(G808:I825,$B842)+COUNTIF(G808:I825,$B842&amp;" ~*")&gt;0)+(COUNTIF(K808:M825,$B842)+COUNTIF(K808:M825,$B842&amp;" ~*")&gt;0)+(COUNTIF(O808:Q825,$B842)+COUNTIF(O808:Q825,$B842&amp;" ~*")&gt;0)+(COUNTIF(S808:U825,$B842)+COUNTIF(S808:U825,$B842&amp;" ~*")&gt;0)+(COUNTIF(W808:W825,$B842)+COUNTIF(W808:W825,$B842&amp;" ~*")&gt;0)+(COUNTIF(Y808:Y825,$B842)+COUNTIF(Y808:Y825,$B842&amp;" ~*")&gt;0))</f>
        <v/>
      </c>
      <c r="AC842" s="38">
        <f>IF($B842="","",(IFERROR(INDEX(Setup!$G$33:$G$40,MATCH(C842,Setup!$B$33:$B$40,0)),0)=1)*(COUNTIF(C808:E825,$B842)+COUNTIF(C808:E825,$B842&amp;" ~*")&gt;0)+(IFERROR(INDEX(Setup!$G$33:$G$40,MATCH(G842,Setup!$B$33:$B$40,0)),0)=1)*(COUNTIF(G808:I825,$B842)+COUNTIF(G808:I825,$B842&amp;" ~*")&gt;0)+(IFERROR(INDEX(Setup!$G$33:$G$40,MATCH(K842,Setup!$B$33:$B$40,0)),0)=1)*(COUNTIF(K808:M825,$B842)+COUNTIF(K808:M825,$B842&amp;" ~*")&gt;0)+(IFERROR(INDEX(Setup!$G$33:$G$40,MATCH(O842,Setup!$B$33:$B$40,0)),0)=1)*(COUNTIF(O808:Q825,$B842)+COUNTIF(O808:Q825,$B842&amp;" ~*")&gt;0)+(IFERROR(INDEX(Setup!$G$33:$G$40,MATCH(S842,Setup!$B$33:$B$40,0)),0)=1)*(COUNTIF(S808:U825,$B842)+COUNTIF(S808:U825,$B842&amp;" ~*")&gt;0)+(IFERROR(INDEX(Setup!$G$33:$G$40,MATCH(W842,Setup!$B$33:$B$40,0)),0)=1)*(COUNTIF(W808:W825,$B842)+COUNTIF(W808:W825,$B842&amp;" ~*")&gt;0)+(IFERROR(INDEX(Setup!$G$33:$G$40,MATCH(Y842,Setup!$B$33:$B$40,0)),0)=1)*(COUNTIF(Y808:Y825,$B842)+COUNTIF(Y808:Y825,$B842&amp;" ~*")&gt;0))</f>
        <v/>
      </c>
    </row>
    <row r="843" ht="15" customHeight="1">
      <c r="A843" t="n">
        <v>17</v>
      </c>
      <c r="B843" s="35">
        <f>IF(Setup!$B$22="","",Setup!$B$22)</f>
        <v/>
      </c>
      <c r="C843" s="98" t="n"/>
      <c r="D843" s="99" t="n"/>
      <c r="E843" s="99" t="n"/>
      <c r="F843" s="100" t="n"/>
      <c r="G843" s="98" t="n"/>
      <c r="H843" s="99" t="n"/>
      <c r="I843" s="99" t="n"/>
      <c r="J843" s="100" t="n"/>
      <c r="K843" s="98" t="n"/>
      <c r="L843" s="99" t="n"/>
      <c r="M843" s="99" t="n"/>
      <c r="N843" s="100" t="n"/>
      <c r="O843" s="98" t="n"/>
      <c r="P843" s="99" t="n"/>
      <c r="Q843" s="99" t="n"/>
      <c r="R843" s="100" t="n"/>
      <c r="S843" s="98" t="n"/>
      <c r="T843" s="99" t="n"/>
      <c r="U843" s="99" t="n"/>
      <c r="V843" s="100" t="n"/>
      <c r="W843" s="98" t="n"/>
      <c r="X843" s="100" t="n"/>
      <c r="Y843" s="98" t="n"/>
      <c r="Z843" s="100" t="n"/>
      <c r="AB843" s="101">
        <f>IF($B843="","",(COUNTIF(C808:E825,$B843)+COUNTIF(C808:E825,$B843&amp;" ~*")&gt;0)+(COUNTIF(G808:I825,$B843)+COUNTIF(G808:I825,$B843&amp;" ~*")&gt;0)+(COUNTIF(K808:M825,$B843)+COUNTIF(K808:M825,$B843&amp;" ~*")&gt;0)+(COUNTIF(O808:Q825,$B843)+COUNTIF(O808:Q825,$B843&amp;" ~*")&gt;0)+(COUNTIF(S808:U825,$B843)+COUNTIF(S808:U825,$B843&amp;" ~*")&gt;0)+(COUNTIF(W808:W825,$B843)+COUNTIF(W808:W825,$B843&amp;" ~*")&gt;0)+(COUNTIF(Y808:Y825,$B843)+COUNTIF(Y808:Y825,$B843&amp;" ~*")&gt;0))</f>
        <v/>
      </c>
      <c r="AC843" s="36">
        <f>IF($B843="","",(IFERROR(INDEX(Setup!$G$33:$G$40,MATCH(C843,Setup!$B$33:$B$40,0)),0)=1)*(COUNTIF(C808:E825,$B843)+COUNTIF(C808:E825,$B843&amp;" ~*")&gt;0)+(IFERROR(INDEX(Setup!$G$33:$G$40,MATCH(G843,Setup!$B$33:$B$40,0)),0)=1)*(COUNTIF(G808:I825,$B843)+COUNTIF(G808:I825,$B843&amp;" ~*")&gt;0)+(IFERROR(INDEX(Setup!$G$33:$G$40,MATCH(K843,Setup!$B$33:$B$40,0)),0)=1)*(COUNTIF(K808:M825,$B843)+COUNTIF(K808:M825,$B843&amp;" ~*")&gt;0)+(IFERROR(INDEX(Setup!$G$33:$G$40,MATCH(O843,Setup!$B$33:$B$40,0)),0)=1)*(COUNTIF(O808:Q825,$B843)+COUNTIF(O808:Q825,$B843&amp;" ~*")&gt;0)+(IFERROR(INDEX(Setup!$G$33:$G$40,MATCH(S843,Setup!$B$33:$B$40,0)),0)=1)*(COUNTIF(S808:U825,$B843)+COUNTIF(S808:U825,$B843&amp;" ~*")&gt;0)+(IFERROR(INDEX(Setup!$G$33:$G$40,MATCH(W843,Setup!$B$33:$B$40,0)),0)=1)*(COUNTIF(W808:W825,$B843)+COUNTIF(W808:W825,$B843&amp;" ~*")&gt;0)+(IFERROR(INDEX(Setup!$G$33:$G$40,MATCH(Y843,Setup!$B$33:$B$40,0)),0)=1)*(COUNTIF(Y808:Y825,$B843)+COUNTIF(Y808:Y825,$B843&amp;" ~*")&gt;0))</f>
        <v/>
      </c>
    </row>
    <row r="844" ht="15" customHeight="1">
      <c r="A844" t="n">
        <v>17</v>
      </c>
      <c r="B844" s="37">
        <f>IF(Setup!$B$23="","",Setup!$B$23)</f>
        <v/>
      </c>
      <c r="C844" s="102" t="n"/>
      <c r="D844" s="103" t="n"/>
      <c r="E844" s="103" t="n"/>
      <c r="F844" s="104" t="n"/>
      <c r="G844" s="102" t="n"/>
      <c r="H844" s="103" t="n"/>
      <c r="I844" s="103" t="n"/>
      <c r="J844" s="104" t="n"/>
      <c r="K844" s="102" t="n"/>
      <c r="L844" s="103" t="n"/>
      <c r="M844" s="103" t="n"/>
      <c r="N844" s="104" t="n"/>
      <c r="O844" s="102" t="n"/>
      <c r="P844" s="103" t="n"/>
      <c r="Q844" s="103" t="n"/>
      <c r="R844" s="104" t="n"/>
      <c r="S844" s="102" t="n"/>
      <c r="T844" s="103" t="n"/>
      <c r="U844" s="103" t="n"/>
      <c r="V844" s="104" t="n"/>
      <c r="W844" s="102" t="n"/>
      <c r="X844" s="104" t="n"/>
      <c r="Y844" s="102" t="n"/>
      <c r="Z844" s="104" t="n"/>
      <c r="AB844" s="105">
        <f>IF($B844="","",(COUNTIF(C808:E825,$B844)+COUNTIF(C808:E825,$B844&amp;" ~*")&gt;0)+(COUNTIF(G808:I825,$B844)+COUNTIF(G808:I825,$B844&amp;" ~*")&gt;0)+(COUNTIF(K808:M825,$B844)+COUNTIF(K808:M825,$B844&amp;" ~*")&gt;0)+(COUNTIF(O808:Q825,$B844)+COUNTIF(O808:Q825,$B844&amp;" ~*")&gt;0)+(COUNTIF(S808:U825,$B844)+COUNTIF(S808:U825,$B844&amp;" ~*")&gt;0)+(COUNTIF(W808:W825,$B844)+COUNTIF(W808:W825,$B844&amp;" ~*")&gt;0)+(COUNTIF(Y808:Y825,$B844)+COUNTIF(Y808:Y825,$B844&amp;" ~*")&gt;0))</f>
        <v/>
      </c>
      <c r="AC844" s="38">
        <f>IF($B844="","",(IFERROR(INDEX(Setup!$G$33:$G$40,MATCH(C844,Setup!$B$33:$B$40,0)),0)=1)*(COUNTIF(C808:E825,$B844)+COUNTIF(C808:E825,$B844&amp;" ~*")&gt;0)+(IFERROR(INDEX(Setup!$G$33:$G$40,MATCH(G844,Setup!$B$33:$B$40,0)),0)=1)*(COUNTIF(G808:I825,$B844)+COUNTIF(G808:I825,$B844&amp;" ~*")&gt;0)+(IFERROR(INDEX(Setup!$G$33:$G$40,MATCH(K844,Setup!$B$33:$B$40,0)),0)=1)*(COUNTIF(K808:M825,$B844)+COUNTIF(K808:M825,$B844&amp;" ~*")&gt;0)+(IFERROR(INDEX(Setup!$G$33:$G$40,MATCH(O844,Setup!$B$33:$B$40,0)),0)=1)*(COUNTIF(O808:Q825,$B844)+COUNTIF(O808:Q825,$B844&amp;" ~*")&gt;0)+(IFERROR(INDEX(Setup!$G$33:$G$40,MATCH(S844,Setup!$B$33:$B$40,0)),0)=1)*(COUNTIF(S808:U825,$B844)+COUNTIF(S808:U825,$B844&amp;" ~*")&gt;0)+(IFERROR(INDEX(Setup!$G$33:$G$40,MATCH(W844,Setup!$B$33:$B$40,0)),0)=1)*(COUNTIF(W808:W825,$B844)+COUNTIF(W808:W825,$B844&amp;" ~*")&gt;0)+(IFERROR(INDEX(Setup!$G$33:$G$40,MATCH(Y844,Setup!$B$33:$B$40,0)),0)=1)*(COUNTIF(Y808:Y825,$B844)+COUNTIF(Y808:Y825,$B844&amp;" ~*")&gt;0))</f>
        <v/>
      </c>
    </row>
    <row r="845" ht="15" customHeight="1">
      <c r="A845" t="n">
        <v>17</v>
      </c>
      <c r="B845" s="35">
        <f>IF(Setup!$B$24="","",Setup!$B$24)</f>
        <v/>
      </c>
      <c r="C845" s="98" t="n"/>
      <c r="D845" s="99" t="n"/>
      <c r="E845" s="99" t="n"/>
      <c r="F845" s="100" t="n"/>
      <c r="G845" s="98" t="n"/>
      <c r="H845" s="99" t="n"/>
      <c r="I845" s="99" t="n"/>
      <c r="J845" s="100" t="n"/>
      <c r="K845" s="98" t="n"/>
      <c r="L845" s="99" t="n"/>
      <c r="M845" s="99" t="n"/>
      <c r="N845" s="100" t="n"/>
      <c r="O845" s="98" t="n"/>
      <c r="P845" s="99" t="n"/>
      <c r="Q845" s="99" t="n"/>
      <c r="R845" s="100" t="n"/>
      <c r="S845" s="98" t="n"/>
      <c r="T845" s="99" t="n"/>
      <c r="U845" s="99" t="n"/>
      <c r="V845" s="100" t="n"/>
      <c r="W845" s="98" t="n"/>
      <c r="X845" s="100" t="n"/>
      <c r="Y845" s="98" t="n"/>
      <c r="Z845" s="100" t="n"/>
      <c r="AB845" s="101">
        <f>IF($B845="","",(COUNTIF(C808:E825,$B845)+COUNTIF(C808:E825,$B845&amp;" ~*")&gt;0)+(COUNTIF(G808:I825,$B845)+COUNTIF(G808:I825,$B845&amp;" ~*")&gt;0)+(COUNTIF(K808:M825,$B845)+COUNTIF(K808:M825,$B845&amp;" ~*")&gt;0)+(COUNTIF(O808:Q825,$B845)+COUNTIF(O808:Q825,$B845&amp;" ~*")&gt;0)+(COUNTIF(S808:U825,$B845)+COUNTIF(S808:U825,$B845&amp;" ~*")&gt;0)+(COUNTIF(W808:W825,$B845)+COUNTIF(W808:W825,$B845&amp;" ~*")&gt;0)+(COUNTIF(Y808:Y825,$B845)+COUNTIF(Y808:Y825,$B845&amp;" ~*")&gt;0))</f>
        <v/>
      </c>
      <c r="AC845" s="36">
        <f>IF($B845="","",(IFERROR(INDEX(Setup!$G$33:$G$40,MATCH(C845,Setup!$B$33:$B$40,0)),0)=1)*(COUNTIF(C808:E825,$B845)+COUNTIF(C808:E825,$B845&amp;" ~*")&gt;0)+(IFERROR(INDEX(Setup!$G$33:$G$40,MATCH(G845,Setup!$B$33:$B$40,0)),0)=1)*(COUNTIF(G808:I825,$B845)+COUNTIF(G808:I825,$B845&amp;" ~*")&gt;0)+(IFERROR(INDEX(Setup!$G$33:$G$40,MATCH(K845,Setup!$B$33:$B$40,0)),0)=1)*(COUNTIF(K808:M825,$B845)+COUNTIF(K808:M825,$B845&amp;" ~*")&gt;0)+(IFERROR(INDEX(Setup!$G$33:$G$40,MATCH(O845,Setup!$B$33:$B$40,0)),0)=1)*(COUNTIF(O808:Q825,$B845)+COUNTIF(O808:Q825,$B845&amp;" ~*")&gt;0)+(IFERROR(INDEX(Setup!$G$33:$G$40,MATCH(S845,Setup!$B$33:$B$40,0)),0)=1)*(COUNTIF(S808:U825,$B845)+COUNTIF(S808:U825,$B845&amp;" ~*")&gt;0)+(IFERROR(INDEX(Setup!$G$33:$G$40,MATCH(W845,Setup!$B$33:$B$40,0)),0)=1)*(COUNTIF(W808:W825,$B845)+COUNTIF(W808:W825,$B845&amp;" ~*")&gt;0)+(IFERROR(INDEX(Setup!$G$33:$G$40,MATCH(Y845,Setup!$B$33:$B$40,0)),0)=1)*(COUNTIF(Y808:Y825,$B845)+COUNTIF(Y808:Y825,$B845&amp;" ~*")&gt;0))</f>
        <v/>
      </c>
    </row>
    <row r="846" ht="15" customHeight="1">
      <c r="A846" t="n">
        <v>17</v>
      </c>
      <c r="B846" s="37">
        <f>IF(Setup!$B$25="","",Setup!$B$25)</f>
        <v/>
      </c>
      <c r="C846" s="102" t="n"/>
      <c r="D846" s="103" t="n"/>
      <c r="E846" s="103" t="n"/>
      <c r="F846" s="104" t="n"/>
      <c r="G846" s="102" t="n"/>
      <c r="H846" s="103" t="n"/>
      <c r="I846" s="103" t="n"/>
      <c r="J846" s="104" t="n"/>
      <c r="K846" s="102" t="n"/>
      <c r="L846" s="103" t="n"/>
      <c r="M846" s="103" t="n"/>
      <c r="N846" s="104" t="n"/>
      <c r="O846" s="102" t="n"/>
      <c r="P846" s="103" t="n"/>
      <c r="Q846" s="103" t="n"/>
      <c r="R846" s="104" t="n"/>
      <c r="S846" s="102" t="n"/>
      <c r="T846" s="103" t="n"/>
      <c r="U846" s="103" t="n"/>
      <c r="V846" s="104" t="n"/>
      <c r="W846" s="102" t="n"/>
      <c r="X846" s="104" t="n"/>
      <c r="Y846" s="102" t="n"/>
      <c r="Z846" s="104" t="n"/>
      <c r="AB846" s="105">
        <f>IF($B846="","",(COUNTIF(C808:E825,$B846)+COUNTIF(C808:E825,$B846&amp;" ~*")&gt;0)+(COUNTIF(G808:I825,$B846)+COUNTIF(G808:I825,$B846&amp;" ~*")&gt;0)+(COUNTIF(K808:M825,$B846)+COUNTIF(K808:M825,$B846&amp;" ~*")&gt;0)+(COUNTIF(O808:Q825,$B846)+COUNTIF(O808:Q825,$B846&amp;" ~*")&gt;0)+(COUNTIF(S808:U825,$B846)+COUNTIF(S808:U825,$B846&amp;" ~*")&gt;0)+(COUNTIF(W808:W825,$B846)+COUNTIF(W808:W825,$B846&amp;" ~*")&gt;0)+(COUNTIF(Y808:Y825,$B846)+COUNTIF(Y808:Y825,$B846&amp;" ~*")&gt;0))</f>
        <v/>
      </c>
      <c r="AC846" s="38">
        <f>IF($B846="","",(IFERROR(INDEX(Setup!$G$33:$G$40,MATCH(C846,Setup!$B$33:$B$40,0)),0)=1)*(COUNTIF(C808:E825,$B846)+COUNTIF(C808:E825,$B846&amp;" ~*")&gt;0)+(IFERROR(INDEX(Setup!$G$33:$G$40,MATCH(G846,Setup!$B$33:$B$40,0)),0)=1)*(COUNTIF(G808:I825,$B846)+COUNTIF(G808:I825,$B846&amp;" ~*")&gt;0)+(IFERROR(INDEX(Setup!$G$33:$G$40,MATCH(K846,Setup!$B$33:$B$40,0)),0)=1)*(COUNTIF(K808:M825,$B846)+COUNTIF(K808:M825,$B846&amp;" ~*")&gt;0)+(IFERROR(INDEX(Setup!$G$33:$G$40,MATCH(O846,Setup!$B$33:$B$40,0)),0)=1)*(COUNTIF(O808:Q825,$B846)+COUNTIF(O808:Q825,$B846&amp;" ~*")&gt;0)+(IFERROR(INDEX(Setup!$G$33:$G$40,MATCH(S846,Setup!$B$33:$B$40,0)),0)=1)*(COUNTIF(S808:U825,$B846)+COUNTIF(S808:U825,$B846&amp;" ~*")&gt;0)+(IFERROR(INDEX(Setup!$G$33:$G$40,MATCH(W846,Setup!$B$33:$B$40,0)),0)=1)*(COUNTIF(W808:W825,$B846)+COUNTIF(W808:W825,$B846&amp;" ~*")&gt;0)+(IFERROR(INDEX(Setup!$G$33:$G$40,MATCH(Y846,Setup!$B$33:$B$40,0)),0)=1)*(COUNTIF(Y808:Y825,$B846)+COUNTIF(Y808:Y825,$B846&amp;" ~*")&gt;0))</f>
        <v/>
      </c>
    </row>
    <row r="847" ht="15" customHeight="1">
      <c r="A847" t="n">
        <v>17</v>
      </c>
      <c r="B847" s="35">
        <f>IF(Setup!$B$26="","",Setup!$B$26)</f>
        <v/>
      </c>
      <c r="C847" s="98" t="n"/>
      <c r="D847" s="99" t="n"/>
      <c r="E847" s="99" t="n"/>
      <c r="F847" s="100" t="n"/>
      <c r="G847" s="98" t="n"/>
      <c r="H847" s="99" t="n"/>
      <c r="I847" s="99" t="n"/>
      <c r="J847" s="100" t="n"/>
      <c r="K847" s="98" t="n"/>
      <c r="L847" s="99" t="n"/>
      <c r="M847" s="99" t="n"/>
      <c r="N847" s="100" t="n"/>
      <c r="O847" s="98" t="n"/>
      <c r="P847" s="99" t="n"/>
      <c r="Q847" s="99" t="n"/>
      <c r="R847" s="100" t="n"/>
      <c r="S847" s="98" t="n"/>
      <c r="T847" s="99" t="n"/>
      <c r="U847" s="99" t="n"/>
      <c r="V847" s="100" t="n"/>
      <c r="W847" s="98" t="n"/>
      <c r="X847" s="100" t="n"/>
      <c r="Y847" s="98" t="n"/>
      <c r="Z847" s="100" t="n"/>
      <c r="AB847" s="101">
        <f>IF($B847="","",(COUNTIF(C808:E825,$B847)+COUNTIF(C808:E825,$B847&amp;" ~*")&gt;0)+(COUNTIF(G808:I825,$B847)+COUNTIF(G808:I825,$B847&amp;" ~*")&gt;0)+(COUNTIF(K808:M825,$B847)+COUNTIF(K808:M825,$B847&amp;" ~*")&gt;0)+(COUNTIF(O808:Q825,$B847)+COUNTIF(O808:Q825,$B847&amp;" ~*")&gt;0)+(COUNTIF(S808:U825,$B847)+COUNTIF(S808:U825,$B847&amp;" ~*")&gt;0)+(COUNTIF(W808:W825,$B847)+COUNTIF(W808:W825,$B847&amp;" ~*")&gt;0)+(COUNTIF(Y808:Y825,$B847)+COUNTIF(Y808:Y825,$B847&amp;" ~*")&gt;0))</f>
        <v/>
      </c>
      <c r="AC847" s="36">
        <f>IF($B847="","",(IFERROR(INDEX(Setup!$G$33:$G$40,MATCH(C847,Setup!$B$33:$B$40,0)),0)=1)*(COUNTIF(C808:E825,$B847)+COUNTIF(C808:E825,$B847&amp;" ~*")&gt;0)+(IFERROR(INDEX(Setup!$G$33:$G$40,MATCH(G847,Setup!$B$33:$B$40,0)),0)=1)*(COUNTIF(G808:I825,$B847)+COUNTIF(G808:I825,$B847&amp;" ~*")&gt;0)+(IFERROR(INDEX(Setup!$G$33:$G$40,MATCH(K847,Setup!$B$33:$B$40,0)),0)=1)*(COUNTIF(K808:M825,$B847)+COUNTIF(K808:M825,$B847&amp;" ~*")&gt;0)+(IFERROR(INDEX(Setup!$G$33:$G$40,MATCH(O847,Setup!$B$33:$B$40,0)),0)=1)*(COUNTIF(O808:Q825,$B847)+COUNTIF(O808:Q825,$B847&amp;" ~*")&gt;0)+(IFERROR(INDEX(Setup!$G$33:$G$40,MATCH(S847,Setup!$B$33:$B$40,0)),0)=1)*(COUNTIF(S808:U825,$B847)+COUNTIF(S808:U825,$B847&amp;" ~*")&gt;0)+(IFERROR(INDEX(Setup!$G$33:$G$40,MATCH(W847,Setup!$B$33:$B$40,0)),0)=1)*(COUNTIF(W808:W825,$B847)+COUNTIF(W808:W825,$B847&amp;" ~*")&gt;0)+(IFERROR(INDEX(Setup!$G$33:$G$40,MATCH(Y847,Setup!$B$33:$B$40,0)),0)=1)*(COUNTIF(Y808:Y825,$B847)+COUNTIF(Y808:Y825,$B847&amp;" ~*")&gt;0))</f>
        <v/>
      </c>
    </row>
    <row r="848" ht="15" customHeight="1">
      <c r="A848" t="n">
        <v>17</v>
      </c>
      <c r="B848" s="37">
        <f>IF(Setup!$B$27="","",Setup!$B$27)</f>
        <v/>
      </c>
      <c r="C848" s="102" t="n"/>
      <c r="D848" s="103" t="n"/>
      <c r="E848" s="103" t="n"/>
      <c r="F848" s="104" t="n"/>
      <c r="G848" s="102" t="n"/>
      <c r="H848" s="103" t="n"/>
      <c r="I848" s="103" t="n"/>
      <c r="J848" s="104" t="n"/>
      <c r="K848" s="102" t="n"/>
      <c r="L848" s="103" t="n"/>
      <c r="M848" s="103" t="n"/>
      <c r="N848" s="104" t="n"/>
      <c r="O848" s="102" t="n"/>
      <c r="P848" s="103" t="n"/>
      <c r="Q848" s="103" t="n"/>
      <c r="R848" s="104" t="n"/>
      <c r="S848" s="102" t="n"/>
      <c r="T848" s="103" t="n"/>
      <c r="U848" s="103" t="n"/>
      <c r="V848" s="104" t="n"/>
      <c r="W848" s="102" t="n"/>
      <c r="X848" s="104" t="n"/>
      <c r="Y848" s="102" t="n"/>
      <c r="Z848" s="104" t="n"/>
      <c r="AB848" s="105">
        <f>IF($B848="","",(COUNTIF(C808:E825,$B848)+COUNTIF(C808:E825,$B848&amp;" ~*")&gt;0)+(COUNTIF(G808:I825,$B848)+COUNTIF(G808:I825,$B848&amp;" ~*")&gt;0)+(COUNTIF(K808:M825,$B848)+COUNTIF(K808:M825,$B848&amp;" ~*")&gt;0)+(COUNTIF(O808:Q825,$B848)+COUNTIF(O808:Q825,$B848&amp;" ~*")&gt;0)+(COUNTIF(S808:U825,$B848)+COUNTIF(S808:U825,$B848&amp;" ~*")&gt;0)+(COUNTIF(W808:W825,$B848)+COUNTIF(W808:W825,$B848&amp;" ~*")&gt;0)+(COUNTIF(Y808:Y825,$B848)+COUNTIF(Y808:Y825,$B848&amp;" ~*")&gt;0))</f>
        <v/>
      </c>
      <c r="AC848" s="38">
        <f>IF($B848="","",(IFERROR(INDEX(Setup!$G$33:$G$40,MATCH(C848,Setup!$B$33:$B$40,0)),0)=1)*(COUNTIF(C808:E825,$B848)+COUNTIF(C808:E825,$B848&amp;" ~*")&gt;0)+(IFERROR(INDEX(Setup!$G$33:$G$40,MATCH(G848,Setup!$B$33:$B$40,0)),0)=1)*(COUNTIF(G808:I825,$B848)+COUNTIF(G808:I825,$B848&amp;" ~*")&gt;0)+(IFERROR(INDEX(Setup!$G$33:$G$40,MATCH(K848,Setup!$B$33:$B$40,0)),0)=1)*(COUNTIF(K808:M825,$B848)+COUNTIF(K808:M825,$B848&amp;" ~*")&gt;0)+(IFERROR(INDEX(Setup!$G$33:$G$40,MATCH(O848,Setup!$B$33:$B$40,0)),0)=1)*(COUNTIF(O808:Q825,$B848)+COUNTIF(O808:Q825,$B848&amp;" ~*")&gt;0)+(IFERROR(INDEX(Setup!$G$33:$G$40,MATCH(S848,Setup!$B$33:$B$40,0)),0)=1)*(COUNTIF(S808:U825,$B848)+COUNTIF(S808:U825,$B848&amp;" ~*")&gt;0)+(IFERROR(INDEX(Setup!$G$33:$G$40,MATCH(W848,Setup!$B$33:$B$40,0)),0)=1)*(COUNTIF(W808:W825,$B848)+COUNTIF(W808:W825,$B848&amp;" ~*")&gt;0)+(IFERROR(INDEX(Setup!$G$33:$G$40,MATCH(Y848,Setup!$B$33:$B$40,0)),0)=1)*(COUNTIF(Y808:Y825,$B848)+COUNTIF(Y808:Y825,$B848&amp;" ~*")&gt;0))</f>
        <v/>
      </c>
    </row>
    <row r="849" ht="15" customHeight="1">
      <c r="A849" t="n">
        <v>17</v>
      </c>
      <c r="B849" s="35">
        <f>IF(Setup!$B$28="","",Setup!$B$28)</f>
        <v/>
      </c>
      <c r="C849" s="98" t="n"/>
      <c r="D849" s="99" t="n"/>
      <c r="E849" s="99" t="n"/>
      <c r="F849" s="100" t="n"/>
      <c r="G849" s="98" t="n"/>
      <c r="H849" s="99" t="n"/>
      <c r="I849" s="99" t="n"/>
      <c r="J849" s="100" t="n"/>
      <c r="K849" s="98" t="n"/>
      <c r="L849" s="99" t="n"/>
      <c r="M849" s="99" t="n"/>
      <c r="N849" s="100" t="n"/>
      <c r="O849" s="98" t="n"/>
      <c r="P849" s="99" t="n"/>
      <c r="Q849" s="99" t="n"/>
      <c r="R849" s="100" t="n"/>
      <c r="S849" s="98" t="n"/>
      <c r="T849" s="99" t="n"/>
      <c r="U849" s="99" t="n"/>
      <c r="V849" s="100" t="n"/>
      <c r="W849" s="98" t="n"/>
      <c r="X849" s="100" t="n"/>
      <c r="Y849" s="98" t="n"/>
      <c r="Z849" s="100" t="n"/>
      <c r="AB849" s="101">
        <f>IF($B849="","",(COUNTIF(C808:E825,$B849)+COUNTIF(C808:E825,$B849&amp;" ~*")&gt;0)+(COUNTIF(G808:I825,$B849)+COUNTIF(G808:I825,$B849&amp;" ~*")&gt;0)+(COUNTIF(K808:M825,$B849)+COUNTIF(K808:M825,$B849&amp;" ~*")&gt;0)+(COUNTIF(O808:Q825,$B849)+COUNTIF(O808:Q825,$B849&amp;" ~*")&gt;0)+(COUNTIF(S808:U825,$B849)+COUNTIF(S808:U825,$B849&amp;" ~*")&gt;0)+(COUNTIF(W808:W825,$B849)+COUNTIF(W808:W825,$B849&amp;" ~*")&gt;0)+(COUNTIF(Y808:Y825,$B849)+COUNTIF(Y808:Y825,$B849&amp;" ~*")&gt;0))</f>
        <v/>
      </c>
      <c r="AC849" s="36">
        <f>IF($B849="","",(IFERROR(INDEX(Setup!$G$33:$G$40,MATCH(C849,Setup!$B$33:$B$40,0)),0)=1)*(COUNTIF(C808:E825,$B849)+COUNTIF(C808:E825,$B849&amp;" ~*")&gt;0)+(IFERROR(INDEX(Setup!$G$33:$G$40,MATCH(G849,Setup!$B$33:$B$40,0)),0)=1)*(COUNTIF(G808:I825,$B849)+COUNTIF(G808:I825,$B849&amp;" ~*")&gt;0)+(IFERROR(INDEX(Setup!$G$33:$G$40,MATCH(K849,Setup!$B$33:$B$40,0)),0)=1)*(COUNTIF(K808:M825,$B849)+COUNTIF(K808:M825,$B849&amp;" ~*")&gt;0)+(IFERROR(INDEX(Setup!$G$33:$G$40,MATCH(O849,Setup!$B$33:$B$40,0)),0)=1)*(COUNTIF(O808:Q825,$B849)+COUNTIF(O808:Q825,$B849&amp;" ~*")&gt;0)+(IFERROR(INDEX(Setup!$G$33:$G$40,MATCH(S849,Setup!$B$33:$B$40,0)),0)=1)*(COUNTIF(S808:U825,$B849)+COUNTIF(S808:U825,$B849&amp;" ~*")&gt;0)+(IFERROR(INDEX(Setup!$G$33:$G$40,MATCH(W849,Setup!$B$33:$B$40,0)),0)=1)*(COUNTIF(W808:W825,$B849)+COUNTIF(W808:W825,$B849&amp;" ~*")&gt;0)+(IFERROR(INDEX(Setup!$G$33:$G$40,MATCH(Y849,Setup!$B$33:$B$40,0)),0)=1)*(COUNTIF(Y808:Y825,$B849)+COUNTIF(Y808:Y825,$B849&amp;" ~*")&gt;0))</f>
        <v/>
      </c>
    </row>
    <row r="850" ht="15" customHeight="1">
      <c r="A850" t="n">
        <v>17</v>
      </c>
      <c r="B850" s="37">
        <f>IF(Setup!$B$29="","",Setup!$B$29)</f>
        <v/>
      </c>
      <c r="C850" s="102" t="n"/>
      <c r="D850" s="103" t="n"/>
      <c r="E850" s="103" t="n"/>
      <c r="F850" s="104" t="n"/>
      <c r="G850" s="102" t="n"/>
      <c r="H850" s="103" t="n"/>
      <c r="I850" s="103" t="n"/>
      <c r="J850" s="104" t="n"/>
      <c r="K850" s="102" t="n"/>
      <c r="L850" s="103" t="n"/>
      <c r="M850" s="103" t="n"/>
      <c r="N850" s="104" t="n"/>
      <c r="O850" s="102" t="n"/>
      <c r="P850" s="103" t="n"/>
      <c r="Q850" s="103" t="n"/>
      <c r="R850" s="104" t="n"/>
      <c r="S850" s="102" t="n"/>
      <c r="T850" s="103" t="n"/>
      <c r="U850" s="103" t="n"/>
      <c r="V850" s="104" t="n"/>
      <c r="W850" s="102" t="n"/>
      <c r="X850" s="104" t="n"/>
      <c r="Y850" s="102" t="n"/>
      <c r="Z850" s="104" t="n"/>
      <c r="AB850" s="105">
        <f>IF($B850="","",(COUNTIF(C808:E825,$B850)+COUNTIF(C808:E825,$B850&amp;" ~*")&gt;0)+(COUNTIF(G808:I825,$B850)+COUNTIF(G808:I825,$B850&amp;" ~*")&gt;0)+(COUNTIF(K808:M825,$B850)+COUNTIF(K808:M825,$B850&amp;" ~*")&gt;0)+(COUNTIF(O808:Q825,$B850)+COUNTIF(O808:Q825,$B850&amp;" ~*")&gt;0)+(COUNTIF(S808:U825,$B850)+COUNTIF(S808:U825,$B850&amp;" ~*")&gt;0)+(COUNTIF(W808:W825,$B850)+COUNTIF(W808:W825,$B850&amp;" ~*")&gt;0)+(COUNTIF(Y808:Y825,$B850)+COUNTIF(Y808:Y825,$B850&amp;" ~*")&gt;0))</f>
        <v/>
      </c>
      <c r="AC850" s="38">
        <f>IF($B850="","",(IFERROR(INDEX(Setup!$G$33:$G$40,MATCH(C850,Setup!$B$33:$B$40,0)),0)=1)*(COUNTIF(C808:E825,$B850)+COUNTIF(C808:E825,$B850&amp;" ~*")&gt;0)+(IFERROR(INDEX(Setup!$G$33:$G$40,MATCH(G850,Setup!$B$33:$B$40,0)),0)=1)*(COUNTIF(G808:I825,$B850)+COUNTIF(G808:I825,$B850&amp;" ~*")&gt;0)+(IFERROR(INDEX(Setup!$G$33:$G$40,MATCH(K850,Setup!$B$33:$B$40,0)),0)=1)*(COUNTIF(K808:M825,$B850)+COUNTIF(K808:M825,$B850&amp;" ~*")&gt;0)+(IFERROR(INDEX(Setup!$G$33:$G$40,MATCH(O850,Setup!$B$33:$B$40,0)),0)=1)*(COUNTIF(O808:Q825,$B850)+COUNTIF(O808:Q825,$B850&amp;" ~*")&gt;0)+(IFERROR(INDEX(Setup!$G$33:$G$40,MATCH(S850,Setup!$B$33:$B$40,0)),0)=1)*(COUNTIF(S808:U825,$B850)+COUNTIF(S808:U825,$B850&amp;" ~*")&gt;0)+(IFERROR(INDEX(Setup!$G$33:$G$40,MATCH(W850,Setup!$B$33:$B$40,0)),0)=1)*(COUNTIF(W808:W825,$B850)+COUNTIF(W808:W825,$B850&amp;" ~*")&gt;0)+(IFERROR(INDEX(Setup!$G$33:$G$40,MATCH(Y850,Setup!$B$33:$B$40,0)),0)=1)*(COUNTIF(Y808:Y825,$B850)+COUNTIF(Y808:Y825,$B850&amp;" ~*")&gt;0))</f>
        <v/>
      </c>
    </row>
    <row r="851" ht="16" customHeight="1">
      <c r="A851" t="n">
        <v>17</v>
      </c>
      <c r="B851" s="106" t="inlineStr">
        <is>
          <t>Available people</t>
        </is>
      </c>
      <c r="C851" s="107">
        <f>COUNTIFS(Setup!$E$6:$E$29,"Y",Setup!$B$6:$B$29,"?*")-SUMPRODUCT(COUNTIF(C827:C850,Setup!$F$33:$F$40))</f>
        <v/>
      </c>
      <c r="D851" s="107" t="n"/>
      <c r="E851" s="107" t="n"/>
      <c r="F851" s="107" t="n"/>
      <c r="G851" s="107">
        <f>COUNTIFS(Setup!$E$6:$E$29,"Y",Setup!$B$6:$B$29,"?*")-SUMPRODUCT(COUNTIF(G827:G850,Setup!$F$33:$F$40))</f>
        <v/>
      </c>
      <c r="H851" s="107" t="n"/>
      <c r="I851" s="107" t="n"/>
      <c r="J851" s="107" t="n"/>
      <c r="K851" s="107">
        <f>COUNTIFS(Setup!$E$6:$E$29,"Y",Setup!$B$6:$B$29,"?*")-SUMPRODUCT(COUNTIF(K827:K850,Setup!$F$33:$F$40))</f>
        <v/>
      </c>
      <c r="L851" s="107" t="n"/>
      <c r="M851" s="107" t="n"/>
      <c r="N851" s="107" t="n"/>
      <c r="O851" s="107">
        <f>COUNTIFS(Setup!$E$6:$E$29,"Y",Setup!$B$6:$B$29,"?*")-SUMPRODUCT(COUNTIF(O827:O850,Setup!$F$33:$F$40))</f>
        <v/>
      </c>
      <c r="P851" s="107" t="n"/>
      <c r="Q851" s="107" t="n"/>
      <c r="R851" s="107" t="n"/>
      <c r="S851" s="107">
        <f>COUNTIFS(Setup!$E$6:$E$29,"Y",Setup!$B$6:$B$29,"?*")-SUMPRODUCT(COUNTIF(S827:S850,Setup!$F$33:$F$40))</f>
        <v/>
      </c>
      <c r="T851" s="107" t="n"/>
      <c r="U851" s="107" t="n"/>
      <c r="V851" s="107" t="n"/>
      <c r="W851" s="107">
        <f>COUNTIFS(Setup!$E$6:$E$29,"Y",Setup!$B$6:$B$29,"?*")-SUMPRODUCT(COUNTIF(W827:W850,Setup!$F$33:$F$40))</f>
        <v/>
      </c>
      <c r="X851" s="107" t="n"/>
      <c r="Y851" s="107">
        <f>COUNTIFS(Setup!$E$6:$E$29,"Y",Setup!$B$6:$B$29,"?*")-SUMPRODUCT(COUNTIF(Y827:Y850,Setup!$F$33:$F$40))</f>
        <v/>
      </c>
      <c r="Z851" s="107" t="n"/>
      <c r="AB851" s="108">
        <f>SUM(AB827:AB850)</f>
        <v/>
      </c>
      <c r="AC851" s="109">
        <f>SUM(AC827:AC850)</f>
        <v/>
      </c>
    </row>
    <row r="852" ht="30" customHeight="1">
      <c r="A852" t="n">
        <v>17</v>
      </c>
      <c r="B852" s="110" t="inlineStr">
        <is>
          <t>Week notes</t>
        </is>
      </c>
      <c r="C852" s="111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112" t="n"/>
      <c r="R852" s="112" t="n"/>
      <c r="S852" s="112" t="n"/>
      <c r="T852" s="112" t="n"/>
      <c r="U852" s="112" t="n"/>
      <c r="V852" s="112" t="n"/>
      <c r="W852" s="112" t="n"/>
      <c r="X852" s="112" t="n"/>
      <c r="Y852" s="112" t="n"/>
      <c r="Z852" s="113" t="n"/>
    </row>
    <row r="853" ht="8" customHeight="1">
      <c r="A853" t="n">
        <v>17</v>
      </c>
    </row>
    <row r="854" ht="8" customHeight="1">
      <c r="A854" t="n">
        <v>17</v>
      </c>
    </row>
    <row r="855" ht="24" customHeight="1">
      <c r="A855" t="n">
        <v>18</v>
      </c>
      <c r="B855" s="73">
        <f>"WEEK 18     "&amp;TEXT(C856,"ddd d mmm")&amp;"  –  "&amp;TEXT(C856+6,"ddd d mmm yyyy")</f>
        <v/>
      </c>
      <c r="S855" s="74">
        <f>IF(TODAY()&lt;C856,"FUTURE",IF(TODAY()&gt;C856+6,"PAST","THIS WEEK"))</f>
        <v/>
      </c>
      <c r="W855" s="75">
        <f>IF(AND(Engine!$B$8=$AC$3,Engine!$B$9=$A855),"◀ ACTIVE WEEK","")</f>
        <v/>
      </c>
      <c r="AA855" s="76" t="n"/>
      <c r="AB855" s="77" t="inlineStr">
        <is>
          <t>◀ Prev</t>
        </is>
      </c>
      <c r="AC855" s="77" t="inlineStr">
        <is>
          <t>Next ▶</t>
        </is>
      </c>
    </row>
    <row r="856" ht="18" customHeight="1">
      <c r="A856" t="n">
        <v>18</v>
      </c>
      <c r="B856" s="78" t="inlineStr">
        <is>
          <t>DUTY</t>
        </is>
      </c>
      <c r="C856" s="79">
        <f>$AC$2+7*($A856-1)</f>
        <v/>
      </c>
      <c r="D856" s="80" t="n"/>
      <c r="E856" s="80" t="n"/>
      <c r="F856" s="81" t="n"/>
      <c r="G856" s="79">
        <f>C856+1</f>
        <v/>
      </c>
      <c r="H856" s="80" t="n"/>
      <c r="I856" s="80" t="n"/>
      <c r="J856" s="81" t="n"/>
      <c r="K856" s="79">
        <f>C856+2</f>
        <v/>
      </c>
      <c r="L856" s="80" t="n"/>
      <c r="M856" s="80" t="n"/>
      <c r="N856" s="81" t="n"/>
      <c r="O856" s="79">
        <f>C856+3</f>
        <v/>
      </c>
      <c r="P856" s="80" t="n"/>
      <c r="Q856" s="80" t="n"/>
      <c r="R856" s="81" t="n"/>
      <c r="S856" s="79">
        <f>C856+4</f>
        <v/>
      </c>
      <c r="T856" s="80" t="n"/>
      <c r="U856" s="80" t="n"/>
      <c r="V856" s="81" t="n"/>
      <c r="W856" s="82">
        <f>C856+5</f>
        <v/>
      </c>
      <c r="X856" s="83" t="n"/>
      <c r="Y856" s="82">
        <f>C856+6</f>
        <v/>
      </c>
      <c r="Z856" s="83" t="n"/>
      <c r="AB856" s="72" t="inlineStr">
        <is>
          <t>Gaps</t>
        </is>
      </c>
      <c r="AC856" s="72" t="inlineStr">
        <is>
          <t>Cover</t>
        </is>
      </c>
    </row>
    <row r="857" ht="14" customHeight="1">
      <c r="A857" t="n">
        <v>18</v>
      </c>
      <c r="B857" s="84" t="inlineStr">
        <is>
          <t>(from Setup)</t>
        </is>
      </c>
      <c r="C857" s="85" t="inlineStr">
        <is>
          <t>1</t>
        </is>
      </c>
      <c r="D857" s="85" t="inlineStr">
        <is>
          <t>2</t>
        </is>
      </c>
      <c r="E857" s="85" t="inlineStr">
        <is>
          <t>3</t>
        </is>
      </c>
      <c r="F857" s="85" t="inlineStr">
        <is>
          <t>Notes</t>
        </is>
      </c>
      <c r="G857" s="85" t="inlineStr">
        <is>
          <t>1</t>
        </is>
      </c>
      <c r="H857" s="85" t="inlineStr">
        <is>
          <t>2</t>
        </is>
      </c>
      <c r="I857" s="85" t="inlineStr">
        <is>
          <t>3</t>
        </is>
      </c>
      <c r="J857" s="85" t="inlineStr">
        <is>
          <t>Notes</t>
        </is>
      </c>
      <c r="K857" s="85" t="inlineStr">
        <is>
          <t>1</t>
        </is>
      </c>
      <c r="L857" s="85" t="inlineStr">
        <is>
          <t>2</t>
        </is>
      </c>
      <c r="M857" s="85" t="inlineStr">
        <is>
          <t>3</t>
        </is>
      </c>
      <c r="N857" s="85" t="inlineStr">
        <is>
          <t>Notes</t>
        </is>
      </c>
      <c r="O857" s="85" t="inlineStr">
        <is>
          <t>1</t>
        </is>
      </c>
      <c r="P857" s="85" t="inlineStr">
        <is>
          <t>2</t>
        </is>
      </c>
      <c r="Q857" s="85" t="inlineStr">
        <is>
          <t>3</t>
        </is>
      </c>
      <c r="R857" s="85" t="inlineStr">
        <is>
          <t>Notes</t>
        </is>
      </c>
      <c r="S857" s="85" t="inlineStr">
        <is>
          <t>1</t>
        </is>
      </c>
      <c r="T857" s="85" t="inlineStr">
        <is>
          <t>2</t>
        </is>
      </c>
      <c r="U857" s="85" t="inlineStr">
        <is>
          <t>3</t>
        </is>
      </c>
      <c r="V857" s="85" t="inlineStr">
        <is>
          <t>Notes</t>
        </is>
      </c>
      <c r="W857" s="85" t="inlineStr">
        <is>
          <t>Cover</t>
        </is>
      </c>
      <c r="X857" s="85" t="inlineStr">
        <is>
          <t>Notes</t>
        </is>
      </c>
      <c r="Y857" s="85" t="inlineStr">
        <is>
          <t>Cover</t>
        </is>
      </c>
      <c r="Z857" s="85" t="inlineStr">
        <is>
          <t>Notes</t>
        </is>
      </c>
      <c r="AB857" s="86" t="inlineStr">
        <is>
          <t>weekdays short</t>
        </is>
      </c>
      <c r="AC857" s="87" t="inlineStr"/>
    </row>
    <row r="858" ht="17" customHeight="1">
      <c r="A858" t="n">
        <v>18</v>
      </c>
      <c r="B858" s="24">
        <f>IF(Setup!$K$6="","",Setup!$K$6)</f>
        <v/>
      </c>
      <c r="C858" s="88" t="n"/>
      <c r="D858" s="88" t="n"/>
      <c r="E858" s="88" t="n"/>
      <c r="F858" s="89" t="n"/>
      <c r="G858" s="88" t="n"/>
      <c r="H858" s="88" t="n"/>
      <c r="I858" s="88" t="n"/>
      <c r="J858" s="89" t="n"/>
      <c r="K858" s="88" t="n"/>
      <c r="L858" s="88" t="n"/>
      <c r="M858" s="88" t="n"/>
      <c r="N858" s="89" t="n"/>
      <c r="O858" s="88" t="n"/>
      <c r="P858" s="88" t="n"/>
      <c r="Q858" s="88" t="n"/>
      <c r="R858" s="89" t="n"/>
      <c r="S858" s="88" t="n"/>
      <c r="T858" s="88" t="n"/>
      <c r="U858" s="88" t="n"/>
      <c r="V858" s="89" t="n"/>
      <c r="W858" s="88" t="n"/>
      <c r="X858" s="89" t="n"/>
      <c r="Y858" s="88" t="n"/>
      <c r="Z858" s="89" t="n"/>
      <c r="AB858" s="25">
        <f>IF($B858="","",(COUNTIF(C858:E858,"?*")&lt;N(INDEX(Setup!$L$6:$L$23,1)))+(COUNTIF(G858:I858,"?*")&lt;N(INDEX(Setup!$L$6:$L$23,1)))+(COUNTIF(K858:M858,"?*")&lt;N(INDEX(Setup!$L$6:$L$23,1)))+(COUNTIF(O858:Q858,"?*")&lt;N(INDEX(Setup!$L$6:$L$23,1)))+(COUNTIF(S858:U858,"?*")&lt;N(INDEX(Setup!$L$6:$L$23,1)))+((W858="")*(INDEX(Setup!$M$6:$M$23,1)="Y"))+((Y858="")*(INDEX(Setup!$M$6:$M$23,1)="Y")))</f>
        <v/>
      </c>
      <c r="AC858" s="90">
        <f>IF($B858="","",IF(AB858=0,"✓ covered","⚠ "&amp;AB858&amp;IF(AB858=1," gap"," gaps")))</f>
        <v/>
      </c>
    </row>
    <row r="859" ht="17" customHeight="1">
      <c r="A859" t="n">
        <v>18</v>
      </c>
      <c r="B859" s="29">
        <f>IF(Setup!$K$7="","",Setup!$K$7)</f>
        <v/>
      </c>
      <c r="C859" s="88" t="n"/>
      <c r="D859" s="88" t="n"/>
      <c r="E859" s="88" t="n"/>
      <c r="F859" s="89" t="n"/>
      <c r="G859" s="88" t="n"/>
      <c r="H859" s="88" t="n"/>
      <c r="I859" s="88" t="n"/>
      <c r="J859" s="89" t="n"/>
      <c r="K859" s="88" t="n"/>
      <c r="L859" s="88" t="n"/>
      <c r="M859" s="88" t="n"/>
      <c r="N859" s="89" t="n"/>
      <c r="O859" s="88" t="n"/>
      <c r="P859" s="88" t="n"/>
      <c r="Q859" s="88" t="n"/>
      <c r="R859" s="89" t="n"/>
      <c r="S859" s="88" t="n"/>
      <c r="T859" s="88" t="n"/>
      <c r="U859" s="88" t="n"/>
      <c r="V859" s="89" t="n"/>
      <c r="W859" s="88" t="n"/>
      <c r="X859" s="89" t="n"/>
      <c r="Y859" s="88" t="n"/>
      <c r="Z859" s="89" t="n"/>
      <c r="AB859" s="30">
        <f>IF($B859="","",(COUNTIF(C859:E859,"?*")&lt;N(INDEX(Setup!$L$6:$L$23,2)))+(COUNTIF(G859:I859,"?*")&lt;N(INDEX(Setup!$L$6:$L$23,2)))+(COUNTIF(K859:M859,"?*")&lt;N(INDEX(Setup!$L$6:$L$23,2)))+(COUNTIF(O859:Q859,"?*")&lt;N(INDEX(Setup!$L$6:$L$23,2)))+(COUNTIF(S859:U859,"?*")&lt;N(INDEX(Setup!$L$6:$L$23,2)))+((W859="")*(INDEX(Setup!$M$6:$M$23,2)="Y"))+((Y859="")*(INDEX(Setup!$M$6:$M$23,2)="Y")))</f>
        <v/>
      </c>
      <c r="AC859" s="91">
        <f>IF($B859="","",IF(AB859=0,"✓ covered","⚠ "&amp;AB859&amp;IF(AB859=1," gap"," gaps")))</f>
        <v/>
      </c>
    </row>
    <row r="860" ht="17" customHeight="1">
      <c r="A860" t="n">
        <v>18</v>
      </c>
      <c r="B860" s="24">
        <f>IF(Setup!$K$8="","",Setup!$K$8)</f>
        <v/>
      </c>
      <c r="C860" s="88" t="n"/>
      <c r="D860" s="88" t="n"/>
      <c r="E860" s="88" t="n"/>
      <c r="F860" s="89" t="n"/>
      <c r="G860" s="88" t="n"/>
      <c r="H860" s="88" t="n"/>
      <c r="I860" s="88" t="n"/>
      <c r="J860" s="89" t="n"/>
      <c r="K860" s="88" t="n"/>
      <c r="L860" s="88" t="n"/>
      <c r="M860" s="88" t="n"/>
      <c r="N860" s="89" t="n"/>
      <c r="O860" s="88" t="n"/>
      <c r="P860" s="88" t="n"/>
      <c r="Q860" s="88" t="n"/>
      <c r="R860" s="89" t="n"/>
      <c r="S860" s="88" t="n"/>
      <c r="T860" s="88" t="n"/>
      <c r="U860" s="88" t="n"/>
      <c r="V860" s="89" t="n"/>
      <c r="W860" s="88" t="n"/>
      <c r="X860" s="89" t="n"/>
      <c r="Y860" s="88" t="n"/>
      <c r="Z860" s="89" t="n"/>
      <c r="AB860" s="25">
        <f>IF($B860="","",(COUNTIF(C860:E860,"?*")&lt;N(INDEX(Setup!$L$6:$L$23,3)))+(COUNTIF(G860:I860,"?*")&lt;N(INDEX(Setup!$L$6:$L$23,3)))+(COUNTIF(K860:M860,"?*")&lt;N(INDEX(Setup!$L$6:$L$23,3)))+(COUNTIF(O860:Q860,"?*")&lt;N(INDEX(Setup!$L$6:$L$23,3)))+(COUNTIF(S860:U860,"?*")&lt;N(INDEX(Setup!$L$6:$L$23,3)))+((W860="")*(INDEX(Setup!$M$6:$M$23,3)="Y"))+((Y860="")*(INDEX(Setup!$M$6:$M$23,3)="Y")))</f>
        <v/>
      </c>
      <c r="AC860" s="90">
        <f>IF($B860="","",IF(AB860=0,"✓ covered","⚠ "&amp;AB860&amp;IF(AB860=1," gap"," gaps")))</f>
        <v/>
      </c>
    </row>
    <row r="861" ht="17" customHeight="1">
      <c r="A861" t="n">
        <v>18</v>
      </c>
      <c r="B861" s="29">
        <f>IF(Setup!$K$9="","",Setup!$K$9)</f>
        <v/>
      </c>
      <c r="C861" s="88" t="n"/>
      <c r="D861" s="88" t="n"/>
      <c r="E861" s="88" t="n"/>
      <c r="F861" s="89" t="n"/>
      <c r="G861" s="88" t="n"/>
      <c r="H861" s="88" t="n"/>
      <c r="I861" s="88" t="n"/>
      <c r="J861" s="89" t="n"/>
      <c r="K861" s="88" t="n"/>
      <c r="L861" s="88" t="n"/>
      <c r="M861" s="88" t="n"/>
      <c r="N861" s="89" t="n"/>
      <c r="O861" s="88" t="n"/>
      <c r="P861" s="88" t="n"/>
      <c r="Q861" s="88" t="n"/>
      <c r="R861" s="89" t="n"/>
      <c r="S861" s="88" t="n"/>
      <c r="T861" s="88" t="n"/>
      <c r="U861" s="88" t="n"/>
      <c r="V861" s="89" t="n"/>
      <c r="W861" s="88" t="n"/>
      <c r="X861" s="89" t="n"/>
      <c r="Y861" s="88" t="n"/>
      <c r="Z861" s="89" t="n"/>
      <c r="AB861" s="30">
        <f>IF($B861="","",(COUNTIF(C861:E861,"?*")&lt;N(INDEX(Setup!$L$6:$L$23,4)))+(COUNTIF(G861:I861,"?*")&lt;N(INDEX(Setup!$L$6:$L$23,4)))+(COUNTIF(K861:M861,"?*")&lt;N(INDEX(Setup!$L$6:$L$23,4)))+(COUNTIF(O861:Q861,"?*")&lt;N(INDEX(Setup!$L$6:$L$23,4)))+(COUNTIF(S861:U861,"?*")&lt;N(INDEX(Setup!$L$6:$L$23,4)))+((W861="")*(INDEX(Setup!$M$6:$M$23,4)="Y"))+((Y861="")*(INDEX(Setup!$M$6:$M$23,4)="Y")))</f>
        <v/>
      </c>
      <c r="AC861" s="91">
        <f>IF($B861="","",IF(AB861=0,"✓ covered","⚠ "&amp;AB861&amp;IF(AB861=1," gap"," gaps")))</f>
        <v/>
      </c>
    </row>
    <row r="862" ht="17" customHeight="1">
      <c r="A862" t="n">
        <v>18</v>
      </c>
      <c r="B862" s="24">
        <f>IF(Setup!$K$10="","",Setup!$K$10)</f>
        <v/>
      </c>
      <c r="C862" s="88" t="n"/>
      <c r="D862" s="88" t="n"/>
      <c r="E862" s="88" t="n"/>
      <c r="F862" s="89" t="n"/>
      <c r="G862" s="88" t="n"/>
      <c r="H862" s="88" t="n"/>
      <c r="I862" s="88" t="n"/>
      <c r="J862" s="89" t="n"/>
      <c r="K862" s="88" t="n"/>
      <c r="L862" s="88" t="n"/>
      <c r="M862" s="88" t="n"/>
      <c r="N862" s="89" t="n"/>
      <c r="O862" s="88" t="n"/>
      <c r="P862" s="88" t="n"/>
      <c r="Q862" s="88" t="n"/>
      <c r="R862" s="89" t="n"/>
      <c r="S862" s="88" t="n"/>
      <c r="T862" s="88" t="n"/>
      <c r="U862" s="88" t="n"/>
      <c r="V862" s="89" t="n"/>
      <c r="W862" s="88" t="n"/>
      <c r="X862" s="89" t="n"/>
      <c r="Y862" s="88" t="n"/>
      <c r="Z862" s="89" t="n"/>
      <c r="AB862" s="25">
        <f>IF($B862="","",(COUNTIF(C862:E862,"?*")&lt;N(INDEX(Setup!$L$6:$L$23,5)))+(COUNTIF(G862:I862,"?*")&lt;N(INDEX(Setup!$L$6:$L$23,5)))+(COUNTIF(K862:M862,"?*")&lt;N(INDEX(Setup!$L$6:$L$23,5)))+(COUNTIF(O862:Q862,"?*")&lt;N(INDEX(Setup!$L$6:$L$23,5)))+(COUNTIF(S862:U862,"?*")&lt;N(INDEX(Setup!$L$6:$L$23,5)))+((W862="")*(INDEX(Setup!$M$6:$M$23,5)="Y"))+((Y862="")*(INDEX(Setup!$M$6:$M$23,5)="Y")))</f>
        <v/>
      </c>
      <c r="AC862" s="90">
        <f>IF($B862="","",IF(AB862=0,"✓ covered","⚠ "&amp;AB862&amp;IF(AB862=1," gap"," gaps")))</f>
        <v/>
      </c>
    </row>
    <row r="863" ht="17" customHeight="1">
      <c r="A863" t="n">
        <v>18</v>
      </c>
      <c r="B863" s="29">
        <f>IF(Setup!$K$11="","",Setup!$K$11)</f>
        <v/>
      </c>
      <c r="C863" s="88" t="n"/>
      <c r="D863" s="88" t="n"/>
      <c r="E863" s="88" t="n"/>
      <c r="F863" s="89" t="n"/>
      <c r="G863" s="88" t="n"/>
      <c r="H863" s="88" t="n"/>
      <c r="I863" s="88" t="n"/>
      <c r="J863" s="89" t="n"/>
      <c r="K863" s="88" t="n"/>
      <c r="L863" s="88" t="n"/>
      <c r="M863" s="88" t="n"/>
      <c r="N863" s="89" t="n"/>
      <c r="O863" s="88" t="n"/>
      <c r="P863" s="88" t="n"/>
      <c r="Q863" s="88" t="n"/>
      <c r="R863" s="89" t="n"/>
      <c r="S863" s="88" t="n"/>
      <c r="T863" s="88" t="n"/>
      <c r="U863" s="88" t="n"/>
      <c r="V863" s="89" t="n"/>
      <c r="W863" s="88" t="n"/>
      <c r="X863" s="89" t="n"/>
      <c r="Y863" s="88" t="n"/>
      <c r="Z863" s="89" t="n"/>
      <c r="AB863" s="30">
        <f>IF($B863="","",(COUNTIF(C863:E863,"?*")&lt;N(INDEX(Setup!$L$6:$L$23,6)))+(COUNTIF(G863:I863,"?*")&lt;N(INDEX(Setup!$L$6:$L$23,6)))+(COUNTIF(K863:M863,"?*")&lt;N(INDEX(Setup!$L$6:$L$23,6)))+(COUNTIF(O863:Q863,"?*")&lt;N(INDEX(Setup!$L$6:$L$23,6)))+(COUNTIF(S863:U863,"?*")&lt;N(INDEX(Setup!$L$6:$L$23,6)))+((W863="")*(INDEX(Setup!$M$6:$M$23,6)="Y"))+((Y863="")*(INDEX(Setup!$M$6:$M$23,6)="Y")))</f>
        <v/>
      </c>
      <c r="AC863" s="91">
        <f>IF($B863="","",IF(AB863=0,"✓ covered","⚠ "&amp;AB863&amp;IF(AB863=1," gap"," gaps")))</f>
        <v/>
      </c>
    </row>
    <row r="864" ht="17" customHeight="1">
      <c r="A864" t="n">
        <v>18</v>
      </c>
      <c r="B864" s="24">
        <f>IF(Setup!$K$12="","",Setup!$K$12)</f>
        <v/>
      </c>
      <c r="C864" s="88" t="n"/>
      <c r="D864" s="88" t="n"/>
      <c r="E864" s="88" t="n"/>
      <c r="F864" s="89" t="n"/>
      <c r="G864" s="88" t="n"/>
      <c r="H864" s="88" t="n"/>
      <c r="I864" s="88" t="n"/>
      <c r="J864" s="89" t="n"/>
      <c r="K864" s="88" t="n"/>
      <c r="L864" s="88" t="n"/>
      <c r="M864" s="88" t="n"/>
      <c r="N864" s="89" t="n"/>
      <c r="O864" s="88" t="n"/>
      <c r="P864" s="88" t="n"/>
      <c r="Q864" s="88" t="n"/>
      <c r="R864" s="89" t="n"/>
      <c r="S864" s="88" t="n"/>
      <c r="T864" s="88" t="n"/>
      <c r="U864" s="88" t="n"/>
      <c r="V864" s="89" t="n"/>
      <c r="W864" s="88" t="n"/>
      <c r="X864" s="89" t="n"/>
      <c r="Y864" s="88" t="n"/>
      <c r="Z864" s="89" t="n"/>
      <c r="AB864" s="25">
        <f>IF($B864="","",(COUNTIF(C864:E864,"?*")&lt;N(INDEX(Setup!$L$6:$L$23,7)))+(COUNTIF(G864:I864,"?*")&lt;N(INDEX(Setup!$L$6:$L$23,7)))+(COUNTIF(K864:M864,"?*")&lt;N(INDEX(Setup!$L$6:$L$23,7)))+(COUNTIF(O864:Q864,"?*")&lt;N(INDEX(Setup!$L$6:$L$23,7)))+(COUNTIF(S864:U864,"?*")&lt;N(INDEX(Setup!$L$6:$L$23,7)))+((W864="")*(INDEX(Setup!$M$6:$M$23,7)="Y"))+((Y864="")*(INDEX(Setup!$M$6:$M$23,7)="Y")))</f>
        <v/>
      </c>
      <c r="AC864" s="90">
        <f>IF($B864="","",IF(AB864=0,"✓ covered","⚠ "&amp;AB864&amp;IF(AB864=1," gap"," gaps")))</f>
        <v/>
      </c>
    </row>
    <row r="865" ht="17" customHeight="1">
      <c r="A865" t="n">
        <v>18</v>
      </c>
      <c r="B865" s="29">
        <f>IF(Setup!$K$13="","",Setup!$K$13)</f>
        <v/>
      </c>
      <c r="C865" s="88" t="n"/>
      <c r="D865" s="88" t="n"/>
      <c r="E865" s="88" t="n"/>
      <c r="F865" s="89" t="n"/>
      <c r="G865" s="88" t="n"/>
      <c r="H865" s="88" t="n"/>
      <c r="I865" s="88" t="n"/>
      <c r="J865" s="89" t="n"/>
      <c r="K865" s="88" t="n"/>
      <c r="L865" s="88" t="n"/>
      <c r="M865" s="88" t="n"/>
      <c r="N865" s="89" t="n"/>
      <c r="O865" s="88" t="n"/>
      <c r="P865" s="88" t="n"/>
      <c r="Q865" s="88" t="n"/>
      <c r="R865" s="89" t="n"/>
      <c r="S865" s="88" t="n"/>
      <c r="T865" s="88" t="n"/>
      <c r="U865" s="88" t="n"/>
      <c r="V865" s="89" t="n"/>
      <c r="W865" s="88" t="n"/>
      <c r="X865" s="89" t="n"/>
      <c r="Y865" s="88" t="n"/>
      <c r="Z865" s="89" t="n"/>
      <c r="AB865" s="30">
        <f>IF($B865="","",(COUNTIF(C865:E865,"?*")&lt;N(INDEX(Setup!$L$6:$L$23,8)))+(COUNTIF(G865:I865,"?*")&lt;N(INDEX(Setup!$L$6:$L$23,8)))+(COUNTIF(K865:M865,"?*")&lt;N(INDEX(Setup!$L$6:$L$23,8)))+(COUNTIF(O865:Q865,"?*")&lt;N(INDEX(Setup!$L$6:$L$23,8)))+(COUNTIF(S865:U865,"?*")&lt;N(INDEX(Setup!$L$6:$L$23,8)))+((W865="")*(INDEX(Setup!$M$6:$M$23,8)="Y"))+((Y865="")*(INDEX(Setup!$M$6:$M$23,8)="Y")))</f>
        <v/>
      </c>
      <c r="AC865" s="91">
        <f>IF($B865="","",IF(AB865=0,"✓ covered","⚠ "&amp;AB865&amp;IF(AB865=1," gap"," gaps")))</f>
        <v/>
      </c>
    </row>
    <row r="866" ht="17" customHeight="1">
      <c r="A866" t="n">
        <v>18</v>
      </c>
      <c r="B866" s="24">
        <f>IF(Setup!$K$14="","",Setup!$K$14)</f>
        <v/>
      </c>
      <c r="C866" s="88" t="n"/>
      <c r="D866" s="88" t="n"/>
      <c r="E866" s="88" t="n"/>
      <c r="F866" s="89" t="n"/>
      <c r="G866" s="88" t="n"/>
      <c r="H866" s="88" t="n"/>
      <c r="I866" s="88" t="n"/>
      <c r="J866" s="89" t="n"/>
      <c r="K866" s="88" t="n"/>
      <c r="L866" s="88" t="n"/>
      <c r="M866" s="88" t="n"/>
      <c r="N866" s="89" t="n"/>
      <c r="O866" s="88" t="n"/>
      <c r="P866" s="88" t="n"/>
      <c r="Q866" s="88" t="n"/>
      <c r="R866" s="89" t="n"/>
      <c r="S866" s="88" t="n"/>
      <c r="T866" s="88" t="n"/>
      <c r="U866" s="88" t="n"/>
      <c r="V866" s="89" t="n"/>
      <c r="W866" s="88" t="n"/>
      <c r="X866" s="89" t="n"/>
      <c r="Y866" s="88" t="n"/>
      <c r="Z866" s="89" t="n"/>
      <c r="AB866" s="25">
        <f>IF($B866="","",(COUNTIF(C866:E866,"?*")&lt;N(INDEX(Setup!$L$6:$L$23,9)))+(COUNTIF(G866:I866,"?*")&lt;N(INDEX(Setup!$L$6:$L$23,9)))+(COUNTIF(K866:M866,"?*")&lt;N(INDEX(Setup!$L$6:$L$23,9)))+(COUNTIF(O866:Q866,"?*")&lt;N(INDEX(Setup!$L$6:$L$23,9)))+(COUNTIF(S866:U866,"?*")&lt;N(INDEX(Setup!$L$6:$L$23,9)))+((W866="")*(INDEX(Setup!$M$6:$M$23,9)="Y"))+((Y866="")*(INDEX(Setup!$M$6:$M$23,9)="Y")))</f>
        <v/>
      </c>
      <c r="AC866" s="90">
        <f>IF($B866="","",IF(AB866=0,"✓ covered","⚠ "&amp;AB866&amp;IF(AB866=1," gap"," gaps")))</f>
        <v/>
      </c>
    </row>
    <row r="867" ht="17" customHeight="1">
      <c r="A867" t="n">
        <v>18</v>
      </c>
      <c r="B867" s="29">
        <f>IF(Setup!$K$15="","",Setup!$K$15)</f>
        <v/>
      </c>
      <c r="C867" s="88" t="n"/>
      <c r="D867" s="88" t="n"/>
      <c r="E867" s="88" t="n"/>
      <c r="F867" s="89" t="n"/>
      <c r="G867" s="88" t="n"/>
      <c r="H867" s="88" t="n"/>
      <c r="I867" s="88" t="n"/>
      <c r="J867" s="89" t="n"/>
      <c r="K867" s="88" t="n"/>
      <c r="L867" s="88" t="n"/>
      <c r="M867" s="88" t="n"/>
      <c r="N867" s="89" t="n"/>
      <c r="O867" s="88" t="n"/>
      <c r="P867" s="88" t="n"/>
      <c r="Q867" s="88" t="n"/>
      <c r="R867" s="89" t="n"/>
      <c r="S867" s="88" t="n"/>
      <c r="T867" s="88" t="n"/>
      <c r="U867" s="88" t="n"/>
      <c r="V867" s="89" t="n"/>
      <c r="W867" s="88" t="n"/>
      <c r="X867" s="89" t="n"/>
      <c r="Y867" s="88" t="n"/>
      <c r="Z867" s="89" t="n"/>
      <c r="AB867" s="30">
        <f>IF($B867="","",(COUNTIF(C867:E867,"?*")&lt;N(INDEX(Setup!$L$6:$L$23,10)))+(COUNTIF(G867:I867,"?*")&lt;N(INDEX(Setup!$L$6:$L$23,10)))+(COUNTIF(K867:M867,"?*")&lt;N(INDEX(Setup!$L$6:$L$23,10)))+(COUNTIF(O867:Q867,"?*")&lt;N(INDEX(Setup!$L$6:$L$23,10)))+(COUNTIF(S867:U867,"?*")&lt;N(INDEX(Setup!$L$6:$L$23,10)))+((W867="")*(INDEX(Setup!$M$6:$M$23,10)="Y"))+((Y867="")*(INDEX(Setup!$M$6:$M$23,10)="Y")))</f>
        <v/>
      </c>
      <c r="AC867" s="91">
        <f>IF($B867="","",IF(AB867=0,"✓ covered","⚠ "&amp;AB867&amp;IF(AB867=1," gap"," gaps")))</f>
        <v/>
      </c>
    </row>
    <row r="868" ht="17" customHeight="1">
      <c r="A868" t="n">
        <v>18</v>
      </c>
      <c r="B868" s="24">
        <f>IF(Setup!$K$16="","",Setup!$K$16)</f>
        <v/>
      </c>
      <c r="C868" s="88" t="n"/>
      <c r="D868" s="88" t="n"/>
      <c r="E868" s="88" t="n"/>
      <c r="F868" s="89" t="n"/>
      <c r="G868" s="88" t="n"/>
      <c r="H868" s="88" t="n"/>
      <c r="I868" s="88" t="n"/>
      <c r="J868" s="89" t="n"/>
      <c r="K868" s="88" t="n"/>
      <c r="L868" s="88" t="n"/>
      <c r="M868" s="88" t="n"/>
      <c r="N868" s="89" t="n"/>
      <c r="O868" s="88" t="n"/>
      <c r="P868" s="88" t="n"/>
      <c r="Q868" s="88" t="n"/>
      <c r="R868" s="89" t="n"/>
      <c r="S868" s="88" t="n"/>
      <c r="T868" s="88" t="n"/>
      <c r="U868" s="88" t="n"/>
      <c r="V868" s="89" t="n"/>
      <c r="W868" s="88" t="n"/>
      <c r="X868" s="89" t="n"/>
      <c r="Y868" s="88" t="n"/>
      <c r="Z868" s="89" t="n"/>
      <c r="AB868" s="25">
        <f>IF($B868="","",(COUNTIF(C868:E868,"?*")&lt;N(INDEX(Setup!$L$6:$L$23,11)))+(COUNTIF(G868:I868,"?*")&lt;N(INDEX(Setup!$L$6:$L$23,11)))+(COUNTIF(K868:M868,"?*")&lt;N(INDEX(Setup!$L$6:$L$23,11)))+(COUNTIF(O868:Q868,"?*")&lt;N(INDEX(Setup!$L$6:$L$23,11)))+(COUNTIF(S868:U868,"?*")&lt;N(INDEX(Setup!$L$6:$L$23,11)))+((W868="")*(INDEX(Setup!$M$6:$M$23,11)="Y"))+((Y868="")*(INDEX(Setup!$M$6:$M$23,11)="Y")))</f>
        <v/>
      </c>
      <c r="AC868" s="90">
        <f>IF($B868="","",IF(AB868=0,"✓ covered","⚠ "&amp;AB868&amp;IF(AB868=1," gap"," gaps")))</f>
        <v/>
      </c>
    </row>
    <row r="869" ht="17" customHeight="1">
      <c r="A869" t="n">
        <v>18</v>
      </c>
      <c r="B869" s="29">
        <f>IF(Setup!$K$17="","",Setup!$K$17)</f>
        <v/>
      </c>
      <c r="C869" s="88" t="n"/>
      <c r="D869" s="88" t="n"/>
      <c r="E869" s="88" t="n"/>
      <c r="F869" s="89" t="n"/>
      <c r="G869" s="88" t="n"/>
      <c r="H869" s="88" t="n"/>
      <c r="I869" s="88" t="n"/>
      <c r="J869" s="89" t="n"/>
      <c r="K869" s="88" t="n"/>
      <c r="L869" s="88" t="n"/>
      <c r="M869" s="88" t="n"/>
      <c r="N869" s="89" t="n"/>
      <c r="O869" s="88" t="n"/>
      <c r="P869" s="88" t="n"/>
      <c r="Q869" s="88" t="n"/>
      <c r="R869" s="89" t="n"/>
      <c r="S869" s="88" t="n"/>
      <c r="T869" s="88" t="n"/>
      <c r="U869" s="88" t="n"/>
      <c r="V869" s="89" t="n"/>
      <c r="W869" s="88" t="n"/>
      <c r="X869" s="89" t="n"/>
      <c r="Y869" s="88" t="n"/>
      <c r="Z869" s="89" t="n"/>
      <c r="AB869" s="30">
        <f>IF($B869="","",(COUNTIF(C869:E869,"?*")&lt;N(INDEX(Setup!$L$6:$L$23,12)))+(COUNTIF(G869:I869,"?*")&lt;N(INDEX(Setup!$L$6:$L$23,12)))+(COUNTIF(K869:M869,"?*")&lt;N(INDEX(Setup!$L$6:$L$23,12)))+(COUNTIF(O869:Q869,"?*")&lt;N(INDEX(Setup!$L$6:$L$23,12)))+(COUNTIF(S869:U869,"?*")&lt;N(INDEX(Setup!$L$6:$L$23,12)))+((W869="")*(INDEX(Setup!$M$6:$M$23,12)="Y"))+((Y869="")*(INDEX(Setup!$M$6:$M$23,12)="Y")))</f>
        <v/>
      </c>
      <c r="AC869" s="91">
        <f>IF($B869="","",IF(AB869=0,"✓ covered","⚠ "&amp;AB869&amp;IF(AB869=1," gap"," gaps")))</f>
        <v/>
      </c>
    </row>
    <row r="870" ht="17" customHeight="1">
      <c r="A870" t="n">
        <v>18</v>
      </c>
      <c r="B870" s="24">
        <f>IF(Setup!$K$18="","",Setup!$K$18)</f>
        <v/>
      </c>
      <c r="C870" s="88" t="n"/>
      <c r="D870" s="88" t="n"/>
      <c r="E870" s="88" t="n"/>
      <c r="F870" s="89" t="n"/>
      <c r="G870" s="88" t="n"/>
      <c r="H870" s="88" t="n"/>
      <c r="I870" s="88" t="n"/>
      <c r="J870" s="89" t="n"/>
      <c r="K870" s="88" t="n"/>
      <c r="L870" s="88" t="n"/>
      <c r="M870" s="88" t="n"/>
      <c r="N870" s="89" t="n"/>
      <c r="O870" s="88" t="n"/>
      <c r="P870" s="88" t="n"/>
      <c r="Q870" s="88" t="n"/>
      <c r="R870" s="89" t="n"/>
      <c r="S870" s="88" t="n"/>
      <c r="T870" s="88" t="n"/>
      <c r="U870" s="88" t="n"/>
      <c r="V870" s="89" t="n"/>
      <c r="W870" s="88" t="n"/>
      <c r="X870" s="89" t="n"/>
      <c r="Y870" s="88" t="n"/>
      <c r="Z870" s="89" t="n"/>
      <c r="AB870" s="25">
        <f>IF($B870="","",(COUNTIF(C870:E870,"?*")&lt;N(INDEX(Setup!$L$6:$L$23,13)))+(COUNTIF(G870:I870,"?*")&lt;N(INDEX(Setup!$L$6:$L$23,13)))+(COUNTIF(K870:M870,"?*")&lt;N(INDEX(Setup!$L$6:$L$23,13)))+(COUNTIF(O870:Q870,"?*")&lt;N(INDEX(Setup!$L$6:$L$23,13)))+(COUNTIF(S870:U870,"?*")&lt;N(INDEX(Setup!$L$6:$L$23,13)))+((W870="")*(INDEX(Setup!$M$6:$M$23,13)="Y"))+((Y870="")*(INDEX(Setup!$M$6:$M$23,13)="Y")))</f>
        <v/>
      </c>
      <c r="AC870" s="90">
        <f>IF($B870="","",IF(AB870=0,"✓ covered","⚠ "&amp;AB870&amp;IF(AB870=1," gap"," gaps")))</f>
        <v/>
      </c>
    </row>
    <row r="871" ht="17" customHeight="1">
      <c r="A871" t="n">
        <v>18</v>
      </c>
      <c r="B871" s="29">
        <f>IF(Setup!$K$19="","",Setup!$K$19)</f>
        <v/>
      </c>
      <c r="C871" s="88" t="n"/>
      <c r="D871" s="88" t="n"/>
      <c r="E871" s="88" t="n"/>
      <c r="F871" s="89" t="n"/>
      <c r="G871" s="88" t="n"/>
      <c r="H871" s="88" t="n"/>
      <c r="I871" s="88" t="n"/>
      <c r="J871" s="89" t="n"/>
      <c r="K871" s="88" t="n"/>
      <c r="L871" s="88" t="n"/>
      <c r="M871" s="88" t="n"/>
      <c r="N871" s="89" t="n"/>
      <c r="O871" s="88" t="n"/>
      <c r="P871" s="88" t="n"/>
      <c r="Q871" s="88" t="n"/>
      <c r="R871" s="89" t="n"/>
      <c r="S871" s="88" t="n"/>
      <c r="T871" s="88" t="n"/>
      <c r="U871" s="88" t="n"/>
      <c r="V871" s="89" t="n"/>
      <c r="W871" s="88" t="n"/>
      <c r="X871" s="89" t="n"/>
      <c r="Y871" s="88" t="n"/>
      <c r="Z871" s="89" t="n"/>
      <c r="AB871" s="30">
        <f>IF($B871="","",(COUNTIF(C871:E871,"?*")&lt;N(INDEX(Setup!$L$6:$L$23,14)))+(COUNTIF(G871:I871,"?*")&lt;N(INDEX(Setup!$L$6:$L$23,14)))+(COUNTIF(K871:M871,"?*")&lt;N(INDEX(Setup!$L$6:$L$23,14)))+(COUNTIF(O871:Q871,"?*")&lt;N(INDEX(Setup!$L$6:$L$23,14)))+(COUNTIF(S871:U871,"?*")&lt;N(INDEX(Setup!$L$6:$L$23,14)))+((W871="")*(INDEX(Setup!$M$6:$M$23,14)="Y"))+((Y871="")*(INDEX(Setup!$M$6:$M$23,14)="Y")))</f>
        <v/>
      </c>
      <c r="AC871" s="91">
        <f>IF($B871="","",IF(AB871=0,"✓ covered","⚠ "&amp;AB871&amp;IF(AB871=1," gap"," gaps")))</f>
        <v/>
      </c>
    </row>
    <row r="872" ht="17" customHeight="1">
      <c r="A872" t="n">
        <v>18</v>
      </c>
      <c r="B872" s="24">
        <f>IF(Setup!$K$20="","",Setup!$K$20)</f>
        <v/>
      </c>
      <c r="C872" s="88" t="n"/>
      <c r="D872" s="88" t="n"/>
      <c r="E872" s="88" t="n"/>
      <c r="F872" s="89" t="n"/>
      <c r="G872" s="88" t="n"/>
      <c r="H872" s="88" t="n"/>
      <c r="I872" s="88" t="n"/>
      <c r="J872" s="89" t="n"/>
      <c r="K872" s="88" t="n"/>
      <c r="L872" s="88" t="n"/>
      <c r="M872" s="88" t="n"/>
      <c r="N872" s="89" t="n"/>
      <c r="O872" s="88" t="n"/>
      <c r="P872" s="88" t="n"/>
      <c r="Q872" s="88" t="n"/>
      <c r="R872" s="89" t="n"/>
      <c r="S872" s="88" t="n"/>
      <c r="T872" s="88" t="n"/>
      <c r="U872" s="88" t="n"/>
      <c r="V872" s="89" t="n"/>
      <c r="W872" s="88" t="n"/>
      <c r="X872" s="89" t="n"/>
      <c r="Y872" s="88" t="n"/>
      <c r="Z872" s="89" t="n"/>
      <c r="AB872" s="25">
        <f>IF($B872="","",(COUNTIF(C872:E872,"?*")&lt;N(INDEX(Setup!$L$6:$L$23,15)))+(COUNTIF(G872:I872,"?*")&lt;N(INDEX(Setup!$L$6:$L$23,15)))+(COUNTIF(K872:M872,"?*")&lt;N(INDEX(Setup!$L$6:$L$23,15)))+(COUNTIF(O872:Q872,"?*")&lt;N(INDEX(Setup!$L$6:$L$23,15)))+(COUNTIF(S872:U872,"?*")&lt;N(INDEX(Setup!$L$6:$L$23,15)))+((W872="")*(INDEX(Setup!$M$6:$M$23,15)="Y"))+((Y872="")*(INDEX(Setup!$M$6:$M$23,15)="Y")))</f>
        <v/>
      </c>
      <c r="AC872" s="90">
        <f>IF($B872="","",IF(AB872=0,"✓ covered","⚠ "&amp;AB872&amp;IF(AB872=1," gap"," gaps")))</f>
        <v/>
      </c>
    </row>
    <row r="873" ht="17" customHeight="1">
      <c r="A873" t="n">
        <v>18</v>
      </c>
      <c r="B873" s="29">
        <f>IF(Setup!$K$21="","",Setup!$K$21)</f>
        <v/>
      </c>
      <c r="C873" s="88" t="n"/>
      <c r="D873" s="88" t="n"/>
      <c r="E873" s="88" t="n"/>
      <c r="F873" s="89" t="n"/>
      <c r="G873" s="88" t="n"/>
      <c r="H873" s="88" t="n"/>
      <c r="I873" s="88" t="n"/>
      <c r="J873" s="89" t="n"/>
      <c r="K873" s="88" t="n"/>
      <c r="L873" s="88" t="n"/>
      <c r="M873" s="88" t="n"/>
      <c r="N873" s="89" t="n"/>
      <c r="O873" s="88" t="n"/>
      <c r="P873" s="88" t="n"/>
      <c r="Q873" s="88" t="n"/>
      <c r="R873" s="89" t="n"/>
      <c r="S873" s="88" t="n"/>
      <c r="T873" s="88" t="n"/>
      <c r="U873" s="88" t="n"/>
      <c r="V873" s="89" t="n"/>
      <c r="W873" s="88" t="n"/>
      <c r="X873" s="89" t="n"/>
      <c r="Y873" s="88" t="n"/>
      <c r="Z873" s="89" t="n"/>
      <c r="AB873" s="30">
        <f>IF($B873="","",(COUNTIF(C873:E873,"?*")&lt;N(INDEX(Setup!$L$6:$L$23,16)))+(COUNTIF(G873:I873,"?*")&lt;N(INDEX(Setup!$L$6:$L$23,16)))+(COUNTIF(K873:M873,"?*")&lt;N(INDEX(Setup!$L$6:$L$23,16)))+(COUNTIF(O873:Q873,"?*")&lt;N(INDEX(Setup!$L$6:$L$23,16)))+(COUNTIF(S873:U873,"?*")&lt;N(INDEX(Setup!$L$6:$L$23,16)))+((W873="")*(INDEX(Setup!$M$6:$M$23,16)="Y"))+((Y873="")*(INDEX(Setup!$M$6:$M$23,16)="Y")))</f>
        <v/>
      </c>
      <c r="AC873" s="91">
        <f>IF($B873="","",IF(AB873=0,"✓ covered","⚠ "&amp;AB873&amp;IF(AB873=1," gap"," gaps")))</f>
        <v/>
      </c>
    </row>
    <row r="874" ht="17" customHeight="1">
      <c r="A874" t="n">
        <v>18</v>
      </c>
      <c r="B874" s="24">
        <f>IF(Setup!$K$22="","",Setup!$K$22)</f>
        <v/>
      </c>
      <c r="C874" s="88" t="n"/>
      <c r="D874" s="88" t="n"/>
      <c r="E874" s="88" t="n"/>
      <c r="F874" s="89" t="n"/>
      <c r="G874" s="88" t="n"/>
      <c r="H874" s="88" t="n"/>
      <c r="I874" s="88" t="n"/>
      <c r="J874" s="89" t="n"/>
      <c r="K874" s="88" t="n"/>
      <c r="L874" s="88" t="n"/>
      <c r="M874" s="88" t="n"/>
      <c r="N874" s="89" t="n"/>
      <c r="O874" s="88" t="n"/>
      <c r="P874" s="88" t="n"/>
      <c r="Q874" s="88" t="n"/>
      <c r="R874" s="89" t="n"/>
      <c r="S874" s="88" t="n"/>
      <c r="T874" s="88" t="n"/>
      <c r="U874" s="88" t="n"/>
      <c r="V874" s="89" t="n"/>
      <c r="W874" s="88" t="n"/>
      <c r="X874" s="89" t="n"/>
      <c r="Y874" s="88" t="n"/>
      <c r="Z874" s="89" t="n"/>
      <c r="AB874" s="25">
        <f>IF($B874="","",(COUNTIF(C874:E874,"?*")&lt;N(INDEX(Setup!$L$6:$L$23,17)))+(COUNTIF(G874:I874,"?*")&lt;N(INDEX(Setup!$L$6:$L$23,17)))+(COUNTIF(K874:M874,"?*")&lt;N(INDEX(Setup!$L$6:$L$23,17)))+(COUNTIF(O874:Q874,"?*")&lt;N(INDEX(Setup!$L$6:$L$23,17)))+(COUNTIF(S874:U874,"?*")&lt;N(INDEX(Setup!$L$6:$L$23,17)))+((W874="")*(INDEX(Setup!$M$6:$M$23,17)="Y"))+((Y874="")*(INDEX(Setup!$M$6:$M$23,17)="Y")))</f>
        <v/>
      </c>
      <c r="AC874" s="90">
        <f>IF($B874="","",IF(AB874=0,"✓ covered","⚠ "&amp;AB874&amp;IF(AB874=1," gap"," gaps")))</f>
        <v/>
      </c>
    </row>
    <row r="875" ht="17" customHeight="1">
      <c r="A875" t="n">
        <v>18</v>
      </c>
      <c r="B875" s="29">
        <f>IF(Setup!$K$23="","",Setup!$K$23)</f>
        <v/>
      </c>
      <c r="C875" s="88" t="n"/>
      <c r="D875" s="88" t="n"/>
      <c r="E875" s="88" t="n"/>
      <c r="F875" s="89" t="n"/>
      <c r="G875" s="88" t="n"/>
      <c r="H875" s="88" t="n"/>
      <c r="I875" s="88" t="n"/>
      <c r="J875" s="89" t="n"/>
      <c r="K875" s="88" t="n"/>
      <c r="L875" s="88" t="n"/>
      <c r="M875" s="88" t="n"/>
      <c r="N875" s="89" t="n"/>
      <c r="O875" s="88" t="n"/>
      <c r="P875" s="88" t="n"/>
      <c r="Q875" s="88" t="n"/>
      <c r="R875" s="89" t="n"/>
      <c r="S875" s="88" t="n"/>
      <c r="T875" s="88" t="n"/>
      <c r="U875" s="88" t="n"/>
      <c r="V875" s="89" t="n"/>
      <c r="W875" s="88" t="n"/>
      <c r="X875" s="89" t="n"/>
      <c r="Y875" s="88" t="n"/>
      <c r="Z875" s="89" t="n"/>
      <c r="AB875" s="30">
        <f>IF($B875="","",(COUNTIF(C875:E875,"?*")&lt;N(INDEX(Setup!$L$6:$L$23,18)))+(COUNTIF(G875:I875,"?*")&lt;N(INDEX(Setup!$L$6:$L$23,18)))+(COUNTIF(K875:M875,"?*")&lt;N(INDEX(Setup!$L$6:$L$23,18)))+(COUNTIF(O875:Q875,"?*")&lt;N(INDEX(Setup!$L$6:$L$23,18)))+(COUNTIF(S875:U875,"?*")&lt;N(INDEX(Setup!$L$6:$L$23,18)))+((W875="")*(INDEX(Setup!$M$6:$M$23,18)="Y"))+((Y875="")*(INDEX(Setup!$M$6:$M$23,18)="Y")))</f>
        <v/>
      </c>
      <c r="AC875" s="91">
        <f>IF($B875="","",IF(AB875=0,"✓ covered","⚠ "&amp;AB875&amp;IF(AB875=1," gap"," gaps")))</f>
        <v/>
      </c>
    </row>
    <row r="876" ht="18" customHeight="1">
      <c r="A876" t="n">
        <v>18</v>
      </c>
      <c r="B876" s="78" t="inlineStr">
        <is>
          <t>TEAM AVAILABILITY</t>
        </is>
      </c>
      <c r="C876" s="92" t="inlineStr">
        <is>
          <t>Mon</t>
        </is>
      </c>
      <c r="D876" s="93" t="n"/>
      <c r="E876" s="93" t="n"/>
      <c r="F876" s="94" t="n"/>
      <c r="G876" s="92" t="inlineStr">
        <is>
          <t>Tue</t>
        </is>
      </c>
      <c r="H876" s="93" t="n"/>
      <c r="I876" s="93" t="n"/>
      <c r="J876" s="94" t="n"/>
      <c r="K876" s="92" t="inlineStr">
        <is>
          <t>Wed</t>
        </is>
      </c>
      <c r="L876" s="93" t="n"/>
      <c r="M876" s="93" t="n"/>
      <c r="N876" s="94" t="n"/>
      <c r="O876" s="92" t="inlineStr">
        <is>
          <t>Thu</t>
        </is>
      </c>
      <c r="P876" s="93" t="n"/>
      <c r="Q876" s="93" t="n"/>
      <c r="R876" s="94" t="n"/>
      <c r="S876" s="92" t="inlineStr">
        <is>
          <t>Fri</t>
        </is>
      </c>
      <c r="T876" s="93" t="n"/>
      <c r="U876" s="93" t="n"/>
      <c r="V876" s="94" t="n"/>
      <c r="W876" s="95" t="inlineStr">
        <is>
          <t>Sat</t>
        </is>
      </c>
      <c r="X876" s="96" t="n"/>
      <c r="Y876" s="95" t="inlineStr">
        <is>
          <t>Sun</t>
        </is>
      </c>
      <c r="Z876" s="96" t="n"/>
      <c r="AB876" s="97" t="inlineStr">
        <is>
          <t>Days rostered</t>
        </is>
      </c>
      <c r="AC876" s="97" t="inlineStr">
        <is>
          <t>Conflicts</t>
        </is>
      </c>
    </row>
    <row r="877" ht="15" customHeight="1">
      <c r="A877" t="n">
        <v>18</v>
      </c>
      <c r="B877" s="35">
        <f>IF(Setup!$B$6="","",Setup!$B$6)</f>
        <v/>
      </c>
      <c r="C877" s="98" t="n"/>
      <c r="D877" s="99" t="n"/>
      <c r="E877" s="99" t="n"/>
      <c r="F877" s="100" t="n"/>
      <c r="G877" s="98" t="n"/>
      <c r="H877" s="99" t="n"/>
      <c r="I877" s="99" t="n"/>
      <c r="J877" s="100" t="n"/>
      <c r="K877" s="98" t="n"/>
      <c r="L877" s="99" t="n"/>
      <c r="M877" s="99" t="n"/>
      <c r="N877" s="100" t="n"/>
      <c r="O877" s="98" t="n"/>
      <c r="P877" s="99" t="n"/>
      <c r="Q877" s="99" t="n"/>
      <c r="R877" s="100" t="n"/>
      <c r="S877" s="98" t="n"/>
      <c r="T877" s="99" t="n"/>
      <c r="U877" s="99" t="n"/>
      <c r="V877" s="100" t="n"/>
      <c r="W877" s="98" t="n"/>
      <c r="X877" s="100" t="n"/>
      <c r="Y877" s="98" t="n"/>
      <c r="Z877" s="100" t="n"/>
      <c r="AB877" s="101">
        <f>IF($B877="","",(COUNTIF(C858:E875,$B877)+COUNTIF(C858:E875,$B877&amp;" ~*")&gt;0)+(COUNTIF(G858:I875,$B877)+COUNTIF(G858:I875,$B877&amp;" ~*")&gt;0)+(COUNTIF(K858:M875,$B877)+COUNTIF(K858:M875,$B877&amp;" ~*")&gt;0)+(COUNTIF(O858:Q875,$B877)+COUNTIF(O858:Q875,$B877&amp;" ~*")&gt;0)+(COUNTIF(S858:U875,$B877)+COUNTIF(S858:U875,$B877&amp;" ~*")&gt;0)+(COUNTIF(W858:W875,$B877)+COUNTIF(W858:W875,$B877&amp;" ~*")&gt;0)+(COUNTIF(Y858:Y875,$B877)+COUNTIF(Y858:Y875,$B877&amp;" ~*")&gt;0))</f>
        <v/>
      </c>
      <c r="AC877" s="36">
        <f>IF($B877="","",(IFERROR(INDEX(Setup!$G$33:$G$40,MATCH(C877,Setup!$B$33:$B$40,0)),0)=1)*(COUNTIF(C858:E875,$B877)+COUNTIF(C858:E875,$B877&amp;" ~*")&gt;0)+(IFERROR(INDEX(Setup!$G$33:$G$40,MATCH(G877,Setup!$B$33:$B$40,0)),0)=1)*(COUNTIF(G858:I875,$B877)+COUNTIF(G858:I875,$B877&amp;" ~*")&gt;0)+(IFERROR(INDEX(Setup!$G$33:$G$40,MATCH(K877,Setup!$B$33:$B$40,0)),0)=1)*(COUNTIF(K858:M875,$B877)+COUNTIF(K858:M875,$B877&amp;" ~*")&gt;0)+(IFERROR(INDEX(Setup!$G$33:$G$40,MATCH(O877,Setup!$B$33:$B$40,0)),0)=1)*(COUNTIF(O858:Q875,$B877)+COUNTIF(O858:Q875,$B877&amp;" ~*")&gt;0)+(IFERROR(INDEX(Setup!$G$33:$G$40,MATCH(S877,Setup!$B$33:$B$40,0)),0)=1)*(COUNTIF(S858:U875,$B877)+COUNTIF(S858:U875,$B877&amp;" ~*")&gt;0)+(IFERROR(INDEX(Setup!$G$33:$G$40,MATCH(W877,Setup!$B$33:$B$40,0)),0)=1)*(COUNTIF(W858:W875,$B877)+COUNTIF(W858:W875,$B877&amp;" ~*")&gt;0)+(IFERROR(INDEX(Setup!$G$33:$G$40,MATCH(Y877,Setup!$B$33:$B$40,0)),0)=1)*(COUNTIF(Y858:Y875,$B877)+COUNTIF(Y858:Y875,$B877&amp;" ~*")&gt;0))</f>
        <v/>
      </c>
    </row>
    <row r="878" ht="15" customHeight="1">
      <c r="A878" t="n">
        <v>18</v>
      </c>
      <c r="B878" s="37">
        <f>IF(Setup!$B$7="","",Setup!$B$7)</f>
        <v/>
      </c>
      <c r="C878" s="102" t="n"/>
      <c r="D878" s="103" t="n"/>
      <c r="E878" s="103" t="n"/>
      <c r="F878" s="104" t="n"/>
      <c r="G878" s="102" t="n"/>
      <c r="H878" s="103" t="n"/>
      <c r="I878" s="103" t="n"/>
      <c r="J878" s="104" t="n"/>
      <c r="K878" s="102" t="n"/>
      <c r="L878" s="103" t="n"/>
      <c r="M878" s="103" t="n"/>
      <c r="N878" s="104" t="n"/>
      <c r="O878" s="102" t="n"/>
      <c r="P878" s="103" t="n"/>
      <c r="Q878" s="103" t="n"/>
      <c r="R878" s="104" t="n"/>
      <c r="S878" s="102" t="n"/>
      <c r="T878" s="103" t="n"/>
      <c r="U878" s="103" t="n"/>
      <c r="V878" s="104" t="n"/>
      <c r="W878" s="102" t="n"/>
      <c r="X878" s="104" t="n"/>
      <c r="Y878" s="102" t="n"/>
      <c r="Z878" s="104" t="n"/>
      <c r="AB878" s="105">
        <f>IF($B878="","",(COUNTIF(C858:E875,$B878)+COUNTIF(C858:E875,$B878&amp;" ~*")&gt;0)+(COUNTIF(G858:I875,$B878)+COUNTIF(G858:I875,$B878&amp;" ~*")&gt;0)+(COUNTIF(K858:M875,$B878)+COUNTIF(K858:M875,$B878&amp;" ~*")&gt;0)+(COUNTIF(O858:Q875,$B878)+COUNTIF(O858:Q875,$B878&amp;" ~*")&gt;0)+(COUNTIF(S858:U875,$B878)+COUNTIF(S858:U875,$B878&amp;" ~*")&gt;0)+(COUNTIF(W858:W875,$B878)+COUNTIF(W858:W875,$B878&amp;" ~*")&gt;0)+(COUNTIF(Y858:Y875,$B878)+COUNTIF(Y858:Y875,$B878&amp;" ~*")&gt;0))</f>
        <v/>
      </c>
      <c r="AC878" s="38">
        <f>IF($B878="","",(IFERROR(INDEX(Setup!$G$33:$G$40,MATCH(C878,Setup!$B$33:$B$40,0)),0)=1)*(COUNTIF(C858:E875,$B878)+COUNTIF(C858:E875,$B878&amp;" ~*")&gt;0)+(IFERROR(INDEX(Setup!$G$33:$G$40,MATCH(G878,Setup!$B$33:$B$40,0)),0)=1)*(COUNTIF(G858:I875,$B878)+COUNTIF(G858:I875,$B878&amp;" ~*")&gt;0)+(IFERROR(INDEX(Setup!$G$33:$G$40,MATCH(K878,Setup!$B$33:$B$40,0)),0)=1)*(COUNTIF(K858:M875,$B878)+COUNTIF(K858:M875,$B878&amp;" ~*")&gt;0)+(IFERROR(INDEX(Setup!$G$33:$G$40,MATCH(O878,Setup!$B$33:$B$40,0)),0)=1)*(COUNTIF(O858:Q875,$B878)+COUNTIF(O858:Q875,$B878&amp;" ~*")&gt;0)+(IFERROR(INDEX(Setup!$G$33:$G$40,MATCH(S878,Setup!$B$33:$B$40,0)),0)=1)*(COUNTIF(S858:U875,$B878)+COUNTIF(S858:U875,$B878&amp;" ~*")&gt;0)+(IFERROR(INDEX(Setup!$G$33:$G$40,MATCH(W878,Setup!$B$33:$B$40,0)),0)=1)*(COUNTIF(W858:W875,$B878)+COUNTIF(W858:W875,$B878&amp;" ~*")&gt;0)+(IFERROR(INDEX(Setup!$G$33:$G$40,MATCH(Y878,Setup!$B$33:$B$40,0)),0)=1)*(COUNTIF(Y858:Y875,$B878)+COUNTIF(Y858:Y875,$B878&amp;" ~*")&gt;0))</f>
        <v/>
      </c>
    </row>
    <row r="879" ht="15" customHeight="1">
      <c r="A879" t="n">
        <v>18</v>
      </c>
      <c r="B879" s="35">
        <f>IF(Setup!$B$8="","",Setup!$B$8)</f>
        <v/>
      </c>
      <c r="C879" s="98" t="n"/>
      <c r="D879" s="99" t="n"/>
      <c r="E879" s="99" t="n"/>
      <c r="F879" s="100" t="n"/>
      <c r="G879" s="98" t="n"/>
      <c r="H879" s="99" t="n"/>
      <c r="I879" s="99" t="n"/>
      <c r="J879" s="100" t="n"/>
      <c r="K879" s="98" t="n"/>
      <c r="L879" s="99" t="n"/>
      <c r="M879" s="99" t="n"/>
      <c r="N879" s="100" t="n"/>
      <c r="O879" s="98" t="n"/>
      <c r="P879" s="99" t="n"/>
      <c r="Q879" s="99" t="n"/>
      <c r="R879" s="100" t="n"/>
      <c r="S879" s="98" t="n"/>
      <c r="T879" s="99" t="n"/>
      <c r="U879" s="99" t="n"/>
      <c r="V879" s="100" t="n"/>
      <c r="W879" s="98" t="n"/>
      <c r="X879" s="100" t="n"/>
      <c r="Y879" s="98" t="n"/>
      <c r="Z879" s="100" t="n"/>
      <c r="AB879" s="101">
        <f>IF($B879="","",(COUNTIF(C858:E875,$B879)+COUNTIF(C858:E875,$B879&amp;" ~*")&gt;0)+(COUNTIF(G858:I875,$B879)+COUNTIF(G858:I875,$B879&amp;" ~*")&gt;0)+(COUNTIF(K858:M875,$B879)+COUNTIF(K858:M875,$B879&amp;" ~*")&gt;0)+(COUNTIF(O858:Q875,$B879)+COUNTIF(O858:Q875,$B879&amp;" ~*")&gt;0)+(COUNTIF(S858:U875,$B879)+COUNTIF(S858:U875,$B879&amp;" ~*")&gt;0)+(COUNTIF(W858:W875,$B879)+COUNTIF(W858:W875,$B879&amp;" ~*")&gt;0)+(COUNTIF(Y858:Y875,$B879)+COUNTIF(Y858:Y875,$B879&amp;" ~*")&gt;0))</f>
        <v/>
      </c>
      <c r="AC879" s="36">
        <f>IF($B879="","",(IFERROR(INDEX(Setup!$G$33:$G$40,MATCH(C879,Setup!$B$33:$B$40,0)),0)=1)*(COUNTIF(C858:E875,$B879)+COUNTIF(C858:E875,$B879&amp;" ~*")&gt;0)+(IFERROR(INDEX(Setup!$G$33:$G$40,MATCH(G879,Setup!$B$33:$B$40,0)),0)=1)*(COUNTIF(G858:I875,$B879)+COUNTIF(G858:I875,$B879&amp;" ~*")&gt;0)+(IFERROR(INDEX(Setup!$G$33:$G$40,MATCH(K879,Setup!$B$33:$B$40,0)),0)=1)*(COUNTIF(K858:M875,$B879)+COUNTIF(K858:M875,$B879&amp;" ~*")&gt;0)+(IFERROR(INDEX(Setup!$G$33:$G$40,MATCH(O879,Setup!$B$33:$B$40,0)),0)=1)*(COUNTIF(O858:Q875,$B879)+COUNTIF(O858:Q875,$B879&amp;" ~*")&gt;0)+(IFERROR(INDEX(Setup!$G$33:$G$40,MATCH(S879,Setup!$B$33:$B$40,0)),0)=1)*(COUNTIF(S858:U875,$B879)+COUNTIF(S858:U875,$B879&amp;" ~*")&gt;0)+(IFERROR(INDEX(Setup!$G$33:$G$40,MATCH(W879,Setup!$B$33:$B$40,0)),0)=1)*(COUNTIF(W858:W875,$B879)+COUNTIF(W858:W875,$B879&amp;" ~*")&gt;0)+(IFERROR(INDEX(Setup!$G$33:$G$40,MATCH(Y879,Setup!$B$33:$B$40,0)),0)=1)*(COUNTIF(Y858:Y875,$B879)+COUNTIF(Y858:Y875,$B879&amp;" ~*")&gt;0))</f>
        <v/>
      </c>
    </row>
    <row r="880" ht="15" customHeight="1">
      <c r="A880" t="n">
        <v>18</v>
      </c>
      <c r="B880" s="37">
        <f>IF(Setup!$B$9="","",Setup!$B$9)</f>
        <v/>
      </c>
      <c r="C880" s="102" t="n"/>
      <c r="D880" s="103" t="n"/>
      <c r="E880" s="103" t="n"/>
      <c r="F880" s="104" t="n"/>
      <c r="G880" s="102" t="n"/>
      <c r="H880" s="103" t="n"/>
      <c r="I880" s="103" t="n"/>
      <c r="J880" s="104" t="n"/>
      <c r="K880" s="102" t="n"/>
      <c r="L880" s="103" t="n"/>
      <c r="M880" s="103" t="n"/>
      <c r="N880" s="104" t="n"/>
      <c r="O880" s="102" t="n"/>
      <c r="P880" s="103" t="n"/>
      <c r="Q880" s="103" t="n"/>
      <c r="R880" s="104" t="n"/>
      <c r="S880" s="102" t="n"/>
      <c r="T880" s="103" t="n"/>
      <c r="U880" s="103" t="n"/>
      <c r="V880" s="104" t="n"/>
      <c r="W880" s="102" t="n"/>
      <c r="X880" s="104" t="n"/>
      <c r="Y880" s="102" t="n"/>
      <c r="Z880" s="104" t="n"/>
      <c r="AB880" s="105">
        <f>IF($B880="","",(COUNTIF(C858:E875,$B880)+COUNTIF(C858:E875,$B880&amp;" ~*")&gt;0)+(COUNTIF(G858:I875,$B880)+COUNTIF(G858:I875,$B880&amp;" ~*")&gt;0)+(COUNTIF(K858:M875,$B880)+COUNTIF(K858:M875,$B880&amp;" ~*")&gt;0)+(COUNTIF(O858:Q875,$B880)+COUNTIF(O858:Q875,$B880&amp;" ~*")&gt;0)+(COUNTIF(S858:U875,$B880)+COUNTIF(S858:U875,$B880&amp;" ~*")&gt;0)+(COUNTIF(W858:W875,$B880)+COUNTIF(W858:W875,$B880&amp;" ~*")&gt;0)+(COUNTIF(Y858:Y875,$B880)+COUNTIF(Y858:Y875,$B880&amp;" ~*")&gt;0))</f>
        <v/>
      </c>
      <c r="AC880" s="38">
        <f>IF($B880="","",(IFERROR(INDEX(Setup!$G$33:$G$40,MATCH(C880,Setup!$B$33:$B$40,0)),0)=1)*(COUNTIF(C858:E875,$B880)+COUNTIF(C858:E875,$B880&amp;" ~*")&gt;0)+(IFERROR(INDEX(Setup!$G$33:$G$40,MATCH(G880,Setup!$B$33:$B$40,0)),0)=1)*(COUNTIF(G858:I875,$B880)+COUNTIF(G858:I875,$B880&amp;" ~*")&gt;0)+(IFERROR(INDEX(Setup!$G$33:$G$40,MATCH(K880,Setup!$B$33:$B$40,0)),0)=1)*(COUNTIF(K858:M875,$B880)+COUNTIF(K858:M875,$B880&amp;" ~*")&gt;0)+(IFERROR(INDEX(Setup!$G$33:$G$40,MATCH(O880,Setup!$B$33:$B$40,0)),0)=1)*(COUNTIF(O858:Q875,$B880)+COUNTIF(O858:Q875,$B880&amp;" ~*")&gt;0)+(IFERROR(INDEX(Setup!$G$33:$G$40,MATCH(S880,Setup!$B$33:$B$40,0)),0)=1)*(COUNTIF(S858:U875,$B880)+COUNTIF(S858:U875,$B880&amp;" ~*")&gt;0)+(IFERROR(INDEX(Setup!$G$33:$G$40,MATCH(W880,Setup!$B$33:$B$40,0)),0)=1)*(COUNTIF(W858:W875,$B880)+COUNTIF(W858:W875,$B880&amp;" ~*")&gt;0)+(IFERROR(INDEX(Setup!$G$33:$G$40,MATCH(Y880,Setup!$B$33:$B$40,0)),0)=1)*(COUNTIF(Y858:Y875,$B880)+COUNTIF(Y858:Y875,$B880&amp;" ~*")&gt;0))</f>
        <v/>
      </c>
    </row>
    <row r="881" ht="15" customHeight="1">
      <c r="A881" t="n">
        <v>18</v>
      </c>
      <c r="B881" s="35">
        <f>IF(Setup!$B$10="","",Setup!$B$10)</f>
        <v/>
      </c>
      <c r="C881" s="98" t="n"/>
      <c r="D881" s="99" t="n"/>
      <c r="E881" s="99" t="n"/>
      <c r="F881" s="100" t="n"/>
      <c r="G881" s="98" t="n"/>
      <c r="H881" s="99" t="n"/>
      <c r="I881" s="99" t="n"/>
      <c r="J881" s="100" t="n"/>
      <c r="K881" s="98" t="n"/>
      <c r="L881" s="99" t="n"/>
      <c r="M881" s="99" t="n"/>
      <c r="N881" s="100" t="n"/>
      <c r="O881" s="98" t="n"/>
      <c r="P881" s="99" t="n"/>
      <c r="Q881" s="99" t="n"/>
      <c r="R881" s="100" t="n"/>
      <c r="S881" s="98" t="n"/>
      <c r="T881" s="99" t="n"/>
      <c r="U881" s="99" t="n"/>
      <c r="V881" s="100" t="n"/>
      <c r="W881" s="98" t="n"/>
      <c r="X881" s="100" t="n"/>
      <c r="Y881" s="98" t="n"/>
      <c r="Z881" s="100" t="n"/>
      <c r="AB881" s="101">
        <f>IF($B881="","",(COUNTIF(C858:E875,$B881)+COUNTIF(C858:E875,$B881&amp;" ~*")&gt;0)+(COUNTIF(G858:I875,$B881)+COUNTIF(G858:I875,$B881&amp;" ~*")&gt;0)+(COUNTIF(K858:M875,$B881)+COUNTIF(K858:M875,$B881&amp;" ~*")&gt;0)+(COUNTIF(O858:Q875,$B881)+COUNTIF(O858:Q875,$B881&amp;" ~*")&gt;0)+(COUNTIF(S858:U875,$B881)+COUNTIF(S858:U875,$B881&amp;" ~*")&gt;0)+(COUNTIF(W858:W875,$B881)+COUNTIF(W858:W875,$B881&amp;" ~*")&gt;0)+(COUNTIF(Y858:Y875,$B881)+COUNTIF(Y858:Y875,$B881&amp;" ~*")&gt;0))</f>
        <v/>
      </c>
      <c r="AC881" s="36">
        <f>IF($B881="","",(IFERROR(INDEX(Setup!$G$33:$G$40,MATCH(C881,Setup!$B$33:$B$40,0)),0)=1)*(COUNTIF(C858:E875,$B881)+COUNTIF(C858:E875,$B881&amp;" ~*")&gt;0)+(IFERROR(INDEX(Setup!$G$33:$G$40,MATCH(G881,Setup!$B$33:$B$40,0)),0)=1)*(COUNTIF(G858:I875,$B881)+COUNTIF(G858:I875,$B881&amp;" ~*")&gt;0)+(IFERROR(INDEX(Setup!$G$33:$G$40,MATCH(K881,Setup!$B$33:$B$40,0)),0)=1)*(COUNTIF(K858:M875,$B881)+COUNTIF(K858:M875,$B881&amp;" ~*")&gt;0)+(IFERROR(INDEX(Setup!$G$33:$G$40,MATCH(O881,Setup!$B$33:$B$40,0)),0)=1)*(COUNTIF(O858:Q875,$B881)+COUNTIF(O858:Q875,$B881&amp;" ~*")&gt;0)+(IFERROR(INDEX(Setup!$G$33:$G$40,MATCH(S881,Setup!$B$33:$B$40,0)),0)=1)*(COUNTIF(S858:U875,$B881)+COUNTIF(S858:U875,$B881&amp;" ~*")&gt;0)+(IFERROR(INDEX(Setup!$G$33:$G$40,MATCH(W881,Setup!$B$33:$B$40,0)),0)=1)*(COUNTIF(W858:W875,$B881)+COUNTIF(W858:W875,$B881&amp;" ~*")&gt;0)+(IFERROR(INDEX(Setup!$G$33:$G$40,MATCH(Y881,Setup!$B$33:$B$40,0)),0)=1)*(COUNTIF(Y858:Y875,$B881)+COUNTIF(Y858:Y875,$B881&amp;" ~*")&gt;0))</f>
        <v/>
      </c>
    </row>
    <row r="882" ht="15" customHeight="1">
      <c r="A882" t="n">
        <v>18</v>
      </c>
      <c r="B882" s="37">
        <f>IF(Setup!$B$11="","",Setup!$B$11)</f>
        <v/>
      </c>
      <c r="C882" s="102" t="n"/>
      <c r="D882" s="103" t="n"/>
      <c r="E882" s="103" t="n"/>
      <c r="F882" s="104" t="n"/>
      <c r="G882" s="102" t="n"/>
      <c r="H882" s="103" t="n"/>
      <c r="I882" s="103" t="n"/>
      <c r="J882" s="104" t="n"/>
      <c r="K882" s="102" t="n"/>
      <c r="L882" s="103" t="n"/>
      <c r="M882" s="103" t="n"/>
      <c r="N882" s="104" t="n"/>
      <c r="O882" s="102" t="n"/>
      <c r="P882" s="103" t="n"/>
      <c r="Q882" s="103" t="n"/>
      <c r="R882" s="104" t="n"/>
      <c r="S882" s="102" t="n"/>
      <c r="T882" s="103" t="n"/>
      <c r="U882" s="103" t="n"/>
      <c r="V882" s="104" t="n"/>
      <c r="W882" s="102" t="n"/>
      <c r="X882" s="104" t="n"/>
      <c r="Y882" s="102" t="n"/>
      <c r="Z882" s="104" t="n"/>
      <c r="AB882" s="105">
        <f>IF($B882="","",(COUNTIF(C858:E875,$B882)+COUNTIF(C858:E875,$B882&amp;" ~*")&gt;0)+(COUNTIF(G858:I875,$B882)+COUNTIF(G858:I875,$B882&amp;" ~*")&gt;0)+(COUNTIF(K858:M875,$B882)+COUNTIF(K858:M875,$B882&amp;" ~*")&gt;0)+(COUNTIF(O858:Q875,$B882)+COUNTIF(O858:Q875,$B882&amp;" ~*")&gt;0)+(COUNTIF(S858:U875,$B882)+COUNTIF(S858:U875,$B882&amp;" ~*")&gt;0)+(COUNTIF(W858:W875,$B882)+COUNTIF(W858:W875,$B882&amp;" ~*")&gt;0)+(COUNTIF(Y858:Y875,$B882)+COUNTIF(Y858:Y875,$B882&amp;" ~*")&gt;0))</f>
        <v/>
      </c>
      <c r="AC882" s="38">
        <f>IF($B882="","",(IFERROR(INDEX(Setup!$G$33:$G$40,MATCH(C882,Setup!$B$33:$B$40,0)),0)=1)*(COUNTIF(C858:E875,$B882)+COUNTIF(C858:E875,$B882&amp;" ~*")&gt;0)+(IFERROR(INDEX(Setup!$G$33:$G$40,MATCH(G882,Setup!$B$33:$B$40,0)),0)=1)*(COUNTIF(G858:I875,$B882)+COUNTIF(G858:I875,$B882&amp;" ~*")&gt;0)+(IFERROR(INDEX(Setup!$G$33:$G$40,MATCH(K882,Setup!$B$33:$B$40,0)),0)=1)*(COUNTIF(K858:M875,$B882)+COUNTIF(K858:M875,$B882&amp;" ~*")&gt;0)+(IFERROR(INDEX(Setup!$G$33:$G$40,MATCH(O882,Setup!$B$33:$B$40,0)),0)=1)*(COUNTIF(O858:Q875,$B882)+COUNTIF(O858:Q875,$B882&amp;" ~*")&gt;0)+(IFERROR(INDEX(Setup!$G$33:$G$40,MATCH(S882,Setup!$B$33:$B$40,0)),0)=1)*(COUNTIF(S858:U875,$B882)+COUNTIF(S858:U875,$B882&amp;" ~*")&gt;0)+(IFERROR(INDEX(Setup!$G$33:$G$40,MATCH(W882,Setup!$B$33:$B$40,0)),0)=1)*(COUNTIF(W858:W875,$B882)+COUNTIF(W858:W875,$B882&amp;" ~*")&gt;0)+(IFERROR(INDEX(Setup!$G$33:$G$40,MATCH(Y882,Setup!$B$33:$B$40,0)),0)=1)*(COUNTIF(Y858:Y875,$B882)+COUNTIF(Y858:Y875,$B882&amp;" ~*")&gt;0))</f>
        <v/>
      </c>
    </row>
    <row r="883" ht="15" customHeight="1">
      <c r="A883" t="n">
        <v>18</v>
      </c>
      <c r="B883" s="35">
        <f>IF(Setup!$B$12="","",Setup!$B$12)</f>
        <v/>
      </c>
      <c r="C883" s="98" t="n"/>
      <c r="D883" s="99" t="n"/>
      <c r="E883" s="99" t="n"/>
      <c r="F883" s="100" t="n"/>
      <c r="G883" s="98" t="n"/>
      <c r="H883" s="99" t="n"/>
      <c r="I883" s="99" t="n"/>
      <c r="J883" s="100" t="n"/>
      <c r="K883" s="98" t="n"/>
      <c r="L883" s="99" t="n"/>
      <c r="M883" s="99" t="n"/>
      <c r="N883" s="100" t="n"/>
      <c r="O883" s="98" t="n"/>
      <c r="P883" s="99" t="n"/>
      <c r="Q883" s="99" t="n"/>
      <c r="R883" s="100" t="n"/>
      <c r="S883" s="98" t="n"/>
      <c r="T883" s="99" t="n"/>
      <c r="U883" s="99" t="n"/>
      <c r="V883" s="100" t="n"/>
      <c r="W883" s="98" t="n"/>
      <c r="X883" s="100" t="n"/>
      <c r="Y883" s="98" t="n"/>
      <c r="Z883" s="100" t="n"/>
      <c r="AB883" s="101">
        <f>IF($B883="","",(COUNTIF(C858:E875,$B883)+COUNTIF(C858:E875,$B883&amp;" ~*")&gt;0)+(COUNTIF(G858:I875,$B883)+COUNTIF(G858:I875,$B883&amp;" ~*")&gt;0)+(COUNTIF(K858:M875,$B883)+COUNTIF(K858:M875,$B883&amp;" ~*")&gt;0)+(COUNTIF(O858:Q875,$B883)+COUNTIF(O858:Q875,$B883&amp;" ~*")&gt;0)+(COUNTIF(S858:U875,$B883)+COUNTIF(S858:U875,$B883&amp;" ~*")&gt;0)+(COUNTIF(W858:W875,$B883)+COUNTIF(W858:W875,$B883&amp;" ~*")&gt;0)+(COUNTIF(Y858:Y875,$B883)+COUNTIF(Y858:Y875,$B883&amp;" ~*")&gt;0))</f>
        <v/>
      </c>
      <c r="AC883" s="36">
        <f>IF($B883="","",(IFERROR(INDEX(Setup!$G$33:$G$40,MATCH(C883,Setup!$B$33:$B$40,0)),0)=1)*(COUNTIF(C858:E875,$B883)+COUNTIF(C858:E875,$B883&amp;" ~*")&gt;0)+(IFERROR(INDEX(Setup!$G$33:$G$40,MATCH(G883,Setup!$B$33:$B$40,0)),0)=1)*(COUNTIF(G858:I875,$B883)+COUNTIF(G858:I875,$B883&amp;" ~*")&gt;0)+(IFERROR(INDEX(Setup!$G$33:$G$40,MATCH(K883,Setup!$B$33:$B$40,0)),0)=1)*(COUNTIF(K858:M875,$B883)+COUNTIF(K858:M875,$B883&amp;" ~*")&gt;0)+(IFERROR(INDEX(Setup!$G$33:$G$40,MATCH(O883,Setup!$B$33:$B$40,0)),0)=1)*(COUNTIF(O858:Q875,$B883)+COUNTIF(O858:Q875,$B883&amp;" ~*")&gt;0)+(IFERROR(INDEX(Setup!$G$33:$G$40,MATCH(S883,Setup!$B$33:$B$40,0)),0)=1)*(COUNTIF(S858:U875,$B883)+COUNTIF(S858:U875,$B883&amp;" ~*")&gt;0)+(IFERROR(INDEX(Setup!$G$33:$G$40,MATCH(W883,Setup!$B$33:$B$40,0)),0)=1)*(COUNTIF(W858:W875,$B883)+COUNTIF(W858:W875,$B883&amp;" ~*")&gt;0)+(IFERROR(INDEX(Setup!$G$33:$G$40,MATCH(Y883,Setup!$B$33:$B$40,0)),0)=1)*(COUNTIF(Y858:Y875,$B883)+COUNTIF(Y858:Y875,$B883&amp;" ~*")&gt;0))</f>
        <v/>
      </c>
    </row>
    <row r="884" ht="15" customHeight="1">
      <c r="A884" t="n">
        <v>18</v>
      </c>
      <c r="B884" s="37">
        <f>IF(Setup!$B$13="","",Setup!$B$13)</f>
        <v/>
      </c>
      <c r="C884" s="102" t="n"/>
      <c r="D884" s="103" t="n"/>
      <c r="E884" s="103" t="n"/>
      <c r="F884" s="104" t="n"/>
      <c r="G884" s="102" t="n"/>
      <c r="H884" s="103" t="n"/>
      <c r="I884" s="103" t="n"/>
      <c r="J884" s="104" t="n"/>
      <c r="K884" s="102" t="n"/>
      <c r="L884" s="103" t="n"/>
      <c r="M884" s="103" t="n"/>
      <c r="N884" s="104" t="n"/>
      <c r="O884" s="102" t="n"/>
      <c r="P884" s="103" t="n"/>
      <c r="Q884" s="103" t="n"/>
      <c r="R884" s="104" t="n"/>
      <c r="S884" s="102" t="n"/>
      <c r="T884" s="103" t="n"/>
      <c r="U884" s="103" t="n"/>
      <c r="V884" s="104" t="n"/>
      <c r="W884" s="102" t="n"/>
      <c r="X884" s="104" t="n"/>
      <c r="Y884" s="102" t="n"/>
      <c r="Z884" s="104" t="n"/>
      <c r="AB884" s="105">
        <f>IF($B884="","",(COUNTIF(C858:E875,$B884)+COUNTIF(C858:E875,$B884&amp;" ~*")&gt;0)+(COUNTIF(G858:I875,$B884)+COUNTIF(G858:I875,$B884&amp;" ~*")&gt;0)+(COUNTIF(K858:M875,$B884)+COUNTIF(K858:M875,$B884&amp;" ~*")&gt;0)+(COUNTIF(O858:Q875,$B884)+COUNTIF(O858:Q875,$B884&amp;" ~*")&gt;0)+(COUNTIF(S858:U875,$B884)+COUNTIF(S858:U875,$B884&amp;" ~*")&gt;0)+(COUNTIF(W858:W875,$B884)+COUNTIF(W858:W875,$B884&amp;" ~*")&gt;0)+(COUNTIF(Y858:Y875,$B884)+COUNTIF(Y858:Y875,$B884&amp;" ~*")&gt;0))</f>
        <v/>
      </c>
      <c r="AC884" s="38">
        <f>IF($B884="","",(IFERROR(INDEX(Setup!$G$33:$G$40,MATCH(C884,Setup!$B$33:$B$40,0)),0)=1)*(COUNTIF(C858:E875,$B884)+COUNTIF(C858:E875,$B884&amp;" ~*")&gt;0)+(IFERROR(INDEX(Setup!$G$33:$G$40,MATCH(G884,Setup!$B$33:$B$40,0)),0)=1)*(COUNTIF(G858:I875,$B884)+COUNTIF(G858:I875,$B884&amp;" ~*")&gt;0)+(IFERROR(INDEX(Setup!$G$33:$G$40,MATCH(K884,Setup!$B$33:$B$40,0)),0)=1)*(COUNTIF(K858:M875,$B884)+COUNTIF(K858:M875,$B884&amp;" ~*")&gt;0)+(IFERROR(INDEX(Setup!$G$33:$G$40,MATCH(O884,Setup!$B$33:$B$40,0)),0)=1)*(COUNTIF(O858:Q875,$B884)+COUNTIF(O858:Q875,$B884&amp;" ~*")&gt;0)+(IFERROR(INDEX(Setup!$G$33:$G$40,MATCH(S884,Setup!$B$33:$B$40,0)),0)=1)*(COUNTIF(S858:U875,$B884)+COUNTIF(S858:U875,$B884&amp;" ~*")&gt;0)+(IFERROR(INDEX(Setup!$G$33:$G$40,MATCH(W884,Setup!$B$33:$B$40,0)),0)=1)*(COUNTIF(W858:W875,$B884)+COUNTIF(W858:W875,$B884&amp;" ~*")&gt;0)+(IFERROR(INDEX(Setup!$G$33:$G$40,MATCH(Y884,Setup!$B$33:$B$40,0)),0)=1)*(COUNTIF(Y858:Y875,$B884)+COUNTIF(Y858:Y875,$B884&amp;" ~*")&gt;0))</f>
        <v/>
      </c>
    </row>
    <row r="885" ht="15" customHeight="1">
      <c r="A885" t="n">
        <v>18</v>
      </c>
      <c r="B885" s="35">
        <f>IF(Setup!$B$14="","",Setup!$B$14)</f>
        <v/>
      </c>
      <c r="C885" s="98" t="n"/>
      <c r="D885" s="99" t="n"/>
      <c r="E885" s="99" t="n"/>
      <c r="F885" s="100" t="n"/>
      <c r="G885" s="98" t="n"/>
      <c r="H885" s="99" t="n"/>
      <c r="I885" s="99" t="n"/>
      <c r="J885" s="100" t="n"/>
      <c r="K885" s="98" t="n"/>
      <c r="L885" s="99" t="n"/>
      <c r="M885" s="99" t="n"/>
      <c r="N885" s="100" t="n"/>
      <c r="O885" s="98" t="n"/>
      <c r="P885" s="99" t="n"/>
      <c r="Q885" s="99" t="n"/>
      <c r="R885" s="100" t="n"/>
      <c r="S885" s="98" t="n"/>
      <c r="T885" s="99" t="n"/>
      <c r="U885" s="99" t="n"/>
      <c r="V885" s="100" t="n"/>
      <c r="W885" s="98" t="n"/>
      <c r="X885" s="100" t="n"/>
      <c r="Y885" s="98" t="n"/>
      <c r="Z885" s="100" t="n"/>
      <c r="AB885" s="101">
        <f>IF($B885="","",(COUNTIF(C858:E875,$B885)+COUNTIF(C858:E875,$B885&amp;" ~*")&gt;0)+(COUNTIF(G858:I875,$B885)+COUNTIF(G858:I875,$B885&amp;" ~*")&gt;0)+(COUNTIF(K858:M875,$B885)+COUNTIF(K858:M875,$B885&amp;" ~*")&gt;0)+(COUNTIF(O858:Q875,$B885)+COUNTIF(O858:Q875,$B885&amp;" ~*")&gt;0)+(COUNTIF(S858:U875,$B885)+COUNTIF(S858:U875,$B885&amp;" ~*")&gt;0)+(COUNTIF(W858:W875,$B885)+COUNTIF(W858:W875,$B885&amp;" ~*")&gt;0)+(COUNTIF(Y858:Y875,$B885)+COUNTIF(Y858:Y875,$B885&amp;" ~*")&gt;0))</f>
        <v/>
      </c>
      <c r="AC885" s="36">
        <f>IF($B885="","",(IFERROR(INDEX(Setup!$G$33:$G$40,MATCH(C885,Setup!$B$33:$B$40,0)),0)=1)*(COUNTIF(C858:E875,$B885)+COUNTIF(C858:E875,$B885&amp;" ~*")&gt;0)+(IFERROR(INDEX(Setup!$G$33:$G$40,MATCH(G885,Setup!$B$33:$B$40,0)),0)=1)*(COUNTIF(G858:I875,$B885)+COUNTIF(G858:I875,$B885&amp;" ~*")&gt;0)+(IFERROR(INDEX(Setup!$G$33:$G$40,MATCH(K885,Setup!$B$33:$B$40,0)),0)=1)*(COUNTIF(K858:M875,$B885)+COUNTIF(K858:M875,$B885&amp;" ~*")&gt;0)+(IFERROR(INDEX(Setup!$G$33:$G$40,MATCH(O885,Setup!$B$33:$B$40,0)),0)=1)*(COUNTIF(O858:Q875,$B885)+COUNTIF(O858:Q875,$B885&amp;" ~*")&gt;0)+(IFERROR(INDEX(Setup!$G$33:$G$40,MATCH(S885,Setup!$B$33:$B$40,0)),0)=1)*(COUNTIF(S858:U875,$B885)+COUNTIF(S858:U875,$B885&amp;" ~*")&gt;0)+(IFERROR(INDEX(Setup!$G$33:$G$40,MATCH(W885,Setup!$B$33:$B$40,0)),0)=1)*(COUNTIF(W858:W875,$B885)+COUNTIF(W858:W875,$B885&amp;" ~*")&gt;0)+(IFERROR(INDEX(Setup!$G$33:$G$40,MATCH(Y885,Setup!$B$33:$B$40,0)),0)=1)*(COUNTIF(Y858:Y875,$B885)+COUNTIF(Y858:Y875,$B885&amp;" ~*")&gt;0))</f>
        <v/>
      </c>
    </row>
    <row r="886" ht="15" customHeight="1">
      <c r="A886" t="n">
        <v>18</v>
      </c>
      <c r="B886" s="37">
        <f>IF(Setup!$B$15="","",Setup!$B$15)</f>
        <v/>
      </c>
      <c r="C886" s="102" t="n"/>
      <c r="D886" s="103" t="n"/>
      <c r="E886" s="103" t="n"/>
      <c r="F886" s="104" t="n"/>
      <c r="G886" s="102" t="n"/>
      <c r="H886" s="103" t="n"/>
      <c r="I886" s="103" t="n"/>
      <c r="J886" s="104" t="n"/>
      <c r="K886" s="102" t="n"/>
      <c r="L886" s="103" t="n"/>
      <c r="M886" s="103" t="n"/>
      <c r="N886" s="104" t="n"/>
      <c r="O886" s="102" t="n"/>
      <c r="P886" s="103" t="n"/>
      <c r="Q886" s="103" t="n"/>
      <c r="R886" s="104" t="n"/>
      <c r="S886" s="102" t="n"/>
      <c r="T886" s="103" t="n"/>
      <c r="U886" s="103" t="n"/>
      <c r="V886" s="104" t="n"/>
      <c r="W886" s="102" t="n"/>
      <c r="X886" s="104" t="n"/>
      <c r="Y886" s="102" t="n"/>
      <c r="Z886" s="104" t="n"/>
      <c r="AB886" s="105">
        <f>IF($B886="","",(COUNTIF(C858:E875,$B886)+COUNTIF(C858:E875,$B886&amp;" ~*")&gt;0)+(COUNTIF(G858:I875,$B886)+COUNTIF(G858:I875,$B886&amp;" ~*")&gt;0)+(COUNTIF(K858:M875,$B886)+COUNTIF(K858:M875,$B886&amp;" ~*")&gt;0)+(COUNTIF(O858:Q875,$B886)+COUNTIF(O858:Q875,$B886&amp;" ~*")&gt;0)+(COUNTIF(S858:U875,$B886)+COUNTIF(S858:U875,$B886&amp;" ~*")&gt;0)+(COUNTIF(W858:W875,$B886)+COUNTIF(W858:W875,$B886&amp;" ~*")&gt;0)+(COUNTIF(Y858:Y875,$B886)+COUNTIF(Y858:Y875,$B886&amp;" ~*")&gt;0))</f>
        <v/>
      </c>
      <c r="AC886" s="38">
        <f>IF($B886="","",(IFERROR(INDEX(Setup!$G$33:$G$40,MATCH(C886,Setup!$B$33:$B$40,0)),0)=1)*(COUNTIF(C858:E875,$B886)+COUNTIF(C858:E875,$B886&amp;" ~*")&gt;0)+(IFERROR(INDEX(Setup!$G$33:$G$40,MATCH(G886,Setup!$B$33:$B$40,0)),0)=1)*(COUNTIF(G858:I875,$B886)+COUNTIF(G858:I875,$B886&amp;" ~*")&gt;0)+(IFERROR(INDEX(Setup!$G$33:$G$40,MATCH(K886,Setup!$B$33:$B$40,0)),0)=1)*(COUNTIF(K858:M875,$B886)+COUNTIF(K858:M875,$B886&amp;" ~*")&gt;0)+(IFERROR(INDEX(Setup!$G$33:$G$40,MATCH(O886,Setup!$B$33:$B$40,0)),0)=1)*(COUNTIF(O858:Q875,$B886)+COUNTIF(O858:Q875,$B886&amp;" ~*")&gt;0)+(IFERROR(INDEX(Setup!$G$33:$G$40,MATCH(S886,Setup!$B$33:$B$40,0)),0)=1)*(COUNTIF(S858:U875,$B886)+COUNTIF(S858:U875,$B886&amp;" ~*")&gt;0)+(IFERROR(INDEX(Setup!$G$33:$G$40,MATCH(W886,Setup!$B$33:$B$40,0)),0)=1)*(COUNTIF(W858:W875,$B886)+COUNTIF(W858:W875,$B886&amp;" ~*")&gt;0)+(IFERROR(INDEX(Setup!$G$33:$G$40,MATCH(Y886,Setup!$B$33:$B$40,0)),0)=1)*(COUNTIF(Y858:Y875,$B886)+COUNTIF(Y858:Y875,$B886&amp;" ~*")&gt;0))</f>
        <v/>
      </c>
    </row>
    <row r="887" ht="15" customHeight="1">
      <c r="A887" t="n">
        <v>18</v>
      </c>
      <c r="B887" s="35">
        <f>IF(Setup!$B$16="","",Setup!$B$16)</f>
        <v/>
      </c>
      <c r="C887" s="98" t="n"/>
      <c r="D887" s="99" t="n"/>
      <c r="E887" s="99" t="n"/>
      <c r="F887" s="100" t="n"/>
      <c r="G887" s="98" t="n"/>
      <c r="H887" s="99" t="n"/>
      <c r="I887" s="99" t="n"/>
      <c r="J887" s="100" t="n"/>
      <c r="K887" s="98" t="n"/>
      <c r="L887" s="99" t="n"/>
      <c r="M887" s="99" t="n"/>
      <c r="N887" s="100" t="n"/>
      <c r="O887" s="98" t="n"/>
      <c r="P887" s="99" t="n"/>
      <c r="Q887" s="99" t="n"/>
      <c r="R887" s="100" t="n"/>
      <c r="S887" s="98" t="n"/>
      <c r="T887" s="99" t="n"/>
      <c r="U887" s="99" t="n"/>
      <c r="V887" s="100" t="n"/>
      <c r="W887" s="98" t="n"/>
      <c r="X887" s="100" t="n"/>
      <c r="Y887" s="98" t="n"/>
      <c r="Z887" s="100" t="n"/>
      <c r="AB887" s="101">
        <f>IF($B887="","",(COUNTIF(C858:E875,$B887)+COUNTIF(C858:E875,$B887&amp;" ~*")&gt;0)+(COUNTIF(G858:I875,$B887)+COUNTIF(G858:I875,$B887&amp;" ~*")&gt;0)+(COUNTIF(K858:M875,$B887)+COUNTIF(K858:M875,$B887&amp;" ~*")&gt;0)+(COUNTIF(O858:Q875,$B887)+COUNTIF(O858:Q875,$B887&amp;" ~*")&gt;0)+(COUNTIF(S858:U875,$B887)+COUNTIF(S858:U875,$B887&amp;" ~*")&gt;0)+(COUNTIF(W858:W875,$B887)+COUNTIF(W858:W875,$B887&amp;" ~*")&gt;0)+(COUNTIF(Y858:Y875,$B887)+COUNTIF(Y858:Y875,$B887&amp;" ~*")&gt;0))</f>
        <v/>
      </c>
      <c r="AC887" s="36">
        <f>IF($B887="","",(IFERROR(INDEX(Setup!$G$33:$G$40,MATCH(C887,Setup!$B$33:$B$40,0)),0)=1)*(COUNTIF(C858:E875,$B887)+COUNTIF(C858:E875,$B887&amp;" ~*")&gt;0)+(IFERROR(INDEX(Setup!$G$33:$G$40,MATCH(G887,Setup!$B$33:$B$40,0)),0)=1)*(COUNTIF(G858:I875,$B887)+COUNTIF(G858:I875,$B887&amp;" ~*")&gt;0)+(IFERROR(INDEX(Setup!$G$33:$G$40,MATCH(K887,Setup!$B$33:$B$40,0)),0)=1)*(COUNTIF(K858:M875,$B887)+COUNTIF(K858:M875,$B887&amp;" ~*")&gt;0)+(IFERROR(INDEX(Setup!$G$33:$G$40,MATCH(O887,Setup!$B$33:$B$40,0)),0)=1)*(COUNTIF(O858:Q875,$B887)+COUNTIF(O858:Q875,$B887&amp;" ~*")&gt;0)+(IFERROR(INDEX(Setup!$G$33:$G$40,MATCH(S887,Setup!$B$33:$B$40,0)),0)=1)*(COUNTIF(S858:U875,$B887)+COUNTIF(S858:U875,$B887&amp;" ~*")&gt;0)+(IFERROR(INDEX(Setup!$G$33:$G$40,MATCH(W887,Setup!$B$33:$B$40,0)),0)=1)*(COUNTIF(W858:W875,$B887)+COUNTIF(W858:W875,$B887&amp;" ~*")&gt;0)+(IFERROR(INDEX(Setup!$G$33:$G$40,MATCH(Y887,Setup!$B$33:$B$40,0)),0)=1)*(COUNTIF(Y858:Y875,$B887)+COUNTIF(Y858:Y875,$B887&amp;" ~*")&gt;0))</f>
        <v/>
      </c>
    </row>
    <row r="888" ht="15" customHeight="1">
      <c r="A888" t="n">
        <v>18</v>
      </c>
      <c r="B888" s="37">
        <f>IF(Setup!$B$17="","",Setup!$B$17)</f>
        <v/>
      </c>
      <c r="C888" s="102" t="n"/>
      <c r="D888" s="103" t="n"/>
      <c r="E888" s="103" t="n"/>
      <c r="F888" s="104" t="n"/>
      <c r="G888" s="102" t="n"/>
      <c r="H888" s="103" t="n"/>
      <c r="I888" s="103" t="n"/>
      <c r="J888" s="104" t="n"/>
      <c r="K888" s="102" t="n"/>
      <c r="L888" s="103" t="n"/>
      <c r="M888" s="103" t="n"/>
      <c r="N888" s="104" t="n"/>
      <c r="O888" s="102" t="n"/>
      <c r="P888" s="103" t="n"/>
      <c r="Q888" s="103" t="n"/>
      <c r="R888" s="104" t="n"/>
      <c r="S888" s="102" t="n"/>
      <c r="T888" s="103" t="n"/>
      <c r="U888" s="103" t="n"/>
      <c r="V888" s="104" t="n"/>
      <c r="W888" s="102" t="n"/>
      <c r="X888" s="104" t="n"/>
      <c r="Y888" s="102" t="n"/>
      <c r="Z888" s="104" t="n"/>
      <c r="AB888" s="105">
        <f>IF($B888="","",(COUNTIF(C858:E875,$B888)+COUNTIF(C858:E875,$B888&amp;" ~*")&gt;0)+(COUNTIF(G858:I875,$B888)+COUNTIF(G858:I875,$B888&amp;" ~*")&gt;0)+(COUNTIF(K858:M875,$B888)+COUNTIF(K858:M875,$B888&amp;" ~*")&gt;0)+(COUNTIF(O858:Q875,$B888)+COUNTIF(O858:Q875,$B888&amp;" ~*")&gt;0)+(COUNTIF(S858:U875,$B888)+COUNTIF(S858:U875,$B888&amp;" ~*")&gt;0)+(COUNTIF(W858:W875,$B888)+COUNTIF(W858:W875,$B888&amp;" ~*")&gt;0)+(COUNTIF(Y858:Y875,$B888)+COUNTIF(Y858:Y875,$B888&amp;" ~*")&gt;0))</f>
        <v/>
      </c>
      <c r="AC888" s="38">
        <f>IF($B888="","",(IFERROR(INDEX(Setup!$G$33:$G$40,MATCH(C888,Setup!$B$33:$B$40,0)),0)=1)*(COUNTIF(C858:E875,$B888)+COUNTIF(C858:E875,$B888&amp;" ~*")&gt;0)+(IFERROR(INDEX(Setup!$G$33:$G$40,MATCH(G888,Setup!$B$33:$B$40,0)),0)=1)*(COUNTIF(G858:I875,$B888)+COUNTIF(G858:I875,$B888&amp;" ~*")&gt;0)+(IFERROR(INDEX(Setup!$G$33:$G$40,MATCH(K888,Setup!$B$33:$B$40,0)),0)=1)*(COUNTIF(K858:M875,$B888)+COUNTIF(K858:M875,$B888&amp;" ~*")&gt;0)+(IFERROR(INDEX(Setup!$G$33:$G$40,MATCH(O888,Setup!$B$33:$B$40,0)),0)=1)*(COUNTIF(O858:Q875,$B888)+COUNTIF(O858:Q875,$B888&amp;" ~*")&gt;0)+(IFERROR(INDEX(Setup!$G$33:$G$40,MATCH(S888,Setup!$B$33:$B$40,0)),0)=1)*(COUNTIF(S858:U875,$B888)+COUNTIF(S858:U875,$B888&amp;" ~*")&gt;0)+(IFERROR(INDEX(Setup!$G$33:$G$40,MATCH(W888,Setup!$B$33:$B$40,0)),0)=1)*(COUNTIF(W858:W875,$B888)+COUNTIF(W858:W875,$B888&amp;" ~*")&gt;0)+(IFERROR(INDEX(Setup!$G$33:$G$40,MATCH(Y888,Setup!$B$33:$B$40,0)),0)=1)*(COUNTIF(Y858:Y875,$B888)+COUNTIF(Y858:Y875,$B888&amp;" ~*")&gt;0))</f>
        <v/>
      </c>
    </row>
    <row r="889" ht="15" customHeight="1">
      <c r="A889" t="n">
        <v>18</v>
      </c>
      <c r="B889" s="35">
        <f>IF(Setup!$B$18="","",Setup!$B$18)</f>
        <v/>
      </c>
      <c r="C889" s="98" t="n"/>
      <c r="D889" s="99" t="n"/>
      <c r="E889" s="99" t="n"/>
      <c r="F889" s="100" t="n"/>
      <c r="G889" s="98" t="n"/>
      <c r="H889" s="99" t="n"/>
      <c r="I889" s="99" t="n"/>
      <c r="J889" s="100" t="n"/>
      <c r="K889" s="98" t="n"/>
      <c r="L889" s="99" t="n"/>
      <c r="M889" s="99" t="n"/>
      <c r="N889" s="100" t="n"/>
      <c r="O889" s="98" t="n"/>
      <c r="P889" s="99" t="n"/>
      <c r="Q889" s="99" t="n"/>
      <c r="R889" s="100" t="n"/>
      <c r="S889" s="98" t="n"/>
      <c r="T889" s="99" t="n"/>
      <c r="U889" s="99" t="n"/>
      <c r="V889" s="100" t="n"/>
      <c r="W889" s="98" t="n"/>
      <c r="X889" s="100" t="n"/>
      <c r="Y889" s="98" t="n"/>
      <c r="Z889" s="100" t="n"/>
      <c r="AB889" s="101">
        <f>IF($B889="","",(COUNTIF(C858:E875,$B889)+COUNTIF(C858:E875,$B889&amp;" ~*")&gt;0)+(COUNTIF(G858:I875,$B889)+COUNTIF(G858:I875,$B889&amp;" ~*")&gt;0)+(COUNTIF(K858:M875,$B889)+COUNTIF(K858:M875,$B889&amp;" ~*")&gt;0)+(COUNTIF(O858:Q875,$B889)+COUNTIF(O858:Q875,$B889&amp;" ~*")&gt;0)+(COUNTIF(S858:U875,$B889)+COUNTIF(S858:U875,$B889&amp;" ~*")&gt;0)+(COUNTIF(W858:W875,$B889)+COUNTIF(W858:W875,$B889&amp;" ~*")&gt;0)+(COUNTIF(Y858:Y875,$B889)+COUNTIF(Y858:Y875,$B889&amp;" ~*")&gt;0))</f>
        <v/>
      </c>
      <c r="AC889" s="36">
        <f>IF($B889="","",(IFERROR(INDEX(Setup!$G$33:$G$40,MATCH(C889,Setup!$B$33:$B$40,0)),0)=1)*(COUNTIF(C858:E875,$B889)+COUNTIF(C858:E875,$B889&amp;" ~*")&gt;0)+(IFERROR(INDEX(Setup!$G$33:$G$40,MATCH(G889,Setup!$B$33:$B$40,0)),0)=1)*(COUNTIF(G858:I875,$B889)+COUNTIF(G858:I875,$B889&amp;" ~*")&gt;0)+(IFERROR(INDEX(Setup!$G$33:$G$40,MATCH(K889,Setup!$B$33:$B$40,0)),0)=1)*(COUNTIF(K858:M875,$B889)+COUNTIF(K858:M875,$B889&amp;" ~*")&gt;0)+(IFERROR(INDEX(Setup!$G$33:$G$40,MATCH(O889,Setup!$B$33:$B$40,0)),0)=1)*(COUNTIF(O858:Q875,$B889)+COUNTIF(O858:Q875,$B889&amp;" ~*")&gt;0)+(IFERROR(INDEX(Setup!$G$33:$G$40,MATCH(S889,Setup!$B$33:$B$40,0)),0)=1)*(COUNTIF(S858:U875,$B889)+COUNTIF(S858:U875,$B889&amp;" ~*")&gt;0)+(IFERROR(INDEX(Setup!$G$33:$G$40,MATCH(W889,Setup!$B$33:$B$40,0)),0)=1)*(COUNTIF(W858:W875,$B889)+COUNTIF(W858:W875,$B889&amp;" ~*")&gt;0)+(IFERROR(INDEX(Setup!$G$33:$G$40,MATCH(Y889,Setup!$B$33:$B$40,0)),0)=1)*(COUNTIF(Y858:Y875,$B889)+COUNTIF(Y858:Y875,$B889&amp;" ~*")&gt;0))</f>
        <v/>
      </c>
    </row>
    <row r="890" ht="15" customHeight="1">
      <c r="A890" t="n">
        <v>18</v>
      </c>
      <c r="B890" s="37">
        <f>IF(Setup!$B$19="","",Setup!$B$19)</f>
        <v/>
      </c>
      <c r="C890" s="102" t="n"/>
      <c r="D890" s="103" t="n"/>
      <c r="E890" s="103" t="n"/>
      <c r="F890" s="104" t="n"/>
      <c r="G890" s="102" t="n"/>
      <c r="H890" s="103" t="n"/>
      <c r="I890" s="103" t="n"/>
      <c r="J890" s="104" t="n"/>
      <c r="K890" s="102" t="n"/>
      <c r="L890" s="103" t="n"/>
      <c r="M890" s="103" t="n"/>
      <c r="N890" s="104" t="n"/>
      <c r="O890" s="102" t="n"/>
      <c r="P890" s="103" t="n"/>
      <c r="Q890" s="103" t="n"/>
      <c r="R890" s="104" t="n"/>
      <c r="S890" s="102" t="n"/>
      <c r="T890" s="103" t="n"/>
      <c r="U890" s="103" t="n"/>
      <c r="V890" s="104" t="n"/>
      <c r="W890" s="102" t="n"/>
      <c r="X890" s="104" t="n"/>
      <c r="Y890" s="102" t="n"/>
      <c r="Z890" s="104" t="n"/>
      <c r="AB890" s="105">
        <f>IF($B890="","",(COUNTIF(C858:E875,$B890)+COUNTIF(C858:E875,$B890&amp;" ~*")&gt;0)+(COUNTIF(G858:I875,$B890)+COUNTIF(G858:I875,$B890&amp;" ~*")&gt;0)+(COUNTIF(K858:M875,$B890)+COUNTIF(K858:M875,$B890&amp;" ~*")&gt;0)+(COUNTIF(O858:Q875,$B890)+COUNTIF(O858:Q875,$B890&amp;" ~*")&gt;0)+(COUNTIF(S858:U875,$B890)+COUNTIF(S858:U875,$B890&amp;" ~*")&gt;0)+(COUNTIF(W858:W875,$B890)+COUNTIF(W858:W875,$B890&amp;" ~*")&gt;0)+(COUNTIF(Y858:Y875,$B890)+COUNTIF(Y858:Y875,$B890&amp;" ~*")&gt;0))</f>
        <v/>
      </c>
      <c r="AC890" s="38">
        <f>IF($B890="","",(IFERROR(INDEX(Setup!$G$33:$G$40,MATCH(C890,Setup!$B$33:$B$40,0)),0)=1)*(COUNTIF(C858:E875,$B890)+COUNTIF(C858:E875,$B890&amp;" ~*")&gt;0)+(IFERROR(INDEX(Setup!$G$33:$G$40,MATCH(G890,Setup!$B$33:$B$40,0)),0)=1)*(COUNTIF(G858:I875,$B890)+COUNTIF(G858:I875,$B890&amp;" ~*")&gt;0)+(IFERROR(INDEX(Setup!$G$33:$G$40,MATCH(K890,Setup!$B$33:$B$40,0)),0)=1)*(COUNTIF(K858:M875,$B890)+COUNTIF(K858:M875,$B890&amp;" ~*")&gt;0)+(IFERROR(INDEX(Setup!$G$33:$G$40,MATCH(O890,Setup!$B$33:$B$40,0)),0)=1)*(COUNTIF(O858:Q875,$B890)+COUNTIF(O858:Q875,$B890&amp;" ~*")&gt;0)+(IFERROR(INDEX(Setup!$G$33:$G$40,MATCH(S890,Setup!$B$33:$B$40,0)),0)=1)*(COUNTIF(S858:U875,$B890)+COUNTIF(S858:U875,$B890&amp;" ~*")&gt;0)+(IFERROR(INDEX(Setup!$G$33:$G$40,MATCH(W890,Setup!$B$33:$B$40,0)),0)=1)*(COUNTIF(W858:W875,$B890)+COUNTIF(W858:W875,$B890&amp;" ~*")&gt;0)+(IFERROR(INDEX(Setup!$G$33:$G$40,MATCH(Y890,Setup!$B$33:$B$40,0)),0)=1)*(COUNTIF(Y858:Y875,$B890)+COUNTIF(Y858:Y875,$B890&amp;" ~*")&gt;0))</f>
        <v/>
      </c>
    </row>
    <row r="891" ht="15" customHeight="1">
      <c r="A891" t="n">
        <v>18</v>
      </c>
      <c r="B891" s="35">
        <f>IF(Setup!$B$20="","",Setup!$B$20)</f>
        <v/>
      </c>
      <c r="C891" s="98" t="n"/>
      <c r="D891" s="99" t="n"/>
      <c r="E891" s="99" t="n"/>
      <c r="F891" s="100" t="n"/>
      <c r="G891" s="98" t="n"/>
      <c r="H891" s="99" t="n"/>
      <c r="I891" s="99" t="n"/>
      <c r="J891" s="100" t="n"/>
      <c r="K891" s="98" t="n"/>
      <c r="L891" s="99" t="n"/>
      <c r="M891" s="99" t="n"/>
      <c r="N891" s="100" t="n"/>
      <c r="O891" s="98" t="n"/>
      <c r="P891" s="99" t="n"/>
      <c r="Q891" s="99" t="n"/>
      <c r="R891" s="100" t="n"/>
      <c r="S891" s="98" t="n"/>
      <c r="T891" s="99" t="n"/>
      <c r="U891" s="99" t="n"/>
      <c r="V891" s="100" t="n"/>
      <c r="W891" s="98" t="n"/>
      <c r="X891" s="100" t="n"/>
      <c r="Y891" s="98" t="n"/>
      <c r="Z891" s="100" t="n"/>
      <c r="AB891" s="101">
        <f>IF($B891="","",(COUNTIF(C858:E875,$B891)+COUNTIF(C858:E875,$B891&amp;" ~*")&gt;0)+(COUNTIF(G858:I875,$B891)+COUNTIF(G858:I875,$B891&amp;" ~*")&gt;0)+(COUNTIF(K858:M875,$B891)+COUNTIF(K858:M875,$B891&amp;" ~*")&gt;0)+(COUNTIF(O858:Q875,$B891)+COUNTIF(O858:Q875,$B891&amp;" ~*")&gt;0)+(COUNTIF(S858:U875,$B891)+COUNTIF(S858:U875,$B891&amp;" ~*")&gt;0)+(COUNTIF(W858:W875,$B891)+COUNTIF(W858:W875,$B891&amp;" ~*")&gt;0)+(COUNTIF(Y858:Y875,$B891)+COUNTIF(Y858:Y875,$B891&amp;" ~*")&gt;0))</f>
        <v/>
      </c>
      <c r="AC891" s="36">
        <f>IF($B891="","",(IFERROR(INDEX(Setup!$G$33:$G$40,MATCH(C891,Setup!$B$33:$B$40,0)),0)=1)*(COUNTIF(C858:E875,$B891)+COUNTIF(C858:E875,$B891&amp;" ~*")&gt;0)+(IFERROR(INDEX(Setup!$G$33:$G$40,MATCH(G891,Setup!$B$33:$B$40,0)),0)=1)*(COUNTIF(G858:I875,$B891)+COUNTIF(G858:I875,$B891&amp;" ~*")&gt;0)+(IFERROR(INDEX(Setup!$G$33:$G$40,MATCH(K891,Setup!$B$33:$B$40,0)),0)=1)*(COUNTIF(K858:M875,$B891)+COUNTIF(K858:M875,$B891&amp;" ~*")&gt;0)+(IFERROR(INDEX(Setup!$G$33:$G$40,MATCH(O891,Setup!$B$33:$B$40,0)),0)=1)*(COUNTIF(O858:Q875,$B891)+COUNTIF(O858:Q875,$B891&amp;" ~*")&gt;0)+(IFERROR(INDEX(Setup!$G$33:$G$40,MATCH(S891,Setup!$B$33:$B$40,0)),0)=1)*(COUNTIF(S858:U875,$B891)+COUNTIF(S858:U875,$B891&amp;" ~*")&gt;0)+(IFERROR(INDEX(Setup!$G$33:$G$40,MATCH(W891,Setup!$B$33:$B$40,0)),0)=1)*(COUNTIF(W858:W875,$B891)+COUNTIF(W858:W875,$B891&amp;" ~*")&gt;0)+(IFERROR(INDEX(Setup!$G$33:$G$40,MATCH(Y891,Setup!$B$33:$B$40,0)),0)=1)*(COUNTIF(Y858:Y875,$B891)+COUNTIF(Y858:Y875,$B891&amp;" ~*")&gt;0))</f>
        <v/>
      </c>
    </row>
    <row r="892" ht="15" customHeight="1">
      <c r="A892" t="n">
        <v>18</v>
      </c>
      <c r="B892" s="37">
        <f>IF(Setup!$B$21="","",Setup!$B$21)</f>
        <v/>
      </c>
      <c r="C892" s="102" t="n"/>
      <c r="D892" s="103" t="n"/>
      <c r="E892" s="103" t="n"/>
      <c r="F892" s="104" t="n"/>
      <c r="G892" s="102" t="n"/>
      <c r="H892" s="103" t="n"/>
      <c r="I892" s="103" t="n"/>
      <c r="J892" s="104" t="n"/>
      <c r="K892" s="102" t="n"/>
      <c r="L892" s="103" t="n"/>
      <c r="M892" s="103" t="n"/>
      <c r="N892" s="104" t="n"/>
      <c r="O892" s="102" t="n"/>
      <c r="P892" s="103" t="n"/>
      <c r="Q892" s="103" t="n"/>
      <c r="R892" s="104" t="n"/>
      <c r="S892" s="102" t="n"/>
      <c r="T892" s="103" t="n"/>
      <c r="U892" s="103" t="n"/>
      <c r="V892" s="104" t="n"/>
      <c r="W892" s="102" t="n"/>
      <c r="X892" s="104" t="n"/>
      <c r="Y892" s="102" t="n"/>
      <c r="Z892" s="104" t="n"/>
      <c r="AB892" s="105">
        <f>IF($B892="","",(COUNTIF(C858:E875,$B892)+COUNTIF(C858:E875,$B892&amp;" ~*")&gt;0)+(COUNTIF(G858:I875,$B892)+COUNTIF(G858:I875,$B892&amp;" ~*")&gt;0)+(COUNTIF(K858:M875,$B892)+COUNTIF(K858:M875,$B892&amp;" ~*")&gt;0)+(COUNTIF(O858:Q875,$B892)+COUNTIF(O858:Q875,$B892&amp;" ~*")&gt;0)+(COUNTIF(S858:U875,$B892)+COUNTIF(S858:U875,$B892&amp;" ~*")&gt;0)+(COUNTIF(W858:W875,$B892)+COUNTIF(W858:W875,$B892&amp;" ~*")&gt;0)+(COUNTIF(Y858:Y875,$B892)+COUNTIF(Y858:Y875,$B892&amp;" ~*")&gt;0))</f>
        <v/>
      </c>
      <c r="AC892" s="38">
        <f>IF($B892="","",(IFERROR(INDEX(Setup!$G$33:$G$40,MATCH(C892,Setup!$B$33:$B$40,0)),0)=1)*(COUNTIF(C858:E875,$B892)+COUNTIF(C858:E875,$B892&amp;" ~*")&gt;0)+(IFERROR(INDEX(Setup!$G$33:$G$40,MATCH(G892,Setup!$B$33:$B$40,0)),0)=1)*(COUNTIF(G858:I875,$B892)+COUNTIF(G858:I875,$B892&amp;" ~*")&gt;0)+(IFERROR(INDEX(Setup!$G$33:$G$40,MATCH(K892,Setup!$B$33:$B$40,0)),0)=1)*(COUNTIF(K858:M875,$B892)+COUNTIF(K858:M875,$B892&amp;" ~*")&gt;0)+(IFERROR(INDEX(Setup!$G$33:$G$40,MATCH(O892,Setup!$B$33:$B$40,0)),0)=1)*(COUNTIF(O858:Q875,$B892)+COUNTIF(O858:Q875,$B892&amp;" ~*")&gt;0)+(IFERROR(INDEX(Setup!$G$33:$G$40,MATCH(S892,Setup!$B$33:$B$40,0)),0)=1)*(COUNTIF(S858:U875,$B892)+COUNTIF(S858:U875,$B892&amp;" ~*")&gt;0)+(IFERROR(INDEX(Setup!$G$33:$G$40,MATCH(W892,Setup!$B$33:$B$40,0)),0)=1)*(COUNTIF(W858:W875,$B892)+COUNTIF(W858:W875,$B892&amp;" ~*")&gt;0)+(IFERROR(INDEX(Setup!$G$33:$G$40,MATCH(Y892,Setup!$B$33:$B$40,0)),0)=1)*(COUNTIF(Y858:Y875,$B892)+COUNTIF(Y858:Y875,$B892&amp;" ~*")&gt;0))</f>
        <v/>
      </c>
    </row>
    <row r="893" ht="15" customHeight="1">
      <c r="A893" t="n">
        <v>18</v>
      </c>
      <c r="B893" s="35">
        <f>IF(Setup!$B$22="","",Setup!$B$22)</f>
        <v/>
      </c>
      <c r="C893" s="98" t="n"/>
      <c r="D893" s="99" t="n"/>
      <c r="E893" s="99" t="n"/>
      <c r="F893" s="100" t="n"/>
      <c r="G893" s="98" t="n"/>
      <c r="H893" s="99" t="n"/>
      <c r="I893" s="99" t="n"/>
      <c r="J893" s="100" t="n"/>
      <c r="K893" s="98" t="n"/>
      <c r="L893" s="99" t="n"/>
      <c r="M893" s="99" t="n"/>
      <c r="N893" s="100" t="n"/>
      <c r="O893" s="98" t="n"/>
      <c r="P893" s="99" t="n"/>
      <c r="Q893" s="99" t="n"/>
      <c r="R893" s="100" t="n"/>
      <c r="S893" s="98" t="n"/>
      <c r="T893" s="99" t="n"/>
      <c r="U893" s="99" t="n"/>
      <c r="V893" s="100" t="n"/>
      <c r="W893" s="98" t="n"/>
      <c r="X893" s="100" t="n"/>
      <c r="Y893" s="98" t="n"/>
      <c r="Z893" s="100" t="n"/>
      <c r="AB893" s="101">
        <f>IF($B893="","",(COUNTIF(C858:E875,$B893)+COUNTIF(C858:E875,$B893&amp;" ~*")&gt;0)+(COUNTIF(G858:I875,$B893)+COUNTIF(G858:I875,$B893&amp;" ~*")&gt;0)+(COUNTIF(K858:M875,$B893)+COUNTIF(K858:M875,$B893&amp;" ~*")&gt;0)+(COUNTIF(O858:Q875,$B893)+COUNTIF(O858:Q875,$B893&amp;" ~*")&gt;0)+(COUNTIF(S858:U875,$B893)+COUNTIF(S858:U875,$B893&amp;" ~*")&gt;0)+(COUNTIF(W858:W875,$B893)+COUNTIF(W858:W875,$B893&amp;" ~*")&gt;0)+(COUNTIF(Y858:Y875,$B893)+COUNTIF(Y858:Y875,$B893&amp;" ~*")&gt;0))</f>
        <v/>
      </c>
      <c r="AC893" s="36">
        <f>IF($B893="","",(IFERROR(INDEX(Setup!$G$33:$G$40,MATCH(C893,Setup!$B$33:$B$40,0)),0)=1)*(COUNTIF(C858:E875,$B893)+COUNTIF(C858:E875,$B893&amp;" ~*")&gt;0)+(IFERROR(INDEX(Setup!$G$33:$G$40,MATCH(G893,Setup!$B$33:$B$40,0)),0)=1)*(COUNTIF(G858:I875,$B893)+COUNTIF(G858:I875,$B893&amp;" ~*")&gt;0)+(IFERROR(INDEX(Setup!$G$33:$G$40,MATCH(K893,Setup!$B$33:$B$40,0)),0)=1)*(COUNTIF(K858:M875,$B893)+COUNTIF(K858:M875,$B893&amp;" ~*")&gt;0)+(IFERROR(INDEX(Setup!$G$33:$G$40,MATCH(O893,Setup!$B$33:$B$40,0)),0)=1)*(COUNTIF(O858:Q875,$B893)+COUNTIF(O858:Q875,$B893&amp;" ~*")&gt;0)+(IFERROR(INDEX(Setup!$G$33:$G$40,MATCH(S893,Setup!$B$33:$B$40,0)),0)=1)*(COUNTIF(S858:U875,$B893)+COUNTIF(S858:U875,$B893&amp;" ~*")&gt;0)+(IFERROR(INDEX(Setup!$G$33:$G$40,MATCH(W893,Setup!$B$33:$B$40,0)),0)=1)*(COUNTIF(W858:W875,$B893)+COUNTIF(W858:W875,$B893&amp;" ~*")&gt;0)+(IFERROR(INDEX(Setup!$G$33:$G$40,MATCH(Y893,Setup!$B$33:$B$40,0)),0)=1)*(COUNTIF(Y858:Y875,$B893)+COUNTIF(Y858:Y875,$B893&amp;" ~*")&gt;0))</f>
        <v/>
      </c>
    </row>
    <row r="894" ht="15" customHeight="1">
      <c r="A894" t="n">
        <v>18</v>
      </c>
      <c r="B894" s="37">
        <f>IF(Setup!$B$23="","",Setup!$B$23)</f>
        <v/>
      </c>
      <c r="C894" s="102" t="n"/>
      <c r="D894" s="103" t="n"/>
      <c r="E894" s="103" t="n"/>
      <c r="F894" s="104" t="n"/>
      <c r="G894" s="102" t="n"/>
      <c r="H894" s="103" t="n"/>
      <c r="I894" s="103" t="n"/>
      <c r="J894" s="104" t="n"/>
      <c r="K894" s="102" t="n"/>
      <c r="L894" s="103" t="n"/>
      <c r="M894" s="103" t="n"/>
      <c r="N894" s="104" t="n"/>
      <c r="O894" s="102" t="n"/>
      <c r="P894" s="103" t="n"/>
      <c r="Q894" s="103" t="n"/>
      <c r="R894" s="104" t="n"/>
      <c r="S894" s="102" t="n"/>
      <c r="T894" s="103" t="n"/>
      <c r="U894" s="103" t="n"/>
      <c r="V894" s="104" t="n"/>
      <c r="W894" s="102" t="n"/>
      <c r="X894" s="104" t="n"/>
      <c r="Y894" s="102" t="n"/>
      <c r="Z894" s="104" t="n"/>
      <c r="AB894" s="105">
        <f>IF($B894="","",(COUNTIF(C858:E875,$B894)+COUNTIF(C858:E875,$B894&amp;" ~*")&gt;0)+(COUNTIF(G858:I875,$B894)+COUNTIF(G858:I875,$B894&amp;" ~*")&gt;0)+(COUNTIF(K858:M875,$B894)+COUNTIF(K858:M875,$B894&amp;" ~*")&gt;0)+(COUNTIF(O858:Q875,$B894)+COUNTIF(O858:Q875,$B894&amp;" ~*")&gt;0)+(COUNTIF(S858:U875,$B894)+COUNTIF(S858:U875,$B894&amp;" ~*")&gt;0)+(COUNTIF(W858:W875,$B894)+COUNTIF(W858:W875,$B894&amp;" ~*")&gt;0)+(COUNTIF(Y858:Y875,$B894)+COUNTIF(Y858:Y875,$B894&amp;" ~*")&gt;0))</f>
        <v/>
      </c>
      <c r="AC894" s="38">
        <f>IF($B894="","",(IFERROR(INDEX(Setup!$G$33:$G$40,MATCH(C894,Setup!$B$33:$B$40,0)),0)=1)*(COUNTIF(C858:E875,$B894)+COUNTIF(C858:E875,$B894&amp;" ~*")&gt;0)+(IFERROR(INDEX(Setup!$G$33:$G$40,MATCH(G894,Setup!$B$33:$B$40,0)),0)=1)*(COUNTIF(G858:I875,$B894)+COUNTIF(G858:I875,$B894&amp;" ~*")&gt;0)+(IFERROR(INDEX(Setup!$G$33:$G$40,MATCH(K894,Setup!$B$33:$B$40,0)),0)=1)*(COUNTIF(K858:M875,$B894)+COUNTIF(K858:M875,$B894&amp;" ~*")&gt;0)+(IFERROR(INDEX(Setup!$G$33:$G$40,MATCH(O894,Setup!$B$33:$B$40,0)),0)=1)*(COUNTIF(O858:Q875,$B894)+COUNTIF(O858:Q875,$B894&amp;" ~*")&gt;0)+(IFERROR(INDEX(Setup!$G$33:$G$40,MATCH(S894,Setup!$B$33:$B$40,0)),0)=1)*(COUNTIF(S858:U875,$B894)+COUNTIF(S858:U875,$B894&amp;" ~*")&gt;0)+(IFERROR(INDEX(Setup!$G$33:$G$40,MATCH(W894,Setup!$B$33:$B$40,0)),0)=1)*(COUNTIF(W858:W875,$B894)+COUNTIF(W858:W875,$B894&amp;" ~*")&gt;0)+(IFERROR(INDEX(Setup!$G$33:$G$40,MATCH(Y894,Setup!$B$33:$B$40,0)),0)=1)*(COUNTIF(Y858:Y875,$B894)+COUNTIF(Y858:Y875,$B894&amp;" ~*")&gt;0))</f>
        <v/>
      </c>
    </row>
    <row r="895" ht="15" customHeight="1">
      <c r="A895" t="n">
        <v>18</v>
      </c>
      <c r="B895" s="35">
        <f>IF(Setup!$B$24="","",Setup!$B$24)</f>
        <v/>
      </c>
      <c r="C895" s="98" t="n"/>
      <c r="D895" s="99" t="n"/>
      <c r="E895" s="99" t="n"/>
      <c r="F895" s="100" t="n"/>
      <c r="G895" s="98" t="n"/>
      <c r="H895" s="99" t="n"/>
      <c r="I895" s="99" t="n"/>
      <c r="J895" s="100" t="n"/>
      <c r="K895" s="98" t="n"/>
      <c r="L895" s="99" t="n"/>
      <c r="M895" s="99" t="n"/>
      <c r="N895" s="100" t="n"/>
      <c r="O895" s="98" t="n"/>
      <c r="P895" s="99" t="n"/>
      <c r="Q895" s="99" t="n"/>
      <c r="R895" s="100" t="n"/>
      <c r="S895" s="98" t="n"/>
      <c r="T895" s="99" t="n"/>
      <c r="U895" s="99" t="n"/>
      <c r="V895" s="100" t="n"/>
      <c r="W895" s="98" t="n"/>
      <c r="X895" s="100" t="n"/>
      <c r="Y895" s="98" t="n"/>
      <c r="Z895" s="100" t="n"/>
      <c r="AB895" s="101">
        <f>IF($B895="","",(COUNTIF(C858:E875,$B895)+COUNTIF(C858:E875,$B895&amp;" ~*")&gt;0)+(COUNTIF(G858:I875,$B895)+COUNTIF(G858:I875,$B895&amp;" ~*")&gt;0)+(COUNTIF(K858:M875,$B895)+COUNTIF(K858:M875,$B895&amp;" ~*")&gt;0)+(COUNTIF(O858:Q875,$B895)+COUNTIF(O858:Q875,$B895&amp;" ~*")&gt;0)+(COUNTIF(S858:U875,$B895)+COUNTIF(S858:U875,$B895&amp;" ~*")&gt;0)+(COUNTIF(W858:W875,$B895)+COUNTIF(W858:W875,$B895&amp;" ~*")&gt;0)+(COUNTIF(Y858:Y875,$B895)+COUNTIF(Y858:Y875,$B895&amp;" ~*")&gt;0))</f>
        <v/>
      </c>
      <c r="AC895" s="36">
        <f>IF($B895="","",(IFERROR(INDEX(Setup!$G$33:$G$40,MATCH(C895,Setup!$B$33:$B$40,0)),0)=1)*(COUNTIF(C858:E875,$B895)+COUNTIF(C858:E875,$B895&amp;" ~*")&gt;0)+(IFERROR(INDEX(Setup!$G$33:$G$40,MATCH(G895,Setup!$B$33:$B$40,0)),0)=1)*(COUNTIF(G858:I875,$B895)+COUNTIF(G858:I875,$B895&amp;" ~*")&gt;0)+(IFERROR(INDEX(Setup!$G$33:$G$40,MATCH(K895,Setup!$B$33:$B$40,0)),0)=1)*(COUNTIF(K858:M875,$B895)+COUNTIF(K858:M875,$B895&amp;" ~*")&gt;0)+(IFERROR(INDEX(Setup!$G$33:$G$40,MATCH(O895,Setup!$B$33:$B$40,0)),0)=1)*(COUNTIF(O858:Q875,$B895)+COUNTIF(O858:Q875,$B895&amp;" ~*")&gt;0)+(IFERROR(INDEX(Setup!$G$33:$G$40,MATCH(S895,Setup!$B$33:$B$40,0)),0)=1)*(COUNTIF(S858:U875,$B895)+COUNTIF(S858:U875,$B895&amp;" ~*")&gt;0)+(IFERROR(INDEX(Setup!$G$33:$G$40,MATCH(W895,Setup!$B$33:$B$40,0)),0)=1)*(COUNTIF(W858:W875,$B895)+COUNTIF(W858:W875,$B895&amp;" ~*")&gt;0)+(IFERROR(INDEX(Setup!$G$33:$G$40,MATCH(Y895,Setup!$B$33:$B$40,0)),0)=1)*(COUNTIF(Y858:Y875,$B895)+COUNTIF(Y858:Y875,$B895&amp;" ~*")&gt;0))</f>
        <v/>
      </c>
    </row>
    <row r="896" ht="15" customHeight="1">
      <c r="A896" t="n">
        <v>18</v>
      </c>
      <c r="B896" s="37">
        <f>IF(Setup!$B$25="","",Setup!$B$25)</f>
        <v/>
      </c>
      <c r="C896" s="102" t="n"/>
      <c r="D896" s="103" t="n"/>
      <c r="E896" s="103" t="n"/>
      <c r="F896" s="104" t="n"/>
      <c r="G896" s="102" t="n"/>
      <c r="H896" s="103" t="n"/>
      <c r="I896" s="103" t="n"/>
      <c r="J896" s="104" t="n"/>
      <c r="K896" s="102" t="n"/>
      <c r="L896" s="103" t="n"/>
      <c r="M896" s="103" t="n"/>
      <c r="N896" s="104" t="n"/>
      <c r="O896" s="102" t="n"/>
      <c r="P896" s="103" t="n"/>
      <c r="Q896" s="103" t="n"/>
      <c r="R896" s="104" t="n"/>
      <c r="S896" s="102" t="n"/>
      <c r="T896" s="103" t="n"/>
      <c r="U896" s="103" t="n"/>
      <c r="V896" s="104" t="n"/>
      <c r="W896" s="102" t="n"/>
      <c r="X896" s="104" t="n"/>
      <c r="Y896" s="102" t="n"/>
      <c r="Z896" s="104" t="n"/>
      <c r="AB896" s="105">
        <f>IF($B896="","",(COUNTIF(C858:E875,$B896)+COUNTIF(C858:E875,$B896&amp;" ~*")&gt;0)+(COUNTIF(G858:I875,$B896)+COUNTIF(G858:I875,$B896&amp;" ~*")&gt;0)+(COUNTIF(K858:M875,$B896)+COUNTIF(K858:M875,$B896&amp;" ~*")&gt;0)+(COUNTIF(O858:Q875,$B896)+COUNTIF(O858:Q875,$B896&amp;" ~*")&gt;0)+(COUNTIF(S858:U875,$B896)+COUNTIF(S858:U875,$B896&amp;" ~*")&gt;0)+(COUNTIF(W858:W875,$B896)+COUNTIF(W858:W875,$B896&amp;" ~*")&gt;0)+(COUNTIF(Y858:Y875,$B896)+COUNTIF(Y858:Y875,$B896&amp;" ~*")&gt;0))</f>
        <v/>
      </c>
      <c r="AC896" s="38">
        <f>IF($B896="","",(IFERROR(INDEX(Setup!$G$33:$G$40,MATCH(C896,Setup!$B$33:$B$40,0)),0)=1)*(COUNTIF(C858:E875,$B896)+COUNTIF(C858:E875,$B896&amp;" ~*")&gt;0)+(IFERROR(INDEX(Setup!$G$33:$G$40,MATCH(G896,Setup!$B$33:$B$40,0)),0)=1)*(COUNTIF(G858:I875,$B896)+COUNTIF(G858:I875,$B896&amp;" ~*")&gt;0)+(IFERROR(INDEX(Setup!$G$33:$G$40,MATCH(K896,Setup!$B$33:$B$40,0)),0)=1)*(COUNTIF(K858:M875,$B896)+COUNTIF(K858:M875,$B896&amp;" ~*")&gt;0)+(IFERROR(INDEX(Setup!$G$33:$G$40,MATCH(O896,Setup!$B$33:$B$40,0)),0)=1)*(COUNTIF(O858:Q875,$B896)+COUNTIF(O858:Q875,$B896&amp;" ~*")&gt;0)+(IFERROR(INDEX(Setup!$G$33:$G$40,MATCH(S896,Setup!$B$33:$B$40,0)),0)=1)*(COUNTIF(S858:U875,$B896)+COUNTIF(S858:U875,$B896&amp;" ~*")&gt;0)+(IFERROR(INDEX(Setup!$G$33:$G$40,MATCH(W896,Setup!$B$33:$B$40,0)),0)=1)*(COUNTIF(W858:W875,$B896)+COUNTIF(W858:W875,$B896&amp;" ~*")&gt;0)+(IFERROR(INDEX(Setup!$G$33:$G$40,MATCH(Y896,Setup!$B$33:$B$40,0)),0)=1)*(COUNTIF(Y858:Y875,$B896)+COUNTIF(Y858:Y875,$B896&amp;" ~*")&gt;0))</f>
        <v/>
      </c>
    </row>
    <row r="897" ht="15" customHeight="1">
      <c r="A897" t="n">
        <v>18</v>
      </c>
      <c r="B897" s="35">
        <f>IF(Setup!$B$26="","",Setup!$B$26)</f>
        <v/>
      </c>
      <c r="C897" s="98" t="n"/>
      <c r="D897" s="99" t="n"/>
      <c r="E897" s="99" t="n"/>
      <c r="F897" s="100" t="n"/>
      <c r="G897" s="98" t="n"/>
      <c r="H897" s="99" t="n"/>
      <c r="I897" s="99" t="n"/>
      <c r="J897" s="100" t="n"/>
      <c r="K897" s="98" t="n"/>
      <c r="L897" s="99" t="n"/>
      <c r="M897" s="99" t="n"/>
      <c r="N897" s="100" t="n"/>
      <c r="O897" s="98" t="n"/>
      <c r="P897" s="99" t="n"/>
      <c r="Q897" s="99" t="n"/>
      <c r="R897" s="100" t="n"/>
      <c r="S897" s="98" t="n"/>
      <c r="T897" s="99" t="n"/>
      <c r="U897" s="99" t="n"/>
      <c r="V897" s="100" t="n"/>
      <c r="W897" s="98" t="n"/>
      <c r="X897" s="100" t="n"/>
      <c r="Y897" s="98" t="n"/>
      <c r="Z897" s="100" t="n"/>
      <c r="AB897" s="101">
        <f>IF($B897="","",(COUNTIF(C858:E875,$B897)+COUNTIF(C858:E875,$B897&amp;" ~*")&gt;0)+(COUNTIF(G858:I875,$B897)+COUNTIF(G858:I875,$B897&amp;" ~*")&gt;0)+(COUNTIF(K858:M875,$B897)+COUNTIF(K858:M875,$B897&amp;" ~*")&gt;0)+(COUNTIF(O858:Q875,$B897)+COUNTIF(O858:Q875,$B897&amp;" ~*")&gt;0)+(COUNTIF(S858:U875,$B897)+COUNTIF(S858:U875,$B897&amp;" ~*")&gt;0)+(COUNTIF(W858:W875,$B897)+COUNTIF(W858:W875,$B897&amp;" ~*")&gt;0)+(COUNTIF(Y858:Y875,$B897)+COUNTIF(Y858:Y875,$B897&amp;" ~*")&gt;0))</f>
        <v/>
      </c>
      <c r="AC897" s="36">
        <f>IF($B897="","",(IFERROR(INDEX(Setup!$G$33:$G$40,MATCH(C897,Setup!$B$33:$B$40,0)),0)=1)*(COUNTIF(C858:E875,$B897)+COUNTIF(C858:E875,$B897&amp;" ~*")&gt;0)+(IFERROR(INDEX(Setup!$G$33:$G$40,MATCH(G897,Setup!$B$33:$B$40,0)),0)=1)*(COUNTIF(G858:I875,$B897)+COUNTIF(G858:I875,$B897&amp;" ~*")&gt;0)+(IFERROR(INDEX(Setup!$G$33:$G$40,MATCH(K897,Setup!$B$33:$B$40,0)),0)=1)*(COUNTIF(K858:M875,$B897)+COUNTIF(K858:M875,$B897&amp;" ~*")&gt;0)+(IFERROR(INDEX(Setup!$G$33:$G$40,MATCH(O897,Setup!$B$33:$B$40,0)),0)=1)*(COUNTIF(O858:Q875,$B897)+COUNTIF(O858:Q875,$B897&amp;" ~*")&gt;0)+(IFERROR(INDEX(Setup!$G$33:$G$40,MATCH(S897,Setup!$B$33:$B$40,0)),0)=1)*(COUNTIF(S858:U875,$B897)+COUNTIF(S858:U875,$B897&amp;" ~*")&gt;0)+(IFERROR(INDEX(Setup!$G$33:$G$40,MATCH(W897,Setup!$B$33:$B$40,0)),0)=1)*(COUNTIF(W858:W875,$B897)+COUNTIF(W858:W875,$B897&amp;" ~*")&gt;0)+(IFERROR(INDEX(Setup!$G$33:$G$40,MATCH(Y897,Setup!$B$33:$B$40,0)),0)=1)*(COUNTIF(Y858:Y875,$B897)+COUNTIF(Y858:Y875,$B897&amp;" ~*")&gt;0))</f>
        <v/>
      </c>
    </row>
    <row r="898" ht="15" customHeight="1">
      <c r="A898" t="n">
        <v>18</v>
      </c>
      <c r="B898" s="37">
        <f>IF(Setup!$B$27="","",Setup!$B$27)</f>
        <v/>
      </c>
      <c r="C898" s="102" t="n"/>
      <c r="D898" s="103" t="n"/>
      <c r="E898" s="103" t="n"/>
      <c r="F898" s="104" t="n"/>
      <c r="G898" s="102" t="n"/>
      <c r="H898" s="103" t="n"/>
      <c r="I898" s="103" t="n"/>
      <c r="J898" s="104" t="n"/>
      <c r="K898" s="102" t="n"/>
      <c r="L898" s="103" t="n"/>
      <c r="M898" s="103" t="n"/>
      <c r="N898" s="104" t="n"/>
      <c r="O898" s="102" t="n"/>
      <c r="P898" s="103" t="n"/>
      <c r="Q898" s="103" t="n"/>
      <c r="R898" s="104" t="n"/>
      <c r="S898" s="102" t="n"/>
      <c r="T898" s="103" t="n"/>
      <c r="U898" s="103" t="n"/>
      <c r="V898" s="104" t="n"/>
      <c r="W898" s="102" t="n"/>
      <c r="X898" s="104" t="n"/>
      <c r="Y898" s="102" t="n"/>
      <c r="Z898" s="104" t="n"/>
      <c r="AB898" s="105">
        <f>IF($B898="","",(COUNTIF(C858:E875,$B898)+COUNTIF(C858:E875,$B898&amp;" ~*")&gt;0)+(COUNTIF(G858:I875,$B898)+COUNTIF(G858:I875,$B898&amp;" ~*")&gt;0)+(COUNTIF(K858:M875,$B898)+COUNTIF(K858:M875,$B898&amp;" ~*")&gt;0)+(COUNTIF(O858:Q875,$B898)+COUNTIF(O858:Q875,$B898&amp;" ~*")&gt;0)+(COUNTIF(S858:U875,$B898)+COUNTIF(S858:U875,$B898&amp;" ~*")&gt;0)+(COUNTIF(W858:W875,$B898)+COUNTIF(W858:W875,$B898&amp;" ~*")&gt;0)+(COUNTIF(Y858:Y875,$B898)+COUNTIF(Y858:Y875,$B898&amp;" ~*")&gt;0))</f>
        <v/>
      </c>
      <c r="AC898" s="38">
        <f>IF($B898="","",(IFERROR(INDEX(Setup!$G$33:$G$40,MATCH(C898,Setup!$B$33:$B$40,0)),0)=1)*(COUNTIF(C858:E875,$B898)+COUNTIF(C858:E875,$B898&amp;" ~*")&gt;0)+(IFERROR(INDEX(Setup!$G$33:$G$40,MATCH(G898,Setup!$B$33:$B$40,0)),0)=1)*(COUNTIF(G858:I875,$B898)+COUNTIF(G858:I875,$B898&amp;" ~*")&gt;0)+(IFERROR(INDEX(Setup!$G$33:$G$40,MATCH(K898,Setup!$B$33:$B$40,0)),0)=1)*(COUNTIF(K858:M875,$B898)+COUNTIF(K858:M875,$B898&amp;" ~*")&gt;0)+(IFERROR(INDEX(Setup!$G$33:$G$40,MATCH(O898,Setup!$B$33:$B$40,0)),0)=1)*(COUNTIF(O858:Q875,$B898)+COUNTIF(O858:Q875,$B898&amp;" ~*")&gt;0)+(IFERROR(INDEX(Setup!$G$33:$G$40,MATCH(S898,Setup!$B$33:$B$40,0)),0)=1)*(COUNTIF(S858:U875,$B898)+COUNTIF(S858:U875,$B898&amp;" ~*")&gt;0)+(IFERROR(INDEX(Setup!$G$33:$G$40,MATCH(W898,Setup!$B$33:$B$40,0)),0)=1)*(COUNTIF(W858:W875,$B898)+COUNTIF(W858:W875,$B898&amp;" ~*")&gt;0)+(IFERROR(INDEX(Setup!$G$33:$G$40,MATCH(Y898,Setup!$B$33:$B$40,0)),0)=1)*(COUNTIF(Y858:Y875,$B898)+COUNTIF(Y858:Y875,$B898&amp;" ~*")&gt;0))</f>
        <v/>
      </c>
    </row>
    <row r="899" ht="15" customHeight="1">
      <c r="A899" t="n">
        <v>18</v>
      </c>
      <c r="B899" s="35">
        <f>IF(Setup!$B$28="","",Setup!$B$28)</f>
        <v/>
      </c>
      <c r="C899" s="98" t="n"/>
      <c r="D899" s="99" t="n"/>
      <c r="E899" s="99" t="n"/>
      <c r="F899" s="100" t="n"/>
      <c r="G899" s="98" t="n"/>
      <c r="H899" s="99" t="n"/>
      <c r="I899" s="99" t="n"/>
      <c r="J899" s="100" t="n"/>
      <c r="K899" s="98" t="n"/>
      <c r="L899" s="99" t="n"/>
      <c r="M899" s="99" t="n"/>
      <c r="N899" s="100" t="n"/>
      <c r="O899" s="98" t="n"/>
      <c r="P899" s="99" t="n"/>
      <c r="Q899" s="99" t="n"/>
      <c r="R899" s="100" t="n"/>
      <c r="S899" s="98" t="n"/>
      <c r="T899" s="99" t="n"/>
      <c r="U899" s="99" t="n"/>
      <c r="V899" s="100" t="n"/>
      <c r="W899" s="98" t="n"/>
      <c r="X899" s="100" t="n"/>
      <c r="Y899" s="98" t="n"/>
      <c r="Z899" s="100" t="n"/>
      <c r="AB899" s="101">
        <f>IF($B899="","",(COUNTIF(C858:E875,$B899)+COUNTIF(C858:E875,$B899&amp;" ~*")&gt;0)+(COUNTIF(G858:I875,$B899)+COUNTIF(G858:I875,$B899&amp;" ~*")&gt;0)+(COUNTIF(K858:M875,$B899)+COUNTIF(K858:M875,$B899&amp;" ~*")&gt;0)+(COUNTIF(O858:Q875,$B899)+COUNTIF(O858:Q875,$B899&amp;" ~*")&gt;0)+(COUNTIF(S858:U875,$B899)+COUNTIF(S858:U875,$B899&amp;" ~*")&gt;0)+(COUNTIF(W858:W875,$B899)+COUNTIF(W858:W875,$B899&amp;" ~*")&gt;0)+(COUNTIF(Y858:Y875,$B899)+COUNTIF(Y858:Y875,$B899&amp;" ~*")&gt;0))</f>
        <v/>
      </c>
      <c r="AC899" s="36">
        <f>IF($B899="","",(IFERROR(INDEX(Setup!$G$33:$G$40,MATCH(C899,Setup!$B$33:$B$40,0)),0)=1)*(COUNTIF(C858:E875,$B899)+COUNTIF(C858:E875,$B899&amp;" ~*")&gt;0)+(IFERROR(INDEX(Setup!$G$33:$G$40,MATCH(G899,Setup!$B$33:$B$40,0)),0)=1)*(COUNTIF(G858:I875,$B899)+COUNTIF(G858:I875,$B899&amp;" ~*")&gt;0)+(IFERROR(INDEX(Setup!$G$33:$G$40,MATCH(K899,Setup!$B$33:$B$40,0)),0)=1)*(COUNTIF(K858:M875,$B899)+COUNTIF(K858:M875,$B899&amp;" ~*")&gt;0)+(IFERROR(INDEX(Setup!$G$33:$G$40,MATCH(O899,Setup!$B$33:$B$40,0)),0)=1)*(COUNTIF(O858:Q875,$B899)+COUNTIF(O858:Q875,$B899&amp;" ~*")&gt;0)+(IFERROR(INDEX(Setup!$G$33:$G$40,MATCH(S899,Setup!$B$33:$B$40,0)),0)=1)*(COUNTIF(S858:U875,$B899)+COUNTIF(S858:U875,$B899&amp;" ~*")&gt;0)+(IFERROR(INDEX(Setup!$G$33:$G$40,MATCH(W899,Setup!$B$33:$B$40,0)),0)=1)*(COUNTIF(W858:W875,$B899)+COUNTIF(W858:W875,$B899&amp;" ~*")&gt;0)+(IFERROR(INDEX(Setup!$G$33:$G$40,MATCH(Y899,Setup!$B$33:$B$40,0)),0)=1)*(COUNTIF(Y858:Y875,$B899)+COUNTIF(Y858:Y875,$B899&amp;" ~*")&gt;0))</f>
        <v/>
      </c>
    </row>
    <row r="900" ht="15" customHeight="1">
      <c r="A900" t="n">
        <v>18</v>
      </c>
      <c r="B900" s="37">
        <f>IF(Setup!$B$29="","",Setup!$B$29)</f>
        <v/>
      </c>
      <c r="C900" s="102" t="n"/>
      <c r="D900" s="103" t="n"/>
      <c r="E900" s="103" t="n"/>
      <c r="F900" s="104" t="n"/>
      <c r="G900" s="102" t="n"/>
      <c r="H900" s="103" t="n"/>
      <c r="I900" s="103" t="n"/>
      <c r="J900" s="104" t="n"/>
      <c r="K900" s="102" t="n"/>
      <c r="L900" s="103" t="n"/>
      <c r="M900" s="103" t="n"/>
      <c r="N900" s="104" t="n"/>
      <c r="O900" s="102" t="n"/>
      <c r="P900" s="103" t="n"/>
      <c r="Q900" s="103" t="n"/>
      <c r="R900" s="104" t="n"/>
      <c r="S900" s="102" t="n"/>
      <c r="T900" s="103" t="n"/>
      <c r="U900" s="103" t="n"/>
      <c r="V900" s="104" t="n"/>
      <c r="W900" s="102" t="n"/>
      <c r="X900" s="104" t="n"/>
      <c r="Y900" s="102" t="n"/>
      <c r="Z900" s="104" t="n"/>
      <c r="AB900" s="105">
        <f>IF($B900="","",(COUNTIF(C858:E875,$B900)+COUNTIF(C858:E875,$B900&amp;" ~*")&gt;0)+(COUNTIF(G858:I875,$B900)+COUNTIF(G858:I875,$B900&amp;" ~*")&gt;0)+(COUNTIF(K858:M875,$B900)+COUNTIF(K858:M875,$B900&amp;" ~*")&gt;0)+(COUNTIF(O858:Q875,$B900)+COUNTIF(O858:Q875,$B900&amp;" ~*")&gt;0)+(COUNTIF(S858:U875,$B900)+COUNTIF(S858:U875,$B900&amp;" ~*")&gt;0)+(COUNTIF(W858:W875,$B900)+COUNTIF(W858:W875,$B900&amp;" ~*")&gt;0)+(COUNTIF(Y858:Y875,$B900)+COUNTIF(Y858:Y875,$B900&amp;" ~*")&gt;0))</f>
        <v/>
      </c>
      <c r="AC900" s="38">
        <f>IF($B900="","",(IFERROR(INDEX(Setup!$G$33:$G$40,MATCH(C900,Setup!$B$33:$B$40,0)),0)=1)*(COUNTIF(C858:E875,$B900)+COUNTIF(C858:E875,$B900&amp;" ~*")&gt;0)+(IFERROR(INDEX(Setup!$G$33:$G$40,MATCH(G900,Setup!$B$33:$B$40,0)),0)=1)*(COUNTIF(G858:I875,$B900)+COUNTIF(G858:I875,$B900&amp;" ~*")&gt;0)+(IFERROR(INDEX(Setup!$G$33:$G$40,MATCH(K900,Setup!$B$33:$B$40,0)),0)=1)*(COUNTIF(K858:M875,$B900)+COUNTIF(K858:M875,$B900&amp;" ~*")&gt;0)+(IFERROR(INDEX(Setup!$G$33:$G$40,MATCH(O900,Setup!$B$33:$B$40,0)),0)=1)*(COUNTIF(O858:Q875,$B900)+COUNTIF(O858:Q875,$B900&amp;" ~*")&gt;0)+(IFERROR(INDEX(Setup!$G$33:$G$40,MATCH(S900,Setup!$B$33:$B$40,0)),0)=1)*(COUNTIF(S858:U875,$B900)+COUNTIF(S858:U875,$B900&amp;" ~*")&gt;0)+(IFERROR(INDEX(Setup!$G$33:$G$40,MATCH(W900,Setup!$B$33:$B$40,0)),0)=1)*(COUNTIF(W858:W875,$B900)+COUNTIF(W858:W875,$B900&amp;" ~*")&gt;0)+(IFERROR(INDEX(Setup!$G$33:$G$40,MATCH(Y900,Setup!$B$33:$B$40,0)),0)=1)*(COUNTIF(Y858:Y875,$B900)+COUNTIF(Y858:Y875,$B900&amp;" ~*")&gt;0))</f>
        <v/>
      </c>
    </row>
    <row r="901" ht="16" customHeight="1">
      <c r="A901" t="n">
        <v>18</v>
      </c>
      <c r="B901" s="106" t="inlineStr">
        <is>
          <t>Available people</t>
        </is>
      </c>
      <c r="C901" s="107">
        <f>COUNTIFS(Setup!$E$6:$E$29,"Y",Setup!$B$6:$B$29,"?*")-SUMPRODUCT(COUNTIF(C877:C900,Setup!$F$33:$F$40))</f>
        <v/>
      </c>
      <c r="D901" s="107" t="n"/>
      <c r="E901" s="107" t="n"/>
      <c r="F901" s="107" t="n"/>
      <c r="G901" s="107">
        <f>COUNTIFS(Setup!$E$6:$E$29,"Y",Setup!$B$6:$B$29,"?*")-SUMPRODUCT(COUNTIF(G877:G900,Setup!$F$33:$F$40))</f>
        <v/>
      </c>
      <c r="H901" s="107" t="n"/>
      <c r="I901" s="107" t="n"/>
      <c r="J901" s="107" t="n"/>
      <c r="K901" s="107">
        <f>COUNTIFS(Setup!$E$6:$E$29,"Y",Setup!$B$6:$B$29,"?*")-SUMPRODUCT(COUNTIF(K877:K900,Setup!$F$33:$F$40))</f>
        <v/>
      </c>
      <c r="L901" s="107" t="n"/>
      <c r="M901" s="107" t="n"/>
      <c r="N901" s="107" t="n"/>
      <c r="O901" s="107">
        <f>COUNTIFS(Setup!$E$6:$E$29,"Y",Setup!$B$6:$B$29,"?*")-SUMPRODUCT(COUNTIF(O877:O900,Setup!$F$33:$F$40))</f>
        <v/>
      </c>
      <c r="P901" s="107" t="n"/>
      <c r="Q901" s="107" t="n"/>
      <c r="R901" s="107" t="n"/>
      <c r="S901" s="107">
        <f>COUNTIFS(Setup!$E$6:$E$29,"Y",Setup!$B$6:$B$29,"?*")-SUMPRODUCT(COUNTIF(S877:S900,Setup!$F$33:$F$40))</f>
        <v/>
      </c>
      <c r="T901" s="107" t="n"/>
      <c r="U901" s="107" t="n"/>
      <c r="V901" s="107" t="n"/>
      <c r="W901" s="107">
        <f>COUNTIFS(Setup!$E$6:$E$29,"Y",Setup!$B$6:$B$29,"?*")-SUMPRODUCT(COUNTIF(W877:W900,Setup!$F$33:$F$40))</f>
        <v/>
      </c>
      <c r="X901" s="107" t="n"/>
      <c r="Y901" s="107">
        <f>COUNTIFS(Setup!$E$6:$E$29,"Y",Setup!$B$6:$B$29,"?*")-SUMPRODUCT(COUNTIF(Y877:Y900,Setup!$F$33:$F$40))</f>
        <v/>
      </c>
      <c r="Z901" s="107" t="n"/>
      <c r="AB901" s="108">
        <f>SUM(AB877:AB900)</f>
        <v/>
      </c>
      <c r="AC901" s="109">
        <f>SUM(AC877:AC900)</f>
        <v/>
      </c>
    </row>
    <row r="902" ht="30" customHeight="1">
      <c r="A902" t="n">
        <v>18</v>
      </c>
      <c r="B902" s="110" t="inlineStr">
        <is>
          <t>Week notes</t>
        </is>
      </c>
      <c r="C902" s="111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112" t="n"/>
      <c r="R902" s="112" t="n"/>
      <c r="S902" s="112" t="n"/>
      <c r="T902" s="112" t="n"/>
      <c r="U902" s="112" t="n"/>
      <c r="V902" s="112" t="n"/>
      <c r="W902" s="112" t="n"/>
      <c r="X902" s="112" t="n"/>
      <c r="Y902" s="112" t="n"/>
      <c r="Z902" s="113" t="n"/>
    </row>
    <row r="903" ht="8" customHeight="1">
      <c r="A903" t="n">
        <v>18</v>
      </c>
    </row>
    <row r="904" ht="8" customHeight="1">
      <c r="A904" t="n">
        <v>18</v>
      </c>
    </row>
    <row r="905" ht="24" customHeight="1">
      <c r="A905" t="n">
        <v>19</v>
      </c>
      <c r="B905" s="73">
        <f>"WEEK 19     "&amp;TEXT(C906,"ddd d mmm")&amp;"  –  "&amp;TEXT(C906+6,"ddd d mmm yyyy")</f>
        <v/>
      </c>
      <c r="S905" s="74">
        <f>IF(TODAY()&lt;C906,"FUTURE",IF(TODAY()&gt;C906+6,"PAST","THIS WEEK"))</f>
        <v/>
      </c>
      <c r="W905" s="75">
        <f>IF(AND(Engine!$B$8=$AC$3,Engine!$B$9=$A905),"◀ ACTIVE WEEK","")</f>
        <v/>
      </c>
      <c r="AA905" s="76" t="n"/>
      <c r="AB905" s="77" t="inlineStr">
        <is>
          <t>◀ Prev</t>
        </is>
      </c>
      <c r="AC905" s="77" t="inlineStr">
        <is>
          <t>Next ▶</t>
        </is>
      </c>
    </row>
    <row r="906" ht="18" customHeight="1">
      <c r="A906" t="n">
        <v>19</v>
      </c>
      <c r="B906" s="78" t="inlineStr">
        <is>
          <t>DUTY</t>
        </is>
      </c>
      <c r="C906" s="79">
        <f>$AC$2+7*($A906-1)</f>
        <v/>
      </c>
      <c r="D906" s="80" t="n"/>
      <c r="E906" s="80" t="n"/>
      <c r="F906" s="81" t="n"/>
      <c r="G906" s="79">
        <f>C906+1</f>
        <v/>
      </c>
      <c r="H906" s="80" t="n"/>
      <c r="I906" s="80" t="n"/>
      <c r="J906" s="81" t="n"/>
      <c r="K906" s="79">
        <f>C906+2</f>
        <v/>
      </c>
      <c r="L906" s="80" t="n"/>
      <c r="M906" s="80" t="n"/>
      <c r="N906" s="81" t="n"/>
      <c r="O906" s="79">
        <f>C906+3</f>
        <v/>
      </c>
      <c r="P906" s="80" t="n"/>
      <c r="Q906" s="80" t="n"/>
      <c r="R906" s="81" t="n"/>
      <c r="S906" s="79">
        <f>C906+4</f>
        <v/>
      </c>
      <c r="T906" s="80" t="n"/>
      <c r="U906" s="80" t="n"/>
      <c r="V906" s="81" t="n"/>
      <c r="W906" s="82">
        <f>C906+5</f>
        <v/>
      </c>
      <c r="X906" s="83" t="n"/>
      <c r="Y906" s="82">
        <f>C906+6</f>
        <v/>
      </c>
      <c r="Z906" s="83" t="n"/>
      <c r="AB906" s="72" t="inlineStr">
        <is>
          <t>Gaps</t>
        </is>
      </c>
      <c r="AC906" s="72" t="inlineStr">
        <is>
          <t>Cover</t>
        </is>
      </c>
    </row>
    <row r="907" ht="14" customHeight="1">
      <c r="A907" t="n">
        <v>19</v>
      </c>
      <c r="B907" s="84" t="inlineStr">
        <is>
          <t>(from Setup)</t>
        </is>
      </c>
      <c r="C907" s="85" t="inlineStr">
        <is>
          <t>1</t>
        </is>
      </c>
      <c r="D907" s="85" t="inlineStr">
        <is>
          <t>2</t>
        </is>
      </c>
      <c r="E907" s="85" t="inlineStr">
        <is>
          <t>3</t>
        </is>
      </c>
      <c r="F907" s="85" t="inlineStr">
        <is>
          <t>Notes</t>
        </is>
      </c>
      <c r="G907" s="85" t="inlineStr">
        <is>
          <t>1</t>
        </is>
      </c>
      <c r="H907" s="85" t="inlineStr">
        <is>
          <t>2</t>
        </is>
      </c>
      <c r="I907" s="85" t="inlineStr">
        <is>
          <t>3</t>
        </is>
      </c>
      <c r="J907" s="85" t="inlineStr">
        <is>
          <t>Notes</t>
        </is>
      </c>
      <c r="K907" s="85" t="inlineStr">
        <is>
          <t>1</t>
        </is>
      </c>
      <c r="L907" s="85" t="inlineStr">
        <is>
          <t>2</t>
        </is>
      </c>
      <c r="M907" s="85" t="inlineStr">
        <is>
          <t>3</t>
        </is>
      </c>
      <c r="N907" s="85" t="inlineStr">
        <is>
          <t>Notes</t>
        </is>
      </c>
      <c r="O907" s="85" t="inlineStr">
        <is>
          <t>1</t>
        </is>
      </c>
      <c r="P907" s="85" t="inlineStr">
        <is>
          <t>2</t>
        </is>
      </c>
      <c r="Q907" s="85" t="inlineStr">
        <is>
          <t>3</t>
        </is>
      </c>
      <c r="R907" s="85" t="inlineStr">
        <is>
          <t>Notes</t>
        </is>
      </c>
      <c r="S907" s="85" t="inlineStr">
        <is>
          <t>1</t>
        </is>
      </c>
      <c r="T907" s="85" t="inlineStr">
        <is>
          <t>2</t>
        </is>
      </c>
      <c r="U907" s="85" t="inlineStr">
        <is>
          <t>3</t>
        </is>
      </c>
      <c r="V907" s="85" t="inlineStr">
        <is>
          <t>Notes</t>
        </is>
      </c>
      <c r="W907" s="85" t="inlineStr">
        <is>
          <t>Cover</t>
        </is>
      </c>
      <c r="X907" s="85" t="inlineStr">
        <is>
          <t>Notes</t>
        </is>
      </c>
      <c r="Y907" s="85" t="inlineStr">
        <is>
          <t>Cover</t>
        </is>
      </c>
      <c r="Z907" s="85" t="inlineStr">
        <is>
          <t>Notes</t>
        </is>
      </c>
      <c r="AB907" s="86" t="inlineStr">
        <is>
          <t>weekdays short</t>
        </is>
      </c>
      <c r="AC907" s="87" t="inlineStr"/>
    </row>
    <row r="908" ht="17" customHeight="1">
      <c r="A908" t="n">
        <v>19</v>
      </c>
      <c r="B908" s="24">
        <f>IF(Setup!$K$6="","",Setup!$K$6)</f>
        <v/>
      </c>
      <c r="C908" s="88" t="n"/>
      <c r="D908" s="88" t="n"/>
      <c r="E908" s="88" t="n"/>
      <c r="F908" s="89" t="n"/>
      <c r="G908" s="88" t="n"/>
      <c r="H908" s="88" t="n"/>
      <c r="I908" s="88" t="n"/>
      <c r="J908" s="89" t="n"/>
      <c r="K908" s="88" t="n"/>
      <c r="L908" s="88" t="n"/>
      <c r="M908" s="88" t="n"/>
      <c r="N908" s="89" t="n"/>
      <c r="O908" s="88" t="n"/>
      <c r="P908" s="88" t="n"/>
      <c r="Q908" s="88" t="n"/>
      <c r="R908" s="89" t="n"/>
      <c r="S908" s="88" t="n"/>
      <c r="T908" s="88" t="n"/>
      <c r="U908" s="88" t="n"/>
      <c r="V908" s="89" t="n"/>
      <c r="W908" s="88" t="n"/>
      <c r="X908" s="89" t="n"/>
      <c r="Y908" s="88" t="n"/>
      <c r="Z908" s="89" t="n"/>
      <c r="AB908" s="25">
        <f>IF($B908="","",(COUNTIF(C908:E908,"?*")&lt;N(INDEX(Setup!$L$6:$L$23,1)))+(COUNTIF(G908:I908,"?*")&lt;N(INDEX(Setup!$L$6:$L$23,1)))+(COUNTIF(K908:M908,"?*")&lt;N(INDEX(Setup!$L$6:$L$23,1)))+(COUNTIF(O908:Q908,"?*")&lt;N(INDEX(Setup!$L$6:$L$23,1)))+(COUNTIF(S908:U908,"?*")&lt;N(INDEX(Setup!$L$6:$L$23,1)))+((W908="")*(INDEX(Setup!$M$6:$M$23,1)="Y"))+((Y908="")*(INDEX(Setup!$M$6:$M$23,1)="Y")))</f>
        <v/>
      </c>
      <c r="AC908" s="90">
        <f>IF($B908="","",IF(AB908=0,"✓ covered","⚠ "&amp;AB908&amp;IF(AB908=1," gap"," gaps")))</f>
        <v/>
      </c>
    </row>
    <row r="909" ht="17" customHeight="1">
      <c r="A909" t="n">
        <v>19</v>
      </c>
      <c r="B909" s="29">
        <f>IF(Setup!$K$7="","",Setup!$K$7)</f>
        <v/>
      </c>
      <c r="C909" s="88" t="n"/>
      <c r="D909" s="88" t="n"/>
      <c r="E909" s="88" t="n"/>
      <c r="F909" s="89" t="n"/>
      <c r="G909" s="88" t="n"/>
      <c r="H909" s="88" t="n"/>
      <c r="I909" s="88" t="n"/>
      <c r="J909" s="89" t="n"/>
      <c r="K909" s="88" t="n"/>
      <c r="L909" s="88" t="n"/>
      <c r="M909" s="88" t="n"/>
      <c r="N909" s="89" t="n"/>
      <c r="O909" s="88" t="n"/>
      <c r="P909" s="88" t="n"/>
      <c r="Q909" s="88" t="n"/>
      <c r="R909" s="89" t="n"/>
      <c r="S909" s="88" t="n"/>
      <c r="T909" s="88" t="n"/>
      <c r="U909" s="88" t="n"/>
      <c r="V909" s="89" t="n"/>
      <c r="W909" s="88" t="n"/>
      <c r="X909" s="89" t="n"/>
      <c r="Y909" s="88" t="n"/>
      <c r="Z909" s="89" t="n"/>
      <c r="AB909" s="30">
        <f>IF($B909="","",(COUNTIF(C909:E909,"?*")&lt;N(INDEX(Setup!$L$6:$L$23,2)))+(COUNTIF(G909:I909,"?*")&lt;N(INDEX(Setup!$L$6:$L$23,2)))+(COUNTIF(K909:M909,"?*")&lt;N(INDEX(Setup!$L$6:$L$23,2)))+(COUNTIF(O909:Q909,"?*")&lt;N(INDEX(Setup!$L$6:$L$23,2)))+(COUNTIF(S909:U909,"?*")&lt;N(INDEX(Setup!$L$6:$L$23,2)))+((W909="")*(INDEX(Setup!$M$6:$M$23,2)="Y"))+((Y909="")*(INDEX(Setup!$M$6:$M$23,2)="Y")))</f>
        <v/>
      </c>
      <c r="AC909" s="91">
        <f>IF($B909="","",IF(AB909=0,"✓ covered","⚠ "&amp;AB909&amp;IF(AB909=1," gap"," gaps")))</f>
        <v/>
      </c>
    </row>
    <row r="910" ht="17" customHeight="1">
      <c r="A910" t="n">
        <v>19</v>
      </c>
      <c r="B910" s="24">
        <f>IF(Setup!$K$8="","",Setup!$K$8)</f>
        <v/>
      </c>
      <c r="C910" s="88" t="n"/>
      <c r="D910" s="88" t="n"/>
      <c r="E910" s="88" t="n"/>
      <c r="F910" s="89" t="n"/>
      <c r="G910" s="88" t="n"/>
      <c r="H910" s="88" t="n"/>
      <c r="I910" s="88" t="n"/>
      <c r="J910" s="89" t="n"/>
      <c r="K910" s="88" t="n"/>
      <c r="L910" s="88" t="n"/>
      <c r="M910" s="88" t="n"/>
      <c r="N910" s="89" t="n"/>
      <c r="O910" s="88" t="n"/>
      <c r="P910" s="88" t="n"/>
      <c r="Q910" s="88" t="n"/>
      <c r="R910" s="89" t="n"/>
      <c r="S910" s="88" t="n"/>
      <c r="T910" s="88" t="n"/>
      <c r="U910" s="88" t="n"/>
      <c r="V910" s="89" t="n"/>
      <c r="W910" s="88" t="n"/>
      <c r="X910" s="89" t="n"/>
      <c r="Y910" s="88" t="n"/>
      <c r="Z910" s="89" t="n"/>
      <c r="AB910" s="25">
        <f>IF($B910="","",(COUNTIF(C910:E910,"?*")&lt;N(INDEX(Setup!$L$6:$L$23,3)))+(COUNTIF(G910:I910,"?*")&lt;N(INDEX(Setup!$L$6:$L$23,3)))+(COUNTIF(K910:M910,"?*")&lt;N(INDEX(Setup!$L$6:$L$23,3)))+(COUNTIF(O910:Q910,"?*")&lt;N(INDEX(Setup!$L$6:$L$23,3)))+(COUNTIF(S910:U910,"?*")&lt;N(INDEX(Setup!$L$6:$L$23,3)))+((W910="")*(INDEX(Setup!$M$6:$M$23,3)="Y"))+((Y910="")*(INDEX(Setup!$M$6:$M$23,3)="Y")))</f>
        <v/>
      </c>
      <c r="AC910" s="90">
        <f>IF($B910="","",IF(AB910=0,"✓ covered","⚠ "&amp;AB910&amp;IF(AB910=1," gap"," gaps")))</f>
        <v/>
      </c>
    </row>
    <row r="911" ht="17" customHeight="1">
      <c r="A911" t="n">
        <v>19</v>
      </c>
      <c r="B911" s="29">
        <f>IF(Setup!$K$9="","",Setup!$K$9)</f>
        <v/>
      </c>
      <c r="C911" s="88" t="n"/>
      <c r="D911" s="88" t="n"/>
      <c r="E911" s="88" t="n"/>
      <c r="F911" s="89" t="n"/>
      <c r="G911" s="88" t="n"/>
      <c r="H911" s="88" t="n"/>
      <c r="I911" s="88" t="n"/>
      <c r="J911" s="89" t="n"/>
      <c r="K911" s="88" t="n"/>
      <c r="L911" s="88" t="n"/>
      <c r="M911" s="88" t="n"/>
      <c r="N911" s="89" t="n"/>
      <c r="O911" s="88" t="n"/>
      <c r="P911" s="88" t="n"/>
      <c r="Q911" s="88" t="n"/>
      <c r="R911" s="89" t="n"/>
      <c r="S911" s="88" t="n"/>
      <c r="T911" s="88" t="n"/>
      <c r="U911" s="88" t="n"/>
      <c r="V911" s="89" t="n"/>
      <c r="W911" s="88" t="n"/>
      <c r="X911" s="89" t="n"/>
      <c r="Y911" s="88" t="n"/>
      <c r="Z911" s="89" t="n"/>
      <c r="AB911" s="30">
        <f>IF($B911="","",(COUNTIF(C911:E911,"?*")&lt;N(INDEX(Setup!$L$6:$L$23,4)))+(COUNTIF(G911:I911,"?*")&lt;N(INDEX(Setup!$L$6:$L$23,4)))+(COUNTIF(K911:M911,"?*")&lt;N(INDEX(Setup!$L$6:$L$23,4)))+(COUNTIF(O911:Q911,"?*")&lt;N(INDEX(Setup!$L$6:$L$23,4)))+(COUNTIF(S911:U911,"?*")&lt;N(INDEX(Setup!$L$6:$L$23,4)))+((W911="")*(INDEX(Setup!$M$6:$M$23,4)="Y"))+((Y911="")*(INDEX(Setup!$M$6:$M$23,4)="Y")))</f>
        <v/>
      </c>
      <c r="AC911" s="91">
        <f>IF($B911="","",IF(AB911=0,"✓ covered","⚠ "&amp;AB911&amp;IF(AB911=1," gap"," gaps")))</f>
        <v/>
      </c>
    </row>
    <row r="912" ht="17" customHeight="1">
      <c r="A912" t="n">
        <v>19</v>
      </c>
      <c r="B912" s="24">
        <f>IF(Setup!$K$10="","",Setup!$K$10)</f>
        <v/>
      </c>
      <c r="C912" s="88" t="n"/>
      <c r="D912" s="88" t="n"/>
      <c r="E912" s="88" t="n"/>
      <c r="F912" s="89" t="n"/>
      <c r="G912" s="88" t="n"/>
      <c r="H912" s="88" t="n"/>
      <c r="I912" s="88" t="n"/>
      <c r="J912" s="89" t="n"/>
      <c r="K912" s="88" t="n"/>
      <c r="L912" s="88" t="n"/>
      <c r="M912" s="88" t="n"/>
      <c r="N912" s="89" t="n"/>
      <c r="O912" s="88" t="n"/>
      <c r="P912" s="88" t="n"/>
      <c r="Q912" s="88" t="n"/>
      <c r="R912" s="89" t="n"/>
      <c r="S912" s="88" t="n"/>
      <c r="T912" s="88" t="n"/>
      <c r="U912" s="88" t="n"/>
      <c r="V912" s="89" t="n"/>
      <c r="W912" s="88" t="n"/>
      <c r="X912" s="89" t="n"/>
      <c r="Y912" s="88" t="n"/>
      <c r="Z912" s="89" t="n"/>
      <c r="AB912" s="25">
        <f>IF($B912="","",(COUNTIF(C912:E912,"?*")&lt;N(INDEX(Setup!$L$6:$L$23,5)))+(COUNTIF(G912:I912,"?*")&lt;N(INDEX(Setup!$L$6:$L$23,5)))+(COUNTIF(K912:M912,"?*")&lt;N(INDEX(Setup!$L$6:$L$23,5)))+(COUNTIF(O912:Q912,"?*")&lt;N(INDEX(Setup!$L$6:$L$23,5)))+(COUNTIF(S912:U912,"?*")&lt;N(INDEX(Setup!$L$6:$L$23,5)))+((W912="")*(INDEX(Setup!$M$6:$M$23,5)="Y"))+((Y912="")*(INDEX(Setup!$M$6:$M$23,5)="Y")))</f>
        <v/>
      </c>
      <c r="AC912" s="90">
        <f>IF($B912="","",IF(AB912=0,"✓ covered","⚠ "&amp;AB912&amp;IF(AB912=1," gap"," gaps")))</f>
        <v/>
      </c>
    </row>
    <row r="913" ht="17" customHeight="1">
      <c r="A913" t="n">
        <v>19</v>
      </c>
      <c r="B913" s="29">
        <f>IF(Setup!$K$11="","",Setup!$K$11)</f>
        <v/>
      </c>
      <c r="C913" s="88" t="n"/>
      <c r="D913" s="88" t="n"/>
      <c r="E913" s="88" t="n"/>
      <c r="F913" s="89" t="n"/>
      <c r="G913" s="88" t="n"/>
      <c r="H913" s="88" t="n"/>
      <c r="I913" s="88" t="n"/>
      <c r="J913" s="89" t="n"/>
      <c r="K913" s="88" t="n"/>
      <c r="L913" s="88" t="n"/>
      <c r="M913" s="88" t="n"/>
      <c r="N913" s="89" t="n"/>
      <c r="O913" s="88" t="n"/>
      <c r="P913" s="88" t="n"/>
      <c r="Q913" s="88" t="n"/>
      <c r="R913" s="89" t="n"/>
      <c r="S913" s="88" t="n"/>
      <c r="T913" s="88" t="n"/>
      <c r="U913" s="88" t="n"/>
      <c r="V913" s="89" t="n"/>
      <c r="W913" s="88" t="n"/>
      <c r="X913" s="89" t="n"/>
      <c r="Y913" s="88" t="n"/>
      <c r="Z913" s="89" t="n"/>
      <c r="AB913" s="30">
        <f>IF($B913="","",(COUNTIF(C913:E913,"?*")&lt;N(INDEX(Setup!$L$6:$L$23,6)))+(COUNTIF(G913:I913,"?*")&lt;N(INDEX(Setup!$L$6:$L$23,6)))+(COUNTIF(K913:M913,"?*")&lt;N(INDEX(Setup!$L$6:$L$23,6)))+(COUNTIF(O913:Q913,"?*")&lt;N(INDEX(Setup!$L$6:$L$23,6)))+(COUNTIF(S913:U913,"?*")&lt;N(INDEX(Setup!$L$6:$L$23,6)))+((W913="")*(INDEX(Setup!$M$6:$M$23,6)="Y"))+((Y913="")*(INDEX(Setup!$M$6:$M$23,6)="Y")))</f>
        <v/>
      </c>
      <c r="AC913" s="91">
        <f>IF($B913="","",IF(AB913=0,"✓ covered","⚠ "&amp;AB913&amp;IF(AB913=1," gap"," gaps")))</f>
        <v/>
      </c>
    </row>
    <row r="914" ht="17" customHeight="1">
      <c r="A914" t="n">
        <v>19</v>
      </c>
      <c r="B914" s="24">
        <f>IF(Setup!$K$12="","",Setup!$K$12)</f>
        <v/>
      </c>
      <c r="C914" s="88" t="n"/>
      <c r="D914" s="88" t="n"/>
      <c r="E914" s="88" t="n"/>
      <c r="F914" s="89" t="n"/>
      <c r="G914" s="88" t="n"/>
      <c r="H914" s="88" t="n"/>
      <c r="I914" s="88" t="n"/>
      <c r="J914" s="89" t="n"/>
      <c r="K914" s="88" t="n"/>
      <c r="L914" s="88" t="n"/>
      <c r="M914" s="88" t="n"/>
      <c r="N914" s="89" t="n"/>
      <c r="O914" s="88" t="n"/>
      <c r="P914" s="88" t="n"/>
      <c r="Q914" s="88" t="n"/>
      <c r="R914" s="89" t="n"/>
      <c r="S914" s="88" t="n"/>
      <c r="T914" s="88" t="n"/>
      <c r="U914" s="88" t="n"/>
      <c r="V914" s="89" t="n"/>
      <c r="W914" s="88" t="n"/>
      <c r="X914" s="89" t="n"/>
      <c r="Y914" s="88" t="n"/>
      <c r="Z914" s="89" t="n"/>
      <c r="AB914" s="25">
        <f>IF($B914="","",(COUNTIF(C914:E914,"?*")&lt;N(INDEX(Setup!$L$6:$L$23,7)))+(COUNTIF(G914:I914,"?*")&lt;N(INDEX(Setup!$L$6:$L$23,7)))+(COUNTIF(K914:M914,"?*")&lt;N(INDEX(Setup!$L$6:$L$23,7)))+(COUNTIF(O914:Q914,"?*")&lt;N(INDEX(Setup!$L$6:$L$23,7)))+(COUNTIF(S914:U914,"?*")&lt;N(INDEX(Setup!$L$6:$L$23,7)))+((W914="")*(INDEX(Setup!$M$6:$M$23,7)="Y"))+((Y914="")*(INDEX(Setup!$M$6:$M$23,7)="Y")))</f>
        <v/>
      </c>
      <c r="AC914" s="90">
        <f>IF($B914="","",IF(AB914=0,"✓ covered","⚠ "&amp;AB914&amp;IF(AB914=1," gap"," gaps")))</f>
        <v/>
      </c>
    </row>
    <row r="915" ht="17" customHeight="1">
      <c r="A915" t="n">
        <v>19</v>
      </c>
      <c r="B915" s="29">
        <f>IF(Setup!$K$13="","",Setup!$K$13)</f>
        <v/>
      </c>
      <c r="C915" s="88" t="n"/>
      <c r="D915" s="88" t="n"/>
      <c r="E915" s="88" t="n"/>
      <c r="F915" s="89" t="n"/>
      <c r="G915" s="88" t="n"/>
      <c r="H915" s="88" t="n"/>
      <c r="I915" s="88" t="n"/>
      <c r="J915" s="89" t="n"/>
      <c r="K915" s="88" t="n"/>
      <c r="L915" s="88" t="n"/>
      <c r="M915" s="88" t="n"/>
      <c r="N915" s="89" t="n"/>
      <c r="O915" s="88" t="n"/>
      <c r="P915" s="88" t="n"/>
      <c r="Q915" s="88" t="n"/>
      <c r="R915" s="89" t="n"/>
      <c r="S915" s="88" t="n"/>
      <c r="T915" s="88" t="n"/>
      <c r="U915" s="88" t="n"/>
      <c r="V915" s="89" t="n"/>
      <c r="W915" s="88" t="n"/>
      <c r="X915" s="89" t="n"/>
      <c r="Y915" s="88" t="n"/>
      <c r="Z915" s="89" t="n"/>
      <c r="AB915" s="30">
        <f>IF($B915="","",(COUNTIF(C915:E915,"?*")&lt;N(INDEX(Setup!$L$6:$L$23,8)))+(COUNTIF(G915:I915,"?*")&lt;N(INDEX(Setup!$L$6:$L$23,8)))+(COUNTIF(K915:M915,"?*")&lt;N(INDEX(Setup!$L$6:$L$23,8)))+(COUNTIF(O915:Q915,"?*")&lt;N(INDEX(Setup!$L$6:$L$23,8)))+(COUNTIF(S915:U915,"?*")&lt;N(INDEX(Setup!$L$6:$L$23,8)))+((W915="")*(INDEX(Setup!$M$6:$M$23,8)="Y"))+((Y915="")*(INDEX(Setup!$M$6:$M$23,8)="Y")))</f>
        <v/>
      </c>
      <c r="AC915" s="91">
        <f>IF($B915="","",IF(AB915=0,"✓ covered","⚠ "&amp;AB915&amp;IF(AB915=1," gap"," gaps")))</f>
        <v/>
      </c>
    </row>
    <row r="916" ht="17" customHeight="1">
      <c r="A916" t="n">
        <v>19</v>
      </c>
      <c r="B916" s="24">
        <f>IF(Setup!$K$14="","",Setup!$K$14)</f>
        <v/>
      </c>
      <c r="C916" s="88" t="n"/>
      <c r="D916" s="88" t="n"/>
      <c r="E916" s="88" t="n"/>
      <c r="F916" s="89" t="n"/>
      <c r="G916" s="88" t="n"/>
      <c r="H916" s="88" t="n"/>
      <c r="I916" s="88" t="n"/>
      <c r="J916" s="89" t="n"/>
      <c r="K916" s="88" t="n"/>
      <c r="L916" s="88" t="n"/>
      <c r="M916" s="88" t="n"/>
      <c r="N916" s="89" t="n"/>
      <c r="O916" s="88" t="n"/>
      <c r="P916" s="88" t="n"/>
      <c r="Q916" s="88" t="n"/>
      <c r="R916" s="89" t="n"/>
      <c r="S916" s="88" t="n"/>
      <c r="T916" s="88" t="n"/>
      <c r="U916" s="88" t="n"/>
      <c r="V916" s="89" t="n"/>
      <c r="W916" s="88" t="n"/>
      <c r="X916" s="89" t="n"/>
      <c r="Y916" s="88" t="n"/>
      <c r="Z916" s="89" t="n"/>
      <c r="AB916" s="25">
        <f>IF($B916="","",(COUNTIF(C916:E916,"?*")&lt;N(INDEX(Setup!$L$6:$L$23,9)))+(COUNTIF(G916:I916,"?*")&lt;N(INDEX(Setup!$L$6:$L$23,9)))+(COUNTIF(K916:M916,"?*")&lt;N(INDEX(Setup!$L$6:$L$23,9)))+(COUNTIF(O916:Q916,"?*")&lt;N(INDEX(Setup!$L$6:$L$23,9)))+(COUNTIF(S916:U916,"?*")&lt;N(INDEX(Setup!$L$6:$L$23,9)))+((W916="")*(INDEX(Setup!$M$6:$M$23,9)="Y"))+((Y916="")*(INDEX(Setup!$M$6:$M$23,9)="Y")))</f>
        <v/>
      </c>
      <c r="AC916" s="90">
        <f>IF($B916="","",IF(AB916=0,"✓ covered","⚠ "&amp;AB916&amp;IF(AB916=1," gap"," gaps")))</f>
        <v/>
      </c>
    </row>
    <row r="917" ht="17" customHeight="1">
      <c r="A917" t="n">
        <v>19</v>
      </c>
      <c r="B917" s="29">
        <f>IF(Setup!$K$15="","",Setup!$K$15)</f>
        <v/>
      </c>
      <c r="C917" s="88" t="n"/>
      <c r="D917" s="88" t="n"/>
      <c r="E917" s="88" t="n"/>
      <c r="F917" s="89" t="n"/>
      <c r="G917" s="88" t="n"/>
      <c r="H917" s="88" t="n"/>
      <c r="I917" s="88" t="n"/>
      <c r="J917" s="89" t="n"/>
      <c r="K917" s="88" t="n"/>
      <c r="L917" s="88" t="n"/>
      <c r="M917" s="88" t="n"/>
      <c r="N917" s="89" t="n"/>
      <c r="O917" s="88" t="n"/>
      <c r="P917" s="88" t="n"/>
      <c r="Q917" s="88" t="n"/>
      <c r="R917" s="89" t="n"/>
      <c r="S917" s="88" t="n"/>
      <c r="T917" s="88" t="n"/>
      <c r="U917" s="88" t="n"/>
      <c r="V917" s="89" t="n"/>
      <c r="W917" s="88" t="n"/>
      <c r="X917" s="89" t="n"/>
      <c r="Y917" s="88" t="n"/>
      <c r="Z917" s="89" t="n"/>
      <c r="AB917" s="30">
        <f>IF($B917="","",(COUNTIF(C917:E917,"?*")&lt;N(INDEX(Setup!$L$6:$L$23,10)))+(COUNTIF(G917:I917,"?*")&lt;N(INDEX(Setup!$L$6:$L$23,10)))+(COUNTIF(K917:M917,"?*")&lt;N(INDEX(Setup!$L$6:$L$23,10)))+(COUNTIF(O917:Q917,"?*")&lt;N(INDEX(Setup!$L$6:$L$23,10)))+(COUNTIF(S917:U917,"?*")&lt;N(INDEX(Setup!$L$6:$L$23,10)))+((W917="")*(INDEX(Setup!$M$6:$M$23,10)="Y"))+((Y917="")*(INDEX(Setup!$M$6:$M$23,10)="Y")))</f>
        <v/>
      </c>
      <c r="AC917" s="91">
        <f>IF($B917="","",IF(AB917=0,"✓ covered","⚠ "&amp;AB917&amp;IF(AB917=1," gap"," gaps")))</f>
        <v/>
      </c>
    </row>
    <row r="918" ht="17" customHeight="1">
      <c r="A918" t="n">
        <v>19</v>
      </c>
      <c r="B918" s="24">
        <f>IF(Setup!$K$16="","",Setup!$K$16)</f>
        <v/>
      </c>
      <c r="C918" s="88" t="n"/>
      <c r="D918" s="88" t="n"/>
      <c r="E918" s="88" t="n"/>
      <c r="F918" s="89" t="n"/>
      <c r="G918" s="88" t="n"/>
      <c r="H918" s="88" t="n"/>
      <c r="I918" s="88" t="n"/>
      <c r="J918" s="89" t="n"/>
      <c r="K918" s="88" t="n"/>
      <c r="L918" s="88" t="n"/>
      <c r="M918" s="88" t="n"/>
      <c r="N918" s="89" t="n"/>
      <c r="O918" s="88" t="n"/>
      <c r="P918" s="88" t="n"/>
      <c r="Q918" s="88" t="n"/>
      <c r="R918" s="89" t="n"/>
      <c r="S918" s="88" t="n"/>
      <c r="T918" s="88" t="n"/>
      <c r="U918" s="88" t="n"/>
      <c r="V918" s="89" t="n"/>
      <c r="W918" s="88" t="n"/>
      <c r="X918" s="89" t="n"/>
      <c r="Y918" s="88" t="n"/>
      <c r="Z918" s="89" t="n"/>
      <c r="AB918" s="25">
        <f>IF($B918="","",(COUNTIF(C918:E918,"?*")&lt;N(INDEX(Setup!$L$6:$L$23,11)))+(COUNTIF(G918:I918,"?*")&lt;N(INDEX(Setup!$L$6:$L$23,11)))+(COUNTIF(K918:M918,"?*")&lt;N(INDEX(Setup!$L$6:$L$23,11)))+(COUNTIF(O918:Q918,"?*")&lt;N(INDEX(Setup!$L$6:$L$23,11)))+(COUNTIF(S918:U918,"?*")&lt;N(INDEX(Setup!$L$6:$L$23,11)))+((W918="")*(INDEX(Setup!$M$6:$M$23,11)="Y"))+((Y918="")*(INDEX(Setup!$M$6:$M$23,11)="Y")))</f>
        <v/>
      </c>
      <c r="AC918" s="90">
        <f>IF($B918="","",IF(AB918=0,"✓ covered","⚠ "&amp;AB918&amp;IF(AB918=1," gap"," gaps")))</f>
        <v/>
      </c>
    </row>
    <row r="919" ht="17" customHeight="1">
      <c r="A919" t="n">
        <v>19</v>
      </c>
      <c r="B919" s="29">
        <f>IF(Setup!$K$17="","",Setup!$K$17)</f>
        <v/>
      </c>
      <c r="C919" s="88" t="n"/>
      <c r="D919" s="88" t="n"/>
      <c r="E919" s="88" t="n"/>
      <c r="F919" s="89" t="n"/>
      <c r="G919" s="88" t="n"/>
      <c r="H919" s="88" t="n"/>
      <c r="I919" s="88" t="n"/>
      <c r="J919" s="89" t="n"/>
      <c r="K919" s="88" t="n"/>
      <c r="L919" s="88" t="n"/>
      <c r="M919" s="88" t="n"/>
      <c r="N919" s="89" t="n"/>
      <c r="O919" s="88" t="n"/>
      <c r="P919" s="88" t="n"/>
      <c r="Q919" s="88" t="n"/>
      <c r="R919" s="89" t="n"/>
      <c r="S919" s="88" t="n"/>
      <c r="T919" s="88" t="n"/>
      <c r="U919" s="88" t="n"/>
      <c r="V919" s="89" t="n"/>
      <c r="W919" s="88" t="n"/>
      <c r="X919" s="89" t="n"/>
      <c r="Y919" s="88" t="n"/>
      <c r="Z919" s="89" t="n"/>
      <c r="AB919" s="30">
        <f>IF($B919="","",(COUNTIF(C919:E919,"?*")&lt;N(INDEX(Setup!$L$6:$L$23,12)))+(COUNTIF(G919:I919,"?*")&lt;N(INDEX(Setup!$L$6:$L$23,12)))+(COUNTIF(K919:M919,"?*")&lt;N(INDEX(Setup!$L$6:$L$23,12)))+(COUNTIF(O919:Q919,"?*")&lt;N(INDEX(Setup!$L$6:$L$23,12)))+(COUNTIF(S919:U919,"?*")&lt;N(INDEX(Setup!$L$6:$L$23,12)))+((W919="")*(INDEX(Setup!$M$6:$M$23,12)="Y"))+((Y919="")*(INDEX(Setup!$M$6:$M$23,12)="Y")))</f>
        <v/>
      </c>
      <c r="AC919" s="91">
        <f>IF($B919="","",IF(AB919=0,"✓ covered","⚠ "&amp;AB919&amp;IF(AB919=1," gap"," gaps")))</f>
        <v/>
      </c>
    </row>
    <row r="920" ht="17" customHeight="1">
      <c r="A920" t="n">
        <v>19</v>
      </c>
      <c r="B920" s="24">
        <f>IF(Setup!$K$18="","",Setup!$K$18)</f>
        <v/>
      </c>
      <c r="C920" s="88" t="n"/>
      <c r="D920" s="88" t="n"/>
      <c r="E920" s="88" t="n"/>
      <c r="F920" s="89" t="n"/>
      <c r="G920" s="88" t="n"/>
      <c r="H920" s="88" t="n"/>
      <c r="I920" s="88" t="n"/>
      <c r="J920" s="89" t="n"/>
      <c r="K920" s="88" t="n"/>
      <c r="L920" s="88" t="n"/>
      <c r="M920" s="88" t="n"/>
      <c r="N920" s="89" t="n"/>
      <c r="O920" s="88" t="n"/>
      <c r="P920" s="88" t="n"/>
      <c r="Q920" s="88" t="n"/>
      <c r="R920" s="89" t="n"/>
      <c r="S920" s="88" t="n"/>
      <c r="T920" s="88" t="n"/>
      <c r="U920" s="88" t="n"/>
      <c r="V920" s="89" t="n"/>
      <c r="W920" s="88" t="n"/>
      <c r="X920" s="89" t="n"/>
      <c r="Y920" s="88" t="n"/>
      <c r="Z920" s="89" t="n"/>
      <c r="AB920" s="25">
        <f>IF($B920="","",(COUNTIF(C920:E920,"?*")&lt;N(INDEX(Setup!$L$6:$L$23,13)))+(COUNTIF(G920:I920,"?*")&lt;N(INDEX(Setup!$L$6:$L$23,13)))+(COUNTIF(K920:M920,"?*")&lt;N(INDEX(Setup!$L$6:$L$23,13)))+(COUNTIF(O920:Q920,"?*")&lt;N(INDEX(Setup!$L$6:$L$23,13)))+(COUNTIF(S920:U920,"?*")&lt;N(INDEX(Setup!$L$6:$L$23,13)))+((W920="")*(INDEX(Setup!$M$6:$M$23,13)="Y"))+((Y920="")*(INDEX(Setup!$M$6:$M$23,13)="Y")))</f>
        <v/>
      </c>
      <c r="AC920" s="90">
        <f>IF($B920="","",IF(AB920=0,"✓ covered","⚠ "&amp;AB920&amp;IF(AB920=1," gap"," gaps")))</f>
        <v/>
      </c>
    </row>
    <row r="921" ht="17" customHeight="1">
      <c r="A921" t="n">
        <v>19</v>
      </c>
      <c r="B921" s="29">
        <f>IF(Setup!$K$19="","",Setup!$K$19)</f>
        <v/>
      </c>
      <c r="C921" s="88" t="n"/>
      <c r="D921" s="88" t="n"/>
      <c r="E921" s="88" t="n"/>
      <c r="F921" s="89" t="n"/>
      <c r="G921" s="88" t="n"/>
      <c r="H921" s="88" t="n"/>
      <c r="I921" s="88" t="n"/>
      <c r="J921" s="89" t="n"/>
      <c r="K921" s="88" t="n"/>
      <c r="L921" s="88" t="n"/>
      <c r="M921" s="88" t="n"/>
      <c r="N921" s="89" t="n"/>
      <c r="O921" s="88" t="n"/>
      <c r="P921" s="88" t="n"/>
      <c r="Q921" s="88" t="n"/>
      <c r="R921" s="89" t="n"/>
      <c r="S921" s="88" t="n"/>
      <c r="T921" s="88" t="n"/>
      <c r="U921" s="88" t="n"/>
      <c r="V921" s="89" t="n"/>
      <c r="W921" s="88" t="n"/>
      <c r="X921" s="89" t="n"/>
      <c r="Y921" s="88" t="n"/>
      <c r="Z921" s="89" t="n"/>
      <c r="AB921" s="30">
        <f>IF($B921="","",(COUNTIF(C921:E921,"?*")&lt;N(INDEX(Setup!$L$6:$L$23,14)))+(COUNTIF(G921:I921,"?*")&lt;N(INDEX(Setup!$L$6:$L$23,14)))+(COUNTIF(K921:M921,"?*")&lt;N(INDEX(Setup!$L$6:$L$23,14)))+(COUNTIF(O921:Q921,"?*")&lt;N(INDEX(Setup!$L$6:$L$23,14)))+(COUNTIF(S921:U921,"?*")&lt;N(INDEX(Setup!$L$6:$L$23,14)))+((W921="")*(INDEX(Setup!$M$6:$M$23,14)="Y"))+((Y921="")*(INDEX(Setup!$M$6:$M$23,14)="Y")))</f>
        <v/>
      </c>
      <c r="AC921" s="91">
        <f>IF($B921="","",IF(AB921=0,"✓ covered","⚠ "&amp;AB921&amp;IF(AB921=1," gap"," gaps")))</f>
        <v/>
      </c>
    </row>
    <row r="922" ht="17" customHeight="1">
      <c r="A922" t="n">
        <v>19</v>
      </c>
      <c r="B922" s="24">
        <f>IF(Setup!$K$20="","",Setup!$K$20)</f>
        <v/>
      </c>
      <c r="C922" s="88" t="n"/>
      <c r="D922" s="88" t="n"/>
      <c r="E922" s="88" t="n"/>
      <c r="F922" s="89" t="n"/>
      <c r="G922" s="88" t="n"/>
      <c r="H922" s="88" t="n"/>
      <c r="I922" s="88" t="n"/>
      <c r="J922" s="89" t="n"/>
      <c r="K922" s="88" t="n"/>
      <c r="L922" s="88" t="n"/>
      <c r="M922" s="88" t="n"/>
      <c r="N922" s="89" t="n"/>
      <c r="O922" s="88" t="n"/>
      <c r="P922" s="88" t="n"/>
      <c r="Q922" s="88" t="n"/>
      <c r="R922" s="89" t="n"/>
      <c r="S922" s="88" t="n"/>
      <c r="T922" s="88" t="n"/>
      <c r="U922" s="88" t="n"/>
      <c r="V922" s="89" t="n"/>
      <c r="W922" s="88" t="n"/>
      <c r="X922" s="89" t="n"/>
      <c r="Y922" s="88" t="n"/>
      <c r="Z922" s="89" t="n"/>
      <c r="AB922" s="25">
        <f>IF($B922="","",(COUNTIF(C922:E922,"?*")&lt;N(INDEX(Setup!$L$6:$L$23,15)))+(COUNTIF(G922:I922,"?*")&lt;N(INDEX(Setup!$L$6:$L$23,15)))+(COUNTIF(K922:M922,"?*")&lt;N(INDEX(Setup!$L$6:$L$23,15)))+(COUNTIF(O922:Q922,"?*")&lt;N(INDEX(Setup!$L$6:$L$23,15)))+(COUNTIF(S922:U922,"?*")&lt;N(INDEX(Setup!$L$6:$L$23,15)))+((W922="")*(INDEX(Setup!$M$6:$M$23,15)="Y"))+((Y922="")*(INDEX(Setup!$M$6:$M$23,15)="Y")))</f>
        <v/>
      </c>
      <c r="AC922" s="90">
        <f>IF($B922="","",IF(AB922=0,"✓ covered","⚠ "&amp;AB922&amp;IF(AB922=1," gap"," gaps")))</f>
        <v/>
      </c>
    </row>
    <row r="923" ht="17" customHeight="1">
      <c r="A923" t="n">
        <v>19</v>
      </c>
      <c r="B923" s="29">
        <f>IF(Setup!$K$21="","",Setup!$K$21)</f>
        <v/>
      </c>
      <c r="C923" s="88" t="n"/>
      <c r="D923" s="88" t="n"/>
      <c r="E923" s="88" t="n"/>
      <c r="F923" s="89" t="n"/>
      <c r="G923" s="88" t="n"/>
      <c r="H923" s="88" t="n"/>
      <c r="I923" s="88" t="n"/>
      <c r="J923" s="89" t="n"/>
      <c r="K923" s="88" t="n"/>
      <c r="L923" s="88" t="n"/>
      <c r="M923" s="88" t="n"/>
      <c r="N923" s="89" t="n"/>
      <c r="O923" s="88" t="n"/>
      <c r="P923" s="88" t="n"/>
      <c r="Q923" s="88" t="n"/>
      <c r="R923" s="89" t="n"/>
      <c r="S923" s="88" t="n"/>
      <c r="T923" s="88" t="n"/>
      <c r="U923" s="88" t="n"/>
      <c r="V923" s="89" t="n"/>
      <c r="W923" s="88" t="n"/>
      <c r="X923" s="89" t="n"/>
      <c r="Y923" s="88" t="n"/>
      <c r="Z923" s="89" t="n"/>
      <c r="AB923" s="30">
        <f>IF($B923="","",(COUNTIF(C923:E923,"?*")&lt;N(INDEX(Setup!$L$6:$L$23,16)))+(COUNTIF(G923:I923,"?*")&lt;N(INDEX(Setup!$L$6:$L$23,16)))+(COUNTIF(K923:M923,"?*")&lt;N(INDEX(Setup!$L$6:$L$23,16)))+(COUNTIF(O923:Q923,"?*")&lt;N(INDEX(Setup!$L$6:$L$23,16)))+(COUNTIF(S923:U923,"?*")&lt;N(INDEX(Setup!$L$6:$L$23,16)))+((W923="")*(INDEX(Setup!$M$6:$M$23,16)="Y"))+((Y923="")*(INDEX(Setup!$M$6:$M$23,16)="Y")))</f>
        <v/>
      </c>
      <c r="AC923" s="91">
        <f>IF($B923="","",IF(AB923=0,"✓ covered","⚠ "&amp;AB923&amp;IF(AB923=1," gap"," gaps")))</f>
        <v/>
      </c>
    </row>
    <row r="924" ht="17" customHeight="1">
      <c r="A924" t="n">
        <v>19</v>
      </c>
      <c r="B924" s="24">
        <f>IF(Setup!$K$22="","",Setup!$K$22)</f>
        <v/>
      </c>
      <c r="C924" s="88" t="n"/>
      <c r="D924" s="88" t="n"/>
      <c r="E924" s="88" t="n"/>
      <c r="F924" s="89" t="n"/>
      <c r="G924" s="88" t="n"/>
      <c r="H924" s="88" t="n"/>
      <c r="I924" s="88" t="n"/>
      <c r="J924" s="89" t="n"/>
      <c r="K924" s="88" t="n"/>
      <c r="L924" s="88" t="n"/>
      <c r="M924" s="88" t="n"/>
      <c r="N924" s="89" t="n"/>
      <c r="O924" s="88" t="n"/>
      <c r="P924" s="88" t="n"/>
      <c r="Q924" s="88" t="n"/>
      <c r="R924" s="89" t="n"/>
      <c r="S924" s="88" t="n"/>
      <c r="T924" s="88" t="n"/>
      <c r="U924" s="88" t="n"/>
      <c r="V924" s="89" t="n"/>
      <c r="W924" s="88" t="n"/>
      <c r="X924" s="89" t="n"/>
      <c r="Y924" s="88" t="n"/>
      <c r="Z924" s="89" t="n"/>
      <c r="AB924" s="25">
        <f>IF($B924="","",(COUNTIF(C924:E924,"?*")&lt;N(INDEX(Setup!$L$6:$L$23,17)))+(COUNTIF(G924:I924,"?*")&lt;N(INDEX(Setup!$L$6:$L$23,17)))+(COUNTIF(K924:M924,"?*")&lt;N(INDEX(Setup!$L$6:$L$23,17)))+(COUNTIF(O924:Q924,"?*")&lt;N(INDEX(Setup!$L$6:$L$23,17)))+(COUNTIF(S924:U924,"?*")&lt;N(INDEX(Setup!$L$6:$L$23,17)))+((W924="")*(INDEX(Setup!$M$6:$M$23,17)="Y"))+((Y924="")*(INDEX(Setup!$M$6:$M$23,17)="Y")))</f>
        <v/>
      </c>
      <c r="AC924" s="90">
        <f>IF($B924="","",IF(AB924=0,"✓ covered","⚠ "&amp;AB924&amp;IF(AB924=1," gap"," gaps")))</f>
        <v/>
      </c>
    </row>
    <row r="925" ht="17" customHeight="1">
      <c r="A925" t="n">
        <v>19</v>
      </c>
      <c r="B925" s="29">
        <f>IF(Setup!$K$23="","",Setup!$K$23)</f>
        <v/>
      </c>
      <c r="C925" s="88" t="n"/>
      <c r="D925" s="88" t="n"/>
      <c r="E925" s="88" t="n"/>
      <c r="F925" s="89" t="n"/>
      <c r="G925" s="88" t="n"/>
      <c r="H925" s="88" t="n"/>
      <c r="I925" s="88" t="n"/>
      <c r="J925" s="89" t="n"/>
      <c r="K925" s="88" t="n"/>
      <c r="L925" s="88" t="n"/>
      <c r="M925" s="88" t="n"/>
      <c r="N925" s="89" t="n"/>
      <c r="O925" s="88" t="n"/>
      <c r="P925" s="88" t="n"/>
      <c r="Q925" s="88" t="n"/>
      <c r="R925" s="89" t="n"/>
      <c r="S925" s="88" t="n"/>
      <c r="T925" s="88" t="n"/>
      <c r="U925" s="88" t="n"/>
      <c r="V925" s="89" t="n"/>
      <c r="W925" s="88" t="n"/>
      <c r="X925" s="89" t="n"/>
      <c r="Y925" s="88" t="n"/>
      <c r="Z925" s="89" t="n"/>
      <c r="AB925" s="30">
        <f>IF($B925="","",(COUNTIF(C925:E925,"?*")&lt;N(INDEX(Setup!$L$6:$L$23,18)))+(COUNTIF(G925:I925,"?*")&lt;N(INDEX(Setup!$L$6:$L$23,18)))+(COUNTIF(K925:M925,"?*")&lt;N(INDEX(Setup!$L$6:$L$23,18)))+(COUNTIF(O925:Q925,"?*")&lt;N(INDEX(Setup!$L$6:$L$23,18)))+(COUNTIF(S925:U925,"?*")&lt;N(INDEX(Setup!$L$6:$L$23,18)))+((W925="")*(INDEX(Setup!$M$6:$M$23,18)="Y"))+((Y925="")*(INDEX(Setup!$M$6:$M$23,18)="Y")))</f>
        <v/>
      </c>
      <c r="AC925" s="91">
        <f>IF($B925="","",IF(AB925=0,"✓ covered","⚠ "&amp;AB925&amp;IF(AB925=1," gap"," gaps")))</f>
        <v/>
      </c>
    </row>
    <row r="926" ht="18" customHeight="1">
      <c r="A926" t="n">
        <v>19</v>
      </c>
      <c r="B926" s="78" t="inlineStr">
        <is>
          <t>TEAM AVAILABILITY</t>
        </is>
      </c>
      <c r="C926" s="92" t="inlineStr">
        <is>
          <t>Mon</t>
        </is>
      </c>
      <c r="D926" s="93" t="n"/>
      <c r="E926" s="93" t="n"/>
      <c r="F926" s="94" t="n"/>
      <c r="G926" s="92" t="inlineStr">
        <is>
          <t>Tue</t>
        </is>
      </c>
      <c r="H926" s="93" t="n"/>
      <c r="I926" s="93" t="n"/>
      <c r="J926" s="94" t="n"/>
      <c r="K926" s="92" t="inlineStr">
        <is>
          <t>Wed</t>
        </is>
      </c>
      <c r="L926" s="93" t="n"/>
      <c r="M926" s="93" t="n"/>
      <c r="N926" s="94" t="n"/>
      <c r="O926" s="92" t="inlineStr">
        <is>
          <t>Thu</t>
        </is>
      </c>
      <c r="P926" s="93" t="n"/>
      <c r="Q926" s="93" t="n"/>
      <c r="R926" s="94" t="n"/>
      <c r="S926" s="92" t="inlineStr">
        <is>
          <t>Fri</t>
        </is>
      </c>
      <c r="T926" s="93" t="n"/>
      <c r="U926" s="93" t="n"/>
      <c r="V926" s="94" t="n"/>
      <c r="W926" s="95" t="inlineStr">
        <is>
          <t>Sat</t>
        </is>
      </c>
      <c r="X926" s="96" t="n"/>
      <c r="Y926" s="95" t="inlineStr">
        <is>
          <t>Sun</t>
        </is>
      </c>
      <c r="Z926" s="96" t="n"/>
      <c r="AB926" s="97" t="inlineStr">
        <is>
          <t>Days rostered</t>
        </is>
      </c>
      <c r="AC926" s="97" t="inlineStr">
        <is>
          <t>Conflicts</t>
        </is>
      </c>
    </row>
    <row r="927" ht="15" customHeight="1">
      <c r="A927" t="n">
        <v>19</v>
      </c>
      <c r="B927" s="35">
        <f>IF(Setup!$B$6="","",Setup!$B$6)</f>
        <v/>
      </c>
      <c r="C927" s="98" t="n"/>
      <c r="D927" s="99" t="n"/>
      <c r="E927" s="99" t="n"/>
      <c r="F927" s="100" t="n"/>
      <c r="G927" s="98" t="n"/>
      <c r="H927" s="99" t="n"/>
      <c r="I927" s="99" t="n"/>
      <c r="J927" s="100" t="n"/>
      <c r="K927" s="98" t="n"/>
      <c r="L927" s="99" t="n"/>
      <c r="M927" s="99" t="n"/>
      <c r="N927" s="100" t="n"/>
      <c r="O927" s="98" t="n"/>
      <c r="P927" s="99" t="n"/>
      <c r="Q927" s="99" t="n"/>
      <c r="R927" s="100" t="n"/>
      <c r="S927" s="98" t="n"/>
      <c r="T927" s="99" t="n"/>
      <c r="U927" s="99" t="n"/>
      <c r="V927" s="100" t="n"/>
      <c r="W927" s="98" t="n"/>
      <c r="X927" s="100" t="n"/>
      <c r="Y927" s="98" t="n"/>
      <c r="Z927" s="100" t="n"/>
      <c r="AB927" s="101">
        <f>IF($B927="","",(COUNTIF(C908:E925,$B927)+COUNTIF(C908:E925,$B927&amp;" ~*")&gt;0)+(COUNTIF(G908:I925,$B927)+COUNTIF(G908:I925,$B927&amp;" ~*")&gt;0)+(COUNTIF(K908:M925,$B927)+COUNTIF(K908:M925,$B927&amp;" ~*")&gt;0)+(COUNTIF(O908:Q925,$B927)+COUNTIF(O908:Q925,$B927&amp;" ~*")&gt;0)+(COUNTIF(S908:U925,$B927)+COUNTIF(S908:U925,$B927&amp;" ~*")&gt;0)+(COUNTIF(W908:W925,$B927)+COUNTIF(W908:W925,$B927&amp;" ~*")&gt;0)+(COUNTIF(Y908:Y925,$B927)+COUNTIF(Y908:Y925,$B927&amp;" ~*")&gt;0))</f>
        <v/>
      </c>
      <c r="AC927" s="36">
        <f>IF($B927="","",(IFERROR(INDEX(Setup!$G$33:$G$40,MATCH(C927,Setup!$B$33:$B$40,0)),0)=1)*(COUNTIF(C908:E925,$B927)+COUNTIF(C908:E925,$B927&amp;" ~*")&gt;0)+(IFERROR(INDEX(Setup!$G$33:$G$40,MATCH(G927,Setup!$B$33:$B$40,0)),0)=1)*(COUNTIF(G908:I925,$B927)+COUNTIF(G908:I925,$B927&amp;" ~*")&gt;0)+(IFERROR(INDEX(Setup!$G$33:$G$40,MATCH(K927,Setup!$B$33:$B$40,0)),0)=1)*(COUNTIF(K908:M925,$B927)+COUNTIF(K908:M925,$B927&amp;" ~*")&gt;0)+(IFERROR(INDEX(Setup!$G$33:$G$40,MATCH(O927,Setup!$B$33:$B$40,0)),0)=1)*(COUNTIF(O908:Q925,$B927)+COUNTIF(O908:Q925,$B927&amp;" ~*")&gt;0)+(IFERROR(INDEX(Setup!$G$33:$G$40,MATCH(S927,Setup!$B$33:$B$40,0)),0)=1)*(COUNTIF(S908:U925,$B927)+COUNTIF(S908:U925,$B927&amp;" ~*")&gt;0)+(IFERROR(INDEX(Setup!$G$33:$G$40,MATCH(W927,Setup!$B$33:$B$40,0)),0)=1)*(COUNTIF(W908:W925,$B927)+COUNTIF(W908:W925,$B927&amp;" ~*")&gt;0)+(IFERROR(INDEX(Setup!$G$33:$G$40,MATCH(Y927,Setup!$B$33:$B$40,0)),0)=1)*(COUNTIF(Y908:Y925,$B927)+COUNTIF(Y908:Y925,$B927&amp;" ~*")&gt;0))</f>
        <v/>
      </c>
    </row>
    <row r="928" ht="15" customHeight="1">
      <c r="A928" t="n">
        <v>19</v>
      </c>
      <c r="B928" s="37">
        <f>IF(Setup!$B$7="","",Setup!$B$7)</f>
        <v/>
      </c>
      <c r="C928" s="102" t="n"/>
      <c r="D928" s="103" t="n"/>
      <c r="E928" s="103" t="n"/>
      <c r="F928" s="104" t="n"/>
      <c r="G928" s="102" t="n"/>
      <c r="H928" s="103" t="n"/>
      <c r="I928" s="103" t="n"/>
      <c r="J928" s="104" t="n"/>
      <c r="K928" s="102" t="n"/>
      <c r="L928" s="103" t="n"/>
      <c r="M928" s="103" t="n"/>
      <c r="N928" s="104" t="n"/>
      <c r="O928" s="102" t="n"/>
      <c r="P928" s="103" t="n"/>
      <c r="Q928" s="103" t="n"/>
      <c r="R928" s="104" t="n"/>
      <c r="S928" s="102" t="n"/>
      <c r="T928" s="103" t="n"/>
      <c r="U928" s="103" t="n"/>
      <c r="V928" s="104" t="n"/>
      <c r="W928" s="102" t="n"/>
      <c r="X928" s="104" t="n"/>
      <c r="Y928" s="102" t="n"/>
      <c r="Z928" s="104" t="n"/>
      <c r="AB928" s="105">
        <f>IF($B928="","",(COUNTIF(C908:E925,$B928)+COUNTIF(C908:E925,$B928&amp;" ~*")&gt;0)+(COUNTIF(G908:I925,$B928)+COUNTIF(G908:I925,$B928&amp;" ~*")&gt;0)+(COUNTIF(K908:M925,$B928)+COUNTIF(K908:M925,$B928&amp;" ~*")&gt;0)+(COUNTIF(O908:Q925,$B928)+COUNTIF(O908:Q925,$B928&amp;" ~*")&gt;0)+(COUNTIF(S908:U925,$B928)+COUNTIF(S908:U925,$B928&amp;" ~*")&gt;0)+(COUNTIF(W908:W925,$B928)+COUNTIF(W908:W925,$B928&amp;" ~*")&gt;0)+(COUNTIF(Y908:Y925,$B928)+COUNTIF(Y908:Y925,$B928&amp;" ~*")&gt;0))</f>
        <v/>
      </c>
      <c r="AC928" s="38">
        <f>IF($B928="","",(IFERROR(INDEX(Setup!$G$33:$G$40,MATCH(C928,Setup!$B$33:$B$40,0)),0)=1)*(COUNTIF(C908:E925,$B928)+COUNTIF(C908:E925,$B928&amp;" ~*")&gt;0)+(IFERROR(INDEX(Setup!$G$33:$G$40,MATCH(G928,Setup!$B$33:$B$40,0)),0)=1)*(COUNTIF(G908:I925,$B928)+COUNTIF(G908:I925,$B928&amp;" ~*")&gt;0)+(IFERROR(INDEX(Setup!$G$33:$G$40,MATCH(K928,Setup!$B$33:$B$40,0)),0)=1)*(COUNTIF(K908:M925,$B928)+COUNTIF(K908:M925,$B928&amp;" ~*")&gt;0)+(IFERROR(INDEX(Setup!$G$33:$G$40,MATCH(O928,Setup!$B$33:$B$40,0)),0)=1)*(COUNTIF(O908:Q925,$B928)+COUNTIF(O908:Q925,$B928&amp;" ~*")&gt;0)+(IFERROR(INDEX(Setup!$G$33:$G$40,MATCH(S928,Setup!$B$33:$B$40,0)),0)=1)*(COUNTIF(S908:U925,$B928)+COUNTIF(S908:U925,$B928&amp;" ~*")&gt;0)+(IFERROR(INDEX(Setup!$G$33:$G$40,MATCH(W928,Setup!$B$33:$B$40,0)),0)=1)*(COUNTIF(W908:W925,$B928)+COUNTIF(W908:W925,$B928&amp;" ~*")&gt;0)+(IFERROR(INDEX(Setup!$G$33:$G$40,MATCH(Y928,Setup!$B$33:$B$40,0)),0)=1)*(COUNTIF(Y908:Y925,$B928)+COUNTIF(Y908:Y925,$B928&amp;" ~*")&gt;0))</f>
        <v/>
      </c>
    </row>
    <row r="929" ht="15" customHeight="1">
      <c r="A929" t="n">
        <v>19</v>
      </c>
      <c r="B929" s="35">
        <f>IF(Setup!$B$8="","",Setup!$B$8)</f>
        <v/>
      </c>
      <c r="C929" s="98" t="n"/>
      <c r="D929" s="99" t="n"/>
      <c r="E929" s="99" t="n"/>
      <c r="F929" s="100" t="n"/>
      <c r="G929" s="98" t="n"/>
      <c r="H929" s="99" t="n"/>
      <c r="I929" s="99" t="n"/>
      <c r="J929" s="100" t="n"/>
      <c r="K929" s="98" t="n"/>
      <c r="L929" s="99" t="n"/>
      <c r="M929" s="99" t="n"/>
      <c r="N929" s="100" t="n"/>
      <c r="O929" s="98" t="n"/>
      <c r="P929" s="99" t="n"/>
      <c r="Q929" s="99" t="n"/>
      <c r="R929" s="100" t="n"/>
      <c r="S929" s="98" t="n"/>
      <c r="T929" s="99" t="n"/>
      <c r="U929" s="99" t="n"/>
      <c r="V929" s="100" t="n"/>
      <c r="W929" s="98" t="n"/>
      <c r="X929" s="100" t="n"/>
      <c r="Y929" s="98" t="n"/>
      <c r="Z929" s="100" t="n"/>
      <c r="AB929" s="101">
        <f>IF($B929="","",(COUNTIF(C908:E925,$B929)+COUNTIF(C908:E925,$B929&amp;" ~*")&gt;0)+(COUNTIF(G908:I925,$B929)+COUNTIF(G908:I925,$B929&amp;" ~*")&gt;0)+(COUNTIF(K908:M925,$B929)+COUNTIF(K908:M925,$B929&amp;" ~*")&gt;0)+(COUNTIF(O908:Q925,$B929)+COUNTIF(O908:Q925,$B929&amp;" ~*")&gt;0)+(COUNTIF(S908:U925,$B929)+COUNTIF(S908:U925,$B929&amp;" ~*")&gt;0)+(COUNTIF(W908:W925,$B929)+COUNTIF(W908:W925,$B929&amp;" ~*")&gt;0)+(COUNTIF(Y908:Y925,$B929)+COUNTIF(Y908:Y925,$B929&amp;" ~*")&gt;0))</f>
        <v/>
      </c>
      <c r="AC929" s="36">
        <f>IF($B929="","",(IFERROR(INDEX(Setup!$G$33:$G$40,MATCH(C929,Setup!$B$33:$B$40,0)),0)=1)*(COUNTIF(C908:E925,$B929)+COUNTIF(C908:E925,$B929&amp;" ~*")&gt;0)+(IFERROR(INDEX(Setup!$G$33:$G$40,MATCH(G929,Setup!$B$33:$B$40,0)),0)=1)*(COUNTIF(G908:I925,$B929)+COUNTIF(G908:I925,$B929&amp;" ~*")&gt;0)+(IFERROR(INDEX(Setup!$G$33:$G$40,MATCH(K929,Setup!$B$33:$B$40,0)),0)=1)*(COUNTIF(K908:M925,$B929)+COUNTIF(K908:M925,$B929&amp;" ~*")&gt;0)+(IFERROR(INDEX(Setup!$G$33:$G$40,MATCH(O929,Setup!$B$33:$B$40,0)),0)=1)*(COUNTIF(O908:Q925,$B929)+COUNTIF(O908:Q925,$B929&amp;" ~*")&gt;0)+(IFERROR(INDEX(Setup!$G$33:$G$40,MATCH(S929,Setup!$B$33:$B$40,0)),0)=1)*(COUNTIF(S908:U925,$B929)+COUNTIF(S908:U925,$B929&amp;" ~*")&gt;0)+(IFERROR(INDEX(Setup!$G$33:$G$40,MATCH(W929,Setup!$B$33:$B$40,0)),0)=1)*(COUNTIF(W908:W925,$B929)+COUNTIF(W908:W925,$B929&amp;" ~*")&gt;0)+(IFERROR(INDEX(Setup!$G$33:$G$40,MATCH(Y929,Setup!$B$33:$B$40,0)),0)=1)*(COUNTIF(Y908:Y925,$B929)+COUNTIF(Y908:Y925,$B929&amp;" ~*")&gt;0))</f>
        <v/>
      </c>
    </row>
    <row r="930" ht="15" customHeight="1">
      <c r="A930" t="n">
        <v>19</v>
      </c>
      <c r="B930" s="37">
        <f>IF(Setup!$B$9="","",Setup!$B$9)</f>
        <v/>
      </c>
      <c r="C930" s="102" t="n"/>
      <c r="D930" s="103" t="n"/>
      <c r="E930" s="103" t="n"/>
      <c r="F930" s="104" t="n"/>
      <c r="G930" s="102" t="n"/>
      <c r="H930" s="103" t="n"/>
      <c r="I930" s="103" t="n"/>
      <c r="J930" s="104" t="n"/>
      <c r="K930" s="102" t="n"/>
      <c r="L930" s="103" t="n"/>
      <c r="M930" s="103" t="n"/>
      <c r="N930" s="104" t="n"/>
      <c r="O930" s="102" t="n"/>
      <c r="P930" s="103" t="n"/>
      <c r="Q930" s="103" t="n"/>
      <c r="R930" s="104" t="n"/>
      <c r="S930" s="102" t="n"/>
      <c r="T930" s="103" t="n"/>
      <c r="U930" s="103" t="n"/>
      <c r="V930" s="104" t="n"/>
      <c r="W930" s="102" t="n"/>
      <c r="X930" s="104" t="n"/>
      <c r="Y930" s="102" t="n"/>
      <c r="Z930" s="104" t="n"/>
      <c r="AB930" s="105">
        <f>IF($B930="","",(COUNTIF(C908:E925,$B930)+COUNTIF(C908:E925,$B930&amp;" ~*")&gt;0)+(COUNTIF(G908:I925,$B930)+COUNTIF(G908:I925,$B930&amp;" ~*")&gt;0)+(COUNTIF(K908:M925,$B930)+COUNTIF(K908:M925,$B930&amp;" ~*")&gt;0)+(COUNTIF(O908:Q925,$B930)+COUNTIF(O908:Q925,$B930&amp;" ~*")&gt;0)+(COUNTIF(S908:U925,$B930)+COUNTIF(S908:U925,$B930&amp;" ~*")&gt;0)+(COUNTIF(W908:W925,$B930)+COUNTIF(W908:W925,$B930&amp;" ~*")&gt;0)+(COUNTIF(Y908:Y925,$B930)+COUNTIF(Y908:Y925,$B930&amp;" ~*")&gt;0))</f>
        <v/>
      </c>
      <c r="AC930" s="38">
        <f>IF($B930="","",(IFERROR(INDEX(Setup!$G$33:$G$40,MATCH(C930,Setup!$B$33:$B$40,0)),0)=1)*(COUNTIF(C908:E925,$B930)+COUNTIF(C908:E925,$B930&amp;" ~*")&gt;0)+(IFERROR(INDEX(Setup!$G$33:$G$40,MATCH(G930,Setup!$B$33:$B$40,0)),0)=1)*(COUNTIF(G908:I925,$B930)+COUNTIF(G908:I925,$B930&amp;" ~*")&gt;0)+(IFERROR(INDEX(Setup!$G$33:$G$40,MATCH(K930,Setup!$B$33:$B$40,0)),0)=1)*(COUNTIF(K908:M925,$B930)+COUNTIF(K908:M925,$B930&amp;" ~*")&gt;0)+(IFERROR(INDEX(Setup!$G$33:$G$40,MATCH(O930,Setup!$B$33:$B$40,0)),0)=1)*(COUNTIF(O908:Q925,$B930)+COUNTIF(O908:Q925,$B930&amp;" ~*")&gt;0)+(IFERROR(INDEX(Setup!$G$33:$G$40,MATCH(S930,Setup!$B$33:$B$40,0)),0)=1)*(COUNTIF(S908:U925,$B930)+COUNTIF(S908:U925,$B930&amp;" ~*")&gt;0)+(IFERROR(INDEX(Setup!$G$33:$G$40,MATCH(W930,Setup!$B$33:$B$40,0)),0)=1)*(COUNTIF(W908:W925,$B930)+COUNTIF(W908:W925,$B930&amp;" ~*")&gt;0)+(IFERROR(INDEX(Setup!$G$33:$G$40,MATCH(Y930,Setup!$B$33:$B$40,0)),0)=1)*(COUNTIF(Y908:Y925,$B930)+COUNTIF(Y908:Y925,$B930&amp;" ~*")&gt;0))</f>
        <v/>
      </c>
    </row>
    <row r="931" ht="15" customHeight="1">
      <c r="A931" t="n">
        <v>19</v>
      </c>
      <c r="B931" s="35">
        <f>IF(Setup!$B$10="","",Setup!$B$10)</f>
        <v/>
      </c>
      <c r="C931" s="98" t="n"/>
      <c r="D931" s="99" t="n"/>
      <c r="E931" s="99" t="n"/>
      <c r="F931" s="100" t="n"/>
      <c r="G931" s="98" t="n"/>
      <c r="H931" s="99" t="n"/>
      <c r="I931" s="99" t="n"/>
      <c r="J931" s="100" t="n"/>
      <c r="K931" s="98" t="n"/>
      <c r="L931" s="99" t="n"/>
      <c r="M931" s="99" t="n"/>
      <c r="N931" s="100" t="n"/>
      <c r="O931" s="98" t="n"/>
      <c r="P931" s="99" t="n"/>
      <c r="Q931" s="99" t="n"/>
      <c r="R931" s="100" t="n"/>
      <c r="S931" s="98" t="n"/>
      <c r="T931" s="99" t="n"/>
      <c r="U931" s="99" t="n"/>
      <c r="V931" s="100" t="n"/>
      <c r="W931" s="98" t="n"/>
      <c r="X931" s="100" t="n"/>
      <c r="Y931" s="98" t="n"/>
      <c r="Z931" s="100" t="n"/>
      <c r="AB931" s="101">
        <f>IF($B931="","",(COUNTIF(C908:E925,$B931)+COUNTIF(C908:E925,$B931&amp;" ~*")&gt;0)+(COUNTIF(G908:I925,$B931)+COUNTIF(G908:I925,$B931&amp;" ~*")&gt;0)+(COUNTIF(K908:M925,$B931)+COUNTIF(K908:M925,$B931&amp;" ~*")&gt;0)+(COUNTIF(O908:Q925,$B931)+COUNTIF(O908:Q925,$B931&amp;" ~*")&gt;0)+(COUNTIF(S908:U925,$B931)+COUNTIF(S908:U925,$B931&amp;" ~*")&gt;0)+(COUNTIF(W908:W925,$B931)+COUNTIF(W908:W925,$B931&amp;" ~*")&gt;0)+(COUNTIF(Y908:Y925,$B931)+COUNTIF(Y908:Y925,$B931&amp;" ~*")&gt;0))</f>
        <v/>
      </c>
      <c r="AC931" s="36">
        <f>IF($B931="","",(IFERROR(INDEX(Setup!$G$33:$G$40,MATCH(C931,Setup!$B$33:$B$40,0)),0)=1)*(COUNTIF(C908:E925,$B931)+COUNTIF(C908:E925,$B931&amp;" ~*")&gt;0)+(IFERROR(INDEX(Setup!$G$33:$G$40,MATCH(G931,Setup!$B$33:$B$40,0)),0)=1)*(COUNTIF(G908:I925,$B931)+COUNTIF(G908:I925,$B931&amp;" ~*")&gt;0)+(IFERROR(INDEX(Setup!$G$33:$G$40,MATCH(K931,Setup!$B$33:$B$40,0)),0)=1)*(COUNTIF(K908:M925,$B931)+COUNTIF(K908:M925,$B931&amp;" ~*")&gt;0)+(IFERROR(INDEX(Setup!$G$33:$G$40,MATCH(O931,Setup!$B$33:$B$40,0)),0)=1)*(COUNTIF(O908:Q925,$B931)+COUNTIF(O908:Q925,$B931&amp;" ~*")&gt;0)+(IFERROR(INDEX(Setup!$G$33:$G$40,MATCH(S931,Setup!$B$33:$B$40,0)),0)=1)*(COUNTIF(S908:U925,$B931)+COUNTIF(S908:U925,$B931&amp;" ~*")&gt;0)+(IFERROR(INDEX(Setup!$G$33:$G$40,MATCH(W931,Setup!$B$33:$B$40,0)),0)=1)*(COUNTIF(W908:W925,$B931)+COUNTIF(W908:W925,$B931&amp;" ~*")&gt;0)+(IFERROR(INDEX(Setup!$G$33:$G$40,MATCH(Y931,Setup!$B$33:$B$40,0)),0)=1)*(COUNTIF(Y908:Y925,$B931)+COUNTIF(Y908:Y925,$B931&amp;" ~*")&gt;0))</f>
        <v/>
      </c>
    </row>
    <row r="932" ht="15" customHeight="1">
      <c r="A932" t="n">
        <v>19</v>
      </c>
      <c r="B932" s="37">
        <f>IF(Setup!$B$11="","",Setup!$B$11)</f>
        <v/>
      </c>
      <c r="C932" s="102" t="n"/>
      <c r="D932" s="103" t="n"/>
      <c r="E932" s="103" t="n"/>
      <c r="F932" s="104" t="n"/>
      <c r="G932" s="102" t="n"/>
      <c r="H932" s="103" t="n"/>
      <c r="I932" s="103" t="n"/>
      <c r="J932" s="104" t="n"/>
      <c r="K932" s="102" t="n"/>
      <c r="L932" s="103" t="n"/>
      <c r="M932" s="103" t="n"/>
      <c r="N932" s="104" t="n"/>
      <c r="O932" s="102" t="n"/>
      <c r="P932" s="103" t="n"/>
      <c r="Q932" s="103" t="n"/>
      <c r="R932" s="104" t="n"/>
      <c r="S932" s="102" t="n"/>
      <c r="T932" s="103" t="n"/>
      <c r="U932" s="103" t="n"/>
      <c r="V932" s="104" t="n"/>
      <c r="W932" s="102" t="n"/>
      <c r="X932" s="104" t="n"/>
      <c r="Y932" s="102" t="n"/>
      <c r="Z932" s="104" t="n"/>
      <c r="AB932" s="105">
        <f>IF($B932="","",(COUNTIF(C908:E925,$B932)+COUNTIF(C908:E925,$B932&amp;" ~*")&gt;0)+(COUNTIF(G908:I925,$B932)+COUNTIF(G908:I925,$B932&amp;" ~*")&gt;0)+(COUNTIF(K908:M925,$B932)+COUNTIF(K908:M925,$B932&amp;" ~*")&gt;0)+(COUNTIF(O908:Q925,$B932)+COUNTIF(O908:Q925,$B932&amp;" ~*")&gt;0)+(COUNTIF(S908:U925,$B932)+COUNTIF(S908:U925,$B932&amp;" ~*")&gt;0)+(COUNTIF(W908:W925,$B932)+COUNTIF(W908:W925,$B932&amp;" ~*")&gt;0)+(COUNTIF(Y908:Y925,$B932)+COUNTIF(Y908:Y925,$B932&amp;" ~*")&gt;0))</f>
        <v/>
      </c>
      <c r="AC932" s="38">
        <f>IF($B932="","",(IFERROR(INDEX(Setup!$G$33:$G$40,MATCH(C932,Setup!$B$33:$B$40,0)),0)=1)*(COUNTIF(C908:E925,$B932)+COUNTIF(C908:E925,$B932&amp;" ~*")&gt;0)+(IFERROR(INDEX(Setup!$G$33:$G$40,MATCH(G932,Setup!$B$33:$B$40,0)),0)=1)*(COUNTIF(G908:I925,$B932)+COUNTIF(G908:I925,$B932&amp;" ~*")&gt;0)+(IFERROR(INDEX(Setup!$G$33:$G$40,MATCH(K932,Setup!$B$33:$B$40,0)),0)=1)*(COUNTIF(K908:M925,$B932)+COUNTIF(K908:M925,$B932&amp;" ~*")&gt;0)+(IFERROR(INDEX(Setup!$G$33:$G$40,MATCH(O932,Setup!$B$33:$B$40,0)),0)=1)*(COUNTIF(O908:Q925,$B932)+COUNTIF(O908:Q925,$B932&amp;" ~*")&gt;0)+(IFERROR(INDEX(Setup!$G$33:$G$40,MATCH(S932,Setup!$B$33:$B$40,0)),0)=1)*(COUNTIF(S908:U925,$B932)+COUNTIF(S908:U925,$B932&amp;" ~*")&gt;0)+(IFERROR(INDEX(Setup!$G$33:$G$40,MATCH(W932,Setup!$B$33:$B$40,0)),0)=1)*(COUNTIF(W908:W925,$B932)+COUNTIF(W908:W925,$B932&amp;" ~*")&gt;0)+(IFERROR(INDEX(Setup!$G$33:$G$40,MATCH(Y932,Setup!$B$33:$B$40,0)),0)=1)*(COUNTIF(Y908:Y925,$B932)+COUNTIF(Y908:Y925,$B932&amp;" ~*")&gt;0))</f>
        <v/>
      </c>
    </row>
    <row r="933" ht="15" customHeight="1">
      <c r="A933" t="n">
        <v>19</v>
      </c>
      <c r="B933" s="35">
        <f>IF(Setup!$B$12="","",Setup!$B$12)</f>
        <v/>
      </c>
      <c r="C933" s="98" t="n"/>
      <c r="D933" s="99" t="n"/>
      <c r="E933" s="99" t="n"/>
      <c r="F933" s="100" t="n"/>
      <c r="G933" s="98" t="n"/>
      <c r="H933" s="99" t="n"/>
      <c r="I933" s="99" t="n"/>
      <c r="J933" s="100" t="n"/>
      <c r="K933" s="98" t="n"/>
      <c r="L933" s="99" t="n"/>
      <c r="M933" s="99" t="n"/>
      <c r="N933" s="100" t="n"/>
      <c r="O933" s="98" t="n"/>
      <c r="P933" s="99" t="n"/>
      <c r="Q933" s="99" t="n"/>
      <c r="R933" s="100" t="n"/>
      <c r="S933" s="98" t="n"/>
      <c r="T933" s="99" t="n"/>
      <c r="U933" s="99" t="n"/>
      <c r="V933" s="100" t="n"/>
      <c r="W933" s="98" t="n"/>
      <c r="X933" s="100" t="n"/>
      <c r="Y933" s="98" t="n"/>
      <c r="Z933" s="100" t="n"/>
      <c r="AB933" s="101">
        <f>IF($B933="","",(COUNTIF(C908:E925,$B933)+COUNTIF(C908:E925,$B933&amp;" ~*")&gt;0)+(COUNTIF(G908:I925,$B933)+COUNTIF(G908:I925,$B933&amp;" ~*")&gt;0)+(COUNTIF(K908:M925,$B933)+COUNTIF(K908:M925,$B933&amp;" ~*")&gt;0)+(COUNTIF(O908:Q925,$B933)+COUNTIF(O908:Q925,$B933&amp;" ~*")&gt;0)+(COUNTIF(S908:U925,$B933)+COUNTIF(S908:U925,$B933&amp;" ~*")&gt;0)+(COUNTIF(W908:W925,$B933)+COUNTIF(W908:W925,$B933&amp;" ~*")&gt;0)+(COUNTIF(Y908:Y925,$B933)+COUNTIF(Y908:Y925,$B933&amp;" ~*")&gt;0))</f>
        <v/>
      </c>
      <c r="AC933" s="36">
        <f>IF($B933="","",(IFERROR(INDEX(Setup!$G$33:$G$40,MATCH(C933,Setup!$B$33:$B$40,0)),0)=1)*(COUNTIF(C908:E925,$B933)+COUNTIF(C908:E925,$B933&amp;" ~*")&gt;0)+(IFERROR(INDEX(Setup!$G$33:$G$40,MATCH(G933,Setup!$B$33:$B$40,0)),0)=1)*(COUNTIF(G908:I925,$B933)+COUNTIF(G908:I925,$B933&amp;" ~*")&gt;0)+(IFERROR(INDEX(Setup!$G$33:$G$40,MATCH(K933,Setup!$B$33:$B$40,0)),0)=1)*(COUNTIF(K908:M925,$B933)+COUNTIF(K908:M925,$B933&amp;" ~*")&gt;0)+(IFERROR(INDEX(Setup!$G$33:$G$40,MATCH(O933,Setup!$B$33:$B$40,0)),0)=1)*(COUNTIF(O908:Q925,$B933)+COUNTIF(O908:Q925,$B933&amp;" ~*")&gt;0)+(IFERROR(INDEX(Setup!$G$33:$G$40,MATCH(S933,Setup!$B$33:$B$40,0)),0)=1)*(COUNTIF(S908:U925,$B933)+COUNTIF(S908:U925,$B933&amp;" ~*")&gt;0)+(IFERROR(INDEX(Setup!$G$33:$G$40,MATCH(W933,Setup!$B$33:$B$40,0)),0)=1)*(COUNTIF(W908:W925,$B933)+COUNTIF(W908:W925,$B933&amp;" ~*")&gt;0)+(IFERROR(INDEX(Setup!$G$33:$G$40,MATCH(Y933,Setup!$B$33:$B$40,0)),0)=1)*(COUNTIF(Y908:Y925,$B933)+COUNTIF(Y908:Y925,$B933&amp;" ~*")&gt;0))</f>
        <v/>
      </c>
    </row>
    <row r="934" ht="15" customHeight="1">
      <c r="A934" t="n">
        <v>19</v>
      </c>
      <c r="B934" s="37">
        <f>IF(Setup!$B$13="","",Setup!$B$13)</f>
        <v/>
      </c>
      <c r="C934" s="102" t="n"/>
      <c r="D934" s="103" t="n"/>
      <c r="E934" s="103" t="n"/>
      <c r="F934" s="104" t="n"/>
      <c r="G934" s="102" t="n"/>
      <c r="H934" s="103" t="n"/>
      <c r="I934" s="103" t="n"/>
      <c r="J934" s="104" t="n"/>
      <c r="K934" s="102" t="n"/>
      <c r="L934" s="103" t="n"/>
      <c r="M934" s="103" t="n"/>
      <c r="N934" s="104" t="n"/>
      <c r="O934" s="102" t="n"/>
      <c r="P934" s="103" t="n"/>
      <c r="Q934" s="103" t="n"/>
      <c r="R934" s="104" t="n"/>
      <c r="S934" s="102" t="n"/>
      <c r="T934" s="103" t="n"/>
      <c r="U934" s="103" t="n"/>
      <c r="V934" s="104" t="n"/>
      <c r="W934" s="102" t="n"/>
      <c r="X934" s="104" t="n"/>
      <c r="Y934" s="102" t="n"/>
      <c r="Z934" s="104" t="n"/>
      <c r="AB934" s="105">
        <f>IF($B934="","",(COUNTIF(C908:E925,$B934)+COUNTIF(C908:E925,$B934&amp;" ~*")&gt;0)+(COUNTIF(G908:I925,$B934)+COUNTIF(G908:I925,$B934&amp;" ~*")&gt;0)+(COUNTIF(K908:M925,$B934)+COUNTIF(K908:M925,$B934&amp;" ~*")&gt;0)+(COUNTIF(O908:Q925,$B934)+COUNTIF(O908:Q925,$B934&amp;" ~*")&gt;0)+(COUNTIF(S908:U925,$B934)+COUNTIF(S908:U925,$B934&amp;" ~*")&gt;0)+(COUNTIF(W908:W925,$B934)+COUNTIF(W908:W925,$B934&amp;" ~*")&gt;0)+(COUNTIF(Y908:Y925,$B934)+COUNTIF(Y908:Y925,$B934&amp;" ~*")&gt;0))</f>
        <v/>
      </c>
      <c r="AC934" s="38">
        <f>IF($B934="","",(IFERROR(INDEX(Setup!$G$33:$G$40,MATCH(C934,Setup!$B$33:$B$40,0)),0)=1)*(COUNTIF(C908:E925,$B934)+COUNTIF(C908:E925,$B934&amp;" ~*")&gt;0)+(IFERROR(INDEX(Setup!$G$33:$G$40,MATCH(G934,Setup!$B$33:$B$40,0)),0)=1)*(COUNTIF(G908:I925,$B934)+COUNTIF(G908:I925,$B934&amp;" ~*")&gt;0)+(IFERROR(INDEX(Setup!$G$33:$G$40,MATCH(K934,Setup!$B$33:$B$40,0)),0)=1)*(COUNTIF(K908:M925,$B934)+COUNTIF(K908:M925,$B934&amp;" ~*")&gt;0)+(IFERROR(INDEX(Setup!$G$33:$G$40,MATCH(O934,Setup!$B$33:$B$40,0)),0)=1)*(COUNTIF(O908:Q925,$B934)+COUNTIF(O908:Q925,$B934&amp;" ~*")&gt;0)+(IFERROR(INDEX(Setup!$G$33:$G$40,MATCH(S934,Setup!$B$33:$B$40,0)),0)=1)*(COUNTIF(S908:U925,$B934)+COUNTIF(S908:U925,$B934&amp;" ~*")&gt;0)+(IFERROR(INDEX(Setup!$G$33:$G$40,MATCH(W934,Setup!$B$33:$B$40,0)),0)=1)*(COUNTIF(W908:W925,$B934)+COUNTIF(W908:W925,$B934&amp;" ~*")&gt;0)+(IFERROR(INDEX(Setup!$G$33:$G$40,MATCH(Y934,Setup!$B$33:$B$40,0)),0)=1)*(COUNTIF(Y908:Y925,$B934)+COUNTIF(Y908:Y925,$B934&amp;" ~*")&gt;0))</f>
        <v/>
      </c>
    </row>
    <row r="935" ht="15" customHeight="1">
      <c r="A935" t="n">
        <v>19</v>
      </c>
      <c r="B935" s="35">
        <f>IF(Setup!$B$14="","",Setup!$B$14)</f>
        <v/>
      </c>
      <c r="C935" s="98" t="n"/>
      <c r="D935" s="99" t="n"/>
      <c r="E935" s="99" t="n"/>
      <c r="F935" s="100" t="n"/>
      <c r="G935" s="98" t="n"/>
      <c r="H935" s="99" t="n"/>
      <c r="I935" s="99" t="n"/>
      <c r="J935" s="100" t="n"/>
      <c r="K935" s="98" t="n"/>
      <c r="L935" s="99" t="n"/>
      <c r="M935" s="99" t="n"/>
      <c r="N935" s="100" t="n"/>
      <c r="O935" s="98" t="n"/>
      <c r="P935" s="99" t="n"/>
      <c r="Q935" s="99" t="n"/>
      <c r="R935" s="100" t="n"/>
      <c r="S935" s="98" t="n"/>
      <c r="T935" s="99" t="n"/>
      <c r="U935" s="99" t="n"/>
      <c r="V935" s="100" t="n"/>
      <c r="W935" s="98" t="n"/>
      <c r="X935" s="100" t="n"/>
      <c r="Y935" s="98" t="n"/>
      <c r="Z935" s="100" t="n"/>
      <c r="AB935" s="101">
        <f>IF($B935="","",(COUNTIF(C908:E925,$B935)+COUNTIF(C908:E925,$B935&amp;" ~*")&gt;0)+(COUNTIF(G908:I925,$B935)+COUNTIF(G908:I925,$B935&amp;" ~*")&gt;0)+(COUNTIF(K908:M925,$B935)+COUNTIF(K908:M925,$B935&amp;" ~*")&gt;0)+(COUNTIF(O908:Q925,$B935)+COUNTIF(O908:Q925,$B935&amp;" ~*")&gt;0)+(COUNTIF(S908:U925,$B935)+COUNTIF(S908:U925,$B935&amp;" ~*")&gt;0)+(COUNTIF(W908:W925,$B935)+COUNTIF(W908:W925,$B935&amp;" ~*")&gt;0)+(COUNTIF(Y908:Y925,$B935)+COUNTIF(Y908:Y925,$B935&amp;" ~*")&gt;0))</f>
        <v/>
      </c>
      <c r="AC935" s="36">
        <f>IF($B935="","",(IFERROR(INDEX(Setup!$G$33:$G$40,MATCH(C935,Setup!$B$33:$B$40,0)),0)=1)*(COUNTIF(C908:E925,$B935)+COUNTIF(C908:E925,$B935&amp;" ~*")&gt;0)+(IFERROR(INDEX(Setup!$G$33:$G$40,MATCH(G935,Setup!$B$33:$B$40,0)),0)=1)*(COUNTIF(G908:I925,$B935)+COUNTIF(G908:I925,$B935&amp;" ~*")&gt;0)+(IFERROR(INDEX(Setup!$G$33:$G$40,MATCH(K935,Setup!$B$33:$B$40,0)),0)=1)*(COUNTIF(K908:M925,$B935)+COUNTIF(K908:M925,$B935&amp;" ~*")&gt;0)+(IFERROR(INDEX(Setup!$G$33:$G$40,MATCH(O935,Setup!$B$33:$B$40,0)),0)=1)*(COUNTIF(O908:Q925,$B935)+COUNTIF(O908:Q925,$B935&amp;" ~*")&gt;0)+(IFERROR(INDEX(Setup!$G$33:$G$40,MATCH(S935,Setup!$B$33:$B$40,0)),0)=1)*(COUNTIF(S908:U925,$B935)+COUNTIF(S908:U925,$B935&amp;" ~*")&gt;0)+(IFERROR(INDEX(Setup!$G$33:$G$40,MATCH(W935,Setup!$B$33:$B$40,0)),0)=1)*(COUNTIF(W908:W925,$B935)+COUNTIF(W908:W925,$B935&amp;" ~*")&gt;0)+(IFERROR(INDEX(Setup!$G$33:$G$40,MATCH(Y935,Setup!$B$33:$B$40,0)),0)=1)*(COUNTIF(Y908:Y925,$B935)+COUNTIF(Y908:Y925,$B935&amp;" ~*")&gt;0))</f>
        <v/>
      </c>
    </row>
    <row r="936" ht="15" customHeight="1">
      <c r="A936" t="n">
        <v>19</v>
      </c>
      <c r="B936" s="37">
        <f>IF(Setup!$B$15="","",Setup!$B$15)</f>
        <v/>
      </c>
      <c r="C936" s="102" t="n"/>
      <c r="D936" s="103" t="n"/>
      <c r="E936" s="103" t="n"/>
      <c r="F936" s="104" t="n"/>
      <c r="G936" s="102" t="n"/>
      <c r="H936" s="103" t="n"/>
      <c r="I936" s="103" t="n"/>
      <c r="J936" s="104" t="n"/>
      <c r="K936" s="102" t="n"/>
      <c r="L936" s="103" t="n"/>
      <c r="M936" s="103" t="n"/>
      <c r="N936" s="104" t="n"/>
      <c r="O936" s="102" t="n"/>
      <c r="P936" s="103" t="n"/>
      <c r="Q936" s="103" t="n"/>
      <c r="R936" s="104" t="n"/>
      <c r="S936" s="102" t="n"/>
      <c r="T936" s="103" t="n"/>
      <c r="U936" s="103" t="n"/>
      <c r="V936" s="104" t="n"/>
      <c r="W936" s="102" t="n"/>
      <c r="X936" s="104" t="n"/>
      <c r="Y936" s="102" t="n"/>
      <c r="Z936" s="104" t="n"/>
      <c r="AB936" s="105">
        <f>IF($B936="","",(COUNTIF(C908:E925,$B936)+COUNTIF(C908:E925,$B936&amp;" ~*")&gt;0)+(COUNTIF(G908:I925,$B936)+COUNTIF(G908:I925,$B936&amp;" ~*")&gt;0)+(COUNTIF(K908:M925,$B936)+COUNTIF(K908:M925,$B936&amp;" ~*")&gt;0)+(COUNTIF(O908:Q925,$B936)+COUNTIF(O908:Q925,$B936&amp;" ~*")&gt;0)+(COUNTIF(S908:U925,$B936)+COUNTIF(S908:U925,$B936&amp;" ~*")&gt;0)+(COUNTIF(W908:W925,$B936)+COUNTIF(W908:W925,$B936&amp;" ~*")&gt;0)+(COUNTIF(Y908:Y925,$B936)+COUNTIF(Y908:Y925,$B936&amp;" ~*")&gt;0))</f>
        <v/>
      </c>
      <c r="AC936" s="38">
        <f>IF($B936="","",(IFERROR(INDEX(Setup!$G$33:$G$40,MATCH(C936,Setup!$B$33:$B$40,0)),0)=1)*(COUNTIF(C908:E925,$B936)+COUNTIF(C908:E925,$B936&amp;" ~*")&gt;0)+(IFERROR(INDEX(Setup!$G$33:$G$40,MATCH(G936,Setup!$B$33:$B$40,0)),0)=1)*(COUNTIF(G908:I925,$B936)+COUNTIF(G908:I925,$B936&amp;" ~*")&gt;0)+(IFERROR(INDEX(Setup!$G$33:$G$40,MATCH(K936,Setup!$B$33:$B$40,0)),0)=1)*(COUNTIF(K908:M925,$B936)+COUNTIF(K908:M925,$B936&amp;" ~*")&gt;0)+(IFERROR(INDEX(Setup!$G$33:$G$40,MATCH(O936,Setup!$B$33:$B$40,0)),0)=1)*(COUNTIF(O908:Q925,$B936)+COUNTIF(O908:Q925,$B936&amp;" ~*")&gt;0)+(IFERROR(INDEX(Setup!$G$33:$G$40,MATCH(S936,Setup!$B$33:$B$40,0)),0)=1)*(COUNTIF(S908:U925,$B936)+COUNTIF(S908:U925,$B936&amp;" ~*")&gt;0)+(IFERROR(INDEX(Setup!$G$33:$G$40,MATCH(W936,Setup!$B$33:$B$40,0)),0)=1)*(COUNTIF(W908:W925,$B936)+COUNTIF(W908:W925,$B936&amp;" ~*")&gt;0)+(IFERROR(INDEX(Setup!$G$33:$G$40,MATCH(Y936,Setup!$B$33:$B$40,0)),0)=1)*(COUNTIF(Y908:Y925,$B936)+COUNTIF(Y908:Y925,$B936&amp;" ~*")&gt;0))</f>
        <v/>
      </c>
    </row>
    <row r="937" ht="15" customHeight="1">
      <c r="A937" t="n">
        <v>19</v>
      </c>
      <c r="B937" s="35">
        <f>IF(Setup!$B$16="","",Setup!$B$16)</f>
        <v/>
      </c>
      <c r="C937" s="98" t="n"/>
      <c r="D937" s="99" t="n"/>
      <c r="E937" s="99" t="n"/>
      <c r="F937" s="100" t="n"/>
      <c r="G937" s="98" t="n"/>
      <c r="H937" s="99" t="n"/>
      <c r="I937" s="99" t="n"/>
      <c r="J937" s="100" t="n"/>
      <c r="K937" s="98" t="n"/>
      <c r="L937" s="99" t="n"/>
      <c r="M937" s="99" t="n"/>
      <c r="N937" s="100" t="n"/>
      <c r="O937" s="98" t="n"/>
      <c r="P937" s="99" t="n"/>
      <c r="Q937" s="99" t="n"/>
      <c r="R937" s="100" t="n"/>
      <c r="S937" s="98" t="n"/>
      <c r="T937" s="99" t="n"/>
      <c r="U937" s="99" t="n"/>
      <c r="V937" s="100" t="n"/>
      <c r="W937" s="98" t="n"/>
      <c r="X937" s="100" t="n"/>
      <c r="Y937" s="98" t="n"/>
      <c r="Z937" s="100" t="n"/>
      <c r="AB937" s="101">
        <f>IF($B937="","",(COUNTIF(C908:E925,$B937)+COUNTIF(C908:E925,$B937&amp;" ~*")&gt;0)+(COUNTIF(G908:I925,$B937)+COUNTIF(G908:I925,$B937&amp;" ~*")&gt;0)+(COUNTIF(K908:M925,$B937)+COUNTIF(K908:M925,$B937&amp;" ~*")&gt;0)+(COUNTIF(O908:Q925,$B937)+COUNTIF(O908:Q925,$B937&amp;" ~*")&gt;0)+(COUNTIF(S908:U925,$B937)+COUNTIF(S908:U925,$B937&amp;" ~*")&gt;0)+(COUNTIF(W908:W925,$B937)+COUNTIF(W908:W925,$B937&amp;" ~*")&gt;0)+(COUNTIF(Y908:Y925,$B937)+COUNTIF(Y908:Y925,$B937&amp;" ~*")&gt;0))</f>
        <v/>
      </c>
      <c r="AC937" s="36">
        <f>IF($B937="","",(IFERROR(INDEX(Setup!$G$33:$G$40,MATCH(C937,Setup!$B$33:$B$40,0)),0)=1)*(COUNTIF(C908:E925,$B937)+COUNTIF(C908:E925,$B937&amp;" ~*")&gt;0)+(IFERROR(INDEX(Setup!$G$33:$G$40,MATCH(G937,Setup!$B$33:$B$40,0)),0)=1)*(COUNTIF(G908:I925,$B937)+COUNTIF(G908:I925,$B937&amp;" ~*")&gt;0)+(IFERROR(INDEX(Setup!$G$33:$G$40,MATCH(K937,Setup!$B$33:$B$40,0)),0)=1)*(COUNTIF(K908:M925,$B937)+COUNTIF(K908:M925,$B937&amp;" ~*")&gt;0)+(IFERROR(INDEX(Setup!$G$33:$G$40,MATCH(O937,Setup!$B$33:$B$40,0)),0)=1)*(COUNTIF(O908:Q925,$B937)+COUNTIF(O908:Q925,$B937&amp;" ~*")&gt;0)+(IFERROR(INDEX(Setup!$G$33:$G$40,MATCH(S937,Setup!$B$33:$B$40,0)),0)=1)*(COUNTIF(S908:U925,$B937)+COUNTIF(S908:U925,$B937&amp;" ~*")&gt;0)+(IFERROR(INDEX(Setup!$G$33:$G$40,MATCH(W937,Setup!$B$33:$B$40,0)),0)=1)*(COUNTIF(W908:W925,$B937)+COUNTIF(W908:W925,$B937&amp;" ~*")&gt;0)+(IFERROR(INDEX(Setup!$G$33:$G$40,MATCH(Y937,Setup!$B$33:$B$40,0)),0)=1)*(COUNTIF(Y908:Y925,$B937)+COUNTIF(Y908:Y925,$B937&amp;" ~*")&gt;0))</f>
        <v/>
      </c>
    </row>
    <row r="938" ht="15" customHeight="1">
      <c r="A938" t="n">
        <v>19</v>
      </c>
      <c r="B938" s="37">
        <f>IF(Setup!$B$17="","",Setup!$B$17)</f>
        <v/>
      </c>
      <c r="C938" s="102" t="n"/>
      <c r="D938" s="103" t="n"/>
      <c r="E938" s="103" t="n"/>
      <c r="F938" s="104" t="n"/>
      <c r="G938" s="102" t="n"/>
      <c r="H938" s="103" t="n"/>
      <c r="I938" s="103" t="n"/>
      <c r="J938" s="104" t="n"/>
      <c r="K938" s="102" t="n"/>
      <c r="L938" s="103" t="n"/>
      <c r="M938" s="103" t="n"/>
      <c r="N938" s="104" t="n"/>
      <c r="O938" s="102" t="n"/>
      <c r="P938" s="103" t="n"/>
      <c r="Q938" s="103" t="n"/>
      <c r="R938" s="104" t="n"/>
      <c r="S938" s="102" t="n"/>
      <c r="T938" s="103" t="n"/>
      <c r="U938" s="103" t="n"/>
      <c r="V938" s="104" t="n"/>
      <c r="W938" s="102" t="n"/>
      <c r="X938" s="104" t="n"/>
      <c r="Y938" s="102" t="n"/>
      <c r="Z938" s="104" t="n"/>
      <c r="AB938" s="105">
        <f>IF($B938="","",(COUNTIF(C908:E925,$B938)+COUNTIF(C908:E925,$B938&amp;" ~*")&gt;0)+(COUNTIF(G908:I925,$B938)+COUNTIF(G908:I925,$B938&amp;" ~*")&gt;0)+(COUNTIF(K908:M925,$B938)+COUNTIF(K908:M925,$B938&amp;" ~*")&gt;0)+(COUNTIF(O908:Q925,$B938)+COUNTIF(O908:Q925,$B938&amp;" ~*")&gt;0)+(COUNTIF(S908:U925,$B938)+COUNTIF(S908:U925,$B938&amp;" ~*")&gt;0)+(COUNTIF(W908:W925,$B938)+COUNTIF(W908:W925,$B938&amp;" ~*")&gt;0)+(COUNTIF(Y908:Y925,$B938)+COUNTIF(Y908:Y925,$B938&amp;" ~*")&gt;0))</f>
        <v/>
      </c>
      <c r="AC938" s="38">
        <f>IF($B938="","",(IFERROR(INDEX(Setup!$G$33:$G$40,MATCH(C938,Setup!$B$33:$B$40,0)),0)=1)*(COUNTIF(C908:E925,$B938)+COUNTIF(C908:E925,$B938&amp;" ~*")&gt;0)+(IFERROR(INDEX(Setup!$G$33:$G$40,MATCH(G938,Setup!$B$33:$B$40,0)),0)=1)*(COUNTIF(G908:I925,$B938)+COUNTIF(G908:I925,$B938&amp;" ~*")&gt;0)+(IFERROR(INDEX(Setup!$G$33:$G$40,MATCH(K938,Setup!$B$33:$B$40,0)),0)=1)*(COUNTIF(K908:M925,$B938)+COUNTIF(K908:M925,$B938&amp;" ~*")&gt;0)+(IFERROR(INDEX(Setup!$G$33:$G$40,MATCH(O938,Setup!$B$33:$B$40,0)),0)=1)*(COUNTIF(O908:Q925,$B938)+COUNTIF(O908:Q925,$B938&amp;" ~*")&gt;0)+(IFERROR(INDEX(Setup!$G$33:$G$40,MATCH(S938,Setup!$B$33:$B$40,0)),0)=1)*(COUNTIF(S908:U925,$B938)+COUNTIF(S908:U925,$B938&amp;" ~*")&gt;0)+(IFERROR(INDEX(Setup!$G$33:$G$40,MATCH(W938,Setup!$B$33:$B$40,0)),0)=1)*(COUNTIF(W908:W925,$B938)+COUNTIF(W908:W925,$B938&amp;" ~*")&gt;0)+(IFERROR(INDEX(Setup!$G$33:$G$40,MATCH(Y938,Setup!$B$33:$B$40,0)),0)=1)*(COUNTIF(Y908:Y925,$B938)+COUNTIF(Y908:Y925,$B938&amp;" ~*")&gt;0))</f>
        <v/>
      </c>
    </row>
    <row r="939" ht="15" customHeight="1">
      <c r="A939" t="n">
        <v>19</v>
      </c>
      <c r="B939" s="35">
        <f>IF(Setup!$B$18="","",Setup!$B$18)</f>
        <v/>
      </c>
      <c r="C939" s="98" t="n"/>
      <c r="D939" s="99" t="n"/>
      <c r="E939" s="99" t="n"/>
      <c r="F939" s="100" t="n"/>
      <c r="G939" s="98" t="n"/>
      <c r="H939" s="99" t="n"/>
      <c r="I939" s="99" t="n"/>
      <c r="J939" s="100" t="n"/>
      <c r="K939" s="98" t="n"/>
      <c r="L939" s="99" t="n"/>
      <c r="M939" s="99" t="n"/>
      <c r="N939" s="100" t="n"/>
      <c r="O939" s="98" t="n"/>
      <c r="P939" s="99" t="n"/>
      <c r="Q939" s="99" t="n"/>
      <c r="R939" s="100" t="n"/>
      <c r="S939" s="98" t="n"/>
      <c r="T939" s="99" t="n"/>
      <c r="U939" s="99" t="n"/>
      <c r="V939" s="100" t="n"/>
      <c r="W939" s="98" t="n"/>
      <c r="X939" s="100" t="n"/>
      <c r="Y939" s="98" t="n"/>
      <c r="Z939" s="100" t="n"/>
      <c r="AB939" s="101">
        <f>IF($B939="","",(COUNTIF(C908:E925,$B939)+COUNTIF(C908:E925,$B939&amp;" ~*")&gt;0)+(COUNTIF(G908:I925,$B939)+COUNTIF(G908:I925,$B939&amp;" ~*")&gt;0)+(COUNTIF(K908:M925,$B939)+COUNTIF(K908:M925,$B939&amp;" ~*")&gt;0)+(COUNTIF(O908:Q925,$B939)+COUNTIF(O908:Q925,$B939&amp;" ~*")&gt;0)+(COUNTIF(S908:U925,$B939)+COUNTIF(S908:U925,$B939&amp;" ~*")&gt;0)+(COUNTIF(W908:W925,$B939)+COUNTIF(W908:W925,$B939&amp;" ~*")&gt;0)+(COUNTIF(Y908:Y925,$B939)+COUNTIF(Y908:Y925,$B939&amp;" ~*")&gt;0))</f>
        <v/>
      </c>
      <c r="AC939" s="36">
        <f>IF($B939="","",(IFERROR(INDEX(Setup!$G$33:$G$40,MATCH(C939,Setup!$B$33:$B$40,0)),0)=1)*(COUNTIF(C908:E925,$B939)+COUNTIF(C908:E925,$B939&amp;" ~*")&gt;0)+(IFERROR(INDEX(Setup!$G$33:$G$40,MATCH(G939,Setup!$B$33:$B$40,0)),0)=1)*(COUNTIF(G908:I925,$B939)+COUNTIF(G908:I925,$B939&amp;" ~*")&gt;0)+(IFERROR(INDEX(Setup!$G$33:$G$40,MATCH(K939,Setup!$B$33:$B$40,0)),0)=1)*(COUNTIF(K908:M925,$B939)+COUNTIF(K908:M925,$B939&amp;" ~*")&gt;0)+(IFERROR(INDEX(Setup!$G$33:$G$40,MATCH(O939,Setup!$B$33:$B$40,0)),0)=1)*(COUNTIF(O908:Q925,$B939)+COUNTIF(O908:Q925,$B939&amp;" ~*")&gt;0)+(IFERROR(INDEX(Setup!$G$33:$G$40,MATCH(S939,Setup!$B$33:$B$40,0)),0)=1)*(COUNTIF(S908:U925,$B939)+COUNTIF(S908:U925,$B939&amp;" ~*")&gt;0)+(IFERROR(INDEX(Setup!$G$33:$G$40,MATCH(W939,Setup!$B$33:$B$40,0)),0)=1)*(COUNTIF(W908:W925,$B939)+COUNTIF(W908:W925,$B939&amp;" ~*")&gt;0)+(IFERROR(INDEX(Setup!$G$33:$G$40,MATCH(Y939,Setup!$B$33:$B$40,0)),0)=1)*(COUNTIF(Y908:Y925,$B939)+COUNTIF(Y908:Y925,$B939&amp;" ~*")&gt;0))</f>
        <v/>
      </c>
    </row>
    <row r="940" ht="15" customHeight="1">
      <c r="A940" t="n">
        <v>19</v>
      </c>
      <c r="B940" s="37">
        <f>IF(Setup!$B$19="","",Setup!$B$19)</f>
        <v/>
      </c>
      <c r="C940" s="102" t="n"/>
      <c r="D940" s="103" t="n"/>
      <c r="E940" s="103" t="n"/>
      <c r="F940" s="104" t="n"/>
      <c r="G940" s="102" t="n"/>
      <c r="H940" s="103" t="n"/>
      <c r="I940" s="103" t="n"/>
      <c r="J940" s="104" t="n"/>
      <c r="K940" s="102" t="n"/>
      <c r="L940" s="103" t="n"/>
      <c r="M940" s="103" t="n"/>
      <c r="N940" s="104" t="n"/>
      <c r="O940" s="102" t="n"/>
      <c r="P940" s="103" t="n"/>
      <c r="Q940" s="103" t="n"/>
      <c r="R940" s="104" t="n"/>
      <c r="S940" s="102" t="n"/>
      <c r="T940" s="103" t="n"/>
      <c r="U940" s="103" t="n"/>
      <c r="V940" s="104" t="n"/>
      <c r="W940" s="102" t="n"/>
      <c r="X940" s="104" t="n"/>
      <c r="Y940" s="102" t="n"/>
      <c r="Z940" s="104" t="n"/>
      <c r="AB940" s="105">
        <f>IF($B940="","",(COUNTIF(C908:E925,$B940)+COUNTIF(C908:E925,$B940&amp;" ~*")&gt;0)+(COUNTIF(G908:I925,$B940)+COUNTIF(G908:I925,$B940&amp;" ~*")&gt;0)+(COUNTIF(K908:M925,$B940)+COUNTIF(K908:M925,$B940&amp;" ~*")&gt;0)+(COUNTIF(O908:Q925,$B940)+COUNTIF(O908:Q925,$B940&amp;" ~*")&gt;0)+(COUNTIF(S908:U925,$B940)+COUNTIF(S908:U925,$B940&amp;" ~*")&gt;0)+(COUNTIF(W908:W925,$B940)+COUNTIF(W908:W925,$B940&amp;" ~*")&gt;0)+(COUNTIF(Y908:Y925,$B940)+COUNTIF(Y908:Y925,$B940&amp;" ~*")&gt;0))</f>
        <v/>
      </c>
      <c r="AC940" s="38">
        <f>IF($B940="","",(IFERROR(INDEX(Setup!$G$33:$G$40,MATCH(C940,Setup!$B$33:$B$40,0)),0)=1)*(COUNTIF(C908:E925,$B940)+COUNTIF(C908:E925,$B940&amp;" ~*")&gt;0)+(IFERROR(INDEX(Setup!$G$33:$G$40,MATCH(G940,Setup!$B$33:$B$40,0)),0)=1)*(COUNTIF(G908:I925,$B940)+COUNTIF(G908:I925,$B940&amp;" ~*")&gt;0)+(IFERROR(INDEX(Setup!$G$33:$G$40,MATCH(K940,Setup!$B$33:$B$40,0)),0)=1)*(COUNTIF(K908:M925,$B940)+COUNTIF(K908:M925,$B940&amp;" ~*")&gt;0)+(IFERROR(INDEX(Setup!$G$33:$G$40,MATCH(O940,Setup!$B$33:$B$40,0)),0)=1)*(COUNTIF(O908:Q925,$B940)+COUNTIF(O908:Q925,$B940&amp;" ~*")&gt;0)+(IFERROR(INDEX(Setup!$G$33:$G$40,MATCH(S940,Setup!$B$33:$B$40,0)),0)=1)*(COUNTIF(S908:U925,$B940)+COUNTIF(S908:U925,$B940&amp;" ~*")&gt;0)+(IFERROR(INDEX(Setup!$G$33:$G$40,MATCH(W940,Setup!$B$33:$B$40,0)),0)=1)*(COUNTIF(W908:W925,$B940)+COUNTIF(W908:W925,$B940&amp;" ~*")&gt;0)+(IFERROR(INDEX(Setup!$G$33:$G$40,MATCH(Y940,Setup!$B$33:$B$40,0)),0)=1)*(COUNTIF(Y908:Y925,$B940)+COUNTIF(Y908:Y925,$B940&amp;" ~*")&gt;0))</f>
        <v/>
      </c>
    </row>
    <row r="941" ht="15" customHeight="1">
      <c r="A941" t="n">
        <v>19</v>
      </c>
      <c r="B941" s="35">
        <f>IF(Setup!$B$20="","",Setup!$B$20)</f>
        <v/>
      </c>
      <c r="C941" s="98" t="n"/>
      <c r="D941" s="99" t="n"/>
      <c r="E941" s="99" t="n"/>
      <c r="F941" s="100" t="n"/>
      <c r="G941" s="98" t="n"/>
      <c r="H941" s="99" t="n"/>
      <c r="I941" s="99" t="n"/>
      <c r="J941" s="100" t="n"/>
      <c r="K941" s="98" t="n"/>
      <c r="L941" s="99" t="n"/>
      <c r="M941" s="99" t="n"/>
      <c r="N941" s="100" t="n"/>
      <c r="O941" s="98" t="n"/>
      <c r="P941" s="99" t="n"/>
      <c r="Q941" s="99" t="n"/>
      <c r="R941" s="100" t="n"/>
      <c r="S941" s="98" t="n"/>
      <c r="T941" s="99" t="n"/>
      <c r="U941" s="99" t="n"/>
      <c r="V941" s="100" t="n"/>
      <c r="W941" s="98" t="n"/>
      <c r="X941" s="100" t="n"/>
      <c r="Y941" s="98" t="n"/>
      <c r="Z941" s="100" t="n"/>
      <c r="AB941" s="101">
        <f>IF($B941="","",(COUNTIF(C908:E925,$B941)+COUNTIF(C908:E925,$B941&amp;" ~*")&gt;0)+(COUNTIF(G908:I925,$B941)+COUNTIF(G908:I925,$B941&amp;" ~*")&gt;0)+(COUNTIF(K908:M925,$B941)+COUNTIF(K908:M925,$B941&amp;" ~*")&gt;0)+(COUNTIF(O908:Q925,$B941)+COUNTIF(O908:Q925,$B941&amp;" ~*")&gt;0)+(COUNTIF(S908:U925,$B941)+COUNTIF(S908:U925,$B941&amp;" ~*")&gt;0)+(COUNTIF(W908:W925,$B941)+COUNTIF(W908:W925,$B941&amp;" ~*")&gt;0)+(COUNTIF(Y908:Y925,$B941)+COUNTIF(Y908:Y925,$B941&amp;" ~*")&gt;0))</f>
        <v/>
      </c>
      <c r="AC941" s="36">
        <f>IF($B941="","",(IFERROR(INDEX(Setup!$G$33:$G$40,MATCH(C941,Setup!$B$33:$B$40,0)),0)=1)*(COUNTIF(C908:E925,$B941)+COUNTIF(C908:E925,$B941&amp;" ~*")&gt;0)+(IFERROR(INDEX(Setup!$G$33:$G$40,MATCH(G941,Setup!$B$33:$B$40,0)),0)=1)*(COUNTIF(G908:I925,$B941)+COUNTIF(G908:I925,$B941&amp;" ~*")&gt;0)+(IFERROR(INDEX(Setup!$G$33:$G$40,MATCH(K941,Setup!$B$33:$B$40,0)),0)=1)*(COUNTIF(K908:M925,$B941)+COUNTIF(K908:M925,$B941&amp;" ~*")&gt;0)+(IFERROR(INDEX(Setup!$G$33:$G$40,MATCH(O941,Setup!$B$33:$B$40,0)),0)=1)*(COUNTIF(O908:Q925,$B941)+COUNTIF(O908:Q925,$B941&amp;" ~*")&gt;0)+(IFERROR(INDEX(Setup!$G$33:$G$40,MATCH(S941,Setup!$B$33:$B$40,0)),0)=1)*(COUNTIF(S908:U925,$B941)+COUNTIF(S908:U925,$B941&amp;" ~*")&gt;0)+(IFERROR(INDEX(Setup!$G$33:$G$40,MATCH(W941,Setup!$B$33:$B$40,0)),0)=1)*(COUNTIF(W908:W925,$B941)+COUNTIF(W908:W925,$B941&amp;" ~*")&gt;0)+(IFERROR(INDEX(Setup!$G$33:$G$40,MATCH(Y941,Setup!$B$33:$B$40,0)),0)=1)*(COUNTIF(Y908:Y925,$B941)+COUNTIF(Y908:Y925,$B941&amp;" ~*")&gt;0))</f>
        <v/>
      </c>
    </row>
    <row r="942" ht="15" customHeight="1">
      <c r="A942" t="n">
        <v>19</v>
      </c>
      <c r="B942" s="37">
        <f>IF(Setup!$B$21="","",Setup!$B$21)</f>
        <v/>
      </c>
      <c r="C942" s="102" t="n"/>
      <c r="D942" s="103" t="n"/>
      <c r="E942" s="103" t="n"/>
      <c r="F942" s="104" t="n"/>
      <c r="G942" s="102" t="n"/>
      <c r="H942" s="103" t="n"/>
      <c r="I942" s="103" t="n"/>
      <c r="J942" s="104" t="n"/>
      <c r="K942" s="102" t="n"/>
      <c r="L942" s="103" t="n"/>
      <c r="M942" s="103" t="n"/>
      <c r="N942" s="104" t="n"/>
      <c r="O942" s="102" t="n"/>
      <c r="P942" s="103" t="n"/>
      <c r="Q942" s="103" t="n"/>
      <c r="R942" s="104" t="n"/>
      <c r="S942" s="102" t="n"/>
      <c r="T942" s="103" t="n"/>
      <c r="U942" s="103" t="n"/>
      <c r="V942" s="104" t="n"/>
      <c r="W942" s="102" t="n"/>
      <c r="X942" s="104" t="n"/>
      <c r="Y942" s="102" t="n"/>
      <c r="Z942" s="104" t="n"/>
      <c r="AB942" s="105">
        <f>IF($B942="","",(COUNTIF(C908:E925,$B942)+COUNTIF(C908:E925,$B942&amp;" ~*")&gt;0)+(COUNTIF(G908:I925,$B942)+COUNTIF(G908:I925,$B942&amp;" ~*")&gt;0)+(COUNTIF(K908:M925,$B942)+COUNTIF(K908:M925,$B942&amp;" ~*")&gt;0)+(COUNTIF(O908:Q925,$B942)+COUNTIF(O908:Q925,$B942&amp;" ~*")&gt;0)+(COUNTIF(S908:U925,$B942)+COUNTIF(S908:U925,$B942&amp;" ~*")&gt;0)+(COUNTIF(W908:W925,$B942)+COUNTIF(W908:W925,$B942&amp;" ~*")&gt;0)+(COUNTIF(Y908:Y925,$B942)+COUNTIF(Y908:Y925,$B942&amp;" ~*")&gt;0))</f>
        <v/>
      </c>
      <c r="AC942" s="38">
        <f>IF($B942="","",(IFERROR(INDEX(Setup!$G$33:$G$40,MATCH(C942,Setup!$B$33:$B$40,0)),0)=1)*(COUNTIF(C908:E925,$B942)+COUNTIF(C908:E925,$B942&amp;" ~*")&gt;0)+(IFERROR(INDEX(Setup!$G$33:$G$40,MATCH(G942,Setup!$B$33:$B$40,0)),0)=1)*(COUNTIF(G908:I925,$B942)+COUNTIF(G908:I925,$B942&amp;" ~*")&gt;0)+(IFERROR(INDEX(Setup!$G$33:$G$40,MATCH(K942,Setup!$B$33:$B$40,0)),0)=1)*(COUNTIF(K908:M925,$B942)+COUNTIF(K908:M925,$B942&amp;" ~*")&gt;0)+(IFERROR(INDEX(Setup!$G$33:$G$40,MATCH(O942,Setup!$B$33:$B$40,0)),0)=1)*(COUNTIF(O908:Q925,$B942)+COUNTIF(O908:Q925,$B942&amp;" ~*")&gt;0)+(IFERROR(INDEX(Setup!$G$33:$G$40,MATCH(S942,Setup!$B$33:$B$40,0)),0)=1)*(COUNTIF(S908:U925,$B942)+COUNTIF(S908:U925,$B942&amp;" ~*")&gt;0)+(IFERROR(INDEX(Setup!$G$33:$G$40,MATCH(W942,Setup!$B$33:$B$40,0)),0)=1)*(COUNTIF(W908:W925,$B942)+COUNTIF(W908:W925,$B942&amp;" ~*")&gt;0)+(IFERROR(INDEX(Setup!$G$33:$G$40,MATCH(Y942,Setup!$B$33:$B$40,0)),0)=1)*(COUNTIF(Y908:Y925,$B942)+COUNTIF(Y908:Y925,$B942&amp;" ~*")&gt;0))</f>
        <v/>
      </c>
    </row>
    <row r="943" ht="15" customHeight="1">
      <c r="A943" t="n">
        <v>19</v>
      </c>
      <c r="B943" s="35">
        <f>IF(Setup!$B$22="","",Setup!$B$22)</f>
        <v/>
      </c>
      <c r="C943" s="98" t="n"/>
      <c r="D943" s="99" t="n"/>
      <c r="E943" s="99" t="n"/>
      <c r="F943" s="100" t="n"/>
      <c r="G943" s="98" t="n"/>
      <c r="H943" s="99" t="n"/>
      <c r="I943" s="99" t="n"/>
      <c r="J943" s="100" t="n"/>
      <c r="K943" s="98" t="n"/>
      <c r="L943" s="99" t="n"/>
      <c r="M943" s="99" t="n"/>
      <c r="N943" s="100" t="n"/>
      <c r="O943" s="98" t="n"/>
      <c r="P943" s="99" t="n"/>
      <c r="Q943" s="99" t="n"/>
      <c r="R943" s="100" t="n"/>
      <c r="S943" s="98" t="n"/>
      <c r="T943" s="99" t="n"/>
      <c r="U943" s="99" t="n"/>
      <c r="V943" s="100" t="n"/>
      <c r="W943" s="98" t="n"/>
      <c r="X943" s="100" t="n"/>
      <c r="Y943" s="98" t="n"/>
      <c r="Z943" s="100" t="n"/>
      <c r="AB943" s="101">
        <f>IF($B943="","",(COUNTIF(C908:E925,$B943)+COUNTIF(C908:E925,$B943&amp;" ~*")&gt;0)+(COUNTIF(G908:I925,$B943)+COUNTIF(G908:I925,$B943&amp;" ~*")&gt;0)+(COUNTIF(K908:M925,$B943)+COUNTIF(K908:M925,$B943&amp;" ~*")&gt;0)+(COUNTIF(O908:Q925,$B943)+COUNTIF(O908:Q925,$B943&amp;" ~*")&gt;0)+(COUNTIF(S908:U925,$B943)+COUNTIF(S908:U925,$B943&amp;" ~*")&gt;0)+(COUNTIF(W908:W925,$B943)+COUNTIF(W908:W925,$B943&amp;" ~*")&gt;0)+(COUNTIF(Y908:Y925,$B943)+COUNTIF(Y908:Y925,$B943&amp;" ~*")&gt;0))</f>
        <v/>
      </c>
      <c r="AC943" s="36">
        <f>IF($B943="","",(IFERROR(INDEX(Setup!$G$33:$G$40,MATCH(C943,Setup!$B$33:$B$40,0)),0)=1)*(COUNTIF(C908:E925,$B943)+COUNTIF(C908:E925,$B943&amp;" ~*")&gt;0)+(IFERROR(INDEX(Setup!$G$33:$G$40,MATCH(G943,Setup!$B$33:$B$40,0)),0)=1)*(COUNTIF(G908:I925,$B943)+COUNTIF(G908:I925,$B943&amp;" ~*")&gt;0)+(IFERROR(INDEX(Setup!$G$33:$G$40,MATCH(K943,Setup!$B$33:$B$40,0)),0)=1)*(COUNTIF(K908:M925,$B943)+COUNTIF(K908:M925,$B943&amp;" ~*")&gt;0)+(IFERROR(INDEX(Setup!$G$33:$G$40,MATCH(O943,Setup!$B$33:$B$40,0)),0)=1)*(COUNTIF(O908:Q925,$B943)+COUNTIF(O908:Q925,$B943&amp;" ~*")&gt;0)+(IFERROR(INDEX(Setup!$G$33:$G$40,MATCH(S943,Setup!$B$33:$B$40,0)),0)=1)*(COUNTIF(S908:U925,$B943)+COUNTIF(S908:U925,$B943&amp;" ~*")&gt;0)+(IFERROR(INDEX(Setup!$G$33:$G$40,MATCH(W943,Setup!$B$33:$B$40,0)),0)=1)*(COUNTIF(W908:W925,$B943)+COUNTIF(W908:W925,$B943&amp;" ~*")&gt;0)+(IFERROR(INDEX(Setup!$G$33:$G$40,MATCH(Y943,Setup!$B$33:$B$40,0)),0)=1)*(COUNTIF(Y908:Y925,$B943)+COUNTIF(Y908:Y925,$B943&amp;" ~*")&gt;0))</f>
        <v/>
      </c>
    </row>
    <row r="944" ht="15" customHeight="1">
      <c r="A944" t="n">
        <v>19</v>
      </c>
      <c r="B944" s="37">
        <f>IF(Setup!$B$23="","",Setup!$B$23)</f>
        <v/>
      </c>
      <c r="C944" s="102" t="n"/>
      <c r="D944" s="103" t="n"/>
      <c r="E944" s="103" t="n"/>
      <c r="F944" s="104" t="n"/>
      <c r="G944" s="102" t="n"/>
      <c r="H944" s="103" t="n"/>
      <c r="I944" s="103" t="n"/>
      <c r="J944" s="104" t="n"/>
      <c r="K944" s="102" t="n"/>
      <c r="L944" s="103" t="n"/>
      <c r="M944" s="103" t="n"/>
      <c r="N944" s="104" t="n"/>
      <c r="O944" s="102" t="n"/>
      <c r="P944" s="103" t="n"/>
      <c r="Q944" s="103" t="n"/>
      <c r="R944" s="104" t="n"/>
      <c r="S944" s="102" t="n"/>
      <c r="T944" s="103" t="n"/>
      <c r="U944" s="103" t="n"/>
      <c r="V944" s="104" t="n"/>
      <c r="W944" s="102" t="n"/>
      <c r="X944" s="104" t="n"/>
      <c r="Y944" s="102" t="n"/>
      <c r="Z944" s="104" t="n"/>
      <c r="AB944" s="105">
        <f>IF($B944="","",(COUNTIF(C908:E925,$B944)+COUNTIF(C908:E925,$B944&amp;" ~*")&gt;0)+(COUNTIF(G908:I925,$B944)+COUNTIF(G908:I925,$B944&amp;" ~*")&gt;0)+(COUNTIF(K908:M925,$B944)+COUNTIF(K908:M925,$B944&amp;" ~*")&gt;0)+(COUNTIF(O908:Q925,$B944)+COUNTIF(O908:Q925,$B944&amp;" ~*")&gt;0)+(COUNTIF(S908:U925,$B944)+COUNTIF(S908:U925,$B944&amp;" ~*")&gt;0)+(COUNTIF(W908:W925,$B944)+COUNTIF(W908:W925,$B944&amp;" ~*")&gt;0)+(COUNTIF(Y908:Y925,$B944)+COUNTIF(Y908:Y925,$B944&amp;" ~*")&gt;0))</f>
        <v/>
      </c>
      <c r="AC944" s="38">
        <f>IF($B944="","",(IFERROR(INDEX(Setup!$G$33:$G$40,MATCH(C944,Setup!$B$33:$B$40,0)),0)=1)*(COUNTIF(C908:E925,$B944)+COUNTIF(C908:E925,$B944&amp;" ~*")&gt;0)+(IFERROR(INDEX(Setup!$G$33:$G$40,MATCH(G944,Setup!$B$33:$B$40,0)),0)=1)*(COUNTIF(G908:I925,$B944)+COUNTIF(G908:I925,$B944&amp;" ~*")&gt;0)+(IFERROR(INDEX(Setup!$G$33:$G$40,MATCH(K944,Setup!$B$33:$B$40,0)),0)=1)*(COUNTIF(K908:M925,$B944)+COUNTIF(K908:M925,$B944&amp;" ~*")&gt;0)+(IFERROR(INDEX(Setup!$G$33:$G$40,MATCH(O944,Setup!$B$33:$B$40,0)),0)=1)*(COUNTIF(O908:Q925,$B944)+COUNTIF(O908:Q925,$B944&amp;" ~*")&gt;0)+(IFERROR(INDEX(Setup!$G$33:$G$40,MATCH(S944,Setup!$B$33:$B$40,0)),0)=1)*(COUNTIF(S908:U925,$B944)+COUNTIF(S908:U925,$B944&amp;" ~*")&gt;0)+(IFERROR(INDEX(Setup!$G$33:$G$40,MATCH(W944,Setup!$B$33:$B$40,0)),0)=1)*(COUNTIF(W908:W925,$B944)+COUNTIF(W908:W925,$B944&amp;" ~*")&gt;0)+(IFERROR(INDEX(Setup!$G$33:$G$40,MATCH(Y944,Setup!$B$33:$B$40,0)),0)=1)*(COUNTIF(Y908:Y925,$B944)+COUNTIF(Y908:Y925,$B944&amp;" ~*")&gt;0))</f>
        <v/>
      </c>
    </row>
    <row r="945" ht="15" customHeight="1">
      <c r="A945" t="n">
        <v>19</v>
      </c>
      <c r="B945" s="35">
        <f>IF(Setup!$B$24="","",Setup!$B$24)</f>
        <v/>
      </c>
      <c r="C945" s="98" t="n"/>
      <c r="D945" s="99" t="n"/>
      <c r="E945" s="99" t="n"/>
      <c r="F945" s="100" t="n"/>
      <c r="G945" s="98" t="n"/>
      <c r="H945" s="99" t="n"/>
      <c r="I945" s="99" t="n"/>
      <c r="J945" s="100" t="n"/>
      <c r="K945" s="98" t="n"/>
      <c r="L945" s="99" t="n"/>
      <c r="M945" s="99" t="n"/>
      <c r="N945" s="100" t="n"/>
      <c r="O945" s="98" t="n"/>
      <c r="P945" s="99" t="n"/>
      <c r="Q945" s="99" t="n"/>
      <c r="R945" s="100" t="n"/>
      <c r="S945" s="98" t="n"/>
      <c r="T945" s="99" t="n"/>
      <c r="U945" s="99" t="n"/>
      <c r="V945" s="100" t="n"/>
      <c r="W945" s="98" t="n"/>
      <c r="X945" s="100" t="n"/>
      <c r="Y945" s="98" t="n"/>
      <c r="Z945" s="100" t="n"/>
      <c r="AB945" s="101">
        <f>IF($B945="","",(COUNTIF(C908:E925,$B945)+COUNTIF(C908:E925,$B945&amp;" ~*")&gt;0)+(COUNTIF(G908:I925,$B945)+COUNTIF(G908:I925,$B945&amp;" ~*")&gt;0)+(COUNTIF(K908:M925,$B945)+COUNTIF(K908:M925,$B945&amp;" ~*")&gt;0)+(COUNTIF(O908:Q925,$B945)+COUNTIF(O908:Q925,$B945&amp;" ~*")&gt;0)+(COUNTIF(S908:U925,$B945)+COUNTIF(S908:U925,$B945&amp;" ~*")&gt;0)+(COUNTIF(W908:W925,$B945)+COUNTIF(W908:W925,$B945&amp;" ~*")&gt;0)+(COUNTIF(Y908:Y925,$B945)+COUNTIF(Y908:Y925,$B945&amp;" ~*")&gt;0))</f>
        <v/>
      </c>
      <c r="AC945" s="36">
        <f>IF($B945="","",(IFERROR(INDEX(Setup!$G$33:$G$40,MATCH(C945,Setup!$B$33:$B$40,0)),0)=1)*(COUNTIF(C908:E925,$B945)+COUNTIF(C908:E925,$B945&amp;" ~*")&gt;0)+(IFERROR(INDEX(Setup!$G$33:$G$40,MATCH(G945,Setup!$B$33:$B$40,0)),0)=1)*(COUNTIF(G908:I925,$B945)+COUNTIF(G908:I925,$B945&amp;" ~*")&gt;0)+(IFERROR(INDEX(Setup!$G$33:$G$40,MATCH(K945,Setup!$B$33:$B$40,0)),0)=1)*(COUNTIF(K908:M925,$B945)+COUNTIF(K908:M925,$B945&amp;" ~*")&gt;0)+(IFERROR(INDEX(Setup!$G$33:$G$40,MATCH(O945,Setup!$B$33:$B$40,0)),0)=1)*(COUNTIF(O908:Q925,$B945)+COUNTIF(O908:Q925,$B945&amp;" ~*")&gt;0)+(IFERROR(INDEX(Setup!$G$33:$G$40,MATCH(S945,Setup!$B$33:$B$40,0)),0)=1)*(COUNTIF(S908:U925,$B945)+COUNTIF(S908:U925,$B945&amp;" ~*")&gt;0)+(IFERROR(INDEX(Setup!$G$33:$G$40,MATCH(W945,Setup!$B$33:$B$40,0)),0)=1)*(COUNTIF(W908:W925,$B945)+COUNTIF(W908:W925,$B945&amp;" ~*")&gt;0)+(IFERROR(INDEX(Setup!$G$33:$G$40,MATCH(Y945,Setup!$B$33:$B$40,0)),0)=1)*(COUNTIF(Y908:Y925,$B945)+COUNTIF(Y908:Y925,$B945&amp;" ~*")&gt;0))</f>
        <v/>
      </c>
    </row>
    <row r="946" ht="15" customHeight="1">
      <c r="A946" t="n">
        <v>19</v>
      </c>
      <c r="B946" s="37">
        <f>IF(Setup!$B$25="","",Setup!$B$25)</f>
        <v/>
      </c>
      <c r="C946" s="102" t="n"/>
      <c r="D946" s="103" t="n"/>
      <c r="E946" s="103" t="n"/>
      <c r="F946" s="104" t="n"/>
      <c r="G946" s="102" t="n"/>
      <c r="H946" s="103" t="n"/>
      <c r="I946" s="103" t="n"/>
      <c r="J946" s="104" t="n"/>
      <c r="K946" s="102" t="n"/>
      <c r="L946" s="103" t="n"/>
      <c r="M946" s="103" t="n"/>
      <c r="N946" s="104" t="n"/>
      <c r="O946" s="102" t="n"/>
      <c r="P946" s="103" t="n"/>
      <c r="Q946" s="103" t="n"/>
      <c r="R946" s="104" t="n"/>
      <c r="S946" s="102" t="n"/>
      <c r="T946" s="103" t="n"/>
      <c r="U946" s="103" t="n"/>
      <c r="V946" s="104" t="n"/>
      <c r="W946" s="102" t="n"/>
      <c r="X946" s="104" t="n"/>
      <c r="Y946" s="102" t="n"/>
      <c r="Z946" s="104" t="n"/>
      <c r="AB946" s="105">
        <f>IF($B946="","",(COUNTIF(C908:E925,$B946)+COUNTIF(C908:E925,$B946&amp;" ~*")&gt;0)+(COUNTIF(G908:I925,$B946)+COUNTIF(G908:I925,$B946&amp;" ~*")&gt;0)+(COUNTIF(K908:M925,$B946)+COUNTIF(K908:M925,$B946&amp;" ~*")&gt;0)+(COUNTIF(O908:Q925,$B946)+COUNTIF(O908:Q925,$B946&amp;" ~*")&gt;0)+(COUNTIF(S908:U925,$B946)+COUNTIF(S908:U925,$B946&amp;" ~*")&gt;0)+(COUNTIF(W908:W925,$B946)+COUNTIF(W908:W925,$B946&amp;" ~*")&gt;0)+(COUNTIF(Y908:Y925,$B946)+COUNTIF(Y908:Y925,$B946&amp;" ~*")&gt;0))</f>
        <v/>
      </c>
      <c r="AC946" s="38">
        <f>IF($B946="","",(IFERROR(INDEX(Setup!$G$33:$G$40,MATCH(C946,Setup!$B$33:$B$40,0)),0)=1)*(COUNTIF(C908:E925,$B946)+COUNTIF(C908:E925,$B946&amp;" ~*")&gt;0)+(IFERROR(INDEX(Setup!$G$33:$G$40,MATCH(G946,Setup!$B$33:$B$40,0)),0)=1)*(COUNTIF(G908:I925,$B946)+COUNTIF(G908:I925,$B946&amp;" ~*")&gt;0)+(IFERROR(INDEX(Setup!$G$33:$G$40,MATCH(K946,Setup!$B$33:$B$40,0)),0)=1)*(COUNTIF(K908:M925,$B946)+COUNTIF(K908:M925,$B946&amp;" ~*")&gt;0)+(IFERROR(INDEX(Setup!$G$33:$G$40,MATCH(O946,Setup!$B$33:$B$40,0)),0)=1)*(COUNTIF(O908:Q925,$B946)+COUNTIF(O908:Q925,$B946&amp;" ~*")&gt;0)+(IFERROR(INDEX(Setup!$G$33:$G$40,MATCH(S946,Setup!$B$33:$B$40,0)),0)=1)*(COUNTIF(S908:U925,$B946)+COUNTIF(S908:U925,$B946&amp;" ~*")&gt;0)+(IFERROR(INDEX(Setup!$G$33:$G$40,MATCH(W946,Setup!$B$33:$B$40,0)),0)=1)*(COUNTIF(W908:W925,$B946)+COUNTIF(W908:W925,$B946&amp;" ~*")&gt;0)+(IFERROR(INDEX(Setup!$G$33:$G$40,MATCH(Y946,Setup!$B$33:$B$40,0)),0)=1)*(COUNTIF(Y908:Y925,$B946)+COUNTIF(Y908:Y925,$B946&amp;" ~*")&gt;0))</f>
        <v/>
      </c>
    </row>
    <row r="947" ht="15" customHeight="1">
      <c r="A947" t="n">
        <v>19</v>
      </c>
      <c r="B947" s="35">
        <f>IF(Setup!$B$26="","",Setup!$B$26)</f>
        <v/>
      </c>
      <c r="C947" s="98" t="n"/>
      <c r="D947" s="99" t="n"/>
      <c r="E947" s="99" t="n"/>
      <c r="F947" s="100" t="n"/>
      <c r="G947" s="98" t="n"/>
      <c r="H947" s="99" t="n"/>
      <c r="I947" s="99" t="n"/>
      <c r="J947" s="100" t="n"/>
      <c r="K947" s="98" t="n"/>
      <c r="L947" s="99" t="n"/>
      <c r="M947" s="99" t="n"/>
      <c r="N947" s="100" t="n"/>
      <c r="O947" s="98" t="n"/>
      <c r="P947" s="99" t="n"/>
      <c r="Q947" s="99" t="n"/>
      <c r="R947" s="100" t="n"/>
      <c r="S947" s="98" t="n"/>
      <c r="T947" s="99" t="n"/>
      <c r="U947" s="99" t="n"/>
      <c r="V947" s="100" t="n"/>
      <c r="W947" s="98" t="n"/>
      <c r="X947" s="100" t="n"/>
      <c r="Y947" s="98" t="n"/>
      <c r="Z947" s="100" t="n"/>
      <c r="AB947" s="101">
        <f>IF($B947="","",(COUNTIF(C908:E925,$B947)+COUNTIF(C908:E925,$B947&amp;" ~*")&gt;0)+(COUNTIF(G908:I925,$B947)+COUNTIF(G908:I925,$B947&amp;" ~*")&gt;0)+(COUNTIF(K908:M925,$B947)+COUNTIF(K908:M925,$B947&amp;" ~*")&gt;0)+(COUNTIF(O908:Q925,$B947)+COUNTIF(O908:Q925,$B947&amp;" ~*")&gt;0)+(COUNTIF(S908:U925,$B947)+COUNTIF(S908:U925,$B947&amp;" ~*")&gt;0)+(COUNTIF(W908:W925,$B947)+COUNTIF(W908:W925,$B947&amp;" ~*")&gt;0)+(COUNTIF(Y908:Y925,$B947)+COUNTIF(Y908:Y925,$B947&amp;" ~*")&gt;0))</f>
        <v/>
      </c>
      <c r="AC947" s="36">
        <f>IF($B947="","",(IFERROR(INDEX(Setup!$G$33:$G$40,MATCH(C947,Setup!$B$33:$B$40,0)),0)=1)*(COUNTIF(C908:E925,$B947)+COUNTIF(C908:E925,$B947&amp;" ~*")&gt;0)+(IFERROR(INDEX(Setup!$G$33:$G$40,MATCH(G947,Setup!$B$33:$B$40,0)),0)=1)*(COUNTIF(G908:I925,$B947)+COUNTIF(G908:I925,$B947&amp;" ~*")&gt;0)+(IFERROR(INDEX(Setup!$G$33:$G$40,MATCH(K947,Setup!$B$33:$B$40,0)),0)=1)*(COUNTIF(K908:M925,$B947)+COUNTIF(K908:M925,$B947&amp;" ~*")&gt;0)+(IFERROR(INDEX(Setup!$G$33:$G$40,MATCH(O947,Setup!$B$33:$B$40,0)),0)=1)*(COUNTIF(O908:Q925,$B947)+COUNTIF(O908:Q925,$B947&amp;" ~*")&gt;0)+(IFERROR(INDEX(Setup!$G$33:$G$40,MATCH(S947,Setup!$B$33:$B$40,0)),0)=1)*(COUNTIF(S908:U925,$B947)+COUNTIF(S908:U925,$B947&amp;" ~*")&gt;0)+(IFERROR(INDEX(Setup!$G$33:$G$40,MATCH(W947,Setup!$B$33:$B$40,0)),0)=1)*(COUNTIF(W908:W925,$B947)+COUNTIF(W908:W925,$B947&amp;" ~*")&gt;0)+(IFERROR(INDEX(Setup!$G$33:$G$40,MATCH(Y947,Setup!$B$33:$B$40,0)),0)=1)*(COUNTIF(Y908:Y925,$B947)+COUNTIF(Y908:Y925,$B947&amp;" ~*")&gt;0))</f>
        <v/>
      </c>
    </row>
    <row r="948" ht="15" customHeight="1">
      <c r="A948" t="n">
        <v>19</v>
      </c>
      <c r="B948" s="37">
        <f>IF(Setup!$B$27="","",Setup!$B$27)</f>
        <v/>
      </c>
      <c r="C948" s="102" t="n"/>
      <c r="D948" s="103" t="n"/>
      <c r="E948" s="103" t="n"/>
      <c r="F948" s="104" t="n"/>
      <c r="G948" s="102" t="n"/>
      <c r="H948" s="103" t="n"/>
      <c r="I948" s="103" t="n"/>
      <c r="J948" s="104" t="n"/>
      <c r="K948" s="102" t="n"/>
      <c r="L948" s="103" t="n"/>
      <c r="M948" s="103" t="n"/>
      <c r="N948" s="104" t="n"/>
      <c r="O948" s="102" t="n"/>
      <c r="P948" s="103" t="n"/>
      <c r="Q948" s="103" t="n"/>
      <c r="R948" s="104" t="n"/>
      <c r="S948" s="102" t="n"/>
      <c r="T948" s="103" t="n"/>
      <c r="U948" s="103" t="n"/>
      <c r="V948" s="104" t="n"/>
      <c r="W948" s="102" t="n"/>
      <c r="X948" s="104" t="n"/>
      <c r="Y948" s="102" t="n"/>
      <c r="Z948" s="104" t="n"/>
      <c r="AB948" s="105">
        <f>IF($B948="","",(COUNTIF(C908:E925,$B948)+COUNTIF(C908:E925,$B948&amp;" ~*")&gt;0)+(COUNTIF(G908:I925,$B948)+COUNTIF(G908:I925,$B948&amp;" ~*")&gt;0)+(COUNTIF(K908:M925,$B948)+COUNTIF(K908:M925,$B948&amp;" ~*")&gt;0)+(COUNTIF(O908:Q925,$B948)+COUNTIF(O908:Q925,$B948&amp;" ~*")&gt;0)+(COUNTIF(S908:U925,$B948)+COUNTIF(S908:U925,$B948&amp;" ~*")&gt;0)+(COUNTIF(W908:W925,$B948)+COUNTIF(W908:W925,$B948&amp;" ~*")&gt;0)+(COUNTIF(Y908:Y925,$B948)+COUNTIF(Y908:Y925,$B948&amp;" ~*")&gt;0))</f>
        <v/>
      </c>
      <c r="AC948" s="38">
        <f>IF($B948="","",(IFERROR(INDEX(Setup!$G$33:$G$40,MATCH(C948,Setup!$B$33:$B$40,0)),0)=1)*(COUNTIF(C908:E925,$B948)+COUNTIF(C908:E925,$B948&amp;" ~*")&gt;0)+(IFERROR(INDEX(Setup!$G$33:$G$40,MATCH(G948,Setup!$B$33:$B$40,0)),0)=1)*(COUNTIF(G908:I925,$B948)+COUNTIF(G908:I925,$B948&amp;" ~*")&gt;0)+(IFERROR(INDEX(Setup!$G$33:$G$40,MATCH(K948,Setup!$B$33:$B$40,0)),0)=1)*(COUNTIF(K908:M925,$B948)+COUNTIF(K908:M925,$B948&amp;" ~*")&gt;0)+(IFERROR(INDEX(Setup!$G$33:$G$40,MATCH(O948,Setup!$B$33:$B$40,0)),0)=1)*(COUNTIF(O908:Q925,$B948)+COUNTIF(O908:Q925,$B948&amp;" ~*")&gt;0)+(IFERROR(INDEX(Setup!$G$33:$G$40,MATCH(S948,Setup!$B$33:$B$40,0)),0)=1)*(COUNTIF(S908:U925,$B948)+COUNTIF(S908:U925,$B948&amp;" ~*")&gt;0)+(IFERROR(INDEX(Setup!$G$33:$G$40,MATCH(W948,Setup!$B$33:$B$40,0)),0)=1)*(COUNTIF(W908:W925,$B948)+COUNTIF(W908:W925,$B948&amp;" ~*")&gt;0)+(IFERROR(INDEX(Setup!$G$33:$G$40,MATCH(Y948,Setup!$B$33:$B$40,0)),0)=1)*(COUNTIF(Y908:Y925,$B948)+COUNTIF(Y908:Y925,$B948&amp;" ~*")&gt;0))</f>
        <v/>
      </c>
    </row>
    <row r="949" ht="15" customHeight="1">
      <c r="A949" t="n">
        <v>19</v>
      </c>
      <c r="B949" s="35">
        <f>IF(Setup!$B$28="","",Setup!$B$28)</f>
        <v/>
      </c>
      <c r="C949" s="98" t="n"/>
      <c r="D949" s="99" t="n"/>
      <c r="E949" s="99" t="n"/>
      <c r="F949" s="100" t="n"/>
      <c r="G949" s="98" t="n"/>
      <c r="H949" s="99" t="n"/>
      <c r="I949" s="99" t="n"/>
      <c r="J949" s="100" t="n"/>
      <c r="K949" s="98" t="n"/>
      <c r="L949" s="99" t="n"/>
      <c r="M949" s="99" t="n"/>
      <c r="N949" s="100" t="n"/>
      <c r="O949" s="98" t="n"/>
      <c r="P949" s="99" t="n"/>
      <c r="Q949" s="99" t="n"/>
      <c r="R949" s="100" t="n"/>
      <c r="S949" s="98" t="n"/>
      <c r="T949" s="99" t="n"/>
      <c r="U949" s="99" t="n"/>
      <c r="V949" s="100" t="n"/>
      <c r="W949" s="98" t="n"/>
      <c r="X949" s="100" t="n"/>
      <c r="Y949" s="98" t="n"/>
      <c r="Z949" s="100" t="n"/>
      <c r="AB949" s="101">
        <f>IF($B949="","",(COUNTIF(C908:E925,$B949)+COUNTIF(C908:E925,$B949&amp;" ~*")&gt;0)+(COUNTIF(G908:I925,$B949)+COUNTIF(G908:I925,$B949&amp;" ~*")&gt;0)+(COUNTIF(K908:M925,$B949)+COUNTIF(K908:M925,$B949&amp;" ~*")&gt;0)+(COUNTIF(O908:Q925,$B949)+COUNTIF(O908:Q925,$B949&amp;" ~*")&gt;0)+(COUNTIF(S908:U925,$B949)+COUNTIF(S908:U925,$B949&amp;" ~*")&gt;0)+(COUNTIF(W908:W925,$B949)+COUNTIF(W908:W925,$B949&amp;" ~*")&gt;0)+(COUNTIF(Y908:Y925,$B949)+COUNTIF(Y908:Y925,$B949&amp;" ~*")&gt;0))</f>
        <v/>
      </c>
      <c r="AC949" s="36">
        <f>IF($B949="","",(IFERROR(INDEX(Setup!$G$33:$G$40,MATCH(C949,Setup!$B$33:$B$40,0)),0)=1)*(COUNTIF(C908:E925,$B949)+COUNTIF(C908:E925,$B949&amp;" ~*")&gt;0)+(IFERROR(INDEX(Setup!$G$33:$G$40,MATCH(G949,Setup!$B$33:$B$40,0)),0)=1)*(COUNTIF(G908:I925,$B949)+COUNTIF(G908:I925,$B949&amp;" ~*")&gt;0)+(IFERROR(INDEX(Setup!$G$33:$G$40,MATCH(K949,Setup!$B$33:$B$40,0)),0)=1)*(COUNTIF(K908:M925,$B949)+COUNTIF(K908:M925,$B949&amp;" ~*")&gt;0)+(IFERROR(INDEX(Setup!$G$33:$G$40,MATCH(O949,Setup!$B$33:$B$40,0)),0)=1)*(COUNTIF(O908:Q925,$B949)+COUNTIF(O908:Q925,$B949&amp;" ~*")&gt;0)+(IFERROR(INDEX(Setup!$G$33:$G$40,MATCH(S949,Setup!$B$33:$B$40,0)),0)=1)*(COUNTIF(S908:U925,$B949)+COUNTIF(S908:U925,$B949&amp;" ~*")&gt;0)+(IFERROR(INDEX(Setup!$G$33:$G$40,MATCH(W949,Setup!$B$33:$B$40,0)),0)=1)*(COUNTIF(W908:W925,$B949)+COUNTIF(W908:W925,$B949&amp;" ~*")&gt;0)+(IFERROR(INDEX(Setup!$G$33:$G$40,MATCH(Y949,Setup!$B$33:$B$40,0)),0)=1)*(COUNTIF(Y908:Y925,$B949)+COUNTIF(Y908:Y925,$B949&amp;" ~*")&gt;0))</f>
        <v/>
      </c>
    </row>
    <row r="950" ht="15" customHeight="1">
      <c r="A950" t="n">
        <v>19</v>
      </c>
      <c r="B950" s="37">
        <f>IF(Setup!$B$29="","",Setup!$B$29)</f>
        <v/>
      </c>
      <c r="C950" s="102" t="n"/>
      <c r="D950" s="103" t="n"/>
      <c r="E950" s="103" t="n"/>
      <c r="F950" s="104" t="n"/>
      <c r="G950" s="102" t="n"/>
      <c r="H950" s="103" t="n"/>
      <c r="I950" s="103" t="n"/>
      <c r="J950" s="104" t="n"/>
      <c r="K950" s="102" t="n"/>
      <c r="L950" s="103" t="n"/>
      <c r="M950" s="103" t="n"/>
      <c r="N950" s="104" t="n"/>
      <c r="O950" s="102" t="n"/>
      <c r="P950" s="103" t="n"/>
      <c r="Q950" s="103" t="n"/>
      <c r="R950" s="104" t="n"/>
      <c r="S950" s="102" t="n"/>
      <c r="T950" s="103" t="n"/>
      <c r="U950" s="103" t="n"/>
      <c r="V950" s="104" t="n"/>
      <c r="W950" s="102" t="n"/>
      <c r="X950" s="104" t="n"/>
      <c r="Y950" s="102" t="n"/>
      <c r="Z950" s="104" t="n"/>
      <c r="AB950" s="105">
        <f>IF($B950="","",(COUNTIF(C908:E925,$B950)+COUNTIF(C908:E925,$B950&amp;" ~*")&gt;0)+(COUNTIF(G908:I925,$B950)+COUNTIF(G908:I925,$B950&amp;" ~*")&gt;0)+(COUNTIF(K908:M925,$B950)+COUNTIF(K908:M925,$B950&amp;" ~*")&gt;0)+(COUNTIF(O908:Q925,$B950)+COUNTIF(O908:Q925,$B950&amp;" ~*")&gt;0)+(COUNTIF(S908:U925,$B950)+COUNTIF(S908:U925,$B950&amp;" ~*")&gt;0)+(COUNTIF(W908:W925,$B950)+COUNTIF(W908:W925,$B950&amp;" ~*")&gt;0)+(COUNTIF(Y908:Y925,$B950)+COUNTIF(Y908:Y925,$B950&amp;" ~*")&gt;0))</f>
        <v/>
      </c>
      <c r="AC950" s="38">
        <f>IF($B950="","",(IFERROR(INDEX(Setup!$G$33:$G$40,MATCH(C950,Setup!$B$33:$B$40,0)),0)=1)*(COUNTIF(C908:E925,$B950)+COUNTIF(C908:E925,$B950&amp;" ~*")&gt;0)+(IFERROR(INDEX(Setup!$G$33:$G$40,MATCH(G950,Setup!$B$33:$B$40,0)),0)=1)*(COUNTIF(G908:I925,$B950)+COUNTIF(G908:I925,$B950&amp;" ~*")&gt;0)+(IFERROR(INDEX(Setup!$G$33:$G$40,MATCH(K950,Setup!$B$33:$B$40,0)),0)=1)*(COUNTIF(K908:M925,$B950)+COUNTIF(K908:M925,$B950&amp;" ~*")&gt;0)+(IFERROR(INDEX(Setup!$G$33:$G$40,MATCH(O950,Setup!$B$33:$B$40,0)),0)=1)*(COUNTIF(O908:Q925,$B950)+COUNTIF(O908:Q925,$B950&amp;" ~*")&gt;0)+(IFERROR(INDEX(Setup!$G$33:$G$40,MATCH(S950,Setup!$B$33:$B$40,0)),0)=1)*(COUNTIF(S908:U925,$B950)+COUNTIF(S908:U925,$B950&amp;" ~*")&gt;0)+(IFERROR(INDEX(Setup!$G$33:$G$40,MATCH(W950,Setup!$B$33:$B$40,0)),0)=1)*(COUNTIF(W908:W925,$B950)+COUNTIF(W908:W925,$B950&amp;" ~*")&gt;0)+(IFERROR(INDEX(Setup!$G$33:$G$40,MATCH(Y950,Setup!$B$33:$B$40,0)),0)=1)*(COUNTIF(Y908:Y925,$B950)+COUNTIF(Y908:Y925,$B950&amp;" ~*")&gt;0))</f>
        <v/>
      </c>
    </row>
    <row r="951" ht="16" customHeight="1">
      <c r="A951" t="n">
        <v>19</v>
      </c>
      <c r="B951" s="106" t="inlineStr">
        <is>
          <t>Available people</t>
        </is>
      </c>
      <c r="C951" s="107">
        <f>COUNTIFS(Setup!$E$6:$E$29,"Y",Setup!$B$6:$B$29,"?*")-SUMPRODUCT(COUNTIF(C927:C950,Setup!$F$33:$F$40))</f>
        <v/>
      </c>
      <c r="D951" s="107" t="n"/>
      <c r="E951" s="107" t="n"/>
      <c r="F951" s="107" t="n"/>
      <c r="G951" s="107">
        <f>COUNTIFS(Setup!$E$6:$E$29,"Y",Setup!$B$6:$B$29,"?*")-SUMPRODUCT(COUNTIF(G927:G950,Setup!$F$33:$F$40))</f>
        <v/>
      </c>
      <c r="H951" s="107" t="n"/>
      <c r="I951" s="107" t="n"/>
      <c r="J951" s="107" t="n"/>
      <c r="K951" s="107">
        <f>COUNTIFS(Setup!$E$6:$E$29,"Y",Setup!$B$6:$B$29,"?*")-SUMPRODUCT(COUNTIF(K927:K950,Setup!$F$33:$F$40))</f>
        <v/>
      </c>
      <c r="L951" s="107" t="n"/>
      <c r="M951" s="107" t="n"/>
      <c r="N951" s="107" t="n"/>
      <c r="O951" s="107">
        <f>COUNTIFS(Setup!$E$6:$E$29,"Y",Setup!$B$6:$B$29,"?*")-SUMPRODUCT(COUNTIF(O927:O950,Setup!$F$33:$F$40))</f>
        <v/>
      </c>
      <c r="P951" s="107" t="n"/>
      <c r="Q951" s="107" t="n"/>
      <c r="R951" s="107" t="n"/>
      <c r="S951" s="107">
        <f>COUNTIFS(Setup!$E$6:$E$29,"Y",Setup!$B$6:$B$29,"?*")-SUMPRODUCT(COUNTIF(S927:S950,Setup!$F$33:$F$40))</f>
        <v/>
      </c>
      <c r="T951" s="107" t="n"/>
      <c r="U951" s="107" t="n"/>
      <c r="V951" s="107" t="n"/>
      <c r="W951" s="107">
        <f>COUNTIFS(Setup!$E$6:$E$29,"Y",Setup!$B$6:$B$29,"?*")-SUMPRODUCT(COUNTIF(W927:W950,Setup!$F$33:$F$40))</f>
        <v/>
      </c>
      <c r="X951" s="107" t="n"/>
      <c r="Y951" s="107">
        <f>COUNTIFS(Setup!$E$6:$E$29,"Y",Setup!$B$6:$B$29,"?*")-SUMPRODUCT(COUNTIF(Y927:Y950,Setup!$F$33:$F$40))</f>
        <v/>
      </c>
      <c r="Z951" s="107" t="n"/>
      <c r="AB951" s="108">
        <f>SUM(AB927:AB950)</f>
        <v/>
      </c>
      <c r="AC951" s="109">
        <f>SUM(AC927:AC950)</f>
        <v/>
      </c>
    </row>
    <row r="952" ht="30" customHeight="1">
      <c r="A952" t="n">
        <v>19</v>
      </c>
      <c r="B952" s="110" t="inlineStr">
        <is>
          <t>Week notes</t>
        </is>
      </c>
      <c r="C952" s="111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112" t="n"/>
      <c r="R952" s="112" t="n"/>
      <c r="S952" s="112" t="n"/>
      <c r="T952" s="112" t="n"/>
      <c r="U952" s="112" t="n"/>
      <c r="V952" s="112" t="n"/>
      <c r="W952" s="112" t="n"/>
      <c r="X952" s="112" t="n"/>
      <c r="Y952" s="112" t="n"/>
      <c r="Z952" s="113" t="n"/>
    </row>
    <row r="953" ht="8" customHeight="1">
      <c r="A953" t="n">
        <v>19</v>
      </c>
    </row>
    <row r="954" ht="8" customHeight="1">
      <c r="A954" t="n">
        <v>19</v>
      </c>
    </row>
    <row r="955" ht="24" customHeight="1">
      <c r="A955" t="n">
        <v>20</v>
      </c>
      <c r="B955" s="73">
        <f>"WEEK 20     "&amp;TEXT(C956,"ddd d mmm")&amp;"  –  "&amp;TEXT(C956+6,"ddd d mmm yyyy")</f>
        <v/>
      </c>
      <c r="S955" s="74">
        <f>IF(TODAY()&lt;C956,"FUTURE",IF(TODAY()&gt;C956+6,"PAST","THIS WEEK"))</f>
        <v/>
      </c>
      <c r="W955" s="75">
        <f>IF(AND(Engine!$B$8=$AC$3,Engine!$B$9=$A955),"◀ ACTIVE WEEK","")</f>
        <v/>
      </c>
      <c r="AA955" s="76" t="n"/>
      <c r="AB955" s="77" t="inlineStr">
        <is>
          <t>◀ Prev</t>
        </is>
      </c>
      <c r="AC955" s="77" t="inlineStr">
        <is>
          <t>Next ▶</t>
        </is>
      </c>
    </row>
    <row r="956" ht="18" customHeight="1">
      <c r="A956" t="n">
        <v>20</v>
      </c>
      <c r="B956" s="78" t="inlineStr">
        <is>
          <t>DUTY</t>
        </is>
      </c>
      <c r="C956" s="79">
        <f>$AC$2+7*($A956-1)</f>
        <v/>
      </c>
      <c r="D956" s="80" t="n"/>
      <c r="E956" s="80" t="n"/>
      <c r="F956" s="81" t="n"/>
      <c r="G956" s="79">
        <f>C956+1</f>
        <v/>
      </c>
      <c r="H956" s="80" t="n"/>
      <c r="I956" s="80" t="n"/>
      <c r="J956" s="81" t="n"/>
      <c r="K956" s="79">
        <f>C956+2</f>
        <v/>
      </c>
      <c r="L956" s="80" t="n"/>
      <c r="M956" s="80" t="n"/>
      <c r="N956" s="81" t="n"/>
      <c r="O956" s="79">
        <f>C956+3</f>
        <v/>
      </c>
      <c r="P956" s="80" t="n"/>
      <c r="Q956" s="80" t="n"/>
      <c r="R956" s="81" t="n"/>
      <c r="S956" s="79">
        <f>C956+4</f>
        <v/>
      </c>
      <c r="T956" s="80" t="n"/>
      <c r="U956" s="80" t="n"/>
      <c r="V956" s="81" t="n"/>
      <c r="W956" s="82">
        <f>C956+5</f>
        <v/>
      </c>
      <c r="X956" s="83" t="n"/>
      <c r="Y956" s="82">
        <f>C956+6</f>
        <v/>
      </c>
      <c r="Z956" s="83" t="n"/>
      <c r="AB956" s="72" t="inlineStr">
        <is>
          <t>Gaps</t>
        </is>
      </c>
      <c r="AC956" s="72" t="inlineStr">
        <is>
          <t>Cover</t>
        </is>
      </c>
    </row>
    <row r="957" ht="14" customHeight="1">
      <c r="A957" t="n">
        <v>20</v>
      </c>
      <c r="B957" s="84" t="inlineStr">
        <is>
          <t>(from Setup)</t>
        </is>
      </c>
      <c r="C957" s="85" t="inlineStr">
        <is>
          <t>1</t>
        </is>
      </c>
      <c r="D957" s="85" t="inlineStr">
        <is>
          <t>2</t>
        </is>
      </c>
      <c r="E957" s="85" t="inlineStr">
        <is>
          <t>3</t>
        </is>
      </c>
      <c r="F957" s="85" t="inlineStr">
        <is>
          <t>Notes</t>
        </is>
      </c>
      <c r="G957" s="85" t="inlineStr">
        <is>
          <t>1</t>
        </is>
      </c>
      <c r="H957" s="85" t="inlineStr">
        <is>
          <t>2</t>
        </is>
      </c>
      <c r="I957" s="85" t="inlineStr">
        <is>
          <t>3</t>
        </is>
      </c>
      <c r="J957" s="85" t="inlineStr">
        <is>
          <t>Notes</t>
        </is>
      </c>
      <c r="K957" s="85" t="inlineStr">
        <is>
          <t>1</t>
        </is>
      </c>
      <c r="L957" s="85" t="inlineStr">
        <is>
          <t>2</t>
        </is>
      </c>
      <c r="M957" s="85" t="inlineStr">
        <is>
          <t>3</t>
        </is>
      </c>
      <c r="N957" s="85" t="inlineStr">
        <is>
          <t>Notes</t>
        </is>
      </c>
      <c r="O957" s="85" t="inlineStr">
        <is>
          <t>1</t>
        </is>
      </c>
      <c r="P957" s="85" t="inlineStr">
        <is>
          <t>2</t>
        </is>
      </c>
      <c r="Q957" s="85" t="inlineStr">
        <is>
          <t>3</t>
        </is>
      </c>
      <c r="R957" s="85" t="inlineStr">
        <is>
          <t>Notes</t>
        </is>
      </c>
      <c r="S957" s="85" t="inlineStr">
        <is>
          <t>1</t>
        </is>
      </c>
      <c r="T957" s="85" t="inlineStr">
        <is>
          <t>2</t>
        </is>
      </c>
      <c r="U957" s="85" t="inlineStr">
        <is>
          <t>3</t>
        </is>
      </c>
      <c r="V957" s="85" t="inlineStr">
        <is>
          <t>Notes</t>
        </is>
      </c>
      <c r="W957" s="85" t="inlineStr">
        <is>
          <t>Cover</t>
        </is>
      </c>
      <c r="X957" s="85" t="inlineStr">
        <is>
          <t>Notes</t>
        </is>
      </c>
      <c r="Y957" s="85" t="inlineStr">
        <is>
          <t>Cover</t>
        </is>
      </c>
      <c r="Z957" s="85" t="inlineStr">
        <is>
          <t>Notes</t>
        </is>
      </c>
      <c r="AB957" s="86" t="inlineStr">
        <is>
          <t>weekdays short</t>
        </is>
      </c>
      <c r="AC957" s="87" t="inlineStr"/>
    </row>
    <row r="958" ht="17" customHeight="1">
      <c r="A958" t="n">
        <v>20</v>
      </c>
      <c r="B958" s="24">
        <f>IF(Setup!$K$6="","",Setup!$K$6)</f>
        <v/>
      </c>
      <c r="C958" s="88" t="n"/>
      <c r="D958" s="88" t="n"/>
      <c r="E958" s="88" t="n"/>
      <c r="F958" s="89" t="n"/>
      <c r="G958" s="88" t="n"/>
      <c r="H958" s="88" t="n"/>
      <c r="I958" s="88" t="n"/>
      <c r="J958" s="89" t="n"/>
      <c r="K958" s="88" t="n"/>
      <c r="L958" s="88" t="n"/>
      <c r="M958" s="88" t="n"/>
      <c r="N958" s="89" t="n"/>
      <c r="O958" s="88" t="n"/>
      <c r="P958" s="88" t="n"/>
      <c r="Q958" s="88" t="n"/>
      <c r="R958" s="89" t="n"/>
      <c r="S958" s="88" t="n"/>
      <c r="T958" s="88" t="n"/>
      <c r="U958" s="88" t="n"/>
      <c r="V958" s="89" t="n"/>
      <c r="W958" s="88" t="n"/>
      <c r="X958" s="89" t="n"/>
      <c r="Y958" s="88" t="n"/>
      <c r="Z958" s="89" t="n"/>
      <c r="AB958" s="25">
        <f>IF($B958="","",(COUNTIF(C958:E958,"?*")&lt;N(INDEX(Setup!$L$6:$L$23,1)))+(COUNTIF(G958:I958,"?*")&lt;N(INDEX(Setup!$L$6:$L$23,1)))+(COUNTIF(K958:M958,"?*")&lt;N(INDEX(Setup!$L$6:$L$23,1)))+(COUNTIF(O958:Q958,"?*")&lt;N(INDEX(Setup!$L$6:$L$23,1)))+(COUNTIF(S958:U958,"?*")&lt;N(INDEX(Setup!$L$6:$L$23,1)))+((W958="")*(INDEX(Setup!$M$6:$M$23,1)="Y"))+((Y958="")*(INDEX(Setup!$M$6:$M$23,1)="Y")))</f>
        <v/>
      </c>
      <c r="AC958" s="90">
        <f>IF($B958="","",IF(AB958=0,"✓ covered","⚠ "&amp;AB958&amp;IF(AB958=1," gap"," gaps")))</f>
        <v/>
      </c>
    </row>
    <row r="959" ht="17" customHeight="1">
      <c r="A959" t="n">
        <v>20</v>
      </c>
      <c r="B959" s="29">
        <f>IF(Setup!$K$7="","",Setup!$K$7)</f>
        <v/>
      </c>
      <c r="C959" s="88" t="n"/>
      <c r="D959" s="88" t="n"/>
      <c r="E959" s="88" t="n"/>
      <c r="F959" s="89" t="n"/>
      <c r="G959" s="88" t="n"/>
      <c r="H959" s="88" t="n"/>
      <c r="I959" s="88" t="n"/>
      <c r="J959" s="89" t="n"/>
      <c r="K959" s="88" t="n"/>
      <c r="L959" s="88" t="n"/>
      <c r="M959" s="88" t="n"/>
      <c r="N959" s="89" t="n"/>
      <c r="O959" s="88" t="n"/>
      <c r="P959" s="88" t="n"/>
      <c r="Q959" s="88" t="n"/>
      <c r="R959" s="89" t="n"/>
      <c r="S959" s="88" t="n"/>
      <c r="T959" s="88" t="n"/>
      <c r="U959" s="88" t="n"/>
      <c r="V959" s="89" t="n"/>
      <c r="W959" s="88" t="n"/>
      <c r="X959" s="89" t="n"/>
      <c r="Y959" s="88" t="n"/>
      <c r="Z959" s="89" t="n"/>
      <c r="AB959" s="30">
        <f>IF($B959="","",(COUNTIF(C959:E959,"?*")&lt;N(INDEX(Setup!$L$6:$L$23,2)))+(COUNTIF(G959:I959,"?*")&lt;N(INDEX(Setup!$L$6:$L$23,2)))+(COUNTIF(K959:M959,"?*")&lt;N(INDEX(Setup!$L$6:$L$23,2)))+(COUNTIF(O959:Q959,"?*")&lt;N(INDEX(Setup!$L$6:$L$23,2)))+(COUNTIF(S959:U959,"?*")&lt;N(INDEX(Setup!$L$6:$L$23,2)))+((W959="")*(INDEX(Setup!$M$6:$M$23,2)="Y"))+((Y959="")*(INDEX(Setup!$M$6:$M$23,2)="Y")))</f>
        <v/>
      </c>
      <c r="AC959" s="91">
        <f>IF($B959="","",IF(AB959=0,"✓ covered","⚠ "&amp;AB959&amp;IF(AB959=1," gap"," gaps")))</f>
        <v/>
      </c>
    </row>
    <row r="960" ht="17" customHeight="1">
      <c r="A960" t="n">
        <v>20</v>
      </c>
      <c r="B960" s="24">
        <f>IF(Setup!$K$8="","",Setup!$K$8)</f>
        <v/>
      </c>
      <c r="C960" s="88" t="n"/>
      <c r="D960" s="88" t="n"/>
      <c r="E960" s="88" t="n"/>
      <c r="F960" s="89" t="n"/>
      <c r="G960" s="88" t="n"/>
      <c r="H960" s="88" t="n"/>
      <c r="I960" s="88" t="n"/>
      <c r="J960" s="89" t="n"/>
      <c r="K960" s="88" t="n"/>
      <c r="L960" s="88" t="n"/>
      <c r="M960" s="88" t="n"/>
      <c r="N960" s="89" t="n"/>
      <c r="O960" s="88" t="n"/>
      <c r="P960" s="88" t="n"/>
      <c r="Q960" s="88" t="n"/>
      <c r="R960" s="89" t="n"/>
      <c r="S960" s="88" t="n"/>
      <c r="T960" s="88" t="n"/>
      <c r="U960" s="88" t="n"/>
      <c r="V960" s="89" t="n"/>
      <c r="W960" s="88" t="n"/>
      <c r="X960" s="89" t="n"/>
      <c r="Y960" s="88" t="n"/>
      <c r="Z960" s="89" t="n"/>
      <c r="AB960" s="25">
        <f>IF($B960="","",(COUNTIF(C960:E960,"?*")&lt;N(INDEX(Setup!$L$6:$L$23,3)))+(COUNTIF(G960:I960,"?*")&lt;N(INDEX(Setup!$L$6:$L$23,3)))+(COUNTIF(K960:M960,"?*")&lt;N(INDEX(Setup!$L$6:$L$23,3)))+(COUNTIF(O960:Q960,"?*")&lt;N(INDEX(Setup!$L$6:$L$23,3)))+(COUNTIF(S960:U960,"?*")&lt;N(INDEX(Setup!$L$6:$L$23,3)))+((W960="")*(INDEX(Setup!$M$6:$M$23,3)="Y"))+((Y960="")*(INDEX(Setup!$M$6:$M$23,3)="Y")))</f>
        <v/>
      </c>
      <c r="AC960" s="90">
        <f>IF($B960="","",IF(AB960=0,"✓ covered","⚠ "&amp;AB960&amp;IF(AB960=1," gap"," gaps")))</f>
        <v/>
      </c>
    </row>
    <row r="961" ht="17" customHeight="1">
      <c r="A961" t="n">
        <v>20</v>
      </c>
      <c r="B961" s="29">
        <f>IF(Setup!$K$9="","",Setup!$K$9)</f>
        <v/>
      </c>
      <c r="C961" s="88" t="n"/>
      <c r="D961" s="88" t="n"/>
      <c r="E961" s="88" t="n"/>
      <c r="F961" s="89" t="n"/>
      <c r="G961" s="88" t="n"/>
      <c r="H961" s="88" t="n"/>
      <c r="I961" s="88" t="n"/>
      <c r="J961" s="89" t="n"/>
      <c r="K961" s="88" t="n"/>
      <c r="L961" s="88" t="n"/>
      <c r="M961" s="88" t="n"/>
      <c r="N961" s="89" t="n"/>
      <c r="O961" s="88" t="n"/>
      <c r="P961" s="88" t="n"/>
      <c r="Q961" s="88" t="n"/>
      <c r="R961" s="89" t="n"/>
      <c r="S961" s="88" t="n"/>
      <c r="T961" s="88" t="n"/>
      <c r="U961" s="88" t="n"/>
      <c r="V961" s="89" t="n"/>
      <c r="W961" s="88" t="n"/>
      <c r="X961" s="89" t="n"/>
      <c r="Y961" s="88" t="n"/>
      <c r="Z961" s="89" t="n"/>
      <c r="AB961" s="30">
        <f>IF($B961="","",(COUNTIF(C961:E961,"?*")&lt;N(INDEX(Setup!$L$6:$L$23,4)))+(COUNTIF(G961:I961,"?*")&lt;N(INDEX(Setup!$L$6:$L$23,4)))+(COUNTIF(K961:M961,"?*")&lt;N(INDEX(Setup!$L$6:$L$23,4)))+(COUNTIF(O961:Q961,"?*")&lt;N(INDEX(Setup!$L$6:$L$23,4)))+(COUNTIF(S961:U961,"?*")&lt;N(INDEX(Setup!$L$6:$L$23,4)))+((W961="")*(INDEX(Setup!$M$6:$M$23,4)="Y"))+((Y961="")*(INDEX(Setup!$M$6:$M$23,4)="Y")))</f>
        <v/>
      </c>
      <c r="AC961" s="91">
        <f>IF($B961="","",IF(AB961=0,"✓ covered","⚠ "&amp;AB961&amp;IF(AB961=1," gap"," gaps")))</f>
        <v/>
      </c>
    </row>
    <row r="962" ht="17" customHeight="1">
      <c r="A962" t="n">
        <v>20</v>
      </c>
      <c r="B962" s="24">
        <f>IF(Setup!$K$10="","",Setup!$K$10)</f>
        <v/>
      </c>
      <c r="C962" s="88" t="n"/>
      <c r="D962" s="88" t="n"/>
      <c r="E962" s="88" t="n"/>
      <c r="F962" s="89" t="n"/>
      <c r="G962" s="88" t="n"/>
      <c r="H962" s="88" t="n"/>
      <c r="I962" s="88" t="n"/>
      <c r="J962" s="89" t="n"/>
      <c r="K962" s="88" t="n"/>
      <c r="L962" s="88" t="n"/>
      <c r="M962" s="88" t="n"/>
      <c r="N962" s="89" t="n"/>
      <c r="O962" s="88" t="n"/>
      <c r="P962" s="88" t="n"/>
      <c r="Q962" s="88" t="n"/>
      <c r="R962" s="89" t="n"/>
      <c r="S962" s="88" t="n"/>
      <c r="T962" s="88" t="n"/>
      <c r="U962" s="88" t="n"/>
      <c r="V962" s="89" t="n"/>
      <c r="W962" s="88" t="n"/>
      <c r="X962" s="89" t="n"/>
      <c r="Y962" s="88" t="n"/>
      <c r="Z962" s="89" t="n"/>
      <c r="AB962" s="25">
        <f>IF($B962="","",(COUNTIF(C962:E962,"?*")&lt;N(INDEX(Setup!$L$6:$L$23,5)))+(COUNTIF(G962:I962,"?*")&lt;N(INDEX(Setup!$L$6:$L$23,5)))+(COUNTIF(K962:M962,"?*")&lt;N(INDEX(Setup!$L$6:$L$23,5)))+(COUNTIF(O962:Q962,"?*")&lt;N(INDEX(Setup!$L$6:$L$23,5)))+(COUNTIF(S962:U962,"?*")&lt;N(INDEX(Setup!$L$6:$L$23,5)))+((W962="")*(INDEX(Setup!$M$6:$M$23,5)="Y"))+((Y962="")*(INDEX(Setup!$M$6:$M$23,5)="Y")))</f>
        <v/>
      </c>
      <c r="AC962" s="90">
        <f>IF($B962="","",IF(AB962=0,"✓ covered","⚠ "&amp;AB962&amp;IF(AB962=1," gap"," gaps")))</f>
        <v/>
      </c>
    </row>
    <row r="963" ht="17" customHeight="1">
      <c r="A963" t="n">
        <v>20</v>
      </c>
      <c r="B963" s="29">
        <f>IF(Setup!$K$11="","",Setup!$K$11)</f>
        <v/>
      </c>
      <c r="C963" s="88" t="n"/>
      <c r="D963" s="88" t="n"/>
      <c r="E963" s="88" t="n"/>
      <c r="F963" s="89" t="n"/>
      <c r="G963" s="88" t="n"/>
      <c r="H963" s="88" t="n"/>
      <c r="I963" s="88" t="n"/>
      <c r="J963" s="89" t="n"/>
      <c r="K963" s="88" t="n"/>
      <c r="L963" s="88" t="n"/>
      <c r="M963" s="88" t="n"/>
      <c r="N963" s="89" t="n"/>
      <c r="O963" s="88" t="n"/>
      <c r="P963" s="88" t="n"/>
      <c r="Q963" s="88" t="n"/>
      <c r="R963" s="89" t="n"/>
      <c r="S963" s="88" t="n"/>
      <c r="T963" s="88" t="n"/>
      <c r="U963" s="88" t="n"/>
      <c r="V963" s="89" t="n"/>
      <c r="W963" s="88" t="n"/>
      <c r="X963" s="89" t="n"/>
      <c r="Y963" s="88" t="n"/>
      <c r="Z963" s="89" t="n"/>
      <c r="AB963" s="30">
        <f>IF($B963="","",(COUNTIF(C963:E963,"?*")&lt;N(INDEX(Setup!$L$6:$L$23,6)))+(COUNTIF(G963:I963,"?*")&lt;N(INDEX(Setup!$L$6:$L$23,6)))+(COUNTIF(K963:M963,"?*")&lt;N(INDEX(Setup!$L$6:$L$23,6)))+(COUNTIF(O963:Q963,"?*")&lt;N(INDEX(Setup!$L$6:$L$23,6)))+(COUNTIF(S963:U963,"?*")&lt;N(INDEX(Setup!$L$6:$L$23,6)))+((W963="")*(INDEX(Setup!$M$6:$M$23,6)="Y"))+((Y963="")*(INDEX(Setup!$M$6:$M$23,6)="Y")))</f>
        <v/>
      </c>
      <c r="AC963" s="91">
        <f>IF($B963="","",IF(AB963=0,"✓ covered","⚠ "&amp;AB963&amp;IF(AB963=1," gap"," gaps")))</f>
        <v/>
      </c>
    </row>
    <row r="964" ht="17" customHeight="1">
      <c r="A964" t="n">
        <v>20</v>
      </c>
      <c r="B964" s="24">
        <f>IF(Setup!$K$12="","",Setup!$K$12)</f>
        <v/>
      </c>
      <c r="C964" s="88" t="n"/>
      <c r="D964" s="88" t="n"/>
      <c r="E964" s="88" t="n"/>
      <c r="F964" s="89" t="n"/>
      <c r="G964" s="88" t="n"/>
      <c r="H964" s="88" t="n"/>
      <c r="I964" s="88" t="n"/>
      <c r="J964" s="89" t="n"/>
      <c r="K964" s="88" t="n"/>
      <c r="L964" s="88" t="n"/>
      <c r="M964" s="88" t="n"/>
      <c r="N964" s="89" t="n"/>
      <c r="O964" s="88" t="n"/>
      <c r="P964" s="88" t="n"/>
      <c r="Q964" s="88" t="n"/>
      <c r="R964" s="89" t="n"/>
      <c r="S964" s="88" t="n"/>
      <c r="T964" s="88" t="n"/>
      <c r="U964" s="88" t="n"/>
      <c r="V964" s="89" t="n"/>
      <c r="W964" s="88" t="n"/>
      <c r="X964" s="89" t="n"/>
      <c r="Y964" s="88" t="n"/>
      <c r="Z964" s="89" t="n"/>
      <c r="AB964" s="25">
        <f>IF($B964="","",(COUNTIF(C964:E964,"?*")&lt;N(INDEX(Setup!$L$6:$L$23,7)))+(COUNTIF(G964:I964,"?*")&lt;N(INDEX(Setup!$L$6:$L$23,7)))+(COUNTIF(K964:M964,"?*")&lt;N(INDEX(Setup!$L$6:$L$23,7)))+(COUNTIF(O964:Q964,"?*")&lt;N(INDEX(Setup!$L$6:$L$23,7)))+(COUNTIF(S964:U964,"?*")&lt;N(INDEX(Setup!$L$6:$L$23,7)))+((W964="")*(INDEX(Setup!$M$6:$M$23,7)="Y"))+((Y964="")*(INDEX(Setup!$M$6:$M$23,7)="Y")))</f>
        <v/>
      </c>
      <c r="AC964" s="90">
        <f>IF($B964="","",IF(AB964=0,"✓ covered","⚠ "&amp;AB964&amp;IF(AB964=1," gap"," gaps")))</f>
        <v/>
      </c>
    </row>
    <row r="965" ht="17" customHeight="1">
      <c r="A965" t="n">
        <v>20</v>
      </c>
      <c r="B965" s="29">
        <f>IF(Setup!$K$13="","",Setup!$K$13)</f>
        <v/>
      </c>
      <c r="C965" s="88" t="n"/>
      <c r="D965" s="88" t="n"/>
      <c r="E965" s="88" t="n"/>
      <c r="F965" s="89" t="n"/>
      <c r="G965" s="88" t="n"/>
      <c r="H965" s="88" t="n"/>
      <c r="I965" s="88" t="n"/>
      <c r="J965" s="89" t="n"/>
      <c r="K965" s="88" t="n"/>
      <c r="L965" s="88" t="n"/>
      <c r="M965" s="88" t="n"/>
      <c r="N965" s="89" t="n"/>
      <c r="O965" s="88" t="n"/>
      <c r="P965" s="88" t="n"/>
      <c r="Q965" s="88" t="n"/>
      <c r="R965" s="89" t="n"/>
      <c r="S965" s="88" t="n"/>
      <c r="T965" s="88" t="n"/>
      <c r="U965" s="88" t="n"/>
      <c r="V965" s="89" t="n"/>
      <c r="W965" s="88" t="n"/>
      <c r="X965" s="89" t="n"/>
      <c r="Y965" s="88" t="n"/>
      <c r="Z965" s="89" t="n"/>
      <c r="AB965" s="30">
        <f>IF($B965="","",(COUNTIF(C965:E965,"?*")&lt;N(INDEX(Setup!$L$6:$L$23,8)))+(COUNTIF(G965:I965,"?*")&lt;N(INDEX(Setup!$L$6:$L$23,8)))+(COUNTIF(K965:M965,"?*")&lt;N(INDEX(Setup!$L$6:$L$23,8)))+(COUNTIF(O965:Q965,"?*")&lt;N(INDEX(Setup!$L$6:$L$23,8)))+(COUNTIF(S965:U965,"?*")&lt;N(INDEX(Setup!$L$6:$L$23,8)))+((W965="")*(INDEX(Setup!$M$6:$M$23,8)="Y"))+((Y965="")*(INDEX(Setup!$M$6:$M$23,8)="Y")))</f>
        <v/>
      </c>
      <c r="AC965" s="91">
        <f>IF($B965="","",IF(AB965=0,"✓ covered","⚠ "&amp;AB965&amp;IF(AB965=1," gap"," gaps")))</f>
        <v/>
      </c>
    </row>
    <row r="966" ht="17" customHeight="1">
      <c r="A966" t="n">
        <v>20</v>
      </c>
      <c r="B966" s="24">
        <f>IF(Setup!$K$14="","",Setup!$K$14)</f>
        <v/>
      </c>
      <c r="C966" s="88" t="n"/>
      <c r="D966" s="88" t="n"/>
      <c r="E966" s="88" t="n"/>
      <c r="F966" s="89" t="n"/>
      <c r="G966" s="88" t="n"/>
      <c r="H966" s="88" t="n"/>
      <c r="I966" s="88" t="n"/>
      <c r="J966" s="89" t="n"/>
      <c r="K966" s="88" t="n"/>
      <c r="L966" s="88" t="n"/>
      <c r="M966" s="88" t="n"/>
      <c r="N966" s="89" t="n"/>
      <c r="O966" s="88" t="n"/>
      <c r="P966" s="88" t="n"/>
      <c r="Q966" s="88" t="n"/>
      <c r="R966" s="89" t="n"/>
      <c r="S966" s="88" t="n"/>
      <c r="T966" s="88" t="n"/>
      <c r="U966" s="88" t="n"/>
      <c r="V966" s="89" t="n"/>
      <c r="W966" s="88" t="n"/>
      <c r="X966" s="89" t="n"/>
      <c r="Y966" s="88" t="n"/>
      <c r="Z966" s="89" t="n"/>
      <c r="AB966" s="25">
        <f>IF($B966="","",(COUNTIF(C966:E966,"?*")&lt;N(INDEX(Setup!$L$6:$L$23,9)))+(COUNTIF(G966:I966,"?*")&lt;N(INDEX(Setup!$L$6:$L$23,9)))+(COUNTIF(K966:M966,"?*")&lt;N(INDEX(Setup!$L$6:$L$23,9)))+(COUNTIF(O966:Q966,"?*")&lt;N(INDEX(Setup!$L$6:$L$23,9)))+(COUNTIF(S966:U966,"?*")&lt;N(INDEX(Setup!$L$6:$L$23,9)))+((W966="")*(INDEX(Setup!$M$6:$M$23,9)="Y"))+((Y966="")*(INDEX(Setup!$M$6:$M$23,9)="Y")))</f>
        <v/>
      </c>
      <c r="AC966" s="90">
        <f>IF($B966="","",IF(AB966=0,"✓ covered","⚠ "&amp;AB966&amp;IF(AB966=1," gap"," gaps")))</f>
        <v/>
      </c>
    </row>
    <row r="967" ht="17" customHeight="1">
      <c r="A967" t="n">
        <v>20</v>
      </c>
      <c r="B967" s="29">
        <f>IF(Setup!$K$15="","",Setup!$K$15)</f>
        <v/>
      </c>
      <c r="C967" s="88" t="n"/>
      <c r="D967" s="88" t="n"/>
      <c r="E967" s="88" t="n"/>
      <c r="F967" s="89" t="n"/>
      <c r="G967" s="88" t="n"/>
      <c r="H967" s="88" t="n"/>
      <c r="I967" s="88" t="n"/>
      <c r="J967" s="89" t="n"/>
      <c r="K967" s="88" t="n"/>
      <c r="L967" s="88" t="n"/>
      <c r="M967" s="88" t="n"/>
      <c r="N967" s="89" t="n"/>
      <c r="O967" s="88" t="n"/>
      <c r="P967" s="88" t="n"/>
      <c r="Q967" s="88" t="n"/>
      <c r="R967" s="89" t="n"/>
      <c r="S967" s="88" t="n"/>
      <c r="T967" s="88" t="n"/>
      <c r="U967" s="88" t="n"/>
      <c r="V967" s="89" t="n"/>
      <c r="W967" s="88" t="n"/>
      <c r="X967" s="89" t="n"/>
      <c r="Y967" s="88" t="n"/>
      <c r="Z967" s="89" t="n"/>
      <c r="AB967" s="30">
        <f>IF($B967="","",(COUNTIF(C967:E967,"?*")&lt;N(INDEX(Setup!$L$6:$L$23,10)))+(COUNTIF(G967:I967,"?*")&lt;N(INDEX(Setup!$L$6:$L$23,10)))+(COUNTIF(K967:M967,"?*")&lt;N(INDEX(Setup!$L$6:$L$23,10)))+(COUNTIF(O967:Q967,"?*")&lt;N(INDEX(Setup!$L$6:$L$23,10)))+(COUNTIF(S967:U967,"?*")&lt;N(INDEX(Setup!$L$6:$L$23,10)))+((W967="")*(INDEX(Setup!$M$6:$M$23,10)="Y"))+((Y967="")*(INDEX(Setup!$M$6:$M$23,10)="Y")))</f>
        <v/>
      </c>
      <c r="AC967" s="91">
        <f>IF($B967="","",IF(AB967=0,"✓ covered","⚠ "&amp;AB967&amp;IF(AB967=1," gap"," gaps")))</f>
        <v/>
      </c>
    </row>
    <row r="968" ht="17" customHeight="1">
      <c r="A968" t="n">
        <v>20</v>
      </c>
      <c r="B968" s="24">
        <f>IF(Setup!$K$16="","",Setup!$K$16)</f>
        <v/>
      </c>
      <c r="C968" s="88" t="n"/>
      <c r="D968" s="88" t="n"/>
      <c r="E968" s="88" t="n"/>
      <c r="F968" s="89" t="n"/>
      <c r="G968" s="88" t="n"/>
      <c r="H968" s="88" t="n"/>
      <c r="I968" s="88" t="n"/>
      <c r="J968" s="89" t="n"/>
      <c r="K968" s="88" t="n"/>
      <c r="L968" s="88" t="n"/>
      <c r="M968" s="88" t="n"/>
      <c r="N968" s="89" t="n"/>
      <c r="O968" s="88" t="n"/>
      <c r="P968" s="88" t="n"/>
      <c r="Q968" s="88" t="n"/>
      <c r="R968" s="89" t="n"/>
      <c r="S968" s="88" t="n"/>
      <c r="T968" s="88" t="n"/>
      <c r="U968" s="88" t="n"/>
      <c r="V968" s="89" t="n"/>
      <c r="W968" s="88" t="n"/>
      <c r="X968" s="89" t="n"/>
      <c r="Y968" s="88" t="n"/>
      <c r="Z968" s="89" t="n"/>
      <c r="AB968" s="25">
        <f>IF($B968="","",(COUNTIF(C968:E968,"?*")&lt;N(INDEX(Setup!$L$6:$L$23,11)))+(COUNTIF(G968:I968,"?*")&lt;N(INDEX(Setup!$L$6:$L$23,11)))+(COUNTIF(K968:M968,"?*")&lt;N(INDEX(Setup!$L$6:$L$23,11)))+(COUNTIF(O968:Q968,"?*")&lt;N(INDEX(Setup!$L$6:$L$23,11)))+(COUNTIF(S968:U968,"?*")&lt;N(INDEX(Setup!$L$6:$L$23,11)))+((W968="")*(INDEX(Setup!$M$6:$M$23,11)="Y"))+((Y968="")*(INDEX(Setup!$M$6:$M$23,11)="Y")))</f>
        <v/>
      </c>
      <c r="AC968" s="90">
        <f>IF($B968="","",IF(AB968=0,"✓ covered","⚠ "&amp;AB968&amp;IF(AB968=1," gap"," gaps")))</f>
        <v/>
      </c>
    </row>
    <row r="969" ht="17" customHeight="1">
      <c r="A969" t="n">
        <v>20</v>
      </c>
      <c r="B969" s="29">
        <f>IF(Setup!$K$17="","",Setup!$K$17)</f>
        <v/>
      </c>
      <c r="C969" s="88" t="n"/>
      <c r="D969" s="88" t="n"/>
      <c r="E969" s="88" t="n"/>
      <c r="F969" s="89" t="n"/>
      <c r="G969" s="88" t="n"/>
      <c r="H969" s="88" t="n"/>
      <c r="I969" s="88" t="n"/>
      <c r="J969" s="89" t="n"/>
      <c r="K969" s="88" t="n"/>
      <c r="L969" s="88" t="n"/>
      <c r="M969" s="88" t="n"/>
      <c r="N969" s="89" t="n"/>
      <c r="O969" s="88" t="n"/>
      <c r="P969" s="88" t="n"/>
      <c r="Q969" s="88" t="n"/>
      <c r="R969" s="89" t="n"/>
      <c r="S969" s="88" t="n"/>
      <c r="T969" s="88" t="n"/>
      <c r="U969" s="88" t="n"/>
      <c r="V969" s="89" t="n"/>
      <c r="W969" s="88" t="n"/>
      <c r="X969" s="89" t="n"/>
      <c r="Y969" s="88" t="n"/>
      <c r="Z969" s="89" t="n"/>
      <c r="AB969" s="30">
        <f>IF($B969="","",(COUNTIF(C969:E969,"?*")&lt;N(INDEX(Setup!$L$6:$L$23,12)))+(COUNTIF(G969:I969,"?*")&lt;N(INDEX(Setup!$L$6:$L$23,12)))+(COUNTIF(K969:M969,"?*")&lt;N(INDEX(Setup!$L$6:$L$23,12)))+(COUNTIF(O969:Q969,"?*")&lt;N(INDEX(Setup!$L$6:$L$23,12)))+(COUNTIF(S969:U969,"?*")&lt;N(INDEX(Setup!$L$6:$L$23,12)))+((W969="")*(INDEX(Setup!$M$6:$M$23,12)="Y"))+((Y969="")*(INDEX(Setup!$M$6:$M$23,12)="Y")))</f>
        <v/>
      </c>
      <c r="AC969" s="91">
        <f>IF($B969="","",IF(AB969=0,"✓ covered","⚠ "&amp;AB969&amp;IF(AB969=1," gap"," gaps")))</f>
        <v/>
      </c>
    </row>
    <row r="970" ht="17" customHeight="1">
      <c r="A970" t="n">
        <v>20</v>
      </c>
      <c r="B970" s="24">
        <f>IF(Setup!$K$18="","",Setup!$K$18)</f>
        <v/>
      </c>
      <c r="C970" s="88" t="n"/>
      <c r="D970" s="88" t="n"/>
      <c r="E970" s="88" t="n"/>
      <c r="F970" s="89" t="n"/>
      <c r="G970" s="88" t="n"/>
      <c r="H970" s="88" t="n"/>
      <c r="I970" s="88" t="n"/>
      <c r="J970" s="89" t="n"/>
      <c r="K970" s="88" t="n"/>
      <c r="L970" s="88" t="n"/>
      <c r="M970" s="88" t="n"/>
      <c r="N970" s="89" t="n"/>
      <c r="O970" s="88" t="n"/>
      <c r="P970" s="88" t="n"/>
      <c r="Q970" s="88" t="n"/>
      <c r="R970" s="89" t="n"/>
      <c r="S970" s="88" t="n"/>
      <c r="T970" s="88" t="n"/>
      <c r="U970" s="88" t="n"/>
      <c r="V970" s="89" t="n"/>
      <c r="W970" s="88" t="n"/>
      <c r="X970" s="89" t="n"/>
      <c r="Y970" s="88" t="n"/>
      <c r="Z970" s="89" t="n"/>
      <c r="AB970" s="25">
        <f>IF($B970="","",(COUNTIF(C970:E970,"?*")&lt;N(INDEX(Setup!$L$6:$L$23,13)))+(COUNTIF(G970:I970,"?*")&lt;N(INDEX(Setup!$L$6:$L$23,13)))+(COUNTIF(K970:M970,"?*")&lt;N(INDEX(Setup!$L$6:$L$23,13)))+(COUNTIF(O970:Q970,"?*")&lt;N(INDEX(Setup!$L$6:$L$23,13)))+(COUNTIF(S970:U970,"?*")&lt;N(INDEX(Setup!$L$6:$L$23,13)))+((W970="")*(INDEX(Setup!$M$6:$M$23,13)="Y"))+((Y970="")*(INDEX(Setup!$M$6:$M$23,13)="Y")))</f>
        <v/>
      </c>
      <c r="AC970" s="90">
        <f>IF($B970="","",IF(AB970=0,"✓ covered","⚠ "&amp;AB970&amp;IF(AB970=1," gap"," gaps")))</f>
        <v/>
      </c>
    </row>
    <row r="971" ht="17" customHeight="1">
      <c r="A971" t="n">
        <v>20</v>
      </c>
      <c r="B971" s="29">
        <f>IF(Setup!$K$19="","",Setup!$K$19)</f>
        <v/>
      </c>
      <c r="C971" s="88" t="n"/>
      <c r="D971" s="88" t="n"/>
      <c r="E971" s="88" t="n"/>
      <c r="F971" s="89" t="n"/>
      <c r="G971" s="88" t="n"/>
      <c r="H971" s="88" t="n"/>
      <c r="I971" s="88" t="n"/>
      <c r="J971" s="89" t="n"/>
      <c r="K971" s="88" t="n"/>
      <c r="L971" s="88" t="n"/>
      <c r="M971" s="88" t="n"/>
      <c r="N971" s="89" t="n"/>
      <c r="O971" s="88" t="n"/>
      <c r="P971" s="88" t="n"/>
      <c r="Q971" s="88" t="n"/>
      <c r="R971" s="89" t="n"/>
      <c r="S971" s="88" t="n"/>
      <c r="T971" s="88" t="n"/>
      <c r="U971" s="88" t="n"/>
      <c r="V971" s="89" t="n"/>
      <c r="W971" s="88" t="n"/>
      <c r="X971" s="89" t="n"/>
      <c r="Y971" s="88" t="n"/>
      <c r="Z971" s="89" t="n"/>
      <c r="AB971" s="30">
        <f>IF($B971="","",(COUNTIF(C971:E971,"?*")&lt;N(INDEX(Setup!$L$6:$L$23,14)))+(COUNTIF(G971:I971,"?*")&lt;N(INDEX(Setup!$L$6:$L$23,14)))+(COUNTIF(K971:M971,"?*")&lt;N(INDEX(Setup!$L$6:$L$23,14)))+(COUNTIF(O971:Q971,"?*")&lt;N(INDEX(Setup!$L$6:$L$23,14)))+(COUNTIF(S971:U971,"?*")&lt;N(INDEX(Setup!$L$6:$L$23,14)))+((W971="")*(INDEX(Setup!$M$6:$M$23,14)="Y"))+((Y971="")*(INDEX(Setup!$M$6:$M$23,14)="Y")))</f>
        <v/>
      </c>
      <c r="AC971" s="91">
        <f>IF($B971="","",IF(AB971=0,"✓ covered","⚠ "&amp;AB971&amp;IF(AB971=1," gap"," gaps")))</f>
        <v/>
      </c>
    </row>
    <row r="972" ht="17" customHeight="1">
      <c r="A972" t="n">
        <v>20</v>
      </c>
      <c r="B972" s="24">
        <f>IF(Setup!$K$20="","",Setup!$K$20)</f>
        <v/>
      </c>
      <c r="C972" s="88" t="n"/>
      <c r="D972" s="88" t="n"/>
      <c r="E972" s="88" t="n"/>
      <c r="F972" s="89" t="n"/>
      <c r="G972" s="88" t="n"/>
      <c r="H972" s="88" t="n"/>
      <c r="I972" s="88" t="n"/>
      <c r="J972" s="89" t="n"/>
      <c r="K972" s="88" t="n"/>
      <c r="L972" s="88" t="n"/>
      <c r="M972" s="88" t="n"/>
      <c r="N972" s="89" t="n"/>
      <c r="O972" s="88" t="n"/>
      <c r="P972" s="88" t="n"/>
      <c r="Q972" s="88" t="n"/>
      <c r="R972" s="89" t="n"/>
      <c r="S972" s="88" t="n"/>
      <c r="T972" s="88" t="n"/>
      <c r="U972" s="88" t="n"/>
      <c r="V972" s="89" t="n"/>
      <c r="W972" s="88" t="n"/>
      <c r="X972" s="89" t="n"/>
      <c r="Y972" s="88" t="n"/>
      <c r="Z972" s="89" t="n"/>
      <c r="AB972" s="25">
        <f>IF($B972="","",(COUNTIF(C972:E972,"?*")&lt;N(INDEX(Setup!$L$6:$L$23,15)))+(COUNTIF(G972:I972,"?*")&lt;N(INDEX(Setup!$L$6:$L$23,15)))+(COUNTIF(K972:M972,"?*")&lt;N(INDEX(Setup!$L$6:$L$23,15)))+(COUNTIF(O972:Q972,"?*")&lt;N(INDEX(Setup!$L$6:$L$23,15)))+(COUNTIF(S972:U972,"?*")&lt;N(INDEX(Setup!$L$6:$L$23,15)))+((W972="")*(INDEX(Setup!$M$6:$M$23,15)="Y"))+((Y972="")*(INDEX(Setup!$M$6:$M$23,15)="Y")))</f>
        <v/>
      </c>
      <c r="AC972" s="90">
        <f>IF($B972="","",IF(AB972=0,"✓ covered","⚠ "&amp;AB972&amp;IF(AB972=1," gap"," gaps")))</f>
        <v/>
      </c>
    </row>
    <row r="973" ht="17" customHeight="1">
      <c r="A973" t="n">
        <v>20</v>
      </c>
      <c r="B973" s="29">
        <f>IF(Setup!$K$21="","",Setup!$K$21)</f>
        <v/>
      </c>
      <c r="C973" s="88" t="n"/>
      <c r="D973" s="88" t="n"/>
      <c r="E973" s="88" t="n"/>
      <c r="F973" s="89" t="n"/>
      <c r="G973" s="88" t="n"/>
      <c r="H973" s="88" t="n"/>
      <c r="I973" s="88" t="n"/>
      <c r="J973" s="89" t="n"/>
      <c r="K973" s="88" t="n"/>
      <c r="L973" s="88" t="n"/>
      <c r="M973" s="88" t="n"/>
      <c r="N973" s="89" t="n"/>
      <c r="O973" s="88" t="n"/>
      <c r="P973" s="88" t="n"/>
      <c r="Q973" s="88" t="n"/>
      <c r="R973" s="89" t="n"/>
      <c r="S973" s="88" t="n"/>
      <c r="T973" s="88" t="n"/>
      <c r="U973" s="88" t="n"/>
      <c r="V973" s="89" t="n"/>
      <c r="W973" s="88" t="n"/>
      <c r="X973" s="89" t="n"/>
      <c r="Y973" s="88" t="n"/>
      <c r="Z973" s="89" t="n"/>
      <c r="AB973" s="30">
        <f>IF($B973="","",(COUNTIF(C973:E973,"?*")&lt;N(INDEX(Setup!$L$6:$L$23,16)))+(COUNTIF(G973:I973,"?*")&lt;N(INDEX(Setup!$L$6:$L$23,16)))+(COUNTIF(K973:M973,"?*")&lt;N(INDEX(Setup!$L$6:$L$23,16)))+(COUNTIF(O973:Q973,"?*")&lt;N(INDEX(Setup!$L$6:$L$23,16)))+(COUNTIF(S973:U973,"?*")&lt;N(INDEX(Setup!$L$6:$L$23,16)))+((W973="")*(INDEX(Setup!$M$6:$M$23,16)="Y"))+((Y973="")*(INDEX(Setup!$M$6:$M$23,16)="Y")))</f>
        <v/>
      </c>
      <c r="AC973" s="91">
        <f>IF($B973="","",IF(AB973=0,"✓ covered","⚠ "&amp;AB973&amp;IF(AB973=1," gap"," gaps")))</f>
        <v/>
      </c>
    </row>
    <row r="974" ht="17" customHeight="1">
      <c r="A974" t="n">
        <v>20</v>
      </c>
      <c r="B974" s="24">
        <f>IF(Setup!$K$22="","",Setup!$K$22)</f>
        <v/>
      </c>
      <c r="C974" s="88" t="n"/>
      <c r="D974" s="88" t="n"/>
      <c r="E974" s="88" t="n"/>
      <c r="F974" s="89" t="n"/>
      <c r="G974" s="88" t="n"/>
      <c r="H974" s="88" t="n"/>
      <c r="I974" s="88" t="n"/>
      <c r="J974" s="89" t="n"/>
      <c r="K974" s="88" t="n"/>
      <c r="L974" s="88" t="n"/>
      <c r="M974" s="88" t="n"/>
      <c r="N974" s="89" t="n"/>
      <c r="O974" s="88" t="n"/>
      <c r="P974" s="88" t="n"/>
      <c r="Q974" s="88" t="n"/>
      <c r="R974" s="89" t="n"/>
      <c r="S974" s="88" t="n"/>
      <c r="T974" s="88" t="n"/>
      <c r="U974" s="88" t="n"/>
      <c r="V974" s="89" t="n"/>
      <c r="W974" s="88" t="n"/>
      <c r="X974" s="89" t="n"/>
      <c r="Y974" s="88" t="n"/>
      <c r="Z974" s="89" t="n"/>
      <c r="AB974" s="25">
        <f>IF($B974="","",(COUNTIF(C974:E974,"?*")&lt;N(INDEX(Setup!$L$6:$L$23,17)))+(COUNTIF(G974:I974,"?*")&lt;N(INDEX(Setup!$L$6:$L$23,17)))+(COUNTIF(K974:M974,"?*")&lt;N(INDEX(Setup!$L$6:$L$23,17)))+(COUNTIF(O974:Q974,"?*")&lt;N(INDEX(Setup!$L$6:$L$23,17)))+(COUNTIF(S974:U974,"?*")&lt;N(INDEX(Setup!$L$6:$L$23,17)))+((W974="")*(INDEX(Setup!$M$6:$M$23,17)="Y"))+((Y974="")*(INDEX(Setup!$M$6:$M$23,17)="Y")))</f>
        <v/>
      </c>
      <c r="AC974" s="90">
        <f>IF($B974="","",IF(AB974=0,"✓ covered","⚠ "&amp;AB974&amp;IF(AB974=1," gap"," gaps")))</f>
        <v/>
      </c>
    </row>
    <row r="975" ht="17" customHeight="1">
      <c r="A975" t="n">
        <v>20</v>
      </c>
      <c r="B975" s="29">
        <f>IF(Setup!$K$23="","",Setup!$K$23)</f>
        <v/>
      </c>
      <c r="C975" s="88" t="n"/>
      <c r="D975" s="88" t="n"/>
      <c r="E975" s="88" t="n"/>
      <c r="F975" s="89" t="n"/>
      <c r="G975" s="88" t="n"/>
      <c r="H975" s="88" t="n"/>
      <c r="I975" s="88" t="n"/>
      <c r="J975" s="89" t="n"/>
      <c r="K975" s="88" t="n"/>
      <c r="L975" s="88" t="n"/>
      <c r="M975" s="88" t="n"/>
      <c r="N975" s="89" t="n"/>
      <c r="O975" s="88" t="n"/>
      <c r="P975" s="88" t="n"/>
      <c r="Q975" s="88" t="n"/>
      <c r="R975" s="89" t="n"/>
      <c r="S975" s="88" t="n"/>
      <c r="T975" s="88" t="n"/>
      <c r="U975" s="88" t="n"/>
      <c r="V975" s="89" t="n"/>
      <c r="W975" s="88" t="n"/>
      <c r="X975" s="89" t="n"/>
      <c r="Y975" s="88" t="n"/>
      <c r="Z975" s="89" t="n"/>
      <c r="AB975" s="30">
        <f>IF($B975="","",(COUNTIF(C975:E975,"?*")&lt;N(INDEX(Setup!$L$6:$L$23,18)))+(COUNTIF(G975:I975,"?*")&lt;N(INDEX(Setup!$L$6:$L$23,18)))+(COUNTIF(K975:M975,"?*")&lt;N(INDEX(Setup!$L$6:$L$23,18)))+(COUNTIF(O975:Q975,"?*")&lt;N(INDEX(Setup!$L$6:$L$23,18)))+(COUNTIF(S975:U975,"?*")&lt;N(INDEX(Setup!$L$6:$L$23,18)))+((W975="")*(INDEX(Setup!$M$6:$M$23,18)="Y"))+((Y975="")*(INDEX(Setup!$M$6:$M$23,18)="Y")))</f>
        <v/>
      </c>
      <c r="AC975" s="91">
        <f>IF($B975="","",IF(AB975=0,"✓ covered","⚠ "&amp;AB975&amp;IF(AB975=1," gap"," gaps")))</f>
        <v/>
      </c>
    </row>
    <row r="976" ht="18" customHeight="1">
      <c r="A976" t="n">
        <v>20</v>
      </c>
      <c r="B976" s="78" t="inlineStr">
        <is>
          <t>TEAM AVAILABILITY</t>
        </is>
      </c>
      <c r="C976" s="92" t="inlineStr">
        <is>
          <t>Mon</t>
        </is>
      </c>
      <c r="D976" s="93" t="n"/>
      <c r="E976" s="93" t="n"/>
      <c r="F976" s="94" t="n"/>
      <c r="G976" s="92" t="inlineStr">
        <is>
          <t>Tue</t>
        </is>
      </c>
      <c r="H976" s="93" t="n"/>
      <c r="I976" s="93" t="n"/>
      <c r="J976" s="94" t="n"/>
      <c r="K976" s="92" t="inlineStr">
        <is>
          <t>Wed</t>
        </is>
      </c>
      <c r="L976" s="93" t="n"/>
      <c r="M976" s="93" t="n"/>
      <c r="N976" s="94" t="n"/>
      <c r="O976" s="92" t="inlineStr">
        <is>
          <t>Thu</t>
        </is>
      </c>
      <c r="P976" s="93" t="n"/>
      <c r="Q976" s="93" t="n"/>
      <c r="R976" s="94" t="n"/>
      <c r="S976" s="92" t="inlineStr">
        <is>
          <t>Fri</t>
        </is>
      </c>
      <c r="T976" s="93" t="n"/>
      <c r="U976" s="93" t="n"/>
      <c r="V976" s="94" t="n"/>
      <c r="W976" s="95" t="inlineStr">
        <is>
          <t>Sat</t>
        </is>
      </c>
      <c r="X976" s="96" t="n"/>
      <c r="Y976" s="95" t="inlineStr">
        <is>
          <t>Sun</t>
        </is>
      </c>
      <c r="Z976" s="96" t="n"/>
      <c r="AB976" s="97" t="inlineStr">
        <is>
          <t>Days rostered</t>
        </is>
      </c>
      <c r="AC976" s="97" t="inlineStr">
        <is>
          <t>Conflicts</t>
        </is>
      </c>
    </row>
    <row r="977" ht="15" customHeight="1">
      <c r="A977" t="n">
        <v>20</v>
      </c>
      <c r="B977" s="35">
        <f>IF(Setup!$B$6="","",Setup!$B$6)</f>
        <v/>
      </c>
      <c r="C977" s="98" t="n"/>
      <c r="D977" s="99" t="n"/>
      <c r="E977" s="99" t="n"/>
      <c r="F977" s="100" t="n"/>
      <c r="G977" s="98" t="n"/>
      <c r="H977" s="99" t="n"/>
      <c r="I977" s="99" t="n"/>
      <c r="J977" s="100" t="n"/>
      <c r="K977" s="98" t="n"/>
      <c r="L977" s="99" t="n"/>
      <c r="M977" s="99" t="n"/>
      <c r="N977" s="100" t="n"/>
      <c r="O977" s="98" t="n"/>
      <c r="P977" s="99" t="n"/>
      <c r="Q977" s="99" t="n"/>
      <c r="R977" s="100" t="n"/>
      <c r="S977" s="98" t="n"/>
      <c r="T977" s="99" t="n"/>
      <c r="U977" s="99" t="n"/>
      <c r="V977" s="100" t="n"/>
      <c r="W977" s="98" t="n"/>
      <c r="X977" s="100" t="n"/>
      <c r="Y977" s="98" t="n"/>
      <c r="Z977" s="100" t="n"/>
      <c r="AB977" s="101">
        <f>IF($B977="","",(COUNTIF(C958:E975,$B977)+COUNTIF(C958:E975,$B977&amp;" ~*")&gt;0)+(COUNTIF(G958:I975,$B977)+COUNTIF(G958:I975,$B977&amp;" ~*")&gt;0)+(COUNTIF(K958:M975,$B977)+COUNTIF(K958:M975,$B977&amp;" ~*")&gt;0)+(COUNTIF(O958:Q975,$B977)+COUNTIF(O958:Q975,$B977&amp;" ~*")&gt;0)+(COUNTIF(S958:U975,$B977)+COUNTIF(S958:U975,$B977&amp;" ~*")&gt;0)+(COUNTIF(W958:W975,$B977)+COUNTIF(W958:W975,$B977&amp;" ~*")&gt;0)+(COUNTIF(Y958:Y975,$B977)+COUNTIF(Y958:Y975,$B977&amp;" ~*")&gt;0))</f>
        <v/>
      </c>
      <c r="AC977" s="36">
        <f>IF($B977="","",(IFERROR(INDEX(Setup!$G$33:$G$40,MATCH(C977,Setup!$B$33:$B$40,0)),0)=1)*(COUNTIF(C958:E975,$B977)+COUNTIF(C958:E975,$B977&amp;" ~*")&gt;0)+(IFERROR(INDEX(Setup!$G$33:$G$40,MATCH(G977,Setup!$B$33:$B$40,0)),0)=1)*(COUNTIF(G958:I975,$B977)+COUNTIF(G958:I975,$B977&amp;" ~*")&gt;0)+(IFERROR(INDEX(Setup!$G$33:$G$40,MATCH(K977,Setup!$B$33:$B$40,0)),0)=1)*(COUNTIF(K958:M975,$B977)+COUNTIF(K958:M975,$B977&amp;" ~*")&gt;0)+(IFERROR(INDEX(Setup!$G$33:$G$40,MATCH(O977,Setup!$B$33:$B$40,0)),0)=1)*(COUNTIF(O958:Q975,$B977)+COUNTIF(O958:Q975,$B977&amp;" ~*")&gt;0)+(IFERROR(INDEX(Setup!$G$33:$G$40,MATCH(S977,Setup!$B$33:$B$40,0)),0)=1)*(COUNTIF(S958:U975,$B977)+COUNTIF(S958:U975,$B977&amp;" ~*")&gt;0)+(IFERROR(INDEX(Setup!$G$33:$G$40,MATCH(W977,Setup!$B$33:$B$40,0)),0)=1)*(COUNTIF(W958:W975,$B977)+COUNTIF(W958:W975,$B977&amp;" ~*")&gt;0)+(IFERROR(INDEX(Setup!$G$33:$G$40,MATCH(Y977,Setup!$B$33:$B$40,0)),0)=1)*(COUNTIF(Y958:Y975,$B977)+COUNTIF(Y958:Y975,$B977&amp;" ~*")&gt;0))</f>
        <v/>
      </c>
    </row>
    <row r="978" ht="15" customHeight="1">
      <c r="A978" t="n">
        <v>20</v>
      </c>
      <c r="B978" s="37">
        <f>IF(Setup!$B$7="","",Setup!$B$7)</f>
        <v/>
      </c>
      <c r="C978" s="102" t="n"/>
      <c r="D978" s="103" t="n"/>
      <c r="E978" s="103" t="n"/>
      <c r="F978" s="104" t="n"/>
      <c r="G978" s="102" t="n"/>
      <c r="H978" s="103" t="n"/>
      <c r="I978" s="103" t="n"/>
      <c r="J978" s="104" t="n"/>
      <c r="K978" s="102" t="n"/>
      <c r="L978" s="103" t="n"/>
      <c r="M978" s="103" t="n"/>
      <c r="N978" s="104" t="n"/>
      <c r="O978" s="102" t="n"/>
      <c r="P978" s="103" t="n"/>
      <c r="Q978" s="103" t="n"/>
      <c r="R978" s="104" t="n"/>
      <c r="S978" s="102" t="n"/>
      <c r="T978" s="103" t="n"/>
      <c r="U978" s="103" t="n"/>
      <c r="V978" s="104" t="n"/>
      <c r="W978" s="102" t="n"/>
      <c r="X978" s="104" t="n"/>
      <c r="Y978" s="102" t="n"/>
      <c r="Z978" s="104" t="n"/>
      <c r="AB978" s="105">
        <f>IF($B978="","",(COUNTIF(C958:E975,$B978)+COUNTIF(C958:E975,$B978&amp;" ~*")&gt;0)+(COUNTIF(G958:I975,$B978)+COUNTIF(G958:I975,$B978&amp;" ~*")&gt;0)+(COUNTIF(K958:M975,$B978)+COUNTIF(K958:M975,$B978&amp;" ~*")&gt;0)+(COUNTIF(O958:Q975,$B978)+COUNTIF(O958:Q975,$B978&amp;" ~*")&gt;0)+(COUNTIF(S958:U975,$B978)+COUNTIF(S958:U975,$B978&amp;" ~*")&gt;0)+(COUNTIF(W958:W975,$B978)+COUNTIF(W958:W975,$B978&amp;" ~*")&gt;0)+(COUNTIF(Y958:Y975,$B978)+COUNTIF(Y958:Y975,$B978&amp;" ~*")&gt;0))</f>
        <v/>
      </c>
      <c r="AC978" s="38">
        <f>IF($B978="","",(IFERROR(INDEX(Setup!$G$33:$G$40,MATCH(C978,Setup!$B$33:$B$40,0)),0)=1)*(COUNTIF(C958:E975,$B978)+COUNTIF(C958:E975,$B978&amp;" ~*")&gt;0)+(IFERROR(INDEX(Setup!$G$33:$G$40,MATCH(G978,Setup!$B$33:$B$40,0)),0)=1)*(COUNTIF(G958:I975,$B978)+COUNTIF(G958:I975,$B978&amp;" ~*")&gt;0)+(IFERROR(INDEX(Setup!$G$33:$G$40,MATCH(K978,Setup!$B$33:$B$40,0)),0)=1)*(COUNTIF(K958:M975,$B978)+COUNTIF(K958:M975,$B978&amp;" ~*")&gt;0)+(IFERROR(INDEX(Setup!$G$33:$G$40,MATCH(O978,Setup!$B$33:$B$40,0)),0)=1)*(COUNTIF(O958:Q975,$B978)+COUNTIF(O958:Q975,$B978&amp;" ~*")&gt;0)+(IFERROR(INDEX(Setup!$G$33:$G$40,MATCH(S978,Setup!$B$33:$B$40,0)),0)=1)*(COUNTIF(S958:U975,$B978)+COUNTIF(S958:U975,$B978&amp;" ~*")&gt;0)+(IFERROR(INDEX(Setup!$G$33:$G$40,MATCH(W978,Setup!$B$33:$B$40,0)),0)=1)*(COUNTIF(W958:W975,$B978)+COUNTIF(W958:W975,$B978&amp;" ~*")&gt;0)+(IFERROR(INDEX(Setup!$G$33:$G$40,MATCH(Y978,Setup!$B$33:$B$40,0)),0)=1)*(COUNTIF(Y958:Y975,$B978)+COUNTIF(Y958:Y975,$B978&amp;" ~*")&gt;0))</f>
        <v/>
      </c>
    </row>
    <row r="979" ht="15" customHeight="1">
      <c r="A979" t="n">
        <v>20</v>
      </c>
      <c r="B979" s="35">
        <f>IF(Setup!$B$8="","",Setup!$B$8)</f>
        <v/>
      </c>
      <c r="C979" s="98" t="n"/>
      <c r="D979" s="99" t="n"/>
      <c r="E979" s="99" t="n"/>
      <c r="F979" s="100" t="n"/>
      <c r="G979" s="98" t="n"/>
      <c r="H979" s="99" t="n"/>
      <c r="I979" s="99" t="n"/>
      <c r="J979" s="100" t="n"/>
      <c r="K979" s="98" t="n"/>
      <c r="L979" s="99" t="n"/>
      <c r="M979" s="99" t="n"/>
      <c r="N979" s="100" t="n"/>
      <c r="O979" s="98" t="n"/>
      <c r="P979" s="99" t="n"/>
      <c r="Q979" s="99" t="n"/>
      <c r="R979" s="100" t="n"/>
      <c r="S979" s="98" t="n"/>
      <c r="T979" s="99" t="n"/>
      <c r="U979" s="99" t="n"/>
      <c r="V979" s="100" t="n"/>
      <c r="W979" s="98" t="n"/>
      <c r="X979" s="100" t="n"/>
      <c r="Y979" s="98" t="n"/>
      <c r="Z979" s="100" t="n"/>
      <c r="AB979" s="101">
        <f>IF($B979="","",(COUNTIF(C958:E975,$B979)+COUNTIF(C958:E975,$B979&amp;" ~*")&gt;0)+(COUNTIF(G958:I975,$B979)+COUNTIF(G958:I975,$B979&amp;" ~*")&gt;0)+(COUNTIF(K958:M975,$B979)+COUNTIF(K958:M975,$B979&amp;" ~*")&gt;0)+(COUNTIF(O958:Q975,$B979)+COUNTIF(O958:Q975,$B979&amp;" ~*")&gt;0)+(COUNTIF(S958:U975,$B979)+COUNTIF(S958:U975,$B979&amp;" ~*")&gt;0)+(COUNTIF(W958:W975,$B979)+COUNTIF(W958:W975,$B979&amp;" ~*")&gt;0)+(COUNTIF(Y958:Y975,$B979)+COUNTIF(Y958:Y975,$B979&amp;" ~*")&gt;0))</f>
        <v/>
      </c>
      <c r="AC979" s="36">
        <f>IF($B979="","",(IFERROR(INDEX(Setup!$G$33:$G$40,MATCH(C979,Setup!$B$33:$B$40,0)),0)=1)*(COUNTIF(C958:E975,$B979)+COUNTIF(C958:E975,$B979&amp;" ~*")&gt;0)+(IFERROR(INDEX(Setup!$G$33:$G$40,MATCH(G979,Setup!$B$33:$B$40,0)),0)=1)*(COUNTIF(G958:I975,$B979)+COUNTIF(G958:I975,$B979&amp;" ~*")&gt;0)+(IFERROR(INDEX(Setup!$G$33:$G$40,MATCH(K979,Setup!$B$33:$B$40,0)),0)=1)*(COUNTIF(K958:M975,$B979)+COUNTIF(K958:M975,$B979&amp;" ~*")&gt;0)+(IFERROR(INDEX(Setup!$G$33:$G$40,MATCH(O979,Setup!$B$33:$B$40,0)),0)=1)*(COUNTIF(O958:Q975,$B979)+COUNTIF(O958:Q975,$B979&amp;" ~*")&gt;0)+(IFERROR(INDEX(Setup!$G$33:$G$40,MATCH(S979,Setup!$B$33:$B$40,0)),0)=1)*(COUNTIF(S958:U975,$B979)+COUNTIF(S958:U975,$B979&amp;" ~*")&gt;0)+(IFERROR(INDEX(Setup!$G$33:$G$40,MATCH(W979,Setup!$B$33:$B$40,0)),0)=1)*(COUNTIF(W958:W975,$B979)+COUNTIF(W958:W975,$B979&amp;" ~*")&gt;0)+(IFERROR(INDEX(Setup!$G$33:$G$40,MATCH(Y979,Setup!$B$33:$B$40,0)),0)=1)*(COUNTIF(Y958:Y975,$B979)+COUNTIF(Y958:Y975,$B979&amp;" ~*")&gt;0))</f>
        <v/>
      </c>
    </row>
    <row r="980" ht="15" customHeight="1">
      <c r="A980" t="n">
        <v>20</v>
      </c>
      <c r="B980" s="37">
        <f>IF(Setup!$B$9="","",Setup!$B$9)</f>
        <v/>
      </c>
      <c r="C980" s="102" t="n"/>
      <c r="D980" s="103" t="n"/>
      <c r="E980" s="103" t="n"/>
      <c r="F980" s="104" t="n"/>
      <c r="G980" s="102" t="n"/>
      <c r="H980" s="103" t="n"/>
      <c r="I980" s="103" t="n"/>
      <c r="J980" s="104" t="n"/>
      <c r="K980" s="102" t="n"/>
      <c r="L980" s="103" t="n"/>
      <c r="M980" s="103" t="n"/>
      <c r="N980" s="104" t="n"/>
      <c r="O980" s="102" t="n"/>
      <c r="P980" s="103" t="n"/>
      <c r="Q980" s="103" t="n"/>
      <c r="R980" s="104" t="n"/>
      <c r="S980" s="102" t="n"/>
      <c r="T980" s="103" t="n"/>
      <c r="U980" s="103" t="n"/>
      <c r="V980" s="104" t="n"/>
      <c r="W980" s="102" t="n"/>
      <c r="X980" s="104" t="n"/>
      <c r="Y980" s="102" t="n"/>
      <c r="Z980" s="104" t="n"/>
      <c r="AB980" s="105">
        <f>IF($B980="","",(COUNTIF(C958:E975,$B980)+COUNTIF(C958:E975,$B980&amp;" ~*")&gt;0)+(COUNTIF(G958:I975,$B980)+COUNTIF(G958:I975,$B980&amp;" ~*")&gt;0)+(COUNTIF(K958:M975,$B980)+COUNTIF(K958:M975,$B980&amp;" ~*")&gt;0)+(COUNTIF(O958:Q975,$B980)+COUNTIF(O958:Q975,$B980&amp;" ~*")&gt;0)+(COUNTIF(S958:U975,$B980)+COUNTIF(S958:U975,$B980&amp;" ~*")&gt;0)+(COUNTIF(W958:W975,$B980)+COUNTIF(W958:W975,$B980&amp;" ~*")&gt;0)+(COUNTIF(Y958:Y975,$B980)+COUNTIF(Y958:Y975,$B980&amp;" ~*")&gt;0))</f>
        <v/>
      </c>
      <c r="AC980" s="38">
        <f>IF($B980="","",(IFERROR(INDEX(Setup!$G$33:$G$40,MATCH(C980,Setup!$B$33:$B$40,0)),0)=1)*(COUNTIF(C958:E975,$B980)+COUNTIF(C958:E975,$B980&amp;" ~*")&gt;0)+(IFERROR(INDEX(Setup!$G$33:$G$40,MATCH(G980,Setup!$B$33:$B$40,0)),0)=1)*(COUNTIF(G958:I975,$B980)+COUNTIF(G958:I975,$B980&amp;" ~*")&gt;0)+(IFERROR(INDEX(Setup!$G$33:$G$40,MATCH(K980,Setup!$B$33:$B$40,0)),0)=1)*(COUNTIF(K958:M975,$B980)+COUNTIF(K958:M975,$B980&amp;" ~*")&gt;0)+(IFERROR(INDEX(Setup!$G$33:$G$40,MATCH(O980,Setup!$B$33:$B$40,0)),0)=1)*(COUNTIF(O958:Q975,$B980)+COUNTIF(O958:Q975,$B980&amp;" ~*")&gt;0)+(IFERROR(INDEX(Setup!$G$33:$G$40,MATCH(S980,Setup!$B$33:$B$40,0)),0)=1)*(COUNTIF(S958:U975,$B980)+COUNTIF(S958:U975,$B980&amp;" ~*")&gt;0)+(IFERROR(INDEX(Setup!$G$33:$G$40,MATCH(W980,Setup!$B$33:$B$40,0)),0)=1)*(COUNTIF(W958:W975,$B980)+COUNTIF(W958:W975,$B980&amp;" ~*")&gt;0)+(IFERROR(INDEX(Setup!$G$33:$G$40,MATCH(Y980,Setup!$B$33:$B$40,0)),0)=1)*(COUNTIF(Y958:Y975,$B980)+COUNTIF(Y958:Y975,$B980&amp;" ~*")&gt;0))</f>
        <v/>
      </c>
    </row>
    <row r="981" ht="15" customHeight="1">
      <c r="A981" t="n">
        <v>20</v>
      </c>
      <c r="B981" s="35">
        <f>IF(Setup!$B$10="","",Setup!$B$10)</f>
        <v/>
      </c>
      <c r="C981" s="98" t="n"/>
      <c r="D981" s="99" t="n"/>
      <c r="E981" s="99" t="n"/>
      <c r="F981" s="100" t="n"/>
      <c r="G981" s="98" t="n"/>
      <c r="H981" s="99" t="n"/>
      <c r="I981" s="99" t="n"/>
      <c r="J981" s="100" t="n"/>
      <c r="K981" s="98" t="n"/>
      <c r="L981" s="99" t="n"/>
      <c r="M981" s="99" t="n"/>
      <c r="N981" s="100" t="n"/>
      <c r="O981" s="98" t="n"/>
      <c r="P981" s="99" t="n"/>
      <c r="Q981" s="99" t="n"/>
      <c r="R981" s="100" t="n"/>
      <c r="S981" s="98" t="n"/>
      <c r="T981" s="99" t="n"/>
      <c r="U981" s="99" t="n"/>
      <c r="V981" s="100" t="n"/>
      <c r="W981" s="98" t="n"/>
      <c r="X981" s="100" t="n"/>
      <c r="Y981" s="98" t="n"/>
      <c r="Z981" s="100" t="n"/>
      <c r="AB981" s="101">
        <f>IF($B981="","",(COUNTIF(C958:E975,$B981)+COUNTIF(C958:E975,$B981&amp;" ~*")&gt;0)+(COUNTIF(G958:I975,$B981)+COUNTIF(G958:I975,$B981&amp;" ~*")&gt;0)+(COUNTIF(K958:M975,$B981)+COUNTIF(K958:M975,$B981&amp;" ~*")&gt;0)+(COUNTIF(O958:Q975,$B981)+COUNTIF(O958:Q975,$B981&amp;" ~*")&gt;0)+(COUNTIF(S958:U975,$B981)+COUNTIF(S958:U975,$B981&amp;" ~*")&gt;0)+(COUNTIF(W958:W975,$B981)+COUNTIF(W958:W975,$B981&amp;" ~*")&gt;0)+(COUNTIF(Y958:Y975,$B981)+COUNTIF(Y958:Y975,$B981&amp;" ~*")&gt;0))</f>
        <v/>
      </c>
      <c r="AC981" s="36">
        <f>IF($B981="","",(IFERROR(INDEX(Setup!$G$33:$G$40,MATCH(C981,Setup!$B$33:$B$40,0)),0)=1)*(COUNTIF(C958:E975,$B981)+COUNTIF(C958:E975,$B981&amp;" ~*")&gt;0)+(IFERROR(INDEX(Setup!$G$33:$G$40,MATCH(G981,Setup!$B$33:$B$40,0)),0)=1)*(COUNTIF(G958:I975,$B981)+COUNTIF(G958:I975,$B981&amp;" ~*")&gt;0)+(IFERROR(INDEX(Setup!$G$33:$G$40,MATCH(K981,Setup!$B$33:$B$40,0)),0)=1)*(COUNTIF(K958:M975,$B981)+COUNTIF(K958:M975,$B981&amp;" ~*")&gt;0)+(IFERROR(INDEX(Setup!$G$33:$G$40,MATCH(O981,Setup!$B$33:$B$40,0)),0)=1)*(COUNTIF(O958:Q975,$B981)+COUNTIF(O958:Q975,$B981&amp;" ~*")&gt;0)+(IFERROR(INDEX(Setup!$G$33:$G$40,MATCH(S981,Setup!$B$33:$B$40,0)),0)=1)*(COUNTIF(S958:U975,$B981)+COUNTIF(S958:U975,$B981&amp;" ~*")&gt;0)+(IFERROR(INDEX(Setup!$G$33:$G$40,MATCH(W981,Setup!$B$33:$B$40,0)),0)=1)*(COUNTIF(W958:W975,$B981)+COUNTIF(W958:W975,$B981&amp;" ~*")&gt;0)+(IFERROR(INDEX(Setup!$G$33:$G$40,MATCH(Y981,Setup!$B$33:$B$40,0)),0)=1)*(COUNTIF(Y958:Y975,$B981)+COUNTIF(Y958:Y975,$B981&amp;" ~*")&gt;0))</f>
        <v/>
      </c>
    </row>
    <row r="982" ht="15" customHeight="1">
      <c r="A982" t="n">
        <v>20</v>
      </c>
      <c r="B982" s="37">
        <f>IF(Setup!$B$11="","",Setup!$B$11)</f>
        <v/>
      </c>
      <c r="C982" s="102" t="n"/>
      <c r="D982" s="103" t="n"/>
      <c r="E982" s="103" t="n"/>
      <c r="F982" s="104" t="n"/>
      <c r="G982" s="102" t="n"/>
      <c r="H982" s="103" t="n"/>
      <c r="I982" s="103" t="n"/>
      <c r="J982" s="104" t="n"/>
      <c r="K982" s="102" t="n"/>
      <c r="L982" s="103" t="n"/>
      <c r="M982" s="103" t="n"/>
      <c r="N982" s="104" t="n"/>
      <c r="O982" s="102" t="n"/>
      <c r="P982" s="103" t="n"/>
      <c r="Q982" s="103" t="n"/>
      <c r="R982" s="104" t="n"/>
      <c r="S982" s="102" t="n"/>
      <c r="T982" s="103" t="n"/>
      <c r="U982" s="103" t="n"/>
      <c r="V982" s="104" t="n"/>
      <c r="W982" s="102" t="n"/>
      <c r="X982" s="104" t="n"/>
      <c r="Y982" s="102" t="n"/>
      <c r="Z982" s="104" t="n"/>
      <c r="AB982" s="105">
        <f>IF($B982="","",(COUNTIF(C958:E975,$B982)+COUNTIF(C958:E975,$B982&amp;" ~*")&gt;0)+(COUNTIF(G958:I975,$B982)+COUNTIF(G958:I975,$B982&amp;" ~*")&gt;0)+(COUNTIF(K958:M975,$B982)+COUNTIF(K958:M975,$B982&amp;" ~*")&gt;0)+(COUNTIF(O958:Q975,$B982)+COUNTIF(O958:Q975,$B982&amp;" ~*")&gt;0)+(COUNTIF(S958:U975,$B982)+COUNTIF(S958:U975,$B982&amp;" ~*")&gt;0)+(COUNTIF(W958:W975,$B982)+COUNTIF(W958:W975,$B982&amp;" ~*")&gt;0)+(COUNTIF(Y958:Y975,$B982)+COUNTIF(Y958:Y975,$B982&amp;" ~*")&gt;0))</f>
        <v/>
      </c>
      <c r="AC982" s="38">
        <f>IF($B982="","",(IFERROR(INDEX(Setup!$G$33:$G$40,MATCH(C982,Setup!$B$33:$B$40,0)),0)=1)*(COUNTIF(C958:E975,$B982)+COUNTIF(C958:E975,$B982&amp;" ~*")&gt;0)+(IFERROR(INDEX(Setup!$G$33:$G$40,MATCH(G982,Setup!$B$33:$B$40,0)),0)=1)*(COUNTIF(G958:I975,$B982)+COUNTIF(G958:I975,$B982&amp;" ~*")&gt;0)+(IFERROR(INDEX(Setup!$G$33:$G$40,MATCH(K982,Setup!$B$33:$B$40,0)),0)=1)*(COUNTIF(K958:M975,$B982)+COUNTIF(K958:M975,$B982&amp;" ~*")&gt;0)+(IFERROR(INDEX(Setup!$G$33:$G$40,MATCH(O982,Setup!$B$33:$B$40,0)),0)=1)*(COUNTIF(O958:Q975,$B982)+COUNTIF(O958:Q975,$B982&amp;" ~*")&gt;0)+(IFERROR(INDEX(Setup!$G$33:$G$40,MATCH(S982,Setup!$B$33:$B$40,0)),0)=1)*(COUNTIF(S958:U975,$B982)+COUNTIF(S958:U975,$B982&amp;" ~*")&gt;0)+(IFERROR(INDEX(Setup!$G$33:$G$40,MATCH(W982,Setup!$B$33:$B$40,0)),0)=1)*(COUNTIF(W958:W975,$B982)+COUNTIF(W958:W975,$B982&amp;" ~*")&gt;0)+(IFERROR(INDEX(Setup!$G$33:$G$40,MATCH(Y982,Setup!$B$33:$B$40,0)),0)=1)*(COUNTIF(Y958:Y975,$B982)+COUNTIF(Y958:Y975,$B982&amp;" ~*")&gt;0))</f>
        <v/>
      </c>
    </row>
    <row r="983" ht="15" customHeight="1">
      <c r="A983" t="n">
        <v>20</v>
      </c>
      <c r="B983" s="35">
        <f>IF(Setup!$B$12="","",Setup!$B$12)</f>
        <v/>
      </c>
      <c r="C983" s="98" t="n"/>
      <c r="D983" s="99" t="n"/>
      <c r="E983" s="99" t="n"/>
      <c r="F983" s="100" t="n"/>
      <c r="G983" s="98" t="n"/>
      <c r="H983" s="99" t="n"/>
      <c r="I983" s="99" t="n"/>
      <c r="J983" s="100" t="n"/>
      <c r="K983" s="98" t="n"/>
      <c r="L983" s="99" t="n"/>
      <c r="M983" s="99" t="n"/>
      <c r="N983" s="100" t="n"/>
      <c r="O983" s="98" t="n"/>
      <c r="P983" s="99" t="n"/>
      <c r="Q983" s="99" t="n"/>
      <c r="R983" s="100" t="n"/>
      <c r="S983" s="98" t="n"/>
      <c r="T983" s="99" t="n"/>
      <c r="U983" s="99" t="n"/>
      <c r="V983" s="100" t="n"/>
      <c r="W983" s="98" t="n"/>
      <c r="X983" s="100" t="n"/>
      <c r="Y983" s="98" t="n"/>
      <c r="Z983" s="100" t="n"/>
      <c r="AB983" s="101">
        <f>IF($B983="","",(COUNTIF(C958:E975,$B983)+COUNTIF(C958:E975,$B983&amp;" ~*")&gt;0)+(COUNTIF(G958:I975,$B983)+COUNTIF(G958:I975,$B983&amp;" ~*")&gt;0)+(COUNTIF(K958:M975,$B983)+COUNTIF(K958:M975,$B983&amp;" ~*")&gt;0)+(COUNTIF(O958:Q975,$B983)+COUNTIF(O958:Q975,$B983&amp;" ~*")&gt;0)+(COUNTIF(S958:U975,$B983)+COUNTIF(S958:U975,$B983&amp;" ~*")&gt;0)+(COUNTIF(W958:W975,$B983)+COUNTIF(W958:W975,$B983&amp;" ~*")&gt;0)+(COUNTIF(Y958:Y975,$B983)+COUNTIF(Y958:Y975,$B983&amp;" ~*")&gt;0))</f>
        <v/>
      </c>
      <c r="AC983" s="36">
        <f>IF($B983="","",(IFERROR(INDEX(Setup!$G$33:$G$40,MATCH(C983,Setup!$B$33:$B$40,0)),0)=1)*(COUNTIF(C958:E975,$B983)+COUNTIF(C958:E975,$B983&amp;" ~*")&gt;0)+(IFERROR(INDEX(Setup!$G$33:$G$40,MATCH(G983,Setup!$B$33:$B$40,0)),0)=1)*(COUNTIF(G958:I975,$B983)+COUNTIF(G958:I975,$B983&amp;" ~*")&gt;0)+(IFERROR(INDEX(Setup!$G$33:$G$40,MATCH(K983,Setup!$B$33:$B$40,0)),0)=1)*(COUNTIF(K958:M975,$B983)+COUNTIF(K958:M975,$B983&amp;" ~*")&gt;0)+(IFERROR(INDEX(Setup!$G$33:$G$40,MATCH(O983,Setup!$B$33:$B$40,0)),0)=1)*(COUNTIF(O958:Q975,$B983)+COUNTIF(O958:Q975,$B983&amp;" ~*")&gt;0)+(IFERROR(INDEX(Setup!$G$33:$G$40,MATCH(S983,Setup!$B$33:$B$40,0)),0)=1)*(COUNTIF(S958:U975,$B983)+COUNTIF(S958:U975,$B983&amp;" ~*")&gt;0)+(IFERROR(INDEX(Setup!$G$33:$G$40,MATCH(W983,Setup!$B$33:$B$40,0)),0)=1)*(COUNTIF(W958:W975,$B983)+COUNTIF(W958:W975,$B983&amp;" ~*")&gt;0)+(IFERROR(INDEX(Setup!$G$33:$G$40,MATCH(Y983,Setup!$B$33:$B$40,0)),0)=1)*(COUNTIF(Y958:Y975,$B983)+COUNTIF(Y958:Y975,$B983&amp;" ~*")&gt;0))</f>
        <v/>
      </c>
    </row>
    <row r="984" ht="15" customHeight="1">
      <c r="A984" t="n">
        <v>20</v>
      </c>
      <c r="B984" s="37">
        <f>IF(Setup!$B$13="","",Setup!$B$13)</f>
        <v/>
      </c>
      <c r="C984" s="102" t="n"/>
      <c r="D984" s="103" t="n"/>
      <c r="E984" s="103" t="n"/>
      <c r="F984" s="104" t="n"/>
      <c r="G984" s="102" t="n"/>
      <c r="H984" s="103" t="n"/>
      <c r="I984" s="103" t="n"/>
      <c r="J984" s="104" t="n"/>
      <c r="K984" s="102" t="n"/>
      <c r="L984" s="103" t="n"/>
      <c r="M984" s="103" t="n"/>
      <c r="N984" s="104" t="n"/>
      <c r="O984" s="102" t="n"/>
      <c r="P984" s="103" t="n"/>
      <c r="Q984" s="103" t="n"/>
      <c r="R984" s="104" t="n"/>
      <c r="S984" s="102" t="n"/>
      <c r="T984" s="103" t="n"/>
      <c r="U984" s="103" t="n"/>
      <c r="V984" s="104" t="n"/>
      <c r="W984" s="102" t="n"/>
      <c r="X984" s="104" t="n"/>
      <c r="Y984" s="102" t="n"/>
      <c r="Z984" s="104" t="n"/>
      <c r="AB984" s="105">
        <f>IF($B984="","",(COUNTIF(C958:E975,$B984)+COUNTIF(C958:E975,$B984&amp;" ~*")&gt;0)+(COUNTIF(G958:I975,$B984)+COUNTIF(G958:I975,$B984&amp;" ~*")&gt;0)+(COUNTIF(K958:M975,$B984)+COUNTIF(K958:M975,$B984&amp;" ~*")&gt;0)+(COUNTIF(O958:Q975,$B984)+COUNTIF(O958:Q975,$B984&amp;" ~*")&gt;0)+(COUNTIF(S958:U975,$B984)+COUNTIF(S958:U975,$B984&amp;" ~*")&gt;0)+(COUNTIF(W958:W975,$B984)+COUNTIF(W958:W975,$B984&amp;" ~*")&gt;0)+(COUNTIF(Y958:Y975,$B984)+COUNTIF(Y958:Y975,$B984&amp;" ~*")&gt;0))</f>
        <v/>
      </c>
      <c r="AC984" s="38">
        <f>IF($B984="","",(IFERROR(INDEX(Setup!$G$33:$G$40,MATCH(C984,Setup!$B$33:$B$40,0)),0)=1)*(COUNTIF(C958:E975,$B984)+COUNTIF(C958:E975,$B984&amp;" ~*")&gt;0)+(IFERROR(INDEX(Setup!$G$33:$G$40,MATCH(G984,Setup!$B$33:$B$40,0)),0)=1)*(COUNTIF(G958:I975,$B984)+COUNTIF(G958:I975,$B984&amp;" ~*")&gt;0)+(IFERROR(INDEX(Setup!$G$33:$G$40,MATCH(K984,Setup!$B$33:$B$40,0)),0)=1)*(COUNTIF(K958:M975,$B984)+COUNTIF(K958:M975,$B984&amp;" ~*")&gt;0)+(IFERROR(INDEX(Setup!$G$33:$G$40,MATCH(O984,Setup!$B$33:$B$40,0)),0)=1)*(COUNTIF(O958:Q975,$B984)+COUNTIF(O958:Q975,$B984&amp;" ~*")&gt;0)+(IFERROR(INDEX(Setup!$G$33:$G$40,MATCH(S984,Setup!$B$33:$B$40,0)),0)=1)*(COUNTIF(S958:U975,$B984)+COUNTIF(S958:U975,$B984&amp;" ~*")&gt;0)+(IFERROR(INDEX(Setup!$G$33:$G$40,MATCH(W984,Setup!$B$33:$B$40,0)),0)=1)*(COUNTIF(W958:W975,$B984)+COUNTIF(W958:W975,$B984&amp;" ~*")&gt;0)+(IFERROR(INDEX(Setup!$G$33:$G$40,MATCH(Y984,Setup!$B$33:$B$40,0)),0)=1)*(COUNTIF(Y958:Y975,$B984)+COUNTIF(Y958:Y975,$B984&amp;" ~*")&gt;0))</f>
        <v/>
      </c>
    </row>
    <row r="985" ht="15" customHeight="1">
      <c r="A985" t="n">
        <v>20</v>
      </c>
      <c r="B985" s="35">
        <f>IF(Setup!$B$14="","",Setup!$B$14)</f>
        <v/>
      </c>
      <c r="C985" s="98" t="n"/>
      <c r="D985" s="99" t="n"/>
      <c r="E985" s="99" t="n"/>
      <c r="F985" s="100" t="n"/>
      <c r="G985" s="98" t="n"/>
      <c r="H985" s="99" t="n"/>
      <c r="I985" s="99" t="n"/>
      <c r="J985" s="100" t="n"/>
      <c r="K985" s="98" t="n"/>
      <c r="L985" s="99" t="n"/>
      <c r="M985" s="99" t="n"/>
      <c r="N985" s="100" t="n"/>
      <c r="O985" s="98" t="n"/>
      <c r="P985" s="99" t="n"/>
      <c r="Q985" s="99" t="n"/>
      <c r="R985" s="100" t="n"/>
      <c r="S985" s="98" t="n"/>
      <c r="T985" s="99" t="n"/>
      <c r="U985" s="99" t="n"/>
      <c r="V985" s="100" t="n"/>
      <c r="W985" s="98" t="n"/>
      <c r="X985" s="100" t="n"/>
      <c r="Y985" s="98" t="n"/>
      <c r="Z985" s="100" t="n"/>
      <c r="AB985" s="101">
        <f>IF($B985="","",(COUNTIF(C958:E975,$B985)+COUNTIF(C958:E975,$B985&amp;" ~*")&gt;0)+(COUNTIF(G958:I975,$B985)+COUNTIF(G958:I975,$B985&amp;" ~*")&gt;0)+(COUNTIF(K958:M975,$B985)+COUNTIF(K958:M975,$B985&amp;" ~*")&gt;0)+(COUNTIF(O958:Q975,$B985)+COUNTIF(O958:Q975,$B985&amp;" ~*")&gt;0)+(COUNTIF(S958:U975,$B985)+COUNTIF(S958:U975,$B985&amp;" ~*")&gt;0)+(COUNTIF(W958:W975,$B985)+COUNTIF(W958:W975,$B985&amp;" ~*")&gt;0)+(COUNTIF(Y958:Y975,$B985)+COUNTIF(Y958:Y975,$B985&amp;" ~*")&gt;0))</f>
        <v/>
      </c>
      <c r="AC985" s="36">
        <f>IF($B985="","",(IFERROR(INDEX(Setup!$G$33:$G$40,MATCH(C985,Setup!$B$33:$B$40,0)),0)=1)*(COUNTIF(C958:E975,$B985)+COUNTIF(C958:E975,$B985&amp;" ~*")&gt;0)+(IFERROR(INDEX(Setup!$G$33:$G$40,MATCH(G985,Setup!$B$33:$B$40,0)),0)=1)*(COUNTIF(G958:I975,$B985)+COUNTIF(G958:I975,$B985&amp;" ~*")&gt;0)+(IFERROR(INDEX(Setup!$G$33:$G$40,MATCH(K985,Setup!$B$33:$B$40,0)),0)=1)*(COUNTIF(K958:M975,$B985)+COUNTIF(K958:M975,$B985&amp;" ~*")&gt;0)+(IFERROR(INDEX(Setup!$G$33:$G$40,MATCH(O985,Setup!$B$33:$B$40,0)),0)=1)*(COUNTIF(O958:Q975,$B985)+COUNTIF(O958:Q975,$B985&amp;" ~*")&gt;0)+(IFERROR(INDEX(Setup!$G$33:$G$40,MATCH(S985,Setup!$B$33:$B$40,0)),0)=1)*(COUNTIF(S958:U975,$B985)+COUNTIF(S958:U975,$B985&amp;" ~*")&gt;0)+(IFERROR(INDEX(Setup!$G$33:$G$40,MATCH(W985,Setup!$B$33:$B$40,0)),0)=1)*(COUNTIF(W958:W975,$B985)+COUNTIF(W958:W975,$B985&amp;" ~*")&gt;0)+(IFERROR(INDEX(Setup!$G$33:$G$40,MATCH(Y985,Setup!$B$33:$B$40,0)),0)=1)*(COUNTIF(Y958:Y975,$B985)+COUNTIF(Y958:Y975,$B985&amp;" ~*")&gt;0))</f>
        <v/>
      </c>
    </row>
    <row r="986" ht="15" customHeight="1">
      <c r="A986" t="n">
        <v>20</v>
      </c>
      <c r="B986" s="37">
        <f>IF(Setup!$B$15="","",Setup!$B$15)</f>
        <v/>
      </c>
      <c r="C986" s="102" t="n"/>
      <c r="D986" s="103" t="n"/>
      <c r="E986" s="103" t="n"/>
      <c r="F986" s="104" t="n"/>
      <c r="G986" s="102" t="n"/>
      <c r="H986" s="103" t="n"/>
      <c r="I986" s="103" t="n"/>
      <c r="J986" s="104" t="n"/>
      <c r="K986" s="102" t="n"/>
      <c r="L986" s="103" t="n"/>
      <c r="M986" s="103" t="n"/>
      <c r="N986" s="104" t="n"/>
      <c r="O986" s="102" t="n"/>
      <c r="P986" s="103" t="n"/>
      <c r="Q986" s="103" t="n"/>
      <c r="R986" s="104" t="n"/>
      <c r="S986" s="102" t="n"/>
      <c r="T986" s="103" t="n"/>
      <c r="U986" s="103" t="n"/>
      <c r="V986" s="104" t="n"/>
      <c r="W986" s="102" t="n"/>
      <c r="X986" s="104" t="n"/>
      <c r="Y986" s="102" t="n"/>
      <c r="Z986" s="104" t="n"/>
      <c r="AB986" s="105">
        <f>IF($B986="","",(COUNTIF(C958:E975,$B986)+COUNTIF(C958:E975,$B986&amp;" ~*")&gt;0)+(COUNTIF(G958:I975,$B986)+COUNTIF(G958:I975,$B986&amp;" ~*")&gt;0)+(COUNTIF(K958:M975,$B986)+COUNTIF(K958:M975,$B986&amp;" ~*")&gt;0)+(COUNTIF(O958:Q975,$B986)+COUNTIF(O958:Q975,$B986&amp;" ~*")&gt;0)+(COUNTIF(S958:U975,$B986)+COUNTIF(S958:U975,$B986&amp;" ~*")&gt;0)+(COUNTIF(W958:W975,$B986)+COUNTIF(W958:W975,$B986&amp;" ~*")&gt;0)+(COUNTIF(Y958:Y975,$B986)+COUNTIF(Y958:Y975,$B986&amp;" ~*")&gt;0))</f>
        <v/>
      </c>
      <c r="AC986" s="38">
        <f>IF($B986="","",(IFERROR(INDEX(Setup!$G$33:$G$40,MATCH(C986,Setup!$B$33:$B$40,0)),0)=1)*(COUNTIF(C958:E975,$B986)+COUNTIF(C958:E975,$B986&amp;" ~*")&gt;0)+(IFERROR(INDEX(Setup!$G$33:$G$40,MATCH(G986,Setup!$B$33:$B$40,0)),0)=1)*(COUNTIF(G958:I975,$B986)+COUNTIF(G958:I975,$B986&amp;" ~*")&gt;0)+(IFERROR(INDEX(Setup!$G$33:$G$40,MATCH(K986,Setup!$B$33:$B$40,0)),0)=1)*(COUNTIF(K958:M975,$B986)+COUNTIF(K958:M975,$B986&amp;" ~*")&gt;0)+(IFERROR(INDEX(Setup!$G$33:$G$40,MATCH(O986,Setup!$B$33:$B$40,0)),0)=1)*(COUNTIF(O958:Q975,$B986)+COUNTIF(O958:Q975,$B986&amp;" ~*")&gt;0)+(IFERROR(INDEX(Setup!$G$33:$G$40,MATCH(S986,Setup!$B$33:$B$40,0)),0)=1)*(COUNTIF(S958:U975,$B986)+COUNTIF(S958:U975,$B986&amp;" ~*")&gt;0)+(IFERROR(INDEX(Setup!$G$33:$G$40,MATCH(W986,Setup!$B$33:$B$40,0)),0)=1)*(COUNTIF(W958:W975,$B986)+COUNTIF(W958:W975,$B986&amp;" ~*")&gt;0)+(IFERROR(INDEX(Setup!$G$33:$G$40,MATCH(Y986,Setup!$B$33:$B$40,0)),0)=1)*(COUNTIF(Y958:Y975,$B986)+COUNTIF(Y958:Y975,$B986&amp;" ~*")&gt;0))</f>
        <v/>
      </c>
    </row>
    <row r="987" ht="15" customHeight="1">
      <c r="A987" t="n">
        <v>20</v>
      </c>
      <c r="B987" s="35">
        <f>IF(Setup!$B$16="","",Setup!$B$16)</f>
        <v/>
      </c>
      <c r="C987" s="98" t="n"/>
      <c r="D987" s="99" t="n"/>
      <c r="E987" s="99" t="n"/>
      <c r="F987" s="100" t="n"/>
      <c r="G987" s="98" t="n"/>
      <c r="H987" s="99" t="n"/>
      <c r="I987" s="99" t="n"/>
      <c r="J987" s="100" t="n"/>
      <c r="K987" s="98" t="n"/>
      <c r="L987" s="99" t="n"/>
      <c r="M987" s="99" t="n"/>
      <c r="N987" s="100" t="n"/>
      <c r="O987" s="98" t="n"/>
      <c r="P987" s="99" t="n"/>
      <c r="Q987" s="99" t="n"/>
      <c r="R987" s="100" t="n"/>
      <c r="S987" s="98" t="n"/>
      <c r="T987" s="99" t="n"/>
      <c r="U987" s="99" t="n"/>
      <c r="V987" s="100" t="n"/>
      <c r="W987" s="98" t="n"/>
      <c r="X987" s="100" t="n"/>
      <c r="Y987" s="98" t="n"/>
      <c r="Z987" s="100" t="n"/>
      <c r="AB987" s="101">
        <f>IF($B987="","",(COUNTIF(C958:E975,$B987)+COUNTIF(C958:E975,$B987&amp;" ~*")&gt;0)+(COUNTIF(G958:I975,$B987)+COUNTIF(G958:I975,$B987&amp;" ~*")&gt;0)+(COUNTIF(K958:M975,$B987)+COUNTIF(K958:M975,$B987&amp;" ~*")&gt;0)+(COUNTIF(O958:Q975,$B987)+COUNTIF(O958:Q975,$B987&amp;" ~*")&gt;0)+(COUNTIF(S958:U975,$B987)+COUNTIF(S958:U975,$B987&amp;" ~*")&gt;0)+(COUNTIF(W958:W975,$B987)+COUNTIF(W958:W975,$B987&amp;" ~*")&gt;0)+(COUNTIF(Y958:Y975,$B987)+COUNTIF(Y958:Y975,$B987&amp;" ~*")&gt;0))</f>
        <v/>
      </c>
      <c r="AC987" s="36">
        <f>IF($B987="","",(IFERROR(INDEX(Setup!$G$33:$G$40,MATCH(C987,Setup!$B$33:$B$40,0)),0)=1)*(COUNTIF(C958:E975,$B987)+COUNTIF(C958:E975,$B987&amp;" ~*")&gt;0)+(IFERROR(INDEX(Setup!$G$33:$G$40,MATCH(G987,Setup!$B$33:$B$40,0)),0)=1)*(COUNTIF(G958:I975,$B987)+COUNTIF(G958:I975,$B987&amp;" ~*")&gt;0)+(IFERROR(INDEX(Setup!$G$33:$G$40,MATCH(K987,Setup!$B$33:$B$40,0)),0)=1)*(COUNTIF(K958:M975,$B987)+COUNTIF(K958:M975,$B987&amp;" ~*")&gt;0)+(IFERROR(INDEX(Setup!$G$33:$G$40,MATCH(O987,Setup!$B$33:$B$40,0)),0)=1)*(COUNTIF(O958:Q975,$B987)+COUNTIF(O958:Q975,$B987&amp;" ~*")&gt;0)+(IFERROR(INDEX(Setup!$G$33:$G$40,MATCH(S987,Setup!$B$33:$B$40,0)),0)=1)*(COUNTIF(S958:U975,$B987)+COUNTIF(S958:U975,$B987&amp;" ~*")&gt;0)+(IFERROR(INDEX(Setup!$G$33:$G$40,MATCH(W987,Setup!$B$33:$B$40,0)),0)=1)*(COUNTIF(W958:W975,$B987)+COUNTIF(W958:W975,$B987&amp;" ~*")&gt;0)+(IFERROR(INDEX(Setup!$G$33:$G$40,MATCH(Y987,Setup!$B$33:$B$40,0)),0)=1)*(COUNTIF(Y958:Y975,$B987)+COUNTIF(Y958:Y975,$B987&amp;" ~*")&gt;0))</f>
        <v/>
      </c>
    </row>
    <row r="988" ht="15" customHeight="1">
      <c r="A988" t="n">
        <v>20</v>
      </c>
      <c r="B988" s="37">
        <f>IF(Setup!$B$17="","",Setup!$B$17)</f>
        <v/>
      </c>
      <c r="C988" s="102" t="n"/>
      <c r="D988" s="103" t="n"/>
      <c r="E988" s="103" t="n"/>
      <c r="F988" s="104" t="n"/>
      <c r="G988" s="102" t="n"/>
      <c r="H988" s="103" t="n"/>
      <c r="I988" s="103" t="n"/>
      <c r="J988" s="104" t="n"/>
      <c r="K988" s="102" t="n"/>
      <c r="L988" s="103" t="n"/>
      <c r="M988" s="103" t="n"/>
      <c r="N988" s="104" t="n"/>
      <c r="O988" s="102" t="n"/>
      <c r="P988" s="103" t="n"/>
      <c r="Q988" s="103" t="n"/>
      <c r="R988" s="104" t="n"/>
      <c r="S988" s="102" t="n"/>
      <c r="T988" s="103" t="n"/>
      <c r="U988" s="103" t="n"/>
      <c r="V988" s="104" t="n"/>
      <c r="W988" s="102" t="n"/>
      <c r="X988" s="104" t="n"/>
      <c r="Y988" s="102" t="n"/>
      <c r="Z988" s="104" t="n"/>
      <c r="AB988" s="105">
        <f>IF($B988="","",(COUNTIF(C958:E975,$B988)+COUNTIF(C958:E975,$B988&amp;" ~*")&gt;0)+(COUNTIF(G958:I975,$B988)+COUNTIF(G958:I975,$B988&amp;" ~*")&gt;0)+(COUNTIF(K958:M975,$B988)+COUNTIF(K958:M975,$B988&amp;" ~*")&gt;0)+(COUNTIF(O958:Q975,$B988)+COUNTIF(O958:Q975,$B988&amp;" ~*")&gt;0)+(COUNTIF(S958:U975,$B988)+COUNTIF(S958:U975,$B988&amp;" ~*")&gt;0)+(COUNTIF(W958:W975,$B988)+COUNTIF(W958:W975,$B988&amp;" ~*")&gt;0)+(COUNTIF(Y958:Y975,$B988)+COUNTIF(Y958:Y975,$B988&amp;" ~*")&gt;0))</f>
        <v/>
      </c>
      <c r="AC988" s="38">
        <f>IF($B988="","",(IFERROR(INDEX(Setup!$G$33:$G$40,MATCH(C988,Setup!$B$33:$B$40,0)),0)=1)*(COUNTIF(C958:E975,$B988)+COUNTIF(C958:E975,$B988&amp;" ~*")&gt;0)+(IFERROR(INDEX(Setup!$G$33:$G$40,MATCH(G988,Setup!$B$33:$B$40,0)),0)=1)*(COUNTIF(G958:I975,$B988)+COUNTIF(G958:I975,$B988&amp;" ~*")&gt;0)+(IFERROR(INDEX(Setup!$G$33:$G$40,MATCH(K988,Setup!$B$33:$B$40,0)),0)=1)*(COUNTIF(K958:M975,$B988)+COUNTIF(K958:M975,$B988&amp;" ~*")&gt;0)+(IFERROR(INDEX(Setup!$G$33:$G$40,MATCH(O988,Setup!$B$33:$B$40,0)),0)=1)*(COUNTIF(O958:Q975,$B988)+COUNTIF(O958:Q975,$B988&amp;" ~*")&gt;0)+(IFERROR(INDEX(Setup!$G$33:$G$40,MATCH(S988,Setup!$B$33:$B$40,0)),0)=1)*(COUNTIF(S958:U975,$B988)+COUNTIF(S958:U975,$B988&amp;" ~*")&gt;0)+(IFERROR(INDEX(Setup!$G$33:$G$40,MATCH(W988,Setup!$B$33:$B$40,0)),0)=1)*(COUNTIF(W958:W975,$B988)+COUNTIF(W958:W975,$B988&amp;" ~*")&gt;0)+(IFERROR(INDEX(Setup!$G$33:$G$40,MATCH(Y988,Setup!$B$33:$B$40,0)),0)=1)*(COUNTIF(Y958:Y975,$B988)+COUNTIF(Y958:Y975,$B988&amp;" ~*")&gt;0))</f>
        <v/>
      </c>
    </row>
    <row r="989" ht="15" customHeight="1">
      <c r="A989" t="n">
        <v>20</v>
      </c>
      <c r="B989" s="35">
        <f>IF(Setup!$B$18="","",Setup!$B$18)</f>
        <v/>
      </c>
      <c r="C989" s="98" t="n"/>
      <c r="D989" s="99" t="n"/>
      <c r="E989" s="99" t="n"/>
      <c r="F989" s="100" t="n"/>
      <c r="G989" s="98" t="n"/>
      <c r="H989" s="99" t="n"/>
      <c r="I989" s="99" t="n"/>
      <c r="J989" s="100" t="n"/>
      <c r="K989" s="98" t="n"/>
      <c r="L989" s="99" t="n"/>
      <c r="M989" s="99" t="n"/>
      <c r="N989" s="100" t="n"/>
      <c r="O989" s="98" t="n"/>
      <c r="P989" s="99" t="n"/>
      <c r="Q989" s="99" t="n"/>
      <c r="R989" s="100" t="n"/>
      <c r="S989" s="98" t="n"/>
      <c r="T989" s="99" t="n"/>
      <c r="U989" s="99" t="n"/>
      <c r="V989" s="100" t="n"/>
      <c r="W989" s="98" t="n"/>
      <c r="X989" s="100" t="n"/>
      <c r="Y989" s="98" t="n"/>
      <c r="Z989" s="100" t="n"/>
      <c r="AB989" s="101">
        <f>IF($B989="","",(COUNTIF(C958:E975,$B989)+COUNTIF(C958:E975,$B989&amp;" ~*")&gt;0)+(COUNTIF(G958:I975,$B989)+COUNTIF(G958:I975,$B989&amp;" ~*")&gt;0)+(COUNTIF(K958:M975,$B989)+COUNTIF(K958:M975,$B989&amp;" ~*")&gt;0)+(COUNTIF(O958:Q975,$B989)+COUNTIF(O958:Q975,$B989&amp;" ~*")&gt;0)+(COUNTIF(S958:U975,$B989)+COUNTIF(S958:U975,$B989&amp;" ~*")&gt;0)+(COUNTIF(W958:W975,$B989)+COUNTIF(W958:W975,$B989&amp;" ~*")&gt;0)+(COUNTIF(Y958:Y975,$B989)+COUNTIF(Y958:Y975,$B989&amp;" ~*")&gt;0))</f>
        <v/>
      </c>
      <c r="AC989" s="36">
        <f>IF($B989="","",(IFERROR(INDEX(Setup!$G$33:$G$40,MATCH(C989,Setup!$B$33:$B$40,0)),0)=1)*(COUNTIF(C958:E975,$B989)+COUNTIF(C958:E975,$B989&amp;" ~*")&gt;0)+(IFERROR(INDEX(Setup!$G$33:$G$40,MATCH(G989,Setup!$B$33:$B$40,0)),0)=1)*(COUNTIF(G958:I975,$B989)+COUNTIF(G958:I975,$B989&amp;" ~*")&gt;0)+(IFERROR(INDEX(Setup!$G$33:$G$40,MATCH(K989,Setup!$B$33:$B$40,0)),0)=1)*(COUNTIF(K958:M975,$B989)+COUNTIF(K958:M975,$B989&amp;" ~*")&gt;0)+(IFERROR(INDEX(Setup!$G$33:$G$40,MATCH(O989,Setup!$B$33:$B$40,0)),0)=1)*(COUNTIF(O958:Q975,$B989)+COUNTIF(O958:Q975,$B989&amp;" ~*")&gt;0)+(IFERROR(INDEX(Setup!$G$33:$G$40,MATCH(S989,Setup!$B$33:$B$40,0)),0)=1)*(COUNTIF(S958:U975,$B989)+COUNTIF(S958:U975,$B989&amp;" ~*")&gt;0)+(IFERROR(INDEX(Setup!$G$33:$G$40,MATCH(W989,Setup!$B$33:$B$40,0)),0)=1)*(COUNTIF(W958:W975,$B989)+COUNTIF(W958:W975,$B989&amp;" ~*")&gt;0)+(IFERROR(INDEX(Setup!$G$33:$G$40,MATCH(Y989,Setup!$B$33:$B$40,0)),0)=1)*(COUNTIF(Y958:Y975,$B989)+COUNTIF(Y958:Y975,$B989&amp;" ~*")&gt;0))</f>
        <v/>
      </c>
    </row>
    <row r="990" ht="15" customHeight="1">
      <c r="A990" t="n">
        <v>20</v>
      </c>
      <c r="B990" s="37">
        <f>IF(Setup!$B$19="","",Setup!$B$19)</f>
        <v/>
      </c>
      <c r="C990" s="102" t="n"/>
      <c r="D990" s="103" t="n"/>
      <c r="E990" s="103" t="n"/>
      <c r="F990" s="104" t="n"/>
      <c r="G990" s="102" t="n"/>
      <c r="H990" s="103" t="n"/>
      <c r="I990" s="103" t="n"/>
      <c r="J990" s="104" t="n"/>
      <c r="K990" s="102" t="n"/>
      <c r="L990" s="103" t="n"/>
      <c r="M990" s="103" t="n"/>
      <c r="N990" s="104" t="n"/>
      <c r="O990" s="102" t="n"/>
      <c r="P990" s="103" t="n"/>
      <c r="Q990" s="103" t="n"/>
      <c r="R990" s="104" t="n"/>
      <c r="S990" s="102" t="n"/>
      <c r="T990" s="103" t="n"/>
      <c r="U990" s="103" t="n"/>
      <c r="V990" s="104" t="n"/>
      <c r="W990" s="102" t="n"/>
      <c r="X990" s="104" t="n"/>
      <c r="Y990" s="102" t="n"/>
      <c r="Z990" s="104" t="n"/>
      <c r="AB990" s="105">
        <f>IF($B990="","",(COUNTIF(C958:E975,$B990)+COUNTIF(C958:E975,$B990&amp;" ~*")&gt;0)+(COUNTIF(G958:I975,$B990)+COUNTIF(G958:I975,$B990&amp;" ~*")&gt;0)+(COUNTIF(K958:M975,$B990)+COUNTIF(K958:M975,$B990&amp;" ~*")&gt;0)+(COUNTIF(O958:Q975,$B990)+COUNTIF(O958:Q975,$B990&amp;" ~*")&gt;0)+(COUNTIF(S958:U975,$B990)+COUNTIF(S958:U975,$B990&amp;" ~*")&gt;0)+(COUNTIF(W958:W975,$B990)+COUNTIF(W958:W975,$B990&amp;" ~*")&gt;0)+(COUNTIF(Y958:Y975,$B990)+COUNTIF(Y958:Y975,$B990&amp;" ~*")&gt;0))</f>
        <v/>
      </c>
      <c r="AC990" s="38">
        <f>IF($B990="","",(IFERROR(INDEX(Setup!$G$33:$G$40,MATCH(C990,Setup!$B$33:$B$40,0)),0)=1)*(COUNTIF(C958:E975,$B990)+COUNTIF(C958:E975,$B990&amp;" ~*")&gt;0)+(IFERROR(INDEX(Setup!$G$33:$G$40,MATCH(G990,Setup!$B$33:$B$40,0)),0)=1)*(COUNTIF(G958:I975,$B990)+COUNTIF(G958:I975,$B990&amp;" ~*")&gt;0)+(IFERROR(INDEX(Setup!$G$33:$G$40,MATCH(K990,Setup!$B$33:$B$40,0)),0)=1)*(COUNTIF(K958:M975,$B990)+COUNTIF(K958:M975,$B990&amp;" ~*")&gt;0)+(IFERROR(INDEX(Setup!$G$33:$G$40,MATCH(O990,Setup!$B$33:$B$40,0)),0)=1)*(COUNTIF(O958:Q975,$B990)+COUNTIF(O958:Q975,$B990&amp;" ~*")&gt;0)+(IFERROR(INDEX(Setup!$G$33:$G$40,MATCH(S990,Setup!$B$33:$B$40,0)),0)=1)*(COUNTIF(S958:U975,$B990)+COUNTIF(S958:U975,$B990&amp;" ~*")&gt;0)+(IFERROR(INDEX(Setup!$G$33:$G$40,MATCH(W990,Setup!$B$33:$B$40,0)),0)=1)*(COUNTIF(W958:W975,$B990)+COUNTIF(W958:W975,$B990&amp;" ~*")&gt;0)+(IFERROR(INDEX(Setup!$G$33:$G$40,MATCH(Y990,Setup!$B$33:$B$40,0)),0)=1)*(COUNTIF(Y958:Y975,$B990)+COUNTIF(Y958:Y975,$B990&amp;" ~*")&gt;0))</f>
        <v/>
      </c>
    </row>
    <row r="991" ht="15" customHeight="1">
      <c r="A991" t="n">
        <v>20</v>
      </c>
      <c r="B991" s="35">
        <f>IF(Setup!$B$20="","",Setup!$B$20)</f>
        <v/>
      </c>
      <c r="C991" s="98" t="n"/>
      <c r="D991" s="99" t="n"/>
      <c r="E991" s="99" t="n"/>
      <c r="F991" s="100" t="n"/>
      <c r="G991" s="98" t="n"/>
      <c r="H991" s="99" t="n"/>
      <c r="I991" s="99" t="n"/>
      <c r="J991" s="100" t="n"/>
      <c r="K991" s="98" t="n"/>
      <c r="L991" s="99" t="n"/>
      <c r="M991" s="99" t="n"/>
      <c r="N991" s="100" t="n"/>
      <c r="O991" s="98" t="n"/>
      <c r="P991" s="99" t="n"/>
      <c r="Q991" s="99" t="n"/>
      <c r="R991" s="100" t="n"/>
      <c r="S991" s="98" t="n"/>
      <c r="T991" s="99" t="n"/>
      <c r="U991" s="99" t="n"/>
      <c r="V991" s="100" t="n"/>
      <c r="W991" s="98" t="n"/>
      <c r="X991" s="100" t="n"/>
      <c r="Y991" s="98" t="n"/>
      <c r="Z991" s="100" t="n"/>
      <c r="AB991" s="101">
        <f>IF($B991="","",(COUNTIF(C958:E975,$B991)+COUNTIF(C958:E975,$B991&amp;" ~*")&gt;0)+(COUNTIF(G958:I975,$B991)+COUNTIF(G958:I975,$B991&amp;" ~*")&gt;0)+(COUNTIF(K958:M975,$B991)+COUNTIF(K958:M975,$B991&amp;" ~*")&gt;0)+(COUNTIF(O958:Q975,$B991)+COUNTIF(O958:Q975,$B991&amp;" ~*")&gt;0)+(COUNTIF(S958:U975,$B991)+COUNTIF(S958:U975,$B991&amp;" ~*")&gt;0)+(COUNTIF(W958:W975,$B991)+COUNTIF(W958:W975,$B991&amp;" ~*")&gt;0)+(COUNTIF(Y958:Y975,$B991)+COUNTIF(Y958:Y975,$B991&amp;" ~*")&gt;0))</f>
        <v/>
      </c>
      <c r="AC991" s="36">
        <f>IF($B991="","",(IFERROR(INDEX(Setup!$G$33:$G$40,MATCH(C991,Setup!$B$33:$B$40,0)),0)=1)*(COUNTIF(C958:E975,$B991)+COUNTIF(C958:E975,$B991&amp;" ~*")&gt;0)+(IFERROR(INDEX(Setup!$G$33:$G$40,MATCH(G991,Setup!$B$33:$B$40,0)),0)=1)*(COUNTIF(G958:I975,$B991)+COUNTIF(G958:I975,$B991&amp;" ~*")&gt;0)+(IFERROR(INDEX(Setup!$G$33:$G$40,MATCH(K991,Setup!$B$33:$B$40,0)),0)=1)*(COUNTIF(K958:M975,$B991)+COUNTIF(K958:M975,$B991&amp;" ~*")&gt;0)+(IFERROR(INDEX(Setup!$G$33:$G$40,MATCH(O991,Setup!$B$33:$B$40,0)),0)=1)*(COUNTIF(O958:Q975,$B991)+COUNTIF(O958:Q975,$B991&amp;" ~*")&gt;0)+(IFERROR(INDEX(Setup!$G$33:$G$40,MATCH(S991,Setup!$B$33:$B$40,0)),0)=1)*(COUNTIF(S958:U975,$B991)+COUNTIF(S958:U975,$B991&amp;" ~*")&gt;0)+(IFERROR(INDEX(Setup!$G$33:$G$40,MATCH(W991,Setup!$B$33:$B$40,0)),0)=1)*(COUNTIF(W958:W975,$B991)+COUNTIF(W958:W975,$B991&amp;" ~*")&gt;0)+(IFERROR(INDEX(Setup!$G$33:$G$40,MATCH(Y991,Setup!$B$33:$B$40,0)),0)=1)*(COUNTIF(Y958:Y975,$B991)+COUNTIF(Y958:Y975,$B991&amp;" ~*")&gt;0))</f>
        <v/>
      </c>
    </row>
    <row r="992" ht="15" customHeight="1">
      <c r="A992" t="n">
        <v>20</v>
      </c>
      <c r="B992" s="37">
        <f>IF(Setup!$B$21="","",Setup!$B$21)</f>
        <v/>
      </c>
      <c r="C992" s="102" t="n"/>
      <c r="D992" s="103" t="n"/>
      <c r="E992" s="103" t="n"/>
      <c r="F992" s="104" t="n"/>
      <c r="G992" s="102" t="n"/>
      <c r="H992" s="103" t="n"/>
      <c r="I992" s="103" t="n"/>
      <c r="J992" s="104" t="n"/>
      <c r="K992" s="102" t="n"/>
      <c r="L992" s="103" t="n"/>
      <c r="M992" s="103" t="n"/>
      <c r="N992" s="104" t="n"/>
      <c r="O992" s="102" t="n"/>
      <c r="P992" s="103" t="n"/>
      <c r="Q992" s="103" t="n"/>
      <c r="R992" s="104" t="n"/>
      <c r="S992" s="102" t="n"/>
      <c r="T992" s="103" t="n"/>
      <c r="U992" s="103" t="n"/>
      <c r="V992" s="104" t="n"/>
      <c r="W992" s="102" t="n"/>
      <c r="X992" s="104" t="n"/>
      <c r="Y992" s="102" t="n"/>
      <c r="Z992" s="104" t="n"/>
      <c r="AB992" s="105">
        <f>IF($B992="","",(COUNTIF(C958:E975,$B992)+COUNTIF(C958:E975,$B992&amp;" ~*")&gt;0)+(COUNTIF(G958:I975,$B992)+COUNTIF(G958:I975,$B992&amp;" ~*")&gt;0)+(COUNTIF(K958:M975,$B992)+COUNTIF(K958:M975,$B992&amp;" ~*")&gt;0)+(COUNTIF(O958:Q975,$B992)+COUNTIF(O958:Q975,$B992&amp;" ~*")&gt;0)+(COUNTIF(S958:U975,$B992)+COUNTIF(S958:U975,$B992&amp;" ~*")&gt;0)+(COUNTIF(W958:W975,$B992)+COUNTIF(W958:W975,$B992&amp;" ~*")&gt;0)+(COUNTIF(Y958:Y975,$B992)+COUNTIF(Y958:Y975,$B992&amp;" ~*")&gt;0))</f>
        <v/>
      </c>
      <c r="AC992" s="38">
        <f>IF($B992="","",(IFERROR(INDEX(Setup!$G$33:$G$40,MATCH(C992,Setup!$B$33:$B$40,0)),0)=1)*(COUNTIF(C958:E975,$B992)+COUNTIF(C958:E975,$B992&amp;" ~*")&gt;0)+(IFERROR(INDEX(Setup!$G$33:$G$40,MATCH(G992,Setup!$B$33:$B$40,0)),0)=1)*(COUNTIF(G958:I975,$B992)+COUNTIF(G958:I975,$B992&amp;" ~*")&gt;0)+(IFERROR(INDEX(Setup!$G$33:$G$40,MATCH(K992,Setup!$B$33:$B$40,0)),0)=1)*(COUNTIF(K958:M975,$B992)+COUNTIF(K958:M975,$B992&amp;" ~*")&gt;0)+(IFERROR(INDEX(Setup!$G$33:$G$40,MATCH(O992,Setup!$B$33:$B$40,0)),0)=1)*(COUNTIF(O958:Q975,$B992)+COUNTIF(O958:Q975,$B992&amp;" ~*")&gt;0)+(IFERROR(INDEX(Setup!$G$33:$G$40,MATCH(S992,Setup!$B$33:$B$40,0)),0)=1)*(COUNTIF(S958:U975,$B992)+COUNTIF(S958:U975,$B992&amp;" ~*")&gt;0)+(IFERROR(INDEX(Setup!$G$33:$G$40,MATCH(W992,Setup!$B$33:$B$40,0)),0)=1)*(COUNTIF(W958:W975,$B992)+COUNTIF(W958:W975,$B992&amp;" ~*")&gt;0)+(IFERROR(INDEX(Setup!$G$33:$G$40,MATCH(Y992,Setup!$B$33:$B$40,0)),0)=1)*(COUNTIF(Y958:Y975,$B992)+COUNTIF(Y958:Y975,$B992&amp;" ~*")&gt;0))</f>
        <v/>
      </c>
    </row>
    <row r="993" ht="15" customHeight="1">
      <c r="A993" t="n">
        <v>20</v>
      </c>
      <c r="B993" s="35">
        <f>IF(Setup!$B$22="","",Setup!$B$22)</f>
        <v/>
      </c>
      <c r="C993" s="98" t="n"/>
      <c r="D993" s="99" t="n"/>
      <c r="E993" s="99" t="n"/>
      <c r="F993" s="100" t="n"/>
      <c r="G993" s="98" t="n"/>
      <c r="H993" s="99" t="n"/>
      <c r="I993" s="99" t="n"/>
      <c r="J993" s="100" t="n"/>
      <c r="K993" s="98" t="n"/>
      <c r="L993" s="99" t="n"/>
      <c r="M993" s="99" t="n"/>
      <c r="N993" s="100" t="n"/>
      <c r="O993" s="98" t="n"/>
      <c r="P993" s="99" t="n"/>
      <c r="Q993" s="99" t="n"/>
      <c r="R993" s="100" t="n"/>
      <c r="S993" s="98" t="n"/>
      <c r="T993" s="99" t="n"/>
      <c r="U993" s="99" t="n"/>
      <c r="V993" s="100" t="n"/>
      <c r="W993" s="98" t="n"/>
      <c r="X993" s="100" t="n"/>
      <c r="Y993" s="98" t="n"/>
      <c r="Z993" s="100" t="n"/>
      <c r="AB993" s="101">
        <f>IF($B993="","",(COUNTIF(C958:E975,$B993)+COUNTIF(C958:E975,$B993&amp;" ~*")&gt;0)+(COUNTIF(G958:I975,$B993)+COUNTIF(G958:I975,$B993&amp;" ~*")&gt;0)+(COUNTIF(K958:M975,$B993)+COUNTIF(K958:M975,$B993&amp;" ~*")&gt;0)+(COUNTIF(O958:Q975,$B993)+COUNTIF(O958:Q975,$B993&amp;" ~*")&gt;0)+(COUNTIF(S958:U975,$B993)+COUNTIF(S958:U975,$B993&amp;" ~*")&gt;0)+(COUNTIF(W958:W975,$B993)+COUNTIF(W958:W975,$B993&amp;" ~*")&gt;0)+(COUNTIF(Y958:Y975,$B993)+COUNTIF(Y958:Y975,$B993&amp;" ~*")&gt;0))</f>
        <v/>
      </c>
      <c r="AC993" s="36">
        <f>IF($B993="","",(IFERROR(INDEX(Setup!$G$33:$G$40,MATCH(C993,Setup!$B$33:$B$40,0)),0)=1)*(COUNTIF(C958:E975,$B993)+COUNTIF(C958:E975,$B993&amp;" ~*")&gt;0)+(IFERROR(INDEX(Setup!$G$33:$G$40,MATCH(G993,Setup!$B$33:$B$40,0)),0)=1)*(COUNTIF(G958:I975,$B993)+COUNTIF(G958:I975,$B993&amp;" ~*")&gt;0)+(IFERROR(INDEX(Setup!$G$33:$G$40,MATCH(K993,Setup!$B$33:$B$40,0)),0)=1)*(COUNTIF(K958:M975,$B993)+COUNTIF(K958:M975,$B993&amp;" ~*")&gt;0)+(IFERROR(INDEX(Setup!$G$33:$G$40,MATCH(O993,Setup!$B$33:$B$40,0)),0)=1)*(COUNTIF(O958:Q975,$B993)+COUNTIF(O958:Q975,$B993&amp;" ~*")&gt;0)+(IFERROR(INDEX(Setup!$G$33:$G$40,MATCH(S993,Setup!$B$33:$B$40,0)),0)=1)*(COUNTIF(S958:U975,$B993)+COUNTIF(S958:U975,$B993&amp;" ~*")&gt;0)+(IFERROR(INDEX(Setup!$G$33:$G$40,MATCH(W993,Setup!$B$33:$B$40,0)),0)=1)*(COUNTIF(W958:W975,$B993)+COUNTIF(W958:W975,$B993&amp;" ~*")&gt;0)+(IFERROR(INDEX(Setup!$G$33:$G$40,MATCH(Y993,Setup!$B$33:$B$40,0)),0)=1)*(COUNTIF(Y958:Y975,$B993)+COUNTIF(Y958:Y975,$B993&amp;" ~*")&gt;0))</f>
        <v/>
      </c>
    </row>
    <row r="994" ht="15" customHeight="1">
      <c r="A994" t="n">
        <v>20</v>
      </c>
      <c r="B994" s="37">
        <f>IF(Setup!$B$23="","",Setup!$B$23)</f>
        <v/>
      </c>
      <c r="C994" s="102" t="n"/>
      <c r="D994" s="103" t="n"/>
      <c r="E994" s="103" t="n"/>
      <c r="F994" s="104" t="n"/>
      <c r="G994" s="102" t="n"/>
      <c r="H994" s="103" t="n"/>
      <c r="I994" s="103" t="n"/>
      <c r="J994" s="104" t="n"/>
      <c r="K994" s="102" t="n"/>
      <c r="L994" s="103" t="n"/>
      <c r="M994" s="103" t="n"/>
      <c r="N994" s="104" t="n"/>
      <c r="O994" s="102" t="n"/>
      <c r="P994" s="103" t="n"/>
      <c r="Q994" s="103" t="n"/>
      <c r="R994" s="104" t="n"/>
      <c r="S994" s="102" t="n"/>
      <c r="T994" s="103" t="n"/>
      <c r="U994" s="103" t="n"/>
      <c r="V994" s="104" t="n"/>
      <c r="W994" s="102" t="n"/>
      <c r="X994" s="104" t="n"/>
      <c r="Y994" s="102" t="n"/>
      <c r="Z994" s="104" t="n"/>
      <c r="AB994" s="105">
        <f>IF($B994="","",(COUNTIF(C958:E975,$B994)+COUNTIF(C958:E975,$B994&amp;" ~*")&gt;0)+(COUNTIF(G958:I975,$B994)+COUNTIF(G958:I975,$B994&amp;" ~*")&gt;0)+(COUNTIF(K958:M975,$B994)+COUNTIF(K958:M975,$B994&amp;" ~*")&gt;0)+(COUNTIF(O958:Q975,$B994)+COUNTIF(O958:Q975,$B994&amp;" ~*")&gt;0)+(COUNTIF(S958:U975,$B994)+COUNTIF(S958:U975,$B994&amp;" ~*")&gt;0)+(COUNTIF(W958:W975,$B994)+COUNTIF(W958:W975,$B994&amp;" ~*")&gt;0)+(COUNTIF(Y958:Y975,$B994)+COUNTIF(Y958:Y975,$B994&amp;" ~*")&gt;0))</f>
        <v/>
      </c>
      <c r="AC994" s="38">
        <f>IF($B994="","",(IFERROR(INDEX(Setup!$G$33:$G$40,MATCH(C994,Setup!$B$33:$B$40,0)),0)=1)*(COUNTIF(C958:E975,$B994)+COUNTIF(C958:E975,$B994&amp;" ~*")&gt;0)+(IFERROR(INDEX(Setup!$G$33:$G$40,MATCH(G994,Setup!$B$33:$B$40,0)),0)=1)*(COUNTIF(G958:I975,$B994)+COUNTIF(G958:I975,$B994&amp;" ~*")&gt;0)+(IFERROR(INDEX(Setup!$G$33:$G$40,MATCH(K994,Setup!$B$33:$B$40,0)),0)=1)*(COUNTIF(K958:M975,$B994)+COUNTIF(K958:M975,$B994&amp;" ~*")&gt;0)+(IFERROR(INDEX(Setup!$G$33:$G$40,MATCH(O994,Setup!$B$33:$B$40,0)),0)=1)*(COUNTIF(O958:Q975,$B994)+COUNTIF(O958:Q975,$B994&amp;" ~*")&gt;0)+(IFERROR(INDEX(Setup!$G$33:$G$40,MATCH(S994,Setup!$B$33:$B$40,0)),0)=1)*(COUNTIF(S958:U975,$B994)+COUNTIF(S958:U975,$B994&amp;" ~*")&gt;0)+(IFERROR(INDEX(Setup!$G$33:$G$40,MATCH(W994,Setup!$B$33:$B$40,0)),0)=1)*(COUNTIF(W958:W975,$B994)+COUNTIF(W958:W975,$B994&amp;" ~*")&gt;0)+(IFERROR(INDEX(Setup!$G$33:$G$40,MATCH(Y994,Setup!$B$33:$B$40,0)),0)=1)*(COUNTIF(Y958:Y975,$B994)+COUNTIF(Y958:Y975,$B994&amp;" ~*")&gt;0))</f>
        <v/>
      </c>
    </row>
    <row r="995" ht="15" customHeight="1">
      <c r="A995" t="n">
        <v>20</v>
      </c>
      <c r="B995" s="35">
        <f>IF(Setup!$B$24="","",Setup!$B$24)</f>
        <v/>
      </c>
      <c r="C995" s="98" t="n"/>
      <c r="D995" s="99" t="n"/>
      <c r="E995" s="99" t="n"/>
      <c r="F995" s="100" t="n"/>
      <c r="G995" s="98" t="n"/>
      <c r="H995" s="99" t="n"/>
      <c r="I995" s="99" t="n"/>
      <c r="J995" s="100" t="n"/>
      <c r="K995" s="98" t="n"/>
      <c r="L995" s="99" t="n"/>
      <c r="M995" s="99" t="n"/>
      <c r="N995" s="100" t="n"/>
      <c r="O995" s="98" t="n"/>
      <c r="P995" s="99" t="n"/>
      <c r="Q995" s="99" t="n"/>
      <c r="R995" s="100" t="n"/>
      <c r="S995" s="98" t="n"/>
      <c r="T995" s="99" t="n"/>
      <c r="U995" s="99" t="n"/>
      <c r="V995" s="100" t="n"/>
      <c r="W995" s="98" t="n"/>
      <c r="X995" s="100" t="n"/>
      <c r="Y995" s="98" t="n"/>
      <c r="Z995" s="100" t="n"/>
      <c r="AB995" s="101">
        <f>IF($B995="","",(COUNTIF(C958:E975,$B995)+COUNTIF(C958:E975,$B995&amp;" ~*")&gt;0)+(COUNTIF(G958:I975,$B995)+COUNTIF(G958:I975,$B995&amp;" ~*")&gt;0)+(COUNTIF(K958:M975,$B995)+COUNTIF(K958:M975,$B995&amp;" ~*")&gt;0)+(COUNTIF(O958:Q975,$B995)+COUNTIF(O958:Q975,$B995&amp;" ~*")&gt;0)+(COUNTIF(S958:U975,$B995)+COUNTIF(S958:U975,$B995&amp;" ~*")&gt;0)+(COUNTIF(W958:W975,$B995)+COUNTIF(W958:W975,$B995&amp;" ~*")&gt;0)+(COUNTIF(Y958:Y975,$B995)+COUNTIF(Y958:Y975,$B995&amp;" ~*")&gt;0))</f>
        <v/>
      </c>
      <c r="AC995" s="36">
        <f>IF($B995="","",(IFERROR(INDEX(Setup!$G$33:$G$40,MATCH(C995,Setup!$B$33:$B$40,0)),0)=1)*(COUNTIF(C958:E975,$B995)+COUNTIF(C958:E975,$B995&amp;" ~*")&gt;0)+(IFERROR(INDEX(Setup!$G$33:$G$40,MATCH(G995,Setup!$B$33:$B$40,0)),0)=1)*(COUNTIF(G958:I975,$B995)+COUNTIF(G958:I975,$B995&amp;" ~*")&gt;0)+(IFERROR(INDEX(Setup!$G$33:$G$40,MATCH(K995,Setup!$B$33:$B$40,0)),0)=1)*(COUNTIF(K958:M975,$B995)+COUNTIF(K958:M975,$B995&amp;" ~*")&gt;0)+(IFERROR(INDEX(Setup!$G$33:$G$40,MATCH(O995,Setup!$B$33:$B$40,0)),0)=1)*(COUNTIF(O958:Q975,$B995)+COUNTIF(O958:Q975,$B995&amp;" ~*")&gt;0)+(IFERROR(INDEX(Setup!$G$33:$G$40,MATCH(S995,Setup!$B$33:$B$40,0)),0)=1)*(COUNTIF(S958:U975,$B995)+COUNTIF(S958:U975,$B995&amp;" ~*")&gt;0)+(IFERROR(INDEX(Setup!$G$33:$G$40,MATCH(W995,Setup!$B$33:$B$40,0)),0)=1)*(COUNTIF(W958:W975,$B995)+COUNTIF(W958:W975,$B995&amp;" ~*")&gt;0)+(IFERROR(INDEX(Setup!$G$33:$G$40,MATCH(Y995,Setup!$B$33:$B$40,0)),0)=1)*(COUNTIF(Y958:Y975,$B995)+COUNTIF(Y958:Y975,$B995&amp;" ~*")&gt;0))</f>
        <v/>
      </c>
    </row>
    <row r="996" ht="15" customHeight="1">
      <c r="A996" t="n">
        <v>20</v>
      </c>
      <c r="B996" s="37">
        <f>IF(Setup!$B$25="","",Setup!$B$25)</f>
        <v/>
      </c>
      <c r="C996" s="102" t="n"/>
      <c r="D996" s="103" t="n"/>
      <c r="E996" s="103" t="n"/>
      <c r="F996" s="104" t="n"/>
      <c r="G996" s="102" t="n"/>
      <c r="H996" s="103" t="n"/>
      <c r="I996" s="103" t="n"/>
      <c r="J996" s="104" t="n"/>
      <c r="K996" s="102" t="n"/>
      <c r="L996" s="103" t="n"/>
      <c r="M996" s="103" t="n"/>
      <c r="N996" s="104" t="n"/>
      <c r="O996" s="102" t="n"/>
      <c r="P996" s="103" t="n"/>
      <c r="Q996" s="103" t="n"/>
      <c r="R996" s="104" t="n"/>
      <c r="S996" s="102" t="n"/>
      <c r="T996" s="103" t="n"/>
      <c r="U996" s="103" t="n"/>
      <c r="V996" s="104" t="n"/>
      <c r="W996" s="102" t="n"/>
      <c r="X996" s="104" t="n"/>
      <c r="Y996" s="102" t="n"/>
      <c r="Z996" s="104" t="n"/>
      <c r="AB996" s="105">
        <f>IF($B996="","",(COUNTIF(C958:E975,$B996)+COUNTIF(C958:E975,$B996&amp;" ~*")&gt;0)+(COUNTIF(G958:I975,$B996)+COUNTIF(G958:I975,$B996&amp;" ~*")&gt;0)+(COUNTIF(K958:M975,$B996)+COUNTIF(K958:M975,$B996&amp;" ~*")&gt;0)+(COUNTIF(O958:Q975,$B996)+COUNTIF(O958:Q975,$B996&amp;" ~*")&gt;0)+(COUNTIF(S958:U975,$B996)+COUNTIF(S958:U975,$B996&amp;" ~*")&gt;0)+(COUNTIF(W958:W975,$B996)+COUNTIF(W958:W975,$B996&amp;" ~*")&gt;0)+(COUNTIF(Y958:Y975,$B996)+COUNTIF(Y958:Y975,$B996&amp;" ~*")&gt;0))</f>
        <v/>
      </c>
      <c r="AC996" s="38">
        <f>IF($B996="","",(IFERROR(INDEX(Setup!$G$33:$G$40,MATCH(C996,Setup!$B$33:$B$40,0)),0)=1)*(COUNTIF(C958:E975,$B996)+COUNTIF(C958:E975,$B996&amp;" ~*")&gt;0)+(IFERROR(INDEX(Setup!$G$33:$G$40,MATCH(G996,Setup!$B$33:$B$40,0)),0)=1)*(COUNTIF(G958:I975,$B996)+COUNTIF(G958:I975,$B996&amp;" ~*")&gt;0)+(IFERROR(INDEX(Setup!$G$33:$G$40,MATCH(K996,Setup!$B$33:$B$40,0)),0)=1)*(COUNTIF(K958:M975,$B996)+COUNTIF(K958:M975,$B996&amp;" ~*")&gt;0)+(IFERROR(INDEX(Setup!$G$33:$G$40,MATCH(O996,Setup!$B$33:$B$40,0)),0)=1)*(COUNTIF(O958:Q975,$B996)+COUNTIF(O958:Q975,$B996&amp;" ~*")&gt;0)+(IFERROR(INDEX(Setup!$G$33:$G$40,MATCH(S996,Setup!$B$33:$B$40,0)),0)=1)*(COUNTIF(S958:U975,$B996)+COUNTIF(S958:U975,$B996&amp;" ~*")&gt;0)+(IFERROR(INDEX(Setup!$G$33:$G$40,MATCH(W996,Setup!$B$33:$B$40,0)),0)=1)*(COUNTIF(W958:W975,$B996)+COUNTIF(W958:W975,$B996&amp;" ~*")&gt;0)+(IFERROR(INDEX(Setup!$G$33:$G$40,MATCH(Y996,Setup!$B$33:$B$40,0)),0)=1)*(COUNTIF(Y958:Y975,$B996)+COUNTIF(Y958:Y975,$B996&amp;" ~*")&gt;0))</f>
        <v/>
      </c>
    </row>
    <row r="997" ht="15" customHeight="1">
      <c r="A997" t="n">
        <v>20</v>
      </c>
      <c r="B997" s="35">
        <f>IF(Setup!$B$26="","",Setup!$B$26)</f>
        <v/>
      </c>
      <c r="C997" s="98" t="n"/>
      <c r="D997" s="99" t="n"/>
      <c r="E997" s="99" t="n"/>
      <c r="F997" s="100" t="n"/>
      <c r="G997" s="98" t="n"/>
      <c r="H997" s="99" t="n"/>
      <c r="I997" s="99" t="n"/>
      <c r="J997" s="100" t="n"/>
      <c r="K997" s="98" t="n"/>
      <c r="L997" s="99" t="n"/>
      <c r="M997" s="99" t="n"/>
      <c r="N997" s="100" t="n"/>
      <c r="O997" s="98" t="n"/>
      <c r="P997" s="99" t="n"/>
      <c r="Q997" s="99" t="n"/>
      <c r="R997" s="100" t="n"/>
      <c r="S997" s="98" t="n"/>
      <c r="T997" s="99" t="n"/>
      <c r="U997" s="99" t="n"/>
      <c r="V997" s="100" t="n"/>
      <c r="W997" s="98" t="n"/>
      <c r="X997" s="100" t="n"/>
      <c r="Y997" s="98" t="n"/>
      <c r="Z997" s="100" t="n"/>
      <c r="AB997" s="101">
        <f>IF($B997="","",(COUNTIF(C958:E975,$B997)+COUNTIF(C958:E975,$B997&amp;" ~*")&gt;0)+(COUNTIF(G958:I975,$B997)+COUNTIF(G958:I975,$B997&amp;" ~*")&gt;0)+(COUNTIF(K958:M975,$B997)+COUNTIF(K958:M975,$B997&amp;" ~*")&gt;0)+(COUNTIF(O958:Q975,$B997)+COUNTIF(O958:Q975,$B997&amp;" ~*")&gt;0)+(COUNTIF(S958:U975,$B997)+COUNTIF(S958:U975,$B997&amp;" ~*")&gt;0)+(COUNTIF(W958:W975,$B997)+COUNTIF(W958:W975,$B997&amp;" ~*")&gt;0)+(COUNTIF(Y958:Y975,$B997)+COUNTIF(Y958:Y975,$B997&amp;" ~*")&gt;0))</f>
        <v/>
      </c>
      <c r="AC997" s="36">
        <f>IF($B997="","",(IFERROR(INDEX(Setup!$G$33:$G$40,MATCH(C997,Setup!$B$33:$B$40,0)),0)=1)*(COUNTIF(C958:E975,$B997)+COUNTIF(C958:E975,$B997&amp;" ~*")&gt;0)+(IFERROR(INDEX(Setup!$G$33:$G$40,MATCH(G997,Setup!$B$33:$B$40,0)),0)=1)*(COUNTIF(G958:I975,$B997)+COUNTIF(G958:I975,$B997&amp;" ~*")&gt;0)+(IFERROR(INDEX(Setup!$G$33:$G$40,MATCH(K997,Setup!$B$33:$B$40,0)),0)=1)*(COUNTIF(K958:M975,$B997)+COUNTIF(K958:M975,$B997&amp;" ~*")&gt;0)+(IFERROR(INDEX(Setup!$G$33:$G$40,MATCH(O997,Setup!$B$33:$B$40,0)),0)=1)*(COUNTIF(O958:Q975,$B997)+COUNTIF(O958:Q975,$B997&amp;" ~*")&gt;0)+(IFERROR(INDEX(Setup!$G$33:$G$40,MATCH(S997,Setup!$B$33:$B$40,0)),0)=1)*(COUNTIF(S958:U975,$B997)+COUNTIF(S958:U975,$B997&amp;" ~*")&gt;0)+(IFERROR(INDEX(Setup!$G$33:$G$40,MATCH(W997,Setup!$B$33:$B$40,0)),0)=1)*(COUNTIF(W958:W975,$B997)+COUNTIF(W958:W975,$B997&amp;" ~*")&gt;0)+(IFERROR(INDEX(Setup!$G$33:$G$40,MATCH(Y997,Setup!$B$33:$B$40,0)),0)=1)*(COUNTIF(Y958:Y975,$B997)+COUNTIF(Y958:Y975,$B997&amp;" ~*")&gt;0))</f>
        <v/>
      </c>
    </row>
    <row r="998" ht="15" customHeight="1">
      <c r="A998" t="n">
        <v>20</v>
      </c>
      <c r="B998" s="37">
        <f>IF(Setup!$B$27="","",Setup!$B$27)</f>
        <v/>
      </c>
      <c r="C998" s="102" t="n"/>
      <c r="D998" s="103" t="n"/>
      <c r="E998" s="103" t="n"/>
      <c r="F998" s="104" t="n"/>
      <c r="G998" s="102" t="n"/>
      <c r="H998" s="103" t="n"/>
      <c r="I998" s="103" t="n"/>
      <c r="J998" s="104" t="n"/>
      <c r="K998" s="102" t="n"/>
      <c r="L998" s="103" t="n"/>
      <c r="M998" s="103" t="n"/>
      <c r="N998" s="104" t="n"/>
      <c r="O998" s="102" t="n"/>
      <c r="P998" s="103" t="n"/>
      <c r="Q998" s="103" t="n"/>
      <c r="R998" s="104" t="n"/>
      <c r="S998" s="102" t="n"/>
      <c r="T998" s="103" t="n"/>
      <c r="U998" s="103" t="n"/>
      <c r="V998" s="104" t="n"/>
      <c r="W998" s="102" t="n"/>
      <c r="X998" s="104" t="n"/>
      <c r="Y998" s="102" t="n"/>
      <c r="Z998" s="104" t="n"/>
      <c r="AB998" s="105">
        <f>IF($B998="","",(COUNTIF(C958:E975,$B998)+COUNTIF(C958:E975,$B998&amp;" ~*")&gt;0)+(COUNTIF(G958:I975,$B998)+COUNTIF(G958:I975,$B998&amp;" ~*")&gt;0)+(COUNTIF(K958:M975,$B998)+COUNTIF(K958:M975,$B998&amp;" ~*")&gt;0)+(COUNTIF(O958:Q975,$B998)+COUNTIF(O958:Q975,$B998&amp;" ~*")&gt;0)+(COUNTIF(S958:U975,$B998)+COUNTIF(S958:U975,$B998&amp;" ~*")&gt;0)+(COUNTIF(W958:W975,$B998)+COUNTIF(W958:W975,$B998&amp;" ~*")&gt;0)+(COUNTIF(Y958:Y975,$B998)+COUNTIF(Y958:Y975,$B998&amp;" ~*")&gt;0))</f>
        <v/>
      </c>
      <c r="AC998" s="38">
        <f>IF($B998="","",(IFERROR(INDEX(Setup!$G$33:$G$40,MATCH(C998,Setup!$B$33:$B$40,0)),0)=1)*(COUNTIF(C958:E975,$B998)+COUNTIF(C958:E975,$B998&amp;" ~*")&gt;0)+(IFERROR(INDEX(Setup!$G$33:$G$40,MATCH(G998,Setup!$B$33:$B$40,0)),0)=1)*(COUNTIF(G958:I975,$B998)+COUNTIF(G958:I975,$B998&amp;" ~*")&gt;0)+(IFERROR(INDEX(Setup!$G$33:$G$40,MATCH(K998,Setup!$B$33:$B$40,0)),0)=1)*(COUNTIF(K958:M975,$B998)+COUNTIF(K958:M975,$B998&amp;" ~*")&gt;0)+(IFERROR(INDEX(Setup!$G$33:$G$40,MATCH(O998,Setup!$B$33:$B$40,0)),0)=1)*(COUNTIF(O958:Q975,$B998)+COUNTIF(O958:Q975,$B998&amp;" ~*")&gt;0)+(IFERROR(INDEX(Setup!$G$33:$G$40,MATCH(S998,Setup!$B$33:$B$40,0)),0)=1)*(COUNTIF(S958:U975,$B998)+COUNTIF(S958:U975,$B998&amp;" ~*")&gt;0)+(IFERROR(INDEX(Setup!$G$33:$G$40,MATCH(W998,Setup!$B$33:$B$40,0)),0)=1)*(COUNTIF(W958:W975,$B998)+COUNTIF(W958:W975,$B998&amp;" ~*")&gt;0)+(IFERROR(INDEX(Setup!$G$33:$G$40,MATCH(Y998,Setup!$B$33:$B$40,0)),0)=1)*(COUNTIF(Y958:Y975,$B998)+COUNTIF(Y958:Y975,$B998&amp;" ~*")&gt;0))</f>
        <v/>
      </c>
    </row>
    <row r="999" ht="15" customHeight="1">
      <c r="A999" t="n">
        <v>20</v>
      </c>
      <c r="B999" s="35">
        <f>IF(Setup!$B$28="","",Setup!$B$28)</f>
        <v/>
      </c>
      <c r="C999" s="98" t="n"/>
      <c r="D999" s="99" t="n"/>
      <c r="E999" s="99" t="n"/>
      <c r="F999" s="100" t="n"/>
      <c r="G999" s="98" t="n"/>
      <c r="H999" s="99" t="n"/>
      <c r="I999" s="99" t="n"/>
      <c r="J999" s="100" t="n"/>
      <c r="K999" s="98" t="n"/>
      <c r="L999" s="99" t="n"/>
      <c r="M999" s="99" t="n"/>
      <c r="N999" s="100" t="n"/>
      <c r="O999" s="98" t="n"/>
      <c r="P999" s="99" t="n"/>
      <c r="Q999" s="99" t="n"/>
      <c r="R999" s="100" t="n"/>
      <c r="S999" s="98" t="n"/>
      <c r="T999" s="99" t="n"/>
      <c r="U999" s="99" t="n"/>
      <c r="V999" s="100" t="n"/>
      <c r="W999" s="98" t="n"/>
      <c r="X999" s="100" t="n"/>
      <c r="Y999" s="98" t="n"/>
      <c r="Z999" s="100" t="n"/>
      <c r="AB999" s="101">
        <f>IF($B999="","",(COUNTIF(C958:E975,$B999)+COUNTIF(C958:E975,$B999&amp;" ~*")&gt;0)+(COUNTIF(G958:I975,$B999)+COUNTIF(G958:I975,$B999&amp;" ~*")&gt;0)+(COUNTIF(K958:M975,$B999)+COUNTIF(K958:M975,$B999&amp;" ~*")&gt;0)+(COUNTIF(O958:Q975,$B999)+COUNTIF(O958:Q975,$B999&amp;" ~*")&gt;0)+(COUNTIF(S958:U975,$B999)+COUNTIF(S958:U975,$B999&amp;" ~*")&gt;0)+(COUNTIF(W958:W975,$B999)+COUNTIF(W958:W975,$B999&amp;" ~*")&gt;0)+(COUNTIF(Y958:Y975,$B999)+COUNTIF(Y958:Y975,$B999&amp;" ~*")&gt;0))</f>
        <v/>
      </c>
      <c r="AC999" s="36">
        <f>IF($B999="","",(IFERROR(INDEX(Setup!$G$33:$G$40,MATCH(C999,Setup!$B$33:$B$40,0)),0)=1)*(COUNTIF(C958:E975,$B999)+COUNTIF(C958:E975,$B999&amp;" ~*")&gt;0)+(IFERROR(INDEX(Setup!$G$33:$G$40,MATCH(G999,Setup!$B$33:$B$40,0)),0)=1)*(COUNTIF(G958:I975,$B999)+COUNTIF(G958:I975,$B999&amp;" ~*")&gt;0)+(IFERROR(INDEX(Setup!$G$33:$G$40,MATCH(K999,Setup!$B$33:$B$40,0)),0)=1)*(COUNTIF(K958:M975,$B999)+COUNTIF(K958:M975,$B999&amp;" ~*")&gt;0)+(IFERROR(INDEX(Setup!$G$33:$G$40,MATCH(O999,Setup!$B$33:$B$40,0)),0)=1)*(COUNTIF(O958:Q975,$B999)+COUNTIF(O958:Q975,$B999&amp;" ~*")&gt;0)+(IFERROR(INDEX(Setup!$G$33:$G$40,MATCH(S999,Setup!$B$33:$B$40,0)),0)=1)*(COUNTIF(S958:U975,$B999)+COUNTIF(S958:U975,$B999&amp;" ~*")&gt;0)+(IFERROR(INDEX(Setup!$G$33:$G$40,MATCH(W999,Setup!$B$33:$B$40,0)),0)=1)*(COUNTIF(W958:W975,$B999)+COUNTIF(W958:W975,$B999&amp;" ~*")&gt;0)+(IFERROR(INDEX(Setup!$G$33:$G$40,MATCH(Y999,Setup!$B$33:$B$40,0)),0)=1)*(COUNTIF(Y958:Y975,$B999)+COUNTIF(Y958:Y975,$B999&amp;" ~*")&gt;0))</f>
        <v/>
      </c>
    </row>
    <row r="1000" ht="15" customHeight="1">
      <c r="A1000" t="n">
        <v>20</v>
      </c>
      <c r="B1000" s="37">
        <f>IF(Setup!$B$29="","",Setup!$B$29)</f>
        <v/>
      </c>
      <c r="C1000" s="102" t="n"/>
      <c r="D1000" s="103" t="n"/>
      <c r="E1000" s="103" t="n"/>
      <c r="F1000" s="104" t="n"/>
      <c r="G1000" s="102" t="n"/>
      <c r="H1000" s="103" t="n"/>
      <c r="I1000" s="103" t="n"/>
      <c r="J1000" s="104" t="n"/>
      <c r="K1000" s="102" t="n"/>
      <c r="L1000" s="103" t="n"/>
      <c r="M1000" s="103" t="n"/>
      <c r="N1000" s="104" t="n"/>
      <c r="O1000" s="102" t="n"/>
      <c r="P1000" s="103" t="n"/>
      <c r="Q1000" s="103" t="n"/>
      <c r="R1000" s="104" t="n"/>
      <c r="S1000" s="102" t="n"/>
      <c r="T1000" s="103" t="n"/>
      <c r="U1000" s="103" t="n"/>
      <c r="V1000" s="104" t="n"/>
      <c r="W1000" s="102" t="n"/>
      <c r="X1000" s="104" t="n"/>
      <c r="Y1000" s="102" t="n"/>
      <c r="Z1000" s="104" t="n"/>
      <c r="AB1000" s="105">
        <f>IF($B1000="","",(COUNTIF(C958:E975,$B1000)+COUNTIF(C958:E975,$B1000&amp;" ~*")&gt;0)+(COUNTIF(G958:I975,$B1000)+COUNTIF(G958:I975,$B1000&amp;" ~*")&gt;0)+(COUNTIF(K958:M975,$B1000)+COUNTIF(K958:M975,$B1000&amp;" ~*")&gt;0)+(COUNTIF(O958:Q975,$B1000)+COUNTIF(O958:Q975,$B1000&amp;" ~*")&gt;0)+(COUNTIF(S958:U975,$B1000)+COUNTIF(S958:U975,$B1000&amp;" ~*")&gt;0)+(COUNTIF(W958:W975,$B1000)+COUNTIF(W958:W975,$B1000&amp;" ~*")&gt;0)+(COUNTIF(Y958:Y975,$B1000)+COUNTIF(Y958:Y975,$B1000&amp;" ~*")&gt;0))</f>
        <v/>
      </c>
      <c r="AC1000" s="38">
        <f>IF($B1000="","",(IFERROR(INDEX(Setup!$G$33:$G$40,MATCH(C1000,Setup!$B$33:$B$40,0)),0)=1)*(COUNTIF(C958:E975,$B1000)+COUNTIF(C958:E975,$B1000&amp;" ~*")&gt;0)+(IFERROR(INDEX(Setup!$G$33:$G$40,MATCH(G1000,Setup!$B$33:$B$40,0)),0)=1)*(COUNTIF(G958:I975,$B1000)+COUNTIF(G958:I975,$B1000&amp;" ~*")&gt;0)+(IFERROR(INDEX(Setup!$G$33:$G$40,MATCH(K1000,Setup!$B$33:$B$40,0)),0)=1)*(COUNTIF(K958:M975,$B1000)+COUNTIF(K958:M975,$B1000&amp;" ~*")&gt;0)+(IFERROR(INDEX(Setup!$G$33:$G$40,MATCH(O1000,Setup!$B$33:$B$40,0)),0)=1)*(COUNTIF(O958:Q975,$B1000)+COUNTIF(O958:Q975,$B1000&amp;" ~*")&gt;0)+(IFERROR(INDEX(Setup!$G$33:$G$40,MATCH(S1000,Setup!$B$33:$B$40,0)),0)=1)*(COUNTIF(S958:U975,$B1000)+COUNTIF(S958:U975,$B1000&amp;" ~*")&gt;0)+(IFERROR(INDEX(Setup!$G$33:$G$40,MATCH(W1000,Setup!$B$33:$B$40,0)),0)=1)*(COUNTIF(W958:W975,$B1000)+COUNTIF(W958:W975,$B1000&amp;" ~*")&gt;0)+(IFERROR(INDEX(Setup!$G$33:$G$40,MATCH(Y1000,Setup!$B$33:$B$40,0)),0)=1)*(COUNTIF(Y958:Y975,$B1000)+COUNTIF(Y958:Y975,$B1000&amp;" ~*")&gt;0))</f>
        <v/>
      </c>
    </row>
    <row r="1001" ht="16" customHeight="1">
      <c r="A1001" t="n">
        <v>20</v>
      </c>
      <c r="B1001" s="106" t="inlineStr">
        <is>
          <t>Available people</t>
        </is>
      </c>
      <c r="C1001" s="107">
        <f>COUNTIFS(Setup!$E$6:$E$29,"Y",Setup!$B$6:$B$29,"?*")-SUMPRODUCT(COUNTIF(C977:C1000,Setup!$F$33:$F$40))</f>
        <v/>
      </c>
      <c r="D1001" s="107" t="n"/>
      <c r="E1001" s="107" t="n"/>
      <c r="F1001" s="107" t="n"/>
      <c r="G1001" s="107">
        <f>COUNTIFS(Setup!$E$6:$E$29,"Y",Setup!$B$6:$B$29,"?*")-SUMPRODUCT(COUNTIF(G977:G1000,Setup!$F$33:$F$40))</f>
        <v/>
      </c>
      <c r="H1001" s="107" t="n"/>
      <c r="I1001" s="107" t="n"/>
      <c r="J1001" s="107" t="n"/>
      <c r="K1001" s="107">
        <f>COUNTIFS(Setup!$E$6:$E$29,"Y",Setup!$B$6:$B$29,"?*")-SUMPRODUCT(COUNTIF(K977:K1000,Setup!$F$33:$F$40))</f>
        <v/>
      </c>
      <c r="L1001" s="107" t="n"/>
      <c r="M1001" s="107" t="n"/>
      <c r="N1001" s="107" t="n"/>
      <c r="O1001" s="107">
        <f>COUNTIFS(Setup!$E$6:$E$29,"Y",Setup!$B$6:$B$29,"?*")-SUMPRODUCT(COUNTIF(O977:O1000,Setup!$F$33:$F$40))</f>
        <v/>
      </c>
      <c r="P1001" s="107" t="n"/>
      <c r="Q1001" s="107" t="n"/>
      <c r="R1001" s="107" t="n"/>
      <c r="S1001" s="107">
        <f>COUNTIFS(Setup!$E$6:$E$29,"Y",Setup!$B$6:$B$29,"?*")-SUMPRODUCT(COUNTIF(S977:S1000,Setup!$F$33:$F$40))</f>
        <v/>
      </c>
      <c r="T1001" s="107" t="n"/>
      <c r="U1001" s="107" t="n"/>
      <c r="V1001" s="107" t="n"/>
      <c r="W1001" s="107">
        <f>COUNTIFS(Setup!$E$6:$E$29,"Y",Setup!$B$6:$B$29,"?*")-SUMPRODUCT(COUNTIF(W977:W1000,Setup!$F$33:$F$40))</f>
        <v/>
      </c>
      <c r="X1001" s="107" t="n"/>
      <c r="Y1001" s="107">
        <f>COUNTIFS(Setup!$E$6:$E$29,"Y",Setup!$B$6:$B$29,"?*")-SUMPRODUCT(COUNTIF(Y977:Y1000,Setup!$F$33:$F$40))</f>
        <v/>
      </c>
      <c r="Z1001" s="107" t="n"/>
      <c r="AB1001" s="108">
        <f>SUM(AB977:AB1000)</f>
        <v/>
      </c>
      <c r="AC1001" s="109">
        <f>SUM(AC977:AC1000)</f>
        <v/>
      </c>
    </row>
    <row r="1002" ht="30" customHeight="1">
      <c r="A1002" t="n">
        <v>20</v>
      </c>
      <c r="B1002" s="110" t="inlineStr">
        <is>
          <t>Week notes</t>
        </is>
      </c>
      <c r="C1002" s="111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112" t="n"/>
      <c r="R1002" s="112" t="n"/>
      <c r="S1002" s="112" t="n"/>
      <c r="T1002" s="112" t="n"/>
      <c r="U1002" s="112" t="n"/>
      <c r="V1002" s="112" t="n"/>
      <c r="W1002" s="112" t="n"/>
      <c r="X1002" s="112" t="n"/>
      <c r="Y1002" s="112" t="n"/>
      <c r="Z1002" s="113" t="n"/>
    </row>
    <row r="1003" ht="8" customHeight="1">
      <c r="A1003" t="n">
        <v>20</v>
      </c>
    </row>
    <row r="1004" ht="8" customHeight="1">
      <c r="A1004" t="n">
        <v>20</v>
      </c>
    </row>
    <row r="1005" ht="24" customHeight="1">
      <c r="A1005" t="n">
        <v>21</v>
      </c>
      <c r="B1005" s="73">
        <f>"WEEK 21     "&amp;TEXT(C1006,"ddd d mmm")&amp;"  –  "&amp;TEXT(C1006+6,"ddd d mmm yyyy")</f>
        <v/>
      </c>
      <c r="S1005" s="74">
        <f>IF(TODAY()&lt;C1006,"FUTURE",IF(TODAY()&gt;C1006+6,"PAST","THIS WEEK"))</f>
        <v/>
      </c>
      <c r="W1005" s="75">
        <f>IF(AND(Engine!$B$8=$AC$3,Engine!$B$9=$A1005),"◀ ACTIVE WEEK","")</f>
        <v/>
      </c>
      <c r="AA1005" s="76" t="n"/>
      <c r="AB1005" s="77" t="inlineStr">
        <is>
          <t>◀ Prev</t>
        </is>
      </c>
      <c r="AC1005" s="77" t="inlineStr">
        <is>
          <t>Next ▶</t>
        </is>
      </c>
    </row>
    <row r="1006" ht="18" customHeight="1">
      <c r="A1006" t="n">
        <v>21</v>
      </c>
      <c r="B1006" s="78" t="inlineStr">
        <is>
          <t>DUTY</t>
        </is>
      </c>
      <c r="C1006" s="79">
        <f>$AC$2+7*($A1006-1)</f>
        <v/>
      </c>
      <c r="D1006" s="80" t="n"/>
      <c r="E1006" s="80" t="n"/>
      <c r="F1006" s="81" t="n"/>
      <c r="G1006" s="79">
        <f>C1006+1</f>
        <v/>
      </c>
      <c r="H1006" s="80" t="n"/>
      <c r="I1006" s="80" t="n"/>
      <c r="J1006" s="81" t="n"/>
      <c r="K1006" s="79">
        <f>C1006+2</f>
        <v/>
      </c>
      <c r="L1006" s="80" t="n"/>
      <c r="M1006" s="80" t="n"/>
      <c r="N1006" s="81" t="n"/>
      <c r="O1006" s="79">
        <f>C1006+3</f>
        <v/>
      </c>
      <c r="P1006" s="80" t="n"/>
      <c r="Q1006" s="80" t="n"/>
      <c r="R1006" s="81" t="n"/>
      <c r="S1006" s="79">
        <f>C1006+4</f>
        <v/>
      </c>
      <c r="T1006" s="80" t="n"/>
      <c r="U1006" s="80" t="n"/>
      <c r="V1006" s="81" t="n"/>
      <c r="W1006" s="82">
        <f>C1006+5</f>
        <v/>
      </c>
      <c r="X1006" s="83" t="n"/>
      <c r="Y1006" s="82">
        <f>C1006+6</f>
        <v/>
      </c>
      <c r="Z1006" s="83" t="n"/>
      <c r="AB1006" s="72" t="inlineStr">
        <is>
          <t>Gaps</t>
        </is>
      </c>
      <c r="AC1006" s="72" t="inlineStr">
        <is>
          <t>Cover</t>
        </is>
      </c>
    </row>
    <row r="1007" ht="14" customHeight="1">
      <c r="A1007" t="n">
        <v>21</v>
      </c>
      <c r="B1007" s="84" t="inlineStr">
        <is>
          <t>(from Setup)</t>
        </is>
      </c>
      <c r="C1007" s="85" t="inlineStr">
        <is>
          <t>1</t>
        </is>
      </c>
      <c r="D1007" s="85" t="inlineStr">
        <is>
          <t>2</t>
        </is>
      </c>
      <c r="E1007" s="85" t="inlineStr">
        <is>
          <t>3</t>
        </is>
      </c>
      <c r="F1007" s="85" t="inlineStr">
        <is>
          <t>Notes</t>
        </is>
      </c>
      <c r="G1007" s="85" t="inlineStr">
        <is>
          <t>1</t>
        </is>
      </c>
      <c r="H1007" s="85" t="inlineStr">
        <is>
          <t>2</t>
        </is>
      </c>
      <c r="I1007" s="85" t="inlineStr">
        <is>
          <t>3</t>
        </is>
      </c>
      <c r="J1007" s="85" t="inlineStr">
        <is>
          <t>Notes</t>
        </is>
      </c>
      <c r="K1007" s="85" t="inlineStr">
        <is>
          <t>1</t>
        </is>
      </c>
      <c r="L1007" s="85" t="inlineStr">
        <is>
          <t>2</t>
        </is>
      </c>
      <c r="M1007" s="85" t="inlineStr">
        <is>
          <t>3</t>
        </is>
      </c>
      <c r="N1007" s="85" t="inlineStr">
        <is>
          <t>Notes</t>
        </is>
      </c>
      <c r="O1007" s="85" t="inlineStr">
        <is>
          <t>1</t>
        </is>
      </c>
      <c r="P1007" s="85" t="inlineStr">
        <is>
          <t>2</t>
        </is>
      </c>
      <c r="Q1007" s="85" t="inlineStr">
        <is>
          <t>3</t>
        </is>
      </c>
      <c r="R1007" s="85" t="inlineStr">
        <is>
          <t>Notes</t>
        </is>
      </c>
      <c r="S1007" s="85" t="inlineStr">
        <is>
          <t>1</t>
        </is>
      </c>
      <c r="T1007" s="85" t="inlineStr">
        <is>
          <t>2</t>
        </is>
      </c>
      <c r="U1007" s="85" t="inlineStr">
        <is>
          <t>3</t>
        </is>
      </c>
      <c r="V1007" s="85" t="inlineStr">
        <is>
          <t>Notes</t>
        </is>
      </c>
      <c r="W1007" s="85" t="inlineStr">
        <is>
          <t>Cover</t>
        </is>
      </c>
      <c r="X1007" s="85" t="inlineStr">
        <is>
          <t>Notes</t>
        </is>
      </c>
      <c r="Y1007" s="85" t="inlineStr">
        <is>
          <t>Cover</t>
        </is>
      </c>
      <c r="Z1007" s="85" t="inlineStr">
        <is>
          <t>Notes</t>
        </is>
      </c>
      <c r="AB1007" s="86" t="inlineStr">
        <is>
          <t>weekdays short</t>
        </is>
      </c>
      <c r="AC1007" s="87" t="inlineStr"/>
    </row>
    <row r="1008" ht="17" customHeight="1">
      <c r="A1008" t="n">
        <v>21</v>
      </c>
      <c r="B1008" s="24">
        <f>IF(Setup!$K$6="","",Setup!$K$6)</f>
        <v/>
      </c>
      <c r="C1008" s="88" t="n"/>
      <c r="D1008" s="88" t="n"/>
      <c r="E1008" s="88" t="n"/>
      <c r="F1008" s="89" t="n"/>
      <c r="G1008" s="88" t="n"/>
      <c r="H1008" s="88" t="n"/>
      <c r="I1008" s="88" t="n"/>
      <c r="J1008" s="89" t="n"/>
      <c r="K1008" s="88" t="n"/>
      <c r="L1008" s="88" t="n"/>
      <c r="M1008" s="88" t="n"/>
      <c r="N1008" s="89" t="n"/>
      <c r="O1008" s="88" t="n"/>
      <c r="P1008" s="88" t="n"/>
      <c r="Q1008" s="88" t="n"/>
      <c r="R1008" s="89" t="n"/>
      <c r="S1008" s="88" t="n"/>
      <c r="T1008" s="88" t="n"/>
      <c r="U1008" s="88" t="n"/>
      <c r="V1008" s="89" t="n"/>
      <c r="W1008" s="88" t="n"/>
      <c r="X1008" s="89" t="n"/>
      <c r="Y1008" s="88" t="n"/>
      <c r="Z1008" s="89" t="n"/>
      <c r="AB1008" s="25">
        <f>IF($B1008="","",(COUNTIF(C1008:E1008,"?*")&lt;N(INDEX(Setup!$L$6:$L$23,1)))+(COUNTIF(G1008:I1008,"?*")&lt;N(INDEX(Setup!$L$6:$L$23,1)))+(COUNTIF(K1008:M1008,"?*")&lt;N(INDEX(Setup!$L$6:$L$23,1)))+(COUNTIF(O1008:Q1008,"?*")&lt;N(INDEX(Setup!$L$6:$L$23,1)))+(COUNTIF(S1008:U1008,"?*")&lt;N(INDEX(Setup!$L$6:$L$23,1)))+((W1008="")*(INDEX(Setup!$M$6:$M$23,1)="Y"))+((Y1008="")*(INDEX(Setup!$M$6:$M$23,1)="Y")))</f>
        <v/>
      </c>
      <c r="AC1008" s="90">
        <f>IF($B1008="","",IF(AB1008=0,"✓ covered","⚠ "&amp;AB1008&amp;IF(AB1008=1," gap"," gaps")))</f>
        <v/>
      </c>
    </row>
    <row r="1009" ht="17" customHeight="1">
      <c r="A1009" t="n">
        <v>21</v>
      </c>
      <c r="B1009" s="29">
        <f>IF(Setup!$K$7="","",Setup!$K$7)</f>
        <v/>
      </c>
      <c r="C1009" s="88" t="n"/>
      <c r="D1009" s="88" t="n"/>
      <c r="E1009" s="88" t="n"/>
      <c r="F1009" s="89" t="n"/>
      <c r="G1009" s="88" t="n"/>
      <c r="H1009" s="88" t="n"/>
      <c r="I1009" s="88" t="n"/>
      <c r="J1009" s="89" t="n"/>
      <c r="K1009" s="88" t="n"/>
      <c r="L1009" s="88" t="n"/>
      <c r="M1009" s="88" t="n"/>
      <c r="N1009" s="89" t="n"/>
      <c r="O1009" s="88" t="n"/>
      <c r="P1009" s="88" t="n"/>
      <c r="Q1009" s="88" t="n"/>
      <c r="R1009" s="89" t="n"/>
      <c r="S1009" s="88" t="n"/>
      <c r="T1009" s="88" t="n"/>
      <c r="U1009" s="88" t="n"/>
      <c r="V1009" s="89" t="n"/>
      <c r="W1009" s="88" t="n"/>
      <c r="X1009" s="89" t="n"/>
      <c r="Y1009" s="88" t="n"/>
      <c r="Z1009" s="89" t="n"/>
      <c r="AB1009" s="30">
        <f>IF($B1009="","",(COUNTIF(C1009:E1009,"?*")&lt;N(INDEX(Setup!$L$6:$L$23,2)))+(COUNTIF(G1009:I1009,"?*")&lt;N(INDEX(Setup!$L$6:$L$23,2)))+(COUNTIF(K1009:M1009,"?*")&lt;N(INDEX(Setup!$L$6:$L$23,2)))+(COUNTIF(O1009:Q1009,"?*")&lt;N(INDEX(Setup!$L$6:$L$23,2)))+(COUNTIF(S1009:U1009,"?*")&lt;N(INDEX(Setup!$L$6:$L$23,2)))+((W1009="")*(INDEX(Setup!$M$6:$M$23,2)="Y"))+((Y1009="")*(INDEX(Setup!$M$6:$M$23,2)="Y")))</f>
        <v/>
      </c>
      <c r="AC1009" s="91">
        <f>IF($B1009="","",IF(AB1009=0,"✓ covered","⚠ "&amp;AB1009&amp;IF(AB1009=1," gap"," gaps")))</f>
        <v/>
      </c>
    </row>
    <row r="1010" ht="17" customHeight="1">
      <c r="A1010" t="n">
        <v>21</v>
      </c>
      <c r="B1010" s="24">
        <f>IF(Setup!$K$8="","",Setup!$K$8)</f>
        <v/>
      </c>
      <c r="C1010" s="88" t="n"/>
      <c r="D1010" s="88" t="n"/>
      <c r="E1010" s="88" t="n"/>
      <c r="F1010" s="89" t="n"/>
      <c r="G1010" s="88" t="n"/>
      <c r="H1010" s="88" t="n"/>
      <c r="I1010" s="88" t="n"/>
      <c r="J1010" s="89" t="n"/>
      <c r="K1010" s="88" t="n"/>
      <c r="L1010" s="88" t="n"/>
      <c r="M1010" s="88" t="n"/>
      <c r="N1010" s="89" t="n"/>
      <c r="O1010" s="88" t="n"/>
      <c r="P1010" s="88" t="n"/>
      <c r="Q1010" s="88" t="n"/>
      <c r="R1010" s="89" t="n"/>
      <c r="S1010" s="88" t="n"/>
      <c r="T1010" s="88" t="n"/>
      <c r="U1010" s="88" t="n"/>
      <c r="V1010" s="89" t="n"/>
      <c r="W1010" s="88" t="n"/>
      <c r="X1010" s="89" t="n"/>
      <c r="Y1010" s="88" t="n"/>
      <c r="Z1010" s="89" t="n"/>
      <c r="AB1010" s="25">
        <f>IF($B1010="","",(COUNTIF(C1010:E1010,"?*")&lt;N(INDEX(Setup!$L$6:$L$23,3)))+(COUNTIF(G1010:I1010,"?*")&lt;N(INDEX(Setup!$L$6:$L$23,3)))+(COUNTIF(K1010:M1010,"?*")&lt;N(INDEX(Setup!$L$6:$L$23,3)))+(COUNTIF(O1010:Q1010,"?*")&lt;N(INDEX(Setup!$L$6:$L$23,3)))+(COUNTIF(S1010:U1010,"?*")&lt;N(INDEX(Setup!$L$6:$L$23,3)))+((W1010="")*(INDEX(Setup!$M$6:$M$23,3)="Y"))+((Y1010="")*(INDEX(Setup!$M$6:$M$23,3)="Y")))</f>
        <v/>
      </c>
      <c r="AC1010" s="90">
        <f>IF($B1010="","",IF(AB1010=0,"✓ covered","⚠ "&amp;AB1010&amp;IF(AB1010=1," gap"," gaps")))</f>
        <v/>
      </c>
    </row>
    <row r="1011" ht="17" customHeight="1">
      <c r="A1011" t="n">
        <v>21</v>
      </c>
      <c r="B1011" s="29">
        <f>IF(Setup!$K$9="","",Setup!$K$9)</f>
        <v/>
      </c>
      <c r="C1011" s="88" t="n"/>
      <c r="D1011" s="88" t="n"/>
      <c r="E1011" s="88" t="n"/>
      <c r="F1011" s="89" t="n"/>
      <c r="G1011" s="88" t="n"/>
      <c r="H1011" s="88" t="n"/>
      <c r="I1011" s="88" t="n"/>
      <c r="J1011" s="89" t="n"/>
      <c r="K1011" s="88" t="n"/>
      <c r="L1011" s="88" t="n"/>
      <c r="M1011" s="88" t="n"/>
      <c r="N1011" s="89" t="n"/>
      <c r="O1011" s="88" t="n"/>
      <c r="P1011" s="88" t="n"/>
      <c r="Q1011" s="88" t="n"/>
      <c r="R1011" s="89" t="n"/>
      <c r="S1011" s="88" t="n"/>
      <c r="T1011" s="88" t="n"/>
      <c r="U1011" s="88" t="n"/>
      <c r="V1011" s="89" t="n"/>
      <c r="W1011" s="88" t="n"/>
      <c r="X1011" s="89" t="n"/>
      <c r="Y1011" s="88" t="n"/>
      <c r="Z1011" s="89" t="n"/>
      <c r="AB1011" s="30">
        <f>IF($B1011="","",(COUNTIF(C1011:E1011,"?*")&lt;N(INDEX(Setup!$L$6:$L$23,4)))+(COUNTIF(G1011:I1011,"?*")&lt;N(INDEX(Setup!$L$6:$L$23,4)))+(COUNTIF(K1011:M1011,"?*")&lt;N(INDEX(Setup!$L$6:$L$23,4)))+(COUNTIF(O1011:Q1011,"?*")&lt;N(INDEX(Setup!$L$6:$L$23,4)))+(COUNTIF(S1011:U1011,"?*")&lt;N(INDEX(Setup!$L$6:$L$23,4)))+((W1011="")*(INDEX(Setup!$M$6:$M$23,4)="Y"))+((Y1011="")*(INDEX(Setup!$M$6:$M$23,4)="Y")))</f>
        <v/>
      </c>
      <c r="AC1011" s="91">
        <f>IF($B1011="","",IF(AB1011=0,"✓ covered","⚠ "&amp;AB1011&amp;IF(AB1011=1," gap"," gaps")))</f>
        <v/>
      </c>
    </row>
    <row r="1012" ht="17" customHeight="1">
      <c r="A1012" t="n">
        <v>21</v>
      </c>
      <c r="B1012" s="24">
        <f>IF(Setup!$K$10="","",Setup!$K$10)</f>
        <v/>
      </c>
      <c r="C1012" s="88" t="n"/>
      <c r="D1012" s="88" t="n"/>
      <c r="E1012" s="88" t="n"/>
      <c r="F1012" s="89" t="n"/>
      <c r="G1012" s="88" t="n"/>
      <c r="H1012" s="88" t="n"/>
      <c r="I1012" s="88" t="n"/>
      <c r="J1012" s="89" t="n"/>
      <c r="K1012" s="88" t="n"/>
      <c r="L1012" s="88" t="n"/>
      <c r="M1012" s="88" t="n"/>
      <c r="N1012" s="89" t="n"/>
      <c r="O1012" s="88" t="n"/>
      <c r="P1012" s="88" t="n"/>
      <c r="Q1012" s="88" t="n"/>
      <c r="R1012" s="89" t="n"/>
      <c r="S1012" s="88" t="n"/>
      <c r="T1012" s="88" t="n"/>
      <c r="U1012" s="88" t="n"/>
      <c r="V1012" s="89" t="n"/>
      <c r="W1012" s="88" t="n"/>
      <c r="X1012" s="89" t="n"/>
      <c r="Y1012" s="88" t="n"/>
      <c r="Z1012" s="89" t="n"/>
      <c r="AB1012" s="25">
        <f>IF($B1012="","",(COUNTIF(C1012:E1012,"?*")&lt;N(INDEX(Setup!$L$6:$L$23,5)))+(COUNTIF(G1012:I1012,"?*")&lt;N(INDEX(Setup!$L$6:$L$23,5)))+(COUNTIF(K1012:M1012,"?*")&lt;N(INDEX(Setup!$L$6:$L$23,5)))+(COUNTIF(O1012:Q1012,"?*")&lt;N(INDEX(Setup!$L$6:$L$23,5)))+(COUNTIF(S1012:U1012,"?*")&lt;N(INDEX(Setup!$L$6:$L$23,5)))+((W1012="")*(INDEX(Setup!$M$6:$M$23,5)="Y"))+((Y1012="")*(INDEX(Setup!$M$6:$M$23,5)="Y")))</f>
        <v/>
      </c>
      <c r="AC1012" s="90">
        <f>IF($B1012="","",IF(AB1012=0,"✓ covered","⚠ "&amp;AB1012&amp;IF(AB1012=1," gap"," gaps")))</f>
        <v/>
      </c>
    </row>
    <row r="1013" ht="17" customHeight="1">
      <c r="A1013" t="n">
        <v>21</v>
      </c>
      <c r="B1013" s="29">
        <f>IF(Setup!$K$11="","",Setup!$K$11)</f>
        <v/>
      </c>
      <c r="C1013" s="88" t="n"/>
      <c r="D1013" s="88" t="n"/>
      <c r="E1013" s="88" t="n"/>
      <c r="F1013" s="89" t="n"/>
      <c r="G1013" s="88" t="n"/>
      <c r="H1013" s="88" t="n"/>
      <c r="I1013" s="88" t="n"/>
      <c r="J1013" s="89" t="n"/>
      <c r="K1013" s="88" t="n"/>
      <c r="L1013" s="88" t="n"/>
      <c r="M1013" s="88" t="n"/>
      <c r="N1013" s="89" t="n"/>
      <c r="O1013" s="88" t="n"/>
      <c r="P1013" s="88" t="n"/>
      <c r="Q1013" s="88" t="n"/>
      <c r="R1013" s="89" t="n"/>
      <c r="S1013" s="88" t="n"/>
      <c r="T1013" s="88" t="n"/>
      <c r="U1013" s="88" t="n"/>
      <c r="V1013" s="89" t="n"/>
      <c r="W1013" s="88" t="n"/>
      <c r="X1013" s="89" t="n"/>
      <c r="Y1013" s="88" t="n"/>
      <c r="Z1013" s="89" t="n"/>
      <c r="AB1013" s="30">
        <f>IF($B1013="","",(COUNTIF(C1013:E1013,"?*")&lt;N(INDEX(Setup!$L$6:$L$23,6)))+(COUNTIF(G1013:I1013,"?*")&lt;N(INDEX(Setup!$L$6:$L$23,6)))+(COUNTIF(K1013:M1013,"?*")&lt;N(INDEX(Setup!$L$6:$L$23,6)))+(COUNTIF(O1013:Q1013,"?*")&lt;N(INDEX(Setup!$L$6:$L$23,6)))+(COUNTIF(S1013:U1013,"?*")&lt;N(INDEX(Setup!$L$6:$L$23,6)))+((W1013="")*(INDEX(Setup!$M$6:$M$23,6)="Y"))+((Y1013="")*(INDEX(Setup!$M$6:$M$23,6)="Y")))</f>
        <v/>
      </c>
      <c r="AC1013" s="91">
        <f>IF($B1013="","",IF(AB1013=0,"✓ covered","⚠ "&amp;AB1013&amp;IF(AB1013=1," gap"," gaps")))</f>
        <v/>
      </c>
    </row>
    <row r="1014" ht="17" customHeight="1">
      <c r="A1014" t="n">
        <v>21</v>
      </c>
      <c r="B1014" s="24">
        <f>IF(Setup!$K$12="","",Setup!$K$12)</f>
        <v/>
      </c>
      <c r="C1014" s="88" t="n"/>
      <c r="D1014" s="88" t="n"/>
      <c r="E1014" s="88" t="n"/>
      <c r="F1014" s="89" t="n"/>
      <c r="G1014" s="88" t="n"/>
      <c r="H1014" s="88" t="n"/>
      <c r="I1014" s="88" t="n"/>
      <c r="J1014" s="89" t="n"/>
      <c r="K1014" s="88" t="n"/>
      <c r="L1014" s="88" t="n"/>
      <c r="M1014" s="88" t="n"/>
      <c r="N1014" s="89" t="n"/>
      <c r="O1014" s="88" t="n"/>
      <c r="P1014" s="88" t="n"/>
      <c r="Q1014" s="88" t="n"/>
      <c r="R1014" s="89" t="n"/>
      <c r="S1014" s="88" t="n"/>
      <c r="T1014" s="88" t="n"/>
      <c r="U1014" s="88" t="n"/>
      <c r="V1014" s="89" t="n"/>
      <c r="W1014" s="88" t="n"/>
      <c r="X1014" s="89" t="n"/>
      <c r="Y1014" s="88" t="n"/>
      <c r="Z1014" s="89" t="n"/>
      <c r="AB1014" s="25">
        <f>IF($B1014="","",(COUNTIF(C1014:E1014,"?*")&lt;N(INDEX(Setup!$L$6:$L$23,7)))+(COUNTIF(G1014:I1014,"?*")&lt;N(INDEX(Setup!$L$6:$L$23,7)))+(COUNTIF(K1014:M1014,"?*")&lt;N(INDEX(Setup!$L$6:$L$23,7)))+(COUNTIF(O1014:Q1014,"?*")&lt;N(INDEX(Setup!$L$6:$L$23,7)))+(COUNTIF(S1014:U1014,"?*")&lt;N(INDEX(Setup!$L$6:$L$23,7)))+((W1014="")*(INDEX(Setup!$M$6:$M$23,7)="Y"))+((Y1014="")*(INDEX(Setup!$M$6:$M$23,7)="Y")))</f>
        <v/>
      </c>
      <c r="AC1014" s="90">
        <f>IF($B1014="","",IF(AB1014=0,"✓ covered","⚠ "&amp;AB1014&amp;IF(AB1014=1," gap"," gaps")))</f>
        <v/>
      </c>
    </row>
    <row r="1015" ht="17" customHeight="1">
      <c r="A1015" t="n">
        <v>21</v>
      </c>
      <c r="B1015" s="29">
        <f>IF(Setup!$K$13="","",Setup!$K$13)</f>
        <v/>
      </c>
      <c r="C1015" s="88" t="n"/>
      <c r="D1015" s="88" t="n"/>
      <c r="E1015" s="88" t="n"/>
      <c r="F1015" s="89" t="n"/>
      <c r="G1015" s="88" t="n"/>
      <c r="H1015" s="88" t="n"/>
      <c r="I1015" s="88" t="n"/>
      <c r="J1015" s="89" t="n"/>
      <c r="K1015" s="88" t="n"/>
      <c r="L1015" s="88" t="n"/>
      <c r="M1015" s="88" t="n"/>
      <c r="N1015" s="89" t="n"/>
      <c r="O1015" s="88" t="n"/>
      <c r="P1015" s="88" t="n"/>
      <c r="Q1015" s="88" t="n"/>
      <c r="R1015" s="89" t="n"/>
      <c r="S1015" s="88" t="n"/>
      <c r="T1015" s="88" t="n"/>
      <c r="U1015" s="88" t="n"/>
      <c r="V1015" s="89" t="n"/>
      <c r="W1015" s="88" t="n"/>
      <c r="X1015" s="89" t="n"/>
      <c r="Y1015" s="88" t="n"/>
      <c r="Z1015" s="89" t="n"/>
      <c r="AB1015" s="30">
        <f>IF($B1015="","",(COUNTIF(C1015:E1015,"?*")&lt;N(INDEX(Setup!$L$6:$L$23,8)))+(COUNTIF(G1015:I1015,"?*")&lt;N(INDEX(Setup!$L$6:$L$23,8)))+(COUNTIF(K1015:M1015,"?*")&lt;N(INDEX(Setup!$L$6:$L$23,8)))+(COUNTIF(O1015:Q1015,"?*")&lt;N(INDEX(Setup!$L$6:$L$23,8)))+(COUNTIF(S1015:U1015,"?*")&lt;N(INDEX(Setup!$L$6:$L$23,8)))+((W1015="")*(INDEX(Setup!$M$6:$M$23,8)="Y"))+((Y1015="")*(INDEX(Setup!$M$6:$M$23,8)="Y")))</f>
        <v/>
      </c>
      <c r="AC1015" s="91">
        <f>IF($B1015="","",IF(AB1015=0,"✓ covered","⚠ "&amp;AB1015&amp;IF(AB1015=1," gap"," gaps")))</f>
        <v/>
      </c>
    </row>
    <row r="1016" ht="17" customHeight="1">
      <c r="A1016" t="n">
        <v>21</v>
      </c>
      <c r="B1016" s="24">
        <f>IF(Setup!$K$14="","",Setup!$K$14)</f>
        <v/>
      </c>
      <c r="C1016" s="88" t="n"/>
      <c r="D1016" s="88" t="n"/>
      <c r="E1016" s="88" t="n"/>
      <c r="F1016" s="89" t="n"/>
      <c r="G1016" s="88" t="n"/>
      <c r="H1016" s="88" t="n"/>
      <c r="I1016" s="88" t="n"/>
      <c r="J1016" s="89" t="n"/>
      <c r="K1016" s="88" t="n"/>
      <c r="L1016" s="88" t="n"/>
      <c r="M1016" s="88" t="n"/>
      <c r="N1016" s="89" t="n"/>
      <c r="O1016" s="88" t="n"/>
      <c r="P1016" s="88" t="n"/>
      <c r="Q1016" s="88" t="n"/>
      <c r="R1016" s="89" t="n"/>
      <c r="S1016" s="88" t="n"/>
      <c r="T1016" s="88" t="n"/>
      <c r="U1016" s="88" t="n"/>
      <c r="V1016" s="89" t="n"/>
      <c r="W1016" s="88" t="n"/>
      <c r="X1016" s="89" t="n"/>
      <c r="Y1016" s="88" t="n"/>
      <c r="Z1016" s="89" t="n"/>
      <c r="AB1016" s="25">
        <f>IF($B1016="","",(COUNTIF(C1016:E1016,"?*")&lt;N(INDEX(Setup!$L$6:$L$23,9)))+(COUNTIF(G1016:I1016,"?*")&lt;N(INDEX(Setup!$L$6:$L$23,9)))+(COUNTIF(K1016:M1016,"?*")&lt;N(INDEX(Setup!$L$6:$L$23,9)))+(COUNTIF(O1016:Q1016,"?*")&lt;N(INDEX(Setup!$L$6:$L$23,9)))+(COUNTIF(S1016:U1016,"?*")&lt;N(INDEX(Setup!$L$6:$L$23,9)))+((W1016="")*(INDEX(Setup!$M$6:$M$23,9)="Y"))+((Y1016="")*(INDEX(Setup!$M$6:$M$23,9)="Y")))</f>
        <v/>
      </c>
      <c r="AC1016" s="90">
        <f>IF($B1016="","",IF(AB1016=0,"✓ covered","⚠ "&amp;AB1016&amp;IF(AB1016=1," gap"," gaps")))</f>
        <v/>
      </c>
    </row>
    <row r="1017" ht="17" customHeight="1">
      <c r="A1017" t="n">
        <v>21</v>
      </c>
      <c r="B1017" s="29">
        <f>IF(Setup!$K$15="","",Setup!$K$15)</f>
        <v/>
      </c>
      <c r="C1017" s="88" t="n"/>
      <c r="D1017" s="88" t="n"/>
      <c r="E1017" s="88" t="n"/>
      <c r="F1017" s="89" t="n"/>
      <c r="G1017" s="88" t="n"/>
      <c r="H1017" s="88" t="n"/>
      <c r="I1017" s="88" t="n"/>
      <c r="J1017" s="89" t="n"/>
      <c r="K1017" s="88" t="n"/>
      <c r="L1017" s="88" t="n"/>
      <c r="M1017" s="88" t="n"/>
      <c r="N1017" s="89" t="n"/>
      <c r="O1017" s="88" t="n"/>
      <c r="P1017" s="88" t="n"/>
      <c r="Q1017" s="88" t="n"/>
      <c r="R1017" s="89" t="n"/>
      <c r="S1017" s="88" t="n"/>
      <c r="T1017" s="88" t="n"/>
      <c r="U1017" s="88" t="n"/>
      <c r="V1017" s="89" t="n"/>
      <c r="W1017" s="88" t="n"/>
      <c r="X1017" s="89" t="n"/>
      <c r="Y1017" s="88" t="n"/>
      <c r="Z1017" s="89" t="n"/>
      <c r="AB1017" s="30">
        <f>IF($B1017="","",(COUNTIF(C1017:E1017,"?*")&lt;N(INDEX(Setup!$L$6:$L$23,10)))+(COUNTIF(G1017:I1017,"?*")&lt;N(INDEX(Setup!$L$6:$L$23,10)))+(COUNTIF(K1017:M1017,"?*")&lt;N(INDEX(Setup!$L$6:$L$23,10)))+(COUNTIF(O1017:Q1017,"?*")&lt;N(INDEX(Setup!$L$6:$L$23,10)))+(COUNTIF(S1017:U1017,"?*")&lt;N(INDEX(Setup!$L$6:$L$23,10)))+((W1017="")*(INDEX(Setup!$M$6:$M$23,10)="Y"))+((Y1017="")*(INDEX(Setup!$M$6:$M$23,10)="Y")))</f>
        <v/>
      </c>
      <c r="AC1017" s="91">
        <f>IF($B1017="","",IF(AB1017=0,"✓ covered","⚠ "&amp;AB1017&amp;IF(AB1017=1," gap"," gaps")))</f>
        <v/>
      </c>
    </row>
    <row r="1018" ht="17" customHeight="1">
      <c r="A1018" t="n">
        <v>21</v>
      </c>
      <c r="B1018" s="24">
        <f>IF(Setup!$K$16="","",Setup!$K$16)</f>
        <v/>
      </c>
      <c r="C1018" s="88" t="n"/>
      <c r="D1018" s="88" t="n"/>
      <c r="E1018" s="88" t="n"/>
      <c r="F1018" s="89" t="n"/>
      <c r="G1018" s="88" t="n"/>
      <c r="H1018" s="88" t="n"/>
      <c r="I1018" s="88" t="n"/>
      <c r="J1018" s="89" t="n"/>
      <c r="K1018" s="88" t="n"/>
      <c r="L1018" s="88" t="n"/>
      <c r="M1018" s="88" t="n"/>
      <c r="N1018" s="89" t="n"/>
      <c r="O1018" s="88" t="n"/>
      <c r="P1018" s="88" t="n"/>
      <c r="Q1018" s="88" t="n"/>
      <c r="R1018" s="89" t="n"/>
      <c r="S1018" s="88" t="n"/>
      <c r="T1018" s="88" t="n"/>
      <c r="U1018" s="88" t="n"/>
      <c r="V1018" s="89" t="n"/>
      <c r="W1018" s="88" t="n"/>
      <c r="X1018" s="89" t="n"/>
      <c r="Y1018" s="88" t="n"/>
      <c r="Z1018" s="89" t="n"/>
      <c r="AB1018" s="25">
        <f>IF($B1018="","",(COUNTIF(C1018:E1018,"?*")&lt;N(INDEX(Setup!$L$6:$L$23,11)))+(COUNTIF(G1018:I1018,"?*")&lt;N(INDEX(Setup!$L$6:$L$23,11)))+(COUNTIF(K1018:M1018,"?*")&lt;N(INDEX(Setup!$L$6:$L$23,11)))+(COUNTIF(O1018:Q1018,"?*")&lt;N(INDEX(Setup!$L$6:$L$23,11)))+(COUNTIF(S1018:U1018,"?*")&lt;N(INDEX(Setup!$L$6:$L$23,11)))+((W1018="")*(INDEX(Setup!$M$6:$M$23,11)="Y"))+((Y1018="")*(INDEX(Setup!$M$6:$M$23,11)="Y")))</f>
        <v/>
      </c>
      <c r="AC1018" s="90">
        <f>IF($B1018="","",IF(AB1018=0,"✓ covered","⚠ "&amp;AB1018&amp;IF(AB1018=1," gap"," gaps")))</f>
        <v/>
      </c>
    </row>
    <row r="1019" ht="17" customHeight="1">
      <c r="A1019" t="n">
        <v>21</v>
      </c>
      <c r="B1019" s="29">
        <f>IF(Setup!$K$17="","",Setup!$K$17)</f>
        <v/>
      </c>
      <c r="C1019" s="88" t="n"/>
      <c r="D1019" s="88" t="n"/>
      <c r="E1019" s="88" t="n"/>
      <c r="F1019" s="89" t="n"/>
      <c r="G1019" s="88" t="n"/>
      <c r="H1019" s="88" t="n"/>
      <c r="I1019" s="88" t="n"/>
      <c r="J1019" s="89" t="n"/>
      <c r="K1019" s="88" t="n"/>
      <c r="L1019" s="88" t="n"/>
      <c r="M1019" s="88" t="n"/>
      <c r="N1019" s="89" t="n"/>
      <c r="O1019" s="88" t="n"/>
      <c r="P1019" s="88" t="n"/>
      <c r="Q1019" s="88" t="n"/>
      <c r="R1019" s="89" t="n"/>
      <c r="S1019" s="88" t="n"/>
      <c r="T1019" s="88" t="n"/>
      <c r="U1019" s="88" t="n"/>
      <c r="V1019" s="89" t="n"/>
      <c r="W1019" s="88" t="n"/>
      <c r="X1019" s="89" t="n"/>
      <c r="Y1019" s="88" t="n"/>
      <c r="Z1019" s="89" t="n"/>
      <c r="AB1019" s="30">
        <f>IF($B1019="","",(COUNTIF(C1019:E1019,"?*")&lt;N(INDEX(Setup!$L$6:$L$23,12)))+(COUNTIF(G1019:I1019,"?*")&lt;N(INDEX(Setup!$L$6:$L$23,12)))+(COUNTIF(K1019:M1019,"?*")&lt;N(INDEX(Setup!$L$6:$L$23,12)))+(COUNTIF(O1019:Q1019,"?*")&lt;N(INDEX(Setup!$L$6:$L$23,12)))+(COUNTIF(S1019:U1019,"?*")&lt;N(INDEX(Setup!$L$6:$L$23,12)))+((W1019="")*(INDEX(Setup!$M$6:$M$23,12)="Y"))+((Y1019="")*(INDEX(Setup!$M$6:$M$23,12)="Y")))</f>
        <v/>
      </c>
      <c r="AC1019" s="91">
        <f>IF($B1019="","",IF(AB1019=0,"✓ covered","⚠ "&amp;AB1019&amp;IF(AB1019=1," gap"," gaps")))</f>
        <v/>
      </c>
    </row>
    <row r="1020" ht="17" customHeight="1">
      <c r="A1020" t="n">
        <v>21</v>
      </c>
      <c r="B1020" s="24">
        <f>IF(Setup!$K$18="","",Setup!$K$18)</f>
        <v/>
      </c>
      <c r="C1020" s="88" t="n"/>
      <c r="D1020" s="88" t="n"/>
      <c r="E1020" s="88" t="n"/>
      <c r="F1020" s="89" t="n"/>
      <c r="G1020" s="88" t="n"/>
      <c r="H1020" s="88" t="n"/>
      <c r="I1020" s="88" t="n"/>
      <c r="J1020" s="89" t="n"/>
      <c r="K1020" s="88" t="n"/>
      <c r="L1020" s="88" t="n"/>
      <c r="M1020" s="88" t="n"/>
      <c r="N1020" s="89" t="n"/>
      <c r="O1020" s="88" t="n"/>
      <c r="P1020" s="88" t="n"/>
      <c r="Q1020" s="88" t="n"/>
      <c r="R1020" s="89" t="n"/>
      <c r="S1020" s="88" t="n"/>
      <c r="T1020" s="88" t="n"/>
      <c r="U1020" s="88" t="n"/>
      <c r="V1020" s="89" t="n"/>
      <c r="W1020" s="88" t="n"/>
      <c r="X1020" s="89" t="n"/>
      <c r="Y1020" s="88" t="n"/>
      <c r="Z1020" s="89" t="n"/>
      <c r="AB1020" s="25">
        <f>IF($B1020="","",(COUNTIF(C1020:E1020,"?*")&lt;N(INDEX(Setup!$L$6:$L$23,13)))+(COUNTIF(G1020:I1020,"?*")&lt;N(INDEX(Setup!$L$6:$L$23,13)))+(COUNTIF(K1020:M1020,"?*")&lt;N(INDEX(Setup!$L$6:$L$23,13)))+(COUNTIF(O1020:Q1020,"?*")&lt;N(INDEX(Setup!$L$6:$L$23,13)))+(COUNTIF(S1020:U1020,"?*")&lt;N(INDEX(Setup!$L$6:$L$23,13)))+((W1020="")*(INDEX(Setup!$M$6:$M$23,13)="Y"))+((Y1020="")*(INDEX(Setup!$M$6:$M$23,13)="Y")))</f>
        <v/>
      </c>
      <c r="AC1020" s="90">
        <f>IF($B1020="","",IF(AB1020=0,"✓ covered","⚠ "&amp;AB1020&amp;IF(AB1020=1," gap"," gaps")))</f>
        <v/>
      </c>
    </row>
    <row r="1021" ht="17" customHeight="1">
      <c r="A1021" t="n">
        <v>21</v>
      </c>
      <c r="B1021" s="29">
        <f>IF(Setup!$K$19="","",Setup!$K$19)</f>
        <v/>
      </c>
      <c r="C1021" s="88" t="n"/>
      <c r="D1021" s="88" t="n"/>
      <c r="E1021" s="88" t="n"/>
      <c r="F1021" s="89" t="n"/>
      <c r="G1021" s="88" t="n"/>
      <c r="H1021" s="88" t="n"/>
      <c r="I1021" s="88" t="n"/>
      <c r="J1021" s="89" t="n"/>
      <c r="K1021" s="88" t="n"/>
      <c r="L1021" s="88" t="n"/>
      <c r="M1021" s="88" t="n"/>
      <c r="N1021" s="89" t="n"/>
      <c r="O1021" s="88" t="n"/>
      <c r="P1021" s="88" t="n"/>
      <c r="Q1021" s="88" t="n"/>
      <c r="R1021" s="89" t="n"/>
      <c r="S1021" s="88" t="n"/>
      <c r="T1021" s="88" t="n"/>
      <c r="U1021" s="88" t="n"/>
      <c r="V1021" s="89" t="n"/>
      <c r="W1021" s="88" t="n"/>
      <c r="X1021" s="89" t="n"/>
      <c r="Y1021" s="88" t="n"/>
      <c r="Z1021" s="89" t="n"/>
      <c r="AB1021" s="30">
        <f>IF($B1021="","",(COUNTIF(C1021:E1021,"?*")&lt;N(INDEX(Setup!$L$6:$L$23,14)))+(COUNTIF(G1021:I1021,"?*")&lt;N(INDEX(Setup!$L$6:$L$23,14)))+(COUNTIF(K1021:M1021,"?*")&lt;N(INDEX(Setup!$L$6:$L$23,14)))+(COUNTIF(O1021:Q1021,"?*")&lt;N(INDEX(Setup!$L$6:$L$23,14)))+(COUNTIF(S1021:U1021,"?*")&lt;N(INDEX(Setup!$L$6:$L$23,14)))+((W1021="")*(INDEX(Setup!$M$6:$M$23,14)="Y"))+((Y1021="")*(INDEX(Setup!$M$6:$M$23,14)="Y")))</f>
        <v/>
      </c>
      <c r="AC1021" s="91">
        <f>IF($B1021="","",IF(AB1021=0,"✓ covered","⚠ "&amp;AB1021&amp;IF(AB1021=1," gap"," gaps")))</f>
        <v/>
      </c>
    </row>
    <row r="1022" ht="17" customHeight="1">
      <c r="A1022" t="n">
        <v>21</v>
      </c>
      <c r="B1022" s="24">
        <f>IF(Setup!$K$20="","",Setup!$K$20)</f>
        <v/>
      </c>
      <c r="C1022" s="88" t="n"/>
      <c r="D1022" s="88" t="n"/>
      <c r="E1022" s="88" t="n"/>
      <c r="F1022" s="89" t="n"/>
      <c r="G1022" s="88" t="n"/>
      <c r="H1022" s="88" t="n"/>
      <c r="I1022" s="88" t="n"/>
      <c r="J1022" s="89" t="n"/>
      <c r="K1022" s="88" t="n"/>
      <c r="L1022" s="88" t="n"/>
      <c r="M1022" s="88" t="n"/>
      <c r="N1022" s="89" t="n"/>
      <c r="O1022" s="88" t="n"/>
      <c r="P1022" s="88" t="n"/>
      <c r="Q1022" s="88" t="n"/>
      <c r="R1022" s="89" t="n"/>
      <c r="S1022" s="88" t="n"/>
      <c r="T1022" s="88" t="n"/>
      <c r="U1022" s="88" t="n"/>
      <c r="V1022" s="89" t="n"/>
      <c r="W1022" s="88" t="n"/>
      <c r="X1022" s="89" t="n"/>
      <c r="Y1022" s="88" t="n"/>
      <c r="Z1022" s="89" t="n"/>
      <c r="AB1022" s="25">
        <f>IF($B1022="","",(COUNTIF(C1022:E1022,"?*")&lt;N(INDEX(Setup!$L$6:$L$23,15)))+(COUNTIF(G1022:I1022,"?*")&lt;N(INDEX(Setup!$L$6:$L$23,15)))+(COUNTIF(K1022:M1022,"?*")&lt;N(INDEX(Setup!$L$6:$L$23,15)))+(COUNTIF(O1022:Q1022,"?*")&lt;N(INDEX(Setup!$L$6:$L$23,15)))+(COUNTIF(S1022:U1022,"?*")&lt;N(INDEX(Setup!$L$6:$L$23,15)))+((W1022="")*(INDEX(Setup!$M$6:$M$23,15)="Y"))+((Y1022="")*(INDEX(Setup!$M$6:$M$23,15)="Y")))</f>
        <v/>
      </c>
      <c r="AC1022" s="90">
        <f>IF($B1022="","",IF(AB1022=0,"✓ covered","⚠ "&amp;AB1022&amp;IF(AB1022=1," gap"," gaps")))</f>
        <v/>
      </c>
    </row>
    <row r="1023" ht="17" customHeight="1">
      <c r="A1023" t="n">
        <v>21</v>
      </c>
      <c r="B1023" s="29">
        <f>IF(Setup!$K$21="","",Setup!$K$21)</f>
        <v/>
      </c>
      <c r="C1023" s="88" t="n"/>
      <c r="D1023" s="88" t="n"/>
      <c r="E1023" s="88" t="n"/>
      <c r="F1023" s="89" t="n"/>
      <c r="G1023" s="88" t="n"/>
      <c r="H1023" s="88" t="n"/>
      <c r="I1023" s="88" t="n"/>
      <c r="J1023" s="89" t="n"/>
      <c r="K1023" s="88" t="n"/>
      <c r="L1023" s="88" t="n"/>
      <c r="M1023" s="88" t="n"/>
      <c r="N1023" s="89" t="n"/>
      <c r="O1023" s="88" t="n"/>
      <c r="P1023" s="88" t="n"/>
      <c r="Q1023" s="88" t="n"/>
      <c r="R1023" s="89" t="n"/>
      <c r="S1023" s="88" t="n"/>
      <c r="T1023" s="88" t="n"/>
      <c r="U1023" s="88" t="n"/>
      <c r="V1023" s="89" t="n"/>
      <c r="W1023" s="88" t="n"/>
      <c r="X1023" s="89" t="n"/>
      <c r="Y1023" s="88" t="n"/>
      <c r="Z1023" s="89" t="n"/>
      <c r="AB1023" s="30">
        <f>IF($B1023="","",(COUNTIF(C1023:E1023,"?*")&lt;N(INDEX(Setup!$L$6:$L$23,16)))+(COUNTIF(G1023:I1023,"?*")&lt;N(INDEX(Setup!$L$6:$L$23,16)))+(COUNTIF(K1023:M1023,"?*")&lt;N(INDEX(Setup!$L$6:$L$23,16)))+(COUNTIF(O1023:Q1023,"?*")&lt;N(INDEX(Setup!$L$6:$L$23,16)))+(COUNTIF(S1023:U1023,"?*")&lt;N(INDEX(Setup!$L$6:$L$23,16)))+((W1023="")*(INDEX(Setup!$M$6:$M$23,16)="Y"))+((Y1023="")*(INDEX(Setup!$M$6:$M$23,16)="Y")))</f>
        <v/>
      </c>
      <c r="AC1023" s="91">
        <f>IF($B1023="","",IF(AB1023=0,"✓ covered","⚠ "&amp;AB1023&amp;IF(AB1023=1," gap"," gaps")))</f>
        <v/>
      </c>
    </row>
    <row r="1024" ht="17" customHeight="1">
      <c r="A1024" t="n">
        <v>21</v>
      </c>
      <c r="B1024" s="24">
        <f>IF(Setup!$K$22="","",Setup!$K$22)</f>
        <v/>
      </c>
      <c r="C1024" s="88" t="n"/>
      <c r="D1024" s="88" t="n"/>
      <c r="E1024" s="88" t="n"/>
      <c r="F1024" s="89" t="n"/>
      <c r="G1024" s="88" t="n"/>
      <c r="H1024" s="88" t="n"/>
      <c r="I1024" s="88" t="n"/>
      <c r="J1024" s="89" t="n"/>
      <c r="K1024" s="88" t="n"/>
      <c r="L1024" s="88" t="n"/>
      <c r="M1024" s="88" t="n"/>
      <c r="N1024" s="89" t="n"/>
      <c r="O1024" s="88" t="n"/>
      <c r="P1024" s="88" t="n"/>
      <c r="Q1024" s="88" t="n"/>
      <c r="R1024" s="89" t="n"/>
      <c r="S1024" s="88" t="n"/>
      <c r="T1024" s="88" t="n"/>
      <c r="U1024" s="88" t="n"/>
      <c r="V1024" s="89" t="n"/>
      <c r="W1024" s="88" t="n"/>
      <c r="X1024" s="89" t="n"/>
      <c r="Y1024" s="88" t="n"/>
      <c r="Z1024" s="89" t="n"/>
      <c r="AB1024" s="25">
        <f>IF($B1024="","",(COUNTIF(C1024:E1024,"?*")&lt;N(INDEX(Setup!$L$6:$L$23,17)))+(COUNTIF(G1024:I1024,"?*")&lt;N(INDEX(Setup!$L$6:$L$23,17)))+(COUNTIF(K1024:M1024,"?*")&lt;N(INDEX(Setup!$L$6:$L$23,17)))+(COUNTIF(O1024:Q1024,"?*")&lt;N(INDEX(Setup!$L$6:$L$23,17)))+(COUNTIF(S1024:U1024,"?*")&lt;N(INDEX(Setup!$L$6:$L$23,17)))+((W1024="")*(INDEX(Setup!$M$6:$M$23,17)="Y"))+((Y1024="")*(INDEX(Setup!$M$6:$M$23,17)="Y")))</f>
        <v/>
      </c>
      <c r="AC1024" s="90">
        <f>IF($B1024="","",IF(AB1024=0,"✓ covered","⚠ "&amp;AB1024&amp;IF(AB1024=1," gap"," gaps")))</f>
        <v/>
      </c>
    </row>
    <row r="1025" ht="17" customHeight="1">
      <c r="A1025" t="n">
        <v>21</v>
      </c>
      <c r="B1025" s="29">
        <f>IF(Setup!$K$23="","",Setup!$K$23)</f>
        <v/>
      </c>
      <c r="C1025" s="88" t="n"/>
      <c r="D1025" s="88" t="n"/>
      <c r="E1025" s="88" t="n"/>
      <c r="F1025" s="89" t="n"/>
      <c r="G1025" s="88" t="n"/>
      <c r="H1025" s="88" t="n"/>
      <c r="I1025" s="88" t="n"/>
      <c r="J1025" s="89" t="n"/>
      <c r="K1025" s="88" t="n"/>
      <c r="L1025" s="88" t="n"/>
      <c r="M1025" s="88" t="n"/>
      <c r="N1025" s="89" t="n"/>
      <c r="O1025" s="88" t="n"/>
      <c r="P1025" s="88" t="n"/>
      <c r="Q1025" s="88" t="n"/>
      <c r="R1025" s="89" t="n"/>
      <c r="S1025" s="88" t="n"/>
      <c r="T1025" s="88" t="n"/>
      <c r="U1025" s="88" t="n"/>
      <c r="V1025" s="89" t="n"/>
      <c r="W1025" s="88" t="n"/>
      <c r="X1025" s="89" t="n"/>
      <c r="Y1025" s="88" t="n"/>
      <c r="Z1025" s="89" t="n"/>
      <c r="AB1025" s="30">
        <f>IF($B1025="","",(COUNTIF(C1025:E1025,"?*")&lt;N(INDEX(Setup!$L$6:$L$23,18)))+(COUNTIF(G1025:I1025,"?*")&lt;N(INDEX(Setup!$L$6:$L$23,18)))+(COUNTIF(K1025:M1025,"?*")&lt;N(INDEX(Setup!$L$6:$L$23,18)))+(COUNTIF(O1025:Q1025,"?*")&lt;N(INDEX(Setup!$L$6:$L$23,18)))+(COUNTIF(S1025:U1025,"?*")&lt;N(INDEX(Setup!$L$6:$L$23,18)))+((W1025="")*(INDEX(Setup!$M$6:$M$23,18)="Y"))+((Y1025="")*(INDEX(Setup!$M$6:$M$23,18)="Y")))</f>
        <v/>
      </c>
      <c r="AC1025" s="91">
        <f>IF($B1025="","",IF(AB1025=0,"✓ covered","⚠ "&amp;AB1025&amp;IF(AB1025=1," gap"," gaps")))</f>
        <v/>
      </c>
    </row>
    <row r="1026" ht="18" customHeight="1">
      <c r="A1026" t="n">
        <v>21</v>
      </c>
      <c r="B1026" s="78" t="inlineStr">
        <is>
          <t>TEAM AVAILABILITY</t>
        </is>
      </c>
      <c r="C1026" s="92" t="inlineStr">
        <is>
          <t>Mon</t>
        </is>
      </c>
      <c r="D1026" s="93" t="n"/>
      <c r="E1026" s="93" t="n"/>
      <c r="F1026" s="94" t="n"/>
      <c r="G1026" s="92" t="inlineStr">
        <is>
          <t>Tue</t>
        </is>
      </c>
      <c r="H1026" s="93" t="n"/>
      <c r="I1026" s="93" t="n"/>
      <c r="J1026" s="94" t="n"/>
      <c r="K1026" s="92" t="inlineStr">
        <is>
          <t>Wed</t>
        </is>
      </c>
      <c r="L1026" s="93" t="n"/>
      <c r="M1026" s="93" t="n"/>
      <c r="N1026" s="94" t="n"/>
      <c r="O1026" s="92" t="inlineStr">
        <is>
          <t>Thu</t>
        </is>
      </c>
      <c r="P1026" s="93" t="n"/>
      <c r="Q1026" s="93" t="n"/>
      <c r="R1026" s="94" t="n"/>
      <c r="S1026" s="92" t="inlineStr">
        <is>
          <t>Fri</t>
        </is>
      </c>
      <c r="T1026" s="93" t="n"/>
      <c r="U1026" s="93" t="n"/>
      <c r="V1026" s="94" t="n"/>
      <c r="W1026" s="95" t="inlineStr">
        <is>
          <t>Sat</t>
        </is>
      </c>
      <c r="X1026" s="96" t="n"/>
      <c r="Y1026" s="95" t="inlineStr">
        <is>
          <t>Sun</t>
        </is>
      </c>
      <c r="Z1026" s="96" t="n"/>
      <c r="AB1026" s="97" t="inlineStr">
        <is>
          <t>Days rostered</t>
        </is>
      </c>
      <c r="AC1026" s="97" t="inlineStr">
        <is>
          <t>Conflicts</t>
        </is>
      </c>
    </row>
    <row r="1027" ht="15" customHeight="1">
      <c r="A1027" t="n">
        <v>21</v>
      </c>
      <c r="B1027" s="35">
        <f>IF(Setup!$B$6="","",Setup!$B$6)</f>
        <v/>
      </c>
      <c r="C1027" s="98" t="n"/>
      <c r="D1027" s="99" t="n"/>
      <c r="E1027" s="99" t="n"/>
      <c r="F1027" s="100" t="n"/>
      <c r="G1027" s="98" t="n"/>
      <c r="H1027" s="99" t="n"/>
      <c r="I1027" s="99" t="n"/>
      <c r="J1027" s="100" t="n"/>
      <c r="K1027" s="98" t="n"/>
      <c r="L1027" s="99" t="n"/>
      <c r="M1027" s="99" t="n"/>
      <c r="N1027" s="100" t="n"/>
      <c r="O1027" s="98" t="n"/>
      <c r="P1027" s="99" t="n"/>
      <c r="Q1027" s="99" t="n"/>
      <c r="R1027" s="100" t="n"/>
      <c r="S1027" s="98" t="n"/>
      <c r="T1027" s="99" t="n"/>
      <c r="U1027" s="99" t="n"/>
      <c r="V1027" s="100" t="n"/>
      <c r="W1027" s="98" t="n"/>
      <c r="X1027" s="100" t="n"/>
      <c r="Y1027" s="98" t="n"/>
      <c r="Z1027" s="100" t="n"/>
      <c r="AB1027" s="101">
        <f>IF($B1027="","",(COUNTIF(C1008:E1025,$B1027)+COUNTIF(C1008:E1025,$B1027&amp;" ~*")&gt;0)+(COUNTIF(G1008:I1025,$B1027)+COUNTIF(G1008:I1025,$B1027&amp;" ~*")&gt;0)+(COUNTIF(K1008:M1025,$B1027)+COUNTIF(K1008:M1025,$B1027&amp;" ~*")&gt;0)+(COUNTIF(O1008:Q1025,$B1027)+COUNTIF(O1008:Q1025,$B1027&amp;" ~*")&gt;0)+(COUNTIF(S1008:U1025,$B1027)+COUNTIF(S1008:U1025,$B1027&amp;" ~*")&gt;0)+(COUNTIF(W1008:W1025,$B1027)+COUNTIF(W1008:W1025,$B1027&amp;" ~*")&gt;0)+(COUNTIF(Y1008:Y1025,$B1027)+COUNTIF(Y1008:Y1025,$B1027&amp;" ~*")&gt;0))</f>
        <v/>
      </c>
      <c r="AC1027" s="36">
        <f>IF($B1027="","",(IFERROR(INDEX(Setup!$G$33:$G$40,MATCH(C1027,Setup!$B$33:$B$40,0)),0)=1)*(COUNTIF(C1008:E1025,$B1027)+COUNTIF(C1008:E1025,$B1027&amp;" ~*")&gt;0)+(IFERROR(INDEX(Setup!$G$33:$G$40,MATCH(G1027,Setup!$B$33:$B$40,0)),0)=1)*(COUNTIF(G1008:I1025,$B1027)+COUNTIF(G1008:I1025,$B1027&amp;" ~*")&gt;0)+(IFERROR(INDEX(Setup!$G$33:$G$40,MATCH(K1027,Setup!$B$33:$B$40,0)),0)=1)*(COUNTIF(K1008:M1025,$B1027)+COUNTIF(K1008:M1025,$B1027&amp;" ~*")&gt;0)+(IFERROR(INDEX(Setup!$G$33:$G$40,MATCH(O1027,Setup!$B$33:$B$40,0)),0)=1)*(COUNTIF(O1008:Q1025,$B1027)+COUNTIF(O1008:Q1025,$B1027&amp;" ~*")&gt;0)+(IFERROR(INDEX(Setup!$G$33:$G$40,MATCH(S1027,Setup!$B$33:$B$40,0)),0)=1)*(COUNTIF(S1008:U1025,$B1027)+COUNTIF(S1008:U1025,$B1027&amp;" ~*")&gt;0)+(IFERROR(INDEX(Setup!$G$33:$G$40,MATCH(W1027,Setup!$B$33:$B$40,0)),0)=1)*(COUNTIF(W1008:W1025,$B1027)+COUNTIF(W1008:W1025,$B1027&amp;" ~*")&gt;0)+(IFERROR(INDEX(Setup!$G$33:$G$40,MATCH(Y1027,Setup!$B$33:$B$40,0)),0)=1)*(COUNTIF(Y1008:Y1025,$B1027)+COUNTIF(Y1008:Y1025,$B1027&amp;" ~*")&gt;0))</f>
        <v/>
      </c>
    </row>
    <row r="1028" ht="15" customHeight="1">
      <c r="A1028" t="n">
        <v>21</v>
      </c>
      <c r="B1028" s="37">
        <f>IF(Setup!$B$7="","",Setup!$B$7)</f>
        <v/>
      </c>
      <c r="C1028" s="102" t="n"/>
      <c r="D1028" s="103" t="n"/>
      <c r="E1028" s="103" t="n"/>
      <c r="F1028" s="104" t="n"/>
      <c r="G1028" s="102" t="n"/>
      <c r="H1028" s="103" t="n"/>
      <c r="I1028" s="103" t="n"/>
      <c r="J1028" s="104" t="n"/>
      <c r="K1028" s="102" t="n"/>
      <c r="L1028" s="103" t="n"/>
      <c r="M1028" s="103" t="n"/>
      <c r="N1028" s="104" t="n"/>
      <c r="O1028" s="102" t="n"/>
      <c r="P1028" s="103" t="n"/>
      <c r="Q1028" s="103" t="n"/>
      <c r="R1028" s="104" t="n"/>
      <c r="S1028" s="102" t="n"/>
      <c r="T1028" s="103" t="n"/>
      <c r="U1028" s="103" t="n"/>
      <c r="V1028" s="104" t="n"/>
      <c r="W1028" s="102" t="n"/>
      <c r="X1028" s="104" t="n"/>
      <c r="Y1028" s="102" t="n"/>
      <c r="Z1028" s="104" t="n"/>
      <c r="AB1028" s="105">
        <f>IF($B1028="","",(COUNTIF(C1008:E1025,$B1028)+COUNTIF(C1008:E1025,$B1028&amp;" ~*")&gt;0)+(COUNTIF(G1008:I1025,$B1028)+COUNTIF(G1008:I1025,$B1028&amp;" ~*")&gt;0)+(COUNTIF(K1008:M1025,$B1028)+COUNTIF(K1008:M1025,$B1028&amp;" ~*")&gt;0)+(COUNTIF(O1008:Q1025,$B1028)+COUNTIF(O1008:Q1025,$B1028&amp;" ~*")&gt;0)+(COUNTIF(S1008:U1025,$B1028)+COUNTIF(S1008:U1025,$B1028&amp;" ~*")&gt;0)+(COUNTIF(W1008:W1025,$B1028)+COUNTIF(W1008:W1025,$B1028&amp;" ~*")&gt;0)+(COUNTIF(Y1008:Y1025,$B1028)+COUNTIF(Y1008:Y1025,$B1028&amp;" ~*")&gt;0))</f>
        <v/>
      </c>
      <c r="AC1028" s="38">
        <f>IF($B1028="","",(IFERROR(INDEX(Setup!$G$33:$G$40,MATCH(C1028,Setup!$B$33:$B$40,0)),0)=1)*(COUNTIF(C1008:E1025,$B1028)+COUNTIF(C1008:E1025,$B1028&amp;" ~*")&gt;0)+(IFERROR(INDEX(Setup!$G$33:$G$40,MATCH(G1028,Setup!$B$33:$B$40,0)),0)=1)*(COUNTIF(G1008:I1025,$B1028)+COUNTIF(G1008:I1025,$B1028&amp;" ~*")&gt;0)+(IFERROR(INDEX(Setup!$G$33:$G$40,MATCH(K1028,Setup!$B$33:$B$40,0)),0)=1)*(COUNTIF(K1008:M1025,$B1028)+COUNTIF(K1008:M1025,$B1028&amp;" ~*")&gt;0)+(IFERROR(INDEX(Setup!$G$33:$G$40,MATCH(O1028,Setup!$B$33:$B$40,0)),0)=1)*(COUNTIF(O1008:Q1025,$B1028)+COUNTIF(O1008:Q1025,$B1028&amp;" ~*")&gt;0)+(IFERROR(INDEX(Setup!$G$33:$G$40,MATCH(S1028,Setup!$B$33:$B$40,0)),0)=1)*(COUNTIF(S1008:U1025,$B1028)+COUNTIF(S1008:U1025,$B1028&amp;" ~*")&gt;0)+(IFERROR(INDEX(Setup!$G$33:$G$40,MATCH(W1028,Setup!$B$33:$B$40,0)),0)=1)*(COUNTIF(W1008:W1025,$B1028)+COUNTIF(W1008:W1025,$B1028&amp;" ~*")&gt;0)+(IFERROR(INDEX(Setup!$G$33:$G$40,MATCH(Y1028,Setup!$B$33:$B$40,0)),0)=1)*(COUNTIF(Y1008:Y1025,$B1028)+COUNTIF(Y1008:Y1025,$B1028&amp;" ~*")&gt;0))</f>
        <v/>
      </c>
    </row>
    <row r="1029" ht="15" customHeight="1">
      <c r="A1029" t="n">
        <v>21</v>
      </c>
      <c r="B1029" s="35">
        <f>IF(Setup!$B$8="","",Setup!$B$8)</f>
        <v/>
      </c>
      <c r="C1029" s="98" t="n"/>
      <c r="D1029" s="99" t="n"/>
      <c r="E1029" s="99" t="n"/>
      <c r="F1029" s="100" t="n"/>
      <c r="G1029" s="98" t="n"/>
      <c r="H1029" s="99" t="n"/>
      <c r="I1029" s="99" t="n"/>
      <c r="J1029" s="100" t="n"/>
      <c r="K1029" s="98" t="n"/>
      <c r="L1029" s="99" t="n"/>
      <c r="M1029" s="99" t="n"/>
      <c r="N1029" s="100" t="n"/>
      <c r="O1029" s="98" t="n"/>
      <c r="P1029" s="99" t="n"/>
      <c r="Q1029" s="99" t="n"/>
      <c r="R1029" s="100" t="n"/>
      <c r="S1029" s="98" t="n"/>
      <c r="T1029" s="99" t="n"/>
      <c r="U1029" s="99" t="n"/>
      <c r="V1029" s="100" t="n"/>
      <c r="W1029" s="98" t="n"/>
      <c r="X1029" s="100" t="n"/>
      <c r="Y1029" s="98" t="n"/>
      <c r="Z1029" s="100" t="n"/>
      <c r="AB1029" s="101">
        <f>IF($B1029="","",(COUNTIF(C1008:E1025,$B1029)+COUNTIF(C1008:E1025,$B1029&amp;" ~*")&gt;0)+(COUNTIF(G1008:I1025,$B1029)+COUNTIF(G1008:I1025,$B1029&amp;" ~*")&gt;0)+(COUNTIF(K1008:M1025,$B1029)+COUNTIF(K1008:M1025,$B1029&amp;" ~*")&gt;0)+(COUNTIF(O1008:Q1025,$B1029)+COUNTIF(O1008:Q1025,$B1029&amp;" ~*")&gt;0)+(COUNTIF(S1008:U1025,$B1029)+COUNTIF(S1008:U1025,$B1029&amp;" ~*")&gt;0)+(COUNTIF(W1008:W1025,$B1029)+COUNTIF(W1008:W1025,$B1029&amp;" ~*")&gt;0)+(COUNTIF(Y1008:Y1025,$B1029)+COUNTIF(Y1008:Y1025,$B1029&amp;" ~*")&gt;0))</f>
        <v/>
      </c>
      <c r="AC1029" s="36">
        <f>IF($B1029="","",(IFERROR(INDEX(Setup!$G$33:$G$40,MATCH(C1029,Setup!$B$33:$B$40,0)),0)=1)*(COUNTIF(C1008:E1025,$B1029)+COUNTIF(C1008:E1025,$B1029&amp;" ~*")&gt;0)+(IFERROR(INDEX(Setup!$G$33:$G$40,MATCH(G1029,Setup!$B$33:$B$40,0)),0)=1)*(COUNTIF(G1008:I1025,$B1029)+COUNTIF(G1008:I1025,$B1029&amp;" ~*")&gt;0)+(IFERROR(INDEX(Setup!$G$33:$G$40,MATCH(K1029,Setup!$B$33:$B$40,0)),0)=1)*(COUNTIF(K1008:M1025,$B1029)+COUNTIF(K1008:M1025,$B1029&amp;" ~*")&gt;0)+(IFERROR(INDEX(Setup!$G$33:$G$40,MATCH(O1029,Setup!$B$33:$B$40,0)),0)=1)*(COUNTIF(O1008:Q1025,$B1029)+COUNTIF(O1008:Q1025,$B1029&amp;" ~*")&gt;0)+(IFERROR(INDEX(Setup!$G$33:$G$40,MATCH(S1029,Setup!$B$33:$B$40,0)),0)=1)*(COUNTIF(S1008:U1025,$B1029)+COUNTIF(S1008:U1025,$B1029&amp;" ~*")&gt;0)+(IFERROR(INDEX(Setup!$G$33:$G$40,MATCH(W1029,Setup!$B$33:$B$40,0)),0)=1)*(COUNTIF(W1008:W1025,$B1029)+COUNTIF(W1008:W1025,$B1029&amp;" ~*")&gt;0)+(IFERROR(INDEX(Setup!$G$33:$G$40,MATCH(Y1029,Setup!$B$33:$B$40,0)),0)=1)*(COUNTIF(Y1008:Y1025,$B1029)+COUNTIF(Y1008:Y1025,$B1029&amp;" ~*")&gt;0))</f>
        <v/>
      </c>
    </row>
    <row r="1030" ht="15" customHeight="1">
      <c r="A1030" t="n">
        <v>21</v>
      </c>
      <c r="B1030" s="37">
        <f>IF(Setup!$B$9="","",Setup!$B$9)</f>
        <v/>
      </c>
      <c r="C1030" s="102" t="n"/>
      <c r="D1030" s="103" t="n"/>
      <c r="E1030" s="103" t="n"/>
      <c r="F1030" s="104" t="n"/>
      <c r="G1030" s="102" t="n"/>
      <c r="H1030" s="103" t="n"/>
      <c r="I1030" s="103" t="n"/>
      <c r="J1030" s="104" t="n"/>
      <c r="K1030" s="102" t="n"/>
      <c r="L1030" s="103" t="n"/>
      <c r="M1030" s="103" t="n"/>
      <c r="N1030" s="104" t="n"/>
      <c r="O1030" s="102" t="n"/>
      <c r="P1030" s="103" t="n"/>
      <c r="Q1030" s="103" t="n"/>
      <c r="R1030" s="104" t="n"/>
      <c r="S1030" s="102" t="n"/>
      <c r="T1030" s="103" t="n"/>
      <c r="U1030" s="103" t="n"/>
      <c r="V1030" s="104" t="n"/>
      <c r="W1030" s="102" t="n"/>
      <c r="X1030" s="104" t="n"/>
      <c r="Y1030" s="102" t="n"/>
      <c r="Z1030" s="104" t="n"/>
      <c r="AB1030" s="105">
        <f>IF($B1030="","",(COUNTIF(C1008:E1025,$B1030)+COUNTIF(C1008:E1025,$B1030&amp;" ~*")&gt;0)+(COUNTIF(G1008:I1025,$B1030)+COUNTIF(G1008:I1025,$B1030&amp;" ~*")&gt;0)+(COUNTIF(K1008:M1025,$B1030)+COUNTIF(K1008:M1025,$B1030&amp;" ~*")&gt;0)+(COUNTIF(O1008:Q1025,$B1030)+COUNTIF(O1008:Q1025,$B1030&amp;" ~*")&gt;0)+(COUNTIF(S1008:U1025,$B1030)+COUNTIF(S1008:U1025,$B1030&amp;" ~*")&gt;0)+(COUNTIF(W1008:W1025,$B1030)+COUNTIF(W1008:W1025,$B1030&amp;" ~*")&gt;0)+(COUNTIF(Y1008:Y1025,$B1030)+COUNTIF(Y1008:Y1025,$B1030&amp;" ~*")&gt;0))</f>
        <v/>
      </c>
      <c r="AC1030" s="38">
        <f>IF($B1030="","",(IFERROR(INDEX(Setup!$G$33:$G$40,MATCH(C1030,Setup!$B$33:$B$40,0)),0)=1)*(COUNTIF(C1008:E1025,$B1030)+COUNTIF(C1008:E1025,$B1030&amp;" ~*")&gt;0)+(IFERROR(INDEX(Setup!$G$33:$G$40,MATCH(G1030,Setup!$B$33:$B$40,0)),0)=1)*(COUNTIF(G1008:I1025,$B1030)+COUNTIF(G1008:I1025,$B1030&amp;" ~*")&gt;0)+(IFERROR(INDEX(Setup!$G$33:$G$40,MATCH(K1030,Setup!$B$33:$B$40,0)),0)=1)*(COUNTIF(K1008:M1025,$B1030)+COUNTIF(K1008:M1025,$B1030&amp;" ~*")&gt;0)+(IFERROR(INDEX(Setup!$G$33:$G$40,MATCH(O1030,Setup!$B$33:$B$40,0)),0)=1)*(COUNTIF(O1008:Q1025,$B1030)+COUNTIF(O1008:Q1025,$B1030&amp;" ~*")&gt;0)+(IFERROR(INDEX(Setup!$G$33:$G$40,MATCH(S1030,Setup!$B$33:$B$40,0)),0)=1)*(COUNTIF(S1008:U1025,$B1030)+COUNTIF(S1008:U1025,$B1030&amp;" ~*")&gt;0)+(IFERROR(INDEX(Setup!$G$33:$G$40,MATCH(W1030,Setup!$B$33:$B$40,0)),0)=1)*(COUNTIF(W1008:W1025,$B1030)+COUNTIF(W1008:W1025,$B1030&amp;" ~*")&gt;0)+(IFERROR(INDEX(Setup!$G$33:$G$40,MATCH(Y1030,Setup!$B$33:$B$40,0)),0)=1)*(COUNTIF(Y1008:Y1025,$B1030)+COUNTIF(Y1008:Y1025,$B1030&amp;" ~*")&gt;0))</f>
        <v/>
      </c>
    </row>
    <row r="1031" ht="15" customHeight="1">
      <c r="A1031" t="n">
        <v>21</v>
      </c>
      <c r="B1031" s="35">
        <f>IF(Setup!$B$10="","",Setup!$B$10)</f>
        <v/>
      </c>
      <c r="C1031" s="98" t="n"/>
      <c r="D1031" s="99" t="n"/>
      <c r="E1031" s="99" t="n"/>
      <c r="F1031" s="100" t="n"/>
      <c r="G1031" s="98" t="n"/>
      <c r="H1031" s="99" t="n"/>
      <c r="I1031" s="99" t="n"/>
      <c r="J1031" s="100" t="n"/>
      <c r="K1031" s="98" t="n"/>
      <c r="L1031" s="99" t="n"/>
      <c r="M1031" s="99" t="n"/>
      <c r="N1031" s="100" t="n"/>
      <c r="O1031" s="98" t="n"/>
      <c r="P1031" s="99" t="n"/>
      <c r="Q1031" s="99" t="n"/>
      <c r="R1031" s="100" t="n"/>
      <c r="S1031" s="98" t="n"/>
      <c r="T1031" s="99" t="n"/>
      <c r="U1031" s="99" t="n"/>
      <c r="V1031" s="100" t="n"/>
      <c r="W1031" s="98" t="n"/>
      <c r="X1031" s="100" t="n"/>
      <c r="Y1031" s="98" t="n"/>
      <c r="Z1031" s="100" t="n"/>
      <c r="AB1031" s="101">
        <f>IF($B1031="","",(COUNTIF(C1008:E1025,$B1031)+COUNTIF(C1008:E1025,$B1031&amp;" ~*")&gt;0)+(COUNTIF(G1008:I1025,$B1031)+COUNTIF(G1008:I1025,$B1031&amp;" ~*")&gt;0)+(COUNTIF(K1008:M1025,$B1031)+COUNTIF(K1008:M1025,$B1031&amp;" ~*")&gt;0)+(COUNTIF(O1008:Q1025,$B1031)+COUNTIF(O1008:Q1025,$B1031&amp;" ~*")&gt;0)+(COUNTIF(S1008:U1025,$B1031)+COUNTIF(S1008:U1025,$B1031&amp;" ~*")&gt;0)+(COUNTIF(W1008:W1025,$B1031)+COUNTIF(W1008:W1025,$B1031&amp;" ~*")&gt;0)+(COUNTIF(Y1008:Y1025,$B1031)+COUNTIF(Y1008:Y1025,$B1031&amp;" ~*")&gt;0))</f>
        <v/>
      </c>
      <c r="AC1031" s="36">
        <f>IF($B1031="","",(IFERROR(INDEX(Setup!$G$33:$G$40,MATCH(C1031,Setup!$B$33:$B$40,0)),0)=1)*(COUNTIF(C1008:E1025,$B1031)+COUNTIF(C1008:E1025,$B1031&amp;" ~*")&gt;0)+(IFERROR(INDEX(Setup!$G$33:$G$40,MATCH(G1031,Setup!$B$33:$B$40,0)),0)=1)*(COUNTIF(G1008:I1025,$B1031)+COUNTIF(G1008:I1025,$B1031&amp;" ~*")&gt;0)+(IFERROR(INDEX(Setup!$G$33:$G$40,MATCH(K1031,Setup!$B$33:$B$40,0)),0)=1)*(COUNTIF(K1008:M1025,$B1031)+COUNTIF(K1008:M1025,$B1031&amp;" ~*")&gt;0)+(IFERROR(INDEX(Setup!$G$33:$G$40,MATCH(O1031,Setup!$B$33:$B$40,0)),0)=1)*(COUNTIF(O1008:Q1025,$B1031)+COUNTIF(O1008:Q1025,$B1031&amp;" ~*")&gt;0)+(IFERROR(INDEX(Setup!$G$33:$G$40,MATCH(S1031,Setup!$B$33:$B$40,0)),0)=1)*(COUNTIF(S1008:U1025,$B1031)+COUNTIF(S1008:U1025,$B1031&amp;" ~*")&gt;0)+(IFERROR(INDEX(Setup!$G$33:$G$40,MATCH(W1031,Setup!$B$33:$B$40,0)),0)=1)*(COUNTIF(W1008:W1025,$B1031)+COUNTIF(W1008:W1025,$B1031&amp;" ~*")&gt;0)+(IFERROR(INDEX(Setup!$G$33:$G$40,MATCH(Y1031,Setup!$B$33:$B$40,0)),0)=1)*(COUNTIF(Y1008:Y1025,$B1031)+COUNTIF(Y1008:Y1025,$B1031&amp;" ~*")&gt;0))</f>
        <v/>
      </c>
    </row>
    <row r="1032" ht="15" customHeight="1">
      <c r="A1032" t="n">
        <v>21</v>
      </c>
      <c r="B1032" s="37">
        <f>IF(Setup!$B$11="","",Setup!$B$11)</f>
        <v/>
      </c>
      <c r="C1032" s="102" t="n"/>
      <c r="D1032" s="103" t="n"/>
      <c r="E1032" s="103" t="n"/>
      <c r="F1032" s="104" t="n"/>
      <c r="G1032" s="102" t="n"/>
      <c r="H1032" s="103" t="n"/>
      <c r="I1032" s="103" t="n"/>
      <c r="J1032" s="104" t="n"/>
      <c r="K1032" s="102" t="n"/>
      <c r="L1032" s="103" t="n"/>
      <c r="M1032" s="103" t="n"/>
      <c r="N1032" s="104" t="n"/>
      <c r="O1032" s="102" t="n"/>
      <c r="P1032" s="103" t="n"/>
      <c r="Q1032" s="103" t="n"/>
      <c r="R1032" s="104" t="n"/>
      <c r="S1032" s="102" t="n"/>
      <c r="T1032" s="103" t="n"/>
      <c r="U1032" s="103" t="n"/>
      <c r="V1032" s="104" t="n"/>
      <c r="W1032" s="102" t="n"/>
      <c r="X1032" s="104" t="n"/>
      <c r="Y1032" s="102" t="n"/>
      <c r="Z1032" s="104" t="n"/>
      <c r="AB1032" s="105">
        <f>IF($B1032="","",(COUNTIF(C1008:E1025,$B1032)+COUNTIF(C1008:E1025,$B1032&amp;" ~*")&gt;0)+(COUNTIF(G1008:I1025,$B1032)+COUNTIF(G1008:I1025,$B1032&amp;" ~*")&gt;0)+(COUNTIF(K1008:M1025,$B1032)+COUNTIF(K1008:M1025,$B1032&amp;" ~*")&gt;0)+(COUNTIF(O1008:Q1025,$B1032)+COUNTIF(O1008:Q1025,$B1032&amp;" ~*")&gt;0)+(COUNTIF(S1008:U1025,$B1032)+COUNTIF(S1008:U1025,$B1032&amp;" ~*")&gt;0)+(COUNTIF(W1008:W1025,$B1032)+COUNTIF(W1008:W1025,$B1032&amp;" ~*")&gt;0)+(COUNTIF(Y1008:Y1025,$B1032)+COUNTIF(Y1008:Y1025,$B1032&amp;" ~*")&gt;0))</f>
        <v/>
      </c>
      <c r="AC1032" s="38">
        <f>IF($B1032="","",(IFERROR(INDEX(Setup!$G$33:$G$40,MATCH(C1032,Setup!$B$33:$B$40,0)),0)=1)*(COUNTIF(C1008:E1025,$B1032)+COUNTIF(C1008:E1025,$B1032&amp;" ~*")&gt;0)+(IFERROR(INDEX(Setup!$G$33:$G$40,MATCH(G1032,Setup!$B$33:$B$40,0)),0)=1)*(COUNTIF(G1008:I1025,$B1032)+COUNTIF(G1008:I1025,$B1032&amp;" ~*")&gt;0)+(IFERROR(INDEX(Setup!$G$33:$G$40,MATCH(K1032,Setup!$B$33:$B$40,0)),0)=1)*(COUNTIF(K1008:M1025,$B1032)+COUNTIF(K1008:M1025,$B1032&amp;" ~*")&gt;0)+(IFERROR(INDEX(Setup!$G$33:$G$40,MATCH(O1032,Setup!$B$33:$B$40,0)),0)=1)*(COUNTIF(O1008:Q1025,$B1032)+COUNTIF(O1008:Q1025,$B1032&amp;" ~*")&gt;0)+(IFERROR(INDEX(Setup!$G$33:$G$40,MATCH(S1032,Setup!$B$33:$B$40,0)),0)=1)*(COUNTIF(S1008:U1025,$B1032)+COUNTIF(S1008:U1025,$B1032&amp;" ~*")&gt;0)+(IFERROR(INDEX(Setup!$G$33:$G$40,MATCH(W1032,Setup!$B$33:$B$40,0)),0)=1)*(COUNTIF(W1008:W1025,$B1032)+COUNTIF(W1008:W1025,$B1032&amp;" ~*")&gt;0)+(IFERROR(INDEX(Setup!$G$33:$G$40,MATCH(Y1032,Setup!$B$33:$B$40,0)),0)=1)*(COUNTIF(Y1008:Y1025,$B1032)+COUNTIF(Y1008:Y1025,$B1032&amp;" ~*")&gt;0))</f>
        <v/>
      </c>
    </row>
    <row r="1033" ht="15" customHeight="1">
      <c r="A1033" t="n">
        <v>21</v>
      </c>
      <c r="B1033" s="35">
        <f>IF(Setup!$B$12="","",Setup!$B$12)</f>
        <v/>
      </c>
      <c r="C1033" s="98" t="n"/>
      <c r="D1033" s="99" t="n"/>
      <c r="E1033" s="99" t="n"/>
      <c r="F1033" s="100" t="n"/>
      <c r="G1033" s="98" t="n"/>
      <c r="H1033" s="99" t="n"/>
      <c r="I1033" s="99" t="n"/>
      <c r="J1033" s="100" t="n"/>
      <c r="K1033" s="98" t="n"/>
      <c r="L1033" s="99" t="n"/>
      <c r="M1033" s="99" t="n"/>
      <c r="N1033" s="100" t="n"/>
      <c r="O1033" s="98" t="n"/>
      <c r="P1033" s="99" t="n"/>
      <c r="Q1033" s="99" t="n"/>
      <c r="R1033" s="100" t="n"/>
      <c r="S1033" s="98" t="inlineStr">
        <is>
          <t>AL</t>
        </is>
      </c>
      <c r="T1033" s="99" t="n"/>
      <c r="U1033" s="99" t="n"/>
      <c r="V1033" s="100" t="n"/>
      <c r="W1033" s="98" t="n"/>
      <c r="X1033" s="100" t="n"/>
      <c r="Y1033" s="98" t="n"/>
      <c r="Z1033" s="100" t="n"/>
      <c r="AB1033" s="101">
        <f>IF($B1033="","",(COUNTIF(C1008:E1025,$B1033)+COUNTIF(C1008:E1025,$B1033&amp;" ~*")&gt;0)+(COUNTIF(G1008:I1025,$B1033)+COUNTIF(G1008:I1025,$B1033&amp;" ~*")&gt;0)+(COUNTIF(K1008:M1025,$B1033)+COUNTIF(K1008:M1025,$B1033&amp;" ~*")&gt;0)+(COUNTIF(O1008:Q1025,$B1033)+COUNTIF(O1008:Q1025,$B1033&amp;" ~*")&gt;0)+(COUNTIF(S1008:U1025,$B1033)+COUNTIF(S1008:U1025,$B1033&amp;" ~*")&gt;0)+(COUNTIF(W1008:W1025,$B1033)+COUNTIF(W1008:W1025,$B1033&amp;" ~*")&gt;0)+(COUNTIF(Y1008:Y1025,$B1033)+COUNTIF(Y1008:Y1025,$B1033&amp;" ~*")&gt;0))</f>
        <v/>
      </c>
      <c r="AC1033" s="36">
        <f>IF($B1033="","",(IFERROR(INDEX(Setup!$G$33:$G$40,MATCH(C1033,Setup!$B$33:$B$40,0)),0)=1)*(COUNTIF(C1008:E1025,$B1033)+COUNTIF(C1008:E1025,$B1033&amp;" ~*")&gt;0)+(IFERROR(INDEX(Setup!$G$33:$G$40,MATCH(G1033,Setup!$B$33:$B$40,0)),0)=1)*(COUNTIF(G1008:I1025,$B1033)+COUNTIF(G1008:I1025,$B1033&amp;" ~*")&gt;0)+(IFERROR(INDEX(Setup!$G$33:$G$40,MATCH(K1033,Setup!$B$33:$B$40,0)),0)=1)*(COUNTIF(K1008:M1025,$B1033)+COUNTIF(K1008:M1025,$B1033&amp;" ~*")&gt;0)+(IFERROR(INDEX(Setup!$G$33:$G$40,MATCH(O1033,Setup!$B$33:$B$40,0)),0)=1)*(COUNTIF(O1008:Q1025,$B1033)+COUNTIF(O1008:Q1025,$B1033&amp;" ~*")&gt;0)+(IFERROR(INDEX(Setup!$G$33:$G$40,MATCH(S1033,Setup!$B$33:$B$40,0)),0)=1)*(COUNTIF(S1008:U1025,$B1033)+COUNTIF(S1008:U1025,$B1033&amp;" ~*")&gt;0)+(IFERROR(INDEX(Setup!$G$33:$G$40,MATCH(W1033,Setup!$B$33:$B$40,0)),0)=1)*(COUNTIF(W1008:W1025,$B1033)+COUNTIF(W1008:W1025,$B1033&amp;" ~*")&gt;0)+(IFERROR(INDEX(Setup!$G$33:$G$40,MATCH(Y1033,Setup!$B$33:$B$40,0)),0)=1)*(COUNTIF(Y1008:Y1025,$B1033)+COUNTIF(Y1008:Y1025,$B1033&amp;" ~*")&gt;0))</f>
        <v/>
      </c>
    </row>
    <row r="1034" ht="15" customHeight="1">
      <c r="A1034" t="n">
        <v>21</v>
      </c>
      <c r="B1034" s="37">
        <f>IF(Setup!$B$13="","",Setup!$B$13)</f>
        <v/>
      </c>
      <c r="C1034" s="102" t="n"/>
      <c r="D1034" s="103" t="n"/>
      <c r="E1034" s="103" t="n"/>
      <c r="F1034" s="104" t="n"/>
      <c r="G1034" s="102" t="n"/>
      <c r="H1034" s="103" t="n"/>
      <c r="I1034" s="103" t="n"/>
      <c r="J1034" s="104" t="n"/>
      <c r="K1034" s="102" t="n"/>
      <c r="L1034" s="103" t="n"/>
      <c r="M1034" s="103" t="n"/>
      <c r="N1034" s="104" t="n"/>
      <c r="O1034" s="102" t="n"/>
      <c r="P1034" s="103" t="n"/>
      <c r="Q1034" s="103" t="n"/>
      <c r="R1034" s="104" t="n"/>
      <c r="S1034" s="102" t="n"/>
      <c r="T1034" s="103" t="n"/>
      <c r="U1034" s="103" t="n"/>
      <c r="V1034" s="104" t="n"/>
      <c r="W1034" s="102" t="n"/>
      <c r="X1034" s="104" t="n"/>
      <c r="Y1034" s="102" t="n"/>
      <c r="Z1034" s="104" t="n"/>
      <c r="AB1034" s="105">
        <f>IF($B1034="","",(COUNTIF(C1008:E1025,$B1034)+COUNTIF(C1008:E1025,$B1034&amp;" ~*")&gt;0)+(COUNTIF(G1008:I1025,$B1034)+COUNTIF(G1008:I1025,$B1034&amp;" ~*")&gt;0)+(COUNTIF(K1008:M1025,$B1034)+COUNTIF(K1008:M1025,$B1034&amp;" ~*")&gt;0)+(COUNTIF(O1008:Q1025,$B1034)+COUNTIF(O1008:Q1025,$B1034&amp;" ~*")&gt;0)+(COUNTIF(S1008:U1025,$B1034)+COUNTIF(S1008:U1025,$B1034&amp;" ~*")&gt;0)+(COUNTIF(W1008:W1025,$B1034)+COUNTIF(W1008:W1025,$B1034&amp;" ~*")&gt;0)+(COUNTIF(Y1008:Y1025,$B1034)+COUNTIF(Y1008:Y1025,$B1034&amp;" ~*")&gt;0))</f>
        <v/>
      </c>
      <c r="AC1034" s="38">
        <f>IF($B1034="","",(IFERROR(INDEX(Setup!$G$33:$G$40,MATCH(C1034,Setup!$B$33:$B$40,0)),0)=1)*(COUNTIF(C1008:E1025,$B1034)+COUNTIF(C1008:E1025,$B1034&amp;" ~*")&gt;0)+(IFERROR(INDEX(Setup!$G$33:$G$40,MATCH(G1034,Setup!$B$33:$B$40,0)),0)=1)*(COUNTIF(G1008:I1025,$B1034)+COUNTIF(G1008:I1025,$B1034&amp;" ~*")&gt;0)+(IFERROR(INDEX(Setup!$G$33:$G$40,MATCH(K1034,Setup!$B$33:$B$40,0)),0)=1)*(COUNTIF(K1008:M1025,$B1034)+COUNTIF(K1008:M1025,$B1034&amp;" ~*")&gt;0)+(IFERROR(INDEX(Setup!$G$33:$G$40,MATCH(O1034,Setup!$B$33:$B$40,0)),0)=1)*(COUNTIF(O1008:Q1025,$B1034)+COUNTIF(O1008:Q1025,$B1034&amp;" ~*")&gt;0)+(IFERROR(INDEX(Setup!$G$33:$G$40,MATCH(S1034,Setup!$B$33:$B$40,0)),0)=1)*(COUNTIF(S1008:U1025,$B1034)+COUNTIF(S1008:U1025,$B1034&amp;" ~*")&gt;0)+(IFERROR(INDEX(Setup!$G$33:$G$40,MATCH(W1034,Setup!$B$33:$B$40,0)),0)=1)*(COUNTIF(W1008:W1025,$B1034)+COUNTIF(W1008:W1025,$B1034&amp;" ~*")&gt;0)+(IFERROR(INDEX(Setup!$G$33:$G$40,MATCH(Y1034,Setup!$B$33:$B$40,0)),0)=1)*(COUNTIF(Y1008:Y1025,$B1034)+COUNTIF(Y1008:Y1025,$B1034&amp;" ~*")&gt;0))</f>
        <v/>
      </c>
    </row>
    <row r="1035" ht="15" customHeight="1">
      <c r="A1035" t="n">
        <v>21</v>
      </c>
      <c r="B1035" s="35">
        <f>IF(Setup!$B$14="","",Setup!$B$14)</f>
        <v/>
      </c>
      <c r="C1035" s="98" t="n"/>
      <c r="D1035" s="99" t="n"/>
      <c r="E1035" s="99" t="n"/>
      <c r="F1035" s="100" t="n"/>
      <c r="G1035" s="98" t="n"/>
      <c r="H1035" s="99" t="n"/>
      <c r="I1035" s="99" t="n"/>
      <c r="J1035" s="100" t="n"/>
      <c r="K1035" s="98" t="n"/>
      <c r="L1035" s="99" t="n"/>
      <c r="M1035" s="99" t="n"/>
      <c r="N1035" s="100" t="n"/>
      <c r="O1035" s="98" t="n"/>
      <c r="P1035" s="99" t="n"/>
      <c r="Q1035" s="99" t="n"/>
      <c r="R1035" s="100" t="n"/>
      <c r="S1035" s="98" t="n"/>
      <c r="T1035" s="99" t="n"/>
      <c r="U1035" s="99" t="n"/>
      <c r="V1035" s="100" t="n"/>
      <c r="W1035" s="98" t="n"/>
      <c r="X1035" s="100" t="n"/>
      <c r="Y1035" s="98" t="n"/>
      <c r="Z1035" s="100" t="n"/>
      <c r="AB1035" s="101">
        <f>IF($B1035="","",(COUNTIF(C1008:E1025,$B1035)+COUNTIF(C1008:E1025,$B1035&amp;" ~*")&gt;0)+(COUNTIF(G1008:I1025,$B1035)+COUNTIF(G1008:I1025,$B1035&amp;" ~*")&gt;0)+(COUNTIF(K1008:M1025,$B1035)+COUNTIF(K1008:M1025,$B1035&amp;" ~*")&gt;0)+(COUNTIF(O1008:Q1025,$B1035)+COUNTIF(O1008:Q1025,$B1035&amp;" ~*")&gt;0)+(COUNTIF(S1008:U1025,$B1035)+COUNTIF(S1008:U1025,$B1035&amp;" ~*")&gt;0)+(COUNTIF(W1008:W1025,$B1035)+COUNTIF(W1008:W1025,$B1035&amp;" ~*")&gt;0)+(COUNTIF(Y1008:Y1025,$B1035)+COUNTIF(Y1008:Y1025,$B1035&amp;" ~*")&gt;0))</f>
        <v/>
      </c>
      <c r="AC1035" s="36">
        <f>IF($B1035="","",(IFERROR(INDEX(Setup!$G$33:$G$40,MATCH(C1035,Setup!$B$33:$B$40,0)),0)=1)*(COUNTIF(C1008:E1025,$B1035)+COUNTIF(C1008:E1025,$B1035&amp;" ~*")&gt;0)+(IFERROR(INDEX(Setup!$G$33:$G$40,MATCH(G1035,Setup!$B$33:$B$40,0)),0)=1)*(COUNTIF(G1008:I1025,$B1035)+COUNTIF(G1008:I1025,$B1035&amp;" ~*")&gt;0)+(IFERROR(INDEX(Setup!$G$33:$G$40,MATCH(K1035,Setup!$B$33:$B$40,0)),0)=1)*(COUNTIF(K1008:M1025,$B1035)+COUNTIF(K1008:M1025,$B1035&amp;" ~*")&gt;0)+(IFERROR(INDEX(Setup!$G$33:$G$40,MATCH(O1035,Setup!$B$33:$B$40,0)),0)=1)*(COUNTIF(O1008:Q1025,$B1035)+COUNTIF(O1008:Q1025,$B1035&amp;" ~*")&gt;0)+(IFERROR(INDEX(Setup!$G$33:$G$40,MATCH(S1035,Setup!$B$33:$B$40,0)),0)=1)*(COUNTIF(S1008:U1025,$B1035)+COUNTIF(S1008:U1025,$B1035&amp;" ~*")&gt;0)+(IFERROR(INDEX(Setup!$G$33:$G$40,MATCH(W1035,Setup!$B$33:$B$40,0)),0)=1)*(COUNTIF(W1008:W1025,$B1035)+COUNTIF(W1008:W1025,$B1035&amp;" ~*")&gt;0)+(IFERROR(INDEX(Setup!$G$33:$G$40,MATCH(Y1035,Setup!$B$33:$B$40,0)),0)=1)*(COUNTIF(Y1008:Y1025,$B1035)+COUNTIF(Y1008:Y1025,$B1035&amp;" ~*")&gt;0))</f>
        <v/>
      </c>
    </row>
    <row r="1036" ht="15" customHeight="1">
      <c r="A1036" t="n">
        <v>21</v>
      </c>
      <c r="B1036" s="37">
        <f>IF(Setup!$B$15="","",Setup!$B$15)</f>
        <v/>
      </c>
      <c r="C1036" s="102" t="n"/>
      <c r="D1036" s="103" t="n"/>
      <c r="E1036" s="103" t="n"/>
      <c r="F1036" s="104" t="n"/>
      <c r="G1036" s="102" t="n"/>
      <c r="H1036" s="103" t="n"/>
      <c r="I1036" s="103" t="n"/>
      <c r="J1036" s="104" t="n"/>
      <c r="K1036" s="102" t="n"/>
      <c r="L1036" s="103" t="n"/>
      <c r="M1036" s="103" t="n"/>
      <c r="N1036" s="104" t="n"/>
      <c r="O1036" s="102" t="inlineStr">
        <is>
          <t>AL</t>
        </is>
      </c>
      <c r="P1036" s="103" t="n"/>
      <c r="Q1036" s="103" t="n"/>
      <c r="R1036" s="104" t="n"/>
      <c r="S1036" s="102" t="inlineStr">
        <is>
          <t>AL</t>
        </is>
      </c>
      <c r="T1036" s="103" t="n"/>
      <c r="U1036" s="103" t="n"/>
      <c r="V1036" s="104" t="n"/>
      <c r="W1036" s="102" t="n"/>
      <c r="X1036" s="104" t="n"/>
      <c r="Y1036" s="102" t="n"/>
      <c r="Z1036" s="104" t="n"/>
      <c r="AB1036" s="105">
        <f>IF($B1036="","",(COUNTIF(C1008:E1025,$B1036)+COUNTIF(C1008:E1025,$B1036&amp;" ~*")&gt;0)+(COUNTIF(G1008:I1025,$B1036)+COUNTIF(G1008:I1025,$B1036&amp;" ~*")&gt;0)+(COUNTIF(K1008:M1025,$B1036)+COUNTIF(K1008:M1025,$B1036&amp;" ~*")&gt;0)+(COUNTIF(O1008:Q1025,$B1036)+COUNTIF(O1008:Q1025,$B1036&amp;" ~*")&gt;0)+(COUNTIF(S1008:U1025,$B1036)+COUNTIF(S1008:U1025,$B1036&amp;" ~*")&gt;0)+(COUNTIF(W1008:W1025,$B1036)+COUNTIF(W1008:W1025,$B1036&amp;" ~*")&gt;0)+(COUNTIF(Y1008:Y1025,$B1036)+COUNTIF(Y1008:Y1025,$B1036&amp;" ~*")&gt;0))</f>
        <v/>
      </c>
      <c r="AC1036" s="38">
        <f>IF($B1036="","",(IFERROR(INDEX(Setup!$G$33:$G$40,MATCH(C1036,Setup!$B$33:$B$40,0)),0)=1)*(COUNTIF(C1008:E1025,$B1036)+COUNTIF(C1008:E1025,$B1036&amp;" ~*")&gt;0)+(IFERROR(INDEX(Setup!$G$33:$G$40,MATCH(G1036,Setup!$B$33:$B$40,0)),0)=1)*(COUNTIF(G1008:I1025,$B1036)+COUNTIF(G1008:I1025,$B1036&amp;" ~*")&gt;0)+(IFERROR(INDEX(Setup!$G$33:$G$40,MATCH(K1036,Setup!$B$33:$B$40,0)),0)=1)*(COUNTIF(K1008:M1025,$B1036)+COUNTIF(K1008:M1025,$B1036&amp;" ~*")&gt;0)+(IFERROR(INDEX(Setup!$G$33:$G$40,MATCH(O1036,Setup!$B$33:$B$40,0)),0)=1)*(COUNTIF(O1008:Q1025,$B1036)+COUNTIF(O1008:Q1025,$B1036&amp;" ~*")&gt;0)+(IFERROR(INDEX(Setup!$G$33:$G$40,MATCH(S1036,Setup!$B$33:$B$40,0)),0)=1)*(COUNTIF(S1008:U1025,$B1036)+COUNTIF(S1008:U1025,$B1036&amp;" ~*")&gt;0)+(IFERROR(INDEX(Setup!$G$33:$G$40,MATCH(W1036,Setup!$B$33:$B$40,0)),0)=1)*(COUNTIF(W1008:W1025,$B1036)+COUNTIF(W1008:W1025,$B1036&amp;" ~*")&gt;0)+(IFERROR(INDEX(Setup!$G$33:$G$40,MATCH(Y1036,Setup!$B$33:$B$40,0)),0)=1)*(COUNTIF(Y1008:Y1025,$B1036)+COUNTIF(Y1008:Y1025,$B1036&amp;" ~*")&gt;0))</f>
        <v/>
      </c>
    </row>
    <row r="1037" ht="15" customHeight="1">
      <c r="A1037" t="n">
        <v>21</v>
      </c>
      <c r="B1037" s="35">
        <f>IF(Setup!$B$16="","",Setup!$B$16)</f>
        <v/>
      </c>
      <c r="C1037" s="98" t="n"/>
      <c r="D1037" s="99" t="n"/>
      <c r="E1037" s="99" t="n"/>
      <c r="F1037" s="100" t="n"/>
      <c r="G1037" s="98" t="n"/>
      <c r="H1037" s="99" t="n"/>
      <c r="I1037" s="99" t="n"/>
      <c r="J1037" s="100" t="n"/>
      <c r="K1037" s="98" t="n"/>
      <c r="L1037" s="99" t="n"/>
      <c r="M1037" s="99" t="n"/>
      <c r="N1037" s="100" t="n"/>
      <c r="O1037" s="98" t="n"/>
      <c r="P1037" s="99" t="n"/>
      <c r="Q1037" s="99" t="n"/>
      <c r="R1037" s="100" t="n"/>
      <c r="S1037" s="98" t="n"/>
      <c r="T1037" s="99" t="n"/>
      <c r="U1037" s="99" t="n"/>
      <c r="V1037" s="100" t="n"/>
      <c r="W1037" s="98" t="n"/>
      <c r="X1037" s="100" t="n"/>
      <c r="Y1037" s="98" t="n"/>
      <c r="Z1037" s="100" t="n"/>
      <c r="AB1037" s="101">
        <f>IF($B1037="","",(COUNTIF(C1008:E1025,$B1037)+COUNTIF(C1008:E1025,$B1037&amp;" ~*")&gt;0)+(COUNTIF(G1008:I1025,$B1037)+COUNTIF(G1008:I1025,$B1037&amp;" ~*")&gt;0)+(COUNTIF(K1008:M1025,$B1037)+COUNTIF(K1008:M1025,$B1037&amp;" ~*")&gt;0)+(COUNTIF(O1008:Q1025,$B1037)+COUNTIF(O1008:Q1025,$B1037&amp;" ~*")&gt;0)+(COUNTIF(S1008:U1025,$B1037)+COUNTIF(S1008:U1025,$B1037&amp;" ~*")&gt;0)+(COUNTIF(W1008:W1025,$B1037)+COUNTIF(W1008:W1025,$B1037&amp;" ~*")&gt;0)+(COUNTIF(Y1008:Y1025,$B1037)+COUNTIF(Y1008:Y1025,$B1037&amp;" ~*")&gt;0))</f>
        <v/>
      </c>
      <c r="AC1037" s="36">
        <f>IF($B1037="","",(IFERROR(INDEX(Setup!$G$33:$G$40,MATCH(C1037,Setup!$B$33:$B$40,0)),0)=1)*(COUNTIF(C1008:E1025,$B1037)+COUNTIF(C1008:E1025,$B1037&amp;" ~*")&gt;0)+(IFERROR(INDEX(Setup!$G$33:$G$40,MATCH(G1037,Setup!$B$33:$B$40,0)),0)=1)*(COUNTIF(G1008:I1025,$B1037)+COUNTIF(G1008:I1025,$B1037&amp;" ~*")&gt;0)+(IFERROR(INDEX(Setup!$G$33:$G$40,MATCH(K1037,Setup!$B$33:$B$40,0)),0)=1)*(COUNTIF(K1008:M1025,$B1037)+COUNTIF(K1008:M1025,$B1037&amp;" ~*")&gt;0)+(IFERROR(INDEX(Setup!$G$33:$G$40,MATCH(O1037,Setup!$B$33:$B$40,0)),0)=1)*(COUNTIF(O1008:Q1025,$B1037)+COUNTIF(O1008:Q1025,$B1037&amp;" ~*")&gt;0)+(IFERROR(INDEX(Setup!$G$33:$G$40,MATCH(S1037,Setup!$B$33:$B$40,0)),0)=1)*(COUNTIF(S1008:U1025,$B1037)+COUNTIF(S1008:U1025,$B1037&amp;" ~*")&gt;0)+(IFERROR(INDEX(Setup!$G$33:$G$40,MATCH(W1037,Setup!$B$33:$B$40,0)),0)=1)*(COUNTIF(W1008:W1025,$B1037)+COUNTIF(W1008:W1025,$B1037&amp;" ~*")&gt;0)+(IFERROR(INDEX(Setup!$G$33:$G$40,MATCH(Y1037,Setup!$B$33:$B$40,0)),0)=1)*(COUNTIF(Y1008:Y1025,$B1037)+COUNTIF(Y1008:Y1025,$B1037&amp;" ~*")&gt;0))</f>
        <v/>
      </c>
    </row>
    <row r="1038" ht="15" customHeight="1">
      <c r="A1038" t="n">
        <v>21</v>
      </c>
      <c r="B1038" s="37">
        <f>IF(Setup!$B$17="","",Setup!$B$17)</f>
        <v/>
      </c>
      <c r="C1038" s="102" t="n"/>
      <c r="D1038" s="103" t="n"/>
      <c r="E1038" s="103" t="n"/>
      <c r="F1038" s="104" t="n"/>
      <c r="G1038" s="102" t="n"/>
      <c r="H1038" s="103" t="n"/>
      <c r="I1038" s="103" t="n"/>
      <c r="J1038" s="104" t="n"/>
      <c r="K1038" s="102" t="n"/>
      <c r="L1038" s="103" t="n"/>
      <c r="M1038" s="103" t="n"/>
      <c r="N1038" s="104" t="n"/>
      <c r="O1038" s="102" t="n"/>
      <c r="P1038" s="103" t="n"/>
      <c r="Q1038" s="103" t="n"/>
      <c r="R1038" s="104" t="n"/>
      <c r="S1038" s="102" t="n"/>
      <c r="T1038" s="103" t="n"/>
      <c r="U1038" s="103" t="n"/>
      <c r="V1038" s="104" t="n"/>
      <c r="W1038" s="102" t="n"/>
      <c r="X1038" s="104" t="n"/>
      <c r="Y1038" s="102" t="n"/>
      <c r="Z1038" s="104" t="n"/>
      <c r="AB1038" s="105">
        <f>IF($B1038="","",(COUNTIF(C1008:E1025,$B1038)+COUNTIF(C1008:E1025,$B1038&amp;" ~*")&gt;0)+(COUNTIF(G1008:I1025,$B1038)+COUNTIF(G1008:I1025,$B1038&amp;" ~*")&gt;0)+(COUNTIF(K1008:M1025,$B1038)+COUNTIF(K1008:M1025,$B1038&amp;" ~*")&gt;0)+(COUNTIF(O1008:Q1025,$B1038)+COUNTIF(O1008:Q1025,$B1038&amp;" ~*")&gt;0)+(COUNTIF(S1008:U1025,$B1038)+COUNTIF(S1008:U1025,$B1038&amp;" ~*")&gt;0)+(COUNTIF(W1008:W1025,$B1038)+COUNTIF(W1008:W1025,$B1038&amp;" ~*")&gt;0)+(COUNTIF(Y1008:Y1025,$B1038)+COUNTIF(Y1008:Y1025,$B1038&amp;" ~*")&gt;0))</f>
        <v/>
      </c>
      <c r="AC1038" s="38">
        <f>IF($B1038="","",(IFERROR(INDEX(Setup!$G$33:$G$40,MATCH(C1038,Setup!$B$33:$B$40,0)),0)=1)*(COUNTIF(C1008:E1025,$B1038)+COUNTIF(C1008:E1025,$B1038&amp;" ~*")&gt;0)+(IFERROR(INDEX(Setup!$G$33:$G$40,MATCH(G1038,Setup!$B$33:$B$40,0)),0)=1)*(COUNTIF(G1008:I1025,$B1038)+COUNTIF(G1008:I1025,$B1038&amp;" ~*")&gt;0)+(IFERROR(INDEX(Setup!$G$33:$G$40,MATCH(K1038,Setup!$B$33:$B$40,0)),0)=1)*(COUNTIF(K1008:M1025,$B1038)+COUNTIF(K1008:M1025,$B1038&amp;" ~*")&gt;0)+(IFERROR(INDEX(Setup!$G$33:$G$40,MATCH(O1038,Setup!$B$33:$B$40,0)),0)=1)*(COUNTIF(O1008:Q1025,$B1038)+COUNTIF(O1008:Q1025,$B1038&amp;" ~*")&gt;0)+(IFERROR(INDEX(Setup!$G$33:$G$40,MATCH(S1038,Setup!$B$33:$B$40,0)),0)=1)*(COUNTIF(S1008:U1025,$B1038)+COUNTIF(S1008:U1025,$B1038&amp;" ~*")&gt;0)+(IFERROR(INDEX(Setup!$G$33:$G$40,MATCH(W1038,Setup!$B$33:$B$40,0)),0)=1)*(COUNTIF(W1008:W1025,$B1038)+COUNTIF(W1008:W1025,$B1038&amp;" ~*")&gt;0)+(IFERROR(INDEX(Setup!$G$33:$G$40,MATCH(Y1038,Setup!$B$33:$B$40,0)),0)=1)*(COUNTIF(Y1008:Y1025,$B1038)+COUNTIF(Y1008:Y1025,$B1038&amp;" ~*")&gt;0))</f>
        <v/>
      </c>
    </row>
    <row r="1039" ht="15" customHeight="1">
      <c r="A1039" t="n">
        <v>21</v>
      </c>
      <c r="B1039" s="35">
        <f>IF(Setup!$B$18="","",Setup!$B$18)</f>
        <v/>
      </c>
      <c r="C1039" s="98" t="n"/>
      <c r="D1039" s="99" t="n"/>
      <c r="E1039" s="99" t="n"/>
      <c r="F1039" s="100" t="n"/>
      <c r="G1039" s="98" t="n"/>
      <c r="H1039" s="99" t="n"/>
      <c r="I1039" s="99" t="n"/>
      <c r="J1039" s="100" t="n"/>
      <c r="K1039" s="98" t="n"/>
      <c r="L1039" s="99" t="n"/>
      <c r="M1039" s="99" t="n"/>
      <c r="N1039" s="100" t="n"/>
      <c r="O1039" s="98" t="n"/>
      <c r="P1039" s="99" t="n"/>
      <c r="Q1039" s="99" t="n"/>
      <c r="R1039" s="100" t="n"/>
      <c r="S1039" s="98" t="n"/>
      <c r="T1039" s="99" t="n"/>
      <c r="U1039" s="99" t="n"/>
      <c r="V1039" s="100" t="n"/>
      <c r="W1039" s="98" t="n"/>
      <c r="X1039" s="100" t="n"/>
      <c r="Y1039" s="98" t="n"/>
      <c r="Z1039" s="100" t="n"/>
      <c r="AB1039" s="101">
        <f>IF($B1039="","",(COUNTIF(C1008:E1025,$B1039)+COUNTIF(C1008:E1025,$B1039&amp;" ~*")&gt;0)+(COUNTIF(G1008:I1025,$B1039)+COUNTIF(G1008:I1025,$B1039&amp;" ~*")&gt;0)+(COUNTIF(K1008:M1025,$B1039)+COUNTIF(K1008:M1025,$B1039&amp;" ~*")&gt;0)+(COUNTIF(O1008:Q1025,$B1039)+COUNTIF(O1008:Q1025,$B1039&amp;" ~*")&gt;0)+(COUNTIF(S1008:U1025,$B1039)+COUNTIF(S1008:U1025,$B1039&amp;" ~*")&gt;0)+(COUNTIF(W1008:W1025,$B1039)+COUNTIF(W1008:W1025,$B1039&amp;" ~*")&gt;0)+(COUNTIF(Y1008:Y1025,$B1039)+COUNTIF(Y1008:Y1025,$B1039&amp;" ~*")&gt;0))</f>
        <v/>
      </c>
      <c r="AC1039" s="36">
        <f>IF($B1039="","",(IFERROR(INDEX(Setup!$G$33:$G$40,MATCH(C1039,Setup!$B$33:$B$40,0)),0)=1)*(COUNTIF(C1008:E1025,$B1039)+COUNTIF(C1008:E1025,$B1039&amp;" ~*")&gt;0)+(IFERROR(INDEX(Setup!$G$33:$G$40,MATCH(G1039,Setup!$B$33:$B$40,0)),0)=1)*(COUNTIF(G1008:I1025,$B1039)+COUNTIF(G1008:I1025,$B1039&amp;" ~*")&gt;0)+(IFERROR(INDEX(Setup!$G$33:$G$40,MATCH(K1039,Setup!$B$33:$B$40,0)),0)=1)*(COUNTIF(K1008:M1025,$B1039)+COUNTIF(K1008:M1025,$B1039&amp;" ~*")&gt;0)+(IFERROR(INDEX(Setup!$G$33:$G$40,MATCH(O1039,Setup!$B$33:$B$40,0)),0)=1)*(COUNTIF(O1008:Q1025,$B1039)+COUNTIF(O1008:Q1025,$B1039&amp;" ~*")&gt;0)+(IFERROR(INDEX(Setup!$G$33:$G$40,MATCH(S1039,Setup!$B$33:$B$40,0)),0)=1)*(COUNTIF(S1008:U1025,$B1039)+COUNTIF(S1008:U1025,$B1039&amp;" ~*")&gt;0)+(IFERROR(INDEX(Setup!$G$33:$G$40,MATCH(W1039,Setup!$B$33:$B$40,0)),0)=1)*(COUNTIF(W1008:W1025,$B1039)+COUNTIF(W1008:W1025,$B1039&amp;" ~*")&gt;0)+(IFERROR(INDEX(Setup!$G$33:$G$40,MATCH(Y1039,Setup!$B$33:$B$40,0)),0)=1)*(COUNTIF(Y1008:Y1025,$B1039)+COUNTIF(Y1008:Y1025,$B1039&amp;" ~*")&gt;0))</f>
        <v/>
      </c>
    </row>
    <row r="1040" ht="15" customHeight="1">
      <c r="A1040" t="n">
        <v>21</v>
      </c>
      <c r="B1040" s="37">
        <f>IF(Setup!$B$19="","",Setup!$B$19)</f>
        <v/>
      </c>
      <c r="C1040" s="102" t="n"/>
      <c r="D1040" s="103" t="n"/>
      <c r="E1040" s="103" t="n"/>
      <c r="F1040" s="104" t="n"/>
      <c r="G1040" s="102" t="n"/>
      <c r="H1040" s="103" t="n"/>
      <c r="I1040" s="103" t="n"/>
      <c r="J1040" s="104" t="n"/>
      <c r="K1040" s="102" t="n"/>
      <c r="L1040" s="103" t="n"/>
      <c r="M1040" s="103" t="n"/>
      <c r="N1040" s="104" t="n"/>
      <c r="O1040" s="102" t="n"/>
      <c r="P1040" s="103" t="n"/>
      <c r="Q1040" s="103" t="n"/>
      <c r="R1040" s="104" t="n"/>
      <c r="S1040" s="102" t="inlineStr">
        <is>
          <t>AL</t>
        </is>
      </c>
      <c r="T1040" s="103" t="n"/>
      <c r="U1040" s="103" t="n"/>
      <c r="V1040" s="104" t="n"/>
      <c r="W1040" s="102" t="n"/>
      <c r="X1040" s="104" t="n"/>
      <c r="Y1040" s="102" t="n"/>
      <c r="Z1040" s="104" t="n"/>
      <c r="AB1040" s="105">
        <f>IF($B1040="","",(COUNTIF(C1008:E1025,$B1040)+COUNTIF(C1008:E1025,$B1040&amp;" ~*")&gt;0)+(COUNTIF(G1008:I1025,$B1040)+COUNTIF(G1008:I1025,$B1040&amp;" ~*")&gt;0)+(COUNTIF(K1008:M1025,$B1040)+COUNTIF(K1008:M1025,$B1040&amp;" ~*")&gt;0)+(COUNTIF(O1008:Q1025,$B1040)+COUNTIF(O1008:Q1025,$B1040&amp;" ~*")&gt;0)+(COUNTIF(S1008:U1025,$B1040)+COUNTIF(S1008:U1025,$B1040&amp;" ~*")&gt;0)+(COUNTIF(W1008:W1025,$B1040)+COUNTIF(W1008:W1025,$B1040&amp;" ~*")&gt;0)+(COUNTIF(Y1008:Y1025,$B1040)+COUNTIF(Y1008:Y1025,$B1040&amp;" ~*")&gt;0))</f>
        <v/>
      </c>
      <c r="AC1040" s="38">
        <f>IF($B1040="","",(IFERROR(INDEX(Setup!$G$33:$G$40,MATCH(C1040,Setup!$B$33:$B$40,0)),0)=1)*(COUNTIF(C1008:E1025,$B1040)+COUNTIF(C1008:E1025,$B1040&amp;" ~*")&gt;0)+(IFERROR(INDEX(Setup!$G$33:$G$40,MATCH(G1040,Setup!$B$33:$B$40,0)),0)=1)*(COUNTIF(G1008:I1025,$B1040)+COUNTIF(G1008:I1025,$B1040&amp;" ~*")&gt;0)+(IFERROR(INDEX(Setup!$G$33:$G$40,MATCH(K1040,Setup!$B$33:$B$40,0)),0)=1)*(COUNTIF(K1008:M1025,$B1040)+COUNTIF(K1008:M1025,$B1040&amp;" ~*")&gt;0)+(IFERROR(INDEX(Setup!$G$33:$G$40,MATCH(O1040,Setup!$B$33:$B$40,0)),0)=1)*(COUNTIF(O1008:Q1025,$B1040)+COUNTIF(O1008:Q1025,$B1040&amp;" ~*")&gt;0)+(IFERROR(INDEX(Setup!$G$33:$G$40,MATCH(S1040,Setup!$B$33:$B$40,0)),0)=1)*(COUNTIF(S1008:U1025,$B1040)+COUNTIF(S1008:U1025,$B1040&amp;" ~*")&gt;0)+(IFERROR(INDEX(Setup!$G$33:$G$40,MATCH(W1040,Setup!$B$33:$B$40,0)),0)=1)*(COUNTIF(W1008:W1025,$B1040)+COUNTIF(W1008:W1025,$B1040&amp;" ~*")&gt;0)+(IFERROR(INDEX(Setup!$G$33:$G$40,MATCH(Y1040,Setup!$B$33:$B$40,0)),0)=1)*(COUNTIF(Y1008:Y1025,$B1040)+COUNTIF(Y1008:Y1025,$B1040&amp;" ~*")&gt;0))</f>
        <v/>
      </c>
    </row>
    <row r="1041" ht="15" customHeight="1">
      <c r="A1041" t="n">
        <v>21</v>
      </c>
      <c r="B1041" s="35">
        <f>IF(Setup!$B$20="","",Setup!$B$20)</f>
        <v/>
      </c>
      <c r="C1041" s="98" t="n"/>
      <c r="D1041" s="99" t="n"/>
      <c r="E1041" s="99" t="n"/>
      <c r="F1041" s="100" t="n"/>
      <c r="G1041" s="98" t="n"/>
      <c r="H1041" s="99" t="n"/>
      <c r="I1041" s="99" t="n"/>
      <c r="J1041" s="100" t="n"/>
      <c r="K1041" s="98" t="n"/>
      <c r="L1041" s="99" t="n"/>
      <c r="M1041" s="99" t="n"/>
      <c r="N1041" s="100" t="n"/>
      <c r="O1041" s="98" t="n"/>
      <c r="P1041" s="99" t="n"/>
      <c r="Q1041" s="99" t="n"/>
      <c r="R1041" s="100" t="n"/>
      <c r="S1041" s="98" t="n"/>
      <c r="T1041" s="99" t="n"/>
      <c r="U1041" s="99" t="n"/>
      <c r="V1041" s="100" t="n"/>
      <c r="W1041" s="98" t="n"/>
      <c r="X1041" s="100" t="n"/>
      <c r="Y1041" s="98" t="n"/>
      <c r="Z1041" s="100" t="n"/>
      <c r="AB1041" s="101">
        <f>IF($B1041="","",(COUNTIF(C1008:E1025,$B1041)+COUNTIF(C1008:E1025,$B1041&amp;" ~*")&gt;0)+(COUNTIF(G1008:I1025,$B1041)+COUNTIF(G1008:I1025,$B1041&amp;" ~*")&gt;0)+(COUNTIF(K1008:M1025,$B1041)+COUNTIF(K1008:M1025,$B1041&amp;" ~*")&gt;0)+(COUNTIF(O1008:Q1025,$B1041)+COUNTIF(O1008:Q1025,$B1041&amp;" ~*")&gt;0)+(COUNTIF(S1008:U1025,$B1041)+COUNTIF(S1008:U1025,$B1041&amp;" ~*")&gt;0)+(COUNTIF(W1008:W1025,$B1041)+COUNTIF(W1008:W1025,$B1041&amp;" ~*")&gt;0)+(COUNTIF(Y1008:Y1025,$B1041)+COUNTIF(Y1008:Y1025,$B1041&amp;" ~*")&gt;0))</f>
        <v/>
      </c>
      <c r="AC1041" s="36">
        <f>IF($B1041="","",(IFERROR(INDEX(Setup!$G$33:$G$40,MATCH(C1041,Setup!$B$33:$B$40,0)),0)=1)*(COUNTIF(C1008:E1025,$B1041)+COUNTIF(C1008:E1025,$B1041&amp;" ~*")&gt;0)+(IFERROR(INDEX(Setup!$G$33:$G$40,MATCH(G1041,Setup!$B$33:$B$40,0)),0)=1)*(COUNTIF(G1008:I1025,$B1041)+COUNTIF(G1008:I1025,$B1041&amp;" ~*")&gt;0)+(IFERROR(INDEX(Setup!$G$33:$G$40,MATCH(K1041,Setup!$B$33:$B$40,0)),0)=1)*(COUNTIF(K1008:M1025,$B1041)+COUNTIF(K1008:M1025,$B1041&amp;" ~*")&gt;0)+(IFERROR(INDEX(Setup!$G$33:$G$40,MATCH(O1041,Setup!$B$33:$B$40,0)),0)=1)*(COUNTIF(O1008:Q1025,$B1041)+COUNTIF(O1008:Q1025,$B1041&amp;" ~*")&gt;0)+(IFERROR(INDEX(Setup!$G$33:$G$40,MATCH(S1041,Setup!$B$33:$B$40,0)),0)=1)*(COUNTIF(S1008:U1025,$B1041)+COUNTIF(S1008:U1025,$B1041&amp;" ~*")&gt;0)+(IFERROR(INDEX(Setup!$G$33:$G$40,MATCH(W1041,Setup!$B$33:$B$40,0)),0)=1)*(COUNTIF(W1008:W1025,$B1041)+COUNTIF(W1008:W1025,$B1041&amp;" ~*")&gt;0)+(IFERROR(INDEX(Setup!$G$33:$G$40,MATCH(Y1041,Setup!$B$33:$B$40,0)),0)=1)*(COUNTIF(Y1008:Y1025,$B1041)+COUNTIF(Y1008:Y1025,$B1041&amp;" ~*")&gt;0))</f>
        <v/>
      </c>
    </row>
    <row r="1042" ht="15" customHeight="1">
      <c r="A1042" t="n">
        <v>21</v>
      </c>
      <c r="B1042" s="37">
        <f>IF(Setup!$B$21="","",Setup!$B$21)</f>
        <v/>
      </c>
      <c r="C1042" s="102" t="n"/>
      <c r="D1042" s="103" t="n"/>
      <c r="E1042" s="103" t="n"/>
      <c r="F1042" s="104" t="n"/>
      <c r="G1042" s="102" t="n"/>
      <c r="H1042" s="103" t="n"/>
      <c r="I1042" s="103" t="n"/>
      <c r="J1042" s="104" t="n"/>
      <c r="K1042" s="102" t="n"/>
      <c r="L1042" s="103" t="n"/>
      <c r="M1042" s="103" t="n"/>
      <c r="N1042" s="104" t="n"/>
      <c r="O1042" s="102" t="n"/>
      <c r="P1042" s="103" t="n"/>
      <c r="Q1042" s="103" t="n"/>
      <c r="R1042" s="104" t="n"/>
      <c r="S1042" s="102" t="inlineStr">
        <is>
          <t>AL</t>
        </is>
      </c>
      <c r="T1042" s="103" t="n"/>
      <c r="U1042" s="103" t="n"/>
      <c r="V1042" s="104" t="n"/>
      <c r="W1042" s="102" t="n"/>
      <c r="X1042" s="104" t="n"/>
      <c r="Y1042" s="102" t="n"/>
      <c r="Z1042" s="104" t="n"/>
      <c r="AB1042" s="105">
        <f>IF($B1042="","",(COUNTIF(C1008:E1025,$B1042)+COUNTIF(C1008:E1025,$B1042&amp;" ~*")&gt;0)+(COUNTIF(G1008:I1025,$B1042)+COUNTIF(G1008:I1025,$B1042&amp;" ~*")&gt;0)+(COUNTIF(K1008:M1025,$B1042)+COUNTIF(K1008:M1025,$B1042&amp;" ~*")&gt;0)+(COUNTIF(O1008:Q1025,$B1042)+COUNTIF(O1008:Q1025,$B1042&amp;" ~*")&gt;0)+(COUNTIF(S1008:U1025,$B1042)+COUNTIF(S1008:U1025,$B1042&amp;" ~*")&gt;0)+(COUNTIF(W1008:W1025,$B1042)+COUNTIF(W1008:W1025,$B1042&amp;" ~*")&gt;0)+(COUNTIF(Y1008:Y1025,$B1042)+COUNTIF(Y1008:Y1025,$B1042&amp;" ~*")&gt;0))</f>
        <v/>
      </c>
      <c r="AC1042" s="38">
        <f>IF($B1042="","",(IFERROR(INDEX(Setup!$G$33:$G$40,MATCH(C1042,Setup!$B$33:$B$40,0)),0)=1)*(COUNTIF(C1008:E1025,$B1042)+COUNTIF(C1008:E1025,$B1042&amp;" ~*")&gt;0)+(IFERROR(INDEX(Setup!$G$33:$G$40,MATCH(G1042,Setup!$B$33:$B$40,0)),0)=1)*(COUNTIF(G1008:I1025,$B1042)+COUNTIF(G1008:I1025,$B1042&amp;" ~*")&gt;0)+(IFERROR(INDEX(Setup!$G$33:$G$40,MATCH(K1042,Setup!$B$33:$B$40,0)),0)=1)*(COUNTIF(K1008:M1025,$B1042)+COUNTIF(K1008:M1025,$B1042&amp;" ~*")&gt;0)+(IFERROR(INDEX(Setup!$G$33:$G$40,MATCH(O1042,Setup!$B$33:$B$40,0)),0)=1)*(COUNTIF(O1008:Q1025,$B1042)+COUNTIF(O1008:Q1025,$B1042&amp;" ~*")&gt;0)+(IFERROR(INDEX(Setup!$G$33:$G$40,MATCH(S1042,Setup!$B$33:$B$40,0)),0)=1)*(COUNTIF(S1008:U1025,$B1042)+COUNTIF(S1008:U1025,$B1042&amp;" ~*")&gt;0)+(IFERROR(INDEX(Setup!$G$33:$G$40,MATCH(W1042,Setup!$B$33:$B$40,0)),0)=1)*(COUNTIF(W1008:W1025,$B1042)+COUNTIF(W1008:W1025,$B1042&amp;" ~*")&gt;0)+(IFERROR(INDEX(Setup!$G$33:$G$40,MATCH(Y1042,Setup!$B$33:$B$40,0)),0)=1)*(COUNTIF(Y1008:Y1025,$B1042)+COUNTIF(Y1008:Y1025,$B1042&amp;" ~*")&gt;0))</f>
        <v/>
      </c>
    </row>
    <row r="1043" ht="15" customHeight="1">
      <c r="A1043" t="n">
        <v>21</v>
      </c>
      <c r="B1043" s="35">
        <f>IF(Setup!$B$22="","",Setup!$B$22)</f>
        <v/>
      </c>
      <c r="C1043" s="98" t="n"/>
      <c r="D1043" s="99" t="n"/>
      <c r="E1043" s="99" t="n"/>
      <c r="F1043" s="100" t="n"/>
      <c r="G1043" s="98" t="n"/>
      <c r="H1043" s="99" t="n"/>
      <c r="I1043" s="99" t="n"/>
      <c r="J1043" s="100" t="n"/>
      <c r="K1043" s="98" t="n"/>
      <c r="L1043" s="99" t="n"/>
      <c r="M1043" s="99" t="n"/>
      <c r="N1043" s="100" t="n"/>
      <c r="O1043" s="98" t="n"/>
      <c r="P1043" s="99" t="n"/>
      <c r="Q1043" s="99" t="n"/>
      <c r="R1043" s="100" t="n"/>
      <c r="S1043" s="98" t="n"/>
      <c r="T1043" s="99" t="n"/>
      <c r="U1043" s="99" t="n"/>
      <c r="V1043" s="100" t="n"/>
      <c r="W1043" s="98" t="n"/>
      <c r="X1043" s="100" t="n"/>
      <c r="Y1043" s="98" t="n"/>
      <c r="Z1043" s="100" t="n"/>
      <c r="AB1043" s="101">
        <f>IF($B1043="","",(COUNTIF(C1008:E1025,$B1043)+COUNTIF(C1008:E1025,$B1043&amp;" ~*")&gt;0)+(COUNTIF(G1008:I1025,$B1043)+COUNTIF(G1008:I1025,$B1043&amp;" ~*")&gt;0)+(COUNTIF(K1008:M1025,$B1043)+COUNTIF(K1008:M1025,$B1043&amp;" ~*")&gt;0)+(COUNTIF(O1008:Q1025,$B1043)+COUNTIF(O1008:Q1025,$B1043&amp;" ~*")&gt;0)+(COUNTIF(S1008:U1025,$B1043)+COUNTIF(S1008:U1025,$B1043&amp;" ~*")&gt;0)+(COUNTIF(W1008:W1025,$B1043)+COUNTIF(W1008:W1025,$B1043&amp;" ~*")&gt;0)+(COUNTIF(Y1008:Y1025,$B1043)+COUNTIF(Y1008:Y1025,$B1043&amp;" ~*")&gt;0))</f>
        <v/>
      </c>
      <c r="AC1043" s="36">
        <f>IF($B1043="","",(IFERROR(INDEX(Setup!$G$33:$G$40,MATCH(C1043,Setup!$B$33:$B$40,0)),0)=1)*(COUNTIF(C1008:E1025,$B1043)+COUNTIF(C1008:E1025,$B1043&amp;" ~*")&gt;0)+(IFERROR(INDEX(Setup!$G$33:$G$40,MATCH(G1043,Setup!$B$33:$B$40,0)),0)=1)*(COUNTIF(G1008:I1025,$B1043)+COUNTIF(G1008:I1025,$B1043&amp;" ~*")&gt;0)+(IFERROR(INDEX(Setup!$G$33:$G$40,MATCH(K1043,Setup!$B$33:$B$40,0)),0)=1)*(COUNTIF(K1008:M1025,$B1043)+COUNTIF(K1008:M1025,$B1043&amp;" ~*")&gt;0)+(IFERROR(INDEX(Setup!$G$33:$G$40,MATCH(O1043,Setup!$B$33:$B$40,0)),0)=1)*(COUNTIF(O1008:Q1025,$B1043)+COUNTIF(O1008:Q1025,$B1043&amp;" ~*")&gt;0)+(IFERROR(INDEX(Setup!$G$33:$G$40,MATCH(S1043,Setup!$B$33:$B$40,0)),0)=1)*(COUNTIF(S1008:U1025,$B1043)+COUNTIF(S1008:U1025,$B1043&amp;" ~*")&gt;0)+(IFERROR(INDEX(Setup!$G$33:$G$40,MATCH(W1043,Setup!$B$33:$B$40,0)),0)=1)*(COUNTIF(W1008:W1025,$B1043)+COUNTIF(W1008:W1025,$B1043&amp;" ~*")&gt;0)+(IFERROR(INDEX(Setup!$G$33:$G$40,MATCH(Y1043,Setup!$B$33:$B$40,0)),0)=1)*(COUNTIF(Y1008:Y1025,$B1043)+COUNTIF(Y1008:Y1025,$B1043&amp;" ~*")&gt;0))</f>
        <v/>
      </c>
    </row>
    <row r="1044" ht="15" customHeight="1">
      <c r="A1044" t="n">
        <v>21</v>
      </c>
      <c r="B1044" s="37">
        <f>IF(Setup!$B$23="","",Setup!$B$23)</f>
        <v/>
      </c>
      <c r="C1044" s="102" t="n"/>
      <c r="D1044" s="103" t="n"/>
      <c r="E1044" s="103" t="n"/>
      <c r="F1044" s="104" t="n"/>
      <c r="G1044" s="102" t="n"/>
      <c r="H1044" s="103" t="n"/>
      <c r="I1044" s="103" t="n"/>
      <c r="J1044" s="104" t="n"/>
      <c r="K1044" s="102" t="n"/>
      <c r="L1044" s="103" t="n"/>
      <c r="M1044" s="103" t="n"/>
      <c r="N1044" s="104" t="n"/>
      <c r="O1044" s="102" t="n"/>
      <c r="P1044" s="103" t="n"/>
      <c r="Q1044" s="103" t="n"/>
      <c r="R1044" s="104" t="n"/>
      <c r="S1044" s="102" t="n"/>
      <c r="T1044" s="103" t="n"/>
      <c r="U1044" s="103" t="n"/>
      <c r="V1044" s="104" t="n"/>
      <c r="W1044" s="102" t="n"/>
      <c r="X1044" s="104" t="n"/>
      <c r="Y1044" s="102" t="n"/>
      <c r="Z1044" s="104" t="n"/>
      <c r="AB1044" s="105">
        <f>IF($B1044="","",(COUNTIF(C1008:E1025,$B1044)+COUNTIF(C1008:E1025,$B1044&amp;" ~*")&gt;0)+(COUNTIF(G1008:I1025,$B1044)+COUNTIF(G1008:I1025,$B1044&amp;" ~*")&gt;0)+(COUNTIF(K1008:M1025,$B1044)+COUNTIF(K1008:M1025,$B1044&amp;" ~*")&gt;0)+(COUNTIF(O1008:Q1025,$B1044)+COUNTIF(O1008:Q1025,$B1044&amp;" ~*")&gt;0)+(COUNTIF(S1008:U1025,$B1044)+COUNTIF(S1008:U1025,$B1044&amp;" ~*")&gt;0)+(COUNTIF(W1008:W1025,$B1044)+COUNTIF(W1008:W1025,$B1044&amp;" ~*")&gt;0)+(COUNTIF(Y1008:Y1025,$B1044)+COUNTIF(Y1008:Y1025,$B1044&amp;" ~*")&gt;0))</f>
        <v/>
      </c>
      <c r="AC1044" s="38">
        <f>IF($B1044="","",(IFERROR(INDEX(Setup!$G$33:$G$40,MATCH(C1044,Setup!$B$33:$B$40,0)),0)=1)*(COUNTIF(C1008:E1025,$B1044)+COUNTIF(C1008:E1025,$B1044&amp;" ~*")&gt;0)+(IFERROR(INDEX(Setup!$G$33:$G$40,MATCH(G1044,Setup!$B$33:$B$40,0)),0)=1)*(COUNTIF(G1008:I1025,$B1044)+COUNTIF(G1008:I1025,$B1044&amp;" ~*")&gt;0)+(IFERROR(INDEX(Setup!$G$33:$G$40,MATCH(K1044,Setup!$B$33:$B$40,0)),0)=1)*(COUNTIF(K1008:M1025,$B1044)+COUNTIF(K1008:M1025,$B1044&amp;" ~*")&gt;0)+(IFERROR(INDEX(Setup!$G$33:$G$40,MATCH(O1044,Setup!$B$33:$B$40,0)),0)=1)*(COUNTIF(O1008:Q1025,$B1044)+COUNTIF(O1008:Q1025,$B1044&amp;" ~*")&gt;0)+(IFERROR(INDEX(Setup!$G$33:$G$40,MATCH(S1044,Setup!$B$33:$B$40,0)),0)=1)*(COUNTIF(S1008:U1025,$B1044)+COUNTIF(S1008:U1025,$B1044&amp;" ~*")&gt;0)+(IFERROR(INDEX(Setup!$G$33:$G$40,MATCH(W1044,Setup!$B$33:$B$40,0)),0)=1)*(COUNTIF(W1008:W1025,$B1044)+COUNTIF(W1008:W1025,$B1044&amp;" ~*")&gt;0)+(IFERROR(INDEX(Setup!$G$33:$G$40,MATCH(Y1044,Setup!$B$33:$B$40,0)),0)=1)*(COUNTIF(Y1008:Y1025,$B1044)+COUNTIF(Y1008:Y1025,$B1044&amp;" ~*")&gt;0))</f>
        <v/>
      </c>
    </row>
    <row r="1045" ht="15" customHeight="1">
      <c r="A1045" t="n">
        <v>21</v>
      </c>
      <c r="B1045" s="35">
        <f>IF(Setup!$B$24="","",Setup!$B$24)</f>
        <v/>
      </c>
      <c r="C1045" s="98" t="n"/>
      <c r="D1045" s="99" t="n"/>
      <c r="E1045" s="99" t="n"/>
      <c r="F1045" s="100" t="n"/>
      <c r="G1045" s="98" t="n"/>
      <c r="H1045" s="99" t="n"/>
      <c r="I1045" s="99" t="n"/>
      <c r="J1045" s="100" t="n"/>
      <c r="K1045" s="98" t="n"/>
      <c r="L1045" s="99" t="n"/>
      <c r="M1045" s="99" t="n"/>
      <c r="N1045" s="100" t="n"/>
      <c r="O1045" s="98" t="n"/>
      <c r="P1045" s="99" t="n"/>
      <c r="Q1045" s="99" t="n"/>
      <c r="R1045" s="100" t="n"/>
      <c r="S1045" s="98" t="n"/>
      <c r="T1045" s="99" t="n"/>
      <c r="U1045" s="99" t="n"/>
      <c r="V1045" s="100" t="n"/>
      <c r="W1045" s="98" t="n"/>
      <c r="X1045" s="100" t="n"/>
      <c r="Y1045" s="98" t="n"/>
      <c r="Z1045" s="100" t="n"/>
      <c r="AB1045" s="101">
        <f>IF($B1045="","",(COUNTIF(C1008:E1025,$B1045)+COUNTIF(C1008:E1025,$B1045&amp;" ~*")&gt;0)+(COUNTIF(G1008:I1025,$B1045)+COUNTIF(G1008:I1025,$B1045&amp;" ~*")&gt;0)+(COUNTIF(K1008:M1025,$B1045)+COUNTIF(K1008:M1025,$B1045&amp;" ~*")&gt;0)+(COUNTIF(O1008:Q1025,$B1045)+COUNTIF(O1008:Q1025,$B1045&amp;" ~*")&gt;0)+(COUNTIF(S1008:U1025,$B1045)+COUNTIF(S1008:U1025,$B1045&amp;" ~*")&gt;0)+(COUNTIF(W1008:W1025,$B1045)+COUNTIF(W1008:W1025,$B1045&amp;" ~*")&gt;0)+(COUNTIF(Y1008:Y1025,$B1045)+COUNTIF(Y1008:Y1025,$B1045&amp;" ~*")&gt;0))</f>
        <v/>
      </c>
      <c r="AC1045" s="36">
        <f>IF($B1045="","",(IFERROR(INDEX(Setup!$G$33:$G$40,MATCH(C1045,Setup!$B$33:$B$40,0)),0)=1)*(COUNTIF(C1008:E1025,$B1045)+COUNTIF(C1008:E1025,$B1045&amp;" ~*")&gt;0)+(IFERROR(INDEX(Setup!$G$33:$G$40,MATCH(G1045,Setup!$B$33:$B$40,0)),0)=1)*(COUNTIF(G1008:I1025,$B1045)+COUNTIF(G1008:I1025,$B1045&amp;" ~*")&gt;0)+(IFERROR(INDEX(Setup!$G$33:$G$40,MATCH(K1045,Setup!$B$33:$B$40,0)),0)=1)*(COUNTIF(K1008:M1025,$B1045)+COUNTIF(K1008:M1025,$B1045&amp;" ~*")&gt;0)+(IFERROR(INDEX(Setup!$G$33:$G$40,MATCH(O1045,Setup!$B$33:$B$40,0)),0)=1)*(COUNTIF(O1008:Q1025,$B1045)+COUNTIF(O1008:Q1025,$B1045&amp;" ~*")&gt;0)+(IFERROR(INDEX(Setup!$G$33:$G$40,MATCH(S1045,Setup!$B$33:$B$40,0)),0)=1)*(COUNTIF(S1008:U1025,$B1045)+COUNTIF(S1008:U1025,$B1045&amp;" ~*")&gt;0)+(IFERROR(INDEX(Setup!$G$33:$G$40,MATCH(W1045,Setup!$B$33:$B$40,0)),0)=1)*(COUNTIF(W1008:W1025,$B1045)+COUNTIF(W1008:W1025,$B1045&amp;" ~*")&gt;0)+(IFERROR(INDEX(Setup!$G$33:$G$40,MATCH(Y1045,Setup!$B$33:$B$40,0)),0)=1)*(COUNTIF(Y1008:Y1025,$B1045)+COUNTIF(Y1008:Y1025,$B1045&amp;" ~*")&gt;0))</f>
        <v/>
      </c>
    </row>
    <row r="1046" ht="15" customHeight="1">
      <c r="A1046" t="n">
        <v>21</v>
      </c>
      <c r="B1046" s="37">
        <f>IF(Setup!$B$25="","",Setup!$B$25)</f>
        <v/>
      </c>
      <c r="C1046" s="102" t="n"/>
      <c r="D1046" s="103" t="n"/>
      <c r="E1046" s="103" t="n"/>
      <c r="F1046" s="104" t="n"/>
      <c r="G1046" s="102" t="n"/>
      <c r="H1046" s="103" t="n"/>
      <c r="I1046" s="103" t="n"/>
      <c r="J1046" s="104" t="n"/>
      <c r="K1046" s="102" t="n"/>
      <c r="L1046" s="103" t="n"/>
      <c r="M1046" s="103" t="n"/>
      <c r="N1046" s="104" t="n"/>
      <c r="O1046" s="102" t="n"/>
      <c r="P1046" s="103" t="n"/>
      <c r="Q1046" s="103" t="n"/>
      <c r="R1046" s="104" t="n"/>
      <c r="S1046" s="102" t="n"/>
      <c r="T1046" s="103" t="n"/>
      <c r="U1046" s="103" t="n"/>
      <c r="V1046" s="104" t="n"/>
      <c r="W1046" s="102" t="n"/>
      <c r="X1046" s="104" t="n"/>
      <c r="Y1046" s="102" t="n"/>
      <c r="Z1046" s="104" t="n"/>
      <c r="AB1046" s="105">
        <f>IF($B1046="","",(COUNTIF(C1008:E1025,$B1046)+COUNTIF(C1008:E1025,$B1046&amp;" ~*")&gt;0)+(COUNTIF(G1008:I1025,$B1046)+COUNTIF(G1008:I1025,$B1046&amp;" ~*")&gt;0)+(COUNTIF(K1008:M1025,$B1046)+COUNTIF(K1008:M1025,$B1046&amp;" ~*")&gt;0)+(COUNTIF(O1008:Q1025,$B1046)+COUNTIF(O1008:Q1025,$B1046&amp;" ~*")&gt;0)+(COUNTIF(S1008:U1025,$B1046)+COUNTIF(S1008:U1025,$B1046&amp;" ~*")&gt;0)+(COUNTIF(W1008:W1025,$B1046)+COUNTIF(W1008:W1025,$B1046&amp;" ~*")&gt;0)+(COUNTIF(Y1008:Y1025,$B1046)+COUNTIF(Y1008:Y1025,$B1046&amp;" ~*")&gt;0))</f>
        <v/>
      </c>
      <c r="AC1046" s="38">
        <f>IF($B1046="","",(IFERROR(INDEX(Setup!$G$33:$G$40,MATCH(C1046,Setup!$B$33:$B$40,0)),0)=1)*(COUNTIF(C1008:E1025,$B1046)+COUNTIF(C1008:E1025,$B1046&amp;" ~*")&gt;0)+(IFERROR(INDEX(Setup!$G$33:$G$40,MATCH(G1046,Setup!$B$33:$B$40,0)),0)=1)*(COUNTIF(G1008:I1025,$B1046)+COUNTIF(G1008:I1025,$B1046&amp;" ~*")&gt;0)+(IFERROR(INDEX(Setup!$G$33:$G$40,MATCH(K1046,Setup!$B$33:$B$40,0)),0)=1)*(COUNTIF(K1008:M1025,$B1046)+COUNTIF(K1008:M1025,$B1046&amp;" ~*")&gt;0)+(IFERROR(INDEX(Setup!$G$33:$G$40,MATCH(O1046,Setup!$B$33:$B$40,0)),0)=1)*(COUNTIF(O1008:Q1025,$B1046)+COUNTIF(O1008:Q1025,$B1046&amp;" ~*")&gt;0)+(IFERROR(INDEX(Setup!$G$33:$G$40,MATCH(S1046,Setup!$B$33:$B$40,0)),0)=1)*(COUNTIF(S1008:U1025,$B1046)+COUNTIF(S1008:U1025,$B1046&amp;" ~*")&gt;0)+(IFERROR(INDEX(Setup!$G$33:$G$40,MATCH(W1046,Setup!$B$33:$B$40,0)),0)=1)*(COUNTIF(W1008:W1025,$B1046)+COUNTIF(W1008:W1025,$B1046&amp;" ~*")&gt;0)+(IFERROR(INDEX(Setup!$G$33:$G$40,MATCH(Y1046,Setup!$B$33:$B$40,0)),0)=1)*(COUNTIF(Y1008:Y1025,$B1046)+COUNTIF(Y1008:Y1025,$B1046&amp;" ~*")&gt;0))</f>
        <v/>
      </c>
    </row>
    <row r="1047" ht="15" customHeight="1">
      <c r="A1047" t="n">
        <v>21</v>
      </c>
      <c r="B1047" s="35">
        <f>IF(Setup!$B$26="","",Setup!$B$26)</f>
        <v/>
      </c>
      <c r="C1047" s="98" t="n"/>
      <c r="D1047" s="99" t="n"/>
      <c r="E1047" s="99" t="n"/>
      <c r="F1047" s="100" t="n"/>
      <c r="G1047" s="98" t="n"/>
      <c r="H1047" s="99" t="n"/>
      <c r="I1047" s="99" t="n"/>
      <c r="J1047" s="100" t="n"/>
      <c r="K1047" s="98" t="n"/>
      <c r="L1047" s="99" t="n"/>
      <c r="M1047" s="99" t="n"/>
      <c r="N1047" s="100" t="n"/>
      <c r="O1047" s="98" t="n"/>
      <c r="P1047" s="99" t="n"/>
      <c r="Q1047" s="99" t="n"/>
      <c r="R1047" s="100" t="n"/>
      <c r="S1047" s="98" t="n"/>
      <c r="T1047" s="99" t="n"/>
      <c r="U1047" s="99" t="n"/>
      <c r="V1047" s="100" t="n"/>
      <c r="W1047" s="98" t="n"/>
      <c r="X1047" s="100" t="n"/>
      <c r="Y1047" s="98" t="n"/>
      <c r="Z1047" s="100" t="n"/>
      <c r="AB1047" s="101">
        <f>IF($B1047="","",(COUNTIF(C1008:E1025,$B1047)+COUNTIF(C1008:E1025,$B1047&amp;" ~*")&gt;0)+(COUNTIF(G1008:I1025,$B1047)+COUNTIF(G1008:I1025,$B1047&amp;" ~*")&gt;0)+(COUNTIF(K1008:M1025,$B1047)+COUNTIF(K1008:M1025,$B1047&amp;" ~*")&gt;0)+(COUNTIF(O1008:Q1025,$B1047)+COUNTIF(O1008:Q1025,$B1047&amp;" ~*")&gt;0)+(COUNTIF(S1008:U1025,$B1047)+COUNTIF(S1008:U1025,$B1047&amp;" ~*")&gt;0)+(COUNTIF(W1008:W1025,$B1047)+COUNTIF(W1008:W1025,$B1047&amp;" ~*")&gt;0)+(COUNTIF(Y1008:Y1025,$B1047)+COUNTIF(Y1008:Y1025,$B1047&amp;" ~*")&gt;0))</f>
        <v/>
      </c>
      <c r="AC1047" s="36">
        <f>IF($B1047="","",(IFERROR(INDEX(Setup!$G$33:$G$40,MATCH(C1047,Setup!$B$33:$B$40,0)),0)=1)*(COUNTIF(C1008:E1025,$B1047)+COUNTIF(C1008:E1025,$B1047&amp;" ~*")&gt;0)+(IFERROR(INDEX(Setup!$G$33:$G$40,MATCH(G1047,Setup!$B$33:$B$40,0)),0)=1)*(COUNTIF(G1008:I1025,$B1047)+COUNTIF(G1008:I1025,$B1047&amp;" ~*")&gt;0)+(IFERROR(INDEX(Setup!$G$33:$G$40,MATCH(K1047,Setup!$B$33:$B$40,0)),0)=1)*(COUNTIF(K1008:M1025,$B1047)+COUNTIF(K1008:M1025,$B1047&amp;" ~*")&gt;0)+(IFERROR(INDEX(Setup!$G$33:$G$40,MATCH(O1047,Setup!$B$33:$B$40,0)),0)=1)*(COUNTIF(O1008:Q1025,$B1047)+COUNTIF(O1008:Q1025,$B1047&amp;" ~*")&gt;0)+(IFERROR(INDEX(Setup!$G$33:$G$40,MATCH(S1047,Setup!$B$33:$B$40,0)),0)=1)*(COUNTIF(S1008:U1025,$B1047)+COUNTIF(S1008:U1025,$B1047&amp;" ~*")&gt;0)+(IFERROR(INDEX(Setup!$G$33:$G$40,MATCH(W1047,Setup!$B$33:$B$40,0)),0)=1)*(COUNTIF(W1008:W1025,$B1047)+COUNTIF(W1008:W1025,$B1047&amp;" ~*")&gt;0)+(IFERROR(INDEX(Setup!$G$33:$G$40,MATCH(Y1047,Setup!$B$33:$B$40,0)),0)=1)*(COUNTIF(Y1008:Y1025,$B1047)+COUNTIF(Y1008:Y1025,$B1047&amp;" ~*")&gt;0))</f>
        <v/>
      </c>
    </row>
    <row r="1048" ht="15" customHeight="1">
      <c r="A1048" t="n">
        <v>21</v>
      </c>
      <c r="B1048" s="37">
        <f>IF(Setup!$B$27="","",Setup!$B$27)</f>
        <v/>
      </c>
      <c r="C1048" s="102" t="n"/>
      <c r="D1048" s="103" t="n"/>
      <c r="E1048" s="103" t="n"/>
      <c r="F1048" s="104" t="n"/>
      <c r="G1048" s="102" t="n"/>
      <c r="H1048" s="103" t="n"/>
      <c r="I1048" s="103" t="n"/>
      <c r="J1048" s="104" t="n"/>
      <c r="K1048" s="102" t="n"/>
      <c r="L1048" s="103" t="n"/>
      <c r="M1048" s="103" t="n"/>
      <c r="N1048" s="104" t="n"/>
      <c r="O1048" s="102" t="n"/>
      <c r="P1048" s="103" t="n"/>
      <c r="Q1048" s="103" t="n"/>
      <c r="R1048" s="104" t="n"/>
      <c r="S1048" s="102" t="n"/>
      <c r="T1048" s="103" t="n"/>
      <c r="U1048" s="103" t="n"/>
      <c r="V1048" s="104" t="n"/>
      <c r="W1048" s="102" t="n"/>
      <c r="X1048" s="104" t="n"/>
      <c r="Y1048" s="102" t="n"/>
      <c r="Z1048" s="104" t="n"/>
      <c r="AB1048" s="105">
        <f>IF($B1048="","",(COUNTIF(C1008:E1025,$B1048)+COUNTIF(C1008:E1025,$B1048&amp;" ~*")&gt;0)+(COUNTIF(G1008:I1025,$B1048)+COUNTIF(G1008:I1025,$B1048&amp;" ~*")&gt;0)+(COUNTIF(K1008:M1025,$B1048)+COUNTIF(K1008:M1025,$B1048&amp;" ~*")&gt;0)+(COUNTIF(O1008:Q1025,$B1048)+COUNTIF(O1008:Q1025,$B1048&amp;" ~*")&gt;0)+(COUNTIF(S1008:U1025,$B1048)+COUNTIF(S1008:U1025,$B1048&amp;" ~*")&gt;0)+(COUNTIF(W1008:W1025,$B1048)+COUNTIF(W1008:W1025,$B1048&amp;" ~*")&gt;0)+(COUNTIF(Y1008:Y1025,$B1048)+COUNTIF(Y1008:Y1025,$B1048&amp;" ~*")&gt;0))</f>
        <v/>
      </c>
      <c r="AC1048" s="38">
        <f>IF($B1048="","",(IFERROR(INDEX(Setup!$G$33:$G$40,MATCH(C1048,Setup!$B$33:$B$40,0)),0)=1)*(COUNTIF(C1008:E1025,$B1048)+COUNTIF(C1008:E1025,$B1048&amp;" ~*")&gt;0)+(IFERROR(INDEX(Setup!$G$33:$G$40,MATCH(G1048,Setup!$B$33:$B$40,0)),0)=1)*(COUNTIF(G1008:I1025,$B1048)+COUNTIF(G1008:I1025,$B1048&amp;" ~*")&gt;0)+(IFERROR(INDEX(Setup!$G$33:$G$40,MATCH(K1048,Setup!$B$33:$B$40,0)),0)=1)*(COUNTIF(K1008:M1025,$B1048)+COUNTIF(K1008:M1025,$B1048&amp;" ~*")&gt;0)+(IFERROR(INDEX(Setup!$G$33:$G$40,MATCH(O1048,Setup!$B$33:$B$40,0)),0)=1)*(COUNTIF(O1008:Q1025,$B1048)+COUNTIF(O1008:Q1025,$B1048&amp;" ~*")&gt;0)+(IFERROR(INDEX(Setup!$G$33:$G$40,MATCH(S1048,Setup!$B$33:$B$40,0)),0)=1)*(COUNTIF(S1008:U1025,$B1048)+COUNTIF(S1008:U1025,$B1048&amp;" ~*")&gt;0)+(IFERROR(INDEX(Setup!$G$33:$G$40,MATCH(W1048,Setup!$B$33:$B$40,0)),0)=1)*(COUNTIF(W1008:W1025,$B1048)+COUNTIF(W1008:W1025,$B1048&amp;" ~*")&gt;0)+(IFERROR(INDEX(Setup!$G$33:$G$40,MATCH(Y1048,Setup!$B$33:$B$40,0)),0)=1)*(COUNTIF(Y1008:Y1025,$B1048)+COUNTIF(Y1008:Y1025,$B1048&amp;" ~*")&gt;0))</f>
        <v/>
      </c>
    </row>
    <row r="1049" ht="15" customHeight="1">
      <c r="A1049" t="n">
        <v>21</v>
      </c>
      <c r="B1049" s="35">
        <f>IF(Setup!$B$28="","",Setup!$B$28)</f>
        <v/>
      </c>
      <c r="C1049" s="98" t="n"/>
      <c r="D1049" s="99" t="n"/>
      <c r="E1049" s="99" t="n"/>
      <c r="F1049" s="100" t="n"/>
      <c r="G1049" s="98" t="n"/>
      <c r="H1049" s="99" t="n"/>
      <c r="I1049" s="99" t="n"/>
      <c r="J1049" s="100" t="n"/>
      <c r="K1049" s="98" t="n"/>
      <c r="L1049" s="99" t="n"/>
      <c r="M1049" s="99" t="n"/>
      <c r="N1049" s="100" t="n"/>
      <c r="O1049" s="98" t="n"/>
      <c r="P1049" s="99" t="n"/>
      <c r="Q1049" s="99" t="n"/>
      <c r="R1049" s="100" t="n"/>
      <c r="S1049" s="98" t="n"/>
      <c r="T1049" s="99" t="n"/>
      <c r="U1049" s="99" t="n"/>
      <c r="V1049" s="100" t="n"/>
      <c r="W1049" s="98" t="n"/>
      <c r="X1049" s="100" t="n"/>
      <c r="Y1049" s="98" t="n"/>
      <c r="Z1049" s="100" t="n"/>
      <c r="AB1049" s="101">
        <f>IF($B1049="","",(COUNTIF(C1008:E1025,$B1049)+COUNTIF(C1008:E1025,$B1049&amp;" ~*")&gt;0)+(COUNTIF(G1008:I1025,$B1049)+COUNTIF(G1008:I1025,$B1049&amp;" ~*")&gt;0)+(COUNTIF(K1008:M1025,$B1049)+COUNTIF(K1008:M1025,$B1049&amp;" ~*")&gt;0)+(COUNTIF(O1008:Q1025,$B1049)+COUNTIF(O1008:Q1025,$B1049&amp;" ~*")&gt;0)+(COUNTIF(S1008:U1025,$B1049)+COUNTIF(S1008:U1025,$B1049&amp;" ~*")&gt;0)+(COUNTIF(W1008:W1025,$B1049)+COUNTIF(W1008:W1025,$B1049&amp;" ~*")&gt;0)+(COUNTIF(Y1008:Y1025,$B1049)+COUNTIF(Y1008:Y1025,$B1049&amp;" ~*")&gt;0))</f>
        <v/>
      </c>
      <c r="AC1049" s="36">
        <f>IF($B1049="","",(IFERROR(INDEX(Setup!$G$33:$G$40,MATCH(C1049,Setup!$B$33:$B$40,0)),0)=1)*(COUNTIF(C1008:E1025,$B1049)+COUNTIF(C1008:E1025,$B1049&amp;" ~*")&gt;0)+(IFERROR(INDEX(Setup!$G$33:$G$40,MATCH(G1049,Setup!$B$33:$B$40,0)),0)=1)*(COUNTIF(G1008:I1025,$B1049)+COUNTIF(G1008:I1025,$B1049&amp;" ~*")&gt;0)+(IFERROR(INDEX(Setup!$G$33:$G$40,MATCH(K1049,Setup!$B$33:$B$40,0)),0)=1)*(COUNTIF(K1008:M1025,$B1049)+COUNTIF(K1008:M1025,$B1049&amp;" ~*")&gt;0)+(IFERROR(INDEX(Setup!$G$33:$G$40,MATCH(O1049,Setup!$B$33:$B$40,0)),0)=1)*(COUNTIF(O1008:Q1025,$B1049)+COUNTIF(O1008:Q1025,$B1049&amp;" ~*")&gt;0)+(IFERROR(INDEX(Setup!$G$33:$G$40,MATCH(S1049,Setup!$B$33:$B$40,0)),0)=1)*(COUNTIF(S1008:U1025,$B1049)+COUNTIF(S1008:U1025,$B1049&amp;" ~*")&gt;0)+(IFERROR(INDEX(Setup!$G$33:$G$40,MATCH(W1049,Setup!$B$33:$B$40,0)),0)=1)*(COUNTIF(W1008:W1025,$B1049)+COUNTIF(W1008:W1025,$B1049&amp;" ~*")&gt;0)+(IFERROR(INDEX(Setup!$G$33:$G$40,MATCH(Y1049,Setup!$B$33:$B$40,0)),0)=1)*(COUNTIF(Y1008:Y1025,$B1049)+COUNTIF(Y1008:Y1025,$B1049&amp;" ~*")&gt;0))</f>
        <v/>
      </c>
    </row>
    <row r="1050" ht="15" customHeight="1">
      <c r="A1050" t="n">
        <v>21</v>
      </c>
      <c r="B1050" s="37">
        <f>IF(Setup!$B$29="","",Setup!$B$29)</f>
        <v/>
      </c>
      <c r="C1050" s="102" t="n"/>
      <c r="D1050" s="103" t="n"/>
      <c r="E1050" s="103" t="n"/>
      <c r="F1050" s="104" t="n"/>
      <c r="G1050" s="102" t="n"/>
      <c r="H1050" s="103" t="n"/>
      <c r="I1050" s="103" t="n"/>
      <c r="J1050" s="104" t="n"/>
      <c r="K1050" s="102" t="n"/>
      <c r="L1050" s="103" t="n"/>
      <c r="M1050" s="103" t="n"/>
      <c r="N1050" s="104" t="n"/>
      <c r="O1050" s="102" t="n"/>
      <c r="P1050" s="103" t="n"/>
      <c r="Q1050" s="103" t="n"/>
      <c r="R1050" s="104" t="n"/>
      <c r="S1050" s="102" t="n"/>
      <c r="T1050" s="103" t="n"/>
      <c r="U1050" s="103" t="n"/>
      <c r="V1050" s="104" t="n"/>
      <c r="W1050" s="102" t="n"/>
      <c r="X1050" s="104" t="n"/>
      <c r="Y1050" s="102" t="n"/>
      <c r="Z1050" s="104" t="n"/>
      <c r="AB1050" s="105">
        <f>IF($B1050="","",(COUNTIF(C1008:E1025,$B1050)+COUNTIF(C1008:E1025,$B1050&amp;" ~*")&gt;0)+(COUNTIF(G1008:I1025,$B1050)+COUNTIF(G1008:I1025,$B1050&amp;" ~*")&gt;0)+(COUNTIF(K1008:M1025,$B1050)+COUNTIF(K1008:M1025,$B1050&amp;" ~*")&gt;0)+(COUNTIF(O1008:Q1025,$B1050)+COUNTIF(O1008:Q1025,$B1050&amp;" ~*")&gt;0)+(COUNTIF(S1008:U1025,$B1050)+COUNTIF(S1008:U1025,$B1050&amp;" ~*")&gt;0)+(COUNTIF(W1008:W1025,$B1050)+COUNTIF(W1008:W1025,$B1050&amp;" ~*")&gt;0)+(COUNTIF(Y1008:Y1025,$B1050)+COUNTIF(Y1008:Y1025,$B1050&amp;" ~*")&gt;0))</f>
        <v/>
      </c>
      <c r="AC1050" s="38">
        <f>IF($B1050="","",(IFERROR(INDEX(Setup!$G$33:$G$40,MATCH(C1050,Setup!$B$33:$B$40,0)),0)=1)*(COUNTIF(C1008:E1025,$B1050)+COUNTIF(C1008:E1025,$B1050&amp;" ~*")&gt;0)+(IFERROR(INDEX(Setup!$G$33:$G$40,MATCH(G1050,Setup!$B$33:$B$40,0)),0)=1)*(COUNTIF(G1008:I1025,$B1050)+COUNTIF(G1008:I1025,$B1050&amp;" ~*")&gt;0)+(IFERROR(INDEX(Setup!$G$33:$G$40,MATCH(K1050,Setup!$B$33:$B$40,0)),0)=1)*(COUNTIF(K1008:M1025,$B1050)+COUNTIF(K1008:M1025,$B1050&amp;" ~*")&gt;0)+(IFERROR(INDEX(Setup!$G$33:$G$40,MATCH(O1050,Setup!$B$33:$B$40,0)),0)=1)*(COUNTIF(O1008:Q1025,$B1050)+COUNTIF(O1008:Q1025,$B1050&amp;" ~*")&gt;0)+(IFERROR(INDEX(Setup!$G$33:$G$40,MATCH(S1050,Setup!$B$33:$B$40,0)),0)=1)*(COUNTIF(S1008:U1025,$B1050)+COUNTIF(S1008:U1025,$B1050&amp;" ~*")&gt;0)+(IFERROR(INDEX(Setup!$G$33:$G$40,MATCH(W1050,Setup!$B$33:$B$40,0)),0)=1)*(COUNTIF(W1008:W1025,$B1050)+COUNTIF(W1008:W1025,$B1050&amp;" ~*")&gt;0)+(IFERROR(INDEX(Setup!$G$33:$G$40,MATCH(Y1050,Setup!$B$33:$B$40,0)),0)=1)*(COUNTIF(Y1008:Y1025,$B1050)+COUNTIF(Y1008:Y1025,$B1050&amp;" ~*")&gt;0))</f>
        <v/>
      </c>
    </row>
    <row r="1051" ht="16" customHeight="1">
      <c r="A1051" t="n">
        <v>21</v>
      </c>
      <c r="B1051" s="106" t="inlineStr">
        <is>
          <t>Available people</t>
        </is>
      </c>
      <c r="C1051" s="107">
        <f>COUNTIFS(Setup!$E$6:$E$29,"Y",Setup!$B$6:$B$29,"?*")-SUMPRODUCT(COUNTIF(C1027:C1050,Setup!$F$33:$F$40))</f>
        <v/>
      </c>
      <c r="D1051" s="107" t="n"/>
      <c r="E1051" s="107" t="n"/>
      <c r="F1051" s="107" t="n"/>
      <c r="G1051" s="107">
        <f>COUNTIFS(Setup!$E$6:$E$29,"Y",Setup!$B$6:$B$29,"?*")-SUMPRODUCT(COUNTIF(G1027:G1050,Setup!$F$33:$F$40))</f>
        <v/>
      </c>
      <c r="H1051" s="107" t="n"/>
      <c r="I1051" s="107" t="n"/>
      <c r="J1051" s="107" t="n"/>
      <c r="K1051" s="107">
        <f>COUNTIFS(Setup!$E$6:$E$29,"Y",Setup!$B$6:$B$29,"?*")-SUMPRODUCT(COUNTIF(K1027:K1050,Setup!$F$33:$F$40))</f>
        <v/>
      </c>
      <c r="L1051" s="107" t="n"/>
      <c r="M1051" s="107" t="n"/>
      <c r="N1051" s="107" t="n"/>
      <c r="O1051" s="107">
        <f>COUNTIFS(Setup!$E$6:$E$29,"Y",Setup!$B$6:$B$29,"?*")-SUMPRODUCT(COUNTIF(O1027:O1050,Setup!$F$33:$F$40))</f>
        <v/>
      </c>
      <c r="P1051" s="107" t="n"/>
      <c r="Q1051" s="107" t="n"/>
      <c r="R1051" s="107" t="n"/>
      <c r="S1051" s="107">
        <f>COUNTIFS(Setup!$E$6:$E$29,"Y",Setup!$B$6:$B$29,"?*")-SUMPRODUCT(COUNTIF(S1027:S1050,Setup!$F$33:$F$40))</f>
        <v/>
      </c>
      <c r="T1051" s="107" t="n"/>
      <c r="U1051" s="107" t="n"/>
      <c r="V1051" s="107" t="n"/>
      <c r="W1051" s="107">
        <f>COUNTIFS(Setup!$E$6:$E$29,"Y",Setup!$B$6:$B$29,"?*")-SUMPRODUCT(COUNTIF(W1027:W1050,Setup!$F$33:$F$40))</f>
        <v/>
      </c>
      <c r="X1051" s="107" t="n"/>
      <c r="Y1051" s="107">
        <f>COUNTIFS(Setup!$E$6:$E$29,"Y",Setup!$B$6:$B$29,"?*")-SUMPRODUCT(COUNTIF(Y1027:Y1050,Setup!$F$33:$F$40))</f>
        <v/>
      </c>
      <c r="Z1051" s="107" t="n"/>
      <c r="AB1051" s="108">
        <f>SUM(AB1027:AB1050)</f>
        <v/>
      </c>
      <c r="AC1051" s="109">
        <f>SUM(AC1027:AC1050)</f>
        <v/>
      </c>
    </row>
    <row r="1052" ht="30" customHeight="1">
      <c r="A1052" t="n">
        <v>21</v>
      </c>
      <c r="B1052" s="110" t="inlineStr">
        <is>
          <t>Week notes</t>
        </is>
      </c>
      <c r="C1052" s="111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112" t="n"/>
      <c r="R1052" s="112" t="n"/>
      <c r="S1052" s="112" t="n"/>
      <c r="T1052" s="112" t="n"/>
      <c r="U1052" s="112" t="n"/>
      <c r="V1052" s="112" t="n"/>
      <c r="W1052" s="112" t="n"/>
      <c r="X1052" s="112" t="n"/>
      <c r="Y1052" s="112" t="n"/>
      <c r="Z1052" s="113" t="n"/>
    </row>
    <row r="1053" ht="8" customHeight="1">
      <c r="A1053" t="n">
        <v>21</v>
      </c>
    </row>
    <row r="1054" ht="8" customHeight="1">
      <c r="A1054" t="n">
        <v>21</v>
      </c>
    </row>
    <row r="1055" ht="24" customHeight="1">
      <c r="A1055" t="n">
        <v>22</v>
      </c>
      <c r="B1055" s="73">
        <f>"WEEK 22     "&amp;TEXT(C1056,"ddd d mmm")&amp;"  –  "&amp;TEXT(C1056+6,"ddd d mmm yyyy")</f>
        <v/>
      </c>
      <c r="S1055" s="74">
        <f>IF(TODAY()&lt;C1056,"FUTURE",IF(TODAY()&gt;C1056+6,"PAST","THIS WEEK"))</f>
        <v/>
      </c>
      <c r="W1055" s="75">
        <f>IF(AND(Engine!$B$8=$AC$3,Engine!$B$9=$A1055),"◀ ACTIVE WEEK","")</f>
        <v/>
      </c>
      <c r="AA1055" s="76" t="n"/>
      <c r="AB1055" s="77" t="inlineStr">
        <is>
          <t>◀ Prev</t>
        </is>
      </c>
      <c r="AC1055" s="77" t="inlineStr">
        <is>
          <t>Next ▶</t>
        </is>
      </c>
    </row>
    <row r="1056" ht="18" customHeight="1">
      <c r="A1056" t="n">
        <v>22</v>
      </c>
      <c r="B1056" s="78" t="inlineStr">
        <is>
          <t>DUTY</t>
        </is>
      </c>
      <c r="C1056" s="79">
        <f>$AC$2+7*($A1056-1)</f>
        <v/>
      </c>
      <c r="D1056" s="80" t="n"/>
      <c r="E1056" s="80" t="n"/>
      <c r="F1056" s="81" t="n"/>
      <c r="G1056" s="79">
        <f>C1056+1</f>
        <v/>
      </c>
      <c r="H1056" s="80" t="n"/>
      <c r="I1056" s="80" t="n"/>
      <c r="J1056" s="81" t="n"/>
      <c r="K1056" s="79">
        <f>C1056+2</f>
        <v/>
      </c>
      <c r="L1056" s="80" t="n"/>
      <c r="M1056" s="80" t="n"/>
      <c r="N1056" s="81" t="n"/>
      <c r="O1056" s="79">
        <f>C1056+3</f>
        <v/>
      </c>
      <c r="P1056" s="80" t="n"/>
      <c r="Q1056" s="80" t="n"/>
      <c r="R1056" s="81" t="n"/>
      <c r="S1056" s="79">
        <f>C1056+4</f>
        <v/>
      </c>
      <c r="T1056" s="80" t="n"/>
      <c r="U1056" s="80" t="n"/>
      <c r="V1056" s="81" t="n"/>
      <c r="W1056" s="82">
        <f>C1056+5</f>
        <v/>
      </c>
      <c r="X1056" s="83" t="n"/>
      <c r="Y1056" s="82">
        <f>C1056+6</f>
        <v/>
      </c>
      <c r="Z1056" s="83" t="n"/>
      <c r="AB1056" s="72" t="inlineStr">
        <is>
          <t>Gaps</t>
        </is>
      </c>
      <c r="AC1056" s="72" t="inlineStr">
        <is>
          <t>Cover</t>
        </is>
      </c>
    </row>
    <row r="1057" ht="14" customHeight="1">
      <c r="A1057" t="n">
        <v>22</v>
      </c>
      <c r="B1057" s="84" t="inlineStr">
        <is>
          <t>(from Setup)</t>
        </is>
      </c>
      <c r="C1057" s="85" t="inlineStr">
        <is>
          <t>1</t>
        </is>
      </c>
      <c r="D1057" s="85" t="inlineStr">
        <is>
          <t>2</t>
        </is>
      </c>
      <c r="E1057" s="85" t="inlineStr">
        <is>
          <t>3</t>
        </is>
      </c>
      <c r="F1057" s="85" t="inlineStr">
        <is>
          <t>Notes</t>
        </is>
      </c>
      <c r="G1057" s="85" t="inlineStr">
        <is>
          <t>1</t>
        </is>
      </c>
      <c r="H1057" s="85" t="inlineStr">
        <is>
          <t>2</t>
        </is>
      </c>
      <c r="I1057" s="85" t="inlineStr">
        <is>
          <t>3</t>
        </is>
      </c>
      <c r="J1057" s="85" t="inlineStr">
        <is>
          <t>Notes</t>
        </is>
      </c>
      <c r="K1057" s="85" t="inlineStr">
        <is>
          <t>1</t>
        </is>
      </c>
      <c r="L1057" s="85" t="inlineStr">
        <is>
          <t>2</t>
        </is>
      </c>
      <c r="M1057" s="85" t="inlineStr">
        <is>
          <t>3</t>
        </is>
      </c>
      <c r="N1057" s="85" t="inlineStr">
        <is>
          <t>Notes</t>
        </is>
      </c>
      <c r="O1057" s="85" t="inlineStr">
        <is>
          <t>1</t>
        </is>
      </c>
      <c r="P1057" s="85" t="inlineStr">
        <is>
          <t>2</t>
        </is>
      </c>
      <c r="Q1057" s="85" t="inlineStr">
        <is>
          <t>3</t>
        </is>
      </c>
      <c r="R1057" s="85" t="inlineStr">
        <is>
          <t>Notes</t>
        </is>
      </c>
      <c r="S1057" s="85" t="inlineStr">
        <is>
          <t>1</t>
        </is>
      </c>
      <c r="T1057" s="85" t="inlineStr">
        <is>
          <t>2</t>
        </is>
      </c>
      <c r="U1057" s="85" t="inlineStr">
        <is>
          <t>3</t>
        </is>
      </c>
      <c r="V1057" s="85" t="inlineStr">
        <is>
          <t>Notes</t>
        </is>
      </c>
      <c r="W1057" s="85" t="inlineStr">
        <is>
          <t>Cover</t>
        </is>
      </c>
      <c r="X1057" s="85" t="inlineStr">
        <is>
          <t>Notes</t>
        </is>
      </c>
      <c r="Y1057" s="85" t="inlineStr">
        <is>
          <t>Cover</t>
        </is>
      </c>
      <c r="Z1057" s="85" t="inlineStr">
        <is>
          <t>Notes</t>
        </is>
      </c>
      <c r="AB1057" s="86" t="inlineStr">
        <is>
          <t>weekdays short</t>
        </is>
      </c>
      <c r="AC1057" s="87" t="inlineStr"/>
    </row>
    <row r="1058" ht="17" customHeight="1">
      <c r="A1058" t="n">
        <v>22</v>
      </c>
      <c r="B1058" s="24">
        <f>IF(Setup!$K$6="","",Setup!$K$6)</f>
        <v/>
      </c>
      <c r="C1058" s="88" t="n"/>
      <c r="D1058" s="88" t="n"/>
      <c r="E1058" s="88" t="n"/>
      <c r="F1058" s="89" t="n"/>
      <c r="G1058" s="88" t="n"/>
      <c r="H1058" s="88" t="n"/>
      <c r="I1058" s="88" t="n"/>
      <c r="J1058" s="89" t="n"/>
      <c r="K1058" s="88" t="n"/>
      <c r="L1058" s="88" t="n"/>
      <c r="M1058" s="88" t="n"/>
      <c r="N1058" s="89" t="n"/>
      <c r="O1058" s="88" t="n"/>
      <c r="P1058" s="88" t="n"/>
      <c r="Q1058" s="88" t="n"/>
      <c r="R1058" s="89" t="n"/>
      <c r="S1058" s="88" t="n"/>
      <c r="T1058" s="88" t="n"/>
      <c r="U1058" s="88" t="n"/>
      <c r="V1058" s="89" t="n"/>
      <c r="W1058" s="88" t="n"/>
      <c r="X1058" s="89" t="n"/>
      <c r="Y1058" s="88" t="n"/>
      <c r="Z1058" s="89" t="n"/>
      <c r="AB1058" s="25">
        <f>IF($B1058="","",(COUNTIF(C1058:E1058,"?*")&lt;N(INDEX(Setup!$L$6:$L$23,1)))+(COUNTIF(G1058:I1058,"?*")&lt;N(INDEX(Setup!$L$6:$L$23,1)))+(COUNTIF(K1058:M1058,"?*")&lt;N(INDEX(Setup!$L$6:$L$23,1)))+(COUNTIF(O1058:Q1058,"?*")&lt;N(INDEX(Setup!$L$6:$L$23,1)))+(COUNTIF(S1058:U1058,"?*")&lt;N(INDEX(Setup!$L$6:$L$23,1)))+((W1058="")*(INDEX(Setup!$M$6:$M$23,1)="Y"))+((Y1058="")*(INDEX(Setup!$M$6:$M$23,1)="Y")))</f>
        <v/>
      </c>
      <c r="AC1058" s="90">
        <f>IF($B1058="","",IF(AB1058=0,"✓ covered","⚠ "&amp;AB1058&amp;IF(AB1058=1," gap"," gaps")))</f>
        <v/>
      </c>
    </row>
    <row r="1059" ht="17" customHeight="1">
      <c r="A1059" t="n">
        <v>22</v>
      </c>
      <c r="B1059" s="29">
        <f>IF(Setup!$K$7="","",Setup!$K$7)</f>
        <v/>
      </c>
      <c r="C1059" s="88" t="n"/>
      <c r="D1059" s="88" t="n"/>
      <c r="E1059" s="88" t="n"/>
      <c r="F1059" s="89" t="n"/>
      <c r="G1059" s="88" t="n"/>
      <c r="H1059" s="88" t="n"/>
      <c r="I1059" s="88" t="n"/>
      <c r="J1059" s="89" t="n"/>
      <c r="K1059" s="88" t="n"/>
      <c r="L1059" s="88" t="n"/>
      <c r="M1059" s="88" t="n"/>
      <c r="N1059" s="89" t="n"/>
      <c r="O1059" s="88" t="n"/>
      <c r="P1059" s="88" t="n"/>
      <c r="Q1059" s="88" t="n"/>
      <c r="R1059" s="89" t="n"/>
      <c r="S1059" s="88" t="n"/>
      <c r="T1059" s="88" t="n"/>
      <c r="U1059" s="88" t="n"/>
      <c r="V1059" s="89" t="n"/>
      <c r="W1059" s="88" t="n"/>
      <c r="X1059" s="89" t="n"/>
      <c r="Y1059" s="88" t="n"/>
      <c r="Z1059" s="89" t="n"/>
      <c r="AB1059" s="30">
        <f>IF($B1059="","",(COUNTIF(C1059:E1059,"?*")&lt;N(INDEX(Setup!$L$6:$L$23,2)))+(COUNTIF(G1059:I1059,"?*")&lt;N(INDEX(Setup!$L$6:$L$23,2)))+(COUNTIF(K1059:M1059,"?*")&lt;N(INDEX(Setup!$L$6:$L$23,2)))+(COUNTIF(O1059:Q1059,"?*")&lt;N(INDEX(Setup!$L$6:$L$23,2)))+(COUNTIF(S1059:U1059,"?*")&lt;N(INDEX(Setup!$L$6:$L$23,2)))+((W1059="")*(INDEX(Setup!$M$6:$M$23,2)="Y"))+((Y1059="")*(INDEX(Setup!$M$6:$M$23,2)="Y")))</f>
        <v/>
      </c>
      <c r="AC1059" s="91">
        <f>IF($B1059="","",IF(AB1059=0,"✓ covered","⚠ "&amp;AB1059&amp;IF(AB1059=1," gap"," gaps")))</f>
        <v/>
      </c>
    </row>
    <row r="1060" ht="17" customHeight="1">
      <c r="A1060" t="n">
        <v>22</v>
      </c>
      <c r="B1060" s="24">
        <f>IF(Setup!$K$8="","",Setup!$K$8)</f>
        <v/>
      </c>
      <c r="C1060" s="88" t="inlineStr">
        <is>
          <t>NT</t>
        </is>
      </c>
      <c r="D1060" s="88" t="n"/>
      <c r="E1060" s="88" t="n"/>
      <c r="F1060" s="89" t="n"/>
      <c r="G1060" s="88" t="n"/>
      <c r="H1060" s="88" t="n"/>
      <c r="I1060" s="88" t="n"/>
      <c r="J1060" s="89" t="n"/>
      <c r="K1060" s="88" t="n"/>
      <c r="L1060" s="88" t="n"/>
      <c r="M1060" s="88" t="n"/>
      <c r="N1060" s="89" t="n"/>
      <c r="O1060" s="88" t="n"/>
      <c r="P1060" s="88" t="n"/>
      <c r="Q1060" s="88" t="n"/>
      <c r="R1060" s="89" t="n"/>
      <c r="S1060" s="88" t="n"/>
      <c r="T1060" s="88" t="n"/>
      <c r="U1060" s="88" t="n"/>
      <c r="V1060" s="89" t="n"/>
      <c r="W1060" s="88" t="n"/>
      <c r="X1060" s="89" t="n"/>
      <c r="Y1060" s="88" t="n"/>
      <c r="Z1060" s="89" t="n"/>
      <c r="AB1060" s="25">
        <f>IF($B1060="","",(COUNTIF(C1060:E1060,"?*")&lt;N(INDEX(Setup!$L$6:$L$23,3)))+(COUNTIF(G1060:I1060,"?*")&lt;N(INDEX(Setup!$L$6:$L$23,3)))+(COUNTIF(K1060:M1060,"?*")&lt;N(INDEX(Setup!$L$6:$L$23,3)))+(COUNTIF(O1060:Q1060,"?*")&lt;N(INDEX(Setup!$L$6:$L$23,3)))+(COUNTIF(S1060:U1060,"?*")&lt;N(INDEX(Setup!$L$6:$L$23,3)))+((W1060="")*(INDEX(Setup!$M$6:$M$23,3)="Y"))+((Y1060="")*(INDEX(Setup!$M$6:$M$23,3)="Y")))</f>
        <v/>
      </c>
      <c r="AC1060" s="90">
        <f>IF($B1060="","",IF(AB1060=0,"✓ covered","⚠ "&amp;AB1060&amp;IF(AB1060=1," gap"," gaps")))</f>
        <v/>
      </c>
    </row>
    <row r="1061" ht="17" customHeight="1">
      <c r="A1061" t="n">
        <v>22</v>
      </c>
      <c r="B1061" s="29">
        <f>IF(Setup!$K$9="","",Setup!$K$9)</f>
        <v/>
      </c>
      <c r="C1061" s="88" t="n"/>
      <c r="D1061" s="88" t="n"/>
      <c r="E1061" s="88" t="n"/>
      <c r="F1061" s="89" t="n"/>
      <c r="G1061" s="88" t="n"/>
      <c r="H1061" s="88" t="n"/>
      <c r="I1061" s="88" t="n"/>
      <c r="J1061" s="89" t="n"/>
      <c r="K1061" s="88" t="n"/>
      <c r="L1061" s="88" t="n"/>
      <c r="M1061" s="88" t="n"/>
      <c r="N1061" s="89" t="n"/>
      <c r="O1061" s="88" t="n"/>
      <c r="P1061" s="88" t="n"/>
      <c r="Q1061" s="88" t="n"/>
      <c r="R1061" s="89" t="n"/>
      <c r="S1061" s="88" t="n"/>
      <c r="T1061" s="88" t="n"/>
      <c r="U1061" s="88" t="n"/>
      <c r="V1061" s="89" t="n"/>
      <c r="W1061" s="88" t="n"/>
      <c r="X1061" s="89" t="n"/>
      <c r="Y1061" s="88" t="n"/>
      <c r="Z1061" s="89" t="n"/>
      <c r="AB1061" s="30">
        <f>IF($B1061="","",(COUNTIF(C1061:E1061,"?*")&lt;N(INDEX(Setup!$L$6:$L$23,4)))+(COUNTIF(G1061:I1061,"?*")&lt;N(INDEX(Setup!$L$6:$L$23,4)))+(COUNTIF(K1061:M1061,"?*")&lt;N(INDEX(Setup!$L$6:$L$23,4)))+(COUNTIF(O1061:Q1061,"?*")&lt;N(INDEX(Setup!$L$6:$L$23,4)))+(COUNTIF(S1061:U1061,"?*")&lt;N(INDEX(Setup!$L$6:$L$23,4)))+((W1061="")*(INDEX(Setup!$M$6:$M$23,4)="Y"))+((Y1061="")*(INDEX(Setup!$M$6:$M$23,4)="Y")))</f>
        <v/>
      </c>
      <c r="AC1061" s="91">
        <f>IF($B1061="","",IF(AB1061=0,"✓ covered","⚠ "&amp;AB1061&amp;IF(AB1061=1," gap"," gaps")))</f>
        <v/>
      </c>
    </row>
    <row r="1062" ht="17" customHeight="1">
      <c r="A1062" t="n">
        <v>22</v>
      </c>
      <c r="B1062" s="24">
        <f>IF(Setup!$K$10="","",Setup!$K$10)</f>
        <v/>
      </c>
      <c r="C1062" s="88" t="n"/>
      <c r="D1062" s="88" t="n"/>
      <c r="E1062" s="88" t="n"/>
      <c r="F1062" s="89" t="n"/>
      <c r="G1062" s="88" t="n"/>
      <c r="H1062" s="88" t="n"/>
      <c r="I1062" s="88" t="n"/>
      <c r="J1062" s="89" t="n"/>
      <c r="K1062" s="88" t="n"/>
      <c r="L1062" s="88" t="n"/>
      <c r="M1062" s="88" t="n"/>
      <c r="N1062" s="89" t="n"/>
      <c r="O1062" s="88" t="n"/>
      <c r="P1062" s="88" t="n"/>
      <c r="Q1062" s="88" t="n"/>
      <c r="R1062" s="89" t="n"/>
      <c r="S1062" s="88" t="n"/>
      <c r="T1062" s="88" t="n"/>
      <c r="U1062" s="88" t="n"/>
      <c r="V1062" s="89" t="n"/>
      <c r="W1062" s="88" t="n"/>
      <c r="X1062" s="89" t="n"/>
      <c r="Y1062" s="88" t="n"/>
      <c r="Z1062" s="89" t="n"/>
      <c r="AB1062" s="25">
        <f>IF($B1062="","",(COUNTIF(C1062:E1062,"?*")&lt;N(INDEX(Setup!$L$6:$L$23,5)))+(COUNTIF(G1062:I1062,"?*")&lt;N(INDEX(Setup!$L$6:$L$23,5)))+(COUNTIF(K1062:M1062,"?*")&lt;N(INDEX(Setup!$L$6:$L$23,5)))+(COUNTIF(O1062:Q1062,"?*")&lt;N(INDEX(Setup!$L$6:$L$23,5)))+(COUNTIF(S1062:U1062,"?*")&lt;N(INDEX(Setup!$L$6:$L$23,5)))+((W1062="")*(INDEX(Setup!$M$6:$M$23,5)="Y"))+((Y1062="")*(INDEX(Setup!$M$6:$M$23,5)="Y")))</f>
        <v/>
      </c>
      <c r="AC1062" s="90">
        <f>IF($B1062="","",IF(AB1062=0,"✓ covered","⚠ "&amp;AB1062&amp;IF(AB1062=1," gap"," gaps")))</f>
        <v/>
      </c>
    </row>
    <row r="1063" ht="17" customHeight="1">
      <c r="A1063" t="n">
        <v>22</v>
      </c>
      <c r="B1063" s="29">
        <f>IF(Setup!$K$11="","",Setup!$K$11)</f>
        <v/>
      </c>
      <c r="C1063" s="88" t="n"/>
      <c r="D1063" s="88" t="n"/>
      <c r="E1063" s="88" t="n"/>
      <c r="F1063" s="89" t="n"/>
      <c r="G1063" s="88" t="n"/>
      <c r="H1063" s="88" t="n"/>
      <c r="I1063" s="88" t="n"/>
      <c r="J1063" s="89" t="n"/>
      <c r="K1063" s="88" t="n"/>
      <c r="L1063" s="88" t="n"/>
      <c r="M1063" s="88" t="n"/>
      <c r="N1063" s="89" t="n"/>
      <c r="O1063" s="88" t="n"/>
      <c r="P1063" s="88" t="n"/>
      <c r="Q1063" s="88" t="n"/>
      <c r="R1063" s="89" t="n"/>
      <c r="S1063" s="88" t="n"/>
      <c r="T1063" s="88" t="n"/>
      <c r="U1063" s="88" t="n"/>
      <c r="V1063" s="89" t="n"/>
      <c r="W1063" s="88" t="n"/>
      <c r="X1063" s="89" t="n"/>
      <c r="Y1063" s="88" t="n"/>
      <c r="Z1063" s="89" t="n"/>
      <c r="AB1063" s="30">
        <f>IF($B1063="","",(COUNTIF(C1063:E1063,"?*")&lt;N(INDEX(Setup!$L$6:$L$23,6)))+(COUNTIF(G1063:I1063,"?*")&lt;N(INDEX(Setup!$L$6:$L$23,6)))+(COUNTIF(K1063:M1063,"?*")&lt;N(INDEX(Setup!$L$6:$L$23,6)))+(COUNTIF(O1063:Q1063,"?*")&lt;N(INDEX(Setup!$L$6:$L$23,6)))+(COUNTIF(S1063:U1063,"?*")&lt;N(INDEX(Setup!$L$6:$L$23,6)))+((W1063="")*(INDEX(Setup!$M$6:$M$23,6)="Y"))+((Y1063="")*(INDEX(Setup!$M$6:$M$23,6)="Y")))</f>
        <v/>
      </c>
      <c r="AC1063" s="91">
        <f>IF($B1063="","",IF(AB1063=0,"✓ covered","⚠ "&amp;AB1063&amp;IF(AB1063=1," gap"," gaps")))</f>
        <v/>
      </c>
    </row>
    <row r="1064" ht="17" customHeight="1">
      <c r="A1064" t="n">
        <v>22</v>
      </c>
      <c r="B1064" s="24">
        <f>IF(Setup!$K$12="","",Setup!$K$12)</f>
        <v/>
      </c>
      <c r="C1064" s="88" t="n"/>
      <c r="D1064" s="88" t="n"/>
      <c r="E1064" s="88" t="n"/>
      <c r="F1064" s="89" t="n"/>
      <c r="G1064" s="88" t="n"/>
      <c r="H1064" s="88" t="n"/>
      <c r="I1064" s="88" t="n"/>
      <c r="J1064" s="89" t="n"/>
      <c r="K1064" s="88" t="n"/>
      <c r="L1064" s="88" t="n"/>
      <c r="M1064" s="88" t="n"/>
      <c r="N1064" s="89" t="n"/>
      <c r="O1064" s="88" t="n"/>
      <c r="P1064" s="88" t="n"/>
      <c r="Q1064" s="88" t="n"/>
      <c r="R1064" s="89" t="n"/>
      <c r="S1064" s="88" t="n"/>
      <c r="T1064" s="88" t="n"/>
      <c r="U1064" s="88" t="n"/>
      <c r="V1064" s="89" t="n"/>
      <c r="W1064" s="88" t="n"/>
      <c r="X1064" s="89" t="n"/>
      <c r="Y1064" s="88" t="n"/>
      <c r="Z1064" s="89" t="n"/>
      <c r="AB1064" s="25">
        <f>IF($B1064="","",(COUNTIF(C1064:E1064,"?*")&lt;N(INDEX(Setup!$L$6:$L$23,7)))+(COUNTIF(G1064:I1064,"?*")&lt;N(INDEX(Setup!$L$6:$L$23,7)))+(COUNTIF(K1064:M1064,"?*")&lt;N(INDEX(Setup!$L$6:$L$23,7)))+(COUNTIF(O1064:Q1064,"?*")&lt;N(INDEX(Setup!$L$6:$L$23,7)))+(COUNTIF(S1064:U1064,"?*")&lt;N(INDEX(Setup!$L$6:$L$23,7)))+((W1064="")*(INDEX(Setup!$M$6:$M$23,7)="Y"))+((Y1064="")*(INDEX(Setup!$M$6:$M$23,7)="Y")))</f>
        <v/>
      </c>
      <c r="AC1064" s="90">
        <f>IF($B1064="","",IF(AB1064=0,"✓ covered","⚠ "&amp;AB1064&amp;IF(AB1064=1," gap"," gaps")))</f>
        <v/>
      </c>
    </row>
    <row r="1065" ht="17" customHeight="1">
      <c r="A1065" t="n">
        <v>22</v>
      </c>
      <c r="B1065" s="29">
        <f>IF(Setup!$K$13="","",Setup!$K$13)</f>
        <v/>
      </c>
      <c r="C1065" s="88" t="n"/>
      <c r="D1065" s="88" t="n"/>
      <c r="E1065" s="88" t="n"/>
      <c r="F1065" s="89" t="n"/>
      <c r="G1065" s="88" t="n"/>
      <c r="H1065" s="88" t="n"/>
      <c r="I1065" s="88" t="n"/>
      <c r="J1065" s="89" t="n"/>
      <c r="K1065" s="88" t="n"/>
      <c r="L1065" s="88" t="n"/>
      <c r="M1065" s="88" t="n"/>
      <c r="N1065" s="89" t="n"/>
      <c r="O1065" s="88" t="n"/>
      <c r="P1065" s="88" t="n"/>
      <c r="Q1065" s="88" t="n"/>
      <c r="R1065" s="89" t="n"/>
      <c r="S1065" s="88" t="n"/>
      <c r="T1065" s="88" t="n"/>
      <c r="U1065" s="88" t="n"/>
      <c r="V1065" s="89" t="n"/>
      <c r="W1065" s="88" t="n"/>
      <c r="X1065" s="89" t="n"/>
      <c r="Y1065" s="88" t="n"/>
      <c r="Z1065" s="89" t="n"/>
      <c r="AB1065" s="30">
        <f>IF($B1065="","",(COUNTIF(C1065:E1065,"?*")&lt;N(INDEX(Setup!$L$6:$L$23,8)))+(COUNTIF(G1065:I1065,"?*")&lt;N(INDEX(Setup!$L$6:$L$23,8)))+(COUNTIF(K1065:M1065,"?*")&lt;N(INDEX(Setup!$L$6:$L$23,8)))+(COUNTIF(O1065:Q1065,"?*")&lt;N(INDEX(Setup!$L$6:$L$23,8)))+(COUNTIF(S1065:U1065,"?*")&lt;N(INDEX(Setup!$L$6:$L$23,8)))+((W1065="")*(INDEX(Setup!$M$6:$M$23,8)="Y"))+((Y1065="")*(INDEX(Setup!$M$6:$M$23,8)="Y")))</f>
        <v/>
      </c>
      <c r="AC1065" s="91">
        <f>IF($B1065="","",IF(AB1065=0,"✓ covered","⚠ "&amp;AB1065&amp;IF(AB1065=1," gap"," gaps")))</f>
        <v/>
      </c>
    </row>
    <row r="1066" ht="17" customHeight="1">
      <c r="A1066" t="n">
        <v>22</v>
      </c>
      <c r="B1066" s="24">
        <f>IF(Setup!$K$14="","",Setup!$K$14)</f>
        <v/>
      </c>
      <c r="C1066" s="88" t="n"/>
      <c r="D1066" s="88" t="n"/>
      <c r="E1066" s="88" t="n"/>
      <c r="F1066" s="89" t="n"/>
      <c r="G1066" s="88" t="n"/>
      <c r="H1066" s="88" t="n"/>
      <c r="I1066" s="88" t="n"/>
      <c r="J1066" s="89" t="n"/>
      <c r="K1066" s="88" t="n"/>
      <c r="L1066" s="88" t="n"/>
      <c r="M1066" s="88" t="n"/>
      <c r="N1066" s="89" t="n"/>
      <c r="O1066" s="88" t="n"/>
      <c r="P1066" s="88" t="n"/>
      <c r="Q1066" s="88" t="n"/>
      <c r="R1066" s="89" t="n"/>
      <c r="S1066" s="88" t="n"/>
      <c r="T1066" s="88" t="n"/>
      <c r="U1066" s="88" t="n"/>
      <c r="V1066" s="89" t="n"/>
      <c r="W1066" s="88" t="n"/>
      <c r="X1066" s="89" t="n"/>
      <c r="Y1066" s="88" t="n"/>
      <c r="Z1066" s="89" t="n"/>
      <c r="AB1066" s="25">
        <f>IF($B1066="","",(COUNTIF(C1066:E1066,"?*")&lt;N(INDEX(Setup!$L$6:$L$23,9)))+(COUNTIF(G1066:I1066,"?*")&lt;N(INDEX(Setup!$L$6:$L$23,9)))+(COUNTIF(K1066:M1066,"?*")&lt;N(INDEX(Setup!$L$6:$L$23,9)))+(COUNTIF(O1066:Q1066,"?*")&lt;N(INDEX(Setup!$L$6:$L$23,9)))+(COUNTIF(S1066:U1066,"?*")&lt;N(INDEX(Setup!$L$6:$L$23,9)))+((W1066="")*(INDEX(Setup!$M$6:$M$23,9)="Y"))+((Y1066="")*(INDEX(Setup!$M$6:$M$23,9)="Y")))</f>
        <v/>
      </c>
      <c r="AC1066" s="90">
        <f>IF($B1066="","",IF(AB1066=0,"✓ covered","⚠ "&amp;AB1066&amp;IF(AB1066=1," gap"," gaps")))</f>
        <v/>
      </c>
    </row>
    <row r="1067" ht="17" customHeight="1">
      <c r="A1067" t="n">
        <v>22</v>
      </c>
      <c r="B1067" s="29">
        <f>IF(Setup!$K$15="","",Setup!$K$15)</f>
        <v/>
      </c>
      <c r="C1067" s="88" t="n"/>
      <c r="D1067" s="88" t="n"/>
      <c r="E1067" s="88" t="n"/>
      <c r="F1067" s="89" t="n"/>
      <c r="G1067" s="88" t="n"/>
      <c r="H1067" s="88" t="n"/>
      <c r="I1067" s="88" t="n"/>
      <c r="J1067" s="89" t="n"/>
      <c r="K1067" s="88" t="n"/>
      <c r="L1067" s="88" t="n"/>
      <c r="M1067" s="88" t="n"/>
      <c r="N1067" s="89" t="n"/>
      <c r="O1067" s="88" t="n"/>
      <c r="P1067" s="88" t="n"/>
      <c r="Q1067" s="88" t="n"/>
      <c r="R1067" s="89" t="n"/>
      <c r="S1067" s="88" t="n"/>
      <c r="T1067" s="88" t="n"/>
      <c r="U1067" s="88" t="n"/>
      <c r="V1067" s="89" t="n"/>
      <c r="W1067" s="88" t="n"/>
      <c r="X1067" s="89" t="n"/>
      <c r="Y1067" s="88" t="n"/>
      <c r="Z1067" s="89" t="n"/>
      <c r="AB1067" s="30">
        <f>IF($B1067="","",(COUNTIF(C1067:E1067,"?*")&lt;N(INDEX(Setup!$L$6:$L$23,10)))+(COUNTIF(G1067:I1067,"?*")&lt;N(INDEX(Setup!$L$6:$L$23,10)))+(COUNTIF(K1067:M1067,"?*")&lt;N(INDEX(Setup!$L$6:$L$23,10)))+(COUNTIF(O1067:Q1067,"?*")&lt;N(INDEX(Setup!$L$6:$L$23,10)))+(COUNTIF(S1067:U1067,"?*")&lt;N(INDEX(Setup!$L$6:$L$23,10)))+((W1067="")*(INDEX(Setup!$M$6:$M$23,10)="Y"))+((Y1067="")*(INDEX(Setup!$M$6:$M$23,10)="Y")))</f>
        <v/>
      </c>
      <c r="AC1067" s="91">
        <f>IF($B1067="","",IF(AB1067=0,"✓ covered","⚠ "&amp;AB1067&amp;IF(AB1067=1," gap"," gaps")))</f>
        <v/>
      </c>
    </row>
    <row r="1068" ht="17" customHeight="1">
      <c r="A1068" t="n">
        <v>22</v>
      </c>
      <c r="B1068" s="24">
        <f>IF(Setup!$K$16="","",Setup!$K$16)</f>
        <v/>
      </c>
      <c r="C1068" s="88" t="n"/>
      <c r="D1068" s="88" t="n"/>
      <c r="E1068" s="88" t="n"/>
      <c r="F1068" s="89" t="n"/>
      <c r="G1068" s="88" t="n"/>
      <c r="H1068" s="88" t="n"/>
      <c r="I1068" s="88" t="n"/>
      <c r="J1068" s="89" t="n"/>
      <c r="K1068" s="88" t="n"/>
      <c r="L1068" s="88" t="n"/>
      <c r="M1068" s="88" t="n"/>
      <c r="N1068" s="89" t="n"/>
      <c r="O1068" s="88" t="n"/>
      <c r="P1068" s="88" t="n"/>
      <c r="Q1068" s="88" t="n"/>
      <c r="R1068" s="89" t="n"/>
      <c r="S1068" s="88" t="n"/>
      <c r="T1068" s="88" t="n"/>
      <c r="U1068" s="88" t="n"/>
      <c r="V1068" s="89" t="n"/>
      <c r="W1068" s="88" t="n"/>
      <c r="X1068" s="89" t="n"/>
      <c r="Y1068" s="88" t="n"/>
      <c r="Z1068" s="89" t="n"/>
      <c r="AB1068" s="25">
        <f>IF($B1068="","",(COUNTIF(C1068:E1068,"?*")&lt;N(INDEX(Setup!$L$6:$L$23,11)))+(COUNTIF(G1068:I1068,"?*")&lt;N(INDEX(Setup!$L$6:$L$23,11)))+(COUNTIF(K1068:M1068,"?*")&lt;N(INDEX(Setup!$L$6:$L$23,11)))+(COUNTIF(O1068:Q1068,"?*")&lt;N(INDEX(Setup!$L$6:$L$23,11)))+(COUNTIF(S1068:U1068,"?*")&lt;N(INDEX(Setup!$L$6:$L$23,11)))+((W1068="")*(INDEX(Setup!$M$6:$M$23,11)="Y"))+((Y1068="")*(INDEX(Setup!$M$6:$M$23,11)="Y")))</f>
        <v/>
      </c>
      <c r="AC1068" s="90">
        <f>IF($B1068="","",IF(AB1068=0,"✓ covered","⚠ "&amp;AB1068&amp;IF(AB1068=1," gap"," gaps")))</f>
        <v/>
      </c>
    </row>
    <row r="1069" ht="17" customHeight="1">
      <c r="A1069" t="n">
        <v>22</v>
      </c>
      <c r="B1069" s="29">
        <f>IF(Setup!$K$17="","",Setup!$K$17)</f>
        <v/>
      </c>
      <c r="C1069" s="88" t="n"/>
      <c r="D1069" s="88" t="n"/>
      <c r="E1069" s="88" t="n"/>
      <c r="F1069" s="89" t="n"/>
      <c r="G1069" s="88" t="n"/>
      <c r="H1069" s="88" t="n"/>
      <c r="I1069" s="88" t="n"/>
      <c r="J1069" s="89" t="n"/>
      <c r="K1069" s="88" t="n"/>
      <c r="L1069" s="88" t="n"/>
      <c r="M1069" s="88" t="n"/>
      <c r="N1069" s="89" t="n"/>
      <c r="O1069" s="88" t="n"/>
      <c r="P1069" s="88" t="n"/>
      <c r="Q1069" s="88" t="n"/>
      <c r="R1069" s="89" t="n"/>
      <c r="S1069" s="88" t="n"/>
      <c r="T1069" s="88" t="n"/>
      <c r="U1069" s="88" t="n"/>
      <c r="V1069" s="89" t="n"/>
      <c r="W1069" s="88" t="n"/>
      <c r="X1069" s="89" t="n"/>
      <c r="Y1069" s="88" t="n"/>
      <c r="Z1069" s="89" t="n"/>
      <c r="AB1069" s="30">
        <f>IF($B1069="","",(COUNTIF(C1069:E1069,"?*")&lt;N(INDEX(Setup!$L$6:$L$23,12)))+(COUNTIF(G1069:I1069,"?*")&lt;N(INDEX(Setup!$L$6:$L$23,12)))+(COUNTIF(K1069:M1069,"?*")&lt;N(INDEX(Setup!$L$6:$L$23,12)))+(COUNTIF(O1069:Q1069,"?*")&lt;N(INDEX(Setup!$L$6:$L$23,12)))+(COUNTIF(S1069:U1069,"?*")&lt;N(INDEX(Setup!$L$6:$L$23,12)))+((W1069="")*(INDEX(Setup!$M$6:$M$23,12)="Y"))+((Y1069="")*(INDEX(Setup!$M$6:$M$23,12)="Y")))</f>
        <v/>
      </c>
      <c r="AC1069" s="91">
        <f>IF($B1069="","",IF(AB1069=0,"✓ covered","⚠ "&amp;AB1069&amp;IF(AB1069=1," gap"," gaps")))</f>
        <v/>
      </c>
    </row>
    <row r="1070" ht="17" customHeight="1">
      <c r="A1070" t="n">
        <v>22</v>
      </c>
      <c r="B1070" s="24">
        <f>IF(Setup!$K$18="","",Setup!$K$18)</f>
        <v/>
      </c>
      <c r="C1070" s="88" t="n"/>
      <c r="D1070" s="88" t="n"/>
      <c r="E1070" s="88" t="n"/>
      <c r="F1070" s="89" t="n"/>
      <c r="G1070" s="88" t="n"/>
      <c r="H1070" s="88" t="n"/>
      <c r="I1070" s="88" t="n"/>
      <c r="J1070" s="89" t="n"/>
      <c r="K1070" s="88" t="n"/>
      <c r="L1070" s="88" t="n"/>
      <c r="M1070" s="88" t="n"/>
      <c r="N1070" s="89" t="n"/>
      <c r="O1070" s="88" t="n"/>
      <c r="P1070" s="88" t="n"/>
      <c r="Q1070" s="88" t="n"/>
      <c r="R1070" s="89" t="n"/>
      <c r="S1070" s="88" t="n"/>
      <c r="T1070" s="88" t="n"/>
      <c r="U1070" s="88" t="n"/>
      <c r="V1070" s="89" t="n"/>
      <c r="W1070" s="88" t="n"/>
      <c r="X1070" s="89" t="n"/>
      <c r="Y1070" s="88" t="n"/>
      <c r="Z1070" s="89" t="n"/>
      <c r="AB1070" s="25">
        <f>IF($B1070="","",(COUNTIF(C1070:E1070,"?*")&lt;N(INDEX(Setup!$L$6:$L$23,13)))+(COUNTIF(G1070:I1070,"?*")&lt;N(INDEX(Setup!$L$6:$L$23,13)))+(COUNTIF(K1070:M1070,"?*")&lt;N(INDEX(Setup!$L$6:$L$23,13)))+(COUNTIF(O1070:Q1070,"?*")&lt;N(INDEX(Setup!$L$6:$L$23,13)))+(COUNTIF(S1070:U1070,"?*")&lt;N(INDEX(Setup!$L$6:$L$23,13)))+((W1070="")*(INDEX(Setup!$M$6:$M$23,13)="Y"))+((Y1070="")*(INDEX(Setup!$M$6:$M$23,13)="Y")))</f>
        <v/>
      </c>
      <c r="AC1070" s="90">
        <f>IF($B1070="","",IF(AB1070=0,"✓ covered","⚠ "&amp;AB1070&amp;IF(AB1070=1," gap"," gaps")))</f>
        <v/>
      </c>
    </row>
    <row r="1071" ht="17" customHeight="1">
      <c r="A1071" t="n">
        <v>22</v>
      </c>
      <c r="B1071" s="29">
        <f>IF(Setup!$K$19="","",Setup!$K$19)</f>
        <v/>
      </c>
      <c r="C1071" s="88" t="n"/>
      <c r="D1071" s="88" t="n"/>
      <c r="E1071" s="88" t="n"/>
      <c r="F1071" s="89" t="n"/>
      <c r="G1071" s="88" t="n"/>
      <c r="H1071" s="88" t="n"/>
      <c r="I1071" s="88" t="n"/>
      <c r="J1071" s="89" t="n"/>
      <c r="K1071" s="88" t="n"/>
      <c r="L1071" s="88" t="n"/>
      <c r="M1071" s="88" t="n"/>
      <c r="N1071" s="89" t="n"/>
      <c r="O1071" s="88" t="n"/>
      <c r="P1071" s="88" t="n"/>
      <c r="Q1071" s="88" t="n"/>
      <c r="R1071" s="89" t="n"/>
      <c r="S1071" s="88" t="n"/>
      <c r="T1071" s="88" t="n"/>
      <c r="U1071" s="88" t="n"/>
      <c r="V1071" s="89" t="n"/>
      <c r="W1071" s="88" t="n"/>
      <c r="X1071" s="89" t="n"/>
      <c r="Y1071" s="88" t="n"/>
      <c r="Z1071" s="89" t="n"/>
      <c r="AB1071" s="30">
        <f>IF($B1071="","",(COUNTIF(C1071:E1071,"?*")&lt;N(INDEX(Setup!$L$6:$L$23,14)))+(COUNTIF(G1071:I1071,"?*")&lt;N(INDEX(Setup!$L$6:$L$23,14)))+(COUNTIF(K1071:M1071,"?*")&lt;N(INDEX(Setup!$L$6:$L$23,14)))+(COUNTIF(O1071:Q1071,"?*")&lt;N(INDEX(Setup!$L$6:$L$23,14)))+(COUNTIF(S1071:U1071,"?*")&lt;N(INDEX(Setup!$L$6:$L$23,14)))+((W1071="")*(INDEX(Setup!$M$6:$M$23,14)="Y"))+((Y1071="")*(INDEX(Setup!$M$6:$M$23,14)="Y")))</f>
        <v/>
      </c>
      <c r="AC1071" s="91">
        <f>IF($B1071="","",IF(AB1071=0,"✓ covered","⚠ "&amp;AB1071&amp;IF(AB1071=1," gap"," gaps")))</f>
        <v/>
      </c>
    </row>
    <row r="1072" ht="17" customHeight="1">
      <c r="A1072" t="n">
        <v>22</v>
      </c>
      <c r="B1072" s="24">
        <f>IF(Setup!$K$20="","",Setup!$K$20)</f>
        <v/>
      </c>
      <c r="C1072" s="88" t="n"/>
      <c r="D1072" s="88" t="n"/>
      <c r="E1072" s="88" t="n"/>
      <c r="F1072" s="89" t="n"/>
      <c r="G1072" s="88" t="n"/>
      <c r="H1072" s="88" t="n"/>
      <c r="I1072" s="88" t="n"/>
      <c r="J1072" s="89" t="n"/>
      <c r="K1072" s="88" t="n"/>
      <c r="L1072" s="88" t="n"/>
      <c r="M1072" s="88" t="n"/>
      <c r="N1072" s="89" t="n"/>
      <c r="O1072" s="88" t="n"/>
      <c r="P1072" s="88" t="n"/>
      <c r="Q1072" s="88" t="n"/>
      <c r="R1072" s="89" t="n"/>
      <c r="S1072" s="88" t="n"/>
      <c r="T1072" s="88" t="n"/>
      <c r="U1072" s="88" t="n"/>
      <c r="V1072" s="89" t="n"/>
      <c r="W1072" s="88" t="n"/>
      <c r="X1072" s="89" t="n"/>
      <c r="Y1072" s="88" t="n"/>
      <c r="Z1072" s="89" t="n"/>
      <c r="AB1072" s="25">
        <f>IF($B1072="","",(COUNTIF(C1072:E1072,"?*")&lt;N(INDEX(Setup!$L$6:$L$23,15)))+(COUNTIF(G1072:I1072,"?*")&lt;N(INDEX(Setup!$L$6:$L$23,15)))+(COUNTIF(K1072:M1072,"?*")&lt;N(INDEX(Setup!$L$6:$L$23,15)))+(COUNTIF(O1072:Q1072,"?*")&lt;N(INDEX(Setup!$L$6:$L$23,15)))+(COUNTIF(S1072:U1072,"?*")&lt;N(INDEX(Setup!$L$6:$L$23,15)))+((W1072="")*(INDEX(Setup!$M$6:$M$23,15)="Y"))+((Y1072="")*(INDEX(Setup!$M$6:$M$23,15)="Y")))</f>
        <v/>
      </c>
      <c r="AC1072" s="90">
        <f>IF($B1072="","",IF(AB1072=0,"✓ covered","⚠ "&amp;AB1072&amp;IF(AB1072=1," gap"," gaps")))</f>
        <v/>
      </c>
    </row>
    <row r="1073" ht="17" customHeight="1">
      <c r="A1073" t="n">
        <v>22</v>
      </c>
      <c r="B1073" s="29">
        <f>IF(Setup!$K$21="","",Setup!$K$21)</f>
        <v/>
      </c>
      <c r="C1073" s="88" t="n"/>
      <c r="D1073" s="88" t="n"/>
      <c r="E1073" s="88" t="n"/>
      <c r="F1073" s="89" t="n"/>
      <c r="G1073" s="88" t="n"/>
      <c r="H1073" s="88" t="n"/>
      <c r="I1073" s="88" t="n"/>
      <c r="J1073" s="89" t="n"/>
      <c r="K1073" s="88" t="n"/>
      <c r="L1073" s="88" t="n"/>
      <c r="M1073" s="88" t="n"/>
      <c r="N1073" s="89" t="n"/>
      <c r="O1073" s="88" t="n"/>
      <c r="P1073" s="88" t="n"/>
      <c r="Q1073" s="88" t="n"/>
      <c r="R1073" s="89" t="n"/>
      <c r="S1073" s="88" t="n"/>
      <c r="T1073" s="88" t="n"/>
      <c r="U1073" s="88" t="n"/>
      <c r="V1073" s="89" t="n"/>
      <c r="W1073" s="88" t="n"/>
      <c r="X1073" s="89" t="n"/>
      <c r="Y1073" s="88" t="n"/>
      <c r="Z1073" s="89" t="n"/>
      <c r="AB1073" s="30">
        <f>IF($B1073="","",(COUNTIF(C1073:E1073,"?*")&lt;N(INDEX(Setup!$L$6:$L$23,16)))+(COUNTIF(G1073:I1073,"?*")&lt;N(INDEX(Setup!$L$6:$L$23,16)))+(COUNTIF(K1073:M1073,"?*")&lt;N(INDEX(Setup!$L$6:$L$23,16)))+(COUNTIF(O1073:Q1073,"?*")&lt;N(INDEX(Setup!$L$6:$L$23,16)))+(COUNTIF(S1073:U1073,"?*")&lt;N(INDEX(Setup!$L$6:$L$23,16)))+((W1073="")*(INDEX(Setup!$M$6:$M$23,16)="Y"))+((Y1073="")*(INDEX(Setup!$M$6:$M$23,16)="Y")))</f>
        <v/>
      </c>
      <c r="AC1073" s="91">
        <f>IF($B1073="","",IF(AB1073=0,"✓ covered","⚠ "&amp;AB1073&amp;IF(AB1073=1," gap"," gaps")))</f>
        <v/>
      </c>
    </row>
    <row r="1074" ht="17" customHeight="1">
      <c r="A1074" t="n">
        <v>22</v>
      </c>
      <c r="B1074" s="24">
        <f>IF(Setup!$K$22="","",Setup!$K$22)</f>
        <v/>
      </c>
      <c r="C1074" s="88" t="n"/>
      <c r="D1074" s="88" t="n"/>
      <c r="E1074" s="88" t="n"/>
      <c r="F1074" s="89" t="n"/>
      <c r="G1074" s="88" t="n"/>
      <c r="H1074" s="88" t="n"/>
      <c r="I1074" s="88" t="n"/>
      <c r="J1074" s="89" t="n"/>
      <c r="K1074" s="88" t="n"/>
      <c r="L1074" s="88" t="n"/>
      <c r="M1074" s="88" t="n"/>
      <c r="N1074" s="89" t="n"/>
      <c r="O1074" s="88" t="n"/>
      <c r="P1074" s="88" t="n"/>
      <c r="Q1074" s="88" t="n"/>
      <c r="R1074" s="89" t="n"/>
      <c r="S1074" s="88" t="n"/>
      <c r="T1074" s="88" t="n"/>
      <c r="U1074" s="88" t="n"/>
      <c r="V1074" s="89" t="n"/>
      <c r="W1074" s="88" t="n"/>
      <c r="X1074" s="89" t="n"/>
      <c r="Y1074" s="88" t="n"/>
      <c r="Z1074" s="89" t="n"/>
      <c r="AB1074" s="25">
        <f>IF($B1074="","",(COUNTIF(C1074:E1074,"?*")&lt;N(INDEX(Setup!$L$6:$L$23,17)))+(COUNTIF(G1074:I1074,"?*")&lt;N(INDEX(Setup!$L$6:$L$23,17)))+(COUNTIF(K1074:M1074,"?*")&lt;N(INDEX(Setup!$L$6:$L$23,17)))+(COUNTIF(O1074:Q1074,"?*")&lt;N(INDEX(Setup!$L$6:$L$23,17)))+(COUNTIF(S1074:U1074,"?*")&lt;N(INDEX(Setup!$L$6:$L$23,17)))+((W1074="")*(INDEX(Setup!$M$6:$M$23,17)="Y"))+((Y1074="")*(INDEX(Setup!$M$6:$M$23,17)="Y")))</f>
        <v/>
      </c>
      <c r="AC1074" s="90">
        <f>IF($B1074="","",IF(AB1074=0,"✓ covered","⚠ "&amp;AB1074&amp;IF(AB1074=1," gap"," gaps")))</f>
        <v/>
      </c>
    </row>
    <row r="1075" ht="17" customHeight="1">
      <c r="A1075" t="n">
        <v>22</v>
      </c>
      <c r="B1075" s="29">
        <f>IF(Setup!$K$23="","",Setup!$K$23)</f>
        <v/>
      </c>
      <c r="C1075" s="88" t="n"/>
      <c r="D1075" s="88" t="n"/>
      <c r="E1075" s="88" t="n"/>
      <c r="F1075" s="89" t="n"/>
      <c r="G1075" s="88" t="n"/>
      <c r="H1075" s="88" t="n"/>
      <c r="I1075" s="88" t="n"/>
      <c r="J1075" s="89" t="n"/>
      <c r="K1075" s="88" t="n"/>
      <c r="L1075" s="88" t="n"/>
      <c r="M1075" s="88" t="n"/>
      <c r="N1075" s="89" t="n"/>
      <c r="O1075" s="88" t="n"/>
      <c r="P1075" s="88" t="n"/>
      <c r="Q1075" s="88" t="n"/>
      <c r="R1075" s="89" t="n"/>
      <c r="S1075" s="88" t="n"/>
      <c r="T1075" s="88" t="n"/>
      <c r="U1075" s="88" t="n"/>
      <c r="V1075" s="89" t="n"/>
      <c r="W1075" s="88" t="n"/>
      <c r="X1075" s="89" t="n"/>
      <c r="Y1075" s="88" t="n"/>
      <c r="Z1075" s="89" t="n"/>
      <c r="AB1075" s="30">
        <f>IF($B1075="","",(COUNTIF(C1075:E1075,"?*")&lt;N(INDEX(Setup!$L$6:$L$23,18)))+(COUNTIF(G1075:I1075,"?*")&lt;N(INDEX(Setup!$L$6:$L$23,18)))+(COUNTIF(K1075:M1075,"?*")&lt;N(INDEX(Setup!$L$6:$L$23,18)))+(COUNTIF(O1075:Q1075,"?*")&lt;N(INDEX(Setup!$L$6:$L$23,18)))+(COUNTIF(S1075:U1075,"?*")&lt;N(INDEX(Setup!$L$6:$L$23,18)))+((W1075="")*(INDEX(Setup!$M$6:$M$23,18)="Y"))+((Y1075="")*(INDEX(Setup!$M$6:$M$23,18)="Y")))</f>
        <v/>
      </c>
      <c r="AC1075" s="91">
        <f>IF($B1075="","",IF(AB1075=0,"✓ covered","⚠ "&amp;AB1075&amp;IF(AB1075=1," gap"," gaps")))</f>
        <v/>
      </c>
    </row>
    <row r="1076" ht="18" customHeight="1">
      <c r="A1076" t="n">
        <v>22</v>
      </c>
      <c r="B1076" s="78" t="inlineStr">
        <is>
          <t>TEAM AVAILABILITY</t>
        </is>
      </c>
      <c r="C1076" s="92" t="inlineStr">
        <is>
          <t>Mon</t>
        </is>
      </c>
      <c r="D1076" s="93" t="n"/>
      <c r="E1076" s="93" t="n"/>
      <c r="F1076" s="94" t="n"/>
      <c r="G1076" s="92" t="inlineStr">
        <is>
          <t>Tue</t>
        </is>
      </c>
      <c r="H1076" s="93" t="n"/>
      <c r="I1076" s="93" t="n"/>
      <c r="J1076" s="94" t="n"/>
      <c r="K1076" s="92" t="inlineStr">
        <is>
          <t>Wed</t>
        </is>
      </c>
      <c r="L1076" s="93" t="n"/>
      <c r="M1076" s="93" t="n"/>
      <c r="N1076" s="94" t="n"/>
      <c r="O1076" s="92" t="inlineStr">
        <is>
          <t>Thu</t>
        </is>
      </c>
      <c r="P1076" s="93" t="n"/>
      <c r="Q1076" s="93" t="n"/>
      <c r="R1076" s="94" t="n"/>
      <c r="S1076" s="92" t="inlineStr">
        <is>
          <t>Fri</t>
        </is>
      </c>
      <c r="T1076" s="93" t="n"/>
      <c r="U1076" s="93" t="n"/>
      <c r="V1076" s="94" t="n"/>
      <c r="W1076" s="95" t="inlineStr">
        <is>
          <t>Sat</t>
        </is>
      </c>
      <c r="X1076" s="96" t="n"/>
      <c r="Y1076" s="95" t="inlineStr">
        <is>
          <t>Sun</t>
        </is>
      </c>
      <c r="Z1076" s="96" t="n"/>
      <c r="AB1076" s="97" t="inlineStr">
        <is>
          <t>Days rostered</t>
        </is>
      </c>
      <c r="AC1076" s="97" t="inlineStr">
        <is>
          <t>Conflicts</t>
        </is>
      </c>
    </row>
    <row r="1077" ht="15" customHeight="1">
      <c r="A1077" t="n">
        <v>22</v>
      </c>
      <c r="B1077" s="35">
        <f>IF(Setup!$B$6="","",Setup!$B$6)</f>
        <v/>
      </c>
      <c r="C1077" s="98" t="inlineStr">
        <is>
          <t>HRA</t>
        </is>
      </c>
      <c r="D1077" s="99" t="n"/>
      <c r="E1077" s="99" t="n"/>
      <c r="F1077" s="100" t="n"/>
      <c r="G1077" s="98" t="n"/>
      <c r="H1077" s="99" t="n"/>
      <c r="I1077" s="99" t="n"/>
      <c r="J1077" s="100" t="n"/>
      <c r="K1077" s="98" t="n"/>
      <c r="L1077" s="99" t="n"/>
      <c r="M1077" s="99" t="n"/>
      <c r="N1077" s="100" t="n"/>
      <c r="O1077" s="98" t="n"/>
      <c r="P1077" s="99" t="n"/>
      <c r="Q1077" s="99" t="n"/>
      <c r="R1077" s="100" t="n"/>
      <c r="S1077" s="98" t="n"/>
      <c r="T1077" s="99" t="n"/>
      <c r="U1077" s="99" t="n"/>
      <c r="V1077" s="100" t="n"/>
      <c r="W1077" s="98" t="n"/>
      <c r="X1077" s="100" t="n"/>
      <c r="Y1077" s="98" t="n"/>
      <c r="Z1077" s="100" t="n"/>
      <c r="AB1077" s="101">
        <f>IF($B1077="","",(COUNTIF(C1058:E1075,$B1077)+COUNTIF(C1058:E1075,$B1077&amp;" ~*")&gt;0)+(COUNTIF(G1058:I1075,$B1077)+COUNTIF(G1058:I1075,$B1077&amp;" ~*")&gt;0)+(COUNTIF(K1058:M1075,$B1077)+COUNTIF(K1058:M1075,$B1077&amp;" ~*")&gt;0)+(COUNTIF(O1058:Q1075,$B1077)+COUNTIF(O1058:Q1075,$B1077&amp;" ~*")&gt;0)+(COUNTIF(S1058:U1075,$B1077)+COUNTIF(S1058:U1075,$B1077&amp;" ~*")&gt;0)+(COUNTIF(W1058:W1075,$B1077)+COUNTIF(W1058:W1075,$B1077&amp;" ~*")&gt;0)+(COUNTIF(Y1058:Y1075,$B1077)+COUNTIF(Y1058:Y1075,$B1077&amp;" ~*")&gt;0))</f>
        <v/>
      </c>
      <c r="AC1077" s="36">
        <f>IF($B1077="","",(IFERROR(INDEX(Setup!$G$33:$G$40,MATCH(C1077,Setup!$B$33:$B$40,0)),0)=1)*(COUNTIF(C1058:E1075,$B1077)+COUNTIF(C1058:E1075,$B1077&amp;" ~*")&gt;0)+(IFERROR(INDEX(Setup!$G$33:$G$40,MATCH(G1077,Setup!$B$33:$B$40,0)),0)=1)*(COUNTIF(G1058:I1075,$B1077)+COUNTIF(G1058:I1075,$B1077&amp;" ~*")&gt;0)+(IFERROR(INDEX(Setup!$G$33:$G$40,MATCH(K1077,Setup!$B$33:$B$40,0)),0)=1)*(COUNTIF(K1058:M1075,$B1077)+COUNTIF(K1058:M1075,$B1077&amp;" ~*")&gt;0)+(IFERROR(INDEX(Setup!$G$33:$G$40,MATCH(O1077,Setup!$B$33:$B$40,0)),0)=1)*(COUNTIF(O1058:Q1075,$B1077)+COUNTIF(O1058:Q1075,$B1077&amp;" ~*")&gt;0)+(IFERROR(INDEX(Setup!$G$33:$G$40,MATCH(S1077,Setup!$B$33:$B$40,0)),0)=1)*(COUNTIF(S1058:U1075,$B1077)+COUNTIF(S1058:U1075,$B1077&amp;" ~*")&gt;0)+(IFERROR(INDEX(Setup!$G$33:$G$40,MATCH(W1077,Setup!$B$33:$B$40,0)),0)=1)*(COUNTIF(W1058:W1075,$B1077)+COUNTIF(W1058:W1075,$B1077&amp;" ~*")&gt;0)+(IFERROR(INDEX(Setup!$G$33:$G$40,MATCH(Y1077,Setup!$B$33:$B$40,0)),0)=1)*(COUNTIF(Y1058:Y1075,$B1077)+COUNTIF(Y1058:Y1075,$B1077&amp;" ~*")&gt;0))</f>
        <v/>
      </c>
    </row>
    <row r="1078" ht="15" customHeight="1">
      <c r="A1078" t="n">
        <v>22</v>
      </c>
      <c r="B1078" s="37">
        <f>IF(Setup!$B$7="","",Setup!$B$7)</f>
        <v/>
      </c>
      <c r="C1078" s="102" t="n"/>
      <c r="D1078" s="103" t="n"/>
      <c r="E1078" s="103" t="n"/>
      <c r="F1078" s="104" t="n"/>
      <c r="G1078" s="102" t="n"/>
      <c r="H1078" s="103" t="n"/>
      <c r="I1078" s="103" t="n"/>
      <c r="J1078" s="104" t="n"/>
      <c r="K1078" s="102" t="n"/>
      <c r="L1078" s="103" t="n"/>
      <c r="M1078" s="103" t="n"/>
      <c r="N1078" s="104" t="n"/>
      <c r="O1078" s="102" t="n"/>
      <c r="P1078" s="103" t="n"/>
      <c r="Q1078" s="103" t="n"/>
      <c r="R1078" s="104" t="n"/>
      <c r="S1078" s="102" t="n"/>
      <c r="T1078" s="103" t="n"/>
      <c r="U1078" s="103" t="n"/>
      <c r="V1078" s="104" t="n"/>
      <c r="W1078" s="102" t="n"/>
      <c r="X1078" s="104" t="n"/>
      <c r="Y1078" s="102" t="n"/>
      <c r="Z1078" s="104" t="n"/>
      <c r="AB1078" s="105">
        <f>IF($B1078="","",(COUNTIF(C1058:E1075,$B1078)+COUNTIF(C1058:E1075,$B1078&amp;" ~*")&gt;0)+(COUNTIF(G1058:I1075,$B1078)+COUNTIF(G1058:I1075,$B1078&amp;" ~*")&gt;0)+(COUNTIF(K1058:M1075,$B1078)+COUNTIF(K1058:M1075,$B1078&amp;" ~*")&gt;0)+(COUNTIF(O1058:Q1075,$B1078)+COUNTIF(O1058:Q1075,$B1078&amp;" ~*")&gt;0)+(COUNTIF(S1058:U1075,$B1078)+COUNTIF(S1058:U1075,$B1078&amp;" ~*")&gt;0)+(COUNTIF(W1058:W1075,$B1078)+COUNTIF(W1058:W1075,$B1078&amp;" ~*")&gt;0)+(COUNTIF(Y1058:Y1075,$B1078)+COUNTIF(Y1058:Y1075,$B1078&amp;" ~*")&gt;0))</f>
        <v/>
      </c>
      <c r="AC1078" s="38">
        <f>IF($B1078="","",(IFERROR(INDEX(Setup!$G$33:$G$40,MATCH(C1078,Setup!$B$33:$B$40,0)),0)=1)*(COUNTIF(C1058:E1075,$B1078)+COUNTIF(C1058:E1075,$B1078&amp;" ~*")&gt;0)+(IFERROR(INDEX(Setup!$G$33:$G$40,MATCH(G1078,Setup!$B$33:$B$40,0)),0)=1)*(COUNTIF(G1058:I1075,$B1078)+COUNTIF(G1058:I1075,$B1078&amp;" ~*")&gt;0)+(IFERROR(INDEX(Setup!$G$33:$G$40,MATCH(K1078,Setup!$B$33:$B$40,0)),0)=1)*(COUNTIF(K1058:M1075,$B1078)+COUNTIF(K1058:M1075,$B1078&amp;" ~*")&gt;0)+(IFERROR(INDEX(Setup!$G$33:$G$40,MATCH(O1078,Setup!$B$33:$B$40,0)),0)=1)*(COUNTIF(O1058:Q1075,$B1078)+COUNTIF(O1058:Q1075,$B1078&amp;" ~*")&gt;0)+(IFERROR(INDEX(Setup!$G$33:$G$40,MATCH(S1078,Setup!$B$33:$B$40,0)),0)=1)*(COUNTIF(S1058:U1075,$B1078)+COUNTIF(S1058:U1075,$B1078&amp;" ~*")&gt;0)+(IFERROR(INDEX(Setup!$G$33:$G$40,MATCH(W1078,Setup!$B$33:$B$40,0)),0)=1)*(COUNTIF(W1058:W1075,$B1078)+COUNTIF(W1058:W1075,$B1078&amp;" ~*")&gt;0)+(IFERROR(INDEX(Setup!$G$33:$G$40,MATCH(Y1078,Setup!$B$33:$B$40,0)),0)=1)*(COUNTIF(Y1058:Y1075,$B1078)+COUNTIF(Y1058:Y1075,$B1078&amp;" ~*")&gt;0))</f>
        <v/>
      </c>
    </row>
    <row r="1079" ht="15" customHeight="1">
      <c r="A1079" t="n">
        <v>22</v>
      </c>
      <c r="B1079" s="35">
        <f>IF(Setup!$B$8="","",Setup!$B$8)</f>
        <v/>
      </c>
      <c r="C1079" s="98" t="n"/>
      <c r="D1079" s="99" t="n"/>
      <c r="E1079" s="99" t="n"/>
      <c r="F1079" s="100" t="n"/>
      <c r="G1079" s="98" t="n"/>
      <c r="H1079" s="99" t="n"/>
      <c r="I1079" s="99" t="n"/>
      <c r="J1079" s="100" t="n"/>
      <c r="K1079" s="98" t="n"/>
      <c r="L1079" s="99" t="n"/>
      <c r="M1079" s="99" t="n"/>
      <c r="N1079" s="100" t="n"/>
      <c r="O1079" s="98" t="n"/>
      <c r="P1079" s="99" t="n"/>
      <c r="Q1079" s="99" t="n"/>
      <c r="R1079" s="100" t="n"/>
      <c r="S1079" s="98" t="n"/>
      <c r="T1079" s="99" t="n"/>
      <c r="U1079" s="99" t="n"/>
      <c r="V1079" s="100" t="n"/>
      <c r="W1079" s="98" t="n"/>
      <c r="X1079" s="100" t="n"/>
      <c r="Y1079" s="98" t="n"/>
      <c r="Z1079" s="100" t="n"/>
      <c r="AB1079" s="101">
        <f>IF($B1079="","",(COUNTIF(C1058:E1075,$B1079)+COUNTIF(C1058:E1075,$B1079&amp;" ~*")&gt;0)+(COUNTIF(G1058:I1075,$B1079)+COUNTIF(G1058:I1075,$B1079&amp;" ~*")&gt;0)+(COUNTIF(K1058:M1075,$B1079)+COUNTIF(K1058:M1075,$B1079&amp;" ~*")&gt;0)+(COUNTIF(O1058:Q1075,$B1079)+COUNTIF(O1058:Q1075,$B1079&amp;" ~*")&gt;0)+(COUNTIF(S1058:U1075,$B1079)+COUNTIF(S1058:U1075,$B1079&amp;" ~*")&gt;0)+(COUNTIF(W1058:W1075,$B1079)+COUNTIF(W1058:W1075,$B1079&amp;" ~*")&gt;0)+(COUNTIF(Y1058:Y1075,$B1079)+COUNTIF(Y1058:Y1075,$B1079&amp;" ~*")&gt;0))</f>
        <v/>
      </c>
      <c r="AC1079" s="36">
        <f>IF($B1079="","",(IFERROR(INDEX(Setup!$G$33:$G$40,MATCH(C1079,Setup!$B$33:$B$40,0)),0)=1)*(COUNTIF(C1058:E1075,$B1079)+COUNTIF(C1058:E1075,$B1079&amp;" ~*")&gt;0)+(IFERROR(INDEX(Setup!$G$33:$G$40,MATCH(G1079,Setup!$B$33:$B$40,0)),0)=1)*(COUNTIF(G1058:I1075,$B1079)+COUNTIF(G1058:I1075,$B1079&amp;" ~*")&gt;0)+(IFERROR(INDEX(Setup!$G$33:$G$40,MATCH(K1079,Setup!$B$33:$B$40,0)),0)=1)*(COUNTIF(K1058:M1075,$B1079)+COUNTIF(K1058:M1075,$B1079&amp;" ~*")&gt;0)+(IFERROR(INDEX(Setup!$G$33:$G$40,MATCH(O1079,Setup!$B$33:$B$40,0)),0)=1)*(COUNTIF(O1058:Q1075,$B1079)+COUNTIF(O1058:Q1075,$B1079&amp;" ~*")&gt;0)+(IFERROR(INDEX(Setup!$G$33:$G$40,MATCH(S1079,Setup!$B$33:$B$40,0)),0)=1)*(COUNTIF(S1058:U1075,$B1079)+COUNTIF(S1058:U1075,$B1079&amp;" ~*")&gt;0)+(IFERROR(INDEX(Setup!$G$33:$G$40,MATCH(W1079,Setup!$B$33:$B$40,0)),0)=1)*(COUNTIF(W1058:W1075,$B1079)+COUNTIF(W1058:W1075,$B1079&amp;" ~*")&gt;0)+(IFERROR(INDEX(Setup!$G$33:$G$40,MATCH(Y1079,Setup!$B$33:$B$40,0)),0)=1)*(COUNTIF(Y1058:Y1075,$B1079)+COUNTIF(Y1058:Y1075,$B1079&amp;" ~*")&gt;0))</f>
        <v/>
      </c>
    </row>
    <row r="1080" ht="15" customHeight="1">
      <c r="A1080" t="n">
        <v>22</v>
      </c>
      <c r="B1080" s="37">
        <f>IF(Setup!$B$9="","",Setup!$B$9)</f>
        <v/>
      </c>
      <c r="C1080" s="102" t="n"/>
      <c r="D1080" s="103" t="n"/>
      <c r="E1080" s="103" t="n"/>
      <c r="F1080" s="104" t="n"/>
      <c r="G1080" s="102" t="inlineStr">
        <is>
          <t>AL</t>
        </is>
      </c>
      <c r="H1080" s="103" t="n"/>
      <c r="I1080" s="103" t="n"/>
      <c r="J1080" s="104" t="n"/>
      <c r="K1080" s="102" t="inlineStr">
        <is>
          <t>AL</t>
        </is>
      </c>
      <c r="L1080" s="103" t="n"/>
      <c r="M1080" s="103" t="n"/>
      <c r="N1080" s="104" t="n"/>
      <c r="O1080" s="102" t="inlineStr">
        <is>
          <t>AL</t>
        </is>
      </c>
      <c r="P1080" s="103" t="n"/>
      <c r="Q1080" s="103" t="n"/>
      <c r="R1080" s="104" t="n"/>
      <c r="S1080" s="102" t="inlineStr">
        <is>
          <t>AL</t>
        </is>
      </c>
      <c r="T1080" s="103" t="n"/>
      <c r="U1080" s="103" t="n"/>
      <c r="V1080" s="104" t="n"/>
      <c r="W1080" s="102" t="n"/>
      <c r="X1080" s="104" t="n"/>
      <c r="Y1080" s="102" t="n"/>
      <c r="Z1080" s="104" t="n"/>
      <c r="AB1080" s="105">
        <f>IF($B1080="","",(COUNTIF(C1058:E1075,$B1080)+COUNTIF(C1058:E1075,$B1080&amp;" ~*")&gt;0)+(COUNTIF(G1058:I1075,$B1080)+COUNTIF(G1058:I1075,$B1080&amp;" ~*")&gt;0)+(COUNTIF(K1058:M1075,$B1080)+COUNTIF(K1058:M1075,$B1080&amp;" ~*")&gt;0)+(COUNTIF(O1058:Q1075,$B1080)+COUNTIF(O1058:Q1075,$B1080&amp;" ~*")&gt;0)+(COUNTIF(S1058:U1075,$B1080)+COUNTIF(S1058:U1075,$B1080&amp;" ~*")&gt;0)+(COUNTIF(W1058:W1075,$B1080)+COUNTIF(W1058:W1075,$B1080&amp;" ~*")&gt;0)+(COUNTIF(Y1058:Y1075,$B1080)+COUNTIF(Y1058:Y1075,$B1080&amp;" ~*")&gt;0))</f>
        <v/>
      </c>
      <c r="AC1080" s="38">
        <f>IF($B1080="","",(IFERROR(INDEX(Setup!$G$33:$G$40,MATCH(C1080,Setup!$B$33:$B$40,0)),0)=1)*(COUNTIF(C1058:E1075,$B1080)+COUNTIF(C1058:E1075,$B1080&amp;" ~*")&gt;0)+(IFERROR(INDEX(Setup!$G$33:$G$40,MATCH(G1080,Setup!$B$33:$B$40,0)),0)=1)*(COUNTIF(G1058:I1075,$B1080)+COUNTIF(G1058:I1075,$B1080&amp;" ~*")&gt;0)+(IFERROR(INDEX(Setup!$G$33:$G$40,MATCH(K1080,Setup!$B$33:$B$40,0)),0)=1)*(COUNTIF(K1058:M1075,$B1080)+COUNTIF(K1058:M1075,$B1080&amp;" ~*")&gt;0)+(IFERROR(INDEX(Setup!$G$33:$G$40,MATCH(O1080,Setup!$B$33:$B$40,0)),0)=1)*(COUNTIF(O1058:Q1075,$B1080)+COUNTIF(O1058:Q1075,$B1080&amp;" ~*")&gt;0)+(IFERROR(INDEX(Setup!$G$33:$G$40,MATCH(S1080,Setup!$B$33:$B$40,0)),0)=1)*(COUNTIF(S1058:U1075,$B1080)+COUNTIF(S1058:U1075,$B1080&amp;" ~*")&gt;0)+(IFERROR(INDEX(Setup!$G$33:$G$40,MATCH(W1080,Setup!$B$33:$B$40,0)),0)=1)*(COUNTIF(W1058:W1075,$B1080)+COUNTIF(W1058:W1075,$B1080&amp;" ~*")&gt;0)+(IFERROR(INDEX(Setup!$G$33:$G$40,MATCH(Y1080,Setup!$B$33:$B$40,0)),0)=1)*(COUNTIF(Y1058:Y1075,$B1080)+COUNTIF(Y1058:Y1075,$B1080&amp;" ~*")&gt;0))</f>
        <v/>
      </c>
    </row>
    <row r="1081" ht="15" customHeight="1">
      <c r="A1081" t="n">
        <v>22</v>
      </c>
      <c r="B1081" s="35">
        <f>IF(Setup!$B$10="","",Setup!$B$10)</f>
        <v/>
      </c>
      <c r="C1081" s="98" t="n"/>
      <c r="D1081" s="99" t="n"/>
      <c r="E1081" s="99" t="n"/>
      <c r="F1081" s="100" t="n"/>
      <c r="G1081" s="98" t="n"/>
      <c r="H1081" s="99" t="n"/>
      <c r="I1081" s="99" t="n"/>
      <c r="J1081" s="100" t="n"/>
      <c r="K1081" s="98" t="n"/>
      <c r="L1081" s="99" t="n"/>
      <c r="M1081" s="99" t="n"/>
      <c r="N1081" s="100" t="n"/>
      <c r="O1081" s="98" t="n"/>
      <c r="P1081" s="99" t="n"/>
      <c r="Q1081" s="99" t="n"/>
      <c r="R1081" s="100" t="n"/>
      <c r="S1081" s="98" t="n"/>
      <c r="T1081" s="99" t="n"/>
      <c r="U1081" s="99" t="n"/>
      <c r="V1081" s="100" t="n"/>
      <c r="W1081" s="98" t="n"/>
      <c r="X1081" s="100" t="n"/>
      <c r="Y1081" s="98" t="n"/>
      <c r="Z1081" s="100" t="n"/>
      <c r="AB1081" s="101">
        <f>IF($B1081="","",(COUNTIF(C1058:E1075,$B1081)+COUNTIF(C1058:E1075,$B1081&amp;" ~*")&gt;0)+(COUNTIF(G1058:I1075,$B1081)+COUNTIF(G1058:I1075,$B1081&amp;" ~*")&gt;0)+(COUNTIF(K1058:M1075,$B1081)+COUNTIF(K1058:M1075,$B1081&amp;" ~*")&gt;0)+(COUNTIF(O1058:Q1075,$B1081)+COUNTIF(O1058:Q1075,$B1081&amp;" ~*")&gt;0)+(COUNTIF(S1058:U1075,$B1081)+COUNTIF(S1058:U1075,$B1081&amp;" ~*")&gt;0)+(COUNTIF(W1058:W1075,$B1081)+COUNTIF(W1058:W1075,$B1081&amp;" ~*")&gt;0)+(COUNTIF(Y1058:Y1075,$B1081)+COUNTIF(Y1058:Y1075,$B1081&amp;" ~*")&gt;0))</f>
        <v/>
      </c>
      <c r="AC1081" s="36">
        <f>IF($B1081="","",(IFERROR(INDEX(Setup!$G$33:$G$40,MATCH(C1081,Setup!$B$33:$B$40,0)),0)=1)*(COUNTIF(C1058:E1075,$B1081)+COUNTIF(C1058:E1075,$B1081&amp;" ~*")&gt;0)+(IFERROR(INDEX(Setup!$G$33:$G$40,MATCH(G1081,Setup!$B$33:$B$40,0)),0)=1)*(COUNTIF(G1058:I1075,$B1081)+COUNTIF(G1058:I1075,$B1081&amp;" ~*")&gt;0)+(IFERROR(INDEX(Setup!$G$33:$G$40,MATCH(K1081,Setup!$B$33:$B$40,0)),0)=1)*(COUNTIF(K1058:M1075,$B1081)+COUNTIF(K1058:M1075,$B1081&amp;" ~*")&gt;0)+(IFERROR(INDEX(Setup!$G$33:$G$40,MATCH(O1081,Setup!$B$33:$B$40,0)),0)=1)*(COUNTIF(O1058:Q1075,$B1081)+COUNTIF(O1058:Q1075,$B1081&amp;" ~*")&gt;0)+(IFERROR(INDEX(Setup!$G$33:$G$40,MATCH(S1081,Setup!$B$33:$B$40,0)),0)=1)*(COUNTIF(S1058:U1075,$B1081)+COUNTIF(S1058:U1075,$B1081&amp;" ~*")&gt;0)+(IFERROR(INDEX(Setup!$G$33:$G$40,MATCH(W1081,Setup!$B$33:$B$40,0)),0)=1)*(COUNTIF(W1058:W1075,$B1081)+COUNTIF(W1058:W1075,$B1081&amp;" ~*")&gt;0)+(IFERROR(INDEX(Setup!$G$33:$G$40,MATCH(Y1081,Setup!$B$33:$B$40,0)),0)=1)*(COUNTIF(Y1058:Y1075,$B1081)+COUNTIF(Y1058:Y1075,$B1081&amp;" ~*")&gt;0))</f>
        <v/>
      </c>
    </row>
    <row r="1082" ht="15" customHeight="1">
      <c r="A1082" t="n">
        <v>22</v>
      </c>
      <c r="B1082" s="37">
        <f>IF(Setup!$B$11="","",Setup!$B$11)</f>
        <v/>
      </c>
      <c r="C1082" s="102" t="n"/>
      <c r="D1082" s="103" t="n"/>
      <c r="E1082" s="103" t="n"/>
      <c r="F1082" s="104" t="n"/>
      <c r="G1082" s="102" t="n"/>
      <c r="H1082" s="103" t="n"/>
      <c r="I1082" s="103" t="n"/>
      <c r="J1082" s="104" t="n"/>
      <c r="K1082" s="102" t="n"/>
      <c r="L1082" s="103" t="n"/>
      <c r="M1082" s="103" t="n"/>
      <c r="N1082" s="104" t="n"/>
      <c r="O1082" s="102" t="n"/>
      <c r="P1082" s="103" t="n"/>
      <c r="Q1082" s="103" t="n"/>
      <c r="R1082" s="104" t="n"/>
      <c r="S1082" s="102" t="n"/>
      <c r="T1082" s="103" t="n"/>
      <c r="U1082" s="103" t="n"/>
      <c r="V1082" s="104" t="n"/>
      <c r="W1082" s="102" t="n"/>
      <c r="X1082" s="104" t="n"/>
      <c r="Y1082" s="102" t="n"/>
      <c r="Z1082" s="104" t="n"/>
      <c r="AB1082" s="105">
        <f>IF($B1082="","",(COUNTIF(C1058:E1075,$B1082)+COUNTIF(C1058:E1075,$B1082&amp;" ~*")&gt;0)+(COUNTIF(G1058:I1075,$B1082)+COUNTIF(G1058:I1075,$B1082&amp;" ~*")&gt;0)+(COUNTIF(K1058:M1075,$B1082)+COUNTIF(K1058:M1075,$B1082&amp;" ~*")&gt;0)+(COUNTIF(O1058:Q1075,$B1082)+COUNTIF(O1058:Q1075,$B1082&amp;" ~*")&gt;0)+(COUNTIF(S1058:U1075,$B1082)+COUNTIF(S1058:U1075,$B1082&amp;" ~*")&gt;0)+(COUNTIF(W1058:W1075,$B1082)+COUNTIF(W1058:W1075,$B1082&amp;" ~*")&gt;0)+(COUNTIF(Y1058:Y1075,$B1082)+COUNTIF(Y1058:Y1075,$B1082&amp;" ~*")&gt;0))</f>
        <v/>
      </c>
      <c r="AC1082" s="38">
        <f>IF($B1082="","",(IFERROR(INDEX(Setup!$G$33:$G$40,MATCH(C1082,Setup!$B$33:$B$40,0)),0)=1)*(COUNTIF(C1058:E1075,$B1082)+COUNTIF(C1058:E1075,$B1082&amp;" ~*")&gt;0)+(IFERROR(INDEX(Setup!$G$33:$G$40,MATCH(G1082,Setup!$B$33:$B$40,0)),0)=1)*(COUNTIF(G1058:I1075,$B1082)+COUNTIF(G1058:I1075,$B1082&amp;" ~*")&gt;0)+(IFERROR(INDEX(Setup!$G$33:$G$40,MATCH(K1082,Setup!$B$33:$B$40,0)),0)=1)*(COUNTIF(K1058:M1075,$B1082)+COUNTIF(K1058:M1075,$B1082&amp;" ~*")&gt;0)+(IFERROR(INDEX(Setup!$G$33:$G$40,MATCH(O1082,Setup!$B$33:$B$40,0)),0)=1)*(COUNTIF(O1058:Q1075,$B1082)+COUNTIF(O1058:Q1075,$B1082&amp;" ~*")&gt;0)+(IFERROR(INDEX(Setup!$G$33:$G$40,MATCH(S1082,Setup!$B$33:$B$40,0)),0)=1)*(COUNTIF(S1058:U1075,$B1082)+COUNTIF(S1058:U1075,$B1082&amp;" ~*")&gt;0)+(IFERROR(INDEX(Setup!$G$33:$G$40,MATCH(W1082,Setup!$B$33:$B$40,0)),0)=1)*(COUNTIF(W1058:W1075,$B1082)+COUNTIF(W1058:W1075,$B1082&amp;" ~*")&gt;0)+(IFERROR(INDEX(Setup!$G$33:$G$40,MATCH(Y1082,Setup!$B$33:$B$40,0)),0)=1)*(COUNTIF(Y1058:Y1075,$B1082)+COUNTIF(Y1058:Y1075,$B1082&amp;" ~*")&gt;0))</f>
        <v/>
      </c>
    </row>
    <row r="1083" ht="15" customHeight="1">
      <c r="A1083" t="n">
        <v>22</v>
      </c>
      <c r="B1083" s="35">
        <f>IF(Setup!$B$12="","",Setup!$B$12)</f>
        <v/>
      </c>
      <c r="C1083" s="98" t="n"/>
      <c r="D1083" s="99" t="n"/>
      <c r="E1083" s="99" t="n"/>
      <c r="F1083" s="100" t="n"/>
      <c r="G1083" s="98" t="inlineStr">
        <is>
          <t>AL</t>
        </is>
      </c>
      <c r="H1083" s="99" t="n"/>
      <c r="I1083" s="99" t="n"/>
      <c r="J1083" s="100" t="n"/>
      <c r="K1083" s="98" t="inlineStr">
        <is>
          <t>AL</t>
        </is>
      </c>
      <c r="L1083" s="99" t="n"/>
      <c r="M1083" s="99" t="n"/>
      <c r="N1083" s="100" t="n"/>
      <c r="O1083" s="98" t="inlineStr">
        <is>
          <t>AL</t>
        </is>
      </c>
      <c r="P1083" s="99" t="n"/>
      <c r="Q1083" s="99" t="n"/>
      <c r="R1083" s="100" t="n"/>
      <c r="S1083" s="98" t="inlineStr">
        <is>
          <t>AL</t>
        </is>
      </c>
      <c r="T1083" s="99" t="n"/>
      <c r="U1083" s="99" t="n"/>
      <c r="V1083" s="100" t="n"/>
      <c r="W1083" s="98" t="n"/>
      <c r="X1083" s="100" t="n"/>
      <c r="Y1083" s="98" t="n"/>
      <c r="Z1083" s="100" t="n"/>
      <c r="AB1083" s="101">
        <f>IF($B1083="","",(COUNTIF(C1058:E1075,$B1083)+COUNTIF(C1058:E1075,$B1083&amp;" ~*")&gt;0)+(COUNTIF(G1058:I1075,$B1083)+COUNTIF(G1058:I1075,$B1083&amp;" ~*")&gt;0)+(COUNTIF(K1058:M1075,$B1083)+COUNTIF(K1058:M1075,$B1083&amp;" ~*")&gt;0)+(COUNTIF(O1058:Q1075,$B1083)+COUNTIF(O1058:Q1075,$B1083&amp;" ~*")&gt;0)+(COUNTIF(S1058:U1075,$B1083)+COUNTIF(S1058:U1075,$B1083&amp;" ~*")&gt;0)+(COUNTIF(W1058:W1075,$B1083)+COUNTIF(W1058:W1075,$B1083&amp;" ~*")&gt;0)+(COUNTIF(Y1058:Y1075,$B1083)+COUNTIF(Y1058:Y1075,$B1083&amp;" ~*")&gt;0))</f>
        <v/>
      </c>
      <c r="AC1083" s="36">
        <f>IF($B1083="","",(IFERROR(INDEX(Setup!$G$33:$G$40,MATCH(C1083,Setup!$B$33:$B$40,0)),0)=1)*(COUNTIF(C1058:E1075,$B1083)+COUNTIF(C1058:E1075,$B1083&amp;" ~*")&gt;0)+(IFERROR(INDEX(Setup!$G$33:$G$40,MATCH(G1083,Setup!$B$33:$B$40,0)),0)=1)*(COUNTIF(G1058:I1075,$B1083)+COUNTIF(G1058:I1075,$B1083&amp;" ~*")&gt;0)+(IFERROR(INDEX(Setup!$G$33:$G$40,MATCH(K1083,Setup!$B$33:$B$40,0)),0)=1)*(COUNTIF(K1058:M1075,$B1083)+COUNTIF(K1058:M1075,$B1083&amp;" ~*")&gt;0)+(IFERROR(INDEX(Setup!$G$33:$G$40,MATCH(O1083,Setup!$B$33:$B$40,0)),0)=1)*(COUNTIF(O1058:Q1075,$B1083)+COUNTIF(O1058:Q1075,$B1083&amp;" ~*")&gt;0)+(IFERROR(INDEX(Setup!$G$33:$G$40,MATCH(S1083,Setup!$B$33:$B$40,0)),0)=1)*(COUNTIF(S1058:U1075,$B1083)+COUNTIF(S1058:U1075,$B1083&amp;" ~*")&gt;0)+(IFERROR(INDEX(Setup!$G$33:$G$40,MATCH(W1083,Setup!$B$33:$B$40,0)),0)=1)*(COUNTIF(W1058:W1075,$B1083)+COUNTIF(W1058:W1075,$B1083&amp;" ~*")&gt;0)+(IFERROR(INDEX(Setup!$G$33:$G$40,MATCH(Y1083,Setup!$B$33:$B$40,0)),0)=1)*(COUNTIF(Y1058:Y1075,$B1083)+COUNTIF(Y1058:Y1075,$B1083&amp;" ~*")&gt;0))</f>
        <v/>
      </c>
    </row>
    <row r="1084" ht="15" customHeight="1">
      <c r="A1084" t="n">
        <v>22</v>
      </c>
      <c r="B1084" s="37">
        <f>IF(Setup!$B$13="","",Setup!$B$13)</f>
        <v/>
      </c>
      <c r="C1084" s="102" t="n"/>
      <c r="D1084" s="103" t="n"/>
      <c r="E1084" s="103" t="n"/>
      <c r="F1084" s="104" t="n"/>
      <c r="G1084" s="102" t="n"/>
      <c r="H1084" s="103" t="n"/>
      <c r="I1084" s="103" t="n"/>
      <c r="J1084" s="104" t="n"/>
      <c r="K1084" s="102" t="n"/>
      <c r="L1084" s="103" t="n"/>
      <c r="M1084" s="103" t="n"/>
      <c r="N1084" s="104" t="n"/>
      <c r="O1084" s="102" t="n"/>
      <c r="P1084" s="103" t="n"/>
      <c r="Q1084" s="103" t="n"/>
      <c r="R1084" s="104" t="n"/>
      <c r="S1084" s="102" t="n"/>
      <c r="T1084" s="103" t="n"/>
      <c r="U1084" s="103" t="n"/>
      <c r="V1084" s="104" t="n"/>
      <c r="W1084" s="102" t="n"/>
      <c r="X1084" s="104" t="n"/>
      <c r="Y1084" s="102" t="n"/>
      <c r="Z1084" s="104" t="n"/>
      <c r="AB1084" s="105">
        <f>IF($B1084="","",(COUNTIF(C1058:E1075,$B1084)+COUNTIF(C1058:E1075,$B1084&amp;" ~*")&gt;0)+(COUNTIF(G1058:I1075,$B1084)+COUNTIF(G1058:I1075,$B1084&amp;" ~*")&gt;0)+(COUNTIF(K1058:M1075,$B1084)+COUNTIF(K1058:M1075,$B1084&amp;" ~*")&gt;0)+(COUNTIF(O1058:Q1075,$B1084)+COUNTIF(O1058:Q1075,$B1084&amp;" ~*")&gt;0)+(COUNTIF(S1058:U1075,$B1084)+COUNTIF(S1058:U1075,$B1084&amp;" ~*")&gt;0)+(COUNTIF(W1058:W1075,$B1084)+COUNTIF(W1058:W1075,$B1084&amp;" ~*")&gt;0)+(COUNTIF(Y1058:Y1075,$B1084)+COUNTIF(Y1058:Y1075,$B1084&amp;" ~*")&gt;0))</f>
        <v/>
      </c>
      <c r="AC1084" s="38">
        <f>IF($B1084="","",(IFERROR(INDEX(Setup!$G$33:$G$40,MATCH(C1084,Setup!$B$33:$B$40,0)),0)=1)*(COUNTIF(C1058:E1075,$B1084)+COUNTIF(C1058:E1075,$B1084&amp;" ~*")&gt;0)+(IFERROR(INDEX(Setup!$G$33:$G$40,MATCH(G1084,Setup!$B$33:$B$40,0)),0)=1)*(COUNTIF(G1058:I1075,$B1084)+COUNTIF(G1058:I1075,$B1084&amp;" ~*")&gt;0)+(IFERROR(INDEX(Setup!$G$33:$G$40,MATCH(K1084,Setup!$B$33:$B$40,0)),0)=1)*(COUNTIF(K1058:M1075,$B1084)+COUNTIF(K1058:M1075,$B1084&amp;" ~*")&gt;0)+(IFERROR(INDEX(Setup!$G$33:$G$40,MATCH(O1084,Setup!$B$33:$B$40,0)),0)=1)*(COUNTIF(O1058:Q1075,$B1084)+COUNTIF(O1058:Q1075,$B1084&amp;" ~*")&gt;0)+(IFERROR(INDEX(Setup!$G$33:$G$40,MATCH(S1084,Setup!$B$33:$B$40,0)),0)=1)*(COUNTIF(S1058:U1075,$B1084)+COUNTIF(S1058:U1075,$B1084&amp;" ~*")&gt;0)+(IFERROR(INDEX(Setup!$G$33:$G$40,MATCH(W1084,Setup!$B$33:$B$40,0)),0)=1)*(COUNTIF(W1058:W1075,$B1084)+COUNTIF(W1058:W1075,$B1084&amp;" ~*")&gt;0)+(IFERROR(INDEX(Setup!$G$33:$G$40,MATCH(Y1084,Setup!$B$33:$B$40,0)),0)=1)*(COUNTIF(Y1058:Y1075,$B1084)+COUNTIF(Y1058:Y1075,$B1084&amp;" ~*")&gt;0))</f>
        <v/>
      </c>
    </row>
    <row r="1085" ht="15" customHeight="1">
      <c r="A1085" t="n">
        <v>22</v>
      </c>
      <c r="B1085" s="35">
        <f>IF(Setup!$B$14="","",Setup!$B$14)</f>
        <v/>
      </c>
      <c r="C1085" s="98" t="n"/>
      <c r="D1085" s="99" t="n"/>
      <c r="E1085" s="99" t="n"/>
      <c r="F1085" s="100" t="n"/>
      <c r="G1085" s="98" t="n"/>
      <c r="H1085" s="99" t="n"/>
      <c r="I1085" s="99" t="n"/>
      <c r="J1085" s="100" t="n"/>
      <c r="K1085" s="98" t="n"/>
      <c r="L1085" s="99" t="n"/>
      <c r="M1085" s="99" t="n"/>
      <c r="N1085" s="100" t="n"/>
      <c r="O1085" s="98" t="n"/>
      <c r="P1085" s="99" t="n"/>
      <c r="Q1085" s="99" t="n"/>
      <c r="R1085" s="100" t="n"/>
      <c r="S1085" s="98" t="n"/>
      <c r="T1085" s="99" t="n"/>
      <c r="U1085" s="99" t="n"/>
      <c r="V1085" s="100" t="n"/>
      <c r="W1085" s="98" t="n"/>
      <c r="X1085" s="100" t="n"/>
      <c r="Y1085" s="98" t="n"/>
      <c r="Z1085" s="100" t="n"/>
      <c r="AB1085" s="101">
        <f>IF($B1085="","",(COUNTIF(C1058:E1075,$B1085)+COUNTIF(C1058:E1075,$B1085&amp;" ~*")&gt;0)+(COUNTIF(G1058:I1075,$B1085)+COUNTIF(G1058:I1075,$B1085&amp;" ~*")&gt;0)+(COUNTIF(K1058:M1075,$B1085)+COUNTIF(K1058:M1075,$B1085&amp;" ~*")&gt;0)+(COUNTIF(O1058:Q1075,$B1085)+COUNTIF(O1058:Q1075,$B1085&amp;" ~*")&gt;0)+(COUNTIF(S1058:U1075,$B1085)+COUNTIF(S1058:U1075,$B1085&amp;" ~*")&gt;0)+(COUNTIF(W1058:W1075,$B1085)+COUNTIF(W1058:W1075,$B1085&amp;" ~*")&gt;0)+(COUNTIF(Y1058:Y1075,$B1085)+COUNTIF(Y1058:Y1075,$B1085&amp;" ~*")&gt;0))</f>
        <v/>
      </c>
      <c r="AC1085" s="36">
        <f>IF($B1085="","",(IFERROR(INDEX(Setup!$G$33:$G$40,MATCH(C1085,Setup!$B$33:$B$40,0)),0)=1)*(COUNTIF(C1058:E1075,$B1085)+COUNTIF(C1058:E1075,$B1085&amp;" ~*")&gt;0)+(IFERROR(INDEX(Setup!$G$33:$G$40,MATCH(G1085,Setup!$B$33:$B$40,0)),0)=1)*(COUNTIF(G1058:I1075,$B1085)+COUNTIF(G1058:I1075,$B1085&amp;" ~*")&gt;0)+(IFERROR(INDEX(Setup!$G$33:$G$40,MATCH(K1085,Setup!$B$33:$B$40,0)),0)=1)*(COUNTIF(K1058:M1075,$B1085)+COUNTIF(K1058:M1075,$B1085&amp;" ~*")&gt;0)+(IFERROR(INDEX(Setup!$G$33:$G$40,MATCH(O1085,Setup!$B$33:$B$40,0)),0)=1)*(COUNTIF(O1058:Q1075,$B1085)+COUNTIF(O1058:Q1075,$B1085&amp;" ~*")&gt;0)+(IFERROR(INDEX(Setup!$G$33:$G$40,MATCH(S1085,Setup!$B$33:$B$40,0)),0)=1)*(COUNTIF(S1058:U1075,$B1085)+COUNTIF(S1058:U1075,$B1085&amp;" ~*")&gt;0)+(IFERROR(INDEX(Setup!$G$33:$G$40,MATCH(W1085,Setup!$B$33:$B$40,0)),0)=1)*(COUNTIF(W1058:W1075,$B1085)+COUNTIF(W1058:W1075,$B1085&amp;" ~*")&gt;0)+(IFERROR(INDEX(Setup!$G$33:$G$40,MATCH(Y1085,Setup!$B$33:$B$40,0)),0)=1)*(COUNTIF(Y1058:Y1075,$B1085)+COUNTIF(Y1058:Y1075,$B1085&amp;" ~*")&gt;0))</f>
        <v/>
      </c>
    </row>
    <row r="1086" ht="15" customHeight="1">
      <c r="A1086" t="n">
        <v>22</v>
      </c>
      <c r="B1086" s="37">
        <f>IF(Setup!$B$15="","",Setup!$B$15)</f>
        <v/>
      </c>
      <c r="C1086" s="102" t="n"/>
      <c r="D1086" s="103" t="n"/>
      <c r="E1086" s="103" t="n"/>
      <c r="F1086" s="104" t="n"/>
      <c r="G1086" s="102" t="n"/>
      <c r="H1086" s="103" t="n"/>
      <c r="I1086" s="103" t="n"/>
      <c r="J1086" s="104" t="n"/>
      <c r="K1086" s="102" t="n"/>
      <c r="L1086" s="103" t="n"/>
      <c r="M1086" s="103" t="n"/>
      <c r="N1086" s="104" t="n"/>
      <c r="O1086" s="102" t="n"/>
      <c r="P1086" s="103" t="n"/>
      <c r="Q1086" s="103" t="n"/>
      <c r="R1086" s="104" t="n"/>
      <c r="S1086" s="102" t="n"/>
      <c r="T1086" s="103" t="n"/>
      <c r="U1086" s="103" t="n"/>
      <c r="V1086" s="104" t="n"/>
      <c r="W1086" s="102" t="n"/>
      <c r="X1086" s="104" t="n"/>
      <c r="Y1086" s="102" t="n"/>
      <c r="Z1086" s="104" t="n"/>
      <c r="AB1086" s="105">
        <f>IF($B1086="","",(COUNTIF(C1058:E1075,$B1086)+COUNTIF(C1058:E1075,$B1086&amp;" ~*")&gt;0)+(COUNTIF(G1058:I1075,$B1086)+COUNTIF(G1058:I1075,$B1086&amp;" ~*")&gt;0)+(COUNTIF(K1058:M1075,$B1086)+COUNTIF(K1058:M1075,$B1086&amp;" ~*")&gt;0)+(COUNTIF(O1058:Q1075,$B1086)+COUNTIF(O1058:Q1075,$B1086&amp;" ~*")&gt;0)+(COUNTIF(S1058:U1075,$B1086)+COUNTIF(S1058:U1075,$B1086&amp;" ~*")&gt;0)+(COUNTIF(W1058:W1075,$B1086)+COUNTIF(W1058:W1075,$B1086&amp;" ~*")&gt;0)+(COUNTIF(Y1058:Y1075,$B1086)+COUNTIF(Y1058:Y1075,$B1086&amp;" ~*")&gt;0))</f>
        <v/>
      </c>
      <c r="AC1086" s="38">
        <f>IF($B1086="","",(IFERROR(INDEX(Setup!$G$33:$G$40,MATCH(C1086,Setup!$B$33:$B$40,0)),0)=1)*(COUNTIF(C1058:E1075,$B1086)+COUNTIF(C1058:E1075,$B1086&amp;" ~*")&gt;0)+(IFERROR(INDEX(Setup!$G$33:$G$40,MATCH(G1086,Setup!$B$33:$B$40,0)),0)=1)*(COUNTIF(G1058:I1075,$B1086)+COUNTIF(G1058:I1075,$B1086&amp;" ~*")&gt;0)+(IFERROR(INDEX(Setup!$G$33:$G$40,MATCH(K1086,Setup!$B$33:$B$40,0)),0)=1)*(COUNTIF(K1058:M1075,$B1086)+COUNTIF(K1058:M1075,$B1086&amp;" ~*")&gt;0)+(IFERROR(INDEX(Setup!$G$33:$G$40,MATCH(O1086,Setup!$B$33:$B$40,0)),0)=1)*(COUNTIF(O1058:Q1075,$B1086)+COUNTIF(O1058:Q1075,$B1086&amp;" ~*")&gt;0)+(IFERROR(INDEX(Setup!$G$33:$G$40,MATCH(S1086,Setup!$B$33:$B$40,0)),0)=1)*(COUNTIF(S1058:U1075,$B1086)+COUNTIF(S1058:U1075,$B1086&amp;" ~*")&gt;0)+(IFERROR(INDEX(Setup!$G$33:$G$40,MATCH(W1086,Setup!$B$33:$B$40,0)),0)=1)*(COUNTIF(W1058:W1075,$B1086)+COUNTIF(W1058:W1075,$B1086&amp;" ~*")&gt;0)+(IFERROR(INDEX(Setup!$G$33:$G$40,MATCH(Y1086,Setup!$B$33:$B$40,0)),0)=1)*(COUNTIF(Y1058:Y1075,$B1086)+COUNTIF(Y1058:Y1075,$B1086&amp;" ~*")&gt;0))</f>
        <v/>
      </c>
    </row>
    <row r="1087" ht="15" customHeight="1">
      <c r="A1087" t="n">
        <v>22</v>
      </c>
      <c r="B1087" s="35">
        <f>IF(Setup!$B$16="","",Setup!$B$16)</f>
        <v/>
      </c>
      <c r="C1087" s="98" t="n"/>
      <c r="D1087" s="99" t="n"/>
      <c r="E1087" s="99" t="n"/>
      <c r="F1087" s="100" t="n"/>
      <c r="G1087" s="98" t="n"/>
      <c r="H1087" s="99" t="n"/>
      <c r="I1087" s="99" t="n"/>
      <c r="J1087" s="100" t="n"/>
      <c r="K1087" s="98" t="n"/>
      <c r="L1087" s="99" t="n"/>
      <c r="M1087" s="99" t="n"/>
      <c r="N1087" s="100" t="n"/>
      <c r="O1087" s="98" t="n"/>
      <c r="P1087" s="99" t="n"/>
      <c r="Q1087" s="99" t="n"/>
      <c r="R1087" s="100" t="n"/>
      <c r="S1087" s="98" t="n"/>
      <c r="T1087" s="99" t="n"/>
      <c r="U1087" s="99" t="n"/>
      <c r="V1087" s="100" t="n"/>
      <c r="W1087" s="98" t="n"/>
      <c r="X1087" s="100" t="n"/>
      <c r="Y1087" s="98" t="n"/>
      <c r="Z1087" s="100" t="n"/>
      <c r="AB1087" s="101">
        <f>IF($B1087="","",(COUNTIF(C1058:E1075,$B1087)+COUNTIF(C1058:E1075,$B1087&amp;" ~*")&gt;0)+(COUNTIF(G1058:I1075,$B1087)+COUNTIF(G1058:I1075,$B1087&amp;" ~*")&gt;0)+(COUNTIF(K1058:M1075,$B1087)+COUNTIF(K1058:M1075,$B1087&amp;" ~*")&gt;0)+(COUNTIF(O1058:Q1075,$B1087)+COUNTIF(O1058:Q1075,$B1087&amp;" ~*")&gt;0)+(COUNTIF(S1058:U1075,$B1087)+COUNTIF(S1058:U1075,$B1087&amp;" ~*")&gt;0)+(COUNTIF(W1058:W1075,$B1087)+COUNTIF(W1058:W1075,$B1087&amp;" ~*")&gt;0)+(COUNTIF(Y1058:Y1075,$B1087)+COUNTIF(Y1058:Y1075,$B1087&amp;" ~*")&gt;0))</f>
        <v/>
      </c>
      <c r="AC1087" s="36">
        <f>IF($B1087="","",(IFERROR(INDEX(Setup!$G$33:$G$40,MATCH(C1087,Setup!$B$33:$B$40,0)),0)=1)*(COUNTIF(C1058:E1075,$B1087)+COUNTIF(C1058:E1075,$B1087&amp;" ~*")&gt;0)+(IFERROR(INDEX(Setup!$G$33:$G$40,MATCH(G1087,Setup!$B$33:$B$40,0)),0)=1)*(COUNTIF(G1058:I1075,$B1087)+COUNTIF(G1058:I1075,$B1087&amp;" ~*")&gt;0)+(IFERROR(INDEX(Setup!$G$33:$G$40,MATCH(K1087,Setup!$B$33:$B$40,0)),0)=1)*(COUNTIF(K1058:M1075,$B1087)+COUNTIF(K1058:M1075,$B1087&amp;" ~*")&gt;0)+(IFERROR(INDEX(Setup!$G$33:$G$40,MATCH(O1087,Setup!$B$33:$B$40,0)),0)=1)*(COUNTIF(O1058:Q1075,$B1087)+COUNTIF(O1058:Q1075,$B1087&amp;" ~*")&gt;0)+(IFERROR(INDEX(Setup!$G$33:$G$40,MATCH(S1087,Setup!$B$33:$B$40,0)),0)=1)*(COUNTIF(S1058:U1075,$B1087)+COUNTIF(S1058:U1075,$B1087&amp;" ~*")&gt;0)+(IFERROR(INDEX(Setup!$G$33:$G$40,MATCH(W1087,Setup!$B$33:$B$40,0)),0)=1)*(COUNTIF(W1058:W1075,$B1087)+COUNTIF(W1058:W1075,$B1087&amp;" ~*")&gt;0)+(IFERROR(INDEX(Setup!$G$33:$G$40,MATCH(Y1087,Setup!$B$33:$B$40,0)),0)=1)*(COUNTIF(Y1058:Y1075,$B1087)+COUNTIF(Y1058:Y1075,$B1087&amp;" ~*")&gt;0))</f>
        <v/>
      </c>
    </row>
    <row r="1088" ht="15" customHeight="1">
      <c r="A1088" t="n">
        <v>22</v>
      </c>
      <c r="B1088" s="37">
        <f>IF(Setup!$B$17="","",Setup!$B$17)</f>
        <v/>
      </c>
      <c r="C1088" s="102" t="n"/>
      <c r="D1088" s="103" t="n"/>
      <c r="E1088" s="103" t="n"/>
      <c r="F1088" s="104" t="n"/>
      <c r="G1088" s="102" t="n"/>
      <c r="H1088" s="103" t="n"/>
      <c r="I1088" s="103" t="n"/>
      <c r="J1088" s="104" t="n"/>
      <c r="K1088" s="102" t="n"/>
      <c r="L1088" s="103" t="n"/>
      <c r="M1088" s="103" t="n"/>
      <c r="N1088" s="104" t="n"/>
      <c r="O1088" s="102" t="n"/>
      <c r="P1088" s="103" t="n"/>
      <c r="Q1088" s="103" t="n"/>
      <c r="R1088" s="104" t="n"/>
      <c r="S1088" s="102" t="n"/>
      <c r="T1088" s="103" t="n"/>
      <c r="U1088" s="103" t="n"/>
      <c r="V1088" s="104" t="n"/>
      <c r="W1088" s="102" t="n"/>
      <c r="X1088" s="104" t="n"/>
      <c r="Y1088" s="102" t="n"/>
      <c r="Z1088" s="104" t="n"/>
      <c r="AB1088" s="105">
        <f>IF($B1088="","",(COUNTIF(C1058:E1075,$B1088)+COUNTIF(C1058:E1075,$B1088&amp;" ~*")&gt;0)+(COUNTIF(G1058:I1075,$B1088)+COUNTIF(G1058:I1075,$B1088&amp;" ~*")&gt;0)+(COUNTIF(K1058:M1075,$B1088)+COUNTIF(K1058:M1075,$B1088&amp;" ~*")&gt;0)+(COUNTIF(O1058:Q1075,$B1088)+COUNTIF(O1058:Q1075,$B1088&amp;" ~*")&gt;0)+(COUNTIF(S1058:U1075,$B1088)+COUNTIF(S1058:U1075,$B1088&amp;" ~*")&gt;0)+(COUNTIF(W1058:W1075,$B1088)+COUNTIF(W1058:W1075,$B1088&amp;" ~*")&gt;0)+(COUNTIF(Y1058:Y1075,$B1088)+COUNTIF(Y1058:Y1075,$B1088&amp;" ~*")&gt;0))</f>
        <v/>
      </c>
      <c r="AC1088" s="38">
        <f>IF($B1088="","",(IFERROR(INDEX(Setup!$G$33:$G$40,MATCH(C1088,Setup!$B$33:$B$40,0)),0)=1)*(COUNTIF(C1058:E1075,$B1088)+COUNTIF(C1058:E1075,$B1088&amp;" ~*")&gt;0)+(IFERROR(INDEX(Setup!$G$33:$G$40,MATCH(G1088,Setup!$B$33:$B$40,0)),0)=1)*(COUNTIF(G1058:I1075,$B1088)+COUNTIF(G1058:I1075,$B1088&amp;" ~*")&gt;0)+(IFERROR(INDEX(Setup!$G$33:$G$40,MATCH(K1088,Setup!$B$33:$B$40,0)),0)=1)*(COUNTIF(K1058:M1075,$B1088)+COUNTIF(K1058:M1075,$B1088&amp;" ~*")&gt;0)+(IFERROR(INDEX(Setup!$G$33:$G$40,MATCH(O1088,Setup!$B$33:$B$40,0)),0)=1)*(COUNTIF(O1058:Q1075,$B1088)+COUNTIF(O1058:Q1075,$B1088&amp;" ~*")&gt;0)+(IFERROR(INDEX(Setup!$G$33:$G$40,MATCH(S1088,Setup!$B$33:$B$40,0)),0)=1)*(COUNTIF(S1058:U1075,$B1088)+COUNTIF(S1058:U1075,$B1088&amp;" ~*")&gt;0)+(IFERROR(INDEX(Setup!$G$33:$G$40,MATCH(W1088,Setup!$B$33:$B$40,0)),0)=1)*(COUNTIF(W1058:W1075,$B1088)+COUNTIF(W1058:W1075,$B1088&amp;" ~*")&gt;0)+(IFERROR(INDEX(Setup!$G$33:$G$40,MATCH(Y1088,Setup!$B$33:$B$40,0)),0)=1)*(COUNTIF(Y1058:Y1075,$B1088)+COUNTIF(Y1058:Y1075,$B1088&amp;" ~*")&gt;0))</f>
        <v/>
      </c>
    </row>
    <row r="1089" ht="15" customHeight="1">
      <c r="A1089" t="n">
        <v>22</v>
      </c>
      <c r="B1089" s="35">
        <f>IF(Setup!$B$18="","",Setup!$B$18)</f>
        <v/>
      </c>
      <c r="C1089" s="98" t="n"/>
      <c r="D1089" s="99" t="n"/>
      <c r="E1089" s="99" t="n"/>
      <c r="F1089" s="100" t="n"/>
      <c r="G1089" s="98" t="n"/>
      <c r="H1089" s="99" t="n"/>
      <c r="I1089" s="99" t="n"/>
      <c r="J1089" s="100" t="n"/>
      <c r="K1089" s="98" t="n"/>
      <c r="L1089" s="99" t="n"/>
      <c r="M1089" s="99" t="n"/>
      <c r="N1089" s="100" t="n"/>
      <c r="O1089" s="98" t="n"/>
      <c r="P1089" s="99" t="n"/>
      <c r="Q1089" s="99" t="n"/>
      <c r="R1089" s="100" t="n"/>
      <c r="S1089" s="98" t="n"/>
      <c r="T1089" s="99" t="n"/>
      <c r="U1089" s="99" t="n"/>
      <c r="V1089" s="100" t="n"/>
      <c r="W1089" s="98" t="n"/>
      <c r="X1089" s="100" t="n"/>
      <c r="Y1089" s="98" t="n"/>
      <c r="Z1089" s="100" t="n"/>
      <c r="AB1089" s="101">
        <f>IF($B1089="","",(COUNTIF(C1058:E1075,$B1089)+COUNTIF(C1058:E1075,$B1089&amp;" ~*")&gt;0)+(COUNTIF(G1058:I1075,$B1089)+COUNTIF(G1058:I1075,$B1089&amp;" ~*")&gt;0)+(COUNTIF(K1058:M1075,$B1089)+COUNTIF(K1058:M1075,$B1089&amp;" ~*")&gt;0)+(COUNTIF(O1058:Q1075,$B1089)+COUNTIF(O1058:Q1075,$B1089&amp;" ~*")&gt;0)+(COUNTIF(S1058:U1075,$B1089)+COUNTIF(S1058:U1075,$B1089&amp;" ~*")&gt;0)+(COUNTIF(W1058:W1075,$B1089)+COUNTIF(W1058:W1075,$B1089&amp;" ~*")&gt;0)+(COUNTIF(Y1058:Y1075,$B1089)+COUNTIF(Y1058:Y1075,$B1089&amp;" ~*")&gt;0))</f>
        <v/>
      </c>
      <c r="AC1089" s="36">
        <f>IF($B1089="","",(IFERROR(INDEX(Setup!$G$33:$G$40,MATCH(C1089,Setup!$B$33:$B$40,0)),0)=1)*(COUNTIF(C1058:E1075,$B1089)+COUNTIF(C1058:E1075,$B1089&amp;" ~*")&gt;0)+(IFERROR(INDEX(Setup!$G$33:$G$40,MATCH(G1089,Setup!$B$33:$B$40,0)),0)=1)*(COUNTIF(G1058:I1075,$B1089)+COUNTIF(G1058:I1075,$B1089&amp;" ~*")&gt;0)+(IFERROR(INDEX(Setup!$G$33:$G$40,MATCH(K1089,Setup!$B$33:$B$40,0)),0)=1)*(COUNTIF(K1058:M1075,$B1089)+COUNTIF(K1058:M1075,$B1089&amp;" ~*")&gt;0)+(IFERROR(INDEX(Setup!$G$33:$G$40,MATCH(O1089,Setup!$B$33:$B$40,0)),0)=1)*(COUNTIF(O1058:Q1075,$B1089)+COUNTIF(O1058:Q1075,$B1089&amp;" ~*")&gt;0)+(IFERROR(INDEX(Setup!$G$33:$G$40,MATCH(S1089,Setup!$B$33:$B$40,0)),0)=1)*(COUNTIF(S1058:U1075,$B1089)+COUNTIF(S1058:U1075,$B1089&amp;" ~*")&gt;0)+(IFERROR(INDEX(Setup!$G$33:$G$40,MATCH(W1089,Setup!$B$33:$B$40,0)),0)=1)*(COUNTIF(W1058:W1075,$B1089)+COUNTIF(W1058:W1075,$B1089&amp;" ~*")&gt;0)+(IFERROR(INDEX(Setup!$G$33:$G$40,MATCH(Y1089,Setup!$B$33:$B$40,0)),0)=1)*(COUNTIF(Y1058:Y1075,$B1089)+COUNTIF(Y1058:Y1075,$B1089&amp;" ~*")&gt;0))</f>
        <v/>
      </c>
    </row>
    <row r="1090" ht="15" customHeight="1">
      <c r="A1090" t="n">
        <v>22</v>
      </c>
      <c r="B1090" s="37">
        <f>IF(Setup!$B$19="","",Setup!$B$19)</f>
        <v/>
      </c>
      <c r="C1090" s="102" t="n"/>
      <c r="D1090" s="103" t="n"/>
      <c r="E1090" s="103" t="n"/>
      <c r="F1090" s="104" t="n"/>
      <c r="G1090" s="102" t="n"/>
      <c r="H1090" s="103" t="n"/>
      <c r="I1090" s="103" t="n"/>
      <c r="J1090" s="104" t="n"/>
      <c r="K1090" s="102" t="n"/>
      <c r="L1090" s="103" t="n"/>
      <c r="M1090" s="103" t="n"/>
      <c r="N1090" s="104" t="n"/>
      <c r="O1090" s="102" t="n"/>
      <c r="P1090" s="103" t="n"/>
      <c r="Q1090" s="103" t="n"/>
      <c r="R1090" s="104" t="n"/>
      <c r="S1090" s="102" t="n"/>
      <c r="T1090" s="103" t="n"/>
      <c r="U1090" s="103" t="n"/>
      <c r="V1090" s="104" t="n"/>
      <c r="W1090" s="102" t="n"/>
      <c r="X1090" s="104" t="n"/>
      <c r="Y1090" s="102" t="n"/>
      <c r="Z1090" s="104" t="n"/>
      <c r="AB1090" s="105">
        <f>IF($B1090="","",(COUNTIF(C1058:E1075,$B1090)+COUNTIF(C1058:E1075,$B1090&amp;" ~*")&gt;0)+(COUNTIF(G1058:I1075,$B1090)+COUNTIF(G1058:I1075,$B1090&amp;" ~*")&gt;0)+(COUNTIF(K1058:M1075,$B1090)+COUNTIF(K1058:M1075,$B1090&amp;" ~*")&gt;0)+(COUNTIF(O1058:Q1075,$B1090)+COUNTIF(O1058:Q1075,$B1090&amp;" ~*")&gt;0)+(COUNTIF(S1058:U1075,$B1090)+COUNTIF(S1058:U1075,$B1090&amp;" ~*")&gt;0)+(COUNTIF(W1058:W1075,$B1090)+COUNTIF(W1058:W1075,$B1090&amp;" ~*")&gt;0)+(COUNTIF(Y1058:Y1075,$B1090)+COUNTIF(Y1058:Y1075,$B1090&amp;" ~*")&gt;0))</f>
        <v/>
      </c>
      <c r="AC1090" s="38">
        <f>IF($B1090="","",(IFERROR(INDEX(Setup!$G$33:$G$40,MATCH(C1090,Setup!$B$33:$B$40,0)),0)=1)*(COUNTIF(C1058:E1075,$B1090)+COUNTIF(C1058:E1075,$B1090&amp;" ~*")&gt;0)+(IFERROR(INDEX(Setup!$G$33:$G$40,MATCH(G1090,Setup!$B$33:$B$40,0)),0)=1)*(COUNTIF(G1058:I1075,$B1090)+COUNTIF(G1058:I1075,$B1090&amp;" ~*")&gt;0)+(IFERROR(INDEX(Setup!$G$33:$G$40,MATCH(K1090,Setup!$B$33:$B$40,0)),0)=1)*(COUNTIF(K1058:M1075,$B1090)+COUNTIF(K1058:M1075,$B1090&amp;" ~*")&gt;0)+(IFERROR(INDEX(Setup!$G$33:$G$40,MATCH(O1090,Setup!$B$33:$B$40,0)),0)=1)*(COUNTIF(O1058:Q1075,$B1090)+COUNTIF(O1058:Q1075,$B1090&amp;" ~*")&gt;0)+(IFERROR(INDEX(Setup!$G$33:$G$40,MATCH(S1090,Setup!$B$33:$B$40,0)),0)=1)*(COUNTIF(S1058:U1075,$B1090)+COUNTIF(S1058:U1075,$B1090&amp;" ~*")&gt;0)+(IFERROR(INDEX(Setup!$G$33:$G$40,MATCH(W1090,Setup!$B$33:$B$40,0)),0)=1)*(COUNTIF(W1058:W1075,$B1090)+COUNTIF(W1058:W1075,$B1090&amp;" ~*")&gt;0)+(IFERROR(INDEX(Setup!$G$33:$G$40,MATCH(Y1090,Setup!$B$33:$B$40,0)),0)=1)*(COUNTIF(Y1058:Y1075,$B1090)+COUNTIF(Y1058:Y1075,$B1090&amp;" ~*")&gt;0))</f>
        <v/>
      </c>
    </row>
    <row r="1091" ht="15" customHeight="1">
      <c r="A1091" t="n">
        <v>22</v>
      </c>
      <c r="B1091" s="35">
        <f>IF(Setup!$B$20="","",Setup!$B$20)</f>
        <v/>
      </c>
      <c r="C1091" s="98" t="n"/>
      <c r="D1091" s="99" t="n"/>
      <c r="E1091" s="99" t="n"/>
      <c r="F1091" s="100" t="n"/>
      <c r="G1091" s="98" t="n"/>
      <c r="H1091" s="99" t="n"/>
      <c r="I1091" s="99" t="n"/>
      <c r="J1091" s="100" t="n"/>
      <c r="K1091" s="98" t="n"/>
      <c r="L1091" s="99" t="n"/>
      <c r="M1091" s="99" t="n"/>
      <c r="N1091" s="100" t="n"/>
      <c r="O1091" s="98" t="n"/>
      <c r="P1091" s="99" t="n"/>
      <c r="Q1091" s="99" t="n"/>
      <c r="R1091" s="100" t="n"/>
      <c r="S1091" s="98" t="n"/>
      <c r="T1091" s="99" t="n"/>
      <c r="U1091" s="99" t="n"/>
      <c r="V1091" s="100" t="n"/>
      <c r="W1091" s="98" t="n"/>
      <c r="X1091" s="100" t="n"/>
      <c r="Y1091" s="98" t="n"/>
      <c r="Z1091" s="100" t="n"/>
      <c r="AB1091" s="101">
        <f>IF($B1091="","",(COUNTIF(C1058:E1075,$B1091)+COUNTIF(C1058:E1075,$B1091&amp;" ~*")&gt;0)+(COUNTIF(G1058:I1075,$B1091)+COUNTIF(G1058:I1075,$B1091&amp;" ~*")&gt;0)+(COUNTIF(K1058:M1075,$B1091)+COUNTIF(K1058:M1075,$B1091&amp;" ~*")&gt;0)+(COUNTIF(O1058:Q1075,$B1091)+COUNTIF(O1058:Q1075,$B1091&amp;" ~*")&gt;0)+(COUNTIF(S1058:U1075,$B1091)+COUNTIF(S1058:U1075,$B1091&amp;" ~*")&gt;0)+(COUNTIF(W1058:W1075,$B1091)+COUNTIF(W1058:W1075,$B1091&amp;" ~*")&gt;0)+(COUNTIF(Y1058:Y1075,$B1091)+COUNTIF(Y1058:Y1075,$B1091&amp;" ~*")&gt;0))</f>
        <v/>
      </c>
      <c r="AC1091" s="36">
        <f>IF($B1091="","",(IFERROR(INDEX(Setup!$G$33:$G$40,MATCH(C1091,Setup!$B$33:$B$40,0)),0)=1)*(COUNTIF(C1058:E1075,$B1091)+COUNTIF(C1058:E1075,$B1091&amp;" ~*")&gt;0)+(IFERROR(INDEX(Setup!$G$33:$G$40,MATCH(G1091,Setup!$B$33:$B$40,0)),0)=1)*(COUNTIF(G1058:I1075,$B1091)+COUNTIF(G1058:I1075,$B1091&amp;" ~*")&gt;0)+(IFERROR(INDEX(Setup!$G$33:$G$40,MATCH(K1091,Setup!$B$33:$B$40,0)),0)=1)*(COUNTIF(K1058:M1075,$B1091)+COUNTIF(K1058:M1075,$B1091&amp;" ~*")&gt;0)+(IFERROR(INDEX(Setup!$G$33:$G$40,MATCH(O1091,Setup!$B$33:$B$40,0)),0)=1)*(COUNTIF(O1058:Q1075,$B1091)+COUNTIF(O1058:Q1075,$B1091&amp;" ~*")&gt;0)+(IFERROR(INDEX(Setup!$G$33:$G$40,MATCH(S1091,Setup!$B$33:$B$40,0)),0)=1)*(COUNTIF(S1058:U1075,$B1091)+COUNTIF(S1058:U1075,$B1091&amp;" ~*")&gt;0)+(IFERROR(INDEX(Setup!$G$33:$G$40,MATCH(W1091,Setup!$B$33:$B$40,0)),0)=1)*(COUNTIF(W1058:W1075,$B1091)+COUNTIF(W1058:W1075,$B1091&amp;" ~*")&gt;0)+(IFERROR(INDEX(Setup!$G$33:$G$40,MATCH(Y1091,Setup!$B$33:$B$40,0)),0)=1)*(COUNTIF(Y1058:Y1075,$B1091)+COUNTIF(Y1058:Y1075,$B1091&amp;" ~*")&gt;0))</f>
        <v/>
      </c>
    </row>
    <row r="1092" ht="15" customHeight="1">
      <c r="A1092" t="n">
        <v>22</v>
      </c>
      <c r="B1092" s="37">
        <f>IF(Setup!$B$21="","",Setup!$B$21)</f>
        <v/>
      </c>
      <c r="C1092" s="102" t="n"/>
      <c r="D1092" s="103" t="n"/>
      <c r="E1092" s="103" t="n"/>
      <c r="F1092" s="104" t="n"/>
      <c r="G1092" s="102" t="inlineStr">
        <is>
          <t>AL</t>
        </is>
      </c>
      <c r="H1092" s="103" t="n"/>
      <c r="I1092" s="103" t="n"/>
      <c r="J1092" s="104" t="n"/>
      <c r="K1092" s="102" t="inlineStr">
        <is>
          <t>AL</t>
        </is>
      </c>
      <c r="L1092" s="103" t="n"/>
      <c r="M1092" s="103" t="n"/>
      <c r="N1092" s="104" t="n"/>
      <c r="O1092" s="102" t="inlineStr">
        <is>
          <t>AL</t>
        </is>
      </c>
      <c r="P1092" s="103" t="n"/>
      <c r="Q1092" s="103" t="n"/>
      <c r="R1092" s="104" t="n"/>
      <c r="S1092" s="102" t="inlineStr">
        <is>
          <t>AL</t>
        </is>
      </c>
      <c r="T1092" s="103" t="n"/>
      <c r="U1092" s="103" t="n"/>
      <c r="V1092" s="104" t="n"/>
      <c r="W1092" s="102" t="n"/>
      <c r="X1092" s="104" t="n"/>
      <c r="Y1092" s="102" t="n"/>
      <c r="Z1092" s="104" t="n"/>
      <c r="AB1092" s="105">
        <f>IF($B1092="","",(COUNTIF(C1058:E1075,$B1092)+COUNTIF(C1058:E1075,$B1092&amp;" ~*")&gt;0)+(COUNTIF(G1058:I1075,$B1092)+COUNTIF(G1058:I1075,$B1092&amp;" ~*")&gt;0)+(COUNTIF(K1058:M1075,$B1092)+COUNTIF(K1058:M1075,$B1092&amp;" ~*")&gt;0)+(COUNTIF(O1058:Q1075,$B1092)+COUNTIF(O1058:Q1075,$B1092&amp;" ~*")&gt;0)+(COUNTIF(S1058:U1075,$B1092)+COUNTIF(S1058:U1075,$B1092&amp;" ~*")&gt;0)+(COUNTIF(W1058:W1075,$B1092)+COUNTIF(W1058:W1075,$B1092&amp;" ~*")&gt;0)+(COUNTIF(Y1058:Y1075,$B1092)+COUNTIF(Y1058:Y1075,$B1092&amp;" ~*")&gt;0))</f>
        <v/>
      </c>
      <c r="AC1092" s="38">
        <f>IF($B1092="","",(IFERROR(INDEX(Setup!$G$33:$G$40,MATCH(C1092,Setup!$B$33:$B$40,0)),0)=1)*(COUNTIF(C1058:E1075,$B1092)+COUNTIF(C1058:E1075,$B1092&amp;" ~*")&gt;0)+(IFERROR(INDEX(Setup!$G$33:$G$40,MATCH(G1092,Setup!$B$33:$B$40,0)),0)=1)*(COUNTIF(G1058:I1075,$B1092)+COUNTIF(G1058:I1075,$B1092&amp;" ~*")&gt;0)+(IFERROR(INDEX(Setup!$G$33:$G$40,MATCH(K1092,Setup!$B$33:$B$40,0)),0)=1)*(COUNTIF(K1058:M1075,$B1092)+COUNTIF(K1058:M1075,$B1092&amp;" ~*")&gt;0)+(IFERROR(INDEX(Setup!$G$33:$G$40,MATCH(O1092,Setup!$B$33:$B$40,0)),0)=1)*(COUNTIF(O1058:Q1075,$B1092)+COUNTIF(O1058:Q1075,$B1092&amp;" ~*")&gt;0)+(IFERROR(INDEX(Setup!$G$33:$G$40,MATCH(S1092,Setup!$B$33:$B$40,0)),0)=1)*(COUNTIF(S1058:U1075,$B1092)+COUNTIF(S1058:U1075,$B1092&amp;" ~*")&gt;0)+(IFERROR(INDEX(Setup!$G$33:$G$40,MATCH(W1092,Setup!$B$33:$B$40,0)),0)=1)*(COUNTIF(W1058:W1075,$B1092)+COUNTIF(W1058:W1075,$B1092&amp;" ~*")&gt;0)+(IFERROR(INDEX(Setup!$G$33:$G$40,MATCH(Y1092,Setup!$B$33:$B$40,0)),0)=1)*(COUNTIF(Y1058:Y1075,$B1092)+COUNTIF(Y1058:Y1075,$B1092&amp;" ~*")&gt;0))</f>
        <v/>
      </c>
    </row>
    <row r="1093" ht="15" customHeight="1">
      <c r="A1093" t="n">
        <v>22</v>
      </c>
      <c r="B1093" s="35">
        <f>IF(Setup!$B$22="","",Setup!$B$22)</f>
        <v/>
      </c>
      <c r="C1093" s="98" t="n"/>
      <c r="D1093" s="99" t="n"/>
      <c r="E1093" s="99" t="n"/>
      <c r="F1093" s="100" t="n"/>
      <c r="G1093" s="98" t="n"/>
      <c r="H1093" s="99" t="n"/>
      <c r="I1093" s="99" t="n"/>
      <c r="J1093" s="100" t="n"/>
      <c r="K1093" s="98" t="n"/>
      <c r="L1093" s="99" t="n"/>
      <c r="M1093" s="99" t="n"/>
      <c r="N1093" s="100" t="n"/>
      <c r="O1093" s="98" t="n"/>
      <c r="P1093" s="99" t="n"/>
      <c r="Q1093" s="99" t="n"/>
      <c r="R1093" s="100" t="n"/>
      <c r="S1093" s="98" t="n"/>
      <c r="T1093" s="99" t="n"/>
      <c r="U1093" s="99" t="n"/>
      <c r="V1093" s="100" t="n"/>
      <c r="W1093" s="98" t="n"/>
      <c r="X1093" s="100" t="n"/>
      <c r="Y1093" s="98" t="n"/>
      <c r="Z1093" s="100" t="n"/>
      <c r="AB1093" s="101">
        <f>IF($B1093="","",(COUNTIF(C1058:E1075,$B1093)+COUNTIF(C1058:E1075,$B1093&amp;" ~*")&gt;0)+(COUNTIF(G1058:I1075,$B1093)+COUNTIF(G1058:I1075,$B1093&amp;" ~*")&gt;0)+(COUNTIF(K1058:M1075,$B1093)+COUNTIF(K1058:M1075,$B1093&amp;" ~*")&gt;0)+(COUNTIF(O1058:Q1075,$B1093)+COUNTIF(O1058:Q1075,$B1093&amp;" ~*")&gt;0)+(COUNTIF(S1058:U1075,$B1093)+COUNTIF(S1058:U1075,$B1093&amp;" ~*")&gt;0)+(COUNTIF(W1058:W1075,$B1093)+COUNTIF(W1058:W1075,$B1093&amp;" ~*")&gt;0)+(COUNTIF(Y1058:Y1075,$B1093)+COUNTIF(Y1058:Y1075,$B1093&amp;" ~*")&gt;0))</f>
        <v/>
      </c>
      <c r="AC1093" s="36">
        <f>IF($B1093="","",(IFERROR(INDEX(Setup!$G$33:$G$40,MATCH(C1093,Setup!$B$33:$B$40,0)),0)=1)*(COUNTIF(C1058:E1075,$B1093)+COUNTIF(C1058:E1075,$B1093&amp;" ~*")&gt;0)+(IFERROR(INDEX(Setup!$G$33:$G$40,MATCH(G1093,Setup!$B$33:$B$40,0)),0)=1)*(COUNTIF(G1058:I1075,$B1093)+COUNTIF(G1058:I1075,$B1093&amp;" ~*")&gt;0)+(IFERROR(INDEX(Setup!$G$33:$G$40,MATCH(K1093,Setup!$B$33:$B$40,0)),0)=1)*(COUNTIF(K1058:M1075,$B1093)+COUNTIF(K1058:M1075,$B1093&amp;" ~*")&gt;0)+(IFERROR(INDEX(Setup!$G$33:$G$40,MATCH(O1093,Setup!$B$33:$B$40,0)),0)=1)*(COUNTIF(O1058:Q1075,$B1093)+COUNTIF(O1058:Q1075,$B1093&amp;" ~*")&gt;0)+(IFERROR(INDEX(Setup!$G$33:$G$40,MATCH(S1093,Setup!$B$33:$B$40,0)),0)=1)*(COUNTIF(S1058:U1075,$B1093)+COUNTIF(S1058:U1075,$B1093&amp;" ~*")&gt;0)+(IFERROR(INDEX(Setup!$G$33:$G$40,MATCH(W1093,Setup!$B$33:$B$40,0)),0)=1)*(COUNTIF(W1058:W1075,$B1093)+COUNTIF(W1058:W1075,$B1093&amp;" ~*")&gt;0)+(IFERROR(INDEX(Setup!$G$33:$G$40,MATCH(Y1093,Setup!$B$33:$B$40,0)),0)=1)*(COUNTIF(Y1058:Y1075,$B1093)+COUNTIF(Y1058:Y1075,$B1093&amp;" ~*")&gt;0))</f>
        <v/>
      </c>
    </row>
    <row r="1094" ht="15" customHeight="1">
      <c r="A1094" t="n">
        <v>22</v>
      </c>
      <c r="B1094" s="37">
        <f>IF(Setup!$B$23="","",Setup!$B$23)</f>
        <v/>
      </c>
      <c r="C1094" s="102" t="n"/>
      <c r="D1094" s="103" t="n"/>
      <c r="E1094" s="103" t="n"/>
      <c r="F1094" s="104" t="n"/>
      <c r="G1094" s="102" t="n"/>
      <c r="H1094" s="103" t="n"/>
      <c r="I1094" s="103" t="n"/>
      <c r="J1094" s="104" t="n"/>
      <c r="K1094" s="102" t="n"/>
      <c r="L1094" s="103" t="n"/>
      <c r="M1094" s="103" t="n"/>
      <c r="N1094" s="104" t="n"/>
      <c r="O1094" s="102" t="n"/>
      <c r="P1094" s="103" t="n"/>
      <c r="Q1094" s="103" t="n"/>
      <c r="R1094" s="104" t="n"/>
      <c r="S1094" s="102" t="n"/>
      <c r="T1094" s="103" t="n"/>
      <c r="U1094" s="103" t="n"/>
      <c r="V1094" s="104" t="n"/>
      <c r="W1094" s="102" t="n"/>
      <c r="X1094" s="104" t="n"/>
      <c r="Y1094" s="102" t="n"/>
      <c r="Z1094" s="104" t="n"/>
      <c r="AB1094" s="105">
        <f>IF($B1094="","",(COUNTIF(C1058:E1075,$B1094)+COUNTIF(C1058:E1075,$B1094&amp;" ~*")&gt;0)+(COUNTIF(G1058:I1075,$B1094)+COUNTIF(G1058:I1075,$B1094&amp;" ~*")&gt;0)+(COUNTIF(K1058:M1075,$B1094)+COUNTIF(K1058:M1075,$B1094&amp;" ~*")&gt;0)+(COUNTIF(O1058:Q1075,$B1094)+COUNTIF(O1058:Q1075,$B1094&amp;" ~*")&gt;0)+(COUNTIF(S1058:U1075,$B1094)+COUNTIF(S1058:U1075,$B1094&amp;" ~*")&gt;0)+(COUNTIF(W1058:W1075,$B1094)+COUNTIF(W1058:W1075,$B1094&amp;" ~*")&gt;0)+(COUNTIF(Y1058:Y1075,$B1094)+COUNTIF(Y1058:Y1075,$B1094&amp;" ~*")&gt;0))</f>
        <v/>
      </c>
      <c r="AC1094" s="38">
        <f>IF($B1094="","",(IFERROR(INDEX(Setup!$G$33:$G$40,MATCH(C1094,Setup!$B$33:$B$40,0)),0)=1)*(COUNTIF(C1058:E1075,$B1094)+COUNTIF(C1058:E1075,$B1094&amp;" ~*")&gt;0)+(IFERROR(INDEX(Setup!$G$33:$G$40,MATCH(G1094,Setup!$B$33:$B$40,0)),0)=1)*(COUNTIF(G1058:I1075,$B1094)+COUNTIF(G1058:I1075,$B1094&amp;" ~*")&gt;0)+(IFERROR(INDEX(Setup!$G$33:$G$40,MATCH(K1094,Setup!$B$33:$B$40,0)),0)=1)*(COUNTIF(K1058:M1075,$B1094)+COUNTIF(K1058:M1075,$B1094&amp;" ~*")&gt;0)+(IFERROR(INDEX(Setup!$G$33:$G$40,MATCH(O1094,Setup!$B$33:$B$40,0)),0)=1)*(COUNTIF(O1058:Q1075,$B1094)+COUNTIF(O1058:Q1075,$B1094&amp;" ~*")&gt;0)+(IFERROR(INDEX(Setup!$G$33:$G$40,MATCH(S1094,Setup!$B$33:$B$40,0)),0)=1)*(COUNTIF(S1058:U1075,$B1094)+COUNTIF(S1058:U1075,$B1094&amp;" ~*")&gt;0)+(IFERROR(INDEX(Setup!$G$33:$G$40,MATCH(W1094,Setup!$B$33:$B$40,0)),0)=1)*(COUNTIF(W1058:W1075,$B1094)+COUNTIF(W1058:W1075,$B1094&amp;" ~*")&gt;0)+(IFERROR(INDEX(Setup!$G$33:$G$40,MATCH(Y1094,Setup!$B$33:$B$40,0)),0)=1)*(COUNTIF(Y1058:Y1075,$B1094)+COUNTIF(Y1058:Y1075,$B1094&amp;" ~*")&gt;0))</f>
        <v/>
      </c>
    </row>
    <row r="1095" ht="15" customHeight="1">
      <c r="A1095" t="n">
        <v>22</v>
      </c>
      <c r="B1095" s="35">
        <f>IF(Setup!$B$24="","",Setup!$B$24)</f>
        <v/>
      </c>
      <c r="C1095" s="98" t="n"/>
      <c r="D1095" s="99" t="n"/>
      <c r="E1095" s="99" t="n"/>
      <c r="F1095" s="100" t="n"/>
      <c r="G1095" s="98" t="n"/>
      <c r="H1095" s="99" t="n"/>
      <c r="I1095" s="99" t="n"/>
      <c r="J1095" s="100" t="n"/>
      <c r="K1095" s="98" t="n"/>
      <c r="L1095" s="99" t="n"/>
      <c r="M1095" s="99" t="n"/>
      <c r="N1095" s="100" t="n"/>
      <c r="O1095" s="98" t="n"/>
      <c r="P1095" s="99" t="n"/>
      <c r="Q1095" s="99" t="n"/>
      <c r="R1095" s="100" t="n"/>
      <c r="S1095" s="98" t="n"/>
      <c r="T1095" s="99" t="n"/>
      <c r="U1095" s="99" t="n"/>
      <c r="V1095" s="100" t="n"/>
      <c r="W1095" s="98" t="n"/>
      <c r="X1095" s="100" t="n"/>
      <c r="Y1095" s="98" t="n"/>
      <c r="Z1095" s="100" t="n"/>
      <c r="AB1095" s="101">
        <f>IF($B1095="","",(COUNTIF(C1058:E1075,$B1095)+COUNTIF(C1058:E1075,$B1095&amp;" ~*")&gt;0)+(COUNTIF(G1058:I1075,$B1095)+COUNTIF(G1058:I1075,$B1095&amp;" ~*")&gt;0)+(COUNTIF(K1058:M1075,$B1095)+COUNTIF(K1058:M1075,$B1095&amp;" ~*")&gt;0)+(COUNTIF(O1058:Q1075,$B1095)+COUNTIF(O1058:Q1075,$B1095&amp;" ~*")&gt;0)+(COUNTIF(S1058:U1075,$B1095)+COUNTIF(S1058:U1075,$B1095&amp;" ~*")&gt;0)+(COUNTIF(W1058:W1075,$B1095)+COUNTIF(W1058:W1075,$B1095&amp;" ~*")&gt;0)+(COUNTIF(Y1058:Y1075,$B1095)+COUNTIF(Y1058:Y1075,$B1095&amp;" ~*")&gt;0))</f>
        <v/>
      </c>
      <c r="AC1095" s="36">
        <f>IF($B1095="","",(IFERROR(INDEX(Setup!$G$33:$G$40,MATCH(C1095,Setup!$B$33:$B$40,0)),0)=1)*(COUNTIF(C1058:E1075,$B1095)+COUNTIF(C1058:E1075,$B1095&amp;" ~*")&gt;0)+(IFERROR(INDEX(Setup!$G$33:$G$40,MATCH(G1095,Setup!$B$33:$B$40,0)),0)=1)*(COUNTIF(G1058:I1075,$B1095)+COUNTIF(G1058:I1075,$B1095&amp;" ~*")&gt;0)+(IFERROR(INDEX(Setup!$G$33:$G$40,MATCH(K1095,Setup!$B$33:$B$40,0)),0)=1)*(COUNTIF(K1058:M1075,$B1095)+COUNTIF(K1058:M1075,$B1095&amp;" ~*")&gt;0)+(IFERROR(INDEX(Setup!$G$33:$G$40,MATCH(O1095,Setup!$B$33:$B$40,0)),0)=1)*(COUNTIF(O1058:Q1075,$B1095)+COUNTIF(O1058:Q1075,$B1095&amp;" ~*")&gt;0)+(IFERROR(INDEX(Setup!$G$33:$G$40,MATCH(S1095,Setup!$B$33:$B$40,0)),0)=1)*(COUNTIF(S1058:U1075,$B1095)+COUNTIF(S1058:U1075,$B1095&amp;" ~*")&gt;0)+(IFERROR(INDEX(Setup!$G$33:$G$40,MATCH(W1095,Setup!$B$33:$B$40,0)),0)=1)*(COUNTIF(W1058:W1075,$B1095)+COUNTIF(W1058:W1075,$B1095&amp;" ~*")&gt;0)+(IFERROR(INDEX(Setup!$G$33:$G$40,MATCH(Y1095,Setup!$B$33:$B$40,0)),0)=1)*(COUNTIF(Y1058:Y1075,$B1095)+COUNTIF(Y1058:Y1075,$B1095&amp;" ~*")&gt;0))</f>
        <v/>
      </c>
    </row>
    <row r="1096" ht="15" customHeight="1">
      <c r="A1096" t="n">
        <v>22</v>
      </c>
      <c r="B1096" s="37">
        <f>IF(Setup!$B$25="","",Setup!$B$25)</f>
        <v/>
      </c>
      <c r="C1096" s="102" t="n"/>
      <c r="D1096" s="103" t="n"/>
      <c r="E1096" s="103" t="n"/>
      <c r="F1096" s="104" t="n"/>
      <c r="G1096" s="102" t="n"/>
      <c r="H1096" s="103" t="n"/>
      <c r="I1096" s="103" t="n"/>
      <c r="J1096" s="104" t="n"/>
      <c r="K1096" s="102" t="n"/>
      <c r="L1096" s="103" t="n"/>
      <c r="M1096" s="103" t="n"/>
      <c r="N1096" s="104" t="n"/>
      <c r="O1096" s="102" t="n"/>
      <c r="P1096" s="103" t="n"/>
      <c r="Q1096" s="103" t="n"/>
      <c r="R1096" s="104" t="n"/>
      <c r="S1096" s="102" t="n"/>
      <c r="T1096" s="103" t="n"/>
      <c r="U1096" s="103" t="n"/>
      <c r="V1096" s="104" t="n"/>
      <c r="W1096" s="102" t="n"/>
      <c r="X1096" s="104" t="n"/>
      <c r="Y1096" s="102" t="n"/>
      <c r="Z1096" s="104" t="n"/>
      <c r="AB1096" s="105">
        <f>IF($B1096="","",(COUNTIF(C1058:E1075,$B1096)+COUNTIF(C1058:E1075,$B1096&amp;" ~*")&gt;0)+(COUNTIF(G1058:I1075,$B1096)+COUNTIF(G1058:I1075,$B1096&amp;" ~*")&gt;0)+(COUNTIF(K1058:M1075,$B1096)+COUNTIF(K1058:M1075,$B1096&amp;" ~*")&gt;0)+(COUNTIF(O1058:Q1075,$B1096)+COUNTIF(O1058:Q1075,$B1096&amp;" ~*")&gt;0)+(COUNTIF(S1058:U1075,$B1096)+COUNTIF(S1058:U1075,$B1096&amp;" ~*")&gt;0)+(COUNTIF(W1058:W1075,$B1096)+COUNTIF(W1058:W1075,$B1096&amp;" ~*")&gt;0)+(COUNTIF(Y1058:Y1075,$B1096)+COUNTIF(Y1058:Y1075,$B1096&amp;" ~*")&gt;0))</f>
        <v/>
      </c>
      <c r="AC1096" s="38">
        <f>IF($B1096="","",(IFERROR(INDEX(Setup!$G$33:$G$40,MATCH(C1096,Setup!$B$33:$B$40,0)),0)=1)*(COUNTIF(C1058:E1075,$B1096)+COUNTIF(C1058:E1075,$B1096&amp;" ~*")&gt;0)+(IFERROR(INDEX(Setup!$G$33:$G$40,MATCH(G1096,Setup!$B$33:$B$40,0)),0)=1)*(COUNTIF(G1058:I1075,$B1096)+COUNTIF(G1058:I1075,$B1096&amp;" ~*")&gt;0)+(IFERROR(INDEX(Setup!$G$33:$G$40,MATCH(K1096,Setup!$B$33:$B$40,0)),0)=1)*(COUNTIF(K1058:M1075,$B1096)+COUNTIF(K1058:M1075,$B1096&amp;" ~*")&gt;0)+(IFERROR(INDEX(Setup!$G$33:$G$40,MATCH(O1096,Setup!$B$33:$B$40,0)),0)=1)*(COUNTIF(O1058:Q1075,$B1096)+COUNTIF(O1058:Q1075,$B1096&amp;" ~*")&gt;0)+(IFERROR(INDEX(Setup!$G$33:$G$40,MATCH(S1096,Setup!$B$33:$B$40,0)),0)=1)*(COUNTIF(S1058:U1075,$B1096)+COUNTIF(S1058:U1075,$B1096&amp;" ~*")&gt;0)+(IFERROR(INDEX(Setup!$G$33:$G$40,MATCH(W1096,Setup!$B$33:$B$40,0)),0)=1)*(COUNTIF(W1058:W1075,$B1096)+COUNTIF(W1058:W1075,$B1096&amp;" ~*")&gt;0)+(IFERROR(INDEX(Setup!$G$33:$G$40,MATCH(Y1096,Setup!$B$33:$B$40,0)),0)=1)*(COUNTIF(Y1058:Y1075,$B1096)+COUNTIF(Y1058:Y1075,$B1096&amp;" ~*")&gt;0))</f>
        <v/>
      </c>
    </row>
    <row r="1097" ht="15" customHeight="1">
      <c r="A1097" t="n">
        <v>22</v>
      </c>
      <c r="B1097" s="35">
        <f>IF(Setup!$B$26="","",Setup!$B$26)</f>
        <v/>
      </c>
      <c r="C1097" s="98" t="n"/>
      <c r="D1097" s="99" t="n"/>
      <c r="E1097" s="99" t="n"/>
      <c r="F1097" s="100" t="n"/>
      <c r="G1097" s="98" t="n"/>
      <c r="H1097" s="99" t="n"/>
      <c r="I1097" s="99" t="n"/>
      <c r="J1097" s="100" t="n"/>
      <c r="K1097" s="98" t="n"/>
      <c r="L1097" s="99" t="n"/>
      <c r="M1097" s="99" t="n"/>
      <c r="N1097" s="100" t="n"/>
      <c r="O1097" s="98" t="n"/>
      <c r="P1097" s="99" t="n"/>
      <c r="Q1097" s="99" t="n"/>
      <c r="R1097" s="100" t="n"/>
      <c r="S1097" s="98" t="n"/>
      <c r="T1097" s="99" t="n"/>
      <c r="U1097" s="99" t="n"/>
      <c r="V1097" s="100" t="n"/>
      <c r="W1097" s="98" t="n"/>
      <c r="X1097" s="100" t="n"/>
      <c r="Y1097" s="98" t="n"/>
      <c r="Z1097" s="100" t="n"/>
      <c r="AB1097" s="101">
        <f>IF($B1097="","",(COUNTIF(C1058:E1075,$B1097)+COUNTIF(C1058:E1075,$B1097&amp;" ~*")&gt;0)+(COUNTIF(G1058:I1075,$B1097)+COUNTIF(G1058:I1075,$B1097&amp;" ~*")&gt;0)+(COUNTIF(K1058:M1075,$B1097)+COUNTIF(K1058:M1075,$B1097&amp;" ~*")&gt;0)+(COUNTIF(O1058:Q1075,$B1097)+COUNTIF(O1058:Q1075,$B1097&amp;" ~*")&gt;0)+(COUNTIF(S1058:U1075,$B1097)+COUNTIF(S1058:U1075,$B1097&amp;" ~*")&gt;0)+(COUNTIF(W1058:W1075,$B1097)+COUNTIF(W1058:W1075,$B1097&amp;" ~*")&gt;0)+(COUNTIF(Y1058:Y1075,$B1097)+COUNTIF(Y1058:Y1075,$B1097&amp;" ~*")&gt;0))</f>
        <v/>
      </c>
      <c r="AC1097" s="36">
        <f>IF($B1097="","",(IFERROR(INDEX(Setup!$G$33:$G$40,MATCH(C1097,Setup!$B$33:$B$40,0)),0)=1)*(COUNTIF(C1058:E1075,$B1097)+COUNTIF(C1058:E1075,$B1097&amp;" ~*")&gt;0)+(IFERROR(INDEX(Setup!$G$33:$G$40,MATCH(G1097,Setup!$B$33:$B$40,0)),0)=1)*(COUNTIF(G1058:I1075,$B1097)+COUNTIF(G1058:I1075,$B1097&amp;" ~*")&gt;0)+(IFERROR(INDEX(Setup!$G$33:$G$40,MATCH(K1097,Setup!$B$33:$B$40,0)),0)=1)*(COUNTIF(K1058:M1075,$B1097)+COUNTIF(K1058:M1075,$B1097&amp;" ~*")&gt;0)+(IFERROR(INDEX(Setup!$G$33:$G$40,MATCH(O1097,Setup!$B$33:$B$40,0)),0)=1)*(COUNTIF(O1058:Q1075,$B1097)+COUNTIF(O1058:Q1075,$B1097&amp;" ~*")&gt;0)+(IFERROR(INDEX(Setup!$G$33:$G$40,MATCH(S1097,Setup!$B$33:$B$40,0)),0)=1)*(COUNTIF(S1058:U1075,$B1097)+COUNTIF(S1058:U1075,$B1097&amp;" ~*")&gt;0)+(IFERROR(INDEX(Setup!$G$33:$G$40,MATCH(W1097,Setup!$B$33:$B$40,0)),0)=1)*(COUNTIF(W1058:W1075,$B1097)+COUNTIF(W1058:W1075,$B1097&amp;" ~*")&gt;0)+(IFERROR(INDEX(Setup!$G$33:$G$40,MATCH(Y1097,Setup!$B$33:$B$40,0)),0)=1)*(COUNTIF(Y1058:Y1075,$B1097)+COUNTIF(Y1058:Y1075,$B1097&amp;" ~*")&gt;0))</f>
        <v/>
      </c>
    </row>
    <row r="1098" ht="15" customHeight="1">
      <c r="A1098" t="n">
        <v>22</v>
      </c>
      <c r="B1098" s="37">
        <f>IF(Setup!$B$27="","",Setup!$B$27)</f>
        <v/>
      </c>
      <c r="C1098" s="102" t="n"/>
      <c r="D1098" s="103" t="n"/>
      <c r="E1098" s="103" t="n"/>
      <c r="F1098" s="104" t="n"/>
      <c r="G1098" s="102" t="n"/>
      <c r="H1098" s="103" t="n"/>
      <c r="I1098" s="103" t="n"/>
      <c r="J1098" s="104" t="n"/>
      <c r="K1098" s="102" t="n"/>
      <c r="L1098" s="103" t="n"/>
      <c r="M1098" s="103" t="n"/>
      <c r="N1098" s="104" t="n"/>
      <c r="O1098" s="102" t="n"/>
      <c r="P1098" s="103" t="n"/>
      <c r="Q1098" s="103" t="n"/>
      <c r="R1098" s="104" t="n"/>
      <c r="S1098" s="102" t="n"/>
      <c r="T1098" s="103" t="n"/>
      <c r="U1098" s="103" t="n"/>
      <c r="V1098" s="104" t="n"/>
      <c r="W1098" s="102" t="n"/>
      <c r="X1098" s="104" t="n"/>
      <c r="Y1098" s="102" t="n"/>
      <c r="Z1098" s="104" t="n"/>
      <c r="AB1098" s="105">
        <f>IF($B1098="","",(COUNTIF(C1058:E1075,$B1098)+COUNTIF(C1058:E1075,$B1098&amp;" ~*")&gt;0)+(COUNTIF(G1058:I1075,$B1098)+COUNTIF(G1058:I1075,$B1098&amp;" ~*")&gt;0)+(COUNTIF(K1058:M1075,$B1098)+COUNTIF(K1058:M1075,$B1098&amp;" ~*")&gt;0)+(COUNTIF(O1058:Q1075,$B1098)+COUNTIF(O1058:Q1075,$B1098&amp;" ~*")&gt;0)+(COUNTIF(S1058:U1075,$B1098)+COUNTIF(S1058:U1075,$B1098&amp;" ~*")&gt;0)+(COUNTIF(W1058:W1075,$B1098)+COUNTIF(W1058:W1075,$B1098&amp;" ~*")&gt;0)+(COUNTIF(Y1058:Y1075,$B1098)+COUNTIF(Y1058:Y1075,$B1098&amp;" ~*")&gt;0))</f>
        <v/>
      </c>
      <c r="AC1098" s="38">
        <f>IF($B1098="","",(IFERROR(INDEX(Setup!$G$33:$G$40,MATCH(C1098,Setup!$B$33:$B$40,0)),0)=1)*(COUNTIF(C1058:E1075,$B1098)+COUNTIF(C1058:E1075,$B1098&amp;" ~*")&gt;0)+(IFERROR(INDEX(Setup!$G$33:$G$40,MATCH(G1098,Setup!$B$33:$B$40,0)),0)=1)*(COUNTIF(G1058:I1075,$B1098)+COUNTIF(G1058:I1075,$B1098&amp;" ~*")&gt;0)+(IFERROR(INDEX(Setup!$G$33:$G$40,MATCH(K1098,Setup!$B$33:$B$40,0)),0)=1)*(COUNTIF(K1058:M1075,$B1098)+COUNTIF(K1058:M1075,$B1098&amp;" ~*")&gt;0)+(IFERROR(INDEX(Setup!$G$33:$G$40,MATCH(O1098,Setup!$B$33:$B$40,0)),0)=1)*(COUNTIF(O1058:Q1075,$B1098)+COUNTIF(O1058:Q1075,$B1098&amp;" ~*")&gt;0)+(IFERROR(INDEX(Setup!$G$33:$G$40,MATCH(S1098,Setup!$B$33:$B$40,0)),0)=1)*(COUNTIF(S1058:U1075,$B1098)+COUNTIF(S1058:U1075,$B1098&amp;" ~*")&gt;0)+(IFERROR(INDEX(Setup!$G$33:$G$40,MATCH(W1098,Setup!$B$33:$B$40,0)),0)=1)*(COUNTIF(W1058:W1075,$B1098)+COUNTIF(W1058:W1075,$B1098&amp;" ~*")&gt;0)+(IFERROR(INDEX(Setup!$G$33:$G$40,MATCH(Y1098,Setup!$B$33:$B$40,0)),0)=1)*(COUNTIF(Y1058:Y1075,$B1098)+COUNTIF(Y1058:Y1075,$B1098&amp;" ~*")&gt;0))</f>
        <v/>
      </c>
    </row>
    <row r="1099" ht="15" customHeight="1">
      <c r="A1099" t="n">
        <v>22</v>
      </c>
      <c r="B1099" s="35">
        <f>IF(Setup!$B$28="","",Setup!$B$28)</f>
        <v/>
      </c>
      <c r="C1099" s="98" t="n"/>
      <c r="D1099" s="99" t="n"/>
      <c r="E1099" s="99" t="n"/>
      <c r="F1099" s="100" t="n"/>
      <c r="G1099" s="98" t="n"/>
      <c r="H1099" s="99" t="n"/>
      <c r="I1099" s="99" t="n"/>
      <c r="J1099" s="100" t="n"/>
      <c r="K1099" s="98" t="n"/>
      <c r="L1099" s="99" t="n"/>
      <c r="M1099" s="99" t="n"/>
      <c r="N1099" s="100" t="n"/>
      <c r="O1099" s="98" t="n"/>
      <c r="P1099" s="99" t="n"/>
      <c r="Q1099" s="99" t="n"/>
      <c r="R1099" s="100" t="n"/>
      <c r="S1099" s="98" t="n"/>
      <c r="T1099" s="99" t="n"/>
      <c r="U1099" s="99" t="n"/>
      <c r="V1099" s="100" t="n"/>
      <c r="W1099" s="98" t="n"/>
      <c r="X1099" s="100" t="n"/>
      <c r="Y1099" s="98" t="n"/>
      <c r="Z1099" s="100" t="n"/>
      <c r="AB1099" s="101">
        <f>IF($B1099="","",(COUNTIF(C1058:E1075,$B1099)+COUNTIF(C1058:E1075,$B1099&amp;" ~*")&gt;0)+(COUNTIF(G1058:I1075,$B1099)+COUNTIF(G1058:I1075,$B1099&amp;" ~*")&gt;0)+(COUNTIF(K1058:M1075,$B1099)+COUNTIF(K1058:M1075,$B1099&amp;" ~*")&gt;0)+(COUNTIF(O1058:Q1075,$B1099)+COUNTIF(O1058:Q1075,$B1099&amp;" ~*")&gt;0)+(COUNTIF(S1058:U1075,$B1099)+COUNTIF(S1058:U1075,$B1099&amp;" ~*")&gt;0)+(COUNTIF(W1058:W1075,$B1099)+COUNTIF(W1058:W1075,$B1099&amp;" ~*")&gt;0)+(COUNTIF(Y1058:Y1075,$B1099)+COUNTIF(Y1058:Y1075,$B1099&amp;" ~*")&gt;0))</f>
        <v/>
      </c>
      <c r="AC1099" s="36">
        <f>IF($B1099="","",(IFERROR(INDEX(Setup!$G$33:$G$40,MATCH(C1099,Setup!$B$33:$B$40,0)),0)=1)*(COUNTIF(C1058:E1075,$B1099)+COUNTIF(C1058:E1075,$B1099&amp;" ~*")&gt;0)+(IFERROR(INDEX(Setup!$G$33:$G$40,MATCH(G1099,Setup!$B$33:$B$40,0)),0)=1)*(COUNTIF(G1058:I1075,$B1099)+COUNTIF(G1058:I1075,$B1099&amp;" ~*")&gt;0)+(IFERROR(INDEX(Setup!$G$33:$G$40,MATCH(K1099,Setup!$B$33:$B$40,0)),0)=1)*(COUNTIF(K1058:M1075,$B1099)+COUNTIF(K1058:M1075,$B1099&amp;" ~*")&gt;0)+(IFERROR(INDEX(Setup!$G$33:$G$40,MATCH(O1099,Setup!$B$33:$B$40,0)),0)=1)*(COUNTIF(O1058:Q1075,$B1099)+COUNTIF(O1058:Q1075,$B1099&amp;" ~*")&gt;0)+(IFERROR(INDEX(Setup!$G$33:$G$40,MATCH(S1099,Setup!$B$33:$B$40,0)),0)=1)*(COUNTIF(S1058:U1075,$B1099)+COUNTIF(S1058:U1075,$B1099&amp;" ~*")&gt;0)+(IFERROR(INDEX(Setup!$G$33:$G$40,MATCH(W1099,Setup!$B$33:$B$40,0)),0)=1)*(COUNTIF(W1058:W1075,$B1099)+COUNTIF(W1058:W1075,$B1099&amp;" ~*")&gt;0)+(IFERROR(INDEX(Setup!$G$33:$G$40,MATCH(Y1099,Setup!$B$33:$B$40,0)),0)=1)*(COUNTIF(Y1058:Y1075,$B1099)+COUNTIF(Y1058:Y1075,$B1099&amp;" ~*")&gt;0))</f>
        <v/>
      </c>
    </row>
    <row r="1100" ht="15" customHeight="1">
      <c r="A1100" t="n">
        <v>22</v>
      </c>
      <c r="B1100" s="37">
        <f>IF(Setup!$B$29="","",Setup!$B$29)</f>
        <v/>
      </c>
      <c r="C1100" s="102" t="n"/>
      <c r="D1100" s="103" t="n"/>
      <c r="E1100" s="103" t="n"/>
      <c r="F1100" s="104" t="n"/>
      <c r="G1100" s="102" t="n"/>
      <c r="H1100" s="103" t="n"/>
      <c r="I1100" s="103" t="n"/>
      <c r="J1100" s="104" t="n"/>
      <c r="K1100" s="102" t="n"/>
      <c r="L1100" s="103" t="n"/>
      <c r="M1100" s="103" t="n"/>
      <c r="N1100" s="104" t="n"/>
      <c r="O1100" s="102" t="n"/>
      <c r="P1100" s="103" t="n"/>
      <c r="Q1100" s="103" t="n"/>
      <c r="R1100" s="104" t="n"/>
      <c r="S1100" s="102" t="n"/>
      <c r="T1100" s="103" t="n"/>
      <c r="U1100" s="103" t="n"/>
      <c r="V1100" s="104" t="n"/>
      <c r="W1100" s="102" t="n"/>
      <c r="X1100" s="104" t="n"/>
      <c r="Y1100" s="102" t="n"/>
      <c r="Z1100" s="104" t="n"/>
      <c r="AB1100" s="105">
        <f>IF($B1100="","",(COUNTIF(C1058:E1075,$B1100)+COUNTIF(C1058:E1075,$B1100&amp;" ~*")&gt;0)+(COUNTIF(G1058:I1075,$B1100)+COUNTIF(G1058:I1075,$B1100&amp;" ~*")&gt;0)+(COUNTIF(K1058:M1075,$B1100)+COUNTIF(K1058:M1075,$B1100&amp;" ~*")&gt;0)+(COUNTIF(O1058:Q1075,$B1100)+COUNTIF(O1058:Q1075,$B1100&amp;" ~*")&gt;0)+(COUNTIF(S1058:U1075,$B1100)+COUNTIF(S1058:U1075,$B1100&amp;" ~*")&gt;0)+(COUNTIF(W1058:W1075,$B1100)+COUNTIF(W1058:W1075,$B1100&amp;" ~*")&gt;0)+(COUNTIF(Y1058:Y1075,$B1100)+COUNTIF(Y1058:Y1075,$B1100&amp;" ~*")&gt;0))</f>
        <v/>
      </c>
      <c r="AC1100" s="38">
        <f>IF($B1100="","",(IFERROR(INDEX(Setup!$G$33:$G$40,MATCH(C1100,Setup!$B$33:$B$40,0)),0)=1)*(COUNTIF(C1058:E1075,$B1100)+COUNTIF(C1058:E1075,$B1100&amp;" ~*")&gt;0)+(IFERROR(INDEX(Setup!$G$33:$G$40,MATCH(G1100,Setup!$B$33:$B$40,0)),0)=1)*(COUNTIF(G1058:I1075,$B1100)+COUNTIF(G1058:I1075,$B1100&amp;" ~*")&gt;0)+(IFERROR(INDEX(Setup!$G$33:$G$40,MATCH(K1100,Setup!$B$33:$B$40,0)),0)=1)*(COUNTIF(K1058:M1075,$B1100)+COUNTIF(K1058:M1075,$B1100&amp;" ~*")&gt;0)+(IFERROR(INDEX(Setup!$G$33:$G$40,MATCH(O1100,Setup!$B$33:$B$40,0)),0)=1)*(COUNTIF(O1058:Q1075,$B1100)+COUNTIF(O1058:Q1075,$B1100&amp;" ~*")&gt;0)+(IFERROR(INDEX(Setup!$G$33:$G$40,MATCH(S1100,Setup!$B$33:$B$40,0)),0)=1)*(COUNTIF(S1058:U1075,$B1100)+COUNTIF(S1058:U1075,$B1100&amp;" ~*")&gt;0)+(IFERROR(INDEX(Setup!$G$33:$G$40,MATCH(W1100,Setup!$B$33:$B$40,0)),0)=1)*(COUNTIF(W1058:W1075,$B1100)+COUNTIF(W1058:W1075,$B1100&amp;" ~*")&gt;0)+(IFERROR(INDEX(Setup!$G$33:$G$40,MATCH(Y1100,Setup!$B$33:$B$40,0)),0)=1)*(COUNTIF(Y1058:Y1075,$B1100)+COUNTIF(Y1058:Y1075,$B1100&amp;" ~*")&gt;0))</f>
        <v/>
      </c>
    </row>
    <row r="1101" ht="16" customHeight="1">
      <c r="A1101" t="n">
        <v>22</v>
      </c>
      <c r="B1101" s="106" t="inlineStr">
        <is>
          <t>Available people</t>
        </is>
      </c>
      <c r="C1101" s="107">
        <f>COUNTIFS(Setup!$E$6:$E$29,"Y",Setup!$B$6:$B$29,"?*")-SUMPRODUCT(COUNTIF(C1077:C1100,Setup!$F$33:$F$40))</f>
        <v/>
      </c>
      <c r="D1101" s="107" t="n"/>
      <c r="E1101" s="107" t="n"/>
      <c r="F1101" s="107" t="n"/>
      <c r="G1101" s="107">
        <f>COUNTIFS(Setup!$E$6:$E$29,"Y",Setup!$B$6:$B$29,"?*")-SUMPRODUCT(COUNTIF(G1077:G1100,Setup!$F$33:$F$40))</f>
        <v/>
      </c>
      <c r="H1101" s="107" t="n"/>
      <c r="I1101" s="107" t="n"/>
      <c r="J1101" s="107" t="n"/>
      <c r="K1101" s="107">
        <f>COUNTIFS(Setup!$E$6:$E$29,"Y",Setup!$B$6:$B$29,"?*")-SUMPRODUCT(COUNTIF(K1077:K1100,Setup!$F$33:$F$40))</f>
        <v/>
      </c>
      <c r="L1101" s="107" t="n"/>
      <c r="M1101" s="107" t="n"/>
      <c r="N1101" s="107" t="n"/>
      <c r="O1101" s="107">
        <f>COUNTIFS(Setup!$E$6:$E$29,"Y",Setup!$B$6:$B$29,"?*")-SUMPRODUCT(COUNTIF(O1077:O1100,Setup!$F$33:$F$40))</f>
        <v/>
      </c>
      <c r="P1101" s="107" t="n"/>
      <c r="Q1101" s="107" t="n"/>
      <c r="R1101" s="107" t="n"/>
      <c r="S1101" s="107">
        <f>COUNTIFS(Setup!$E$6:$E$29,"Y",Setup!$B$6:$B$29,"?*")-SUMPRODUCT(COUNTIF(S1077:S1100,Setup!$F$33:$F$40))</f>
        <v/>
      </c>
      <c r="T1101" s="107" t="n"/>
      <c r="U1101" s="107" t="n"/>
      <c r="V1101" s="107" t="n"/>
      <c r="W1101" s="107">
        <f>COUNTIFS(Setup!$E$6:$E$29,"Y",Setup!$B$6:$B$29,"?*")-SUMPRODUCT(COUNTIF(W1077:W1100,Setup!$F$33:$F$40))</f>
        <v/>
      </c>
      <c r="X1101" s="107" t="n"/>
      <c r="Y1101" s="107">
        <f>COUNTIFS(Setup!$E$6:$E$29,"Y",Setup!$B$6:$B$29,"?*")-SUMPRODUCT(COUNTIF(Y1077:Y1100,Setup!$F$33:$F$40))</f>
        <v/>
      </c>
      <c r="Z1101" s="107" t="n"/>
      <c r="AB1101" s="108">
        <f>SUM(AB1077:AB1100)</f>
        <v/>
      </c>
      <c r="AC1101" s="109">
        <f>SUM(AC1077:AC1100)</f>
        <v/>
      </c>
    </row>
    <row r="1102" ht="30" customHeight="1">
      <c r="A1102" t="n">
        <v>22</v>
      </c>
      <c r="B1102" s="110" t="inlineStr">
        <is>
          <t>Week notes</t>
        </is>
      </c>
      <c r="C1102" s="111" t="n"/>
      <c r="D1102" s="112" t="n"/>
      <c r="E1102" s="112" t="n"/>
      <c r="F1102" s="112" t="n"/>
      <c r="G1102" s="112" t="n"/>
      <c r="H1102" s="112" t="n"/>
      <c r="I1102" s="112" t="n"/>
      <c r="J1102" s="112" t="n"/>
      <c r="K1102" s="112" t="n"/>
      <c r="L1102" s="112" t="n"/>
      <c r="M1102" s="112" t="n"/>
      <c r="N1102" s="112" t="n"/>
      <c r="O1102" s="112" t="n"/>
      <c r="P1102" s="112" t="n"/>
      <c r="Q1102" s="112" t="n"/>
      <c r="R1102" s="112" t="n"/>
      <c r="S1102" s="112" t="n"/>
      <c r="T1102" s="112" t="n"/>
      <c r="U1102" s="112" t="n"/>
      <c r="V1102" s="112" t="n"/>
      <c r="W1102" s="112" t="n"/>
      <c r="X1102" s="112" t="n"/>
      <c r="Y1102" s="112" t="n"/>
      <c r="Z1102" s="113" t="n"/>
    </row>
    <row r="1103" ht="8" customHeight="1">
      <c r="A1103" t="n">
        <v>22</v>
      </c>
    </row>
    <row r="1104" ht="8" customHeight="1">
      <c r="A1104" t="n">
        <v>22</v>
      </c>
    </row>
    <row r="1105" ht="24" customHeight="1">
      <c r="A1105" t="n">
        <v>23</v>
      </c>
      <c r="B1105" s="73">
        <f>"WEEK 23     "&amp;TEXT(C1106,"ddd d mmm")&amp;"  –  "&amp;TEXT(C1106+6,"ddd d mmm yyyy")</f>
        <v/>
      </c>
      <c r="S1105" s="74">
        <f>IF(TODAY()&lt;C1106,"FUTURE",IF(TODAY()&gt;C1106+6,"PAST","THIS WEEK"))</f>
        <v/>
      </c>
      <c r="W1105" s="75">
        <f>IF(AND(Engine!$B$8=$AC$3,Engine!$B$9=$A1105),"◀ ACTIVE WEEK","")</f>
        <v/>
      </c>
      <c r="AA1105" s="76" t="n"/>
      <c r="AB1105" s="77" t="inlineStr">
        <is>
          <t>◀ Prev</t>
        </is>
      </c>
      <c r="AC1105" s="77" t="inlineStr">
        <is>
          <t>Next ▶</t>
        </is>
      </c>
    </row>
    <row r="1106" ht="18" customHeight="1">
      <c r="A1106" t="n">
        <v>23</v>
      </c>
      <c r="B1106" s="78" t="inlineStr">
        <is>
          <t>DUTY</t>
        </is>
      </c>
      <c r="C1106" s="79">
        <f>$AC$2+7*($A1106-1)</f>
        <v/>
      </c>
      <c r="D1106" s="80" t="n"/>
      <c r="E1106" s="80" t="n"/>
      <c r="F1106" s="81" t="n"/>
      <c r="G1106" s="79">
        <f>C1106+1</f>
        <v/>
      </c>
      <c r="H1106" s="80" t="n"/>
      <c r="I1106" s="80" t="n"/>
      <c r="J1106" s="81" t="n"/>
      <c r="K1106" s="79">
        <f>C1106+2</f>
        <v/>
      </c>
      <c r="L1106" s="80" t="n"/>
      <c r="M1106" s="80" t="n"/>
      <c r="N1106" s="81" t="n"/>
      <c r="O1106" s="79">
        <f>C1106+3</f>
        <v/>
      </c>
      <c r="P1106" s="80" t="n"/>
      <c r="Q1106" s="80" t="n"/>
      <c r="R1106" s="81" t="n"/>
      <c r="S1106" s="79">
        <f>C1106+4</f>
        <v/>
      </c>
      <c r="T1106" s="80" t="n"/>
      <c r="U1106" s="80" t="n"/>
      <c r="V1106" s="81" t="n"/>
      <c r="W1106" s="82">
        <f>C1106+5</f>
        <v/>
      </c>
      <c r="X1106" s="83" t="n"/>
      <c r="Y1106" s="82">
        <f>C1106+6</f>
        <v/>
      </c>
      <c r="Z1106" s="83" t="n"/>
      <c r="AB1106" s="72" t="inlineStr">
        <is>
          <t>Gaps</t>
        </is>
      </c>
      <c r="AC1106" s="72" t="inlineStr">
        <is>
          <t>Cover</t>
        </is>
      </c>
    </row>
    <row r="1107" ht="14" customHeight="1">
      <c r="A1107" t="n">
        <v>23</v>
      </c>
      <c r="B1107" s="84" t="inlineStr">
        <is>
          <t>(from Setup)</t>
        </is>
      </c>
      <c r="C1107" s="85" t="inlineStr">
        <is>
          <t>1</t>
        </is>
      </c>
      <c r="D1107" s="85" t="inlineStr">
        <is>
          <t>2</t>
        </is>
      </c>
      <c r="E1107" s="85" t="inlineStr">
        <is>
          <t>3</t>
        </is>
      </c>
      <c r="F1107" s="85" t="inlineStr">
        <is>
          <t>Notes</t>
        </is>
      </c>
      <c r="G1107" s="85" t="inlineStr">
        <is>
          <t>1</t>
        </is>
      </c>
      <c r="H1107" s="85" t="inlineStr">
        <is>
          <t>2</t>
        </is>
      </c>
      <c r="I1107" s="85" t="inlineStr">
        <is>
          <t>3</t>
        </is>
      </c>
      <c r="J1107" s="85" t="inlineStr">
        <is>
          <t>Notes</t>
        </is>
      </c>
      <c r="K1107" s="85" t="inlineStr">
        <is>
          <t>1</t>
        </is>
      </c>
      <c r="L1107" s="85" t="inlineStr">
        <is>
          <t>2</t>
        </is>
      </c>
      <c r="M1107" s="85" t="inlineStr">
        <is>
          <t>3</t>
        </is>
      </c>
      <c r="N1107" s="85" t="inlineStr">
        <is>
          <t>Notes</t>
        </is>
      </c>
      <c r="O1107" s="85" t="inlineStr">
        <is>
          <t>1</t>
        </is>
      </c>
      <c r="P1107" s="85" t="inlineStr">
        <is>
          <t>2</t>
        </is>
      </c>
      <c r="Q1107" s="85" t="inlineStr">
        <is>
          <t>3</t>
        </is>
      </c>
      <c r="R1107" s="85" t="inlineStr">
        <is>
          <t>Notes</t>
        </is>
      </c>
      <c r="S1107" s="85" t="inlineStr">
        <is>
          <t>1</t>
        </is>
      </c>
      <c r="T1107" s="85" t="inlineStr">
        <is>
          <t>2</t>
        </is>
      </c>
      <c r="U1107" s="85" t="inlineStr">
        <is>
          <t>3</t>
        </is>
      </c>
      <c r="V1107" s="85" t="inlineStr">
        <is>
          <t>Notes</t>
        </is>
      </c>
      <c r="W1107" s="85" t="inlineStr">
        <is>
          <t>Cover</t>
        </is>
      </c>
      <c r="X1107" s="85" t="inlineStr">
        <is>
          <t>Notes</t>
        </is>
      </c>
      <c r="Y1107" s="85" t="inlineStr">
        <is>
          <t>Cover</t>
        </is>
      </c>
      <c r="Z1107" s="85" t="inlineStr">
        <is>
          <t>Notes</t>
        </is>
      </c>
      <c r="AB1107" s="86" t="inlineStr">
        <is>
          <t>weekdays short</t>
        </is>
      </c>
      <c r="AC1107" s="87" t="inlineStr"/>
    </row>
    <row r="1108" ht="17" customHeight="1">
      <c r="A1108" t="n">
        <v>23</v>
      </c>
      <c r="B1108" s="24">
        <f>IF(Setup!$K$6="","",Setup!$K$6)</f>
        <v/>
      </c>
      <c r="C1108" s="88" t="n"/>
      <c r="D1108" s="88" t="n"/>
      <c r="E1108" s="88" t="n"/>
      <c r="F1108" s="89" t="n"/>
      <c r="G1108" s="88" t="n"/>
      <c r="H1108" s="88" t="n"/>
      <c r="I1108" s="88" t="n"/>
      <c r="J1108" s="89" t="n"/>
      <c r="K1108" s="88" t="n"/>
      <c r="L1108" s="88" t="n"/>
      <c r="M1108" s="88" t="n"/>
      <c r="N1108" s="89" t="n"/>
      <c r="O1108" s="88" t="n"/>
      <c r="P1108" s="88" t="n"/>
      <c r="Q1108" s="88" t="n"/>
      <c r="R1108" s="89" t="n"/>
      <c r="S1108" s="88" t="n"/>
      <c r="T1108" s="88" t="n"/>
      <c r="U1108" s="88" t="n"/>
      <c r="V1108" s="89" t="n"/>
      <c r="W1108" s="88" t="n"/>
      <c r="X1108" s="89" t="n"/>
      <c r="Y1108" s="88" t="n"/>
      <c r="Z1108" s="89" t="n"/>
      <c r="AB1108" s="25">
        <f>IF($B1108="","",(COUNTIF(C1108:E1108,"?*")&lt;N(INDEX(Setup!$L$6:$L$23,1)))+(COUNTIF(G1108:I1108,"?*")&lt;N(INDEX(Setup!$L$6:$L$23,1)))+(COUNTIF(K1108:M1108,"?*")&lt;N(INDEX(Setup!$L$6:$L$23,1)))+(COUNTIF(O1108:Q1108,"?*")&lt;N(INDEX(Setup!$L$6:$L$23,1)))+(COUNTIF(S1108:U1108,"?*")&lt;N(INDEX(Setup!$L$6:$L$23,1)))+((W1108="")*(INDEX(Setup!$M$6:$M$23,1)="Y"))+((Y1108="")*(INDEX(Setup!$M$6:$M$23,1)="Y")))</f>
        <v/>
      </c>
      <c r="AC1108" s="90">
        <f>IF($B1108="","",IF(AB1108=0,"✓ covered","⚠ "&amp;AB1108&amp;IF(AB1108=1," gap"," gaps")))</f>
        <v/>
      </c>
    </row>
    <row r="1109" ht="17" customHeight="1">
      <c r="A1109" t="n">
        <v>23</v>
      </c>
      <c r="B1109" s="29">
        <f>IF(Setup!$K$7="","",Setup!$K$7)</f>
        <v/>
      </c>
      <c r="C1109" s="88" t="n"/>
      <c r="D1109" s="88" t="n"/>
      <c r="E1109" s="88" t="n"/>
      <c r="F1109" s="89" t="n"/>
      <c r="G1109" s="88" t="n"/>
      <c r="H1109" s="88" t="n"/>
      <c r="I1109" s="88" t="n"/>
      <c r="J1109" s="89" t="n"/>
      <c r="K1109" s="88" t="n"/>
      <c r="L1109" s="88" t="n"/>
      <c r="M1109" s="88" t="n"/>
      <c r="N1109" s="89" t="n"/>
      <c r="O1109" s="88" t="n"/>
      <c r="P1109" s="88" t="n"/>
      <c r="Q1109" s="88" t="n"/>
      <c r="R1109" s="89" t="n"/>
      <c r="S1109" s="88" t="n"/>
      <c r="T1109" s="88" t="n"/>
      <c r="U1109" s="88" t="n"/>
      <c r="V1109" s="89" t="n"/>
      <c r="W1109" s="88" t="n"/>
      <c r="X1109" s="89" t="n"/>
      <c r="Y1109" s="88" t="n"/>
      <c r="Z1109" s="89" t="n"/>
      <c r="AB1109" s="30">
        <f>IF($B1109="","",(COUNTIF(C1109:E1109,"?*")&lt;N(INDEX(Setup!$L$6:$L$23,2)))+(COUNTIF(G1109:I1109,"?*")&lt;N(INDEX(Setup!$L$6:$L$23,2)))+(COUNTIF(K1109:M1109,"?*")&lt;N(INDEX(Setup!$L$6:$L$23,2)))+(COUNTIF(O1109:Q1109,"?*")&lt;N(INDEX(Setup!$L$6:$L$23,2)))+(COUNTIF(S1109:U1109,"?*")&lt;N(INDEX(Setup!$L$6:$L$23,2)))+((W1109="")*(INDEX(Setup!$M$6:$M$23,2)="Y"))+((Y1109="")*(INDEX(Setup!$M$6:$M$23,2)="Y")))</f>
        <v/>
      </c>
      <c r="AC1109" s="91">
        <f>IF($B1109="","",IF(AB1109=0,"✓ covered","⚠ "&amp;AB1109&amp;IF(AB1109=1," gap"," gaps")))</f>
        <v/>
      </c>
    </row>
    <row r="1110" ht="17" customHeight="1">
      <c r="A1110" t="n">
        <v>23</v>
      </c>
      <c r="B1110" s="24">
        <f>IF(Setup!$K$8="","",Setup!$K$8)</f>
        <v/>
      </c>
      <c r="C1110" s="88" t="n"/>
      <c r="D1110" s="88" t="n"/>
      <c r="E1110" s="88" t="n"/>
      <c r="F1110" s="89" t="n"/>
      <c r="G1110" s="88" t="n"/>
      <c r="H1110" s="88" t="n"/>
      <c r="I1110" s="88" t="n"/>
      <c r="J1110" s="89" t="n"/>
      <c r="K1110" s="88" t="n"/>
      <c r="L1110" s="88" t="n"/>
      <c r="M1110" s="88" t="n"/>
      <c r="N1110" s="89" t="n"/>
      <c r="O1110" s="88" t="n"/>
      <c r="P1110" s="88" t="n"/>
      <c r="Q1110" s="88" t="n"/>
      <c r="R1110" s="89" t="n"/>
      <c r="S1110" s="88" t="n"/>
      <c r="T1110" s="88" t="n"/>
      <c r="U1110" s="88" t="n"/>
      <c r="V1110" s="89" t="n"/>
      <c r="W1110" s="88" t="n"/>
      <c r="X1110" s="89" t="n"/>
      <c r="Y1110" s="88" t="n"/>
      <c r="Z1110" s="89" t="n"/>
      <c r="AB1110" s="25">
        <f>IF($B1110="","",(COUNTIF(C1110:E1110,"?*")&lt;N(INDEX(Setup!$L$6:$L$23,3)))+(COUNTIF(G1110:I1110,"?*")&lt;N(INDEX(Setup!$L$6:$L$23,3)))+(COUNTIF(K1110:M1110,"?*")&lt;N(INDEX(Setup!$L$6:$L$23,3)))+(COUNTIF(O1110:Q1110,"?*")&lt;N(INDEX(Setup!$L$6:$L$23,3)))+(COUNTIF(S1110:U1110,"?*")&lt;N(INDEX(Setup!$L$6:$L$23,3)))+((W1110="")*(INDEX(Setup!$M$6:$M$23,3)="Y"))+((Y1110="")*(INDEX(Setup!$M$6:$M$23,3)="Y")))</f>
        <v/>
      </c>
      <c r="AC1110" s="90">
        <f>IF($B1110="","",IF(AB1110=0,"✓ covered","⚠ "&amp;AB1110&amp;IF(AB1110=1," gap"," gaps")))</f>
        <v/>
      </c>
    </row>
    <row r="1111" ht="17" customHeight="1">
      <c r="A1111" t="n">
        <v>23</v>
      </c>
      <c r="B1111" s="29">
        <f>IF(Setup!$K$9="","",Setup!$K$9)</f>
        <v/>
      </c>
      <c r="C1111" s="88" t="n"/>
      <c r="D1111" s="88" t="n"/>
      <c r="E1111" s="88" t="n"/>
      <c r="F1111" s="89" t="n"/>
      <c r="G1111" s="88" t="n"/>
      <c r="H1111" s="88" t="n"/>
      <c r="I1111" s="88" t="n"/>
      <c r="J1111" s="89" t="n"/>
      <c r="K1111" s="88" t="n"/>
      <c r="L1111" s="88" t="n"/>
      <c r="M1111" s="88" t="n"/>
      <c r="N1111" s="89" t="n"/>
      <c r="O1111" s="88" t="n"/>
      <c r="P1111" s="88" t="n"/>
      <c r="Q1111" s="88" t="n"/>
      <c r="R1111" s="89" t="n"/>
      <c r="S1111" s="88" t="n"/>
      <c r="T1111" s="88" t="n"/>
      <c r="U1111" s="88" t="n"/>
      <c r="V1111" s="89" t="n"/>
      <c r="W1111" s="88" t="n"/>
      <c r="X1111" s="89" t="n"/>
      <c r="Y1111" s="88" t="n"/>
      <c r="Z1111" s="89" t="n"/>
      <c r="AB1111" s="30">
        <f>IF($B1111="","",(COUNTIF(C1111:E1111,"?*")&lt;N(INDEX(Setup!$L$6:$L$23,4)))+(COUNTIF(G1111:I1111,"?*")&lt;N(INDEX(Setup!$L$6:$L$23,4)))+(COUNTIF(K1111:M1111,"?*")&lt;N(INDEX(Setup!$L$6:$L$23,4)))+(COUNTIF(O1111:Q1111,"?*")&lt;N(INDEX(Setup!$L$6:$L$23,4)))+(COUNTIF(S1111:U1111,"?*")&lt;N(INDEX(Setup!$L$6:$L$23,4)))+((W1111="")*(INDEX(Setup!$M$6:$M$23,4)="Y"))+((Y1111="")*(INDEX(Setup!$M$6:$M$23,4)="Y")))</f>
        <v/>
      </c>
      <c r="AC1111" s="91">
        <f>IF($B1111="","",IF(AB1111=0,"✓ covered","⚠ "&amp;AB1111&amp;IF(AB1111=1," gap"," gaps")))</f>
        <v/>
      </c>
    </row>
    <row r="1112" ht="17" customHeight="1">
      <c r="A1112" t="n">
        <v>23</v>
      </c>
      <c r="B1112" s="24">
        <f>IF(Setup!$K$10="","",Setup!$K$10)</f>
        <v/>
      </c>
      <c r="C1112" s="88" t="n"/>
      <c r="D1112" s="88" t="n"/>
      <c r="E1112" s="88" t="n"/>
      <c r="F1112" s="89" t="n"/>
      <c r="G1112" s="88" t="n"/>
      <c r="H1112" s="88" t="n"/>
      <c r="I1112" s="88" t="n"/>
      <c r="J1112" s="89" t="n"/>
      <c r="K1112" s="88" t="n"/>
      <c r="L1112" s="88" t="n"/>
      <c r="M1112" s="88" t="n"/>
      <c r="N1112" s="89" t="n"/>
      <c r="O1112" s="88" t="n"/>
      <c r="P1112" s="88" t="n"/>
      <c r="Q1112" s="88" t="n"/>
      <c r="R1112" s="89" t="n"/>
      <c r="S1112" s="88" t="n"/>
      <c r="T1112" s="88" t="n"/>
      <c r="U1112" s="88" t="n"/>
      <c r="V1112" s="89" t="n"/>
      <c r="W1112" s="88" t="n"/>
      <c r="X1112" s="89" t="n"/>
      <c r="Y1112" s="88" t="n"/>
      <c r="Z1112" s="89" t="n"/>
      <c r="AB1112" s="25">
        <f>IF($B1112="","",(COUNTIF(C1112:E1112,"?*")&lt;N(INDEX(Setup!$L$6:$L$23,5)))+(COUNTIF(G1112:I1112,"?*")&lt;N(INDEX(Setup!$L$6:$L$23,5)))+(COUNTIF(K1112:M1112,"?*")&lt;N(INDEX(Setup!$L$6:$L$23,5)))+(COUNTIF(O1112:Q1112,"?*")&lt;N(INDEX(Setup!$L$6:$L$23,5)))+(COUNTIF(S1112:U1112,"?*")&lt;N(INDEX(Setup!$L$6:$L$23,5)))+((W1112="")*(INDEX(Setup!$M$6:$M$23,5)="Y"))+((Y1112="")*(INDEX(Setup!$M$6:$M$23,5)="Y")))</f>
        <v/>
      </c>
      <c r="AC1112" s="90">
        <f>IF($B1112="","",IF(AB1112=0,"✓ covered","⚠ "&amp;AB1112&amp;IF(AB1112=1," gap"," gaps")))</f>
        <v/>
      </c>
    </row>
    <row r="1113" ht="17" customHeight="1">
      <c r="A1113" t="n">
        <v>23</v>
      </c>
      <c r="B1113" s="29">
        <f>IF(Setup!$K$11="","",Setup!$K$11)</f>
        <v/>
      </c>
      <c r="C1113" s="88" t="n"/>
      <c r="D1113" s="88" t="n"/>
      <c r="E1113" s="88" t="n"/>
      <c r="F1113" s="89" t="n"/>
      <c r="G1113" s="88" t="n"/>
      <c r="H1113" s="88" t="n"/>
      <c r="I1113" s="88" t="n"/>
      <c r="J1113" s="89" t="n"/>
      <c r="K1113" s="88" t="n"/>
      <c r="L1113" s="88" t="n"/>
      <c r="M1113" s="88" t="n"/>
      <c r="N1113" s="89" t="n"/>
      <c r="O1113" s="88" t="n"/>
      <c r="P1113" s="88" t="n"/>
      <c r="Q1113" s="88" t="n"/>
      <c r="R1113" s="89" t="n"/>
      <c r="S1113" s="88" t="n"/>
      <c r="T1113" s="88" t="n"/>
      <c r="U1113" s="88" t="n"/>
      <c r="V1113" s="89" t="n"/>
      <c r="W1113" s="88" t="n"/>
      <c r="X1113" s="89" t="n"/>
      <c r="Y1113" s="88" t="n"/>
      <c r="Z1113" s="89" t="n"/>
      <c r="AB1113" s="30">
        <f>IF($B1113="","",(COUNTIF(C1113:E1113,"?*")&lt;N(INDEX(Setup!$L$6:$L$23,6)))+(COUNTIF(G1113:I1113,"?*")&lt;N(INDEX(Setup!$L$6:$L$23,6)))+(COUNTIF(K1113:M1113,"?*")&lt;N(INDEX(Setup!$L$6:$L$23,6)))+(COUNTIF(O1113:Q1113,"?*")&lt;N(INDEX(Setup!$L$6:$L$23,6)))+(COUNTIF(S1113:U1113,"?*")&lt;N(INDEX(Setup!$L$6:$L$23,6)))+((W1113="")*(INDEX(Setup!$M$6:$M$23,6)="Y"))+((Y1113="")*(INDEX(Setup!$M$6:$M$23,6)="Y")))</f>
        <v/>
      </c>
      <c r="AC1113" s="91">
        <f>IF($B1113="","",IF(AB1113=0,"✓ covered","⚠ "&amp;AB1113&amp;IF(AB1113=1," gap"," gaps")))</f>
        <v/>
      </c>
    </row>
    <row r="1114" ht="17" customHeight="1">
      <c r="A1114" t="n">
        <v>23</v>
      </c>
      <c r="B1114" s="24">
        <f>IF(Setup!$K$12="","",Setup!$K$12)</f>
        <v/>
      </c>
      <c r="C1114" s="88" t="n"/>
      <c r="D1114" s="88" t="n"/>
      <c r="E1114" s="88" t="n"/>
      <c r="F1114" s="89" t="n"/>
      <c r="G1114" s="88" t="n"/>
      <c r="H1114" s="88" t="n"/>
      <c r="I1114" s="88" t="n"/>
      <c r="J1114" s="89" t="n"/>
      <c r="K1114" s="88" t="n"/>
      <c r="L1114" s="88" t="n"/>
      <c r="M1114" s="88" t="n"/>
      <c r="N1114" s="89" t="n"/>
      <c r="O1114" s="88" t="n"/>
      <c r="P1114" s="88" t="n"/>
      <c r="Q1114" s="88" t="n"/>
      <c r="R1114" s="89" t="n"/>
      <c r="S1114" s="88" t="n"/>
      <c r="T1114" s="88" t="n"/>
      <c r="U1114" s="88" t="n"/>
      <c r="V1114" s="89" t="n"/>
      <c r="W1114" s="88" t="n"/>
      <c r="X1114" s="89" t="n"/>
      <c r="Y1114" s="88" t="n"/>
      <c r="Z1114" s="89" t="n"/>
      <c r="AB1114" s="25">
        <f>IF($B1114="","",(COUNTIF(C1114:E1114,"?*")&lt;N(INDEX(Setup!$L$6:$L$23,7)))+(COUNTIF(G1114:I1114,"?*")&lt;N(INDEX(Setup!$L$6:$L$23,7)))+(COUNTIF(K1114:M1114,"?*")&lt;N(INDEX(Setup!$L$6:$L$23,7)))+(COUNTIF(O1114:Q1114,"?*")&lt;N(INDEX(Setup!$L$6:$L$23,7)))+(COUNTIF(S1114:U1114,"?*")&lt;N(INDEX(Setup!$L$6:$L$23,7)))+((W1114="")*(INDEX(Setup!$M$6:$M$23,7)="Y"))+((Y1114="")*(INDEX(Setup!$M$6:$M$23,7)="Y")))</f>
        <v/>
      </c>
      <c r="AC1114" s="90">
        <f>IF($B1114="","",IF(AB1114=0,"✓ covered","⚠ "&amp;AB1114&amp;IF(AB1114=1," gap"," gaps")))</f>
        <v/>
      </c>
    </row>
    <row r="1115" ht="17" customHeight="1">
      <c r="A1115" t="n">
        <v>23</v>
      </c>
      <c r="B1115" s="29">
        <f>IF(Setup!$K$13="","",Setup!$K$13)</f>
        <v/>
      </c>
      <c r="C1115" s="88" t="n"/>
      <c r="D1115" s="88" t="n"/>
      <c r="E1115" s="88" t="n"/>
      <c r="F1115" s="89" t="n"/>
      <c r="G1115" s="88" t="n"/>
      <c r="H1115" s="88" t="n"/>
      <c r="I1115" s="88" t="n"/>
      <c r="J1115" s="89" t="n"/>
      <c r="K1115" s="88" t="n"/>
      <c r="L1115" s="88" t="n"/>
      <c r="M1115" s="88" t="n"/>
      <c r="N1115" s="89" t="n"/>
      <c r="O1115" s="88" t="n"/>
      <c r="P1115" s="88" t="n"/>
      <c r="Q1115" s="88" t="n"/>
      <c r="R1115" s="89" t="n"/>
      <c r="S1115" s="88" t="n"/>
      <c r="T1115" s="88" t="n"/>
      <c r="U1115" s="88" t="n"/>
      <c r="V1115" s="89" t="n"/>
      <c r="W1115" s="88" t="n"/>
      <c r="X1115" s="89" t="n"/>
      <c r="Y1115" s="88" t="n"/>
      <c r="Z1115" s="89" t="n"/>
      <c r="AB1115" s="30">
        <f>IF($B1115="","",(COUNTIF(C1115:E1115,"?*")&lt;N(INDEX(Setup!$L$6:$L$23,8)))+(COUNTIF(G1115:I1115,"?*")&lt;N(INDEX(Setup!$L$6:$L$23,8)))+(COUNTIF(K1115:M1115,"?*")&lt;N(INDEX(Setup!$L$6:$L$23,8)))+(COUNTIF(O1115:Q1115,"?*")&lt;N(INDEX(Setup!$L$6:$L$23,8)))+(COUNTIF(S1115:U1115,"?*")&lt;N(INDEX(Setup!$L$6:$L$23,8)))+((W1115="")*(INDEX(Setup!$M$6:$M$23,8)="Y"))+((Y1115="")*(INDEX(Setup!$M$6:$M$23,8)="Y")))</f>
        <v/>
      </c>
      <c r="AC1115" s="91">
        <f>IF($B1115="","",IF(AB1115=0,"✓ covered","⚠ "&amp;AB1115&amp;IF(AB1115=1," gap"," gaps")))</f>
        <v/>
      </c>
    </row>
    <row r="1116" ht="17" customHeight="1">
      <c r="A1116" t="n">
        <v>23</v>
      </c>
      <c r="B1116" s="24">
        <f>IF(Setup!$K$14="","",Setup!$K$14)</f>
        <v/>
      </c>
      <c r="C1116" s="88" t="n"/>
      <c r="D1116" s="88" t="n"/>
      <c r="E1116" s="88" t="n"/>
      <c r="F1116" s="89" t="n"/>
      <c r="G1116" s="88" t="n"/>
      <c r="H1116" s="88" t="n"/>
      <c r="I1116" s="88" t="n"/>
      <c r="J1116" s="89" t="n"/>
      <c r="K1116" s="88" t="n"/>
      <c r="L1116" s="88" t="n"/>
      <c r="M1116" s="88" t="n"/>
      <c r="N1116" s="89" t="n"/>
      <c r="O1116" s="88" t="n"/>
      <c r="P1116" s="88" t="n"/>
      <c r="Q1116" s="88" t="n"/>
      <c r="R1116" s="89" t="n"/>
      <c r="S1116" s="88" t="n"/>
      <c r="T1116" s="88" t="n"/>
      <c r="U1116" s="88" t="n"/>
      <c r="V1116" s="89" t="n"/>
      <c r="W1116" s="88" t="n"/>
      <c r="X1116" s="89" t="n"/>
      <c r="Y1116" s="88" t="n"/>
      <c r="Z1116" s="89" t="n"/>
      <c r="AB1116" s="25">
        <f>IF($B1116="","",(COUNTIF(C1116:E1116,"?*")&lt;N(INDEX(Setup!$L$6:$L$23,9)))+(COUNTIF(G1116:I1116,"?*")&lt;N(INDEX(Setup!$L$6:$L$23,9)))+(COUNTIF(K1116:M1116,"?*")&lt;N(INDEX(Setup!$L$6:$L$23,9)))+(COUNTIF(O1116:Q1116,"?*")&lt;N(INDEX(Setup!$L$6:$L$23,9)))+(COUNTIF(S1116:U1116,"?*")&lt;N(INDEX(Setup!$L$6:$L$23,9)))+((W1116="")*(INDEX(Setup!$M$6:$M$23,9)="Y"))+((Y1116="")*(INDEX(Setup!$M$6:$M$23,9)="Y")))</f>
        <v/>
      </c>
      <c r="AC1116" s="90">
        <f>IF($B1116="","",IF(AB1116=0,"✓ covered","⚠ "&amp;AB1116&amp;IF(AB1116=1," gap"," gaps")))</f>
        <v/>
      </c>
    </row>
    <row r="1117" ht="17" customHeight="1">
      <c r="A1117" t="n">
        <v>23</v>
      </c>
      <c r="B1117" s="29">
        <f>IF(Setup!$K$15="","",Setup!$K$15)</f>
        <v/>
      </c>
      <c r="C1117" s="88" t="n"/>
      <c r="D1117" s="88" t="n"/>
      <c r="E1117" s="88" t="n"/>
      <c r="F1117" s="89" t="n"/>
      <c r="G1117" s="88" t="n"/>
      <c r="H1117" s="88" t="n"/>
      <c r="I1117" s="88" t="n"/>
      <c r="J1117" s="89" t="n"/>
      <c r="K1117" s="88" t="n"/>
      <c r="L1117" s="88" t="n"/>
      <c r="M1117" s="88" t="n"/>
      <c r="N1117" s="89" t="n"/>
      <c r="O1117" s="88" t="n"/>
      <c r="P1117" s="88" t="n"/>
      <c r="Q1117" s="88" t="n"/>
      <c r="R1117" s="89" t="n"/>
      <c r="S1117" s="88" t="n"/>
      <c r="T1117" s="88" t="n"/>
      <c r="U1117" s="88" t="n"/>
      <c r="V1117" s="89" t="n"/>
      <c r="W1117" s="88" t="n"/>
      <c r="X1117" s="89" t="n"/>
      <c r="Y1117" s="88" t="n"/>
      <c r="Z1117" s="89" t="n"/>
      <c r="AB1117" s="30">
        <f>IF($B1117="","",(COUNTIF(C1117:E1117,"?*")&lt;N(INDEX(Setup!$L$6:$L$23,10)))+(COUNTIF(G1117:I1117,"?*")&lt;N(INDEX(Setup!$L$6:$L$23,10)))+(COUNTIF(K1117:M1117,"?*")&lt;N(INDEX(Setup!$L$6:$L$23,10)))+(COUNTIF(O1117:Q1117,"?*")&lt;N(INDEX(Setup!$L$6:$L$23,10)))+(COUNTIF(S1117:U1117,"?*")&lt;N(INDEX(Setup!$L$6:$L$23,10)))+((W1117="")*(INDEX(Setup!$M$6:$M$23,10)="Y"))+((Y1117="")*(INDEX(Setup!$M$6:$M$23,10)="Y")))</f>
        <v/>
      </c>
      <c r="AC1117" s="91">
        <f>IF($B1117="","",IF(AB1117=0,"✓ covered","⚠ "&amp;AB1117&amp;IF(AB1117=1," gap"," gaps")))</f>
        <v/>
      </c>
    </row>
    <row r="1118" ht="17" customHeight="1">
      <c r="A1118" t="n">
        <v>23</v>
      </c>
      <c r="B1118" s="24">
        <f>IF(Setup!$K$16="","",Setup!$K$16)</f>
        <v/>
      </c>
      <c r="C1118" s="88" t="n"/>
      <c r="D1118" s="88" t="n"/>
      <c r="E1118" s="88" t="n"/>
      <c r="F1118" s="89" t="n"/>
      <c r="G1118" s="88" t="n"/>
      <c r="H1118" s="88" t="n"/>
      <c r="I1118" s="88" t="n"/>
      <c r="J1118" s="89" t="n"/>
      <c r="K1118" s="88" t="n"/>
      <c r="L1118" s="88" t="n"/>
      <c r="M1118" s="88" t="n"/>
      <c r="N1118" s="89" t="n"/>
      <c r="O1118" s="88" t="n"/>
      <c r="P1118" s="88" t="n"/>
      <c r="Q1118" s="88" t="n"/>
      <c r="R1118" s="89" t="n"/>
      <c r="S1118" s="88" t="n"/>
      <c r="T1118" s="88" t="n"/>
      <c r="U1118" s="88" t="n"/>
      <c r="V1118" s="89" t="n"/>
      <c r="W1118" s="88" t="n"/>
      <c r="X1118" s="89" t="n"/>
      <c r="Y1118" s="88" t="n"/>
      <c r="Z1118" s="89" t="n"/>
      <c r="AB1118" s="25">
        <f>IF($B1118="","",(COUNTIF(C1118:E1118,"?*")&lt;N(INDEX(Setup!$L$6:$L$23,11)))+(COUNTIF(G1118:I1118,"?*")&lt;N(INDEX(Setup!$L$6:$L$23,11)))+(COUNTIF(K1118:M1118,"?*")&lt;N(INDEX(Setup!$L$6:$L$23,11)))+(COUNTIF(O1118:Q1118,"?*")&lt;N(INDEX(Setup!$L$6:$L$23,11)))+(COUNTIF(S1118:U1118,"?*")&lt;N(INDEX(Setup!$L$6:$L$23,11)))+((W1118="")*(INDEX(Setup!$M$6:$M$23,11)="Y"))+((Y1118="")*(INDEX(Setup!$M$6:$M$23,11)="Y")))</f>
        <v/>
      </c>
      <c r="AC1118" s="90">
        <f>IF($B1118="","",IF(AB1118=0,"✓ covered","⚠ "&amp;AB1118&amp;IF(AB1118=1," gap"," gaps")))</f>
        <v/>
      </c>
    </row>
    <row r="1119" ht="17" customHeight="1">
      <c r="A1119" t="n">
        <v>23</v>
      </c>
      <c r="B1119" s="29">
        <f>IF(Setup!$K$17="","",Setup!$K$17)</f>
        <v/>
      </c>
      <c r="C1119" s="88" t="n"/>
      <c r="D1119" s="88" t="n"/>
      <c r="E1119" s="88" t="n"/>
      <c r="F1119" s="89" t="n"/>
      <c r="G1119" s="88" t="n"/>
      <c r="H1119" s="88" t="n"/>
      <c r="I1119" s="88" t="n"/>
      <c r="J1119" s="89" t="n"/>
      <c r="K1119" s="88" t="n"/>
      <c r="L1119" s="88" t="n"/>
      <c r="M1119" s="88" t="n"/>
      <c r="N1119" s="89" t="n"/>
      <c r="O1119" s="88" t="n"/>
      <c r="P1119" s="88" t="n"/>
      <c r="Q1119" s="88" t="n"/>
      <c r="R1119" s="89" t="n"/>
      <c r="S1119" s="88" t="n"/>
      <c r="T1119" s="88" t="n"/>
      <c r="U1119" s="88" t="n"/>
      <c r="V1119" s="89" t="n"/>
      <c r="W1119" s="88" t="n"/>
      <c r="X1119" s="89" t="n"/>
      <c r="Y1119" s="88" t="n"/>
      <c r="Z1119" s="89" t="n"/>
      <c r="AB1119" s="30">
        <f>IF($B1119="","",(COUNTIF(C1119:E1119,"?*")&lt;N(INDEX(Setup!$L$6:$L$23,12)))+(COUNTIF(G1119:I1119,"?*")&lt;N(INDEX(Setup!$L$6:$L$23,12)))+(COUNTIF(K1119:M1119,"?*")&lt;N(INDEX(Setup!$L$6:$L$23,12)))+(COUNTIF(O1119:Q1119,"?*")&lt;N(INDEX(Setup!$L$6:$L$23,12)))+(COUNTIF(S1119:U1119,"?*")&lt;N(INDEX(Setup!$L$6:$L$23,12)))+((W1119="")*(INDEX(Setup!$M$6:$M$23,12)="Y"))+((Y1119="")*(INDEX(Setup!$M$6:$M$23,12)="Y")))</f>
        <v/>
      </c>
      <c r="AC1119" s="91">
        <f>IF($B1119="","",IF(AB1119=0,"✓ covered","⚠ "&amp;AB1119&amp;IF(AB1119=1," gap"," gaps")))</f>
        <v/>
      </c>
    </row>
    <row r="1120" ht="17" customHeight="1">
      <c r="A1120" t="n">
        <v>23</v>
      </c>
      <c r="B1120" s="24">
        <f>IF(Setup!$K$18="","",Setup!$K$18)</f>
        <v/>
      </c>
      <c r="C1120" s="88" t="n"/>
      <c r="D1120" s="88" t="n"/>
      <c r="E1120" s="88" t="n"/>
      <c r="F1120" s="89" t="n"/>
      <c r="G1120" s="88" t="n"/>
      <c r="H1120" s="88" t="n"/>
      <c r="I1120" s="88" t="n"/>
      <c r="J1120" s="89" t="n"/>
      <c r="K1120" s="88" t="n"/>
      <c r="L1120" s="88" t="n"/>
      <c r="M1120" s="88" t="n"/>
      <c r="N1120" s="89" t="n"/>
      <c r="O1120" s="88" t="n"/>
      <c r="P1120" s="88" t="n"/>
      <c r="Q1120" s="88" t="n"/>
      <c r="R1120" s="89" t="n"/>
      <c r="S1120" s="88" t="n"/>
      <c r="T1120" s="88" t="n"/>
      <c r="U1120" s="88" t="n"/>
      <c r="V1120" s="89" t="n"/>
      <c r="W1120" s="88" t="n"/>
      <c r="X1120" s="89" t="n"/>
      <c r="Y1120" s="88" t="n"/>
      <c r="Z1120" s="89" t="n"/>
      <c r="AB1120" s="25">
        <f>IF($B1120="","",(COUNTIF(C1120:E1120,"?*")&lt;N(INDEX(Setup!$L$6:$L$23,13)))+(COUNTIF(G1120:I1120,"?*")&lt;N(INDEX(Setup!$L$6:$L$23,13)))+(COUNTIF(K1120:M1120,"?*")&lt;N(INDEX(Setup!$L$6:$L$23,13)))+(COUNTIF(O1120:Q1120,"?*")&lt;N(INDEX(Setup!$L$6:$L$23,13)))+(COUNTIF(S1120:U1120,"?*")&lt;N(INDEX(Setup!$L$6:$L$23,13)))+((W1120="")*(INDEX(Setup!$M$6:$M$23,13)="Y"))+((Y1120="")*(INDEX(Setup!$M$6:$M$23,13)="Y")))</f>
        <v/>
      </c>
      <c r="AC1120" s="90">
        <f>IF($B1120="","",IF(AB1120=0,"✓ covered","⚠ "&amp;AB1120&amp;IF(AB1120=1," gap"," gaps")))</f>
        <v/>
      </c>
    </row>
    <row r="1121" ht="17" customHeight="1">
      <c r="A1121" t="n">
        <v>23</v>
      </c>
      <c r="B1121" s="29">
        <f>IF(Setup!$K$19="","",Setup!$K$19)</f>
        <v/>
      </c>
      <c r="C1121" s="88" t="n"/>
      <c r="D1121" s="88" t="n"/>
      <c r="E1121" s="88" t="n"/>
      <c r="F1121" s="89" t="n"/>
      <c r="G1121" s="88" t="n"/>
      <c r="H1121" s="88" t="n"/>
      <c r="I1121" s="88" t="n"/>
      <c r="J1121" s="89" t="n"/>
      <c r="K1121" s="88" t="n"/>
      <c r="L1121" s="88" t="n"/>
      <c r="M1121" s="88" t="n"/>
      <c r="N1121" s="89" t="n"/>
      <c r="O1121" s="88" t="n"/>
      <c r="P1121" s="88" t="n"/>
      <c r="Q1121" s="88" t="n"/>
      <c r="R1121" s="89" t="n"/>
      <c r="S1121" s="88" t="n"/>
      <c r="T1121" s="88" t="n"/>
      <c r="U1121" s="88" t="n"/>
      <c r="V1121" s="89" t="n"/>
      <c r="W1121" s="88" t="n"/>
      <c r="X1121" s="89" t="n"/>
      <c r="Y1121" s="88" t="n"/>
      <c r="Z1121" s="89" t="n"/>
      <c r="AB1121" s="30">
        <f>IF($B1121="","",(COUNTIF(C1121:E1121,"?*")&lt;N(INDEX(Setup!$L$6:$L$23,14)))+(COUNTIF(G1121:I1121,"?*")&lt;N(INDEX(Setup!$L$6:$L$23,14)))+(COUNTIF(K1121:M1121,"?*")&lt;N(INDEX(Setup!$L$6:$L$23,14)))+(COUNTIF(O1121:Q1121,"?*")&lt;N(INDEX(Setup!$L$6:$L$23,14)))+(COUNTIF(S1121:U1121,"?*")&lt;N(INDEX(Setup!$L$6:$L$23,14)))+((W1121="")*(INDEX(Setup!$M$6:$M$23,14)="Y"))+((Y1121="")*(INDEX(Setup!$M$6:$M$23,14)="Y")))</f>
        <v/>
      </c>
      <c r="AC1121" s="91">
        <f>IF($B1121="","",IF(AB1121=0,"✓ covered","⚠ "&amp;AB1121&amp;IF(AB1121=1," gap"," gaps")))</f>
        <v/>
      </c>
    </row>
    <row r="1122" ht="17" customHeight="1">
      <c r="A1122" t="n">
        <v>23</v>
      </c>
      <c r="B1122" s="24">
        <f>IF(Setup!$K$20="","",Setup!$K$20)</f>
        <v/>
      </c>
      <c r="C1122" s="88" t="n"/>
      <c r="D1122" s="88" t="n"/>
      <c r="E1122" s="88" t="n"/>
      <c r="F1122" s="89" t="n"/>
      <c r="G1122" s="88" t="n"/>
      <c r="H1122" s="88" t="n"/>
      <c r="I1122" s="88" t="n"/>
      <c r="J1122" s="89" t="n"/>
      <c r="K1122" s="88" t="n"/>
      <c r="L1122" s="88" t="n"/>
      <c r="M1122" s="88" t="n"/>
      <c r="N1122" s="89" t="n"/>
      <c r="O1122" s="88" t="n"/>
      <c r="P1122" s="88" t="n"/>
      <c r="Q1122" s="88" t="n"/>
      <c r="R1122" s="89" t="n"/>
      <c r="S1122" s="88" t="n"/>
      <c r="T1122" s="88" t="n"/>
      <c r="U1122" s="88" t="n"/>
      <c r="V1122" s="89" t="n"/>
      <c r="W1122" s="88" t="n"/>
      <c r="X1122" s="89" t="n"/>
      <c r="Y1122" s="88" t="n"/>
      <c r="Z1122" s="89" t="n"/>
      <c r="AB1122" s="25">
        <f>IF($B1122="","",(COUNTIF(C1122:E1122,"?*")&lt;N(INDEX(Setup!$L$6:$L$23,15)))+(COUNTIF(G1122:I1122,"?*")&lt;N(INDEX(Setup!$L$6:$L$23,15)))+(COUNTIF(K1122:M1122,"?*")&lt;N(INDEX(Setup!$L$6:$L$23,15)))+(COUNTIF(O1122:Q1122,"?*")&lt;N(INDEX(Setup!$L$6:$L$23,15)))+(COUNTIF(S1122:U1122,"?*")&lt;N(INDEX(Setup!$L$6:$L$23,15)))+((W1122="")*(INDEX(Setup!$M$6:$M$23,15)="Y"))+((Y1122="")*(INDEX(Setup!$M$6:$M$23,15)="Y")))</f>
        <v/>
      </c>
      <c r="AC1122" s="90">
        <f>IF($B1122="","",IF(AB1122=0,"✓ covered","⚠ "&amp;AB1122&amp;IF(AB1122=1," gap"," gaps")))</f>
        <v/>
      </c>
    </row>
    <row r="1123" ht="17" customHeight="1">
      <c r="A1123" t="n">
        <v>23</v>
      </c>
      <c r="B1123" s="29">
        <f>IF(Setup!$K$21="","",Setup!$K$21)</f>
        <v/>
      </c>
      <c r="C1123" s="88" t="n"/>
      <c r="D1123" s="88" t="n"/>
      <c r="E1123" s="88" t="n"/>
      <c r="F1123" s="89" t="n"/>
      <c r="G1123" s="88" t="n"/>
      <c r="H1123" s="88" t="n"/>
      <c r="I1123" s="88" t="n"/>
      <c r="J1123" s="89" t="n"/>
      <c r="K1123" s="88" t="n"/>
      <c r="L1123" s="88" t="n"/>
      <c r="M1123" s="88" t="n"/>
      <c r="N1123" s="89" t="n"/>
      <c r="O1123" s="88" t="n"/>
      <c r="P1123" s="88" t="n"/>
      <c r="Q1123" s="88" t="n"/>
      <c r="R1123" s="89" t="n"/>
      <c r="S1123" s="88" t="n"/>
      <c r="T1123" s="88" t="n"/>
      <c r="U1123" s="88" t="n"/>
      <c r="V1123" s="89" t="n"/>
      <c r="W1123" s="88" t="n"/>
      <c r="X1123" s="89" t="n"/>
      <c r="Y1123" s="88" t="n"/>
      <c r="Z1123" s="89" t="n"/>
      <c r="AB1123" s="30">
        <f>IF($B1123="","",(COUNTIF(C1123:E1123,"?*")&lt;N(INDEX(Setup!$L$6:$L$23,16)))+(COUNTIF(G1123:I1123,"?*")&lt;N(INDEX(Setup!$L$6:$L$23,16)))+(COUNTIF(K1123:M1123,"?*")&lt;N(INDEX(Setup!$L$6:$L$23,16)))+(COUNTIF(O1123:Q1123,"?*")&lt;N(INDEX(Setup!$L$6:$L$23,16)))+(COUNTIF(S1123:U1123,"?*")&lt;N(INDEX(Setup!$L$6:$L$23,16)))+((W1123="")*(INDEX(Setup!$M$6:$M$23,16)="Y"))+((Y1123="")*(INDEX(Setup!$M$6:$M$23,16)="Y")))</f>
        <v/>
      </c>
      <c r="AC1123" s="91">
        <f>IF($B1123="","",IF(AB1123=0,"✓ covered","⚠ "&amp;AB1123&amp;IF(AB1123=1," gap"," gaps")))</f>
        <v/>
      </c>
    </row>
    <row r="1124" ht="17" customHeight="1">
      <c r="A1124" t="n">
        <v>23</v>
      </c>
      <c r="B1124" s="24">
        <f>IF(Setup!$K$22="","",Setup!$K$22)</f>
        <v/>
      </c>
      <c r="C1124" s="88" t="n"/>
      <c r="D1124" s="88" t="n"/>
      <c r="E1124" s="88" t="n"/>
      <c r="F1124" s="89" t="n"/>
      <c r="G1124" s="88" t="n"/>
      <c r="H1124" s="88" t="n"/>
      <c r="I1124" s="88" t="n"/>
      <c r="J1124" s="89" t="n"/>
      <c r="K1124" s="88" t="n"/>
      <c r="L1124" s="88" t="n"/>
      <c r="M1124" s="88" t="n"/>
      <c r="N1124" s="89" t="n"/>
      <c r="O1124" s="88" t="n"/>
      <c r="P1124" s="88" t="n"/>
      <c r="Q1124" s="88" t="n"/>
      <c r="R1124" s="89" t="n"/>
      <c r="S1124" s="88" t="n"/>
      <c r="T1124" s="88" t="n"/>
      <c r="U1124" s="88" t="n"/>
      <c r="V1124" s="89" t="n"/>
      <c r="W1124" s="88" t="n"/>
      <c r="X1124" s="89" t="n"/>
      <c r="Y1124" s="88" t="n"/>
      <c r="Z1124" s="89" t="n"/>
      <c r="AB1124" s="25">
        <f>IF($B1124="","",(COUNTIF(C1124:E1124,"?*")&lt;N(INDEX(Setup!$L$6:$L$23,17)))+(COUNTIF(G1124:I1124,"?*")&lt;N(INDEX(Setup!$L$6:$L$23,17)))+(COUNTIF(K1124:M1124,"?*")&lt;N(INDEX(Setup!$L$6:$L$23,17)))+(COUNTIF(O1124:Q1124,"?*")&lt;N(INDEX(Setup!$L$6:$L$23,17)))+(COUNTIF(S1124:U1124,"?*")&lt;N(INDEX(Setup!$L$6:$L$23,17)))+((W1124="")*(INDEX(Setup!$M$6:$M$23,17)="Y"))+((Y1124="")*(INDEX(Setup!$M$6:$M$23,17)="Y")))</f>
        <v/>
      </c>
      <c r="AC1124" s="90">
        <f>IF($B1124="","",IF(AB1124=0,"✓ covered","⚠ "&amp;AB1124&amp;IF(AB1124=1," gap"," gaps")))</f>
        <v/>
      </c>
    </row>
    <row r="1125" ht="17" customHeight="1">
      <c r="A1125" t="n">
        <v>23</v>
      </c>
      <c r="B1125" s="29">
        <f>IF(Setup!$K$23="","",Setup!$K$23)</f>
        <v/>
      </c>
      <c r="C1125" s="88" t="n"/>
      <c r="D1125" s="88" t="n"/>
      <c r="E1125" s="88" t="n"/>
      <c r="F1125" s="89" t="n"/>
      <c r="G1125" s="88" t="n"/>
      <c r="H1125" s="88" t="n"/>
      <c r="I1125" s="88" t="n"/>
      <c r="J1125" s="89" t="n"/>
      <c r="K1125" s="88" t="n"/>
      <c r="L1125" s="88" t="n"/>
      <c r="M1125" s="88" t="n"/>
      <c r="N1125" s="89" t="n"/>
      <c r="O1125" s="88" t="n"/>
      <c r="P1125" s="88" t="n"/>
      <c r="Q1125" s="88" t="n"/>
      <c r="R1125" s="89" t="n"/>
      <c r="S1125" s="88" t="n"/>
      <c r="T1125" s="88" t="n"/>
      <c r="U1125" s="88" t="n"/>
      <c r="V1125" s="89" t="n"/>
      <c r="W1125" s="88" t="n"/>
      <c r="X1125" s="89" t="n"/>
      <c r="Y1125" s="88" t="n"/>
      <c r="Z1125" s="89" t="n"/>
      <c r="AB1125" s="30">
        <f>IF($B1125="","",(COUNTIF(C1125:E1125,"?*")&lt;N(INDEX(Setup!$L$6:$L$23,18)))+(COUNTIF(G1125:I1125,"?*")&lt;N(INDEX(Setup!$L$6:$L$23,18)))+(COUNTIF(K1125:M1125,"?*")&lt;N(INDEX(Setup!$L$6:$L$23,18)))+(COUNTIF(O1125:Q1125,"?*")&lt;N(INDEX(Setup!$L$6:$L$23,18)))+(COUNTIF(S1125:U1125,"?*")&lt;N(INDEX(Setup!$L$6:$L$23,18)))+((W1125="")*(INDEX(Setup!$M$6:$M$23,18)="Y"))+((Y1125="")*(INDEX(Setup!$M$6:$M$23,18)="Y")))</f>
        <v/>
      </c>
      <c r="AC1125" s="91">
        <f>IF($B1125="","",IF(AB1125=0,"✓ covered","⚠ "&amp;AB1125&amp;IF(AB1125=1," gap"," gaps")))</f>
        <v/>
      </c>
    </row>
    <row r="1126" ht="18" customHeight="1">
      <c r="A1126" t="n">
        <v>23</v>
      </c>
      <c r="B1126" s="78" t="inlineStr">
        <is>
          <t>TEAM AVAILABILITY</t>
        </is>
      </c>
      <c r="C1126" s="92" t="inlineStr">
        <is>
          <t>Mon</t>
        </is>
      </c>
      <c r="D1126" s="93" t="n"/>
      <c r="E1126" s="93" t="n"/>
      <c r="F1126" s="94" t="n"/>
      <c r="G1126" s="92" t="inlineStr">
        <is>
          <t>Tue</t>
        </is>
      </c>
      <c r="H1126" s="93" t="n"/>
      <c r="I1126" s="93" t="n"/>
      <c r="J1126" s="94" t="n"/>
      <c r="K1126" s="92" t="inlineStr">
        <is>
          <t>Wed</t>
        </is>
      </c>
      <c r="L1126" s="93" t="n"/>
      <c r="M1126" s="93" t="n"/>
      <c r="N1126" s="94" t="n"/>
      <c r="O1126" s="92" t="inlineStr">
        <is>
          <t>Thu</t>
        </is>
      </c>
      <c r="P1126" s="93" t="n"/>
      <c r="Q1126" s="93" t="n"/>
      <c r="R1126" s="94" t="n"/>
      <c r="S1126" s="92" t="inlineStr">
        <is>
          <t>Fri</t>
        </is>
      </c>
      <c r="T1126" s="93" t="n"/>
      <c r="U1126" s="93" t="n"/>
      <c r="V1126" s="94" t="n"/>
      <c r="W1126" s="95" t="inlineStr">
        <is>
          <t>Sat</t>
        </is>
      </c>
      <c r="X1126" s="96" t="n"/>
      <c r="Y1126" s="95" t="inlineStr">
        <is>
          <t>Sun</t>
        </is>
      </c>
      <c r="Z1126" s="96" t="n"/>
      <c r="AB1126" s="97" t="inlineStr">
        <is>
          <t>Days rostered</t>
        </is>
      </c>
      <c r="AC1126" s="97" t="inlineStr">
        <is>
          <t>Conflicts</t>
        </is>
      </c>
    </row>
    <row r="1127" ht="15" customHeight="1">
      <c r="A1127" t="n">
        <v>23</v>
      </c>
      <c r="B1127" s="35">
        <f>IF(Setup!$B$6="","",Setup!$B$6)</f>
        <v/>
      </c>
      <c r="C1127" s="98" t="n"/>
      <c r="D1127" s="99" t="n"/>
      <c r="E1127" s="99" t="n"/>
      <c r="F1127" s="100" t="n"/>
      <c r="G1127" s="98" t="n"/>
      <c r="H1127" s="99" t="n"/>
      <c r="I1127" s="99" t="n"/>
      <c r="J1127" s="100" t="n"/>
      <c r="K1127" s="98" t="n"/>
      <c r="L1127" s="99" t="n"/>
      <c r="M1127" s="99" t="n"/>
      <c r="N1127" s="100" t="n"/>
      <c r="O1127" s="98" t="n"/>
      <c r="P1127" s="99" t="n"/>
      <c r="Q1127" s="99" t="n"/>
      <c r="R1127" s="100" t="n"/>
      <c r="S1127" s="98" t="n"/>
      <c r="T1127" s="99" t="n"/>
      <c r="U1127" s="99" t="n"/>
      <c r="V1127" s="100" t="n"/>
      <c r="W1127" s="98" t="n"/>
      <c r="X1127" s="100" t="n"/>
      <c r="Y1127" s="98" t="n"/>
      <c r="Z1127" s="100" t="n"/>
      <c r="AB1127" s="101">
        <f>IF($B1127="","",(COUNTIF(C1108:E1125,$B1127)+COUNTIF(C1108:E1125,$B1127&amp;" ~*")&gt;0)+(COUNTIF(G1108:I1125,$B1127)+COUNTIF(G1108:I1125,$B1127&amp;" ~*")&gt;0)+(COUNTIF(K1108:M1125,$B1127)+COUNTIF(K1108:M1125,$B1127&amp;" ~*")&gt;0)+(COUNTIF(O1108:Q1125,$B1127)+COUNTIF(O1108:Q1125,$B1127&amp;" ~*")&gt;0)+(COUNTIF(S1108:U1125,$B1127)+COUNTIF(S1108:U1125,$B1127&amp;" ~*")&gt;0)+(COUNTIF(W1108:W1125,$B1127)+COUNTIF(W1108:W1125,$B1127&amp;" ~*")&gt;0)+(COUNTIF(Y1108:Y1125,$B1127)+COUNTIF(Y1108:Y1125,$B1127&amp;" ~*")&gt;0))</f>
        <v/>
      </c>
      <c r="AC1127" s="36">
        <f>IF($B1127="","",(IFERROR(INDEX(Setup!$G$33:$G$40,MATCH(C1127,Setup!$B$33:$B$40,0)),0)=1)*(COUNTIF(C1108:E1125,$B1127)+COUNTIF(C1108:E1125,$B1127&amp;" ~*")&gt;0)+(IFERROR(INDEX(Setup!$G$33:$G$40,MATCH(G1127,Setup!$B$33:$B$40,0)),0)=1)*(COUNTIF(G1108:I1125,$B1127)+COUNTIF(G1108:I1125,$B1127&amp;" ~*")&gt;0)+(IFERROR(INDEX(Setup!$G$33:$G$40,MATCH(K1127,Setup!$B$33:$B$40,0)),0)=1)*(COUNTIF(K1108:M1125,$B1127)+COUNTIF(K1108:M1125,$B1127&amp;" ~*")&gt;0)+(IFERROR(INDEX(Setup!$G$33:$G$40,MATCH(O1127,Setup!$B$33:$B$40,0)),0)=1)*(COUNTIF(O1108:Q1125,$B1127)+COUNTIF(O1108:Q1125,$B1127&amp;" ~*")&gt;0)+(IFERROR(INDEX(Setup!$G$33:$G$40,MATCH(S1127,Setup!$B$33:$B$40,0)),0)=1)*(COUNTIF(S1108:U1125,$B1127)+COUNTIF(S1108:U1125,$B1127&amp;" ~*")&gt;0)+(IFERROR(INDEX(Setup!$G$33:$G$40,MATCH(W1127,Setup!$B$33:$B$40,0)),0)=1)*(COUNTIF(W1108:W1125,$B1127)+COUNTIF(W1108:W1125,$B1127&amp;" ~*")&gt;0)+(IFERROR(INDEX(Setup!$G$33:$G$40,MATCH(Y1127,Setup!$B$33:$B$40,0)),0)=1)*(COUNTIF(Y1108:Y1125,$B1127)+COUNTIF(Y1108:Y1125,$B1127&amp;" ~*")&gt;0))</f>
        <v/>
      </c>
    </row>
    <row r="1128" ht="15" customHeight="1">
      <c r="A1128" t="n">
        <v>23</v>
      </c>
      <c r="B1128" s="37">
        <f>IF(Setup!$B$7="","",Setup!$B$7)</f>
        <v/>
      </c>
      <c r="C1128" s="102" t="n"/>
      <c r="D1128" s="103" t="n"/>
      <c r="E1128" s="103" t="n"/>
      <c r="F1128" s="104" t="n"/>
      <c r="G1128" s="102" t="n"/>
      <c r="H1128" s="103" t="n"/>
      <c r="I1128" s="103" t="n"/>
      <c r="J1128" s="104" t="n"/>
      <c r="K1128" s="102" t="n"/>
      <c r="L1128" s="103" t="n"/>
      <c r="M1128" s="103" t="n"/>
      <c r="N1128" s="104" t="n"/>
      <c r="O1128" s="102" t="n"/>
      <c r="P1128" s="103" t="n"/>
      <c r="Q1128" s="103" t="n"/>
      <c r="R1128" s="104" t="n"/>
      <c r="S1128" s="102" t="n"/>
      <c r="T1128" s="103" t="n"/>
      <c r="U1128" s="103" t="n"/>
      <c r="V1128" s="104" t="n"/>
      <c r="W1128" s="102" t="n"/>
      <c r="X1128" s="104" t="n"/>
      <c r="Y1128" s="102" t="n"/>
      <c r="Z1128" s="104" t="n"/>
      <c r="AB1128" s="105">
        <f>IF($B1128="","",(COUNTIF(C1108:E1125,$B1128)+COUNTIF(C1108:E1125,$B1128&amp;" ~*")&gt;0)+(COUNTIF(G1108:I1125,$B1128)+COUNTIF(G1108:I1125,$B1128&amp;" ~*")&gt;0)+(COUNTIF(K1108:M1125,$B1128)+COUNTIF(K1108:M1125,$B1128&amp;" ~*")&gt;0)+(COUNTIF(O1108:Q1125,$B1128)+COUNTIF(O1108:Q1125,$B1128&amp;" ~*")&gt;0)+(COUNTIF(S1108:U1125,$B1128)+COUNTIF(S1108:U1125,$B1128&amp;" ~*")&gt;0)+(COUNTIF(W1108:W1125,$B1128)+COUNTIF(W1108:W1125,$B1128&amp;" ~*")&gt;0)+(COUNTIF(Y1108:Y1125,$B1128)+COUNTIF(Y1108:Y1125,$B1128&amp;" ~*")&gt;0))</f>
        <v/>
      </c>
      <c r="AC1128" s="38">
        <f>IF($B1128="","",(IFERROR(INDEX(Setup!$G$33:$G$40,MATCH(C1128,Setup!$B$33:$B$40,0)),0)=1)*(COUNTIF(C1108:E1125,$B1128)+COUNTIF(C1108:E1125,$B1128&amp;" ~*")&gt;0)+(IFERROR(INDEX(Setup!$G$33:$G$40,MATCH(G1128,Setup!$B$33:$B$40,0)),0)=1)*(COUNTIF(G1108:I1125,$B1128)+COUNTIF(G1108:I1125,$B1128&amp;" ~*")&gt;0)+(IFERROR(INDEX(Setup!$G$33:$G$40,MATCH(K1128,Setup!$B$33:$B$40,0)),0)=1)*(COUNTIF(K1108:M1125,$B1128)+COUNTIF(K1108:M1125,$B1128&amp;" ~*")&gt;0)+(IFERROR(INDEX(Setup!$G$33:$G$40,MATCH(O1128,Setup!$B$33:$B$40,0)),0)=1)*(COUNTIF(O1108:Q1125,$B1128)+COUNTIF(O1108:Q1125,$B1128&amp;" ~*")&gt;0)+(IFERROR(INDEX(Setup!$G$33:$G$40,MATCH(S1128,Setup!$B$33:$B$40,0)),0)=1)*(COUNTIF(S1108:U1125,$B1128)+COUNTIF(S1108:U1125,$B1128&amp;" ~*")&gt;0)+(IFERROR(INDEX(Setup!$G$33:$G$40,MATCH(W1128,Setup!$B$33:$B$40,0)),0)=1)*(COUNTIF(W1108:W1125,$B1128)+COUNTIF(W1108:W1125,$B1128&amp;" ~*")&gt;0)+(IFERROR(INDEX(Setup!$G$33:$G$40,MATCH(Y1128,Setup!$B$33:$B$40,0)),0)=1)*(COUNTIF(Y1108:Y1125,$B1128)+COUNTIF(Y1108:Y1125,$B1128&amp;" ~*")&gt;0))</f>
        <v/>
      </c>
    </row>
    <row r="1129" ht="15" customHeight="1">
      <c r="A1129" t="n">
        <v>23</v>
      </c>
      <c r="B1129" s="35">
        <f>IF(Setup!$B$8="","",Setup!$B$8)</f>
        <v/>
      </c>
      <c r="C1129" s="98" t="n"/>
      <c r="D1129" s="99" t="n"/>
      <c r="E1129" s="99" t="n"/>
      <c r="F1129" s="100" t="n"/>
      <c r="G1129" s="98" t="n"/>
      <c r="H1129" s="99" t="n"/>
      <c r="I1129" s="99" t="n"/>
      <c r="J1129" s="100" t="n"/>
      <c r="K1129" s="98" t="n"/>
      <c r="L1129" s="99" t="n"/>
      <c r="M1129" s="99" t="n"/>
      <c r="N1129" s="100" t="n"/>
      <c r="O1129" s="98" t="n"/>
      <c r="P1129" s="99" t="n"/>
      <c r="Q1129" s="99" t="n"/>
      <c r="R1129" s="100" t="n"/>
      <c r="S1129" s="98" t="n"/>
      <c r="T1129" s="99" t="n"/>
      <c r="U1129" s="99" t="n"/>
      <c r="V1129" s="100" t="n"/>
      <c r="W1129" s="98" t="n"/>
      <c r="X1129" s="100" t="n"/>
      <c r="Y1129" s="98" t="n"/>
      <c r="Z1129" s="100" t="n"/>
      <c r="AB1129" s="101">
        <f>IF($B1129="","",(COUNTIF(C1108:E1125,$B1129)+COUNTIF(C1108:E1125,$B1129&amp;" ~*")&gt;0)+(COUNTIF(G1108:I1125,$B1129)+COUNTIF(G1108:I1125,$B1129&amp;" ~*")&gt;0)+(COUNTIF(K1108:M1125,$B1129)+COUNTIF(K1108:M1125,$B1129&amp;" ~*")&gt;0)+(COUNTIF(O1108:Q1125,$B1129)+COUNTIF(O1108:Q1125,$B1129&amp;" ~*")&gt;0)+(COUNTIF(S1108:U1125,$B1129)+COUNTIF(S1108:U1125,$B1129&amp;" ~*")&gt;0)+(COUNTIF(W1108:W1125,$B1129)+COUNTIF(W1108:W1125,$B1129&amp;" ~*")&gt;0)+(COUNTIF(Y1108:Y1125,$B1129)+COUNTIF(Y1108:Y1125,$B1129&amp;" ~*")&gt;0))</f>
        <v/>
      </c>
      <c r="AC1129" s="36">
        <f>IF($B1129="","",(IFERROR(INDEX(Setup!$G$33:$G$40,MATCH(C1129,Setup!$B$33:$B$40,0)),0)=1)*(COUNTIF(C1108:E1125,$B1129)+COUNTIF(C1108:E1125,$B1129&amp;" ~*")&gt;0)+(IFERROR(INDEX(Setup!$G$33:$G$40,MATCH(G1129,Setup!$B$33:$B$40,0)),0)=1)*(COUNTIF(G1108:I1125,$B1129)+COUNTIF(G1108:I1125,$B1129&amp;" ~*")&gt;0)+(IFERROR(INDEX(Setup!$G$33:$G$40,MATCH(K1129,Setup!$B$33:$B$40,0)),0)=1)*(COUNTIF(K1108:M1125,$B1129)+COUNTIF(K1108:M1125,$B1129&amp;" ~*")&gt;0)+(IFERROR(INDEX(Setup!$G$33:$G$40,MATCH(O1129,Setup!$B$33:$B$40,0)),0)=1)*(COUNTIF(O1108:Q1125,$B1129)+COUNTIF(O1108:Q1125,$B1129&amp;" ~*")&gt;0)+(IFERROR(INDEX(Setup!$G$33:$G$40,MATCH(S1129,Setup!$B$33:$B$40,0)),0)=1)*(COUNTIF(S1108:U1125,$B1129)+COUNTIF(S1108:U1125,$B1129&amp;" ~*")&gt;0)+(IFERROR(INDEX(Setup!$G$33:$G$40,MATCH(W1129,Setup!$B$33:$B$40,0)),0)=1)*(COUNTIF(W1108:W1125,$B1129)+COUNTIF(W1108:W1125,$B1129&amp;" ~*")&gt;0)+(IFERROR(INDEX(Setup!$G$33:$G$40,MATCH(Y1129,Setup!$B$33:$B$40,0)),0)=1)*(COUNTIF(Y1108:Y1125,$B1129)+COUNTIF(Y1108:Y1125,$B1129&amp;" ~*")&gt;0))</f>
        <v/>
      </c>
    </row>
    <row r="1130" ht="15" customHeight="1">
      <c r="A1130" t="n">
        <v>23</v>
      </c>
      <c r="B1130" s="37">
        <f>IF(Setup!$B$9="","",Setup!$B$9)</f>
        <v/>
      </c>
      <c r="C1130" s="102" t="n"/>
      <c r="D1130" s="103" t="n"/>
      <c r="E1130" s="103" t="n"/>
      <c r="F1130" s="104" t="n"/>
      <c r="G1130" s="102" t="n"/>
      <c r="H1130" s="103" t="n"/>
      <c r="I1130" s="103" t="n"/>
      <c r="J1130" s="104" t="n"/>
      <c r="K1130" s="102" t="n"/>
      <c r="L1130" s="103" t="n"/>
      <c r="M1130" s="103" t="n"/>
      <c r="N1130" s="104" t="n"/>
      <c r="O1130" s="102" t="n"/>
      <c r="P1130" s="103" t="n"/>
      <c r="Q1130" s="103" t="n"/>
      <c r="R1130" s="104" t="n"/>
      <c r="S1130" s="102" t="n"/>
      <c r="T1130" s="103" t="n"/>
      <c r="U1130" s="103" t="n"/>
      <c r="V1130" s="104" t="n"/>
      <c r="W1130" s="102" t="n"/>
      <c r="X1130" s="104" t="n"/>
      <c r="Y1130" s="102" t="n"/>
      <c r="Z1130" s="104" t="n"/>
      <c r="AB1130" s="105">
        <f>IF($B1130="","",(COUNTIF(C1108:E1125,$B1130)+COUNTIF(C1108:E1125,$B1130&amp;" ~*")&gt;0)+(COUNTIF(G1108:I1125,$B1130)+COUNTIF(G1108:I1125,$B1130&amp;" ~*")&gt;0)+(COUNTIF(K1108:M1125,$B1130)+COUNTIF(K1108:M1125,$B1130&amp;" ~*")&gt;0)+(COUNTIF(O1108:Q1125,$B1130)+COUNTIF(O1108:Q1125,$B1130&amp;" ~*")&gt;0)+(COUNTIF(S1108:U1125,$B1130)+COUNTIF(S1108:U1125,$B1130&amp;" ~*")&gt;0)+(COUNTIF(W1108:W1125,$B1130)+COUNTIF(W1108:W1125,$B1130&amp;" ~*")&gt;0)+(COUNTIF(Y1108:Y1125,$B1130)+COUNTIF(Y1108:Y1125,$B1130&amp;" ~*")&gt;0))</f>
        <v/>
      </c>
      <c r="AC1130" s="38">
        <f>IF($B1130="","",(IFERROR(INDEX(Setup!$G$33:$G$40,MATCH(C1130,Setup!$B$33:$B$40,0)),0)=1)*(COUNTIF(C1108:E1125,$B1130)+COUNTIF(C1108:E1125,$B1130&amp;" ~*")&gt;0)+(IFERROR(INDEX(Setup!$G$33:$G$40,MATCH(G1130,Setup!$B$33:$B$40,0)),0)=1)*(COUNTIF(G1108:I1125,$B1130)+COUNTIF(G1108:I1125,$B1130&amp;" ~*")&gt;0)+(IFERROR(INDEX(Setup!$G$33:$G$40,MATCH(K1130,Setup!$B$33:$B$40,0)),0)=1)*(COUNTIF(K1108:M1125,$B1130)+COUNTIF(K1108:M1125,$B1130&amp;" ~*")&gt;0)+(IFERROR(INDEX(Setup!$G$33:$G$40,MATCH(O1130,Setup!$B$33:$B$40,0)),0)=1)*(COUNTIF(O1108:Q1125,$B1130)+COUNTIF(O1108:Q1125,$B1130&amp;" ~*")&gt;0)+(IFERROR(INDEX(Setup!$G$33:$G$40,MATCH(S1130,Setup!$B$33:$B$40,0)),0)=1)*(COUNTIF(S1108:U1125,$B1130)+COUNTIF(S1108:U1125,$B1130&amp;" ~*")&gt;0)+(IFERROR(INDEX(Setup!$G$33:$G$40,MATCH(W1130,Setup!$B$33:$B$40,0)),0)=1)*(COUNTIF(W1108:W1125,$B1130)+COUNTIF(W1108:W1125,$B1130&amp;" ~*")&gt;0)+(IFERROR(INDEX(Setup!$G$33:$G$40,MATCH(Y1130,Setup!$B$33:$B$40,0)),0)=1)*(COUNTIF(Y1108:Y1125,$B1130)+COUNTIF(Y1108:Y1125,$B1130&amp;" ~*")&gt;0))</f>
        <v/>
      </c>
    </row>
    <row r="1131" ht="15" customHeight="1">
      <c r="A1131" t="n">
        <v>23</v>
      </c>
      <c r="B1131" s="35">
        <f>IF(Setup!$B$10="","",Setup!$B$10)</f>
        <v/>
      </c>
      <c r="C1131" s="98" t="inlineStr">
        <is>
          <t>AL</t>
        </is>
      </c>
      <c r="D1131" s="99" t="n"/>
      <c r="E1131" s="99" t="n"/>
      <c r="F1131" s="100" t="n"/>
      <c r="G1131" s="98" t="inlineStr">
        <is>
          <t>AL</t>
        </is>
      </c>
      <c r="H1131" s="99" t="n"/>
      <c r="I1131" s="99" t="n"/>
      <c r="J1131" s="100" t="n"/>
      <c r="K1131" s="98" t="inlineStr">
        <is>
          <t>AL</t>
        </is>
      </c>
      <c r="L1131" s="99" t="n"/>
      <c r="M1131" s="99" t="n"/>
      <c r="N1131" s="100" t="n"/>
      <c r="O1131" s="98" t="inlineStr">
        <is>
          <t>AL</t>
        </is>
      </c>
      <c r="P1131" s="99" t="n"/>
      <c r="Q1131" s="99" t="n"/>
      <c r="R1131" s="100" t="n"/>
      <c r="S1131" s="98" t="inlineStr">
        <is>
          <t>AL</t>
        </is>
      </c>
      <c r="T1131" s="99" t="n"/>
      <c r="U1131" s="99" t="n"/>
      <c r="V1131" s="100" t="n"/>
      <c r="W1131" s="98" t="n"/>
      <c r="X1131" s="100" t="n"/>
      <c r="Y1131" s="98" t="n"/>
      <c r="Z1131" s="100" t="n"/>
      <c r="AB1131" s="101">
        <f>IF($B1131="","",(COUNTIF(C1108:E1125,$B1131)+COUNTIF(C1108:E1125,$B1131&amp;" ~*")&gt;0)+(COUNTIF(G1108:I1125,$B1131)+COUNTIF(G1108:I1125,$B1131&amp;" ~*")&gt;0)+(COUNTIF(K1108:M1125,$B1131)+COUNTIF(K1108:M1125,$B1131&amp;" ~*")&gt;0)+(COUNTIF(O1108:Q1125,$B1131)+COUNTIF(O1108:Q1125,$B1131&amp;" ~*")&gt;0)+(COUNTIF(S1108:U1125,$B1131)+COUNTIF(S1108:U1125,$B1131&amp;" ~*")&gt;0)+(COUNTIF(W1108:W1125,$B1131)+COUNTIF(W1108:W1125,$B1131&amp;" ~*")&gt;0)+(COUNTIF(Y1108:Y1125,$B1131)+COUNTIF(Y1108:Y1125,$B1131&amp;" ~*")&gt;0))</f>
        <v/>
      </c>
      <c r="AC1131" s="36">
        <f>IF($B1131="","",(IFERROR(INDEX(Setup!$G$33:$G$40,MATCH(C1131,Setup!$B$33:$B$40,0)),0)=1)*(COUNTIF(C1108:E1125,$B1131)+COUNTIF(C1108:E1125,$B1131&amp;" ~*")&gt;0)+(IFERROR(INDEX(Setup!$G$33:$G$40,MATCH(G1131,Setup!$B$33:$B$40,0)),0)=1)*(COUNTIF(G1108:I1125,$B1131)+COUNTIF(G1108:I1125,$B1131&amp;" ~*")&gt;0)+(IFERROR(INDEX(Setup!$G$33:$G$40,MATCH(K1131,Setup!$B$33:$B$40,0)),0)=1)*(COUNTIF(K1108:M1125,$B1131)+COUNTIF(K1108:M1125,$B1131&amp;" ~*")&gt;0)+(IFERROR(INDEX(Setup!$G$33:$G$40,MATCH(O1131,Setup!$B$33:$B$40,0)),0)=1)*(COUNTIF(O1108:Q1125,$B1131)+COUNTIF(O1108:Q1125,$B1131&amp;" ~*")&gt;0)+(IFERROR(INDEX(Setup!$G$33:$G$40,MATCH(S1131,Setup!$B$33:$B$40,0)),0)=1)*(COUNTIF(S1108:U1125,$B1131)+COUNTIF(S1108:U1125,$B1131&amp;" ~*")&gt;0)+(IFERROR(INDEX(Setup!$G$33:$G$40,MATCH(W1131,Setup!$B$33:$B$40,0)),0)=1)*(COUNTIF(W1108:W1125,$B1131)+COUNTIF(W1108:W1125,$B1131&amp;" ~*")&gt;0)+(IFERROR(INDEX(Setup!$G$33:$G$40,MATCH(Y1131,Setup!$B$33:$B$40,0)),0)=1)*(COUNTIF(Y1108:Y1125,$B1131)+COUNTIF(Y1108:Y1125,$B1131&amp;" ~*")&gt;0))</f>
        <v/>
      </c>
    </row>
    <row r="1132" ht="15" customHeight="1">
      <c r="A1132" t="n">
        <v>23</v>
      </c>
      <c r="B1132" s="37">
        <f>IF(Setup!$B$11="","",Setup!$B$11)</f>
        <v/>
      </c>
      <c r="C1132" s="102" t="n"/>
      <c r="D1132" s="103" t="n"/>
      <c r="E1132" s="103" t="n"/>
      <c r="F1132" s="104" t="n"/>
      <c r="G1132" s="102" t="n"/>
      <c r="H1132" s="103" t="n"/>
      <c r="I1132" s="103" t="n"/>
      <c r="J1132" s="104" t="n"/>
      <c r="K1132" s="102" t="n"/>
      <c r="L1132" s="103" t="n"/>
      <c r="M1132" s="103" t="n"/>
      <c r="N1132" s="104" t="n"/>
      <c r="O1132" s="102" t="n"/>
      <c r="P1132" s="103" t="n"/>
      <c r="Q1132" s="103" t="n"/>
      <c r="R1132" s="104" t="n"/>
      <c r="S1132" s="102" t="n"/>
      <c r="T1132" s="103" t="n"/>
      <c r="U1132" s="103" t="n"/>
      <c r="V1132" s="104" t="n"/>
      <c r="W1132" s="102" t="n"/>
      <c r="X1132" s="104" t="n"/>
      <c r="Y1132" s="102" t="n"/>
      <c r="Z1132" s="104" t="n"/>
      <c r="AB1132" s="105">
        <f>IF($B1132="","",(COUNTIF(C1108:E1125,$B1132)+COUNTIF(C1108:E1125,$B1132&amp;" ~*")&gt;0)+(COUNTIF(G1108:I1125,$B1132)+COUNTIF(G1108:I1125,$B1132&amp;" ~*")&gt;0)+(COUNTIF(K1108:M1125,$B1132)+COUNTIF(K1108:M1125,$B1132&amp;" ~*")&gt;0)+(COUNTIF(O1108:Q1125,$B1132)+COUNTIF(O1108:Q1125,$B1132&amp;" ~*")&gt;0)+(COUNTIF(S1108:U1125,$B1132)+COUNTIF(S1108:U1125,$B1132&amp;" ~*")&gt;0)+(COUNTIF(W1108:W1125,$B1132)+COUNTIF(W1108:W1125,$B1132&amp;" ~*")&gt;0)+(COUNTIF(Y1108:Y1125,$B1132)+COUNTIF(Y1108:Y1125,$B1132&amp;" ~*")&gt;0))</f>
        <v/>
      </c>
      <c r="AC1132" s="38">
        <f>IF($B1132="","",(IFERROR(INDEX(Setup!$G$33:$G$40,MATCH(C1132,Setup!$B$33:$B$40,0)),0)=1)*(COUNTIF(C1108:E1125,$B1132)+COUNTIF(C1108:E1125,$B1132&amp;" ~*")&gt;0)+(IFERROR(INDEX(Setup!$G$33:$G$40,MATCH(G1132,Setup!$B$33:$B$40,0)),0)=1)*(COUNTIF(G1108:I1125,$B1132)+COUNTIF(G1108:I1125,$B1132&amp;" ~*")&gt;0)+(IFERROR(INDEX(Setup!$G$33:$G$40,MATCH(K1132,Setup!$B$33:$B$40,0)),0)=1)*(COUNTIF(K1108:M1125,$B1132)+COUNTIF(K1108:M1125,$B1132&amp;" ~*")&gt;0)+(IFERROR(INDEX(Setup!$G$33:$G$40,MATCH(O1132,Setup!$B$33:$B$40,0)),0)=1)*(COUNTIF(O1108:Q1125,$B1132)+COUNTIF(O1108:Q1125,$B1132&amp;" ~*")&gt;0)+(IFERROR(INDEX(Setup!$G$33:$G$40,MATCH(S1132,Setup!$B$33:$B$40,0)),0)=1)*(COUNTIF(S1108:U1125,$B1132)+COUNTIF(S1108:U1125,$B1132&amp;" ~*")&gt;0)+(IFERROR(INDEX(Setup!$G$33:$G$40,MATCH(W1132,Setup!$B$33:$B$40,0)),0)=1)*(COUNTIF(W1108:W1125,$B1132)+COUNTIF(W1108:W1125,$B1132&amp;" ~*")&gt;0)+(IFERROR(INDEX(Setup!$G$33:$G$40,MATCH(Y1132,Setup!$B$33:$B$40,0)),0)=1)*(COUNTIF(Y1108:Y1125,$B1132)+COUNTIF(Y1108:Y1125,$B1132&amp;" ~*")&gt;0))</f>
        <v/>
      </c>
    </row>
    <row r="1133" ht="15" customHeight="1">
      <c r="A1133" t="n">
        <v>23</v>
      </c>
      <c r="B1133" s="35">
        <f>IF(Setup!$B$12="","",Setup!$B$12)</f>
        <v/>
      </c>
      <c r="C1133" s="98" t="n"/>
      <c r="D1133" s="99" t="n"/>
      <c r="E1133" s="99" t="n"/>
      <c r="F1133" s="100" t="n"/>
      <c r="G1133" s="98" t="n"/>
      <c r="H1133" s="99" t="n"/>
      <c r="I1133" s="99" t="n"/>
      <c r="J1133" s="100" t="n"/>
      <c r="K1133" s="98" t="n"/>
      <c r="L1133" s="99" t="n"/>
      <c r="M1133" s="99" t="n"/>
      <c r="N1133" s="100" t="n"/>
      <c r="O1133" s="98" t="n"/>
      <c r="P1133" s="99" t="n"/>
      <c r="Q1133" s="99" t="n"/>
      <c r="R1133" s="100" t="n"/>
      <c r="S1133" s="98" t="n"/>
      <c r="T1133" s="99" t="n"/>
      <c r="U1133" s="99" t="n"/>
      <c r="V1133" s="100" t="n"/>
      <c r="W1133" s="98" t="n"/>
      <c r="X1133" s="100" t="n"/>
      <c r="Y1133" s="98" t="n"/>
      <c r="Z1133" s="100" t="n"/>
      <c r="AB1133" s="101">
        <f>IF($B1133="","",(COUNTIF(C1108:E1125,$B1133)+COUNTIF(C1108:E1125,$B1133&amp;" ~*")&gt;0)+(COUNTIF(G1108:I1125,$B1133)+COUNTIF(G1108:I1125,$B1133&amp;" ~*")&gt;0)+(COUNTIF(K1108:M1125,$B1133)+COUNTIF(K1108:M1125,$B1133&amp;" ~*")&gt;0)+(COUNTIF(O1108:Q1125,$B1133)+COUNTIF(O1108:Q1125,$B1133&amp;" ~*")&gt;0)+(COUNTIF(S1108:U1125,$B1133)+COUNTIF(S1108:U1125,$B1133&amp;" ~*")&gt;0)+(COUNTIF(W1108:W1125,$B1133)+COUNTIF(W1108:W1125,$B1133&amp;" ~*")&gt;0)+(COUNTIF(Y1108:Y1125,$B1133)+COUNTIF(Y1108:Y1125,$B1133&amp;" ~*")&gt;0))</f>
        <v/>
      </c>
      <c r="AC1133" s="36">
        <f>IF($B1133="","",(IFERROR(INDEX(Setup!$G$33:$G$40,MATCH(C1133,Setup!$B$33:$B$40,0)),0)=1)*(COUNTIF(C1108:E1125,$B1133)+COUNTIF(C1108:E1125,$B1133&amp;" ~*")&gt;0)+(IFERROR(INDEX(Setup!$G$33:$G$40,MATCH(G1133,Setup!$B$33:$B$40,0)),0)=1)*(COUNTIF(G1108:I1125,$B1133)+COUNTIF(G1108:I1125,$B1133&amp;" ~*")&gt;0)+(IFERROR(INDEX(Setup!$G$33:$G$40,MATCH(K1133,Setup!$B$33:$B$40,0)),0)=1)*(COUNTIF(K1108:M1125,$B1133)+COUNTIF(K1108:M1125,$B1133&amp;" ~*")&gt;0)+(IFERROR(INDEX(Setup!$G$33:$G$40,MATCH(O1133,Setup!$B$33:$B$40,0)),0)=1)*(COUNTIF(O1108:Q1125,$B1133)+COUNTIF(O1108:Q1125,$B1133&amp;" ~*")&gt;0)+(IFERROR(INDEX(Setup!$G$33:$G$40,MATCH(S1133,Setup!$B$33:$B$40,0)),0)=1)*(COUNTIF(S1108:U1125,$B1133)+COUNTIF(S1108:U1125,$B1133&amp;" ~*")&gt;0)+(IFERROR(INDEX(Setup!$G$33:$G$40,MATCH(W1133,Setup!$B$33:$B$40,0)),0)=1)*(COUNTIF(W1108:W1125,$B1133)+COUNTIF(W1108:W1125,$B1133&amp;" ~*")&gt;0)+(IFERROR(INDEX(Setup!$G$33:$G$40,MATCH(Y1133,Setup!$B$33:$B$40,0)),0)=1)*(COUNTIF(Y1108:Y1125,$B1133)+COUNTIF(Y1108:Y1125,$B1133&amp;" ~*")&gt;0))</f>
        <v/>
      </c>
    </row>
    <row r="1134" ht="15" customHeight="1">
      <c r="A1134" t="n">
        <v>23</v>
      </c>
      <c r="B1134" s="37">
        <f>IF(Setup!$B$13="","",Setup!$B$13)</f>
        <v/>
      </c>
      <c r="C1134" s="102" t="n"/>
      <c r="D1134" s="103" t="n"/>
      <c r="E1134" s="103" t="n"/>
      <c r="F1134" s="104" t="n"/>
      <c r="G1134" s="102" t="n"/>
      <c r="H1134" s="103" t="n"/>
      <c r="I1134" s="103" t="n"/>
      <c r="J1134" s="104" t="n"/>
      <c r="K1134" s="102" t="n"/>
      <c r="L1134" s="103" t="n"/>
      <c r="M1134" s="103" t="n"/>
      <c r="N1134" s="104" t="n"/>
      <c r="O1134" s="102" t="n"/>
      <c r="P1134" s="103" t="n"/>
      <c r="Q1134" s="103" t="n"/>
      <c r="R1134" s="104" t="n"/>
      <c r="S1134" s="102" t="n"/>
      <c r="T1134" s="103" t="n"/>
      <c r="U1134" s="103" t="n"/>
      <c r="V1134" s="104" t="n"/>
      <c r="W1134" s="102" t="n"/>
      <c r="X1134" s="104" t="n"/>
      <c r="Y1134" s="102" t="n"/>
      <c r="Z1134" s="104" t="n"/>
      <c r="AB1134" s="105">
        <f>IF($B1134="","",(COUNTIF(C1108:E1125,$B1134)+COUNTIF(C1108:E1125,$B1134&amp;" ~*")&gt;0)+(COUNTIF(G1108:I1125,$B1134)+COUNTIF(G1108:I1125,$B1134&amp;" ~*")&gt;0)+(COUNTIF(K1108:M1125,$B1134)+COUNTIF(K1108:M1125,$B1134&amp;" ~*")&gt;0)+(COUNTIF(O1108:Q1125,$B1134)+COUNTIF(O1108:Q1125,$B1134&amp;" ~*")&gt;0)+(COUNTIF(S1108:U1125,$B1134)+COUNTIF(S1108:U1125,$B1134&amp;" ~*")&gt;0)+(COUNTIF(W1108:W1125,$B1134)+COUNTIF(W1108:W1125,$B1134&amp;" ~*")&gt;0)+(COUNTIF(Y1108:Y1125,$B1134)+COUNTIF(Y1108:Y1125,$B1134&amp;" ~*")&gt;0))</f>
        <v/>
      </c>
      <c r="AC1134" s="38">
        <f>IF($B1134="","",(IFERROR(INDEX(Setup!$G$33:$G$40,MATCH(C1134,Setup!$B$33:$B$40,0)),0)=1)*(COUNTIF(C1108:E1125,$B1134)+COUNTIF(C1108:E1125,$B1134&amp;" ~*")&gt;0)+(IFERROR(INDEX(Setup!$G$33:$G$40,MATCH(G1134,Setup!$B$33:$B$40,0)),0)=1)*(COUNTIF(G1108:I1125,$B1134)+COUNTIF(G1108:I1125,$B1134&amp;" ~*")&gt;0)+(IFERROR(INDEX(Setup!$G$33:$G$40,MATCH(K1134,Setup!$B$33:$B$40,0)),0)=1)*(COUNTIF(K1108:M1125,$B1134)+COUNTIF(K1108:M1125,$B1134&amp;" ~*")&gt;0)+(IFERROR(INDEX(Setup!$G$33:$G$40,MATCH(O1134,Setup!$B$33:$B$40,0)),0)=1)*(COUNTIF(O1108:Q1125,$B1134)+COUNTIF(O1108:Q1125,$B1134&amp;" ~*")&gt;0)+(IFERROR(INDEX(Setup!$G$33:$G$40,MATCH(S1134,Setup!$B$33:$B$40,0)),0)=1)*(COUNTIF(S1108:U1125,$B1134)+COUNTIF(S1108:U1125,$B1134&amp;" ~*")&gt;0)+(IFERROR(INDEX(Setup!$G$33:$G$40,MATCH(W1134,Setup!$B$33:$B$40,0)),0)=1)*(COUNTIF(W1108:W1125,$B1134)+COUNTIF(W1108:W1125,$B1134&amp;" ~*")&gt;0)+(IFERROR(INDEX(Setup!$G$33:$G$40,MATCH(Y1134,Setup!$B$33:$B$40,0)),0)=1)*(COUNTIF(Y1108:Y1125,$B1134)+COUNTIF(Y1108:Y1125,$B1134&amp;" ~*")&gt;0))</f>
        <v/>
      </c>
    </row>
    <row r="1135" ht="15" customHeight="1">
      <c r="A1135" t="n">
        <v>23</v>
      </c>
      <c r="B1135" s="35">
        <f>IF(Setup!$B$14="","",Setup!$B$14)</f>
        <v/>
      </c>
      <c r="C1135" s="98" t="n"/>
      <c r="D1135" s="99" t="n"/>
      <c r="E1135" s="99" t="n"/>
      <c r="F1135" s="100" t="n"/>
      <c r="G1135" s="98" t="n"/>
      <c r="H1135" s="99" t="n"/>
      <c r="I1135" s="99" t="n"/>
      <c r="J1135" s="100" t="n"/>
      <c r="K1135" s="98" t="n"/>
      <c r="L1135" s="99" t="n"/>
      <c r="M1135" s="99" t="n"/>
      <c r="N1135" s="100" t="n"/>
      <c r="O1135" s="98" t="n"/>
      <c r="P1135" s="99" t="n"/>
      <c r="Q1135" s="99" t="n"/>
      <c r="R1135" s="100" t="n"/>
      <c r="S1135" s="98" t="n"/>
      <c r="T1135" s="99" t="n"/>
      <c r="U1135" s="99" t="n"/>
      <c r="V1135" s="100" t="n"/>
      <c r="W1135" s="98" t="n"/>
      <c r="X1135" s="100" t="n"/>
      <c r="Y1135" s="98" t="n"/>
      <c r="Z1135" s="100" t="n"/>
      <c r="AB1135" s="101">
        <f>IF($B1135="","",(COUNTIF(C1108:E1125,$B1135)+COUNTIF(C1108:E1125,$B1135&amp;" ~*")&gt;0)+(COUNTIF(G1108:I1125,$B1135)+COUNTIF(G1108:I1125,$B1135&amp;" ~*")&gt;0)+(COUNTIF(K1108:M1125,$B1135)+COUNTIF(K1108:M1125,$B1135&amp;" ~*")&gt;0)+(COUNTIF(O1108:Q1125,$B1135)+COUNTIF(O1108:Q1125,$B1135&amp;" ~*")&gt;0)+(COUNTIF(S1108:U1125,$B1135)+COUNTIF(S1108:U1125,$B1135&amp;" ~*")&gt;0)+(COUNTIF(W1108:W1125,$B1135)+COUNTIF(W1108:W1125,$B1135&amp;" ~*")&gt;0)+(COUNTIF(Y1108:Y1125,$B1135)+COUNTIF(Y1108:Y1125,$B1135&amp;" ~*")&gt;0))</f>
        <v/>
      </c>
      <c r="AC1135" s="36">
        <f>IF($B1135="","",(IFERROR(INDEX(Setup!$G$33:$G$40,MATCH(C1135,Setup!$B$33:$B$40,0)),0)=1)*(COUNTIF(C1108:E1125,$B1135)+COUNTIF(C1108:E1125,$B1135&amp;" ~*")&gt;0)+(IFERROR(INDEX(Setup!$G$33:$G$40,MATCH(G1135,Setup!$B$33:$B$40,0)),0)=1)*(COUNTIF(G1108:I1125,$B1135)+COUNTIF(G1108:I1125,$B1135&amp;" ~*")&gt;0)+(IFERROR(INDEX(Setup!$G$33:$G$40,MATCH(K1135,Setup!$B$33:$B$40,0)),0)=1)*(COUNTIF(K1108:M1125,$B1135)+COUNTIF(K1108:M1125,$B1135&amp;" ~*")&gt;0)+(IFERROR(INDEX(Setup!$G$33:$G$40,MATCH(O1135,Setup!$B$33:$B$40,0)),0)=1)*(COUNTIF(O1108:Q1125,$B1135)+COUNTIF(O1108:Q1125,$B1135&amp;" ~*")&gt;0)+(IFERROR(INDEX(Setup!$G$33:$G$40,MATCH(S1135,Setup!$B$33:$B$40,0)),0)=1)*(COUNTIF(S1108:U1125,$B1135)+COUNTIF(S1108:U1125,$B1135&amp;" ~*")&gt;0)+(IFERROR(INDEX(Setup!$G$33:$G$40,MATCH(W1135,Setup!$B$33:$B$40,0)),0)=1)*(COUNTIF(W1108:W1125,$B1135)+COUNTIF(W1108:W1125,$B1135&amp;" ~*")&gt;0)+(IFERROR(INDEX(Setup!$G$33:$G$40,MATCH(Y1135,Setup!$B$33:$B$40,0)),0)=1)*(COUNTIF(Y1108:Y1125,$B1135)+COUNTIF(Y1108:Y1125,$B1135&amp;" ~*")&gt;0))</f>
        <v/>
      </c>
    </row>
    <row r="1136" ht="15" customHeight="1">
      <c r="A1136" t="n">
        <v>23</v>
      </c>
      <c r="B1136" s="37">
        <f>IF(Setup!$B$15="","",Setup!$B$15)</f>
        <v/>
      </c>
      <c r="C1136" s="102" t="n"/>
      <c r="D1136" s="103" t="n"/>
      <c r="E1136" s="103" t="n"/>
      <c r="F1136" s="104" t="n"/>
      <c r="G1136" s="102" t="n"/>
      <c r="H1136" s="103" t="n"/>
      <c r="I1136" s="103" t="n"/>
      <c r="J1136" s="104" t="n"/>
      <c r="K1136" s="102" t="n"/>
      <c r="L1136" s="103" t="n"/>
      <c r="M1136" s="103" t="n"/>
      <c r="N1136" s="104" t="n"/>
      <c r="O1136" s="102" t="n"/>
      <c r="P1136" s="103" t="n"/>
      <c r="Q1136" s="103" t="n"/>
      <c r="R1136" s="104" t="n"/>
      <c r="S1136" s="102" t="n"/>
      <c r="T1136" s="103" t="n"/>
      <c r="U1136" s="103" t="n"/>
      <c r="V1136" s="104" t="n"/>
      <c r="W1136" s="102" t="n"/>
      <c r="X1136" s="104" t="n"/>
      <c r="Y1136" s="102" t="n"/>
      <c r="Z1136" s="104" t="n"/>
      <c r="AB1136" s="105">
        <f>IF($B1136="","",(COUNTIF(C1108:E1125,$B1136)+COUNTIF(C1108:E1125,$B1136&amp;" ~*")&gt;0)+(COUNTIF(G1108:I1125,$B1136)+COUNTIF(G1108:I1125,$B1136&amp;" ~*")&gt;0)+(COUNTIF(K1108:M1125,$B1136)+COUNTIF(K1108:M1125,$B1136&amp;" ~*")&gt;0)+(COUNTIF(O1108:Q1125,$B1136)+COUNTIF(O1108:Q1125,$B1136&amp;" ~*")&gt;0)+(COUNTIF(S1108:U1125,$B1136)+COUNTIF(S1108:U1125,$B1136&amp;" ~*")&gt;0)+(COUNTIF(W1108:W1125,$B1136)+COUNTIF(W1108:W1125,$B1136&amp;" ~*")&gt;0)+(COUNTIF(Y1108:Y1125,$B1136)+COUNTIF(Y1108:Y1125,$B1136&amp;" ~*")&gt;0))</f>
        <v/>
      </c>
      <c r="AC1136" s="38">
        <f>IF($B1136="","",(IFERROR(INDEX(Setup!$G$33:$G$40,MATCH(C1136,Setup!$B$33:$B$40,0)),0)=1)*(COUNTIF(C1108:E1125,$B1136)+COUNTIF(C1108:E1125,$B1136&amp;" ~*")&gt;0)+(IFERROR(INDEX(Setup!$G$33:$G$40,MATCH(G1136,Setup!$B$33:$B$40,0)),0)=1)*(COUNTIF(G1108:I1125,$B1136)+COUNTIF(G1108:I1125,$B1136&amp;" ~*")&gt;0)+(IFERROR(INDEX(Setup!$G$33:$G$40,MATCH(K1136,Setup!$B$33:$B$40,0)),0)=1)*(COUNTIF(K1108:M1125,$B1136)+COUNTIF(K1108:M1125,$B1136&amp;" ~*")&gt;0)+(IFERROR(INDEX(Setup!$G$33:$G$40,MATCH(O1136,Setup!$B$33:$B$40,0)),0)=1)*(COUNTIF(O1108:Q1125,$B1136)+COUNTIF(O1108:Q1125,$B1136&amp;" ~*")&gt;0)+(IFERROR(INDEX(Setup!$G$33:$G$40,MATCH(S1136,Setup!$B$33:$B$40,0)),0)=1)*(COUNTIF(S1108:U1125,$B1136)+COUNTIF(S1108:U1125,$B1136&amp;" ~*")&gt;0)+(IFERROR(INDEX(Setup!$G$33:$G$40,MATCH(W1136,Setup!$B$33:$B$40,0)),0)=1)*(COUNTIF(W1108:W1125,$B1136)+COUNTIF(W1108:W1125,$B1136&amp;" ~*")&gt;0)+(IFERROR(INDEX(Setup!$G$33:$G$40,MATCH(Y1136,Setup!$B$33:$B$40,0)),0)=1)*(COUNTIF(Y1108:Y1125,$B1136)+COUNTIF(Y1108:Y1125,$B1136&amp;" ~*")&gt;0))</f>
        <v/>
      </c>
    </row>
    <row r="1137" ht="15" customHeight="1">
      <c r="A1137" t="n">
        <v>23</v>
      </c>
      <c r="B1137" s="35">
        <f>IF(Setup!$B$16="","",Setup!$B$16)</f>
        <v/>
      </c>
      <c r="C1137" s="98" t="n"/>
      <c r="D1137" s="99" t="n"/>
      <c r="E1137" s="99" t="n"/>
      <c r="F1137" s="100" t="n"/>
      <c r="G1137" s="98" t="n"/>
      <c r="H1137" s="99" t="n"/>
      <c r="I1137" s="99" t="n"/>
      <c r="J1137" s="100" t="n"/>
      <c r="K1137" s="98" t="n"/>
      <c r="L1137" s="99" t="n"/>
      <c r="M1137" s="99" t="n"/>
      <c r="N1137" s="100" t="n"/>
      <c r="O1137" s="98" t="n"/>
      <c r="P1137" s="99" t="n"/>
      <c r="Q1137" s="99" t="n"/>
      <c r="R1137" s="100" t="n"/>
      <c r="S1137" s="98" t="n"/>
      <c r="T1137" s="99" t="n"/>
      <c r="U1137" s="99" t="n"/>
      <c r="V1137" s="100" t="n"/>
      <c r="W1137" s="98" t="n"/>
      <c r="X1137" s="100" t="n"/>
      <c r="Y1137" s="98" t="n"/>
      <c r="Z1137" s="100" t="n"/>
      <c r="AB1137" s="101">
        <f>IF($B1137="","",(COUNTIF(C1108:E1125,$B1137)+COUNTIF(C1108:E1125,$B1137&amp;" ~*")&gt;0)+(COUNTIF(G1108:I1125,$B1137)+COUNTIF(G1108:I1125,$B1137&amp;" ~*")&gt;0)+(COUNTIF(K1108:M1125,$B1137)+COUNTIF(K1108:M1125,$B1137&amp;" ~*")&gt;0)+(COUNTIF(O1108:Q1125,$B1137)+COUNTIF(O1108:Q1125,$B1137&amp;" ~*")&gt;0)+(COUNTIF(S1108:U1125,$B1137)+COUNTIF(S1108:U1125,$B1137&amp;" ~*")&gt;0)+(COUNTIF(W1108:W1125,$B1137)+COUNTIF(W1108:W1125,$B1137&amp;" ~*")&gt;0)+(COUNTIF(Y1108:Y1125,$B1137)+COUNTIF(Y1108:Y1125,$B1137&amp;" ~*")&gt;0))</f>
        <v/>
      </c>
      <c r="AC1137" s="36">
        <f>IF($B1137="","",(IFERROR(INDEX(Setup!$G$33:$G$40,MATCH(C1137,Setup!$B$33:$B$40,0)),0)=1)*(COUNTIF(C1108:E1125,$B1137)+COUNTIF(C1108:E1125,$B1137&amp;" ~*")&gt;0)+(IFERROR(INDEX(Setup!$G$33:$G$40,MATCH(G1137,Setup!$B$33:$B$40,0)),0)=1)*(COUNTIF(G1108:I1125,$B1137)+COUNTIF(G1108:I1125,$B1137&amp;" ~*")&gt;0)+(IFERROR(INDEX(Setup!$G$33:$G$40,MATCH(K1137,Setup!$B$33:$B$40,0)),0)=1)*(COUNTIF(K1108:M1125,$B1137)+COUNTIF(K1108:M1125,$B1137&amp;" ~*")&gt;0)+(IFERROR(INDEX(Setup!$G$33:$G$40,MATCH(O1137,Setup!$B$33:$B$40,0)),0)=1)*(COUNTIF(O1108:Q1125,$B1137)+COUNTIF(O1108:Q1125,$B1137&amp;" ~*")&gt;0)+(IFERROR(INDEX(Setup!$G$33:$G$40,MATCH(S1137,Setup!$B$33:$B$40,0)),0)=1)*(COUNTIF(S1108:U1125,$B1137)+COUNTIF(S1108:U1125,$B1137&amp;" ~*")&gt;0)+(IFERROR(INDEX(Setup!$G$33:$G$40,MATCH(W1137,Setup!$B$33:$B$40,0)),0)=1)*(COUNTIF(W1108:W1125,$B1137)+COUNTIF(W1108:W1125,$B1137&amp;" ~*")&gt;0)+(IFERROR(INDEX(Setup!$G$33:$G$40,MATCH(Y1137,Setup!$B$33:$B$40,0)),0)=1)*(COUNTIF(Y1108:Y1125,$B1137)+COUNTIF(Y1108:Y1125,$B1137&amp;" ~*")&gt;0))</f>
        <v/>
      </c>
    </row>
    <row r="1138" ht="15" customHeight="1">
      <c r="A1138" t="n">
        <v>23</v>
      </c>
      <c r="B1138" s="37">
        <f>IF(Setup!$B$17="","",Setup!$B$17)</f>
        <v/>
      </c>
      <c r="C1138" s="102" t="n"/>
      <c r="D1138" s="103" t="n"/>
      <c r="E1138" s="103" t="n"/>
      <c r="F1138" s="104" t="n"/>
      <c r="G1138" s="102" t="n"/>
      <c r="H1138" s="103" t="n"/>
      <c r="I1138" s="103" t="n"/>
      <c r="J1138" s="104" t="n"/>
      <c r="K1138" s="102" t="n"/>
      <c r="L1138" s="103" t="n"/>
      <c r="M1138" s="103" t="n"/>
      <c r="N1138" s="104" t="n"/>
      <c r="O1138" s="102" t="n"/>
      <c r="P1138" s="103" t="n"/>
      <c r="Q1138" s="103" t="n"/>
      <c r="R1138" s="104" t="n"/>
      <c r="S1138" s="102" t="n"/>
      <c r="T1138" s="103" t="n"/>
      <c r="U1138" s="103" t="n"/>
      <c r="V1138" s="104" t="n"/>
      <c r="W1138" s="102" t="n"/>
      <c r="X1138" s="104" t="n"/>
      <c r="Y1138" s="102" t="n"/>
      <c r="Z1138" s="104" t="n"/>
      <c r="AB1138" s="105">
        <f>IF($B1138="","",(COUNTIF(C1108:E1125,$B1138)+COUNTIF(C1108:E1125,$B1138&amp;" ~*")&gt;0)+(COUNTIF(G1108:I1125,$B1138)+COUNTIF(G1108:I1125,$B1138&amp;" ~*")&gt;0)+(COUNTIF(K1108:M1125,$B1138)+COUNTIF(K1108:M1125,$B1138&amp;" ~*")&gt;0)+(COUNTIF(O1108:Q1125,$B1138)+COUNTIF(O1108:Q1125,$B1138&amp;" ~*")&gt;0)+(COUNTIF(S1108:U1125,$B1138)+COUNTIF(S1108:U1125,$B1138&amp;" ~*")&gt;0)+(COUNTIF(W1108:W1125,$B1138)+COUNTIF(W1108:W1125,$B1138&amp;" ~*")&gt;0)+(COUNTIF(Y1108:Y1125,$B1138)+COUNTIF(Y1108:Y1125,$B1138&amp;" ~*")&gt;0))</f>
        <v/>
      </c>
      <c r="AC1138" s="38">
        <f>IF($B1138="","",(IFERROR(INDEX(Setup!$G$33:$G$40,MATCH(C1138,Setup!$B$33:$B$40,0)),0)=1)*(COUNTIF(C1108:E1125,$B1138)+COUNTIF(C1108:E1125,$B1138&amp;" ~*")&gt;0)+(IFERROR(INDEX(Setup!$G$33:$G$40,MATCH(G1138,Setup!$B$33:$B$40,0)),0)=1)*(COUNTIF(G1108:I1125,$B1138)+COUNTIF(G1108:I1125,$B1138&amp;" ~*")&gt;0)+(IFERROR(INDEX(Setup!$G$33:$G$40,MATCH(K1138,Setup!$B$33:$B$40,0)),0)=1)*(COUNTIF(K1108:M1125,$B1138)+COUNTIF(K1108:M1125,$B1138&amp;" ~*")&gt;0)+(IFERROR(INDEX(Setup!$G$33:$G$40,MATCH(O1138,Setup!$B$33:$B$40,0)),0)=1)*(COUNTIF(O1108:Q1125,$B1138)+COUNTIF(O1108:Q1125,$B1138&amp;" ~*")&gt;0)+(IFERROR(INDEX(Setup!$G$33:$G$40,MATCH(S1138,Setup!$B$33:$B$40,0)),0)=1)*(COUNTIF(S1108:U1125,$B1138)+COUNTIF(S1108:U1125,$B1138&amp;" ~*")&gt;0)+(IFERROR(INDEX(Setup!$G$33:$G$40,MATCH(W1138,Setup!$B$33:$B$40,0)),0)=1)*(COUNTIF(W1108:W1125,$B1138)+COUNTIF(W1108:W1125,$B1138&amp;" ~*")&gt;0)+(IFERROR(INDEX(Setup!$G$33:$G$40,MATCH(Y1138,Setup!$B$33:$B$40,0)),0)=1)*(COUNTIF(Y1108:Y1125,$B1138)+COUNTIF(Y1108:Y1125,$B1138&amp;" ~*")&gt;0))</f>
        <v/>
      </c>
    </row>
    <row r="1139" ht="15" customHeight="1">
      <c r="A1139" t="n">
        <v>23</v>
      </c>
      <c r="B1139" s="35">
        <f>IF(Setup!$B$18="","",Setup!$B$18)</f>
        <v/>
      </c>
      <c r="C1139" s="98" t="n"/>
      <c r="D1139" s="99" t="n"/>
      <c r="E1139" s="99" t="n"/>
      <c r="F1139" s="100" t="n"/>
      <c r="G1139" s="98" t="n"/>
      <c r="H1139" s="99" t="n"/>
      <c r="I1139" s="99" t="n"/>
      <c r="J1139" s="100" t="n"/>
      <c r="K1139" s="98" t="n"/>
      <c r="L1139" s="99" t="n"/>
      <c r="M1139" s="99" t="n"/>
      <c r="N1139" s="100" t="n"/>
      <c r="O1139" s="98" t="n"/>
      <c r="P1139" s="99" t="n"/>
      <c r="Q1139" s="99" t="n"/>
      <c r="R1139" s="100" t="n"/>
      <c r="S1139" s="98" t="n"/>
      <c r="T1139" s="99" t="n"/>
      <c r="U1139" s="99" t="n"/>
      <c r="V1139" s="100" t="n"/>
      <c r="W1139" s="98" t="n"/>
      <c r="X1139" s="100" t="n"/>
      <c r="Y1139" s="98" t="n"/>
      <c r="Z1139" s="100" t="n"/>
      <c r="AB1139" s="101">
        <f>IF($B1139="","",(COUNTIF(C1108:E1125,$B1139)+COUNTIF(C1108:E1125,$B1139&amp;" ~*")&gt;0)+(COUNTIF(G1108:I1125,$B1139)+COUNTIF(G1108:I1125,$B1139&amp;" ~*")&gt;0)+(COUNTIF(K1108:M1125,$B1139)+COUNTIF(K1108:M1125,$B1139&amp;" ~*")&gt;0)+(COUNTIF(O1108:Q1125,$B1139)+COUNTIF(O1108:Q1125,$B1139&amp;" ~*")&gt;0)+(COUNTIF(S1108:U1125,$B1139)+COUNTIF(S1108:U1125,$B1139&amp;" ~*")&gt;0)+(COUNTIF(W1108:W1125,$B1139)+COUNTIF(W1108:W1125,$B1139&amp;" ~*")&gt;0)+(COUNTIF(Y1108:Y1125,$B1139)+COUNTIF(Y1108:Y1125,$B1139&amp;" ~*")&gt;0))</f>
        <v/>
      </c>
      <c r="AC1139" s="36">
        <f>IF($B1139="","",(IFERROR(INDEX(Setup!$G$33:$G$40,MATCH(C1139,Setup!$B$33:$B$40,0)),0)=1)*(COUNTIF(C1108:E1125,$B1139)+COUNTIF(C1108:E1125,$B1139&amp;" ~*")&gt;0)+(IFERROR(INDEX(Setup!$G$33:$G$40,MATCH(G1139,Setup!$B$33:$B$40,0)),0)=1)*(COUNTIF(G1108:I1125,$B1139)+COUNTIF(G1108:I1125,$B1139&amp;" ~*")&gt;0)+(IFERROR(INDEX(Setup!$G$33:$G$40,MATCH(K1139,Setup!$B$33:$B$40,0)),0)=1)*(COUNTIF(K1108:M1125,$B1139)+COUNTIF(K1108:M1125,$B1139&amp;" ~*")&gt;0)+(IFERROR(INDEX(Setup!$G$33:$G$40,MATCH(O1139,Setup!$B$33:$B$40,0)),0)=1)*(COUNTIF(O1108:Q1125,$B1139)+COUNTIF(O1108:Q1125,$B1139&amp;" ~*")&gt;0)+(IFERROR(INDEX(Setup!$G$33:$G$40,MATCH(S1139,Setup!$B$33:$B$40,0)),0)=1)*(COUNTIF(S1108:U1125,$B1139)+COUNTIF(S1108:U1125,$B1139&amp;" ~*")&gt;0)+(IFERROR(INDEX(Setup!$G$33:$G$40,MATCH(W1139,Setup!$B$33:$B$40,0)),0)=1)*(COUNTIF(W1108:W1125,$B1139)+COUNTIF(W1108:W1125,$B1139&amp;" ~*")&gt;0)+(IFERROR(INDEX(Setup!$G$33:$G$40,MATCH(Y1139,Setup!$B$33:$B$40,0)),0)=1)*(COUNTIF(Y1108:Y1125,$B1139)+COUNTIF(Y1108:Y1125,$B1139&amp;" ~*")&gt;0))</f>
        <v/>
      </c>
    </row>
    <row r="1140" ht="15" customHeight="1">
      <c r="A1140" t="n">
        <v>23</v>
      </c>
      <c r="B1140" s="37">
        <f>IF(Setup!$B$19="","",Setup!$B$19)</f>
        <v/>
      </c>
      <c r="C1140" s="102" t="n"/>
      <c r="D1140" s="103" t="n"/>
      <c r="E1140" s="103" t="n"/>
      <c r="F1140" s="104" t="n"/>
      <c r="G1140" s="102" t="n"/>
      <c r="H1140" s="103" t="n"/>
      <c r="I1140" s="103" t="n"/>
      <c r="J1140" s="104" t="n"/>
      <c r="K1140" s="102" t="n"/>
      <c r="L1140" s="103" t="n"/>
      <c r="M1140" s="103" t="n"/>
      <c r="N1140" s="104" t="n"/>
      <c r="O1140" s="102" t="n"/>
      <c r="P1140" s="103" t="n"/>
      <c r="Q1140" s="103" t="n"/>
      <c r="R1140" s="104" t="n"/>
      <c r="S1140" s="102" t="n"/>
      <c r="T1140" s="103" t="n"/>
      <c r="U1140" s="103" t="n"/>
      <c r="V1140" s="104" t="n"/>
      <c r="W1140" s="102" t="n"/>
      <c r="X1140" s="104" t="n"/>
      <c r="Y1140" s="102" t="n"/>
      <c r="Z1140" s="104" t="n"/>
      <c r="AB1140" s="105">
        <f>IF($B1140="","",(COUNTIF(C1108:E1125,$B1140)+COUNTIF(C1108:E1125,$B1140&amp;" ~*")&gt;0)+(COUNTIF(G1108:I1125,$B1140)+COUNTIF(G1108:I1125,$B1140&amp;" ~*")&gt;0)+(COUNTIF(K1108:M1125,$B1140)+COUNTIF(K1108:M1125,$B1140&amp;" ~*")&gt;0)+(COUNTIF(O1108:Q1125,$B1140)+COUNTIF(O1108:Q1125,$B1140&amp;" ~*")&gt;0)+(COUNTIF(S1108:U1125,$B1140)+COUNTIF(S1108:U1125,$B1140&amp;" ~*")&gt;0)+(COUNTIF(W1108:W1125,$B1140)+COUNTIF(W1108:W1125,$B1140&amp;" ~*")&gt;0)+(COUNTIF(Y1108:Y1125,$B1140)+COUNTIF(Y1108:Y1125,$B1140&amp;" ~*")&gt;0))</f>
        <v/>
      </c>
      <c r="AC1140" s="38">
        <f>IF($B1140="","",(IFERROR(INDEX(Setup!$G$33:$G$40,MATCH(C1140,Setup!$B$33:$B$40,0)),0)=1)*(COUNTIF(C1108:E1125,$B1140)+COUNTIF(C1108:E1125,$B1140&amp;" ~*")&gt;0)+(IFERROR(INDEX(Setup!$G$33:$G$40,MATCH(G1140,Setup!$B$33:$B$40,0)),0)=1)*(COUNTIF(G1108:I1125,$B1140)+COUNTIF(G1108:I1125,$B1140&amp;" ~*")&gt;0)+(IFERROR(INDEX(Setup!$G$33:$G$40,MATCH(K1140,Setup!$B$33:$B$40,0)),0)=1)*(COUNTIF(K1108:M1125,$B1140)+COUNTIF(K1108:M1125,$B1140&amp;" ~*")&gt;0)+(IFERROR(INDEX(Setup!$G$33:$G$40,MATCH(O1140,Setup!$B$33:$B$40,0)),0)=1)*(COUNTIF(O1108:Q1125,$B1140)+COUNTIF(O1108:Q1125,$B1140&amp;" ~*")&gt;0)+(IFERROR(INDEX(Setup!$G$33:$G$40,MATCH(S1140,Setup!$B$33:$B$40,0)),0)=1)*(COUNTIF(S1108:U1125,$B1140)+COUNTIF(S1108:U1125,$B1140&amp;" ~*")&gt;0)+(IFERROR(INDEX(Setup!$G$33:$G$40,MATCH(W1140,Setup!$B$33:$B$40,0)),0)=1)*(COUNTIF(W1108:W1125,$B1140)+COUNTIF(W1108:W1125,$B1140&amp;" ~*")&gt;0)+(IFERROR(INDEX(Setup!$G$33:$G$40,MATCH(Y1140,Setup!$B$33:$B$40,0)),0)=1)*(COUNTIF(Y1108:Y1125,$B1140)+COUNTIF(Y1108:Y1125,$B1140&amp;" ~*")&gt;0))</f>
        <v/>
      </c>
    </row>
    <row r="1141" ht="15" customHeight="1">
      <c r="A1141" t="n">
        <v>23</v>
      </c>
      <c r="B1141" s="35">
        <f>IF(Setup!$B$20="","",Setup!$B$20)</f>
        <v/>
      </c>
      <c r="C1141" s="98" t="n"/>
      <c r="D1141" s="99" t="n"/>
      <c r="E1141" s="99" t="n"/>
      <c r="F1141" s="100" t="n"/>
      <c r="G1141" s="98" t="n"/>
      <c r="H1141" s="99" t="n"/>
      <c r="I1141" s="99" t="n"/>
      <c r="J1141" s="100" t="n"/>
      <c r="K1141" s="98" t="n"/>
      <c r="L1141" s="99" t="n"/>
      <c r="M1141" s="99" t="n"/>
      <c r="N1141" s="100" t="n"/>
      <c r="O1141" s="98" t="n"/>
      <c r="P1141" s="99" t="n"/>
      <c r="Q1141" s="99" t="n"/>
      <c r="R1141" s="100" t="n"/>
      <c r="S1141" s="98" t="n"/>
      <c r="T1141" s="99" t="n"/>
      <c r="U1141" s="99" t="n"/>
      <c r="V1141" s="100" t="n"/>
      <c r="W1141" s="98" t="n"/>
      <c r="X1141" s="100" t="n"/>
      <c r="Y1141" s="98" t="n"/>
      <c r="Z1141" s="100" t="n"/>
      <c r="AB1141" s="101">
        <f>IF($B1141="","",(COUNTIF(C1108:E1125,$B1141)+COUNTIF(C1108:E1125,$B1141&amp;" ~*")&gt;0)+(COUNTIF(G1108:I1125,$B1141)+COUNTIF(G1108:I1125,$B1141&amp;" ~*")&gt;0)+(COUNTIF(K1108:M1125,$B1141)+COUNTIF(K1108:M1125,$B1141&amp;" ~*")&gt;0)+(COUNTIF(O1108:Q1125,$B1141)+COUNTIF(O1108:Q1125,$B1141&amp;" ~*")&gt;0)+(COUNTIF(S1108:U1125,$B1141)+COUNTIF(S1108:U1125,$B1141&amp;" ~*")&gt;0)+(COUNTIF(W1108:W1125,$B1141)+COUNTIF(W1108:W1125,$B1141&amp;" ~*")&gt;0)+(COUNTIF(Y1108:Y1125,$B1141)+COUNTIF(Y1108:Y1125,$B1141&amp;" ~*")&gt;0))</f>
        <v/>
      </c>
      <c r="AC1141" s="36">
        <f>IF($B1141="","",(IFERROR(INDEX(Setup!$G$33:$G$40,MATCH(C1141,Setup!$B$33:$B$40,0)),0)=1)*(COUNTIF(C1108:E1125,$B1141)+COUNTIF(C1108:E1125,$B1141&amp;" ~*")&gt;0)+(IFERROR(INDEX(Setup!$G$33:$G$40,MATCH(G1141,Setup!$B$33:$B$40,0)),0)=1)*(COUNTIF(G1108:I1125,$B1141)+COUNTIF(G1108:I1125,$B1141&amp;" ~*")&gt;0)+(IFERROR(INDEX(Setup!$G$33:$G$40,MATCH(K1141,Setup!$B$33:$B$40,0)),0)=1)*(COUNTIF(K1108:M1125,$B1141)+COUNTIF(K1108:M1125,$B1141&amp;" ~*")&gt;0)+(IFERROR(INDEX(Setup!$G$33:$G$40,MATCH(O1141,Setup!$B$33:$B$40,0)),0)=1)*(COUNTIF(O1108:Q1125,$B1141)+COUNTIF(O1108:Q1125,$B1141&amp;" ~*")&gt;0)+(IFERROR(INDEX(Setup!$G$33:$G$40,MATCH(S1141,Setup!$B$33:$B$40,0)),0)=1)*(COUNTIF(S1108:U1125,$B1141)+COUNTIF(S1108:U1125,$B1141&amp;" ~*")&gt;0)+(IFERROR(INDEX(Setup!$G$33:$G$40,MATCH(W1141,Setup!$B$33:$B$40,0)),0)=1)*(COUNTIF(W1108:W1125,$B1141)+COUNTIF(W1108:W1125,$B1141&amp;" ~*")&gt;0)+(IFERROR(INDEX(Setup!$G$33:$G$40,MATCH(Y1141,Setup!$B$33:$B$40,0)),0)=1)*(COUNTIF(Y1108:Y1125,$B1141)+COUNTIF(Y1108:Y1125,$B1141&amp;" ~*")&gt;0))</f>
        <v/>
      </c>
    </row>
    <row r="1142" ht="15" customHeight="1">
      <c r="A1142" t="n">
        <v>23</v>
      </c>
      <c r="B1142" s="37">
        <f>IF(Setup!$B$21="","",Setup!$B$21)</f>
        <v/>
      </c>
      <c r="C1142" s="102" t="n"/>
      <c r="D1142" s="103" t="n"/>
      <c r="E1142" s="103" t="n"/>
      <c r="F1142" s="104" t="n"/>
      <c r="G1142" s="102" t="n"/>
      <c r="H1142" s="103" t="n"/>
      <c r="I1142" s="103" t="n"/>
      <c r="J1142" s="104" t="n"/>
      <c r="K1142" s="102" t="n"/>
      <c r="L1142" s="103" t="n"/>
      <c r="M1142" s="103" t="n"/>
      <c r="N1142" s="104" t="n"/>
      <c r="O1142" s="102" t="n"/>
      <c r="P1142" s="103" t="n"/>
      <c r="Q1142" s="103" t="n"/>
      <c r="R1142" s="104" t="n"/>
      <c r="S1142" s="102" t="n"/>
      <c r="T1142" s="103" t="n"/>
      <c r="U1142" s="103" t="n"/>
      <c r="V1142" s="104" t="n"/>
      <c r="W1142" s="102" t="n"/>
      <c r="X1142" s="104" t="n"/>
      <c r="Y1142" s="102" t="n"/>
      <c r="Z1142" s="104" t="n"/>
      <c r="AB1142" s="105">
        <f>IF($B1142="","",(COUNTIF(C1108:E1125,$B1142)+COUNTIF(C1108:E1125,$B1142&amp;" ~*")&gt;0)+(COUNTIF(G1108:I1125,$B1142)+COUNTIF(G1108:I1125,$B1142&amp;" ~*")&gt;0)+(COUNTIF(K1108:M1125,$B1142)+COUNTIF(K1108:M1125,$B1142&amp;" ~*")&gt;0)+(COUNTIF(O1108:Q1125,$B1142)+COUNTIF(O1108:Q1125,$B1142&amp;" ~*")&gt;0)+(COUNTIF(S1108:U1125,$B1142)+COUNTIF(S1108:U1125,$B1142&amp;" ~*")&gt;0)+(COUNTIF(W1108:W1125,$B1142)+COUNTIF(W1108:W1125,$B1142&amp;" ~*")&gt;0)+(COUNTIF(Y1108:Y1125,$B1142)+COUNTIF(Y1108:Y1125,$B1142&amp;" ~*")&gt;0))</f>
        <v/>
      </c>
      <c r="AC1142" s="38">
        <f>IF($B1142="","",(IFERROR(INDEX(Setup!$G$33:$G$40,MATCH(C1142,Setup!$B$33:$B$40,0)),0)=1)*(COUNTIF(C1108:E1125,$B1142)+COUNTIF(C1108:E1125,$B1142&amp;" ~*")&gt;0)+(IFERROR(INDEX(Setup!$G$33:$G$40,MATCH(G1142,Setup!$B$33:$B$40,0)),0)=1)*(COUNTIF(G1108:I1125,$B1142)+COUNTIF(G1108:I1125,$B1142&amp;" ~*")&gt;0)+(IFERROR(INDEX(Setup!$G$33:$G$40,MATCH(K1142,Setup!$B$33:$B$40,0)),0)=1)*(COUNTIF(K1108:M1125,$B1142)+COUNTIF(K1108:M1125,$B1142&amp;" ~*")&gt;0)+(IFERROR(INDEX(Setup!$G$33:$G$40,MATCH(O1142,Setup!$B$33:$B$40,0)),0)=1)*(COUNTIF(O1108:Q1125,$B1142)+COUNTIF(O1108:Q1125,$B1142&amp;" ~*")&gt;0)+(IFERROR(INDEX(Setup!$G$33:$G$40,MATCH(S1142,Setup!$B$33:$B$40,0)),0)=1)*(COUNTIF(S1108:U1125,$B1142)+COUNTIF(S1108:U1125,$B1142&amp;" ~*")&gt;0)+(IFERROR(INDEX(Setup!$G$33:$G$40,MATCH(W1142,Setup!$B$33:$B$40,0)),0)=1)*(COUNTIF(W1108:W1125,$B1142)+COUNTIF(W1108:W1125,$B1142&amp;" ~*")&gt;0)+(IFERROR(INDEX(Setup!$G$33:$G$40,MATCH(Y1142,Setup!$B$33:$B$40,0)),0)=1)*(COUNTIF(Y1108:Y1125,$B1142)+COUNTIF(Y1108:Y1125,$B1142&amp;" ~*")&gt;0))</f>
        <v/>
      </c>
    </row>
    <row r="1143" ht="15" customHeight="1">
      <c r="A1143" t="n">
        <v>23</v>
      </c>
      <c r="B1143" s="35">
        <f>IF(Setup!$B$22="","",Setup!$B$22)</f>
        <v/>
      </c>
      <c r="C1143" s="98" t="n"/>
      <c r="D1143" s="99" t="n"/>
      <c r="E1143" s="99" t="n"/>
      <c r="F1143" s="100" t="n"/>
      <c r="G1143" s="98" t="n"/>
      <c r="H1143" s="99" t="n"/>
      <c r="I1143" s="99" t="n"/>
      <c r="J1143" s="100" t="n"/>
      <c r="K1143" s="98" t="n"/>
      <c r="L1143" s="99" t="n"/>
      <c r="M1143" s="99" t="n"/>
      <c r="N1143" s="100" t="n"/>
      <c r="O1143" s="98" t="n"/>
      <c r="P1143" s="99" t="n"/>
      <c r="Q1143" s="99" t="n"/>
      <c r="R1143" s="100" t="n"/>
      <c r="S1143" s="98" t="n"/>
      <c r="T1143" s="99" t="n"/>
      <c r="U1143" s="99" t="n"/>
      <c r="V1143" s="100" t="n"/>
      <c r="W1143" s="98" t="n"/>
      <c r="X1143" s="100" t="n"/>
      <c r="Y1143" s="98" t="n"/>
      <c r="Z1143" s="100" t="n"/>
      <c r="AB1143" s="101">
        <f>IF($B1143="","",(COUNTIF(C1108:E1125,$B1143)+COUNTIF(C1108:E1125,$B1143&amp;" ~*")&gt;0)+(COUNTIF(G1108:I1125,$B1143)+COUNTIF(G1108:I1125,$B1143&amp;" ~*")&gt;0)+(COUNTIF(K1108:M1125,$B1143)+COUNTIF(K1108:M1125,$B1143&amp;" ~*")&gt;0)+(COUNTIF(O1108:Q1125,$B1143)+COUNTIF(O1108:Q1125,$B1143&amp;" ~*")&gt;0)+(COUNTIF(S1108:U1125,$B1143)+COUNTIF(S1108:U1125,$B1143&amp;" ~*")&gt;0)+(COUNTIF(W1108:W1125,$B1143)+COUNTIF(W1108:W1125,$B1143&amp;" ~*")&gt;0)+(COUNTIF(Y1108:Y1125,$B1143)+COUNTIF(Y1108:Y1125,$B1143&amp;" ~*")&gt;0))</f>
        <v/>
      </c>
      <c r="AC1143" s="36">
        <f>IF($B1143="","",(IFERROR(INDEX(Setup!$G$33:$G$40,MATCH(C1143,Setup!$B$33:$B$40,0)),0)=1)*(COUNTIF(C1108:E1125,$B1143)+COUNTIF(C1108:E1125,$B1143&amp;" ~*")&gt;0)+(IFERROR(INDEX(Setup!$G$33:$G$40,MATCH(G1143,Setup!$B$33:$B$40,0)),0)=1)*(COUNTIF(G1108:I1125,$B1143)+COUNTIF(G1108:I1125,$B1143&amp;" ~*")&gt;0)+(IFERROR(INDEX(Setup!$G$33:$G$40,MATCH(K1143,Setup!$B$33:$B$40,0)),0)=1)*(COUNTIF(K1108:M1125,$B1143)+COUNTIF(K1108:M1125,$B1143&amp;" ~*")&gt;0)+(IFERROR(INDEX(Setup!$G$33:$G$40,MATCH(O1143,Setup!$B$33:$B$40,0)),0)=1)*(COUNTIF(O1108:Q1125,$B1143)+COUNTIF(O1108:Q1125,$B1143&amp;" ~*")&gt;0)+(IFERROR(INDEX(Setup!$G$33:$G$40,MATCH(S1143,Setup!$B$33:$B$40,0)),0)=1)*(COUNTIF(S1108:U1125,$B1143)+COUNTIF(S1108:U1125,$B1143&amp;" ~*")&gt;0)+(IFERROR(INDEX(Setup!$G$33:$G$40,MATCH(W1143,Setup!$B$33:$B$40,0)),0)=1)*(COUNTIF(W1108:W1125,$B1143)+COUNTIF(W1108:W1125,$B1143&amp;" ~*")&gt;0)+(IFERROR(INDEX(Setup!$G$33:$G$40,MATCH(Y1143,Setup!$B$33:$B$40,0)),0)=1)*(COUNTIF(Y1108:Y1125,$B1143)+COUNTIF(Y1108:Y1125,$B1143&amp;" ~*")&gt;0))</f>
        <v/>
      </c>
    </row>
    <row r="1144" ht="15" customHeight="1">
      <c r="A1144" t="n">
        <v>23</v>
      </c>
      <c r="B1144" s="37">
        <f>IF(Setup!$B$23="","",Setup!$B$23)</f>
        <v/>
      </c>
      <c r="C1144" s="102" t="n"/>
      <c r="D1144" s="103" t="n"/>
      <c r="E1144" s="103" t="n"/>
      <c r="F1144" s="104" t="n"/>
      <c r="G1144" s="102" t="n"/>
      <c r="H1144" s="103" t="n"/>
      <c r="I1144" s="103" t="n"/>
      <c r="J1144" s="104" t="n"/>
      <c r="K1144" s="102" t="n"/>
      <c r="L1144" s="103" t="n"/>
      <c r="M1144" s="103" t="n"/>
      <c r="N1144" s="104" t="n"/>
      <c r="O1144" s="102" t="n"/>
      <c r="P1144" s="103" t="n"/>
      <c r="Q1144" s="103" t="n"/>
      <c r="R1144" s="104" t="n"/>
      <c r="S1144" s="102" t="n"/>
      <c r="T1144" s="103" t="n"/>
      <c r="U1144" s="103" t="n"/>
      <c r="V1144" s="104" t="n"/>
      <c r="W1144" s="102" t="n"/>
      <c r="X1144" s="104" t="n"/>
      <c r="Y1144" s="102" t="n"/>
      <c r="Z1144" s="104" t="n"/>
      <c r="AB1144" s="105">
        <f>IF($B1144="","",(COUNTIF(C1108:E1125,$B1144)+COUNTIF(C1108:E1125,$B1144&amp;" ~*")&gt;0)+(COUNTIF(G1108:I1125,$B1144)+COUNTIF(G1108:I1125,$B1144&amp;" ~*")&gt;0)+(COUNTIF(K1108:M1125,$B1144)+COUNTIF(K1108:M1125,$B1144&amp;" ~*")&gt;0)+(COUNTIF(O1108:Q1125,$B1144)+COUNTIF(O1108:Q1125,$B1144&amp;" ~*")&gt;0)+(COUNTIF(S1108:U1125,$B1144)+COUNTIF(S1108:U1125,$B1144&amp;" ~*")&gt;0)+(COUNTIF(W1108:W1125,$B1144)+COUNTIF(W1108:W1125,$B1144&amp;" ~*")&gt;0)+(COUNTIF(Y1108:Y1125,$B1144)+COUNTIF(Y1108:Y1125,$B1144&amp;" ~*")&gt;0))</f>
        <v/>
      </c>
      <c r="AC1144" s="38">
        <f>IF($B1144="","",(IFERROR(INDEX(Setup!$G$33:$G$40,MATCH(C1144,Setup!$B$33:$B$40,0)),0)=1)*(COUNTIF(C1108:E1125,$B1144)+COUNTIF(C1108:E1125,$B1144&amp;" ~*")&gt;0)+(IFERROR(INDEX(Setup!$G$33:$G$40,MATCH(G1144,Setup!$B$33:$B$40,0)),0)=1)*(COUNTIF(G1108:I1125,$B1144)+COUNTIF(G1108:I1125,$B1144&amp;" ~*")&gt;0)+(IFERROR(INDEX(Setup!$G$33:$G$40,MATCH(K1144,Setup!$B$33:$B$40,0)),0)=1)*(COUNTIF(K1108:M1125,$B1144)+COUNTIF(K1108:M1125,$B1144&amp;" ~*")&gt;0)+(IFERROR(INDEX(Setup!$G$33:$G$40,MATCH(O1144,Setup!$B$33:$B$40,0)),0)=1)*(COUNTIF(O1108:Q1125,$B1144)+COUNTIF(O1108:Q1125,$B1144&amp;" ~*")&gt;0)+(IFERROR(INDEX(Setup!$G$33:$G$40,MATCH(S1144,Setup!$B$33:$B$40,0)),0)=1)*(COUNTIF(S1108:U1125,$B1144)+COUNTIF(S1108:U1125,$B1144&amp;" ~*")&gt;0)+(IFERROR(INDEX(Setup!$G$33:$G$40,MATCH(W1144,Setup!$B$33:$B$40,0)),0)=1)*(COUNTIF(W1108:W1125,$B1144)+COUNTIF(W1108:W1125,$B1144&amp;" ~*")&gt;0)+(IFERROR(INDEX(Setup!$G$33:$G$40,MATCH(Y1144,Setup!$B$33:$B$40,0)),0)=1)*(COUNTIF(Y1108:Y1125,$B1144)+COUNTIF(Y1108:Y1125,$B1144&amp;" ~*")&gt;0))</f>
        <v/>
      </c>
    </row>
    <row r="1145" ht="15" customHeight="1">
      <c r="A1145" t="n">
        <v>23</v>
      </c>
      <c r="B1145" s="35">
        <f>IF(Setup!$B$24="","",Setup!$B$24)</f>
        <v/>
      </c>
      <c r="C1145" s="98" t="n"/>
      <c r="D1145" s="99" t="n"/>
      <c r="E1145" s="99" t="n"/>
      <c r="F1145" s="100" t="n"/>
      <c r="G1145" s="98" t="n"/>
      <c r="H1145" s="99" t="n"/>
      <c r="I1145" s="99" t="n"/>
      <c r="J1145" s="100" t="n"/>
      <c r="K1145" s="98" t="n"/>
      <c r="L1145" s="99" t="n"/>
      <c r="M1145" s="99" t="n"/>
      <c r="N1145" s="100" t="n"/>
      <c r="O1145" s="98" t="n"/>
      <c r="P1145" s="99" t="n"/>
      <c r="Q1145" s="99" t="n"/>
      <c r="R1145" s="100" t="n"/>
      <c r="S1145" s="98" t="n"/>
      <c r="T1145" s="99" t="n"/>
      <c r="U1145" s="99" t="n"/>
      <c r="V1145" s="100" t="n"/>
      <c r="W1145" s="98" t="n"/>
      <c r="X1145" s="100" t="n"/>
      <c r="Y1145" s="98" t="n"/>
      <c r="Z1145" s="100" t="n"/>
      <c r="AB1145" s="101">
        <f>IF($B1145="","",(COUNTIF(C1108:E1125,$B1145)+COUNTIF(C1108:E1125,$B1145&amp;" ~*")&gt;0)+(COUNTIF(G1108:I1125,$B1145)+COUNTIF(G1108:I1125,$B1145&amp;" ~*")&gt;0)+(COUNTIF(K1108:M1125,$B1145)+COUNTIF(K1108:M1125,$B1145&amp;" ~*")&gt;0)+(COUNTIF(O1108:Q1125,$B1145)+COUNTIF(O1108:Q1125,$B1145&amp;" ~*")&gt;0)+(COUNTIF(S1108:U1125,$B1145)+COUNTIF(S1108:U1125,$B1145&amp;" ~*")&gt;0)+(COUNTIF(W1108:W1125,$B1145)+COUNTIF(W1108:W1125,$B1145&amp;" ~*")&gt;0)+(COUNTIF(Y1108:Y1125,$B1145)+COUNTIF(Y1108:Y1125,$B1145&amp;" ~*")&gt;0))</f>
        <v/>
      </c>
      <c r="AC1145" s="36">
        <f>IF($B1145="","",(IFERROR(INDEX(Setup!$G$33:$G$40,MATCH(C1145,Setup!$B$33:$B$40,0)),0)=1)*(COUNTIF(C1108:E1125,$B1145)+COUNTIF(C1108:E1125,$B1145&amp;" ~*")&gt;0)+(IFERROR(INDEX(Setup!$G$33:$G$40,MATCH(G1145,Setup!$B$33:$B$40,0)),0)=1)*(COUNTIF(G1108:I1125,$B1145)+COUNTIF(G1108:I1125,$B1145&amp;" ~*")&gt;0)+(IFERROR(INDEX(Setup!$G$33:$G$40,MATCH(K1145,Setup!$B$33:$B$40,0)),0)=1)*(COUNTIF(K1108:M1125,$B1145)+COUNTIF(K1108:M1125,$B1145&amp;" ~*")&gt;0)+(IFERROR(INDEX(Setup!$G$33:$G$40,MATCH(O1145,Setup!$B$33:$B$40,0)),0)=1)*(COUNTIF(O1108:Q1125,$B1145)+COUNTIF(O1108:Q1125,$B1145&amp;" ~*")&gt;0)+(IFERROR(INDEX(Setup!$G$33:$G$40,MATCH(S1145,Setup!$B$33:$B$40,0)),0)=1)*(COUNTIF(S1108:U1125,$B1145)+COUNTIF(S1108:U1125,$B1145&amp;" ~*")&gt;0)+(IFERROR(INDEX(Setup!$G$33:$G$40,MATCH(W1145,Setup!$B$33:$B$40,0)),0)=1)*(COUNTIF(W1108:W1125,$B1145)+COUNTIF(W1108:W1125,$B1145&amp;" ~*")&gt;0)+(IFERROR(INDEX(Setup!$G$33:$G$40,MATCH(Y1145,Setup!$B$33:$B$40,0)),0)=1)*(COUNTIF(Y1108:Y1125,$B1145)+COUNTIF(Y1108:Y1125,$B1145&amp;" ~*")&gt;0))</f>
        <v/>
      </c>
    </row>
    <row r="1146" ht="15" customHeight="1">
      <c r="A1146" t="n">
        <v>23</v>
      </c>
      <c r="B1146" s="37">
        <f>IF(Setup!$B$25="","",Setup!$B$25)</f>
        <v/>
      </c>
      <c r="C1146" s="102" t="n"/>
      <c r="D1146" s="103" t="n"/>
      <c r="E1146" s="103" t="n"/>
      <c r="F1146" s="104" t="n"/>
      <c r="G1146" s="102" t="n"/>
      <c r="H1146" s="103" t="n"/>
      <c r="I1146" s="103" t="n"/>
      <c r="J1146" s="104" t="n"/>
      <c r="K1146" s="102" t="n"/>
      <c r="L1146" s="103" t="n"/>
      <c r="M1146" s="103" t="n"/>
      <c r="N1146" s="104" t="n"/>
      <c r="O1146" s="102" t="n"/>
      <c r="P1146" s="103" t="n"/>
      <c r="Q1146" s="103" t="n"/>
      <c r="R1146" s="104" t="n"/>
      <c r="S1146" s="102" t="n"/>
      <c r="T1146" s="103" t="n"/>
      <c r="U1146" s="103" t="n"/>
      <c r="V1146" s="104" t="n"/>
      <c r="W1146" s="102" t="n"/>
      <c r="X1146" s="104" t="n"/>
      <c r="Y1146" s="102" t="n"/>
      <c r="Z1146" s="104" t="n"/>
      <c r="AB1146" s="105">
        <f>IF($B1146="","",(COUNTIF(C1108:E1125,$B1146)+COUNTIF(C1108:E1125,$B1146&amp;" ~*")&gt;0)+(COUNTIF(G1108:I1125,$B1146)+COUNTIF(G1108:I1125,$B1146&amp;" ~*")&gt;0)+(COUNTIF(K1108:M1125,$B1146)+COUNTIF(K1108:M1125,$B1146&amp;" ~*")&gt;0)+(COUNTIF(O1108:Q1125,$B1146)+COUNTIF(O1108:Q1125,$B1146&amp;" ~*")&gt;0)+(COUNTIF(S1108:U1125,$B1146)+COUNTIF(S1108:U1125,$B1146&amp;" ~*")&gt;0)+(COUNTIF(W1108:W1125,$B1146)+COUNTIF(W1108:W1125,$B1146&amp;" ~*")&gt;0)+(COUNTIF(Y1108:Y1125,$B1146)+COUNTIF(Y1108:Y1125,$B1146&amp;" ~*")&gt;0))</f>
        <v/>
      </c>
      <c r="AC1146" s="38">
        <f>IF($B1146="","",(IFERROR(INDEX(Setup!$G$33:$G$40,MATCH(C1146,Setup!$B$33:$B$40,0)),0)=1)*(COUNTIF(C1108:E1125,$B1146)+COUNTIF(C1108:E1125,$B1146&amp;" ~*")&gt;0)+(IFERROR(INDEX(Setup!$G$33:$G$40,MATCH(G1146,Setup!$B$33:$B$40,0)),0)=1)*(COUNTIF(G1108:I1125,$B1146)+COUNTIF(G1108:I1125,$B1146&amp;" ~*")&gt;0)+(IFERROR(INDEX(Setup!$G$33:$G$40,MATCH(K1146,Setup!$B$33:$B$40,0)),0)=1)*(COUNTIF(K1108:M1125,$B1146)+COUNTIF(K1108:M1125,$B1146&amp;" ~*")&gt;0)+(IFERROR(INDEX(Setup!$G$33:$G$40,MATCH(O1146,Setup!$B$33:$B$40,0)),0)=1)*(COUNTIF(O1108:Q1125,$B1146)+COUNTIF(O1108:Q1125,$B1146&amp;" ~*")&gt;0)+(IFERROR(INDEX(Setup!$G$33:$G$40,MATCH(S1146,Setup!$B$33:$B$40,0)),0)=1)*(COUNTIF(S1108:U1125,$B1146)+COUNTIF(S1108:U1125,$B1146&amp;" ~*")&gt;0)+(IFERROR(INDEX(Setup!$G$33:$G$40,MATCH(W1146,Setup!$B$33:$B$40,0)),0)=1)*(COUNTIF(W1108:W1125,$B1146)+COUNTIF(W1108:W1125,$B1146&amp;" ~*")&gt;0)+(IFERROR(INDEX(Setup!$G$33:$G$40,MATCH(Y1146,Setup!$B$33:$B$40,0)),0)=1)*(COUNTIF(Y1108:Y1125,$B1146)+COUNTIF(Y1108:Y1125,$B1146&amp;" ~*")&gt;0))</f>
        <v/>
      </c>
    </row>
    <row r="1147" ht="15" customHeight="1">
      <c r="A1147" t="n">
        <v>23</v>
      </c>
      <c r="B1147" s="35">
        <f>IF(Setup!$B$26="","",Setup!$B$26)</f>
        <v/>
      </c>
      <c r="C1147" s="98" t="n"/>
      <c r="D1147" s="99" t="n"/>
      <c r="E1147" s="99" t="n"/>
      <c r="F1147" s="100" t="n"/>
      <c r="G1147" s="98" t="n"/>
      <c r="H1147" s="99" t="n"/>
      <c r="I1147" s="99" t="n"/>
      <c r="J1147" s="100" t="n"/>
      <c r="K1147" s="98" t="n"/>
      <c r="L1147" s="99" t="n"/>
      <c r="M1147" s="99" t="n"/>
      <c r="N1147" s="100" t="n"/>
      <c r="O1147" s="98" t="n"/>
      <c r="P1147" s="99" t="n"/>
      <c r="Q1147" s="99" t="n"/>
      <c r="R1147" s="100" t="n"/>
      <c r="S1147" s="98" t="n"/>
      <c r="T1147" s="99" t="n"/>
      <c r="U1147" s="99" t="n"/>
      <c r="V1147" s="100" t="n"/>
      <c r="W1147" s="98" t="n"/>
      <c r="X1147" s="100" t="n"/>
      <c r="Y1147" s="98" t="n"/>
      <c r="Z1147" s="100" t="n"/>
      <c r="AB1147" s="101">
        <f>IF($B1147="","",(COUNTIF(C1108:E1125,$B1147)+COUNTIF(C1108:E1125,$B1147&amp;" ~*")&gt;0)+(COUNTIF(G1108:I1125,$B1147)+COUNTIF(G1108:I1125,$B1147&amp;" ~*")&gt;0)+(COUNTIF(K1108:M1125,$B1147)+COUNTIF(K1108:M1125,$B1147&amp;" ~*")&gt;0)+(COUNTIF(O1108:Q1125,$B1147)+COUNTIF(O1108:Q1125,$B1147&amp;" ~*")&gt;0)+(COUNTIF(S1108:U1125,$B1147)+COUNTIF(S1108:U1125,$B1147&amp;" ~*")&gt;0)+(COUNTIF(W1108:W1125,$B1147)+COUNTIF(W1108:W1125,$B1147&amp;" ~*")&gt;0)+(COUNTIF(Y1108:Y1125,$B1147)+COUNTIF(Y1108:Y1125,$B1147&amp;" ~*")&gt;0))</f>
        <v/>
      </c>
      <c r="AC1147" s="36">
        <f>IF($B1147="","",(IFERROR(INDEX(Setup!$G$33:$G$40,MATCH(C1147,Setup!$B$33:$B$40,0)),0)=1)*(COUNTIF(C1108:E1125,$B1147)+COUNTIF(C1108:E1125,$B1147&amp;" ~*")&gt;0)+(IFERROR(INDEX(Setup!$G$33:$G$40,MATCH(G1147,Setup!$B$33:$B$40,0)),0)=1)*(COUNTIF(G1108:I1125,$B1147)+COUNTIF(G1108:I1125,$B1147&amp;" ~*")&gt;0)+(IFERROR(INDEX(Setup!$G$33:$G$40,MATCH(K1147,Setup!$B$33:$B$40,0)),0)=1)*(COUNTIF(K1108:M1125,$B1147)+COUNTIF(K1108:M1125,$B1147&amp;" ~*")&gt;0)+(IFERROR(INDEX(Setup!$G$33:$G$40,MATCH(O1147,Setup!$B$33:$B$40,0)),0)=1)*(COUNTIF(O1108:Q1125,$B1147)+COUNTIF(O1108:Q1125,$B1147&amp;" ~*")&gt;0)+(IFERROR(INDEX(Setup!$G$33:$G$40,MATCH(S1147,Setup!$B$33:$B$40,0)),0)=1)*(COUNTIF(S1108:U1125,$B1147)+COUNTIF(S1108:U1125,$B1147&amp;" ~*")&gt;0)+(IFERROR(INDEX(Setup!$G$33:$G$40,MATCH(W1147,Setup!$B$33:$B$40,0)),0)=1)*(COUNTIF(W1108:W1125,$B1147)+COUNTIF(W1108:W1125,$B1147&amp;" ~*")&gt;0)+(IFERROR(INDEX(Setup!$G$33:$G$40,MATCH(Y1147,Setup!$B$33:$B$40,0)),0)=1)*(COUNTIF(Y1108:Y1125,$B1147)+COUNTIF(Y1108:Y1125,$B1147&amp;" ~*")&gt;0))</f>
        <v/>
      </c>
    </row>
    <row r="1148" ht="15" customHeight="1">
      <c r="A1148" t="n">
        <v>23</v>
      </c>
      <c r="B1148" s="37">
        <f>IF(Setup!$B$27="","",Setup!$B$27)</f>
        <v/>
      </c>
      <c r="C1148" s="102" t="n"/>
      <c r="D1148" s="103" t="n"/>
      <c r="E1148" s="103" t="n"/>
      <c r="F1148" s="104" t="n"/>
      <c r="G1148" s="102" t="n"/>
      <c r="H1148" s="103" t="n"/>
      <c r="I1148" s="103" t="n"/>
      <c r="J1148" s="104" t="n"/>
      <c r="K1148" s="102" t="n"/>
      <c r="L1148" s="103" t="n"/>
      <c r="M1148" s="103" t="n"/>
      <c r="N1148" s="104" t="n"/>
      <c r="O1148" s="102" t="n"/>
      <c r="P1148" s="103" t="n"/>
      <c r="Q1148" s="103" t="n"/>
      <c r="R1148" s="104" t="n"/>
      <c r="S1148" s="102" t="n"/>
      <c r="T1148" s="103" t="n"/>
      <c r="U1148" s="103" t="n"/>
      <c r="V1148" s="104" t="n"/>
      <c r="W1148" s="102" t="n"/>
      <c r="X1148" s="104" t="n"/>
      <c r="Y1148" s="102" t="n"/>
      <c r="Z1148" s="104" t="n"/>
      <c r="AB1148" s="105">
        <f>IF($B1148="","",(COUNTIF(C1108:E1125,$B1148)+COUNTIF(C1108:E1125,$B1148&amp;" ~*")&gt;0)+(COUNTIF(G1108:I1125,$B1148)+COUNTIF(G1108:I1125,$B1148&amp;" ~*")&gt;0)+(COUNTIF(K1108:M1125,$B1148)+COUNTIF(K1108:M1125,$B1148&amp;" ~*")&gt;0)+(COUNTIF(O1108:Q1125,$B1148)+COUNTIF(O1108:Q1125,$B1148&amp;" ~*")&gt;0)+(COUNTIF(S1108:U1125,$B1148)+COUNTIF(S1108:U1125,$B1148&amp;" ~*")&gt;0)+(COUNTIF(W1108:W1125,$B1148)+COUNTIF(W1108:W1125,$B1148&amp;" ~*")&gt;0)+(COUNTIF(Y1108:Y1125,$B1148)+COUNTIF(Y1108:Y1125,$B1148&amp;" ~*")&gt;0))</f>
        <v/>
      </c>
      <c r="AC1148" s="38">
        <f>IF($B1148="","",(IFERROR(INDEX(Setup!$G$33:$G$40,MATCH(C1148,Setup!$B$33:$B$40,0)),0)=1)*(COUNTIF(C1108:E1125,$B1148)+COUNTIF(C1108:E1125,$B1148&amp;" ~*")&gt;0)+(IFERROR(INDEX(Setup!$G$33:$G$40,MATCH(G1148,Setup!$B$33:$B$40,0)),0)=1)*(COUNTIF(G1108:I1125,$B1148)+COUNTIF(G1108:I1125,$B1148&amp;" ~*")&gt;0)+(IFERROR(INDEX(Setup!$G$33:$G$40,MATCH(K1148,Setup!$B$33:$B$40,0)),0)=1)*(COUNTIF(K1108:M1125,$B1148)+COUNTIF(K1108:M1125,$B1148&amp;" ~*")&gt;0)+(IFERROR(INDEX(Setup!$G$33:$G$40,MATCH(O1148,Setup!$B$33:$B$40,0)),0)=1)*(COUNTIF(O1108:Q1125,$B1148)+COUNTIF(O1108:Q1125,$B1148&amp;" ~*")&gt;0)+(IFERROR(INDEX(Setup!$G$33:$G$40,MATCH(S1148,Setup!$B$33:$B$40,0)),0)=1)*(COUNTIF(S1108:U1125,$B1148)+COUNTIF(S1108:U1125,$B1148&amp;" ~*")&gt;0)+(IFERROR(INDEX(Setup!$G$33:$G$40,MATCH(W1148,Setup!$B$33:$B$40,0)),0)=1)*(COUNTIF(W1108:W1125,$B1148)+COUNTIF(W1108:W1125,$B1148&amp;" ~*")&gt;0)+(IFERROR(INDEX(Setup!$G$33:$G$40,MATCH(Y1148,Setup!$B$33:$B$40,0)),0)=1)*(COUNTIF(Y1108:Y1125,$B1148)+COUNTIF(Y1108:Y1125,$B1148&amp;" ~*")&gt;0))</f>
        <v/>
      </c>
    </row>
    <row r="1149" ht="15" customHeight="1">
      <c r="A1149" t="n">
        <v>23</v>
      </c>
      <c r="B1149" s="35">
        <f>IF(Setup!$B$28="","",Setup!$B$28)</f>
        <v/>
      </c>
      <c r="C1149" s="98" t="n"/>
      <c r="D1149" s="99" t="n"/>
      <c r="E1149" s="99" t="n"/>
      <c r="F1149" s="100" t="n"/>
      <c r="G1149" s="98" t="n"/>
      <c r="H1149" s="99" t="n"/>
      <c r="I1149" s="99" t="n"/>
      <c r="J1149" s="100" t="n"/>
      <c r="K1149" s="98" t="n"/>
      <c r="L1149" s="99" t="n"/>
      <c r="M1149" s="99" t="n"/>
      <c r="N1149" s="100" t="n"/>
      <c r="O1149" s="98" t="n"/>
      <c r="P1149" s="99" t="n"/>
      <c r="Q1149" s="99" t="n"/>
      <c r="R1149" s="100" t="n"/>
      <c r="S1149" s="98" t="n"/>
      <c r="T1149" s="99" t="n"/>
      <c r="U1149" s="99" t="n"/>
      <c r="V1149" s="100" t="n"/>
      <c r="W1149" s="98" t="n"/>
      <c r="X1149" s="100" t="n"/>
      <c r="Y1149" s="98" t="n"/>
      <c r="Z1149" s="100" t="n"/>
      <c r="AB1149" s="101">
        <f>IF($B1149="","",(COUNTIF(C1108:E1125,$B1149)+COUNTIF(C1108:E1125,$B1149&amp;" ~*")&gt;0)+(COUNTIF(G1108:I1125,$B1149)+COUNTIF(G1108:I1125,$B1149&amp;" ~*")&gt;0)+(COUNTIF(K1108:M1125,$B1149)+COUNTIF(K1108:M1125,$B1149&amp;" ~*")&gt;0)+(COUNTIF(O1108:Q1125,$B1149)+COUNTIF(O1108:Q1125,$B1149&amp;" ~*")&gt;0)+(COUNTIF(S1108:U1125,$B1149)+COUNTIF(S1108:U1125,$B1149&amp;" ~*")&gt;0)+(COUNTIF(W1108:W1125,$B1149)+COUNTIF(W1108:W1125,$B1149&amp;" ~*")&gt;0)+(COUNTIF(Y1108:Y1125,$B1149)+COUNTIF(Y1108:Y1125,$B1149&amp;" ~*")&gt;0))</f>
        <v/>
      </c>
      <c r="AC1149" s="36">
        <f>IF($B1149="","",(IFERROR(INDEX(Setup!$G$33:$G$40,MATCH(C1149,Setup!$B$33:$B$40,0)),0)=1)*(COUNTIF(C1108:E1125,$B1149)+COUNTIF(C1108:E1125,$B1149&amp;" ~*")&gt;0)+(IFERROR(INDEX(Setup!$G$33:$G$40,MATCH(G1149,Setup!$B$33:$B$40,0)),0)=1)*(COUNTIF(G1108:I1125,$B1149)+COUNTIF(G1108:I1125,$B1149&amp;" ~*")&gt;0)+(IFERROR(INDEX(Setup!$G$33:$G$40,MATCH(K1149,Setup!$B$33:$B$40,0)),0)=1)*(COUNTIF(K1108:M1125,$B1149)+COUNTIF(K1108:M1125,$B1149&amp;" ~*")&gt;0)+(IFERROR(INDEX(Setup!$G$33:$G$40,MATCH(O1149,Setup!$B$33:$B$40,0)),0)=1)*(COUNTIF(O1108:Q1125,$B1149)+COUNTIF(O1108:Q1125,$B1149&amp;" ~*")&gt;0)+(IFERROR(INDEX(Setup!$G$33:$G$40,MATCH(S1149,Setup!$B$33:$B$40,0)),0)=1)*(COUNTIF(S1108:U1125,$B1149)+COUNTIF(S1108:U1125,$B1149&amp;" ~*")&gt;0)+(IFERROR(INDEX(Setup!$G$33:$G$40,MATCH(W1149,Setup!$B$33:$B$40,0)),0)=1)*(COUNTIF(W1108:W1125,$B1149)+COUNTIF(W1108:W1125,$B1149&amp;" ~*")&gt;0)+(IFERROR(INDEX(Setup!$G$33:$G$40,MATCH(Y1149,Setup!$B$33:$B$40,0)),0)=1)*(COUNTIF(Y1108:Y1125,$B1149)+COUNTIF(Y1108:Y1125,$B1149&amp;" ~*")&gt;0))</f>
        <v/>
      </c>
    </row>
    <row r="1150" ht="15" customHeight="1">
      <c r="A1150" t="n">
        <v>23</v>
      </c>
      <c r="B1150" s="37">
        <f>IF(Setup!$B$29="","",Setup!$B$29)</f>
        <v/>
      </c>
      <c r="C1150" s="102" t="n"/>
      <c r="D1150" s="103" t="n"/>
      <c r="E1150" s="103" t="n"/>
      <c r="F1150" s="104" t="n"/>
      <c r="G1150" s="102" t="n"/>
      <c r="H1150" s="103" t="n"/>
      <c r="I1150" s="103" t="n"/>
      <c r="J1150" s="104" t="n"/>
      <c r="K1150" s="102" t="n"/>
      <c r="L1150" s="103" t="n"/>
      <c r="M1150" s="103" t="n"/>
      <c r="N1150" s="104" t="n"/>
      <c r="O1150" s="102" t="n"/>
      <c r="P1150" s="103" t="n"/>
      <c r="Q1150" s="103" t="n"/>
      <c r="R1150" s="104" t="n"/>
      <c r="S1150" s="102" t="n"/>
      <c r="T1150" s="103" t="n"/>
      <c r="U1150" s="103" t="n"/>
      <c r="V1150" s="104" t="n"/>
      <c r="W1150" s="102" t="n"/>
      <c r="X1150" s="104" t="n"/>
      <c r="Y1150" s="102" t="n"/>
      <c r="Z1150" s="104" t="n"/>
      <c r="AB1150" s="105">
        <f>IF($B1150="","",(COUNTIF(C1108:E1125,$B1150)+COUNTIF(C1108:E1125,$B1150&amp;" ~*")&gt;0)+(COUNTIF(G1108:I1125,$B1150)+COUNTIF(G1108:I1125,$B1150&amp;" ~*")&gt;0)+(COUNTIF(K1108:M1125,$B1150)+COUNTIF(K1108:M1125,$B1150&amp;" ~*")&gt;0)+(COUNTIF(O1108:Q1125,$B1150)+COUNTIF(O1108:Q1125,$B1150&amp;" ~*")&gt;0)+(COUNTIF(S1108:U1125,$B1150)+COUNTIF(S1108:U1125,$B1150&amp;" ~*")&gt;0)+(COUNTIF(W1108:W1125,$B1150)+COUNTIF(W1108:W1125,$B1150&amp;" ~*")&gt;0)+(COUNTIF(Y1108:Y1125,$B1150)+COUNTIF(Y1108:Y1125,$B1150&amp;" ~*")&gt;0))</f>
        <v/>
      </c>
      <c r="AC1150" s="38">
        <f>IF($B1150="","",(IFERROR(INDEX(Setup!$G$33:$G$40,MATCH(C1150,Setup!$B$33:$B$40,0)),0)=1)*(COUNTIF(C1108:E1125,$B1150)+COUNTIF(C1108:E1125,$B1150&amp;" ~*")&gt;0)+(IFERROR(INDEX(Setup!$G$33:$G$40,MATCH(G1150,Setup!$B$33:$B$40,0)),0)=1)*(COUNTIF(G1108:I1125,$B1150)+COUNTIF(G1108:I1125,$B1150&amp;" ~*")&gt;0)+(IFERROR(INDEX(Setup!$G$33:$G$40,MATCH(K1150,Setup!$B$33:$B$40,0)),0)=1)*(COUNTIF(K1108:M1125,$B1150)+COUNTIF(K1108:M1125,$B1150&amp;" ~*")&gt;0)+(IFERROR(INDEX(Setup!$G$33:$G$40,MATCH(O1150,Setup!$B$33:$B$40,0)),0)=1)*(COUNTIF(O1108:Q1125,$B1150)+COUNTIF(O1108:Q1125,$B1150&amp;" ~*")&gt;0)+(IFERROR(INDEX(Setup!$G$33:$G$40,MATCH(S1150,Setup!$B$33:$B$40,0)),0)=1)*(COUNTIF(S1108:U1125,$B1150)+COUNTIF(S1108:U1125,$B1150&amp;" ~*")&gt;0)+(IFERROR(INDEX(Setup!$G$33:$G$40,MATCH(W1150,Setup!$B$33:$B$40,0)),0)=1)*(COUNTIF(W1108:W1125,$B1150)+COUNTIF(W1108:W1125,$B1150&amp;" ~*")&gt;0)+(IFERROR(INDEX(Setup!$G$33:$G$40,MATCH(Y1150,Setup!$B$33:$B$40,0)),0)=1)*(COUNTIF(Y1108:Y1125,$B1150)+COUNTIF(Y1108:Y1125,$B1150&amp;" ~*")&gt;0))</f>
        <v/>
      </c>
    </row>
    <row r="1151" ht="16" customHeight="1">
      <c r="A1151" t="n">
        <v>23</v>
      </c>
      <c r="B1151" s="106" t="inlineStr">
        <is>
          <t>Available people</t>
        </is>
      </c>
      <c r="C1151" s="107">
        <f>COUNTIFS(Setup!$E$6:$E$29,"Y",Setup!$B$6:$B$29,"?*")-SUMPRODUCT(COUNTIF(C1127:C1150,Setup!$F$33:$F$40))</f>
        <v/>
      </c>
      <c r="D1151" s="107" t="n"/>
      <c r="E1151" s="107" t="n"/>
      <c r="F1151" s="107" t="n"/>
      <c r="G1151" s="107">
        <f>COUNTIFS(Setup!$E$6:$E$29,"Y",Setup!$B$6:$B$29,"?*")-SUMPRODUCT(COUNTIF(G1127:G1150,Setup!$F$33:$F$40))</f>
        <v/>
      </c>
      <c r="H1151" s="107" t="n"/>
      <c r="I1151" s="107" t="n"/>
      <c r="J1151" s="107" t="n"/>
      <c r="K1151" s="107">
        <f>COUNTIFS(Setup!$E$6:$E$29,"Y",Setup!$B$6:$B$29,"?*")-SUMPRODUCT(COUNTIF(K1127:K1150,Setup!$F$33:$F$40))</f>
        <v/>
      </c>
      <c r="L1151" s="107" t="n"/>
      <c r="M1151" s="107" t="n"/>
      <c r="N1151" s="107" t="n"/>
      <c r="O1151" s="107">
        <f>COUNTIFS(Setup!$E$6:$E$29,"Y",Setup!$B$6:$B$29,"?*")-SUMPRODUCT(COUNTIF(O1127:O1150,Setup!$F$33:$F$40))</f>
        <v/>
      </c>
      <c r="P1151" s="107" t="n"/>
      <c r="Q1151" s="107" t="n"/>
      <c r="R1151" s="107" t="n"/>
      <c r="S1151" s="107">
        <f>COUNTIFS(Setup!$E$6:$E$29,"Y",Setup!$B$6:$B$29,"?*")-SUMPRODUCT(COUNTIF(S1127:S1150,Setup!$F$33:$F$40))</f>
        <v/>
      </c>
      <c r="T1151" s="107" t="n"/>
      <c r="U1151" s="107" t="n"/>
      <c r="V1151" s="107" t="n"/>
      <c r="W1151" s="107">
        <f>COUNTIFS(Setup!$E$6:$E$29,"Y",Setup!$B$6:$B$29,"?*")-SUMPRODUCT(COUNTIF(W1127:W1150,Setup!$F$33:$F$40))</f>
        <v/>
      </c>
      <c r="X1151" s="107" t="n"/>
      <c r="Y1151" s="107">
        <f>COUNTIFS(Setup!$E$6:$E$29,"Y",Setup!$B$6:$B$29,"?*")-SUMPRODUCT(COUNTIF(Y1127:Y1150,Setup!$F$33:$F$40))</f>
        <v/>
      </c>
      <c r="Z1151" s="107" t="n"/>
      <c r="AB1151" s="108">
        <f>SUM(AB1127:AB1150)</f>
        <v/>
      </c>
      <c r="AC1151" s="109">
        <f>SUM(AC1127:AC1150)</f>
        <v/>
      </c>
    </row>
    <row r="1152" ht="30" customHeight="1">
      <c r="A1152" t="n">
        <v>23</v>
      </c>
      <c r="B1152" s="110" t="inlineStr">
        <is>
          <t>Week notes</t>
        </is>
      </c>
      <c r="C1152" s="111" t="n"/>
      <c r="D1152" s="112" t="n"/>
      <c r="E1152" s="112" t="n"/>
      <c r="F1152" s="112" t="n"/>
      <c r="G1152" s="112" t="n"/>
      <c r="H1152" s="112" t="n"/>
      <c r="I1152" s="112" t="n"/>
      <c r="J1152" s="112" t="n"/>
      <c r="K1152" s="112" t="n"/>
      <c r="L1152" s="112" t="n"/>
      <c r="M1152" s="112" t="n"/>
      <c r="N1152" s="112" t="n"/>
      <c r="O1152" s="112" t="n"/>
      <c r="P1152" s="112" t="n"/>
      <c r="Q1152" s="112" t="n"/>
      <c r="R1152" s="112" t="n"/>
      <c r="S1152" s="112" t="n"/>
      <c r="T1152" s="112" t="n"/>
      <c r="U1152" s="112" t="n"/>
      <c r="V1152" s="112" t="n"/>
      <c r="W1152" s="112" t="n"/>
      <c r="X1152" s="112" t="n"/>
      <c r="Y1152" s="112" t="n"/>
      <c r="Z1152" s="113" t="n"/>
    </row>
    <row r="1153" ht="8" customHeight="1">
      <c r="A1153" t="n">
        <v>23</v>
      </c>
    </row>
    <row r="1154" ht="8" customHeight="1">
      <c r="A1154" t="n">
        <v>23</v>
      </c>
    </row>
    <row r="1155" ht="24" customHeight="1">
      <c r="A1155" t="n">
        <v>24</v>
      </c>
      <c r="B1155" s="73">
        <f>"WEEK 24     "&amp;TEXT(C1156,"ddd d mmm")&amp;"  –  "&amp;TEXT(C1156+6,"ddd d mmm yyyy")</f>
        <v/>
      </c>
      <c r="S1155" s="74">
        <f>IF(TODAY()&lt;C1156,"FUTURE",IF(TODAY()&gt;C1156+6,"PAST","THIS WEEK"))</f>
        <v/>
      </c>
      <c r="W1155" s="75">
        <f>IF(AND(Engine!$B$8=$AC$3,Engine!$B$9=$A1155),"◀ ACTIVE WEEK","")</f>
        <v/>
      </c>
      <c r="AA1155" s="76" t="n"/>
      <c r="AB1155" s="77" t="inlineStr">
        <is>
          <t>◀ Prev</t>
        </is>
      </c>
      <c r="AC1155" s="77" t="inlineStr">
        <is>
          <t>Next ▶</t>
        </is>
      </c>
    </row>
    <row r="1156" ht="18" customHeight="1">
      <c r="A1156" t="n">
        <v>24</v>
      </c>
      <c r="B1156" s="78" t="inlineStr">
        <is>
          <t>DUTY</t>
        </is>
      </c>
      <c r="C1156" s="79">
        <f>$AC$2+7*($A1156-1)</f>
        <v/>
      </c>
      <c r="D1156" s="80" t="n"/>
      <c r="E1156" s="80" t="n"/>
      <c r="F1156" s="81" t="n"/>
      <c r="G1156" s="79">
        <f>C1156+1</f>
        <v/>
      </c>
      <c r="H1156" s="80" t="n"/>
      <c r="I1156" s="80" t="n"/>
      <c r="J1156" s="81" t="n"/>
      <c r="K1156" s="79">
        <f>C1156+2</f>
        <v/>
      </c>
      <c r="L1156" s="80" t="n"/>
      <c r="M1156" s="80" t="n"/>
      <c r="N1156" s="81" t="n"/>
      <c r="O1156" s="79">
        <f>C1156+3</f>
        <v/>
      </c>
      <c r="P1156" s="80" t="n"/>
      <c r="Q1156" s="80" t="n"/>
      <c r="R1156" s="81" t="n"/>
      <c r="S1156" s="79">
        <f>C1156+4</f>
        <v/>
      </c>
      <c r="T1156" s="80" t="n"/>
      <c r="U1156" s="80" t="n"/>
      <c r="V1156" s="81" t="n"/>
      <c r="W1156" s="82">
        <f>C1156+5</f>
        <v/>
      </c>
      <c r="X1156" s="83" t="n"/>
      <c r="Y1156" s="82">
        <f>C1156+6</f>
        <v/>
      </c>
      <c r="Z1156" s="83" t="n"/>
      <c r="AB1156" s="72" t="inlineStr">
        <is>
          <t>Gaps</t>
        </is>
      </c>
      <c r="AC1156" s="72" t="inlineStr">
        <is>
          <t>Cover</t>
        </is>
      </c>
    </row>
    <row r="1157" ht="14" customHeight="1">
      <c r="A1157" t="n">
        <v>24</v>
      </c>
      <c r="B1157" s="84" t="inlineStr">
        <is>
          <t>(from Setup)</t>
        </is>
      </c>
      <c r="C1157" s="85" t="inlineStr">
        <is>
          <t>1</t>
        </is>
      </c>
      <c r="D1157" s="85" t="inlineStr">
        <is>
          <t>2</t>
        </is>
      </c>
      <c r="E1157" s="85" t="inlineStr">
        <is>
          <t>3</t>
        </is>
      </c>
      <c r="F1157" s="85" t="inlineStr">
        <is>
          <t>Notes</t>
        </is>
      </c>
      <c r="G1157" s="85" t="inlineStr">
        <is>
          <t>1</t>
        </is>
      </c>
      <c r="H1157" s="85" t="inlineStr">
        <is>
          <t>2</t>
        </is>
      </c>
      <c r="I1157" s="85" t="inlineStr">
        <is>
          <t>3</t>
        </is>
      </c>
      <c r="J1157" s="85" t="inlineStr">
        <is>
          <t>Notes</t>
        </is>
      </c>
      <c r="K1157" s="85" t="inlineStr">
        <is>
          <t>1</t>
        </is>
      </c>
      <c r="L1157" s="85" t="inlineStr">
        <is>
          <t>2</t>
        </is>
      </c>
      <c r="M1157" s="85" t="inlineStr">
        <is>
          <t>3</t>
        </is>
      </c>
      <c r="N1157" s="85" t="inlineStr">
        <is>
          <t>Notes</t>
        </is>
      </c>
      <c r="O1157" s="85" t="inlineStr">
        <is>
          <t>1</t>
        </is>
      </c>
      <c r="P1157" s="85" t="inlineStr">
        <is>
          <t>2</t>
        </is>
      </c>
      <c r="Q1157" s="85" t="inlineStr">
        <is>
          <t>3</t>
        </is>
      </c>
      <c r="R1157" s="85" t="inlineStr">
        <is>
          <t>Notes</t>
        </is>
      </c>
      <c r="S1157" s="85" t="inlineStr">
        <is>
          <t>1</t>
        </is>
      </c>
      <c r="T1157" s="85" t="inlineStr">
        <is>
          <t>2</t>
        </is>
      </c>
      <c r="U1157" s="85" t="inlineStr">
        <is>
          <t>3</t>
        </is>
      </c>
      <c r="V1157" s="85" t="inlineStr">
        <is>
          <t>Notes</t>
        </is>
      </c>
      <c r="W1157" s="85" t="inlineStr">
        <is>
          <t>Cover</t>
        </is>
      </c>
      <c r="X1157" s="85" t="inlineStr">
        <is>
          <t>Notes</t>
        </is>
      </c>
      <c r="Y1157" s="85" t="inlineStr">
        <is>
          <t>Cover</t>
        </is>
      </c>
      <c r="Z1157" s="85" t="inlineStr">
        <is>
          <t>Notes</t>
        </is>
      </c>
      <c r="AB1157" s="86" t="inlineStr">
        <is>
          <t>weekdays short</t>
        </is>
      </c>
      <c r="AC1157" s="87" t="inlineStr"/>
    </row>
    <row r="1158" ht="17" customHeight="1">
      <c r="A1158" t="n">
        <v>24</v>
      </c>
      <c r="B1158" s="24">
        <f>IF(Setup!$K$6="","",Setup!$K$6)</f>
        <v/>
      </c>
      <c r="C1158" s="88" t="n"/>
      <c r="D1158" s="88" t="n"/>
      <c r="E1158" s="88" t="n"/>
      <c r="F1158" s="89" t="n"/>
      <c r="G1158" s="88" t="n"/>
      <c r="H1158" s="88" t="n"/>
      <c r="I1158" s="88" t="n"/>
      <c r="J1158" s="89" t="n"/>
      <c r="K1158" s="88" t="n"/>
      <c r="L1158" s="88" t="n"/>
      <c r="M1158" s="88" t="n"/>
      <c r="N1158" s="89" t="n"/>
      <c r="O1158" s="88" t="n"/>
      <c r="P1158" s="88" t="n"/>
      <c r="Q1158" s="88" t="n"/>
      <c r="R1158" s="89" t="n"/>
      <c r="S1158" s="88" t="n"/>
      <c r="T1158" s="88" t="n"/>
      <c r="U1158" s="88" t="n"/>
      <c r="V1158" s="89" t="n"/>
      <c r="W1158" s="88" t="n"/>
      <c r="X1158" s="89" t="n"/>
      <c r="Y1158" s="88" t="n"/>
      <c r="Z1158" s="89" t="n"/>
      <c r="AB1158" s="25">
        <f>IF($B1158="","",(COUNTIF(C1158:E1158,"?*")&lt;N(INDEX(Setup!$L$6:$L$23,1)))+(COUNTIF(G1158:I1158,"?*")&lt;N(INDEX(Setup!$L$6:$L$23,1)))+(COUNTIF(K1158:M1158,"?*")&lt;N(INDEX(Setup!$L$6:$L$23,1)))+(COUNTIF(O1158:Q1158,"?*")&lt;N(INDEX(Setup!$L$6:$L$23,1)))+(COUNTIF(S1158:U1158,"?*")&lt;N(INDEX(Setup!$L$6:$L$23,1)))+((W1158="")*(INDEX(Setup!$M$6:$M$23,1)="Y"))+((Y1158="")*(INDEX(Setup!$M$6:$M$23,1)="Y")))</f>
        <v/>
      </c>
      <c r="AC1158" s="90">
        <f>IF($B1158="","",IF(AB1158=0,"✓ covered","⚠ "&amp;AB1158&amp;IF(AB1158=1," gap"," gaps")))</f>
        <v/>
      </c>
    </row>
    <row r="1159" ht="17" customHeight="1">
      <c r="A1159" t="n">
        <v>24</v>
      </c>
      <c r="B1159" s="29">
        <f>IF(Setup!$K$7="","",Setup!$K$7)</f>
        <v/>
      </c>
      <c r="C1159" s="88" t="n"/>
      <c r="D1159" s="88" t="n"/>
      <c r="E1159" s="88" t="n"/>
      <c r="F1159" s="89" t="n"/>
      <c r="G1159" s="88" t="n"/>
      <c r="H1159" s="88" t="n"/>
      <c r="I1159" s="88" t="n"/>
      <c r="J1159" s="89" t="n"/>
      <c r="K1159" s="88" t="n"/>
      <c r="L1159" s="88" t="n"/>
      <c r="M1159" s="88" t="n"/>
      <c r="N1159" s="89" t="n"/>
      <c r="O1159" s="88" t="n"/>
      <c r="P1159" s="88" t="n"/>
      <c r="Q1159" s="88" t="n"/>
      <c r="R1159" s="89" t="n"/>
      <c r="S1159" s="88" t="n"/>
      <c r="T1159" s="88" t="n"/>
      <c r="U1159" s="88" t="n"/>
      <c r="V1159" s="89" t="n"/>
      <c r="W1159" s="88" t="n"/>
      <c r="X1159" s="89" t="n"/>
      <c r="Y1159" s="88" t="n"/>
      <c r="Z1159" s="89" t="n"/>
      <c r="AB1159" s="30">
        <f>IF($B1159="","",(COUNTIF(C1159:E1159,"?*")&lt;N(INDEX(Setup!$L$6:$L$23,2)))+(COUNTIF(G1159:I1159,"?*")&lt;N(INDEX(Setup!$L$6:$L$23,2)))+(COUNTIF(K1159:M1159,"?*")&lt;N(INDEX(Setup!$L$6:$L$23,2)))+(COUNTIF(O1159:Q1159,"?*")&lt;N(INDEX(Setup!$L$6:$L$23,2)))+(COUNTIF(S1159:U1159,"?*")&lt;N(INDEX(Setup!$L$6:$L$23,2)))+((W1159="")*(INDEX(Setup!$M$6:$M$23,2)="Y"))+((Y1159="")*(INDEX(Setup!$M$6:$M$23,2)="Y")))</f>
        <v/>
      </c>
      <c r="AC1159" s="91">
        <f>IF($B1159="","",IF(AB1159=0,"✓ covered","⚠ "&amp;AB1159&amp;IF(AB1159=1," gap"," gaps")))</f>
        <v/>
      </c>
    </row>
    <row r="1160" ht="17" customHeight="1">
      <c r="A1160" t="n">
        <v>24</v>
      </c>
      <c r="B1160" s="24">
        <f>IF(Setup!$K$8="","",Setup!$K$8)</f>
        <v/>
      </c>
      <c r="C1160" s="88" t="n"/>
      <c r="D1160" s="88" t="n"/>
      <c r="E1160" s="88" t="n"/>
      <c r="F1160" s="89" t="n"/>
      <c r="G1160" s="88" t="n"/>
      <c r="H1160" s="88" t="n"/>
      <c r="I1160" s="88" t="n"/>
      <c r="J1160" s="89" t="n"/>
      <c r="K1160" s="88" t="n"/>
      <c r="L1160" s="88" t="n"/>
      <c r="M1160" s="88" t="n"/>
      <c r="N1160" s="89" t="n"/>
      <c r="O1160" s="88" t="n"/>
      <c r="P1160" s="88" t="n"/>
      <c r="Q1160" s="88" t="n"/>
      <c r="R1160" s="89" t="n"/>
      <c r="S1160" s="88" t="n"/>
      <c r="T1160" s="88" t="n"/>
      <c r="U1160" s="88" t="n"/>
      <c r="V1160" s="89" t="n"/>
      <c r="W1160" s="88" t="n"/>
      <c r="X1160" s="89" t="n"/>
      <c r="Y1160" s="88" t="n"/>
      <c r="Z1160" s="89" t="n"/>
      <c r="AB1160" s="25">
        <f>IF($B1160="","",(COUNTIF(C1160:E1160,"?*")&lt;N(INDEX(Setup!$L$6:$L$23,3)))+(COUNTIF(G1160:I1160,"?*")&lt;N(INDEX(Setup!$L$6:$L$23,3)))+(COUNTIF(K1160:M1160,"?*")&lt;N(INDEX(Setup!$L$6:$L$23,3)))+(COUNTIF(O1160:Q1160,"?*")&lt;N(INDEX(Setup!$L$6:$L$23,3)))+(COUNTIF(S1160:U1160,"?*")&lt;N(INDEX(Setup!$L$6:$L$23,3)))+((W1160="")*(INDEX(Setup!$M$6:$M$23,3)="Y"))+((Y1160="")*(INDEX(Setup!$M$6:$M$23,3)="Y")))</f>
        <v/>
      </c>
      <c r="AC1160" s="90">
        <f>IF($B1160="","",IF(AB1160=0,"✓ covered","⚠ "&amp;AB1160&amp;IF(AB1160=1," gap"," gaps")))</f>
        <v/>
      </c>
    </row>
    <row r="1161" ht="17" customHeight="1">
      <c r="A1161" t="n">
        <v>24</v>
      </c>
      <c r="B1161" s="29">
        <f>IF(Setup!$K$9="","",Setup!$K$9)</f>
        <v/>
      </c>
      <c r="C1161" s="88" t="n"/>
      <c r="D1161" s="88" t="n"/>
      <c r="E1161" s="88" t="n"/>
      <c r="F1161" s="89" t="n"/>
      <c r="G1161" s="88" t="n"/>
      <c r="H1161" s="88" t="n"/>
      <c r="I1161" s="88" t="n"/>
      <c r="J1161" s="89" t="n"/>
      <c r="K1161" s="88" t="n"/>
      <c r="L1161" s="88" t="n"/>
      <c r="M1161" s="88" t="n"/>
      <c r="N1161" s="89" t="n"/>
      <c r="O1161" s="88" t="n"/>
      <c r="P1161" s="88" t="n"/>
      <c r="Q1161" s="88" t="n"/>
      <c r="R1161" s="89" t="n"/>
      <c r="S1161" s="88" t="n"/>
      <c r="T1161" s="88" t="n"/>
      <c r="U1161" s="88" t="n"/>
      <c r="V1161" s="89" t="n"/>
      <c r="W1161" s="88" t="n"/>
      <c r="X1161" s="89" t="n"/>
      <c r="Y1161" s="88" t="n"/>
      <c r="Z1161" s="89" t="n"/>
      <c r="AB1161" s="30">
        <f>IF($B1161="","",(COUNTIF(C1161:E1161,"?*")&lt;N(INDEX(Setup!$L$6:$L$23,4)))+(COUNTIF(G1161:I1161,"?*")&lt;N(INDEX(Setup!$L$6:$L$23,4)))+(COUNTIF(K1161:M1161,"?*")&lt;N(INDEX(Setup!$L$6:$L$23,4)))+(COUNTIF(O1161:Q1161,"?*")&lt;N(INDEX(Setup!$L$6:$L$23,4)))+(COUNTIF(S1161:U1161,"?*")&lt;N(INDEX(Setup!$L$6:$L$23,4)))+((W1161="")*(INDEX(Setup!$M$6:$M$23,4)="Y"))+((Y1161="")*(INDEX(Setup!$M$6:$M$23,4)="Y")))</f>
        <v/>
      </c>
      <c r="AC1161" s="91">
        <f>IF($B1161="","",IF(AB1161=0,"✓ covered","⚠ "&amp;AB1161&amp;IF(AB1161=1," gap"," gaps")))</f>
        <v/>
      </c>
    </row>
    <row r="1162" ht="17" customHeight="1">
      <c r="A1162" t="n">
        <v>24</v>
      </c>
      <c r="B1162" s="24">
        <f>IF(Setup!$K$10="","",Setup!$K$10)</f>
        <v/>
      </c>
      <c r="C1162" s="88" t="n"/>
      <c r="D1162" s="88" t="n"/>
      <c r="E1162" s="88" t="n"/>
      <c r="F1162" s="89" t="n"/>
      <c r="G1162" s="88" t="n"/>
      <c r="H1162" s="88" t="n"/>
      <c r="I1162" s="88" t="n"/>
      <c r="J1162" s="89" t="n"/>
      <c r="K1162" s="88" t="n"/>
      <c r="L1162" s="88" t="n"/>
      <c r="M1162" s="88" t="n"/>
      <c r="N1162" s="89" t="n"/>
      <c r="O1162" s="88" t="n"/>
      <c r="P1162" s="88" t="n"/>
      <c r="Q1162" s="88" t="n"/>
      <c r="R1162" s="89" t="n"/>
      <c r="S1162" s="88" t="n"/>
      <c r="T1162" s="88" t="n"/>
      <c r="U1162" s="88" t="n"/>
      <c r="V1162" s="89" t="n"/>
      <c r="W1162" s="88" t="n"/>
      <c r="X1162" s="89" t="n"/>
      <c r="Y1162" s="88" t="n"/>
      <c r="Z1162" s="89" t="n"/>
      <c r="AB1162" s="25">
        <f>IF($B1162="","",(COUNTIF(C1162:E1162,"?*")&lt;N(INDEX(Setup!$L$6:$L$23,5)))+(COUNTIF(G1162:I1162,"?*")&lt;N(INDEX(Setup!$L$6:$L$23,5)))+(COUNTIF(K1162:M1162,"?*")&lt;N(INDEX(Setup!$L$6:$L$23,5)))+(COUNTIF(O1162:Q1162,"?*")&lt;N(INDEX(Setup!$L$6:$L$23,5)))+(COUNTIF(S1162:U1162,"?*")&lt;N(INDEX(Setup!$L$6:$L$23,5)))+((W1162="")*(INDEX(Setup!$M$6:$M$23,5)="Y"))+((Y1162="")*(INDEX(Setup!$M$6:$M$23,5)="Y")))</f>
        <v/>
      </c>
      <c r="AC1162" s="90">
        <f>IF($B1162="","",IF(AB1162=0,"✓ covered","⚠ "&amp;AB1162&amp;IF(AB1162=1," gap"," gaps")))</f>
        <v/>
      </c>
    </row>
    <row r="1163" ht="17" customHeight="1">
      <c r="A1163" t="n">
        <v>24</v>
      </c>
      <c r="B1163" s="29">
        <f>IF(Setup!$K$11="","",Setup!$K$11)</f>
        <v/>
      </c>
      <c r="C1163" s="88" t="n"/>
      <c r="D1163" s="88" t="n"/>
      <c r="E1163" s="88" t="n"/>
      <c r="F1163" s="89" t="n"/>
      <c r="G1163" s="88" t="n"/>
      <c r="H1163" s="88" t="n"/>
      <c r="I1163" s="88" t="n"/>
      <c r="J1163" s="89" t="n"/>
      <c r="K1163" s="88" t="n"/>
      <c r="L1163" s="88" t="n"/>
      <c r="M1163" s="88" t="n"/>
      <c r="N1163" s="89" t="n"/>
      <c r="O1163" s="88" t="n"/>
      <c r="P1163" s="88" t="n"/>
      <c r="Q1163" s="88" t="n"/>
      <c r="R1163" s="89" t="n"/>
      <c r="S1163" s="88" t="n"/>
      <c r="T1163" s="88" t="n"/>
      <c r="U1163" s="88" t="n"/>
      <c r="V1163" s="89" t="n"/>
      <c r="W1163" s="88" t="n"/>
      <c r="X1163" s="89" t="n"/>
      <c r="Y1163" s="88" t="n"/>
      <c r="Z1163" s="89" t="n"/>
      <c r="AB1163" s="30">
        <f>IF($B1163="","",(COUNTIF(C1163:E1163,"?*")&lt;N(INDEX(Setup!$L$6:$L$23,6)))+(COUNTIF(G1163:I1163,"?*")&lt;N(INDEX(Setup!$L$6:$L$23,6)))+(COUNTIF(K1163:M1163,"?*")&lt;N(INDEX(Setup!$L$6:$L$23,6)))+(COUNTIF(O1163:Q1163,"?*")&lt;N(INDEX(Setup!$L$6:$L$23,6)))+(COUNTIF(S1163:U1163,"?*")&lt;N(INDEX(Setup!$L$6:$L$23,6)))+((W1163="")*(INDEX(Setup!$M$6:$M$23,6)="Y"))+((Y1163="")*(INDEX(Setup!$M$6:$M$23,6)="Y")))</f>
        <v/>
      </c>
      <c r="AC1163" s="91">
        <f>IF($B1163="","",IF(AB1163=0,"✓ covered","⚠ "&amp;AB1163&amp;IF(AB1163=1," gap"," gaps")))</f>
        <v/>
      </c>
    </row>
    <row r="1164" ht="17" customHeight="1">
      <c r="A1164" t="n">
        <v>24</v>
      </c>
      <c r="B1164" s="24">
        <f>IF(Setup!$K$12="","",Setup!$K$12)</f>
        <v/>
      </c>
      <c r="C1164" s="88" t="n"/>
      <c r="D1164" s="88" t="n"/>
      <c r="E1164" s="88" t="n"/>
      <c r="F1164" s="89" t="n"/>
      <c r="G1164" s="88" t="n"/>
      <c r="H1164" s="88" t="n"/>
      <c r="I1164" s="88" t="n"/>
      <c r="J1164" s="89" t="n"/>
      <c r="K1164" s="88" t="n"/>
      <c r="L1164" s="88" t="n"/>
      <c r="M1164" s="88" t="n"/>
      <c r="N1164" s="89" t="n"/>
      <c r="O1164" s="88" t="n"/>
      <c r="P1164" s="88" t="n"/>
      <c r="Q1164" s="88" t="n"/>
      <c r="R1164" s="89" t="n"/>
      <c r="S1164" s="88" t="n"/>
      <c r="T1164" s="88" t="n"/>
      <c r="U1164" s="88" t="n"/>
      <c r="V1164" s="89" t="n"/>
      <c r="W1164" s="88" t="n"/>
      <c r="X1164" s="89" t="n"/>
      <c r="Y1164" s="88" t="n"/>
      <c r="Z1164" s="89" t="n"/>
      <c r="AB1164" s="25">
        <f>IF($B1164="","",(COUNTIF(C1164:E1164,"?*")&lt;N(INDEX(Setup!$L$6:$L$23,7)))+(COUNTIF(G1164:I1164,"?*")&lt;N(INDEX(Setup!$L$6:$L$23,7)))+(COUNTIF(K1164:M1164,"?*")&lt;N(INDEX(Setup!$L$6:$L$23,7)))+(COUNTIF(O1164:Q1164,"?*")&lt;N(INDEX(Setup!$L$6:$L$23,7)))+(COUNTIF(S1164:U1164,"?*")&lt;N(INDEX(Setup!$L$6:$L$23,7)))+((W1164="")*(INDEX(Setup!$M$6:$M$23,7)="Y"))+((Y1164="")*(INDEX(Setup!$M$6:$M$23,7)="Y")))</f>
        <v/>
      </c>
      <c r="AC1164" s="90">
        <f>IF($B1164="","",IF(AB1164=0,"✓ covered","⚠ "&amp;AB1164&amp;IF(AB1164=1," gap"," gaps")))</f>
        <v/>
      </c>
    </row>
    <row r="1165" ht="17" customHeight="1">
      <c r="A1165" t="n">
        <v>24</v>
      </c>
      <c r="B1165" s="29">
        <f>IF(Setup!$K$13="","",Setup!$K$13)</f>
        <v/>
      </c>
      <c r="C1165" s="88" t="n"/>
      <c r="D1165" s="88" t="n"/>
      <c r="E1165" s="88" t="n"/>
      <c r="F1165" s="89" t="n"/>
      <c r="G1165" s="88" t="n"/>
      <c r="H1165" s="88" t="n"/>
      <c r="I1165" s="88" t="n"/>
      <c r="J1165" s="89" t="n"/>
      <c r="K1165" s="88" t="n"/>
      <c r="L1165" s="88" t="n"/>
      <c r="M1165" s="88" t="n"/>
      <c r="N1165" s="89" t="n"/>
      <c r="O1165" s="88" t="n"/>
      <c r="P1165" s="88" t="n"/>
      <c r="Q1165" s="88" t="n"/>
      <c r="R1165" s="89" t="n"/>
      <c r="S1165" s="88" t="n"/>
      <c r="T1165" s="88" t="n"/>
      <c r="U1165" s="88" t="n"/>
      <c r="V1165" s="89" t="n"/>
      <c r="W1165" s="88" t="n"/>
      <c r="X1165" s="89" t="n"/>
      <c r="Y1165" s="88" t="n"/>
      <c r="Z1165" s="89" t="n"/>
      <c r="AB1165" s="30">
        <f>IF($B1165="","",(COUNTIF(C1165:E1165,"?*")&lt;N(INDEX(Setup!$L$6:$L$23,8)))+(COUNTIF(G1165:I1165,"?*")&lt;N(INDEX(Setup!$L$6:$L$23,8)))+(COUNTIF(K1165:M1165,"?*")&lt;N(INDEX(Setup!$L$6:$L$23,8)))+(COUNTIF(O1165:Q1165,"?*")&lt;N(INDEX(Setup!$L$6:$L$23,8)))+(COUNTIF(S1165:U1165,"?*")&lt;N(INDEX(Setup!$L$6:$L$23,8)))+((W1165="")*(INDEX(Setup!$M$6:$M$23,8)="Y"))+((Y1165="")*(INDEX(Setup!$M$6:$M$23,8)="Y")))</f>
        <v/>
      </c>
      <c r="AC1165" s="91">
        <f>IF($B1165="","",IF(AB1165=0,"✓ covered","⚠ "&amp;AB1165&amp;IF(AB1165=1," gap"," gaps")))</f>
        <v/>
      </c>
    </row>
    <row r="1166" ht="17" customHeight="1">
      <c r="A1166" t="n">
        <v>24</v>
      </c>
      <c r="B1166" s="24">
        <f>IF(Setup!$K$14="","",Setup!$K$14)</f>
        <v/>
      </c>
      <c r="C1166" s="88" t="n"/>
      <c r="D1166" s="88" t="n"/>
      <c r="E1166" s="88" t="n"/>
      <c r="F1166" s="89" t="n"/>
      <c r="G1166" s="88" t="n"/>
      <c r="H1166" s="88" t="n"/>
      <c r="I1166" s="88" t="n"/>
      <c r="J1166" s="89" t="n"/>
      <c r="K1166" s="88" t="n"/>
      <c r="L1166" s="88" t="n"/>
      <c r="M1166" s="88" t="n"/>
      <c r="N1166" s="89" t="n"/>
      <c r="O1166" s="88" t="n"/>
      <c r="P1166" s="88" t="n"/>
      <c r="Q1166" s="88" t="n"/>
      <c r="R1166" s="89" t="n"/>
      <c r="S1166" s="88" t="n"/>
      <c r="T1166" s="88" t="n"/>
      <c r="U1166" s="88" t="n"/>
      <c r="V1166" s="89" t="n"/>
      <c r="W1166" s="88" t="n"/>
      <c r="X1166" s="89" t="n"/>
      <c r="Y1166" s="88" t="n"/>
      <c r="Z1166" s="89" t="n"/>
      <c r="AB1166" s="25">
        <f>IF($B1166="","",(COUNTIF(C1166:E1166,"?*")&lt;N(INDEX(Setup!$L$6:$L$23,9)))+(COUNTIF(G1166:I1166,"?*")&lt;N(INDEX(Setup!$L$6:$L$23,9)))+(COUNTIF(K1166:M1166,"?*")&lt;N(INDEX(Setup!$L$6:$L$23,9)))+(COUNTIF(O1166:Q1166,"?*")&lt;N(INDEX(Setup!$L$6:$L$23,9)))+(COUNTIF(S1166:U1166,"?*")&lt;N(INDEX(Setup!$L$6:$L$23,9)))+((W1166="")*(INDEX(Setup!$M$6:$M$23,9)="Y"))+((Y1166="")*(INDEX(Setup!$M$6:$M$23,9)="Y")))</f>
        <v/>
      </c>
      <c r="AC1166" s="90">
        <f>IF($B1166="","",IF(AB1166=0,"✓ covered","⚠ "&amp;AB1166&amp;IF(AB1166=1," gap"," gaps")))</f>
        <v/>
      </c>
    </row>
    <row r="1167" ht="17" customHeight="1">
      <c r="A1167" t="n">
        <v>24</v>
      </c>
      <c r="B1167" s="29">
        <f>IF(Setup!$K$15="","",Setup!$K$15)</f>
        <v/>
      </c>
      <c r="C1167" s="88" t="n"/>
      <c r="D1167" s="88" t="n"/>
      <c r="E1167" s="88" t="n"/>
      <c r="F1167" s="89" t="n"/>
      <c r="G1167" s="88" t="n"/>
      <c r="H1167" s="88" t="n"/>
      <c r="I1167" s="88" t="n"/>
      <c r="J1167" s="89" t="n"/>
      <c r="K1167" s="88" t="n"/>
      <c r="L1167" s="88" t="n"/>
      <c r="M1167" s="88" t="n"/>
      <c r="N1167" s="89" t="n"/>
      <c r="O1167" s="88" t="n"/>
      <c r="P1167" s="88" t="n"/>
      <c r="Q1167" s="88" t="n"/>
      <c r="R1167" s="89" t="n"/>
      <c r="S1167" s="88" t="n"/>
      <c r="T1167" s="88" t="n"/>
      <c r="U1167" s="88" t="n"/>
      <c r="V1167" s="89" t="n"/>
      <c r="W1167" s="88" t="n"/>
      <c r="X1167" s="89" t="n"/>
      <c r="Y1167" s="88" t="n"/>
      <c r="Z1167" s="89" t="n"/>
      <c r="AB1167" s="30">
        <f>IF($B1167="","",(COUNTIF(C1167:E1167,"?*")&lt;N(INDEX(Setup!$L$6:$L$23,10)))+(COUNTIF(G1167:I1167,"?*")&lt;N(INDEX(Setup!$L$6:$L$23,10)))+(COUNTIF(K1167:M1167,"?*")&lt;N(INDEX(Setup!$L$6:$L$23,10)))+(COUNTIF(O1167:Q1167,"?*")&lt;N(INDEX(Setup!$L$6:$L$23,10)))+(COUNTIF(S1167:U1167,"?*")&lt;N(INDEX(Setup!$L$6:$L$23,10)))+((W1167="")*(INDEX(Setup!$M$6:$M$23,10)="Y"))+((Y1167="")*(INDEX(Setup!$M$6:$M$23,10)="Y")))</f>
        <v/>
      </c>
      <c r="AC1167" s="91">
        <f>IF($B1167="","",IF(AB1167=0,"✓ covered","⚠ "&amp;AB1167&amp;IF(AB1167=1," gap"," gaps")))</f>
        <v/>
      </c>
    </row>
    <row r="1168" ht="17" customHeight="1">
      <c r="A1168" t="n">
        <v>24</v>
      </c>
      <c r="B1168" s="24">
        <f>IF(Setup!$K$16="","",Setup!$K$16)</f>
        <v/>
      </c>
      <c r="C1168" s="88" t="n"/>
      <c r="D1168" s="88" t="n"/>
      <c r="E1168" s="88" t="n"/>
      <c r="F1168" s="89" t="n"/>
      <c r="G1168" s="88" t="n"/>
      <c r="H1168" s="88" t="n"/>
      <c r="I1168" s="88" t="n"/>
      <c r="J1168" s="89" t="n"/>
      <c r="K1168" s="88" t="n"/>
      <c r="L1168" s="88" t="n"/>
      <c r="M1168" s="88" t="n"/>
      <c r="N1168" s="89" t="n"/>
      <c r="O1168" s="88" t="n"/>
      <c r="P1168" s="88" t="n"/>
      <c r="Q1168" s="88" t="n"/>
      <c r="R1168" s="89" t="n"/>
      <c r="S1168" s="88" t="n"/>
      <c r="T1168" s="88" t="n"/>
      <c r="U1168" s="88" t="n"/>
      <c r="V1168" s="89" t="n"/>
      <c r="W1168" s="88" t="n"/>
      <c r="X1168" s="89" t="n"/>
      <c r="Y1168" s="88" t="n"/>
      <c r="Z1168" s="89" t="n"/>
      <c r="AB1168" s="25">
        <f>IF($B1168="","",(COUNTIF(C1168:E1168,"?*")&lt;N(INDEX(Setup!$L$6:$L$23,11)))+(COUNTIF(G1168:I1168,"?*")&lt;N(INDEX(Setup!$L$6:$L$23,11)))+(COUNTIF(K1168:M1168,"?*")&lt;N(INDEX(Setup!$L$6:$L$23,11)))+(COUNTIF(O1168:Q1168,"?*")&lt;N(INDEX(Setup!$L$6:$L$23,11)))+(COUNTIF(S1168:U1168,"?*")&lt;N(INDEX(Setup!$L$6:$L$23,11)))+((W1168="")*(INDEX(Setup!$M$6:$M$23,11)="Y"))+((Y1168="")*(INDEX(Setup!$M$6:$M$23,11)="Y")))</f>
        <v/>
      </c>
      <c r="AC1168" s="90">
        <f>IF($B1168="","",IF(AB1168=0,"✓ covered","⚠ "&amp;AB1168&amp;IF(AB1168=1," gap"," gaps")))</f>
        <v/>
      </c>
    </row>
    <row r="1169" ht="17" customHeight="1">
      <c r="A1169" t="n">
        <v>24</v>
      </c>
      <c r="B1169" s="29">
        <f>IF(Setup!$K$17="","",Setup!$K$17)</f>
        <v/>
      </c>
      <c r="C1169" s="88" t="n"/>
      <c r="D1169" s="88" t="n"/>
      <c r="E1169" s="88" t="n"/>
      <c r="F1169" s="89" t="n"/>
      <c r="G1169" s="88" t="n"/>
      <c r="H1169" s="88" t="n"/>
      <c r="I1169" s="88" t="n"/>
      <c r="J1169" s="89" t="n"/>
      <c r="K1169" s="88" t="n"/>
      <c r="L1169" s="88" t="n"/>
      <c r="M1169" s="88" t="n"/>
      <c r="N1169" s="89" t="n"/>
      <c r="O1169" s="88" t="n"/>
      <c r="P1169" s="88" t="n"/>
      <c r="Q1169" s="88" t="n"/>
      <c r="R1169" s="89" t="n"/>
      <c r="S1169" s="88" t="n"/>
      <c r="T1169" s="88" t="n"/>
      <c r="U1169" s="88" t="n"/>
      <c r="V1169" s="89" t="n"/>
      <c r="W1169" s="88" t="n"/>
      <c r="X1169" s="89" t="n"/>
      <c r="Y1169" s="88" t="n"/>
      <c r="Z1169" s="89" t="n"/>
      <c r="AB1169" s="30">
        <f>IF($B1169="","",(COUNTIF(C1169:E1169,"?*")&lt;N(INDEX(Setup!$L$6:$L$23,12)))+(COUNTIF(G1169:I1169,"?*")&lt;N(INDEX(Setup!$L$6:$L$23,12)))+(COUNTIF(K1169:M1169,"?*")&lt;N(INDEX(Setup!$L$6:$L$23,12)))+(COUNTIF(O1169:Q1169,"?*")&lt;N(INDEX(Setup!$L$6:$L$23,12)))+(COUNTIF(S1169:U1169,"?*")&lt;N(INDEX(Setup!$L$6:$L$23,12)))+((W1169="")*(INDEX(Setup!$M$6:$M$23,12)="Y"))+((Y1169="")*(INDEX(Setup!$M$6:$M$23,12)="Y")))</f>
        <v/>
      </c>
      <c r="AC1169" s="91">
        <f>IF($B1169="","",IF(AB1169=0,"✓ covered","⚠ "&amp;AB1169&amp;IF(AB1169=1," gap"," gaps")))</f>
        <v/>
      </c>
    </row>
    <row r="1170" ht="17" customHeight="1">
      <c r="A1170" t="n">
        <v>24</v>
      </c>
      <c r="B1170" s="24">
        <f>IF(Setup!$K$18="","",Setup!$K$18)</f>
        <v/>
      </c>
      <c r="C1170" s="88" t="n"/>
      <c r="D1170" s="88" t="n"/>
      <c r="E1170" s="88" t="n"/>
      <c r="F1170" s="89" t="n"/>
      <c r="G1170" s="88" t="n"/>
      <c r="H1170" s="88" t="n"/>
      <c r="I1170" s="88" t="n"/>
      <c r="J1170" s="89" t="n"/>
      <c r="K1170" s="88" t="n"/>
      <c r="L1170" s="88" t="n"/>
      <c r="M1170" s="88" t="n"/>
      <c r="N1170" s="89" t="n"/>
      <c r="O1170" s="88" t="n"/>
      <c r="P1170" s="88" t="n"/>
      <c r="Q1170" s="88" t="n"/>
      <c r="R1170" s="89" t="n"/>
      <c r="S1170" s="88" t="n"/>
      <c r="T1170" s="88" t="n"/>
      <c r="U1170" s="88" t="n"/>
      <c r="V1170" s="89" t="n"/>
      <c r="W1170" s="88" t="n"/>
      <c r="X1170" s="89" t="n"/>
      <c r="Y1170" s="88" t="n"/>
      <c r="Z1170" s="89" t="n"/>
      <c r="AB1170" s="25">
        <f>IF($B1170="","",(COUNTIF(C1170:E1170,"?*")&lt;N(INDEX(Setup!$L$6:$L$23,13)))+(COUNTIF(G1170:I1170,"?*")&lt;N(INDEX(Setup!$L$6:$L$23,13)))+(COUNTIF(K1170:M1170,"?*")&lt;N(INDEX(Setup!$L$6:$L$23,13)))+(COUNTIF(O1170:Q1170,"?*")&lt;N(INDEX(Setup!$L$6:$L$23,13)))+(COUNTIF(S1170:U1170,"?*")&lt;N(INDEX(Setup!$L$6:$L$23,13)))+((W1170="")*(INDEX(Setup!$M$6:$M$23,13)="Y"))+((Y1170="")*(INDEX(Setup!$M$6:$M$23,13)="Y")))</f>
        <v/>
      </c>
      <c r="AC1170" s="90">
        <f>IF($B1170="","",IF(AB1170=0,"✓ covered","⚠ "&amp;AB1170&amp;IF(AB1170=1," gap"," gaps")))</f>
        <v/>
      </c>
    </row>
    <row r="1171" ht="17" customHeight="1">
      <c r="A1171" t="n">
        <v>24</v>
      </c>
      <c r="B1171" s="29">
        <f>IF(Setup!$K$19="","",Setup!$K$19)</f>
        <v/>
      </c>
      <c r="C1171" s="88" t="n"/>
      <c r="D1171" s="88" t="n"/>
      <c r="E1171" s="88" t="n"/>
      <c r="F1171" s="89" t="n"/>
      <c r="G1171" s="88" t="n"/>
      <c r="H1171" s="88" t="n"/>
      <c r="I1171" s="88" t="n"/>
      <c r="J1171" s="89" t="n"/>
      <c r="K1171" s="88" t="n"/>
      <c r="L1171" s="88" t="n"/>
      <c r="M1171" s="88" t="n"/>
      <c r="N1171" s="89" t="n"/>
      <c r="O1171" s="88" t="n"/>
      <c r="P1171" s="88" t="n"/>
      <c r="Q1171" s="88" t="n"/>
      <c r="R1171" s="89" t="n"/>
      <c r="S1171" s="88" t="n"/>
      <c r="T1171" s="88" t="n"/>
      <c r="U1171" s="88" t="n"/>
      <c r="V1171" s="89" t="n"/>
      <c r="W1171" s="88" t="n"/>
      <c r="X1171" s="89" t="n"/>
      <c r="Y1171" s="88" t="n"/>
      <c r="Z1171" s="89" t="n"/>
      <c r="AB1171" s="30">
        <f>IF($B1171="","",(COUNTIF(C1171:E1171,"?*")&lt;N(INDEX(Setup!$L$6:$L$23,14)))+(COUNTIF(G1171:I1171,"?*")&lt;N(INDEX(Setup!$L$6:$L$23,14)))+(COUNTIF(K1171:M1171,"?*")&lt;N(INDEX(Setup!$L$6:$L$23,14)))+(COUNTIF(O1171:Q1171,"?*")&lt;N(INDEX(Setup!$L$6:$L$23,14)))+(COUNTIF(S1171:U1171,"?*")&lt;N(INDEX(Setup!$L$6:$L$23,14)))+((W1171="")*(INDEX(Setup!$M$6:$M$23,14)="Y"))+((Y1171="")*(INDEX(Setup!$M$6:$M$23,14)="Y")))</f>
        <v/>
      </c>
      <c r="AC1171" s="91">
        <f>IF($B1171="","",IF(AB1171=0,"✓ covered","⚠ "&amp;AB1171&amp;IF(AB1171=1," gap"," gaps")))</f>
        <v/>
      </c>
    </row>
    <row r="1172" ht="17" customHeight="1">
      <c r="A1172" t="n">
        <v>24</v>
      </c>
      <c r="B1172" s="24">
        <f>IF(Setup!$K$20="","",Setup!$K$20)</f>
        <v/>
      </c>
      <c r="C1172" s="88" t="n"/>
      <c r="D1172" s="88" t="n"/>
      <c r="E1172" s="88" t="n"/>
      <c r="F1172" s="89" t="n"/>
      <c r="G1172" s="88" t="n"/>
      <c r="H1172" s="88" t="n"/>
      <c r="I1172" s="88" t="n"/>
      <c r="J1172" s="89" t="n"/>
      <c r="K1172" s="88" t="n"/>
      <c r="L1172" s="88" t="n"/>
      <c r="M1172" s="88" t="n"/>
      <c r="N1172" s="89" t="n"/>
      <c r="O1172" s="88" t="n"/>
      <c r="P1172" s="88" t="n"/>
      <c r="Q1172" s="88" t="n"/>
      <c r="R1172" s="89" t="n"/>
      <c r="S1172" s="88" t="n"/>
      <c r="T1172" s="88" t="n"/>
      <c r="U1172" s="88" t="n"/>
      <c r="V1172" s="89" t="n"/>
      <c r="W1172" s="88" t="n"/>
      <c r="X1172" s="89" t="n"/>
      <c r="Y1172" s="88" t="n"/>
      <c r="Z1172" s="89" t="n"/>
      <c r="AB1172" s="25">
        <f>IF($B1172="","",(COUNTIF(C1172:E1172,"?*")&lt;N(INDEX(Setup!$L$6:$L$23,15)))+(COUNTIF(G1172:I1172,"?*")&lt;N(INDEX(Setup!$L$6:$L$23,15)))+(COUNTIF(K1172:M1172,"?*")&lt;N(INDEX(Setup!$L$6:$L$23,15)))+(COUNTIF(O1172:Q1172,"?*")&lt;N(INDEX(Setup!$L$6:$L$23,15)))+(COUNTIF(S1172:U1172,"?*")&lt;N(INDEX(Setup!$L$6:$L$23,15)))+((W1172="")*(INDEX(Setup!$M$6:$M$23,15)="Y"))+((Y1172="")*(INDEX(Setup!$M$6:$M$23,15)="Y")))</f>
        <v/>
      </c>
      <c r="AC1172" s="90">
        <f>IF($B1172="","",IF(AB1172=0,"✓ covered","⚠ "&amp;AB1172&amp;IF(AB1172=1," gap"," gaps")))</f>
        <v/>
      </c>
    </row>
    <row r="1173" ht="17" customHeight="1">
      <c r="A1173" t="n">
        <v>24</v>
      </c>
      <c r="B1173" s="29">
        <f>IF(Setup!$K$21="","",Setup!$K$21)</f>
        <v/>
      </c>
      <c r="C1173" s="88" t="n"/>
      <c r="D1173" s="88" t="n"/>
      <c r="E1173" s="88" t="n"/>
      <c r="F1173" s="89" t="n"/>
      <c r="G1173" s="88" t="n"/>
      <c r="H1173" s="88" t="n"/>
      <c r="I1173" s="88" t="n"/>
      <c r="J1173" s="89" t="n"/>
      <c r="K1173" s="88" t="n"/>
      <c r="L1173" s="88" t="n"/>
      <c r="M1173" s="88" t="n"/>
      <c r="N1173" s="89" t="n"/>
      <c r="O1173" s="88" t="n"/>
      <c r="P1173" s="88" t="n"/>
      <c r="Q1173" s="88" t="n"/>
      <c r="R1173" s="89" t="n"/>
      <c r="S1173" s="88" t="n"/>
      <c r="T1173" s="88" t="n"/>
      <c r="U1173" s="88" t="n"/>
      <c r="V1173" s="89" t="n"/>
      <c r="W1173" s="88" t="n"/>
      <c r="X1173" s="89" t="n"/>
      <c r="Y1173" s="88" t="n"/>
      <c r="Z1173" s="89" t="n"/>
      <c r="AB1173" s="30">
        <f>IF($B1173="","",(COUNTIF(C1173:E1173,"?*")&lt;N(INDEX(Setup!$L$6:$L$23,16)))+(COUNTIF(G1173:I1173,"?*")&lt;N(INDEX(Setup!$L$6:$L$23,16)))+(COUNTIF(K1173:M1173,"?*")&lt;N(INDEX(Setup!$L$6:$L$23,16)))+(COUNTIF(O1173:Q1173,"?*")&lt;N(INDEX(Setup!$L$6:$L$23,16)))+(COUNTIF(S1173:U1173,"?*")&lt;N(INDEX(Setup!$L$6:$L$23,16)))+((W1173="")*(INDEX(Setup!$M$6:$M$23,16)="Y"))+((Y1173="")*(INDEX(Setup!$M$6:$M$23,16)="Y")))</f>
        <v/>
      </c>
      <c r="AC1173" s="91">
        <f>IF($B1173="","",IF(AB1173=0,"✓ covered","⚠ "&amp;AB1173&amp;IF(AB1173=1," gap"," gaps")))</f>
        <v/>
      </c>
    </row>
    <row r="1174" ht="17" customHeight="1">
      <c r="A1174" t="n">
        <v>24</v>
      </c>
      <c r="B1174" s="24">
        <f>IF(Setup!$K$22="","",Setup!$K$22)</f>
        <v/>
      </c>
      <c r="C1174" s="88" t="n"/>
      <c r="D1174" s="88" t="n"/>
      <c r="E1174" s="88" t="n"/>
      <c r="F1174" s="89" t="n"/>
      <c r="G1174" s="88" t="n"/>
      <c r="H1174" s="88" t="n"/>
      <c r="I1174" s="88" t="n"/>
      <c r="J1174" s="89" t="n"/>
      <c r="K1174" s="88" t="n"/>
      <c r="L1174" s="88" t="n"/>
      <c r="M1174" s="88" t="n"/>
      <c r="N1174" s="89" t="n"/>
      <c r="O1174" s="88" t="n"/>
      <c r="P1174" s="88" t="n"/>
      <c r="Q1174" s="88" t="n"/>
      <c r="R1174" s="89" t="n"/>
      <c r="S1174" s="88" t="n"/>
      <c r="T1174" s="88" t="n"/>
      <c r="U1174" s="88" t="n"/>
      <c r="V1174" s="89" t="n"/>
      <c r="W1174" s="88" t="n"/>
      <c r="X1174" s="89" t="n"/>
      <c r="Y1174" s="88" t="n"/>
      <c r="Z1174" s="89" t="n"/>
      <c r="AB1174" s="25">
        <f>IF($B1174="","",(COUNTIF(C1174:E1174,"?*")&lt;N(INDEX(Setup!$L$6:$L$23,17)))+(COUNTIF(G1174:I1174,"?*")&lt;N(INDEX(Setup!$L$6:$L$23,17)))+(COUNTIF(K1174:M1174,"?*")&lt;N(INDEX(Setup!$L$6:$L$23,17)))+(COUNTIF(O1174:Q1174,"?*")&lt;N(INDEX(Setup!$L$6:$L$23,17)))+(COUNTIF(S1174:U1174,"?*")&lt;N(INDEX(Setup!$L$6:$L$23,17)))+((W1174="")*(INDEX(Setup!$M$6:$M$23,17)="Y"))+((Y1174="")*(INDEX(Setup!$M$6:$M$23,17)="Y")))</f>
        <v/>
      </c>
      <c r="AC1174" s="90">
        <f>IF($B1174="","",IF(AB1174=0,"✓ covered","⚠ "&amp;AB1174&amp;IF(AB1174=1," gap"," gaps")))</f>
        <v/>
      </c>
    </row>
    <row r="1175" ht="17" customHeight="1">
      <c r="A1175" t="n">
        <v>24</v>
      </c>
      <c r="B1175" s="29">
        <f>IF(Setup!$K$23="","",Setup!$K$23)</f>
        <v/>
      </c>
      <c r="C1175" s="88" t="n"/>
      <c r="D1175" s="88" t="n"/>
      <c r="E1175" s="88" t="n"/>
      <c r="F1175" s="89" t="n"/>
      <c r="G1175" s="88" t="n"/>
      <c r="H1175" s="88" t="n"/>
      <c r="I1175" s="88" t="n"/>
      <c r="J1175" s="89" t="n"/>
      <c r="K1175" s="88" t="n"/>
      <c r="L1175" s="88" t="n"/>
      <c r="M1175" s="88" t="n"/>
      <c r="N1175" s="89" t="n"/>
      <c r="O1175" s="88" t="n"/>
      <c r="P1175" s="88" t="n"/>
      <c r="Q1175" s="88" t="n"/>
      <c r="R1175" s="89" t="n"/>
      <c r="S1175" s="88" t="n"/>
      <c r="T1175" s="88" t="n"/>
      <c r="U1175" s="88" t="n"/>
      <c r="V1175" s="89" t="n"/>
      <c r="W1175" s="88" t="n"/>
      <c r="X1175" s="89" t="n"/>
      <c r="Y1175" s="88" t="n"/>
      <c r="Z1175" s="89" t="n"/>
      <c r="AB1175" s="30">
        <f>IF($B1175="","",(COUNTIF(C1175:E1175,"?*")&lt;N(INDEX(Setup!$L$6:$L$23,18)))+(COUNTIF(G1175:I1175,"?*")&lt;N(INDEX(Setup!$L$6:$L$23,18)))+(COUNTIF(K1175:M1175,"?*")&lt;N(INDEX(Setup!$L$6:$L$23,18)))+(COUNTIF(O1175:Q1175,"?*")&lt;N(INDEX(Setup!$L$6:$L$23,18)))+(COUNTIF(S1175:U1175,"?*")&lt;N(INDEX(Setup!$L$6:$L$23,18)))+((W1175="")*(INDEX(Setup!$M$6:$M$23,18)="Y"))+((Y1175="")*(INDEX(Setup!$M$6:$M$23,18)="Y")))</f>
        <v/>
      </c>
      <c r="AC1175" s="91">
        <f>IF($B1175="","",IF(AB1175=0,"✓ covered","⚠ "&amp;AB1175&amp;IF(AB1175=1," gap"," gaps")))</f>
        <v/>
      </c>
    </row>
    <row r="1176" ht="18" customHeight="1">
      <c r="A1176" t="n">
        <v>24</v>
      </c>
      <c r="B1176" s="78" t="inlineStr">
        <is>
          <t>TEAM AVAILABILITY</t>
        </is>
      </c>
      <c r="C1176" s="92" t="inlineStr">
        <is>
          <t>Mon</t>
        </is>
      </c>
      <c r="D1176" s="93" t="n"/>
      <c r="E1176" s="93" t="n"/>
      <c r="F1176" s="94" t="n"/>
      <c r="G1176" s="92" t="inlineStr">
        <is>
          <t>Tue</t>
        </is>
      </c>
      <c r="H1176" s="93" t="n"/>
      <c r="I1176" s="93" t="n"/>
      <c r="J1176" s="94" t="n"/>
      <c r="K1176" s="92" t="inlineStr">
        <is>
          <t>Wed</t>
        </is>
      </c>
      <c r="L1176" s="93" t="n"/>
      <c r="M1176" s="93" t="n"/>
      <c r="N1176" s="94" t="n"/>
      <c r="O1176" s="92" t="inlineStr">
        <is>
          <t>Thu</t>
        </is>
      </c>
      <c r="P1176" s="93" t="n"/>
      <c r="Q1176" s="93" t="n"/>
      <c r="R1176" s="94" t="n"/>
      <c r="S1176" s="92" t="inlineStr">
        <is>
          <t>Fri</t>
        </is>
      </c>
      <c r="T1176" s="93" t="n"/>
      <c r="U1176" s="93" t="n"/>
      <c r="V1176" s="94" t="n"/>
      <c r="W1176" s="95" t="inlineStr">
        <is>
          <t>Sat</t>
        </is>
      </c>
      <c r="X1176" s="96" t="n"/>
      <c r="Y1176" s="95" t="inlineStr">
        <is>
          <t>Sun</t>
        </is>
      </c>
      <c r="Z1176" s="96" t="n"/>
      <c r="AB1176" s="97" t="inlineStr">
        <is>
          <t>Days rostered</t>
        </is>
      </c>
      <c r="AC1176" s="97" t="inlineStr">
        <is>
          <t>Conflicts</t>
        </is>
      </c>
    </row>
    <row r="1177" ht="15" customHeight="1">
      <c r="A1177" t="n">
        <v>24</v>
      </c>
      <c r="B1177" s="35">
        <f>IF(Setup!$B$6="","",Setup!$B$6)</f>
        <v/>
      </c>
      <c r="C1177" s="98" t="n"/>
      <c r="D1177" s="99" t="n"/>
      <c r="E1177" s="99" t="n"/>
      <c r="F1177" s="100" t="n"/>
      <c r="G1177" s="98" t="n"/>
      <c r="H1177" s="99" t="n"/>
      <c r="I1177" s="99" t="n"/>
      <c r="J1177" s="100" t="n"/>
      <c r="K1177" s="98" t="n"/>
      <c r="L1177" s="99" t="n"/>
      <c r="M1177" s="99" t="n"/>
      <c r="N1177" s="100" t="n"/>
      <c r="O1177" s="98" t="n"/>
      <c r="P1177" s="99" t="n"/>
      <c r="Q1177" s="99" t="n"/>
      <c r="R1177" s="100" t="n"/>
      <c r="S1177" s="98" t="n"/>
      <c r="T1177" s="99" t="n"/>
      <c r="U1177" s="99" t="n"/>
      <c r="V1177" s="100" t="n"/>
      <c r="W1177" s="98" t="n"/>
      <c r="X1177" s="100" t="n"/>
      <c r="Y1177" s="98" t="n"/>
      <c r="Z1177" s="100" t="n"/>
      <c r="AB1177" s="101">
        <f>IF($B1177="","",(COUNTIF(C1158:E1175,$B1177)+COUNTIF(C1158:E1175,$B1177&amp;" ~*")&gt;0)+(COUNTIF(G1158:I1175,$B1177)+COUNTIF(G1158:I1175,$B1177&amp;" ~*")&gt;0)+(COUNTIF(K1158:M1175,$B1177)+COUNTIF(K1158:M1175,$B1177&amp;" ~*")&gt;0)+(COUNTIF(O1158:Q1175,$B1177)+COUNTIF(O1158:Q1175,$B1177&amp;" ~*")&gt;0)+(COUNTIF(S1158:U1175,$B1177)+COUNTIF(S1158:U1175,$B1177&amp;" ~*")&gt;0)+(COUNTIF(W1158:W1175,$B1177)+COUNTIF(W1158:W1175,$B1177&amp;" ~*")&gt;0)+(COUNTIF(Y1158:Y1175,$B1177)+COUNTIF(Y1158:Y1175,$B1177&amp;" ~*")&gt;0))</f>
        <v/>
      </c>
      <c r="AC1177" s="36">
        <f>IF($B1177="","",(IFERROR(INDEX(Setup!$G$33:$G$40,MATCH(C1177,Setup!$B$33:$B$40,0)),0)=1)*(COUNTIF(C1158:E1175,$B1177)+COUNTIF(C1158:E1175,$B1177&amp;" ~*")&gt;0)+(IFERROR(INDEX(Setup!$G$33:$G$40,MATCH(G1177,Setup!$B$33:$B$40,0)),0)=1)*(COUNTIF(G1158:I1175,$B1177)+COUNTIF(G1158:I1175,$B1177&amp;" ~*")&gt;0)+(IFERROR(INDEX(Setup!$G$33:$G$40,MATCH(K1177,Setup!$B$33:$B$40,0)),0)=1)*(COUNTIF(K1158:M1175,$B1177)+COUNTIF(K1158:M1175,$B1177&amp;" ~*")&gt;0)+(IFERROR(INDEX(Setup!$G$33:$G$40,MATCH(O1177,Setup!$B$33:$B$40,0)),0)=1)*(COUNTIF(O1158:Q1175,$B1177)+COUNTIF(O1158:Q1175,$B1177&amp;" ~*")&gt;0)+(IFERROR(INDEX(Setup!$G$33:$G$40,MATCH(S1177,Setup!$B$33:$B$40,0)),0)=1)*(COUNTIF(S1158:U1175,$B1177)+COUNTIF(S1158:U1175,$B1177&amp;" ~*")&gt;0)+(IFERROR(INDEX(Setup!$G$33:$G$40,MATCH(W1177,Setup!$B$33:$B$40,0)),0)=1)*(COUNTIF(W1158:W1175,$B1177)+COUNTIF(W1158:W1175,$B1177&amp;" ~*")&gt;0)+(IFERROR(INDEX(Setup!$G$33:$G$40,MATCH(Y1177,Setup!$B$33:$B$40,0)),0)=1)*(COUNTIF(Y1158:Y1175,$B1177)+COUNTIF(Y1158:Y1175,$B1177&amp;" ~*")&gt;0))</f>
        <v/>
      </c>
    </row>
    <row r="1178" ht="15" customHeight="1">
      <c r="A1178" t="n">
        <v>24</v>
      </c>
      <c r="B1178" s="37">
        <f>IF(Setup!$B$7="","",Setup!$B$7)</f>
        <v/>
      </c>
      <c r="C1178" s="102" t="n"/>
      <c r="D1178" s="103" t="n"/>
      <c r="E1178" s="103" t="n"/>
      <c r="F1178" s="104" t="n"/>
      <c r="G1178" s="102" t="n"/>
      <c r="H1178" s="103" t="n"/>
      <c r="I1178" s="103" t="n"/>
      <c r="J1178" s="104" t="n"/>
      <c r="K1178" s="102" t="n"/>
      <c r="L1178" s="103" t="n"/>
      <c r="M1178" s="103" t="n"/>
      <c r="N1178" s="104" t="n"/>
      <c r="O1178" s="102" t="n"/>
      <c r="P1178" s="103" t="n"/>
      <c r="Q1178" s="103" t="n"/>
      <c r="R1178" s="104" t="n"/>
      <c r="S1178" s="102" t="n"/>
      <c r="T1178" s="103" t="n"/>
      <c r="U1178" s="103" t="n"/>
      <c r="V1178" s="104" t="n"/>
      <c r="W1178" s="102" t="n"/>
      <c r="X1178" s="104" t="n"/>
      <c r="Y1178" s="102" t="n"/>
      <c r="Z1178" s="104" t="n"/>
      <c r="AB1178" s="105">
        <f>IF($B1178="","",(COUNTIF(C1158:E1175,$B1178)+COUNTIF(C1158:E1175,$B1178&amp;" ~*")&gt;0)+(COUNTIF(G1158:I1175,$B1178)+COUNTIF(G1158:I1175,$B1178&amp;" ~*")&gt;0)+(COUNTIF(K1158:M1175,$B1178)+COUNTIF(K1158:M1175,$B1178&amp;" ~*")&gt;0)+(COUNTIF(O1158:Q1175,$B1178)+COUNTIF(O1158:Q1175,$B1178&amp;" ~*")&gt;0)+(COUNTIF(S1158:U1175,$B1178)+COUNTIF(S1158:U1175,$B1178&amp;" ~*")&gt;0)+(COUNTIF(W1158:W1175,$B1178)+COUNTIF(W1158:W1175,$B1178&amp;" ~*")&gt;0)+(COUNTIF(Y1158:Y1175,$B1178)+COUNTIF(Y1158:Y1175,$B1178&amp;" ~*")&gt;0))</f>
        <v/>
      </c>
      <c r="AC1178" s="38">
        <f>IF($B1178="","",(IFERROR(INDEX(Setup!$G$33:$G$40,MATCH(C1178,Setup!$B$33:$B$40,0)),0)=1)*(COUNTIF(C1158:E1175,$B1178)+COUNTIF(C1158:E1175,$B1178&amp;" ~*")&gt;0)+(IFERROR(INDEX(Setup!$G$33:$G$40,MATCH(G1178,Setup!$B$33:$B$40,0)),0)=1)*(COUNTIF(G1158:I1175,$B1178)+COUNTIF(G1158:I1175,$B1178&amp;" ~*")&gt;0)+(IFERROR(INDEX(Setup!$G$33:$G$40,MATCH(K1178,Setup!$B$33:$B$40,0)),0)=1)*(COUNTIF(K1158:M1175,$B1178)+COUNTIF(K1158:M1175,$B1178&amp;" ~*")&gt;0)+(IFERROR(INDEX(Setup!$G$33:$G$40,MATCH(O1178,Setup!$B$33:$B$40,0)),0)=1)*(COUNTIF(O1158:Q1175,$B1178)+COUNTIF(O1158:Q1175,$B1178&amp;" ~*")&gt;0)+(IFERROR(INDEX(Setup!$G$33:$G$40,MATCH(S1178,Setup!$B$33:$B$40,0)),0)=1)*(COUNTIF(S1158:U1175,$B1178)+COUNTIF(S1158:U1175,$B1178&amp;" ~*")&gt;0)+(IFERROR(INDEX(Setup!$G$33:$G$40,MATCH(W1178,Setup!$B$33:$B$40,0)),0)=1)*(COUNTIF(W1158:W1175,$B1178)+COUNTIF(W1158:W1175,$B1178&amp;" ~*")&gt;0)+(IFERROR(INDEX(Setup!$G$33:$G$40,MATCH(Y1178,Setup!$B$33:$B$40,0)),0)=1)*(COUNTIF(Y1158:Y1175,$B1178)+COUNTIF(Y1158:Y1175,$B1178&amp;" ~*")&gt;0))</f>
        <v/>
      </c>
    </row>
    <row r="1179" ht="15" customHeight="1">
      <c r="A1179" t="n">
        <v>24</v>
      </c>
      <c r="B1179" s="35">
        <f>IF(Setup!$B$8="","",Setup!$B$8)</f>
        <v/>
      </c>
      <c r="C1179" s="98" t="n"/>
      <c r="D1179" s="99" t="n"/>
      <c r="E1179" s="99" t="n"/>
      <c r="F1179" s="100" t="n"/>
      <c r="G1179" s="98" t="n"/>
      <c r="H1179" s="99" t="n"/>
      <c r="I1179" s="99" t="n"/>
      <c r="J1179" s="100" t="n"/>
      <c r="K1179" s="98" t="n"/>
      <c r="L1179" s="99" t="n"/>
      <c r="M1179" s="99" t="n"/>
      <c r="N1179" s="100" t="n"/>
      <c r="O1179" s="98" t="n"/>
      <c r="P1179" s="99" t="n"/>
      <c r="Q1179" s="99" t="n"/>
      <c r="R1179" s="100" t="n"/>
      <c r="S1179" s="98" t="n"/>
      <c r="T1179" s="99" t="n"/>
      <c r="U1179" s="99" t="n"/>
      <c r="V1179" s="100" t="n"/>
      <c r="W1179" s="98" t="n"/>
      <c r="X1179" s="100" t="n"/>
      <c r="Y1179" s="98" t="n"/>
      <c r="Z1179" s="100" t="n"/>
      <c r="AB1179" s="101">
        <f>IF($B1179="","",(COUNTIF(C1158:E1175,$B1179)+COUNTIF(C1158:E1175,$B1179&amp;" ~*")&gt;0)+(COUNTIF(G1158:I1175,$B1179)+COUNTIF(G1158:I1175,$B1179&amp;" ~*")&gt;0)+(COUNTIF(K1158:M1175,$B1179)+COUNTIF(K1158:M1175,$B1179&amp;" ~*")&gt;0)+(COUNTIF(O1158:Q1175,$B1179)+COUNTIF(O1158:Q1175,$B1179&amp;" ~*")&gt;0)+(COUNTIF(S1158:U1175,$B1179)+COUNTIF(S1158:U1175,$B1179&amp;" ~*")&gt;0)+(COUNTIF(W1158:W1175,$B1179)+COUNTIF(W1158:W1175,$B1179&amp;" ~*")&gt;0)+(COUNTIF(Y1158:Y1175,$B1179)+COUNTIF(Y1158:Y1175,$B1179&amp;" ~*")&gt;0))</f>
        <v/>
      </c>
      <c r="AC1179" s="36">
        <f>IF($B1179="","",(IFERROR(INDEX(Setup!$G$33:$G$40,MATCH(C1179,Setup!$B$33:$B$40,0)),0)=1)*(COUNTIF(C1158:E1175,$B1179)+COUNTIF(C1158:E1175,$B1179&amp;" ~*")&gt;0)+(IFERROR(INDEX(Setup!$G$33:$G$40,MATCH(G1179,Setup!$B$33:$B$40,0)),0)=1)*(COUNTIF(G1158:I1175,$B1179)+COUNTIF(G1158:I1175,$B1179&amp;" ~*")&gt;0)+(IFERROR(INDEX(Setup!$G$33:$G$40,MATCH(K1179,Setup!$B$33:$B$40,0)),0)=1)*(COUNTIF(K1158:M1175,$B1179)+COUNTIF(K1158:M1175,$B1179&amp;" ~*")&gt;0)+(IFERROR(INDEX(Setup!$G$33:$G$40,MATCH(O1179,Setup!$B$33:$B$40,0)),0)=1)*(COUNTIF(O1158:Q1175,$B1179)+COUNTIF(O1158:Q1175,$B1179&amp;" ~*")&gt;0)+(IFERROR(INDEX(Setup!$G$33:$G$40,MATCH(S1179,Setup!$B$33:$B$40,0)),0)=1)*(COUNTIF(S1158:U1175,$B1179)+COUNTIF(S1158:U1175,$B1179&amp;" ~*")&gt;0)+(IFERROR(INDEX(Setup!$G$33:$G$40,MATCH(W1179,Setup!$B$33:$B$40,0)),0)=1)*(COUNTIF(W1158:W1175,$B1179)+COUNTIF(W1158:W1175,$B1179&amp;" ~*")&gt;0)+(IFERROR(INDEX(Setup!$G$33:$G$40,MATCH(Y1179,Setup!$B$33:$B$40,0)),0)=1)*(COUNTIF(Y1158:Y1175,$B1179)+COUNTIF(Y1158:Y1175,$B1179&amp;" ~*")&gt;0))</f>
        <v/>
      </c>
    </row>
    <row r="1180" ht="15" customHeight="1">
      <c r="A1180" t="n">
        <v>24</v>
      </c>
      <c r="B1180" s="37">
        <f>IF(Setup!$B$9="","",Setup!$B$9)</f>
        <v/>
      </c>
      <c r="C1180" s="102" t="n"/>
      <c r="D1180" s="103" t="n"/>
      <c r="E1180" s="103" t="n"/>
      <c r="F1180" s="104" t="n"/>
      <c r="G1180" s="102" t="n"/>
      <c r="H1180" s="103" t="n"/>
      <c r="I1180" s="103" t="n"/>
      <c r="J1180" s="104" t="n"/>
      <c r="K1180" s="102" t="n"/>
      <c r="L1180" s="103" t="n"/>
      <c r="M1180" s="103" t="n"/>
      <c r="N1180" s="104" t="n"/>
      <c r="O1180" s="102" t="n"/>
      <c r="P1180" s="103" t="n"/>
      <c r="Q1180" s="103" t="n"/>
      <c r="R1180" s="104" t="n"/>
      <c r="S1180" s="102" t="n"/>
      <c r="T1180" s="103" t="n"/>
      <c r="U1180" s="103" t="n"/>
      <c r="V1180" s="104" t="n"/>
      <c r="W1180" s="102" t="n"/>
      <c r="X1180" s="104" t="n"/>
      <c r="Y1180" s="102" t="n"/>
      <c r="Z1180" s="104" t="n"/>
      <c r="AB1180" s="105">
        <f>IF($B1180="","",(COUNTIF(C1158:E1175,$B1180)+COUNTIF(C1158:E1175,$B1180&amp;" ~*")&gt;0)+(COUNTIF(G1158:I1175,$B1180)+COUNTIF(G1158:I1175,$B1180&amp;" ~*")&gt;0)+(COUNTIF(K1158:M1175,$B1180)+COUNTIF(K1158:M1175,$B1180&amp;" ~*")&gt;0)+(COUNTIF(O1158:Q1175,$B1180)+COUNTIF(O1158:Q1175,$B1180&amp;" ~*")&gt;0)+(COUNTIF(S1158:U1175,$B1180)+COUNTIF(S1158:U1175,$B1180&amp;" ~*")&gt;0)+(COUNTIF(W1158:W1175,$B1180)+COUNTIF(W1158:W1175,$B1180&amp;" ~*")&gt;0)+(COUNTIF(Y1158:Y1175,$B1180)+COUNTIF(Y1158:Y1175,$B1180&amp;" ~*")&gt;0))</f>
        <v/>
      </c>
      <c r="AC1180" s="38">
        <f>IF($B1180="","",(IFERROR(INDEX(Setup!$G$33:$G$40,MATCH(C1180,Setup!$B$33:$B$40,0)),0)=1)*(COUNTIF(C1158:E1175,$B1180)+COUNTIF(C1158:E1175,$B1180&amp;" ~*")&gt;0)+(IFERROR(INDEX(Setup!$G$33:$G$40,MATCH(G1180,Setup!$B$33:$B$40,0)),0)=1)*(COUNTIF(G1158:I1175,$B1180)+COUNTIF(G1158:I1175,$B1180&amp;" ~*")&gt;0)+(IFERROR(INDEX(Setup!$G$33:$G$40,MATCH(K1180,Setup!$B$33:$B$40,0)),0)=1)*(COUNTIF(K1158:M1175,$B1180)+COUNTIF(K1158:M1175,$B1180&amp;" ~*")&gt;0)+(IFERROR(INDEX(Setup!$G$33:$G$40,MATCH(O1180,Setup!$B$33:$B$40,0)),0)=1)*(COUNTIF(O1158:Q1175,$B1180)+COUNTIF(O1158:Q1175,$B1180&amp;" ~*")&gt;0)+(IFERROR(INDEX(Setup!$G$33:$G$40,MATCH(S1180,Setup!$B$33:$B$40,0)),0)=1)*(COUNTIF(S1158:U1175,$B1180)+COUNTIF(S1158:U1175,$B1180&amp;" ~*")&gt;0)+(IFERROR(INDEX(Setup!$G$33:$G$40,MATCH(W1180,Setup!$B$33:$B$40,0)),0)=1)*(COUNTIF(W1158:W1175,$B1180)+COUNTIF(W1158:W1175,$B1180&amp;" ~*")&gt;0)+(IFERROR(INDEX(Setup!$G$33:$G$40,MATCH(Y1180,Setup!$B$33:$B$40,0)),0)=1)*(COUNTIF(Y1158:Y1175,$B1180)+COUNTIF(Y1158:Y1175,$B1180&amp;" ~*")&gt;0))</f>
        <v/>
      </c>
    </row>
    <row r="1181" ht="15" customHeight="1">
      <c r="A1181" t="n">
        <v>24</v>
      </c>
      <c r="B1181" s="35">
        <f>IF(Setup!$B$10="","",Setup!$B$10)</f>
        <v/>
      </c>
      <c r="C1181" s="98" t="inlineStr">
        <is>
          <t>AL</t>
        </is>
      </c>
      <c r="D1181" s="99" t="n"/>
      <c r="E1181" s="99" t="n"/>
      <c r="F1181" s="100" t="n"/>
      <c r="G1181" s="98" t="inlineStr">
        <is>
          <t>AL</t>
        </is>
      </c>
      <c r="H1181" s="99" t="n"/>
      <c r="I1181" s="99" t="n"/>
      <c r="J1181" s="100" t="n"/>
      <c r="K1181" s="98" t="inlineStr">
        <is>
          <t>AL</t>
        </is>
      </c>
      <c r="L1181" s="99" t="n"/>
      <c r="M1181" s="99" t="n"/>
      <c r="N1181" s="100" t="n"/>
      <c r="O1181" s="98" t="inlineStr">
        <is>
          <t>AL</t>
        </is>
      </c>
      <c r="P1181" s="99" t="n"/>
      <c r="Q1181" s="99" t="n"/>
      <c r="R1181" s="100" t="n"/>
      <c r="S1181" s="98" t="inlineStr">
        <is>
          <t>AL</t>
        </is>
      </c>
      <c r="T1181" s="99" t="n"/>
      <c r="U1181" s="99" t="n"/>
      <c r="V1181" s="100" t="n"/>
      <c r="W1181" s="98" t="n"/>
      <c r="X1181" s="100" t="n"/>
      <c r="Y1181" s="98" t="n"/>
      <c r="Z1181" s="100" t="n"/>
      <c r="AB1181" s="101">
        <f>IF($B1181="","",(COUNTIF(C1158:E1175,$B1181)+COUNTIF(C1158:E1175,$B1181&amp;" ~*")&gt;0)+(COUNTIF(G1158:I1175,$B1181)+COUNTIF(G1158:I1175,$B1181&amp;" ~*")&gt;0)+(COUNTIF(K1158:M1175,$B1181)+COUNTIF(K1158:M1175,$B1181&amp;" ~*")&gt;0)+(COUNTIF(O1158:Q1175,$B1181)+COUNTIF(O1158:Q1175,$B1181&amp;" ~*")&gt;0)+(COUNTIF(S1158:U1175,$B1181)+COUNTIF(S1158:U1175,$B1181&amp;" ~*")&gt;0)+(COUNTIF(W1158:W1175,$B1181)+COUNTIF(W1158:W1175,$B1181&amp;" ~*")&gt;0)+(COUNTIF(Y1158:Y1175,$B1181)+COUNTIF(Y1158:Y1175,$B1181&amp;" ~*")&gt;0))</f>
        <v/>
      </c>
      <c r="AC1181" s="36">
        <f>IF($B1181="","",(IFERROR(INDEX(Setup!$G$33:$G$40,MATCH(C1181,Setup!$B$33:$B$40,0)),0)=1)*(COUNTIF(C1158:E1175,$B1181)+COUNTIF(C1158:E1175,$B1181&amp;" ~*")&gt;0)+(IFERROR(INDEX(Setup!$G$33:$G$40,MATCH(G1181,Setup!$B$33:$B$40,0)),0)=1)*(COUNTIF(G1158:I1175,$B1181)+COUNTIF(G1158:I1175,$B1181&amp;" ~*")&gt;0)+(IFERROR(INDEX(Setup!$G$33:$G$40,MATCH(K1181,Setup!$B$33:$B$40,0)),0)=1)*(COUNTIF(K1158:M1175,$B1181)+COUNTIF(K1158:M1175,$B1181&amp;" ~*")&gt;0)+(IFERROR(INDEX(Setup!$G$33:$G$40,MATCH(O1181,Setup!$B$33:$B$40,0)),0)=1)*(COUNTIF(O1158:Q1175,$B1181)+COUNTIF(O1158:Q1175,$B1181&amp;" ~*")&gt;0)+(IFERROR(INDEX(Setup!$G$33:$G$40,MATCH(S1181,Setup!$B$33:$B$40,0)),0)=1)*(COUNTIF(S1158:U1175,$B1181)+COUNTIF(S1158:U1175,$B1181&amp;" ~*")&gt;0)+(IFERROR(INDEX(Setup!$G$33:$G$40,MATCH(W1181,Setup!$B$33:$B$40,0)),0)=1)*(COUNTIF(W1158:W1175,$B1181)+COUNTIF(W1158:W1175,$B1181&amp;" ~*")&gt;0)+(IFERROR(INDEX(Setup!$G$33:$G$40,MATCH(Y1181,Setup!$B$33:$B$40,0)),0)=1)*(COUNTIF(Y1158:Y1175,$B1181)+COUNTIF(Y1158:Y1175,$B1181&amp;" ~*")&gt;0))</f>
        <v/>
      </c>
    </row>
    <row r="1182" ht="15" customHeight="1">
      <c r="A1182" t="n">
        <v>24</v>
      </c>
      <c r="B1182" s="37">
        <f>IF(Setup!$B$11="","",Setup!$B$11)</f>
        <v/>
      </c>
      <c r="C1182" s="102" t="n"/>
      <c r="D1182" s="103" t="n"/>
      <c r="E1182" s="103" t="n"/>
      <c r="F1182" s="104" t="n"/>
      <c r="G1182" s="102" t="n"/>
      <c r="H1182" s="103" t="n"/>
      <c r="I1182" s="103" t="n"/>
      <c r="J1182" s="104" t="n"/>
      <c r="K1182" s="102" t="n"/>
      <c r="L1182" s="103" t="n"/>
      <c r="M1182" s="103" t="n"/>
      <c r="N1182" s="104" t="n"/>
      <c r="O1182" s="102" t="n"/>
      <c r="P1182" s="103" t="n"/>
      <c r="Q1182" s="103" t="n"/>
      <c r="R1182" s="104" t="n"/>
      <c r="S1182" s="102" t="n"/>
      <c r="T1182" s="103" t="n"/>
      <c r="U1182" s="103" t="n"/>
      <c r="V1182" s="104" t="n"/>
      <c r="W1182" s="102" t="n"/>
      <c r="X1182" s="104" t="n"/>
      <c r="Y1182" s="102" t="n"/>
      <c r="Z1182" s="104" t="n"/>
      <c r="AB1182" s="105">
        <f>IF($B1182="","",(COUNTIF(C1158:E1175,$B1182)+COUNTIF(C1158:E1175,$B1182&amp;" ~*")&gt;0)+(COUNTIF(G1158:I1175,$B1182)+COUNTIF(G1158:I1175,$B1182&amp;" ~*")&gt;0)+(COUNTIF(K1158:M1175,$B1182)+COUNTIF(K1158:M1175,$B1182&amp;" ~*")&gt;0)+(COUNTIF(O1158:Q1175,$B1182)+COUNTIF(O1158:Q1175,$B1182&amp;" ~*")&gt;0)+(COUNTIF(S1158:U1175,$B1182)+COUNTIF(S1158:U1175,$B1182&amp;" ~*")&gt;0)+(COUNTIF(W1158:W1175,$B1182)+COUNTIF(W1158:W1175,$B1182&amp;" ~*")&gt;0)+(COUNTIF(Y1158:Y1175,$B1182)+COUNTIF(Y1158:Y1175,$B1182&amp;" ~*")&gt;0))</f>
        <v/>
      </c>
      <c r="AC1182" s="38">
        <f>IF($B1182="","",(IFERROR(INDEX(Setup!$G$33:$G$40,MATCH(C1182,Setup!$B$33:$B$40,0)),0)=1)*(COUNTIF(C1158:E1175,$B1182)+COUNTIF(C1158:E1175,$B1182&amp;" ~*")&gt;0)+(IFERROR(INDEX(Setup!$G$33:$G$40,MATCH(G1182,Setup!$B$33:$B$40,0)),0)=1)*(COUNTIF(G1158:I1175,$B1182)+COUNTIF(G1158:I1175,$B1182&amp;" ~*")&gt;0)+(IFERROR(INDEX(Setup!$G$33:$G$40,MATCH(K1182,Setup!$B$33:$B$40,0)),0)=1)*(COUNTIF(K1158:M1175,$B1182)+COUNTIF(K1158:M1175,$B1182&amp;" ~*")&gt;0)+(IFERROR(INDEX(Setup!$G$33:$G$40,MATCH(O1182,Setup!$B$33:$B$40,0)),0)=1)*(COUNTIF(O1158:Q1175,$B1182)+COUNTIF(O1158:Q1175,$B1182&amp;" ~*")&gt;0)+(IFERROR(INDEX(Setup!$G$33:$G$40,MATCH(S1182,Setup!$B$33:$B$40,0)),0)=1)*(COUNTIF(S1158:U1175,$B1182)+COUNTIF(S1158:U1175,$B1182&amp;" ~*")&gt;0)+(IFERROR(INDEX(Setup!$G$33:$G$40,MATCH(W1182,Setup!$B$33:$B$40,0)),0)=1)*(COUNTIF(W1158:W1175,$B1182)+COUNTIF(W1158:W1175,$B1182&amp;" ~*")&gt;0)+(IFERROR(INDEX(Setup!$G$33:$G$40,MATCH(Y1182,Setup!$B$33:$B$40,0)),0)=1)*(COUNTIF(Y1158:Y1175,$B1182)+COUNTIF(Y1158:Y1175,$B1182&amp;" ~*")&gt;0))</f>
        <v/>
      </c>
    </row>
    <row r="1183" ht="15" customHeight="1">
      <c r="A1183" t="n">
        <v>24</v>
      </c>
      <c r="B1183" s="35">
        <f>IF(Setup!$B$12="","",Setup!$B$12)</f>
        <v/>
      </c>
      <c r="C1183" s="98" t="n"/>
      <c r="D1183" s="99" t="n"/>
      <c r="E1183" s="99" t="n"/>
      <c r="F1183" s="100" t="n"/>
      <c r="G1183" s="98" t="n"/>
      <c r="H1183" s="99" t="n"/>
      <c r="I1183" s="99" t="n"/>
      <c r="J1183" s="100" t="n"/>
      <c r="K1183" s="98" t="n"/>
      <c r="L1183" s="99" t="n"/>
      <c r="M1183" s="99" t="n"/>
      <c r="N1183" s="100" t="n"/>
      <c r="O1183" s="98" t="n"/>
      <c r="P1183" s="99" t="n"/>
      <c r="Q1183" s="99" t="n"/>
      <c r="R1183" s="100" t="n"/>
      <c r="S1183" s="98" t="n"/>
      <c r="T1183" s="99" t="n"/>
      <c r="U1183" s="99" t="n"/>
      <c r="V1183" s="100" t="n"/>
      <c r="W1183" s="98" t="n"/>
      <c r="X1183" s="100" t="n"/>
      <c r="Y1183" s="98" t="n"/>
      <c r="Z1183" s="100" t="n"/>
      <c r="AB1183" s="101">
        <f>IF($B1183="","",(COUNTIF(C1158:E1175,$B1183)+COUNTIF(C1158:E1175,$B1183&amp;" ~*")&gt;0)+(COUNTIF(G1158:I1175,$B1183)+COUNTIF(G1158:I1175,$B1183&amp;" ~*")&gt;0)+(COUNTIF(K1158:M1175,$B1183)+COUNTIF(K1158:M1175,$B1183&amp;" ~*")&gt;0)+(COUNTIF(O1158:Q1175,$B1183)+COUNTIF(O1158:Q1175,$B1183&amp;" ~*")&gt;0)+(COUNTIF(S1158:U1175,$B1183)+COUNTIF(S1158:U1175,$B1183&amp;" ~*")&gt;0)+(COUNTIF(W1158:W1175,$B1183)+COUNTIF(W1158:W1175,$B1183&amp;" ~*")&gt;0)+(COUNTIF(Y1158:Y1175,$B1183)+COUNTIF(Y1158:Y1175,$B1183&amp;" ~*")&gt;0))</f>
        <v/>
      </c>
      <c r="AC1183" s="36">
        <f>IF($B1183="","",(IFERROR(INDEX(Setup!$G$33:$G$40,MATCH(C1183,Setup!$B$33:$B$40,0)),0)=1)*(COUNTIF(C1158:E1175,$B1183)+COUNTIF(C1158:E1175,$B1183&amp;" ~*")&gt;0)+(IFERROR(INDEX(Setup!$G$33:$G$40,MATCH(G1183,Setup!$B$33:$B$40,0)),0)=1)*(COUNTIF(G1158:I1175,$B1183)+COUNTIF(G1158:I1175,$B1183&amp;" ~*")&gt;0)+(IFERROR(INDEX(Setup!$G$33:$G$40,MATCH(K1183,Setup!$B$33:$B$40,0)),0)=1)*(COUNTIF(K1158:M1175,$B1183)+COUNTIF(K1158:M1175,$B1183&amp;" ~*")&gt;0)+(IFERROR(INDEX(Setup!$G$33:$G$40,MATCH(O1183,Setup!$B$33:$B$40,0)),0)=1)*(COUNTIF(O1158:Q1175,$B1183)+COUNTIF(O1158:Q1175,$B1183&amp;" ~*")&gt;0)+(IFERROR(INDEX(Setup!$G$33:$G$40,MATCH(S1183,Setup!$B$33:$B$40,0)),0)=1)*(COUNTIF(S1158:U1175,$B1183)+COUNTIF(S1158:U1175,$B1183&amp;" ~*")&gt;0)+(IFERROR(INDEX(Setup!$G$33:$G$40,MATCH(W1183,Setup!$B$33:$B$40,0)),0)=1)*(COUNTIF(W1158:W1175,$B1183)+COUNTIF(W1158:W1175,$B1183&amp;" ~*")&gt;0)+(IFERROR(INDEX(Setup!$G$33:$G$40,MATCH(Y1183,Setup!$B$33:$B$40,0)),0)=1)*(COUNTIF(Y1158:Y1175,$B1183)+COUNTIF(Y1158:Y1175,$B1183&amp;" ~*")&gt;0))</f>
        <v/>
      </c>
    </row>
    <row r="1184" ht="15" customHeight="1">
      <c r="A1184" t="n">
        <v>24</v>
      </c>
      <c r="B1184" s="37">
        <f>IF(Setup!$B$13="","",Setup!$B$13)</f>
        <v/>
      </c>
      <c r="C1184" s="102" t="n"/>
      <c r="D1184" s="103" t="n"/>
      <c r="E1184" s="103" t="n"/>
      <c r="F1184" s="104" t="n"/>
      <c r="G1184" s="102" t="n"/>
      <c r="H1184" s="103" t="n"/>
      <c r="I1184" s="103" t="n"/>
      <c r="J1184" s="104" t="n"/>
      <c r="K1184" s="102" t="n"/>
      <c r="L1184" s="103" t="n"/>
      <c r="M1184" s="103" t="n"/>
      <c r="N1184" s="104" t="n"/>
      <c r="O1184" s="102" t="n"/>
      <c r="P1184" s="103" t="n"/>
      <c r="Q1184" s="103" t="n"/>
      <c r="R1184" s="104" t="n"/>
      <c r="S1184" s="102" t="n"/>
      <c r="T1184" s="103" t="n"/>
      <c r="U1184" s="103" t="n"/>
      <c r="V1184" s="104" t="n"/>
      <c r="W1184" s="102" t="n"/>
      <c r="X1184" s="104" t="n"/>
      <c r="Y1184" s="102" t="n"/>
      <c r="Z1184" s="104" t="n"/>
      <c r="AB1184" s="105">
        <f>IF($B1184="","",(COUNTIF(C1158:E1175,$B1184)+COUNTIF(C1158:E1175,$B1184&amp;" ~*")&gt;0)+(COUNTIF(G1158:I1175,$B1184)+COUNTIF(G1158:I1175,$B1184&amp;" ~*")&gt;0)+(COUNTIF(K1158:M1175,$B1184)+COUNTIF(K1158:M1175,$B1184&amp;" ~*")&gt;0)+(COUNTIF(O1158:Q1175,$B1184)+COUNTIF(O1158:Q1175,$B1184&amp;" ~*")&gt;0)+(COUNTIF(S1158:U1175,$B1184)+COUNTIF(S1158:U1175,$B1184&amp;" ~*")&gt;0)+(COUNTIF(W1158:W1175,$B1184)+COUNTIF(W1158:W1175,$B1184&amp;" ~*")&gt;0)+(COUNTIF(Y1158:Y1175,$B1184)+COUNTIF(Y1158:Y1175,$B1184&amp;" ~*")&gt;0))</f>
        <v/>
      </c>
      <c r="AC1184" s="38">
        <f>IF($B1184="","",(IFERROR(INDEX(Setup!$G$33:$G$40,MATCH(C1184,Setup!$B$33:$B$40,0)),0)=1)*(COUNTIF(C1158:E1175,$B1184)+COUNTIF(C1158:E1175,$B1184&amp;" ~*")&gt;0)+(IFERROR(INDEX(Setup!$G$33:$G$40,MATCH(G1184,Setup!$B$33:$B$40,0)),0)=1)*(COUNTIF(G1158:I1175,$B1184)+COUNTIF(G1158:I1175,$B1184&amp;" ~*")&gt;0)+(IFERROR(INDEX(Setup!$G$33:$G$40,MATCH(K1184,Setup!$B$33:$B$40,0)),0)=1)*(COUNTIF(K1158:M1175,$B1184)+COUNTIF(K1158:M1175,$B1184&amp;" ~*")&gt;0)+(IFERROR(INDEX(Setup!$G$33:$G$40,MATCH(O1184,Setup!$B$33:$B$40,0)),0)=1)*(COUNTIF(O1158:Q1175,$B1184)+COUNTIF(O1158:Q1175,$B1184&amp;" ~*")&gt;0)+(IFERROR(INDEX(Setup!$G$33:$G$40,MATCH(S1184,Setup!$B$33:$B$40,0)),0)=1)*(COUNTIF(S1158:U1175,$B1184)+COUNTIF(S1158:U1175,$B1184&amp;" ~*")&gt;0)+(IFERROR(INDEX(Setup!$G$33:$G$40,MATCH(W1184,Setup!$B$33:$B$40,0)),0)=1)*(COUNTIF(W1158:W1175,$B1184)+COUNTIF(W1158:W1175,$B1184&amp;" ~*")&gt;0)+(IFERROR(INDEX(Setup!$G$33:$G$40,MATCH(Y1184,Setup!$B$33:$B$40,0)),0)=1)*(COUNTIF(Y1158:Y1175,$B1184)+COUNTIF(Y1158:Y1175,$B1184&amp;" ~*")&gt;0))</f>
        <v/>
      </c>
    </row>
    <row r="1185" ht="15" customHeight="1">
      <c r="A1185" t="n">
        <v>24</v>
      </c>
      <c r="B1185" s="35">
        <f>IF(Setup!$B$14="","",Setup!$B$14)</f>
        <v/>
      </c>
      <c r="C1185" s="98" t="n"/>
      <c r="D1185" s="99" t="n"/>
      <c r="E1185" s="99" t="n"/>
      <c r="F1185" s="100" t="n"/>
      <c r="G1185" s="98" t="n"/>
      <c r="H1185" s="99" t="n"/>
      <c r="I1185" s="99" t="n"/>
      <c r="J1185" s="100" t="n"/>
      <c r="K1185" s="98" t="n"/>
      <c r="L1185" s="99" t="n"/>
      <c r="M1185" s="99" t="n"/>
      <c r="N1185" s="100" t="n"/>
      <c r="O1185" s="98" t="n"/>
      <c r="P1185" s="99" t="n"/>
      <c r="Q1185" s="99" t="n"/>
      <c r="R1185" s="100" t="n"/>
      <c r="S1185" s="98" t="n"/>
      <c r="T1185" s="99" t="n"/>
      <c r="U1185" s="99" t="n"/>
      <c r="V1185" s="100" t="n"/>
      <c r="W1185" s="98" t="n"/>
      <c r="X1185" s="100" t="n"/>
      <c r="Y1185" s="98" t="n"/>
      <c r="Z1185" s="100" t="n"/>
      <c r="AB1185" s="101">
        <f>IF($B1185="","",(COUNTIF(C1158:E1175,$B1185)+COUNTIF(C1158:E1175,$B1185&amp;" ~*")&gt;0)+(COUNTIF(G1158:I1175,$B1185)+COUNTIF(G1158:I1175,$B1185&amp;" ~*")&gt;0)+(COUNTIF(K1158:M1175,$B1185)+COUNTIF(K1158:M1175,$B1185&amp;" ~*")&gt;0)+(COUNTIF(O1158:Q1175,$B1185)+COUNTIF(O1158:Q1175,$B1185&amp;" ~*")&gt;0)+(COUNTIF(S1158:U1175,$B1185)+COUNTIF(S1158:U1175,$B1185&amp;" ~*")&gt;0)+(COUNTIF(W1158:W1175,$B1185)+COUNTIF(W1158:W1175,$B1185&amp;" ~*")&gt;0)+(COUNTIF(Y1158:Y1175,$B1185)+COUNTIF(Y1158:Y1175,$B1185&amp;" ~*")&gt;0))</f>
        <v/>
      </c>
      <c r="AC1185" s="36">
        <f>IF($B1185="","",(IFERROR(INDEX(Setup!$G$33:$G$40,MATCH(C1185,Setup!$B$33:$B$40,0)),0)=1)*(COUNTIF(C1158:E1175,$B1185)+COUNTIF(C1158:E1175,$B1185&amp;" ~*")&gt;0)+(IFERROR(INDEX(Setup!$G$33:$G$40,MATCH(G1185,Setup!$B$33:$B$40,0)),0)=1)*(COUNTIF(G1158:I1175,$B1185)+COUNTIF(G1158:I1175,$B1185&amp;" ~*")&gt;0)+(IFERROR(INDEX(Setup!$G$33:$G$40,MATCH(K1185,Setup!$B$33:$B$40,0)),0)=1)*(COUNTIF(K1158:M1175,$B1185)+COUNTIF(K1158:M1175,$B1185&amp;" ~*")&gt;0)+(IFERROR(INDEX(Setup!$G$33:$G$40,MATCH(O1185,Setup!$B$33:$B$40,0)),0)=1)*(COUNTIF(O1158:Q1175,$B1185)+COUNTIF(O1158:Q1175,$B1185&amp;" ~*")&gt;0)+(IFERROR(INDEX(Setup!$G$33:$G$40,MATCH(S1185,Setup!$B$33:$B$40,0)),0)=1)*(COUNTIF(S1158:U1175,$B1185)+COUNTIF(S1158:U1175,$B1185&amp;" ~*")&gt;0)+(IFERROR(INDEX(Setup!$G$33:$G$40,MATCH(W1185,Setup!$B$33:$B$40,0)),0)=1)*(COUNTIF(W1158:W1175,$B1185)+COUNTIF(W1158:W1175,$B1185&amp;" ~*")&gt;0)+(IFERROR(INDEX(Setup!$G$33:$G$40,MATCH(Y1185,Setup!$B$33:$B$40,0)),0)=1)*(COUNTIF(Y1158:Y1175,$B1185)+COUNTIF(Y1158:Y1175,$B1185&amp;" ~*")&gt;0))</f>
        <v/>
      </c>
    </row>
    <row r="1186" ht="15" customHeight="1">
      <c r="A1186" t="n">
        <v>24</v>
      </c>
      <c r="B1186" s="37">
        <f>IF(Setup!$B$15="","",Setup!$B$15)</f>
        <v/>
      </c>
      <c r="C1186" s="102" t="n"/>
      <c r="D1186" s="103" t="n"/>
      <c r="E1186" s="103" t="n"/>
      <c r="F1186" s="104" t="n"/>
      <c r="G1186" s="102" t="n"/>
      <c r="H1186" s="103" t="n"/>
      <c r="I1186" s="103" t="n"/>
      <c r="J1186" s="104" t="n"/>
      <c r="K1186" s="102" t="n"/>
      <c r="L1186" s="103" t="n"/>
      <c r="M1186" s="103" t="n"/>
      <c r="N1186" s="104" t="n"/>
      <c r="O1186" s="102" t="n"/>
      <c r="P1186" s="103" t="n"/>
      <c r="Q1186" s="103" t="n"/>
      <c r="R1186" s="104" t="n"/>
      <c r="S1186" s="102" t="n"/>
      <c r="T1186" s="103" t="n"/>
      <c r="U1186" s="103" t="n"/>
      <c r="V1186" s="104" t="n"/>
      <c r="W1186" s="102" t="n"/>
      <c r="X1186" s="104" t="n"/>
      <c r="Y1186" s="102" t="n"/>
      <c r="Z1186" s="104" t="n"/>
      <c r="AB1186" s="105">
        <f>IF($B1186="","",(COUNTIF(C1158:E1175,$B1186)+COUNTIF(C1158:E1175,$B1186&amp;" ~*")&gt;0)+(COUNTIF(G1158:I1175,$B1186)+COUNTIF(G1158:I1175,$B1186&amp;" ~*")&gt;0)+(COUNTIF(K1158:M1175,$B1186)+COUNTIF(K1158:M1175,$B1186&amp;" ~*")&gt;0)+(COUNTIF(O1158:Q1175,$B1186)+COUNTIF(O1158:Q1175,$B1186&amp;" ~*")&gt;0)+(COUNTIF(S1158:U1175,$B1186)+COUNTIF(S1158:U1175,$B1186&amp;" ~*")&gt;0)+(COUNTIF(W1158:W1175,$B1186)+COUNTIF(W1158:W1175,$B1186&amp;" ~*")&gt;0)+(COUNTIF(Y1158:Y1175,$B1186)+COUNTIF(Y1158:Y1175,$B1186&amp;" ~*")&gt;0))</f>
        <v/>
      </c>
      <c r="AC1186" s="38">
        <f>IF($B1186="","",(IFERROR(INDEX(Setup!$G$33:$G$40,MATCH(C1186,Setup!$B$33:$B$40,0)),0)=1)*(COUNTIF(C1158:E1175,$B1186)+COUNTIF(C1158:E1175,$B1186&amp;" ~*")&gt;0)+(IFERROR(INDEX(Setup!$G$33:$G$40,MATCH(G1186,Setup!$B$33:$B$40,0)),0)=1)*(COUNTIF(G1158:I1175,$B1186)+COUNTIF(G1158:I1175,$B1186&amp;" ~*")&gt;0)+(IFERROR(INDEX(Setup!$G$33:$G$40,MATCH(K1186,Setup!$B$33:$B$40,0)),0)=1)*(COUNTIF(K1158:M1175,$B1186)+COUNTIF(K1158:M1175,$B1186&amp;" ~*")&gt;0)+(IFERROR(INDEX(Setup!$G$33:$G$40,MATCH(O1186,Setup!$B$33:$B$40,0)),0)=1)*(COUNTIF(O1158:Q1175,$B1186)+COUNTIF(O1158:Q1175,$B1186&amp;" ~*")&gt;0)+(IFERROR(INDEX(Setup!$G$33:$G$40,MATCH(S1186,Setup!$B$33:$B$40,0)),0)=1)*(COUNTIF(S1158:U1175,$B1186)+COUNTIF(S1158:U1175,$B1186&amp;" ~*")&gt;0)+(IFERROR(INDEX(Setup!$G$33:$G$40,MATCH(W1186,Setup!$B$33:$B$40,0)),0)=1)*(COUNTIF(W1158:W1175,$B1186)+COUNTIF(W1158:W1175,$B1186&amp;" ~*")&gt;0)+(IFERROR(INDEX(Setup!$G$33:$G$40,MATCH(Y1186,Setup!$B$33:$B$40,0)),0)=1)*(COUNTIF(Y1158:Y1175,$B1186)+COUNTIF(Y1158:Y1175,$B1186&amp;" ~*")&gt;0))</f>
        <v/>
      </c>
    </row>
    <row r="1187" ht="15" customHeight="1">
      <c r="A1187" t="n">
        <v>24</v>
      </c>
      <c r="B1187" s="35">
        <f>IF(Setup!$B$16="","",Setup!$B$16)</f>
        <v/>
      </c>
      <c r="C1187" s="98" t="n"/>
      <c r="D1187" s="99" t="n"/>
      <c r="E1187" s="99" t="n"/>
      <c r="F1187" s="100" t="n"/>
      <c r="G1187" s="98" t="n"/>
      <c r="H1187" s="99" t="n"/>
      <c r="I1187" s="99" t="n"/>
      <c r="J1187" s="100" t="n"/>
      <c r="K1187" s="98" t="n"/>
      <c r="L1187" s="99" t="n"/>
      <c r="M1187" s="99" t="n"/>
      <c r="N1187" s="100" t="n"/>
      <c r="O1187" s="98" t="n"/>
      <c r="P1187" s="99" t="n"/>
      <c r="Q1187" s="99" t="n"/>
      <c r="R1187" s="100" t="n"/>
      <c r="S1187" s="98" t="n"/>
      <c r="T1187" s="99" t="n"/>
      <c r="U1187" s="99" t="n"/>
      <c r="V1187" s="100" t="n"/>
      <c r="W1187" s="98" t="n"/>
      <c r="X1187" s="100" t="n"/>
      <c r="Y1187" s="98" t="n"/>
      <c r="Z1187" s="100" t="n"/>
      <c r="AB1187" s="101">
        <f>IF($B1187="","",(COUNTIF(C1158:E1175,$B1187)+COUNTIF(C1158:E1175,$B1187&amp;" ~*")&gt;0)+(COUNTIF(G1158:I1175,$B1187)+COUNTIF(G1158:I1175,$B1187&amp;" ~*")&gt;0)+(COUNTIF(K1158:M1175,$B1187)+COUNTIF(K1158:M1175,$B1187&amp;" ~*")&gt;0)+(COUNTIF(O1158:Q1175,$B1187)+COUNTIF(O1158:Q1175,$B1187&amp;" ~*")&gt;0)+(COUNTIF(S1158:U1175,$B1187)+COUNTIF(S1158:U1175,$B1187&amp;" ~*")&gt;0)+(COUNTIF(W1158:W1175,$B1187)+COUNTIF(W1158:W1175,$B1187&amp;" ~*")&gt;0)+(COUNTIF(Y1158:Y1175,$B1187)+COUNTIF(Y1158:Y1175,$B1187&amp;" ~*")&gt;0))</f>
        <v/>
      </c>
      <c r="AC1187" s="36">
        <f>IF($B1187="","",(IFERROR(INDEX(Setup!$G$33:$G$40,MATCH(C1187,Setup!$B$33:$B$40,0)),0)=1)*(COUNTIF(C1158:E1175,$B1187)+COUNTIF(C1158:E1175,$B1187&amp;" ~*")&gt;0)+(IFERROR(INDEX(Setup!$G$33:$G$40,MATCH(G1187,Setup!$B$33:$B$40,0)),0)=1)*(COUNTIF(G1158:I1175,$B1187)+COUNTIF(G1158:I1175,$B1187&amp;" ~*")&gt;0)+(IFERROR(INDEX(Setup!$G$33:$G$40,MATCH(K1187,Setup!$B$33:$B$40,0)),0)=1)*(COUNTIF(K1158:M1175,$B1187)+COUNTIF(K1158:M1175,$B1187&amp;" ~*")&gt;0)+(IFERROR(INDEX(Setup!$G$33:$G$40,MATCH(O1187,Setup!$B$33:$B$40,0)),0)=1)*(COUNTIF(O1158:Q1175,$B1187)+COUNTIF(O1158:Q1175,$B1187&amp;" ~*")&gt;0)+(IFERROR(INDEX(Setup!$G$33:$G$40,MATCH(S1187,Setup!$B$33:$B$40,0)),0)=1)*(COUNTIF(S1158:U1175,$B1187)+COUNTIF(S1158:U1175,$B1187&amp;" ~*")&gt;0)+(IFERROR(INDEX(Setup!$G$33:$G$40,MATCH(W1187,Setup!$B$33:$B$40,0)),0)=1)*(COUNTIF(W1158:W1175,$B1187)+COUNTIF(W1158:W1175,$B1187&amp;" ~*")&gt;0)+(IFERROR(INDEX(Setup!$G$33:$G$40,MATCH(Y1187,Setup!$B$33:$B$40,0)),0)=1)*(COUNTIF(Y1158:Y1175,$B1187)+COUNTIF(Y1158:Y1175,$B1187&amp;" ~*")&gt;0))</f>
        <v/>
      </c>
    </row>
    <row r="1188" ht="15" customHeight="1">
      <c r="A1188" t="n">
        <v>24</v>
      </c>
      <c r="B1188" s="37">
        <f>IF(Setup!$B$17="","",Setup!$B$17)</f>
        <v/>
      </c>
      <c r="C1188" s="102" t="n"/>
      <c r="D1188" s="103" t="n"/>
      <c r="E1188" s="103" t="n"/>
      <c r="F1188" s="104" t="n"/>
      <c r="G1188" s="102" t="n"/>
      <c r="H1188" s="103" t="n"/>
      <c r="I1188" s="103" t="n"/>
      <c r="J1188" s="104" t="n"/>
      <c r="K1188" s="102" t="n"/>
      <c r="L1188" s="103" t="n"/>
      <c r="M1188" s="103" t="n"/>
      <c r="N1188" s="104" t="n"/>
      <c r="O1188" s="102" t="n"/>
      <c r="P1188" s="103" t="n"/>
      <c r="Q1188" s="103" t="n"/>
      <c r="R1188" s="104" t="n"/>
      <c r="S1188" s="102" t="n"/>
      <c r="T1188" s="103" t="n"/>
      <c r="U1188" s="103" t="n"/>
      <c r="V1188" s="104" t="n"/>
      <c r="W1188" s="102" t="n"/>
      <c r="X1188" s="104" t="n"/>
      <c r="Y1188" s="102" t="n"/>
      <c r="Z1188" s="104" t="n"/>
      <c r="AB1188" s="105">
        <f>IF($B1188="","",(COUNTIF(C1158:E1175,$B1188)+COUNTIF(C1158:E1175,$B1188&amp;" ~*")&gt;0)+(COUNTIF(G1158:I1175,$B1188)+COUNTIF(G1158:I1175,$B1188&amp;" ~*")&gt;0)+(COUNTIF(K1158:M1175,$B1188)+COUNTIF(K1158:M1175,$B1188&amp;" ~*")&gt;0)+(COUNTIF(O1158:Q1175,$B1188)+COUNTIF(O1158:Q1175,$B1188&amp;" ~*")&gt;0)+(COUNTIF(S1158:U1175,$B1188)+COUNTIF(S1158:U1175,$B1188&amp;" ~*")&gt;0)+(COUNTIF(W1158:W1175,$B1188)+COUNTIF(W1158:W1175,$B1188&amp;" ~*")&gt;0)+(COUNTIF(Y1158:Y1175,$B1188)+COUNTIF(Y1158:Y1175,$B1188&amp;" ~*")&gt;0))</f>
        <v/>
      </c>
      <c r="AC1188" s="38">
        <f>IF($B1188="","",(IFERROR(INDEX(Setup!$G$33:$G$40,MATCH(C1188,Setup!$B$33:$B$40,0)),0)=1)*(COUNTIF(C1158:E1175,$B1188)+COUNTIF(C1158:E1175,$B1188&amp;" ~*")&gt;0)+(IFERROR(INDEX(Setup!$G$33:$G$40,MATCH(G1188,Setup!$B$33:$B$40,0)),0)=1)*(COUNTIF(G1158:I1175,$B1188)+COUNTIF(G1158:I1175,$B1188&amp;" ~*")&gt;0)+(IFERROR(INDEX(Setup!$G$33:$G$40,MATCH(K1188,Setup!$B$33:$B$40,0)),0)=1)*(COUNTIF(K1158:M1175,$B1188)+COUNTIF(K1158:M1175,$B1188&amp;" ~*")&gt;0)+(IFERROR(INDEX(Setup!$G$33:$G$40,MATCH(O1188,Setup!$B$33:$B$40,0)),0)=1)*(COUNTIF(O1158:Q1175,$B1188)+COUNTIF(O1158:Q1175,$B1188&amp;" ~*")&gt;0)+(IFERROR(INDEX(Setup!$G$33:$G$40,MATCH(S1188,Setup!$B$33:$B$40,0)),0)=1)*(COUNTIF(S1158:U1175,$B1188)+COUNTIF(S1158:U1175,$B1188&amp;" ~*")&gt;0)+(IFERROR(INDEX(Setup!$G$33:$G$40,MATCH(W1188,Setup!$B$33:$B$40,0)),0)=1)*(COUNTIF(W1158:W1175,$B1188)+COUNTIF(W1158:W1175,$B1188&amp;" ~*")&gt;0)+(IFERROR(INDEX(Setup!$G$33:$G$40,MATCH(Y1188,Setup!$B$33:$B$40,0)),0)=1)*(COUNTIF(Y1158:Y1175,$B1188)+COUNTIF(Y1158:Y1175,$B1188&amp;" ~*")&gt;0))</f>
        <v/>
      </c>
    </row>
    <row r="1189" ht="15" customHeight="1">
      <c r="A1189" t="n">
        <v>24</v>
      </c>
      <c r="B1189" s="35">
        <f>IF(Setup!$B$18="","",Setup!$B$18)</f>
        <v/>
      </c>
      <c r="C1189" s="98" t="n"/>
      <c r="D1189" s="99" t="n"/>
      <c r="E1189" s="99" t="n"/>
      <c r="F1189" s="100" t="n"/>
      <c r="G1189" s="98" t="n"/>
      <c r="H1189" s="99" t="n"/>
      <c r="I1189" s="99" t="n"/>
      <c r="J1189" s="100" t="n"/>
      <c r="K1189" s="98" t="n"/>
      <c r="L1189" s="99" t="n"/>
      <c r="M1189" s="99" t="n"/>
      <c r="N1189" s="100" t="n"/>
      <c r="O1189" s="98" t="n"/>
      <c r="P1189" s="99" t="n"/>
      <c r="Q1189" s="99" t="n"/>
      <c r="R1189" s="100" t="n"/>
      <c r="S1189" s="98" t="n"/>
      <c r="T1189" s="99" t="n"/>
      <c r="U1189" s="99" t="n"/>
      <c r="V1189" s="100" t="n"/>
      <c r="W1189" s="98" t="n"/>
      <c r="X1189" s="100" t="n"/>
      <c r="Y1189" s="98" t="n"/>
      <c r="Z1189" s="100" t="n"/>
      <c r="AB1189" s="101">
        <f>IF($B1189="","",(COUNTIF(C1158:E1175,$B1189)+COUNTIF(C1158:E1175,$B1189&amp;" ~*")&gt;0)+(COUNTIF(G1158:I1175,$B1189)+COUNTIF(G1158:I1175,$B1189&amp;" ~*")&gt;0)+(COUNTIF(K1158:M1175,$B1189)+COUNTIF(K1158:M1175,$B1189&amp;" ~*")&gt;0)+(COUNTIF(O1158:Q1175,$B1189)+COUNTIF(O1158:Q1175,$B1189&amp;" ~*")&gt;0)+(COUNTIF(S1158:U1175,$B1189)+COUNTIF(S1158:U1175,$B1189&amp;" ~*")&gt;0)+(COUNTIF(W1158:W1175,$B1189)+COUNTIF(W1158:W1175,$B1189&amp;" ~*")&gt;0)+(COUNTIF(Y1158:Y1175,$B1189)+COUNTIF(Y1158:Y1175,$B1189&amp;" ~*")&gt;0))</f>
        <v/>
      </c>
      <c r="AC1189" s="36">
        <f>IF($B1189="","",(IFERROR(INDEX(Setup!$G$33:$G$40,MATCH(C1189,Setup!$B$33:$B$40,0)),0)=1)*(COUNTIF(C1158:E1175,$B1189)+COUNTIF(C1158:E1175,$B1189&amp;" ~*")&gt;0)+(IFERROR(INDEX(Setup!$G$33:$G$40,MATCH(G1189,Setup!$B$33:$B$40,0)),0)=1)*(COUNTIF(G1158:I1175,$B1189)+COUNTIF(G1158:I1175,$B1189&amp;" ~*")&gt;0)+(IFERROR(INDEX(Setup!$G$33:$G$40,MATCH(K1189,Setup!$B$33:$B$40,0)),0)=1)*(COUNTIF(K1158:M1175,$B1189)+COUNTIF(K1158:M1175,$B1189&amp;" ~*")&gt;0)+(IFERROR(INDEX(Setup!$G$33:$G$40,MATCH(O1189,Setup!$B$33:$B$40,0)),0)=1)*(COUNTIF(O1158:Q1175,$B1189)+COUNTIF(O1158:Q1175,$B1189&amp;" ~*")&gt;0)+(IFERROR(INDEX(Setup!$G$33:$G$40,MATCH(S1189,Setup!$B$33:$B$40,0)),0)=1)*(COUNTIF(S1158:U1175,$B1189)+COUNTIF(S1158:U1175,$B1189&amp;" ~*")&gt;0)+(IFERROR(INDEX(Setup!$G$33:$G$40,MATCH(W1189,Setup!$B$33:$B$40,0)),0)=1)*(COUNTIF(W1158:W1175,$B1189)+COUNTIF(W1158:W1175,$B1189&amp;" ~*")&gt;0)+(IFERROR(INDEX(Setup!$G$33:$G$40,MATCH(Y1189,Setup!$B$33:$B$40,0)),0)=1)*(COUNTIF(Y1158:Y1175,$B1189)+COUNTIF(Y1158:Y1175,$B1189&amp;" ~*")&gt;0))</f>
        <v/>
      </c>
    </row>
    <row r="1190" ht="15" customHeight="1">
      <c r="A1190" t="n">
        <v>24</v>
      </c>
      <c r="B1190" s="37">
        <f>IF(Setup!$B$19="","",Setup!$B$19)</f>
        <v/>
      </c>
      <c r="C1190" s="102" t="n"/>
      <c r="D1190" s="103" t="n"/>
      <c r="E1190" s="103" t="n"/>
      <c r="F1190" s="104" t="n"/>
      <c r="G1190" s="102" t="n"/>
      <c r="H1190" s="103" t="n"/>
      <c r="I1190" s="103" t="n"/>
      <c r="J1190" s="104" t="n"/>
      <c r="K1190" s="102" t="n"/>
      <c r="L1190" s="103" t="n"/>
      <c r="M1190" s="103" t="n"/>
      <c r="N1190" s="104" t="n"/>
      <c r="O1190" s="102" t="n"/>
      <c r="P1190" s="103" t="n"/>
      <c r="Q1190" s="103" t="n"/>
      <c r="R1190" s="104" t="n"/>
      <c r="S1190" s="102" t="n"/>
      <c r="T1190" s="103" t="n"/>
      <c r="U1190" s="103" t="n"/>
      <c r="V1190" s="104" t="n"/>
      <c r="W1190" s="102" t="n"/>
      <c r="X1190" s="104" t="n"/>
      <c r="Y1190" s="102" t="n"/>
      <c r="Z1190" s="104" t="n"/>
      <c r="AB1190" s="105">
        <f>IF($B1190="","",(COUNTIF(C1158:E1175,$B1190)+COUNTIF(C1158:E1175,$B1190&amp;" ~*")&gt;0)+(COUNTIF(G1158:I1175,$B1190)+COUNTIF(G1158:I1175,$B1190&amp;" ~*")&gt;0)+(COUNTIF(K1158:M1175,$B1190)+COUNTIF(K1158:M1175,$B1190&amp;" ~*")&gt;0)+(COUNTIF(O1158:Q1175,$B1190)+COUNTIF(O1158:Q1175,$B1190&amp;" ~*")&gt;0)+(COUNTIF(S1158:U1175,$B1190)+COUNTIF(S1158:U1175,$B1190&amp;" ~*")&gt;0)+(COUNTIF(W1158:W1175,$B1190)+COUNTIF(W1158:W1175,$B1190&amp;" ~*")&gt;0)+(COUNTIF(Y1158:Y1175,$B1190)+COUNTIF(Y1158:Y1175,$B1190&amp;" ~*")&gt;0))</f>
        <v/>
      </c>
      <c r="AC1190" s="38">
        <f>IF($B1190="","",(IFERROR(INDEX(Setup!$G$33:$G$40,MATCH(C1190,Setup!$B$33:$B$40,0)),0)=1)*(COUNTIF(C1158:E1175,$B1190)+COUNTIF(C1158:E1175,$B1190&amp;" ~*")&gt;0)+(IFERROR(INDEX(Setup!$G$33:$G$40,MATCH(G1190,Setup!$B$33:$B$40,0)),0)=1)*(COUNTIF(G1158:I1175,$B1190)+COUNTIF(G1158:I1175,$B1190&amp;" ~*")&gt;0)+(IFERROR(INDEX(Setup!$G$33:$G$40,MATCH(K1190,Setup!$B$33:$B$40,0)),0)=1)*(COUNTIF(K1158:M1175,$B1190)+COUNTIF(K1158:M1175,$B1190&amp;" ~*")&gt;0)+(IFERROR(INDEX(Setup!$G$33:$G$40,MATCH(O1190,Setup!$B$33:$B$40,0)),0)=1)*(COUNTIF(O1158:Q1175,$B1190)+COUNTIF(O1158:Q1175,$B1190&amp;" ~*")&gt;0)+(IFERROR(INDEX(Setup!$G$33:$G$40,MATCH(S1190,Setup!$B$33:$B$40,0)),0)=1)*(COUNTIF(S1158:U1175,$B1190)+COUNTIF(S1158:U1175,$B1190&amp;" ~*")&gt;0)+(IFERROR(INDEX(Setup!$G$33:$G$40,MATCH(W1190,Setup!$B$33:$B$40,0)),0)=1)*(COUNTIF(W1158:W1175,$B1190)+COUNTIF(W1158:W1175,$B1190&amp;" ~*")&gt;0)+(IFERROR(INDEX(Setup!$G$33:$G$40,MATCH(Y1190,Setup!$B$33:$B$40,0)),0)=1)*(COUNTIF(Y1158:Y1175,$B1190)+COUNTIF(Y1158:Y1175,$B1190&amp;" ~*")&gt;0))</f>
        <v/>
      </c>
    </row>
    <row r="1191" ht="15" customHeight="1">
      <c r="A1191" t="n">
        <v>24</v>
      </c>
      <c r="B1191" s="35">
        <f>IF(Setup!$B$20="","",Setup!$B$20)</f>
        <v/>
      </c>
      <c r="C1191" s="98" t="n"/>
      <c r="D1191" s="99" t="n"/>
      <c r="E1191" s="99" t="n"/>
      <c r="F1191" s="100" t="n"/>
      <c r="G1191" s="98" t="n"/>
      <c r="H1191" s="99" t="n"/>
      <c r="I1191" s="99" t="n"/>
      <c r="J1191" s="100" t="n"/>
      <c r="K1191" s="98" t="n"/>
      <c r="L1191" s="99" t="n"/>
      <c r="M1191" s="99" t="n"/>
      <c r="N1191" s="100" t="n"/>
      <c r="O1191" s="98" t="n"/>
      <c r="P1191" s="99" t="n"/>
      <c r="Q1191" s="99" t="n"/>
      <c r="R1191" s="100" t="n"/>
      <c r="S1191" s="98" t="n"/>
      <c r="T1191" s="99" t="n"/>
      <c r="U1191" s="99" t="n"/>
      <c r="V1191" s="100" t="n"/>
      <c r="W1191" s="98" t="n"/>
      <c r="X1191" s="100" t="n"/>
      <c r="Y1191" s="98" t="n"/>
      <c r="Z1191" s="100" t="n"/>
      <c r="AB1191" s="101">
        <f>IF($B1191="","",(COUNTIF(C1158:E1175,$B1191)+COUNTIF(C1158:E1175,$B1191&amp;" ~*")&gt;0)+(COUNTIF(G1158:I1175,$B1191)+COUNTIF(G1158:I1175,$B1191&amp;" ~*")&gt;0)+(COUNTIF(K1158:M1175,$B1191)+COUNTIF(K1158:M1175,$B1191&amp;" ~*")&gt;0)+(COUNTIF(O1158:Q1175,$B1191)+COUNTIF(O1158:Q1175,$B1191&amp;" ~*")&gt;0)+(COUNTIF(S1158:U1175,$B1191)+COUNTIF(S1158:U1175,$B1191&amp;" ~*")&gt;0)+(COUNTIF(W1158:W1175,$B1191)+COUNTIF(W1158:W1175,$B1191&amp;" ~*")&gt;0)+(COUNTIF(Y1158:Y1175,$B1191)+COUNTIF(Y1158:Y1175,$B1191&amp;" ~*")&gt;0))</f>
        <v/>
      </c>
      <c r="AC1191" s="36">
        <f>IF($B1191="","",(IFERROR(INDEX(Setup!$G$33:$G$40,MATCH(C1191,Setup!$B$33:$B$40,0)),0)=1)*(COUNTIF(C1158:E1175,$B1191)+COUNTIF(C1158:E1175,$B1191&amp;" ~*")&gt;0)+(IFERROR(INDEX(Setup!$G$33:$G$40,MATCH(G1191,Setup!$B$33:$B$40,0)),0)=1)*(COUNTIF(G1158:I1175,$B1191)+COUNTIF(G1158:I1175,$B1191&amp;" ~*")&gt;0)+(IFERROR(INDEX(Setup!$G$33:$G$40,MATCH(K1191,Setup!$B$33:$B$40,0)),0)=1)*(COUNTIF(K1158:M1175,$B1191)+COUNTIF(K1158:M1175,$B1191&amp;" ~*")&gt;0)+(IFERROR(INDEX(Setup!$G$33:$G$40,MATCH(O1191,Setup!$B$33:$B$40,0)),0)=1)*(COUNTIF(O1158:Q1175,$B1191)+COUNTIF(O1158:Q1175,$B1191&amp;" ~*")&gt;0)+(IFERROR(INDEX(Setup!$G$33:$G$40,MATCH(S1191,Setup!$B$33:$B$40,0)),0)=1)*(COUNTIF(S1158:U1175,$B1191)+COUNTIF(S1158:U1175,$B1191&amp;" ~*")&gt;0)+(IFERROR(INDEX(Setup!$G$33:$G$40,MATCH(W1191,Setup!$B$33:$B$40,0)),0)=1)*(COUNTIF(W1158:W1175,$B1191)+COUNTIF(W1158:W1175,$B1191&amp;" ~*")&gt;0)+(IFERROR(INDEX(Setup!$G$33:$G$40,MATCH(Y1191,Setup!$B$33:$B$40,0)),0)=1)*(COUNTIF(Y1158:Y1175,$B1191)+COUNTIF(Y1158:Y1175,$B1191&amp;" ~*")&gt;0))</f>
        <v/>
      </c>
    </row>
    <row r="1192" ht="15" customHeight="1">
      <c r="A1192" t="n">
        <v>24</v>
      </c>
      <c r="B1192" s="37">
        <f>IF(Setup!$B$21="","",Setup!$B$21)</f>
        <v/>
      </c>
      <c r="C1192" s="102" t="n"/>
      <c r="D1192" s="103" t="n"/>
      <c r="E1192" s="103" t="n"/>
      <c r="F1192" s="104" t="n"/>
      <c r="G1192" s="102" t="n"/>
      <c r="H1192" s="103" t="n"/>
      <c r="I1192" s="103" t="n"/>
      <c r="J1192" s="104" t="n"/>
      <c r="K1192" s="102" t="n"/>
      <c r="L1192" s="103" t="n"/>
      <c r="M1192" s="103" t="n"/>
      <c r="N1192" s="104" t="n"/>
      <c r="O1192" s="102" t="n"/>
      <c r="P1192" s="103" t="n"/>
      <c r="Q1192" s="103" t="n"/>
      <c r="R1192" s="104" t="n"/>
      <c r="S1192" s="102" t="n"/>
      <c r="T1192" s="103" t="n"/>
      <c r="U1192" s="103" t="n"/>
      <c r="V1192" s="104" t="n"/>
      <c r="W1192" s="102" t="n"/>
      <c r="X1192" s="104" t="n"/>
      <c r="Y1192" s="102" t="n"/>
      <c r="Z1192" s="104" t="n"/>
      <c r="AB1192" s="105">
        <f>IF($B1192="","",(COUNTIF(C1158:E1175,$B1192)+COUNTIF(C1158:E1175,$B1192&amp;" ~*")&gt;0)+(COUNTIF(G1158:I1175,$B1192)+COUNTIF(G1158:I1175,$B1192&amp;" ~*")&gt;0)+(COUNTIF(K1158:M1175,$B1192)+COUNTIF(K1158:M1175,$B1192&amp;" ~*")&gt;0)+(COUNTIF(O1158:Q1175,$B1192)+COUNTIF(O1158:Q1175,$B1192&amp;" ~*")&gt;0)+(COUNTIF(S1158:U1175,$B1192)+COUNTIF(S1158:U1175,$B1192&amp;" ~*")&gt;0)+(COUNTIF(W1158:W1175,$B1192)+COUNTIF(W1158:W1175,$B1192&amp;" ~*")&gt;0)+(COUNTIF(Y1158:Y1175,$B1192)+COUNTIF(Y1158:Y1175,$B1192&amp;" ~*")&gt;0))</f>
        <v/>
      </c>
      <c r="AC1192" s="38">
        <f>IF($B1192="","",(IFERROR(INDEX(Setup!$G$33:$G$40,MATCH(C1192,Setup!$B$33:$B$40,0)),0)=1)*(COUNTIF(C1158:E1175,$B1192)+COUNTIF(C1158:E1175,$B1192&amp;" ~*")&gt;0)+(IFERROR(INDEX(Setup!$G$33:$G$40,MATCH(G1192,Setup!$B$33:$B$40,0)),0)=1)*(COUNTIF(G1158:I1175,$B1192)+COUNTIF(G1158:I1175,$B1192&amp;" ~*")&gt;0)+(IFERROR(INDEX(Setup!$G$33:$G$40,MATCH(K1192,Setup!$B$33:$B$40,0)),0)=1)*(COUNTIF(K1158:M1175,$B1192)+COUNTIF(K1158:M1175,$B1192&amp;" ~*")&gt;0)+(IFERROR(INDEX(Setup!$G$33:$G$40,MATCH(O1192,Setup!$B$33:$B$40,0)),0)=1)*(COUNTIF(O1158:Q1175,$B1192)+COUNTIF(O1158:Q1175,$B1192&amp;" ~*")&gt;0)+(IFERROR(INDEX(Setup!$G$33:$G$40,MATCH(S1192,Setup!$B$33:$B$40,0)),0)=1)*(COUNTIF(S1158:U1175,$B1192)+COUNTIF(S1158:U1175,$B1192&amp;" ~*")&gt;0)+(IFERROR(INDEX(Setup!$G$33:$G$40,MATCH(W1192,Setup!$B$33:$B$40,0)),0)=1)*(COUNTIF(W1158:W1175,$B1192)+COUNTIF(W1158:W1175,$B1192&amp;" ~*")&gt;0)+(IFERROR(INDEX(Setup!$G$33:$G$40,MATCH(Y1192,Setup!$B$33:$B$40,0)),0)=1)*(COUNTIF(Y1158:Y1175,$B1192)+COUNTIF(Y1158:Y1175,$B1192&amp;" ~*")&gt;0))</f>
        <v/>
      </c>
    </row>
    <row r="1193" ht="15" customHeight="1">
      <c r="A1193" t="n">
        <v>24</v>
      </c>
      <c r="B1193" s="35">
        <f>IF(Setup!$B$22="","",Setup!$B$22)</f>
        <v/>
      </c>
      <c r="C1193" s="98" t="n"/>
      <c r="D1193" s="99" t="n"/>
      <c r="E1193" s="99" t="n"/>
      <c r="F1193" s="100" t="n"/>
      <c r="G1193" s="98" t="n"/>
      <c r="H1193" s="99" t="n"/>
      <c r="I1193" s="99" t="n"/>
      <c r="J1193" s="100" t="n"/>
      <c r="K1193" s="98" t="n"/>
      <c r="L1193" s="99" t="n"/>
      <c r="M1193" s="99" t="n"/>
      <c r="N1193" s="100" t="n"/>
      <c r="O1193" s="98" t="n"/>
      <c r="P1193" s="99" t="n"/>
      <c r="Q1193" s="99" t="n"/>
      <c r="R1193" s="100" t="n"/>
      <c r="S1193" s="98" t="n"/>
      <c r="T1193" s="99" t="n"/>
      <c r="U1193" s="99" t="n"/>
      <c r="V1193" s="100" t="n"/>
      <c r="W1193" s="98" t="n"/>
      <c r="X1193" s="100" t="n"/>
      <c r="Y1193" s="98" t="n"/>
      <c r="Z1193" s="100" t="n"/>
      <c r="AB1193" s="101">
        <f>IF($B1193="","",(COUNTIF(C1158:E1175,$B1193)+COUNTIF(C1158:E1175,$B1193&amp;" ~*")&gt;0)+(COUNTIF(G1158:I1175,$B1193)+COUNTIF(G1158:I1175,$B1193&amp;" ~*")&gt;0)+(COUNTIF(K1158:M1175,$B1193)+COUNTIF(K1158:M1175,$B1193&amp;" ~*")&gt;0)+(COUNTIF(O1158:Q1175,$B1193)+COUNTIF(O1158:Q1175,$B1193&amp;" ~*")&gt;0)+(COUNTIF(S1158:U1175,$B1193)+COUNTIF(S1158:U1175,$B1193&amp;" ~*")&gt;0)+(COUNTIF(W1158:W1175,$B1193)+COUNTIF(W1158:W1175,$B1193&amp;" ~*")&gt;0)+(COUNTIF(Y1158:Y1175,$B1193)+COUNTIF(Y1158:Y1175,$B1193&amp;" ~*")&gt;0))</f>
        <v/>
      </c>
      <c r="AC1193" s="36">
        <f>IF($B1193="","",(IFERROR(INDEX(Setup!$G$33:$G$40,MATCH(C1193,Setup!$B$33:$B$40,0)),0)=1)*(COUNTIF(C1158:E1175,$B1193)+COUNTIF(C1158:E1175,$B1193&amp;" ~*")&gt;0)+(IFERROR(INDEX(Setup!$G$33:$G$40,MATCH(G1193,Setup!$B$33:$B$40,0)),0)=1)*(COUNTIF(G1158:I1175,$B1193)+COUNTIF(G1158:I1175,$B1193&amp;" ~*")&gt;0)+(IFERROR(INDEX(Setup!$G$33:$G$40,MATCH(K1193,Setup!$B$33:$B$40,0)),0)=1)*(COUNTIF(K1158:M1175,$B1193)+COUNTIF(K1158:M1175,$B1193&amp;" ~*")&gt;0)+(IFERROR(INDEX(Setup!$G$33:$G$40,MATCH(O1193,Setup!$B$33:$B$40,0)),0)=1)*(COUNTIF(O1158:Q1175,$B1193)+COUNTIF(O1158:Q1175,$B1193&amp;" ~*")&gt;0)+(IFERROR(INDEX(Setup!$G$33:$G$40,MATCH(S1193,Setup!$B$33:$B$40,0)),0)=1)*(COUNTIF(S1158:U1175,$B1193)+COUNTIF(S1158:U1175,$B1193&amp;" ~*")&gt;0)+(IFERROR(INDEX(Setup!$G$33:$G$40,MATCH(W1193,Setup!$B$33:$B$40,0)),0)=1)*(COUNTIF(W1158:W1175,$B1193)+COUNTIF(W1158:W1175,$B1193&amp;" ~*")&gt;0)+(IFERROR(INDEX(Setup!$G$33:$G$40,MATCH(Y1193,Setup!$B$33:$B$40,0)),0)=1)*(COUNTIF(Y1158:Y1175,$B1193)+COUNTIF(Y1158:Y1175,$B1193&amp;" ~*")&gt;0))</f>
        <v/>
      </c>
    </row>
    <row r="1194" ht="15" customHeight="1">
      <c r="A1194" t="n">
        <v>24</v>
      </c>
      <c r="B1194" s="37">
        <f>IF(Setup!$B$23="","",Setup!$B$23)</f>
        <v/>
      </c>
      <c r="C1194" s="102" t="n"/>
      <c r="D1194" s="103" t="n"/>
      <c r="E1194" s="103" t="n"/>
      <c r="F1194" s="104" t="n"/>
      <c r="G1194" s="102" t="n"/>
      <c r="H1194" s="103" t="n"/>
      <c r="I1194" s="103" t="n"/>
      <c r="J1194" s="104" t="n"/>
      <c r="K1194" s="102" t="n"/>
      <c r="L1194" s="103" t="n"/>
      <c r="M1194" s="103" t="n"/>
      <c r="N1194" s="104" t="n"/>
      <c r="O1194" s="102" t="n"/>
      <c r="P1194" s="103" t="n"/>
      <c r="Q1194" s="103" t="n"/>
      <c r="R1194" s="104" t="n"/>
      <c r="S1194" s="102" t="n"/>
      <c r="T1194" s="103" t="n"/>
      <c r="U1194" s="103" t="n"/>
      <c r="V1194" s="104" t="n"/>
      <c r="W1194" s="102" t="n"/>
      <c r="X1194" s="104" t="n"/>
      <c r="Y1194" s="102" t="n"/>
      <c r="Z1194" s="104" t="n"/>
      <c r="AB1194" s="105">
        <f>IF($B1194="","",(COUNTIF(C1158:E1175,$B1194)+COUNTIF(C1158:E1175,$B1194&amp;" ~*")&gt;0)+(COUNTIF(G1158:I1175,$B1194)+COUNTIF(G1158:I1175,$B1194&amp;" ~*")&gt;0)+(COUNTIF(K1158:M1175,$B1194)+COUNTIF(K1158:M1175,$B1194&amp;" ~*")&gt;0)+(COUNTIF(O1158:Q1175,$B1194)+COUNTIF(O1158:Q1175,$B1194&amp;" ~*")&gt;0)+(COUNTIF(S1158:U1175,$B1194)+COUNTIF(S1158:U1175,$B1194&amp;" ~*")&gt;0)+(COUNTIF(W1158:W1175,$B1194)+COUNTIF(W1158:W1175,$B1194&amp;" ~*")&gt;0)+(COUNTIF(Y1158:Y1175,$B1194)+COUNTIF(Y1158:Y1175,$B1194&amp;" ~*")&gt;0))</f>
        <v/>
      </c>
      <c r="AC1194" s="38">
        <f>IF($B1194="","",(IFERROR(INDEX(Setup!$G$33:$G$40,MATCH(C1194,Setup!$B$33:$B$40,0)),0)=1)*(COUNTIF(C1158:E1175,$B1194)+COUNTIF(C1158:E1175,$B1194&amp;" ~*")&gt;0)+(IFERROR(INDEX(Setup!$G$33:$G$40,MATCH(G1194,Setup!$B$33:$B$40,0)),0)=1)*(COUNTIF(G1158:I1175,$B1194)+COUNTIF(G1158:I1175,$B1194&amp;" ~*")&gt;0)+(IFERROR(INDEX(Setup!$G$33:$G$40,MATCH(K1194,Setup!$B$33:$B$40,0)),0)=1)*(COUNTIF(K1158:M1175,$B1194)+COUNTIF(K1158:M1175,$B1194&amp;" ~*")&gt;0)+(IFERROR(INDEX(Setup!$G$33:$G$40,MATCH(O1194,Setup!$B$33:$B$40,0)),0)=1)*(COUNTIF(O1158:Q1175,$B1194)+COUNTIF(O1158:Q1175,$B1194&amp;" ~*")&gt;0)+(IFERROR(INDEX(Setup!$G$33:$G$40,MATCH(S1194,Setup!$B$33:$B$40,0)),0)=1)*(COUNTIF(S1158:U1175,$B1194)+COUNTIF(S1158:U1175,$B1194&amp;" ~*")&gt;0)+(IFERROR(INDEX(Setup!$G$33:$G$40,MATCH(W1194,Setup!$B$33:$B$40,0)),0)=1)*(COUNTIF(W1158:W1175,$B1194)+COUNTIF(W1158:W1175,$B1194&amp;" ~*")&gt;0)+(IFERROR(INDEX(Setup!$G$33:$G$40,MATCH(Y1194,Setup!$B$33:$B$40,0)),0)=1)*(COUNTIF(Y1158:Y1175,$B1194)+COUNTIF(Y1158:Y1175,$B1194&amp;" ~*")&gt;0))</f>
        <v/>
      </c>
    </row>
    <row r="1195" ht="15" customHeight="1">
      <c r="A1195" t="n">
        <v>24</v>
      </c>
      <c r="B1195" s="35">
        <f>IF(Setup!$B$24="","",Setup!$B$24)</f>
        <v/>
      </c>
      <c r="C1195" s="98" t="n"/>
      <c r="D1195" s="99" t="n"/>
      <c r="E1195" s="99" t="n"/>
      <c r="F1195" s="100" t="n"/>
      <c r="G1195" s="98" t="n"/>
      <c r="H1195" s="99" t="n"/>
      <c r="I1195" s="99" t="n"/>
      <c r="J1195" s="100" t="n"/>
      <c r="K1195" s="98" t="n"/>
      <c r="L1195" s="99" t="n"/>
      <c r="M1195" s="99" t="n"/>
      <c r="N1195" s="100" t="n"/>
      <c r="O1195" s="98" t="n"/>
      <c r="P1195" s="99" t="n"/>
      <c r="Q1195" s="99" t="n"/>
      <c r="R1195" s="100" t="n"/>
      <c r="S1195" s="98" t="n"/>
      <c r="T1195" s="99" t="n"/>
      <c r="U1195" s="99" t="n"/>
      <c r="V1195" s="100" t="n"/>
      <c r="W1195" s="98" t="n"/>
      <c r="X1195" s="100" t="n"/>
      <c r="Y1195" s="98" t="n"/>
      <c r="Z1195" s="100" t="n"/>
      <c r="AB1195" s="101">
        <f>IF($B1195="","",(COUNTIF(C1158:E1175,$B1195)+COUNTIF(C1158:E1175,$B1195&amp;" ~*")&gt;0)+(COUNTIF(G1158:I1175,$B1195)+COUNTIF(G1158:I1175,$B1195&amp;" ~*")&gt;0)+(COUNTIF(K1158:M1175,$B1195)+COUNTIF(K1158:M1175,$B1195&amp;" ~*")&gt;0)+(COUNTIF(O1158:Q1175,$B1195)+COUNTIF(O1158:Q1175,$B1195&amp;" ~*")&gt;0)+(COUNTIF(S1158:U1175,$B1195)+COUNTIF(S1158:U1175,$B1195&amp;" ~*")&gt;0)+(COUNTIF(W1158:W1175,$B1195)+COUNTIF(W1158:W1175,$B1195&amp;" ~*")&gt;0)+(COUNTIF(Y1158:Y1175,$B1195)+COUNTIF(Y1158:Y1175,$B1195&amp;" ~*")&gt;0))</f>
        <v/>
      </c>
      <c r="AC1195" s="36">
        <f>IF($B1195="","",(IFERROR(INDEX(Setup!$G$33:$G$40,MATCH(C1195,Setup!$B$33:$B$40,0)),0)=1)*(COUNTIF(C1158:E1175,$B1195)+COUNTIF(C1158:E1175,$B1195&amp;" ~*")&gt;0)+(IFERROR(INDEX(Setup!$G$33:$G$40,MATCH(G1195,Setup!$B$33:$B$40,0)),0)=1)*(COUNTIF(G1158:I1175,$B1195)+COUNTIF(G1158:I1175,$B1195&amp;" ~*")&gt;0)+(IFERROR(INDEX(Setup!$G$33:$G$40,MATCH(K1195,Setup!$B$33:$B$40,0)),0)=1)*(COUNTIF(K1158:M1175,$B1195)+COUNTIF(K1158:M1175,$B1195&amp;" ~*")&gt;0)+(IFERROR(INDEX(Setup!$G$33:$G$40,MATCH(O1195,Setup!$B$33:$B$40,0)),0)=1)*(COUNTIF(O1158:Q1175,$B1195)+COUNTIF(O1158:Q1175,$B1195&amp;" ~*")&gt;0)+(IFERROR(INDEX(Setup!$G$33:$G$40,MATCH(S1195,Setup!$B$33:$B$40,0)),0)=1)*(COUNTIF(S1158:U1175,$B1195)+COUNTIF(S1158:U1175,$B1195&amp;" ~*")&gt;0)+(IFERROR(INDEX(Setup!$G$33:$G$40,MATCH(W1195,Setup!$B$33:$B$40,0)),0)=1)*(COUNTIF(W1158:W1175,$B1195)+COUNTIF(W1158:W1175,$B1195&amp;" ~*")&gt;0)+(IFERROR(INDEX(Setup!$G$33:$G$40,MATCH(Y1195,Setup!$B$33:$B$40,0)),0)=1)*(COUNTIF(Y1158:Y1175,$B1195)+COUNTIF(Y1158:Y1175,$B1195&amp;" ~*")&gt;0))</f>
        <v/>
      </c>
    </row>
    <row r="1196" ht="15" customHeight="1">
      <c r="A1196" t="n">
        <v>24</v>
      </c>
      <c r="B1196" s="37">
        <f>IF(Setup!$B$25="","",Setup!$B$25)</f>
        <v/>
      </c>
      <c r="C1196" s="102" t="n"/>
      <c r="D1196" s="103" t="n"/>
      <c r="E1196" s="103" t="n"/>
      <c r="F1196" s="104" t="n"/>
      <c r="G1196" s="102" t="n"/>
      <c r="H1196" s="103" t="n"/>
      <c r="I1196" s="103" t="n"/>
      <c r="J1196" s="104" t="n"/>
      <c r="K1196" s="102" t="n"/>
      <c r="L1196" s="103" t="n"/>
      <c r="M1196" s="103" t="n"/>
      <c r="N1196" s="104" t="n"/>
      <c r="O1196" s="102" t="n"/>
      <c r="P1196" s="103" t="n"/>
      <c r="Q1196" s="103" t="n"/>
      <c r="R1196" s="104" t="n"/>
      <c r="S1196" s="102" t="n"/>
      <c r="T1196" s="103" t="n"/>
      <c r="U1196" s="103" t="n"/>
      <c r="V1196" s="104" t="n"/>
      <c r="W1196" s="102" t="n"/>
      <c r="X1196" s="104" t="n"/>
      <c r="Y1196" s="102" t="n"/>
      <c r="Z1196" s="104" t="n"/>
      <c r="AB1196" s="105">
        <f>IF($B1196="","",(COUNTIF(C1158:E1175,$B1196)+COUNTIF(C1158:E1175,$B1196&amp;" ~*")&gt;0)+(COUNTIF(G1158:I1175,$B1196)+COUNTIF(G1158:I1175,$B1196&amp;" ~*")&gt;0)+(COUNTIF(K1158:M1175,$B1196)+COUNTIF(K1158:M1175,$B1196&amp;" ~*")&gt;0)+(COUNTIF(O1158:Q1175,$B1196)+COUNTIF(O1158:Q1175,$B1196&amp;" ~*")&gt;0)+(COUNTIF(S1158:U1175,$B1196)+COUNTIF(S1158:U1175,$B1196&amp;" ~*")&gt;0)+(COUNTIF(W1158:W1175,$B1196)+COUNTIF(W1158:W1175,$B1196&amp;" ~*")&gt;0)+(COUNTIF(Y1158:Y1175,$B1196)+COUNTIF(Y1158:Y1175,$B1196&amp;" ~*")&gt;0))</f>
        <v/>
      </c>
      <c r="AC1196" s="38">
        <f>IF($B1196="","",(IFERROR(INDEX(Setup!$G$33:$G$40,MATCH(C1196,Setup!$B$33:$B$40,0)),0)=1)*(COUNTIF(C1158:E1175,$B1196)+COUNTIF(C1158:E1175,$B1196&amp;" ~*")&gt;0)+(IFERROR(INDEX(Setup!$G$33:$G$40,MATCH(G1196,Setup!$B$33:$B$40,0)),0)=1)*(COUNTIF(G1158:I1175,$B1196)+COUNTIF(G1158:I1175,$B1196&amp;" ~*")&gt;0)+(IFERROR(INDEX(Setup!$G$33:$G$40,MATCH(K1196,Setup!$B$33:$B$40,0)),0)=1)*(COUNTIF(K1158:M1175,$B1196)+COUNTIF(K1158:M1175,$B1196&amp;" ~*")&gt;0)+(IFERROR(INDEX(Setup!$G$33:$G$40,MATCH(O1196,Setup!$B$33:$B$40,0)),0)=1)*(COUNTIF(O1158:Q1175,$B1196)+COUNTIF(O1158:Q1175,$B1196&amp;" ~*")&gt;0)+(IFERROR(INDEX(Setup!$G$33:$G$40,MATCH(S1196,Setup!$B$33:$B$40,0)),0)=1)*(COUNTIF(S1158:U1175,$B1196)+COUNTIF(S1158:U1175,$B1196&amp;" ~*")&gt;0)+(IFERROR(INDEX(Setup!$G$33:$G$40,MATCH(W1196,Setup!$B$33:$B$40,0)),0)=1)*(COUNTIF(W1158:W1175,$B1196)+COUNTIF(W1158:W1175,$B1196&amp;" ~*")&gt;0)+(IFERROR(INDEX(Setup!$G$33:$G$40,MATCH(Y1196,Setup!$B$33:$B$40,0)),0)=1)*(COUNTIF(Y1158:Y1175,$B1196)+COUNTIF(Y1158:Y1175,$B1196&amp;" ~*")&gt;0))</f>
        <v/>
      </c>
    </row>
    <row r="1197" ht="15" customHeight="1">
      <c r="A1197" t="n">
        <v>24</v>
      </c>
      <c r="B1197" s="35">
        <f>IF(Setup!$B$26="","",Setup!$B$26)</f>
        <v/>
      </c>
      <c r="C1197" s="98" t="n"/>
      <c r="D1197" s="99" t="n"/>
      <c r="E1197" s="99" t="n"/>
      <c r="F1197" s="100" t="n"/>
      <c r="G1197" s="98" t="n"/>
      <c r="H1197" s="99" t="n"/>
      <c r="I1197" s="99" t="n"/>
      <c r="J1197" s="100" t="n"/>
      <c r="K1197" s="98" t="n"/>
      <c r="L1197" s="99" t="n"/>
      <c r="M1197" s="99" t="n"/>
      <c r="N1197" s="100" t="n"/>
      <c r="O1197" s="98" t="n"/>
      <c r="P1197" s="99" t="n"/>
      <c r="Q1197" s="99" t="n"/>
      <c r="R1197" s="100" t="n"/>
      <c r="S1197" s="98" t="n"/>
      <c r="T1197" s="99" t="n"/>
      <c r="U1197" s="99" t="n"/>
      <c r="V1197" s="100" t="n"/>
      <c r="W1197" s="98" t="n"/>
      <c r="X1197" s="100" t="n"/>
      <c r="Y1197" s="98" t="n"/>
      <c r="Z1197" s="100" t="n"/>
      <c r="AB1197" s="101">
        <f>IF($B1197="","",(COUNTIF(C1158:E1175,$B1197)+COUNTIF(C1158:E1175,$B1197&amp;" ~*")&gt;0)+(COUNTIF(G1158:I1175,$B1197)+COUNTIF(G1158:I1175,$B1197&amp;" ~*")&gt;0)+(COUNTIF(K1158:M1175,$B1197)+COUNTIF(K1158:M1175,$B1197&amp;" ~*")&gt;0)+(COUNTIF(O1158:Q1175,$B1197)+COUNTIF(O1158:Q1175,$B1197&amp;" ~*")&gt;0)+(COUNTIF(S1158:U1175,$B1197)+COUNTIF(S1158:U1175,$B1197&amp;" ~*")&gt;0)+(COUNTIF(W1158:W1175,$B1197)+COUNTIF(W1158:W1175,$B1197&amp;" ~*")&gt;0)+(COUNTIF(Y1158:Y1175,$B1197)+COUNTIF(Y1158:Y1175,$B1197&amp;" ~*")&gt;0))</f>
        <v/>
      </c>
      <c r="AC1197" s="36">
        <f>IF($B1197="","",(IFERROR(INDEX(Setup!$G$33:$G$40,MATCH(C1197,Setup!$B$33:$B$40,0)),0)=1)*(COUNTIF(C1158:E1175,$B1197)+COUNTIF(C1158:E1175,$B1197&amp;" ~*")&gt;0)+(IFERROR(INDEX(Setup!$G$33:$G$40,MATCH(G1197,Setup!$B$33:$B$40,0)),0)=1)*(COUNTIF(G1158:I1175,$B1197)+COUNTIF(G1158:I1175,$B1197&amp;" ~*")&gt;0)+(IFERROR(INDEX(Setup!$G$33:$G$40,MATCH(K1197,Setup!$B$33:$B$40,0)),0)=1)*(COUNTIF(K1158:M1175,$B1197)+COUNTIF(K1158:M1175,$B1197&amp;" ~*")&gt;0)+(IFERROR(INDEX(Setup!$G$33:$G$40,MATCH(O1197,Setup!$B$33:$B$40,0)),0)=1)*(COUNTIF(O1158:Q1175,$B1197)+COUNTIF(O1158:Q1175,$B1197&amp;" ~*")&gt;0)+(IFERROR(INDEX(Setup!$G$33:$G$40,MATCH(S1197,Setup!$B$33:$B$40,0)),0)=1)*(COUNTIF(S1158:U1175,$B1197)+COUNTIF(S1158:U1175,$B1197&amp;" ~*")&gt;0)+(IFERROR(INDEX(Setup!$G$33:$G$40,MATCH(W1197,Setup!$B$33:$B$40,0)),0)=1)*(COUNTIF(W1158:W1175,$B1197)+COUNTIF(W1158:W1175,$B1197&amp;" ~*")&gt;0)+(IFERROR(INDEX(Setup!$G$33:$G$40,MATCH(Y1197,Setup!$B$33:$B$40,0)),0)=1)*(COUNTIF(Y1158:Y1175,$B1197)+COUNTIF(Y1158:Y1175,$B1197&amp;" ~*")&gt;0))</f>
        <v/>
      </c>
    </row>
    <row r="1198" ht="15" customHeight="1">
      <c r="A1198" t="n">
        <v>24</v>
      </c>
      <c r="B1198" s="37">
        <f>IF(Setup!$B$27="","",Setup!$B$27)</f>
        <v/>
      </c>
      <c r="C1198" s="102" t="n"/>
      <c r="D1198" s="103" t="n"/>
      <c r="E1198" s="103" t="n"/>
      <c r="F1198" s="104" t="n"/>
      <c r="G1198" s="102" t="n"/>
      <c r="H1198" s="103" t="n"/>
      <c r="I1198" s="103" t="n"/>
      <c r="J1198" s="104" t="n"/>
      <c r="K1198" s="102" t="n"/>
      <c r="L1198" s="103" t="n"/>
      <c r="M1198" s="103" t="n"/>
      <c r="N1198" s="104" t="n"/>
      <c r="O1198" s="102" t="n"/>
      <c r="P1198" s="103" t="n"/>
      <c r="Q1198" s="103" t="n"/>
      <c r="R1198" s="104" t="n"/>
      <c r="S1198" s="102" t="n"/>
      <c r="T1198" s="103" t="n"/>
      <c r="U1198" s="103" t="n"/>
      <c r="V1198" s="104" t="n"/>
      <c r="W1198" s="102" t="n"/>
      <c r="X1198" s="104" t="n"/>
      <c r="Y1198" s="102" t="n"/>
      <c r="Z1198" s="104" t="n"/>
      <c r="AB1198" s="105">
        <f>IF($B1198="","",(COUNTIF(C1158:E1175,$B1198)+COUNTIF(C1158:E1175,$B1198&amp;" ~*")&gt;0)+(COUNTIF(G1158:I1175,$B1198)+COUNTIF(G1158:I1175,$B1198&amp;" ~*")&gt;0)+(COUNTIF(K1158:M1175,$B1198)+COUNTIF(K1158:M1175,$B1198&amp;" ~*")&gt;0)+(COUNTIF(O1158:Q1175,$B1198)+COUNTIF(O1158:Q1175,$B1198&amp;" ~*")&gt;0)+(COUNTIF(S1158:U1175,$B1198)+COUNTIF(S1158:U1175,$B1198&amp;" ~*")&gt;0)+(COUNTIF(W1158:W1175,$B1198)+COUNTIF(W1158:W1175,$B1198&amp;" ~*")&gt;0)+(COUNTIF(Y1158:Y1175,$B1198)+COUNTIF(Y1158:Y1175,$B1198&amp;" ~*")&gt;0))</f>
        <v/>
      </c>
      <c r="AC1198" s="38">
        <f>IF($B1198="","",(IFERROR(INDEX(Setup!$G$33:$G$40,MATCH(C1198,Setup!$B$33:$B$40,0)),0)=1)*(COUNTIF(C1158:E1175,$B1198)+COUNTIF(C1158:E1175,$B1198&amp;" ~*")&gt;0)+(IFERROR(INDEX(Setup!$G$33:$G$40,MATCH(G1198,Setup!$B$33:$B$40,0)),0)=1)*(COUNTIF(G1158:I1175,$B1198)+COUNTIF(G1158:I1175,$B1198&amp;" ~*")&gt;0)+(IFERROR(INDEX(Setup!$G$33:$G$40,MATCH(K1198,Setup!$B$33:$B$40,0)),0)=1)*(COUNTIF(K1158:M1175,$B1198)+COUNTIF(K1158:M1175,$B1198&amp;" ~*")&gt;0)+(IFERROR(INDEX(Setup!$G$33:$G$40,MATCH(O1198,Setup!$B$33:$B$40,0)),0)=1)*(COUNTIF(O1158:Q1175,$B1198)+COUNTIF(O1158:Q1175,$B1198&amp;" ~*")&gt;0)+(IFERROR(INDEX(Setup!$G$33:$G$40,MATCH(S1198,Setup!$B$33:$B$40,0)),0)=1)*(COUNTIF(S1158:U1175,$B1198)+COUNTIF(S1158:U1175,$B1198&amp;" ~*")&gt;0)+(IFERROR(INDEX(Setup!$G$33:$G$40,MATCH(W1198,Setup!$B$33:$B$40,0)),0)=1)*(COUNTIF(W1158:W1175,$B1198)+COUNTIF(W1158:W1175,$B1198&amp;" ~*")&gt;0)+(IFERROR(INDEX(Setup!$G$33:$G$40,MATCH(Y1198,Setup!$B$33:$B$40,0)),0)=1)*(COUNTIF(Y1158:Y1175,$B1198)+COUNTIF(Y1158:Y1175,$B1198&amp;" ~*")&gt;0))</f>
        <v/>
      </c>
    </row>
    <row r="1199" ht="15" customHeight="1">
      <c r="A1199" t="n">
        <v>24</v>
      </c>
      <c r="B1199" s="35">
        <f>IF(Setup!$B$28="","",Setup!$B$28)</f>
        <v/>
      </c>
      <c r="C1199" s="98" t="n"/>
      <c r="D1199" s="99" t="n"/>
      <c r="E1199" s="99" t="n"/>
      <c r="F1199" s="100" t="n"/>
      <c r="G1199" s="98" t="n"/>
      <c r="H1199" s="99" t="n"/>
      <c r="I1199" s="99" t="n"/>
      <c r="J1199" s="100" t="n"/>
      <c r="K1199" s="98" t="n"/>
      <c r="L1199" s="99" t="n"/>
      <c r="M1199" s="99" t="n"/>
      <c r="N1199" s="100" t="n"/>
      <c r="O1199" s="98" t="n"/>
      <c r="P1199" s="99" t="n"/>
      <c r="Q1199" s="99" t="n"/>
      <c r="R1199" s="100" t="n"/>
      <c r="S1199" s="98" t="n"/>
      <c r="T1199" s="99" t="n"/>
      <c r="U1199" s="99" t="n"/>
      <c r="V1199" s="100" t="n"/>
      <c r="W1199" s="98" t="n"/>
      <c r="X1199" s="100" t="n"/>
      <c r="Y1199" s="98" t="n"/>
      <c r="Z1199" s="100" t="n"/>
      <c r="AB1199" s="101">
        <f>IF($B1199="","",(COUNTIF(C1158:E1175,$B1199)+COUNTIF(C1158:E1175,$B1199&amp;" ~*")&gt;0)+(COUNTIF(G1158:I1175,$B1199)+COUNTIF(G1158:I1175,$B1199&amp;" ~*")&gt;0)+(COUNTIF(K1158:M1175,$B1199)+COUNTIF(K1158:M1175,$B1199&amp;" ~*")&gt;0)+(COUNTIF(O1158:Q1175,$B1199)+COUNTIF(O1158:Q1175,$B1199&amp;" ~*")&gt;0)+(COUNTIF(S1158:U1175,$B1199)+COUNTIF(S1158:U1175,$B1199&amp;" ~*")&gt;0)+(COUNTIF(W1158:W1175,$B1199)+COUNTIF(W1158:W1175,$B1199&amp;" ~*")&gt;0)+(COUNTIF(Y1158:Y1175,$B1199)+COUNTIF(Y1158:Y1175,$B1199&amp;" ~*")&gt;0))</f>
        <v/>
      </c>
      <c r="AC1199" s="36">
        <f>IF($B1199="","",(IFERROR(INDEX(Setup!$G$33:$G$40,MATCH(C1199,Setup!$B$33:$B$40,0)),0)=1)*(COUNTIF(C1158:E1175,$B1199)+COUNTIF(C1158:E1175,$B1199&amp;" ~*")&gt;0)+(IFERROR(INDEX(Setup!$G$33:$G$40,MATCH(G1199,Setup!$B$33:$B$40,0)),0)=1)*(COUNTIF(G1158:I1175,$B1199)+COUNTIF(G1158:I1175,$B1199&amp;" ~*")&gt;0)+(IFERROR(INDEX(Setup!$G$33:$G$40,MATCH(K1199,Setup!$B$33:$B$40,0)),0)=1)*(COUNTIF(K1158:M1175,$B1199)+COUNTIF(K1158:M1175,$B1199&amp;" ~*")&gt;0)+(IFERROR(INDEX(Setup!$G$33:$G$40,MATCH(O1199,Setup!$B$33:$B$40,0)),0)=1)*(COUNTIF(O1158:Q1175,$B1199)+COUNTIF(O1158:Q1175,$B1199&amp;" ~*")&gt;0)+(IFERROR(INDEX(Setup!$G$33:$G$40,MATCH(S1199,Setup!$B$33:$B$40,0)),0)=1)*(COUNTIF(S1158:U1175,$B1199)+COUNTIF(S1158:U1175,$B1199&amp;" ~*")&gt;0)+(IFERROR(INDEX(Setup!$G$33:$G$40,MATCH(W1199,Setup!$B$33:$B$40,0)),0)=1)*(COUNTIF(W1158:W1175,$B1199)+COUNTIF(W1158:W1175,$B1199&amp;" ~*")&gt;0)+(IFERROR(INDEX(Setup!$G$33:$G$40,MATCH(Y1199,Setup!$B$33:$B$40,0)),0)=1)*(COUNTIF(Y1158:Y1175,$B1199)+COUNTIF(Y1158:Y1175,$B1199&amp;" ~*")&gt;0))</f>
        <v/>
      </c>
    </row>
    <row r="1200" ht="15" customHeight="1">
      <c r="A1200" t="n">
        <v>24</v>
      </c>
      <c r="B1200" s="37">
        <f>IF(Setup!$B$29="","",Setup!$B$29)</f>
        <v/>
      </c>
      <c r="C1200" s="102" t="n"/>
      <c r="D1200" s="103" t="n"/>
      <c r="E1200" s="103" t="n"/>
      <c r="F1200" s="104" t="n"/>
      <c r="G1200" s="102" t="n"/>
      <c r="H1200" s="103" t="n"/>
      <c r="I1200" s="103" t="n"/>
      <c r="J1200" s="104" t="n"/>
      <c r="K1200" s="102" t="n"/>
      <c r="L1200" s="103" t="n"/>
      <c r="M1200" s="103" t="n"/>
      <c r="N1200" s="104" t="n"/>
      <c r="O1200" s="102" t="n"/>
      <c r="P1200" s="103" t="n"/>
      <c r="Q1200" s="103" t="n"/>
      <c r="R1200" s="104" t="n"/>
      <c r="S1200" s="102" t="n"/>
      <c r="T1200" s="103" t="n"/>
      <c r="U1200" s="103" t="n"/>
      <c r="V1200" s="104" t="n"/>
      <c r="W1200" s="102" t="n"/>
      <c r="X1200" s="104" t="n"/>
      <c r="Y1200" s="102" t="n"/>
      <c r="Z1200" s="104" t="n"/>
      <c r="AB1200" s="105">
        <f>IF($B1200="","",(COUNTIF(C1158:E1175,$B1200)+COUNTIF(C1158:E1175,$B1200&amp;" ~*")&gt;0)+(COUNTIF(G1158:I1175,$B1200)+COUNTIF(G1158:I1175,$B1200&amp;" ~*")&gt;0)+(COUNTIF(K1158:M1175,$B1200)+COUNTIF(K1158:M1175,$B1200&amp;" ~*")&gt;0)+(COUNTIF(O1158:Q1175,$B1200)+COUNTIF(O1158:Q1175,$B1200&amp;" ~*")&gt;0)+(COUNTIF(S1158:U1175,$B1200)+COUNTIF(S1158:U1175,$B1200&amp;" ~*")&gt;0)+(COUNTIF(W1158:W1175,$B1200)+COUNTIF(W1158:W1175,$B1200&amp;" ~*")&gt;0)+(COUNTIF(Y1158:Y1175,$B1200)+COUNTIF(Y1158:Y1175,$B1200&amp;" ~*")&gt;0))</f>
        <v/>
      </c>
      <c r="AC1200" s="38">
        <f>IF($B1200="","",(IFERROR(INDEX(Setup!$G$33:$G$40,MATCH(C1200,Setup!$B$33:$B$40,0)),0)=1)*(COUNTIF(C1158:E1175,$B1200)+COUNTIF(C1158:E1175,$B1200&amp;" ~*")&gt;0)+(IFERROR(INDEX(Setup!$G$33:$G$40,MATCH(G1200,Setup!$B$33:$B$40,0)),0)=1)*(COUNTIF(G1158:I1175,$B1200)+COUNTIF(G1158:I1175,$B1200&amp;" ~*")&gt;0)+(IFERROR(INDEX(Setup!$G$33:$G$40,MATCH(K1200,Setup!$B$33:$B$40,0)),0)=1)*(COUNTIF(K1158:M1175,$B1200)+COUNTIF(K1158:M1175,$B1200&amp;" ~*")&gt;0)+(IFERROR(INDEX(Setup!$G$33:$G$40,MATCH(O1200,Setup!$B$33:$B$40,0)),0)=1)*(COUNTIF(O1158:Q1175,$B1200)+COUNTIF(O1158:Q1175,$B1200&amp;" ~*")&gt;0)+(IFERROR(INDEX(Setup!$G$33:$G$40,MATCH(S1200,Setup!$B$33:$B$40,0)),0)=1)*(COUNTIF(S1158:U1175,$B1200)+COUNTIF(S1158:U1175,$B1200&amp;" ~*")&gt;0)+(IFERROR(INDEX(Setup!$G$33:$G$40,MATCH(W1200,Setup!$B$33:$B$40,0)),0)=1)*(COUNTIF(W1158:W1175,$B1200)+COUNTIF(W1158:W1175,$B1200&amp;" ~*")&gt;0)+(IFERROR(INDEX(Setup!$G$33:$G$40,MATCH(Y1200,Setup!$B$33:$B$40,0)),0)=1)*(COUNTIF(Y1158:Y1175,$B1200)+COUNTIF(Y1158:Y1175,$B1200&amp;" ~*")&gt;0))</f>
        <v/>
      </c>
    </row>
    <row r="1201" ht="16" customHeight="1">
      <c r="A1201" t="n">
        <v>24</v>
      </c>
      <c r="B1201" s="106" t="inlineStr">
        <is>
          <t>Available people</t>
        </is>
      </c>
      <c r="C1201" s="107">
        <f>COUNTIFS(Setup!$E$6:$E$29,"Y",Setup!$B$6:$B$29,"?*")-SUMPRODUCT(COUNTIF(C1177:C1200,Setup!$F$33:$F$40))</f>
        <v/>
      </c>
      <c r="D1201" s="107" t="n"/>
      <c r="E1201" s="107" t="n"/>
      <c r="F1201" s="107" t="n"/>
      <c r="G1201" s="107">
        <f>COUNTIFS(Setup!$E$6:$E$29,"Y",Setup!$B$6:$B$29,"?*")-SUMPRODUCT(COUNTIF(G1177:G1200,Setup!$F$33:$F$40))</f>
        <v/>
      </c>
      <c r="H1201" s="107" t="n"/>
      <c r="I1201" s="107" t="n"/>
      <c r="J1201" s="107" t="n"/>
      <c r="K1201" s="107">
        <f>COUNTIFS(Setup!$E$6:$E$29,"Y",Setup!$B$6:$B$29,"?*")-SUMPRODUCT(COUNTIF(K1177:K1200,Setup!$F$33:$F$40))</f>
        <v/>
      </c>
      <c r="L1201" s="107" t="n"/>
      <c r="M1201" s="107" t="n"/>
      <c r="N1201" s="107" t="n"/>
      <c r="O1201" s="107">
        <f>COUNTIFS(Setup!$E$6:$E$29,"Y",Setup!$B$6:$B$29,"?*")-SUMPRODUCT(COUNTIF(O1177:O1200,Setup!$F$33:$F$40))</f>
        <v/>
      </c>
      <c r="P1201" s="107" t="n"/>
      <c r="Q1201" s="107" t="n"/>
      <c r="R1201" s="107" t="n"/>
      <c r="S1201" s="107">
        <f>COUNTIFS(Setup!$E$6:$E$29,"Y",Setup!$B$6:$B$29,"?*")-SUMPRODUCT(COUNTIF(S1177:S1200,Setup!$F$33:$F$40))</f>
        <v/>
      </c>
      <c r="T1201" s="107" t="n"/>
      <c r="U1201" s="107" t="n"/>
      <c r="V1201" s="107" t="n"/>
      <c r="W1201" s="107">
        <f>COUNTIFS(Setup!$E$6:$E$29,"Y",Setup!$B$6:$B$29,"?*")-SUMPRODUCT(COUNTIF(W1177:W1200,Setup!$F$33:$F$40))</f>
        <v/>
      </c>
      <c r="X1201" s="107" t="n"/>
      <c r="Y1201" s="107">
        <f>COUNTIFS(Setup!$E$6:$E$29,"Y",Setup!$B$6:$B$29,"?*")-SUMPRODUCT(COUNTIF(Y1177:Y1200,Setup!$F$33:$F$40))</f>
        <v/>
      </c>
      <c r="Z1201" s="107" t="n"/>
      <c r="AB1201" s="108">
        <f>SUM(AB1177:AB1200)</f>
        <v/>
      </c>
      <c r="AC1201" s="109">
        <f>SUM(AC1177:AC1200)</f>
        <v/>
      </c>
    </row>
    <row r="1202" ht="30" customHeight="1">
      <c r="A1202" t="n">
        <v>24</v>
      </c>
      <c r="B1202" s="110" t="inlineStr">
        <is>
          <t>Week notes</t>
        </is>
      </c>
      <c r="C1202" s="111" t="n"/>
      <c r="D1202" s="112" t="n"/>
      <c r="E1202" s="112" t="n"/>
      <c r="F1202" s="112" t="n"/>
      <c r="G1202" s="112" t="n"/>
      <c r="H1202" s="112" t="n"/>
      <c r="I1202" s="112" t="n"/>
      <c r="J1202" s="112" t="n"/>
      <c r="K1202" s="112" t="n"/>
      <c r="L1202" s="112" t="n"/>
      <c r="M1202" s="112" t="n"/>
      <c r="N1202" s="112" t="n"/>
      <c r="O1202" s="112" t="n"/>
      <c r="P1202" s="112" t="n"/>
      <c r="Q1202" s="112" t="n"/>
      <c r="R1202" s="112" t="n"/>
      <c r="S1202" s="112" t="n"/>
      <c r="T1202" s="112" t="n"/>
      <c r="U1202" s="112" t="n"/>
      <c r="V1202" s="112" t="n"/>
      <c r="W1202" s="112" t="n"/>
      <c r="X1202" s="112" t="n"/>
      <c r="Y1202" s="112" t="n"/>
      <c r="Z1202" s="113" t="n"/>
    </row>
    <row r="1203" ht="8" customHeight="1">
      <c r="A1203" t="n">
        <v>24</v>
      </c>
    </row>
    <row r="1204" ht="8" customHeight="1">
      <c r="A1204" t="n">
        <v>24</v>
      </c>
    </row>
    <row r="1205" ht="24" customHeight="1">
      <c r="A1205" t="n">
        <v>25</v>
      </c>
      <c r="B1205" s="73">
        <f>"WEEK 25     "&amp;TEXT(C1206,"ddd d mmm")&amp;"  –  "&amp;TEXT(C1206+6,"ddd d mmm yyyy")</f>
        <v/>
      </c>
      <c r="S1205" s="74">
        <f>IF(TODAY()&lt;C1206,"FUTURE",IF(TODAY()&gt;C1206+6,"PAST","THIS WEEK"))</f>
        <v/>
      </c>
      <c r="W1205" s="75">
        <f>IF(AND(Engine!$B$8=$AC$3,Engine!$B$9=$A1205),"◀ ACTIVE WEEK","")</f>
        <v/>
      </c>
      <c r="AA1205" s="76" t="n"/>
      <c r="AB1205" s="77" t="inlineStr">
        <is>
          <t>◀ Prev</t>
        </is>
      </c>
      <c r="AC1205" s="77" t="inlineStr">
        <is>
          <t>Next ▶</t>
        </is>
      </c>
    </row>
    <row r="1206" ht="18" customHeight="1">
      <c r="A1206" t="n">
        <v>25</v>
      </c>
      <c r="B1206" s="78" t="inlineStr">
        <is>
          <t>DUTY</t>
        </is>
      </c>
      <c r="C1206" s="79">
        <f>$AC$2+7*($A1206-1)</f>
        <v/>
      </c>
      <c r="D1206" s="80" t="n"/>
      <c r="E1206" s="80" t="n"/>
      <c r="F1206" s="81" t="n"/>
      <c r="G1206" s="79">
        <f>C1206+1</f>
        <v/>
      </c>
      <c r="H1206" s="80" t="n"/>
      <c r="I1206" s="80" t="n"/>
      <c r="J1206" s="81" t="n"/>
      <c r="K1206" s="79">
        <f>C1206+2</f>
        <v/>
      </c>
      <c r="L1206" s="80" t="n"/>
      <c r="M1206" s="80" t="n"/>
      <c r="N1206" s="81" t="n"/>
      <c r="O1206" s="79">
        <f>C1206+3</f>
        <v/>
      </c>
      <c r="P1206" s="80" t="n"/>
      <c r="Q1206" s="80" t="n"/>
      <c r="R1206" s="81" t="n"/>
      <c r="S1206" s="79">
        <f>C1206+4</f>
        <v/>
      </c>
      <c r="T1206" s="80" t="n"/>
      <c r="U1206" s="80" t="n"/>
      <c r="V1206" s="81" t="n"/>
      <c r="W1206" s="82">
        <f>C1206+5</f>
        <v/>
      </c>
      <c r="X1206" s="83" t="n"/>
      <c r="Y1206" s="82">
        <f>C1206+6</f>
        <v/>
      </c>
      <c r="Z1206" s="83" t="n"/>
      <c r="AB1206" s="72" t="inlineStr">
        <is>
          <t>Gaps</t>
        </is>
      </c>
      <c r="AC1206" s="72" t="inlineStr">
        <is>
          <t>Cover</t>
        </is>
      </c>
    </row>
    <row r="1207" ht="14" customHeight="1">
      <c r="A1207" t="n">
        <v>25</v>
      </c>
      <c r="B1207" s="84" t="inlineStr">
        <is>
          <t>(from Setup)</t>
        </is>
      </c>
      <c r="C1207" s="85" t="inlineStr">
        <is>
          <t>1</t>
        </is>
      </c>
      <c r="D1207" s="85" t="inlineStr">
        <is>
          <t>2</t>
        </is>
      </c>
      <c r="E1207" s="85" t="inlineStr">
        <is>
          <t>3</t>
        </is>
      </c>
      <c r="F1207" s="85" t="inlineStr">
        <is>
          <t>Notes</t>
        </is>
      </c>
      <c r="G1207" s="85" t="inlineStr">
        <is>
          <t>1</t>
        </is>
      </c>
      <c r="H1207" s="85" t="inlineStr">
        <is>
          <t>2</t>
        </is>
      </c>
      <c r="I1207" s="85" t="inlineStr">
        <is>
          <t>3</t>
        </is>
      </c>
      <c r="J1207" s="85" t="inlineStr">
        <is>
          <t>Notes</t>
        </is>
      </c>
      <c r="K1207" s="85" t="inlineStr">
        <is>
          <t>1</t>
        </is>
      </c>
      <c r="L1207" s="85" t="inlineStr">
        <is>
          <t>2</t>
        </is>
      </c>
      <c r="M1207" s="85" t="inlineStr">
        <is>
          <t>3</t>
        </is>
      </c>
      <c r="N1207" s="85" t="inlineStr">
        <is>
          <t>Notes</t>
        </is>
      </c>
      <c r="O1207" s="85" t="inlineStr">
        <is>
          <t>1</t>
        </is>
      </c>
      <c r="P1207" s="85" t="inlineStr">
        <is>
          <t>2</t>
        </is>
      </c>
      <c r="Q1207" s="85" t="inlineStr">
        <is>
          <t>3</t>
        </is>
      </c>
      <c r="R1207" s="85" t="inlineStr">
        <is>
          <t>Notes</t>
        </is>
      </c>
      <c r="S1207" s="85" t="inlineStr">
        <is>
          <t>1</t>
        </is>
      </c>
      <c r="T1207" s="85" t="inlineStr">
        <is>
          <t>2</t>
        </is>
      </c>
      <c r="U1207" s="85" t="inlineStr">
        <is>
          <t>3</t>
        </is>
      </c>
      <c r="V1207" s="85" t="inlineStr">
        <is>
          <t>Notes</t>
        </is>
      </c>
      <c r="W1207" s="85" t="inlineStr">
        <is>
          <t>Cover</t>
        </is>
      </c>
      <c r="X1207" s="85" t="inlineStr">
        <is>
          <t>Notes</t>
        </is>
      </c>
      <c r="Y1207" s="85" t="inlineStr">
        <is>
          <t>Cover</t>
        </is>
      </c>
      <c r="Z1207" s="85" t="inlineStr">
        <is>
          <t>Notes</t>
        </is>
      </c>
      <c r="AB1207" s="86" t="inlineStr">
        <is>
          <t>weekdays short</t>
        </is>
      </c>
      <c r="AC1207" s="87" t="inlineStr"/>
    </row>
    <row r="1208" ht="17" customHeight="1">
      <c r="A1208" t="n">
        <v>25</v>
      </c>
      <c r="B1208" s="24">
        <f>IF(Setup!$K$6="","",Setup!$K$6)</f>
        <v/>
      </c>
      <c r="C1208" s="88" t="n"/>
      <c r="D1208" s="88" t="n"/>
      <c r="E1208" s="88" t="n"/>
      <c r="F1208" s="89" t="n"/>
      <c r="G1208" s="88" t="n"/>
      <c r="H1208" s="88" t="n"/>
      <c r="I1208" s="88" t="n"/>
      <c r="J1208" s="89" t="n"/>
      <c r="K1208" s="88" t="n"/>
      <c r="L1208" s="88" t="n"/>
      <c r="M1208" s="88" t="n"/>
      <c r="N1208" s="89" t="n"/>
      <c r="O1208" s="88" t="n"/>
      <c r="P1208" s="88" t="n"/>
      <c r="Q1208" s="88" t="n"/>
      <c r="R1208" s="89" t="n"/>
      <c r="S1208" s="88" t="n"/>
      <c r="T1208" s="88" t="n"/>
      <c r="U1208" s="88" t="n"/>
      <c r="V1208" s="89" t="n"/>
      <c r="W1208" s="88" t="n"/>
      <c r="X1208" s="89" t="n"/>
      <c r="Y1208" s="88" t="n"/>
      <c r="Z1208" s="89" t="n"/>
      <c r="AB1208" s="25">
        <f>IF($B1208="","",(COUNTIF(C1208:E1208,"?*")&lt;N(INDEX(Setup!$L$6:$L$23,1)))+(COUNTIF(G1208:I1208,"?*")&lt;N(INDEX(Setup!$L$6:$L$23,1)))+(COUNTIF(K1208:M1208,"?*")&lt;N(INDEX(Setup!$L$6:$L$23,1)))+(COUNTIF(O1208:Q1208,"?*")&lt;N(INDEX(Setup!$L$6:$L$23,1)))+(COUNTIF(S1208:U1208,"?*")&lt;N(INDEX(Setup!$L$6:$L$23,1)))+((W1208="")*(INDEX(Setup!$M$6:$M$23,1)="Y"))+((Y1208="")*(INDEX(Setup!$M$6:$M$23,1)="Y")))</f>
        <v/>
      </c>
      <c r="AC1208" s="90">
        <f>IF($B1208="","",IF(AB1208=0,"✓ covered","⚠ "&amp;AB1208&amp;IF(AB1208=1," gap"," gaps")))</f>
        <v/>
      </c>
    </row>
    <row r="1209" ht="17" customHeight="1">
      <c r="A1209" t="n">
        <v>25</v>
      </c>
      <c r="B1209" s="29">
        <f>IF(Setup!$K$7="","",Setup!$K$7)</f>
        <v/>
      </c>
      <c r="C1209" s="88" t="n"/>
      <c r="D1209" s="88" t="n"/>
      <c r="E1209" s="88" t="n"/>
      <c r="F1209" s="89" t="n"/>
      <c r="G1209" s="88" t="n"/>
      <c r="H1209" s="88" t="n"/>
      <c r="I1209" s="88" t="n"/>
      <c r="J1209" s="89" t="n"/>
      <c r="K1209" s="88" t="n"/>
      <c r="L1209" s="88" t="n"/>
      <c r="M1209" s="88" t="n"/>
      <c r="N1209" s="89" t="n"/>
      <c r="O1209" s="88" t="n"/>
      <c r="P1209" s="88" t="n"/>
      <c r="Q1209" s="88" t="n"/>
      <c r="R1209" s="89" t="n"/>
      <c r="S1209" s="88" t="n"/>
      <c r="T1209" s="88" t="n"/>
      <c r="U1209" s="88" t="n"/>
      <c r="V1209" s="89" t="n"/>
      <c r="W1209" s="88" t="n"/>
      <c r="X1209" s="89" t="n"/>
      <c r="Y1209" s="88" t="n"/>
      <c r="Z1209" s="89" t="n"/>
      <c r="AB1209" s="30">
        <f>IF($B1209="","",(COUNTIF(C1209:E1209,"?*")&lt;N(INDEX(Setup!$L$6:$L$23,2)))+(COUNTIF(G1209:I1209,"?*")&lt;N(INDEX(Setup!$L$6:$L$23,2)))+(COUNTIF(K1209:M1209,"?*")&lt;N(INDEX(Setup!$L$6:$L$23,2)))+(COUNTIF(O1209:Q1209,"?*")&lt;N(INDEX(Setup!$L$6:$L$23,2)))+(COUNTIF(S1209:U1209,"?*")&lt;N(INDEX(Setup!$L$6:$L$23,2)))+((W1209="")*(INDEX(Setup!$M$6:$M$23,2)="Y"))+((Y1209="")*(INDEX(Setup!$M$6:$M$23,2)="Y")))</f>
        <v/>
      </c>
      <c r="AC1209" s="91">
        <f>IF($B1209="","",IF(AB1209=0,"✓ covered","⚠ "&amp;AB1209&amp;IF(AB1209=1," gap"," gaps")))</f>
        <v/>
      </c>
    </row>
    <row r="1210" ht="17" customHeight="1">
      <c r="A1210" t="n">
        <v>25</v>
      </c>
      <c r="B1210" s="24">
        <f>IF(Setup!$K$8="","",Setup!$K$8)</f>
        <v/>
      </c>
      <c r="C1210" s="88" t="n"/>
      <c r="D1210" s="88" t="n"/>
      <c r="E1210" s="88" t="n"/>
      <c r="F1210" s="89" t="n"/>
      <c r="G1210" s="88" t="n"/>
      <c r="H1210" s="88" t="n"/>
      <c r="I1210" s="88" t="n"/>
      <c r="J1210" s="89" t="n"/>
      <c r="K1210" s="88" t="n"/>
      <c r="L1210" s="88" t="n"/>
      <c r="M1210" s="88" t="n"/>
      <c r="N1210" s="89" t="n"/>
      <c r="O1210" s="88" t="n"/>
      <c r="P1210" s="88" t="n"/>
      <c r="Q1210" s="88" t="n"/>
      <c r="R1210" s="89" t="n"/>
      <c r="S1210" s="88" t="n"/>
      <c r="T1210" s="88" t="n"/>
      <c r="U1210" s="88" t="n"/>
      <c r="V1210" s="89" t="n"/>
      <c r="W1210" s="88" t="n"/>
      <c r="X1210" s="89" t="n"/>
      <c r="Y1210" s="88" t="n"/>
      <c r="Z1210" s="89" t="n"/>
      <c r="AB1210" s="25">
        <f>IF($B1210="","",(COUNTIF(C1210:E1210,"?*")&lt;N(INDEX(Setup!$L$6:$L$23,3)))+(COUNTIF(G1210:I1210,"?*")&lt;N(INDEX(Setup!$L$6:$L$23,3)))+(COUNTIF(K1210:M1210,"?*")&lt;N(INDEX(Setup!$L$6:$L$23,3)))+(COUNTIF(O1210:Q1210,"?*")&lt;N(INDEX(Setup!$L$6:$L$23,3)))+(COUNTIF(S1210:U1210,"?*")&lt;N(INDEX(Setup!$L$6:$L$23,3)))+((W1210="")*(INDEX(Setup!$M$6:$M$23,3)="Y"))+((Y1210="")*(INDEX(Setup!$M$6:$M$23,3)="Y")))</f>
        <v/>
      </c>
      <c r="AC1210" s="90">
        <f>IF($B1210="","",IF(AB1210=0,"✓ covered","⚠ "&amp;AB1210&amp;IF(AB1210=1," gap"," gaps")))</f>
        <v/>
      </c>
    </row>
    <row r="1211" ht="17" customHeight="1">
      <c r="A1211" t="n">
        <v>25</v>
      </c>
      <c r="B1211" s="29">
        <f>IF(Setup!$K$9="","",Setup!$K$9)</f>
        <v/>
      </c>
      <c r="C1211" s="88" t="n"/>
      <c r="D1211" s="88" t="n"/>
      <c r="E1211" s="88" t="n"/>
      <c r="F1211" s="89" t="n"/>
      <c r="G1211" s="88" t="n"/>
      <c r="H1211" s="88" t="n"/>
      <c r="I1211" s="88" t="n"/>
      <c r="J1211" s="89" t="n"/>
      <c r="K1211" s="88" t="n"/>
      <c r="L1211" s="88" t="n"/>
      <c r="M1211" s="88" t="n"/>
      <c r="N1211" s="89" t="n"/>
      <c r="O1211" s="88" t="n"/>
      <c r="P1211" s="88" t="n"/>
      <c r="Q1211" s="88" t="n"/>
      <c r="R1211" s="89" t="n"/>
      <c r="S1211" s="88" t="n"/>
      <c r="T1211" s="88" t="n"/>
      <c r="U1211" s="88" t="n"/>
      <c r="V1211" s="89" t="n"/>
      <c r="W1211" s="88" t="n"/>
      <c r="X1211" s="89" t="n"/>
      <c r="Y1211" s="88" t="n"/>
      <c r="Z1211" s="89" t="n"/>
      <c r="AB1211" s="30">
        <f>IF($B1211="","",(COUNTIF(C1211:E1211,"?*")&lt;N(INDEX(Setup!$L$6:$L$23,4)))+(COUNTIF(G1211:I1211,"?*")&lt;N(INDEX(Setup!$L$6:$L$23,4)))+(COUNTIF(K1211:M1211,"?*")&lt;N(INDEX(Setup!$L$6:$L$23,4)))+(COUNTIF(O1211:Q1211,"?*")&lt;N(INDEX(Setup!$L$6:$L$23,4)))+(COUNTIF(S1211:U1211,"?*")&lt;N(INDEX(Setup!$L$6:$L$23,4)))+((W1211="")*(INDEX(Setup!$M$6:$M$23,4)="Y"))+((Y1211="")*(INDEX(Setup!$M$6:$M$23,4)="Y")))</f>
        <v/>
      </c>
      <c r="AC1211" s="91">
        <f>IF($B1211="","",IF(AB1211=0,"✓ covered","⚠ "&amp;AB1211&amp;IF(AB1211=1," gap"," gaps")))</f>
        <v/>
      </c>
    </row>
    <row r="1212" ht="17" customHeight="1">
      <c r="A1212" t="n">
        <v>25</v>
      </c>
      <c r="B1212" s="24">
        <f>IF(Setup!$K$10="","",Setup!$K$10)</f>
        <v/>
      </c>
      <c r="C1212" s="88" t="n"/>
      <c r="D1212" s="88" t="n"/>
      <c r="E1212" s="88" t="n"/>
      <c r="F1212" s="89" t="n"/>
      <c r="G1212" s="88" t="n"/>
      <c r="H1212" s="88" t="n"/>
      <c r="I1212" s="88" t="n"/>
      <c r="J1212" s="89" t="n"/>
      <c r="K1212" s="88" t="n"/>
      <c r="L1212" s="88" t="n"/>
      <c r="M1212" s="88" t="n"/>
      <c r="N1212" s="89" t="n"/>
      <c r="O1212" s="88" t="n"/>
      <c r="P1212" s="88" t="n"/>
      <c r="Q1212" s="88" t="n"/>
      <c r="R1212" s="89" t="n"/>
      <c r="S1212" s="88" t="n"/>
      <c r="T1212" s="88" t="n"/>
      <c r="U1212" s="88" t="n"/>
      <c r="V1212" s="89" t="n"/>
      <c r="W1212" s="88" t="n"/>
      <c r="X1212" s="89" t="n"/>
      <c r="Y1212" s="88" t="n"/>
      <c r="Z1212" s="89" t="n"/>
      <c r="AB1212" s="25">
        <f>IF($B1212="","",(COUNTIF(C1212:E1212,"?*")&lt;N(INDEX(Setup!$L$6:$L$23,5)))+(COUNTIF(G1212:I1212,"?*")&lt;N(INDEX(Setup!$L$6:$L$23,5)))+(COUNTIF(K1212:M1212,"?*")&lt;N(INDEX(Setup!$L$6:$L$23,5)))+(COUNTIF(O1212:Q1212,"?*")&lt;N(INDEX(Setup!$L$6:$L$23,5)))+(COUNTIF(S1212:U1212,"?*")&lt;N(INDEX(Setup!$L$6:$L$23,5)))+((W1212="")*(INDEX(Setup!$M$6:$M$23,5)="Y"))+((Y1212="")*(INDEX(Setup!$M$6:$M$23,5)="Y")))</f>
        <v/>
      </c>
      <c r="AC1212" s="90">
        <f>IF($B1212="","",IF(AB1212=0,"✓ covered","⚠ "&amp;AB1212&amp;IF(AB1212=1," gap"," gaps")))</f>
        <v/>
      </c>
    </row>
    <row r="1213" ht="17" customHeight="1">
      <c r="A1213" t="n">
        <v>25</v>
      </c>
      <c r="B1213" s="29">
        <f>IF(Setup!$K$11="","",Setup!$K$11)</f>
        <v/>
      </c>
      <c r="C1213" s="88" t="n"/>
      <c r="D1213" s="88" t="n"/>
      <c r="E1213" s="88" t="n"/>
      <c r="F1213" s="89" t="n"/>
      <c r="G1213" s="88" t="n"/>
      <c r="H1213" s="88" t="n"/>
      <c r="I1213" s="88" t="n"/>
      <c r="J1213" s="89" t="n"/>
      <c r="K1213" s="88" t="n"/>
      <c r="L1213" s="88" t="n"/>
      <c r="M1213" s="88" t="n"/>
      <c r="N1213" s="89" t="n"/>
      <c r="O1213" s="88" t="n"/>
      <c r="P1213" s="88" t="n"/>
      <c r="Q1213" s="88" t="n"/>
      <c r="R1213" s="89" t="n"/>
      <c r="S1213" s="88" t="n"/>
      <c r="T1213" s="88" t="n"/>
      <c r="U1213" s="88" t="n"/>
      <c r="V1213" s="89" t="n"/>
      <c r="W1213" s="88" t="n"/>
      <c r="X1213" s="89" t="n"/>
      <c r="Y1213" s="88" t="n"/>
      <c r="Z1213" s="89" t="n"/>
      <c r="AB1213" s="30">
        <f>IF($B1213="","",(COUNTIF(C1213:E1213,"?*")&lt;N(INDEX(Setup!$L$6:$L$23,6)))+(COUNTIF(G1213:I1213,"?*")&lt;N(INDEX(Setup!$L$6:$L$23,6)))+(COUNTIF(K1213:M1213,"?*")&lt;N(INDEX(Setup!$L$6:$L$23,6)))+(COUNTIF(O1213:Q1213,"?*")&lt;N(INDEX(Setup!$L$6:$L$23,6)))+(COUNTIF(S1213:U1213,"?*")&lt;N(INDEX(Setup!$L$6:$L$23,6)))+((W1213="")*(INDEX(Setup!$M$6:$M$23,6)="Y"))+((Y1213="")*(INDEX(Setup!$M$6:$M$23,6)="Y")))</f>
        <v/>
      </c>
      <c r="AC1213" s="91">
        <f>IF($B1213="","",IF(AB1213=0,"✓ covered","⚠ "&amp;AB1213&amp;IF(AB1213=1," gap"," gaps")))</f>
        <v/>
      </c>
    </row>
    <row r="1214" ht="17" customHeight="1">
      <c r="A1214" t="n">
        <v>25</v>
      </c>
      <c r="B1214" s="24">
        <f>IF(Setup!$K$12="","",Setup!$K$12)</f>
        <v/>
      </c>
      <c r="C1214" s="88" t="n"/>
      <c r="D1214" s="88" t="n"/>
      <c r="E1214" s="88" t="n"/>
      <c r="F1214" s="89" t="n"/>
      <c r="G1214" s="88" t="n"/>
      <c r="H1214" s="88" t="n"/>
      <c r="I1214" s="88" t="n"/>
      <c r="J1214" s="89" t="n"/>
      <c r="K1214" s="88" t="n"/>
      <c r="L1214" s="88" t="n"/>
      <c r="M1214" s="88" t="n"/>
      <c r="N1214" s="89" t="n"/>
      <c r="O1214" s="88" t="n"/>
      <c r="P1214" s="88" t="n"/>
      <c r="Q1214" s="88" t="n"/>
      <c r="R1214" s="89" t="n"/>
      <c r="S1214" s="88" t="n"/>
      <c r="T1214" s="88" t="n"/>
      <c r="U1214" s="88" t="n"/>
      <c r="V1214" s="89" t="n"/>
      <c r="W1214" s="88" t="n"/>
      <c r="X1214" s="89" t="n"/>
      <c r="Y1214" s="88" t="n"/>
      <c r="Z1214" s="89" t="n"/>
      <c r="AB1214" s="25">
        <f>IF($B1214="","",(COUNTIF(C1214:E1214,"?*")&lt;N(INDEX(Setup!$L$6:$L$23,7)))+(COUNTIF(G1214:I1214,"?*")&lt;N(INDEX(Setup!$L$6:$L$23,7)))+(COUNTIF(K1214:M1214,"?*")&lt;N(INDEX(Setup!$L$6:$L$23,7)))+(COUNTIF(O1214:Q1214,"?*")&lt;N(INDEX(Setup!$L$6:$L$23,7)))+(COUNTIF(S1214:U1214,"?*")&lt;N(INDEX(Setup!$L$6:$L$23,7)))+((W1214="")*(INDEX(Setup!$M$6:$M$23,7)="Y"))+((Y1214="")*(INDEX(Setup!$M$6:$M$23,7)="Y")))</f>
        <v/>
      </c>
      <c r="AC1214" s="90">
        <f>IF($B1214="","",IF(AB1214=0,"✓ covered","⚠ "&amp;AB1214&amp;IF(AB1214=1," gap"," gaps")))</f>
        <v/>
      </c>
    </row>
    <row r="1215" ht="17" customHeight="1">
      <c r="A1215" t="n">
        <v>25</v>
      </c>
      <c r="B1215" s="29">
        <f>IF(Setup!$K$13="","",Setup!$K$13)</f>
        <v/>
      </c>
      <c r="C1215" s="88" t="n"/>
      <c r="D1215" s="88" t="n"/>
      <c r="E1215" s="88" t="n"/>
      <c r="F1215" s="89" t="n"/>
      <c r="G1215" s="88" t="n"/>
      <c r="H1215" s="88" t="n"/>
      <c r="I1215" s="88" t="n"/>
      <c r="J1215" s="89" t="n"/>
      <c r="K1215" s="88" t="n"/>
      <c r="L1215" s="88" t="n"/>
      <c r="M1215" s="88" t="n"/>
      <c r="N1215" s="89" t="n"/>
      <c r="O1215" s="88" t="n"/>
      <c r="P1215" s="88" t="n"/>
      <c r="Q1215" s="88" t="n"/>
      <c r="R1215" s="89" t="n"/>
      <c r="S1215" s="88" t="n"/>
      <c r="T1215" s="88" t="n"/>
      <c r="U1215" s="88" t="n"/>
      <c r="V1215" s="89" t="n"/>
      <c r="W1215" s="88" t="n"/>
      <c r="X1215" s="89" t="n"/>
      <c r="Y1215" s="88" t="n"/>
      <c r="Z1215" s="89" t="n"/>
      <c r="AB1215" s="30">
        <f>IF($B1215="","",(COUNTIF(C1215:E1215,"?*")&lt;N(INDEX(Setup!$L$6:$L$23,8)))+(COUNTIF(G1215:I1215,"?*")&lt;N(INDEX(Setup!$L$6:$L$23,8)))+(COUNTIF(K1215:M1215,"?*")&lt;N(INDEX(Setup!$L$6:$L$23,8)))+(COUNTIF(O1215:Q1215,"?*")&lt;N(INDEX(Setup!$L$6:$L$23,8)))+(COUNTIF(S1215:U1215,"?*")&lt;N(INDEX(Setup!$L$6:$L$23,8)))+((W1215="")*(INDEX(Setup!$M$6:$M$23,8)="Y"))+((Y1215="")*(INDEX(Setup!$M$6:$M$23,8)="Y")))</f>
        <v/>
      </c>
      <c r="AC1215" s="91">
        <f>IF($B1215="","",IF(AB1215=0,"✓ covered","⚠ "&amp;AB1215&amp;IF(AB1215=1," gap"," gaps")))</f>
        <v/>
      </c>
    </row>
    <row r="1216" ht="17" customHeight="1">
      <c r="A1216" t="n">
        <v>25</v>
      </c>
      <c r="B1216" s="24">
        <f>IF(Setup!$K$14="","",Setup!$K$14)</f>
        <v/>
      </c>
      <c r="C1216" s="88" t="n"/>
      <c r="D1216" s="88" t="n"/>
      <c r="E1216" s="88" t="n"/>
      <c r="F1216" s="89" t="n"/>
      <c r="G1216" s="88" t="n"/>
      <c r="H1216" s="88" t="n"/>
      <c r="I1216" s="88" t="n"/>
      <c r="J1216" s="89" t="n"/>
      <c r="K1216" s="88" t="n"/>
      <c r="L1216" s="88" t="n"/>
      <c r="M1216" s="88" t="n"/>
      <c r="N1216" s="89" t="n"/>
      <c r="O1216" s="88" t="n"/>
      <c r="P1216" s="88" t="n"/>
      <c r="Q1216" s="88" t="n"/>
      <c r="R1216" s="89" t="n"/>
      <c r="S1216" s="88" t="n"/>
      <c r="T1216" s="88" t="n"/>
      <c r="U1216" s="88" t="n"/>
      <c r="V1216" s="89" t="n"/>
      <c r="W1216" s="88" t="n"/>
      <c r="X1216" s="89" t="n"/>
      <c r="Y1216" s="88" t="n"/>
      <c r="Z1216" s="89" t="n"/>
      <c r="AB1216" s="25">
        <f>IF($B1216="","",(COUNTIF(C1216:E1216,"?*")&lt;N(INDEX(Setup!$L$6:$L$23,9)))+(COUNTIF(G1216:I1216,"?*")&lt;N(INDEX(Setup!$L$6:$L$23,9)))+(COUNTIF(K1216:M1216,"?*")&lt;N(INDEX(Setup!$L$6:$L$23,9)))+(COUNTIF(O1216:Q1216,"?*")&lt;N(INDEX(Setup!$L$6:$L$23,9)))+(COUNTIF(S1216:U1216,"?*")&lt;N(INDEX(Setup!$L$6:$L$23,9)))+((W1216="")*(INDEX(Setup!$M$6:$M$23,9)="Y"))+((Y1216="")*(INDEX(Setup!$M$6:$M$23,9)="Y")))</f>
        <v/>
      </c>
      <c r="AC1216" s="90">
        <f>IF($B1216="","",IF(AB1216=0,"✓ covered","⚠ "&amp;AB1216&amp;IF(AB1216=1," gap"," gaps")))</f>
        <v/>
      </c>
    </row>
    <row r="1217" ht="17" customHeight="1">
      <c r="A1217" t="n">
        <v>25</v>
      </c>
      <c r="B1217" s="29">
        <f>IF(Setup!$K$15="","",Setup!$K$15)</f>
        <v/>
      </c>
      <c r="C1217" s="88" t="n"/>
      <c r="D1217" s="88" t="n"/>
      <c r="E1217" s="88" t="n"/>
      <c r="F1217" s="89" t="n"/>
      <c r="G1217" s="88" t="n"/>
      <c r="H1217" s="88" t="n"/>
      <c r="I1217" s="88" t="n"/>
      <c r="J1217" s="89" t="n"/>
      <c r="K1217" s="88" t="n"/>
      <c r="L1217" s="88" t="n"/>
      <c r="M1217" s="88" t="n"/>
      <c r="N1217" s="89" t="n"/>
      <c r="O1217" s="88" t="n"/>
      <c r="P1217" s="88" t="n"/>
      <c r="Q1217" s="88" t="n"/>
      <c r="R1217" s="89" t="n"/>
      <c r="S1217" s="88" t="n"/>
      <c r="T1217" s="88" t="n"/>
      <c r="U1217" s="88" t="n"/>
      <c r="V1217" s="89" t="n"/>
      <c r="W1217" s="88" t="n"/>
      <c r="X1217" s="89" t="n"/>
      <c r="Y1217" s="88" t="n"/>
      <c r="Z1217" s="89" t="n"/>
      <c r="AB1217" s="30">
        <f>IF($B1217="","",(COUNTIF(C1217:E1217,"?*")&lt;N(INDEX(Setup!$L$6:$L$23,10)))+(COUNTIF(G1217:I1217,"?*")&lt;N(INDEX(Setup!$L$6:$L$23,10)))+(COUNTIF(K1217:M1217,"?*")&lt;N(INDEX(Setup!$L$6:$L$23,10)))+(COUNTIF(O1217:Q1217,"?*")&lt;N(INDEX(Setup!$L$6:$L$23,10)))+(COUNTIF(S1217:U1217,"?*")&lt;N(INDEX(Setup!$L$6:$L$23,10)))+((W1217="")*(INDEX(Setup!$M$6:$M$23,10)="Y"))+((Y1217="")*(INDEX(Setup!$M$6:$M$23,10)="Y")))</f>
        <v/>
      </c>
      <c r="AC1217" s="91">
        <f>IF($B1217="","",IF(AB1217=0,"✓ covered","⚠ "&amp;AB1217&amp;IF(AB1217=1," gap"," gaps")))</f>
        <v/>
      </c>
    </row>
    <row r="1218" ht="17" customHeight="1">
      <c r="A1218" t="n">
        <v>25</v>
      </c>
      <c r="B1218" s="24">
        <f>IF(Setup!$K$16="","",Setup!$K$16)</f>
        <v/>
      </c>
      <c r="C1218" s="88" t="n"/>
      <c r="D1218" s="88" t="n"/>
      <c r="E1218" s="88" t="n"/>
      <c r="F1218" s="89" t="n"/>
      <c r="G1218" s="88" t="n"/>
      <c r="H1218" s="88" t="n"/>
      <c r="I1218" s="88" t="n"/>
      <c r="J1218" s="89" t="n"/>
      <c r="K1218" s="88" t="n"/>
      <c r="L1218" s="88" t="n"/>
      <c r="M1218" s="88" t="n"/>
      <c r="N1218" s="89" t="n"/>
      <c r="O1218" s="88" t="n"/>
      <c r="P1218" s="88" t="n"/>
      <c r="Q1218" s="88" t="n"/>
      <c r="R1218" s="89" t="n"/>
      <c r="S1218" s="88" t="n"/>
      <c r="T1218" s="88" t="n"/>
      <c r="U1218" s="88" t="n"/>
      <c r="V1218" s="89" t="n"/>
      <c r="W1218" s="88" t="n"/>
      <c r="X1218" s="89" t="n"/>
      <c r="Y1218" s="88" t="n"/>
      <c r="Z1218" s="89" t="n"/>
      <c r="AB1218" s="25">
        <f>IF($B1218="","",(COUNTIF(C1218:E1218,"?*")&lt;N(INDEX(Setup!$L$6:$L$23,11)))+(COUNTIF(G1218:I1218,"?*")&lt;N(INDEX(Setup!$L$6:$L$23,11)))+(COUNTIF(K1218:M1218,"?*")&lt;N(INDEX(Setup!$L$6:$L$23,11)))+(COUNTIF(O1218:Q1218,"?*")&lt;N(INDEX(Setup!$L$6:$L$23,11)))+(COUNTIF(S1218:U1218,"?*")&lt;N(INDEX(Setup!$L$6:$L$23,11)))+((W1218="")*(INDEX(Setup!$M$6:$M$23,11)="Y"))+((Y1218="")*(INDEX(Setup!$M$6:$M$23,11)="Y")))</f>
        <v/>
      </c>
      <c r="AC1218" s="90">
        <f>IF($B1218="","",IF(AB1218=0,"✓ covered","⚠ "&amp;AB1218&amp;IF(AB1218=1," gap"," gaps")))</f>
        <v/>
      </c>
    </row>
    <row r="1219" ht="17" customHeight="1">
      <c r="A1219" t="n">
        <v>25</v>
      </c>
      <c r="B1219" s="29">
        <f>IF(Setup!$K$17="","",Setup!$K$17)</f>
        <v/>
      </c>
      <c r="C1219" s="88" t="n"/>
      <c r="D1219" s="88" t="n"/>
      <c r="E1219" s="88" t="n"/>
      <c r="F1219" s="89" t="n"/>
      <c r="G1219" s="88" t="n"/>
      <c r="H1219" s="88" t="n"/>
      <c r="I1219" s="88" t="n"/>
      <c r="J1219" s="89" t="n"/>
      <c r="K1219" s="88" t="n"/>
      <c r="L1219" s="88" t="n"/>
      <c r="M1219" s="88" t="n"/>
      <c r="N1219" s="89" t="n"/>
      <c r="O1219" s="88" t="n"/>
      <c r="P1219" s="88" t="n"/>
      <c r="Q1219" s="88" t="n"/>
      <c r="R1219" s="89" t="n"/>
      <c r="S1219" s="88" t="n"/>
      <c r="T1219" s="88" t="n"/>
      <c r="U1219" s="88" t="n"/>
      <c r="V1219" s="89" t="n"/>
      <c r="W1219" s="88" t="n"/>
      <c r="X1219" s="89" t="n"/>
      <c r="Y1219" s="88" t="n"/>
      <c r="Z1219" s="89" t="n"/>
      <c r="AB1219" s="30">
        <f>IF($B1219="","",(COUNTIF(C1219:E1219,"?*")&lt;N(INDEX(Setup!$L$6:$L$23,12)))+(COUNTIF(G1219:I1219,"?*")&lt;N(INDEX(Setup!$L$6:$L$23,12)))+(COUNTIF(K1219:M1219,"?*")&lt;N(INDEX(Setup!$L$6:$L$23,12)))+(COUNTIF(O1219:Q1219,"?*")&lt;N(INDEX(Setup!$L$6:$L$23,12)))+(COUNTIF(S1219:U1219,"?*")&lt;N(INDEX(Setup!$L$6:$L$23,12)))+((W1219="")*(INDEX(Setup!$M$6:$M$23,12)="Y"))+((Y1219="")*(INDEX(Setup!$M$6:$M$23,12)="Y")))</f>
        <v/>
      </c>
      <c r="AC1219" s="91">
        <f>IF($B1219="","",IF(AB1219=0,"✓ covered","⚠ "&amp;AB1219&amp;IF(AB1219=1," gap"," gaps")))</f>
        <v/>
      </c>
    </row>
    <row r="1220" ht="17" customHeight="1">
      <c r="A1220" t="n">
        <v>25</v>
      </c>
      <c r="B1220" s="24">
        <f>IF(Setup!$K$18="","",Setup!$K$18)</f>
        <v/>
      </c>
      <c r="C1220" s="88" t="n"/>
      <c r="D1220" s="88" t="n"/>
      <c r="E1220" s="88" t="n"/>
      <c r="F1220" s="89" t="n"/>
      <c r="G1220" s="88" t="n"/>
      <c r="H1220" s="88" t="n"/>
      <c r="I1220" s="88" t="n"/>
      <c r="J1220" s="89" t="n"/>
      <c r="K1220" s="88" t="n"/>
      <c r="L1220" s="88" t="n"/>
      <c r="M1220" s="88" t="n"/>
      <c r="N1220" s="89" t="n"/>
      <c r="O1220" s="88" t="n"/>
      <c r="P1220" s="88" t="n"/>
      <c r="Q1220" s="88" t="n"/>
      <c r="R1220" s="89" t="n"/>
      <c r="S1220" s="88" t="n"/>
      <c r="T1220" s="88" t="n"/>
      <c r="U1220" s="88" t="n"/>
      <c r="V1220" s="89" t="n"/>
      <c r="W1220" s="88" t="n"/>
      <c r="X1220" s="89" t="n"/>
      <c r="Y1220" s="88" t="n"/>
      <c r="Z1220" s="89" t="n"/>
      <c r="AB1220" s="25">
        <f>IF($B1220="","",(COUNTIF(C1220:E1220,"?*")&lt;N(INDEX(Setup!$L$6:$L$23,13)))+(COUNTIF(G1220:I1220,"?*")&lt;N(INDEX(Setup!$L$6:$L$23,13)))+(COUNTIF(K1220:M1220,"?*")&lt;N(INDEX(Setup!$L$6:$L$23,13)))+(COUNTIF(O1220:Q1220,"?*")&lt;N(INDEX(Setup!$L$6:$L$23,13)))+(COUNTIF(S1220:U1220,"?*")&lt;N(INDEX(Setup!$L$6:$L$23,13)))+((W1220="")*(INDEX(Setup!$M$6:$M$23,13)="Y"))+((Y1220="")*(INDEX(Setup!$M$6:$M$23,13)="Y")))</f>
        <v/>
      </c>
      <c r="AC1220" s="90">
        <f>IF($B1220="","",IF(AB1220=0,"✓ covered","⚠ "&amp;AB1220&amp;IF(AB1220=1," gap"," gaps")))</f>
        <v/>
      </c>
    </row>
    <row r="1221" ht="17" customHeight="1">
      <c r="A1221" t="n">
        <v>25</v>
      </c>
      <c r="B1221" s="29">
        <f>IF(Setup!$K$19="","",Setup!$K$19)</f>
        <v/>
      </c>
      <c r="C1221" s="88" t="n"/>
      <c r="D1221" s="88" t="n"/>
      <c r="E1221" s="88" t="n"/>
      <c r="F1221" s="89" t="n"/>
      <c r="G1221" s="88" t="n"/>
      <c r="H1221" s="88" t="n"/>
      <c r="I1221" s="88" t="n"/>
      <c r="J1221" s="89" t="n"/>
      <c r="K1221" s="88" t="n"/>
      <c r="L1221" s="88" t="n"/>
      <c r="M1221" s="88" t="n"/>
      <c r="N1221" s="89" t="n"/>
      <c r="O1221" s="88" t="n"/>
      <c r="P1221" s="88" t="n"/>
      <c r="Q1221" s="88" t="n"/>
      <c r="R1221" s="89" t="n"/>
      <c r="S1221" s="88" t="n"/>
      <c r="T1221" s="88" t="n"/>
      <c r="U1221" s="88" t="n"/>
      <c r="V1221" s="89" t="n"/>
      <c r="W1221" s="88" t="n"/>
      <c r="X1221" s="89" t="n"/>
      <c r="Y1221" s="88" t="n"/>
      <c r="Z1221" s="89" t="n"/>
      <c r="AB1221" s="30">
        <f>IF($B1221="","",(COUNTIF(C1221:E1221,"?*")&lt;N(INDEX(Setup!$L$6:$L$23,14)))+(COUNTIF(G1221:I1221,"?*")&lt;N(INDEX(Setup!$L$6:$L$23,14)))+(COUNTIF(K1221:M1221,"?*")&lt;N(INDEX(Setup!$L$6:$L$23,14)))+(COUNTIF(O1221:Q1221,"?*")&lt;N(INDEX(Setup!$L$6:$L$23,14)))+(COUNTIF(S1221:U1221,"?*")&lt;N(INDEX(Setup!$L$6:$L$23,14)))+((W1221="")*(INDEX(Setup!$M$6:$M$23,14)="Y"))+((Y1221="")*(INDEX(Setup!$M$6:$M$23,14)="Y")))</f>
        <v/>
      </c>
      <c r="AC1221" s="91">
        <f>IF($B1221="","",IF(AB1221=0,"✓ covered","⚠ "&amp;AB1221&amp;IF(AB1221=1," gap"," gaps")))</f>
        <v/>
      </c>
    </row>
    <row r="1222" ht="17" customHeight="1">
      <c r="A1222" t="n">
        <v>25</v>
      </c>
      <c r="B1222" s="24">
        <f>IF(Setup!$K$20="","",Setup!$K$20)</f>
        <v/>
      </c>
      <c r="C1222" s="88" t="n"/>
      <c r="D1222" s="88" t="n"/>
      <c r="E1222" s="88" t="n"/>
      <c r="F1222" s="89" t="n"/>
      <c r="G1222" s="88" t="n"/>
      <c r="H1222" s="88" t="n"/>
      <c r="I1222" s="88" t="n"/>
      <c r="J1222" s="89" t="n"/>
      <c r="K1222" s="88" t="n"/>
      <c r="L1222" s="88" t="n"/>
      <c r="M1222" s="88" t="n"/>
      <c r="N1222" s="89" t="n"/>
      <c r="O1222" s="88" t="n"/>
      <c r="P1222" s="88" t="n"/>
      <c r="Q1222" s="88" t="n"/>
      <c r="R1222" s="89" t="n"/>
      <c r="S1222" s="88" t="n"/>
      <c r="T1222" s="88" t="n"/>
      <c r="U1222" s="88" t="n"/>
      <c r="V1222" s="89" t="n"/>
      <c r="W1222" s="88" t="n"/>
      <c r="X1222" s="89" t="n"/>
      <c r="Y1222" s="88" t="n"/>
      <c r="Z1222" s="89" t="n"/>
      <c r="AB1222" s="25">
        <f>IF($B1222="","",(COUNTIF(C1222:E1222,"?*")&lt;N(INDEX(Setup!$L$6:$L$23,15)))+(COUNTIF(G1222:I1222,"?*")&lt;N(INDEX(Setup!$L$6:$L$23,15)))+(COUNTIF(K1222:M1222,"?*")&lt;N(INDEX(Setup!$L$6:$L$23,15)))+(COUNTIF(O1222:Q1222,"?*")&lt;N(INDEX(Setup!$L$6:$L$23,15)))+(COUNTIF(S1222:U1222,"?*")&lt;N(INDEX(Setup!$L$6:$L$23,15)))+((W1222="")*(INDEX(Setup!$M$6:$M$23,15)="Y"))+((Y1222="")*(INDEX(Setup!$M$6:$M$23,15)="Y")))</f>
        <v/>
      </c>
      <c r="AC1222" s="90">
        <f>IF($B1222="","",IF(AB1222=0,"✓ covered","⚠ "&amp;AB1222&amp;IF(AB1222=1," gap"," gaps")))</f>
        <v/>
      </c>
    </row>
    <row r="1223" ht="17" customHeight="1">
      <c r="A1223" t="n">
        <v>25</v>
      </c>
      <c r="B1223" s="29">
        <f>IF(Setup!$K$21="","",Setup!$K$21)</f>
        <v/>
      </c>
      <c r="C1223" s="88" t="n"/>
      <c r="D1223" s="88" t="n"/>
      <c r="E1223" s="88" t="n"/>
      <c r="F1223" s="89" t="n"/>
      <c r="G1223" s="88" t="n"/>
      <c r="H1223" s="88" t="n"/>
      <c r="I1223" s="88" t="n"/>
      <c r="J1223" s="89" t="n"/>
      <c r="K1223" s="88" t="n"/>
      <c r="L1223" s="88" t="n"/>
      <c r="M1223" s="88" t="n"/>
      <c r="N1223" s="89" t="n"/>
      <c r="O1223" s="88" t="n"/>
      <c r="P1223" s="88" t="n"/>
      <c r="Q1223" s="88" t="n"/>
      <c r="R1223" s="89" t="n"/>
      <c r="S1223" s="88" t="n"/>
      <c r="T1223" s="88" t="n"/>
      <c r="U1223" s="88" t="n"/>
      <c r="V1223" s="89" t="n"/>
      <c r="W1223" s="88" t="n"/>
      <c r="X1223" s="89" t="n"/>
      <c r="Y1223" s="88" t="n"/>
      <c r="Z1223" s="89" t="n"/>
      <c r="AB1223" s="30">
        <f>IF($B1223="","",(COUNTIF(C1223:E1223,"?*")&lt;N(INDEX(Setup!$L$6:$L$23,16)))+(COUNTIF(G1223:I1223,"?*")&lt;N(INDEX(Setup!$L$6:$L$23,16)))+(COUNTIF(K1223:M1223,"?*")&lt;N(INDEX(Setup!$L$6:$L$23,16)))+(COUNTIF(O1223:Q1223,"?*")&lt;N(INDEX(Setup!$L$6:$L$23,16)))+(COUNTIF(S1223:U1223,"?*")&lt;N(INDEX(Setup!$L$6:$L$23,16)))+((W1223="")*(INDEX(Setup!$M$6:$M$23,16)="Y"))+((Y1223="")*(INDEX(Setup!$M$6:$M$23,16)="Y")))</f>
        <v/>
      </c>
      <c r="AC1223" s="91">
        <f>IF($B1223="","",IF(AB1223=0,"✓ covered","⚠ "&amp;AB1223&amp;IF(AB1223=1," gap"," gaps")))</f>
        <v/>
      </c>
    </row>
    <row r="1224" ht="17" customHeight="1">
      <c r="A1224" t="n">
        <v>25</v>
      </c>
      <c r="B1224" s="24">
        <f>IF(Setup!$K$22="","",Setup!$K$22)</f>
        <v/>
      </c>
      <c r="C1224" s="88" t="n"/>
      <c r="D1224" s="88" t="n"/>
      <c r="E1224" s="88" t="n"/>
      <c r="F1224" s="89" t="n"/>
      <c r="G1224" s="88" t="n"/>
      <c r="H1224" s="88" t="n"/>
      <c r="I1224" s="88" t="n"/>
      <c r="J1224" s="89" t="n"/>
      <c r="K1224" s="88" t="n"/>
      <c r="L1224" s="88" t="n"/>
      <c r="M1224" s="88" t="n"/>
      <c r="N1224" s="89" t="n"/>
      <c r="O1224" s="88" t="n"/>
      <c r="P1224" s="88" t="n"/>
      <c r="Q1224" s="88" t="n"/>
      <c r="R1224" s="89" t="n"/>
      <c r="S1224" s="88" t="n"/>
      <c r="T1224" s="88" t="n"/>
      <c r="U1224" s="88" t="n"/>
      <c r="V1224" s="89" t="n"/>
      <c r="W1224" s="88" t="n"/>
      <c r="X1224" s="89" t="n"/>
      <c r="Y1224" s="88" t="n"/>
      <c r="Z1224" s="89" t="n"/>
      <c r="AB1224" s="25">
        <f>IF($B1224="","",(COUNTIF(C1224:E1224,"?*")&lt;N(INDEX(Setup!$L$6:$L$23,17)))+(COUNTIF(G1224:I1224,"?*")&lt;N(INDEX(Setup!$L$6:$L$23,17)))+(COUNTIF(K1224:M1224,"?*")&lt;N(INDEX(Setup!$L$6:$L$23,17)))+(COUNTIF(O1224:Q1224,"?*")&lt;N(INDEX(Setup!$L$6:$L$23,17)))+(COUNTIF(S1224:U1224,"?*")&lt;N(INDEX(Setup!$L$6:$L$23,17)))+((W1224="")*(INDEX(Setup!$M$6:$M$23,17)="Y"))+((Y1224="")*(INDEX(Setup!$M$6:$M$23,17)="Y")))</f>
        <v/>
      </c>
      <c r="AC1224" s="90">
        <f>IF($B1224="","",IF(AB1224=0,"✓ covered","⚠ "&amp;AB1224&amp;IF(AB1224=1," gap"," gaps")))</f>
        <v/>
      </c>
    </row>
    <row r="1225" ht="17" customHeight="1">
      <c r="A1225" t="n">
        <v>25</v>
      </c>
      <c r="B1225" s="29">
        <f>IF(Setup!$K$23="","",Setup!$K$23)</f>
        <v/>
      </c>
      <c r="C1225" s="88" t="n"/>
      <c r="D1225" s="88" t="n"/>
      <c r="E1225" s="88" t="n"/>
      <c r="F1225" s="89" t="n"/>
      <c r="G1225" s="88" t="n"/>
      <c r="H1225" s="88" t="n"/>
      <c r="I1225" s="88" t="n"/>
      <c r="J1225" s="89" t="n"/>
      <c r="K1225" s="88" t="n"/>
      <c r="L1225" s="88" t="n"/>
      <c r="M1225" s="88" t="n"/>
      <c r="N1225" s="89" t="n"/>
      <c r="O1225" s="88" t="n"/>
      <c r="P1225" s="88" t="n"/>
      <c r="Q1225" s="88" t="n"/>
      <c r="R1225" s="89" t="n"/>
      <c r="S1225" s="88" t="n"/>
      <c r="T1225" s="88" t="n"/>
      <c r="U1225" s="88" t="n"/>
      <c r="V1225" s="89" t="n"/>
      <c r="W1225" s="88" t="n"/>
      <c r="X1225" s="89" t="n"/>
      <c r="Y1225" s="88" t="n"/>
      <c r="Z1225" s="89" t="n"/>
      <c r="AB1225" s="30">
        <f>IF($B1225="","",(COUNTIF(C1225:E1225,"?*")&lt;N(INDEX(Setup!$L$6:$L$23,18)))+(COUNTIF(G1225:I1225,"?*")&lt;N(INDEX(Setup!$L$6:$L$23,18)))+(COUNTIF(K1225:M1225,"?*")&lt;N(INDEX(Setup!$L$6:$L$23,18)))+(COUNTIF(O1225:Q1225,"?*")&lt;N(INDEX(Setup!$L$6:$L$23,18)))+(COUNTIF(S1225:U1225,"?*")&lt;N(INDEX(Setup!$L$6:$L$23,18)))+((W1225="")*(INDEX(Setup!$M$6:$M$23,18)="Y"))+((Y1225="")*(INDEX(Setup!$M$6:$M$23,18)="Y")))</f>
        <v/>
      </c>
      <c r="AC1225" s="91">
        <f>IF($B1225="","",IF(AB1225=0,"✓ covered","⚠ "&amp;AB1225&amp;IF(AB1225=1," gap"," gaps")))</f>
        <v/>
      </c>
    </row>
    <row r="1226" ht="18" customHeight="1">
      <c r="A1226" t="n">
        <v>25</v>
      </c>
      <c r="B1226" s="78" t="inlineStr">
        <is>
          <t>TEAM AVAILABILITY</t>
        </is>
      </c>
      <c r="C1226" s="92" t="inlineStr">
        <is>
          <t>Mon</t>
        </is>
      </c>
      <c r="D1226" s="93" t="n"/>
      <c r="E1226" s="93" t="n"/>
      <c r="F1226" s="94" t="n"/>
      <c r="G1226" s="92" t="inlineStr">
        <is>
          <t>Tue</t>
        </is>
      </c>
      <c r="H1226" s="93" t="n"/>
      <c r="I1226" s="93" t="n"/>
      <c r="J1226" s="94" t="n"/>
      <c r="K1226" s="92" t="inlineStr">
        <is>
          <t>Wed</t>
        </is>
      </c>
      <c r="L1226" s="93" t="n"/>
      <c r="M1226" s="93" t="n"/>
      <c r="N1226" s="94" t="n"/>
      <c r="O1226" s="92" t="inlineStr">
        <is>
          <t>Thu</t>
        </is>
      </c>
      <c r="P1226" s="93" t="n"/>
      <c r="Q1226" s="93" t="n"/>
      <c r="R1226" s="94" t="n"/>
      <c r="S1226" s="92" t="inlineStr">
        <is>
          <t>Fri</t>
        </is>
      </c>
      <c r="T1226" s="93" t="n"/>
      <c r="U1226" s="93" t="n"/>
      <c r="V1226" s="94" t="n"/>
      <c r="W1226" s="95" t="inlineStr">
        <is>
          <t>Sat</t>
        </is>
      </c>
      <c r="X1226" s="96" t="n"/>
      <c r="Y1226" s="95" t="inlineStr">
        <is>
          <t>Sun</t>
        </is>
      </c>
      <c r="Z1226" s="96" t="n"/>
      <c r="AB1226" s="97" t="inlineStr">
        <is>
          <t>Days rostered</t>
        </is>
      </c>
      <c r="AC1226" s="97" t="inlineStr">
        <is>
          <t>Conflicts</t>
        </is>
      </c>
    </row>
    <row r="1227" ht="15" customHeight="1">
      <c r="A1227" t="n">
        <v>25</v>
      </c>
      <c r="B1227" s="35">
        <f>IF(Setup!$B$6="","",Setup!$B$6)</f>
        <v/>
      </c>
      <c r="C1227" s="98" t="n"/>
      <c r="D1227" s="99" t="n"/>
      <c r="E1227" s="99" t="n"/>
      <c r="F1227" s="100" t="n"/>
      <c r="G1227" s="98" t="n"/>
      <c r="H1227" s="99" t="n"/>
      <c r="I1227" s="99" t="n"/>
      <c r="J1227" s="100" t="n"/>
      <c r="K1227" s="98" t="n"/>
      <c r="L1227" s="99" t="n"/>
      <c r="M1227" s="99" t="n"/>
      <c r="N1227" s="100" t="n"/>
      <c r="O1227" s="98" t="n"/>
      <c r="P1227" s="99" t="n"/>
      <c r="Q1227" s="99" t="n"/>
      <c r="R1227" s="100" t="n"/>
      <c r="S1227" s="98" t="n"/>
      <c r="T1227" s="99" t="n"/>
      <c r="U1227" s="99" t="n"/>
      <c r="V1227" s="100" t="n"/>
      <c r="W1227" s="98" t="n"/>
      <c r="X1227" s="100" t="n"/>
      <c r="Y1227" s="98" t="n"/>
      <c r="Z1227" s="100" t="n"/>
      <c r="AB1227" s="101">
        <f>IF($B1227="","",(COUNTIF(C1208:E1225,$B1227)+COUNTIF(C1208:E1225,$B1227&amp;" ~*")&gt;0)+(COUNTIF(G1208:I1225,$B1227)+COUNTIF(G1208:I1225,$B1227&amp;" ~*")&gt;0)+(COUNTIF(K1208:M1225,$B1227)+COUNTIF(K1208:M1225,$B1227&amp;" ~*")&gt;0)+(COUNTIF(O1208:Q1225,$B1227)+COUNTIF(O1208:Q1225,$B1227&amp;" ~*")&gt;0)+(COUNTIF(S1208:U1225,$B1227)+COUNTIF(S1208:U1225,$B1227&amp;" ~*")&gt;0)+(COUNTIF(W1208:W1225,$B1227)+COUNTIF(W1208:W1225,$B1227&amp;" ~*")&gt;0)+(COUNTIF(Y1208:Y1225,$B1227)+COUNTIF(Y1208:Y1225,$B1227&amp;" ~*")&gt;0))</f>
        <v/>
      </c>
      <c r="AC1227" s="36">
        <f>IF($B1227="","",(IFERROR(INDEX(Setup!$G$33:$G$40,MATCH(C1227,Setup!$B$33:$B$40,0)),0)=1)*(COUNTIF(C1208:E1225,$B1227)+COUNTIF(C1208:E1225,$B1227&amp;" ~*")&gt;0)+(IFERROR(INDEX(Setup!$G$33:$G$40,MATCH(G1227,Setup!$B$33:$B$40,0)),0)=1)*(COUNTIF(G1208:I1225,$B1227)+COUNTIF(G1208:I1225,$B1227&amp;" ~*")&gt;0)+(IFERROR(INDEX(Setup!$G$33:$G$40,MATCH(K1227,Setup!$B$33:$B$40,0)),0)=1)*(COUNTIF(K1208:M1225,$B1227)+COUNTIF(K1208:M1225,$B1227&amp;" ~*")&gt;0)+(IFERROR(INDEX(Setup!$G$33:$G$40,MATCH(O1227,Setup!$B$33:$B$40,0)),0)=1)*(COUNTIF(O1208:Q1225,$B1227)+COUNTIF(O1208:Q1225,$B1227&amp;" ~*")&gt;0)+(IFERROR(INDEX(Setup!$G$33:$G$40,MATCH(S1227,Setup!$B$33:$B$40,0)),0)=1)*(COUNTIF(S1208:U1225,$B1227)+COUNTIF(S1208:U1225,$B1227&amp;" ~*")&gt;0)+(IFERROR(INDEX(Setup!$G$33:$G$40,MATCH(W1227,Setup!$B$33:$B$40,0)),0)=1)*(COUNTIF(W1208:W1225,$B1227)+COUNTIF(W1208:W1225,$B1227&amp;" ~*")&gt;0)+(IFERROR(INDEX(Setup!$G$33:$G$40,MATCH(Y1227,Setup!$B$33:$B$40,0)),0)=1)*(COUNTIF(Y1208:Y1225,$B1227)+COUNTIF(Y1208:Y1225,$B1227&amp;" ~*")&gt;0))</f>
        <v/>
      </c>
    </row>
    <row r="1228" ht="15" customHeight="1">
      <c r="A1228" t="n">
        <v>25</v>
      </c>
      <c r="B1228" s="37">
        <f>IF(Setup!$B$7="","",Setup!$B$7)</f>
        <v/>
      </c>
      <c r="C1228" s="102" t="n"/>
      <c r="D1228" s="103" t="n"/>
      <c r="E1228" s="103" t="n"/>
      <c r="F1228" s="104" t="n"/>
      <c r="G1228" s="102" t="n"/>
      <c r="H1228" s="103" t="n"/>
      <c r="I1228" s="103" t="n"/>
      <c r="J1228" s="104" t="n"/>
      <c r="K1228" s="102" t="n"/>
      <c r="L1228" s="103" t="n"/>
      <c r="M1228" s="103" t="n"/>
      <c r="N1228" s="104" t="n"/>
      <c r="O1228" s="102" t="n"/>
      <c r="P1228" s="103" t="n"/>
      <c r="Q1228" s="103" t="n"/>
      <c r="R1228" s="104" t="n"/>
      <c r="S1228" s="102" t="n"/>
      <c r="T1228" s="103" t="n"/>
      <c r="U1228" s="103" t="n"/>
      <c r="V1228" s="104" t="n"/>
      <c r="W1228" s="102" t="n"/>
      <c r="X1228" s="104" t="n"/>
      <c r="Y1228" s="102" t="n"/>
      <c r="Z1228" s="104" t="n"/>
      <c r="AB1228" s="105">
        <f>IF($B1228="","",(COUNTIF(C1208:E1225,$B1228)+COUNTIF(C1208:E1225,$B1228&amp;" ~*")&gt;0)+(COUNTIF(G1208:I1225,$B1228)+COUNTIF(G1208:I1225,$B1228&amp;" ~*")&gt;0)+(COUNTIF(K1208:M1225,$B1228)+COUNTIF(K1208:M1225,$B1228&amp;" ~*")&gt;0)+(COUNTIF(O1208:Q1225,$B1228)+COUNTIF(O1208:Q1225,$B1228&amp;" ~*")&gt;0)+(COUNTIF(S1208:U1225,$B1228)+COUNTIF(S1208:U1225,$B1228&amp;" ~*")&gt;0)+(COUNTIF(W1208:W1225,$B1228)+COUNTIF(W1208:W1225,$B1228&amp;" ~*")&gt;0)+(COUNTIF(Y1208:Y1225,$B1228)+COUNTIF(Y1208:Y1225,$B1228&amp;" ~*")&gt;0))</f>
        <v/>
      </c>
      <c r="AC1228" s="38">
        <f>IF($B1228="","",(IFERROR(INDEX(Setup!$G$33:$G$40,MATCH(C1228,Setup!$B$33:$B$40,0)),0)=1)*(COUNTIF(C1208:E1225,$B1228)+COUNTIF(C1208:E1225,$B1228&amp;" ~*")&gt;0)+(IFERROR(INDEX(Setup!$G$33:$G$40,MATCH(G1228,Setup!$B$33:$B$40,0)),0)=1)*(COUNTIF(G1208:I1225,$B1228)+COUNTIF(G1208:I1225,$B1228&amp;" ~*")&gt;0)+(IFERROR(INDEX(Setup!$G$33:$G$40,MATCH(K1228,Setup!$B$33:$B$40,0)),0)=1)*(COUNTIF(K1208:M1225,$B1228)+COUNTIF(K1208:M1225,$B1228&amp;" ~*")&gt;0)+(IFERROR(INDEX(Setup!$G$33:$G$40,MATCH(O1228,Setup!$B$33:$B$40,0)),0)=1)*(COUNTIF(O1208:Q1225,$B1228)+COUNTIF(O1208:Q1225,$B1228&amp;" ~*")&gt;0)+(IFERROR(INDEX(Setup!$G$33:$G$40,MATCH(S1228,Setup!$B$33:$B$40,0)),0)=1)*(COUNTIF(S1208:U1225,$B1228)+COUNTIF(S1208:U1225,$B1228&amp;" ~*")&gt;0)+(IFERROR(INDEX(Setup!$G$33:$G$40,MATCH(W1228,Setup!$B$33:$B$40,0)),0)=1)*(COUNTIF(W1208:W1225,$B1228)+COUNTIF(W1208:W1225,$B1228&amp;" ~*")&gt;0)+(IFERROR(INDEX(Setup!$G$33:$G$40,MATCH(Y1228,Setup!$B$33:$B$40,0)),0)=1)*(COUNTIF(Y1208:Y1225,$B1228)+COUNTIF(Y1208:Y1225,$B1228&amp;" ~*")&gt;0))</f>
        <v/>
      </c>
    </row>
    <row r="1229" ht="15" customHeight="1">
      <c r="A1229" t="n">
        <v>25</v>
      </c>
      <c r="B1229" s="35">
        <f>IF(Setup!$B$8="","",Setup!$B$8)</f>
        <v/>
      </c>
      <c r="C1229" s="98" t="n"/>
      <c r="D1229" s="99" t="n"/>
      <c r="E1229" s="99" t="n"/>
      <c r="F1229" s="100" t="n"/>
      <c r="G1229" s="98" t="n"/>
      <c r="H1229" s="99" t="n"/>
      <c r="I1229" s="99" t="n"/>
      <c r="J1229" s="100" t="n"/>
      <c r="K1229" s="98" t="n"/>
      <c r="L1229" s="99" t="n"/>
      <c r="M1229" s="99" t="n"/>
      <c r="N1229" s="100" t="n"/>
      <c r="O1229" s="98" t="n"/>
      <c r="P1229" s="99" t="n"/>
      <c r="Q1229" s="99" t="n"/>
      <c r="R1229" s="100" t="n"/>
      <c r="S1229" s="98" t="n"/>
      <c r="T1229" s="99" t="n"/>
      <c r="U1229" s="99" t="n"/>
      <c r="V1229" s="100" t="n"/>
      <c r="W1229" s="98" t="n"/>
      <c r="X1229" s="100" t="n"/>
      <c r="Y1229" s="98" t="n"/>
      <c r="Z1229" s="100" t="n"/>
      <c r="AB1229" s="101">
        <f>IF($B1229="","",(COUNTIF(C1208:E1225,$B1229)+COUNTIF(C1208:E1225,$B1229&amp;" ~*")&gt;0)+(COUNTIF(G1208:I1225,$B1229)+COUNTIF(G1208:I1225,$B1229&amp;" ~*")&gt;0)+(COUNTIF(K1208:M1225,$B1229)+COUNTIF(K1208:M1225,$B1229&amp;" ~*")&gt;0)+(COUNTIF(O1208:Q1225,$B1229)+COUNTIF(O1208:Q1225,$B1229&amp;" ~*")&gt;0)+(COUNTIF(S1208:U1225,$B1229)+COUNTIF(S1208:U1225,$B1229&amp;" ~*")&gt;0)+(COUNTIF(W1208:W1225,$B1229)+COUNTIF(W1208:W1225,$B1229&amp;" ~*")&gt;0)+(COUNTIF(Y1208:Y1225,$B1229)+COUNTIF(Y1208:Y1225,$B1229&amp;" ~*")&gt;0))</f>
        <v/>
      </c>
      <c r="AC1229" s="36">
        <f>IF($B1229="","",(IFERROR(INDEX(Setup!$G$33:$G$40,MATCH(C1229,Setup!$B$33:$B$40,0)),0)=1)*(COUNTIF(C1208:E1225,$B1229)+COUNTIF(C1208:E1225,$B1229&amp;" ~*")&gt;0)+(IFERROR(INDEX(Setup!$G$33:$G$40,MATCH(G1229,Setup!$B$33:$B$40,0)),0)=1)*(COUNTIF(G1208:I1225,$B1229)+COUNTIF(G1208:I1225,$B1229&amp;" ~*")&gt;0)+(IFERROR(INDEX(Setup!$G$33:$G$40,MATCH(K1229,Setup!$B$33:$B$40,0)),0)=1)*(COUNTIF(K1208:M1225,$B1229)+COUNTIF(K1208:M1225,$B1229&amp;" ~*")&gt;0)+(IFERROR(INDEX(Setup!$G$33:$G$40,MATCH(O1229,Setup!$B$33:$B$40,0)),0)=1)*(COUNTIF(O1208:Q1225,$B1229)+COUNTIF(O1208:Q1225,$B1229&amp;" ~*")&gt;0)+(IFERROR(INDEX(Setup!$G$33:$G$40,MATCH(S1229,Setup!$B$33:$B$40,0)),0)=1)*(COUNTIF(S1208:U1225,$B1229)+COUNTIF(S1208:U1225,$B1229&amp;" ~*")&gt;0)+(IFERROR(INDEX(Setup!$G$33:$G$40,MATCH(W1229,Setup!$B$33:$B$40,0)),0)=1)*(COUNTIF(W1208:W1225,$B1229)+COUNTIF(W1208:W1225,$B1229&amp;" ~*")&gt;0)+(IFERROR(INDEX(Setup!$G$33:$G$40,MATCH(Y1229,Setup!$B$33:$B$40,0)),0)=1)*(COUNTIF(Y1208:Y1225,$B1229)+COUNTIF(Y1208:Y1225,$B1229&amp;" ~*")&gt;0))</f>
        <v/>
      </c>
    </row>
    <row r="1230" ht="15" customHeight="1">
      <c r="A1230" t="n">
        <v>25</v>
      </c>
      <c r="B1230" s="37">
        <f>IF(Setup!$B$9="","",Setup!$B$9)</f>
        <v/>
      </c>
      <c r="C1230" s="102" t="n"/>
      <c r="D1230" s="103" t="n"/>
      <c r="E1230" s="103" t="n"/>
      <c r="F1230" s="104" t="n"/>
      <c r="G1230" s="102" t="n"/>
      <c r="H1230" s="103" t="n"/>
      <c r="I1230" s="103" t="n"/>
      <c r="J1230" s="104" t="n"/>
      <c r="K1230" s="102" t="n"/>
      <c r="L1230" s="103" t="n"/>
      <c r="M1230" s="103" t="n"/>
      <c r="N1230" s="104" t="n"/>
      <c r="O1230" s="102" t="n"/>
      <c r="P1230" s="103" t="n"/>
      <c r="Q1230" s="103" t="n"/>
      <c r="R1230" s="104" t="n"/>
      <c r="S1230" s="102" t="n"/>
      <c r="T1230" s="103" t="n"/>
      <c r="U1230" s="103" t="n"/>
      <c r="V1230" s="104" t="n"/>
      <c r="W1230" s="102" t="n"/>
      <c r="X1230" s="104" t="n"/>
      <c r="Y1230" s="102" t="n"/>
      <c r="Z1230" s="104" t="n"/>
      <c r="AB1230" s="105">
        <f>IF($B1230="","",(COUNTIF(C1208:E1225,$B1230)+COUNTIF(C1208:E1225,$B1230&amp;" ~*")&gt;0)+(COUNTIF(G1208:I1225,$B1230)+COUNTIF(G1208:I1225,$B1230&amp;" ~*")&gt;0)+(COUNTIF(K1208:M1225,$B1230)+COUNTIF(K1208:M1225,$B1230&amp;" ~*")&gt;0)+(COUNTIF(O1208:Q1225,$B1230)+COUNTIF(O1208:Q1225,$B1230&amp;" ~*")&gt;0)+(COUNTIF(S1208:U1225,$B1230)+COUNTIF(S1208:U1225,$B1230&amp;" ~*")&gt;0)+(COUNTIF(W1208:W1225,$B1230)+COUNTIF(W1208:W1225,$B1230&amp;" ~*")&gt;0)+(COUNTIF(Y1208:Y1225,$B1230)+COUNTIF(Y1208:Y1225,$B1230&amp;" ~*")&gt;0))</f>
        <v/>
      </c>
      <c r="AC1230" s="38">
        <f>IF($B1230="","",(IFERROR(INDEX(Setup!$G$33:$G$40,MATCH(C1230,Setup!$B$33:$B$40,0)),0)=1)*(COUNTIF(C1208:E1225,$B1230)+COUNTIF(C1208:E1225,$B1230&amp;" ~*")&gt;0)+(IFERROR(INDEX(Setup!$G$33:$G$40,MATCH(G1230,Setup!$B$33:$B$40,0)),0)=1)*(COUNTIF(G1208:I1225,$B1230)+COUNTIF(G1208:I1225,$B1230&amp;" ~*")&gt;0)+(IFERROR(INDEX(Setup!$G$33:$G$40,MATCH(K1230,Setup!$B$33:$B$40,0)),0)=1)*(COUNTIF(K1208:M1225,$B1230)+COUNTIF(K1208:M1225,$B1230&amp;" ~*")&gt;0)+(IFERROR(INDEX(Setup!$G$33:$G$40,MATCH(O1230,Setup!$B$33:$B$40,0)),0)=1)*(COUNTIF(O1208:Q1225,$B1230)+COUNTIF(O1208:Q1225,$B1230&amp;" ~*")&gt;0)+(IFERROR(INDEX(Setup!$G$33:$G$40,MATCH(S1230,Setup!$B$33:$B$40,0)),0)=1)*(COUNTIF(S1208:U1225,$B1230)+COUNTIF(S1208:U1225,$B1230&amp;" ~*")&gt;0)+(IFERROR(INDEX(Setup!$G$33:$G$40,MATCH(W1230,Setup!$B$33:$B$40,0)),0)=1)*(COUNTIF(W1208:W1225,$B1230)+COUNTIF(W1208:W1225,$B1230&amp;" ~*")&gt;0)+(IFERROR(INDEX(Setup!$G$33:$G$40,MATCH(Y1230,Setup!$B$33:$B$40,0)),0)=1)*(COUNTIF(Y1208:Y1225,$B1230)+COUNTIF(Y1208:Y1225,$B1230&amp;" ~*")&gt;0))</f>
        <v/>
      </c>
    </row>
    <row r="1231" ht="15" customHeight="1">
      <c r="A1231" t="n">
        <v>25</v>
      </c>
      <c r="B1231" s="35">
        <f>IF(Setup!$B$10="","",Setup!$B$10)</f>
        <v/>
      </c>
      <c r="C1231" s="98" t="n"/>
      <c r="D1231" s="99" t="n"/>
      <c r="E1231" s="99" t="n"/>
      <c r="F1231" s="100" t="n"/>
      <c r="G1231" s="98" t="n"/>
      <c r="H1231" s="99" t="n"/>
      <c r="I1231" s="99" t="n"/>
      <c r="J1231" s="100" t="n"/>
      <c r="K1231" s="98" t="n"/>
      <c r="L1231" s="99" t="n"/>
      <c r="M1231" s="99" t="n"/>
      <c r="N1231" s="100" t="n"/>
      <c r="O1231" s="98" t="n"/>
      <c r="P1231" s="99" t="n"/>
      <c r="Q1231" s="99" t="n"/>
      <c r="R1231" s="100" t="n"/>
      <c r="S1231" s="98" t="n"/>
      <c r="T1231" s="99" t="n"/>
      <c r="U1231" s="99" t="n"/>
      <c r="V1231" s="100" t="n"/>
      <c r="W1231" s="98" t="n"/>
      <c r="X1231" s="100" t="n"/>
      <c r="Y1231" s="98" t="n"/>
      <c r="Z1231" s="100" t="n"/>
      <c r="AB1231" s="101">
        <f>IF($B1231="","",(COUNTIF(C1208:E1225,$B1231)+COUNTIF(C1208:E1225,$B1231&amp;" ~*")&gt;0)+(COUNTIF(G1208:I1225,$B1231)+COUNTIF(G1208:I1225,$B1231&amp;" ~*")&gt;0)+(COUNTIF(K1208:M1225,$B1231)+COUNTIF(K1208:M1225,$B1231&amp;" ~*")&gt;0)+(COUNTIF(O1208:Q1225,$B1231)+COUNTIF(O1208:Q1225,$B1231&amp;" ~*")&gt;0)+(COUNTIF(S1208:U1225,$B1231)+COUNTIF(S1208:U1225,$B1231&amp;" ~*")&gt;0)+(COUNTIF(W1208:W1225,$B1231)+COUNTIF(W1208:W1225,$B1231&amp;" ~*")&gt;0)+(COUNTIF(Y1208:Y1225,$B1231)+COUNTIF(Y1208:Y1225,$B1231&amp;" ~*")&gt;0))</f>
        <v/>
      </c>
      <c r="AC1231" s="36">
        <f>IF($B1231="","",(IFERROR(INDEX(Setup!$G$33:$G$40,MATCH(C1231,Setup!$B$33:$B$40,0)),0)=1)*(COUNTIF(C1208:E1225,$B1231)+COUNTIF(C1208:E1225,$B1231&amp;" ~*")&gt;0)+(IFERROR(INDEX(Setup!$G$33:$G$40,MATCH(G1231,Setup!$B$33:$B$40,0)),0)=1)*(COUNTIF(G1208:I1225,$B1231)+COUNTIF(G1208:I1225,$B1231&amp;" ~*")&gt;0)+(IFERROR(INDEX(Setup!$G$33:$G$40,MATCH(K1231,Setup!$B$33:$B$40,0)),0)=1)*(COUNTIF(K1208:M1225,$B1231)+COUNTIF(K1208:M1225,$B1231&amp;" ~*")&gt;0)+(IFERROR(INDEX(Setup!$G$33:$G$40,MATCH(O1231,Setup!$B$33:$B$40,0)),0)=1)*(COUNTIF(O1208:Q1225,$B1231)+COUNTIF(O1208:Q1225,$B1231&amp;" ~*")&gt;0)+(IFERROR(INDEX(Setup!$G$33:$G$40,MATCH(S1231,Setup!$B$33:$B$40,0)),0)=1)*(COUNTIF(S1208:U1225,$B1231)+COUNTIF(S1208:U1225,$B1231&amp;" ~*")&gt;0)+(IFERROR(INDEX(Setup!$G$33:$G$40,MATCH(W1231,Setup!$B$33:$B$40,0)),0)=1)*(COUNTIF(W1208:W1225,$B1231)+COUNTIF(W1208:W1225,$B1231&amp;" ~*")&gt;0)+(IFERROR(INDEX(Setup!$G$33:$G$40,MATCH(Y1231,Setup!$B$33:$B$40,0)),0)=1)*(COUNTIF(Y1208:Y1225,$B1231)+COUNTIF(Y1208:Y1225,$B1231&amp;" ~*")&gt;0))</f>
        <v/>
      </c>
    </row>
    <row r="1232" ht="15" customHeight="1">
      <c r="A1232" t="n">
        <v>25</v>
      </c>
      <c r="B1232" s="37">
        <f>IF(Setup!$B$11="","",Setup!$B$11)</f>
        <v/>
      </c>
      <c r="C1232" s="102" t="n"/>
      <c r="D1232" s="103" t="n"/>
      <c r="E1232" s="103" t="n"/>
      <c r="F1232" s="104" t="n"/>
      <c r="G1232" s="102" t="n"/>
      <c r="H1232" s="103" t="n"/>
      <c r="I1232" s="103" t="n"/>
      <c r="J1232" s="104" t="n"/>
      <c r="K1232" s="102" t="n"/>
      <c r="L1232" s="103" t="n"/>
      <c r="M1232" s="103" t="n"/>
      <c r="N1232" s="104" t="n"/>
      <c r="O1232" s="102" t="n"/>
      <c r="P1232" s="103" t="n"/>
      <c r="Q1232" s="103" t="n"/>
      <c r="R1232" s="104" t="n"/>
      <c r="S1232" s="102" t="n"/>
      <c r="T1232" s="103" t="n"/>
      <c r="U1232" s="103" t="n"/>
      <c r="V1232" s="104" t="n"/>
      <c r="W1232" s="102" t="n"/>
      <c r="X1232" s="104" t="n"/>
      <c r="Y1232" s="102" t="n"/>
      <c r="Z1232" s="104" t="n"/>
      <c r="AB1232" s="105">
        <f>IF($B1232="","",(COUNTIF(C1208:E1225,$B1232)+COUNTIF(C1208:E1225,$B1232&amp;" ~*")&gt;0)+(COUNTIF(G1208:I1225,$B1232)+COUNTIF(G1208:I1225,$B1232&amp;" ~*")&gt;0)+(COUNTIF(K1208:M1225,$B1232)+COUNTIF(K1208:M1225,$B1232&amp;" ~*")&gt;0)+(COUNTIF(O1208:Q1225,$B1232)+COUNTIF(O1208:Q1225,$B1232&amp;" ~*")&gt;0)+(COUNTIF(S1208:U1225,$B1232)+COUNTIF(S1208:U1225,$B1232&amp;" ~*")&gt;0)+(COUNTIF(W1208:W1225,$B1232)+COUNTIF(W1208:W1225,$B1232&amp;" ~*")&gt;0)+(COUNTIF(Y1208:Y1225,$B1232)+COUNTIF(Y1208:Y1225,$B1232&amp;" ~*")&gt;0))</f>
        <v/>
      </c>
      <c r="AC1232" s="38">
        <f>IF($B1232="","",(IFERROR(INDEX(Setup!$G$33:$G$40,MATCH(C1232,Setup!$B$33:$B$40,0)),0)=1)*(COUNTIF(C1208:E1225,$B1232)+COUNTIF(C1208:E1225,$B1232&amp;" ~*")&gt;0)+(IFERROR(INDEX(Setup!$G$33:$G$40,MATCH(G1232,Setup!$B$33:$B$40,0)),0)=1)*(COUNTIF(G1208:I1225,$B1232)+COUNTIF(G1208:I1225,$B1232&amp;" ~*")&gt;0)+(IFERROR(INDEX(Setup!$G$33:$G$40,MATCH(K1232,Setup!$B$33:$B$40,0)),0)=1)*(COUNTIF(K1208:M1225,$B1232)+COUNTIF(K1208:M1225,$B1232&amp;" ~*")&gt;0)+(IFERROR(INDEX(Setup!$G$33:$G$40,MATCH(O1232,Setup!$B$33:$B$40,0)),0)=1)*(COUNTIF(O1208:Q1225,$B1232)+COUNTIF(O1208:Q1225,$B1232&amp;" ~*")&gt;0)+(IFERROR(INDEX(Setup!$G$33:$G$40,MATCH(S1232,Setup!$B$33:$B$40,0)),0)=1)*(COUNTIF(S1208:U1225,$B1232)+COUNTIF(S1208:U1225,$B1232&amp;" ~*")&gt;0)+(IFERROR(INDEX(Setup!$G$33:$G$40,MATCH(W1232,Setup!$B$33:$B$40,0)),0)=1)*(COUNTIF(W1208:W1225,$B1232)+COUNTIF(W1208:W1225,$B1232&amp;" ~*")&gt;0)+(IFERROR(INDEX(Setup!$G$33:$G$40,MATCH(Y1232,Setup!$B$33:$B$40,0)),0)=1)*(COUNTIF(Y1208:Y1225,$B1232)+COUNTIF(Y1208:Y1225,$B1232&amp;" ~*")&gt;0))</f>
        <v/>
      </c>
    </row>
    <row r="1233" ht="15" customHeight="1">
      <c r="A1233" t="n">
        <v>25</v>
      </c>
      <c r="B1233" s="35">
        <f>IF(Setup!$B$12="","",Setup!$B$12)</f>
        <v/>
      </c>
      <c r="C1233" s="98" t="n"/>
      <c r="D1233" s="99" t="n"/>
      <c r="E1233" s="99" t="n"/>
      <c r="F1233" s="100" t="n"/>
      <c r="G1233" s="98" t="n"/>
      <c r="H1233" s="99" t="n"/>
      <c r="I1233" s="99" t="n"/>
      <c r="J1233" s="100" t="n"/>
      <c r="K1233" s="98" t="n"/>
      <c r="L1233" s="99" t="n"/>
      <c r="M1233" s="99" t="n"/>
      <c r="N1233" s="100" t="n"/>
      <c r="O1233" s="98" t="n"/>
      <c r="P1233" s="99" t="n"/>
      <c r="Q1233" s="99" t="n"/>
      <c r="R1233" s="100" t="n"/>
      <c r="S1233" s="98" t="n"/>
      <c r="T1233" s="99" t="n"/>
      <c r="U1233" s="99" t="n"/>
      <c r="V1233" s="100" t="n"/>
      <c r="W1233" s="98" t="n"/>
      <c r="X1233" s="100" t="n"/>
      <c r="Y1233" s="98" t="n"/>
      <c r="Z1233" s="100" t="n"/>
      <c r="AB1233" s="101">
        <f>IF($B1233="","",(COUNTIF(C1208:E1225,$B1233)+COUNTIF(C1208:E1225,$B1233&amp;" ~*")&gt;0)+(COUNTIF(G1208:I1225,$B1233)+COUNTIF(G1208:I1225,$B1233&amp;" ~*")&gt;0)+(COUNTIF(K1208:M1225,$B1233)+COUNTIF(K1208:M1225,$B1233&amp;" ~*")&gt;0)+(COUNTIF(O1208:Q1225,$B1233)+COUNTIF(O1208:Q1225,$B1233&amp;" ~*")&gt;0)+(COUNTIF(S1208:U1225,$B1233)+COUNTIF(S1208:U1225,$B1233&amp;" ~*")&gt;0)+(COUNTIF(W1208:W1225,$B1233)+COUNTIF(W1208:W1225,$B1233&amp;" ~*")&gt;0)+(COUNTIF(Y1208:Y1225,$B1233)+COUNTIF(Y1208:Y1225,$B1233&amp;" ~*")&gt;0))</f>
        <v/>
      </c>
      <c r="AC1233" s="36">
        <f>IF($B1233="","",(IFERROR(INDEX(Setup!$G$33:$G$40,MATCH(C1233,Setup!$B$33:$B$40,0)),0)=1)*(COUNTIF(C1208:E1225,$B1233)+COUNTIF(C1208:E1225,$B1233&amp;" ~*")&gt;0)+(IFERROR(INDEX(Setup!$G$33:$G$40,MATCH(G1233,Setup!$B$33:$B$40,0)),0)=1)*(COUNTIF(G1208:I1225,$B1233)+COUNTIF(G1208:I1225,$B1233&amp;" ~*")&gt;0)+(IFERROR(INDEX(Setup!$G$33:$G$40,MATCH(K1233,Setup!$B$33:$B$40,0)),0)=1)*(COUNTIF(K1208:M1225,$B1233)+COUNTIF(K1208:M1225,$B1233&amp;" ~*")&gt;0)+(IFERROR(INDEX(Setup!$G$33:$G$40,MATCH(O1233,Setup!$B$33:$B$40,0)),0)=1)*(COUNTIF(O1208:Q1225,$B1233)+COUNTIF(O1208:Q1225,$B1233&amp;" ~*")&gt;0)+(IFERROR(INDEX(Setup!$G$33:$G$40,MATCH(S1233,Setup!$B$33:$B$40,0)),0)=1)*(COUNTIF(S1208:U1225,$B1233)+COUNTIF(S1208:U1225,$B1233&amp;" ~*")&gt;0)+(IFERROR(INDEX(Setup!$G$33:$G$40,MATCH(W1233,Setup!$B$33:$B$40,0)),0)=1)*(COUNTIF(W1208:W1225,$B1233)+COUNTIF(W1208:W1225,$B1233&amp;" ~*")&gt;0)+(IFERROR(INDEX(Setup!$G$33:$G$40,MATCH(Y1233,Setup!$B$33:$B$40,0)),0)=1)*(COUNTIF(Y1208:Y1225,$B1233)+COUNTIF(Y1208:Y1225,$B1233&amp;" ~*")&gt;0))</f>
        <v/>
      </c>
    </row>
    <row r="1234" ht="15" customHeight="1">
      <c r="A1234" t="n">
        <v>25</v>
      </c>
      <c r="B1234" s="37">
        <f>IF(Setup!$B$13="","",Setup!$B$13)</f>
        <v/>
      </c>
      <c r="C1234" s="102" t="n"/>
      <c r="D1234" s="103" t="n"/>
      <c r="E1234" s="103" t="n"/>
      <c r="F1234" s="104" t="n"/>
      <c r="G1234" s="102" t="n"/>
      <c r="H1234" s="103" t="n"/>
      <c r="I1234" s="103" t="n"/>
      <c r="J1234" s="104" t="n"/>
      <c r="K1234" s="102" t="n"/>
      <c r="L1234" s="103" t="n"/>
      <c r="M1234" s="103" t="n"/>
      <c r="N1234" s="104" t="n"/>
      <c r="O1234" s="102" t="n"/>
      <c r="P1234" s="103" t="n"/>
      <c r="Q1234" s="103" t="n"/>
      <c r="R1234" s="104" t="n"/>
      <c r="S1234" s="102" t="n"/>
      <c r="T1234" s="103" t="n"/>
      <c r="U1234" s="103" t="n"/>
      <c r="V1234" s="104" t="n"/>
      <c r="W1234" s="102" t="n"/>
      <c r="X1234" s="104" t="n"/>
      <c r="Y1234" s="102" t="n"/>
      <c r="Z1234" s="104" t="n"/>
      <c r="AB1234" s="105">
        <f>IF($B1234="","",(COUNTIF(C1208:E1225,$B1234)+COUNTIF(C1208:E1225,$B1234&amp;" ~*")&gt;0)+(COUNTIF(G1208:I1225,$B1234)+COUNTIF(G1208:I1225,$B1234&amp;" ~*")&gt;0)+(COUNTIF(K1208:M1225,$B1234)+COUNTIF(K1208:M1225,$B1234&amp;" ~*")&gt;0)+(COUNTIF(O1208:Q1225,$B1234)+COUNTIF(O1208:Q1225,$B1234&amp;" ~*")&gt;0)+(COUNTIF(S1208:U1225,$B1234)+COUNTIF(S1208:U1225,$B1234&amp;" ~*")&gt;0)+(COUNTIF(W1208:W1225,$B1234)+COUNTIF(W1208:W1225,$B1234&amp;" ~*")&gt;0)+(COUNTIF(Y1208:Y1225,$B1234)+COUNTIF(Y1208:Y1225,$B1234&amp;" ~*")&gt;0))</f>
        <v/>
      </c>
      <c r="AC1234" s="38">
        <f>IF($B1234="","",(IFERROR(INDEX(Setup!$G$33:$G$40,MATCH(C1234,Setup!$B$33:$B$40,0)),0)=1)*(COUNTIF(C1208:E1225,$B1234)+COUNTIF(C1208:E1225,$B1234&amp;" ~*")&gt;0)+(IFERROR(INDEX(Setup!$G$33:$G$40,MATCH(G1234,Setup!$B$33:$B$40,0)),0)=1)*(COUNTIF(G1208:I1225,$B1234)+COUNTIF(G1208:I1225,$B1234&amp;" ~*")&gt;0)+(IFERROR(INDEX(Setup!$G$33:$G$40,MATCH(K1234,Setup!$B$33:$B$40,0)),0)=1)*(COUNTIF(K1208:M1225,$B1234)+COUNTIF(K1208:M1225,$B1234&amp;" ~*")&gt;0)+(IFERROR(INDEX(Setup!$G$33:$G$40,MATCH(O1234,Setup!$B$33:$B$40,0)),0)=1)*(COUNTIF(O1208:Q1225,$B1234)+COUNTIF(O1208:Q1225,$B1234&amp;" ~*")&gt;0)+(IFERROR(INDEX(Setup!$G$33:$G$40,MATCH(S1234,Setup!$B$33:$B$40,0)),0)=1)*(COUNTIF(S1208:U1225,$B1234)+COUNTIF(S1208:U1225,$B1234&amp;" ~*")&gt;0)+(IFERROR(INDEX(Setup!$G$33:$G$40,MATCH(W1234,Setup!$B$33:$B$40,0)),0)=1)*(COUNTIF(W1208:W1225,$B1234)+COUNTIF(W1208:W1225,$B1234&amp;" ~*")&gt;0)+(IFERROR(INDEX(Setup!$G$33:$G$40,MATCH(Y1234,Setup!$B$33:$B$40,0)),0)=1)*(COUNTIF(Y1208:Y1225,$B1234)+COUNTIF(Y1208:Y1225,$B1234&amp;" ~*")&gt;0))</f>
        <v/>
      </c>
    </row>
    <row r="1235" ht="15" customHeight="1">
      <c r="A1235" t="n">
        <v>25</v>
      </c>
      <c r="B1235" s="35">
        <f>IF(Setup!$B$14="","",Setup!$B$14)</f>
        <v/>
      </c>
      <c r="C1235" s="98" t="n"/>
      <c r="D1235" s="99" t="n"/>
      <c r="E1235" s="99" t="n"/>
      <c r="F1235" s="100" t="n"/>
      <c r="G1235" s="98" t="n"/>
      <c r="H1235" s="99" t="n"/>
      <c r="I1235" s="99" t="n"/>
      <c r="J1235" s="100" t="n"/>
      <c r="K1235" s="98" t="n"/>
      <c r="L1235" s="99" t="n"/>
      <c r="M1235" s="99" t="n"/>
      <c r="N1235" s="100" t="n"/>
      <c r="O1235" s="98" t="n"/>
      <c r="P1235" s="99" t="n"/>
      <c r="Q1235" s="99" t="n"/>
      <c r="R1235" s="100" t="n"/>
      <c r="S1235" s="98" t="n"/>
      <c r="T1235" s="99" t="n"/>
      <c r="U1235" s="99" t="n"/>
      <c r="V1235" s="100" t="n"/>
      <c r="W1235" s="98" t="n"/>
      <c r="X1235" s="100" t="n"/>
      <c r="Y1235" s="98" t="n"/>
      <c r="Z1235" s="100" t="n"/>
      <c r="AB1235" s="101">
        <f>IF($B1235="","",(COUNTIF(C1208:E1225,$B1235)+COUNTIF(C1208:E1225,$B1235&amp;" ~*")&gt;0)+(COUNTIF(G1208:I1225,$B1235)+COUNTIF(G1208:I1225,$B1235&amp;" ~*")&gt;0)+(COUNTIF(K1208:M1225,$B1235)+COUNTIF(K1208:M1225,$B1235&amp;" ~*")&gt;0)+(COUNTIF(O1208:Q1225,$B1235)+COUNTIF(O1208:Q1225,$B1235&amp;" ~*")&gt;0)+(COUNTIF(S1208:U1225,$B1235)+COUNTIF(S1208:U1225,$B1235&amp;" ~*")&gt;0)+(COUNTIF(W1208:W1225,$B1235)+COUNTIF(W1208:W1225,$B1235&amp;" ~*")&gt;0)+(COUNTIF(Y1208:Y1225,$B1235)+COUNTIF(Y1208:Y1225,$B1235&amp;" ~*")&gt;0))</f>
        <v/>
      </c>
      <c r="AC1235" s="36">
        <f>IF($B1235="","",(IFERROR(INDEX(Setup!$G$33:$G$40,MATCH(C1235,Setup!$B$33:$B$40,0)),0)=1)*(COUNTIF(C1208:E1225,$B1235)+COUNTIF(C1208:E1225,$B1235&amp;" ~*")&gt;0)+(IFERROR(INDEX(Setup!$G$33:$G$40,MATCH(G1235,Setup!$B$33:$B$40,0)),0)=1)*(COUNTIF(G1208:I1225,$B1235)+COUNTIF(G1208:I1225,$B1235&amp;" ~*")&gt;0)+(IFERROR(INDEX(Setup!$G$33:$G$40,MATCH(K1235,Setup!$B$33:$B$40,0)),0)=1)*(COUNTIF(K1208:M1225,$B1235)+COUNTIF(K1208:M1225,$B1235&amp;" ~*")&gt;0)+(IFERROR(INDEX(Setup!$G$33:$G$40,MATCH(O1235,Setup!$B$33:$B$40,0)),0)=1)*(COUNTIF(O1208:Q1225,$B1235)+COUNTIF(O1208:Q1225,$B1235&amp;" ~*")&gt;0)+(IFERROR(INDEX(Setup!$G$33:$G$40,MATCH(S1235,Setup!$B$33:$B$40,0)),0)=1)*(COUNTIF(S1208:U1225,$B1235)+COUNTIF(S1208:U1225,$B1235&amp;" ~*")&gt;0)+(IFERROR(INDEX(Setup!$G$33:$G$40,MATCH(W1235,Setup!$B$33:$B$40,0)),0)=1)*(COUNTIF(W1208:W1225,$B1235)+COUNTIF(W1208:W1225,$B1235&amp;" ~*")&gt;0)+(IFERROR(INDEX(Setup!$G$33:$G$40,MATCH(Y1235,Setup!$B$33:$B$40,0)),0)=1)*(COUNTIF(Y1208:Y1225,$B1235)+COUNTIF(Y1208:Y1225,$B1235&amp;" ~*")&gt;0))</f>
        <v/>
      </c>
    </row>
    <row r="1236" ht="15" customHeight="1">
      <c r="A1236" t="n">
        <v>25</v>
      </c>
      <c r="B1236" s="37">
        <f>IF(Setup!$B$15="","",Setup!$B$15)</f>
        <v/>
      </c>
      <c r="C1236" s="102" t="n"/>
      <c r="D1236" s="103" t="n"/>
      <c r="E1236" s="103" t="n"/>
      <c r="F1236" s="104" t="n"/>
      <c r="G1236" s="102" t="n"/>
      <c r="H1236" s="103" t="n"/>
      <c r="I1236" s="103" t="n"/>
      <c r="J1236" s="104" t="n"/>
      <c r="K1236" s="102" t="n"/>
      <c r="L1236" s="103" t="n"/>
      <c r="M1236" s="103" t="n"/>
      <c r="N1236" s="104" t="n"/>
      <c r="O1236" s="102" t="n"/>
      <c r="P1236" s="103" t="n"/>
      <c r="Q1236" s="103" t="n"/>
      <c r="R1236" s="104" t="n"/>
      <c r="S1236" s="102" t="n"/>
      <c r="T1236" s="103" t="n"/>
      <c r="U1236" s="103" t="n"/>
      <c r="V1236" s="104" t="n"/>
      <c r="W1236" s="102" t="n"/>
      <c r="X1236" s="104" t="n"/>
      <c r="Y1236" s="102" t="n"/>
      <c r="Z1236" s="104" t="n"/>
      <c r="AB1236" s="105">
        <f>IF($B1236="","",(COUNTIF(C1208:E1225,$B1236)+COUNTIF(C1208:E1225,$B1236&amp;" ~*")&gt;0)+(COUNTIF(G1208:I1225,$B1236)+COUNTIF(G1208:I1225,$B1236&amp;" ~*")&gt;0)+(COUNTIF(K1208:M1225,$B1236)+COUNTIF(K1208:M1225,$B1236&amp;" ~*")&gt;0)+(COUNTIF(O1208:Q1225,$B1236)+COUNTIF(O1208:Q1225,$B1236&amp;" ~*")&gt;0)+(COUNTIF(S1208:U1225,$B1236)+COUNTIF(S1208:U1225,$B1236&amp;" ~*")&gt;0)+(COUNTIF(W1208:W1225,$B1236)+COUNTIF(W1208:W1225,$B1236&amp;" ~*")&gt;0)+(COUNTIF(Y1208:Y1225,$B1236)+COUNTIF(Y1208:Y1225,$B1236&amp;" ~*")&gt;0))</f>
        <v/>
      </c>
      <c r="AC1236" s="38">
        <f>IF($B1236="","",(IFERROR(INDEX(Setup!$G$33:$G$40,MATCH(C1236,Setup!$B$33:$B$40,0)),0)=1)*(COUNTIF(C1208:E1225,$B1236)+COUNTIF(C1208:E1225,$B1236&amp;" ~*")&gt;0)+(IFERROR(INDEX(Setup!$G$33:$G$40,MATCH(G1236,Setup!$B$33:$B$40,0)),0)=1)*(COUNTIF(G1208:I1225,$B1236)+COUNTIF(G1208:I1225,$B1236&amp;" ~*")&gt;0)+(IFERROR(INDEX(Setup!$G$33:$G$40,MATCH(K1236,Setup!$B$33:$B$40,0)),0)=1)*(COUNTIF(K1208:M1225,$B1236)+COUNTIF(K1208:M1225,$B1236&amp;" ~*")&gt;0)+(IFERROR(INDEX(Setup!$G$33:$G$40,MATCH(O1236,Setup!$B$33:$B$40,0)),0)=1)*(COUNTIF(O1208:Q1225,$B1236)+COUNTIF(O1208:Q1225,$B1236&amp;" ~*")&gt;0)+(IFERROR(INDEX(Setup!$G$33:$G$40,MATCH(S1236,Setup!$B$33:$B$40,0)),0)=1)*(COUNTIF(S1208:U1225,$B1236)+COUNTIF(S1208:U1225,$B1236&amp;" ~*")&gt;0)+(IFERROR(INDEX(Setup!$G$33:$G$40,MATCH(W1236,Setup!$B$33:$B$40,0)),0)=1)*(COUNTIF(W1208:W1225,$B1236)+COUNTIF(W1208:W1225,$B1236&amp;" ~*")&gt;0)+(IFERROR(INDEX(Setup!$G$33:$G$40,MATCH(Y1236,Setup!$B$33:$B$40,0)),0)=1)*(COUNTIF(Y1208:Y1225,$B1236)+COUNTIF(Y1208:Y1225,$B1236&amp;" ~*")&gt;0))</f>
        <v/>
      </c>
    </row>
    <row r="1237" ht="15" customHeight="1">
      <c r="A1237" t="n">
        <v>25</v>
      </c>
      <c r="B1237" s="35">
        <f>IF(Setup!$B$16="","",Setup!$B$16)</f>
        <v/>
      </c>
      <c r="C1237" s="98" t="n"/>
      <c r="D1237" s="99" t="n"/>
      <c r="E1237" s="99" t="n"/>
      <c r="F1237" s="100" t="n"/>
      <c r="G1237" s="98" t="n"/>
      <c r="H1237" s="99" t="n"/>
      <c r="I1237" s="99" t="n"/>
      <c r="J1237" s="100" t="n"/>
      <c r="K1237" s="98" t="n"/>
      <c r="L1237" s="99" t="n"/>
      <c r="M1237" s="99" t="n"/>
      <c r="N1237" s="100" t="n"/>
      <c r="O1237" s="98" t="n"/>
      <c r="P1237" s="99" t="n"/>
      <c r="Q1237" s="99" t="n"/>
      <c r="R1237" s="100" t="n"/>
      <c r="S1237" s="98" t="n"/>
      <c r="T1237" s="99" t="n"/>
      <c r="U1237" s="99" t="n"/>
      <c r="V1237" s="100" t="n"/>
      <c r="W1237" s="98" t="n"/>
      <c r="X1237" s="100" t="n"/>
      <c r="Y1237" s="98" t="n"/>
      <c r="Z1237" s="100" t="n"/>
      <c r="AB1237" s="101">
        <f>IF($B1237="","",(COUNTIF(C1208:E1225,$B1237)+COUNTIF(C1208:E1225,$B1237&amp;" ~*")&gt;0)+(COUNTIF(G1208:I1225,$B1237)+COUNTIF(G1208:I1225,$B1237&amp;" ~*")&gt;0)+(COUNTIF(K1208:M1225,$B1237)+COUNTIF(K1208:M1225,$B1237&amp;" ~*")&gt;0)+(COUNTIF(O1208:Q1225,$B1237)+COUNTIF(O1208:Q1225,$B1237&amp;" ~*")&gt;0)+(COUNTIF(S1208:U1225,$B1237)+COUNTIF(S1208:U1225,$B1237&amp;" ~*")&gt;0)+(COUNTIF(W1208:W1225,$B1237)+COUNTIF(W1208:W1225,$B1237&amp;" ~*")&gt;0)+(COUNTIF(Y1208:Y1225,$B1237)+COUNTIF(Y1208:Y1225,$B1237&amp;" ~*")&gt;0))</f>
        <v/>
      </c>
      <c r="AC1237" s="36">
        <f>IF($B1237="","",(IFERROR(INDEX(Setup!$G$33:$G$40,MATCH(C1237,Setup!$B$33:$B$40,0)),0)=1)*(COUNTIF(C1208:E1225,$B1237)+COUNTIF(C1208:E1225,$B1237&amp;" ~*")&gt;0)+(IFERROR(INDEX(Setup!$G$33:$G$40,MATCH(G1237,Setup!$B$33:$B$40,0)),0)=1)*(COUNTIF(G1208:I1225,$B1237)+COUNTIF(G1208:I1225,$B1237&amp;" ~*")&gt;0)+(IFERROR(INDEX(Setup!$G$33:$G$40,MATCH(K1237,Setup!$B$33:$B$40,0)),0)=1)*(COUNTIF(K1208:M1225,$B1237)+COUNTIF(K1208:M1225,$B1237&amp;" ~*")&gt;0)+(IFERROR(INDEX(Setup!$G$33:$G$40,MATCH(O1237,Setup!$B$33:$B$40,0)),0)=1)*(COUNTIF(O1208:Q1225,$B1237)+COUNTIF(O1208:Q1225,$B1237&amp;" ~*")&gt;0)+(IFERROR(INDEX(Setup!$G$33:$G$40,MATCH(S1237,Setup!$B$33:$B$40,0)),0)=1)*(COUNTIF(S1208:U1225,$B1237)+COUNTIF(S1208:U1225,$B1237&amp;" ~*")&gt;0)+(IFERROR(INDEX(Setup!$G$33:$G$40,MATCH(W1237,Setup!$B$33:$B$40,0)),0)=1)*(COUNTIF(W1208:W1225,$B1237)+COUNTIF(W1208:W1225,$B1237&amp;" ~*")&gt;0)+(IFERROR(INDEX(Setup!$G$33:$G$40,MATCH(Y1237,Setup!$B$33:$B$40,0)),0)=1)*(COUNTIF(Y1208:Y1225,$B1237)+COUNTIF(Y1208:Y1225,$B1237&amp;" ~*")&gt;0))</f>
        <v/>
      </c>
    </row>
    <row r="1238" ht="15" customHeight="1">
      <c r="A1238" t="n">
        <v>25</v>
      </c>
      <c r="B1238" s="37">
        <f>IF(Setup!$B$17="","",Setup!$B$17)</f>
        <v/>
      </c>
      <c r="C1238" s="102" t="n"/>
      <c r="D1238" s="103" t="n"/>
      <c r="E1238" s="103" t="n"/>
      <c r="F1238" s="104" t="n"/>
      <c r="G1238" s="102" t="n"/>
      <c r="H1238" s="103" t="n"/>
      <c r="I1238" s="103" t="n"/>
      <c r="J1238" s="104" t="n"/>
      <c r="K1238" s="102" t="n"/>
      <c r="L1238" s="103" t="n"/>
      <c r="M1238" s="103" t="n"/>
      <c r="N1238" s="104" t="n"/>
      <c r="O1238" s="102" t="n"/>
      <c r="P1238" s="103" t="n"/>
      <c r="Q1238" s="103" t="n"/>
      <c r="R1238" s="104" t="n"/>
      <c r="S1238" s="102" t="n"/>
      <c r="T1238" s="103" t="n"/>
      <c r="U1238" s="103" t="n"/>
      <c r="V1238" s="104" t="n"/>
      <c r="W1238" s="102" t="n"/>
      <c r="X1238" s="104" t="n"/>
      <c r="Y1238" s="102" t="n"/>
      <c r="Z1238" s="104" t="n"/>
      <c r="AB1238" s="105">
        <f>IF($B1238="","",(COUNTIF(C1208:E1225,$B1238)+COUNTIF(C1208:E1225,$B1238&amp;" ~*")&gt;0)+(COUNTIF(G1208:I1225,$B1238)+COUNTIF(G1208:I1225,$B1238&amp;" ~*")&gt;0)+(COUNTIF(K1208:M1225,$B1238)+COUNTIF(K1208:M1225,$B1238&amp;" ~*")&gt;0)+(COUNTIF(O1208:Q1225,$B1238)+COUNTIF(O1208:Q1225,$B1238&amp;" ~*")&gt;0)+(COUNTIF(S1208:U1225,$B1238)+COUNTIF(S1208:U1225,$B1238&amp;" ~*")&gt;0)+(COUNTIF(W1208:W1225,$B1238)+COUNTIF(W1208:W1225,$B1238&amp;" ~*")&gt;0)+(COUNTIF(Y1208:Y1225,$B1238)+COUNTIF(Y1208:Y1225,$B1238&amp;" ~*")&gt;0))</f>
        <v/>
      </c>
      <c r="AC1238" s="38">
        <f>IF($B1238="","",(IFERROR(INDEX(Setup!$G$33:$G$40,MATCH(C1238,Setup!$B$33:$B$40,0)),0)=1)*(COUNTIF(C1208:E1225,$B1238)+COUNTIF(C1208:E1225,$B1238&amp;" ~*")&gt;0)+(IFERROR(INDEX(Setup!$G$33:$G$40,MATCH(G1238,Setup!$B$33:$B$40,0)),0)=1)*(COUNTIF(G1208:I1225,$B1238)+COUNTIF(G1208:I1225,$B1238&amp;" ~*")&gt;0)+(IFERROR(INDEX(Setup!$G$33:$G$40,MATCH(K1238,Setup!$B$33:$B$40,0)),0)=1)*(COUNTIF(K1208:M1225,$B1238)+COUNTIF(K1208:M1225,$B1238&amp;" ~*")&gt;0)+(IFERROR(INDEX(Setup!$G$33:$G$40,MATCH(O1238,Setup!$B$33:$B$40,0)),0)=1)*(COUNTIF(O1208:Q1225,$B1238)+COUNTIF(O1208:Q1225,$B1238&amp;" ~*")&gt;0)+(IFERROR(INDEX(Setup!$G$33:$G$40,MATCH(S1238,Setup!$B$33:$B$40,0)),0)=1)*(COUNTIF(S1208:U1225,$B1238)+COUNTIF(S1208:U1225,$B1238&amp;" ~*")&gt;0)+(IFERROR(INDEX(Setup!$G$33:$G$40,MATCH(W1238,Setup!$B$33:$B$40,0)),0)=1)*(COUNTIF(W1208:W1225,$B1238)+COUNTIF(W1208:W1225,$B1238&amp;" ~*")&gt;0)+(IFERROR(INDEX(Setup!$G$33:$G$40,MATCH(Y1238,Setup!$B$33:$B$40,0)),0)=1)*(COUNTIF(Y1208:Y1225,$B1238)+COUNTIF(Y1208:Y1225,$B1238&amp;" ~*")&gt;0))</f>
        <v/>
      </c>
    </row>
    <row r="1239" ht="15" customHeight="1">
      <c r="A1239" t="n">
        <v>25</v>
      </c>
      <c r="B1239" s="35">
        <f>IF(Setup!$B$18="","",Setup!$B$18)</f>
        <v/>
      </c>
      <c r="C1239" s="98" t="n"/>
      <c r="D1239" s="99" t="n"/>
      <c r="E1239" s="99" t="n"/>
      <c r="F1239" s="100" t="n"/>
      <c r="G1239" s="98" t="n"/>
      <c r="H1239" s="99" t="n"/>
      <c r="I1239" s="99" t="n"/>
      <c r="J1239" s="100" t="n"/>
      <c r="K1239" s="98" t="n"/>
      <c r="L1239" s="99" t="n"/>
      <c r="M1239" s="99" t="n"/>
      <c r="N1239" s="100" t="n"/>
      <c r="O1239" s="98" t="n"/>
      <c r="P1239" s="99" t="n"/>
      <c r="Q1239" s="99" t="n"/>
      <c r="R1239" s="100" t="n"/>
      <c r="S1239" s="98" t="n"/>
      <c r="T1239" s="99" t="n"/>
      <c r="U1239" s="99" t="n"/>
      <c r="V1239" s="100" t="n"/>
      <c r="W1239" s="98" t="n"/>
      <c r="X1239" s="100" t="n"/>
      <c r="Y1239" s="98" t="n"/>
      <c r="Z1239" s="100" t="n"/>
      <c r="AB1239" s="101">
        <f>IF($B1239="","",(COUNTIF(C1208:E1225,$B1239)+COUNTIF(C1208:E1225,$B1239&amp;" ~*")&gt;0)+(COUNTIF(G1208:I1225,$B1239)+COUNTIF(G1208:I1225,$B1239&amp;" ~*")&gt;0)+(COUNTIF(K1208:M1225,$B1239)+COUNTIF(K1208:M1225,$B1239&amp;" ~*")&gt;0)+(COUNTIF(O1208:Q1225,$B1239)+COUNTIF(O1208:Q1225,$B1239&amp;" ~*")&gt;0)+(COUNTIF(S1208:U1225,$B1239)+COUNTIF(S1208:U1225,$B1239&amp;" ~*")&gt;0)+(COUNTIF(W1208:W1225,$B1239)+COUNTIF(W1208:W1225,$B1239&amp;" ~*")&gt;0)+(COUNTIF(Y1208:Y1225,$B1239)+COUNTIF(Y1208:Y1225,$B1239&amp;" ~*")&gt;0))</f>
        <v/>
      </c>
      <c r="AC1239" s="36">
        <f>IF($B1239="","",(IFERROR(INDEX(Setup!$G$33:$G$40,MATCH(C1239,Setup!$B$33:$B$40,0)),0)=1)*(COUNTIF(C1208:E1225,$B1239)+COUNTIF(C1208:E1225,$B1239&amp;" ~*")&gt;0)+(IFERROR(INDEX(Setup!$G$33:$G$40,MATCH(G1239,Setup!$B$33:$B$40,0)),0)=1)*(COUNTIF(G1208:I1225,$B1239)+COUNTIF(G1208:I1225,$B1239&amp;" ~*")&gt;0)+(IFERROR(INDEX(Setup!$G$33:$G$40,MATCH(K1239,Setup!$B$33:$B$40,0)),0)=1)*(COUNTIF(K1208:M1225,$B1239)+COUNTIF(K1208:M1225,$B1239&amp;" ~*")&gt;0)+(IFERROR(INDEX(Setup!$G$33:$G$40,MATCH(O1239,Setup!$B$33:$B$40,0)),0)=1)*(COUNTIF(O1208:Q1225,$B1239)+COUNTIF(O1208:Q1225,$B1239&amp;" ~*")&gt;0)+(IFERROR(INDEX(Setup!$G$33:$G$40,MATCH(S1239,Setup!$B$33:$B$40,0)),0)=1)*(COUNTIF(S1208:U1225,$B1239)+COUNTIF(S1208:U1225,$B1239&amp;" ~*")&gt;0)+(IFERROR(INDEX(Setup!$G$33:$G$40,MATCH(W1239,Setup!$B$33:$B$40,0)),0)=1)*(COUNTIF(W1208:W1225,$B1239)+COUNTIF(W1208:W1225,$B1239&amp;" ~*")&gt;0)+(IFERROR(INDEX(Setup!$G$33:$G$40,MATCH(Y1239,Setup!$B$33:$B$40,0)),0)=1)*(COUNTIF(Y1208:Y1225,$B1239)+COUNTIF(Y1208:Y1225,$B1239&amp;" ~*")&gt;0))</f>
        <v/>
      </c>
    </row>
    <row r="1240" ht="15" customHeight="1">
      <c r="A1240" t="n">
        <v>25</v>
      </c>
      <c r="B1240" s="37">
        <f>IF(Setup!$B$19="","",Setup!$B$19)</f>
        <v/>
      </c>
      <c r="C1240" s="102" t="n"/>
      <c r="D1240" s="103" t="n"/>
      <c r="E1240" s="103" t="n"/>
      <c r="F1240" s="104" t="n"/>
      <c r="G1240" s="102" t="n"/>
      <c r="H1240" s="103" t="n"/>
      <c r="I1240" s="103" t="n"/>
      <c r="J1240" s="104" t="n"/>
      <c r="K1240" s="102" t="n"/>
      <c r="L1240" s="103" t="n"/>
      <c r="M1240" s="103" t="n"/>
      <c r="N1240" s="104" t="n"/>
      <c r="O1240" s="102" t="n"/>
      <c r="P1240" s="103" t="n"/>
      <c r="Q1240" s="103" t="n"/>
      <c r="R1240" s="104" t="n"/>
      <c r="S1240" s="102" t="n"/>
      <c r="T1240" s="103" t="n"/>
      <c r="U1240" s="103" t="n"/>
      <c r="V1240" s="104" t="n"/>
      <c r="W1240" s="102" t="n"/>
      <c r="X1240" s="104" t="n"/>
      <c r="Y1240" s="102" t="n"/>
      <c r="Z1240" s="104" t="n"/>
      <c r="AB1240" s="105">
        <f>IF($B1240="","",(COUNTIF(C1208:E1225,$B1240)+COUNTIF(C1208:E1225,$B1240&amp;" ~*")&gt;0)+(COUNTIF(G1208:I1225,$B1240)+COUNTIF(G1208:I1225,$B1240&amp;" ~*")&gt;0)+(COUNTIF(K1208:M1225,$B1240)+COUNTIF(K1208:M1225,$B1240&amp;" ~*")&gt;0)+(COUNTIF(O1208:Q1225,$B1240)+COUNTIF(O1208:Q1225,$B1240&amp;" ~*")&gt;0)+(COUNTIF(S1208:U1225,$B1240)+COUNTIF(S1208:U1225,$B1240&amp;" ~*")&gt;0)+(COUNTIF(W1208:W1225,$B1240)+COUNTIF(W1208:W1225,$B1240&amp;" ~*")&gt;0)+(COUNTIF(Y1208:Y1225,$B1240)+COUNTIF(Y1208:Y1225,$B1240&amp;" ~*")&gt;0))</f>
        <v/>
      </c>
      <c r="AC1240" s="38">
        <f>IF($B1240="","",(IFERROR(INDEX(Setup!$G$33:$G$40,MATCH(C1240,Setup!$B$33:$B$40,0)),0)=1)*(COUNTIF(C1208:E1225,$B1240)+COUNTIF(C1208:E1225,$B1240&amp;" ~*")&gt;0)+(IFERROR(INDEX(Setup!$G$33:$G$40,MATCH(G1240,Setup!$B$33:$B$40,0)),0)=1)*(COUNTIF(G1208:I1225,$B1240)+COUNTIF(G1208:I1225,$B1240&amp;" ~*")&gt;0)+(IFERROR(INDEX(Setup!$G$33:$G$40,MATCH(K1240,Setup!$B$33:$B$40,0)),0)=1)*(COUNTIF(K1208:M1225,$B1240)+COUNTIF(K1208:M1225,$B1240&amp;" ~*")&gt;0)+(IFERROR(INDEX(Setup!$G$33:$G$40,MATCH(O1240,Setup!$B$33:$B$40,0)),0)=1)*(COUNTIF(O1208:Q1225,$B1240)+COUNTIF(O1208:Q1225,$B1240&amp;" ~*")&gt;0)+(IFERROR(INDEX(Setup!$G$33:$G$40,MATCH(S1240,Setup!$B$33:$B$40,0)),0)=1)*(COUNTIF(S1208:U1225,$B1240)+COUNTIF(S1208:U1225,$B1240&amp;" ~*")&gt;0)+(IFERROR(INDEX(Setup!$G$33:$G$40,MATCH(W1240,Setup!$B$33:$B$40,0)),0)=1)*(COUNTIF(W1208:W1225,$B1240)+COUNTIF(W1208:W1225,$B1240&amp;" ~*")&gt;0)+(IFERROR(INDEX(Setup!$G$33:$G$40,MATCH(Y1240,Setup!$B$33:$B$40,0)),0)=1)*(COUNTIF(Y1208:Y1225,$B1240)+COUNTIF(Y1208:Y1225,$B1240&amp;" ~*")&gt;0))</f>
        <v/>
      </c>
    </row>
    <row r="1241" ht="15" customHeight="1">
      <c r="A1241" t="n">
        <v>25</v>
      </c>
      <c r="B1241" s="35">
        <f>IF(Setup!$B$20="","",Setup!$B$20)</f>
        <v/>
      </c>
      <c r="C1241" s="98" t="n"/>
      <c r="D1241" s="99" t="n"/>
      <c r="E1241" s="99" t="n"/>
      <c r="F1241" s="100" t="n"/>
      <c r="G1241" s="98" t="n"/>
      <c r="H1241" s="99" t="n"/>
      <c r="I1241" s="99" t="n"/>
      <c r="J1241" s="100" t="n"/>
      <c r="K1241" s="98" t="n"/>
      <c r="L1241" s="99" t="n"/>
      <c r="M1241" s="99" t="n"/>
      <c r="N1241" s="100" t="n"/>
      <c r="O1241" s="98" t="n"/>
      <c r="P1241" s="99" t="n"/>
      <c r="Q1241" s="99" t="n"/>
      <c r="R1241" s="100" t="n"/>
      <c r="S1241" s="98" t="n"/>
      <c r="T1241" s="99" t="n"/>
      <c r="U1241" s="99" t="n"/>
      <c r="V1241" s="100" t="n"/>
      <c r="W1241" s="98" t="n"/>
      <c r="X1241" s="100" t="n"/>
      <c r="Y1241" s="98" t="n"/>
      <c r="Z1241" s="100" t="n"/>
      <c r="AB1241" s="101">
        <f>IF($B1241="","",(COUNTIF(C1208:E1225,$B1241)+COUNTIF(C1208:E1225,$B1241&amp;" ~*")&gt;0)+(COUNTIF(G1208:I1225,$B1241)+COUNTIF(G1208:I1225,$B1241&amp;" ~*")&gt;0)+(COUNTIF(K1208:M1225,$B1241)+COUNTIF(K1208:M1225,$B1241&amp;" ~*")&gt;0)+(COUNTIF(O1208:Q1225,$B1241)+COUNTIF(O1208:Q1225,$B1241&amp;" ~*")&gt;0)+(COUNTIF(S1208:U1225,$B1241)+COUNTIF(S1208:U1225,$B1241&amp;" ~*")&gt;0)+(COUNTIF(W1208:W1225,$B1241)+COUNTIF(W1208:W1225,$B1241&amp;" ~*")&gt;0)+(COUNTIF(Y1208:Y1225,$B1241)+COUNTIF(Y1208:Y1225,$B1241&amp;" ~*")&gt;0))</f>
        <v/>
      </c>
      <c r="AC1241" s="36">
        <f>IF($B1241="","",(IFERROR(INDEX(Setup!$G$33:$G$40,MATCH(C1241,Setup!$B$33:$B$40,0)),0)=1)*(COUNTIF(C1208:E1225,$B1241)+COUNTIF(C1208:E1225,$B1241&amp;" ~*")&gt;0)+(IFERROR(INDEX(Setup!$G$33:$G$40,MATCH(G1241,Setup!$B$33:$B$40,0)),0)=1)*(COUNTIF(G1208:I1225,$B1241)+COUNTIF(G1208:I1225,$B1241&amp;" ~*")&gt;0)+(IFERROR(INDEX(Setup!$G$33:$G$40,MATCH(K1241,Setup!$B$33:$B$40,0)),0)=1)*(COUNTIF(K1208:M1225,$B1241)+COUNTIF(K1208:M1225,$B1241&amp;" ~*")&gt;0)+(IFERROR(INDEX(Setup!$G$33:$G$40,MATCH(O1241,Setup!$B$33:$B$40,0)),0)=1)*(COUNTIF(O1208:Q1225,$B1241)+COUNTIF(O1208:Q1225,$B1241&amp;" ~*")&gt;0)+(IFERROR(INDEX(Setup!$G$33:$G$40,MATCH(S1241,Setup!$B$33:$B$40,0)),0)=1)*(COUNTIF(S1208:U1225,$B1241)+COUNTIF(S1208:U1225,$B1241&amp;" ~*")&gt;0)+(IFERROR(INDEX(Setup!$G$33:$G$40,MATCH(W1241,Setup!$B$33:$B$40,0)),0)=1)*(COUNTIF(W1208:W1225,$B1241)+COUNTIF(W1208:W1225,$B1241&amp;" ~*")&gt;0)+(IFERROR(INDEX(Setup!$G$33:$G$40,MATCH(Y1241,Setup!$B$33:$B$40,0)),0)=1)*(COUNTIF(Y1208:Y1225,$B1241)+COUNTIF(Y1208:Y1225,$B1241&amp;" ~*")&gt;0))</f>
        <v/>
      </c>
    </row>
    <row r="1242" ht="15" customHeight="1">
      <c r="A1242" t="n">
        <v>25</v>
      </c>
      <c r="B1242" s="37">
        <f>IF(Setup!$B$21="","",Setup!$B$21)</f>
        <v/>
      </c>
      <c r="C1242" s="102" t="n"/>
      <c r="D1242" s="103" t="n"/>
      <c r="E1242" s="103" t="n"/>
      <c r="F1242" s="104" t="n"/>
      <c r="G1242" s="102" t="n"/>
      <c r="H1242" s="103" t="n"/>
      <c r="I1242" s="103" t="n"/>
      <c r="J1242" s="104" t="n"/>
      <c r="K1242" s="102" t="n"/>
      <c r="L1242" s="103" t="n"/>
      <c r="M1242" s="103" t="n"/>
      <c r="N1242" s="104" t="n"/>
      <c r="O1242" s="102" t="n"/>
      <c r="P1242" s="103" t="n"/>
      <c r="Q1242" s="103" t="n"/>
      <c r="R1242" s="104" t="n"/>
      <c r="S1242" s="102" t="n"/>
      <c r="T1242" s="103" t="n"/>
      <c r="U1242" s="103" t="n"/>
      <c r="V1242" s="104" t="n"/>
      <c r="W1242" s="102" t="n"/>
      <c r="X1242" s="104" t="n"/>
      <c r="Y1242" s="102" t="n"/>
      <c r="Z1242" s="104" t="n"/>
      <c r="AB1242" s="105">
        <f>IF($B1242="","",(COUNTIF(C1208:E1225,$B1242)+COUNTIF(C1208:E1225,$B1242&amp;" ~*")&gt;0)+(COUNTIF(G1208:I1225,$B1242)+COUNTIF(G1208:I1225,$B1242&amp;" ~*")&gt;0)+(COUNTIF(K1208:M1225,$B1242)+COUNTIF(K1208:M1225,$B1242&amp;" ~*")&gt;0)+(COUNTIF(O1208:Q1225,$B1242)+COUNTIF(O1208:Q1225,$B1242&amp;" ~*")&gt;0)+(COUNTIF(S1208:U1225,$B1242)+COUNTIF(S1208:U1225,$B1242&amp;" ~*")&gt;0)+(COUNTIF(W1208:W1225,$B1242)+COUNTIF(W1208:W1225,$B1242&amp;" ~*")&gt;0)+(COUNTIF(Y1208:Y1225,$B1242)+COUNTIF(Y1208:Y1225,$B1242&amp;" ~*")&gt;0))</f>
        <v/>
      </c>
      <c r="AC1242" s="38">
        <f>IF($B1242="","",(IFERROR(INDEX(Setup!$G$33:$G$40,MATCH(C1242,Setup!$B$33:$B$40,0)),0)=1)*(COUNTIF(C1208:E1225,$B1242)+COUNTIF(C1208:E1225,$B1242&amp;" ~*")&gt;0)+(IFERROR(INDEX(Setup!$G$33:$G$40,MATCH(G1242,Setup!$B$33:$B$40,0)),0)=1)*(COUNTIF(G1208:I1225,$B1242)+COUNTIF(G1208:I1225,$B1242&amp;" ~*")&gt;0)+(IFERROR(INDEX(Setup!$G$33:$G$40,MATCH(K1242,Setup!$B$33:$B$40,0)),0)=1)*(COUNTIF(K1208:M1225,$B1242)+COUNTIF(K1208:M1225,$B1242&amp;" ~*")&gt;0)+(IFERROR(INDEX(Setup!$G$33:$G$40,MATCH(O1242,Setup!$B$33:$B$40,0)),0)=1)*(COUNTIF(O1208:Q1225,$B1242)+COUNTIF(O1208:Q1225,$B1242&amp;" ~*")&gt;0)+(IFERROR(INDEX(Setup!$G$33:$G$40,MATCH(S1242,Setup!$B$33:$B$40,0)),0)=1)*(COUNTIF(S1208:U1225,$B1242)+COUNTIF(S1208:U1225,$B1242&amp;" ~*")&gt;0)+(IFERROR(INDEX(Setup!$G$33:$G$40,MATCH(W1242,Setup!$B$33:$B$40,0)),0)=1)*(COUNTIF(W1208:W1225,$B1242)+COUNTIF(W1208:W1225,$B1242&amp;" ~*")&gt;0)+(IFERROR(INDEX(Setup!$G$33:$G$40,MATCH(Y1242,Setup!$B$33:$B$40,0)),0)=1)*(COUNTIF(Y1208:Y1225,$B1242)+COUNTIF(Y1208:Y1225,$B1242&amp;" ~*")&gt;0))</f>
        <v/>
      </c>
    </row>
    <row r="1243" ht="15" customHeight="1">
      <c r="A1243" t="n">
        <v>25</v>
      </c>
      <c r="B1243" s="35">
        <f>IF(Setup!$B$22="","",Setup!$B$22)</f>
        <v/>
      </c>
      <c r="C1243" s="98" t="n"/>
      <c r="D1243" s="99" t="n"/>
      <c r="E1243" s="99" t="n"/>
      <c r="F1243" s="100" t="n"/>
      <c r="G1243" s="98" t="n"/>
      <c r="H1243" s="99" t="n"/>
      <c r="I1243" s="99" t="n"/>
      <c r="J1243" s="100" t="n"/>
      <c r="K1243" s="98" t="n"/>
      <c r="L1243" s="99" t="n"/>
      <c r="M1243" s="99" t="n"/>
      <c r="N1243" s="100" t="n"/>
      <c r="O1243" s="98" t="n"/>
      <c r="P1243" s="99" t="n"/>
      <c r="Q1243" s="99" t="n"/>
      <c r="R1243" s="100" t="n"/>
      <c r="S1243" s="98" t="n"/>
      <c r="T1243" s="99" t="n"/>
      <c r="U1243" s="99" t="n"/>
      <c r="V1243" s="100" t="n"/>
      <c r="W1243" s="98" t="n"/>
      <c r="X1243" s="100" t="n"/>
      <c r="Y1243" s="98" t="n"/>
      <c r="Z1243" s="100" t="n"/>
      <c r="AB1243" s="101">
        <f>IF($B1243="","",(COUNTIF(C1208:E1225,$B1243)+COUNTIF(C1208:E1225,$B1243&amp;" ~*")&gt;0)+(COUNTIF(G1208:I1225,$B1243)+COUNTIF(G1208:I1225,$B1243&amp;" ~*")&gt;0)+(COUNTIF(K1208:M1225,$B1243)+COUNTIF(K1208:M1225,$B1243&amp;" ~*")&gt;0)+(COUNTIF(O1208:Q1225,$B1243)+COUNTIF(O1208:Q1225,$B1243&amp;" ~*")&gt;0)+(COUNTIF(S1208:U1225,$B1243)+COUNTIF(S1208:U1225,$B1243&amp;" ~*")&gt;0)+(COUNTIF(W1208:W1225,$B1243)+COUNTIF(W1208:W1225,$B1243&amp;" ~*")&gt;0)+(COUNTIF(Y1208:Y1225,$B1243)+COUNTIF(Y1208:Y1225,$B1243&amp;" ~*")&gt;0))</f>
        <v/>
      </c>
      <c r="AC1243" s="36">
        <f>IF($B1243="","",(IFERROR(INDEX(Setup!$G$33:$G$40,MATCH(C1243,Setup!$B$33:$B$40,0)),0)=1)*(COUNTIF(C1208:E1225,$B1243)+COUNTIF(C1208:E1225,$B1243&amp;" ~*")&gt;0)+(IFERROR(INDEX(Setup!$G$33:$G$40,MATCH(G1243,Setup!$B$33:$B$40,0)),0)=1)*(COUNTIF(G1208:I1225,$B1243)+COUNTIF(G1208:I1225,$B1243&amp;" ~*")&gt;0)+(IFERROR(INDEX(Setup!$G$33:$G$40,MATCH(K1243,Setup!$B$33:$B$40,0)),0)=1)*(COUNTIF(K1208:M1225,$B1243)+COUNTIF(K1208:M1225,$B1243&amp;" ~*")&gt;0)+(IFERROR(INDEX(Setup!$G$33:$G$40,MATCH(O1243,Setup!$B$33:$B$40,0)),0)=1)*(COUNTIF(O1208:Q1225,$B1243)+COUNTIF(O1208:Q1225,$B1243&amp;" ~*")&gt;0)+(IFERROR(INDEX(Setup!$G$33:$G$40,MATCH(S1243,Setup!$B$33:$B$40,0)),0)=1)*(COUNTIF(S1208:U1225,$B1243)+COUNTIF(S1208:U1225,$B1243&amp;" ~*")&gt;0)+(IFERROR(INDEX(Setup!$G$33:$G$40,MATCH(W1243,Setup!$B$33:$B$40,0)),0)=1)*(COUNTIF(W1208:W1225,$B1243)+COUNTIF(W1208:W1225,$B1243&amp;" ~*")&gt;0)+(IFERROR(INDEX(Setup!$G$33:$G$40,MATCH(Y1243,Setup!$B$33:$B$40,0)),0)=1)*(COUNTIF(Y1208:Y1225,$B1243)+COUNTIF(Y1208:Y1225,$B1243&amp;" ~*")&gt;0))</f>
        <v/>
      </c>
    </row>
    <row r="1244" ht="15" customHeight="1">
      <c r="A1244" t="n">
        <v>25</v>
      </c>
      <c r="B1244" s="37">
        <f>IF(Setup!$B$23="","",Setup!$B$23)</f>
        <v/>
      </c>
      <c r="C1244" s="102" t="n"/>
      <c r="D1244" s="103" t="n"/>
      <c r="E1244" s="103" t="n"/>
      <c r="F1244" s="104" t="n"/>
      <c r="G1244" s="102" t="n"/>
      <c r="H1244" s="103" t="n"/>
      <c r="I1244" s="103" t="n"/>
      <c r="J1244" s="104" t="n"/>
      <c r="K1244" s="102" t="n"/>
      <c r="L1244" s="103" t="n"/>
      <c r="M1244" s="103" t="n"/>
      <c r="N1244" s="104" t="n"/>
      <c r="O1244" s="102" t="n"/>
      <c r="P1244" s="103" t="n"/>
      <c r="Q1244" s="103" t="n"/>
      <c r="R1244" s="104" t="n"/>
      <c r="S1244" s="102" t="n"/>
      <c r="T1244" s="103" t="n"/>
      <c r="U1244" s="103" t="n"/>
      <c r="V1244" s="104" t="n"/>
      <c r="W1244" s="102" t="n"/>
      <c r="X1244" s="104" t="n"/>
      <c r="Y1244" s="102" t="n"/>
      <c r="Z1244" s="104" t="n"/>
      <c r="AB1244" s="105">
        <f>IF($B1244="","",(COUNTIF(C1208:E1225,$B1244)+COUNTIF(C1208:E1225,$B1244&amp;" ~*")&gt;0)+(COUNTIF(G1208:I1225,$B1244)+COUNTIF(G1208:I1225,$B1244&amp;" ~*")&gt;0)+(COUNTIF(K1208:M1225,$B1244)+COUNTIF(K1208:M1225,$B1244&amp;" ~*")&gt;0)+(COUNTIF(O1208:Q1225,$B1244)+COUNTIF(O1208:Q1225,$B1244&amp;" ~*")&gt;0)+(COUNTIF(S1208:U1225,$B1244)+COUNTIF(S1208:U1225,$B1244&amp;" ~*")&gt;0)+(COUNTIF(W1208:W1225,$B1244)+COUNTIF(W1208:W1225,$B1244&amp;" ~*")&gt;0)+(COUNTIF(Y1208:Y1225,$B1244)+COUNTIF(Y1208:Y1225,$B1244&amp;" ~*")&gt;0))</f>
        <v/>
      </c>
      <c r="AC1244" s="38">
        <f>IF($B1244="","",(IFERROR(INDEX(Setup!$G$33:$G$40,MATCH(C1244,Setup!$B$33:$B$40,0)),0)=1)*(COUNTIF(C1208:E1225,$B1244)+COUNTIF(C1208:E1225,$B1244&amp;" ~*")&gt;0)+(IFERROR(INDEX(Setup!$G$33:$G$40,MATCH(G1244,Setup!$B$33:$B$40,0)),0)=1)*(COUNTIF(G1208:I1225,$B1244)+COUNTIF(G1208:I1225,$B1244&amp;" ~*")&gt;0)+(IFERROR(INDEX(Setup!$G$33:$G$40,MATCH(K1244,Setup!$B$33:$B$40,0)),0)=1)*(COUNTIF(K1208:M1225,$B1244)+COUNTIF(K1208:M1225,$B1244&amp;" ~*")&gt;0)+(IFERROR(INDEX(Setup!$G$33:$G$40,MATCH(O1244,Setup!$B$33:$B$40,0)),0)=1)*(COUNTIF(O1208:Q1225,$B1244)+COUNTIF(O1208:Q1225,$B1244&amp;" ~*")&gt;0)+(IFERROR(INDEX(Setup!$G$33:$G$40,MATCH(S1244,Setup!$B$33:$B$40,0)),0)=1)*(COUNTIF(S1208:U1225,$B1244)+COUNTIF(S1208:U1225,$B1244&amp;" ~*")&gt;0)+(IFERROR(INDEX(Setup!$G$33:$G$40,MATCH(W1244,Setup!$B$33:$B$40,0)),0)=1)*(COUNTIF(W1208:W1225,$B1244)+COUNTIF(W1208:W1225,$B1244&amp;" ~*")&gt;0)+(IFERROR(INDEX(Setup!$G$33:$G$40,MATCH(Y1244,Setup!$B$33:$B$40,0)),0)=1)*(COUNTIF(Y1208:Y1225,$B1244)+COUNTIF(Y1208:Y1225,$B1244&amp;" ~*")&gt;0))</f>
        <v/>
      </c>
    </row>
    <row r="1245" ht="15" customHeight="1">
      <c r="A1245" t="n">
        <v>25</v>
      </c>
      <c r="B1245" s="35">
        <f>IF(Setup!$B$24="","",Setup!$B$24)</f>
        <v/>
      </c>
      <c r="C1245" s="98" t="n"/>
      <c r="D1245" s="99" t="n"/>
      <c r="E1245" s="99" t="n"/>
      <c r="F1245" s="100" t="n"/>
      <c r="G1245" s="98" t="n"/>
      <c r="H1245" s="99" t="n"/>
      <c r="I1245" s="99" t="n"/>
      <c r="J1245" s="100" t="n"/>
      <c r="K1245" s="98" t="n"/>
      <c r="L1245" s="99" t="n"/>
      <c r="M1245" s="99" t="n"/>
      <c r="N1245" s="100" t="n"/>
      <c r="O1245" s="98" t="n"/>
      <c r="P1245" s="99" t="n"/>
      <c r="Q1245" s="99" t="n"/>
      <c r="R1245" s="100" t="n"/>
      <c r="S1245" s="98" t="n"/>
      <c r="T1245" s="99" t="n"/>
      <c r="U1245" s="99" t="n"/>
      <c r="V1245" s="100" t="n"/>
      <c r="W1245" s="98" t="n"/>
      <c r="X1245" s="100" t="n"/>
      <c r="Y1245" s="98" t="n"/>
      <c r="Z1245" s="100" t="n"/>
      <c r="AB1245" s="101">
        <f>IF($B1245="","",(COUNTIF(C1208:E1225,$B1245)+COUNTIF(C1208:E1225,$B1245&amp;" ~*")&gt;0)+(COUNTIF(G1208:I1225,$B1245)+COUNTIF(G1208:I1225,$B1245&amp;" ~*")&gt;0)+(COUNTIF(K1208:M1225,$B1245)+COUNTIF(K1208:M1225,$B1245&amp;" ~*")&gt;0)+(COUNTIF(O1208:Q1225,$B1245)+COUNTIF(O1208:Q1225,$B1245&amp;" ~*")&gt;0)+(COUNTIF(S1208:U1225,$B1245)+COUNTIF(S1208:U1225,$B1245&amp;" ~*")&gt;0)+(COUNTIF(W1208:W1225,$B1245)+COUNTIF(W1208:W1225,$B1245&amp;" ~*")&gt;0)+(COUNTIF(Y1208:Y1225,$B1245)+COUNTIF(Y1208:Y1225,$B1245&amp;" ~*")&gt;0))</f>
        <v/>
      </c>
      <c r="AC1245" s="36">
        <f>IF($B1245="","",(IFERROR(INDEX(Setup!$G$33:$G$40,MATCH(C1245,Setup!$B$33:$B$40,0)),0)=1)*(COUNTIF(C1208:E1225,$B1245)+COUNTIF(C1208:E1225,$B1245&amp;" ~*")&gt;0)+(IFERROR(INDEX(Setup!$G$33:$G$40,MATCH(G1245,Setup!$B$33:$B$40,0)),0)=1)*(COUNTIF(G1208:I1225,$B1245)+COUNTIF(G1208:I1225,$B1245&amp;" ~*")&gt;0)+(IFERROR(INDEX(Setup!$G$33:$G$40,MATCH(K1245,Setup!$B$33:$B$40,0)),0)=1)*(COUNTIF(K1208:M1225,$B1245)+COUNTIF(K1208:M1225,$B1245&amp;" ~*")&gt;0)+(IFERROR(INDEX(Setup!$G$33:$G$40,MATCH(O1245,Setup!$B$33:$B$40,0)),0)=1)*(COUNTIF(O1208:Q1225,$B1245)+COUNTIF(O1208:Q1225,$B1245&amp;" ~*")&gt;0)+(IFERROR(INDEX(Setup!$G$33:$G$40,MATCH(S1245,Setup!$B$33:$B$40,0)),0)=1)*(COUNTIF(S1208:U1225,$B1245)+COUNTIF(S1208:U1225,$B1245&amp;" ~*")&gt;0)+(IFERROR(INDEX(Setup!$G$33:$G$40,MATCH(W1245,Setup!$B$33:$B$40,0)),0)=1)*(COUNTIF(W1208:W1225,$B1245)+COUNTIF(W1208:W1225,$B1245&amp;" ~*")&gt;0)+(IFERROR(INDEX(Setup!$G$33:$G$40,MATCH(Y1245,Setup!$B$33:$B$40,0)),0)=1)*(COUNTIF(Y1208:Y1225,$B1245)+COUNTIF(Y1208:Y1225,$B1245&amp;" ~*")&gt;0))</f>
        <v/>
      </c>
    </row>
    <row r="1246" ht="15" customHeight="1">
      <c r="A1246" t="n">
        <v>25</v>
      </c>
      <c r="B1246" s="37">
        <f>IF(Setup!$B$25="","",Setup!$B$25)</f>
        <v/>
      </c>
      <c r="C1246" s="102" t="n"/>
      <c r="D1246" s="103" t="n"/>
      <c r="E1246" s="103" t="n"/>
      <c r="F1246" s="104" t="n"/>
      <c r="G1246" s="102" t="n"/>
      <c r="H1246" s="103" t="n"/>
      <c r="I1246" s="103" t="n"/>
      <c r="J1246" s="104" t="n"/>
      <c r="K1246" s="102" t="n"/>
      <c r="L1246" s="103" t="n"/>
      <c r="M1246" s="103" t="n"/>
      <c r="N1246" s="104" t="n"/>
      <c r="O1246" s="102" t="n"/>
      <c r="P1246" s="103" t="n"/>
      <c r="Q1246" s="103" t="n"/>
      <c r="R1246" s="104" t="n"/>
      <c r="S1246" s="102" t="n"/>
      <c r="T1246" s="103" t="n"/>
      <c r="U1246" s="103" t="n"/>
      <c r="V1246" s="104" t="n"/>
      <c r="W1246" s="102" t="n"/>
      <c r="X1246" s="104" t="n"/>
      <c r="Y1246" s="102" t="n"/>
      <c r="Z1246" s="104" t="n"/>
      <c r="AB1246" s="105">
        <f>IF($B1246="","",(COUNTIF(C1208:E1225,$B1246)+COUNTIF(C1208:E1225,$B1246&amp;" ~*")&gt;0)+(COUNTIF(G1208:I1225,$B1246)+COUNTIF(G1208:I1225,$B1246&amp;" ~*")&gt;0)+(COUNTIF(K1208:M1225,$B1246)+COUNTIF(K1208:M1225,$B1246&amp;" ~*")&gt;0)+(COUNTIF(O1208:Q1225,$B1246)+COUNTIF(O1208:Q1225,$B1246&amp;" ~*")&gt;0)+(COUNTIF(S1208:U1225,$B1246)+COUNTIF(S1208:U1225,$B1246&amp;" ~*")&gt;0)+(COUNTIF(W1208:W1225,$B1246)+COUNTIF(W1208:W1225,$B1246&amp;" ~*")&gt;0)+(COUNTIF(Y1208:Y1225,$B1246)+COUNTIF(Y1208:Y1225,$B1246&amp;" ~*")&gt;0))</f>
        <v/>
      </c>
      <c r="AC1246" s="38">
        <f>IF($B1246="","",(IFERROR(INDEX(Setup!$G$33:$G$40,MATCH(C1246,Setup!$B$33:$B$40,0)),0)=1)*(COUNTIF(C1208:E1225,$B1246)+COUNTIF(C1208:E1225,$B1246&amp;" ~*")&gt;0)+(IFERROR(INDEX(Setup!$G$33:$G$40,MATCH(G1246,Setup!$B$33:$B$40,0)),0)=1)*(COUNTIF(G1208:I1225,$B1246)+COUNTIF(G1208:I1225,$B1246&amp;" ~*")&gt;0)+(IFERROR(INDEX(Setup!$G$33:$G$40,MATCH(K1246,Setup!$B$33:$B$40,0)),0)=1)*(COUNTIF(K1208:M1225,$B1246)+COUNTIF(K1208:M1225,$B1246&amp;" ~*")&gt;0)+(IFERROR(INDEX(Setup!$G$33:$G$40,MATCH(O1246,Setup!$B$33:$B$40,0)),0)=1)*(COUNTIF(O1208:Q1225,$B1246)+COUNTIF(O1208:Q1225,$B1246&amp;" ~*")&gt;0)+(IFERROR(INDEX(Setup!$G$33:$G$40,MATCH(S1246,Setup!$B$33:$B$40,0)),0)=1)*(COUNTIF(S1208:U1225,$B1246)+COUNTIF(S1208:U1225,$B1246&amp;" ~*")&gt;0)+(IFERROR(INDEX(Setup!$G$33:$G$40,MATCH(W1246,Setup!$B$33:$B$40,0)),0)=1)*(COUNTIF(W1208:W1225,$B1246)+COUNTIF(W1208:W1225,$B1246&amp;" ~*")&gt;0)+(IFERROR(INDEX(Setup!$G$33:$G$40,MATCH(Y1246,Setup!$B$33:$B$40,0)),0)=1)*(COUNTIF(Y1208:Y1225,$B1246)+COUNTIF(Y1208:Y1225,$B1246&amp;" ~*")&gt;0))</f>
        <v/>
      </c>
    </row>
    <row r="1247" ht="15" customHeight="1">
      <c r="A1247" t="n">
        <v>25</v>
      </c>
      <c r="B1247" s="35">
        <f>IF(Setup!$B$26="","",Setup!$B$26)</f>
        <v/>
      </c>
      <c r="C1247" s="98" t="n"/>
      <c r="D1247" s="99" t="n"/>
      <c r="E1247" s="99" t="n"/>
      <c r="F1247" s="100" t="n"/>
      <c r="G1247" s="98" t="n"/>
      <c r="H1247" s="99" t="n"/>
      <c r="I1247" s="99" t="n"/>
      <c r="J1247" s="100" t="n"/>
      <c r="K1247" s="98" t="n"/>
      <c r="L1247" s="99" t="n"/>
      <c r="M1247" s="99" t="n"/>
      <c r="N1247" s="100" t="n"/>
      <c r="O1247" s="98" t="n"/>
      <c r="P1247" s="99" t="n"/>
      <c r="Q1247" s="99" t="n"/>
      <c r="R1247" s="100" t="n"/>
      <c r="S1247" s="98" t="n"/>
      <c r="T1247" s="99" t="n"/>
      <c r="U1247" s="99" t="n"/>
      <c r="V1247" s="100" t="n"/>
      <c r="W1247" s="98" t="n"/>
      <c r="X1247" s="100" t="n"/>
      <c r="Y1247" s="98" t="n"/>
      <c r="Z1247" s="100" t="n"/>
      <c r="AB1247" s="101">
        <f>IF($B1247="","",(COUNTIF(C1208:E1225,$B1247)+COUNTIF(C1208:E1225,$B1247&amp;" ~*")&gt;0)+(COUNTIF(G1208:I1225,$B1247)+COUNTIF(G1208:I1225,$B1247&amp;" ~*")&gt;0)+(COUNTIF(K1208:M1225,$B1247)+COUNTIF(K1208:M1225,$B1247&amp;" ~*")&gt;0)+(COUNTIF(O1208:Q1225,$B1247)+COUNTIF(O1208:Q1225,$B1247&amp;" ~*")&gt;0)+(COUNTIF(S1208:U1225,$B1247)+COUNTIF(S1208:U1225,$B1247&amp;" ~*")&gt;0)+(COUNTIF(W1208:W1225,$B1247)+COUNTIF(W1208:W1225,$B1247&amp;" ~*")&gt;0)+(COUNTIF(Y1208:Y1225,$B1247)+COUNTIF(Y1208:Y1225,$B1247&amp;" ~*")&gt;0))</f>
        <v/>
      </c>
      <c r="AC1247" s="36">
        <f>IF($B1247="","",(IFERROR(INDEX(Setup!$G$33:$G$40,MATCH(C1247,Setup!$B$33:$B$40,0)),0)=1)*(COUNTIF(C1208:E1225,$B1247)+COUNTIF(C1208:E1225,$B1247&amp;" ~*")&gt;0)+(IFERROR(INDEX(Setup!$G$33:$G$40,MATCH(G1247,Setup!$B$33:$B$40,0)),0)=1)*(COUNTIF(G1208:I1225,$B1247)+COUNTIF(G1208:I1225,$B1247&amp;" ~*")&gt;0)+(IFERROR(INDEX(Setup!$G$33:$G$40,MATCH(K1247,Setup!$B$33:$B$40,0)),0)=1)*(COUNTIF(K1208:M1225,$B1247)+COUNTIF(K1208:M1225,$B1247&amp;" ~*")&gt;0)+(IFERROR(INDEX(Setup!$G$33:$G$40,MATCH(O1247,Setup!$B$33:$B$40,0)),0)=1)*(COUNTIF(O1208:Q1225,$B1247)+COUNTIF(O1208:Q1225,$B1247&amp;" ~*")&gt;0)+(IFERROR(INDEX(Setup!$G$33:$G$40,MATCH(S1247,Setup!$B$33:$B$40,0)),0)=1)*(COUNTIF(S1208:U1225,$B1247)+COUNTIF(S1208:U1225,$B1247&amp;" ~*")&gt;0)+(IFERROR(INDEX(Setup!$G$33:$G$40,MATCH(W1247,Setup!$B$33:$B$40,0)),0)=1)*(COUNTIF(W1208:W1225,$B1247)+COUNTIF(W1208:W1225,$B1247&amp;" ~*")&gt;0)+(IFERROR(INDEX(Setup!$G$33:$G$40,MATCH(Y1247,Setup!$B$33:$B$40,0)),0)=1)*(COUNTIF(Y1208:Y1225,$B1247)+COUNTIF(Y1208:Y1225,$B1247&amp;" ~*")&gt;0))</f>
        <v/>
      </c>
    </row>
    <row r="1248" ht="15" customHeight="1">
      <c r="A1248" t="n">
        <v>25</v>
      </c>
      <c r="B1248" s="37">
        <f>IF(Setup!$B$27="","",Setup!$B$27)</f>
        <v/>
      </c>
      <c r="C1248" s="102" t="n"/>
      <c r="D1248" s="103" t="n"/>
      <c r="E1248" s="103" t="n"/>
      <c r="F1248" s="104" t="n"/>
      <c r="G1248" s="102" t="n"/>
      <c r="H1248" s="103" t="n"/>
      <c r="I1248" s="103" t="n"/>
      <c r="J1248" s="104" t="n"/>
      <c r="K1248" s="102" t="n"/>
      <c r="L1248" s="103" t="n"/>
      <c r="M1248" s="103" t="n"/>
      <c r="N1248" s="104" t="n"/>
      <c r="O1248" s="102" t="n"/>
      <c r="P1248" s="103" t="n"/>
      <c r="Q1248" s="103" t="n"/>
      <c r="R1248" s="104" t="n"/>
      <c r="S1248" s="102" t="n"/>
      <c r="T1248" s="103" t="n"/>
      <c r="U1248" s="103" t="n"/>
      <c r="V1248" s="104" t="n"/>
      <c r="W1248" s="102" t="n"/>
      <c r="X1248" s="104" t="n"/>
      <c r="Y1248" s="102" t="n"/>
      <c r="Z1248" s="104" t="n"/>
      <c r="AB1248" s="105">
        <f>IF($B1248="","",(COUNTIF(C1208:E1225,$B1248)+COUNTIF(C1208:E1225,$B1248&amp;" ~*")&gt;0)+(COUNTIF(G1208:I1225,$B1248)+COUNTIF(G1208:I1225,$B1248&amp;" ~*")&gt;0)+(COUNTIF(K1208:M1225,$B1248)+COUNTIF(K1208:M1225,$B1248&amp;" ~*")&gt;0)+(COUNTIF(O1208:Q1225,$B1248)+COUNTIF(O1208:Q1225,$B1248&amp;" ~*")&gt;0)+(COUNTIF(S1208:U1225,$B1248)+COUNTIF(S1208:U1225,$B1248&amp;" ~*")&gt;0)+(COUNTIF(W1208:W1225,$B1248)+COUNTIF(W1208:W1225,$B1248&amp;" ~*")&gt;0)+(COUNTIF(Y1208:Y1225,$B1248)+COUNTIF(Y1208:Y1225,$B1248&amp;" ~*")&gt;0))</f>
        <v/>
      </c>
      <c r="AC1248" s="38">
        <f>IF($B1248="","",(IFERROR(INDEX(Setup!$G$33:$G$40,MATCH(C1248,Setup!$B$33:$B$40,0)),0)=1)*(COUNTIF(C1208:E1225,$B1248)+COUNTIF(C1208:E1225,$B1248&amp;" ~*")&gt;0)+(IFERROR(INDEX(Setup!$G$33:$G$40,MATCH(G1248,Setup!$B$33:$B$40,0)),0)=1)*(COUNTIF(G1208:I1225,$B1248)+COUNTIF(G1208:I1225,$B1248&amp;" ~*")&gt;0)+(IFERROR(INDEX(Setup!$G$33:$G$40,MATCH(K1248,Setup!$B$33:$B$40,0)),0)=1)*(COUNTIF(K1208:M1225,$B1248)+COUNTIF(K1208:M1225,$B1248&amp;" ~*")&gt;0)+(IFERROR(INDEX(Setup!$G$33:$G$40,MATCH(O1248,Setup!$B$33:$B$40,0)),0)=1)*(COUNTIF(O1208:Q1225,$B1248)+COUNTIF(O1208:Q1225,$B1248&amp;" ~*")&gt;0)+(IFERROR(INDEX(Setup!$G$33:$G$40,MATCH(S1248,Setup!$B$33:$B$40,0)),0)=1)*(COUNTIF(S1208:U1225,$B1248)+COUNTIF(S1208:U1225,$B1248&amp;" ~*")&gt;0)+(IFERROR(INDEX(Setup!$G$33:$G$40,MATCH(W1248,Setup!$B$33:$B$40,0)),0)=1)*(COUNTIF(W1208:W1225,$B1248)+COUNTIF(W1208:W1225,$B1248&amp;" ~*")&gt;0)+(IFERROR(INDEX(Setup!$G$33:$G$40,MATCH(Y1248,Setup!$B$33:$B$40,0)),0)=1)*(COUNTIF(Y1208:Y1225,$B1248)+COUNTIF(Y1208:Y1225,$B1248&amp;" ~*")&gt;0))</f>
        <v/>
      </c>
    </row>
    <row r="1249" ht="15" customHeight="1">
      <c r="A1249" t="n">
        <v>25</v>
      </c>
      <c r="B1249" s="35">
        <f>IF(Setup!$B$28="","",Setup!$B$28)</f>
        <v/>
      </c>
      <c r="C1249" s="98" t="n"/>
      <c r="D1249" s="99" t="n"/>
      <c r="E1249" s="99" t="n"/>
      <c r="F1249" s="100" t="n"/>
      <c r="G1249" s="98" t="n"/>
      <c r="H1249" s="99" t="n"/>
      <c r="I1249" s="99" t="n"/>
      <c r="J1249" s="100" t="n"/>
      <c r="K1249" s="98" t="n"/>
      <c r="L1249" s="99" t="n"/>
      <c r="M1249" s="99" t="n"/>
      <c r="N1249" s="100" t="n"/>
      <c r="O1249" s="98" t="n"/>
      <c r="P1249" s="99" t="n"/>
      <c r="Q1249" s="99" t="n"/>
      <c r="R1249" s="100" t="n"/>
      <c r="S1249" s="98" t="n"/>
      <c r="T1249" s="99" t="n"/>
      <c r="U1249" s="99" t="n"/>
      <c r="V1249" s="100" t="n"/>
      <c r="W1249" s="98" t="n"/>
      <c r="X1249" s="100" t="n"/>
      <c r="Y1249" s="98" t="n"/>
      <c r="Z1249" s="100" t="n"/>
      <c r="AB1249" s="101">
        <f>IF($B1249="","",(COUNTIF(C1208:E1225,$B1249)+COUNTIF(C1208:E1225,$B1249&amp;" ~*")&gt;0)+(COUNTIF(G1208:I1225,$B1249)+COUNTIF(G1208:I1225,$B1249&amp;" ~*")&gt;0)+(COUNTIF(K1208:M1225,$B1249)+COUNTIF(K1208:M1225,$B1249&amp;" ~*")&gt;0)+(COUNTIF(O1208:Q1225,$B1249)+COUNTIF(O1208:Q1225,$B1249&amp;" ~*")&gt;0)+(COUNTIF(S1208:U1225,$B1249)+COUNTIF(S1208:U1225,$B1249&amp;" ~*")&gt;0)+(COUNTIF(W1208:W1225,$B1249)+COUNTIF(W1208:W1225,$B1249&amp;" ~*")&gt;0)+(COUNTIF(Y1208:Y1225,$B1249)+COUNTIF(Y1208:Y1225,$B1249&amp;" ~*")&gt;0))</f>
        <v/>
      </c>
      <c r="AC1249" s="36">
        <f>IF($B1249="","",(IFERROR(INDEX(Setup!$G$33:$G$40,MATCH(C1249,Setup!$B$33:$B$40,0)),0)=1)*(COUNTIF(C1208:E1225,$B1249)+COUNTIF(C1208:E1225,$B1249&amp;" ~*")&gt;0)+(IFERROR(INDEX(Setup!$G$33:$G$40,MATCH(G1249,Setup!$B$33:$B$40,0)),0)=1)*(COUNTIF(G1208:I1225,$B1249)+COUNTIF(G1208:I1225,$B1249&amp;" ~*")&gt;0)+(IFERROR(INDEX(Setup!$G$33:$G$40,MATCH(K1249,Setup!$B$33:$B$40,0)),0)=1)*(COUNTIF(K1208:M1225,$B1249)+COUNTIF(K1208:M1225,$B1249&amp;" ~*")&gt;0)+(IFERROR(INDEX(Setup!$G$33:$G$40,MATCH(O1249,Setup!$B$33:$B$40,0)),0)=1)*(COUNTIF(O1208:Q1225,$B1249)+COUNTIF(O1208:Q1225,$B1249&amp;" ~*")&gt;0)+(IFERROR(INDEX(Setup!$G$33:$G$40,MATCH(S1249,Setup!$B$33:$B$40,0)),0)=1)*(COUNTIF(S1208:U1225,$B1249)+COUNTIF(S1208:U1225,$B1249&amp;" ~*")&gt;0)+(IFERROR(INDEX(Setup!$G$33:$G$40,MATCH(W1249,Setup!$B$33:$B$40,0)),0)=1)*(COUNTIF(W1208:W1225,$B1249)+COUNTIF(W1208:W1225,$B1249&amp;" ~*")&gt;0)+(IFERROR(INDEX(Setup!$G$33:$G$40,MATCH(Y1249,Setup!$B$33:$B$40,0)),0)=1)*(COUNTIF(Y1208:Y1225,$B1249)+COUNTIF(Y1208:Y1225,$B1249&amp;" ~*")&gt;0))</f>
        <v/>
      </c>
    </row>
    <row r="1250" ht="15" customHeight="1">
      <c r="A1250" t="n">
        <v>25</v>
      </c>
      <c r="B1250" s="37">
        <f>IF(Setup!$B$29="","",Setup!$B$29)</f>
        <v/>
      </c>
      <c r="C1250" s="102" t="n"/>
      <c r="D1250" s="103" t="n"/>
      <c r="E1250" s="103" t="n"/>
      <c r="F1250" s="104" t="n"/>
      <c r="G1250" s="102" t="n"/>
      <c r="H1250" s="103" t="n"/>
      <c r="I1250" s="103" t="n"/>
      <c r="J1250" s="104" t="n"/>
      <c r="K1250" s="102" t="n"/>
      <c r="L1250" s="103" t="n"/>
      <c r="M1250" s="103" t="n"/>
      <c r="N1250" s="104" t="n"/>
      <c r="O1250" s="102" t="n"/>
      <c r="P1250" s="103" t="n"/>
      <c r="Q1250" s="103" t="n"/>
      <c r="R1250" s="104" t="n"/>
      <c r="S1250" s="102" t="n"/>
      <c r="T1250" s="103" t="n"/>
      <c r="U1250" s="103" t="n"/>
      <c r="V1250" s="104" t="n"/>
      <c r="W1250" s="102" t="n"/>
      <c r="X1250" s="104" t="n"/>
      <c r="Y1250" s="102" t="n"/>
      <c r="Z1250" s="104" t="n"/>
      <c r="AB1250" s="105">
        <f>IF($B1250="","",(COUNTIF(C1208:E1225,$B1250)+COUNTIF(C1208:E1225,$B1250&amp;" ~*")&gt;0)+(COUNTIF(G1208:I1225,$B1250)+COUNTIF(G1208:I1225,$B1250&amp;" ~*")&gt;0)+(COUNTIF(K1208:M1225,$B1250)+COUNTIF(K1208:M1225,$B1250&amp;" ~*")&gt;0)+(COUNTIF(O1208:Q1225,$B1250)+COUNTIF(O1208:Q1225,$B1250&amp;" ~*")&gt;0)+(COUNTIF(S1208:U1225,$B1250)+COUNTIF(S1208:U1225,$B1250&amp;" ~*")&gt;0)+(COUNTIF(W1208:W1225,$B1250)+COUNTIF(W1208:W1225,$B1250&amp;" ~*")&gt;0)+(COUNTIF(Y1208:Y1225,$B1250)+COUNTIF(Y1208:Y1225,$B1250&amp;" ~*")&gt;0))</f>
        <v/>
      </c>
      <c r="AC1250" s="38">
        <f>IF($B1250="","",(IFERROR(INDEX(Setup!$G$33:$G$40,MATCH(C1250,Setup!$B$33:$B$40,0)),0)=1)*(COUNTIF(C1208:E1225,$B1250)+COUNTIF(C1208:E1225,$B1250&amp;" ~*")&gt;0)+(IFERROR(INDEX(Setup!$G$33:$G$40,MATCH(G1250,Setup!$B$33:$B$40,0)),0)=1)*(COUNTIF(G1208:I1225,$B1250)+COUNTIF(G1208:I1225,$B1250&amp;" ~*")&gt;0)+(IFERROR(INDEX(Setup!$G$33:$G$40,MATCH(K1250,Setup!$B$33:$B$40,0)),0)=1)*(COUNTIF(K1208:M1225,$B1250)+COUNTIF(K1208:M1225,$B1250&amp;" ~*")&gt;0)+(IFERROR(INDEX(Setup!$G$33:$G$40,MATCH(O1250,Setup!$B$33:$B$40,0)),0)=1)*(COUNTIF(O1208:Q1225,$B1250)+COUNTIF(O1208:Q1225,$B1250&amp;" ~*")&gt;0)+(IFERROR(INDEX(Setup!$G$33:$G$40,MATCH(S1250,Setup!$B$33:$B$40,0)),0)=1)*(COUNTIF(S1208:U1225,$B1250)+COUNTIF(S1208:U1225,$B1250&amp;" ~*")&gt;0)+(IFERROR(INDEX(Setup!$G$33:$G$40,MATCH(W1250,Setup!$B$33:$B$40,0)),0)=1)*(COUNTIF(W1208:W1225,$B1250)+COUNTIF(W1208:W1225,$B1250&amp;" ~*")&gt;0)+(IFERROR(INDEX(Setup!$G$33:$G$40,MATCH(Y1250,Setup!$B$33:$B$40,0)),0)=1)*(COUNTIF(Y1208:Y1225,$B1250)+COUNTIF(Y1208:Y1225,$B1250&amp;" ~*")&gt;0))</f>
        <v/>
      </c>
    </row>
    <row r="1251" ht="16" customHeight="1">
      <c r="A1251" t="n">
        <v>25</v>
      </c>
      <c r="B1251" s="106" t="inlineStr">
        <is>
          <t>Available people</t>
        </is>
      </c>
      <c r="C1251" s="107">
        <f>COUNTIFS(Setup!$E$6:$E$29,"Y",Setup!$B$6:$B$29,"?*")-SUMPRODUCT(COUNTIF(C1227:C1250,Setup!$F$33:$F$40))</f>
        <v/>
      </c>
      <c r="D1251" s="107" t="n"/>
      <c r="E1251" s="107" t="n"/>
      <c r="F1251" s="107" t="n"/>
      <c r="G1251" s="107">
        <f>COUNTIFS(Setup!$E$6:$E$29,"Y",Setup!$B$6:$B$29,"?*")-SUMPRODUCT(COUNTIF(G1227:G1250,Setup!$F$33:$F$40))</f>
        <v/>
      </c>
      <c r="H1251" s="107" t="n"/>
      <c r="I1251" s="107" t="n"/>
      <c r="J1251" s="107" t="n"/>
      <c r="K1251" s="107">
        <f>COUNTIFS(Setup!$E$6:$E$29,"Y",Setup!$B$6:$B$29,"?*")-SUMPRODUCT(COUNTIF(K1227:K1250,Setup!$F$33:$F$40))</f>
        <v/>
      </c>
      <c r="L1251" s="107" t="n"/>
      <c r="M1251" s="107" t="n"/>
      <c r="N1251" s="107" t="n"/>
      <c r="O1251" s="107">
        <f>COUNTIFS(Setup!$E$6:$E$29,"Y",Setup!$B$6:$B$29,"?*")-SUMPRODUCT(COUNTIF(O1227:O1250,Setup!$F$33:$F$40))</f>
        <v/>
      </c>
      <c r="P1251" s="107" t="n"/>
      <c r="Q1251" s="107" t="n"/>
      <c r="R1251" s="107" t="n"/>
      <c r="S1251" s="107">
        <f>COUNTIFS(Setup!$E$6:$E$29,"Y",Setup!$B$6:$B$29,"?*")-SUMPRODUCT(COUNTIF(S1227:S1250,Setup!$F$33:$F$40))</f>
        <v/>
      </c>
      <c r="T1251" s="107" t="n"/>
      <c r="U1251" s="107" t="n"/>
      <c r="V1251" s="107" t="n"/>
      <c r="W1251" s="107">
        <f>COUNTIFS(Setup!$E$6:$E$29,"Y",Setup!$B$6:$B$29,"?*")-SUMPRODUCT(COUNTIF(W1227:W1250,Setup!$F$33:$F$40))</f>
        <v/>
      </c>
      <c r="X1251" s="107" t="n"/>
      <c r="Y1251" s="107">
        <f>COUNTIFS(Setup!$E$6:$E$29,"Y",Setup!$B$6:$B$29,"?*")-SUMPRODUCT(COUNTIF(Y1227:Y1250,Setup!$F$33:$F$40))</f>
        <v/>
      </c>
      <c r="Z1251" s="107" t="n"/>
      <c r="AB1251" s="108">
        <f>SUM(AB1227:AB1250)</f>
        <v/>
      </c>
      <c r="AC1251" s="109">
        <f>SUM(AC1227:AC1250)</f>
        <v/>
      </c>
    </row>
    <row r="1252" ht="30" customHeight="1">
      <c r="A1252" t="n">
        <v>25</v>
      </c>
      <c r="B1252" s="110" t="inlineStr">
        <is>
          <t>Week notes</t>
        </is>
      </c>
      <c r="C1252" s="111" t="n"/>
      <c r="D1252" s="112" t="n"/>
      <c r="E1252" s="112" t="n"/>
      <c r="F1252" s="112" t="n"/>
      <c r="G1252" s="112" t="n"/>
      <c r="H1252" s="112" t="n"/>
      <c r="I1252" s="112" t="n"/>
      <c r="J1252" s="112" t="n"/>
      <c r="K1252" s="112" t="n"/>
      <c r="L1252" s="112" t="n"/>
      <c r="M1252" s="112" t="n"/>
      <c r="N1252" s="112" t="n"/>
      <c r="O1252" s="112" t="n"/>
      <c r="P1252" s="112" t="n"/>
      <c r="Q1252" s="112" t="n"/>
      <c r="R1252" s="112" t="n"/>
      <c r="S1252" s="112" t="n"/>
      <c r="T1252" s="112" t="n"/>
      <c r="U1252" s="112" t="n"/>
      <c r="V1252" s="112" t="n"/>
      <c r="W1252" s="112" t="n"/>
      <c r="X1252" s="112" t="n"/>
      <c r="Y1252" s="112" t="n"/>
      <c r="Z1252" s="113" t="n"/>
    </row>
    <row r="1253" ht="8" customHeight="1">
      <c r="A1253" t="n">
        <v>25</v>
      </c>
    </row>
    <row r="1254" ht="8" customHeight="1">
      <c r="A1254" t="n">
        <v>25</v>
      </c>
    </row>
    <row r="1255" ht="24" customHeight="1">
      <c r="A1255" t="n">
        <v>26</v>
      </c>
      <c r="B1255" s="73">
        <f>"WEEK 26     "&amp;TEXT(C1256,"ddd d mmm")&amp;"  –  "&amp;TEXT(C1256+6,"ddd d mmm yyyy")</f>
        <v/>
      </c>
      <c r="S1255" s="74">
        <f>IF(TODAY()&lt;C1256,"FUTURE",IF(TODAY()&gt;C1256+6,"PAST","THIS WEEK"))</f>
        <v/>
      </c>
      <c r="W1255" s="75">
        <f>IF(AND(Engine!$B$8=$AC$3,Engine!$B$9=$A1255),"◀ ACTIVE WEEK","")</f>
        <v/>
      </c>
      <c r="AA1255" s="76" t="n"/>
      <c r="AB1255" s="77" t="inlineStr">
        <is>
          <t>◀ Prev</t>
        </is>
      </c>
      <c r="AC1255" s="77" t="inlineStr">
        <is>
          <t>Next ▶</t>
        </is>
      </c>
    </row>
    <row r="1256" ht="18" customHeight="1">
      <c r="A1256" t="n">
        <v>26</v>
      </c>
      <c r="B1256" s="78" t="inlineStr">
        <is>
          <t>DUTY</t>
        </is>
      </c>
      <c r="C1256" s="79">
        <f>$AC$2+7*($A1256-1)</f>
        <v/>
      </c>
      <c r="D1256" s="80" t="n"/>
      <c r="E1256" s="80" t="n"/>
      <c r="F1256" s="81" t="n"/>
      <c r="G1256" s="79">
        <f>C1256+1</f>
        <v/>
      </c>
      <c r="H1256" s="80" t="n"/>
      <c r="I1256" s="80" t="n"/>
      <c r="J1256" s="81" t="n"/>
      <c r="K1256" s="79">
        <f>C1256+2</f>
        <v/>
      </c>
      <c r="L1256" s="80" t="n"/>
      <c r="M1256" s="80" t="n"/>
      <c r="N1256" s="81" t="n"/>
      <c r="O1256" s="79">
        <f>C1256+3</f>
        <v/>
      </c>
      <c r="P1256" s="80" t="n"/>
      <c r="Q1256" s="80" t="n"/>
      <c r="R1256" s="81" t="n"/>
      <c r="S1256" s="79">
        <f>C1256+4</f>
        <v/>
      </c>
      <c r="T1256" s="80" t="n"/>
      <c r="U1256" s="80" t="n"/>
      <c r="V1256" s="81" t="n"/>
      <c r="W1256" s="82">
        <f>C1256+5</f>
        <v/>
      </c>
      <c r="X1256" s="83" t="n"/>
      <c r="Y1256" s="82">
        <f>C1256+6</f>
        <v/>
      </c>
      <c r="Z1256" s="83" t="n"/>
      <c r="AB1256" s="72" t="inlineStr">
        <is>
          <t>Gaps</t>
        </is>
      </c>
      <c r="AC1256" s="72" t="inlineStr">
        <is>
          <t>Cover</t>
        </is>
      </c>
    </row>
    <row r="1257" ht="14" customHeight="1">
      <c r="A1257" t="n">
        <v>26</v>
      </c>
      <c r="B1257" s="84" t="inlineStr">
        <is>
          <t>(from Setup)</t>
        </is>
      </c>
      <c r="C1257" s="85" t="inlineStr">
        <is>
          <t>1</t>
        </is>
      </c>
      <c r="D1257" s="85" t="inlineStr">
        <is>
          <t>2</t>
        </is>
      </c>
      <c r="E1257" s="85" t="inlineStr">
        <is>
          <t>3</t>
        </is>
      </c>
      <c r="F1257" s="85" t="inlineStr">
        <is>
          <t>Notes</t>
        </is>
      </c>
      <c r="G1257" s="85" t="inlineStr">
        <is>
          <t>1</t>
        </is>
      </c>
      <c r="H1257" s="85" t="inlineStr">
        <is>
          <t>2</t>
        </is>
      </c>
      <c r="I1257" s="85" t="inlineStr">
        <is>
          <t>3</t>
        </is>
      </c>
      <c r="J1257" s="85" t="inlineStr">
        <is>
          <t>Notes</t>
        </is>
      </c>
      <c r="K1257" s="85" t="inlineStr">
        <is>
          <t>1</t>
        </is>
      </c>
      <c r="L1257" s="85" t="inlineStr">
        <is>
          <t>2</t>
        </is>
      </c>
      <c r="M1257" s="85" t="inlineStr">
        <is>
          <t>3</t>
        </is>
      </c>
      <c r="N1257" s="85" t="inlineStr">
        <is>
          <t>Notes</t>
        </is>
      </c>
      <c r="O1257" s="85" t="inlineStr">
        <is>
          <t>1</t>
        </is>
      </c>
      <c r="P1257" s="85" t="inlineStr">
        <is>
          <t>2</t>
        </is>
      </c>
      <c r="Q1257" s="85" t="inlineStr">
        <is>
          <t>3</t>
        </is>
      </c>
      <c r="R1257" s="85" t="inlineStr">
        <is>
          <t>Notes</t>
        </is>
      </c>
      <c r="S1257" s="85" t="inlineStr">
        <is>
          <t>1</t>
        </is>
      </c>
      <c r="T1257" s="85" t="inlineStr">
        <is>
          <t>2</t>
        </is>
      </c>
      <c r="U1257" s="85" t="inlineStr">
        <is>
          <t>3</t>
        </is>
      </c>
      <c r="V1257" s="85" t="inlineStr">
        <is>
          <t>Notes</t>
        </is>
      </c>
      <c r="W1257" s="85" t="inlineStr">
        <is>
          <t>Cover</t>
        </is>
      </c>
      <c r="X1257" s="85" t="inlineStr">
        <is>
          <t>Notes</t>
        </is>
      </c>
      <c r="Y1257" s="85" t="inlineStr">
        <is>
          <t>Cover</t>
        </is>
      </c>
      <c r="Z1257" s="85" t="inlineStr">
        <is>
          <t>Notes</t>
        </is>
      </c>
      <c r="AB1257" s="86" t="inlineStr">
        <is>
          <t>weekdays short</t>
        </is>
      </c>
      <c r="AC1257" s="87" t="inlineStr"/>
    </row>
    <row r="1258" ht="17" customHeight="1">
      <c r="A1258" t="n">
        <v>26</v>
      </c>
      <c r="B1258" s="24">
        <f>IF(Setup!$K$6="","",Setup!$K$6)</f>
        <v/>
      </c>
      <c r="C1258" s="88" t="n"/>
      <c r="D1258" s="88" t="n"/>
      <c r="E1258" s="88" t="n"/>
      <c r="F1258" s="89" t="n"/>
      <c r="G1258" s="88" t="n"/>
      <c r="H1258" s="88" t="n"/>
      <c r="I1258" s="88" t="n"/>
      <c r="J1258" s="89" t="n"/>
      <c r="K1258" s="88" t="n"/>
      <c r="L1258" s="88" t="n"/>
      <c r="M1258" s="88" t="n"/>
      <c r="N1258" s="89" t="n"/>
      <c r="O1258" s="88" t="n"/>
      <c r="P1258" s="88" t="n"/>
      <c r="Q1258" s="88" t="n"/>
      <c r="R1258" s="89" t="n"/>
      <c r="S1258" s="88" t="n"/>
      <c r="T1258" s="88" t="n"/>
      <c r="U1258" s="88" t="n"/>
      <c r="V1258" s="89" t="n"/>
      <c r="W1258" s="88" t="n"/>
      <c r="X1258" s="89" t="n"/>
      <c r="Y1258" s="88" t="n"/>
      <c r="Z1258" s="89" t="n"/>
      <c r="AB1258" s="25">
        <f>IF($B1258="","",(COUNTIF(C1258:E1258,"?*")&lt;N(INDEX(Setup!$L$6:$L$23,1)))+(COUNTIF(G1258:I1258,"?*")&lt;N(INDEX(Setup!$L$6:$L$23,1)))+(COUNTIF(K1258:M1258,"?*")&lt;N(INDEX(Setup!$L$6:$L$23,1)))+(COUNTIF(O1258:Q1258,"?*")&lt;N(INDEX(Setup!$L$6:$L$23,1)))+(COUNTIF(S1258:U1258,"?*")&lt;N(INDEX(Setup!$L$6:$L$23,1)))+((W1258="")*(INDEX(Setup!$M$6:$M$23,1)="Y"))+((Y1258="")*(INDEX(Setup!$M$6:$M$23,1)="Y")))</f>
        <v/>
      </c>
      <c r="AC1258" s="90">
        <f>IF($B1258="","",IF(AB1258=0,"✓ covered","⚠ "&amp;AB1258&amp;IF(AB1258=1," gap"," gaps")))</f>
        <v/>
      </c>
    </row>
    <row r="1259" ht="17" customHeight="1">
      <c r="A1259" t="n">
        <v>26</v>
      </c>
      <c r="B1259" s="29">
        <f>IF(Setup!$K$7="","",Setup!$K$7)</f>
        <v/>
      </c>
      <c r="C1259" s="88" t="n"/>
      <c r="D1259" s="88" t="n"/>
      <c r="E1259" s="88" t="n"/>
      <c r="F1259" s="89" t="n"/>
      <c r="G1259" s="88" t="n"/>
      <c r="H1259" s="88" t="n"/>
      <c r="I1259" s="88" t="n"/>
      <c r="J1259" s="89" t="n"/>
      <c r="K1259" s="88" t="n"/>
      <c r="L1259" s="88" t="n"/>
      <c r="M1259" s="88" t="n"/>
      <c r="N1259" s="89" t="n"/>
      <c r="O1259" s="88" t="n"/>
      <c r="P1259" s="88" t="n"/>
      <c r="Q1259" s="88" t="n"/>
      <c r="R1259" s="89" t="n"/>
      <c r="S1259" s="88" t="n"/>
      <c r="T1259" s="88" t="n"/>
      <c r="U1259" s="88" t="n"/>
      <c r="V1259" s="89" t="n"/>
      <c r="W1259" s="88" t="n"/>
      <c r="X1259" s="89" t="n"/>
      <c r="Y1259" s="88" t="n"/>
      <c r="Z1259" s="89" t="n"/>
      <c r="AB1259" s="30">
        <f>IF($B1259="","",(COUNTIF(C1259:E1259,"?*")&lt;N(INDEX(Setup!$L$6:$L$23,2)))+(COUNTIF(G1259:I1259,"?*")&lt;N(INDEX(Setup!$L$6:$L$23,2)))+(COUNTIF(K1259:M1259,"?*")&lt;N(INDEX(Setup!$L$6:$L$23,2)))+(COUNTIF(O1259:Q1259,"?*")&lt;N(INDEX(Setup!$L$6:$L$23,2)))+(COUNTIF(S1259:U1259,"?*")&lt;N(INDEX(Setup!$L$6:$L$23,2)))+((W1259="")*(INDEX(Setup!$M$6:$M$23,2)="Y"))+((Y1259="")*(INDEX(Setup!$M$6:$M$23,2)="Y")))</f>
        <v/>
      </c>
      <c r="AC1259" s="91">
        <f>IF($B1259="","",IF(AB1259=0,"✓ covered","⚠ "&amp;AB1259&amp;IF(AB1259=1," gap"," gaps")))</f>
        <v/>
      </c>
    </row>
    <row r="1260" ht="17" customHeight="1">
      <c r="A1260" t="n">
        <v>26</v>
      </c>
      <c r="B1260" s="24">
        <f>IF(Setup!$K$8="","",Setup!$K$8)</f>
        <v/>
      </c>
      <c r="C1260" s="88" t="n"/>
      <c r="D1260" s="88" t="n"/>
      <c r="E1260" s="88" t="n"/>
      <c r="F1260" s="89" t="n"/>
      <c r="G1260" s="88" t="n"/>
      <c r="H1260" s="88" t="n"/>
      <c r="I1260" s="88" t="n"/>
      <c r="J1260" s="89" t="n"/>
      <c r="K1260" s="88" t="n"/>
      <c r="L1260" s="88" t="n"/>
      <c r="M1260" s="88" t="n"/>
      <c r="N1260" s="89" t="n"/>
      <c r="O1260" s="88" t="n"/>
      <c r="P1260" s="88" t="n"/>
      <c r="Q1260" s="88" t="n"/>
      <c r="R1260" s="89" t="n"/>
      <c r="S1260" s="88" t="n"/>
      <c r="T1260" s="88" t="n"/>
      <c r="U1260" s="88" t="n"/>
      <c r="V1260" s="89" t="n"/>
      <c r="W1260" s="88" t="n"/>
      <c r="X1260" s="89" t="n"/>
      <c r="Y1260" s="88" t="n"/>
      <c r="Z1260" s="89" t="n"/>
      <c r="AB1260" s="25">
        <f>IF($B1260="","",(COUNTIF(C1260:E1260,"?*")&lt;N(INDEX(Setup!$L$6:$L$23,3)))+(COUNTIF(G1260:I1260,"?*")&lt;N(INDEX(Setup!$L$6:$L$23,3)))+(COUNTIF(K1260:M1260,"?*")&lt;N(INDEX(Setup!$L$6:$L$23,3)))+(COUNTIF(O1260:Q1260,"?*")&lt;N(INDEX(Setup!$L$6:$L$23,3)))+(COUNTIF(S1260:U1260,"?*")&lt;N(INDEX(Setup!$L$6:$L$23,3)))+((W1260="")*(INDEX(Setup!$M$6:$M$23,3)="Y"))+((Y1260="")*(INDEX(Setup!$M$6:$M$23,3)="Y")))</f>
        <v/>
      </c>
      <c r="AC1260" s="90">
        <f>IF($B1260="","",IF(AB1260=0,"✓ covered","⚠ "&amp;AB1260&amp;IF(AB1260=1," gap"," gaps")))</f>
        <v/>
      </c>
    </row>
    <row r="1261" ht="17" customHeight="1">
      <c r="A1261" t="n">
        <v>26</v>
      </c>
      <c r="B1261" s="29">
        <f>IF(Setup!$K$9="","",Setup!$K$9)</f>
        <v/>
      </c>
      <c r="C1261" s="88" t="n"/>
      <c r="D1261" s="88" t="n"/>
      <c r="E1261" s="88" t="n"/>
      <c r="F1261" s="89" t="n"/>
      <c r="G1261" s="88" t="n"/>
      <c r="H1261" s="88" t="n"/>
      <c r="I1261" s="88" t="n"/>
      <c r="J1261" s="89" t="n"/>
      <c r="K1261" s="88" t="n"/>
      <c r="L1261" s="88" t="n"/>
      <c r="M1261" s="88" t="n"/>
      <c r="N1261" s="89" t="n"/>
      <c r="O1261" s="88" t="n"/>
      <c r="P1261" s="88" t="n"/>
      <c r="Q1261" s="88" t="n"/>
      <c r="R1261" s="89" t="n"/>
      <c r="S1261" s="88" t="n"/>
      <c r="T1261" s="88" t="n"/>
      <c r="U1261" s="88" t="n"/>
      <c r="V1261" s="89" t="n"/>
      <c r="W1261" s="88" t="n"/>
      <c r="X1261" s="89" t="n"/>
      <c r="Y1261" s="88" t="n"/>
      <c r="Z1261" s="89" t="n"/>
      <c r="AB1261" s="30">
        <f>IF($B1261="","",(COUNTIF(C1261:E1261,"?*")&lt;N(INDEX(Setup!$L$6:$L$23,4)))+(COUNTIF(G1261:I1261,"?*")&lt;N(INDEX(Setup!$L$6:$L$23,4)))+(COUNTIF(K1261:M1261,"?*")&lt;N(INDEX(Setup!$L$6:$L$23,4)))+(COUNTIF(O1261:Q1261,"?*")&lt;N(INDEX(Setup!$L$6:$L$23,4)))+(COUNTIF(S1261:U1261,"?*")&lt;N(INDEX(Setup!$L$6:$L$23,4)))+((W1261="")*(INDEX(Setup!$M$6:$M$23,4)="Y"))+((Y1261="")*(INDEX(Setup!$M$6:$M$23,4)="Y")))</f>
        <v/>
      </c>
      <c r="AC1261" s="91">
        <f>IF($B1261="","",IF(AB1261=0,"✓ covered","⚠ "&amp;AB1261&amp;IF(AB1261=1," gap"," gaps")))</f>
        <v/>
      </c>
    </row>
    <row r="1262" ht="17" customHeight="1">
      <c r="A1262" t="n">
        <v>26</v>
      </c>
      <c r="B1262" s="24">
        <f>IF(Setup!$K$10="","",Setup!$K$10)</f>
        <v/>
      </c>
      <c r="C1262" s="88" t="n"/>
      <c r="D1262" s="88" t="n"/>
      <c r="E1262" s="88" t="n"/>
      <c r="F1262" s="89" t="n"/>
      <c r="G1262" s="88" t="n"/>
      <c r="H1262" s="88" t="n"/>
      <c r="I1262" s="88" t="n"/>
      <c r="J1262" s="89" t="n"/>
      <c r="K1262" s="88" t="n"/>
      <c r="L1262" s="88" t="n"/>
      <c r="M1262" s="88" t="n"/>
      <c r="N1262" s="89" t="n"/>
      <c r="O1262" s="88" t="n"/>
      <c r="P1262" s="88" t="n"/>
      <c r="Q1262" s="88" t="n"/>
      <c r="R1262" s="89" t="n"/>
      <c r="S1262" s="88" t="n"/>
      <c r="T1262" s="88" t="n"/>
      <c r="U1262" s="88" t="n"/>
      <c r="V1262" s="89" t="n"/>
      <c r="W1262" s="88" t="n"/>
      <c r="X1262" s="89" t="n"/>
      <c r="Y1262" s="88" t="n"/>
      <c r="Z1262" s="89" t="n"/>
      <c r="AB1262" s="25">
        <f>IF($B1262="","",(COUNTIF(C1262:E1262,"?*")&lt;N(INDEX(Setup!$L$6:$L$23,5)))+(COUNTIF(G1262:I1262,"?*")&lt;N(INDEX(Setup!$L$6:$L$23,5)))+(COUNTIF(K1262:M1262,"?*")&lt;N(INDEX(Setup!$L$6:$L$23,5)))+(COUNTIF(O1262:Q1262,"?*")&lt;N(INDEX(Setup!$L$6:$L$23,5)))+(COUNTIF(S1262:U1262,"?*")&lt;N(INDEX(Setup!$L$6:$L$23,5)))+((W1262="")*(INDEX(Setup!$M$6:$M$23,5)="Y"))+((Y1262="")*(INDEX(Setup!$M$6:$M$23,5)="Y")))</f>
        <v/>
      </c>
      <c r="AC1262" s="90">
        <f>IF($B1262="","",IF(AB1262=0,"✓ covered","⚠ "&amp;AB1262&amp;IF(AB1262=1," gap"," gaps")))</f>
        <v/>
      </c>
    </row>
    <row r="1263" ht="17" customHeight="1">
      <c r="A1263" t="n">
        <v>26</v>
      </c>
      <c r="B1263" s="29">
        <f>IF(Setup!$K$11="","",Setup!$K$11)</f>
        <v/>
      </c>
      <c r="C1263" s="88" t="n"/>
      <c r="D1263" s="88" t="n"/>
      <c r="E1263" s="88" t="n"/>
      <c r="F1263" s="89" t="n"/>
      <c r="G1263" s="88" t="n"/>
      <c r="H1263" s="88" t="n"/>
      <c r="I1263" s="88" t="n"/>
      <c r="J1263" s="89" t="n"/>
      <c r="K1263" s="88" t="n"/>
      <c r="L1263" s="88" t="n"/>
      <c r="M1263" s="88" t="n"/>
      <c r="N1263" s="89" t="n"/>
      <c r="O1263" s="88" t="n"/>
      <c r="P1263" s="88" t="n"/>
      <c r="Q1263" s="88" t="n"/>
      <c r="R1263" s="89" t="n"/>
      <c r="S1263" s="88" t="n"/>
      <c r="T1263" s="88" t="n"/>
      <c r="U1263" s="88" t="n"/>
      <c r="V1263" s="89" t="n"/>
      <c r="W1263" s="88" t="n"/>
      <c r="X1263" s="89" t="n"/>
      <c r="Y1263" s="88" t="n"/>
      <c r="Z1263" s="89" t="n"/>
      <c r="AB1263" s="30">
        <f>IF($B1263="","",(COUNTIF(C1263:E1263,"?*")&lt;N(INDEX(Setup!$L$6:$L$23,6)))+(COUNTIF(G1263:I1263,"?*")&lt;N(INDEX(Setup!$L$6:$L$23,6)))+(COUNTIF(K1263:M1263,"?*")&lt;N(INDEX(Setup!$L$6:$L$23,6)))+(COUNTIF(O1263:Q1263,"?*")&lt;N(INDEX(Setup!$L$6:$L$23,6)))+(COUNTIF(S1263:U1263,"?*")&lt;N(INDEX(Setup!$L$6:$L$23,6)))+((W1263="")*(INDEX(Setup!$M$6:$M$23,6)="Y"))+((Y1263="")*(INDEX(Setup!$M$6:$M$23,6)="Y")))</f>
        <v/>
      </c>
      <c r="AC1263" s="91">
        <f>IF($B1263="","",IF(AB1263=0,"✓ covered","⚠ "&amp;AB1263&amp;IF(AB1263=1," gap"," gaps")))</f>
        <v/>
      </c>
    </row>
    <row r="1264" ht="17" customHeight="1">
      <c r="A1264" t="n">
        <v>26</v>
      </c>
      <c r="B1264" s="24">
        <f>IF(Setup!$K$12="","",Setup!$K$12)</f>
        <v/>
      </c>
      <c r="C1264" s="88" t="n"/>
      <c r="D1264" s="88" t="n"/>
      <c r="E1264" s="88" t="n"/>
      <c r="F1264" s="89" t="n"/>
      <c r="G1264" s="88" t="n"/>
      <c r="H1264" s="88" t="n"/>
      <c r="I1264" s="88" t="n"/>
      <c r="J1264" s="89" t="n"/>
      <c r="K1264" s="88" t="n"/>
      <c r="L1264" s="88" t="n"/>
      <c r="M1264" s="88" t="n"/>
      <c r="N1264" s="89" t="n"/>
      <c r="O1264" s="88" t="n"/>
      <c r="P1264" s="88" t="n"/>
      <c r="Q1264" s="88" t="n"/>
      <c r="R1264" s="89" t="n"/>
      <c r="S1264" s="88" t="n"/>
      <c r="T1264" s="88" t="n"/>
      <c r="U1264" s="88" t="n"/>
      <c r="V1264" s="89" t="n"/>
      <c r="W1264" s="88" t="n"/>
      <c r="X1264" s="89" t="n"/>
      <c r="Y1264" s="88" t="n"/>
      <c r="Z1264" s="89" t="n"/>
      <c r="AB1264" s="25">
        <f>IF($B1264="","",(COUNTIF(C1264:E1264,"?*")&lt;N(INDEX(Setup!$L$6:$L$23,7)))+(COUNTIF(G1264:I1264,"?*")&lt;N(INDEX(Setup!$L$6:$L$23,7)))+(COUNTIF(K1264:M1264,"?*")&lt;N(INDEX(Setup!$L$6:$L$23,7)))+(COUNTIF(O1264:Q1264,"?*")&lt;N(INDEX(Setup!$L$6:$L$23,7)))+(COUNTIF(S1264:U1264,"?*")&lt;N(INDEX(Setup!$L$6:$L$23,7)))+((W1264="")*(INDEX(Setup!$M$6:$M$23,7)="Y"))+((Y1264="")*(INDEX(Setup!$M$6:$M$23,7)="Y")))</f>
        <v/>
      </c>
      <c r="AC1264" s="90">
        <f>IF($B1264="","",IF(AB1264=0,"✓ covered","⚠ "&amp;AB1264&amp;IF(AB1264=1," gap"," gaps")))</f>
        <v/>
      </c>
    </row>
    <row r="1265" ht="17" customHeight="1">
      <c r="A1265" t="n">
        <v>26</v>
      </c>
      <c r="B1265" s="29">
        <f>IF(Setup!$K$13="","",Setup!$K$13)</f>
        <v/>
      </c>
      <c r="C1265" s="88" t="n"/>
      <c r="D1265" s="88" t="n"/>
      <c r="E1265" s="88" t="n"/>
      <c r="F1265" s="89" t="n"/>
      <c r="G1265" s="88" t="n"/>
      <c r="H1265" s="88" t="n"/>
      <c r="I1265" s="88" t="n"/>
      <c r="J1265" s="89" t="n"/>
      <c r="K1265" s="88" t="n"/>
      <c r="L1265" s="88" t="n"/>
      <c r="M1265" s="88" t="n"/>
      <c r="N1265" s="89" t="n"/>
      <c r="O1265" s="88" t="n"/>
      <c r="P1265" s="88" t="n"/>
      <c r="Q1265" s="88" t="n"/>
      <c r="R1265" s="89" t="n"/>
      <c r="S1265" s="88" t="n"/>
      <c r="T1265" s="88" t="n"/>
      <c r="U1265" s="88" t="n"/>
      <c r="V1265" s="89" t="n"/>
      <c r="W1265" s="88" t="n"/>
      <c r="X1265" s="89" t="n"/>
      <c r="Y1265" s="88" t="n"/>
      <c r="Z1265" s="89" t="n"/>
      <c r="AB1265" s="30">
        <f>IF($B1265="","",(COUNTIF(C1265:E1265,"?*")&lt;N(INDEX(Setup!$L$6:$L$23,8)))+(COUNTIF(G1265:I1265,"?*")&lt;N(INDEX(Setup!$L$6:$L$23,8)))+(COUNTIF(K1265:M1265,"?*")&lt;N(INDEX(Setup!$L$6:$L$23,8)))+(COUNTIF(O1265:Q1265,"?*")&lt;N(INDEX(Setup!$L$6:$L$23,8)))+(COUNTIF(S1265:U1265,"?*")&lt;N(INDEX(Setup!$L$6:$L$23,8)))+((W1265="")*(INDEX(Setup!$M$6:$M$23,8)="Y"))+((Y1265="")*(INDEX(Setup!$M$6:$M$23,8)="Y")))</f>
        <v/>
      </c>
      <c r="AC1265" s="91">
        <f>IF($B1265="","",IF(AB1265=0,"✓ covered","⚠ "&amp;AB1265&amp;IF(AB1265=1," gap"," gaps")))</f>
        <v/>
      </c>
    </row>
    <row r="1266" ht="17" customHeight="1">
      <c r="A1266" t="n">
        <v>26</v>
      </c>
      <c r="B1266" s="24">
        <f>IF(Setup!$K$14="","",Setup!$K$14)</f>
        <v/>
      </c>
      <c r="C1266" s="88" t="n"/>
      <c r="D1266" s="88" t="n"/>
      <c r="E1266" s="88" t="n"/>
      <c r="F1266" s="89" t="n"/>
      <c r="G1266" s="88" t="n"/>
      <c r="H1266" s="88" t="n"/>
      <c r="I1266" s="88" t="n"/>
      <c r="J1266" s="89" t="n"/>
      <c r="K1266" s="88" t="n"/>
      <c r="L1266" s="88" t="n"/>
      <c r="M1266" s="88" t="n"/>
      <c r="N1266" s="89" t="n"/>
      <c r="O1266" s="88" t="n"/>
      <c r="P1266" s="88" t="n"/>
      <c r="Q1266" s="88" t="n"/>
      <c r="R1266" s="89" t="n"/>
      <c r="S1266" s="88" t="n"/>
      <c r="T1266" s="88" t="n"/>
      <c r="U1266" s="88" t="n"/>
      <c r="V1266" s="89" t="n"/>
      <c r="W1266" s="88" t="n"/>
      <c r="X1266" s="89" t="n"/>
      <c r="Y1266" s="88" t="n"/>
      <c r="Z1266" s="89" t="n"/>
      <c r="AB1266" s="25">
        <f>IF($B1266="","",(COUNTIF(C1266:E1266,"?*")&lt;N(INDEX(Setup!$L$6:$L$23,9)))+(COUNTIF(G1266:I1266,"?*")&lt;N(INDEX(Setup!$L$6:$L$23,9)))+(COUNTIF(K1266:M1266,"?*")&lt;N(INDEX(Setup!$L$6:$L$23,9)))+(COUNTIF(O1266:Q1266,"?*")&lt;N(INDEX(Setup!$L$6:$L$23,9)))+(COUNTIF(S1266:U1266,"?*")&lt;N(INDEX(Setup!$L$6:$L$23,9)))+((W1266="")*(INDEX(Setup!$M$6:$M$23,9)="Y"))+((Y1266="")*(INDEX(Setup!$M$6:$M$23,9)="Y")))</f>
        <v/>
      </c>
      <c r="AC1266" s="90">
        <f>IF($B1266="","",IF(AB1266=0,"✓ covered","⚠ "&amp;AB1266&amp;IF(AB1266=1," gap"," gaps")))</f>
        <v/>
      </c>
    </row>
    <row r="1267" ht="17" customHeight="1">
      <c r="A1267" t="n">
        <v>26</v>
      </c>
      <c r="B1267" s="29">
        <f>IF(Setup!$K$15="","",Setup!$K$15)</f>
        <v/>
      </c>
      <c r="C1267" s="88" t="n"/>
      <c r="D1267" s="88" t="n"/>
      <c r="E1267" s="88" t="n"/>
      <c r="F1267" s="89" t="n"/>
      <c r="G1267" s="88" t="n"/>
      <c r="H1267" s="88" t="n"/>
      <c r="I1267" s="88" t="n"/>
      <c r="J1267" s="89" t="n"/>
      <c r="K1267" s="88" t="n"/>
      <c r="L1267" s="88" t="n"/>
      <c r="M1267" s="88" t="n"/>
      <c r="N1267" s="89" t="n"/>
      <c r="O1267" s="88" t="n"/>
      <c r="P1267" s="88" t="n"/>
      <c r="Q1267" s="88" t="n"/>
      <c r="R1267" s="89" t="n"/>
      <c r="S1267" s="88" t="n"/>
      <c r="T1267" s="88" t="n"/>
      <c r="U1267" s="88" t="n"/>
      <c r="V1267" s="89" t="n"/>
      <c r="W1267" s="88" t="n"/>
      <c r="X1267" s="89" t="n"/>
      <c r="Y1267" s="88" t="n"/>
      <c r="Z1267" s="89" t="n"/>
      <c r="AB1267" s="30">
        <f>IF($B1267="","",(COUNTIF(C1267:E1267,"?*")&lt;N(INDEX(Setup!$L$6:$L$23,10)))+(COUNTIF(G1267:I1267,"?*")&lt;N(INDEX(Setup!$L$6:$L$23,10)))+(COUNTIF(K1267:M1267,"?*")&lt;N(INDEX(Setup!$L$6:$L$23,10)))+(COUNTIF(O1267:Q1267,"?*")&lt;N(INDEX(Setup!$L$6:$L$23,10)))+(COUNTIF(S1267:U1267,"?*")&lt;N(INDEX(Setup!$L$6:$L$23,10)))+((W1267="")*(INDEX(Setup!$M$6:$M$23,10)="Y"))+((Y1267="")*(INDEX(Setup!$M$6:$M$23,10)="Y")))</f>
        <v/>
      </c>
      <c r="AC1267" s="91">
        <f>IF($B1267="","",IF(AB1267=0,"✓ covered","⚠ "&amp;AB1267&amp;IF(AB1267=1," gap"," gaps")))</f>
        <v/>
      </c>
    </row>
    <row r="1268" ht="17" customHeight="1">
      <c r="A1268" t="n">
        <v>26</v>
      </c>
      <c r="B1268" s="24">
        <f>IF(Setup!$K$16="","",Setup!$K$16)</f>
        <v/>
      </c>
      <c r="C1268" s="88" t="n"/>
      <c r="D1268" s="88" t="n"/>
      <c r="E1268" s="88" t="n"/>
      <c r="F1268" s="89" t="n"/>
      <c r="G1268" s="88" t="n"/>
      <c r="H1268" s="88" t="n"/>
      <c r="I1268" s="88" t="n"/>
      <c r="J1268" s="89" t="n"/>
      <c r="K1268" s="88" t="n"/>
      <c r="L1268" s="88" t="n"/>
      <c r="M1268" s="88" t="n"/>
      <c r="N1268" s="89" t="n"/>
      <c r="O1268" s="88" t="n"/>
      <c r="P1268" s="88" t="n"/>
      <c r="Q1268" s="88" t="n"/>
      <c r="R1268" s="89" t="n"/>
      <c r="S1268" s="88" t="n"/>
      <c r="T1268" s="88" t="n"/>
      <c r="U1268" s="88" t="n"/>
      <c r="V1268" s="89" t="n"/>
      <c r="W1268" s="88" t="n"/>
      <c r="X1268" s="89" t="n"/>
      <c r="Y1268" s="88" t="n"/>
      <c r="Z1268" s="89" t="n"/>
      <c r="AB1268" s="25">
        <f>IF($B1268="","",(COUNTIF(C1268:E1268,"?*")&lt;N(INDEX(Setup!$L$6:$L$23,11)))+(COUNTIF(G1268:I1268,"?*")&lt;N(INDEX(Setup!$L$6:$L$23,11)))+(COUNTIF(K1268:M1268,"?*")&lt;N(INDEX(Setup!$L$6:$L$23,11)))+(COUNTIF(O1268:Q1268,"?*")&lt;N(INDEX(Setup!$L$6:$L$23,11)))+(COUNTIF(S1268:U1268,"?*")&lt;N(INDEX(Setup!$L$6:$L$23,11)))+((W1268="")*(INDEX(Setup!$M$6:$M$23,11)="Y"))+((Y1268="")*(INDEX(Setup!$M$6:$M$23,11)="Y")))</f>
        <v/>
      </c>
      <c r="AC1268" s="90">
        <f>IF($B1268="","",IF(AB1268=0,"✓ covered","⚠ "&amp;AB1268&amp;IF(AB1268=1," gap"," gaps")))</f>
        <v/>
      </c>
    </row>
    <row r="1269" ht="17" customHeight="1">
      <c r="A1269" t="n">
        <v>26</v>
      </c>
      <c r="B1269" s="29">
        <f>IF(Setup!$K$17="","",Setup!$K$17)</f>
        <v/>
      </c>
      <c r="C1269" s="88" t="n"/>
      <c r="D1269" s="88" t="n"/>
      <c r="E1269" s="88" t="n"/>
      <c r="F1269" s="89" t="n"/>
      <c r="G1269" s="88" t="n"/>
      <c r="H1269" s="88" t="n"/>
      <c r="I1269" s="88" t="n"/>
      <c r="J1269" s="89" t="n"/>
      <c r="K1269" s="88" t="n"/>
      <c r="L1269" s="88" t="n"/>
      <c r="M1269" s="88" t="n"/>
      <c r="N1269" s="89" t="n"/>
      <c r="O1269" s="88" t="n"/>
      <c r="P1269" s="88" t="n"/>
      <c r="Q1269" s="88" t="n"/>
      <c r="R1269" s="89" t="n"/>
      <c r="S1269" s="88" t="n"/>
      <c r="T1269" s="88" t="n"/>
      <c r="U1269" s="88" t="n"/>
      <c r="V1269" s="89" t="n"/>
      <c r="W1269" s="88" t="n"/>
      <c r="X1269" s="89" t="n"/>
      <c r="Y1269" s="88" t="n"/>
      <c r="Z1269" s="89" t="n"/>
      <c r="AB1269" s="30">
        <f>IF($B1269="","",(COUNTIF(C1269:E1269,"?*")&lt;N(INDEX(Setup!$L$6:$L$23,12)))+(COUNTIF(G1269:I1269,"?*")&lt;N(INDEX(Setup!$L$6:$L$23,12)))+(COUNTIF(K1269:M1269,"?*")&lt;N(INDEX(Setup!$L$6:$L$23,12)))+(COUNTIF(O1269:Q1269,"?*")&lt;N(INDEX(Setup!$L$6:$L$23,12)))+(COUNTIF(S1269:U1269,"?*")&lt;N(INDEX(Setup!$L$6:$L$23,12)))+((W1269="")*(INDEX(Setup!$M$6:$M$23,12)="Y"))+((Y1269="")*(INDEX(Setup!$M$6:$M$23,12)="Y")))</f>
        <v/>
      </c>
      <c r="AC1269" s="91">
        <f>IF($B1269="","",IF(AB1269=0,"✓ covered","⚠ "&amp;AB1269&amp;IF(AB1269=1," gap"," gaps")))</f>
        <v/>
      </c>
    </row>
    <row r="1270" ht="17" customHeight="1">
      <c r="A1270" t="n">
        <v>26</v>
      </c>
      <c r="B1270" s="24">
        <f>IF(Setup!$K$18="","",Setup!$K$18)</f>
        <v/>
      </c>
      <c r="C1270" s="88" t="n"/>
      <c r="D1270" s="88" t="n"/>
      <c r="E1270" s="88" t="n"/>
      <c r="F1270" s="89" t="n"/>
      <c r="G1270" s="88" t="n"/>
      <c r="H1270" s="88" t="n"/>
      <c r="I1270" s="88" t="n"/>
      <c r="J1270" s="89" t="n"/>
      <c r="K1270" s="88" t="n"/>
      <c r="L1270" s="88" t="n"/>
      <c r="M1270" s="88" t="n"/>
      <c r="N1270" s="89" t="n"/>
      <c r="O1270" s="88" t="n"/>
      <c r="P1270" s="88" t="n"/>
      <c r="Q1270" s="88" t="n"/>
      <c r="R1270" s="89" t="n"/>
      <c r="S1270" s="88" t="n"/>
      <c r="T1270" s="88" t="n"/>
      <c r="U1270" s="88" t="n"/>
      <c r="V1270" s="89" t="n"/>
      <c r="W1270" s="88" t="n"/>
      <c r="X1270" s="89" t="n"/>
      <c r="Y1270" s="88" t="n"/>
      <c r="Z1270" s="89" t="n"/>
      <c r="AB1270" s="25">
        <f>IF($B1270="","",(COUNTIF(C1270:E1270,"?*")&lt;N(INDEX(Setup!$L$6:$L$23,13)))+(COUNTIF(G1270:I1270,"?*")&lt;N(INDEX(Setup!$L$6:$L$23,13)))+(COUNTIF(K1270:M1270,"?*")&lt;N(INDEX(Setup!$L$6:$L$23,13)))+(COUNTIF(O1270:Q1270,"?*")&lt;N(INDEX(Setup!$L$6:$L$23,13)))+(COUNTIF(S1270:U1270,"?*")&lt;N(INDEX(Setup!$L$6:$L$23,13)))+((W1270="")*(INDEX(Setup!$M$6:$M$23,13)="Y"))+((Y1270="")*(INDEX(Setup!$M$6:$M$23,13)="Y")))</f>
        <v/>
      </c>
      <c r="AC1270" s="90">
        <f>IF($B1270="","",IF(AB1270=0,"✓ covered","⚠ "&amp;AB1270&amp;IF(AB1270=1," gap"," gaps")))</f>
        <v/>
      </c>
    </row>
    <row r="1271" ht="17" customHeight="1">
      <c r="A1271" t="n">
        <v>26</v>
      </c>
      <c r="B1271" s="29">
        <f>IF(Setup!$K$19="","",Setup!$K$19)</f>
        <v/>
      </c>
      <c r="C1271" s="88" t="n"/>
      <c r="D1271" s="88" t="n"/>
      <c r="E1271" s="88" t="n"/>
      <c r="F1271" s="89" t="n"/>
      <c r="G1271" s="88" t="n"/>
      <c r="H1271" s="88" t="n"/>
      <c r="I1271" s="88" t="n"/>
      <c r="J1271" s="89" t="n"/>
      <c r="K1271" s="88" t="n"/>
      <c r="L1271" s="88" t="n"/>
      <c r="M1271" s="88" t="n"/>
      <c r="N1271" s="89" t="n"/>
      <c r="O1271" s="88" t="n"/>
      <c r="P1271" s="88" t="n"/>
      <c r="Q1271" s="88" t="n"/>
      <c r="R1271" s="89" t="n"/>
      <c r="S1271" s="88" t="n"/>
      <c r="T1271" s="88" t="n"/>
      <c r="U1271" s="88" t="n"/>
      <c r="V1271" s="89" t="n"/>
      <c r="W1271" s="88" t="n"/>
      <c r="X1271" s="89" t="n"/>
      <c r="Y1271" s="88" t="n"/>
      <c r="Z1271" s="89" t="n"/>
      <c r="AB1271" s="30">
        <f>IF($B1271="","",(COUNTIF(C1271:E1271,"?*")&lt;N(INDEX(Setup!$L$6:$L$23,14)))+(COUNTIF(G1271:I1271,"?*")&lt;N(INDEX(Setup!$L$6:$L$23,14)))+(COUNTIF(K1271:M1271,"?*")&lt;N(INDEX(Setup!$L$6:$L$23,14)))+(COUNTIF(O1271:Q1271,"?*")&lt;N(INDEX(Setup!$L$6:$L$23,14)))+(COUNTIF(S1271:U1271,"?*")&lt;N(INDEX(Setup!$L$6:$L$23,14)))+((W1271="")*(INDEX(Setup!$M$6:$M$23,14)="Y"))+((Y1271="")*(INDEX(Setup!$M$6:$M$23,14)="Y")))</f>
        <v/>
      </c>
      <c r="AC1271" s="91">
        <f>IF($B1271="","",IF(AB1271=0,"✓ covered","⚠ "&amp;AB1271&amp;IF(AB1271=1," gap"," gaps")))</f>
        <v/>
      </c>
    </row>
    <row r="1272" ht="17" customHeight="1">
      <c r="A1272" t="n">
        <v>26</v>
      </c>
      <c r="B1272" s="24">
        <f>IF(Setup!$K$20="","",Setup!$K$20)</f>
        <v/>
      </c>
      <c r="C1272" s="88" t="n"/>
      <c r="D1272" s="88" t="n"/>
      <c r="E1272" s="88" t="n"/>
      <c r="F1272" s="89" t="n"/>
      <c r="G1272" s="88" t="n"/>
      <c r="H1272" s="88" t="n"/>
      <c r="I1272" s="88" t="n"/>
      <c r="J1272" s="89" t="n"/>
      <c r="K1272" s="88" t="n"/>
      <c r="L1272" s="88" t="n"/>
      <c r="M1272" s="88" t="n"/>
      <c r="N1272" s="89" t="n"/>
      <c r="O1272" s="88" t="n"/>
      <c r="P1272" s="88" t="n"/>
      <c r="Q1272" s="88" t="n"/>
      <c r="R1272" s="89" t="n"/>
      <c r="S1272" s="88" t="n"/>
      <c r="T1272" s="88" t="n"/>
      <c r="U1272" s="88" t="n"/>
      <c r="V1272" s="89" t="n"/>
      <c r="W1272" s="88" t="n"/>
      <c r="X1272" s="89" t="n"/>
      <c r="Y1272" s="88" t="n"/>
      <c r="Z1272" s="89" t="n"/>
      <c r="AB1272" s="25">
        <f>IF($B1272="","",(COUNTIF(C1272:E1272,"?*")&lt;N(INDEX(Setup!$L$6:$L$23,15)))+(COUNTIF(G1272:I1272,"?*")&lt;N(INDEX(Setup!$L$6:$L$23,15)))+(COUNTIF(K1272:M1272,"?*")&lt;N(INDEX(Setup!$L$6:$L$23,15)))+(COUNTIF(O1272:Q1272,"?*")&lt;N(INDEX(Setup!$L$6:$L$23,15)))+(COUNTIF(S1272:U1272,"?*")&lt;N(INDEX(Setup!$L$6:$L$23,15)))+((W1272="")*(INDEX(Setup!$M$6:$M$23,15)="Y"))+((Y1272="")*(INDEX(Setup!$M$6:$M$23,15)="Y")))</f>
        <v/>
      </c>
      <c r="AC1272" s="90">
        <f>IF($B1272="","",IF(AB1272=0,"✓ covered","⚠ "&amp;AB1272&amp;IF(AB1272=1," gap"," gaps")))</f>
        <v/>
      </c>
    </row>
    <row r="1273" ht="17" customHeight="1">
      <c r="A1273" t="n">
        <v>26</v>
      </c>
      <c r="B1273" s="29">
        <f>IF(Setup!$K$21="","",Setup!$K$21)</f>
        <v/>
      </c>
      <c r="C1273" s="88" t="n"/>
      <c r="D1273" s="88" t="n"/>
      <c r="E1273" s="88" t="n"/>
      <c r="F1273" s="89" t="n"/>
      <c r="G1273" s="88" t="n"/>
      <c r="H1273" s="88" t="n"/>
      <c r="I1273" s="88" t="n"/>
      <c r="J1273" s="89" t="n"/>
      <c r="K1273" s="88" t="n"/>
      <c r="L1273" s="88" t="n"/>
      <c r="M1273" s="88" t="n"/>
      <c r="N1273" s="89" t="n"/>
      <c r="O1273" s="88" t="n"/>
      <c r="P1273" s="88" t="n"/>
      <c r="Q1273" s="88" t="n"/>
      <c r="R1273" s="89" t="n"/>
      <c r="S1273" s="88" t="n"/>
      <c r="T1273" s="88" t="n"/>
      <c r="U1273" s="88" t="n"/>
      <c r="V1273" s="89" t="n"/>
      <c r="W1273" s="88" t="n"/>
      <c r="X1273" s="89" t="n"/>
      <c r="Y1273" s="88" t="n"/>
      <c r="Z1273" s="89" t="n"/>
      <c r="AB1273" s="30">
        <f>IF($B1273="","",(COUNTIF(C1273:E1273,"?*")&lt;N(INDEX(Setup!$L$6:$L$23,16)))+(COUNTIF(G1273:I1273,"?*")&lt;N(INDEX(Setup!$L$6:$L$23,16)))+(COUNTIF(K1273:M1273,"?*")&lt;N(INDEX(Setup!$L$6:$L$23,16)))+(COUNTIF(O1273:Q1273,"?*")&lt;N(INDEX(Setup!$L$6:$L$23,16)))+(COUNTIF(S1273:U1273,"?*")&lt;N(INDEX(Setup!$L$6:$L$23,16)))+((W1273="")*(INDEX(Setup!$M$6:$M$23,16)="Y"))+((Y1273="")*(INDEX(Setup!$M$6:$M$23,16)="Y")))</f>
        <v/>
      </c>
      <c r="AC1273" s="91">
        <f>IF($B1273="","",IF(AB1273=0,"✓ covered","⚠ "&amp;AB1273&amp;IF(AB1273=1," gap"," gaps")))</f>
        <v/>
      </c>
    </row>
    <row r="1274" ht="17" customHeight="1">
      <c r="A1274" t="n">
        <v>26</v>
      </c>
      <c r="B1274" s="24">
        <f>IF(Setup!$K$22="","",Setup!$K$22)</f>
        <v/>
      </c>
      <c r="C1274" s="88" t="n"/>
      <c r="D1274" s="88" t="n"/>
      <c r="E1274" s="88" t="n"/>
      <c r="F1274" s="89" t="n"/>
      <c r="G1274" s="88" t="n"/>
      <c r="H1274" s="88" t="n"/>
      <c r="I1274" s="88" t="n"/>
      <c r="J1274" s="89" t="n"/>
      <c r="K1274" s="88" t="n"/>
      <c r="L1274" s="88" t="n"/>
      <c r="M1274" s="88" t="n"/>
      <c r="N1274" s="89" t="n"/>
      <c r="O1274" s="88" t="n"/>
      <c r="P1274" s="88" t="n"/>
      <c r="Q1274" s="88" t="n"/>
      <c r="R1274" s="89" t="n"/>
      <c r="S1274" s="88" t="n"/>
      <c r="T1274" s="88" t="n"/>
      <c r="U1274" s="88" t="n"/>
      <c r="V1274" s="89" t="n"/>
      <c r="W1274" s="88" t="n"/>
      <c r="X1274" s="89" t="n"/>
      <c r="Y1274" s="88" t="n"/>
      <c r="Z1274" s="89" t="n"/>
      <c r="AB1274" s="25">
        <f>IF($B1274="","",(COUNTIF(C1274:E1274,"?*")&lt;N(INDEX(Setup!$L$6:$L$23,17)))+(COUNTIF(G1274:I1274,"?*")&lt;N(INDEX(Setup!$L$6:$L$23,17)))+(COUNTIF(K1274:M1274,"?*")&lt;N(INDEX(Setup!$L$6:$L$23,17)))+(COUNTIF(O1274:Q1274,"?*")&lt;N(INDEX(Setup!$L$6:$L$23,17)))+(COUNTIF(S1274:U1274,"?*")&lt;N(INDEX(Setup!$L$6:$L$23,17)))+((W1274="")*(INDEX(Setup!$M$6:$M$23,17)="Y"))+((Y1274="")*(INDEX(Setup!$M$6:$M$23,17)="Y")))</f>
        <v/>
      </c>
      <c r="AC1274" s="90">
        <f>IF($B1274="","",IF(AB1274=0,"✓ covered","⚠ "&amp;AB1274&amp;IF(AB1274=1," gap"," gaps")))</f>
        <v/>
      </c>
    </row>
    <row r="1275" ht="17" customHeight="1">
      <c r="A1275" t="n">
        <v>26</v>
      </c>
      <c r="B1275" s="29">
        <f>IF(Setup!$K$23="","",Setup!$K$23)</f>
        <v/>
      </c>
      <c r="C1275" s="88" t="n"/>
      <c r="D1275" s="88" t="n"/>
      <c r="E1275" s="88" t="n"/>
      <c r="F1275" s="89" t="n"/>
      <c r="G1275" s="88" t="n"/>
      <c r="H1275" s="88" t="n"/>
      <c r="I1275" s="88" t="n"/>
      <c r="J1275" s="89" t="n"/>
      <c r="K1275" s="88" t="n"/>
      <c r="L1275" s="88" t="n"/>
      <c r="M1275" s="88" t="n"/>
      <c r="N1275" s="89" t="n"/>
      <c r="O1275" s="88" t="n"/>
      <c r="P1275" s="88" t="n"/>
      <c r="Q1275" s="88" t="n"/>
      <c r="R1275" s="89" t="n"/>
      <c r="S1275" s="88" t="n"/>
      <c r="T1275" s="88" t="n"/>
      <c r="U1275" s="88" t="n"/>
      <c r="V1275" s="89" t="n"/>
      <c r="W1275" s="88" t="n"/>
      <c r="X1275" s="89" t="n"/>
      <c r="Y1275" s="88" t="n"/>
      <c r="Z1275" s="89" t="n"/>
      <c r="AB1275" s="30">
        <f>IF($B1275="","",(COUNTIF(C1275:E1275,"?*")&lt;N(INDEX(Setup!$L$6:$L$23,18)))+(COUNTIF(G1275:I1275,"?*")&lt;N(INDEX(Setup!$L$6:$L$23,18)))+(COUNTIF(K1275:M1275,"?*")&lt;N(INDEX(Setup!$L$6:$L$23,18)))+(COUNTIF(O1275:Q1275,"?*")&lt;N(INDEX(Setup!$L$6:$L$23,18)))+(COUNTIF(S1275:U1275,"?*")&lt;N(INDEX(Setup!$L$6:$L$23,18)))+((W1275="")*(INDEX(Setup!$M$6:$M$23,18)="Y"))+((Y1275="")*(INDEX(Setup!$M$6:$M$23,18)="Y")))</f>
        <v/>
      </c>
      <c r="AC1275" s="91">
        <f>IF($B1275="","",IF(AB1275=0,"✓ covered","⚠ "&amp;AB1275&amp;IF(AB1275=1," gap"," gaps")))</f>
        <v/>
      </c>
    </row>
    <row r="1276" ht="18" customHeight="1">
      <c r="A1276" t="n">
        <v>26</v>
      </c>
      <c r="B1276" s="78" t="inlineStr">
        <is>
          <t>TEAM AVAILABILITY</t>
        </is>
      </c>
      <c r="C1276" s="92" t="inlineStr">
        <is>
          <t>Mon</t>
        </is>
      </c>
      <c r="D1276" s="93" t="n"/>
      <c r="E1276" s="93" t="n"/>
      <c r="F1276" s="94" t="n"/>
      <c r="G1276" s="92" t="inlineStr">
        <is>
          <t>Tue</t>
        </is>
      </c>
      <c r="H1276" s="93" t="n"/>
      <c r="I1276" s="93" t="n"/>
      <c r="J1276" s="94" t="n"/>
      <c r="K1276" s="92" t="inlineStr">
        <is>
          <t>Wed</t>
        </is>
      </c>
      <c r="L1276" s="93" t="n"/>
      <c r="M1276" s="93" t="n"/>
      <c r="N1276" s="94" t="n"/>
      <c r="O1276" s="92" t="inlineStr">
        <is>
          <t>Thu</t>
        </is>
      </c>
      <c r="P1276" s="93" t="n"/>
      <c r="Q1276" s="93" t="n"/>
      <c r="R1276" s="94" t="n"/>
      <c r="S1276" s="92" t="inlineStr">
        <is>
          <t>Fri</t>
        </is>
      </c>
      <c r="T1276" s="93" t="n"/>
      <c r="U1276" s="93" t="n"/>
      <c r="V1276" s="94" t="n"/>
      <c r="W1276" s="95" t="inlineStr">
        <is>
          <t>Sat</t>
        </is>
      </c>
      <c r="X1276" s="96" t="n"/>
      <c r="Y1276" s="95" t="inlineStr">
        <is>
          <t>Sun</t>
        </is>
      </c>
      <c r="Z1276" s="96" t="n"/>
      <c r="AB1276" s="97" t="inlineStr">
        <is>
          <t>Days rostered</t>
        </is>
      </c>
      <c r="AC1276" s="97" t="inlineStr">
        <is>
          <t>Conflicts</t>
        </is>
      </c>
    </row>
    <row r="1277" ht="15" customHeight="1">
      <c r="A1277" t="n">
        <v>26</v>
      </c>
      <c r="B1277" s="35">
        <f>IF(Setup!$B$6="","",Setup!$B$6)</f>
        <v/>
      </c>
      <c r="C1277" s="98" t="n"/>
      <c r="D1277" s="99" t="n"/>
      <c r="E1277" s="99" t="n"/>
      <c r="F1277" s="100" t="n"/>
      <c r="G1277" s="98" t="n"/>
      <c r="H1277" s="99" t="n"/>
      <c r="I1277" s="99" t="n"/>
      <c r="J1277" s="100" t="n"/>
      <c r="K1277" s="98" t="n"/>
      <c r="L1277" s="99" t="n"/>
      <c r="M1277" s="99" t="n"/>
      <c r="N1277" s="100" t="n"/>
      <c r="O1277" s="98" t="n"/>
      <c r="P1277" s="99" t="n"/>
      <c r="Q1277" s="99" t="n"/>
      <c r="R1277" s="100" t="n"/>
      <c r="S1277" s="98" t="n"/>
      <c r="T1277" s="99" t="n"/>
      <c r="U1277" s="99" t="n"/>
      <c r="V1277" s="100" t="n"/>
      <c r="W1277" s="98" t="n"/>
      <c r="X1277" s="100" t="n"/>
      <c r="Y1277" s="98" t="n"/>
      <c r="Z1277" s="100" t="n"/>
      <c r="AB1277" s="101">
        <f>IF($B1277="","",(COUNTIF(C1258:E1275,$B1277)+COUNTIF(C1258:E1275,$B1277&amp;" ~*")&gt;0)+(COUNTIF(G1258:I1275,$B1277)+COUNTIF(G1258:I1275,$B1277&amp;" ~*")&gt;0)+(COUNTIF(K1258:M1275,$B1277)+COUNTIF(K1258:M1275,$B1277&amp;" ~*")&gt;0)+(COUNTIF(O1258:Q1275,$B1277)+COUNTIF(O1258:Q1275,$B1277&amp;" ~*")&gt;0)+(COUNTIF(S1258:U1275,$B1277)+COUNTIF(S1258:U1275,$B1277&amp;" ~*")&gt;0)+(COUNTIF(W1258:W1275,$B1277)+COUNTIF(W1258:W1275,$B1277&amp;" ~*")&gt;0)+(COUNTIF(Y1258:Y1275,$B1277)+COUNTIF(Y1258:Y1275,$B1277&amp;" ~*")&gt;0))</f>
        <v/>
      </c>
      <c r="AC1277" s="36">
        <f>IF($B1277="","",(IFERROR(INDEX(Setup!$G$33:$G$40,MATCH(C1277,Setup!$B$33:$B$40,0)),0)=1)*(COUNTIF(C1258:E1275,$B1277)+COUNTIF(C1258:E1275,$B1277&amp;" ~*")&gt;0)+(IFERROR(INDEX(Setup!$G$33:$G$40,MATCH(G1277,Setup!$B$33:$B$40,0)),0)=1)*(COUNTIF(G1258:I1275,$B1277)+COUNTIF(G1258:I1275,$B1277&amp;" ~*")&gt;0)+(IFERROR(INDEX(Setup!$G$33:$G$40,MATCH(K1277,Setup!$B$33:$B$40,0)),0)=1)*(COUNTIF(K1258:M1275,$B1277)+COUNTIF(K1258:M1275,$B1277&amp;" ~*")&gt;0)+(IFERROR(INDEX(Setup!$G$33:$G$40,MATCH(O1277,Setup!$B$33:$B$40,0)),0)=1)*(COUNTIF(O1258:Q1275,$B1277)+COUNTIF(O1258:Q1275,$B1277&amp;" ~*")&gt;0)+(IFERROR(INDEX(Setup!$G$33:$G$40,MATCH(S1277,Setup!$B$33:$B$40,0)),0)=1)*(COUNTIF(S1258:U1275,$B1277)+COUNTIF(S1258:U1275,$B1277&amp;" ~*")&gt;0)+(IFERROR(INDEX(Setup!$G$33:$G$40,MATCH(W1277,Setup!$B$33:$B$40,0)),0)=1)*(COUNTIF(W1258:W1275,$B1277)+COUNTIF(W1258:W1275,$B1277&amp;" ~*")&gt;0)+(IFERROR(INDEX(Setup!$G$33:$G$40,MATCH(Y1277,Setup!$B$33:$B$40,0)),0)=1)*(COUNTIF(Y1258:Y1275,$B1277)+COUNTIF(Y1258:Y1275,$B1277&amp;" ~*")&gt;0))</f>
        <v/>
      </c>
    </row>
    <row r="1278" ht="15" customHeight="1">
      <c r="A1278" t="n">
        <v>26</v>
      </c>
      <c r="B1278" s="37">
        <f>IF(Setup!$B$7="","",Setup!$B$7)</f>
        <v/>
      </c>
      <c r="C1278" s="102" t="n"/>
      <c r="D1278" s="103" t="n"/>
      <c r="E1278" s="103" t="n"/>
      <c r="F1278" s="104" t="n"/>
      <c r="G1278" s="102" t="n"/>
      <c r="H1278" s="103" t="n"/>
      <c r="I1278" s="103" t="n"/>
      <c r="J1278" s="104" t="n"/>
      <c r="K1278" s="102" t="n"/>
      <c r="L1278" s="103" t="n"/>
      <c r="M1278" s="103" t="n"/>
      <c r="N1278" s="104" t="n"/>
      <c r="O1278" s="102" t="n"/>
      <c r="P1278" s="103" t="n"/>
      <c r="Q1278" s="103" t="n"/>
      <c r="R1278" s="104" t="n"/>
      <c r="S1278" s="102" t="n"/>
      <c r="T1278" s="103" t="n"/>
      <c r="U1278" s="103" t="n"/>
      <c r="V1278" s="104" t="n"/>
      <c r="W1278" s="102" t="n"/>
      <c r="X1278" s="104" t="n"/>
      <c r="Y1278" s="102" t="n"/>
      <c r="Z1278" s="104" t="n"/>
      <c r="AB1278" s="105">
        <f>IF($B1278="","",(COUNTIF(C1258:E1275,$B1278)+COUNTIF(C1258:E1275,$B1278&amp;" ~*")&gt;0)+(COUNTIF(G1258:I1275,$B1278)+COUNTIF(G1258:I1275,$B1278&amp;" ~*")&gt;0)+(COUNTIF(K1258:M1275,$B1278)+COUNTIF(K1258:M1275,$B1278&amp;" ~*")&gt;0)+(COUNTIF(O1258:Q1275,$B1278)+COUNTIF(O1258:Q1275,$B1278&amp;" ~*")&gt;0)+(COUNTIF(S1258:U1275,$B1278)+COUNTIF(S1258:U1275,$B1278&amp;" ~*")&gt;0)+(COUNTIF(W1258:W1275,$B1278)+COUNTIF(W1258:W1275,$B1278&amp;" ~*")&gt;0)+(COUNTIF(Y1258:Y1275,$B1278)+COUNTIF(Y1258:Y1275,$B1278&amp;" ~*")&gt;0))</f>
        <v/>
      </c>
      <c r="AC1278" s="38">
        <f>IF($B1278="","",(IFERROR(INDEX(Setup!$G$33:$G$40,MATCH(C1278,Setup!$B$33:$B$40,0)),0)=1)*(COUNTIF(C1258:E1275,$B1278)+COUNTIF(C1258:E1275,$B1278&amp;" ~*")&gt;0)+(IFERROR(INDEX(Setup!$G$33:$G$40,MATCH(G1278,Setup!$B$33:$B$40,0)),0)=1)*(COUNTIF(G1258:I1275,$B1278)+COUNTIF(G1258:I1275,$B1278&amp;" ~*")&gt;0)+(IFERROR(INDEX(Setup!$G$33:$G$40,MATCH(K1278,Setup!$B$33:$B$40,0)),0)=1)*(COUNTIF(K1258:M1275,$B1278)+COUNTIF(K1258:M1275,$B1278&amp;" ~*")&gt;0)+(IFERROR(INDEX(Setup!$G$33:$G$40,MATCH(O1278,Setup!$B$33:$B$40,0)),0)=1)*(COUNTIF(O1258:Q1275,$B1278)+COUNTIF(O1258:Q1275,$B1278&amp;" ~*")&gt;0)+(IFERROR(INDEX(Setup!$G$33:$G$40,MATCH(S1278,Setup!$B$33:$B$40,0)),0)=1)*(COUNTIF(S1258:U1275,$B1278)+COUNTIF(S1258:U1275,$B1278&amp;" ~*")&gt;0)+(IFERROR(INDEX(Setup!$G$33:$G$40,MATCH(W1278,Setup!$B$33:$B$40,0)),0)=1)*(COUNTIF(W1258:W1275,$B1278)+COUNTIF(W1258:W1275,$B1278&amp;" ~*")&gt;0)+(IFERROR(INDEX(Setup!$G$33:$G$40,MATCH(Y1278,Setup!$B$33:$B$40,0)),0)=1)*(COUNTIF(Y1258:Y1275,$B1278)+COUNTIF(Y1258:Y1275,$B1278&amp;" ~*")&gt;0))</f>
        <v/>
      </c>
    </row>
    <row r="1279" ht="15" customHeight="1">
      <c r="A1279" t="n">
        <v>26</v>
      </c>
      <c r="B1279" s="35">
        <f>IF(Setup!$B$8="","",Setup!$B$8)</f>
        <v/>
      </c>
      <c r="C1279" s="98" t="n"/>
      <c r="D1279" s="99" t="n"/>
      <c r="E1279" s="99" t="n"/>
      <c r="F1279" s="100" t="n"/>
      <c r="G1279" s="98" t="n"/>
      <c r="H1279" s="99" t="n"/>
      <c r="I1279" s="99" t="n"/>
      <c r="J1279" s="100" t="n"/>
      <c r="K1279" s="98" t="n"/>
      <c r="L1279" s="99" t="n"/>
      <c r="M1279" s="99" t="n"/>
      <c r="N1279" s="100" t="n"/>
      <c r="O1279" s="98" t="n"/>
      <c r="P1279" s="99" t="n"/>
      <c r="Q1279" s="99" t="n"/>
      <c r="R1279" s="100" t="n"/>
      <c r="S1279" s="98" t="n"/>
      <c r="T1279" s="99" t="n"/>
      <c r="U1279" s="99" t="n"/>
      <c r="V1279" s="100" t="n"/>
      <c r="W1279" s="98" t="n"/>
      <c r="X1279" s="100" t="n"/>
      <c r="Y1279" s="98" t="n"/>
      <c r="Z1279" s="100" t="n"/>
      <c r="AB1279" s="101">
        <f>IF($B1279="","",(COUNTIF(C1258:E1275,$B1279)+COUNTIF(C1258:E1275,$B1279&amp;" ~*")&gt;0)+(COUNTIF(G1258:I1275,$B1279)+COUNTIF(G1258:I1275,$B1279&amp;" ~*")&gt;0)+(COUNTIF(K1258:M1275,$B1279)+COUNTIF(K1258:M1275,$B1279&amp;" ~*")&gt;0)+(COUNTIF(O1258:Q1275,$B1279)+COUNTIF(O1258:Q1275,$B1279&amp;" ~*")&gt;0)+(COUNTIF(S1258:U1275,$B1279)+COUNTIF(S1258:U1275,$B1279&amp;" ~*")&gt;0)+(COUNTIF(W1258:W1275,$B1279)+COUNTIF(W1258:W1275,$B1279&amp;" ~*")&gt;0)+(COUNTIF(Y1258:Y1275,$B1279)+COUNTIF(Y1258:Y1275,$B1279&amp;" ~*")&gt;0))</f>
        <v/>
      </c>
      <c r="AC1279" s="36">
        <f>IF($B1279="","",(IFERROR(INDEX(Setup!$G$33:$G$40,MATCH(C1279,Setup!$B$33:$B$40,0)),0)=1)*(COUNTIF(C1258:E1275,$B1279)+COUNTIF(C1258:E1275,$B1279&amp;" ~*")&gt;0)+(IFERROR(INDEX(Setup!$G$33:$G$40,MATCH(G1279,Setup!$B$33:$B$40,0)),0)=1)*(COUNTIF(G1258:I1275,$B1279)+COUNTIF(G1258:I1275,$B1279&amp;" ~*")&gt;0)+(IFERROR(INDEX(Setup!$G$33:$G$40,MATCH(K1279,Setup!$B$33:$B$40,0)),0)=1)*(COUNTIF(K1258:M1275,$B1279)+COUNTIF(K1258:M1275,$B1279&amp;" ~*")&gt;0)+(IFERROR(INDEX(Setup!$G$33:$G$40,MATCH(O1279,Setup!$B$33:$B$40,0)),0)=1)*(COUNTIF(O1258:Q1275,$B1279)+COUNTIF(O1258:Q1275,$B1279&amp;" ~*")&gt;0)+(IFERROR(INDEX(Setup!$G$33:$G$40,MATCH(S1279,Setup!$B$33:$B$40,0)),0)=1)*(COUNTIF(S1258:U1275,$B1279)+COUNTIF(S1258:U1275,$B1279&amp;" ~*")&gt;0)+(IFERROR(INDEX(Setup!$G$33:$G$40,MATCH(W1279,Setup!$B$33:$B$40,0)),0)=1)*(COUNTIF(W1258:W1275,$B1279)+COUNTIF(W1258:W1275,$B1279&amp;" ~*")&gt;0)+(IFERROR(INDEX(Setup!$G$33:$G$40,MATCH(Y1279,Setup!$B$33:$B$40,0)),0)=1)*(COUNTIF(Y1258:Y1275,$B1279)+COUNTIF(Y1258:Y1275,$B1279&amp;" ~*")&gt;0))</f>
        <v/>
      </c>
    </row>
    <row r="1280" ht="15" customHeight="1">
      <c r="A1280" t="n">
        <v>26</v>
      </c>
      <c r="B1280" s="37">
        <f>IF(Setup!$B$9="","",Setup!$B$9)</f>
        <v/>
      </c>
      <c r="C1280" s="102" t="n"/>
      <c r="D1280" s="103" t="n"/>
      <c r="E1280" s="103" t="n"/>
      <c r="F1280" s="104" t="n"/>
      <c r="G1280" s="102" t="n"/>
      <c r="H1280" s="103" t="n"/>
      <c r="I1280" s="103" t="n"/>
      <c r="J1280" s="104" t="n"/>
      <c r="K1280" s="102" t="n"/>
      <c r="L1280" s="103" t="n"/>
      <c r="M1280" s="103" t="n"/>
      <c r="N1280" s="104" t="n"/>
      <c r="O1280" s="102" t="n"/>
      <c r="P1280" s="103" t="n"/>
      <c r="Q1280" s="103" t="n"/>
      <c r="R1280" s="104" t="n"/>
      <c r="S1280" s="102" t="n"/>
      <c r="T1280" s="103" t="n"/>
      <c r="U1280" s="103" t="n"/>
      <c r="V1280" s="104" t="n"/>
      <c r="W1280" s="102" t="n"/>
      <c r="X1280" s="104" t="n"/>
      <c r="Y1280" s="102" t="n"/>
      <c r="Z1280" s="104" t="n"/>
      <c r="AB1280" s="105">
        <f>IF($B1280="","",(COUNTIF(C1258:E1275,$B1280)+COUNTIF(C1258:E1275,$B1280&amp;" ~*")&gt;0)+(COUNTIF(G1258:I1275,$B1280)+COUNTIF(G1258:I1275,$B1280&amp;" ~*")&gt;0)+(COUNTIF(K1258:M1275,$B1280)+COUNTIF(K1258:M1275,$B1280&amp;" ~*")&gt;0)+(COUNTIF(O1258:Q1275,$B1280)+COUNTIF(O1258:Q1275,$B1280&amp;" ~*")&gt;0)+(COUNTIF(S1258:U1275,$B1280)+COUNTIF(S1258:U1275,$B1280&amp;" ~*")&gt;0)+(COUNTIF(W1258:W1275,$B1280)+COUNTIF(W1258:W1275,$B1280&amp;" ~*")&gt;0)+(COUNTIF(Y1258:Y1275,$B1280)+COUNTIF(Y1258:Y1275,$B1280&amp;" ~*")&gt;0))</f>
        <v/>
      </c>
      <c r="AC1280" s="38">
        <f>IF($B1280="","",(IFERROR(INDEX(Setup!$G$33:$G$40,MATCH(C1280,Setup!$B$33:$B$40,0)),0)=1)*(COUNTIF(C1258:E1275,$B1280)+COUNTIF(C1258:E1275,$B1280&amp;" ~*")&gt;0)+(IFERROR(INDEX(Setup!$G$33:$G$40,MATCH(G1280,Setup!$B$33:$B$40,0)),0)=1)*(COUNTIF(G1258:I1275,$B1280)+COUNTIF(G1258:I1275,$B1280&amp;" ~*")&gt;0)+(IFERROR(INDEX(Setup!$G$33:$G$40,MATCH(K1280,Setup!$B$33:$B$40,0)),0)=1)*(COUNTIF(K1258:M1275,$B1280)+COUNTIF(K1258:M1275,$B1280&amp;" ~*")&gt;0)+(IFERROR(INDEX(Setup!$G$33:$G$40,MATCH(O1280,Setup!$B$33:$B$40,0)),0)=1)*(COUNTIF(O1258:Q1275,$B1280)+COUNTIF(O1258:Q1275,$B1280&amp;" ~*")&gt;0)+(IFERROR(INDEX(Setup!$G$33:$G$40,MATCH(S1280,Setup!$B$33:$B$40,0)),0)=1)*(COUNTIF(S1258:U1275,$B1280)+COUNTIF(S1258:U1275,$B1280&amp;" ~*")&gt;0)+(IFERROR(INDEX(Setup!$G$33:$G$40,MATCH(W1280,Setup!$B$33:$B$40,0)),0)=1)*(COUNTIF(W1258:W1275,$B1280)+COUNTIF(W1258:W1275,$B1280&amp;" ~*")&gt;0)+(IFERROR(INDEX(Setup!$G$33:$G$40,MATCH(Y1280,Setup!$B$33:$B$40,0)),0)=1)*(COUNTIF(Y1258:Y1275,$B1280)+COUNTIF(Y1258:Y1275,$B1280&amp;" ~*")&gt;0))</f>
        <v/>
      </c>
    </row>
    <row r="1281" ht="15" customHeight="1">
      <c r="A1281" t="n">
        <v>26</v>
      </c>
      <c r="B1281" s="35">
        <f>IF(Setup!$B$10="","",Setup!$B$10)</f>
        <v/>
      </c>
      <c r="C1281" s="98" t="n"/>
      <c r="D1281" s="99" t="n"/>
      <c r="E1281" s="99" t="n"/>
      <c r="F1281" s="100" t="n"/>
      <c r="G1281" s="98" t="n"/>
      <c r="H1281" s="99" t="n"/>
      <c r="I1281" s="99" t="n"/>
      <c r="J1281" s="100" t="n"/>
      <c r="K1281" s="98" t="n"/>
      <c r="L1281" s="99" t="n"/>
      <c r="M1281" s="99" t="n"/>
      <c r="N1281" s="100" t="n"/>
      <c r="O1281" s="98" t="n"/>
      <c r="P1281" s="99" t="n"/>
      <c r="Q1281" s="99" t="n"/>
      <c r="R1281" s="100" t="n"/>
      <c r="S1281" s="98" t="n"/>
      <c r="T1281" s="99" t="n"/>
      <c r="U1281" s="99" t="n"/>
      <c r="V1281" s="100" t="n"/>
      <c r="W1281" s="98" t="n"/>
      <c r="X1281" s="100" t="n"/>
      <c r="Y1281" s="98" t="n"/>
      <c r="Z1281" s="100" t="n"/>
      <c r="AB1281" s="101">
        <f>IF($B1281="","",(COUNTIF(C1258:E1275,$B1281)+COUNTIF(C1258:E1275,$B1281&amp;" ~*")&gt;0)+(COUNTIF(G1258:I1275,$B1281)+COUNTIF(G1258:I1275,$B1281&amp;" ~*")&gt;0)+(COUNTIF(K1258:M1275,$B1281)+COUNTIF(K1258:M1275,$B1281&amp;" ~*")&gt;0)+(COUNTIF(O1258:Q1275,$B1281)+COUNTIF(O1258:Q1275,$B1281&amp;" ~*")&gt;0)+(COUNTIF(S1258:U1275,$B1281)+COUNTIF(S1258:U1275,$B1281&amp;" ~*")&gt;0)+(COUNTIF(W1258:W1275,$B1281)+COUNTIF(W1258:W1275,$B1281&amp;" ~*")&gt;0)+(COUNTIF(Y1258:Y1275,$B1281)+COUNTIF(Y1258:Y1275,$B1281&amp;" ~*")&gt;0))</f>
        <v/>
      </c>
      <c r="AC1281" s="36">
        <f>IF($B1281="","",(IFERROR(INDEX(Setup!$G$33:$G$40,MATCH(C1281,Setup!$B$33:$B$40,0)),0)=1)*(COUNTIF(C1258:E1275,$B1281)+COUNTIF(C1258:E1275,$B1281&amp;" ~*")&gt;0)+(IFERROR(INDEX(Setup!$G$33:$G$40,MATCH(G1281,Setup!$B$33:$B$40,0)),0)=1)*(COUNTIF(G1258:I1275,$B1281)+COUNTIF(G1258:I1275,$B1281&amp;" ~*")&gt;0)+(IFERROR(INDEX(Setup!$G$33:$G$40,MATCH(K1281,Setup!$B$33:$B$40,0)),0)=1)*(COUNTIF(K1258:M1275,$B1281)+COUNTIF(K1258:M1275,$B1281&amp;" ~*")&gt;0)+(IFERROR(INDEX(Setup!$G$33:$G$40,MATCH(O1281,Setup!$B$33:$B$40,0)),0)=1)*(COUNTIF(O1258:Q1275,$B1281)+COUNTIF(O1258:Q1275,$B1281&amp;" ~*")&gt;0)+(IFERROR(INDEX(Setup!$G$33:$G$40,MATCH(S1281,Setup!$B$33:$B$40,0)),0)=1)*(COUNTIF(S1258:U1275,$B1281)+COUNTIF(S1258:U1275,$B1281&amp;" ~*")&gt;0)+(IFERROR(INDEX(Setup!$G$33:$G$40,MATCH(W1281,Setup!$B$33:$B$40,0)),0)=1)*(COUNTIF(W1258:W1275,$B1281)+COUNTIF(W1258:W1275,$B1281&amp;" ~*")&gt;0)+(IFERROR(INDEX(Setup!$G$33:$G$40,MATCH(Y1281,Setup!$B$33:$B$40,0)),0)=1)*(COUNTIF(Y1258:Y1275,$B1281)+COUNTIF(Y1258:Y1275,$B1281&amp;" ~*")&gt;0))</f>
        <v/>
      </c>
    </row>
    <row r="1282" ht="15" customHeight="1">
      <c r="A1282" t="n">
        <v>26</v>
      </c>
      <c r="B1282" s="37">
        <f>IF(Setup!$B$11="","",Setup!$B$11)</f>
        <v/>
      </c>
      <c r="C1282" s="102" t="n"/>
      <c r="D1282" s="103" t="n"/>
      <c r="E1282" s="103" t="n"/>
      <c r="F1282" s="104" t="n"/>
      <c r="G1282" s="102" t="n"/>
      <c r="H1282" s="103" t="n"/>
      <c r="I1282" s="103" t="n"/>
      <c r="J1282" s="104" t="n"/>
      <c r="K1282" s="102" t="n"/>
      <c r="L1282" s="103" t="n"/>
      <c r="M1282" s="103" t="n"/>
      <c r="N1282" s="104" t="n"/>
      <c r="O1282" s="102" t="n"/>
      <c r="P1282" s="103" t="n"/>
      <c r="Q1282" s="103" t="n"/>
      <c r="R1282" s="104" t="n"/>
      <c r="S1282" s="102" t="n"/>
      <c r="T1282" s="103" t="n"/>
      <c r="U1282" s="103" t="n"/>
      <c r="V1282" s="104" t="n"/>
      <c r="W1282" s="102" t="n"/>
      <c r="X1282" s="104" t="n"/>
      <c r="Y1282" s="102" t="n"/>
      <c r="Z1282" s="104" t="n"/>
      <c r="AB1282" s="105">
        <f>IF($B1282="","",(COUNTIF(C1258:E1275,$B1282)+COUNTIF(C1258:E1275,$B1282&amp;" ~*")&gt;0)+(COUNTIF(G1258:I1275,$B1282)+COUNTIF(G1258:I1275,$B1282&amp;" ~*")&gt;0)+(COUNTIF(K1258:M1275,$B1282)+COUNTIF(K1258:M1275,$B1282&amp;" ~*")&gt;0)+(COUNTIF(O1258:Q1275,$B1282)+COUNTIF(O1258:Q1275,$B1282&amp;" ~*")&gt;0)+(COUNTIF(S1258:U1275,$B1282)+COUNTIF(S1258:U1275,$B1282&amp;" ~*")&gt;0)+(COUNTIF(W1258:W1275,$B1282)+COUNTIF(W1258:W1275,$B1282&amp;" ~*")&gt;0)+(COUNTIF(Y1258:Y1275,$B1282)+COUNTIF(Y1258:Y1275,$B1282&amp;" ~*")&gt;0))</f>
        <v/>
      </c>
      <c r="AC1282" s="38">
        <f>IF($B1282="","",(IFERROR(INDEX(Setup!$G$33:$G$40,MATCH(C1282,Setup!$B$33:$B$40,0)),0)=1)*(COUNTIF(C1258:E1275,$B1282)+COUNTIF(C1258:E1275,$B1282&amp;" ~*")&gt;0)+(IFERROR(INDEX(Setup!$G$33:$G$40,MATCH(G1282,Setup!$B$33:$B$40,0)),0)=1)*(COUNTIF(G1258:I1275,$B1282)+COUNTIF(G1258:I1275,$B1282&amp;" ~*")&gt;0)+(IFERROR(INDEX(Setup!$G$33:$G$40,MATCH(K1282,Setup!$B$33:$B$40,0)),0)=1)*(COUNTIF(K1258:M1275,$B1282)+COUNTIF(K1258:M1275,$B1282&amp;" ~*")&gt;0)+(IFERROR(INDEX(Setup!$G$33:$G$40,MATCH(O1282,Setup!$B$33:$B$40,0)),0)=1)*(COUNTIF(O1258:Q1275,$B1282)+COUNTIF(O1258:Q1275,$B1282&amp;" ~*")&gt;0)+(IFERROR(INDEX(Setup!$G$33:$G$40,MATCH(S1282,Setup!$B$33:$B$40,0)),0)=1)*(COUNTIF(S1258:U1275,$B1282)+COUNTIF(S1258:U1275,$B1282&amp;" ~*")&gt;0)+(IFERROR(INDEX(Setup!$G$33:$G$40,MATCH(W1282,Setup!$B$33:$B$40,0)),0)=1)*(COUNTIF(W1258:W1275,$B1282)+COUNTIF(W1258:W1275,$B1282&amp;" ~*")&gt;0)+(IFERROR(INDEX(Setup!$G$33:$G$40,MATCH(Y1282,Setup!$B$33:$B$40,0)),0)=1)*(COUNTIF(Y1258:Y1275,$B1282)+COUNTIF(Y1258:Y1275,$B1282&amp;" ~*")&gt;0))</f>
        <v/>
      </c>
    </row>
    <row r="1283" ht="15" customHeight="1">
      <c r="A1283" t="n">
        <v>26</v>
      </c>
      <c r="B1283" s="35">
        <f>IF(Setup!$B$12="","",Setup!$B$12)</f>
        <v/>
      </c>
      <c r="C1283" s="98" t="n"/>
      <c r="D1283" s="99" t="n"/>
      <c r="E1283" s="99" t="n"/>
      <c r="F1283" s="100" t="n"/>
      <c r="G1283" s="98" t="n"/>
      <c r="H1283" s="99" t="n"/>
      <c r="I1283" s="99" t="n"/>
      <c r="J1283" s="100" t="n"/>
      <c r="K1283" s="98" t="n"/>
      <c r="L1283" s="99" t="n"/>
      <c r="M1283" s="99" t="n"/>
      <c r="N1283" s="100" t="n"/>
      <c r="O1283" s="98" t="n"/>
      <c r="P1283" s="99" t="n"/>
      <c r="Q1283" s="99" t="n"/>
      <c r="R1283" s="100" t="n"/>
      <c r="S1283" s="98" t="n"/>
      <c r="T1283" s="99" t="n"/>
      <c r="U1283" s="99" t="n"/>
      <c r="V1283" s="100" t="n"/>
      <c r="W1283" s="98" t="n"/>
      <c r="X1283" s="100" t="n"/>
      <c r="Y1283" s="98" t="n"/>
      <c r="Z1283" s="100" t="n"/>
      <c r="AB1283" s="101">
        <f>IF($B1283="","",(COUNTIF(C1258:E1275,$B1283)+COUNTIF(C1258:E1275,$B1283&amp;" ~*")&gt;0)+(COUNTIF(G1258:I1275,$B1283)+COUNTIF(G1258:I1275,$B1283&amp;" ~*")&gt;0)+(COUNTIF(K1258:M1275,$B1283)+COUNTIF(K1258:M1275,$B1283&amp;" ~*")&gt;0)+(COUNTIF(O1258:Q1275,$B1283)+COUNTIF(O1258:Q1275,$B1283&amp;" ~*")&gt;0)+(COUNTIF(S1258:U1275,$B1283)+COUNTIF(S1258:U1275,$B1283&amp;" ~*")&gt;0)+(COUNTIF(W1258:W1275,$B1283)+COUNTIF(W1258:W1275,$B1283&amp;" ~*")&gt;0)+(COUNTIF(Y1258:Y1275,$B1283)+COUNTIF(Y1258:Y1275,$B1283&amp;" ~*")&gt;0))</f>
        <v/>
      </c>
      <c r="AC1283" s="36">
        <f>IF($B1283="","",(IFERROR(INDEX(Setup!$G$33:$G$40,MATCH(C1283,Setup!$B$33:$B$40,0)),0)=1)*(COUNTIF(C1258:E1275,$B1283)+COUNTIF(C1258:E1275,$B1283&amp;" ~*")&gt;0)+(IFERROR(INDEX(Setup!$G$33:$G$40,MATCH(G1283,Setup!$B$33:$B$40,0)),0)=1)*(COUNTIF(G1258:I1275,$B1283)+COUNTIF(G1258:I1275,$B1283&amp;" ~*")&gt;0)+(IFERROR(INDEX(Setup!$G$33:$G$40,MATCH(K1283,Setup!$B$33:$B$40,0)),0)=1)*(COUNTIF(K1258:M1275,$B1283)+COUNTIF(K1258:M1275,$B1283&amp;" ~*")&gt;0)+(IFERROR(INDEX(Setup!$G$33:$G$40,MATCH(O1283,Setup!$B$33:$B$40,0)),0)=1)*(COUNTIF(O1258:Q1275,$B1283)+COUNTIF(O1258:Q1275,$B1283&amp;" ~*")&gt;0)+(IFERROR(INDEX(Setup!$G$33:$G$40,MATCH(S1283,Setup!$B$33:$B$40,0)),0)=1)*(COUNTIF(S1258:U1275,$B1283)+COUNTIF(S1258:U1275,$B1283&amp;" ~*")&gt;0)+(IFERROR(INDEX(Setup!$G$33:$G$40,MATCH(W1283,Setup!$B$33:$B$40,0)),0)=1)*(COUNTIF(W1258:W1275,$B1283)+COUNTIF(W1258:W1275,$B1283&amp;" ~*")&gt;0)+(IFERROR(INDEX(Setup!$G$33:$G$40,MATCH(Y1283,Setup!$B$33:$B$40,0)),0)=1)*(COUNTIF(Y1258:Y1275,$B1283)+COUNTIF(Y1258:Y1275,$B1283&amp;" ~*")&gt;0))</f>
        <v/>
      </c>
    </row>
    <row r="1284" ht="15" customHeight="1">
      <c r="A1284" t="n">
        <v>26</v>
      </c>
      <c r="B1284" s="37">
        <f>IF(Setup!$B$13="","",Setup!$B$13)</f>
        <v/>
      </c>
      <c r="C1284" s="102" t="n"/>
      <c r="D1284" s="103" t="n"/>
      <c r="E1284" s="103" t="n"/>
      <c r="F1284" s="104" t="n"/>
      <c r="G1284" s="102" t="n"/>
      <c r="H1284" s="103" t="n"/>
      <c r="I1284" s="103" t="n"/>
      <c r="J1284" s="104" t="n"/>
      <c r="K1284" s="102" t="n"/>
      <c r="L1284" s="103" t="n"/>
      <c r="M1284" s="103" t="n"/>
      <c r="N1284" s="104" t="n"/>
      <c r="O1284" s="102" t="n"/>
      <c r="P1284" s="103" t="n"/>
      <c r="Q1284" s="103" t="n"/>
      <c r="R1284" s="104" t="n"/>
      <c r="S1284" s="102" t="n"/>
      <c r="T1284" s="103" t="n"/>
      <c r="U1284" s="103" t="n"/>
      <c r="V1284" s="104" t="n"/>
      <c r="W1284" s="102" t="n"/>
      <c r="X1284" s="104" t="n"/>
      <c r="Y1284" s="102" t="n"/>
      <c r="Z1284" s="104" t="n"/>
      <c r="AB1284" s="105">
        <f>IF($B1284="","",(COUNTIF(C1258:E1275,$B1284)+COUNTIF(C1258:E1275,$B1284&amp;" ~*")&gt;0)+(COUNTIF(G1258:I1275,$B1284)+COUNTIF(G1258:I1275,$B1284&amp;" ~*")&gt;0)+(COUNTIF(K1258:M1275,$B1284)+COUNTIF(K1258:M1275,$B1284&amp;" ~*")&gt;0)+(COUNTIF(O1258:Q1275,$B1284)+COUNTIF(O1258:Q1275,$B1284&amp;" ~*")&gt;0)+(COUNTIF(S1258:U1275,$B1284)+COUNTIF(S1258:U1275,$B1284&amp;" ~*")&gt;0)+(COUNTIF(W1258:W1275,$B1284)+COUNTIF(W1258:W1275,$B1284&amp;" ~*")&gt;0)+(COUNTIF(Y1258:Y1275,$B1284)+COUNTIF(Y1258:Y1275,$B1284&amp;" ~*")&gt;0))</f>
        <v/>
      </c>
      <c r="AC1284" s="38">
        <f>IF($B1284="","",(IFERROR(INDEX(Setup!$G$33:$G$40,MATCH(C1284,Setup!$B$33:$B$40,0)),0)=1)*(COUNTIF(C1258:E1275,$B1284)+COUNTIF(C1258:E1275,$B1284&amp;" ~*")&gt;0)+(IFERROR(INDEX(Setup!$G$33:$G$40,MATCH(G1284,Setup!$B$33:$B$40,0)),0)=1)*(COUNTIF(G1258:I1275,$B1284)+COUNTIF(G1258:I1275,$B1284&amp;" ~*")&gt;0)+(IFERROR(INDEX(Setup!$G$33:$G$40,MATCH(K1284,Setup!$B$33:$B$40,0)),0)=1)*(COUNTIF(K1258:M1275,$B1284)+COUNTIF(K1258:M1275,$B1284&amp;" ~*")&gt;0)+(IFERROR(INDEX(Setup!$G$33:$G$40,MATCH(O1284,Setup!$B$33:$B$40,0)),0)=1)*(COUNTIF(O1258:Q1275,$B1284)+COUNTIF(O1258:Q1275,$B1284&amp;" ~*")&gt;0)+(IFERROR(INDEX(Setup!$G$33:$G$40,MATCH(S1284,Setup!$B$33:$B$40,0)),0)=1)*(COUNTIF(S1258:U1275,$B1284)+COUNTIF(S1258:U1275,$B1284&amp;" ~*")&gt;0)+(IFERROR(INDEX(Setup!$G$33:$G$40,MATCH(W1284,Setup!$B$33:$B$40,0)),0)=1)*(COUNTIF(W1258:W1275,$B1284)+COUNTIF(W1258:W1275,$B1284&amp;" ~*")&gt;0)+(IFERROR(INDEX(Setup!$G$33:$G$40,MATCH(Y1284,Setup!$B$33:$B$40,0)),0)=1)*(COUNTIF(Y1258:Y1275,$B1284)+COUNTIF(Y1258:Y1275,$B1284&amp;" ~*")&gt;0))</f>
        <v/>
      </c>
    </row>
    <row r="1285" ht="15" customHeight="1">
      <c r="A1285" t="n">
        <v>26</v>
      </c>
      <c r="B1285" s="35">
        <f>IF(Setup!$B$14="","",Setup!$B$14)</f>
        <v/>
      </c>
      <c r="C1285" s="98" t="n"/>
      <c r="D1285" s="99" t="n"/>
      <c r="E1285" s="99" t="n"/>
      <c r="F1285" s="100" t="n"/>
      <c r="G1285" s="98" t="n"/>
      <c r="H1285" s="99" t="n"/>
      <c r="I1285" s="99" t="n"/>
      <c r="J1285" s="100" t="n"/>
      <c r="K1285" s="98" t="n"/>
      <c r="L1285" s="99" t="n"/>
      <c r="M1285" s="99" t="n"/>
      <c r="N1285" s="100" t="n"/>
      <c r="O1285" s="98" t="n"/>
      <c r="P1285" s="99" t="n"/>
      <c r="Q1285" s="99" t="n"/>
      <c r="R1285" s="100" t="n"/>
      <c r="S1285" s="98" t="n"/>
      <c r="T1285" s="99" t="n"/>
      <c r="U1285" s="99" t="n"/>
      <c r="V1285" s="100" t="n"/>
      <c r="W1285" s="98" t="n"/>
      <c r="X1285" s="100" t="n"/>
      <c r="Y1285" s="98" t="n"/>
      <c r="Z1285" s="100" t="n"/>
      <c r="AB1285" s="101">
        <f>IF($B1285="","",(COUNTIF(C1258:E1275,$B1285)+COUNTIF(C1258:E1275,$B1285&amp;" ~*")&gt;0)+(COUNTIF(G1258:I1275,$B1285)+COUNTIF(G1258:I1275,$B1285&amp;" ~*")&gt;0)+(COUNTIF(K1258:M1275,$B1285)+COUNTIF(K1258:M1275,$B1285&amp;" ~*")&gt;0)+(COUNTIF(O1258:Q1275,$B1285)+COUNTIF(O1258:Q1275,$B1285&amp;" ~*")&gt;0)+(COUNTIF(S1258:U1275,$B1285)+COUNTIF(S1258:U1275,$B1285&amp;" ~*")&gt;0)+(COUNTIF(W1258:W1275,$B1285)+COUNTIF(W1258:W1275,$B1285&amp;" ~*")&gt;0)+(COUNTIF(Y1258:Y1275,$B1285)+COUNTIF(Y1258:Y1275,$B1285&amp;" ~*")&gt;0))</f>
        <v/>
      </c>
      <c r="AC1285" s="36">
        <f>IF($B1285="","",(IFERROR(INDEX(Setup!$G$33:$G$40,MATCH(C1285,Setup!$B$33:$B$40,0)),0)=1)*(COUNTIF(C1258:E1275,$B1285)+COUNTIF(C1258:E1275,$B1285&amp;" ~*")&gt;0)+(IFERROR(INDEX(Setup!$G$33:$G$40,MATCH(G1285,Setup!$B$33:$B$40,0)),0)=1)*(COUNTIF(G1258:I1275,$B1285)+COUNTIF(G1258:I1275,$B1285&amp;" ~*")&gt;0)+(IFERROR(INDEX(Setup!$G$33:$G$40,MATCH(K1285,Setup!$B$33:$B$40,0)),0)=1)*(COUNTIF(K1258:M1275,$B1285)+COUNTIF(K1258:M1275,$B1285&amp;" ~*")&gt;0)+(IFERROR(INDEX(Setup!$G$33:$G$40,MATCH(O1285,Setup!$B$33:$B$40,0)),0)=1)*(COUNTIF(O1258:Q1275,$B1285)+COUNTIF(O1258:Q1275,$B1285&amp;" ~*")&gt;0)+(IFERROR(INDEX(Setup!$G$33:$G$40,MATCH(S1285,Setup!$B$33:$B$40,0)),0)=1)*(COUNTIF(S1258:U1275,$B1285)+COUNTIF(S1258:U1275,$B1285&amp;" ~*")&gt;0)+(IFERROR(INDEX(Setup!$G$33:$G$40,MATCH(W1285,Setup!$B$33:$B$40,0)),0)=1)*(COUNTIF(W1258:W1275,$B1285)+COUNTIF(W1258:W1275,$B1285&amp;" ~*")&gt;0)+(IFERROR(INDEX(Setup!$G$33:$G$40,MATCH(Y1285,Setup!$B$33:$B$40,0)),0)=1)*(COUNTIF(Y1258:Y1275,$B1285)+COUNTIF(Y1258:Y1275,$B1285&amp;" ~*")&gt;0))</f>
        <v/>
      </c>
    </row>
    <row r="1286" ht="15" customHeight="1">
      <c r="A1286" t="n">
        <v>26</v>
      </c>
      <c r="B1286" s="37">
        <f>IF(Setup!$B$15="","",Setup!$B$15)</f>
        <v/>
      </c>
      <c r="C1286" s="102" t="n"/>
      <c r="D1286" s="103" t="n"/>
      <c r="E1286" s="103" t="n"/>
      <c r="F1286" s="104" t="n"/>
      <c r="G1286" s="102" t="n"/>
      <c r="H1286" s="103" t="n"/>
      <c r="I1286" s="103" t="n"/>
      <c r="J1286" s="104" t="n"/>
      <c r="K1286" s="102" t="n"/>
      <c r="L1286" s="103" t="n"/>
      <c r="M1286" s="103" t="n"/>
      <c r="N1286" s="104" t="n"/>
      <c r="O1286" s="102" t="n"/>
      <c r="P1286" s="103" t="n"/>
      <c r="Q1286" s="103" t="n"/>
      <c r="R1286" s="104" t="n"/>
      <c r="S1286" s="102" t="n"/>
      <c r="T1286" s="103" t="n"/>
      <c r="U1286" s="103" t="n"/>
      <c r="V1286" s="104" t="n"/>
      <c r="W1286" s="102" t="n"/>
      <c r="X1286" s="104" t="n"/>
      <c r="Y1286" s="102" t="n"/>
      <c r="Z1286" s="104" t="n"/>
      <c r="AB1286" s="105">
        <f>IF($B1286="","",(COUNTIF(C1258:E1275,$B1286)+COUNTIF(C1258:E1275,$B1286&amp;" ~*")&gt;0)+(COUNTIF(G1258:I1275,$B1286)+COUNTIF(G1258:I1275,$B1286&amp;" ~*")&gt;0)+(COUNTIF(K1258:M1275,$B1286)+COUNTIF(K1258:M1275,$B1286&amp;" ~*")&gt;0)+(COUNTIF(O1258:Q1275,$B1286)+COUNTIF(O1258:Q1275,$B1286&amp;" ~*")&gt;0)+(COUNTIF(S1258:U1275,$B1286)+COUNTIF(S1258:U1275,$B1286&amp;" ~*")&gt;0)+(COUNTIF(W1258:W1275,$B1286)+COUNTIF(W1258:W1275,$B1286&amp;" ~*")&gt;0)+(COUNTIF(Y1258:Y1275,$B1286)+COUNTIF(Y1258:Y1275,$B1286&amp;" ~*")&gt;0))</f>
        <v/>
      </c>
      <c r="AC1286" s="38">
        <f>IF($B1286="","",(IFERROR(INDEX(Setup!$G$33:$G$40,MATCH(C1286,Setup!$B$33:$B$40,0)),0)=1)*(COUNTIF(C1258:E1275,$B1286)+COUNTIF(C1258:E1275,$B1286&amp;" ~*")&gt;0)+(IFERROR(INDEX(Setup!$G$33:$G$40,MATCH(G1286,Setup!$B$33:$B$40,0)),0)=1)*(COUNTIF(G1258:I1275,$B1286)+COUNTIF(G1258:I1275,$B1286&amp;" ~*")&gt;0)+(IFERROR(INDEX(Setup!$G$33:$G$40,MATCH(K1286,Setup!$B$33:$B$40,0)),0)=1)*(COUNTIF(K1258:M1275,$B1286)+COUNTIF(K1258:M1275,$B1286&amp;" ~*")&gt;0)+(IFERROR(INDEX(Setup!$G$33:$G$40,MATCH(O1286,Setup!$B$33:$B$40,0)),0)=1)*(COUNTIF(O1258:Q1275,$B1286)+COUNTIF(O1258:Q1275,$B1286&amp;" ~*")&gt;0)+(IFERROR(INDEX(Setup!$G$33:$G$40,MATCH(S1286,Setup!$B$33:$B$40,0)),0)=1)*(COUNTIF(S1258:U1275,$B1286)+COUNTIF(S1258:U1275,$B1286&amp;" ~*")&gt;0)+(IFERROR(INDEX(Setup!$G$33:$G$40,MATCH(W1286,Setup!$B$33:$B$40,0)),0)=1)*(COUNTIF(W1258:W1275,$B1286)+COUNTIF(W1258:W1275,$B1286&amp;" ~*")&gt;0)+(IFERROR(INDEX(Setup!$G$33:$G$40,MATCH(Y1286,Setup!$B$33:$B$40,0)),0)=1)*(COUNTIF(Y1258:Y1275,$B1286)+COUNTIF(Y1258:Y1275,$B1286&amp;" ~*")&gt;0))</f>
        <v/>
      </c>
    </row>
    <row r="1287" ht="15" customHeight="1">
      <c r="A1287" t="n">
        <v>26</v>
      </c>
      <c r="B1287" s="35">
        <f>IF(Setup!$B$16="","",Setup!$B$16)</f>
        <v/>
      </c>
      <c r="C1287" s="98" t="n"/>
      <c r="D1287" s="99" t="n"/>
      <c r="E1287" s="99" t="n"/>
      <c r="F1287" s="100" t="n"/>
      <c r="G1287" s="98" t="n"/>
      <c r="H1287" s="99" t="n"/>
      <c r="I1287" s="99" t="n"/>
      <c r="J1287" s="100" t="n"/>
      <c r="K1287" s="98" t="n"/>
      <c r="L1287" s="99" t="n"/>
      <c r="M1287" s="99" t="n"/>
      <c r="N1287" s="100" t="n"/>
      <c r="O1287" s="98" t="n"/>
      <c r="P1287" s="99" t="n"/>
      <c r="Q1287" s="99" t="n"/>
      <c r="R1287" s="100" t="n"/>
      <c r="S1287" s="98" t="n"/>
      <c r="T1287" s="99" t="n"/>
      <c r="U1287" s="99" t="n"/>
      <c r="V1287" s="100" t="n"/>
      <c r="W1287" s="98" t="n"/>
      <c r="X1287" s="100" t="n"/>
      <c r="Y1287" s="98" t="n"/>
      <c r="Z1287" s="100" t="n"/>
      <c r="AB1287" s="101">
        <f>IF($B1287="","",(COUNTIF(C1258:E1275,$B1287)+COUNTIF(C1258:E1275,$B1287&amp;" ~*")&gt;0)+(COUNTIF(G1258:I1275,$B1287)+COUNTIF(G1258:I1275,$B1287&amp;" ~*")&gt;0)+(COUNTIF(K1258:M1275,$B1287)+COUNTIF(K1258:M1275,$B1287&amp;" ~*")&gt;0)+(COUNTIF(O1258:Q1275,$B1287)+COUNTIF(O1258:Q1275,$B1287&amp;" ~*")&gt;0)+(COUNTIF(S1258:U1275,$B1287)+COUNTIF(S1258:U1275,$B1287&amp;" ~*")&gt;0)+(COUNTIF(W1258:W1275,$B1287)+COUNTIF(W1258:W1275,$B1287&amp;" ~*")&gt;0)+(COUNTIF(Y1258:Y1275,$B1287)+COUNTIF(Y1258:Y1275,$B1287&amp;" ~*")&gt;0))</f>
        <v/>
      </c>
      <c r="AC1287" s="36">
        <f>IF($B1287="","",(IFERROR(INDEX(Setup!$G$33:$G$40,MATCH(C1287,Setup!$B$33:$B$40,0)),0)=1)*(COUNTIF(C1258:E1275,$B1287)+COUNTIF(C1258:E1275,$B1287&amp;" ~*")&gt;0)+(IFERROR(INDEX(Setup!$G$33:$G$40,MATCH(G1287,Setup!$B$33:$B$40,0)),0)=1)*(COUNTIF(G1258:I1275,$B1287)+COUNTIF(G1258:I1275,$B1287&amp;" ~*")&gt;0)+(IFERROR(INDEX(Setup!$G$33:$G$40,MATCH(K1287,Setup!$B$33:$B$40,0)),0)=1)*(COUNTIF(K1258:M1275,$B1287)+COUNTIF(K1258:M1275,$B1287&amp;" ~*")&gt;0)+(IFERROR(INDEX(Setup!$G$33:$G$40,MATCH(O1287,Setup!$B$33:$B$40,0)),0)=1)*(COUNTIF(O1258:Q1275,$B1287)+COUNTIF(O1258:Q1275,$B1287&amp;" ~*")&gt;0)+(IFERROR(INDEX(Setup!$G$33:$G$40,MATCH(S1287,Setup!$B$33:$B$40,0)),0)=1)*(COUNTIF(S1258:U1275,$B1287)+COUNTIF(S1258:U1275,$B1287&amp;" ~*")&gt;0)+(IFERROR(INDEX(Setup!$G$33:$G$40,MATCH(W1287,Setup!$B$33:$B$40,0)),0)=1)*(COUNTIF(W1258:W1275,$B1287)+COUNTIF(W1258:W1275,$B1287&amp;" ~*")&gt;0)+(IFERROR(INDEX(Setup!$G$33:$G$40,MATCH(Y1287,Setup!$B$33:$B$40,0)),0)=1)*(COUNTIF(Y1258:Y1275,$B1287)+COUNTIF(Y1258:Y1275,$B1287&amp;" ~*")&gt;0))</f>
        <v/>
      </c>
    </row>
    <row r="1288" ht="15" customHeight="1">
      <c r="A1288" t="n">
        <v>26</v>
      </c>
      <c r="B1288" s="37">
        <f>IF(Setup!$B$17="","",Setup!$B$17)</f>
        <v/>
      </c>
      <c r="C1288" s="102" t="n"/>
      <c r="D1288" s="103" t="n"/>
      <c r="E1288" s="103" t="n"/>
      <c r="F1288" s="104" t="n"/>
      <c r="G1288" s="102" t="n"/>
      <c r="H1288" s="103" t="n"/>
      <c r="I1288" s="103" t="n"/>
      <c r="J1288" s="104" t="n"/>
      <c r="K1288" s="102" t="n"/>
      <c r="L1288" s="103" t="n"/>
      <c r="M1288" s="103" t="n"/>
      <c r="N1288" s="104" t="n"/>
      <c r="O1288" s="102" t="n"/>
      <c r="P1288" s="103" t="n"/>
      <c r="Q1288" s="103" t="n"/>
      <c r="R1288" s="104" t="n"/>
      <c r="S1288" s="102" t="n"/>
      <c r="T1288" s="103" t="n"/>
      <c r="U1288" s="103" t="n"/>
      <c r="V1288" s="104" t="n"/>
      <c r="W1288" s="102" t="n"/>
      <c r="X1288" s="104" t="n"/>
      <c r="Y1288" s="102" t="n"/>
      <c r="Z1288" s="104" t="n"/>
      <c r="AB1288" s="105">
        <f>IF($B1288="","",(COUNTIF(C1258:E1275,$B1288)+COUNTIF(C1258:E1275,$B1288&amp;" ~*")&gt;0)+(COUNTIF(G1258:I1275,$B1288)+COUNTIF(G1258:I1275,$B1288&amp;" ~*")&gt;0)+(COUNTIF(K1258:M1275,$B1288)+COUNTIF(K1258:M1275,$B1288&amp;" ~*")&gt;0)+(COUNTIF(O1258:Q1275,$B1288)+COUNTIF(O1258:Q1275,$B1288&amp;" ~*")&gt;0)+(COUNTIF(S1258:U1275,$B1288)+COUNTIF(S1258:U1275,$B1288&amp;" ~*")&gt;0)+(COUNTIF(W1258:W1275,$B1288)+COUNTIF(W1258:W1275,$B1288&amp;" ~*")&gt;0)+(COUNTIF(Y1258:Y1275,$B1288)+COUNTIF(Y1258:Y1275,$B1288&amp;" ~*")&gt;0))</f>
        <v/>
      </c>
      <c r="AC1288" s="38">
        <f>IF($B1288="","",(IFERROR(INDEX(Setup!$G$33:$G$40,MATCH(C1288,Setup!$B$33:$B$40,0)),0)=1)*(COUNTIF(C1258:E1275,$B1288)+COUNTIF(C1258:E1275,$B1288&amp;" ~*")&gt;0)+(IFERROR(INDEX(Setup!$G$33:$G$40,MATCH(G1288,Setup!$B$33:$B$40,0)),0)=1)*(COUNTIF(G1258:I1275,$B1288)+COUNTIF(G1258:I1275,$B1288&amp;" ~*")&gt;0)+(IFERROR(INDEX(Setup!$G$33:$G$40,MATCH(K1288,Setup!$B$33:$B$40,0)),0)=1)*(COUNTIF(K1258:M1275,$B1288)+COUNTIF(K1258:M1275,$B1288&amp;" ~*")&gt;0)+(IFERROR(INDEX(Setup!$G$33:$G$40,MATCH(O1288,Setup!$B$33:$B$40,0)),0)=1)*(COUNTIF(O1258:Q1275,$B1288)+COUNTIF(O1258:Q1275,$B1288&amp;" ~*")&gt;0)+(IFERROR(INDEX(Setup!$G$33:$G$40,MATCH(S1288,Setup!$B$33:$B$40,0)),0)=1)*(COUNTIF(S1258:U1275,$B1288)+COUNTIF(S1258:U1275,$B1288&amp;" ~*")&gt;0)+(IFERROR(INDEX(Setup!$G$33:$G$40,MATCH(W1288,Setup!$B$33:$B$40,0)),0)=1)*(COUNTIF(W1258:W1275,$B1288)+COUNTIF(W1258:W1275,$B1288&amp;" ~*")&gt;0)+(IFERROR(INDEX(Setup!$G$33:$G$40,MATCH(Y1288,Setup!$B$33:$B$40,0)),0)=1)*(COUNTIF(Y1258:Y1275,$B1288)+COUNTIF(Y1258:Y1275,$B1288&amp;" ~*")&gt;0))</f>
        <v/>
      </c>
    </row>
    <row r="1289" ht="15" customHeight="1">
      <c r="A1289" t="n">
        <v>26</v>
      </c>
      <c r="B1289" s="35">
        <f>IF(Setup!$B$18="","",Setup!$B$18)</f>
        <v/>
      </c>
      <c r="C1289" s="98" t="n"/>
      <c r="D1289" s="99" t="n"/>
      <c r="E1289" s="99" t="n"/>
      <c r="F1289" s="100" t="n"/>
      <c r="G1289" s="98" t="n"/>
      <c r="H1289" s="99" t="n"/>
      <c r="I1289" s="99" t="n"/>
      <c r="J1289" s="100" t="n"/>
      <c r="K1289" s="98" t="n"/>
      <c r="L1289" s="99" t="n"/>
      <c r="M1289" s="99" t="n"/>
      <c r="N1289" s="100" t="n"/>
      <c r="O1289" s="98" t="n"/>
      <c r="P1289" s="99" t="n"/>
      <c r="Q1289" s="99" t="n"/>
      <c r="R1289" s="100" t="n"/>
      <c r="S1289" s="98" t="n"/>
      <c r="T1289" s="99" t="n"/>
      <c r="U1289" s="99" t="n"/>
      <c r="V1289" s="100" t="n"/>
      <c r="W1289" s="98" t="n"/>
      <c r="X1289" s="100" t="n"/>
      <c r="Y1289" s="98" t="n"/>
      <c r="Z1289" s="100" t="n"/>
      <c r="AB1289" s="101">
        <f>IF($B1289="","",(COUNTIF(C1258:E1275,$B1289)+COUNTIF(C1258:E1275,$B1289&amp;" ~*")&gt;0)+(COUNTIF(G1258:I1275,$B1289)+COUNTIF(G1258:I1275,$B1289&amp;" ~*")&gt;0)+(COUNTIF(K1258:M1275,$B1289)+COUNTIF(K1258:M1275,$B1289&amp;" ~*")&gt;0)+(COUNTIF(O1258:Q1275,$B1289)+COUNTIF(O1258:Q1275,$B1289&amp;" ~*")&gt;0)+(COUNTIF(S1258:U1275,$B1289)+COUNTIF(S1258:U1275,$B1289&amp;" ~*")&gt;0)+(COUNTIF(W1258:W1275,$B1289)+COUNTIF(W1258:W1275,$B1289&amp;" ~*")&gt;0)+(COUNTIF(Y1258:Y1275,$B1289)+COUNTIF(Y1258:Y1275,$B1289&amp;" ~*")&gt;0))</f>
        <v/>
      </c>
      <c r="AC1289" s="36">
        <f>IF($B1289="","",(IFERROR(INDEX(Setup!$G$33:$G$40,MATCH(C1289,Setup!$B$33:$B$40,0)),0)=1)*(COUNTIF(C1258:E1275,$B1289)+COUNTIF(C1258:E1275,$B1289&amp;" ~*")&gt;0)+(IFERROR(INDEX(Setup!$G$33:$G$40,MATCH(G1289,Setup!$B$33:$B$40,0)),0)=1)*(COUNTIF(G1258:I1275,$B1289)+COUNTIF(G1258:I1275,$B1289&amp;" ~*")&gt;0)+(IFERROR(INDEX(Setup!$G$33:$G$40,MATCH(K1289,Setup!$B$33:$B$40,0)),0)=1)*(COUNTIF(K1258:M1275,$B1289)+COUNTIF(K1258:M1275,$B1289&amp;" ~*")&gt;0)+(IFERROR(INDEX(Setup!$G$33:$G$40,MATCH(O1289,Setup!$B$33:$B$40,0)),0)=1)*(COUNTIF(O1258:Q1275,$B1289)+COUNTIF(O1258:Q1275,$B1289&amp;" ~*")&gt;0)+(IFERROR(INDEX(Setup!$G$33:$G$40,MATCH(S1289,Setup!$B$33:$B$40,0)),0)=1)*(COUNTIF(S1258:U1275,$B1289)+COUNTIF(S1258:U1275,$B1289&amp;" ~*")&gt;0)+(IFERROR(INDEX(Setup!$G$33:$G$40,MATCH(W1289,Setup!$B$33:$B$40,0)),0)=1)*(COUNTIF(W1258:W1275,$B1289)+COUNTIF(W1258:W1275,$B1289&amp;" ~*")&gt;0)+(IFERROR(INDEX(Setup!$G$33:$G$40,MATCH(Y1289,Setup!$B$33:$B$40,0)),0)=1)*(COUNTIF(Y1258:Y1275,$B1289)+COUNTIF(Y1258:Y1275,$B1289&amp;" ~*")&gt;0))</f>
        <v/>
      </c>
    </row>
    <row r="1290" ht="15" customHeight="1">
      <c r="A1290" t="n">
        <v>26</v>
      </c>
      <c r="B1290" s="37">
        <f>IF(Setup!$B$19="","",Setup!$B$19)</f>
        <v/>
      </c>
      <c r="C1290" s="102" t="n"/>
      <c r="D1290" s="103" t="n"/>
      <c r="E1290" s="103" t="n"/>
      <c r="F1290" s="104" t="n"/>
      <c r="G1290" s="102" t="n"/>
      <c r="H1290" s="103" t="n"/>
      <c r="I1290" s="103" t="n"/>
      <c r="J1290" s="104" t="n"/>
      <c r="K1290" s="102" t="n"/>
      <c r="L1290" s="103" t="n"/>
      <c r="M1290" s="103" t="n"/>
      <c r="N1290" s="104" t="n"/>
      <c r="O1290" s="102" t="n"/>
      <c r="P1290" s="103" t="n"/>
      <c r="Q1290" s="103" t="n"/>
      <c r="R1290" s="104" t="n"/>
      <c r="S1290" s="102" t="n"/>
      <c r="T1290" s="103" t="n"/>
      <c r="U1290" s="103" t="n"/>
      <c r="V1290" s="104" t="n"/>
      <c r="W1290" s="102" t="n"/>
      <c r="X1290" s="104" t="n"/>
      <c r="Y1290" s="102" t="n"/>
      <c r="Z1290" s="104" t="n"/>
      <c r="AB1290" s="105">
        <f>IF($B1290="","",(COUNTIF(C1258:E1275,$B1290)+COUNTIF(C1258:E1275,$B1290&amp;" ~*")&gt;0)+(COUNTIF(G1258:I1275,$B1290)+COUNTIF(G1258:I1275,$B1290&amp;" ~*")&gt;0)+(COUNTIF(K1258:M1275,$B1290)+COUNTIF(K1258:M1275,$B1290&amp;" ~*")&gt;0)+(COUNTIF(O1258:Q1275,$B1290)+COUNTIF(O1258:Q1275,$B1290&amp;" ~*")&gt;0)+(COUNTIF(S1258:U1275,$B1290)+COUNTIF(S1258:U1275,$B1290&amp;" ~*")&gt;0)+(COUNTIF(W1258:W1275,$B1290)+COUNTIF(W1258:W1275,$B1290&amp;" ~*")&gt;0)+(COUNTIF(Y1258:Y1275,$B1290)+COUNTIF(Y1258:Y1275,$B1290&amp;" ~*")&gt;0))</f>
        <v/>
      </c>
      <c r="AC1290" s="38">
        <f>IF($B1290="","",(IFERROR(INDEX(Setup!$G$33:$G$40,MATCH(C1290,Setup!$B$33:$B$40,0)),0)=1)*(COUNTIF(C1258:E1275,$B1290)+COUNTIF(C1258:E1275,$B1290&amp;" ~*")&gt;0)+(IFERROR(INDEX(Setup!$G$33:$G$40,MATCH(G1290,Setup!$B$33:$B$40,0)),0)=1)*(COUNTIF(G1258:I1275,$B1290)+COUNTIF(G1258:I1275,$B1290&amp;" ~*")&gt;0)+(IFERROR(INDEX(Setup!$G$33:$G$40,MATCH(K1290,Setup!$B$33:$B$40,0)),0)=1)*(COUNTIF(K1258:M1275,$B1290)+COUNTIF(K1258:M1275,$B1290&amp;" ~*")&gt;0)+(IFERROR(INDEX(Setup!$G$33:$G$40,MATCH(O1290,Setup!$B$33:$B$40,0)),0)=1)*(COUNTIF(O1258:Q1275,$B1290)+COUNTIF(O1258:Q1275,$B1290&amp;" ~*")&gt;0)+(IFERROR(INDEX(Setup!$G$33:$G$40,MATCH(S1290,Setup!$B$33:$B$40,0)),0)=1)*(COUNTIF(S1258:U1275,$B1290)+COUNTIF(S1258:U1275,$B1290&amp;" ~*")&gt;0)+(IFERROR(INDEX(Setup!$G$33:$G$40,MATCH(W1290,Setup!$B$33:$B$40,0)),0)=1)*(COUNTIF(W1258:W1275,$B1290)+COUNTIF(W1258:W1275,$B1290&amp;" ~*")&gt;0)+(IFERROR(INDEX(Setup!$G$33:$G$40,MATCH(Y1290,Setup!$B$33:$B$40,0)),0)=1)*(COUNTIF(Y1258:Y1275,$B1290)+COUNTIF(Y1258:Y1275,$B1290&amp;" ~*")&gt;0))</f>
        <v/>
      </c>
    </row>
    <row r="1291" ht="15" customHeight="1">
      <c r="A1291" t="n">
        <v>26</v>
      </c>
      <c r="B1291" s="35">
        <f>IF(Setup!$B$20="","",Setup!$B$20)</f>
        <v/>
      </c>
      <c r="C1291" s="98" t="n"/>
      <c r="D1291" s="99" t="n"/>
      <c r="E1291" s="99" t="n"/>
      <c r="F1291" s="100" t="n"/>
      <c r="G1291" s="98" t="n"/>
      <c r="H1291" s="99" t="n"/>
      <c r="I1291" s="99" t="n"/>
      <c r="J1291" s="100" t="n"/>
      <c r="K1291" s="98" t="n"/>
      <c r="L1291" s="99" t="n"/>
      <c r="M1291" s="99" t="n"/>
      <c r="N1291" s="100" t="n"/>
      <c r="O1291" s="98" t="n"/>
      <c r="P1291" s="99" t="n"/>
      <c r="Q1291" s="99" t="n"/>
      <c r="R1291" s="100" t="n"/>
      <c r="S1291" s="98" t="n"/>
      <c r="T1291" s="99" t="n"/>
      <c r="U1291" s="99" t="n"/>
      <c r="V1291" s="100" t="n"/>
      <c r="W1291" s="98" t="n"/>
      <c r="X1291" s="100" t="n"/>
      <c r="Y1291" s="98" t="n"/>
      <c r="Z1291" s="100" t="n"/>
      <c r="AB1291" s="101">
        <f>IF($B1291="","",(COUNTIF(C1258:E1275,$B1291)+COUNTIF(C1258:E1275,$B1291&amp;" ~*")&gt;0)+(COUNTIF(G1258:I1275,$B1291)+COUNTIF(G1258:I1275,$B1291&amp;" ~*")&gt;0)+(COUNTIF(K1258:M1275,$B1291)+COUNTIF(K1258:M1275,$B1291&amp;" ~*")&gt;0)+(COUNTIF(O1258:Q1275,$B1291)+COUNTIF(O1258:Q1275,$B1291&amp;" ~*")&gt;0)+(COUNTIF(S1258:U1275,$B1291)+COUNTIF(S1258:U1275,$B1291&amp;" ~*")&gt;0)+(COUNTIF(W1258:W1275,$B1291)+COUNTIF(W1258:W1275,$B1291&amp;" ~*")&gt;0)+(COUNTIF(Y1258:Y1275,$B1291)+COUNTIF(Y1258:Y1275,$B1291&amp;" ~*")&gt;0))</f>
        <v/>
      </c>
      <c r="AC1291" s="36">
        <f>IF($B1291="","",(IFERROR(INDEX(Setup!$G$33:$G$40,MATCH(C1291,Setup!$B$33:$B$40,0)),0)=1)*(COUNTIF(C1258:E1275,$B1291)+COUNTIF(C1258:E1275,$B1291&amp;" ~*")&gt;0)+(IFERROR(INDEX(Setup!$G$33:$G$40,MATCH(G1291,Setup!$B$33:$B$40,0)),0)=1)*(COUNTIF(G1258:I1275,$B1291)+COUNTIF(G1258:I1275,$B1291&amp;" ~*")&gt;0)+(IFERROR(INDEX(Setup!$G$33:$G$40,MATCH(K1291,Setup!$B$33:$B$40,0)),0)=1)*(COUNTIF(K1258:M1275,$B1291)+COUNTIF(K1258:M1275,$B1291&amp;" ~*")&gt;0)+(IFERROR(INDEX(Setup!$G$33:$G$40,MATCH(O1291,Setup!$B$33:$B$40,0)),0)=1)*(COUNTIF(O1258:Q1275,$B1291)+COUNTIF(O1258:Q1275,$B1291&amp;" ~*")&gt;0)+(IFERROR(INDEX(Setup!$G$33:$G$40,MATCH(S1291,Setup!$B$33:$B$40,0)),0)=1)*(COUNTIF(S1258:U1275,$B1291)+COUNTIF(S1258:U1275,$B1291&amp;" ~*")&gt;0)+(IFERROR(INDEX(Setup!$G$33:$G$40,MATCH(W1291,Setup!$B$33:$B$40,0)),0)=1)*(COUNTIF(W1258:W1275,$B1291)+COUNTIF(W1258:W1275,$B1291&amp;" ~*")&gt;0)+(IFERROR(INDEX(Setup!$G$33:$G$40,MATCH(Y1291,Setup!$B$33:$B$40,0)),0)=1)*(COUNTIF(Y1258:Y1275,$B1291)+COUNTIF(Y1258:Y1275,$B1291&amp;" ~*")&gt;0))</f>
        <v/>
      </c>
    </row>
    <row r="1292" ht="15" customHeight="1">
      <c r="A1292" t="n">
        <v>26</v>
      </c>
      <c r="B1292" s="37">
        <f>IF(Setup!$B$21="","",Setup!$B$21)</f>
        <v/>
      </c>
      <c r="C1292" s="102" t="n"/>
      <c r="D1292" s="103" t="n"/>
      <c r="E1292" s="103" t="n"/>
      <c r="F1292" s="104" t="n"/>
      <c r="G1292" s="102" t="n"/>
      <c r="H1292" s="103" t="n"/>
      <c r="I1292" s="103" t="n"/>
      <c r="J1292" s="104" t="n"/>
      <c r="K1292" s="102" t="n"/>
      <c r="L1292" s="103" t="n"/>
      <c r="M1292" s="103" t="n"/>
      <c r="N1292" s="104" t="n"/>
      <c r="O1292" s="102" t="n"/>
      <c r="P1292" s="103" t="n"/>
      <c r="Q1292" s="103" t="n"/>
      <c r="R1292" s="104" t="n"/>
      <c r="S1292" s="102" t="n"/>
      <c r="T1292" s="103" t="n"/>
      <c r="U1292" s="103" t="n"/>
      <c r="V1292" s="104" t="n"/>
      <c r="W1292" s="102" t="n"/>
      <c r="X1292" s="104" t="n"/>
      <c r="Y1292" s="102" t="n"/>
      <c r="Z1292" s="104" t="n"/>
      <c r="AB1292" s="105">
        <f>IF($B1292="","",(COUNTIF(C1258:E1275,$B1292)+COUNTIF(C1258:E1275,$B1292&amp;" ~*")&gt;0)+(COUNTIF(G1258:I1275,$B1292)+COUNTIF(G1258:I1275,$B1292&amp;" ~*")&gt;0)+(COUNTIF(K1258:M1275,$B1292)+COUNTIF(K1258:M1275,$B1292&amp;" ~*")&gt;0)+(COUNTIF(O1258:Q1275,$B1292)+COUNTIF(O1258:Q1275,$B1292&amp;" ~*")&gt;0)+(COUNTIF(S1258:U1275,$B1292)+COUNTIF(S1258:U1275,$B1292&amp;" ~*")&gt;0)+(COUNTIF(W1258:W1275,$B1292)+COUNTIF(W1258:W1275,$B1292&amp;" ~*")&gt;0)+(COUNTIF(Y1258:Y1275,$B1292)+COUNTIF(Y1258:Y1275,$B1292&amp;" ~*")&gt;0))</f>
        <v/>
      </c>
      <c r="AC1292" s="38">
        <f>IF($B1292="","",(IFERROR(INDEX(Setup!$G$33:$G$40,MATCH(C1292,Setup!$B$33:$B$40,0)),0)=1)*(COUNTIF(C1258:E1275,$B1292)+COUNTIF(C1258:E1275,$B1292&amp;" ~*")&gt;0)+(IFERROR(INDEX(Setup!$G$33:$G$40,MATCH(G1292,Setup!$B$33:$B$40,0)),0)=1)*(COUNTIF(G1258:I1275,$B1292)+COUNTIF(G1258:I1275,$B1292&amp;" ~*")&gt;0)+(IFERROR(INDEX(Setup!$G$33:$G$40,MATCH(K1292,Setup!$B$33:$B$40,0)),0)=1)*(COUNTIF(K1258:M1275,$B1292)+COUNTIF(K1258:M1275,$B1292&amp;" ~*")&gt;0)+(IFERROR(INDEX(Setup!$G$33:$G$40,MATCH(O1292,Setup!$B$33:$B$40,0)),0)=1)*(COUNTIF(O1258:Q1275,$B1292)+COUNTIF(O1258:Q1275,$B1292&amp;" ~*")&gt;0)+(IFERROR(INDEX(Setup!$G$33:$G$40,MATCH(S1292,Setup!$B$33:$B$40,0)),0)=1)*(COUNTIF(S1258:U1275,$B1292)+COUNTIF(S1258:U1275,$B1292&amp;" ~*")&gt;0)+(IFERROR(INDEX(Setup!$G$33:$G$40,MATCH(W1292,Setup!$B$33:$B$40,0)),0)=1)*(COUNTIF(W1258:W1275,$B1292)+COUNTIF(W1258:W1275,$B1292&amp;" ~*")&gt;0)+(IFERROR(INDEX(Setup!$G$33:$G$40,MATCH(Y1292,Setup!$B$33:$B$40,0)),0)=1)*(COUNTIF(Y1258:Y1275,$B1292)+COUNTIF(Y1258:Y1275,$B1292&amp;" ~*")&gt;0))</f>
        <v/>
      </c>
    </row>
    <row r="1293" ht="15" customHeight="1">
      <c r="A1293" t="n">
        <v>26</v>
      </c>
      <c r="B1293" s="35">
        <f>IF(Setup!$B$22="","",Setup!$B$22)</f>
        <v/>
      </c>
      <c r="C1293" s="98" t="n"/>
      <c r="D1293" s="99" t="n"/>
      <c r="E1293" s="99" t="n"/>
      <c r="F1293" s="100" t="n"/>
      <c r="G1293" s="98" t="n"/>
      <c r="H1293" s="99" t="n"/>
      <c r="I1293" s="99" t="n"/>
      <c r="J1293" s="100" t="n"/>
      <c r="K1293" s="98" t="n"/>
      <c r="L1293" s="99" t="n"/>
      <c r="M1293" s="99" t="n"/>
      <c r="N1293" s="100" t="n"/>
      <c r="O1293" s="98" t="n"/>
      <c r="P1293" s="99" t="n"/>
      <c r="Q1293" s="99" t="n"/>
      <c r="R1293" s="100" t="n"/>
      <c r="S1293" s="98" t="n"/>
      <c r="T1293" s="99" t="n"/>
      <c r="U1293" s="99" t="n"/>
      <c r="V1293" s="100" t="n"/>
      <c r="W1293" s="98" t="n"/>
      <c r="X1293" s="100" t="n"/>
      <c r="Y1293" s="98" t="n"/>
      <c r="Z1293" s="100" t="n"/>
      <c r="AB1293" s="101">
        <f>IF($B1293="","",(COUNTIF(C1258:E1275,$B1293)+COUNTIF(C1258:E1275,$B1293&amp;" ~*")&gt;0)+(COUNTIF(G1258:I1275,$B1293)+COUNTIF(G1258:I1275,$B1293&amp;" ~*")&gt;0)+(COUNTIF(K1258:M1275,$B1293)+COUNTIF(K1258:M1275,$B1293&amp;" ~*")&gt;0)+(COUNTIF(O1258:Q1275,$B1293)+COUNTIF(O1258:Q1275,$B1293&amp;" ~*")&gt;0)+(COUNTIF(S1258:U1275,$B1293)+COUNTIF(S1258:U1275,$B1293&amp;" ~*")&gt;0)+(COUNTIF(W1258:W1275,$B1293)+COUNTIF(W1258:W1275,$B1293&amp;" ~*")&gt;0)+(COUNTIF(Y1258:Y1275,$B1293)+COUNTIF(Y1258:Y1275,$B1293&amp;" ~*")&gt;0))</f>
        <v/>
      </c>
      <c r="AC1293" s="36">
        <f>IF($B1293="","",(IFERROR(INDEX(Setup!$G$33:$G$40,MATCH(C1293,Setup!$B$33:$B$40,0)),0)=1)*(COUNTIF(C1258:E1275,$B1293)+COUNTIF(C1258:E1275,$B1293&amp;" ~*")&gt;0)+(IFERROR(INDEX(Setup!$G$33:$G$40,MATCH(G1293,Setup!$B$33:$B$40,0)),0)=1)*(COUNTIF(G1258:I1275,$B1293)+COUNTIF(G1258:I1275,$B1293&amp;" ~*")&gt;0)+(IFERROR(INDEX(Setup!$G$33:$G$40,MATCH(K1293,Setup!$B$33:$B$40,0)),0)=1)*(COUNTIF(K1258:M1275,$B1293)+COUNTIF(K1258:M1275,$B1293&amp;" ~*")&gt;0)+(IFERROR(INDEX(Setup!$G$33:$G$40,MATCH(O1293,Setup!$B$33:$B$40,0)),0)=1)*(COUNTIF(O1258:Q1275,$B1293)+COUNTIF(O1258:Q1275,$B1293&amp;" ~*")&gt;0)+(IFERROR(INDEX(Setup!$G$33:$G$40,MATCH(S1293,Setup!$B$33:$B$40,0)),0)=1)*(COUNTIF(S1258:U1275,$B1293)+COUNTIF(S1258:U1275,$B1293&amp;" ~*")&gt;0)+(IFERROR(INDEX(Setup!$G$33:$G$40,MATCH(W1293,Setup!$B$33:$B$40,0)),0)=1)*(COUNTIF(W1258:W1275,$B1293)+COUNTIF(W1258:W1275,$B1293&amp;" ~*")&gt;0)+(IFERROR(INDEX(Setup!$G$33:$G$40,MATCH(Y1293,Setup!$B$33:$B$40,0)),0)=1)*(COUNTIF(Y1258:Y1275,$B1293)+COUNTIF(Y1258:Y1275,$B1293&amp;" ~*")&gt;0))</f>
        <v/>
      </c>
    </row>
    <row r="1294" ht="15" customHeight="1">
      <c r="A1294" t="n">
        <v>26</v>
      </c>
      <c r="B1294" s="37">
        <f>IF(Setup!$B$23="","",Setup!$B$23)</f>
        <v/>
      </c>
      <c r="C1294" s="102" t="n"/>
      <c r="D1294" s="103" t="n"/>
      <c r="E1294" s="103" t="n"/>
      <c r="F1294" s="104" t="n"/>
      <c r="G1294" s="102" t="n"/>
      <c r="H1294" s="103" t="n"/>
      <c r="I1294" s="103" t="n"/>
      <c r="J1294" s="104" t="n"/>
      <c r="K1294" s="102" t="n"/>
      <c r="L1294" s="103" t="n"/>
      <c r="M1294" s="103" t="n"/>
      <c r="N1294" s="104" t="n"/>
      <c r="O1294" s="102" t="n"/>
      <c r="P1294" s="103" t="n"/>
      <c r="Q1294" s="103" t="n"/>
      <c r="R1294" s="104" t="n"/>
      <c r="S1294" s="102" t="n"/>
      <c r="T1294" s="103" t="n"/>
      <c r="U1294" s="103" t="n"/>
      <c r="V1294" s="104" t="n"/>
      <c r="W1294" s="102" t="n"/>
      <c r="X1294" s="104" t="n"/>
      <c r="Y1294" s="102" t="n"/>
      <c r="Z1294" s="104" t="n"/>
      <c r="AB1294" s="105">
        <f>IF($B1294="","",(COUNTIF(C1258:E1275,$B1294)+COUNTIF(C1258:E1275,$B1294&amp;" ~*")&gt;0)+(COUNTIF(G1258:I1275,$B1294)+COUNTIF(G1258:I1275,$B1294&amp;" ~*")&gt;0)+(COUNTIF(K1258:M1275,$B1294)+COUNTIF(K1258:M1275,$B1294&amp;" ~*")&gt;0)+(COUNTIF(O1258:Q1275,$B1294)+COUNTIF(O1258:Q1275,$B1294&amp;" ~*")&gt;0)+(COUNTIF(S1258:U1275,$B1294)+COUNTIF(S1258:U1275,$B1294&amp;" ~*")&gt;0)+(COUNTIF(W1258:W1275,$B1294)+COUNTIF(W1258:W1275,$B1294&amp;" ~*")&gt;0)+(COUNTIF(Y1258:Y1275,$B1294)+COUNTIF(Y1258:Y1275,$B1294&amp;" ~*")&gt;0))</f>
        <v/>
      </c>
      <c r="AC1294" s="38">
        <f>IF($B1294="","",(IFERROR(INDEX(Setup!$G$33:$G$40,MATCH(C1294,Setup!$B$33:$B$40,0)),0)=1)*(COUNTIF(C1258:E1275,$B1294)+COUNTIF(C1258:E1275,$B1294&amp;" ~*")&gt;0)+(IFERROR(INDEX(Setup!$G$33:$G$40,MATCH(G1294,Setup!$B$33:$B$40,0)),0)=1)*(COUNTIF(G1258:I1275,$B1294)+COUNTIF(G1258:I1275,$B1294&amp;" ~*")&gt;0)+(IFERROR(INDEX(Setup!$G$33:$G$40,MATCH(K1294,Setup!$B$33:$B$40,0)),0)=1)*(COUNTIF(K1258:M1275,$B1294)+COUNTIF(K1258:M1275,$B1294&amp;" ~*")&gt;0)+(IFERROR(INDEX(Setup!$G$33:$G$40,MATCH(O1294,Setup!$B$33:$B$40,0)),0)=1)*(COUNTIF(O1258:Q1275,$B1294)+COUNTIF(O1258:Q1275,$B1294&amp;" ~*")&gt;0)+(IFERROR(INDEX(Setup!$G$33:$G$40,MATCH(S1294,Setup!$B$33:$B$40,0)),0)=1)*(COUNTIF(S1258:U1275,$B1294)+COUNTIF(S1258:U1275,$B1294&amp;" ~*")&gt;0)+(IFERROR(INDEX(Setup!$G$33:$G$40,MATCH(W1294,Setup!$B$33:$B$40,0)),0)=1)*(COUNTIF(W1258:W1275,$B1294)+COUNTIF(W1258:W1275,$B1294&amp;" ~*")&gt;0)+(IFERROR(INDEX(Setup!$G$33:$G$40,MATCH(Y1294,Setup!$B$33:$B$40,0)),0)=1)*(COUNTIF(Y1258:Y1275,$B1294)+COUNTIF(Y1258:Y1275,$B1294&amp;" ~*")&gt;0))</f>
        <v/>
      </c>
    </row>
    <row r="1295" ht="15" customHeight="1">
      <c r="A1295" t="n">
        <v>26</v>
      </c>
      <c r="B1295" s="35">
        <f>IF(Setup!$B$24="","",Setup!$B$24)</f>
        <v/>
      </c>
      <c r="C1295" s="98" t="n"/>
      <c r="D1295" s="99" t="n"/>
      <c r="E1295" s="99" t="n"/>
      <c r="F1295" s="100" t="n"/>
      <c r="G1295" s="98" t="n"/>
      <c r="H1295" s="99" t="n"/>
      <c r="I1295" s="99" t="n"/>
      <c r="J1295" s="100" t="n"/>
      <c r="K1295" s="98" t="n"/>
      <c r="L1295" s="99" t="n"/>
      <c r="M1295" s="99" t="n"/>
      <c r="N1295" s="100" t="n"/>
      <c r="O1295" s="98" t="n"/>
      <c r="P1295" s="99" t="n"/>
      <c r="Q1295" s="99" t="n"/>
      <c r="R1295" s="100" t="n"/>
      <c r="S1295" s="98" t="n"/>
      <c r="T1295" s="99" t="n"/>
      <c r="U1295" s="99" t="n"/>
      <c r="V1295" s="100" t="n"/>
      <c r="W1295" s="98" t="n"/>
      <c r="X1295" s="100" t="n"/>
      <c r="Y1295" s="98" t="n"/>
      <c r="Z1295" s="100" t="n"/>
      <c r="AB1295" s="101">
        <f>IF($B1295="","",(COUNTIF(C1258:E1275,$B1295)+COUNTIF(C1258:E1275,$B1295&amp;" ~*")&gt;0)+(COUNTIF(G1258:I1275,$B1295)+COUNTIF(G1258:I1275,$B1295&amp;" ~*")&gt;0)+(COUNTIF(K1258:M1275,$B1295)+COUNTIF(K1258:M1275,$B1295&amp;" ~*")&gt;0)+(COUNTIF(O1258:Q1275,$B1295)+COUNTIF(O1258:Q1275,$B1295&amp;" ~*")&gt;0)+(COUNTIF(S1258:U1275,$B1295)+COUNTIF(S1258:U1275,$B1295&amp;" ~*")&gt;0)+(COUNTIF(W1258:W1275,$B1295)+COUNTIF(W1258:W1275,$B1295&amp;" ~*")&gt;0)+(COUNTIF(Y1258:Y1275,$B1295)+COUNTIF(Y1258:Y1275,$B1295&amp;" ~*")&gt;0))</f>
        <v/>
      </c>
      <c r="AC1295" s="36">
        <f>IF($B1295="","",(IFERROR(INDEX(Setup!$G$33:$G$40,MATCH(C1295,Setup!$B$33:$B$40,0)),0)=1)*(COUNTIF(C1258:E1275,$B1295)+COUNTIF(C1258:E1275,$B1295&amp;" ~*")&gt;0)+(IFERROR(INDEX(Setup!$G$33:$G$40,MATCH(G1295,Setup!$B$33:$B$40,0)),0)=1)*(COUNTIF(G1258:I1275,$B1295)+COUNTIF(G1258:I1275,$B1295&amp;" ~*")&gt;0)+(IFERROR(INDEX(Setup!$G$33:$G$40,MATCH(K1295,Setup!$B$33:$B$40,0)),0)=1)*(COUNTIF(K1258:M1275,$B1295)+COUNTIF(K1258:M1275,$B1295&amp;" ~*")&gt;0)+(IFERROR(INDEX(Setup!$G$33:$G$40,MATCH(O1295,Setup!$B$33:$B$40,0)),0)=1)*(COUNTIF(O1258:Q1275,$B1295)+COUNTIF(O1258:Q1275,$B1295&amp;" ~*")&gt;0)+(IFERROR(INDEX(Setup!$G$33:$G$40,MATCH(S1295,Setup!$B$33:$B$40,0)),0)=1)*(COUNTIF(S1258:U1275,$B1295)+COUNTIF(S1258:U1275,$B1295&amp;" ~*")&gt;0)+(IFERROR(INDEX(Setup!$G$33:$G$40,MATCH(W1295,Setup!$B$33:$B$40,0)),0)=1)*(COUNTIF(W1258:W1275,$B1295)+COUNTIF(W1258:W1275,$B1295&amp;" ~*")&gt;0)+(IFERROR(INDEX(Setup!$G$33:$G$40,MATCH(Y1295,Setup!$B$33:$B$40,0)),0)=1)*(COUNTIF(Y1258:Y1275,$B1295)+COUNTIF(Y1258:Y1275,$B1295&amp;" ~*")&gt;0))</f>
        <v/>
      </c>
    </row>
    <row r="1296" ht="15" customHeight="1">
      <c r="A1296" t="n">
        <v>26</v>
      </c>
      <c r="B1296" s="37">
        <f>IF(Setup!$B$25="","",Setup!$B$25)</f>
        <v/>
      </c>
      <c r="C1296" s="102" t="n"/>
      <c r="D1296" s="103" t="n"/>
      <c r="E1296" s="103" t="n"/>
      <c r="F1296" s="104" t="n"/>
      <c r="G1296" s="102" t="n"/>
      <c r="H1296" s="103" t="n"/>
      <c r="I1296" s="103" t="n"/>
      <c r="J1296" s="104" t="n"/>
      <c r="K1296" s="102" t="n"/>
      <c r="L1296" s="103" t="n"/>
      <c r="M1296" s="103" t="n"/>
      <c r="N1296" s="104" t="n"/>
      <c r="O1296" s="102" t="n"/>
      <c r="P1296" s="103" t="n"/>
      <c r="Q1296" s="103" t="n"/>
      <c r="R1296" s="104" t="n"/>
      <c r="S1296" s="102" t="n"/>
      <c r="T1296" s="103" t="n"/>
      <c r="U1296" s="103" t="n"/>
      <c r="V1296" s="104" t="n"/>
      <c r="W1296" s="102" t="n"/>
      <c r="X1296" s="104" t="n"/>
      <c r="Y1296" s="102" t="n"/>
      <c r="Z1296" s="104" t="n"/>
      <c r="AB1296" s="105">
        <f>IF($B1296="","",(COUNTIF(C1258:E1275,$B1296)+COUNTIF(C1258:E1275,$B1296&amp;" ~*")&gt;0)+(COUNTIF(G1258:I1275,$B1296)+COUNTIF(G1258:I1275,$B1296&amp;" ~*")&gt;0)+(COUNTIF(K1258:M1275,$B1296)+COUNTIF(K1258:M1275,$B1296&amp;" ~*")&gt;0)+(COUNTIF(O1258:Q1275,$B1296)+COUNTIF(O1258:Q1275,$B1296&amp;" ~*")&gt;0)+(COUNTIF(S1258:U1275,$B1296)+COUNTIF(S1258:U1275,$B1296&amp;" ~*")&gt;0)+(COUNTIF(W1258:W1275,$B1296)+COUNTIF(W1258:W1275,$B1296&amp;" ~*")&gt;0)+(COUNTIF(Y1258:Y1275,$B1296)+COUNTIF(Y1258:Y1275,$B1296&amp;" ~*")&gt;0))</f>
        <v/>
      </c>
      <c r="AC1296" s="38">
        <f>IF($B1296="","",(IFERROR(INDEX(Setup!$G$33:$G$40,MATCH(C1296,Setup!$B$33:$B$40,0)),0)=1)*(COUNTIF(C1258:E1275,$B1296)+COUNTIF(C1258:E1275,$B1296&amp;" ~*")&gt;0)+(IFERROR(INDEX(Setup!$G$33:$G$40,MATCH(G1296,Setup!$B$33:$B$40,0)),0)=1)*(COUNTIF(G1258:I1275,$B1296)+COUNTIF(G1258:I1275,$B1296&amp;" ~*")&gt;0)+(IFERROR(INDEX(Setup!$G$33:$G$40,MATCH(K1296,Setup!$B$33:$B$40,0)),0)=1)*(COUNTIF(K1258:M1275,$B1296)+COUNTIF(K1258:M1275,$B1296&amp;" ~*")&gt;0)+(IFERROR(INDEX(Setup!$G$33:$G$40,MATCH(O1296,Setup!$B$33:$B$40,0)),0)=1)*(COUNTIF(O1258:Q1275,$B1296)+COUNTIF(O1258:Q1275,$B1296&amp;" ~*")&gt;0)+(IFERROR(INDEX(Setup!$G$33:$G$40,MATCH(S1296,Setup!$B$33:$B$40,0)),0)=1)*(COUNTIF(S1258:U1275,$B1296)+COUNTIF(S1258:U1275,$B1296&amp;" ~*")&gt;0)+(IFERROR(INDEX(Setup!$G$33:$G$40,MATCH(W1296,Setup!$B$33:$B$40,0)),0)=1)*(COUNTIF(W1258:W1275,$B1296)+COUNTIF(W1258:W1275,$B1296&amp;" ~*")&gt;0)+(IFERROR(INDEX(Setup!$G$33:$G$40,MATCH(Y1296,Setup!$B$33:$B$40,0)),0)=1)*(COUNTIF(Y1258:Y1275,$B1296)+COUNTIF(Y1258:Y1275,$B1296&amp;" ~*")&gt;0))</f>
        <v/>
      </c>
    </row>
    <row r="1297" ht="15" customHeight="1">
      <c r="A1297" t="n">
        <v>26</v>
      </c>
      <c r="B1297" s="35">
        <f>IF(Setup!$B$26="","",Setup!$B$26)</f>
        <v/>
      </c>
      <c r="C1297" s="98" t="n"/>
      <c r="D1297" s="99" t="n"/>
      <c r="E1297" s="99" t="n"/>
      <c r="F1297" s="100" t="n"/>
      <c r="G1297" s="98" t="n"/>
      <c r="H1297" s="99" t="n"/>
      <c r="I1297" s="99" t="n"/>
      <c r="J1297" s="100" t="n"/>
      <c r="K1297" s="98" t="n"/>
      <c r="L1297" s="99" t="n"/>
      <c r="M1297" s="99" t="n"/>
      <c r="N1297" s="100" t="n"/>
      <c r="O1297" s="98" t="n"/>
      <c r="P1297" s="99" t="n"/>
      <c r="Q1297" s="99" t="n"/>
      <c r="R1297" s="100" t="n"/>
      <c r="S1297" s="98" t="n"/>
      <c r="T1297" s="99" t="n"/>
      <c r="U1297" s="99" t="n"/>
      <c r="V1297" s="100" t="n"/>
      <c r="W1297" s="98" t="n"/>
      <c r="X1297" s="100" t="n"/>
      <c r="Y1297" s="98" t="n"/>
      <c r="Z1297" s="100" t="n"/>
      <c r="AB1297" s="101">
        <f>IF($B1297="","",(COUNTIF(C1258:E1275,$B1297)+COUNTIF(C1258:E1275,$B1297&amp;" ~*")&gt;0)+(COUNTIF(G1258:I1275,$B1297)+COUNTIF(G1258:I1275,$B1297&amp;" ~*")&gt;0)+(COUNTIF(K1258:M1275,$B1297)+COUNTIF(K1258:M1275,$B1297&amp;" ~*")&gt;0)+(COUNTIF(O1258:Q1275,$B1297)+COUNTIF(O1258:Q1275,$B1297&amp;" ~*")&gt;0)+(COUNTIF(S1258:U1275,$B1297)+COUNTIF(S1258:U1275,$B1297&amp;" ~*")&gt;0)+(COUNTIF(W1258:W1275,$B1297)+COUNTIF(W1258:W1275,$B1297&amp;" ~*")&gt;0)+(COUNTIF(Y1258:Y1275,$B1297)+COUNTIF(Y1258:Y1275,$B1297&amp;" ~*")&gt;0))</f>
        <v/>
      </c>
      <c r="AC1297" s="36">
        <f>IF($B1297="","",(IFERROR(INDEX(Setup!$G$33:$G$40,MATCH(C1297,Setup!$B$33:$B$40,0)),0)=1)*(COUNTIF(C1258:E1275,$B1297)+COUNTIF(C1258:E1275,$B1297&amp;" ~*")&gt;0)+(IFERROR(INDEX(Setup!$G$33:$G$40,MATCH(G1297,Setup!$B$33:$B$40,0)),0)=1)*(COUNTIF(G1258:I1275,$B1297)+COUNTIF(G1258:I1275,$B1297&amp;" ~*")&gt;0)+(IFERROR(INDEX(Setup!$G$33:$G$40,MATCH(K1297,Setup!$B$33:$B$40,0)),0)=1)*(COUNTIF(K1258:M1275,$B1297)+COUNTIF(K1258:M1275,$B1297&amp;" ~*")&gt;0)+(IFERROR(INDEX(Setup!$G$33:$G$40,MATCH(O1297,Setup!$B$33:$B$40,0)),0)=1)*(COUNTIF(O1258:Q1275,$B1297)+COUNTIF(O1258:Q1275,$B1297&amp;" ~*")&gt;0)+(IFERROR(INDEX(Setup!$G$33:$G$40,MATCH(S1297,Setup!$B$33:$B$40,0)),0)=1)*(COUNTIF(S1258:U1275,$B1297)+COUNTIF(S1258:U1275,$B1297&amp;" ~*")&gt;0)+(IFERROR(INDEX(Setup!$G$33:$G$40,MATCH(W1297,Setup!$B$33:$B$40,0)),0)=1)*(COUNTIF(W1258:W1275,$B1297)+COUNTIF(W1258:W1275,$B1297&amp;" ~*")&gt;0)+(IFERROR(INDEX(Setup!$G$33:$G$40,MATCH(Y1297,Setup!$B$33:$B$40,0)),0)=1)*(COUNTIF(Y1258:Y1275,$B1297)+COUNTIF(Y1258:Y1275,$B1297&amp;" ~*")&gt;0))</f>
        <v/>
      </c>
    </row>
    <row r="1298" ht="15" customHeight="1">
      <c r="A1298" t="n">
        <v>26</v>
      </c>
      <c r="B1298" s="37">
        <f>IF(Setup!$B$27="","",Setup!$B$27)</f>
        <v/>
      </c>
      <c r="C1298" s="102" t="n"/>
      <c r="D1298" s="103" t="n"/>
      <c r="E1298" s="103" t="n"/>
      <c r="F1298" s="104" t="n"/>
      <c r="G1298" s="102" t="n"/>
      <c r="H1298" s="103" t="n"/>
      <c r="I1298" s="103" t="n"/>
      <c r="J1298" s="104" t="n"/>
      <c r="K1298" s="102" t="n"/>
      <c r="L1298" s="103" t="n"/>
      <c r="M1298" s="103" t="n"/>
      <c r="N1298" s="104" t="n"/>
      <c r="O1298" s="102" t="n"/>
      <c r="P1298" s="103" t="n"/>
      <c r="Q1298" s="103" t="n"/>
      <c r="R1298" s="104" t="n"/>
      <c r="S1298" s="102" t="n"/>
      <c r="T1298" s="103" t="n"/>
      <c r="U1298" s="103" t="n"/>
      <c r="V1298" s="104" t="n"/>
      <c r="W1298" s="102" t="n"/>
      <c r="X1298" s="104" t="n"/>
      <c r="Y1298" s="102" t="n"/>
      <c r="Z1298" s="104" t="n"/>
      <c r="AB1298" s="105">
        <f>IF($B1298="","",(COUNTIF(C1258:E1275,$B1298)+COUNTIF(C1258:E1275,$B1298&amp;" ~*")&gt;0)+(COUNTIF(G1258:I1275,$B1298)+COUNTIF(G1258:I1275,$B1298&amp;" ~*")&gt;0)+(COUNTIF(K1258:M1275,$B1298)+COUNTIF(K1258:M1275,$B1298&amp;" ~*")&gt;0)+(COUNTIF(O1258:Q1275,$B1298)+COUNTIF(O1258:Q1275,$B1298&amp;" ~*")&gt;0)+(COUNTIF(S1258:U1275,$B1298)+COUNTIF(S1258:U1275,$B1298&amp;" ~*")&gt;0)+(COUNTIF(W1258:W1275,$B1298)+COUNTIF(W1258:W1275,$B1298&amp;" ~*")&gt;0)+(COUNTIF(Y1258:Y1275,$B1298)+COUNTIF(Y1258:Y1275,$B1298&amp;" ~*")&gt;0))</f>
        <v/>
      </c>
      <c r="AC1298" s="38">
        <f>IF($B1298="","",(IFERROR(INDEX(Setup!$G$33:$G$40,MATCH(C1298,Setup!$B$33:$B$40,0)),0)=1)*(COUNTIF(C1258:E1275,$B1298)+COUNTIF(C1258:E1275,$B1298&amp;" ~*")&gt;0)+(IFERROR(INDEX(Setup!$G$33:$G$40,MATCH(G1298,Setup!$B$33:$B$40,0)),0)=1)*(COUNTIF(G1258:I1275,$B1298)+COUNTIF(G1258:I1275,$B1298&amp;" ~*")&gt;0)+(IFERROR(INDEX(Setup!$G$33:$G$40,MATCH(K1298,Setup!$B$33:$B$40,0)),0)=1)*(COUNTIF(K1258:M1275,$B1298)+COUNTIF(K1258:M1275,$B1298&amp;" ~*")&gt;0)+(IFERROR(INDEX(Setup!$G$33:$G$40,MATCH(O1298,Setup!$B$33:$B$40,0)),0)=1)*(COUNTIF(O1258:Q1275,$B1298)+COUNTIF(O1258:Q1275,$B1298&amp;" ~*")&gt;0)+(IFERROR(INDEX(Setup!$G$33:$G$40,MATCH(S1298,Setup!$B$33:$B$40,0)),0)=1)*(COUNTIF(S1258:U1275,$B1298)+COUNTIF(S1258:U1275,$B1298&amp;" ~*")&gt;0)+(IFERROR(INDEX(Setup!$G$33:$G$40,MATCH(W1298,Setup!$B$33:$B$40,0)),0)=1)*(COUNTIF(W1258:W1275,$B1298)+COUNTIF(W1258:W1275,$B1298&amp;" ~*")&gt;0)+(IFERROR(INDEX(Setup!$G$33:$G$40,MATCH(Y1298,Setup!$B$33:$B$40,0)),0)=1)*(COUNTIF(Y1258:Y1275,$B1298)+COUNTIF(Y1258:Y1275,$B1298&amp;" ~*")&gt;0))</f>
        <v/>
      </c>
    </row>
    <row r="1299" ht="15" customHeight="1">
      <c r="A1299" t="n">
        <v>26</v>
      </c>
      <c r="B1299" s="35">
        <f>IF(Setup!$B$28="","",Setup!$B$28)</f>
        <v/>
      </c>
      <c r="C1299" s="98" t="n"/>
      <c r="D1299" s="99" t="n"/>
      <c r="E1299" s="99" t="n"/>
      <c r="F1299" s="100" t="n"/>
      <c r="G1299" s="98" t="n"/>
      <c r="H1299" s="99" t="n"/>
      <c r="I1299" s="99" t="n"/>
      <c r="J1299" s="100" t="n"/>
      <c r="K1299" s="98" t="n"/>
      <c r="L1299" s="99" t="n"/>
      <c r="M1299" s="99" t="n"/>
      <c r="N1299" s="100" t="n"/>
      <c r="O1299" s="98" t="n"/>
      <c r="P1299" s="99" t="n"/>
      <c r="Q1299" s="99" t="n"/>
      <c r="R1299" s="100" t="n"/>
      <c r="S1299" s="98" t="n"/>
      <c r="T1299" s="99" t="n"/>
      <c r="U1299" s="99" t="n"/>
      <c r="V1299" s="100" t="n"/>
      <c r="W1299" s="98" t="n"/>
      <c r="X1299" s="100" t="n"/>
      <c r="Y1299" s="98" t="n"/>
      <c r="Z1299" s="100" t="n"/>
      <c r="AB1299" s="101">
        <f>IF($B1299="","",(COUNTIF(C1258:E1275,$B1299)+COUNTIF(C1258:E1275,$B1299&amp;" ~*")&gt;0)+(COUNTIF(G1258:I1275,$B1299)+COUNTIF(G1258:I1275,$B1299&amp;" ~*")&gt;0)+(COUNTIF(K1258:M1275,$B1299)+COUNTIF(K1258:M1275,$B1299&amp;" ~*")&gt;0)+(COUNTIF(O1258:Q1275,$B1299)+COUNTIF(O1258:Q1275,$B1299&amp;" ~*")&gt;0)+(COUNTIF(S1258:U1275,$B1299)+COUNTIF(S1258:U1275,$B1299&amp;" ~*")&gt;0)+(COUNTIF(W1258:W1275,$B1299)+COUNTIF(W1258:W1275,$B1299&amp;" ~*")&gt;0)+(COUNTIF(Y1258:Y1275,$B1299)+COUNTIF(Y1258:Y1275,$B1299&amp;" ~*")&gt;0))</f>
        <v/>
      </c>
      <c r="AC1299" s="36">
        <f>IF($B1299="","",(IFERROR(INDEX(Setup!$G$33:$G$40,MATCH(C1299,Setup!$B$33:$B$40,0)),0)=1)*(COUNTIF(C1258:E1275,$B1299)+COUNTIF(C1258:E1275,$B1299&amp;" ~*")&gt;0)+(IFERROR(INDEX(Setup!$G$33:$G$40,MATCH(G1299,Setup!$B$33:$B$40,0)),0)=1)*(COUNTIF(G1258:I1275,$B1299)+COUNTIF(G1258:I1275,$B1299&amp;" ~*")&gt;0)+(IFERROR(INDEX(Setup!$G$33:$G$40,MATCH(K1299,Setup!$B$33:$B$40,0)),0)=1)*(COUNTIF(K1258:M1275,$B1299)+COUNTIF(K1258:M1275,$B1299&amp;" ~*")&gt;0)+(IFERROR(INDEX(Setup!$G$33:$G$40,MATCH(O1299,Setup!$B$33:$B$40,0)),0)=1)*(COUNTIF(O1258:Q1275,$B1299)+COUNTIF(O1258:Q1275,$B1299&amp;" ~*")&gt;0)+(IFERROR(INDEX(Setup!$G$33:$G$40,MATCH(S1299,Setup!$B$33:$B$40,0)),0)=1)*(COUNTIF(S1258:U1275,$B1299)+COUNTIF(S1258:U1275,$B1299&amp;" ~*")&gt;0)+(IFERROR(INDEX(Setup!$G$33:$G$40,MATCH(W1299,Setup!$B$33:$B$40,0)),0)=1)*(COUNTIF(W1258:W1275,$B1299)+COUNTIF(W1258:W1275,$B1299&amp;" ~*")&gt;0)+(IFERROR(INDEX(Setup!$G$33:$G$40,MATCH(Y1299,Setup!$B$33:$B$40,0)),0)=1)*(COUNTIF(Y1258:Y1275,$B1299)+COUNTIF(Y1258:Y1275,$B1299&amp;" ~*")&gt;0))</f>
        <v/>
      </c>
    </row>
    <row r="1300" ht="15" customHeight="1">
      <c r="A1300" t="n">
        <v>26</v>
      </c>
      <c r="B1300" s="37">
        <f>IF(Setup!$B$29="","",Setup!$B$29)</f>
        <v/>
      </c>
      <c r="C1300" s="102" t="n"/>
      <c r="D1300" s="103" t="n"/>
      <c r="E1300" s="103" t="n"/>
      <c r="F1300" s="104" t="n"/>
      <c r="G1300" s="102" t="n"/>
      <c r="H1300" s="103" t="n"/>
      <c r="I1300" s="103" t="n"/>
      <c r="J1300" s="104" t="n"/>
      <c r="K1300" s="102" t="n"/>
      <c r="L1300" s="103" t="n"/>
      <c r="M1300" s="103" t="n"/>
      <c r="N1300" s="104" t="n"/>
      <c r="O1300" s="102" t="n"/>
      <c r="P1300" s="103" t="n"/>
      <c r="Q1300" s="103" t="n"/>
      <c r="R1300" s="104" t="n"/>
      <c r="S1300" s="102" t="n"/>
      <c r="T1300" s="103" t="n"/>
      <c r="U1300" s="103" t="n"/>
      <c r="V1300" s="104" t="n"/>
      <c r="W1300" s="102" t="n"/>
      <c r="X1300" s="104" t="n"/>
      <c r="Y1300" s="102" t="n"/>
      <c r="Z1300" s="104" t="n"/>
      <c r="AB1300" s="105">
        <f>IF($B1300="","",(COUNTIF(C1258:E1275,$B1300)+COUNTIF(C1258:E1275,$B1300&amp;" ~*")&gt;0)+(COUNTIF(G1258:I1275,$B1300)+COUNTIF(G1258:I1275,$B1300&amp;" ~*")&gt;0)+(COUNTIF(K1258:M1275,$B1300)+COUNTIF(K1258:M1275,$B1300&amp;" ~*")&gt;0)+(COUNTIF(O1258:Q1275,$B1300)+COUNTIF(O1258:Q1275,$B1300&amp;" ~*")&gt;0)+(COUNTIF(S1258:U1275,$B1300)+COUNTIF(S1258:U1275,$B1300&amp;" ~*")&gt;0)+(COUNTIF(W1258:W1275,$B1300)+COUNTIF(W1258:W1275,$B1300&amp;" ~*")&gt;0)+(COUNTIF(Y1258:Y1275,$B1300)+COUNTIF(Y1258:Y1275,$B1300&amp;" ~*")&gt;0))</f>
        <v/>
      </c>
      <c r="AC1300" s="38">
        <f>IF($B1300="","",(IFERROR(INDEX(Setup!$G$33:$G$40,MATCH(C1300,Setup!$B$33:$B$40,0)),0)=1)*(COUNTIF(C1258:E1275,$B1300)+COUNTIF(C1258:E1275,$B1300&amp;" ~*")&gt;0)+(IFERROR(INDEX(Setup!$G$33:$G$40,MATCH(G1300,Setup!$B$33:$B$40,0)),0)=1)*(COUNTIF(G1258:I1275,$B1300)+COUNTIF(G1258:I1275,$B1300&amp;" ~*")&gt;0)+(IFERROR(INDEX(Setup!$G$33:$G$40,MATCH(K1300,Setup!$B$33:$B$40,0)),0)=1)*(COUNTIF(K1258:M1275,$B1300)+COUNTIF(K1258:M1275,$B1300&amp;" ~*")&gt;0)+(IFERROR(INDEX(Setup!$G$33:$G$40,MATCH(O1300,Setup!$B$33:$B$40,0)),0)=1)*(COUNTIF(O1258:Q1275,$B1300)+COUNTIF(O1258:Q1275,$B1300&amp;" ~*")&gt;0)+(IFERROR(INDEX(Setup!$G$33:$G$40,MATCH(S1300,Setup!$B$33:$B$40,0)),0)=1)*(COUNTIF(S1258:U1275,$B1300)+COUNTIF(S1258:U1275,$B1300&amp;" ~*")&gt;0)+(IFERROR(INDEX(Setup!$G$33:$G$40,MATCH(W1300,Setup!$B$33:$B$40,0)),0)=1)*(COUNTIF(W1258:W1275,$B1300)+COUNTIF(W1258:W1275,$B1300&amp;" ~*")&gt;0)+(IFERROR(INDEX(Setup!$G$33:$G$40,MATCH(Y1300,Setup!$B$33:$B$40,0)),0)=1)*(COUNTIF(Y1258:Y1275,$B1300)+COUNTIF(Y1258:Y1275,$B1300&amp;" ~*")&gt;0))</f>
        <v/>
      </c>
    </row>
    <row r="1301" ht="16" customHeight="1">
      <c r="A1301" t="n">
        <v>26</v>
      </c>
      <c r="B1301" s="106" t="inlineStr">
        <is>
          <t>Available people</t>
        </is>
      </c>
      <c r="C1301" s="107">
        <f>COUNTIFS(Setup!$E$6:$E$29,"Y",Setup!$B$6:$B$29,"?*")-SUMPRODUCT(COUNTIF(C1277:C1300,Setup!$F$33:$F$40))</f>
        <v/>
      </c>
      <c r="D1301" s="107" t="n"/>
      <c r="E1301" s="107" t="n"/>
      <c r="F1301" s="107" t="n"/>
      <c r="G1301" s="107">
        <f>COUNTIFS(Setup!$E$6:$E$29,"Y",Setup!$B$6:$B$29,"?*")-SUMPRODUCT(COUNTIF(G1277:G1300,Setup!$F$33:$F$40))</f>
        <v/>
      </c>
      <c r="H1301" s="107" t="n"/>
      <c r="I1301" s="107" t="n"/>
      <c r="J1301" s="107" t="n"/>
      <c r="K1301" s="107">
        <f>COUNTIFS(Setup!$E$6:$E$29,"Y",Setup!$B$6:$B$29,"?*")-SUMPRODUCT(COUNTIF(K1277:K1300,Setup!$F$33:$F$40))</f>
        <v/>
      </c>
      <c r="L1301" s="107" t="n"/>
      <c r="M1301" s="107" t="n"/>
      <c r="N1301" s="107" t="n"/>
      <c r="O1301" s="107">
        <f>COUNTIFS(Setup!$E$6:$E$29,"Y",Setup!$B$6:$B$29,"?*")-SUMPRODUCT(COUNTIF(O1277:O1300,Setup!$F$33:$F$40))</f>
        <v/>
      </c>
      <c r="P1301" s="107" t="n"/>
      <c r="Q1301" s="107" t="n"/>
      <c r="R1301" s="107" t="n"/>
      <c r="S1301" s="107">
        <f>COUNTIFS(Setup!$E$6:$E$29,"Y",Setup!$B$6:$B$29,"?*")-SUMPRODUCT(COUNTIF(S1277:S1300,Setup!$F$33:$F$40))</f>
        <v/>
      </c>
      <c r="T1301" s="107" t="n"/>
      <c r="U1301" s="107" t="n"/>
      <c r="V1301" s="107" t="n"/>
      <c r="W1301" s="107">
        <f>COUNTIFS(Setup!$E$6:$E$29,"Y",Setup!$B$6:$B$29,"?*")-SUMPRODUCT(COUNTIF(W1277:W1300,Setup!$F$33:$F$40))</f>
        <v/>
      </c>
      <c r="X1301" s="107" t="n"/>
      <c r="Y1301" s="107">
        <f>COUNTIFS(Setup!$E$6:$E$29,"Y",Setup!$B$6:$B$29,"?*")-SUMPRODUCT(COUNTIF(Y1277:Y1300,Setup!$F$33:$F$40))</f>
        <v/>
      </c>
      <c r="Z1301" s="107" t="n"/>
      <c r="AB1301" s="108">
        <f>SUM(AB1277:AB1300)</f>
        <v/>
      </c>
      <c r="AC1301" s="109">
        <f>SUM(AC1277:AC1300)</f>
        <v/>
      </c>
    </row>
    <row r="1302" ht="30" customHeight="1">
      <c r="A1302" t="n">
        <v>26</v>
      </c>
      <c r="B1302" s="110" t="inlineStr">
        <is>
          <t>Week notes</t>
        </is>
      </c>
      <c r="C1302" s="111" t="n"/>
      <c r="D1302" s="112" t="n"/>
      <c r="E1302" s="112" t="n"/>
      <c r="F1302" s="112" t="n"/>
      <c r="G1302" s="112" t="n"/>
      <c r="H1302" s="112" t="n"/>
      <c r="I1302" s="112" t="n"/>
      <c r="J1302" s="112" t="n"/>
      <c r="K1302" s="112" t="n"/>
      <c r="L1302" s="112" t="n"/>
      <c r="M1302" s="112" t="n"/>
      <c r="N1302" s="112" t="n"/>
      <c r="O1302" s="112" t="n"/>
      <c r="P1302" s="112" t="n"/>
      <c r="Q1302" s="112" t="n"/>
      <c r="R1302" s="112" t="n"/>
      <c r="S1302" s="112" t="n"/>
      <c r="T1302" s="112" t="n"/>
      <c r="U1302" s="112" t="n"/>
      <c r="V1302" s="112" t="n"/>
      <c r="W1302" s="112" t="n"/>
      <c r="X1302" s="112" t="n"/>
      <c r="Y1302" s="112" t="n"/>
      <c r="Z1302" s="113" t="n"/>
    </row>
    <row r="1303" ht="8" customHeight="1">
      <c r="A1303" t="n">
        <v>26</v>
      </c>
    </row>
    <row r="1304" ht="8" customHeight="1">
      <c r="A1304" t="n">
        <v>26</v>
      </c>
    </row>
    <row r="1305" ht="24" customHeight="1">
      <c r="A1305" t="n">
        <v>27</v>
      </c>
      <c r="B1305" s="73">
        <f>"WEEK 27     "&amp;TEXT(C1306,"ddd d mmm")&amp;"  –  "&amp;TEXT(C1306+6,"ddd d mmm yyyy")</f>
        <v/>
      </c>
      <c r="S1305" s="74">
        <f>IF(TODAY()&lt;C1306,"FUTURE",IF(TODAY()&gt;C1306+6,"PAST","THIS WEEK"))</f>
        <v/>
      </c>
      <c r="W1305" s="75">
        <f>IF(AND(Engine!$B$8=$AC$3,Engine!$B$9=$A1305),"◀ ACTIVE WEEK","")</f>
        <v/>
      </c>
      <c r="AA1305" s="76" t="n"/>
      <c r="AB1305" s="77" t="inlineStr">
        <is>
          <t>◀ Prev</t>
        </is>
      </c>
      <c r="AC1305" s="77" t="inlineStr">
        <is>
          <t>Next ▶</t>
        </is>
      </c>
    </row>
    <row r="1306" ht="18" customHeight="1">
      <c r="A1306" t="n">
        <v>27</v>
      </c>
      <c r="B1306" s="78" t="inlineStr">
        <is>
          <t>DUTY</t>
        </is>
      </c>
      <c r="C1306" s="79">
        <f>$AC$2+7*($A1306-1)</f>
        <v/>
      </c>
      <c r="D1306" s="80" t="n"/>
      <c r="E1306" s="80" t="n"/>
      <c r="F1306" s="81" t="n"/>
      <c r="G1306" s="79">
        <f>C1306+1</f>
        <v/>
      </c>
      <c r="H1306" s="80" t="n"/>
      <c r="I1306" s="80" t="n"/>
      <c r="J1306" s="81" t="n"/>
      <c r="K1306" s="79">
        <f>C1306+2</f>
        <v/>
      </c>
      <c r="L1306" s="80" t="n"/>
      <c r="M1306" s="80" t="n"/>
      <c r="N1306" s="81" t="n"/>
      <c r="O1306" s="79">
        <f>C1306+3</f>
        <v/>
      </c>
      <c r="P1306" s="80" t="n"/>
      <c r="Q1306" s="80" t="n"/>
      <c r="R1306" s="81" t="n"/>
      <c r="S1306" s="79">
        <f>C1306+4</f>
        <v/>
      </c>
      <c r="T1306" s="80" t="n"/>
      <c r="U1306" s="80" t="n"/>
      <c r="V1306" s="81" t="n"/>
      <c r="W1306" s="82">
        <f>C1306+5</f>
        <v/>
      </c>
      <c r="X1306" s="83" t="n"/>
      <c r="Y1306" s="82">
        <f>C1306+6</f>
        <v/>
      </c>
      <c r="Z1306" s="83" t="n"/>
      <c r="AB1306" s="72" t="inlineStr">
        <is>
          <t>Gaps</t>
        </is>
      </c>
      <c r="AC1306" s="72" t="inlineStr">
        <is>
          <t>Cover</t>
        </is>
      </c>
    </row>
    <row r="1307" ht="14" customHeight="1">
      <c r="A1307" t="n">
        <v>27</v>
      </c>
      <c r="B1307" s="84" t="inlineStr">
        <is>
          <t>(from Setup)</t>
        </is>
      </c>
      <c r="C1307" s="85" t="inlineStr">
        <is>
          <t>1</t>
        </is>
      </c>
      <c r="D1307" s="85" t="inlineStr">
        <is>
          <t>2</t>
        </is>
      </c>
      <c r="E1307" s="85" t="inlineStr">
        <is>
          <t>3</t>
        </is>
      </c>
      <c r="F1307" s="85" t="inlineStr">
        <is>
          <t>Notes</t>
        </is>
      </c>
      <c r="G1307" s="85" t="inlineStr">
        <is>
          <t>1</t>
        </is>
      </c>
      <c r="H1307" s="85" t="inlineStr">
        <is>
          <t>2</t>
        </is>
      </c>
      <c r="I1307" s="85" t="inlineStr">
        <is>
          <t>3</t>
        </is>
      </c>
      <c r="J1307" s="85" t="inlineStr">
        <is>
          <t>Notes</t>
        </is>
      </c>
      <c r="K1307" s="85" t="inlineStr">
        <is>
          <t>1</t>
        </is>
      </c>
      <c r="L1307" s="85" t="inlineStr">
        <is>
          <t>2</t>
        </is>
      </c>
      <c r="M1307" s="85" t="inlineStr">
        <is>
          <t>3</t>
        </is>
      </c>
      <c r="N1307" s="85" t="inlineStr">
        <is>
          <t>Notes</t>
        </is>
      </c>
      <c r="O1307" s="85" t="inlineStr">
        <is>
          <t>1</t>
        </is>
      </c>
      <c r="P1307" s="85" t="inlineStr">
        <is>
          <t>2</t>
        </is>
      </c>
      <c r="Q1307" s="85" t="inlineStr">
        <is>
          <t>3</t>
        </is>
      </c>
      <c r="R1307" s="85" t="inlineStr">
        <is>
          <t>Notes</t>
        </is>
      </c>
      <c r="S1307" s="85" t="inlineStr">
        <is>
          <t>1</t>
        </is>
      </c>
      <c r="T1307" s="85" t="inlineStr">
        <is>
          <t>2</t>
        </is>
      </c>
      <c r="U1307" s="85" t="inlineStr">
        <is>
          <t>3</t>
        </is>
      </c>
      <c r="V1307" s="85" t="inlineStr">
        <is>
          <t>Notes</t>
        </is>
      </c>
      <c r="W1307" s="85" t="inlineStr">
        <is>
          <t>Cover</t>
        </is>
      </c>
      <c r="X1307" s="85" t="inlineStr">
        <is>
          <t>Notes</t>
        </is>
      </c>
      <c r="Y1307" s="85" t="inlineStr">
        <is>
          <t>Cover</t>
        </is>
      </c>
      <c r="Z1307" s="85" t="inlineStr">
        <is>
          <t>Notes</t>
        </is>
      </c>
      <c r="AB1307" s="86" t="inlineStr">
        <is>
          <t>weekdays short</t>
        </is>
      </c>
      <c r="AC1307" s="87" t="inlineStr"/>
    </row>
    <row r="1308" ht="17" customHeight="1">
      <c r="A1308" t="n">
        <v>27</v>
      </c>
      <c r="B1308" s="24">
        <f>IF(Setup!$K$6="","",Setup!$K$6)</f>
        <v/>
      </c>
      <c r="C1308" s="88" t="n"/>
      <c r="D1308" s="88" t="n"/>
      <c r="E1308" s="88" t="n"/>
      <c r="F1308" s="89" t="n"/>
      <c r="G1308" s="88" t="n"/>
      <c r="H1308" s="88" t="n"/>
      <c r="I1308" s="88" t="n"/>
      <c r="J1308" s="89" t="n"/>
      <c r="K1308" s="88" t="n"/>
      <c r="L1308" s="88" t="n"/>
      <c r="M1308" s="88" t="n"/>
      <c r="N1308" s="89" t="n"/>
      <c r="O1308" s="88" t="n"/>
      <c r="P1308" s="88" t="n"/>
      <c r="Q1308" s="88" t="n"/>
      <c r="R1308" s="89" t="n"/>
      <c r="S1308" s="88" t="n"/>
      <c r="T1308" s="88" t="n"/>
      <c r="U1308" s="88" t="n"/>
      <c r="V1308" s="89" t="n"/>
      <c r="W1308" s="88" t="n"/>
      <c r="X1308" s="89" t="n"/>
      <c r="Y1308" s="88" t="n"/>
      <c r="Z1308" s="89" t="n"/>
      <c r="AB1308" s="25">
        <f>IF($B1308="","",(COUNTIF(C1308:E1308,"?*")&lt;N(INDEX(Setup!$L$6:$L$23,1)))+(COUNTIF(G1308:I1308,"?*")&lt;N(INDEX(Setup!$L$6:$L$23,1)))+(COUNTIF(K1308:M1308,"?*")&lt;N(INDEX(Setup!$L$6:$L$23,1)))+(COUNTIF(O1308:Q1308,"?*")&lt;N(INDEX(Setup!$L$6:$L$23,1)))+(COUNTIF(S1308:U1308,"?*")&lt;N(INDEX(Setup!$L$6:$L$23,1)))+((W1308="")*(INDEX(Setup!$M$6:$M$23,1)="Y"))+((Y1308="")*(INDEX(Setup!$M$6:$M$23,1)="Y")))</f>
        <v/>
      </c>
      <c r="AC1308" s="90">
        <f>IF($B1308="","",IF(AB1308=0,"✓ covered","⚠ "&amp;AB1308&amp;IF(AB1308=1," gap"," gaps")))</f>
        <v/>
      </c>
    </row>
    <row r="1309" ht="17" customHeight="1">
      <c r="A1309" t="n">
        <v>27</v>
      </c>
      <c r="B1309" s="29">
        <f>IF(Setup!$K$7="","",Setup!$K$7)</f>
        <v/>
      </c>
      <c r="C1309" s="88" t="n"/>
      <c r="D1309" s="88" t="n"/>
      <c r="E1309" s="88" t="n"/>
      <c r="F1309" s="89" t="n"/>
      <c r="G1309" s="88" t="n"/>
      <c r="H1309" s="88" t="n"/>
      <c r="I1309" s="88" t="n"/>
      <c r="J1309" s="89" t="n"/>
      <c r="K1309" s="88" t="n"/>
      <c r="L1309" s="88" t="n"/>
      <c r="M1309" s="88" t="n"/>
      <c r="N1309" s="89" t="n"/>
      <c r="O1309" s="88" t="n"/>
      <c r="P1309" s="88" t="n"/>
      <c r="Q1309" s="88" t="n"/>
      <c r="R1309" s="89" t="n"/>
      <c r="S1309" s="88" t="n"/>
      <c r="T1309" s="88" t="n"/>
      <c r="U1309" s="88" t="n"/>
      <c r="V1309" s="89" t="n"/>
      <c r="W1309" s="88" t="n"/>
      <c r="X1309" s="89" t="n"/>
      <c r="Y1309" s="88" t="n"/>
      <c r="Z1309" s="89" t="n"/>
      <c r="AB1309" s="30">
        <f>IF($B1309="","",(COUNTIF(C1309:E1309,"?*")&lt;N(INDEX(Setup!$L$6:$L$23,2)))+(COUNTIF(G1309:I1309,"?*")&lt;N(INDEX(Setup!$L$6:$L$23,2)))+(COUNTIF(K1309:M1309,"?*")&lt;N(INDEX(Setup!$L$6:$L$23,2)))+(COUNTIF(O1309:Q1309,"?*")&lt;N(INDEX(Setup!$L$6:$L$23,2)))+(COUNTIF(S1309:U1309,"?*")&lt;N(INDEX(Setup!$L$6:$L$23,2)))+((W1309="")*(INDEX(Setup!$M$6:$M$23,2)="Y"))+((Y1309="")*(INDEX(Setup!$M$6:$M$23,2)="Y")))</f>
        <v/>
      </c>
      <c r="AC1309" s="91">
        <f>IF($B1309="","",IF(AB1309=0,"✓ covered","⚠ "&amp;AB1309&amp;IF(AB1309=1," gap"," gaps")))</f>
        <v/>
      </c>
    </row>
    <row r="1310" ht="17" customHeight="1">
      <c r="A1310" t="n">
        <v>27</v>
      </c>
      <c r="B1310" s="24">
        <f>IF(Setup!$K$8="","",Setup!$K$8)</f>
        <v/>
      </c>
      <c r="C1310" s="88" t="n"/>
      <c r="D1310" s="88" t="n"/>
      <c r="E1310" s="88" t="n"/>
      <c r="F1310" s="89" t="n"/>
      <c r="G1310" s="88" t="n"/>
      <c r="H1310" s="88" t="n"/>
      <c r="I1310" s="88" t="n"/>
      <c r="J1310" s="89" t="n"/>
      <c r="K1310" s="88" t="n"/>
      <c r="L1310" s="88" t="n"/>
      <c r="M1310" s="88" t="n"/>
      <c r="N1310" s="89" t="n"/>
      <c r="O1310" s="88" t="n"/>
      <c r="P1310" s="88" t="n"/>
      <c r="Q1310" s="88" t="n"/>
      <c r="R1310" s="89" t="n"/>
      <c r="S1310" s="88" t="n"/>
      <c r="T1310" s="88" t="n"/>
      <c r="U1310" s="88" t="n"/>
      <c r="V1310" s="89" t="n"/>
      <c r="W1310" s="88" t="n"/>
      <c r="X1310" s="89" t="n"/>
      <c r="Y1310" s="88" t="n"/>
      <c r="Z1310" s="89" t="n"/>
      <c r="AB1310" s="25">
        <f>IF($B1310="","",(COUNTIF(C1310:E1310,"?*")&lt;N(INDEX(Setup!$L$6:$L$23,3)))+(COUNTIF(G1310:I1310,"?*")&lt;N(INDEX(Setup!$L$6:$L$23,3)))+(COUNTIF(K1310:M1310,"?*")&lt;N(INDEX(Setup!$L$6:$L$23,3)))+(COUNTIF(O1310:Q1310,"?*")&lt;N(INDEX(Setup!$L$6:$L$23,3)))+(COUNTIF(S1310:U1310,"?*")&lt;N(INDEX(Setup!$L$6:$L$23,3)))+((W1310="")*(INDEX(Setup!$M$6:$M$23,3)="Y"))+((Y1310="")*(INDEX(Setup!$M$6:$M$23,3)="Y")))</f>
        <v/>
      </c>
      <c r="AC1310" s="90">
        <f>IF($B1310="","",IF(AB1310=0,"✓ covered","⚠ "&amp;AB1310&amp;IF(AB1310=1," gap"," gaps")))</f>
        <v/>
      </c>
    </row>
    <row r="1311" ht="17" customHeight="1">
      <c r="A1311" t="n">
        <v>27</v>
      </c>
      <c r="B1311" s="29">
        <f>IF(Setup!$K$9="","",Setup!$K$9)</f>
        <v/>
      </c>
      <c r="C1311" s="88" t="n"/>
      <c r="D1311" s="88" t="n"/>
      <c r="E1311" s="88" t="n"/>
      <c r="F1311" s="89" t="n"/>
      <c r="G1311" s="88" t="n"/>
      <c r="H1311" s="88" t="n"/>
      <c r="I1311" s="88" t="n"/>
      <c r="J1311" s="89" t="n"/>
      <c r="K1311" s="88" t="n"/>
      <c r="L1311" s="88" t="n"/>
      <c r="M1311" s="88" t="n"/>
      <c r="N1311" s="89" t="n"/>
      <c r="O1311" s="88" t="n"/>
      <c r="P1311" s="88" t="n"/>
      <c r="Q1311" s="88" t="n"/>
      <c r="R1311" s="89" t="n"/>
      <c r="S1311" s="88" t="n"/>
      <c r="T1311" s="88" t="n"/>
      <c r="U1311" s="88" t="n"/>
      <c r="V1311" s="89" t="n"/>
      <c r="W1311" s="88" t="n"/>
      <c r="X1311" s="89" t="n"/>
      <c r="Y1311" s="88" t="n"/>
      <c r="Z1311" s="89" t="n"/>
      <c r="AB1311" s="30">
        <f>IF($B1311="","",(COUNTIF(C1311:E1311,"?*")&lt;N(INDEX(Setup!$L$6:$L$23,4)))+(COUNTIF(G1311:I1311,"?*")&lt;N(INDEX(Setup!$L$6:$L$23,4)))+(COUNTIF(K1311:M1311,"?*")&lt;N(INDEX(Setup!$L$6:$L$23,4)))+(COUNTIF(O1311:Q1311,"?*")&lt;N(INDEX(Setup!$L$6:$L$23,4)))+(COUNTIF(S1311:U1311,"?*")&lt;N(INDEX(Setup!$L$6:$L$23,4)))+((W1311="")*(INDEX(Setup!$M$6:$M$23,4)="Y"))+((Y1311="")*(INDEX(Setup!$M$6:$M$23,4)="Y")))</f>
        <v/>
      </c>
      <c r="AC1311" s="91">
        <f>IF($B1311="","",IF(AB1311=0,"✓ covered","⚠ "&amp;AB1311&amp;IF(AB1311=1," gap"," gaps")))</f>
        <v/>
      </c>
    </row>
    <row r="1312" ht="17" customHeight="1">
      <c r="A1312" t="n">
        <v>27</v>
      </c>
      <c r="B1312" s="24">
        <f>IF(Setup!$K$10="","",Setup!$K$10)</f>
        <v/>
      </c>
      <c r="C1312" s="88" t="n"/>
      <c r="D1312" s="88" t="n"/>
      <c r="E1312" s="88" t="n"/>
      <c r="F1312" s="89" t="n"/>
      <c r="G1312" s="88" t="n"/>
      <c r="H1312" s="88" t="n"/>
      <c r="I1312" s="88" t="n"/>
      <c r="J1312" s="89" t="n"/>
      <c r="K1312" s="88" t="n"/>
      <c r="L1312" s="88" t="n"/>
      <c r="M1312" s="88" t="n"/>
      <c r="N1312" s="89" t="n"/>
      <c r="O1312" s="88" t="n"/>
      <c r="P1312" s="88" t="n"/>
      <c r="Q1312" s="88" t="n"/>
      <c r="R1312" s="89" t="n"/>
      <c r="S1312" s="88" t="n"/>
      <c r="T1312" s="88" t="n"/>
      <c r="U1312" s="88" t="n"/>
      <c r="V1312" s="89" t="n"/>
      <c r="W1312" s="88" t="n"/>
      <c r="X1312" s="89" t="n"/>
      <c r="Y1312" s="88" t="n"/>
      <c r="Z1312" s="89" t="n"/>
      <c r="AB1312" s="25">
        <f>IF($B1312="","",(COUNTIF(C1312:E1312,"?*")&lt;N(INDEX(Setup!$L$6:$L$23,5)))+(COUNTIF(G1312:I1312,"?*")&lt;N(INDEX(Setup!$L$6:$L$23,5)))+(COUNTIF(K1312:M1312,"?*")&lt;N(INDEX(Setup!$L$6:$L$23,5)))+(COUNTIF(O1312:Q1312,"?*")&lt;N(INDEX(Setup!$L$6:$L$23,5)))+(COUNTIF(S1312:U1312,"?*")&lt;N(INDEX(Setup!$L$6:$L$23,5)))+((W1312="")*(INDEX(Setup!$M$6:$M$23,5)="Y"))+((Y1312="")*(INDEX(Setup!$M$6:$M$23,5)="Y")))</f>
        <v/>
      </c>
      <c r="AC1312" s="90">
        <f>IF($B1312="","",IF(AB1312=0,"✓ covered","⚠ "&amp;AB1312&amp;IF(AB1312=1," gap"," gaps")))</f>
        <v/>
      </c>
    </row>
    <row r="1313" ht="17" customHeight="1">
      <c r="A1313" t="n">
        <v>27</v>
      </c>
      <c r="B1313" s="29">
        <f>IF(Setup!$K$11="","",Setup!$K$11)</f>
        <v/>
      </c>
      <c r="C1313" s="88" t="n"/>
      <c r="D1313" s="88" t="n"/>
      <c r="E1313" s="88" t="n"/>
      <c r="F1313" s="89" t="n"/>
      <c r="G1313" s="88" t="n"/>
      <c r="H1313" s="88" t="n"/>
      <c r="I1313" s="88" t="n"/>
      <c r="J1313" s="89" t="n"/>
      <c r="K1313" s="88" t="n"/>
      <c r="L1313" s="88" t="n"/>
      <c r="M1313" s="88" t="n"/>
      <c r="N1313" s="89" t="n"/>
      <c r="O1313" s="88" t="n"/>
      <c r="P1313" s="88" t="n"/>
      <c r="Q1313" s="88" t="n"/>
      <c r="R1313" s="89" t="n"/>
      <c r="S1313" s="88" t="n"/>
      <c r="T1313" s="88" t="n"/>
      <c r="U1313" s="88" t="n"/>
      <c r="V1313" s="89" t="n"/>
      <c r="W1313" s="88" t="n"/>
      <c r="X1313" s="89" t="n"/>
      <c r="Y1313" s="88" t="n"/>
      <c r="Z1313" s="89" t="n"/>
      <c r="AB1313" s="30">
        <f>IF($B1313="","",(COUNTIF(C1313:E1313,"?*")&lt;N(INDEX(Setup!$L$6:$L$23,6)))+(COUNTIF(G1313:I1313,"?*")&lt;N(INDEX(Setup!$L$6:$L$23,6)))+(COUNTIF(K1313:M1313,"?*")&lt;N(INDEX(Setup!$L$6:$L$23,6)))+(COUNTIF(O1313:Q1313,"?*")&lt;N(INDEX(Setup!$L$6:$L$23,6)))+(COUNTIF(S1313:U1313,"?*")&lt;N(INDEX(Setup!$L$6:$L$23,6)))+((W1313="")*(INDEX(Setup!$M$6:$M$23,6)="Y"))+((Y1313="")*(INDEX(Setup!$M$6:$M$23,6)="Y")))</f>
        <v/>
      </c>
      <c r="AC1313" s="91">
        <f>IF($B1313="","",IF(AB1313=0,"✓ covered","⚠ "&amp;AB1313&amp;IF(AB1313=1," gap"," gaps")))</f>
        <v/>
      </c>
    </row>
    <row r="1314" ht="17" customHeight="1">
      <c r="A1314" t="n">
        <v>27</v>
      </c>
      <c r="B1314" s="24">
        <f>IF(Setup!$K$12="","",Setup!$K$12)</f>
        <v/>
      </c>
      <c r="C1314" s="88" t="n"/>
      <c r="D1314" s="88" t="n"/>
      <c r="E1314" s="88" t="n"/>
      <c r="F1314" s="89" t="n"/>
      <c r="G1314" s="88" t="n"/>
      <c r="H1314" s="88" t="n"/>
      <c r="I1314" s="88" t="n"/>
      <c r="J1314" s="89" t="n"/>
      <c r="K1314" s="88" t="n"/>
      <c r="L1314" s="88" t="n"/>
      <c r="M1314" s="88" t="n"/>
      <c r="N1314" s="89" t="n"/>
      <c r="O1314" s="88" t="n"/>
      <c r="P1314" s="88" t="n"/>
      <c r="Q1314" s="88" t="n"/>
      <c r="R1314" s="89" t="n"/>
      <c r="S1314" s="88" t="n"/>
      <c r="T1314" s="88" t="n"/>
      <c r="U1314" s="88" t="n"/>
      <c r="V1314" s="89" t="n"/>
      <c r="W1314" s="88" t="n"/>
      <c r="X1314" s="89" t="n"/>
      <c r="Y1314" s="88" t="n"/>
      <c r="Z1314" s="89" t="n"/>
      <c r="AB1314" s="25">
        <f>IF($B1314="","",(COUNTIF(C1314:E1314,"?*")&lt;N(INDEX(Setup!$L$6:$L$23,7)))+(COUNTIF(G1314:I1314,"?*")&lt;N(INDEX(Setup!$L$6:$L$23,7)))+(COUNTIF(K1314:M1314,"?*")&lt;N(INDEX(Setup!$L$6:$L$23,7)))+(COUNTIF(O1314:Q1314,"?*")&lt;N(INDEX(Setup!$L$6:$L$23,7)))+(COUNTIF(S1314:U1314,"?*")&lt;N(INDEX(Setup!$L$6:$L$23,7)))+((W1314="")*(INDEX(Setup!$M$6:$M$23,7)="Y"))+((Y1314="")*(INDEX(Setup!$M$6:$M$23,7)="Y")))</f>
        <v/>
      </c>
      <c r="AC1314" s="90">
        <f>IF($B1314="","",IF(AB1314=0,"✓ covered","⚠ "&amp;AB1314&amp;IF(AB1314=1," gap"," gaps")))</f>
        <v/>
      </c>
    </row>
    <row r="1315" ht="17" customHeight="1">
      <c r="A1315" t="n">
        <v>27</v>
      </c>
      <c r="B1315" s="29">
        <f>IF(Setup!$K$13="","",Setup!$K$13)</f>
        <v/>
      </c>
      <c r="C1315" s="88" t="n"/>
      <c r="D1315" s="88" t="n"/>
      <c r="E1315" s="88" t="n"/>
      <c r="F1315" s="89" t="n"/>
      <c r="G1315" s="88" t="n"/>
      <c r="H1315" s="88" t="n"/>
      <c r="I1315" s="88" t="n"/>
      <c r="J1315" s="89" t="n"/>
      <c r="K1315" s="88" t="n"/>
      <c r="L1315" s="88" t="n"/>
      <c r="M1315" s="88" t="n"/>
      <c r="N1315" s="89" t="n"/>
      <c r="O1315" s="88" t="n"/>
      <c r="P1315" s="88" t="n"/>
      <c r="Q1315" s="88" t="n"/>
      <c r="R1315" s="89" t="n"/>
      <c r="S1315" s="88" t="n"/>
      <c r="T1315" s="88" t="n"/>
      <c r="U1315" s="88" t="n"/>
      <c r="V1315" s="89" t="n"/>
      <c r="W1315" s="88" t="n"/>
      <c r="X1315" s="89" t="n"/>
      <c r="Y1315" s="88" t="n"/>
      <c r="Z1315" s="89" t="n"/>
      <c r="AB1315" s="30">
        <f>IF($B1315="","",(COUNTIF(C1315:E1315,"?*")&lt;N(INDEX(Setup!$L$6:$L$23,8)))+(COUNTIF(G1315:I1315,"?*")&lt;N(INDEX(Setup!$L$6:$L$23,8)))+(COUNTIF(K1315:M1315,"?*")&lt;N(INDEX(Setup!$L$6:$L$23,8)))+(COUNTIF(O1315:Q1315,"?*")&lt;N(INDEX(Setup!$L$6:$L$23,8)))+(COUNTIF(S1315:U1315,"?*")&lt;N(INDEX(Setup!$L$6:$L$23,8)))+((W1315="")*(INDEX(Setup!$M$6:$M$23,8)="Y"))+((Y1315="")*(INDEX(Setup!$M$6:$M$23,8)="Y")))</f>
        <v/>
      </c>
      <c r="AC1315" s="91">
        <f>IF($B1315="","",IF(AB1315=0,"✓ covered","⚠ "&amp;AB1315&amp;IF(AB1315=1," gap"," gaps")))</f>
        <v/>
      </c>
    </row>
    <row r="1316" ht="17" customHeight="1">
      <c r="A1316" t="n">
        <v>27</v>
      </c>
      <c r="B1316" s="24">
        <f>IF(Setup!$K$14="","",Setup!$K$14)</f>
        <v/>
      </c>
      <c r="C1316" s="88" t="n"/>
      <c r="D1316" s="88" t="n"/>
      <c r="E1316" s="88" t="n"/>
      <c r="F1316" s="89" t="n"/>
      <c r="G1316" s="88" t="n"/>
      <c r="H1316" s="88" t="n"/>
      <c r="I1316" s="88" t="n"/>
      <c r="J1316" s="89" t="n"/>
      <c r="K1316" s="88" t="n"/>
      <c r="L1316" s="88" t="n"/>
      <c r="M1316" s="88" t="n"/>
      <c r="N1316" s="89" t="n"/>
      <c r="O1316" s="88" t="n"/>
      <c r="P1316" s="88" t="n"/>
      <c r="Q1316" s="88" t="n"/>
      <c r="R1316" s="89" t="n"/>
      <c r="S1316" s="88" t="n"/>
      <c r="T1316" s="88" t="n"/>
      <c r="U1316" s="88" t="n"/>
      <c r="V1316" s="89" t="n"/>
      <c r="W1316" s="88" t="n"/>
      <c r="X1316" s="89" t="n"/>
      <c r="Y1316" s="88" t="n"/>
      <c r="Z1316" s="89" t="n"/>
      <c r="AB1316" s="25">
        <f>IF($B1316="","",(COUNTIF(C1316:E1316,"?*")&lt;N(INDEX(Setup!$L$6:$L$23,9)))+(COUNTIF(G1316:I1316,"?*")&lt;N(INDEX(Setup!$L$6:$L$23,9)))+(COUNTIF(K1316:M1316,"?*")&lt;N(INDEX(Setup!$L$6:$L$23,9)))+(COUNTIF(O1316:Q1316,"?*")&lt;N(INDEX(Setup!$L$6:$L$23,9)))+(COUNTIF(S1316:U1316,"?*")&lt;N(INDEX(Setup!$L$6:$L$23,9)))+((W1316="")*(INDEX(Setup!$M$6:$M$23,9)="Y"))+((Y1316="")*(INDEX(Setup!$M$6:$M$23,9)="Y")))</f>
        <v/>
      </c>
      <c r="AC1316" s="90">
        <f>IF($B1316="","",IF(AB1316=0,"✓ covered","⚠ "&amp;AB1316&amp;IF(AB1316=1," gap"," gaps")))</f>
        <v/>
      </c>
    </row>
    <row r="1317" ht="17" customHeight="1">
      <c r="A1317" t="n">
        <v>27</v>
      </c>
      <c r="B1317" s="29">
        <f>IF(Setup!$K$15="","",Setup!$K$15)</f>
        <v/>
      </c>
      <c r="C1317" s="88" t="n"/>
      <c r="D1317" s="88" t="n"/>
      <c r="E1317" s="88" t="n"/>
      <c r="F1317" s="89" t="n"/>
      <c r="G1317" s="88" t="n"/>
      <c r="H1317" s="88" t="n"/>
      <c r="I1317" s="88" t="n"/>
      <c r="J1317" s="89" t="n"/>
      <c r="K1317" s="88" t="n"/>
      <c r="L1317" s="88" t="n"/>
      <c r="M1317" s="88" t="n"/>
      <c r="N1317" s="89" t="n"/>
      <c r="O1317" s="88" t="n"/>
      <c r="P1317" s="88" t="n"/>
      <c r="Q1317" s="88" t="n"/>
      <c r="R1317" s="89" t="n"/>
      <c r="S1317" s="88" t="n"/>
      <c r="T1317" s="88" t="n"/>
      <c r="U1317" s="88" t="n"/>
      <c r="V1317" s="89" t="n"/>
      <c r="W1317" s="88" t="n"/>
      <c r="X1317" s="89" t="n"/>
      <c r="Y1317" s="88" t="n"/>
      <c r="Z1317" s="89" t="n"/>
      <c r="AB1317" s="30">
        <f>IF($B1317="","",(COUNTIF(C1317:E1317,"?*")&lt;N(INDEX(Setup!$L$6:$L$23,10)))+(COUNTIF(G1317:I1317,"?*")&lt;N(INDEX(Setup!$L$6:$L$23,10)))+(COUNTIF(K1317:M1317,"?*")&lt;N(INDEX(Setup!$L$6:$L$23,10)))+(COUNTIF(O1317:Q1317,"?*")&lt;N(INDEX(Setup!$L$6:$L$23,10)))+(COUNTIF(S1317:U1317,"?*")&lt;N(INDEX(Setup!$L$6:$L$23,10)))+((W1317="")*(INDEX(Setup!$M$6:$M$23,10)="Y"))+((Y1317="")*(INDEX(Setup!$M$6:$M$23,10)="Y")))</f>
        <v/>
      </c>
      <c r="AC1317" s="91">
        <f>IF($B1317="","",IF(AB1317=0,"✓ covered","⚠ "&amp;AB1317&amp;IF(AB1317=1," gap"," gaps")))</f>
        <v/>
      </c>
    </row>
    <row r="1318" ht="17" customHeight="1">
      <c r="A1318" t="n">
        <v>27</v>
      </c>
      <c r="B1318" s="24">
        <f>IF(Setup!$K$16="","",Setup!$K$16)</f>
        <v/>
      </c>
      <c r="C1318" s="88" t="n"/>
      <c r="D1318" s="88" t="n"/>
      <c r="E1318" s="88" t="n"/>
      <c r="F1318" s="89" t="n"/>
      <c r="G1318" s="88" t="n"/>
      <c r="H1318" s="88" t="n"/>
      <c r="I1318" s="88" t="n"/>
      <c r="J1318" s="89" t="n"/>
      <c r="K1318" s="88" t="n"/>
      <c r="L1318" s="88" t="n"/>
      <c r="M1318" s="88" t="n"/>
      <c r="N1318" s="89" t="n"/>
      <c r="O1318" s="88" t="n"/>
      <c r="P1318" s="88" t="n"/>
      <c r="Q1318" s="88" t="n"/>
      <c r="R1318" s="89" t="n"/>
      <c r="S1318" s="88" t="n"/>
      <c r="T1318" s="88" t="n"/>
      <c r="U1318" s="88" t="n"/>
      <c r="V1318" s="89" t="n"/>
      <c r="W1318" s="88" t="n"/>
      <c r="X1318" s="89" t="n"/>
      <c r="Y1318" s="88" t="n"/>
      <c r="Z1318" s="89" t="n"/>
      <c r="AB1318" s="25">
        <f>IF($B1318="","",(COUNTIF(C1318:E1318,"?*")&lt;N(INDEX(Setup!$L$6:$L$23,11)))+(COUNTIF(G1318:I1318,"?*")&lt;N(INDEX(Setup!$L$6:$L$23,11)))+(COUNTIF(K1318:M1318,"?*")&lt;N(INDEX(Setup!$L$6:$L$23,11)))+(COUNTIF(O1318:Q1318,"?*")&lt;N(INDEX(Setup!$L$6:$L$23,11)))+(COUNTIF(S1318:U1318,"?*")&lt;N(INDEX(Setup!$L$6:$L$23,11)))+((W1318="")*(INDEX(Setup!$M$6:$M$23,11)="Y"))+((Y1318="")*(INDEX(Setup!$M$6:$M$23,11)="Y")))</f>
        <v/>
      </c>
      <c r="AC1318" s="90">
        <f>IF($B1318="","",IF(AB1318=0,"✓ covered","⚠ "&amp;AB1318&amp;IF(AB1318=1," gap"," gaps")))</f>
        <v/>
      </c>
    </row>
    <row r="1319" ht="17" customHeight="1">
      <c r="A1319" t="n">
        <v>27</v>
      </c>
      <c r="B1319" s="29">
        <f>IF(Setup!$K$17="","",Setup!$K$17)</f>
        <v/>
      </c>
      <c r="C1319" s="88" t="n"/>
      <c r="D1319" s="88" t="n"/>
      <c r="E1319" s="88" t="n"/>
      <c r="F1319" s="89" t="n"/>
      <c r="G1319" s="88" t="n"/>
      <c r="H1319" s="88" t="n"/>
      <c r="I1319" s="88" t="n"/>
      <c r="J1319" s="89" t="n"/>
      <c r="K1319" s="88" t="n"/>
      <c r="L1319" s="88" t="n"/>
      <c r="M1319" s="88" t="n"/>
      <c r="N1319" s="89" t="n"/>
      <c r="O1319" s="88" t="n"/>
      <c r="P1319" s="88" t="n"/>
      <c r="Q1319" s="88" t="n"/>
      <c r="R1319" s="89" t="n"/>
      <c r="S1319" s="88" t="n"/>
      <c r="T1319" s="88" t="n"/>
      <c r="U1319" s="88" t="n"/>
      <c r="V1319" s="89" t="n"/>
      <c r="W1319" s="88" t="n"/>
      <c r="X1319" s="89" t="n"/>
      <c r="Y1319" s="88" t="n"/>
      <c r="Z1319" s="89" t="n"/>
      <c r="AB1319" s="30">
        <f>IF($B1319="","",(COUNTIF(C1319:E1319,"?*")&lt;N(INDEX(Setup!$L$6:$L$23,12)))+(COUNTIF(G1319:I1319,"?*")&lt;N(INDEX(Setup!$L$6:$L$23,12)))+(COUNTIF(K1319:M1319,"?*")&lt;N(INDEX(Setup!$L$6:$L$23,12)))+(COUNTIF(O1319:Q1319,"?*")&lt;N(INDEX(Setup!$L$6:$L$23,12)))+(COUNTIF(S1319:U1319,"?*")&lt;N(INDEX(Setup!$L$6:$L$23,12)))+((W1319="")*(INDEX(Setup!$M$6:$M$23,12)="Y"))+((Y1319="")*(INDEX(Setup!$M$6:$M$23,12)="Y")))</f>
        <v/>
      </c>
      <c r="AC1319" s="91">
        <f>IF($B1319="","",IF(AB1319=0,"✓ covered","⚠ "&amp;AB1319&amp;IF(AB1319=1," gap"," gaps")))</f>
        <v/>
      </c>
    </row>
    <row r="1320" ht="17" customHeight="1">
      <c r="A1320" t="n">
        <v>27</v>
      </c>
      <c r="B1320" s="24">
        <f>IF(Setup!$K$18="","",Setup!$K$18)</f>
        <v/>
      </c>
      <c r="C1320" s="88" t="inlineStr">
        <is>
          <t>TB</t>
        </is>
      </c>
      <c r="D1320" s="88" t="inlineStr">
        <is>
          <t>TB</t>
        </is>
      </c>
      <c r="E1320" s="88" t="n"/>
      <c r="F1320" s="89" t="n"/>
      <c r="G1320" s="88" t="n"/>
      <c r="H1320" s="88" t="n"/>
      <c r="I1320" s="88" t="n"/>
      <c r="J1320" s="89" t="n"/>
      <c r="K1320" s="88" t="n"/>
      <c r="L1320" s="88" t="n"/>
      <c r="M1320" s="88" t="n"/>
      <c r="N1320" s="89" t="n"/>
      <c r="O1320" s="88" t="n"/>
      <c r="P1320" s="88" t="n"/>
      <c r="Q1320" s="88" t="n"/>
      <c r="R1320" s="89" t="n"/>
      <c r="S1320" s="88" t="n"/>
      <c r="T1320" s="88" t="n"/>
      <c r="U1320" s="88" t="n"/>
      <c r="V1320" s="89" t="n"/>
      <c r="W1320" s="88" t="n"/>
      <c r="X1320" s="89" t="n"/>
      <c r="Y1320" s="88" t="n"/>
      <c r="Z1320" s="89" t="n"/>
      <c r="AB1320" s="25">
        <f>IF($B1320="","",(COUNTIF(C1320:E1320,"?*")&lt;N(INDEX(Setup!$L$6:$L$23,13)))+(COUNTIF(G1320:I1320,"?*")&lt;N(INDEX(Setup!$L$6:$L$23,13)))+(COUNTIF(K1320:M1320,"?*")&lt;N(INDEX(Setup!$L$6:$L$23,13)))+(COUNTIF(O1320:Q1320,"?*")&lt;N(INDEX(Setup!$L$6:$L$23,13)))+(COUNTIF(S1320:U1320,"?*")&lt;N(INDEX(Setup!$L$6:$L$23,13)))+((W1320="")*(INDEX(Setup!$M$6:$M$23,13)="Y"))+((Y1320="")*(INDEX(Setup!$M$6:$M$23,13)="Y")))</f>
        <v/>
      </c>
      <c r="AC1320" s="90">
        <f>IF($B1320="","",IF(AB1320=0,"✓ covered","⚠ "&amp;AB1320&amp;IF(AB1320=1," gap"," gaps")))</f>
        <v/>
      </c>
    </row>
    <row r="1321" ht="17" customHeight="1">
      <c r="A1321" t="n">
        <v>27</v>
      </c>
      <c r="B1321" s="29">
        <f>IF(Setup!$K$19="","",Setup!$K$19)</f>
        <v/>
      </c>
      <c r="C1321" s="88" t="n"/>
      <c r="D1321" s="88" t="n"/>
      <c r="E1321" s="88" t="n"/>
      <c r="F1321" s="89" t="n"/>
      <c r="G1321" s="88" t="n"/>
      <c r="H1321" s="88" t="n"/>
      <c r="I1321" s="88" t="n"/>
      <c r="J1321" s="89" t="n"/>
      <c r="K1321" s="88" t="n"/>
      <c r="L1321" s="88" t="n"/>
      <c r="M1321" s="88" t="n"/>
      <c r="N1321" s="89" t="n"/>
      <c r="O1321" s="88" t="n"/>
      <c r="P1321" s="88" t="n"/>
      <c r="Q1321" s="88" t="n"/>
      <c r="R1321" s="89" t="n"/>
      <c r="S1321" s="88" t="n"/>
      <c r="T1321" s="88" t="n"/>
      <c r="U1321" s="88" t="n"/>
      <c r="V1321" s="89" t="n"/>
      <c r="W1321" s="88" t="n"/>
      <c r="X1321" s="89" t="n"/>
      <c r="Y1321" s="88" t="n"/>
      <c r="Z1321" s="89" t="n"/>
      <c r="AB1321" s="30">
        <f>IF($B1321="","",(COUNTIF(C1321:E1321,"?*")&lt;N(INDEX(Setup!$L$6:$L$23,14)))+(COUNTIF(G1321:I1321,"?*")&lt;N(INDEX(Setup!$L$6:$L$23,14)))+(COUNTIF(K1321:M1321,"?*")&lt;N(INDEX(Setup!$L$6:$L$23,14)))+(COUNTIF(O1321:Q1321,"?*")&lt;N(INDEX(Setup!$L$6:$L$23,14)))+(COUNTIF(S1321:U1321,"?*")&lt;N(INDEX(Setup!$L$6:$L$23,14)))+((W1321="")*(INDEX(Setup!$M$6:$M$23,14)="Y"))+((Y1321="")*(INDEX(Setup!$M$6:$M$23,14)="Y")))</f>
        <v/>
      </c>
      <c r="AC1321" s="91">
        <f>IF($B1321="","",IF(AB1321=0,"✓ covered","⚠ "&amp;AB1321&amp;IF(AB1321=1," gap"," gaps")))</f>
        <v/>
      </c>
    </row>
    <row r="1322" ht="17" customHeight="1">
      <c r="A1322" t="n">
        <v>27</v>
      </c>
      <c r="B1322" s="24">
        <f>IF(Setup!$K$20="","",Setup!$K$20)</f>
        <v/>
      </c>
      <c r="C1322" s="88" t="n"/>
      <c r="D1322" s="88" t="n"/>
      <c r="E1322" s="88" t="n"/>
      <c r="F1322" s="89" t="n"/>
      <c r="G1322" s="88" t="n"/>
      <c r="H1322" s="88" t="n"/>
      <c r="I1322" s="88" t="n"/>
      <c r="J1322" s="89" t="n"/>
      <c r="K1322" s="88" t="n"/>
      <c r="L1322" s="88" t="n"/>
      <c r="M1322" s="88" t="n"/>
      <c r="N1322" s="89" t="n"/>
      <c r="O1322" s="88" t="n"/>
      <c r="P1322" s="88" t="n"/>
      <c r="Q1322" s="88" t="n"/>
      <c r="R1322" s="89" t="n"/>
      <c r="S1322" s="88" t="n"/>
      <c r="T1322" s="88" t="n"/>
      <c r="U1322" s="88" t="n"/>
      <c r="V1322" s="89" t="n"/>
      <c r="W1322" s="88" t="n"/>
      <c r="X1322" s="89" t="n"/>
      <c r="Y1322" s="88" t="n"/>
      <c r="Z1322" s="89" t="n"/>
      <c r="AB1322" s="25">
        <f>IF($B1322="","",(COUNTIF(C1322:E1322,"?*")&lt;N(INDEX(Setup!$L$6:$L$23,15)))+(COUNTIF(G1322:I1322,"?*")&lt;N(INDEX(Setup!$L$6:$L$23,15)))+(COUNTIF(K1322:M1322,"?*")&lt;N(INDEX(Setup!$L$6:$L$23,15)))+(COUNTIF(O1322:Q1322,"?*")&lt;N(INDEX(Setup!$L$6:$L$23,15)))+(COUNTIF(S1322:U1322,"?*")&lt;N(INDEX(Setup!$L$6:$L$23,15)))+((W1322="")*(INDEX(Setup!$M$6:$M$23,15)="Y"))+((Y1322="")*(INDEX(Setup!$M$6:$M$23,15)="Y")))</f>
        <v/>
      </c>
      <c r="AC1322" s="90">
        <f>IF($B1322="","",IF(AB1322=0,"✓ covered","⚠ "&amp;AB1322&amp;IF(AB1322=1," gap"," gaps")))</f>
        <v/>
      </c>
    </row>
    <row r="1323" ht="17" customHeight="1">
      <c r="A1323" t="n">
        <v>27</v>
      </c>
      <c r="B1323" s="29">
        <f>IF(Setup!$K$21="","",Setup!$K$21)</f>
        <v/>
      </c>
      <c r="C1323" s="88" t="n"/>
      <c r="D1323" s="88" t="n"/>
      <c r="E1323" s="88" t="n"/>
      <c r="F1323" s="89" t="n"/>
      <c r="G1323" s="88" t="n"/>
      <c r="H1323" s="88" t="n"/>
      <c r="I1323" s="88" t="n"/>
      <c r="J1323" s="89" t="n"/>
      <c r="K1323" s="88" t="n"/>
      <c r="L1323" s="88" t="n"/>
      <c r="M1323" s="88" t="n"/>
      <c r="N1323" s="89" t="n"/>
      <c r="O1323" s="88" t="n"/>
      <c r="P1323" s="88" t="n"/>
      <c r="Q1323" s="88" t="n"/>
      <c r="R1323" s="89" t="n"/>
      <c r="S1323" s="88" t="n"/>
      <c r="T1323" s="88" t="n"/>
      <c r="U1323" s="88" t="n"/>
      <c r="V1323" s="89" t="n"/>
      <c r="W1323" s="88" t="n"/>
      <c r="X1323" s="89" t="n"/>
      <c r="Y1323" s="88" t="n"/>
      <c r="Z1323" s="89" t="n"/>
      <c r="AB1323" s="30">
        <f>IF($B1323="","",(COUNTIF(C1323:E1323,"?*")&lt;N(INDEX(Setup!$L$6:$L$23,16)))+(COUNTIF(G1323:I1323,"?*")&lt;N(INDEX(Setup!$L$6:$L$23,16)))+(COUNTIF(K1323:M1323,"?*")&lt;N(INDEX(Setup!$L$6:$L$23,16)))+(COUNTIF(O1323:Q1323,"?*")&lt;N(INDEX(Setup!$L$6:$L$23,16)))+(COUNTIF(S1323:U1323,"?*")&lt;N(INDEX(Setup!$L$6:$L$23,16)))+((W1323="")*(INDEX(Setup!$M$6:$M$23,16)="Y"))+((Y1323="")*(INDEX(Setup!$M$6:$M$23,16)="Y")))</f>
        <v/>
      </c>
      <c r="AC1323" s="91">
        <f>IF($B1323="","",IF(AB1323=0,"✓ covered","⚠ "&amp;AB1323&amp;IF(AB1323=1," gap"," gaps")))</f>
        <v/>
      </c>
    </row>
    <row r="1324" ht="17" customHeight="1">
      <c r="A1324" t="n">
        <v>27</v>
      </c>
      <c r="B1324" s="24">
        <f>IF(Setup!$K$22="","",Setup!$K$22)</f>
        <v/>
      </c>
      <c r="C1324" s="88" t="n"/>
      <c r="D1324" s="88" t="n"/>
      <c r="E1324" s="88" t="n"/>
      <c r="F1324" s="89" t="n"/>
      <c r="G1324" s="88" t="n"/>
      <c r="H1324" s="88" t="n"/>
      <c r="I1324" s="88" t="n"/>
      <c r="J1324" s="89" t="n"/>
      <c r="K1324" s="88" t="n"/>
      <c r="L1324" s="88" t="n"/>
      <c r="M1324" s="88" t="n"/>
      <c r="N1324" s="89" t="n"/>
      <c r="O1324" s="88" t="n"/>
      <c r="P1324" s="88" t="n"/>
      <c r="Q1324" s="88" t="n"/>
      <c r="R1324" s="89" t="n"/>
      <c r="S1324" s="88" t="n"/>
      <c r="T1324" s="88" t="n"/>
      <c r="U1324" s="88" t="n"/>
      <c r="V1324" s="89" t="n"/>
      <c r="W1324" s="88" t="n"/>
      <c r="X1324" s="89" t="n"/>
      <c r="Y1324" s="88" t="n"/>
      <c r="Z1324" s="89" t="n"/>
      <c r="AB1324" s="25">
        <f>IF($B1324="","",(COUNTIF(C1324:E1324,"?*")&lt;N(INDEX(Setup!$L$6:$L$23,17)))+(COUNTIF(G1324:I1324,"?*")&lt;N(INDEX(Setup!$L$6:$L$23,17)))+(COUNTIF(K1324:M1324,"?*")&lt;N(INDEX(Setup!$L$6:$L$23,17)))+(COUNTIF(O1324:Q1324,"?*")&lt;N(INDEX(Setup!$L$6:$L$23,17)))+(COUNTIF(S1324:U1324,"?*")&lt;N(INDEX(Setup!$L$6:$L$23,17)))+((W1324="")*(INDEX(Setup!$M$6:$M$23,17)="Y"))+((Y1324="")*(INDEX(Setup!$M$6:$M$23,17)="Y")))</f>
        <v/>
      </c>
      <c r="AC1324" s="90">
        <f>IF($B1324="","",IF(AB1324=0,"✓ covered","⚠ "&amp;AB1324&amp;IF(AB1324=1," gap"," gaps")))</f>
        <v/>
      </c>
    </row>
    <row r="1325" ht="17" customHeight="1">
      <c r="A1325" t="n">
        <v>27</v>
      </c>
      <c r="B1325" s="29">
        <f>IF(Setup!$K$23="","",Setup!$K$23)</f>
        <v/>
      </c>
      <c r="C1325" s="88" t="n"/>
      <c r="D1325" s="88" t="n"/>
      <c r="E1325" s="88" t="n"/>
      <c r="F1325" s="89" t="n"/>
      <c r="G1325" s="88" t="n"/>
      <c r="H1325" s="88" t="n"/>
      <c r="I1325" s="88" t="n"/>
      <c r="J1325" s="89" t="n"/>
      <c r="K1325" s="88" t="n"/>
      <c r="L1325" s="88" t="n"/>
      <c r="M1325" s="88" t="n"/>
      <c r="N1325" s="89" t="n"/>
      <c r="O1325" s="88" t="n"/>
      <c r="P1325" s="88" t="n"/>
      <c r="Q1325" s="88" t="n"/>
      <c r="R1325" s="89" t="n"/>
      <c r="S1325" s="88" t="n"/>
      <c r="T1325" s="88" t="n"/>
      <c r="U1325" s="88" t="n"/>
      <c r="V1325" s="89" t="n"/>
      <c r="W1325" s="88" t="n"/>
      <c r="X1325" s="89" t="n"/>
      <c r="Y1325" s="88" t="n"/>
      <c r="Z1325" s="89" t="n"/>
      <c r="AB1325" s="30">
        <f>IF($B1325="","",(COUNTIF(C1325:E1325,"?*")&lt;N(INDEX(Setup!$L$6:$L$23,18)))+(COUNTIF(G1325:I1325,"?*")&lt;N(INDEX(Setup!$L$6:$L$23,18)))+(COUNTIF(K1325:M1325,"?*")&lt;N(INDEX(Setup!$L$6:$L$23,18)))+(COUNTIF(O1325:Q1325,"?*")&lt;N(INDEX(Setup!$L$6:$L$23,18)))+(COUNTIF(S1325:U1325,"?*")&lt;N(INDEX(Setup!$L$6:$L$23,18)))+((W1325="")*(INDEX(Setup!$M$6:$M$23,18)="Y"))+((Y1325="")*(INDEX(Setup!$M$6:$M$23,18)="Y")))</f>
        <v/>
      </c>
      <c r="AC1325" s="91">
        <f>IF($B1325="","",IF(AB1325=0,"✓ covered","⚠ "&amp;AB1325&amp;IF(AB1325=1," gap"," gaps")))</f>
        <v/>
      </c>
    </row>
    <row r="1326" ht="18" customHeight="1">
      <c r="A1326" t="n">
        <v>27</v>
      </c>
      <c r="B1326" s="78" t="inlineStr">
        <is>
          <t>TEAM AVAILABILITY</t>
        </is>
      </c>
      <c r="C1326" s="92" t="inlineStr">
        <is>
          <t>Mon</t>
        </is>
      </c>
      <c r="D1326" s="93" t="n"/>
      <c r="E1326" s="93" t="n"/>
      <c r="F1326" s="94" t="n"/>
      <c r="G1326" s="92" t="inlineStr">
        <is>
          <t>Tue</t>
        </is>
      </c>
      <c r="H1326" s="93" t="n"/>
      <c r="I1326" s="93" t="n"/>
      <c r="J1326" s="94" t="n"/>
      <c r="K1326" s="92" t="inlineStr">
        <is>
          <t>Wed</t>
        </is>
      </c>
      <c r="L1326" s="93" t="n"/>
      <c r="M1326" s="93" t="n"/>
      <c r="N1326" s="94" t="n"/>
      <c r="O1326" s="92" t="inlineStr">
        <is>
          <t>Thu</t>
        </is>
      </c>
      <c r="P1326" s="93" t="n"/>
      <c r="Q1326" s="93" t="n"/>
      <c r="R1326" s="94" t="n"/>
      <c r="S1326" s="92" t="inlineStr">
        <is>
          <t>Fri</t>
        </is>
      </c>
      <c r="T1326" s="93" t="n"/>
      <c r="U1326" s="93" t="n"/>
      <c r="V1326" s="94" t="n"/>
      <c r="W1326" s="95" t="inlineStr">
        <is>
          <t>Sat</t>
        </is>
      </c>
      <c r="X1326" s="96" t="n"/>
      <c r="Y1326" s="95" t="inlineStr">
        <is>
          <t>Sun</t>
        </is>
      </c>
      <c r="Z1326" s="96" t="n"/>
      <c r="AB1326" s="97" t="inlineStr">
        <is>
          <t>Days rostered</t>
        </is>
      </c>
      <c r="AC1326" s="97" t="inlineStr">
        <is>
          <t>Conflicts</t>
        </is>
      </c>
    </row>
    <row r="1327" ht="15" customHeight="1">
      <c r="A1327" t="n">
        <v>27</v>
      </c>
      <c r="B1327" s="35">
        <f>IF(Setup!$B$6="","",Setup!$B$6)</f>
        <v/>
      </c>
      <c r="C1327" s="98" t="inlineStr">
        <is>
          <t>AL</t>
        </is>
      </c>
      <c r="D1327" s="99" t="n"/>
      <c r="E1327" s="99" t="n"/>
      <c r="F1327" s="100" t="n"/>
      <c r="G1327" s="98" t="n"/>
      <c r="H1327" s="99" t="n"/>
      <c r="I1327" s="99" t="n"/>
      <c r="J1327" s="100" t="n"/>
      <c r="K1327" s="98" t="n"/>
      <c r="L1327" s="99" t="n"/>
      <c r="M1327" s="99" t="n"/>
      <c r="N1327" s="100" t="n"/>
      <c r="O1327" s="98" t="n"/>
      <c r="P1327" s="99" t="n"/>
      <c r="Q1327" s="99" t="n"/>
      <c r="R1327" s="100" t="n"/>
      <c r="S1327" s="98" t="n"/>
      <c r="T1327" s="99" t="n"/>
      <c r="U1327" s="99" t="n"/>
      <c r="V1327" s="100" t="n"/>
      <c r="W1327" s="98" t="n"/>
      <c r="X1327" s="100" t="n"/>
      <c r="Y1327" s="98" t="n"/>
      <c r="Z1327" s="100" t="n"/>
      <c r="AB1327" s="101">
        <f>IF($B1327="","",(COUNTIF(C1308:E1325,$B1327)+COUNTIF(C1308:E1325,$B1327&amp;" ~*")&gt;0)+(COUNTIF(G1308:I1325,$B1327)+COUNTIF(G1308:I1325,$B1327&amp;" ~*")&gt;0)+(COUNTIF(K1308:M1325,$B1327)+COUNTIF(K1308:M1325,$B1327&amp;" ~*")&gt;0)+(COUNTIF(O1308:Q1325,$B1327)+COUNTIF(O1308:Q1325,$B1327&amp;" ~*")&gt;0)+(COUNTIF(S1308:U1325,$B1327)+COUNTIF(S1308:U1325,$B1327&amp;" ~*")&gt;0)+(COUNTIF(W1308:W1325,$B1327)+COUNTIF(W1308:W1325,$B1327&amp;" ~*")&gt;0)+(COUNTIF(Y1308:Y1325,$B1327)+COUNTIF(Y1308:Y1325,$B1327&amp;" ~*")&gt;0))</f>
        <v/>
      </c>
      <c r="AC1327" s="36">
        <f>IF($B1327="","",(IFERROR(INDEX(Setup!$G$33:$G$40,MATCH(C1327,Setup!$B$33:$B$40,0)),0)=1)*(COUNTIF(C1308:E1325,$B1327)+COUNTIF(C1308:E1325,$B1327&amp;" ~*")&gt;0)+(IFERROR(INDEX(Setup!$G$33:$G$40,MATCH(G1327,Setup!$B$33:$B$40,0)),0)=1)*(COUNTIF(G1308:I1325,$B1327)+COUNTIF(G1308:I1325,$B1327&amp;" ~*")&gt;0)+(IFERROR(INDEX(Setup!$G$33:$G$40,MATCH(K1327,Setup!$B$33:$B$40,0)),0)=1)*(COUNTIF(K1308:M1325,$B1327)+COUNTIF(K1308:M1325,$B1327&amp;" ~*")&gt;0)+(IFERROR(INDEX(Setup!$G$33:$G$40,MATCH(O1327,Setup!$B$33:$B$40,0)),0)=1)*(COUNTIF(O1308:Q1325,$B1327)+COUNTIF(O1308:Q1325,$B1327&amp;" ~*")&gt;0)+(IFERROR(INDEX(Setup!$G$33:$G$40,MATCH(S1327,Setup!$B$33:$B$40,0)),0)=1)*(COUNTIF(S1308:U1325,$B1327)+COUNTIF(S1308:U1325,$B1327&amp;" ~*")&gt;0)+(IFERROR(INDEX(Setup!$G$33:$G$40,MATCH(W1327,Setup!$B$33:$B$40,0)),0)=1)*(COUNTIF(W1308:W1325,$B1327)+COUNTIF(W1308:W1325,$B1327&amp;" ~*")&gt;0)+(IFERROR(INDEX(Setup!$G$33:$G$40,MATCH(Y1327,Setup!$B$33:$B$40,0)),0)=1)*(COUNTIF(Y1308:Y1325,$B1327)+COUNTIF(Y1308:Y1325,$B1327&amp;" ~*")&gt;0))</f>
        <v/>
      </c>
    </row>
    <row r="1328" ht="15" customHeight="1">
      <c r="A1328" t="n">
        <v>27</v>
      </c>
      <c r="B1328" s="37">
        <f>IF(Setup!$B$7="","",Setup!$B$7)</f>
        <v/>
      </c>
      <c r="C1328" s="102" t="n"/>
      <c r="D1328" s="103" t="n"/>
      <c r="E1328" s="103" t="n"/>
      <c r="F1328" s="104" t="n"/>
      <c r="G1328" s="102" t="n"/>
      <c r="H1328" s="103" t="n"/>
      <c r="I1328" s="103" t="n"/>
      <c r="J1328" s="104" t="n"/>
      <c r="K1328" s="102" t="n"/>
      <c r="L1328" s="103" t="n"/>
      <c r="M1328" s="103" t="n"/>
      <c r="N1328" s="104" t="n"/>
      <c r="O1328" s="102" t="n"/>
      <c r="P1328" s="103" t="n"/>
      <c r="Q1328" s="103" t="n"/>
      <c r="R1328" s="104" t="n"/>
      <c r="S1328" s="102" t="n"/>
      <c r="T1328" s="103" t="n"/>
      <c r="U1328" s="103" t="n"/>
      <c r="V1328" s="104" t="n"/>
      <c r="W1328" s="102" t="n"/>
      <c r="X1328" s="104" t="n"/>
      <c r="Y1328" s="102" t="n"/>
      <c r="Z1328" s="104" t="n"/>
      <c r="AB1328" s="105">
        <f>IF($B1328="","",(COUNTIF(C1308:E1325,$B1328)+COUNTIF(C1308:E1325,$B1328&amp;" ~*")&gt;0)+(COUNTIF(G1308:I1325,$B1328)+COUNTIF(G1308:I1325,$B1328&amp;" ~*")&gt;0)+(COUNTIF(K1308:M1325,$B1328)+COUNTIF(K1308:M1325,$B1328&amp;" ~*")&gt;0)+(COUNTIF(O1308:Q1325,$B1328)+COUNTIF(O1308:Q1325,$B1328&amp;" ~*")&gt;0)+(COUNTIF(S1308:U1325,$B1328)+COUNTIF(S1308:U1325,$B1328&amp;" ~*")&gt;0)+(COUNTIF(W1308:W1325,$B1328)+COUNTIF(W1308:W1325,$B1328&amp;" ~*")&gt;0)+(COUNTIF(Y1308:Y1325,$B1328)+COUNTIF(Y1308:Y1325,$B1328&amp;" ~*")&gt;0))</f>
        <v/>
      </c>
      <c r="AC1328" s="38">
        <f>IF($B1328="","",(IFERROR(INDEX(Setup!$G$33:$G$40,MATCH(C1328,Setup!$B$33:$B$40,0)),0)=1)*(COUNTIF(C1308:E1325,$B1328)+COUNTIF(C1308:E1325,$B1328&amp;" ~*")&gt;0)+(IFERROR(INDEX(Setup!$G$33:$G$40,MATCH(G1328,Setup!$B$33:$B$40,0)),0)=1)*(COUNTIF(G1308:I1325,$B1328)+COUNTIF(G1308:I1325,$B1328&amp;" ~*")&gt;0)+(IFERROR(INDEX(Setup!$G$33:$G$40,MATCH(K1328,Setup!$B$33:$B$40,0)),0)=1)*(COUNTIF(K1308:M1325,$B1328)+COUNTIF(K1308:M1325,$B1328&amp;" ~*")&gt;0)+(IFERROR(INDEX(Setup!$G$33:$G$40,MATCH(O1328,Setup!$B$33:$B$40,0)),0)=1)*(COUNTIF(O1308:Q1325,$B1328)+COUNTIF(O1308:Q1325,$B1328&amp;" ~*")&gt;0)+(IFERROR(INDEX(Setup!$G$33:$G$40,MATCH(S1328,Setup!$B$33:$B$40,0)),0)=1)*(COUNTIF(S1308:U1325,$B1328)+COUNTIF(S1308:U1325,$B1328&amp;" ~*")&gt;0)+(IFERROR(INDEX(Setup!$G$33:$G$40,MATCH(W1328,Setup!$B$33:$B$40,0)),0)=1)*(COUNTIF(W1308:W1325,$B1328)+COUNTIF(W1308:W1325,$B1328&amp;" ~*")&gt;0)+(IFERROR(INDEX(Setup!$G$33:$G$40,MATCH(Y1328,Setup!$B$33:$B$40,0)),0)=1)*(COUNTIF(Y1308:Y1325,$B1328)+COUNTIF(Y1308:Y1325,$B1328&amp;" ~*")&gt;0))</f>
        <v/>
      </c>
    </row>
    <row r="1329" ht="15" customHeight="1">
      <c r="A1329" t="n">
        <v>27</v>
      </c>
      <c r="B1329" s="35">
        <f>IF(Setup!$B$8="","",Setup!$B$8)</f>
        <v/>
      </c>
      <c r="C1329" s="98" t="n"/>
      <c r="D1329" s="99" t="n"/>
      <c r="E1329" s="99" t="n"/>
      <c r="F1329" s="100" t="n"/>
      <c r="G1329" s="98" t="n"/>
      <c r="H1329" s="99" t="n"/>
      <c r="I1329" s="99" t="n"/>
      <c r="J1329" s="100" t="n"/>
      <c r="K1329" s="98" t="n"/>
      <c r="L1329" s="99" t="n"/>
      <c r="M1329" s="99" t="n"/>
      <c r="N1329" s="100" t="n"/>
      <c r="O1329" s="98" t="n"/>
      <c r="P1329" s="99" t="n"/>
      <c r="Q1329" s="99" t="n"/>
      <c r="R1329" s="100" t="n"/>
      <c r="S1329" s="98" t="n"/>
      <c r="T1329" s="99" t="n"/>
      <c r="U1329" s="99" t="n"/>
      <c r="V1329" s="100" t="n"/>
      <c r="W1329" s="98" t="n"/>
      <c r="X1329" s="100" t="n"/>
      <c r="Y1329" s="98" t="n"/>
      <c r="Z1329" s="100" t="n"/>
      <c r="AB1329" s="101">
        <f>IF($B1329="","",(COUNTIF(C1308:E1325,$B1329)+COUNTIF(C1308:E1325,$B1329&amp;" ~*")&gt;0)+(COUNTIF(G1308:I1325,$B1329)+COUNTIF(G1308:I1325,$B1329&amp;" ~*")&gt;0)+(COUNTIF(K1308:M1325,$B1329)+COUNTIF(K1308:M1325,$B1329&amp;" ~*")&gt;0)+(COUNTIF(O1308:Q1325,$B1329)+COUNTIF(O1308:Q1325,$B1329&amp;" ~*")&gt;0)+(COUNTIF(S1308:U1325,$B1329)+COUNTIF(S1308:U1325,$B1329&amp;" ~*")&gt;0)+(COUNTIF(W1308:W1325,$B1329)+COUNTIF(W1308:W1325,$B1329&amp;" ~*")&gt;0)+(COUNTIF(Y1308:Y1325,$B1329)+COUNTIF(Y1308:Y1325,$B1329&amp;" ~*")&gt;0))</f>
        <v/>
      </c>
      <c r="AC1329" s="36">
        <f>IF($B1329="","",(IFERROR(INDEX(Setup!$G$33:$G$40,MATCH(C1329,Setup!$B$33:$B$40,0)),0)=1)*(COUNTIF(C1308:E1325,$B1329)+COUNTIF(C1308:E1325,$B1329&amp;" ~*")&gt;0)+(IFERROR(INDEX(Setup!$G$33:$G$40,MATCH(G1329,Setup!$B$33:$B$40,0)),0)=1)*(COUNTIF(G1308:I1325,$B1329)+COUNTIF(G1308:I1325,$B1329&amp;" ~*")&gt;0)+(IFERROR(INDEX(Setup!$G$33:$G$40,MATCH(K1329,Setup!$B$33:$B$40,0)),0)=1)*(COUNTIF(K1308:M1325,$B1329)+COUNTIF(K1308:M1325,$B1329&amp;" ~*")&gt;0)+(IFERROR(INDEX(Setup!$G$33:$G$40,MATCH(O1329,Setup!$B$33:$B$40,0)),0)=1)*(COUNTIF(O1308:Q1325,$B1329)+COUNTIF(O1308:Q1325,$B1329&amp;" ~*")&gt;0)+(IFERROR(INDEX(Setup!$G$33:$G$40,MATCH(S1329,Setup!$B$33:$B$40,0)),0)=1)*(COUNTIF(S1308:U1325,$B1329)+COUNTIF(S1308:U1325,$B1329&amp;" ~*")&gt;0)+(IFERROR(INDEX(Setup!$G$33:$G$40,MATCH(W1329,Setup!$B$33:$B$40,0)),0)=1)*(COUNTIF(W1308:W1325,$B1329)+COUNTIF(W1308:W1325,$B1329&amp;" ~*")&gt;0)+(IFERROR(INDEX(Setup!$G$33:$G$40,MATCH(Y1329,Setup!$B$33:$B$40,0)),0)=1)*(COUNTIF(Y1308:Y1325,$B1329)+COUNTIF(Y1308:Y1325,$B1329&amp;" ~*")&gt;0))</f>
        <v/>
      </c>
    </row>
    <row r="1330" ht="15" customHeight="1">
      <c r="A1330" t="n">
        <v>27</v>
      </c>
      <c r="B1330" s="37">
        <f>IF(Setup!$B$9="","",Setup!$B$9)</f>
        <v/>
      </c>
      <c r="C1330" s="102" t="n"/>
      <c r="D1330" s="103" t="n"/>
      <c r="E1330" s="103" t="n"/>
      <c r="F1330" s="104" t="n"/>
      <c r="G1330" s="102" t="n"/>
      <c r="H1330" s="103" t="n"/>
      <c r="I1330" s="103" t="n"/>
      <c r="J1330" s="104" t="n"/>
      <c r="K1330" s="102" t="n"/>
      <c r="L1330" s="103" t="n"/>
      <c r="M1330" s="103" t="n"/>
      <c r="N1330" s="104" t="n"/>
      <c r="O1330" s="102" t="n"/>
      <c r="P1330" s="103" t="n"/>
      <c r="Q1330" s="103" t="n"/>
      <c r="R1330" s="104" t="n"/>
      <c r="S1330" s="102" t="n"/>
      <c r="T1330" s="103" t="n"/>
      <c r="U1330" s="103" t="n"/>
      <c r="V1330" s="104" t="n"/>
      <c r="W1330" s="102" t="n"/>
      <c r="X1330" s="104" t="n"/>
      <c r="Y1330" s="102" t="n"/>
      <c r="Z1330" s="104" t="n"/>
      <c r="AB1330" s="105">
        <f>IF($B1330="","",(COUNTIF(C1308:E1325,$B1330)+COUNTIF(C1308:E1325,$B1330&amp;" ~*")&gt;0)+(COUNTIF(G1308:I1325,$B1330)+COUNTIF(G1308:I1325,$B1330&amp;" ~*")&gt;0)+(COUNTIF(K1308:M1325,$B1330)+COUNTIF(K1308:M1325,$B1330&amp;" ~*")&gt;0)+(COUNTIF(O1308:Q1325,$B1330)+COUNTIF(O1308:Q1325,$B1330&amp;" ~*")&gt;0)+(COUNTIF(S1308:U1325,$B1330)+COUNTIF(S1308:U1325,$B1330&amp;" ~*")&gt;0)+(COUNTIF(W1308:W1325,$B1330)+COUNTIF(W1308:W1325,$B1330&amp;" ~*")&gt;0)+(COUNTIF(Y1308:Y1325,$B1330)+COUNTIF(Y1308:Y1325,$B1330&amp;" ~*")&gt;0))</f>
        <v/>
      </c>
      <c r="AC1330" s="38">
        <f>IF($B1330="","",(IFERROR(INDEX(Setup!$G$33:$G$40,MATCH(C1330,Setup!$B$33:$B$40,0)),0)=1)*(COUNTIF(C1308:E1325,$B1330)+COUNTIF(C1308:E1325,$B1330&amp;" ~*")&gt;0)+(IFERROR(INDEX(Setup!$G$33:$G$40,MATCH(G1330,Setup!$B$33:$B$40,0)),0)=1)*(COUNTIF(G1308:I1325,$B1330)+COUNTIF(G1308:I1325,$B1330&amp;" ~*")&gt;0)+(IFERROR(INDEX(Setup!$G$33:$G$40,MATCH(K1330,Setup!$B$33:$B$40,0)),0)=1)*(COUNTIF(K1308:M1325,$B1330)+COUNTIF(K1308:M1325,$B1330&amp;" ~*")&gt;0)+(IFERROR(INDEX(Setup!$G$33:$G$40,MATCH(O1330,Setup!$B$33:$B$40,0)),0)=1)*(COUNTIF(O1308:Q1325,$B1330)+COUNTIF(O1308:Q1325,$B1330&amp;" ~*")&gt;0)+(IFERROR(INDEX(Setup!$G$33:$G$40,MATCH(S1330,Setup!$B$33:$B$40,0)),0)=1)*(COUNTIF(S1308:U1325,$B1330)+COUNTIF(S1308:U1325,$B1330&amp;" ~*")&gt;0)+(IFERROR(INDEX(Setup!$G$33:$G$40,MATCH(W1330,Setup!$B$33:$B$40,0)),0)=1)*(COUNTIF(W1308:W1325,$B1330)+COUNTIF(W1308:W1325,$B1330&amp;" ~*")&gt;0)+(IFERROR(INDEX(Setup!$G$33:$G$40,MATCH(Y1330,Setup!$B$33:$B$40,0)),0)=1)*(COUNTIF(Y1308:Y1325,$B1330)+COUNTIF(Y1308:Y1325,$B1330&amp;" ~*")&gt;0))</f>
        <v/>
      </c>
    </row>
    <row r="1331" ht="15" customHeight="1">
      <c r="A1331" t="n">
        <v>27</v>
      </c>
      <c r="B1331" s="35">
        <f>IF(Setup!$B$10="","",Setup!$B$10)</f>
        <v/>
      </c>
      <c r="C1331" s="98" t="n"/>
      <c r="D1331" s="99" t="n"/>
      <c r="E1331" s="99" t="n"/>
      <c r="F1331" s="100" t="n"/>
      <c r="G1331" s="98" t="n"/>
      <c r="H1331" s="99" t="n"/>
      <c r="I1331" s="99" t="n"/>
      <c r="J1331" s="100" t="n"/>
      <c r="K1331" s="98" t="n"/>
      <c r="L1331" s="99" t="n"/>
      <c r="M1331" s="99" t="n"/>
      <c r="N1331" s="100" t="n"/>
      <c r="O1331" s="98" t="n"/>
      <c r="P1331" s="99" t="n"/>
      <c r="Q1331" s="99" t="n"/>
      <c r="R1331" s="100" t="n"/>
      <c r="S1331" s="98" t="n"/>
      <c r="T1331" s="99" t="n"/>
      <c r="U1331" s="99" t="n"/>
      <c r="V1331" s="100" t="n"/>
      <c r="W1331" s="98" t="n"/>
      <c r="X1331" s="100" t="n"/>
      <c r="Y1331" s="98" t="n"/>
      <c r="Z1331" s="100" t="n"/>
      <c r="AB1331" s="101">
        <f>IF($B1331="","",(COUNTIF(C1308:E1325,$B1331)+COUNTIF(C1308:E1325,$B1331&amp;" ~*")&gt;0)+(COUNTIF(G1308:I1325,$B1331)+COUNTIF(G1308:I1325,$B1331&amp;" ~*")&gt;0)+(COUNTIF(K1308:M1325,$B1331)+COUNTIF(K1308:M1325,$B1331&amp;" ~*")&gt;0)+(COUNTIF(O1308:Q1325,$B1331)+COUNTIF(O1308:Q1325,$B1331&amp;" ~*")&gt;0)+(COUNTIF(S1308:U1325,$B1331)+COUNTIF(S1308:U1325,$B1331&amp;" ~*")&gt;0)+(COUNTIF(W1308:W1325,$B1331)+COUNTIF(W1308:W1325,$B1331&amp;" ~*")&gt;0)+(COUNTIF(Y1308:Y1325,$B1331)+COUNTIF(Y1308:Y1325,$B1331&amp;" ~*")&gt;0))</f>
        <v/>
      </c>
      <c r="AC1331" s="36">
        <f>IF($B1331="","",(IFERROR(INDEX(Setup!$G$33:$G$40,MATCH(C1331,Setup!$B$33:$B$40,0)),0)=1)*(COUNTIF(C1308:E1325,$B1331)+COUNTIF(C1308:E1325,$B1331&amp;" ~*")&gt;0)+(IFERROR(INDEX(Setup!$G$33:$G$40,MATCH(G1331,Setup!$B$33:$B$40,0)),0)=1)*(COUNTIF(G1308:I1325,$B1331)+COUNTIF(G1308:I1325,$B1331&amp;" ~*")&gt;0)+(IFERROR(INDEX(Setup!$G$33:$G$40,MATCH(K1331,Setup!$B$33:$B$40,0)),0)=1)*(COUNTIF(K1308:M1325,$B1331)+COUNTIF(K1308:M1325,$B1331&amp;" ~*")&gt;0)+(IFERROR(INDEX(Setup!$G$33:$G$40,MATCH(O1331,Setup!$B$33:$B$40,0)),0)=1)*(COUNTIF(O1308:Q1325,$B1331)+COUNTIF(O1308:Q1325,$B1331&amp;" ~*")&gt;0)+(IFERROR(INDEX(Setup!$G$33:$G$40,MATCH(S1331,Setup!$B$33:$B$40,0)),0)=1)*(COUNTIF(S1308:U1325,$B1331)+COUNTIF(S1308:U1325,$B1331&amp;" ~*")&gt;0)+(IFERROR(INDEX(Setup!$G$33:$G$40,MATCH(W1331,Setup!$B$33:$B$40,0)),0)=1)*(COUNTIF(W1308:W1325,$B1331)+COUNTIF(W1308:W1325,$B1331&amp;" ~*")&gt;0)+(IFERROR(INDEX(Setup!$G$33:$G$40,MATCH(Y1331,Setup!$B$33:$B$40,0)),0)=1)*(COUNTIF(Y1308:Y1325,$B1331)+COUNTIF(Y1308:Y1325,$B1331&amp;" ~*")&gt;0))</f>
        <v/>
      </c>
    </row>
    <row r="1332" ht="15" customHeight="1">
      <c r="A1332" t="n">
        <v>27</v>
      </c>
      <c r="B1332" s="37">
        <f>IF(Setup!$B$11="","",Setup!$B$11)</f>
        <v/>
      </c>
      <c r="C1332" s="102" t="n"/>
      <c r="D1332" s="103" t="n"/>
      <c r="E1332" s="103" t="n"/>
      <c r="F1332" s="104" t="n"/>
      <c r="G1332" s="102" t="n"/>
      <c r="H1332" s="103" t="n"/>
      <c r="I1332" s="103" t="n"/>
      <c r="J1332" s="104" t="n"/>
      <c r="K1332" s="102" t="n"/>
      <c r="L1332" s="103" t="n"/>
      <c r="M1332" s="103" t="n"/>
      <c r="N1332" s="104" t="n"/>
      <c r="O1332" s="102" t="n"/>
      <c r="P1332" s="103" t="n"/>
      <c r="Q1332" s="103" t="n"/>
      <c r="R1332" s="104" t="n"/>
      <c r="S1332" s="102" t="n"/>
      <c r="T1332" s="103" t="n"/>
      <c r="U1332" s="103" t="n"/>
      <c r="V1332" s="104" t="n"/>
      <c r="W1332" s="102" t="n"/>
      <c r="X1332" s="104" t="n"/>
      <c r="Y1332" s="102" t="n"/>
      <c r="Z1332" s="104" t="n"/>
      <c r="AB1332" s="105">
        <f>IF($B1332="","",(COUNTIF(C1308:E1325,$B1332)+COUNTIF(C1308:E1325,$B1332&amp;" ~*")&gt;0)+(COUNTIF(G1308:I1325,$B1332)+COUNTIF(G1308:I1325,$B1332&amp;" ~*")&gt;0)+(COUNTIF(K1308:M1325,$B1332)+COUNTIF(K1308:M1325,$B1332&amp;" ~*")&gt;0)+(COUNTIF(O1308:Q1325,$B1332)+COUNTIF(O1308:Q1325,$B1332&amp;" ~*")&gt;0)+(COUNTIF(S1308:U1325,$B1332)+COUNTIF(S1308:U1325,$B1332&amp;" ~*")&gt;0)+(COUNTIF(W1308:W1325,$B1332)+COUNTIF(W1308:W1325,$B1332&amp;" ~*")&gt;0)+(COUNTIF(Y1308:Y1325,$B1332)+COUNTIF(Y1308:Y1325,$B1332&amp;" ~*")&gt;0))</f>
        <v/>
      </c>
      <c r="AC1332" s="38">
        <f>IF($B1332="","",(IFERROR(INDEX(Setup!$G$33:$G$40,MATCH(C1332,Setup!$B$33:$B$40,0)),0)=1)*(COUNTIF(C1308:E1325,$B1332)+COUNTIF(C1308:E1325,$B1332&amp;" ~*")&gt;0)+(IFERROR(INDEX(Setup!$G$33:$G$40,MATCH(G1332,Setup!$B$33:$B$40,0)),0)=1)*(COUNTIF(G1308:I1325,$B1332)+COUNTIF(G1308:I1325,$B1332&amp;" ~*")&gt;0)+(IFERROR(INDEX(Setup!$G$33:$G$40,MATCH(K1332,Setup!$B$33:$B$40,0)),0)=1)*(COUNTIF(K1308:M1325,$B1332)+COUNTIF(K1308:M1325,$B1332&amp;" ~*")&gt;0)+(IFERROR(INDEX(Setup!$G$33:$G$40,MATCH(O1332,Setup!$B$33:$B$40,0)),0)=1)*(COUNTIF(O1308:Q1325,$B1332)+COUNTIF(O1308:Q1325,$B1332&amp;" ~*")&gt;0)+(IFERROR(INDEX(Setup!$G$33:$G$40,MATCH(S1332,Setup!$B$33:$B$40,0)),0)=1)*(COUNTIF(S1308:U1325,$B1332)+COUNTIF(S1308:U1325,$B1332&amp;" ~*")&gt;0)+(IFERROR(INDEX(Setup!$G$33:$G$40,MATCH(W1332,Setup!$B$33:$B$40,0)),0)=1)*(COUNTIF(W1308:W1325,$B1332)+COUNTIF(W1308:W1325,$B1332&amp;" ~*")&gt;0)+(IFERROR(INDEX(Setup!$G$33:$G$40,MATCH(Y1332,Setup!$B$33:$B$40,0)),0)=1)*(COUNTIF(Y1308:Y1325,$B1332)+COUNTIF(Y1308:Y1325,$B1332&amp;" ~*")&gt;0))</f>
        <v/>
      </c>
    </row>
    <row r="1333" ht="15" customHeight="1">
      <c r="A1333" t="n">
        <v>27</v>
      </c>
      <c r="B1333" s="35">
        <f>IF(Setup!$B$12="","",Setup!$B$12)</f>
        <v/>
      </c>
      <c r="C1333" s="98" t="n"/>
      <c r="D1333" s="99" t="n"/>
      <c r="E1333" s="99" t="n"/>
      <c r="F1333" s="100" t="n"/>
      <c r="G1333" s="98" t="n"/>
      <c r="H1333" s="99" t="n"/>
      <c r="I1333" s="99" t="n"/>
      <c r="J1333" s="100" t="n"/>
      <c r="K1333" s="98" t="n"/>
      <c r="L1333" s="99" t="n"/>
      <c r="M1333" s="99" t="n"/>
      <c r="N1333" s="100" t="n"/>
      <c r="O1333" s="98" t="n"/>
      <c r="P1333" s="99" t="n"/>
      <c r="Q1333" s="99" t="n"/>
      <c r="R1333" s="100" t="n"/>
      <c r="S1333" s="98" t="n"/>
      <c r="T1333" s="99" t="n"/>
      <c r="U1333" s="99" t="n"/>
      <c r="V1333" s="100" t="n"/>
      <c r="W1333" s="98" t="n"/>
      <c r="X1333" s="100" t="n"/>
      <c r="Y1333" s="98" t="n"/>
      <c r="Z1333" s="100" t="n"/>
      <c r="AB1333" s="101">
        <f>IF($B1333="","",(COUNTIF(C1308:E1325,$B1333)+COUNTIF(C1308:E1325,$B1333&amp;" ~*")&gt;0)+(COUNTIF(G1308:I1325,$B1333)+COUNTIF(G1308:I1325,$B1333&amp;" ~*")&gt;0)+(COUNTIF(K1308:M1325,$B1333)+COUNTIF(K1308:M1325,$B1333&amp;" ~*")&gt;0)+(COUNTIF(O1308:Q1325,$B1333)+COUNTIF(O1308:Q1325,$B1333&amp;" ~*")&gt;0)+(COUNTIF(S1308:U1325,$B1333)+COUNTIF(S1308:U1325,$B1333&amp;" ~*")&gt;0)+(COUNTIF(W1308:W1325,$B1333)+COUNTIF(W1308:W1325,$B1333&amp;" ~*")&gt;0)+(COUNTIF(Y1308:Y1325,$B1333)+COUNTIF(Y1308:Y1325,$B1333&amp;" ~*")&gt;0))</f>
        <v/>
      </c>
      <c r="AC1333" s="36">
        <f>IF($B1333="","",(IFERROR(INDEX(Setup!$G$33:$G$40,MATCH(C1333,Setup!$B$33:$B$40,0)),0)=1)*(COUNTIF(C1308:E1325,$B1333)+COUNTIF(C1308:E1325,$B1333&amp;" ~*")&gt;0)+(IFERROR(INDEX(Setup!$G$33:$G$40,MATCH(G1333,Setup!$B$33:$B$40,0)),0)=1)*(COUNTIF(G1308:I1325,$B1333)+COUNTIF(G1308:I1325,$B1333&amp;" ~*")&gt;0)+(IFERROR(INDEX(Setup!$G$33:$G$40,MATCH(K1333,Setup!$B$33:$B$40,0)),0)=1)*(COUNTIF(K1308:M1325,$B1333)+COUNTIF(K1308:M1325,$B1333&amp;" ~*")&gt;0)+(IFERROR(INDEX(Setup!$G$33:$G$40,MATCH(O1333,Setup!$B$33:$B$40,0)),0)=1)*(COUNTIF(O1308:Q1325,$B1333)+COUNTIF(O1308:Q1325,$B1333&amp;" ~*")&gt;0)+(IFERROR(INDEX(Setup!$G$33:$G$40,MATCH(S1333,Setup!$B$33:$B$40,0)),0)=1)*(COUNTIF(S1308:U1325,$B1333)+COUNTIF(S1308:U1325,$B1333&amp;" ~*")&gt;0)+(IFERROR(INDEX(Setup!$G$33:$G$40,MATCH(W1333,Setup!$B$33:$B$40,0)),0)=1)*(COUNTIF(W1308:W1325,$B1333)+COUNTIF(W1308:W1325,$B1333&amp;" ~*")&gt;0)+(IFERROR(INDEX(Setup!$G$33:$G$40,MATCH(Y1333,Setup!$B$33:$B$40,0)),0)=1)*(COUNTIF(Y1308:Y1325,$B1333)+COUNTIF(Y1308:Y1325,$B1333&amp;" ~*")&gt;0))</f>
        <v/>
      </c>
    </row>
    <row r="1334" ht="15" customHeight="1">
      <c r="A1334" t="n">
        <v>27</v>
      </c>
      <c r="B1334" s="37">
        <f>IF(Setup!$B$13="","",Setup!$B$13)</f>
        <v/>
      </c>
      <c r="C1334" s="102" t="n"/>
      <c r="D1334" s="103" t="n"/>
      <c r="E1334" s="103" t="n"/>
      <c r="F1334" s="104" t="n"/>
      <c r="G1334" s="102" t="n"/>
      <c r="H1334" s="103" t="n"/>
      <c r="I1334" s="103" t="n"/>
      <c r="J1334" s="104" t="n"/>
      <c r="K1334" s="102" t="n"/>
      <c r="L1334" s="103" t="n"/>
      <c r="M1334" s="103" t="n"/>
      <c r="N1334" s="104" t="n"/>
      <c r="O1334" s="102" t="n"/>
      <c r="P1334" s="103" t="n"/>
      <c r="Q1334" s="103" t="n"/>
      <c r="R1334" s="104" t="n"/>
      <c r="S1334" s="102" t="n"/>
      <c r="T1334" s="103" t="n"/>
      <c r="U1334" s="103" t="n"/>
      <c r="V1334" s="104" t="n"/>
      <c r="W1334" s="102" t="n"/>
      <c r="X1334" s="104" t="n"/>
      <c r="Y1334" s="102" t="n"/>
      <c r="Z1334" s="104" t="n"/>
      <c r="AB1334" s="105">
        <f>IF($B1334="","",(COUNTIF(C1308:E1325,$B1334)+COUNTIF(C1308:E1325,$B1334&amp;" ~*")&gt;0)+(COUNTIF(G1308:I1325,$B1334)+COUNTIF(G1308:I1325,$B1334&amp;" ~*")&gt;0)+(COUNTIF(K1308:M1325,$B1334)+COUNTIF(K1308:M1325,$B1334&amp;" ~*")&gt;0)+(COUNTIF(O1308:Q1325,$B1334)+COUNTIF(O1308:Q1325,$B1334&amp;" ~*")&gt;0)+(COUNTIF(S1308:U1325,$B1334)+COUNTIF(S1308:U1325,$B1334&amp;" ~*")&gt;0)+(COUNTIF(W1308:W1325,$B1334)+COUNTIF(W1308:W1325,$B1334&amp;" ~*")&gt;0)+(COUNTIF(Y1308:Y1325,$B1334)+COUNTIF(Y1308:Y1325,$B1334&amp;" ~*")&gt;0))</f>
        <v/>
      </c>
      <c r="AC1334" s="38">
        <f>IF($B1334="","",(IFERROR(INDEX(Setup!$G$33:$G$40,MATCH(C1334,Setup!$B$33:$B$40,0)),0)=1)*(COUNTIF(C1308:E1325,$B1334)+COUNTIF(C1308:E1325,$B1334&amp;" ~*")&gt;0)+(IFERROR(INDEX(Setup!$G$33:$G$40,MATCH(G1334,Setup!$B$33:$B$40,0)),0)=1)*(COUNTIF(G1308:I1325,$B1334)+COUNTIF(G1308:I1325,$B1334&amp;" ~*")&gt;0)+(IFERROR(INDEX(Setup!$G$33:$G$40,MATCH(K1334,Setup!$B$33:$B$40,0)),0)=1)*(COUNTIF(K1308:M1325,$B1334)+COUNTIF(K1308:M1325,$B1334&amp;" ~*")&gt;0)+(IFERROR(INDEX(Setup!$G$33:$G$40,MATCH(O1334,Setup!$B$33:$B$40,0)),0)=1)*(COUNTIF(O1308:Q1325,$B1334)+COUNTIF(O1308:Q1325,$B1334&amp;" ~*")&gt;0)+(IFERROR(INDEX(Setup!$G$33:$G$40,MATCH(S1334,Setup!$B$33:$B$40,0)),0)=1)*(COUNTIF(S1308:U1325,$B1334)+COUNTIF(S1308:U1325,$B1334&amp;" ~*")&gt;0)+(IFERROR(INDEX(Setup!$G$33:$G$40,MATCH(W1334,Setup!$B$33:$B$40,0)),0)=1)*(COUNTIF(W1308:W1325,$B1334)+COUNTIF(W1308:W1325,$B1334&amp;" ~*")&gt;0)+(IFERROR(INDEX(Setup!$G$33:$G$40,MATCH(Y1334,Setup!$B$33:$B$40,0)),0)=1)*(COUNTIF(Y1308:Y1325,$B1334)+COUNTIF(Y1308:Y1325,$B1334&amp;" ~*")&gt;0))</f>
        <v/>
      </c>
    </row>
    <row r="1335" ht="15" customHeight="1">
      <c r="A1335" t="n">
        <v>27</v>
      </c>
      <c r="B1335" s="35">
        <f>IF(Setup!$B$14="","",Setup!$B$14)</f>
        <v/>
      </c>
      <c r="C1335" s="98" t="inlineStr">
        <is>
          <t>AL</t>
        </is>
      </c>
      <c r="D1335" s="99" t="n"/>
      <c r="E1335" s="99" t="n"/>
      <c r="F1335" s="100" t="n"/>
      <c r="G1335" s="98" t="n"/>
      <c r="H1335" s="99" t="n"/>
      <c r="I1335" s="99" t="n"/>
      <c r="J1335" s="100" t="n"/>
      <c r="K1335" s="98" t="n"/>
      <c r="L1335" s="99" t="n"/>
      <c r="M1335" s="99" t="n"/>
      <c r="N1335" s="100" t="n"/>
      <c r="O1335" s="98" t="n"/>
      <c r="P1335" s="99" t="n"/>
      <c r="Q1335" s="99" t="n"/>
      <c r="R1335" s="100" t="n"/>
      <c r="S1335" s="98" t="n"/>
      <c r="T1335" s="99" t="n"/>
      <c r="U1335" s="99" t="n"/>
      <c r="V1335" s="100" t="n"/>
      <c r="W1335" s="98" t="n"/>
      <c r="X1335" s="100" t="n"/>
      <c r="Y1335" s="98" t="n"/>
      <c r="Z1335" s="100" t="n"/>
      <c r="AB1335" s="101">
        <f>IF($B1335="","",(COUNTIF(C1308:E1325,$B1335)+COUNTIF(C1308:E1325,$B1335&amp;" ~*")&gt;0)+(COUNTIF(G1308:I1325,$B1335)+COUNTIF(G1308:I1325,$B1335&amp;" ~*")&gt;0)+(COUNTIF(K1308:M1325,$B1335)+COUNTIF(K1308:M1325,$B1335&amp;" ~*")&gt;0)+(COUNTIF(O1308:Q1325,$B1335)+COUNTIF(O1308:Q1325,$B1335&amp;" ~*")&gt;0)+(COUNTIF(S1308:U1325,$B1335)+COUNTIF(S1308:U1325,$B1335&amp;" ~*")&gt;0)+(COUNTIF(W1308:W1325,$B1335)+COUNTIF(W1308:W1325,$B1335&amp;" ~*")&gt;0)+(COUNTIF(Y1308:Y1325,$B1335)+COUNTIF(Y1308:Y1325,$B1335&amp;" ~*")&gt;0))</f>
        <v/>
      </c>
      <c r="AC1335" s="36">
        <f>IF($B1335="","",(IFERROR(INDEX(Setup!$G$33:$G$40,MATCH(C1335,Setup!$B$33:$B$40,0)),0)=1)*(COUNTIF(C1308:E1325,$B1335)+COUNTIF(C1308:E1325,$B1335&amp;" ~*")&gt;0)+(IFERROR(INDEX(Setup!$G$33:$G$40,MATCH(G1335,Setup!$B$33:$B$40,0)),0)=1)*(COUNTIF(G1308:I1325,$B1335)+COUNTIF(G1308:I1325,$B1335&amp;" ~*")&gt;0)+(IFERROR(INDEX(Setup!$G$33:$G$40,MATCH(K1335,Setup!$B$33:$B$40,0)),0)=1)*(COUNTIF(K1308:M1325,$B1335)+COUNTIF(K1308:M1325,$B1335&amp;" ~*")&gt;0)+(IFERROR(INDEX(Setup!$G$33:$G$40,MATCH(O1335,Setup!$B$33:$B$40,0)),0)=1)*(COUNTIF(O1308:Q1325,$B1335)+COUNTIF(O1308:Q1325,$B1335&amp;" ~*")&gt;0)+(IFERROR(INDEX(Setup!$G$33:$G$40,MATCH(S1335,Setup!$B$33:$B$40,0)),0)=1)*(COUNTIF(S1308:U1325,$B1335)+COUNTIF(S1308:U1325,$B1335&amp;" ~*")&gt;0)+(IFERROR(INDEX(Setup!$G$33:$G$40,MATCH(W1335,Setup!$B$33:$B$40,0)),0)=1)*(COUNTIF(W1308:W1325,$B1335)+COUNTIF(W1308:W1325,$B1335&amp;" ~*")&gt;0)+(IFERROR(INDEX(Setup!$G$33:$G$40,MATCH(Y1335,Setup!$B$33:$B$40,0)),0)=1)*(COUNTIF(Y1308:Y1325,$B1335)+COUNTIF(Y1308:Y1325,$B1335&amp;" ~*")&gt;0))</f>
        <v/>
      </c>
    </row>
    <row r="1336" ht="15" customHeight="1">
      <c r="A1336" t="n">
        <v>27</v>
      </c>
      <c r="B1336" s="37">
        <f>IF(Setup!$B$15="","",Setup!$B$15)</f>
        <v/>
      </c>
      <c r="C1336" s="102" t="n"/>
      <c r="D1336" s="103" t="n"/>
      <c r="E1336" s="103" t="n"/>
      <c r="F1336" s="104" t="n"/>
      <c r="G1336" s="102" t="n"/>
      <c r="H1336" s="103" t="n"/>
      <c r="I1336" s="103" t="n"/>
      <c r="J1336" s="104" t="n"/>
      <c r="K1336" s="102" t="n"/>
      <c r="L1336" s="103" t="n"/>
      <c r="M1336" s="103" t="n"/>
      <c r="N1336" s="104" t="n"/>
      <c r="O1336" s="102" t="n"/>
      <c r="P1336" s="103" t="n"/>
      <c r="Q1336" s="103" t="n"/>
      <c r="R1336" s="104" t="n"/>
      <c r="S1336" s="102" t="n"/>
      <c r="T1336" s="103" t="n"/>
      <c r="U1336" s="103" t="n"/>
      <c r="V1336" s="104" t="n"/>
      <c r="W1336" s="102" t="n"/>
      <c r="X1336" s="104" t="n"/>
      <c r="Y1336" s="102" t="n"/>
      <c r="Z1336" s="104" t="n"/>
      <c r="AB1336" s="105">
        <f>IF($B1336="","",(COUNTIF(C1308:E1325,$B1336)+COUNTIF(C1308:E1325,$B1336&amp;" ~*")&gt;0)+(COUNTIF(G1308:I1325,$B1336)+COUNTIF(G1308:I1325,$B1336&amp;" ~*")&gt;0)+(COUNTIF(K1308:M1325,$B1336)+COUNTIF(K1308:M1325,$B1336&amp;" ~*")&gt;0)+(COUNTIF(O1308:Q1325,$B1336)+COUNTIF(O1308:Q1325,$B1336&amp;" ~*")&gt;0)+(COUNTIF(S1308:U1325,$B1336)+COUNTIF(S1308:U1325,$B1336&amp;" ~*")&gt;0)+(COUNTIF(W1308:W1325,$B1336)+COUNTIF(W1308:W1325,$B1336&amp;" ~*")&gt;0)+(COUNTIF(Y1308:Y1325,$B1336)+COUNTIF(Y1308:Y1325,$B1336&amp;" ~*")&gt;0))</f>
        <v/>
      </c>
      <c r="AC1336" s="38">
        <f>IF($B1336="","",(IFERROR(INDEX(Setup!$G$33:$G$40,MATCH(C1336,Setup!$B$33:$B$40,0)),0)=1)*(COUNTIF(C1308:E1325,$B1336)+COUNTIF(C1308:E1325,$B1336&amp;" ~*")&gt;0)+(IFERROR(INDEX(Setup!$G$33:$G$40,MATCH(G1336,Setup!$B$33:$B$40,0)),0)=1)*(COUNTIF(G1308:I1325,$B1336)+COUNTIF(G1308:I1325,$B1336&amp;" ~*")&gt;0)+(IFERROR(INDEX(Setup!$G$33:$G$40,MATCH(K1336,Setup!$B$33:$B$40,0)),0)=1)*(COUNTIF(K1308:M1325,$B1336)+COUNTIF(K1308:M1325,$B1336&amp;" ~*")&gt;0)+(IFERROR(INDEX(Setup!$G$33:$G$40,MATCH(O1336,Setup!$B$33:$B$40,0)),0)=1)*(COUNTIF(O1308:Q1325,$B1336)+COUNTIF(O1308:Q1325,$B1336&amp;" ~*")&gt;0)+(IFERROR(INDEX(Setup!$G$33:$G$40,MATCH(S1336,Setup!$B$33:$B$40,0)),0)=1)*(COUNTIF(S1308:U1325,$B1336)+COUNTIF(S1308:U1325,$B1336&amp;" ~*")&gt;0)+(IFERROR(INDEX(Setup!$G$33:$G$40,MATCH(W1336,Setup!$B$33:$B$40,0)),0)=1)*(COUNTIF(W1308:W1325,$B1336)+COUNTIF(W1308:W1325,$B1336&amp;" ~*")&gt;0)+(IFERROR(INDEX(Setup!$G$33:$G$40,MATCH(Y1336,Setup!$B$33:$B$40,0)),0)=1)*(COUNTIF(Y1308:Y1325,$B1336)+COUNTIF(Y1308:Y1325,$B1336&amp;" ~*")&gt;0))</f>
        <v/>
      </c>
    </row>
    <row r="1337" ht="15" customHeight="1">
      <c r="A1337" t="n">
        <v>27</v>
      </c>
      <c r="B1337" s="35">
        <f>IF(Setup!$B$16="","",Setup!$B$16)</f>
        <v/>
      </c>
      <c r="C1337" s="98" t="n"/>
      <c r="D1337" s="99" t="n"/>
      <c r="E1337" s="99" t="n"/>
      <c r="F1337" s="100" t="n"/>
      <c r="G1337" s="98" t="n"/>
      <c r="H1337" s="99" t="n"/>
      <c r="I1337" s="99" t="n"/>
      <c r="J1337" s="100" t="n"/>
      <c r="K1337" s="98" t="n"/>
      <c r="L1337" s="99" t="n"/>
      <c r="M1337" s="99" t="n"/>
      <c r="N1337" s="100" t="n"/>
      <c r="O1337" s="98" t="n"/>
      <c r="P1337" s="99" t="n"/>
      <c r="Q1337" s="99" t="n"/>
      <c r="R1337" s="100" t="n"/>
      <c r="S1337" s="98" t="n"/>
      <c r="T1337" s="99" t="n"/>
      <c r="U1337" s="99" t="n"/>
      <c r="V1337" s="100" t="n"/>
      <c r="W1337" s="98" t="n"/>
      <c r="X1337" s="100" t="n"/>
      <c r="Y1337" s="98" t="n"/>
      <c r="Z1337" s="100" t="n"/>
      <c r="AB1337" s="101">
        <f>IF($B1337="","",(COUNTIF(C1308:E1325,$B1337)+COUNTIF(C1308:E1325,$B1337&amp;" ~*")&gt;0)+(COUNTIF(G1308:I1325,$B1337)+COUNTIF(G1308:I1325,$B1337&amp;" ~*")&gt;0)+(COUNTIF(K1308:M1325,$B1337)+COUNTIF(K1308:M1325,$B1337&amp;" ~*")&gt;0)+(COUNTIF(O1308:Q1325,$B1337)+COUNTIF(O1308:Q1325,$B1337&amp;" ~*")&gt;0)+(COUNTIF(S1308:U1325,$B1337)+COUNTIF(S1308:U1325,$B1337&amp;" ~*")&gt;0)+(COUNTIF(W1308:W1325,$B1337)+COUNTIF(W1308:W1325,$B1337&amp;" ~*")&gt;0)+(COUNTIF(Y1308:Y1325,$B1337)+COUNTIF(Y1308:Y1325,$B1337&amp;" ~*")&gt;0))</f>
        <v/>
      </c>
      <c r="AC1337" s="36">
        <f>IF($B1337="","",(IFERROR(INDEX(Setup!$G$33:$G$40,MATCH(C1337,Setup!$B$33:$B$40,0)),0)=1)*(COUNTIF(C1308:E1325,$B1337)+COUNTIF(C1308:E1325,$B1337&amp;" ~*")&gt;0)+(IFERROR(INDEX(Setup!$G$33:$G$40,MATCH(G1337,Setup!$B$33:$B$40,0)),0)=1)*(COUNTIF(G1308:I1325,$B1337)+COUNTIF(G1308:I1325,$B1337&amp;" ~*")&gt;0)+(IFERROR(INDEX(Setup!$G$33:$G$40,MATCH(K1337,Setup!$B$33:$B$40,0)),0)=1)*(COUNTIF(K1308:M1325,$B1337)+COUNTIF(K1308:M1325,$B1337&amp;" ~*")&gt;0)+(IFERROR(INDEX(Setup!$G$33:$G$40,MATCH(O1337,Setup!$B$33:$B$40,0)),0)=1)*(COUNTIF(O1308:Q1325,$B1337)+COUNTIF(O1308:Q1325,$B1337&amp;" ~*")&gt;0)+(IFERROR(INDEX(Setup!$G$33:$G$40,MATCH(S1337,Setup!$B$33:$B$40,0)),0)=1)*(COUNTIF(S1308:U1325,$B1337)+COUNTIF(S1308:U1325,$B1337&amp;" ~*")&gt;0)+(IFERROR(INDEX(Setup!$G$33:$G$40,MATCH(W1337,Setup!$B$33:$B$40,0)),0)=1)*(COUNTIF(W1308:W1325,$B1337)+COUNTIF(W1308:W1325,$B1337&amp;" ~*")&gt;0)+(IFERROR(INDEX(Setup!$G$33:$G$40,MATCH(Y1337,Setup!$B$33:$B$40,0)),0)=1)*(COUNTIF(Y1308:Y1325,$B1337)+COUNTIF(Y1308:Y1325,$B1337&amp;" ~*")&gt;0))</f>
        <v/>
      </c>
    </row>
    <row r="1338" ht="15" customHeight="1">
      <c r="A1338" t="n">
        <v>27</v>
      </c>
      <c r="B1338" s="37">
        <f>IF(Setup!$B$17="","",Setup!$B$17)</f>
        <v/>
      </c>
      <c r="C1338" s="102" t="n"/>
      <c r="D1338" s="103" t="n"/>
      <c r="E1338" s="103" t="n"/>
      <c r="F1338" s="104" t="n"/>
      <c r="G1338" s="102" t="n"/>
      <c r="H1338" s="103" t="n"/>
      <c r="I1338" s="103" t="n"/>
      <c r="J1338" s="104" t="n"/>
      <c r="K1338" s="102" t="n"/>
      <c r="L1338" s="103" t="n"/>
      <c r="M1338" s="103" t="n"/>
      <c r="N1338" s="104" t="n"/>
      <c r="O1338" s="102" t="n"/>
      <c r="P1338" s="103" t="n"/>
      <c r="Q1338" s="103" t="n"/>
      <c r="R1338" s="104" t="n"/>
      <c r="S1338" s="102" t="n"/>
      <c r="T1338" s="103" t="n"/>
      <c r="U1338" s="103" t="n"/>
      <c r="V1338" s="104" t="n"/>
      <c r="W1338" s="102" t="n"/>
      <c r="X1338" s="104" t="n"/>
      <c r="Y1338" s="102" t="n"/>
      <c r="Z1338" s="104" t="n"/>
      <c r="AB1338" s="105">
        <f>IF($B1338="","",(COUNTIF(C1308:E1325,$B1338)+COUNTIF(C1308:E1325,$B1338&amp;" ~*")&gt;0)+(COUNTIF(G1308:I1325,$B1338)+COUNTIF(G1308:I1325,$B1338&amp;" ~*")&gt;0)+(COUNTIF(K1308:M1325,$B1338)+COUNTIF(K1308:M1325,$B1338&amp;" ~*")&gt;0)+(COUNTIF(O1308:Q1325,$B1338)+COUNTIF(O1308:Q1325,$B1338&amp;" ~*")&gt;0)+(COUNTIF(S1308:U1325,$B1338)+COUNTIF(S1308:U1325,$B1338&amp;" ~*")&gt;0)+(COUNTIF(W1308:W1325,$B1338)+COUNTIF(W1308:W1325,$B1338&amp;" ~*")&gt;0)+(COUNTIF(Y1308:Y1325,$B1338)+COUNTIF(Y1308:Y1325,$B1338&amp;" ~*")&gt;0))</f>
        <v/>
      </c>
      <c r="AC1338" s="38">
        <f>IF($B1338="","",(IFERROR(INDEX(Setup!$G$33:$G$40,MATCH(C1338,Setup!$B$33:$B$40,0)),0)=1)*(COUNTIF(C1308:E1325,$B1338)+COUNTIF(C1308:E1325,$B1338&amp;" ~*")&gt;0)+(IFERROR(INDEX(Setup!$G$33:$G$40,MATCH(G1338,Setup!$B$33:$B$40,0)),0)=1)*(COUNTIF(G1308:I1325,$B1338)+COUNTIF(G1308:I1325,$B1338&amp;" ~*")&gt;0)+(IFERROR(INDEX(Setup!$G$33:$G$40,MATCH(K1338,Setup!$B$33:$B$40,0)),0)=1)*(COUNTIF(K1308:M1325,$B1338)+COUNTIF(K1308:M1325,$B1338&amp;" ~*")&gt;0)+(IFERROR(INDEX(Setup!$G$33:$G$40,MATCH(O1338,Setup!$B$33:$B$40,0)),0)=1)*(COUNTIF(O1308:Q1325,$B1338)+COUNTIF(O1308:Q1325,$B1338&amp;" ~*")&gt;0)+(IFERROR(INDEX(Setup!$G$33:$G$40,MATCH(S1338,Setup!$B$33:$B$40,0)),0)=1)*(COUNTIF(S1308:U1325,$B1338)+COUNTIF(S1308:U1325,$B1338&amp;" ~*")&gt;0)+(IFERROR(INDEX(Setup!$G$33:$G$40,MATCH(W1338,Setup!$B$33:$B$40,0)),0)=1)*(COUNTIF(W1308:W1325,$B1338)+COUNTIF(W1308:W1325,$B1338&amp;" ~*")&gt;0)+(IFERROR(INDEX(Setup!$G$33:$G$40,MATCH(Y1338,Setup!$B$33:$B$40,0)),0)=1)*(COUNTIF(Y1308:Y1325,$B1338)+COUNTIF(Y1308:Y1325,$B1338&amp;" ~*")&gt;0))</f>
        <v/>
      </c>
    </row>
    <row r="1339" ht="15" customHeight="1">
      <c r="A1339" t="n">
        <v>27</v>
      </c>
      <c r="B1339" s="35">
        <f>IF(Setup!$B$18="","",Setup!$B$18)</f>
        <v/>
      </c>
      <c r="C1339" s="98" t="n"/>
      <c r="D1339" s="99" t="n"/>
      <c r="E1339" s="99" t="n"/>
      <c r="F1339" s="100" t="n"/>
      <c r="G1339" s="98" t="n"/>
      <c r="H1339" s="99" t="n"/>
      <c r="I1339" s="99" t="n"/>
      <c r="J1339" s="100" t="n"/>
      <c r="K1339" s="98" t="n"/>
      <c r="L1339" s="99" t="n"/>
      <c r="M1339" s="99" t="n"/>
      <c r="N1339" s="100" t="n"/>
      <c r="O1339" s="98" t="n"/>
      <c r="P1339" s="99" t="n"/>
      <c r="Q1339" s="99" t="n"/>
      <c r="R1339" s="100" t="n"/>
      <c r="S1339" s="98" t="n"/>
      <c r="T1339" s="99" t="n"/>
      <c r="U1339" s="99" t="n"/>
      <c r="V1339" s="100" t="n"/>
      <c r="W1339" s="98" t="n"/>
      <c r="X1339" s="100" t="n"/>
      <c r="Y1339" s="98" t="n"/>
      <c r="Z1339" s="100" t="n"/>
      <c r="AB1339" s="101">
        <f>IF($B1339="","",(COUNTIF(C1308:E1325,$B1339)+COUNTIF(C1308:E1325,$B1339&amp;" ~*")&gt;0)+(COUNTIF(G1308:I1325,$B1339)+COUNTIF(G1308:I1325,$B1339&amp;" ~*")&gt;0)+(COUNTIF(K1308:M1325,$B1339)+COUNTIF(K1308:M1325,$B1339&amp;" ~*")&gt;0)+(COUNTIF(O1308:Q1325,$B1339)+COUNTIF(O1308:Q1325,$B1339&amp;" ~*")&gt;0)+(COUNTIF(S1308:U1325,$B1339)+COUNTIF(S1308:U1325,$B1339&amp;" ~*")&gt;0)+(COUNTIF(W1308:W1325,$B1339)+COUNTIF(W1308:W1325,$B1339&amp;" ~*")&gt;0)+(COUNTIF(Y1308:Y1325,$B1339)+COUNTIF(Y1308:Y1325,$B1339&amp;" ~*")&gt;0))</f>
        <v/>
      </c>
      <c r="AC1339" s="36">
        <f>IF($B1339="","",(IFERROR(INDEX(Setup!$G$33:$G$40,MATCH(C1339,Setup!$B$33:$B$40,0)),0)=1)*(COUNTIF(C1308:E1325,$B1339)+COUNTIF(C1308:E1325,$B1339&amp;" ~*")&gt;0)+(IFERROR(INDEX(Setup!$G$33:$G$40,MATCH(G1339,Setup!$B$33:$B$40,0)),0)=1)*(COUNTIF(G1308:I1325,$B1339)+COUNTIF(G1308:I1325,$B1339&amp;" ~*")&gt;0)+(IFERROR(INDEX(Setup!$G$33:$G$40,MATCH(K1339,Setup!$B$33:$B$40,0)),0)=1)*(COUNTIF(K1308:M1325,$B1339)+COUNTIF(K1308:M1325,$B1339&amp;" ~*")&gt;0)+(IFERROR(INDEX(Setup!$G$33:$G$40,MATCH(O1339,Setup!$B$33:$B$40,0)),0)=1)*(COUNTIF(O1308:Q1325,$B1339)+COUNTIF(O1308:Q1325,$B1339&amp;" ~*")&gt;0)+(IFERROR(INDEX(Setup!$G$33:$G$40,MATCH(S1339,Setup!$B$33:$B$40,0)),0)=1)*(COUNTIF(S1308:U1325,$B1339)+COUNTIF(S1308:U1325,$B1339&amp;" ~*")&gt;0)+(IFERROR(INDEX(Setup!$G$33:$G$40,MATCH(W1339,Setup!$B$33:$B$40,0)),0)=1)*(COUNTIF(W1308:W1325,$B1339)+COUNTIF(W1308:W1325,$B1339&amp;" ~*")&gt;0)+(IFERROR(INDEX(Setup!$G$33:$G$40,MATCH(Y1339,Setup!$B$33:$B$40,0)),0)=1)*(COUNTIF(Y1308:Y1325,$B1339)+COUNTIF(Y1308:Y1325,$B1339&amp;" ~*")&gt;0))</f>
        <v/>
      </c>
    </row>
    <row r="1340" ht="15" customHeight="1">
      <c r="A1340" t="n">
        <v>27</v>
      </c>
      <c r="B1340" s="37">
        <f>IF(Setup!$B$19="","",Setup!$B$19)</f>
        <v/>
      </c>
      <c r="C1340" s="102" t="n"/>
      <c r="D1340" s="103" t="n"/>
      <c r="E1340" s="103" t="n"/>
      <c r="F1340" s="104" t="n"/>
      <c r="G1340" s="102" t="n"/>
      <c r="H1340" s="103" t="n"/>
      <c r="I1340" s="103" t="n"/>
      <c r="J1340" s="104" t="n"/>
      <c r="K1340" s="102" t="n"/>
      <c r="L1340" s="103" t="n"/>
      <c r="M1340" s="103" t="n"/>
      <c r="N1340" s="104" t="n"/>
      <c r="O1340" s="102" t="n"/>
      <c r="P1340" s="103" t="n"/>
      <c r="Q1340" s="103" t="n"/>
      <c r="R1340" s="104" t="n"/>
      <c r="S1340" s="102" t="n"/>
      <c r="T1340" s="103" t="n"/>
      <c r="U1340" s="103" t="n"/>
      <c r="V1340" s="104" t="n"/>
      <c r="W1340" s="102" t="n"/>
      <c r="X1340" s="104" t="n"/>
      <c r="Y1340" s="102" t="n"/>
      <c r="Z1340" s="104" t="n"/>
      <c r="AB1340" s="105">
        <f>IF($B1340="","",(COUNTIF(C1308:E1325,$B1340)+COUNTIF(C1308:E1325,$B1340&amp;" ~*")&gt;0)+(COUNTIF(G1308:I1325,$B1340)+COUNTIF(G1308:I1325,$B1340&amp;" ~*")&gt;0)+(COUNTIF(K1308:M1325,$B1340)+COUNTIF(K1308:M1325,$B1340&amp;" ~*")&gt;0)+(COUNTIF(O1308:Q1325,$B1340)+COUNTIF(O1308:Q1325,$B1340&amp;" ~*")&gt;0)+(COUNTIF(S1308:U1325,$B1340)+COUNTIF(S1308:U1325,$B1340&amp;" ~*")&gt;0)+(COUNTIF(W1308:W1325,$B1340)+COUNTIF(W1308:W1325,$B1340&amp;" ~*")&gt;0)+(COUNTIF(Y1308:Y1325,$B1340)+COUNTIF(Y1308:Y1325,$B1340&amp;" ~*")&gt;0))</f>
        <v/>
      </c>
      <c r="AC1340" s="38">
        <f>IF($B1340="","",(IFERROR(INDEX(Setup!$G$33:$G$40,MATCH(C1340,Setup!$B$33:$B$40,0)),0)=1)*(COUNTIF(C1308:E1325,$B1340)+COUNTIF(C1308:E1325,$B1340&amp;" ~*")&gt;0)+(IFERROR(INDEX(Setup!$G$33:$G$40,MATCH(G1340,Setup!$B$33:$B$40,0)),0)=1)*(COUNTIF(G1308:I1325,$B1340)+COUNTIF(G1308:I1325,$B1340&amp;" ~*")&gt;0)+(IFERROR(INDEX(Setup!$G$33:$G$40,MATCH(K1340,Setup!$B$33:$B$40,0)),0)=1)*(COUNTIF(K1308:M1325,$B1340)+COUNTIF(K1308:M1325,$B1340&amp;" ~*")&gt;0)+(IFERROR(INDEX(Setup!$G$33:$G$40,MATCH(O1340,Setup!$B$33:$B$40,0)),0)=1)*(COUNTIF(O1308:Q1325,$B1340)+COUNTIF(O1308:Q1325,$B1340&amp;" ~*")&gt;0)+(IFERROR(INDEX(Setup!$G$33:$G$40,MATCH(S1340,Setup!$B$33:$B$40,0)),0)=1)*(COUNTIF(S1308:U1325,$B1340)+COUNTIF(S1308:U1325,$B1340&amp;" ~*")&gt;0)+(IFERROR(INDEX(Setup!$G$33:$G$40,MATCH(W1340,Setup!$B$33:$B$40,0)),0)=1)*(COUNTIF(W1308:W1325,$B1340)+COUNTIF(W1308:W1325,$B1340&amp;" ~*")&gt;0)+(IFERROR(INDEX(Setup!$G$33:$G$40,MATCH(Y1340,Setup!$B$33:$B$40,0)),0)=1)*(COUNTIF(Y1308:Y1325,$B1340)+COUNTIF(Y1308:Y1325,$B1340&amp;" ~*")&gt;0))</f>
        <v/>
      </c>
    </row>
    <row r="1341" ht="15" customHeight="1">
      <c r="A1341" t="n">
        <v>27</v>
      </c>
      <c r="B1341" s="35">
        <f>IF(Setup!$B$20="","",Setup!$B$20)</f>
        <v/>
      </c>
      <c r="C1341" s="98" t="n"/>
      <c r="D1341" s="99" t="n"/>
      <c r="E1341" s="99" t="n"/>
      <c r="F1341" s="100" t="n"/>
      <c r="G1341" s="98" t="n"/>
      <c r="H1341" s="99" t="n"/>
      <c r="I1341" s="99" t="n"/>
      <c r="J1341" s="100" t="n"/>
      <c r="K1341" s="98" t="n"/>
      <c r="L1341" s="99" t="n"/>
      <c r="M1341" s="99" t="n"/>
      <c r="N1341" s="100" t="n"/>
      <c r="O1341" s="98" t="n"/>
      <c r="P1341" s="99" t="n"/>
      <c r="Q1341" s="99" t="n"/>
      <c r="R1341" s="100" t="n"/>
      <c r="S1341" s="98" t="n"/>
      <c r="T1341" s="99" t="n"/>
      <c r="U1341" s="99" t="n"/>
      <c r="V1341" s="100" t="n"/>
      <c r="W1341" s="98" t="n"/>
      <c r="X1341" s="100" t="n"/>
      <c r="Y1341" s="98" t="n"/>
      <c r="Z1341" s="100" t="n"/>
      <c r="AB1341" s="101">
        <f>IF($B1341="","",(COUNTIF(C1308:E1325,$B1341)+COUNTIF(C1308:E1325,$B1341&amp;" ~*")&gt;0)+(COUNTIF(G1308:I1325,$B1341)+COUNTIF(G1308:I1325,$B1341&amp;" ~*")&gt;0)+(COUNTIF(K1308:M1325,$B1341)+COUNTIF(K1308:M1325,$B1341&amp;" ~*")&gt;0)+(COUNTIF(O1308:Q1325,$B1341)+COUNTIF(O1308:Q1325,$B1341&amp;" ~*")&gt;0)+(COUNTIF(S1308:U1325,$B1341)+COUNTIF(S1308:U1325,$B1341&amp;" ~*")&gt;0)+(COUNTIF(W1308:W1325,$B1341)+COUNTIF(W1308:W1325,$B1341&amp;" ~*")&gt;0)+(COUNTIF(Y1308:Y1325,$B1341)+COUNTIF(Y1308:Y1325,$B1341&amp;" ~*")&gt;0))</f>
        <v/>
      </c>
      <c r="AC1341" s="36">
        <f>IF($B1341="","",(IFERROR(INDEX(Setup!$G$33:$G$40,MATCH(C1341,Setup!$B$33:$B$40,0)),0)=1)*(COUNTIF(C1308:E1325,$B1341)+COUNTIF(C1308:E1325,$B1341&amp;" ~*")&gt;0)+(IFERROR(INDEX(Setup!$G$33:$G$40,MATCH(G1341,Setup!$B$33:$B$40,0)),0)=1)*(COUNTIF(G1308:I1325,$B1341)+COUNTIF(G1308:I1325,$B1341&amp;" ~*")&gt;0)+(IFERROR(INDEX(Setup!$G$33:$G$40,MATCH(K1341,Setup!$B$33:$B$40,0)),0)=1)*(COUNTIF(K1308:M1325,$B1341)+COUNTIF(K1308:M1325,$B1341&amp;" ~*")&gt;0)+(IFERROR(INDEX(Setup!$G$33:$G$40,MATCH(O1341,Setup!$B$33:$B$40,0)),0)=1)*(COUNTIF(O1308:Q1325,$B1341)+COUNTIF(O1308:Q1325,$B1341&amp;" ~*")&gt;0)+(IFERROR(INDEX(Setup!$G$33:$G$40,MATCH(S1341,Setup!$B$33:$B$40,0)),0)=1)*(COUNTIF(S1308:U1325,$B1341)+COUNTIF(S1308:U1325,$B1341&amp;" ~*")&gt;0)+(IFERROR(INDEX(Setup!$G$33:$G$40,MATCH(W1341,Setup!$B$33:$B$40,0)),0)=1)*(COUNTIF(W1308:W1325,$B1341)+COUNTIF(W1308:W1325,$B1341&amp;" ~*")&gt;0)+(IFERROR(INDEX(Setup!$G$33:$G$40,MATCH(Y1341,Setup!$B$33:$B$40,0)),0)=1)*(COUNTIF(Y1308:Y1325,$B1341)+COUNTIF(Y1308:Y1325,$B1341&amp;" ~*")&gt;0))</f>
        <v/>
      </c>
    </row>
    <row r="1342" ht="15" customHeight="1">
      <c r="A1342" t="n">
        <v>27</v>
      </c>
      <c r="B1342" s="37">
        <f>IF(Setup!$B$21="","",Setup!$B$21)</f>
        <v/>
      </c>
      <c r="C1342" s="102" t="n"/>
      <c r="D1342" s="103" t="n"/>
      <c r="E1342" s="103" t="n"/>
      <c r="F1342" s="104" t="n"/>
      <c r="G1342" s="102" t="n"/>
      <c r="H1342" s="103" t="n"/>
      <c r="I1342" s="103" t="n"/>
      <c r="J1342" s="104" t="n"/>
      <c r="K1342" s="102" t="n"/>
      <c r="L1342" s="103" t="n"/>
      <c r="M1342" s="103" t="n"/>
      <c r="N1342" s="104" t="n"/>
      <c r="O1342" s="102" t="n"/>
      <c r="P1342" s="103" t="n"/>
      <c r="Q1342" s="103" t="n"/>
      <c r="R1342" s="104" t="n"/>
      <c r="S1342" s="102" t="n"/>
      <c r="T1342" s="103" t="n"/>
      <c r="U1342" s="103" t="n"/>
      <c r="V1342" s="104" t="n"/>
      <c r="W1342" s="102" t="n"/>
      <c r="X1342" s="104" t="n"/>
      <c r="Y1342" s="102" t="n"/>
      <c r="Z1342" s="104" t="n"/>
      <c r="AB1342" s="105">
        <f>IF($B1342="","",(COUNTIF(C1308:E1325,$B1342)+COUNTIF(C1308:E1325,$B1342&amp;" ~*")&gt;0)+(COUNTIF(G1308:I1325,$B1342)+COUNTIF(G1308:I1325,$B1342&amp;" ~*")&gt;0)+(COUNTIF(K1308:M1325,$B1342)+COUNTIF(K1308:M1325,$B1342&amp;" ~*")&gt;0)+(COUNTIF(O1308:Q1325,$B1342)+COUNTIF(O1308:Q1325,$B1342&amp;" ~*")&gt;0)+(COUNTIF(S1308:U1325,$B1342)+COUNTIF(S1308:U1325,$B1342&amp;" ~*")&gt;0)+(COUNTIF(W1308:W1325,$B1342)+COUNTIF(W1308:W1325,$B1342&amp;" ~*")&gt;0)+(COUNTIF(Y1308:Y1325,$B1342)+COUNTIF(Y1308:Y1325,$B1342&amp;" ~*")&gt;0))</f>
        <v/>
      </c>
      <c r="AC1342" s="38">
        <f>IF($B1342="","",(IFERROR(INDEX(Setup!$G$33:$G$40,MATCH(C1342,Setup!$B$33:$B$40,0)),0)=1)*(COUNTIF(C1308:E1325,$B1342)+COUNTIF(C1308:E1325,$B1342&amp;" ~*")&gt;0)+(IFERROR(INDEX(Setup!$G$33:$G$40,MATCH(G1342,Setup!$B$33:$B$40,0)),0)=1)*(COUNTIF(G1308:I1325,$B1342)+COUNTIF(G1308:I1325,$B1342&amp;" ~*")&gt;0)+(IFERROR(INDEX(Setup!$G$33:$G$40,MATCH(K1342,Setup!$B$33:$B$40,0)),0)=1)*(COUNTIF(K1308:M1325,$B1342)+COUNTIF(K1308:M1325,$B1342&amp;" ~*")&gt;0)+(IFERROR(INDEX(Setup!$G$33:$G$40,MATCH(O1342,Setup!$B$33:$B$40,0)),0)=1)*(COUNTIF(O1308:Q1325,$B1342)+COUNTIF(O1308:Q1325,$B1342&amp;" ~*")&gt;0)+(IFERROR(INDEX(Setup!$G$33:$G$40,MATCH(S1342,Setup!$B$33:$B$40,0)),0)=1)*(COUNTIF(S1308:U1325,$B1342)+COUNTIF(S1308:U1325,$B1342&amp;" ~*")&gt;0)+(IFERROR(INDEX(Setup!$G$33:$G$40,MATCH(W1342,Setup!$B$33:$B$40,0)),0)=1)*(COUNTIF(W1308:W1325,$B1342)+COUNTIF(W1308:W1325,$B1342&amp;" ~*")&gt;0)+(IFERROR(INDEX(Setup!$G$33:$G$40,MATCH(Y1342,Setup!$B$33:$B$40,0)),0)=1)*(COUNTIF(Y1308:Y1325,$B1342)+COUNTIF(Y1308:Y1325,$B1342&amp;" ~*")&gt;0))</f>
        <v/>
      </c>
    </row>
    <row r="1343" ht="15" customHeight="1">
      <c r="A1343" t="n">
        <v>27</v>
      </c>
      <c r="B1343" s="35">
        <f>IF(Setup!$B$22="","",Setup!$B$22)</f>
        <v/>
      </c>
      <c r="C1343" s="98" t="n"/>
      <c r="D1343" s="99" t="n"/>
      <c r="E1343" s="99" t="n"/>
      <c r="F1343" s="100" t="n"/>
      <c r="G1343" s="98" t="n"/>
      <c r="H1343" s="99" t="n"/>
      <c r="I1343" s="99" t="n"/>
      <c r="J1343" s="100" t="n"/>
      <c r="K1343" s="98" t="n"/>
      <c r="L1343" s="99" t="n"/>
      <c r="M1343" s="99" t="n"/>
      <c r="N1343" s="100" t="n"/>
      <c r="O1343" s="98" t="n"/>
      <c r="P1343" s="99" t="n"/>
      <c r="Q1343" s="99" t="n"/>
      <c r="R1343" s="100" t="n"/>
      <c r="S1343" s="98" t="n"/>
      <c r="T1343" s="99" t="n"/>
      <c r="U1343" s="99" t="n"/>
      <c r="V1343" s="100" t="n"/>
      <c r="W1343" s="98" t="n"/>
      <c r="X1343" s="100" t="n"/>
      <c r="Y1343" s="98" t="n"/>
      <c r="Z1343" s="100" t="n"/>
      <c r="AB1343" s="101">
        <f>IF($B1343="","",(COUNTIF(C1308:E1325,$B1343)+COUNTIF(C1308:E1325,$B1343&amp;" ~*")&gt;0)+(COUNTIF(G1308:I1325,$B1343)+COUNTIF(G1308:I1325,$B1343&amp;" ~*")&gt;0)+(COUNTIF(K1308:M1325,$B1343)+COUNTIF(K1308:M1325,$B1343&amp;" ~*")&gt;0)+(COUNTIF(O1308:Q1325,$B1343)+COUNTIF(O1308:Q1325,$B1343&amp;" ~*")&gt;0)+(COUNTIF(S1308:U1325,$B1343)+COUNTIF(S1308:U1325,$B1343&amp;" ~*")&gt;0)+(COUNTIF(W1308:W1325,$B1343)+COUNTIF(W1308:W1325,$B1343&amp;" ~*")&gt;0)+(COUNTIF(Y1308:Y1325,$B1343)+COUNTIF(Y1308:Y1325,$B1343&amp;" ~*")&gt;0))</f>
        <v/>
      </c>
      <c r="AC1343" s="36">
        <f>IF($B1343="","",(IFERROR(INDEX(Setup!$G$33:$G$40,MATCH(C1343,Setup!$B$33:$B$40,0)),0)=1)*(COUNTIF(C1308:E1325,$B1343)+COUNTIF(C1308:E1325,$B1343&amp;" ~*")&gt;0)+(IFERROR(INDEX(Setup!$G$33:$G$40,MATCH(G1343,Setup!$B$33:$B$40,0)),0)=1)*(COUNTIF(G1308:I1325,$B1343)+COUNTIF(G1308:I1325,$B1343&amp;" ~*")&gt;0)+(IFERROR(INDEX(Setup!$G$33:$G$40,MATCH(K1343,Setup!$B$33:$B$40,0)),0)=1)*(COUNTIF(K1308:M1325,$B1343)+COUNTIF(K1308:M1325,$B1343&amp;" ~*")&gt;0)+(IFERROR(INDEX(Setup!$G$33:$G$40,MATCH(O1343,Setup!$B$33:$B$40,0)),0)=1)*(COUNTIF(O1308:Q1325,$B1343)+COUNTIF(O1308:Q1325,$B1343&amp;" ~*")&gt;0)+(IFERROR(INDEX(Setup!$G$33:$G$40,MATCH(S1343,Setup!$B$33:$B$40,0)),0)=1)*(COUNTIF(S1308:U1325,$B1343)+COUNTIF(S1308:U1325,$B1343&amp;" ~*")&gt;0)+(IFERROR(INDEX(Setup!$G$33:$G$40,MATCH(W1343,Setup!$B$33:$B$40,0)),0)=1)*(COUNTIF(W1308:W1325,$B1343)+COUNTIF(W1308:W1325,$B1343&amp;" ~*")&gt;0)+(IFERROR(INDEX(Setup!$G$33:$G$40,MATCH(Y1343,Setup!$B$33:$B$40,0)),0)=1)*(COUNTIF(Y1308:Y1325,$B1343)+COUNTIF(Y1308:Y1325,$B1343&amp;" ~*")&gt;0))</f>
        <v/>
      </c>
    </row>
    <row r="1344" ht="15" customHeight="1">
      <c r="A1344" t="n">
        <v>27</v>
      </c>
      <c r="B1344" s="37">
        <f>IF(Setup!$B$23="","",Setup!$B$23)</f>
        <v/>
      </c>
      <c r="C1344" s="102" t="n"/>
      <c r="D1344" s="103" t="n"/>
      <c r="E1344" s="103" t="n"/>
      <c r="F1344" s="104" t="n"/>
      <c r="G1344" s="102" t="n"/>
      <c r="H1344" s="103" t="n"/>
      <c r="I1344" s="103" t="n"/>
      <c r="J1344" s="104" t="n"/>
      <c r="K1344" s="102" t="n"/>
      <c r="L1344" s="103" t="n"/>
      <c r="M1344" s="103" t="n"/>
      <c r="N1344" s="104" t="n"/>
      <c r="O1344" s="102" t="n"/>
      <c r="P1344" s="103" t="n"/>
      <c r="Q1344" s="103" t="n"/>
      <c r="R1344" s="104" t="n"/>
      <c r="S1344" s="102" t="n"/>
      <c r="T1344" s="103" t="n"/>
      <c r="U1344" s="103" t="n"/>
      <c r="V1344" s="104" t="n"/>
      <c r="W1344" s="102" t="n"/>
      <c r="X1344" s="104" t="n"/>
      <c r="Y1344" s="102" t="n"/>
      <c r="Z1344" s="104" t="n"/>
      <c r="AB1344" s="105">
        <f>IF($B1344="","",(COUNTIF(C1308:E1325,$B1344)+COUNTIF(C1308:E1325,$B1344&amp;" ~*")&gt;0)+(COUNTIF(G1308:I1325,$B1344)+COUNTIF(G1308:I1325,$B1344&amp;" ~*")&gt;0)+(COUNTIF(K1308:M1325,$B1344)+COUNTIF(K1308:M1325,$B1344&amp;" ~*")&gt;0)+(COUNTIF(O1308:Q1325,$B1344)+COUNTIF(O1308:Q1325,$B1344&amp;" ~*")&gt;0)+(COUNTIF(S1308:U1325,$B1344)+COUNTIF(S1308:U1325,$B1344&amp;" ~*")&gt;0)+(COUNTIF(W1308:W1325,$B1344)+COUNTIF(W1308:W1325,$B1344&amp;" ~*")&gt;0)+(COUNTIF(Y1308:Y1325,$B1344)+COUNTIF(Y1308:Y1325,$B1344&amp;" ~*")&gt;0))</f>
        <v/>
      </c>
      <c r="AC1344" s="38">
        <f>IF($B1344="","",(IFERROR(INDEX(Setup!$G$33:$G$40,MATCH(C1344,Setup!$B$33:$B$40,0)),0)=1)*(COUNTIF(C1308:E1325,$B1344)+COUNTIF(C1308:E1325,$B1344&amp;" ~*")&gt;0)+(IFERROR(INDEX(Setup!$G$33:$G$40,MATCH(G1344,Setup!$B$33:$B$40,0)),0)=1)*(COUNTIF(G1308:I1325,$B1344)+COUNTIF(G1308:I1325,$B1344&amp;" ~*")&gt;0)+(IFERROR(INDEX(Setup!$G$33:$G$40,MATCH(K1344,Setup!$B$33:$B$40,0)),0)=1)*(COUNTIF(K1308:M1325,$B1344)+COUNTIF(K1308:M1325,$B1344&amp;" ~*")&gt;0)+(IFERROR(INDEX(Setup!$G$33:$G$40,MATCH(O1344,Setup!$B$33:$B$40,0)),0)=1)*(COUNTIF(O1308:Q1325,$B1344)+COUNTIF(O1308:Q1325,$B1344&amp;" ~*")&gt;0)+(IFERROR(INDEX(Setup!$G$33:$G$40,MATCH(S1344,Setup!$B$33:$B$40,0)),0)=1)*(COUNTIF(S1308:U1325,$B1344)+COUNTIF(S1308:U1325,$B1344&amp;" ~*")&gt;0)+(IFERROR(INDEX(Setup!$G$33:$G$40,MATCH(W1344,Setup!$B$33:$B$40,0)),0)=1)*(COUNTIF(W1308:W1325,$B1344)+COUNTIF(W1308:W1325,$B1344&amp;" ~*")&gt;0)+(IFERROR(INDEX(Setup!$G$33:$G$40,MATCH(Y1344,Setup!$B$33:$B$40,0)),0)=1)*(COUNTIF(Y1308:Y1325,$B1344)+COUNTIF(Y1308:Y1325,$B1344&amp;" ~*")&gt;0))</f>
        <v/>
      </c>
    </row>
    <row r="1345" ht="15" customHeight="1">
      <c r="A1345" t="n">
        <v>27</v>
      </c>
      <c r="B1345" s="35">
        <f>IF(Setup!$B$24="","",Setup!$B$24)</f>
        <v/>
      </c>
      <c r="C1345" s="98" t="n"/>
      <c r="D1345" s="99" t="n"/>
      <c r="E1345" s="99" t="n"/>
      <c r="F1345" s="100" t="n"/>
      <c r="G1345" s="98" t="n"/>
      <c r="H1345" s="99" t="n"/>
      <c r="I1345" s="99" t="n"/>
      <c r="J1345" s="100" t="n"/>
      <c r="K1345" s="98" t="n"/>
      <c r="L1345" s="99" t="n"/>
      <c r="M1345" s="99" t="n"/>
      <c r="N1345" s="100" t="n"/>
      <c r="O1345" s="98" t="n"/>
      <c r="P1345" s="99" t="n"/>
      <c r="Q1345" s="99" t="n"/>
      <c r="R1345" s="100" t="n"/>
      <c r="S1345" s="98" t="n"/>
      <c r="T1345" s="99" t="n"/>
      <c r="U1345" s="99" t="n"/>
      <c r="V1345" s="100" t="n"/>
      <c r="W1345" s="98" t="n"/>
      <c r="X1345" s="100" t="n"/>
      <c r="Y1345" s="98" t="n"/>
      <c r="Z1345" s="100" t="n"/>
      <c r="AB1345" s="101">
        <f>IF($B1345="","",(COUNTIF(C1308:E1325,$B1345)+COUNTIF(C1308:E1325,$B1345&amp;" ~*")&gt;0)+(COUNTIF(G1308:I1325,$B1345)+COUNTIF(G1308:I1325,$B1345&amp;" ~*")&gt;0)+(COUNTIF(K1308:M1325,$B1345)+COUNTIF(K1308:M1325,$B1345&amp;" ~*")&gt;0)+(COUNTIF(O1308:Q1325,$B1345)+COUNTIF(O1308:Q1325,$B1345&amp;" ~*")&gt;0)+(COUNTIF(S1308:U1325,$B1345)+COUNTIF(S1308:U1325,$B1345&amp;" ~*")&gt;0)+(COUNTIF(W1308:W1325,$B1345)+COUNTIF(W1308:W1325,$B1345&amp;" ~*")&gt;0)+(COUNTIF(Y1308:Y1325,$B1345)+COUNTIF(Y1308:Y1325,$B1345&amp;" ~*")&gt;0))</f>
        <v/>
      </c>
      <c r="AC1345" s="36">
        <f>IF($B1345="","",(IFERROR(INDEX(Setup!$G$33:$G$40,MATCH(C1345,Setup!$B$33:$B$40,0)),0)=1)*(COUNTIF(C1308:E1325,$B1345)+COUNTIF(C1308:E1325,$B1345&amp;" ~*")&gt;0)+(IFERROR(INDEX(Setup!$G$33:$G$40,MATCH(G1345,Setup!$B$33:$B$40,0)),0)=1)*(COUNTIF(G1308:I1325,$B1345)+COUNTIF(G1308:I1325,$B1345&amp;" ~*")&gt;0)+(IFERROR(INDEX(Setup!$G$33:$G$40,MATCH(K1345,Setup!$B$33:$B$40,0)),0)=1)*(COUNTIF(K1308:M1325,$B1345)+COUNTIF(K1308:M1325,$B1345&amp;" ~*")&gt;0)+(IFERROR(INDEX(Setup!$G$33:$G$40,MATCH(O1345,Setup!$B$33:$B$40,0)),0)=1)*(COUNTIF(O1308:Q1325,$B1345)+COUNTIF(O1308:Q1325,$B1345&amp;" ~*")&gt;0)+(IFERROR(INDEX(Setup!$G$33:$G$40,MATCH(S1345,Setup!$B$33:$B$40,0)),0)=1)*(COUNTIF(S1308:U1325,$B1345)+COUNTIF(S1308:U1325,$B1345&amp;" ~*")&gt;0)+(IFERROR(INDEX(Setup!$G$33:$G$40,MATCH(W1345,Setup!$B$33:$B$40,0)),0)=1)*(COUNTIF(W1308:W1325,$B1345)+COUNTIF(W1308:W1325,$B1345&amp;" ~*")&gt;0)+(IFERROR(INDEX(Setup!$G$33:$G$40,MATCH(Y1345,Setup!$B$33:$B$40,0)),0)=1)*(COUNTIF(Y1308:Y1325,$B1345)+COUNTIF(Y1308:Y1325,$B1345&amp;" ~*")&gt;0))</f>
        <v/>
      </c>
    </row>
    <row r="1346" ht="15" customHeight="1">
      <c r="A1346" t="n">
        <v>27</v>
      </c>
      <c r="B1346" s="37">
        <f>IF(Setup!$B$25="","",Setup!$B$25)</f>
        <v/>
      </c>
      <c r="C1346" s="102" t="n"/>
      <c r="D1346" s="103" t="n"/>
      <c r="E1346" s="103" t="n"/>
      <c r="F1346" s="104" t="n"/>
      <c r="G1346" s="102" t="n"/>
      <c r="H1346" s="103" t="n"/>
      <c r="I1346" s="103" t="n"/>
      <c r="J1346" s="104" t="n"/>
      <c r="K1346" s="102" t="n"/>
      <c r="L1346" s="103" t="n"/>
      <c r="M1346" s="103" t="n"/>
      <c r="N1346" s="104" t="n"/>
      <c r="O1346" s="102" t="n"/>
      <c r="P1346" s="103" t="n"/>
      <c r="Q1346" s="103" t="n"/>
      <c r="R1346" s="104" t="n"/>
      <c r="S1346" s="102" t="n"/>
      <c r="T1346" s="103" t="n"/>
      <c r="U1346" s="103" t="n"/>
      <c r="V1346" s="104" t="n"/>
      <c r="W1346" s="102" t="n"/>
      <c r="X1346" s="104" t="n"/>
      <c r="Y1346" s="102" t="n"/>
      <c r="Z1346" s="104" t="n"/>
      <c r="AB1346" s="105">
        <f>IF($B1346="","",(COUNTIF(C1308:E1325,$B1346)+COUNTIF(C1308:E1325,$B1346&amp;" ~*")&gt;0)+(COUNTIF(G1308:I1325,$B1346)+COUNTIF(G1308:I1325,$B1346&amp;" ~*")&gt;0)+(COUNTIF(K1308:M1325,$B1346)+COUNTIF(K1308:M1325,$B1346&amp;" ~*")&gt;0)+(COUNTIF(O1308:Q1325,$B1346)+COUNTIF(O1308:Q1325,$B1346&amp;" ~*")&gt;0)+(COUNTIF(S1308:U1325,$B1346)+COUNTIF(S1308:U1325,$B1346&amp;" ~*")&gt;0)+(COUNTIF(W1308:W1325,$B1346)+COUNTIF(W1308:W1325,$B1346&amp;" ~*")&gt;0)+(COUNTIF(Y1308:Y1325,$B1346)+COUNTIF(Y1308:Y1325,$B1346&amp;" ~*")&gt;0))</f>
        <v/>
      </c>
      <c r="AC1346" s="38">
        <f>IF($B1346="","",(IFERROR(INDEX(Setup!$G$33:$G$40,MATCH(C1346,Setup!$B$33:$B$40,0)),0)=1)*(COUNTIF(C1308:E1325,$B1346)+COUNTIF(C1308:E1325,$B1346&amp;" ~*")&gt;0)+(IFERROR(INDEX(Setup!$G$33:$G$40,MATCH(G1346,Setup!$B$33:$B$40,0)),0)=1)*(COUNTIF(G1308:I1325,$B1346)+COUNTIF(G1308:I1325,$B1346&amp;" ~*")&gt;0)+(IFERROR(INDEX(Setup!$G$33:$G$40,MATCH(K1346,Setup!$B$33:$B$40,0)),0)=1)*(COUNTIF(K1308:M1325,$B1346)+COUNTIF(K1308:M1325,$B1346&amp;" ~*")&gt;0)+(IFERROR(INDEX(Setup!$G$33:$G$40,MATCH(O1346,Setup!$B$33:$B$40,0)),0)=1)*(COUNTIF(O1308:Q1325,$B1346)+COUNTIF(O1308:Q1325,$B1346&amp;" ~*")&gt;0)+(IFERROR(INDEX(Setup!$G$33:$G$40,MATCH(S1346,Setup!$B$33:$B$40,0)),0)=1)*(COUNTIF(S1308:U1325,$B1346)+COUNTIF(S1308:U1325,$B1346&amp;" ~*")&gt;0)+(IFERROR(INDEX(Setup!$G$33:$G$40,MATCH(W1346,Setup!$B$33:$B$40,0)),0)=1)*(COUNTIF(W1308:W1325,$B1346)+COUNTIF(W1308:W1325,$B1346&amp;" ~*")&gt;0)+(IFERROR(INDEX(Setup!$G$33:$G$40,MATCH(Y1346,Setup!$B$33:$B$40,0)),0)=1)*(COUNTIF(Y1308:Y1325,$B1346)+COUNTIF(Y1308:Y1325,$B1346&amp;" ~*")&gt;0))</f>
        <v/>
      </c>
    </row>
    <row r="1347" ht="15" customHeight="1">
      <c r="A1347" t="n">
        <v>27</v>
      </c>
      <c r="B1347" s="35">
        <f>IF(Setup!$B$26="","",Setup!$B$26)</f>
        <v/>
      </c>
      <c r="C1347" s="98" t="n"/>
      <c r="D1347" s="99" t="n"/>
      <c r="E1347" s="99" t="n"/>
      <c r="F1347" s="100" t="n"/>
      <c r="G1347" s="98" t="n"/>
      <c r="H1347" s="99" t="n"/>
      <c r="I1347" s="99" t="n"/>
      <c r="J1347" s="100" t="n"/>
      <c r="K1347" s="98" t="n"/>
      <c r="L1347" s="99" t="n"/>
      <c r="M1347" s="99" t="n"/>
      <c r="N1347" s="100" t="n"/>
      <c r="O1347" s="98" t="n"/>
      <c r="P1347" s="99" t="n"/>
      <c r="Q1347" s="99" t="n"/>
      <c r="R1347" s="100" t="n"/>
      <c r="S1347" s="98" t="n"/>
      <c r="T1347" s="99" t="n"/>
      <c r="U1347" s="99" t="n"/>
      <c r="V1347" s="100" t="n"/>
      <c r="W1347" s="98" t="n"/>
      <c r="X1347" s="100" t="n"/>
      <c r="Y1347" s="98" t="n"/>
      <c r="Z1347" s="100" t="n"/>
      <c r="AB1347" s="101">
        <f>IF($B1347="","",(COUNTIF(C1308:E1325,$B1347)+COUNTIF(C1308:E1325,$B1347&amp;" ~*")&gt;0)+(COUNTIF(G1308:I1325,$B1347)+COUNTIF(G1308:I1325,$B1347&amp;" ~*")&gt;0)+(COUNTIF(K1308:M1325,$B1347)+COUNTIF(K1308:M1325,$B1347&amp;" ~*")&gt;0)+(COUNTIF(O1308:Q1325,$B1347)+COUNTIF(O1308:Q1325,$B1347&amp;" ~*")&gt;0)+(COUNTIF(S1308:U1325,$B1347)+COUNTIF(S1308:U1325,$B1347&amp;" ~*")&gt;0)+(COUNTIF(W1308:W1325,$B1347)+COUNTIF(W1308:W1325,$B1347&amp;" ~*")&gt;0)+(COUNTIF(Y1308:Y1325,$B1347)+COUNTIF(Y1308:Y1325,$B1347&amp;" ~*")&gt;0))</f>
        <v/>
      </c>
      <c r="AC1347" s="36">
        <f>IF($B1347="","",(IFERROR(INDEX(Setup!$G$33:$G$40,MATCH(C1347,Setup!$B$33:$B$40,0)),0)=1)*(COUNTIF(C1308:E1325,$B1347)+COUNTIF(C1308:E1325,$B1347&amp;" ~*")&gt;0)+(IFERROR(INDEX(Setup!$G$33:$G$40,MATCH(G1347,Setup!$B$33:$B$40,0)),0)=1)*(COUNTIF(G1308:I1325,$B1347)+COUNTIF(G1308:I1325,$B1347&amp;" ~*")&gt;0)+(IFERROR(INDEX(Setup!$G$33:$G$40,MATCH(K1347,Setup!$B$33:$B$40,0)),0)=1)*(COUNTIF(K1308:M1325,$B1347)+COUNTIF(K1308:M1325,$B1347&amp;" ~*")&gt;0)+(IFERROR(INDEX(Setup!$G$33:$G$40,MATCH(O1347,Setup!$B$33:$B$40,0)),0)=1)*(COUNTIF(O1308:Q1325,$B1347)+COUNTIF(O1308:Q1325,$B1347&amp;" ~*")&gt;0)+(IFERROR(INDEX(Setup!$G$33:$G$40,MATCH(S1347,Setup!$B$33:$B$40,0)),0)=1)*(COUNTIF(S1308:U1325,$B1347)+COUNTIF(S1308:U1325,$B1347&amp;" ~*")&gt;0)+(IFERROR(INDEX(Setup!$G$33:$G$40,MATCH(W1347,Setup!$B$33:$B$40,0)),0)=1)*(COUNTIF(W1308:W1325,$B1347)+COUNTIF(W1308:W1325,$B1347&amp;" ~*")&gt;0)+(IFERROR(INDEX(Setup!$G$33:$G$40,MATCH(Y1347,Setup!$B$33:$B$40,0)),0)=1)*(COUNTIF(Y1308:Y1325,$B1347)+COUNTIF(Y1308:Y1325,$B1347&amp;" ~*")&gt;0))</f>
        <v/>
      </c>
    </row>
    <row r="1348" ht="15" customHeight="1">
      <c r="A1348" t="n">
        <v>27</v>
      </c>
      <c r="B1348" s="37">
        <f>IF(Setup!$B$27="","",Setup!$B$27)</f>
        <v/>
      </c>
      <c r="C1348" s="102" t="n"/>
      <c r="D1348" s="103" t="n"/>
      <c r="E1348" s="103" t="n"/>
      <c r="F1348" s="104" t="n"/>
      <c r="G1348" s="102" t="n"/>
      <c r="H1348" s="103" t="n"/>
      <c r="I1348" s="103" t="n"/>
      <c r="J1348" s="104" t="n"/>
      <c r="K1348" s="102" t="n"/>
      <c r="L1348" s="103" t="n"/>
      <c r="M1348" s="103" t="n"/>
      <c r="N1348" s="104" t="n"/>
      <c r="O1348" s="102" t="n"/>
      <c r="P1348" s="103" t="n"/>
      <c r="Q1348" s="103" t="n"/>
      <c r="R1348" s="104" t="n"/>
      <c r="S1348" s="102" t="n"/>
      <c r="T1348" s="103" t="n"/>
      <c r="U1348" s="103" t="n"/>
      <c r="V1348" s="104" t="n"/>
      <c r="W1348" s="102" t="n"/>
      <c r="X1348" s="104" t="n"/>
      <c r="Y1348" s="102" t="n"/>
      <c r="Z1348" s="104" t="n"/>
      <c r="AB1348" s="105">
        <f>IF($B1348="","",(COUNTIF(C1308:E1325,$B1348)+COUNTIF(C1308:E1325,$B1348&amp;" ~*")&gt;0)+(COUNTIF(G1308:I1325,$B1348)+COUNTIF(G1308:I1325,$B1348&amp;" ~*")&gt;0)+(COUNTIF(K1308:M1325,$B1348)+COUNTIF(K1308:M1325,$B1348&amp;" ~*")&gt;0)+(COUNTIF(O1308:Q1325,$B1348)+COUNTIF(O1308:Q1325,$B1348&amp;" ~*")&gt;0)+(COUNTIF(S1308:U1325,$B1348)+COUNTIF(S1308:U1325,$B1348&amp;" ~*")&gt;0)+(COUNTIF(W1308:W1325,$B1348)+COUNTIF(W1308:W1325,$B1348&amp;" ~*")&gt;0)+(COUNTIF(Y1308:Y1325,$B1348)+COUNTIF(Y1308:Y1325,$B1348&amp;" ~*")&gt;0))</f>
        <v/>
      </c>
      <c r="AC1348" s="38">
        <f>IF($B1348="","",(IFERROR(INDEX(Setup!$G$33:$G$40,MATCH(C1348,Setup!$B$33:$B$40,0)),0)=1)*(COUNTIF(C1308:E1325,$B1348)+COUNTIF(C1308:E1325,$B1348&amp;" ~*")&gt;0)+(IFERROR(INDEX(Setup!$G$33:$G$40,MATCH(G1348,Setup!$B$33:$B$40,0)),0)=1)*(COUNTIF(G1308:I1325,$B1348)+COUNTIF(G1308:I1325,$B1348&amp;" ~*")&gt;0)+(IFERROR(INDEX(Setup!$G$33:$G$40,MATCH(K1348,Setup!$B$33:$B$40,0)),0)=1)*(COUNTIF(K1308:M1325,$B1348)+COUNTIF(K1308:M1325,$B1348&amp;" ~*")&gt;0)+(IFERROR(INDEX(Setup!$G$33:$G$40,MATCH(O1348,Setup!$B$33:$B$40,0)),0)=1)*(COUNTIF(O1308:Q1325,$B1348)+COUNTIF(O1308:Q1325,$B1348&amp;" ~*")&gt;0)+(IFERROR(INDEX(Setup!$G$33:$G$40,MATCH(S1348,Setup!$B$33:$B$40,0)),0)=1)*(COUNTIF(S1308:U1325,$B1348)+COUNTIF(S1308:U1325,$B1348&amp;" ~*")&gt;0)+(IFERROR(INDEX(Setup!$G$33:$G$40,MATCH(W1348,Setup!$B$33:$B$40,0)),0)=1)*(COUNTIF(W1308:W1325,$B1348)+COUNTIF(W1308:W1325,$B1348&amp;" ~*")&gt;0)+(IFERROR(INDEX(Setup!$G$33:$G$40,MATCH(Y1348,Setup!$B$33:$B$40,0)),0)=1)*(COUNTIF(Y1308:Y1325,$B1348)+COUNTIF(Y1308:Y1325,$B1348&amp;" ~*")&gt;0))</f>
        <v/>
      </c>
    </row>
    <row r="1349" ht="15" customHeight="1">
      <c r="A1349" t="n">
        <v>27</v>
      </c>
      <c r="B1349" s="35">
        <f>IF(Setup!$B$28="","",Setup!$B$28)</f>
        <v/>
      </c>
      <c r="C1349" s="98" t="n"/>
      <c r="D1349" s="99" t="n"/>
      <c r="E1349" s="99" t="n"/>
      <c r="F1349" s="100" t="n"/>
      <c r="G1349" s="98" t="n"/>
      <c r="H1349" s="99" t="n"/>
      <c r="I1349" s="99" t="n"/>
      <c r="J1349" s="100" t="n"/>
      <c r="K1349" s="98" t="n"/>
      <c r="L1349" s="99" t="n"/>
      <c r="M1349" s="99" t="n"/>
      <c r="N1349" s="100" t="n"/>
      <c r="O1349" s="98" t="n"/>
      <c r="P1349" s="99" t="n"/>
      <c r="Q1349" s="99" t="n"/>
      <c r="R1349" s="100" t="n"/>
      <c r="S1349" s="98" t="n"/>
      <c r="T1349" s="99" t="n"/>
      <c r="U1349" s="99" t="n"/>
      <c r="V1349" s="100" t="n"/>
      <c r="W1349" s="98" t="n"/>
      <c r="X1349" s="100" t="n"/>
      <c r="Y1349" s="98" t="n"/>
      <c r="Z1349" s="100" t="n"/>
      <c r="AB1349" s="101">
        <f>IF($B1349="","",(COUNTIF(C1308:E1325,$B1349)+COUNTIF(C1308:E1325,$B1349&amp;" ~*")&gt;0)+(COUNTIF(G1308:I1325,$B1349)+COUNTIF(G1308:I1325,$B1349&amp;" ~*")&gt;0)+(COUNTIF(K1308:M1325,$B1349)+COUNTIF(K1308:M1325,$B1349&amp;" ~*")&gt;0)+(COUNTIF(O1308:Q1325,$B1349)+COUNTIF(O1308:Q1325,$B1349&amp;" ~*")&gt;0)+(COUNTIF(S1308:U1325,$B1349)+COUNTIF(S1308:U1325,$B1349&amp;" ~*")&gt;0)+(COUNTIF(W1308:W1325,$B1349)+COUNTIF(W1308:W1325,$B1349&amp;" ~*")&gt;0)+(COUNTIF(Y1308:Y1325,$B1349)+COUNTIF(Y1308:Y1325,$B1349&amp;" ~*")&gt;0))</f>
        <v/>
      </c>
      <c r="AC1349" s="36">
        <f>IF($B1349="","",(IFERROR(INDEX(Setup!$G$33:$G$40,MATCH(C1349,Setup!$B$33:$B$40,0)),0)=1)*(COUNTIF(C1308:E1325,$B1349)+COUNTIF(C1308:E1325,$B1349&amp;" ~*")&gt;0)+(IFERROR(INDEX(Setup!$G$33:$G$40,MATCH(G1349,Setup!$B$33:$B$40,0)),0)=1)*(COUNTIF(G1308:I1325,$B1349)+COUNTIF(G1308:I1325,$B1349&amp;" ~*")&gt;0)+(IFERROR(INDEX(Setup!$G$33:$G$40,MATCH(K1349,Setup!$B$33:$B$40,0)),0)=1)*(COUNTIF(K1308:M1325,$B1349)+COUNTIF(K1308:M1325,$B1349&amp;" ~*")&gt;0)+(IFERROR(INDEX(Setup!$G$33:$G$40,MATCH(O1349,Setup!$B$33:$B$40,0)),0)=1)*(COUNTIF(O1308:Q1325,$B1349)+COUNTIF(O1308:Q1325,$B1349&amp;" ~*")&gt;0)+(IFERROR(INDEX(Setup!$G$33:$G$40,MATCH(S1349,Setup!$B$33:$B$40,0)),0)=1)*(COUNTIF(S1308:U1325,$B1349)+COUNTIF(S1308:U1325,$B1349&amp;" ~*")&gt;0)+(IFERROR(INDEX(Setup!$G$33:$G$40,MATCH(W1349,Setup!$B$33:$B$40,0)),0)=1)*(COUNTIF(W1308:W1325,$B1349)+COUNTIF(W1308:W1325,$B1349&amp;" ~*")&gt;0)+(IFERROR(INDEX(Setup!$G$33:$G$40,MATCH(Y1349,Setup!$B$33:$B$40,0)),0)=1)*(COUNTIF(Y1308:Y1325,$B1349)+COUNTIF(Y1308:Y1325,$B1349&amp;" ~*")&gt;0))</f>
        <v/>
      </c>
    </row>
    <row r="1350" ht="15" customHeight="1">
      <c r="A1350" t="n">
        <v>27</v>
      </c>
      <c r="B1350" s="37">
        <f>IF(Setup!$B$29="","",Setup!$B$29)</f>
        <v/>
      </c>
      <c r="C1350" s="102" t="n"/>
      <c r="D1350" s="103" t="n"/>
      <c r="E1350" s="103" t="n"/>
      <c r="F1350" s="104" t="n"/>
      <c r="G1350" s="102" t="n"/>
      <c r="H1350" s="103" t="n"/>
      <c r="I1350" s="103" t="n"/>
      <c r="J1350" s="104" t="n"/>
      <c r="K1350" s="102" t="n"/>
      <c r="L1350" s="103" t="n"/>
      <c r="M1350" s="103" t="n"/>
      <c r="N1350" s="104" t="n"/>
      <c r="O1350" s="102" t="n"/>
      <c r="P1350" s="103" t="n"/>
      <c r="Q1350" s="103" t="n"/>
      <c r="R1350" s="104" t="n"/>
      <c r="S1350" s="102" t="n"/>
      <c r="T1350" s="103" t="n"/>
      <c r="U1350" s="103" t="n"/>
      <c r="V1350" s="104" t="n"/>
      <c r="W1350" s="102" t="n"/>
      <c r="X1350" s="104" t="n"/>
      <c r="Y1350" s="102" t="n"/>
      <c r="Z1350" s="104" t="n"/>
      <c r="AB1350" s="105">
        <f>IF($B1350="","",(COUNTIF(C1308:E1325,$B1350)+COUNTIF(C1308:E1325,$B1350&amp;" ~*")&gt;0)+(COUNTIF(G1308:I1325,$B1350)+COUNTIF(G1308:I1325,$B1350&amp;" ~*")&gt;0)+(COUNTIF(K1308:M1325,$B1350)+COUNTIF(K1308:M1325,$B1350&amp;" ~*")&gt;0)+(COUNTIF(O1308:Q1325,$B1350)+COUNTIF(O1308:Q1325,$B1350&amp;" ~*")&gt;0)+(COUNTIF(S1308:U1325,$B1350)+COUNTIF(S1308:U1325,$B1350&amp;" ~*")&gt;0)+(COUNTIF(W1308:W1325,$B1350)+COUNTIF(W1308:W1325,$B1350&amp;" ~*")&gt;0)+(COUNTIF(Y1308:Y1325,$B1350)+COUNTIF(Y1308:Y1325,$B1350&amp;" ~*")&gt;0))</f>
        <v/>
      </c>
      <c r="AC1350" s="38">
        <f>IF($B1350="","",(IFERROR(INDEX(Setup!$G$33:$G$40,MATCH(C1350,Setup!$B$33:$B$40,0)),0)=1)*(COUNTIF(C1308:E1325,$B1350)+COUNTIF(C1308:E1325,$B1350&amp;" ~*")&gt;0)+(IFERROR(INDEX(Setup!$G$33:$G$40,MATCH(G1350,Setup!$B$33:$B$40,0)),0)=1)*(COUNTIF(G1308:I1325,$B1350)+COUNTIF(G1308:I1325,$B1350&amp;" ~*")&gt;0)+(IFERROR(INDEX(Setup!$G$33:$G$40,MATCH(K1350,Setup!$B$33:$B$40,0)),0)=1)*(COUNTIF(K1308:M1325,$B1350)+COUNTIF(K1308:M1325,$B1350&amp;" ~*")&gt;0)+(IFERROR(INDEX(Setup!$G$33:$G$40,MATCH(O1350,Setup!$B$33:$B$40,0)),0)=1)*(COUNTIF(O1308:Q1325,$B1350)+COUNTIF(O1308:Q1325,$B1350&amp;" ~*")&gt;0)+(IFERROR(INDEX(Setup!$G$33:$G$40,MATCH(S1350,Setup!$B$33:$B$40,0)),0)=1)*(COUNTIF(S1308:U1325,$B1350)+COUNTIF(S1308:U1325,$B1350&amp;" ~*")&gt;0)+(IFERROR(INDEX(Setup!$G$33:$G$40,MATCH(W1350,Setup!$B$33:$B$40,0)),0)=1)*(COUNTIF(W1308:W1325,$B1350)+COUNTIF(W1308:W1325,$B1350&amp;" ~*")&gt;0)+(IFERROR(INDEX(Setup!$G$33:$G$40,MATCH(Y1350,Setup!$B$33:$B$40,0)),0)=1)*(COUNTIF(Y1308:Y1325,$B1350)+COUNTIF(Y1308:Y1325,$B1350&amp;" ~*")&gt;0))</f>
        <v/>
      </c>
    </row>
    <row r="1351" ht="16" customHeight="1">
      <c r="A1351" t="n">
        <v>27</v>
      </c>
      <c r="B1351" s="106" t="inlineStr">
        <is>
          <t>Available people</t>
        </is>
      </c>
      <c r="C1351" s="107">
        <f>COUNTIFS(Setup!$E$6:$E$29,"Y",Setup!$B$6:$B$29,"?*")-SUMPRODUCT(COUNTIF(C1327:C1350,Setup!$F$33:$F$40))</f>
        <v/>
      </c>
      <c r="D1351" s="107" t="n"/>
      <c r="E1351" s="107" t="n"/>
      <c r="F1351" s="107" t="n"/>
      <c r="G1351" s="107">
        <f>COUNTIFS(Setup!$E$6:$E$29,"Y",Setup!$B$6:$B$29,"?*")-SUMPRODUCT(COUNTIF(G1327:G1350,Setup!$F$33:$F$40))</f>
        <v/>
      </c>
      <c r="H1351" s="107" t="n"/>
      <c r="I1351" s="107" t="n"/>
      <c r="J1351" s="107" t="n"/>
      <c r="K1351" s="107">
        <f>COUNTIFS(Setup!$E$6:$E$29,"Y",Setup!$B$6:$B$29,"?*")-SUMPRODUCT(COUNTIF(K1327:K1350,Setup!$F$33:$F$40))</f>
        <v/>
      </c>
      <c r="L1351" s="107" t="n"/>
      <c r="M1351" s="107" t="n"/>
      <c r="N1351" s="107" t="n"/>
      <c r="O1351" s="107">
        <f>COUNTIFS(Setup!$E$6:$E$29,"Y",Setup!$B$6:$B$29,"?*")-SUMPRODUCT(COUNTIF(O1327:O1350,Setup!$F$33:$F$40))</f>
        <v/>
      </c>
      <c r="P1351" s="107" t="n"/>
      <c r="Q1351" s="107" t="n"/>
      <c r="R1351" s="107" t="n"/>
      <c r="S1351" s="107">
        <f>COUNTIFS(Setup!$E$6:$E$29,"Y",Setup!$B$6:$B$29,"?*")-SUMPRODUCT(COUNTIF(S1327:S1350,Setup!$F$33:$F$40))</f>
        <v/>
      </c>
      <c r="T1351" s="107" t="n"/>
      <c r="U1351" s="107" t="n"/>
      <c r="V1351" s="107" t="n"/>
      <c r="W1351" s="107">
        <f>COUNTIFS(Setup!$E$6:$E$29,"Y",Setup!$B$6:$B$29,"?*")-SUMPRODUCT(COUNTIF(W1327:W1350,Setup!$F$33:$F$40))</f>
        <v/>
      </c>
      <c r="X1351" s="107" t="n"/>
      <c r="Y1351" s="107">
        <f>COUNTIFS(Setup!$E$6:$E$29,"Y",Setup!$B$6:$B$29,"?*")-SUMPRODUCT(COUNTIF(Y1327:Y1350,Setup!$F$33:$F$40))</f>
        <v/>
      </c>
      <c r="Z1351" s="107" t="n"/>
      <c r="AB1351" s="108">
        <f>SUM(AB1327:AB1350)</f>
        <v/>
      </c>
      <c r="AC1351" s="109">
        <f>SUM(AC1327:AC1350)</f>
        <v/>
      </c>
    </row>
    <row r="1352" ht="30" customHeight="1">
      <c r="A1352" t="n">
        <v>27</v>
      </c>
      <c r="B1352" s="110" t="inlineStr">
        <is>
          <t>Week notes</t>
        </is>
      </c>
      <c r="C1352" s="111" t="n"/>
      <c r="D1352" s="112" t="n"/>
      <c r="E1352" s="112" t="n"/>
      <c r="F1352" s="112" t="n"/>
      <c r="G1352" s="112" t="n"/>
      <c r="H1352" s="112" t="n"/>
      <c r="I1352" s="112" t="n"/>
      <c r="J1352" s="112" t="n"/>
      <c r="K1352" s="112" t="n"/>
      <c r="L1352" s="112" t="n"/>
      <c r="M1352" s="112" t="n"/>
      <c r="N1352" s="112" t="n"/>
      <c r="O1352" s="112" t="n"/>
      <c r="P1352" s="112" t="n"/>
      <c r="Q1352" s="112" t="n"/>
      <c r="R1352" s="112" t="n"/>
      <c r="S1352" s="112" t="n"/>
      <c r="T1352" s="112" t="n"/>
      <c r="U1352" s="112" t="n"/>
      <c r="V1352" s="112" t="n"/>
      <c r="W1352" s="112" t="n"/>
      <c r="X1352" s="112" t="n"/>
      <c r="Y1352" s="112" t="n"/>
      <c r="Z1352" s="113" t="n"/>
    </row>
    <row r="1353" ht="8" customHeight="1">
      <c r="A1353" t="n">
        <v>27</v>
      </c>
    </row>
    <row r="1354" ht="8" customHeight="1">
      <c r="A1354" t="n">
        <v>27</v>
      </c>
    </row>
    <row r="1355" ht="24" customHeight="1">
      <c r="A1355" t="n">
        <v>28</v>
      </c>
      <c r="B1355" s="73">
        <f>"WEEK 28     "&amp;TEXT(C1356,"ddd d mmm")&amp;"  –  "&amp;TEXT(C1356+6,"ddd d mmm yyyy")</f>
        <v/>
      </c>
      <c r="S1355" s="74">
        <f>IF(TODAY()&lt;C1356,"FUTURE",IF(TODAY()&gt;C1356+6,"PAST","THIS WEEK"))</f>
        <v/>
      </c>
      <c r="W1355" s="75">
        <f>IF(AND(Engine!$B$8=$AC$3,Engine!$B$9=$A1355),"◀ ACTIVE WEEK","")</f>
        <v/>
      </c>
      <c r="AA1355" s="76" t="n"/>
      <c r="AB1355" s="77" t="inlineStr">
        <is>
          <t>◀ Prev</t>
        </is>
      </c>
      <c r="AC1355" s="77" t="inlineStr">
        <is>
          <t>Next ▶</t>
        </is>
      </c>
    </row>
    <row r="1356" ht="18" customHeight="1">
      <c r="A1356" t="n">
        <v>28</v>
      </c>
      <c r="B1356" s="78" t="inlineStr">
        <is>
          <t>DUTY</t>
        </is>
      </c>
      <c r="C1356" s="79">
        <f>$AC$2+7*($A1356-1)</f>
        <v/>
      </c>
      <c r="D1356" s="80" t="n"/>
      <c r="E1356" s="80" t="n"/>
      <c r="F1356" s="81" t="n"/>
      <c r="G1356" s="79">
        <f>C1356+1</f>
        <v/>
      </c>
      <c r="H1356" s="80" t="n"/>
      <c r="I1356" s="80" t="n"/>
      <c r="J1356" s="81" t="n"/>
      <c r="K1356" s="79">
        <f>C1356+2</f>
        <v/>
      </c>
      <c r="L1356" s="80" t="n"/>
      <c r="M1356" s="80" t="n"/>
      <c r="N1356" s="81" t="n"/>
      <c r="O1356" s="79">
        <f>C1356+3</f>
        <v/>
      </c>
      <c r="P1356" s="80" t="n"/>
      <c r="Q1356" s="80" t="n"/>
      <c r="R1356" s="81" t="n"/>
      <c r="S1356" s="79">
        <f>C1356+4</f>
        <v/>
      </c>
      <c r="T1356" s="80" t="n"/>
      <c r="U1356" s="80" t="n"/>
      <c r="V1356" s="81" t="n"/>
      <c r="W1356" s="82">
        <f>C1356+5</f>
        <v/>
      </c>
      <c r="X1356" s="83" t="n"/>
      <c r="Y1356" s="82">
        <f>C1356+6</f>
        <v/>
      </c>
      <c r="Z1356" s="83" t="n"/>
      <c r="AB1356" s="72" t="inlineStr">
        <is>
          <t>Gaps</t>
        </is>
      </c>
      <c r="AC1356" s="72" t="inlineStr">
        <is>
          <t>Cover</t>
        </is>
      </c>
    </row>
    <row r="1357" ht="14" customHeight="1">
      <c r="A1357" t="n">
        <v>28</v>
      </c>
      <c r="B1357" s="84" t="inlineStr">
        <is>
          <t>(from Setup)</t>
        </is>
      </c>
      <c r="C1357" s="85" t="inlineStr">
        <is>
          <t>1</t>
        </is>
      </c>
      <c r="D1357" s="85" t="inlineStr">
        <is>
          <t>2</t>
        </is>
      </c>
      <c r="E1357" s="85" t="inlineStr">
        <is>
          <t>3</t>
        </is>
      </c>
      <c r="F1357" s="85" t="inlineStr">
        <is>
          <t>Notes</t>
        </is>
      </c>
      <c r="G1357" s="85" t="inlineStr">
        <is>
          <t>1</t>
        </is>
      </c>
      <c r="H1357" s="85" t="inlineStr">
        <is>
          <t>2</t>
        </is>
      </c>
      <c r="I1357" s="85" t="inlineStr">
        <is>
          <t>3</t>
        </is>
      </c>
      <c r="J1357" s="85" t="inlineStr">
        <is>
          <t>Notes</t>
        </is>
      </c>
      <c r="K1357" s="85" t="inlineStr">
        <is>
          <t>1</t>
        </is>
      </c>
      <c r="L1357" s="85" t="inlineStr">
        <is>
          <t>2</t>
        </is>
      </c>
      <c r="M1357" s="85" t="inlineStr">
        <is>
          <t>3</t>
        </is>
      </c>
      <c r="N1357" s="85" t="inlineStr">
        <is>
          <t>Notes</t>
        </is>
      </c>
      <c r="O1357" s="85" t="inlineStr">
        <is>
          <t>1</t>
        </is>
      </c>
      <c r="P1357" s="85" t="inlineStr">
        <is>
          <t>2</t>
        </is>
      </c>
      <c r="Q1357" s="85" t="inlineStr">
        <is>
          <t>3</t>
        </is>
      </c>
      <c r="R1357" s="85" t="inlineStr">
        <is>
          <t>Notes</t>
        </is>
      </c>
      <c r="S1357" s="85" t="inlineStr">
        <is>
          <t>1</t>
        </is>
      </c>
      <c r="T1357" s="85" t="inlineStr">
        <is>
          <t>2</t>
        </is>
      </c>
      <c r="U1357" s="85" t="inlineStr">
        <is>
          <t>3</t>
        </is>
      </c>
      <c r="V1357" s="85" t="inlineStr">
        <is>
          <t>Notes</t>
        </is>
      </c>
      <c r="W1357" s="85" t="inlineStr">
        <is>
          <t>Cover</t>
        </is>
      </c>
      <c r="X1357" s="85" t="inlineStr">
        <is>
          <t>Notes</t>
        </is>
      </c>
      <c r="Y1357" s="85" t="inlineStr">
        <is>
          <t>Cover</t>
        </is>
      </c>
      <c r="Z1357" s="85" t="inlineStr">
        <is>
          <t>Notes</t>
        </is>
      </c>
      <c r="AB1357" s="86" t="inlineStr">
        <is>
          <t>weekdays short</t>
        </is>
      </c>
      <c r="AC1357" s="87" t="inlineStr"/>
    </row>
    <row r="1358" ht="17" customHeight="1">
      <c r="A1358" t="n">
        <v>28</v>
      </c>
      <c r="B1358" s="24">
        <f>IF(Setup!$K$6="","",Setup!$K$6)</f>
        <v/>
      </c>
      <c r="C1358" s="88" t="n"/>
      <c r="D1358" s="88" t="n"/>
      <c r="E1358" s="88" t="n"/>
      <c r="F1358" s="89" t="n"/>
      <c r="G1358" s="88" t="n"/>
      <c r="H1358" s="88" t="n"/>
      <c r="I1358" s="88" t="n"/>
      <c r="J1358" s="89" t="n"/>
      <c r="K1358" s="88" t="n"/>
      <c r="L1358" s="88" t="n"/>
      <c r="M1358" s="88" t="n"/>
      <c r="N1358" s="89" t="n"/>
      <c r="O1358" s="88" t="n"/>
      <c r="P1358" s="88" t="n"/>
      <c r="Q1358" s="88" t="n"/>
      <c r="R1358" s="89" t="n"/>
      <c r="S1358" s="88" t="n"/>
      <c r="T1358" s="88" t="n"/>
      <c r="U1358" s="88" t="n"/>
      <c r="V1358" s="89" t="n"/>
      <c r="W1358" s="88" t="n"/>
      <c r="X1358" s="89" t="n"/>
      <c r="Y1358" s="88" t="n"/>
      <c r="Z1358" s="89" t="n"/>
      <c r="AB1358" s="25">
        <f>IF($B1358="","",(COUNTIF(C1358:E1358,"?*")&lt;N(INDEX(Setup!$L$6:$L$23,1)))+(COUNTIF(G1358:I1358,"?*")&lt;N(INDEX(Setup!$L$6:$L$23,1)))+(COUNTIF(K1358:M1358,"?*")&lt;N(INDEX(Setup!$L$6:$L$23,1)))+(COUNTIF(O1358:Q1358,"?*")&lt;N(INDEX(Setup!$L$6:$L$23,1)))+(COUNTIF(S1358:U1358,"?*")&lt;N(INDEX(Setup!$L$6:$L$23,1)))+((W1358="")*(INDEX(Setup!$M$6:$M$23,1)="Y"))+((Y1358="")*(INDEX(Setup!$M$6:$M$23,1)="Y")))</f>
        <v/>
      </c>
      <c r="AC1358" s="90">
        <f>IF($B1358="","",IF(AB1358=0,"✓ covered","⚠ "&amp;AB1358&amp;IF(AB1358=1," gap"," gaps")))</f>
        <v/>
      </c>
    </row>
    <row r="1359" ht="17" customHeight="1">
      <c r="A1359" t="n">
        <v>28</v>
      </c>
      <c r="B1359" s="29">
        <f>IF(Setup!$K$7="","",Setup!$K$7)</f>
        <v/>
      </c>
      <c r="C1359" s="88" t="n"/>
      <c r="D1359" s="88" t="n"/>
      <c r="E1359" s="88" t="n"/>
      <c r="F1359" s="89" t="n"/>
      <c r="G1359" s="88" t="n"/>
      <c r="H1359" s="88" t="n"/>
      <c r="I1359" s="88" t="n"/>
      <c r="J1359" s="89" t="n"/>
      <c r="K1359" s="88" t="n"/>
      <c r="L1359" s="88" t="n"/>
      <c r="M1359" s="88" t="n"/>
      <c r="N1359" s="89" t="n"/>
      <c r="O1359" s="88" t="n"/>
      <c r="P1359" s="88" t="n"/>
      <c r="Q1359" s="88" t="n"/>
      <c r="R1359" s="89" t="n"/>
      <c r="S1359" s="88" t="n"/>
      <c r="T1359" s="88" t="n"/>
      <c r="U1359" s="88" t="n"/>
      <c r="V1359" s="89" t="n"/>
      <c r="W1359" s="88" t="n"/>
      <c r="X1359" s="89" t="n"/>
      <c r="Y1359" s="88" t="n"/>
      <c r="Z1359" s="89" t="n"/>
      <c r="AB1359" s="30">
        <f>IF($B1359="","",(COUNTIF(C1359:E1359,"?*")&lt;N(INDEX(Setup!$L$6:$L$23,2)))+(COUNTIF(G1359:I1359,"?*")&lt;N(INDEX(Setup!$L$6:$L$23,2)))+(COUNTIF(K1359:M1359,"?*")&lt;N(INDEX(Setup!$L$6:$L$23,2)))+(COUNTIF(O1359:Q1359,"?*")&lt;N(INDEX(Setup!$L$6:$L$23,2)))+(COUNTIF(S1359:U1359,"?*")&lt;N(INDEX(Setup!$L$6:$L$23,2)))+((W1359="")*(INDEX(Setup!$M$6:$M$23,2)="Y"))+((Y1359="")*(INDEX(Setup!$M$6:$M$23,2)="Y")))</f>
        <v/>
      </c>
      <c r="AC1359" s="91">
        <f>IF($B1359="","",IF(AB1359=0,"✓ covered","⚠ "&amp;AB1359&amp;IF(AB1359=1," gap"," gaps")))</f>
        <v/>
      </c>
    </row>
    <row r="1360" ht="17" customHeight="1">
      <c r="A1360" t="n">
        <v>28</v>
      </c>
      <c r="B1360" s="24">
        <f>IF(Setup!$K$8="","",Setup!$K$8)</f>
        <v/>
      </c>
      <c r="C1360" s="88" t="n"/>
      <c r="D1360" s="88" t="n"/>
      <c r="E1360" s="88" t="n"/>
      <c r="F1360" s="89" t="n"/>
      <c r="G1360" s="88" t="n"/>
      <c r="H1360" s="88" t="n"/>
      <c r="I1360" s="88" t="n"/>
      <c r="J1360" s="89" t="n"/>
      <c r="K1360" s="88" t="n"/>
      <c r="L1360" s="88" t="n"/>
      <c r="M1360" s="88" t="n"/>
      <c r="N1360" s="89" t="n"/>
      <c r="O1360" s="88" t="n"/>
      <c r="P1360" s="88" t="n"/>
      <c r="Q1360" s="88" t="n"/>
      <c r="R1360" s="89" t="n"/>
      <c r="S1360" s="88" t="n"/>
      <c r="T1360" s="88" t="n"/>
      <c r="U1360" s="88" t="n"/>
      <c r="V1360" s="89" t="n"/>
      <c r="W1360" s="88" t="n"/>
      <c r="X1360" s="89" t="n"/>
      <c r="Y1360" s="88" t="n"/>
      <c r="Z1360" s="89" t="n"/>
      <c r="AB1360" s="25">
        <f>IF($B1360="","",(COUNTIF(C1360:E1360,"?*")&lt;N(INDEX(Setup!$L$6:$L$23,3)))+(COUNTIF(G1360:I1360,"?*")&lt;N(INDEX(Setup!$L$6:$L$23,3)))+(COUNTIF(K1360:M1360,"?*")&lt;N(INDEX(Setup!$L$6:$L$23,3)))+(COUNTIF(O1360:Q1360,"?*")&lt;N(INDEX(Setup!$L$6:$L$23,3)))+(COUNTIF(S1360:U1360,"?*")&lt;N(INDEX(Setup!$L$6:$L$23,3)))+((W1360="")*(INDEX(Setup!$M$6:$M$23,3)="Y"))+((Y1360="")*(INDEX(Setup!$M$6:$M$23,3)="Y")))</f>
        <v/>
      </c>
      <c r="AC1360" s="90">
        <f>IF($B1360="","",IF(AB1360=0,"✓ covered","⚠ "&amp;AB1360&amp;IF(AB1360=1," gap"," gaps")))</f>
        <v/>
      </c>
    </row>
    <row r="1361" ht="17" customHeight="1">
      <c r="A1361" t="n">
        <v>28</v>
      </c>
      <c r="B1361" s="29">
        <f>IF(Setup!$K$9="","",Setup!$K$9)</f>
        <v/>
      </c>
      <c r="C1361" s="88" t="n"/>
      <c r="D1361" s="88" t="n"/>
      <c r="E1361" s="88" t="n"/>
      <c r="F1361" s="89" t="n"/>
      <c r="G1361" s="88" t="n"/>
      <c r="H1361" s="88" t="n"/>
      <c r="I1361" s="88" t="n"/>
      <c r="J1361" s="89" t="n"/>
      <c r="K1361" s="88" t="n"/>
      <c r="L1361" s="88" t="n"/>
      <c r="M1361" s="88" t="n"/>
      <c r="N1361" s="89" t="n"/>
      <c r="O1361" s="88" t="n"/>
      <c r="P1361" s="88" t="n"/>
      <c r="Q1361" s="88" t="n"/>
      <c r="R1361" s="89" t="n"/>
      <c r="S1361" s="88" t="n"/>
      <c r="T1361" s="88" t="n"/>
      <c r="U1361" s="88" t="n"/>
      <c r="V1361" s="89" t="n"/>
      <c r="W1361" s="88" t="n"/>
      <c r="X1361" s="89" t="n"/>
      <c r="Y1361" s="88" t="n"/>
      <c r="Z1361" s="89" t="n"/>
      <c r="AB1361" s="30">
        <f>IF($B1361="","",(COUNTIF(C1361:E1361,"?*")&lt;N(INDEX(Setup!$L$6:$L$23,4)))+(COUNTIF(G1361:I1361,"?*")&lt;N(INDEX(Setup!$L$6:$L$23,4)))+(COUNTIF(K1361:M1361,"?*")&lt;N(INDEX(Setup!$L$6:$L$23,4)))+(COUNTIF(O1361:Q1361,"?*")&lt;N(INDEX(Setup!$L$6:$L$23,4)))+(COUNTIF(S1361:U1361,"?*")&lt;N(INDEX(Setup!$L$6:$L$23,4)))+((W1361="")*(INDEX(Setup!$M$6:$M$23,4)="Y"))+((Y1361="")*(INDEX(Setup!$M$6:$M$23,4)="Y")))</f>
        <v/>
      </c>
      <c r="AC1361" s="91">
        <f>IF($B1361="","",IF(AB1361=0,"✓ covered","⚠ "&amp;AB1361&amp;IF(AB1361=1," gap"," gaps")))</f>
        <v/>
      </c>
    </row>
    <row r="1362" ht="17" customHeight="1">
      <c r="A1362" t="n">
        <v>28</v>
      </c>
      <c r="B1362" s="24">
        <f>IF(Setup!$K$10="","",Setup!$K$10)</f>
        <v/>
      </c>
      <c r="C1362" s="88" t="n"/>
      <c r="D1362" s="88" t="n"/>
      <c r="E1362" s="88" t="n"/>
      <c r="F1362" s="89" t="n"/>
      <c r="G1362" s="88" t="n"/>
      <c r="H1362" s="88" t="n"/>
      <c r="I1362" s="88" t="n"/>
      <c r="J1362" s="89" t="n"/>
      <c r="K1362" s="88" t="n"/>
      <c r="L1362" s="88" t="n"/>
      <c r="M1362" s="88" t="n"/>
      <c r="N1362" s="89" t="n"/>
      <c r="O1362" s="88" t="n"/>
      <c r="P1362" s="88" t="n"/>
      <c r="Q1362" s="88" t="n"/>
      <c r="R1362" s="89" t="n"/>
      <c r="S1362" s="88" t="n"/>
      <c r="T1362" s="88" t="n"/>
      <c r="U1362" s="88" t="n"/>
      <c r="V1362" s="89" t="n"/>
      <c r="W1362" s="88" t="n"/>
      <c r="X1362" s="89" t="n"/>
      <c r="Y1362" s="88" t="n"/>
      <c r="Z1362" s="89" t="n"/>
      <c r="AB1362" s="25">
        <f>IF($B1362="","",(COUNTIF(C1362:E1362,"?*")&lt;N(INDEX(Setup!$L$6:$L$23,5)))+(COUNTIF(G1362:I1362,"?*")&lt;N(INDEX(Setup!$L$6:$L$23,5)))+(COUNTIF(K1362:M1362,"?*")&lt;N(INDEX(Setup!$L$6:$L$23,5)))+(COUNTIF(O1362:Q1362,"?*")&lt;N(INDEX(Setup!$L$6:$L$23,5)))+(COUNTIF(S1362:U1362,"?*")&lt;N(INDEX(Setup!$L$6:$L$23,5)))+((W1362="")*(INDEX(Setup!$M$6:$M$23,5)="Y"))+((Y1362="")*(INDEX(Setup!$M$6:$M$23,5)="Y")))</f>
        <v/>
      </c>
      <c r="AC1362" s="90">
        <f>IF($B1362="","",IF(AB1362=0,"✓ covered","⚠ "&amp;AB1362&amp;IF(AB1362=1," gap"," gaps")))</f>
        <v/>
      </c>
    </row>
    <row r="1363" ht="17" customHeight="1">
      <c r="A1363" t="n">
        <v>28</v>
      </c>
      <c r="B1363" s="29">
        <f>IF(Setup!$K$11="","",Setup!$K$11)</f>
        <v/>
      </c>
      <c r="C1363" s="88" t="n"/>
      <c r="D1363" s="88" t="n"/>
      <c r="E1363" s="88" t="n"/>
      <c r="F1363" s="89" t="n"/>
      <c r="G1363" s="88" t="n"/>
      <c r="H1363" s="88" t="n"/>
      <c r="I1363" s="88" t="n"/>
      <c r="J1363" s="89" t="n"/>
      <c r="K1363" s="88" t="n"/>
      <c r="L1363" s="88" t="n"/>
      <c r="M1363" s="88" t="n"/>
      <c r="N1363" s="89" t="n"/>
      <c r="O1363" s="88" t="n"/>
      <c r="P1363" s="88" t="n"/>
      <c r="Q1363" s="88" t="n"/>
      <c r="R1363" s="89" t="n"/>
      <c r="S1363" s="88" t="n"/>
      <c r="T1363" s="88" t="n"/>
      <c r="U1363" s="88" t="n"/>
      <c r="V1363" s="89" t="n"/>
      <c r="W1363" s="88" t="n"/>
      <c r="X1363" s="89" t="n"/>
      <c r="Y1363" s="88" t="n"/>
      <c r="Z1363" s="89" t="n"/>
      <c r="AB1363" s="30">
        <f>IF($B1363="","",(COUNTIF(C1363:E1363,"?*")&lt;N(INDEX(Setup!$L$6:$L$23,6)))+(COUNTIF(G1363:I1363,"?*")&lt;N(INDEX(Setup!$L$6:$L$23,6)))+(COUNTIF(K1363:M1363,"?*")&lt;N(INDEX(Setup!$L$6:$L$23,6)))+(COUNTIF(O1363:Q1363,"?*")&lt;N(INDEX(Setup!$L$6:$L$23,6)))+(COUNTIF(S1363:U1363,"?*")&lt;N(INDEX(Setup!$L$6:$L$23,6)))+((W1363="")*(INDEX(Setup!$M$6:$M$23,6)="Y"))+((Y1363="")*(INDEX(Setup!$M$6:$M$23,6)="Y")))</f>
        <v/>
      </c>
      <c r="AC1363" s="91">
        <f>IF($B1363="","",IF(AB1363=0,"✓ covered","⚠ "&amp;AB1363&amp;IF(AB1363=1," gap"," gaps")))</f>
        <v/>
      </c>
    </row>
    <row r="1364" ht="17" customHeight="1">
      <c r="A1364" t="n">
        <v>28</v>
      </c>
      <c r="B1364" s="24">
        <f>IF(Setup!$K$12="","",Setup!$K$12)</f>
        <v/>
      </c>
      <c r="C1364" s="88" t="n"/>
      <c r="D1364" s="88" t="n"/>
      <c r="E1364" s="88" t="n"/>
      <c r="F1364" s="89" t="n"/>
      <c r="G1364" s="88" t="n"/>
      <c r="H1364" s="88" t="n"/>
      <c r="I1364" s="88" t="n"/>
      <c r="J1364" s="89" t="n"/>
      <c r="K1364" s="88" t="n"/>
      <c r="L1364" s="88" t="n"/>
      <c r="M1364" s="88" t="n"/>
      <c r="N1364" s="89" t="n"/>
      <c r="O1364" s="88" t="n"/>
      <c r="P1364" s="88" t="n"/>
      <c r="Q1364" s="88" t="n"/>
      <c r="R1364" s="89" t="n"/>
      <c r="S1364" s="88" t="n"/>
      <c r="T1364" s="88" t="n"/>
      <c r="U1364" s="88" t="n"/>
      <c r="V1364" s="89" t="n"/>
      <c r="W1364" s="88" t="n"/>
      <c r="X1364" s="89" t="n"/>
      <c r="Y1364" s="88" t="n"/>
      <c r="Z1364" s="89" t="n"/>
      <c r="AB1364" s="25">
        <f>IF($B1364="","",(COUNTIF(C1364:E1364,"?*")&lt;N(INDEX(Setup!$L$6:$L$23,7)))+(COUNTIF(G1364:I1364,"?*")&lt;N(INDEX(Setup!$L$6:$L$23,7)))+(COUNTIF(K1364:M1364,"?*")&lt;N(INDEX(Setup!$L$6:$L$23,7)))+(COUNTIF(O1364:Q1364,"?*")&lt;N(INDEX(Setup!$L$6:$L$23,7)))+(COUNTIF(S1364:U1364,"?*")&lt;N(INDEX(Setup!$L$6:$L$23,7)))+((W1364="")*(INDEX(Setup!$M$6:$M$23,7)="Y"))+((Y1364="")*(INDEX(Setup!$M$6:$M$23,7)="Y")))</f>
        <v/>
      </c>
      <c r="AC1364" s="90">
        <f>IF($B1364="","",IF(AB1364=0,"✓ covered","⚠ "&amp;AB1364&amp;IF(AB1364=1," gap"," gaps")))</f>
        <v/>
      </c>
    </row>
    <row r="1365" ht="17" customHeight="1">
      <c r="A1365" t="n">
        <v>28</v>
      </c>
      <c r="B1365" s="29">
        <f>IF(Setup!$K$13="","",Setup!$K$13)</f>
        <v/>
      </c>
      <c r="C1365" s="88" t="n"/>
      <c r="D1365" s="88" t="n"/>
      <c r="E1365" s="88" t="n"/>
      <c r="F1365" s="89" t="n"/>
      <c r="G1365" s="88" t="n"/>
      <c r="H1365" s="88" t="n"/>
      <c r="I1365" s="88" t="n"/>
      <c r="J1365" s="89" t="n"/>
      <c r="K1365" s="88" t="n"/>
      <c r="L1365" s="88" t="n"/>
      <c r="M1365" s="88" t="n"/>
      <c r="N1365" s="89" t="n"/>
      <c r="O1365" s="88" t="n"/>
      <c r="P1365" s="88" t="n"/>
      <c r="Q1365" s="88" t="n"/>
      <c r="R1365" s="89" t="n"/>
      <c r="S1365" s="88" t="n"/>
      <c r="T1365" s="88" t="n"/>
      <c r="U1365" s="88" t="n"/>
      <c r="V1365" s="89" t="n"/>
      <c r="W1365" s="88" t="n"/>
      <c r="X1365" s="89" t="n"/>
      <c r="Y1365" s="88" t="n"/>
      <c r="Z1365" s="89" t="n"/>
      <c r="AB1365" s="30">
        <f>IF($B1365="","",(COUNTIF(C1365:E1365,"?*")&lt;N(INDEX(Setup!$L$6:$L$23,8)))+(COUNTIF(G1365:I1365,"?*")&lt;N(INDEX(Setup!$L$6:$L$23,8)))+(COUNTIF(K1365:M1365,"?*")&lt;N(INDEX(Setup!$L$6:$L$23,8)))+(COUNTIF(O1365:Q1365,"?*")&lt;N(INDEX(Setup!$L$6:$L$23,8)))+(COUNTIF(S1365:U1365,"?*")&lt;N(INDEX(Setup!$L$6:$L$23,8)))+((W1365="")*(INDEX(Setup!$M$6:$M$23,8)="Y"))+((Y1365="")*(INDEX(Setup!$M$6:$M$23,8)="Y")))</f>
        <v/>
      </c>
      <c r="AC1365" s="91">
        <f>IF($B1365="","",IF(AB1365=0,"✓ covered","⚠ "&amp;AB1365&amp;IF(AB1365=1," gap"," gaps")))</f>
        <v/>
      </c>
    </row>
    <row r="1366" ht="17" customHeight="1">
      <c r="A1366" t="n">
        <v>28</v>
      </c>
      <c r="B1366" s="24">
        <f>IF(Setup!$K$14="","",Setup!$K$14)</f>
        <v/>
      </c>
      <c r="C1366" s="88" t="n"/>
      <c r="D1366" s="88" t="n"/>
      <c r="E1366" s="88" t="n"/>
      <c r="F1366" s="89" t="n"/>
      <c r="G1366" s="88" t="n"/>
      <c r="H1366" s="88" t="n"/>
      <c r="I1366" s="88" t="n"/>
      <c r="J1366" s="89" t="n"/>
      <c r="K1366" s="88" t="n"/>
      <c r="L1366" s="88" t="n"/>
      <c r="M1366" s="88" t="n"/>
      <c r="N1366" s="89" t="n"/>
      <c r="O1366" s="88" t="n"/>
      <c r="P1366" s="88" t="n"/>
      <c r="Q1366" s="88" t="n"/>
      <c r="R1366" s="89" t="n"/>
      <c r="S1366" s="88" t="n"/>
      <c r="T1366" s="88" t="n"/>
      <c r="U1366" s="88" t="n"/>
      <c r="V1366" s="89" t="n"/>
      <c r="W1366" s="88" t="n"/>
      <c r="X1366" s="89" t="n"/>
      <c r="Y1366" s="88" t="n"/>
      <c r="Z1366" s="89" t="n"/>
      <c r="AB1366" s="25">
        <f>IF($B1366="","",(COUNTIF(C1366:E1366,"?*")&lt;N(INDEX(Setup!$L$6:$L$23,9)))+(COUNTIF(G1366:I1366,"?*")&lt;N(INDEX(Setup!$L$6:$L$23,9)))+(COUNTIF(K1366:M1366,"?*")&lt;N(INDEX(Setup!$L$6:$L$23,9)))+(COUNTIF(O1366:Q1366,"?*")&lt;N(INDEX(Setup!$L$6:$L$23,9)))+(COUNTIF(S1366:U1366,"?*")&lt;N(INDEX(Setup!$L$6:$L$23,9)))+((W1366="")*(INDEX(Setup!$M$6:$M$23,9)="Y"))+((Y1366="")*(INDEX(Setup!$M$6:$M$23,9)="Y")))</f>
        <v/>
      </c>
      <c r="AC1366" s="90">
        <f>IF($B1366="","",IF(AB1366=0,"✓ covered","⚠ "&amp;AB1366&amp;IF(AB1366=1," gap"," gaps")))</f>
        <v/>
      </c>
    </row>
    <row r="1367" ht="17" customHeight="1">
      <c r="A1367" t="n">
        <v>28</v>
      </c>
      <c r="B1367" s="29">
        <f>IF(Setup!$K$15="","",Setup!$K$15)</f>
        <v/>
      </c>
      <c r="C1367" s="88" t="n"/>
      <c r="D1367" s="88" t="n"/>
      <c r="E1367" s="88" t="n"/>
      <c r="F1367" s="89" t="n"/>
      <c r="G1367" s="88" t="n"/>
      <c r="H1367" s="88" t="n"/>
      <c r="I1367" s="88" t="n"/>
      <c r="J1367" s="89" t="n"/>
      <c r="K1367" s="88" t="n"/>
      <c r="L1367" s="88" t="n"/>
      <c r="M1367" s="88" t="n"/>
      <c r="N1367" s="89" t="n"/>
      <c r="O1367" s="88" t="n"/>
      <c r="P1367" s="88" t="n"/>
      <c r="Q1367" s="88" t="n"/>
      <c r="R1367" s="89" t="n"/>
      <c r="S1367" s="88" t="n"/>
      <c r="T1367" s="88" t="n"/>
      <c r="U1367" s="88" t="n"/>
      <c r="V1367" s="89" t="n"/>
      <c r="W1367" s="88" t="n"/>
      <c r="X1367" s="89" t="n"/>
      <c r="Y1367" s="88" t="n"/>
      <c r="Z1367" s="89" t="n"/>
      <c r="AB1367" s="30">
        <f>IF($B1367="","",(COUNTIF(C1367:E1367,"?*")&lt;N(INDEX(Setup!$L$6:$L$23,10)))+(COUNTIF(G1367:I1367,"?*")&lt;N(INDEX(Setup!$L$6:$L$23,10)))+(COUNTIF(K1367:M1367,"?*")&lt;N(INDEX(Setup!$L$6:$L$23,10)))+(COUNTIF(O1367:Q1367,"?*")&lt;N(INDEX(Setup!$L$6:$L$23,10)))+(COUNTIF(S1367:U1367,"?*")&lt;N(INDEX(Setup!$L$6:$L$23,10)))+((W1367="")*(INDEX(Setup!$M$6:$M$23,10)="Y"))+((Y1367="")*(INDEX(Setup!$M$6:$M$23,10)="Y")))</f>
        <v/>
      </c>
      <c r="AC1367" s="91">
        <f>IF($B1367="","",IF(AB1367=0,"✓ covered","⚠ "&amp;AB1367&amp;IF(AB1367=1," gap"," gaps")))</f>
        <v/>
      </c>
    </row>
    <row r="1368" ht="17" customHeight="1">
      <c r="A1368" t="n">
        <v>28</v>
      </c>
      <c r="B1368" s="24">
        <f>IF(Setup!$K$16="","",Setup!$K$16)</f>
        <v/>
      </c>
      <c r="C1368" s="88" t="n"/>
      <c r="D1368" s="88" t="n"/>
      <c r="E1368" s="88" t="n"/>
      <c r="F1368" s="89" t="n"/>
      <c r="G1368" s="88" t="n"/>
      <c r="H1368" s="88" t="n"/>
      <c r="I1368" s="88" t="n"/>
      <c r="J1368" s="89" t="n"/>
      <c r="K1368" s="88" t="n"/>
      <c r="L1368" s="88" t="n"/>
      <c r="M1368" s="88" t="n"/>
      <c r="N1368" s="89" t="n"/>
      <c r="O1368" s="88" t="n"/>
      <c r="P1368" s="88" t="n"/>
      <c r="Q1368" s="88" t="n"/>
      <c r="R1368" s="89" t="n"/>
      <c r="S1368" s="88" t="n"/>
      <c r="T1368" s="88" t="n"/>
      <c r="U1368" s="88" t="n"/>
      <c r="V1368" s="89" t="n"/>
      <c r="W1368" s="88" t="n"/>
      <c r="X1368" s="89" t="n"/>
      <c r="Y1368" s="88" t="n"/>
      <c r="Z1368" s="89" t="n"/>
      <c r="AB1368" s="25">
        <f>IF($B1368="","",(COUNTIF(C1368:E1368,"?*")&lt;N(INDEX(Setup!$L$6:$L$23,11)))+(COUNTIF(G1368:I1368,"?*")&lt;N(INDEX(Setup!$L$6:$L$23,11)))+(COUNTIF(K1368:M1368,"?*")&lt;N(INDEX(Setup!$L$6:$L$23,11)))+(COUNTIF(O1368:Q1368,"?*")&lt;N(INDEX(Setup!$L$6:$L$23,11)))+(COUNTIF(S1368:U1368,"?*")&lt;N(INDEX(Setup!$L$6:$L$23,11)))+((W1368="")*(INDEX(Setup!$M$6:$M$23,11)="Y"))+((Y1368="")*(INDEX(Setup!$M$6:$M$23,11)="Y")))</f>
        <v/>
      </c>
      <c r="AC1368" s="90">
        <f>IF($B1368="","",IF(AB1368=0,"✓ covered","⚠ "&amp;AB1368&amp;IF(AB1368=1," gap"," gaps")))</f>
        <v/>
      </c>
    </row>
    <row r="1369" ht="17" customHeight="1">
      <c r="A1369" t="n">
        <v>28</v>
      </c>
      <c r="B1369" s="29">
        <f>IF(Setup!$K$17="","",Setup!$K$17)</f>
        <v/>
      </c>
      <c r="C1369" s="88" t="n"/>
      <c r="D1369" s="88" t="n"/>
      <c r="E1369" s="88" t="n"/>
      <c r="F1369" s="89" t="n"/>
      <c r="G1369" s="88" t="n"/>
      <c r="H1369" s="88" t="n"/>
      <c r="I1369" s="88" t="n"/>
      <c r="J1369" s="89" t="n"/>
      <c r="K1369" s="88" t="n"/>
      <c r="L1369" s="88" t="n"/>
      <c r="M1369" s="88" t="n"/>
      <c r="N1369" s="89" t="n"/>
      <c r="O1369" s="88" t="n"/>
      <c r="P1369" s="88" t="n"/>
      <c r="Q1369" s="88" t="n"/>
      <c r="R1369" s="89" t="n"/>
      <c r="S1369" s="88" t="n"/>
      <c r="T1369" s="88" t="n"/>
      <c r="U1369" s="88" t="n"/>
      <c r="V1369" s="89" t="n"/>
      <c r="W1369" s="88" t="n"/>
      <c r="X1369" s="89" t="n"/>
      <c r="Y1369" s="88" t="n"/>
      <c r="Z1369" s="89" t="n"/>
      <c r="AB1369" s="30">
        <f>IF($B1369="","",(COUNTIF(C1369:E1369,"?*")&lt;N(INDEX(Setup!$L$6:$L$23,12)))+(COUNTIF(G1369:I1369,"?*")&lt;N(INDEX(Setup!$L$6:$L$23,12)))+(COUNTIF(K1369:M1369,"?*")&lt;N(INDEX(Setup!$L$6:$L$23,12)))+(COUNTIF(O1369:Q1369,"?*")&lt;N(INDEX(Setup!$L$6:$L$23,12)))+(COUNTIF(S1369:U1369,"?*")&lt;N(INDEX(Setup!$L$6:$L$23,12)))+((W1369="")*(INDEX(Setup!$M$6:$M$23,12)="Y"))+((Y1369="")*(INDEX(Setup!$M$6:$M$23,12)="Y")))</f>
        <v/>
      </c>
      <c r="AC1369" s="91">
        <f>IF($B1369="","",IF(AB1369=0,"✓ covered","⚠ "&amp;AB1369&amp;IF(AB1369=1," gap"," gaps")))</f>
        <v/>
      </c>
    </row>
    <row r="1370" ht="17" customHeight="1">
      <c r="A1370" t="n">
        <v>28</v>
      </c>
      <c r="B1370" s="24">
        <f>IF(Setup!$K$18="","",Setup!$K$18)</f>
        <v/>
      </c>
      <c r="C1370" s="88" t="n"/>
      <c r="D1370" s="88" t="n"/>
      <c r="E1370" s="88" t="n"/>
      <c r="F1370" s="89" t="n"/>
      <c r="G1370" s="88" t="n"/>
      <c r="H1370" s="88" t="n"/>
      <c r="I1370" s="88" t="n"/>
      <c r="J1370" s="89" t="n"/>
      <c r="K1370" s="88" t="n"/>
      <c r="L1370" s="88" t="n"/>
      <c r="M1370" s="88" t="n"/>
      <c r="N1370" s="89" t="n"/>
      <c r="O1370" s="88" t="n"/>
      <c r="P1370" s="88" t="n"/>
      <c r="Q1370" s="88" t="n"/>
      <c r="R1370" s="89" t="n"/>
      <c r="S1370" s="88" t="n"/>
      <c r="T1370" s="88" t="n"/>
      <c r="U1370" s="88" t="n"/>
      <c r="V1370" s="89" t="n"/>
      <c r="W1370" s="88" t="n"/>
      <c r="X1370" s="89" t="n"/>
      <c r="Y1370" s="88" t="n"/>
      <c r="Z1370" s="89" t="n"/>
      <c r="AB1370" s="25">
        <f>IF($B1370="","",(COUNTIF(C1370:E1370,"?*")&lt;N(INDEX(Setup!$L$6:$L$23,13)))+(COUNTIF(G1370:I1370,"?*")&lt;N(INDEX(Setup!$L$6:$L$23,13)))+(COUNTIF(K1370:M1370,"?*")&lt;N(INDEX(Setup!$L$6:$L$23,13)))+(COUNTIF(O1370:Q1370,"?*")&lt;N(INDEX(Setup!$L$6:$L$23,13)))+(COUNTIF(S1370:U1370,"?*")&lt;N(INDEX(Setup!$L$6:$L$23,13)))+((W1370="")*(INDEX(Setup!$M$6:$M$23,13)="Y"))+((Y1370="")*(INDEX(Setup!$M$6:$M$23,13)="Y")))</f>
        <v/>
      </c>
      <c r="AC1370" s="90">
        <f>IF($B1370="","",IF(AB1370=0,"✓ covered","⚠ "&amp;AB1370&amp;IF(AB1370=1," gap"," gaps")))</f>
        <v/>
      </c>
    </row>
    <row r="1371" ht="17" customHeight="1">
      <c r="A1371" t="n">
        <v>28</v>
      </c>
      <c r="B1371" s="29">
        <f>IF(Setup!$K$19="","",Setup!$K$19)</f>
        <v/>
      </c>
      <c r="C1371" s="88" t="n"/>
      <c r="D1371" s="88" t="n"/>
      <c r="E1371" s="88" t="n"/>
      <c r="F1371" s="89" t="n"/>
      <c r="G1371" s="88" t="n"/>
      <c r="H1371" s="88" t="n"/>
      <c r="I1371" s="88" t="n"/>
      <c r="J1371" s="89" t="n"/>
      <c r="K1371" s="88" t="n"/>
      <c r="L1371" s="88" t="n"/>
      <c r="M1371" s="88" t="n"/>
      <c r="N1371" s="89" t="n"/>
      <c r="O1371" s="88" t="n"/>
      <c r="P1371" s="88" t="n"/>
      <c r="Q1371" s="88" t="n"/>
      <c r="R1371" s="89" t="n"/>
      <c r="S1371" s="88" t="n"/>
      <c r="T1371" s="88" t="n"/>
      <c r="U1371" s="88" t="n"/>
      <c r="V1371" s="89" t="n"/>
      <c r="W1371" s="88" t="n"/>
      <c r="X1371" s="89" t="n"/>
      <c r="Y1371" s="88" t="n"/>
      <c r="Z1371" s="89" t="n"/>
      <c r="AB1371" s="30">
        <f>IF($B1371="","",(COUNTIF(C1371:E1371,"?*")&lt;N(INDEX(Setup!$L$6:$L$23,14)))+(COUNTIF(G1371:I1371,"?*")&lt;N(INDEX(Setup!$L$6:$L$23,14)))+(COUNTIF(K1371:M1371,"?*")&lt;N(INDEX(Setup!$L$6:$L$23,14)))+(COUNTIF(O1371:Q1371,"?*")&lt;N(INDEX(Setup!$L$6:$L$23,14)))+(COUNTIF(S1371:U1371,"?*")&lt;N(INDEX(Setup!$L$6:$L$23,14)))+((W1371="")*(INDEX(Setup!$M$6:$M$23,14)="Y"))+((Y1371="")*(INDEX(Setup!$M$6:$M$23,14)="Y")))</f>
        <v/>
      </c>
      <c r="AC1371" s="91">
        <f>IF($B1371="","",IF(AB1371=0,"✓ covered","⚠ "&amp;AB1371&amp;IF(AB1371=1," gap"," gaps")))</f>
        <v/>
      </c>
    </row>
    <row r="1372" ht="17" customHeight="1">
      <c r="A1372" t="n">
        <v>28</v>
      </c>
      <c r="B1372" s="24">
        <f>IF(Setup!$K$20="","",Setup!$K$20)</f>
        <v/>
      </c>
      <c r="C1372" s="88" t="n"/>
      <c r="D1372" s="88" t="n"/>
      <c r="E1372" s="88" t="n"/>
      <c r="F1372" s="89" t="n"/>
      <c r="G1372" s="88" t="n"/>
      <c r="H1372" s="88" t="n"/>
      <c r="I1372" s="88" t="n"/>
      <c r="J1372" s="89" t="n"/>
      <c r="K1372" s="88" t="n"/>
      <c r="L1372" s="88" t="n"/>
      <c r="M1372" s="88" t="n"/>
      <c r="N1372" s="89" t="n"/>
      <c r="O1372" s="88" t="n"/>
      <c r="P1372" s="88" t="n"/>
      <c r="Q1372" s="88" t="n"/>
      <c r="R1372" s="89" t="n"/>
      <c r="S1372" s="88" t="n"/>
      <c r="T1372" s="88" t="n"/>
      <c r="U1372" s="88" t="n"/>
      <c r="V1372" s="89" t="n"/>
      <c r="W1372" s="88" t="n"/>
      <c r="X1372" s="89" t="n"/>
      <c r="Y1372" s="88" t="n"/>
      <c r="Z1372" s="89" t="n"/>
      <c r="AB1372" s="25">
        <f>IF($B1372="","",(COUNTIF(C1372:E1372,"?*")&lt;N(INDEX(Setup!$L$6:$L$23,15)))+(COUNTIF(G1372:I1372,"?*")&lt;N(INDEX(Setup!$L$6:$L$23,15)))+(COUNTIF(K1372:M1372,"?*")&lt;N(INDEX(Setup!$L$6:$L$23,15)))+(COUNTIF(O1372:Q1372,"?*")&lt;N(INDEX(Setup!$L$6:$L$23,15)))+(COUNTIF(S1372:U1372,"?*")&lt;N(INDEX(Setup!$L$6:$L$23,15)))+((W1372="")*(INDEX(Setup!$M$6:$M$23,15)="Y"))+((Y1372="")*(INDEX(Setup!$M$6:$M$23,15)="Y")))</f>
        <v/>
      </c>
      <c r="AC1372" s="90">
        <f>IF($B1372="","",IF(AB1372=0,"✓ covered","⚠ "&amp;AB1372&amp;IF(AB1372=1," gap"," gaps")))</f>
        <v/>
      </c>
    </row>
    <row r="1373" ht="17" customHeight="1">
      <c r="A1373" t="n">
        <v>28</v>
      </c>
      <c r="B1373" s="29">
        <f>IF(Setup!$K$21="","",Setup!$K$21)</f>
        <v/>
      </c>
      <c r="C1373" s="88" t="n"/>
      <c r="D1373" s="88" t="n"/>
      <c r="E1373" s="88" t="n"/>
      <c r="F1373" s="89" t="n"/>
      <c r="G1373" s="88" t="n"/>
      <c r="H1373" s="88" t="n"/>
      <c r="I1373" s="88" t="n"/>
      <c r="J1373" s="89" t="n"/>
      <c r="K1373" s="88" t="n"/>
      <c r="L1373" s="88" t="n"/>
      <c r="M1373" s="88" t="n"/>
      <c r="N1373" s="89" t="n"/>
      <c r="O1373" s="88" t="n"/>
      <c r="P1373" s="88" t="n"/>
      <c r="Q1373" s="88" t="n"/>
      <c r="R1373" s="89" t="n"/>
      <c r="S1373" s="88" t="n"/>
      <c r="T1373" s="88" t="n"/>
      <c r="U1373" s="88" t="n"/>
      <c r="V1373" s="89" t="n"/>
      <c r="W1373" s="88" t="n"/>
      <c r="X1373" s="89" t="n"/>
      <c r="Y1373" s="88" t="n"/>
      <c r="Z1373" s="89" t="n"/>
      <c r="AB1373" s="30">
        <f>IF($B1373="","",(COUNTIF(C1373:E1373,"?*")&lt;N(INDEX(Setup!$L$6:$L$23,16)))+(COUNTIF(G1373:I1373,"?*")&lt;N(INDEX(Setup!$L$6:$L$23,16)))+(COUNTIF(K1373:M1373,"?*")&lt;N(INDEX(Setup!$L$6:$L$23,16)))+(COUNTIF(O1373:Q1373,"?*")&lt;N(INDEX(Setup!$L$6:$L$23,16)))+(COUNTIF(S1373:U1373,"?*")&lt;N(INDEX(Setup!$L$6:$L$23,16)))+((W1373="")*(INDEX(Setup!$M$6:$M$23,16)="Y"))+((Y1373="")*(INDEX(Setup!$M$6:$M$23,16)="Y")))</f>
        <v/>
      </c>
      <c r="AC1373" s="91">
        <f>IF($B1373="","",IF(AB1373=0,"✓ covered","⚠ "&amp;AB1373&amp;IF(AB1373=1," gap"," gaps")))</f>
        <v/>
      </c>
    </row>
    <row r="1374" ht="17" customHeight="1">
      <c r="A1374" t="n">
        <v>28</v>
      </c>
      <c r="B1374" s="24">
        <f>IF(Setup!$K$22="","",Setup!$K$22)</f>
        <v/>
      </c>
      <c r="C1374" s="88" t="n"/>
      <c r="D1374" s="88" t="n"/>
      <c r="E1374" s="88" t="n"/>
      <c r="F1374" s="89" t="n"/>
      <c r="G1374" s="88" t="n"/>
      <c r="H1374" s="88" t="n"/>
      <c r="I1374" s="88" t="n"/>
      <c r="J1374" s="89" t="n"/>
      <c r="K1374" s="88" t="n"/>
      <c r="L1374" s="88" t="n"/>
      <c r="M1374" s="88" t="n"/>
      <c r="N1374" s="89" t="n"/>
      <c r="O1374" s="88" t="n"/>
      <c r="P1374" s="88" t="n"/>
      <c r="Q1374" s="88" t="n"/>
      <c r="R1374" s="89" t="n"/>
      <c r="S1374" s="88" t="n"/>
      <c r="T1374" s="88" t="n"/>
      <c r="U1374" s="88" t="n"/>
      <c r="V1374" s="89" t="n"/>
      <c r="W1374" s="88" t="n"/>
      <c r="X1374" s="89" t="n"/>
      <c r="Y1374" s="88" t="n"/>
      <c r="Z1374" s="89" t="n"/>
      <c r="AB1374" s="25">
        <f>IF($B1374="","",(COUNTIF(C1374:E1374,"?*")&lt;N(INDEX(Setup!$L$6:$L$23,17)))+(COUNTIF(G1374:I1374,"?*")&lt;N(INDEX(Setup!$L$6:$L$23,17)))+(COUNTIF(K1374:M1374,"?*")&lt;N(INDEX(Setup!$L$6:$L$23,17)))+(COUNTIF(O1374:Q1374,"?*")&lt;N(INDEX(Setup!$L$6:$L$23,17)))+(COUNTIF(S1374:U1374,"?*")&lt;N(INDEX(Setup!$L$6:$L$23,17)))+((W1374="")*(INDEX(Setup!$M$6:$M$23,17)="Y"))+((Y1374="")*(INDEX(Setup!$M$6:$M$23,17)="Y")))</f>
        <v/>
      </c>
      <c r="AC1374" s="90">
        <f>IF($B1374="","",IF(AB1374=0,"✓ covered","⚠ "&amp;AB1374&amp;IF(AB1374=1," gap"," gaps")))</f>
        <v/>
      </c>
    </row>
    <row r="1375" ht="17" customHeight="1">
      <c r="A1375" t="n">
        <v>28</v>
      </c>
      <c r="B1375" s="29">
        <f>IF(Setup!$K$23="","",Setup!$K$23)</f>
        <v/>
      </c>
      <c r="C1375" s="88" t="n"/>
      <c r="D1375" s="88" t="n"/>
      <c r="E1375" s="88" t="n"/>
      <c r="F1375" s="89" t="n"/>
      <c r="G1375" s="88" t="n"/>
      <c r="H1375" s="88" t="n"/>
      <c r="I1375" s="88" t="n"/>
      <c r="J1375" s="89" t="n"/>
      <c r="K1375" s="88" t="n"/>
      <c r="L1375" s="88" t="n"/>
      <c r="M1375" s="88" t="n"/>
      <c r="N1375" s="89" t="n"/>
      <c r="O1375" s="88" t="n"/>
      <c r="P1375" s="88" t="n"/>
      <c r="Q1375" s="88" t="n"/>
      <c r="R1375" s="89" t="n"/>
      <c r="S1375" s="88" t="n"/>
      <c r="T1375" s="88" t="n"/>
      <c r="U1375" s="88" t="n"/>
      <c r="V1375" s="89" t="n"/>
      <c r="W1375" s="88" t="n"/>
      <c r="X1375" s="89" t="n"/>
      <c r="Y1375" s="88" t="n"/>
      <c r="Z1375" s="89" t="n"/>
      <c r="AB1375" s="30">
        <f>IF($B1375="","",(COUNTIF(C1375:E1375,"?*")&lt;N(INDEX(Setup!$L$6:$L$23,18)))+(COUNTIF(G1375:I1375,"?*")&lt;N(INDEX(Setup!$L$6:$L$23,18)))+(COUNTIF(K1375:M1375,"?*")&lt;N(INDEX(Setup!$L$6:$L$23,18)))+(COUNTIF(O1375:Q1375,"?*")&lt;N(INDEX(Setup!$L$6:$L$23,18)))+(COUNTIF(S1375:U1375,"?*")&lt;N(INDEX(Setup!$L$6:$L$23,18)))+((W1375="")*(INDEX(Setup!$M$6:$M$23,18)="Y"))+((Y1375="")*(INDEX(Setup!$M$6:$M$23,18)="Y")))</f>
        <v/>
      </c>
      <c r="AC1375" s="91">
        <f>IF($B1375="","",IF(AB1375=0,"✓ covered","⚠ "&amp;AB1375&amp;IF(AB1375=1," gap"," gaps")))</f>
        <v/>
      </c>
    </row>
    <row r="1376" ht="18" customHeight="1">
      <c r="A1376" t="n">
        <v>28</v>
      </c>
      <c r="B1376" s="78" t="inlineStr">
        <is>
          <t>TEAM AVAILABILITY</t>
        </is>
      </c>
      <c r="C1376" s="92" t="inlineStr">
        <is>
          <t>Mon</t>
        </is>
      </c>
      <c r="D1376" s="93" t="n"/>
      <c r="E1376" s="93" t="n"/>
      <c r="F1376" s="94" t="n"/>
      <c r="G1376" s="92" t="inlineStr">
        <is>
          <t>Tue</t>
        </is>
      </c>
      <c r="H1376" s="93" t="n"/>
      <c r="I1376" s="93" t="n"/>
      <c r="J1376" s="94" t="n"/>
      <c r="K1376" s="92" t="inlineStr">
        <is>
          <t>Wed</t>
        </is>
      </c>
      <c r="L1376" s="93" t="n"/>
      <c r="M1376" s="93" t="n"/>
      <c r="N1376" s="94" t="n"/>
      <c r="O1376" s="92" t="inlineStr">
        <is>
          <t>Thu</t>
        </is>
      </c>
      <c r="P1376" s="93" t="n"/>
      <c r="Q1376" s="93" t="n"/>
      <c r="R1376" s="94" t="n"/>
      <c r="S1376" s="92" t="inlineStr">
        <is>
          <t>Fri</t>
        </is>
      </c>
      <c r="T1376" s="93" t="n"/>
      <c r="U1376" s="93" t="n"/>
      <c r="V1376" s="94" t="n"/>
      <c r="W1376" s="95" t="inlineStr">
        <is>
          <t>Sat</t>
        </is>
      </c>
      <c r="X1376" s="96" t="n"/>
      <c r="Y1376" s="95" t="inlineStr">
        <is>
          <t>Sun</t>
        </is>
      </c>
      <c r="Z1376" s="96" t="n"/>
      <c r="AB1376" s="97" t="inlineStr">
        <is>
          <t>Days rostered</t>
        </is>
      </c>
      <c r="AC1376" s="97" t="inlineStr">
        <is>
          <t>Conflicts</t>
        </is>
      </c>
    </row>
    <row r="1377" ht="15" customHeight="1">
      <c r="A1377" t="n">
        <v>28</v>
      </c>
      <c r="B1377" s="35">
        <f>IF(Setup!$B$6="","",Setup!$B$6)</f>
        <v/>
      </c>
      <c r="C1377" s="98" t="n"/>
      <c r="D1377" s="99" t="n"/>
      <c r="E1377" s="99" t="n"/>
      <c r="F1377" s="100" t="n"/>
      <c r="G1377" s="98" t="n"/>
      <c r="H1377" s="99" t="n"/>
      <c r="I1377" s="99" t="n"/>
      <c r="J1377" s="100" t="n"/>
      <c r="K1377" s="98" t="n"/>
      <c r="L1377" s="99" t="n"/>
      <c r="M1377" s="99" t="n"/>
      <c r="N1377" s="100" t="n"/>
      <c r="O1377" s="98" t="n"/>
      <c r="P1377" s="99" t="n"/>
      <c r="Q1377" s="99" t="n"/>
      <c r="R1377" s="100" t="n"/>
      <c r="S1377" s="98" t="n"/>
      <c r="T1377" s="99" t="n"/>
      <c r="U1377" s="99" t="n"/>
      <c r="V1377" s="100" t="n"/>
      <c r="W1377" s="98" t="n"/>
      <c r="X1377" s="100" t="n"/>
      <c r="Y1377" s="98" t="n"/>
      <c r="Z1377" s="100" t="n"/>
      <c r="AB1377" s="101">
        <f>IF($B1377="","",(COUNTIF(C1358:E1375,$B1377)+COUNTIF(C1358:E1375,$B1377&amp;" ~*")&gt;0)+(COUNTIF(G1358:I1375,$B1377)+COUNTIF(G1358:I1375,$B1377&amp;" ~*")&gt;0)+(COUNTIF(K1358:M1375,$B1377)+COUNTIF(K1358:M1375,$B1377&amp;" ~*")&gt;0)+(COUNTIF(O1358:Q1375,$B1377)+COUNTIF(O1358:Q1375,$B1377&amp;" ~*")&gt;0)+(COUNTIF(S1358:U1375,$B1377)+COUNTIF(S1358:U1375,$B1377&amp;" ~*")&gt;0)+(COUNTIF(W1358:W1375,$B1377)+COUNTIF(W1358:W1375,$B1377&amp;" ~*")&gt;0)+(COUNTIF(Y1358:Y1375,$B1377)+COUNTIF(Y1358:Y1375,$B1377&amp;" ~*")&gt;0))</f>
        <v/>
      </c>
      <c r="AC1377" s="36">
        <f>IF($B1377="","",(IFERROR(INDEX(Setup!$G$33:$G$40,MATCH(C1377,Setup!$B$33:$B$40,0)),0)=1)*(COUNTIF(C1358:E1375,$B1377)+COUNTIF(C1358:E1375,$B1377&amp;" ~*")&gt;0)+(IFERROR(INDEX(Setup!$G$33:$G$40,MATCH(G1377,Setup!$B$33:$B$40,0)),0)=1)*(COUNTIF(G1358:I1375,$B1377)+COUNTIF(G1358:I1375,$B1377&amp;" ~*")&gt;0)+(IFERROR(INDEX(Setup!$G$33:$G$40,MATCH(K1377,Setup!$B$33:$B$40,0)),0)=1)*(COUNTIF(K1358:M1375,$B1377)+COUNTIF(K1358:M1375,$B1377&amp;" ~*")&gt;0)+(IFERROR(INDEX(Setup!$G$33:$G$40,MATCH(O1377,Setup!$B$33:$B$40,0)),0)=1)*(COUNTIF(O1358:Q1375,$B1377)+COUNTIF(O1358:Q1375,$B1377&amp;" ~*")&gt;0)+(IFERROR(INDEX(Setup!$G$33:$G$40,MATCH(S1377,Setup!$B$33:$B$40,0)),0)=1)*(COUNTIF(S1358:U1375,$B1377)+COUNTIF(S1358:U1375,$B1377&amp;" ~*")&gt;0)+(IFERROR(INDEX(Setup!$G$33:$G$40,MATCH(W1377,Setup!$B$33:$B$40,0)),0)=1)*(COUNTIF(W1358:W1375,$B1377)+COUNTIF(W1358:W1375,$B1377&amp;" ~*")&gt;0)+(IFERROR(INDEX(Setup!$G$33:$G$40,MATCH(Y1377,Setup!$B$33:$B$40,0)),0)=1)*(COUNTIF(Y1358:Y1375,$B1377)+COUNTIF(Y1358:Y1375,$B1377&amp;" ~*")&gt;0))</f>
        <v/>
      </c>
    </row>
    <row r="1378" ht="15" customHeight="1">
      <c r="A1378" t="n">
        <v>28</v>
      </c>
      <c r="B1378" s="37">
        <f>IF(Setup!$B$7="","",Setup!$B$7)</f>
        <v/>
      </c>
      <c r="C1378" s="102" t="n"/>
      <c r="D1378" s="103" t="n"/>
      <c r="E1378" s="103" t="n"/>
      <c r="F1378" s="104" t="n"/>
      <c r="G1378" s="102" t="n"/>
      <c r="H1378" s="103" t="n"/>
      <c r="I1378" s="103" t="n"/>
      <c r="J1378" s="104" t="n"/>
      <c r="K1378" s="102" t="n"/>
      <c r="L1378" s="103" t="n"/>
      <c r="M1378" s="103" t="n"/>
      <c r="N1378" s="104" t="n"/>
      <c r="O1378" s="102" t="n"/>
      <c r="P1378" s="103" t="n"/>
      <c r="Q1378" s="103" t="n"/>
      <c r="R1378" s="104" t="n"/>
      <c r="S1378" s="102" t="n"/>
      <c r="T1378" s="103" t="n"/>
      <c r="U1378" s="103" t="n"/>
      <c r="V1378" s="104" t="n"/>
      <c r="W1378" s="102" t="n"/>
      <c r="X1378" s="104" t="n"/>
      <c r="Y1378" s="102" t="n"/>
      <c r="Z1378" s="104" t="n"/>
      <c r="AB1378" s="105">
        <f>IF($B1378="","",(COUNTIF(C1358:E1375,$B1378)+COUNTIF(C1358:E1375,$B1378&amp;" ~*")&gt;0)+(COUNTIF(G1358:I1375,$B1378)+COUNTIF(G1358:I1375,$B1378&amp;" ~*")&gt;0)+(COUNTIF(K1358:M1375,$B1378)+COUNTIF(K1358:M1375,$B1378&amp;" ~*")&gt;0)+(COUNTIF(O1358:Q1375,$B1378)+COUNTIF(O1358:Q1375,$B1378&amp;" ~*")&gt;0)+(COUNTIF(S1358:U1375,$B1378)+COUNTIF(S1358:U1375,$B1378&amp;" ~*")&gt;0)+(COUNTIF(W1358:W1375,$B1378)+COUNTIF(W1358:W1375,$B1378&amp;" ~*")&gt;0)+(COUNTIF(Y1358:Y1375,$B1378)+COUNTIF(Y1358:Y1375,$B1378&amp;" ~*")&gt;0))</f>
        <v/>
      </c>
      <c r="AC1378" s="38">
        <f>IF($B1378="","",(IFERROR(INDEX(Setup!$G$33:$G$40,MATCH(C1378,Setup!$B$33:$B$40,0)),0)=1)*(COUNTIF(C1358:E1375,$B1378)+COUNTIF(C1358:E1375,$B1378&amp;" ~*")&gt;0)+(IFERROR(INDEX(Setup!$G$33:$G$40,MATCH(G1378,Setup!$B$33:$B$40,0)),0)=1)*(COUNTIF(G1358:I1375,$B1378)+COUNTIF(G1358:I1375,$B1378&amp;" ~*")&gt;0)+(IFERROR(INDEX(Setup!$G$33:$G$40,MATCH(K1378,Setup!$B$33:$B$40,0)),0)=1)*(COUNTIF(K1358:M1375,$B1378)+COUNTIF(K1358:M1375,$B1378&amp;" ~*")&gt;0)+(IFERROR(INDEX(Setup!$G$33:$G$40,MATCH(O1378,Setup!$B$33:$B$40,0)),0)=1)*(COUNTIF(O1358:Q1375,$B1378)+COUNTIF(O1358:Q1375,$B1378&amp;" ~*")&gt;0)+(IFERROR(INDEX(Setup!$G$33:$G$40,MATCH(S1378,Setup!$B$33:$B$40,0)),0)=1)*(COUNTIF(S1358:U1375,$B1378)+COUNTIF(S1358:U1375,$B1378&amp;" ~*")&gt;0)+(IFERROR(INDEX(Setup!$G$33:$G$40,MATCH(W1378,Setup!$B$33:$B$40,0)),0)=1)*(COUNTIF(W1358:W1375,$B1378)+COUNTIF(W1358:W1375,$B1378&amp;" ~*")&gt;0)+(IFERROR(INDEX(Setup!$G$33:$G$40,MATCH(Y1378,Setup!$B$33:$B$40,0)),0)=1)*(COUNTIF(Y1358:Y1375,$B1378)+COUNTIF(Y1358:Y1375,$B1378&amp;" ~*")&gt;0))</f>
        <v/>
      </c>
    </row>
    <row r="1379" ht="15" customHeight="1">
      <c r="A1379" t="n">
        <v>28</v>
      </c>
      <c r="B1379" s="35">
        <f>IF(Setup!$B$8="","",Setup!$B$8)</f>
        <v/>
      </c>
      <c r="C1379" s="98" t="n"/>
      <c r="D1379" s="99" t="n"/>
      <c r="E1379" s="99" t="n"/>
      <c r="F1379" s="100" t="n"/>
      <c r="G1379" s="98" t="n"/>
      <c r="H1379" s="99" t="n"/>
      <c r="I1379" s="99" t="n"/>
      <c r="J1379" s="100" t="n"/>
      <c r="K1379" s="98" t="n"/>
      <c r="L1379" s="99" t="n"/>
      <c r="M1379" s="99" t="n"/>
      <c r="N1379" s="100" t="n"/>
      <c r="O1379" s="98" t="n"/>
      <c r="P1379" s="99" t="n"/>
      <c r="Q1379" s="99" t="n"/>
      <c r="R1379" s="100" t="n"/>
      <c r="S1379" s="98" t="n"/>
      <c r="T1379" s="99" t="n"/>
      <c r="U1379" s="99" t="n"/>
      <c r="V1379" s="100" t="n"/>
      <c r="W1379" s="98" t="n"/>
      <c r="X1379" s="100" t="n"/>
      <c r="Y1379" s="98" t="n"/>
      <c r="Z1379" s="100" t="n"/>
      <c r="AB1379" s="101">
        <f>IF($B1379="","",(COUNTIF(C1358:E1375,$B1379)+COUNTIF(C1358:E1375,$B1379&amp;" ~*")&gt;0)+(COUNTIF(G1358:I1375,$B1379)+COUNTIF(G1358:I1375,$B1379&amp;" ~*")&gt;0)+(COUNTIF(K1358:M1375,$B1379)+COUNTIF(K1358:M1375,$B1379&amp;" ~*")&gt;0)+(COUNTIF(O1358:Q1375,$B1379)+COUNTIF(O1358:Q1375,$B1379&amp;" ~*")&gt;0)+(COUNTIF(S1358:U1375,$B1379)+COUNTIF(S1358:U1375,$B1379&amp;" ~*")&gt;0)+(COUNTIF(W1358:W1375,$B1379)+COUNTIF(W1358:W1375,$B1379&amp;" ~*")&gt;0)+(COUNTIF(Y1358:Y1375,$B1379)+COUNTIF(Y1358:Y1375,$B1379&amp;" ~*")&gt;0))</f>
        <v/>
      </c>
      <c r="AC1379" s="36">
        <f>IF($B1379="","",(IFERROR(INDEX(Setup!$G$33:$G$40,MATCH(C1379,Setup!$B$33:$B$40,0)),0)=1)*(COUNTIF(C1358:E1375,$B1379)+COUNTIF(C1358:E1375,$B1379&amp;" ~*")&gt;0)+(IFERROR(INDEX(Setup!$G$33:$G$40,MATCH(G1379,Setup!$B$33:$B$40,0)),0)=1)*(COUNTIF(G1358:I1375,$B1379)+COUNTIF(G1358:I1375,$B1379&amp;" ~*")&gt;0)+(IFERROR(INDEX(Setup!$G$33:$G$40,MATCH(K1379,Setup!$B$33:$B$40,0)),0)=1)*(COUNTIF(K1358:M1375,$B1379)+COUNTIF(K1358:M1375,$B1379&amp;" ~*")&gt;0)+(IFERROR(INDEX(Setup!$G$33:$G$40,MATCH(O1379,Setup!$B$33:$B$40,0)),0)=1)*(COUNTIF(O1358:Q1375,$B1379)+COUNTIF(O1358:Q1375,$B1379&amp;" ~*")&gt;0)+(IFERROR(INDEX(Setup!$G$33:$G$40,MATCH(S1379,Setup!$B$33:$B$40,0)),0)=1)*(COUNTIF(S1358:U1375,$B1379)+COUNTIF(S1358:U1375,$B1379&amp;" ~*")&gt;0)+(IFERROR(INDEX(Setup!$G$33:$G$40,MATCH(W1379,Setup!$B$33:$B$40,0)),0)=1)*(COUNTIF(W1358:W1375,$B1379)+COUNTIF(W1358:W1375,$B1379&amp;" ~*")&gt;0)+(IFERROR(INDEX(Setup!$G$33:$G$40,MATCH(Y1379,Setup!$B$33:$B$40,0)),0)=1)*(COUNTIF(Y1358:Y1375,$B1379)+COUNTIF(Y1358:Y1375,$B1379&amp;" ~*")&gt;0))</f>
        <v/>
      </c>
    </row>
    <row r="1380" ht="15" customHeight="1">
      <c r="A1380" t="n">
        <v>28</v>
      </c>
      <c r="B1380" s="37">
        <f>IF(Setup!$B$9="","",Setup!$B$9)</f>
        <v/>
      </c>
      <c r="C1380" s="102" t="n"/>
      <c r="D1380" s="103" t="n"/>
      <c r="E1380" s="103" t="n"/>
      <c r="F1380" s="104" t="n"/>
      <c r="G1380" s="102" t="n"/>
      <c r="H1380" s="103" t="n"/>
      <c r="I1380" s="103" t="n"/>
      <c r="J1380" s="104" t="n"/>
      <c r="K1380" s="102" t="n"/>
      <c r="L1380" s="103" t="n"/>
      <c r="M1380" s="103" t="n"/>
      <c r="N1380" s="104" t="n"/>
      <c r="O1380" s="102" t="n"/>
      <c r="P1380" s="103" t="n"/>
      <c r="Q1380" s="103" t="n"/>
      <c r="R1380" s="104" t="n"/>
      <c r="S1380" s="102" t="n"/>
      <c r="T1380" s="103" t="n"/>
      <c r="U1380" s="103" t="n"/>
      <c r="V1380" s="104" t="n"/>
      <c r="W1380" s="102" t="n"/>
      <c r="X1380" s="104" t="n"/>
      <c r="Y1380" s="102" t="n"/>
      <c r="Z1380" s="104" t="n"/>
      <c r="AB1380" s="105">
        <f>IF($B1380="","",(COUNTIF(C1358:E1375,$B1380)+COUNTIF(C1358:E1375,$B1380&amp;" ~*")&gt;0)+(COUNTIF(G1358:I1375,$B1380)+COUNTIF(G1358:I1375,$B1380&amp;" ~*")&gt;0)+(COUNTIF(K1358:M1375,$B1380)+COUNTIF(K1358:M1375,$B1380&amp;" ~*")&gt;0)+(COUNTIF(O1358:Q1375,$B1380)+COUNTIF(O1358:Q1375,$B1380&amp;" ~*")&gt;0)+(COUNTIF(S1358:U1375,$B1380)+COUNTIF(S1358:U1375,$B1380&amp;" ~*")&gt;0)+(COUNTIF(W1358:W1375,$B1380)+COUNTIF(W1358:W1375,$B1380&amp;" ~*")&gt;0)+(COUNTIF(Y1358:Y1375,$B1380)+COUNTIF(Y1358:Y1375,$B1380&amp;" ~*")&gt;0))</f>
        <v/>
      </c>
      <c r="AC1380" s="38">
        <f>IF($B1380="","",(IFERROR(INDEX(Setup!$G$33:$G$40,MATCH(C1380,Setup!$B$33:$B$40,0)),0)=1)*(COUNTIF(C1358:E1375,$B1380)+COUNTIF(C1358:E1375,$B1380&amp;" ~*")&gt;0)+(IFERROR(INDEX(Setup!$G$33:$G$40,MATCH(G1380,Setup!$B$33:$B$40,0)),0)=1)*(COUNTIF(G1358:I1375,$B1380)+COUNTIF(G1358:I1375,$B1380&amp;" ~*")&gt;0)+(IFERROR(INDEX(Setup!$G$33:$G$40,MATCH(K1380,Setup!$B$33:$B$40,0)),0)=1)*(COUNTIF(K1358:M1375,$B1380)+COUNTIF(K1358:M1375,$B1380&amp;" ~*")&gt;0)+(IFERROR(INDEX(Setup!$G$33:$G$40,MATCH(O1380,Setup!$B$33:$B$40,0)),0)=1)*(COUNTIF(O1358:Q1375,$B1380)+COUNTIF(O1358:Q1375,$B1380&amp;" ~*")&gt;0)+(IFERROR(INDEX(Setup!$G$33:$G$40,MATCH(S1380,Setup!$B$33:$B$40,0)),0)=1)*(COUNTIF(S1358:U1375,$B1380)+COUNTIF(S1358:U1375,$B1380&amp;" ~*")&gt;0)+(IFERROR(INDEX(Setup!$G$33:$G$40,MATCH(W1380,Setup!$B$33:$B$40,0)),0)=1)*(COUNTIF(W1358:W1375,$B1380)+COUNTIF(W1358:W1375,$B1380&amp;" ~*")&gt;0)+(IFERROR(INDEX(Setup!$G$33:$G$40,MATCH(Y1380,Setup!$B$33:$B$40,0)),0)=1)*(COUNTIF(Y1358:Y1375,$B1380)+COUNTIF(Y1358:Y1375,$B1380&amp;" ~*")&gt;0))</f>
        <v/>
      </c>
    </row>
    <row r="1381" ht="15" customHeight="1">
      <c r="A1381" t="n">
        <v>28</v>
      </c>
      <c r="B1381" s="35">
        <f>IF(Setup!$B$10="","",Setup!$B$10)</f>
        <v/>
      </c>
      <c r="C1381" s="98" t="n"/>
      <c r="D1381" s="99" t="n"/>
      <c r="E1381" s="99" t="n"/>
      <c r="F1381" s="100" t="n"/>
      <c r="G1381" s="98" t="n"/>
      <c r="H1381" s="99" t="n"/>
      <c r="I1381" s="99" t="n"/>
      <c r="J1381" s="100" t="n"/>
      <c r="K1381" s="98" t="n"/>
      <c r="L1381" s="99" t="n"/>
      <c r="M1381" s="99" t="n"/>
      <c r="N1381" s="100" t="n"/>
      <c r="O1381" s="98" t="n"/>
      <c r="P1381" s="99" t="n"/>
      <c r="Q1381" s="99" t="n"/>
      <c r="R1381" s="100" t="n"/>
      <c r="S1381" s="98" t="n"/>
      <c r="T1381" s="99" t="n"/>
      <c r="U1381" s="99" t="n"/>
      <c r="V1381" s="100" t="n"/>
      <c r="W1381" s="98" t="n"/>
      <c r="X1381" s="100" t="n"/>
      <c r="Y1381" s="98" t="n"/>
      <c r="Z1381" s="100" t="n"/>
      <c r="AB1381" s="101">
        <f>IF($B1381="","",(COUNTIF(C1358:E1375,$B1381)+COUNTIF(C1358:E1375,$B1381&amp;" ~*")&gt;0)+(COUNTIF(G1358:I1375,$B1381)+COUNTIF(G1358:I1375,$B1381&amp;" ~*")&gt;0)+(COUNTIF(K1358:M1375,$B1381)+COUNTIF(K1358:M1375,$B1381&amp;" ~*")&gt;0)+(COUNTIF(O1358:Q1375,$B1381)+COUNTIF(O1358:Q1375,$B1381&amp;" ~*")&gt;0)+(COUNTIF(S1358:U1375,$B1381)+COUNTIF(S1358:U1375,$B1381&amp;" ~*")&gt;0)+(COUNTIF(W1358:W1375,$B1381)+COUNTIF(W1358:W1375,$B1381&amp;" ~*")&gt;0)+(COUNTIF(Y1358:Y1375,$B1381)+COUNTIF(Y1358:Y1375,$B1381&amp;" ~*")&gt;0))</f>
        <v/>
      </c>
      <c r="AC1381" s="36">
        <f>IF($B1381="","",(IFERROR(INDEX(Setup!$G$33:$G$40,MATCH(C1381,Setup!$B$33:$B$40,0)),0)=1)*(COUNTIF(C1358:E1375,$B1381)+COUNTIF(C1358:E1375,$B1381&amp;" ~*")&gt;0)+(IFERROR(INDEX(Setup!$G$33:$G$40,MATCH(G1381,Setup!$B$33:$B$40,0)),0)=1)*(COUNTIF(G1358:I1375,$B1381)+COUNTIF(G1358:I1375,$B1381&amp;" ~*")&gt;0)+(IFERROR(INDEX(Setup!$G$33:$G$40,MATCH(K1381,Setup!$B$33:$B$40,0)),0)=1)*(COUNTIF(K1358:M1375,$B1381)+COUNTIF(K1358:M1375,$B1381&amp;" ~*")&gt;0)+(IFERROR(INDEX(Setup!$G$33:$G$40,MATCH(O1381,Setup!$B$33:$B$40,0)),0)=1)*(COUNTIF(O1358:Q1375,$B1381)+COUNTIF(O1358:Q1375,$B1381&amp;" ~*")&gt;0)+(IFERROR(INDEX(Setup!$G$33:$G$40,MATCH(S1381,Setup!$B$33:$B$40,0)),0)=1)*(COUNTIF(S1358:U1375,$B1381)+COUNTIF(S1358:U1375,$B1381&amp;" ~*")&gt;0)+(IFERROR(INDEX(Setup!$G$33:$G$40,MATCH(W1381,Setup!$B$33:$B$40,0)),0)=1)*(COUNTIF(W1358:W1375,$B1381)+COUNTIF(W1358:W1375,$B1381&amp;" ~*")&gt;0)+(IFERROR(INDEX(Setup!$G$33:$G$40,MATCH(Y1381,Setup!$B$33:$B$40,0)),0)=1)*(COUNTIF(Y1358:Y1375,$B1381)+COUNTIF(Y1358:Y1375,$B1381&amp;" ~*")&gt;0))</f>
        <v/>
      </c>
    </row>
    <row r="1382" ht="15" customHeight="1">
      <c r="A1382" t="n">
        <v>28</v>
      </c>
      <c r="B1382" s="37">
        <f>IF(Setup!$B$11="","",Setup!$B$11)</f>
        <v/>
      </c>
      <c r="C1382" s="102" t="n"/>
      <c r="D1382" s="103" t="n"/>
      <c r="E1382" s="103" t="n"/>
      <c r="F1382" s="104" t="n"/>
      <c r="G1382" s="102" t="n"/>
      <c r="H1382" s="103" t="n"/>
      <c r="I1382" s="103" t="n"/>
      <c r="J1382" s="104" t="n"/>
      <c r="K1382" s="102" t="n"/>
      <c r="L1382" s="103" t="n"/>
      <c r="M1382" s="103" t="n"/>
      <c r="N1382" s="104" t="n"/>
      <c r="O1382" s="102" t="n"/>
      <c r="P1382" s="103" t="n"/>
      <c r="Q1382" s="103" t="n"/>
      <c r="R1382" s="104" t="n"/>
      <c r="S1382" s="102" t="n"/>
      <c r="T1382" s="103" t="n"/>
      <c r="U1382" s="103" t="n"/>
      <c r="V1382" s="104" t="n"/>
      <c r="W1382" s="102" t="n"/>
      <c r="X1382" s="104" t="n"/>
      <c r="Y1382" s="102" t="n"/>
      <c r="Z1382" s="104" t="n"/>
      <c r="AB1382" s="105">
        <f>IF($B1382="","",(COUNTIF(C1358:E1375,$B1382)+COUNTIF(C1358:E1375,$B1382&amp;" ~*")&gt;0)+(COUNTIF(G1358:I1375,$B1382)+COUNTIF(G1358:I1375,$B1382&amp;" ~*")&gt;0)+(COUNTIF(K1358:M1375,$B1382)+COUNTIF(K1358:M1375,$B1382&amp;" ~*")&gt;0)+(COUNTIF(O1358:Q1375,$B1382)+COUNTIF(O1358:Q1375,$B1382&amp;" ~*")&gt;0)+(COUNTIF(S1358:U1375,$B1382)+COUNTIF(S1358:U1375,$B1382&amp;" ~*")&gt;0)+(COUNTIF(W1358:W1375,$B1382)+COUNTIF(W1358:W1375,$B1382&amp;" ~*")&gt;0)+(COUNTIF(Y1358:Y1375,$B1382)+COUNTIF(Y1358:Y1375,$B1382&amp;" ~*")&gt;0))</f>
        <v/>
      </c>
      <c r="AC1382" s="38">
        <f>IF($B1382="","",(IFERROR(INDEX(Setup!$G$33:$G$40,MATCH(C1382,Setup!$B$33:$B$40,0)),0)=1)*(COUNTIF(C1358:E1375,$B1382)+COUNTIF(C1358:E1375,$B1382&amp;" ~*")&gt;0)+(IFERROR(INDEX(Setup!$G$33:$G$40,MATCH(G1382,Setup!$B$33:$B$40,0)),0)=1)*(COUNTIF(G1358:I1375,$B1382)+COUNTIF(G1358:I1375,$B1382&amp;" ~*")&gt;0)+(IFERROR(INDEX(Setup!$G$33:$G$40,MATCH(K1382,Setup!$B$33:$B$40,0)),0)=1)*(COUNTIF(K1358:M1375,$B1382)+COUNTIF(K1358:M1375,$B1382&amp;" ~*")&gt;0)+(IFERROR(INDEX(Setup!$G$33:$G$40,MATCH(O1382,Setup!$B$33:$B$40,0)),0)=1)*(COUNTIF(O1358:Q1375,$B1382)+COUNTIF(O1358:Q1375,$B1382&amp;" ~*")&gt;0)+(IFERROR(INDEX(Setup!$G$33:$G$40,MATCH(S1382,Setup!$B$33:$B$40,0)),0)=1)*(COUNTIF(S1358:U1375,$B1382)+COUNTIF(S1358:U1375,$B1382&amp;" ~*")&gt;0)+(IFERROR(INDEX(Setup!$G$33:$G$40,MATCH(W1382,Setup!$B$33:$B$40,0)),0)=1)*(COUNTIF(W1358:W1375,$B1382)+COUNTIF(W1358:W1375,$B1382&amp;" ~*")&gt;0)+(IFERROR(INDEX(Setup!$G$33:$G$40,MATCH(Y1382,Setup!$B$33:$B$40,0)),0)=1)*(COUNTIF(Y1358:Y1375,$B1382)+COUNTIF(Y1358:Y1375,$B1382&amp;" ~*")&gt;0))</f>
        <v/>
      </c>
    </row>
    <row r="1383" ht="15" customHeight="1">
      <c r="A1383" t="n">
        <v>28</v>
      </c>
      <c r="B1383" s="35">
        <f>IF(Setup!$B$12="","",Setup!$B$12)</f>
        <v/>
      </c>
      <c r="C1383" s="98" t="n"/>
      <c r="D1383" s="99" t="n"/>
      <c r="E1383" s="99" t="n"/>
      <c r="F1383" s="100" t="n"/>
      <c r="G1383" s="98" t="n"/>
      <c r="H1383" s="99" t="n"/>
      <c r="I1383" s="99" t="n"/>
      <c r="J1383" s="100" t="n"/>
      <c r="K1383" s="98" t="n"/>
      <c r="L1383" s="99" t="n"/>
      <c r="M1383" s="99" t="n"/>
      <c r="N1383" s="100" t="n"/>
      <c r="O1383" s="98" t="n"/>
      <c r="P1383" s="99" t="n"/>
      <c r="Q1383" s="99" t="n"/>
      <c r="R1383" s="100" t="n"/>
      <c r="S1383" s="98" t="n"/>
      <c r="T1383" s="99" t="n"/>
      <c r="U1383" s="99" t="n"/>
      <c r="V1383" s="100" t="n"/>
      <c r="W1383" s="98" t="n"/>
      <c r="X1383" s="100" t="n"/>
      <c r="Y1383" s="98" t="n"/>
      <c r="Z1383" s="100" t="n"/>
      <c r="AB1383" s="101">
        <f>IF($B1383="","",(COUNTIF(C1358:E1375,$B1383)+COUNTIF(C1358:E1375,$B1383&amp;" ~*")&gt;0)+(COUNTIF(G1358:I1375,$B1383)+COUNTIF(G1358:I1375,$B1383&amp;" ~*")&gt;0)+(COUNTIF(K1358:M1375,$B1383)+COUNTIF(K1358:M1375,$B1383&amp;" ~*")&gt;0)+(COUNTIF(O1358:Q1375,$B1383)+COUNTIF(O1358:Q1375,$B1383&amp;" ~*")&gt;0)+(COUNTIF(S1358:U1375,$B1383)+COUNTIF(S1358:U1375,$B1383&amp;" ~*")&gt;0)+(COUNTIF(W1358:W1375,$B1383)+COUNTIF(W1358:W1375,$B1383&amp;" ~*")&gt;0)+(COUNTIF(Y1358:Y1375,$B1383)+COUNTIF(Y1358:Y1375,$B1383&amp;" ~*")&gt;0))</f>
        <v/>
      </c>
      <c r="AC1383" s="36">
        <f>IF($B1383="","",(IFERROR(INDEX(Setup!$G$33:$G$40,MATCH(C1383,Setup!$B$33:$B$40,0)),0)=1)*(COUNTIF(C1358:E1375,$B1383)+COUNTIF(C1358:E1375,$B1383&amp;" ~*")&gt;0)+(IFERROR(INDEX(Setup!$G$33:$G$40,MATCH(G1383,Setup!$B$33:$B$40,0)),0)=1)*(COUNTIF(G1358:I1375,$B1383)+COUNTIF(G1358:I1375,$B1383&amp;" ~*")&gt;0)+(IFERROR(INDEX(Setup!$G$33:$G$40,MATCH(K1383,Setup!$B$33:$B$40,0)),0)=1)*(COUNTIF(K1358:M1375,$B1383)+COUNTIF(K1358:M1375,$B1383&amp;" ~*")&gt;0)+(IFERROR(INDEX(Setup!$G$33:$G$40,MATCH(O1383,Setup!$B$33:$B$40,0)),0)=1)*(COUNTIF(O1358:Q1375,$B1383)+COUNTIF(O1358:Q1375,$B1383&amp;" ~*")&gt;0)+(IFERROR(INDEX(Setup!$G$33:$G$40,MATCH(S1383,Setup!$B$33:$B$40,0)),0)=1)*(COUNTIF(S1358:U1375,$B1383)+COUNTIF(S1358:U1375,$B1383&amp;" ~*")&gt;0)+(IFERROR(INDEX(Setup!$G$33:$G$40,MATCH(W1383,Setup!$B$33:$B$40,0)),0)=1)*(COUNTIF(W1358:W1375,$B1383)+COUNTIF(W1358:W1375,$B1383&amp;" ~*")&gt;0)+(IFERROR(INDEX(Setup!$G$33:$G$40,MATCH(Y1383,Setup!$B$33:$B$40,0)),0)=1)*(COUNTIF(Y1358:Y1375,$B1383)+COUNTIF(Y1358:Y1375,$B1383&amp;" ~*")&gt;0))</f>
        <v/>
      </c>
    </row>
    <row r="1384" ht="15" customHeight="1">
      <c r="A1384" t="n">
        <v>28</v>
      </c>
      <c r="B1384" s="37">
        <f>IF(Setup!$B$13="","",Setup!$B$13)</f>
        <v/>
      </c>
      <c r="C1384" s="102" t="n"/>
      <c r="D1384" s="103" t="n"/>
      <c r="E1384" s="103" t="n"/>
      <c r="F1384" s="104" t="n"/>
      <c r="G1384" s="102" t="n"/>
      <c r="H1384" s="103" t="n"/>
      <c r="I1384" s="103" t="n"/>
      <c r="J1384" s="104" t="n"/>
      <c r="K1384" s="102" t="n"/>
      <c r="L1384" s="103" t="n"/>
      <c r="M1384" s="103" t="n"/>
      <c r="N1384" s="104" t="n"/>
      <c r="O1384" s="102" t="n"/>
      <c r="P1384" s="103" t="n"/>
      <c r="Q1384" s="103" t="n"/>
      <c r="R1384" s="104" t="n"/>
      <c r="S1384" s="102" t="n"/>
      <c r="T1384" s="103" t="n"/>
      <c r="U1384" s="103" t="n"/>
      <c r="V1384" s="104" t="n"/>
      <c r="W1384" s="102" t="n"/>
      <c r="X1384" s="104" t="n"/>
      <c r="Y1384" s="102" t="n"/>
      <c r="Z1384" s="104" t="n"/>
      <c r="AB1384" s="105">
        <f>IF($B1384="","",(COUNTIF(C1358:E1375,$B1384)+COUNTIF(C1358:E1375,$B1384&amp;" ~*")&gt;0)+(COUNTIF(G1358:I1375,$B1384)+COUNTIF(G1358:I1375,$B1384&amp;" ~*")&gt;0)+(COUNTIF(K1358:M1375,$B1384)+COUNTIF(K1358:M1375,$B1384&amp;" ~*")&gt;0)+(COUNTIF(O1358:Q1375,$B1384)+COUNTIF(O1358:Q1375,$B1384&amp;" ~*")&gt;0)+(COUNTIF(S1358:U1375,$B1384)+COUNTIF(S1358:U1375,$B1384&amp;" ~*")&gt;0)+(COUNTIF(W1358:W1375,$B1384)+COUNTIF(W1358:W1375,$B1384&amp;" ~*")&gt;0)+(COUNTIF(Y1358:Y1375,$B1384)+COUNTIF(Y1358:Y1375,$B1384&amp;" ~*")&gt;0))</f>
        <v/>
      </c>
      <c r="AC1384" s="38">
        <f>IF($B1384="","",(IFERROR(INDEX(Setup!$G$33:$G$40,MATCH(C1384,Setup!$B$33:$B$40,0)),0)=1)*(COUNTIF(C1358:E1375,$B1384)+COUNTIF(C1358:E1375,$B1384&amp;" ~*")&gt;0)+(IFERROR(INDEX(Setup!$G$33:$G$40,MATCH(G1384,Setup!$B$33:$B$40,0)),0)=1)*(COUNTIF(G1358:I1375,$B1384)+COUNTIF(G1358:I1375,$B1384&amp;" ~*")&gt;0)+(IFERROR(INDEX(Setup!$G$33:$G$40,MATCH(K1384,Setup!$B$33:$B$40,0)),0)=1)*(COUNTIF(K1358:M1375,$B1384)+COUNTIF(K1358:M1375,$B1384&amp;" ~*")&gt;0)+(IFERROR(INDEX(Setup!$G$33:$G$40,MATCH(O1384,Setup!$B$33:$B$40,0)),0)=1)*(COUNTIF(O1358:Q1375,$B1384)+COUNTIF(O1358:Q1375,$B1384&amp;" ~*")&gt;0)+(IFERROR(INDEX(Setup!$G$33:$G$40,MATCH(S1384,Setup!$B$33:$B$40,0)),0)=1)*(COUNTIF(S1358:U1375,$B1384)+COUNTIF(S1358:U1375,$B1384&amp;" ~*")&gt;0)+(IFERROR(INDEX(Setup!$G$33:$G$40,MATCH(W1384,Setup!$B$33:$B$40,0)),0)=1)*(COUNTIF(W1358:W1375,$B1384)+COUNTIF(W1358:W1375,$B1384&amp;" ~*")&gt;0)+(IFERROR(INDEX(Setup!$G$33:$G$40,MATCH(Y1384,Setup!$B$33:$B$40,0)),0)=1)*(COUNTIF(Y1358:Y1375,$B1384)+COUNTIF(Y1358:Y1375,$B1384&amp;" ~*")&gt;0))</f>
        <v/>
      </c>
    </row>
    <row r="1385" ht="15" customHeight="1">
      <c r="A1385" t="n">
        <v>28</v>
      </c>
      <c r="B1385" s="35">
        <f>IF(Setup!$B$14="","",Setup!$B$14)</f>
        <v/>
      </c>
      <c r="C1385" s="98" t="n"/>
      <c r="D1385" s="99" t="n"/>
      <c r="E1385" s="99" t="n"/>
      <c r="F1385" s="100" t="n"/>
      <c r="G1385" s="98" t="n"/>
      <c r="H1385" s="99" t="n"/>
      <c r="I1385" s="99" t="n"/>
      <c r="J1385" s="100" t="n"/>
      <c r="K1385" s="98" t="n"/>
      <c r="L1385" s="99" t="n"/>
      <c r="M1385" s="99" t="n"/>
      <c r="N1385" s="100" t="n"/>
      <c r="O1385" s="98" t="n"/>
      <c r="P1385" s="99" t="n"/>
      <c r="Q1385" s="99" t="n"/>
      <c r="R1385" s="100" t="n"/>
      <c r="S1385" s="98" t="n"/>
      <c r="T1385" s="99" t="n"/>
      <c r="U1385" s="99" t="n"/>
      <c r="V1385" s="100" t="n"/>
      <c r="W1385" s="98" t="n"/>
      <c r="X1385" s="100" t="n"/>
      <c r="Y1385" s="98" t="n"/>
      <c r="Z1385" s="100" t="n"/>
      <c r="AB1385" s="101">
        <f>IF($B1385="","",(COUNTIF(C1358:E1375,$B1385)+COUNTIF(C1358:E1375,$B1385&amp;" ~*")&gt;0)+(COUNTIF(G1358:I1375,$B1385)+COUNTIF(G1358:I1375,$B1385&amp;" ~*")&gt;0)+(COUNTIF(K1358:M1375,$B1385)+COUNTIF(K1358:M1375,$B1385&amp;" ~*")&gt;0)+(COUNTIF(O1358:Q1375,$B1385)+COUNTIF(O1358:Q1375,$B1385&amp;" ~*")&gt;0)+(COUNTIF(S1358:U1375,$B1385)+COUNTIF(S1358:U1375,$B1385&amp;" ~*")&gt;0)+(COUNTIF(W1358:W1375,$B1385)+COUNTIF(W1358:W1375,$B1385&amp;" ~*")&gt;0)+(COUNTIF(Y1358:Y1375,$B1385)+COUNTIF(Y1358:Y1375,$B1385&amp;" ~*")&gt;0))</f>
        <v/>
      </c>
      <c r="AC1385" s="36">
        <f>IF($B1385="","",(IFERROR(INDEX(Setup!$G$33:$G$40,MATCH(C1385,Setup!$B$33:$B$40,0)),0)=1)*(COUNTIF(C1358:E1375,$B1385)+COUNTIF(C1358:E1375,$B1385&amp;" ~*")&gt;0)+(IFERROR(INDEX(Setup!$G$33:$G$40,MATCH(G1385,Setup!$B$33:$B$40,0)),0)=1)*(COUNTIF(G1358:I1375,$B1385)+COUNTIF(G1358:I1375,$B1385&amp;" ~*")&gt;0)+(IFERROR(INDEX(Setup!$G$33:$G$40,MATCH(K1385,Setup!$B$33:$B$40,0)),0)=1)*(COUNTIF(K1358:M1375,$B1385)+COUNTIF(K1358:M1375,$B1385&amp;" ~*")&gt;0)+(IFERROR(INDEX(Setup!$G$33:$G$40,MATCH(O1385,Setup!$B$33:$B$40,0)),0)=1)*(COUNTIF(O1358:Q1375,$B1385)+COUNTIF(O1358:Q1375,$B1385&amp;" ~*")&gt;0)+(IFERROR(INDEX(Setup!$G$33:$G$40,MATCH(S1385,Setup!$B$33:$B$40,0)),0)=1)*(COUNTIF(S1358:U1375,$B1385)+COUNTIF(S1358:U1375,$B1385&amp;" ~*")&gt;0)+(IFERROR(INDEX(Setup!$G$33:$G$40,MATCH(W1385,Setup!$B$33:$B$40,0)),0)=1)*(COUNTIF(W1358:W1375,$B1385)+COUNTIF(W1358:W1375,$B1385&amp;" ~*")&gt;0)+(IFERROR(INDEX(Setup!$G$33:$G$40,MATCH(Y1385,Setup!$B$33:$B$40,0)),0)=1)*(COUNTIF(Y1358:Y1375,$B1385)+COUNTIF(Y1358:Y1375,$B1385&amp;" ~*")&gt;0))</f>
        <v/>
      </c>
    </row>
    <row r="1386" ht="15" customHeight="1">
      <c r="A1386" t="n">
        <v>28</v>
      </c>
      <c r="B1386" s="37">
        <f>IF(Setup!$B$15="","",Setup!$B$15)</f>
        <v/>
      </c>
      <c r="C1386" s="102" t="n"/>
      <c r="D1386" s="103" t="n"/>
      <c r="E1386" s="103" t="n"/>
      <c r="F1386" s="104" t="n"/>
      <c r="G1386" s="102" t="n"/>
      <c r="H1386" s="103" t="n"/>
      <c r="I1386" s="103" t="n"/>
      <c r="J1386" s="104" t="n"/>
      <c r="K1386" s="102" t="inlineStr">
        <is>
          <t>AL</t>
        </is>
      </c>
      <c r="L1386" s="103" t="n"/>
      <c r="M1386" s="103" t="n"/>
      <c r="N1386" s="104" t="n"/>
      <c r="O1386" s="102" t="inlineStr">
        <is>
          <t>AL</t>
        </is>
      </c>
      <c r="P1386" s="103" t="n"/>
      <c r="Q1386" s="103" t="n"/>
      <c r="R1386" s="104" t="n"/>
      <c r="S1386" s="102" t="inlineStr">
        <is>
          <t>AL</t>
        </is>
      </c>
      <c r="T1386" s="103" t="n"/>
      <c r="U1386" s="103" t="n"/>
      <c r="V1386" s="104" t="n"/>
      <c r="W1386" s="102" t="n"/>
      <c r="X1386" s="104" t="n"/>
      <c r="Y1386" s="102" t="n"/>
      <c r="Z1386" s="104" t="n"/>
      <c r="AB1386" s="105">
        <f>IF($B1386="","",(COUNTIF(C1358:E1375,$B1386)+COUNTIF(C1358:E1375,$B1386&amp;" ~*")&gt;0)+(COUNTIF(G1358:I1375,$B1386)+COUNTIF(G1358:I1375,$B1386&amp;" ~*")&gt;0)+(COUNTIF(K1358:M1375,$B1386)+COUNTIF(K1358:M1375,$B1386&amp;" ~*")&gt;0)+(COUNTIF(O1358:Q1375,$B1386)+COUNTIF(O1358:Q1375,$B1386&amp;" ~*")&gt;0)+(COUNTIF(S1358:U1375,$B1386)+COUNTIF(S1358:U1375,$B1386&amp;" ~*")&gt;0)+(COUNTIF(W1358:W1375,$B1386)+COUNTIF(W1358:W1375,$B1386&amp;" ~*")&gt;0)+(COUNTIF(Y1358:Y1375,$B1386)+COUNTIF(Y1358:Y1375,$B1386&amp;" ~*")&gt;0))</f>
        <v/>
      </c>
      <c r="AC1386" s="38">
        <f>IF($B1386="","",(IFERROR(INDEX(Setup!$G$33:$G$40,MATCH(C1386,Setup!$B$33:$B$40,0)),0)=1)*(COUNTIF(C1358:E1375,$B1386)+COUNTIF(C1358:E1375,$B1386&amp;" ~*")&gt;0)+(IFERROR(INDEX(Setup!$G$33:$G$40,MATCH(G1386,Setup!$B$33:$B$40,0)),0)=1)*(COUNTIF(G1358:I1375,$B1386)+COUNTIF(G1358:I1375,$B1386&amp;" ~*")&gt;0)+(IFERROR(INDEX(Setup!$G$33:$G$40,MATCH(K1386,Setup!$B$33:$B$40,0)),0)=1)*(COUNTIF(K1358:M1375,$B1386)+COUNTIF(K1358:M1375,$B1386&amp;" ~*")&gt;0)+(IFERROR(INDEX(Setup!$G$33:$G$40,MATCH(O1386,Setup!$B$33:$B$40,0)),0)=1)*(COUNTIF(O1358:Q1375,$B1386)+COUNTIF(O1358:Q1375,$B1386&amp;" ~*")&gt;0)+(IFERROR(INDEX(Setup!$G$33:$G$40,MATCH(S1386,Setup!$B$33:$B$40,0)),0)=1)*(COUNTIF(S1358:U1375,$B1386)+COUNTIF(S1358:U1375,$B1386&amp;" ~*")&gt;0)+(IFERROR(INDEX(Setup!$G$33:$G$40,MATCH(W1386,Setup!$B$33:$B$40,0)),0)=1)*(COUNTIF(W1358:W1375,$B1386)+COUNTIF(W1358:W1375,$B1386&amp;" ~*")&gt;0)+(IFERROR(INDEX(Setup!$G$33:$G$40,MATCH(Y1386,Setup!$B$33:$B$40,0)),0)=1)*(COUNTIF(Y1358:Y1375,$B1386)+COUNTIF(Y1358:Y1375,$B1386&amp;" ~*")&gt;0))</f>
        <v/>
      </c>
    </row>
    <row r="1387" ht="15" customHeight="1">
      <c r="A1387" t="n">
        <v>28</v>
      </c>
      <c r="B1387" s="35">
        <f>IF(Setup!$B$16="","",Setup!$B$16)</f>
        <v/>
      </c>
      <c r="C1387" s="98" t="n"/>
      <c r="D1387" s="99" t="n"/>
      <c r="E1387" s="99" t="n"/>
      <c r="F1387" s="100" t="n"/>
      <c r="G1387" s="98" t="n"/>
      <c r="H1387" s="99" t="n"/>
      <c r="I1387" s="99" t="n"/>
      <c r="J1387" s="100" t="n"/>
      <c r="K1387" s="98" t="n"/>
      <c r="L1387" s="99" t="n"/>
      <c r="M1387" s="99" t="n"/>
      <c r="N1387" s="100" t="n"/>
      <c r="O1387" s="98" t="n"/>
      <c r="P1387" s="99" t="n"/>
      <c r="Q1387" s="99" t="n"/>
      <c r="R1387" s="100" t="n"/>
      <c r="S1387" s="98" t="n"/>
      <c r="T1387" s="99" t="n"/>
      <c r="U1387" s="99" t="n"/>
      <c r="V1387" s="100" t="n"/>
      <c r="W1387" s="98" t="n"/>
      <c r="X1387" s="100" t="n"/>
      <c r="Y1387" s="98" t="n"/>
      <c r="Z1387" s="100" t="n"/>
      <c r="AB1387" s="101">
        <f>IF($B1387="","",(COUNTIF(C1358:E1375,$B1387)+COUNTIF(C1358:E1375,$B1387&amp;" ~*")&gt;0)+(COUNTIF(G1358:I1375,$B1387)+COUNTIF(G1358:I1375,$B1387&amp;" ~*")&gt;0)+(COUNTIF(K1358:M1375,$B1387)+COUNTIF(K1358:M1375,$B1387&amp;" ~*")&gt;0)+(COUNTIF(O1358:Q1375,$B1387)+COUNTIF(O1358:Q1375,$B1387&amp;" ~*")&gt;0)+(COUNTIF(S1358:U1375,$B1387)+COUNTIF(S1358:U1375,$B1387&amp;" ~*")&gt;0)+(COUNTIF(W1358:W1375,$B1387)+COUNTIF(W1358:W1375,$B1387&amp;" ~*")&gt;0)+(COUNTIF(Y1358:Y1375,$B1387)+COUNTIF(Y1358:Y1375,$B1387&amp;" ~*")&gt;0))</f>
        <v/>
      </c>
      <c r="AC1387" s="36">
        <f>IF($B1387="","",(IFERROR(INDEX(Setup!$G$33:$G$40,MATCH(C1387,Setup!$B$33:$B$40,0)),0)=1)*(COUNTIF(C1358:E1375,$B1387)+COUNTIF(C1358:E1375,$B1387&amp;" ~*")&gt;0)+(IFERROR(INDEX(Setup!$G$33:$G$40,MATCH(G1387,Setup!$B$33:$B$40,0)),0)=1)*(COUNTIF(G1358:I1375,$B1387)+COUNTIF(G1358:I1375,$B1387&amp;" ~*")&gt;0)+(IFERROR(INDEX(Setup!$G$33:$G$40,MATCH(K1387,Setup!$B$33:$B$40,0)),0)=1)*(COUNTIF(K1358:M1375,$B1387)+COUNTIF(K1358:M1375,$B1387&amp;" ~*")&gt;0)+(IFERROR(INDEX(Setup!$G$33:$G$40,MATCH(O1387,Setup!$B$33:$B$40,0)),0)=1)*(COUNTIF(O1358:Q1375,$B1387)+COUNTIF(O1358:Q1375,$B1387&amp;" ~*")&gt;0)+(IFERROR(INDEX(Setup!$G$33:$G$40,MATCH(S1387,Setup!$B$33:$B$40,0)),0)=1)*(COUNTIF(S1358:U1375,$B1387)+COUNTIF(S1358:U1375,$B1387&amp;" ~*")&gt;0)+(IFERROR(INDEX(Setup!$G$33:$G$40,MATCH(W1387,Setup!$B$33:$B$40,0)),0)=1)*(COUNTIF(W1358:W1375,$B1387)+COUNTIF(W1358:W1375,$B1387&amp;" ~*")&gt;0)+(IFERROR(INDEX(Setup!$G$33:$G$40,MATCH(Y1387,Setup!$B$33:$B$40,0)),0)=1)*(COUNTIF(Y1358:Y1375,$B1387)+COUNTIF(Y1358:Y1375,$B1387&amp;" ~*")&gt;0))</f>
        <v/>
      </c>
    </row>
    <row r="1388" ht="15" customHeight="1">
      <c r="A1388" t="n">
        <v>28</v>
      </c>
      <c r="B1388" s="37">
        <f>IF(Setup!$B$17="","",Setup!$B$17)</f>
        <v/>
      </c>
      <c r="C1388" s="102" t="n"/>
      <c r="D1388" s="103" t="n"/>
      <c r="E1388" s="103" t="n"/>
      <c r="F1388" s="104" t="n"/>
      <c r="G1388" s="102" t="n"/>
      <c r="H1388" s="103" t="n"/>
      <c r="I1388" s="103" t="n"/>
      <c r="J1388" s="104" t="n"/>
      <c r="K1388" s="102" t="n"/>
      <c r="L1388" s="103" t="n"/>
      <c r="M1388" s="103" t="n"/>
      <c r="N1388" s="104" t="n"/>
      <c r="O1388" s="102" t="n"/>
      <c r="P1388" s="103" t="n"/>
      <c r="Q1388" s="103" t="n"/>
      <c r="R1388" s="104" t="n"/>
      <c r="S1388" s="102" t="n"/>
      <c r="T1388" s="103" t="n"/>
      <c r="U1388" s="103" t="n"/>
      <c r="V1388" s="104" t="n"/>
      <c r="W1388" s="102" t="n"/>
      <c r="X1388" s="104" t="n"/>
      <c r="Y1388" s="102" t="n"/>
      <c r="Z1388" s="104" t="n"/>
      <c r="AB1388" s="105">
        <f>IF($B1388="","",(COUNTIF(C1358:E1375,$B1388)+COUNTIF(C1358:E1375,$B1388&amp;" ~*")&gt;0)+(COUNTIF(G1358:I1375,$B1388)+COUNTIF(G1358:I1375,$B1388&amp;" ~*")&gt;0)+(COUNTIF(K1358:M1375,$B1388)+COUNTIF(K1358:M1375,$B1388&amp;" ~*")&gt;0)+(COUNTIF(O1358:Q1375,$B1388)+COUNTIF(O1358:Q1375,$B1388&amp;" ~*")&gt;0)+(COUNTIF(S1358:U1375,$B1388)+COUNTIF(S1358:U1375,$B1388&amp;" ~*")&gt;0)+(COUNTIF(W1358:W1375,$B1388)+COUNTIF(W1358:W1375,$B1388&amp;" ~*")&gt;0)+(COUNTIF(Y1358:Y1375,$B1388)+COUNTIF(Y1358:Y1375,$B1388&amp;" ~*")&gt;0))</f>
        <v/>
      </c>
      <c r="AC1388" s="38">
        <f>IF($B1388="","",(IFERROR(INDEX(Setup!$G$33:$G$40,MATCH(C1388,Setup!$B$33:$B$40,0)),0)=1)*(COUNTIF(C1358:E1375,$B1388)+COUNTIF(C1358:E1375,$B1388&amp;" ~*")&gt;0)+(IFERROR(INDEX(Setup!$G$33:$G$40,MATCH(G1388,Setup!$B$33:$B$40,0)),0)=1)*(COUNTIF(G1358:I1375,$B1388)+COUNTIF(G1358:I1375,$B1388&amp;" ~*")&gt;0)+(IFERROR(INDEX(Setup!$G$33:$G$40,MATCH(K1388,Setup!$B$33:$B$40,0)),0)=1)*(COUNTIF(K1358:M1375,$B1388)+COUNTIF(K1358:M1375,$B1388&amp;" ~*")&gt;0)+(IFERROR(INDEX(Setup!$G$33:$G$40,MATCH(O1388,Setup!$B$33:$B$40,0)),0)=1)*(COUNTIF(O1358:Q1375,$B1388)+COUNTIF(O1358:Q1375,$B1388&amp;" ~*")&gt;0)+(IFERROR(INDEX(Setup!$G$33:$G$40,MATCH(S1388,Setup!$B$33:$B$40,0)),0)=1)*(COUNTIF(S1358:U1375,$B1388)+COUNTIF(S1358:U1375,$B1388&amp;" ~*")&gt;0)+(IFERROR(INDEX(Setup!$G$33:$G$40,MATCH(W1388,Setup!$B$33:$B$40,0)),0)=1)*(COUNTIF(W1358:W1375,$B1388)+COUNTIF(W1358:W1375,$B1388&amp;" ~*")&gt;0)+(IFERROR(INDEX(Setup!$G$33:$G$40,MATCH(Y1388,Setup!$B$33:$B$40,0)),0)=1)*(COUNTIF(Y1358:Y1375,$B1388)+COUNTIF(Y1358:Y1375,$B1388&amp;" ~*")&gt;0))</f>
        <v/>
      </c>
    </row>
    <row r="1389" ht="15" customHeight="1">
      <c r="A1389" t="n">
        <v>28</v>
      </c>
      <c r="B1389" s="35">
        <f>IF(Setup!$B$18="","",Setup!$B$18)</f>
        <v/>
      </c>
      <c r="C1389" s="98" t="n"/>
      <c r="D1389" s="99" t="n"/>
      <c r="E1389" s="99" t="n"/>
      <c r="F1389" s="100" t="n"/>
      <c r="G1389" s="98" t="n"/>
      <c r="H1389" s="99" t="n"/>
      <c r="I1389" s="99" t="n"/>
      <c r="J1389" s="100" t="n"/>
      <c r="K1389" s="98" t="n"/>
      <c r="L1389" s="99" t="n"/>
      <c r="M1389" s="99" t="n"/>
      <c r="N1389" s="100" t="n"/>
      <c r="O1389" s="98" t="n"/>
      <c r="P1389" s="99" t="n"/>
      <c r="Q1389" s="99" t="n"/>
      <c r="R1389" s="100" t="n"/>
      <c r="S1389" s="98" t="n"/>
      <c r="T1389" s="99" t="n"/>
      <c r="U1389" s="99" t="n"/>
      <c r="V1389" s="100" t="n"/>
      <c r="W1389" s="98" t="n"/>
      <c r="X1389" s="100" t="n"/>
      <c r="Y1389" s="98" t="n"/>
      <c r="Z1389" s="100" t="n"/>
      <c r="AB1389" s="101">
        <f>IF($B1389="","",(COUNTIF(C1358:E1375,$B1389)+COUNTIF(C1358:E1375,$B1389&amp;" ~*")&gt;0)+(COUNTIF(G1358:I1375,$B1389)+COUNTIF(G1358:I1375,$B1389&amp;" ~*")&gt;0)+(COUNTIF(K1358:M1375,$B1389)+COUNTIF(K1358:M1375,$B1389&amp;" ~*")&gt;0)+(COUNTIF(O1358:Q1375,$B1389)+COUNTIF(O1358:Q1375,$B1389&amp;" ~*")&gt;0)+(COUNTIF(S1358:U1375,$B1389)+COUNTIF(S1358:U1375,$B1389&amp;" ~*")&gt;0)+(COUNTIF(W1358:W1375,$B1389)+COUNTIF(W1358:W1375,$B1389&amp;" ~*")&gt;0)+(COUNTIF(Y1358:Y1375,$B1389)+COUNTIF(Y1358:Y1375,$B1389&amp;" ~*")&gt;0))</f>
        <v/>
      </c>
      <c r="AC1389" s="36">
        <f>IF($B1389="","",(IFERROR(INDEX(Setup!$G$33:$G$40,MATCH(C1389,Setup!$B$33:$B$40,0)),0)=1)*(COUNTIF(C1358:E1375,$B1389)+COUNTIF(C1358:E1375,$B1389&amp;" ~*")&gt;0)+(IFERROR(INDEX(Setup!$G$33:$G$40,MATCH(G1389,Setup!$B$33:$B$40,0)),0)=1)*(COUNTIF(G1358:I1375,$B1389)+COUNTIF(G1358:I1375,$B1389&amp;" ~*")&gt;0)+(IFERROR(INDEX(Setup!$G$33:$G$40,MATCH(K1389,Setup!$B$33:$B$40,0)),0)=1)*(COUNTIF(K1358:M1375,$B1389)+COUNTIF(K1358:M1375,$B1389&amp;" ~*")&gt;0)+(IFERROR(INDEX(Setup!$G$33:$G$40,MATCH(O1389,Setup!$B$33:$B$40,0)),0)=1)*(COUNTIF(O1358:Q1375,$B1389)+COUNTIF(O1358:Q1375,$B1389&amp;" ~*")&gt;0)+(IFERROR(INDEX(Setup!$G$33:$G$40,MATCH(S1389,Setup!$B$33:$B$40,0)),0)=1)*(COUNTIF(S1358:U1375,$B1389)+COUNTIF(S1358:U1375,$B1389&amp;" ~*")&gt;0)+(IFERROR(INDEX(Setup!$G$33:$G$40,MATCH(W1389,Setup!$B$33:$B$40,0)),0)=1)*(COUNTIF(W1358:W1375,$B1389)+COUNTIF(W1358:W1375,$B1389&amp;" ~*")&gt;0)+(IFERROR(INDEX(Setup!$G$33:$G$40,MATCH(Y1389,Setup!$B$33:$B$40,0)),0)=1)*(COUNTIF(Y1358:Y1375,$B1389)+COUNTIF(Y1358:Y1375,$B1389&amp;" ~*")&gt;0))</f>
        <v/>
      </c>
    </row>
    <row r="1390" ht="15" customHeight="1">
      <c r="A1390" t="n">
        <v>28</v>
      </c>
      <c r="B1390" s="37">
        <f>IF(Setup!$B$19="","",Setup!$B$19)</f>
        <v/>
      </c>
      <c r="C1390" s="102" t="n"/>
      <c r="D1390" s="103" t="n"/>
      <c r="E1390" s="103" t="n"/>
      <c r="F1390" s="104" t="n"/>
      <c r="G1390" s="102" t="n"/>
      <c r="H1390" s="103" t="n"/>
      <c r="I1390" s="103" t="n"/>
      <c r="J1390" s="104" t="n"/>
      <c r="K1390" s="102" t="n"/>
      <c r="L1390" s="103" t="n"/>
      <c r="M1390" s="103" t="n"/>
      <c r="N1390" s="104" t="n"/>
      <c r="O1390" s="102" t="n"/>
      <c r="P1390" s="103" t="n"/>
      <c r="Q1390" s="103" t="n"/>
      <c r="R1390" s="104" t="n"/>
      <c r="S1390" s="102" t="n"/>
      <c r="T1390" s="103" t="n"/>
      <c r="U1390" s="103" t="n"/>
      <c r="V1390" s="104" t="n"/>
      <c r="W1390" s="102" t="n"/>
      <c r="X1390" s="104" t="n"/>
      <c r="Y1390" s="102" t="n"/>
      <c r="Z1390" s="104" t="n"/>
      <c r="AB1390" s="105">
        <f>IF($B1390="","",(COUNTIF(C1358:E1375,$B1390)+COUNTIF(C1358:E1375,$B1390&amp;" ~*")&gt;0)+(COUNTIF(G1358:I1375,$B1390)+COUNTIF(G1358:I1375,$B1390&amp;" ~*")&gt;0)+(COUNTIF(K1358:M1375,$B1390)+COUNTIF(K1358:M1375,$B1390&amp;" ~*")&gt;0)+(COUNTIF(O1358:Q1375,$B1390)+COUNTIF(O1358:Q1375,$B1390&amp;" ~*")&gt;0)+(COUNTIF(S1358:U1375,$B1390)+COUNTIF(S1358:U1375,$B1390&amp;" ~*")&gt;0)+(COUNTIF(W1358:W1375,$B1390)+COUNTIF(W1358:W1375,$B1390&amp;" ~*")&gt;0)+(COUNTIF(Y1358:Y1375,$B1390)+COUNTIF(Y1358:Y1375,$B1390&amp;" ~*")&gt;0))</f>
        <v/>
      </c>
      <c r="AC1390" s="38">
        <f>IF($B1390="","",(IFERROR(INDEX(Setup!$G$33:$G$40,MATCH(C1390,Setup!$B$33:$B$40,0)),0)=1)*(COUNTIF(C1358:E1375,$B1390)+COUNTIF(C1358:E1375,$B1390&amp;" ~*")&gt;0)+(IFERROR(INDEX(Setup!$G$33:$G$40,MATCH(G1390,Setup!$B$33:$B$40,0)),0)=1)*(COUNTIF(G1358:I1375,$B1390)+COUNTIF(G1358:I1375,$B1390&amp;" ~*")&gt;0)+(IFERROR(INDEX(Setup!$G$33:$G$40,MATCH(K1390,Setup!$B$33:$B$40,0)),0)=1)*(COUNTIF(K1358:M1375,$B1390)+COUNTIF(K1358:M1375,$B1390&amp;" ~*")&gt;0)+(IFERROR(INDEX(Setup!$G$33:$G$40,MATCH(O1390,Setup!$B$33:$B$40,0)),0)=1)*(COUNTIF(O1358:Q1375,$B1390)+COUNTIF(O1358:Q1375,$B1390&amp;" ~*")&gt;0)+(IFERROR(INDEX(Setup!$G$33:$G$40,MATCH(S1390,Setup!$B$33:$B$40,0)),0)=1)*(COUNTIF(S1358:U1375,$B1390)+COUNTIF(S1358:U1375,$B1390&amp;" ~*")&gt;0)+(IFERROR(INDEX(Setup!$G$33:$G$40,MATCH(W1390,Setup!$B$33:$B$40,0)),0)=1)*(COUNTIF(W1358:W1375,$B1390)+COUNTIF(W1358:W1375,$B1390&amp;" ~*")&gt;0)+(IFERROR(INDEX(Setup!$G$33:$G$40,MATCH(Y1390,Setup!$B$33:$B$40,0)),0)=1)*(COUNTIF(Y1358:Y1375,$B1390)+COUNTIF(Y1358:Y1375,$B1390&amp;" ~*")&gt;0))</f>
        <v/>
      </c>
    </row>
    <row r="1391" ht="15" customHeight="1">
      <c r="A1391" t="n">
        <v>28</v>
      </c>
      <c r="B1391" s="35">
        <f>IF(Setup!$B$20="","",Setup!$B$20)</f>
        <v/>
      </c>
      <c r="C1391" s="98" t="n"/>
      <c r="D1391" s="99" t="n"/>
      <c r="E1391" s="99" t="n"/>
      <c r="F1391" s="100" t="n"/>
      <c r="G1391" s="98" t="n"/>
      <c r="H1391" s="99" t="n"/>
      <c r="I1391" s="99" t="n"/>
      <c r="J1391" s="100" t="n"/>
      <c r="K1391" s="98" t="n"/>
      <c r="L1391" s="99" t="n"/>
      <c r="M1391" s="99" t="n"/>
      <c r="N1391" s="100" t="n"/>
      <c r="O1391" s="98" t="n"/>
      <c r="P1391" s="99" t="n"/>
      <c r="Q1391" s="99" t="n"/>
      <c r="R1391" s="100" t="n"/>
      <c r="S1391" s="98" t="n"/>
      <c r="T1391" s="99" t="n"/>
      <c r="U1391" s="99" t="n"/>
      <c r="V1391" s="100" t="n"/>
      <c r="W1391" s="98" t="n"/>
      <c r="X1391" s="100" t="n"/>
      <c r="Y1391" s="98" t="n"/>
      <c r="Z1391" s="100" t="n"/>
      <c r="AB1391" s="101">
        <f>IF($B1391="","",(COUNTIF(C1358:E1375,$B1391)+COUNTIF(C1358:E1375,$B1391&amp;" ~*")&gt;0)+(COUNTIF(G1358:I1375,$B1391)+COUNTIF(G1358:I1375,$B1391&amp;" ~*")&gt;0)+(COUNTIF(K1358:M1375,$B1391)+COUNTIF(K1358:M1375,$B1391&amp;" ~*")&gt;0)+(COUNTIF(O1358:Q1375,$B1391)+COUNTIF(O1358:Q1375,$B1391&amp;" ~*")&gt;0)+(COUNTIF(S1358:U1375,$B1391)+COUNTIF(S1358:U1375,$B1391&amp;" ~*")&gt;0)+(COUNTIF(W1358:W1375,$B1391)+COUNTIF(W1358:W1375,$B1391&amp;" ~*")&gt;0)+(COUNTIF(Y1358:Y1375,$B1391)+COUNTIF(Y1358:Y1375,$B1391&amp;" ~*")&gt;0))</f>
        <v/>
      </c>
      <c r="AC1391" s="36">
        <f>IF($B1391="","",(IFERROR(INDEX(Setup!$G$33:$G$40,MATCH(C1391,Setup!$B$33:$B$40,0)),0)=1)*(COUNTIF(C1358:E1375,$B1391)+COUNTIF(C1358:E1375,$B1391&amp;" ~*")&gt;0)+(IFERROR(INDEX(Setup!$G$33:$G$40,MATCH(G1391,Setup!$B$33:$B$40,0)),0)=1)*(COUNTIF(G1358:I1375,$B1391)+COUNTIF(G1358:I1375,$B1391&amp;" ~*")&gt;0)+(IFERROR(INDEX(Setup!$G$33:$G$40,MATCH(K1391,Setup!$B$33:$B$40,0)),0)=1)*(COUNTIF(K1358:M1375,$B1391)+COUNTIF(K1358:M1375,$B1391&amp;" ~*")&gt;0)+(IFERROR(INDEX(Setup!$G$33:$G$40,MATCH(O1391,Setup!$B$33:$B$40,0)),0)=1)*(COUNTIF(O1358:Q1375,$B1391)+COUNTIF(O1358:Q1375,$B1391&amp;" ~*")&gt;0)+(IFERROR(INDEX(Setup!$G$33:$G$40,MATCH(S1391,Setup!$B$33:$B$40,0)),0)=1)*(COUNTIF(S1358:U1375,$B1391)+COUNTIF(S1358:U1375,$B1391&amp;" ~*")&gt;0)+(IFERROR(INDEX(Setup!$G$33:$G$40,MATCH(W1391,Setup!$B$33:$B$40,0)),0)=1)*(COUNTIF(W1358:W1375,$B1391)+COUNTIF(W1358:W1375,$B1391&amp;" ~*")&gt;0)+(IFERROR(INDEX(Setup!$G$33:$G$40,MATCH(Y1391,Setup!$B$33:$B$40,0)),0)=1)*(COUNTIF(Y1358:Y1375,$B1391)+COUNTIF(Y1358:Y1375,$B1391&amp;" ~*")&gt;0))</f>
        <v/>
      </c>
    </row>
    <row r="1392" ht="15" customHeight="1">
      <c r="A1392" t="n">
        <v>28</v>
      </c>
      <c r="B1392" s="37">
        <f>IF(Setup!$B$21="","",Setup!$B$21)</f>
        <v/>
      </c>
      <c r="C1392" s="102" t="n"/>
      <c r="D1392" s="103" t="n"/>
      <c r="E1392" s="103" t="n"/>
      <c r="F1392" s="104" t="n"/>
      <c r="G1392" s="102" t="n"/>
      <c r="H1392" s="103" t="n"/>
      <c r="I1392" s="103" t="n"/>
      <c r="J1392" s="104" t="n"/>
      <c r="K1392" s="102" t="n"/>
      <c r="L1392" s="103" t="n"/>
      <c r="M1392" s="103" t="n"/>
      <c r="N1392" s="104" t="n"/>
      <c r="O1392" s="102" t="n"/>
      <c r="P1392" s="103" t="n"/>
      <c r="Q1392" s="103" t="n"/>
      <c r="R1392" s="104" t="n"/>
      <c r="S1392" s="102" t="n"/>
      <c r="T1392" s="103" t="n"/>
      <c r="U1392" s="103" t="n"/>
      <c r="V1392" s="104" t="n"/>
      <c r="W1392" s="102" t="n"/>
      <c r="X1392" s="104" t="n"/>
      <c r="Y1392" s="102" t="n"/>
      <c r="Z1392" s="104" t="n"/>
      <c r="AB1392" s="105">
        <f>IF($B1392="","",(COUNTIF(C1358:E1375,$B1392)+COUNTIF(C1358:E1375,$B1392&amp;" ~*")&gt;0)+(COUNTIF(G1358:I1375,$B1392)+COUNTIF(G1358:I1375,$B1392&amp;" ~*")&gt;0)+(COUNTIF(K1358:M1375,$B1392)+COUNTIF(K1358:M1375,$B1392&amp;" ~*")&gt;0)+(COUNTIF(O1358:Q1375,$B1392)+COUNTIF(O1358:Q1375,$B1392&amp;" ~*")&gt;0)+(COUNTIF(S1358:U1375,$B1392)+COUNTIF(S1358:U1375,$B1392&amp;" ~*")&gt;0)+(COUNTIF(W1358:W1375,$B1392)+COUNTIF(W1358:W1375,$B1392&amp;" ~*")&gt;0)+(COUNTIF(Y1358:Y1375,$B1392)+COUNTIF(Y1358:Y1375,$B1392&amp;" ~*")&gt;0))</f>
        <v/>
      </c>
      <c r="AC1392" s="38">
        <f>IF($B1392="","",(IFERROR(INDEX(Setup!$G$33:$G$40,MATCH(C1392,Setup!$B$33:$B$40,0)),0)=1)*(COUNTIF(C1358:E1375,$B1392)+COUNTIF(C1358:E1375,$B1392&amp;" ~*")&gt;0)+(IFERROR(INDEX(Setup!$G$33:$G$40,MATCH(G1392,Setup!$B$33:$B$40,0)),0)=1)*(COUNTIF(G1358:I1375,$B1392)+COUNTIF(G1358:I1375,$B1392&amp;" ~*")&gt;0)+(IFERROR(INDEX(Setup!$G$33:$G$40,MATCH(K1392,Setup!$B$33:$B$40,0)),0)=1)*(COUNTIF(K1358:M1375,$B1392)+COUNTIF(K1358:M1375,$B1392&amp;" ~*")&gt;0)+(IFERROR(INDEX(Setup!$G$33:$G$40,MATCH(O1392,Setup!$B$33:$B$40,0)),0)=1)*(COUNTIF(O1358:Q1375,$B1392)+COUNTIF(O1358:Q1375,$B1392&amp;" ~*")&gt;0)+(IFERROR(INDEX(Setup!$G$33:$G$40,MATCH(S1392,Setup!$B$33:$B$40,0)),0)=1)*(COUNTIF(S1358:U1375,$B1392)+COUNTIF(S1358:U1375,$B1392&amp;" ~*")&gt;0)+(IFERROR(INDEX(Setup!$G$33:$G$40,MATCH(W1392,Setup!$B$33:$B$40,0)),0)=1)*(COUNTIF(W1358:W1375,$B1392)+COUNTIF(W1358:W1375,$B1392&amp;" ~*")&gt;0)+(IFERROR(INDEX(Setup!$G$33:$G$40,MATCH(Y1392,Setup!$B$33:$B$40,0)),0)=1)*(COUNTIF(Y1358:Y1375,$B1392)+COUNTIF(Y1358:Y1375,$B1392&amp;" ~*")&gt;0))</f>
        <v/>
      </c>
    </row>
    <row r="1393" ht="15" customHeight="1">
      <c r="A1393" t="n">
        <v>28</v>
      </c>
      <c r="B1393" s="35">
        <f>IF(Setup!$B$22="","",Setup!$B$22)</f>
        <v/>
      </c>
      <c r="C1393" s="98" t="n"/>
      <c r="D1393" s="99" t="n"/>
      <c r="E1393" s="99" t="n"/>
      <c r="F1393" s="100" t="n"/>
      <c r="G1393" s="98" t="n"/>
      <c r="H1393" s="99" t="n"/>
      <c r="I1393" s="99" t="n"/>
      <c r="J1393" s="100" t="n"/>
      <c r="K1393" s="98" t="n"/>
      <c r="L1393" s="99" t="n"/>
      <c r="M1393" s="99" t="n"/>
      <c r="N1393" s="100" t="n"/>
      <c r="O1393" s="98" t="n"/>
      <c r="P1393" s="99" t="n"/>
      <c r="Q1393" s="99" t="n"/>
      <c r="R1393" s="100" t="n"/>
      <c r="S1393" s="98" t="n"/>
      <c r="T1393" s="99" t="n"/>
      <c r="U1393" s="99" t="n"/>
      <c r="V1393" s="100" t="n"/>
      <c r="W1393" s="98" t="n"/>
      <c r="X1393" s="100" t="n"/>
      <c r="Y1393" s="98" t="n"/>
      <c r="Z1393" s="100" t="n"/>
      <c r="AB1393" s="101">
        <f>IF($B1393="","",(COUNTIF(C1358:E1375,$B1393)+COUNTIF(C1358:E1375,$B1393&amp;" ~*")&gt;0)+(COUNTIF(G1358:I1375,$B1393)+COUNTIF(G1358:I1375,$B1393&amp;" ~*")&gt;0)+(COUNTIF(K1358:M1375,$B1393)+COUNTIF(K1358:M1375,$B1393&amp;" ~*")&gt;0)+(COUNTIF(O1358:Q1375,$B1393)+COUNTIF(O1358:Q1375,$B1393&amp;" ~*")&gt;0)+(COUNTIF(S1358:U1375,$B1393)+COUNTIF(S1358:U1375,$B1393&amp;" ~*")&gt;0)+(COUNTIF(W1358:W1375,$B1393)+COUNTIF(W1358:W1375,$B1393&amp;" ~*")&gt;0)+(COUNTIF(Y1358:Y1375,$B1393)+COUNTIF(Y1358:Y1375,$B1393&amp;" ~*")&gt;0))</f>
        <v/>
      </c>
      <c r="AC1393" s="36">
        <f>IF($B1393="","",(IFERROR(INDEX(Setup!$G$33:$G$40,MATCH(C1393,Setup!$B$33:$B$40,0)),0)=1)*(COUNTIF(C1358:E1375,$B1393)+COUNTIF(C1358:E1375,$B1393&amp;" ~*")&gt;0)+(IFERROR(INDEX(Setup!$G$33:$G$40,MATCH(G1393,Setup!$B$33:$B$40,0)),0)=1)*(COUNTIF(G1358:I1375,$B1393)+COUNTIF(G1358:I1375,$B1393&amp;" ~*")&gt;0)+(IFERROR(INDEX(Setup!$G$33:$G$40,MATCH(K1393,Setup!$B$33:$B$40,0)),0)=1)*(COUNTIF(K1358:M1375,$B1393)+COUNTIF(K1358:M1375,$B1393&amp;" ~*")&gt;0)+(IFERROR(INDEX(Setup!$G$33:$G$40,MATCH(O1393,Setup!$B$33:$B$40,0)),0)=1)*(COUNTIF(O1358:Q1375,$B1393)+COUNTIF(O1358:Q1375,$B1393&amp;" ~*")&gt;0)+(IFERROR(INDEX(Setup!$G$33:$G$40,MATCH(S1393,Setup!$B$33:$B$40,0)),0)=1)*(COUNTIF(S1358:U1375,$B1393)+COUNTIF(S1358:U1375,$B1393&amp;" ~*")&gt;0)+(IFERROR(INDEX(Setup!$G$33:$G$40,MATCH(W1393,Setup!$B$33:$B$40,0)),0)=1)*(COUNTIF(W1358:W1375,$B1393)+COUNTIF(W1358:W1375,$B1393&amp;" ~*")&gt;0)+(IFERROR(INDEX(Setup!$G$33:$G$40,MATCH(Y1393,Setup!$B$33:$B$40,0)),0)=1)*(COUNTIF(Y1358:Y1375,$B1393)+COUNTIF(Y1358:Y1375,$B1393&amp;" ~*")&gt;0))</f>
        <v/>
      </c>
    </row>
    <row r="1394" ht="15" customHeight="1">
      <c r="A1394" t="n">
        <v>28</v>
      </c>
      <c r="B1394" s="37">
        <f>IF(Setup!$B$23="","",Setup!$B$23)</f>
        <v/>
      </c>
      <c r="C1394" s="102" t="n"/>
      <c r="D1394" s="103" t="n"/>
      <c r="E1394" s="103" t="n"/>
      <c r="F1394" s="104" t="n"/>
      <c r="G1394" s="102" t="n"/>
      <c r="H1394" s="103" t="n"/>
      <c r="I1394" s="103" t="n"/>
      <c r="J1394" s="104" t="n"/>
      <c r="K1394" s="102" t="n"/>
      <c r="L1394" s="103" t="n"/>
      <c r="M1394" s="103" t="n"/>
      <c r="N1394" s="104" t="n"/>
      <c r="O1394" s="102" t="n"/>
      <c r="P1394" s="103" t="n"/>
      <c r="Q1394" s="103" t="n"/>
      <c r="R1394" s="104" t="n"/>
      <c r="S1394" s="102" t="n"/>
      <c r="T1394" s="103" t="n"/>
      <c r="U1394" s="103" t="n"/>
      <c r="V1394" s="104" t="n"/>
      <c r="W1394" s="102" t="n"/>
      <c r="X1394" s="104" t="n"/>
      <c r="Y1394" s="102" t="n"/>
      <c r="Z1394" s="104" t="n"/>
      <c r="AB1394" s="105">
        <f>IF($B1394="","",(COUNTIF(C1358:E1375,$B1394)+COUNTIF(C1358:E1375,$B1394&amp;" ~*")&gt;0)+(COUNTIF(G1358:I1375,$B1394)+COUNTIF(G1358:I1375,$B1394&amp;" ~*")&gt;0)+(COUNTIF(K1358:M1375,$B1394)+COUNTIF(K1358:M1375,$B1394&amp;" ~*")&gt;0)+(COUNTIF(O1358:Q1375,$B1394)+COUNTIF(O1358:Q1375,$B1394&amp;" ~*")&gt;0)+(COUNTIF(S1358:U1375,$B1394)+COUNTIF(S1358:U1375,$B1394&amp;" ~*")&gt;0)+(COUNTIF(W1358:W1375,$B1394)+COUNTIF(W1358:W1375,$B1394&amp;" ~*")&gt;0)+(COUNTIF(Y1358:Y1375,$B1394)+COUNTIF(Y1358:Y1375,$B1394&amp;" ~*")&gt;0))</f>
        <v/>
      </c>
      <c r="AC1394" s="38">
        <f>IF($B1394="","",(IFERROR(INDEX(Setup!$G$33:$G$40,MATCH(C1394,Setup!$B$33:$B$40,0)),0)=1)*(COUNTIF(C1358:E1375,$B1394)+COUNTIF(C1358:E1375,$B1394&amp;" ~*")&gt;0)+(IFERROR(INDEX(Setup!$G$33:$G$40,MATCH(G1394,Setup!$B$33:$B$40,0)),0)=1)*(COUNTIF(G1358:I1375,$B1394)+COUNTIF(G1358:I1375,$B1394&amp;" ~*")&gt;0)+(IFERROR(INDEX(Setup!$G$33:$G$40,MATCH(K1394,Setup!$B$33:$B$40,0)),0)=1)*(COUNTIF(K1358:M1375,$B1394)+COUNTIF(K1358:M1375,$B1394&amp;" ~*")&gt;0)+(IFERROR(INDEX(Setup!$G$33:$G$40,MATCH(O1394,Setup!$B$33:$B$40,0)),0)=1)*(COUNTIF(O1358:Q1375,$B1394)+COUNTIF(O1358:Q1375,$B1394&amp;" ~*")&gt;0)+(IFERROR(INDEX(Setup!$G$33:$G$40,MATCH(S1394,Setup!$B$33:$B$40,0)),0)=1)*(COUNTIF(S1358:U1375,$B1394)+COUNTIF(S1358:U1375,$B1394&amp;" ~*")&gt;0)+(IFERROR(INDEX(Setup!$G$33:$G$40,MATCH(W1394,Setup!$B$33:$B$40,0)),0)=1)*(COUNTIF(W1358:W1375,$B1394)+COUNTIF(W1358:W1375,$B1394&amp;" ~*")&gt;0)+(IFERROR(INDEX(Setup!$G$33:$G$40,MATCH(Y1394,Setup!$B$33:$B$40,0)),0)=1)*(COUNTIF(Y1358:Y1375,$B1394)+COUNTIF(Y1358:Y1375,$B1394&amp;" ~*")&gt;0))</f>
        <v/>
      </c>
    </row>
    <row r="1395" ht="15" customHeight="1">
      <c r="A1395" t="n">
        <v>28</v>
      </c>
      <c r="B1395" s="35">
        <f>IF(Setup!$B$24="","",Setup!$B$24)</f>
        <v/>
      </c>
      <c r="C1395" s="98" t="n"/>
      <c r="D1395" s="99" t="n"/>
      <c r="E1395" s="99" t="n"/>
      <c r="F1395" s="100" t="n"/>
      <c r="G1395" s="98" t="n"/>
      <c r="H1395" s="99" t="n"/>
      <c r="I1395" s="99" t="n"/>
      <c r="J1395" s="100" t="n"/>
      <c r="K1395" s="98" t="n"/>
      <c r="L1395" s="99" t="n"/>
      <c r="M1395" s="99" t="n"/>
      <c r="N1395" s="100" t="n"/>
      <c r="O1395" s="98" t="n"/>
      <c r="P1395" s="99" t="n"/>
      <c r="Q1395" s="99" t="n"/>
      <c r="R1395" s="100" t="n"/>
      <c r="S1395" s="98" t="n"/>
      <c r="T1395" s="99" t="n"/>
      <c r="U1395" s="99" t="n"/>
      <c r="V1395" s="100" t="n"/>
      <c r="W1395" s="98" t="n"/>
      <c r="X1395" s="100" t="n"/>
      <c r="Y1395" s="98" t="n"/>
      <c r="Z1395" s="100" t="n"/>
      <c r="AB1395" s="101">
        <f>IF($B1395="","",(COUNTIF(C1358:E1375,$B1395)+COUNTIF(C1358:E1375,$B1395&amp;" ~*")&gt;0)+(COUNTIF(G1358:I1375,$B1395)+COUNTIF(G1358:I1375,$B1395&amp;" ~*")&gt;0)+(COUNTIF(K1358:M1375,$B1395)+COUNTIF(K1358:M1375,$B1395&amp;" ~*")&gt;0)+(COUNTIF(O1358:Q1375,$B1395)+COUNTIF(O1358:Q1375,$B1395&amp;" ~*")&gt;0)+(COUNTIF(S1358:U1375,$B1395)+COUNTIF(S1358:U1375,$B1395&amp;" ~*")&gt;0)+(COUNTIF(W1358:W1375,$B1395)+COUNTIF(W1358:W1375,$B1395&amp;" ~*")&gt;0)+(COUNTIF(Y1358:Y1375,$B1395)+COUNTIF(Y1358:Y1375,$B1395&amp;" ~*")&gt;0))</f>
        <v/>
      </c>
      <c r="AC1395" s="36">
        <f>IF($B1395="","",(IFERROR(INDEX(Setup!$G$33:$G$40,MATCH(C1395,Setup!$B$33:$B$40,0)),0)=1)*(COUNTIF(C1358:E1375,$B1395)+COUNTIF(C1358:E1375,$B1395&amp;" ~*")&gt;0)+(IFERROR(INDEX(Setup!$G$33:$G$40,MATCH(G1395,Setup!$B$33:$B$40,0)),0)=1)*(COUNTIF(G1358:I1375,$B1395)+COUNTIF(G1358:I1375,$B1395&amp;" ~*")&gt;0)+(IFERROR(INDEX(Setup!$G$33:$G$40,MATCH(K1395,Setup!$B$33:$B$40,0)),0)=1)*(COUNTIF(K1358:M1375,$B1395)+COUNTIF(K1358:M1375,$B1395&amp;" ~*")&gt;0)+(IFERROR(INDEX(Setup!$G$33:$G$40,MATCH(O1395,Setup!$B$33:$B$40,0)),0)=1)*(COUNTIF(O1358:Q1375,$B1395)+COUNTIF(O1358:Q1375,$B1395&amp;" ~*")&gt;0)+(IFERROR(INDEX(Setup!$G$33:$G$40,MATCH(S1395,Setup!$B$33:$B$40,0)),0)=1)*(COUNTIF(S1358:U1375,$B1395)+COUNTIF(S1358:U1375,$B1395&amp;" ~*")&gt;0)+(IFERROR(INDEX(Setup!$G$33:$G$40,MATCH(W1395,Setup!$B$33:$B$40,0)),0)=1)*(COUNTIF(W1358:W1375,$B1395)+COUNTIF(W1358:W1375,$B1395&amp;" ~*")&gt;0)+(IFERROR(INDEX(Setup!$G$33:$G$40,MATCH(Y1395,Setup!$B$33:$B$40,0)),0)=1)*(COUNTIF(Y1358:Y1375,$B1395)+COUNTIF(Y1358:Y1375,$B1395&amp;" ~*")&gt;0))</f>
        <v/>
      </c>
    </row>
    <row r="1396" ht="15" customHeight="1">
      <c r="A1396" t="n">
        <v>28</v>
      </c>
      <c r="B1396" s="37">
        <f>IF(Setup!$B$25="","",Setup!$B$25)</f>
        <v/>
      </c>
      <c r="C1396" s="102" t="n"/>
      <c r="D1396" s="103" t="n"/>
      <c r="E1396" s="103" t="n"/>
      <c r="F1396" s="104" t="n"/>
      <c r="G1396" s="102" t="n"/>
      <c r="H1396" s="103" t="n"/>
      <c r="I1396" s="103" t="n"/>
      <c r="J1396" s="104" t="n"/>
      <c r="K1396" s="102" t="n"/>
      <c r="L1396" s="103" t="n"/>
      <c r="M1396" s="103" t="n"/>
      <c r="N1396" s="104" t="n"/>
      <c r="O1396" s="102" t="n"/>
      <c r="P1396" s="103" t="n"/>
      <c r="Q1396" s="103" t="n"/>
      <c r="R1396" s="104" t="n"/>
      <c r="S1396" s="102" t="n"/>
      <c r="T1396" s="103" t="n"/>
      <c r="U1396" s="103" t="n"/>
      <c r="V1396" s="104" t="n"/>
      <c r="W1396" s="102" t="n"/>
      <c r="X1396" s="104" t="n"/>
      <c r="Y1396" s="102" t="n"/>
      <c r="Z1396" s="104" t="n"/>
      <c r="AB1396" s="105">
        <f>IF($B1396="","",(COUNTIF(C1358:E1375,$B1396)+COUNTIF(C1358:E1375,$B1396&amp;" ~*")&gt;0)+(COUNTIF(G1358:I1375,$B1396)+COUNTIF(G1358:I1375,$B1396&amp;" ~*")&gt;0)+(COUNTIF(K1358:M1375,$B1396)+COUNTIF(K1358:M1375,$B1396&amp;" ~*")&gt;0)+(COUNTIF(O1358:Q1375,$B1396)+COUNTIF(O1358:Q1375,$B1396&amp;" ~*")&gt;0)+(COUNTIF(S1358:U1375,$B1396)+COUNTIF(S1358:U1375,$B1396&amp;" ~*")&gt;0)+(COUNTIF(W1358:W1375,$B1396)+COUNTIF(W1358:W1375,$B1396&amp;" ~*")&gt;0)+(COUNTIF(Y1358:Y1375,$B1396)+COUNTIF(Y1358:Y1375,$B1396&amp;" ~*")&gt;0))</f>
        <v/>
      </c>
      <c r="AC1396" s="38">
        <f>IF($B1396="","",(IFERROR(INDEX(Setup!$G$33:$G$40,MATCH(C1396,Setup!$B$33:$B$40,0)),0)=1)*(COUNTIF(C1358:E1375,$B1396)+COUNTIF(C1358:E1375,$B1396&amp;" ~*")&gt;0)+(IFERROR(INDEX(Setup!$G$33:$G$40,MATCH(G1396,Setup!$B$33:$B$40,0)),0)=1)*(COUNTIF(G1358:I1375,$B1396)+COUNTIF(G1358:I1375,$B1396&amp;" ~*")&gt;0)+(IFERROR(INDEX(Setup!$G$33:$G$40,MATCH(K1396,Setup!$B$33:$B$40,0)),0)=1)*(COUNTIF(K1358:M1375,$B1396)+COUNTIF(K1358:M1375,$B1396&amp;" ~*")&gt;0)+(IFERROR(INDEX(Setup!$G$33:$G$40,MATCH(O1396,Setup!$B$33:$B$40,0)),0)=1)*(COUNTIF(O1358:Q1375,$B1396)+COUNTIF(O1358:Q1375,$B1396&amp;" ~*")&gt;0)+(IFERROR(INDEX(Setup!$G$33:$G$40,MATCH(S1396,Setup!$B$33:$B$40,0)),0)=1)*(COUNTIF(S1358:U1375,$B1396)+COUNTIF(S1358:U1375,$B1396&amp;" ~*")&gt;0)+(IFERROR(INDEX(Setup!$G$33:$G$40,MATCH(W1396,Setup!$B$33:$B$40,0)),0)=1)*(COUNTIF(W1358:W1375,$B1396)+COUNTIF(W1358:W1375,$B1396&amp;" ~*")&gt;0)+(IFERROR(INDEX(Setup!$G$33:$G$40,MATCH(Y1396,Setup!$B$33:$B$40,0)),0)=1)*(COUNTIF(Y1358:Y1375,$B1396)+COUNTIF(Y1358:Y1375,$B1396&amp;" ~*")&gt;0))</f>
        <v/>
      </c>
    </row>
    <row r="1397" ht="15" customHeight="1">
      <c r="A1397" t="n">
        <v>28</v>
      </c>
      <c r="B1397" s="35">
        <f>IF(Setup!$B$26="","",Setup!$B$26)</f>
        <v/>
      </c>
      <c r="C1397" s="98" t="n"/>
      <c r="D1397" s="99" t="n"/>
      <c r="E1397" s="99" t="n"/>
      <c r="F1397" s="100" t="n"/>
      <c r="G1397" s="98" t="n"/>
      <c r="H1397" s="99" t="n"/>
      <c r="I1397" s="99" t="n"/>
      <c r="J1397" s="100" t="n"/>
      <c r="K1397" s="98" t="n"/>
      <c r="L1397" s="99" t="n"/>
      <c r="M1397" s="99" t="n"/>
      <c r="N1397" s="100" t="n"/>
      <c r="O1397" s="98" t="n"/>
      <c r="P1397" s="99" t="n"/>
      <c r="Q1397" s="99" t="n"/>
      <c r="R1397" s="100" t="n"/>
      <c r="S1397" s="98" t="n"/>
      <c r="T1397" s="99" t="n"/>
      <c r="U1397" s="99" t="n"/>
      <c r="V1397" s="100" t="n"/>
      <c r="W1397" s="98" t="n"/>
      <c r="X1397" s="100" t="n"/>
      <c r="Y1397" s="98" t="n"/>
      <c r="Z1397" s="100" t="n"/>
      <c r="AB1397" s="101">
        <f>IF($B1397="","",(COUNTIF(C1358:E1375,$B1397)+COUNTIF(C1358:E1375,$B1397&amp;" ~*")&gt;0)+(COUNTIF(G1358:I1375,$B1397)+COUNTIF(G1358:I1375,$B1397&amp;" ~*")&gt;0)+(COUNTIF(K1358:M1375,$B1397)+COUNTIF(K1358:M1375,$B1397&amp;" ~*")&gt;0)+(COUNTIF(O1358:Q1375,$B1397)+COUNTIF(O1358:Q1375,$B1397&amp;" ~*")&gt;0)+(COUNTIF(S1358:U1375,$B1397)+COUNTIF(S1358:U1375,$B1397&amp;" ~*")&gt;0)+(COUNTIF(W1358:W1375,$B1397)+COUNTIF(W1358:W1375,$B1397&amp;" ~*")&gt;0)+(COUNTIF(Y1358:Y1375,$B1397)+COUNTIF(Y1358:Y1375,$B1397&amp;" ~*")&gt;0))</f>
        <v/>
      </c>
      <c r="AC1397" s="36">
        <f>IF($B1397="","",(IFERROR(INDEX(Setup!$G$33:$G$40,MATCH(C1397,Setup!$B$33:$B$40,0)),0)=1)*(COUNTIF(C1358:E1375,$B1397)+COUNTIF(C1358:E1375,$B1397&amp;" ~*")&gt;0)+(IFERROR(INDEX(Setup!$G$33:$G$40,MATCH(G1397,Setup!$B$33:$B$40,0)),0)=1)*(COUNTIF(G1358:I1375,$B1397)+COUNTIF(G1358:I1375,$B1397&amp;" ~*")&gt;0)+(IFERROR(INDEX(Setup!$G$33:$G$40,MATCH(K1397,Setup!$B$33:$B$40,0)),0)=1)*(COUNTIF(K1358:M1375,$B1397)+COUNTIF(K1358:M1375,$B1397&amp;" ~*")&gt;0)+(IFERROR(INDEX(Setup!$G$33:$G$40,MATCH(O1397,Setup!$B$33:$B$40,0)),0)=1)*(COUNTIF(O1358:Q1375,$B1397)+COUNTIF(O1358:Q1375,$B1397&amp;" ~*")&gt;0)+(IFERROR(INDEX(Setup!$G$33:$G$40,MATCH(S1397,Setup!$B$33:$B$40,0)),0)=1)*(COUNTIF(S1358:U1375,$B1397)+COUNTIF(S1358:U1375,$B1397&amp;" ~*")&gt;0)+(IFERROR(INDEX(Setup!$G$33:$G$40,MATCH(W1397,Setup!$B$33:$B$40,0)),0)=1)*(COUNTIF(W1358:W1375,$B1397)+COUNTIF(W1358:W1375,$B1397&amp;" ~*")&gt;0)+(IFERROR(INDEX(Setup!$G$33:$G$40,MATCH(Y1397,Setup!$B$33:$B$40,0)),0)=1)*(COUNTIF(Y1358:Y1375,$B1397)+COUNTIF(Y1358:Y1375,$B1397&amp;" ~*")&gt;0))</f>
        <v/>
      </c>
    </row>
    <row r="1398" ht="15" customHeight="1">
      <c r="A1398" t="n">
        <v>28</v>
      </c>
      <c r="B1398" s="37">
        <f>IF(Setup!$B$27="","",Setup!$B$27)</f>
        <v/>
      </c>
      <c r="C1398" s="102" t="n"/>
      <c r="D1398" s="103" t="n"/>
      <c r="E1398" s="103" t="n"/>
      <c r="F1398" s="104" t="n"/>
      <c r="G1398" s="102" t="n"/>
      <c r="H1398" s="103" t="n"/>
      <c r="I1398" s="103" t="n"/>
      <c r="J1398" s="104" t="n"/>
      <c r="K1398" s="102" t="n"/>
      <c r="L1398" s="103" t="n"/>
      <c r="M1398" s="103" t="n"/>
      <c r="N1398" s="104" t="n"/>
      <c r="O1398" s="102" t="n"/>
      <c r="P1398" s="103" t="n"/>
      <c r="Q1398" s="103" t="n"/>
      <c r="R1398" s="104" t="n"/>
      <c r="S1398" s="102" t="n"/>
      <c r="T1398" s="103" t="n"/>
      <c r="U1398" s="103" t="n"/>
      <c r="V1398" s="104" t="n"/>
      <c r="W1398" s="102" t="n"/>
      <c r="X1398" s="104" t="n"/>
      <c r="Y1398" s="102" t="n"/>
      <c r="Z1398" s="104" t="n"/>
      <c r="AB1398" s="105">
        <f>IF($B1398="","",(COUNTIF(C1358:E1375,$B1398)+COUNTIF(C1358:E1375,$B1398&amp;" ~*")&gt;0)+(COUNTIF(G1358:I1375,$B1398)+COUNTIF(G1358:I1375,$B1398&amp;" ~*")&gt;0)+(COUNTIF(K1358:M1375,$B1398)+COUNTIF(K1358:M1375,$B1398&amp;" ~*")&gt;0)+(COUNTIF(O1358:Q1375,$B1398)+COUNTIF(O1358:Q1375,$B1398&amp;" ~*")&gt;0)+(COUNTIF(S1358:U1375,$B1398)+COUNTIF(S1358:U1375,$B1398&amp;" ~*")&gt;0)+(COUNTIF(W1358:W1375,$B1398)+COUNTIF(W1358:W1375,$B1398&amp;" ~*")&gt;0)+(COUNTIF(Y1358:Y1375,$B1398)+COUNTIF(Y1358:Y1375,$B1398&amp;" ~*")&gt;0))</f>
        <v/>
      </c>
      <c r="AC1398" s="38">
        <f>IF($B1398="","",(IFERROR(INDEX(Setup!$G$33:$G$40,MATCH(C1398,Setup!$B$33:$B$40,0)),0)=1)*(COUNTIF(C1358:E1375,$B1398)+COUNTIF(C1358:E1375,$B1398&amp;" ~*")&gt;0)+(IFERROR(INDEX(Setup!$G$33:$G$40,MATCH(G1398,Setup!$B$33:$B$40,0)),0)=1)*(COUNTIF(G1358:I1375,$B1398)+COUNTIF(G1358:I1375,$B1398&amp;" ~*")&gt;0)+(IFERROR(INDEX(Setup!$G$33:$G$40,MATCH(K1398,Setup!$B$33:$B$40,0)),0)=1)*(COUNTIF(K1358:M1375,$B1398)+COUNTIF(K1358:M1375,$B1398&amp;" ~*")&gt;0)+(IFERROR(INDEX(Setup!$G$33:$G$40,MATCH(O1398,Setup!$B$33:$B$40,0)),0)=1)*(COUNTIF(O1358:Q1375,$B1398)+COUNTIF(O1358:Q1375,$B1398&amp;" ~*")&gt;0)+(IFERROR(INDEX(Setup!$G$33:$G$40,MATCH(S1398,Setup!$B$33:$B$40,0)),0)=1)*(COUNTIF(S1358:U1375,$B1398)+COUNTIF(S1358:U1375,$B1398&amp;" ~*")&gt;0)+(IFERROR(INDEX(Setup!$G$33:$G$40,MATCH(W1398,Setup!$B$33:$B$40,0)),0)=1)*(COUNTIF(W1358:W1375,$B1398)+COUNTIF(W1358:W1375,$B1398&amp;" ~*")&gt;0)+(IFERROR(INDEX(Setup!$G$33:$G$40,MATCH(Y1398,Setup!$B$33:$B$40,0)),0)=1)*(COUNTIF(Y1358:Y1375,$B1398)+COUNTIF(Y1358:Y1375,$B1398&amp;" ~*")&gt;0))</f>
        <v/>
      </c>
    </row>
    <row r="1399" ht="15" customHeight="1">
      <c r="A1399" t="n">
        <v>28</v>
      </c>
      <c r="B1399" s="35">
        <f>IF(Setup!$B$28="","",Setup!$B$28)</f>
        <v/>
      </c>
      <c r="C1399" s="98" t="n"/>
      <c r="D1399" s="99" t="n"/>
      <c r="E1399" s="99" t="n"/>
      <c r="F1399" s="100" t="n"/>
      <c r="G1399" s="98" t="n"/>
      <c r="H1399" s="99" t="n"/>
      <c r="I1399" s="99" t="n"/>
      <c r="J1399" s="100" t="n"/>
      <c r="K1399" s="98" t="n"/>
      <c r="L1399" s="99" t="n"/>
      <c r="M1399" s="99" t="n"/>
      <c r="N1399" s="100" t="n"/>
      <c r="O1399" s="98" t="n"/>
      <c r="P1399" s="99" t="n"/>
      <c r="Q1399" s="99" t="n"/>
      <c r="R1399" s="100" t="n"/>
      <c r="S1399" s="98" t="n"/>
      <c r="T1399" s="99" t="n"/>
      <c r="U1399" s="99" t="n"/>
      <c r="V1399" s="100" t="n"/>
      <c r="W1399" s="98" t="n"/>
      <c r="X1399" s="100" t="n"/>
      <c r="Y1399" s="98" t="n"/>
      <c r="Z1399" s="100" t="n"/>
      <c r="AB1399" s="101">
        <f>IF($B1399="","",(COUNTIF(C1358:E1375,$B1399)+COUNTIF(C1358:E1375,$B1399&amp;" ~*")&gt;0)+(COUNTIF(G1358:I1375,$B1399)+COUNTIF(G1358:I1375,$B1399&amp;" ~*")&gt;0)+(COUNTIF(K1358:M1375,$B1399)+COUNTIF(K1358:M1375,$B1399&amp;" ~*")&gt;0)+(COUNTIF(O1358:Q1375,$B1399)+COUNTIF(O1358:Q1375,$B1399&amp;" ~*")&gt;0)+(COUNTIF(S1358:U1375,$B1399)+COUNTIF(S1358:U1375,$B1399&amp;" ~*")&gt;0)+(COUNTIF(W1358:W1375,$B1399)+COUNTIF(W1358:W1375,$B1399&amp;" ~*")&gt;0)+(COUNTIF(Y1358:Y1375,$B1399)+COUNTIF(Y1358:Y1375,$B1399&amp;" ~*")&gt;0))</f>
        <v/>
      </c>
      <c r="AC1399" s="36">
        <f>IF($B1399="","",(IFERROR(INDEX(Setup!$G$33:$G$40,MATCH(C1399,Setup!$B$33:$B$40,0)),0)=1)*(COUNTIF(C1358:E1375,$B1399)+COUNTIF(C1358:E1375,$B1399&amp;" ~*")&gt;0)+(IFERROR(INDEX(Setup!$G$33:$G$40,MATCH(G1399,Setup!$B$33:$B$40,0)),0)=1)*(COUNTIF(G1358:I1375,$B1399)+COUNTIF(G1358:I1375,$B1399&amp;" ~*")&gt;0)+(IFERROR(INDEX(Setup!$G$33:$G$40,MATCH(K1399,Setup!$B$33:$B$40,0)),0)=1)*(COUNTIF(K1358:M1375,$B1399)+COUNTIF(K1358:M1375,$B1399&amp;" ~*")&gt;0)+(IFERROR(INDEX(Setup!$G$33:$G$40,MATCH(O1399,Setup!$B$33:$B$40,0)),0)=1)*(COUNTIF(O1358:Q1375,$B1399)+COUNTIF(O1358:Q1375,$B1399&amp;" ~*")&gt;0)+(IFERROR(INDEX(Setup!$G$33:$G$40,MATCH(S1399,Setup!$B$33:$B$40,0)),0)=1)*(COUNTIF(S1358:U1375,$B1399)+COUNTIF(S1358:U1375,$B1399&amp;" ~*")&gt;0)+(IFERROR(INDEX(Setup!$G$33:$G$40,MATCH(W1399,Setup!$B$33:$B$40,0)),0)=1)*(COUNTIF(W1358:W1375,$B1399)+COUNTIF(W1358:W1375,$B1399&amp;" ~*")&gt;0)+(IFERROR(INDEX(Setup!$G$33:$G$40,MATCH(Y1399,Setup!$B$33:$B$40,0)),0)=1)*(COUNTIF(Y1358:Y1375,$B1399)+COUNTIF(Y1358:Y1375,$B1399&amp;" ~*")&gt;0))</f>
        <v/>
      </c>
    </row>
    <row r="1400" ht="15" customHeight="1">
      <c r="A1400" t="n">
        <v>28</v>
      </c>
      <c r="B1400" s="37">
        <f>IF(Setup!$B$29="","",Setup!$B$29)</f>
        <v/>
      </c>
      <c r="C1400" s="102" t="n"/>
      <c r="D1400" s="103" t="n"/>
      <c r="E1400" s="103" t="n"/>
      <c r="F1400" s="104" t="n"/>
      <c r="G1400" s="102" t="n"/>
      <c r="H1400" s="103" t="n"/>
      <c r="I1400" s="103" t="n"/>
      <c r="J1400" s="104" t="n"/>
      <c r="K1400" s="102" t="n"/>
      <c r="L1400" s="103" t="n"/>
      <c r="M1400" s="103" t="n"/>
      <c r="N1400" s="104" t="n"/>
      <c r="O1400" s="102" t="n"/>
      <c r="P1400" s="103" t="n"/>
      <c r="Q1400" s="103" t="n"/>
      <c r="R1400" s="104" t="n"/>
      <c r="S1400" s="102" t="n"/>
      <c r="T1400" s="103" t="n"/>
      <c r="U1400" s="103" t="n"/>
      <c r="V1400" s="104" t="n"/>
      <c r="W1400" s="102" t="n"/>
      <c r="X1400" s="104" t="n"/>
      <c r="Y1400" s="102" t="n"/>
      <c r="Z1400" s="104" t="n"/>
      <c r="AB1400" s="105">
        <f>IF($B1400="","",(COUNTIF(C1358:E1375,$B1400)+COUNTIF(C1358:E1375,$B1400&amp;" ~*")&gt;0)+(COUNTIF(G1358:I1375,$B1400)+COUNTIF(G1358:I1375,$B1400&amp;" ~*")&gt;0)+(COUNTIF(K1358:M1375,$B1400)+COUNTIF(K1358:M1375,$B1400&amp;" ~*")&gt;0)+(COUNTIF(O1358:Q1375,$B1400)+COUNTIF(O1358:Q1375,$B1400&amp;" ~*")&gt;0)+(COUNTIF(S1358:U1375,$B1400)+COUNTIF(S1358:U1375,$B1400&amp;" ~*")&gt;0)+(COUNTIF(W1358:W1375,$B1400)+COUNTIF(W1358:W1375,$B1400&amp;" ~*")&gt;0)+(COUNTIF(Y1358:Y1375,$B1400)+COUNTIF(Y1358:Y1375,$B1400&amp;" ~*")&gt;0))</f>
        <v/>
      </c>
      <c r="AC1400" s="38">
        <f>IF($B1400="","",(IFERROR(INDEX(Setup!$G$33:$G$40,MATCH(C1400,Setup!$B$33:$B$40,0)),0)=1)*(COUNTIF(C1358:E1375,$B1400)+COUNTIF(C1358:E1375,$B1400&amp;" ~*")&gt;0)+(IFERROR(INDEX(Setup!$G$33:$G$40,MATCH(G1400,Setup!$B$33:$B$40,0)),0)=1)*(COUNTIF(G1358:I1375,$B1400)+COUNTIF(G1358:I1375,$B1400&amp;" ~*")&gt;0)+(IFERROR(INDEX(Setup!$G$33:$G$40,MATCH(K1400,Setup!$B$33:$B$40,0)),0)=1)*(COUNTIF(K1358:M1375,$B1400)+COUNTIF(K1358:M1375,$B1400&amp;" ~*")&gt;0)+(IFERROR(INDEX(Setup!$G$33:$G$40,MATCH(O1400,Setup!$B$33:$B$40,0)),0)=1)*(COUNTIF(O1358:Q1375,$B1400)+COUNTIF(O1358:Q1375,$B1400&amp;" ~*")&gt;0)+(IFERROR(INDEX(Setup!$G$33:$G$40,MATCH(S1400,Setup!$B$33:$B$40,0)),0)=1)*(COUNTIF(S1358:U1375,$B1400)+COUNTIF(S1358:U1375,$B1400&amp;" ~*")&gt;0)+(IFERROR(INDEX(Setup!$G$33:$G$40,MATCH(W1400,Setup!$B$33:$B$40,0)),0)=1)*(COUNTIF(W1358:W1375,$B1400)+COUNTIF(W1358:W1375,$B1400&amp;" ~*")&gt;0)+(IFERROR(INDEX(Setup!$G$33:$G$40,MATCH(Y1400,Setup!$B$33:$B$40,0)),0)=1)*(COUNTIF(Y1358:Y1375,$B1400)+COUNTIF(Y1358:Y1375,$B1400&amp;" ~*")&gt;0))</f>
        <v/>
      </c>
    </row>
    <row r="1401" ht="16" customHeight="1">
      <c r="A1401" t="n">
        <v>28</v>
      </c>
      <c r="B1401" s="106" t="inlineStr">
        <is>
          <t>Available people</t>
        </is>
      </c>
      <c r="C1401" s="107">
        <f>COUNTIFS(Setup!$E$6:$E$29,"Y",Setup!$B$6:$B$29,"?*")-SUMPRODUCT(COUNTIF(C1377:C1400,Setup!$F$33:$F$40))</f>
        <v/>
      </c>
      <c r="D1401" s="107" t="n"/>
      <c r="E1401" s="107" t="n"/>
      <c r="F1401" s="107" t="n"/>
      <c r="G1401" s="107">
        <f>COUNTIFS(Setup!$E$6:$E$29,"Y",Setup!$B$6:$B$29,"?*")-SUMPRODUCT(COUNTIF(G1377:G1400,Setup!$F$33:$F$40))</f>
        <v/>
      </c>
      <c r="H1401" s="107" t="n"/>
      <c r="I1401" s="107" t="n"/>
      <c r="J1401" s="107" t="n"/>
      <c r="K1401" s="107">
        <f>COUNTIFS(Setup!$E$6:$E$29,"Y",Setup!$B$6:$B$29,"?*")-SUMPRODUCT(COUNTIF(K1377:K1400,Setup!$F$33:$F$40))</f>
        <v/>
      </c>
      <c r="L1401" s="107" t="n"/>
      <c r="M1401" s="107" t="n"/>
      <c r="N1401" s="107" t="n"/>
      <c r="O1401" s="107">
        <f>COUNTIFS(Setup!$E$6:$E$29,"Y",Setup!$B$6:$B$29,"?*")-SUMPRODUCT(COUNTIF(O1377:O1400,Setup!$F$33:$F$40))</f>
        <v/>
      </c>
      <c r="P1401" s="107" t="n"/>
      <c r="Q1401" s="107" t="n"/>
      <c r="R1401" s="107" t="n"/>
      <c r="S1401" s="107">
        <f>COUNTIFS(Setup!$E$6:$E$29,"Y",Setup!$B$6:$B$29,"?*")-SUMPRODUCT(COUNTIF(S1377:S1400,Setup!$F$33:$F$40))</f>
        <v/>
      </c>
      <c r="T1401" s="107" t="n"/>
      <c r="U1401" s="107" t="n"/>
      <c r="V1401" s="107" t="n"/>
      <c r="W1401" s="107">
        <f>COUNTIFS(Setup!$E$6:$E$29,"Y",Setup!$B$6:$B$29,"?*")-SUMPRODUCT(COUNTIF(W1377:W1400,Setup!$F$33:$F$40))</f>
        <v/>
      </c>
      <c r="X1401" s="107" t="n"/>
      <c r="Y1401" s="107">
        <f>COUNTIFS(Setup!$E$6:$E$29,"Y",Setup!$B$6:$B$29,"?*")-SUMPRODUCT(COUNTIF(Y1377:Y1400,Setup!$F$33:$F$40))</f>
        <v/>
      </c>
      <c r="Z1401" s="107" t="n"/>
      <c r="AB1401" s="108">
        <f>SUM(AB1377:AB1400)</f>
        <v/>
      </c>
      <c r="AC1401" s="109">
        <f>SUM(AC1377:AC1400)</f>
        <v/>
      </c>
    </row>
    <row r="1402" ht="30" customHeight="1">
      <c r="A1402" t="n">
        <v>28</v>
      </c>
      <c r="B1402" s="110" t="inlineStr">
        <is>
          <t>Week notes</t>
        </is>
      </c>
      <c r="C1402" s="111" t="n"/>
      <c r="D1402" s="112" t="n"/>
      <c r="E1402" s="112" t="n"/>
      <c r="F1402" s="112" t="n"/>
      <c r="G1402" s="112" t="n"/>
      <c r="H1402" s="112" t="n"/>
      <c r="I1402" s="112" t="n"/>
      <c r="J1402" s="112" t="n"/>
      <c r="K1402" s="112" t="n"/>
      <c r="L1402" s="112" t="n"/>
      <c r="M1402" s="112" t="n"/>
      <c r="N1402" s="112" t="n"/>
      <c r="O1402" s="112" t="n"/>
      <c r="P1402" s="112" t="n"/>
      <c r="Q1402" s="112" t="n"/>
      <c r="R1402" s="112" t="n"/>
      <c r="S1402" s="112" t="n"/>
      <c r="T1402" s="112" t="n"/>
      <c r="U1402" s="112" t="n"/>
      <c r="V1402" s="112" t="n"/>
      <c r="W1402" s="112" t="n"/>
      <c r="X1402" s="112" t="n"/>
      <c r="Y1402" s="112" t="n"/>
      <c r="Z1402" s="113" t="n"/>
    </row>
    <row r="1403" ht="8" customHeight="1">
      <c r="A1403" t="n">
        <v>28</v>
      </c>
    </row>
    <row r="1404" ht="8" customHeight="1">
      <c r="A1404" t="n">
        <v>28</v>
      </c>
    </row>
    <row r="1405" ht="24" customHeight="1">
      <c r="A1405" t="n">
        <v>29</v>
      </c>
      <c r="B1405" s="73">
        <f>"WEEK 29     "&amp;TEXT(C1406,"ddd d mmm")&amp;"  –  "&amp;TEXT(C1406+6,"ddd d mmm yyyy")</f>
        <v/>
      </c>
      <c r="S1405" s="74">
        <f>IF(TODAY()&lt;C1406,"FUTURE",IF(TODAY()&gt;C1406+6,"PAST","THIS WEEK"))</f>
        <v/>
      </c>
      <c r="W1405" s="75">
        <f>IF(AND(Engine!$B$8=$AC$3,Engine!$B$9=$A1405),"◀ ACTIVE WEEK","")</f>
        <v/>
      </c>
      <c r="AA1405" s="76" t="n"/>
      <c r="AB1405" s="77" t="inlineStr">
        <is>
          <t>◀ Prev</t>
        </is>
      </c>
      <c r="AC1405" s="77" t="inlineStr">
        <is>
          <t>Next ▶</t>
        </is>
      </c>
    </row>
    <row r="1406" ht="18" customHeight="1">
      <c r="A1406" t="n">
        <v>29</v>
      </c>
      <c r="B1406" s="78" t="inlineStr">
        <is>
          <t>DUTY</t>
        </is>
      </c>
      <c r="C1406" s="79">
        <f>$AC$2+7*($A1406-1)</f>
        <v/>
      </c>
      <c r="D1406" s="80" t="n"/>
      <c r="E1406" s="80" t="n"/>
      <c r="F1406" s="81" t="n"/>
      <c r="G1406" s="79">
        <f>C1406+1</f>
        <v/>
      </c>
      <c r="H1406" s="80" t="n"/>
      <c r="I1406" s="80" t="n"/>
      <c r="J1406" s="81" t="n"/>
      <c r="K1406" s="79">
        <f>C1406+2</f>
        <v/>
      </c>
      <c r="L1406" s="80" t="n"/>
      <c r="M1406" s="80" t="n"/>
      <c r="N1406" s="81" t="n"/>
      <c r="O1406" s="79">
        <f>C1406+3</f>
        <v/>
      </c>
      <c r="P1406" s="80" t="n"/>
      <c r="Q1406" s="80" t="n"/>
      <c r="R1406" s="81" t="n"/>
      <c r="S1406" s="79">
        <f>C1406+4</f>
        <v/>
      </c>
      <c r="T1406" s="80" t="n"/>
      <c r="U1406" s="80" t="n"/>
      <c r="V1406" s="81" t="n"/>
      <c r="W1406" s="82">
        <f>C1406+5</f>
        <v/>
      </c>
      <c r="X1406" s="83" t="n"/>
      <c r="Y1406" s="82">
        <f>C1406+6</f>
        <v/>
      </c>
      <c r="Z1406" s="83" t="n"/>
      <c r="AB1406" s="72" t="inlineStr">
        <is>
          <t>Gaps</t>
        </is>
      </c>
      <c r="AC1406" s="72" t="inlineStr">
        <is>
          <t>Cover</t>
        </is>
      </c>
    </row>
    <row r="1407" ht="14" customHeight="1">
      <c r="A1407" t="n">
        <v>29</v>
      </c>
      <c r="B1407" s="84" t="inlineStr">
        <is>
          <t>(from Setup)</t>
        </is>
      </c>
      <c r="C1407" s="85" t="inlineStr">
        <is>
          <t>1</t>
        </is>
      </c>
      <c r="D1407" s="85" t="inlineStr">
        <is>
          <t>2</t>
        </is>
      </c>
      <c r="E1407" s="85" t="inlineStr">
        <is>
          <t>3</t>
        </is>
      </c>
      <c r="F1407" s="85" t="inlineStr">
        <is>
          <t>Notes</t>
        </is>
      </c>
      <c r="G1407" s="85" t="inlineStr">
        <is>
          <t>1</t>
        </is>
      </c>
      <c r="H1407" s="85" t="inlineStr">
        <is>
          <t>2</t>
        </is>
      </c>
      <c r="I1407" s="85" t="inlineStr">
        <is>
          <t>3</t>
        </is>
      </c>
      <c r="J1407" s="85" t="inlineStr">
        <is>
          <t>Notes</t>
        </is>
      </c>
      <c r="K1407" s="85" t="inlineStr">
        <is>
          <t>1</t>
        </is>
      </c>
      <c r="L1407" s="85" t="inlineStr">
        <is>
          <t>2</t>
        </is>
      </c>
      <c r="M1407" s="85" t="inlineStr">
        <is>
          <t>3</t>
        </is>
      </c>
      <c r="N1407" s="85" t="inlineStr">
        <is>
          <t>Notes</t>
        </is>
      </c>
      <c r="O1407" s="85" t="inlineStr">
        <is>
          <t>1</t>
        </is>
      </c>
      <c r="P1407" s="85" t="inlineStr">
        <is>
          <t>2</t>
        </is>
      </c>
      <c r="Q1407" s="85" t="inlineStr">
        <is>
          <t>3</t>
        </is>
      </c>
      <c r="R1407" s="85" t="inlineStr">
        <is>
          <t>Notes</t>
        </is>
      </c>
      <c r="S1407" s="85" t="inlineStr">
        <is>
          <t>1</t>
        </is>
      </c>
      <c r="T1407" s="85" t="inlineStr">
        <is>
          <t>2</t>
        </is>
      </c>
      <c r="U1407" s="85" t="inlineStr">
        <is>
          <t>3</t>
        </is>
      </c>
      <c r="V1407" s="85" t="inlineStr">
        <is>
          <t>Notes</t>
        </is>
      </c>
      <c r="W1407" s="85" t="inlineStr">
        <is>
          <t>Cover</t>
        </is>
      </c>
      <c r="X1407" s="85" t="inlineStr">
        <is>
          <t>Notes</t>
        </is>
      </c>
      <c r="Y1407" s="85" t="inlineStr">
        <is>
          <t>Cover</t>
        </is>
      </c>
      <c r="Z1407" s="85" t="inlineStr">
        <is>
          <t>Notes</t>
        </is>
      </c>
      <c r="AB1407" s="86" t="inlineStr">
        <is>
          <t>weekdays short</t>
        </is>
      </c>
      <c r="AC1407" s="87" t="inlineStr"/>
    </row>
    <row r="1408" ht="17" customHeight="1">
      <c r="A1408" t="n">
        <v>29</v>
      </c>
      <c r="B1408" s="24">
        <f>IF(Setup!$K$6="","",Setup!$K$6)</f>
        <v/>
      </c>
      <c r="C1408" s="88" t="n"/>
      <c r="D1408" s="88" t="n"/>
      <c r="E1408" s="88" t="n"/>
      <c r="F1408" s="89" t="n"/>
      <c r="G1408" s="88" t="n"/>
      <c r="H1408" s="88" t="n"/>
      <c r="I1408" s="88" t="n"/>
      <c r="J1408" s="89" t="n"/>
      <c r="K1408" s="88" t="n"/>
      <c r="L1408" s="88" t="n"/>
      <c r="M1408" s="88" t="n"/>
      <c r="N1408" s="89" t="n"/>
      <c r="O1408" s="88" t="n"/>
      <c r="P1408" s="88" t="n"/>
      <c r="Q1408" s="88" t="n"/>
      <c r="R1408" s="89" t="n"/>
      <c r="S1408" s="88" t="n"/>
      <c r="T1408" s="88" t="n"/>
      <c r="U1408" s="88" t="n"/>
      <c r="V1408" s="89" t="n"/>
      <c r="W1408" s="88" t="n"/>
      <c r="X1408" s="89" t="n"/>
      <c r="Y1408" s="88" t="n"/>
      <c r="Z1408" s="89" t="n"/>
      <c r="AB1408" s="25">
        <f>IF($B1408="","",(COUNTIF(C1408:E1408,"?*")&lt;N(INDEX(Setup!$L$6:$L$23,1)))+(COUNTIF(G1408:I1408,"?*")&lt;N(INDEX(Setup!$L$6:$L$23,1)))+(COUNTIF(K1408:M1408,"?*")&lt;N(INDEX(Setup!$L$6:$L$23,1)))+(COUNTIF(O1408:Q1408,"?*")&lt;N(INDEX(Setup!$L$6:$L$23,1)))+(COUNTIF(S1408:U1408,"?*")&lt;N(INDEX(Setup!$L$6:$L$23,1)))+((W1408="")*(INDEX(Setup!$M$6:$M$23,1)="Y"))+((Y1408="")*(INDEX(Setup!$M$6:$M$23,1)="Y")))</f>
        <v/>
      </c>
      <c r="AC1408" s="90">
        <f>IF($B1408="","",IF(AB1408=0,"✓ covered","⚠ "&amp;AB1408&amp;IF(AB1408=1," gap"," gaps")))</f>
        <v/>
      </c>
    </row>
    <row r="1409" ht="17" customHeight="1">
      <c r="A1409" t="n">
        <v>29</v>
      </c>
      <c r="B1409" s="29">
        <f>IF(Setup!$K$7="","",Setup!$K$7)</f>
        <v/>
      </c>
      <c r="C1409" s="88" t="n"/>
      <c r="D1409" s="88" t="n"/>
      <c r="E1409" s="88" t="n"/>
      <c r="F1409" s="89" t="n"/>
      <c r="G1409" s="88" t="n"/>
      <c r="H1409" s="88" t="n"/>
      <c r="I1409" s="88" t="n"/>
      <c r="J1409" s="89" t="n"/>
      <c r="K1409" s="88" t="n"/>
      <c r="L1409" s="88" t="n"/>
      <c r="M1409" s="88" t="n"/>
      <c r="N1409" s="89" t="n"/>
      <c r="O1409" s="88" t="n"/>
      <c r="P1409" s="88" t="n"/>
      <c r="Q1409" s="88" t="n"/>
      <c r="R1409" s="89" t="n"/>
      <c r="S1409" s="88" t="n"/>
      <c r="T1409" s="88" t="n"/>
      <c r="U1409" s="88" t="n"/>
      <c r="V1409" s="89" t="n"/>
      <c r="W1409" s="88" t="n"/>
      <c r="X1409" s="89" t="n"/>
      <c r="Y1409" s="88" t="n"/>
      <c r="Z1409" s="89" t="n"/>
      <c r="AB1409" s="30">
        <f>IF($B1409="","",(COUNTIF(C1409:E1409,"?*")&lt;N(INDEX(Setup!$L$6:$L$23,2)))+(COUNTIF(G1409:I1409,"?*")&lt;N(INDEX(Setup!$L$6:$L$23,2)))+(COUNTIF(K1409:M1409,"?*")&lt;N(INDEX(Setup!$L$6:$L$23,2)))+(COUNTIF(O1409:Q1409,"?*")&lt;N(INDEX(Setup!$L$6:$L$23,2)))+(COUNTIF(S1409:U1409,"?*")&lt;N(INDEX(Setup!$L$6:$L$23,2)))+((W1409="")*(INDEX(Setup!$M$6:$M$23,2)="Y"))+((Y1409="")*(INDEX(Setup!$M$6:$M$23,2)="Y")))</f>
        <v/>
      </c>
      <c r="AC1409" s="91">
        <f>IF($B1409="","",IF(AB1409=0,"✓ covered","⚠ "&amp;AB1409&amp;IF(AB1409=1," gap"," gaps")))</f>
        <v/>
      </c>
    </row>
    <row r="1410" ht="17" customHeight="1">
      <c r="A1410" t="n">
        <v>29</v>
      </c>
      <c r="B1410" s="24">
        <f>IF(Setup!$K$8="","",Setup!$K$8)</f>
        <v/>
      </c>
      <c r="C1410" s="88" t="n"/>
      <c r="D1410" s="88" t="n"/>
      <c r="E1410" s="88" t="n"/>
      <c r="F1410" s="89" t="n"/>
      <c r="G1410" s="88" t="n"/>
      <c r="H1410" s="88" t="n"/>
      <c r="I1410" s="88" t="n"/>
      <c r="J1410" s="89" t="n"/>
      <c r="K1410" s="88" t="n"/>
      <c r="L1410" s="88" t="n"/>
      <c r="M1410" s="88" t="n"/>
      <c r="N1410" s="89" t="n"/>
      <c r="O1410" s="88" t="n"/>
      <c r="P1410" s="88" t="n"/>
      <c r="Q1410" s="88" t="n"/>
      <c r="R1410" s="89" t="n"/>
      <c r="S1410" s="88" t="n"/>
      <c r="T1410" s="88" t="n"/>
      <c r="U1410" s="88" t="n"/>
      <c r="V1410" s="89" t="n"/>
      <c r="W1410" s="88" t="n"/>
      <c r="X1410" s="89" t="n"/>
      <c r="Y1410" s="88" t="n"/>
      <c r="Z1410" s="89" t="n"/>
      <c r="AB1410" s="25">
        <f>IF($B1410="","",(COUNTIF(C1410:E1410,"?*")&lt;N(INDEX(Setup!$L$6:$L$23,3)))+(COUNTIF(G1410:I1410,"?*")&lt;N(INDEX(Setup!$L$6:$L$23,3)))+(COUNTIF(K1410:M1410,"?*")&lt;N(INDEX(Setup!$L$6:$L$23,3)))+(COUNTIF(O1410:Q1410,"?*")&lt;N(INDEX(Setup!$L$6:$L$23,3)))+(COUNTIF(S1410:U1410,"?*")&lt;N(INDEX(Setup!$L$6:$L$23,3)))+((W1410="")*(INDEX(Setup!$M$6:$M$23,3)="Y"))+((Y1410="")*(INDEX(Setup!$M$6:$M$23,3)="Y")))</f>
        <v/>
      </c>
      <c r="AC1410" s="90">
        <f>IF($B1410="","",IF(AB1410=0,"✓ covered","⚠ "&amp;AB1410&amp;IF(AB1410=1," gap"," gaps")))</f>
        <v/>
      </c>
    </row>
    <row r="1411" ht="17" customHeight="1">
      <c r="A1411" t="n">
        <v>29</v>
      </c>
      <c r="B1411" s="29">
        <f>IF(Setup!$K$9="","",Setup!$K$9)</f>
        <v/>
      </c>
      <c r="C1411" s="88" t="n"/>
      <c r="D1411" s="88" t="n"/>
      <c r="E1411" s="88" t="n"/>
      <c r="F1411" s="89" t="n"/>
      <c r="G1411" s="88" t="n"/>
      <c r="H1411" s="88" t="n"/>
      <c r="I1411" s="88" t="n"/>
      <c r="J1411" s="89" t="n"/>
      <c r="K1411" s="88" t="n"/>
      <c r="L1411" s="88" t="n"/>
      <c r="M1411" s="88" t="n"/>
      <c r="N1411" s="89" t="n"/>
      <c r="O1411" s="88" t="n"/>
      <c r="P1411" s="88" t="n"/>
      <c r="Q1411" s="88" t="n"/>
      <c r="R1411" s="89" t="n"/>
      <c r="S1411" s="88" t="n"/>
      <c r="T1411" s="88" t="n"/>
      <c r="U1411" s="88" t="n"/>
      <c r="V1411" s="89" t="n"/>
      <c r="W1411" s="88" t="n"/>
      <c r="X1411" s="89" t="n"/>
      <c r="Y1411" s="88" t="n"/>
      <c r="Z1411" s="89" t="n"/>
      <c r="AB1411" s="30">
        <f>IF($B1411="","",(COUNTIF(C1411:E1411,"?*")&lt;N(INDEX(Setup!$L$6:$L$23,4)))+(COUNTIF(G1411:I1411,"?*")&lt;N(INDEX(Setup!$L$6:$L$23,4)))+(COUNTIF(K1411:M1411,"?*")&lt;N(INDEX(Setup!$L$6:$L$23,4)))+(COUNTIF(O1411:Q1411,"?*")&lt;N(INDEX(Setup!$L$6:$L$23,4)))+(COUNTIF(S1411:U1411,"?*")&lt;N(INDEX(Setup!$L$6:$L$23,4)))+((W1411="")*(INDEX(Setup!$M$6:$M$23,4)="Y"))+((Y1411="")*(INDEX(Setup!$M$6:$M$23,4)="Y")))</f>
        <v/>
      </c>
      <c r="AC1411" s="91">
        <f>IF($B1411="","",IF(AB1411=0,"✓ covered","⚠ "&amp;AB1411&amp;IF(AB1411=1," gap"," gaps")))</f>
        <v/>
      </c>
    </row>
    <row r="1412" ht="17" customHeight="1">
      <c r="A1412" t="n">
        <v>29</v>
      </c>
      <c r="B1412" s="24">
        <f>IF(Setup!$K$10="","",Setup!$K$10)</f>
        <v/>
      </c>
      <c r="C1412" s="88" t="n"/>
      <c r="D1412" s="88" t="n"/>
      <c r="E1412" s="88" t="n"/>
      <c r="F1412" s="89" t="n"/>
      <c r="G1412" s="88" t="n"/>
      <c r="H1412" s="88" t="n"/>
      <c r="I1412" s="88" t="n"/>
      <c r="J1412" s="89" t="n"/>
      <c r="K1412" s="88" t="n"/>
      <c r="L1412" s="88" t="n"/>
      <c r="M1412" s="88" t="n"/>
      <c r="N1412" s="89" t="n"/>
      <c r="O1412" s="88" t="n"/>
      <c r="P1412" s="88" t="n"/>
      <c r="Q1412" s="88" t="n"/>
      <c r="R1412" s="89" t="n"/>
      <c r="S1412" s="88" t="n"/>
      <c r="T1412" s="88" t="n"/>
      <c r="U1412" s="88" t="n"/>
      <c r="V1412" s="89" t="n"/>
      <c r="W1412" s="88" t="n"/>
      <c r="X1412" s="89" t="n"/>
      <c r="Y1412" s="88" t="n"/>
      <c r="Z1412" s="89" t="n"/>
      <c r="AB1412" s="25">
        <f>IF($B1412="","",(COUNTIF(C1412:E1412,"?*")&lt;N(INDEX(Setup!$L$6:$L$23,5)))+(COUNTIF(G1412:I1412,"?*")&lt;N(INDEX(Setup!$L$6:$L$23,5)))+(COUNTIF(K1412:M1412,"?*")&lt;N(INDEX(Setup!$L$6:$L$23,5)))+(COUNTIF(O1412:Q1412,"?*")&lt;N(INDEX(Setup!$L$6:$L$23,5)))+(COUNTIF(S1412:U1412,"?*")&lt;N(INDEX(Setup!$L$6:$L$23,5)))+((W1412="")*(INDEX(Setup!$M$6:$M$23,5)="Y"))+((Y1412="")*(INDEX(Setup!$M$6:$M$23,5)="Y")))</f>
        <v/>
      </c>
      <c r="AC1412" s="90">
        <f>IF($B1412="","",IF(AB1412=0,"✓ covered","⚠ "&amp;AB1412&amp;IF(AB1412=1," gap"," gaps")))</f>
        <v/>
      </c>
    </row>
    <row r="1413" ht="17" customHeight="1">
      <c r="A1413" t="n">
        <v>29</v>
      </c>
      <c r="B1413" s="29">
        <f>IF(Setup!$K$11="","",Setup!$K$11)</f>
        <v/>
      </c>
      <c r="C1413" s="88" t="n"/>
      <c r="D1413" s="88" t="n"/>
      <c r="E1413" s="88" t="n"/>
      <c r="F1413" s="89" t="n"/>
      <c r="G1413" s="88" t="n"/>
      <c r="H1413" s="88" t="n"/>
      <c r="I1413" s="88" t="n"/>
      <c r="J1413" s="89" t="n"/>
      <c r="K1413" s="88" t="n"/>
      <c r="L1413" s="88" t="n"/>
      <c r="M1413" s="88" t="n"/>
      <c r="N1413" s="89" t="n"/>
      <c r="O1413" s="88" t="n"/>
      <c r="P1413" s="88" t="n"/>
      <c r="Q1413" s="88" t="n"/>
      <c r="R1413" s="89" t="n"/>
      <c r="S1413" s="88" t="n"/>
      <c r="T1413" s="88" t="n"/>
      <c r="U1413" s="88" t="n"/>
      <c r="V1413" s="89" t="n"/>
      <c r="W1413" s="88" t="n"/>
      <c r="X1413" s="89" t="n"/>
      <c r="Y1413" s="88" t="n"/>
      <c r="Z1413" s="89" t="n"/>
      <c r="AB1413" s="30">
        <f>IF($B1413="","",(COUNTIF(C1413:E1413,"?*")&lt;N(INDEX(Setup!$L$6:$L$23,6)))+(COUNTIF(G1413:I1413,"?*")&lt;N(INDEX(Setup!$L$6:$L$23,6)))+(COUNTIF(K1413:M1413,"?*")&lt;N(INDEX(Setup!$L$6:$L$23,6)))+(COUNTIF(O1413:Q1413,"?*")&lt;N(INDEX(Setup!$L$6:$L$23,6)))+(COUNTIF(S1413:U1413,"?*")&lt;N(INDEX(Setup!$L$6:$L$23,6)))+((W1413="")*(INDEX(Setup!$M$6:$M$23,6)="Y"))+((Y1413="")*(INDEX(Setup!$M$6:$M$23,6)="Y")))</f>
        <v/>
      </c>
      <c r="AC1413" s="91">
        <f>IF($B1413="","",IF(AB1413=0,"✓ covered","⚠ "&amp;AB1413&amp;IF(AB1413=1," gap"," gaps")))</f>
        <v/>
      </c>
    </row>
    <row r="1414" ht="17" customHeight="1">
      <c r="A1414" t="n">
        <v>29</v>
      </c>
      <c r="B1414" s="24">
        <f>IF(Setup!$K$12="","",Setup!$K$12)</f>
        <v/>
      </c>
      <c r="C1414" s="88" t="n"/>
      <c r="D1414" s="88" t="n"/>
      <c r="E1414" s="88" t="n"/>
      <c r="F1414" s="89" t="n"/>
      <c r="G1414" s="88" t="n"/>
      <c r="H1414" s="88" t="n"/>
      <c r="I1414" s="88" t="n"/>
      <c r="J1414" s="89" t="n"/>
      <c r="K1414" s="88" t="n"/>
      <c r="L1414" s="88" t="n"/>
      <c r="M1414" s="88" t="n"/>
      <c r="N1414" s="89" t="n"/>
      <c r="O1414" s="88" t="n"/>
      <c r="P1414" s="88" t="n"/>
      <c r="Q1414" s="88" t="n"/>
      <c r="R1414" s="89" t="n"/>
      <c r="S1414" s="88" t="n"/>
      <c r="T1414" s="88" t="n"/>
      <c r="U1414" s="88" t="n"/>
      <c r="V1414" s="89" t="n"/>
      <c r="W1414" s="88" t="n"/>
      <c r="X1414" s="89" t="n"/>
      <c r="Y1414" s="88" t="n"/>
      <c r="Z1414" s="89" t="n"/>
      <c r="AB1414" s="25">
        <f>IF($B1414="","",(COUNTIF(C1414:E1414,"?*")&lt;N(INDEX(Setup!$L$6:$L$23,7)))+(COUNTIF(G1414:I1414,"?*")&lt;N(INDEX(Setup!$L$6:$L$23,7)))+(COUNTIF(K1414:M1414,"?*")&lt;N(INDEX(Setup!$L$6:$L$23,7)))+(COUNTIF(O1414:Q1414,"?*")&lt;N(INDEX(Setup!$L$6:$L$23,7)))+(COUNTIF(S1414:U1414,"?*")&lt;N(INDEX(Setup!$L$6:$L$23,7)))+((W1414="")*(INDEX(Setup!$M$6:$M$23,7)="Y"))+((Y1414="")*(INDEX(Setup!$M$6:$M$23,7)="Y")))</f>
        <v/>
      </c>
      <c r="AC1414" s="90">
        <f>IF($B1414="","",IF(AB1414=0,"✓ covered","⚠ "&amp;AB1414&amp;IF(AB1414=1," gap"," gaps")))</f>
        <v/>
      </c>
    </row>
    <row r="1415" ht="17" customHeight="1">
      <c r="A1415" t="n">
        <v>29</v>
      </c>
      <c r="B1415" s="29">
        <f>IF(Setup!$K$13="","",Setup!$K$13)</f>
        <v/>
      </c>
      <c r="C1415" s="88" t="n"/>
      <c r="D1415" s="88" t="n"/>
      <c r="E1415" s="88" t="n"/>
      <c r="F1415" s="89" t="n"/>
      <c r="G1415" s="88" t="n"/>
      <c r="H1415" s="88" t="n"/>
      <c r="I1415" s="88" t="n"/>
      <c r="J1415" s="89" t="n"/>
      <c r="K1415" s="88" t="n"/>
      <c r="L1415" s="88" t="n"/>
      <c r="M1415" s="88" t="n"/>
      <c r="N1415" s="89" t="n"/>
      <c r="O1415" s="88" t="n"/>
      <c r="P1415" s="88" t="n"/>
      <c r="Q1415" s="88" t="n"/>
      <c r="R1415" s="89" t="n"/>
      <c r="S1415" s="88" t="n"/>
      <c r="T1415" s="88" t="n"/>
      <c r="U1415" s="88" t="n"/>
      <c r="V1415" s="89" t="n"/>
      <c r="W1415" s="88" t="n"/>
      <c r="X1415" s="89" t="n"/>
      <c r="Y1415" s="88" t="n"/>
      <c r="Z1415" s="89" t="n"/>
      <c r="AB1415" s="30">
        <f>IF($B1415="","",(COUNTIF(C1415:E1415,"?*")&lt;N(INDEX(Setup!$L$6:$L$23,8)))+(COUNTIF(G1415:I1415,"?*")&lt;N(INDEX(Setup!$L$6:$L$23,8)))+(COUNTIF(K1415:M1415,"?*")&lt;N(INDEX(Setup!$L$6:$L$23,8)))+(COUNTIF(O1415:Q1415,"?*")&lt;N(INDEX(Setup!$L$6:$L$23,8)))+(COUNTIF(S1415:U1415,"?*")&lt;N(INDEX(Setup!$L$6:$L$23,8)))+((W1415="")*(INDEX(Setup!$M$6:$M$23,8)="Y"))+((Y1415="")*(INDEX(Setup!$M$6:$M$23,8)="Y")))</f>
        <v/>
      </c>
      <c r="AC1415" s="91">
        <f>IF($B1415="","",IF(AB1415=0,"✓ covered","⚠ "&amp;AB1415&amp;IF(AB1415=1," gap"," gaps")))</f>
        <v/>
      </c>
    </row>
    <row r="1416" ht="17" customHeight="1">
      <c r="A1416" t="n">
        <v>29</v>
      </c>
      <c r="B1416" s="24">
        <f>IF(Setup!$K$14="","",Setup!$K$14)</f>
        <v/>
      </c>
      <c r="C1416" s="88" t="n"/>
      <c r="D1416" s="88" t="n"/>
      <c r="E1416" s="88" t="n"/>
      <c r="F1416" s="89" t="n"/>
      <c r="G1416" s="88" t="n"/>
      <c r="H1416" s="88" t="n"/>
      <c r="I1416" s="88" t="n"/>
      <c r="J1416" s="89" t="n"/>
      <c r="K1416" s="88" t="n"/>
      <c r="L1416" s="88" t="n"/>
      <c r="M1416" s="88" t="n"/>
      <c r="N1416" s="89" t="n"/>
      <c r="O1416" s="88" t="n"/>
      <c r="P1416" s="88" t="n"/>
      <c r="Q1416" s="88" t="n"/>
      <c r="R1416" s="89" t="n"/>
      <c r="S1416" s="88" t="n"/>
      <c r="T1416" s="88" t="n"/>
      <c r="U1416" s="88" t="n"/>
      <c r="V1416" s="89" t="n"/>
      <c r="W1416" s="88" t="n"/>
      <c r="X1416" s="89" t="n"/>
      <c r="Y1416" s="88" t="n"/>
      <c r="Z1416" s="89" t="n"/>
      <c r="AB1416" s="25">
        <f>IF($B1416="","",(COUNTIF(C1416:E1416,"?*")&lt;N(INDEX(Setup!$L$6:$L$23,9)))+(COUNTIF(G1416:I1416,"?*")&lt;N(INDEX(Setup!$L$6:$L$23,9)))+(COUNTIF(K1416:M1416,"?*")&lt;N(INDEX(Setup!$L$6:$L$23,9)))+(COUNTIF(O1416:Q1416,"?*")&lt;N(INDEX(Setup!$L$6:$L$23,9)))+(COUNTIF(S1416:U1416,"?*")&lt;N(INDEX(Setup!$L$6:$L$23,9)))+((W1416="")*(INDEX(Setup!$M$6:$M$23,9)="Y"))+((Y1416="")*(INDEX(Setup!$M$6:$M$23,9)="Y")))</f>
        <v/>
      </c>
      <c r="AC1416" s="90">
        <f>IF($B1416="","",IF(AB1416=0,"✓ covered","⚠ "&amp;AB1416&amp;IF(AB1416=1," gap"," gaps")))</f>
        <v/>
      </c>
    </row>
    <row r="1417" ht="17" customHeight="1">
      <c r="A1417" t="n">
        <v>29</v>
      </c>
      <c r="B1417" s="29">
        <f>IF(Setup!$K$15="","",Setup!$K$15)</f>
        <v/>
      </c>
      <c r="C1417" s="88" t="n"/>
      <c r="D1417" s="88" t="n"/>
      <c r="E1417" s="88" t="n"/>
      <c r="F1417" s="89" t="n"/>
      <c r="G1417" s="88" t="n"/>
      <c r="H1417" s="88" t="n"/>
      <c r="I1417" s="88" t="n"/>
      <c r="J1417" s="89" t="n"/>
      <c r="K1417" s="88" t="n"/>
      <c r="L1417" s="88" t="n"/>
      <c r="M1417" s="88" t="n"/>
      <c r="N1417" s="89" t="n"/>
      <c r="O1417" s="88" t="n"/>
      <c r="P1417" s="88" t="n"/>
      <c r="Q1417" s="88" t="n"/>
      <c r="R1417" s="89" t="n"/>
      <c r="S1417" s="88" t="n"/>
      <c r="T1417" s="88" t="n"/>
      <c r="U1417" s="88" t="n"/>
      <c r="V1417" s="89" t="n"/>
      <c r="W1417" s="88" t="n"/>
      <c r="X1417" s="89" t="n"/>
      <c r="Y1417" s="88" t="n"/>
      <c r="Z1417" s="89" t="n"/>
      <c r="AB1417" s="30">
        <f>IF($B1417="","",(COUNTIF(C1417:E1417,"?*")&lt;N(INDEX(Setup!$L$6:$L$23,10)))+(COUNTIF(G1417:I1417,"?*")&lt;N(INDEX(Setup!$L$6:$L$23,10)))+(COUNTIF(K1417:M1417,"?*")&lt;N(INDEX(Setup!$L$6:$L$23,10)))+(COUNTIF(O1417:Q1417,"?*")&lt;N(INDEX(Setup!$L$6:$L$23,10)))+(COUNTIF(S1417:U1417,"?*")&lt;N(INDEX(Setup!$L$6:$L$23,10)))+((W1417="")*(INDEX(Setup!$M$6:$M$23,10)="Y"))+((Y1417="")*(INDEX(Setup!$M$6:$M$23,10)="Y")))</f>
        <v/>
      </c>
      <c r="AC1417" s="91">
        <f>IF($B1417="","",IF(AB1417=0,"✓ covered","⚠ "&amp;AB1417&amp;IF(AB1417=1," gap"," gaps")))</f>
        <v/>
      </c>
    </row>
    <row r="1418" ht="17" customHeight="1">
      <c r="A1418" t="n">
        <v>29</v>
      </c>
      <c r="B1418" s="24">
        <f>IF(Setup!$K$16="","",Setup!$K$16)</f>
        <v/>
      </c>
      <c r="C1418" s="88" t="n"/>
      <c r="D1418" s="88" t="n"/>
      <c r="E1418" s="88" t="n"/>
      <c r="F1418" s="89" t="n"/>
      <c r="G1418" s="88" t="n"/>
      <c r="H1418" s="88" t="n"/>
      <c r="I1418" s="88" t="n"/>
      <c r="J1418" s="89" t="n"/>
      <c r="K1418" s="88" t="n"/>
      <c r="L1418" s="88" t="n"/>
      <c r="M1418" s="88" t="n"/>
      <c r="N1418" s="89" t="n"/>
      <c r="O1418" s="88" t="n"/>
      <c r="P1418" s="88" t="n"/>
      <c r="Q1418" s="88" t="n"/>
      <c r="R1418" s="89" t="n"/>
      <c r="S1418" s="88" t="n"/>
      <c r="T1418" s="88" t="n"/>
      <c r="U1418" s="88" t="n"/>
      <c r="V1418" s="89" t="n"/>
      <c r="W1418" s="88" t="n"/>
      <c r="X1418" s="89" t="n"/>
      <c r="Y1418" s="88" t="n"/>
      <c r="Z1418" s="89" t="n"/>
      <c r="AB1418" s="25">
        <f>IF($B1418="","",(COUNTIF(C1418:E1418,"?*")&lt;N(INDEX(Setup!$L$6:$L$23,11)))+(COUNTIF(G1418:I1418,"?*")&lt;N(INDEX(Setup!$L$6:$L$23,11)))+(COUNTIF(K1418:M1418,"?*")&lt;N(INDEX(Setup!$L$6:$L$23,11)))+(COUNTIF(O1418:Q1418,"?*")&lt;N(INDEX(Setup!$L$6:$L$23,11)))+(COUNTIF(S1418:U1418,"?*")&lt;N(INDEX(Setup!$L$6:$L$23,11)))+((W1418="")*(INDEX(Setup!$M$6:$M$23,11)="Y"))+((Y1418="")*(INDEX(Setup!$M$6:$M$23,11)="Y")))</f>
        <v/>
      </c>
      <c r="AC1418" s="90">
        <f>IF($B1418="","",IF(AB1418=0,"✓ covered","⚠ "&amp;AB1418&amp;IF(AB1418=1," gap"," gaps")))</f>
        <v/>
      </c>
    </row>
    <row r="1419" ht="17" customHeight="1">
      <c r="A1419" t="n">
        <v>29</v>
      </c>
      <c r="B1419" s="29">
        <f>IF(Setup!$K$17="","",Setup!$K$17)</f>
        <v/>
      </c>
      <c r="C1419" s="88" t="n"/>
      <c r="D1419" s="88" t="n"/>
      <c r="E1419" s="88" t="n"/>
      <c r="F1419" s="89" t="n"/>
      <c r="G1419" s="88" t="n"/>
      <c r="H1419" s="88" t="n"/>
      <c r="I1419" s="88" t="n"/>
      <c r="J1419" s="89" t="n"/>
      <c r="K1419" s="88" t="n"/>
      <c r="L1419" s="88" t="n"/>
      <c r="M1419" s="88" t="n"/>
      <c r="N1419" s="89" t="n"/>
      <c r="O1419" s="88" t="n"/>
      <c r="P1419" s="88" t="n"/>
      <c r="Q1419" s="88" t="n"/>
      <c r="R1419" s="89" t="n"/>
      <c r="S1419" s="88" t="n"/>
      <c r="T1419" s="88" t="n"/>
      <c r="U1419" s="88" t="n"/>
      <c r="V1419" s="89" t="n"/>
      <c r="W1419" s="88" t="n"/>
      <c r="X1419" s="89" t="n"/>
      <c r="Y1419" s="88" t="n"/>
      <c r="Z1419" s="89" t="n"/>
      <c r="AB1419" s="30">
        <f>IF($B1419="","",(COUNTIF(C1419:E1419,"?*")&lt;N(INDEX(Setup!$L$6:$L$23,12)))+(COUNTIF(G1419:I1419,"?*")&lt;N(INDEX(Setup!$L$6:$L$23,12)))+(COUNTIF(K1419:M1419,"?*")&lt;N(INDEX(Setup!$L$6:$L$23,12)))+(COUNTIF(O1419:Q1419,"?*")&lt;N(INDEX(Setup!$L$6:$L$23,12)))+(COUNTIF(S1419:U1419,"?*")&lt;N(INDEX(Setup!$L$6:$L$23,12)))+((W1419="")*(INDEX(Setup!$M$6:$M$23,12)="Y"))+((Y1419="")*(INDEX(Setup!$M$6:$M$23,12)="Y")))</f>
        <v/>
      </c>
      <c r="AC1419" s="91">
        <f>IF($B1419="","",IF(AB1419=0,"✓ covered","⚠ "&amp;AB1419&amp;IF(AB1419=1," gap"," gaps")))</f>
        <v/>
      </c>
    </row>
    <row r="1420" ht="17" customHeight="1">
      <c r="A1420" t="n">
        <v>29</v>
      </c>
      <c r="B1420" s="24">
        <f>IF(Setup!$K$18="","",Setup!$K$18)</f>
        <v/>
      </c>
      <c r="C1420" s="88" t="n"/>
      <c r="D1420" s="88" t="n"/>
      <c r="E1420" s="88" t="n"/>
      <c r="F1420" s="89" t="n"/>
      <c r="G1420" s="88" t="n"/>
      <c r="H1420" s="88" t="n"/>
      <c r="I1420" s="88" t="n"/>
      <c r="J1420" s="89" t="n"/>
      <c r="K1420" s="88" t="n"/>
      <c r="L1420" s="88" t="n"/>
      <c r="M1420" s="88" t="n"/>
      <c r="N1420" s="89" t="n"/>
      <c r="O1420" s="88" t="n"/>
      <c r="P1420" s="88" t="n"/>
      <c r="Q1420" s="88" t="n"/>
      <c r="R1420" s="89" t="n"/>
      <c r="S1420" s="88" t="n"/>
      <c r="T1420" s="88" t="n"/>
      <c r="U1420" s="88" t="n"/>
      <c r="V1420" s="89" t="n"/>
      <c r="W1420" s="88" t="n"/>
      <c r="X1420" s="89" t="n"/>
      <c r="Y1420" s="88" t="n"/>
      <c r="Z1420" s="89" t="n"/>
      <c r="AB1420" s="25">
        <f>IF($B1420="","",(COUNTIF(C1420:E1420,"?*")&lt;N(INDEX(Setup!$L$6:$L$23,13)))+(COUNTIF(G1420:I1420,"?*")&lt;N(INDEX(Setup!$L$6:$L$23,13)))+(COUNTIF(K1420:M1420,"?*")&lt;N(INDEX(Setup!$L$6:$L$23,13)))+(COUNTIF(O1420:Q1420,"?*")&lt;N(INDEX(Setup!$L$6:$L$23,13)))+(COUNTIF(S1420:U1420,"?*")&lt;N(INDEX(Setup!$L$6:$L$23,13)))+((W1420="")*(INDEX(Setup!$M$6:$M$23,13)="Y"))+((Y1420="")*(INDEX(Setup!$M$6:$M$23,13)="Y")))</f>
        <v/>
      </c>
      <c r="AC1420" s="90">
        <f>IF($B1420="","",IF(AB1420=0,"✓ covered","⚠ "&amp;AB1420&amp;IF(AB1420=1," gap"," gaps")))</f>
        <v/>
      </c>
    </row>
    <row r="1421" ht="17" customHeight="1">
      <c r="A1421" t="n">
        <v>29</v>
      </c>
      <c r="B1421" s="29">
        <f>IF(Setup!$K$19="","",Setup!$K$19)</f>
        <v/>
      </c>
      <c r="C1421" s="88" t="n"/>
      <c r="D1421" s="88" t="n"/>
      <c r="E1421" s="88" t="n"/>
      <c r="F1421" s="89" t="n"/>
      <c r="G1421" s="88" t="n"/>
      <c r="H1421" s="88" t="n"/>
      <c r="I1421" s="88" t="n"/>
      <c r="J1421" s="89" t="n"/>
      <c r="K1421" s="88" t="n"/>
      <c r="L1421" s="88" t="n"/>
      <c r="M1421" s="88" t="n"/>
      <c r="N1421" s="89" t="n"/>
      <c r="O1421" s="88" t="n"/>
      <c r="P1421" s="88" t="n"/>
      <c r="Q1421" s="88" t="n"/>
      <c r="R1421" s="89" t="n"/>
      <c r="S1421" s="88" t="n"/>
      <c r="T1421" s="88" t="n"/>
      <c r="U1421" s="88" t="n"/>
      <c r="V1421" s="89" t="n"/>
      <c r="W1421" s="88" t="n"/>
      <c r="X1421" s="89" t="n"/>
      <c r="Y1421" s="88" t="n"/>
      <c r="Z1421" s="89" t="n"/>
      <c r="AB1421" s="30">
        <f>IF($B1421="","",(COUNTIF(C1421:E1421,"?*")&lt;N(INDEX(Setup!$L$6:$L$23,14)))+(COUNTIF(G1421:I1421,"?*")&lt;N(INDEX(Setup!$L$6:$L$23,14)))+(COUNTIF(K1421:M1421,"?*")&lt;N(INDEX(Setup!$L$6:$L$23,14)))+(COUNTIF(O1421:Q1421,"?*")&lt;N(INDEX(Setup!$L$6:$L$23,14)))+(COUNTIF(S1421:U1421,"?*")&lt;N(INDEX(Setup!$L$6:$L$23,14)))+((W1421="")*(INDEX(Setup!$M$6:$M$23,14)="Y"))+((Y1421="")*(INDEX(Setup!$M$6:$M$23,14)="Y")))</f>
        <v/>
      </c>
      <c r="AC1421" s="91">
        <f>IF($B1421="","",IF(AB1421=0,"✓ covered","⚠ "&amp;AB1421&amp;IF(AB1421=1," gap"," gaps")))</f>
        <v/>
      </c>
    </row>
    <row r="1422" ht="17" customHeight="1">
      <c r="A1422" t="n">
        <v>29</v>
      </c>
      <c r="B1422" s="24">
        <f>IF(Setup!$K$20="","",Setup!$K$20)</f>
        <v/>
      </c>
      <c r="C1422" s="88" t="n"/>
      <c r="D1422" s="88" t="n"/>
      <c r="E1422" s="88" t="n"/>
      <c r="F1422" s="89" t="n"/>
      <c r="G1422" s="88" t="n"/>
      <c r="H1422" s="88" t="n"/>
      <c r="I1422" s="88" t="n"/>
      <c r="J1422" s="89" t="n"/>
      <c r="K1422" s="88" t="n"/>
      <c r="L1422" s="88" t="n"/>
      <c r="M1422" s="88" t="n"/>
      <c r="N1422" s="89" t="n"/>
      <c r="O1422" s="88" t="n"/>
      <c r="P1422" s="88" t="n"/>
      <c r="Q1422" s="88" t="n"/>
      <c r="R1422" s="89" t="n"/>
      <c r="S1422" s="88" t="n"/>
      <c r="T1422" s="88" t="n"/>
      <c r="U1422" s="88" t="n"/>
      <c r="V1422" s="89" t="n"/>
      <c r="W1422" s="88" t="n"/>
      <c r="X1422" s="89" t="n"/>
      <c r="Y1422" s="88" t="n"/>
      <c r="Z1422" s="89" t="n"/>
      <c r="AB1422" s="25">
        <f>IF($B1422="","",(COUNTIF(C1422:E1422,"?*")&lt;N(INDEX(Setup!$L$6:$L$23,15)))+(COUNTIF(G1422:I1422,"?*")&lt;N(INDEX(Setup!$L$6:$L$23,15)))+(COUNTIF(K1422:M1422,"?*")&lt;N(INDEX(Setup!$L$6:$L$23,15)))+(COUNTIF(O1422:Q1422,"?*")&lt;N(INDEX(Setup!$L$6:$L$23,15)))+(COUNTIF(S1422:U1422,"?*")&lt;N(INDEX(Setup!$L$6:$L$23,15)))+((W1422="")*(INDEX(Setup!$M$6:$M$23,15)="Y"))+((Y1422="")*(INDEX(Setup!$M$6:$M$23,15)="Y")))</f>
        <v/>
      </c>
      <c r="AC1422" s="90">
        <f>IF($B1422="","",IF(AB1422=0,"✓ covered","⚠ "&amp;AB1422&amp;IF(AB1422=1," gap"," gaps")))</f>
        <v/>
      </c>
    </row>
    <row r="1423" ht="17" customHeight="1">
      <c r="A1423" t="n">
        <v>29</v>
      </c>
      <c r="B1423" s="29">
        <f>IF(Setup!$K$21="","",Setup!$K$21)</f>
        <v/>
      </c>
      <c r="C1423" s="88" t="n"/>
      <c r="D1423" s="88" t="n"/>
      <c r="E1423" s="88" t="n"/>
      <c r="F1423" s="89" t="n"/>
      <c r="G1423" s="88" t="n"/>
      <c r="H1423" s="88" t="n"/>
      <c r="I1423" s="88" t="n"/>
      <c r="J1423" s="89" t="n"/>
      <c r="K1423" s="88" t="n"/>
      <c r="L1423" s="88" t="n"/>
      <c r="M1423" s="88" t="n"/>
      <c r="N1423" s="89" t="n"/>
      <c r="O1423" s="88" t="n"/>
      <c r="P1423" s="88" t="n"/>
      <c r="Q1423" s="88" t="n"/>
      <c r="R1423" s="89" t="n"/>
      <c r="S1423" s="88" t="n"/>
      <c r="T1423" s="88" t="n"/>
      <c r="U1423" s="88" t="n"/>
      <c r="V1423" s="89" t="n"/>
      <c r="W1423" s="88" t="n"/>
      <c r="X1423" s="89" t="n"/>
      <c r="Y1423" s="88" t="n"/>
      <c r="Z1423" s="89" t="n"/>
      <c r="AB1423" s="30">
        <f>IF($B1423="","",(COUNTIF(C1423:E1423,"?*")&lt;N(INDEX(Setup!$L$6:$L$23,16)))+(COUNTIF(G1423:I1423,"?*")&lt;N(INDEX(Setup!$L$6:$L$23,16)))+(COUNTIF(K1423:M1423,"?*")&lt;N(INDEX(Setup!$L$6:$L$23,16)))+(COUNTIF(O1423:Q1423,"?*")&lt;N(INDEX(Setup!$L$6:$L$23,16)))+(COUNTIF(S1423:U1423,"?*")&lt;N(INDEX(Setup!$L$6:$L$23,16)))+((W1423="")*(INDEX(Setup!$M$6:$M$23,16)="Y"))+((Y1423="")*(INDEX(Setup!$M$6:$M$23,16)="Y")))</f>
        <v/>
      </c>
      <c r="AC1423" s="91">
        <f>IF($B1423="","",IF(AB1423=0,"✓ covered","⚠ "&amp;AB1423&amp;IF(AB1423=1," gap"," gaps")))</f>
        <v/>
      </c>
    </row>
    <row r="1424" ht="17" customHeight="1">
      <c r="A1424" t="n">
        <v>29</v>
      </c>
      <c r="B1424" s="24">
        <f>IF(Setup!$K$22="","",Setup!$K$22)</f>
        <v/>
      </c>
      <c r="C1424" s="88" t="n"/>
      <c r="D1424" s="88" t="n"/>
      <c r="E1424" s="88" t="n"/>
      <c r="F1424" s="89" t="n"/>
      <c r="G1424" s="88" t="n"/>
      <c r="H1424" s="88" t="n"/>
      <c r="I1424" s="88" t="n"/>
      <c r="J1424" s="89" t="n"/>
      <c r="K1424" s="88" t="n"/>
      <c r="L1424" s="88" t="n"/>
      <c r="M1424" s="88" t="n"/>
      <c r="N1424" s="89" t="n"/>
      <c r="O1424" s="88" t="n"/>
      <c r="P1424" s="88" t="n"/>
      <c r="Q1424" s="88" t="n"/>
      <c r="R1424" s="89" t="n"/>
      <c r="S1424" s="88" t="n"/>
      <c r="T1424" s="88" t="n"/>
      <c r="U1424" s="88" t="n"/>
      <c r="V1424" s="89" t="n"/>
      <c r="W1424" s="88" t="n"/>
      <c r="X1424" s="89" t="n"/>
      <c r="Y1424" s="88" t="n"/>
      <c r="Z1424" s="89" t="n"/>
      <c r="AB1424" s="25">
        <f>IF($B1424="","",(COUNTIF(C1424:E1424,"?*")&lt;N(INDEX(Setup!$L$6:$L$23,17)))+(COUNTIF(G1424:I1424,"?*")&lt;N(INDEX(Setup!$L$6:$L$23,17)))+(COUNTIF(K1424:M1424,"?*")&lt;N(INDEX(Setup!$L$6:$L$23,17)))+(COUNTIF(O1424:Q1424,"?*")&lt;N(INDEX(Setup!$L$6:$L$23,17)))+(COUNTIF(S1424:U1424,"?*")&lt;N(INDEX(Setup!$L$6:$L$23,17)))+((W1424="")*(INDEX(Setup!$M$6:$M$23,17)="Y"))+((Y1424="")*(INDEX(Setup!$M$6:$M$23,17)="Y")))</f>
        <v/>
      </c>
      <c r="AC1424" s="90">
        <f>IF($B1424="","",IF(AB1424=0,"✓ covered","⚠ "&amp;AB1424&amp;IF(AB1424=1," gap"," gaps")))</f>
        <v/>
      </c>
    </row>
    <row r="1425" ht="17" customHeight="1">
      <c r="A1425" t="n">
        <v>29</v>
      </c>
      <c r="B1425" s="29">
        <f>IF(Setup!$K$23="","",Setup!$K$23)</f>
        <v/>
      </c>
      <c r="C1425" s="88" t="n"/>
      <c r="D1425" s="88" t="n"/>
      <c r="E1425" s="88" t="n"/>
      <c r="F1425" s="89" t="n"/>
      <c r="G1425" s="88" t="n"/>
      <c r="H1425" s="88" t="n"/>
      <c r="I1425" s="88" t="n"/>
      <c r="J1425" s="89" t="n"/>
      <c r="K1425" s="88" t="n"/>
      <c r="L1425" s="88" t="n"/>
      <c r="M1425" s="88" t="n"/>
      <c r="N1425" s="89" t="n"/>
      <c r="O1425" s="88" t="n"/>
      <c r="P1425" s="88" t="n"/>
      <c r="Q1425" s="88" t="n"/>
      <c r="R1425" s="89" t="n"/>
      <c r="S1425" s="88" t="n"/>
      <c r="T1425" s="88" t="n"/>
      <c r="U1425" s="88" t="n"/>
      <c r="V1425" s="89" t="n"/>
      <c r="W1425" s="88" t="n"/>
      <c r="X1425" s="89" t="n"/>
      <c r="Y1425" s="88" t="n"/>
      <c r="Z1425" s="89" t="n"/>
      <c r="AB1425" s="30">
        <f>IF($B1425="","",(COUNTIF(C1425:E1425,"?*")&lt;N(INDEX(Setup!$L$6:$L$23,18)))+(COUNTIF(G1425:I1425,"?*")&lt;N(INDEX(Setup!$L$6:$L$23,18)))+(COUNTIF(K1425:M1425,"?*")&lt;N(INDEX(Setup!$L$6:$L$23,18)))+(COUNTIF(O1425:Q1425,"?*")&lt;N(INDEX(Setup!$L$6:$L$23,18)))+(COUNTIF(S1425:U1425,"?*")&lt;N(INDEX(Setup!$L$6:$L$23,18)))+((W1425="")*(INDEX(Setup!$M$6:$M$23,18)="Y"))+((Y1425="")*(INDEX(Setup!$M$6:$M$23,18)="Y")))</f>
        <v/>
      </c>
      <c r="AC1425" s="91">
        <f>IF($B1425="","",IF(AB1425=0,"✓ covered","⚠ "&amp;AB1425&amp;IF(AB1425=1," gap"," gaps")))</f>
        <v/>
      </c>
    </row>
    <row r="1426" ht="18" customHeight="1">
      <c r="A1426" t="n">
        <v>29</v>
      </c>
      <c r="B1426" s="78" t="inlineStr">
        <is>
          <t>TEAM AVAILABILITY</t>
        </is>
      </c>
      <c r="C1426" s="92" t="inlineStr">
        <is>
          <t>Mon</t>
        </is>
      </c>
      <c r="D1426" s="93" t="n"/>
      <c r="E1426" s="93" t="n"/>
      <c r="F1426" s="94" t="n"/>
      <c r="G1426" s="92" t="inlineStr">
        <is>
          <t>Tue</t>
        </is>
      </c>
      <c r="H1426" s="93" t="n"/>
      <c r="I1426" s="93" t="n"/>
      <c r="J1426" s="94" t="n"/>
      <c r="K1426" s="92" t="inlineStr">
        <is>
          <t>Wed</t>
        </is>
      </c>
      <c r="L1426" s="93" t="n"/>
      <c r="M1426" s="93" t="n"/>
      <c r="N1426" s="94" t="n"/>
      <c r="O1426" s="92" t="inlineStr">
        <is>
          <t>Thu</t>
        </is>
      </c>
      <c r="P1426" s="93" t="n"/>
      <c r="Q1426" s="93" t="n"/>
      <c r="R1426" s="94" t="n"/>
      <c r="S1426" s="92" t="inlineStr">
        <is>
          <t>Fri</t>
        </is>
      </c>
      <c r="T1426" s="93" t="n"/>
      <c r="U1426" s="93" t="n"/>
      <c r="V1426" s="94" t="n"/>
      <c r="W1426" s="95" t="inlineStr">
        <is>
          <t>Sat</t>
        </is>
      </c>
      <c r="X1426" s="96" t="n"/>
      <c r="Y1426" s="95" t="inlineStr">
        <is>
          <t>Sun</t>
        </is>
      </c>
      <c r="Z1426" s="96" t="n"/>
      <c r="AB1426" s="97" t="inlineStr">
        <is>
          <t>Days rostered</t>
        </is>
      </c>
      <c r="AC1426" s="97" t="inlineStr">
        <is>
          <t>Conflicts</t>
        </is>
      </c>
    </row>
    <row r="1427" ht="15" customHeight="1">
      <c r="A1427" t="n">
        <v>29</v>
      </c>
      <c r="B1427" s="35">
        <f>IF(Setup!$B$6="","",Setup!$B$6)</f>
        <v/>
      </c>
      <c r="C1427" s="98" t="n"/>
      <c r="D1427" s="99" t="n"/>
      <c r="E1427" s="99" t="n"/>
      <c r="F1427" s="100" t="n"/>
      <c r="G1427" s="98" t="n"/>
      <c r="H1427" s="99" t="n"/>
      <c r="I1427" s="99" t="n"/>
      <c r="J1427" s="100" t="n"/>
      <c r="K1427" s="98" t="n"/>
      <c r="L1427" s="99" t="n"/>
      <c r="M1427" s="99" t="n"/>
      <c r="N1427" s="100" t="n"/>
      <c r="O1427" s="98" t="n"/>
      <c r="P1427" s="99" t="n"/>
      <c r="Q1427" s="99" t="n"/>
      <c r="R1427" s="100" t="n"/>
      <c r="S1427" s="98" t="n"/>
      <c r="T1427" s="99" t="n"/>
      <c r="U1427" s="99" t="n"/>
      <c r="V1427" s="100" t="n"/>
      <c r="W1427" s="98" t="n"/>
      <c r="X1427" s="100" t="n"/>
      <c r="Y1427" s="98" t="n"/>
      <c r="Z1427" s="100" t="n"/>
      <c r="AB1427" s="101">
        <f>IF($B1427="","",(COUNTIF(C1408:E1425,$B1427)+COUNTIF(C1408:E1425,$B1427&amp;" ~*")&gt;0)+(COUNTIF(G1408:I1425,$B1427)+COUNTIF(G1408:I1425,$B1427&amp;" ~*")&gt;0)+(COUNTIF(K1408:M1425,$B1427)+COUNTIF(K1408:M1425,$B1427&amp;" ~*")&gt;0)+(COUNTIF(O1408:Q1425,$B1427)+COUNTIF(O1408:Q1425,$B1427&amp;" ~*")&gt;0)+(COUNTIF(S1408:U1425,$B1427)+COUNTIF(S1408:U1425,$B1427&amp;" ~*")&gt;0)+(COUNTIF(W1408:W1425,$B1427)+COUNTIF(W1408:W1425,$B1427&amp;" ~*")&gt;0)+(COUNTIF(Y1408:Y1425,$B1427)+COUNTIF(Y1408:Y1425,$B1427&amp;" ~*")&gt;0))</f>
        <v/>
      </c>
      <c r="AC1427" s="36">
        <f>IF($B1427="","",(IFERROR(INDEX(Setup!$G$33:$G$40,MATCH(C1427,Setup!$B$33:$B$40,0)),0)=1)*(COUNTIF(C1408:E1425,$B1427)+COUNTIF(C1408:E1425,$B1427&amp;" ~*")&gt;0)+(IFERROR(INDEX(Setup!$G$33:$G$40,MATCH(G1427,Setup!$B$33:$B$40,0)),0)=1)*(COUNTIF(G1408:I1425,$B1427)+COUNTIF(G1408:I1425,$B1427&amp;" ~*")&gt;0)+(IFERROR(INDEX(Setup!$G$33:$G$40,MATCH(K1427,Setup!$B$33:$B$40,0)),0)=1)*(COUNTIF(K1408:M1425,$B1427)+COUNTIF(K1408:M1425,$B1427&amp;" ~*")&gt;0)+(IFERROR(INDEX(Setup!$G$33:$G$40,MATCH(O1427,Setup!$B$33:$B$40,0)),0)=1)*(COUNTIF(O1408:Q1425,$B1427)+COUNTIF(O1408:Q1425,$B1427&amp;" ~*")&gt;0)+(IFERROR(INDEX(Setup!$G$33:$G$40,MATCH(S1427,Setup!$B$33:$B$40,0)),0)=1)*(COUNTIF(S1408:U1425,$B1427)+COUNTIF(S1408:U1425,$B1427&amp;" ~*")&gt;0)+(IFERROR(INDEX(Setup!$G$33:$G$40,MATCH(W1427,Setup!$B$33:$B$40,0)),0)=1)*(COUNTIF(W1408:W1425,$B1427)+COUNTIF(W1408:W1425,$B1427&amp;" ~*")&gt;0)+(IFERROR(INDEX(Setup!$G$33:$G$40,MATCH(Y1427,Setup!$B$33:$B$40,0)),0)=1)*(COUNTIF(Y1408:Y1425,$B1427)+COUNTIF(Y1408:Y1425,$B1427&amp;" ~*")&gt;0))</f>
        <v/>
      </c>
    </row>
    <row r="1428" ht="15" customHeight="1">
      <c r="A1428" t="n">
        <v>29</v>
      </c>
      <c r="B1428" s="37">
        <f>IF(Setup!$B$7="","",Setup!$B$7)</f>
        <v/>
      </c>
      <c r="C1428" s="102" t="n"/>
      <c r="D1428" s="103" t="n"/>
      <c r="E1428" s="103" t="n"/>
      <c r="F1428" s="104" t="n"/>
      <c r="G1428" s="102" t="n"/>
      <c r="H1428" s="103" t="n"/>
      <c r="I1428" s="103" t="n"/>
      <c r="J1428" s="104" t="n"/>
      <c r="K1428" s="102" t="n"/>
      <c r="L1428" s="103" t="n"/>
      <c r="M1428" s="103" t="n"/>
      <c r="N1428" s="104" t="n"/>
      <c r="O1428" s="102" t="n"/>
      <c r="P1428" s="103" t="n"/>
      <c r="Q1428" s="103" t="n"/>
      <c r="R1428" s="104" t="n"/>
      <c r="S1428" s="102" t="n"/>
      <c r="T1428" s="103" t="n"/>
      <c r="U1428" s="103" t="n"/>
      <c r="V1428" s="104" t="n"/>
      <c r="W1428" s="102" t="n"/>
      <c r="X1428" s="104" t="n"/>
      <c r="Y1428" s="102" t="n"/>
      <c r="Z1428" s="104" t="n"/>
      <c r="AB1428" s="105">
        <f>IF($B1428="","",(COUNTIF(C1408:E1425,$B1428)+COUNTIF(C1408:E1425,$B1428&amp;" ~*")&gt;0)+(COUNTIF(G1408:I1425,$B1428)+COUNTIF(G1408:I1425,$B1428&amp;" ~*")&gt;0)+(COUNTIF(K1408:M1425,$B1428)+COUNTIF(K1408:M1425,$B1428&amp;" ~*")&gt;0)+(COUNTIF(O1408:Q1425,$B1428)+COUNTIF(O1408:Q1425,$B1428&amp;" ~*")&gt;0)+(COUNTIF(S1408:U1425,$B1428)+COUNTIF(S1408:U1425,$B1428&amp;" ~*")&gt;0)+(COUNTIF(W1408:W1425,$B1428)+COUNTIF(W1408:W1425,$B1428&amp;" ~*")&gt;0)+(COUNTIF(Y1408:Y1425,$B1428)+COUNTIF(Y1408:Y1425,$B1428&amp;" ~*")&gt;0))</f>
        <v/>
      </c>
      <c r="AC1428" s="38">
        <f>IF($B1428="","",(IFERROR(INDEX(Setup!$G$33:$G$40,MATCH(C1428,Setup!$B$33:$B$40,0)),0)=1)*(COUNTIF(C1408:E1425,$B1428)+COUNTIF(C1408:E1425,$B1428&amp;" ~*")&gt;0)+(IFERROR(INDEX(Setup!$G$33:$G$40,MATCH(G1428,Setup!$B$33:$B$40,0)),0)=1)*(COUNTIF(G1408:I1425,$B1428)+COUNTIF(G1408:I1425,$B1428&amp;" ~*")&gt;0)+(IFERROR(INDEX(Setup!$G$33:$G$40,MATCH(K1428,Setup!$B$33:$B$40,0)),0)=1)*(COUNTIF(K1408:M1425,$B1428)+COUNTIF(K1408:M1425,$B1428&amp;" ~*")&gt;0)+(IFERROR(INDEX(Setup!$G$33:$G$40,MATCH(O1428,Setup!$B$33:$B$40,0)),0)=1)*(COUNTIF(O1408:Q1425,$B1428)+COUNTIF(O1408:Q1425,$B1428&amp;" ~*")&gt;0)+(IFERROR(INDEX(Setup!$G$33:$G$40,MATCH(S1428,Setup!$B$33:$B$40,0)),0)=1)*(COUNTIF(S1408:U1425,$B1428)+COUNTIF(S1408:U1425,$B1428&amp;" ~*")&gt;0)+(IFERROR(INDEX(Setup!$G$33:$G$40,MATCH(W1428,Setup!$B$33:$B$40,0)),0)=1)*(COUNTIF(W1408:W1425,$B1428)+COUNTIF(W1408:W1425,$B1428&amp;" ~*")&gt;0)+(IFERROR(INDEX(Setup!$G$33:$G$40,MATCH(Y1428,Setup!$B$33:$B$40,0)),0)=1)*(COUNTIF(Y1408:Y1425,$B1428)+COUNTIF(Y1408:Y1425,$B1428&amp;" ~*")&gt;0))</f>
        <v/>
      </c>
    </row>
    <row r="1429" ht="15" customHeight="1">
      <c r="A1429" t="n">
        <v>29</v>
      </c>
      <c r="B1429" s="35">
        <f>IF(Setup!$B$8="","",Setup!$B$8)</f>
        <v/>
      </c>
      <c r="C1429" s="98" t="n"/>
      <c r="D1429" s="99" t="n"/>
      <c r="E1429" s="99" t="n"/>
      <c r="F1429" s="100" t="n"/>
      <c r="G1429" s="98" t="n"/>
      <c r="H1429" s="99" t="n"/>
      <c r="I1429" s="99" t="n"/>
      <c r="J1429" s="100" t="n"/>
      <c r="K1429" s="98" t="n"/>
      <c r="L1429" s="99" t="n"/>
      <c r="M1429" s="99" t="n"/>
      <c r="N1429" s="100" t="n"/>
      <c r="O1429" s="98" t="n"/>
      <c r="P1429" s="99" t="n"/>
      <c r="Q1429" s="99" t="n"/>
      <c r="R1429" s="100" t="n"/>
      <c r="S1429" s="98" t="n"/>
      <c r="T1429" s="99" t="n"/>
      <c r="U1429" s="99" t="n"/>
      <c r="V1429" s="100" t="n"/>
      <c r="W1429" s="98" t="n"/>
      <c r="X1429" s="100" t="n"/>
      <c r="Y1429" s="98" t="n"/>
      <c r="Z1429" s="100" t="n"/>
      <c r="AB1429" s="101">
        <f>IF($B1429="","",(COUNTIF(C1408:E1425,$B1429)+COUNTIF(C1408:E1425,$B1429&amp;" ~*")&gt;0)+(COUNTIF(G1408:I1425,$B1429)+COUNTIF(G1408:I1425,$B1429&amp;" ~*")&gt;0)+(COUNTIF(K1408:M1425,$B1429)+COUNTIF(K1408:M1425,$B1429&amp;" ~*")&gt;0)+(COUNTIF(O1408:Q1425,$B1429)+COUNTIF(O1408:Q1425,$B1429&amp;" ~*")&gt;0)+(COUNTIF(S1408:U1425,$B1429)+COUNTIF(S1408:U1425,$B1429&amp;" ~*")&gt;0)+(COUNTIF(W1408:W1425,$B1429)+COUNTIF(W1408:W1425,$B1429&amp;" ~*")&gt;0)+(COUNTIF(Y1408:Y1425,$B1429)+COUNTIF(Y1408:Y1425,$B1429&amp;" ~*")&gt;0))</f>
        <v/>
      </c>
      <c r="AC1429" s="36">
        <f>IF($B1429="","",(IFERROR(INDEX(Setup!$G$33:$G$40,MATCH(C1429,Setup!$B$33:$B$40,0)),0)=1)*(COUNTIF(C1408:E1425,$B1429)+COUNTIF(C1408:E1425,$B1429&amp;" ~*")&gt;0)+(IFERROR(INDEX(Setup!$G$33:$G$40,MATCH(G1429,Setup!$B$33:$B$40,0)),0)=1)*(COUNTIF(G1408:I1425,$B1429)+COUNTIF(G1408:I1425,$B1429&amp;" ~*")&gt;0)+(IFERROR(INDEX(Setup!$G$33:$G$40,MATCH(K1429,Setup!$B$33:$B$40,0)),0)=1)*(COUNTIF(K1408:M1425,$B1429)+COUNTIF(K1408:M1425,$B1429&amp;" ~*")&gt;0)+(IFERROR(INDEX(Setup!$G$33:$G$40,MATCH(O1429,Setup!$B$33:$B$40,0)),0)=1)*(COUNTIF(O1408:Q1425,$B1429)+COUNTIF(O1408:Q1425,$B1429&amp;" ~*")&gt;0)+(IFERROR(INDEX(Setup!$G$33:$G$40,MATCH(S1429,Setup!$B$33:$B$40,0)),0)=1)*(COUNTIF(S1408:U1425,$B1429)+COUNTIF(S1408:U1425,$B1429&amp;" ~*")&gt;0)+(IFERROR(INDEX(Setup!$G$33:$G$40,MATCH(W1429,Setup!$B$33:$B$40,0)),0)=1)*(COUNTIF(W1408:W1425,$B1429)+COUNTIF(W1408:W1425,$B1429&amp;" ~*")&gt;0)+(IFERROR(INDEX(Setup!$G$33:$G$40,MATCH(Y1429,Setup!$B$33:$B$40,0)),0)=1)*(COUNTIF(Y1408:Y1425,$B1429)+COUNTIF(Y1408:Y1425,$B1429&amp;" ~*")&gt;0))</f>
        <v/>
      </c>
    </row>
    <row r="1430" ht="15" customHeight="1">
      <c r="A1430" t="n">
        <v>29</v>
      </c>
      <c r="B1430" s="37">
        <f>IF(Setup!$B$9="","",Setup!$B$9)</f>
        <v/>
      </c>
      <c r="C1430" s="102" t="n"/>
      <c r="D1430" s="103" t="n"/>
      <c r="E1430" s="103" t="n"/>
      <c r="F1430" s="104" t="n"/>
      <c r="G1430" s="102" t="n"/>
      <c r="H1430" s="103" t="n"/>
      <c r="I1430" s="103" t="n"/>
      <c r="J1430" s="104" t="n"/>
      <c r="K1430" s="102" t="n"/>
      <c r="L1430" s="103" t="n"/>
      <c r="M1430" s="103" t="n"/>
      <c r="N1430" s="104" t="n"/>
      <c r="O1430" s="102" t="n"/>
      <c r="P1430" s="103" t="n"/>
      <c r="Q1430" s="103" t="n"/>
      <c r="R1430" s="104" t="n"/>
      <c r="S1430" s="102" t="n"/>
      <c r="T1430" s="103" t="n"/>
      <c r="U1430" s="103" t="n"/>
      <c r="V1430" s="104" t="n"/>
      <c r="W1430" s="102" t="n"/>
      <c r="X1430" s="104" t="n"/>
      <c r="Y1430" s="102" t="n"/>
      <c r="Z1430" s="104" t="n"/>
      <c r="AB1430" s="105">
        <f>IF($B1430="","",(COUNTIF(C1408:E1425,$B1430)+COUNTIF(C1408:E1425,$B1430&amp;" ~*")&gt;0)+(COUNTIF(G1408:I1425,$B1430)+COUNTIF(G1408:I1425,$B1430&amp;" ~*")&gt;0)+(COUNTIF(K1408:M1425,$B1430)+COUNTIF(K1408:M1425,$B1430&amp;" ~*")&gt;0)+(COUNTIF(O1408:Q1425,$B1430)+COUNTIF(O1408:Q1425,$B1430&amp;" ~*")&gt;0)+(COUNTIF(S1408:U1425,$B1430)+COUNTIF(S1408:U1425,$B1430&amp;" ~*")&gt;0)+(COUNTIF(W1408:W1425,$B1430)+COUNTIF(W1408:W1425,$B1430&amp;" ~*")&gt;0)+(COUNTIF(Y1408:Y1425,$B1430)+COUNTIF(Y1408:Y1425,$B1430&amp;" ~*")&gt;0))</f>
        <v/>
      </c>
      <c r="AC1430" s="38">
        <f>IF($B1430="","",(IFERROR(INDEX(Setup!$G$33:$G$40,MATCH(C1430,Setup!$B$33:$B$40,0)),0)=1)*(COUNTIF(C1408:E1425,$B1430)+COUNTIF(C1408:E1425,$B1430&amp;" ~*")&gt;0)+(IFERROR(INDEX(Setup!$G$33:$G$40,MATCH(G1430,Setup!$B$33:$B$40,0)),0)=1)*(COUNTIF(G1408:I1425,$B1430)+COUNTIF(G1408:I1425,$B1430&amp;" ~*")&gt;0)+(IFERROR(INDEX(Setup!$G$33:$G$40,MATCH(K1430,Setup!$B$33:$B$40,0)),0)=1)*(COUNTIF(K1408:M1425,$B1430)+COUNTIF(K1408:M1425,$B1430&amp;" ~*")&gt;0)+(IFERROR(INDEX(Setup!$G$33:$G$40,MATCH(O1430,Setup!$B$33:$B$40,0)),0)=1)*(COUNTIF(O1408:Q1425,$B1430)+COUNTIF(O1408:Q1425,$B1430&amp;" ~*")&gt;0)+(IFERROR(INDEX(Setup!$G$33:$G$40,MATCH(S1430,Setup!$B$33:$B$40,0)),0)=1)*(COUNTIF(S1408:U1425,$B1430)+COUNTIF(S1408:U1425,$B1430&amp;" ~*")&gt;0)+(IFERROR(INDEX(Setup!$G$33:$G$40,MATCH(W1430,Setup!$B$33:$B$40,0)),0)=1)*(COUNTIF(W1408:W1425,$B1430)+COUNTIF(W1408:W1425,$B1430&amp;" ~*")&gt;0)+(IFERROR(INDEX(Setup!$G$33:$G$40,MATCH(Y1430,Setup!$B$33:$B$40,0)),0)=1)*(COUNTIF(Y1408:Y1425,$B1430)+COUNTIF(Y1408:Y1425,$B1430&amp;" ~*")&gt;0))</f>
        <v/>
      </c>
    </row>
    <row r="1431" ht="15" customHeight="1">
      <c r="A1431" t="n">
        <v>29</v>
      </c>
      <c r="B1431" s="35">
        <f>IF(Setup!$B$10="","",Setup!$B$10)</f>
        <v/>
      </c>
      <c r="C1431" s="98" t="n"/>
      <c r="D1431" s="99" t="n"/>
      <c r="E1431" s="99" t="n"/>
      <c r="F1431" s="100" t="n"/>
      <c r="G1431" s="98" t="n"/>
      <c r="H1431" s="99" t="n"/>
      <c r="I1431" s="99" t="n"/>
      <c r="J1431" s="100" t="n"/>
      <c r="K1431" s="98" t="n"/>
      <c r="L1431" s="99" t="n"/>
      <c r="M1431" s="99" t="n"/>
      <c r="N1431" s="100" t="n"/>
      <c r="O1431" s="98" t="n"/>
      <c r="P1431" s="99" t="n"/>
      <c r="Q1431" s="99" t="n"/>
      <c r="R1431" s="100" t="n"/>
      <c r="S1431" s="98" t="n"/>
      <c r="T1431" s="99" t="n"/>
      <c r="U1431" s="99" t="n"/>
      <c r="V1431" s="100" t="n"/>
      <c r="W1431" s="98" t="n"/>
      <c r="X1431" s="100" t="n"/>
      <c r="Y1431" s="98" t="n"/>
      <c r="Z1431" s="100" t="n"/>
      <c r="AB1431" s="101">
        <f>IF($B1431="","",(COUNTIF(C1408:E1425,$B1431)+COUNTIF(C1408:E1425,$B1431&amp;" ~*")&gt;0)+(COUNTIF(G1408:I1425,$B1431)+COUNTIF(G1408:I1425,$B1431&amp;" ~*")&gt;0)+(COUNTIF(K1408:M1425,$B1431)+COUNTIF(K1408:M1425,$B1431&amp;" ~*")&gt;0)+(COUNTIF(O1408:Q1425,$B1431)+COUNTIF(O1408:Q1425,$B1431&amp;" ~*")&gt;0)+(COUNTIF(S1408:U1425,$B1431)+COUNTIF(S1408:U1425,$B1431&amp;" ~*")&gt;0)+(COUNTIF(W1408:W1425,$B1431)+COUNTIF(W1408:W1425,$B1431&amp;" ~*")&gt;0)+(COUNTIF(Y1408:Y1425,$B1431)+COUNTIF(Y1408:Y1425,$B1431&amp;" ~*")&gt;0))</f>
        <v/>
      </c>
      <c r="AC1431" s="36">
        <f>IF($B1431="","",(IFERROR(INDEX(Setup!$G$33:$G$40,MATCH(C1431,Setup!$B$33:$B$40,0)),0)=1)*(COUNTIF(C1408:E1425,$B1431)+COUNTIF(C1408:E1425,$B1431&amp;" ~*")&gt;0)+(IFERROR(INDEX(Setup!$G$33:$G$40,MATCH(G1431,Setup!$B$33:$B$40,0)),0)=1)*(COUNTIF(G1408:I1425,$B1431)+COUNTIF(G1408:I1425,$B1431&amp;" ~*")&gt;0)+(IFERROR(INDEX(Setup!$G$33:$G$40,MATCH(K1431,Setup!$B$33:$B$40,0)),0)=1)*(COUNTIF(K1408:M1425,$B1431)+COUNTIF(K1408:M1425,$B1431&amp;" ~*")&gt;0)+(IFERROR(INDEX(Setup!$G$33:$G$40,MATCH(O1431,Setup!$B$33:$B$40,0)),0)=1)*(COUNTIF(O1408:Q1425,$B1431)+COUNTIF(O1408:Q1425,$B1431&amp;" ~*")&gt;0)+(IFERROR(INDEX(Setup!$G$33:$G$40,MATCH(S1431,Setup!$B$33:$B$40,0)),0)=1)*(COUNTIF(S1408:U1425,$B1431)+COUNTIF(S1408:U1425,$B1431&amp;" ~*")&gt;0)+(IFERROR(INDEX(Setup!$G$33:$G$40,MATCH(W1431,Setup!$B$33:$B$40,0)),0)=1)*(COUNTIF(W1408:W1425,$B1431)+COUNTIF(W1408:W1425,$B1431&amp;" ~*")&gt;0)+(IFERROR(INDEX(Setup!$G$33:$G$40,MATCH(Y1431,Setup!$B$33:$B$40,0)),0)=1)*(COUNTIF(Y1408:Y1425,$B1431)+COUNTIF(Y1408:Y1425,$B1431&amp;" ~*")&gt;0))</f>
        <v/>
      </c>
    </row>
    <row r="1432" ht="15" customHeight="1">
      <c r="A1432" t="n">
        <v>29</v>
      </c>
      <c r="B1432" s="37">
        <f>IF(Setup!$B$11="","",Setup!$B$11)</f>
        <v/>
      </c>
      <c r="C1432" s="102" t="n"/>
      <c r="D1432" s="103" t="n"/>
      <c r="E1432" s="103" t="n"/>
      <c r="F1432" s="104" t="n"/>
      <c r="G1432" s="102" t="n"/>
      <c r="H1432" s="103" t="n"/>
      <c r="I1432" s="103" t="n"/>
      <c r="J1432" s="104" t="n"/>
      <c r="K1432" s="102" t="n"/>
      <c r="L1432" s="103" t="n"/>
      <c r="M1432" s="103" t="n"/>
      <c r="N1432" s="104" t="n"/>
      <c r="O1432" s="102" t="n"/>
      <c r="P1432" s="103" t="n"/>
      <c r="Q1432" s="103" t="n"/>
      <c r="R1432" s="104" t="n"/>
      <c r="S1432" s="102" t="n"/>
      <c r="T1432" s="103" t="n"/>
      <c r="U1432" s="103" t="n"/>
      <c r="V1432" s="104" t="n"/>
      <c r="W1432" s="102" t="n"/>
      <c r="X1432" s="104" t="n"/>
      <c r="Y1432" s="102" t="n"/>
      <c r="Z1432" s="104" t="n"/>
      <c r="AB1432" s="105">
        <f>IF($B1432="","",(COUNTIF(C1408:E1425,$B1432)+COUNTIF(C1408:E1425,$B1432&amp;" ~*")&gt;0)+(COUNTIF(G1408:I1425,$B1432)+COUNTIF(G1408:I1425,$B1432&amp;" ~*")&gt;0)+(COUNTIF(K1408:M1425,$B1432)+COUNTIF(K1408:M1425,$B1432&amp;" ~*")&gt;0)+(COUNTIF(O1408:Q1425,$B1432)+COUNTIF(O1408:Q1425,$B1432&amp;" ~*")&gt;0)+(COUNTIF(S1408:U1425,$B1432)+COUNTIF(S1408:U1425,$B1432&amp;" ~*")&gt;0)+(COUNTIF(W1408:W1425,$B1432)+COUNTIF(W1408:W1425,$B1432&amp;" ~*")&gt;0)+(COUNTIF(Y1408:Y1425,$B1432)+COUNTIF(Y1408:Y1425,$B1432&amp;" ~*")&gt;0))</f>
        <v/>
      </c>
      <c r="AC1432" s="38">
        <f>IF($B1432="","",(IFERROR(INDEX(Setup!$G$33:$G$40,MATCH(C1432,Setup!$B$33:$B$40,0)),0)=1)*(COUNTIF(C1408:E1425,$B1432)+COUNTIF(C1408:E1425,$B1432&amp;" ~*")&gt;0)+(IFERROR(INDEX(Setup!$G$33:$G$40,MATCH(G1432,Setup!$B$33:$B$40,0)),0)=1)*(COUNTIF(G1408:I1425,$B1432)+COUNTIF(G1408:I1425,$B1432&amp;" ~*")&gt;0)+(IFERROR(INDEX(Setup!$G$33:$G$40,MATCH(K1432,Setup!$B$33:$B$40,0)),0)=1)*(COUNTIF(K1408:M1425,$B1432)+COUNTIF(K1408:M1425,$B1432&amp;" ~*")&gt;0)+(IFERROR(INDEX(Setup!$G$33:$G$40,MATCH(O1432,Setup!$B$33:$B$40,0)),0)=1)*(COUNTIF(O1408:Q1425,$B1432)+COUNTIF(O1408:Q1425,$B1432&amp;" ~*")&gt;0)+(IFERROR(INDEX(Setup!$G$33:$G$40,MATCH(S1432,Setup!$B$33:$B$40,0)),0)=1)*(COUNTIF(S1408:U1425,$B1432)+COUNTIF(S1408:U1425,$B1432&amp;" ~*")&gt;0)+(IFERROR(INDEX(Setup!$G$33:$G$40,MATCH(W1432,Setup!$B$33:$B$40,0)),0)=1)*(COUNTIF(W1408:W1425,$B1432)+COUNTIF(W1408:W1425,$B1432&amp;" ~*")&gt;0)+(IFERROR(INDEX(Setup!$G$33:$G$40,MATCH(Y1432,Setup!$B$33:$B$40,0)),0)=1)*(COUNTIF(Y1408:Y1425,$B1432)+COUNTIF(Y1408:Y1425,$B1432&amp;" ~*")&gt;0))</f>
        <v/>
      </c>
    </row>
    <row r="1433" ht="15" customHeight="1">
      <c r="A1433" t="n">
        <v>29</v>
      </c>
      <c r="B1433" s="35">
        <f>IF(Setup!$B$12="","",Setup!$B$12)</f>
        <v/>
      </c>
      <c r="C1433" s="98" t="n"/>
      <c r="D1433" s="99" t="n"/>
      <c r="E1433" s="99" t="n"/>
      <c r="F1433" s="100" t="n"/>
      <c r="G1433" s="98" t="n"/>
      <c r="H1433" s="99" t="n"/>
      <c r="I1433" s="99" t="n"/>
      <c r="J1433" s="100" t="n"/>
      <c r="K1433" s="98" t="n"/>
      <c r="L1433" s="99" t="n"/>
      <c r="M1433" s="99" t="n"/>
      <c r="N1433" s="100" t="n"/>
      <c r="O1433" s="98" t="n"/>
      <c r="P1433" s="99" t="n"/>
      <c r="Q1433" s="99" t="n"/>
      <c r="R1433" s="100" t="n"/>
      <c r="S1433" s="98" t="n"/>
      <c r="T1433" s="99" t="n"/>
      <c r="U1433" s="99" t="n"/>
      <c r="V1433" s="100" t="n"/>
      <c r="W1433" s="98" t="n"/>
      <c r="X1433" s="100" t="n"/>
      <c r="Y1433" s="98" t="n"/>
      <c r="Z1433" s="100" t="n"/>
      <c r="AB1433" s="101">
        <f>IF($B1433="","",(COUNTIF(C1408:E1425,$B1433)+COUNTIF(C1408:E1425,$B1433&amp;" ~*")&gt;0)+(COUNTIF(G1408:I1425,$B1433)+COUNTIF(G1408:I1425,$B1433&amp;" ~*")&gt;0)+(COUNTIF(K1408:M1425,$B1433)+COUNTIF(K1408:M1425,$B1433&amp;" ~*")&gt;0)+(COUNTIF(O1408:Q1425,$B1433)+COUNTIF(O1408:Q1425,$B1433&amp;" ~*")&gt;0)+(COUNTIF(S1408:U1425,$B1433)+COUNTIF(S1408:U1425,$B1433&amp;" ~*")&gt;0)+(COUNTIF(W1408:W1425,$B1433)+COUNTIF(W1408:W1425,$B1433&amp;" ~*")&gt;0)+(COUNTIF(Y1408:Y1425,$B1433)+COUNTIF(Y1408:Y1425,$B1433&amp;" ~*")&gt;0))</f>
        <v/>
      </c>
      <c r="AC1433" s="36">
        <f>IF($B1433="","",(IFERROR(INDEX(Setup!$G$33:$G$40,MATCH(C1433,Setup!$B$33:$B$40,0)),0)=1)*(COUNTIF(C1408:E1425,$B1433)+COUNTIF(C1408:E1425,$B1433&amp;" ~*")&gt;0)+(IFERROR(INDEX(Setup!$G$33:$G$40,MATCH(G1433,Setup!$B$33:$B$40,0)),0)=1)*(COUNTIF(G1408:I1425,$B1433)+COUNTIF(G1408:I1425,$B1433&amp;" ~*")&gt;0)+(IFERROR(INDEX(Setup!$G$33:$G$40,MATCH(K1433,Setup!$B$33:$B$40,0)),0)=1)*(COUNTIF(K1408:M1425,$B1433)+COUNTIF(K1408:M1425,$B1433&amp;" ~*")&gt;0)+(IFERROR(INDEX(Setup!$G$33:$G$40,MATCH(O1433,Setup!$B$33:$B$40,0)),0)=1)*(COUNTIF(O1408:Q1425,$B1433)+COUNTIF(O1408:Q1425,$B1433&amp;" ~*")&gt;0)+(IFERROR(INDEX(Setup!$G$33:$G$40,MATCH(S1433,Setup!$B$33:$B$40,0)),0)=1)*(COUNTIF(S1408:U1425,$B1433)+COUNTIF(S1408:U1425,$B1433&amp;" ~*")&gt;0)+(IFERROR(INDEX(Setup!$G$33:$G$40,MATCH(W1433,Setup!$B$33:$B$40,0)),0)=1)*(COUNTIF(W1408:W1425,$B1433)+COUNTIF(W1408:W1425,$B1433&amp;" ~*")&gt;0)+(IFERROR(INDEX(Setup!$G$33:$G$40,MATCH(Y1433,Setup!$B$33:$B$40,0)),0)=1)*(COUNTIF(Y1408:Y1425,$B1433)+COUNTIF(Y1408:Y1425,$B1433&amp;" ~*")&gt;0))</f>
        <v/>
      </c>
    </row>
    <row r="1434" ht="15" customHeight="1">
      <c r="A1434" t="n">
        <v>29</v>
      </c>
      <c r="B1434" s="37">
        <f>IF(Setup!$B$13="","",Setup!$B$13)</f>
        <v/>
      </c>
      <c r="C1434" s="102" t="n"/>
      <c r="D1434" s="103" t="n"/>
      <c r="E1434" s="103" t="n"/>
      <c r="F1434" s="104" t="n"/>
      <c r="G1434" s="102" t="n"/>
      <c r="H1434" s="103" t="n"/>
      <c r="I1434" s="103" t="n"/>
      <c r="J1434" s="104" t="n"/>
      <c r="K1434" s="102" t="n"/>
      <c r="L1434" s="103" t="n"/>
      <c r="M1434" s="103" t="n"/>
      <c r="N1434" s="104" t="n"/>
      <c r="O1434" s="102" t="n"/>
      <c r="P1434" s="103" t="n"/>
      <c r="Q1434" s="103" t="n"/>
      <c r="R1434" s="104" t="n"/>
      <c r="S1434" s="102" t="n"/>
      <c r="T1434" s="103" t="n"/>
      <c r="U1434" s="103" t="n"/>
      <c r="V1434" s="104" t="n"/>
      <c r="W1434" s="102" t="n"/>
      <c r="X1434" s="104" t="n"/>
      <c r="Y1434" s="102" t="n"/>
      <c r="Z1434" s="104" t="n"/>
      <c r="AB1434" s="105">
        <f>IF($B1434="","",(COUNTIF(C1408:E1425,$B1434)+COUNTIF(C1408:E1425,$B1434&amp;" ~*")&gt;0)+(COUNTIF(G1408:I1425,$B1434)+COUNTIF(G1408:I1425,$B1434&amp;" ~*")&gt;0)+(COUNTIF(K1408:M1425,$B1434)+COUNTIF(K1408:M1425,$B1434&amp;" ~*")&gt;0)+(COUNTIF(O1408:Q1425,$B1434)+COUNTIF(O1408:Q1425,$B1434&amp;" ~*")&gt;0)+(COUNTIF(S1408:U1425,$B1434)+COUNTIF(S1408:U1425,$B1434&amp;" ~*")&gt;0)+(COUNTIF(W1408:W1425,$B1434)+COUNTIF(W1408:W1425,$B1434&amp;" ~*")&gt;0)+(COUNTIF(Y1408:Y1425,$B1434)+COUNTIF(Y1408:Y1425,$B1434&amp;" ~*")&gt;0))</f>
        <v/>
      </c>
      <c r="AC1434" s="38">
        <f>IF($B1434="","",(IFERROR(INDEX(Setup!$G$33:$G$40,MATCH(C1434,Setup!$B$33:$B$40,0)),0)=1)*(COUNTIF(C1408:E1425,$B1434)+COUNTIF(C1408:E1425,$B1434&amp;" ~*")&gt;0)+(IFERROR(INDEX(Setup!$G$33:$G$40,MATCH(G1434,Setup!$B$33:$B$40,0)),0)=1)*(COUNTIF(G1408:I1425,$B1434)+COUNTIF(G1408:I1425,$B1434&amp;" ~*")&gt;0)+(IFERROR(INDEX(Setup!$G$33:$G$40,MATCH(K1434,Setup!$B$33:$B$40,0)),0)=1)*(COUNTIF(K1408:M1425,$B1434)+COUNTIF(K1408:M1425,$B1434&amp;" ~*")&gt;0)+(IFERROR(INDEX(Setup!$G$33:$G$40,MATCH(O1434,Setup!$B$33:$B$40,0)),0)=1)*(COUNTIF(O1408:Q1425,$B1434)+COUNTIF(O1408:Q1425,$B1434&amp;" ~*")&gt;0)+(IFERROR(INDEX(Setup!$G$33:$G$40,MATCH(S1434,Setup!$B$33:$B$40,0)),0)=1)*(COUNTIF(S1408:U1425,$B1434)+COUNTIF(S1408:U1425,$B1434&amp;" ~*")&gt;0)+(IFERROR(INDEX(Setup!$G$33:$G$40,MATCH(W1434,Setup!$B$33:$B$40,0)),0)=1)*(COUNTIF(W1408:W1425,$B1434)+COUNTIF(W1408:W1425,$B1434&amp;" ~*")&gt;0)+(IFERROR(INDEX(Setup!$G$33:$G$40,MATCH(Y1434,Setup!$B$33:$B$40,0)),0)=1)*(COUNTIF(Y1408:Y1425,$B1434)+COUNTIF(Y1408:Y1425,$B1434&amp;" ~*")&gt;0))</f>
        <v/>
      </c>
    </row>
    <row r="1435" ht="15" customHeight="1">
      <c r="A1435" t="n">
        <v>29</v>
      </c>
      <c r="B1435" s="35">
        <f>IF(Setup!$B$14="","",Setup!$B$14)</f>
        <v/>
      </c>
      <c r="C1435" s="98" t="n"/>
      <c r="D1435" s="99" t="n"/>
      <c r="E1435" s="99" t="n"/>
      <c r="F1435" s="100" t="n"/>
      <c r="G1435" s="98" t="n"/>
      <c r="H1435" s="99" t="n"/>
      <c r="I1435" s="99" t="n"/>
      <c r="J1435" s="100" t="n"/>
      <c r="K1435" s="98" t="n"/>
      <c r="L1435" s="99" t="n"/>
      <c r="M1435" s="99" t="n"/>
      <c r="N1435" s="100" t="n"/>
      <c r="O1435" s="98" t="n"/>
      <c r="P1435" s="99" t="n"/>
      <c r="Q1435" s="99" t="n"/>
      <c r="R1435" s="100" t="n"/>
      <c r="S1435" s="98" t="n"/>
      <c r="T1435" s="99" t="n"/>
      <c r="U1435" s="99" t="n"/>
      <c r="V1435" s="100" t="n"/>
      <c r="W1435" s="98" t="n"/>
      <c r="X1435" s="100" t="n"/>
      <c r="Y1435" s="98" t="n"/>
      <c r="Z1435" s="100" t="n"/>
      <c r="AB1435" s="101">
        <f>IF($B1435="","",(COUNTIF(C1408:E1425,$B1435)+COUNTIF(C1408:E1425,$B1435&amp;" ~*")&gt;0)+(COUNTIF(G1408:I1425,$B1435)+COUNTIF(G1408:I1425,$B1435&amp;" ~*")&gt;0)+(COUNTIF(K1408:M1425,$B1435)+COUNTIF(K1408:M1425,$B1435&amp;" ~*")&gt;0)+(COUNTIF(O1408:Q1425,$B1435)+COUNTIF(O1408:Q1425,$B1435&amp;" ~*")&gt;0)+(COUNTIF(S1408:U1425,$B1435)+COUNTIF(S1408:U1425,$B1435&amp;" ~*")&gt;0)+(COUNTIF(W1408:W1425,$B1435)+COUNTIF(W1408:W1425,$B1435&amp;" ~*")&gt;0)+(COUNTIF(Y1408:Y1425,$B1435)+COUNTIF(Y1408:Y1425,$B1435&amp;" ~*")&gt;0))</f>
        <v/>
      </c>
      <c r="AC1435" s="36">
        <f>IF($B1435="","",(IFERROR(INDEX(Setup!$G$33:$G$40,MATCH(C1435,Setup!$B$33:$B$40,0)),0)=1)*(COUNTIF(C1408:E1425,$B1435)+COUNTIF(C1408:E1425,$B1435&amp;" ~*")&gt;0)+(IFERROR(INDEX(Setup!$G$33:$G$40,MATCH(G1435,Setup!$B$33:$B$40,0)),0)=1)*(COUNTIF(G1408:I1425,$B1435)+COUNTIF(G1408:I1425,$B1435&amp;" ~*")&gt;0)+(IFERROR(INDEX(Setup!$G$33:$G$40,MATCH(K1435,Setup!$B$33:$B$40,0)),0)=1)*(COUNTIF(K1408:M1425,$B1435)+COUNTIF(K1408:M1425,$B1435&amp;" ~*")&gt;0)+(IFERROR(INDEX(Setup!$G$33:$G$40,MATCH(O1435,Setup!$B$33:$B$40,0)),0)=1)*(COUNTIF(O1408:Q1425,$B1435)+COUNTIF(O1408:Q1425,$B1435&amp;" ~*")&gt;0)+(IFERROR(INDEX(Setup!$G$33:$G$40,MATCH(S1435,Setup!$B$33:$B$40,0)),0)=1)*(COUNTIF(S1408:U1425,$B1435)+COUNTIF(S1408:U1425,$B1435&amp;" ~*")&gt;0)+(IFERROR(INDEX(Setup!$G$33:$G$40,MATCH(W1435,Setup!$B$33:$B$40,0)),0)=1)*(COUNTIF(W1408:W1425,$B1435)+COUNTIF(W1408:W1425,$B1435&amp;" ~*")&gt;0)+(IFERROR(INDEX(Setup!$G$33:$G$40,MATCH(Y1435,Setup!$B$33:$B$40,0)),0)=1)*(COUNTIF(Y1408:Y1425,$B1435)+COUNTIF(Y1408:Y1425,$B1435&amp;" ~*")&gt;0))</f>
        <v/>
      </c>
    </row>
    <row r="1436" ht="15" customHeight="1">
      <c r="A1436" t="n">
        <v>29</v>
      </c>
      <c r="B1436" s="37">
        <f>IF(Setup!$B$15="","",Setup!$B$15)</f>
        <v/>
      </c>
      <c r="C1436" s="102" t="n"/>
      <c r="D1436" s="103" t="n"/>
      <c r="E1436" s="103" t="n"/>
      <c r="F1436" s="104" t="n"/>
      <c r="G1436" s="102" t="n"/>
      <c r="H1436" s="103" t="n"/>
      <c r="I1436" s="103" t="n"/>
      <c r="J1436" s="104" t="n"/>
      <c r="K1436" s="102" t="n"/>
      <c r="L1436" s="103" t="n"/>
      <c r="M1436" s="103" t="n"/>
      <c r="N1436" s="104" t="n"/>
      <c r="O1436" s="102" t="n"/>
      <c r="P1436" s="103" t="n"/>
      <c r="Q1436" s="103" t="n"/>
      <c r="R1436" s="104" t="n"/>
      <c r="S1436" s="102" t="n"/>
      <c r="T1436" s="103" t="n"/>
      <c r="U1436" s="103" t="n"/>
      <c r="V1436" s="104" t="n"/>
      <c r="W1436" s="102" t="n"/>
      <c r="X1436" s="104" t="n"/>
      <c r="Y1436" s="102" t="n"/>
      <c r="Z1436" s="104" t="n"/>
      <c r="AB1436" s="105">
        <f>IF($B1436="","",(COUNTIF(C1408:E1425,$B1436)+COUNTIF(C1408:E1425,$B1436&amp;" ~*")&gt;0)+(COUNTIF(G1408:I1425,$B1436)+COUNTIF(G1408:I1425,$B1436&amp;" ~*")&gt;0)+(COUNTIF(K1408:M1425,$B1436)+COUNTIF(K1408:M1425,$B1436&amp;" ~*")&gt;0)+(COUNTIF(O1408:Q1425,$B1436)+COUNTIF(O1408:Q1425,$B1436&amp;" ~*")&gt;0)+(COUNTIF(S1408:U1425,$B1436)+COUNTIF(S1408:U1425,$B1436&amp;" ~*")&gt;0)+(COUNTIF(W1408:W1425,$B1436)+COUNTIF(W1408:W1425,$B1436&amp;" ~*")&gt;0)+(COUNTIF(Y1408:Y1425,$B1436)+COUNTIF(Y1408:Y1425,$B1436&amp;" ~*")&gt;0))</f>
        <v/>
      </c>
      <c r="AC1436" s="38">
        <f>IF($B1436="","",(IFERROR(INDEX(Setup!$G$33:$G$40,MATCH(C1436,Setup!$B$33:$B$40,0)),0)=1)*(COUNTIF(C1408:E1425,$B1436)+COUNTIF(C1408:E1425,$B1436&amp;" ~*")&gt;0)+(IFERROR(INDEX(Setup!$G$33:$G$40,MATCH(G1436,Setup!$B$33:$B$40,0)),0)=1)*(COUNTIF(G1408:I1425,$B1436)+COUNTIF(G1408:I1425,$B1436&amp;" ~*")&gt;0)+(IFERROR(INDEX(Setup!$G$33:$G$40,MATCH(K1436,Setup!$B$33:$B$40,0)),0)=1)*(COUNTIF(K1408:M1425,$B1436)+COUNTIF(K1408:M1425,$B1436&amp;" ~*")&gt;0)+(IFERROR(INDEX(Setup!$G$33:$G$40,MATCH(O1436,Setup!$B$33:$B$40,0)),0)=1)*(COUNTIF(O1408:Q1425,$B1436)+COUNTIF(O1408:Q1425,$B1436&amp;" ~*")&gt;0)+(IFERROR(INDEX(Setup!$G$33:$G$40,MATCH(S1436,Setup!$B$33:$B$40,0)),0)=1)*(COUNTIF(S1408:U1425,$B1436)+COUNTIF(S1408:U1425,$B1436&amp;" ~*")&gt;0)+(IFERROR(INDEX(Setup!$G$33:$G$40,MATCH(W1436,Setup!$B$33:$B$40,0)),0)=1)*(COUNTIF(W1408:W1425,$B1436)+COUNTIF(W1408:W1425,$B1436&amp;" ~*")&gt;0)+(IFERROR(INDEX(Setup!$G$33:$G$40,MATCH(Y1436,Setup!$B$33:$B$40,0)),0)=1)*(COUNTIF(Y1408:Y1425,$B1436)+COUNTIF(Y1408:Y1425,$B1436&amp;" ~*")&gt;0))</f>
        <v/>
      </c>
    </row>
    <row r="1437" ht="15" customHeight="1">
      <c r="A1437" t="n">
        <v>29</v>
      </c>
      <c r="B1437" s="35">
        <f>IF(Setup!$B$16="","",Setup!$B$16)</f>
        <v/>
      </c>
      <c r="C1437" s="98" t="n"/>
      <c r="D1437" s="99" t="n"/>
      <c r="E1437" s="99" t="n"/>
      <c r="F1437" s="100" t="n"/>
      <c r="G1437" s="98" t="n"/>
      <c r="H1437" s="99" t="n"/>
      <c r="I1437" s="99" t="n"/>
      <c r="J1437" s="100" t="n"/>
      <c r="K1437" s="98" t="n"/>
      <c r="L1437" s="99" t="n"/>
      <c r="M1437" s="99" t="n"/>
      <c r="N1437" s="100" t="n"/>
      <c r="O1437" s="98" t="n"/>
      <c r="P1437" s="99" t="n"/>
      <c r="Q1437" s="99" t="n"/>
      <c r="R1437" s="100" t="n"/>
      <c r="S1437" s="98" t="n"/>
      <c r="T1437" s="99" t="n"/>
      <c r="U1437" s="99" t="n"/>
      <c r="V1437" s="100" t="n"/>
      <c r="W1437" s="98" t="n"/>
      <c r="X1437" s="100" t="n"/>
      <c r="Y1437" s="98" t="n"/>
      <c r="Z1437" s="100" t="n"/>
      <c r="AB1437" s="101">
        <f>IF($B1437="","",(COUNTIF(C1408:E1425,$B1437)+COUNTIF(C1408:E1425,$B1437&amp;" ~*")&gt;0)+(COUNTIF(G1408:I1425,$B1437)+COUNTIF(G1408:I1425,$B1437&amp;" ~*")&gt;0)+(COUNTIF(K1408:M1425,$B1437)+COUNTIF(K1408:M1425,$B1437&amp;" ~*")&gt;0)+(COUNTIF(O1408:Q1425,$B1437)+COUNTIF(O1408:Q1425,$B1437&amp;" ~*")&gt;0)+(COUNTIF(S1408:U1425,$B1437)+COUNTIF(S1408:U1425,$B1437&amp;" ~*")&gt;0)+(COUNTIF(W1408:W1425,$B1437)+COUNTIF(W1408:W1425,$B1437&amp;" ~*")&gt;0)+(COUNTIF(Y1408:Y1425,$B1437)+COUNTIF(Y1408:Y1425,$B1437&amp;" ~*")&gt;0))</f>
        <v/>
      </c>
      <c r="AC1437" s="36">
        <f>IF($B1437="","",(IFERROR(INDEX(Setup!$G$33:$G$40,MATCH(C1437,Setup!$B$33:$B$40,0)),0)=1)*(COUNTIF(C1408:E1425,$B1437)+COUNTIF(C1408:E1425,$B1437&amp;" ~*")&gt;0)+(IFERROR(INDEX(Setup!$G$33:$G$40,MATCH(G1437,Setup!$B$33:$B$40,0)),0)=1)*(COUNTIF(G1408:I1425,$B1437)+COUNTIF(G1408:I1425,$B1437&amp;" ~*")&gt;0)+(IFERROR(INDEX(Setup!$G$33:$G$40,MATCH(K1437,Setup!$B$33:$B$40,0)),0)=1)*(COUNTIF(K1408:M1425,$B1437)+COUNTIF(K1408:M1425,$B1437&amp;" ~*")&gt;0)+(IFERROR(INDEX(Setup!$G$33:$G$40,MATCH(O1437,Setup!$B$33:$B$40,0)),0)=1)*(COUNTIF(O1408:Q1425,$B1437)+COUNTIF(O1408:Q1425,$B1437&amp;" ~*")&gt;0)+(IFERROR(INDEX(Setup!$G$33:$G$40,MATCH(S1437,Setup!$B$33:$B$40,0)),0)=1)*(COUNTIF(S1408:U1425,$B1437)+COUNTIF(S1408:U1425,$B1437&amp;" ~*")&gt;0)+(IFERROR(INDEX(Setup!$G$33:$G$40,MATCH(W1437,Setup!$B$33:$B$40,0)),0)=1)*(COUNTIF(W1408:W1425,$B1437)+COUNTIF(W1408:W1425,$B1437&amp;" ~*")&gt;0)+(IFERROR(INDEX(Setup!$G$33:$G$40,MATCH(Y1437,Setup!$B$33:$B$40,0)),0)=1)*(COUNTIF(Y1408:Y1425,$B1437)+COUNTIF(Y1408:Y1425,$B1437&amp;" ~*")&gt;0))</f>
        <v/>
      </c>
    </row>
    <row r="1438" ht="15" customHeight="1">
      <c r="A1438" t="n">
        <v>29</v>
      </c>
      <c r="B1438" s="37">
        <f>IF(Setup!$B$17="","",Setup!$B$17)</f>
        <v/>
      </c>
      <c r="C1438" s="102" t="n"/>
      <c r="D1438" s="103" t="n"/>
      <c r="E1438" s="103" t="n"/>
      <c r="F1438" s="104" t="n"/>
      <c r="G1438" s="102" t="n"/>
      <c r="H1438" s="103" t="n"/>
      <c r="I1438" s="103" t="n"/>
      <c r="J1438" s="104" t="n"/>
      <c r="K1438" s="102" t="n"/>
      <c r="L1438" s="103" t="n"/>
      <c r="M1438" s="103" t="n"/>
      <c r="N1438" s="104" t="n"/>
      <c r="O1438" s="102" t="n"/>
      <c r="P1438" s="103" t="n"/>
      <c r="Q1438" s="103" t="n"/>
      <c r="R1438" s="104" t="n"/>
      <c r="S1438" s="102" t="n"/>
      <c r="T1438" s="103" t="n"/>
      <c r="U1438" s="103" t="n"/>
      <c r="V1438" s="104" t="n"/>
      <c r="W1438" s="102" t="n"/>
      <c r="X1438" s="104" t="n"/>
      <c r="Y1438" s="102" t="n"/>
      <c r="Z1438" s="104" t="n"/>
      <c r="AB1438" s="105">
        <f>IF($B1438="","",(COUNTIF(C1408:E1425,$B1438)+COUNTIF(C1408:E1425,$B1438&amp;" ~*")&gt;0)+(COUNTIF(G1408:I1425,$B1438)+COUNTIF(G1408:I1425,$B1438&amp;" ~*")&gt;0)+(COUNTIF(K1408:M1425,$B1438)+COUNTIF(K1408:M1425,$B1438&amp;" ~*")&gt;0)+(COUNTIF(O1408:Q1425,$B1438)+COUNTIF(O1408:Q1425,$B1438&amp;" ~*")&gt;0)+(COUNTIF(S1408:U1425,$B1438)+COUNTIF(S1408:U1425,$B1438&amp;" ~*")&gt;0)+(COUNTIF(W1408:W1425,$B1438)+COUNTIF(W1408:W1425,$B1438&amp;" ~*")&gt;0)+(COUNTIF(Y1408:Y1425,$B1438)+COUNTIF(Y1408:Y1425,$B1438&amp;" ~*")&gt;0))</f>
        <v/>
      </c>
      <c r="AC1438" s="38">
        <f>IF($B1438="","",(IFERROR(INDEX(Setup!$G$33:$G$40,MATCH(C1438,Setup!$B$33:$B$40,0)),0)=1)*(COUNTIF(C1408:E1425,$B1438)+COUNTIF(C1408:E1425,$B1438&amp;" ~*")&gt;0)+(IFERROR(INDEX(Setup!$G$33:$G$40,MATCH(G1438,Setup!$B$33:$B$40,0)),0)=1)*(COUNTIF(G1408:I1425,$B1438)+COUNTIF(G1408:I1425,$B1438&amp;" ~*")&gt;0)+(IFERROR(INDEX(Setup!$G$33:$G$40,MATCH(K1438,Setup!$B$33:$B$40,0)),0)=1)*(COUNTIF(K1408:M1425,$B1438)+COUNTIF(K1408:M1425,$B1438&amp;" ~*")&gt;0)+(IFERROR(INDEX(Setup!$G$33:$G$40,MATCH(O1438,Setup!$B$33:$B$40,0)),0)=1)*(COUNTIF(O1408:Q1425,$B1438)+COUNTIF(O1408:Q1425,$B1438&amp;" ~*")&gt;0)+(IFERROR(INDEX(Setup!$G$33:$G$40,MATCH(S1438,Setup!$B$33:$B$40,0)),0)=1)*(COUNTIF(S1408:U1425,$B1438)+COUNTIF(S1408:U1425,$B1438&amp;" ~*")&gt;0)+(IFERROR(INDEX(Setup!$G$33:$G$40,MATCH(W1438,Setup!$B$33:$B$40,0)),0)=1)*(COUNTIF(W1408:W1425,$B1438)+COUNTIF(W1408:W1425,$B1438&amp;" ~*")&gt;0)+(IFERROR(INDEX(Setup!$G$33:$G$40,MATCH(Y1438,Setup!$B$33:$B$40,0)),0)=1)*(COUNTIF(Y1408:Y1425,$B1438)+COUNTIF(Y1408:Y1425,$B1438&amp;" ~*")&gt;0))</f>
        <v/>
      </c>
    </row>
    <row r="1439" ht="15" customHeight="1">
      <c r="A1439" t="n">
        <v>29</v>
      </c>
      <c r="B1439" s="35">
        <f>IF(Setup!$B$18="","",Setup!$B$18)</f>
        <v/>
      </c>
      <c r="C1439" s="98" t="n"/>
      <c r="D1439" s="99" t="n"/>
      <c r="E1439" s="99" t="n"/>
      <c r="F1439" s="100" t="n"/>
      <c r="G1439" s="98" t="n"/>
      <c r="H1439" s="99" t="n"/>
      <c r="I1439" s="99" t="n"/>
      <c r="J1439" s="100" t="n"/>
      <c r="K1439" s="98" t="n"/>
      <c r="L1439" s="99" t="n"/>
      <c r="M1439" s="99" t="n"/>
      <c r="N1439" s="100" t="n"/>
      <c r="O1439" s="98" t="n"/>
      <c r="P1439" s="99" t="n"/>
      <c r="Q1439" s="99" t="n"/>
      <c r="R1439" s="100" t="n"/>
      <c r="S1439" s="98" t="n"/>
      <c r="T1439" s="99" t="n"/>
      <c r="U1439" s="99" t="n"/>
      <c r="V1439" s="100" t="n"/>
      <c r="W1439" s="98" t="n"/>
      <c r="X1439" s="100" t="n"/>
      <c r="Y1439" s="98" t="n"/>
      <c r="Z1439" s="100" t="n"/>
      <c r="AB1439" s="101">
        <f>IF($B1439="","",(COUNTIF(C1408:E1425,$B1439)+COUNTIF(C1408:E1425,$B1439&amp;" ~*")&gt;0)+(COUNTIF(G1408:I1425,$B1439)+COUNTIF(G1408:I1425,$B1439&amp;" ~*")&gt;0)+(COUNTIF(K1408:M1425,$B1439)+COUNTIF(K1408:M1425,$B1439&amp;" ~*")&gt;0)+(COUNTIF(O1408:Q1425,$B1439)+COUNTIF(O1408:Q1425,$B1439&amp;" ~*")&gt;0)+(COUNTIF(S1408:U1425,$B1439)+COUNTIF(S1408:U1425,$B1439&amp;" ~*")&gt;0)+(COUNTIF(W1408:W1425,$B1439)+COUNTIF(W1408:W1425,$B1439&amp;" ~*")&gt;0)+(COUNTIF(Y1408:Y1425,$B1439)+COUNTIF(Y1408:Y1425,$B1439&amp;" ~*")&gt;0))</f>
        <v/>
      </c>
      <c r="AC1439" s="36">
        <f>IF($B1439="","",(IFERROR(INDEX(Setup!$G$33:$G$40,MATCH(C1439,Setup!$B$33:$B$40,0)),0)=1)*(COUNTIF(C1408:E1425,$B1439)+COUNTIF(C1408:E1425,$B1439&amp;" ~*")&gt;0)+(IFERROR(INDEX(Setup!$G$33:$G$40,MATCH(G1439,Setup!$B$33:$B$40,0)),0)=1)*(COUNTIF(G1408:I1425,$B1439)+COUNTIF(G1408:I1425,$B1439&amp;" ~*")&gt;0)+(IFERROR(INDEX(Setup!$G$33:$G$40,MATCH(K1439,Setup!$B$33:$B$40,0)),0)=1)*(COUNTIF(K1408:M1425,$B1439)+COUNTIF(K1408:M1425,$B1439&amp;" ~*")&gt;0)+(IFERROR(INDEX(Setup!$G$33:$G$40,MATCH(O1439,Setup!$B$33:$B$40,0)),0)=1)*(COUNTIF(O1408:Q1425,$B1439)+COUNTIF(O1408:Q1425,$B1439&amp;" ~*")&gt;0)+(IFERROR(INDEX(Setup!$G$33:$G$40,MATCH(S1439,Setup!$B$33:$B$40,0)),0)=1)*(COUNTIF(S1408:U1425,$B1439)+COUNTIF(S1408:U1425,$B1439&amp;" ~*")&gt;0)+(IFERROR(INDEX(Setup!$G$33:$G$40,MATCH(W1439,Setup!$B$33:$B$40,0)),0)=1)*(COUNTIF(W1408:W1425,$B1439)+COUNTIF(W1408:W1425,$B1439&amp;" ~*")&gt;0)+(IFERROR(INDEX(Setup!$G$33:$G$40,MATCH(Y1439,Setup!$B$33:$B$40,0)),0)=1)*(COUNTIF(Y1408:Y1425,$B1439)+COUNTIF(Y1408:Y1425,$B1439&amp;" ~*")&gt;0))</f>
        <v/>
      </c>
    </row>
    <row r="1440" ht="15" customHeight="1">
      <c r="A1440" t="n">
        <v>29</v>
      </c>
      <c r="B1440" s="37">
        <f>IF(Setup!$B$19="","",Setup!$B$19)</f>
        <v/>
      </c>
      <c r="C1440" s="102" t="n"/>
      <c r="D1440" s="103" t="n"/>
      <c r="E1440" s="103" t="n"/>
      <c r="F1440" s="104" t="n"/>
      <c r="G1440" s="102" t="n"/>
      <c r="H1440" s="103" t="n"/>
      <c r="I1440" s="103" t="n"/>
      <c r="J1440" s="104" t="n"/>
      <c r="K1440" s="102" t="n"/>
      <c r="L1440" s="103" t="n"/>
      <c r="M1440" s="103" t="n"/>
      <c r="N1440" s="104" t="n"/>
      <c r="O1440" s="102" t="n"/>
      <c r="P1440" s="103" t="n"/>
      <c r="Q1440" s="103" t="n"/>
      <c r="R1440" s="104" t="n"/>
      <c r="S1440" s="102" t="n"/>
      <c r="T1440" s="103" t="n"/>
      <c r="U1440" s="103" t="n"/>
      <c r="V1440" s="104" t="n"/>
      <c r="W1440" s="102" t="n"/>
      <c r="X1440" s="104" t="n"/>
      <c r="Y1440" s="102" t="n"/>
      <c r="Z1440" s="104" t="n"/>
      <c r="AB1440" s="105">
        <f>IF($B1440="","",(COUNTIF(C1408:E1425,$B1440)+COUNTIF(C1408:E1425,$B1440&amp;" ~*")&gt;0)+(COUNTIF(G1408:I1425,$B1440)+COUNTIF(G1408:I1425,$B1440&amp;" ~*")&gt;0)+(COUNTIF(K1408:M1425,$B1440)+COUNTIF(K1408:M1425,$B1440&amp;" ~*")&gt;0)+(COUNTIF(O1408:Q1425,$B1440)+COUNTIF(O1408:Q1425,$B1440&amp;" ~*")&gt;0)+(COUNTIF(S1408:U1425,$B1440)+COUNTIF(S1408:U1425,$B1440&amp;" ~*")&gt;0)+(COUNTIF(W1408:W1425,$B1440)+COUNTIF(W1408:W1425,$B1440&amp;" ~*")&gt;0)+(COUNTIF(Y1408:Y1425,$B1440)+COUNTIF(Y1408:Y1425,$B1440&amp;" ~*")&gt;0))</f>
        <v/>
      </c>
      <c r="AC1440" s="38">
        <f>IF($B1440="","",(IFERROR(INDEX(Setup!$G$33:$G$40,MATCH(C1440,Setup!$B$33:$B$40,0)),0)=1)*(COUNTIF(C1408:E1425,$B1440)+COUNTIF(C1408:E1425,$B1440&amp;" ~*")&gt;0)+(IFERROR(INDEX(Setup!$G$33:$G$40,MATCH(G1440,Setup!$B$33:$B$40,0)),0)=1)*(COUNTIF(G1408:I1425,$B1440)+COUNTIF(G1408:I1425,$B1440&amp;" ~*")&gt;0)+(IFERROR(INDEX(Setup!$G$33:$G$40,MATCH(K1440,Setup!$B$33:$B$40,0)),0)=1)*(COUNTIF(K1408:M1425,$B1440)+COUNTIF(K1408:M1425,$B1440&amp;" ~*")&gt;0)+(IFERROR(INDEX(Setup!$G$33:$G$40,MATCH(O1440,Setup!$B$33:$B$40,0)),0)=1)*(COUNTIF(O1408:Q1425,$B1440)+COUNTIF(O1408:Q1425,$B1440&amp;" ~*")&gt;0)+(IFERROR(INDEX(Setup!$G$33:$G$40,MATCH(S1440,Setup!$B$33:$B$40,0)),0)=1)*(COUNTIF(S1408:U1425,$B1440)+COUNTIF(S1408:U1425,$B1440&amp;" ~*")&gt;0)+(IFERROR(INDEX(Setup!$G$33:$G$40,MATCH(W1440,Setup!$B$33:$B$40,0)),0)=1)*(COUNTIF(W1408:W1425,$B1440)+COUNTIF(W1408:W1425,$B1440&amp;" ~*")&gt;0)+(IFERROR(INDEX(Setup!$G$33:$G$40,MATCH(Y1440,Setup!$B$33:$B$40,0)),0)=1)*(COUNTIF(Y1408:Y1425,$B1440)+COUNTIF(Y1408:Y1425,$B1440&amp;" ~*")&gt;0))</f>
        <v/>
      </c>
    </row>
    <row r="1441" ht="15" customHeight="1">
      <c r="A1441" t="n">
        <v>29</v>
      </c>
      <c r="B1441" s="35">
        <f>IF(Setup!$B$20="","",Setup!$B$20)</f>
        <v/>
      </c>
      <c r="C1441" s="98" t="n"/>
      <c r="D1441" s="99" t="n"/>
      <c r="E1441" s="99" t="n"/>
      <c r="F1441" s="100" t="n"/>
      <c r="G1441" s="98" t="n"/>
      <c r="H1441" s="99" t="n"/>
      <c r="I1441" s="99" t="n"/>
      <c r="J1441" s="100" t="n"/>
      <c r="K1441" s="98" t="n"/>
      <c r="L1441" s="99" t="n"/>
      <c r="M1441" s="99" t="n"/>
      <c r="N1441" s="100" t="n"/>
      <c r="O1441" s="98" t="n"/>
      <c r="P1441" s="99" t="n"/>
      <c r="Q1441" s="99" t="n"/>
      <c r="R1441" s="100" t="n"/>
      <c r="S1441" s="98" t="n"/>
      <c r="T1441" s="99" t="n"/>
      <c r="U1441" s="99" t="n"/>
      <c r="V1441" s="100" t="n"/>
      <c r="W1441" s="98" t="n"/>
      <c r="X1441" s="100" t="n"/>
      <c r="Y1441" s="98" t="n"/>
      <c r="Z1441" s="100" t="n"/>
      <c r="AB1441" s="101">
        <f>IF($B1441="","",(COUNTIF(C1408:E1425,$B1441)+COUNTIF(C1408:E1425,$B1441&amp;" ~*")&gt;0)+(COUNTIF(G1408:I1425,$B1441)+COUNTIF(G1408:I1425,$B1441&amp;" ~*")&gt;0)+(COUNTIF(K1408:M1425,$B1441)+COUNTIF(K1408:M1425,$B1441&amp;" ~*")&gt;0)+(COUNTIF(O1408:Q1425,$B1441)+COUNTIF(O1408:Q1425,$B1441&amp;" ~*")&gt;0)+(COUNTIF(S1408:U1425,$B1441)+COUNTIF(S1408:U1425,$B1441&amp;" ~*")&gt;0)+(COUNTIF(W1408:W1425,$B1441)+COUNTIF(W1408:W1425,$B1441&amp;" ~*")&gt;0)+(COUNTIF(Y1408:Y1425,$B1441)+COUNTIF(Y1408:Y1425,$B1441&amp;" ~*")&gt;0))</f>
        <v/>
      </c>
      <c r="AC1441" s="36">
        <f>IF($B1441="","",(IFERROR(INDEX(Setup!$G$33:$G$40,MATCH(C1441,Setup!$B$33:$B$40,0)),0)=1)*(COUNTIF(C1408:E1425,$B1441)+COUNTIF(C1408:E1425,$B1441&amp;" ~*")&gt;0)+(IFERROR(INDEX(Setup!$G$33:$G$40,MATCH(G1441,Setup!$B$33:$B$40,0)),0)=1)*(COUNTIF(G1408:I1425,$B1441)+COUNTIF(G1408:I1425,$B1441&amp;" ~*")&gt;0)+(IFERROR(INDEX(Setup!$G$33:$G$40,MATCH(K1441,Setup!$B$33:$B$40,0)),0)=1)*(COUNTIF(K1408:M1425,$B1441)+COUNTIF(K1408:M1425,$B1441&amp;" ~*")&gt;0)+(IFERROR(INDEX(Setup!$G$33:$G$40,MATCH(O1441,Setup!$B$33:$B$40,0)),0)=1)*(COUNTIF(O1408:Q1425,$B1441)+COUNTIF(O1408:Q1425,$B1441&amp;" ~*")&gt;0)+(IFERROR(INDEX(Setup!$G$33:$G$40,MATCH(S1441,Setup!$B$33:$B$40,0)),0)=1)*(COUNTIF(S1408:U1425,$B1441)+COUNTIF(S1408:U1425,$B1441&amp;" ~*")&gt;0)+(IFERROR(INDEX(Setup!$G$33:$G$40,MATCH(W1441,Setup!$B$33:$B$40,0)),0)=1)*(COUNTIF(W1408:W1425,$B1441)+COUNTIF(W1408:W1425,$B1441&amp;" ~*")&gt;0)+(IFERROR(INDEX(Setup!$G$33:$G$40,MATCH(Y1441,Setup!$B$33:$B$40,0)),0)=1)*(COUNTIF(Y1408:Y1425,$B1441)+COUNTIF(Y1408:Y1425,$B1441&amp;" ~*")&gt;0))</f>
        <v/>
      </c>
    </row>
    <row r="1442" ht="15" customHeight="1">
      <c r="A1442" t="n">
        <v>29</v>
      </c>
      <c r="B1442" s="37">
        <f>IF(Setup!$B$21="","",Setup!$B$21)</f>
        <v/>
      </c>
      <c r="C1442" s="102" t="n"/>
      <c r="D1442" s="103" t="n"/>
      <c r="E1442" s="103" t="n"/>
      <c r="F1442" s="104" t="n"/>
      <c r="G1442" s="102" t="n"/>
      <c r="H1442" s="103" t="n"/>
      <c r="I1442" s="103" t="n"/>
      <c r="J1442" s="104" t="n"/>
      <c r="K1442" s="102" t="n"/>
      <c r="L1442" s="103" t="n"/>
      <c r="M1442" s="103" t="n"/>
      <c r="N1442" s="104" t="n"/>
      <c r="O1442" s="102" t="n"/>
      <c r="P1442" s="103" t="n"/>
      <c r="Q1442" s="103" t="n"/>
      <c r="R1442" s="104" t="n"/>
      <c r="S1442" s="102" t="n"/>
      <c r="T1442" s="103" t="n"/>
      <c r="U1442" s="103" t="n"/>
      <c r="V1442" s="104" t="n"/>
      <c r="W1442" s="102" t="n"/>
      <c r="X1442" s="104" t="n"/>
      <c r="Y1442" s="102" t="n"/>
      <c r="Z1442" s="104" t="n"/>
      <c r="AB1442" s="105">
        <f>IF($B1442="","",(COUNTIF(C1408:E1425,$B1442)+COUNTIF(C1408:E1425,$B1442&amp;" ~*")&gt;0)+(COUNTIF(G1408:I1425,$B1442)+COUNTIF(G1408:I1425,$B1442&amp;" ~*")&gt;0)+(COUNTIF(K1408:M1425,$B1442)+COUNTIF(K1408:M1425,$B1442&amp;" ~*")&gt;0)+(COUNTIF(O1408:Q1425,$B1442)+COUNTIF(O1408:Q1425,$B1442&amp;" ~*")&gt;0)+(COUNTIF(S1408:U1425,$B1442)+COUNTIF(S1408:U1425,$B1442&amp;" ~*")&gt;0)+(COUNTIF(W1408:W1425,$B1442)+COUNTIF(W1408:W1425,$B1442&amp;" ~*")&gt;0)+(COUNTIF(Y1408:Y1425,$B1442)+COUNTIF(Y1408:Y1425,$B1442&amp;" ~*")&gt;0))</f>
        <v/>
      </c>
      <c r="AC1442" s="38">
        <f>IF($B1442="","",(IFERROR(INDEX(Setup!$G$33:$G$40,MATCH(C1442,Setup!$B$33:$B$40,0)),0)=1)*(COUNTIF(C1408:E1425,$B1442)+COUNTIF(C1408:E1425,$B1442&amp;" ~*")&gt;0)+(IFERROR(INDEX(Setup!$G$33:$G$40,MATCH(G1442,Setup!$B$33:$B$40,0)),0)=1)*(COUNTIF(G1408:I1425,$B1442)+COUNTIF(G1408:I1425,$B1442&amp;" ~*")&gt;0)+(IFERROR(INDEX(Setup!$G$33:$G$40,MATCH(K1442,Setup!$B$33:$B$40,0)),0)=1)*(COUNTIF(K1408:M1425,$B1442)+COUNTIF(K1408:M1425,$B1442&amp;" ~*")&gt;0)+(IFERROR(INDEX(Setup!$G$33:$G$40,MATCH(O1442,Setup!$B$33:$B$40,0)),0)=1)*(COUNTIF(O1408:Q1425,$B1442)+COUNTIF(O1408:Q1425,$B1442&amp;" ~*")&gt;0)+(IFERROR(INDEX(Setup!$G$33:$G$40,MATCH(S1442,Setup!$B$33:$B$40,0)),0)=1)*(COUNTIF(S1408:U1425,$B1442)+COUNTIF(S1408:U1425,$B1442&amp;" ~*")&gt;0)+(IFERROR(INDEX(Setup!$G$33:$G$40,MATCH(W1442,Setup!$B$33:$B$40,0)),0)=1)*(COUNTIF(W1408:W1425,$B1442)+COUNTIF(W1408:W1425,$B1442&amp;" ~*")&gt;0)+(IFERROR(INDEX(Setup!$G$33:$G$40,MATCH(Y1442,Setup!$B$33:$B$40,0)),0)=1)*(COUNTIF(Y1408:Y1425,$B1442)+COUNTIF(Y1408:Y1425,$B1442&amp;" ~*")&gt;0))</f>
        <v/>
      </c>
    </row>
    <row r="1443" ht="15" customHeight="1">
      <c r="A1443" t="n">
        <v>29</v>
      </c>
      <c r="B1443" s="35">
        <f>IF(Setup!$B$22="","",Setup!$B$22)</f>
        <v/>
      </c>
      <c r="C1443" s="98" t="n"/>
      <c r="D1443" s="99" t="n"/>
      <c r="E1443" s="99" t="n"/>
      <c r="F1443" s="100" t="n"/>
      <c r="G1443" s="98" t="n"/>
      <c r="H1443" s="99" t="n"/>
      <c r="I1443" s="99" t="n"/>
      <c r="J1443" s="100" t="n"/>
      <c r="K1443" s="98" t="n"/>
      <c r="L1443" s="99" t="n"/>
      <c r="M1443" s="99" t="n"/>
      <c r="N1443" s="100" t="n"/>
      <c r="O1443" s="98" t="n"/>
      <c r="P1443" s="99" t="n"/>
      <c r="Q1443" s="99" t="n"/>
      <c r="R1443" s="100" t="n"/>
      <c r="S1443" s="98" t="n"/>
      <c r="T1443" s="99" t="n"/>
      <c r="U1443" s="99" t="n"/>
      <c r="V1443" s="100" t="n"/>
      <c r="W1443" s="98" t="n"/>
      <c r="X1443" s="100" t="n"/>
      <c r="Y1443" s="98" t="n"/>
      <c r="Z1443" s="100" t="n"/>
      <c r="AB1443" s="101">
        <f>IF($B1443="","",(COUNTIF(C1408:E1425,$B1443)+COUNTIF(C1408:E1425,$B1443&amp;" ~*")&gt;0)+(COUNTIF(G1408:I1425,$B1443)+COUNTIF(G1408:I1425,$B1443&amp;" ~*")&gt;0)+(COUNTIF(K1408:M1425,$B1443)+COUNTIF(K1408:M1425,$B1443&amp;" ~*")&gt;0)+(COUNTIF(O1408:Q1425,$B1443)+COUNTIF(O1408:Q1425,$B1443&amp;" ~*")&gt;0)+(COUNTIF(S1408:U1425,$B1443)+COUNTIF(S1408:U1425,$B1443&amp;" ~*")&gt;0)+(COUNTIF(W1408:W1425,$B1443)+COUNTIF(W1408:W1425,$B1443&amp;" ~*")&gt;0)+(COUNTIF(Y1408:Y1425,$B1443)+COUNTIF(Y1408:Y1425,$B1443&amp;" ~*")&gt;0))</f>
        <v/>
      </c>
      <c r="AC1443" s="36">
        <f>IF($B1443="","",(IFERROR(INDEX(Setup!$G$33:$G$40,MATCH(C1443,Setup!$B$33:$B$40,0)),0)=1)*(COUNTIF(C1408:E1425,$B1443)+COUNTIF(C1408:E1425,$B1443&amp;" ~*")&gt;0)+(IFERROR(INDEX(Setup!$G$33:$G$40,MATCH(G1443,Setup!$B$33:$B$40,0)),0)=1)*(COUNTIF(G1408:I1425,$B1443)+COUNTIF(G1408:I1425,$B1443&amp;" ~*")&gt;0)+(IFERROR(INDEX(Setup!$G$33:$G$40,MATCH(K1443,Setup!$B$33:$B$40,0)),0)=1)*(COUNTIF(K1408:M1425,$B1443)+COUNTIF(K1408:M1425,$B1443&amp;" ~*")&gt;0)+(IFERROR(INDEX(Setup!$G$33:$G$40,MATCH(O1443,Setup!$B$33:$B$40,0)),0)=1)*(COUNTIF(O1408:Q1425,$B1443)+COUNTIF(O1408:Q1425,$B1443&amp;" ~*")&gt;0)+(IFERROR(INDEX(Setup!$G$33:$G$40,MATCH(S1443,Setup!$B$33:$B$40,0)),0)=1)*(COUNTIF(S1408:U1425,$B1443)+COUNTIF(S1408:U1425,$B1443&amp;" ~*")&gt;0)+(IFERROR(INDEX(Setup!$G$33:$G$40,MATCH(W1443,Setup!$B$33:$B$40,0)),0)=1)*(COUNTIF(W1408:W1425,$B1443)+COUNTIF(W1408:W1425,$B1443&amp;" ~*")&gt;0)+(IFERROR(INDEX(Setup!$G$33:$G$40,MATCH(Y1443,Setup!$B$33:$B$40,0)),0)=1)*(COUNTIF(Y1408:Y1425,$B1443)+COUNTIF(Y1408:Y1425,$B1443&amp;" ~*")&gt;0))</f>
        <v/>
      </c>
    </row>
    <row r="1444" ht="15" customHeight="1">
      <c r="A1444" t="n">
        <v>29</v>
      </c>
      <c r="B1444" s="37">
        <f>IF(Setup!$B$23="","",Setup!$B$23)</f>
        <v/>
      </c>
      <c r="C1444" s="102" t="n"/>
      <c r="D1444" s="103" t="n"/>
      <c r="E1444" s="103" t="n"/>
      <c r="F1444" s="104" t="n"/>
      <c r="G1444" s="102" t="n"/>
      <c r="H1444" s="103" t="n"/>
      <c r="I1444" s="103" t="n"/>
      <c r="J1444" s="104" t="n"/>
      <c r="K1444" s="102" t="n"/>
      <c r="L1444" s="103" t="n"/>
      <c r="M1444" s="103" t="n"/>
      <c r="N1444" s="104" t="n"/>
      <c r="O1444" s="102" t="n"/>
      <c r="P1444" s="103" t="n"/>
      <c r="Q1444" s="103" t="n"/>
      <c r="R1444" s="104" t="n"/>
      <c r="S1444" s="102" t="n"/>
      <c r="T1444" s="103" t="n"/>
      <c r="U1444" s="103" t="n"/>
      <c r="V1444" s="104" t="n"/>
      <c r="W1444" s="102" t="n"/>
      <c r="X1444" s="104" t="n"/>
      <c r="Y1444" s="102" t="n"/>
      <c r="Z1444" s="104" t="n"/>
      <c r="AB1444" s="105">
        <f>IF($B1444="","",(COUNTIF(C1408:E1425,$B1444)+COUNTIF(C1408:E1425,$B1444&amp;" ~*")&gt;0)+(COUNTIF(G1408:I1425,$B1444)+COUNTIF(G1408:I1425,$B1444&amp;" ~*")&gt;0)+(COUNTIF(K1408:M1425,$B1444)+COUNTIF(K1408:M1425,$B1444&amp;" ~*")&gt;0)+(COUNTIF(O1408:Q1425,$B1444)+COUNTIF(O1408:Q1425,$B1444&amp;" ~*")&gt;0)+(COUNTIF(S1408:U1425,$B1444)+COUNTIF(S1408:U1425,$B1444&amp;" ~*")&gt;0)+(COUNTIF(W1408:W1425,$B1444)+COUNTIF(W1408:W1425,$B1444&amp;" ~*")&gt;0)+(COUNTIF(Y1408:Y1425,$B1444)+COUNTIF(Y1408:Y1425,$B1444&amp;" ~*")&gt;0))</f>
        <v/>
      </c>
      <c r="AC1444" s="38">
        <f>IF($B1444="","",(IFERROR(INDEX(Setup!$G$33:$G$40,MATCH(C1444,Setup!$B$33:$B$40,0)),0)=1)*(COUNTIF(C1408:E1425,$B1444)+COUNTIF(C1408:E1425,$B1444&amp;" ~*")&gt;0)+(IFERROR(INDEX(Setup!$G$33:$G$40,MATCH(G1444,Setup!$B$33:$B$40,0)),0)=1)*(COUNTIF(G1408:I1425,$B1444)+COUNTIF(G1408:I1425,$B1444&amp;" ~*")&gt;0)+(IFERROR(INDEX(Setup!$G$33:$G$40,MATCH(K1444,Setup!$B$33:$B$40,0)),0)=1)*(COUNTIF(K1408:M1425,$B1444)+COUNTIF(K1408:M1425,$B1444&amp;" ~*")&gt;0)+(IFERROR(INDEX(Setup!$G$33:$G$40,MATCH(O1444,Setup!$B$33:$B$40,0)),0)=1)*(COUNTIF(O1408:Q1425,$B1444)+COUNTIF(O1408:Q1425,$B1444&amp;" ~*")&gt;0)+(IFERROR(INDEX(Setup!$G$33:$G$40,MATCH(S1444,Setup!$B$33:$B$40,0)),0)=1)*(COUNTIF(S1408:U1425,$B1444)+COUNTIF(S1408:U1425,$B1444&amp;" ~*")&gt;0)+(IFERROR(INDEX(Setup!$G$33:$G$40,MATCH(W1444,Setup!$B$33:$B$40,0)),0)=1)*(COUNTIF(W1408:W1425,$B1444)+COUNTIF(W1408:W1425,$B1444&amp;" ~*")&gt;0)+(IFERROR(INDEX(Setup!$G$33:$G$40,MATCH(Y1444,Setup!$B$33:$B$40,0)),0)=1)*(COUNTIF(Y1408:Y1425,$B1444)+COUNTIF(Y1408:Y1425,$B1444&amp;" ~*")&gt;0))</f>
        <v/>
      </c>
    </row>
    <row r="1445" ht="15" customHeight="1">
      <c r="A1445" t="n">
        <v>29</v>
      </c>
      <c r="B1445" s="35">
        <f>IF(Setup!$B$24="","",Setup!$B$24)</f>
        <v/>
      </c>
      <c r="C1445" s="98" t="n"/>
      <c r="D1445" s="99" t="n"/>
      <c r="E1445" s="99" t="n"/>
      <c r="F1445" s="100" t="n"/>
      <c r="G1445" s="98" t="n"/>
      <c r="H1445" s="99" t="n"/>
      <c r="I1445" s="99" t="n"/>
      <c r="J1445" s="100" t="n"/>
      <c r="K1445" s="98" t="n"/>
      <c r="L1445" s="99" t="n"/>
      <c r="M1445" s="99" t="n"/>
      <c r="N1445" s="100" t="n"/>
      <c r="O1445" s="98" t="n"/>
      <c r="P1445" s="99" t="n"/>
      <c r="Q1445" s="99" t="n"/>
      <c r="R1445" s="100" t="n"/>
      <c r="S1445" s="98" t="n"/>
      <c r="T1445" s="99" t="n"/>
      <c r="U1445" s="99" t="n"/>
      <c r="V1445" s="100" t="n"/>
      <c r="W1445" s="98" t="n"/>
      <c r="X1445" s="100" t="n"/>
      <c r="Y1445" s="98" t="n"/>
      <c r="Z1445" s="100" t="n"/>
      <c r="AB1445" s="101">
        <f>IF($B1445="","",(COUNTIF(C1408:E1425,$B1445)+COUNTIF(C1408:E1425,$B1445&amp;" ~*")&gt;0)+(COUNTIF(G1408:I1425,$B1445)+COUNTIF(G1408:I1425,$B1445&amp;" ~*")&gt;0)+(COUNTIF(K1408:M1425,$B1445)+COUNTIF(K1408:M1425,$B1445&amp;" ~*")&gt;0)+(COUNTIF(O1408:Q1425,$B1445)+COUNTIF(O1408:Q1425,$B1445&amp;" ~*")&gt;0)+(COUNTIF(S1408:U1425,$B1445)+COUNTIF(S1408:U1425,$B1445&amp;" ~*")&gt;0)+(COUNTIF(W1408:W1425,$B1445)+COUNTIF(W1408:W1425,$B1445&amp;" ~*")&gt;0)+(COUNTIF(Y1408:Y1425,$B1445)+COUNTIF(Y1408:Y1425,$B1445&amp;" ~*")&gt;0))</f>
        <v/>
      </c>
      <c r="AC1445" s="36">
        <f>IF($B1445="","",(IFERROR(INDEX(Setup!$G$33:$G$40,MATCH(C1445,Setup!$B$33:$B$40,0)),0)=1)*(COUNTIF(C1408:E1425,$B1445)+COUNTIF(C1408:E1425,$B1445&amp;" ~*")&gt;0)+(IFERROR(INDEX(Setup!$G$33:$G$40,MATCH(G1445,Setup!$B$33:$B$40,0)),0)=1)*(COUNTIF(G1408:I1425,$B1445)+COUNTIF(G1408:I1425,$B1445&amp;" ~*")&gt;0)+(IFERROR(INDEX(Setup!$G$33:$G$40,MATCH(K1445,Setup!$B$33:$B$40,0)),0)=1)*(COUNTIF(K1408:M1425,$B1445)+COUNTIF(K1408:M1425,$B1445&amp;" ~*")&gt;0)+(IFERROR(INDEX(Setup!$G$33:$G$40,MATCH(O1445,Setup!$B$33:$B$40,0)),0)=1)*(COUNTIF(O1408:Q1425,$B1445)+COUNTIF(O1408:Q1425,$B1445&amp;" ~*")&gt;0)+(IFERROR(INDEX(Setup!$G$33:$G$40,MATCH(S1445,Setup!$B$33:$B$40,0)),0)=1)*(COUNTIF(S1408:U1425,$B1445)+COUNTIF(S1408:U1425,$B1445&amp;" ~*")&gt;0)+(IFERROR(INDEX(Setup!$G$33:$G$40,MATCH(W1445,Setup!$B$33:$B$40,0)),0)=1)*(COUNTIF(W1408:W1425,$B1445)+COUNTIF(W1408:W1425,$B1445&amp;" ~*")&gt;0)+(IFERROR(INDEX(Setup!$G$33:$G$40,MATCH(Y1445,Setup!$B$33:$B$40,0)),0)=1)*(COUNTIF(Y1408:Y1425,$B1445)+COUNTIF(Y1408:Y1425,$B1445&amp;" ~*")&gt;0))</f>
        <v/>
      </c>
    </row>
    <row r="1446" ht="15" customHeight="1">
      <c r="A1446" t="n">
        <v>29</v>
      </c>
      <c r="B1446" s="37">
        <f>IF(Setup!$B$25="","",Setup!$B$25)</f>
        <v/>
      </c>
      <c r="C1446" s="102" t="n"/>
      <c r="D1446" s="103" t="n"/>
      <c r="E1446" s="103" t="n"/>
      <c r="F1446" s="104" t="n"/>
      <c r="G1446" s="102" t="n"/>
      <c r="H1446" s="103" t="n"/>
      <c r="I1446" s="103" t="n"/>
      <c r="J1446" s="104" t="n"/>
      <c r="K1446" s="102" t="n"/>
      <c r="L1446" s="103" t="n"/>
      <c r="M1446" s="103" t="n"/>
      <c r="N1446" s="104" t="n"/>
      <c r="O1446" s="102" t="n"/>
      <c r="P1446" s="103" t="n"/>
      <c r="Q1446" s="103" t="n"/>
      <c r="R1446" s="104" t="n"/>
      <c r="S1446" s="102" t="n"/>
      <c r="T1446" s="103" t="n"/>
      <c r="U1446" s="103" t="n"/>
      <c r="V1446" s="104" t="n"/>
      <c r="W1446" s="102" t="n"/>
      <c r="X1446" s="104" t="n"/>
      <c r="Y1446" s="102" t="n"/>
      <c r="Z1446" s="104" t="n"/>
      <c r="AB1446" s="105">
        <f>IF($B1446="","",(COUNTIF(C1408:E1425,$B1446)+COUNTIF(C1408:E1425,$B1446&amp;" ~*")&gt;0)+(COUNTIF(G1408:I1425,$B1446)+COUNTIF(G1408:I1425,$B1446&amp;" ~*")&gt;0)+(COUNTIF(K1408:M1425,$B1446)+COUNTIF(K1408:M1425,$B1446&amp;" ~*")&gt;0)+(COUNTIF(O1408:Q1425,$B1446)+COUNTIF(O1408:Q1425,$B1446&amp;" ~*")&gt;0)+(COUNTIF(S1408:U1425,$B1446)+COUNTIF(S1408:U1425,$B1446&amp;" ~*")&gt;0)+(COUNTIF(W1408:W1425,$B1446)+COUNTIF(W1408:W1425,$B1446&amp;" ~*")&gt;0)+(COUNTIF(Y1408:Y1425,$B1446)+COUNTIF(Y1408:Y1425,$B1446&amp;" ~*")&gt;0))</f>
        <v/>
      </c>
      <c r="AC1446" s="38">
        <f>IF($B1446="","",(IFERROR(INDEX(Setup!$G$33:$G$40,MATCH(C1446,Setup!$B$33:$B$40,0)),0)=1)*(COUNTIF(C1408:E1425,$B1446)+COUNTIF(C1408:E1425,$B1446&amp;" ~*")&gt;0)+(IFERROR(INDEX(Setup!$G$33:$G$40,MATCH(G1446,Setup!$B$33:$B$40,0)),0)=1)*(COUNTIF(G1408:I1425,$B1446)+COUNTIF(G1408:I1425,$B1446&amp;" ~*")&gt;0)+(IFERROR(INDEX(Setup!$G$33:$G$40,MATCH(K1446,Setup!$B$33:$B$40,0)),0)=1)*(COUNTIF(K1408:M1425,$B1446)+COUNTIF(K1408:M1425,$B1446&amp;" ~*")&gt;0)+(IFERROR(INDEX(Setup!$G$33:$G$40,MATCH(O1446,Setup!$B$33:$B$40,0)),0)=1)*(COUNTIF(O1408:Q1425,$B1446)+COUNTIF(O1408:Q1425,$B1446&amp;" ~*")&gt;0)+(IFERROR(INDEX(Setup!$G$33:$G$40,MATCH(S1446,Setup!$B$33:$B$40,0)),0)=1)*(COUNTIF(S1408:U1425,$B1446)+COUNTIF(S1408:U1425,$B1446&amp;" ~*")&gt;0)+(IFERROR(INDEX(Setup!$G$33:$G$40,MATCH(W1446,Setup!$B$33:$B$40,0)),0)=1)*(COUNTIF(W1408:W1425,$B1446)+COUNTIF(W1408:W1425,$B1446&amp;" ~*")&gt;0)+(IFERROR(INDEX(Setup!$G$33:$G$40,MATCH(Y1446,Setup!$B$33:$B$40,0)),0)=1)*(COUNTIF(Y1408:Y1425,$B1446)+COUNTIF(Y1408:Y1425,$B1446&amp;" ~*")&gt;0))</f>
        <v/>
      </c>
    </row>
    <row r="1447" ht="15" customHeight="1">
      <c r="A1447" t="n">
        <v>29</v>
      </c>
      <c r="B1447" s="35">
        <f>IF(Setup!$B$26="","",Setup!$B$26)</f>
        <v/>
      </c>
      <c r="C1447" s="98" t="n"/>
      <c r="D1447" s="99" t="n"/>
      <c r="E1447" s="99" t="n"/>
      <c r="F1447" s="100" t="n"/>
      <c r="G1447" s="98" t="n"/>
      <c r="H1447" s="99" t="n"/>
      <c r="I1447" s="99" t="n"/>
      <c r="J1447" s="100" t="n"/>
      <c r="K1447" s="98" t="n"/>
      <c r="L1447" s="99" t="n"/>
      <c r="M1447" s="99" t="n"/>
      <c r="N1447" s="100" t="n"/>
      <c r="O1447" s="98" t="n"/>
      <c r="P1447" s="99" t="n"/>
      <c r="Q1447" s="99" t="n"/>
      <c r="R1447" s="100" t="n"/>
      <c r="S1447" s="98" t="n"/>
      <c r="T1447" s="99" t="n"/>
      <c r="U1447" s="99" t="n"/>
      <c r="V1447" s="100" t="n"/>
      <c r="W1447" s="98" t="n"/>
      <c r="X1447" s="100" t="n"/>
      <c r="Y1447" s="98" t="n"/>
      <c r="Z1447" s="100" t="n"/>
      <c r="AB1447" s="101">
        <f>IF($B1447="","",(COUNTIF(C1408:E1425,$B1447)+COUNTIF(C1408:E1425,$B1447&amp;" ~*")&gt;0)+(COUNTIF(G1408:I1425,$B1447)+COUNTIF(G1408:I1425,$B1447&amp;" ~*")&gt;0)+(COUNTIF(K1408:M1425,$B1447)+COUNTIF(K1408:M1425,$B1447&amp;" ~*")&gt;0)+(COUNTIF(O1408:Q1425,$B1447)+COUNTIF(O1408:Q1425,$B1447&amp;" ~*")&gt;0)+(COUNTIF(S1408:U1425,$B1447)+COUNTIF(S1408:U1425,$B1447&amp;" ~*")&gt;0)+(COUNTIF(W1408:W1425,$B1447)+COUNTIF(W1408:W1425,$B1447&amp;" ~*")&gt;0)+(COUNTIF(Y1408:Y1425,$B1447)+COUNTIF(Y1408:Y1425,$B1447&amp;" ~*")&gt;0))</f>
        <v/>
      </c>
      <c r="AC1447" s="36">
        <f>IF($B1447="","",(IFERROR(INDEX(Setup!$G$33:$G$40,MATCH(C1447,Setup!$B$33:$B$40,0)),0)=1)*(COUNTIF(C1408:E1425,$B1447)+COUNTIF(C1408:E1425,$B1447&amp;" ~*")&gt;0)+(IFERROR(INDEX(Setup!$G$33:$G$40,MATCH(G1447,Setup!$B$33:$B$40,0)),0)=1)*(COUNTIF(G1408:I1425,$B1447)+COUNTIF(G1408:I1425,$B1447&amp;" ~*")&gt;0)+(IFERROR(INDEX(Setup!$G$33:$G$40,MATCH(K1447,Setup!$B$33:$B$40,0)),0)=1)*(COUNTIF(K1408:M1425,$B1447)+COUNTIF(K1408:M1425,$B1447&amp;" ~*")&gt;0)+(IFERROR(INDEX(Setup!$G$33:$G$40,MATCH(O1447,Setup!$B$33:$B$40,0)),0)=1)*(COUNTIF(O1408:Q1425,$B1447)+COUNTIF(O1408:Q1425,$B1447&amp;" ~*")&gt;0)+(IFERROR(INDEX(Setup!$G$33:$G$40,MATCH(S1447,Setup!$B$33:$B$40,0)),0)=1)*(COUNTIF(S1408:U1425,$B1447)+COUNTIF(S1408:U1425,$B1447&amp;" ~*")&gt;0)+(IFERROR(INDEX(Setup!$G$33:$G$40,MATCH(W1447,Setup!$B$33:$B$40,0)),0)=1)*(COUNTIF(W1408:W1425,$B1447)+COUNTIF(W1408:W1425,$B1447&amp;" ~*")&gt;0)+(IFERROR(INDEX(Setup!$G$33:$G$40,MATCH(Y1447,Setup!$B$33:$B$40,0)),0)=1)*(COUNTIF(Y1408:Y1425,$B1447)+COUNTIF(Y1408:Y1425,$B1447&amp;" ~*")&gt;0))</f>
        <v/>
      </c>
    </row>
    <row r="1448" ht="15" customHeight="1">
      <c r="A1448" t="n">
        <v>29</v>
      </c>
      <c r="B1448" s="37">
        <f>IF(Setup!$B$27="","",Setup!$B$27)</f>
        <v/>
      </c>
      <c r="C1448" s="102" t="n"/>
      <c r="D1448" s="103" t="n"/>
      <c r="E1448" s="103" t="n"/>
      <c r="F1448" s="104" t="n"/>
      <c r="G1448" s="102" t="n"/>
      <c r="H1448" s="103" t="n"/>
      <c r="I1448" s="103" t="n"/>
      <c r="J1448" s="104" t="n"/>
      <c r="K1448" s="102" t="n"/>
      <c r="L1448" s="103" t="n"/>
      <c r="M1448" s="103" t="n"/>
      <c r="N1448" s="104" t="n"/>
      <c r="O1448" s="102" t="n"/>
      <c r="P1448" s="103" t="n"/>
      <c r="Q1448" s="103" t="n"/>
      <c r="R1448" s="104" t="n"/>
      <c r="S1448" s="102" t="n"/>
      <c r="T1448" s="103" t="n"/>
      <c r="U1448" s="103" t="n"/>
      <c r="V1448" s="104" t="n"/>
      <c r="W1448" s="102" t="n"/>
      <c r="X1448" s="104" t="n"/>
      <c r="Y1448" s="102" t="n"/>
      <c r="Z1448" s="104" t="n"/>
      <c r="AB1448" s="105">
        <f>IF($B1448="","",(COUNTIF(C1408:E1425,$B1448)+COUNTIF(C1408:E1425,$B1448&amp;" ~*")&gt;0)+(COUNTIF(G1408:I1425,$B1448)+COUNTIF(G1408:I1425,$B1448&amp;" ~*")&gt;0)+(COUNTIF(K1408:M1425,$B1448)+COUNTIF(K1408:M1425,$B1448&amp;" ~*")&gt;0)+(COUNTIF(O1408:Q1425,$B1448)+COUNTIF(O1408:Q1425,$B1448&amp;" ~*")&gt;0)+(COUNTIF(S1408:U1425,$B1448)+COUNTIF(S1408:U1425,$B1448&amp;" ~*")&gt;0)+(COUNTIF(W1408:W1425,$B1448)+COUNTIF(W1408:W1425,$B1448&amp;" ~*")&gt;0)+(COUNTIF(Y1408:Y1425,$B1448)+COUNTIF(Y1408:Y1425,$B1448&amp;" ~*")&gt;0))</f>
        <v/>
      </c>
      <c r="AC1448" s="38">
        <f>IF($B1448="","",(IFERROR(INDEX(Setup!$G$33:$G$40,MATCH(C1448,Setup!$B$33:$B$40,0)),0)=1)*(COUNTIF(C1408:E1425,$B1448)+COUNTIF(C1408:E1425,$B1448&amp;" ~*")&gt;0)+(IFERROR(INDEX(Setup!$G$33:$G$40,MATCH(G1448,Setup!$B$33:$B$40,0)),0)=1)*(COUNTIF(G1408:I1425,$B1448)+COUNTIF(G1408:I1425,$B1448&amp;" ~*")&gt;0)+(IFERROR(INDEX(Setup!$G$33:$G$40,MATCH(K1448,Setup!$B$33:$B$40,0)),0)=1)*(COUNTIF(K1408:M1425,$B1448)+COUNTIF(K1408:M1425,$B1448&amp;" ~*")&gt;0)+(IFERROR(INDEX(Setup!$G$33:$G$40,MATCH(O1448,Setup!$B$33:$B$40,0)),0)=1)*(COUNTIF(O1408:Q1425,$B1448)+COUNTIF(O1408:Q1425,$B1448&amp;" ~*")&gt;0)+(IFERROR(INDEX(Setup!$G$33:$G$40,MATCH(S1448,Setup!$B$33:$B$40,0)),0)=1)*(COUNTIF(S1408:U1425,$B1448)+COUNTIF(S1408:U1425,$B1448&amp;" ~*")&gt;0)+(IFERROR(INDEX(Setup!$G$33:$G$40,MATCH(W1448,Setup!$B$33:$B$40,0)),0)=1)*(COUNTIF(W1408:W1425,$B1448)+COUNTIF(W1408:W1425,$B1448&amp;" ~*")&gt;0)+(IFERROR(INDEX(Setup!$G$33:$G$40,MATCH(Y1448,Setup!$B$33:$B$40,0)),0)=1)*(COUNTIF(Y1408:Y1425,$B1448)+COUNTIF(Y1408:Y1425,$B1448&amp;" ~*")&gt;0))</f>
        <v/>
      </c>
    </row>
    <row r="1449" ht="15" customHeight="1">
      <c r="A1449" t="n">
        <v>29</v>
      </c>
      <c r="B1449" s="35">
        <f>IF(Setup!$B$28="","",Setup!$B$28)</f>
        <v/>
      </c>
      <c r="C1449" s="98" t="n"/>
      <c r="D1449" s="99" t="n"/>
      <c r="E1449" s="99" t="n"/>
      <c r="F1449" s="100" t="n"/>
      <c r="G1449" s="98" t="n"/>
      <c r="H1449" s="99" t="n"/>
      <c r="I1449" s="99" t="n"/>
      <c r="J1449" s="100" t="n"/>
      <c r="K1449" s="98" t="n"/>
      <c r="L1449" s="99" t="n"/>
      <c r="M1449" s="99" t="n"/>
      <c r="N1449" s="100" t="n"/>
      <c r="O1449" s="98" t="n"/>
      <c r="P1449" s="99" t="n"/>
      <c r="Q1449" s="99" t="n"/>
      <c r="R1449" s="100" t="n"/>
      <c r="S1449" s="98" t="n"/>
      <c r="T1449" s="99" t="n"/>
      <c r="U1449" s="99" t="n"/>
      <c r="V1449" s="100" t="n"/>
      <c r="W1449" s="98" t="n"/>
      <c r="X1449" s="100" t="n"/>
      <c r="Y1449" s="98" t="n"/>
      <c r="Z1449" s="100" t="n"/>
      <c r="AB1449" s="101">
        <f>IF($B1449="","",(COUNTIF(C1408:E1425,$B1449)+COUNTIF(C1408:E1425,$B1449&amp;" ~*")&gt;0)+(COUNTIF(G1408:I1425,$B1449)+COUNTIF(G1408:I1425,$B1449&amp;" ~*")&gt;0)+(COUNTIF(K1408:M1425,$B1449)+COUNTIF(K1408:M1425,$B1449&amp;" ~*")&gt;0)+(COUNTIF(O1408:Q1425,$B1449)+COUNTIF(O1408:Q1425,$B1449&amp;" ~*")&gt;0)+(COUNTIF(S1408:U1425,$B1449)+COUNTIF(S1408:U1425,$B1449&amp;" ~*")&gt;0)+(COUNTIF(W1408:W1425,$B1449)+COUNTIF(W1408:W1425,$B1449&amp;" ~*")&gt;0)+(COUNTIF(Y1408:Y1425,$B1449)+COUNTIF(Y1408:Y1425,$B1449&amp;" ~*")&gt;0))</f>
        <v/>
      </c>
      <c r="AC1449" s="36">
        <f>IF($B1449="","",(IFERROR(INDEX(Setup!$G$33:$G$40,MATCH(C1449,Setup!$B$33:$B$40,0)),0)=1)*(COUNTIF(C1408:E1425,$B1449)+COUNTIF(C1408:E1425,$B1449&amp;" ~*")&gt;0)+(IFERROR(INDEX(Setup!$G$33:$G$40,MATCH(G1449,Setup!$B$33:$B$40,0)),0)=1)*(COUNTIF(G1408:I1425,$B1449)+COUNTIF(G1408:I1425,$B1449&amp;" ~*")&gt;0)+(IFERROR(INDEX(Setup!$G$33:$G$40,MATCH(K1449,Setup!$B$33:$B$40,0)),0)=1)*(COUNTIF(K1408:M1425,$B1449)+COUNTIF(K1408:M1425,$B1449&amp;" ~*")&gt;0)+(IFERROR(INDEX(Setup!$G$33:$G$40,MATCH(O1449,Setup!$B$33:$B$40,0)),0)=1)*(COUNTIF(O1408:Q1425,$B1449)+COUNTIF(O1408:Q1425,$B1449&amp;" ~*")&gt;0)+(IFERROR(INDEX(Setup!$G$33:$G$40,MATCH(S1449,Setup!$B$33:$B$40,0)),0)=1)*(COUNTIF(S1408:U1425,$B1449)+COUNTIF(S1408:U1425,$B1449&amp;" ~*")&gt;0)+(IFERROR(INDEX(Setup!$G$33:$G$40,MATCH(W1449,Setup!$B$33:$B$40,0)),0)=1)*(COUNTIF(W1408:W1425,$B1449)+COUNTIF(W1408:W1425,$B1449&amp;" ~*")&gt;0)+(IFERROR(INDEX(Setup!$G$33:$G$40,MATCH(Y1449,Setup!$B$33:$B$40,0)),0)=1)*(COUNTIF(Y1408:Y1425,$B1449)+COUNTIF(Y1408:Y1425,$B1449&amp;" ~*")&gt;0))</f>
        <v/>
      </c>
    </row>
    <row r="1450" ht="15" customHeight="1">
      <c r="A1450" t="n">
        <v>29</v>
      </c>
      <c r="B1450" s="37">
        <f>IF(Setup!$B$29="","",Setup!$B$29)</f>
        <v/>
      </c>
      <c r="C1450" s="102" t="n"/>
      <c r="D1450" s="103" t="n"/>
      <c r="E1450" s="103" t="n"/>
      <c r="F1450" s="104" t="n"/>
      <c r="G1450" s="102" t="n"/>
      <c r="H1450" s="103" t="n"/>
      <c r="I1450" s="103" t="n"/>
      <c r="J1450" s="104" t="n"/>
      <c r="K1450" s="102" t="n"/>
      <c r="L1450" s="103" t="n"/>
      <c r="M1450" s="103" t="n"/>
      <c r="N1450" s="104" t="n"/>
      <c r="O1450" s="102" t="n"/>
      <c r="P1450" s="103" t="n"/>
      <c r="Q1450" s="103" t="n"/>
      <c r="R1450" s="104" t="n"/>
      <c r="S1450" s="102" t="n"/>
      <c r="T1450" s="103" t="n"/>
      <c r="U1450" s="103" t="n"/>
      <c r="V1450" s="104" t="n"/>
      <c r="W1450" s="102" t="n"/>
      <c r="X1450" s="104" t="n"/>
      <c r="Y1450" s="102" t="n"/>
      <c r="Z1450" s="104" t="n"/>
      <c r="AB1450" s="105">
        <f>IF($B1450="","",(COUNTIF(C1408:E1425,$B1450)+COUNTIF(C1408:E1425,$B1450&amp;" ~*")&gt;0)+(COUNTIF(G1408:I1425,$B1450)+COUNTIF(G1408:I1425,$B1450&amp;" ~*")&gt;0)+(COUNTIF(K1408:M1425,$B1450)+COUNTIF(K1408:M1425,$B1450&amp;" ~*")&gt;0)+(COUNTIF(O1408:Q1425,$B1450)+COUNTIF(O1408:Q1425,$B1450&amp;" ~*")&gt;0)+(COUNTIF(S1408:U1425,$B1450)+COUNTIF(S1408:U1425,$B1450&amp;" ~*")&gt;0)+(COUNTIF(W1408:W1425,$B1450)+COUNTIF(W1408:W1425,$B1450&amp;" ~*")&gt;0)+(COUNTIF(Y1408:Y1425,$B1450)+COUNTIF(Y1408:Y1425,$B1450&amp;" ~*")&gt;0))</f>
        <v/>
      </c>
      <c r="AC1450" s="38">
        <f>IF($B1450="","",(IFERROR(INDEX(Setup!$G$33:$G$40,MATCH(C1450,Setup!$B$33:$B$40,0)),0)=1)*(COUNTIF(C1408:E1425,$B1450)+COUNTIF(C1408:E1425,$B1450&amp;" ~*")&gt;0)+(IFERROR(INDEX(Setup!$G$33:$G$40,MATCH(G1450,Setup!$B$33:$B$40,0)),0)=1)*(COUNTIF(G1408:I1425,$B1450)+COUNTIF(G1408:I1425,$B1450&amp;" ~*")&gt;0)+(IFERROR(INDEX(Setup!$G$33:$G$40,MATCH(K1450,Setup!$B$33:$B$40,0)),0)=1)*(COUNTIF(K1408:M1425,$B1450)+COUNTIF(K1408:M1425,$B1450&amp;" ~*")&gt;0)+(IFERROR(INDEX(Setup!$G$33:$G$40,MATCH(O1450,Setup!$B$33:$B$40,0)),0)=1)*(COUNTIF(O1408:Q1425,$B1450)+COUNTIF(O1408:Q1425,$B1450&amp;" ~*")&gt;0)+(IFERROR(INDEX(Setup!$G$33:$G$40,MATCH(S1450,Setup!$B$33:$B$40,0)),0)=1)*(COUNTIF(S1408:U1425,$B1450)+COUNTIF(S1408:U1425,$B1450&amp;" ~*")&gt;0)+(IFERROR(INDEX(Setup!$G$33:$G$40,MATCH(W1450,Setup!$B$33:$B$40,0)),0)=1)*(COUNTIF(W1408:W1425,$B1450)+COUNTIF(W1408:W1425,$B1450&amp;" ~*")&gt;0)+(IFERROR(INDEX(Setup!$G$33:$G$40,MATCH(Y1450,Setup!$B$33:$B$40,0)),0)=1)*(COUNTIF(Y1408:Y1425,$B1450)+COUNTIF(Y1408:Y1425,$B1450&amp;" ~*")&gt;0))</f>
        <v/>
      </c>
    </row>
    <row r="1451" ht="16" customHeight="1">
      <c r="A1451" t="n">
        <v>29</v>
      </c>
      <c r="B1451" s="106" t="inlineStr">
        <is>
          <t>Available people</t>
        </is>
      </c>
      <c r="C1451" s="107">
        <f>COUNTIFS(Setup!$E$6:$E$29,"Y",Setup!$B$6:$B$29,"?*")-SUMPRODUCT(COUNTIF(C1427:C1450,Setup!$F$33:$F$40))</f>
        <v/>
      </c>
      <c r="D1451" s="107" t="n"/>
      <c r="E1451" s="107" t="n"/>
      <c r="F1451" s="107" t="n"/>
      <c r="G1451" s="107">
        <f>COUNTIFS(Setup!$E$6:$E$29,"Y",Setup!$B$6:$B$29,"?*")-SUMPRODUCT(COUNTIF(G1427:G1450,Setup!$F$33:$F$40))</f>
        <v/>
      </c>
      <c r="H1451" s="107" t="n"/>
      <c r="I1451" s="107" t="n"/>
      <c r="J1451" s="107" t="n"/>
      <c r="K1451" s="107">
        <f>COUNTIFS(Setup!$E$6:$E$29,"Y",Setup!$B$6:$B$29,"?*")-SUMPRODUCT(COUNTIF(K1427:K1450,Setup!$F$33:$F$40))</f>
        <v/>
      </c>
      <c r="L1451" s="107" t="n"/>
      <c r="M1451" s="107" t="n"/>
      <c r="N1451" s="107" t="n"/>
      <c r="O1451" s="107">
        <f>COUNTIFS(Setup!$E$6:$E$29,"Y",Setup!$B$6:$B$29,"?*")-SUMPRODUCT(COUNTIF(O1427:O1450,Setup!$F$33:$F$40))</f>
        <v/>
      </c>
      <c r="P1451" s="107" t="n"/>
      <c r="Q1451" s="107" t="n"/>
      <c r="R1451" s="107" t="n"/>
      <c r="S1451" s="107">
        <f>COUNTIFS(Setup!$E$6:$E$29,"Y",Setup!$B$6:$B$29,"?*")-SUMPRODUCT(COUNTIF(S1427:S1450,Setup!$F$33:$F$40))</f>
        <v/>
      </c>
      <c r="T1451" s="107" t="n"/>
      <c r="U1451" s="107" t="n"/>
      <c r="V1451" s="107" t="n"/>
      <c r="W1451" s="107">
        <f>COUNTIFS(Setup!$E$6:$E$29,"Y",Setup!$B$6:$B$29,"?*")-SUMPRODUCT(COUNTIF(W1427:W1450,Setup!$F$33:$F$40))</f>
        <v/>
      </c>
      <c r="X1451" s="107" t="n"/>
      <c r="Y1451" s="107">
        <f>COUNTIFS(Setup!$E$6:$E$29,"Y",Setup!$B$6:$B$29,"?*")-SUMPRODUCT(COUNTIF(Y1427:Y1450,Setup!$F$33:$F$40))</f>
        <v/>
      </c>
      <c r="Z1451" s="107" t="n"/>
      <c r="AB1451" s="108">
        <f>SUM(AB1427:AB1450)</f>
        <v/>
      </c>
      <c r="AC1451" s="109">
        <f>SUM(AC1427:AC1450)</f>
        <v/>
      </c>
    </row>
    <row r="1452" ht="30" customHeight="1">
      <c r="A1452" t="n">
        <v>29</v>
      </c>
      <c r="B1452" s="110" t="inlineStr">
        <is>
          <t>Week notes</t>
        </is>
      </c>
      <c r="C1452" s="111" t="n"/>
      <c r="D1452" s="112" t="n"/>
      <c r="E1452" s="112" t="n"/>
      <c r="F1452" s="112" t="n"/>
      <c r="G1452" s="112" t="n"/>
      <c r="H1452" s="112" t="n"/>
      <c r="I1452" s="112" t="n"/>
      <c r="J1452" s="112" t="n"/>
      <c r="K1452" s="112" t="n"/>
      <c r="L1452" s="112" t="n"/>
      <c r="M1452" s="112" t="n"/>
      <c r="N1452" s="112" t="n"/>
      <c r="O1452" s="112" t="n"/>
      <c r="P1452" s="112" t="n"/>
      <c r="Q1452" s="112" t="n"/>
      <c r="R1452" s="112" t="n"/>
      <c r="S1452" s="112" t="n"/>
      <c r="T1452" s="112" t="n"/>
      <c r="U1452" s="112" t="n"/>
      <c r="V1452" s="112" t="n"/>
      <c r="W1452" s="112" t="n"/>
      <c r="X1452" s="112" t="n"/>
      <c r="Y1452" s="112" t="n"/>
      <c r="Z1452" s="113" t="n"/>
    </row>
    <row r="1453" ht="8" customHeight="1">
      <c r="A1453" t="n">
        <v>29</v>
      </c>
    </row>
    <row r="1454" ht="8" customHeight="1">
      <c r="A1454" t="n">
        <v>29</v>
      </c>
    </row>
    <row r="1455" ht="24" customHeight="1">
      <c r="A1455" t="n">
        <v>30</v>
      </c>
      <c r="B1455" s="73">
        <f>"WEEK 30     "&amp;TEXT(C1456,"ddd d mmm")&amp;"  –  "&amp;TEXT(C1456+6,"ddd d mmm yyyy")</f>
        <v/>
      </c>
      <c r="S1455" s="74">
        <f>IF(TODAY()&lt;C1456,"FUTURE",IF(TODAY()&gt;C1456+6,"PAST","THIS WEEK"))</f>
        <v/>
      </c>
      <c r="W1455" s="75">
        <f>IF(AND(Engine!$B$8=$AC$3,Engine!$B$9=$A1455),"◀ ACTIVE WEEK","")</f>
        <v/>
      </c>
      <c r="AA1455" s="76" t="n"/>
      <c r="AB1455" s="77" t="inlineStr">
        <is>
          <t>◀ Prev</t>
        </is>
      </c>
      <c r="AC1455" s="77" t="inlineStr">
        <is>
          <t>Next ▶</t>
        </is>
      </c>
    </row>
    <row r="1456" ht="18" customHeight="1">
      <c r="A1456" t="n">
        <v>30</v>
      </c>
      <c r="B1456" s="78" t="inlineStr">
        <is>
          <t>DUTY</t>
        </is>
      </c>
      <c r="C1456" s="79">
        <f>$AC$2+7*($A1456-1)</f>
        <v/>
      </c>
      <c r="D1456" s="80" t="n"/>
      <c r="E1456" s="80" t="n"/>
      <c r="F1456" s="81" t="n"/>
      <c r="G1456" s="79">
        <f>C1456+1</f>
        <v/>
      </c>
      <c r="H1456" s="80" t="n"/>
      <c r="I1456" s="80" t="n"/>
      <c r="J1456" s="81" t="n"/>
      <c r="K1456" s="79">
        <f>C1456+2</f>
        <v/>
      </c>
      <c r="L1456" s="80" t="n"/>
      <c r="M1456" s="80" t="n"/>
      <c r="N1456" s="81" t="n"/>
      <c r="O1456" s="79">
        <f>C1456+3</f>
        <v/>
      </c>
      <c r="P1456" s="80" t="n"/>
      <c r="Q1456" s="80" t="n"/>
      <c r="R1456" s="81" t="n"/>
      <c r="S1456" s="79">
        <f>C1456+4</f>
        <v/>
      </c>
      <c r="T1456" s="80" t="n"/>
      <c r="U1456" s="80" t="n"/>
      <c r="V1456" s="81" t="n"/>
      <c r="W1456" s="82">
        <f>C1456+5</f>
        <v/>
      </c>
      <c r="X1456" s="83" t="n"/>
      <c r="Y1456" s="82">
        <f>C1456+6</f>
        <v/>
      </c>
      <c r="Z1456" s="83" t="n"/>
      <c r="AB1456" s="72" t="inlineStr">
        <is>
          <t>Gaps</t>
        </is>
      </c>
      <c r="AC1456" s="72" t="inlineStr">
        <is>
          <t>Cover</t>
        </is>
      </c>
    </row>
    <row r="1457" ht="14" customHeight="1">
      <c r="A1457" t="n">
        <v>30</v>
      </c>
      <c r="B1457" s="84" t="inlineStr">
        <is>
          <t>(from Setup)</t>
        </is>
      </c>
      <c r="C1457" s="85" t="inlineStr">
        <is>
          <t>1</t>
        </is>
      </c>
      <c r="D1457" s="85" t="inlineStr">
        <is>
          <t>2</t>
        </is>
      </c>
      <c r="E1457" s="85" t="inlineStr">
        <is>
          <t>3</t>
        </is>
      </c>
      <c r="F1457" s="85" t="inlineStr">
        <is>
          <t>Notes</t>
        </is>
      </c>
      <c r="G1457" s="85" t="inlineStr">
        <is>
          <t>1</t>
        </is>
      </c>
      <c r="H1457" s="85" t="inlineStr">
        <is>
          <t>2</t>
        </is>
      </c>
      <c r="I1457" s="85" t="inlineStr">
        <is>
          <t>3</t>
        </is>
      </c>
      <c r="J1457" s="85" t="inlineStr">
        <is>
          <t>Notes</t>
        </is>
      </c>
      <c r="K1457" s="85" t="inlineStr">
        <is>
          <t>1</t>
        </is>
      </c>
      <c r="L1457" s="85" t="inlineStr">
        <is>
          <t>2</t>
        </is>
      </c>
      <c r="M1457" s="85" t="inlineStr">
        <is>
          <t>3</t>
        </is>
      </c>
      <c r="N1457" s="85" t="inlineStr">
        <is>
          <t>Notes</t>
        </is>
      </c>
      <c r="O1457" s="85" t="inlineStr">
        <is>
          <t>1</t>
        </is>
      </c>
      <c r="P1457" s="85" t="inlineStr">
        <is>
          <t>2</t>
        </is>
      </c>
      <c r="Q1457" s="85" t="inlineStr">
        <is>
          <t>3</t>
        </is>
      </c>
      <c r="R1457" s="85" t="inlineStr">
        <is>
          <t>Notes</t>
        </is>
      </c>
      <c r="S1457" s="85" t="inlineStr">
        <is>
          <t>1</t>
        </is>
      </c>
      <c r="T1457" s="85" t="inlineStr">
        <is>
          <t>2</t>
        </is>
      </c>
      <c r="U1457" s="85" t="inlineStr">
        <is>
          <t>3</t>
        </is>
      </c>
      <c r="V1457" s="85" t="inlineStr">
        <is>
          <t>Notes</t>
        </is>
      </c>
      <c r="W1457" s="85" t="inlineStr">
        <is>
          <t>Cover</t>
        </is>
      </c>
      <c r="X1457" s="85" t="inlineStr">
        <is>
          <t>Notes</t>
        </is>
      </c>
      <c r="Y1457" s="85" t="inlineStr">
        <is>
          <t>Cover</t>
        </is>
      </c>
      <c r="Z1457" s="85" t="inlineStr">
        <is>
          <t>Notes</t>
        </is>
      </c>
      <c r="AB1457" s="86" t="inlineStr">
        <is>
          <t>weekdays short</t>
        </is>
      </c>
      <c r="AC1457" s="87" t="inlineStr"/>
    </row>
    <row r="1458" ht="17" customHeight="1">
      <c r="A1458" t="n">
        <v>30</v>
      </c>
      <c r="B1458" s="24">
        <f>IF(Setup!$K$6="","",Setup!$K$6)</f>
        <v/>
      </c>
      <c r="C1458" s="88" t="n"/>
      <c r="D1458" s="88" t="n"/>
      <c r="E1458" s="88" t="n"/>
      <c r="F1458" s="89" t="n"/>
      <c r="G1458" s="88" t="n"/>
      <c r="H1458" s="88" t="n"/>
      <c r="I1458" s="88" t="n"/>
      <c r="J1458" s="89" t="n"/>
      <c r="K1458" s="88" t="n"/>
      <c r="L1458" s="88" t="n"/>
      <c r="M1458" s="88" t="n"/>
      <c r="N1458" s="89" t="n"/>
      <c r="O1458" s="88" t="n"/>
      <c r="P1458" s="88" t="n"/>
      <c r="Q1458" s="88" t="n"/>
      <c r="R1458" s="89" t="n"/>
      <c r="S1458" s="88" t="n"/>
      <c r="T1458" s="88" t="n"/>
      <c r="U1458" s="88" t="n"/>
      <c r="V1458" s="89" t="n"/>
      <c r="W1458" s="88" t="n"/>
      <c r="X1458" s="89" t="n"/>
      <c r="Y1458" s="88" t="n"/>
      <c r="Z1458" s="89" t="n"/>
      <c r="AB1458" s="25">
        <f>IF($B1458="","",(COUNTIF(C1458:E1458,"?*")&lt;N(INDEX(Setup!$L$6:$L$23,1)))+(COUNTIF(G1458:I1458,"?*")&lt;N(INDEX(Setup!$L$6:$L$23,1)))+(COUNTIF(K1458:M1458,"?*")&lt;N(INDEX(Setup!$L$6:$L$23,1)))+(COUNTIF(O1458:Q1458,"?*")&lt;N(INDEX(Setup!$L$6:$L$23,1)))+(COUNTIF(S1458:U1458,"?*")&lt;N(INDEX(Setup!$L$6:$L$23,1)))+((W1458="")*(INDEX(Setup!$M$6:$M$23,1)="Y"))+((Y1458="")*(INDEX(Setup!$M$6:$M$23,1)="Y")))</f>
        <v/>
      </c>
      <c r="AC1458" s="90">
        <f>IF($B1458="","",IF(AB1458=0,"✓ covered","⚠ "&amp;AB1458&amp;IF(AB1458=1," gap"," gaps")))</f>
        <v/>
      </c>
    </row>
    <row r="1459" ht="17" customHeight="1">
      <c r="A1459" t="n">
        <v>30</v>
      </c>
      <c r="B1459" s="29">
        <f>IF(Setup!$K$7="","",Setup!$K$7)</f>
        <v/>
      </c>
      <c r="C1459" s="88" t="n"/>
      <c r="D1459" s="88" t="n"/>
      <c r="E1459" s="88" t="n"/>
      <c r="F1459" s="89" t="n"/>
      <c r="G1459" s="88" t="n"/>
      <c r="H1459" s="88" t="n"/>
      <c r="I1459" s="88" t="n"/>
      <c r="J1459" s="89" t="n"/>
      <c r="K1459" s="88" t="n"/>
      <c r="L1459" s="88" t="n"/>
      <c r="M1459" s="88" t="n"/>
      <c r="N1459" s="89" t="n"/>
      <c r="O1459" s="88" t="n"/>
      <c r="P1459" s="88" t="n"/>
      <c r="Q1459" s="88" t="n"/>
      <c r="R1459" s="89" t="n"/>
      <c r="S1459" s="88" t="n"/>
      <c r="T1459" s="88" t="n"/>
      <c r="U1459" s="88" t="n"/>
      <c r="V1459" s="89" t="n"/>
      <c r="W1459" s="88" t="n"/>
      <c r="X1459" s="89" t="n"/>
      <c r="Y1459" s="88" t="n"/>
      <c r="Z1459" s="89" t="n"/>
      <c r="AB1459" s="30">
        <f>IF($B1459="","",(COUNTIF(C1459:E1459,"?*")&lt;N(INDEX(Setup!$L$6:$L$23,2)))+(COUNTIF(G1459:I1459,"?*")&lt;N(INDEX(Setup!$L$6:$L$23,2)))+(COUNTIF(K1459:M1459,"?*")&lt;N(INDEX(Setup!$L$6:$L$23,2)))+(COUNTIF(O1459:Q1459,"?*")&lt;N(INDEX(Setup!$L$6:$L$23,2)))+(COUNTIF(S1459:U1459,"?*")&lt;N(INDEX(Setup!$L$6:$L$23,2)))+((W1459="")*(INDEX(Setup!$M$6:$M$23,2)="Y"))+((Y1459="")*(INDEX(Setup!$M$6:$M$23,2)="Y")))</f>
        <v/>
      </c>
      <c r="AC1459" s="91">
        <f>IF($B1459="","",IF(AB1459=0,"✓ covered","⚠ "&amp;AB1459&amp;IF(AB1459=1," gap"," gaps")))</f>
        <v/>
      </c>
    </row>
    <row r="1460" ht="17" customHeight="1">
      <c r="A1460" t="n">
        <v>30</v>
      </c>
      <c r="B1460" s="24">
        <f>IF(Setup!$K$8="","",Setup!$K$8)</f>
        <v/>
      </c>
      <c r="C1460" s="88" t="n"/>
      <c r="D1460" s="88" t="n"/>
      <c r="E1460" s="88" t="n"/>
      <c r="F1460" s="89" t="n"/>
      <c r="G1460" s="88" t="n"/>
      <c r="H1460" s="88" t="n"/>
      <c r="I1460" s="88" t="n"/>
      <c r="J1460" s="89" t="n"/>
      <c r="K1460" s="88" t="n"/>
      <c r="L1460" s="88" t="n"/>
      <c r="M1460" s="88" t="n"/>
      <c r="N1460" s="89" t="n"/>
      <c r="O1460" s="88" t="n"/>
      <c r="P1460" s="88" t="n"/>
      <c r="Q1460" s="88" t="n"/>
      <c r="R1460" s="89" t="n"/>
      <c r="S1460" s="88" t="n"/>
      <c r="T1460" s="88" t="n"/>
      <c r="U1460" s="88" t="n"/>
      <c r="V1460" s="89" t="n"/>
      <c r="W1460" s="88" t="n"/>
      <c r="X1460" s="89" t="n"/>
      <c r="Y1460" s="88" t="n"/>
      <c r="Z1460" s="89" t="n"/>
      <c r="AB1460" s="25">
        <f>IF($B1460="","",(COUNTIF(C1460:E1460,"?*")&lt;N(INDEX(Setup!$L$6:$L$23,3)))+(COUNTIF(G1460:I1460,"?*")&lt;N(INDEX(Setup!$L$6:$L$23,3)))+(COUNTIF(K1460:M1460,"?*")&lt;N(INDEX(Setup!$L$6:$L$23,3)))+(COUNTIF(O1460:Q1460,"?*")&lt;N(INDEX(Setup!$L$6:$L$23,3)))+(COUNTIF(S1460:U1460,"?*")&lt;N(INDEX(Setup!$L$6:$L$23,3)))+((W1460="")*(INDEX(Setup!$M$6:$M$23,3)="Y"))+((Y1460="")*(INDEX(Setup!$M$6:$M$23,3)="Y")))</f>
        <v/>
      </c>
      <c r="AC1460" s="90">
        <f>IF($B1460="","",IF(AB1460=0,"✓ covered","⚠ "&amp;AB1460&amp;IF(AB1460=1," gap"," gaps")))</f>
        <v/>
      </c>
    </row>
    <row r="1461" ht="17" customHeight="1">
      <c r="A1461" t="n">
        <v>30</v>
      </c>
      <c r="B1461" s="29">
        <f>IF(Setup!$K$9="","",Setup!$K$9)</f>
        <v/>
      </c>
      <c r="C1461" s="88" t="n"/>
      <c r="D1461" s="88" t="n"/>
      <c r="E1461" s="88" t="n"/>
      <c r="F1461" s="89" t="n"/>
      <c r="G1461" s="88" t="n"/>
      <c r="H1461" s="88" t="n"/>
      <c r="I1461" s="88" t="n"/>
      <c r="J1461" s="89" t="n"/>
      <c r="K1461" s="88" t="n"/>
      <c r="L1461" s="88" t="n"/>
      <c r="M1461" s="88" t="n"/>
      <c r="N1461" s="89" t="n"/>
      <c r="O1461" s="88" t="n"/>
      <c r="P1461" s="88" t="n"/>
      <c r="Q1461" s="88" t="n"/>
      <c r="R1461" s="89" t="n"/>
      <c r="S1461" s="88" t="n"/>
      <c r="T1461" s="88" t="n"/>
      <c r="U1461" s="88" t="n"/>
      <c r="V1461" s="89" t="n"/>
      <c r="W1461" s="88" t="n"/>
      <c r="X1461" s="89" t="n"/>
      <c r="Y1461" s="88" t="n"/>
      <c r="Z1461" s="89" t="n"/>
      <c r="AB1461" s="30">
        <f>IF($B1461="","",(COUNTIF(C1461:E1461,"?*")&lt;N(INDEX(Setup!$L$6:$L$23,4)))+(COUNTIF(G1461:I1461,"?*")&lt;N(INDEX(Setup!$L$6:$L$23,4)))+(COUNTIF(K1461:M1461,"?*")&lt;N(INDEX(Setup!$L$6:$L$23,4)))+(COUNTIF(O1461:Q1461,"?*")&lt;N(INDEX(Setup!$L$6:$L$23,4)))+(COUNTIF(S1461:U1461,"?*")&lt;N(INDEX(Setup!$L$6:$L$23,4)))+((W1461="")*(INDEX(Setup!$M$6:$M$23,4)="Y"))+((Y1461="")*(INDEX(Setup!$M$6:$M$23,4)="Y")))</f>
        <v/>
      </c>
      <c r="AC1461" s="91">
        <f>IF($B1461="","",IF(AB1461=0,"✓ covered","⚠ "&amp;AB1461&amp;IF(AB1461=1," gap"," gaps")))</f>
        <v/>
      </c>
    </row>
    <row r="1462" ht="17" customHeight="1">
      <c r="A1462" t="n">
        <v>30</v>
      </c>
      <c r="B1462" s="24">
        <f>IF(Setup!$K$10="","",Setup!$K$10)</f>
        <v/>
      </c>
      <c r="C1462" s="88" t="n"/>
      <c r="D1462" s="88" t="n"/>
      <c r="E1462" s="88" t="n"/>
      <c r="F1462" s="89" t="n"/>
      <c r="G1462" s="88" t="n"/>
      <c r="H1462" s="88" t="n"/>
      <c r="I1462" s="88" t="n"/>
      <c r="J1462" s="89" t="n"/>
      <c r="K1462" s="88" t="n"/>
      <c r="L1462" s="88" t="n"/>
      <c r="M1462" s="88" t="n"/>
      <c r="N1462" s="89" t="n"/>
      <c r="O1462" s="88" t="n"/>
      <c r="P1462" s="88" t="n"/>
      <c r="Q1462" s="88" t="n"/>
      <c r="R1462" s="89" t="n"/>
      <c r="S1462" s="88" t="n"/>
      <c r="T1462" s="88" t="n"/>
      <c r="U1462" s="88" t="n"/>
      <c r="V1462" s="89" t="n"/>
      <c r="W1462" s="88" t="n"/>
      <c r="X1462" s="89" t="n"/>
      <c r="Y1462" s="88" t="n"/>
      <c r="Z1462" s="89" t="n"/>
      <c r="AB1462" s="25">
        <f>IF($B1462="","",(COUNTIF(C1462:E1462,"?*")&lt;N(INDEX(Setup!$L$6:$L$23,5)))+(COUNTIF(G1462:I1462,"?*")&lt;N(INDEX(Setup!$L$6:$L$23,5)))+(COUNTIF(K1462:M1462,"?*")&lt;N(INDEX(Setup!$L$6:$L$23,5)))+(COUNTIF(O1462:Q1462,"?*")&lt;N(INDEX(Setup!$L$6:$L$23,5)))+(COUNTIF(S1462:U1462,"?*")&lt;N(INDEX(Setup!$L$6:$L$23,5)))+((W1462="")*(INDEX(Setup!$M$6:$M$23,5)="Y"))+((Y1462="")*(INDEX(Setup!$M$6:$M$23,5)="Y")))</f>
        <v/>
      </c>
      <c r="AC1462" s="90">
        <f>IF($B1462="","",IF(AB1462=0,"✓ covered","⚠ "&amp;AB1462&amp;IF(AB1462=1," gap"," gaps")))</f>
        <v/>
      </c>
    </row>
    <row r="1463" ht="17" customHeight="1">
      <c r="A1463" t="n">
        <v>30</v>
      </c>
      <c r="B1463" s="29">
        <f>IF(Setup!$K$11="","",Setup!$K$11)</f>
        <v/>
      </c>
      <c r="C1463" s="88" t="n"/>
      <c r="D1463" s="88" t="n"/>
      <c r="E1463" s="88" t="n"/>
      <c r="F1463" s="89" t="n"/>
      <c r="G1463" s="88" t="n"/>
      <c r="H1463" s="88" t="n"/>
      <c r="I1463" s="88" t="n"/>
      <c r="J1463" s="89" t="n"/>
      <c r="K1463" s="88" t="n"/>
      <c r="L1463" s="88" t="n"/>
      <c r="M1463" s="88" t="n"/>
      <c r="N1463" s="89" t="n"/>
      <c r="O1463" s="88" t="n"/>
      <c r="P1463" s="88" t="n"/>
      <c r="Q1463" s="88" t="n"/>
      <c r="R1463" s="89" t="n"/>
      <c r="S1463" s="88" t="n"/>
      <c r="T1463" s="88" t="n"/>
      <c r="U1463" s="88" t="n"/>
      <c r="V1463" s="89" t="n"/>
      <c r="W1463" s="88" t="n"/>
      <c r="X1463" s="89" t="n"/>
      <c r="Y1463" s="88" t="n"/>
      <c r="Z1463" s="89" t="n"/>
      <c r="AB1463" s="30">
        <f>IF($B1463="","",(COUNTIF(C1463:E1463,"?*")&lt;N(INDEX(Setup!$L$6:$L$23,6)))+(COUNTIF(G1463:I1463,"?*")&lt;N(INDEX(Setup!$L$6:$L$23,6)))+(COUNTIF(K1463:M1463,"?*")&lt;N(INDEX(Setup!$L$6:$L$23,6)))+(COUNTIF(O1463:Q1463,"?*")&lt;N(INDEX(Setup!$L$6:$L$23,6)))+(COUNTIF(S1463:U1463,"?*")&lt;N(INDEX(Setup!$L$6:$L$23,6)))+((W1463="")*(INDEX(Setup!$M$6:$M$23,6)="Y"))+((Y1463="")*(INDEX(Setup!$M$6:$M$23,6)="Y")))</f>
        <v/>
      </c>
      <c r="AC1463" s="91">
        <f>IF($B1463="","",IF(AB1463=0,"✓ covered","⚠ "&amp;AB1463&amp;IF(AB1463=1," gap"," gaps")))</f>
        <v/>
      </c>
    </row>
    <row r="1464" ht="17" customHeight="1">
      <c r="A1464" t="n">
        <v>30</v>
      </c>
      <c r="B1464" s="24">
        <f>IF(Setup!$K$12="","",Setup!$K$12)</f>
        <v/>
      </c>
      <c r="C1464" s="88" t="n"/>
      <c r="D1464" s="88" t="n"/>
      <c r="E1464" s="88" t="n"/>
      <c r="F1464" s="89" t="n"/>
      <c r="G1464" s="88" t="n"/>
      <c r="H1464" s="88" t="n"/>
      <c r="I1464" s="88" t="n"/>
      <c r="J1464" s="89" t="n"/>
      <c r="K1464" s="88" t="n"/>
      <c r="L1464" s="88" t="n"/>
      <c r="M1464" s="88" t="n"/>
      <c r="N1464" s="89" t="n"/>
      <c r="O1464" s="88" t="n"/>
      <c r="P1464" s="88" t="n"/>
      <c r="Q1464" s="88" t="n"/>
      <c r="R1464" s="89" t="n"/>
      <c r="S1464" s="88" t="n"/>
      <c r="T1464" s="88" t="n"/>
      <c r="U1464" s="88" t="n"/>
      <c r="V1464" s="89" t="n"/>
      <c r="W1464" s="88" t="n"/>
      <c r="X1464" s="89" t="n"/>
      <c r="Y1464" s="88" t="n"/>
      <c r="Z1464" s="89" t="n"/>
      <c r="AB1464" s="25">
        <f>IF($B1464="","",(COUNTIF(C1464:E1464,"?*")&lt;N(INDEX(Setup!$L$6:$L$23,7)))+(COUNTIF(G1464:I1464,"?*")&lt;N(INDEX(Setup!$L$6:$L$23,7)))+(COUNTIF(K1464:M1464,"?*")&lt;N(INDEX(Setup!$L$6:$L$23,7)))+(COUNTIF(O1464:Q1464,"?*")&lt;N(INDEX(Setup!$L$6:$L$23,7)))+(COUNTIF(S1464:U1464,"?*")&lt;N(INDEX(Setup!$L$6:$L$23,7)))+((W1464="")*(INDEX(Setup!$M$6:$M$23,7)="Y"))+((Y1464="")*(INDEX(Setup!$M$6:$M$23,7)="Y")))</f>
        <v/>
      </c>
      <c r="AC1464" s="90">
        <f>IF($B1464="","",IF(AB1464=0,"✓ covered","⚠ "&amp;AB1464&amp;IF(AB1464=1," gap"," gaps")))</f>
        <v/>
      </c>
    </row>
    <row r="1465" ht="17" customHeight="1">
      <c r="A1465" t="n">
        <v>30</v>
      </c>
      <c r="B1465" s="29">
        <f>IF(Setup!$K$13="","",Setup!$K$13)</f>
        <v/>
      </c>
      <c r="C1465" s="88" t="n"/>
      <c r="D1465" s="88" t="n"/>
      <c r="E1465" s="88" t="n"/>
      <c r="F1465" s="89" t="n"/>
      <c r="G1465" s="88" t="n"/>
      <c r="H1465" s="88" t="n"/>
      <c r="I1465" s="88" t="n"/>
      <c r="J1465" s="89" t="n"/>
      <c r="K1465" s="88" t="n"/>
      <c r="L1465" s="88" t="n"/>
      <c r="M1465" s="88" t="n"/>
      <c r="N1465" s="89" t="n"/>
      <c r="O1465" s="88" t="n"/>
      <c r="P1465" s="88" t="n"/>
      <c r="Q1465" s="88" t="n"/>
      <c r="R1465" s="89" t="n"/>
      <c r="S1465" s="88" t="n"/>
      <c r="T1465" s="88" t="n"/>
      <c r="U1465" s="88" t="n"/>
      <c r="V1465" s="89" t="n"/>
      <c r="W1465" s="88" t="n"/>
      <c r="X1465" s="89" t="n"/>
      <c r="Y1465" s="88" t="n"/>
      <c r="Z1465" s="89" t="n"/>
      <c r="AB1465" s="30">
        <f>IF($B1465="","",(COUNTIF(C1465:E1465,"?*")&lt;N(INDEX(Setup!$L$6:$L$23,8)))+(COUNTIF(G1465:I1465,"?*")&lt;N(INDEX(Setup!$L$6:$L$23,8)))+(COUNTIF(K1465:M1465,"?*")&lt;N(INDEX(Setup!$L$6:$L$23,8)))+(COUNTIF(O1465:Q1465,"?*")&lt;N(INDEX(Setup!$L$6:$L$23,8)))+(COUNTIF(S1465:U1465,"?*")&lt;N(INDEX(Setup!$L$6:$L$23,8)))+((W1465="")*(INDEX(Setup!$M$6:$M$23,8)="Y"))+((Y1465="")*(INDEX(Setup!$M$6:$M$23,8)="Y")))</f>
        <v/>
      </c>
      <c r="AC1465" s="91">
        <f>IF($B1465="","",IF(AB1465=0,"✓ covered","⚠ "&amp;AB1465&amp;IF(AB1465=1," gap"," gaps")))</f>
        <v/>
      </c>
    </row>
    <row r="1466" ht="17" customHeight="1">
      <c r="A1466" t="n">
        <v>30</v>
      </c>
      <c r="B1466" s="24">
        <f>IF(Setup!$K$14="","",Setup!$K$14)</f>
        <v/>
      </c>
      <c r="C1466" s="88" t="n"/>
      <c r="D1466" s="88" t="n"/>
      <c r="E1466" s="88" t="n"/>
      <c r="F1466" s="89" t="n"/>
      <c r="G1466" s="88" t="n"/>
      <c r="H1466" s="88" t="n"/>
      <c r="I1466" s="88" t="n"/>
      <c r="J1466" s="89" t="n"/>
      <c r="K1466" s="88" t="n"/>
      <c r="L1466" s="88" t="n"/>
      <c r="M1466" s="88" t="n"/>
      <c r="N1466" s="89" t="n"/>
      <c r="O1466" s="88" t="n"/>
      <c r="P1466" s="88" t="n"/>
      <c r="Q1466" s="88" t="n"/>
      <c r="R1466" s="89" t="n"/>
      <c r="S1466" s="88" t="n"/>
      <c r="T1466" s="88" t="n"/>
      <c r="U1466" s="88" t="n"/>
      <c r="V1466" s="89" t="n"/>
      <c r="W1466" s="88" t="n"/>
      <c r="X1466" s="89" t="n"/>
      <c r="Y1466" s="88" t="n"/>
      <c r="Z1466" s="89" t="n"/>
      <c r="AB1466" s="25">
        <f>IF($B1466="","",(COUNTIF(C1466:E1466,"?*")&lt;N(INDEX(Setup!$L$6:$L$23,9)))+(COUNTIF(G1466:I1466,"?*")&lt;N(INDEX(Setup!$L$6:$L$23,9)))+(COUNTIF(K1466:M1466,"?*")&lt;N(INDEX(Setup!$L$6:$L$23,9)))+(COUNTIF(O1466:Q1466,"?*")&lt;N(INDEX(Setup!$L$6:$L$23,9)))+(COUNTIF(S1466:U1466,"?*")&lt;N(INDEX(Setup!$L$6:$L$23,9)))+((W1466="")*(INDEX(Setup!$M$6:$M$23,9)="Y"))+((Y1466="")*(INDEX(Setup!$M$6:$M$23,9)="Y")))</f>
        <v/>
      </c>
      <c r="AC1466" s="90">
        <f>IF($B1466="","",IF(AB1466=0,"✓ covered","⚠ "&amp;AB1466&amp;IF(AB1466=1," gap"," gaps")))</f>
        <v/>
      </c>
    </row>
    <row r="1467" ht="17" customHeight="1">
      <c r="A1467" t="n">
        <v>30</v>
      </c>
      <c r="B1467" s="29">
        <f>IF(Setup!$K$15="","",Setup!$K$15)</f>
        <v/>
      </c>
      <c r="C1467" s="88" t="n"/>
      <c r="D1467" s="88" t="n"/>
      <c r="E1467" s="88" t="n"/>
      <c r="F1467" s="89" t="n"/>
      <c r="G1467" s="88" t="n"/>
      <c r="H1467" s="88" t="n"/>
      <c r="I1467" s="88" t="n"/>
      <c r="J1467" s="89" t="n"/>
      <c r="K1467" s="88" t="n"/>
      <c r="L1467" s="88" t="n"/>
      <c r="M1467" s="88" t="n"/>
      <c r="N1467" s="89" t="n"/>
      <c r="O1467" s="88" t="n"/>
      <c r="P1467" s="88" t="n"/>
      <c r="Q1467" s="88" t="n"/>
      <c r="R1467" s="89" t="n"/>
      <c r="S1467" s="88" t="n"/>
      <c r="T1467" s="88" t="n"/>
      <c r="U1467" s="88" t="n"/>
      <c r="V1467" s="89" t="n"/>
      <c r="W1467" s="88" t="n"/>
      <c r="X1467" s="89" t="n"/>
      <c r="Y1467" s="88" t="n"/>
      <c r="Z1467" s="89" t="n"/>
      <c r="AB1467" s="30">
        <f>IF($B1467="","",(COUNTIF(C1467:E1467,"?*")&lt;N(INDEX(Setup!$L$6:$L$23,10)))+(COUNTIF(G1467:I1467,"?*")&lt;N(INDEX(Setup!$L$6:$L$23,10)))+(COUNTIF(K1467:M1467,"?*")&lt;N(INDEX(Setup!$L$6:$L$23,10)))+(COUNTIF(O1467:Q1467,"?*")&lt;N(INDEX(Setup!$L$6:$L$23,10)))+(COUNTIF(S1467:U1467,"?*")&lt;N(INDEX(Setup!$L$6:$L$23,10)))+((W1467="")*(INDEX(Setup!$M$6:$M$23,10)="Y"))+((Y1467="")*(INDEX(Setup!$M$6:$M$23,10)="Y")))</f>
        <v/>
      </c>
      <c r="AC1467" s="91">
        <f>IF($B1467="","",IF(AB1467=0,"✓ covered","⚠ "&amp;AB1467&amp;IF(AB1467=1," gap"," gaps")))</f>
        <v/>
      </c>
    </row>
    <row r="1468" ht="17" customHeight="1">
      <c r="A1468" t="n">
        <v>30</v>
      </c>
      <c r="B1468" s="24">
        <f>IF(Setup!$K$16="","",Setup!$K$16)</f>
        <v/>
      </c>
      <c r="C1468" s="88" t="n"/>
      <c r="D1468" s="88" t="n"/>
      <c r="E1468" s="88" t="n"/>
      <c r="F1468" s="89" t="n"/>
      <c r="G1468" s="88" t="n"/>
      <c r="H1468" s="88" t="n"/>
      <c r="I1468" s="88" t="n"/>
      <c r="J1468" s="89" t="n"/>
      <c r="K1468" s="88" t="n"/>
      <c r="L1468" s="88" t="n"/>
      <c r="M1468" s="88" t="n"/>
      <c r="N1468" s="89" t="n"/>
      <c r="O1468" s="88" t="n"/>
      <c r="P1468" s="88" t="n"/>
      <c r="Q1468" s="88" t="n"/>
      <c r="R1468" s="89" t="n"/>
      <c r="S1468" s="88" t="n"/>
      <c r="T1468" s="88" t="n"/>
      <c r="U1468" s="88" t="n"/>
      <c r="V1468" s="89" t="n"/>
      <c r="W1468" s="88" t="n"/>
      <c r="X1468" s="89" t="n"/>
      <c r="Y1468" s="88" t="n"/>
      <c r="Z1468" s="89" t="n"/>
      <c r="AB1468" s="25">
        <f>IF($B1468="","",(COUNTIF(C1468:E1468,"?*")&lt;N(INDEX(Setup!$L$6:$L$23,11)))+(COUNTIF(G1468:I1468,"?*")&lt;N(INDEX(Setup!$L$6:$L$23,11)))+(COUNTIF(K1468:M1468,"?*")&lt;N(INDEX(Setup!$L$6:$L$23,11)))+(COUNTIF(O1468:Q1468,"?*")&lt;N(INDEX(Setup!$L$6:$L$23,11)))+(COUNTIF(S1468:U1468,"?*")&lt;N(INDEX(Setup!$L$6:$L$23,11)))+((W1468="")*(INDEX(Setup!$M$6:$M$23,11)="Y"))+((Y1468="")*(INDEX(Setup!$M$6:$M$23,11)="Y")))</f>
        <v/>
      </c>
      <c r="AC1468" s="90">
        <f>IF($B1468="","",IF(AB1468=0,"✓ covered","⚠ "&amp;AB1468&amp;IF(AB1468=1," gap"," gaps")))</f>
        <v/>
      </c>
    </row>
    <row r="1469" ht="17" customHeight="1">
      <c r="A1469" t="n">
        <v>30</v>
      </c>
      <c r="B1469" s="29">
        <f>IF(Setup!$K$17="","",Setup!$K$17)</f>
        <v/>
      </c>
      <c r="C1469" s="88" t="n"/>
      <c r="D1469" s="88" t="n"/>
      <c r="E1469" s="88" t="n"/>
      <c r="F1469" s="89" t="n"/>
      <c r="G1469" s="88" t="n"/>
      <c r="H1469" s="88" t="n"/>
      <c r="I1469" s="88" t="n"/>
      <c r="J1469" s="89" t="n"/>
      <c r="K1469" s="88" t="n"/>
      <c r="L1469" s="88" t="n"/>
      <c r="M1469" s="88" t="n"/>
      <c r="N1469" s="89" t="n"/>
      <c r="O1469" s="88" t="n"/>
      <c r="P1469" s="88" t="n"/>
      <c r="Q1469" s="88" t="n"/>
      <c r="R1469" s="89" t="n"/>
      <c r="S1469" s="88" t="n"/>
      <c r="T1469" s="88" t="n"/>
      <c r="U1469" s="88" t="n"/>
      <c r="V1469" s="89" t="n"/>
      <c r="W1469" s="88" t="n"/>
      <c r="X1469" s="89" t="n"/>
      <c r="Y1469" s="88" t="n"/>
      <c r="Z1469" s="89" t="n"/>
      <c r="AB1469" s="30">
        <f>IF($B1469="","",(COUNTIF(C1469:E1469,"?*")&lt;N(INDEX(Setup!$L$6:$L$23,12)))+(COUNTIF(G1469:I1469,"?*")&lt;N(INDEX(Setup!$L$6:$L$23,12)))+(COUNTIF(K1469:M1469,"?*")&lt;N(INDEX(Setup!$L$6:$L$23,12)))+(COUNTIF(O1469:Q1469,"?*")&lt;N(INDEX(Setup!$L$6:$L$23,12)))+(COUNTIF(S1469:U1469,"?*")&lt;N(INDEX(Setup!$L$6:$L$23,12)))+((W1469="")*(INDEX(Setup!$M$6:$M$23,12)="Y"))+((Y1469="")*(INDEX(Setup!$M$6:$M$23,12)="Y")))</f>
        <v/>
      </c>
      <c r="AC1469" s="91">
        <f>IF($B1469="","",IF(AB1469=0,"✓ covered","⚠ "&amp;AB1469&amp;IF(AB1469=1," gap"," gaps")))</f>
        <v/>
      </c>
    </row>
    <row r="1470" ht="17" customHeight="1">
      <c r="A1470" t="n">
        <v>30</v>
      </c>
      <c r="B1470" s="24">
        <f>IF(Setup!$K$18="","",Setup!$K$18)</f>
        <v/>
      </c>
      <c r="C1470" s="88" t="n"/>
      <c r="D1470" s="88" t="n"/>
      <c r="E1470" s="88" t="n"/>
      <c r="F1470" s="89" t="n"/>
      <c r="G1470" s="88" t="n"/>
      <c r="H1470" s="88" t="n"/>
      <c r="I1470" s="88" t="n"/>
      <c r="J1470" s="89" t="n"/>
      <c r="K1470" s="88" t="n"/>
      <c r="L1470" s="88" t="n"/>
      <c r="M1470" s="88" t="n"/>
      <c r="N1470" s="89" t="n"/>
      <c r="O1470" s="88" t="n"/>
      <c r="P1470" s="88" t="n"/>
      <c r="Q1470" s="88" t="n"/>
      <c r="R1470" s="89" t="n"/>
      <c r="S1470" s="88" t="n"/>
      <c r="T1470" s="88" t="n"/>
      <c r="U1470" s="88" t="n"/>
      <c r="V1470" s="89" t="n"/>
      <c r="W1470" s="88" t="n"/>
      <c r="X1470" s="89" t="n"/>
      <c r="Y1470" s="88" t="n"/>
      <c r="Z1470" s="89" t="n"/>
      <c r="AB1470" s="25">
        <f>IF($B1470="","",(COUNTIF(C1470:E1470,"?*")&lt;N(INDEX(Setup!$L$6:$L$23,13)))+(COUNTIF(G1470:I1470,"?*")&lt;N(INDEX(Setup!$L$6:$L$23,13)))+(COUNTIF(K1470:M1470,"?*")&lt;N(INDEX(Setup!$L$6:$L$23,13)))+(COUNTIF(O1470:Q1470,"?*")&lt;N(INDEX(Setup!$L$6:$L$23,13)))+(COUNTIF(S1470:U1470,"?*")&lt;N(INDEX(Setup!$L$6:$L$23,13)))+((W1470="")*(INDEX(Setup!$M$6:$M$23,13)="Y"))+((Y1470="")*(INDEX(Setup!$M$6:$M$23,13)="Y")))</f>
        <v/>
      </c>
      <c r="AC1470" s="90">
        <f>IF($B1470="","",IF(AB1470=0,"✓ covered","⚠ "&amp;AB1470&amp;IF(AB1470=1," gap"," gaps")))</f>
        <v/>
      </c>
    </row>
    <row r="1471" ht="17" customHeight="1">
      <c r="A1471" t="n">
        <v>30</v>
      </c>
      <c r="B1471" s="29">
        <f>IF(Setup!$K$19="","",Setup!$K$19)</f>
        <v/>
      </c>
      <c r="C1471" s="88" t="n"/>
      <c r="D1471" s="88" t="n"/>
      <c r="E1471" s="88" t="n"/>
      <c r="F1471" s="89" t="n"/>
      <c r="G1471" s="88" t="n"/>
      <c r="H1471" s="88" t="n"/>
      <c r="I1471" s="88" t="n"/>
      <c r="J1471" s="89" t="n"/>
      <c r="K1471" s="88" t="n"/>
      <c r="L1471" s="88" t="n"/>
      <c r="M1471" s="88" t="n"/>
      <c r="N1471" s="89" t="n"/>
      <c r="O1471" s="88" t="n"/>
      <c r="P1471" s="88" t="n"/>
      <c r="Q1471" s="88" t="n"/>
      <c r="R1471" s="89" t="n"/>
      <c r="S1471" s="88" t="n"/>
      <c r="T1471" s="88" t="n"/>
      <c r="U1471" s="88" t="n"/>
      <c r="V1471" s="89" t="n"/>
      <c r="W1471" s="88" t="n"/>
      <c r="X1471" s="89" t="n"/>
      <c r="Y1471" s="88" t="n"/>
      <c r="Z1471" s="89" t="n"/>
      <c r="AB1471" s="30">
        <f>IF($B1471="","",(COUNTIF(C1471:E1471,"?*")&lt;N(INDEX(Setup!$L$6:$L$23,14)))+(COUNTIF(G1471:I1471,"?*")&lt;N(INDEX(Setup!$L$6:$L$23,14)))+(COUNTIF(K1471:M1471,"?*")&lt;N(INDEX(Setup!$L$6:$L$23,14)))+(COUNTIF(O1471:Q1471,"?*")&lt;N(INDEX(Setup!$L$6:$L$23,14)))+(COUNTIF(S1471:U1471,"?*")&lt;N(INDEX(Setup!$L$6:$L$23,14)))+((W1471="")*(INDEX(Setup!$M$6:$M$23,14)="Y"))+((Y1471="")*(INDEX(Setup!$M$6:$M$23,14)="Y")))</f>
        <v/>
      </c>
      <c r="AC1471" s="91">
        <f>IF($B1471="","",IF(AB1471=0,"✓ covered","⚠ "&amp;AB1471&amp;IF(AB1471=1," gap"," gaps")))</f>
        <v/>
      </c>
    </row>
    <row r="1472" ht="17" customHeight="1">
      <c r="A1472" t="n">
        <v>30</v>
      </c>
      <c r="B1472" s="24">
        <f>IF(Setup!$K$20="","",Setup!$K$20)</f>
        <v/>
      </c>
      <c r="C1472" s="88" t="n"/>
      <c r="D1472" s="88" t="n"/>
      <c r="E1472" s="88" t="n"/>
      <c r="F1472" s="89" t="n"/>
      <c r="G1472" s="88" t="n"/>
      <c r="H1472" s="88" t="n"/>
      <c r="I1472" s="88" t="n"/>
      <c r="J1472" s="89" t="n"/>
      <c r="K1472" s="88" t="n"/>
      <c r="L1472" s="88" t="n"/>
      <c r="M1472" s="88" t="n"/>
      <c r="N1472" s="89" t="n"/>
      <c r="O1472" s="88" t="n"/>
      <c r="P1472" s="88" t="n"/>
      <c r="Q1472" s="88" t="n"/>
      <c r="R1472" s="89" t="n"/>
      <c r="S1472" s="88" t="n"/>
      <c r="T1472" s="88" t="n"/>
      <c r="U1472" s="88" t="n"/>
      <c r="V1472" s="89" t="n"/>
      <c r="W1472" s="88" t="n"/>
      <c r="X1472" s="89" t="n"/>
      <c r="Y1472" s="88" t="n"/>
      <c r="Z1472" s="89" t="n"/>
      <c r="AB1472" s="25">
        <f>IF($B1472="","",(COUNTIF(C1472:E1472,"?*")&lt;N(INDEX(Setup!$L$6:$L$23,15)))+(COUNTIF(G1472:I1472,"?*")&lt;N(INDEX(Setup!$L$6:$L$23,15)))+(COUNTIF(K1472:M1472,"?*")&lt;N(INDEX(Setup!$L$6:$L$23,15)))+(COUNTIF(O1472:Q1472,"?*")&lt;N(INDEX(Setup!$L$6:$L$23,15)))+(COUNTIF(S1472:U1472,"?*")&lt;N(INDEX(Setup!$L$6:$L$23,15)))+((W1472="")*(INDEX(Setup!$M$6:$M$23,15)="Y"))+((Y1472="")*(INDEX(Setup!$M$6:$M$23,15)="Y")))</f>
        <v/>
      </c>
      <c r="AC1472" s="90">
        <f>IF($B1472="","",IF(AB1472=0,"✓ covered","⚠ "&amp;AB1472&amp;IF(AB1472=1," gap"," gaps")))</f>
        <v/>
      </c>
    </row>
    <row r="1473" ht="17" customHeight="1">
      <c r="A1473" t="n">
        <v>30</v>
      </c>
      <c r="B1473" s="29">
        <f>IF(Setup!$K$21="","",Setup!$K$21)</f>
        <v/>
      </c>
      <c r="C1473" s="88" t="n"/>
      <c r="D1473" s="88" t="n"/>
      <c r="E1473" s="88" t="n"/>
      <c r="F1473" s="89" t="n"/>
      <c r="G1473" s="88" t="n"/>
      <c r="H1473" s="88" t="n"/>
      <c r="I1473" s="88" t="n"/>
      <c r="J1473" s="89" t="n"/>
      <c r="K1473" s="88" t="n"/>
      <c r="L1473" s="88" t="n"/>
      <c r="M1473" s="88" t="n"/>
      <c r="N1473" s="89" t="n"/>
      <c r="O1473" s="88" t="n"/>
      <c r="P1473" s="88" t="n"/>
      <c r="Q1473" s="88" t="n"/>
      <c r="R1473" s="89" t="n"/>
      <c r="S1473" s="88" t="n"/>
      <c r="T1473" s="88" t="n"/>
      <c r="U1473" s="88" t="n"/>
      <c r="V1473" s="89" t="n"/>
      <c r="W1473" s="88" t="n"/>
      <c r="X1473" s="89" t="n"/>
      <c r="Y1473" s="88" t="n"/>
      <c r="Z1473" s="89" t="n"/>
      <c r="AB1473" s="30">
        <f>IF($B1473="","",(COUNTIF(C1473:E1473,"?*")&lt;N(INDEX(Setup!$L$6:$L$23,16)))+(COUNTIF(G1473:I1473,"?*")&lt;N(INDEX(Setup!$L$6:$L$23,16)))+(COUNTIF(K1473:M1473,"?*")&lt;N(INDEX(Setup!$L$6:$L$23,16)))+(COUNTIF(O1473:Q1473,"?*")&lt;N(INDEX(Setup!$L$6:$L$23,16)))+(COUNTIF(S1473:U1473,"?*")&lt;N(INDEX(Setup!$L$6:$L$23,16)))+((W1473="")*(INDEX(Setup!$M$6:$M$23,16)="Y"))+((Y1473="")*(INDEX(Setup!$M$6:$M$23,16)="Y")))</f>
        <v/>
      </c>
      <c r="AC1473" s="91">
        <f>IF($B1473="","",IF(AB1473=0,"✓ covered","⚠ "&amp;AB1473&amp;IF(AB1473=1," gap"," gaps")))</f>
        <v/>
      </c>
    </row>
    <row r="1474" ht="17" customHeight="1">
      <c r="A1474" t="n">
        <v>30</v>
      </c>
      <c r="B1474" s="24">
        <f>IF(Setup!$K$22="","",Setup!$K$22)</f>
        <v/>
      </c>
      <c r="C1474" s="88" t="n"/>
      <c r="D1474" s="88" t="n"/>
      <c r="E1474" s="88" t="n"/>
      <c r="F1474" s="89" t="n"/>
      <c r="G1474" s="88" t="n"/>
      <c r="H1474" s="88" t="n"/>
      <c r="I1474" s="88" t="n"/>
      <c r="J1474" s="89" t="n"/>
      <c r="K1474" s="88" t="n"/>
      <c r="L1474" s="88" t="n"/>
      <c r="M1474" s="88" t="n"/>
      <c r="N1474" s="89" t="n"/>
      <c r="O1474" s="88" t="n"/>
      <c r="P1474" s="88" t="n"/>
      <c r="Q1474" s="88" t="n"/>
      <c r="R1474" s="89" t="n"/>
      <c r="S1474" s="88" t="n"/>
      <c r="T1474" s="88" t="n"/>
      <c r="U1474" s="88" t="n"/>
      <c r="V1474" s="89" t="n"/>
      <c r="W1474" s="88" t="n"/>
      <c r="X1474" s="89" t="n"/>
      <c r="Y1474" s="88" t="n"/>
      <c r="Z1474" s="89" t="n"/>
      <c r="AB1474" s="25">
        <f>IF($B1474="","",(COUNTIF(C1474:E1474,"?*")&lt;N(INDEX(Setup!$L$6:$L$23,17)))+(COUNTIF(G1474:I1474,"?*")&lt;N(INDEX(Setup!$L$6:$L$23,17)))+(COUNTIF(K1474:M1474,"?*")&lt;N(INDEX(Setup!$L$6:$L$23,17)))+(COUNTIF(O1474:Q1474,"?*")&lt;N(INDEX(Setup!$L$6:$L$23,17)))+(COUNTIF(S1474:U1474,"?*")&lt;N(INDEX(Setup!$L$6:$L$23,17)))+((W1474="")*(INDEX(Setup!$M$6:$M$23,17)="Y"))+((Y1474="")*(INDEX(Setup!$M$6:$M$23,17)="Y")))</f>
        <v/>
      </c>
      <c r="AC1474" s="90">
        <f>IF($B1474="","",IF(AB1474=0,"✓ covered","⚠ "&amp;AB1474&amp;IF(AB1474=1," gap"," gaps")))</f>
        <v/>
      </c>
    </row>
    <row r="1475" ht="17" customHeight="1">
      <c r="A1475" t="n">
        <v>30</v>
      </c>
      <c r="B1475" s="29">
        <f>IF(Setup!$K$23="","",Setup!$K$23)</f>
        <v/>
      </c>
      <c r="C1475" s="88" t="n"/>
      <c r="D1475" s="88" t="n"/>
      <c r="E1475" s="88" t="n"/>
      <c r="F1475" s="89" t="n"/>
      <c r="G1475" s="88" t="n"/>
      <c r="H1475" s="88" t="n"/>
      <c r="I1475" s="88" t="n"/>
      <c r="J1475" s="89" t="n"/>
      <c r="K1475" s="88" t="n"/>
      <c r="L1475" s="88" t="n"/>
      <c r="M1475" s="88" t="n"/>
      <c r="N1475" s="89" t="n"/>
      <c r="O1475" s="88" t="n"/>
      <c r="P1475" s="88" t="n"/>
      <c r="Q1475" s="88" t="n"/>
      <c r="R1475" s="89" t="n"/>
      <c r="S1475" s="88" t="n"/>
      <c r="T1475" s="88" t="n"/>
      <c r="U1475" s="88" t="n"/>
      <c r="V1475" s="89" t="n"/>
      <c r="W1475" s="88" t="n"/>
      <c r="X1475" s="89" t="n"/>
      <c r="Y1475" s="88" t="n"/>
      <c r="Z1475" s="89" t="n"/>
      <c r="AB1475" s="30">
        <f>IF($B1475="","",(COUNTIF(C1475:E1475,"?*")&lt;N(INDEX(Setup!$L$6:$L$23,18)))+(COUNTIF(G1475:I1475,"?*")&lt;N(INDEX(Setup!$L$6:$L$23,18)))+(COUNTIF(K1475:M1475,"?*")&lt;N(INDEX(Setup!$L$6:$L$23,18)))+(COUNTIF(O1475:Q1475,"?*")&lt;N(INDEX(Setup!$L$6:$L$23,18)))+(COUNTIF(S1475:U1475,"?*")&lt;N(INDEX(Setup!$L$6:$L$23,18)))+((W1475="")*(INDEX(Setup!$M$6:$M$23,18)="Y"))+((Y1475="")*(INDEX(Setup!$M$6:$M$23,18)="Y")))</f>
        <v/>
      </c>
      <c r="AC1475" s="91">
        <f>IF($B1475="","",IF(AB1475=0,"✓ covered","⚠ "&amp;AB1475&amp;IF(AB1475=1," gap"," gaps")))</f>
        <v/>
      </c>
    </row>
    <row r="1476" ht="18" customHeight="1">
      <c r="A1476" t="n">
        <v>30</v>
      </c>
      <c r="B1476" s="78" t="inlineStr">
        <is>
          <t>TEAM AVAILABILITY</t>
        </is>
      </c>
      <c r="C1476" s="92" t="inlineStr">
        <is>
          <t>Mon</t>
        </is>
      </c>
      <c r="D1476" s="93" t="n"/>
      <c r="E1476" s="93" t="n"/>
      <c r="F1476" s="94" t="n"/>
      <c r="G1476" s="92" t="inlineStr">
        <is>
          <t>Tue</t>
        </is>
      </c>
      <c r="H1476" s="93" t="n"/>
      <c r="I1476" s="93" t="n"/>
      <c r="J1476" s="94" t="n"/>
      <c r="K1476" s="92" t="inlineStr">
        <is>
          <t>Wed</t>
        </is>
      </c>
      <c r="L1476" s="93" t="n"/>
      <c r="M1476" s="93" t="n"/>
      <c r="N1476" s="94" t="n"/>
      <c r="O1476" s="92" t="inlineStr">
        <is>
          <t>Thu</t>
        </is>
      </c>
      <c r="P1476" s="93" t="n"/>
      <c r="Q1476" s="93" t="n"/>
      <c r="R1476" s="94" t="n"/>
      <c r="S1476" s="92" t="inlineStr">
        <is>
          <t>Fri</t>
        </is>
      </c>
      <c r="T1476" s="93" t="n"/>
      <c r="U1476" s="93" t="n"/>
      <c r="V1476" s="94" t="n"/>
      <c r="W1476" s="95" t="inlineStr">
        <is>
          <t>Sat</t>
        </is>
      </c>
      <c r="X1476" s="96" t="n"/>
      <c r="Y1476" s="95" t="inlineStr">
        <is>
          <t>Sun</t>
        </is>
      </c>
      <c r="Z1476" s="96" t="n"/>
      <c r="AB1476" s="97" t="inlineStr">
        <is>
          <t>Days rostered</t>
        </is>
      </c>
      <c r="AC1476" s="97" t="inlineStr">
        <is>
          <t>Conflicts</t>
        </is>
      </c>
    </row>
    <row r="1477" ht="15" customHeight="1">
      <c r="A1477" t="n">
        <v>30</v>
      </c>
      <c r="B1477" s="35">
        <f>IF(Setup!$B$6="","",Setup!$B$6)</f>
        <v/>
      </c>
      <c r="C1477" s="98" t="n"/>
      <c r="D1477" s="99" t="n"/>
      <c r="E1477" s="99" t="n"/>
      <c r="F1477" s="100" t="n"/>
      <c r="G1477" s="98" t="n"/>
      <c r="H1477" s="99" t="n"/>
      <c r="I1477" s="99" t="n"/>
      <c r="J1477" s="100" t="n"/>
      <c r="K1477" s="98" t="n"/>
      <c r="L1477" s="99" t="n"/>
      <c r="M1477" s="99" t="n"/>
      <c r="N1477" s="100" t="n"/>
      <c r="O1477" s="98" t="n"/>
      <c r="P1477" s="99" t="n"/>
      <c r="Q1477" s="99" t="n"/>
      <c r="R1477" s="100" t="n"/>
      <c r="S1477" s="98" t="n"/>
      <c r="T1477" s="99" t="n"/>
      <c r="U1477" s="99" t="n"/>
      <c r="V1477" s="100" t="n"/>
      <c r="W1477" s="98" t="n"/>
      <c r="X1477" s="100" t="n"/>
      <c r="Y1477" s="98" t="n"/>
      <c r="Z1477" s="100" t="n"/>
      <c r="AB1477" s="101">
        <f>IF($B1477="","",(COUNTIF(C1458:E1475,$B1477)+COUNTIF(C1458:E1475,$B1477&amp;" ~*")&gt;0)+(COUNTIF(G1458:I1475,$B1477)+COUNTIF(G1458:I1475,$B1477&amp;" ~*")&gt;0)+(COUNTIF(K1458:M1475,$B1477)+COUNTIF(K1458:M1475,$B1477&amp;" ~*")&gt;0)+(COUNTIF(O1458:Q1475,$B1477)+COUNTIF(O1458:Q1475,$B1477&amp;" ~*")&gt;0)+(COUNTIF(S1458:U1475,$B1477)+COUNTIF(S1458:U1475,$B1477&amp;" ~*")&gt;0)+(COUNTIF(W1458:W1475,$B1477)+COUNTIF(W1458:W1475,$B1477&amp;" ~*")&gt;0)+(COUNTIF(Y1458:Y1475,$B1477)+COUNTIF(Y1458:Y1475,$B1477&amp;" ~*")&gt;0))</f>
        <v/>
      </c>
      <c r="AC1477" s="36">
        <f>IF($B1477="","",(IFERROR(INDEX(Setup!$G$33:$G$40,MATCH(C1477,Setup!$B$33:$B$40,0)),0)=1)*(COUNTIF(C1458:E1475,$B1477)+COUNTIF(C1458:E1475,$B1477&amp;" ~*")&gt;0)+(IFERROR(INDEX(Setup!$G$33:$G$40,MATCH(G1477,Setup!$B$33:$B$40,0)),0)=1)*(COUNTIF(G1458:I1475,$B1477)+COUNTIF(G1458:I1475,$B1477&amp;" ~*")&gt;0)+(IFERROR(INDEX(Setup!$G$33:$G$40,MATCH(K1477,Setup!$B$33:$B$40,0)),0)=1)*(COUNTIF(K1458:M1475,$B1477)+COUNTIF(K1458:M1475,$B1477&amp;" ~*")&gt;0)+(IFERROR(INDEX(Setup!$G$33:$G$40,MATCH(O1477,Setup!$B$33:$B$40,0)),0)=1)*(COUNTIF(O1458:Q1475,$B1477)+COUNTIF(O1458:Q1475,$B1477&amp;" ~*")&gt;0)+(IFERROR(INDEX(Setup!$G$33:$G$40,MATCH(S1477,Setup!$B$33:$B$40,0)),0)=1)*(COUNTIF(S1458:U1475,$B1477)+COUNTIF(S1458:U1475,$B1477&amp;" ~*")&gt;0)+(IFERROR(INDEX(Setup!$G$33:$G$40,MATCH(W1477,Setup!$B$33:$B$40,0)),0)=1)*(COUNTIF(W1458:W1475,$B1477)+COUNTIF(W1458:W1475,$B1477&amp;" ~*")&gt;0)+(IFERROR(INDEX(Setup!$G$33:$G$40,MATCH(Y1477,Setup!$B$33:$B$40,0)),0)=1)*(COUNTIF(Y1458:Y1475,$B1477)+COUNTIF(Y1458:Y1475,$B1477&amp;" ~*")&gt;0))</f>
        <v/>
      </c>
    </row>
    <row r="1478" ht="15" customHeight="1">
      <c r="A1478" t="n">
        <v>30</v>
      </c>
      <c r="B1478" s="37">
        <f>IF(Setup!$B$7="","",Setup!$B$7)</f>
        <v/>
      </c>
      <c r="C1478" s="102" t="n"/>
      <c r="D1478" s="103" t="n"/>
      <c r="E1478" s="103" t="n"/>
      <c r="F1478" s="104" t="n"/>
      <c r="G1478" s="102" t="n"/>
      <c r="H1478" s="103" t="n"/>
      <c r="I1478" s="103" t="n"/>
      <c r="J1478" s="104" t="n"/>
      <c r="K1478" s="102" t="n"/>
      <c r="L1478" s="103" t="n"/>
      <c r="M1478" s="103" t="n"/>
      <c r="N1478" s="104" t="n"/>
      <c r="O1478" s="102" t="n"/>
      <c r="P1478" s="103" t="n"/>
      <c r="Q1478" s="103" t="n"/>
      <c r="R1478" s="104" t="n"/>
      <c r="S1478" s="102" t="n"/>
      <c r="T1478" s="103" t="n"/>
      <c r="U1478" s="103" t="n"/>
      <c r="V1478" s="104" t="n"/>
      <c r="W1478" s="102" t="n"/>
      <c r="X1478" s="104" t="n"/>
      <c r="Y1478" s="102" t="n"/>
      <c r="Z1478" s="104" t="n"/>
      <c r="AB1478" s="105">
        <f>IF($B1478="","",(COUNTIF(C1458:E1475,$B1478)+COUNTIF(C1458:E1475,$B1478&amp;" ~*")&gt;0)+(COUNTIF(G1458:I1475,$B1478)+COUNTIF(G1458:I1475,$B1478&amp;" ~*")&gt;0)+(COUNTIF(K1458:M1475,$B1478)+COUNTIF(K1458:M1475,$B1478&amp;" ~*")&gt;0)+(COUNTIF(O1458:Q1475,$B1478)+COUNTIF(O1458:Q1475,$B1478&amp;" ~*")&gt;0)+(COUNTIF(S1458:U1475,$B1478)+COUNTIF(S1458:U1475,$B1478&amp;" ~*")&gt;0)+(COUNTIF(W1458:W1475,$B1478)+COUNTIF(W1458:W1475,$B1478&amp;" ~*")&gt;0)+(COUNTIF(Y1458:Y1475,$B1478)+COUNTIF(Y1458:Y1475,$B1478&amp;" ~*")&gt;0))</f>
        <v/>
      </c>
      <c r="AC1478" s="38">
        <f>IF($B1478="","",(IFERROR(INDEX(Setup!$G$33:$G$40,MATCH(C1478,Setup!$B$33:$B$40,0)),0)=1)*(COUNTIF(C1458:E1475,$B1478)+COUNTIF(C1458:E1475,$B1478&amp;" ~*")&gt;0)+(IFERROR(INDEX(Setup!$G$33:$G$40,MATCH(G1478,Setup!$B$33:$B$40,0)),0)=1)*(COUNTIF(G1458:I1475,$B1478)+COUNTIF(G1458:I1475,$B1478&amp;" ~*")&gt;0)+(IFERROR(INDEX(Setup!$G$33:$G$40,MATCH(K1478,Setup!$B$33:$B$40,0)),0)=1)*(COUNTIF(K1458:M1475,$B1478)+COUNTIF(K1458:M1475,$B1478&amp;" ~*")&gt;0)+(IFERROR(INDEX(Setup!$G$33:$G$40,MATCH(O1478,Setup!$B$33:$B$40,0)),0)=1)*(COUNTIF(O1458:Q1475,$B1478)+COUNTIF(O1458:Q1475,$B1478&amp;" ~*")&gt;0)+(IFERROR(INDEX(Setup!$G$33:$G$40,MATCH(S1478,Setup!$B$33:$B$40,0)),0)=1)*(COUNTIF(S1458:U1475,$B1478)+COUNTIF(S1458:U1475,$B1478&amp;" ~*")&gt;0)+(IFERROR(INDEX(Setup!$G$33:$G$40,MATCH(W1478,Setup!$B$33:$B$40,0)),0)=1)*(COUNTIF(W1458:W1475,$B1478)+COUNTIF(W1458:W1475,$B1478&amp;" ~*")&gt;0)+(IFERROR(INDEX(Setup!$G$33:$G$40,MATCH(Y1478,Setup!$B$33:$B$40,0)),0)=1)*(COUNTIF(Y1458:Y1475,$B1478)+COUNTIF(Y1458:Y1475,$B1478&amp;" ~*")&gt;0))</f>
        <v/>
      </c>
    </row>
    <row r="1479" ht="15" customHeight="1">
      <c r="A1479" t="n">
        <v>30</v>
      </c>
      <c r="B1479" s="35">
        <f>IF(Setup!$B$8="","",Setup!$B$8)</f>
        <v/>
      </c>
      <c r="C1479" s="98" t="n"/>
      <c r="D1479" s="99" t="n"/>
      <c r="E1479" s="99" t="n"/>
      <c r="F1479" s="100" t="n"/>
      <c r="G1479" s="98" t="n"/>
      <c r="H1479" s="99" t="n"/>
      <c r="I1479" s="99" t="n"/>
      <c r="J1479" s="100" t="n"/>
      <c r="K1479" s="98" t="n"/>
      <c r="L1479" s="99" t="n"/>
      <c r="M1479" s="99" t="n"/>
      <c r="N1479" s="100" t="n"/>
      <c r="O1479" s="98" t="n"/>
      <c r="P1479" s="99" t="n"/>
      <c r="Q1479" s="99" t="n"/>
      <c r="R1479" s="100" t="n"/>
      <c r="S1479" s="98" t="n"/>
      <c r="T1479" s="99" t="n"/>
      <c r="U1479" s="99" t="n"/>
      <c r="V1479" s="100" t="n"/>
      <c r="W1479" s="98" t="n"/>
      <c r="X1479" s="100" t="n"/>
      <c r="Y1479" s="98" t="n"/>
      <c r="Z1479" s="100" t="n"/>
      <c r="AB1479" s="101">
        <f>IF($B1479="","",(COUNTIF(C1458:E1475,$B1479)+COUNTIF(C1458:E1475,$B1479&amp;" ~*")&gt;0)+(COUNTIF(G1458:I1475,$B1479)+COUNTIF(G1458:I1475,$B1479&amp;" ~*")&gt;0)+(COUNTIF(K1458:M1475,$B1479)+COUNTIF(K1458:M1475,$B1479&amp;" ~*")&gt;0)+(COUNTIF(O1458:Q1475,$B1479)+COUNTIF(O1458:Q1475,$B1479&amp;" ~*")&gt;0)+(COUNTIF(S1458:U1475,$B1479)+COUNTIF(S1458:U1475,$B1479&amp;" ~*")&gt;0)+(COUNTIF(W1458:W1475,$B1479)+COUNTIF(W1458:W1475,$B1479&amp;" ~*")&gt;0)+(COUNTIF(Y1458:Y1475,$B1479)+COUNTIF(Y1458:Y1475,$B1479&amp;" ~*")&gt;0))</f>
        <v/>
      </c>
      <c r="AC1479" s="36">
        <f>IF($B1479="","",(IFERROR(INDEX(Setup!$G$33:$G$40,MATCH(C1479,Setup!$B$33:$B$40,0)),0)=1)*(COUNTIF(C1458:E1475,$B1479)+COUNTIF(C1458:E1475,$B1479&amp;" ~*")&gt;0)+(IFERROR(INDEX(Setup!$G$33:$G$40,MATCH(G1479,Setup!$B$33:$B$40,0)),0)=1)*(COUNTIF(G1458:I1475,$B1479)+COUNTIF(G1458:I1475,$B1479&amp;" ~*")&gt;0)+(IFERROR(INDEX(Setup!$G$33:$G$40,MATCH(K1479,Setup!$B$33:$B$40,0)),0)=1)*(COUNTIF(K1458:M1475,$B1479)+COUNTIF(K1458:M1475,$B1479&amp;" ~*")&gt;0)+(IFERROR(INDEX(Setup!$G$33:$G$40,MATCH(O1479,Setup!$B$33:$B$40,0)),0)=1)*(COUNTIF(O1458:Q1475,$B1479)+COUNTIF(O1458:Q1475,$B1479&amp;" ~*")&gt;0)+(IFERROR(INDEX(Setup!$G$33:$G$40,MATCH(S1479,Setup!$B$33:$B$40,0)),0)=1)*(COUNTIF(S1458:U1475,$B1479)+COUNTIF(S1458:U1475,$B1479&amp;" ~*")&gt;0)+(IFERROR(INDEX(Setup!$G$33:$G$40,MATCH(W1479,Setup!$B$33:$B$40,0)),0)=1)*(COUNTIF(W1458:W1475,$B1479)+COUNTIF(W1458:W1475,$B1479&amp;" ~*")&gt;0)+(IFERROR(INDEX(Setup!$G$33:$G$40,MATCH(Y1479,Setup!$B$33:$B$40,0)),0)=1)*(COUNTIF(Y1458:Y1475,$B1479)+COUNTIF(Y1458:Y1475,$B1479&amp;" ~*")&gt;0))</f>
        <v/>
      </c>
    </row>
    <row r="1480" ht="15" customHeight="1">
      <c r="A1480" t="n">
        <v>30</v>
      </c>
      <c r="B1480" s="37">
        <f>IF(Setup!$B$9="","",Setup!$B$9)</f>
        <v/>
      </c>
      <c r="C1480" s="102" t="n"/>
      <c r="D1480" s="103" t="n"/>
      <c r="E1480" s="103" t="n"/>
      <c r="F1480" s="104" t="n"/>
      <c r="G1480" s="102" t="n"/>
      <c r="H1480" s="103" t="n"/>
      <c r="I1480" s="103" t="n"/>
      <c r="J1480" s="104" t="n"/>
      <c r="K1480" s="102" t="n"/>
      <c r="L1480" s="103" t="n"/>
      <c r="M1480" s="103" t="n"/>
      <c r="N1480" s="104" t="n"/>
      <c r="O1480" s="102" t="n"/>
      <c r="P1480" s="103" t="n"/>
      <c r="Q1480" s="103" t="n"/>
      <c r="R1480" s="104" t="n"/>
      <c r="S1480" s="102" t="n"/>
      <c r="T1480" s="103" t="n"/>
      <c r="U1480" s="103" t="n"/>
      <c r="V1480" s="104" t="n"/>
      <c r="W1480" s="102" t="n"/>
      <c r="X1480" s="104" t="n"/>
      <c r="Y1480" s="102" t="n"/>
      <c r="Z1480" s="104" t="n"/>
      <c r="AB1480" s="105">
        <f>IF($B1480="","",(COUNTIF(C1458:E1475,$B1480)+COUNTIF(C1458:E1475,$B1480&amp;" ~*")&gt;0)+(COUNTIF(G1458:I1475,$B1480)+COUNTIF(G1458:I1475,$B1480&amp;" ~*")&gt;0)+(COUNTIF(K1458:M1475,$B1480)+COUNTIF(K1458:M1475,$B1480&amp;" ~*")&gt;0)+(COUNTIF(O1458:Q1475,$B1480)+COUNTIF(O1458:Q1475,$B1480&amp;" ~*")&gt;0)+(COUNTIF(S1458:U1475,$B1480)+COUNTIF(S1458:U1475,$B1480&amp;" ~*")&gt;0)+(COUNTIF(W1458:W1475,$B1480)+COUNTIF(W1458:W1475,$B1480&amp;" ~*")&gt;0)+(COUNTIF(Y1458:Y1475,$B1480)+COUNTIF(Y1458:Y1475,$B1480&amp;" ~*")&gt;0))</f>
        <v/>
      </c>
      <c r="AC1480" s="38">
        <f>IF($B1480="","",(IFERROR(INDEX(Setup!$G$33:$G$40,MATCH(C1480,Setup!$B$33:$B$40,0)),0)=1)*(COUNTIF(C1458:E1475,$B1480)+COUNTIF(C1458:E1475,$B1480&amp;" ~*")&gt;0)+(IFERROR(INDEX(Setup!$G$33:$G$40,MATCH(G1480,Setup!$B$33:$B$40,0)),0)=1)*(COUNTIF(G1458:I1475,$B1480)+COUNTIF(G1458:I1475,$B1480&amp;" ~*")&gt;0)+(IFERROR(INDEX(Setup!$G$33:$G$40,MATCH(K1480,Setup!$B$33:$B$40,0)),0)=1)*(COUNTIF(K1458:M1475,$B1480)+COUNTIF(K1458:M1475,$B1480&amp;" ~*")&gt;0)+(IFERROR(INDEX(Setup!$G$33:$G$40,MATCH(O1480,Setup!$B$33:$B$40,0)),0)=1)*(COUNTIF(O1458:Q1475,$B1480)+COUNTIF(O1458:Q1475,$B1480&amp;" ~*")&gt;0)+(IFERROR(INDEX(Setup!$G$33:$G$40,MATCH(S1480,Setup!$B$33:$B$40,0)),0)=1)*(COUNTIF(S1458:U1475,$B1480)+COUNTIF(S1458:U1475,$B1480&amp;" ~*")&gt;0)+(IFERROR(INDEX(Setup!$G$33:$G$40,MATCH(W1480,Setup!$B$33:$B$40,0)),0)=1)*(COUNTIF(W1458:W1475,$B1480)+COUNTIF(W1458:W1475,$B1480&amp;" ~*")&gt;0)+(IFERROR(INDEX(Setup!$G$33:$G$40,MATCH(Y1480,Setup!$B$33:$B$40,0)),0)=1)*(COUNTIF(Y1458:Y1475,$B1480)+COUNTIF(Y1458:Y1475,$B1480&amp;" ~*")&gt;0))</f>
        <v/>
      </c>
    </row>
    <row r="1481" ht="15" customHeight="1">
      <c r="A1481" t="n">
        <v>30</v>
      </c>
      <c r="B1481" s="35">
        <f>IF(Setup!$B$10="","",Setup!$B$10)</f>
        <v/>
      </c>
      <c r="C1481" s="98" t="n"/>
      <c r="D1481" s="99" t="n"/>
      <c r="E1481" s="99" t="n"/>
      <c r="F1481" s="100" t="n"/>
      <c r="G1481" s="98" t="n"/>
      <c r="H1481" s="99" t="n"/>
      <c r="I1481" s="99" t="n"/>
      <c r="J1481" s="100" t="n"/>
      <c r="K1481" s="98" t="n"/>
      <c r="L1481" s="99" t="n"/>
      <c r="M1481" s="99" t="n"/>
      <c r="N1481" s="100" t="n"/>
      <c r="O1481" s="98" t="n"/>
      <c r="P1481" s="99" t="n"/>
      <c r="Q1481" s="99" t="n"/>
      <c r="R1481" s="100" t="n"/>
      <c r="S1481" s="98" t="n"/>
      <c r="T1481" s="99" t="n"/>
      <c r="U1481" s="99" t="n"/>
      <c r="V1481" s="100" t="n"/>
      <c r="W1481" s="98" t="n"/>
      <c r="X1481" s="100" t="n"/>
      <c r="Y1481" s="98" t="n"/>
      <c r="Z1481" s="100" t="n"/>
      <c r="AB1481" s="101">
        <f>IF($B1481="","",(COUNTIF(C1458:E1475,$B1481)+COUNTIF(C1458:E1475,$B1481&amp;" ~*")&gt;0)+(COUNTIF(G1458:I1475,$B1481)+COUNTIF(G1458:I1475,$B1481&amp;" ~*")&gt;0)+(COUNTIF(K1458:M1475,$B1481)+COUNTIF(K1458:M1475,$B1481&amp;" ~*")&gt;0)+(COUNTIF(O1458:Q1475,$B1481)+COUNTIF(O1458:Q1475,$B1481&amp;" ~*")&gt;0)+(COUNTIF(S1458:U1475,$B1481)+COUNTIF(S1458:U1475,$B1481&amp;" ~*")&gt;0)+(COUNTIF(W1458:W1475,$B1481)+COUNTIF(W1458:W1475,$B1481&amp;" ~*")&gt;0)+(COUNTIF(Y1458:Y1475,$B1481)+COUNTIF(Y1458:Y1475,$B1481&amp;" ~*")&gt;0))</f>
        <v/>
      </c>
      <c r="AC1481" s="36">
        <f>IF($B1481="","",(IFERROR(INDEX(Setup!$G$33:$G$40,MATCH(C1481,Setup!$B$33:$B$40,0)),0)=1)*(COUNTIF(C1458:E1475,$B1481)+COUNTIF(C1458:E1475,$B1481&amp;" ~*")&gt;0)+(IFERROR(INDEX(Setup!$G$33:$G$40,MATCH(G1481,Setup!$B$33:$B$40,0)),0)=1)*(COUNTIF(G1458:I1475,$B1481)+COUNTIF(G1458:I1475,$B1481&amp;" ~*")&gt;0)+(IFERROR(INDEX(Setup!$G$33:$G$40,MATCH(K1481,Setup!$B$33:$B$40,0)),0)=1)*(COUNTIF(K1458:M1475,$B1481)+COUNTIF(K1458:M1475,$B1481&amp;" ~*")&gt;0)+(IFERROR(INDEX(Setup!$G$33:$G$40,MATCH(O1481,Setup!$B$33:$B$40,0)),0)=1)*(COUNTIF(O1458:Q1475,$B1481)+COUNTIF(O1458:Q1475,$B1481&amp;" ~*")&gt;0)+(IFERROR(INDEX(Setup!$G$33:$G$40,MATCH(S1481,Setup!$B$33:$B$40,0)),0)=1)*(COUNTIF(S1458:U1475,$B1481)+COUNTIF(S1458:U1475,$B1481&amp;" ~*")&gt;0)+(IFERROR(INDEX(Setup!$G$33:$G$40,MATCH(W1481,Setup!$B$33:$B$40,0)),0)=1)*(COUNTIF(W1458:W1475,$B1481)+COUNTIF(W1458:W1475,$B1481&amp;" ~*")&gt;0)+(IFERROR(INDEX(Setup!$G$33:$G$40,MATCH(Y1481,Setup!$B$33:$B$40,0)),0)=1)*(COUNTIF(Y1458:Y1475,$B1481)+COUNTIF(Y1458:Y1475,$B1481&amp;" ~*")&gt;0))</f>
        <v/>
      </c>
    </row>
    <row r="1482" ht="15" customHeight="1">
      <c r="A1482" t="n">
        <v>30</v>
      </c>
      <c r="B1482" s="37">
        <f>IF(Setup!$B$11="","",Setup!$B$11)</f>
        <v/>
      </c>
      <c r="C1482" s="102" t="n"/>
      <c r="D1482" s="103" t="n"/>
      <c r="E1482" s="103" t="n"/>
      <c r="F1482" s="104" t="n"/>
      <c r="G1482" s="102" t="n"/>
      <c r="H1482" s="103" t="n"/>
      <c r="I1482" s="103" t="n"/>
      <c r="J1482" s="104" t="n"/>
      <c r="K1482" s="102" t="n"/>
      <c r="L1482" s="103" t="n"/>
      <c r="M1482" s="103" t="n"/>
      <c r="N1482" s="104" t="n"/>
      <c r="O1482" s="102" t="n"/>
      <c r="P1482" s="103" t="n"/>
      <c r="Q1482" s="103" t="n"/>
      <c r="R1482" s="104" t="n"/>
      <c r="S1482" s="102" t="n"/>
      <c r="T1482" s="103" t="n"/>
      <c r="U1482" s="103" t="n"/>
      <c r="V1482" s="104" t="n"/>
      <c r="W1482" s="102" t="n"/>
      <c r="X1482" s="104" t="n"/>
      <c r="Y1482" s="102" t="n"/>
      <c r="Z1482" s="104" t="n"/>
      <c r="AB1482" s="105">
        <f>IF($B1482="","",(COUNTIF(C1458:E1475,$B1482)+COUNTIF(C1458:E1475,$B1482&amp;" ~*")&gt;0)+(COUNTIF(G1458:I1475,$B1482)+COUNTIF(G1458:I1475,$B1482&amp;" ~*")&gt;0)+(COUNTIF(K1458:M1475,$B1482)+COUNTIF(K1458:M1475,$B1482&amp;" ~*")&gt;0)+(COUNTIF(O1458:Q1475,$B1482)+COUNTIF(O1458:Q1475,$B1482&amp;" ~*")&gt;0)+(COUNTIF(S1458:U1475,$B1482)+COUNTIF(S1458:U1475,$B1482&amp;" ~*")&gt;0)+(COUNTIF(W1458:W1475,$B1482)+COUNTIF(W1458:W1475,$B1482&amp;" ~*")&gt;0)+(COUNTIF(Y1458:Y1475,$B1482)+COUNTIF(Y1458:Y1475,$B1482&amp;" ~*")&gt;0))</f>
        <v/>
      </c>
      <c r="AC1482" s="38">
        <f>IF($B1482="","",(IFERROR(INDEX(Setup!$G$33:$G$40,MATCH(C1482,Setup!$B$33:$B$40,0)),0)=1)*(COUNTIF(C1458:E1475,$B1482)+COUNTIF(C1458:E1475,$B1482&amp;" ~*")&gt;0)+(IFERROR(INDEX(Setup!$G$33:$G$40,MATCH(G1482,Setup!$B$33:$B$40,0)),0)=1)*(COUNTIF(G1458:I1475,$B1482)+COUNTIF(G1458:I1475,$B1482&amp;" ~*")&gt;0)+(IFERROR(INDEX(Setup!$G$33:$G$40,MATCH(K1482,Setup!$B$33:$B$40,0)),0)=1)*(COUNTIF(K1458:M1475,$B1482)+COUNTIF(K1458:M1475,$B1482&amp;" ~*")&gt;0)+(IFERROR(INDEX(Setup!$G$33:$G$40,MATCH(O1482,Setup!$B$33:$B$40,0)),0)=1)*(COUNTIF(O1458:Q1475,$B1482)+COUNTIF(O1458:Q1475,$B1482&amp;" ~*")&gt;0)+(IFERROR(INDEX(Setup!$G$33:$G$40,MATCH(S1482,Setup!$B$33:$B$40,0)),0)=1)*(COUNTIF(S1458:U1475,$B1482)+COUNTIF(S1458:U1475,$B1482&amp;" ~*")&gt;0)+(IFERROR(INDEX(Setup!$G$33:$G$40,MATCH(W1482,Setup!$B$33:$B$40,0)),0)=1)*(COUNTIF(W1458:W1475,$B1482)+COUNTIF(W1458:W1475,$B1482&amp;" ~*")&gt;0)+(IFERROR(INDEX(Setup!$G$33:$G$40,MATCH(Y1482,Setup!$B$33:$B$40,0)),0)=1)*(COUNTIF(Y1458:Y1475,$B1482)+COUNTIF(Y1458:Y1475,$B1482&amp;" ~*")&gt;0))</f>
        <v/>
      </c>
    </row>
    <row r="1483" ht="15" customHeight="1">
      <c r="A1483" t="n">
        <v>30</v>
      </c>
      <c r="B1483" s="35">
        <f>IF(Setup!$B$12="","",Setup!$B$12)</f>
        <v/>
      </c>
      <c r="C1483" s="98" t="n"/>
      <c r="D1483" s="99" t="n"/>
      <c r="E1483" s="99" t="n"/>
      <c r="F1483" s="100" t="n"/>
      <c r="G1483" s="98" t="n"/>
      <c r="H1483" s="99" t="n"/>
      <c r="I1483" s="99" t="n"/>
      <c r="J1483" s="100" t="n"/>
      <c r="K1483" s="98" t="n"/>
      <c r="L1483" s="99" t="n"/>
      <c r="M1483" s="99" t="n"/>
      <c r="N1483" s="100" t="n"/>
      <c r="O1483" s="98" t="n"/>
      <c r="P1483" s="99" t="n"/>
      <c r="Q1483" s="99" t="n"/>
      <c r="R1483" s="100" t="n"/>
      <c r="S1483" s="98" t="n"/>
      <c r="T1483" s="99" t="n"/>
      <c r="U1483" s="99" t="n"/>
      <c r="V1483" s="100" t="n"/>
      <c r="W1483" s="98" t="n"/>
      <c r="X1483" s="100" t="n"/>
      <c r="Y1483" s="98" t="n"/>
      <c r="Z1483" s="100" t="n"/>
      <c r="AB1483" s="101">
        <f>IF($B1483="","",(COUNTIF(C1458:E1475,$B1483)+COUNTIF(C1458:E1475,$B1483&amp;" ~*")&gt;0)+(COUNTIF(G1458:I1475,$B1483)+COUNTIF(G1458:I1475,$B1483&amp;" ~*")&gt;0)+(COUNTIF(K1458:M1475,$B1483)+COUNTIF(K1458:M1475,$B1483&amp;" ~*")&gt;0)+(COUNTIF(O1458:Q1475,$B1483)+COUNTIF(O1458:Q1475,$B1483&amp;" ~*")&gt;0)+(COUNTIF(S1458:U1475,$B1483)+COUNTIF(S1458:U1475,$B1483&amp;" ~*")&gt;0)+(COUNTIF(W1458:W1475,$B1483)+COUNTIF(W1458:W1475,$B1483&amp;" ~*")&gt;0)+(COUNTIF(Y1458:Y1475,$B1483)+COUNTIF(Y1458:Y1475,$B1483&amp;" ~*")&gt;0))</f>
        <v/>
      </c>
      <c r="AC1483" s="36">
        <f>IF($B1483="","",(IFERROR(INDEX(Setup!$G$33:$G$40,MATCH(C1483,Setup!$B$33:$B$40,0)),0)=1)*(COUNTIF(C1458:E1475,$B1483)+COUNTIF(C1458:E1475,$B1483&amp;" ~*")&gt;0)+(IFERROR(INDEX(Setup!$G$33:$G$40,MATCH(G1483,Setup!$B$33:$B$40,0)),0)=1)*(COUNTIF(G1458:I1475,$B1483)+COUNTIF(G1458:I1475,$B1483&amp;" ~*")&gt;0)+(IFERROR(INDEX(Setup!$G$33:$G$40,MATCH(K1483,Setup!$B$33:$B$40,0)),0)=1)*(COUNTIF(K1458:M1475,$B1483)+COUNTIF(K1458:M1475,$B1483&amp;" ~*")&gt;0)+(IFERROR(INDEX(Setup!$G$33:$G$40,MATCH(O1483,Setup!$B$33:$B$40,0)),0)=1)*(COUNTIF(O1458:Q1475,$B1483)+COUNTIF(O1458:Q1475,$B1483&amp;" ~*")&gt;0)+(IFERROR(INDEX(Setup!$G$33:$G$40,MATCH(S1483,Setup!$B$33:$B$40,0)),0)=1)*(COUNTIF(S1458:U1475,$B1483)+COUNTIF(S1458:U1475,$B1483&amp;" ~*")&gt;0)+(IFERROR(INDEX(Setup!$G$33:$G$40,MATCH(W1483,Setup!$B$33:$B$40,0)),0)=1)*(COUNTIF(W1458:W1475,$B1483)+COUNTIF(W1458:W1475,$B1483&amp;" ~*")&gt;0)+(IFERROR(INDEX(Setup!$G$33:$G$40,MATCH(Y1483,Setup!$B$33:$B$40,0)),0)=1)*(COUNTIF(Y1458:Y1475,$B1483)+COUNTIF(Y1458:Y1475,$B1483&amp;" ~*")&gt;0))</f>
        <v/>
      </c>
    </row>
    <row r="1484" ht="15" customHeight="1">
      <c r="A1484" t="n">
        <v>30</v>
      </c>
      <c r="B1484" s="37">
        <f>IF(Setup!$B$13="","",Setup!$B$13)</f>
        <v/>
      </c>
      <c r="C1484" s="102" t="n"/>
      <c r="D1484" s="103" t="n"/>
      <c r="E1484" s="103" t="n"/>
      <c r="F1484" s="104" t="n"/>
      <c r="G1484" s="102" t="n"/>
      <c r="H1484" s="103" t="n"/>
      <c r="I1484" s="103" t="n"/>
      <c r="J1484" s="104" t="n"/>
      <c r="K1484" s="102" t="n"/>
      <c r="L1484" s="103" t="n"/>
      <c r="M1484" s="103" t="n"/>
      <c r="N1484" s="104" t="n"/>
      <c r="O1484" s="102" t="n"/>
      <c r="P1484" s="103" t="n"/>
      <c r="Q1484" s="103" t="n"/>
      <c r="R1484" s="104" t="n"/>
      <c r="S1484" s="102" t="n"/>
      <c r="T1484" s="103" t="n"/>
      <c r="U1484" s="103" t="n"/>
      <c r="V1484" s="104" t="n"/>
      <c r="W1484" s="102" t="n"/>
      <c r="X1484" s="104" t="n"/>
      <c r="Y1484" s="102" t="n"/>
      <c r="Z1484" s="104" t="n"/>
      <c r="AB1484" s="105">
        <f>IF($B1484="","",(COUNTIF(C1458:E1475,$B1484)+COUNTIF(C1458:E1475,$B1484&amp;" ~*")&gt;0)+(COUNTIF(G1458:I1475,$B1484)+COUNTIF(G1458:I1475,$B1484&amp;" ~*")&gt;0)+(COUNTIF(K1458:M1475,$B1484)+COUNTIF(K1458:M1475,$B1484&amp;" ~*")&gt;0)+(COUNTIF(O1458:Q1475,$B1484)+COUNTIF(O1458:Q1475,$B1484&amp;" ~*")&gt;0)+(COUNTIF(S1458:U1475,$B1484)+COUNTIF(S1458:U1475,$B1484&amp;" ~*")&gt;0)+(COUNTIF(W1458:W1475,$B1484)+COUNTIF(W1458:W1475,$B1484&amp;" ~*")&gt;0)+(COUNTIF(Y1458:Y1475,$B1484)+COUNTIF(Y1458:Y1475,$B1484&amp;" ~*")&gt;0))</f>
        <v/>
      </c>
      <c r="AC1484" s="38">
        <f>IF($B1484="","",(IFERROR(INDEX(Setup!$G$33:$G$40,MATCH(C1484,Setup!$B$33:$B$40,0)),0)=1)*(COUNTIF(C1458:E1475,$B1484)+COUNTIF(C1458:E1475,$B1484&amp;" ~*")&gt;0)+(IFERROR(INDEX(Setup!$G$33:$G$40,MATCH(G1484,Setup!$B$33:$B$40,0)),0)=1)*(COUNTIF(G1458:I1475,$B1484)+COUNTIF(G1458:I1475,$B1484&amp;" ~*")&gt;0)+(IFERROR(INDEX(Setup!$G$33:$G$40,MATCH(K1484,Setup!$B$33:$B$40,0)),0)=1)*(COUNTIF(K1458:M1475,$B1484)+COUNTIF(K1458:M1475,$B1484&amp;" ~*")&gt;0)+(IFERROR(INDEX(Setup!$G$33:$G$40,MATCH(O1484,Setup!$B$33:$B$40,0)),0)=1)*(COUNTIF(O1458:Q1475,$B1484)+COUNTIF(O1458:Q1475,$B1484&amp;" ~*")&gt;0)+(IFERROR(INDEX(Setup!$G$33:$G$40,MATCH(S1484,Setup!$B$33:$B$40,0)),0)=1)*(COUNTIF(S1458:U1475,$B1484)+COUNTIF(S1458:U1475,$B1484&amp;" ~*")&gt;0)+(IFERROR(INDEX(Setup!$G$33:$G$40,MATCH(W1484,Setup!$B$33:$B$40,0)),0)=1)*(COUNTIF(W1458:W1475,$B1484)+COUNTIF(W1458:W1475,$B1484&amp;" ~*")&gt;0)+(IFERROR(INDEX(Setup!$G$33:$G$40,MATCH(Y1484,Setup!$B$33:$B$40,0)),0)=1)*(COUNTIF(Y1458:Y1475,$B1484)+COUNTIF(Y1458:Y1475,$B1484&amp;" ~*")&gt;0))</f>
        <v/>
      </c>
    </row>
    <row r="1485" ht="15" customHeight="1">
      <c r="A1485" t="n">
        <v>30</v>
      </c>
      <c r="B1485" s="35">
        <f>IF(Setup!$B$14="","",Setup!$B$14)</f>
        <v/>
      </c>
      <c r="C1485" s="98" t="n"/>
      <c r="D1485" s="99" t="n"/>
      <c r="E1485" s="99" t="n"/>
      <c r="F1485" s="100" t="n"/>
      <c r="G1485" s="98" t="n"/>
      <c r="H1485" s="99" t="n"/>
      <c r="I1485" s="99" t="n"/>
      <c r="J1485" s="100" t="n"/>
      <c r="K1485" s="98" t="n"/>
      <c r="L1485" s="99" t="n"/>
      <c r="M1485" s="99" t="n"/>
      <c r="N1485" s="100" t="n"/>
      <c r="O1485" s="98" t="n"/>
      <c r="P1485" s="99" t="n"/>
      <c r="Q1485" s="99" t="n"/>
      <c r="R1485" s="100" t="n"/>
      <c r="S1485" s="98" t="n"/>
      <c r="T1485" s="99" t="n"/>
      <c r="U1485" s="99" t="n"/>
      <c r="V1485" s="100" t="n"/>
      <c r="W1485" s="98" t="n"/>
      <c r="X1485" s="100" t="n"/>
      <c r="Y1485" s="98" t="n"/>
      <c r="Z1485" s="100" t="n"/>
      <c r="AB1485" s="101">
        <f>IF($B1485="","",(COUNTIF(C1458:E1475,$B1485)+COUNTIF(C1458:E1475,$B1485&amp;" ~*")&gt;0)+(COUNTIF(G1458:I1475,$B1485)+COUNTIF(G1458:I1475,$B1485&amp;" ~*")&gt;0)+(COUNTIF(K1458:M1475,$B1485)+COUNTIF(K1458:M1475,$B1485&amp;" ~*")&gt;0)+(COUNTIF(O1458:Q1475,$B1485)+COUNTIF(O1458:Q1475,$B1485&amp;" ~*")&gt;0)+(COUNTIF(S1458:U1475,$B1485)+COUNTIF(S1458:U1475,$B1485&amp;" ~*")&gt;0)+(COUNTIF(W1458:W1475,$B1485)+COUNTIF(W1458:W1475,$B1485&amp;" ~*")&gt;0)+(COUNTIF(Y1458:Y1475,$B1485)+COUNTIF(Y1458:Y1475,$B1485&amp;" ~*")&gt;0))</f>
        <v/>
      </c>
      <c r="AC1485" s="36">
        <f>IF($B1485="","",(IFERROR(INDEX(Setup!$G$33:$G$40,MATCH(C1485,Setup!$B$33:$B$40,0)),0)=1)*(COUNTIF(C1458:E1475,$B1485)+COUNTIF(C1458:E1475,$B1485&amp;" ~*")&gt;0)+(IFERROR(INDEX(Setup!$G$33:$G$40,MATCH(G1485,Setup!$B$33:$B$40,0)),0)=1)*(COUNTIF(G1458:I1475,$B1485)+COUNTIF(G1458:I1475,$B1485&amp;" ~*")&gt;0)+(IFERROR(INDEX(Setup!$G$33:$G$40,MATCH(K1485,Setup!$B$33:$B$40,0)),0)=1)*(COUNTIF(K1458:M1475,$B1485)+COUNTIF(K1458:M1475,$B1485&amp;" ~*")&gt;0)+(IFERROR(INDEX(Setup!$G$33:$G$40,MATCH(O1485,Setup!$B$33:$B$40,0)),0)=1)*(COUNTIF(O1458:Q1475,$B1485)+COUNTIF(O1458:Q1475,$B1485&amp;" ~*")&gt;0)+(IFERROR(INDEX(Setup!$G$33:$G$40,MATCH(S1485,Setup!$B$33:$B$40,0)),0)=1)*(COUNTIF(S1458:U1475,$B1485)+COUNTIF(S1458:U1475,$B1485&amp;" ~*")&gt;0)+(IFERROR(INDEX(Setup!$G$33:$G$40,MATCH(W1485,Setup!$B$33:$B$40,0)),0)=1)*(COUNTIF(W1458:W1475,$B1485)+COUNTIF(W1458:W1475,$B1485&amp;" ~*")&gt;0)+(IFERROR(INDEX(Setup!$G$33:$G$40,MATCH(Y1485,Setup!$B$33:$B$40,0)),0)=1)*(COUNTIF(Y1458:Y1475,$B1485)+COUNTIF(Y1458:Y1475,$B1485&amp;" ~*")&gt;0))</f>
        <v/>
      </c>
    </row>
    <row r="1486" ht="15" customHeight="1">
      <c r="A1486" t="n">
        <v>30</v>
      </c>
      <c r="B1486" s="37">
        <f>IF(Setup!$B$15="","",Setup!$B$15)</f>
        <v/>
      </c>
      <c r="C1486" s="102" t="n"/>
      <c r="D1486" s="103" t="n"/>
      <c r="E1486" s="103" t="n"/>
      <c r="F1486" s="104" t="n"/>
      <c r="G1486" s="102" t="n"/>
      <c r="H1486" s="103" t="n"/>
      <c r="I1486" s="103" t="n"/>
      <c r="J1486" s="104" t="n"/>
      <c r="K1486" s="102" t="n"/>
      <c r="L1486" s="103" t="n"/>
      <c r="M1486" s="103" t="n"/>
      <c r="N1486" s="104" t="n"/>
      <c r="O1486" s="102" t="n"/>
      <c r="P1486" s="103" t="n"/>
      <c r="Q1486" s="103" t="n"/>
      <c r="R1486" s="104" t="n"/>
      <c r="S1486" s="102" t="n"/>
      <c r="T1486" s="103" t="n"/>
      <c r="U1486" s="103" t="n"/>
      <c r="V1486" s="104" t="n"/>
      <c r="W1486" s="102" t="n"/>
      <c r="X1486" s="104" t="n"/>
      <c r="Y1486" s="102" t="n"/>
      <c r="Z1486" s="104" t="n"/>
      <c r="AB1486" s="105">
        <f>IF($B1486="","",(COUNTIF(C1458:E1475,$B1486)+COUNTIF(C1458:E1475,$B1486&amp;" ~*")&gt;0)+(COUNTIF(G1458:I1475,$B1486)+COUNTIF(G1458:I1475,$B1486&amp;" ~*")&gt;0)+(COUNTIF(K1458:M1475,$B1486)+COUNTIF(K1458:M1475,$B1486&amp;" ~*")&gt;0)+(COUNTIF(O1458:Q1475,$B1486)+COUNTIF(O1458:Q1475,$B1486&amp;" ~*")&gt;0)+(COUNTIF(S1458:U1475,$B1486)+COUNTIF(S1458:U1475,$B1486&amp;" ~*")&gt;0)+(COUNTIF(W1458:W1475,$B1486)+COUNTIF(W1458:W1475,$B1486&amp;" ~*")&gt;0)+(COUNTIF(Y1458:Y1475,$B1486)+COUNTIF(Y1458:Y1475,$B1486&amp;" ~*")&gt;0))</f>
        <v/>
      </c>
      <c r="AC1486" s="38">
        <f>IF($B1486="","",(IFERROR(INDEX(Setup!$G$33:$G$40,MATCH(C1486,Setup!$B$33:$B$40,0)),0)=1)*(COUNTIF(C1458:E1475,$B1486)+COUNTIF(C1458:E1475,$B1486&amp;" ~*")&gt;0)+(IFERROR(INDEX(Setup!$G$33:$G$40,MATCH(G1486,Setup!$B$33:$B$40,0)),0)=1)*(COUNTIF(G1458:I1475,$B1486)+COUNTIF(G1458:I1475,$B1486&amp;" ~*")&gt;0)+(IFERROR(INDEX(Setup!$G$33:$G$40,MATCH(K1486,Setup!$B$33:$B$40,0)),0)=1)*(COUNTIF(K1458:M1475,$B1486)+COUNTIF(K1458:M1475,$B1486&amp;" ~*")&gt;0)+(IFERROR(INDEX(Setup!$G$33:$G$40,MATCH(O1486,Setup!$B$33:$B$40,0)),0)=1)*(COUNTIF(O1458:Q1475,$B1486)+COUNTIF(O1458:Q1475,$B1486&amp;" ~*")&gt;0)+(IFERROR(INDEX(Setup!$G$33:$G$40,MATCH(S1486,Setup!$B$33:$B$40,0)),0)=1)*(COUNTIF(S1458:U1475,$B1486)+COUNTIF(S1458:U1475,$B1486&amp;" ~*")&gt;0)+(IFERROR(INDEX(Setup!$G$33:$G$40,MATCH(W1486,Setup!$B$33:$B$40,0)),0)=1)*(COUNTIF(W1458:W1475,$B1486)+COUNTIF(W1458:W1475,$B1486&amp;" ~*")&gt;0)+(IFERROR(INDEX(Setup!$G$33:$G$40,MATCH(Y1486,Setup!$B$33:$B$40,0)),0)=1)*(COUNTIF(Y1458:Y1475,$B1486)+COUNTIF(Y1458:Y1475,$B1486&amp;" ~*")&gt;0))</f>
        <v/>
      </c>
    </row>
    <row r="1487" ht="15" customHeight="1">
      <c r="A1487" t="n">
        <v>30</v>
      </c>
      <c r="B1487" s="35">
        <f>IF(Setup!$B$16="","",Setup!$B$16)</f>
        <v/>
      </c>
      <c r="C1487" s="98" t="n"/>
      <c r="D1487" s="99" t="n"/>
      <c r="E1487" s="99" t="n"/>
      <c r="F1487" s="100" t="n"/>
      <c r="G1487" s="98" t="n"/>
      <c r="H1487" s="99" t="n"/>
      <c r="I1487" s="99" t="n"/>
      <c r="J1487" s="100" t="n"/>
      <c r="K1487" s="98" t="n"/>
      <c r="L1487" s="99" t="n"/>
      <c r="M1487" s="99" t="n"/>
      <c r="N1487" s="100" t="n"/>
      <c r="O1487" s="98" t="n"/>
      <c r="P1487" s="99" t="n"/>
      <c r="Q1487" s="99" t="n"/>
      <c r="R1487" s="100" t="n"/>
      <c r="S1487" s="98" t="n"/>
      <c r="T1487" s="99" t="n"/>
      <c r="U1487" s="99" t="n"/>
      <c r="V1487" s="100" t="n"/>
      <c r="W1487" s="98" t="n"/>
      <c r="X1487" s="100" t="n"/>
      <c r="Y1487" s="98" t="n"/>
      <c r="Z1487" s="100" t="n"/>
      <c r="AB1487" s="101">
        <f>IF($B1487="","",(COUNTIF(C1458:E1475,$B1487)+COUNTIF(C1458:E1475,$B1487&amp;" ~*")&gt;0)+(COUNTIF(G1458:I1475,$B1487)+COUNTIF(G1458:I1475,$B1487&amp;" ~*")&gt;0)+(COUNTIF(K1458:M1475,$B1487)+COUNTIF(K1458:M1475,$B1487&amp;" ~*")&gt;0)+(COUNTIF(O1458:Q1475,$B1487)+COUNTIF(O1458:Q1475,$B1487&amp;" ~*")&gt;0)+(COUNTIF(S1458:U1475,$B1487)+COUNTIF(S1458:U1475,$B1487&amp;" ~*")&gt;0)+(COUNTIF(W1458:W1475,$B1487)+COUNTIF(W1458:W1475,$B1487&amp;" ~*")&gt;0)+(COUNTIF(Y1458:Y1475,$B1487)+COUNTIF(Y1458:Y1475,$B1487&amp;" ~*")&gt;0))</f>
        <v/>
      </c>
      <c r="AC1487" s="36">
        <f>IF($B1487="","",(IFERROR(INDEX(Setup!$G$33:$G$40,MATCH(C1487,Setup!$B$33:$B$40,0)),0)=1)*(COUNTIF(C1458:E1475,$B1487)+COUNTIF(C1458:E1475,$B1487&amp;" ~*")&gt;0)+(IFERROR(INDEX(Setup!$G$33:$G$40,MATCH(G1487,Setup!$B$33:$B$40,0)),0)=1)*(COUNTIF(G1458:I1475,$B1487)+COUNTIF(G1458:I1475,$B1487&amp;" ~*")&gt;0)+(IFERROR(INDEX(Setup!$G$33:$G$40,MATCH(K1487,Setup!$B$33:$B$40,0)),0)=1)*(COUNTIF(K1458:M1475,$B1487)+COUNTIF(K1458:M1475,$B1487&amp;" ~*")&gt;0)+(IFERROR(INDEX(Setup!$G$33:$G$40,MATCH(O1487,Setup!$B$33:$B$40,0)),0)=1)*(COUNTIF(O1458:Q1475,$B1487)+COUNTIF(O1458:Q1475,$B1487&amp;" ~*")&gt;0)+(IFERROR(INDEX(Setup!$G$33:$G$40,MATCH(S1487,Setup!$B$33:$B$40,0)),0)=1)*(COUNTIF(S1458:U1475,$B1487)+COUNTIF(S1458:U1475,$B1487&amp;" ~*")&gt;0)+(IFERROR(INDEX(Setup!$G$33:$G$40,MATCH(W1487,Setup!$B$33:$B$40,0)),0)=1)*(COUNTIF(W1458:W1475,$B1487)+COUNTIF(W1458:W1475,$B1487&amp;" ~*")&gt;0)+(IFERROR(INDEX(Setup!$G$33:$G$40,MATCH(Y1487,Setup!$B$33:$B$40,0)),0)=1)*(COUNTIF(Y1458:Y1475,$B1487)+COUNTIF(Y1458:Y1475,$B1487&amp;" ~*")&gt;0))</f>
        <v/>
      </c>
    </row>
    <row r="1488" ht="15" customHeight="1">
      <c r="A1488" t="n">
        <v>30</v>
      </c>
      <c r="B1488" s="37">
        <f>IF(Setup!$B$17="","",Setup!$B$17)</f>
        <v/>
      </c>
      <c r="C1488" s="102" t="n"/>
      <c r="D1488" s="103" t="n"/>
      <c r="E1488" s="103" t="n"/>
      <c r="F1488" s="104" t="n"/>
      <c r="G1488" s="102" t="n"/>
      <c r="H1488" s="103" t="n"/>
      <c r="I1488" s="103" t="n"/>
      <c r="J1488" s="104" t="n"/>
      <c r="K1488" s="102" t="n"/>
      <c r="L1488" s="103" t="n"/>
      <c r="M1488" s="103" t="n"/>
      <c r="N1488" s="104" t="n"/>
      <c r="O1488" s="102" t="n"/>
      <c r="P1488" s="103" t="n"/>
      <c r="Q1488" s="103" t="n"/>
      <c r="R1488" s="104" t="n"/>
      <c r="S1488" s="102" t="n"/>
      <c r="T1488" s="103" t="n"/>
      <c r="U1488" s="103" t="n"/>
      <c r="V1488" s="104" t="n"/>
      <c r="W1488" s="102" t="n"/>
      <c r="X1488" s="104" t="n"/>
      <c r="Y1488" s="102" t="n"/>
      <c r="Z1488" s="104" t="n"/>
      <c r="AB1488" s="105">
        <f>IF($B1488="","",(COUNTIF(C1458:E1475,$B1488)+COUNTIF(C1458:E1475,$B1488&amp;" ~*")&gt;0)+(COUNTIF(G1458:I1475,$B1488)+COUNTIF(G1458:I1475,$B1488&amp;" ~*")&gt;0)+(COUNTIF(K1458:M1475,$B1488)+COUNTIF(K1458:M1475,$B1488&amp;" ~*")&gt;0)+(COUNTIF(O1458:Q1475,$B1488)+COUNTIF(O1458:Q1475,$B1488&amp;" ~*")&gt;0)+(COUNTIF(S1458:U1475,$B1488)+COUNTIF(S1458:U1475,$B1488&amp;" ~*")&gt;0)+(COUNTIF(W1458:W1475,$B1488)+COUNTIF(W1458:W1475,$B1488&amp;" ~*")&gt;0)+(COUNTIF(Y1458:Y1475,$B1488)+COUNTIF(Y1458:Y1475,$B1488&amp;" ~*")&gt;0))</f>
        <v/>
      </c>
      <c r="AC1488" s="38">
        <f>IF($B1488="","",(IFERROR(INDEX(Setup!$G$33:$G$40,MATCH(C1488,Setup!$B$33:$B$40,0)),0)=1)*(COUNTIF(C1458:E1475,$B1488)+COUNTIF(C1458:E1475,$B1488&amp;" ~*")&gt;0)+(IFERROR(INDEX(Setup!$G$33:$G$40,MATCH(G1488,Setup!$B$33:$B$40,0)),0)=1)*(COUNTIF(G1458:I1475,$B1488)+COUNTIF(G1458:I1475,$B1488&amp;" ~*")&gt;0)+(IFERROR(INDEX(Setup!$G$33:$G$40,MATCH(K1488,Setup!$B$33:$B$40,0)),0)=1)*(COUNTIF(K1458:M1475,$B1488)+COUNTIF(K1458:M1475,$B1488&amp;" ~*")&gt;0)+(IFERROR(INDEX(Setup!$G$33:$G$40,MATCH(O1488,Setup!$B$33:$B$40,0)),0)=1)*(COUNTIF(O1458:Q1475,$B1488)+COUNTIF(O1458:Q1475,$B1488&amp;" ~*")&gt;0)+(IFERROR(INDEX(Setup!$G$33:$G$40,MATCH(S1488,Setup!$B$33:$B$40,0)),0)=1)*(COUNTIF(S1458:U1475,$B1488)+COUNTIF(S1458:U1475,$B1488&amp;" ~*")&gt;0)+(IFERROR(INDEX(Setup!$G$33:$G$40,MATCH(W1488,Setup!$B$33:$B$40,0)),0)=1)*(COUNTIF(W1458:W1475,$B1488)+COUNTIF(W1458:W1475,$B1488&amp;" ~*")&gt;0)+(IFERROR(INDEX(Setup!$G$33:$G$40,MATCH(Y1488,Setup!$B$33:$B$40,0)),0)=1)*(COUNTIF(Y1458:Y1475,$B1488)+COUNTIF(Y1458:Y1475,$B1488&amp;" ~*")&gt;0))</f>
        <v/>
      </c>
    </row>
    <row r="1489" ht="15" customHeight="1">
      <c r="A1489" t="n">
        <v>30</v>
      </c>
      <c r="B1489" s="35">
        <f>IF(Setup!$B$18="","",Setup!$B$18)</f>
        <v/>
      </c>
      <c r="C1489" s="98" t="n"/>
      <c r="D1489" s="99" t="n"/>
      <c r="E1489" s="99" t="n"/>
      <c r="F1489" s="100" t="n"/>
      <c r="G1489" s="98" t="n"/>
      <c r="H1489" s="99" t="n"/>
      <c r="I1489" s="99" t="n"/>
      <c r="J1489" s="100" t="n"/>
      <c r="K1489" s="98" t="n"/>
      <c r="L1489" s="99" t="n"/>
      <c r="M1489" s="99" t="n"/>
      <c r="N1489" s="100" t="n"/>
      <c r="O1489" s="98" t="n"/>
      <c r="P1489" s="99" t="n"/>
      <c r="Q1489" s="99" t="n"/>
      <c r="R1489" s="100" t="n"/>
      <c r="S1489" s="98" t="n"/>
      <c r="T1489" s="99" t="n"/>
      <c r="U1489" s="99" t="n"/>
      <c r="V1489" s="100" t="n"/>
      <c r="W1489" s="98" t="n"/>
      <c r="X1489" s="100" t="n"/>
      <c r="Y1489" s="98" t="n"/>
      <c r="Z1489" s="100" t="n"/>
      <c r="AB1489" s="101">
        <f>IF($B1489="","",(COUNTIF(C1458:E1475,$B1489)+COUNTIF(C1458:E1475,$B1489&amp;" ~*")&gt;0)+(COUNTIF(G1458:I1475,$B1489)+COUNTIF(G1458:I1475,$B1489&amp;" ~*")&gt;0)+(COUNTIF(K1458:M1475,$B1489)+COUNTIF(K1458:M1475,$B1489&amp;" ~*")&gt;0)+(COUNTIF(O1458:Q1475,$B1489)+COUNTIF(O1458:Q1475,$B1489&amp;" ~*")&gt;0)+(COUNTIF(S1458:U1475,$B1489)+COUNTIF(S1458:U1475,$B1489&amp;" ~*")&gt;0)+(COUNTIF(W1458:W1475,$B1489)+COUNTIF(W1458:W1475,$B1489&amp;" ~*")&gt;0)+(COUNTIF(Y1458:Y1475,$B1489)+COUNTIF(Y1458:Y1475,$B1489&amp;" ~*")&gt;0))</f>
        <v/>
      </c>
      <c r="AC1489" s="36">
        <f>IF($B1489="","",(IFERROR(INDEX(Setup!$G$33:$G$40,MATCH(C1489,Setup!$B$33:$B$40,0)),0)=1)*(COUNTIF(C1458:E1475,$B1489)+COUNTIF(C1458:E1475,$B1489&amp;" ~*")&gt;0)+(IFERROR(INDEX(Setup!$G$33:$G$40,MATCH(G1489,Setup!$B$33:$B$40,0)),0)=1)*(COUNTIF(G1458:I1475,$B1489)+COUNTIF(G1458:I1475,$B1489&amp;" ~*")&gt;0)+(IFERROR(INDEX(Setup!$G$33:$G$40,MATCH(K1489,Setup!$B$33:$B$40,0)),0)=1)*(COUNTIF(K1458:M1475,$B1489)+COUNTIF(K1458:M1475,$B1489&amp;" ~*")&gt;0)+(IFERROR(INDEX(Setup!$G$33:$G$40,MATCH(O1489,Setup!$B$33:$B$40,0)),0)=1)*(COUNTIF(O1458:Q1475,$B1489)+COUNTIF(O1458:Q1475,$B1489&amp;" ~*")&gt;0)+(IFERROR(INDEX(Setup!$G$33:$G$40,MATCH(S1489,Setup!$B$33:$B$40,0)),0)=1)*(COUNTIF(S1458:U1475,$B1489)+COUNTIF(S1458:U1475,$B1489&amp;" ~*")&gt;0)+(IFERROR(INDEX(Setup!$G$33:$G$40,MATCH(W1489,Setup!$B$33:$B$40,0)),0)=1)*(COUNTIF(W1458:W1475,$B1489)+COUNTIF(W1458:W1475,$B1489&amp;" ~*")&gt;0)+(IFERROR(INDEX(Setup!$G$33:$G$40,MATCH(Y1489,Setup!$B$33:$B$40,0)),0)=1)*(COUNTIF(Y1458:Y1475,$B1489)+COUNTIF(Y1458:Y1475,$B1489&amp;" ~*")&gt;0))</f>
        <v/>
      </c>
    </row>
    <row r="1490" ht="15" customHeight="1">
      <c r="A1490" t="n">
        <v>30</v>
      </c>
      <c r="B1490" s="37">
        <f>IF(Setup!$B$19="","",Setup!$B$19)</f>
        <v/>
      </c>
      <c r="C1490" s="102" t="n"/>
      <c r="D1490" s="103" t="n"/>
      <c r="E1490" s="103" t="n"/>
      <c r="F1490" s="104" t="n"/>
      <c r="G1490" s="102" t="n"/>
      <c r="H1490" s="103" t="n"/>
      <c r="I1490" s="103" t="n"/>
      <c r="J1490" s="104" t="n"/>
      <c r="K1490" s="102" t="n"/>
      <c r="L1490" s="103" t="n"/>
      <c r="M1490" s="103" t="n"/>
      <c r="N1490" s="104" t="n"/>
      <c r="O1490" s="102" t="n"/>
      <c r="P1490" s="103" t="n"/>
      <c r="Q1490" s="103" t="n"/>
      <c r="R1490" s="104" t="n"/>
      <c r="S1490" s="102" t="n"/>
      <c r="T1490" s="103" t="n"/>
      <c r="U1490" s="103" t="n"/>
      <c r="V1490" s="104" t="n"/>
      <c r="W1490" s="102" t="n"/>
      <c r="X1490" s="104" t="n"/>
      <c r="Y1490" s="102" t="n"/>
      <c r="Z1490" s="104" t="n"/>
      <c r="AB1490" s="105">
        <f>IF($B1490="","",(COUNTIF(C1458:E1475,$B1490)+COUNTIF(C1458:E1475,$B1490&amp;" ~*")&gt;0)+(COUNTIF(G1458:I1475,$B1490)+COUNTIF(G1458:I1475,$B1490&amp;" ~*")&gt;0)+(COUNTIF(K1458:M1475,$B1490)+COUNTIF(K1458:M1475,$B1490&amp;" ~*")&gt;0)+(COUNTIF(O1458:Q1475,$B1490)+COUNTIF(O1458:Q1475,$B1490&amp;" ~*")&gt;0)+(COUNTIF(S1458:U1475,$B1490)+COUNTIF(S1458:U1475,$B1490&amp;" ~*")&gt;0)+(COUNTIF(W1458:W1475,$B1490)+COUNTIF(W1458:W1475,$B1490&amp;" ~*")&gt;0)+(COUNTIF(Y1458:Y1475,$B1490)+COUNTIF(Y1458:Y1475,$B1490&amp;" ~*")&gt;0))</f>
        <v/>
      </c>
      <c r="AC1490" s="38">
        <f>IF($B1490="","",(IFERROR(INDEX(Setup!$G$33:$G$40,MATCH(C1490,Setup!$B$33:$B$40,0)),0)=1)*(COUNTIF(C1458:E1475,$B1490)+COUNTIF(C1458:E1475,$B1490&amp;" ~*")&gt;0)+(IFERROR(INDEX(Setup!$G$33:$G$40,MATCH(G1490,Setup!$B$33:$B$40,0)),0)=1)*(COUNTIF(G1458:I1475,$B1490)+COUNTIF(G1458:I1475,$B1490&amp;" ~*")&gt;0)+(IFERROR(INDEX(Setup!$G$33:$G$40,MATCH(K1490,Setup!$B$33:$B$40,0)),0)=1)*(COUNTIF(K1458:M1475,$B1490)+COUNTIF(K1458:M1475,$B1490&amp;" ~*")&gt;0)+(IFERROR(INDEX(Setup!$G$33:$G$40,MATCH(O1490,Setup!$B$33:$B$40,0)),0)=1)*(COUNTIF(O1458:Q1475,$B1490)+COUNTIF(O1458:Q1475,$B1490&amp;" ~*")&gt;0)+(IFERROR(INDEX(Setup!$G$33:$G$40,MATCH(S1490,Setup!$B$33:$B$40,0)),0)=1)*(COUNTIF(S1458:U1475,$B1490)+COUNTIF(S1458:U1475,$B1490&amp;" ~*")&gt;0)+(IFERROR(INDEX(Setup!$G$33:$G$40,MATCH(W1490,Setup!$B$33:$B$40,0)),0)=1)*(COUNTIF(W1458:W1475,$B1490)+COUNTIF(W1458:W1475,$B1490&amp;" ~*")&gt;0)+(IFERROR(INDEX(Setup!$G$33:$G$40,MATCH(Y1490,Setup!$B$33:$B$40,0)),0)=1)*(COUNTIF(Y1458:Y1475,$B1490)+COUNTIF(Y1458:Y1475,$B1490&amp;" ~*")&gt;0))</f>
        <v/>
      </c>
    </row>
    <row r="1491" ht="15" customHeight="1">
      <c r="A1491" t="n">
        <v>30</v>
      </c>
      <c r="B1491" s="35">
        <f>IF(Setup!$B$20="","",Setup!$B$20)</f>
        <v/>
      </c>
      <c r="C1491" s="98" t="n"/>
      <c r="D1491" s="99" t="n"/>
      <c r="E1491" s="99" t="n"/>
      <c r="F1491" s="100" t="n"/>
      <c r="G1491" s="98" t="n"/>
      <c r="H1491" s="99" t="n"/>
      <c r="I1491" s="99" t="n"/>
      <c r="J1491" s="100" t="n"/>
      <c r="K1491" s="98" t="n"/>
      <c r="L1491" s="99" t="n"/>
      <c r="M1491" s="99" t="n"/>
      <c r="N1491" s="100" t="n"/>
      <c r="O1491" s="98" t="n"/>
      <c r="P1491" s="99" t="n"/>
      <c r="Q1491" s="99" t="n"/>
      <c r="R1491" s="100" t="n"/>
      <c r="S1491" s="98" t="n"/>
      <c r="T1491" s="99" t="n"/>
      <c r="U1491" s="99" t="n"/>
      <c r="V1491" s="100" t="n"/>
      <c r="W1491" s="98" t="n"/>
      <c r="X1491" s="100" t="n"/>
      <c r="Y1491" s="98" t="n"/>
      <c r="Z1491" s="100" t="n"/>
      <c r="AB1491" s="101">
        <f>IF($B1491="","",(COUNTIF(C1458:E1475,$B1491)+COUNTIF(C1458:E1475,$B1491&amp;" ~*")&gt;0)+(COUNTIF(G1458:I1475,$B1491)+COUNTIF(G1458:I1475,$B1491&amp;" ~*")&gt;0)+(COUNTIF(K1458:M1475,$B1491)+COUNTIF(K1458:M1475,$B1491&amp;" ~*")&gt;0)+(COUNTIF(O1458:Q1475,$B1491)+COUNTIF(O1458:Q1475,$B1491&amp;" ~*")&gt;0)+(COUNTIF(S1458:U1475,$B1491)+COUNTIF(S1458:U1475,$B1491&amp;" ~*")&gt;0)+(COUNTIF(W1458:W1475,$B1491)+COUNTIF(W1458:W1475,$B1491&amp;" ~*")&gt;0)+(COUNTIF(Y1458:Y1475,$B1491)+COUNTIF(Y1458:Y1475,$B1491&amp;" ~*")&gt;0))</f>
        <v/>
      </c>
      <c r="AC1491" s="36">
        <f>IF($B1491="","",(IFERROR(INDEX(Setup!$G$33:$G$40,MATCH(C1491,Setup!$B$33:$B$40,0)),0)=1)*(COUNTIF(C1458:E1475,$B1491)+COUNTIF(C1458:E1475,$B1491&amp;" ~*")&gt;0)+(IFERROR(INDEX(Setup!$G$33:$G$40,MATCH(G1491,Setup!$B$33:$B$40,0)),0)=1)*(COUNTIF(G1458:I1475,$B1491)+COUNTIF(G1458:I1475,$B1491&amp;" ~*")&gt;0)+(IFERROR(INDEX(Setup!$G$33:$G$40,MATCH(K1491,Setup!$B$33:$B$40,0)),0)=1)*(COUNTIF(K1458:M1475,$B1491)+COUNTIF(K1458:M1475,$B1491&amp;" ~*")&gt;0)+(IFERROR(INDEX(Setup!$G$33:$G$40,MATCH(O1491,Setup!$B$33:$B$40,0)),0)=1)*(COUNTIF(O1458:Q1475,$B1491)+COUNTIF(O1458:Q1475,$B1491&amp;" ~*")&gt;0)+(IFERROR(INDEX(Setup!$G$33:$G$40,MATCH(S1491,Setup!$B$33:$B$40,0)),0)=1)*(COUNTIF(S1458:U1475,$B1491)+COUNTIF(S1458:U1475,$B1491&amp;" ~*")&gt;0)+(IFERROR(INDEX(Setup!$G$33:$G$40,MATCH(W1491,Setup!$B$33:$B$40,0)),0)=1)*(COUNTIF(W1458:W1475,$B1491)+COUNTIF(W1458:W1475,$B1491&amp;" ~*")&gt;0)+(IFERROR(INDEX(Setup!$G$33:$G$40,MATCH(Y1491,Setup!$B$33:$B$40,0)),0)=1)*(COUNTIF(Y1458:Y1475,$B1491)+COUNTIF(Y1458:Y1475,$B1491&amp;" ~*")&gt;0))</f>
        <v/>
      </c>
    </row>
    <row r="1492" ht="15" customHeight="1">
      <c r="A1492" t="n">
        <v>30</v>
      </c>
      <c r="B1492" s="37">
        <f>IF(Setup!$B$21="","",Setup!$B$21)</f>
        <v/>
      </c>
      <c r="C1492" s="102" t="n"/>
      <c r="D1492" s="103" t="n"/>
      <c r="E1492" s="103" t="n"/>
      <c r="F1492" s="104" t="n"/>
      <c r="G1492" s="102" t="n"/>
      <c r="H1492" s="103" t="n"/>
      <c r="I1492" s="103" t="n"/>
      <c r="J1492" s="104" t="n"/>
      <c r="K1492" s="102" t="n"/>
      <c r="L1492" s="103" t="n"/>
      <c r="M1492" s="103" t="n"/>
      <c r="N1492" s="104" t="n"/>
      <c r="O1492" s="102" t="n"/>
      <c r="P1492" s="103" t="n"/>
      <c r="Q1492" s="103" t="n"/>
      <c r="R1492" s="104" t="n"/>
      <c r="S1492" s="102" t="n"/>
      <c r="T1492" s="103" t="n"/>
      <c r="U1492" s="103" t="n"/>
      <c r="V1492" s="104" t="n"/>
      <c r="W1492" s="102" t="n"/>
      <c r="X1492" s="104" t="n"/>
      <c r="Y1492" s="102" t="n"/>
      <c r="Z1492" s="104" t="n"/>
      <c r="AB1492" s="105">
        <f>IF($B1492="","",(COUNTIF(C1458:E1475,$B1492)+COUNTIF(C1458:E1475,$B1492&amp;" ~*")&gt;0)+(COUNTIF(G1458:I1475,$B1492)+COUNTIF(G1458:I1475,$B1492&amp;" ~*")&gt;0)+(COUNTIF(K1458:M1475,$B1492)+COUNTIF(K1458:M1475,$B1492&amp;" ~*")&gt;0)+(COUNTIF(O1458:Q1475,$B1492)+COUNTIF(O1458:Q1475,$B1492&amp;" ~*")&gt;0)+(COUNTIF(S1458:U1475,$B1492)+COUNTIF(S1458:U1475,$B1492&amp;" ~*")&gt;0)+(COUNTIF(W1458:W1475,$B1492)+COUNTIF(W1458:W1475,$B1492&amp;" ~*")&gt;0)+(COUNTIF(Y1458:Y1475,$B1492)+COUNTIF(Y1458:Y1475,$B1492&amp;" ~*")&gt;0))</f>
        <v/>
      </c>
      <c r="AC1492" s="38">
        <f>IF($B1492="","",(IFERROR(INDEX(Setup!$G$33:$G$40,MATCH(C1492,Setup!$B$33:$B$40,0)),0)=1)*(COUNTIF(C1458:E1475,$B1492)+COUNTIF(C1458:E1475,$B1492&amp;" ~*")&gt;0)+(IFERROR(INDEX(Setup!$G$33:$G$40,MATCH(G1492,Setup!$B$33:$B$40,0)),0)=1)*(COUNTIF(G1458:I1475,$B1492)+COUNTIF(G1458:I1475,$B1492&amp;" ~*")&gt;0)+(IFERROR(INDEX(Setup!$G$33:$G$40,MATCH(K1492,Setup!$B$33:$B$40,0)),0)=1)*(COUNTIF(K1458:M1475,$B1492)+COUNTIF(K1458:M1475,$B1492&amp;" ~*")&gt;0)+(IFERROR(INDEX(Setup!$G$33:$G$40,MATCH(O1492,Setup!$B$33:$B$40,0)),0)=1)*(COUNTIF(O1458:Q1475,$B1492)+COUNTIF(O1458:Q1475,$B1492&amp;" ~*")&gt;0)+(IFERROR(INDEX(Setup!$G$33:$G$40,MATCH(S1492,Setup!$B$33:$B$40,0)),0)=1)*(COUNTIF(S1458:U1475,$B1492)+COUNTIF(S1458:U1475,$B1492&amp;" ~*")&gt;0)+(IFERROR(INDEX(Setup!$G$33:$G$40,MATCH(W1492,Setup!$B$33:$B$40,0)),0)=1)*(COUNTIF(W1458:W1475,$B1492)+COUNTIF(W1458:W1475,$B1492&amp;" ~*")&gt;0)+(IFERROR(INDEX(Setup!$G$33:$G$40,MATCH(Y1492,Setup!$B$33:$B$40,0)),0)=1)*(COUNTIF(Y1458:Y1475,$B1492)+COUNTIF(Y1458:Y1475,$B1492&amp;" ~*")&gt;0))</f>
        <v/>
      </c>
    </row>
    <row r="1493" ht="15" customHeight="1">
      <c r="A1493" t="n">
        <v>30</v>
      </c>
      <c r="B1493" s="35">
        <f>IF(Setup!$B$22="","",Setup!$B$22)</f>
        <v/>
      </c>
      <c r="C1493" s="98" t="n"/>
      <c r="D1493" s="99" t="n"/>
      <c r="E1493" s="99" t="n"/>
      <c r="F1493" s="100" t="n"/>
      <c r="G1493" s="98" t="n"/>
      <c r="H1493" s="99" t="n"/>
      <c r="I1493" s="99" t="n"/>
      <c r="J1493" s="100" t="n"/>
      <c r="K1493" s="98" t="n"/>
      <c r="L1493" s="99" t="n"/>
      <c r="M1493" s="99" t="n"/>
      <c r="N1493" s="100" t="n"/>
      <c r="O1493" s="98" t="n"/>
      <c r="P1493" s="99" t="n"/>
      <c r="Q1493" s="99" t="n"/>
      <c r="R1493" s="100" t="n"/>
      <c r="S1493" s="98" t="n"/>
      <c r="T1493" s="99" t="n"/>
      <c r="U1493" s="99" t="n"/>
      <c r="V1493" s="100" t="n"/>
      <c r="W1493" s="98" t="n"/>
      <c r="X1493" s="100" t="n"/>
      <c r="Y1493" s="98" t="n"/>
      <c r="Z1493" s="100" t="n"/>
      <c r="AB1493" s="101">
        <f>IF($B1493="","",(COUNTIF(C1458:E1475,$B1493)+COUNTIF(C1458:E1475,$B1493&amp;" ~*")&gt;0)+(COUNTIF(G1458:I1475,$B1493)+COUNTIF(G1458:I1475,$B1493&amp;" ~*")&gt;0)+(COUNTIF(K1458:M1475,$B1493)+COUNTIF(K1458:M1475,$B1493&amp;" ~*")&gt;0)+(COUNTIF(O1458:Q1475,$B1493)+COUNTIF(O1458:Q1475,$B1493&amp;" ~*")&gt;0)+(COUNTIF(S1458:U1475,$B1493)+COUNTIF(S1458:U1475,$B1493&amp;" ~*")&gt;0)+(COUNTIF(W1458:W1475,$B1493)+COUNTIF(W1458:W1475,$B1493&amp;" ~*")&gt;0)+(COUNTIF(Y1458:Y1475,$B1493)+COUNTIF(Y1458:Y1475,$B1493&amp;" ~*")&gt;0))</f>
        <v/>
      </c>
      <c r="AC1493" s="36">
        <f>IF($B1493="","",(IFERROR(INDEX(Setup!$G$33:$G$40,MATCH(C1493,Setup!$B$33:$B$40,0)),0)=1)*(COUNTIF(C1458:E1475,$B1493)+COUNTIF(C1458:E1475,$B1493&amp;" ~*")&gt;0)+(IFERROR(INDEX(Setup!$G$33:$G$40,MATCH(G1493,Setup!$B$33:$B$40,0)),0)=1)*(COUNTIF(G1458:I1475,$B1493)+COUNTIF(G1458:I1475,$B1493&amp;" ~*")&gt;0)+(IFERROR(INDEX(Setup!$G$33:$G$40,MATCH(K1493,Setup!$B$33:$B$40,0)),0)=1)*(COUNTIF(K1458:M1475,$B1493)+COUNTIF(K1458:M1475,$B1493&amp;" ~*")&gt;0)+(IFERROR(INDEX(Setup!$G$33:$G$40,MATCH(O1493,Setup!$B$33:$B$40,0)),0)=1)*(COUNTIF(O1458:Q1475,$B1493)+COUNTIF(O1458:Q1475,$B1493&amp;" ~*")&gt;0)+(IFERROR(INDEX(Setup!$G$33:$G$40,MATCH(S1493,Setup!$B$33:$B$40,0)),0)=1)*(COUNTIF(S1458:U1475,$B1493)+COUNTIF(S1458:U1475,$B1493&amp;" ~*")&gt;0)+(IFERROR(INDEX(Setup!$G$33:$G$40,MATCH(W1493,Setup!$B$33:$B$40,0)),0)=1)*(COUNTIF(W1458:W1475,$B1493)+COUNTIF(W1458:W1475,$B1493&amp;" ~*")&gt;0)+(IFERROR(INDEX(Setup!$G$33:$G$40,MATCH(Y1493,Setup!$B$33:$B$40,0)),0)=1)*(COUNTIF(Y1458:Y1475,$B1493)+COUNTIF(Y1458:Y1475,$B1493&amp;" ~*")&gt;0))</f>
        <v/>
      </c>
    </row>
    <row r="1494" ht="15" customHeight="1">
      <c r="A1494" t="n">
        <v>30</v>
      </c>
      <c r="B1494" s="37">
        <f>IF(Setup!$B$23="","",Setup!$B$23)</f>
        <v/>
      </c>
      <c r="C1494" s="102" t="n"/>
      <c r="D1494" s="103" t="n"/>
      <c r="E1494" s="103" t="n"/>
      <c r="F1494" s="104" t="n"/>
      <c r="G1494" s="102" t="n"/>
      <c r="H1494" s="103" t="n"/>
      <c r="I1494" s="103" t="n"/>
      <c r="J1494" s="104" t="n"/>
      <c r="K1494" s="102" t="n"/>
      <c r="L1494" s="103" t="n"/>
      <c r="M1494" s="103" t="n"/>
      <c r="N1494" s="104" t="n"/>
      <c r="O1494" s="102" t="n"/>
      <c r="P1494" s="103" t="n"/>
      <c r="Q1494" s="103" t="n"/>
      <c r="R1494" s="104" t="n"/>
      <c r="S1494" s="102" t="n"/>
      <c r="T1494" s="103" t="n"/>
      <c r="U1494" s="103" t="n"/>
      <c r="V1494" s="104" t="n"/>
      <c r="W1494" s="102" t="n"/>
      <c r="X1494" s="104" t="n"/>
      <c r="Y1494" s="102" t="n"/>
      <c r="Z1494" s="104" t="n"/>
      <c r="AB1494" s="105">
        <f>IF($B1494="","",(COUNTIF(C1458:E1475,$B1494)+COUNTIF(C1458:E1475,$B1494&amp;" ~*")&gt;0)+(COUNTIF(G1458:I1475,$B1494)+COUNTIF(G1458:I1475,$B1494&amp;" ~*")&gt;0)+(COUNTIF(K1458:M1475,$B1494)+COUNTIF(K1458:M1475,$B1494&amp;" ~*")&gt;0)+(COUNTIF(O1458:Q1475,$B1494)+COUNTIF(O1458:Q1475,$B1494&amp;" ~*")&gt;0)+(COUNTIF(S1458:U1475,$B1494)+COUNTIF(S1458:U1475,$B1494&amp;" ~*")&gt;0)+(COUNTIF(W1458:W1475,$B1494)+COUNTIF(W1458:W1475,$B1494&amp;" ~*")&gt;0)+(COUNTIF(Y1458:Y1475,$B1494)+COUNTIF(Y1458:Y1475,$B1494&amp;" ~*")&gt;0))</f>
        <v/>
      </c>
      <c r="AC1494" s="38">
        <f>IF($B1494="","",(IFERROR(INDEX(Setup!$G$33:$G$40,MATCH(C1494,Setup!$B$33:$B$40,0)),0)=1)*(COUNTIF(C1458:E1475,$B1494)+COUNTIF(C1458:E1475,$B1494&amp;" ~*")&gt;0)+(IFERROR(INDEX(Setup!$G$33:$G$40,MATCH(G1494,Setup!$B$33:$B$40,0)),0)=1)*(COUNTIF(G1458:I1475,$B1494)+COUNTIF(G1458:I1475,$B1494&amp;" ~*")&gt;0)+(IFERROR(INDEX(Setup!$G$33:$G$40,MATCH(K1494,Setup!$B$33:$B$40,0)),0)=1)*(COUNTIF(K1458:M1475,$B1494)+COUNTIF(K1458:M1475,$B1494&amp;" ~*")&gt;0)+(IFERROR(INDEX(Setup!$G$33:$G$40,MATCH(O1494,Setup!$B$33:$B$40,0)),0)=1)*(COUNTIF(O1458:Q1475,$B1494)+COUNTIF(O1458:Q1475,$B1494&amp;" ~*")&gt;0)+(IFERROR(INDEX(Setup!$G$33:$G$40,MATCH(S1494,Setup!$B$33:$B$40,0)),0)=1)*(COUNTIF(S1458:U1475,$B1494)+COUNTIF(S1458:U1475,$B1494&amp;" ~*")&gt;0)+(IFERROR(INDEX(Setup!$G$33:$G$40,MATCH(W1494,Setup!$B$33:$B$40,0)),0)=1)*(COUNTIF(W1458:W1475,$B1494)+COUNTIF(W1458:W1475,$B1494&amp;" ~*")&gt;0)+(IFERROR(INDEX(Setup!$G$33:$G$40,MATCH(Y1494,Setup!$B$33:$B$40,0)),0)=1)*(COUNTIF(Y1458:Y1475,$B1494)+COUNTIF(Y1458:Y1475,$B1494&amp;" ~*")&gt;0))</f>
        <v/>
      </c>
    </row>
    <row r="1495" ht="15" customHeight="1">
      <c r="A1495" t="n">
        <v>30</v>
      </c>
      <c r="B1495" s="35">
        <f>IF(Setup!$B$24="","",Setup!$B$24)</f>
        <v/>
      </c>
      <c r="C1495" s="98" t="n"/>
      <c r="D1495" s="99" t="n"/>
      <c r="E1495" s="99" t="n"/>
      <c r="F1495" s="100" t="n"/>
      <c r="G1495" s="98" t="n"/>
      <c r="H1495" s="99" t="n"/>
      <c r="I1495" s="99" t="n"/>
      <c r="J1495" s="100" t="n"/>
      <c r="K1495" s="98" t="n"/>
      <c r="L1495" s="99" t="n"/>
      <c r="M1495" s="99" t="n"/>
      <c r="N1495" s="100" t="n"/>
      <c r="O1495" s="98" t="n"/>
      <c r="P1495" s="99" t="n"/>
      <c r="Q1495" s="99" t="n"/>
      <c r="R1495" s="100" t="n"/>
      <c r="S1495" s="98" t="n"/>
      <c r="T1495" s="99" t="n"/>
      <c r="U1495" s="99" t="n"/>
      <c r="V1495" s="100" t="n"/>
      <c r="W1495" s="98" t="n"/>
      <c r="X1495" s="100" t="n"/>
      <c r="Y1495" s="98" t="n"/>
      <c r="Z1495" s="100" t="n"/>
      <c r="AB1495" s="101">
        <f>IF($B1495="","",(COUNTIF(C1458:E1475,$B1495)+COUNTIF(C1458:E1475,$B1495&amp;" ~*")&gt;0)+(COUNTIF(G1458:I1475,$B1495)+COUNTIF(G1458:I1475,$B1495&amp;" ~*")&gt;0)+(COUNTIF(K1458:M1475,$B1495)+COUNTIF(K1458:M1475,$B1495&amp;" ~*")&gt;0)+(COUNTIF(O1458:Q1475,$B1495)+COUNTIF(O1458:Q1475,$B1495&amp;" ~*")&gt;0)+(COUNTIF(S1458:U1475,$B1495)+COUNTIF(S1458:U1475,$B1495&amp;" ~*")&gt;0)+(COUNTIF(W1458:W1475,$B1495)+COUNTIF(W1458:W1475,$B1495&amp;" ~*")&gt;0)+(COUNTIF(Y1458:Y1475,$B1495)+COUNTIF(Y1458:Y1475,$B1495&amp;" ~*")&gt;0))</f>
        <v/>
      </c>
      <c r="AC1495" s="36">
        <f>IF($B1495="","",(IFERROR(INDEX(Setup!$G$33:$G$40,MATCH(C1495,Setup!$B$33:$B$40,0)),0)=1)*(COUNTIF(C1458:E1475,$B1495)+COUNTIF(C1458:E1475,$B1495&amp;" ~*")&gt;0)+(IFERROR(INDEX(Setup!$G$33:$G$40,MATCH(G1495,Setup!$B$33:$B$40,0)),0)=1)*(COUNTIF(G1458:I1475,$B1495)+COUNTIF(G1458:I1475,$B1495&amp;" ~*")&gt;0)+(IFERROR(INDEX(Setup!$G$33:$G$40,MATCH(K1495,Setup!$B$33:$B$40,0)),0)=1)*(COUNTIF(K1458:M1475,$B1495)+COUNTIF(K1458:M1475,$B1495&amp;" ~*")&gt;0)+(IFERROR(INDEX(Setup!$G$33:$G$40,MATCH(O1495,Setup!$B$33:$B$40,0)),0)=1)*(COUNTIF(O1458:Q1475,$B1495)+COUNTIF(O1458:Q1475,$B1495&amp;" ~*")&gt;0)+(IFERROR(INDEX(Setup!$G$33:$G$40,MATCH(S1495,Setup!$B$33:$B$40,0)),0)=1)*(COUNTIF(S1458:U1475,$B1495)+COUNTIF(S1458:U1475,$B1495&amp;" ~*")&gt;0)+(IFERROR(INDEX(Setup!$G$33:$G$40,MATCH(W1495,Setup!$B$33:$B$40,0)),0)=1)*(COUNTIF(W1458:W1475,$B1495)+COUNTIF(W1458:W1475,$B1495&amp;" ~*")&gt;0)+(IFERROR(INDEX(Setup!$G$33:$G$40,MATCH(Y1495,Setup!$B$33:$B$40,0)),0)=1)*(COUNTIF(Y1458:Y1475,$B1495)+COUNTIF(Y1458:Y1475,$B1495&amp;" ~*")&gt;0))</f>
        <v/>
      </c>
    </row>
    <row r="1496" ht="15" customHeight="1">
      <c r="A1496" t="n">
        <v>30</v>
      </c>
      <c r="B1496" s="37">
        <f>IF(Setup!$B$25="","",Setup!$B$25)</f>
        <v/>
      </c>
      <c r="C1496" s="102" t="n"/>
      <c r="D1496" s="103" t="n"/>
      <c r="E1496" s="103" t="n"/>
      <c r="F1496" s="104" t="n"/>
      <c r="G1496" s="102" t="n"/>
      <c r="H1496" s="103" t="n"/>
      <c r="I1496" s="103" t="n"/>
      <c r="J1496" s="104" t="n"/>
      <c r="K1496" s="102" t="n"/>
      <c r="L1496" s="103" t="n"/>
      <c r="M1496" s="103" t="n"/>
      <c r="N1496" s="104" t="n"/>
      <c r="O1496" s="102" t="n"/>
      <c r="P1496" s="103" t="n"/>
      <c r="Q1496" s="103" t="n"/>
      <c r="R1496" s="104" t="n"/>
      <c r="S1496" s="102" t="n"/>
      <c r="T1496" s="103" t="n"/>
      <c r="U1496" s="103" t="n"/>
      <c r="V1496" s="104" t="n"/>
      <c r="W1496" s="102" t="n"/>
      <c r="X1496" s="104" t="n"/>
      <c r="Y1496" s="102" t="n"/>
      <c r="Z1496" s="104" t="n"/>
      <c r="AB1496" s="105">
        <f>IF($B1496="","",(COUNTIF(C1458:E1475,$B1496)+COUNTIF(C1458:E1475,$B1496&amp;" ~*")&gt;0)+(COUNTIF(G1458:I1475,$B1496)+COUNTIF(G1458:I1475,$B1496&amp;" ~*")&gt;0)+(COUNTIF(K1458:M1475,$B1496)+COUNTIF(K1458:M1475,$B1496&amp;" ~*")&gt;0)+(COUNTIF(O1458:Q1475,$B1496)+COUNTIF(O1458:Q1475,$B1496&amp;" ~*")&gt;0)+(COUNTIF(S1458:U1475,$B1496)+COUNTIF(S1458:U1475,$B1496&amp;" ~*")&gt;0)+(COUNTIF(W1458:W1475,$B1496)+COUNTIF(W1458:W1475,$B1496&amp;" ~*")&gt;0)+(COUNTIF(Y1458:Y1475,$B1496)+COUNTIF(Y1458:Y1475,$B1496&amp;" ~*")&gt;0))</f>
        <v/>
      </c>
      <c r="AC1496" s="38">
        <f>IF($B1496="","",(IFERROR(INDEX(Setup!$G$33:$G$40,MATCH(C1496,Setup!$B$33:$B$40,0)),0)=1)*(COUNTIF(C1458:E1475,$B1496)+COUNTIF(C1458:E1475,$B1496&amp;" ~*")&gt;0)+(IFERROR(INDEX(Setup!$G$33:$G$40,MATCH(G1496,Setup!$B$33:$B$40,0)),0)=1)*(COUNTIF(G1458:I1475,$B1496)+COUNTIF(G1458:I1475,$B1496&amp;" ~*")&gt;0)+(IFERROR(INDEX(Setup!$G$33:$G$40,MATCH(K1496,Setup!$B$33:$B$40,0)),0)=1)*(COUNTIF(K1458:M1475,$B1496)+COUNTIF(K1458:M1475,$B1496&amp;" ~*")&gt;0)+(IFERROR(INDEX(Setup!$G$33:$G$40,MATCH(O1496,Setup!$B$33:$B$40,0)),0)=1)*(COUNTIF(O1458:Q1475,$B1496)+COUNTIF(O1458:Q1475,$B1496&amp;" ~*")&gt;0)+(IFERROR(INDEX(Setup!$G$33:$G$40,MATCH(S1496,Setup!$B$33:$B$40,0)),0)=1)*(COUNTIF(S1458:U1475,$B1496)+COUNTIF(S1458:U1475,$B1496&amp;" ~*")&gt;0)+(IFERROR(INDEX(Setup!$G$33:$G$40,MATCH(W1496,Setup!$B$33:$B$40,0)),0)=1)*(COUNTIF(W1458:W1475,$B1496)+COUNTIF(W1458:W1475,$B1496&amp;" ~*")&gt;0)+(IFERROR(INDEX(Setup!$G$33:$G$40,MATCH(Y1496,Setup!$B$33:$B$40,0)),0)=1)*(COUNTIF(Y1458:Y1475,$B1496)+COUNTIF(Y1458:Y1475,$B1496&amp;" ~*")&gt;0))</f>
        <v/>
      </c>
    </row>
    <row r="1497" ht="15" customHeight="1">
      <c r="A1497" t="n">
        <v>30</v>
      </c>
      <c r="B1497" s="35">
        <f>IF(Setup!$B$26="","",Setup!$B$26)</f>
        <v/>
      </c>
      <c r="C1497" s="98" t="n"/>
      <c r="D1497" s="99" t="n"/>
      <c r="E1497" s="99" t="n"/>
      <c r="F1497" s="100" t="n"/>
      <c r="G1497" s="98" t="n"/>
      <c r="H1497" s="99" t="n"/>
      <c r="I1497" s="99" t="n"/>
      <c r="J1497" s="100" t="n"/>
      <c r="K1497" s="98" t="n"/>
      <c r="L1497" s="99" t="n"/>
      <c r="M1497" s="99" t="n"/>
      <c r="N1497" s="100" t="n"/>
      <c r="O1497" s="98" t="n"/>
      <c r="P1497" s="99" t="n"/>
      <c r="Q1497" s="99" t="n"/>
      <c r="R1497" s="100" t="n"/>
      <c r="S1497" s="98" t="n"/>
      <c r="T1497" s="99" t="n"/>
      <c r="U1497" s="99" t="n"/>
      <c r="V1497" s="100" t="n"/>
      <c r="W1497" s="98" t="n"/>
      <c r="X1497" s="100" t="n"/>
      <c r="Y1497" s="98" t="n"/>
      <c r="Z1497" s="100" t="n"/>
      <c r="AB1497" s="101">
        <f>IF($B1497="","",(COUNTIF(C1458:E1475,$B1497)+COUNTIF(C1458:E1475,$B1497&amp;" ~*")&gt;0)+(COUNTIF(G1458:I1475,$B1497)+COUNTIF(G1458:I1475,$B1497&amp;" ~*")&gt;0)+(COUNTIF(K1458:M1475,$B1497)+COUNTIF(K1458:M1475,$B1497&amp;" ~*")&gt;0)+(COUNTIF(O1458:Q1475,$B1497)+COUNTIF(O1458:Q1475,$B1497&amp;" ~*")&gt;0)+(COUNTIF(S1458:U1475,$B1497)+COUNTIF(S1458:U1475,$B1497&amp;" ~*")&gt;0)+(COUNTIF(W1458:W1475,$B1497)+COUNTIF(W1458:W1475,$B1497&amp;" ~*")&gt;0)+(COUNTIF(Y1458:Y1475,$B1497)+COUNTIF(Y1458:Y1475,$B1497&amp;" ~*")&gt;0))</f>
        <v/>
      </c>
      <c r="AC1497" s="36">
        <f>IF($B1497="","",(IFERROR(INDEX(Setup!$G$33:$G$40,MATCH(C1497,Setup!$B$33:$B$40,0)),0)=1)*(COUNTIF(C1458:E1475,$B1497)+COUNTIF(C1458:E1475,$B1497&amp;" ~*")&gt;0)+(IFERROR(INDEX(Setup!$G$33:$G$40,MATCH(G1497,Setup!$B$33:$B$40,0)),0)=1)*(COUNTIF(G1458:I1475,$B1497)+COUNTIF(G1458:I1475,$B1497&amp;" ~*")&gt;0)+(IFERROR(INDEX(Setup!$G$33:$G$40,MATCH(K1497,Setup!$B$33:$B$40,0)),0)=1)*(COUNTIF(K1458:M1475,$B1497)+COUNTIF(K1458:M1475,$B1497&amp;" ~*")&gt;0)+(IFERROR(INDEX(Setup!$G$33:$G$40,MATCH(O1497,Setup!$B$33:$B$40,0)),0)=1)*(COUNTIF(O1458:Q1475,$B1497)+COUNTIF(O1458:Q1475,$B1497&amp;" ~*")&gt;0)+(IFERROR(INDEX(Setup!$G$33:$G$40,MATCH(S1497,Setup!$B$33:$B$40,0)),0)=1)*(COUNTIF(S1458:U1475,$B1497)+COUNTIF(S1458:U1475,$B1497&amp;" ~*")&gt;0)+(IFERROR(INDEX(Setup!$G$33:$G$40,MATCH(W1497,Setup!$B$33:$B$40,0)),0)=1)*(COUNTIF(W1458:W1475,$B1497)+COUNTIF(W1458:W1475,$B1497&amp;" ~*")&gt;0)+(IFERROR(INDEX(Setup!$G$33:$G$40,MATCH(Y1497,Setup!$B$33:$B$40,0)),0)=1)*(COUNTIF(Y1458:Y1475,$B1497)+COUNTIF(Y1458:Y1475,$B1497&amp;" ~*")&gt;0))</f>
        <v/>
      </c>
    </row>
    <row r="1498" ht="15" customHeight="1">
      <c r="A1498" t="n">
        <v>30</v>
      </c>
      <c r="B1498" s="37">
        <f>IF(Setup!$B$27="","",Setup!$B$27)</f>
        <v/>
      </c>
      <c r="C1498" s="102" t="n"/>
      <c r="D1498" s="103" t="n"/>
      <c r="E1498" s="103" t="n"/>
      <c r="F1498" s="104" t="n"/>
      <c r="G1498" s="102" t="n"/>
      <c r="H1498" s="103" t="n"/>
      <c r="I1498" s="103" t="n"/>
      <c r="J1498" s="104" t="n"/>
      <c r="K1498" s="102" t="n"/>
      <c r="L1498" s="103" t="n"/>
      <c r="M1498" s="103" t="n"/>
      <c r="N1498" s="104" t="n"/>
      <c r="O1498" s="102" t="n"/>
      <c r="P1498" s="103" t="n"/>
      <c r="Q1498" s="103" t="n"/>
      <c r="R1498" s="104" t="n"/>
      <c r="S1498" s="102" t="n"/>
      <c r="T1498" s="103" t="n"/>
      <c r="U1498" s="103" t="n"/>
      <c r="V1498" s="104" t="n"/>
      <c r="W1498" s="102" t="n"/>
      <c r="X1498" s="104" t="n"/>
      <c r="Y1498" s="102" t="n"/>
      <c r="Z1498" s="104" t="n"/>
      <c r="AB1498" s="105">
        <f>IF($B1498="","",(COUNTIF(C1458:E1475,$B1498)+COUNTIF(C1458:E1475,$B1498&amp;" ~*")&gt;0)+(COUNTIF(G1458:I1475,$B1498)+COUNTIF(G1458:I1475,$B1498&amp;" ~*")&gt;0)+(COUNTIF(K1458:M1475,$B1498)+COUNTIF(K1458:M1475,$B1498&amp;" ~*")&gt;0)+(COUNTIF(O1458:Q1475,$B1498)+COUNTIF(O1458:Q1475,$B1498&amp;" ~*")&gt;0)+(COUNTIF(S1458:U1475,$B1498)+COUNTIF(S1458:U1475,$B1498&amp;" ~*")&gt;0)+(COUNTIF(W1458:W1475,$B1498)+COUNTIF(W1458:W1475,$B1498&amp;" ~*")&gt;0)+(COUNTIF(Y1458:Y1475,$B1498)+COUNTIF(Y1458:Y1475,$B1498&amp;" ~*")&gt;0))</f>
        <v/>
      </c>
      <c r="AC1498" s="38">
        <f>IF($B1498="","",(IFERROR(INDEX(Setup!$G$33:$G$40,MATCH(C1498,Setup!$B$33:$B$40,0)),0)=1)*(COUNTIF(C1458:E1475,$B1498)+COUNTIF(C1458:E1475,$B1498&amp;" ~*")&gt;0)+(IFERROR(INDEX(Setup!$G$33:$G$40,MATCH(G1498,Setup!$B$33:$B$40,0)),0)=1)*(COUNTIF(G1458:I1475,$B1498)+COUNTIF(G1458:I1475,$B1498&amp;" ~*")&gt;0)+(IFERROR(INDEX(Setup!$G$33:$G$40,MATCH(K1498,Setup!$B$33:$B$40,0)),0)=1)*(COUNTIF(K1458:M1475,$B1498)+COUNTIF(K1458:M1475,$B1498&amp;" ~*")&gt;0)+(IFERROR(INDEX(Setup!$G$33:$G$40,MATCH(O1498,Setup!$B$33:$B$40,0)),0)=1)*(COUNTIF(O1458:Q1475,$B1498)+COUNTIF(O1458:Q1475,$B1498&amp;" ~*")&gt;0)+(IFERROR(INDEX(Setup!$G$33:$G$40,MATCH(S1498,Setup!$B$33:$B$40,0)),0)=1)*(COUNTIF(S1458:U1475,$B1498)+COUNTIF(S1458:U1475,$B1498&amp;" ~*")&gt;0)+(IFERROR(INDEX(Setup!$G$33:$G$40,MATCH(W1498,Setup!$B$33:$B$40,0)),0)=1)*(COUNTIF(W1458:W1475,$B1498)+COUNTIF(W1458:W1475,$B1498&amp;" ~*")&gt;0)+(IFERROR(INDEX(Setup!$G$33:$G$40,MATCH(Y1498,Setup!$B$33:$B$40,0)),0)=1)*(COUNTIF(Y1458:Y1475,$B1498)+COUNTIF(Y1458:Y1475,$B1498&amp;" ~*")&gt;0))</f>
        <v/>
      </c>
    </row>
    <row r="1499" ht="15" customHeight="1">
      <c r="A1499" t="n">
        <v>30</v>
      </c>
      <c r="B1499" s="35">
        <f>IF(Setup!$B$28="","",Setup!$B$28)</f>
        <v/>
      </c>
      <c r="C1499" s="98" t="n"/>
      <c r="D1499" s="99" t="n"/>
      <c r="E1499" s="99" t="n"/>
      <c r="F1499" s="100" t="n"/>
      <c r="G1499" s="98" t="n"/>
      <c r="H1499" s="99" t="n"/>
      <c r="I1499" s="99" t="n"/>
      <c r="J1499" s="100" t="n"/>
      <c r="K1499" s="98" t="n"/>
      <c r="L1499" s="99" t="n"/>
      <c r="M1499" s="99" t="n"/>
      <c r="N1499" s="100" t="n"/>
      <c r="O1499" s="98" t="n"/>
      <c r="P1499" s="99" t="n"/>
      <c r="Q1499" s="99" t="n"/>
      <c r="R1499" s="100" t="n"/>
      <c r="S1499" s="98" t="n"/>
      <c r="T1499" s="99" t="n"/>
      <c r="U1499" s="99" t="n"/>
      <c r="V1499" s="100" t="n"/>
      <c r="W1499" s="98" t="n"/>
      <c r="X1499" s="100" t="n"/>
      <c r="Y1499" s="98" t="n"/>
      <c r="Z1499" s="100" t="n"/>
      <c r="AB1499" s="101">
        <f>IF($B1499="","",(COUNTIF(C1458:E1475,$B1499)+COUNTIF(C1458:E1475,$B1499&amp;" ~*")&gt;0)+(COUNTIF(G1458:I1475,$B1499)+COUNTIF(G1458:I1475,$B1499&amp;" ~*")&gt;0)+(COUNTIF(K1458:M1475,$B1499)+COUNTIF(K1458:M1475,$B1499&amp;" ~*")&gt;0)+(COUNTIF(O1458:Q1475,$B1499)+COUNTIF(O1458:Q1475,$B1499&amp;" ~*")&gt;0)+(COUNTIF(S1458:U1475,$B1499)+COUNTIF(S1458:U1475,$B1499&amp;" ~*")&gt;0)+(COUNTIF(W1458:W1475,$B1499)+COUNTIF(W1458:W1475,$B1499&amp;" ~*")&gt;0)+(COUNTIF(Y1458:Y1475,$B1499)+COUNTIF(Y1458:Y1475,$B1499&amp;" ~*")&gt;0))</f>
        <v/>
      </c>
      <c r="AC1499" s="36">
        <f>IF($B1499="","",(IFERROR(INDEX(Setup!$G$33:$G$40,MATCH(C1499,Setup!$B$33:$B$40,0)),0)=1)*(COUNTIF(C1458:E1475,$B1499)+COUNTIF(C1458:E1475,$B1499&amp;" ~*")&gt;0)+(IFERROR(INDEX(Setup!$G$33:$G$40,MATCH(G1499,Setup!$B$33:$B$40,0)),0)=1)*(COUNTIF(G1458:I1475,$B1499)+COUNTIF(G1458:I1475,$B1499&amp;" ~*")&gt;0)+(IFERROR(INDEX(Setup!$G$33:$G$40,MATCH(K1499,Setup!$B$33:$B$40,0)),0)=1)*(COUNTIF(K1458:M1475,$B1499)+COUNTIF(K1458:M1475,$B1499&amp;" ~*")&gt;0)+(IFERROR(INDEX(Setup!$G$33:$G$40,MATCH(O1499,Setup!$B$33:$B$40,0)),0)=1)*(COUNTIF(O1458:Q1475,$B1499)+COUNTIF(O1458:Q1475,$B1499&amp;" ~*")&gt;0)+(IFERROR(INDEX(Setup!$G$33:$G$40,MATCH(S1499,Setup!$B$33:$B$40,0)),0)=1)*(COUNTIF(S1458:U1475,$B1499)+COUNTIF(S1458:U1475,$B1499&amp;" ~*")&gt;0)+(IFERROR(INDEX(Setup!$G$33:$G$40,MATCH(W1499,Setup!$B$33:$B$40,0)),0)=1)*(COUNTIF(W1458:W1475,$B1499)+COUNTIF(W1458:W1475,$B1499&amp;" ~*")&gt;0)+(IFERROR(INDEX(Setup!$G$33:$G$40,MATCH(Y1499,Setup!$B$33:$B$40,0)),0)=1)*(COUNTIF(Y1458:Y1475,$B1499)+COUNTIF(Y1458:Y1475,$B1499&amp;" ~*")&gt;0))</f>
        <v/>
      </c>
    </row>
    <row r="1500" ht="15" customHeight="1">
      <c r="A1500" t="n">
        <v>30</v>
      </c>
      <c r="B1500" s="37">
        <f>IF(Setup!$B$29="","",Setup!$B$29)</f>
        <v/>
      </c>
      <c r="C1500" s="102" t="n"/>
      <c r="D1500" s="103" t="n"/>
      <c r="E1500" s="103" t="n"/>
      <c r="F1500" s="104" t="n"/>
      <c r="G1500" s="102" t="n"/>
      <c r="H1500" s="103" t="n"/>
      <c r="I1500" s="103" t="n"/>
      <c r="J1500" s="104" t="n"/>
      <c r="K1500" s="102" t="n"/>
      <c r="L1500" s="103" t="n"/>
      <c r="M1500" s="103" t="n"/>
      <c r="N1500" s="104" t="n"/>
      <c r="O1500" s="102" t="n"/>
      <c r="P1500" s="103" t="n"/>
      <c r="Q1500" s="103" t="n"/>
      <c r="R1500" s="104" t="n"/>
      <c r="S1500" s="102" t="n"/>
      <c r="T1500" s="103" t="n"/>
      <c r="U1500" s="103" t="n"/>
      <c r="V1500" s="104" t="n"/>
      <c r="W1500" s="102" t="n"/>
      <c r="X1500" s="104" t="n"/>
      <c r="Y1500" s="102" t="n"/>
      <c r="Z1500" s="104" t="n"/>
      <c r="AB1500" s="105">
        <f>IF($B1500="","",(COUNTIF(C1458:E1475,$B1500)+COUNTIF(C1458:E1475,$B1500&amp;" ~*")&gt;0)+(COUNTIF(G1458:I1475,$B1500)+COUNTIF(G1458:I1475,$B1500&amp;" ~*")&gt;0)+(COUNTIF(K1458:M1475,$B1500)+COUNTIF(K1458:M1475,$B1500&amp;" ~*")&gt;0)+(COUNTIF(O1458:Q1475,$B1500)+COUNTIF(O1458:Q1475,$B1500&amp;" ~*")&gt;0)+(COUNTIF(S1458:U1475,$B1500)+COUNTIF(S1458:U1475,$B1500&amp;" ~*")&gt;0)+(COUNTIF(W1458:W1475,$B1500)+COUNTIF(W1458:W1475,$B1500&amp;" ~*")&gt;0)+(COUNTIF(Y1458:Y1475,$B1500)+COUNTIF(Y1458:Y1475,$B1500&amp;" ~*")&gt;0))</f>
        <v/>
      </c>
      <c r="AC1500" s="38">
        <f>IF($B1500="","",(IFERROR(INDEX(Setup!$G$33:$G$40,MATCH(C1500,Setup!$B$33:$B$40,0)),0)=1)*(COUNTIF(C1458:E1475,$B1500)+COUNTIF(C1458:E1475,$B1500&amp;" ~*")&gt;0)+(IFERROR(INDEX(Setup!$G$33:$G$40,MATCH(G1500,Setup!$B$33:$B$40,0)),0)=1)*(COUNTIF(G1458:I1475,$B1500)+COUNTIF(G1458:I1475,$B1500&amp;" ~*")&gt;0)+(IFERROR(INDEX(Setup!$G$33:$G$40,MATCH(K1500,Setup!$B$33:$B$40,0)),0)=1)*(COUNTIF(K1458:M1475,$B1500)+COUNTIF(K1458:M1475,$B1500&amp;" ~*")&gt;0)+(IFERROR(INDEX(Setup!$G$33:$G$40,MATCH(O1500,Setup!$B$33:$B$40,0)),0)=1)*(COUNTIF(O1458:Q1475,$B1500)+COUNTIF(O1458:Q1475,$B1500&amp;" ~*")&gt;0)+(IFERROR(INDEX(Setup!$G$33:$G$40,MATCH(S1500,Setup!$B$33:$B$40,0)),0)=1)*(COUNTIF(S1458:U1475,$B1500)+COUNTIF(S1458:U1475,$B1500&amp;" ~*")&gt;0)+(IFERROR(INDEX(Setup!$G$33:$G$40,MATCH(W1500,Setup!$B$33:$B$40,0)),0)=1)*(COUNTIF(W1458:W1475,$B1500)+COUNTIF(W1458:W1475,$B1500&amp;" ~*")&gt;0)+(IFERROR(INDEX(Setup!$G$33:$G$40,MATCH(Y1500,Setup!$B$33:$B$40,0)),0)=1)*(COUNTIF(Y1458:Y1475,$B1500)+COUNTIF(Y1458:Y1475,$B1500&amp;" ~*")&gt;0))</f>
        <v/>
      </c>
    </row>
    <row r="1501" ht="16" customHeight="1">
      <c r="A1501" t="n">
        <v>30</v>
      </c>
      <c r="B1501" s="106" t="inlineStr">
        <is>
          <t>Available people</t>
        </is>
      </c>
      <c r="C1501" s="107">
        <f>COUNTIFS(Setup!$E$6:$E$29,"Y",Setup!$B$6:$B$29,"?*")-SUMPRODUCT(COUNTIF(C1477:C1500,Setup!$F$33:$F$40))</f>
        <v/>
      </c>
      <c r="D1501" s="107" t="n"/>
      <c r="E1501" s="107" t="n"/>
      <c r="F1501" s="107" t="n"/>
      <c r="G1501" s="107">
        <f>COUNTIFS(Setup!$E$6:$E$29,"Y",Setup!$B$6:$B$29,"?*")-SUMPRODUCT(COUNTIF(G1477:G1500,Setup!$F$33:$F$40))</f>
        <v/>
      </c>
      <c r="H1501" s="107" t="n"/>
      <c r="I1501" s="107" t="n"/>
      <c r="J1501" s="107" t="n"/>
      <c r="K1501" s="107">
        <f>COUNTIFS(Setup!$E$6:$E$29,"Y",Setup!$B$6:$B$29,"?*")-SUMPRODUCT(COUNTIF(K1477:K1500,Setup!$F$33:$F$40))</f>
        <v/>
      </c>
      <c r="L1501" s="107" t="n"/>
      <c r="M1501" s="107" t="n"/>
      <c r="N1501" s="107" t="n"/>
      <c r="O1501" s="107">
        <f>COUNTIFS(Setup!$E$6:$E$29,"Y",Setup!$B$6:$B$29,"?*")-SUMPRODUCT(COUNTIF(O1477:O1500,Setup!$F$33:$F$40))</f>
        <v/>
      </c>
      <c r="P1501" s="107" t="n"/>
      <c r="Q1501" s="107" t="n"/>
      <c r="R1501" s="107" t="n"/>
      <c r="S1501" s="107">
        <f>COUNTIFS(Setup!$E$6:$E$29,"Y",Setup!$B$6:$B$29,"?*")-SUMPRODUCT(COUNTIF(S1477:S1500,Setup!$F$33:$F$40))</f>
        <v/>
      </c>
      <c r="T1501" s="107" t="n"/>
      <c r="U1501" s="107" t="n"/>
      <c r="V1501" s="107" t="n"/>
      <c r="W1501" s="107">
        <f>COUNTIFS(Setup!$E$6:$E$29,"Y",Setup!$B$6:$B$29,"?*")-SUMPRODUCT(COUNTIF(W1477:W1500,Setup!$F$33:$F$40))</f>
        <v/>
      </c>
      <c r="X1501" s="107" t="n"/>
      <c r="Y1501" s="107">
        <f>COUNTIFS(Setup!$E$6:$E$29,"Y",Setup!$B$6:$B$29,"?*")-SUMPRODUCT(COUNTIF(Y1477:Y1500,Setup!$F$33:$F$40))</f>
        <v/>
      </c>
      <c r="Z1501" s="107" t="n"/>
      <c r="AB1501" s="108">
        <f>SUM(AB1477:AB1500)</f>
        <v/>
      </c>
      <c r="AC1501" s="109">
        <f>SUM(AC1477:AC1500)</f>
        <v/>
      </c>
    </row>
    <row r="1502" ht="30" customHeight="1">
      <c r="A1502" t="n">
        <v>30</v>
      </c>
      <c r="B1502" s="110" t="inlineStr">
        <is>
          <t>Week notes</t>
        </is>
      </c>
      <c r="C1502" s="111" t="n"/>
      <c r="D1502" s="112" t="n"/>
      <c r="E1502" s="112" t="n"/>
      <c r="F1502" s="112" t="n"/>
      <c r="G1502" s="112" t="n"/>
      <c r="H1502" s="112" t="n"/>
      <c r="I1502" s="112" t="n"/>
      <c r="J1502" s="112" t="n"/>
      <c r="K1502" s="112" t="n"/>
      <c r="L1502" s="112" t="n"/>
      <c r="M1502" s="112" t="n"/>
      <c r="N1502" s="112" t="n"/>
      <c r="O1502" s="112" t="n"/>
      <c r="P1502" s="112" t="n"/>
      <c r="Q1502" s="112" t="n"/>
      <c r="R1502" s="112" t="n"/>
      <c r="S1502" s="112" t="n"/>
      <c r="T1502" s="112" t="n"/>
      <c r="U1502" s="112" t="n"/>
      <c r="V1502" s="112" t="n"/>
      <c r="W1502" s="112" t="n"/>
      <c r="X1502" s="112" t="n"/>
      <c r="Y1502" s="112" t="n"/>
      <c r="Z1502" s="113" t="n"/>
    </row>
    <row r="1503" ht="8" customHeight="1">
      <c r="A1503" t="n">
        <v>30</v>
      </c>
    </row>
    <row r="1504" ht="8" customHeight="1">
      <c r="A1504" t="n">
        <v>30</v>
      </c>
    </row>
    <row r="1505" ht="24" customHeight="1">
      <c r="A1505" t="n">
        <v>31</v>
      </c>
      <c r="B1505" s="73">
        <f>"WEEK 31     "&amp;TEXT(C1506,"ddd d mmm")&amp;"  –  "&amp;TEXT(C1506+6,"ddd d mmm yyyy")</f>
        <v/>
      </c>
      <c r="S1505" s="74">
        <f>IF(TODAY()&lt;C1506,"FUTURE",IF(TODAY()&gt;C1506+6,"PAST","THIS WEEK"))</f>
        <v/>
      </c>
      <c r="W1505" s="75">
        <f>IF(AND(Engine!$B$8=$AC$3,Engine!$B$9=$A1505),"◀ ACTIVE WEEK","")</f>
        <v/>
      </c>
      <c r="AA1505" s="76" t="n"/>
      <c r="AB1505" s="77" t="inlineStr">
        <is>
          <t>◀ Prev</t>
        </is>
      </c>
      <c r="AC1505" s="77" t="inlineStr">
        <is>
          <t>Next ▶</t>
        </is>
      </c>
    </row>
    <row r="1506" ht="18" customHeight="1">
      <c r="A1506" t="n">
        <v>31</v>
      </c>
      <c r="B1506" s="78" t="inlineStr">
        <is>
          <t>DUTY</t>
        </is>
      </c>
      <c r="C1506" s="79">
        <f>$AC$2+7*($A1506-1)</f>
        <v/>
      </c>
      <c r="D1506" s="80" t="n"/>
      <c r="E1506" s="80" t="n"/>
      <c r="F1506" s="81" t="n"/>
      <c r="G1506" s="79">
        <f>C1506+1</f>
        <v/>
      </c>
      <c r="H1506" s="80" t="n"/>
      <c r="I1506" s="80" t="n"/>
      <c r="J1506" s="81" t="n"/>
      <c r="K1506" s="79">
        <f>C1506+2</f>
        <v/>
      </c>
      <c r="L1506" s="80" t="n"/>
      <c r="M1506" s="80" t="n"/>
      <c r="N1506" s="81" t="n"/>
      <c r="O1506" s="79">
        <f>C1506+3</f>
        <v/>
      </c>
      <c r="P1506" s="80" t="n"/>
      <c r="Q1506" s="80" t="n"/>
      <c r="R1506" s="81" t="n"/>
      <c r="S1506" s="79">
        <f>C1506+4</f>
        <v/>
      </c>
      <c r="T1506" s="80" t="n"/>
      <c r="U1506" s="80" t="n"/>
      <c r="V1506" s="81" t="n"/>
      <c r="W1506" s="82">
        <f>C1506+5</f>
        <v/>
      </c>
      <c r="X1506" s="83" t="n"/>
      <c r="Y1506" s="82">
        <f>C1506+6</f>
        <v/>
      </c>
      <c r="Z1506" s="83" t="n"/>
      <c r="AB1506" s="72" t="inlineStr">
        <is>
          <t>Gaps</t>
        </is>
      </c>
      <c r="AC1506" s="72" t="inlineStr">
        <is>
          <t>Cover</t>
        </is>
      </c>
    </row>
    <row r="1507" ht="14" customHeight="1">
      <c r="A1507" t="n">
        <v>31</v>
      </c>
      <c r="B1507" s="84" t="inlineStr">
        <is>
          <t>(from Setup)</t>
        </is>
      </c>
      <c r="C1507" s="85" t="inlineStr">
        <is>
          <t>1</t>
        </is>
      </c>
      <c r="D1507" s="85" t="inlineStr">
        <is>
          <t>2</t>
        </is>
      </c>
      <c r="E1507" s="85" t="inlineStr">
        <is>
          <t>3</t>
        </is>
      </c>
      <c r="F1507" s="85" t="inlineStr">
        <is>
          <t>Notes</t>
        </is>
      </c>
      <c r="G1507" s="85" t="inlineStr">
        <is>
          <t>1</t>
        </is>
      </c>
      <c r="H1507" s="85" t="inlineStr">
        <is>
          <t>2</t>
        </is>
      </c>
      <c r="I1507" s="85" t="inlineStr">
        <is>
          <t>3</t>
        </is>
      </c>
      <c r="J1507" s="85" t="inlineStr">
        <is>
          <t>Notes</t>
        </is>
      </c>
      <c r="K1507" s="85" t="inlineStr">
        <is>
          <t>1</t>
        </is>
      </c>
      <c r="L1507" s="85" t="inlineStr">
        <is>
          <t>2</t>
        </is>
      </c>
      <c r="M1507" s="85" t="inlineStr">
        <is>
          <t>3</t>
        </is>
      </c>
      <c r="N1507" s="85" t="inlineStr">
        <is>
          <t>Notes</t>
        </is>
      </c>
      <c r="O1507" s="85" t="inlineStr">
        <is>
          <t>1</t>
        </is>
      </c>
      <c r="P1507" s="85" t="inlineStr">
        <is>
          <t>2</t>
        </is>
      </c>
      <c r="Q1507" s="85" t="inlineStr">
        <is>
          <t>3</t>
        </is>
      </c>
      <c r="R1507" s="85" t="inlineStr">
        <is>
          <t>Notes</t>
        </is>
      </c>
      <c r="S1507" s="85" t="inlineStr">
        <is>
          <t>1</t>
        </is>
      </c>
      <c r="T1507" s="85" t="inlineStr">
        <is>
          <t>2</t>
        </is>
      </c>
      <c r="U1507" s="85" t="inlineStr">
        <is>
          <t>3</t>
        </is>
      </c>
      <c r="V1507" s="85" t="inlineStr">
        <is>
          <t>Notes</t>
        </is>
      </c>
      <c r="W1507" s="85" t="inlineStr">
        <is>
          <t>Cover</t>
        </is>
      </c>
      <c r="X1507" s="85" t="inlineStr">
        <is>
          <t>Notes</t>
        </is>
      </c>
      <c r="Y1507" s="85" t="inlineStr">
        <is>
          <t>Cover</t>
        </is>
      </c>
      <c r="Z1507" s="85" t="inlineStr">
        <is>
          <t>Notes</t>
        </is>
      </c>
      <c r="AB1507" s="86" t="inlineStr">
        <is>
          <t>weekdays short</t>
        </is>
      </c>
      <c r="AC1507" s="87" t="inlineStr"/>
    </row>
    <row r="1508" ht="17" customHeight="1">
      <c r="A1508" t="n">
        <v>31</v>
      </c>
      <c r="B1508" s="24">
        <f>IF(Setup!$K$6="","",Setup!$K$6)</f>
        <v/>
      </c>
      <c r="C1508" s="88" t="n"/>
      <c r="D1508" s="88" t="n"/>
      <c r="E1508" s="88" t="n"/>
      <c r="F1508" s="89" t="n"/>
      <c r="G1508" s="88" t="n"/>
      <c r="H1508" s="88" t="n"/>
      <c r="I1508" s="88" t="n"/>
      <c r="J1508" s="89" t="n"/>
      <c r="K1508" s="88" t="n"/>
      <c r="L1508" s="88" t="n"/>
      <c r="M1508" s="88" t="n"/>
      <c r="N1508" s="89" t="n"/>
      <c r="O1508" s="88" t="n"/>
      <c r="P1508" s="88" t="n"/>
      <c r="Q1508" s="88" t="n"/>
      <c r="R1508" s="89" t="n"/>
      <c r="S1508" s="88" t="n"/>
      <c r="T1508" s="88" t="n"/>
      <c r="U1508" s="88" t="n"/>
      <c r="V1508" s="89" t="n"/>
      <c r="W1508" s="88" t="n"/>
      <c r="X1508" s="89" t="n"/>
      <c r="Y1508" s="88" t="n"/>
      <c r="Z1508" s="89" t="n"/>
      <c r="AB1508" s="25">
        <f>IF($B1508="","",(COUNTIF(C1508:E1508,"?*")&lt;N(INDEX(Setup!$L$6:$L$23,1)))+(COUNTIF(G1508:I1508,"?*")&lt;N(INDEX(Setup!$L$6:$L$23,1)))+(COUNTIF(K1508:M1508,"?*")&lt;N(INDEX(Setup!$L$6:$L$23,1)))+(COUNTIF(O1508:Q1508,"?*")&lt;N(INDEX(Setup!$L$6:$L$23,1)))+(COUNTIF(S1508:U1508,"?*")&lt;N(INDEX(Setup!$L$6:$L$23,1)))+((W1508="")*(INDEX(Setup!$M$6:$M$23,1)="Y"))+((Y1508="")*(INDEX(Setup!$M$6:$M$23,1)="Y")))</f>
        <v/>
      </c>
      <c r="AC1508" s="90">
        <f>IF($B1508="","",IF(AB1508=0,"✓ covered","⚠ "&amp;AB1508&amp;IF(AB1508=1," gap"," gaps")))</f>
        <v/>
      </c>
    </row>
    <row r="1509" ht="17" customHeight="1">
      <c r="A1509" t="n">
        <v>31</v>
      </c>
      <c r="B1509" s="29">
        <f>IF(Setup!$K$7="","",Setup!$K$7)</f>
        <v/>
      </c>
      <c r="C1509" s="88" t="n"/>
      <c r="D1509" s="88" t="n"/>
      <c r="E1509" s="88" t="n"/>
      <c r="F1509" s="89" t="n"/>
      <c r="G1509" s="88" t="n"/>
      <c r="H1509" s="88" t="n"/>
      <c r="I1509" s="88" t="n"/>
      <c r="J1509" s="89" t="n"/>
      <c r="K1509" s="88" t="n"/>
      <c r="L1509" s="88" t="n"/>
      <c r="M1509" s="88" t="n"/>
      <c r="N1509" s="89" t="n"/>
      <c r="O1509" s="88" t="n"/>
      <c r="P1509" s="88" t="n"/>
      <c r="Q1509" s="88" t="n"/>
      <c r="R1509" s="89" t="n"/>
      <c r="S1509" s="88" t="n"/>
      <c r="T1509" s="88" t="n"/>
      <c r="U1509" s="88" t="n"/>
      <c r="V1509" s="89" t="n"/>
      <c r="W1509" s="88" t="n"/>
      <c r="X1509" s="89" t="n"/>
      <c r="Y1509" s="88" t="n"/>
      <c r="Z1509" s="89" t="n"/>
      <c r="AB1509" s="30">
        <f>IF($B1509="","",(COUNTIF(C1509:E1509,"?*")&lt;N(INDEX(Setup!$L$6:$L$23,2)))+(COUNTIF(G1509:I1509,"?*")&lt;N(INDEX(Setup!$L$6:$L$23,2)))+(COUNTIF(K1509:M1509,"?*")&lt;N(INDEX(Setup!$L$6:$L$23,2)))+(COUNTIF(O1509:Q1509,"?*")&lt;N(INDEX(Setup!$L$6:$L$23,2)))+(COUNTIF(S1509:U1509,"?*")&lt;N(INDEX(Setup!$L$6:$L$23,2)))+((W1509="")*(INDEX(Setup!$M$6:$M$23,2)="Y"))+((Y1509="")*(INDEX(Setup!$M$6:$M$23,2)="Y")))</f>
        <v/>
      </c>
      <c r="AC1509" s="91">
        <f>IF($B1509="","",IF(AB1509=0,"✓ covered","⚠ "&amp;AB1509&amp;IF(AB1509=1," gap"," gaps")))</f>
        <v/>
      </c>
    </row>
    <row r="1510" ht="17" customHeight="1">
      <c r="A1510" t="n">
        <v>31</v>
      </c>
      <c r="B1510" s="24">
        <f>IF(Setup!$K$8="","",Setup!$K$8)</f>
        <v/>
      </c>
      <c r="C1510" s="88" t="n"/>
      <c r="D1510" s="88" t="n"/>
      <c r="E1510" s="88" t="n"/>
      <c r="F1510" s="89" t="n"/>
      <c r="G1510" s="88" t="n"/>
      <c r="H1510" s="88" t="n"/>
      <c r="I1510" s="88" t="n"/>
      <c r="J1510" s="89" t="n"/>
      <c r="K1510" s="88" t="n"/>
      <c r="L1510" s="88" t="n"/>
      <c r="M1510" s="88" t="n"/>
      <c r="N1510" s="89" t="n"/>
      <c r="O1510" s="88" t="n"/>
      <c r="P1510" s="88" t="n"/>
      <c r="Q1510" s="88" t="n"/>
      <c r="R1510" s="89" t="n"/>
      <c r="S1510" s="88" t="n"/>
      <c r="T1510" s="88" t="n"/>
      <c r="U1510" s="88" t="n"/>
      <c r="V1510" s="89" t="n"/>
      <c r="W1510" s="88" t="n"/>
      <c r="X1510" s="89" t="n"/>
      <c r="Y1510" s="88" t="n"/>
      <c r="Z1510" s="89" t="n"/>
      <c r="AB1510" s="25">
        <f>IF($B1510="","",(COUNTIF(C1510:E1510,"?*")&lt;N(INDEX(Setup!$L$6:$L$23,3)))+(COUNTIF(G1510:I1510,"?*")&lt;N(INDEX(Setup!$L$6:$L$23,3)))+(COUNTIF(K1510:M1510,"?*")&lt;N(INDEX(Setup!$L$6:$L$23,3)))+(COUNTIF(O1510:Q1510,"?*")&lt;N(INDEX(Setup!$L$6:$L$23,3)))+(COUNTIF(S1510:U1510,"?*")&lt;N(INDEX(Setup!$L$6:$L$23,3)))+((W1510="")*(INDEX(Setup!$M$6:$M$23,3)="Y"))+((Y1510="")*(INDEX(Setup!$M$6:$M$23,3)="Y")))</f>
        <v/>
      </c>
      <c r="AC1510" s="90">
        <f>IF($B1510="","",IF(AB1510=0,"✓ covered","⚠ "&amp;AB1510&amp;IF(AB1510=1," gap"," gaps")))</f>
        <v/>
      </c>
    </row>
    <row r="1511" ht="17" customHeight="1">
      <c r="A1511" t="n">
        <v>31</v>
      </c>
      <c r="B1511" s="29">
        <f>IF(Setup!$K$9="","",Setup!$K$9)</f>
        <v/>
      </c>
      <c r="C1511" s="88" t="n"/>
      <c r="D1511" s="88" t="n"/>
      <c r="E1511" s="88" t="n"/>
      <c r="F1511" s="89" t="n"/>
      <c r="G1511" s="88" t="n"/>
      <c r="H1511" s="88" t="n"/>
      <c r="I1511" s="88" t="n"/>
      <c r="J1511" s="89" t="n"/>
      <c r="K1511" s="88" t="n"/>
      <c r="L1511" s="88" t="n"/>
      <c r="M1511" s="88" t="n"/>
      <c r="N1511" s="89" t="n"/>
      <c r="O1511" s="88" t="n"/>
      <c r="P1511" s="88" t="n"/>
      <c r="Q1511" s="88" t="n"/>
      <c r="R1511" s="89" t="n"/>
      <c r="S1511" s="88" t="n"/>
      <c r="T1511" s="88" t="n"/>
      <c r="U1511" s="88" t="n"/>
      <c r="V1511" s="89" t="n"/>
      <c r="W1511" s="88" t="n"/>
      <c r="X1511" s="89" t="n"/>
      <c r="Y1511" s="88" t="n"/>
      <c r="Z1511" s="89" t="n"/>
      <c r="AB1511" s="30">
        <f>IF($B1511="","",(COUNTIF(C1511:E1511,"?*")&lt;N(INDEX(Setup!$L$6:$L$23,4)))+(COUNTIF(G1511:I1511,"?*")&lt;N(INDEX(Setup!$L$6:$L$23,4)))+(COUNTIF(K1511:M1511,"?*")&lt;N(INDEX(Setup!$L$6:$L$23,4)))+(COUNTIF(O1511:Q1511,"?*")&lt;N(INDEX(Setup!$L$6:$L$23,4)))+(COUNTIF(S1511:U1511,"?*")&lt;N(INDEX(Setup!$L$6:$L$23,4)))+((W1511="")*(INDEX(Setup!$M$6:$M$23,4)="Y"))+((Y1511="")*(INDEX(Setup!$M$6:$M$23,4)="Y")))</f>
        <v/>
      </c>
      <c r="AC1511" s="91">
        <f>IF($B1511="","",IF(AB1511=0,"✓ covered","⚠ "&amp;AB1511&amp;IF(AB1511=1," gap"," gaps")))</f>
        <v/>
      </c>
    </row>
    <row r="1512" ht="17" customHeight="1">
      <c r="A1512" t="n">
        <v>31</v>
      </c>
      <c r="B1512" s="24">
        <f>IF(Setup!$K$10="","",Setup!$K$10)</f>
        <v/>
      </c>
      <c r="C1512" s="88" t="n"/>
      <c r="D1512" s="88" t="n"/>
      <c r="E1512" s="88" t="n"/>
      <c r="F1512" s="89" t="n"/>
      <c r="G1512" s="88" t="n"/>
      <c r="H1512" s="88" t="n"/>
      <c r="I1512" s="88" t="n"/>
      <c r="J1512" s="89" t="n"/>
      <c r="K1512" s="88" t="n"/>
      <c r="L1512" s="88" t="n"/>
      <c r="M1512" s="88" t="n"/>
      <c r="N1512" s="89" t="n"/>
      <c r="O1512" s="88" t="n"/>
      <c r="P1512" s="88" t="n"/>
      <c r="Q1512" s="88" t="n"/>
      <c r="R1512" s="89" t="n"/>
      <c r="S1512" s="88" t="n"/>
      <c r="T1512" s="88" t="n"/>
      <c r="U1512" s="88" t="n"/>
      <c r="V1512" s="89" t="n"/>
      <c r="W1512" s="88" t="n"/>
      <c r="X1512" s="89" t="n"/>
      <c r="Y1512" s="88" t="n"/>
      <c r="Z1512" s="89" t="n"/>
      <c r="AB1512" s="25">
        <f>IF($B1512="","",(COUNTIF(C1512:E1512,"?*")&lt;N(INDEX(Setup!$L$6:$L$23,5)))+(COUNTIF(G1512:I1512,"?*")&lt;N(INDEX(Setup!$L$6:$L$23,5)))+(COUNTIF(K1512:M1512,"?*")&lt;N(INDEX(Setup!$L$6:$L$23,5)))+(COUNTIF(O1512:Q1512,"?*")&lt;N(INDEX(Setup!$L$6:$L$23,5)))+(COUNTIF(S1512:U1512,"?*")&lt;N(INDEX(Setup!$L$6:$L$23,5)))+((W1512="")*(INDEX(Setup!$M$6:$M$23,5)="Y"))+((Y1512="")*(INDEX(Setup!$M$6:$M$23,5)="Y")))</f>
        <v/>
      </c>
      <c r="AC1512" s="90">
        <f>IF($B1512="","",IF(AB1512=0,"✓ covered","⚠ "&amp;AB1512&amp;IF(AB1512=1," gap"," gaps")))</f>
        <v/>
      </c>
    </row>
    <row r="1513" ht="17" customHeight="1">
      <c r="A1513" t="n">
        <v>31</v>
      </c>
      <c r="B1513" s="29">
        <f>IF(Setup!$K$11="","",Setup!$K$11)</f>
        <v/>
      </c>
      <c r="C1513" s="88" t="n"/>
      <c r="D1513" s="88" t="n"/>
      <c r="E1513" s="88" t="n"/>
      <c r="F1513" s="89" t="n"/>
      <c r="G1513" s="88" t="n"/>
      <c r="H1513" s="88" t="n"/>
      <c r="I1513" s="88" t="n"/>
      <c r="J1513" s="89" t="n"/>
      <c r="K1513" s="88" t="n"/>
      <c r="L1513" s="88" t="n"/>
      <c r="M1513" s="88" t="n"/>
      <c r="N1513" s="89" t="n"/>
      <c r="O1513" s="88" t="n"/>
      <c r="P1513" s="88" t="n"/>
      <c r="Q1513" s="88" t="n"/>
      <c r="R1513" s="89" t="n"/>
      <c r="S1513" s="88" t="n"/>
      <c r="T1513" s="88" t="n"/>
      <c r="U1513" s="88" t="n"/>
      <c r="V1513" s="89" t="n"/>
      <c r="W1513" s="88" t="n"/>
      <c r="X1513" s="89" t="n"/>
      <c r="Y1513" s="88" t="n"/>
      <c r="Z1513" s="89" t="n"/>
      <c r="AB1513" s="30">
        <f>IF($B1513="","",(COUNTIF(C1513:E1513,"?*")&lt;N(INDEX(Setup!$L$6:$L$23,6)))+(COUNTIF(G1513:I1513,"?*")&lt;N(INDEX(Setup!$L$6:$L$23,6)))+(COUNTIF(K1513:M1513,"?*")&lt;N(INDEX(Setup!$L$6:$L$23,6)))+(COUNTIF(O1513:Q1513,"?*")&lt;N(INDEX(Setup!$L$6:$L$23,6)))+(COUNTIF(S1513:U1513,"?*")&lt;N(INDEX(Setup!$L$6:$L$23,6)))+((W1513="")*(INDEX(Setup!$M$6:$M$23,6)="Y"))+((Y1513="")*(INDEX(Setup!$M$6:$M$23,6)="Y")))</f>
        <v/>
      </c>
      <c r="AC1513" s="91">
        <f>IF($B1513="","",IF(AB1513=0,"✓ covered","⚠ "&amp;AB1513&amp;IF(AB1513=1," gap"," gaps")))</f>
        <v/>
      </c>
    </row>
    <row r="1514" ht="17" customHeight="1">
      <c r="A1514" t="n">
        <v>31</v>
      </c>
      <c r="B1514" s="24">
        <f>IF(Setup!$K$12="","",Setup!$K$12)</f>
        <v/>
      </c>
      <c r="C1514" s="88" t="n"/>
      <c r="D1514" s="88" t="n"/>
      <c r="E1514" s="88" t="n"/>
      <c r="F1514" s="89" t="n"/>
      <c r="G1514" s="88" t="n"/>
      <c r="H1514" s="88" t="n"/>
      <c r="I1514" s="88" t="n"/>
      <c r="J1514" s="89" t="n"/>
      <c r="K1514" s="88" t="n"/>
      <c r="L1514" s="88" t="n"/>
      <c r="M1514" s="88" t="n"/>
      <c r="N1514" s="89" t="n"/>
      <c r="O1514" s="88" t="n"/>
      <c r="P1514" s="88" t="n"/>
      <c r="Q1514" s="88" t="n"/>
      <c r="R1514" s="89" t="n"/>
      <c r="S1514" s="88" t="n"/>
      <c r="T1514" s="88" t="n"/>
      <c r="U1514" s="88" t="n"/>
      <c r="V1514" s="89" t="n"/>
      <c r="W1514" s="88" t="n"/>
      <c r="X1514" s="89" t="n"/>
      <c r="Y1514" s="88" t="n"/>
      <c r="Z1514" s="89" t="n"/>
      <c r="AB1514" s="25">
        <f>IF($B1514="","",(COUNTIF(C1514:E1514,"?*")&lt;N(INDEX(Setup!$L$6:$L$23,7)))+(COUNTIF(G1514:I1514,"?*")&lt;N(INDEX(Setup!$L$6:$L$23,7)))+(COUNTIF(K1514:M1514,"?*")&lt;N(INDEX(Setup!$L$6:$L$23,7)))+(COUNTIF(O1514:Q1514,"?*")&lt;N(INDEX(Setup!$L$6:$L$23,7)))+(COUNTIF(S1514:U1514,"?*")&lt;N(INDEX(Setup!$L$6:$L$23,7)))+((W1514="")*(INDEX(Setup!$M$6:$M$23,7)="Y"))+((Y1514="")*(INDEX(Setup!$M$6:$M$23,7)="Y")))</f>
        <v/>
      </c>
      <c r="AC1514" s="90">
        <f>IF($B1514="","",IF(AB1514=0,"✓ covered","⚠ "&amp;AB1514&amp;IF(AB1514=1," gap"," gaps")))</f>
        <v/>
      </c>
    </row>
    <row r="1515" ht="17" customHeight="1">
      <c r="A1515" t="n">
        <v>31</v>
      </c>
      <c r="B1515" s="29">
        <f>IF(Setup!$K$13="","",Setup!$K$13)</f>
        <v/>
      </c>
      <c r="C1515" s="88" t="n"/>
      <c r="D1515" s="88" t="n"/>
      <c r="E1515" s="88" t="n"/>
      <c r="F1515" s="89" t="n"/>
      <c r="G1515" s="88" t="n"/>
      <c r="H1515" s="88" t="n"/>
      <c r="I1515" s="88" t="n"/>
      <c r="J1515" s="89" t="n"/>
      <c r="K1515" s="88" t="n"/>
      <c r="L1515" s="88" t="n"/>
      <c r="M1515" s="88" t="n"/>
      <c r="N1515" s="89" t="n"/>
      <c r="O1515" s="88" t="n"/>
      <c r="P1515" s="88" t="n"/>
      <c r="Q1515" s="88" t="n"/>
      <c r="R1515" s="89" t="n"/>
      <c r="S1515" s="88" t="n"/>
      <c r="T1515" s="88" t="n"/>
      <c r="U1515" s="88" t="n"/>
      <c r="V1515" s="89" t="n"/>
      <c r="W1515" s="88" t="n"/>
      <c r="X1515" s="89" t="n"/>
      <c r="Y1515" s="88" t="n"/>
      <c r="Z1515" s="89" t="n"/>
      <c r="AB1515" s="30">
        <f>IF($B1515="","",(COUNTIF(C1515:E1515,"?*")&lt;N(INDEX(Setup!$L$6:$L$23,8)))+(COUNTIF(G1515:I1515,"?*")&lt;N(INDEX(Setup!$L$6:$L$23,8)))+(COUNTIF(K1515:M1515,"?*")&lt;N(INDEX(Setup!$L$6:$L$23,8)))+(COUNTIF(O1515:Q1515,"?*")&lt;N(INDEX(Setup!$L$6:$L$23,8)))+(COUNTIF(S1515:U1515,"?*")&lt;N(INDEX(Setup!$L$6:$L$23,8)))+((W1515="")*(INDEX(Setup!$M$6:$M$23,8)="Y"))+((Y1515="")*(INDEX(Setup!$M$6:$M$23,8)="Y")))</f>
        <v/>
      </c>
      <c r="AC1515" s="91">
        <f>IF($B1515="","",IF(AB1515=0,"✓ covered","⚠ "&amp;AB1515&amp;IF(AB1515=1," gap"," gaps")))</f>
        <v/>
      </c>
    </row>
    <row r="1516" ht="17" customHeight="1">
      <c r="A1516" t="n">
        <v>31</v>
      </c>
      <c r="B1516" s="24">
        <f>IF(Setup!$K$14="","",Setup!$K$14)</f>
        <v/>
      </c>
      <c r="C1516" s="88" t="n"/>
      <c r="D1516" s="88" t="n"/>
      <c r="E1516" s="88" t="n"/>
      <c r="F1516" s="89" t="n"/>
      <c r="G1516" s="88" t="n"/>
      <c r="H1516" s="88" t="n"/>
      <c r="I1516" s="88" t="n"/>
      <c r="J1516" s="89" t="n"/>
      <c r="K1516" s="88" t="n"/>
      <c r="L1516" s="88" t="n"/>
      <c r="M1516" s="88" t="n"/>
      <c r="N1516" s="89" t="n"/>
      <c r="O1516" s="88" t="n"/>
      <c r="P1516" s="88" t="n"/>
      <c r="Q1516" s="88" t="n"/>
      <c r="R1516" s="89" t="n"/>
      <c r="S1516" s="88" t="n"/>
      <c r="T1516" s="88" t="n"/>
      <c r="U1516" s="88" t="n"/>
      <c r="V1516" s="89" t="n"/>
      <c r="W1516" s="88" t="n"/>
      <c r="X1516" s="89" t="n"/>
      <c r="Y1516" s="88" t="n"/>
      <c r="Z1516" s="89" t="n"/>
      <c r="AB1516" s="25">
        <f>IF($B1516="","",(COUNTIF(C1516:E1516,"?*")&lt;N(INDEX(Setup!$L$6:$L$23,9)))+(COUNTIF(G1516:I1516,"?*")&lt;N(INDEX(Setup!$L$6:$L$23,9)))+(COUNTIF(K1516:M1516,"?*")&lt;N(INDEX(Setup!$L$6:$L$23,9)))+(COUNTIF(O1516:Q1516,"?*")&lt;N(INDEX(Setup!$L$6:$L$23,9)))+(COUNTIF(S1516:U1516,"?*")&lt;N(INDEX(Setup!$L$6:$L$23,9)))+((W1516="")*(INDEX(Setup!$M$6:$M$23,9)="Y"))+((Y1516="")*(INDEX(Setup!$M$6:$M$23,9)="Y")))</f>
        <v/>
      </c>
      <c r="AC1516" s="90">
        <f>IF($B1516="","",IF(AB1516=0,"✓ covered","⚠ "&amp;AB1516&amp;IF(AB1516=1," gap"," gaps")))</f>
        <v/>
      </c>
    </row>
    <row r="1517" ht="17" customHeight="1">
      <c r="A1517" t="n">
        <v>31</v>
      </c>
      <c r="B1517" s="29">
        <f>IF(Setup!$K$15="","",Setup!$K$15)</f>
        <v/>
      </c>
      <c r="C1517" s="88" t="n"/>
      <c r="D1517" s="88" t="n"/>
      <c r="E1517" s="88" t="n"/>
      <c r="F1517" s="89" t="n"/>
      <c r="G1517" s="88" t="n"/>
      <c r="H1517" s="88" t="n"/>
      <c r="I1517" s="88" t="n"/>
      <c r="J1517" s="89" t="n"/>
      <c r="K1517" s="88" t="n"/>
      <c r="L1517" s="88" t="n"/>
      <c r="M1517" s="88" t="n"/>
      <c r="N1517" s="89" t="n"/>
      <c r="O1517" s="88" t="n"/>
      <c r="P1517" s="88" t="n"/>
      <c r="Q1517" s="88" t="n"/>
      <c r="R1517" s="89" t="n"/>
      <c r="S1517" s="88" t="n"/>
      <c r="T1517" s="88" t="n"/>
      <c r="U1517" s="88" t="n"/>
      <c r="V1517" s="89" t="n"/>
      <c r="W1517" s="88" t="n"/>
      <c r="X1517" s="89" t="n"/>
      <c r="Y1517" s="88" t="n"/>
      <c r="Z1517" s="89" t="n"/>
      <c r="AB1517" s="30">
        <f>IF($B1517="","",(COUNTIF(C1517:E1517,"?*")&lt;N(INDEX(Setup!$L$6:$L$23,10)))+(COUNTIF(G1517:I1517,"?*")&lt;N(INDEX(Setup!$L$6:$L$23,10)))+(COUNTIF(K1517:M1517,"?*")&lt;N(INDEX(Setup!$L$6:$L$23,10)))+(COUNTIF(O1517:Q1517,"?*")&lt;N(INDEX(Setup!$L$6:$L$23,10)))+(COUNTIF(S1517:U1517,"?*")&lt;N(INDEX(Setup!$L$6:$L$23,10)))+((W1517="")*(INDEX(Setup!$M$6:$M$23,10)="Y"))+((Y1517="")*(INDEX(Setup!$M$6:$M$23,10)="Y")))</f>
        <v/>
      </c>
      <c r="AC1517" s="91">
        <f>IF($B1517="","",IF(AB1517=0,"✓ covered","⚠ "&amp;AB1517&amp;IF(AB1517=1," gap"," gaps")))</f>
        <v/>
      </c>
    </row>
    <row r="1518" ht="17" customHeight="1">
      <c r="A1518" t="n">
        <v>31</v>
      </c>
      <c r="B1518" s="24">
        <f>IF(Setup!$K$16="","",Setup!$K$16)</f>
        <v/>
      </c>
      <c r="C1518" s="88" t="n"/>
      <c r="D1518" s="88" t="n"/>
      <c r="E1518" s="88" t="n"/>
      <c r="F1518" s="89" t="n"/>
      <c r="G1518" s="88" t="n"/>
      <c r="H1518" s="88" t="n"/>
      <c r="I1518" s="88" t="n"/>
      <c r="J1518" s="89" t="n"/>
      <c r="K1518" s="88" t="n"/>
      <c r="L1518" s="88" t="n"/>
      <c r="M1518" s="88" t="n"/>
      <c r="N1518" s="89" t="n"/>
      <c r="O1518" s="88" t="n"/>
      <c r="P1518" s="88" t="n"/>
      <c r="Q1518" s="88" t="n"/>
      <c r="R1518" s="89" t="n"/>
      <c r="S1518" s="88" t="n"/>
      <c r="T1518" s="88" t="n"/>
      <c r="U1518" s="88" t="n"/>
      <c r="V1518" s="89" t="n"/>
      <c r="W1518" s="88" t="n"/>
      <c r="X1518" s="89" t="n"/>
      <c r="Y1518" s="88" t="n"/>
      <c r="Z1518" s="89" t="n"/>
      <c r="AB1518" s="25">
        <f>IF($B1518="","",(COUNTIF(C1518:E1518,"?*")&lt;N(INDEX(Setup!$L$6:$L$23,11)))+(COUNTIF(G1518:I1518,"?*")&lt;N(INDEX(Setup!$L$6:$L$23,11)))+(COUNTIF(K1518:M1518,"?*")&lt;N(INDEX(Setup!$L$6:$L$23,11)))+(COUNTIF(O1518:Q1518,"?*")&lt;N(INDEX(Setup!$L$6:$L$23,11)))+(COUNTIF(S1518:U1518,"?*")&lt;N(INDEX(Setup!$L$6:$L$23,11)))+((W1518="")*(INDEX(Setup!$M$6:$M$23,11)="Y"))+((Y1518="")*(INDEX(Setup!$M$6:$M$23,11)="Y")))</f>
        <v/>
      </c>
      <c r="AC1518" s="90">
        <f>IF($B1518="","",IF(AB1518=0,"✓ covered","⚠ "&amp;AB1518&amp;IF(AB1518=1," gap"," gaps")))</f>
        <v/>
      </c>
    </row>
    <row r="1519" ht="17" customHeight="1">
      <c r="A1519" t="n">
        <v>31</v>
      </c>
      <c r="B1519" s="29">
        <f>IF(Setup!$K$17="","",Setup!$K$17)</f>
        <v/>
      </c>
      <c r="C1519" s="88" t="n"/>
      <c r="D1519" s="88" t="n"/>
      <c r="E1519" s="88" t="n"/>
      <c r="F1519" s="89" t="n"/>
      <c r="G1519" s="88" t="n"/>
      <c r="H1519" s="88" t="n"/>
      <c r="I1519" s="88" t="n"/>
      <c r="J1519" s="89" t="n"/>
      <c r="K1519" s="88" t="n"/>
      <c r="L1519" s="88" t="n"/>
      <c r="M1519" s="88" t="n"/>
      <c r="N1519" s="89" t="n"/>
      <c r="O1519" s="88" t="n"/>
      <c r="P1519" s="88" t="n"/>
      <c r="Q1519" s="88" t="n"/>
      <c r="R1519" s="89" t="n"/>
      <c r="S1519" s="88" t="n"/>
      <c r="T1519" s="88" t="n"/>
      <c r="U1519" s="88" t="n"/>
      <c r="V1519" s="89" t="n"/>
      <c r="W1519" s="88" t="n"/>
      <c r="X1519" s="89" t="n"/>
      <c r="Y1519" s="88" t="n"/>
      <c r="Z1519" s="89" t="n"/>
      <c r="AB1519" s="30">
        <f>IF($B1519="","",(COUNTIF(C1519:E1519,"?*")&lt;N(INDEX(Setup!$L$6:$L$23,12)))+(COUNTIF(G1519:I1519,"?*")&lt;N(INDEX(Setup!$L$6:$L$23,12)))+(COUNTIF(K1519:M1519,"?*")&lt;N(INDEX(Setup!$L$6:$L$23,12)))+(COUNTIF(O1519:Q1519,"?*")&lt;N(INDEX(Setup!$L$6:$L$23,12)))+(COUNTIF(S1519:U1519,"?*")&lt;N(INDEX(Setup!$L$6:$L$23,12)))+((W1519="")*(INDEX(Setup!$M$6:$M$23,12)="Y"))+((Y1519="")*(INDEX(Setup!$M$6:$M$23,12)="Y")))</f>
        <v/>
      </c>
      <c r="AC1519" s="91">
        <f>IF($B1519="","",IF(AB1519=0,"✓ covered","⚠ "&amp;AB1519&amp;IF(AB1519=1," gap"," gaps")))</f>
        <v/>
      </c>
    </row>
    <row r="1520" ht="17" customHeight="1">
      <c r="A1520" t="n">
        <v>31</v>
      </c>
      <c r="B1520" s="24">
        <f>IF(Setup!$K$18="","",Setup!$K$18)</f>
        <v/>
      </c>
      <c r="C1520" s="88" t="n"/>
      <c r="D1520" s="88" t="n"/>
      <c r="E1520" s="88" t="n"/>
      <c r="F1520" s="89" t="n"/>
      <c r="G1520" s="88" t="n"/>
      <c r="H1520" s="88" t="n"/>
      <c r="I1520" s="88" t="n"/>
      <c r="J1520" s="89" t="n"/>
      <c r="K1520" s="88" t="n"/>
      <c r="L1520" s="88" t="n"/>
      <c r="M1520" s="88" t="n"/>
      <c r="N1520" s="89" t="n"/>
      <c r="O1520" s="88" t="n"/>
      <c r="P1520" s="88" t="n"/>
      <c r="Q1520" s="88" t="n"/>
      <c r="R1520" s="89" t="n"/>
      <c r="S1520" s="88" t="n"/>
      <c r="T1520" s="88" t="n"/>
      <c r="U1520" s="88" t="n"/>
      <c r="V1520" s="89" t="n"/>
      <c r="W1520" s="88" t="n"/>
      <c r="X1520" s="89" t="n"/>
      <c r="Y1520" s="88" t="n"/>
      <c r="Z1520" s="89" t="n"/>
      <c r="AB1520" s="25">
        <f>IF($B1520="","",(COUNTIF(C1520:E1520,"?*")&lt;N(INDEX(Setup!$L$6:$L$23,13)))+(COUNTIF(G1520:I1520,"?*")&lt;N(INDEX(Setup!$L$6:$L$23,13)))+(COUNTIF(K1520:M1520,"?*")&lt;N(INDEX(Setup!$L$6:$L$23,13)))+(COUNTIF(O1520:Q1520,"?*")&lt;N(INDEX(Setup!$L$6:$L$23,13)))+(COUNTIF(S1520:U1520,"?*")&lt;N(INDEX(Setup!$L$6:$L$23,13)))+((W1520="")*(INDEX(Setup!$M$6:$M$23,13)="Y"))+((Y1520="")*(INDEX(Setup!$M$6:$M$23,13)="Y")))</f>
        <v/>
      </c>
      <c r="AC1520" s="90">
        <f>IF($B1520="","",IF(AB1520=0,"✓ covered","⚠ "&amp;AB1520&amp;IF(AB1520=1," gap"," gaps")))</f>
        <v/>
      </c>
    </row>
    <row r="1521" ht="17" customHeight="1">
      <c r="A1521" t="n">
        <v>31</v>
      </c>
      <c r="B1521" s="29">
        <f>IF(Setup!$K$19="","",Setup!$K$19)</f>
        <v/>
      </c>
      <c r="C1521" s="88" t="n"/>
      <c r="D1521" s="88" t="n"/>
      <c r="E1521" s="88" t="n"/>
      <c r="F1521" s="89" t="n"/>
      <c r="G1521" s="88" t="n"/>
      <c r="H1521" s="88" t="n"/>
      <c r="I1521" s="88" t="n"/>
      <c r="J1521" s="89" t="n"/>
      <c r="K1521" s="88" t="n"/>
      <c r="L1521" s="88" t="n"/>
      <c r="M1521" s="88" t="n"/>
      <c r="N1521" s="89" t="n"/>
      <c r="O1521" s="88" t="n"/>
      <c r="P1521" s="88" t="n"/>
      <c r="Q1521" s="88" t="n"/>
      <c r="R1521" s="89" t="n"/>
      <c r="S1521" s="88" t="n"/>
      <c r="T1521" s="88" t="n"/>
      <c r="U1521" s="88" t="n"/>
      <c r="V1521" s="89" t="n"/>
      <c r="W1521" s="88" t="n"/>
      <c r="X1521" s="89" t="n"/>
      <c r="Y1521" s="88" t="n"/>
      <c r="Z1521" s="89" t="n"/>
      <c r="AB1521" s="30">
        <f>IF($B1521="","",(COUNTIF(C1521:E1521,"?*")&lt;N(INDEX(Setup!$L$6:$L$23,14)))+(COUNTIF(G1521:I1521,"?*")&lt;N(INDEX(Setup!$L$6:$L$23,14)))+(COUNTIF(K1521:M1521,"?*")&lt;N(INDEX(Setup!$L$6:$L$23,14)))+(COUNTIF(O1521:Q1521,"?*")&lt;N(INDEX(Setup!$L$6:$L$23,14)))+(COUNTIF(S1521:U1521,"?*")&lt;N(INDEX(Setup!$L$6:$L$23,14)))+((W1521="")*(INDEX(Setup!$M$6:$M$23,14)="Y"))+((Y1521="")*(INDEX(Setup!$M$6:$M$23,14)="Y")))</f>
        <v/>
      </c>
      <c r="AC1521" s="91">
        <f>IF($B1521="","",IF(AB1521=0,"✓ covered","⚠ "&amp;AB1521&amp;IF(AB1521=1," gap"," gaps")))</f>
        <v/>
      </c>
    </row>
    <row r="1522" ht="17" customHeight="1">
      <c r="A1522" t="n">
        <v>31</v>
      </c>
      <c r="B1522" s="24">
        <f>IF(Setup!$K$20="","",Setup!$K$20)</f>
        <v/>
      </c>
      <c r="C1522" s="88" t="n"/>
      <c r="D1522" s="88" t="n"/>
      <c r="E1522" s="88" t="n"/>
      <c r="F1522" s="89" t="n"/>
      <c r="G1522" s="88" t="n"/>
      <c r="H1522" s="88" t="n"/>
      <c r="I1522" s="88" t="n"/>
      <c r="J1522" s="89" t="n"/>
      <c r="K1522" s="88" t="n"/>
      <c r="L1522" s="88" t="n"/>
      <c r="M1522" s="88" t="n"/>
      <c r="N1522" s="89" t="n"/>
      <c r="O1522" s="88" t="n"/>
      <c r="P1522" s="88" t="n"/>
      <c r="Q1522" s="88" t="n"/>
      <c r="R1522" s="89" t="n"/>
      <c r="S1522" s="88" t="n"/>
      <c r="T1522" s="88" t="n"/>
      <c r="U1522" s="88" t="n"/>
      <c r="V1522" s="89" t="n"/>
      <c r="W1522" s="88" t="n"/>
      <c r="X1522" s="89" t="n"/>
      <c r="Y1522" s="88" t="n"/>
      <c r="Z1522" s="89" t="n"/>
      <c r="AB1522" s="25">
        <f>IF($B1522="","",(COUNTIF(C1522:E1522,"?*")&lt;N(INDEX(Setup!$L$6:$L$23,15)))+(COUNTIF(G1522:I1522,"?*")&lt;N(INDEX(Setup!$L$6:$L$23,15)))+(COUNTIF(K1522:M1522,"?*")&lt;N(INDEX(Setup!$L$6:$L$23,15)))+(COUNTIF(O1522:Q1522,"?*")&lt;N(INDEX(Setup!$L$6:$L$23,15)))+(COUNTIF(S1522:U1522,"?*")&lt;N(INDEX(Setup!$L$6:$L$23,15)))+((W1522="")*(INDEX(Setup!$M$6:$M$23,15)="Y"))+((Y1522="")*(INDEX(Setup!$M$6:$M$23,15)="Y")))</f>
        <v/>
      </c>
      <c r="AC1522" s="90">
        <f>IF($B1522="","",IF(AB1522=0,"✓ covered","⚠ "&amp;AB1522&amp;IF(AB1522=1," gap"," gaps")))</f>
        <v/>
      </c>
    </row>
    <row r="1523" ht="17" customHeight="1">
      <c r="A1523" t="n">
        <v>31</v>
      </c>
      <c r="B1523" s="29">
        <f>IF(Setup!$K$21="","",Setup!$K$21)</f>
        <v/>
      </c>
      <c r="C1523" s="88" t="n"/>
      <c r="D1523" s="88" t="n"/>
      <c r="E1523" s="88" t="n"/>
      <c r="F1523" s="89" t="n"/>
      <c r="G1523" s="88" t="n"/>
      <c r="H1523" s="88" t="n"/>
      <c r="I1523" s="88" t="n"/>
      <c r="J1523" s="89" t="n"/>
      <c r="K1523" s="88" t="n"/>
      <c r="L1523" s="88" t="n"/>
      <c r="M1523" s="88" t="n"/>
      <c r="N1523" s="89" t="n"/>
      <c r="O1523" s="88" t="n"/>
      <c r="P1523" s="88" t="n"/>
      <c r="Q1523" s="88" t="n"/>
      <c r="R1523" s="89" t="n"/>
      <c r="S1523" s="88" t="n"/>
      <c r="T1523" s="88" t="n"/>
      <c r="U1523" s="88" t="n"/>
      <c r="V1523" s="89" t="n"/>
      <c r="W1523" s="88" t="n"/>
      <c r="X1523" s="89" t="n"/>
      <c r="Y1523" s="88" t="n"/>
      <c r="Z1523" s="89" t="n"/>
      <c r="AB1523" s="30">
        <f>IF($B1523="","",(COUNTIF(C1523:E1523,"?*")&lt;N(INDEX(Setup!$L$6:$L$23,16)))+(COUNTIF(G1523:I1523,"?*")&lt;N(INDEX(Setup!$L$6:$L$23,16)))+(COUNTIF(K1523:M1523,"?*")&lt;N(INDEX(Setup!$L$6:$L$23,16)))+(COUNTIF(O1523:Q1523,"?*")&lt;N(INDEX(Setup!$L$6:$L$23,16)))+(COUNTIF(S1523:U1523,"?*")&lt;N(INDEX(Setup!$L$6:$L$23,16)))+((W1523="")*(INDEX(Setup!$M$6:$M$23,16)="Y"))+((Y1523="")*(INDEX(Setup!$M$6:$M$23,16)="Y")))</f>
        <v/>
      </c>
      <c r="AC1523" s="91">
        <f>IF($B1523="","",IF(AB1523=0,"✓ covered","⚠ "&amp;AB1523&amp;IF(AB1523=1," gap"," gaps")))</f>
        <v/>
      </c>
    </row>
    <row r="1524" ht="17" customHeight="1">
      <c r="A1524" t="n">
        <v>31</v>
      </c>
      <c r="B1524" s="24">
        <f>IF(Setup!$K$22="","",Setup!$K$22)</f>
        <v/>
      </c>
      <c r="C1524" s="88" t="n"/>
      <c r="D1524" s="88" t="n"/>
      <c r="E1524" s="88" t="n"/>
      <c r="F1524" s="89" t="n"/>
      <c r="G1524" s="88" t="n"/>
      <c r="H1524" s="88" t="n"/>
      <c r="I1524" s="88" t="n"/>
      <c r="J1524" s="89" t="n"/>
      <c r="K1524" s="88" t="n"/>
      <c r="L1524" s="88" t="n"/>
      <c r="M1524" s="88" t="n"/>
      <c r="N1524" s="89" t="n"/>
      <c r="O1524" s="88" t="n"/>
      <c r="P1524" s="88" t="n"/>
      <c r="Q1524" s="88" t="n"/>
      <c r="R1524" s="89" t="n"/>
      <c r="S1524" s="88" t="n"/>
      <c r="T1524" s="88" t="n"/>
      <c r="U1524" s="88" t="n"/>
      <c r="V1524" s="89" t="n"/>
      <c r="W1524" s="88" t="n"/>
      <c r="X1524" s="89" t="n"/>
      <c r="Y1524" s="88" t="n"/>
      <c r="Z1524" s="89" t="n"/>
      <c r="AB1524" s="25">
        <f>IF($B1524="","",(COUNTIF(C1524:E1524,"?*")&lt;N(INDEX(Setup!$L$6:$L$23,17)))+(COUNTIF(G1524:I1524,"?*")&lt;N(INDEX(Setup!$L$6:$L$23,17)))+(COUNTIF(K1524:M1524,"?*")&lt;N(INDEX(Setup!$L$6:$L$23,17)))+(COUNTIF(O1524:Q1524,"?*")&lt;N(INDEX(Setup!$L$6:$L$23,17)))+(COUNTIF(S1524:U1524,"?*")&lt;N(INDEX(Setup!$L$6:$L$23,17)))+((W1524="")*(INDEX(Setup!$M$6:$M$23,17)="Y"))+((Y1524="")*(INDEX(Setup!$M$6:$M$23,17)="Y")))</f>
        <v/>
      </c>
      <c r="AC1524" s="90">
        <f>IF($B1524="","",IF(AB1524=0,"✓ covered","⚠ "&amp;AB1524&amp;IF(AB1524=1," gap"," gaps")))</f>
        <v/>
      </c>
    </row>
    <row r="1525" ht="17" customHeight="1">
      <c r="A1525" t="n">
        <v>31</v>
      </c>
      <c r="B1525" s="29">
        <f>IF(Setup!$K$23="","",Setup!$K$23)</f>
        <v/>
      </c>
      <c r="C1525" s="88" t="n"/>
      <c r="D1525" s="88" t="n"/>
      <c r="E1525" s="88" t="n"/>
      <c r="F1525" s="89" t="n"/>
      <c r="G1525" s="88" t="n"/>
      <c r="H1525" s="88" t="n"/>
      <c r="I1525" s="88" t="n"/>
      <c r="J1525" s="89" t="n"/>
      <c r="K1525" s="88" t="n"/>
      <c r="L1525" s="88" t="n"/>
      <c r="M1525" s="88" t="n"/>
      <c r="N1525" s="89" t="n"/>
      <c r="O1525" s="88" t="n"/>
      <c r="P1525" s="88" t="n"/>
      <c r="Q1525" s="88" t="n"/>
      <c r="R1525" s="89" t="n"/>
      <c r="S1525" s="88" t="n"/>
      <c r="T1525" s="88" t="n"/>
      <c r="U1525" s="88" t="n"/>
      <c r="V1525" s="89" t="n"/>
      <c r="W1525" s="88" t="n"/>
      <c r="X1525" s="89" t="n"/>
      <c r="Y1525" s="88" t="n"/>
      <c r="Z1525" s="89" t="n"/>
      <c r="AB1525" s="30">
        <f>IF($B1525="","",(COUNTIF(C1525:E1525,"?*")&lt;N(INDEX(Setup!$L$6:$L$23,18)))+(COUNTIF(G1525:I1525,"?*")&lt;N(INDEX(Setup!$L$6:$L$23,18)))+(COUNTIF(K1525:M1525,"?*")&lt;N(INDEX(Setup!$L$6:$L$23,18)))+(COUNTIF(O1525:Q1525,"?*")&lt;N(INDEX(Setup!$L$6:$L$23,18)))+(COUNTIF(S1525:U1525,"?*")&lt;N(INDEX(Setup!$L$6:$L$23,18)))+((W1525="")*(INDEX(Setup!$M$6:$M$23,18)="Y"))+((Y1525="")*(INDEX(Setup!$M$6:$M$23,18)="Y")))</f>
        <v/>
      </c>
      <c r="AC1525" s="91">
        <f>IF($B1525="","",IF(AB1525=0,"✓ covered","⚠ "&amp;AB1525&amp;IF(AB1525=1," gap"," gaps")))</f>
        <v/>
      </c>
    </row>
    <row r="1526" ht="18" customHeight="1">
      <c r="A1526" t="n">
        <v>31</v>
      </c>
      <c r="B1526" s="78" t="inlineStr">
        <is>
          <t>TEAM AVAILABILITY</t>
        </is>
      </c>
      <c r="C1526" s="92" t="inlineStr">
        <is>
          <t>Mon</t>
        </is>
      </c>
      <c r="D1526" s="93" t="n"/>
      <c r="E1526" s="93" t="n"/>
      <c r="F1526" s="94" t="n"/>
      <c r="G1526" s="92" t="inlineStr">
        <is>
          <t>Tue</t>
        </is>
      </c>
      <c r="H1526" s="93" t="n"/>
      <c r="I1526" s="93" t="n"/>
      <c r="J1526" s="94" t="n"/>
      <c r="K1526" s="92" t="inlineStr">
        <is>
          <t>Wed</t>
        </is>
      </c>
      <c r="L1526" s="93" t="n"/>
      <c r="M1526" s="93" t="n"/>
      <c r="N1526" s="94" t="n"/>
      <c r="O1526" s="92" t="inlineStr">
        <is>
          <t>Thu</t>
        </is>
      </c>
      <c r="P1526" s="93" t="n"/>
      <c r="Q1526" s="93" t="n"/>
      <c r="R1526" s="94" t="n"/>
      <c r="S1526" s="92" t="inlineStr">
        <is>
          <t>Fri</t>
        </is>
      </c>
      <c r="T1526" s="93" t="n"/>
      <c r="U1526" s="93" t="n"/>
      <c r="V1526" s="94" t="n"/>
      <c r="W1526" s="95" t="inlineStr">
        <is>
          <t>Sat</t>
        </is>
      </c>
      <c r="X1526" s="96" t="n"/>
      <c r="Y1526" s="95" t="inlineStr">
        <is>
          <t>Sun</t>
        </is>
      </c>
      <c r="Z1526" s="96" t="n"/>
      <c r="AB1526" s="97" t="inlineStr">
        <is>
          <t>Days rostered</t>
        </is>
      </c>
      <c r="AC1526" s="97" t="inlineStr">
        <is>
          <t>Conflicts</t>
        </is>
      </c>
    </row>
    <row r="1527" ht="15" customHeight="1">
      <c r="A1527" t="n">
        <v>31</v>
      </c>
      <c r="B1527" s="35">
        <f>IF(Setup!$B$6="","",Setup!$B$6)</f>
        <v/>
      </c>
      <c r="C1527" s="98" t="n"/>
      <c r="D1527" s="99" t="n"/>
      <c r="E1527" s="99" t="n"/>
      <c r="F1527" s="100" t="n"/>
      <c r="G1527" s="98" t="n"/>
      <c r="H1527" s="99" t="n"/>
      <c r="I1527" s="99" t="n"/>
      <c r="J1527" s="100" t="n"/>
      <c r="K1527" s="98" t="n"/>
      <c r="L1527" s="99" t="n"/>
      <c r="M1527" s="99" t="n"/>
      <c r="N1527" s="100" t="n"/>
      <c r="O1527" s="98" t="n"/>
      <c r="P1527" s="99" t="n"/>
      <c r="Q1527" s="99" t="n"/>
      <c r="R1527" s="100" t="n"/>
      <c r="S1527" s="98" t="n"/>
      <c r="T1527" s="99" t="n"/>
      <c r="U1527" s="99" t="n"/>
      <c r="V1527" s="100" t="n"/>
      <c r="W1527" s="98" t="n"/>
      <c r="X1527" s="100" t="n"/>
      <c r="Y1527" s="98" t="n"/>
      <c r="Z1527" s="100" t="n"/>
      <c r="AB1527" s="101">
        <f>IF($B1527="","",(COUNTIF(C1508:E1525,$B1527)+COUNTIF(C1508:E1525,$B1527&amp;" ~*")&gt;0)+(COUNTIF(G1508:I1525,$B1527)+COUNTIF(G1508:I1525,$B1527&amp;" ~*")&gt;0)+(COUNTIF(K1508:M1525,$B1527)+COUNTIF(K1508:M1525,$B1527&amp;" ~*")&gt;0)+(COUNTIF(O1508:Q1525,$B1527)+COUNTIF(O1508:Q1525,$B1527&amp;" ~*")&gt;0)+(COUNTIF(S1508:U1525,$B1527)+COUNTIF(S1508:U1525,$B1527&amp;" ~*")&gt;0)+(COUNTIF(W1508:W1525,$B1527)+COUNTIF(W1508:W1525,$B1527&amp;" ~*")&gt;0)+(COUNTIF(Y1508:Y1525,$B1527)+COUNTIF(Y1508:Y1525,$B1527&amp;" ~*")&gt;0))</f>
        <v/>
      </c>
      <c r="AC1527" s="36">
        <f>IF($B1527="","",(IFERROR(INDEX(Setup!$G$33:$G$40,MATCH(C1527,Setup!$B$33:$B$40,0)),0)=1)*(COUNTIF(C1508:E1525,$B1527)+COUNTIF(C1508:E1525,$B1527&amp;" ~*")&gt;0)+(IFERROR(INDEX(Setup!$G$33:$G$40,MATCH(G1527,Setup!$B$33:$B$40,0)),0)=1)*(COUNTIF(G1508:I1525,$B1527)+COUNTIF(G1508:I1525,$B1527&amp;" ~*")&gt;0)+(IFERROR(INDEX(Setup!$G$33:$G$40,MATCH(K1527,Setup!$B$33:$B$40,0)),0)=1)*(COUNTIF(K1508:M1525,$B1527)+COUNTIF(K1508:M1525,$B1527&amp;" ~*")&gt;0)+(IFERROR(INDEX(Setup!$G$33:$G$40,MATCH(O1527,Setup!$B$33:$B$40,0)),0)=1)*(COUNTIF(O1508:Q1525,$B1527)+COUNTIF(O1508:Q1525,$B1527&amp;" ~*")&gt;0)+(IFERROR(INDEX(Setup!$G$33:$G$40,MATCH(S1527,Setup!$B$33:$B$40,0)),0)=1)*(COUNTIF(S1508:U1525,$B1527)+COUNTIF(S1508:U1525,$B1527&amp;" ~*")&gt;0)+(IFERROR(INDEX(Setup!$G$33:$G$40,MATCH(W1527,Setup!$B$33:$B$40,0)),0)=1)*(COUNTIF(W1508:W1525,$B1527)+COUNTIF(W1508:W1525,$B1527&amp;" ~*")&gt;0)+(IFERROR(INDEX(Setup!$G$33:$G$40,MATCH(Y1527,Setup!$B$33:$B$40,0)),0)=1)*(COUNTIF(Y1508:Y1525,$B1527)+COUNTIF(Y1508:Y1525,$B1527&amp;" ~*")&gt;0))</f>
        <v/>
      </c>
    </row>
    <row r="1528" ht="15" customHeight="1">
      <c r="A1528" t="n">
        <v>31</v>
      </c>
      <c r="B1528" s="37">
        <f>IF(Setup!$B$7="","",Setup!$B$7)</f>
        <v/>
      </c>
      <c r="C1528" s="102" t="n"/>
      <c r="D1528" s="103" t="n"/>
      <c r="E1528" s="103" t="n"/>
      <c r="F1528" s="104" t="n"/>
      <c r="G1528" s="102" t="n"/>
      <c r="H1528" s="103" t="n"/>
      <c r="I1528" s="103" t="n"/>
      <c r="J1528" s="104" t="n"/>
      <c r="K1528" s="102" t="n"/>
      <c r="L1528" s="103" t="n"/>
      <c r="M1528" s="103" t="n"/>
      <c r="N1528" s="104" t="n"/>
      <c r="O1528" s="102" t="n"/>
      <c r="P1528" s="103" t="n"/>
      <c r="Q1528" s="103" t="n"/>
      <c r="R1528" s="104" t="n"/>
      <c r="S1528" s="102" t="n"/>
      <c r="T1528" s="103" t="n"/>
      <c r="U1528" s="103" t="n"/>
      <c r="V1528" s="104" t="n"/>
      <c r="W1528" s="102" t="n"/>
      <c r="X1528" s="104" t="n"/>
      <c r="Y1528" s="102" t="n"/>
      <c r="Z1528" s="104" t="n"/>
      <c r="AB1528" s="105">
        <f>IF($B1528="","",(COUNTIF(C1508:E1525,$B1528)+COUNTIF(C1508:E1525,$B1528&amp;" ~*")&gt;0)+(COUNTIF(G1508:I1525,$B1528)+COUNTIF(G1508:I1525,$B1528&amp;" ~*")&gt;0)+(COUNTIF(K1508:M1525,$B1528)+COUNTIF(K1508:M1525,$B1528&amp;" ~*")&gt;0)+(COUNTIF(O1508:Q1525,$B1528)+COUNTIF(O1508:Q1525,$B1528&amp;" ~*")&gt;0)+(COUNTIF(S1508:U1525,$B1528)+COUNTIF(S1508:U1525,$B1528&amp;" ~*")&gt;0)+(COUNTIF(W1508:W1525,$B1528)+COUNTIF(W1508:W1525,$B1528&amp;" ~*")&gt;0)+(COUNTIF(Y1508:Y1525,$B1528)+COUNTIF(Y1508:Y1525,$B1528&amp;" ~*")&gt;0))</f>
        <v/>
      </c>
      <c r="AC1528" s="38">
        <f>IF($B1528="","",(IFERROR(INDEX(Setup!$G$33:$G$40,MATCH(C1528,Setup!$B$33:$B$40,0)),0)=1)*(COUNTIF(C1508:E1525,$B1528)+COUNTIF(C1508:E1525,$B1528&amp;" ~*")&gt;0)+(IFERROR(INDEX(Setup!$G$33:$G$40,MATCH(G1528,Setup!$B$33:$B$40,0)),0)=1)*(COUNTIF(G1508:I1525,$B1528)+COUNTIF(G1508:I1525,$B1528&amp;" ~*")&gt;0)+(IFERROR(INDEX(Setup!$G$33:$G$40,MATCH(K1528,Setup!$B$33:$B$40,0)),0)=1)*(COUNTIF(K1508:M1525,$B1528)+COUNTIF(K1508:M1525,$B1528&amp;" ~*")&gt;0)+(IFERROR(INDEX(Setup!$G$33:$G$40,MATCH(O1528,Setup!$B$33:$B$40,0)),0)=1)*(COUNTIF(O1508:Q1525,$B1528)+COUNTIF(O1508:Q1525,$B1528&amp;" ~*")&gt;0)+(IFERROR(INDEX(Setup!$G$33:$G$40,MATCH(S1528,Setup!$B$33:$B$40,0)),0)=1)*(COUNTIF(S1508:U1525,$B1528)+COUNTIF(S1508:U1525,$B1528&amp;" ~*")&gt;0)+(IFERROR(INDEX(Setup!$G$33:$G$40,MATCH(W1528,Setup!$B$33:$B$40,0)),0)=1)*(COUNTIF(W1508:W1525,$B1528)+COUNTIF(W1508:W1525,$B1528&amp;" ~*")&gt;0)+(IFERROR(INDEX(Setup!$G$33:$G$40,MATCH(Y1528,Setup!$B$33:$B$40,0)),0)=1)*(COUNTIF(Y1508:Y1525,$B1528)+COUNTIF(Y1508:Y1525,$B1528&amp;" ~*")&gt;0))</f>
        <v/>
      </c>
    </row>
    <row r="1529" ht="15" customHeight="1">
      <c r="A1529" t="n">
        <v>31</v>
      </c>
      <c r="B1529" s="35">
        <f>IF(Setup!$B$8="","",Setup!$B$8)</f>
        <v/>
      </c>
      <c r="C1529" s="98" t="n"/>
      <c r="D1529" s="99" t="n"/>
      <c r="E1529" s="99" t="n"/>
      <c r="F1529" s="100" t="n"/>
      <c r="G1529" s="98" t="n"/>
      <c r="H1529" s="99" t="n"/>
      <c r="I1529" s="99" t="n"/>
      <c r="J1529" s="100" t="n"/>
      <c r="K1529" s="98" t="n"/>
      <c r="L1529" s="99" t="n"/>
      <c r="M1529" s="99" t="n"/>
      <c r="N1529" s="100" t="n"/>
      <c r="O1529" s="98" t="n"/>
      <c r="P1529" s="99" t="n"/>
      <c r="Q1529" s="99" t="n"/>
      <c r="R1529" s="100" t="n"/>
      <c r="S1529" s="98" t="n"/>
      <c r="T1529" s="99" t="n"/>
      <c r="U1529" s="99" t="n"/>
      <c r="V1529" s="100" t="n"/>
      <c r="W1529" s="98" t="n"/>
      <c r="X1529" s="100" t="n"/>
      <c r="Y1529" s="98" t="n"/>
      <c r="Z1529" s="100" t="n"/>
      <c r="AB1529" s="101">
        <f>IF($B1529="","",(COUNTIF(C1508:E1525,$B1529)+COUNTIF(C1508:E1525,$B1529&amp;" ~*")&gt;0)+(COUNTIF(G1508:I1525,$B1529)+COUNTIF(G1508:I1525,$B1529&amp;" ~*")&gt;0)+(COUNTIF(K1508:M1525,$B1529)+COUNTIF(K1508:M1525,$B1529&amp;" ~*")&gt;0)+(COUNTIF(O1508:Q1525,$B1529)+COUNTIF(O1508:Q1525,$B1529&amp;" ~*")&gt;0)+(COUNTIF(S1508:U1525,$B1529)+COUNTIF(S1508:U1525,$B1529&amp;" ~*")&gt;0)+(COUNTIF(W1508:W1525,$B1529)+COUNTIF(W1508:W1525,$B1529&amp;" ~*")&gt;0)+(COUNTIF(Y1508:Y1525,$B1529)+COUNTIF(Y1508:Y1525,$B1529&amp;" ~*")&gt;0))</f>
        <v/>
      </c>
      <c r="AC1529" s="36">
        <f>IF($B1529="","",(IFERROR(INDEX(Setup!$G$33:$G$40,MATCH(C1529,Setup!$B$33:$B$40,0)),0)=1)*(COUNTIF(C1508:E1525,$B1529)+COUNTIF(C1508:E1525,$B1529&amp;" ~*")&gt;0)+(IFERROR(INDEX(Setup!$G$33:$G$40,MATCH(G1529,Setup!$B$33:$B$40,0)),0)=1)*(COUNTIF(G1508:I1525,$B1529)+COUNTIF(G1508:I1525,$B1529&amp;" ~*")&gt;0)+(IFERROR(INDEX(Setup!$G$33:$G$40,MATCH(K1529,Setup!$B$33:$B$40,0)),0)=1)*(COUNTIF(K1508:M1525,$B1529)+COUNTIF(K1508:M1525,$B1529&amp;" ~*")&gt;0)+(IFERROR(INDEX(Setup!$G$33:$G$40,MATCH(O1529,Setup!$B$33:$B$40,0)),0)=1)*(COUNTIF(O1508:Q1525,$B1529)+COUNTIF(O1508:Q1525,$B1529&amp;" ~*")&gt;0)+(IFERROR(INDEX(Setup!$G$33:$G$40,MATCH(S1529,Setup!$B$33:$B$40,0)),0)=1)*(COUNTIF(S1508:U1525,$B1529)+COUNTIF(S1508:U1525,$B1529&amp;" ~*")&gt;0)+(IFERROR(INDEX(Setup!$G$33:$G$40,MATCH(W1529,Setup!$B$33:$B$40,0)),0)=1)*(COUNTIF(W1508:W1525,$B1529)+COUNTIF(W1508:W1525,$B1529&amp;" ~*")&gt;0)+(IFERROR(INDEX(Setup!$G$33:$G$40,MATCH(Y1529,Setup!$B$33:$B$40,0)),0)=1)*(COUNTIF(Y1508:Y1525,$B1529)+COUNTIF(Y1508:Y1525,$B1529&amp;" ~*")&gt;0))</f>
        <v/>
      </c>
    </row>
    <row r="1530" ht="15" customHeight="1">
      <c r="A1530" t="n">
        <v>31</v>
      </c>
      <c r="B1530" s="37">
        <f>IF(Setup!$B$9="","",Setup!$B$9)</f>
        <v/>
      </c>
      <c r="C1530" s="102" t="n"/>
      <c r="D1530" s="103" t="n"/>
      <c r="E1530" s="103" t="n"/>
      <c r="F1530" s="104" t="n"/>
      <c r="G1530" s="102" t="n"/>
      <c r="H1530" s="103" t="n"/>
      <c r="I1530" s="103" t="n"/>
      <c r="J1530" s="104" t="n"/>
      <c r="K1530" s="102" t="n"/>
      <c r="L1530" s="103" t="n"/>
      <c r="M1530" s="103" t="n"/>
      <c r="N1530" s="104" t="n"/>
      <c r="O1530" s="102" t="n"/>
      <c r="P1530" s="103" t="n"/>
      <c r="Q1530" s="103" t="n"/>
      <c r="R1530" s="104" t="n"/>
      <c r="S1530" s="102" t="n"/>
      <c r="T1530" s="103" t="n"/>
      <c r="U1530" s="103" t="n"/>
      <c r="V1530" s="104" t="n"/>
      <c r="W1530" s="102" t="n"/>
      <c r="X1530" s="104" t="n"/>
      <c r="Y1530" s="102" t="n"/>
      <c r="Z1530" s="104" t="n"/>
      <c r="AB1530" s="105">
        <f>IF($B1530="","",(COUNTIF(C1508:E1525,$B1530)+COUNTIF(C1508:E1525,$B1530&amp;" ~*")&gt;0)+(COUNTIF(G1508:I1525,$B1530)+COUNTIF(G1508:I1525,$B1530&amp;" ~*")&gt;0)+(COUNTIF(K1508:M1525,$B1530)+COUNTIF(K1508:M1525,$B1530&amp;" ~*")&gt;0)+(COUNTIF(O1508:Q1525,$B1530)+COUNTIF(O1508:Q1525,$B1530&amp;" ~*")&gt;0)+(COUNTIF(S1508:U1525,$B1530)+COUNTIF(S1508:U1525,$B1530&amp;" ~*")&gt;0)+(COUNTIF(W1508:W1525,$B1530)+COUNTIF(W1508:W1525,$B1530&amp;" ~*")&gt;0)+(COUNTIF(Y1508:Y1525,$B1530)+COUNTIF(Y1508:Y1525,$B1530&amp;" ~*")&gt;0))</f>
        <v/>
      </c>
      <c r="AC1530" s="38">
        <f>IF($B1530="","",(IFERROR(INDEX(Setup!$G$33:$G$40,MATCH(C1530,Setup!$B$33:$B$40,0)),0)=1)*(COUNTIF(C1508:E1525,$B1530)+COUNTIF(C1508:E1525,$B1530&amp;" ~*")&gt;0)+(IFERROR(INDEX(Setup!$G$33:$G$40,MATCH(G1530,Setup!$B$33:$B$40,0)),0)=1)*(COUNTIF(G1508:I1525,$B1530)+COUNTIF(G1508:I1525,$B1530&amp;" ~*")&gt;0)+(IFERROR(INDEX(Setup!$G$33:$G$40,MATCH(K1530,Setup!$B$33:$B$40,0)),0)=1)*(COUNTIF(K1508:M1525,$B1530)+COUNTIF(K1508:M1525,$B1530&amp;" ~*")&gt;0)+(IFERROR(INDEX(Setup!$G$33:$G$40,MATCH(O1530,Setup!$B$33:$B$40,0)),0)=1)*(COUNTIF(O1508:Q1525,$B1530)+COUNTIF(O1508:Q1525,$B1530&amp;" ~*")&gt;0)+(IFERROR(INDEX(Setup!$G$33:$G$40,MATCH(S1530,Setup!$B$33:$B$40,0)),0)=1)*(COUNTIF(S1508:U1525,$B1530)+COUNTIF(S1508:U1525,$B1530&amp;" ~*")&gt;0)+(IFERROR(INDEX(Setup!$G$33:$G$40,MATCH(W1530,Setup!$B$33:$B$40,0)),0)=1)*(COUNTIF(W1508:W1525,$B1530)+COUNTIF(W1508:W1525,$B1530&amp;" ~*")&gt;0)+(IFERROR(INDEX(Setup!$G$33:$G$40,MATCH(Y1530,Setup!$B$33:$B$40,0)),0)=1)*(COUNTIF(Y1508:Y1525,$B1530)+COUNTIF(Y1508:Y1525,$B1530&amp;" ~*")&gt;0))</f>
        <v/>
      </c>
    </row>
    <row r="1531" ht="15" customHeight="1">
      <c r="A1531" t="n">
        <v>31</v>
      </c>
      <c r="B1531" s="35">
        <f>IF(Setup!$B$10="","",Setup!$B$10)</f>
        <v/>
      </c>
      <c r="C1531" s="98" t="n"/>
      <c r="D1531" s="99" t="n"/>
      <c r="E1531" s="99" t="n"/>
      <c r="F1531" s="100" t="n"/>
      <c r="G1531" s="98" t="n"/>
      <c r="H1531" s="99" t="n"/>
      <c r="I1531" s="99" t="n"/>
      <c r="J1531" s="100" t="n"/>
      <c r="K1531" s="98" t="n"/>
      <c r="L1531" s="99" t="n"/>
      <c r="M1531" s="99" t="n"/>
      <c r="N1531" s="100" t="n"/>
      <c r="O1531" s="98" t="n"/>
      <c r="P1531" s="99" t="n"/>
      <c r="Q1531" s="99" t="n"/>
      <c r="R1531" s="100" t="n"/>
      <c r="S1531" s="98" t="n"/>
      <c r="T1531" s="99" t="n"/>
      <c r="U1531" s="99" t="n"/>
      <c r="V1531" s="100" t="n"/>
      <c r="W1531" s="98" t="n"/>
      <c r="X1531" s="100" t="n"/>
      <c r="Y1531" s="98" t="n"/>
      <c r="Z1531" s="100" t="n"/>
      <c r="AB1531" s="101">
        <f>IF($B1531="","",(COUNTIF(C1508:E1525,$B1531)+COUNTIF(C1508:E1525,$B1531&amp;" ~*")&gt;0)+(COUNTIF(G1508:I1525,$B1531)+COUNTIF(G1508:I1525,$B1531&amp;" ~*")&gt;0)+(COUNTIF(K1508:M1525,$B1531)+COUNTIF(K1508:M1525,$B1531&amp;" ~*")&gt;0)+(COUNTIF(O1508:Q1525,$B1531)+COUNTIF(O1508:Q1525,$B1531&amp;" ~*")&gt;0)+(COUNTIF(S1508:U1525,$B1531)+COUNTIF(S1508:U1525,$B1531&amp;" ~*")&gt;0)+(COUNTIF(W1508:W1525,$B1531)+COUNTIF(W1508:W1525,$B1531&amp;" ~*")&gt;0)+(COUNTIF(Y1508:Y1525,$B1531)+COUNTIF(Y1508:Y1525,$B1531&amp;" ~*")&gt;0))</f>
        <v/>
      </c>
      <c r="AC1531" s="36">
        <f>IF($B1531="","",(IFERROR(INDEX(Setup!$G$33:$G$40,MATCH(C1531,Setup!$B$33:$B$40,0)),0)=1)*(COUNTIF(C1508:E1525,$B1531)+COUNTIF(C1508:E1525,$B1531&amp;" ~*")&gt;0)+(IFERROR(INDEX(Setup!$G$33:$G$40,MATCH(G1531,Setup!$B$33:$B$40,0)),0)=1)*(COUNTIF(G1508:I1525,$B1531)+COUNTIF(G1508:I1525,$B1531&amp;" ~*")&gt;0)+(IFERROR(INDEX(Setup!$G$33:$G$40,MATCH(K1531,Setup!$B$33:$B$40,0)),0)=1)*(COUNTIF(K1508:M1525,$B1531)+COUNTIF(K1508:M1525,$B1531&amp;" ~*")&gt;0)+(IFERROR(INDEX(Setup!$G$33:$G$40,MATCH(O1531,Setup!$B$33:$B$40,0)),0)=1)*(COUNTIF(O1508:Q1525,$B1531)+COUNTIF(O1508:Q1525,$B1531&amp;" ~*")&gt;0)+(IFERROR(INDEX(Setup!$G$33:$G$40,MATCH(S1531,Setup!$B$33:$B$40,0)),0)=1)*(COUNTIF(S1508:U1525,$B1531)+COUNTIF(S1508:U1525,$B1531&amp;" ~*")&gt;0)+(IFERROR(INDEX(Setup!$G$33:$G$40,MATCH(W1531,Setup!$B$33:$B$40,0)),0)=1)*(COUNTIF(W1508:W1525,$B1531)+COUNTIF(W1508:W1525,$B1531&amp;" ~*")&gt;0)+(IFERROR(INDEX(Setup!$G$33:$G$40,MATCH(Y1531,Setup!$B$33:$B$40,0)),0)=1)*(COUNTIF(Y1508:Y1525,$B1531)+COUNTIF(Y1508:Y1525,$B1531&amp;" ~*")&gt;0))</f>
        <v/>
      </c>
    </row>
    <row r="1532" ht="15" customHeight="1">
      <c r="A1532" t="n">
        <v>31</v>
      </c>
      <c r="B1532" s="37">
        <f>IF(Setup!$B$11="","",Setup!$B$11)</f>
        <v/>
      </c>
      <c r="C1532" s="102" t="n"/>
      <c r="D1532" s="103" t="n"/>
      <c r="E1532" s="103" t="n"/>
      <c r="F1532" s="104" t="n"/>
      <c r="G1532" s="102" t="n"/>
      <c r="H1532" s="103" t="n"/>
      <c r="I1532" s="103" t="n"/>
      <c r="J1532" s="104" t="n"/>
      <c r="K1532" s="102" t="n"/>
      <c r="L1532" s="103" t="n"/>
      <c r="M1532" s="103" t="n"/>
      <c r="N1532" s="104" t="n"/>
      <c r="O1532" s="102" t="n"/>
      <c r="P1532" s="103" t="n"/>
      <c r="Q1532" s="103" t="n"/>
      <c r="R1532" s="104" t="n"/>
      <c r="S1532" s="102" t="n"/>
      <c r="T1532" s="103" t="n"/>
      <c r="U1532" s="103" t="n"/>
      <c r="V1532" s="104" t="n"/>
      <c r="W1532" s="102" t="n"/>
      <c r="X1532" s="104" t="n"/>
      <c r="Y1532" s="102" t="n"/>
      <c r="Z1532" s="104" t="n"/>
      <c r="AB1532" s="105">
        <f>IF($B1532="","",(COUNTIF(C1508:E1525,$B1532)+COUNTIF(C1508:E1525,$B1532&amp;" ~*")&gt;0)+(COUNTIF(G1508:I1525,$B1532)+COUNTIF(G1508:I1525,$B1532&amp;" ~*")&gt;0)+(COUNTIF(K1508:M1525,$B1532)+COUNTIF(K1508:M1525,$B1532&amp;" ~*")&gt;0)+(COUNTIF(O1508:Q1525,$B1532)+COUNTIF(O1508:Q1525,$B1532&amp;" ~*")&gt;0)+(COUNTIF(S1508:U1525,$B1532)+COUNTIF(S1508:U1525,$B1532&amp;" ~*")&gt;0)+(COUNTIF(W1508:W1525,$B1532)+COUNTIF(W1508:W1525,$B1532&amp;" ~*")&gt;0)+(COUNTIF(Y1508:Y1525,$B1532)+COUNTIF(Y1508:Y1525,$B1532&amp;" ~*")&gt;0))</f>
        <v/>
      </c>
      <c r="AC1532" s="38">
        <f>IF($B1532="","",(IFERROR(INDEX(Setup!$G$33:$G$40,MATCH(C1532,Setup!$B$33:$B$40,0)),0)=1)*(COUNTIF(C1508:E1525,$B1532)+COUNTIF(C1508:E1525,$B1532&amp;" ~*")&gt;0)+(IFERROR(INDEX(Setup!$G$33:$G$40,MATCH(G1532,Setup!$B$33:$B$40,0)),0)=1)*(COUNTIF(G1508:I1525,$B1532)+COUNTIF(G1508:I1525,$B1532&amp;" ~*")&gt;0)+(IFERROR(INDEX(Setup!$G$33:$G$40,MATCH(K1532,Setup!$B$33:$B$40,0)),0)=1)*(COUNTIF(K1508:M1525,$B1532)+COUNTIF(K1508:M1525,$B1532&amp;" ~*")&gt;0)+(IFERROR(INDEX(Setup!$G$33:$G$40,MATCH(O1532,Setup!$B$33:$B$40,0)),0)=1)*(COUNTIF(O1508:Q1525,$B1532)+COUNTIF(O1508:Q1525,$B1532&amp;" ~*")&gt;0)+(IFERROR(INDEX(Setup!$G$33:$G$40,MATCH(S1532,Setup!$B$33:$B$40,0)),0)=1)*(COUNTIF(S1508:U1525,$B1532)+COUNTIF(S1508:U1525,$B1532&amp;" ~*")&gt;0)+(IFERROR(INDEX(Setup!$G$33:$G$40,MATCH(W1532,Setup!$B$33:$B$40,0)),0)=1)*(COUNTIF(W1508:W1525,$B1532)+COUNTIF(W1508:W1525,$B1532&amp;" ~*")&gt;0)+(IFERROR(INDEX(Setup!$G$33:$G$40,MATCH(Y1532,Setup!$B$33:$B$40,0)),0)=1)*(COUNTIF(Y1508:Y1525,$B1532)+COUNTIF(Y1508:Y1525,$B1532&amp;" ~*")&gt;0))</f>
        <v/>
      </c>
    </row>
    <row r="1533" ht="15" customHeight="1">
      <c r="A1533" t="n">
        <v>31</v>
      </c>
      <c r="B1533" s="35">
        <f>IF(Setup!$B$12="","",Setup!$B$12)</f>
        <v/>
      </c>
      <c r="C1533" s="98" t="n"/>
      <c r="D1533" s="99" t="n"/>
      <c r="E1533" s="99" t="n"/>
      <c r="F1533" s="100" t="n"/>
      <c r="G1533" s="98" t="n"/>
      <c r="H1533" s="99" t="n"/>
      <c r="I1533" s="99" t="n"/>
      <c r="J1533" s="100" t="n"/>
      <c r="K1533" s="98" t="n"/>
      <c r="L1533" s="99" t="n"/>
      <c r="M1533" s="99" t="n"/>
      <c r="N1533" s="100" t="n"/>
      <c r="O1533" s="98" t="n"/>
      <c r="P1533" s="99" t="n"/>
      <c r="Q1533" s="99" t="n"/>
      <c r="R1533" s="100" t="n"/>
      <c r="S1533" s="98" t="n"/>
      <c r="T1533" s="99" t="n"/>
      <c r="U1533" s="99" t="n"/>
      <c r="V1533" s="100" t="n"/>
      <c r="W1533" s="98" t="n"/>
      <c r="X1533" s="100" t="n"/>
      <c r="Y1533" s="98" t="n"/>
      <c r="Z1533" s="100" t="n"/>
      <c r="AB1533" s="101">
        <f>IF($B1533="","",(COUNTIF(C1508:E1525,$B1533)+COUNTIF(C1508:E1525,$B1533&amp;" ~*")&gt;0)+(COUNTIF(G1508:I1525,$B1533)+COUNTIF(G1508:I1525,$B1533&amp;" ~*")&gt;0)+(COUNTIF(K1508:M1525,$B1533)+COUNTIF(K1508:M1525,$B1533&amp;" ~*")&gt;0)+(COUNTIF(O1508:Q1525,$B1533)+COUNTIF(O1508:Q1525,$B1533&amp;" ~*")&gt;0)+(COUNTIF(S1508:U1525,$B1533)+COUNTIF(S1508:U1525,$B1533&amp;" ~*")&gt;0)+(COUNTIF(W1508:W1525,$B1533)+COUNTIF(W1508:W1525,$B1533&amp;" ~*")&gt;0)+(COUNTIF(Y1508:Y1525,$B1533)+COUNTIF(Y1508:Y1525,$B1533&amp;" ~*")&gt;0))</f>
        <v/>
      </c>
      <c r="AC1533" s="36">
        <f>IF($B1533="","",(IFERROR(INDEX(Setup!$G$33:$G$40,MATCH(C1533,Setup!$B$33:$B$40,0)),0)=1)*(COUNTIF(C1508:E1525,$B1533)+COUNTIF(C1508:E1525,$B1533&amp;" ~*")&gt;0)+(IFERROR(INDEX(Setup!$G$33:$G$40,MATCH(G1533,Setup!$B$33:$B$40,0)),0)=1)*(COUNTIF(G1508:I1525,$B1533)+COUNTIF(G1508:I1525,$B1533&amp;" ~*")&gt;0)+(IFERROR(INDEX(Setup!$G$33:$G$40,MATCH(K1533,Setup!$B$33:$B$40,0)),0)=1)*(COUNTIF(K1508:M1525,$B1533)+COUNTIF(K1508:M1525,$B1533&amp;" ~*")&gt;0)+(IFERROR(INDEX(Setup!$G$33:$G$40,MATCH(O1533,Setup!$B$33:$B$40,0)),0)=1)*(COUNTIF(O1508:Q1525,$B1533)+COUNTIF(O1508:Q1525,$B1533&amp;" ~*")&gt;0)+(IFERROR(INDEX(Setup!$G$33:$G$40,MATCH(S1533,Setup!$B$33:$B$40,0)),0)=1)*(COUNTIF(S1508:U1525,$B1533)+COUNTIF(S1508:U1525,$B1533&amp;" ~*")&gt;0)+(IFERROR(INDEX(Setup!$G$33:$G$40,MATCH(W1533,Setup!$B$33:$B$40,0)),0)=1)*(COUNTIF(W1508:W1525,$B1533)+COUNTIF(W1508:W1525,$B1533&amp;" ~*")&gt;0)+(IFERROR(INDEX(Setup!$G$33:$G$40,MATCH(Y1533,Setup!$B$33:$B$40,0)),0)=1)*(COUNTIF(Y1508:Y1525,$B1533)+COUNTIF(Y1508:Y1525,$B1533&amp;" ~*")&gt;0))</f>
        <v/>
      </c>
    </row>
    <row r="1534" ht="15" customHeight="1">
      <c r="A1534" t="n">
        <v>31</v>
      </c>
      <c r="B1534" s="37">
        <f>IF(Setup!$B$13="","",Setup!$B$13)</f>
        <v/>
      </c>
      <c r="C1534" s="102" t="n"/>
      <c r="D1534" s="103" t="n"/>
      <c r="E1534" s="103" t="n"/>
      <c r="F1534" s="104" t="n"/>
      <c r="G1534" s="102" t="n"/>
      <c r="H1534" s="103" t="n"/>
      <c r="I1534" s="103" t="n"/>
      <c r="J1534" s="104" t="n"/>
      <c r="K1534" s="102" t="n"/>
      <c r="L1534" s="103" t="n"/>
      <c r="M1534" s="103" t="n"/>
      <c r="N1534" s="104" t="n"/>
      <c r="O1534" s="102" t="n"/>
      <c r="P1534" s="103" t="n"/>
      <c r="Q1534" s="103" t="n"/>
      <c r="R1534" s="104" t="n"/>
      <c r="S1534" s="102" t="n"/>
      <c r="T1534" s="103" t="n"/>
      <c r="U1534" s="103" t="n"/>
      <c r="V1534" s="104" t="n"/>
      <c r="W1534" s="102" t="n"/>
      <c r="X1534" s="104" t="n"/>
      <c r="Y1534" s="102" t="n"/>
      <c r="Z1534" s="104" t="n"/>
      <c r="AB1534" s="105">
        <f>IF($B1534="","",(COUNTIF(C1508:E1525,$B1534)+COUNTIF(C1508:E1525,$B1534&amp;" ~*")&gt;0)+(COUNTIF(G1508:I1525,$B1534)+COUNTIF(G1508:I1525,$B1534&amp;" ~*")&gt;0)+(COUNTIF(K1508:M1525,$B1534)+COUNTIF(K1508:M1525,$B1534&amp;" ~*")&gt;0)+(COUNTIF(O1508:Q1525,$B1534)+COUNTIF(O1508:Q1525,$B1534&amp;" ~*")&gt;0)+(COUNTIF(S1508:U1525,$B1534)+COUNTIF(S1508:U1525,$B1534&amp;" ~*")&gt;0)+(COUNTIF(W1508:W1525,$B1534)+COUNTIF(W1508:W1525,$B1534&amp;" ~*")&gt;0)+(COUNTIF(Y1508:Y1525,$B1534)+COUNTIF(Y1508:Y1525,$B1534&amp;" ~*")&gt;0))</f>
        <v/>
      </c>
      <c r="AC1534" s="38">
        <f>IF($B1534="","",(IFERROR(INDEX(Setup!$G$33:$G$40,MATCH(C1534,Setup!$B$33:$B$40,0)),0)=1)*(COUNTIF(C1508:E1525,$B1534)+COUNTIF(C1508:E1525,$B1534&amp;" ~*")&gt;0)+(IFERROR(INDEX(Setup!$G$33:$G$40,MATCH(G1534,Setup!$B$33:$B$40,0)),0)=1)*(COUNTIF(G1508:I1525,$B1534)+COUNTIF(G1508:I1525,$B1534&amp;" ~*")&gt;0)+(IFERROR(INDEX(Setup!$G$33:$G$40,MATCH(K1534,Setup!$B$33:$B$40,0)),0)=1)*(COUNTIF(K1508:M1525,$B1534)+COUNTIF(K1508:M1525,$B1534&amp;" ~*")&gt;0)+(IFERROR(INDEX(Setup!$G$33:$G$40,MATCH(O1534,Setup!$B$33:$B$40,0)),0)=1)*(COUNTIF(O1508:Q1525,$B1534)+COUNTIF(O1508:Q1525,$B1534&amp;" ~*")&gt;0)+(IFERROR(INDEX(Setup!$G$33:$G$40,MATCH(S1534,Setup!$B$33:$B$40,0)),0)=1)*(COUNTIF(S1508:U1525,$B1534)+COUNTIF(S1508:U1525,$B1534&amp;" ~*")&gt;0)+(IFERROR(INDEX(Setup!$G$33:$G$40,MATCH(W1534,Setup!$B$33:$B$40,0)),0)=1)*(COUNTIF(W1508:W1525,$B1534)+COUNTIF(W1508:W1525,$B1534&amp;" ~*")&gt;0)+(IFERROR(INDEX(Setup!$G$33:$G$40,MATCH(Y1534,Setup!$B$33:$B$40,0)),0)=1)*(COUNTIF(Y1508:Y1525,$B1534)+COUNTIF(Y1508:Y1525,$B1534&amp;" ~*")&gt;0))</f>
        <v/>
      </c>
    </row>
    <row r="1535" ht="15" customHeight="1">
      <c r="A1535" t="n">
        <v>31</v>
      </c>
      <c r="B1535" s="35">
        <f>IF(Setup!$B$14="","",Setup!$B$14)</f>
        <v/>
      </c>
      <c r="C1535" s="98" t="n"/>
      <c r="D1535" s="99" t="n"/>
      <c r="E1535" s="99" t="n"/>
      <c r="F1535" s="100" t="n"/>
      <c r="G1535" s="98" t="n"/>
      <c r="H1535" s="99" t="n"/>
      <c r="I1535" s="99" t="n"/>
      <c r="J1535" s="100" t="n"/>
      <c r="K1535" s="98" t="n"/>
      <c r="L1535" s="99" t="n"/>
      <c r="M1535" s="99" t="n"/>
      <c r="N1535" s="100" t="n"/>
      <c r="O1535" s="98" t="n"/>
      <c r="P1535" s="99" t="n"/>
      <c r="Q1535" s="99" t="n"/>
      <c r="R1535" s="100" t="n"/>
      <c r="S1535" s="98" t="n"/>
      <c r="T1535" s="99" t="n"/>
      <c r="U1535" s="99" t="n"/>
      <c r="V1535" s="100" t="n"/>
      <c r="W1535" s="98" t="n"/>
      <c r="X1535" s="100" t="n"/>
      <c r="Y1535" s="98" t="n"/>
      <c r="Z1535" s="100" t="n"/>
      <c r="AB1535" s="101">
        <f>IF($B1535="","",(COUNTIF(C1508:E1525,$B1535)+COUNTIF(C1508:E1525,$B1535&amp;" ~*")&gt;0)+(COUNTIF(G1508:I1525,$B1535)+COUNTIF(G1508:I1525,$B1535&amp;" ~*")&gt;0)+(COUNTIF(K1508:M1525,$B1535)+COUNTIF(K1508:M1525,$B1535&amp;" ~*")&gt;0)+(COUNTIF(O1508:Q1525,$B1535)+COUNTIF(O1508:Q1525,$B1535&amp;" ~*")&gt;0)+(COUNTIF(S1508:U1525,$B1535)+COUNTIF(S1508:U1525,$B1535&amp;" ~*")&gt;0)+(COUNTIF(W1508:W1525,$B1535)+COUNTIF(W1508:W1525,$B1535&amp;" ~*")&gt;0)+(COUNTIF(Y1508:Y1525,$B1535)+COUNTIF(Y1508:Y1525,$B1535&amp;" ~*")&gt;0))</f>
        <v/>
      </c>
      <c r="AC1535" s="36">
        <f>IF($B1535="","",(IFERROR(INDEX(Setup!$G$33:$G$40,MATCH(C1535,Setup!$B$33:$B$40,0)),0)=1)*(COUNTIF(C1508:E1525,$B1535)+COUNTIF(C1508:E1525,$B1535&amp;" ~*")&gt;0)+(IFERROR(INDEX(Setup!$G$33:$G$40,MATCH(G1535,Setup!$B$33:$B$40,0)),0)=1)*(COUNTIF(G1508:I1525,$B1535)+COUNTIF(G1508:I1525,$B1535&amp;" ~*")&gt;0)+(IFERROR(INDEX(Setup!$G$33:$G$40,MATCH(K1535,Setup!$B$33:$B$40,0)),0)=1)*(COUNTIF(K1508:M1525,$B1535)+COUNTIF(K1508:M1525,$B1535&amp;" ~*")&gt;0)+(IFERROR(INDEX(Setup!$G$33:$G$40,MATCH(O1535,Setup!$B$33:$B$40,0)),0)=1)*(COUNTIF(O1508:Q1525,$B1535)+COUNTIF(O1508:Q1525,$B1535&amp;" ~*")&gt;0)+(IFERROR(INDEX(Setup!$G$33:$G$40,MATCH(S1535,Setup!$B$33:$B$40,0)),0)=1)*(COUNTIF(S1508:U1525,$B1535)+COUNTIF(S1508:U1525,$B1535&amp;" ~*")&gt;0)+(IFERROR(INDEX(Setup!$G$33:$G$40,MATCH(W1535,Setup!$B$33:$B$40,0)),0)=1)*(COUNTIF(W1508:W1525,$B1535)+COUNTIF(W1508:W1525,$B1535&amp;" ~*")&gt;0)+(IFERROR(INDEX(Setup!$G$33:$G$40,MATCH(Y1535,Setup!$B$33:$B$40,0)),0)=1)*(COUNTIF(Y1508:Y1525,$B1535)+COUNTIF(Y1508:Y1525,$B1535&amp;" ~*")&gt;0))</f>
        <v/>
      </c>
    </row>
    <row r="1536" ht="15" customHeight="1">
      <c r="A1536" t="n">
        <v>31</v>
      </c>
      <c r="B1536" s="37">
        <f>IF(Setup!$B$15="","",Setup!$B$15)</f>
        <v/>
      </c>
      <c r="C1536" s="102" t="n"/>
      <c r="D1536" s="103" t="n"/>
      <c r="E1536" s="103" t="n"/>
      <c r="F1536" s="104" t="n"/>
      <c r="G1536" s="102" t="n"/>
      <c r="H1536" s="103" t="n"/>
      <c r="I1536" s="103" t="n"/>
      <c r="J1536" s="104" t="n"/>
      <c r="K1536" s="102" t="n"/>
      <c r="L1536" s="103" t="n"/>
      <c r="M1536" s="103" t="n"/>
      <c r="N1536" s="104" t="n"/>
      <c r="O1536" s="102" t="n"/>
      <c r="P1536" s="103" t="n"/>
      <c r="Q1536" s="103" t="n"/>
      <c r="R1536" s="104" t="n"/>
      <c r="S1536" s="102" t="n"/>
      <c r="T1536" s="103" t="n"/>
      <c r="U1536" s="103" t="n"/>
      <c r="V1536" s="104" t="n"/>
      <c r="W1536" s="102" t="n"/>
      <c r="X1536" s="104" t="n"/>
      <c r="Y1536" s="102" t="n"/>
      <c r="Z1536" s="104" t="n"/>
      <c r="AB1536" s="105">
        <f>IF($B1536="","",(COUNTIF(C1508:E1525,$B1536)+COUNTIF(C1508:E1525,$B1536&amp;" ~*")&gt;0)+(COUNTIF(G1508:I1525,$B1536)+COUNTIF(G1508:I1525,$B1536&amp;" ~*")&gt;0)+(COUNTIF(K1508:M1525,$B1536)+COUNTIF(K1508:M1525,$B1536&amp;" ~*")&gt;0)+(COUNTIF(O1508:Q1525,$B1536)+COUNTIF(O1508:Q1525,$B1536&amp;" ~*")&gt;0)+(COUNTIF(S1508:U1525,$B1536)+COUNTIF(S1508:U1525,$B1536&amp;" ~*")&gt;0)+(COUNTIF(W1508:W1525,$B1536)+COUNTIF(W1508:W1525,$B1536&amp;" ~*")&gt;0)+(COUNTIF(Y1508:Y1525,$B1536)+COUNTIF(Y1508:Y1525,$B1536&amp;" ~*")&gt;0))</f>
        <v/>
      </c>
      <c r="AC1536" s="38">
        <f>IF($B1536="","",(IFERROR(INDEX(Setup!$G$33:$G$40,MATCH(C1536,Setup!$B$33:$B$40,0)),0)=1)*(COUNTIF(C1508:E1525,$B1536)+COUNTIF(C1508:E1525,$B1536&amp;" ~*")&gt;0)+(IFERROR(INDEX(Setup!$G$33:$G$40,MATCH(G1536,Setup!$B$33:$B$40,0)),0)=1)*(COUNTIF(G1508:I1525,$B1536)+COUNTIF(G1508:I1525,$B1536&amp;" ~*")&gt;0)+(IFERROR(INDEX(Setup!$G$33:$G$40,MATCH(K1536,Setup!$B$33:$B$40,0)),0)=1)*(COUNTIF(K1508:M1525,$B1536)+COUNTIF(K1508:M1525,$B1536&amp;" ~*")&gt;0)+(IFERROR(INDEX(Setup!$G$33:$G$40,MATCH(O1536,Setup!$B$33:$B$40,0)),0)=1)*(COUNTIF(O1508:Q1525,$B1536)+COUNTIF(O1508:Q1525,$B1536&amp;" ~*")&gt;0)+(IFERROR(INDEX(Setup!$G$33:$G$40,MATCH(S1536,Setup!$B$33:$B$40,0)),0)=1)*(COUNTIF(S1508:U1525,$B1536)+COUNTIF(S1508:U1525,$B1536&amp;" ~*")&gt;0)+(IFERROR(INDEX(Setup!$G$33:$G$40,MATCH(W1536,Setup!$B$33:$B$40,0)),0)=1)*(COUNTIF(W1508:W1525,$B1536)+COUNTIF(W1508:W1525,$B1536&amp;" ~*")&gt;0)+(IFERROR(INDEX(Setup!$G$33:$G$40,MATCH(Y1536,Setup!$B$33:$B$40,0)),0)=1)*(COUNTIF(Y1508:Y1525,$B1536)+COUNTIF(Y1508:Y1525,$B1536&amp;" ~*")&gt;0))</f>
        <v/>
      </c>
    </row>
    <row r="1537" ht="15" customHeight="1">
      <c r="A1537" t="n">
        <v>31</v>
      </c>
      <c r="B1537" s="35">
        <f>IF(Setup!$B$16="","",Setup!$B$16)</f>
        <v/>
      </c>
      <c r="C1537" s="98" t="n"/>
      <c r="D1537" s="99" t="n"/>
      <c r="E1537" s="99" t="n"/>
      <c r="F1537" s="100" t="n"/>
      <c r="G1537" s="98" t="n"/>
      <c r="H1537" s="99" t="n"/>
      <c r="I1537" s="99" t="n"/>
      <c r="J1537" s="100" t="n"/>
      <c r="K1537" s="98" t="n"/>
      <c r="L1537" s="99" t="n"/>
      <c r="M1537" s="99" t="n"/>
      <c r="N1537" s="100" t="n"/>
      <c r="O1537" s="98" t="n"/>
      <c r="P1537" s="99" t="n"/>
      <c r="Q1537" s="99" t="n"/>
      <c r="R1537" s="100" t="n"/>
      <c r="S1537" s="98" t="n"/>
      <c r="T1537" s="99" t="n"/>
      <c r="U1537" s="99" t="n"/>
      <c r="V1537" s="100" t="n"/>
      <c r="W1537" s="98" t="n"/>
      <c r="X1537" s="100" t="n"/>
      <c r="Y1537" s="98" t="n"/>
      <c r="Z1537" s="100" t="n"/>
      <c r="AB1537" s="101">
        <f>IF($B1537="","",(COUNTIF(C1508:E1525,$B1537)+COUNTIF(C1508:E1525,$B1537&amp;" ~*")&gt;0)+(COUNTIF(G1508:I1525,$B1537)+COUNTIF(G1508:I1525,$B1537&amp;" ~*")&gt;0)+(COUNTIF(K1508:M1525,$B1537)+COUNTIF(K1508:M1525,$B1537&amp;" ~*")&gt;0)+(COUNTIF(O1508:Q1525,$B1537)+COUNTIF(O1508:Q1525,$B1537&amp;" ~*")&gt;0)+(COUNTIF(S1508:U1525,$B1537)+COUNTIF(S1508:U1525,$B1537&amp;" ~*")&gt;0)+(COUNTIF(W1508:W1525,$B1537)+COUNTIF(W1508:W1525,$B1537&amp;" ~*")&gt;0)+(COUNTIF(Y1508:Y1525,$B1537)+COUNTIF(Y1508:Y1525,$B1537&amp;" ~*")&gt;0))</f>
        <v/>
      </c>
      <c r="AC1537" s="36">
        <f>IF($B1537="","",(IFERROR(INDEX(Setup!$G$33:$G$40,MATCH(C1537,Setup!$B$33:$B$40,0)),0)=1)*(COUNTIF(C1508:E1525,$B1537)+COUNTIF(C1508:E1525,$B1537&amp;" ~*")&gt;0)+(IFERROR(INDEX(Setup!$G$33:$G$40,MATCH(G1537,Setup!$B$33:$B$40,0)),0)=1)*(COUNTIF(G1508:I1525,$B1537)+COUNTIF(G1508:I1525,$B1537&amp;" ~*")&gt;0)+(IFERROR(INDEX(Setup!$G$33:$G$40,MATCH(K1537,Setup!$B$33:$B$40,0)),0)=1)*(COUNTIF(K1508:M1525,$B1537)+COUNTIF(K1508:M1525,$B1537&amp;" ~*")&gt;0)+(IFERROR(INDEX(Setup!$G$33:$G$40,MATCH(O1537,Setup!$B$33:$B$40,0)),0)=1)*(COUNTIF(O1508:Q1525,$B1537)+COUNTIF(O1508:Q1525,$B1537&amp;" ~*")&gt;0)+(IFERROR(INDEX(Setup!$G$33:$G$40,MATCH(S1537,Setup!$B$33:$B$40,0)),0)=1)*(COUNTIF(S1508:U1525,$B1537)+COUNTIF(S1508:U1525,$B1537&amp;" ~*")&gt;0)+(IFERROR(INDEX(Setup!$G$33:$G$40,MATCH(W1537,Setup!$B$33:$B$40,0)),0)=1)*(COUNTIF(W1508:W1525,$B1537)+COUNTIF(W1508:W1525,$B1537&amp;" ~*")&gt;0)+(IFERROR(INDEX(Setup!$G$33:$G$40,MATCH(Y1537,Setup!$B$33:$B$40,0)),0)=1)*(COUNTIF(Y1508:Y1525,$B1537)+COUNTIF(Y1508:Y1525,$B1537&amp;" ~*")&gt;0))</f>
        <v/>
      </c>
    </row>
    <row r="1538" ht="15" customHeight="1">
      <c r="A1538" t="n">
        <v>31</v>
      </c>
      <c r="B1538" s="37">
        <f>IF(Setup!$B$17="","",Setup!$B$17)</f>
        <v/>
      </c>
      <c r="C1538" s="102" t="n"/>
      <c r="D1538" s="103" t="n"/>
      <c r="E1538" s="103" t="n"/>
      <c r="F1538" s="104" t="n"/>
      <c r="G1538" s="102" t="n"/>
      <c r="H1538" s="103" t="n"/>
      <c r="I1538" s="103" t="n"/>
      <c r="J1538" s="104" t="n"/>
      <c r="K1538" s="102" t="n"/>
      <c r="L1538" s="103" t="n"/>
      <c r="M1538" s="103" t="n"/>
      <c r="N1538" s="104" t="n"/>
      <c r="O1538" s="102" t="n"/>
      <c r="P1538" s="103" t="n"/>
      <c r="Q1538" s="103" t="n"/>
      <c r="R1538" s="104" t="n"/>
      <c r="S1538" s="102" t="n"/>
      <c r="T1538" s="103" t="n"/>
      <c r="U1538" s="103" t="n"/>
      <c r="V1538" s="104" t="n"/>
      <c r="W1538" s="102" t="n"/>
      <c r="X1538" s="104" t="n"/>
      <c r="Y1538" s="102" t="n"/>
      <c r="Z1538" s="104" t="n"/>
      <c r="AB1538" s="105">
        <f>IF($B1538="","",(COUNTIF(C1508:E1525,$B1538)+COUNTIF(C1508:E1525,$B1538&amp;" ~*")&gt;0)+(COUNTIF(G1508:I1525,$B1538)+COUNTIF(G1508:I1525,$B1538&amp;" ~*")&gt;0)+(COUNTIF(K1508:M1525,$B1538)+COUNTIF(K1508:M1525,$B1538&amp;" ~*")&gt;0)+(COUNTIF(O1508:Q1525,$B1538)+COUNTIF(O1508:Q1525,$B1538&amp;" ~*")&gt;0)+(COUNTIF(S1508:U1525,$B1538)+COUNTIF(S1508:U1525,$B1538&amp;" ~*")&gt;0)+(COUNTIF(W1508:W1525,$B1538)+COUNTIF(W1508:W1525,$B1538&amp;" ~*")&gt;0)+(COUNTIF(Y1508:Y1525,$B1538)+COUNTIF(Y1508:Y1525,$B1538&amp;" ~*")&gt;0))</f>
        <v/>
      </c>
      <c r="AC1538" s="38">
        <f>IF($B1538="","",(IFERROR(INDEX(Setup!$G$33:$G$40,MATCH(C1538,Setup!$B$33:$B$40,0)),0)=1)*(COUNTIF(C1508:E1525,$B1538)+COUNTIF(C1508:E1525,$B1538&amp;" ~*")&gt;0)+(IFERROR(INDEX(Setup!$G$33:$G$40,MATCH(G1538,Setup!$B$33:$B$40,0)),0)=1)*(COUNTIF(G1508:I1525,$B1538)+COUNTIF(G1508:I1525,$B1538&amp;" ~*")&gt;0)+(IFERROR(INDEX(Setup!$G$33:$G$40,MATCH(K1538,Setup!$B$33:$B$40,0)),0)=1)*(COUNTIF(K1508:M1525,$B1538)+COUNTIF(K1508:M1525,$B1538&amp;" ~*")&gt;0)+(IFERROR(INDEX(Setup!$G$33:$G$40,MATCH(O1538,Setup!$B$33:$B$40,0)),0)=1)*(COUNTIF(O1508:Q1525,$B1538)+COUNTIF(O1508:Q1525,$B1538&amp;" ~*")&gt;0)+(IFERROR(INDEX(Setup!$G$33:$G$40,MATCH(S1538,Setup!$B$33:$B$40,0)),0)=1)*(COUNTIF(S1508:U1525,$B1538)+COUNTIF(S1508:U1525,$B1538&amp;" ~*")&gt;0)+(IFERROR(INDEX(Setup!$G$33:$G$40,MATCH(W1538,Setup!$B$33:$B$40,0)),0)=1)*(COUNTIF(W1508:W1525,$B1538)+COUNTIF(W1508:W1525,$B1538&amp;" ~*")&gt;0)+(IFERROR(INDEX(Setup!$G$33:$G$40,MATCH(Y1538,Setup!$B$33:$B$40,0)),0)=1)*(COUNTIF(Y1508:Y1525,$B1538)+COUNTIF(Y1508:Y1525,$B1538&amp;" ~*")&gt;0))</f>
        <v/>
      </c>
    </row>
    <row r="1539" ht="15" customHeight="1">
      <c r="A1539" t="n">
        <v>31</v>
      </c>
      <c r="B1539" s="35">
        <f>IF(Setup!$B$18="","",Setup!$B$18)</f>
        <v/>
      </c>
      <c r="C1539" s="98" t="n"/>
      <c r="D1539" s="99" t="n"/>
      <c r="E1539" s="99" t="n"/>
      <c r="F1539" s="100" t="n"/>
      <c r="G1539" s="98" t="n"/>
      <c r="H1539" s="99" t="n"/>
      <c r="I1539" s="99" t="n"/>
      <c r="J1539" s="100" t="n"/>
      <c r="K1539" s="98" t="n"/>
      <c r="L1539" s="99" t="n"/>
      <c r="M1539" s="99" t="n"/>
      <c r="N1539" s="100" t="n"/>
      <c r="O1539" s="98" t="n"/>
      <c r="P1539" s="99" t="n"/>
      <c r="Q1539" s="99" t="n"/>
      <c r="R1539" s="100" t="n"/>
      <c r="S1539" s="98" t="n"/>
      <c r="T1539" s="99" t="n"/>
      <c r="U1539" s="99" t="n"/>
      <c r="V1539" s="100" t="n"/>
      <c r="W1539" s="98" t="n"/>
      <c r="X1539" s="100" t="n"/>
      <c r="Y1539" s="98" t="n"/>
      <c r="Z1539" s="100" t="n"/>
      <c r="AB1539" s="101">
        <f>IF($B1539="","",(COUNTIF(C1508:E1525,$B1539)+COUNTIF(C1508:E1525,$B1539&amp;" ~*")&gt;0)+(COUNTIF(G1508:I1525,$B1539)+COUNTIF(G1508:I1525,$B1539&amp;" ~*")&gt;0)+(COUNTIF(K1508:M1525,$B1539)+COUNTIF(K1508:M1525,$B1539&amp;" ~*")&gt;0)+(COUNTIF(O1508:Q1525,$B1539)+COUNTIF(O1508:Q1525,$B1539&amp;" ~*")&gt;0)+(COUNTIF(S1508:U1525,$B1539)+COUNTIF(S1508:U1525,$B1539&amp;" ~*")&gt;0)+(COUNTIF(W1508:W1525,$B1539)+COUNTIF(W1508:W1525,$B1539&amp;" ~*")&gt;0)+(COUNTIF(Y1508:Y1525,$B1539)+COUNTIF(Y1508:Y1525,$B1539&amp;" ~*")&gt;0))</f>
        <v/>
      </c>
      <c r="AC1539" s="36">
        <f>IF($B1539="","",(IFERROR(INDEX(Setup!$G$33:$G$40,MATCH(C1539,Setup!$B$33:$B$40,0)),0)=1)*(COUNTIF(C1508:E1525,$B1539)+COUNTIF(C1508:E1525,$B1539&amp;" ~*")&gt;0)+(IFERROR(INDEX(Setup!$G$33:$G$40,MATCH(G1539,Setup!$B$33:$B$40,0)),0)=1)*(COUNTIF(G1508:I1525,$B1539)+COUNTIF(G1508:I1525,$B1539&amp;" ~*")&gt;0)+(IFERROR(INDEX(Setup!$G$33:$G$40,MATCH(K1539,Setup!$B$33:$B$40,0)),0)=1)*(COUNTIF(K1508:M1525,$B1539)+COUNTIF(K1508:M1525,$B1539&amp;" ~*")&gt;0)+(IFERROR(INDEX(Setup!$G$33:$G$40,MATCH(O1539,Setup!$B$33:$B$40,0)),0)=1)*(COUNTIF(O1508:Q1525,$B1539)+COUNTIF(O1508:Q1525,$B1539&amp;" ~*")&gt;0)+(IFERROR(INDEX(Setup!$G$33:$G$40,MATCH(S1539,Setup!$B$33:$B$40,0)),0)=1)*(COUNTIF(S1508:U1525,$B1539)+COUNTIF(S1508:U1525,$B1539&amp;" ~*")&gt;0)+(IFERROR(INDEX(Setup!$G$33:$G$40,MATCH(W1539,Setup!$B$33:$B$40,0)),0)=1)*(COUNTIF(W1508:W1525,$B1539)+COUNTIF(W1508:W1525,$B1539&amp;" ~*")&gt;0)+(IFERROR(INDEX(Setup!$G$33:$G$40,MATCH(Y1539,Setup!$B$33:$B$40,0)),0)=1)*(COUNTIF(Y1508:Y1525,$B1539)+COUNTIF(Y1508:Y1525,$B1539&amp;" ~*")&gt;0))</f>
        <v/>
      </c>
    </row>
    <row r="1540" ht="15" customHeight="1">
      <c r="A1540" t="n">
        <v>31</v>
      </c>
      <c r="B1540" s="37">
        <f>IF(Setup!$B$19="","",Setup!$B$19)</f>
        <v/>
      </c>
      <c r="C1540" s="102" t="n"/>
      <c r="D1540" s="103" t="n"/>
      <c r="E1540" s="103" t="n"/>
      <c r="F1540" s="104" t="n"/>
      <c r="G1540" s="102" t="n"/>
      <c r="H1540" s="103" t="n"/>
      <c r="I1540" s="103" t="n"/>
      <c r="J1540" s="104" t="n"/>
      <c r="K1540" s="102" t="n"/>
      <c r="L1540" s="103" t="n"/>
      <c r="M1540" s="103" t="n"/>
      <c r="N1540" s="104" t="n"/>
      <c r="O1540" s="102" t="n"/>
      <c r="P1540" s="103" t="n"/>
      <c r="Q1540" s="103" t="n"/>
      <c r="R1540" s="104" t="n"/>
      <c r="S1540" s="102" t="n"/>
      <c r="T1540" s="103" t="n"/>
      <c r="U1540" s="103" t="n"/>
      <c r="V1540" s="104" t="n"/>
      <c r="W1540" s="102" t="n"/>
      <c r="X1540" s="104" t="n"/>
      <c r="Y1540" s="102" t="n"/>
      <c r="Z1540" s="104" t="n"/>
      <c r="AB1540" s="105">
        <f>IF($B1540="","",(COUNTIF(C1508:E1525,$B1540)+COUNTIF(C1508:E1525,$B1540&amp;" ~*")&gt;0)+(COUNTIF(G1508:I1525,$B1540)+COUNTIF(G1508:I1525,$B1540&amp;" ~*")&gt;0)+(COUNTIF(K1508:M1525,$B1540)+COUNTIF(K1508:M1525,$B1540&amp;" ~*")&gt;0)+(COUNTIF(O1508:Q1525,$B1540)+COUNTIF(O1508:Q1525,$B1540&amp;" ~*")&gt;0)+(COUNTIF(S1508:U1525,$B1540)+COUNTIF(S1508:U1525,$B1540&amp;" ~*")&gt;0)+(COUNTIF(W1508:W1525,$B1540)+COUNTIF(W1508:W1525,$B1540&amp;" ~*")&gt;0)+(COUNTIF(Y1508:Y1525,$B1540)+COUNTIF(Y1508:Y1525,$B1540&amp;" ~*")&gt;0))</f>
        <v/>
      </c>
      <c r="AC1540" s="38">
        <f>IF($B1540="","",(IFERROR(INDEX(Setup!$G$33:$G$40,MATCH(C1540,Setup!$B$33:$B$40,0)),0)=1)*(COUNTIF(C1508:E1525,$B1540)+COUNTIF(C1508:E1525,$B1540&amp;" ~*")&gt;0)+(IFERROR(INDEX(Setup!$G$33:$G$40,MATCH(G1540,Setup!$B$33:$B$40,0)),0)=1)*(COUNTIF(G1508:I1525,$B1540)+COUNTIF(G1508:I1525,$B1540&amp;" ~*")&gt;0)+(IFERROR(INDEX(Setup!$G$33:$G$40,MATCH(K1540,Setup!$B$33:$B$40,0)),0)=1)*(COUNTIF(K1508:M1525,$B1540)+COUNTIF(K1508:M1525,$B1540&amp;" ~*")&gt;0)+(IFERROR(INDEX(Setup!$G$33:$G$40,MATCH(O1540,Setup!$B$33:$B$40,0)),0)=1)*(COUNTIF(O1508:Q1525,$B1540)+COUNTIF(O1508:Q1525,$B1540&amp;" ~*")&gt;0)+(IFERROR(INDEX(Setup!$G$33:$G$40,MATCH(S1540,Setup!$B$33:$B$40,0)),0)=1)*(COUNTIF(S1508:U1525,$B1540)+COUNTIF(S1508:U1525,$B1540&amp;" ~*")&gt;0)+(IFERROR(INDEX(Setup!$G$33:$G$40,MATCH(W1540,Setup!$B$33:$B$40,0)),0)=1)*(COUNTIF(W1508:W1525,$B1540)+COUNTIF(W1508:W1525,$B1540&amp;" ~*")&gt;0)+(IFERROR(INDEX(Setup!$G$33:$G$40,MATCH(Y1540,Setup!$B$33:$B$40,0)),0)=1)*(COUNTIF(Y1508:Y1525,$B1540)+COUNTIF(Y1508:Y1525,$B1540&amp;" ~*")&gt;0))</f>
        <v/>
      </c>
    </row>
    <row r="1541" ht="15" customHeight="1">
      <c r="A1541" t="n">
        <v>31</v>
      </c>
      <c r="B1541" s="35">
        <f>IF(Setup!$B$20="","",Setup!$B$20)</f>
        <v/>
      </c>
      <c r="C1541" s="98" t="n"/>
      <c r="D1541" s="99" t="n"/>
      <c r="E1541" s="99" t="n"/>
      <c r="F1541" s="100" t="n"/>
      <c r="G1541" s="98" t="n"/>
      <c r="H1541" s="99" t="n"/>
      <c r="I1541" s="99" t="n"/>
      <c r="J1541" s="100" t="n"/>
      <c r="K1541" s="98" t="n"/>
      <c r="L1541" s="99" t="n"/>
      <c r="M1541" s="99" t="n"/>
      <c r="N1541" s="100" t="n"/>
      <c r="O1541" s="98" t="n"/>
      <c r="P1541" s="99" t="n"/>
      <c r="Q1541" s="99" t="n"/>
      <c r="R1541" s="100" t="n"/>
      <c r="S1541" s="98" t="n"/>
      <c r="T1541" s="99" t="n"/>
      <c r="U1541" s="99" t="n"/>
      <c r="V1541" s="100" t="n"/>
      <c r="W1541" s="98" t="n"/>
      <c r="X1541" s="100" t="n"/>
      <c r="Y1541" s="98" t="n"/>
      <c r="Z1541" s="100" t="n"/>
      <c r="AB1541" s="101">
        <f>IF($B1541="","",(COUNTIF(C1508:E1525,$B1541)+COUNTIF(C1508:E1525,$B1541&amp;" ~*")&gt;0)+(COUNTIF(G1508:I1525,$B1541)+COUNTIF(G1508:I1525,$B1541&amp;" ~*")&gt;0)+(COUNTIF(K1508:M1525,$B1541)+COUNTIF(K1508:M1525,$B1541&amp;" ~*")&gt;0)+(COUNTIF(O1508:Q1525,$B1541)+COUNTIF(O1508:Q1525,$B1541&amp;" ~*")&gt;0)+(COUNTIF(S1508:U1525,$B1541)+COUNTIF(S1508:U1525,$B1541&amp;" ~*")&gt;0)+(COUNTIF(W1508:W1525,$B1541)+COUNTIF(W1508:W1525,$B1541&amp;" ~*")&gt;0)+(COUNTIF(Y1508:Y1525,$B1541)+COUNTIF(Y1508:Y1525,$B1541&amp;" ~*")&gt;0))</f>
        <v/>
      </c>
      <c r="AC1541" s="36">
        <f>IF($B1541="","",(IFERROR(INDEX(Setup!$G$33:$G$40,MATCH(C1541,Setup!$B$33:$B$40,0)),0)=1)*(COUNTIF(C1508:E1525,$B1541)+COUNTIF(C1508:E1525,$B1541&amp;" ~*")&gt;0)+(IFERROR(INDEX(Setup!$G$33:$G$40,MATCH(G1541,Setup!$B$33:$B$40,0)),0)=1)*(COUNTIF(G1508:I1525,$B1541)+COUNTIF(G1508:I1525,$B1541&amp;" ~*")&gt;0)+(IFERROR(INDEX(Setup!$G$33:$G$40,MATCH(K1541,Setup!$B$33:$B$40,0)),0)=1)*(COUNTIF(K1508:M1525,$B1541)+COUNTIF(K1508:M1525,$B1541&amp;" ~*")&gt;0)+(IFERROR(INDEX(Setup!$G$33:$G$40,MATCH(O1541,Setup!$B$33:$B$40,0)),0)=1)*(COUNTIF(O1508:Q1525,$B1541)+COUNTIF(O1508:Q1525,$B1541&amp;" ~*")&gt;0)+(IFERROR(INDEX(Setup!$G$33:$G$40,MATCH(S1541,Setup!$B$33:$B$40,0)),0)=1)*(COUNTIF(S1508:U1525,$B1541)+COUNTIF(S1508:U1525,$B1541&amp;" ~*")&gt;0)+(IFERROR(INDEX(Setup!$G$33:$G$40,MATCH(W1541,Setup!$B$33:$B$40,0)),0)=1)*(COUNTIF(W1508:W1525,$B1541)+COUNTIF(W1508:W1525,$B1541&amp;" ~*")&gt;0)+(IFERROR(INDEX(Setup!$G$33:$G$40,MATCH(Y1541,Setup!$B$33:$B$40,0)),0)=1)*(COUNTIF(Y1508:Y1525,$B1541)+COUNTIF(Y1508:Y1525,$B1541&amp;" ~*")&gt;0))</f>
        <v/>
      </c>
    </row>
    <row r="1542" ht="15" customHeight="1">
      <c r="A1542" t="n">
        <v>31</v>
      </c>
      <c r="B1542" s="37">
        <f>IF(Setup!$B$21="","",Setup!$B$21)</f>
        <v/>
      </c>
      <c r="C1542" s="102" t="n"/>
      <c r="D1542" s="103" t="n"/>
      <c r="E1542" s="103" t="n"/>
      <c r="F1542" s="104" t="n"/>
      <c r="G1542" s="102" t="n"/>
      <c r="H1542" s="103" t="n"/>
      <c r="I1542" s="103" t="n"/>
      <c r="J1542" s="104" t="n"/>
      <c r="K1542" s="102" t="n"/>
      <c r="L1542" s="103" t="n"/>
      <c r="M1542" s="103" t="n"/>
      <c r="N1542" s="104" t="n"/>
      <c r="O1542" s="102" t="n"/>
      <c r="P1542" s="103" t="n"/>
      <c r="Q1542" s="103" t="n"/>
      <c r="R1542" s="104" t="n"/>
      <c r="S1542" s="102" t="n"/>
      <c r="T1542" s="103" t="n"/>
      <c r="U1542" s="103" t="n"/>
      <c r="V1542" s="104" t="n"/>
      <c r="W1542" s="102" t="n"/>
      <c r="X1542" s="104" t="n"/>
      <c r="Y1542" s="102" t="n"/>
      <c r="Z1542" s="104" t="n"/>
      <c r="AB1542" s="105">
        <f>IF($B1542="","",(COUNTIF(C1508:E1525,$B1542)+COUNTIF(C1508:E1525,$B1542&amp;" ~*")&gt;0)+(COUNTIF(G1508:I1525,$B1542)+COUNTIF(G1508:I1525,$B1542&amp;" ~*")&gt;0)+(COUNTIF(K1508:M1525,$B1542)+COUNTIF(K1508:M1525,$B1542&amp;" ~*")&gt;0)+(COUNTIF(O1508:Q1525,$B1542)+COUNTIF(O1508:Q1525,$B1542&amp;" ~*")&gt;0)+(COUNTIF(S1508:U1525,$B1542)+COUNTIF(S1508:U1525,$B1542&amp;" ~*")&gt;0)+(COUNTIF(W1508:W1525,$B1542)+COUNTIF(W1508:W1525,$B1542&amp;" ~*")&gt;0)+(COUNTIF(Y1508:Y1525,$B1542)+COUNTIF(Y1508:Y1525,$B1542&amp;" ~*")&gt;0))</f>
        <v/>
      </c>
      <c r="AC1542" s="38">
        <f>IF($B1542="","",(IFERROR(INDEX(Setup!$G$33:$G$40,MATCH(C1542,Setup!$B$33:$B$40,0)),0)=1)*(COUNTIF(C1508:E1525,$B1542)+COUNTIF(C1508:E1525,$B1542&amp;" ~*")&gt;0)+(IFERROR(INDEX(Setup!$G$33:$G$40,MATCH(G1542,Setup!$B$33:$B$40,0)),0)=1)*(COUNTIF(G1508:I1525,$B1542)+COUNTIF(G1508:I1525,$B1542&amp;" ~*")&gt;0)+(IFERROR(INDEX(Setup!$G$33:$G$40,MATCH(K1542,Setup!$B$33:$B$40,0)),0)=1)*(COUNTIF(K1508:M1525,$B1542)+COUNTIF(K1508:M1525,$B1542&amp;" ~*")&gt;0)+(IFERROR(INDEX(Setup!$G$33:$G$40,MATCH(O1542,Setup!$B$33:$B$40,0)),0)=1)*(COUNTIF(O1508:Q1525,$B1542)+COUNTIF(O1508:Q1525,$B1542&amp;" ~*")&gt;0)+(IFERROR(INDEX(Setup!$G$33:$G$40,MATCH(S1542,Setup!$B$33:$B$40,0)),0)=1)*(COUNTIF(S1508:U1525,$B1542)+COUNTIF(S1508:U1525,$B1542&amp;" ~*")&gt;0)+(IFERROR(INDEX(Setup!$G$33:$G$40,MATCH(W1542,Setup!$B$33:$B$40,0)),0)=1)*(COUNTIF(W1508:W1525,$B1542)+COUNTIF(W1508:W1525,$B1542&amp;" ~*")&gt;0)+(IFERROR(INDEX(Setup!$G$33:$G$40,MATCH(Y1542,Setup!$B$33:$B$40,0)),0)=1)*(COUNTIF(Y1508:Y1525,$B1542)+COUNTIF(Y1508:Y1525,$B1542&amp;" ~*")&gt;0))</f>
        <v/>
      </c>
    </row>
    <row r="1543" ht="15" customHeight="1">
      <c r="A1543" t="n">
        <v>31</v>
      </c>
      <c r="B1543" s="35">
        <f>IF(Setup!$B$22="","",Setup!$B$22)</f>
        <v/>
      </c>
      <c r="C1543" s="98" t="n"/>
      <c r="D1543" s="99" t="n"/>
      <c r="E1543" s="99" t="n"/>
      <c r="F1543" s="100" t="n"/>
      <c r="G1543" s="98" t="n"/>
      <c r="H1543" s="99" t="n"/>
      <c r="I1543" s="99" t="n"/>
      <c r="J1543" s="100" t="n"/>
      <c r="K1543" s="98" t="n"/>
      <c r="L1543" s="99" t="n"/>
      <c r="M1543" s="99" t="n"/>
      <c r="N1543" s="100" t="n"/>
      <c r="O1543" s="98" t="n"/>
      <c r="P1543" s="99" t="n"/>
      <c r="Q1543" s="99" t="n"/>
      <c r="R1543" s="100" t="n"/>
      <c r="S1543" s="98" t="n"/>
      <c r="T1543" s="99" t="n"/>
      <c r="U1543" s="99" t="n"/>
      <c r="V1543" s="100" t="n"/>
      <c r="W1543" s="98" t="n"/>
      <c r="X1543" s="100" t="n"/>
      <c r="Y1543" s="98" t="n"/>
      <c r="Z1543" s="100" t="n"/>
      <c r="AB1543" s="101">
        <f>IF($B1543="","",(COUNTIF(C1508:E1525,$B1543)+COUNTIF(C1508:E1525,$B1543&amp;" ~*")&gt;0)+(COUNTIF(G1508:I1525,$B1543)+COUNTIF(G1508:I1525,$B1543&amp;" ~*")&gt;0)+(COUNTIF(K1508:M1525,$B1543)+COUNTIF(K1508:M1525,$B1543&amp;" ~*")&gt;0)+(COUNTIF(O1508:Q1525,$B1543)+COUNTIF(O1508:Q1525,$B1543&amp;" ~*")&gt;0)+(COUNTIF(S1508:U1525,$B1543)+COUNTIF(S1508:U1525,$B1543&amp;" ~*")&gt;0)+(COUNTIF(W1508:W1525,$B1543)+COUNTIF(W1508:W1525,$B1543&amp;" ~*")&gt;0)+(COUNTIF(Y1508:Y1525,$B1543)+COUNTIF(Y1508:Y1525,$B1543&amp;" ~*")&gt;0))</f>
        <v/>
      </c>
      <c r="AC1543" s="36">
        <f>IF($B1543="","",(IFERROR(INDEX(Setup!$G$33:$G$40,MATCH(C1543,Setup!$B$33:$B$40,0)),0)=1)*(COUNTIF(C1508:E1525,$B1543)+COUNTIF(C1508:E1525,$B1543&amp;" ~*")&gt;0)+(IFERROR(INDEX(Setup!$G$33:$G$40,MATCH(G1543,Setup!$B$33:$B$40,0)),0)=1)*(COUNTIF(G1508:I1525,$B1543)+COUNTIF(G1508:I1525,$B1543&amp;" ~*")&gt;0)+(IFERROR(INDEX(Setup!$G$33:$G$40,MATCH(K1543,Setup!$B$33:$B$40,0)),0)=1)*(COUNTIF(K1508:M1525,$B1543)+COUNTIF(K1508:M1525,$B1543&amp;" ~*")&gt;0)+(IFERROR(INDEX(Setup!$G$33:$G$40,MATCH(O1543,Setup!$B$33:$B$40,0)),0)=1)*(COUNTIF(O1508:Q1525,$B1543)+COUNTIF(O1508:Q1525,$B1543&amp;" ~*")&gt;0)+(IFERROR(INDEX(Setup!$G$33:$G$40,MATCH(S1543,Setup!$B$33:$B$40,0)),0)=1)*(COUNTIF(S1508:U1525,$B1543)+COUNTIF(S1508:U1525,$B1543&amp;" ~*")&gt;0)+(IFERROR(INDEX(Setup!$G$33:$G$40,MATCH(W1543,Setup!$B$33:$B$40,0)),0)=1)*(COUNTIF(W1508:W1525,$B1543)+COUNTIF(W1508:W1525,$B1543&amp;" ~*")&gt;0)+(IFERROR(INDEX(Setup!$G$33:$G$40,MATCH(Y1543,Setup!$B$33:$B$40,0)),0)=1)*(COUNTIF(Y1508:Y1525,$B1543)+COUNTIF(Y1508:Y1525,$B1543&amp;" ~*")&gt;0))</f>
        <v/>
      </c>
    </row>
    <row r="1544" ht="15" customHeight="1">
      <c r="A1544" t="n">
        <v>31</v>
      </c>
      <c r="B1544" s="37">
        <f>IF(Setup!$B$23="","",Setup!$B$23)</f>
        <v/>
      </c>
      <c r="C1544" s="102" t="n"/>
      <c r="D1544" s="103" t="n"/>
      <c r="E1544" s="103" t="n"/>
      <c r="F1544" s="104" t="n"/>
      <c r="G1544" s="102" t="n"/>
      <c r="H1544" s="103" t="n"/>
      <c r="I1544" s="103" t="n"/>
      <c r="J1544" s="104" t="n"/>
      <c r="K1544" s="102" t="n"/>
      <c r="L1544" s="103" t="n"/>
      <c r="M1544" s="103" t="n"/>
      <c r="N1544" s="104" t="n"/>
      <c r="O1544" s="102" t="n"/>
      <c r="P1544" s="103" t="n"/>
      <c r="Q1544" s="103" t="n"/>
      <c r="R1544" s="104" t="n"/>
      <c r="S1544" s="102" t="n"/>
      <c r="T1544" s="103" t="n"/>
      <c r="U1544" s="103" t="n"/>
      <c r="V1544" s="104" t="n"/>
      <c r="W1544" s="102" t="n"/>
      <c r="X1544" s="104" t="n"/>
      <c r="Y1544" s="102" t="n"/>
      <c r="Z1544" s="104" t="n"/>
      <c r="AB1544" s="105">
        <f>IF($B1544="","",(COUNTIF(C1508:E1525,$B1544)+COUNTIF(C1508:E1525,$B1544&amp;" ~*")&gt;0)+(COUNTIF(G1508:I1525,$B1544)+COUNTIF(G1508:I1525,$B1544&amp;" ~*")&gt;0)+(COUNTIF(K1508:M1525,$B1544)+COUNTIF(K1508:M1525,$B1544&amp;" ~*")&gt;0)+(COUNTIF(O1508:Q1525,$B1544)+COUNTIF(O1508:Q1525,$B1544&amp;" ~*")&gt;0)+(COUNTIF(S1508:U1525,$B1544)+COUNTIF(S1508:U1525,$B1544&amp;" ~*")&gt;0)+(COUNTIF(W1508:W1525,$B1544)+COUNTIF(W1508:W1525,$B1544&amp;" ~*")&gt;0)+(COUNTIF(Y1508:Y1525,$B1544)+COUNTIF(Y1508:Y1525,$B1544&amp;" ~*")&gt;0))</f>
        <v/>
      </c>
      <c r="AC1544" s="38">
        <f>IF($B1544="","",(IFERROR(INDEX(Setup!$G$33:$G$40,MATCH(C1544,Setup!$B$33:$B$40,0)),0)=1)*(COUNTIF(C1508:E1525,$B1544)+COUNTIF(C1508:E1525,$B1544&amp;" ~*")&gt;0)+(IFERROR(INDEX(Setup!$G$33:$G$40,MATCH(G1544,Setup!$B$33:$B$40,0)),0)=1)*(COUNTIF(G1508:I1525,$B1544)+COUNTIF(G1508:I1525,$B1544&amp;" ~*")&gt;0)+(IFERROR(INDEX(Setup!$G$33:$G$40,MATCH(K1544,Setup!$B$33:$B$40,0)),0)=1)*(COUNTIF(K1508:M1525,$B1544)+COUNTIF(K1508:M1525,$B1544&amp;" ~*")&gt;0)+(IFERROR(INDEX(Setup!$G$33:$G$40,MATCH(O1544,Setup!$B$33:$B$40,0)),0)=1)*(COUNTIF(O1508:Q1525,$B1544)+COUNTIF(O1508:Q1525,$B1544&amp;" ~*")&gt;0)+(IFERROR(INDEX(Setup!$G$33:$G$40,MATCH(S1544,Setup!$B$33:$B$40,0)),0)=1)*(COUNTIF(S1508:U1525,$B1544)+COUNTIF(S1508:U1525,$B1544&amp;" ~*")&gt;0)+(IFERROR(INDEX(Setup!$G$33:$G$40,MATCH(W1544,Setup!$B$33:$B$40,0)),0)=1)*(COUNTIF(W1508:W1525,$B1544)+COUNTIF(W1508:W1525,$B1544&amp;" ~*")&gt;0)+(IFERROR(INDEX(Setup!$G$33:$G$40,MATCH(Y1544,Setup!$B$33:$B$40,0)),0)=1)*(COUNTIF(Y1508:Y1525,$B1544)+COUNTIF(Y1508:Y1525,$B1544&amp;" ~*")&gt;0))</f>
        <v/>
      </c>
    </row>
    <row r="1545" ht="15" customHeight="1">
      <c r="A1545" t="n">
        <v>31</v>
      </c>
      <c r="B1545" s="35">
        <f>IF(Setup!$B$24="","",Setup!$B$24)</f>
        <v/>
      </c>
      <c r="C1545" s="98" t="n"/>
      <c r="D1545" s="99" t="n"/>
      <c r="E1545" s="99" t="n"/>
      <c r="F1545" s="100" t="n"/>
      <c r="G1545" s="98" t="n"/>
      <c r="H1545" s="99" t="n"/>
      <c r="I1545" s="99" t="n"/>
      <c r="J1545" s="100" t="n"/>
      <c r="K1545" s="98" t="n"/>
      <c r="L1545" s="99" t="n"/>
      <c r="M1545" s="99" t="n"/>
      <c r="N1545" s="100" t="n"/>
      <c r="O1545" s="98" t="n"/>
      <c r="P1545" s="99" t="n"/>
      <c r="Q1545" s="99" t="n"/>
      <c r="R1545" s="100" t="n"/>
      <c r="S1545" s="98" t="n"/>
      <c r="T1545" s="99" t="n"/>
      <c r="U1545" s="99" t="n"/>
      <c r="V1545" s="100" t="n"/>
      <c r="W1545" s="98" t="n"/>
      <c r="X1545" s="100" t="n"/>
      <c r="Y1545" s="98" t="n"/>
      <c r="Z1545" s="100" t="n"/>
      <c r="AB1545" s="101">
        <f>IF($B1545="","",(COUNTIF(C1508:E1525,$B1545)+COUNTIF(C1508:E1525,$B1545&amp;" ~*")&gt;0)+(COUNTIF(G1508:I1525,$B1545)+COUNTIF(G1508:I1525,$B1545&amp;" ~*")&gt;0)+(COUNTIF(K1508:M1525,$B1545)+COUNTIF(K1508:M1525,$B1545&amp;" ~*")&gt;0)+(COUNTIF(O1508:Q1525,$B1545)+COUNTIF(O1508:Q1525,$B1545&amp;" ~*")&gt;0)+(COUNTIF(S1508:U1525,$B1545)+COUNTIF(S1508:U1525,$B1545&amp;" ~*")&gt;0)+(COUNTIF(W1508:W1525,$B1545)+COUNTIF(W1508:W1525,$B1545&amp;" ~*")&gt;0)+(COUNTIF(Y1508:Y1525,$B1545)+COUNTIF(Y1508:Y1525,$B1545&amp;" ~*")&gt;0))</f>
        <v/>
      </c>
      <c r="AC1545" s="36">
        <f>IF($B1545="","",(IFERROR(INDEX(Setup!$G$33:$G$40,MATCH(C1545,Setup!$B$33:$B$40,0)),0)=1)*(COUNTIF(C1508:E1525,$B1545)+COUNTIF(C1508:E1525,$B1545&amp;" ~*")&gt;0)+(IFERROR(INDEX(Setup!$G$33:$G$40,MATCH(G1545,Setup!$B$33:$B$40,0)),0)=1)*(COUNTIF(G1508:I1525,$B1545)+COUNTIF(G1508:I1525,$B1545&amp;" ~*")&gt;0)+(IFERROR(INDEX(Setup!$G$33:$G$40,MATCH(K1545,Setup!$B$33:$B$40,0)),0)=1)*(COUNTIF(K1508:M1525,$B1545)+COUNTIF(K1508:M1525,$B1545&amp;" ~*")&gt;0)+(IFERROR(INDEX(Setup!$G$33:$G$40,MATCH(O1545,Setup!$B$33:$B$40,0)),0)=1)*(COUNTIF(O1508:Q1525,$B1545)+COUNTIF(O1508:Q1525,$B1545&amp;" ~*")&gt;0)+(IFERROR(INDEX(Setup!$G$33:$G$40,MATCH(S1545,Setup!$B$33:$B$40,0)),0)=1)*(COUNTIF(S1508:U1525,$B1545)+COUNTIF(S1508:U1525,$B1545&amp;" ~*")&gt;0)+(IFERROR(INDEX(Setup!$G$33:$G$40,MATCH(W1545,Setup!$B$33:$B$40,0)),0)=1)*(COUNTIF(W1508:W1525,$B1545)+COUNTIF(W1508:W1525,$B1545&amp;" ~*")&gt;0)+(IFERROR(INDEX(Setup!$G$33:$G$40,MATCH(Y1545,Setup!$B$33:$B$40,0)),0)=1)*(COUNTIF(Y1508:Y1525,$B1545)+COUNTIF(Y1508:Y1525,$B1545&amp;" ~*")&gt;0))</f>
        <v/>
      </c>
    </row>
    <row r="1546" ht="15" customHeight="1">
      <c r="A1546" t="n">
        <v>31</v>
      </c>
      <c r="B1546" s="37">
        <f>IF(Setup!$B$25="","",Setup!$B$25)</f>
        <v/>
      </c>
      <c r="C1546" s="102" t="n"/>
      <c r="D1546" s="103" t="n"/>
      <c r="E1546" s="103" t="n"/>
      <c r="F1546" s="104" t="n"/>
      <c r="G1546" s="102" t="n"/>
      <c r="H1546" s="103" t="n"/>
      <c r="I1546" s="103" t="n"/>
      <c r="J1546" s="104" t="n"/>
      <c r="K1546" s="102" t="n"/>
      <c r="L1546" s="103" t="n"/>
      <c r="M1546" s="103" t="n"/>
      <c r="N1546" s="104" t="n"/>
      <c r="O1546" s="102" t="n"/>
      <c r="P1546" s="103" t="n"/>
      <c r="Q1546" s="103" t="n"/>
      <c r="R1546" s="104" t="n"/>
      <c r="S1546" s="102" t="n"/>
      <c r="T1546" s="103" t="n"/>
      <c r="U1546" s="103" t="n"/>
      <c r="V1546" s="104" t="n"/>
      <c r="W1546" s="102" t="n"/>
      <c r="X1546" s="104" t="n"/>
      <c r="Y1546" s="102" t="n"/>
      <c r="Z1546" s="104" t="n"/>
      <c r="AB1546" s="105">
        <f>IF($B1546="","",(COUNTIF(C1508:E1525,$B1546)+COUNTIF(C1508:E1525,$B1546&amp;" ~*")&gt;0)+(COUNTIF(G1508:I1525,$B1546)+COUNTIF(G1508:I1525,$B1546&amp;" ~*")&gt;0)+(COUNTIF(K1508:M1525,$B1546)+COUNTIF(K1508:M1525,$B1546&amp;" ~*")&gt;0)+(COUNTIF(O1508:Q1525,$B1546)+COUNTIF(O1508:Q1525,$B1546&amp;" ~*")&gt;0)+(COUNTIF(S1508:U1525,$B1546)+COUNTIF(S1508:U1525,$B1546&amp;" ~*")&gt;0)+(COUNTIF(W1508:W1525,$B1546)+COUNTIF(W1508:W1525,$B1546&amp;" ~*")&gt;0)+(COUNTIF(Y1508:Y1525,$B1546)+COUNTIF(Y1508:Y1525,$B1546&amp;" ~*")&gt;0))</f>
        <v/>
      </c>
      <c r="AC1546" s="38">
        <f>IF($B1546="","",(IFERROR(INDEX(Setup!$G$33:$G$40,MATCH(C1546,Setup!$B$33:$B$40,0)),0)=1)*(COUNTIF(C1508:E1525,$B1546)+COUNTIF(C1508:E1525,$B1546&amp;" ~*")&gt;0)+(IFERROR(INDEX(Setup!$G$33:$G$40,MATCH(G1546,Setup!$B$33:$B$40,0)),0)=1)*(COUNTIF(G1508:I1525,$B1546)+COUNTIF(G1508:I1525,$B1546&amp;" ~*")&gt;0)+(IFERROR(INDEX(Setup!$G$33:$G$40,MATCH(K1546,Setup!$B$33:$B$40,0)),0)=1)*(COUNTIF(K1508:M1525,$B1546)+COUNTIF(K1508:M1525,$B1546&amp;" ~*")&gt;0)+(IFERROR(INDEX(Setup!$G$33:$G$40,MATCH(O1546,Setup!$B$33:$B$40,0)),0)=1)*(COUNTIF(O1508:Q1525,$B1546)+COUNTIF(O1508:Q1525,$B1546&amp;" ~*")&gt;0)+(IFERROR(INDEX(Setup!$G$33:$G$40,MATCH(S1546,Setup!$B$33:$B$40,0)),0)=1)*(COUNTIF(S1508:U1525,$B1546)+COUNTIF(S1508:U1525,$B1546&amp;" ~*")&gt;0)+(IFERROR(INDEX(Setup!$G$33:$G$40,MATCH(W1546,Setup!$B$33:$B$40,0)),0)=1)*(COUNTIF(W1508:W1525,$B1546)+COUNTIF(W1508:W1525,$B1546&amp;" ~*")&gt;0)+(IFERROR(INDEX(Setup!$G$33:$G$40,MATCH(Y1546,Setup!$B$33:$B$40,0)),0)=1)*(COUNTIF(Y1508:Y1525,$B1546)+COUNTIF(Y1508:Y1525,$B1546&amp;" ~*")&gt;0))</f>
        <v/>
      </c>
    </row>
    <row r="1547" ht="15" customHeight="1">
      <c r="A1547" t="n">
        <v>31</v>
      </c>
      <c r="B1547" s="35">
        <f>IF(Setup!$B$26="","",Setup!$B$26)</f>
        <v/>
      </c>
      <c r="C1547" s="98" t="n"/>
      <c r="D1547" s="99" t="n"/>
      <c r="E1547" s="99" t="n"/>
      <c r="F1547" s="100" t="n"/>
      <c r="G1547" s="98" t="n"/>
      <c r="H1547" s="99" t="n"/>
      <c r="I1547" s="99" t="n"/>
      <c r="J1547" s="100" t="n"/>
      <c r="K1547" s="98" t="n"/>
      <c r="L1547" s="99" t="n"/>
      <c r="M1547" s="99" t="n"/>
      <c r="N1547" s="100" t="n"/>
      <c r="O1547" s="98" t="n"/>
      <c r="P1547" s="99" t="n"/>
      <c r="Q1547" s="99" t="n"/>
      <c r="R1547" s="100" t="n"/>
      <c r="S1547" s="98" t="n"/>
      <c r="T1547" s="99" t="n"/>
      <c r="U1547" s="99" t="n"/>
      <c r="V1547" s="100" t="n"/>
      <c r="W1547" s="98" t="n"/>
      <c r="X1547" s="100" t="n"/>
      <c r="Y1547" s="98" t="n"/>
      <c r="Z1547" s="100" t="n"/>
      <c r="AB1547" s="101">
        <f>IF($B1547="","",(COUNTIF(C1508:E1525,$B1547)+COUNTIF(C1508:E1525,$B1547&amp;" ~*")&gt;0)+(COUNTIF(G1508:I1525,$B1547)+COUNTIF(G1508:I1525,$B1547&amp;" ~*")&gt;0)+(COUNTIF(K1508:M1525,$B1547)+COUNTIF(K1508:M1525,$B1547&amp;" ~*")&gt;0)+(COUNTIF(O1508:Q1525,$B1547)+COUNTIF(O1508:Q1525,$B1547&amp;" ~*")&gt;0)+(COUNTIF(S1508:U1525,$B1547)+COUNTIF(S1508:U1525,$B1547&amp;" ~*")&gt;0)+(COUNTIF(W1508:W1525,$B1547)+COUNTIF(W1508:W1525,$B1547&amp;" ~*")&gt;0)+(COUNTIF(Y1508:Y1525,$B1547)+COUNTIF(Y1508:Y1525,$B1547&amp;" ~*")&gt;0))</f>
        <v/>
      </c>
      <c r="AC1547" s="36">
        <f>IF($B1547="","",(IFERROR(INDEX(Setup!$G$33:$G$40,MATCH(C1547,Setup!$B$33:$B$40,0)),0)=1)*(COUNTIF(C1508:E1525,$B1547)+COUNTIF(C1508:E1525,$B1547&amp;" ~*")&gt;0)+(IFERROR(INDEX(Setup!$G$33:$G$40,MATCH(G1547,Setup!$B$33:$B$40,0)),0)=1)*(COUNTIF(G1508:I1525,$B1547)+COUNTIF(G1508:I1525,$B1547&amp;" ~*")&gt;0)+(IFERROR(INDEX(Setup!$G$33:$G$40,MATCH(K1547,Setup!$B$33:$B$40,0)),0)=1)*(COUNTIF(K1508:M1525,$B1547)+COUNTIF(K1508:M1525,$B1547&amp;" ~*")&gt;0)+(IFERROR(INDEX(Setup!$G$33:$G$40,MATCH(O1547,Setup!$B$33:$B$40,0)),0)=1)*(COUNTIF(O1508:Q1525,$B1547)+COUNTIF(O1508:Q1525,$B1547&amp;" ~*")&gt;0)+(IFERROR(INDEX(Setup!$G$33:$G$40,MATCH(S1547,Setup!$B$33:$B$40,0)),0)=1)*(COUNTIF(S1508:U1525,$B1547)+COUNTIF(S1508:U1525,$B1547&amp;" ~*")&gt;0)+(IFERROR(INDEX(Setup!$G$33:$G$40,MATCH(W1547,Setup!$B$33:$B$40,0)),0)=1)*(COUNTIF(W1508:W1525,$B1547)+COUNTIF(W1508:W1525,$B1547&amp;" ~*")&gt;0)+(IFERROR(INDEX(Setup!$G$33:$G$40,MATCH(Y1547,Setup!$B$33:$B$40,0)),0)=1)*(COUNTIF(Y1508:Y1525,$B1547)+COUNTIF(Y1508:Y1525,$B1547&amp;" ~*")&gt;0))</f>
        <v/>
      </c>
    </row>
    <row r="1548" ht="15" customHeight="1">
      <c r="A1548" t="n">
        <v>31</v>
      </c>
      <c r="B1548" s="37">
        <f>IF(Setup!$B$27="","",Setup!$B$27)</f>
        <v/>
      </c>
      <c r="C1548" s="102" t="n"/>
      <c r="D1548" s="103" t="n"/>
      <c r="E1548" s="103" t="n"/>
      <c r="F1548" s="104" t="n"/>
      <c r="G1548" s="102" t="n"/>
      <c r="H1548" s="103" t="n"/>
      <c r="I1548" s="103" t="n"/>
      <c r="J1548" s="104" t="n"/>
      <c r="K1548" s="102" t="n"/>
      <c r="L1548" s="103" t="n"/>
      <c r="M1548" s="103" t="n"/>
      <c r="N1548" s="104" t="n"/>
      <c r="O1548" s="102" t="n"/>
      <c r="P1548" s="103" t="n"/>
      <c r="Q1548" s="103" t="n"/>
      <c r="R1548" s="104" t="n"/>
      <c r="S1548" s="102" t="n"/>
      <c r="T1548" s="103" t="n"/>
      <c r="U1548" s="103" t="n"/>
      <c r="V1548" s="104" t="n"/>
      <c r="W1548" s="102" t="n"/>
      <c r="X1548" s="104" t="n"/>
      <c r="Y1548" s="102" t="n"/>
      <c r="Z1548" s="104" t="n"/>
      <c r="AB1548" s="105">
        <f>IF($B1548="","",(COUNTIF(C1508:E1525,$B1548)+COUNTIF(C1508:E1525,$B1548&amp;" ~*")&gt;0)+(COUNTIF(G1508:I1525,$B1548)+COUNTIF(G1508:I1525,$B1548&amp;" ~*")&gt;0)+(COUNTIF(K1508:M1525,$B1548)+COUNTIF(K1508:M1525,$B1548&amp;" ~*")&gt;0)+(COUNTIF(O1508:Q1525,$B1548)+COUNTIF(O1508:Q1525,$B1548&amp;" ~*")&gt;0)+(COUNTIF(S1508:U1525,$B1548)+COUNTIF(S1508:U1525,$B1548&amp;" ~*")&gt;0)+(COUNTIF(W1508:W1525,$B1548)+COUNTIF(W1508:W1525,$B1548&amp;" ~*")&gt;0)+(COUNTIF(Y1508:Y1525,$B1548)+COUNTIF(Y1508:Y1525,$B1548&amp;" ~*")&gt;0))</f>
        <v/>
      </c>
      <c r="AC1548" s="38">
        <f>IF($B1548="","",(IFERROR(INDEX(Setup!$G$33:$G$40,MATCH(C1548,Setup!$B$33:$B$40,0)),0)=1)*(COUNTIF(C1508:E1525,$B1548)+COUNTIF(C1508:E1525,$B1548&amp;" ~*")&gt;0)+(IFERROR(INDEX(Setup!$G$33:$G$40,MATCH(G1548,Setup!$B$33:$B$40,0)),0)=1)*(COUNTIF(G1508:I1525,$B1548)+COUNTIF(G1508:I1525,$B1548&amp;" ~*")&gt;0)+(IFERROR(INDEX(Setup!$G$33:$G$40,MATCH(K1548,Setup!$B$33:$B$40,0)),0)=1)*(COUNTIF(K1508:M1525,$B1548)+COUNTIF(K1508:M1525,$B1548&amp;" ~*")&gt;0)+(IFERROR(INDEX(Setup!$G$33:$G$40,MATCH(O1548,Setup!$B$33:$B$40,0)),0)=1)*(COUNTIF(O1508:Q1525,$B1548)+COUNTIF(O1508:Q1525,$B1548&amp;" ~*")&gt;0)+(IFERROR(INDEX(Setup!$G$33:$G$40,MATCH(S1548,Setup!$B$33:$B$40,0)),0)=1)*(COUNTIF(S1508:U1525,$B1548)+COUNTIF(S1508:U1525,$B1548&amp;" ~*")&gt;0)+(IFERROR(INDEX(Setup!$G$33:$G$40,MATCH(W1548,Setup!$B$33:$B$40,0)),0)=1)*(COUNTIF(W1508:W1525,$B1548)+COUNTIF(W1508:W1525,$B1548&amp;" ~*")&gt;0)+(IFERROR(INDEX(Setup!$G$33:$G$40,MATCH(Y1548,Setup!$B$33:$B$40,0)),0)=1)*(COUNTIF(Y1508:Y1525,$B1548)+COUNTIF(Y1508:Y1525,$B1548&amp;" ~*")&gt;0))</f>
        <v/>
      </c>
    </row>
    <row r="1549" ht="15" customHeight="1">
      <c r="A1549" t="n">
        <v>31</v>
      </c>
      <c r="B1549" s="35">
        <f>IF(Setup!$B$28="","",Setup!$B$28)</f>
        <v/>
      </c>
      <c r="C1549" s="98" t="n"/>
      <c r="D1549" s="99" t="n"/>
      <c r="E1549" s="99" t="n"/>
      <c r="F1549" s="100" t="n"/>
      <c r="G1549" s="98" t="n"/>
      <c r="H1549" s="99" t="n"/>
      <c r="I1549" s="99" t="n"/>
      <c r="J1549" s="100" t="n"/>
      <c r="K1549" s="98" t="n"/>
      <c r="L1549" s="99" t="n"/>
      <c r="M1549" s="99" t="n"/>
      <c r="N1549" s="100" t="n"/>
      <c r="O1549" s="98" t="n"/>
      <c r="P1549" s="99" t="n"/>
      <c r="Q1549" s="99" t="n"/>
      <c r="R1549" s="100" t="n"/>
      <c r="S1549" s="98" t="n"/>
      <c r="T1549" s="99" t="n"/>
      <c r="U1549" s="99" t="n"/>
      <c r="V1549" s="100" t="n"/>
      <c r="W1549" s="98" t="n"/>
      <c r="X1549" s="100" t="n"/>
      <c r="Y1549" s="98" t="n"/>
      <c r="Z1549" s="100" t="n"/>
      <c r="AB1549" s="101">
        <f>IF($B1549="","",(COUNTIF(C1508:E1525,$B1549)+COUNTIF(C1508:E1525,$B1549&amp;" ~*")&gt;0)+(COUNTIF(G1508:I1525,$B1549)+COUNTIF(G1508:I1525,$B1549&amp;" ~*")&gt;0)+(COUNTIF(K1508:M1525,$B1549)+COUNTIF(K1508:M1525,$B1549&amp;" ~*")&gt;0)+(COUNTIF(O1508:Q1525,$B1549)+COUNTIF(O1508:Q1525,$B1549&amp;" ~*")&gt;0)+(COUNTIF(S1508:U1525,$B1549)+COUNTIF(S1508:U1525,$B1549&amp;" ~*")&gt;0)+(COUNTIF(W1508:W1525,$B1549)+COUNTIF(W1508:W1525,$B1549&amp;" ~*")&gt;0)+(COUNTIF(Y1508:Y1525,$B1549)+COUNTIF(Y1508:Y1525,$B1549&amp;" ~*")&gt;0))</f>
        <v/>
      </c>
      <c r="AC1549" s="36">
        <f>IF($B1549="","",(IFERROR(INDEX(Setup!$G$33:$G$40,MATCH(C1549,Setup!$B$33:$B$40,0)),0)=1)*(COUNTIF(C1508:E1525,$B1549)+COUNTIF(C1508:E1525,$B1549&amp;" ~*")&gt;0)+(IFERROR(INDEX(Setup!$G$33:$G$40,MATCH(G1549,Setup!$B$33:$B$40,0)),0)=1)*(COUNTIF(G1508:I1525,$B1549)+COUNTIF(G1508:I1525,$B1549&amp;" ~*")&gt;0)+(IFERROR(INDEX(Setup!$G$33:$G$40,MATCH(K1549,Setup!$B$33:$B$40,0)),0)=1)*(COUNTIF(K1508:M1525,$B1549)+COUNTIF(K1508:M1525,$B1549&amp;" ~*")&gt;0)+(IFERROR(INDEX(Setup!$G$33:$G$40,MATCH(O1549,Setup!$B$33:$B$40,0)),0)=1)*(COUNTIF(O1508:Q1525,$B1549)+COUNTIF(O1508:Q1525,$B1549&amp;" ~*")&gt;0)+(IFERROR(INDEX(Setup!$G$33:$G$40,MATCH(S1549,Setup!$B$33:$B$40,0)),0)=1)*(COUNTIF(S1508:U1525,$B1549)+COUNTIF(S1508:U1525,$B1549&amp;" ~*")&gt;0)+(IFERROR(INDEX(Setup!$G$33:$G$40,MATCH(W1549,Setup!$B$33:$B$40,0)),0)=1)*(COUNTIF(W1508:W1525,$B1549)+COUNTIF(W1508:W1525,$B1549&amp;" ~*")&gt;0)+(IFERROR(INDEX(Setup!$G$33:$G$40,MATCH(Y1549,Setup!$B$33:$B$40,0)),0)=1)*(COUNTIF(Y1508:Y1525,$B1549)+COUNTIF(Y1508:Y1525,$B1549&amp;" ~*")&gt;0))</f>
        <v/>
      </c>
    </row>
    <row r="1550" ht="15" customHeight="1">
      <c r="A1550" t="n">
        <v>31</v>
      </c>
      <c r="B1550" s="37">
        <f>IF(Setup!$B$29="","",Setup!$B$29)</f>
        <v/>
      </c>
      <c r="C1550" s="102" t="n"/>
      <c r="D1550" s="103" t="n"/>
      <c r="E1550" s="103" t="n"/>
      <c r="F1550" s="104" t="n"/>
      <c r="G1550" s="102" t="n"/>
      <c r="H1550" s="103" t="n"/>
      <c r="I1550" s="103" t="n"/>
      <c r="J1550" s="104" t="n"/>
      <c r="K1550" s="102" t="n"/>
      <c r="L1550" s="103" t="n"/>
      <c r="M1550" s="103" t="n"/>
      <c r="N1550" s="104" t="n"/>
      <c r="O1550" s="102" t="n"/>
      <c r="P1550" s="103" t="n"/>
      <c r="Q1550" s="103" t="n"/>
      <c r="R1550" s="104" t="n"/>
      <c r="S1550" s="102" t="n"/>
      <c r="T1550" s="103" t="n"/>
      <c r="U1550" s="103" t="n"/>
      <c r="V1550" s="104" t="n"/>
      <c r="W1550" s="102" t="n"/>
      <c r="X1550" s="104" t="n"/>
      <c r="Y1550" s="102" t="n"/>
      <c r="Z1550" s="104" t="n"/>
      <c r="AB1550" s="105">
        <f>IF($B1550="","",(COUNTIF(C1508:E1525,$B1550)+COUNTIF(C1508:E1525,$B1550&amp;" ~*")&gt;0)+(COUNTIF(G1508:I1525,$B1550)+COUNTIF(G1508:I1525,$B1550&amp;" ~*")&gt;0)+(COUNTIF(K1508:M1525,$B1550)+COUNTIF(K1508:M1525,$B1550&amp;" ~*")&gt;0)+(COUNTIF(O1508:Q1525,$B1550)+COUNTIF(O1508:Q1525,$B1550&amp;" ~*")&gt;0)+(COUNTIF(S1508:U1525,$B1550)+COUNTIF(S1508:U1525,$B1550&amp;" ~*")&gt;0)+(COUNTIF(W1508:W1525,$B1550)+COUNTIF(W1508:W1525,$B1550&amp;" ~*")&gt;0)+(COUNTIF(Y1508:Y1525,$B1550)+COUNTIF(Y1508:Y1525,$B1550&amp;" ~*")&gt;0))</f>
        <v/>
      </c>
      <c r="AC1550" s="38">
        <f>IF($B1550="","",(IFERROR(INDEX(Setup!$G$33:$G$40,MATCH(C1550,Setup!$B$33:$B$40,0)),0)=1)*(COUNTIF(C1508:E1525,$B1550)+COUNTIF(C1508:E1525,$B1550&amp;" ~*")&gt;0)+(IFERROR(INDEX(Setup!$G$33:$G$40,MATCH(G1550,Setup!$B$33:$B$40,0)),0)=1)*(COUNTIF(G1508:I1525,$B1550)+COUNTIF(G1508:I1525,$B1550&amp;" ~*")&gt;0)+(IFERROR(INDEX(Setup!$G$33:$G$40,MATCH(K1550,Setup!$B$33:$B$40,0)),0)=1)*(COUNTIF(K1508:M1525,$B1550)+COUNTIF(K1508:M1525,$B1550&amp;" ~*")&gt;0)+(IFERROR(INDEX(Setup!$G$33:$G$40,MATCH(O1550,Setup!$B$33:$B$40,0)),0)=1)*(COUNTIF(O1508:Q1525,$B1550)+COUNTIF(O1508:Q1525,$B1550&amp;" ~*")&gt;0)+(IFERROR(INDEX(Setup!$G$33:$G$40,MATCH(S1550,Setup!$B$33:$B$40,0)),0)=1)*(COUNTIF(S1508:U1525,$B1550)+COUNTIF(S1508:U1525,$B1550&amp;" ~*")&gt;0)+(IFERROR(INDEX(Setup!$G$33:$G$40,MATCH(W1550,Setup!$B$33:$B$40,0)),0)=1)*(COUNTIF(W1508:W1525,$B1550)+COUNTIF(W1508:W1525,$B1550&amp;" ~*")&gt;0)+(IFERROR(INDEX(Setup!$G$33:$G$40,MATCH(Y1550,Setup!$B$33:$B$40,0)),0)=1)*(COUNTIF(Y1508:Y1525,$B1550)+COUNTIF(Y1508:Y1525,$B1550&amp;" ~*")&gt;0))</f>
        <v/>
      </c>
    </row>
    <row r="1551" ht="16" customHeight="1">
      <c r="A1551" t="n">
        <v>31</v>
      </c>
      <c r="B1551" s="106" t="inlineStr">
        <is>
          <t>Available people</t>
        </is>
      </c>
      <c r="C1551" s="107">
        <f>COUNTIFS(Setup!$E$6:$E$29,"Y",Setup!$B$6:$B$29,"?*")-SUMPRODUCT(COUNTIF(C1527:C1550,Setup!$F$33:$F$40))</f>
        <v/>
      </c>
      <c r="D1551" s="107" t="n"/>
      <c r="E1551" s="107" t="n"/>
      <c r="F1551" s="107" t="n"/>
      <c r="G1551" s="107">
        <f>COUNTIFS(Setup!$E$6:$E$29,"Y",Setup!$B$6:$B$29,"?*")-SUMPRODUCT(COUNTIF(G1527:G1550,Setup!$F$33:$F$40))</f>
        <v/>
      </c>
      <c r="H1551" s="107" t="n"/>
      <c r="I1551" s="107" t="n"/>
      <c r="J1551" s="107" t="n"/>
      <c r="K1551" s="107">
        <f>COUNTIFS(Setup!$E$6:$E$29,"Y",Setup!$B$6:$B$29,"?*")-SUMPRODUCT(COUNTIF(K1527:K1550,Setup!$F$33:$F$40))</f>
        <v/>
      </c>
      <c r="L1551" s="107" t="n"/>
      <c r="M1551" s="107" t="n"/>
      <c r="N1551" s="107" t="n"/>
      <c r="O1551" s="107">
        <f>COUNTIFS(Setup!$E$6:$E$29,"Y",Setup!$B$6:$B$29,"?*")-SUMPRODUCT(COUNTIF(O1527:O1550,Setup!$F$33:$F$40))</f>
        <v/>
      </c>
      <c r="P1551" s="107" t="n"/>
      <c r="Q1551" s="107" t="n"/>
      <c r="R1551" s="107" t="n"/>
      <c r="S1551" s="107">
        <f>COUNTIFS(Setup!$E$6:$E$29,"Y",Setup!$B$6:$B$29,"?*")-SUMPRODUCT(COUNTIF(S1527:S1550,Setup!$F$33:$F$40))</f>
        <v/>
      </c>
      <c r="T1551" s="107" t="n"/>
      <c r="U1551" s="107" t="n"/>
      <c r="V1551" s="107" t="n"/>
      <c r="W1551" s="107">
        <f>COUNTIFS(Setup!$E$6:$E$29,"Y",Setup!$B$6:$B$29,"?*")-SUMPRODUCT(COUNTIF(W1527:W1550,Setup!$F$33:$F$40))</f>
        <v/>
      </c>
      <c r="X1551" s="107" t="n"/>
      <c r="Y1551" s="107">
        <f>COUNTIFS(Setup!$E$6:$E$29,"Y",Setup!$B$6:$B$29,"?*")-SUMPRODUCT(COUNTIF(Y1527:Y1550,Setup!$F$33:$F$40))</f>
        <v/>
      </c>
      <c r="Z1551" s="107" t="n"/>
      <c r="AB1551" s="108">
        <f>SUM(AB1527:AB1550)</f>
        <v/>
      </c>
      <c r="AC1551" s="109">
        <f>SUM(AC1527:AC1550)</f>
        <v/>
      </c>
    </row>
    <row r="1552" ht="30" customHeight="1">
      <c r="A1552" t="n">
        <v>31</v>
      </c>
      <c r="B1552" s="110" t="inlineStr">
        <is>
          <t>Week notes</t>
        </is>
      </c>
      <c r="C1552" s="111" t="n"/>
      <c r="D1552" s="112" t="n"/>
      <c r="E1552" s="112" t="n"/>
      <c r="F1552" s="112" t="n"/>
      <c r="G1552" s="112" t="n"/>
      <c r="H1552" s="112" t="n"/>
      <c r="I1552" s="112" t="n"/>
      <c r="J1552" s="112" t="n"/>
      <c r="K1552" s="112" t="n"/>
      <c r="L1552" s="112" t="n"/>
      <c r="M1552" s="112" t="n"/>
      <c r="N1552" s="112" t="n"/>
      <c r="O1552" s="112" t="n"/>
      <c r="P1552" s="112" t="n"/>
      <c r="Q1552" s="112" t="n"/>
      <c r="R1552" s="112" t="n"/>
      <c r="S1552" s="112" t="n"/>
      <c r="T1552" s="112" t="n"/>
      <c r="U1552" s="112" t="n"/>
      <c r="V1552" s="112" t="n"/>
      <c r="W1552" s="112" t="n"/>
      <c r="X1552" s="112" t="n"/>
      <c r="Y1552" s="112" t="n"/>
      <c r="Z1552" s="113" t="n"/>
    </row>
    <row r="1553" ht="8" customHeight="1">
      <c r="A1553" t="n">
        <v>31</v>
      </c>
    </row>
    <row r="1554" ht="8" customHeight="1">
      <c r="A1554" t="n">
        <v>31</v>
      </c>
    </row>
    <row r="1555" ht="24" customHeight="1">
      <c r="A1555" t="n">
        <v>32</v>
      </c>
      <c r="B1555" s="73">
        <f>"WEEK 32     "&amp;TEXT(C1556,"ddd d mmm")&amp;"  –  "&amp;TEXT(C1556+6,"ddd d mmm yyyy")</f>
        <v/>
      </c>
      <c r="S1555" s="74">
        <f>IF(TODAY()&lt;C1556,"FUTURE",IF(TODAY()&gt;C1556+6,"PAST","THIS WEEK"))</f>
        <v/>
      </c>
      <c r="W1555" s="75">
        <f>IF(AND(Engine!$B$8=$AC$3,Engine!$B$9=$A1555),"◀ ACTIVE WEEK","")</f>
        <v/>
      </c>
      <c r="AA1555" s="76" t="n"/>
      <c r="AB1555" s="77" t="inlineStr">
        <is>
          <t>◀ Prev</t>
        </is>
      </c>
      <c r="AC1555" s="77" t="inlineStr">
        <is>
          <t>Next ▶</t>
        </is>
      </c>
    </row>
    <row r="1556" ht="18" customHeight="1">
      <c r="A1556" t="n">
        <v>32</v>
      </c>
      <c r="B1556" s="78" t="inlineStr">
        <is>
          <t>DUTY</t>
        </is>
      </c>
      <c r="C1556" s="79">
        <f>$AC$2+7*($A1556-1)</f>
        <v/>
      </c>
      <c r="D1556" s="80" t="n"/>
      <c r="E1556" s="80" t="n"/>
      <c r="F1556" s="81" t="n"/>
      <c r="G1556" s="79">
        <f>C1556+1</f>
        <v/>
      </c>
      <c r="H1556" s="80" t="n"/>
      <c r="I1556" s="80" t="n"/>
      <c r="J1556" s="81" t="n"/>
      <c r="K1556" s="79">
        <f>C1556+2</f>
        <v/>
      </c>
      <c r="L1556" s="80" t="n"/>
      <c r="M1556" s="80" t="n"/>
      <c r="N1556" s="81" t="n"/>
      <c r="O1556" s="79">
        <f>C1556+3</f>
        <v/>
      </c>
      <c r="P1556" s="80" t="n"/>
      <c r="Q1556" s="80" t="n"/>
      <c r="R1556" s="81" t="n"/>
      <c r="S1556" s="79">
        <f>C1556+4</f>
        <v/>
      </c>
      <c r="T1556" s="80" t="n"/>
      <c r="U1556" s="80" t="n"/>
      <c r="V1556" s="81" t="n"/>
      <c r="W1556" s="82">
        <f>C1556+5</f>
        <v/>
      </c>
      <c r="X1556" s="83" t="n"/>
      <c r="Y1556" s="82">
        <f>C1556+6</f>
        <v/>
      </c>
      <c r="Z1556" s="83" t="n"/>
      <c r="AB1556" s="72" t="inlineStr">
        <is>
          <t>Gaps</t>
        </is>
      </c>
      <c r="AC1556" s="72" t="inlineStr">
        <is>
          <t>Cover</t>
        </is>
      </c>
    </row>
    <row r="1557" ht="14" customHeight="1">
      <c r="A1557" t="n">
        <v>32</v>
      </c>
      <c r="B1557" s="84" t="inlineStr">
        <is>
          <t>(from Setup)</t>
        </is>
      </c>
      <c r="C1557" s="85" t="inlineStr">
        <is>
          <t>1</t>
        </is>
      </c>
      <c r="D1557" s="85" t="inlineStr">
        <is>
          <t>2</t>
        </is>
      </c>
      <c r="E1557" s="85" t="inlineStr">
        <is>
          <t>3</t>
        </is>
      </c>
      <c r="F1557" s="85" t="inlineStr">
        <is>
          <t>Notes</t>
        </is>
      </c>
      <c r="G1557" s="85" t="inlineStr">
        <is>
          <t>1</t>
        </is>
      </c>
      <c r="H1557" s="85" t="inlineStr">
        <is>
          <t>2</t>
        </is>
      </c>
      <c r="I1557" s="85" t="inlineStr">
        <is>
          <t>3</t>
        </is>
      </c>
      <c r="J1557" s="85" t="inlineStr">
        <is>
          <t>Notes</t>
        </is>
      </c>
      <c r="K1557" s="85" t="inlineStr">
        <is>
          <t>1</t>
        </is>
      </c>
      <c r="L1557" s="85" t="inlineStr">
        <is>
          <t>2</t>
        </is>
      </c>
      <c r="M1557" s="85" t="inlineStr">
        <is>
          <t>3</t>
        </is>
      </c>
      <c r="N1557" s="85" t="inlineStr">
        <is>
          <t>Notes</t>
        </is>
      </c>
      <c r="O1557" s="85" t="inlineStr">
        <is>
          <t>1</t>
        </is>
      </c>
      <c r="P1557" s="85" t="inlineStr">
        <is>
          <t>2</t>
        </is>
      </c>
      <c r="Q1557" s="85" t="inlineStr">
        <is>
          <t>3</t>
        </is>
      </c>
      <c r="R1557" s="85" t="inlineStr">
        <is>
          <t>Notes</t>
        </is>
      </c>
      <c r="S1557" s="85" t="inlineStr">
        <is>
          <t>1</t>
        </is>
      </c>
      <c r="T1557" s="85" t="inlineStr">
        <is>
          <t>2</t>
        </is>
      </c>
      <c r="U1557" s="85" t="inlineStr">
        <is>
          <t>3</t>
        </is>
      </c>
      <c r="V1557" s="85" t="inlineStr">
        <is>
          <t>Notes</t>
        </is>
      </c>
      <c r="W1557" s="85" t="inlineStr">
        <is>
          <t>Cover</t>
        </is>
      </c>
      <c r="X1557" s="85" t="inlineStr">
        <is>
          <t>Notes</t>
        </is>
      </c>
      <c r="Y1557" s="85" t="inlineStr">
        <is>
          <t>Cover</t>
        </is>
      </c>
      <c r="Z1557" s="85" t="inlineStr">
        <is>
          <t>Notes</t>
        </is>
      </c>
      <c r="AB1557" s="86" t="inlineStr">
        <is>
          <t>weekdays short</t>
        </is>
      </c>
      <c r="AC1557" s="87" t="inlineStr"/>
    </row>
    <row r="1558" ht="17" customHeight="1">
      <c r="A1558" t="n">
        <v>32</v>
      </c>
      <c r="B1558" s="24">
        <f>IF(Setup!$K$6="","",Setup!$K$6)</f>
        <v/>
      </c>
      <c r="C1558" s="88" t="n"/>
      <c r="D1558" s="88" t="n"/>
      <c r="E1558" s="88" t="n"/>
      <c r="F1558" s="89" t="n"/>
      <c r="G1558" s="88" t="n"/>
      <c r="H1558" s="88" t="n"/>
      <c r="I1558" s="88" t="n"/>
      <c r="J1558" s="89" t="n"/>
      <c r="K1558" s="88" t="n"/>
      <c r="L1558" s="88" t="n"/>
      <c r="M1558" s="88" t="n"/>
      <c r="N1558" s="89" t="n"/>
      <c r="O1558" s="88" t="n"/>
      <c r="P1558" s="88" t="n"/>
      <c r="Q1558" s="88" t="n"/>
      <c r="R1558" s="89" t="n"/>
      <c r="S1558" s="88" t="n"/>
      <c r="T1558" s="88" t="n"/>
      <c r="U1558" s="88" t="n"/>
      <c r="V1558" s="89" t="n"/>
      <c r="W1558" s="88" t="n"/>
      <c r="X1558" s="89" t="n"/>
      <c r="Y1558" s="88" t="n"/>
      <c r="Z1558" s="89" t="n"/>
      <c r="AB1558" s="25">
        <f>IF($B1558="","",(COUNTIF(C1558:E1558,"?*")&lt;N(INDEX(Setup!$L$6:$L$23,1)))+(COUNTIF(G1558:I1558,"?*")&lt;N(INDEX(Setup!$L$6:$L$23,1)))+(COUNTIF(K1558:M1558,"?*")&lt;N(INDEX(Setup!$L$6:$L$23,1)))+(COUNTIF(O1558:Q1558,"?*")&lt;N(INDEX(Setup!$L$6:$L$23,1)))+(COUNTIF(S1558:U1558,"?*")&lt;N(INDEX(Setup!$L$6:$L$23,1)))+((W1558="")*(INDEX(Setup!$M$6:$M$23,1)="Y"))+((Y1558="")*(INDEX(Setup!$M$6:$M$23,1)="Y")))</f>
        <v/>
      </c>
      <c r="AC1558" s="90">
        <f>IF($B1558="","",IF(AB1558=0,"✓ covered","⚠ "&amp;AB1558&amp;IF(AB1558=1," gap"," gaps")))</f>
        <v/>
      </c>
    </row>
    <row r="1559" ht="17" customHeight="1">
      <c r="A1559" t="n">
        <v>32</v>
      </c>
      <c r="B1559" s="29">
        <f>IF(Setup!$K$7="","",Setup!$K$7)</f>
        <v/>
      </c>
      <c r="C1559" s="88" t="n"/>
      <c r="D1559" s="88" t="n"/>
      <c r="E1559" s="88" t="n"/>
      <c r="F1559" s="89" t="n"/>
      <c r="G1559" s="88" t="n"/>
      <c r="H1559" s="88" t="n"/>
      <c r="I1559" s="88" t="n"/>
      <c r="J1559" s="89" t="n"/>
      <c r="K1559" s="88" t="n"/>
      <c r="L1559" s="88" t="n"/>
      <c r="M1559" s="88" t="n"/>
      <c r="N1559" s="89" t="n"/>
      <c r="O1559" s="88" t="n"/>
      <c r="P1559" s="88" t="n"/>
      <c r="Q1559" s="88" t="n"/>
      <c r="R1559" s="89" t="n"/>
      <c r="S1559" s="88" t="n"/>
      <c r="T1559" s="88" t="n"/>
      <c r="U1559" s="88" t="n"/>
      <c r="V1559" s="89" t="n"/>
      <c r="W1559" s="88" t="n"/>
      <c r="X1559" s="89" t="n"/>
      <c r="Y1559" s="88" t="n"/>
      <c r="Z1559" s="89" t="n"/>
      <c r="AB1559" s="30">
        <f>IF($B1559="","",(COUNTIF(C1559:E1559,"?*")&lt;N(INDEX(Setup!$L$6:$L$23,2)))+(COUNTIF(G1559:I1559,"?*")&lt;N(INDEX(Setup!$L$6:$L$23,2)))+(COUNTIF(K1559:M1559,"?*")&lt;N(INDEX(Setup!$L$6:$L$23,2)))+(COUNTIF(O1559:Q1559,"?*")&lt;N(INDEX(Setup!$L$6:$L$23,2)))+(COUNTIF(S1559:U1559,"?*")&lt;N(INDEX(Setup!$L$6:$L$23,2)))+((W1559="")*(INDEX(Setup!$M$6:$M$23,2)="Y"))+((Y1559="")*(INDEX(Setup!$M$6:$M$23,2)="Y")))</f>
        <v/>
      </c>
      <c r="AC1559" s="91">
        <f>IF($B1559="","",IF(AB1559=0,"✓ covered","⚠ "&amp;AB1559&amp;IF(AB1559=1," gap"," gaps")))</f>
        <v/>
      </c>
    </row>
    <row r="1560" ht="17" customHeight="1">
      <c r="A1560" t="n">
        <v>32</v>
      </c>
      <c r="B1560" s="24">
        <f>IF(Setup!$K$8="","",Setup!$K$8)</f>
        <v/>
      </c>
      <c r="C1560" s="88" t="n"/>
      <c r="D1560" s="88" t="n"/>
      <c r="E1560" s="88" t="n"/>
      <c r="F1560" s="89" t="n"/>
      <c r="G1560" s="88" t="n"/>
      <c r="H1560" s="88" t="n"/>
      <c r="I1560" s="88" t="n"/>
      <c r="J1560" s="89" t="n"/>
      <c r="K1560" s="88" t="n"/>
      <c r="L1560" s="88" t="n"/>
      <c r="M1560" s="88" t="n"/>
      <c r="N1560" s="89" t="n"/>
      <c r="O1560" s="88" t="n"/>
      <c r="P1560" s="88" t="n"/>
      <c r="Q1560" s="88" t="n"/>
      <c r="R1560" s="89" t="n"/>
      <c r="S1560" s="88" t="n"/>
      <c r="T1560" s="88" t="n"/>
      <c r="U1560" s="88" t="n"/>
      <c r="V1560" s="89" t="n"/>
      <c r="W1560" s="88" t="n"/>
      <c r="X1560" s="89" t="n"/>
      <c r="Y1560" s="88" t="n"/>
      <c r="Z1560" s="89" t="n"/>
      <c r="AB1560" s="25">
        <f>IF($B1560="","",(COUNTIF(C1560:E1560,"?*")&lt;N(INDEX(Setup!$L$6:$L$23,3)))+(COUNTIF(G1560:I1560,"?*")&lt;N(INDEX(Setup!$L$6:$L$23,3)))+(COUNTIF(K1560:M1560,"?*")&lt;N(INDEX(Setup!$L$6:$L$23,3)))+(COUNTIF(O1560:Q1560,"?*")&lt;N(INDEX(Setup!$L$6:$L$23,3)))+(COUNTIF(S1560:U1560,"?*")&lt;N(INDEX(Setup!$L$6:$L$23,3)))+((W1560="")*(INDEX(Setup!$M$6:$M$23,3)="Y"))+((Y1560="")*(INDEX(Setup!$M$6:$M$23,3)="Y")))</f>
        <v/>
      </c>
      <c r="AC1560" s="90">
        <f>IF($B1560="","",IF(AB1560=0,"✓ covered","⚠ "&amp;AB1560&amp;IF(AB1560=1," gap"," gaps")))</f>
        <v/>
      </c>
    </row>
    <row r="1561" ht="17" customHeight="1">
      <c r="A1561" t="n">
        <v>32</v>
      </c>
      <c r="B1561" s="29">
        <f>IF(Setup!$K$9="","",Setup!$K$9)</f>
        <v/>
      </c>
      <c r="C1561" s="88" t="n"/>
      <c r="D1561" s="88" t="n"/>
      <c r="E1561" s="88" t="n"/>
      <c r="F1561" s="89" t="n"/>
      <c r="G1561" s="88" t="n"/>
      <c r="H1561" s="88" t="n"/>
      <c r="I1561" s="88" t="n"/>
      <c r="J1561" s="89" t="n"/>
      <c r="K1561" s="88" t="n"/>
      <c r="L1561" s="88" t="n"/>
      <c r="M1561" s="88" t="n"/>
      <c r="N1561" s="89" t="n"/>
      <c r="O1561" s="88" t="n"/>
      <c r="P1561" s="88" t="n"/>
      <c r="Q1561" s="88" t="n"/>
      <c r="R1561" s="89" t="n"/>
      <c r="S1561" s="88" t="n"/>
      <c r="T1561" s="88" t="n"/>
      <c r="U1561" s="88" t="n"/>
      <c r="V1561" s="89" t="n"/>
      <c r="W1561" s="88" t="n"/>
      <c r="X1561" s="89" t="n"/>
      <c r="Y1561" s="88" t="n"/>
      <c r="Z1561" s="89" t="n"/>
      <c r="AB1561" s="30">
        <f>IF($B1561="","",(COUNTIF(C1561:E1561,"?*")&lt;N(INDEX(Setup!$L$6:$L$23,4)))+(COUNTIF(G1561:I1561,"?*")&lt;N(INDEX(Setup!$L$6:$L$23,4)))+(COUNTIF(K1561:M1561,"?*")&lt;N(INDEX(Setup!$L$6:$L$23,4)))+(COUNTIF(O1561:Q1561,"?*")&lt;N(INDEX(Setup!$L$6:$L$23,4)))+(COUNTIF(S1561:U1561,"?*")&lt;N(INDEX(Setup!$L$6:$L$23,4)))+((W1561="")*(INDEX(Setup!$M$6:$M$23,4)="Y"))+((Y1561="")*(INDEX(Setup!$M$6:$M$23,4)="Y")))</f>
        <v/>
      </c>
      <c r="AC1561" s="91">
        <f>IF($B1561="","",IF(AB1561=0,"✓ covered","⚠ "&amp;AB1561&amp;IF(AB1561=1," gap"," gaps")))</f>
        <v/>
      </c>
    </row>
    <row r="1562" ht="17" customHeight="1">
      <c r="A1562" t="n">
        <v>32</v>
      </c>
      <c r="B1562" s="24">
        <f>IF(Setup!$K$10="","",Setup!$K$10)</f>
        <v/>
      </c>
      <c r="C1562" s="88" t="n"/>
      <c r="D1562" s="88" t="n"/>
      <c r="E1562" s="88" t="n"/>
      <c r="F1562" s="89" t="n"/>
      <c r="G1562" s="88" t="n"/>
      <c r="H1562" s="88" t="n"/>
      <c r="I1562" s="88" t="n"/>
      <c r="J1562" s="89" t="n"/>
      <c r="K1562" s="88" t="n"/>
      <c r="L1562" s="88" t="n"/>
      <c r="M1562" s="88" t="n"/>
      <c r="N1562" s="89" t="n"/>
      <c r="O1562" s="88" t="n"/>
      <c r="P1562" s="88" t="n"/>
      <c r="Q1562" s="88" t="n"/>
      <c r="R1562" s="89" t="n"/>
      <c r="S1562" s="88" t="n"/>
      <c r="T1562" s="88" t="n"/>
      <c r="U1562" s="88" t="n"/>
      <c r="V1562" s="89" t="n"/>
      <c r="W1562" s="88" t="n"/>
      <c r="X1562" s="89" t="n"/>
      <c r="Y1562" s="88" t="n"/>
      <c r="Z1562" s="89" t="n"/>
      <c r="AB1562" s="25">
        <f>IF($B1562="","",(COUNTIF(C1562:E1562,"?*")&lt;N(INDEX(Setup!$L$6:$L$23,5)))+(COUNTIF(G1562:I1562,"?*")&lt;N(INDEX(Setup!$L$6:$L$23,5)))+(COUNTIF(K1562:M1562,"?*")&lt;N(INDEX(Setup!$L$6:$L$23,5)))+(COUNTIF(O1562:Q1562,"?*")&lt;N(INDEX(Setup!$L$6:$L$23,5)))+(COUNTIF(S1562:U1562,"?*")&lt;N(INDEX(Setup!$L$6:$L$23,5)))+((W1562="")*(INDEX(Setup!$M$6:$M$23,5)="Y"))+((Y1562="")*(INDEX(Setup!$M$6:$M$23,5)="Y")))</f>
        <v/>
      </c>
      <c r="AC1562" s="90">
        <f>IF($B1562="","",IF(AB1562=0,"✓ covered","⚠ "&amp;AB1562&amp;IF(AB1562=1," gap"," gaps")))</f>
        <v/>
      </c>
    </row>
    <row r="1563" ht="17" customHeight="1">
      <c r="A1563" t="n">
        <v>32</v>
      </c>
      <c r="B1563" s="29">
        <f>IF(Setup!$K$11="","",Setup!$K$11)</f>
        <v/>
      </c>
      <c r="C1563" s="88" t="n"/>
      <c r="D1563" s="88" t="n"/>
      <c r="E1563" s="88" t="n"/>
      <c r="F1563" s="89" t="n"/>
      <c r="G1563" s="88" t="n"/>
      <c r="H1563" s="88" t="n"/>
      <c r="I1563" s="88" t="n"/>
      <c r="J1563" s="89" t="n"/>
      <c r="K1563" s="88" t="n"/>
      <c r="L1563" s="88" t="n"/>
      <c r="M1563" s="88" t="n"/>
      <c r="N1563" s="89" t="n"/>
      <c r="O1563" s="88" t="n"/>
      <c r="P1563" s="88" t="n"/>
      <c r="Q1563" s="88" t="n"/>
      <c r="R1563" s="89" t="n"/>
      <c r="S1563" s="88" t="n"/>
      <c r="T1563" s="88" t="n"/>
      <c r="U1563" s="88" t="n"/>
      <c r="V1563" s="89" t="n"/>
      <c r="W1563" s="88" t="n"/>
      <c r="X1563" s="89" t="n"/>
      <c r="Y1563" s="88" t="n"/>
      <c r="Z1563" s="89" t="n"/>
      <c r="AB1563" s="30">
        <f>IF($B1563="","",(COUNTIF(C1563:E1563,"?*")&lt;N(INDEX(Setup!$L$6:$L$23,6)))+(COUNTIF(G1563:I1563,"?*")&lt;N(INDEX(Setup!$L$6:$L$23,6)))+(COUNTIF(K1563:M1563,"?*")&lt;N(INDEX(Setup!$L$6:$L$23,6)))+(COUNTIF(O1563:Q1563,"?*")&lt;N(INDEX(Setup!$L$6:$L$23,6)))+(COUNTIF(S1563:U1563,"?*")&lt;N(INDEX(Setup!$L$6:$L$23,6)))+((W1563="")*(INDEX(Setup!$M$6:$M$23,6)="Y"))+((Y1563="")*(INDEX(Setup!$M$6:$M$23,6)="Y")))</f>
        <v/>
      </c>
      <c r="AC1563" s="91">
        <f>IF($B1563="","",IF(AB1563=0,"✓ covered","⚠ "&amp;AB1563&amp;IF(AB1563=1," gap"," gaps")))</f>
        <v/>
      </c>
    </row>
    <row r="1564" ht="17" customHeight="1">
      <c r="A1564" t="n">
        <v>32</v>
      </c>
      <c r="B1564" s="24">
        <f>IF(Setup!$K$12="","",Setup!$K$12)</f>
        <v/>
      </c>
      <c r="C1564" s="88" t="n"/>
      <c r="D1564" s="88" t="n"/>
      <c r="E1564" s="88" t="n"/>
      <c r="F1564" s="89" t="n"/>
      <c r="G1564" s="88" t="n"/>
      <c r="H1564" s="88" t="n"/>
      <c r="I1564" s="88" t="n"/>
      <c r="J1564" s="89" t="n"/>
      <c r="K1564" s="88" t="n"/>
      <c r="L1564" s="88" t="n"/>
      <c r="M1564" s="88" t="n"/>
      <c r="N1564" s="89" t="n"/>
      <c r="O1564" s="88" t="n"/>
      <c r="P1564" s="88" t="n"/>
      <c r="Q1564" s="88" t="n"/>
      <c r="R1564" s="89" t="n"/>
      <c r="S1564" s="88" t="n"/>
      <c r="T1564" s="88" t="n"/>
      <c r="U1564" s="88" t="n"/>
      <c r="V1564" s="89" t="n"/>
      <c r="W1564" s="88" t="n"/>
      <c r="X1564" s="89" t="n"/>
      <c r="Y1564" s="88" t="n"/>
      <c r="Z1564" s="89" t="n"/>
      <c r="AB1564" s="25">
        <f>IF($B1564="","",(COUNTIF(C1564:E1564,"?*")&lt;N(INDEX(Setup!$L$6:$L$23,7)))+(COUNTIF(G1564:I1564,"?*")&lt;N(INDEX(Setup!$L$6:$L$23,7)))+(COUNTIF(K1564:M1564,"?*")&lt;N(INDEX(Setup!$L$6:$L$23,7)))+(COUNTIF(O1564:Q1564,"?*")&lt;N(INDEX(Setup!$L$6:$L$23,7)))+(COUNTIF(S1564:U1564,"?*")&lt;N(INDEX(Setup!$L$6:$L$23,7)))+((W1564="")*(INDEX(Setup!$M$6:$M$23,7)="Y"))+((Y1564="")*(INDEX(Setup!$M$6:$M$23,7)="Y")))</f>
        <v/>
      </c>
      <c r="AC1564" s="90">
        <f>IF($B1564="","",IF(AB1564=0,"✓ covered","⚠ "&amp;AB1564&amp;IF(AB1564=1," gap"," gaps")))</f>
        <v/>
      </c>
    </row>
    <row r="1565" ht="17" customHeight="1">
      <c r="A1565" t="n">
        <v>32</v>
      </c>
      <c r="B1565" s="29">
        <f>IF(Setup!$K$13="","",Setup!$K$13)</f>
        <v/>
      </c>
      <c r="C1565" s="88" t="n"/>
      <c r="D1565" s="88" t="n"/>
      <c r="E1565" s="88" t="n"/>
      <c r="F1565" s="89" t="n"/>
      <c r="G1565" s="88" t="n"/>
      <c r="H1565" s="88" t="n"/>
      <c r="I1565" s="88" t="n"/>
      <c r="J1565" s="89" t="n"/>
      <c r="K1565" s="88" t="n"/>
      <c r="L1565" s="88" t="n"/>
      <c r="M1565" s="88" t="n"/>
      <c r="N1565" s="89" t="n"/>
      <c r="O1565" s="88" t="n"/>
      <c r="P1565" s="88" t="n"/>
      <c r="Q1565" s="88" t="n"/>
      <c r="R1565" s="89" t="n"/>
      <c r="S1565" s="88" t="n"/>
      <c r="T1565" s="88" t="n"/>
      <c r="U1565" s="88" t="n"/>
      <c r="V1565" s="89" t="n"/>
      <c r="W1565" s="88" t="n"/>
      <c r="X1565" s="89" t="n"/>
      <c r="Y1565" s="88" t="n"/>
      <c r="Z1565" s="89" t="n"/>
      <c r="AB1565" s="30">
        <f>IF($B1565="","",(COUNTIF(C1565:E1565,"?*")&lt;N(INDEX(Setup!$L$6:$L$23,8)))+(COUNTIF(G1565:I1565,"?*")&lt;N(INDEX(Setup!$L$6:$L$23,8)))+(COUNTIF(K1565:M1565,"?*")&lt;N(INDEX(Setup!$L$6:$L$23,8)))+(COUNTIF(O1565:Q1565,"?*")&lt;N(INDEX(Setup!$L$6:$L$23,8)))+(COUNTIF(S1565:U1565,"?*")&lt;N(INDEX(Setup!$L$6:$L$23,8)))+((W1565="")*(INDEX(Setup!$M$6:$M$23,8)="Y"))+((Y1565="")*(INDEX(Setup!$M$6:$M$23,8)="Y")))</f>
        <v/>
      </c>
      <c r="AC1565" s="91">
        <f>IF($B1565="","",IF(AB1565=0,"✓ covered","⚠ "&amp;AB1565&amp;IF(AB1565=1," gap"," gaps")))</f>
        <v/>
      </c>
    </row>
    <row r="1566" ht="17" customHeight="1">
      <c r="A1566" t="n">
        <v>32</v>
      </c>
      <c r="B1566" s="24">
        <f>IF(Setup!$K$14="","",Setup!$K$14)</f>
        <v/>
      </c>
      <c r="C1566" s="88" t="n"/>
      <c r="D1566" s="88" t="n"/>
      <c r="E1566" s="88" t="n"/>
      <c r="F1566" s="89" t="n"/>
      <c r="G1566" s="88" t="n"/>
      <c r="H1566" s="88" t="n"/>
      <c r="I1566" s="88" t="n"/>
      <c r="J1566" s="89" t="n"/>
      <c r="K1566" s="88" t="n"/>
      <c r="L1566" s="88" t="n"/>
      <c r="M1566" s="88" t="n"/>
      <c r="N1566" s="89" t="n"/>
      <c r="O1566" s="88" t="n"/>
      <c r="P1566" s="88" t="n"/>
      <c r="Q1566" s="88" t="n"/>
      <c r="R1566" s="89" t="n"/>
      <c r="S1566" s="88" t="n"/>
      <c r="T1566" s="88" t="n"/>
      <c r="U1566" s="88" t="n"/>
      <c r="V1566" s="89" t="n"/>
      <c r="W1566" s="88" t="n"/>
      <c r="X1566" s="89" t="n"/>
      <c r="Y1566" s="88" t="n"/>
      <c r="Z1566" s="89" t="n"/>
      <c r="AB1566" s="25">
        <f>IF($B1566="","",(COUNTIF(C1566:E1566,"?*")&lt;N(INDEX(Setup!$L$6:$L$23,9)))+(COUNTIF(G1566:I1566,"?*")&lt;N(INDEX(Setup!$L$6:$L$23,9)))+(COUNTIF(K1566:M1566,"?*")&lt;N(INDEX(Setup!$L$6:$L$23,9)))+(COUNTIF(O1566:Q1566,"?*")&lt;N(INDEX(Setup!$L$6:$L$23,9)))+(COUNTIF(S1566:U1566,"?*")&lt;N(INDEX(Setup!$L$6:$L$23,9)))+((W1566="")*(INDEX(Setup!$M$6:$M$23,9)="Y"))+((Y1566="")*(INDEX(Setup!$M$6:$M$23,9)="Y")))</f>
        <v/>
      </c>
      <c r="AC1566" s="90">
        <f>IF($B1566="","",IF(AB1566=0,"✓ covered","⚠ "&amp;AB1566&amp;IF(AB1566=1," gap"," gaps")))</f>
        <v/>
      </c>
    </row>
    <row r="1567" ht="17" customHeight="1">
      <c r="A1567" t="n">
        <v>32</v>
      </c>
      <c r="B1567" s="29">
        <f>IF(Setup!$K$15="","",Setup!$K$15)</f>
        <v/>
      </c>
      <c r="C1567" s="88" t="n"/>
      <c r="D1567" s="88" t="n"/>
      <c r="E1567" s="88" t="n"/>
      <c r="F1567" s="89" t="n"/>
      <c r="G1567" s="88" t="n"/>
      <c r="H1567" s="88" t="n"/>
      <c r="I1567" s="88" t="n"/>
      <c r="J1567" s="89" t="n"/>
      <c r="K1567" s="88" t="n"/>
      <c r="L1567" s="88" t="n"/>
      <c r="M1567" s="88" t="n"/>
      <c r="N1567" s="89" t="n"/>
      <c r="O1567" s="88" t="n"/>
      <c r="P1567" s="88" t="n"/>
      <c r="Q1567" s="88" t="n"/>
      <c r="R1567" s="89" t="n"/>
      <c r="S1567" s="88" t="n"/>
      <c r="T1567" s="88" t="n"/>
      <c r="U1567" s="88" t="n"/>
      <c r="V1567" s="89" t="n"/>
      <c r="W1567" s="88" t="n"/>
      <c r="X1567" s="89" t="n"/>
      <c r="Y1567" s="88" t="n"/>
      <c r="Z1567" s="89" t="n"/>
      <c r="AB1567" s="30">
        <f>IF($B1567="","",(COUNTIF(C1567:E1567,"?*")&lt;N(INDEX(Setup!$L$6:$L$23,10)))+(COUNTIF(G1567:I1567,"?*")&lt;N(INDEX(Setup!$L$6:$L$23,10)))+(COUNTIF(K1567:M1567,"?*")&lt;N(INDEX(Setup!$L$6:$L$23,10)))+(COUNTIF(O1567:Q1567,"?*")&lt;N(INDEX(Setup!$L$6:$L$23,10)))+(COUNTIF(S1567:U1567,"?*")&lt;N(INDEX(Setup!$L$6:$L$23,10)))+((W1567="")*(INDEX(Setup!$M$6:$M$23,10)="Y"))+((Y1567="")*(INDEX(Setup!$M$6:$M$23,10)="Y")))</f>
        <v/>
      </c>
      <c r="AC1567" s="91">
        <f>IF($B1567="","",IF(AB1567=0,"✓ covered","⚠ "&amp;AB1567&amp;IF(AB1567=1," gap"," gaps")))</f>
        <v/>
      </c>
    </row>
    <row r="1568" ht="17" customHeight="1">
      <c r="A1568" t="n">
        <v>32</v>
      </c>
      <c r="B1568" s="24">
        <f>IF(Setup!$K$16="","",Setup!$K$16)</f>
        <v/>
      </c>
      <c r="C1568" s="88" t="n"/>
      <c r="D1568" s="88" t="n"/>
      <c r="E1568" s="88" t="n"/>
      <c r="F1568" s="89" t="n"/>
      <c r="G1568" s="88" t="n"/>
      <c r="H1568" s="88" t="n"/>
      <c r="I1568" s="88" t="n"/>
      <c r="J1568" s="89" t="n"/>
      <c r="K1568" s="88" t="n"/>
      <c r="L1568" s="88" t="n"/>
      <c r="M1568" s="88" t="n"/>
      <c r="N1568" s="89" t="n"/>
      <c r="O1568" s="88" t="n"/>
      <c r="P1568" s="88" t="n"/>
      <c r="Q1568" s="88" t="n"/>
      <c r="R1568" s="89" t="n"/>
      <c r="S1568" s="88" t="n"/>
      <c r="T1568" s="88" t="n"/>
      <c r="U1568" s="88" t="n"/>
      <c r="V1568" s="89" t="n"/>
      <c r="W1568" s="88" t="n"/>
      <c r="X1568" s="89" t="n"/>
      <c r="Y1568" s="88" t="n"/>
      <c r="Z1568" s="89" t="n"/>
      <c r="AB1568" s="25">
        <f>IF($B1568="","",(COUNTIF(C1568:E1568,"?*")&lt;N(INDEX(Setup!$L$6:$L$23,11)))+(COUNTIF(G1568:I1568,"?*")&lt;N(INDEX(Setup!$L$6:$L$23,11)))+(COUNTIF(K1568:M1568,"?*")&lt;N(INDEX(Setup!$L$6:$L$23,11)))+(COUNTIF(O1568:Q1568,"?*")&lt;N(INDEX(Setup!$L$6:$L$23,11)))+(COUNTIF(S1568:U1568,"?*")&lt;N(INDEX(Setup!$L$6:$L$23,11)))+((W1568="")*(INDEX(Setup!$M$6:$M$23,11)="Y"))+((Y1568="")*(INDEX(Setup!$M$6:$M$23,11)="Y")))</f>
        <v/>
      </c>
      <c r="AC1568" s="90">
        <f>IF($B1568="","",IF(AB1568=0,"✓ covered","⚠ "&amp;AB1568&amp;IF(AB1568=1," gap"," gaps")))</f>
        <v/>
      </c>
    </row>
    <row r="1569" ht="17" customHeight="1">
      <c r="A1569" t="n">
        <v>32</v>
      </c>
      <c r="B1569" s="29">
        <f>IF(Setup!$K$17="","",Setup!$K$17)</f>
        <v/>
      </c>
      <c r="C1569" s="88" t="n"/>
      <c r="D1569" s="88" t="n"/>
      <c r="E1569" s="88" t="n"/>
      <c r="F1569" s="89" t="n"/>
      <c r="G1569" s="88" t="n"/>
      <c r="H1569" s="88" t="n"/>
      <c r="I1569" s="88" t="n"/>
      <c r="J1569" s="89" t="n"/>
      <c r="K1569" s="88" t="n"/>
      <c r="L1569" s="88" t="n"/>
      <c r="M1569" s="88" t="n"/>
      <c r="N1569" s="89" t="n"/>
      <c r="O1569" s="88" t="n"/>
      <c r="P1569" s="88" t="n"/>
      <c r="Q1569" s="88" t="n"/>
      <c r="R1569" s="89" t="n"/>
      <c r="S1569" s="88" t="n"/>
      <c r="T1569" s="88" t="n"/>
      <c r="U1569" s="88" t="n"/>
      <c r="V1569" s="89" t="n"/>
      <c r="W1569" s="88" t="n"/>
      <c r="X1569" s="89" t="n"/>
      <c r="Y1569" s="88" t="n"/>
      <c r="Z1569" s="89" t="n"/>
      <c r="AB1569" s="30">
        <f>IF($B1569="","",(COUNTIF(C1569:E1569,"?*")&lt;N(INDEX(Setup!$L$6:$L$23,12)))+(COUNTIF(G1569:I1569,"?*")&lt;N(INDEX(Setup!$L$6:$L$23,12)))+(COUNTIF(K1569:M1569,"?*")&lt;N(INDEX(Setup!$L$6:$L$23,12)))+(COUNTIF(O1569:Q1569,"?*")&lt;N(INDEX(Setup!$L$6:$L$23,12)))+(COUNTIF(S1569:U1569,"?*")&lt;N(INDEX(Setup!$L$6:$L$23,12)))+((W1569="")*(INDEX(Setup!$M$6:$M$23,12)="Y"))+((Y1569="")*(INDEX(Setup!$M$6:$M$23,12)="Y")))</f>
        <v/>
      </c>
      <c r="AC1569" s="91">
        <f>IF($B1569="","",IF(AB1569=0,"✓ covered","⚠ "&amp;AB1569&amp;IF(AB1569=1," gap"," gaps")))</f>
        <v/>
      </c>
    </row>
    <row r="1570" ht="17" customHeight="1">
      <c r="A1570" t="n">
        <v>32</v>
      </c>
      <c r="B1570" s="24">
        <f>IF(Setup!$K$18="","",Setup!$K$18)</f>
        <v/>
      </c>
      <c r="C1570" s="88" t="n"/>
      <c r="D1570" s="88" t="n"/>
      <c r="E1570" s="88" t="n"/>
      <c r="F1570" s="89" t="n"/>
      <c r="G1570" s="88" t="n"/>
      <c r="H1570" s="88" t="n"/>
      <c r="I1570" s="88" t="n"/>
      <c r="J1570" s="89" t="n"/>
      <c r="K1570" s="88" t="n"/>
      <c r="L1570" s="88" t="n"/>
      <c r="M1570" s="88" t="n"/>
      <c r="N1570" s="89" t="n"/>
      <c r="O1570" s="88" t="n"/>
      <c r="P1570" s="88" t="n"/>
      <c r="Q1570" s="88" t="n"/>
      <c r="R1570" s="89" t="n"/>
      <c r="S1570" s="88" t="n"/>
      <c r="T1570" s="88" t="n"/>
      <c r="U1570" s="88" t="n"/>
      <c r="V1570" s="89" t="n"/>
      <c r="W1570" s="88" t="n"/>
      <c r="X1570" s="89" t="n"/>
      <c r="Y1570" s="88" t="n"/>
      <c r="Z1570" s="89" t="n"/>
      <c r="AB1570" s="25">
        <f>IF($B1570="","",(COUNTIF(C1570:E1570,"?*")&lt;N(INDEX(Setup!$L$6:$L$23,13)))+(COUNTIF(G1570:I1570,"?*")&lt;N(INDEX(Setup!$L$6:$L$23,13)))+(COUNTIF(K1570:M1570,"?*")&lt;N(INDEX(Setup!$L$6:$L$23,13)))+(COUNTIF(O1570:Q1570,"?*")&lt;N(INDEX(Setup!$L$6:$L$23,13)))+(COUNTIF(S1570:U1570,"?*")&lt;N(INDEX(Setup!$L$6:$L$23,13)))+((W1570="")*(INDEX(Setup!$M$6:$M$23,13)="Y"))+((Y1570="")*(INDEX(Setup!$M$6:$M$23,13)="Y")))</f>
        <v/>
      </c>
      <c r="AC1570" s="90">
        <f>IF($B1570="","",IF(AB1570=0,"✓ covered","⚠ "&amp;AB1570&amp;IF(AB1570=1," gap"," gaps")))</f>
        <v/>
      </c>
    </row>
    <row r="1571" ht="17" customHeight="1">
      <c r="A1571" t="n">
        <v>32</v>
      </c>
      <c r="B1571" s="29">
        <f>IF(Setup!$K$19="","",Setup!$K$19)</f>
        <v/>
      </c>
      <c r="C1571" s="88" t="n"/>
      <c r="D1571" s="88" t="n"/>
      <c r="E1571" s="88" t="n"/>
      <c r="F1571" s="89" t="n"/>
      <c r="G1571" s="88" t="n"/>
      <c r="H1571" s="88" t="n"/>
      <c r="I1571" s="88" t="n"/>
      <c r="J1571" s="89" t="n"/>
      <c r="K1571" s="88" t="n"/>
      <c r="L1571" s="88" t="n"/>
      <c r="M1571" s="88" t="n"/>
      <c r="N1571" s="89" t="n"/>
      <c r="O1571" s="88" t="n"/>
      <c r="P1571" s="88" t="n"/>
      <c r="Q1571" s="88" t="n"/>
      <c r="R1571" s="89" t="n"/>
      <c r="S1571" s="88" t="n"/>
      <c r="T1571" s="88" t="n"/>
      <c r="U1571" s="88" t="n"/>
      <c r="V1571" s="89" t="n"/>
      <c r="W1571" s="88" t="n"/>
      <c r="X1571" s="89" t="n"/>
      <c r="Y1571" s="88" t="n"/>
      <c r="Z1571" s="89" t="n"/>
      <c r="AB1571" s="30">
        <f>IF($B1571="","",(COUNTIF(C1571:E1571,"?*")&lt;N(INDEX(Setup!$L$6:$L$23,14)))+(COUNTIF(G1571:I1571,"?*")&lt;N(INDEX(Setup!$L$6:$L$23,14)))+(COUNTIF(K1571:M1571,"?*")&lt;N(INDEX(Setup!$L$6:$L$23,14)))+(COUNTIF(O1571:Q1571,"?*")&lt;N(INDEX(Setup!$L$6:$L$23,14)))+(COUNTIF(S1571:U1571,"?*")&lt;N(INDEX(Setup!$L$6:$L$23,14)))+((W1571="")*(INDEX(Setup!$M$6:$M$23,14)="Y"))+((Y1571="")*(INDEX(Setup!$M$6:$M$23,14)="Y")))</f>
        <v/>
      </c>
      <c r="AC1571" s="91">
        <f>IF($B1571="","",IF(AB1571=0,"✓ covered","⚠ "&amp;AB1571&amp;IF(AB1571=1," gap"," gaps")))</f>
        <v/>
      </c>
    </row>
    <row r="1572" ht="17" customHeight="1">
      <c r="A1572" t="n">
        <v>32</v>
      </c>
      <c r="B1572" s="24">
        <f>IF(Setup!$K$20="","",Setup!$K$20)</f>
        <v/>
      </c>
      <c r="C1572" s="88" t="n"/>
      <c r="D1572" s="88" t="n"/>
      <c r="E1572" s="88" t="n"/>
      <c r="F1572" s="89" t="n"/>
      <c r="G1572" s="88" t="n"/>
      <c r="H1572" s="88" t="n"/>
      <c r="I1572" s="88" t="n"/>
      <c r="J1572" s="89" t="n"/>
      <c r="K1572" s="88" t="n"/>
      <c r="L1572" s="88" t="n"/>
      <c r="M1572" s="88" t="n"/>
      <c r="N1572" s="89" t="n"/>
      <c r="O1572" s="88" t="n"/>
      <c r="P1572" s="88" t="n"/>
      <c r="Q1572" s="88" t="n"/>
      <c r="R1572" s="89" t="n"/>
      <c r="S1572" s="88" t="n"/>
      <c r="T1572" s="88" t="n"/>
      <c r="U1572" s="88" t="n"/>
      <c r="V1572" s="89" t="n"/>
      <c r="W1572" s="88" t="n"/>
      <c r="X1572" s="89" t="n"/>
      <c r="Y1572" s="88" t="n"/>
      <c r="Z1572" s="89" t="n"/>
      <c r="AB1572" s="25">
        <f>IF($B1572="","",(COUNTIF(C1572:E1572,"?*")&lt;N(INDEX(Setup!$L$6:$L$23,15)))+(COUNTIF(G1572:I1572,"?*")&lt;N(INDEX(Setup!$L$6:$L$23,15)))+(COUNTIF(K1572:M1572,"?*")&lt;N(INDEX(Setup!$L$6:$L$23,15)))+(COUNTIF(O1572:Q1572,"?*")&lt;N(INDEX(Setup!$L$6:$L$23,15)))+(COUNTIF(S1572:U1572,"?*")&lt;N(INDEX(Setup!$L$6:$L$23,15)))+((W1572="")*(INDEX(Setup!$M$6:$M$23,15)="Y"))+((Y1572="")*(INDEX(Setup!$M$6:$M$23,15)="Y")))</f>
        <v/>
      </c>
      <c r="AC1572" s="90">
        <f>IF($B1572="","",IF(AB1572=0,"✓ covered","⚠ "&amp;AB1572&amp;IF(AB1572=1," gap"," gaps")))</f>
        <v/>
      </c>
    </row>
    <row r="1573" ht="17" customHeight="1">
      <c r="A1573" t="n">
        <v>32</v>
      </c>
      <c r="B1573" s="29">
        <f>IF(Setup!$K$21="","",Setup!$K$21)</f>
        <v/>
      </c>
      <c r="C1573" s="88" t="n"/>
      <c r="D1573" s="88" t="n"/>
      <c r="E1573" s="88" t="n"/>
      <c r="F1573" s="89" t="n"/>
      <c r="G1573" s="88" t="n"/>
      <c r="H1573" s="88" t="n"/>
      <c r="I1573" s="88" t="n"/>
      <c r="J1573" s="89" t="n"/>
      <c r="K1573" s="88" t="n"/>
      <c r="L1573" s="88" t="n"/>
      <c r="M1573" s="88" t="n"/>
      <c r="N1573" s="89" t="n"/>
      <c r="O1573" s="88" t="n"/>
      <c r="P1573" s="88" t="n"/>
      <c r="Q1573" s="88" t="n"/>
      <c r="R1573" s="89" t="n"/>
      <c r="S1573" s="88" t="n"/>
      <c r="T1573" s="88" t="n"/>
      <c r="U1573" s="88" t="n"/>
      <c r="V1573" s="89" t="n"/>
      <c r="W1573" s="88" t="n"/>
      <c r="X1573" s="89" t="n"/>
      <c r="Y1573" s="88" t="n"/>
      <c r="Z1573" s="89" t="n"/>
      <c r="AB1573" s="30">
        <f>IF($B1573="","",(COUNTIF(C1573:E1573,"?*")&lt;N(INDEX(Setup!$L$6:$L$23,16)))+(COUNTIF(G1573:I1573,"?*")&lt;N(INDEX(Setup!$L$6:$L$23,16)))+(COUNTIF(K1573:M1573,"?*")&lt;N(INDEX(Setup!$L$6:$L$23,16)))+(COUNTIF(O1573:Q1573,"?*")&lt;N(INDEX(Setup!$L$6:$L$23,16)))+(COUNTIF(S1573:U1573,"?*")&lt;N(INDEX(Setup!$L$6:$L$23,16)))+((W1573="")*(INDEX(Setup!$M$6:$M$23,16)="Y"))+((Y1573="")*(INDEX(Setup!$M$6:$M$23,16)="Y")))</f>
        <v/>
      </c>
      <c r="AC1573" s="91">
        <f>IF($B1573="","",IF(AB1573=0,"✓ covered","⚠ "&amp;AB1573&amp;IF(AB1573=1," gap"," gaps")))</f>
        <v/>
      </c>
    </row>
    <row r="1574" ht="17" customHeight="1">
      <c r="A1574" t="n">
        <v>32</v>
      </c>
      <c r="B1574" s="24">
        <f>IF(Setup!$K$22="","",Setup!$K$22)</f>
        <v/>
      </c>
      <c r="C1574" s="88" t="n"/>
      <c r="D1574" s="88" t="n"/>
      <c r="E1574" s="88" t="n"/>
      <c r="F1574" s="89" t="n"/>
      <c r="G1574" s="88" t="n"/>
      <c r="H1574" s="88" t="n"/>
      <c r="I1574" s="88" t="n"/>
      <c r="J1574" s="89" t="n"/>
      <c r="K1574" s="88" t="n"/>
      <c r="L1574" s="88" t="n"/>
      <c r="M1574" s="88" t="n"/>
      <c r="N1574" s="89" t="n"/>
      <c r="O1574" s="88" t="n"/>
      <c r="P1574" s="88" t="n"/>
      <c r="Q1574" s="88" t="n"/>
      <c r="R1574" s="89" t="n"/>
      <c r="S1574" s="88" t="n"/>
      <c r="T1574" s="88" t="n"/>
      <c r="U1574" s="88" t="n"/>
      <c r="V1574" s="89" t="n"/>
      <c r="W1574" s="88" t="n"/>
      <c r="X1574" s="89" t="n"/>
      <c r="Y1574" s="88" t="n"/>
      <c r="Z1574" s="89" t="n"/>
      <c r="AB1574" s="25">
        <f>IF($B1574="","",(COUNTIF(C1574:E1574,"?*")&lt;N(INDEX(Setup!$L$6:$L$23,17)))+(COUNTIF(G1574:I1574,"?*")&lt;N(INDEX(Setup!$L$6:$L$23,17)))+(COUNTIF(K1574:M1574,"?*")&lt;N(INDEX(Setup!$L$6:$L$23,17)))+(COUNTIF(O1574:Q1574,"?*")&lt;N(INDEX(Setup!$L$6:$L$23,17)))+(COUNTIF(S1574:U1574,"?*")&lt;N(INDEX(Setup!$L$6:$L$23,17)))+((W1574="")*(INDEX(Setup!$M$6:$M$23,17)="Y"))+((Y1574="")*(INDEX(Setup!$M$6:$M$23,17)="Y")))</f>
        <v/>
      </c>
      <c r="AC1574" s="90">
        <f>IF($B1574="","",IF(AB1574=0,"✓ covered","⚠ "&amp;AB1574&amp;IF(AB1574=1," gap"," gaps")))</f>
        <v/>
      </c>
    </row>
    <row r="1575" ht="17" customHeight="1">
      <c r="A1575" t="n">
        <v>32</v>
      </c>
      <c r="B1575" s="29">
        <f>IF(Setup!$K$23="","",Setup!$K$23)</f>
        <v/>
      </c>
      <c r="C1575" s="88" t="n"/>
      <c r="D1575" s="88" t="n"/>
      <c r="E1575" s="88" t="n"/>
      <c r="F1575" s="89" t="n"/>
      <c r="G1575" s="88" t="n"/>
      <c r="H1575" s="88" t="n"/>
      <c r="I1575" s="88" t="n"/>
      <c r="J1575" s="89" t="n"/>
      <c r="K1575" s="88" t="n"/>
      <c r="L1575" s="88" t="n"/>
      <c r="M1575" s="88" t="n"/>
      <c r="N1575" s="89" t="n"/>
      <c r="O1575" s="88" t="n"/>
      <c r="P1575" s="88" t="n"/>
      <c r="Q1575" s="88" t="n"/>
      <c r="R1575" s="89" t="n"/>
      <c r="S1575" s="88" t="n"/>
      <c r="T1575" s="88" t="n"/>
      <c r="U1575" s="88" t="n"/>
      <c r="V1575" s="89" t="n"/>
      <c r="W1575" s="88" t="n"/>
      <c r="X1575" s="89" t="n"/>
      <c r="Y1575" s="88" t="n"/>
      <c r="Z1575" s="89" t="n"/>
      <c r="AB1575" s="30">
        <f>IF($B1575="","",(COUNTIF(C1575:E1575,"?*")&lt;N(INDEX(Setup!$L$6:$L$23,18)))+(COUNTIF(G1575:I1575,"?*")&lt;N(INDEX(Setup!$L$6:$L$23,18)))+(COUNTIF(K1575:M1575,"?*")&lt;N(INDEX(Setup!$L$6:$L$23,18)))+(COUNTIF(O1575:Q1575,"?*")&lt;N(INDEX(Setup!$L$6:$L$23,18)))+(COUNTIF(S1575:U1575,"?*")&lt;N(INDEX(Setup!$L$6:$L$23,18)))+((W1575="")*(INDEX(Setup!$M$6:$M$23,18)="Y"))+((Y1575="")*(INDEX(Setup!$M$6:$M$23,18)="Y")))</f>
        <v/>
      </c>
      <c r="AC1575" s="91">
        <f>IF($B1575="","",IF(AB1575=0,"✓ covered","⚠ "&amp;AB1575&amp;IF(AB1575=1," gap"," gaps")))</f>
        <v/>
      </c>
    </row>
    <row r="1576" ht="18" customHeight="1">
      <c r="A1576" t="n">
        <v>32</v>
      </c>
      <c r="B1576" s="78" t="inlineStr">
        <is>
          <t>TEAM AVAILABILITY</t>
        </is>
      </c>
      <c r="C1576" s="92" t="inlineStr">
        <is>
          <t>Mon</t>
        </is>
      </c>
      <c r="D1576" s="93" t="n"/>
      <c r="E1576" s="93" t="n"/>
      <c r="F1576" s="94" t="n"/>
      <c r="G1576" s="92" t="inlineStr">
        <is>
          <t>Tue</t>
        </is>
      </c>
      <c r="H1576" s="93" t="n"/>
      <c r="I1576" s="93" t="n"/>
      <c r="J1576" s="94" t="n"/>
      <c r="K1576" s="92" t="inlineStr">
        <is>
          <t>Wed</t>
        </is>
      </c>
      <c r="L1576" s="93" t="n"/>
      <c r="M1576" s="93" t="n"/>
      <c r="N1576" s="94" t="n"/>
      <c r="O1576" s="92" t="inlineStr">
        <is>
          <t>Thu</t>
        </is>
      </c>
      <c r="P1576" s="93" t="n"/>
      <c r="Q1576" s="93" t="n"/>
      <c r="R1576" s="94" t="n"/>
      <c r="S1576" s="92" t="inlineStr">
        <is>
          <t>Fri</t>
        </is>
      </c>
      <c r="T1576" s="93" t="n"/>
      <c r="U1576" s="93" t="n"/>
      <c r="V1576" s="94" t="n"/>
      <c r="W1576" s="95" t="inlineStr">
        <is>
          <t>Sat</t>
        </is>
      </c>
      <c r="X1576" s="96" t="n"/>
      <c r="Y1576" s="95" t="inlineStr">
        <is>
          <t>Sun</t>
        </is>
      </c>
      <c r="Z1576" s="96" t="n"/>
      <c r="AB1576" s="97" t="inlineStr">
        <is>
          <t>Days rostered</t>
        </is>
      </c>
      <c r="AC1576" s="97" t="inlineStr">
        <is>
          <t>Conflicts</t>
        </is>
      </c>
    </row>
    <row r="1577" ht="15" customHeight="1">
      <c r="A1577" t="n">
        <v>32</v>
      </c>
      <c r="B1577" s="35">
        <f>IF(Setup!$B$6="","",Setup!$B$6)</f>
        <v/>
      </c>
      <c r="C1577" s="98" t="n"/>
      <c r="D1577" s="99" t="n"/>
      <c r="E1577" s="99" t="n"/>
      <c r="F1577" s="100" t="n"/>
      <c r="G1577" s="98" t="n"/>
      <c r="H1577" s="99" t="n"/>
      <c r="I1577" s="99" t="n"/>
      <c r="J1577" s="100" t="n"/>
      <c r="K1577" s="98" t="n"/>
      <c r="L1577" s="99" t="n"/>
      <c r="M1577" s="99" t="n"/>
      <c r="N1577" s="100" t="n"/>
      <c r="O1577" s="98" t="n"/>
      <c r="P1577" s="99" t="n"/>
      <c r="Q1577" s="99" t="n"/>
      <c r="R1577" s="100" t="n"/>
      <c r="S1577" s="98" t="n"/>
      <c r="T1577" s="99" t="n"/>
      <c r="U1577" s="99" t="n"/>
      <c r="V1577" s="100" t="n"/>
      <c r="W1577" s="98" t="n"/>
      <c r="X1577" s="100" t="n"/>
      <c r="Y1577" s="98" t="n"/>
      <c r="Z1577" s="100" t="n"/>
      <c r="AB1577" s="101">
        <f>IF($B1577="","",(COUNTIF(C1558:E1575,$B1577)+COUNTIF(C1558:E1575,$B1577&amp;" ~*")&gt;0)+(COUNTIF(G1558:I1575,$B1577)+COUNTIF(G1558:I1575,$B1577&amp;" ~*")&gt;0)+(COUNTIF(K1558:M1575,$B1577)+COUNTIF(K1558:M1575,$B1577&amp;" ~*")&gt;0)+(COUNTIF(O1558:Q1575,$B1577)+COUNTIF(O1558:Q1575,$B1577&amp;" ~*")&gt;0)+(COUNTIF(S1558:U1575,$B1577)+COUNTIF(S1558:U1575,$B1577&amp;" ~*")&gt;0)+(COUNTIF(W1558:W1575,$B1577)+COUNTIF(W1558:W1575,$B1577&amp;" ~*")&gt;0)+(COUNTIF(Y1558:Y1575,$B1577)+COUNTIF(Y1558:Y1575,$B1577&amp;" ~*")&gt;0))</f>
        <v/>
      </c>
      <c r="AC1577" s="36">
        <f>IF($B1577="","",(IFERROR(INDEX(Setup!$G$33:$G$40,MATCH(C1577,Setup!$B$33:$B$40,0)),0)=1)*(COUNTIF(C1558:E1575,$B1577)+COUNTIF(C1558:E1575,$B1577&amp;" ~*")&gt;0)+(IFERROR(INDEX(Setup!$G$33:$G$40,MATCH(G1577,Setup!$B$33:$B$40,0)),0)=1)*(COUNTIF(G1558:I1575,$B1577)+COUNTIF(G1558:I1575,$B1577&amp;" ~*")&gt;0)+(IFERROR(INDEX(Setup!$G$33:$G$40,MATCH(K1577,Setup!$B$33:$B$40,0)),0)=1)*(COUNTIF(K1558:M1575,$B1577)+COUNTIF(K1558:M1575,$B1577&amp;" ~*")&gt;0)+(IFERROR(INDEX(Setup!$G$33:$G$40,MATCH(O1577,Setup!$B$33:$B$40,0)),0)=1)*(COUNTIF(O1558:Q1575,$B1577)+COUNTIF(O1558:Q1575,$B1577&amp;" ~*")&gt;0)+(IFERROR(INDEX(Setup!$G$33:$G$40,MATCH(S1577,Setup!$B$33:$B$40,0)),0)=1)*(COUNTIF(S1558:U1575,$B1577)+COUNTIF(S1558:U1575,$B1577&amp;" ~*")&gt;0)+(IFERROR(INDEX(Setup!$G$33:$G$40,MATCH(W1577,Setup!$B$33:$B$40,0)),0)=1)*(COUNTIF(W1558:W1575,$B1577)+COUNTIF(W1558:W1575,$B1577&amp;" ~*")&gt;0)+(IFERROR(INDEX(Setup!$G$33:$G$40,MATCH(Y1577,Setup!$B$33:$B$40,0)),0)=1)*(COUNTIF(Y1558:Y1575,$B1577)+COUNTIF(Y1558:Y1575,$B1577&amp;" ~*")&gt;0))</f>
        <v/>
      </c>
    </row>
    <row r="1578" ht="15" customHeight="1">
      <c r="A1578" t="n">
        <v>32</v>
      </c>
      <c r="B1578" s="37">
        <f>IF(Setup!$B$7="","",Setup!$B$7)</f>
        <v/>
      </c>
      <c r="C1578" s="102" t="n"/>
      <c r="D1578" s="103" t="n"/>
      <c r="E1578" s="103" t="n"/>
      <c r="F1578" s="104" t="n"/>
      <c r="G1578" s="102" t="n"/>
      <c r="H1578" s="103" t="n"/>
      <c r="I1578" s="103" t="n"/>
      <c r="J1578" s="104" t="n"/>
      <c r="K1578" s="102" t="n"/>
      <c r="L1578" s="103" t="n"/>
      <c r="M1578" s="103" t="n"/>
      <c r="N1578" s="104" t="n"/>
      <c r="O1578" s="102" t="n"/>
      <c r="P1578" s="103" t="n"/>
      <c r="Q1578" s="103" t="n"/>
      <c r="R1578" s="104" t="n"/>
      <c r="S1578" s="102" t="n"/>
      <c r="T1578" s="103" t="n"/>
      <c r="U1578" s="103" t="n"/>
      <c r="V1578" s="104" t="n"/>
      <c r="W1578" s="102" t="n"/>
      <c r="X1578" s="104" t="n"/>
      <c r="Y1578" s="102" t="n"/>
      <c r="Z1578" s="104" t="n"/>
      <c r="AB1578" s="105">
        <f>IF($B1578="","",(COUNTIF(C1558:E1575,$B1578)+COUNTIF(C1558:E1575,$B1578&amp;" ~*")&gt;0)+(COUNTIF(G1558:I1575,$B1578)+COUNTIF(G1558:I1575,$B1578&amp;" ~*")&gt;0)+(COUNTIF(K1558:M1575,$B1578)+COUNTIF(K1558:M1575,$B1578&amp;" ~*")&gt;0)+(COUNTIF(O1558:Q1575,$B1578)+COUNTIF(O1558:Q1575,$B1578&amp;" ~*")&gt;0)+(COUNTIF(S1558:U1575,$B1578)+COUNTIF(S1558:U1575,$B1578&amp;" ~*")&gt;0)+(COUNTIF(W1558:W1575,$B1578)+COUNTIF(W1558:W1575,$B1578&amp;" ~*")&gt;0)+(COUNTIF(Y1558:Y1575,$B1578)+COUNTIF(Y1558:Y1575,$B1578&amp;" ~*")&gt;0))</f>
        <v/>
      </c>
      <c r="AC1578" s="38">
        <f>IF($B1578="","",(IFERROR(INDEX(Setup!$G$33:$G$40,MATCH(C1578,Setup!$B$33:$B$40,0)),0)=1)*(COUNTIF(C1558:E1575,$B1578)+COUNTIF(C1558:E1575,$B1578&amp;" ~*")&gt;0)+(IFERROR(INDEX(Setup!$G$33:$G$40,MATCH(G1578,Setup!$B$33:$B$40,0)),0)=1)*(COUNTIF(G1558:I1575,$B1578)+COUNTIF(G1558:I1575,$B1578&amp;" ~*")&gt;0)+(IFERROR(INDEX(Setup!$G$33:$G$40,MATCH(K1578,Setup!$B$33:$B$40,0)),0)=1)*(COUNTIF(K1558:M1575,$B1578)+COUNTIF(K1558:M1575,$B1578&amp;" ~*")&gt;0)+(IFERROR(INDEX(Setup!$G$33:$G$40,MATCH(O1578,Setup!$B$33:$B$40,0)),0)=1)*(COUNTIF(O1558:Q1575,$B1578)+COUNTIF(O1558:Q1575,$B1578&amp;" ~*")&gt;0)+(IFERROR(INDEX(Setup!$G$33:$G$40,MATCH(S1578,Setup!$B$33:$B$40,0)),0)=1)*(COUNTIF(S1558:U1575,$B1578)+COUNTIF(S1558:U1575,$B1578&amp;" ~*")&gt;0)+(IFERROR(INDEX(Setup!$G$33:$G$40,MATCH(W1578,Setup!$B$33:$B$40,0)),0)=1)*(COUNTIF(W1558:W1575,$B1578)+COUNTIF(W1558:W1575,$B1578&amp;" ~*")&gt;0)+(IFERROR(INDEX(Setup!$G$33:$G$40,MATCH(Y1578,Setup!$B$33:$B$40,0)),0)=1)*(COUNTIF(Y1558:Y1575,$B1578)+COUNTIF(Y1558:Y1575,$B1578&amp;" ~*")&gt;0))</f>
        <v/>
      </c>
    </row>
    <row r="1579" ht="15" customHeight="1">
      <c r="A1579" t="n">
        <v>32</v>
      </c>
      <c r="B1579" s="35">
        <f>IF(Setup!$B$8="","",Setup!$B$8)</f>
        <v/>
      </c>
      <c r="C1579" s="98" t="n"/>
      <c r="D1579" s="99" t="n"/>
      <c r="E1579" s="99" t="n"/>
      <c r="F1579" s="100" t="n"/>
      <c r="G1579" s="98" t="n"/>
      <c r="H1579" s="99" t="n"/>
      <c r="I1579" s="99" t="n"/>
      <c r="J1579" s="100" t="n"/>
      <c r="K1579" s="98" t="n"/>
      <c r="L1579" s="99" t="n"/>
      <c r="M1579" s="99" t="n"/>
      <c r="N1579" s="100" t="n"/>
      <c r="O1579" s="98" t="n"/>
      <c r="P1579" s="99" t="n"/>
      <c r="Q1579" s="99" t="n"/>
      <c r="R1579" s="100" t="n"/>
      <c r="S1579" s="98" t="n"/>
      <c r="T1579" s="99" t="n"/>
      <c r="U1579" s="99" t="n"/>
      <c r="V1579" s="100" t="n"/>
      <c r="W1579" s="98" t="n"/>
      <c r="X1579" s="100" t="n"/>
      <c r="Y1579" s="98" t="n"/>
      <c r="Z1579" s="100" t="n"/>
      <c r="AB1579" s="101">
        <f>IF($B1579="","",(COUNTIF(C1558:E1575,$B1579)+COUNTIF(C1558:E1575,$B1579&amp;" ~*")&gt;0)+(COUNTIF(G1558:I1575,$B1579)+COUNTIF(G1558:I1575,$B1579&amp;" ~*")&gt;0)+(COUNTIF(K1558:M1575,$B1579)+COUNTIF(K1558:M1575,$B1579&amp;" ~*")&gt;0)+(COUNTIF(O1558:Q1575,$B1579)+COUNTIF(O1558:Q1575,$B1579&amp;" ~*")&gt;0)+(COUNTIF(S1558:U1575,$B1579)+COUNTIF(S1558:U1575,$B1579&amp;" ~*")&gt;0)+(COUNTIF(W1558:W1575,$B1579)+COUNTIF(W1558:W1575,$B1579&amp;" ~*")&gt;0)+(COUNTIF(Y1558:Y1575,$B1579)+COUNTIF(Y1558:Y1575,$B1579&amp;" ~*")&gt;0))</f>
        <v/>
      </c>
      <c r="AC1579" s="36">
        <f>IF($B1579="","",(IFERROR(INDEX(Setup!$G$33:$G$40,MATCH(C1579,Setup!$B$33:$B$40,0)),0)=1)*(COUNTIF(C1558:E1575,$B1579)+COUNTIF(C1558:E1575,$B1579&amp;" ~*")&gt;0)+(IFERROR(INDEX(Setup!$G$33:$G$40,MATCH(G1579,Setup!$B$33:$B$40,0)),0)=1)*(COUNTIF(G1558:I1575,$B1579)+COUNTIF(G1558:I1575,$B1579&amp;" ~*")&gt;0)+(IFERROR(INDEX(Setup!$G$33:$G$40,MATCH(K1579,Setup!$B$33:$B$40,0)),0)=1)*(COUNTIF(K1558:M1575,$B1579)+COUNTIF(K1558:M1575,$B1579&amp;" ~*")&gt;0)+(IFERROR(INDEX(Setup!$G$33:$G$40,MATCH(O1579,Setup!$B$33:$B$40,0)),0)=1)*(COUNTIF(O1558:Q1575,$B1579)+COUNTIF(O1558:Q1575,$B1579&amp;" ~*")&gt;0)+(IFERROR(INDEX(Setup!$G$33:$G$40,MATCH(S1579,Setup!$B$33:$B$40,0)),0)=1)*(COUNTIF(S1558:U1575,$B1579)+COUNTIF(S1558:U1575,$B1579&amp;" ~*")&gt;0)+(IFERROR(INDEX(Setup!$G$33:$G$40,MATCH(W1579,Setup!$B$33:$B$40,0)),0)=1)*(COUNTIF(W1558:W1575,$B1579)+COUNTIF(W1558:W1575,$B1579&amp;" ~*")&gt;0)+(IFERROR(INDEX(Setup!$G$33:$G$40,MATCH(Y1579,Setup!$B$33:$B$40,0)),0)=1)*(COUNTIF(Y1558:Y1575,$B1579)+COUNTIF(Y1558:Y1575,$B1579&amp;" ~*")&gt;0))</f>
        <v/>
      </c>
    </row>
    <row r="1580" ht="15" customHeight="1">
      <c r="A1580" t="n">
        <v>32</v>
      </c>
      <c r="B1580" s="37">
        <f>IF(Setup!$B$9="","",Setup!$B$9)</f>
        <v/>
      </c>
      <c r="C1580" s="102" t="n"/>
      <c r="D1580" s="103" t="n"/>
      <c r="E1580" s="103" t="n"/>
      <c r="F1580" s="104" t="n"/>
      <c r="G1580" s="102" t="n"/>
      <c r="H1580" s="103" t="n"/>
      <c r="I1580" s="103" t="n"/>
      <c r="J1580" s="104" t="n"/>
      <c r="K1580" s="102" t="n"/>
      <c r="L1580" s="103" t="n"/>
      <c r="M1580" s="103" t="n"/>
      <c r="N1580" s="104" t="n"/>
      <c r="O1580" s="102" t="n"/>
      <c r="P1580" s="103" t="n"/>
      <c r="Q1580" s="103" t="n"/>
      <c r="R1580" s="104" t="n"/>
      <c r="S1580" s="102" t="n"/>
      <c r="T1580" s="103" t="n"/>
      <c r="U1580" s="103" t="n"/>
      <c r="V1580" s="104" t="n"/>
      <c r="W1580" s="102" t="n"/>
      <c r="X1580" s="104" t="n"/>
      <c r="Y1580" s="102" t="n"/>
      <c r="Z1580" s="104" t="n"/>
      <c r="AB1580" s="105">
        <f>IF($B1580="","",(COUNTIF(C1558:E1575,$B1580)+COUNTIF(C1558:E1575,$B1580&amp;" ~*")&gt;0)+(COUNTIF(G1558:I1575,$B1580)+COUNTIF(G1558:I1575,$B1580&amp;" ~*")&gt;0)+(COUNTIF(K1558:M1575,$B1580)+COUNTIF(K1558:M1575,$B1580&amp;" ~*")&gt;0)+(COUNTIF(O1558:Q1575,$B1580)+COUNTIF(O1558:Q1575,$B1580&amp;" ~*")&gt;0)+(COUNTIF(S1558:U1575,$B1580)+COUNTIF(S1558:U1575,$B1580&amp;" ~*")&gt;0)+(COUNTIF(W1558:W1575,$B1580)+COUNTIF(W1558:W1575,$B1580&amp;" ~*")&gt;0)+(COUNTIF(Y1558:Y1575,$B1580)+COUNTIF(Y1558:Y1575,$B1580&amp;" ~*")&gt;0))</f>
        <v/>
      </c>
      <c r="AC1580" s="38">
        <f>IF($B1580="","",(IFERROR(INDEX(Setup!$G$33:$G$40,MATCH(C1580,Setup!$B$33:$B$40,0)),0)=1)*(COUNTIF(C1558:E1575,$B1580)+COUNTIF(C1558:E1575,$B1580&amp;" ~*")&gt;0)+(IFERROR(INDEX(Setup!$G$33:$G$40,MATCH(G1580,Setup!$B$33:$B$40,0)),0)=1)*(COUNTIF(G1558:I1575,$B1580)+COUNTIF(G1558:I1575,$B1580&amp;" ~*")&gt;0)+(IFERROR(INDEX(Setup!$G$33:$G$40,MATCH(K1580,Setup!$B$33:$B$40,0)),0)=1)*(COUNTIF(K1558:M1575,$B1580)+COUNTIF(K1558:M1575,$B1580&amp;" ~*")&gt;0)+(IFERROR(INDEX(Setup!$G$33:$G$40,MATCH(O1580,Setup!$B$33:$B$40,0)),0)=1)*(COUNTIF(O1558:Q1575,$B1580)+COUNTIF(O1558:Q1575,$B1580&amp;" ~*")&gt;0)+(IFERROR(INDEX(Setup!$G$33:$G$40,MATCH(S1580,Setup!$B$33:$B$40,0)),0)=1)*(COUNTIF(S1558:U1575,$B1580)+COUNTIF(S1558:U1575,$B1580&amp;" ~*")&gt;0)+(IFERROR(INDEX(Setup!$G$33:$G$40,MATCH(W1580,Setup!$B$33:$B$40,0)),0)=1)*(COUNTIF(W1558:W1575,$B1580)+COUNTIF(W1558:W1575,$B1580&amp;" ~*")&gt;0)+(IFERROR(INDEX(Setup!$G$33:$G$40,MATCH(Y1580,Setup!$B$33:$B$40,0)),0)=1)*(COUNTIF(Y1558:Y1575,$B1580)+COUNTIF(Y1558:Y1575,$B1580&amp;" ~*")&gt;0))</f>
        <v/>
      </c>
    </row>
    <row r="1581" ht="15" customHeight="1">
      <c r="A1581" t="n">
        <v>32</v>
      </c>
      <c r="B1581" s="35">
        <f>IF(Setup!$B$10="","",Setup!$B$10)</f>
        <v/>
      </c>
      <c r="C1581" s="98" t="n"/>
      <c r="D1581" s="99" t="n"/>
      <c r="E1581" s="99" t="n"/>
      <c r="F1581" s="100" t="n"/>
      <c r="G1581" s="98" t="n"/>
      <c r="H1581" s="99" t="n"/>
      <c r="I1581" s="99" t="n"/>
      <c r="J1581" s="100" t="n"/>
      <c r="K1581" s="98" t="n"/>
      <c r="L1581" s="99" t="n"/>
      <c r="M1581" s="99" t="n"/>
      <c r="N1581" s="100" t="n"/>
      <c r="O1581" s="98" t="n"/>
      <c r="P1581" s="99" t="n"/>
      <c r="Q1581" s="99" t="n"/>
      <c r="R1581" s="100" t="n"/>
      <c r="S1581" s="98" t="n"/>
      <c r="T1581" s="99" t="n"/>
      <c r="U1581" s="99" t="n"/>
      <c r="V1581" s="100" t="n"/>
      <c r="W1581" s="98" t="n"/>
      <c r="X1581" s="100" t="n"/>
      <c r="Y1581" s="98" t="n"/>
      <c r="Z1581" s="100" t="n"/>
      <c r="AB1581" s="101">
        <f>IF($B1581="","",(COUNTIF(C1558:E1575,$B1581)+COUNTIF(C1558:E1575,$B1581&amp;" ~*")&gt;0)+(COUNTIF(G1558:I1575,$B1581)+COUNTIF(G1558:I1575,$B1581&amp;" ~*")&gt;0)+(COUNTIF(K1558:M1575,$B1581)+COUNTIF(K1558:M1575,$B1581&amp;" ~*")&gt;0)+(COUNTIF(O1558:Q1575,$B1581)+COUNTIF(O1558:Q1575,$B1581&amp;" ~*")&gt;0)+(COUNTIF(S1558:U1575,$B1581)+COUNTIF(S1558:U1575,$B1581&amp;" ~*")&gt;0)+(COUNTIF(W1558:W1575,$B1581)+COUNTIF(W1558:W1575,$B1581&amp;" ~*")&gt;0)+(COUNTIF(Y1558:Y1575,$B1581)+COUNTIF(Y1558:Y1575,$B1581&amp;" ~*")&gt;0))</f>
        <v/>
      </c>
      <c r="AC1581" s="36">
        <f>IF($B1581="","",(IFERROR(INDEX(Setup!$G$33:$G$40,MATCH(C1581,Setup!$B$33:$B$40,0)),0)=1)*(COUNTIF(C1558:E1575,$B1581)+COUNTIF(C1558:E1575,$B1581&amp;" ~*")&gt;0)+(IFERROR(INDEX(Setup!$G$33:$G$40,MATCH(G1581,Setup!$B$33:$B$40,0)),0)=1)*(COUNTIF(G1558:I1575,$B1581)+COUNTIF(G1558:I1575,$B1581&amp;" ~*")&gt;0)+(IFERROR(INDEX(Setup!$G$33:$G$40,MATCH(K1581,Setup!$B$33:$B$40,0)),0)=1)*(COUNTIF(K1558:M1575,$B1581)+COUNTIF(K1558:M1575,$B1581&amp;" ~*")&gt;0)+(IFERROR(INDEX(Setup!$G$33:$G$40,MATCH(O1581,Setup!$B$33:$B$40,0)),0)=1)*(COUNTIF(O1558:Q1575,$B1581)+COUNTIF(O1558:Q1575,$B1581&amp;" ~*")&gt;0)+(IFERROR(INDEX(Setup!$G$33:$G$40,MATCH(S1581,Setup!$B$33:$B$40,0)),0)=1)*(COUNTIF(S1558:U1575,$B1581)+COUNTIF(S1558:U1575,$B1581&amp;" ~*")&gt;0)+(IFERROR(INDEX(Setup!$G$33:$G$40,MATCH(W1581,Setup!$B$33:$B$40,0)),0)=1)*(COUNTIF(W1558:W1575,$B1581)+COUNTIF(W1558:W1575,$B1581&amp;" ~*")&gt;0)+(IFERROR(INDEX(Setup!$G$33:$G$40,MATCH(Y1581,Setup!$B$33:$B$40,0)),0)=1)*(COUNTIF(Y1558:Y1575,$B1581)+COUNTIF(Y1558:Y1575,$B1581&amp;" ~*")&gt;0))</f>
        <v/>
      </c>
    </row>
    <row r="1582" ht="15" customHeight="1">
      <c r="A1582" t="n">
        <v>32</v>
      </c>
      <c r="B1582" s="37">
        <f>IF(Setup!$B$11="","",Setup!$B$11)</f>
        <v/>
      </c>
      <c r="C1582" s="102" t="n"/>
      <c r="D1582" s="103" t="n"/>
      <c r="E1582" s="103" t="n"/>
      <c r="F1582" s="104" t="n"/>
      <c r="G1582" s="102" t="n"/>
      <c r="H1582" s="103" t="n"/>
      <c r="I1582" s="103" t="n"/>
      <c r="J1582" s="104" t="n"/>
      <c r="K1582" s="102" t="n"/>
      <c r="L1582" s="103" t="n"/>
      <c r="M1582" s="103" t="n"/>
      <c r="N1582" s="104" t="n"/>
      <c r="O1582" s="102" t="n"/>
      <c r="P1582" s="103" t="n"/>
      <c r="Q1582" s="103" t="n"/>
      <c r="R1582" s="104" t="n"/>
      <c r="S1582" s="102" t="n"/>
      <c r="T1582" s="103" t="n"/>
      <c r="U1582" s="103" t="n"/>
      <c r="V1582" s="104" t="n"/>
      <c r="W1582" s="102" t="n"/>
      <c r="X1582" s="104" t="n"/>
      <c r="Y1582" s="102" t="n"/>
      <c r="Z1582" s="104" t="n"/>
      <c r="AB1582" s="105">
        <f>IF($B1582="","",(COUNTIF(C1558:E1575,$B1582)+COUNTIF(C1558:E1575,$B1582&amp;" ~*")&gt;0)+(COUNTIF(G1558:I1575,$B1582)+COUNTIF(G1558:I1575,$B1582&amp;" ~*")&gt;0)+(COUNTIF(K1558:M1575,$B1582)+COUNTIF(K1558:M1575,$B1582&amp;" ~*")&gt;0)+(COUNTIF(O1558:Q1575,$B1582)+COUNTIF(O1558:Q1575,$B1582&amp;" ~*")&gt;0)+(COUNTIF(S1558:U1575,$B1582)+COUNTIF(S1558:U1575,$B1582&amp;" ~*")&gt;0)+(COUNTIF(W1558:W1575,$B1582)+COUNTIF(W1558:W1575,$B1582&amp;" ~*")&gt;0)+(COUNTIF(Y1558:Y1575,$B1582)+COUNTIF(Y1558:Y1575,$B1582&amp;" ~*")&gt;0))</f>
        <v/>
      </c>
      <c r="AC1582" s="38">
        <f>IF($B1582="","",(IFERROR(INDEX(Setup!$G$33:$G$40,MATCH(C1582,Setup!$B$33:$B$40,0)),0)=1)*(COUNTIF(C1558:E1575,$B1582)+COUNTIF(C1558:E1575,$B1582&amp;" ~*")&gt;0)+(IFERROR(INDEX(Setup!$G$33:$G$40,MATCH(G1582,Setup!$B$33:$B$40,0)),0)=1)*(COUNTIF(G1558:I1575,$B1582)+COUNTIF(G1558:I1575,$B1582&amp;" ~*")&gt;0)+(IFERROR(INDEX(Setup!$G$33:$G$40,MATCH(K1582,Setup!$B$33:$B$40,0)),0)=1)*(COUNTIF(K1558:M1575,$B1582)+COUNTIF(K1558:M1575,$B1582&amp;" ~*")&gt;0)+(IFERROR(INDEX(Setup!$G$33:$G$40,MATCH(O1582,Setup!$B$33:$B$40,0)),0)=1)*(COUNTIF(O1558:Q1575,$B1582)+COUNTIF(O1558:Q1575,$B1582&amp;" ~*")&gt;0)+(IFERROR(INDEX(Setup!$G$33:$G$40,MATCH(S1582,Setup!$B$33:$B$40,0)),0)=1)*(COUNTIF(S1558:U1575,$B1582)+COUNTIF(S1558:U1575,$B1582&amp;" ~*")&gt;0)+(IFERROR(INDEX(Setup!$G$33:$G$40,MATCH(W1582,Setup!$B$33:$B$40,0)),0)=1)*(COUNTIF(W1558:W1575,$B1582)+COUNTIF(W1558:W1575,$B1582&amp;" ~*")&gt;0)+(IFERROR(INDEX(Setup!$G$33:$G$40,MATCH(Y1582,Setup!$B$33:$B$40,0)),0)=1)*(COUNTIF(Y1558:Y1575,$B1582)+COUNTIF(Y1558:Y1575,$B1582&amp;" ~*")&gt;0))</f>
        <v/>
      </c>
    </row>
    <row r="1583" ht="15" customHeight="1">
      <c r="A1583" t="n">
        <v>32</v>
      </c>
      <c r="B1583" s="35">
        <f>IF(Setup!$B$12="","",Setup!$B$12)</f>
        <v/>
      </c>
      <c r="C1583" s="98" t="n"/>
      <c r="D1583" s="99" t="n"/>
      <c r="E1583" s="99" t="n"/>
      <c r="F1583" s="100" t="n"/>
      <c r="G1583" s="98" t="n"/>
      <c r="H1583" s="99" t="n"/>
      <c r="I1583" s="99" t="n"/>
      <c r="J1583" s="100" t="n"/>
      <c r="K1583" s="98" t="n"/>
      <c r="L1583" s="99" t="n"/>
      <c r="M1583" s="99" t="n"/>
      <c r="N1583" s="100" t="n"/>
      <c r="O1583" s="98" t="n"/>
      <c r="P1583" s="99" t="n"/>
      <c r="Q1583" s="99" t="n"/>
      <c r="R1583" s="100" t="n"/>
      <c r="S1583" s="98" t="n"/>
      <c r="T1583" s="99" t="n"/>
      <c r="U1583" s="99" t="n"/>
      <c r="V1583" s="100" t="n"/>
      <c r="W1583" s="98" t="n"/>
      <c r="X1583" s="100" t="n"/>
      <c r="Y1583" s="98" t="n"/>
      <c r="Z1583" s="100" t="n"/>
      <c r="AB1583" s="101">
        <f>IF($B1583="","",(COUNTIF(C1558:E1575,$B1583)+COUNTIF(C1558:E1575,$B1583&amp;" ~*")&gt;0)+(COUNTIF(G1558:I1575,$B1583)+COUNTIF(G1558:I1575,$B1583&amp;" ~*")&gt;0)+(COUNTIF(K1558:M1575,$B1583)+COUNTIF(K1558:M1575,$B1583&amp;" ~*")&gt;0)+(COUNTIF(O1558:Q1575,$B1583)+COUNTIF(O1558:Q1575,$B1583&amp;" ~*")&gt;0)+(COUNTIF(S1558:U1575,$B1583)+COUNTIF(S1558:U1575,$B1583&amp;" ~*")&gt;0)+(COUNTIF(W1558:W1575,$B1583)+COUNTIF(W1558:W1575,$B1583&amp;" ~*")&gt;0)+(COUNTIF(Y1558:Y1575,$B1583)+COUNTIF(Y1558:Y1575,$B1583&amp;" ~*")&gt;0))</f>
        <v/>
      </c>
      <c r="AC1583" s="36">
        <f>IF($B1583="","",(IFERROR(INDEX(Setup!$G$33:$G$40,MATCH(C1583,Setup!$B$33:$B$40,0)),0)=1)*(COUNTIF(C1558:E1575,$B1583)+COUNTIF(C1558:E1575,$B1583&amp;" ~*")&gt;0)+(IFERROR(INDEX(Setup!$G$33:$G$40,MATCH(G1583,Setup!$B$33:$B$40,0)),0)=1)*(COUNTIF(G1558:I1575,$B1583)+COUNTIF(G1558:I1575,$B1583&amp;" ~*")&gt;0)+(IFERROR(INDEX(Setup!$G$33:$G$40,MATCH(K1583,Setup!$B$33:$B$40,0)),0)=1)*(COUNTIF(K1558:M1575,$B1583)+COUNTIF(K1558:M1575,$B1583&amp;" ~*")&gt;0)+(IFERROR(INDEX(Setup!$G$33:$G$40,MATCH(O1583,Setup!$B$33:$B$40,0)),0)=1)*(COUNTIF(O1558:Q1575,$B1583)+COUNTIF(O1558:Q1575,$B1583&amp;" ~*")&gt;0)+(IFERROR(INDEX(Setup!$G$33:$G$40,MATCH(S1583,Setup!$B$33:$B$40,0)),0)=1)*(COUNTIF(S1558:U1575,$B1583)+COUNTIF(S1558:U1575,$B1583&amp;" ~*")&gt;0)+(IFERROR(INDEX(Setup!$G$33:$G$40,MATCH(W1583,Setup!$B$33:$B$40,0)),0)=1)*(COUNTIF(W1558:W1575,$B1583)+COUNTIF(W1558:W1575,$B1583&amp;" ~*")&gt;0)+(IFERROR(INDEX(Setup!$G$33:$G$40,MATCH(Y1583,Setup!$B$33:$B$40,0)),0)=1)*(COUNTIF(Y1558:Y1575,$B1583)+COUNTIF(Y1558:Y1575,$B1583&amp;" ~*")&gt;0))</f>
        <v/>
      </c>
    </row>
    <row r="1584" ht="15" customHeight="1">
      <c r="A1584" t="n">
        <v>32</v>
      </c>
      <c r="B1584" s="37">
        <f>IF(Setup!$B$13="","",Setup!$B$13)</f>
        <v/>
      </c>
      <c r="C1584" s="102" t="n"/>
      <c r="D1584" s="103" t="n"/>
      <c r="E1584" s="103" t="n"/>
      <c r="F1584" s="104" t="n"/>
      <c r="G1584" s="102" t="n"/>
      <c r="H1584" s="103" t="n"/>
      <c r="I1584" s="103" t="n"/>
      <c r="J1584" s="104" t="n"/>
      <c r="K1584" s="102" t="n"/>
      <c r="L1584" s="103" t="n"/>
      <c r="M1584" s="103" t="n"/>
      <c r="N1584" s="104" t="n"/>
      <c r="O1584" s="102" t="n"/>
      <c r="P1584" s="103" t="n"/>
      <c r="Q1584" s="103" t="n"/>
      <c r="R1584" s="104" t="n"/>
      <c r="S1584" s="102" t="n"/>
      <c r="T1584" s="103" t="n"/>
      <c r="U1584" s="103" t="n"/>
      <c r="V1584" s="104" t="n"/>
      <c r="W1584" s="102" t="n"/>
      <c r="X1584" s="104" t="n"/>
      <c r="Y1584" s="102" t="n"/>
      <c r="Z1584" s="104" t="n"/>
      <c r="AB1584" s="105">
        <f>IF($B1584="","",(COUNTIF(C1558:E1575,$B1584)+COUNTIF(C1558:E1575,$B1584&amp;" ~*")&gt;0)+(COUNTIF(G1558:I1575,$B1584)+COUNTIF(G1558:I1575,$B1584&amp;" ~*")&gt;0)+(COUNTIF(K1558:M1575,$B1584)+COUNTIF(K1558:M1575,$B1584&amp;" ~*")&gt;0)+(COUNTIF(O1558:Q1575,$B1584)+COUNTIF(O1558:Q1575,$B1584&amp;" ~*")&gt;0)+(COUNTIF(S1558:U1575,$B1584)+COUNTIF(S1558:U1575,$B1584&amp;" ~*")&gt;0)+(COUNTIF(W1558:W1575,$B1584)+COUNTIF(W1558:W1575,$B1584&amp;" ~*")&gt;0)+(COUNTIF(Y1558:Y1575,$B1584)+COUNTIF(Y1558:Y1575,$B1584&amp;" ~*")&gt;0))</f>
        <v/>
      </c>
      <c r="AC1584" s="38">
        <f>IF($B1584="","",(IFERROR(INDEX(Setup!$G$33:$G$40,MATCH(C1584,Setup!$B$33:$B$40,0)),0)=1)*(COUNTIF(C1558:E1575,$B1584)+COUNTIF(C1558:E1575,$B1584&amp;" ~*")&gt;0)+(IFERROR(INDEX(Setup!$G$33:$G$40,MATCH(G1584,Setup!$B$33:$B$40,0)),0)=1)*(COUNTIF(G1558:I1575,$B1584)+COUNTIF(G1558:I1575,$B1584&amp;" ~*")&gt;0)+(IFERROR(INDEX(Setup!$G$33:$G$40,MATCH(K1584,Setup!$B$33:$B$40,0)),0)=1)*(COUNTIF(K1558:M1575,$B1584)+COUNTIF(K1558:M1575,$B1584&amp;" ~*")&gt;0)+(IFERROR(INDEX(Setup!$G$33:$G$40,MATCH(O1584,Setup!$B$33:$B$40,0)),0)=1)*(COUNTIF(O1558:Q1575,$B1584)+COUNTIF(O1558:Q1575,$B1584&amp;" ~*")&gt;0)+(IFERROR(INDEX(Setup!$G$33:$G$40,MATCH(S1584,Setup!$B$33:$B$40,0)),0)=1)*(COUNTIF(S1558:U1575,$B1584)+COUNTIF(S1558:U1575,$B1584&amp;" ~*")&gt;0)+(IFERROR(INDEX(Setup!$G$33:$G$40,MATCH(W1584,Setup!$B$33:$B$40,0)),0)=1)*(COUNTIF(W1558:W1575,$B1584)+COUNTIF(W1558:W1575,$B1584&amp;" ~*")&gt;0)+(IFERROR(INDEX(Setup!$G$33:$G$40,MATCH(Y1584,Setup!$B$33:$B$40,0)),0)=1)*(COUNTIF(Y1558:Y1575,$B1584)+COUNTIF(Y1558:Y1575,$B1584&amp;" ~*")&gt;0))</f>
        <v/>
      </c>
    </row>
    <row r="1585" ht="15" customHeight="1">
      <c r="A1585" t="n">
        <v>32</v>
      </c>
      <c r="B1585" s="35">
        <f>IF(Setup!$B$14="","",Setup!$B$14)</f>
        <v/>
      </c>
      <c r="C1585" s="98" t="n"/>
      <c r="D1585" s="99" t="n"/>
      <c r="E1585" s="99" t="n"/>
      <c r="F1585" s="100" t="n"/>
      <c r="G1585" s="98" t="n"/>
      <c r="H1585" s="99" t="n"/>
      <c r="I1585" s="99" t="n"/>
      <c r="J1585" s="100" t="n"/>
      <c r="K1585" s="98" t="n"/>
      <c r="L1585" s="99" t="n"/>
      <c r="M1585" s="99" t="n"/>
      <c r="N1585" s="100" t="n"/>
      <c r="O1585" s="98" t="n"/>
      <c r="P1585" s="99" t="n"/>
      <c r="Q1585" s="99" t="n"/>
      <c r="R1585" s="100" t="n"/>
      <c r="S1585" s="98" t="n"/>
      <c r="T1585" s="99" t="n"/>
      <c r="U1585" s="99" t="n"/>
      <c r="V1585" s="100" t="n"/>
      <c r="W1585" s="98" t="n"/>
      <c r="X1585" s="100" t="n"/>
      <c r="Y1585" s="98" t="n"/>
      <c r="Z1585" s="100" t="n"/>
      <c r="AB1585" s="101">
        <f>IF($B1585="","",(COUNTIF(C1558:E1575,$B1585)+COUNTIF(C1558:E1575,$B1585&amp;" ~*")&gt;0)+(COUNTIF(G1558:I1575,$B1585)+COUNTIF(G1558:I1575,$B1585&amp;" ~*")&gt;0)+(COUNTIF(K1558:M1575,$B1585)+COUNTIF(K1558:M1575,$B1585&amp;" ~*")&gt;0)+(COUNTIF(O1558:Q1575,$B1585)+COUNTIF(O1558:Q1575,$B1585&amp;" ~*")&gt;0)+(COUNTIF(S1558:U1575,$B1585)+COUNTIF(S1558:U1575,$B1585&amp;" ~*")&gt;0)+(COUNTIF(W1558:W1575,$B1585)+COUNTIF(W1558:W1575,$B1585&amp;" ~*")&gt;0)+(COUNTIF(Y1558:Y1575,$B1585)+COUNTIF(Y1558:Y1575,$B1585&amp;" ~*")&gt;0))</f>
        <v/>
      </c>
      <c r="AC1585" s="36">
        <f>IF($B1585="","",(IFERROR(INDEX(Setup!$G$33:$G$40,MATCH(C1585,Setup!$B$33:$B$40,0)),0)=1)*(COUNTIF(C1558:E1575,$B1585)+COUNTIF(C1558:E1575,$B1585&amp;" ~*")&gt;0)+(IFERROR(INDEX(Setup!$G$33:$G$40,MATCH(G1585,Setup!$B$33:$B$40,0)),0)=1)*(COUNTIF(G1558:I1575,$B1585)+COUNTIF(G1558:I1575,$B1585&amp;" ~*")&gt;0)+(IFERROR(INDEX(Setup!$G$33:$G$40,MATCH(K1585,Setup!$B$33:$B$40,0)),0)=1)*(COUNTIF(K1558:M1575,$B1585)+COUNTIF(K1558:M1575,$B1585&amp;" ~*")&gt;0)+(IFERROR(INDEX(Setup!$G$33:$G$40,MATCH(O1585,Setup!$B$33:$B$40,0)),0)=1)*(COUNTIF(O1558:Q1575,$B1585)+COUNTIF(O1558:Q1575,$B1585&amp;" ~*")&gt;0)+(IFERROR(INDEX(Setup!$G$33:$G$40,MATCH(S1585,Setup!$B$33:$B$40,0)),0)=1)*(COUNTIF(S1558:U1575,$B1585)+COUNTIF(S1558:U1575,$B1585&amp;" ~*")&gt;0)+(IFERROR(INDEX(Setup!$G$33:$G$40,MATCH(W1585,Setup!$B$33:$B$40,0)),0)=1)*(COUNTIF(W1558:W1575,$B1585)+COUNTIF(W1558:W1575,$B1585&amp;" ~*")&gt;0)+(IFERROR(INDEX(Setup!$G$33:$G$40,MATCH(Y1585,Setup!$B$33:$B$40,0)),0)=1)*(COUNTIF(Y1558:Y1575,$B1585)+COUNTIF(Y1558:Y1575,$B1585&amp;" ~*")&gt;0))</f>
        <v/>
      </c>
    </row>
    <row r="1586" ht="15" customHeight="1">
      <c r="A1586" t="n">
        <v>32</v>
      </c>
      <c r="B1586" s="37">
        <f>IF(Setup!$B$15="","",Setup!$B$15)</f>
        <v/>
      </c>
      <c r="C1586" s="102" t="n"/>
      <c r="D1586" s="103" t="n"/>
      <c r="E1586" s="103" t="n"/>
      <c r="F1586" s="104" t="n"/>
      <c r="G1586" s="102" t="n"/>
      <c r="H1586" s="103" t="n"/>
      <c r="I1586" s="103" t="n"/>
      <c r="J1586" s="104" t="n"/>
      <c r="K1586" s="102" t="n"/>
      <c r="L1586" s="103" t="n"/>
      <c r="M1586" s="103" t="n"/>
      <c r="N1586" s="104" t="n"/>
      <c r="O1586" s="102" t="n"/>
      <c r="P1586" s="103" t="n"/>
      <c r="Q1586" s="103" t="n"/>
      <c r="R1586" s="104" t="n"/>
      <c r="S1586" s="102" t="n"/>
      <c r="T1586" s="103" t="n"/>
      <c r="U1586" s="103" t="n"/>
      <c r="V1586" s="104" t="n"/>
      <c r="W1586" s="102" t="n"/>
      <c r="X1586" s="104" t="n"/>
      <c r="Y1586" s="102" t="n"/>
      <c r="Z1586" s="104" t="n"/>
      <c r="AB1586" s="105">
        <f>IF($B1586="","",(COUNTIF(C1558:E1575,$B1586)+COUNTIF(C1558:E1575,$B1586&amp;" ~*")&gt;0)+(COUNTIF(G1558:I1575,$B1586)+COUNTIF(G1558:I1575,$B1586&amp;" ~*")&gt;0)+(COUNTIF(K1558:M1575,$B1586)+COUNTIF(K1558:M1575,$B1586&amp;" ~*")&gt;0)+(COUNTIF(O1558:Q1575,$B1586)+COUNTIF(O1558:Q1575,$B1586&amp;" ~*")&gt;0)+(COUNTIF(S1558:U1575,$B1586)+COUNTIF(S1558:U1575,$B1586&amp;" ~*")&gt;0)+(COUNTIF(W1558:W1575,$B1586)+COUNTIF(W1558:W1575,$B1586&amp;" ~*")&gt;0)+(COUNTIF(Y1558:Y1575,$B1586)+COUNTIF(Y1558:Y1575,$B1586&amp;" ~*")&gt;0))</f>
        <v/>
      </c>
      <c r="AC1586" s="38">
        <f>IF($B1586="","",(IFERROR(INDEX(Setup!$G$33:$G$40,MATCH(C1586,Setup!$B$33:$B$40,0)),0)=1)*(COUNTIF(C1558:E1575,$B1586)+COUNTIF(C1558:E1575,$B1586&amp;" ~*")&gt;0)+(IFERROR(INDEX(Setup!$G$33:$G$40,MATCH(G1586,Setup!$B$33:$B$40,0)),0)=1)*(COUNTIF(G1558:I1575,$B1586)+COUNTIF(G1558:I1575,$B1586&amp;" ~*")&gt;0)+(IFERROR(INDEX(Setup!$G$33:$G$40,MATCH(K1586,Setup!$B$33:$B$40,0)),0)=1)*(COUNTIF(K1558:M1575,$B1586)+COUNTIF(K1558:M1575,$B1586&amp;" ~*")&gt;0)+(IFERROR(INDEX(Setup!$G$33:$G$40,MATCH(O1586,Setup!$B$33:$B$40,0)),0)=1)*(COUNTIF(O1558:Q1575,$B1586)+COUNTIF(O1558:Q1575,$B1586&amp;" ~*")&gt;0)+(IFERROR(INDEX(Setup!$G$33:$G$40,MATCH(S1586,Setup!$B$33:$B$40,0)),0)=1)*(COUNTIF(S1558:U1575,$B1586)+COUNTIF(S1558:U1575,$B1586&amp;" ~*")&gt;0)+(IFERROR(INDEX(Setup!$G$33:$G$40,MATCH(W1586,Setup!$B$33:$B$40,0)),0)=1)*(COUNTIF(W1558:W1575,$B1586)+COUNTIF(W1558:W1575,$B1586&amp;" ~*")&gt;0)+(IFERROR(INDEX(Setup!$G$33:$G$40,MATCH(Y1586,Setup!$B$33:$B$40,0)),0)=1)*(COUNTIF(Y1558:Y1575,$B1586)+COUNTIF(Y1558:Y1575,$B1586&amp;" ~*")&gt;0))</f>
        <v/>
      </c>
    </row>
    <row r="1587" ht="15" customHeight="1">
      <c r="A1587" t="n">
        <v>32</v>
      </c>
      <c r="B1587" s="35">
        <f>IF(Setup!$B$16="","",Setup!$B$16)</f>
        <v/>
      </c>
      <c r="C1587" s="98" t="n"/>
      <c r="D1587" s="99" t="n"/>
      <c r="E1587" s="99" t="n"/>
      <c r="F1587" s="100" t="n"/>
      <c r="G1587" s="98" t="n"/>
      <c r="H1587" s="99" t="n"/>
      <c r="I1587" s="99" t="n"/>
      <c r="J1587" s="100" t="n"/>
      <c r="K1587" s="98" t="n"/>
      <c r="L1587" s="99" t="n"/>
      <c r="M1587" s="99" t="n"/>
      <c r="N1587" s="100" t="n"/>
      <c r="O1587" s="98" t="n"/>
      <c r="P1587" s="99" t="n"/>
      <c r="Q1587" s="99" t="n"/>
      <c r="R1587" s="100" t="n"/>
      <c r="S1587" s="98" t="n"/>
      <c r="T1587" s="99" t="n"/>
      <c r="U1587" s="99" t="n"/>
      <c r="V1587" s="100" t="n"/>
      <c r="W1587" s="98" t="n"/>
      <c r="X1587" s="100" t="n"/>
      <c r="Y1587" s="98" t="n"/>
      <c r="Z1587" s="100" t="n"/>
      <c r="AB1587" s="101">
        <f>IF($B1587="","",(COUNTIF(C1558:E1575,$B1587)+COUNTIF(C1558:E1575,$B1587&amp;" ~*")&gt;0)+(COUNTIF(G1558:I1575,$B1587)+COUNTIF(G1558:I1575,$B1587&amp;" ~*")&gt;0)+(COUNTIF(K1558:M1575,$B1587)+COUNTIF(K1558:M1575,$B1587&amp;" ~*")&gt;0)+(COUNTIF(O1558:Q1575,$B1587)+COUNTIF(O1558:Q1575,$B1587&amp;" ~*")&gt;0)+(COUNTIF(S1558:U1575,$B1587)+COUNTIF(S1558:U1575,$B1587&amp;" ~*")&gt;0)+(COUNTIF(W1558:W1575,$B1587)+COUNTIF(W1558:W1575,$B1587&amp;" ~*")&gt;0)+(COUNTIF(Y1558:Y1575,$B1587)+COUNTIF(Y1558:Y1575,$B1587&amp;" ~*")&gt;0))</f>
        <v/>
      </c>
      <c r="AC1587" s="36">
        <f>IF($B1587="","",(IFERROR(INDEX(Setup!$G$33:$G$40,MATCH(C1587,Setup!$B$33:$B$40,0)),0)=1)*(COUNTIF(C1558:E1575,$B1587)+COUNTIF(C1558:E1575,$B1587&amp;" ~*")&gt;0)+(IFERROR(INDEX(Setup!$G$33:$G$40,MATCH(G1587,Setup!$B$33:$B$40,0)),0)=1)*(COUNTIF(G1558:I1575,$B1587)+COUNTIF(G1558:I1575,$B1587&amp;" ~*")&gt;0)+(IFERROR(INDEX(Setup!$G$33:$G$40,MATCH(K1587,Setup!$B$33:$B$40,0)),0)=1)*(COUNTIF(K1558:M1575,$B1587)+COUNTIF(K1558:M1575,$B1587&amp;" ~*")&gt;0)+(IFERROR(INDEX(Setup!$G$33:$G$40,MATCH(O1587,Setup!$B$33:$B$40,0)),0)=1)*(COUNTIF(O1558:Q1575,$B1587)+COUNTIF(O1558:Q1575,$B1587&amp;" ~*")&gt;0)+(IFERROR(INDEX(Setup!$G$33:$G$40,MATCH(S1587,Setup!$B$33:$B$40,0)),0)=1)*(COUNTIF(S1558:U1575,$B1587)+COUNTIF(S1558:U1575,$B1587&amp;" ~*")&gt;0)+(IFERROR(INDEX(Setup!$G$33:$G$40,MATCH(W1587,Setup!$B$33:$B$40,0)),0)=1)*(COUNTIF(W1558:W1575,$B1587)+COUNTIF(W1558:W1575,$B1587&amp;" ~*")&gt;0)+(IFERROR(INDEX(Setup!$G$33:$G$40,MATCH(Y1587,Setup!$B$33:$B$40,0)),0)=1)*(COUNTIF(Y1558:Y1575,$B1587)+COUNTIF(Y1558:Y1575,$B1587&amp;" ~*")&gt;0))</f>
        <v/>
      </c>
    </row>
    <row r="1588" ht="15" customHeight="1">
      <c r="A1588" t="n">
        <v>32</v>
      </c>
      <c r="B1588" s="37">
        <f>IF(Setup!$B$17="","",Setup!$B$17)</f>
        <v/>
      </c>
      <c r="C1588" s="102" t="n"/>
      <c r="D1588" s="103" t="n"/>
      <c r="E1588" s="103" t="n"/>
      <c r="F1588" s="104" t="n"/>
      <c r="G1588" s="102" t="n"/>
      <c r="H1588" s="103" t="n"/>
      <c r="I1588" s="103" t="n"/>
      <c r="J1588" s="104" t="n"/>
      <c r="K1588" s="102" t="n"/>
      <c r="L1588" s="103" t="n"/>
      <c r="M1588" s="103" t="n"/>
      <c r="N1588" s="104" t="n"/>
      <c r="O1588" s="102" t="n"/>
      <c r="P1588" s="103" t="n"/>
      <c r="Q1588" s="103" t="n"/>
      <c r="R1588" s="104" t="n"/>
      <c r="S1588" s="102" t="n"/>
      <c r="T1588" s="103" t="n"/>
      <c r="U1588" s="103" t="n"/>
      <c r="V1588" s="104" t="n"/>
      <c r="W1588" s="102" t="n"/>
      <c r="X1588" s="104" t="n"/>
      <c r="Y1588" s="102" t="n"/>
      <c r="Z1588" s="104" t="n"/>
      <c r="AB1588" s="105">
        <f>IF($B1588="","",(COUNTIF(C1558:E1575,$B1588)+COUNTIF(C1558:E1575,$B1588&amp;" ~*")&gt;0)+(COUNTIF(G1558:I1575,$B1588)+COUNTIF(G1558:I1575,$B1588&amp;" ~*")&gt;0)+(COUNTIF(K1558:M1575,$B1588)+COUNTIF(K1558:M1575,$B1588&amp;" ~*")&gt;0)+(COUNTIF(O1558:Q1575,$B1588)+COUNTIF(O1558:Q1575,$B1588&amp;" ~*")&gt;0)+(COUNTIF(S1558:U1575,$B1588)+COUNTIF(S1558:U1575,$B1588&amp;" ~*")&gt;0)+(COUNTIF(W1558:W1575,$B1588)+COUNTIF(W1558:W1575,$B1588&amp;" ~*")&gt;0)+(COUNTIF(Y1558:Y1575,$B1588)+COUNTIF(Y1558:Y1575,$B1588&amp;" ~*")&gt;0))</f>
        <v/>
      </c>
      <c r="AC1588" s="38">
        <f>IF($B1588="","",(IFERROR(INDEX(Setup!$G$33:$G$40,MATCH(C1588,Setup!$B$33:$B$40,0)),0)=1)*(COUNTIF(C1558:E1575,$B1588)+COUNTIF(C1558:E1575,$B1588&amp;" ~*")&gt;0)+(IFERROR(INDEX(Setup!$G$33:$G$40,MATCH(G1588,Setup!$B$33:$B$40,0)),0)=1)*(COUNTIF(G1558:I1575,$B1588)+COUNTIF(G1558:I1575,$B1588&amp;" ~*")&gt;0)+(IFERROR(INDEX(Setup!$G$33:$G$40,MATCH(K1588,Setup!$B$33:$B$40,0)),0)=1)*(COUNTIF(K1558:M1575,$B1588)+COUNTIF(K1558:M1575,$B1588&amp;" ~*")&gt;0)+(IFERROR(INDEX(Setup!$G$33:$G$40,MATCH(O1588,Setup!$B$33:$B$40,0)),0)=1)*(COUNTIF(O1558:Q1575,$B1588)+COUNTIF(O1558:Q1575,$B1588&amp;" ~*")&gt;0)+(IFERROR(INDEX(Setup!$G$33:$G$40,MATCH(S1588,Setup!$B$33:$B$40,0)),0)=1)*(COUNTIF(S1558:U1575,$B1588)+COUNTIF(S1558:U1575,$B1588&amp;" ~*")&gt;0)+(IFERROR(INDEX(Setup!$G$33:$G$40,MATCH(W1588,Setup!$B$33:$B$40,0)),0)=1)*(COUNTIF(W1558:W1575,$B1588)+COUNTIF(W1558:W1575,$B1588&amp;" ~*")&gt;0)+(IFERROR(INDEX(Setup!$G$33:$G$40,MATCH(Y1588,Setup!$B$33:$B$40,0)),0)=1)*(COUNTIF(Y1558:Y1575,$B1588)+COUNTIF(Y1558:Y1575,$B1588&amp;" ~*")&gt;0))</f>
        <v/>
      </c>
    </row>
    <row r="1589" ht="15" customHeight="1">
      <c r="A1589" t="n">
        <v>32</v>
      </c>
      <c r="B1589" s="35">
        <f>IF(Setup!$B$18="","",Setup!$B$18)</f>
        <v/>
      </c>
      <c r="C1589" s="98" t="n"/>
      <c r="D1589" s="99" t="n"/>
      <c r="E1589" s="99" t="n"/>
      <c r="F1589" s="100" t="n"/>
      <c r="G1589" s="98" t="n"/>
      <c r="H1589" s="99" t="n"/>
      <c r="I1589" s="99" t="n"/>
      <c r="J1589" s="100" t="n"/>
      <c r="K1589" s="98" t="n"/>
      <c r="L1589" s="99" t="n"/>
      <c r="M1589" s="99" t="n"/>
      <c r="N1589" s="100" t="n"/>
      <c r="O1589" s="98" t="n"/>
      <c r="P1589" s="99" t="n"/>
      <c r="Q1589" s="99" t="n"/>
      <c r="R1589" s="100" t="n"/>
      <c r="S1589" s="98" t="n"/>
      <c r="T1589" s="99" t="n"/>
      <c r="U1589" s="99" t="n"/>
      <c r="V1589" s="100" t="n"/>
      <c r="W1589" s="98" t="n"/>
      <c r="X1589" s="100" t="n"/>
      <c r="Y1589" s="98" t="n"/>
      <c r="Z1589" s="100" t="n"/>
      <c r="AB1589" s="101">
        <f>IF($B1589="","",(COUNTIF(C1558:E1575,$B1589)+COUNTIF(C1558:E1575,$B1589&amp;" ~*")&gt;0)+(COUNTIF(G1558:I1575,$B1589)+COUNTIF(G1558:I1575,$B1589&amp;" ~*")&gt;0)+(COUNTIF(K1558:M1575,$B1589)+COUNTIF(K1558:M1575,$B1589&amp;" ~*")&gt;0)+(COUNTIF(O1558:Q1575,$B1589)+COUNTIF(O1558:Q1575,$B1589&amp;" ~*")&gt;0)+(COUNTIF(S1558:U1575,$B1589)+COUNTIF(S1558:U1575,$B1589&amp;" ~*")&gt;0)+(COUNTIF(W1558:W1575,$B1589)+COUNTIF(W1558:W1575,$B1589&amp;" ~*")&gt;0)+(COUNTIF(Y1558:Y1575,$B1589)+COUNTIF(Y1558:Y1575,$B1589&amp;" ~*")&gt;0))</f>
        <v/>
      </c>
      <c r="AC1589" s="36">
        <f>IF($B1589="","",(IFERROR(INDEX(Setup!$G$33:$G$40,MATCH(C1589,Setup!$B$33:$B$40,0)),0)=1)*(COUNTIF(C1558:E1575,$B1589)+COUNTIF(C1558:E1575,$B1589&amp;" ~*")&gt;0)+(IFERROR(INDEX(Setup!$G$33:$G$40,MATCH(G1589,Setup!$B$33:$B$40,0)),0)=1)*(COUNTIF(G1558:I1575,$B1589)+COUNTIF(G1558:I1575,$B1589&amp;" ~*")&gt;0)+(IFERROR(INDEX(Setup!$G$33:$G$40,MATCH(K1589,Setup!$B$33:$B$40,0)),0)=1)*(COUNTIF(K1558:M1575,$B1589)+COUNTIF(K1558:M1575,$B1589&amp;" ~*")&gt;0)+(IFERROR(INDEX(Setup!$G$33:$G$40,MATCH(O1589,Setup!$B$33:$B$40,0)),0)=1)*(COUNTIF(O1558:Q1575,$B1589)+COUNTIF(O1558:Q1575,$B1589&amp;" ~*")&gt;0)+(IFERROR(INDEX(Setup!$G$33:$G$40,MATCH(S1589,Setup!$B$33:$B$40,0)),0)=1)*(COUNTIF(S1558:U1575,$B1589)+COUNTIF(S1558:U1575,$B1589&amp;" ~*")&gt;0)+(IFERROR(INDEX(Setup!$G$33:$G$40,MATCH(W1589,Setup!$B$33:$B$40,0)),0)=1)*(COUNTIF(W1558:W1575,$B1589)+COUNTIF(W1558:W1575,$B1589&amp;" ~*")&gt;0)+(IFERROR(INDEX(Setup!$G$33:$G$40,MATCH(Y1589,Setup!$B$33:$B$40,0)),0)=1)*(COUNTIF(Y1558:Y1575,$B1589)+COUNTIF(Y1558:Y1575,$B1589&amp;" ~*")&gt;0))</f>
        <v/>
      </c>
    </row>
    <row r="1590" ht="15" customHeight="1">
      <c r="A1590" t="n">
        <v>32</v>
      </c>
      <c r="B1590" s="37">
        <f>IF(Setup!$B$19="","",Setup!$B$19)</f>
        <v/>
      </c>
      <c r="C1590" s="102" t="n"/>
      <c r="D1590" s="103" t="n"/>
      <c r="E1590" s="103" t="n"/>
      <c r="F1590" s="104" t="n"/>
      <c r="G1590" s="102" t="n"/>
      <c r="H1590" s="103" t="n"/>
      <c r="I1590" s="103" t="n"/>
      <c r="J1590" s="104" t="n"/>
      <c r="K1590" s="102" t="n"/>
      <c r="L1590" s="103" t="n"/>
      <c r="M1590" s="103" t="n"/>
      <c r="N1590" s="104" t="n"/>
      <c r="O1590" s="102" t="n"/>
      <c r="P1590" s="103" t="n"/>
      <c r="Q1590" s="103" t="n"/>
      <c r="R1590" s="104" t="n"/>
      <c r="S1590" s="102" t="n"/>
      <c r="T1590" s="103" t="n"/>
      <c r="U1590" s="103" t="n"/>
      <c r="V1590" s="104" t="n"/>
      <c r="W1590" s="102" t="n"/>
      <c r="X1590" s="104" t="n"/>
      <c r="Y1590" s="102" t="n"/>
      <c r="Z1590" s="104" t="n"/>
      <c r="AB1590" s="105">
        <f>IF($B1590="","",(COUNTIF(C1558:E1575,$B1590)+COUNTIF(C1558:E1575,$B1590&amp;" ~*")&gt;0)+(COUNTIF(G1558:I1575,$B1590)+COUNTIF(G1558:I1575,$B1590&amp;" ~*")&gt;0)+(COUNTIF(K1558:M1575,$B1590)+COUNTIF(K1558:M1575,$B1590&amp;" ~*")&gt;0)+(COUNTIF(O1558:Q1575,$B1590)+COUNTIF(O1558:Q1575,$B1590&amp;" ~*")&gt;0)+(COUNTIF(S1558:U1575,$B1590)+COUNTIF(S1558:U1575,$B1590&amp;" ~*")&gt;0)+(COUNTIF(W1558:W1575,$B1590)+COUNTIF(W1558:W1575,$B1590&amp;" ~*")&gt;0)+(COUNTIF(Y1558:Y1575,$B1590)+COUNTIF(Y1558:Y1575,$B1590&amp;" ~*")&gt;0))</f>
        <v/>
      </c>
      <c r="AC1590" s="38">
        <f>IF($B1590="","",(IFERROR(INDEX(Setup!$G$33:$G$40,MATCH(C1590,Setup!$B$33:$B$40,0)),0)=1)*(COUNTIF(C1558:E1575,$B1590)+COUNTIF(C1558:E1575,$B1590&amp;" ~*")&gt;0)+(IFERROR(INDEX(Setup!$G$33:$G$40,MATCH(G1590,Setup!$B$33:$B$40,0)),0)=1)*(COUNTIF(G1558:I1575,$B1590)+COUNTIF(G1558:I1575,$B1590&amp;" ~*")&gt;0)+(IFERROR(INDEX(Setup!$G$33:$G$40,MATCH(K1590,Setup!$B$33:$B$40,0)),0)=1)*(COUNTIF(K1558:M1575,$B1590)+COUNTIF(K1558:M1575,$B1590&amp;" ~*")&gt;0)+(IFERROR(INDEX(Setup!$G$33:$G$40,MATCH(O1590,Setup!$B$33:$B$40,0)),0)=1)*(COUNTIF(O1558:Q1575,$B1590)+COUNTIF(O1558:Q1575,$B1590&amp;" ~*")&gt;0)+(IFERROR(INDEX(Setup!$G$33:$G$40,MATCH(S1590,Setup!$B$33:$B$40,0)),0)=1)*(COUNTIF(S1558:U1575,$B1590)+COUNTIF(S1558:U1575,$B1590&amp;" ~*")&gt;0)+(IFERROR(INDEX(Setup!$G$33:$G$40,MATCH(W1590,Setup!$B$33:$B$40,0)),0)=1)*(COUNTIF(W1558:W1575,$B1590)+COUNTIF(W1558:W1575,$B1590&amp;" ~*")&gt;0)+(IFERROR(INDEX(Setup!$G$33:$G$40,MATCH(Y1590,Setup!$B$33:$B$40,0)),0)=1)*(COUNTIF(Y1558:Y1575,$B1590)+COUNTIF(Y1558:Y1575,$B1590&amp;" ~*")&gt;0))</f>
        <v/>
      </c>
    </row>
    <row r="1591" ht="15" customHeight="1">
      <c r="A1591" t="n">
        <v>32</v>
      </c>
      <c r="B1591" s="35">
        <f>IF(Setup!$B$20="","",Setup!$B$20)</f>
        <v/>
      </c>
      <c r="C1591" s="98" t="n"/>
      <c r="D1591" s="99" t="n"/>
      <c r="E1591" s="99" t="n"/>
      <c r="F1591" s="100" t="n"/>
      <c r="G1591" s="98" t="n"/>
      <c r="H1591" s="99" t="n"/>
      <c r="I1591" s="99" t="n"/>
      <c r="J1591" s="100" t="n"/>
      <c r="K1591" s="98" t="n"/>
      <c r="L1591" s="99" t="n"/>
      <c r="M1591" s="99" t="n"/>
      <c r="N1591" s="100" t="n"/>
      <c r="O1591" s="98" t="n"/>
      <c r="P1591" s="99" t="n"/>
      <c r="Q1591" s="99" t="n"/>
      <c r="R1591" s="100" t="n"/>
      <c r="S1591" s="98" t="n"/>
      <c r="T1591" s="99" t="n"/>
      <c r="U1591" s="99" t="n"/>
      <c r="V1591" s="100" t="n"/>
      <c r="W1591" s="98" t="n"/>
      <c r="X1591" s="100" t="n"/>
      <c r="Y1591" s="98" t="n"/>
      <c r="Z1591" s="100" t="n"/>
      <c r="AB1591" s="101">
        <f>IF($B1591="","",(COUNTIF(C1558:E1575,$B1591)+COUNTIF(C1558:E1575,$B1591&amp;" ~*")&gt;0)+(COUNTIF(G1558:I1575,$B1591)+COUNTIF(G1558:I1575,$B1591&amp;" ~*")&gt;0)+(COUNTIF(K1558:M1575,$B1591)+COUNTIF(K1558:M1575,$B1591&amp;" ~*")&gt;0)+(COUNTIF(O1558:Q1575,$B1591)+COUNTIF(O1558:Q1575,$B1591&amp;" ~*")&gt;0)+(COUNTIF(S1558:U1575,$B1591)+COUNTIF(S1558:U1575,$B1591&amp;" ~*")&gt;0)+(COUNTIF(W1558:W1575,$B1591)+COUNTIF(W1558:W1575,$B1591&amp;" ~*")&gt;0)+(COUNTIF(Y1558:Y1575,$B1591)+COUNTIF(Y1558:Y1575,$B1591&amp;" ~*")&gt;0))</f>
        <v/>
      </c>
      <c r="AC1591" s="36">
        <f>IF($B1591="","",(IFERROR(INDEX(Setup!$G$33:$G$40,MATCH(C1591,Setup!$B$33:$B$40,0)),0)=1)*(COUNTIF(C1558:E1575,$B1591)+COUNTIF(C1558:E1575,$B1591&amp;" ~*")&gt;0)+(IFERROR(INDEX(Setup!$G$33:$G$40,MATCH(G1591,Setup!$B$33:$B$40,0)),0)=1)*(COUNTIF(G1558:I1575,$B1591)+COUNTIF(G1558:I1575,$B1591&amp;" ~*")&gt;0)+(IFERROR(INDEX(Setup!$G$33:$G$40,MATCH(K1591,Setup!$B$33:$B$40,0)),0)=1)*(COUNTIF(K1558:M1575,$B1591)+COUNTIF(K1558:M1575,$B1591&amp;" ~*")&gt;0)+(IFERROR(INDEX(Setup!$G$33:$G$40,MATCH(O1591,Setup!$B$33:$B$40,0)),0)=1)*(COUNTIF(O1558:Q1575,$B1591)+COUNTIF(O1558:Q1575,$B1591&amp;" ~*")&gt;0)+(IFERROR(INDEX(Setup!$G$33:$G$40,MATCH(S1591,Setup!$B$33:$B$40,0)),0)=1)*(COUNTIF(S1558:U1575,$B1591)+COUNTIF(S1558:U1575,$B1591&amp;" ~*")&gt;0)+(IFERROR(INDEX(Setup!$G$33:$G$40,MATCH(W1591,Setup!$B$33:$B$40,0)),0)=1)*(COUNTIF(W1558:W1575,$B1591)+COUNTIF(W1558:W1575,$B1591&amp;" ~*")&gt;0)+(IFERROR(INDEX(Setup!$G$33:$G$40,MATCH(Y1591,Setup!$B$33:$B$40,0)),0)=1)*(COUNTIF(Y1558:Y1575,$B1591)+COUNTIF(Y1558:Y1575,$B1591&amp;" ~*")&gt;0))</f>
        <v/>
      </c>
    </row>
    <row r="1592" ht="15" customHeight="1">
      <c r="A1592" t="n">
        <v>32</v>
      </c>
      <c r="B1592" s="37">
        <f>IF(Setup!$B$21="","",Setup!$B$21)</f>
        <v/>
      </c>
      <c r="C1592" s="102" t="n"/>
      <c r="D1592" s="103" t="n"/>
      <c r="E1592" s="103" t="n"/>
      <c r="F1592" s="104" t="n"/>
      <c r="G1592" s="102" t="n"/>
      <c r="H1592" s="103" t="n"/>
      <c r="I1592" s="103" t="n"/>
      <c r="J1592" s="104" t="n"/>
      <c r="K1592" s="102" t="n"/>
      <c r="L1592" s="103" t="n"/>
      <c r="M1592" s="103" t="n"/>
      <c r="N1592" s="104" t="n"/>
      <c r="O1592" s="102" t="n"/>
      <c r="P1592" s="103" t="n"/>
      <c r="Q1592" s="103" t="n"/>
      <c r="R1592" s="104" t="n"/>
      <c r="S1592" s="102" t="n"/>
      <c r="T1592" s="103" t="n"/>
      <c r="U1592" s="103" t="n"/>
      <c r="V1592" s="104" t="n"/>
      <c r="W1592" s="102" t="n"/>
      <c r="X1592" s="104" t="n"/>
      <c r="Y1592" s="102" t="n"/>
      <c r="Z1592" s="104" t="n"/>
      <c r="AB1592" s="105">
        <f>IF($B1592="","",(COUNTIF(C1558:E1575,$B1592)+COUNTIF(C1558:E1575,$B1592&amp;" ~*")&gt;0)+(COUNTIF(G1558:I1575,$B1592)+COUNTIF(G1558:I1575,$B1592&amp;" ~*")&gt;0)+(COUNTIF(K1558:M1575,$B1592)+COUNTIF(K1558:M1575,$B1592&amp;" ~*")&gt;0)+(COUNTIF(O1558:Q1575,$B1592)+COUNTIF(O1558:Q1575,$B1592&amp;" ~*")&gt;0)+(COUNTIF(S1558:U1575,$B1592)+COUNTIF(S1558:U1575,$B1592&amp;" ~*")&gt;0)+(COUNTIF(W1558:W1575,$B1592)+COUNTIF(W1558:W1575,$B1592&amp;" ~*")&gt;0)+(COUNTIF(Y1558:Y1575,$B1592)+COUNTIF(Y1558:Y1575,$B1592&amp;" ~*")&gt;0))</f>
        <v/>
      </c>
      <c r="AC1592" s="38">
        <f>IF($B1592="","",(IFERROR(INDEX(Setup!$G$33:$G$40,MATCH(C1592,Setup!$B$33:$B$40,0)),0)=1)*(COUNTIF(C1558:E1575,$B1592)+COUNTIF(C1558:E1575,$B1592&amp;" ~*")&gt;0)+(IFERROR(INDEX(Setup!$G$33:$G$40,MATCH(G1592,Setup!$B$33:$B$40,0)),0)=1)*(COUNTIF(G1558:I1575,$B1592)+COUNTIF(G1558:I1575,$B1592&amp;" ~*")&gt;0)+(IFERROR(INDEX(Setup!$G$33:$G$40,MATCH(K1592,Setup!$B$33:$B$40,0)),0)=1)*(COUNTIF(K1558:M1575,$B1592)+COUNTIF(K1558:M1575,$B1592&amp;" ~*")&gt;0)+(IFERROR(INDEX(Setup!$G$33:$G$40,MATCH(O1592,Setup!$B$33:$B$40,0)),0)=1)*(COUNTIF(O1558:Q1575,$B1592)+COUNTIF(O1558:Q1575,$B1592&amp;" ~*")&gt;0)+(IFERROR(INDEX(Setup!$G$33:$G$40,MATCH(S1592,Setup!$B$33:$B$40,0)),0)=1)*(COUNTIF(S1558:U1575,$B1592)+COUNTIF(S1558:U1575,$B1592&amp;" ~*")&gt;0)+(IFERROR(INDEX(Setup!$G$33:$G$40,MATCH(W1592,Setup!$B$33:$B$40,0)),0)=1)*(COUNTIF(W1558:W1575,$B1592)+COUNTIF(W1558:W1575,$B1592&amp;" ~*")&gt;0)+(IFERROR(INDEX(Setup!$G$33:$G$40,MATCH(Y1592,Setup!$B$33:$B$40,0)),0)=1)*(COUNTIF(Y1558:Y1575,$B1592)+COUNTIF(Y1558:Y1575,$B1592&amp;" ~*")&gt;0))</f>
        <v/>
      </c>
    </row>
    <row r="1593" ht="15" customHeight="1">
      <c r="A1593" t="n">
        <v>32</v>
      </c>
      <c r="B1593" s="35">
        <f>IF(Setup!$B$22="","",Setup!$B$22)</f>
        <v/>
      </c>
      <c r="C1593" s="98" t="n"/>
      <c r="D1593" s="99" t="n"/>
      <c r="E1593" s="99" t="n"/>
      <c r="F1593" s="100" t="n"/>
      <c r="G1593" s="98" t="n"/>
      <c r="H1593" s="99" t="n"/>
      <c r="I1593" s="99" t="n"/>
      <c r="J1593" s="100" t="n"/>
      <c r="K1593" s="98" t="n"/>
      <c r="L1593" s="99" t="n"/>
      <c r="M1593" s="99" t="n"/>
      <c r="N1593" s="100" t="n"/>
      <c r="O1593" s="98" t="n"/>
      <c r="P1593" s="99" t="n"/>
      <c r="Q1593" s="99" t="n"/>
      <c r="R1593" s="100" t="n"/>
      <c r="S1593" s="98" t="n"/>
      <c r="T1593" s="99" t="n"/>
      <c r="U1593" s="99" t="n"/>
      <c r="V1593" s="100" t="n"/>
      <c r="W1593" s="98" t="n"/>
      <c r="X1593" s="100" t="n"/>
      <c r="Y1593" s="98" t="n"/>
      <c r="Z1593" s="100" t="n"/>
      <c r="AB1593" s="101">
        <f>IF($B1593="","",(COUNTIF(C1558:E1575,$B1593)+COUNTIF(C1558:E1575,$B1593&amp;" ~*")&gt;0)+(COUNTIF(G1558:I1575,$B1593)+COUNTIF(G1558:I1575,$B1593&amp;" ~*")&gt;0)+(COUNTIF(K1558:M1575,$B1593)+COUNTIF(K1558:M1575,$B1593&amp;" ~*")&gt;0)+(COUNTIF(O1558:Q1575,$B1593)+COUNTIF(O1558:Q1575,$B1593&amp;" ~*")&gt;0)+(COUNTIF(S1558:U1575,$B1593)+COUNTIF(S1558:U1575,$B1593&amp;" ~*")&gt;0)+(COUNTIF(W1558:W1575,$B1593)+COUNTIF(W1558:W1575,$B1593&amp;" ~*")&gt;0)+(COUNTIF(Y1558:Y1575,$B1593)+COUNTIF(Y1558:Y1575,$B1593&amp;" ~*")&gt;0))</f>
        <v/>
      </c>
      <c r="AC1593" s="36">
        <f>IF($B1593="","",(IFERROR(INDEX(Setup!$G$33:$G$40,MATCH(C1593,Setup!$B$33:$B$40,0)),0)=1)*(COUNTIF(C1558:E1575,$B1593)+COUNTIF(C1558:E1575,$B1593&amp;" ~*")&gt;0)+(IFERROR(INDEX(Setup!$G$33:$G$40,MATCH(G1593,Setup!$B$33:$B$40,0)),0)=1)*(COUNTIF(G1558:I1575,$B1593)+COUNTIF(G1558:I1575,$B1593&amp;" ~*")&gt;0)+(IFERROR(INDEX(Setup!$G$33:$G$40,MATCH(K1593,Setup!$B$33:$B$40,0)),0)=1)*(COUNTIF(K1558:M1575,$B1593)+COUNTIF(K1558:M1575,$B1593&amp;" ~*")&gt;0)+(IFERROR(INDEX(Setup!$G$33:$G$40,MATCH(O1593,Setup!$B$33:$B$40,0)),0)=1)*(COUNTIF(O1558:Q1575,$B1593)+COUNTIF(O1558:Q1575,$B1593&amp;" ~*")&gt;0)+(IFERROR(INDEX(Setup!$G$33:$G$40,MATCH(S1593,Setup!$B$33:$B$40,0)),0)=1)*(COUNTIF(S1558:U1575,$B1593)+COUNTIF(S1558:U1575,$B1593&amp;" ~*")&gt;0)+(IFERROR(INDEX(Setup!$G$33:$G$40,MATCH(W1593,Setup!$B$33:$B$40,0)),0)=1)*(COUNTIF(W1558:W1575,$B1593)+COUNTIF(W1558:W1575,$B1593&amp;" ~*")&gt;0)+(IFERROR(INDEX(Setup!$G$33:$G$40,MATCH(Y1593,Setup!$B$33:$B$40,0)),0)=1)*(COUNTIF(Y1558:Y1575,$B1593)+COUNTIF(Y1558:Y1575,$B1593&amp;" ~*")&gt;0))</f>
        <v/>
      </c>
    </row>
    <row r="1594" ht="15" customHeight="1">
      <c r="A1594" t="n">
        <v>32</v>
      </c>
      <c r="B1594" s="37">
        <f>IF(Setup!$B$23="","",Setup!$B$23)</f>
        <v/>
      </c>
      <c r="C1594" s="102" t="n"/>
      <c r="D1594" s="103" t="n"/>
      <c r="E1594" s="103" t="n"/>
      <c r="F1594" s="104" t="n"/>
      <c r="G1594" s="102" t="n"/>
      <c r="H1594" s="103" t="n"/>
      <c r="I1594" s="103" t="n"/>
      <c r="J1594" s="104" t="n"/>
      <c r="K1594" s="102" t="n"/>
      <c r="L1594" s="103" t="n"/>
      <c r="M1594" s="103" t="n"/>
      <c r="N1594" s="104" t="n"/>
      <c r="O1594" s="102" t="n"/>
      <c r="P1594" s="103" t="n"/>
      <c r="Q1594" s="103" t="n"/>
      <c r="R1594" s="104" t="n"/>
      <c r="S1594" s="102" t="n"/>
      <c r="T1594" s="103" t="n"/>
      <c r="U1594" s="103" t="n"/>
      <c r="V1594" s="104" t="n"/>
      <c r="W1594" s="102" t="n"/>
      <c r="X1594" s="104" t="n"/>
      <c r="Y1594" s="102" t="n"/>
      <c r="Z1594" s="104" t="n"/>
      <c r="AB1594" s="105">
        <f>IF($B1594="","",(COUNTIF(C1558:E1575,$B1594)+COUNTIF(C1558:E1575,$B1594&amp;" ~*")&gt;0)+(COUNTIF(G1558:I1575,$B1594)+COUNTIF(G1558:I1575,$B1594&amp;" ~*")&gt;0)+(COUNTIF(K1558:M1575,$B1594)+COUNTIF(K1558:M1575,$B1594&amp;" ~*")&gt;0)+(COUNTIF(O1558:Q1575,$B1594)+COUNTIF(O1558:Q1575,$B1594&amp;" ~*")&gt;0)+(COUNTIF(S1558:U1575,$B1594)+COUNTIF(S1558:U1575,$B1594&amp;" ~*")&gt;0)+(COUNTIF(W1558:W1575,$B1594)+COUNTIF(W1558:W1575,$B1594&amp;" ~*")&gt;0)+(COUNTIF(Y1558:Y1575,$B1594)+COUNTIF(Y1558:Y1575,$B1594&amp;" ~*")&gt;0))</f>
        <v/>
      </c>
      <c r="AC1594" s="38">
        <f>IF($B1594="","",(IFERROR(INDEX(Setup!$G$33:$G$40,MATCH(C1594,Setup!$B$33:$B$40,0)),0)=1)*(COUNTIF(C1558:E1575,$B1594)+COUNTIF(C1558:E1575,$B1594&amp;" ~*")&gt;0)+(IFERROR(INDEX(Setup!$G$33:$G$40,MATCH(G1594,Setup!$B$33:$B$40,0)),0)=1)*(COUNTIF(G1558:I1575,$B1594)+COUNTIF(G1558:I1575,$B1594&amp;" ~*")&gt;0)+(IFERROR(INDEX(Setup!$G$33:$G$40,MATCH(K1594,Setup!$B$33:$B$40,0)),0)=1)*(COUNTIF(K1558:M1575,$B1594)+COUNTIF(K1558:M1575,$B1594&amp;" ~*")&gt;0)+(IFERROR(INDEX(Setup!$G$33:$G$40,MATCH(O1594,Setup!$B$33:$B$40,0)),0)=1)*(COUNTIF(O1558:Q1575,$B1594)+COUNTIF(O1558:Q1575,$B1594&amp;" ~*")&gt;0)+(IFERROR(INDEX(Setup!$G$33:$G$40,MATCH(S1594,Setup!$B$33:$B$40,0)),0)=1)*(COUNTIF(S1558:U1575,$B1594)+COUNTIF(S1558:U1575,$B1594&amp;" ~*")&gt;0)+(IFERROR(INDEX(Setup!$G$33:$G$40,MATCH(W1594,Setup!$B$33:$B$40,0)),0)=1)*(COUNTIF(W1558:W1575,$B1594)+COUNTIF(W1558:W1575,$B1594&amp;" ~*")&gt;0)+(IFERROR(INDEX(Setup!$G$33:$G$40,MATCH(Y1594,Setup!$B$33:$B$40,0)),0)=1)*(COUNTIF(Y1558:Y1575,$B1594)+COUNTIF(Y1558:Y1575,$B1594&amp;" ~*")&gt;0))</f>
        <v/>
      </c>
    </row>
    <row r="1595" ht="15" customHeight="1">
      <c r="A1595" t="n">
        <v>32</v>
      </c>
      <c r="B1595" s="35">
        <f>IF(Setup!$B$24="","",Setup!$B$24)</f>
        <v/>
      </c>
      <c r="C1595" s="98" t="n"/>
      <c r="D1595" s="99" t="n"/>
      <c r="E1595" s="99" t="n"/>
      <c r="F1595" s="100" t="n"/>
      <c r="G1595" s="98" t="n"/>
      <c r="H1595" s="99" t="n"/>
      <c r="I1595" s="99" t="n"/>
      <c r="J1595" s="100" t="n"/>
      <c r="K1595" s="98" t="n"/>
      <c r="L1595" s="99" t="n"/>
      <c r="M1595" s="99" t="n"/>
      <c r="N1595" s="100" t="n"/>
      <c r="O1595" s="98" t="n"/>
      <c r="P1595" s="99" t="n"/>
      <c r="Q1595" s="99" t="n"/>
      <c r="R1595" s="100" t="n"/>
      <c r="S1595" s="98" t="n"/>
      <c r="T1595" s="99" t="n"/>
      <c r="U1595" s="99" t="n"/>
      <c r="V1595" s="100" t="n"/>
      <c r="W1595" s="98" t="n"/>
      <c r="X1595" s="100" t="n"/>
      <c r="Y1595" s="98" t="n"/>
      <c r="Z1595" s="100" t="n"/>
      <c r="AB1595" s="101">
        <f>IF($B1595="","",(COUNTIF(C1558:E1575,$B1595)+COUNTIF(C1558:E1575,$B1595&amp;" ~*")&gt;0)+(COUNTIF(G1558:I1575,$B1595)+COUNTIF(G1558:I1575,$B1595&amp;" ~*")&gt;0)+(COUNTIF(K1558:M1575,$B1595)+COUNTIF(K1558:M1575,$B1595&amp;" ~*")&gt;0)+(COUNTIF(O1558:Q1575,$B1595)+COUNTIF(O1558:Q1575,$B1595&amp;" ~*")&gt;0)+(COUNTIF(S1558:U1575,$B1595)+COUNTIF(S1558:U1575,$B1595&amp;" ~*")&gt;0)+(COUNTIF(W1558:W1575,$B1595)+COUNTIF(W1558:W1575,$B1595&amp;" ~*")&gt;0)+(COUNTIF(Y1558:Y1575,$B1595)+COUNTIF(Y1558:Y1575,$B1595&amp;" ~*")&gt;0))</f>
        <v/>
      </c>
      <c r="AC1595" s="36">
        <f>IF($B1595="","",(IFERROR(INDEX(Setup!$G$33:$G$40,MATCH(C1595,Setup!$B$33:$B$40,0)),0)=1)*(COUNTIF(C1558:E1575,$B1595)+COUNTIF(C1558:E1575,$B1595&amp;" ~*")&gt;0)+(IFERROR(INDEX(Setup!$G$33:$G$40,MATCH(G1595,Setup!$B$33:$B$40,0)),0)=1)*(COUNTIF(G1558:I1575,$B1595)+COUNTIF(G1558:I1575,$B1595&amp;" ~*")&gt;0)+(IFERROR(INDEX(Setup!$G$33:$G$40,MATCH(K1595,Setup!$B$33:$B$40,0)),0)=1)*(COUNTIF(K1558:M1575,$B1595)+COUNTIF(K1558:M1575,$B1595&amp;" ~*")&gt;0)+(IFERROR(INDEX(Setup!$G$33:$G$40,MATCH(O1595,Setup!$B$33:$B$40,0)),0)=1)*(COUNTIF(O1558:Q1575,$B1595)+COUNTIF(O1558:Q1575,$B1595&amp;" ~*")&gt;0)+(IFERROR(INDEX(Setup!$G$33:$G$40,MATCH(S1595,Setup!$B$33:$B$40,0)),0)=1)*(COUNTIF(S1558:U1575,$B1595)+COUNTIF(S1558:U1575,$B1595&amp;" ~*")&gt;0)+(IFERROR(INDEX(Setup!$G$33:$G$40,MATCH(W1595,Setup!$B$33:$B$40,0)),0)=1)*(COUNTIF(W1558:W1575,$B1595)+COUNTIF(W1558:W1575,$B1595&amp;" ~*")&gt;0)+(IFERROR(INDEX(Setup!$G$33:$G$40,MATCH(Y1595,Setup!$B$33:$B$40,0)),0)=1)*(COUNTIF(Y1558:Y1575,$B1595)+COUNTIF(Y1558:Y1575,$B1595&amp;" ~*")&gt;0))</f>
        <v/>
      </c>
    </row>
    <row r="1596" ht="15" customHeight="1">
      <c r="A1596" t="n">
        <v>32</v>
      </c>
      <c r="B1596" s="37">
        <f>IF(Setup!$B$25="","",Setup!$B$25)</f>
        <v/>
      </c>
      <c r="C1596" s="102" t="n"/>
      <c r="D1596" s="103" t="n"/>
      <c r="E1596" s="103" t="n"/>
      <c r="F1596" s="104" t="n"/>
      <c r="G1596" s="102" t="n"/>
      <c r="H1596" s="103" t="n"/>
      <c r="I1596" s="103" t="n"/>
      <c r="J1596" s="104" t="n"/>
      <c r="K1596" s="102" t="n"/>
      <c r="L1596" s="103" t="n"/>
      <c r="M1596" s="103" t="n"/>
      <c r="N1596" s="104" t="n"/>
      <c r="O1596" s="102" t="n"/>
      <c r="P1596" s="103" t="n"/>
      <c r="Q1596" s="103" t="n"/>
      <c r="R1596" s="104" t="n"/>
      <c r="S1596" s="102" t="n"/>
      <c r="T1596" s="103" t="n"/>
      <c r="U1596" s="103" t="n"/>
      <c r="V1596" s="104" t="n"/>
      <c r="W1596" s="102" t="n"/>
      <c r="X1596" s="104" t="n"/>
      <c r="Y1596" s="102" t="n"/>
      <c r="Z1596" s="104" t="n"/>
      <c r="AB1596" s="105">
        <f>IF($B1596="","",(COUNTIF(C1558:E1575,$B1596)+COUNTIF(C1558:E1575,$B1596&amp;" ~*")&gt;0)+(COUNTIF(G1558:I1575,$B1596)+COUNTIF(G1558:I1575,$B1596&amp;" ~*")&gt;0)+(COUNTIF(K1558:M1575,$B1596)+COUNTIF(K1558:M1575,$B1596&amp;" ~*")&gt;0)+(COUNTIF(O1558:Q1575,$B1596)+COUNTIF(O1558:Q1575,$B1596&amp;" ~*")&gt;0)+(COUNTIF(S1558:U1575,$B1596)+COUNTIF(S1558:U1575,$B1596&amp;" ~*")&gt;0)+(COUNTIF(W1558:W1575,$B1596)+COUNTIF(W1558:W1575,$B1596&amp;" ~*")&gt;0)+(COUNTIF(Y1558:Y1575,$B1596)+COUNTIF(Y1558:Y1575,$B1596&amp;" ~*")&gt;0))</f>
        <v/>
      </c>
      <c r="AC1596" s="38">
        <f>IF($B1596="","",(IFERROR(INDEX(Setup!$G$33:$G$40,MATCH(C1596,Setup!$B$33:$B$40,0)),0)=1)*(COUNTIF(C1558:E1575,$B1596)+COUNTIF(C1558:E1575,$B1596&amp;" ~*")&gt;0)+(IFERROR(INDEX(Setup!$G$33:$G$40,MATCH(G1596,Setup!$B$33:$B$40,0)),0)=1)*(COUNTIF(G1558:I1575,$B1596)+COUNTIF(G1558:I1575,$B1596&amp;" ~*")&gt;0)+(IFERROR(INDEX(Setup!$G$33:$G$40,MATCH(K1596,Setup!$B$33:$B$40,0)),0)=1)*(COUNTIF(K1558:M1575,$B1596)+COUNTIF(K1558:M1575,$B1596&amp;" ~*")&gt;0)+(IFERROR(INDEX(Setup!$G$33:$G$40,MATCH(O1596,Setup!$B$33:$B$40,0)),0)=1)*(COUNTIF(O1558:Q1575,$B1596)+COUNTIF(O1558:Q1575,$B1596&amp;" ~*")&gt;0)+(IFERROR(INDEX(Setup!$G$33:$G$40,MATCH(S1596,Setup!$B$33:$B$40,0)),0)=1)*(COUNTIF(S1558:U1575,$B1596)+COUNTIF(S1558:U1575,$B1596&amp;" ~*")&gt;0)+(IFERROR(INDEX(Setup!$G$33:$G$40,MATCH(W1596,Setup!$B$33:$B$40,0)),0)=1)*(COUNTIF(W1558:W1575,$B1596)+COUNTIF(W1558:W1575,$B1596&amp;" ~*")&gt;0)+(IFERROR(INDEX(Setup!$G$33:$G$40,MATCH(Y1596,Setup!$B$33:$B$40,0)),0)=1)*(COUNTIF(Y1558:Y1575,$B1596)+COUNTIF(Y1558:Y1575,$B1596&amp;" ~*")&gt;0))</f>
        <v/>
      </c>
    </row>
    <row r="1597" ht="15" customHeight="1">
      <c r="A1597" t="n">
        <v>32</v>
      </c>
      <c r="B1597" s="35">
        <f>IF(Setup!$B$26="","",Setup!$B$26)</f>
        <v/>
      </c>
      <c r="C1597" s="98" t="n"/>
      <c r="D1597" s="99" t="n"/>
      <c r="E1597" s="99" t="n"/>
      <c r="F1597" s="100" t="n"/>
      <c r="G1597" s="98" t="n"/>
      <c r="H1597" s="99" t="n"/>
      <c r="I1597" s="99" t="n"/>
      <c r="J1597" s="100" t="n"/>
      <c r="K1597" s="98" t="n"/>
      <c r="L1597" s="99" t="n"/>
      <c r="M1597" s="99" t="n"/>
      <c r="N1597" s="100" t="n"/>
      <c r="O1597" s="98" t="n"/>
      <c r="P1597" s="99" t="n"/>
      <c r="Q1597" s="99" t="n"/>
      <c r="R1597" s="100" t="n"/>
      <c r="S1597" s="98" t="n"/>
      <c r="T1597" s="99" t="n"/>
      <c r="U1597" s="99" t="n"/>
      <c r="V1597" s="100" t="n"/>
      <c r="W1597" s="98" t="n"/>
      <c r="X1597" s="100" t="n"/>
      <c r="Y1597" s="98" t="n"/>
      <c r="Z1597" s="100" t="n"/>
      <c r="AB1597" s="101">
        <f>IF($B1597="","",(COUNTIF(C1558:E1575,$B1597)+COUNTIF(C1558:E1575,$B1597&amp;" ~*")&gt;0)+(COUNTIF(G1558:I1575,$B1597)+COUNTIF(G1558:I1575,$B1597&amp;" ~*")&gt;0)+(COUNTIF(K1558:M1575,$B1597)+COUNTIF(K1558:M1575,$B1597&amp;" ~*")&gt;0)+(COUNTIF(O1558:Q1575,$B1597)+COUNTIF(O1558:Q1575,$B1597&amp;" ~*")&gt;0)+(COUNTIF(S1558:U1575,$B1597)+COUNTIF(S1558:U1575,$B1597&amp;" ~*")&gt;0)+(COUNTIF(W1558:W1575,$B1597)+COUNTIF(W1558:W1575,$B1597&amp;" ~*")&gt;0)+(COUNTIF(Y1558:Y1575,$B1597)+COUNTIF(Y1558:Y1575,$B1597&amp;" ~*")&gt;0))</f>
        <v/>
      </c>
      <c r="AC1597" s="36">
        <f>IF($B1597="","",(IFERROR(INDEX(Setup!$G$33:$G$40,MATCH(C1597,Setup!$B$33:$B$40,0)),0)=1)*(COUNTIF(C1558:E1575,$B1597)+COUNTIF(C1558:E1575,$B1597&amp;" ~*")&gt;0)+(IFERROR(INDEX(Setup!$G$33:$G$40,MATCH(G1597,Setup!$B$33:$B$40,0)),0)=1)*(COUNTIF(G1558:I1575,$B1597)+COUNTIF(G1558:I1575,$B1597&amp;" ~*")&gt;0)+(IFERROR(INDEX(Setup!$G$33:$G$40,MATCH(K1597,Setup!$B$33:$B$40,0)),0)=1)*(COUNTIF(K1558:M1575,$B1597)+COUNTIF(K1558:M1575,$B1597&amp;" ~*")&gt;0)+(IFERROR(INDEX(Setup!$G$33:$G$40,MATCH(O1597,Setup!$B$33:$B$40,0)),0)=1)*(COUNTIF(O1558:Q1575,$B1597)+COUNTIF(O1558:Q1575,$B1597&amp;" ~*")&gt;0)+(IFERROR(INDEX(Setup!$G$33:$G$40,MATCH(S1597,Setup!$B$33:$B$40,0)),0)=1)*(COUNTIF(S1558:U1575,$B1597)+COUNTIF(S1558:U1575,$B1597&amp;" ~*")&gt;0)+(IFERROR(INDEX(Setup!$G$33:$G$40,MATCH(W1597,Setup!$B$33:$B$40,0)),0)=1)*(COUNTIF(W1558:W1575,$B1597)+COUNTIF(W1558:W1575,$B1597&amp;" ~*")&gt;0)+(IFERROR(INDEX(Setup!$G$33:$G$40,MATCH(Y1597,Setup!$B$33:$B$40,0)),0)=1)*(COUNTIF(Y1558:Y1575,$B1597)+COUNTIF(Y1558:Y1575,$B1597&amp;" ~*")&gt;0))</f>
        <v/>
      </c>
    </row>
    <row r="1598" ht="15" customHeight="1">
      <c r="A1598" t="n">
        <v>32</v>
      </c>
      <c r="B1598" s="37">
        <f>IF(Setup!$B$27="","",Setup!$B$27)</f>
        <v/>
      </c>
      <c r="C1598" s="102" t="n"/>
      <c r="D1598" s="103" t="n"/>
      <c r="E1598" s="103" t="n"/>
      <c r="F1598" s="104" t="n"/>
      <c r="G1598" s="102" t="n"/>
      <c r="H1598" s="103" t="n"/>
      <c r="I1598" s="103" t="n"/>
      <c r="J1598" s="104" t="n"/>
      <c r="K1598" s="102" t="n"/>
      <c r="L1598" s="103" t="n"/>
      <c r="M1598" s="103" t="n"/>
      <c r="N1598" s="104" t="n"/>
      <c r="O1598" s="102" t="n"/>
      <c r="P1598" s="103" t="n"/>
      <c r="Q1598" s="103" t="n"/>
      <c r="R1598" s="104" t="n"/>
      <c r="S1598" s="102" t="n"/>
      <c r="T1598" s="103" t="n"/>
      <c r="U1598" s="103" t="n"/>
      <c r="V1598" s="104" t="n"/>
      <c r="W1598" s="102" t="n"/>
      <c r="X1598" s="104" t="n"/>
      <c r="Y1598" s="102" t="n"/>
      <c r="Z1598" s="104" t="n"/>
      <c r="AB1598" s="105">
        <f>IF($B1598="","",(COUNTIF(C1558:E1575,$B1598)+COUNTIF(C1558:E1575,$B1598&amp;" ~*")&gt;0)+(COUNTIF(G1558:I1575,$B1598)+COUNTIF(G1558:I1575,$B1598&amp;" ~*")&gt;0)+(COUNTIF(K1558:M1575,$B1598)+COUNTIF(K1558:M1575,$B1598&amp;" ~*")&gt;0)+(COUNTIF(O1558:Q1575,$B1598)+COUNTIF(O1558:Q1575,$B1598&amp;" ~*")&gt;0)+(COUNTIF(S1558:U1575,$B1598)+COUNTIF(S1558:U1575,$B1598&amp;" ~*")&gt;0)+(COUNTIF(W1558:W1575,$B1598)+COUNTIF(W1558:W1575,$B1598&amp;" ~*")&gt;0)+(COUNTIF(Y1558:Y1575,$B1598)+COUNTIF(Y1558:Y1575,$B1598&amp;" ~*")&gt;0))</f>
        <v/>
      </c>
      <c r="AC1598" s="38">
        <f>IF($B1598="","",(IFERROR(INDEX(Setup!$G$33:$G$40,MATCH(C1598,Setup!$B$33:$B$40,0)),0)=1)*(COUNTIF(C1558:E1575,$B1598)+COUNTIF(C1558:E1575,$B1598&amp;" ~*")&gt;0)+(IFERROR(INDEX(Setup!$G$33:$G$40,MATCH(G1598,Setup!$B$33:$B$40,0)),0)=1)*(COUNTIF(G1558:I1575,$B1598)+COUNTIF(G1558:I1575,$B1598&amp;" ~*")&gt;0)+(IFERROR(INDEX(Setup!$G$33:$G$40,MATCH(K1598,Setup!$B$33:$B$40,0)),0)=1)*(COUNTIF(K1558:M1575,$B1598)+COUNTIF(K1558:M1575,$B1598&amp;" ~*")&gt;0)+(IFERROR(INDEX(Setup!$G$33:$G$40,MATCH(O1598,Setup!$B$33:$B$40,0)),0)=1)*(COUNTIF(O1558:Q1575,$B1598)+COUNTIF(O1558:Q1575,$B1598&amp;" ~*")&gt;0)+(IFERROR(INDEX(Setup!$G$33:$G$40,MATCH(S1598,Setup!$B$33:$B$40,0)),0)=1)*(COUNTIF(S1558:U1575,$B1598)+COUNTIF(S1558:U1575,$B1598&amp;" ~*")&gt;0)+(IFERROR(INDEX(Setup!$G$33:$G$40,MATCH(W1598,Setup!$B$33:$B$40,0)),0)=1)*(COUNTIF(W1558:W1575,$B1598)+COUNTIF(W1558:W1575,$B1598&amp;" ~*")&gt;0)+(IFERROR(INDEX(Setup!$G$33:$G$40,MATCH(Y1598,Setup!$B$33:$B$40,0)),0)=1)*(COUNTIF(Y1558:Y1575,$B1598)+COUNTIF(Y1558:Y1575,$B1598&amp;" ~*")&gt;0))</f>
        <v/>
      </c>
    </row>
    <row r="1599" ht="15" customHeight="1">
      <c r="A1599" t="n">
        <v>32</v>
      </c>
      <c r="B1599" s="35">
        <f>IF(Setup!$B$28="","",Setup!$B$28)</f>
        <v/>
      </c>
      <c r="C1599" s="98" t="n"/>
      <c r="D1599" s="99" t="n"/>
      <c r="E1599" s="99" t="n"/>
      <c r="F1599" s="100" t="n"/>
      <c r="G1599" s="98" t="n"/>
      <c r="H1599" s="99" t="n"/>
      <c r="I1599" s="99" t="n"/>
      <c r="J1599" s="100" t="n"/>
      <c r="K1599" s="98" t="n"/>
      <c r="L1599" s="99" t="n"/>
      <c r="M1599" s="99" t="n"/>
      <c r="N1599" s="100" t="n"/>
      <c r="O1599" s="98" t="n"/>
      <c r="P1599" s="99" t="n"/>
      <c r="Q1599" s="99" t="n"/>
      <c r="R1599" s="100" t="n"/>
      <c r="S1599" s="98" t="n"/>
      <c r="T1599" s="99" t="n"/>
      <c r="U1599" s="99" t="n"/>
      <c r="V1599" s="100" t="n"/>
      <c r="W1599" s="98" t="n"/>
      <c r="X1599" s="100" t="n"/>
      <c r="Y1599" s="98" t="n"/>
      <c r="Z1599" s="100" t="n"/>
      <c r="AB1599" s="101">
        <f>IF($B1599="","",(COUNTIF(C1558:E1575,$B1599)+COUNTIF(C1558:E1575,$B1599&amp;" ~*")&gt;0)+(COUNTIF(G1558:I1575,$B1599)+COUNTIF(G1558:I1575,$B1599&amp;" ~*")&gt;0)+(COUNTIF(K1558:M1575,$B1599)+COUNTIF(K1558:M1575,$B1599&amp;" ~*")&gt;0)+(COUNTIF(O1558:Q1575,$B1599)+COUNTIF(O1558:Q1575,$B1599&amp;" ~*")&gt;0)+(COUNTIF(S1558:U1575,$B1599)+COUNTIF(S1558:U1575,$B1599&amp;" ~*")&gt;0)+(COUNTIF(W1558:W1575,$B1599)+COUNTIF(W1558:W1575,$B1599&amp;" ~*")&gt;0)+(COUNTIF(Y1558:Y1575,$B1599)+COUNTIF(Y1558:Y1575,$B1599&amp;" ~*")&gt;0))</f>
        <v/>
      </c>
      <c r="AC1599" s="36">
        <f>IF($B1599="","",(IFERROR(INDEX(Setup!$G$33:$G$40,MATCH(C1599,Setup!$B$33:$B$40,0)),0)=1)*(COUNTIF(C1558:E1575,$B1599)+COUNTIF(C1558:E1575,$B1599&amp;" ~*")&gt;0)+(IFERROR(INDEX(Setup!$G$33:$G$40,MATCH(G1599,Setup!$B$33:$B$40,0)),0)=1)*(COUNTIF(G1558:I1575,$B1599)+COUNTIF(G1558:I1575,$B1599&amp;" ~*")&gt;0)+(IFERROR(INDEX(Setup!$G$33:$G$40,MATCH(K1599,Setup!$B$33:$B$40,0)),0)=1)*(COUNTIF(K1558:M1575,$B1599)+COUNTIF(K1558:M1575,$B1599&amp;" ~*")&gt;0)+(IFERROR(INDEX(Setup!$G$33:$G$40,MATCH(O1599,Setup!$B$33:$B$40,0)),0)=1)*(COUNTIF(O1558:Q1575,$B1599)+COUNTIF(O1558:Q1575,$B1599&amp;" ~*")&gt;0)+(IFERROR(INDEX(Setup!$G$33:$G$40,MATCH(S1599,Setup!$B$33:$B$40,0)),0)=1)*(COUNTIF(S1558:U1575,$B1599)+COUNTIF(S1558:U1575,$B1599&amp;" ~*")&gt;0)+(IFERROR(INDEX(Setup!$G$33:$G$40,MATCH(W1599,Setup!$B$33:$B$40,0)),0)=1)*(COUNTIF(W1558:W1575,$B1599)+COUNTIF(W1558:W1575,$B1599&amp;" ~*")&gt;0)+(IFERROR(INDEX(Setup!$G$33:$G$40,MATCH(Y1599,Setup!$B$33:$B$40,0)),0)=1)*(COUNTIF(Y1558:Y1575,$B1599)+COUNTIF(Y1558:Y1575,$B1599&amp;" ~*")&gt;0))</f>
        <v/>
      </c>
    </row>
    <row r="1600" ht="15" customHeight="1">
      <c r="A1600" t="n">
        <v>32</v>
      </c>
      <c r="B1600" s="37">
        <f>IF(Setup!$B$29="","",Setup!$B$29)</f>
        <v/>
      </c>
      <c r="C1600" s="102" t="n"/>
      <c r="D1600" s="103" t="n"/>
      <c r="E1600" s="103" t="n"/>
      <c r="F1600" s="104" t="n"/>
      <c r="G1600" s="102" t="n"/>
      <c r="H1600" s="103" t="n"/>
      <c r="I1600" s="103" t="n"/>
      <c r="J1600" s="104" t="n"/>
      <c r="K1600" s="102" t="n"/>
      <c r="L1600" s="103" t="n"/>
      <c r="M1600" s="103" t="n"/>
      <c r="N1600" s="104" t="n"/>
      <c r="O1600" s="102" t="n"/>
      <c r="P1600" s="103" t="n"/>
      <c r="Q1600" s="103" t="n"/>
      <c r="R1600" s="104" t="n"/>
      <c r="S1600" s="102" t="n"/>
      <c r="T1600" s="103" t="n"/>
      <c r="U1600" s="103" t="n"/>
      <c r="V1600" s="104" t="n"/>
      <c r="W1600" s="102" t="n"/>
      <c r="X1600" s="104" t="n"/>
      <c r="Y1600" s="102" t="n"/>
      <c r="Z1600" s="104" t="n"/>
      <c r="AB1600" s="105">
        <f>IF($B1600="","",(COUNTIF(C1558:E1575,$B1600)+COUNTIF(C1558:E1575,$B1600&amp;" ~*")&gt;0)+(COUNTIF(G1558:I1575,$B1600)+COUNTIF(G1558:I1575,$B1600&amp;" ~*")&gt;0)+(COUNTIF(K1558:M1575,$B1600)+COUNTIF(K1558:M1575,$B1600&amp;" ~*")&gt;0)+(COUNTIF(O1558:Q1575,$B1600)+COUNTIF(O1558:Q1575,$B1600&amp;" ~*")&gt;0)+(COUNTIF(S1558:U1575,$B1600)+COUNTIF(S1558:U1575,$B1600&amp;" ~*")&gt;0)+(COUNTIF(W1558:W1575,$B1600)+COUNTIF(W1558:W1575,$B1600&amp;" ~*")&gt;0)+(COUNTIF(Y1558:Y1575,$B1600)+COUNTIF(Y1558:Y1575,$B1600&amp;" ~*")&gt;0))</f>
        <v/>
      </c>
      <c r="AC1600" s="38">
        <f>IF($B1600="","",(IFERROR(INDEX(Setup!$G$33:$G$40,MATCH(C1600,Setup!$B$33:$B$40,0)),0)=1)*(COUNTIF(C1558:E1575,$B1600)+COUNTIF(C1558:E1575,$B1600&amp;" ~*")&gt;0)+(IFERROR(INDEX(Setup!$G$33:$G$40,MATCH(G1600,Setup!$B$33:$B$40,0)),0)=1)*(COUNTIF(G1558:I1575,$B1600)+COUNTIF(G1558:I1575,$B1600&amp;" ~*")&gt;0)+(IFERROR(INDEX(Setup!$G$33:$G$40,MATCH(K1600,Setup!$B$33:$B$40,0)),0)=1)*(COUNTIF(K1558:M1575,$B1600)+COUNTIF(K1558:M1575,$B1600&amp;" ~*")&gt;0)+(IFERROR(INDEX(Setup!$G$33:$G$40,MATCH(O1600,Setup!$B$33:$B$40,0)),0)=1)*(COUNTIF(O1558:Q1575,$B1600)+COUNTIF(O1558:Q1575,$B1600&amp;" ~*")&gt;0)+(IFERROR(INDEX(Setup!$G$33:$G$40,MATCH(S1600,Setup!$B$33:$B$40,0)),0)=1)*(COUNTIF(S1558:U1575,$B1600)+COUNTIF(S1558:U1575,$B1600&amp;" ~*")&gt;0)+(IFERROR(INDEX(Setup!$G$33:$G$40,MATCH(W1600,Setup!$B$33:$B$40,0)),0)=1)*(COUNTIF(W1558:W1575,$B1600)+COUNTIF(W1558:W1575,$B1600&amp;" ~*")&gt;0)+(IFERROR(INDEX(Setup!$G$33:$G$40,MATCH(Y1600,Setup!$B$33:$B$40,0)),0)=1)*(COUNTIF(Y1558:Y1575,$B1600)+COUNTIF(Y1558:Y1575,$B1600&amp;" ~*")&gt;0))</f>
        <v/>
      </c>
    </row>
    <row r="1601" ht="16" customHeight="1">
      <c r="A1601" t="n">
        <v>32</v>
      </c>
      <c r="B1601" s="106" t="inlineStr">
        <is>
          <t>Available people</t>
        </is>
      </c>
      <c r="C1601" s="107">
        <f>COUNTIFS(Setup!$E$6:$E$29,"Y",Setup!$B$6:$B$29,"?*")-SUMPRODUCT(COUNTIF(C1577:C1600,Setup!$F$33:$F$40))</f>
        <v/>
      </c>
      <c r="D1601" s="107" t="n"/>
      <c r="E1601" s="107" t="n"/>
      <c r="F1601" s="107" t="n"/>
      <c r="G1601" s="107">
        <f>COUNTIFS(Setup!$E$6:$E$29,"Y",Setup!$B$6:$B$29,"?*")-SUMPRODUCT(COUNTIF(G1577:G1600,Setup!$F$33:$F$40))</f>
        <v/>
      </c>
      <c r="H1601" s="107" t="n"/>
      <c r="I1601" s="107" t="n"/>
      <c r="J1601" s="107" t="n"/>
      <c r="K1601" s="107">
        <f>COUNTIFS(Setup!$E$6:$E$29,"Y",Setup!$B$6:$B$29,"?*")-SUMPRODUCT(COUNTIF(K1577:K1600,Setup!$F$33:$F$40))</f>
        <v/>
      </c>
      <c r="L1601" s="107" t="n"/>
      <c r="M1601" s="107" t="n"/>
      <c r="N1601" s="107" t="n"/>
      <c r="O1601" s="107">
        <f>COUNTIFS(Setup!$E$6:$E$29,"Y",Setup!$B$6:$B$29,"?*")-SUMPRODUCT(COUNTIF(O1577:O1600,Setup!$F$33:$F$40))</f>
        <v/>
      </c>
      <c r="P1601" s="107" t="n"/>
      <c r="Q1601" s="107" t="n"/>
      <c r="R1601" s="107" t="n"/>
      <c r="S1601" s="107">
        <f>COUNTIFS(Setup!$E$6:$E$29,"Y",Setup!$B$6:$B$29,"?*")-SUMPRODUCT(COUNTIF(S1577:S1600,Setup!$F$33:$F$40))</f>
        <v/>
      </c>
      <c r="T1601" s="107" t="n"/>
      <c r="U1601" s="107" t="n"/>
      <c r="V1601" s="107" t="n"/>
      <c r="W1601" s="107">
        <f>COUNTIFS(Setup!$E$6:$E$29,"Y",Setup!$B$6:$B$29,"?*")-SUMPRODUCT(COUNTIF(W1577:W1600,Setup!$F$33:$F$40))</f>
        <v/>
      </c>
      <c r="X1601" s="107" t="n"/>
      <c r="Y1601" s="107">
        <f>COUNTIFS(Setup!$E$6:$E$29,"Y",Setup!$B$6:$B$29,"?*")-SUMPRODUCT(COUNTIF(Y1577:Y1600,Setup!$F$33:$F$40))</f>
        <v/>
      </c>
      <c r="Z1601" s="107" t="n"/>
      <c r="AB1601" s="108">
        <f>SUM(AB1577:AB1600)</f>
        <v/>
      </c>
      <c r="AC1601" s="109">
        <f>SUM(AC1577:AC1600)</f>
        <v/>
      </c>
    </row>
    <row r="1602" ht="30" customHeight="1">
      <c r="A1602" t="n">
        <v>32</v>
      </c>
      <c r="B1602" s="110" t="inlineStr">
        <is>
          <t>Week notes</t>
        </is>
      </c>
      <c r="C1602" s="111" t="n"/>
      <c r="D1602" s="112" t="n"/>
      <c r="E1602" s="112" t="n"/>
      <c r="F1602" s="112" t="n"/>
      <c r="G1602" s="112" t="n"/>
      <c r="H1602" s="112" t="n"/>
      <c r="I1602" s="112" t="n"/>
      <c r="J1602" s="112" t="n"/>
      <c r="K1602" s="112" t="n"/>
      <c r="L1602" s="112" t="n"/>
      <c r="M1602" s="112" t="n"/>
      <c r="N1602" s="112" t="n"/>
      <c r="O1602" s="112" t="n"/>
      <c r="P1602" s="112" t="n"/>
      <c r="Q1602" s="112" t="n"/>
      <c r="R1602" s="112" t="n"/>
      <c r="S1602" s="112" t="n"/>
      <c r="T1602" s="112" t="n"/>
      <c r="U1602" s="112" t="n"/>
      <c r="V1602" s="112" t="n"/>
      <c r="W1602" s="112" t="n"/>
      <c r="X1602" s="112" t="n"/>
      <c r="Y1602" s="112" t="n"/>
      <c r="Z1602" s="113" t="n"/>
    </row>
    <row r="1603" ht="8" customHeight="1">
      <c r="A1603" t="n">
        <v>32</v>
      </c>
    </row>
    <row r="1604" ht="8" customHeight="1">
      <c r="A1604" t="n">
        <v>32</v>
      </c>
    </row>
    <row r="1605" ht="24" customHeight="1">
      <c r="A1605" t="n">
        <v>33</v>
      </c>
      <c r="B1605" s="73">
        <f>"WEEK 33     "&amp;TEXT(C1606,"ddd d mmm")&amp;"  –  "&amp;TEXT(C1606+6,"ddd d mmm yyyy")</f>
        <v/>
      </c>
      <c r="S1605" s="74">
        <f>IF(TODAY()&lt;C1606,"FUTURE",IF(TODAY()&gt;C1606+6,"PAST","THIS WEEK"))</f>
        <v/>
      </c>
      <c r="W1605" s="75">
        <f>IF(AND(Engine!$B$8=$AC$3,Engine!$B$9=$A1605),"◀ ACTIVE WEEK","")</f>
        <v/>
      </c>
      <c r="AA1605" s="76" t="n"/>
      <c r="AB1605" s="77" t="inlineStr">
        <is>
          <t>◀ Prev</t>
        </is>
      </c>
      <c r="AC1605" s="77" t="inlineStr">
        <is>
          <t>Next ▶</t>
        </is>
      </c>
    </row>
    <row r="1606" ht="18" customHeight="1">
      <c r="A1606" t="n">
        <v>33</v>
      </c>
      <c r="B1606" s="78" t="inlineStr">
        <is>
          <t>DUTY</t>
        </is>
      </c>
      <c r="C1606" s="79">
        <f>$AC$2+7*($A1606-1)</f>
        <v/>
      </c>
      <c r="D1606" s="80" t="n"/>
      <c r="E1606" s="80" t="n"/>
      <c r="F1606" s="81" t="n"/>
      <c r="G1606" s="79">
        <f>C1606+1</f>
        <v/>
      </c>
      <c r="H1606" s="80" t="n"/>
      <c r="I1606" s="80" t="n"/>
      <c r="J1606" s="81" t="n"/>
      <c r="K1606" s="79">
        <f>C1606+2</f>
        <v/>
      </c>
      <c r="L1606" s="80" t="n"/>
      <c r="M1606" s="80" t="n"/>
      <c r="N1606" s="81" t="n"/>
      <c r="O1606" s="79">
        <f>C1606+3</f>
        <v/>
      </c>
      <c r="P1606" s="80" t="n"/>
      <c r="Q1606" s="80" t="n"/>
      <c r="R1606" s="81" t="n"/>
      <c r="S1606" s="79">
        <f>C1606+4</f>
        <v/>
      </c>
      <c r="T1606" s="80" t="n"/>
      <c r="U1606" s="80" t="n"/>
      <c r="V1606" s="81" t="n"/>
      <c r="W1606" s="82">
        <f>C1606+5</f>
        <v/>
      </c>
      <c r="X1606" s="83" t="n"/>
      <c r="Y1606" s="82">
        <f>C1606+6</f>
        <v/>
      </c>
      <c r="Z1606" s="83" t="n"/>
      <c r="AB1606" s="72" t="inlineStr">
        <is>
          <t>Gaps</t>
        </is>
      </c>
      <c r="AC1606" s="72" t="inlineStr">
        <is>
          <t>Cover</t>
        </is>
      </c>
    </row>
    <row r="1607" ht="14" customHeight="1">
      <c r="A1607" t="n">
        <v>33</v>
      </c>
      <c r="B1607" s="84" t="inlineStr">
        <is>
          <t>(from Setup)</t>
        </is>
      </c>
      <c r="C1607" s="85" t="inlineStr">
        <is>
          <t>1</t>
        </is>
      </c>
      <c r="D1607" s="85" t="inlineStr">
        <is>
          <t>2</t>
        </is>
      </c>
      <c r="E1607" s="85" t="inlineStr">
        <is>
          <t>3</t>
        </is>
      </c>
      <c r="F1607" s="85" t="inlineStr">
        <is>
          <t>Notes</t>
        </is>
      </c>
      <c r="G1607" s="85" t="inlineStr">
        <is>
          <t>1</t>
        </is>
      </c>
      <c r="H1607" s="85" t="inlineStr">
        <is>
          <t>2</t>
        </is>
      </c>
      <c r="I1607" s="85" t="inlineStr">
        <is>
          <t>3</t>
        </is>
      </c>
      <c r="J1607" s="85" t="inlineStr">
        <is>
          <t>Notes</t>
        </is>
      </c>
      <c r="K1607" s="85" t="inlineStr">
        <is>
          <t>1</t>
        </is>
      </c>
      <c r="L1607" s="85" t="inlineStr">
        <is>
          <t>2</t>
        </is>
      </c>
      <c r="M1607" s="85" t="inlineStr">
        <is>
          <t>3</t>
        </is>
      </c>
      <c r="N1607" s="85" t="inlineStr">
        <is>
          <t>Notes</t>
        </is>
      </c>
      <c r="O1607" s="85" t="inlineStr">
        <is>
          <t>1</t>
        </is>
      </c>
      <c r="P1607" s="85" t="inlineStr">
        <is>
          <t>2</t>
        </is>
      </c>
      <c r="Q1607" s="85" t="inlineStr">
        <is>
          <t>3</t>
        </is>
      </c>
      <c r="R1607" s="85" t="inlineStr">
        <is>
          <t>Notes</t>
        </is>
      </c>
      <c r="S1607" s="85" t="inlineStr">
        <is>
          <t>1</t>
        </is>
      </c>
      <c r="T1607" s="85" t="inlineStr">
        <is>
          <t>2</t>
        </is>
      </c>
      <c r="U1607" s="85" t="inlineStr">
        <is>
          <t>3</t>
        </is>
      </c>
      <c r="V1607" s="85" t="inlineStr">
        <is>
          <t>Notes</t>
        </is>
      </c>
      <c r="W1607" s="85" t="inlineStr">
        <is>
          <t>Cover</t>
        </is>
      </c>
      <c r="X1607" s="85" t="inlineStr">
        <is>
          <t>Notes</t>
        </is>
      </c>
      <c r="Y1607" s="85" t="inlineStr">
        <is>
          <t>Cover</t>
        </is>
      </c>
      <c r="Z1607" s="85" t="inlineStr">
        <is>
          <t>Notes</t>
        </is>
      </c>
      <c r="AB1607" s="86" t="inlineStr">
        <is>
          <t>weekdays short</t>
        </is>
      </c>
      <c r="AC1607" s="87" t="inlineStr"/>
    </row>
    <row r="1608" ht="17" customHeight="1">
      <c r="A1608" t="n">
        <v>33</v>
      </c>
      <c r="B1608" s="24">
        <f>IF(Setup!$K$6="","",Setup!$K$6)</f>
        <v/>
      </c>
      <c r="C1608" s="88" t="n"/>
      <c r="D1608" s="88" t="n"/>
      <c r="E1608" s="88" t="n"/>
      <c r="F1608" s="89" t="n"/>
      <c r="G1608" s="88" t="n"/>
      <c r="H1608" s="88" t="n"/>
      <c r="I1608" s="88" t="n"/>
      <c r="J1608" s="89" t="n"/>
      <c r="K1608" s="88" t="n"/>
      <c r="L1608" s="88" t="n"/>
      <c r="M1608" s="88" t="n"/>
      <c r="N1608" s="89" t="n"/>
      <c r="O1608" s="88" t="n"/>
      <c r="P1608" s="88" t="n"/>
      <c r="Q1608" s="88" t="n"/>
      <c r="R1608" s="89" t="n"/>
      <c r="S1608" s="88" t="n"/>
      <c r="T1608" s="88" t="n"/>
      <c r="U1608" s="88" t="n"/>
      <c r="V1608" s="89" t="n"/>
      <c r="W1608" s="88" t="n"/>
      <c r="X1608" s="89" t="n"/>
      <c r="Y1608" s="88" t="n"/>
      <c r="Z1608" s="89" t="n"/>
      <c r="AB1608" s="25">
        <f>IF($B1608="","",(COUNTIF(C1608:E1608,"?*")&lt;N(INDEX(Setup!$L$6:$L$23,1)))+(COUNTIF(G1608:I1608,"?*")&lt;N(INDEX(Setup!$L$6:$L$23,1)))+(COUNTIF(K1608:M1608,"?*")&lt;N(INDEX(Setup!$L$6:$L$23,1)))+(COUNTIF(O1608:Q1608,"?*")&lt;N(INDEX(Setup!$L$6:$L$23,1)))+(COUNTIF(S1608:U1608,"?*")&lt;N(INDEX(Setup!$L$6:$L$23,1)))+((W1608="")*(INDEX(Setup!$M$6:$M$23,1)="Y"))+((Y1608="")*(INDEX(Setup!$M$6:$M$23,1)="Y")))</f>
        <v/>
      </c>
      <c r="AC1608" s="90">
        <f>IF($B1608="","",IF(AB1608=0,"✓ covered","⚠ "&amp;AB1608&amp;IF(AB1608=1," gap"," gaps")))</f>
        <v/>
      </c>
    </row>
    <row r="1609" ht="17" customHeight="1">
      <c r="A1609" t="n">
        <v>33</v>
      </c>
      <c r="B1609" s="29">
        <f>IF(Setup!$K$7="","",Setup!$K$7)</f>
        <v/>
      </c>
      <c r="C1609" s="88" t="n"/>
      <c r="D1609" s="88" t="n"/>
      <c r="E1609" s="88" t="n"/>
      <c r="F1609" s="89" t="n"/>
      <c r="G1609" s="88" t="n"/>
      <c r="H1609" s="88" t="n"/>
      <c r="I1609" s="88" t="n"/>
      <c r="J1609" s="89" t="n"/>
      <c r="K1609" s="88" t="n"/>
      <c r="L1609" s="88" t="n"/>
      <c r="M1609" s="88" t="n"/>
      <c r="N1609" s="89" t="n"/>
      <c r="O1609" s="88" t="n"/>
      <c r="P1609" s="88" t="n"/>
      <c r="Q1609" s="88" t="n"/>
      <c r="R1609" s="89" t="n"/>
      <c r="S1609" s="88" t="n"/>
      <c r="T1609" s="88" t="n"/>
      <c r="U1609" s="88" t="n"/>
      <c r="V1609" s="89" t="n"/>
      <c r="W1609" s="88" t="n"/>
      <c r="X1609" s="89" t="n"/>
      <c r="Y1609" s="88" t="n"/>
      <c r="Z1609" s="89" t="n"/>
      <c r="AB1609" s="30">
        <f>IF($B1609="","",(COUNTIF(C1609:E1609,"?*")&lt;N(INDEX(Setup!$L$6:$L$23,2)))+(COUNTIF(G1609:I1609,"?*")&lt;N(INDEX(Setup!$L$6:$L$23,2)))+(COUNTIF(K1609:M1609,"?*")&lt;N(INDEX(Setup!$L$6:$L$23,2)))+(COUNTIF(O1609:Q1609,"?*")&lt;N(INDEX(Setup!$L$6:$L$23,2)))+(COUNTIF(S1609:U1609,"?*")&lt;N(INDEX(Setup!$L$6:$L$23,2)))+((W1609="")*(INDEX(Setup!$M$6:$M$23,2)="Y"))+((Y1609="")*(INDEX(Setup!$M$6:$M$23,2)="Y")))</f>
        <v/>
      </c>
      <c r="AC1609" s="91">
        <f>IF($B1609="","",IF(AB1609=0,"✓ covered","⚠ "&amp;AB1609&amp;IF(AB1609=1," gap"," gaps")))</f>
        <v/>
      </c>
    </row>
    <row r="1610" ht="17" customHeight="1">
      <c r="A1610" t="n">
        <v>33</v>
      </c>
      <c r="B1610" s="24">
        <f>IF(Setup!$K$8="","",Setup!$K$8)</f>
        <v/>
      </c>
      <c r="C1610" s="88" t="n"/>
      <c r="D1610" s="88" t="n"/>
      <c r="E1610" s="88" t="n"/>
      <c r="F1610" s="89" t="n"/>
      <c r="G1610" s="88" t="n"/>
      <c r="H1610" s="88" t="n"/>
      <c r="I1610" s="88" t="n"/>
      <c r="J1610" s="89" t="n"/>
      <c r="K1610" s="88" t="n"/>
      <c r="L1610" s="88" t="n"/>
      <c r="M1610" s="88" t="n"/>
      <c r="N1610" s="89" t="n"/>
      <c r="O1610" s="88" t="n"/>
      <c r="P1610" s="88" t="n"/>
      <c r="Q1610" s="88" t="n"/>
      <c r="R1610" s="89" t="n"/>
      <c r="S1610" s="88" t="n"/>
      <c r="T1610" s="88" t="n"/>
      <c r="U1610" s="88" t="n"/>
      <c r="V1610" s="89" t="n"/>
      <c r="W1610" s="88" t="n"/>
      <c r="X1610" s="89" t="n"/>
      <c r="Y1610" s="88" t="n"/>
      <c r="Z1610" s="89" t="n"/>
      <c r="AB1610" s="25">
        <f>IF($B1610="","",(COUNTIF(C1610:E1610,"?*")&lt;N(INDEX(Setup!$L$6:$L$23,3)))+(COUNTIF(G1610:I1610,"?*")&lt;N(INDEX(Setup!$L$6:$L$23,3)))+(COUNTIF(K1610:M1610,"?*")&lt;N(INDEX(Setup!$L$6:$L$23,3)))+(COUNTIF(O1610:Q1610,"?*")&lt;N(INDEX(Setup!$L$6:$L$23,3)))+(COUNTIF(S1610:U1610,"?*")&lt;N(INDEX(Setup!$L$6:$L$23,3)))+((W1610="")*(INDEX(Setup!$M$6:$M$23,3)="Y"))+((Y1610="")*(INDEX(Setup!$M$6:$M$23,3)="Y")))</f>
        <v/>
      </c>
      <c r="AC1610" s="90">
        <f>IF($B1610="","",IF(AB1610=0,"✓ covered","⚠ "&amp;AB1610&amp;IF(AB1610=1," gap"," gaps")))</f>
        <v/>
      </c>
    </row>
    <row r="1611" ht="17" customHeight="1">
      <c r="A1611" t="n">
        <v>33</v>
      </c>
      <c r="B1611" s="29">
        <f>IF(Setup!$K$9="","",Setup!$K$9)</f>
        <v/>
      </c>
      <c r="C1611" s="88" t="n"/>
      <c r="D1611" s="88" t="n"/>
      <c r="E1611" s="88" t="n"/>
      <c r="F1611" s="89" t="n"/>
      <c r="G1611" s="88" t="n"/>
      <c r="H1611" s="88" t="n"/>
      <c r="I1611" s="88" t="n"/>
      <c r="J1611" s="89" t="n"/>
      <c r="K1611" s="88" t="n"/>
      <c r="L1611" s="88" t="n"/>
      <c r="M1611" s="88" t="n"/>
      <c r="N1611" s="89" t="n"/>
      <c r="O1611" s="88" t="n"/>
      <c r="P1611" s="88" t="n"/>
      <c r="Q1611" s="88" t="n"/>
      <c r="R1611" s="89" t="n"/>
      <c r="S1611" s="88" t="n"/>
      <c r="T1611" s="88" t="n"/>
      <c r="U1611" s="88" t="n"/>
      <c r="V1611" s="89" t="n"/>
      <c r="W1611" s="88" t="n"/>
      <c r="X1611" s="89" t="n"/>
      <c r="Y1611" s="88" t="n"/>
      <c r="Z1611" s="89" t="n"/>
      <c r="AB1611" s="30">
        <f>IF($B1611="","",(COUNTIF(C1611:E1611,"?*")&lt;N(INDEX(Setup!$L$6:$L$23,4)))+(COUNTIF(G1611:I1611,"?*")&lt;N(INDEX(Setup!$L$6:$L$23,4)))+(COUNTIF(K1611:M1611,"?*")&lt;N(INDEX(Setup!$L$6:$L$23,4)))+(COUNTIF(O1611:Q1611,"?*")&lt;N(INDEX(Setup!$L$6:$L$23,4)))+(COUNTIF(S1611:U1611,"?*")&lt;N(INDEX(Setup!$L$6:$L$23,4)))+((W1611="")*(INDEX(Setup!$M$6:$M$23,4)="Y"))+((Y1611="")*(INDEX(Setup!$M$6:$M$23,4)="Y")))</f>
        <v/>
      </c>
      <c r="AC1611" s="91">
        <f>IF($B1611="","",IF(AB1611=0,"✓ covered","⚠ "&amp;AB1611&amp;IF(AB1611=1," gap"," gaps")))</f>
        <v/>
      </c>
    </row>
    <row r="1612" ht="17" customHeight="1">
      <c r="A1612" t="n">
        <v>33</v>
      </c>
      <c r="B1612" s="24">
        <f>IF(Setup!$K$10="","",Setup!$K$10)</f>
        <v/>
      </c>
      <c r="C1612" s="88" t="n"/>
      <c r="D1612" s="88" t="n"/>
      <c r="E1612" s="88" t="n"/>
      <c r="F1612" s="89" t="n"/>
      <c r="G1612" s="88" t="n"/>
      <c r="H1612" s="88" t="n"/>
      <c r="I1612" s="88" t="n"/>
      <c r="J1612" s="89" t="n"/>
      <c r="K1612" s="88" t="n"/>
      <c r="L1612" s="88" t="n"/>
      <c r="M1612" s="88" t="n"/>
      <c r="N1612" s="89" t="n"/>
      <c r="O1612" s="88" t="n"/>
      <c r="P1612" s="88" t="n"/>
      <c r="Q1612" s="88" t="n"/>
      <c r="R1612" s="89" t="n"/>
      <c r="S1612" s="88" t="n"/>
      <c r="T1612" s="88" t="n"/>
      <c r="U1612" s="88" t="n"/>
      <c r="V1612" s="89" t="n"/>
      <c r="W1612" s="88" t="n"/>
      <c r="X1612" s="89" t="n"/>
      <c r="Y1612" s="88" t="n"/>
      <c r="Z1612" s="89" t="n"/>
      <c r="AB1612" s="25">
        <f>IF($B1612="","",(COUNTIF(C1612:E1612,"?*")&lt;N(INDEX(Setup!$L$6:$L$23,5)))+(COUNTIF(G1612:I1612,"?*")&lt;N(INDEX(Setup!$L$6:$L$23,5)))+(COUNTIF(K1612:M1612,"?*")&lt;N(INDEX(Setup!$L$6:$L$23,5)))+(COUNTIF(O1612:Q1612,"?*")&lt;N(INDEX(Setup!$L$6:$L$23,5)))+(COUNTIF(S1612:U1612,"?*")&lt;N(INDEX(Setup!$L$6:$L$23,5)))+((W1612="")*(INDEX(Setup!$M$6:$M$23,5)="Y"))+((Y1612="")*(INDEX(Setup!$M$6:$M$23,5)="Y")))</f>
        <v/>
      </c>
      <c r="AC1612" s="90">
        <f>IF($B1612="","",IF(AB1612=0,"✓ covered","⚠ "&amp;AB1612&amp;IF(AB1612=1," gap"," gaps")))</f>
        <v/>
      </c>
    </row>
    <row r="1613" ht="17" customHeight="1">
      <c r="A1613" t="n">
        <v>33</v>
      </c>
      <c r="B1613" s="29">
        <f>IF(Setup!$K$11="","",Setup!$K$11)</f>
        <v/>
      </c>
      <c r="C1613" s="88" t="n"/>
      <c r="D1613" s="88" t="n"/>
      <c r="E1613" s="88" t="n"/>
      <c r="F1613" s="89" t="n"/>
      <c r="G1613" s="88" t="n"/>
      <c r="H1613" s="88" t="n"/>
      <c r="I1613" s="88" t="n"/>
      <c r="J1613" s="89" t="n"/>
      <c r="K1613" s="88" t="n"/>
      <c r="L1613" s="88" t="n"/>
      <c r="M1613" s="88" t="n"/>
      <c r="N1613" s="89" t="n"/>
      <c r="O1613" s="88" t="n"/>
      <c r="P1613" s="88" t="n"/>
      <c r="Q1613" s="88" t="n"/>
      <c r="R1613" s="89" t="n"/>
      <c r="S1613" s="88" t="n"/>
      <c r="T1613" s="88" t="n"/>
      <c r="U1613" s="88" t="n"/>
      <c r="V1613" s="89" t="n"/>
      <c r="W1613" s="88" t="n"/>
      <c r="X1613" s="89" t="n"/>
      <c r="Y1613" s="88" t="n"/>
      <c r="Z1613" s="89" t="n"/>
      <c r="AB1613" s="30">
        <f>IF($B1613="","",(COUNTIF(C1613:E1613,"?*")&lt;N(INDEX(Setup!$L$6:$L$23,6)))+(COUNTIF(G1613:I1613,"?*")&lt;N(INDEX(Setup!$L$6:$L$23,6)))+(COUNTIF(K1613:M1613,"?*")&lt;N(INDEX(Setup!$L$6:$L$23,6)))+(COUNTIF(O1613:Q1613,"?*")&lt;N(INDEX(Setup!$L$6:$L$23,6)))+(COUNTIF(S1613:U1613,"?*")&lt;N(INDEX(Setup!$L$6:$L$23,6)))+((W1613="")*(INDEX(Setup!$M$6:$M$23,6)="Y"))+((Y1613="")*(INDEX(Setup!$M$6:$M$23,6)="Y")))</f>
        <v/>
      </c>
      <c r="AC1613" s="91">
        <f>IF($B1613="","",IF(AB1613=0,"✓ covered","⚠ "&amp;AB1613&amp;IF(AB1613=1," gap"," gaps")))</f>
        <v/>
      </c>
    </row>
    <row r="1614" ht="17" customHeight="1">
      <c r="A1614" t="n">
        <v>33</v>
      </c>
      <c r="B1614" s="24">
        <f>IF(Setup!$K$12="","",Setup!$K$12)</f>
        <v/>
      </c>
      <c r="C1614" s="88" t="n"/>
      <c r="D1614" s="88" t="n"/>
      <c r="E1614" s="88" t="n"/>
      <c r="F1614" s="89" t="n"/>
      <c r="G1614" s="88" t="n"/>
      <c r="H1614" s="88" t="n"/>
      <c r="I1614" s="88" t="n"/>
      <c r="J1614" s="89" t="n"/>
      <c r="K1614" s="88" t="n"/>
      <c r="L1614" s="88" t="n"/>
      <c r="M1614" s="88" t="n"/>
      <c r="N1614" s="89" t="n"/>
      <c r="O1614" s="88" t="n"/>
      <c r="P1614" s="88" t="n"/>
      <c r="Q1614" s="88" t="n"/>
      <c r="R1614" s="89" t="n"/>
      <c r="S1614" s="88" t="n"/>
      <c r="T1614" s="88" t="n"/>
      <c r="U1614" s="88" t="n"/>
      <c r="V1614" s="89" t="n"/>
      <c r="W1614" s="88" t="n"/>
      <c r="X1614" s="89" t="n"/>
      <c r="Y1614" s="88" t="n"/>
      <c r="Z1614" s="89" t="n"/>
      <c r="AB1614" s="25">
        <f>IF($B1614="","",(COUNTIF(C1614:E1614,"?*")&lt;N(INDEX(Setup!$L$6:$L$23,7)))+(COUNTIF(G1614:I1614,"?*")&lt;N(INDEX(Setup!$L$6:$L$23,7)))+(COUNTIF(K1614:M1614,"?*")&lt;N(INDEX(Setup!$L$6:$L$23,7)))+(COUNTIF(O1614:Q1614,"?*")&lt;N(INDEX(Setup!$L$6:$L$23,7)))+(COUNTIF(S1614:U1614,"?*")&lt;N(INDEX(Setup!$L$6:$L$23,7)))+((W1614="")*(INDEX(Setup!$M$6:$M$23,7)="Y"))+((Y1614="")*(INDEX(Setup!$M$6:$M$23,7)="Y")))</f>
        <v/>
      </c>
      <c r="AC1614" s="90">
        <f>IF($B1614="","",IF(AB1614=0,"✓ covered","⚠ "&amp;AB1614&amp;IF(AB1614=1," gap"," gaps")))</f>
        <v/>
      </c>
    </row>
    <row r="1615" ht="17" customHeight="1">
      <c r="A1615" t="n">
        <v>33</v>
      </c>
      <c r="B1615" s="29">
        <f>IF(Setup!$K$13="","",Setup!$K$13)</f>
        <v/>
      </c>
      <c r="C1615" s="88" t="n"/>
      <c r="D1615" s="88" t="n"/>
      <c r="E1615" s="88" t="n"/>
      <c r="F1615" s="89" t="n"/>
      <c r="G1615" s="88" t="n"/>
      <c r="H1615" s="88" t="n"/>
      <c r="I1615" s="88" t="n"/>
      <c r="J1615" s="89" t="n"/>
      <c r="K1615" s="88" t="n"/>
      <c r="L1615" s="88" t="n"/>
      <c r="M1615" s="88" t="n"/>
      <c r="N1615" s="89" t="n"/>
      <c r="O1615" s="88" t="n"/>
      <c r="P1615" s="88" t="n"/>
      <c r="Q1615" s="88" t="n"/>
      <c r="R1615" s="89" t="n"/>
      <c r="S1615" s="88" t="n"/>
      <c r="T1615" s="88" t="n"/>
      <c r="U1615" s="88" t="n"/>
      <c r="V1615" s="89" t="n"/>
      <c r="W1615" s="88" t="n"/>
      <c r="X1615" s="89" t="n"/>
      <c r="Y1615" s="88" t="n"/>
      <c r="Z1615" s="89" t="n"/>
      <c r="AB1615" s="30">
        <f>IF($B1615="","",(COUNTIF(C1615:E1615,"?*")&lt;N(INDEX(Setup!$L$6:$L$23,8)))+(COUNTIF(G1615:I1615,"?*")&lt;N(INDEX(Setup!$L$6:$L$23,8)))+(COUNTIF(K1615:M1615,"?*")&lt;N(INDEX(Setup!$L$6:$L$23,8)))+(COUNTIF(O1615:Q1615,"?*")&lt;N(INDEX(Setup!$L$6:$L$23,8)))+(COUNTIF(S1615:U1615,"?*")&lt;N(INDEX(Setup!$L$6:$L$23,8)))+((W1615="")*(INDEX(Setup!$M$6:$M$23,8)="Y"))+((Y1615="")*(INDEX(Setup!$M$6:$M$23,8)="Y")))</f>
        <v/>
      </c>
      <c r="AC1615" s="91">
        <f>IF($B1615="","",IF(AB1615=0,"✓ covered","⚠ "&amp;AB1615&amp;IF(AB1615=1," gap"," gaps")))</f>
        <v/>
      </c>
    </row>
    <row r="1616" ht="17" customHeight="1">
      <c r="A1616" t="n">
        <v>33</v>
      </c>
      <c r="B1616" s="24">
        <f>IF(Setup!$K$14="","",Setup!$K$14)</f>
        <v/>
      </c>
      <c r="C1616" s="88" t="n"/>
      <c r="D1616" s="88" t="n"/>
      <c r="E1616" s="88" t="n"/>
      <c r="F1616" s="89" t="n"/>
      <c r="G1616" s="88" t="n"/>
      <c r="H1616" s="88" t="n"/>
      <c r="I1616" s="88" t="n"/>
      <c r="J1616" s="89" t="n"/>
      <c r="K1616" s="88" t="n"/>
      <c r="L1616" s="88" t="n"/>
      <c r="M1616" s="88" t="n"/>
      <c r="N1616" s="89" t="n"/>
      <c r="O1616" s="88" t="n"/>
      <c r="P1616" s="88" t="n"/>
      <c r="Q1616" s="88" t="n"/>
      <c r="R1616" s="89" t="n"/>
      <c r="S1616" s="88" t="n"/>
      <c r="T1616" s="88" t="n"/>
      <c r="U1616" s="88" t="n"/>
      <c r="V1616" s="89" t="n"/>
      <c r="W1616" s="88" t="n"/>
      <c r="X1616" s="89" t="n"/>
      <c r="Y1616" s="88" t="n"/>
      <c r="Z1616" s="89" t="n"/>
      <c r="AB1616" s="25">
        <f>IF($B1616="","",(COUNTIF(C1616:E1616,"?*")&lt;N(INDEX(Setup!$L$6:$L$23,9)))+(COUNTIF(G1616:I1616,"?*")&lt;N(INDEX(Setup!$L$6:$L$23,9)))+(COUNTIF(K1616:M1616,"?*")&lt;N(INDEX(Setup!$L$6:$L$23,9)))+(COUNTIF(O1616:Q1616,"?*")&lt;N(INDEX(Setup!$L$6:$L$23,9)))+(COUNTIF(S1616:U1616,"?*")&lt;N(INDEX(Setup!$L$6:$L$23,9)))+((W1616="")*(INDEX(Setup!$M$6:$M$23,9)="Y"))+((Y1616="")*(INDEX(Setup!$M$6:$M$23,9)="Y")))</f>
        <v/>
      </c>
      <c r="AC1616" s="90">
        <f>IF($B1616="","",IF(AB1616=0,"✓ covered","⚠ "&amp;AB1616&amp;IF(AB1616=1," gap"," gaps")))</f>
        <v/>
      </c>
    </row>
    <row r="1617" ht="17" customHeight="1">
      <c r="A1617" t="n">
        <v>33</v>
      </c>
      <c r="B1617" s="29">
        <f>IF(Setup!$K$15="","",Setup!$K$15)</f>
        <v/>
      </c>
      <c r="C1617" s="88" t="n"/>
      <c r="D1617" s="88" t="n"/>
      <c r="E1617" s="88" t="n"/>
      <c r="F1617" s="89" t="n"/>
      <c r="G1617" s="88" t="n"/>
      <c r="H1617" s="88" t="n"/>
      <c r="I1617" s="88" t="n"/>
      <c r="J1617" s="89" t="n"/>
      <c r="K1617" s="88" t="n"/>
      <c r="L1617" s="88" t="n"/>
      <c r="M1617" s="88" t="n"/>
      <c r="N1617" s="89" t="n"/>
      <c r="O1617" s="88" t="n"/>
      <c r="P1617" s="88" t="n"/>
      <c r="Q1617" s="88" t="n"/>
      <c r="R1617" s="89" t="n"/>
      <c r="S1617" s="88" t="n"/>
      <c r="T1617" s="88" t="n"/>
      <c r="U1617" s="88" t="n"/>
      <c r="V1617" s="89" t="n"/>
      <c r="W1617" s="88" t="n"/>
      <c r="X1617" s="89" t="n"/>
      <c r="Y1617" s="88" t="n"/>
      <c r="Z1617" s="89" t="n"/>
      <c r="AB1617" s="30">
        <f>IF($B1617="","",(COUNTIF(C1617:E1617,"?*")&lt;N(INDEX(Setup!$L$6:$L$23,10)))+(COUNTIF(G1617:I1617,"?*")&lt;N(INDEX(Setup!$L$6:$L$23,10)))+(COUNTIF(K1617:M1617,"?*")&lt;N(INDEX(Setup!$L$6:$L$23,10)))+(COUNTIF(O1617:Q1617,"?*")&lt;N(INDEX(Setup!$L$6:$L$23,10)))+(COUNTIF(S1617:U1617,"?*")&lt;N(INDEX(Setup!$L$6:$L$23,10)))+((W1617="")*(INDEX(Setup!$M$6:$M$23,10)="Y"))+((Y1617="")*(INDEX(Setup!$M$6:$M$23,10)="Y")))</f>
        <v/>
      </c>
      <c r="AC1617" s="91">
        <f>IF($B1617="","",IF(AB1617=0,"✓ covered","⚠ "&amp;AB1617&amp;IF(AB1617=1," gap"," gaps")))</f>
        <v/>
      </c>
    </row>
    <row r="1618" ht="17" customHeight="1">
      <c r="A1618" t="n">
        <v>33</v>
      </c>
      <c r="B1618" s="24">
        <f>IF(Setup!$K$16="","",Setup!$K$16)</f>
        <v/>
      </c>
      <c r="C1618" s="88" t="n"/>
      <c r="D1618" s="88" t="n"/>
      <c r="E1618" s="88" t="n"/>
      <c r="F1618" s="89" t="n"/>
      <c r="G1618" s="88" t="n"/>
      <c r="H1618" s="88" t="n"/>
      <c r="I1618" s="88" t="n"/>
      <c r="J1618" s="89" t="n"/>
      <c r="K1618" s="88" t="n"/>
      <c r="L1618" s="88" t="n"/>
      <c r="M1618" s="88" t="n"/>
      <c r="N1618" s="89" t="n"/>
      <c r="O1618" s="88" t="n"/>
      <c r="P1618" s="88" t="n"/>
      <c r="Q1618" s="88" t="n"/>
      <c r="R1618" s="89" t="n"/>
      <c r="S1618" s="88" t="n"/>
      <c r="T1618" s="88" t="n"/>
      <c r="U1618" s="88" t="n"/>
      <c r="V1618" s="89" t="n"/>
      <c r="W1618" s="88" t="n"/>
      <c r="X1618" s="89" t="n"/>
      <c r="Y1618" s="88" t="n"/>
      <c r="Z1618" s="89" t="n"/>
      <c r="AB1618" s="25">
        <f>IF($B1618="","",(COUNTIF(C1618:E1618,"?*")&lt;N(INDEX(Setup!$L$6:$L$23,11)))+(COUNTIF(G1618:I1618,"?*")&lt;N(INDEX(Setup!$L$6:$L$23,11)))+(COUNTIF(K1618:M1618,"?*")&lt;N(INDEX(Setup!$L$6:$L$23,11)))+(COUNTIF(O1618:Q1618,"?*")&lt;N(INDEX(Setup!$L$6:$L$23,11)))+(COUNTIF(S1618:U1618,"?*")&lt;N(INDEX(Setup!$L$6:$L$23,11)))+((W1618="")*(INDEX(Setup!$M$6:$M$23,11)="Y"))+((Y1618="")*(INDEX(Setup!$M$6:$M$23,11)="Y")))</f>
        <v/>
      </c>
      <c r="AC1618" s="90">
        <f>IF($B1618="","",IF(AB1618=0,"✓ covered","⚠ "&amp;AB1618&amp;IF(AB1618=1," gap"," gaps")))</f>
        <v/>
      </c>
    </row>
    <row r="1619" ht="17" customHeight="1">
      <c r="A1619" t="n">
        <v>33</v>
      </c>
      <c r="B1619" s="29">
        <f>IF(Setup!$K$17="","",Setup!$K$17)</f>
        <v/>
      </c>
      <c r="C1619" s="88" t="n"/>
      <c r="D1619" s="88" t="n"/>
      <c r="E1619" s="88" t="n"/>
      <c r="F1619" s="89" t="n"/>
      <c r="G1619" s="88" t="n"/>
      <c r="H1619" s="88" t="n"/>
      <c r="I1619" s="88" t="n"/>
      <c r="J1619" s="89" t="n"/>
      <c r="K1619" s="88" t="n"/>
      <c r="L1619" s="88" t="n"/>
      <c r="M1619" s="88" t="n"/>
      <c r="N1619" s="89" t="n"/>
      <c r="O1619" s="88" t="n"/>
      <c r="P1619" s="88" t="n"/>
      <c r="Q1619" s="88" t="n"/>
      <c r="R1619" s="89" t="n"/>
      <c r="S1619" s="88" t="n"/>
      <c r="T1619" s="88" t="n"/>
      <c r="U1619" s="88" t="n"/>
      <c r="V1619" s="89" t="n"/>
      <c r="W1619" s="88" t="n"/>
      <c r="X1619" s="89" t="n"/>
      <c r="Y1619" s="88" t="n"/>
      <c r="Z1619" s="89" t="n"/>
      <c r="AB1619" s="30">
        <f>IF($B1619="","",(COUNTIF(C1619:E1619,"?*")&lt;N(INDEX(Setup!$L$6:$L$23,12)))+(COUNTIF(G1619:I1619,"?*")&lt;N(INDEX(Setup!$L$6:$L$23,12)))+(COUNTIF(K1619:M1619,"?*")&lt;N(INDEX(Setup!$L$6:$L$23,12)))+(COUNTIF(O1619:Q1619,"?*")&lt;N(INDEX(Setup!$L$6:$L$23,12)))+(COUNTIF(S1619:U1619,"?*")&lt;N(INDEX(Setup!$L$6:$L$23,12)))+((W1619="")*(INDEX(Setup!$M$6:$M$23,12)="Y"))+((Y1619="")*(INDEX(Setup!$M$6:$M$23,12)="Y")))</f>
        <v/>
      </c>
      <c r="AC1619" s="91">
        <f>IF($B1619="","",IF(AB1619=0,"✓ covered","⚠ "&amp;AB1619&amp;IF(AB1619=1," gap"," gaps")))</f>
        <v/>
      </c>
    </row>
    <row r="1620" ht="17" customHeight="1">
      <c r="A1620" t="n">
        <v>33</v>
      </c>
      <c r="B1620" s="24">
        <f>IF(Setup!$K$18="","",Setup!$K$18)</f>
        <v/>
      </c>
      <c r="C1620" s="88" t="n"/>
      <c r="D1620" s="88" t="n"/>
      <c r="E1620" s="88" t="n"/>
      <c r="F1620" s="89" t="n"/>
      <c r="G1620" s="88" t="n"/>
      <c r="H1620" s="88" t="n"/>
      <c r="I1620" s="88" t="n"/>
      <c r="J1620" s="89" t="n"/>
      <c r="K1620" s="88" t="n"/>
      <c r="L1620" s="88" t="n"/>
      <c r="M1620" s="88" t="n"/>
      <c r="N1620" s="89" t="n"/>
      <c r="O1620" s="88" t="n"/>
      <c r="P1620" s="88" t="n"/>
      <c r="Q1620" s="88" t="n"/>
      <c r="R1620" s="89" t="n"/>
      <c r="S1620" s="88" t="n"/>
      <c r="T1620" s="88" t="n"/>
      <c r="U1620" s="88" t="n"/>
      <c r="V1620" s="89" t="n"/>
      <c r="W1620" s="88" t="n"/>
      <c r="X1620" s="89" t="n"/>
      <c r="Y1620" s="88" t="n"/>
      <c r="Z1620" s="89" t="n"/>
      <c r="AB1620" s="25">
        <f>IF($B1620="","",(COUNTIF(C1620:E1620,"?*")&lt;N(INDEX(Setup!$L$6:$L$23,13)))+(COUNTIF(G1620:I1620,"?*")&lt;N(INDEX(Setup!$L$6:$L$23,13)))+(COUNTIF(K1620:M1620,"?*")&lt;N(INDEX(Setup!$L$6:$L$23,13)))+(COUNTIF(O1620:Q1620,"?*")&lt;N(INDEX(Setup!$L$6:$L$23,13)))+(COUNTIF(S1620:U1620,"?*")&lt;N(INDEX(Setup!$L$6:$L$23,13)))+((W1620="")*(INDEX(Setup!$M$6:$M$23,13)="Y"))+((Y1620="")*(INDEX(Setup!$M$6:$M$23,13)="Y")))</f>
        <v/>
      </c>
      <c r="AC1620" s="90">
        <f>IF($B1620="","",IF(AB1620=0,"✓ covered","⚠ "&amp;AB1620&amp;IF(AB1620=1," gap"," gaps")))</f>
        <v/>
      </c>
    </row>
    <row r="1621" ht="17" customHeight="1">
      <c r="A1621" t="n">
        <v>33</v>
      </c>
      <c r="B1621" s="29">
        <f>IF(Setup!$K$19="","",Setup!$K$19)</f>
        <v/>
      </c>
      <c r="C1621" s="88" t="n"/>
      <c r="D1621" s="88" t="n"/>
      <c r="E1621" s="88" t="n"/>
      <c r="F1621" s="89" t="n"/>
      <c r="G1621" s="88" t="n"/>
      <c r="H1621" s="88" t="n"/>
      <c r="I1621" s="88" t="n"/>
      <c r="J1621" s="89" t="n"/>
      <c r="K1621" s="88" t="n"/>
      <c r="L1621" s="88" t="n"/>
      <c r="M1621" s="88" t="n"/>
      <c r="N1621" s="89" t="n"/>
      <c r="O1621" s="88" t="n"/>
      <c r="P1621" s="88" t="n"/>
      <c r="Q1621" s="88" t="n"/>
      <c r="R1621" s="89" t="n"/>
      <c r="S1621" s="88" t="n"/>
      <c r="T1621" s="88" t="n"/>
      <c r="U1621" s="88" t="n"/>
      <c r="V1621" s="89" t="n"/>
      <c r="W1621" s="88" t="n"/>
      <c r="X1621" s="89" t="n"/>
      <c r="Y1621" s="88" t="n"/>
      <c r="Z1621" s="89" t="n"/>
      <c r="AB1621" s="30">
        <f>IF($B1621="","",(COUNTIF(C1621:E1621,"?*")&lt;N(INDEX(Setup!$L$6:$L$23,14)))+(COUNTIF(G1621:I1621,"?*")&lt;N(INDEX(Setup!$L$6:$L$23,14)))+(COUNTIF(K1621:M1621,"?*")&lt;N(INDEX(Setup!$L$6:$L$23,14)))+(COUNTIF(O1621:Q1621,"?*")&lt;N(INDEX(Setup!$L$6:$L$23,14)))+(COUNTIF(S1621:U1621,"?*")&lt;N(INDEX(Setup!$L$6:$L$23,14)))+((W1621="")*(INDEX(Setup!$M$6:$M$23,14)="Y"))+((Y1621="")*(INDEX(Setup!$M$6:$M$23,14)="Y")))</f>
        <v/>
      </c>
      <c r="AC1621" s="91">
        <f>IF($B1621="","",IF(AB1621=0,"✓ covered","⚠ "&amp;AB1621&amp;IF(AB1621=1," gap"," gaps")))</f>
        <v/>
      </c>
    </row>
    <row r="1622" ht="17" customHeight="1">
      <c r="A1622" t="n">
        <v>33</v>
      </c>
      <c r="B1622" s="24">
        <f>IF(Setup!$K$20="","",Setup!$K$20)</f>
        <v/>
      </c>
      <c r="C1622" s="88" t="n"/>
      <c r="D1622" s="88" t="n"/>
      <c r="E1622" s="88" t="n"/>
      <c r="F1622" s="89" t="n"/>
      <c r="G1622" s="88" t="n"/>
      <c r="H1622" s="88" t="n"/>
      <c r="I1622" s="88" t="n"/>
      <c r="J1622" s="89" t="n"/>
      <c r="K1622" s="88" t="n"/>
      <c r="L1622" s="88" t="n"/>
      <c r="M1622" s="88" t="n"/>
      <c r="N1622" s="89" t="n"/>
      <c r="O1622" s="88" t="n"/>
      <c r="P1622" s="88" t="n"/>
      <c r="Q1622" s="88" t="n"/>
      <c r="R1622" s="89" t="n"/>
      <c r="S1622" s="88" t="n"/>
      <c r="T1622" s="88" t="n"/>
      <c r="U1622" s="88" t="n"/>
      <c r="V1622" s="89" t="n"/>
      <c r="W1622" s="88" t="n"/>
      <c r="X1622" s="89" t="n"/>
      <c r="Y1622" s="88" t="n"/>
      <c r="Z1622" s="89" t="n"/>
      <c r="AB1622" s="25">
        <f>IF($B1622="","",(COUNTIF(C1622:E1622,"?*")&lt;N(INDEX(Setup!$L$6:$L$23,15)))+(COUNTIF(G1622:I1622,"?*")&lt;N(INDEX(Setup!$L$6:$L$23,15)))+(COUNTIF(K1622:M1622,"?*")&lt;N(INDEX(Setup!$L$6:$L$23,15)))+(COUNTIF(O1622:Q1622,"?*")&lt;N(INDEX(Setup!$L$6:$L$23,15)))+(COUNTIF(S1622:U1622,"?*")&lt;N(INDEX(Setup!$L$6:$L$23,15)))+((W1622="")*(INDEX(Setup!$M$6:$M$23,15)="Y"))+((Y1622="")*(INDEX(Setup!$M$6:$M$23,15)="Y")))</f>
        <v/>
      </c>
      <c r="AC1622" s="90">
        <f>IF($B1622="","",IF(AB1622=0,"✓ covered","⚠ "&amp;AB1622&amp;IF(AB1622=1," gap"," gaps")))</f>
        <v/>
      </c>
    </row>
    <row r="1623" ht="17" customHeight="1">
      <c r="A1623" t="n">
        <v>33</v>
      </c>
      <c r="B1623" s="29">
        <f>IF(Setup!$K$21="","",Setup!$K$21)</f>
        <v/>
      </c>
      <c r="C1623" s="88" t="n"/>
      <c r="D1623" s="88" t="n"/>
      <c r="E1623" s="88" t="n"/>
      <c r="F1623" s="89" t="n"/>
      <c r="G1623" s="88" t="n"/>
      <c r="H1623" s="88" t="n"/>
      <c r="I1623" s="88" t="n"/>
      <c r="J1623" s="89" t="n"/>
      <c r="K1623" s="88" t="n"/>
      <c r="L1623" s="88" t="n"/>
      <c r="M1623" s="88" t="n"/>
      <c r="N1623" s="89" t="n"/>
      <c r="O1623" s="88" t="n"/>
      <c r="P1623" s="88" t="n"/>
      <c r="Q1623" s="88" t="n"/>
      <c r="R1623" s="89" t="n"/>
      <c r="S1623" s="88" t="n"/>
      <c r="T1623" s="88" t="n"/>
      <c r="U1623" s="88" t="n"/>
      <c r="V1623" s="89" t="n"/>
      <c r="W1623" s="88" t="n"/>
      <c r="X1623" s="89" t="n"/>
      <c r="Y1623" s="88" t="n"/>
      <c r="Z1623" s="89" t="n"/>
      <c r="AB1623" s="30">
        <f>IF($B1623="","",(COUNTIF(C1623:E1623,"?*")&lt;N(INDEX(Setup!$L$6:$L$23,16)))+(COUNTIF(G1623:I1623,"?*")&lt;N(INDEX(Setup!$L$6:$L$23,16)))+(COUNTIF(K1623:M1623,"?*")&lt;N(INDEX(Setup!$L$6:$L$23,16)))+(COUNTIF(O1623:Q1623,"?*")&lt;N(INDEX(Setup!$L$6:$L$23,16)))+(COUNTIF(S1623:U1623,"?*")&lt;N(INDEX(Setup!$L$6:$L$23,16)))+((W1623="")*(INDEX(Setup!$M$6:$M$23,16)="Y"))+((Y1623="")*(INDEX(Setup!$M$6:$M$23,16)="Y")))</f>
        <v/>
      </c>
      <c r="AC1623" s="91">
        <f>IF($B1623="","",IF(AB1623=0,"✓ covered","⚠ "&amp;AB1623&amp;IF(AB1623=1," gap"," gaps")))</f>
        <v/>
      </c>
    </row>
    <row r="1624" ht="17" customHeight="1">
      <c r="A1624" t="n">
        <v>33</v>
      </c>
      <c r="B1624" s="24">
        <f>IF(Setup!$K$22="","",Setup!$K$22)</f>
        <v/>
      </c>
      <c r="C1624" s="88" t="n"/>
      <c r="D1624" s="88" t="n"/>
      <c r="E1624" s="88" t="n"/>
      <c r="F1624" s="89" t="n"/>
      <c r="G1624" s="88" t="n"/>
      <c r="H1624" s="88" t="n"/>
      <c r="I1624" s="88" t="n"/>
      <c r="J1624" s="89" t="n"/>
      <c r="K1624" s="88" t="n"/>
      <c r="L1624" s="88" t="n"/>
      <c r="M1624" s="88" t="n"/>
      <c r="N1624" s="89" t="n"/>
      <c r="O1624" s="88" t="n"/>
      <c r="P1624" s="88" t="n"/>
      <c r="Q1624" s="88" t="n"/>
      <c r="R1624" s="89" t="n"/>
      <c r="S1624" s="88" t="n"/>
      <c r="T1624" s="88" t="n"/>
      <c r="U1624" s="88" t="n"/>
      <c r="V1624" s="89" t="n"/>
      <c r="W1624" s="88" t="n"/>
      <c r="X1624" s="89" t="n"/>
      <c r="Y1624" s="88" t="n"/>
      <c r="Z1624" s="89" t="n"/>
      <c r="AB1624" s="25">
        <f>IF($B1624="","",(COUNTIF(C1624:E1624,"?*")&lt;N(INDEX(Setup!$L$6:$L$23,17)))+(COUNTIF(G1624:I1624,"?*")&lt;N(INDEX(Setup!$L$6:$L$23,17)))+(COUNTIF(K1624:M1624,"?*")&lt;N(INDEX(Setup!$L$6:$L$23,17)))+(COUNTIF(O1624:Q1624,"?*")&lt;N(INDEX(Setup!$L$6:$L$23,17)))+(COUNTIF(S1624:U1624,"?*")&lt;N(INDEX(Setup!$L$6:$L$23,17)))+((W1624="")*(INDEX(Setup!$M$6:$M$23,17)="Y"))+((Y1624="")*(INDEX(Setup!$M$6:$M$23,17)="Y")))</f>
        <v/>
      </c>
      <c r="AC1624" s="90">
        <f>IF($B1624="","",IF(AB1624=0,"✓ covered","⚠ "&amp;AB1624&amp;IF(AB1624=1," gap"," gaps")))</f>
        <v/>
      </c>
    </row>
    <row r="1625" ht="17" customHeight="1">
      <c r="A1625" t="n">
        <v>33</v>
      </c>
      <c r="B1625" s="29">
        <f>IF(Setup!$K$23="","",Setup!$K$23)</f>
        <v/>
      </c>
      <c r="C1625" s="88" t="n"/>
      <c r="D1625" s="88" t="n"/>
      <c r="E1625" s="88" t="n"/>
      <c r="F1625" s="89" t="n"/>
      <c r="G1625" s="88" t="n"/>
      <c r="H1625" s="88" t="n"/>
      <c r="I1625" s="88" t="n"/>
      <c r="J1625" s="89" t="n"/>
      <c r="K1625" s="88" t="n"/>
      <c r="L1625" s="88" t="n"/>
      <c r="M1625" s="88" t="n"/>
      <c r="N1625" s="89" t="n"/>
      <c r="O1625" s="88" t="n"/>
      <c r="P1625" s="88" t="n"/>
      <c r="Q1625" s="88" t="n"/>
      <c r="R1625" s="89" t="n"/>
      <c r="S1625" s="88" t="n"/>
      <c r="T1625" s="88" t="n"/>
      <c r="U1625" s="88" t="n"/>
      <c r="V1625" s="89" t="n"/>
      <c r="W1625" s="88" t="n"/>
      <c r="X1625" s="89" t="n"/>
      <c r="Y1625" s="88" t="n"/>
      <c r="Z1625" s="89" t="n"/>
      <c r="AB1625" s="30">
        <f>IF($B1625="","",(COUNTIF(C1625:E1625,"?*")&lt;N(INDEX(Setup!$L$6:$L$23,18)))+(COUNTIF(G1625:I1625,"?*")&lt;N(INDEX(Setup!$L$6:$L$23,18)))+(COUNTIF(K1625:M1625,"?*")&lt;N(INDEX(Setup!$L$6:$L$23,18)))+(COUNTIF(O1625:Q1625,"?*")&lt;N(INDEX(Setup!$L$6:$L$23,18)))+(COUNTIF(S1625:U1625,"?*")&lt;N(INDEX(Setup!$L$6:$L$23,18)))+((W1625="")*(INDEX(Setup!$M$6:$M$23,18)="Y"))+((Y1625="")*(INDEX(Setup!$M$6:$M$23,18)="Y")))</f>
        <v/>
      </c>
      <c r="AC1625" s="91">
        <f>IF($B1625="","",IF(AB1625=0,"✓ covered","⚠ "&amp;AB1625&amp;IF(AB1625=1," gap"," gaps")))</f>
        <v/>
      </c>
    </row>
    <row r="1626" ht="18" customHeight="1">
      <c r="A1626" t="n">
        <v>33</v>
      </c>
      <c r="B1626" s="78" t="inlineStr">
        <is>
          <t>TEAM AVAILABILITY</t>
        </is>
      </c>
      <c r="C1626" s="92" t="inlineStr">
        <is>
          <t>Mon</t>
        </is>
      </c>
      <c r="D1626" s="93" t="n"/>
      <c r="E1626" s="93" t="n"/>
      <c r="F1626" s="94" t="n"/>
      <c r="G1626" s="92" t="inlineStr">
        <is>
          <t>Tue</t>
        </is>
      </c>
      <c r="H1626" s="93" t="n"/>
      <c r="I1626" s="93" t="n"/>
      <c r="J1626" s="94" t="n"/>
      <c r="K1626" s="92" t="inlineStr">
        <is>
          <t>Wed</t>
        </is>
      </c>
      <c r="L1626" s="93" t="n"/>
      <c r="M1626" s="93" t="n"/>
      <c r="N1626" s="94" t="n"/>
      <c r="O1626" s="92" t="inlineStr">
        <is>
          <t>Thu</t>
        </is>
      </c>
      <c r="P1626" s="93" t="n"/>
      <c r="Q1626" s="93" t="n"/>
      <c r="R1626" s="94" t="n"/>
      <c r="S1626" s="92" t="inlineStr">
        <is>
          <t>Fri</t>
        </is>
      </c>
      <c r="T1626" s="93" t="n"/>
      <c r="U1626" s="93" t="n"/>
      <c r="V1626" s="94" t="n"/>
      <c r="W1626" s="95" t="inlineStr">
        <is>
          <t>Sat</t>
        </is>
      </c>
      <c r="X1626" s="96" t="n"/>
      <c r="Y1626" s="95" t="inlineStr">
        <is>
          <t>Sun</t>
        </is>
      </c>
      <c r="Z1626" s="96" t="n"/>
      <c r="AB1626" s="97" t="inlineStr">
        <is>
          <t>Days rostered</t>
        </is>
      </c>
      <c r="AC1626" s="97" t="inlineStr">
        <is>
          <t>Conflicts</t>
        </is>
      </c>
    </row>
    <row r="1627" ht="15" customHeight="1">
      <c r="A1627" t="n">
        <v>33</v>
      </c>
      <c r="B1627" s="35">
        <f>IF(Setup!$B$6="","",Setup!$B$6)</f>
        <v/>
      </c>
      <c r="C1627" s="98" t="n"/>
      <c r="D1627" s="99" t="n"/>
      <c r="E1627" s="99" t="n"/>
      <c r="F1627" s="100" t="n"/>
      <c r="G1627" s="98" t="n"/>
      <c r="H1627" s="99" t="n"/>
      <c r="I1627" s="99" t="n"/>
      <c r="J1627" s="100" t="n"/>
      <c r="K1627" s="98" t="n"/>
      <c r="L1627" s="99" t="n"/>
      <c r="M1627" s="99" t="n"/>
      <c r="N1627" s="100" t="n"/>
      <c r="O1627" s="98" t="n"/>
      <c r="P1627" s="99" t="n"/>
      <c r="Q1627" s="99" t="n"/>
      <c r="R1627" s="100" t="n"/>
      <c r="S1627" s="98" t="n"/>
      <c r="T1627" s="99" t="n"/>
      <c r="U1627" s="99" t="n"/>
      <c r="V1627" s="100" t="n"/>
      <c r="W1627" s="98" t="n"/>
      <c r="X1627" s="100" t="n"/>
      <c r="Y1627" s="98" t="n"/>
      <c r="Z1627" s="100" t="n"/>
      <c r="AB1627" s="101">
        <f>IF($B1627="","",(COUNTIF(C1608:E1625,$B1627)+COUNTIF(C1608:E1625,$B1627&amp;" ~*")&gt;0)+(COUNTIF(G1608:I1625,$B1627)+COUNTIF(G1608:I1625,$B1627&amp;" ~*")&gt;0)+(COUNTIF(K1608:M1625,$B1627)+COUNTIF(K1608:M1625,$B1627&amp;" ~*")&gt;0)+(COUNTIF(O1608:Q1625,$B1627)+COUNTIF(O1608:Q1625,$B1627&amp;" ~*")&gt;0)+(COUNTIF(S1608:U1625,$B1627)+COUNTIF(S1608:U1625,$B1627&amp;" ~*")&gt;0)+(COUNTIF(W1608:W1625,$B1627)+COUNTIF(W1608:W1625,$B1627&amp;" ~*")&gt;0)+(COUNTIF(Y1608:Y1625,$B1627)+COUNTIF(Y1608:Y1625,$B1627&amp;" ~*")&gt;0))</f>
        <v/>
      </c>
      <c r="AC1627" s="36">
        <f>IF($B1627="","",(IFERROR(INDEX(Setup!$G$33:$G$40,MATCH(C1627,Setup!$B$33:$B$40,0)),0)=1)*(COUNTIF(C1608:E1625,$B1627)+COUNTIF(C1608:E1625,$B1627&amp;" ~*")&gt;0)+(IFERROR(INDEX(Setup!$G$33:$G$40,MATCH(G1627,Setup!$B$33:$B$40,0)),0)=1)*(COUNTIF(G1608:I1625,$B1627)+COUNTIF(G1608:I1625,$B1627&amp;" ~*")&gt;0)+(IFERROR(INDEX(Setup!$G$33:$G$40,MATCH(K1627,Setup!$B$33:$B$40,0)),0)=1)*(COUNTIF(K1608:M1625,$B1627)+COUNTIF(K1608:M1625,$B1627&amp;" ~*")&gt;0)+(IFERROR(INDEX(Setup!$G$33:$G$40,MATCH(O1627,Setup!$B$33:$B$40,0)),0)=1)*(COUNTIF(O1608:Q1625,$B1627)+COUNTIF(O1608:Q1625,$B1627&amp;" ~*")&gt;0)+(IFERROR(INDEX(Setup!$G$33:$G$40,MATCH(S1627,Setup!$B$33:$B$40,0)),0)=1)*(COUNTIF(S1608:U1625,$B1627)+COUNTIF(S1608:U1625,$B1627&amp;" ~*")&gt;0)+(IFERROR(INDEX(Setup!$G$33:$G$40,MATCH(W1627,Setup!$B$33:$B$40,0)),0)=1)*(COUNTIF(W1608:W1625,$B1627)+COUNTIF(W1608:W1625,$B1627&amp;" ~*")&gt;0)+(IFERROR(INDEX(Setup!$G$33:$G$40,MATCH(Y1627,Setup!$B$33:$B$40,0)),0)=1)*(COUNTIF(Y1608:Y1625,$B1627)+COUNTIF(Y1608:Y1625,$B1627&amp;" ~*")&gt;0))</f>
        <v/>
      </c>
    </row>
    <row r="1628" ht="15" customHeight="1">
      <c r="A1628" t="n">
        <v>33</v>
      </c>
      <c r="B1628" s="37">
        <f>IF(Setup!$B$7="","",Setup!$B$7)</f>
        <v/>
      </c>
      <c r="C1628" s="102" t="n"/>
      <c r="D1628" s="103" t="n"/>
      <c r="E1628" s="103" t="n"/>
      <c r="F1628" s="104" t="n"/>
      <c r="G1628" s="102" t="n"/>
      <c r="H1628" s="103" t="n"/>
      <c r="I1628" s="103" t="n"/>
      <c r="J1628" s="104" t="n"/>
      <c r="K1628" s="102" t="n"/>
      <c r="L1628" s="103" t="n"/>
      <c r="M1628" s="103" t="n"/>
      <c r="N1628" s="104" t="n"/>
      <c r="O1628" s="102" t="n"/>
      <c r="P1628" s="103" t="n"/>
      <c r="Q1628" s="103" t="n"/>
      <c r="R1628" s="104" t="n"/>
      <c r="S1628" s="102" t="n"/>
      <c r="T1628" s="103" t="n"/>
      <c r="U1628" s="103" t="n"/>
      <c r="V1628" s="104" t="n"/>
      <c r="W1628" s="102" t="n"/>
      <c r="X1628" s="104" t="n"/>
      <c r="Y1628" s="102" t="n"/>
      <c r="Z1628" s="104" t="n"/>
      <c r="AB1628" s="105">
        <f>IF($B1628="","",(COUNTIF(C1608:E1625,$B1628)+COUNTIF(C1608:E1625,$B1628&amp;" ~*")&gt;0)+(COUNTIF(G1608:I1625,$B1628)+COUNTIF(G1608:I1625,$B1628&amp;" ~*")&gt;0)+(COUNTIF(K1608:M1625,$B1628)+COUNTIF(K1608:M1625,$B1628&amp;" ~*")&gt;0)+(COUNTIF(O1608:Q1625,$B1628)+COUNTIF(O1608:Q1625,$B1628&amp;" ~*")&gt;0)+(COUNTIF(S1608:U1625,$B1628)+COUNTIF(S1608:U1625,$B1628&amp;" ~*")&gt;0)+(COUNTIF(W1608:W1625,$B1628)+COUNTIF(W1608:W1625,$B1628&amp;" ~*")&gt;0)+(COUNTIF(Y1608:Y1625,$B1628)+COUNTIF(Y1608:Y1625,$B1628&amp;" ~*")&gt;0))</f>
        <v/>
      </c>
      <c r="AC1628" s="38">
        <f>IF($B1628="","",(IFERROR(INDEX(Setup!$G$33:$G$40,MATCH(C1628,Setup!$B$33:$B$40,0)),0)=1)*(COUNTIF(C1608:E1625,$B1628)+COUNTIF(C1608:E1625,$B1628&amp;" ~*")&gt;0)+(IFERROR(INDEX(Setup!$G$33:$G$40,MATCH(G1628,Setup!$B$33:$B$40,0)),0)=1)*(COUNTIF(G1608:I1625,$B1628)+COUNTIF(G1608:I1625,$B1628&amp;" ~*")&gt;0)+(IFERROR(INDEX(Setup!$G$33:$G$40,MATCH(K1628,Setup!$B$33:$B$40,0)),0)=1)*(COUNTIF(K1608:M1625,$B1628)+COUNTIF(K1608:M1625,$B1628&amp;" ~*")&gt;0)+(IFERROR(INDEX(Setup!$G$33:$G$40,MATCH(O1628,Setup!$B$33:$B$40,0)),0)=1)*(COUNTIF(O1608:Q1625,$B1628)+COUNTIF(O1608:Q1625,$B1628&amp;" ~*")&gt;0)+(IFERROR(INDEX(Setup!$G$33:$G$40,MATCH(S1628,Setup!$B$33:$B$40,0)),0)=1)*(COUNTIF(S1608:U1625,$B1628)+COUNTIF(S1608:U1625,$B1628&amp;" ~*")&gt;0)+(IFERROR(INDEX(Setup!$G$33:$G$40,MATCH(W1628,Setup!$B$33:$B$40,0)),0)=1)*(COUNTIF(W1608:W1625,$B1628)+COUNTIF(W1608:W1625,$B1628&amp;" ~*")&gt;0)+(IFERROR(INDEX(Setup!$G$33:$G$40,MATCH(Y1628,Setup!$B$33:$B$40,0)),0)=1)*(COUNTIF(Y1608:Y1625,$B1628)+COUNTIF(Y1608:Y1625,$B1628&amp;" ~*")&gt;0))</f>
        <v/>
      </c>
    </row>
    <row r="1629" ht="15" customHeight="1">
      <c r="A1629" t="n">
        <v>33</v>
      </c>
      <c r="B1629" s="35">
        <f>IF(Setup!$B$8="","",Setup!$B$8)</f>
        <v/>
      </c>
      <c r="C1629" s="98" t="n"/>
      <c r="D1629" s="99" t="n"/>
      <c r="E1629" s="99" t="n"/>
      <c r="F1629" s="100" t="n"/>
      <c r="G1629" s="98" t="n"/>
      <c r="H1629" s="99" t="n"/>
      <c r="I1629" s="99" t="n"/>
      <c r="J1629" s="100" t="n"/>
      <c r="K1629" s="98" t="n"/>
      <c r="L1629" s="99" t="n"/>
      <c r="M1629" s="99" t="n"/>
      <c r="N1629" s="100" t="n"/>
      <c r="O1629" s="98" t="n"/>
      <c r="P1629" s="99" t="n"/>
      <c r="Q1629" s="99" t="n"/>
      <c r="R1629" s="100" t="n"/>
      <c r="S1629" s="98" t="n"/>
      <c r="T1629" s="99" t="n"/>
      <c r="U1629" s="99" t="n"/>
      <c r="V1629" s="100" t="n"/>
      <c r="W1629" s="98" t="n"/>
      <c r="X1629" s="100" t="n"/>
      <c r="Y1629" s="98" t="n"/>
      <c r="Z1629" s="100" t="n"/>
      <c r="AB1629" s="101">
        <f>IF($B1629="","",(COUNTIF(C1608:E1625,$B1629)+COUNTIF(C1608:E1625,$B1629&amp;" ~*")&gt;0)+(COUNTIF(G1608:I1625,$B1629)+COUNTIF(G1608:I1625,$B1629&amp;" ~*")&gt;0)+(COUNTIF(K1608:M1625,$B1629)+COUNTIF(K1608:M1625,$B1629&amp;" ~*")&gt;0)+(COUNTIF(O1608:Q1625,$B1629)+COUNTIF(O1608:Q1625,$B1629&amp;" ~*")&gt;0)+(COUNTIF(S1608:U1625,$B1629)+COUNTIF(S1608:U1625,$B1629&amp;" ~*")&gt;0)+(COUNTIF(W1608:W1625,$B1629)+COUNTIF(W1608:W1625,$B1629&amp;" ~*")&gt;0)+(COUNTIF(Y1608:Y1625,$B1629)+COUNTIF(Y1608:Y1625,$B1629&amp;" ~*")&gt;0))</f>
        <v/>
      </c>
      <c r="AC1629" s="36">
        <f>IF($B1629="","",(IFERROR(INDEX(Setup!$G$33:$G$40,MATCH(C1629,Setup!$B$33:$B$40,0)),0)=1)*(COUNTIF(C1608:E1625,$B1629)+COUNTIF(C1608:E1625,$B1629&amp;" ~*")&gt;0)+(IFERROR(INDEX(Setup!$G$33:$G$40,MATCH(G1629,Setup!$B$33:$B$40,0)),0)=1)*(COUNTIF(G1608:I1625,$B1629)+COUNTIF(G1608:I1625,$B1629&amp;" ~*")&gt;0)+(IFERROR(INDEX(Setup!$G$33:$G$40,MATCH(K1629,Setup!$B$33:$B$40,0)),0)=1)*(COUNTIF(K1608:M1625,$B1629)+COUNTIF(K1608:M1625,$B1629&amp;" ~*")&gt;0)+(IFERROR(INDEX(Setup!$G$33:$G$40,MATCH(O1629,Setup!$B$33:$B$40,0)),0)=1)*(COUNTIF(O1608:Q1625,$B1629)+COUNTIF(O1608:Q1625,$B1629&amp;" ~*")&gt;0)+(IFERROR(INDEX(Setup!$G$33:$G$40,MATCH(S1629,Setup!$B$33:$B$40,0)),0)=1)*(COUNTIF(S1608:U1625,$B1629)+COUNTIF(S1608:U1625,$B1629&amp;" ~*")&gt;0)+(IFERROR(INDEX(Setup!$G$33:$G$40,MATCH(W1629,Setup!$B$33:$B$40,0)),0)=1)*(COUNTIF(W1608:W1625,$B1629)+COUNTIF(W1608:W1625,$B1629&amp;" ~*")&gt;0)+(IFERROR(INDEX(Setup!$G$33:$G$40,MATCH(Y1629,Setup!$B$33:$B$40,0)),0)=1)*(COUNTIF(Y1608:Y1625,$B1629)+COUNTIF(Y1608:Y1625,$B1629&amp;" ~*")&gt;0))</f>
        <v/>
      </c>
    </row>
    <row r="1630" ht="15" customHeight="1">
      <c r="A1630" t="n">
        <v>33</v>
      </c>
      <c r="B1630" s="37">
        <f>IF(Setup!$B$9="","",Setup!$B$9)</f>
        <v/>
      </c>
      <c r="C1630" s="102" t="n"/>
      <c r="D1630" s="103" t="n"/>
      <c r="E1630" s="103" t="n"/>
      <c r="F1630" s="104" t="n"/>
      <c r="G1630" s="102" t="n"/>
      <c r="H1630" s="103" t="n"/>
      <c r="I1630" s="103" t="n"/>
      <c r="J1630" s="104" t="n"/>
      <c r="K1630" s="102" t="n"/>
      <c r="L1630" s="103" t="n"/>
      <c r="M1630" s="103" t="n"/>
      <c r="N1630" s="104" t="n"/>
      <c r="O1630" s="102" t="n"/>
      <c r="P1630" s="103" t="n"/>
      <c r="Q1630" s="103" t="n"/>
      <c r="R1630" s="104" t="n"/>
      <c r="S1630" s="102" t="n"/>
      <c r="T1630" s="103" t="n"/>
      <c r="U1630" s="103" t="n"/>
      <c r="V1630" s="104" t="n"/>
      <c r="W1630" s="102" t="n"/>
      <c r="X1630" s="104" t="n"/>
      <c r="Y1630" s="102" t="n"/>
      <c r="Z1630" s="104" t="n"/>
      <c r="AB1630" s="105">
        <f>IF($B1630="","",(COUNTIF(C1608:E1625,$B1630)+COUNTIF(C1608:E1625,$B1630&amp;" ~*")&gt;0)+(COUNTIF(G1608:I1625,$B1630)+COUNTIF(G1608:I1625,$B1630&amp;" ~*")&gt;0)+(COUNTIF(K1608:M1625,$B1630)+COUNTIF(K1608:M1625,$B1630&amp;" ~*")&gt;0)+(COUNTIF(O1608:Q1625,$B1630)+COUNTIF(O1608:Q1625,$B1630&amp;" ~*")&gt;0)+(COUNTIF(S1608:U1625,$B1630)+COUNTIF(S1608:U1625,$B1630&amp;" ~*")&gt;0)+(COUNTIF(W1608:W1625,$B1630)+COUNTIF(W1608:W1625,$B1630&amp;" ~*")&gt;0)+(COUNTIF(Y1608:Y1625,$B1630)+COUNTIF(Y1608:Y1625,$B1630&amp;" ~*")&gt;0))</f>
        <v/>
      </c>
      <c r="AC1630" s="38">
        <f>IF($B1630="","",(IFERROR(INDEX(Setup!$G$33:$G$40,MATCH(C1630,Setup!$B$33:$B$40,0)),0)=1)*(COUNTIF(C1608:E1625,$B1630)+COUNTIF(C1608:E1625,$B1630&amp;" ~*")&gt;0)+(IFERROR(INDEX(Setup!$G$33:$G$40,MATCH(G1630,Setup!$B$33:$B$40,0)),0)=1)*(COUNTIF(G1608:I1625,$B1630)+COUNTIF(G1608:I1625,$B1630&amp;" ~*")&gt;0)+(IFERROR(INDEX(Setup!$G$33:$G$40,MATCH(K1630,Setup!$B$33:$B$40,0)),0)=1)*(COUNTIF(K1608:M1625,$B1630)+COUNTIF(K1608:M1625,$B1630&amp;" ~*")&gt;0)+(IFERROR(INDEX(Setup!$G$33:$G$40,MATCH(O1630,Setup!$B$33:$B$40,0)),0)=1)*(COUNTIF(O1608:Q1625,$B1630)+COUNTIF(O1608:Q1625,$B1630&amp;" ~*")&gt;0)+(IFERROR(INDEX(Setup!$G$33:$G$40,MATCH(S1630,Setup!$B$33:$B$40,0)),0)=1)*(COUNTIF(S1608:U1625,$B1630)+COUNTIF(S1608:U1625,$B1630&amp;" ~*")&gt;0)+(IFERROR(INDEX(Setup!$G$33:$G$40,MATCH(W1630,Setup!$B$33:$B$40,0)),0)=1)*(COUNTIF(W1608:W1625,$B1630)+COUNTIF(W1608:W1625,$B1630&amp;" ~*")&gt;0)+(IFERROR(INDEX(Setup!$G$33:$G$40,MATCH(Y1630,Setup!$B$33:$B$40,0)),0)=1)*(COUNTIF(Y1608:Y1625,$B1630)+COUNTIF(Y1608:Y1625,$B1630&amp;" ~*")&gt;0))</f>
        <v/>
      </c>
    </row>
    <row r="1631" ht="15" customHeight="1">
      <c r="A1631" t="n">
        <v>33</v>
      </c>
      <c r="B1631" s="35">
        <f>IF(Setup!$B$10="","",Setup!$B$10)</f>
        <v/>
      </c>
      <c r="C1631" s="98" t="n"/>
      <c r="D1631" s="99" t="n"/>
      <c r="E1631" s="99" t="n"/>
      <c r="F1631" s="100" t="n"/>
      <c r="G1631" s="98" t="n"/>
      <c r="H1631" s="99" t="n"/>
      <c r="I1631" s="99" t="n"/>
      <c r="J1631" s="100" t="n"/>
      <c r="K1631" s="98" t="n"/>
      <c r="L1631" s="99" t="n"/>
      <c r="M1631" s="99" t="n"/>
      <c r="N1631" s="100" t="n"/>
      <c r="O1631" s="98" t="n"/>
      <c r="P1631" s="99" t="n"/>
      <c r="Q1631" s="99" t="n"/>
      <c r="R1631" s="100" t="n"/>
      <c r="S1631" s="98" t="n"/>
      <c r="T1631" s="99" t="n"/>
      <c r="U1631" s="99" t="n"/>
      <c r="V1631" s="100" t="n"/>
      <c r="W1631" s="98" t="n"/>
      <c r="X1631" s="100" t="n"/>
      <c r="Y1631" s="98" t="n"/>
      <c r="Z1631" s="100" t="n"/>
      <c r="AB1631" s="101">
        <f>IF($B1631="","",(COUNTIF(C1608:E1625,$B1631)+COUNTIF(C1608:E1625,$B1631&amp;" ~*")&gt;0)+(COUNTIF(G1608:I1625,$B1631)+COUNTIF(G1608:I1625,$B1631&amp;" ~*")&gt;0)+(COUNTIF(K1608:M1625,$B1631)+COUNTIF(K1608:M1625,$B1631&amp;" ~*")&gt;0)+(COUNTIF(O1608:Q1625,$B1631)+COUNTIF(O1608:Q1625,$B1631&amp;" ~*")&gt;0)+(COUNTIF(S1608:U1625,$B1631)+COUNTIF(S1608:U1625,$B1631&amp;" ~*")&gt;0)+(COUNTIF(W1608:W1625,$B1631)+COUNTIF(W1608:W1625,$B1631&amp;" ~*")&gt;0)+(COUNTIF(Y1608:Y1625,$B1631)+COUNTIF(Y1608:Y1625,$B1631&amp;" ~*")&gt;0))</f>
        <v/>
      </c>
      <c r="AC1631" s="36">
        <f>IF($B1631="","",(IFERROR(INDEX(Setup!$G$33:$G$40,MATCH(C1631,Setup!$B$33:$B$40,0)),0)=1)*(COUNTIF(C1608:E1625,$B1631)+COUNTIF(C1608:E1625,$B1631&amp;" ~*")&gt;0)+(IFERROR(INDEX(Setup!$G$33:$G$40,MATCH(G1631,Setup!$B$33:$B$40,0)),0)=1)*(COUNTIF(G1608:I1625,$B1631)+COUNTIF(G1608:I1625,$B1631&amp;" ~*")&gt;0)+(IFERROR(INDEX(Setup!$G$33:$G$40,MATCH(K1631,Setup!$B$33:$B$40,0)),0)=1)*(COUNTIF(K1608:M1625,$B1631)+COUNTIF(K1608:M1625,$B1631&amp;" ~*")&gt;0)+(IFERROR(INDEX(Setup!$G$33:$G$40,MATCH(O1631,Setup!$B$33:$B$40,0)),0)=1)*(COUNTIF(O1608:Q1625,$B1631)+COUNTIF(O1608:Q1625,$B1631&amp;" ~*")&gt;0)+(IFERROR(INDEX(Setup!$G$33:$G$40,MATCH(S1631,Setup!$B$33:$B$40,0)),0)=1)*(COUNTIF(S1608:U1625,$B1631)+COUNTIF(S1608:U1625,$B1631&amp;" ~*")&gt;0)+(IFERROR(INDEX(Setup!$G$33:$G$40,MATCH(W1631,Setup!$B$33:$B$40,0)),0)=1)*(COUNTIF(W1608:W1625,$B1631)+COUNTIF(W1608:W1625,$B1631&amp;" ~*")&gt;0)+(IFERROR(INDEX(Setup!$G$33:$G$40,MATCH(Y1631,Setup!$B$33:$B$40,0)),0)=1)*(COUNTIF(Y1608:Y1625,$B1631)+COUNTIF(Y1608:Y1625,$B1631&amp;" ~*")&gt;0))</f>
        <v/>
      </c>
    </row>
    <row r="1632" ht="15" customHeight="1">
      <c r="A1632" t="n">
        <v>33</v>
      </c>
      <c r="B1632" s="37">
        <f>IF(Setup!$B$11="","",Setup!$B$11)</f>
        <v/>
      </c>
      <c r="C1632" s="102" t="n"/>
      <c r="D1632" s="103" t="n"/>
      <c r="E1632" s="103" t="n"/>
      <c r="F1632" s="104" t="n"/>
      <c r="G1632" s="102" t="n"/>
      <c r="H1632" s="103" t="n"/>
      <c r="I1632" s="103" t="n"/>
      <c r="J1632" s="104" t="n"/>
      <c r="K1632" s="102" t="n"/>
      <c r="L1632" s="103" t="n"/>
      <c r="M1632" s="103" t="n"/>
      <c r="N1632" s="104" t="n"/>
      <c r="O1632" s="102" t="n"/>
      <c r="P1632" s="103" t="n"/>
      <c r="Q1632" s="103" t="n"/>
      <c r="R1632" s="104" t="n"/>
      <c r="S1632" s="102" t="n"/>
      <c r="T1632" s="103" t="n"/>
      <c r="U1632" s="103" t="n"/>
      <c r="V1632" s="104" t="n"/>
      <c r="W1632" s="102" t="n"/>
      <c r="X1632" s="104" t="n"/>
      <c r="Y1632" s="102" t="n"/>
      <c r="Z1632" s="104" t="n"/>
      <c r="AB1632" s="105">
        <f>IF($B1632="","",(COUNTIF(C1608:E1625,$B1632)+COUNTIF(C1608:E1625,$B1632&amp;" ~*")&gt;0)+(COUNTIF(G1608:I1625,$B1632)+COUNTIF(G1608:I1625,$B1632&amp;" ~*")&gt;0)+(COUNTIF(K1608:M1625,$B1632)+COUNTIF(K1608:M1625,$B1632&amp;" ~*")&gt;0)+(COUNTIF(O1608:Q1625,$B1632)+COUNTIF(O1608:Q1625,$B1632&amp;" ~*")&gt;0)+(COUNTIF(S1608:U1625,$B1632)+COUNTIF(S1608:U1625,$B1632&amp;" ~*")&gt;0)+(COUNTIF(W1608:W1625,$B1632)+COUNTIF(W1608:W1625,$B1632&amp;" ~*")&gt;0)+(COUNTIF(Y1608:Y1625,$B1632)+COUNTIF(Y1608:Y1625,$B1632&amp;" ~*")&gt;0))</f>
        <v/>
      </c>
      <c r="AC1632" s="38">
        <f>IF($B1632="","",(IFERROR(INDEX(Setup!$G$33:$G$40,MATCH(C1632,Setup!$B$33:$B$40,0)),0)=1)*(COUNTIF(C1608:E1625,$B1632)+COUNTIF(C1608:E1625,$B1632&amp;" ~*")&gt;0)+(IFERROR(INDEX(Setup!$G$33:$G$40,MATCH(G1632,Setup!$B$33:$B$40,0)),0)=1)*(COUNTIF(G1608:I1625,$B1632)+COUNTIF(G1608:I1625,$B1632&amp;" ~*")&gt;0)+(IFERROR(INDEX(Setup!$G$33:$G$40,MATCH(K1632,Setup!$B$33:$B$40,0)),0)=1)*(COUNTIF(K1608:M1625,$B1632)+COUNTIF(K1608:M1625,$B1632&amp;" ~*")&gt;0)+(IFERROR(INDEX(Setup!$G$33:$G$40,MATCH(O1632,Setup!$B$33:$B$40,0)),0)=1)*(COUNTIF(O1608:Q1625,$B1632)+COUNTIF(O1608:Q1625,$B1632&amp;" ~*")&gt;0)+(IFERROR(INDEX(Setup!$G$33:$G$40,MATCH(S1632,Setup!$B$33:$B$40,0)),0)=1)*(COUNTIF(S1608:U1625,$B1632)+COUNTIF(S1608:U1625,$B1632&amp;" ~*")&gt;0)+(IFERROR(INDEX(Setup!$G$33:$G$40,MATCH(W1632,Setup!$B$33:$B$40,0)),0)=1)*(COUNTIF(W1608:W1625,$B1632)+COUNTIF(W1608:W1625,$B1632&amp;" ~*")&gt;0)+(IFERROR(INDEX(Setup!$G$33:$G$40,MATCH(Y1632,Setup!$B$33:$B$40,0)),0)=1)*(COUNTIF(Y1608:Y1625,$B1632)+COUNTIF(Y1608:Y1625,$B1632&amp;" ~*")&gt;0))</f>
        <v/>
      </c>
    </row>
    <row r="1633" ht="15" customHeight="1">
      <c r="A1633" t="n">
        <v>33</v>
      </c>
      <c r="B1633" s="35">
        <f>IF(Setup!$B$12="","",Setup!$B$12)</f>
        <v/>
      </c>
      <c r="C1633" s="98" t="n"/>
      <c r="D1633" s="99" t="n"/>
      <c r="E1633" s="99" t="n"/>
      <c r="F1633" s="100" t="n"/>
      <c r="G1633" s="98" t="n"/>
      <c r="H1633" s="99" t="n"/>
      <c r="I1633" s="99" t="n"/>
      <c r="J1633" s="100" t="n"/>
      <c r="K1633" s="98" t="n"/>
      <c r="L1633" s="99" t="n"/>
      <c r="M1633" s="99" t="n"/>
      <c r="N1633" s="100" t="n"/>
      <c r="O1633" s="98" t="n"/>
      <c r="P1633" s="99" t="n"/>
      <c r="Q1633" s="99" t="n"/>
      <c r="R1633" s="100" t="n"/>
      <c r="S1633" s="98" t="n"/>
      <c r="T1633" s="99" t="n"/>
      <c r="U1633" s="99" t="n"/>
      <c r="V1633" s="100" t="n"/>
      <c r="W1633" s="98" t="n"/>
      <c r="X1633" s="100" t="n"/>
      <c r="Y1633" s="98" t="n"/>
      <c r="Z1633" s="100" t="n"/>
      <c r="AB1633" s="101">
        <f>IF($B1633="","",(COUNTIF(C1608:E1625,$B1633)+COUNTIF(C1608:E1625,$B1633&amp;" ~*")&gt;0)+(COUNTIF(G1608:I1625,$B1633)+COUNTIF(G1608:I1625,$B1633&amp;" ~*")&gt;0)+(COUNTIF(K1608:M1625,$B1633)+COUNTIF(K1608:M1625,$B1633&amp;" ~*")&gt;0)+(COUNTIF(O1608:Q1625,$B1633)+COUNTIF(O1608:Q1625,$B1633&amp;" ~*")&gt;0)+(COUNTIF(S1608:U1625,$B1633)+COUNTIF(S1608:U1625,$B1633&amp;" ~*")&gt;0)+(COUNTIF(W1608:W1625,$B1633)+COUNTIF(W1608:W1625,$B1633&amp;" ~*")&gt;0)+(COUNTIF(Y1608:Y1625,$B1633)+COUNTIF(Y1608:Y1625,$B1633&amp;" ~*")&gt;0))</f>
        <v/>
      </c>
      <c r="AC1633" s="36">
        <f>IF($B1633="","",(IFERROR(INDEX(Setup!$G$33:$G$40,MATCH(C1633,Setup!$B$33:$B$40,0)),0)=1)*(COUNTIF(C1608:E1625,$B1633)+COUNTIF(C1608:E1625,$B1633&amp;" ~*")&gt;0)+(IFERROR(INDEX(Setup!$G$33:$G$40,MATCH(G1633,Setup!$B$33:$B$40,0)),0)=1)*(COUNTIF(G1608:I1625,$B1633)+COUNTIF(G1608:I1625,$B1633&amp;" ~*")&gt;0)+(IFERROR(INDEX(Setup!$G$33:$G$40,MATCH(K1633,Setup!$B$33:$B$40,0)),0)=1)*(COUNTIF(K1608:M1625,$B1633)+COUNTIF(K1608:M1625,$B1633&amp;" ~*")&gt;0)+(IFERROR(INDEX(Setup!$G$33:$G$40,MATCH(O1633,Setup!$B$33:$B$40,0)),0)=1)*(COUNTIF(O1608:Q1625,$B1633)+COUNTIF(O1608:Q1625,$B1633&amp;" ~*")&gt;0)+(IFERROR(INDEX(Setup!$G$33:$G$40,MATCH(S1633,Setup!$B$33:$B$40,0)),0)=1)*(COUNTIF(S1608:U1625,$B1633)+COUNTIF(S1608:U1625,$B1633&amp;" ~*")&gt;0)+(IFERROR(INDEX(Setup!$G$33:$G$40,MATCH(W1633,Setup!$B$33:$B$40,0)),0)=1)*(COUNTIF(W1608:W1625,$B1633)+COUNTIF(W1608:W1625,$B1633&amp;" ~*")&gt;0)+(IFERROR(INDEX(Setup!$G$33:$G$40,MATCH(Y1633,Setup!$B$33:$B$40,0)),0)=1)*(COUNTIF(Y1608:Y1625,$B1633)+COUNTIF(Y1608:Y1625,$B1633&amp;" ~*")&gt;0))</f>
        <v/>
      </c>
    </row>
    <row r="1634" ht="15" customHeight="1">
      <c r="A1634" t="n">
        <v>33</v>
      </c>
      <c r="B1634" s="37">
        <f>IF(Setup!$B$13="","",Setup!$B$13)</f>
        <v/>
      </c>
      <c r="C1634" s="102" t="n"/>
      <c r="D1634" s="103" t="n"/>
      <c r="E1634" s="103" t="n"/>
      <c r="F1634" s="104" t="n"/>
      <c r="G1634" s="102" t="n"/>
      <c r="H1634" s="103" t="n"/>
      <c r="I1634" s="103" t="n"/>
      <c r="J1634" s="104" t="n"/>
      <c r="K1634" s="102" t="n"/>
      <c r="L1634" s="103" t="n"/>
      <c r="M1634" s="103" t="n"/>
      <c r="N1634" s="104" t="n"/>
      <c r="O1634" s="102" t="n"/>
      <c r="P1634" s="103" t="n"/>
      <c r="Q1634" s="103" t="n"/>
      <c r="R1634" s="104" t="n"/>
      <c r="S1634" s="102" t="n"/>
      <c r="T1634" s="103" t="n"/>
      <c r="U1634" s="103" t="n"/>
      <c r="V1634" s="104" t="n"/>
      <c r="W1634" s="102" t="n"/>
      <c r="X1634" s="104" t="n"/>
      <c r="Y1634" s="102" t="n"/>
      <c r="Z1634" s="104" t="n"/>
      <c r="AB1634" s="105">
        <f>IF($B1634="","",(COUNTIF(C1608:E1625,$B1634)+COUNTIF(C1608:E1625,$B1634&amp;" ~*")&gt;0)+(COUNTIF(G1608:I1625,$B1634)+COUNTIF(G1608:I1625,$B1634&amp;" ~*")&gt;0)+(COUNTIF(K1608:M1625,$B1634)+COUNTIF(K1608:M1625,$B1634&amp;" ~*")&gt;0)+(COUNTIF(O1608:Q1625,$B1634)+COUNTIF(O1608:Q1625,$B1634&amp;" ~*")&gt;0)+(COUNTIF(S1608:U1625,$B1634)+COUNTIF(S1608:U1625,$B1634&amp;" ~*")&gt;0)+(COUNTIF(W1608:W1625,$B1634)+COUNTIF(W1608:W1625,$B1634&amp;" ~*")&gt;0)+(COUNTIF(Y1608:Y1625,$B1634)+COUNTIF(Y1608:Y1625,$B1634&amp;" ~*")&gt;0))</f>
        <v/>
      </c>
      <c r="AC1634" s="38">
        <f>IF($B1634="","",(IFERROR(INDEX(Setup!$G$33:$G$40,MATCH(C1634,Setup!$B$33:$B$40,0)),0)=1)*(COUNTIF(C1608:E1625,$B1634)+COUNTIF(C1608:E1625,$B1634&amp;" ~*")&gt;0)+(IFERROR(INDEX(Setup!$G$33:$G$40,MATCH(G1634,Setup!$B$33:$B$40,0)),0)=1)*(COUNTIF(G1608:I1625,$B1634)+COUNTIF(G1608:I1625,$B1634&amp;" ~*")&gt;0)+(IFERROR(INDEX(Setup!$G$33:$G$40,MATCH(K1634,Setup!$B$33:$B$40,0)),0)=1)*(COUNTIF(K1608:M1625,$B1634)+COUNTIF(K1608:M1625,$B1634&amp;" ~*")&gt;0)+(IFERROR(INDEX(Setup!$G$33:$G$40,MATCH(O1634,Setup!$B$33:$B$40,0)),0)=1)*(COUNTIF(O1608:Q1625,$B1634)+COUNTIF(O1608:Q1625,$B1634&amp;" ~*")&gt;0)+(IFERROR(INDEX(Setup!$G$33:$G$40,MATCH(S1634,Setup!$B$33:$B$40,0)),0)=1)*(COUNTIF(S1608:U1625,$B1634)+COUNTIF(S1608:U1625,$B1634&amp;" ~*")&gt;0)+(IFERROR(INDEX(Setup!$G$33:$G$40,MATCH(W1634,Setup!$B$33:$B$40,0)),0)=1)*(COUNTIF(W1608:W1625,$B1634)+COUNTIF(W1608:W1625,$B1634&amp;" ~*")&gt;0)+(IFERROR(INDEX(Setup!$G$33:$G$40,MATCH(Y1634,Setup!$B$33:$B$40,0)),0)=1)*(COUNTIF(Y1608:Y1625,$B1634)+COUNTIF(Y1608:Y1625,$B1634&amp;" ~*")&gt;0))</f>
        <v/>
      </c>
    </row>
    <row r="1635" ht="15" customHeight="1">
      <c r="A1635" t="n">
        <v>33</v>
      </c>
      <c r="B1635" s="35">
        <f>IF(Setup!$B$14="","",Setup!$B$14)</f>
        <v/>
      </c>
      <c r="C1635" s="98" t="n"/>
      <c r="D1635" s="99" t="n"/>
      <c r="E1635" s="99" t="n"/>
      <c r="F1635" s="100" t="n"/>
      <c r="G1635" s="98" t="n"/>
      <c r="H1635" s="99" t="n"/>
      <c r="I1635" s="99" t="n"/>
      <c r="J1635" s="100" t="n"/>
      <c r="K1635" s="98" t="n"/>
      <c r="L1635" s="99" t="n"/>
      <c r="M1635" s="99" t="n"/>
      <c r="N1635" s="100" t="n"/>
      <c r="O1635" s="98" t="n"/>
      <c r="P1635" s="99" t="n"/>
      <c r="Q1635" s="99" t="n"/>
      <c r="R1635" s="100" t="n"/>
      <c r="S1635" s="98" t="n"/>
      <c r="T1635" s="99" t="n"/>
      <c r="U1635" s="99" t="n"/>
      <c r="V1635" s="100" t="n"/>
      <c r="W1635" s="98" t="n"/>
      <c r="X1635" s="100" t="n"/>
      <c r="Y1635" s="98" t="n"/>
      <c r="Z1635" s="100" t="n"/>
      <c r="AB1635" s="101">
        <f>IF($B1635="","",(COUNTIF(C1608:E1625,$B1635)+COUNTIF(C1608:E1625,$B1635&amp;" ~*")&gt;0)+(COUNTIF(G1608:I1625,$B1635)+COUNTIF(G1608:I1625,$B1635&amp;" ~*")&gt;0)+(COUNTIF(K1608:M1625,$B1635)+COUNTIF(K1608:M1625,$B1635&amp;" ~*")&gt;0)+(COUNTIF(O1608:Q1625,$B1635)+COUNTIF(O1608:Q1625,$B1635&amp;" ~*")&gt;0)+(COUNTIF(S1608:U1625,$B1635)+COUNTIF(S1608:U1625,$B1635&amp;" ~*")&gt;0)+(COUNTIF(W1608:W1625,$B1635)+COUNTIF(W1608:W1625,$B1635&amp;" ~*")&gt;0)+(COUNTIF(Y1608:Y1625,$B1635)+COUNTIF(Y1608:Y1625,$B1635&amp;" ~*")&gt;0))</f>
        <v/>
      </c>
      <c r="AC1635" s="36">
        <f>IF($B1635="","",(IFERROR(INDEX(Setup!$G$33:$G$40,MATCH(C1635,Setup!$B$33:$B$40,0)),0)=1)*(COUNTIF(C1608:E1625,$B1635)+COUNTIF(C1608:E1625,$B1635&amp;" ~*")&gt;0)+(IFERROR(INDEX(Setup!$G$33:$G$40,MATCH(G1635,Setup!$B$33:$B$40,0)),0)=1)*(COUNTIF(G1608:I1625,$B1635)+COUNTIF(G1608:I1625,$B1635&amp;" ~*")&gt;0)+(IFERROR(INDEX(Setup!$G$33:$G$40,MATCH(K1635,Setup!$B$33:$B$40,0)),0)=1)*(COUNTIF(K1608:M1625,$B1635)+COUNTIF(K1608:M1625,$B1635&amp;" ~*")&gt;0)+(IFERROR(INDEX(Setup!$G$33:$G$40,MATCH(O1635,Setup!$B$33:$B$40,0)),0)=1)*(COUNTIF(O1608:Q1625,$B1635)+COUNTIF(O1608:Q1625,$B1635&amp;" ~*")&gt;0)+(IFERROR(INDEX(Setup!$G$33:$G$40,MATCH(S1635,Setup!$B$33:$B$40,0)),0)=1)*(COUNTIF(S1608:U1625,$B1635)+COUNTIF(S1608:U1625,$B1635&amp;" ~*")&gt;0)+(IFERROR(INDEX(Setup!$G$33:$G$40,MATCH(W1635,Setup!$B$33:$B$40,0)),0)=1)*(COUNTIF(W1608:W1625,$B1635)+COUNTIF(W1608:W1625,$B1635&amp;" ~*")&gt;0)+(IFERROR(INDEX(Setup!$G$33:$G$40,MATCH(Y1635,Setup!$B$33:$B$40,0)),0)=1)*(COUNTIF(Y1608:Y1625,$B1635)+COUNTIF(Y1608:Y1625,$B1635&amp;" ~*")&gt;0))</f>
        <v/>
      </c>
    </row>
    <row r="1636" ht="15" customHeight="1">
      <c r="A1636" t="n">
        <v>33</v>
      </c>
      <c r="B1636" s="37">
        <f>IF(Setup!$B$15="","",Setup!$B$15)</f>
        <v/>
      </c>
      <c r="C1636" s="102" t="n"/>
      <c r="D1636" s="103" t="n"/>
      <c r="E1636" s="103" t="n"/>
      <c r="F1636" s="104" t="n"/>
      <c r="G1636" s="102" t="n"/>
      <c r="H1636" s="103" t="n"/>
      <c r="I1636" s="103" t="n"/>
      <c r="J1636" s="104" t="n"/>
      <c r="K1636" s="102" t="n"/>
      <c r="L1636" s="103" t="n"/>
      <c r="M1636" s="103" t="n"/>
      <c r="N1636" s="104" t="n"/>
      <c r="O1636" s="102" t="n"/>
      <c r="P1636" s="103" t="n"/>
      <c r="Q1636" s="103" t="n"/>
      <c r="R1636" s="104" t="n"/>
      <c r="S1636" s="102" t="n"/>
      <c r="T1636" s="103" t="n"/>
      <c r="U1636" s="103" t="n"/>
      <c r="V1636" s="104" t="n"/>
      <c r="W1636" s="102" t="n"/>
      <c r="X1636" s="104" t="n"/>
      <c r="Y1636" s="102" t="n"/>
      <c r="Z1636" s="104" t="n"/>
      <c r="AB1636" s="105">
        <f>IF($B1636="","",(COUNTIF(C1608:E1625,$B1636)+COUNTIF(C1608:E1625,$B1636&amp;" ~*")&gt;0)+(COUNTIF(G1608:I1625,$B1636)+COUNTIF(G1608:I1625,$B1636&amp;" ~*")&gt;0)+(COUNTIF(K1608:M1625,$B1636)+COUNTIF(K1608:M1625,$B1636&amp;" ~*")&gt;0)+(COUNTIF(O1608:Q1625,$B1636)+COUNTIF(O1608:Q1625,$B1636&amp;" ~*")&gt;0)+(COUNTIF(S1608:U1625,$B1636)+COUNTIF(S1608:U1625,$B1636&amp;" ~*")&gt;0)+(COUNTIF(W1608:W1625,$B1636)+COUNTIF(W1608:W1625,$B1636&amp;" ~*")&gt;0)+(COUNTIF(Y1608:Y1625,$B1636)+COUNTIF(Y1608:Y1625,$B1636&amp;" ~*")&gt;0))</f>
        <v/>
      </c>
      <c r="AC1636" s="38">
        <f>IF($B1636="","",(IFERROR(INDEX(Setup!$G$33:$G$40,MATCH(C1636,Setup!$B$33:$B$40,0)),0)=1)*(COUNTIF(C1608:E1625,$B1636)+COUNTIF(C1608:E1625,$B1636&amp;" ~*")&gt;0)+(IFERROR(INDEX(Setup!$G$33:$G$40,MATCH(G1636,Setup!$B$33:$B$40,0)),0)=1)*(COUNTIF(G1608:I1625,$B1636)+COUNTIF(G1608:I1625,$B1636&amp;" ~*")&gt;0)+(IFERROR(INDEX(Setup!$G$33:$G$40,MATCH(K1636,Setup!$B$33:$B$40,0)),0)=1)*(COUNTIF(K1608:M1625,$B1636)+COUNTIF(K1608:M1625,$B1636&amp;" ~*")&gt;0)+(IFERROR(INDEX(Setup!$G$33:$G$40,MATCH(O1636,Setup!$B$33:$B$40,0)),0)=1)*(COUNTIF(O1608:Q1625,$B1636)+COUNTIF(O1608:Q1625,$B1636&amp;" ~*")&gt;0)+(IFERROR(INDEX(Setup!$G$33:$G$40,MATCH(S1636,Setup!$B$33:$B$40,0)),0)=1)*(COUNTIF(S1608:U1625,$B1636)+COUNTIF(S1608:U1625,$B1636&amp;" ~*")&gt;0)+(IFERROR(INDEX(Setup!$G$33:$G$40,MATCH(W1636,Setup!$B$33:$B$40,0)),0)=1)*(COUNTIF(W1608:W1625,$B1636)+COUNTIF(W1608:W1625,$B1636&amp;" ~*")&gt;0)+(IFERROR(INDEX(Setup!$G$33:$G$40,MATCH(Y1636,Setup!$B$33:$B$40,0)),0)=1)*(COUNTIF(Y1608:Y1625,$B1636)+COUNTIF(Y1608:Y1625,$B1636&amp;" ~*")&gt;0))</f>
        <v/>
      </c>
    </row>
    <row r="1637" ht="15" customHeight="1">
      <c r="A1637" t="n">
        <v>33</v>
      </c>
      <c r="B1637" s="35">
        <f>IF(Setup!$B$16="","",Setup!$B$16)</f>
        <v/>
      </c>
      <c r="C1637" s="98" t="n"/>
      <c r="D1637" s="99" t="n"/>
      <c r="E1637" s="99" t="n"/>
      <c r="F1637" s="100" t="n"/>
      <c r="G1637" s="98" t="n"/>
      <c r="H1637" s="99" t="n"/>
      <c r="I1637" s="99" t="n"/>
      <c r="J1637" s="100" t="n"/>
      <c r="K1637" s="98" t="n"/>
      <c r="L1637" s="99" t="n"/>
      <c r="M1637" s="99" t="n"/>
      <c r="N1637" s="100" t="n"/>
      <c r="O1637" s="98" t="n"/>
      <c r="P1637" s="99" t="n"/>
      <c r="Q1637" s="99" t="n"/>
      <c r="R1637" s="100" t="n"/>
      <c r="S1637" s="98" t="n"/>
      <c r="T1637" s="99" t="n"/>
      <c r="U1637" s="99" t="n"/>
      <c r="V1637" s="100" t="n"/>
      <c r="W1637" s="98" t="n"/>
      <c r="X1637" s="100" t="n"/>
      <c r="Y1637" s="98" t="n"/>
      <c r="Z1637" s="100" t="n"/>
      <c r="AB1637" s="101">
        <f>IF($B1637="","",(COUNTIF(C1608:E1625,$B1637)+COUNTIF(C1608:E1625,$B1637&amp;" ~*")&gt;0)+(COUNTIF(G1608:I1625,$B1637)+COUNTIF(G1608:I1625,$B1637&amp;" ~*")&gt;0)+(COUNTIF(K1608:M1625,$B1637)+COUNTIF(K1608:M1625,$B1637&amp;" ~*")&gt;0)+(COUNTIF(O1608:Q1625,$B1637)+COUNTIF(O1608:Q1625,$B1637&amp;" ~*")&gt;0)+(COUNTIF(S1608:U1625,$B1637)+COUNTIF(S1608:U1625,$B1637&amp;" ~*")&gt;0)+(COUNTIF(W1608:W1625,$B1637)+COUNTIF(W1608:W1625,$B1637&amp;" ~*")&gt;0)+(COUNTIF(Y1608:Y1625,$B1637)+COUNTIF(Y1608:Y1625,$B1637&amp;" ~*")&gt;0))</f>
        <v/>
      </c>
      <c r="AC1637" s="36">
        <f>IF($B1637="","",(IFERROR(INDEX(Setup!$G$33:$G$40,MATCH(C1637,Setup!$B$33:$B$40,0)),0)=1)*(COUNTIF(C1608:E1625,$B1637)+COUNTIF(C1608:E1625,$B1637&amp;" ~*")&gt;0)+(IFERROR(INDEX(Setup!$G$33:$G$40,MATCH(G1637,Setup!$B$33:$B$40,0)),0)=1)*(COUNTIF(G1608:I1625,$B1637)+COUNTIF(G1608:I1625,$B1637&amp;" ~*")&gt;0)+(IFERROR(INDEX(Setup!$G$33:$G$40,MATCH(K1637,Setup!$B$33:$B$40,0)),0)=1)*(COUNTIF(K1608:M1625,$B1637)+COUNTIF(K1608:M1625,$B1637&amp;" ~*")&gt;0)+(IFERROR(INDEX(Setup!$G$33:$G$40,MATCH(O1637,Setup!$B$33:$B$40,0)),0)=1)*(COUNTIF(O1608:Q1625,$B1637)+COUNTIF(O1608:Q1625,$B1637&amp;" ~*")&gt;0)+(IFERROR(INDEX(Setup!$G$33:$G$40,MATCH(S1637,Setup!$B$33:$B$40,0)),0)=1)*(COUNTIF(S1608:U1625,$B1637)+COUNTIF(S1608:U1625,$B1637&amp;" ~*")&gt;0)+(IFERROR(INDEX(Setup!$G$33:$G$40,MATCH(W1637,Setup!$B$33:$B$40,0)),0)=1)*(COUNTIF(W1608:W1625,$B1637)+COUNTIF(W1608:W1625,$B1637&amp;" ~*")&gt;0)+(IFERROR(INDEX(Setup!$G$33:$G$40,MATCH(Y1637,Setup!$B$33:$B$40,0)),0)=1)*(COUNTIF(Y1608:Y1625,$B1637)+COUNTIF(Y1608:Y1625,$B1637&amp;" ~*")&gt;0))</f>
        <v/>
      </c>
    </row>
    <row r="1638" ht="15" customHeight="1">
      <c r="A1638" t="n">
        <v>33</v>
      </c>
      <c r="B1638" s="37">
        <f>IF(Setup!$B$17="","",Setup!$B$17)</f>
        <v/>
      </c>
      <c r="C1638" s="102" t="n"/>
      <c r="D1638" s="103" t="n"/>
      <c r="E1638" s="103" t="n"/>
      <c r="F1638" s="104" t="n"/>
      <c r="G1638" s="102" t="n"/>
      <c r="H1638" s="103" t="n"/>
      <c r="I1638" s="103" t="n"/>
      <c r="J1638" s="104" t="n"/>
      <c r="K1638" s="102" t="n"/>
      <c r="L1638" s="103" t="n"/>
      <c r="M1638" s="103" t="n"/>
      <c r="N1638" s="104" t="n"/>
      <c r="O1638" s="102" t="n"/>
      <c r="P1638" s="103" t="n"/>
      <c r="Q1638" s="103" t="n"/>
      <c r="R1638" s="104" t="n"/>
      <c r="S1638" s="102" t="n"/>
      <c r="T1638" s="103" t="n"/>
      <c r="U1638" s="103" t="n"/>
      <c r="V1638" s="104" t="n"/>
      <c r="W1638" s="102" t="n"/>
      <c r="X1638" s="104" t="n"/>
      <c r="Y1638" s="102" t="n"/>
      <c r="Z1638" s="104" t="n"/>
      <c r="AB1638" s="105">
        <f>IF($B1638="","",(COUNTIF(C1608:E1625,$B1638)+COUNTIF(C1608:E1625,$B1638&amp;" ~*")&gt;0)+(COUNTIF(G1608:I1625,$B1638)+COUNTIF(G1608:I1625,$B1638&amp;" ~*")&gt;0)+(COUNTIF(K1608:M1625,$B1638)+COUNTIF(K1608:M1625,$B1638&amp;" ~*")&gt;0)+(COUNTIF(O1608:Q1625,$B1638)+COUNTIF(O1608:Q1625,$B1638&amp;" ~*")&gt;0)+(COUNTIF(S1608:U1625,$B1638)+COUNTIF(S1608:U1625,$B1638&amp;" ~*")&gt;0)+(COUNTIF(W1608:W1625,$B1638)+COUNTIF(W1608:W1625,$B1638&amp;" ~*")&gt;0)+(COUNTIF(Y1608:Y1625,$B1638)+COUNTIF(Y1608:Y1625,$B1638&amp;" ~*")&gt;0))</f>
        <v/>
      </c>
      <c r="AC1638" s="38">
        <f>IF($B1638="","",(IFERROR(INDEX(Setup!$G$33:$G$40,MATCH(C1638,Setup!$B$33:$B$40,0)),0)=1)*(COUNTIF(C1608:E1625,$B1638)+COUNTIF(C1608:E1625,$B1638&amp;" ~*")&gt;0)+(IFERROR(INDEX(Setup!$G$33:$G$40,MATCH(G1638,Setup!$B$33:$B$40,0)),0)=1)*(COUNTIF(G1608:I1625,$B1638)+COUNTIF(G1608:I1625,$B1638&amp;" ~*")&gt;0)+(IFERROR(INDEX(Setup!$G$33:$G$40,MATCH(K1638,Setup!$B$33:$B$40,0)),0)=1)*(COUNTIF(K1608:M1625,$B1638)+COUNTIF(K1608:M1625,$B1638&amp;" ~*")&gt;0)+(IFERROR(INDEX(Setup!$G$33:$G$40,MATCH(O1638,Setup!$B$33:$B$40,0)),0)=1)*(COUNTIF(O1608:Q1625,$B1638)+COUNTIF(O1608:Q1625,$B1638&amp;" ~*")&gt;0)+(IFERROR(INDEX(Setup!$G$33:$G$40,MATCH(S1638,Setup!$B$33:$B$40,0)),0)=1)*(COUNTIF(S1608:U1625,$B1638)+COUNTIF(S1608:U1625,$B1638&amp;" ~*")&gt;0)+(IFERROR(INDEX(Setup!$G$33:$G$40,MATCH(W1638,Setup!$B$33:$B$40,0)),0)=1)*(COUNTIF(W1608:W1625,$B1638)+COUNTIF(W1608:W1625,$B1638&amp;" ~*")&gt;0)+(IFERROR(INDEX(Setup!$G$33:$G$40,MATCH(Y1638,Setup!$B$33:$B$40,0)),0)=1)*(COUNTIF(Y1608:Y1625,$B1638)+COUNTIF(Y1608:Y1625,$B1638&amp;" ~*")&gt;0))</f>
        <v/>
      </c>
    </row>
    <row r="1639" ht="15" customHeight="1">
      <c r="A1639" t="n">
        <v>33</v>
      </c>
      <c r="B1639" s="35">
        <f>IF(Setup!$B$18="","",Setup!$B$18)</f>
        <v/>
      </c>
      <c r="C1639" s="98" t="n"/>
      <c r="D1639" s="99" t="n"/>
      <c r="E1639" s="99" t="n"/>
      <c r="F1639" s="100" t="n"/>
      <c r="G1639" s="98" t="n"/>
      <c r="H1639" s="99" t="n"/>
      <c r="I1639" s="99" t="n"/>
      <c r="J1639" s="100" t="n"/>
      <c r="K1639" s="98" t="n"/>
      <c r="L1639" s="99" t="n"/>
      <c r="M1639" s="99" t="n"/>
      <c r="N1639" s="100" t="n"/>
      <c r="O1639" s="98" t="n"/>
      <c r="P1639" s="99" t="n"/>
      <c r="Q1639" s="99" t="n"/>
      <c r="R1639" s="100" t="n"/>
      <c r="S1639" s="98" t="n"/>
      <c r="T1639" s="99" t="n"/>
      <c r="U1639" s="99" t="n"/>
      <c r="V1639" s="100" t="n"/>
      <c r="W1639" s="98" t="n"/>
      <c r="X1639" s="100" t="n"/>
      <c r="Y1639" s="98" t="n"/>
      <c r="Z1639" s="100" t="n"/>
      <c r="AB1639" s="101">
        <f>IF($B1639="","",(COUNTIF(C1608:E1625,$B1639)+COUNTIF(C1608:E1625,$B1639&amp;" ~*")&gt;0)+(COUNTIF(G1608:I1625,$B1639)+COUNTIF(G1608:I1625,$B1639&amp;" ~*")&gt;0)+(COUNTIF(K1608:M1625,$B1639)+COUNTIF(K1608:M1625,$B1639&amp;" ~*")&gt;0)+(COUNTIF(O1608:Q1625,$B1639)+COUNTIF(O1608:Q1625,$B1639&amp;" ~*")&gt;0)+(COUNTIF(S1608:U1625,$B1639)+COUNTIF(S1608:U1625,$B1639&amp;" ~*")&gt;0)+(COUNTIF(W1608:W1625,$B1639)+COUNTIF(W1608:W1625,$B1639&amp;" ~*")&gt;0)+(COUNTIF(Y1608:Y1625,$B1639)+COUNTIF(Y1608:Y1625,$B1639&amp;" ~*")&gt;0))</f>
        <v/>
      </c>
      <c r="AC1639" s="36">
        <f>IF($B1639="","",(IFERROR(INDEX(Setup!$G$33:$G$40,MATCH(C1639,Setup!$B$33:$B$40,0)),0)=1)*(COUNTIF(C1608:E1625,$B1639)+COUNTIF(C1608:E1625,$B1639&amp;" ~*")&gt;0)+(IFERROR(INDEX(Setup!$G$33:$G$40,MATCH(G1639,Setup!$B$33:$B$40,0)),0)=1)*(COUNTIF(G1608:I1625,$B1639)+COUNTIF(G1608:I1625,$B1639&amp;" ~*")&gt;0)+(IFERROR(INDEX(Setup!$G$33:$G$40,MATCH(K1639,Setup!$B$33:$B$40,0)),0)=1)*(COUNTIF(K1608:M1625,$B1639)+COUNTIF(K1608:M1625,$B1639&amp;" ~*")&gt;0)+(IFERROR(INDEX(Setup!$G$33:$G$40,MATCH(O1639,Setup!$B$33:$B$40,0)),0)=1)*(COUNTIF(O1608:Q1625,$B1639)+COUNTIF(O1608:Q1625,$B1639&amp;" ~*")&gt;0)+(IFERROR(INDEX(Setup!$G$33:$G$40,MATCH(S1639,Setup!$B$33:$B$40,0)),0)=1)*(COUNTIF(S1608:U1625,$B1639)+COUNTIF(S1608:U1625,$B1639&amp;" ~*")&gt;0)+(IFERROR(INDEX(Setup!$G$33:$G$40,MATCH(W1639,Setup!$B$33:$B$40,0)),0)=1)*(COUNTIF(W1608:W1625,$B1639)+COUNTIF(W1608:W1625,$B1639&amp;" ~*")&gt;0)+(IFERROR(INDEX(Setup!$G$33:$G$40,MATCH(Y1639,Setup!$B$33:$B$40,0)),0)=1)*(COUNTIF(Y1608:Y1625,$B1639)+COUNTIF(Y1608:Y1625,$B1639&amp;" ~*")&gt;0))</f>
        <v/>
      </c>
    </row>
    <row r="1640" ht="15" customHeight="1">
      <c r="A1640" t="n">
        <v>33</v>
      </c>
      <c r="B1640" s="37">
        <f>IF(Setup!$B$19="","",Setup!$B$19)</f>
        <v/>
      </c>
      <c r="C1640" s="102" t="n"/>
      <c r="D1640" s="103" t="n"/>
      <c r="E1640" s="103" t="n"/>
      <c r="F1640" s="104" t="n"/>
      <c r="G1640" s="102" t="n"/>
      <c r="H1640" s="103" t="n"/>
      <c r="I1640" s="103" t="n"/>
      <c r="J1640" s="104" t="n"/>
      <c r="K1640" s="102" t="n"/>
      <c r="L1640" s="103" t="n"/>
      <c r="M1640" s="103" t="n"/>
      <c r="N1640" s="104" t="n"/>
      <c r="O1640" s="102" t="n"/>
      <c r="P1640" s="103" t="n"/>
      <c r="Q1640" s="103" t="n"/>
      <c r="R1640" s="104" t="n"/>
      <c r="S1640" s="102" t="n"/>
      <c r="T1640" s="103" t="n"/>
      <c r="U1640" s="103" t="n"/>
      <c r="V1640" s="104" t="n"/>
      <c r="W1640" s="102" t="n"/>
      <c r="X1640" s="104" t="n"/>
      <c r="Y1640" s="102" t="n"/>
      <c r="Z1640" s="104" t="n"/>
      <c r="AB1640" s="105">
        <f>IF($B1640="","",(COUNTIF(C1608:E1625,$B1640)+COUNTIF(C1608:E1625,$B1640&amp;" ~*")&gt;0)+(COUNTIF(G1608:I1625,$B1640)+COUNTIF(G1608:I1625,$B1640&amp;" ~*")&gt;0)+(COUNTIF(K1608:M1625,$B1640)+COUNTIF(K1608:M1625,$B1640&amp;" ~*")&gt;0)+(COUNTIF(O1608:Q1625,$B1640)+COUNTIF(O1608:Q1625,$B1640&amp;" ~*")&gt;0)+(COUNTIF(S1608:U1625,$B1640)+COUNTIF(S1608:U1625,$B1640&amp;" ~*")&gt;0)+(COUNTIF(W1608:W1625,$B1640)+COUNTIF(W1608:W1625,$B1640&amp;" ~*")&gt;0)+(COUNTIF(Y1608:Y1625,$B1640)+COUNTIF(Y1608:Y1625,$B1640&amp;" ~*")&gt;0))</f>
        <v/>
      </c>
      <c r="AC1640" s="38">
        <f>IF($B1640="","",(IFERROR(INDEX(Setup!$G$33:$G$40,MATCH(C1640,Setup!$B$33:$B$40,0)),0)=1)*(COUNTIF(C1608:E1625,$B1640)+COUNTIF(C1608:E1625,$B1640&amp;" ~*")&gt;0)+(IFERROR(INDEX(Setup!$G$33:$G$40,MATCH(G1640,Setup!$B$33:$B$40,0)),0)=1)*(COUNTIF(G1608:I1625,$B1640)+COUNTIF(G1608:I1625,$B1640&amp;" ~*")&gt;0)+(IFERROR(INDEX(Setup!$G$33:$G$40,MATCH(K1640,Setup!$B$33:$B$40,0)),0)=1)*(COUNTIF(K1608:M1625,$B1640)+COUNTIF(K1608:M1625,$B1640&amp;" ~*")&gt;0)+(IFERROR(INDEX(Setup!$G$33:$G$40,MATCH(O1640,Setup!$B$33:$B$40,0)),0)=1)*(COUNTIF(O1608:Q1625,$B1640)+COUNTIF(O1608:Q1625,$B1640&amp;" ~*")&gt;0)+(IFERROR(INDEX(Setup!$G$33:$G$40,MATCH(S1640,Setup!$B$33:$B$40,0)),0)=1)*(COUNTIF(S1608:U1625,$B1640)+COUNTIF(S1608:U1625,$B1640&amp;" ~*")&gt;0)+(IFERROR(INDEX(Setup!$G$33:$G$40,MATCH(W1640,Setup!$B$33:$B$40,0)),0)=1)*(COUNTIF(W1608:W1625,$B1640)+COUNTIF(W1608:W1625,$B1640&amp;" ~*")&gt;0)+(IFERROR(INDEX(Setup!$G$33:$G$40,MATCH(Y1640,Setup!$B$33:$B$40,0)),0)=1)*(COUNTIF(Y1608:Y1625,$B1640)+COUNTIF(Y1608:Y1625,$B1640&amp;" ~*")&gt;0))</f>
        <v/>
      </c>
    </row>
    <row r="1641" ht="15" customHeight="1">
      <c r="A1641" t="n">
        <v>33</v>
      </c>
      <c r="B1641" s="35">
        <f>IF(Setup!$B$20="","",Setup!$B$20)</f>
        <v/>
      </c>
      <c r="C1641" s="98" t="n"/>
      <c r="D1641" s="99" t="n"/>
      <c r="E1641" s="99" t="n"/>
      <c r="F1641" s="100" t="n"/>
      <c r="G1641" s="98" t="n"/>
      <c r="H1641" s="99" t="n"/>
      <c r="I1641" s="99" t="n"/>
      <c r="J1641" s="100" t="n"/>
      <c r="K1641" s="98" t="n"/>
      <c r="L1641" s="99" t="n"/>
      <c r="M1641" s="99" t="n"/>
      <c r="N1641" s="100" t="n"/>
      <c r="O1641" s="98" t="n"/>
      <c r="P1641" s="99" t="n"/>
      <c r="Q1641" s="99" t="n"/>
      <c r="R1641" s="100" t="n"/>
      <c r="S1641" s="98" t="n"/>
      <c r="T1641" s="99" t="n"/>
      <c r="U1641" s="99" t="n"/>
      <c r="V1641" s="100" t="n"/>
      <c r="W1641" s="98" t="n"/>
      <c r="X1641" s="100" t="n"/>
      <c r="Y1641" s="98" t="n"/>
      <c r="Z1641" s="100" t="n"/>
      <c r="AB1641" s="101">
        <f>IF($B1641="","",(COUNTIF(C1608:E1625,$B1641)+COUNTIF(C1608:E1625,$B1641&amp;" ~*")&gt;0)+(COUNTIF(G1608:I1625,$B1641)+COUNTIF(G1608:I1625,$B1641&amp;" ~*")&gt;0)+(COUNTIF(K1608:M1625,$B1641)+COUNTIF(K1608:M1625,$B1641&amp;" ~*")&gt;0)+(COUNTIF(O1608:Q1625,$B1641)+COUNTIF(O1608:Q1625,$B1641&amp;" ~*")&gt;0)+(COUNTIF(S1608:U1625,$B1641)+COUNTIF(S1608:U1625,$B1641&amp;" ~*")&gt;0)+(COUNTIF(W1608:W1625,$B1641)+COUNTIF(W1608:W1625,$B1641&amp;" ~*")&gt;0)+(COUNTIF(Y1608:Y1625,$B1641)+COUNTIF(Y1608:Y1625,$B1641&amp;" ~*")&gt;0))</f>
        <v/>
      </c>
      <c r="AC1641" s="36">
        <f>IF($B1641="","",(IFERROR(INDEX(Setup!$G$33:$G$40,MATCH(C1641,Setup!$B$33:$B$40,0)),0)=1)*(COUNTIF(C1608:E1625,$B1641)+COUNTIF(C1608:E1625,$B1641&amp;" ~*")&gt;0)+(IFERROR(INDEX(Setup!$G$33:$G$40,MATCH(G1641,Setup!$B$33:$B$40,0)),0)=1)*(COUNTIF(G1608:I1625,$B1641)+COUNTIF(G1608:I1625,$B1641&amp;" ~*")&gt;0)+(IFERROR(INDEX(Setup!$G$33:$G$40,MATCH(K1641,Setup!$B$33:$B$40,0)),0)=1)*(COUNTIF(K1608:M1625,$B1641)+COUNTIF(K1608:M1625,$B1641&amp;" ~*")&gt;0)+(IFERROR(INDEX(Setup!$G$33:$G$40,MATCH(O1641,Setup!$B$33:$B$40,0)),0)=1)*(COUNTIF(O1608:Q1625,$B1641)+COUNTIF(O1608:Q1625,$B1641&amp;" ~*")&gt;0)+(IFERROR(INDEX(Setup!$G$33:$G$40,MATCH(S1641,Setup!$B$33:$B$40,0)),0)=1)*(COUNTIF(S1608:U1625,$B1641)+COUNTIF(S1608:U1625,$B1641&amp;" ~*")&gt;0)+(IFERROR(INDEX(Setup!$G$33:$G$40,MATCH(W1641,Setup!$B$33:$B$40,0)),0)=1)*(COUNTIF(W1608:W1625,$B1641)+COUNTIF(W1608:W1625,$B1641&amp;" ~*")&gt;0)+(IFERROR(INDEX(Setup!$G$33:$G$40,MATCH(Y1641,Setup!$B$33:$B$40,0)),0)=1)*(COUNTIF(Y1608:Y1625,$B1641)+COUNTIF(Y1608:Y1625,$B1641&amp;" ~*")&gt;0))</f>
        <v/>
      </c>
    </row>
    <row r="1642" ht="15" customHeight="1">
      <c r="A1642" t="n">
        <v>33</v>
      </c>
      <c r="B1642" s="37">
        <f>IF(Setup!$B$21="","",Setup!$B$21)</f>
        <v/>
      </c>
      <c r="C1642" s="102" t="n"/>
      <c r="D1642" s="103" t="n"/>
      <c r="E1642" s="103" t="n"/>
      <c r="F1642" s="104" t="n"/>
      <c r="G1642" s="102" t="n"/>
      <c r="H1642" s="103" t="n"/>
      <c r="I1642" s="103" t="n"/>
      <c r="J1642" s="104" t="n"/>
      <c r="K1642" s="102" t="n"/>
      <c r="L1642" s="103" t="n"/>
      <c r="M1642" s="103" t="n"/>
      <c r="N1642" s="104" t="n"/>
      <c r="O1642" s="102" t="n"/>
      <c r="P1642" s="103" t="n"/>
      <c r="Q1642" s="103" t="n"/>
      <c r="R1642" s="104" t="n"/>
      <c r="S1642" s="102" t="n"/>
      <c r="T1642" s="103" t="n"/>
      <c r="U1642" s="103" t="n"/>
      <c r="V1642" s="104" t="n"/>
      <c r="W1642" s="102" t="n"/>
      <c r="X1642" s="104" t="n"/>
      <c r="Y1642" s="102" t="n"/>
      <c r="Z1642" s="104" t="n"/>
      <c r="AB1642" s="105">
        <f>IF($B1642="","",(COUNTIF(C1608:E1625,$B1642)+COUNTIF(C1608:E1625,$B1642&amp;" ~*")&gt;0)+(COUNTIF(G1608:I1625,$B1642)+COUNTIF(G1608:I1625,$B1642&amp;" ~*")&gt;0)+(COUNTIF(K1608:M1625,$B1642)+COUNTIF(K1608:M1625,$B1642&amp;" ~*")&gt;0)+(COUNTIF(O1608:Q1625,$B1642)+COUNTIF(O1608:Q1625,$B1642&amp;" ~*")&gt;0)+(COUNTIF(S1608:U1625,$B1642)+COUNTIF(S1608:U1625,$B1642&amp;" ~*")&gt;0)+(COUNTIF(W1608:W1625,$B1642)+COUNTIF(W1608:W1625,$B1642&amp;" ~*")&gt;0)+(COUNTIF(Y1608:Y1625,$B1642)+COUNTIF(Y1608:Y1625,$B1642&amp;" ~*")&gt;0))</f>
        <v/>
      </c>
      <c r="AC1642" s="38">
        <f>IF($B1642="","",(IFERROR(INDEX(Setup!$G$33:$G$40,MATCH(C1642,Setup!$B$33:$B$40,0)),0)=1)*(COUNTIF(C1608:E1625,$B1642)+COUNTIF(C1608:E1625,$B1642&amp;" ~*")&gt;0)+(IFERROR(INDEX(Setup!$G$33:$G$40,MATCH(G1642,Setup!$B$33:$B$40,0)),0)=1)*(COUNTIF(G1608:I1625,$B1642)+COUNTIF(G1608:I1625,$B1642&amp;" ~*")&gt;0)+(IFERROR(INDEX(Setup!$G$33:$G$40,MATCH(K1642,Setup!$B$33:$B$40,0)),0)=1)*(COUNTIF(K1608:M1625,$B1642)+COUNTIF(K1608:M1625,$B1642&amp;" ~*")&gt;0)+(IFERROR(INDEX(Setup!$G$33:$G$40,MATCH(O1642,Setup!$B$33:$B$40,0)),0)=1)*(COUNTIF(O1608:Q1625,$B1642)+COUNTIF(O1608:Q1625,$B1642&amp;" ~*")&gt;0)+(IFERROR(INDEX(Setup!$G$33:$G$40,MATCH(S1642,Setup!$B$33:$B$40,0)),0)=1)*(COUNTIF(S1608:U1625,$B1642)+COUNTIF(S1608:U1625,$B1642&amp;" ~*")&gt;0)+(IFERROR(INDEX(Setup!$G$33:$G$40,MATCH(W1642,Setup!$B$33:$B$40,0)),0)=1)*(COUNTIF(W1608:W1625,$B1642)+COUNTIF(W1608:W1625,$B1642&amp;" ~*")&gt;0)+(IFERROR(INDEX(Setup!$G$33:$G$40,MATCH(Y1642,Setup!$B$33:$B$40,0)),0)=1)*(COUNTIF(Y1608:Y1625,$B1642)+COUNTIF(Y1608:Y1625,$B1642&amp;" ~*")&gt;0))</f>
        <v/>
      </c>
    </row>
    <row r="1643" ht="15" customHeight="1">
      <c r="A1643" t="n">
        <v>33</v>
      </c>
      <c r="B1643" s="35">
        <f>IF(Setup!$B$22="","",Setup!$B$22)</f>
        <v/>
      </c>
      <c r="C1643" s="98" t="n"/>
      <c r="D1643" s="99" t="n"/>
      <c r="E1643" s="99" t="n"/>
      <c r="F1643" s="100" t="n"/>
      <c r="G1643" s="98" t="n"/>
      <c r="H1643" s="99" t="n"/>
      <c r="I1643" s="99" t="n"/>
      <c r="J1643" s="100" t="n"/>
      <c r="K1643" s="98" t="n"/>
      <c r="L1643" s="99" t="n"/>
      <c r="M1643" s="99" t="n"/>
      <c r="N1643" s="100" t="n"/>
      <c r="O1643" s="98" t="n"/>
      <c r="P1643" s="99" t="n"/>
      <c r="Q1643" s="99" t="n"/>
      <c r="R1643" s="100" t="n"/>
      <c r="S1643" s="98" t="n"/>
      <c r="T1643" s="99" t="n"/>
      <c r="U1643" s="99" t="n"/>
      <c r="V1643" s="100" t="n"/>
      <c r="W1643" s="98" t="n"/>
      <c r="X1643" s="100" t="n"/>
      <c r="Y1643" s="98" t="n"/>
      <c r="Z1643" s="100" t="n"/>
      <c r="AB1643" s="101">
        <f>IF($B1643="","",(COUNTIF(C1608:E1625,$B1643)+COUNTIF(C1608:E1625,$B1643&amp;" ~*")&gt;0)+(COUNTIF(G1608:I1625,$B1643)+COUNTIF(G1608:I1625,$B1643&amp;" ~*")&gt;0)+(COUNTIF(K1608:M1625,$B1643)+COUNTIF(K1608:M1625,$B1643&amp;" ~*")&gt;0)+(COUNTIF(O1608:Q1625,$B1643)+COUNTIF(O1608:Q1625,$B1643&amp;" ~*")&gt;0)+(COUNTIF(S1608:U1625,$B1643)+COUNTIF(S1608:U1625,$B1643&amp;" ~*")&gt;0)+(COUNTIF(W1608:W1625,$B1643)+COUNTIF(W1608:W1625,$B1643&amp;" ~*")&gt;0)+(COUNTIF(Y1608:Y1625,$B1643)+COUNTIF(Y1608:Y1625,$B1643&amp;" ~*")&gt;0))</f>
        <v/>
      </c>
      <c r="AC1643" s="36">
        <f>IF($B1643="","",(IFERROR(INDEX(Setup!$G$33:$G$40,MATCH(C1643,Setup!$B$33:$B$40,0)),0)=1)*(COUNTIF(C1608:E1625,$B1643)+COUNTIF(C1608:E1625,$B1643&amp;" ~*")&gt;0)+(IFERROR(INDEX(Setup!$G$33:$G$40,MATCH(G1643,Setup!$B$33:$B$40,0)),0)=1)*(COUNTIF(G1608:I1625,$B1643)+COUNTIF(G1608:I1625,$B1643&amp;" ~*")&gt;0)+(IFERROR(INDEX(Setup!$G$33:$G$40,MATCH(K1643,Setup!$B$33:$B$40,0)),0)=1)*(COUNTIF(K1608:M1625,$B1643)+COUNTIF(K1608:M1625,$B1643&amp;" ~*")&gt;0)+(IFERROR(INDEX(Setup!$G$33:$G$40,MATCH(O1643,Setup!$B$33:$B$40,0)),0)=1)*(COUNTIF(O1608:Q1625,$B1643)+COUNTIF(O1608:Q1625,$B1643&amp;" ~*")&gt;0)+(IFERROR(INDEX(Setup!$G$33:$G$40,MATCH(S1643,Setup!$B$33:$B$40,0)),0)=1)*(COUNTIF(S1608:U1625,$B1643)+COUNTIF(S1608:U1625,$B1643&amp;" ~*")&gt;0)+(IFERROR(INDEX(Setup!$G$33:$G$40,MATCH(W1643,Setup!$B$33:$B$40,0)),0)=1)*(COUNTIF(W1608:W1625,$B1643)+COUNTIF(W1608:W1625,$B1643&amp;" ~*")&gt;0)+(IFERROR(INDEX(Setup!$G$33:$G$40,MATCH(Y1643,Setup!$B$33:$B$40,0)),0)=1)*(COUNTIF(Y1608:Y1625,$B1643)+COUNTIF(Y1608:Y1625,$B1643&amp;" ~*")&gt;0))</f>
        <v/>
      </c>
    </row>
    <row r="1644" ht="15" customHeight="1">
      <c r="A1644" t="n">
        <v>33</v>
      </c>
      <c r="B1644" s="37">
        <f>IF(Setup!$B$23="","",Setup!$B$23)</f>
        <v/>
      </c>
      <c r="C1644" s="102" t="n"/>
      <c r="D1644" s="103" t="n"/>
      <c r="E1644" s="103" t="n"/>
      <c r="F1644" s="104" t="n"/>
      <c r="G1644" s="102" t="n"/>
      <c r="H1644" s="103" t="n"/>
      <c r="I1644" s="103" t="n"/>
      <c r="J1644" s="104" t="n"/>
      <c r="K1644" s="102" t="n"/>
      <c r="L1644" s="103" t="n"/>
      <c r="M1644" s="103" t="n"/>
      <c r="N1644" s="104" t="n"/>
      <c r="O1644" s="102" t="n"/>
      <c r="P1644" s="103" t="n"/>
      <c r="Q1644" s="103" t="n"/>
      <c r="R1644" s="104" t="n"/>
      <c r="S1644" s="102" t="n"/>
      <c r="T1644" s="103" t="n"/>
      <c r="U1644" s="103" t="n"/>
      <c r="V1644" s="104" t="n"/>
      <c r="W1644" s="102" t="n"/>
      <c r="X1644" s="104" t="n"/>
      <c r="Y1644" s="102" t="n"/>
      <c r="Z1644" s="104" t="n"/>
      <c r="AB1644" s="105">
        <f>IF($B1644="","",(COUNTIF(C1608:E1625,$B1644)+COUNTIF(C1608:E1625,$B1644&amp;" ~*")&gt;0)+(COUNTIF(G1608:I1625,$B1644)+COUNTIF(G1608:I1625,$B1644&amp;" ~*")&gt;0)+(COUNTIF(K1608:M1625,$B1644)+COUNTIF(K1608:M1625,$B1644&amp;" ~*")&gt;0)+(COUNTIF(O1608:Q1625,$B1644)+COUNTIF(O1608:Q1625,$B1644&amp;" ~*")&gt;0)+(COUNTIF(S1608:U1625,$B1644)+COUNTIF(S1608:U1625,$B1644&amp;" ~*")&gt;0)+(COUNTIF(W1608:W1625,$B1644)+COUNTIF(W1608:W1625,$B1644&amp;" ~*")&gt;0)+(COUNTIF(Y1608:Y1625,$B1644)+COUNTIF(Y1608:Y1625,$B1644&amp;" ~*")&gt;0))</f>
        <v/>
      </c>
      <c r="AC1644" s="38">
        <f>IF($B1644="","",(IFERROR(INDEX(Setup!$G$33:$G$40,MATCH(C1644,Setup!$B$33:$B$40,0)),0)=1)*(COUNTIF(C1608:E1625,$B1644)+COUNTIF(C1608:E1625,$B1644&amp;" ~*")&gt;0)+(IFERROR(INDEX(Setup!$G$33:$G$40,MATCH(G1644,Setup!$B$33:$B$40,0)),0)=1)*(COUNTIF(G1608:I1625,$B1644)+COUNTIF(G1608:I1625,$B1644&amp;" ~*")&gt;0)+(IFERROR(INDEX(Setup!$G$33:$G$40,MATCH(K1644,Setup!$B$33:$B$40,0)),0)=1)*(COUNTIF(K1608:M1625,$B1644)+COUNTIF(K1608:M1625,$B1644&amp;" ~*")&gt;0)+(IFERROR(INDEX(Setup!$G$33:$G$40,MATCH(O1644,Setup!$B$33:$B$40,0)),0)=1)*(COUNTIF(O1608:Q1625,$B1644)+COUNTIF(O1608:Q1625,$B1644&amp;" ~*")&gt;0)+(IFERROR(INDEX(Setup!$G$33:$G$40,MATCH(S1644,Setup!$B$33:$B$40,0)),0)=1)*(COUNTIF(S1608:U1625,$B1644)+COUNTIF(S1608:U1625,$B1644&amp;" ~*")&gt;0)+(IFERROR(INDEX(Setup!$G$33:$G$40,MATCH(W1644,Setup!$B$33:$B$40,0)),0)=1)*(COUNTIF(W1608:W1625,$B1644)+COUNTIF(W1608:W1625,$B1644&amp;" ~*")&gt;0)+(IFERROR(INDEX(Setup!$G$33:$G$40,MATCH(Y1644,Setup!$B$33:$B$40,0)),0)=1)*(COUNTIF(Y1608:Y1625,$B1644)+COUNTIF(Y1608:Y1625,$B1644&amp;" ~*")&gt;0))</f>
        <v/>
      </c>
    </row>
    <row r="1645" ht="15" customHeight="1">
      <c r="A1645" t="n">
        <v>33</v>
      </c>
      <c r="B1645" s="35">
        <f>IF(Setup!$B$24="","",Setup!$B$24)</f>
        <v/>
      </c>
      <c r="C1645" s="98" t="n"/>
      <c r="D1645" s="99" t="n"/>
      <c r="E1645" s="99" t="n"/>
      <c r="F1645" s="100" t="n"/>
      <c r="G1645" s="98" t="n"/>
      <c r="H1645" s="99" t="n"/>
      <c r="I1645" s="99" t="n"/>
      <c r="J1645" s="100" t="n"/>
      <c r="K1645" s="98" t="n"/>
      <c r="L1645" s="99" t="n"/>
      <c r="M1645" s="99" t="n"/>
      <c r="N1645" s="100" t="n"/>
      <c r="O1645" s="98" t="n"/>
      <c r="P1645" s="99" t="n"/>
      <c r="Q1645" s="99" t="n"/>
      <c r="R1645" s="100" t="n"/>
      <c r="S1645" s="98" t="n"/>
      <c r="T1645" s="99" t="n"/>
      <c r="U1645" s="99" t="n"/>
      <c r="V1645" s="100" t="n"/>
      <c r="W1645" s="98" t="n"/>
      <c r="X1645" s="100" t="n"/>
      <c r="Y1645" s="98" t="n"/>
      <c r="Z1645" s="100" t="n"/>
      <c r="AB1645" s="101">
        <f>IF($B1645="","",(COUNTIF(C1608:E1625,$B1645)+COUNTIF(C1608:E1625,$B1645&amp;" ~*")&gt;0)+(COUNTIF(G1608:I1625,$B1645)+COUNTIF(G1608:I1625,$B1645&amp;" ~*")&gt;0)+(COUNTIF(K1608:M1625,$B1645)+COUNTIF(K1608:M1625,$B1645&amp;" ~*")&gt;0)+(COUNTIF(O1608:Q1625,$B1645)+COUNTIF(O1608:Q1625,$B1645&amp;" ~*")&gt;0)+(COUNTIF(S1608:U1625,$B1645)+COUNTIF(S1608:U1625,$B1645&amp;" ~*")&gt;0)+(COUNTIF(W1608:W1625,$B1645)+COUNTIF(W1608:W1625,$B1645&amp;" ~*")&gt;0)+(COUNTIF(Y1608:Y1625,$B1645)+COUNTIF(Y1608:Y1625,$B1645&amp;" ~*")&gt;0))</f>
        <v/>
      </c>
      <c r="AC1645" s="36">
        <f>IF($B1645="","",(IFERROR(INDEX(Setup!$G$33:$G$40,MATCH(C1645,Setup!$B$33:$B$40,0)),0)=1)*(COUNTIF(C1608:E1625,$B1645)+COUNTIF(C1608:E1625,$B1645&amp;" ~*")&gt;0)+(IFERROR(INDEX(Setup!$G$33:$G$40,MATCH(G1645,Setup!$B$33:$B$40,0)),0)=1)*(COUNTIF(G1608:I1625,$B1645)+COUNTIF(G1608:I1625,$B1645&amp;" ~*")&gt;0)+(IFERROR(INDEX(Setup!$G$33:$G$40,MATCH(K1645,Setup!$B$33:$B$40,0)),0)=1)*(COUNTIF(K1608:M1625,$B1645)+COUNTIF(K1608:M1625,$B1645&amp;" ~*")&gt;0)+(IFERROR(INDEX(Setup!$G$33:$G$40,MATCH(O1645,Setup!$B$33:$B$40,0)),0)=1)*(COUNTIF(O1608:Q1625,$B1645)+COUNTIF(O1608:Q1625,$B1645&amp;" ~*")&gt;0)+(IFERROR(INDEX(Setup!$G$33:$G$40,MATCH(S1645,Setup!$B$33:$B$40,0)),0)=1)*(COUNTIF(S1608:U1625,$B1645)+COUNTIF(S1608:U1625,$B1645&amp;" ~*")&gt;0)+(IFERROR(INDEX(Setup!$G$33:$G$40,MATCH(W1645,Setup!$B$33:$B$40,0)),0)=1)*(COUNTIF(W1608:W1625,$B1645)+COUNTIF(W1608:W1625,$B1645&amp;" ~*")&gt;0)+(IFERROR(INDEX(Setup!$G$33:$G$40,MATCH(Y1645,Setup!$B$33:$B$40,0)),0)=1)*(COUNTIF(Y1608:Y1625,$B1645)+COUNTIF(Y1608:Y1625,$B1645&amp;" ~*")&gt;0))</f>
        <v/>
      </c>
    </row>
    <row r="1646" ht="15" customHeight="1">
      <c r="A1646" t="n">
        <v>33</v>
      </c>
      <c r="B1646" s="37">
        <f>IF(Setup!$B$25="","",Setup!$B$25)</f>
        <v/>
      </c>
      <c r="C1646" s="102" t="n"/>
      <c r="D1646" s="103" t="n"/>
      <c r="E1646" s="103" t="n"/>
      <c r="F1646" s="104" t="n"/>
      <c r="G1646" s="102" t="n"/>
      <c r="H1646" s="103" t="n"/>
      <c r="I1646" s="103" t="n"/>
      <c r="J1646" s="104" t="n"/>
      <c r="K1646" s="102" t="n"/>
      <c r="L1646" s="103" t="n"/>
      <c r="M1646" s="103" t="n"/>
      <c r="N1646" s="104" t="n"/>
      <c r="O1646" s="102" t="n"/>
      <c r="P1646" s="103" t="n"/>
      <c r="Q1646" s="103" t="n"/>
      <c r="R1646" s="104" t="n"/>
      <c r="S1646" s="102" t="n"/>
      <c r="T1646" s="103" t="n"/>
      <c r="U1646" s="103" t="n"/>
      <c r="V1646" s="104" t="n"/>
      <c r="W1646" s="102" t="n"/>
      <c r="X1646" s="104" t="n"/>
      <c r="Y1646" s="102" t="n"/>
      <c r="Z1646" s="104" t="n"/>
      <c r="AB1646" s="105">
        <f>IF($B1646="","",(COUNTIF(C1608:E1625,$B1646)+COUNTIF(C1608:E1625,$B1646&amp;" ~*")&gt;0)+(COUNTIF(G1608:I1625,$B1646)+COUNTIF(G1608:I1625,$B1646&amp;" ~*")&gt;0)+(COUNTIF(K1608:M1625,$B1646)+COUNTIF(K1608:M1625,$B1646&amp;" ~*")&gt;0)+(COUNTIF(O1608:Q1625,$B1646)+COUNTIF(O1608:Q1625,$B1646&amp;" ~*")&gt;0)+(COUNTIF(S1608:U1625,$B1646)+COUNTIF(S1608:U1625,$B1646&amp;" ~*")&gt;0)+(COUNTIF(W1608:W1625,$B1646)+COUNTIF(W1608:W1625,$B1646&amp;" ~*")&gt;0)+(COUNTIF(Y1608:Y1625,$B1646)+COUNTIF(Y1608:Y1625,$B1646&amp;" ~*")&gt;0))</f>
        <v/>
      </c>
      <c r="AC1646" s="38">
        <f>IF($B1646="","",(IFERROR(INDEX(Setup!$G$33:$G$40,MATCH(C1646,Setup!$B$33:$B$40,0)),0)=1)*(COUNTIF(C1608:E1625,$B1646)+COUNTIF(C1608:E1625,$B1646&amp;" ~*")&gt;0)+(IFERROR(INDEX(Setup!$G$33:$G$40,MATCH(G1646,Setup!$B$33:$B$40,0)),0)=1)*(COUNTIF(G1608:I1625,$B1646)+COUNTIF(G1608:I1625,$B1646&amp;" ~*")&gt;0)+(IFERROR(INDEX(Setup!$G$33:$G$40,MATCH(K1646,Setup!$B$33:$B$40,0)),0)=1)*(COUNTIF(K1608:M1625,$B1646)+COUNTIF(K1608:M1625,$B1646&amp;" ~*")&gt;0)+(IFERROR(INDEX(Setup!$G$33:$G$40,MATCH(O1646,Setup!$B$33:$B$40,0)),0)=1)*(COUNTIF(O1608:Q1625,$B1646)+COUNTIF(O1608:Q1625,$B1646&amp;" ~*")&gt;0)+(IFERROR(INDEX(Setup!$G$33:$G$40,MATCH(S1646,Setup!$B$33:$B$40,0)),0)=1)*(COUNTIF(S1608:U1625,$B1646)+COUNTIF(S1608:U1625,$B1646&amp;" ~*")&gt;0)+(IFERROR(INDEX(Setup!$G$33:$G$40,MATCH(W1646,Setup!$B$33:$B$40,0)),0)=1)*(COUNTIF(W1608:W1625,$B1646)+COUNTIF(W1608:W1625,$B1646&amp;" ~*")&gt;0)+(IFERROR(INDEX(Setup!$G$33:$G$40,MATCH(Y1646,Setup!$B$33:$B$40,0)),0)=1)*(COUNTIF(Y1608:Y1625,$B1646)+COUNTIF(Y1608:Y1625,$B1646&amp;" ~*")&gt;0))</f>
        <v/>
      </c>
    </row>
    <row r="1647" ht="15" customHeight="1">
      <c r="A1647" t="n">
        <v>33</v>
      </c>
      <c r="B1647" s="35">
        <f>IF(Setup!$B$26="","",Setup!$B$26)</f>
        <v/>
      </c>
      <c r="C1647" s="98" t="n"/>
      <c r="D1647" s="99" t="n"/>
      <c r="E1647" s="99" t="n"/>
      <c r="F1647" s="100" t="n"/>
      <c r="G1647" s="98" t="n"/>
      <c r="H1647" s="99" t="n"/>
      <c r="I1647" s="99" t="n"/>
      <c r="J1647" s="100" t="n"/>
      <c r="K1647" s="98" t="n"/>
      <c r="L1647" s="99" t="n"/>
      <c r="M1647" s="99" t="n"/>
      <c r="N1647" s="100" t="n"/>
      <c r="O1647" s="98" t="n"/>
      <c r="P1647" s="99" t="n"/>
      <c r="Q1647" s="99" t="n"/>
      <c r="R1647" s="100" t="n"/>
      <c r="S1647" s="98" t="n"/>
      <c r="T1647" s="99" t="n"/>
      <c r="U1647" s="99" t="n"/>
      <c r="V1647" s="100" t="n"/>
      <c r="W1647" s="98" t="n"/>
      <c r="X1647" s="100" t="n"/>
      <c r="Y1647" s="98" t="n"/>
      <c r="Z1647" s="100" t="n"/>
      <c r="AB1647" s="101">
        <f>IF($B1647="","",(COUNTIF(C1608:E1625,$B1647)+COUNTIF(C1608:E1625,$B1647&amp;" ~*")&gt;0)+(COUNTIF(G1608:I1625,$B1647)+COUNTIF(G1608:I1625,$B1647&amp;" ~*")&gt;0)+(COUNTIF(K1608:M1625,$B1647)+COUNTIF(K1608:M1625,$B1647&amp;" ~*")&gt;0)+(COUNTIF(O1608:Q1625,$B1647)+COUNTIF(O1608:Q1625,$B1647&amp;" ~*")&gt;0)+(COUNTIF(S1608:U1625,$B1647)+COUNTIF(S1608:U1625,$B1647&amp;" ~*")&gt;0)+(COUNTIF(W1608:W1625,$B1647)+COUNTIF(W1608:W1625,$B1647&amp;" ~*")&gt;0)+(COUNTIF(Y1608:Y1625,$B1647)+COUNTIF(Y1608:Y1625,$B1647&amp;" ~*")&gt;0))</f>
        <v/>
      </c>
      <c r="AC1647" s="36">
        <f>IF($B1647="","",(IFERROR(INDEX(Setup!$G$33:$G$40,MATCH(C1647,Setup!$B$33:$B$40,0)),0)=1)*(COUNTIF(C1608:E1625,$B1647)+COUNTIF(C1608:E1625,$B1647&amp;" ~*")&gt;0)+(IFERROR(INDEX(Setup!$G$33:$G$40,MATCH(G1647,Setup!$B$33:$B$40,0)),0)=1)*(COUNTIF(G1608:I1625,$B1647)+COUNTIF(G1608:I1625,$B1647&amp;" ~*")&gt;0)+(IFERROR(INDEX(Setup!$G$33:$G$40,MATCH(K1647,Setup!$B$33:$B$40,0)),0)=1)*(COUNTIF(K1608:M1625,$B1647)+COUNTIF(K1608:M1625,$B1647&amp;" ~*")&gt;0)+(IFERROR(INDEX(Setup!$G$33:$G$40,MATCH(O1647,Setup!$B$33:$B$40,0)),0)=1)*(COUNTIF(O1608:Q1625,$B1647)+COUNTIF(O1608:Q1625,$B1647&amp;" ~*")&gt;0)+(IFERROR(INDEX(Setup!$G$33:$G$40,MATCH(S1647,Setup!$B$33:$B$40,0)),0)=1)*(COUNTIF(S1608:U1625,$B1647)+COUNTIF(S1608:U1625,$B1647&amp;" ~*")&gt;0)+(IFERROR(INDEX(Setup!$G$33:$G$40,MATCH(W1647,Setup!$B$33:$B$40,0)),0)=1)*(COUNTIF(W1608:W1625,$B1647)+COUNTIF(W1608:W1625,$B1647&amp;" ~*")&gt;0)+(IFERROR(INDEX(Setup!$G$33:$G$40,MATCH(Y1647,Setup!$B$33:$B$40,0)),0)=1)*(COUNTIF(Y1608:Y1625,$B1647)+COUNTIF(Y1608:Y1625,$B1647&amp;" ~*")&gt;0))</f>
        <v/>
      </c>
    </row>
    <row r="1648" ht="15" customHeight="1">
      <c r="A1648" t="n">
        <v>33</v>
      </c>
      <c r="B1648" s="37">
        <f>IF(Setup!$B$27="","",Setup!$B$27)</f>
        <v/>
      </c>
      <c r="C1648" s="102" t="n"/>
      <c r="D1648" s="103" t="n"/>
      <c r="E1648" s="103" t="n"/>
      <c r="F1648" s="104" t="n"/>
      <c r="G1648" s="102" t="n"/>
      <c r="H1648" s="103" t="n"/>
      <c r="I1648" s="103" t="n"/>
      <c r="J1648" s="104" t="n"/>
      <c r="K1648" s="102" t="n"/>
      <c r="L1648" s="103" t="n"/>
      <c r="M1648" s="103" t="n"/>
      <c r="N1648" s="104" t="n"/>
      <c r="O1648" s="102" t="n"/>
      <c r="P1648" s="103" t="n"/>
      <c r="Q1648" s="103" t="n"/>
      <c r="R1648" s="104" t="n"/>
      <c r="S1648" s="102" t="n"/>
      <c r="T1648" s="103" t="n"/>
      <c r="U1648" s="103" t="n"/>
      <c r="V1648" s="104" t="n"/>
      <c r="W1648" s="102" t="n"/>
      <c r="X1648" s="104" t="n"/>
      <c r="Y1648" s="102" t="n"/>
      <c r="Z1648" s="104" t="n"/>
      <c r="AB1648" s="105">
        <f>IF($B1648="","",(COUNTIF(C1608:E1625,$B1648)+COUNTIF(C1608:E1625,$B1648&amp;" ~*")&gt;0)+(COUNTIF(G1608:I1625,$B1648)+COUNTIF(G1608:I1625,$B1648&amp;" ~*")&gt;0)+(COUNTIF(K1608:M1625,$B1648)+COUNTIF(K1608:M1625,$B1648&amp;" ~*")&gt;0)+(COUNTIF(O1608:Q1625,$B1648)+COUNTIF(O1608:Q1625,$B1648&amp;" ~*")&gt;0)+(COUNTIF(S1608:U1625,$B1648)+COUNTIF(S1608:U1625,$B1648&amp;" ~*")&gt;0)+(COUNTIF(W1608:W1625,$B1648)+COUNTIF(W1608:W1625,$B1648&amp;" ~*")&gt;0)+(COUNTIF(Y1608:Y1625,$B1648)+COUNTIF(Y1608:Y1625,$B1648&amp;" ~*")&gt;0))</f>
        <v/>
      </c>
      <c r="AC1648" s="38">
        <f>IF($B1648="","",(IFERROR(INDEX(Setup!$G$33:$G$40,MATCH(C1648,Setup!$B$33:$B$40,0)),0)=1)*(COUNTIF(C1608:E1625,$B1648)+COUNTIF(C1608:E1625,$B1648&amp;" ~*")&gt;0)+(IFERROR(INDEX(Setup!$G$33:$G$40,MATCH(G1648,Setup!$B$33:$B$40,0)),0)=1)*(COUNTIF(G1608:I1625,$B1648)+COUNTIF(G1608:I1625,$B1648&amp;" ~*")&gt;0)+(IFERROR(INDEX(Setup!$G$33:$G$40,MATCH(K1648,Setup!$B$33:$B$40,0)),0)=1)*(COUNTIF(K1608:M1625,$B1648)+COUNTIF(K1608:M1625,$B1648&amp;" ~*")&gt;0)+(IFERROR(INDEX(Setup!$G$33:$G$40,MATCH(O1648,Setup!$B$33:$B$40,0)),0)=1)*(COUNTIF(O1608:Q1625,$B1648)+COUNTIF(O1608:Q1625,$B1648&amp;" ~*")&gt;0)+(IFERROR(INDEX(Setup!$G$33:$G$40,MATCH(S1648,Setup!$B$33:$B$40,0)),0)=1)*(COUNTIF(S1608:U1625,$B1648)+COUNTIF(S1608:U1625,$B1648&amp;" ~*")&gt;0)+(IFERROR(INDEX(Setup!$G$33:$G$40,MATCH(W1648,Setup!$B$33:$B$40,0)),0)=1)*(COUNTIF(W1608:W1625,$B1648)+COUNTIF(W1608:W1625,$B1648&amp;" ~*")&gt;0)+(IFERROR(INDEX(Setup!$G$33:$G$40,MATCH(Y1648,Setup!$B$33:$B$40,0)),0)=1)*(COUNTIF(Y1608:Y1625,$B1648)+COUNTIF(Y1608:Y1625,$B1648&amp;" ~*")&gt;0))</f>
        <v/>
      </c>
    </row>
    <row r="1649" ht="15" customHeight="1">
      <c r="A1649" t="n">
        <v>33</v>
      </c>
      <c r="B1649" s="35">
        <f>IF(Setup!$B$28="","",Setup!$B$28)</f>
        <v/>
      </c>
      <c r="C1649" s="98" t="n"/>
      <c r="D1649" s="99" t="n"/>
      <c r="E1649" s="99" t="n"/>
      <c r="F1649" s="100" t="n"/>
      <c r="G1649" s="98" t="n"/>
      <c r="H1649" s="99" t="n"/>
      <c r="I1649" s="99" t="n"/>
      <c r="J1649" s="100" t="n"/>
      <c r="K1649" s="98" t="n"/>
      <c r="L1649" s="99" t="n"/>
      <c r="M1649" s="99" t="n"/>
      <c r="N1649" s="100" t="n"/>
      <c r="O1649" s="98" t="n"/>
      <c r="P1649" s="99" t="n"/>
      <c r="Q1649" s="99" t="n"/>
      <c r="R1649" s="100" t="n"/>
      <c r="S1649" s="98" t="n"/>
      <c r="T1649" s="99" t="n"/>
      <c r="U1649" s="99" t="n"/>
      <c r="V1649" s="100" t="n"/>
      <c r="W1649" s="98" t="n"/>
      <c r="X1649" s="100" t="n"/>
      <c r="Y1649" s="98" t="n"/>
      <c r="Z1649" s="100" t="n"/>
      <c r="AB1649" s="101">
        <f>IF($B1649="","",(COUNTIF(C1608:E1625,$B1649)+COUNTIF(C1608:E1625,$B1649&amp;" ~*")&gt;0)+(COUNTIF(G1608:I1625,$B1649)+COUNTIF(G1608:I1625,$B1649&amp;" ~*")&gt;0)+(COUNTIF(K1608:M1625,$B1649)+COUNTIF(K1608:M1625,$B1649&amp;" ~*")&gt;0)+(COUNTIF(O1608:Q1625,$B1649)+COUNTIF(O1608:Q1625,$B1649&amp;" ~*")&gt;0)+(COUNTIF(S1608:U1625,$B1649)+COUNTIF(S1608:U1625,$B1649&amp;" ~*")&gt;0)+(COUNTIF(W1608:W1625,$B1649)+COUNTIF(W1608:W1625,$B1649&amp;" ~*")&gt;0)+(COUNTIF(Y1608:Y1625,$B1649)+COUNTIF(Y1608:Y1625,$B1649&amp;" ~*")&gt;0))</f>
        <v/>
      </c>
      <c r="AC1649" s="36">
        <f>IF($B1649="","",(IFERROR(INDEX(Setup!$G$33:$G$40,MATCH(C1649,Setup!$B$33:$B$40,0)),0)=1)*(COUNTIF(C1608:E1625,$B1649)+COUNTIF(C1608:E1625,$B1649&amp;" ~*")&gt;0)+(IFERROR(INDEX(Setup!$G$33:$G$40,MATCH(G1649,Setup!$B$33:$B$40,0)),0)=1)*(COUNTIF(G1608:I1625,$B1649)+COUNTIF(G1608:I1625,$B1649&amp;" ~*")&gt;0)+(IFERROR(INDEX(Setup!$G$33:$G$40,MATCH(K1649,Setup!$B$33:$B$40,0)),0)=1)*(COUNTIF(K1608:M1625,$B1649)+COUNTIF(K1608:M1625,$B1649&amp;" ~*")&gt;0)+(IFERROR(INDEX(Setup!$G$33:$G$40,MATCH(O1649,Setup!$B$33:$B$40,0)),0)=1)*(COUNTIF(O1608:Q1625,$B1649)+COUNTIF(O1608:Q1625,$B1649&amp;" ~*")&gt;0)+(IFERROR(INDEX(Setup!$G$33:$G$40,MATCH(S1649,Setup!$B$33:$B$40,0)),0)=1)*(COUNTIF(S1608:U1625,$B1649)+COUNTIF(S1608:U1625,$B1649&amp;" ~*")&gt;0)+(IFERROR(INDEX(Setup!$G$33:$G$40,MATCH(W1649,Setup!$B$33:$B$40,0)),0)=1)*(COUNTIF(W1608:W1625,$B1649)+COUNTIF(W1608:W1625,$B1649&amp;" ~*")&gt;0)+(IFERROR(INDEX(Setup!$G$33:$G$40,MATCH(Y1649,Setup!$B$33:$B$40,0)),0)=1)*(COUNTIF(Y1608:Y1625,$B1649)+COUNTIF(Y1608:Y1625,$B1649&amp;" ~*")&gt;0))</f>
        <v/>
      </c>
    </row>
    <row r="1650" ht="15" customHeight="1">
      <c r="A1650" t="n">
        <v>33</v>
      </c>
      <c r="B1650" s="37">
        <f>IF(Setup!$B$29="","",Setup!$B$29)</f>
        <v/>
      </c>
      <c r="C1650" s="102" t="n"/>
      <c r="D1650" s="103" t="n"/>
      <c r="E1650" s="103" t="n"/>
      <c r="F1650" s="104" t="n"/>
      <c r="G1650" s="102" t="n"/>
      <c r="H1650" s="103" t="n"/>
      <c r="I1650" s="103" t="n"/>
      <c r="J1650" s="104" t="n"/>
      <c r="K1650" s="102" t="n"/>
      <c r="L1650" s="103" t="n"/>
      <c r="M1650" s="103" t="n"/>
      <c r="N1650" s="104" t="n"/>
      <c r="O1650" s="102" t="n"/>
      <c r="P1650" s="103" t="n"/>
      <c r="Q1650" s="103" t="n"/>
      <c r="R1650" s="104" t="n"/>
      <c r="S1650" s="102" t="n"/>
      <c r="T1650" s="103" t="n"/>
      <c r="U1650" s="103" t="n"/>
      <c r="V1650" s="104" t="n"/>
      <c r="W1650" s="102" t="n"/>
      <c r="X1650" s="104" t="n"/>
      <c r="Y1650" s="102" t="n"/>
      <c r="Z1650" s="104" t="n"/>
      <c r="AB1650" s="105">
        <f>IF($B1650="","",(COUNTIF(C1608:E1625,$B1650)+COUNTIF(C1608:E1625,$B1650&amp;" ~*")&gt;0)+(COUNTIF(G1608:I1625,$B1650)+COUNTIF(G1608:I1625,$B1650&amp;" ~*")&gt;0)+(COUNTIF(K1608:M1625,$B1650)+COUNTIF(K1608:M1625,$B1650&amp;" ~*")&gt;0)+(COUNTIF(O1608:Q1625,$B1650)+COUNTIF(O1608:Q1625,$B1650&amp;" ~*")&gt;0)+(COUNTIF(S1608:U1625,$B1650)+COUNTIF(S1608:U1625,$B1650&amp;" ~*")&gt;0)+(COUNTIF(W1608:W1625,$B1650)+COUNTIF(W1608:W1625,$B1650&amp;" ~*")&gt;0)+(COUNTIF(Y1608:Y1625,$B1650)+COUNTIF(Y1608:Y1625,$B1650&amp;" ~*")&gt;0))</f>
        <v/>
      </c>
      <c r="AC1650" s="38">
        <f>IF($B1650="","",(IFERROR(INDEX(Setup!$G$33:$G$40,MATCH(C1650,Setup!$B$33:$B$40,0)),0)=1)*(COUNTIF(C1608:E1625,$B1650)+COUNTIF(C1608:E1625,$B1650&amp;" ~*")&gt;0)+(IFERROR(INDEX(Setup!$G$33:$G$40,MATCH(G1650,Setup!$B$33:$B$40,0)),0)=1)*(COUNTIF(G1608:I1625,$B1650)+COUNTIF(G1608:I1625,$B1650&amp;" ~*")&gt;0)+(IFERROR(INDEX(Setup!$G$33:$G$40,MATCH(K1650,Setup!$B$33:$B$40,0)),0)=1)*(COUNTIF(K1608:M1625,$B1650)+COUNTIF(K1608:M1625,$B1650&amp;" ~*")&gt;0)+(IFERROR(INDEX(Setup!$G$33:$G$40,MATCH(O1650,Setup!$B$33:$B$40,0)),0)=1)*(COUNTIF(O1608:Q1625,$B1650)+COUNTIF(O1608:Q1625,$B1650&amp;" ~*")&gt;0)+(IFERROR(INDEX(Setup!$G$33:$G$40,MATCH(S1650,Setup!$B$33:$B$40,0)),0)=1)*(COUNTIF(S1608:U1625,$B1650)+COUNTIF(S1608:U1625,$B1650&amp;" ~*")&gt;0)+(IFERROR(INDEX(Setup!$G$33:$G$40,MATCH(W1650,Setup!$B$33:$B$40,0)),0)=1)*(COUNTIF(W1608:W1625,$B1650)+COUNTIF(W1608:W1625,$B1650&amp;" ~*")&gt;0)+(IFERROR(INDEX(Setup!$G$33:$G$40,MATCH(Y1650,Setup!$B$33:$B$40,0)),0)=1)*(COUNTIF(Y1608:Y1625,$B1650)+COUNTIF(Y1608:Y1625,$B1650&amp;" ~*")&gt;0))</f>
        <v/>
      </c>
    </row>
    <row r="1651" ht="16" customHeight="1">
      <c r="A1651" t="n">
        <v>33</v>
      </c>
      <c r="B1651" s="106" t="inlineStr">
        <is>
          <t>Available people</t>
        </is>
      </c>
      <c r="C1651" s="107">
        <f>COUNTIFS(Setup!$E$6:$E$29,"Y",Setup!$B$6:$B$29,"?*")-SUMPRODUCT(COUNTIF(C1627:C1650,Setup!$F$33:$F$40))</f>
        <v/>
      </c>
      <c r="D1651" s="107" t="n"/>
      <c r="E1651" s="107" t="n"/>
      <c r="F1651" s="107" t="n"/>
      <c r="G1651" s="107">
        <f>COUNTIFS(Setup!$E$6:$E$29,"Y",Setup!$B$6:$B$29,"?*")-SUMPRODUCT(COUNTIF(G1627:G1650,Setup!$F$33:$F$40))</f>
        <v/>
      </c>
      <c r="H1651" s="107" t="n"/>
      <c r="I1651" s="107" t="n"/>
      <c r="J1651" s="107" t="n"/>
      <c r="K1651" s="107">
        <f>COUNTIFS(Setup!$E$6:$E$29,"Y",Setup!$B$6:$B$29,"?*")-SUMPRODUCT(COUNTIF(K1627:K1650,Setup!$F$33:$F$40))</f>
        <v/>
      </c>
      <c r="L1651" s="107" t="n"/>
      <c r="M1651" s="107" t="n"/>
      <c r="N1651" s="107" t="n"/>
      <c r="O1651" s="107">
        <f>COUNTIFS(Setup!$E$6:$E$29,"Y",Setup!$B$6:$B$29,"?*")-SUMPRODUCT(COUNTIF(O1627:O1650,Setup!$F$33:$F$40))</f>
        <v/>
      </c>
      <c r="P1651" s="107" t="n"/>
      <c r="Q1651" s="107" t="n"/>
      <c r="R1651" s="107" t="n"/>
      <c r="S1651" s="107">
        <f>COUNTIFS(Setup!$E$6:$E$29,"Y",Setup!$B$6:$B$29,"?*")-SUMPRODUCT(COUNTIF(S1627:S1650,Setup!$F$33:$F$40))</f>
        <v/>
      </c>
      <c r="T1651" s="107" t="n"/>
      <c r="U1651" s="107" t="n"/>
      <c r="V1651" s="107" t="n"/>
      <c r="W1651" s="107">
        <f>COUNTIFS(Setup!$E$6:$E$29,"Y",Setup!$B$6:$B$29,"?*")-SUMPRODUCT(COUNTIF(W1627:W1650,Setup!$F$33:$F$40))</f>
        <v/>
      </c>
      <c r="X1651" s="107" t="n"/>
      <c r="Y1651" s="107">
        <f>COUNTIFS(Setup!$E$6:$E$29,"Y",Setup!$B$6:$B$29,"?*")-SUMPRODUCT(COUNTIF(Y1627:Y1650,Setup!$F$33:$F$40))</f>
        <v/>
      </c>
      <c r="Z1651" s="107" t="n"/>
      <c r="AB1651" s="108">
        <f>SUM(AB1627:AB1650)</f>
        <v/>
      </c>
      <c r="AC1651" s="109">
        <f>SUM(AC1627:AC1650)</f>
        <v/>
      </c>
    </row>
    <row r="1652" ht="30" customHeight="1">
      <c r="A1652" t="n">
        <v>33</v>
      </c>
      <c r="B1652" s="110" t="inlineStr">
        <is>
          <t>Week notes</t>
        </is>
      </c>
      <c r="C1652" s="111" t="n"/>
      <c r="D1652" s="112" t="n"/>
      <c r="E1652" s="112" t="n"/>
      <c r="F1652" s="112" t="n"/>
      <c r="G1652" s="112" t="n"/>
      <c r="H1652" s="112" t="n"/>
      <c r="I1652" s="112" t="n"/>
      <c r="J1652" s="112" t="n"/>
      <c r="K1652" s="112" t="n"/>
      <c r="L1652" s="112" t="n"/>
      <c r="M1652" s="112" t="n"/>
      <c r="N1652" s="112" t="n"/>
      <c r="O1652" s="112" t="n"/>
      <c r="P1652" s="112" t="n"/>
      <c r="Q1652" s="112" t="n"/>
      <c r="R1652" s="112" t="n"/>
      <c r="S1652" s="112" t="n"/>
      <c r="T1652" s="112" t="n"/>
      <c r="U1652" s="112" t="n"/>
      <c r="V1652" s="112" t="n"/>
      <c r="W1652" s="112" t="n"/>
      <c r="X1652" s="112" t="n"/>
      <c r="Y1652" s="112" t="n"/>
      <c r="Z1652" s="113" t="n"/>
    </row>
    <row r="1653" ht="8" customHeight="1">
      <c r="A1653" t="n">
        <v>33</v>
      </c>
    </row>
    <row r="1654" ht="8" customHeight="1">
      <c r="A1654" t="n">
        <v>33</v>
      </c>
    </row>
    <row r="1655" ht="24" customHeight="1">
      <c r="A1655" t="n">
        <v>34</v>
      </c>
      <c r="B1655" s="73">
        <f>"WEEK 34     "&amp;TEXT(C1656,"ddd d mmm")&amp;"  –  "&amp;TEXT(C1656+6,"ddd d mmm yyyy")</f>
        <v/>
      </c>
      <c r="S1655" s="74">
        <f>IF(TODAY()&lt;C1656,"FUTURE",IF(TODAY()&gt;C1656+6,"PAST","THIS WEEK"))</f>
        <v/>
      </c>
      <c r="W1655" s="75">
        <f>IF(AND(Engine!$B$8=$AC$3,Engine!$B$9=$A1655),"◀ ACTIVE WEEK","")</f>
        <v/>
      </c>
      <c r="AA1655" s="76" t="n"/>
      <c r="AB1655" s="77" t="inlineStr">
        <is>
          <t>◀ Prev</t>
        </is>
      </c>
      <c r="AC1655" s="77" t="inlineStr">
        <is>
          <t>Next ▶</t>
        </is>
      </c>
    </row>
    <row r="1656" ht="18" customHeight="1">
      <c r="A1656" t="n">
        <v>34</v>
      </c>
      <c r="B1656" s="78" t="inlineStr">
        <is>
          <t>DUTY</t>
        </is>
      </c>
      <c r="C1656" s="79">
        <f>$AC$2+7*($A1656-1)</f>
        <v/>
      </c>
      <c r="D1656" s="80" t="n"/>
      <c r="E1656" s="80" t="n"/>
      <c r="F1656" s="81" t="n"/>
      <c r="G1656" s="79">
        <f>C1656+1</f>
        <v/>
      </c>
      <c r="H1656" s="80" t="n"/>
      <c r="I1656" s="80" t="n"/>
      <c r="J1656" s="81" t="n"/>
      <c r="K1656" s="79">
        <f>C1656+2</f>
        <v/>
      </c>
      <c r="L1656" s="80" t="n"/>
      <c r="M1656" s="80" t="n"/>
      <c r="N1656" s="81" t="n"/>
      <c r="O1656" s="79">
        <f>C1656+3</f>
        <v/>
      </c>
      <c r="P1656" s="80" t="n"/>
      <c r="Q1656" s="80" t="n"/>
      <c r="R1656" s="81" t="n"/>
      <c r="S1656" s="79">
        <f>C1656+4</f>
        <v/>
      </c>
      <c r="T1656" s="80" t="n"/>
      <c r="U1656" s="80" t="n"/>
      <c r="V1656" s="81" t="n"/>
      <c r="W1656" s="82">
        <f>C1656+5</f>
        <v/>
      </c>
      <c r="X1656" s="83" t="n"/>
      <c r="Y1656" s="82">
        <f>C1656+6</f>
        <v/>
      </c>
      <c r="Z1656" s="83" t="n"/>
      <c r="AB1656" s="72" t="inlineStr">
        <is>
          <t>Gaps</t>
        </is>
      </c>
      <c r="AC1656" s="72" t="inlineStr">
        <is>
          <t>Cover</t>
        </is>
      </c>
    </row>
    <row r="1657" ht="14" customHeight="1">
      <c r="A1657" t="n">
        <v>34</v>
      </c>
      <c r="B1657" s="84" t="inlineStr">
        <is>
          <t>(from Setup)</t>
        </is>
      </c>
      <c r="C1657" s="85" t="inlineStr">
        <is>
          <t>1</t>
        </is>
      </c>
      <c r="D1657" s="85" t="inlineStr">
        <is>
          <t>2</t>
        </is>
      </c>
      <c r="E1657" s="85" t="inlineStr">
        <is>
          <t>3</t>
        </is>
      </c>
      <c r="F1657" s="85" t="inlineStr">
        <is>
          <t>Notes</t>
        </is>
      </c>
      <c r="G1657" s="85" t="inlineStr">
        <is>
          <t>1</t>
        </is>
      </c>
      <c r="H1657" s="85" t="inlineStr">
        <is>
          <t>2</t>
        </is>
      </c>
      <c r="I1657" s="85" t="inlineStr">
        <is>
          <t>3</t>
        </is>
      </c>
      <c r="J1657" s="85" t="inlineStr">
        <is>
          <t>Notes</t>
        </is>
      </c>
      <c r="K1657" s="85" t="inlineStr">
        <is>
          <t>1</t>
        </is>
      </c>
      <c r="L1657" s="85" t="inlineStr">
        <is>
          <t>2</t>
        </is>
      </c>
      <c r="M1657" s="85" t="inlineStr">
        <is>
          <t>3</t>
        </is>
      </c>
      <c r="N1657" s="85" t="inlineStr">
        <is>
          <t>Notes</t>
        </is>
      </c>
      <c r="O1657" s="85" t="inlineStr">
        <is>
          <t>1</t>
        </is>
      </c>
      <c r="P1657" s="85" t="inlineStr">
        <is>
          <t>2</t>
        </is>
      </c>
      <c r="Q1657" s="85" t="inlineStr">
        <is>
          <t>3</t>
        </is>
      </c>
      <c r="R1657" s="85" t="inlineStr">
        <is>
          <t>Notes</t>
        </is>
      </c>
      <c r="S1657" s="85" t="inlineStr">
        <is>
          <t>1</t>
        </is>
      </c>
      <c r="T1657" s="85" t="inlineStr">
        <is>
          <t>2</t>
        </is>
      </c>
      <c r="U1657" s="85" t="inlineStr">
        <is>
          <t>3</t>
        </is>
      </c>
      <c r="V1657" s="85" t="inlineStr">
        <is>
          <t>Notes</t>
        </is>
      </c>
      <c r="W1657" s="85" t="inlineStr">
        <is>
          <t>Cover</t>
        </is>
      </c>
      <c r="X1657" s="85" t="inlineStr">
        <is>
          <t>Notes</t>
        </is>
      </c>
      <c r="Y1657" s="85" t="inlineStr">
        <is>
          <t>Cover</t>
        </is>
      </c>
      <c r="Z1657" s="85" t="inlineStr">
        <is>
          <t>Notes</t>
        </is>
      </c>
      <c r="AB1657" s="86" t="inlineStr">
        <is>
          <t>weekdays short</t>
        </is>
      </c>
      <c r="AC1657" s="87" t="inlineStr"/>
    </row>
    <row r="1658" ht="17" customHeight="1">
      <c r="A1658" t="n">
        <v>34</v>
      </c>
      <c r="B1658" s="24">
        <f>IF(Setup!$K$6="","",Setup!$K$6)</f>
        <v/>
      </c>
      <c r="C1658" s="88" t="n"/>
      <c r="D1658" s="88" t="n"/>
      <c r="E1658" s="88" t="n"/>
      <c r="F1658" s="89" t="n"/>
      <c r="G1658" s="88" t="n"/>
      <c r="H1658" s="88" t="n"/>
      <c r="I1658" s="88" t="n"/>
      <c r="J1658" s="89" t="n"/>
      <c r="K1658" s="88" t="n"/>
      <c r="L1658" s="88" t="n"/>
      <c r="M1658" s="88" t="n"/>
      <c r="N1658" s="89" t="n"/>
      <c r="O1658" s="88" t="n"/>
      <c r="P1658" s="88" t="n"/>
      <c r="Q1658" s="88" t="n"/>
      <c r="R1658" s="89" t="n"/>
      <c r="S1658" s="88" t="n"/>
      <c r="T1658" s="88" t="n"/>
      <c r="U1658" s="88" t="n"/>
      <c r="V1658" s="89" t="n"/>
      <c r="W1658" s="88" t="n"/>
      <c r="X1658" s="89" t="n"/>
      <c r="Y1658" s="88" t="n"/>
      <c r="Z1658" s="89" t="n"/>
      <c r="AB1658" s="25">
        <f>IF($B1658="","",(COUNTIF(C1658:E1658,"?*")&lt;N(INDEX(Setup!$L$6:$L$23,1)))+(COUNTIF(G1658:I1658,"?*")&lt;N(INDEX(Setup!$L$6:$L$23,1)))+(COUNTIF(K1658:M1658,"?*")&lt;N(INDEX(Setup!$L$6:$L$23,1)))+(COUNTIF(O1658:Q1658,"?*")&lt;N(INDEX(Setup!$L$6:$L$23,1)))+(COUNTIF(S1658:U1658,"?*")&lt;N(INDEX(Setup!$L$6:$L$23,1)))+((W1658="")*(INDEX(Setup!$M$6:$M$23,1)="Y"))+((Y1658="")*(INDEX(Setup!$M$6:$M$23,1)="Y")))</f>
        <v/>
      </c>
      <c r="AC1658" s="90">
        <f>IF($B1658="","",IF(AB1658=0,"✓ covered","⚠ "&amp;AB1658&amp;IF(AB1658=1," gap"," gaps")))</f>
        <v/>
      </c>
    </row>
    <row r="1659" ht="17" customHeight="1">
      <c r="A1659" t="n">
        <v>34</v>
      </c>
      <c r="B1659" s="29">
        <f>IF(Setup!$K$7="","",Setup!$K$7)</f>
        <v/>
      </c>
      <c r="C1659" s="88" t="n"/>
      <c r="D1659" s="88" t="n"/>
      <c r="E1659" s="88" t="n"/>
      <c r="F1659" s="89" t="n"/>
      <c r="G1659" s="88" t="n"/>
      <c r="H1659" s="88" t="n"/>
      <c r="I1659" s="88" t="n"/>
      <c r="J1659" s="89" t="n"/>
      <c r="K1659" s="88" t="n"/>
      <c r="L1659" s="88" t="n"/>
      <c r="M1659" s="88" t="n"/>
      <c r="N1659" s="89" t="n"/>
      <c r="O1659" s="88" t="n"/>
      <c r="P1659" s="88" t="n"/>
      <c r="Q1659" s="88" t="n"/>
      <c r="R1659" s="89" t="n"/>
      <c r="S1659" s="88" t="n"/>
      <c r="T1659" s="88" t="n"/>
      <c r="U1659" s="88" t="n"/>
      <c r="V1659" s="89" t="n"/>
      <c r="W1659" s="88" t="n"/>
      <c r="X1659" s="89" t="n"/>
      <c r="Y1659" s="88" t="n"/>
      <c r="Z1659" s="89" t="n"/>
      <c r="AB1659" s="30">
        <f>IF($B1659="","",(COUNTIF(C1659:E1659,"?*")&lt;N(INDEX(Setup!$L$6:$L$23,2)))+(COUNTIF(G1659:I1659,"?*")&lt;N(INDEX(Setup!$L$6:$L$23,2)))+(COUNTIF(K1659:M1659,"?*")&lt;N(INDEX(Setup!$L$6:$L$23,2)))+(COUNTIF(O1659:Q1659,"?*")&lt;N(INDEX(Setup!$L$6:$L$23,2)))+(COUNTIF(S1659:U1659,"?*")&lt;N(INDEX(Setup!$L$6:$L$23,2)))+((W1659="")*(INDEX(Setup!$M$6:$M$23,2)="Y"))+((Y1659="")*(INDEX(Setup!$M$6:$M$23,2)="Y")))</f>
        <v/>
      </c>
      <c r="AC1659" s="91">
        <f>IF($B1659="","",IF(AB1659=0,"✓ covered","⚠ "&amp;AB1659&amp;IF(AB1659=1," gap"," gaps")))</f>
        <v/>
      </c>
    </row>
    <row r="1660" ht="17" customHeight="1">
      <c r="A1660" t="n">
        <v>34</v>
      </c>
      <c r="B1660" s="24">
        <f>IF(Setup!$K$8="","",Setup!$K$8)</f>
        <v/>
      </c>
      <c r="C1660" s="88" t="n"/>
      <c r="D1660" s="88" t="n"/>
      <c r="E1660" s="88" t="n"/>
      <c r="F1660" s="89" t="n"/>
      <c r="G1660" s="88" t="n"/>
      <c r="H1660" s="88" t="n"/>
      <c r="I1660" s="88" t="n"/>
      <c r="J1660" s="89" t="n"/>
      <c r="K1660" s="88" t="n"/>
      <c r="L1660" s="88" t="n"/>
      <c r="M1660" s="88" t="n"/>
      <c r="N1660" s="89" t="n"/>
      <c r="O1660" s="88" t="n"/>
      <c r="P1660" s="88" t="n"/>
      <c r="Q1660" s="88" t="n"/>
      <c r="R1660" s="89" t="n"/>
      <c r="S1660" s="88" t="n"/>
      <c r="T1660" s="88" t="n"/>
      <c r="U1660" s="88" t="n"/>
      <c r="V1660" s="89" t="n"/>
      <c r="W1660" s="88" t="n"/>
      <c r="X1660" s="89" t="n"/>
      <c r="Y1660" s="88" t="n"/>
      <c r="Z1660" s="89" t="n"/>
      <c r="AB1660" s="25">
        <f>IF($B1660="","",(COUNTIF(C1660:E1660,"?*")&lt;N(INDEX(Setup!$L$6:$L$23,3)))+(COUNTIF(G1660:I1660,"?*")&lt;N(INDEX(Setup!$L$6:$L$23,3)))+(COUNTIF(K1660:M1660,"?*")&lt;N(INDEX(Setup!$L$6:$L$23,3)))+(COUNTIF(O1660:Q1660,"?*")&lt;N(INDEX(Setup!$L$6:$L$23,3)))+(COUNTIF(S1660:U1660,"?*")&lt;N(INDEX(Setup!$L$6:$L$23,3)))+((W1660="")*(INDEX(Setup!$M$6:$M$23,3)="Y"))+((Y1660="")*(INDEX(Setup!$M$6:$M$23,3)="Y")))</f>
        <v/>
      </c>
      <c r="AC1660" s="90">
        <f>IF($B1660="","",IF(AB1660=0,"✓ covered","⚠ "&amp;AB1660&amp;IF(AB1660=1," gap"," gaps")))</f>
        <v/>
      </c>
    </row>
    <row r="1661" ht="17" customHeight="1">
      <c r="A1661" t="n">
        <v>34</v>
      </c>
      <c r="B1661" s="29">
        <f>IF(Setup!$K$9="","",Setup!$K$9)</f>
        <v/>
      </c>
      <c r="C1661" s="88" t="n"/>
      <c r="D1661" s="88" t="n"/>
      <c r="E1661" s="88" t="n"/>
      <c r="F1661" s="89" t="n"/>
      <c r="G1661" s="88" t="n"/>
      <c r="H1661" s="88" t="n"/>
      <c r="I1661" s="88" t="n"/>
      <c r="J1661" s="89" t="n"/>
      <c r="K1661" s="88" t="n"/>
      <c r="L1661" s="88" t="n"/>
      <c r="M1661" s="88" t="n"/>
      <c r="N1661" s="89" t="n"/>
      <c r="O1661" s="88" t="n"/>
      <c r="P1661" s="88" t="n"/>
      <c r="Q1661" s="88" t="n"/>
      <c r="R1661" s="89" t="n"/>
      <c r="S1661" s="88" t="n"/>
      <c r="T1661" s="88" t="n"/>
      <c r="U1661" s="88" t="n"/>
      <c r="V1661" s="89" t="n"/>
      <c r="W1661" s="88" t="n"/>
      <c r="X1661" s="89" t="n"/>
      <c r="Y1661" s="88" t="n"/>
      <c r="Z1661" s="89" t="n"/>
      <c r="AB1661" s="30">
        <f>IF($B1661="","",(COUNTIF(C1661:E1661,"?*")&lt;N(INDEX(Setup!$L$6:$L$23,4)))+(COUNTIF(G1661:I1661,"?*")&lt;N(INDEX(Setup!$L$6:$L$23,4)))+(COUNTIF(K1661:M1661,"?*")&lt;N(INDEX(Setup!$L$6:$L$23,4)))+(COUNTIF(O1661:Q1661,"?*")&lt;N(INDEX(Setup!$L$6:$L$23,4)))+(COUNTIF(S1661:U1661,"?*")&lt;N(INDEX(Setup!$L$6:$L$23,4)))+((W1661="")*(INDEX(Setup!$M$6:$M$23,4)="Y"))+((Y1661="")*(INDEX(Setup!$M$6:$M$23,4)="Y")))</f>
        <v/>
      </c>
      <c r="AC1661" s="91">
        <f>IF($B1661="","",IF(AB1661=0,"✓ covered","⚠ "&amp;AB1661&amp;IF(AB1661=1," gap"," gaps")))</f>
        <v/>
      </c>
    </row>
    <row r="1662" ht="17" customHeight="1">
      <c r="A1662" t="n">
        <v>34</v>
      </c>
      <c r="B1662" s="24">
        <f>IF(Setup!$K$10="","",Setup!$K$10)</f>
        <v/>
      </c>
      <c r="C1662" s="88" t="n"/>
      <c r="D1662" s="88" t="n"/>
      <c r="E1662" s="88" t="n"/>
      <c r="F1662" s="89" t="n"/>
      <c r="G1662" s="88" t="n"/>
      <c r="H1662" s="88" t="n"/>
      <c r="I1662" s="88" t="n"/>
      <c r="J1662" s="89" t="n"/>
      <c r="K1662" s="88" t="n"/>
      <c r="L1662" s="88" t="n"/>
      <c r="M1662" s="88" t="n"/>
      <c r="N1662" s="89" t="n"/>
      <c r="O1662" s="88" t="n"/>
      <c r="P1662" s="88" t="n"/>
      <c r="Q1662" s="88" t="n"/>
      <c r="R1662" s="89" t="n"/>
      <c r="S1662" s="88" t="n"/>
      <c r="T1662" s="88" t="n"/>
      <c r="U1662" s="88" t="n"/>
      <c r="V1662" s="89" t="n"/>
      <c r="W1662" s="88" t="n"/>
      <c r="X1662" s="89" t="n"/>
      <c r="Y1662" s="88" t="n"/>
      <c r="Z1662" s="89" t="n"/>
      <c r="AB1662" s="25">
        <f>IF($B1662="","",(COUNTIF(C1662:E1662,"?*")&lt;N(INDEX(Setup!$L$6:$L$23,5)))+(COUNTIF(G1662:I1662,"?*")&lt;N(INDEX(Setup!$L$6:$L$23,5)))+(COUNTIF(K1662:M1662,"?*")&lt;N(INDEX(Setup!$L$6:$L$23,5)))+(COUNTIF(O1662:Q1662,"?*")&lt;N(INDEX(Setup!$L$6:$L$23,5)))+(COUNTIF(S1662:U1662,"?*")&lt;N(INDEX(Setup!$L$6:$L$23,5)))+((W1662="")*(INDEX(Setup!$M$6:$M$23,5)="Y"))+((Y1662="")*(INDEX(Setup!$M$6:$M$23,5)="Y")))</f>
        <v/>
      </c>
      <c r="AC1662" s="90">
        <f>IF($B1662="","",IF(AB1662=0,"✓ covered","⚠ "&amp;AB1662&amp;IF(AB1662=1," gap"," gaps")))</f>
        <v/>
      </c>
    </row>
    <row r="1663" ht="17" customHeight="1">
      <c r="A1663" t="n">
        <v>34</v>
      </c>
      <c r="B1663" s="29">
        <f>IF(Setup!$K$11="","",Setup!$K$11)</f>
        <v/>
      </c>
      <c r="C1663" s="88" t="n"/>
      <c r="D1663" s="88" t="n"/>
      <c r="E1663" s="88" t="n"/>
      <c r="F1663" s="89" t="n"/>
      <c r="G1663" s="88" t="n"/>
      <c r="H1663" s="88" t="n"/>
      <c r="I1663" s="88" t="n"/>
      <c r="J1663" s="89" t="n"/>
      <c r="K1663" s="88" t="n"/>
      <c r="L1663" s="88" t="n"/>
      <c r="M1663" s="88" t="n"/>
      <c r="N1663" s="89" t="n"/>
      <c r="O1663" s="88" t="n"/>
      <c r="P1663" s="88" t="n"/>
      <c r="Q1663" s="88" t="n"/>
      <c r="R1663" s="89" t="n"/>
      <c r="S1663" s="88" t="n"/>
      <c r="T1663" s="88" t="n"/>
      <c r="U1663" s="88" t="n"/>
      <c r="V1663" s="89" t="n"/>
      <c r="W1663" s="88" t="n"/>
      <c r="X1663" s="89" t="n"/>
      <c r="Y1663" s="88" t="n"/>
      <c r="Z1663" s="89" t="n"/>
      <c r="AB1663" s="30">
        <f>IF($B1663="","",(COUNTIF(C1663:E1663,"?*")&lt;N(INDEX(Setup!$L$6:$L$23,6)))+(COUNTIF(G1663:I1663,"?*")&lt;N(INDEX(Setup!$L$6:$L$23,6)))+(COUNTIF(K1663:M1663,"?*")&lt;N(INDEX(Setup!$L$6:$L$23,6)))+(COUNTIF(O1663:Q1663,"?*")&lt;N(INDEX(Setup!$L$6:$L$23,6)))+(COUNTIF(S1663:U1663,"?*")&lt;N(INDEX(Setup!$L$6:$L$23,6)))+((W1663="")*(INDEX(Setup!$M$6:$M$23,6)="Y"))+((Y1663="")*(INDEX(Setup!$M$6:$M$23,6)="Y")))</f>
        <v/>
      </c>
      <c r="AC1663" s="91">
        <f>IF($B1663="","",IF(AB1663=0,"✓ covered","⚠ "&amp;AB1663&amp;IF(AB1663=1," gap"," gaps")))</f>
        <v/>
      </c>
    </row>
    <row r="1664" ht="17" customHeight="1">
      <c r="A1664" t="n">
        <v>34</v>
      </c>
      <c r="B1664" s="24">
        <f>IF(Setup!$K$12="","",Setup!$K$12)</f>
        <v/>
      </c>
      <c r="C1664" s="88" t="n"/>
      <c r="D1664" s="88" t="n"/>
      <c r="E1664" s="88" t="n"/>
      <c r="F1664" s="89" t="n"/>
      <c r="G1664" s="88" t="n"/>
      <c r="H1664" s="88" t="n"/>
      <c r="I1664" s="88" t="n"/>
      <c r="J1664" s="89" t="n"/>
      <c r="K1664" s="88" t="n"/>
      <c r="L1664" s="88" t="n"/>
      <c r="M1664" s="88" t="n"/>
      <c r="N1664" s="89" t="n"/>
      <c r="O1664" s="88" t="n"/>
      <c r="P1664" s="88" t="n"/>
      <c r="Q1664" s="88" t="n"/>
      <c r="R1664" s="89" t="n"/>
      <c r="S1664" s="88" t="n"/>
      <c r="T1664" s="88" t="n"/>
      <c r="U1664" s="88" t="n"/>
      <c r="V1664" s="89" t="n"/>
      <c r="W1664" s="88" t="n"/>
      <c r="X1664" s="89" t="n"/>
      <c r="Y1664" s="88" t="n"/>
      <c r="Z1664" s="89" t="n"/>
      <c r="AB1664" s="25">
        <f>IF($B1664="","",(COUNTIF(C1664:E1664,"?*")&lt;N(INDEX(Setup!$L$6:$L$23,7)))+(COUNTIF(G1664:I1664,"?*")&lt;N(INDEX(Setup!$L$6:$L$23,7)))+(COUNTIF(K1664:M1664,"?*")&lt;N(INDEX(Setup!$L$6:$L$23,7)))+(COUNTIF(O1664:Q1664,"?*")&lt;N(INDEX(Setup!$L$6:$L$23,7)))+(COUNTIF(S1664:U1664,"?*")&lt;N(INDEX(Setup!$L$6:$L$23,7)))+((W1664="")*(INDEX(Setup!$M$6:$M$23,7)="Y"))+((Y1664="")*(INDEX(Setup!$M$6:$M$23,7)="Y")))</f>
        <v/>
      </c>
      <c r="AC1664" s="90">
        <f>IF($B1664="","",IF(AB1664=0,"✓ covered","⚠ "&amp;AB1664&amp;IF(AB1664=1," gap"," gaps")))</f>
        <v/>
      </c>
    </row>
    <row r="1665" ht="17" customHeight="1">
      <c r="A1665" t="n">
        <v>34</v>
      </c>
      <c r="B1665" s="29">
        <f>IF(Setup!$K$13="","",Setup!$K$13)</f>
        <v/>
      </c>
      <c r="C1665" s="88" t="n"/>
      <c r="D1665" s="88" t="n"/>
      <c r="E1665" s="88" t="n"/>
      <c r="F1665" s="89" t="n"/>
      <c r="G1665" s="88" t="n"/>
      <c r="H1665" s="88" t="n"/>
      <c r="I1665" s="88" t="n"/>
      <c r="J1665" s="89" t="n"/>
      <c r="K1665" s="88" t="n"/>
      <c r="L1665" s="88" t="n"/>
      <c r="M1665" s="88" t="n"/>
      <c r="N1665" s="89" t="n"/>
      <c r="O1665" s="88" t="n"/>
      <c r="P1665" s="88" t="n"/>
      <c r="Q1665" s="88" t="n"/>
      <c r="R1665" s="89" t="n"/>
      <c r="S1665" s="88" t="n"/>
      <c r="T1665" s="88" t="n"/>
      <c r="U1665" s="88" t="n"/>
      <c r="V1665" s="89" t="n"/>
      <c r="W1665" s="88" t="n"/>
      <c r="X1665" s="89" t="n"/>
      <c r="Y1665" s="88" t="n"/>
      <c r="Z1665" s="89" t="n"/>
      <c r="AB1665" s="30">
        <f>IF($B1665="","",(COUNTIF(C1665:E1665,"?*")&lt;N(INDEX(Setup!$L$6:$L$23,8)))+(COUNTIF(G1665:I1665,"?*")&lt;N(INDEX(Setup!$L$6:$L$23,8)))+(COUNTIF(K1665:M1665,"?*")&lt;N(INDEX(Setup!$L$6:$L$23,8)))+(COUNTIF(O1665:Q1665,"?*")&lt;N(INDEX(Setup!$L$6:$L$23,8)))+(COUNTIF(S1665:U1665,"?*")&lt;N(INDEX(Setup!$L$6:$L$23,8)))+((W1665="")*(INDEX(Setup!$M$6:$M$23,8)="Y"))+((Y1665="")*(INDEX(Setup!$M$6:$M$23,8)="Y")))</f>
        <v/>
      </c>
      <c r="AC1665" s="91">
        <f>IF($B1665="","",IF(AB1665=0,"✓ covered","⚠ "&amp;AB1665&amp;IF(AB1665=1," gap"," gaps")))</f>
        <v/>
      </c>
    </row>
    <row r="1666" ht="17" customHeight="1">
      <c r="A1666" t="n">
        <v>34</v>
      </c>
      <c r="B1666" s="24">
        <f>IF(Setup!$K$14="","",Setup!$K$14)</f>
        <v/>
      </c>
      <c r="C1666" s="88" t="n"/>
      <c r="D1666" s="88" t="n"/>
      <c r="E1666" s="88" t="n"/>
      <c r="F1666" s="89" t="n"/>
      <c r="G1666" s="88" t="n"/>
      <c r="H1666" s="88" t="n"/>
      <c r="I1666" s="88" t="n"/>
      <c r="J1666" s="89" t="n"/>
      <c r="K1666" s="88" t="n"/>
      <c r="L1666" s="88" t="n"/>
      <c r="M1666" s="88" t="n"/>
      <c r="N1666" s="89" t="n"/>
      <c r="O1666" s="88" t="n"/>
      <c r="P1666" s="88" t="n"/>
      <c r="Q1666" s="88" t="n"/>
      <c r="R1666" s="89" t="n"/>
      <c r="S1666" s="88" t="n"/>
      <c r="T1666" s="88" t="n"/>
      <c r="U1666" s="88" t="n"/>
      <c r="V1666" s="89" t="n"/>
      <c r="W1666" s="88" t="n"/>
      <c r="X1666" s="89" t="n"/>
      <c r="Y1666" s="88" t="n"/>
      <c r="Z1666" s="89" t="n"/>
      <c r="AB1666" s="25">
        <f>IF($B1666="","",(COUNTIF(C1666:E1666,"?*")&lt;N(INDEX(Setup!$L$6:$L$23,9)))+(COUNTIF(G1666:I1666,"?*")&lt;N(INDEX(Setup!$L$6:$L$23,9)))+(COUNTIF(K1666:M1666,"?*")&lt;N(INDEX(Setup!$L$6:$L$23,9)))+(COUNTIF(O1666:Q1666,"?*")&lt;N(INDEX(Setup!$L$6:$L$23,9)))+(COUNTIF(S1666:U1666,"?*")&lt;N(INDEX(Setup!$L$6:$L$23,9)))+((W1666="")*(INDEX(Setup!$M$6:$M$23,9)="Y"))+((Y1666="")*(INDEX(Setup!$M$6:$M$23,9)="Y")))</f>
        <v/>
      </c>
      <c r="AC1666" s="90">
        <f>IF($B1666="","",IF(AB1666=0,"✓ covered","⚠ "&amp;AB1666&amp;IF(AB1666=1," gap"," gaps")))</f>
        <v/>
      </c>
    </row>
    <row r="1667" ht="17" customHeight="1">
      <c r="A1667" t="n">
        <v>34</v>
      </c>
      <c r="B1667" s="29">
        <f>IF(Setup!$K$15="","",Setup!$K$15)</f>
        <v/>
      </c>
      <c r="C1667" s="88" t="n"/>
      <c r="D1667" s="88" t="n"/>
      <c r="E1667" s="88" t="n"/>
      <c r="F1667" s="89" t="n"/>
      <c r="G1667" s="88" t="n"/>
      <c r="H1667" s="88" t="n"/>
      <c r="I1667" s="88" t="n"/>
      <c r="J1667" s="89" t="n"/>
      <c r="K1667" s="88" t="n"/>
      <c r="L1667" s="88" t="n"/>
      <c r="M1667" s="88" t="n"/>
      <c r="N1667" s="89" t="n"/>
      <c r="O1667" s="88" t="n"/>
      <c r="P1667" s="88" t="n"/>
      <c r="Q1667" s="88" t="n"/>
      <c r="R1667" s="89" t="n"/>
      <c r="S1667" s="88" t="n"/>
      <c r="T1667" s="88" t="n"/>
      <c r="U1667" s="88" t="n"/>
      <c r="V1667" s="89" t="n"/>
      <c r="W1667" s="88" t="n"/>
      <c r="X1667" s="89" t="n"/>
      <c r="Y1667" s="88" t="n"/>
      <c r="Z1667" s="89" t="n"/>
      <c r="AB1667" s="30">
        <f>IF($B1667="","",(COUNTIF(C1667:E1667,"?*")&lt;N(INDEX(Setup!$L$6:$L$23,10)))+(COUNTIF(G1667:I1667,"?*")&lt;N(INDEX(Setup!$L$6:$L$23,10)))+(COUNTIF(K1667:M1667,"?*")&lt;N(INDEX(Setup!$L$6:$L$23,10)))+(COUNTIF(O1667:Q1667,"?*")&lt;N(INDEX(Setup!$L$6:$L$23,10)))+(COUNTIF(S1667:U1667,"?*")&lt;N(INDEX(Setup!$L$6:$L$23,10)))+((W1667="")*(INDEX(Setup!$M$6:$M$23,10)="Y"))+((Y1667="")*(INDEX(Setup!$M$6:$M$23,10)="Y")))</f>
        <v/>
      </c>
      <c r="AC1667" s="91">
        <f>IF($B1667="","",IF(AB1667=0,"✓ covered","⚠ "&amp;AB1667&amp;IF(AB1667=1," gap"," gaps")))</f>
        <v/>
      </c>
    </row>
    <row r="1668" ht="17" customHeight="1">
      <c r="A1668" t="n">
        <v>34</v>
      </c>
      <c r="B1668" s="24">
        <f>IF(Setup!$K$16="","",Setup!$K$16)</f>
        <v/>
      </c>
      <c r="C1668" s="88" t="n"/>
      <c r="D1668" s="88" t="n"/>
      <c r="E1668" s="88" t="n"/>
      <c r="F1668" s="89" t="n"/>
      <c r="G1668" s="88" t="n"/>
      <c r="H1668" s="88" t="n"/>
      <c r="I1668" s="88" t="n"/>
      <c r="J1668" s="89" t="n"/>
      <c r="K1668" s="88" t="n"/>
      <c r="L1668" s="88" t="n"/>
      <c r="M1668" s="88" t="n"/>
      <c r="N1668" s="89" t="n"/>
      <c r="O1668" s="88" t="n"/>
      <c r="P1668" s="88" t="n"/>
      <c r="Q1668" s="88" t="n"/>
      <c r="R1668" s="89" t="n"/>
      <c r="S1668" s="88" t="n"/>
      <c r="T1668" s="88" t="n"/>
      <c r="U1668" s="88" t="n"/>
      <c r="V1668" s="89" t="n"/>
      <c r="W1668" s="88" t="n"/>
      <c r="X1668" s="89" t="n"/>
      <c r="Y1668" s="88" t="n"/>
      <c r="Z1668" s="89" t="n"/>
      <c r="AB1668" s="25">
        <f>IF($B1668="","",(COUNTIF(C1668:E1668,"?*")&lt;N(INDEX(Setup!$L$6:$L$23,11)))+(COUNTIF(G1668:I1668,"?*")&lt;N(INDEX(Setup!$L$6:$L$23,11)))+(COUNTIF(K1668:M1668,"?*")&lt;N(INDEX(Setup!$L$6:$L$23,11)))+(COUNTIF(O1668:Q1668,"?*")&lt;N(INDEX(Setup!$L$6:$L$23,11)))+(COUNTIF(S1668:U1668,"?*")&lt;N(INDEX(Setup!$L$6:$L$23,11)))+((W1668="")*(INDEX(Setup!$M$6:$M$23,11)="Y"))+((Y1668="")*(INDEX(Setup!$M$6:$M$23,11)="Y")))</f>
        <v/>
      </c>
      <c r="AC1668" s="90">
        <f>IF($B1668="","",IF(AB1668=0,"✓ covered","⚠ "&amp;AB1668&amp;IF(AB1668=1," gap"," gaps")))</f>
        <v/>
      </c>
    </row>
    <row r="1669" ht="17" customHeight="1">
      <c r="A1669" t="n">
        <v>34</v>
      </c>
      <c r="B1669" s="29">
        <f>IF(Setup!$K$17="","",Setup!$K$17)</f>
        <v/>
      </c>
      <c r="C1669" s="88" t="n"/>
      <c r="D1669" s="88" t="n"/>
      <c r="E1669" s="88" t="n"/>
      <c r="F1669" s="89" t="n"/>
      <c r="G1669" s="88" t="n"/>
      <c r="H1669" s="88" t="n"/>
      <c r="I1669" s="88" t="n"/>
      <c r="J1669" s="89" t="n"/>
      <c r="K1669" s="88" t="n"/>
      <c r="L1669" s="88" t="n"/>
      <c r="M1669" s="88" t="n"/>
      <c r="N1669" s="89" t="n"/>
      <c r="O1669" s="88" t="n"/>
      <c r="P1669" s="88" t="n"/>
      <c r="Q1669" s="88" t="n"/>
      <c r="R1669" s="89" t="n"/>
      <c r="S1669" s="88" t="n"/>
      <c r="T1669" s="88" t="n"/>
      <c r="U1669" s="88" t="n"/>
      <c r="V1669" s="89" t="n"/>
      <c r="W1669" s="88" t="n"/>
      <c r="X1669" s="89" t="n"/>
      <c r="Y1669" s="88" t="n"/>
      <c r="Z1669" s="89" t="n"/>
      <c r="AB1669" s="30">
        <f>IF($B1669="","",(COUNTIF(C1669:E1669,"?*")&lt;N(INDEX(Setup!$L$6:$L$23,12)))+(COUNTIF(G1669:I1669,"?*")&lt;N(INDEX(Setup!$L$6:$L$23,12)))+(COUNTIF(K1669:M1669,"?*")&lt;N(INDEX(Setup!$L$6:$L$23,12)))+(COUNTIF(O1669:Q1669,"?*")&lt;N(INDEX(Setup!$L$6:$L$23,12)))+(COUNTIF(S1669:U1669,"?*")&lt;N(INDEX(Setup!$L$6:$L$23,12)))+((W1669="")*(INDEX(Setup!$M$6:$M$23,12)="Y"))+((Y1669="")*(INDEX(Setup!$M$6:$M$23,12)="Y")))</f>
        <v/>
      </c>
      <c r="AC1669" s="91">
        <f>IF($B1669="","",IF(AB1669=0,"✓ covered","⚠ "&amp;AB1669&amp;IF(AB1669=1," gap"," gaps")))</f>
        <v/>
      </c>
    </row>
    <row r="1670" ht="17" customHeight="1">
      <c r="A1670" t="n">
        <v>34</v>
      </c>
      <c r="B1670" s="24">
        <f>IF(Setup!$K$18="","",Setup!$K$18)</f>
        <v/>
      </c>
      <c r="C1670" s="88" t="n"/>
      <c r="D1670" s="88" t="n"/>
      <c r="E1670" s="88" t="n"/>
      <c r="F1670" s="89" t="n"/>
      <c r="G1670" s="88" t="n"/>
      <c r="H1670" s="88" t="n"/>
      <c r="I1670" s="88" t="n"/>
      <c r="J1670" s="89" t="n"/>
      <c r="K1670" s="88" t="n"/>
      <c r="L1670" s="88" t="n"/>
      <c r="M1670" s="88" t="n"/>
      <c r="N1670" s="89" t="n"/>
      <c r="O1670" s="88" t="n"/>
      <c r="P1670" s="88" t="n"/>
      <c r="Q1670" s="88" t="n"/>
      <c r="R1670" s="89" t="n"/>
      <c r="S1670" s="88" t="n"/>
      <c r="T1670" s="88" t="n"/>
      <c r="U1670" s="88" t="n"/>
      <c r="V1670" s="89" t="n"/>
      <c r="W1670" s="88" t="n"/>
      <c r="X1670" s="89" t="n"/>
      <c r="Y1670" s="88" t="n"/>
      <c r="Z1670" s="89" t="n"/>
      <c r="AB1670" s="25">
        <f>IF($B1670="","",(COUNTIF(C1670:E1670,"?*")&lt;N(INDEX(Setup!$L$6:$L$23,13)))+(COUNTIF(G1670:I1670,"?*")&lt;N(INDEX(Setup!$L$6:$L$23,13)))+(COUNTIF(K1670:M1670,"?*")&lt;N(INDEX(Setup!$L$6:$L$23,13)))+(COUNTIF(O1670:Q1670,"?*")&lt;N(INDEX(Setup!$L$6:$L$23,13)))+(COUNTIF(S1670:U1670,"?*")&lt;N(INDEX(Setup!$L$6:$L$23,13)))+((W1670="")*(INDEX(Setup!$M$6:$M$23,13)="Y"))+((Y1670="")*(INDEX(Setup!$M$6:$M$23,13)="Y")))</f>
        <v/>
      </c>
      <c r="AC1670" s="90">
        <f>IF($B1670="","",IF(AB1670=0,"✓ covered","⚠ "&amp;AB1670&amp;IF(AB1670=1," gap"," gaps")))</f>
        <v/>
      </c>
    </row>
    <row r="1671" ht="17" customHeight="1">
      <c r="A1671" t="n">
        <v>34</v>
      </c>
      <c r="B1671" s="29">
        <f>IF(Setup!$K$19="","",Setup!$K$19)</f>
        <v/>
      </c>
      <c r="C1671" s="88" t="n"/>
      <c r="D1671" s="88" t="n"/>
      <c r="E1671" s="88" t="n"/>
      <c r="F1671" s="89" t="n"/>
      <c r="G1671" s="88" t="n"/>
      <c r="H1671" s="88" t="n"/>
      <c r="I1671" s="88" t="n"/>
      <c r="J1671" s="89" t="n"/>
      <c r="K1671" s="88" t="n"/>
      <c r="L1671" s="88" t="n"/>
      <c r="M1671" s="88" t="n"/>
      <c r="N1671" s="89" t="n"/>
      <c r="O1671" s="88" t="n"/>
      <c r="P1671" s="88" t="n"/>
      <c r="Q1671" s="88" t="n"/>
      <c r="R1671" s="89" t="n"/>
      <c r="S1671" s="88" t="n"/>
      <c r="T1671" s="88" t="n"/>
      <c r="U1671" s="88" t="n"/>
      <c r="V1671" s="89" t="n"/>
      <c r="W1671" s="88" t="n"/>
      <c r="X1671" s="89" t="n"/>
      <c r="Y1671" s="88" t="n"/>
      <c r="Z1671" s="89" t="n"/>
      <c r="AB1671" s="30">
        <f>IF($B1671="","",(COUNTIF(C1671:E1671,"?*")&lt;N(INDEX(Setup!$L$6:$L$23,14)))+(COUNTIF(G1671:I1671,"?*")&lt;N(INDEX(Setup!$L$6:$L$23,14)))+(COUNTIF(K1671:M1671,"?*")&lt;N(INDEX(Setup!$L$6:$L$23,14)))+(COUNTIF(O1671:Q1671,"?*")&lt;N(INDEX(Setup!$L$6:$L$23,14)))+(COUNTIF(S1671:U1671,"?*")&lt;N(INDEX(Setup!$L$6:$L$23,14)))+((W1671="")*(INDEX(Setup!$M$6:$M$23,14)="Y"))+((Y1671="")*(INDEX(Setup!$M$6:$M$23,14)="Y")))</f>
        <v/>
      </c>
      <c r="AC1671" s="91">
        <f>IF($B1671="","",IF(AB1671=0,"✓ covered","⚠ "&amp;AB1671&amp;IF(AB1671=1," gap"," gaps")))</f>
        <v/>
      </c>
    </row>
    <row r="1672" ht="17" customHeight="1">
      <c r="A1672" t="n">
        <v>34</v>
      </c>
      <c r="B1672" s="24">
        <f>IF(Setup!$K$20="","",Setup!$K$20)</f>
        <v/>
      </c>
      <c r="C1672" s="88" t="n"/>
      <c r="D1672" s="88" t="n"/>
      <c r="E1672" s="88" t="n"/>
      <c r="F1672" s="89" t="n"/>
      <c r="G1672" s="88" t="n"/>
      <c r="H1672" s="88" t="n"/>
      <c r="I1672" s="88" t="n"/>
      <c r="J1672" s="89" t="n"/>
      <c r="K1672" s="88" t="n"/>
      <c r="L1672" s="88" t="n"/>
      <c r="M1672" s="88" t="n"/>
      <c r="N1672" s="89" t="n"/>
      <c r="O1672" s="88" t="n"/>
      <c r="P1672" s="88" t="n"/>
      <c r="Q1672" s="88" t="n"/>
      <c r="R1672" s="89" t="n"/>
      <c r="S1672" s="88" t="n"/>
      <c r="T1672" s="88" t="n"/>
      <c r="U1672" s="88" t="n"/>
      <c r="V1672" s="89" t="n"/>
      <c r="W1672" s="88" t="n"/>
      <c r="X1672" s="89" t="n"/>
      <c r="Y1672" s="88" t="n"/>
      <c r="Z1672" s="89" t="n"/>
      <c r="AB1672" s="25">
        <f>IF($B1672="","",(COUNTIF(C1672:E1672,"?*")&lt;N(INDEX(Setup!$L$6:$L$23,15)))+(COUNTIF(G1672:I1672,"?*")&lt;N(INDEX(Setup!$L$6:$L$23,15)))+(COUNTIF(K1672:M1672,"?*")&lt;N(INDEX(Setup!$L$6:$L$23,15)))+(COUNTIF(O1672:Q1672,"?*")&lt;N(INDEX(Setup!$L$6:$L$23,15)))+(COUNTIF(S1672:U1672,"?*")&lt;N(INDEX(Setup!$L$6:$L$23,15)))+((W1672="")*(INDEX(Setup!$M$6:$M$23,15)="Y"))+((Y1672="")*(INDEX(Setup!$M$6:$M$23,15)="Y")))</f>
        <v/>
      </c>
      <c r="AC1672" s="90">
        <f>IF($B1672="","",IF(AB1672=0,"✓ covered","⚠ "&amp;AB1672&amp;IF(AB1672=1," gap"," gaps")))</f>
        <v/>
      </c>
    </row>
    <row r="1673" ht="17" customHeight="1">
      <c r="A1673" t="n">
        <v>34</v>
      </c>
      <c r="B1673" s="29">
        <f>IF(Setup!$K$21="","",Setup!$K$21)</f>
        <v/>
      </c>
      <c r="C1673" s="88" t="n"/>
      <c r="D1673" s="88" t="n"/>
      <c r="E1673" s="88" t="n"/>
      <c r="F1673" s="89" t="n"/>
      <c r="G1673" s="88" t="n"/>
      <c r="H1673" s="88" t="n"/>
      <c r="I1673" s="88" t="n"/>
      <c r="J1673" s="89" t="n"/>
      <c r="K1673" s="88" t="n"/>
      <c r="L1673" s="88" t="n"/>
      <c r="M1673" s="88" t="n"/>
      <c r="N1673" s="89" t="n"/>
      <c r="O1673" s="88" t="n"/>
      <c r="P1673" s="88" t="n"/>
      <c r="Q1673" s="88" t="n"/>
      <c r="R1673" s="89" t="n"/>
      <c r="S1673" s="88" t="n"/>
      <c r="T1673" s="88" t="n"/>
      <c r="U1673" s="88" t="n"/>
      <c r="V1673" s="89" t="n"/>
      <c r="W1673" s="88" t="n"/>
      <c r="X1673" s="89" t="n"/>
      <c r="Y1673" s="88" t="n"/>
      <c r="Z1673" s="89" t="n"/>
      <c r="AB1673" s="30">
        <f>IF($B1673="","",(COUNTIF(C1673:E1673,"?*")&lt;N(INDEX(Setup!$L$6:$L$23,16)))+(COUNTIF(G1673:I1673,"?*")&lt;N(INDEX(Setup!$L$6:$L$23,16)))+(COUNTIF(K1673:M1673,"?*")&lt;N(INDEX(Setup!$L$6:$L$23,16)))+(COUNTIF(O1673:Q1673,"?*")&lt;N(INDEX(Setup!$L$6:$L$23,16)))+(COUNTIF(S1673:U1673,"?*")&lt;N(INDEX(Setup!$L$6:$L$23,16)))+((W1673="")*(INDEX(Setup!$M$6:$M$23,16)="Y"))+((Y1673="")*(INDEX(Setup!$M$6:$M$23,16)="Y")))</f>
        <v/>
      </c>
      <c r="AC1673" s="91">
        <f>IF($B1673="","",IF(AB1673=0,"✓ covered","⚠ "&amp;AB1673&amp;IF(AB1673=1," gap"," gaps")))</f>
        <v/>
      </c>
    </row>
    <row r="1674" ht="17" customHeight="1">
      <c r="A1674" t="n">
        <v>34</v>
      </c>
      <c r="B1674" s="24">
        <f>IF(Setup!$K$22="","",Setup!$K$22)</f>
        <v/>
      </c>
      <c r="C1674" s="88" t="n"/>
      <c r="D1674" s="88" t="n"/>
      <c r="E1674" s="88" t="n"/>
      <c r="F1674" s="89" t="n"/>
      <c r="G1674" s="88" t="n"/>
      <c r="H1674" s="88" t="n"/>
      <c r="I1674" s="88" t="n"/>
      <c r="J1674" s="89" t="n"/>
      <c r="K1674" s="88" t="n"/>
      <c r="L1674" s="88" t="n"/>
      <c r="M1674" s="88" t="n"/>
      <c r="N1674" s="89" t="n"/>
      <c r="O1674" s="88" t="n"/>
      <c r="P1674" s="88" t="n"/>
      <c r="Q1674" s="88" t="n"/>
      <c r="R1674" s="89" t="n"/>
      <c r="S1674" s="88" t="n"/>
      <c r="T1674" s="88" t="n"/>
      <c r="U1674" s="88" t="n"/>
      <c r="V1674" s="89" t="n"/>
      <c r="W1674" s="88" t="n"/>
      <c r="X1674" s="89" t="n"/>
      <c r="Y1674" s="88" t="n"/>
      <c r="Z1674" s="89" t="n"/>
      <c r="AB1674" s="25">
        <f>IF($B1674="","",(COUNTIF(C1674:E1674,"?*")&lt;N(INDEX(Setup!$L$6:$L$23,17)))+(COUNTIF(G1674:I1674,"?*")&lt;N(INDEX(Setup!$L$6:$L$23,17)))+(COUNTIF(K1674:M1674,"?*")&lt;N(INDEX(Setup!$L$6:$L$23,17)))+(COUNTIF(O1674:Q1674,"?*")&lt;N(INDEX(Setup!$L$6:$L$23,17)))+(COUNTIF(S1674:U1674,"?*")&lt;N(INDEX(Setup!$L$6:$L$23,17)))+((W1674="")*(INDEX(Setup!$M$6:$M$23,17)="Y"))+((Y1674="")*(INDEX(Setup!$M$6:$M$23,17)="Y")))</f>
        <v/>
      </c>
      <c r="AC1674" s="90">
        <f>IF($B1674="","",IF(AB1674=0,"✓ covered","⚠ "&amp;AB1674&amp;IF(AB1674=1," gap"," gaps")))</f>
        <v/>
      </c>
    </row>
    <row r="1675" ht="17" customHeight="1">
      <c r="A1675" t="n">
        <v>34</v>
      </c>
      <c r="B1675" s="29">
        <f>IF(Setup!$K$23="","",Setup!$K$23)</f>
        <v/>
      </c>
      <c r="C1675" s="88" t="n"/>
      <c r="D1675" s="88" t="n"/>
      <c r="E1675" s="88" t="n"/>
      <c r="F1675" s="89" t="n"/>
      <c r="G1675" s="88" t="n"/>
      <c r="H1675" s="88" t="n"/>
      <c r="I1675" s="88" t="n"/>
      <c r="J1675" s="89" t="n"/>
      <c r="K1675" s="88" t="n"/>
      <c r="L1675" s="88" t="n"/>
      <c r="M1675" s="88" t="n"/>
      <c r="N1675" s="89" t="n"/>
      <c r="O1675" s="88" t="n"/>
      <c r="P1675" s="88" t="n"/>
      <c r="Q1675" s="88" t="n"/>
      <c r="R1675" s="89" t="n"/>
      <c r="S1675" s="88" t="n"/>
      <c r="T1675" s="88" t="n"/>
      <c r="U1675" s="88" t="n"/>
      <c r="V1675" s="89" t="n"/>
      <c r="W1675" s="88" t="n"/>
      <c r="X1675" s="89" t="n"/>
      <c r="Y1675" s="88" t="n"/>
      <c r="Z1675" s="89" t="n"/>
      <c r="AB1675" s="30">
        <f>IF($B1675="","",(COUNTIF(C1675:E1675,"?*")&lt;N(INDEX(Setup!$L$6:$L$23,18)))+(COUNTIF(G1675:I1675,"?*")&lt;N(INDEX(Setup!$L$6:$L$23,18)))+(COUNTIF(K1675:M1675,"?*")&lt;N(INDEX(Setup!$L$6:$L$23,18)))+(COUNTIF(O1675:Q1675,"?*")&lt;N(INDEX(Setup!$L$6:$L$23,18)))+(COUNTIF(S1675:U1675,"?*")&lt;N(INDEX(Setup!$L$6:$L$23,18)))+((W1675="")*(INDEX(Setup!$M$6:$M$23,18)="Y"))+((Y1675="")*(INDEX(Setup!$M$6:$M$23,18)="Y")))</f>
        <v/>
      </c>
      <c r="AC1675" s="91">
        <f>IF($B1675="","",IF(AB1675=0,"✓ covered","⚠ "&amp;AB1675&amp;IF(AB1675=1," gap"," gaps")))</f>
        <v/>
      </c>
    </row>
    <row r="1676" ht="18" customHeight="1">
      <c r="A1676" t="n">
        <v>34</v>
      </c>
      <c r="B1676" s="78" t="inlineStr">
        <is>
          <t>TEAM AVAILABILITY</t>
        </is>
      </c>
      <c r="C1676" s="92" t="inlineStr">
        <is>
          <t>Mon</t>
        </is>
      </c>
      <c r="D1676" s="93" t="n"/>
      <c r="E1676" s="93" t="n"/>
      <c r="F1676" s="94" t="n"/>
      <c r="G1676" s="92" t="inlineStr">
        <is>
          <t>Tue</t>
        </is>
      </c>
      <c r="H1676" s="93" t="n"/>
      <c r="I1676" s="93" t="n"/>
      <c r="J1676" s="94" t="n"/>
      <c r="K1676" s="92" t="inlineStr">
        <is>
          <t>Wed</t>
        </is>
      </c>
      <c r="L1676" s="93" t="n"/>
      <c r="M1676" s="93" t="n"/>
      <c r="N1676" s="94" t="n"/>
      <c r="O1676" s="92" t="inlineStr">
        <is>
          <t>Thu</t>
        </is>
      </c>
      <c r="P1676" s="93" t="n"/>
      <c r="Q1676" s="93" t="n"/>
      <c r="R1676" s="94" t="n"/>
      <c r="S1676" s="92" t="inlineStr">
        <is>
          <t>Fri</t>
        </is>
      </c>
      <c r="T1676" s="93" t="n"/>
      <c r="U1676" s="93" t="n"/>
      <c r="V1676" s="94" t="n"/>
      <c r="W1676" s="95" t="inlineStr">
        <is>
          <t>Sat</t>
        </is>
      </c>
      <c r="X1676" s="96" t="n"/>
      <c r="Y1676" s="95" t="inlineStr">
        <is>
          <t>Sun</t>
        </is>
      </c>
      <c r="Z1676" s="96" t="n"/>
      <c r="AB1676" s="97" t="inlineStr">
        <is>
          <t>Days rostered</t>
        </is>
      </c>
      <c r="AC1676" s="97" t="inlineStr">
        <is>
          <t>Conflicts</t>
        </is>
      </c>
    </row>
    <row r="1677" ht="15" customHeight="1">
      <c r="A1677" t="n">
        <v>34</v>
      </c>
      <c r="B1677" s="35">
        <f>IF(Setup!$B$6="","",Setup!$B$6)</f>
        <v/>
      </c>
      <c r="C1677" s="98" t="n"/>
      <c r="D1677" s="99" t="n"/>
      <c r="E1677" s="99" t="n"/>
      <c r="F1677" s="100" t="n"/>
      <c r="G1677" s="98" t="n"/>
      <c r="H1677" s="99" t="n"/>
      <c r="I1677" s="99" t="n"/>
      <c r="J1677" s="100" t="n"/>
      <c r="K1677" s="98" t="n"/>
      <c r="L1677" s="99" t="n"/>
      <c r="M1677" s="99" t="n"/>
      <c r="N1677" s="100" t="n"/>
      <c r="O1677" s="98" t="n"/>
      <c r="P1677" s="99" t="n"/>
      <c r="Q1677" s="99" t="n"/>
      <c r="R1677" s="100" t="n"/>
      <c r="S1677" s="98" t="n"/>
      <c r="T1677" s="99" t="n"/>
      <c r="U1677" s="99" t="n"/>
      <c r="V1677" s="100" t="n"/>
      <c r="W1677" s="98" t="n"/>
      <c r="X1677" s="100" t="n"/>
      <c r="Y1677" s="98" t="n"/>
      <c r="Z1677" s="100" t="n"/>
      <c r="AB1677" s="101">
        <f>IF($B1677="","",(COUNTIF(C1658:E1675,$B1677)+COUNTIF(C1658:E1675,$B1677&amp;" ~*")&gt;0)+(COUNTIF(G1658:I1675,$B1677)+COUNTIF(G1658:I1675,$B1677&amp;" ~*")&gt;0)+(COUNTIF(K1658:M1675,$B1677)+COUNTIF(K1658:M1675,$B1677&amp;" ~*")&gt;0)+(COUNTIF(O1658:Q1675,$B1677)+COUNTIF(O1658:Q1675,$B1677&amp;" ~*")&gt;0)+(COUNTIF(S1658:U1675,$B1677)+COUNTIF(S1658:U1675,$B1677&amp;" ~*")&gt;0)+(COUNTIF(W1658:W1675,$B1677)+COUNTIF(W1658:W1675,$B1677&amp;" ~*")&gt;0)+(COUNTIF(Y1658:Y1675,$B1677)+COUNTIF(Y1658:Y1675,$B1677&amp;" ~*")&gt;0))</f>
        <v/>
      </c>
      <c r="AC1677" s="36">
        <f>IF($B1677="","",(IFERROR(INDEX(Setup!$G$33:$G$40,MATCH(C1677,Setup!$B$33:$B$40,0)),0)=1)*(COUNTIF(C1658:E1675,$B1677)+COUNTIF(C1658:E1675,$B1677&amp;" ~*")&gt;0)+(IFERROR(INDEX(Setup!$G$33:$G$40,MATCH(G1677,Setup!$B$33:$B$40,0)),0)=1)*(COUNTIF(G1658:I1675,$B1677)+COUNTIF(G1658:I1675,$B1677&amp;" ~*")&gt;0)+(IFERROR(INDEX(Setup!$G$33:$G$40,MATCH(K1677,Setup!$B$33:$B$40,0)),0)=1)*(COUNTIF(K1658:M1675,$B1677)+COUNTIF(K1658:M1675,$B1677&amp;" ~*")&gt;0)+(IFERROR(INDEX(Setup!$G$33:$G$40,MATCH(O1677,Setup!$B$33:$B$40,0)),0)=1)*(COUNTIF(O1658:Q1675,$B1677)+COUNTIF(O1658:Q1675,$B1677&amp;" ~*")&gt;0)+(IFERROR(INDEX(Setup!$G$33:$G$40,MATCH(S1677,Setup!$B$33:$B$40,0)),0)=1)*(COUNTIF(S1658:U1675,$B1677)+COUNTIF(S1658:U1675,$B1677&amp;" ~*")&gt;0)+(IFERROR(INDEX(Setup!$G$33:$G$40,MATCH(W1677,Setup!$B$33:$B$40,0)),0)=1)*(COUNTIF(W1658:W1675,$B1677)+COUNTIF(W1658:W1675,$B1677&amp;" ~*")&gt;0)+(IFERROR(INDEX(Setup!$G$33:$G$40,MATCH(Y1677,Setup!$B$33:$B$40,0)),0)=1)*(COUNTIF(Y1658:Y1675,$B1677)+COUNTIF(Y1658:Y1675,$B1677&amp;" ~*")&gt;0))</f>
        <v/>
      </c>
    </row>
    <row r="1678" ht="15" customHeight="1">
      <c r="A1678" t="n">
        <v>34</v>
      </c>
      <c r="B1678" s="37">
        <f>IF(Setup!$B$7="","",Setup!$B$7)</f>
        <v/>
      </c>
      <c r="C1678" s="102" t="n"/>
      <c r="D1678" s="103" t="n"/>
      <c r="E1678" s="103" t="n"/>
      <c r="F1678" s="104" t="n"/>
      <c r="G1678" s="102" t="n"/>
      <c r="H1678" s="103" t="n"/>
      <c r="I1678" s="103" t="n"/>
      <c r="J1678" s="104" t="n"/>
      <c r="K1678" s="102" t="n"/>
      <c r="L1678" s="103" t="n"/>
      <c r="M1678" s="103" t="n"/>
      <c r="N1678" s="104" t="n"/>
      <c r="O1678" s="102" t="n"/>
      <c r="P1678" s="103" t="n"/>
      <c r="Q1678" s="103" t="n"/>
      <c r="R1678" s="104" t="n"/>
      <c r="S1678" s="102" t="n"/>
      <c r="T1678" s="103" t="n"/>
      <c r="U1678" s="103" t="n"/>
      <c r="V1678" s="104" t="n"/>
      <c r="W1678" s="102" t="n"/>
      <c r="X1678" s="104" t="n"/>
      <c r="Y1678" s="102" t="n"/>
      <c r="Z1678" s="104" t="n"/>
      <c r="AB1678" s="105">
        <f>IF($B1678="","",(COUNTIF(C1658:E1675,$B1678)+COUNTIF(C1658:E1675,$B1678&amp;" ~*")&gt;0)+(COUNTIF(G1658:I1675,$B1678)+COUNTIF(G1658:I1675,$B1678&amp;" ~*")&gt;0)+(COUNTIF(K1658:M1675,$B1678)+COUNTIF(K1658:M1675,$B1678&amp;" ~*")&gt;0)+(COUNTIF(O1658:Q1675,$B1678)+COUNTIF(O1658:Q1675,$B1678&amp;" ~*")&gt;0)+(COUNTIF(S1658:U1675,$B1678)+COUNTIF(S1658:U1675,$B1678&amp;" ~*")&gt;0)+(COUNTIF(W1658:W1675,$B1678)+COUNTIF(W1658:W1675,$B1678&amp;" ~*")&gt;0)+(COUNTIF(Y1658:Y1675,$B1678)+COUNTIF(Y1658:Y1675,$B1678&amp;" ~*")&gt;0))</f>
        <v/>
      </c>
      <c r="AC1678" s="38">
        <f>IF($B1678="","",(IFERROR(INDEX(Setup!$G$33:$G$40,MATCH(C1678,Setup!$B$33:$B$40,0)),0)=1)*(COUNTIF(C1658:E1675,$B1678)+COUNTIF(C1658:E1675,$B1678&amp;" ~*")&gt;0)+(IFERROR(INDEX(Setup!$G$33:$G$40,MATCH(G1678,Setup!$B$33:$B$40,0)),0)=1)*(COUNTIF(G1658:I1675,$B1678)+COUNTIF(G1658:I1675,$B1678&amp;" ~*")&gt;0)+(IFERROR(INDEX(Setup!$G$33:$G$40,MATCH(K1678,Setup!$B$33:$B$40,0)),0)=1)*(COUNTIF(K1658:M1675,$B1678)+COUNTIF(K1658:M1675,$B1678&amp;" ~*")&gt;0)+(IFERROR(INDEX(Setup!$G$33:$G$40,MATCH(O1678,Setup!$B$33:$B$40,0)),0)=1)*(COUNTIF(O1658:Q1675,$B1678)+COUNTIF(O1658:Q1675,$B1678&amp;" ~*")&gt;0)+(IFERROR(INDEX(Setup!$G$33:$G$40,MATCH(S1678,Setup!$B$33:$B$40,0)),0)=1)*(COUNTIF(S1658:U1675,$B1678)+COUNTIF(S1658:U1675,$B1678&amp;" ~*")&gt;0)+(IFERROR(INDEX(Setup!$G$33:$G$40,MATCH(W1678,Setup!$B$33:$B$40,0)),0)=1)*(COUNTIF(W1658:W1675,$B1678)+COUNTIF(W1658:W1675,$B1678&amp;" ~*")&gt;0)+(IFERROR(INDEX(Setup!$G$33:$G$40,MATCH(Y1678,Setup!$B$33:$B$40,0)),0)=1)*(COUNTIF(Y1658:Y1675,$B1678)+COUNTIF(Y1658:Y1675,$B1678&amp;" ~*")&gt;0))</f>
        <v/>
      </c>
    </row>
    <row r="1679" ht="15" customHeight="1">
      <c r="A1679" t="n">
        <v>34</v>
      </c>
      <c r="B1679" s="35">
        <f>IF(Setup!$B$8="","",Setup!$B$8)</f>
        <v/>
      </c>
      <c r="C1679" s="98" t="n"/>
      <c r="D1679" s="99" t="n"/>
      <c r="E1679" s="99" t="n"/>
      <c r="F1679" s="100" t="n"/>
      <c r="G1679" s="98" t="n"/>
      <c r="H1679" s="99" t="n"/>
      <c r="I1679" s="99" t="n"/>
      <c r="J1679" s="100" t="n"/>
      <c r="K1679" s="98" t="n"/>
      <c r="L1679" s="99" t="n"/>
      <c r="M1679" s="99" t="n"/>
      <c r="N1679" s="100" t="n"/>
      <c r="O1679" s="98" t="n"/>
      <c r="P1679" s="99" t="n"/>
      <c r="Q1679" s="99" t="n"/>
      <c r="R1679" s="100" t="n"/>
      <c r="S1679" s="98" t="n"/>
      <c r="T1679" s="99" t="n"/>
      <c r="U1679" s="99" t="n"/>
      <c r="V1679" s="100" t="n"/>
      <c r="W1679" s="98" t="n"/>
      <c r="X1679" s="100" t="n"/>
      <c r="Y1679" s="98" t="n"/>
      <c r="Z1679" s="100" t="n"/>
      <c r="AB1679" s="101">
        <f>IF($B1679="","",(COUNTIF(C1658:E1675,$B1679)+COUNTIF(C1658:E1675,$B1679&amp;" ~*")&gt;0)+(COUNTIF(G1658:I1675,$B1679)+COUNTIF(G1658:I1675,$B1679&amp;" ~*")&gt;0)+(COUNTIF(K1658:M1675,$B1679)+COUNTIF(K1658:M1675,$B1679&amp;" ~*")&gt;0)+(COUNTIF(O1658:Q1675,$B1679)+COUNTIF(O1658:Q1675,$B1679&amp;" ~*")&gt;0)+(COUNTIF(S1658:U1675,$B1679)+COUNTIF(S1658:U1675,$B1679&amp;" ~*")&gt;0)+(COUNTIF(W1658:W1675,$B1679)+COUNTIF(W1658:W1675,$B1679&amp;" ~*")&gt;0)+(COUNTIF(Y1658:Y1675,$B1679)+COUNTIF(Y1658:Y1675,$B1679&amp;" ~*")&gt;0))</f>
        <v/>
      </c>
      <c r="AC1679" s="36">
        <f>IF($B1679="","",(IFERROR(INDEX(Setup!$G$33:$G$40,MATCH(C1679,Setup!$B$33:$B$40,0)),0)=1)*(COUNTIF(C1658:E1675,$B1679)+COUNTIF(C1658:E1675,$B1679&amp;" ~*")&gt;0)+(IFERROR(INDEX(Setup!$G$33:$G$40,MATCH(G1679,Setup!$B$33:$B$40,0)),0)=1)*(COUNTIF(G1658:I1675,$B1679)+COUNTIF(G1658:I1675,$B1679&amp;" ~*")&gt;0)+(IFERROR(INDEX(Setup!$G$33:$G$40,MATCH(K1679,Setup!$B$33:$B$40,0)),0)=1)*(COUNTIF(K1658:M1675,$B1679)+COUNTIF(K1658:M1675,$B1679&amp;" ~*")&gt;0)+(IFERROR(INDEX(Setup!$G$33:$G$40,MATCH(O1679,Setup!$B$33:$B$40,0)),0)=1)*(COUNTIF(O1658:Q1675,$B1679)+COUNTIF(O1658:Q1675,$B1679&amp;" ~*")&gt;0)+(IFERROR(INDEX(Setup!$G$33:$G$40,MATCH(S1679,Setup!$B$33:$B$40,0)),0)=1)*(COUNTIF(S1658:U1675,$B1679)+COUNTIF(S1658:U1675,$B1679&amp;" ~*")&gt;0)+(IFERROR(INDEX(Setup!$G$33:$G$40,MATCH(W1679,Setup!$B$33:$B$40,0)),0)=1)*(COUNTIF(W1658:W1675,$B1679)+COUNTIF(W1658:W1675,$B1679&amp;" ~*")&gt;0)+(IFERROR(INDEX(Setup!$G$33:$G$40,MATCH(Y1679,Setup!$B$33:$B$40,0)),0)=1)*(COUNTIF(Y1658:Y1675,$B1679)+COUNTIF(Y1658:Y1675,$B1679&amp;" ~*")&gt;0))</f>
        <v/>
      </c>
    </row>
    <row r="1680" ht="15" customHeight="1">
      <c r="A1680" t="n">
        <v>34</v>
      </c>
      <c r="B1680" s="37">
        <f>IF(Setup!$B$9="","",Setup!$B$9)</f>
        <v/>
      </c>
      <c r="C1680" s="102" t="n"/>
      <c r="D1680" s="103" t="n"/>
      <c r="E1680" s="103" t="n"/>
      <c r="F1680" s="104" t="n"/>
      <c r="G1680" s="102" t="n"/>
      <c r="H1680" s="103" t="n"/>
      <c r="I1680" s="103" t="n"/>
      <c r="J1680" s="104" t="n"/>
      <c r="K1680" s="102" t="n"/>
      <c r="L1680" s="103" t="n"/>
      <c r="M1680" s="103" t="n"/>
      <c r="N1680" s="104" t="n"/>
      <c r="O1680" s="102" t="n"/>
      <c r="P1680" s="103" t="n"/>
      <c r="Q1680" s="103" t="n"/>
      <c r="R1680" s="104" t="n"/>
      <c r="S1680" s="102" t="n"/>
      <c r="T1680" s="103" t="n"/>
      <c r="U1680" s="103" t="n"/>
      <c r="V1680" s="104" t="n"/>
      <c r="W1680" s="102" t="n"/>
      <c r="X1680" s="104" t="n"/>
      <c r="Y1680" s="102" t="n"/>
      <c r="Z1680" s="104" t="n"/>
      <c r="AB1680" s="105">
        <f>IF($B1680="","",(COUNTIF(C1658:E1675,$B1680)+COUNTIF(C1658:E1675,$B1680&amp;" ~*")&gt;0)+(COUNTIF(G1658:I1675,$B1680)+COUNTIF(G1658:I1675,$B1680&amp;" ~*")&gt;0)+(COUNTIF(K1658:M1675,$B1680)+COUNTIF(K1658:M1675,$B1680&amp;" ~*")&gt;0)+(COUNTIF(O1658:Q1675,$B1680)+COUNTIF(O1658:Q1675,$B1680&amp;" ~*")&gt;0)+(COUNTIF(S1658:U1675,$B1680)+COUNTIF(S1658:U1675,$B1680&amp;" ~*")&gt;0)+(COUNTIF(W1658:W1675,$B1680)+COUNTIF(W1658:W1675,$B1680&amp;" ~*")&gt;0)+(COUNTIF(Y1658:Y1675,$B1680)+COUNTIF(Y1658:Y1675,$B1680&amp;" ~*")&gt;0))</f>
        <v/>
      </c>
      <c r="AC1680" s="38">
        <f>IF($B1680="","",(IFERROR(INDEX(Setup!$G$33:$G$40,MATCH(C1680,Setup!$B$33:$B$40,0)),0)=1)*(COUNTIF(C1658:E1675,$B1680)+COUNTIF(C1658:E1675,$B1680&amp;" ~*")&gt;0)+(IFERROR(INDEX(Setup!$G$33:$G$40,MATCH(G1680,Setup!$B$33:$B$40,0)),0)=1)*(COUNTIF(G1658:I1675,$B1680)+COUNTIF(G1658:I1675,$B1680&amp;" ~*")&gt;0)+(IFERROR(INDEX(Setup!$G$33:$G$40,MATCH(K1680,Setup!$B$33:$B$40,0)),0)=1)*(COUNTIF(K1658:M1675,$B1680)+COUNTIF(K1658:M1675,$B1680&amp;" ~*")&gt;0)+(IFERROR(INDEX(Setup!$G$33:$G$40,MATCH(O1680,Setup!$B$33:$B$40,0)),0)=1)*(COUNTIF(O1658:Q1675,$B1680)+COUNTIF(O1658:Q1675,$B1680&amp;" ~*")&gt;0)+(IFERROR(INDEX(Setup!$G$33:$G$40,MATCH(S1680,Setup!$B$33:$B$40,0)),0)=1)*(COUNTIF(S1658:U1675,$B1680)+COUNTIF(S1658:U1675,$B1680&amp;" ~*")&gt;0)+(IFERROR(INDEX(Setup!$G$33:$G$40,MATCH(W1680,Setup!$B$33:$B$40,0)),0)=1)*(COUNTIF(W1658:W1675,$B1680)+COUNTIF(W1658:W1675,$B1680&amp;" ~*")&gt;0)+(IFERROR(INDEX(Setup!$G$33:$G$40,MATCH(Y1680,Setup!$B$33:$B$40,0)),0)=1)*(COUNTIF(Y1658:Y1675,$B1680)+COUNTIF(Y1658:Y1675,$B1680&amp;" ~*")&gt;0))</f>
        <v/>
      </c>
    </row>
    <row r="1681" ht="15" customHeight="1">
      <c r="A1681" t="n">
        <v>34</v>
      </c>
      <c r="B1681" s="35">
        <f>IF(Setup!$B$10="","",Setup!$B$10)</f>
        <v/>
      </c>
      <c r="C1681" s="98" t="n"/>
      <c r="D1681" s="99" t="n"/>
      <c r="E1681" s="99" t="n"/>
      <c r="F1681" s="100" t="n"/>
      <c r="G1681" s="98" t="n"/>
      <c r="H1681" s="99" t="n"/>
      <c r="I1681" s="99" t="n"/>
      <c r="J1681" s="100" t="n"/>
      <c r="K1681" s="98" t="n"/>
      <c r="L1681" s="99" t="n"/>
      <c r="M1681" s="99" t="n"/>
      <c r="N1681" s="100" t="n"/>
      <c r="O1681" s="98" t="n"/>
      <c r="P1681" s="99" t="n"/>
      <c r="Q1681" s="99" t="n"/>
      <c r="R1681" s="100" t="n"/>
      <c r="S1681" s="98" t="n"/>
      <c r="T1681" s="99" t="n"/>
      <c r="U1681" s="99" t="n"/>
      <c r="V1681" s="100" t="n"/>
      <c r="W1681" s="98" t="n"/>
      <c r="X1681" s="100" t="n"/>
      <c r="Y1681" s="98" t="n"/>
      <c r="Z1681" s="100" t="n"/>
      <c r="AB1681" s="101">
        <f>IF($B1681="","",(COUNTIF(C1658:E1675,$B1681)+COUNTIF(C1658:E1675,$B1681&amp;" ~*")&gt;0)+(COUNTIF(G1658:I1675,$B1681)+COUNTIF(G1658:I1675,$B1681&amp;" ~*")&gt;0)+(COUNTIF(K1658:M1675,$B1681)+COUNTIF(K1658:M1675,$B1681&amp;" ~*")&gt;0)+(COUNTIF(O1658:Q1675,$B1681)+COUNTIF(O1658:Q1675,$B1681&amp;" ~*")&gt;0)+(COUNTIF(S1658:U1675,$B1681)+COUNTIF(S1658:U1675,$B1681&amp;" ~*")&gt;0)+(COUNTIF(W1658:W1675,$B1681)+COUNTIF(W1658:W1675,$B1681&amp;" ~*")&gt;0)+(COUNTIF(Y1658:Y1675,$B1681)+COUNTIF(Y1658:Y1675,$B1681&amp;" ~*")&gt;0))</f>
        <v/>
      </c>
      <c r="AC1681" s="36">
        <f>IF($B1681="","",(IFERROR(INDEX(Setup!$G$33:$G$40,MATCH(C1681,Setup!$B$33:$B$40,0)),0)=1)*(COUNTIF(C1658:E1675,$B1681)+COUNTIF(C1658:E1675,$B1681&amp;" ~*")&gt;0)+(IFERROR(INDEX(Setup!$G$33:$G$40,MATCH(G1681,Setup!$B$33:$B$40,0)),0)=1)*(COUNTIF(G1658:I1675,$B1681)+COUNTIF(G1658:I1675,$B1681&amp;" ~*")&gt;0)+(IFERROR(INDEX(Setup!$G$33:$G$40,MATCH(K1681,Setup!$B$33:$B$40,0)),0)=1)*(COUNTIF(K1658:M1675,$B1681)+COUNTIF(K1658:M1675,$B1681&amp;" ~*")&gt;0)+(IFERROR(INDEX(Setup!$G$33:$G$40,MATCH(O1681,Setup!$B$33:$B$40,0)),0)=1)*(COUNTIF(O1658:Q1675,$B1681)+COUNTIF(O1658:Q1675,$B1681&amp;" ~*")&gt;0)+(IFERROR(INDEX(Setup!$G$33:$G$40,MATCH(S1681,Setup!$B$33:$B$40,0)),0)=1)*(COUNTIF(S1658:U1675,$B1681)+COUNTIF(S1658:U1675,$B1681&amp;" ~*")&gt;0)+(IFERROR(INDEX(Setup!$G$33:$G$40,MATCH(W1681,Setup!$B$33:$B$40,0)),0)=1)*(COUNTIF(W1658:W1675,$B1681)+COUNTIF(W1658:W1675,$B1681&amp;" ~*")&gt;0)+(IFERROR(INDEX(Setup!$G$33:$G$40,MATCH(Y1681,Setup!$B$33:$B$40,0)),0)=1)*(COUNTIF(Y1658:Y1675,$B1681)+COUNTIF(Y1658:Y1675,$B1681&amp;" ~*")&gt;0))</f>
        <v/>
      </c>
    </row>
    <row r="1682" ht="15" customHeight="1">
      <c r="A1682" t="n">
        <v>34</v>
      </c>
      <c r="B1682" s="37">
        <f>IF(Setup!$B$11="","",Setup!$B$11)</f>
        <v/>
      </c>
      <c r="C1682" s="102" t="n"/>
      <c r="D1682" s="103" t="n"/>
      <c r="E1682" s="103" t="n"/>
      <c r="F1682" s="104" t="n"/>
      <c r="G1682" s="102" t="n"/>
      <c r="H1682" s="103" t="n"/>
      <c r="I1682" s="103" t="n"/>
      <c r="J1682" s="104" t="n"/>
      <c r="K1682" s="102" t="n"/>
      <c r="L1682" s="103" t="n"/>
      <c r="M1682" s="103" t="n"/>
      <c r="N1682" s="104" t="n"/>
      <c r="O1682" s="102" t="n"/>
      <c r="P1682" s="103" t="n"/>
      <c r="Q1682" s="103" t="n"/>
      <c r="R1682" s="104" t="n"/>
      <c r="S1682" s="102" t="n"/>
      <c r="T1682" s="103" t="n"/>
      <c r="U1682" s="103" t="n"/>
      <c r="V1682" s="104" t="n"/>
      <c r="W1682" s="102" t="n"/>
      <c r="X1682" s="104" t="n"/>
      <c r="Y1682" s="102" t="n"/>
      <c r="Z1682" s="104" t="n"/>
      <c r="AB1682" s="105">
        <f>IF($B1682="","",(COUNTIF(C1658:E1675,$B1682)+COUNTIF(C1658:E1675,$B1682&amp;" ~*")&gt;0)+(COUNTIF(G1658:I1675,$B1682)+COUNTIF(G1658:I1675,$B1682&amp;" ~*")&gt;0)+(COUNTIF(K1658:M1675,$B1682)+COUNTIF(K1658:M1675,$B1682&amp;" ~*")&gt;0)+(COUNTIF(O1658:Q1675,$B1682)+COUNTIF(O1658:Q1675,$B1682&amp;" ~*")&gt;0)+(COUNTIF(S1658:U1675,$B1682)+COUNTIF(S1658:U1675,$B1682&amp;" ~*")&gt;0)+(COUNTIF(W1658:W1675,$B1682)+COUNTIF(W1658:W1675,$B1682&amp;" ~*")&gt;0)+(COUNTIF(Y1658:Y1675,$B1682)+COUNTIF(Y1658:Y1675,$B1682&amp;" ~*")&gt;0))</f>
        <v/>
      </c>
      <c r="AC1682" s="38">
        <f>IF($B1682="","",(IFERROR(INDEX(Setup!$G$33:$G$40,MATCH(C1682,Setup!$B$33:$B$40,0)),0)=1)*(COUNTIF(C1658:E1675,$B1682)+COUNTIF(C1658:E1675,$B1682&amp;" ~*")&gt;0)+(IFERROR(INDEX(Setup!$G$33:$G$40,MATCH(G1682,Setup!$B$33:$B$40,0)),0)=1)*(COUNTIF(G1658:I1675,$B1682)+COUNTIF(G1658:I1675,$B1682&amp;" ~*")&gt;0)+(IFERROR(INDEX(Setup!$G$33:$G$40,MATCH(K1682,Setup!$B$33:$B$40,0)),0)=1)*(COUNTIF(K1658:M1675,$B1682)+COUNTIF(K1658:M1675,$B1682&amp;" ~*")&gt;0)+(IFERROR(INDEX(Setup!$G$33:$G$40,MATCH(O1682,Setup!$B$33:$B$40,0)),0)=1)*(COUNTIF(O1658:Q1675,$B1682)+COUNTIF(O1658:Q1675,$B1682&amp;" ~*")&gt;0)+(IFERROR(INDEX(Setup!$G$33:$G$40,MATCH(S1682,Setup!$B$33:$B$40,0)),0)=1)*(COUNTIF(S1658:U1675,$B1682)+COUNTIF(S1658:U1675,$B1682&amp;" ~*")&gt;0)+(IFERROR(INDEX(Setup!$G$33:$G$40,MATCH(W1682,Setup!$B$33:$B$40,0)),0)=1)*(COUNTIF(W1658:W1675,$B1682)+COUNTIF(W1658:W1675,$B1682&amp;" ~*")&gt;0)+(IFERROR(INDEX(Setup!$G$33:$G$40,MATCH(Y1682,Setup!$B$33:$B$40,0)),0)=1)*(COUNTIF(Y1658:Y1675,$B1682)+COUNTIF(Y1658:Y1675,$B1682&amp;" ~*")&gt;0))</f>
        <v/>
      </c>
    </row>
    <row r="1683" ht="15" customHeight="1">
      <c r="A1683" t="n">
        <v>34</v>
      </c>
      <c r="B1683" s="35">
        <f>IF(Setup!$B$12="","",Setup!$B$12)</f>
        <v/>
      </c>
      <c r="C1683" s="98" t="n"/>
      <c r="D1683" s="99" t="n"/>
      <c r="E1683" s="99" t="n"/>
      <c r="F1683" s="100" t="n"/>
      <c r="G1683" s="98" t="n"/>
      <c r="H1683" s="99" t="n"/>
      <c r="I1683" s="99" t="n"/>
      <c r="J1683" s="100" t="n"/>
      <c r="K1683" s="98" t="n"/>
      <c r="L1683" s="99" t="n"/>
      <c r="M1683" s="99" t="n"/>
      <c r="N1683" s="100" t="n"/>
      <c r="O1683" s="98" t="n"/>
      <c r="P1683" s="99" t="n"/>
      <c r="Q1683" s="99" t="n"/>
      <c r="R1683" s="100" t="n"/>
      <c r="S1683" s="98" t="n"/>
      <c r="T1683" s="99" t="n"/>
      <c r="U1683" s="99" t="n"/>
      <c r="V1683" s="100" t="n"/>
      <c r="W1683" s="98" t="n"/>
      <c r="X1683" s="100" t="n"/>
      <c r="Y1683" s="98" t="n"/>
      <c r="Z1683" s="100" t="n"/>
      <c r="AB1683" s="101">
        <f>IF($B1683="","",(COUNTIF(C1658:E1675,$B1683)+COUNTIF(C1658:E1675,$B1683&amp;" ~*")&gt;0)+(COUNTIF(G1658:I1675,$B1683)+COUNTIF(G1658:I1675,$B1683&amp;" ~*")&gt;0)+(COUNTIF(K1658:M1675,$B1683)+COUNTIF(K1658:M1675,$B1683&amp;" ~*")&gt;0)+(COUNTIF(O1658:Q1675,$B1683)+COUNTIF(O1658:Q1675,$B1683&amp;" ~*")&gt;0)+(COUNTIF(S1658:U1675,$B1683)+COUNTIF(S1658:U1675,$B1683&amp;" ~*")&gt;0)+(COUNTIF(W1658:W1675,$B1683)+COUNTIF(W1658:W1675,$B1683&amp;" ~*")&gt;0)+(COUNTIF(Y1658:Y1675,$B1683)+COUNTIF(Y1658:Y1675,$B1683&amp;" ~*")&gt;0))</f>
        <v/>
      </c>
      <c r="AC1683" s="36">
        <f>IF($B1683="","",(IFERROR(INDEX(Setup!$G$33:$G$40,MATCH(C1683,Setup!$B$33:$B$40,0)),0)=1)*(COUNTIF(C1658:E1675,$B1683)+COUNTIF(C1658:E1675,$B1683&amp;" ~*")&gt;0)+(IFERROR(INDEX(Setup!$G$33:$G$40,MATCH(G1683,Setup!$B$33:$B$40,0)),0)=1)*(COUNTIF(G1658:I1675,$B1683)+COUNTIF(G1658:I1675,$B1683&amp;" ~*")&gt;0)+(IFERROR(INDEX(Setup!$G$33:$G$40,MATCH(K1683,Setup!$B$33:$B$40,0)),0)=1)*(COUNTIF(K1658:M1675,$B1683)+COUNTIF(K1658:M1675,$B1683&amp;" ~*")&gt;0)+(IFERROR(INDEX(Setup!$G$33:$G$40,MATCH(O1683,Setup!$B$33:$B$40,0)),0)=1)*(COUNTIF(O1658:Q1675,$B1683)+COUNTIF(O1658:Q1675,$B1683&amp;" ~*")&gt;0)+(IFERROR(INDEX(Setup!$G$33:$G$40,MATCH(S1683,Setup!$B$33:$B$40,0)),0)=1)*(COUNTIF(S1658:U1675,$B1683)+COUNTIF(S1658:U1675,$B1683&amp;" ~*")&gt;0)+(IFERROR(INDEX(Setup!$G$33:$G$40,MATCH(W1683,Setup!$B$33:$B$40,0)),0)=1)*(COUNTIF(W1658:W1675,$B1683)+COUNTIF(W1658:W1675,$B1683&amp;" ~*")&gt;0)+(IFERROR(INDEX(Setup!$G$33:$G$40,MATCH(Y1683,Setup!$B$33:$B$40,0)),0)=1)*(COUNTIF(Y1658:Y1675,$B1683)+COUNTIF(Y1658:Y1675,$B1683&amp;" ~*")&gt;0))</f>
        <v/>
      </c>
    </row>
    <row r="1684" ht="15" customHeight="1">
      <c r="A1684" t="n">
        <v>34</v>
      </c>
      <c r="B1684" s="37">
        <f>IF(Setup!$B$13="","",Setup!$B$13)</f>
        <v/>
      </c>
      <c r="C1684" s="102" t="n"/>
      <c r="D1684" s="103" t="n"/>
      <c r="E1684" s="103" t="n"/>
      <c r="F1684" s="104" t="n"/>
      <c r="G1684" s="102" t="n"/>
      <c r="H1684" s="103" t="n"/>
      <c r="I1684" s="103" t="n"/>
      <c r="J1684" s="104" t="n"/>
      <c r="K1684" s="102" t="n"/>
      <c r="L1684" s="103" t="n"/>
      <c r="M1684" s="103" t="n"/>
      <c r="N1684" s="104" t="n"/>
      <c r="O1684" s="102" t="n"/>
      <c r="P1684" s="103" t="n"/>
      <c r="Q1684" s="103" t="n"/>
      <c r="R1684" s="104" t="n"/>
      <c r="S1684" s="102" t="n"/>
      <c r="T1684" s="103" t="n"/>
      <c r="U1684" s="103" t="n"/>
      <c r="V1684" s="104" t="n"/>
      <c r="W1684" s="102" t="n"/>
      <c r="X1684" s="104" t="n"/>
      <c r="Y1684" s="102" t="n"/>
      <c r="Z1684" s="104" t="n"/>
      <c r="AB1684" s="105">
        <f>IF($B1684="","",(COUNTIF(C1658:E1675,$B1684)+COUNTIF(C1658:E1675,$B1684&amp;" ~*")&gt;0)+(COUNTIF(G1658:I1675,$B1684)+COUNTIF(G1658:I1675,$B1684&amp;" ~*")&gt;0)+(COUNTIF(K1658:M1675,$B1684)+COUNTIF(K1658:M1675,$B1684&amp;" ~*")&gt;0)+(COUNTIF(O1658:Q1675,$B1684)+COUNTIF(O1658:Q1675,$B1684&amp;" ~*")&gt;0)+(COUNTIF(S1658:U1675,$B1684)+COUNTIF(S1658:U1675,$B1684&amp;" ~*")&gt;0)+(COUNTIF(W1658:W1675,$B1684)+COUNTIF(W1658:W1675,$B1684&amp;" ~*")&gt;0)+(COUNTIF(Y1658:Y1675,$B1684)+COUNTIF(Y1658:Y1675,$B1684&amp;" ~*")&gt;0))</f>
        <v/>
      </c>
      <c r="AC1684" s="38">
        <f>IF($B1684="","",(IFERROR(INDEX(Setup!$G$33:$G$40,MATCH(C1684,Setup!$B$33:$B$40,0)),0)=1)*(COUNTIF(C1658:E1675,$B1684)+COUNTIF(C1658:E1675,$B1684&amp;" ~*")&gt;0)+(IFERROR(INDEX(Setup!$G$33:$G$40,MATCH(G1684,Setup!$B$33:$B$40,0)),0)=1)*(COUNTIF(G1658:I1675,$B1684)+COUNTIF(G1658:I1675,$B1684&amp;" ~*")&gt;0)+(IFERROR(INDEX(Setup!$G$33:$G$40,MATCH(K1684,Setup!$B$33:$B$40,0)),0)=1)*(COUNTIF(K1658:M1675,$B1684)+COUNTIF(K1658:M1675,$B1684&amp;" ~*")&gt;0)+(IFERROR(INDEX(Setup!$G$33:$G$40,MATCH(O1684,Setup!$B$33:$B$40,0)),0)=1)*(COUNTIF(O1658:Q1675,$B1684)+COUNTIF(O1658:Q1675,$B1684&amp;" ~*")&gt;0)+(IFERROR(INDEX(Setup!$G$33:$G$40,MATCH(S1684,Setup!$B$33:$B$40,0)),0)=1)*(COUNTIF(S1658:U1675,$B1684)+COUNTIF(S1658:U1675,$B1684&amp;" ~*")&gt;0)+(IFERROR(INDEX(Setup!$G$33:$G$40,MATCH(W1684,Setup!$B$33:$B$40,0)),0)=1)*(COUNTIF(W1658:W1675,$B1684)+COUNTIF(W1658:W1675,$B1684&amp;" ~*")&gt;0)+(IFERROR(INDEX(Setup!$G$33:$G$40,MATCH(Y1684,Setup!$B$33:$B$40,0)),0)=1)*(COUNTIF(Y1658:Y1675,$B1684)+COUNTIF(Y1658:Y1675,$B1684&amp;" ~*")&gt;0))</f>
        <v/>
      </c>
    </row>
    <row r="1685" ht="15" customHeight="1">
      <c r="A1685" t="n">
        <v>34</v>
      </c>
      <c r="B1685" s="35">
        <f>IF(Setup!$B$14="","",Setup!$B$14)</f>
        <v/>
      </c>
      <c r="C1685" s="98" t="n"/>
      <c r="D1685" s="99" t="n"/>
      <c r="E1685" s="99" t="n"/>
      <c r="F1685" s="100" t="n"/>
      <c r="G1685" s="98" t="n"/>
      <c r="H1685" s="99" t="n"/>
      <c r="I1685" s="99" t="n"/>
      <c r="J1685" s="100" t="n"/>
      <c r="K1685" s="98" t="n"/>
      <c r="L1685" s="99" t="n"/>
      <c r="M1685" s="99" t="n"/>
      <c r="N1685" s="100" t="n"/>
      <c r="O1685" s="98" t="n"/>
      <c r="P1685" s="99" t="n"/>
      <c r="Q1685" s="99" t="n"/>
      <c r="R1685" s="100" t="n"/>
      <c r="S1685" s="98" t="n"/>
      <c r="T1685" s="99" t="n"/>
      <c r="U1685" s="99" t="n"/>
      <c r="V1685" s="100" t="n"/>
      <c r="W1685" s="98" t="n"/>
      <c r="X1685" s="100" t="n"/>
      <c r="Y1685" s="98" t="n"/>
      <c r="Z1685" s="100" t="n"/>
      <c r="AB1685" s="101">
        <f>IF($B1685="","",(COUNTIF(C1658:E1675,$B1685)+COUNTIF(C1658:E1675,$B1685&amp;" ~*")&gt;0)+(COUNTIF(G1658:I1675,$B1685)+COUNTIF(G1658:I1675,$B1685&amp;" ~*")&gt;0)+(COUNTIF(K1658:M1675,$B1685)+COUNTIF(K1658:M1675,$B1685&amp;" ~*")&gt;0)+(COUNTIF(O1658:Q1675,$B1685)+COUNTIF(O1658:Q1675,$B1685&amp;" ~*")&gt;0)+(COUNTIF(S1658:U1675,$B1685)+COUNTIF(S1658:U1675,$B1685&amp;" ~*")&gt;0)+(COUNTIF(W1658:W1675,$B1685)+COUNTIF(W1658:W1675,$B1685&amp;" ~*")&gt;0)+(COUNTIF(Y1658:Y1675,$B1685)+COUNTIF(Y1658:Y1675,$B1685&amp;" ~*")&gt;0))</f>
        <v/>
      </c>
      <c r="AC1685" s="36">
        <f>IF($B1685="","",(IFERROR(INDEX(Setup!$G$33:$G$40,MATCH(C1685,Setup!$B$33:$B$40,0)),0)=1)*(COUNTIF(C1658:E1675,$B1685)+COUNTIF(C1658:E1675,$B1685&amp;" ~*")&gt;0)+(IFERROR(INDEX(Setup!$G$33:$G$40,MATCH(G1685,Setup!$B$33:$B$40,0)),0)=1)*(COUNTIF(G1658:I1675,$B1685)+COUNTIF(G1658:I1675,$B1685&amp;" ~*")&gt;0)+(IFERROR(INDEX(Setup!$G$33:$G$40,MATCH(K1685,Setup!$B$33:$B$40,0)),0)=1)*(COUNTIF(K1658:M1675,$B1685)+COUNTIF(K1658:M1675,$B1685&amp;" ~*")&gt;0)+(IFERROR(INDEX(Setup!$G$33:$G$40,MATCH(O1685,Setup!$B$33:$B$40,0)),0)=1)*(COUNTIF(O1658:Q1675,$B1685)+COUNTIF(O1658:Q1675,$B1685&amp;" ~*")&gt;0)+(IFERROR(INDEX(Setup!$G$33:$G$40,MATCH(S1685,Setup!$B$33:$B$40,0)),0)=1)*(COUNTIF(S1658:U1675,$B1685)+COUNTIF(S1658:U1675,$B1685&amp;" ~*")&gt;0)+(IFERROR(INDEX(Setup!$G$33:$G$40,MATCH(W1685,Setup!$B$33:$B$40,0)),0)=1)*(COUNTIF(W1658:W1675,$B1685)+COUNTIF(W1658:W1675,$B1685&amp;" ~*")&gt;0)+(IFERROR(INDEX(Setup!$G$33:$G$40,MATCH(Y1685,Setup!$B$33:$B$40,0)),0)=1)*(COUNTIF(Y1658:Y1675,$B1685)+COUNTIF(Y1658:Y1675,$B1685&amp;" ~*")&gt;0))</f>
        <v/>
      </c>
    </row>
    <row r="1686" ht="15" customHeight="1">
      <c r="A1686" t="n">
        <v>34</v>
      </c>
      <c r="B1686" s="37">
        <f>IF(Setup!$B$15="","",Setup!$B$15)</f>
        <v/>
      </c>
      <c r="C1686" s="102" t="n"/>
      <c r="D1686" s="103" t="n"/>
      <c r="E1686" s="103" t="n"/>
      <c r="F1686" s="104" t="n"/>
      <c r="G1686" s="102" t="n"/>
      <c r="H1686" s="103" t="n"/>
      <c r="I1686" s="103" t="n"/>
      <c r="J1686" s="104" t="n"/>
      <c r="K1686" s="102" t="n"/>
      <c r="L1686" s="103" t="n"/>
      <c r="M1686" s="103" t="n"/>
      <c r="N1686" s="104" t="n"/>
      <c r="O1686" s="102" t="n"/>
      <c r="P1686" s="103" t="n"/>
      <c r="Q1686" s="103" t="n"/>
      <c r="R1686" s="104" t="n"/>
      <c r="S1686" s="102" t="n"/>
      <c r="T1686" s="103" t="n"/>
      <c r="U1686" s="103" t="n"/>
      <c r="V1686" s="104" t="n"/>
      <c r="W1686" s="102" t="n"/>
      <c r="X1686" s="104" t="n"/>
      <c r="Y1686" s="102" t="n"/>
      <c r="Z1686" s="104" t="n"/>
      <c r="AB1686" s="105">
        <f>IF($B1686="","",(COUNTIF(C1658:E1675,$B1686)+COUNTIF(C1658:E1675,$B1686&amp;" ~*")&gt;0)+(COUNTIF(G1658:I1675,$B1686)+COUNTIF(G1658:I1675,$B1686&amp;" ~*")&gt;0)+(COUNTIF(K1658:M1675,$B1686)+COUNTIF(K1658:M1675,$B1686&amp;" ~*")&gt;0)+(COUNTIF(O1658:Q1675,$B1686)+COUNTIF(O1658:Q1675,$B1686&amp;" ~*")&gt;0)+(COUNTIF(S1658:U1675,$B1686)+COUNTIF(S1658:U1675,$B1686&amp;" ~*")&gt;0)+(COUNTIF(W1658:W1675,$B1686)+COUNTIF(W1658:W1675,$B1686&amp;" ~*")&gt;0)+(COUNTIF(Y1658:Y1675,$B1686)+COUNTIF(Y1658:Y1675,$B1686&amp;" ~*")&gt;0))</f>
        <v/>
      </c>
      <c r="AC1686" s="38">
        <f>IF($B1686="","",(IFERROR(INDEX(Setup!$G$33:$G$40,MATCH(C1686,Setup!$B$33:$B$40,0)),0)=1)*(COUNTIF(C1658:E1675,$B1686)+COUNTIF(C1658:E1675,$B1686&amp;" ~*")&gt;0)+(IFERROR(INDEX(Setup!$G$33:$G$40,MATCH(G1686,Setup!$B$33:$B$40,0)),0)=1)*(COUNTIF(G1658:I1675,$B1686)+COUNTIF(G1658:I1675,$B1686&amp;" ~*")&gt;0)+(IFERROR(INDEX(Setup!$G$33:$G$40,MATCH(K1686,Setup!$B$33:$B$40,0)),0)=1)*(COUNTIF(K1658:M1675,$B1686)+COUNTIF(K1658:M1675,$B1686&amp;" ~*")&gt;0)+(IFERROR(INDEX(Setup!$G$33:$G$40,MATCH(O1686,Setup!$B$33:$B$40,0)),0)=1)*(COUNTIF(O1658:Q1675,$B1686)+COUNTIF(O1658:Q1675,$B1686&amp;" ~*")&gt;0)+(IFERROR(INDEX(Setup!$G$33:$G$40,MATCH(S1686,Setup!$B$33:$B$40,0)),0)=1)*(COUNTIF(S1658:U1675,$B1686)+COUNTIF(S1658:U1675,$B1686&amp;" ~*")&gt;0)+(IFERROR(INDEX(Setup!$G$33:$G$40,MATCH(W1686,Setup!$B$33:$B$40,0)),0)=1)*(COUNTIF(W1658:W1675,$B1686)+COUNTIF(W1658:W1675,$B1686&amp;" ~*")&gt;0)+(IFERROR(INDEX(Setup!$G$33:$G$40,MATCH(Y1686,Setup!$B$33:$B$40,0)),0)=1)*(COUNTIF(Y1658:Y1675,$B1686)+COUNTIF(Y1658:Y1675,$B1686&amp;" ~*")&gt;0))</f>
        <v/>
      </c>
    </row>
    <row r="1687" ht="15" customHeight="1">
      <c r="A1687" t="n">
        <v>34</v>
      </c>
      <c r="B1687" s="35">
        <f>IF(Setup!$B$16="","",Setup!$B$16)</f>
        <v/>
      </c>
      <c r="C1687" s="98" t="n"/>
      <c r="D1687" s="99" t="n"/>
      <c r="E1687" s="99" t="n"/>
      <c r="F1687" s="100" t="n"/>
      <c r="G1687" s="98" t="n"/>
      <c r="H1687" s="99" t="n"/>
      <c r="I1687" s="99" t="n"/>
      <c r="J1687" s="100" t="n"/>
      <c r="K1687" s="98" t="n"/>
      <c r="L1687" s="99" t="n"/>
      <c r="M1687" s="99" t="n"/>
      <c r="N1687" s="100" t="n"/>
      <c r="O1687" s="98" t="n"/>
      <c r="P1687" s="99" t="n"/>
      <c r="Q1687" s="99" t="n"/>
      <c r="R1687" s="100" t="n"/>
      <c r="S1687" s="98" t="n"/>
      <c r="T1687" s="99" t="n"/>
      <c r="U1687" s="99" t="n"/>
      <c r="V1687" s="100" t="n"/>
      <c r="W1687" s="98" t="n"/>
      <c r="X1687" s="100" t="n"/>
      <c r="Y1687" s="98" t="n"/>
      <c r="Z1687" s="100" t="n"/>
      <c r="AB1687" s="101">
        <f>IF($B1687="","",(COUNTIF(C1658:E1675,$B1687)+COUNTIF(C1658:E1675,$B1687&amp;" ~*")&gt;0)+(COUNTIF(G1658:I1675,$B1687)+COUNTIF(G1658:I1675,$B1687&amp;" ~*")&gt;0)+(COUNTIF(K1658:M1675,$B1687)+COUNTIF(K1658:M1675,$B1687&amp;" ~*")&gt;0)+(COUNTIF(O1658:Q1675,$B1687)+COUNTIF(O1658:Q1675,$B1687&amp;" ~*")&gt;0)+(COUNTIF(S1658:U1675,$B1687)+COUNTIF(S1658:U1675,$B1687&amp;" ~*")&gt;0)+(COUNTIF(W1658:W1675,$B1687)+COUNTIF(W1658:W1675,$B1687&amp;" ~*")&gt;0)+(COUNTIF(Y1658:Y1675,$B1687)+COUNTIF(Y1658:Y1675,$B1687&amp;" ~*")&gt;0))</f>
        <v/>
      </c>
      <c r="AC1687" s="36">
        <f>IF($B1687="","",(IFERROR(INDEX(Setup!$G$33:$G$40,MATCH(C1687,Setup!$B$33:$B$40,0)),0)=1)*(COUNTIF(C1658:E1675,$B1687)+COUNTIF(C1658:E1675,$B1687&amp;" ~*")&gt;0)+(IFERROR(INDEX(Setup!$G$33:$G$40,MATCH(G1687,Setup!$B$33:$B$40,0)),0)=1)*(COUNTIF(G1658:I1675,$B1687)+COUNTIF(G1658:I1675,$B1687&amp;" ~*")&gt;0)+(IFERROR(INDEX(Setup!$G$33:$G$40,MATCH(K1687,Setup!$B$33:$B$40,0)),0)=1)*(COUNTIF(K1658:M1675,$B1687)+COUNTIF(K1658:M1675,$B1687&amp;" ~*")&gt;0)+(IFERROR(INDEX(Setup!$G$33:$G$40,MATCH(O1687,Setup!$B$33:$B$40,0)),0)=1)*(COUNTIF(O1658:Q1675,$B1687)+COUNTIF(O1658:Q1675,$B1687&amp;" ~*")&gt;0)+(IFERROR(INDEX(Setup!$G$33:$G$40,MATCH(S1687,Setup!$B$33:$B$40,0)),0)=1)*(COUNTIF(S1658:U1675,$B1687)+COUNTIF(S1658:U1675,$B1687&amp;" ~*")&gt;0)+(IFERROR(INDEX(Setup!$G$33:$G$40,MATCH(W1687,Setup!$B$33:$B$40,0)),0)=1)*(COUNTIF(W1658:W1675,$B1687)+COUNTIF(W1658:W1675,$B1687&amp;" ~*")&gt;0)+(IFERROR(INDEX(Setup!$G$33:$G$40,MATCH(Y1687,Setup!$B$33:$B$40,0)),0)=1)*(COUNTIF(Y1658:Y1675,$B1687)+COUNTIF(Y1658:Y1675,$B1687&amp;" ~*")&gt;0))</f>
        <v/>
      </c>
    </row>
    <row r="1688" ht="15" customHeight="1">
      <c r="A1688" t="n">
        <v>34</v>
      </c>
      <c r="B1688" s="37">
        <f>IF(Setup!$B$17="","",Setup!$B$17)</f>
        <v/>
      </c>
      <c r="C1688" s="102" t="n"/>
      <c r="D1688" s="103" t="n"/>
      <c r="E1688" s="103" t="n"/>
      <c r="F1688" s="104" t="n"/>
      <c r="G1688" s="102" t="n"/>
      <c r="H1688" s="103" t="n"/>
      <c r="I1688" s="103" t="n"/>
      <c r="J1688" s="104" t="n"/>
      <c r="K1688" s="102" t="n"/>
      <c r="L1688" s="103" t="n"/>
      <c r="M1688" s="103" t="n"/>
      <c r="N1688" s="104" t="n"/>
      <c r="O1688" s="102" t="n"/>
      <c r="P1688" s="103" t="n"/>
      <c r="Q1688" s="103" t="n"/>
      <c r="R1688" s="104" t="n"/>
      <c r="S1688" s="102" t="n"/>
      <c r="T1688" s="103" t="n"/>
      <c r="U1688" s="103" t="n"/>
      <c r="V1688" s="104" t="n"/>
      <c r="W1688" s="102" t="n"/>
      <c r="X1688" s="104" t="n"/>
      <c r="Y1688" s="102" t="n"/>
      <c r="Z1688" s="104" t="n"/>
      <c r="AB1688" s="105">
        <f>IF($B1688="","",(COUNTIF(C1658:E1675,$B1688)+COUNTIF(C1658:E1675,$B1688&amp;" ~*")&gt;0)+(COUNTIF(G1658:I1675,$B1688)+COUNTIF(G1658:I1675,$B1688&amp;" ~*")&gt;0)+(COUNTIF(K1658:M1675,$B1688)+COUNTIF(K1658:M1675,$B1688&amp;" ~*")&gt;0)+(COUNTIF(O1658:Q1675,$B1688)+COUNTIF(O1658:Q1675,$B1688&amp;" ~*")&gt;0)+(COUNTIF(S1658:U1675,$B1688)+COUNTIF(S1658:U1675,$B1688&amp;" ~*")&gt;0)+(COUNTIF(W1658:W1675,$B1688)+COUNTIF(W1658:W1675,$B1688&amp;" ~*")&gt;0)+(COUNTIF(Y1658:Y1675,$B1688)+COUNTIF(Y1658:Y1675,$B1688&amp;" ~*")&gt;0))</f>
        <v/>
      </c>
      <c r="AC1688" s="38">
        <f>IF($B1688="","",(IFERROR(INDEX(Setup!$G$33:$G$40,MATCH(C1688,Setup!$B$33:$B$40,0)),0)=1)*(COUNTIF(C1658:E1675,$B1688)+COUNTIF(C1658:E1675,$B1688&amp;" ~*")&gt;0)+(IFERROR(INDEX(Setup!$G$33:$G$40,MATCH(G1688,Setup!$B$33:$B$40,0)),0)=1)*(COUNTIF(G1658:I1675,$B1688)+COUNTIF(G1658:I1675,$B1688&amp;" ~*")&gt;0)+(IFERROR(INDEX(Setup!$G$33:$G$40,MATCH(K1688,Setup!$B$33:$B$40,0)),0)=1)*(COUNTIF(K1658:M1675,$B1688)+COUNTIF(K1658:M1675,$B1688&amp;" ~*")&gt;0)+(IFERROR(INDEX(Setup!$G$33:$G$40,MATCH(O1688,Setup!$B$33:$B$40,0)),0)=1)*(COUNTIF(O1658:Q1675,$B1688)+COUNTIF(O1658:Q1675,$B1688&amp;" ~*")&gt;0)+(IFERROR(INDEX(Setup!$G$33:$G$40,MATCH(S1688,Setup!$B$33:$B$40,0)),0)=1)*(COUNTIF(S1658:U1675,$B1688)+COUNTIF(S1658:U1675,$B1688&amp;" ~*")&gt;0)+(IFERROR(INDEX(Setup!$G$33:$G$40,MATCH(W1688,Setup!$B$33:$B$40,0)),0)=1)*(COUNTIF(W1658:W1675,$B1688)+COUNTIF(W1658:W1675,$B1688&amp;" ~*")&gt;0)+(IFERROR(INDEX(Setup!$G$33:$G$40,MATCH(Y1688,Setup!$B$33:$B$40,0)),0)=1)*(COUNTIF(Y1658:Y1675,$B1688)+COUNTIF(Y1658:Y1675,$B1688&amp;" ~*")&gt;0))</f>
        <v/>
      </c>
    </row>
    <row r="1689" ht="15" customHeight="1">
      <c r="A1689" t="n">
        <v>34</v>
      </c>
      <c r="B1689" s="35">
        <f>IF(Setup!$B$18="","",Setup!$B$18)</f>
        <v/>
      </c>
      <c r="C1689" s="98" t="n"/>
      <c r="D1689" s="99" t="n"/>
      <c r="E1689" s="99" t="n"/>
      <c r="F1689" s="100" t="n"/>
      <c r="G1689" s="98" t="n"/>
      <c r="H1689" s="99" t="n"/>
      <c r="I1689" s="99" t="n"/>
      <c r="J1689" s="100" t="n"/>
      <c r="K1689" s="98" t="n"/>
      <c r="L1689" s="99" t="n"/>
      <c r="M1689" s="99" t="n"/>
      <c r="N1689" s="100" t="n"/>
      <c r="O1689" s="98" t="n"/>
      <c r="P1689" s="99" t="n"/>
      <c r="Q1689" s="99" t="n"/>
      <c r="R1689" s="100" t="n"/>
      <c r="S1689" s="98" t="n"/>
      <c r="T1689" s="99" t="n"/>
      <c r="U1689" s="99" t="n"/>
      <c r="V1689" s="100" t="n"/>
      <c r="W1689" s="98" t="n"/>
      <c r="X1689" s="100" t="n"/>
      <c r="Y1689" s="98" t="n"/>
      <c r="Z1689" s="100" t="n"/>
      <c r="AB1689" s="101">
        <f>IF($B1689="","",(COUNTIF(C1658:E1675,$B1689)+COUNTIF(C1658:E1675,$B1689&amp;" ~*")&gt;0)+(COUNTIF(G1658:I1675,$B1689)+COUNTIF(G1658:I1675,$B1689&amp;" ~*")&gt;0)+(COUNTIF(K1658:M1675,$B1689)+COUNTIF(K1658:M1675,$B1689&amp;" ~*")&gt;0)+(COUNTIF(O1658:Q1675,$B1689)+COUNTIF(O1658:Q1675,$B1689&amp;" ~*")&gt;0)+(COUNTIF(S1658:U1675,$B1689)+COUNTIF(S1658:U1675,$B1689&amp;" ~*")&gt;0)+(COUNTIF(W1658:W1675,$B1689)+COUNTIF(W1658:W1675,$B1689&amp;" ~*")&gt;0)+(COUNTIF(Y1658:Y1675,$B1689)+COUNTIF(Y1658:Y1675,$B1689&amp;" ~*")&gt;0))</f>
        <v/>
      </c>
      <c r="AC1689" s="36">
        <f>IF($B1689="","",(IFERROR(INDEX(Setup!$G$33:$G$40,MATCH(C1689,Setup!$B$33:$B$40,0)),0)=1)*(COUNTIF(C1658:E1675,$B1689)+COUNTIF(C1658:E1675,$B1689&amp;" ~*")&gt;0)+(IFERROR(INDEX(Setup!$G$33:$G$40,MATCH(G1689,Setup!$B$33:$B$40,0)),0)=1)*(COUNTIF(G1658:I1675,$B1689)+COUNTIF(G1658:I1675,$B1689&amp;" ~*")&gt;0)+(IFERROR(INDEX(Setup!$G$33:$G$40,MATCH(K1689,Setup!$B$33:$B$40,0)),0)=1)*(COUNTIF(K1658:M1675,$B1689)+COUNTIF(K1658:M1675,$B1689&amp;" ~*")&gt;0)+(IFERROR(INDEX(Setup!$G$33:$G$40,MATCH(O1689,Setup!$B$33:$B$40,0)),0)=1)*(COUNTIF(O1658:Q1675,$B1689)+COUNTIF(O1658:Q1675,$B1689&amp;" ~*")&gt;0)+(IFERROR(INDEX(Setup!$G$33:$G$40,MATCH(S1689,Setup!$B$33:$B$40,0)),0)=1)*(COUNTIF(S1658:U1675,$B1689)+COUNTIF(S1658:U1675,$B1689&amp;" ~*")&gt;0)+(IFERROR(INDEX(Setup!$G$33:$G$40,MATCH(W1689,Setup!$B$33:$B$40,0)),0)=1)*(COUNTIF(W1658:W1675,$B1689)+COUNTIF(W1658:W1675,$B1689&amp;" ~*")&gt;0)+(IFERROR(INDEX(Setup!$G$33:$G$40,MATCH(Y1689,Setup!$B$33:$B$40,0)),0)=1)*(COUNTIF(Y1658:Y1675,$B1689)+COUNTIF(Y1658:Y1675,$B1689&amp;" ~*")&gt;0))</f>
        <v/>
      </c>
    </row>
    <row r="1690" ht="15" customHeight="1">
      <c r="A1690" t="n">
        <v>34</v>
      </c>
      <c r="B1690" s="37">
        <f>IF(Setup!$B$19="","",Setup!$B$19)</f>
        <v/>
      </c>
      <c r="C1690" s="102" t="n"/>
      <c r="D1690" s="103" t="n"/>
      <c r="E1690" s="103" t="n"/>
      <c r="F1690" s="104" t="n"/>
      <c r="G1690" s="102" t="n"/>
      <c r="H1690" s="103" t="n"/>
      <c r="I1690" s="103" t="n"/>
      <c r="J1690" s="104" t="n"/>
      <c r="K1690" s="102" t="n"/>
      <c r="L1690" s="103" t="n"/>
      <c r="M1690" s="103" t="n"/>
      <c r="N1690" s="104" t="n"/>
      <c r="O1690" s="102" t="n"/>
      <c r="P1690" s="103" t="n"/>
      <c r="Q1690" s="103" t="n"/>
      <c r="R1690" s="104" t="n"/>
      <c r="S1690" s="102" t="n"/>
      <c r="T1690" s="103" t="n"/>
      <c r="U1690" s="103" t="n"/>
      <c r="V1690" s="104" t="n"/>
      <c r="W1690" s="102" t="n"/>
      <c r="X1690" s="104" t="n"/>
      <c r="Y1690" s="102" t="n"/>
      <c r="Z1690" s="104" t="n"/>
      <c r="AB1690" s="105">
        <f>IF($B1690="","",(COUNTIF(C1658:E1675,$B1690)+COUNTIF(C1658:E1675,$B1690&amp;" ~*")&gt;0)+(COUNTIF(G1658:I1675,$B1690)+COUNTIF(G1658:I1675,$B1690&amp;" ~*")&gt;0)+(COUNTIF(K1658:M1675,$B1690)+COUNTIF(K1658:M1675,$B1690&amp;" ~*")&gt;0)+(COUNTIF(O1658:Q1675,$B1690)+COUNTIF(O1658:Q1675,$B1690&amp;" ~*")&gt;0)+(COUNTIF(S1658:U1675,$B1690)+COUNTIF(S1658:U1675,$B1690&amp;" ~*")&gt;0)+(COUNTIF(W1658:W1675,$B1690)+COUNTIF(W1658:W1675,$B1690&amp;" ~*")&gt;0)+(COUNTIF(Y1658:Y1675,$B1690)+COUNTIF(Y1658:Y1675,$B1690&amp;" ~*")&gt;0))</f>
        <v/>
      </c>
      <c r="AC1690" s="38">
        <f>IF($B1690="","",(IFERROR(INDEX(Setup!$G$33:$G$40,MATCH(C1690,Setup!$B$33:$B$40,0)),0)=1)*(COUNTIF(C1658:E1675,$B1690)+COUNTIF(C1658:E1675,$B1690&amp;" ~*")&gt;0)+(IFERROR(INDEX(Setup!$G$33:$G$40,MATCH(G1690,Setup!$B$33:$B$40,0)),0)=1)*(COUNTIF(G1658:I1675,$B1690)+COUNTIF(G1658:I1675,$B1690&amp;" ~*")&gt;0)+(IFERROR(INDEX(Setup!$G$33:$G$40,MATCH(K1690,Setup!$B$33:$B$40,0)),0)=1)*(COUNTIF(K1658:M1675,$B1690)+COUNTIF(K1658:M1675,$B1690&amp;" ~*")&gt;0)+(IFERROR(INDEX(Setup!$G$33:$G$40,MATCH(O1690,Setup!$B$33:$B$40,0)),0)=1)*(COUNTIF(O1658:Q1675,$B1690)+COUNTIF(O1658:Q1675,$B1690&amp;" ~*")&gt;0)+(IFERROR(INDEX(Setup!$G$33:$G$40,MATCH(S1690,Setup!$B$33:$B$40,0)),0)=1)*(COUNTIF(S1658:U1675,$B1690)+COUNTIF(S1658:U1675,$B1690&amp;" ~*")&gt;0)+(IFERROR(INDEX(Setup!$G$33:$G$40,MATCH(W1690,Setup!$B$33:$B$40,0)),0)=1)*(COUNTIF(W1658:W1675,$B1690)+COUNTIF(W1658:W1675,$B1690&amp;" ~*")&gt;0)+(IFERROR(INDEX(Setup!$G$33:$G$40,MATCH(Y1690,Setup!$B$33:$B$40,0)),0)=1)*(COUNTIF(Y1658:Y1675,$B1690)+COUNTIF(Y1658:Y1675,$B1690&amp;" ~*")&gt;0))</f>
        <v/>
      </c>
    </row>
    <row r="1691" ht="15" customHeight="1">
      <c r="A1691" t="n">
        <v>34</v>
      </c>
      <c r="B1691" s="35">
        <f>IF(Setup!$B$20="","",Setup!$B$20)</f>
        <v/>
      </c>
      <c r="C1691" s="98" t="n"/>
      <c r="D1691" s="99" t="n"/>
      <c r="E1691" s="99" t="n"/>
      <c r="F1691" s="100" t="n"/>
      <c r="G1691" s="98" t="n"/>
      <c r="H1691" s="99" t="n"/>
      <c r="I1691" s="99" t="n"/>
      <c r="J1691" s="100" t="n"/>
      <c r="K1691" s="98" t="n"/>
      <c r="L1691" s="99" t="n"/>
      <c r="M1691" s="99" t="n"/>
      <c r="N1691" s="100" t="n"/>
      <c r="O1691" s="98" t="n"/>
      <c r="P1691" s="99" t="n"/>
      <c r="Q1691" s="99" t="n"/>
      <c r="R1691" s="100" t="n"/>
      <c r="S1691" s="98" t="n"/>
      <c r="T1691" s="99" t="n"/>
      <c r="U1691" s="99" t="n"/>
      <c r="V1691" s="100" t="n"/>
      <c r="W1691" s="98" t="n"/>
      <c r="X1691" s="100" t="n"/>
      <c r="Y1691" s="98" t="n"/>
      <c r="Z1691" s="100" t="n"/>
      <c r="AB1691" s="101">
        <f>IF($B1691="","",(COUNTIF(C1658:E1675,$B1691)+COUNTIF(C1658:E1675,$B1691&amp;" ~*")&gt;0)+(COUNTIF(G1658:I1675,$B1691)+COUNTIF(G1658:I1675,$B1691&amp;" ~*")&gt;0)+(COUNTIF(K1658:M1675,$B1691)+COUNTIF(K1658:M1675,$B1691&amp;" ~*")&gt;0)+(COUNTIF(O1658:Q1675,$B1691)+COUNTIF(O1658:Q1675,$B1691&amp;" ~*")&gt;0)+(COUNTIF(S1658:U1675,$B1691)+COUNTIF(S1658:U1675,$B1691&amp;" ~*")&gt;0)+(COUNTIF(W1658:W1675,$B1691)+COUNTIF(W1658:W1675,$B1691&amp;" ~*")&gt;0)+(COUNTIF(Y1658:Y1675,$B1691)+COUNTIF(Y1658:Y1675,$B1691&amp;" ~*")&gt;0))</f>
        <v/>
      </c>
      <c r="AC1691" s="36">
        <f>IF($B1691="","",(IFERROR(INDEX(Setup!$G$33:$G$40,MATCH(C1691,Setup!$B$33:$B$40,0)),0)=1)*(COUNTIF(C1658:E1675,$B1691)+COUNTIF(C1658:E1675,$B1691&amp;" ~*")&gt;0)+(IFERROR(INDEX(Setup!$G$33:$G$40,MATCH(G1691,Setup!$B$33:$B$40,0)),0)=1)*(COUNTIF(G1658:I1675,$B1691)+COUNTIF(G1658:I1675,$B1691&amp;" ~*")&gt;0)+(IFERROR(INDEX(Setup!$G$33:$G$40,MATCH(K1691,Setup!$B$33:$B$40,0)),0)=1)*(COUNTIF(K1658:M1675,$B1691)+COUNTIF(K1658:M1675,$B1691&amp;" ~*")&gt;0)+(IFERROR(INDEX(Setup!$G$33:$G$40,MATCH(O1691,Setup!$B$33:$B$40,0)),0)=1)*(COUNTIF(O1658:Q1675,$B1691)+COUNTIF(O1658:Q1675,$B1691&amp;" ~*")&gt;0)+(IFERROR(INDEX(Setup!$G$33:$G$40,MATCH(S1691,Setup!$B$33:$B$40,0)),0)=1)*(COUNTIF(S1658:U1675,$B1691)+COUNTIF(S1658:U1675,$B1691&amp;" ~*")&gt;0)+(IFERROR(INDEX(Setup!$G$33:$G$40,MATCH(W1691,Setup!$B$33:$B$40,0)),0)=1)*(COUNTIF(W1658:W1675,$B1691)+COUNTIF(W1658:W1675,$B1691&amp;" ~*")&gt;0)+(IFERROR(INDEX(Setup!$G$33:$G$40,MATCH(Y1691,Setup!$B$33:$B$40,0)),0)=1)*(COUNTIF(Y1658:Y1675,$B1691)+COUNTIF(Y1658:Y1675,$B1691&amp;" ~*")&gt;0))</f>
        <v/>
      </c>
    </row>
    <row r="1692" ht="15" customHeight="1">
      <c r="A1692" t="n">
        <v>34</v>
      </c>
      <c r="B1692" s="37">
        <f>IF(Setup!$B$21="","",Setup!$B$21)</f>
        <v/>
      </c>
      <c r="C1692" s="102" t="n"/>
      <c r="D1692" s="103" t="n"/>
      <c r="E1692" s="103" t="n"/>
      <c r="F1692" s="104" t="n"/>
      <c r="G1692" s="102" t="n"/>
      <c r="H1692" s="103" t="n"/>
      <c r="I1692" s="103" t="n"/>
      <c r="J1692" s="104" t="n"/>
      <c r="K1692" s="102" t="n"/>
      <c r="L1692" s="103" t="n"/>
      <c r="M1692" s="103" t="n"/>
      <c r="N1692" s="104" t="n"/>
      <c r="O1692" s="102" t="n"/>
      <c r="P1692" s="103" t="n"/>
      <c r="Q1692" s="103" t="n"/>
      <c r="R1692" s="104" t="n"/>
      <c r="S1692" s="102" t="n"/>
      <c r="T1692" s="103" t="n"/>
      <c r="U1692" s="103" t="n"/>
      <c r="V1692" s="104" t="n"/>
      <c r="W1692" s="102" t="n"/>
      <c r="X1692" s="104" t="n"/>
      <c r="Y1692" s="102" t="n"/>
      <c r="Z1692" s="104" t="n"/>
      <c r="AB1692" s="105">
        <f>IF($B1692="","",(COUNTIF(C1658:E1675,$B1692)+COUNTIF(C1658:E1675,$B1692&amp;" ~*")&gt;0)+(COUNTIF(G1658:I1675,$B1692)+COUNTIF(G1658:I1675,$B1692&amp;" ~*")&gt;0)+(COUNTIF(K1658:M1675,$B1692)+COUNTIF(K1658:M1675,$B1692&amp;" ~*")&gt;0)+(COUNTIF(O1658:Q1675,$B1692)+COUNTIF(O1658:Q1675,$B1692&amp;" ~*")&gt;0)+(COUNTIF(S1658:U1675,$B1692)+COUNTIF(S1658:U1675,$B1692&amp;" ~*")&gt;0)+(COUNTIF(W1658:W1675,$B1692)+COUNTIF(W1658:W1675,$B1692&amp;" ~*")&gt;0)+(COUNTIF(Y1658:Y1675,$B1692)+COUNTIF(Y1658:Y1675,$B1692&amp;" ~*")&gt;0))</f>
        <v/>
      </c>
      <c r="AC1692" s="38">
        <f>IF($B1692="","",(IFERROR(INDEX(Setup!$G$33:$G$40,MATCH(C1692,Setup!$B$33:$B$40,0)),0)=1)*(COUNTIF(C1658:E1675,$B1692)+COUNTIF(C1658:E1675,$B1692&amp;" ~*")&gt;0)+(IFERROR(INDEX(Setup!$G$33:$G$40,MATCH(G1692,Setup!$B$33:$B$40,0)),0)=1)*(COUNTIF(G1658:I1675,$B1692)+COUNTIF(G1658:I1675,$B1692&amp;" ~*")&gt;0)+(IFERROR(INDEX(Setup!$G$33:$G$40,MATCH(K1692,Setup!$B$33:$B$40,0)),0)=1)*(COUNTIF(K1658:M1675,$B1692)+COUNTIF(K1658:M1675,$B1692&amp;" ~*")&gt;0)+(IFERROR(INDEX(Setup!$G$33:$G$40,MATCH(O1692,Setup!$B$33:$B$40,0)),0)=1)*(COUNTIF(O1658:Q1675,$B1692)+COUNTIF(O1658:Q1675,$B1692&amp;" ~*")&gt;0)+(IFERROR(INDEX(Setup!$G$33:$G$40,MATCH(S1692,Setup!$B$33:$B$40,0)),0)=1)*(COUNTIF(S1658:U1675,$B1692)+COUNTIF(S1658:U1675,$B1692&amp;" ~*")&gt;0)+(IFERROR(INDEX(Setup!$G$33:$G$40,MATCH(W1692,Setup!$B$33:$B$40,0)),0)=1)*(COUNTIF(W1658:W1675,$B1692)+COUNTIF(W1658:W1675,$B1692&amp;" ~*")&gt;0)+(IFERROR(INDEX(Setup!$G$33:$G$40,MATCH(Y1692,Setup!$B$33:$B$40,0)),0)=1)*(COUNTIF(Y1658:Y1675,$B1692)+COUNTIF(Y1658:Y1675,$B1692&amp;" ~*")&gt;0))</f>
        <v/>
      </c>
    </row>
    <row r="1693" ht="15" customHeight="1">
      <c r="A1693" t="n">
        <v>34</v>
      </c>
      <c r="B1693" s="35">
        <f>IF(Setup!$B$22="","",Setup!$B$22)</f>
        <v/>
      </c>
      <c r="C1693" s="98" t="n"/>
      <c r="D1693" s="99" t="n"/>
      <c r="E1693" s="99" t="n"/>
      <c r="F1693" s="100" t="n"/>
      <c r="G1693" s="98" t="n"/>
      <c r="H1693" s="99" t="n"/>
      <c r="I1693" s="99" t="n"/>
      <c r="J1693" s="100" t="n"/>
      <c r="K1693" s="98" t="n"/>
      <c r="L1693" s="99" t="n"/>
      <c r="M1693" s="99" t="n"/>
      <c r="N1693" s="100" t="n"/>
      <c r="O1693" s="98" t="n"/>
      <c r="P1693" s="99" t="n"/>
      <c r="Q1693" s="99" t="n"/>
      <c r="R1693" s="100" t="n"/>
      <c r="S1693" s="98" t="n"/>
      <c r="T1693" s="99" t="n"/>
      <c r="U1693" s="99" t="n"/>
      <c r="V1693" s="100" t="n"/>
      <c r="W1693" s="98" t="n"/>
      <c r="X1693" s="100" t="n"/>
      <c r="Y1693" s="98" t="n"/>
      <c r="Z1693" s="100" t="n"/>
      <c r="AB1693" s="101">
        <f>IF($B1693="","",(COUNTIF(C1658:E1675,$B1693)+COUNTIF(C1658:E1675,$B1693&amp;" ~*")&gt;0)+(COUNTIF(G1658:I1675,$B1693)+COUNTIF(G1658:I1675,$B1693&amp;" ~*")&gt;0)+(COUNTIF(K1658:M1675,$B1693)+COUNTIF(K1658:M1675,$B1693&amp;" ~*")&gt;0)+(COUNTIF(O1658:Q1675,$B1693)+COUNTIF(O1658:Q1675,$B1693&amp;" ~*")&gt;0)+(COUNTIF(S1658:U1675,$B1693)+COUNTIF(S1658:U1675,$B1693&amp;" ~*")&gt;0)+(COUNTIF(W1658:W1675,$B1693)+COUNTIF(W1658:W1675,$B1693&amp;" ~*")&gt;0)+(COUNTIF(Y1658:Y1675,$B1693)+COUNTIF(Y1658:Y1675,$B1693&amp;" ~*")&gt;0))</f>
        <v/>
      </c>
      <c r="AC1693" s="36">
        <f>IF($B1693="","",(IFERROR(INDEX(Setup!$G$33:$G$40,MATCH(C1693,Setup!$B$33:$B$40,0)),0)=1)*(COUNTIF(C1658:E1675,$B1693)+COUNTIF(C1658:E1675,$B1693&amp;" ~*")&gt;0)+(IFERROR(INDEX(Setup!$G$33:$G$40,MATCH(G1693,Setup!$B$33:$B$40,0)),0)=1)*(COUNTIF(G1658:I1675,$B1693)+COUNTIF(G1658:I1675,$B1693&amp;" ~*")&gt;0)+(IFERROR(INDEX(Setup!$G$33:$G$40,MATCH(K1693,Setup!$B$33:$B$40,0)),0)=1)*(COUNTIF(K1658:M1675,$B1693)+COUNTIF(K1658:M1675,$B1693&amp;" ~*")&gt;0)+(IFERROR(INDEX(Setup!$G$33:$G$40,MATCH(O1693,Setup!$B$33:$B$40,0)),0)=1)*(COUNTIF(O1658:Q1675,$B1693)+COUNTIF(O1658:Q1675,$B1693&amp;" ~*")&gt;0)+(IFERROR(INDEX(Setup!$G$33:$G$40,MATCH(S1693,Setup!$B$33:$B$40,0)),0)=1)*(COUNTIF(S1658:U1675,$B1693)+COUNTIF(S1658:U1675,$B1693&amp;" ~*")&gt;0)+(IFERROR(INDEX(Setup!$G$33:$G$40,MATCH(W1693,Setup!$B$33:$B$40,0)),0)=1)*(COUNTIF(W1658:W1675,$B1693)+COUNTIF(W1658:W1675,$B1693&amp;" ~*")&gt;0)+(IFERROR(INDEX(Setup!$G$33:$G$40,MATCH(Y1693,Setup!$B$33:$B$40,0)),0)=1)*(COUNTIF(Y1658:Y1675,$B1693)+COUNTIF(Y1658:Y1675,$B1693&amp;" ~*")&gt;0))</f>
        <v/>
      </c>
    </row>
    <row r="1694" ht="15" customHeight="1">
      <c r="A1694" t="n">
        <v>34</v>
      </c>
      <c r="B1694" s="37">
        <f>IF(Setup!$B$23="","",Setup!$B$23)</f>
        <v/>
      </c>
      <c r="C1694" s="102" t="n"/>
      <c r="D1694" s="103" t="n"/>
      <c r="E1694" s="103" t="n"/>
      <c r="F1694" s="104" t="n"/>
      <c r="G1694" s="102" t="n"/>
      <c r="H1694" s="103" t="n"/>
      <c r="I1694" s="103" t="n"/>
      <c r="J1694" s="104" t="n"/>
      <c r="K1694" s="102" t="n"/>
      <c r="L1694" s="103" t="n"/>
      <c r="M1694" s="103" t="n"/>
      <c r="N1694" s="104" t="n"/>
      <c r="O1694" s="102" t="n"/>
      <c r="P1694" s="103" t="n"/>
      <c r="Q1694" s="103" t="n"/>
      <c r="R1694" s="104" t="n"/>
      <c r="S1694" s="102" t="n"/>
      <c r="T1694" s="103" t="n"/>
      <c r="U1694" s="103" t="n"/>
      <c r="V1694" s="104" t="n"/>
      <c r="W1694" s="102" t="n"/>
      <c r="X1694" s="104" t="n"/>
      <c r="Y1694" s="102" t="n"/>
      <c r="Z1694" s="104" t="n"/>
      <c r="AB1694" s="105">
        <f>IF($B1694="","",(COUNTIF(C1658:E1675,$B1694)+COUNTIF(C1658:E1675,$B1694&amp;" ~*")&gt;0)+(COUNTIF(G1658:I1675,$B1694)+COUNTIF(G1658:I1675,$B1694&amp;" ~*")&gt;0)+(COUNTIF(K1658:M1675,$B1694)+COUNTIF(K1658:M1675,$B1694&amp;" ~*")&gt;0)+(COUNTIF(O1658:Q1675,$B1694)+COUNTIF(O1658:Q1675,$B1694&amp;" ~*")&gt;0)+(COUNTIF(S1658:U1675,$B1694)+COUNTIF(S1658:U1675,$B1694&amp;" ~*")&gt;0)+(COUNTIF(W1658:W1675,$B1694)+COUNTIF(W1658:W1675,$B1694&amp;" ~*")&gt;0)+(COUNTIF(Y1658:Y1675,$B1694)+COUNTIF(Y1658:Y1675,$B1694&amp;" ~*")&gt;0))</f>
        <v/>
      </c>
      <c r="AC1694" s="38">
        <f>IF($B1694="","",(IFERROR(INDEX(Setup!$G$33:$G$40,MATCH(C1694,Setup!$B$33:$B$40,0)),0)=1)*(COUNTIF(C1658:E1675,$B1694)+COUNTIF(C1658:E1675,$B1694&amp;" ~*")&gt;0)+(IFERROR(INDEX(Setup!$G$33:$G$40,MATCH(G1694,Setup!$B$33:$B$40,0)),0)=1)*(COUNTIF(G1658:I1675,$B1694)+COUNTIF(G1658:I1675,$B1694&amp;" ~*")&gt;0)+(IFERROR(INDEX(Setup!$G$33:$G$40,MATCH(K1694,Setup!$B$33:$B$40,0)),0)=1)*(COUNTIF(K1658:M1675,$B1694)+COUNTIF(K1658:M1675,$B1694&amp;" ~*")&gt;0)+(IFERROR(INDEX(Setup!$G$33:$G$40,MATCH(O1694,Setup!$B$33:$B$40,0)),0)=1)*(COUNTIF(O1658:Q1675,$B1694)+COUNTIF(O1658:Q1675,$B1694&amp;" ~*")&gt;0)+(IFERROR(INDEX(Setup!$G$33:$G$40,MATCH(S1694,Setup!$B$33:$B$40,0)),0)=1)*(COUNTIF(S1658:U1675,$B1694)+COUNTIF(S1658:U1675,$B1694&amp;" ~*")&gt;0)+(IFERROR(INDEX(Setup!$G$33:$G$40,MATCH(W1694,Setup!$B$33:$B$40,0)),0)=1)*(COUNTIF(W1658:W1675,$B1694)+COUNTIF(W1658:W1675,$B1694&amp;" ~*")&gt;0)+(IFERROR(INDEX(Setup!$G$33:$G$40,MATCH(Y1694,Setup!$B$33:$B$40,0)),0)=1)*(COUNTIF(Y1658:Y1675,$B1694)+COUNTIF(Y1658:Y1675,$B1694&amp;" ~*")&gt;0))</f>
        <v/>
      </c>
    </row>
    <row r="1695" ht="15" customHeight="1">
      <c r="A1695" t="n">
        <v>34</v>
      </c>
      <c r="B1695" s="35">
        <f>IF(Setup!$B$24="","",Setup!$B$24)</f>
        <v/>
      </c>
      <c r="C1695" s="98" t="n"/>
      <c r="D1695" s="99" t="n"/>
      <c r="E1695" s="99" t="n"/>
      <c r="F1695" s="100" t="n"/>
      <c r="G1695" s="98" t="n"/>
      <c r="H1695" s="99" t="n"/>
      <c r="I1695" s="99" t="n"/>
      <c r="J1695" s="100" t="n"/>
      <c r="K1695" s="98" t="n"/>
      <c r="L1695" s="99" t="n"/>
      <c r="M1695" s="99" t="n"/>
      <c r="N1695" s="100" t="n"/>
      <c r="O1695" s="98" t="n"/>
      <c r="P1695" s="99" t="n"/>
      <c r="Q1695" s="99" t="n"/>
      <c r="R1695" s="100" t="n"/>
      <c r="S1695" s="98" t="n"/>
      <c r="T1695" s="99" t="n"/>
      <c r="U1695" s="99" t="n"/>
      <c r="V1695" s="100" t="n"/>
      <c r="W1695" s="98" t="n"/>
      <c r="X1695" s="100" t="n"/>
      <c r="Y1695" s="98" t="n"/>
      <c r="Z1695" s="100" t="n"/>
      <c r="AB1695" s="101">
        <f>IF($B1695="","",(COUNTIF(C1658:E1675,$B1695)+COUNTIF(C1658:E1675,$B1695&amp;" ~*")&gt;0)+(COUNTIF(G1658:I1675,$B1695)+COUNTIF(G1658:I1675,$B1695&amp;" ~*")&gt;0)+(COUNTIF(K1658:M1675,$B1695)+COUNTIF(K1658:M1675,$B1695&amp;" ~*")&gt;0)+(COUNTIF(O1658:Q1675,$B1695)+COUNTIF(O1658:Q1675,$B1695&amp;" ~*")&gt;0)+(COUNTIF(S1658:U1675,$B1695)+COUNTIF(S1658:U1675,$B1695&amp;" ~*")&gt;0)+(COUNTIF(W1658:W1675,$B1695)+COUNTIF(W1658:W1675,$B1695&amp;" ~*")&gt;0)+(COUNTIF(Y1658:Y1675,$B1695)+COUNTIF(Y1658:Y1675,$B1695&amp;" ~*")&gt;0))</f>
        <v/>
      </c>
      <c r="AC1695" s="36">
        <f>IF($B1695="","",(IFERROR(INDEX(Setup!$G$33:$G$40,MATCH(C1695,Setup!$B$33:$B$40,0)),0)=1)*(COUNTIF(C1658:E1675,$B1695)+COUNTIF(C1658:E1675,$B1695&amp;" ~*")&gt;0)+(IFERROR(INDEX(Setup!$G$33:$G$40,MATCH(G1695,Setup!$B$33:$B$40,0)),0)=1)*(COUNTIF(G1658:I1675,$B1695)+COUNTIF(G1658:I1675,$B1695&amp;" ~*")&gt;0)+(IFERROR(INDEX(Setup!$G$33:$G$40,MATCH(K1695,Setup!$B$33:$B$40,0)),0)=1)*(COUNTIF(K1658:M1675,$B1695)+COUNTIF(K1658:M1675,$B1695&amp;" ~*")&gt;0)+(IFERROR(INDEX(Setup!$G$33:$G$40,MATCH(O1695,Setup!$B$33:$B$40,0)),0)=1)*(COUNTIF(O1658:Q1675,$B1695)+COUNTIF(O1658:Q1675,$B1695&amp;" ~*")&gt;0)+(IFERROR(INDEX(Setup!$G$33:$G$40,MATCH(S1695,Setup!$B$33:$B$40,0)),0)=1)*(COUNTIF(S1658:U1675,$B1695)+COUNTIF(S1658:U1675,$B1695&amp;" ~*")&gt;0)+(IFERROR(INDEX(Setup!$G$33:$G$40,MATCH(W1695,Setup!$B$33:$B$40,0)),0)=1)*(COUNTIF(W1658:W1675,$B1695)+COUNTIF(W1658:W1675,$B1695&amp;" ~*")&gt;0)+(IFERROR(INDEX(Setup!$G$33:$G$40,MATCH(Y1695,Setup!$B$33:$B$40,0)),0)=1)*(COUNTIF(Y1658:Y1675,$B1695)+COUNTIF(Y1658:Y1675,$B1695&amp;" ~*")&gt;0))</f>
        <v/>
      </c>
    </row>
    <row r="1696" ht="15" customHeight="1">
      <c r="A1696" t="n">
        <v>34</v>
      </c>
      <c r="B1696" s="37">
        <f>IF(Setup!$B$25="","",Setup!$B$25)</f>
        <v/>
      </c>
      <c r="C1696" s="102" t="n"/>
      <c r="D1696" s="103" t="n"/>
      <c r="E1696" s="103" t="n"/>
      <c r="F1696" s="104" t="n"/>
      <c r="G1696" s="102" t="n"/>
      <c r="H1696" s="103" t="n"/>
      <c r="I1696" s="103" t="n"/>
      <c r="J1696" s="104" t="n"/>
      <c r="K1696" s="102" t="n"/>
      <c r="L1696" s="103" t="n"/>
      <c r="M1696" s="103" t="n"/>
      <c r="N1696" s="104" t="n"/>
      <c r="O1696" s="102" t="n"/>
      <c r="P1696" s="103" t="n"/>
      <c r="Q1696" s="103" t="n"/>
      <c r="R1696" s="104" t="n"/>
      <c r="S1696" s="102" t="n"/>
      <c r="T1696" s="103" t="n"/>
      <c r="U1696" s="103" t="n"/>
      <c r="V1696" s="104" t="n"/>
      <c r="W1696" s="102" t="n"/>
      <c r="X1696" s="104" t="n"/>
      <c r="Y1696" s="102" t="n"/>
      <c r="Z1696" s="104" t="n"/>
      <c r="AB1696" s="105">
        <f>IF($B1696="","",(COUNTIF(C1658:E1675,$B1696)+COUNTIF(C1658:E1675,$B1696&amp;" ~*")&gt;0)+(COUNTIF(G1658:I1675,$B1696)+COUNTIF(G1658:I1675,$B1696&amp;" ~*")&gt;0)+(COUNTIF(K1658:M1675,$B1696)+COUNTIF(K1658:M1675,$B1696&amp;" ~*")&gt;0)+(COUNTIF(O1658:Q1675,$B1696)+COUNTIF(O1658:Q1675,$B1696&amp;" ~*")&gt;0)+(COUNTIF(S1658:U1675,$B1696)+COUNTIF(S1658:U1675,$B1696&amp;" ~*")&gt;0)+(COUNTIF(W1658:W1675,$B1696)+COUNTIF(W1658:W1675,$B1696&amp;" ~*")&gt;0)+(COUNTIF(Y1658:Y1675,$B1696)+COUNTIF(Y1658:Y1675,$B1696&amp;" ~*")&gt;0))</f>
        <v/>
      </c>
      <c r="AC1696" s="38">
        <f>IF($B1696="","",(IFERROR(INDEX(Setup!$G$33:$G$40,MATCH(C1696,Setup!$B$33:$B$40,0)),0)=1)*(COUNTIF(C1658:E1675,$B1696)+COUNTIF(C1658:E1675,$B1696&amp;" ~*")&gt;0)+(IFERROR(INDEX(Setup!$G$33:$G$40,MATCH(G1696,Setup!$B$33:$B$40,0)),0)=1)*(COUNTIF(G1658:I1675,$B1696)+COUNTIF(G1658:I1675,$B1696&amp;" ~*")&gt;0)+(IFERROR(INDEX(Setup!$G$33:$G$40,MATCH(K1696,Setup!$B$33:$B$40,0)),0)=1)*(COUNTIF(K1658:M1675,$B1696)+COUNTIF(K1658:M1675,$B1696&amp;" ~*")&gt;0)+(IFERROR(INDEX(Setup!$G$33:$G$40,MATCH(O1696,Setup!$B$33:$B$40,0)),0)=1)*(COUNTIF(O1658:Q1675,$B1696)+COUNTIF(O1658:Q1675,$B1696&amp;" ~*")&gt;0)+(IFERROR(INDEX(Setup!$G$33:$G$40,MATCH(S1696,Setup!$B$33:$B$40,0)),0)=1)*(COUNTIF(S1658:U1675,$B1696)+COUNTIF(S1658:U1675,$B1696&amp;" ~*")&gt;0)+(IFERROR(INDEX(Setup!$G$33:$G$40,MATCH(W1696,Setup!$B$33:$B$40,0)),0)=1)*(COUNTIF(W1658:W1675,$B1696)+COUNTIF(W1658:W1675,$B1696&amp;" ~*")&gt;0)+(IFERROR(INDEX(Setup!$G$33:$G$40,MATCH(Y1696,Setup!$B$33:$B$40,0)),0)=1)*(COUNTIF(Y1658:Y1675,$B1696)+COUNTIF(Y1658:Y1675,$B1696&amp;" ~*")&gt;0))</f>
        <v/>
      </c>
    </row>
    <row r="1697" ht="15" customHeight="1">
      <c r="A1697" t="n">
        <v>34</v>
      </c>
      <c r="B1697" s="35">
        <f>IF(Setup!$B$26="","",Setup!$B$26)</f>
        <v/>
      </c>
      <c r="C1697" s="98" t="n"/>
      <c r="D1697" s="99" t="n"/>
      <c r="E1697" s="99" t="n"/>
      <c r="F1697" s="100" t="n"/>
      <c r="G1697" s="98" t="n"/>
      <c r="H1697" s="99" t="n"/>
      <c r="I1697" s="99" t="n"/>
      <c r="J1697" s="100" t="n"/>
      <c r="K1697" s="98" t="n"/>
      <c r="L1697" s="99" t="n"/>
      <c r="M1697" s="99" t="n"/>
      <c r="N1697" s="100" t="n"/>
      <c r="O1697" s="98" t="n"/>
      <c r="P1697" s="99" t="n"/>
      <c r="Q1697" s="99" t="n"/>
      <c r="R1697" s="100" t="n"/>
      <c r="S1697" s="98" t="n"/>
      <c r="T1697" s="99" t="n"/>
      <c r="U1697" s="99" t="n"/>
      <c r="V1697" s="100" t="n"/>
      <c r="W1697" s="98" t="n"/>
      <c r="X1697" s="100" t="n"/>
      <c r="Y1697" s="98" t="n"/>
      <c r="Z1697" s="100" t="n"/>
      <c r="AB1697" s="101">
        <f>IF($B1697="","",(COUNTIF(C1658:E1675,$B1697)+COUNTIF(C1658:E1675,$B1697&amp;" ~*")&gt;0)+(COUNTIF(G1658:I1675,$B1697)+COUNTIF(G1658:I1675,$B1697&amp;" ~*")&gt;0)+(COUNTIF(K1658:M1675,$B1697)+COUNTIF(K1658:M1675,$B1697&amp;" ~*")&gt;0)+(COUNTIF(O1658:Q1675,$B1697)+COUNTIF(O1658:Q1675,$B1697&amp;" ~*")&gt;0)+(COUNTIF(S1658:U1675,$B1697)+COUNTIF(S1658:U1675,$B1697&amp;" ~*")&gt;0)+(COUNTIF(W1658:W1675,$B1697)+COUNTIF(W1658:W1675,$B1697&amp;" ~*")&gt;0)+(COUNTIF(Y1658:Y1675,$B1697)+COUNTIF(Y1658:Y1675,$B1697&amp;" ~*")&gt;0))</f>
        <v/>
      </c>
      <c r="AC1697" s="36">
        <f>IF($B1697="","",(IFERROR(INDEX(Setup!$G$33:$G$40,MATCH(C1697,Setup!$B$33:$B$40,0)),0)=1)*(COUNTIF(C1658:E1675,$B1697)+COUNTIF(C1658:E1675,$B1697&amp;" ~*")&gt;0)+(IFERROR(INDEX(Setup!$G$33:$G$40,MATCH(G1697,Setup!$B$33:$B$40,0)),0)=1)*(COUNTIF(G1658:I1675,$B1697)+COUNTIF(G1658:I1675,$B1697&amp;" ~*")&gt;0)+(IFERROR(INDEX(Setup!$G$33:$G$40,MATCH(K1697,Setup!$B$33:$B$40,0)),0)=1)*(COUNTIF(K1658:M1675,$B1697)+COUNTIF(K1658:M1675,$B1697&amp;" ~*")&gt;0)+(IFERROR(INDEX(Setup!$G$33:$G$40,MATCH(O1697,Setup!$B$33:$B$40,0)),0)=1)*(COUNTIF(O1658:Q1675,$B1697)+COUNTIF(O1658:Q1675,$B1697&amp;" ~*")&gt;0)+(IFERROR(INDEX(Setup!$G$33:$G$40,MATCH(S1697,Setup!$B$33:$B$40,0)),0)=1)*(COUNTIF(S1658:U1675,$B1697)+COUNTIF(S1658:U1675,$B1697&amp;" ~*")&gt;0)+(IFERROR(INDEX(Setup!$G$33:$G$40,MATCH(W1697,Setup!$B$33:$B$40,0)),0)=1)*(COUNTIF(W1658:W1675,$B1697)+COUNTIF(W1658:W1675,$B1697&amp;" ~*")&gt;0)+(IFERROR(INDEX(Setup!$G$33:$G$40,MATCH(Y1697,Setup!$B$33:$B$40,0)),0)=1)*(COUNTIF(Y1658:Y1675,$B1697)+COUNTIF(Y1658:Y1675,$B1697&amp;" ~*")&gt;0))</f>
        <v/>
      </c>
    </row>
    <row r="1698" ht="15" customHeight="1">
      <c r="A1698" t="n">
        <v>34</v>
      </c>
      <c r="B1698" s="37">
        <f>IF(Setup!$B$27="","",Setup!$B$27)</f>
        <v/>
      </c>
      <c r="C1698" s="102" t="n"/>
      <c r="D1698" s="103" t="n"/>
      <c r="E1698" s="103" t="n"/>
      <c r="F1698" s="104" t="n"/>
      <c r="G1698" s="102" t="n"/>
      <c r="H1698" s="103" t="n"/>
      <c r="I1698" s="103" t="n"/>
      <c r="J1698" s="104" t="n"/>
      <c r="K1698" s="102" t="n"/>
      <c r="L1698" s="103" t="n"/>
      <c r="M1698" s="103" t="n"/>
      <c r="N1698" s="104" t="n"/>
      <c r="O1698" s="102" t="n"/>
      <c r="P1698" s="103" t="n"/>
      <c r="Q1698" s="103" t="n"/>
      <c r="R1698" s="104" t="n"/>
      <c r="S1698" s="102" t="n"/>
      <c r="T1698" s="103" t="n"/>
      <c r="U1698" s="103" t="n"/>
      <c r="V1698" s="104" t="n"/>
      <c r="W1698" s="102" t="n"/>
      <c r="X1698" s="104" t="n"/>
      <c r="Y1698" s="102" t="n"/>
      <c r="Z1698" s="104" t="n"/>
      <c r="AB1698" s="105">
        <f>IF($B1698="","",(COUNTIF(C1658:E1675,$B1698)+COUNTIF(C1658:E1675,$B1698&amp;" ~*")&gt;0)+(COUNTIF(G1658:I1675,$B1698)+COUNTIF(G1658:I1675,$B1698&amp;" ~*")&gt;0)+(COUNTIF(K1658:M1675,$B1698)+COUNTIF(K1658:M1675,$B1698&amp;" ~*")&gt;0)+(COUNTIF(O1658:Q1675,$B1698)+COUNTIF(O1658:Q1675,$B1698&amp;" ~*")&gt;0)+(COUNTIF(S1658:U1675,$B1698)+COUNTIF(S1658:U1675,$B1698&amp;" ~*")&gt;0)+(COUNTIF(W1658:W1675,$B1698)+COUNTIF(W1658:W1675,$B1698&amp;" ~*")&gt;0)+(COUNTIF(Y1658:Y1675,$B1698)+COUNTIF(Y1658:Y1675,$B1698&amp;" ~*")&gt;0))</f>
        <v/>
      </c>
      <c r="AC1698" s="38">
        <f>IF($B1698="","",(IFERROR(INDEX(Setup!$G$33:$G$40,MATCH(C1698,Setup!$B$33:$B$40,0)),0)=1)*(COUNTIF(C1658:E1675,$B1698)+COUNTIF(C1658:E1675,$B1698&amp;" ~*")&gt;0)+(IFERROR(INDEX(Setup!$G$33:$G$40,MATCH(G1698,Setup!$B$33:$B$40,0)),0)=1)*(COUNTIF(G1658:I1675,$B1698)+COUNTIF(G1658:I1675,$B1698&amp;" ~*")&gt;0)+(IFERROR(INDEX(Setup!$G$33:$G$40,MATCH(K1698,Setup!$B$33:$B$40,0)),0)=1)*(COUNTIF(K1658:M1675,$B1698)+COUNTIF(K1658:M1675,$B1698&amp;" ~*")&gt;0)+(IFERROR(INDEX(Setup!$G$33:$G$40,MATCH(O1698,Setup!$B$33:$B$40,0)),0)=1)*(COUNTIF(O1658:Q1675,$B1698)+COUNTIF(O1658:Q1675,$B1698&amp;" ~*")&gt;0)+(IFERROR(INDEX(Setup!$G$33:$G$40,MATCH(S1698,Setup!$B$33:$B$40,0)),0)=1)*(COUNTIF(S1658:U1675,$B1698)+COUNTIF(S1658:U1675,$B1698&amp;" ~*")&gt;0)+(IFERROR(INDEX(Setup!$G$33:$G$40,MATCH(W1698,Setup!$B$33:$B$40,0)),0)=1)*(COUNTIF(W1658:W1675,$B1698)+COUNTIF(W1658:W1675,$B1698&amp;" ~*")&gt;0)+(IFERROR(INDEX(Setup!$G$33:$G$40,MATCH(Y1698,Setup!$B$33:$B$40,0)),0)=1)*(COUNTIF(Y1658:Y1675,$B1698)+COUNTIF(Y1658:Y1675,$B1698&amp;" ~*")&gt;0))</f>
        <v/>
      </c>
    </row>
    <row r="1699" ht="15" customHeight="1">
      <c r="A1699" t="n">
        <v>34</v>
      </c>
      <c r="B1699" s="35">
        <f>IF(Setup!$B$28="","",Setup!$B$28)</f>
        <v/>
      </c>
      <c r="C1699" s="98" t="n"/>
      <c r="D1699" s="99" t="n"/>
      <c r="E1699" s="99" t="n"/>
      <c r="F1699" s="100" t="n"/>
      <c r="G1699" s="98" t="n"/>
      <c r="H1699" s="99" t="n"/>
      <c r="I1699" s="99" t="n"/>
      <c r="J1699" s="100" t="n"/>
      <c r="K1699" s="98" t="n"/>
      <c r="L1699" s="99" t="n"/>
      <c r="M1699" s="99" t="n"/>
      <c r="N1699" s="100" t="n"/>
      <c r="O1699" s="98" t="n"/>
      <c r="P1699" s="99" t="n"/>
      <c r="Q1699" s="99" t="n"/>
      <c r="R1699" s="100" t="n"/>
      <c r="S1699" s="98" t="n"/>
      <c r="T1699" s="99" t="n"/>
      <c r="U1699" s="99" t="n"/>
      <c r="V1699" s="100" t="n"/>
      <c r="W1699" s="98" t="n"/>
      <c r="X1699" s="100" t="n"/>
      <c r="Y1699" s="98" t="n"/>
      <c r="Z1699" s="100" t="n"/>
      <c r="AB1699" s="101">
        <f>IF($B1699="","",(COUNTIF(C1658:E1675,$B1699)+COUNTIF(C1658:E1675,$B1699&amp;" ~*")&gt;0)+(COUNTIF(G1658:I1675,$B1699)+COUNTIF(G1658:I1675,$B1699&amp;" ~*")&gt;0)+(COUNTIF(K1658:M1675,$B1699)+COUNTIF(K1658:M1675,$B1699&amp;" ~*")&gt;0)+(COUNTIF(O1658:Q1675,$B1699)+COUNTIF(O1658:Q1675,$B1699&amp;" ~*")&gt;0)+(COUNTIF(S1658:U1675,$B1699)+COUNTIF(S1658:U1675,$B1699&amp;" ~*")&gt;0)+(COUNTIF(W1658:W1675,$B1699)+COUNTIF(W1658:W1675,$B1699&amp;" ~*")&gt;0)+(COUNTIF(Y1658:Y1675,$B1699)+COUNTIF(Y1658:Y1675,$B1699&amp;" ~*")&gt;0))</f>
        <v/>
      </c>
      <c r="AC1699" s="36">
        <f>IF($B1699="","",(IFERROR(INDEX(Setup!$G$33:$G$40,MATCH(C1699,Setup!$B$33:$B$40,0)),0)=1)*(COUNTIF(C1658:E1675,$B1699)+COUNTIF(C1658:E1675,$B1699&amp;" ~*")&gt;0)+(IFERROR(INDEX(Setup!$G$33:$G$40,MATCH(G1699,Setup!$B$33:$B$40,0)),0)=1)*(COUNTIF(G1658:I1675,$B1699)+COUNTIF(G1658:I1675,$B1699&amp;" ~*")&gt;0)+(IFERROR(INDEX(Setup!$G$33:$G$40,MATCH(K1699,Setup!$B$33:$B$40,0)),0)=1)*(COUNTIF(K1658:M1675,$B1699)+COUNTIF(K1658:M1675,$B1699&amp;" ~*")&gt;0)+(IFERROR(INDEX(Setup!$G$33:$G$40,MATCH(O1699,Setup!$B$33:$B$40,0)),0)=1)*(COUNTIF(O1658:Q1675,$B1699)+COUNTIF(O1658:Q1675,$B1699&amp;" ~*")&gt;0)+(IFERROR(INDEX(Setup!$G$33:$G$40,MATCH(S1699,Setup!$B$33:$B$40,0)),0)=1)*(COUNTIF(S1658:U1675,$B1699)+COUNTIF(S1658:U1675,$B1699&amp;" ~*")&gt;0)+(IFERROR(INDEX(Setup!$G$33:$G$40,MATCH(W1699,Setup!$B$33:$B$40,0)),0)=1)*(COUNTIF(W1658:W1675,$B1699)+COUNTIF(W1658:W1675,$B1699&amp;" ~*")&gt;0)+(IFERROR(INDEX(Setup!$G$33:$G$40,MATCH(Y1699,Setup!$B$33:$B$40,0)),0)=1)*(COUNTIF(Y1658:Y1675,$B1699)+COUNTIF(Y1658:Y1675,$B1699&amp;" ~*")&gt;0))</f>
        <v/>
      </c>
    </row>
    <row r="1700" ht="15" customHeight="1">
      <c r="A1700" t="n">
        <v>34</v>
      </c>
      <c r="B1700" s="37">
        <f>IF(Setup!$B$29="","",Setup!$B$29)</f>
        <v/>
      </c>
      <c r="C1700" s="102" t="n"/>
      <c r="D1700" s="103" t="n"/>
      <c r="E1700" s="103" t="n"/>
      <c r="F1700" s="104" t="n"/>
      <c r="G1700" s="102" t="n"/>
      <c r="H1700" s="103" t="n"/>
      <c r="I1700" s="103" t="n"/>
      <c r="J1700" s="104" t="n"/>
      <c r="K1700" s="102" t="n"/>
      <c r="L1700" s="103" t="n"/>
      <c r="M1700" s="103" t="n"/>
      <c r="N1700" s="104" t="n"/>
      <c r="O1700" s="102" t="n"/>
      <c r="P1700" s="103" t="n"/>
      <c r="Q1700" s="103" t="n"/>
      <c r="R1700" s="104" t="n"/>
      <c r="S1700" s="102" t="n"/>
      <c r="T1700" s="103" t="n"/>
      <c r="U1700" s="103" t="n"/>
      <c r="V1700" s="104" t="n"/>
      <c r="W1700" s="102" t="n"/>
      <c r="X1700" s="104" t="n"/>
      <c r="Y1700" s="102" t="n"/>
      <c r="Z1700" s="104" t="n"/>
      <c r="AB1700" s="105">
        <f>IF($B1700="","",(COUNTIF(C1658:E1675,$B1700)+COUNTIF(C1658:E1675,$B1700&amp;" ~*")&gt;0)+(COUNTIF(G1658:I1675,$B1700)+COUNTIF(G1658:I1675,$B1700&amp;" ~*")&gt;0)+(COUNTIF(K1658:M1675,$B1700)+COUNTIF(K1658:M1675,$B1700&amp;" ~*")&gt;0)+(COUNTIF(O1658:Q1675,$B1700)+COUNTIF(O1658:Q1675,$B1700&amp;" ~*")&gt;0)+(COUNTIF(S1658:U1675,$B1700)+COUNTIF(S1658:U1675,$B1700&amp;" ~*")&gt;0)+(COUNTIF(W1658:W1675,$B1700)+COUNTIF(W1658:W1675,$B1700&amp;" ~*")&gt;0)+(COUNTIF(Y1658:Y1675,$B1700)+COUNTIF(Y1658:Y1675,$B1700&amp;" ~*")&gt;0))</f>
        <v/>
      </c>
      <c r="AC1700" s="38">
        <f>IF($B1700="","",(IFERROR(INDEX(Setup!$G$33:$G$40,MATCH(C1700,Setup!$B$33:$B$40,0)),0)=1)*(COUNTIF(C1658:E1675,$B1700)+COUNTIF(C1658:E1675,$B1700&amp;" ~*")&gt;0)+(IFERROR(INDEX(Setup!$G$33:$G$40,MATCH(G1700,Setup!$B$33:$B$40,0)),0)=1)*(COUNTIF(G1658:I1675,$B1700)+COUNTIF(G1658:I1675,$B1700&amp;" ~*")&gt;0)+(IFERROR(INDEX(Setup!$G$33:$G$40,MATCH(K1700,Setup!$B$33:$B$40,0)),0)=1)*(COUNTIF(K1658:M1675,$B1700)+COUNTIF(K1658:M1675,$B1700&amp;" ~*")&gt;0)+(IFERROR(INDEX(Setup!$G$33:$G$40,MATCH(O1700,Setup!$B$33:$B$40,0)),0)=1)*(COUNTIF(O1658:Q1675,$B1700)+COUNTIF(O1658:Q1675,$B1700&amp;" ~*")&gt;0)+(IFERROR(INDEX(Setup!$G$33:$G$40,MATCH(S1700,Setup!$B$33:$B$40,0)),0)=1)*(COUNTIF(S1658:U1675,$B1700)+COUNTIF(S1658:U1675,$B1700&amp;" ~*")&gt;0)+(IFERROR(INDEX(Setup!$G$33:$G$40,MATCH(W1700,Setup!$B$33:$B$40,0)),0)=1)*(COUNTIF(W1658:W1675,$B1700)+COUNTIF(W1658:W1675,$B1700&amp;" ~*")&gt;0)+(IFERROR(INDEX(Setup!$G$33:$G$40,MATCH(Y1700,Setup!$B$33:$B$40,0)),0)=1)*(COUNTIF(Y1658:Y1675,$B1700)+COUNTIF(Y1658:Y1675,$B1700&amp;" ~*")&gt;0))</f>
        <v/>
      </c>
    </row>
    <row r="1701" ht="16" customHeight="1">
      <c r="A1701" t="n">
        <v>34</v>
      </c>
      <c r="B1701" s="106" t="inlineStr">
        <is>
          <t>Available people</t>
        </is>
      </c>
      <c r="C1701" s="107">
        <f>COUNTIFS(Setup!$E$6:$E$29,"Y",Setup!$B$6:$B$29,"?*")-SUMPRODUCT(COUNTIF(C1677:C1700,Setup!$F$33:$F$40))</f>
        <v/>
      </c>
      <c r="D1701" s="107" t="n"/>
      <c r="E1701" s="107" t="n"/>
      <c r="F1701" s="107" t="n"/>
      <c r="G1701" s="107">
        <f>COUNTIFS(Setup!$E$6:$E$29,"Y",Setup!$B$6:$B$29,"?*")-SUMPRODUCT(COUNTIF(G1677:G1700,Setup!$F$33:$F$40))</f>
        <v/>
      </c>
      <c r="H1701" s="107" t="n"/>
      <c r="I1701" s="107" t="n"/>
      <c r="J1701" s="107" t="n"/>
      <c r="K1701" s="107">
        <f>COUNTIFS(Setup!$E$6:$E$29,"Y",Setup!$B$6:$B$29,"?*")-SUMPRODUCT(COUNTIF(K1677:K1700,Setup!$F$33:$F$40))</f>
        <v/>
      </c>
      <c r="L1701" s="107" t="n"/>
      <c r="M1701" s="107" t="n"/>
      <c r="N1701" s="107" t="n"/>
      <c r="O1701" s="107">
        <f>COUNTIFS(Setup!$E$6:$E$29,"Y",Setup!$B$6:$B$29,"?*")-SUMPRODUCT(COUNTIF(O1677:O1700,Setup!$F$33:$F$40))</f>
        <v/>
      </c>
      <c r="P1701" s="107" t="n"/>
      <c r="Q1701" s="107" t="n"/>
      <c r="R1701" s="107" t="n"/>
      <c r="S1701" s="107">
        <f>COUNTIFS(Setup!$E$6:$E$29,"Y",Setup!$B$6:$B$29,"?*")-SUMPRODUCT(COUNTIF(S1677:S1700,Setup!$F$33:$F$40))</f>
        <v/>
      </c>
      <c r="T1701" s="107" t="n"/>
      <c r="U1701" s="107" t="n"/>
      <c r="V1701" s="107" t="n"/>
      <c r="W1701" s="107">
        <f>COUNTIFS(Setup!$E$6:$E$29,"Y",Setup!$B$6:$B$29,"?*")-SUMPRODUCT(COUNTIF(W1677:W1700,Setup!$F$33:$F$40))</f>
        <v/>
      </c>
      <c r="X1701" s="107" t="n"/>
      <c r="Y1701" s="107">
        <f>COUNTIFS(Setup!$E$6:$E$29,"Y",Setup!$B$6:$B$29,"?*")-SUMPRODUCT(COUNTIF(Y1677:Y1700,Setup!$F$33:$F$40))</f>
        <v/>
      </c>
      <c r="Z1701" s="107" t="n"/>
      <c r="AB1701" s="108">
        <f>SUM(AB1677:AB1700)</f>
        <v/>
      </c>
      <c r="AC1701" s="109">
        <f>SUM(AC1677:AC1700)</f>
        <v/>
      </c>
    </row>
    <row r="1702" ht="30" customHeight="1">
      <c r="A1702" t="n">
        <v>34</v>
      </c>
      <c r="B1702" s="110" t="inlineStr">
        <is>
          <t>Week notes</t>
        </is>
      </c>
      <c r="C1702" s="111" t="n"/>
      <c r="D1702" s="112" t="n"/>
      <c r="E1702" s="112" t="n"/>
      <c r="F1702" s="112" t="n"/>
      <c r="G1702" s="112" t="n"/>
      <c r="H1702" s="112" t="n"/>
      <c r="I1702" s="112" t="n"/>
      <c r="J1702" s="112" t="n"/>
      <c r="K1702" s="112" t="n"/>
      <c r="L1702" s="112" t="n"/>
      <c r="M1702" s="112" t="n"/>
      <c r="N1702" s="112" t="n"/>
      <c r="O1702" s="112" t="n"/>
      <c r="P1702" s="112" t="n"/>
      <c r="Q1702" s="112" t="n"/>
      <c r="R1702" s="112" t="n"/>
      <c r="S1702" s="112" t="n"/>
      <c r="T1702" s="112" t="n"/>
      <c r="U1702" s="112" t="n"/>
      <c r="V1702" s="112" t="n"/>
      <c r="W1702" s="112" t="n"/>
      <c r="X1702" s="112" t="n"/>
      <c r="Y1702" s="112" t="n"/>
      <c r="Z1702" s="113" t="n"/>
    </row>
    <row r="1703" ht="8" customHeight="1">
      <c r="A1703" t="n">
        <v>34</v>
      </c>
    </row>
    <row r="1704" ht="8" customHeight="1">
      <c r="A1704" t="n">
        <v>34</v>
      </c>
    </row>
    <row r="1705" ht="24" customHeight="1">
      <c r="A1705" t="n">
        <v>35</v>
      </c>
      <c r="B1705" s="73">
        <f>"WEEK 35     "&amp;TEXT(C1706,"ddd d mmm")&amp;"  –  "&amp;TEXT(C1706+6,"ddd d mmm yyyy")</f>
        <v/>
      </c>
      <c r="S1705" s="74">
        <f>IF(TODAY()&lt;C1706,"FUTURE",IF(TODAY()&gt;C1706+6,"PAST","THIS WEEK"))</f>
        <v/>
      </c>
      <c r="W1705" s="75">
        <f>IF(AND(Engine!$B$8=$AC$3,Engine!$B$9=$A1705),"◀ ACTIVE WEEK","")</f>
        <v/>
      </c>
      <c r="AA1705" s="76" t="n"/>
      <c r="AB1705" s="77" t="inlineStr">
        <is>
          <t>◀ Prev</t>
        </is>
      </c>
      <c r="AC1705" s="77" t="inlineStr">
        <is>
          <t>Next ▶</t>
        </is>
      </c>
    </row>
    <row r="1706" ht="18" customHeight="1">
      <c r="A1706" t="n">
        <v>35</v>
      </c>
      <c r="B1706" s="78" t="inlineStr">
        <is>
          <t>DUTY</t>
        </is>
      </c>
      <c r="C1706" s="79">
        <f>$AC$2+7*($A1706-1)</f>
        <v/>
      </c>
      <c r="D1706" s="80" t="n"/>
      <c r="E1706" s="80" t="n"/>
      <c r="F1706" s="81" t="n"/>
      <c r="G1706" s="79">
        <f>C1706+1</f>
        <v/>
      </c>
      <c r="H1706" s="80" t="n"/>
      <c r="I1706" s="80" t="n"/>
      <c r="J1706" s="81" t="n"/>
      <c r="K1706" s="79">
        <f>C1706+2</f>
        <v/>
      </c>
      <c r="L1706" s="80" t="n"/>
      <c r="M1706" s="80" t="n"/>
      <c r="N1706" s="81" t="n"/>
      <c r="O1706" s="79">
        <f>C1706+3</f>
        <v/>
      </c>
      <c r="P1706" s="80" t="n"/>
      <c r="Q1706" s="80" t="n"/>
      <c r="R1706" s="81" t="n"/>
      <c r="S1706" s="79">
        <f>C1706+4</f>
        <v/>
      </c>
      <c r="T1706" s="80" t="n"/>
      <c r="U1706" s="80" t="n"/>
      <c r="V1706" s="81" t="n"/>
      <c r="W1706" s="82">
        <f>C1706+5</f>
        <v/>
      </c>
      <c r="X1706" s="83" t="n"/>
      <c r="Y1706" s="82">
        <f>C1706+6</f>
        <v/>
      </c>
      <c r="Z1706" s="83" t="n"/>
      <c r="AB1706" s="72" t="inlineStr">
        <is>
          <t>Gaps</t>
        </is>
      </c>
      <c r="AC1706" s="72" t="inlineStr">
        <is>
          <t>Cover</t>
        </is>
      </c>
    </row>
    <row r="1707" ht="14" customHeight="1">
      <c r="A1707" t="n">
        <v>35</v>
      </c>
      <c r="B1707" s="84" t="inlineStr">
        <is>
          <t>(from Setup)</t>
        </is>
      </c>
      <c r="C1707" s="85" t="inlineStr">
        <is>
          <t>1</t>
        </is>
      </c>
      <c r="D1707" s="85" t="inlineStr">
        <is>
          <t>2</t>
        </is>
      </c>
      <c r="E1707" s="85" t="inlineStr">
        <is>
          <t>3</t>
        </is>
      </c>
      <c r="F1707" s="85" t="inlineStr">
        <is>
          <t>Notes</t>
        </is>
      </c>
      <c r="G1707" s="85" t="inlineStr">
        <is>
          <t>1</t>
        </is>
      </c>
      <c r="H1707" s="85" t="inlineStr">
        <is>
          <t>2</t>
        </is>
      </c>
      <c r="I1707" s="85" t="inlineStr">
        <is>
          <t>3</t>
        </is>
      </c>
      <c r="J1707" s="85" t="inlineStr">
        <is>
          <t>Notes</t>
        </is>
      </c>
      <c r="K1707" s="85" t="inlineStr">
        <is>
          <t>1</t>
        </is>
      </c>
      <c r="L1707" s="85" t="inlineStr">
        <is>
          <t>2</t>
        </is>
      </c>
      <c r="M1707" s="85" t="inlineStr">
        <is>
          <t>3</t>
        </is>
      </c>
      <c r="N1707" s="85" t="inlineStr">
        <is>
          <t>Notes</t>
        </is>
      </c>
      <c r="O1707" s="85" t="inlineStr">
        <is>
          <t>1</t>
        </is>
      </c>
      <c r="P1707" s="85" t="inlineStr">
        <is>
          <t>2</t>
        </is>
      </c>
      <c r="Q1707" s="85" t="inlineStr">
        <is>
          <t>3</t>
        </is>
      </c>
      <c r="R1707" s="85" t="inlineStr">
        <is>
          <t>Notes</t>
        </is>
      </c>
      <c r="S1707" s="85" t="inlineStr">
        <is>
          <t>1</t>
        </is>
      </c>
      <c r="T1707" s="85" t="inlineStr">
        <is>
          <t>2</t>
        </is>
      </c>
      <c r="U1707" s="85" t="inlineStr">
        <is>
          <t>3</t>
        </is>
      </c>
      <c r="V1707" s="85" t="inlineStr">
        <is>
          <t>Notes</t>
        </is>
      </c>
      <c r="W1707" s="85" t="inlineStr">
        <is>
          <t>Cover</t>
        </is>
      </c>
      <c r="X1707" s="85" t="inlineStr">
        <is>
          <t>Notes</t>
        </is>
      </c>
      <c r="Y1707" s="85" t="inlineStr">
        <is>
          <t>Cover</t>
        </is>
      </c>
      <c r="Z1707" s="85" t="inlineStr">
        <is>
          <t>Notes</t>
        </is>
      </c>
      <c r="AB1707" s="86" t="inlineStr">
        <is>
          <t>weekdays short</t>
        </is>
      </c>
      <c r="AC1707" s="87" t="inlineStr"/>
    </row>
    <row r="1708" ht="17" customHeight="1">
      <c r="A1708" t="n">
        <v>35</v>
      </c>
      <c r="B1708" s="24">
        <f>IF(Setup!$K$6="","",Setup!$K$6)</f>
        <v/>
      </c>
      <c r="C1708" s="88" t="n"/>
      <c r="D1708" s="88" t="n"/>
      <c r="E1708" s="88" t="n"/>
      <c r="F1708" s="89" t="n"/>
      <c r="G1708" s="88" t="n"/>
      <c r="H1708" s="88" t="n"/>
      <c r="I1708" s="88" t="n"/>
      <c r="J1708" s="89" t="n"/>
      <c r="K1708" s="88" t="n"/>
      <c r="L1708" s="88" t="n"/>
      <c r="M1708" s="88" t="n"/>
      <c r="N1708" s="89" t="n"/>
      <c r="O1708" s="88" t="n"/>
      <c r="P1708" s="88" t="n"/>
      <c r="Q1708" s="88" t="n"/>
      <c r="R1708" s="89" t="n"/>
      <c r="S1708" s="88" t="n"/>
      <c r="T1708" s="88" t="n"/>
      <c r="U1708" s="88" t="n"/>
      <c r="V1708" s="89" t="n"/>
      <c r="W1708" s="88" t="n"/>
      <c r="X1708" s="89" t="n"/>
      <c r="Y1708" s="88" t="n"/>
      <c r="Z1708" s="89" t="n"/>
      <c r="AB1708" s="25">
        <f>IF($B1708="","",(COUNTIF(C1708:E1708,"?*")&lt;N(INDEX(Setup!$L$6:$L$23,1)))+(COUNTIF(G1708:I1708,"?*")&lt;N(INDEX(Setup!$L$6:$L$23,1)))+(COUNTIF(K1708:M1708,"?*")&lt;N(INDEX(Setup!$L$6:$L$23,1)))+(COUNTIF(O1708:Q1708,"?*")&lt;N(INDEX(Setup!$L$6:$L$23,1)))+(COUNTIF(S1708:U1708,"?*")&lt;N(INDEX(Setup!$L$6:$L$23,1)))+((W1708="")*(INDEX(Setup!$M$6:$M$23,1)="Y"))+((Y1708="")*(INDEX(Setup!$M$6:$M$23,1)="Y")))</f>
        <v/>
      </c>
      <c r="AC1708" s="90">
        <f>IF($B1708="","",IF(AB1708=0,"✓ covered","⚠ "&amp;AB1708&amp;IF(AB1708=1," gap"," gaps")))</f>
        <v/>
      </c>
    </row>
    <row r="1709" ht="17" customHeight="1">
      <c r="A1709" t="n">
        <v>35</v>
      </c>
      <c r="B1709" s="29">
        <f>IF(Setup!$K$7="","",Setup!$K$7)</f>
        <v/>
      </c>
      <c r="C1709" s="88" t="n"/>
      <c r="D1709" s="88" t="n"/>
      <c r="E1709" s="88" t="n"/>
      <c r="F1709" s="89" t="n"/>
      <c r="G1709" s="88" t="n"/>
      <c r="H1709" s="88" t="n"/>
      <c r="I1709" s="88" t="n"/>
      <c r="J1709" s="89" t="n"/>
      <c r="K1709" s="88" t="n"/>
      <c r="L1709" s="88" t="n"/>
      <c r="M1709" s="88" t="n"/>
      <c r="N1709" s="89" t="n"/>
      <c r="O1709" s="88" t="n"/>
      <c r="P1709" s="88" t="n"/>
      <c r="Q1709" s="88" t="n"/>
      <c r="R1709" s="89" t="n"/>
      <c r="S1709" s="88" t="n"/>
      <c r="T1709" s="88" t="n"/>
      <c r="U1709" s="88" t="n"/>
      <c r="V1709" s="89" t="n"/>
      <c r="W1709" s="88" t="n"/>
      <c r="X1709" s="89" t="n"/>
      <c r="Y1709" s="88" t="n"/>
      <c r="Z1709" s="89" t="n"/>
      <c r="AB1709" s="30">
        <f>IF($B1709="","",(COUNTIF(C1709:E1709,"?*")&lt;N(INDEX(Setup!$L$6:$L$23,2)))+(COUNTIF(G1709:I1709,"?*")&lt;N(INDEX(Setup!$L$6:$L$23,2)))+(COUNTIF(K1709:M1709,"?*")&lt;N(INDEX(Setup!$L$6:$L$23,2)))+(COUNTIF(O1709:Q1709,"?*")&lt;N(INDEX(Setup!$L$6:$L$23,2)))+(COUNTIF(S1709:U1709,"?*")&lt;N(INDEX(Setup!$L$6:$L$23,2)))+((W1709="")*(INDEX(Setup!$M$6:$M$23,2)="Y"))+((Y1709="")*(INDEX(Setup!$M$6:$M$23,2)="Y")))</f>
        <v/>
      </c>
      <c r="AC1709" s="91">
        <f>IF($B1709="","",IF(AB1709=0,"✓ covered","⚠ "&amp;AB1709&amp;IF(AB1709=1," gap"," gaps")))</f>
        <v/>
      </c>
    </row>
    <row r="1710" ht="17" customHeight="1">
      <c r="A1710" t="n">
        <v>35</v>
      </c>
      <c r="B1710" s="24">
        <f>IF(Setup!$K$8="","",Setup!$K$8)</f>
        <v/>
      </c>
      <c r="C1710" s="88" t="n"/>
      <c r="D1710" s="88" t="n"/>
      <c r="E1710" s="88" t="n"/>
      <c r="F1710" s="89" t="n"/>
      <c r="G1710" s="88" t="n"/>
      <c r="H1710" s="88" t="n"/>
      <c r="I1710" s="88" t="n"/>
      <c r="J1710" s="89" t="n"/>
      <c r="K1710" s="88" t="n"/>
      <c r="L1710" s="88" t="n"/>
      <c r="M1710" s="88" t="n"/>
      <c r="N1710" s="89" t="n"/>
      <c r="O1710" s="88" t="n"/>
      <c r="P1710" s="88" t="n"/>
      <c r="Q1710" s="88" t="n"/>
      <c r="R1710" s="89" t="n"/>
      <c r="S1710" s="88" t="n"/>
      <c r="T1710" s="88" t="n"/>
      <c r="U1710" s="88" t="n"/>
      <c r="V1710" s="89" t="n"/>
      <c r="W1710" s="88" t="n"/>
      <c r="X1710" s="89" t="n"/>
      <c r="Y1710" s="88" t="n"/>
      <c r="Z1710" s="89" t="n"/>
      <c r="AB1710" s="25">
        <f>IF($B1710="","",(COUNTIF(C1710:E1710,"?*")&lt;N(INDEX(Setup!$L$6:$L$23,3)))+(COUNTIF(G1710:I1710,"?*")&lt;N(INDEX(Setup!$L$6:$L$23,3)))+(COUNTIF(K1710:M1710,"?*")&lt;N(INDEX(Setup!$L$6:$L$23,3)))+(COUNTIF(O1710:Q1710,"?*")&lt;N(INDEX(Setup!$L$6:$L$23,3)))+(COUNTIF(S1710:U1710,"?*")&lt;N(INDEX(Setup!$L$6:$L$23,3)))+((W1710="")*(INDEX(Setup!$M$6:$M$23,3)="Y"))+((Y1710="")*(INDEX(Setup!$M$6:$M$23,3)="Y")))</f>
        <v/>
      </c>
      <c r="AC1710" s="90">
        <f>IF($B1710="","",IF(AB1710=0,"✓ covered","⚠ "&amp;AB1710&amp;IF(AB1710=1," gap"," gaps")))</f>
        <v/>
      </c>
    </row>
    <row r="1711" ht="17" customHeight="1">
      <c r="A1711" t="n">
        <v>35</v>
      </c>
      <c r="B1711" s="29">
        <f>IF(Setup!$K$9="","",Setup!$K$9)</f>
        <v/>
      </c>
      <c r="C1711" s="88" t="n"/>
      <c r="D1711" s="88" t="n"/>
      <c r="E1711" s="88" t="n"/>
      <c r="F1711" s="89" t="n"/>
      <c r="G1711" s="88" t="n"/>
      <c r="H1711" s="88" t="n"/>
      <c r="I1711" s="88" t="n"/>
      <c r="J1711" s="89" t="n"/>
      <c r="K1711" s="88" t="n"/>
      <c r="L1711" s="88" t="n"/>
      <c r="M1711" s="88" t="n"/>
      <c r="N1711" s="89" t="n"/>
      <c r="O1711" s="88" t="n"/>
      <c r="P1711" s="88" t="n"/>
      <c r="Q1711" s="88" t="n"/>
      <c r="R1711" s="89" t="n"/>
      <c r="S1711" s="88" t="n"/>
      <c r="T1711" s="88" t="n"/>
      <c r="U1711" s="88" t="n"/>
      <c r="V1711" s="89" t="n"/>
      <c r="W1711" s="88" t="n"/>
      <c r="X1711" s="89" t="n"/>
      <c r="Y1711" s="88" t="n"/>
      <c r="Z1711" s="89" t="n"/>
      <c r="AB1711" s="30">
        <f>IF($B1711="","",(COUNTIF(C1711:E1711,"?*")&lt;N(INDEX(Setup!$L$6:$L$23,4)))+(COUNTIF(G1711:I1711,"?*")&lt;N(INDEX(Setup!$L$6:$L$23,4)))+(COUNTIF(K1711:M1711,"?*")&lt;N(INDEX(Setup!$L$6:$L$23,4)))+(COUNTIF(O1711:Q1711,"?*")&lt;N(INDEX(Setup!$L$6:$L$23,4)))+(COUNTIF(S1711:U1711,"?*")&lt;N(INDEX(Setup!$L$6:$L$23,4)))+((W1711="")*(INDEX(Setup!$M$6:$M$23,4)="Y"))+((Y1711="")*(INDEX(Setup!$M$6:$M$23,4)="Y")))</f>
        <v/>
      </c>
      <c r="AC1711" s="91">
        <f>IF($B1711="","",IF(AB1711=0,"✓ covered","⚠ "&amp;AB1711&amp;IF(AB1711=1," gap"," gaps")))</f>
        <v/>
      </c>
    </row>
    <row r="1712" ht="17" customHeight="1">
      <c r="A1712" t="n">
        <v>35</v>
      </c>
      <c r="B1712" s="24">
        <f>IF(Setup!$K$10="","",Setup!$K$10)</f>
        <v/>
      </c>
      <c r="C1712" s="88" t="n"/>
      <c r="D1712" s="88" t="n"/>
      <c r="E1712" s="88" t="n"/>
      <c r="F1712" s="89" t="n"/>
      <c r="G1712" s="88" t="n"/>
      <c r="H1712" s="88" t="n"/>
      <c r="I1712" s="88" t="n"/>
      <c r="J1712" s="89" t="n"/>
      <c r="K1712" s="88" t="n"/>
      <c r="L1712" s="88" t="n"/>
      <c r="M1712" s="88" t="n"/>
      <c r="N1712" s="89" t="n"/>
      <c r="O1712" s="88" t="n"/>
      <c r="P1712" s="88" t="n"/>
      <c r="Q1712" s="88" t="n"/>
      <c r="R1712" s="89" t="n"/>
      <c r="S1712" s="88" t="n"/>
      <c r="T1712" s="88" t="n"/>
      <c r="U1712" s="88" t="n"/>
      <c r="V1712" s="89" t="n"/>
      <c r="W1712" s="88" t="n"/>
      <c r="X1712" s="89" t="n"/>
      <c r="Y1712" s="88" t="n"/>
      <c r="Z1712" s="89" t="n"/>
      <c r="AB1712" s="25">
        <f>IF($B1712="","",(COUNTIF(C1712:E1712,"?*")&lt;N(INDEX(Setup!$L$6:$L$23,5)))+(COUNTIF(G1712:I1712,"?*")&lt;N(INDEX(Setup!$L$6:$L$23,5)))+(COUNTIF(K1712:M1712,"?*")&lt;N(INDEX(Setup!$L$6:$L$23,5)))+(COUNTIF(O1712:Q1712,"?*")&lt;N(INDEX(Setup!$L$6:$L$23,5)))+(COUNTIF(S1712:U1712,"?*")&lt;N(INDEX(Setup!$L$6:$L$23,5)))+((W1712="")*(INDEX(Setup!$M$6:$M$23,5)="Y"))+((Y1712="")*(INDEX(Setup!$M$6:$M$23,5)="Y")))</f>
        <v/>
      </c>
      <c r="AC1712" s="90">
        <f>IF($B1712="","",IF(AB1712=0,"✓ covered","⚠ "&amp;AB1712&amp;IF(AB1712=1," gap"," gaps")))</f>
        <v/>
      </c>
    </row>
    <row r="1713" ht="17" customHeight="1">
      <c r="A1713" t="n">
        <v>35</v>
      </c>
      <c r="B1713" s="29">
        <f>IF(Setup!$K$11="","",Setup!$K$11)</f>
        <v/>
      </c>
      <c r="C1713" s="88" t="n"/>
      <c r="D1713" s="88" t="n"/>
      <c r="E1713" s="88" t="n"/>
      <c r="F1713" s="89" t="n"/>
      <c r="G1713" s="88" t="n"/>
      <c r="H1713" s="88" t="n"/>
      <c r="I1713" s="88" t="n"/>
      <c r="J1713" s="89" t="n"/>
      <c r="K1713" s="88" t="n"/>
      <c r="L1713" s="88" t="n"/>
      <c r="M1713" s="88" t="n"/>
      <c r="N1713" s="89" t="n"/>
      <c r="O1713" s="88" t="n"/>
      <c r="P1713" s="88" t="n"/>
      <c r="Q1713" s="88" t="n"/>
      <c r="R1713" s="89" t="n"/>
      <c r="S1713" s="88" t="n"/>
      <c r="T1713" s="88" t="n"/>
      <c r="U1713" s="88" t="n"/>
      <c r="V1713" s="89" t="n"/>
      <c r="W1713" s="88" t="n"/>
      <c r="X1713" s="89" t="n"/>
      <c r="Y1713" s="88" t="n"/>
      <c r="Z1713" s="89" t="n"/>
      <c r="AB1713" s="30">
        <f>IF($B1713="","",(COUNTIF(C1713:E1713,"?*")&lt;N(INDEX(Setup!$L$6:$L$23,6)))+(COUNTIF(G1713:I1713,"?*")&lt;N(INDEX(Setup!$L$6:$L$23,6)))+(COUNTIF(K1713:M1713,"?*")&lt;N(INDEX(Setup!$L$6:$L$23,6)))+(COUNTIF(O1713:Q1713,"?*")&lt;N(INDEX(Setup!$L$6:$L$23,6)))+(COUNTIF(S1713:U1713,"?*")&lt;N(INDEX(Setup!$L$6:$L$23,6)))+((W1713="")*(INDEX(Setup!$M$6:$M$23,6)="Y"))+((Y1713="")*(INDEX(Setup!$M$6:$M$23,6)="Y")))</f>
        <v/>
      </c>
      <c r="AC1713" s="91">
        <f>IF($B1713="","",IF(AB1713=0,"✓ covered","⚠ "&amp;AB1713&amp;IF(AB1713=1," gap"," gaps")))</f>
        <v/>
      </c>
    </row>
    <row r="1714" ht="17" customHeight="1">
      <c r="A1714" t="n">
        <v>35</v>
      </c>
      <c r="B1714" s="24">
        <f>IF(Setup!$K$12="","",Setup!$K$12)</f>
        <v/>
      </c>
      <c r="C1714" s="88" t="n"/>
      <c r="D1714" s="88" t="n"/>
      <c r="E1714" s="88" t="n"/>
      <c r="F1714" s="89" t="n"/>
      <c r="G1714" s="88" t="n"/>
      <c r="H1714" s="88" t="n"/>
      <c r="I1714" s="88" t="n"/>
      <c r="J1714" s="89" t="n"/>
      <c r="K1714" s="88" t="n"/>
      <c r="L1714" s="88" t="n"/>
      <c r="M1714" s="88" t="n"/>
      <c r="N1714" s="89" t="n"/>
      <c r="O1714" s="88" t="n"/>
      <c r="P1714" s="88" t="n"/>
      <c r="Q1714" s="88" t="n"/>
      <c r="R1714" s="89" t="n"/>
      <c r="S1714" s="88" t="n"/>
      <c r="T1714" s="88" t="n"/>
      <c r="U1714" s="88" t="n"/>
      <c r="V1714" s="89" t="n"/>
      <c r="W1714" s="88" t="n"/>
      <c r="X1714" s="89" t="n"/>
      <c r="Y1714" s="88" t="n"/>
      <c r="Z1714" s="89" t="n"/>
      <c r="AB1714" s="25">
        <f>IF($B1714="","",(COUNTIF(C1714:E1714,"?*")&lt;N(INDEX(Setup!$L$6:$L$23,7)))+(COUNTIF(G1714:I1714,"?*")&lt;N(INDEX(Setup!$L$6:$L$23,7)))+(COUNTIF(K1714:M1714,"?*")&lt;N(INDEX(Setup!$L$6:$L$23,7)))+(COUNTIF(O1714:Q1714,"?*")&lt;N(INDEX(Setup!$L$6:$L$23,7)))+(COUNTIF(S1714:U1714,"?*")&lt;N(INDEX(Setup!$L$6:$L$23,7)))+((W1714="")*(INDEX(Setup!$M$6:$M$23,7)="Y"))+((Y1714="")*(INDEX(Setup!$M$6:$M$23,7)="Y")))</f>
        <v/>
      </c>
      <c r="AC1714" s="90">
        <f>IF($B1714="","",IF(AB1714=0,"✓ covered","⚠ "&amp;AB1714&amp;IF(AB1714=1," gap"," gaps")))</f>
        <v/>
      </c>
    </row>
    <row r="1715" ht="17" customHeight="1">
      <c r="A1715" t="n">
        <v>35</v>
      </c>
      <c r="B1715" s="29">
        <f>IF(Setup!$K$13="","",Setup!$K$13)</f>
        <v/>
      </c>
      <c r="C1715" s="88" t="n"/>
      <c r="D1715" s="88" t="n"/>
      <c r="E1715" s="88" t="n"/>
      <c r="F1715" s="89" t="n"/>
      <c r="G1715" s="88" t="n"/>
      <c r="H1715" s="88" t="n"/>
      <c r="I1715" s="88" t="n"/>
      <c r="J1715" s="89" t="n"/>
      <c r="K1715" s="88" t="n"/>
      <c r="L1715" s="88" t="n"/>
      <c r="M1715" s="88" t="n"/>
      <c r="N1715" s="89" t="n"/>
      <c r="O1715" s="88" t="n"/>
      <c r="P1715" s="88" t="n"/>
      <c r="Q1715" s="88" t="n"/>
      <c r="R1715" s="89" t="n"/>
      <c r="S1715" s="88" t="n"/>
      <c r="T1715" s="88" t="n"/>
      <c r="U1715" s="88" t="n"/>
      <c r="V1715" s="89" t="n"/>
      <c r="W1715" s="88" t="n"/>
      <c r="X1715" s="89" t="n"/>
      <c r="Y1715" s="88" t="n"/>
      <c r="Z1715" s="89" t="n"/>
      <c r="AB1715" s="30">
        <f>IF($B1715="","",(COUNTIF(C1715:E1715,"?*")&lt;N(INDEX(Setup!$L$6:$L$23,8)))+(COUNTIF(G1715:I1715,"?*")&lt;N(INDEX(Setup!$L$6:$L$23,8)))+(COUNTIF(K1715:M1715,"?*")&lt;N(INDEX(Setup!$L$6:$L$23,8)))+(COUNTIF(O1715:Q1715,"?*")&lt;N(INDEX(Setup!$L$6:$L$23,8)))+(COUNTIF(S1715:U1715,"?*")&lt;N(INDEX(Setup!$L$6:$L$23,8)))+((W1715="")*(INDEX(Setup!$M$6:$M$23,8)="Y"))+((Y1715="")*(INDEX(Setup!$M$6:$M$23,8)="Y")))</f>
        <v/>
      </c>
      <c r="AC1715" s="91">
        <f>IF($B1715="","",IF(AB1715=0,"✓ covered","⚠ "&amp;AB1715&amp;IF(AB1715=1," gap"," gaps")))</f>
        <v/>
      </c>
    </row>
    <row r="1716" ht="17" customHeight="1">
      <c r="A1716" t="n">
        <v>35</v>
      </c>
      <c r="B1716" s="24">
        <f>IF(Setup!$K$14="","",Setup!$K$14)</f>
        <v/>
      </c>
      <c r="C1716" s="88" t="n"/>
      <c r="D1716" s="88" t="n"/>
      <c r="E1716" s="88" t="n"/>
      <c r="F1716" s="89" t="n"/>
      <c r="G1716" s="88" t="n"/>
      <c r="H1716" s="88" t="n"/>
      <c r="I1716" s="88" t="n"/>
      <c r="J1716" s="89" t="n"/>
      <c r="K1716" s="88" t="n"/>
      <c r="L1716" s="88" t="n"/>
      <c r="M1716" s="88" t="n"/>
      <c r="N1716" s="89" t="n"/>
      <c r="O1716" s="88" t="n"/>
      <c r="P1716" s="88" t="n"/>
      <c r="Q1716" s="88" t="n"/>
      <c r="R1716" s="89" t="n"/>
      <c r="S1716" s="88" t="n"/>
      <c r="T1716" s="88" t="n"/>
      <c r="U1716" s="88" t="n"/>
      <c r="V1716" s="89" t="n"/>
      <c r="W1716" s="88" t="n"/>
      <c r="X1716" s="89" t="n"/>
      <c r="Y1716" s="88" t="n"/>
      <c r="Z1716" s="89" t="n"/>
      <c r="AB1716" s="25">
        <f>IF($B1716="","",(COUNTIF(C1716:E1716,"?*")&lt;N(INDEX(Setup!$L$6:$L$23,9)))+(COUNTIF(G1716:I1716,"?*")&lt;N(INDEX(Setup!$L$6:$L$23,9)))+(COUNTIF(K1716:M1716,"?*")&lt;N(INDEX(Setup!$L$6:$L$23,9)))+(COUNTIF(O1716:Q1716,"?*")&lt;N(INDEX(Setup!$L$6:$L$23,9)))+(COUNTIF(S1716:U1716,"?*")&lt;N(INDEX(Setup!$L$6:$L$23,9)))+((W1716="")*(INDEX(Setup!$M$6:$M$23,9)="Y"))+((Y1716="")*(INDEX(Setup!$M$6:$M$23,9)="Y")))</f>
        <v/>
      </c>
      <c r="AC1716" s="90">
        <f>IF($B1716="","",IF(AB1716=0,"✓ covered","⚠ "&amp;AB1716&amp;IF(AB1716=1," gap"," gaps")))</f>
        <v/>
      </c>
    </row>
    <row r="1717" ht="17" customHeight="1">
      <c r="A1717" t="n">
        <v>35</v>
      </c>
      <c r="B1717" s="29">
        <f>IF(Setup!$K$15="","",Setup!$K$15)</f>
        <v/>
      </c>
      <c r="C1717" s="88" t="n"/>
      <c r="D1717" s="88" t="n"/>
      <c r="E1717" s="88" t="n"/>
      <c r="F1717" s="89" t="n"/>
      <c r="G1717" s="88" t="n"/>
      <c r="H1717" s="88" t="n"/>
      <c r="I1717" s="88" t="n"/>
      <c r="J1717" s="89" t="n"/>
      <c r="K1717" s="88" t="n"/>
      <c r="L1717" s="88" t="n"/>
      <c r="M1717" s="88" t="n"/>
      <c r="N1717" s="89" t="n"/>
      <c r="O1717" s="88" t="n"/>
      <c r="P1717" s="88" t="n"/>
      <c r="Q1717" s="88" t="n"/>
      <c r="R1717" s="89" t="n"/>
      <c r="S1717" s="88" t="n"/>
      <c r="T1717" s="88" t="n"/>
      <c r="U1717" s="88" t="n"/>
      <c r="V1717" s="89" t="n"/>
      <c r="W1717" s="88" t="n"/>
      <c r="X1717" s="89" t="n"/>
      <c r="Y1717" s="88" t="n"/>
      <c r="Z1717" s="89" t="n"/>
      <c r="AB1717" s="30">
        <f>IF($B1717="","",(COUNTIF(C1717:E1717,"?*")&lt;N(INDEX(Setup!$L$6:$L$23,10)))+(COUNTIF(G1717:I1717,"?*")&lt;N(INDEX(Setup!$L$6:$L$23,10)))+(COUNTIF(K1717:M1717,"?*")&lt;N(INDEX(Setup!$L$6:$L$23,10)))+(COUNTIF(O1717:Q1717,"?*")&lt;N(INDEX(Setup!$L$6:$L$23,10)))+(COUNTIF(S1717:U1717,"?*")&lt;N(INDEX(Setup!$L$6:$L$23,10)))+((W1717="")*(INDEX(Setup!$M$6:$M$23,10)="Y"))+((Y1717="")*(INDEX(Setup!$M$6:$M$23,10)="Y")))</f>
        <v/>
      </c>
      <c r="AC1717" s="91">
        <f>IF($B1717="","",IF(AB1717=0,"✓ covered","⚠ "&amp;AB1717&amp;IF(AB1717=1," gap"," gaps")))</f>
        <v/>
      </c>
    </row>
    <row r="1718" ht="17" customHeight="1">
      <c r="A1718" t="n">
        <v>35</v>
      </c>
      <c r="B1718" s="24">
        <f>IF(Setup!$K$16="","",Setup!$K$16)</f>
        <v/>
      </c>
      <c r="C1718" s="88" t="n"/>
      <c r="D1718" s="88" t="n"/>
      <c r="E1718" s="88" t="n"/>
      <c r="F1718" s="89" t="n"/>
      <c r="G1718" s="88" t="n"/>
      <c r="H1718" s="88" t="n"/>
      <c r="I1718" s="88" t="n"/>
      <c r="J1718" s="89" t="n"/>
      <c r="K1718" s="88" t="n"/>
      <c r="L1718" s="88" t="n"/>
      <c r="M1718" s="88" t="n"/>
      <c r="N1718" s="89" t="n"/>
      <c r="O1718" s="88" t="n"/>
      <c r="P1718" s="88" t="n"/>
      <c r="Q1718" s="88" t="n"/>
      <c r="R1718" s="89" t="n"/>
      <c r="S1718" s="88" t="n"/>
      <c r="T1718" s="88" t="n"/>
      <c r="U1718" s="88" t="n"/>
      <c r="V1718" s="89" t="n"/>
      <c r="W1718" s="88" t="n"/>
      <c r="X1718" s="89" t="n"/>
      <c r="Y1718" s="88" t="n"/>
      <c r="Z1718" s="89" t="n"/>
      <c r="AB1718" s="25">
        <f>IF($B1718="","",(COUNTIF(C1718:E1718,"?*")&lt;N(INDEX(Setup!$L$6:$L$23,11)))+(COUNTIF(G1718:I1718,"?*")&lt;N(INDEX(Setup!$L$6:$L$23,11)))+(COUNTIF(K1718:M1718,"?*")&lt;N(INDEX(Setup!$L$6:$L$23,11)))+(COUNTIF(O1718:Q1718,"?*")&lt;N(INDEX(Setup!$L$6:$L$23,11)))+(COUNTIF(S1718:U1718,"?*")&lt;N(INDEX(Setup!$L$6:$L$23,11)))+((W1718="")*(INDEX(Setup!$M$6:$M$23,11)="Y"))+((Y1718="")*(INDEX(Setup!$M$6:$M$23,11)="Y")))</f>
        <v/>
      </c>
      <c r="AC1718" s="90">
        <f>IF($B1718="","",IF(AB1718=0,"✓ covered","⚠ "&amp;AB1718&amp;IF(AB1718=1," gap"," gaps")))</f>
        <v/>
      </c>
    </row>
    <row r="1719" ht="17" customHeight="1">
      <c r="A1719" t="n">
        <v>35</v>
      </c>
      <c r="B1719" s="29">
        <f>IF(Setup!$K$17="","",Setup!$K$17)</f>
        <v/>
      </c>
      <c r="C1719" s="88" t="n"/>
      <c r="D1719" s="88" t="n"/>
      <c r="E1719" s="88" t="n"/>
      <c r="F1719" s="89" t="n"/>
      <c r="G1719" s="88" t="n"/>
      <c r="H1719" s="88" t="n"/>
      <c r="I1719" s="88" t="n"/>
      <c r="J1719" s="89" t="n"/>
      <c r="K1719" s="88" t="n"/>
      <c r="L1719" s="88" t="n"/>
      <c r="M1719" s="88" t="n"/>
      <c r="N1719" s="89" t="n"/>
      <c r="O1719" s="88" t="n"/>
      <c r="P1719" s="88" t="n"/>
      <c r="Q1719" s="88" t="n"/>
      <c r="R1719" s="89" t="n"/>
      <c r="S1719" s="88" t="n"/>
      <c r="T1719" s="88" t="n"/>
      <c r="U1719" s="88" t="n"/>
      <c r="V1719" s="89" t="n"/>
      <c r="W1719" s="88" t="n"/>
      <c r="X1719" s="89" t="n"/>
      <c r="Y1719" s="88" t="n"/>
      <c r="Z1719" s="89" t="n"/>
      <c r="AB1719" s="30">
        <f>IF($B1719="","",(COUNTIF(C1719:E1719,"?*")&lt;N(INDEX(Setup!$L$6:$L$23,12)))+(COUNTIF(G1719:I1719,"?*")&lt;N(INDEX(Setup!$L$6:$L$23,12)))+(COUNTIF(K1719:M1719,"?*")&lt;N(INDEX(Setup!$L$6:$L$23,12)))+(COUNTIF(O1719:Q1719,"?*")&lt;N(INDEX(Setup!$L$6:$L$23,12)))+(COUNTIF(S1719:U1719,"?*")&lt;N(INDEX(Setup!$L$6:$L$23,12)))+((W1719="")*(INDEX(Setup!$M$6:$M$23,12)="Y"))+((Y1719="")*(INDEX(Setup!$M$6:$M$23,12)="Y")))</f>
        <v/>
      </c>
      <c r="AC1719" s="91">
        <f>IF($B1719="","",IF(AB1719=0,"✓ covered","⚠ "&amp;AB1719&amp;IF(AB1719=1," gap"," gaps")))</f>
        <v/>
      </c>
    </row>
    <row r="1720" ht="17" customHeight="1">
      <c r="A1720" t="n">
        <v>35</v>
      </c>
      <c r="B1720" s="24">
        <f>IF(Setup!$K$18="","",Setup!$K$18)</f>
        <v/>
      </c>
      <c r="C1720" s="88" t="n"/>
      <c r="D1720" s="88" t="n"/>
      <c r="E1720" s="88" t="n"/>
      <c r="F1720" s="89" t="n"/>
      <c r="G1720" s="88" t="n"/>
      <c r="H1720" s="88" t="n"/>
      <c r="I1720" s="88" t="n"/>
      <c r="J1720" s="89" t="n"/>
      <c r="K1720" s="88" t="n"/>
      <c r="L1720" s="88" t="n"/>
      <c r="M1720" s="88" t="n"/>
      <c r="N1720" s="89" t="n"/>
      <c r="O1720" s="88" t="n"/>
      <c r="P1720" s="88" t="n"/>
      <c r="Q1720" s="88" t="n"/>
      <c r="R1720" s="89" t="n"/>
      <c r="S1720" s="88" t="n"/>
      <c r="T1720" s="88" t="n"/>
      <c r="U1720" s="88" t="n"/>
      <c r="V1720" s="89" t="n"/>
      <c r="W1720" s="88" t="n"/>
      <c r="X1720" s="89" t="n"/>
      <c r="Y1720" s="88" t="n"/>
      <c r="Z1720" s="89" t="n"/>
      <c r="AB1720" s="25">
        <f>IF($B1720="","",(COUNTIF(C1720:E1720,"?*")&lt;N(INDEX(Setup!$L$6:$L$23,13)))+(COUNTIF(G1720:I1720,"?*")&lt;N(INDEX(Setup!$L$6:$L$23,13)))+(COUNTIF(K1720:M1720,"?*")&lt;N(INDEX(Setup!$L$6:$L$23,13)))+(COUNTIF(O1720:Q1720,"?*")&lt;N(INDEX(Setup!$L$6:$L$23,13)))+(COUNTIF(S1720:U1720,"?*")&lt;N(INDEX(Setup!$L$6:$L$23,13)))+((W1720="")*(INDEX(Setup!$M$6:$M$23,13)="Y"))+((Y1720="")*(INDEX(Setup!$M$6:$M$23,13)="Y")))</f>
        <v/>
      </c>
      <c r="AC1720" s="90">
        <f>IF($B1720="","",IF(AB1720=0,"✓ covered","⚠ "&amp;AB1720&amp;IF(AB1720=1," gap"," gaps")))</f>
        <v/>
      </c>
    </row>
    <row r="1721" ht="17" customHeight="1">
      <c r="A1721" t="n">
        <v>35</v>
      </c>
      <c r="B1721" s="29">
        <f>IF(Setup!$K$19="","",Setup!$K$19)</f>
        <v/>
      </c>
      <c r="C1721" s="88" t="n"/>
      <c r="D1721" s="88" t="n"/>
      <c r="E1721" s="88" t="n"/>
      <c r="F1721" s="89" t="n"/>
      <c r="G1721" s="88" t="n"/>
      <c r="H1721" s="88" t="n"/>
      <c r="I1721" s="88" t="n"/>
      <c r="J1721" s="89" t="n"/>
      <c r="K1721" s="88" t="n"/>
      <c r="L1721" s="88" t="n"/>
      <c r="M1721" s="88" t="n"/>
      <c r="N1721" s="89" t="n"/>
      <c r="O1721" s="88" t="n"/>
      <c r="P1721" s="88" t="n"/>
      <c r="Q1721" s="88" t="n"/>
      <c r="R1721" s="89" t="n"/>
      <c r="S1721" s="88" t="n"/>
      <c r="T1721" s="88" t="n"/>
      <c r="U1721" s="88" t="n"/>
      <c r="V1721" s="89" t="n"/>
      <c r="W1721" s="88" t="n"/>
      <c r="X1721" s="89" t="n"/>
      <c r="Y1721" s="88" t="n"/>
      <c r="Z1721" s="89" t="n"/>
      <c r="AB1721" s="30">
        <f>IF($B1721="","",(COUNTIF(C1721:E1721,"?*")&lt;N(INDEX(Setup!$L$6:$L$23,14)))+(COUNTIF(G1721:I1721,"?*")&lt;N(INDEX(Setup!$L$6:$L$23,14)))+(COUNTIF(K1721:M1721,"?*")&lt;N(INDEX(Setup!$L$6:$L$23,14)))+(COUNTIF(O1721:Q1721,"?*")&lt;N(INDEX(Setup!$L$6:$L$23,14)))+(COUNTIF(S1721:U1721,"?*")&lt;N(INDEX(Setup!$L$6:$L$23,14)))+((W1721="")*(INDEX(Setup!$M$6:$M$23,14)="Y"))+((Y1721="")*(INDEX(Setup!$M$6:$M$23,14)="Y")))</f>
        <v/>
      </c>
      <c r="AC1721" s="91">
        <f>IF($B1721="","",IF(AB1721=0,"✓ covered","⚠ "&amp;AB1721&amp;IF(AB1721=1," gap"," gaps")))</f>
        <v/>
      </c>
    </row>
    <row r="1722" ht="17" customHeight="1">
      <c r="A1722" t="n">
        <v>35</v>
      </c>
      <c r="B1722" s="24">
        <f>IF(Setup!$K$20="","",Setup!$K$20)</f>
        <v/>
      </c>
      <c r="C1722" s="88" t="n"/>
      <c r="D1722" s="88" t="n"/>
      <c r="E1722" s="88" t="n"/>
      <c r="F1722" s="89" t="n"/>
      <c r="G1722" s="88" t="n"/>
      <c r="H1722" s="88" t="n"/>
      <c r="I1722" s="88" t="n"/>
      <c r="J1722" s="89" t="n"/>
      <c r="K1722" s="88" t="n"/>
      <c r="L1722" s="88" t="n"/>
      <c r="M1722" s="88" t="n"/>
      <c r="N1722" s="89" t="n"/>
      <c r="O1722" s="88" t="n"/>
      <c r="P1722" s="88" t="n"/>
      <c r="Q1722" s="88" t="n"/>
      <c r="R1722" s="89" t="n"/>
      <c r="S1722" s="88" t="n"/>
      <c r="T1722" s="88" t="n"/>
      <c r="U1722" s="88" t="n"/>
      <c r="V1722" s="89" t="n"/>
      <c r="W1722" s="88" t="n"/>
      <c r="X1722" s="89" t="n"/>
      <c r="Y1722" s="88" t="n"/>
      <c r="Z1722" s="89" t="n"/>
      <c r="AB1722" s="25">
        <f>IF($B1722="","",(COUNTIF(C1722:E1722,"?*")&lt;N(INDEX(Setup!$L$6:$L$23,15)))+(COUNTIF(G1722:I1722,"?*")&lt;N(INDEX(Setup!$L$6:$L$23,15)))+(COUNTIF(K1722:M1722,"?*")&lt;N(INDEX(Setup!$L$6:$L$23,15)))+(COUNTIF(O1722:Q1722,"?*")&lt;N(INDEX(Setup!$L$6:$L$23,15)))+(COUNTIF(S1722:U1722,"?*")&lt;N(INDEX(Setup!$L$6:$L$23,15)))+((W1722="")*(INDEX(Setup!$M$6:$M$23,15)="Y"))+((Y1722="")*(INDEX(Setup!$M$6:$M$23,15)="Y")))</f>
        <v/>
      </c>
      <c r="AC1722" s="90">
        <f>IF($B1722="","",IF(AB1722=0,"✓ covered","⚠ "&amp;AB1722&amp;IF(AB1722=1," gap"," gaps")))</f>
        <v/>
      </c>
    </row>
    <row r="1723" ht="17" customHeight="1">
      <c r="A1723" t="n">
        <v>35</v>
      </c>
      <c r="B1723" s="29">
        <f>IF(Setup!$K$21="","",Setup!$K$21)</f>
        <v/>
      </c>
      <c r="C1723" s="88" t="n"/>
      <c r="D1723" s="88" t="n"/>
      <c r="E1723" s="88" t="n"/>
      <c r="F1723" s="89" t="n"/>
      <c r="G1723" s="88" t="n"/>
      <c r="H1723" s="88" t="n"/>
      <c r="I1723" s="88" t="n"/>
      <c r="J1723" s="89" t="n"/>
      <c r="K1723" s="88" t="n"/>
      <c r="L1723" s="88" t="n"/>
      <c r="M1723" s="88" t="n"/>
      <c r="N1723" s="89" t="n"/>
      <c r="O1723" s="88" t="n"/>
      <c r="P1723" s="88" t="n"/>
      <c r="Q1723" s="88" t="n"/>
      <c r="R1723" s="89" t="n"/>
      <c r="S1723" s="88" t="n"/>
      <c r="T1723" s="88" t="n"/>
      <c r="U1723" s="88" t="n"/>
      <c r="V1723" s="89" t="n"/>
      <c r="W1723" s="88" t="n"/>
      <c r="X1723" s="89" t="n"/>
      <c r="Y1723" s="88" t="n"/>
      <c r="Z1723" s="89" t="n"/>
      <c r="AB1723" s="30">
        <f>IF($B1723="","",(COUNTIF(C1723:E1723,"?*")&lt;N(INDEX(Setup!$L$6:$L$23,16)))+(COUNTIF(G1723:I1723,"?*")&lt;N(INDEX(Setup!$L$6:$L$23,16)))+(COUNTIF(K1723:M1723,"?*")&lt;N(INDEX(Setup!$L$6:$L$23,16)))+(COUNTIF(O1723:Q1723,"?*")&lt;N(INDEX(Setup!$L$6:$L$23,16)))+(COUNTIF(S1723:U1723,"?*")&lt;N(INDEX(Setup!$L$6:$L$23,16)))+((W1723="")*(INDEX(Setup!$M$6:$M$23,16)="Y"))+((Y1723="")*(INDEX(Setup!$M$6:$M$23,16)="Y")))</f>
        <v/>
      </c>
      <c r="AC1723" s="91">
        <f>IF($B1723="","",IF(AB1723=0,"✓ covered","⚠ "&amp;AB1723&amp;IF(AB1723=1," gap"," gaps")))</f>
        <v/>
      </c>
    </row>
    <row r="1724" ht="17" customHeight="1">
      <c r="A1724" t="n">
        <v>35</v>
      </c>
      <c r="B1724" s="24">
        <f>IF(Setup!$K$22="","",Setup!$K$22)</f>
        <v/>
      </c>
      <c r="C1724" s="88" t="n"/>
      <c r="D1724" s="88" t="n"/>
      <c r="E1724" s="88" t="n"/>
      <c r="F1724" s="89" t="n"/>
      <c r="G1724" s="88" t="n"/>
      <c r="H1724" s="88" t="n"/>
      <c r="I1724" s="88" t="n"/>
      <c r="J1724" s="89" t="n"/>
      <c r="K1724" s="88" t="n"/>
      <c r="L1724" s="88" t="n"/>
      <c r="M1724" s="88" t="n"/>
      <c r="N1724" s="89" t="n"/>
      <c r="O1724" s="88" t="n"/>
      <c r="P1724" s="88" t="n"/>
      <c r="Q1724" s="88" t="n"/>
      <c r="R1724" s="89" t="n"/>
      <c r="S1724" s="88" t="n"/>
      <c r="T1724" s="88" t="n"/>
      <c r="U1724" s="88" t="n"/>
      <c r="V1724" s="89" t="n"/>
      <c r="W1724" s="88" t="n"/>
      <c r="X1724" s="89" t="n"/>
      <c r="Y1724" s="88" t="n"/>
      <c r="Z1724" s="89" t="n"/>
      <c r="AB1724" s="25">
        <f>IF($B1724="","",(COUNTIF(C1724:E1724,"?*")&lt;N(INDEX(Setup!$L$6:$L$23,17)))+(COUNTIF(G1724:I1724,"?*")&lt;N(INDEX(Setup!$L$6:$L$23,17)))+(COUNTIF(K1724:M1724,"?*")&lt;N(INDEX(Setup!$L$6:$L$23,17)))+(COUNTIF(O1724:Q1724,"?*")&lt;N(INDEX(Setup!$L$6:$L$23,17)))+(COUNTIF(S1724:U1724,"?*")&lt;N(INDEX(Setup!$L$6:$L$23,17)))+((W1724="")*(INDEX(Setup!$M$6:$M$23,17)="Y"))+((Y1724="")*(INDEX(Setup!$M$6:$M$23,17)="Y")))</f>
        <v/>
      </c>
      <c r="AC1724" s="90">
        <f>IF($B1724="","",IF(AB1724=0,"✓ covered","⚠ "&amp;AB1724&amp;IF(AB1724=1," gap"," gaps")))</f>
        <v/>
      </c>
    </row>
    <row r="1725" ht="17" customHeight="1">
      <c r="A1725" t="n">
        <v>35</v>
      </c>
      <c r="B1725" s="29">
        <f>IF(Setup!$K$23="","",Setup!$K$23)</f>
        <v/>
      </c>
      <c r="C1725" s="88" t="n"/>
      <c r="D1725" s="88" t="n"/>
      <c r="E1725" s="88" t="n"/>
      <c r="F1725" s="89" t="n"/>
      <c r="G1725" s="88" t="n"/>
      <c r="H1725" s="88" t="n"/>
      <c r="I1725" s="88" t="n"/>
      <c r="J1725" s="89" t="n"/>
      <c r="K1725" s="88" t="n"/>
      <c r="L1725" s="88" t="n"/>
      <c r="M1725" s="88" t="n"/>
      <c r="N1725" s="89" t="n"/>
      <c r="O1725" s="88" t="n"/>
      <c r="P1725" s="88" t="n"/>
      <c r="Q1725" s="88" t="n"/>
      <c r="R1725" s="89" t="n"/>
      <c r="S1725" s="88" t="n"/>
      <c r="T1725" s="88" t="n"/>
      <c r="U1725" s="88" t="n"/>
      <c r="V1725" s="89" t="n"/>
      <c r="W1725" s="88" t="n"/>
      <c r="X1725" s="89" t="n"/>
      <c r="Y1725" s="88" t="n"/>
      <c r="Z1725" s="89" t="n"/>
      <c r="AB1725" s="30">
        <f>IF($B1725="","",(COUNTIF(C1725:E1725,"?*")&lt;N(INDEX(Setup!$L$6:$L$23,18)))+(COUNTIF(G1725:I1725,"?*")&lt;N(INDEX(Setup!$L$6:$L$23,18)))+(COUNTIF(K1725:M1725,"?*")&lt;N(INDEX(Setup!$L$6:$L$23,18)))+(COUNTIF(O1725:Q1725,"?*")&lt;N(INDEX(Setup!$L$6:$L$23,18)))+(COUNTIF(S1725:U1725,"?*")&lt;N(INDEX(Setup!$L$6:$L$23,18)))+((W1725="")*(INDEX(Setup!$M$6:$M$23,18)="Y"))+((Y1725="")*(INDEX(Setup!$M$6:$M$23,18)="Y")))</f>
        <v/>
      </c>
      <c r="AC1725" s="91">
        <f>IF($B1725="","",IF(AB1725=0,"✓ covered","⚠ "&amp;AB1725&amp;IF(AB1725=1," gap"," gaps")))</f>
        <v/>
      </c>
    </row>
    <row r="1726" ht="18" customHeight="1">
      <c r="A1726" t="n">
        <v>35</v>
      </c>
      <c r="B1726" s="78" t="inlineStr">
        <is>
          <t>TEAM AVAILABILITY</t>
        </is>
      </c>
      <c r="C1726" s="92" t="inlineStr">
        <is>
          <t>Mon</t>
        </is>
      </c>
      <c r="D1726" s="93" t="n"/>
      <c r="E1726" s="93" t="n"/>
      <c r="F1726" s="94" t="n"/>
      <c r="G1726" s="92" t="inlineStr">
        <is>
          <t>Tue</t>
        </is>
      </c>
      <c r="H1726" s="93" t="n"/>
      <c r="I1726" s="93" t="n"/>
      <c r="J1726" s="94" t="n"/>
      <c r="K1726" s="92" t="inlineStr">
        <is>
          <t>Wed</t>
        </is>
      </c>
      <c r="L1726" s="93" t="n"/>
      <c r="M1726" s="93" t="n"/>
      <c r="N1726" s="94" t="n"/>
      <c r="O1726" s="92" t="inlineStr">
        <is>
          <t>Thu</t>
        </is>
      </c>
      <c r="P1726" s="93" t="n"/>
      <c r="Q1726" s="93" t="n"/>
      <c r="R1726" s="94" t="n"/>
      <c r="S1726" s="92" t="inlineStr">
        <is>
          <t>Fri</t>
        </is>
      </c>
      <c r="T1726" s="93" t="n"/>
      <c r="U1726" s="93" t="n"/>
      <c r="V1726" s="94" t="n"/>
      <c r="W1726" s="95" t="inlineStr">
        <is>
          <t>Sat</t>
        </is>
      </c>
      <c r="X1726" s="96" t="n"/>
      <c r="Y1726" s="95" t="inlineStr">
        <is>
          <t>Sun</t>
        </is>
      </c>
      <c r="Z1726" s="96" t="n"/>
      <c r="AB1726" s="97" t="inlineStr">
        <is>
          <t>Days rostered</t>
        </is>
      </c>
      <c r="AC1726" s="97" t="inlineStr">
        <is>
          <t>Conflicts</t>
        </is>
      </c>
    </row>
    <row r="1727" ht="15" customHeight="1">
      <c r="A1727" t="n">
        <v>35</v>
      </c>
      <c r="B1727" s="35">
        <f>IF(Setup!$B$6="","",Setup!$B$6)</f>
        <v/>
      </c>
      <c r="C1727" s="98" t="n"/>
      <c r="D1727" s="99" t="n"/>
      <c r="E1727" s="99" t="n"/>
      <c r="F1727" s="100" t="n"/>
      <c r="G1727" s="98" t="n"/>
      <c r="H1727" s="99" t="n"/>
      <c r="I1727" s="99" t="n"/>
      <c r="J1727" s="100" t="n"/>
      <c r="K1727" s="98" t="n"/>
      <c r="L1727" s="99" t="n"/>
      <c r="M1727" s="99" t="n"/>
      <c r="N1727" s="100" t="n"/>
      <c r="O1727" s="98" t="n"/>
      <c r="P1727" s="99" t="n"/>
      <c r="Q1727" s="99" t="n"/>
      <c r="R1727" s="100" t="n"/>
      <c r="S1727" s="98" t="n"/>
      <c r="T1727" s="99" t="n"/>
      <c r="U1727" s="99" t="n"/>
      <c r="V1727" s="100" t="n"/>
      <c r="W1727" s="98" t="n"/>
      <c r="X1727" s="100" t="n"/>
      <c r="Y1727" s="98" t="n"/>
      <c r="Z1727" s="100" t="n"/>
      <c r="AB1727" s="101">
        <f>IF($B1727="","",(COUNTIF(C1708:E1725,$B1727)+COUNTIF(C1708:E1725,$B1727&amp;" ~*")&gt;0)+(COUNTIF(G1708:I1725,$B1727)+COUNTIF(G1708:I1725,$B1727&amp;" ~*")&gt;0)+(COUNTIF(K1708:M1725,$B1727)+COUNTIF(K1708:M1725,$B1727&amp;" ~*")&gt;0)+(COUNTIF(O1708:Q1725,$B1727)+COUNTIF(O1708:Q1725,$B1727&amp;" ~*")&gt;0)+(COUNTIF(S1708:U1725,$B1727)+COUNTIF(S1708:U1725,$B1727&amp;" ~*")&gt;0)+(COUNTIF(W1708:W1725,$B1727)+COUNTIF(W1708:W1725,$B1727&amp;" ~*")&gt;0)+(COUNTIF(Y1708:Y1725,$B1727)+COUNTIF(Y1708:Y1725,$B1727&amp;" ~*")&gt;0))</f>
        <v/>
      </c>
      <c r="AC1727" s="36">
        <f>IF($B1727="","",(IFERROR(INDEX(Setup!$G$33:$G$40,MATCH(C1727,Setup!$B$33:$B$40,0)),0)=1)*(COUNTIF(C1708:E1725,$B1727)+COUNTIF(C1708:E1725,$B1727&amp;" ~*")&gt;0)+(IFERROR(INDEX(Setup!$G$33:$G$40,MATCH(G1727,Setup!$B$33:$B$40,0)),0)=1)*(COUNTIF(G1708:I1725,$B1727)+COUNTIF(G1708:I1725,$B1727&amp;" ~*")&gt;0)+(IFERROR(INDEX(Setup!$G$33:$G$40,MATCH(K1727,Setup!$B$33:$B$40,0)),0)=1)*(COUNTIF(K1708:M1725,$B1727)+COUNTIF(K1708:M1725,$B1727&amp;" ~*")&gt;0)+(IFERROR(INDEX(Setup!$G$33:$G$40,MATCH(O1727,Setup!$B$33:$B$40,0)),0)=1)*(COUNTIF(O1708:Q1725,$B1727)+COUNTIF(O1708:Q1725,$B1727&amp;" ~*")&gt;0)+(IFERROR(INDEX(Setup!$G$33:$G$40,MATCH(S1727,Setup!$B$33:$B$40,0)),0)=1)*(COUNTIF(S1708:U1725,$B1727)+COUNTIF(S1708:U1725,$B1727&amp;" ~*")&gt;0)+(IFERROR(INDEX(Setup!$G$33:$G$40,MATCH(W1727,Setup!$B$33:$B$40,0)),0)=1)*(COUNTIF(W1708:W1725,$B1727)+COUNTIF(W1708:W1725,$B1727&amp;" ~*")&gt;0)+(IFERROR(INDEX(Setup!$G$33:$G$40,MATCH(Y1727,Setup!$B$33:$B$40,0)),0)=1)*(COUNTIF(Y1708:Y1725,$B1727)+COUNTIF(Y1708:Y1725,$B1727&amp;" ~*")&gt;0))</f>
        <v/>
      </c>
    </row>
    <row r="1728" ht="15" customHeight="1">
      <c r="A1728" t="n">
        <v>35</v>
      </c>
      <c r="B1728" s="37">
        <f>IF(Setup!$B$7="","",Setup!$B$7)</f>
        <v/>
      </c>
      <c r="C1728" s="102" t="n"/>
      <c r="D1728" s="103" t="n"/>
      <c r="E1728" s="103" t="n"/>
      <c r="F1728" s="104" t="n"/>
      <c r="G1728" s="102" t="n"/>
      <c r="H1728" s="103" t="n"/>
      <c r="I1728" s="103" t="n"/>
      <c r="J1728" s="104" t="n"/>
      <c r="K1728" s="102" t="n"/>
      <c r="L1728" s="103" t="n"/>
      <c r="M1728" s="103" t="n"/>
      <c r="N1728" s="104" t="n"/>
      <c r="O1728" s="102" t="n"/>
      <c r="P1728" s="103" t="n"/>
      <c r="Q1728" s="103" t="n"/>
      <c r="R1728" s="104" t="n"/>
      <c r="S1728" s="102" t="n"/>
      <c r="T1728" s="103" t="n"/>
      <c r="U1728" s="103" t="n"/>
      <c r="V1728" s="104" t="n"/>
      <c r="W1728" s="102" t="n"/>
      <c r="X1728" s="104" t="n"/>
      <c r="Y1728" s="102" t="n"/>
      <c r="Z1728" s="104" t="n"/>
      <c r="AB1728" s="105">
        <f>IF($B1728="","",(COUNTIF(C1708:E1725,$B1728)+COUNTIF(C1708:E1725,$B1728&amp;" ~*")&gt;0)+(COUNTIF(G1708:I1725,$B1728)+COUNTIF(G1708:I1725,$B1728&amp;" ~*")&gt;0)+(COUNTIF(K1708:M1725,$B1728)+COUNTIF(K1708:M1725,$B1728&amp;" ~*")&gt;0)+(COUNTIF(O1708:Q1725,$B1728)+COUNTIF(O1708:Q1725,$B1728&amp;" ~*")&gt;0)+(COUNTIF(S1708:U1725,$B1728)+COUNTIF(S1708:U1725,$B1728&amp;" ~*")&gt;0)+(COUNTIF(W1708:W1725,$B1728)+COUNTIF(W1708:W1725,$B1728&amp;" ~*")&gt;0)+(COUNTIF(Y1708:Y1725,$B1728)+COUNTIF(Y1708:Y1725,$B1728&amp;" ~*")&gt;0))</f>
        <v/>
      </c>
      <c r="AC1728" s="38">
        <f>IF($B1728="","",(IFERROR(INDEX(Setup!$G$33:$G$40,MATCH(C1728,Setup!$B$33:$B$40,0)),0)=1)*(COUNTIF(C1708:E1725,$B1728)+COUNTIF(C1708:E1725,$B1728&amp;" ~*")&gt;0)+(IFERROR(INDEX(Setup!$G$33:$G$40,MATCH(G1728,Setup!$B$33:$B$40,0)),0)=1)*(COUNTIF(G1708:I1725,$B1728)+COUNTIF(G1708:I1725,$B1728&amp;" ~*")&gt;0)+(IFERROR(INDEX(Setup!$G$33:$G$40,MATCH(K1728,Setup!$B$33:$B$40,0)),0)=1)*(COUNTIF(K1708:M1725,$B1728)+COUNTIF(K1708:M1725,$B1728&amp;" ~*")&gt;0)+(IFERROR(INDEX(Setup!$G$33:$G$40,MATCH(O1728,Setup!$B$33:$B$40,0)),0)=1)*(COUNTIF(O1708:Q1725,$B1728)+COUNTIF(O1708:Q1725,$B1728&amp;" ~*")&gt;0)+(IFERROR(INDEX(Setup!$G$33:$G$40,MATCH(S1728,Setup!$B$33:$B$40,0)),0)=1)*(COUNTIF(S1708:U1725,$B1728)+COUNTIF(S1708:U1725,$B1728&amp;" ~*")&gt;0)+(IFERROR(INDEX(Setup!$G$33:$G$40,MATCH(W1728,Setup!$B$33:$B$40,0)),0)=1)*(COUNTIF(W1708:W1725,$B1728)+COUNTIF(W1708:W1725,$B1728&amp;" ~*")&gt;0)+(IFERROR(INDEX(Setup!$G$33:$G$40,MATCH(Y1728,Setup!$B$33:$B$40,0)),0)=1)*(COUNTIF(Y1708:Y1725,$B1728)+COUNTIF(Y1708:Y1725,$B1728&amp;" ~*")&gt;0))</f>
        <v/>
      </c>
    </row>
    <row r="1729" ht="15" customHeight="1">
      <c r="A1729" t="n">
        <v>35</v>
      </c>
      <c r="B1729" s="35">
        <f>IF(Setup!$B$8="","",Setup!$B$8)</f>
        <v/>
      </c>
      <c r="C1729" s="98" t="n"/>
      <c r="D1729" s="99" t="n"/>
      <c r="E1729" s="99" t="n"/>
      <c r="F1729" s="100" t="n"/>
      <c r="G1729" s="98" t="n"/>
      <c r="H1729" s="99" t="n"/>
      <c r="I1729" s="99" t="n"/>
      <c r="J1729" s="100" t="n"/>
      <c r="K1729" s="98" t="n"/>
      <c r="L1729" s="99" t="n"/>
      <c r="M1729" s="99" t="n"/>
      <c r="N1729" s="100" t="n"/>
      <c r="O1729" s="98" t="n"/>
      <c r="P1729" s="99" t="n"/>
      <c r="Q1729" s="99" t="n"/>
      <c r="R1729" s="100" t="n"/>
      <c r="S1729" s="98" t="n"/>
      <c r="T1729" s="99" t="n"/>
      <c r="U1729" s="99" t="n"/>
      <c r="V1729" s="100" t="n"/>
      <c r="W1729" s="98" t="n"/>
      <c r="X1729" s="100" t="n"/>
      <c r="Y1729" s="98" t="n"/>
      <c r="Z1729" s="100" t="n"/>
      <c r="AB1729" s="101">
        <f>IF($B1729="","",(COUNTIF(C1708:E1725,$B1729)+COUNTIF(C1708:E1725,$B1729&amp;" ~*")&gt;0)+(COUNTIF(G1708:I1725,$B1729)+COUNTIF(G1708:I1725,$B1729&amp;" ~*")&gt;0)+(COUNTIF(K1708:M1725,$B1729)+COUNTIF(K1708:M1725,$B1729&amp;" ~*")&gt;0)+(COUNTIF(O1708:Q1725,$B1729)+COUNTIF(O1708:Q1725,$B1729&amp;" ~*")&gt;0)+(COUNTIF(S1708:U1725,$B1729)+COUNTIF(S1708:U1725,$B1729&amp;" ~*")&gt;0)+(COUNTIF(W1708:W1725,$B1729)+COUNTIF(W1708:W1725,$B1729&amp;" ~*")&gt;0)+(COUNTIF(Y1708:Y1725,$B1729)+COUNTIF(Y1708:Y1725,$B1729&amp;" ~*")&gt;0))</f>
        <v/>
      </c>
      <c r="AC1729" s="36">
        <f>IF($B1729="","",(IFERROR(INDEX(Setup!$G$33:$G$40,MATCH(C1729,Setup!$B$33:$B$40,0)),0)=1)*(COUNTIF(C1708:E1725,$B1729)+COUNTIF(C1708:E1725,$B1729&amp;" ~*")&gt;0)+(IFERROR(INDEX(Setup!$G$33:$G$40,MATCH(G1729,Setup!$B$33:$B$40,0)),0)=1)*(COUNTIF(G1708:I1725,$B1729)+COUNTIF(G1708:I1725,$B1729&amp;" ~*")&gt;0)+(IFERROR(INDEX(Setup!$G$33:$G$40,MATCH(K1729,Setup!$B$33:$B$40,0)),0)=1)*(COUNTIF(K1708:M1725,$B1729)+COUNTIF(K1708:M1725,$B1729&amp;" ~*")&gt;0)+(IFERROR(INDEX(Setup!$G$33:$G$40,MATCH(O1729,Setup!$B$33:$B$40,0)),0)=1)*(COUNTIF(O1708:Q1725,$B1729)+COUNTIF(O1708:Q1725,$B1729&amp;" ~*")&gt;0)+(IFERROR(INDEX(Setup!$G$33:$G$40,MATCH(S1729,Setup!$B$33:$B$40,0)),0)=1)*(COUNTIF(S1708:U1725,$B1729)+COUNTIF(S1708:U1725,$B1729&amp;" ~*")&gt;0)+(IFERROR(INDEX(Setup!$G$33:$G$40,MATCH(W1729,Setup!$B$33:$B$40,0)),0)=1)*(COUNTIF(W1708:W1725,$B1729)+COUNTIF(W1708:W1725,$B1729&amp;" ~*")&gt;0)+(IFERROR(INDEX(Setup!$G$33:$G$40,MATCH(Y1729,Setup!$B$33:$B$40,0)),0)=1)*(COUNTIF(Y1708:Y1725,$B1729)+COUNTIF(Y1708:Y1725,$B1729&amp;" ~*")&gt;0))</f>
        <v/>
      </c>
    </row>
    <row r="1730" ht="15" customHeight="1">
      <c r="A1730" t="n">
        <v>35</v>
      </c>
      <c r="B1730" s="37">
        <f>IF(Setup!$B$9="","",Setup!$B$9)</f>
        <v/>
      </c>
      <c r="C1730" s="102" t="n"/>
      <c r="D1730" s="103" t="n"/>
      <c r="E1730" s="103" t="n"/>
      <c r="F1730" s="104" t="n"/>
      <c r="G1730" s="102" t="n"/>
      <c r="H1730" s="103" t="n"/>
      <c r="I1730" s="103" t="n"/>
      <c r="J1730" s="104" t="n"/>
      <c r="K1730" s="102" t="n"/>
      <c r="L1730" s="103" t="n"/>
      <c r="M1730" s="103" t="n"/>
      <c r="N1730" s="104" t="n"/>
      <c r="O1730" s="102" t="n"/>
      <c r="P1730" s="103" t="n"/>
      <c r="Q1730" s="103" t="n"/>
      <c r="R1730" s="104" t="n"/>
      <c r="S1730" s="102" t="n"/>
      <c r="T1730" s="103" t="n"/>
      <c r="U1730" s="103" t="n"/>
      <c r="V1730" s="104" t="n"/>
      <c r="W1730" s="102" t="n"/>
      <c r="X1730" s="104" t="n"/>
      <c r="Y1730" s="102" t="n"/>
      <c r="Z1730" s="104" t="n"/>
      <c r="AB1730" s="105">
        <f>IF($B1730="","",(COUNTIF(C1708:E1725,$B1730)+COUNTIF(C1708:E1725,$B1730&amp;" ~*")&gt;0)+(COUNTIF(G1708:I1725,$B1730)+COUNTIF(G1708:I1725,$B1730&amp;" ~*")&gt;0)+(COUNTIF(K1708:M1725,$B1730)+COUNTIF(K1708:M1725,$B1730&amp;" ~*")&gt;0)+(COUNTIF(O1708:Q1725,$B1730)+COUNTIF(O1708:Q1725,$B1730&amp;" ~*")&gt;0)+(COUNTIF(S1708:U1725,$B1730)+COUNTIF(S1708:U1725,$B1730&amp;" ~*")&gt;0)+(COUNTIF(W1708:W1725,$B1730)+COUNTIF(W1708:W1725,$B1730&amp;" ~*")&gt;0)+(COUNTIF(Y1708:Y1725,$B1730)+COUNTIF(Y1708:Y1725,$B1730&amp;" ~*")&gt;0))</f>
        <v/>
      </c>
      <c r="AC1730" s="38">
        <f>IF($B1730="","",(IFERROR(INDEX(Setup!$G$33:$G$40,MATCH(C1730,Setup!$B$33:$B$40,0)),0)=1)*(COUNTIF(C1708:E1725,$B1730)+COUNTIF(C1708:E1725,$B1730&amp;" ~*")&gt;0)+(IFERROR(INDEX(Setup!$G$33:$G$40,MATCH(G1730,Setup!$B$33:$B$40,0)),0)=1)*(COUNTIF(G1708:I1725,$B1730)+COUNTIF(G1708:I1725,$B1730&amp;" ~*")&gt;0)+(IFERROR(INDEX(Setup!$G$33:$G$40,MATCH(K1730,Setup!$B$33:$B$40,0)),0)=1)*(COUNTIF(K1708:M1725,$B1730)+COUNTIF(K1708:M1725,$B1730&amp;" ~*")&gt;0)+(IFERROR(INDEX(Setup!$G$33:$G$40,MATCH(O1730,Setup!$B$33:$B$40,0)),0)=1)*(COUNTIF(O1708:Q1725,$B1730)+COUNTIF(O1708:Q1725,$B1730&amp;" ~*")&gt;0)+(IFERROR(INDEX(Setup!$G$33:$G$40,MATCH(S1730,Setup!$B$33:$B$40,0)),0)=1)*(COUNTIF(S1708:U1725,$B1730)+COUNTIF(S1708:U1725,$B1730&amp;" ~*")&gt;0)+(IFERROR(INDEX(Setup!$G$33:$G$40,MATCH(W1730,Setup!$B$33:$B$40,0)),0)=1)*(COUNTIF(W1708:W1725,$B1730)+COUNTIF(W1708:W1725,$B1730&amp;" ~*")&gt;0)+(IFERROR(INDEX(Setup!$G$33:$G$40,MATCH(Y1730,Setup!$B$33:$B$40,0)),0)=1)*(COUNTIF(Y1708:Y1725,$B1730)+COUNTIF(Y1708:Y1725,$B1730&amp;" ~*")&gt;0))</f>
        <v/>
      </c>
    </row>
    <row r="1731" ht="15" customHeight="1">
      <c r="A1731" t="n">
        <v>35</v>
      </c>
      <c r="B1731" s="35">
        <f>IF(Setup!$B$10="","",Setup!$B$10)</f>
        <v/>
      </c>
      <c r="C1731" s="98" t="n"/>
      <c r="D1731" s="99" t="n"/>
      <c r="E1731" s="99" t="n"/>
      <c r="F1731" s="100" t="n"/>
      <c r="G1731" s="98" t="n"/>
      <c r="H1731" s="99" t="n"/>
      <c r="I1731" s="99" t="n"/>
      <c r="J1731" s="100" t="n"/>
      <c r="K1731" s="98" t="n"/>
      <c r="L1731" s="99" t="n"/>
      <c r="M1731" s="99" t="n"/>
      <c r="N1731" s="100" t="n"/>
      <c r="O1731" s="98" t="n"/>
      <c r="P1731" s="99" t="n"/>
      <c r="Q1731" s="99" t="n"/>
      <c r="R1731" s="100" t="n"/>
      <c r="S1731" s="98" t="n"/>
      <c r="T1731" s="99" t="n"/>
      <c r="U1731" s="99" t="n"/>
      <c r="V1731" s="100" t="n"/>
      <c r="W1731" s="98" t="n"/>
      <c r="X1731" s="100" t="n"/>
      <c r="Y1731" s="98" t="n"/>
      <c r="Z1731" s="100" t="n"/>
      <c r="AB1731" s="101">
        <f>IF($B1731="","",(COUNTIF(C1708:E1725,$B1731)+COUNTIF(C1708:E1725,$B1731&amp;" ~*")&gt;0)+(COUNTIF(G1708:I1725,$B1731)+COUNTIF(G1708:I1725,$B1731&amp;" ~*")&gt;0)+(COUNTIF(K1708:M1725,$B1731)+COUNTIF(K1708:M1725,$B1731&amp;" ~*")&gt;0)+(COUNTIF(O1708:Q1725,$B1731)+COUNTIF(O1708:Q1725,$B1731&amp;" ~*")&gt;0)+(COUNTIF(S1708:U1725,$B1731)+COUNTIF(S1708:U1725,$B1731&amp;" ~*")&gt;0)+(COUNTIF(W1708:W1725,$B1731)+COUNTIF(W1708:W1725,$B1731&amp;" ~*")&gt;0)+(COUNTIF(Y1708:Y1725,$B1731)+COUNTIF(Y1708:Y1725,$B1731&amp;" ~*")&gt;0))</f>
        <v/>
      </c>
      <c r="AC1731" s="36">
        <f>IF($B1731="","",(IFERROR(INDEX(Setup!$G$33:$G$40,MATCH(C1731,Setup!$B$33:$B$40,0)),0)=1)*(COUNTIF(C1708:E1725,$B1731)+COUNTIF(C1708:E1725,$B1731&amp;" ~*")&gt;0)+(IFERROR(INDEX(Setup!$G$33:$G$40,MATCH(G1731,Setup!$B$33:$B$40,0)),0)=1)*(COUNTIF(G1708:I1725,$B1731)+COUNTIF(G1708:I1725,$B1731&amp;" ~*")&gt;0)+(IFERROR(INDEX(Setup!$G$33:$G$40,MATCH(K1731,Setup!$B$33:$B$40,0)),0)=1)*(COUNTIF(K1708:M1725,$B1731)+COUNTIF(K1708:M1725,$B1731&amp;" ~*")&gt;0)+(IFERROR(INDEX(Setup!$G$33:$G$40,MATCH(O1731,Setup!$B$33:$B$40,0)),0)=1)*(COUNTIF(O1708:Q1725,$B1731)+COUNTIF(O1708:Q1725,$B1731&amp;" ~*")&gt;0)+(IFERROR(INDEX(Setup!$G$33:$G$40,MATCH(S1731,Setup!$B$33:$B$40,0)),0)=1)*(COUNTIF(S1708:U1725,$B1731)+COUNTIF(S1708:U1725,$B1731&amp;" ~*")&gt;0)+(IFERROR(INDEX(Setup!$G$33:$G$40,MATCH(W1731,Setup!$B$33:$B$40,0)),0)=1)*(COUNTIF(W1708:W1725,$B1731)+COUNTIF(W1708:W1725,$B1731&amp;" ~*")&gt;0)+(IFERROR(INDEX(Setup!$G$33:$G$40,MATCH(Y1731,Setup!$B$33:$B$40,0)),0)=1)*(COUNTIF(Y1708:Y1725,$B1731)+COUNTIF(Y1708:Y1725,$B1731&amp;" ~*")&gt;0))</f>
        <v/>
      </c>
    </row>
    <row r="1732" ht="15" customHeight="1">
      <c r="A1732" t="n">
        <v>35</v>
      </c>
      <c r="B1732" s="37">
        <f>IF(Setup!$B$11="","",Setup!$B$11)</f>
        <v/>
      </c>
      <c r="C1732" s="102" t="n"/>
      <c r="D1732" s="103" t="n"/>
      <c r="E1732" s="103" t="n"/>
      <c r="F1732" s="104" t="n"/>
      <c r="G1732" s="102" t="n"/>
      <c r="H1732" s="103" t="n"/>
      <c r="I1732" s="103" t="n"/>
      <c r="J1732" s="104" t="n"/>
      <c r="K1732" s="102" t="n"/>
      <c r="L1732" s="103" t="n"/>
      <c r="M1732" s="103" t="n"/>
      <c r="N1732" s="104" t="n"/>
      <c r="O1732" s="102" t="n"/>
      <c r="P1732" s="103" t="n"/>
      <c r="Q1732" s="103" t="n"/>
      <c r="R1732" s="104" t="n"/>
      <c r="S1732" s="102" t="n"/>
      <c r="T1732" s="103" t="n"/>
      <c r="U1732" s="103" t="n"/>
      <c r="V1732" s="104" t="n"/>
      <c r="W1732" s="102" t="n"/>
      <c r="X1732" s="104" t="n"/>
      <c r="Y1732" s="102" t="n"/>
      <c r="Z1732" s="104" t="n"/>
      <c r="AB1732" s="105">
        <f>IF($B1732="","",(COUNTIF(C1708:E1725,$B1732)+COUNTIF(C1708:E1725,$B1732&amp;" ~*")&gt;0)+(COUNTIF(G1708:I1725,$B1732)+COUNTIF(G1708:I1725,$B1732&amp;" ~*")&gt;0)+(COUNTIF(K1708:M1725,$B1732)+COUNTIF(K1708:M1725,$B1732&amp;" ~*")&gt;0)+(COUNTIF(O1708:Q1725,$B1732)+COUNTIF(O1708:Q1725,$B1732&amp;" ~*")&gt;0)+(COUNTIF(S1708:U1725,$B1732)+COUNTIF(S1708:U1725,$B1732&amp;" ~*")&gt;0)+(COUNTIF(W1708:W1725,$B1732)+COUNTIF(W1708:W1725,$B1732&amp;" ~*")&gt;0)+(COUNTIF(Y1708:Y1725,$B1732)+COUNTIF(Y1708:Y1725,$B1732&amp;" ~*")&gt;0))</f>
        <v/>
      </c>
      <c r="AC1732" s="38">
        <f>IF($B1732="","",(IFERROR(INDEX(Setup!$G$33:$G$40,MATCH(C1732,Setup!$B$33:$B$40,0)),0)=1)*(COUNTIF(C1708:E1725,$B1732)+COUNTIF(C1708:E1725,$B1732&amp;" ~*")&gt;0)+(IFERROR(INDEX(Setup!$G$33:$G$40,MATCH(G1732,Setup!$B$33:$B$40,0)),0)=1)*(COUNTIF(G1708:I1725,$B1732)+COUNTIF(G1708:I1725,$B1732&amp;" ~*")&gt;0)+(IFERROR(INDEX(Setup!$G$33:$G$40,MATCH(K1732,Setup!$B$33:$B$40,0)),0)=1)*(COUNTIF(K1708:M1725,$B1732)+COUNTIF(K1708:M1725,$B1732&amp;" ~*")&gt;0)+(IFERROR(INDEX(Setup!$G$33:$G$40,MATCH(O1732,Setup!$B$33:$B$40,0)),0)=1)*(COUNTIF(O1708:Q1725,$B1732)+COUNTIF(O1708:Q1725,$B1732&amp;" ~*")&gt;0)+(IFERROR(INDEX(Setup!$G$33:$G$40,MATCH(S1732,Setup!$B$33:$B$40,0)),0)=1)*(COUNTIF(S1708:U1725,$B1732)+COUNTIF(S1708:U1725,$B1732&amp;" ~*")&gt;0)+(IFERROR(INDEX(Setup!$G$33:$G$40,MATCH(W1732,Setup!$B$33:$B$40,0)),0)=1)*(COUNTIF(W1708:W1725,$B1732)+COUNTIF(W1708:W1725,$B1732&amp;" ~*")&gt;0)+(IFERROR(INDEX(Setup!$G$33:$G$40,MATCH(Y1732,Setup!$B$33:$B$40,0)),0)=1)*(COUNTIF(Y1708:Y1725,$B1732)+COUNTIF(Y1708:Y1725,$B1732&amp;" ~*")&gt;0))</f>
        <v/>
      </c>
    </row>
    <row r="1733" ht="15" customHeight="1">
      <c r="A1733" t="n">
        <v>35</v>
      </c>
      <c r="B1733" s="35">
        <f>IF(Setup!$B$12="","",Setup!$B$12)</f>
        <v/>
      </c>
      <c r="C1733" s="98" t="n"/>
      <c r="D1733" s="99" t="n"/>
      <c r="E1733" s="99" t="n"/>
      <c r="F1733" s="100" t="n"/>
      <c r="G1733" s="98" t="n"/>
      <c r="H1733" s="99" t="n"/>
      <c r="I1733" s="99" t="n"/>
      <c r="J1733" s="100" t="n"/>
      <c r="K1733" s="98" t="inlineStr">
        <is>
          <t>AL</t>
        </is>
      </c>
      <c r="L1733" s="99" t="n"/>
      <c r="M1733" s="99" t="n"/>
      <c r="N1733" s="100" t="n"/>
      <c r="O1733" s="98" t="inlineStr">
        <is>
          <t>AL</t>
        </is>
      </c>
      <c r="P1733" s="99" t="n"/>
      <c r="Q1733" s="99" t="n"/>
      <c r="R1733" s="100" t="n"/>
      <c r="S1733" s="98" t="inlineStr">
        <is>
          <t>AL</t>
        </is>
      </c>
      <c r="T1733" s="99" t="n"/>
      <c r="U1733" s="99" t="n"/>
      <c r="V1733" s="100" t="n"/>
      <c r="W1733" s="98" t="n"/>
      <c r="X1733" s="100" t="n"/>
      <c r="Y1733" s="98" t="n"/>
      <c r="Z1733" s="100" t="n"/>
      <c r="AB1733" s="101">
        <f>IF($B1733="","",(COUNTIF(C1708:E1725,$B1733)+COUNTIF(C1708:E1725,$B1733&amp;" ~*")&gt;0)+(COUNTIF(G1708:I1725,$B1733)+COUNTIF(G1708:I1725,$B1733&amp;" ~*")&gt;0)+(COUNTIF(K1708:M1725,$B1733)+COUNTIF(K1708:M1725,$B1733&amp;" ~*")&gt;0)+(COUNTIF(O1708:Q1725,$B1733)+COUNTIF(O1708:Q1725,$B1733&amp;" ~*")&gt;0)+(COUNTIF(S1708:U1725,$B1733)+COUNTIF(S1708:U1725,$B1733&amp;" ~*")&gt;0)+(COUNTIF(W1708:W1725,$B1733)+COUNTIF(W1708:W1725,$B1733&amp;" ~*")&gt;0)+(COUNTIF(Y1708:Y1725,$B1733)+COUNTIF(Y1708:Y1725,$B1733&amp;" ~*")&gt;0))</f>
        <v/>
      </c>
      <c r="AC1733" s="36">
        <f>IF($B1733="","",(IFERROR(INDEX(Setup!$G$33:$G$40,MATCH(C1733,Setup!$B$33:$B$40,0)),0)=1)*(COUNTIF(C1708:E1725,$B1733)+COUNTIF(C1708:E1725,$B1733&amp;" ~*")&gt;0)+(IFERROR(INDEX(Setup!$G$33:$G$40,MATCH(G1733,Setup!$B$33:$B$40,0)),0)=1)*(COUNTIF(G1708:I1725,$B1733)+COUNTIF(G1708:I1725,$B1733&amp;" ~*")&gt;0)+(IFERROR(INDEX(Setup!$G$33:$G$40,MATCH(K1733,Setup!$B$33:$B$40,0)),0)=1)*(COUNTIF(K1708:M1725,$B1733)+COUNTIF(K1708:M1725,$B1733&amp;" ~*")&gt;0)+(IFERROR(INDEX(Setup!$G$33:$G$40,MATCH(O1733,Setup!$B$33:$B$40,0)),0)=1)*(COUNTIF(O1708:Q1725,$B1733)+COUNTIF(O1708:Q1725,$B1733&amp;" ~*")&gt;0)+(IFERROR(INDEX(Setup!$G$33:$G$40,MATCH(S1733,Setup!$B$33:$B$40,0)),0)=1)*(COUNTIF(S1708:U1725,$B1733)+COUNTIF(S1708:U1725,$B1733&amp;" ~*")&gt;0)+(IFERROR(INDEX(Setup!$G$33:$G$40,MATCH(W1733,Setup!$B$33:$B$40,0)),0)=1)*(COUNTIF(W1708:W1725,$B1733)+COUNTIF(W1708:W1725,$B1733&amp;" ~*")&gt;0)+(IFERROR(INDEX(Setup!$G$33:$G$40,MATCH(Y1733,Setup!$B$33:$B$40,0)),0)=1)*(COUNTIF(Y1708:Y1725,$B1733)+COUNTIF(Y1708:Y1725,$B1733&amp;" ~*")&gt;0))</f>
        <v/>
      </c>
    </row>
    <row r="1734" ht="15" customHeight="1">
      <c r="A1734" t="n">
        <v>35</v>
      </c>
      <c r="B1734" s="37">
        <f>IF(Setup!$B$13="","",Setup!$B$13)</f>
        <v/>
      </c>
      <c r="C1734" s="102" t="n"/>
      <c r="D1734" s="103" t="n"/>
      <c r="E1734" s="103" t="n"/>
      <c r="F1734" s="104" t="n"/>
      <c r="G1734" s="102" t="n"/>
      <c r="H1734" s="103" t="n"/>
      <c r="I1734" s="103" t="n"/>
      <c r="J1734" s="104" t="n"/>
      <c r="K1734" s="102" t="n"/>
      <c r="L1734" s="103" t="n"/>
      <c r="M1734" s="103" t="n"/>
      <c r="N1734" s="104" t="n"/>
      <c r="O1734" s="102" t="n"/>
      <c r="P1734" s="103" t="n"/>
      <c r="Q1734" s="103" t="n"/>
      <c r="R1734" s="104" t="n"/>
      <c r="S1734" s="102" t="n"/>
      <c r="T1734" s="103" t="n"/>
      <c r="U1734" s="103" t="n"/>
      <c r="V1734" s="104" t="n"/>
      <c r="W1734" s="102" t="n"/>
      <c r="X1734" s="104" t="n"/>
      <c r="Y1734" s="102" t="n"/>
      <c r="Z1734" s="104" t="n"/>
      <c r="AB1734" s="105">
        <f>IF($B1734="","",(COUNTIF(C1708:E1725,$B1734)+COUNTIF(C1708:E1725,$B1734&amp;" ~*")&gt;0)+(COUNTIF(G1708:I1725,$B1734)+COUNTIF(G1708:I1725,$B1734&amp;" ~*")&gt;0)+(COUNTIF(K1708:M1725,$B1734)+COUNTIF(K1708:M1725,$B1734&amp;" ~*")&gt;0)+(COUNTIF(O1708:Q1725,$B1734)+COUNTIF(O1708:Q1725,$B1734&amp;" ~*")&gt;0)+(COUNTIF(S1708:U1725,$B1734)+COUNTIF(S1708:U1725,$B1734&amp;" ~*")&gt;0)+(COUNTIF(W1708:W1725,$B1734)+COUNTIF(W1708:W1725,$B1734&amp;" ~*")&gt;0)+(COUNTIF(Y1708:Y1725,$B1734)+COUNTIF(Y1708:Y1725,$B1734&amp;" ~*")&gt;0))</f>
        <v/>
      </c>
      <c r="AC1734" s="38">
        <f>IF($B1734="","",(IFERROR(INDEX(Setup!$G$33:$G$40,MATCH(C1734,Setup!$B$33:$B$40,0)),0)=1)*(COUNTIF(C1708:E1725,$B1734)+COUNTIF(C1708:E1725,$B1734&amp;" ~*")&gt;0)+(IFERROR(INDEX(Setup!$G$33:$G$40,MATCH(G1734,Setup!$B$33:$B$40,0)),0)=1)*(COUNTIF(G1708:I1725,$B1734)+COUNTIF(G1708:I1725,$B1734&amp;" ~*")&gt;0)+(IFERROR(INDEX(Setup!$G$33:$G$40,MATCH(K1734,Setup!$B$33:$B$40,0)),0)=1)*(COUNTIF(K1708:M1725,$B1734)+COUNTIF(K1708:M1725,$B1734&amp;" ~*")&gt;0)+(IFERROR(INDEX(Setup!$G$33:$G$40,MATCH(O1734,Setup!$B$33:$B$40,0)),0)=1)*(COUNTIF(O1708:Q1725,$B1734)+COUNTIF(O1708:Q1725,$B1734&amp;" ~*")&gt;0)+(IFERROR(INDEX(Setup!$G$33:$G$40,MATCH(S1734,Setup!$B$33:$B$40,0)),0)=1)*(COUNTIF(S1708:U1725,$B1734)+COUNTIF(S1708:U1725,$B1734&amp;" ~*")&gt;0)+(IFERROR(INDEX(Setup!$G$33:$G$40,MATCH(W1734,Setup!$B$33:$B$40,0)),0)=1)*(COUNTIF(W1708:W1725,$B1734)+COUNTIF(W1708:W1725,$B1734&amp;" ~*")&gt;0)+(IFERROR(INDEX(Setup!$G$33:$G$40,MATCH(Y1734,Setup!$B$33:$B$40,0)),0)=1)*(COUNTIF(Y1708:Y1725,$B1734)+COUNTIF(Y1708:Y1725,$B1734&amp;" ~*")&gt;0))</f>
        <v/>
      </c>
    </row>
    <row r="1735" ht="15" customHeight="1">
      <c r="A1735" t="n">
        <v>35</v>
      </c>
      <c r="B1735" s="35">
        <f>IF(Setup!$B$14="","",Setup!$B$14)</f>
        <v/>
      </c>
      <c r="C1735" s="98" t="n"/>
      <c r="D1735" s="99" t="n"/>
      <c r="E1735" s="99" t="n"/>
      <c r="F1735" s="100" t="n"/>
      <c r="G1735" s="98" t="n"/>
      <c r="H1735" s="99" t="n"/>
      <c r="I1735" s="99" t="n"/>
      <c r="J1735" s="100" t="n"/>
      <c r="K1735" s="98" t="n"/>
      <c r="L1735" s="99" t="n"/>
      <c r="M1735" s="99" t="n"/>
      <c r="N1735" s="100" t="n"/>
      <c r="O1735" s="98" t="n"/>
      <c r="P1735" s="99" t="n"/>
      <c r="Q1735" s="99" t="n"/>
      <c r="R1735" s="100" t="n"/>
      <c r="S1735" s="98" t="n"/>
      <c r="T1735" s="99" t="n"/>
      <c r="U1735" s="99" t="n"/>
      <c r="V1735" s="100" t="n"/>
      <c r="W1735" s="98" t="n"/>
      <c r="X1735" s="100" t="n"/>
      <c r="Y1735" s="98" t="n"/>
      <c r="Z1735" s="100" t="n"/>
      <c r="AB1735" s="101">
        <f>IF($B1735="","",(COUNTIF(C1708:E1725,$B1735)+COUNTIF(C1708:E1725,$B1735&amp;" ~*")&gt;0)+(COUNTIF(G1708:I1725,$B1735)+COUNTIF(G1708:I1725,$B1735&amp;" ~*")&gt;0)+(COUNTIF(K1708:M1725,$B1735)+COUNTIF(K1708:M1725,$B1735&amp;" ~*")&gt;0)+(COUNTIF(O1708:Q1725,$B1735)+COUNTIF(O1708:Q1725,$B1735&amp;" ~*")&gt;0)+(COUNTIF(S1708:U1725,$B1735)+COUNTIF(S1708:U1725,$B1735&amp;" ~*")&gt;0)+(COUNTIF(W1708:W1725,$B1735)+COUNTIF(W1708:W1725,$B1735&amp;" ~*")&gt;0)+(COUNTIF(Y1708:Y1725,$B1735)+COUNTIF(Y1708:Y1725,$B1735&amp;" ~*")&gt;0))</f>
        <v/>
      </c>
      <c r="AC1735" s="36">
        <f>IF($B1735="","",(IFERROR(INDEX(Setup!$G$33:$G$40,MATCH(C1735,Setup!$B$33:$B$40,0)),0)=1)*(COUNTIF(C1708:E1725,$B1735)+COUNTIF(C1708:E1725,$B1735&amp;" ~*")&gt;0)+(IFERROR(INDEX(Setup!$G$33:$G$40,MATCH(G1735,Setup!$B$33:$B$40,0)),0)=1)*(COUNTIF(G1708:I1725,$B1735)+COUNTIF(G1708:I1725,$B1735&amp;" ~*")&gt;0)+(IFERROR(INDEX(Setup!$G$33:$G$40,MATCH(K1735,Setup!$B$33:$B$40,0)),0)=1)*(COUNTIF(K1708:M1725,$B1735)+COUNTIF(K1708:M1725,$B1735&amp;" ~*")&gt;0)+(IFERROR(INDEX(Setup!$G$33:$G$40,MATCH(O1735,Setup!$B$33:$B$40,0)),0)=1)*(COUNTIF(O1708:Q1725,$B1735)+COUNTIF(O1708:Q1725,$B1735&amp;" ~*")&gt;0)+(IFERROR(INDEX(Setup!$G$33:$G$40,MATCH(S1735,Setup!$B$33:$B$40,0)),0)=1)*(COUNTIF(S1708:U1725,$B1735)+COUNTIF(S1708:U1725,$B1735&amp;" ~*")&gt;0)+(IFERROR(INDEX(Setup!$G$33:$G$40,MATCH(W1735,Setup!$B$33:$B$40,0)),0)=1)*(COUNTIF(W1708:W1725,$B1735)+COUNTIF(W1708:W1725,$B1735&amp;" ~*")&gt;0)+(IFERROR(INDEX(Setup!$G$33:$G$40,MATCH(Y1735,Setup!$B$33:$B$40,0)),0)=1)*(COUNTIF(Y1708:Y1725,$B1735)+COUNTIF(Y1708:Y1725,$B1735&amp;" ~*")&gt;0))</f>
        <v/>
      </c>
    </row>
    <row r="1736" ht="15" customHeight="1">
      <c r="A1736" t="n">
        <v>35</v>
      </c>
      <c r="B1736" s="37">
        <f>IF(Setup!$B$15="","",Setup!$B$15)</f>
        <v/>
      </c>
      <c r="C1736" s="102" t="n"/>
      <c r="D1736" s="103" t="n"/>
      <c r="E1736" s="103" t="n"/>
      <c r="F1736" s="104" t="n"/>
      <c r="G1736" s="102" t="n"/>
      <c r="H1736" s="103" t="n"/>
      <c r="I1736" s="103" t="n"/>
      <c r="J1736" s="104" t="n"/>
      <c r="K1736" s="102" t="n"/>
      <c r="L1736" s="103" t="n"/>
      <c r="M1736" s="103" t="n"/>
      <c r="N1736" s="104" t="n"/>
      <c r="O1736" s="102" t="n"/>
      <c r="P1736" s="103" t="n"/>
      <c r="Q1736" s="103" t="n"/>
      <c r="R1736" s="104" t="n"/>
      <c r="S1736" s="102" t="n"/>
      <c r="T1736" s="103" t="n"/>
      <c r="U1736" s="103" t="n"/>
      <c r="V1736" s="104" t="n"/>
      <c r="W1736" s="102" t="n"/>
      <c r="X1736" s="104" t="n"/>
      <c r="Y1736" s="102" t="n"/>
      <c r="Z1736" s="104" t="n"/>
      <c r="AB1736" s="105">
        <f>IF($B1736="","",(COUNTIF(C1708:E1725,$B1736)+COUNTIF(C1708:E1725,$B1736&amp;" ~*")&gt;0)+(COUNTIF(G1708:I1725,$B1736)+COUNTIF(G1708:I1725,$B1736&amp;" ~*")&gt;0)+(COUNTIF(K1708:M1725,$B1736)+COUNTIF(K1708:M1725,$B1736&amp;" ~*")&gt;0)+(COUNTIF(O1708:Q1725,$B1736)+COUNTIF(O1708:Q1725,$B1736&amp;" ~*")&gt;0)+(COUNTIF(S1708:U1725,$B1736)+COUNTIF(S1708:U1725,$B1736&amp;" ~*")&gt;0)+(COUNTIF(W1708:W1725,$B1736)+COUNTIF(W1708:W1725,$B1736&amp;" ~*")&gt;0)+(COUNTIF(Y1708:Y1725,$B1736)+COUNTIF(Y1708:Y1725,$B1736&amp;" ~*")&gt;0))</f>
        <v/>
      </c>
      <c r="AC1736" s="38">
        <f>IF($B1736="","",(IFERROR(INDEX(Setup!$G$33:$G$40,MATCH(C1736,Setup!$B$33:$B$40,0)),0)=1)*(COUNTIF(C1708:E1725,$B1736)+COUNTIF(C1708:E1725,$B1736&amp;" ~*")&gt;0)+(IFERROR(INDEX(Setup!$G$33:$G$40,MATCH(G1736,Setup!$B$33:$B$40,0)),0)=1)*(COUNTIF(G1708:I1725,$B1736)+COUNTIF(G1708:I1725,$B1736&amp;" ~*")&gt;0)+(IFERROR(INDEX(Setup!$G$33:$G$40,MATCH(K1736,Setup!$B$33:$B$40,0)),0)=1)*(COUNTIF(K1708:M1725,$B1736)+COUNTIF(K1708:M1725,$B1736&amp;" ~*")&gt;0)+(IFERROR(INDEX(Setup!$G$33:$G$40,MATCH(O1736,Setup!$B$33:$B$40,0)),0)=1)*(COUNTIF(O1708:Q1725,$B1736)+COUNTIF(O1708:Q1725,$B1736&amp;" ~*")&gt;0)+(IFERROR(INDEX(Setup!$G$33:$G$40,MATCH(S1736,Setup!$B$33:$B$40,0)),0)=1)*(COUNTIF(S1708:U1725,$B1736)+COUNTIF(S1708:U1725,$B1736&amp;" ~*")&gt;0)+(IFERROR(INDEX(Setup!$G$33:$G$40,MATCH(W1736,Setup!$B$33:$B$40,0)),0)=1)*(COUNTIF(W1708:W1725,$B1736)+COUNTIF(W1708:W1725,$B1736&amp;" ~*")&gt;0)+(IFERROR(INDEX(Setup!$G$33:$G$40,MATCH(Y1736,Setup!$B$33:$B$40,0)),0)=1)*(COUNTIF(Y1708:Y1725,$B1736)+COUNTIF(Y1708:Y1725,$B1736&amp;" ~*")&gt;0))</f>
        <v/>
      </c>
    </row>
    <row r="1737" ht="15" customHeight="1">
      <c r="A1737" t="n">
        <v>35</v>
      </c>
      <c r="B1737" s="35">
        <f>IF(Setup!$B$16="","",Setup!$B$16)</f>
        <v/>
      </c>
      <c r="C1737" s="98" t="n"/>
      <c r="D1737" s="99" t="n"/>
      <c r="E1737" s="99" t="n"/>
      <c r="F1737" s="100" t="n"/>
      <c r="G1737" s="98" t="n"/>
      <c r="H1737" s="99" t="n"/>
      <c r="I1737" s="99" t="n"/>
      <c r="J1737" s="100" t="n"/>
      <c r="K1737" s="98" t="n"/>
      <c r="L1737" s="99" t="n"/>
      <c r="M1737" s="99" t="n"/>
      <c r="N1737" s="100" t="n"/>
      <c r="O1737" s="98" t="n"/>
      <c r="P1737" s="99" t="n"/>
      <c r="Q1737" s="99" t="n"/>
      <c r="R1737" s="100" t="n"/>
      <c r="S1737" s="98" t="n"/>
      <c r="T1737" s="99" t="n"/>
      <c r="U1737" s="99" t="n"/>
      <c r="V1737" s="100" t="n"/>
      <c r="W1737" s="98" t="n"/>
      <c r="X1737" s="100" t="n"/>
      <c r="Y1737" s="98" t="n"/>
      <c r="Z1737" s="100" t="n"/>
      <c r="AB1737" s="101">
        <f>IF($B1737="","",(COUNTIF(C1708:E1725,$B1737)+COUNTIF(C1708:E1725,$B1737&amp;" ~*")&gt;0)+(COUNTIF(G1708:I1725,$B1737)+COUNTIF(G1708:I1725,$B1737&amp;" ~*")&gt;0)+(COUNTIF(K1708:M1725,$B1737)+COUNTIF(K1708:M1725,$B1737&amp;" ~*")&gt;0)+(COUNTIF(O1708:Q1725,$B1737)+COUNTIF(O1708:Q1725,$B1737&amp;" ~*")&gt;0)+(COUNTIF(S1708:U1725,$B1737)+COUNTIF(S1708:U1725,$B1737&amp;" ~*")&gt;0)+(COUNTIF(W1708:W1725,$B1737)+COUNTIF(W1708:W1725,$B1737&amp;" ~*")&gt;0)+(COUNTIF(Y1708:Y1725,$B1737)+COUNTIF(Y1708:Y1725,$B1737&amp;" ~*")&gt;0))</f>
        <v/>
      </c>
      <c r="AC1737" s="36">
        <f>IF($B1737="","",(IFERROR(INDEX(Setup!$G$33:$G$40,MATCH(C1737,Setup!$B$33:$B$40,0)),0)=1)*(COUNTIF(C1708:E1725,$B1737)+COUNTIF(C1708:E1725,$B1737&amp;" ~*")&gt;0)+(IFERROR(INDEX(Setup!$G$33:$G$40,MATCH(G1737,Setup!$B$33:$B$40,0)),0)=1)*(COUNTIF(G1708:I1725,$B1737)+COUNTIF(G1708:I1725,$B1737&amp;" ~*")&gt;0)+(IFERROR(INDEX(Setup!$G$33:$G$40,MATCH(K1737,Setup!$B$33:$B$40,0)),0)=1)*(COUNTIF(K1708:M1725,$B1737)+COUNTIF(K1708:M1725,$B1737&amp;" ~*")&gt;0)+(IFERROR(INDEX(Setup!$G$33:$G$40,MATCH(O1737,Setup!$B$33:$B$40,0)),0)=1)*(COUNTIF(O1708:Q1725,$B1737)+COUNTIF(O1708:Q1725,$B1737&amp;" ~*")&gt;0)+(IFERROR(INDEX(Setup!$G$33:$G$40,MATCH(S1737,Setup!$B$33:$B$40,0)),0)=1)*(COUNTIF(S1708:U1725,$B1737)+COUNTIF(S1708:U1725,$B1737&amp;" ~*")&gt;0)+(IFERROR(INDEX(Setup!$G$33:$G$40,MATCH(W1737,Setup!$B$33:$B$40,0)),0)=1)*(COUNTIF(W1708:W1725,$B1737)+COUNTIF(W1708:W1725,$B1737&amp;" ~*")&gt;0)+(IFERROR(INDEX(Setup!$G$33:$G$40,MATCH(Y1737,Setup!$B$33:$B$40,0)),0)=1)*(COUNTIF(Y1708:Y1725,$B1737)+COUNTIF(Y1708:Y1725,$B1737&amp;" ~*")&gt;0))</f>
        <v/>
      </c>
    </row>
    <row r="1738" ht="15" customHeight="1">
      <c r="A1738" t="n">
        <v>35</v>
      </c>
      <c r="B1738" s="37">
        <f>IF(Setup!$B$17="","",Setup!$B$17)</f>
        <v/>
      </c>
      <c r="C1738" s="102" t="n"/>
      <c r="D1738" s="103" t="n"/>
      <c r="E1738" s="103" t="n"/>
      <c r="F1738" s="104" t="n"/>
      <c r="G1738" s="102" t="n"/>
      <c r="H1738" s="103" t="n"/>
      <c r="I1738" s="103" t="n"/>
      <c r="J1738" s="104" t="n"/>
      <c r="K1738" s="102" t="n"/>
      <c r="L1738" s="103" t="n"/>
      <c r="M1738" s="103" t="n"/>
      <c r="N1738" s="104" t="n"/>
      <c r="O1738" s="102" t="n"/>
      <c r="P1738" s="103" t="n"/>
      <c r="Q1738" s="103" t="n"/>
      <c r="R1738" s="104" t="n"/>
      <c r="S1738" s="102" t="n"/>
      <c r="T1738" s="103" t="n"/>
      <c r="U1738" s="103" t="n"/>
      <c r="V1738" s="104" t="n"/>
      <c r="W1738" s="102" t="n"/>
      <c r="X1738" s="104" t="n"/>
      <c r="Y1738" s="102" t="n"/>
      <c r="Z1738" s="104" t="n"/>
      <c r="AB1738" s="105">
        <f>IF($B1738="","",(COUNTIF(C1708:E1725,$B1738)+COUNTIF(C1708:E1725,$B1738&amp;" ~*")&gt;0)+(COUNTIF(G1708:I1725,$B1738)+COUNTIF(G1708:I1725,$B1738&amp;" ~*")&gt;0)+(COUNTIF(K1708:M1725,$B1738)+COUNTIF(K1708:M1725,$B1738&amp;" ~*")&gt;0)+(COUNTIF(O1708:Q1725,$B1738)+COUNTIF(O1708:Q1725,$B1738&amp;" ~*")&gt;0)+(COUNTIF(S1708:U1725,$B1738)+COUNTIF(S1708:U1725,$B1738&amp;" ~*")&gt;0)+(COUNTIF(W1708:W1725,$B1738)+COUNTIF(W1708:W1725,$B1738&amp;" ~*")&gt;0)+(COUNTIF(Y1708:Y1725,$B1738)+COUNTIF(Y1708:Y1725,$B1738&amp;" ~*")&gt;0))</f>
        <v/>
      </c>
      <c r="AC1738" s="38">
        <f>IF($B1738="","",(IFERROR(INDEX(Setup!$G$33:$G$40,MATCH(C1738,Setup!$B$33:$B$40,0)),0)=1)*(COUNTIF(C1708:E1725,$B1738)+COUNTIF(C1708:E1725,$B1738&amp;" ~*")&gt;0)+(IFERROR(INDEX(Setup!$G$33:$G$40,MATCH(G1738,Setup!$B$33:$B$40,0)),0)=1)*(COUNTIF(G1708:I1725,$B1738)+COUNTIF(G1708:I1725,$B1738&amp;" ~*")&gt;0)+(IFERROR(INDEX(Setup!$G$33:$G$40,MATCH(K1738,Setup!$B$33:$B$40,0)),0)=1)*(COUNTIF(K1708:M1725,$B1738)+COUNTIF(K1708:M1725,$B1738&amp;" ~*")&gt;0)+(IFERROR(INDEX(Setup!$G$33:$G$40,MATCH(O1738,Setup!$B$33:$B$40,0)),0)=1)*(COUNTIF(O1708:Q1725,$B1738)+COUNTIF(O1708:Q1725,$B1738&amp;" ~*")&gt;0)+(IFERROR(INDEX(Setup!$G$33:$G$40,MATCH(S1738,Setup!$B$33:$B$40,0)),0)=1)*(COUNTIF(S1708:U1725,$B1738)+COUNTIF(S1708:U1725,$B1738&amp;" ~*")&gt;0)+(IFERROR(INDEX(Setup!$G$33:$G$40,MATCH(W1738,Setup!$B$33:$B$40,0)),0)=1)*(COUNTIF(W1708:W1725,$B1738)+COUNTIF(W1708:W1725,$B1738&amp;" ~*")&gt;0)+(IFERROR(INDEX(Setup!$G$33:$G$40,MATCH(Y1738,Setup!$B$33:$B$40,0)),0)=1)*(COUNTIF(Y1708:Y1725,$B1738)+COUNTIF(Y1708:Y1725,$B1738&amp;" ~*")&gt;0))</f>
        <v/>
      </c>
    </row>
    <row r="1739" ht="15" customHeight="1">
      <c r="A1739" t="n">
        <v>35</v>
      </c>
      <c r="B1739" s="35">
        <f>IF(Setup!$B$18="","",Setup!$B$18)</f>
        <v/>
      </c>
      <c r="C1739" s="98" t="n"/>
      <c r="D1739" s="99" t="n"/>
      <c r="E1739" s="99" t="n"/>
      <c r="F1739" s="100" t="n"/>
      <c r="G1739" s="98" t="n"/>
      <c r="H1739" s="99" t="n"/>
      <c r="I1739" s="99" t="n"/>
      <c r="J1739" s="100" t="n"/>
      <c r="K1739" s="98" t="n"/>
      <c r="L1739" s="99" t="n"/>
      <c r="M1739" s="99" t="n"/>
      <c r="N1739" s="100" t="n"/>
      <c r="O1739" s="98" t="n"/>
      <c r="P1739" s="99" t="n"/>
      <c r="Q1739" s="99" t="n"/>
      <c r="R1739" s="100" t="n"/>
      <c r="S1739" s="98" t="n"/>
      <c r="T1739" s="99" t="n"/>
      <c r="U1739" s="99" t="n"/>
      <c r="V1739" s="100" t="n"/>
      <c r="W1739" s="98" t="n"/>
      <c r="X1739" s="100" t="n"/>
      <c r="Y1739" s="98" t="n"/>
      <c r="Z1739" s="100" t="n"/>
      <c r="AB1739" s="101">
        <f>IF($B1739="","",(COUNTIF(C1708:E1725,$B1739)+COUNTIF(C1708:E1725,$B1739&amp;" ~*")&gt;0)+(COUNTIF(G1708:I1725,$B1739)+COUNTIF(G1708:I1725,$B1739&amp;" ~*")&gt;0)+(COUNTIF(K1708:M1725,$B1739)+COUNTIF(K1708:M1725,$B1739&amp;" ~*")&gt;0)+(COUNTIF(O1708:Q1725,$B1739)+COUNTIF(O1708:Q1725,$B1739&amp;" ~*")&gt;0)+(COUNTIF(S1708:U1725,$B1739)+COUNTIF(S1708:U1725,$B1739&amp;" ~*")&gt;0)+(COUNTIF(W1708:W1725,$B1739)+COUNTIF(W1708:W1725,$B1739&amp;" ~*")&gt;0)+(COUNTIF(Y1708:Y1725,$B1739)+COUNTIF(Y1708:Y1725,$B1739&amp;" ~*")&gt;0))</f>
        <v/>
      </c>
      <c r="AC1739" s="36">
        <f>IF($B1739="","",(IFERROR(INDEX(Setup!$G$33:$G$40,MATCH(C1739,Setup!$B$33:$B$40,0)),0)=1)*(COUNTIF(C1708:E1725,$B1739)+COUNTIF(C1708:E1725,$B1739&amp;" ~*")&gt;0)+(IFERROR(INDEX(Setup!$G$33:$G$40,MATCH(G1739,Setup!$B$33:$B$40,0)),0)=1)*(COUNTIF(G1708:I1725,$B1739)+COUNTIF(G1708:I1725,$B1739&amp;" ~*")&gt;0)+(IFERROR(INDEX(Setup!$G$33:$G$40,MATCH(K1739,Setup!$B$33:$B$40,0)),0)=1)*(COUNTIF(K1708:M1725,$B1739)+COUNTIF(K1708:M1725,$B1739&amp;" ~*")&gt;0)+(IFERROR(INDEX(Setup!$G$33:$G$40,MATCH(O1739,Setup!$B$33:$B$40,0)),0)=1)*(COUNTIF(O1708:Q1725,$B1739)+COUNTIF(O1708:Q1725,$B1739&amp;" ~*")&gt;0)+(IFERROR(INDEX(Setup!$G$33:$G$40,MATCH(S1739,Setup!$B$33:$B$40,0)),0)=1)*(COUNTIF(S1708:U1725,$B1739)+COUNTIF(S1708:U1725,$B1739&amp;" ~*")&gt;0)+(IFERROR(INDEX(Setup!$G$33:$G$40,MATCH(W1739,Setup!$B$33:$B$40,0)),0)=1)*(COUNTIF(W1708:W1725,$B1739)+COUNTIF(W1708:W1725,$B1739&amp;" ~*")&gt;0)+(IFERROR(INDEX(Setup!$G$33:$G$40,MATCH(Y1739,Setup!$B$33:$B$40,0)),0)=1)*(COUNTIF(Y1708:Y1725,$B1739)+COUNTIF(Y1708:Y1725,$B1739&amp;" ~*")&gt;0))</f>
        <v/>
      </c>
    </row>
    <row r="1740" ht="15" customHeight="1">
      <c r="A1740" t="n">
        <v>35</v>
      </c>
      <c r="B1740" s="37">
        <f>IF(Setup!$B$19="","",Setup!$B$19)</f>
        <v/>
      </c>
      <c r="C1740" s="102" t="n"/>
      <c r="D1740" s="103" t="n"/>
      <c r="E1740" s="103" t="n"/>
      <c r="F1740" s="104" t="n"/>
      <c r="G1740" s="102" t="n"/>
      <c r="H1740" s="103" t="n"/>
      <c r="I1740" s="103" t="n"/>
      <c r="J1740" s="104" t="n"/>
      <c r="K1740" s="102" t="n"/>
      <c r="L1740" s="103" t="n"/>
      <c r="M1740" s="103" t="n"/>
      <c r="N1740" s="104" t="n"/>
      <c r="O1740" s="102" t="n"/>
      <c r="P1740" s="103" t="n"/>
      <c r="Q1740" s="103" t="n"/>
      <c r="R1740" s="104" t="n"/>
      <c r="S1740" s="102" t="n"/>
      <c r="T1740" s="103" t="n"/>
      <c r="U1740" s="103" t="n"/>
      <c r="V1740" s="104" t="n"/>
      <c r="W1740" s="102" t="n"/>
      <c r="X1740" s="104" t="n"/>
      <c r="Y1740" s="102" t="n"/>
      <c r="Z1740" s="104" t="n"/>
      <c r="AB1740" s="105">
        <f>IF($B1740="","",(COUNTIF(C1708:E1725,$B1740)+COUNTIF(C1708:E1725,$B1740&amp;" ~*")&gt;0)+(COUNTIF(G1708:I1725,$B1740)+COUNTIF(G1708:I1725,$B1740&amp;" ~*")&gt;0)+(COUNTIF(K1708:M1725,$B1740)+COUNTIF(K1708:M1725,$B1740&amp;" ~*")&gt;0)+(COUNTIF(O1708:Q1725,$B1740)+COUNTIF(O1708:Q1725,$B1740&amp;" ~*")&gt;0)+(COUNTIF(S1708:U1725,$B1740)+COUNTIF(S1708:U1725,$B1740&amp;" ~*")&gt;0)+(COUNTIF(W1708:W1725,$B1740)+COUNTIF(W1708:W1725,$B1740&amp;" ~*")&gt;0)+(COUNTIF(Y1708:Y1725,$B1740)+COUNTIF(Y1708:Y1725,$B1740&amp;" ~*")&gt;0))</f>
        <v/>
      </c>
      <c r="AC1740" s="38">
        <f>IF($B1740="","",(IFERROR(INDEX(Setup!$G$33:$G$40,MATCH(C1740,Setup!$B$33:$B$40,0)),0)=1)*(COUNTIF(C1708:E1725,$B1740)+COUNTIF(C1708:E1725,$B1740&amp;" ~*")&gt;0)+(IFERROR(INDEX(Setup!$G$33:$G$40,MATCH(G1740,Setup!$B$33:$B$40,0)),0)=1)*(COUNTIF(G1708:I1725,$B1740)+COUNTIF(G1708:I1725,$B1740&amp;" ~*")&gt;0)+(IFERROR(INDEX(Setup!$G$33:$G$40,MATCH(K1740,Setup!$B$33:$B$40,0)),0)=1)*(COUNTIF(K1708:M1725,$B1740)+COUNTIF(K1708:M1725,$B1740&amp;" ~*")&gt;0)+(IFERROR(INDEX(Setup!$G$33:$G$40,MATCH(O1740,Setup!$B$33:$B$40,0)),0)=1)*(COUNTIF(O1708:Q1725,$B1740)+COUNTIF(O1708:Q1725,$B1740&amp;" ~*")&gt;0)+(IFERROR(INDEX(Setup!$G$33:$G$40,MATCH(S1740,Setup!$B$33:$B$40,0)),0)=1)*(COUNTIF(S1708:U1725,$B1740)+COUNTIF(S1708:U1725,$B1740&amp;" ~*")&gt;0)+(IFERROR(INDEX(Setup!$G$33:$G$40,MATCH(W1740,Setup!$B$33:$B$40,0)),0)=1)*(COUNTIF(W1708:W1725,$B1740)+COUNTIF(W1708:W1725,$B1740&amp;" ~*")&gt;0)+(IFERROR(INDEX(Setup!$G$33:$G$40,MATCH(Y1740,Setup!$B$33:$B$40,0)),0)=1)*(COUNTIF(Y1708:Y1725,$B1740)+COUNTIF(Y1708:Y1725,$B1740&amp;" ~*")&gt;0))</f>
        <v/>
      </c>
    </row>
    <row r="1741" ht="15" customHeight="1">
      <c r="A1741" t="n">
        <v>35</v>
      </c>
      <c r="B1741" s="35">
        <f>IF(Setup!$B$20="","",Setup!$B$20)</f>
        <v/>
      </c>
      <c r="C1741" s="98" t="n"/>
      <c r="D1741" s="99" t="n"/>
      <c r="E1741" s="99" t="n"/>
      <c r="F1741" s="100" t="n"/>
      <c r="G1741" s="98" t="n"/>
      <c r="H1741" s="99" t="n"/>
      <c r="I1741" s="99" t="n"/>
      <c r="J1741" s="100" t="n"/>
      <c r="K1741" s="98" t="n"/>
      <c r="L1741" s="99" t="n"/>
      <c r="M1741" s="99" t="n"/>
      <c r="N1741" s="100" t="n"/>
      <c r="O1741" s="98" t="n"/>
      <c r="P1741" s="99" t="n"/>
      <c r="Q1741" s="99" t="n"/>
      <c r="R1741" s="100" t="n"/>
      <c r="S1741" s="98" t="n"/>
      <c r="T1741" s="99" t="n"/>
      <c r="U1741" s="99" t="n"/>
      <c r="V1741" s="100" t="n"/>
      <c r="W1741" s="98" t="n"/>
      <c r="X1741" s="100" t="n"/>
      <c r="Y1741" s="98" t="n"/>
      <c r="Z1741" s="100" t="n"/>
      <c r="AB1741" s="101">
        <f>IF($B1741="","",(COUNTIF(C1708:E1725,$B1741)+COUNTIF(C1708:E1725,$B1741&amp;" ~*")&gt;0)+(COUNTIF(G1708:I1725,$B1741)+COUNTIF(G1708:I1725,$B1741&amp;" ~*")&gt;0)+(COUNTIF(K1708:M1725,$B1741)+COUNTIF(K1708:M1725,$B1741&amp;" ~*")&gt;0)+(COUNTIF(O1708:Q1725,$B1741)+COUNTIF(O1708:Q1725,$B1741&amp;" ~*")&gt;0)+(COUNTIF(S1708:U1725,$B1741)+COUNTIF(S1708:U1725,$B1741&amp;" ~*")&gt;0)+(COUNTIF(W1708:W1725,$B1741)+COUNTIF(W1708:W1725,$B1741&amp;" ~*")&gt;0)+(COUNTIF(Y1708:Y1725,$B1741)+COUNTIF(Y1708:Y1725,$B1741&amp;" ~*")&gt;0))</f>
        <v/>
      </c>
      <c r="AC1741" s="36">
        <f>IF($B1741="","",(IFERROR(INDEX(Setup!$G$33:$G$40,MATCH(C1741,Setup!$B$33:$B$40,0)),0)=1)*(COUNTIF(C1708:E1725,$B1741)+COUNTIF(C1708:E1725,$B1741&amp;" ~*")&gt;0)+(IFERROR(INDEX(Setup!$G$33:$G$40,MATCH(G1741,Setup!$B$33:$B$40,0)),0)=1)*(COUNTIF(G1708:I1725,$B1741)+COUNTIF(G1708:I1725,$B1741&amp;" ~*")&gt;0)+(IFERROR(INDEX(Setup!$G$33:$G$40,MATCH(K1741,Setup!$B$33:$B$40,0)),0)=1)*(COUNTIF(K1708:M1725,$B1741)+COUNTIF(K1708:M1725,$B1741&amp;" ~*")&gt;0)+(IFERROR(INDEX(Setup!$G$33:$G$40,MATCH(O1741,Setup!$B$33:$B$40,0)),0)=1)*(COUNTIF(O1708:Q1725,$B1741)+COUNTIF(O1708:Q1725,$B1741&amp;" ~*")&gt;0)+(IFERROR(INDEX(Setup!$G$33:$G$40,MATCH(S1741,Setup!$B$33:$B$40,0)),0)=1)*(COUNTIF(S1708:U1725,$B1741)+COUNTIF(S1708:U1725,$B1741&amp;" ~*")&gt;0)+(IFERROR(INDEX(Setup!$G$33:$G$40,MATCH(W1741,Setup!$B$33:$B$40,0)),0)=1)*(COUNTIF(W1708:W1725,$B1741)+COUNTIF(W1708:W1725,$B1741&amp;" ~*")&gt;0)+(IFERROR(INDEX(Setup!$G$33:$G$40,MATCH(Y1741,Setup!$B$33:$B$40,0)),0)=1)*(COUNTIF(Y1708:Y1725,$B1741)+COUNTIF(Y1708:Y1725,$B1741&amp;" ~*")&gt;0))</f>
        <v/>
      </c>
    </row>
    <row r="1742" ht="15" customHeight="1">
      <c r="A1742" t="n">
        <v>35</v>
      </c>
      <c r="B1742" s="37">
        <f>IF(Setup!$B$21="","",Setup!$B$21)</f>
        <v/>
      </c>
      <c r="C1742" s="102" t="n"/>
      <c r="D1742" s="103" t="n"/>
      <c r="E1742" s="103" t="n"/>
      <c r="F1742" s="104" t="n"/>
      <c r="G1742" s="102" t="n"/>
      <c r="H1742" s="103" t="n"/>
      <c r="I1742" s="103" t="n"/>
      <c r="J1742" s="104" t="n"/>
      <c r="K1742" s="102" t="n"/>
      <c r="L1742" s="103" t="n"/>
      <c r="M1742" s="103" t="n"/>
      <c r="N1742" s="104" t="n"/>
      <c r="O1742" s="102" t="n"/>
      <c r="P1742" s="103" t="n"/>
      <c r="Q1742" s="103" t="n"/>
      <c r="R1742" s="104" t="n"/>
      <c r="S1742" s="102" t="n"/>
      <c r="T1742" s="103" t="n"/>
      <c r="U1742" s="103" t="n"/>
      <c r="V1742" s="104" t="n"/>
      <c r="W1742" s="102" t="n"/>
      <c r="X1742" s="104" t="n"/>
      <c r="Y1742" s="102" t="n"/>
      <c r="Z1742" s="104" t="n"/>
      <c r="AB1742" s="105">
        <f>IF($B1742="","",(COUNTIF(C1708:E1725,$B1742)+COUNTIF(C1708:E1725,$B1742&amp;" ~*")&gt;0)+(COUNTIF(G1708:I1725,$B1742)+COUNTIF(G1708:I1725,$B1742&amp;" ~*")&gt;0)+(COUNTIF(K1708:M1725,$B1742)+COUNTIF(K1708:M1725,$B1742&amp;" ~*")&gt;0)+(COUNTIF(O1708:Q1725,$B1742)+COUNTIF(O1708:Q1725,$B1742&amp;" ~*")&gt;0)+(COUNTIF(S1708:U1725,$B1742)+COUNTIF(S1708:U1725,$B1742&amp;" ~*")&gt;0)+(COUNTIF(W1708:W1725,$B1742)+COUNTIF(W1708:W1725,$B1742&amp;" ~*")&gt;0)+(COUNTIF(Y1708:Y1725,$B1742)+COUNTIF(Y1708:Y1725,$B1742&amp;" ~*")&gt;0))</f>
        <v/>
      </c>
      <c r="AC1742" s="38">
        <f>IF($B1742="","",(IFERROR(INDEX(Setup!$G$33:$G$40,MATCH(C1742,Setup!$B$33:$B$40,0)),0)=1)*(COUNTIF(C1708:E1725,$B1742)+COUNTIF(C1708:E1725,$B1742&amp;" ~*")&gt;0)+(IFERROR(INDEX(Setup!$G$33:$G$40,MATCH(G1742,Setup!$B$33:$B$40,0)),0)=1)*(COUNTIF(G1708:I1725,$B1742)+COUNTIF(G1708:I1725,$B1742&amp;" ~*")&gt;0)+(IFERROR(INDEX(Setup!$G$33:$G$40,MATCH(K1742,Setup!$B$33:$B$40,0)),0)=1)*(COUNTIF(K1708:M1725,$B1742)+COUNTIF(K1708:M1725,$B1742&amp;" ~*")&gt;0)+(IFERROR(INDEX(Setup!$G$33:$G$40,MATCH(O1742,Setup!$B$33:$B$40,0)),0)=1)*(COUNTIF(O1708:Q1725,$B1742)+COUNTIF(O1708:Q1725,$B1742&amp;" ~*")&gt;0)+(IFERROR(INDEX(Setup!$G$33:$G$40,MATCH(S1742,Setup!$B$33:$B$40,0)),0)=1)*(COUNTIF(S1708:U1725,$B1742)+COUNTIF(S1708:U1725,$B1742&amp;" ~*")&gt;0)+(IFERROR(INDEX(Setup!$G$33:$G$40,MATCH(W1742,Setup!$B$33:$B$40,0)),0)=1)*(COUNTIF(W1708:W1725,$B1742)+COUNTIF(W1708:W1725,$B1742&amp;" ~*")&gt;0)+(IFERROR(INDEX(Setup!$G$33:$G$40,MATCH(Y1742,Setup!$B$33:$B$40,0)),0)=1)*(COUNTIF(Y1708:Y1725,$B1742)+COUNTIF(Y1708:Y1725,$B1742&amp;" ~*")&gt;0))</f>
        <v/>
      </c>
    </row>
    <row r="1743" ht="15" customHeight="1">
      <c r="A1743" t="n">
        <v>35</v>
      </c>
      <c r="B1743" s="35">
        <f>IF(Setup!$B$22="","",Setup!$B$22)</f>
        <v/>
      </c>
      <c r="C1743" s="98" t="n"/>
      <c r="D1743" s="99" t="n"/>
      <c r="E1743" s="99" t="n"/>
      <c r="F1743" s="100" t="n"/>
      <c r="G1743" s="98" t="n"/>
      <c r="H1743" s="99" t="n"/>
      <c r="I1743" s="99" t="n"/>
      <c r="J1743" s="100" t="n"/>
      <c r="K1743" s="98" t="n"/>
      <c r="L1743" s="99" t="n"/>
      <c r="M1743" s="99" t="n"/>
      <c r="N1743" s="100" t="n"/>
      <c r="O1743" s="98" t="n"/>
      <c r="P1743" s="99" t="n"/>
      <c r="Q1743" s="99" t="n"/>
      <c r="R1743" s="100" t="n"/>
      <c r="S1743" s="98" t="n"/>
      <c r="T1743" s="99" t="n"/>
      <c r="U1743" s="99" t="n"/>
      <c r="V1743" s="100" t="n"/>
      <c r="W1743" s="98" t="n"/>
      <c r="X1743" s="100" t="n"/>
      <c r="Y1743" s="98" t="n"/>
      <c r="Z1743" s="100" t="n"/>
      <c r="AB1743" s="101">
        <f>IF($B1743="","",(COUNTIF(C1708:E1725,$B1743)+COUNTIF(C1708:E1725,$B1743&amp;" ~*")&gt;0)+(COUNTIF(G1708:I1725,$B1743)+COUNTIF(G1708:I1725,$B1743&amp;" ~*")&gt;0)+(COUNTIF(K1708:M1725,$B1743)+COUNTIF(K1708:M1725,$B1743&amp;" ~*")&gt;0)+(COUNTIF(O1708:Q1725,$B1743)+COUNTIF(O1708:Q1725,$B1743&amp;" ~*")&gt;0)+(COUNTIF(S1708:U1725,$B1743)+COUNTIF(S1708:U1725,$B1743&amp;" ~*")&gt;0)+(COUNTIF(W1708:W1725,$B1743)+COUNTIF(W1708:W1725,$B1743&amp;" ~*")&gt;0)+(COUNTIF(Y1708:Y1725,$B1743)+COUNTIF(Y1708:Y1725,$B1743&amp;" ~*")&gt;0))</f>
        <v/>
      </c>
      <c r="AC1743" s="36">
        <f>IF($B1743="","",(IFERROR(INDEX(Setup!$G$33:$G$40,MATCH(C1743,Setup!$B$33:$B$40,0)),0)=1)*(COUNTIF(C1708:E1725,$B1743)+COUNTIF(C1708:E1725,$B1743&amp;" ~*")&gt;0)+(IFERROR(INDEX(Setup!$G$33:$G$40,MATCH(G1743,Setup!$B$33:$B$40,0)),0)=1)*(COUNTIF(G1708:I1725,$B1743)+COUNTIF(G1708:I1725,$B1743&amp;" ~*")&gt;0)+(IFERROR(INDEX(Setup!$G$33:$G$40,MATCH(K1743,Setup!$B$33:$B$40,0)),0)=1)*(COUNTIF(K1708:M1725,$B1743)+COUNTIF(K1708:M1725,$B1743&amp;" ~*")&gt;0)+(IFERROR(INDEX(Setup!$G$33:$G$40,MATCH(O1743,Setup!$B$33:$B$40,0)),0)=1)*(COUNTIF(O1708:Q1725,$B1743)+COUNTIF(O1708:Q1725,$B1743&amp;" ~*")&gt;0)+(IFERROR(INDEX(Setup!$G$33:$G$40,MATCH(S1743,Setup!$B$33:$B$40,0)),0)=1)*(COUNTIF(S1708:U1725,$B1743)+COUNTIF(S1708:U1725,$B1743&amp;" ~*")&gt;0)+(IFERROR(INDEX(Setup!$G$33:$G$40,MATCH(W1743,Setup!$B$33:$B$40,0)),0)=1)*(COUNTIF(W1708:W1725,$B1743)+COUNTIF(W1708:W1725,$B1743&amp;" ~*")&gt;0)+(IFERROR(INDEX(Setup!$G$33:$G$40,MATCH(Y1743,Setup!$B$33:$B$40,0)),0)=1)*(COUNTIF(Y1708:Y1725,$B1743)+COUNTIF(Y1708:Y1725,$B1743&amp;" ~*")&gt;0))</f>
        <v/>
      </c>
    </row>
    <row r="1744" ht="15" customHeight="1">
      <c r="A1744" t="n">
        <v>35</v>
      </c>
      <c r="B1744" s="37">
        <f>IF(Setup!$B$23="","",Setup!$B$23)</f>
        <v/>
      </c>
      <c r="C1744" s="102" t="n"/>
      <c r="D1744" s="103" t="n"/>
      <c r="E1744" s="103" t="n"/>
      <c r="F1744" s="104" t="n"/>
      <c r="G1744" s="102" t="n"/>
      <c r="H1744" s="103" t="n"/>
      <c r="I1744" s="103" t="n"/>
      <c r="J1744" s="104" t="n"/>
      <c r="K1744" s="102" t="n"/>
      <c r="L1744" s="103" t="n"/>
      <c r="M1744" s="103" t="n"/>
      <c r="N1744" s="104" t="n"/>
      <c r="O1744" s="102" t="n"/>
      <c r="P1744" s="103" t="n"/>
      <c r="Q1744" s="103" t="n"/>
      <c r="R1744" s="104" t="n"/>
      <c r="S1744" s="102" t="n"/>
      <c r="T1744" s="103" t="n"/>
      <c r="U1744" s="103" t="n"/>
      <c r="V1744" s="104" t="n"/>
      <c r="W1744" s="102" t="n"/>
      <c r="X1744" s="104" t="n"/>
      <c r="Y1744" s="102" t="n"/>
      <c r="Z1744" s="104" t="n"/>
      <c r="AB1744" s="105">
        <f>IF($B1744="","",(COUNTIF(C1708:E1725,$B1744)+COUNTIF(C1708:E1725,$B1744&amp;" ~*")&gt;0)+(COUNTIF(G1708:I1725,$B1744)+COUNTIF(G1708:I1725,$B1744&amp;" ~*")&gt;0)+(COUNTIF(K1708:M1725,$B1744)+COUNTIF(K1708:M1725,$B1744&amp;" ~*")&gt;0)+(COUNTIF(O1708:Q1725,$B1744)+COUNTIF(O1708:Q1725,$B1744&amp;" ~*")&gt;0)+(COUNTIF(S1708:U1725,$B1744)+COUNTIF(S1708:U1725,$B1744&amp;" ~*")&gt;0)+(COUNTIF(W1708:W1725,$B1744)+COUNTIF(W1708:W1725,$B1744&amp;" ~*")&gt;0)+(COUNTIF(Y1708:Y1725,$B1744)+COUNTIF(Y1708:Y1725,$B1744&amp;" ~*")&gt;0))</f>
        <v/>
      </c>
      <c r="AC1744" s="38">
        <f>IF($B1744="","",(IFERROR(INDEX(Setup!$G$33:$G$40,MATCH(C1744,Setup!$B$33:$B$40,0)),0)=1)*(COUNTIF(C1708:E1725,$B1744)+COUNTIF(C1708:E1725,$B1744&amp;" ~*")&gt;0)+(IFERROR(INDEX(Setup!$G$33:$G$40,MATCH(G1744,Setup!$B$33:$B$40,0)),0)=1)*(COUNTIF(G1708:I1725,$B1744)+COUNTIF(G1708:I1725,$B1744&amp;" ~*")&gt;0)+(IFERROR(INDEX(Setup!$G$33:$G$40,MATCH(K1744,Setup!$B$33:$B$40,0)),0)=1)*(COUNTIF(K1708:M1725,$B1744)+COUNTIF(K1708:M1725,$B1744&amp;" ~*")&gt;0)+(IFERROR(INDEX(Setup!$G$33:$G$40,MATCH(O1744,Setup!$B$33:$B$40,0)),0)=1)*(COUNTIF(O1708:Q1725,$B1744)+COUNTIF(O1708:Q1725,$B1744&amp;" ~*")&gt;0)+(IFERROR(INDEX(Setup!$G$33:$G$40,MATCH(S1744,Setup!$B$33:$B$40,0)),0)=1)*(COUNTIF(S1708:U1725,$B1744)+COUNTIF(S1708:U1725,$B1744&amp;" ~*")&gt;0)+(IFERROR(INDEX(Setup!$G$33:$G$40,MATCH(W1744,Setup!$B$33:$B$40,0)),0)=1)*(COUNTIF(W1708:W1725,$B1744)+COUNTIF(W1708:W1725,$B1744&amp;" ~*")&gt;0)+(IFERROR(INDEX(Setup!$G$33:$G$40,MATCH(Y1744,Setup!$B$33:$B$40,0)),0)=1)*(COUNTIF(Y1708:Y1725,$B1744)+COUNTIF(Y1708:Y1725,$B1744&amp;" ~*")&gt;0))</f>
        <v/>
      </c>
    </row>
    <row r="1745" ht="15" customHeight="1">
      <c r="A1745" t="n">
        <v>35</v>
      </c>
      <c r="B1745" s="35">
        <f>IF(Setup!$B$24="","",Setup!$B$24)</f>
        <v/>
      </c>
      <c r="C1745" s="98" t="n"/>
      <c r="D1745" s="99" t="n"/>
      <c r="E1745" s="99" t="n"/>
      <c r="F1745" s="100" t="n"/>
      <c r="G1745" s="98" t="n"/>
      <c r="H1745" s="99" t="n"/>
      <c r="I1745" s="99" t="n"/>
      <c r="J1745" s="100" t="n"/>
      <c r="K1745" s="98" t="n"/>
      <c r="L1745" s="99" t="n"/>
      <c r="M1745" s="99" t="n"/>
      <c r="N1745" s="100" t="n"/>
      <c r="O1745" s="98" t="n"/>
      <c r="P1745" s="99" t="n"/>
      <c r="Q1745" s="99" t="n"/>
      <c r="R1745" s="100" t="n"/>
      <c r="S1745" s="98" t="n"/>
      <c r="T1745" s="99" t="n"/>
      <c r="U1745" s="99" t="n"/>
      <c r="V1745" s="100" t="n"/>
      <c r="W1745" s="98" t="n"/>
      <c r="X1745" s="100" t="n"/>
      <c r="Y1745" s="98" t="n"/>
      <c r="Z1745" s="100" t="n"/>
      <c r="AB1745" s="101">
        <f>IF($B1745="","",(COUNTIF(C1708:E1725,$B1745)+COUNTIF(C1708:E1725,$B1745&amp;" ~*")&gt;0)+(COUNTIF(G1708:I1725,$B1745)+COUNTIF(G1708:I1725,$B1745&amp;" ~*")&gt;0)+(COUNTIF(K1708:M1725,$B1745)+COUNTIF(K1708:M1725,$B1745&amp;" ~*")&gt;0)+(COUNTIF(O1708:Q1725,$B1745)+COUNTIF(O1708:Q1725,$B1745&amp;" ~*")&gt;0)+(COUNTIF(S1708:U1725,$B1745)+COUNTIF(S1708:U1725,$B1745&amp;" ~*")&gt;0)+(COUNTIF(W1708:W1725,$B1745)+COUNTIF(W1708:W1725,$B1745&amp;" ~*")&gt;0)+(COUNTIF(Y1708:Y1725,$B1745)+COUNTIF(Y1708:Y1725,$B1745&amp;" ~*")&gt;0))</f>
        <v/>
      </c>
      <c r="AC1745" s="36">
        <f>IF($B1745="","",(IFERROR(INDEX(Setup!$G$33:$G$40,MATCH(C1745,Setup!$B$33:$B$40,0)),0)=1)*(COUNTIF(C1708:E1725,$B1745)+COUNTIF(C1708:E1725,$B1745&amp;" ~*")&gt;0)+(IFERROR(INDEX(Setup!$G$33:$G$40,MATCH(G1745,Setup!$B$33:$B$40,0)),0)=1)*(COUNTIF(G1708:I1725,$B1745)+COUNTIF(G1708:I1725,$B1745&amp;" ~*")&gt;0)+(IFERROR(INDEX(Setup!$G$33:$G$40,MATCH(K1745,Setup!$B$33:$B$40,0)),0)=1)*(COUNTIF(K1708:M1725,$B1745)+COUNTIF(K1708:M1725,$B1745&amp;" ~*")&gt;0)+(IFERROR(INDEX(Setup!$G$33:$G$40,MATCH(O1745,Setup!$B$33:$B$40,0)),0)=1)*(COUNTIF(O1708:Q1725,$B1745)+COUNTIF(O1708:Q1725,$B1745&amp;" ~*")&gt;0)+(IFERROR(INDEX(Setup!$G$33:$G$40,MATCH(S1745,Setup!$B$33:$B$40,0)),0)=1)*(COUNTIF(S1708:U1725,$B1745)+COUNTIF(S1708:U1725,$B1745&amp;" ~*")&gt;0)+(IFERROR(INDEX(Setup!$G$33:$G$40,MATCH(W1745,Setup!$B$33:$B$40,0)),0)=1)*(COUNTIF(W1708:W1725,$B1745)+COUNTIF(W1708:W1725,$B1745&amp;" ~*")&gt;0)+(IFERROR(INDEX(Setup!$G$33:$G$40,MATCH(Y1745,Setup!$B$33:$B$40,0)),0)=1)*(COUNTIF(Y1708:Y1725,$B1745)+COUNTIF(Y1708:Y1725,$B1745&amp;" ~*")&gt;0))</f>
        <v/>
      </c>
    </row>
    <row r="1746" ht="15" customHeight="1">
      <c r="A1746" t="n">
        <v>35</v>
      </c>
      <c r="B1746" s="37">
        <f>IF(Setup!$B$25="","",Setup!$B$25)</f>
        <v/>
      </c>
      <c r="C1746" s="102" t="n"/>
      <c r="D1746" s="103" t="n"/>
      <c r="E1746" s="103" t="n"/>
      <c r="F1746" s="104" t="n"/>
      <c r="G1746" s="102" t="n"/>
      <c r="H1746" s="103" t="n"/>
      <c r="I1746" s="103" t="n"/>
      <c r="J1746" s="104" t="n"/>
      <c r="K1746" s="102" t="n"/>
      <c r="L1746" s="103" t="n"/>
      <c r="M1746" s="103" t="n"/>
      <c r="N1746" s="104" t="n"/>
      <c r="O1746" s="102" t="n"/>
      <c r="P1746" s="103" t="n"/>
      <c r="Q1746" s="103" t="n"/>
      <c r="R1746" s="104" t="n"/>
      <c r="S1746" s="102" t="n"/>
      <c r="T1746" s="103" t="n"/>
      <c r="U1746" s="103" t="n"/>
      <c r="V1746" s="104" t="n"/>
      <c r="W1746" s="102" t="n"/>
      <c r="X1746" s="104" t="n"/>
      <c r="Y1746" s="102" t="n"/>
      <c r="Z1746" s="104" t="n"/>
      <c r="AB1746" s="105">
        <f>IF($B1746="","",(COUNTIF(C1708:E1725,$B1746)+COUNTIF(C1708:E1725,$B1746&amp;" ~*")&gt;0)+(COUNTIF(G1708:I1725,$B1746)+COUNTIF(G1708:I1725,$B1746&amp;" ~*")&gt;0)+(COUNTIF(K1708:M1725,$B1746)+COUNTIF(K1708:M1725,$B1746&amp;" ~*")&gt;0)+(COUNTIF(O1708:Q1725,$B1746)+COUNTIF(O1708:Q1725,$B1746&amp;" ~*")&gt;0)+(COUNTIF(S1708:U1725,$B1746)+COUNTIF(S1708:U1725,$B1746&amp;" ~*")&gt;0)+(COUNTIF(W1708:W1725,$B1746)+COUNTIF(W1708:W1725,$B1746&amp;" ~*")&gt;0)+(COUNTIF(Y1708:Y1725,$B1746)+COUNTIF(Y1708:Y1725,$B1746&amp;" ~*")&gt;0))</f>
        <v/>
      </c>
      <c r="AC1746" s="38">
        <f>IF($B1746="","",(IFERROR(INDEX(Setup!$G$33:$G$40,MATCH(C1746,Setup!$B$33:$B$40,0)),0)=1)*(COUNTIF(C1708:E1725,$B1746)+COUNTIF(C1708:E1725,$B1746&amp;" ~*")&gt;0)+(IFERROR(INDEX(Setup!$G$33:$G$40,MATCH(G1746,Setup!$B$33:$B$40,0)),0)=1)*(COUNTIF(G1708:I1725,$B1746)+COUNTIF(G1708:I1725,$B1746&amp;" ~*")&gt;0)+(IFERROR(INDEX(Setup!$G$33:$G$40,MATCH(K1746,Setup!$B$33:$B$40,0)),0)=1)*(COUNTIF(K1708:M1725,$B1746)+COUNTIF(K1708:M1725,$B1746&amp;" ~*")&gt;0)+(IFERROR(INDEX(Setup!$G$33:$G$40,MATCH(O1746,Setup!$B$33:$B$40,0)),0)=1)*(COUNTIF(O1708:Q1725,$B1746)+COUNTIF(O1708:Q1725,$B1746&amp;" ~*")&gt;0)+(IFERROR(INDEX(Setup!$G$33:$G$40,MATCH(S1746,Setup!$B$33:$B$40,0)),0)=1)*(COUNTIF(S1708:U1725,$B1746)+COUNTIF(S1708:U1725,$B1746&amp;" ~*")&gt;0)+(IFERROR(INDEX(Setup!$G$33:$G$40,MATCH(W1746,Setup!$B$33:$B$40,0)),0)=1)*(COUNTIF(W1708:W1725,$B1746)+COUNTIF(W1708:W1725,$B1746&amp;" ~*")&gt;0)+(IFERROR(INDEX(Setup!$G$33:$G$40,MATCH(Y1746,Setup!$B$33:$B$40,0)),0)=1)*(COUNTIF(Y1708:Y1725,$B1746)+COUNTIF(Y1708:Y1725,$B1746&amp;" ~*")&gt;0))</f>
        <v/>
      </c>
    </row>
    <row r="1747" ht="15" customHeight="1">
      <c r="A1747" t="n">
        <v>35</v>
      </c>
      <c r="B1747" s="35">
        <f>IF(Setup!$B$26="","",Setup!$B$26)</f>
        <v/>
      </c>
      <c r="C1747" s="98" t="n"/>
      <c r="D1747" s="99" t="n"/>
      <c r="E1747" s="99" t="n"/>
      <c r="F1747" s="100" t="n"/>
      <c r="G1747" s="98" t="n"/>
      <c r="H1747" s="99" t="n"/>
      <c r="I1747" s="99" t="n"/>
      <c r="J1747" s="100" t="n"/>
      <c r="K1747" s="98" t="n"/>
      <c r="L1747" s="99" t="n"/>
      <c r="M1747" s="99" t="n"/>
      <c r="N1747" s="100" t="n"/>
      <c r="O1747" s="98" t="n"/>
      <c r="P1747" s="99" t="n"/>
      <c r="Q1747" s="99" t="n"/>
      <c r="R1747" s="100" t="n"/>
      <c r="S1747" s="98" t="n"/>
      <c r="T1747" s="99" t="n"/>
      <c r="U1747" s="99" t="n"/>
      <c r="V1747" s="100" t="n"/>
      <c r="W1747" s="98" t="n"/>
      <c r="X1747" s="100" t="n"/>
      <c r="Y1747" s="98" t="n"/>
      <c r="Z1747" s="100" t="n"/>
      <c r="AB1747" s="101">
        <f>IF($B1747="","",(COUNTIF(C1708:E1725,$B1747)+COUNTIF(C1708:E1725,$B1747&amp;" ~*")&gt;0)+(COUNTIF(G1708:I1725,$B1747)+COUNTIF(G1708:I1725,$B1747&amp;" ~*")&gt;0)+(COUNTIF(K1708:M1725,$B1747)+COUNTIF(K1708:M1725,$B1747&amp;" ~*")&gt;0)+(COUNTIF(O1708:Q1725,$B1747)+COUNTIF(O1708:Q1725,$B1747&amp;" ~*")&gt;0)+(COUNTIF(S1708:U1725,$B1747)+COUNTIF(S1708:U1725,$B1747&amp;" ~*")&gt;0)+(COUNTIF(W1708:W1725,$B1747)+COUNTIF(W1708:W1725,$B1747&amp;" ~*")&gt;0)+(COUNTIF(Y1708:Y1725,$B1747)+COUNTIF(Y1708:Y1725,$B1747&amp;" ~*")&gt;0))</f>
        <v/>
      </c>
      <c r="AC1747" s="36">
        <f>IF($B1747="","",(IFERROR(INDEX(Setup!$G$33:$G$40,MATCH(C1747,Setup!$B$33:$B$40,0)),0)=1)*(COUNTIF(C1708:E1725,$B1747)+COUNTIF(C1708:E1725,$B1747&amp;" ~*")&gt;0)+(IFERROR(INDEX(Setup!$G$33:$G$40,MATCH(G1747,Setup!$B$33:$B$40,0)),0)=1)*(COUNTIF(G1708:I1725,$B1747)+COUNTIF(G1708:I1725,$B1747&amp;" ~*")&gt;0)+(IFERROR(INDEX(Setup!$G$33:$G$40,MATCH(K1747,Setup!$B$33:$B$40,0)),0)=1)*(COUNTIF(K1708:M1725,$B1747)+COUNTIF(K1708:M1725,$B1747&amp;" ~*")&gt;0)+(IFERROR(INDEX(Setup!$G$33:$G$40,MATCH(O1747,Setup!$B$33:$B$40,0)),0)=1)*(COUNTIF(O1708:Q1725,$B1747)+COUNTIF(O1708:Q1725,$B1747&amp;" ~*")&gt;0)+(IFERROR(INDEX(Setup!$G$33:$G$40,MATCH(S1747,Setup!$B$33:$B$40,0)),0)=1)*(COUNTIF(S1708:U1725,$B1747)+COUNTIF(S1708:U1725,$B1747&amp;" ~*")&gt;0)+(IFERROR(INDEX(Setup!$G$33:$G$40,MATCH(W1747,Setup!$B$33:$B$40,0)),0)=1)*(COUNTIF(W1708:W1725,$B1747)+COUNTIF(W1708:W1725,$B1747&amp;" ~*")&gt;0)+(IFERROR(INDEX(Setup!$G$33:$G$40,MATCH(Y1747,Setup!$B$33:$B$40,0)),0)=1)*(COUNTIF(Y1708:Y1725,$B1747)+COUNTIF(Y1708:Y1725,$B1747&amp;" ~*")&gt;0))</f>
        <v/>
      </c>
    </row>
    <row r="1748" ht="15" customHeight="1">
      <c r="A1748" t="n">
        <v>35</v>
      </c>
      <c r="B1748" s="37">
        <f>IF(Setup!$B$27="","",Setup!$B$27)</f>
        <v/>
      </c>
      <c r="C1748" s="102" t="n"/>
      <c r="D1748" s="103" t="n"/>
      <c r="E1748" s="103" t="n"/>
      <c r="F1748" s="104" t="n"/>
      <c r="G1748" s="102" t="n"/>
      <c r="H1748" s="103" t="n"/>
      <c r="I1748" s="103" t="n"/>
      <c r="J1748" s="104" t="n"/>
      <c r="K1748" s="102" t="n"/>
      <c r="L1748" s="103" t="n"/>
      <c r="M1748" s="103" t="n"/>
      <c r="N1748" s="104" t="n"/>
      <c r="O1748" s="102" t="n"/>
      <c r="P1748" s="103" t="n"/>
      <c r="Q1748" s="103" t="n"/>
      <c r="R1748" s="104" t="n"/>
      <c r="S1748" s="102" t="n"/>
      <c r="T1748" s="103" t="n"/>
      <c r="U1748" s="103" t="n"/>
      <c r="V1748" s="104" t="n"/>
      <c r="W1748" s="102" t="n"/>
      <c r="X1748" s="104" t="n"/>
      <c r="Y1748" s="102" t="n"/>
      <c r="Z1748" s="104" t="n"/>
      <c r="AB1748" s="105">
        <f>IF($B1748="","",(COUNTIF(C1708:E1725,$B1748)+COUNTIF(C1708:E1725,$B1748&amp;" ~*")&gt;0)+(COUNTIF(G1708:I1725,$B1748)+COUNTIF(G1708:I1725,$B1748&amp;" ~*")&gt;0)+(COUNTIF(K1708:M1725,$B1748)+COUNTIF(K1708:M1725,$B1748&amp;" ~*")&gt;0)+(COUNTIF(O1708:Q1725,$B1748)+COUNTIF(O1708:Q1725,$B1748&amp;" ~*")&gt;0)+(COUNTIF(S1708:U1725,$B1748)+COUNTIF(S1708:U1725,$B1748&amp;" ~*")&gt;0)+(COUNTIF(W1708:W1725,$B1748)+COUNTIF(W1708:W1725,$B1748&amp;" ~*")&gt;0)+(COUNTIF(Y1708:Y1725,$B1748)+COUNTIF(Y1708:Y1725,$B1748&amp;" ~*")&gt;0))</f>
        <v/>
      </c>
      <c r="AC1748" s="38">
        <f>IF($B1748="","",(IFERROR(INDEX(Setup!$G$33:$G$40,MATCH(C1748,Setup!$B$33:$B$40,0)),0)=1)*(COUNTIF(C1708:E1725,$B1748)+COUNTIF(C1708:E1725,$B1748&amp;" ~*")&gt;0)+(IFERROR(INDEX(Setup!$G$33:$G$40,MATCH(G1748,Setup!$B$33:$B$40,0)),0)=1)*(COUNTIF(G1708:I1725,$B1748)+COUNTIF(G1708:I1725,$B1748&amp;" ~*")&gt;0)+(IFERROR(INDEX(Setup!$G$33:$G$40,MATCH(K1748,Setup!$B$33:$B$40,0)),0)=1)*(COUNTIF(K1708:M1725,$B1748)+COUNTIF(K1708:M1725,$B1748&amp;" ~*")&gt;0)+(IFERROR(INDEX(Setup!$G$33:$G$40,MATCH(O1748,Setup!$B$33:$B$40,0)),0)=1)*(COUNTIF(O1708:Q1725,$B1748)+COUNTIF(O1708:Q1725,$B1748&amp;" ~*")&gt;0)+(IFERROR(INDEX(Setup!$G$33:$G$40,MATCH(S1748,Setup!$B$33:$B$40,0)),0)=1)*(COUNTIF(S1708:U1725,$B1748)+COUNTIF(S1708:U1725,$B1748&amp;" ~*")&gt;0)+(IFERROR(INDEX(Setup!$G$33:$G$40,MATCH(W1748,Setup!$B$33:$B$40,0)),0)=1)*(COUNTIF(W1708:W1725,$B1748)+COUNTIF(W1708:W1725,$B1748&amp;" ~*")&gt;0)+(IFERROR(INDEX(Setup!$G$33:$G$40,MATCH(Y1748,Setup!$B$33:$B$40,0)),0)=1)*(COUNTIF(Y1708:Y1725,$B1748)+COUNTIF(Y1708:Y1725,$B1748&amp;" ~*")&gt;0))</f>
        <v/>
      </c>
    </row>
    <row r="1749" ht="15" customHeight="1">
      <c r="A1749" t="n">
        <v>35</v>
      </c>
      <c r="B1749" s="35">
        <f>IF(Setup!$B$28="","",Setup!$B$28)</f>
        <v/>
      </c>
      <c r="C1749" s="98" t="n"/>
      <c r="D1749" s="99" t="n"/>
      <c r="E1749" s="99" t="n"/>
      <c r="F1749" s="100" t="n"/>
      <c r="G1749" s="98" t="n"/>
      <c r="H1749" s="99" t="n"/>
      <c r="I1749" s="99" t="n"/>
      <c r="J1749" s="100" t="n"/>
      <c r="K1749" s="98" t="n"/>
      <c r="L1749" s="99" t="n"/>
      <c r="M1749" s="99" t="n"/>
      <c r="N1749" s="100" t="n"/>
      <c r="O1749" s="98" t="n"/>
      <c r="P1749" s="99" t="n"/>
      <c r="Q1749" s="99" t="n"/>
      <c r="R1749" s="100" t="n"/>
      <c r="S1749" s="98" t="n"/>
      <c r="T1749" s="99" t="n"/>
      <c r="U1749" s="99" t="n"/>
      <c r="V1749" s="100" t="n"/>
      <c r="W1749" s="98" t="n"/>
      <c r="X1749" s="100" t="n"/>
      <c r="Y1749" s="98" t="n"/>
      <c r="Z1749" s="100" t="n"/>
      <c r="AB1749" s="101">
        <f>IF($B1749="","",(COUNTIF(C1708:E1725,$B1749)+COUNTIF(C1708:E1725,$B1749&amp;" ~*")&gt;0)+(COUNTIF(G1708:I1725,$B1749)+COUNTIF(G1708:I1725,$B1749&amp;" ~*")&gt;0)+(COUNTIF(K1708:M1725,$B1749)+COUNTIF(K1708:M1725,$B1749&amp;" ~*")&gt;0)+(COUNTIF(O1708:Q1725,$B1749)+COUNTIF(O1708:Q1725,$B1749&amp;" ~*")&gt;0)+(COUNTIF(S1708:U1725,$B1749)+COUNTIF(S1708:U1725,$B1749&amp;" ~*")&gt;0)+(COUNTIF(W1708:W1725,$B1749)+COUNTIF(W1708:W1725,$B1749&amp;" ~*")&gt;0)+(COUNTIF(Y1708:Y1725,$B1749)+COUNTIF(Y1708:Y1725,$B1749&amp;" ~*")&gt;0))</f>
        <v/>
      </c>
      <c r="AC1749" s="36">
        <f>IF($B1749="","",(IFERROR(INDEX(Setup!$G$33:$G$40,MATCH(C1749,Setup!$B$33:$B$40,0)),0)=1)*(COUNTIF(C1708:E1725,$B1749)+COUNTIF(C1708:E1725,$B1749&amp;" ~*")&gt;0)+(IFERROR(INDEX(Setup!$G$33:$G$40,MATCH(G1749,Setup!$B$33:$B$40,0)),0)=1)*(COUNTIF(G1708:I1725,$B1749)+COUNTIF(G1708:I1725,$B1749&amp;" ~*")&gt;0)+(IFERROR(INDEX(Setup!$G$33:$G$40,MATCH(K1749,Setup!$B$33:$B$40,0)),0)=1)*(COUNTIF(K1708:M1725,$B1749)+COUNTIF(K1708:M1725,$B1749&amp;" ~*")&gt;0)+(IFERROR(INDEX(Setup!$G$33:$G$40,MATCH(O1749,Setup!$B$33:$B$40,0)),0)=1)*(COUNTIF(O1708:Q1725,$B1749)+COUNTIF(O1708:Q1725,$B1749&amp;" ~*")&gt;0)+(IFERROR(INDEX(Setup!$G$33:$G$40,MATCH(S1749,Setup!$B$33:$B$40,0)),0)=1)*(COUNTIF(S1708:U1725,$B1749)+COUNTIF(S1708:U1725,$B1749&amp;" ~*")&gt;0)+(IFERROR(INDEX(Setup!$G$33:$G$40,MATCH(W1749,Setup!$B$33:$B$40,0)),0)=1)*(COUNTIF(W1708:W1725,$B1749)+COUNTIF(W1708:W1725,$B1749&amp;" ~*")&gt;0)+(IFERROR(INDEX(Setup!$G$33:$G$40,MATCH(Y1749,Setup!$B$33:$B$40,0)),0)=1)*(COUNTIF(Y1708:Y1725,$B1749)+COUNTIF(Y1708:Y1725,$B1749&amp;" ~*")&gt;0))</f>
        <v/>
      </c>
    </row>
    <row r="1750" ht="15" customHeight="1">
      <c r="A1750" t="n">
        <v>35</v>
      </c>
      <c r="B1750" s="37">
        <f>IF(Setup!$B$29="","",Setup!$B$29)</f>
        <v/>
      </c>
      <c r="C1750" s="102" t="n"/>
      <c r="D1750" s="103" t="n"/>
      <c r="E1750" s="103" t="n"/>
      <c r="F1750" s="104" t="n"/>
      <c r="G1750" s="102" t="n"/>
      <c r="H1750" s="103" t="n"/>
      <c r="I1750" s="103" t="n"/>
      <c r="J1750" s="104" t="n"/>
      <c r="K1750" s="102" t="n"/>
      <c r="L1750" s="103" t="n"/>
      <c r="M1750" s="103" t="n"/>
      <c r="N1750" s="104" t="n"/>
      <c r="O1750" s="102" t="n"/>
      <c r="P1750" s="103" t="n"/>
      <c r="Q1750" s="103" t="n"/>
      <c r="R1750" s="104" t="n"/>
      <c r="S1750" s="102" t="n"/>
      <c r="T1750" s="103" t="n"/>
      <c r="U1750" s="103" t="n"/>
      <c r="V1750" s="104" t="n"/>
      <c r="W1750" s="102" t="n"/>
      <c r="X1750" s="104" t="n"/>
      <c r="Y1750" s="102" t="n"/>
      <c r="Z1750" s="104" t="n"/>
      <c r="AB1750" s="105">
        <f>IF($B1750="","",(COUNTIF(C1708:E1725,$B1750)+COUNTIF(C1708:E1725,$B1750&amp;" ~*")&gt;0)+(COUNTIF(G1708:I1725,$B1750)+COUNTIF(G1708:I1725,$B1750&amp;" ~*")&gt;0)+(COUNTIF(K1708:M1725,$B1750)+COUNTIF(K1708:M1725,$B1750&amp;" ~*")&gt;0)+(COUNTIF(O1708:Q1725,$B1750)+COUNTIF(O1708:Q1725,$B1750&amp;" ~*")&gt;0)+(COUNTIF(S1708:U1725,$B1750)+COUNTIF(S1708:U1725,$B1750&amp;" ~*")&gt;0)+(COUNTIF(W1708:W1725,$B1750)+COUNTIF(W1708:W1725,$B1750&amp;" ~*")&gt;0)+(COUNTIF(Y1708:Y1725,$B1750)+COUNTIF(Y1708:Y1725,$B1750&amp;" ~*")&gt;0))</f>
        <v/>
      </c>
      <c r="AC1750" s="38">
        <f>IF($B1750="","",(IFERROR(INDEX(Setup!$G$33:$G$40,MATCH(C1750,Setup!$B$33:$B$40,0)),0)=1)*(COUNTIF(C1708:E1725,$B1750)+COUNTIF(C1708:E1725,$B1750&amp;" ~*")&gt;0)+(IFERROR(INDEX(Setup!$G$33:$G$40,MATCH(G1750,Setup!$B$33:$B$40,0)),0)=1)*(COUNTIF(G1708:I1725,$B1750)+COUNTIF(G1708:I1725,$B1750&amp;" ~*")&gt;0)+(IFERROR(INDEX(Setup!$G$33:$G$40,MATCH(K1750,Setup!$B$33:$B$40,0)),0)=1)*(COUNTIF(K1708:M1725,$B1750)+COUNTIF(K1708:M1725,$B1750&amp;" ~*")&gt;0)+(IFERROR(INDEX(Setup!$G$33:$G$40,MATCH(O1750,Setup!$B$33:$B$40,0)),0)=1)*(COUNTIF(O1708:Q1725,$B1750)+COUNTIF(O1708:Q1725,$B1750&amp;" ~*")&gt;0)+(IFERROR(INDEX(Setup!$G$33:$G$40,MATCH(S1750,Setup!$B$33:$B$40,0)),0)=1)*(COUNTIF(S1708:U1725,$B1750)+COUNTIF(S1708:U1725,$B1750&amp;" ~*")&gt;0)+(IFERROR(INDEX(Setup!$G$33:$G$40,MATCH(W1750,Setup!$B$33:$B$40,0)),0)=1)*(COUNTIF(W1708:W1725,$B1750)+COUNTIF(W1708:W1725,$B1750&amp;" ~*")&gt;0)+(IFERROR(INDEX(Setup!$G$33:$G$40,MATCH(Y1750,Setup!$B$33:$B$40,0)),0)=1)*(COUNTIF(Y1708:Y1725,$B1750)+COUNTIF(Y1708:Y1725,$B1750&amp;" ~*")&gt;0))</f>
        <v/>
      </c>
    </row>
    <row r="1751" ht="16" customHeight="1">
      <c r="A1751" t="n">
        <v>35</v>
      </c>
      <c r="B1751" s="106" t="inlineStr">
        <is>
          <t>Available people</t>
        </is>
      </c>
      <c r="C1751" s="107">
        <f>COUNTIFS(Setup!$E$6:$E$29,"Y",Setup!$B$6:$B$29,"?*")-SUMPRODUCT(COUNTIF(C1727:C1750,Setup!$F$33:$F$40))</f>
        <v/>
      </c>
      <c r="D1751" s="107" t="n"/>
      <c r="E1751" s="107" t="n"/>
      <c r="F1751" s="107" t="n"/>
      <c r="G1751" s="107">
        <f>COUNTIFS(Setup!$E$6:$E$29,"Y",Setup!$B$6:$B$29,"?*")-SUMPRODUCT(COUNTIF(G1727:G1750,Setup!$F$33:$F$40))</f>
        <v/>
      </c>
      <c r="H1751" s="107" t="n"/>
      <c r="I1751" s="107" t="n"/>
      <c r="J1751" s="107" t="n"/>
      <c r="K1751" s="107">
        <f>COUNTIFS(Setup!$E$6:$E$29,"Y",Setup!$B$6:$B$29,"?*")-SUMPRODUCT(COUNTIF(K1727:K1750,Setup!$F$33:$F$40))</f>
        <v/>
      </c>
      <c r="L1751" s="107" t="n"/>
      <c r="M1751" s="107" t="n"/>
      <c r="N1751" s="107" t="n"/>
      <c r="O1751" s="107">
        <f>COUNTIFS(Setup!$E$6:$E$29,"Y",Setup!$B$6:$B$29,"?*")-SUMPRODUCT(COUNTIF(O1727:O1750,Setup!$F$33:$F$40))</f>
        <v/>
      </c>
      <c r="P1751" s="107" t="n"/>
      <c r="Q1751" s="107" t="n"/>
      <c r="R1751" s="107" t="n"/>
      <c r="S1751" s="107">
        <f>COUNTIFS(Setup!$E$6:$E$29,"Y",Setup!$B$6:$B$29,"?*")-SUMPRODUCT(COUNTIF(S1727:S1750,Setup!$F$33:$F$40))</f>
        <v/>
      </c>
      <c r="T1751" s="107" t="n"/>
      <c r="U1751" s="107" t="n"/>
      <c r="V1751" s="107" t="n"/>
      <c r="W1751" s="107">
        <f>COUNTIFS(Setup!$E$6:$E$29,"Y",Setup!$B$6:$B$29,"?*")-SUMPRODUCT(COUNTIF(W1727:W1750,Setup!$F$33:$F$40))</f>
        <v/>
      </c>
      <c r="X1751" s="107" t="n"/>
      <c r="Y1751" s="107">
        <f>COUNTIFS(Setup!$E$6:$E$29,"Y",Setup!$B$6:$B$29,"?*")-SUMPRODUCT(COUNTIF(Y1727:Y1750,Setup!$F$33:$F$40))</f>
        <v/>
      </c>
      <c r="Z1751" s="107" t="n"/>
      <c r="AB1751" s="108">
        <f>SUM(AB1727:AB1750)</f>
        <v/>
      </c>
      <c r="AC1751" s="109">
        <f>SUM(AC1727:AC1750)</f>
        <v/>
      </c>
    </row>
    <row r="1752" ht="30" customHeight="1">
      <c r="A1752" t="n">
        <v>35</v>
      </c>
      <c r="B1752" s="110" t="inlineStr">
        <is>
          <t>Week notes</t>
        </is>
      </c>
      <c r="C1752" s="111" t="n"/>
      <c r="D1752" s="112" t="n"/>
      <c r="E1752" s="112" t="n"/>
      <c r="F1752" s="112" t="n"/>
      <c r="G1752" s="112" t="n"/>
      <c r="H1752" s="112" t="n"/>
      <c r="I1752" s="112" t="n"/>
      <c r="J1752" s="112" t="n"/>
      <c r="K1752" s="112" t="n"/>
      <c r="L1752" s="112" t="n"/>
      <c r="M1752" s="112" t="n"/>
      <c r="N1752" s="112" t="n"/>
      <c r="O1752" s="112" t="n"/>
      <c r="P1752" s="112" t="n"/>
      <c r="Q1752" s="112" t="n"/>
      <c r="R1752" s="112" t="n"/>
      <c r="S1752" s="112" t="n"/>
      <c r="T1752" s="112" t="n"/>
      <c r="U1752" s="112" t="n"/>
      <c r="V1752" s="112" t="n"/>
      <c r="W1752" s="112" t="n"/>
      <c r="X1752" s="112" t="n"/>
      <c r="Y1752" s="112" t="n"/>
      <c r="Z1752" s="113" t="n"/>
    </row>
    <row r="1753" ht="8" customHeight="1">
      <c r="A1753" t="n">
        <v>35</v>
      </c>
    </row>
    <row r="1754" ht="8" customHeight="1">
      <c r="A1754" t="n">
        <v>35</v>
      </c>
    </row>
    <row r="1755" ht="24" customHeight="1">
      <c r="A1755" t="n">
        <v>36</v>
      </c>
      <c r="B1755" s="73">
        <f>"WEEK 36     "&amp;TEXT(C1756,"ddd d mmm")&amp;"  –  "&amp;TEXT(C1756+6,"ddd d mmm yyyy")</f>
        <v/>
      </c>
      <c r="S1755" s="74">
        <f>IF(TODAY()&lt;C1756,"FUTURE",IF(TODAY()&gt;C1756+6,"PAST","THIS WEEK"))</f>
        <v/>
      </c>
      <c r="W1755" s="75">
        <f>IF(AND(Engine!$B$8=$AC$3,Engine!$B$9=$A1755),"◀ ACTIVE WEEK","")</f>
        <v/>
      </c>
      <c r="AA1755" s="76" t="n"/>
      <c r="AB1755" s="77" t="inlineStr">
        <is>
          <t>◀ Prev</t>
        </is>
      </c>
      <c r="AC1755" s="77" t="inlineStr">
        <is>
          <t>Next ▶</t>
        </is>
      </c>
    </row>
    <row r="1756" ht="18" customHeight="1">
      <c r="A1756" t="n">
        <v>36</v>
      </c>
      <c r="B1756" s="78" t="inlineStr">
        <is>
          <t>DUTY</t>
        </is>
      </c>
      <c r="C1756" s="79">
        <f>$AC$2+7*($A1756-1)</f>
        <v/>
      </c>
      <c r="D1756" s="80" t="n"/>
      <c r="E1756" s="80" t="n"/>
      <c r="F1756" s="81" t="n"/>
      <c r="G1756" s="79">
        <f>C1756+1</f>
        <v/>
      </c>
      <c r="H1756" s="80" t="n"/>
      <c r="I1756" s="80" t="n"/>
      <c r="J1756" s="81" t="n"/>
      <c r="K1756" s="79">
        <f>C1756+2</f>
        <v/>
      </c>
      <c r="L1756" s="80" t="n"/>
      <c r="M1756" s="80" t="n"/>
      <c r="N1756" s="81" t="n"/>
      <c r="O1756" s="79">
        <f>C1756+3</f>
        <v/>
      </c>
      <c r="P1756" s="80" t="n"/>
      <c r="Q1756" s="80" t="n"/>
      <c r="R1756" s="81" t="n"/>
      <c r="S1756" s="79">
        <f>C1756+4</f>
        <v/>
      </c>
      <c r="T1756" s="80" t="n"/>
      <c r="U1756" s="80" t="n"/>
      <c r="V1756" s="81" t="n"/>
      <c r="W1756" s="82">
        <f>C1756+5</f>
        <v/>
      </c>
      <c r="X1756" s="83" t="n"/>
      <c r="Y1756" s="82">
        <f>C1756+6</f>
        <v/>
      </c>
      <c r="Z1756" s="83" t="n"/>
      <c r="AB1756" s="72" t="inlineStr">
        <is>
          <t>Gaps</t>
        </is>
      </c>
      <c r="AC1756" s="72" t="inlineStr">
        <is>
          <t>Cover</t>
        </is>
      </c>
    </row>
    <row r="1757" ht="14" customHeight="1">
      <c r="A1757" t="n">
        <v>36</v>
      </c>
      <c r="B1757" s="84" t="inlineStr">
        <is>
          <t>(from Setup)</t>
        </is>
      </c>
      <c r="C1757" s="85" t="inlineStr">
        <is>
          <t>1</t>
        </is>
      </c>
      <c r="D1757" s="85" t="inlineStr">
        <is>
          <t>2</t>
        </is>
      </c>
      <c r="E1757" s="85" t="inlineStr">
        <is>
          <t>3</t>
        </is>
      </c>
      <c r="F1757" s="85" t="inlineStr">
        <is>
          <t>Notes</t>
        </is>
      </c>
      <c r="G1757" s="85" t="inlineStr">
        <is>
          <t>1</t>
        </is>
      </c>
      <c r="H1757" s="85" t="inlineStr">
        <is>
          <t>2</t>
        </is>
      </c>
      <c r="I1757" s="85" t="inlineStr">
        <is>
          <t>3</t>
        </is>
      </c>
      <c r="J1757" s="85" t="inlineStr">
        <is>
          <t>Notes</t>
        </is>
      </c>
      <c r="K1757" s="85" t="inlineStr">
        <is>
          <t>1</t>
        </is>
      </c>
      <c r="L1757" s="85" t="inlineStr">
        <is>
          <t>2</t>
        </is>
      </c>
      <c r="M1757" s="85" t="inlineStr">
        <is>
          <t>3</t>
        </is>
      </c>
      <c r="N1757" s="85" t="inlineStr">
        <is>
          <t>Notes</t>
        </is>
      </c>
      <c r="O1757" s="85" t="inlineStr">
        <is>
          <t>1</t>
        </is>
      </c>
      <c r="P1757" s="85" t="inlineStr">
        <is>
          <t>2</t>
        </is>
      </c>
      <c r="Q1757" s="85" t="inlineStr">
        <is>
          <t>3</t>
        </is>
      </c>
      <c r="R1757" s="85" t="inlineStr">
        <is>
          <t>Notes</t>
        </is>
      </c>
      <c r="S1757" s="85" t="inlineStr">
        <is>
          <t>1</t>
        </is>
      </c>
      <c r="T1757" s="85" t="inlineStr">
        <is>
          <t>2</t>
        </is>
      </c>
      <c r="U1757" s="85" t="inlineStr">
        <is>
          <t>3</t>
        </is>
      </c>
      <c r="V1757" s="85" t="inlineStr">
        <is>
          <t>Notes</t>
        </is>
      </c>
      <c r="W1757" s="85" t="inlineStr">
        <is>
          <t>Cover</t>
        </is>
      </c>
      <c r="X1757" s="85" t="inlineStr">
        <is>
          <t>Notes</t>
        </is>
      </c>
      <c r="Y1757" s="85" t="inlineStr">
        <is>
          <t>Cover</t>
        </is>
      </c>
      <c r="Z1757" s="85" t="inlineStr">
        <is>
          <t>Notes</t>
        </is>
      </c>
      <c r="AB1757" s="86" t="inlineStr">
        <is>
          <t>weekdays short</t>
        </is>
      </c>
      <c r="AC1757" s="87" t="inlineStr"/>
    </row>
    <row r="1758" ht="17" customHeight="1">
      <c r="A1758" t="n">
        <v>36</v>
      </c>
      <c r="B1758" s="24">
        <f>IF(Setup!$K$6="","",Setup!$K$6)</f>
        <v/>
      </c>
      <c r="C1758" s="88" t="n"/>
      <c r="D1758" s="88" t="n"/>
      <c r="E1758" s="88" t="n"/>
      <c r="F1758" s="89" t="n"/>
      <c r="G1758" s="88" t="n"/>
      <c r="H1758" s="88" t="n"/>
      <c r="I1758" s="88" t="n"/>
      <c r="J1758" s="89" t="n"/>
      <c r="K1758" s="88" t="n"/>
      <c r="L1758" s="88" t="n"/>
      <c r="M1758" s="88" t="n"/>
      <c r="N1758" s="89" t="n"/>
      <c r="O1758" s="88" t="n"/>
      <c r="P1758" s="88" t="n"/>
      <c r="Q1758" s="88" t="n"/>
      <c r="R1758" s="89" t="n"/>
      <c r="S1758" s="88" t="n"/>
      <c r="T1758" s="88" t="n"/>
      <c r="U1758" s="88" t="n"/>
      <c r="V1758" s="89" t="n"/>
      <c r="W1758" s="88" t="n"/>
      <c r="X1758" s="89" t="n"/>
      <c r="Y1758" s="88" t="n"/>
      <c r="Z1758" s="89" t="n"/>
      <c r="AB1758" s="25">
        <f>IF($B1758="","",(COUNTIF(C1758:E1758,"?*")&lt;N(INDEX(Setup!$L$6:$L$23,1)))+(COUNTIF(G1758:I1758,"?*")&lt;N(INDEX(Setup!$L$6:$L$23,1)))+(COUNTIF(K1758:M1758,"?*")&lt;N(INDEX(Setup!$L$6:$L$23,1)))+(COUNTIF(O1758:Q1758,"?*")&lt;N(INDEX(Setup!$L$6:$L$23,1)))+(COUNTIF(S1758:U1758,"?*")&lt;N(INDEX(Setup!$L$6:$L$23,1)))+((W1758="")*(INDEX(Setup!$M$6:$M$23,1)="Y"))+((Y1758="")*(INDEX(Setup!$M$6:$M$23,1)="Y")))</f>
        <v/>
      </c>
      <c r="AC1758" s="90">
        <f>IF($B1758="","",IF(AB1758=0,"✓ covered","⚠ "&amp;AB1758&amp;IF(AB1758=1," gap"," gaps")))</f>
        <v/>
      </c>
    </row>
    <row r="1759" ht="17" customHeight="1">
      <c r="A1759" t="n">
        <v>36</v>
      </c>
      <c r="B1759" s="29">
        <f>IF(Setup!$K$7="","",Setup!$K$7)</f>
        <v/>
      </c>
      <c r="C1759" s="88" t="n"/>
      <c r="D1759" s="88" t="n"/>
      <c r="E1759" s="88" t="n"/>
      <c r="F1759" s="89" t="n"/>
      <c r="G1759" s="88" t="n"/>
      <c r="H1759" s="88" t="n"/>
      <c r="I1759" s="88" t="n"/>
      <c r="J1759" s="89" t="n"/>
      <c r="K1759" s="88" t="n"/>
      <c r="L1759" s="88" t="n"/>
      <c r="M1759" s="88" t="n"/>
      <c r="N1759" s="89" t="n"/>
      <c r="O1759" s="88" t="n"/>
      <c r="P1759" s="88" t="n"/>
      <c r="Q1759" s="88" t="n"/>
      <c r="R1759" s="89" t="n"/>
      <c r="S1759" s="88" t="n"/>
      <c r="T1759" s="88" t="n"/>
      <c r="U1759" s="88" t="n"/>
      <c r="V1759" s="89" t="n"/>
      <c r="W1759" s="88" t="n"/>
      <c r="X1759" s="89" t="n"/>
      <c r="Y1759" s="88" t="n"/>
      <c r="Z1759" s="89" t="n"/>
      <c r="AB1759" s="30">
        <f>IF($B1759="","",(COUNTIF(C1759:E1759,"?*")&lt;N(INDEX(Setup!$L$6:$L$23,2)))+(COUNTIF(G1759:I1759,"?*")&lt;N(INDEX(Setup!$L$6:$L$23,2)))+(COUNTIF(K1759:M1759,"?*")&lt;N(INDEX(Setup!$L$6:$L$23,2)))+(COUNTIF(O1759:Q1759,"?*")&lt;N(INDEX(Setup!$L$6:$L$23,2)))+(COUNTIF(S1759:U1759,"?*")&lt;N(INDEX(Setup!$L$6:$L$23,2)))+((W1759="")*(INDEX(Setup!$M$6:$M$23,2)="Y"))+((Y1759="")*(INDEX(Setup!$M$6:$M$23,2)="Y")))</f>
        <v/>
      </c>
      <c r="AC1759" s="91">
        <f>IF($B1759="","",IF(AB1759=0,"✓ covered","⚠ "&amp;AB1759&amp;IF(AB1759=1," gap"," gaps")))</f>
        <v/>
      </c>
    </row>
    <row r="1760" ht="17" customHeight="1">
      <c r="A1760" t="n">
        <v>36</v>
      </c>
      <c r="B1760" s="24">
        <f>IF(Setup!$K$8="","",Setup!$K$8)</f>
        <v/>
      </c>
      <c r="C1760" s="88" t="n"/>
      <c r="D1760" s="88" t="n"/>
      <c r="E1760" s="88" t="n"/>
      <c r="F1760" s="89" t="n"/>
      <c r="G1760" s="88" t="n"/>
      <c r="H1760" s="88" t="n"/>
      <c r="I1760" s="88" t="n"/>
      <c r="J1760" s="89" t="n"/>
      <c r="K1760" s="88" t="n"/>
      <c r="L1760" s="88" t="n"/>
      <c r="M1760" s="88" t="n"/>
      <c r="N1760" s="89" t="n"/>
      <c r="O1760" s="88" t="n"/>
      <c r="P1760" s="88" t="n"/>
      <c r="Q1760" s="88" t="n"/>
      <c r="R1760" s="89" t="n"/>
      <c r="S1760" s="88" t="n"/>
      <c r="T1760" s="88" t="n"/>
      <c r="U1760" s="88" t="n"/>
      <c r="V1760" s="89" t="n"/>
      <c r="W1760" s="88" t="n"/>
      <c r="X1760" s="89" t="n"/>
      <c r="Y1760" s="88" t="n"/>
      <c r="Z1760" s="89" t="n"/>
      <c r="AB1760" s="25">
        <f>IF($B1760="","",(COUNTIF(C1760:E1760,"?*")&lt;N(INDEX(Setup!$L$6:$L$23,3)))+(COUNTIF(G1760:I1760,"?*")&lt;N(INDEX(Setup!$L$6:$L$23,3)))+(COUNTIF(K1760:M1760,"?*")&lt;N(INDEX(Setup!$L$6:$L$23,3)))+(COUNTIF(O1760:Q1760,"?*")&lt;N(INDEX(Setup!$L$6:$L$23,3)))+(COUNTIF(S1760:U1760,"?*")&lt;N(INDEX(Setup!$L$6:$L$23,3)))+((W1760="")*(INDEX(Setup!$M$6:$M$23,3)="Y"))+((Y1760="")*(INDEX(Setup!$M$6:$M$23,3)="Y")))</f>
        <v/>
      </c>
      <c r="AC1760" s="90">
        <f>IF($B1760="","",IF(AB1760=0,"✓ covered","⚠ "&amp;AB1760&amp;IF(AB1760=1," gap"," gaps")))</f>
        <v/>
      </c>
    </row>
    <row r="1761" ht="17" customHeight="1">
      <c r="A1761" t="n">
        <v>36</v>
      </c>
      <c r="B1761" s="29">
        <f>IF(Setup!$K$9="","",Setup!$K$9)</f>
        <v/>
      </c>
      <c r="C1761" s="88" t="n"/>
      <c r="D1761" s="88" t="n"/>
      <c r="E1761" s="88" t="n"/>
      <c r="F1761" s="89" t="n"/>
      <c r="G1761" s="88" t="n"/>
      <c r="H1761" s="88" t="n"/>
      <c r="I1761" s="88" t="n"/>
      <c r="J1761" s="89" t="n"/>
      <c r="K1761" s="88" t="n"/>
      <c r="L1761" s="88" t="n"/>
      <c r="M1761" s="88" t="n"/>
      <c r="N1761" s="89" t="n"/>
      <c r="O1761" s="88" t="n"/>
      <c r="P1761" s="88" t="n"/>
      <c r="Q1761" s="88" t="n"/>
      <c r="R1761" s="89" t="n"/>
      <c r="S1761" s="88" t="n"/>
      <c r="T1761" s="88" t="n"/>
      <c r="U1761" s="88" t="n"/>
      <c r="V1761" s="89" t="n"/>
      <c r="W1761" s="88" t="n"/>
      <c r="X1761" s="89" t="n"/>
      <c r="Y1761" s="88" t="n"/>
      <c r="Z1761" s="89" t="n"/>
      <c r="AB1761" s="30">
        <f>IF($B1761="","",(COUNTIF(C1761:E1761,"?*")&lt;N(INDEX(Setup!$L$6:$L$23,4)))+(COUNTIF(G1761:I1761,"?*")&lt;N(INDEX(Setup!$L$6:$L$23,4)))+(COUNTIF(K1761:M1761,"?*")&lt;N(INDEX(Setup!$L$6:$L$23,4)))+(COUNTIF(O1761:Q1761,"?*")&lt;N(INDEX(Setup!$L$6:$L$23,4)))+(COUNTIF(S1761:U1761,"?*")&lt;N(INDEX(Setup!$L$6:$L$23,4)))+((W1761="")*(INDEX(Setup!$M$6:$M$23,4)="Y"))+((Y1761="")*(INDEX(Setup!$M$6:$M$23,4)="Y")))</f>
        <v/>
      </c>
      <c r="AC1761" s="91">
        <f>IF($B1761="","",IF(AB1761=0,"✓ covered","⚠ "&amp;AB1761&amp;IF(AB1761=1," gap"," gaps")))</f>
        <v/>
      </c>
    </row>
    <row r="1762" ht="17" customHeight="1">
      <c r="A1762" t="n">
        <v>36</v>
      </c>
      <c r="B1762" s="24">
        <f>IF(Setup!$K$10="","",Setup!$K$10)</f>
        <v/>
      </c>
      <c r="C1762" s="88" t="n"/>
      <c r="D1762" s="88" t="n"/>
      <c r="E1762" s="88" t="n"/>
      <c r="F1762" s="89" t="n"/>
      <c r="G1762" s="88" t="n"/>
      <c r="H1762" s="88" t="n"/>
      <c r="I1762" s="88" t="n"/>
      <c r="J1762" s="89" t="n"/>
      <c r="K1762" s="88" t="n"/>
      <c r="L1762" s="88" t="n"/>
      <c r="M1762" s="88" t="n"/>
      <c r="N1762" s="89" t="n"/>
      <c r="O1762" s="88" t="n"/>
      <c r="P1762" s="88" t="n"/>
      <c r="Q1762" s="88" t="n"/>
      <c r="R1762" s="89" t="n"/>
      <c r="S1762" s="88" t="n"/>
      <c r="T1762" s="88" t="n"/>
      <c r="U1762" s="88" t="n"/>
      <c r="V1762" s="89" t="n"/>
      <c r="W1762" s="88" t="n"/>
      <c r="X1762" s="89" t="n"/>
      <c r="Y1762" s="88" t="n"/>
      <c r="Z1762" s="89" t="n"/>
      <c r="AB1762" s="25">
        <f>IF($B1762="","",(COUNTIF(C1762:E1762,"?*")&lt;N(INDEX(Setup!$L$6:$L$23,5)))+(COUNTIF(G1762:I1762,"?*")&lt;N(INDEX(Setup!$L$6:$L$23,5)))+(COUNTIF(K1762:M1762,"?*")&lt;N(INDEX(Setup!$L$6:$L$23,5)))+(COUNTIF(O1762:Q1762,"?*")&lt;N(INDEX(Setup!$L$6:$L$23,5)))+(COUNTIF(S1762:U1762,"?*")&lt;N(INDEX(Setup!$L$6:$L$23,5)))+((W1762="")*(INDEX(Setup!$M$6:$M$23,5)="Y"))+((Y1762="")*(INDEX(Setup!$M$6:$M$23,5)="Y")))</f>
        <v/>
      </c>
      <c r="AC1762" s="90">
        <f>IF($B1762="","",IF(AB1762=0,"✓ covered","⚠ "&amp;AB1762&amp;IF(AB1762=1," gap"," gaps")))</f>
        <v/>
      </c>
    </row>
    <row r="1763" ht="17" customHeight="1">
      <c r="A1763" t="n">
        <v>36</v>
      </c>
      <c r="B1763" s="29">
        <f>IF(Setup!$K$11="","",Setup!$K$11)</f>
        <v/>
      </c>
      <c r="C1763" s="88" t="n"/>
      <c r="D1763" s="88" t="n"/>
      <c r="E1763" s="88" t="n"/>
      <c r="F1763" s="89" t="n"/>
      <c r="G1763" s="88" t="n"/>
      <c r="H1763" s="88" t="n"/>
      <c r="I1763" s="88" t="n"/>
      <c r="J1763" s="89" t="n"/>
      <c r="K1763" s="88" t="n"/>
      <c r="L1763" s="88" t="n"/>
      <c r="M1763" s="88" t="n"/>
      <c r="N1763" s="89" t="n"/>
      <c r="O1763" s="88" t="n"/>
      <c r="P1763" s="88" t="n"/>
      <c r="Q1763" s="88" t="n"/>
      <c r="R1763" s="89" t="n"/>
      <c r="S1763" s="88" t="n"/>
      <c r="T1763" s="88" t="n"/>
      <c r="U1763" s="88" t="n"/>
      <c r="V1763" s="89" t="n"/>
      <c r="W1763" s="88" t="n"/>
      <c r="X1763" s="89" t="n"/>
      <c r="Y1763" s="88" t="n"/>
      <c r="Z1763" s="89" t="n"/>
      <c r="AB1763" s="30">
        <f>IF($B1763="","",(COUNTIF(C1763:E1763,"?*")&lt;N(INDEX(Setup!$L$6:$L$23,6)))+(COUNTIF(G1763:I1763,"?*")&lt;N(INDEX(Setup!$L$6:$L$23,6)))+(COUNTIF(K1763:M1763,"?*")&lt;N(INDEX(Setup!$L$6:$L$23,6)))+(COUNTIF(O1763:Q1763,"?*")&lt;N(INDEX(Setup!$L$6:$L$23,6)))+(COUNTIF(S1763:U1763,"?*")&lt;N(INDEX(Setup!$L$6:$L$23,6)))+((W1763="")*(INDEX(Setup!$M$6:$M$23,6)="Y"))+((Y1763="")*(INDEX(Setup!$M$6:$M$23,6)="Y")))</f>
        <v/>
      </c>
      <c r="AC1763" s="91">
        <f>IF($B1763="","",IF(AB1763=0,"✓ covered","⚠ "&amp;AB1763&amp;IF(AB1763=1," gap"," gaps")))</f>
        <v/>
      </c>
    </row>
    <row r="1764" ht="17" customHeight="1">
      <c r="A1764" t="n">
        <v>36</v>
      </c>
      <c r="B1764" s="24">
        <f>IF(Setup!$K$12="","",Setup!$K$12)</f>
        <v/>
      </c>
      <c r="C1764" s="88" t="n"/>
      <c r="D1764" s="88" t="n"/>
      <c r="E1764" s="88" t="n"/>
      <c r="F1764" s="89" t="n"/>
      <c r="G1764" s="88" t="n"/>
      <c r="H1764" s="88" t="n"/>
      <c r="I1764" s="88" t="n"/>
      <c r="J1764" s="89" t="n"/>
      <c r="K1764" s="88" t="n"/>
      <c r="L1764" s="88" t="n"/>
      <c r="M1764" s="88" t="n"/>
      <c r="N1764" s="89" t="n"/>
      <c r="O1764" s="88" t="n"/>
      <c r="P1764" s="88" t="n"/>
      <c r="Q1764" s="88" t="n"/>
      <c r="R1764" s="89" t="n"/>
      <c r="S1764" s="88" t="n"/>
      <c r="T1764" s="88" t="n"/>
      <c r="U1764" s="88" t="n"/>
      <c r="V1764" s="89" t="n"/>
      <c r="W1764" s="88" t="n"/>
      <c r="X1764" s="89" t="n"/>
      <c r="Y1764" s="88" t="n"/>
      <c r="Z1764" s="89" t="n"/>
      <c r="AB1764" s="25">
        <f>IF($B1764="","",(COUNTIF(C1764:E1764,"?*")&lt;N(INDEX(Setup!$L$6:$L$23,7)))+(COUNTIF(G1764:I1764,"?*")&lt;N(INDEX(Setup!$L$6:$L$23,7)))+(COUNTIF(K1764:M1764,"?*")&lt;N(INDEX(Setup!$L$6:$L$23,7)))+(COUNTIF(O1764:Q1764,"?*")&lt;N(INDEX(Setup!$L$6:$L$23,7)))+(COUNTIF(S1764:U1764,"?*")&lt;N(INDEX(Setup!$L$6:$L$23,7)))+((W1764="")*(INDEX(Setup!$M$6:$M$23,7)="Y"))+((Y1764="")*(INDEX(Setup!$M$6:$M$23,7)="Y")))</f>
        <v/>
      </c>
      <c r="AC1764" s="90">
        <f>IF($B1764="","",IF(AB1764=0,"✓ covered","⚠ "&amp;AB1764&amp;IF(AB1764=1," gap"," gaps")))</f>
        <v/>
      </c>
    </row>
    <row r="1765" ht="17" customHeight="1">
      <c r="A1765" t="n">
        <v>36</v>
      </c>
      <c r="B1765" s="29">
        <f>IF(Setup!$K$13="","",Setup!$K$13)</f>
        <v/>
      </c>
      <c r="C1765" s="88" t="n"/>
      <c r="D1765" s="88" t="n"/>
      <c r="E1765" s="88" t="n"/>
      <c r="F1765" s="89" t="n"/>
      <c r="G1765" s="88" t="n"/>
      <c r="H1765" s="88" t="n"/>
      <c r="I1765" s="88" t="n"/>
      <c r="J1765" s="89" t="n"/>
      <c r="K1765" s="88" t="n"/>
      <c r="L1765" s="88" t="n"/>
      <c r="M1765" s="88" t="n"/>
      <c r="N1765" s="89" t="n"/>
      <c r="O1765" s="88" t="n"/>
      <c r="P1765" s="88" t="n"/>
      <c r="Q1765" s="88" t="n"/>
      <c r="R1765" s="89" t="n"/>
      <c r="S1765" s="88" t="n"/>
      <c r="T1765" s="88" t="n"/>
      <c r="U1765" s="88" t="n"/>
      <c r="V1765" s="89" t="n"/>
      <c r="W1765" s="88" t="n"/>
      <c r="X1765" s="89" t="n"/>
      <c r="Y1765" s="88" t="n"/>
      <c r="Z1765" s="89" t="n"/>
      <c r="AB1765" s="30">
        <f>IF($B1765="","",(COUNTIF(C1765:E1765,"?*")&lt;N(INDEX(Setup!$L$6:$L$23,8)))+(COUNTIF(G1765:I1765,"?*")&lt;N(INDEX(Setup!$L$6:$L$23,8)))+(COUNTIF(K1765:M1765,"?*")&lt;N(INDEX(Setup!$L$6:$L$23,8)))+(COUNTIF(O1765:Q1765,"?*")&lt;N(INDEX(Setup!$L$6:$L$23,8)))+(COUNTIF(S1765:U1765,"?*")&lt;N(INDEX(Setup!$L$6:$L$23,8)))+((W1765="")*(INDEX(Setup!$M$6:$M$23,8)="Y"))+((Y1765="")*(INDEX(Setup!$M$6:$M$23,8)="Y")))</f>
        <v/>
      </c>
      <c r="AC1765" s="91">
        <f>IF($B1765="","",IF(AB1765=0,"✓ covered","⚠ "&amp;AB1765&amp;IF(AB1765=1," gap"," gaps")))</f>
        <v/>
      </c>
    </row>
    <row r="1766" ht="17" customHeight="1">
      <c r="A1766" t="n">
        <v>36</v>
      </c>
      <c r="B1766" s="24">
        <f>IF(Setup!$K$14="","",Setup!$K$14)</f>
        <v/>
      </c>
      <c r="C1766" s="88" t="n"/>
      <c r="D1766" s="88" t="n"/>
      <c r="E1766" s="88" t="n"/>
      <c r="F1766" s="89" t="n"/>
      <c r="G1766" s="88" t="n"/>
      <c r="H1766" s="88" t="n"/>
      <c r="I1766" s="88" t="n"/>
      <c r="J1766" s="89" t="n"/>
      <c r="K1766" s="88" t="n"/>
      <c r="L1766" s="88" t="n"/>
      <c r="M1766" s="88" t="n"/>
      <c r="N1766" s="89" t="n"/>
      <c r="O1766" s="88" t="n"/>
      <c r="P1766" s="88" t="n"/>
      <c r="Q1766" s="88" t="n"/>
      <c r="R1766" s="89" t="n"/>
      <c r="S1766" s="88" t="n"/>
      <c r="T1766" s="88" t="n"/>
      <c r="U1766" s="88" t="n"/>
      <c r="V1766" s="89" t="n"/>
      <c r="W1766" s="88" t="n"/>
      <c r="X1766" s="89" t="n"/>
      <c r="Y1766" s="88" t="n"/>
      <c r="Z1766" s="89" t="n"/>
      <c r="AB1766" s="25">
        <f>IF($B1766="","",(COUNTIF(C1766:E1766,"?*")&lt;N(INDEX(Setup!$L$6:$L$23,9)))+(COUNTIF(G1766:I1766,"?*")&lt;N(INDEX(Setup!$L$6:$L$23,9)))+(COUNTIF(K1766:M1766,"?*")&lt;N(INDEX(Setup!$L$6:$L$23,9)))+(COUNTIF(O1766:Q1766,"?*")&lt;N(INDEX(Setup!$L$6:$L$23,9)))+(COUNTIF(S1766:U1766,"?*")&lt;N(INDEX(Setup!$L$6:$L$23,9)))+((W1766="")*(INDEX(Setup!$M$6:$M$23,9)="Y"))+((Y1766="")*(INDEX(Setup!$M$6:$M$23,9)="Y")))</f>
        <v/>
      </c>
      <c r="AC1766" s="90">
        <f>IF($B1766="","",IF(AB1766=0,"✓ covered","⚠ "&amp;AB1766&amp;IF(AB1766=1," gap"," gaps")))</f>
        <v/>
      </c>
    </row>
    <row r="1767" ht="17" customHeight="1">
      <c r="A1767" t="n">
        <v>36</v>
      </c>
      <c r="B1767" s="29">
        <f>IF(Setup!$K$15="","",Setup!$K$15)</f>
        <v/>
      </c>
      <c r="C1767" s="88" t="n"/>
      <c r="D1767" s="88" t="n"/>
      <c r="E1767" s="88" t="n"/>
      <c r="F1767" s="89" t="n"/>
      <c r="G1767" s="88" t="n"/>
      <c r="H1767" s="88" t="n"/>
      <c r="I1767" s="88" t="n"/>
      <c r="J1767" s="89" t="n"/>
      <c r="K1767" s="88" t="n"/>
      <c r="L1767" s="88" t="n"/>
      <c r="M1767" s="88" t="n"/>
      <c r="N1767" s="89" t="n"/>
      <c r="O1767" s="88" t="n"/>
      <c r="P1767" s="88" t="n"/>
      <c r="Q1767" s="88" t="n"/>
      <c r="R1767" s="89" t="n"/>
      <c r="S1767" s="88" t="n"/>
      <c r="T1767" s="88" t="n"/>
      <c r="U1767" s="88" t="n"/>
      <c r="V1767" s="89" t="n"/>
      <c r="W1767" s="88" t="n"/>
      <c r="X1767" s="89" t="n"/>
      <c r="Y1767" s="88" t="n"/>
      <c r="Z1767" s="89" t="n"/>
      <c r="AB1767" s="30">
        <f>IF($B1767="","",(COUNTIF(C1767:E1767,"?*")&lt;N(INDEX(Setup!$L$6:$L$23,10)))+(COUNTIF(G1767:I1767,"?*")&lt;N(INDEX(Setup!$L$6:$L$23,10)))+(COUNTIF(K1767:M1767,"?*")&lt;N(INDEX(Setup!$L$6:$L$23,10)))+(COUNTIF(O1767:Q1767,"?*")&lt;N(INDEX(Setup!$L$6:$L$23,10)))+(COUNTIF(S1767:U1767,"?*")&lt;N(INDEX(Setup!$L$6:$L$23,10)))+((W1767="")*(INDEX(Setup!$M$6:$M$23,10)="Y"))+((Y1767="")*(INDEX(Setup!$M$6:$M$23,10)="Y")))</f>
        <v/>
      </c>
      <c r="AC1767" s="91">
        <f>IF($B1767="","",IF(AB1767=0,"✓ covered","⚠ "&amp;AB1767&amp;IF(AB1767=1," gap"," gaps")))</f>
        <v/>
      </c>
    </row>
    <row r="1768" ht="17" customHeight="1">
      <c r="A1768" t="n">
        <v>36</v>
      </c>
      <c r="B1768" s="24">
        <f>IF(Setup!$K$16="","",Setup!$K$16)</f>
        <v/>
      </c>
      <c r="C1768" s="88" t="n"/>
      <c r="D1768" s="88" t="n"/>
      <c r="E1768" s="88" t="n"/>
      <c r="F1768" s="89" t="n"/>
      <c r="G1768" s="88" t="n"/>
      <c r="H1768" s="88" t="n"/>
      <c r="I1768" s="88" t="n"/>
      <c r="J1768" s="89" t="n"/>
      <c r="K1768" s="88" t="n"/>
      <c r="L1768" s="88" t="n"/>
      <c r="M1768" s="88" t="n"/>
      <c r="N1768" s="89" t="n"/>
      <c r="O1768" s="88" t="n"/>
      <c r="P1768" s="88" t="n"/>
      <c r="Q1768" s="88" t="n"/>
      <c r="R1768" s="89" t="n"/>
      <c r="S1768" s="88" t="n"/>
      <c r="T1768" s="88" t="n"/>
      <c r="U1768" s="88" t="n"/>
      <c r="V1768" s="89" t="n"/>
      <c r="W1768" s="88" t="n"/>
      <c r="X1768" s="89" t="n"/>
      <c r="Y1768" s="88" t="n"/>
      <c r="Z1768" s="89" t="n"/>
      <c r="AB1768" s="25">
        <f>IF($B1768="","",(COUNTIF(C1768:E1768,"?*")&lt;N(INDEX(Setup!$L$6:$L$23,11)))+(COUNTIF(G1768:I1768,"?*")&lt;N(INDEX(Setup!$L$6:$L$23,11)))+(COUNTIF(K1768:M1768,"?*")&lt;N(INDEX(Setup!$L$6:$L$23,11)))+(COUNTIF(O1768:Q1768,"?*")&lt;N(INDEX(Setup!$L$6:$L$23,11)))+(COUNTIF(S1768:U1768,"?*")&lt;N(INDEX(Setup!$L$6:$L$23,11)))+((W1768="")*(INDEX(Setup!$M$6:$M$23,11)="Y"))+((Y1768="")*(INDEX(Setup!$M$6:$M$23,11)="Y")))</f>
        <v/>
      </c>
      <c r="AC1768" s="90">
        <f>IF($B1768="","",IF(AB1768=0,"✓ covered","⚠ "&amp;AB1768&amp;IF(AB1768=1," gap"," gaps")))</f>
        <v/>
      </c>
    </row>
    <row r="1769" ht="17" customHeight="1">
      <c r="A1769" t="n">
        <v>36</v>
      </c>
      <c r="B1769" s="29">
        <f>IF(Setup!$K$17="","",Setup!$K$17)</f>
        <v/>
      </c>
      <c r="C1769" s="88" t="n"/>
      <c r="D1769" s="88" t="n"/>
      <c r="E1769" s="88" t="n"/>
      <c r="F1769" s="89" t="n"/>
      <c r="G1769" s="88" t="n"/>
      <c r="H1769" s="88" t="n"/>
      <c r="I1769" s="88" t="n"/>
      <c r="J1769" s="89" t="n"/>
      <c r="K1769" s="88" t="n"/>
      <c r="L1769" s="88" t="n"/>
      <c r="M1769" s="88" t="n"/>
      <c r="N1769" s="89" t="n"/>
      <c r="O1769" s="88" t="n"/>
      <c r="P1769" s="88" t="n"/>
      <c r="Q1769" s="88" t="n"/>
      <c r="R1769" s="89" t="n"/>
      <c r="S1769" s="88" t="n"/>
      <c r="T1769" s="88" t="n"/>
      <c r="U1769" s="88" t="n"/>
      <c r="V1769" s="89" t="n"/>
      <c r="W1769" s="88" t="n"/>
      <c r="X1769" s="89" t="n"/>
      <c r="Y1769" s="88" t="n"/>
      <c r="Z1769" s="89" t="n"/>
      <c r="AB1769" s="30">
        <f>IF($B1769="","",(COUNTIF(C1769:E1769,"?*")&lt;N(INDEX(Setup!$L$6:$L$23,12)))+(COUNTIF(G1769:I1769,"?*")&lt;N(INDEX(Setup!$L$6:$L$23,12)))+(COUNTIF(K1769:M1769,"?*")&lt;N(INDEX(Setup!$L$6:$L$23,12)))+(COUNTIF(O1769:Q1769,"?*")&lt;N(INDEX(Setup!$L$6:$L$23,12)))+(COUNTIF(S1769:U1769,"?*")&lt;N(INDEX(Setup!$L$6:$L$23,12)))+((W1769="")*(INDEX(Setup!$M$6:$M$23,12)="Y"))+((Y1769="")*(INDEX(Setup!$M$6:$M$23,12)="Y")))</f>
        <v/>
      </c>
      <c r="AC1769" s="91">
        <f>IF($B1769="","",IF(AB1769=0,"✓ covered","⚠ "&amp;AB1769&amp;IF(AB1769=1," gap"," gaps")))</f>
        <v/>
      </c>
    </row>
    <row r="1770" ht="17" customHeight="1">
      <c r="A1770" t="n">
        <v>36</v>
      </c>
      <c r="B1770" s="24">
        <f>IF(Setup!$K$18="","",Setup!$K$18)</f>
        <v/>
      </c>
      <c r="C1770" s="88" t="n"/>
      <c r="D1770" s="88" t="n"/>
      <c r="E1770" s="88" t="n"/>
      <c r="F1770" s="89" t="n"/>
      <c r="G1770" s="88" t="n"/>
      <c r="H1770" s="88" t="n"/>
      <c r="I1770" s="88" t="n"/>
      <c r="J1770" s="89" t="n"/>
      <c r="K1770" s="88" t="n"/>
      <c r="L1770" s="88" t="n"/>
      <c r="M1770" s="88" t="n"/>
      <c r="N1770" s="89" t="n"/>
      <c r="O1770" s="88" t="n"/>
      <c r="P1770" s="88" t="n"/>
      <c r="Q1770" s="88" t="n"/>
      <c r="R1770" s="89" t="n"/>
      <c r="S1770" s="88" t="n"/>
      <c r="T1770" s="88" t="n"/>
      <c r="U1770" s="88" t="n"/>
      <c r="V1770" s="89" t="n"/>
      <c r="W1770" s="88" t="n"/>
      <c r="X1770" s="89" t="n"/>
      <c r="Y1770" s="88" t="n"/>
      <c r="Z1770" s="89" t="n"/>
      <c r="AB1770" s="25">
        <f>IF($B1770="","",(COUNTIF(C1770:E1770,"?*")&lt;N(INDEX(Setup!$L$6:$L$23,13)))+(COUNTIF(G1770:I1770,"?*")&lt;N(INDEX(Setup!$L$6:$L$23,13)))+(COUNTIF(K1770:M1770,"?*")&lt;N(INDEX(Setup!$L$6:$L$23,13)))+(COUNTIF(O1770:Q1770,"?*")&lt;N(INDEX(Setup!$L$6:$L$23,13)))+(COUNTIF(S1770:U1770,"?*")&lt;N(INDEX(Setup!$L$6:$L$23,13)))+((W1770="")*(INDEX(Setup!$M$6:$M$23,13)="Y"))+((Y1770="")*(INDEX(Setup!$M$6:$M$23,13)="Y")))</f>
        <v/>
      </c>
      <c r="AC1770" s="90">
        <f>IF($B1770="","",IF(AB1770=0,"✓ covered","⚠ "&amp;AB1770&amp;IF(AB1770=1," gap"," gaps")))</f>
        <v/>
      </c>
    </row>
    <row r="1771" ht="17" customHeight="1">
      <c r="A1771" t="n">
        <v>36</v>
      </c>
      <c r="B1771" s="29">
        <f>IF(Setup!$K$19="","",Setup!$K$19)</f>
        <v/>
      </c>
      <c r="C1771" s="88" t="n"/>
      <c r="D1771" s="88" t="n"/>
      <c r="E1771" s="88" t="n"/>
      <c r="F1771" s="89" t="n"/>
      <c r="G1771" s="88" t="n"/>
      <c r="H1771" s="88" t="n"/>
      <c r="I1771" s="88" t="n"/>
      <c r="J1771" s="89" t="n"/>
      <c r="K1771" s="88" t="n"/>
      <c r="L1771" s="88" t="n"/>
      <c r="M1771" s="88" t="n"/>
      <c r="N1771" s="89" t="n"/>
      <c r="O1771" s="88" t="n"/>
      <c r="P1771" s="88" t="n"/>
      <c r="Q1771" s="88" t="n"/>
      <c r="R1771" s="89" t="n"/>
      <c r="S1771" s="88" t="n"/>
      <c r="T1771" s="88" t="n"/>
      <c r="U1771" s="88" t="n"/>
      <c r="V1771" s="89" t="n"/>
      <c r="W1771" s="88" t="n"/>
      <c r="X1771" s="89" t="n"/>
      <c r="Y1771" s="88" t="n"/>
      <c r="Z1771" s="89" t="n"/>
      <c r="AB1771" s="30">
        <f>IF($B1771="","",(COUNTIF(C1771:E1771,"?*")&lt;N(INDEX(Setup!$L$6:$L$23,14)))+(COUNTIF(G1771:I1771,"?*")&lt;N(INDEX(Setup!$L$6:$L$23,14)))+(COUNTIF(K1771:M1771,"?*")&lt;N(INDEX(Setup!$L$6:$L$23,14)))+(COUNTIF(O1771:Q1771,"?*")&lt;N(INDEX(Setup!$L$6:$L$23,14)))+(COUNTIF(S1771:U1771,"?*")&lt;N(INDEX(Setup!$L$6:$L$23,14)))+((W1771="")*(INDEX(Setup!$M$6:$M$23,14)="Y"))+((Y1771="")*(INDEX(Setup!$M$6:$M$23,14)="Y")))</f>
        <v/>
      </c>
      <c r="AC1771" s="91">
        <f>IF($B1771="","",IF(AB1771=0,"✓ covered","⚠ "&amp;AB1771&amp;IF(AB1771=1," gap"," gaps")))</f>
        <v/>
      </c>
    </row>
    <row r="1772" ht="17" customHeight="1">
      <c r="A1772" t="n">
        <v>36</v>
      </c>
      <c r="B1772" s="24">
        <f>IF(Setup!$K$20="","",Setup!$K$20)</f>
        <v/>
      </c>
      <c r="C1772" s="88" t="n"/>
      <c r="D1772" s="88" t="n"/>
      <c r="E1772" s="88" t="n"/>
      <c r="F1772" s="89" t="n"/>
      <c r="G1772" s="88" t="n"/>
      <c r="H1772" s="88" t="n"/>
      <c r="I1772" s="88" t="n"/>
      <c r="J1772" s="89" t="n"/>
      <c r="K1772" s="88" t="n"/>
      <c r="L1772" s="88" t="n"/>
      <c r="M1772" s="88" t="n"/>
      <c r="N1772" s="89" t="n"/>
      <c r="O1772" s="88" t="n"/>
      <c r="P1772" s="88" t="n"/>
      <c r="Q1772" s="88" t="n"/>
      <c r="R1772" s="89" t="n"/>
      <c r="S1772" s="88" t="n"/>
      <c r="T1772" s="88" t="n"/>
      <c r="U1772" s="88" t="n"/>
      <c r="V1772" s="89" t="n"/>
      <c r="W1772" s="88" t="n"/>
      <c r="X1772" s="89" t="n"/>
      <c r="Y1772" s="88" t="n"/>
      <c r="Z1772" s="89" t="n"/>
      <c r="AB1772" s="25">
        <f>IF($B1772="","",(COUNTIF(C1772:E1772,"?*")&lt;N(INDEX(Setup!$L$6:$L$23,15)))+(COUNTIF(G1772:I1772,"?*")&lt;N(INDEX(Setup!$L$6:$L$23,15)))+(COUNTIF(K1772:M1772,"?*")&lt;N(INDEX(Setup!$L$6:$L$23,15)))+(COUNTIF(O1772:Q1772,"?*")&lt;N(INDEX(Setup!$L$6:$L$23,15)))+(COUNTIF(S1772:U1772,"?*")&lt;N(INDEX(Setup!$L$6:$L$23,15)))+((W1772="")*(INDEX(Setup!$M$6:$M$23,15)="Y"))+((Y1772="")*(INDEX(Setup!$M$6:$M$23,15)="Y")))</f>
        <v/>
      </c>
      <c r="AC1772" s="90">
        <f>IF($B1772="","",IF(AB1772=0,"✓ covered","⚠ "&amp;AB1772&amp;IF(AB1772=1," gap"," gaps")))</f>
        <v/>
      </c>
    </row>
    <row r="1773" ht="17" customHeight="1">
      <c r="A1773" t="n">
        <v>36</v>
      </c>
      <c r="B1773" s="29">
        <f>IF(Setup!$K$21="","",Setup!$K$21)</f>
        <v/>
      </c>
      <c r="C1773" s="88" t="n"/>
      <c r="D1773" s="88" t="n"/>
      <c r="E1773" s="88" t="n"/>
      <c r="F1773" s="89" t="n"/>
      <c r="G1773" s="88" t="n"/>
      <c r="H1773" s="88" t="n"/>
      <c r="I1773" s="88" t="n"/>
      <c r="J1773" s="89" t="n"/>
      <c r="K1773" s="88" t="n"/>
      <c r="L1773" s="88" t="n"/>
      <c r="M1773" s="88" t="n"/>
      <c r="N1773" s="89" t="n"/>
      <c r="O1773" s="88" t="n"/>
      <c r="P1773" s="88" t="n"/>
      <c r="Q1773" s="88" t="n"/>
      <c r="R1773" s="89" t="n"/>
      <c r="S1773" s="88" t="n"/>
      <c r="T1773" s="88" t="n"/>
      <c r="U1773" s="88" t="n"/>
      <c r="V1773" s="89" t="n"/>
      <c r="W1773" s="88" t="n"/>
      <c r="X1773" s="89" t="n"/>
      <c r="Y1773" s="88" t="n"/>
      <c r="Z1773" s="89" t="n"/>
      <c r="AB1773" s="30">
        <f>IF($B1773="","",(COUNTIF(C1773:E1773,"?*")&lt;N(INDEX(Setup!$L$6:$L$23,16)))+(COUNTIF(G1773:I1773,"?*")&lt;N(INDEX(Setup!$L$6:$L$23,16)))+(COUNTIF(K1773:M1773,"?*")&lt;N(INDEX(Setup!$L$6:$L$23,16)))+(COUNTIF(O1773:Q1773,"?*")&lt;N(INDEX(Setup!$L$6:$L$23,16)))+(COUNTIF(S1773:U1773,"?*")&lt;N(INDEX(Setup!$L$6:$L$23,16)))+((W1773="")*(INDEX(Setup!$M$6:$M$23,16)="Y"))+((Y1773="")*(INDEX(Setup!$M$6:$M$23,16)="Y")))</f>
        <v/>
      </c>
      <c r="AC1773" s="91">
        <f>IF($B1773="","",IF(AB1773=0,"✓ covered","⚠ "&amp;AB1773&amp;IF(AB1773=1," gap"," gaps")))</f>
        <v/>
      </c>
    </row>
    <row r="1774" ht="17" customHeight="1">
      <c r="A1774" t="n">
        <v>36</v>
      </c>
      <c r="B1774" s="24">
        <f>IF(Setup!$K$22="","",Setup!$K$22)</f>
        <v/>
      </c>
      <c r="C1774" s="88" t="n"/>
      <c r="D1774" s="88" t="n"/>
      <c r="E1774" s="88" t="n"/>
      <c r="F1774" s="89" t="n"/>
      <c r="G1774" s="88" t="n"/>
      <c r="H1774" s="88" t="n"/>
      <c r="I1774" s="88" t="n"/>
      <c r="J1774" s="89" t="n"/>
      <c r="K1774" s="88" t="n"/>
      <c r="L1774" s="88" t="n"/>
      <c r="M1774" s="88" t="n"/>
      <c r="N1774" s="89" t="n"/>
      <c r="O1774" s="88" t="n"/>
      <c r="P1774" s="88" t="n"/>
      <c r="Q1774" s="88" t="n"/>
      <c r="R1774" s="89" t="n"/>
      <c r="S1774" s="88" t="n"/>
      <c r="T1774" s="88" t="n"/>
      <c r="U1774" s="88" t="n"/>
      <c r="V1774" s="89" t="n"/>
      <c r="W1774" s="88" t="n"/>
      <c r="X1774" s="89" t="n"/>
      <c r="Y1774" s="88" t="n"/>
      <c r="Z1774" s="89" t="n"/>
      <c r="AB1774" s="25">
        <f>IF($B1774="","",(COUNTIF(C1774:E1774,"?*")&lt;N(INDEX(Setup!$L$6:$L$23,17)))+(COUNTIF(G1774:I1774,"?*")&lt;N(INDEX(Setup!$L$6:$L$23,17)))+(COUNTIF(K1774:M1774,"?*")&lt;N(INDEX(Setup!$L$6:$L$23,17)))+(COUNTIF(O1774:Q1774,"?*")&lt;N(INDEX(Setup!$L$6:$L$23,17)))+(COUNTIF(S1774:U1774,"?*")&lt;N(INDEX(Setup!$L$6:$L$23,17)))+((W1774="")*(INDEX(Setup!$M$6:$M$23,17)="Y"))+((Y1774="")*(INDEX(Setup!$M$6:$M$23,17)="Y")))</f>
        <v/>
      </c>
      <c r="AC1774" s="90">
        <f>IF($B1774="","",IF(AB1774=0,"✓ covered","⚠ "&amp;AB1774&amp;IF(AB1774=1," gap"," gaps")))</f>
        <v/>
      </c>
    </row>
    <row r="1775" ht="17" customHeight="1">
      <c r="A1775" t="n">
        <v>36</v>
      </c>
      <c r="B1775" s="29">
        <f>IF(Setup!$K$23="","",Setup!$K$23)</f>
        <v/>
      </c>
      <c r="C1775" s="88" t="n"/>
      <c r="D1775" s="88" t="n"/>
      <c r="E1775" s="88" t="n"/>
      <c r="F1775" s="89" t="n"/>
      <c r="G1775" s="88" t="n"/>
      <c r="H1775" s="88" t="n"/>
      <c r="I1775" s="88" t="n"/>
      <c r="J1775" s="89" t="n"/>
      <c r="K1775" s="88" t="n"/>
      <c r="L1775" s="88" t="n"/>
      <c r="M1775" s="88" t="n"/>
      <c r="N1775" s="89" t="n"/>
      <c r="O1775" s="88" t="n"/>
      <c r="P1775" s="88" t="n"/>
      <c r="Q1775" s="88" t="n"/>
      <c r="R1775" s="89" t="n"/>
      <c r="S1775" s="88" t="n"/>
      <c r="T1775" s="88" t="n"/>
      <c r="U1775" s="88" t="n"/>
      <c r="V1775" s="89" t="n"/>
      <c r="W1775" s="88" t="n"/>
      <c r="X1775" s="89" t="n"/>
      <c r="Y1775" s="88" t="n"/>
      <c r="Z1775" s="89" t="n"/>
      <c r="AB1775" s="30">
        <f>IF($B1775="","",(COUNTIF(C1775:E1775,"?*")&lt;N(INDEX(Setup!$L$6:$L$23,18)))+(COUNTIF(G1775:I1775,"?*")&lt;N(INDEX(Setup!$L$6:$L$23,18)))+(COUNTIF(K1775:M1775,"?*")&lt;N(INDEX(Setup!$L$6:$L$23,18)))+(COUNTIF(O1775:Q1775,"?*")&lt;N(INDEX(Setup!$L$6:$L$23,18)))+(COUNTIF(S1775:U1775,"?*")&lt;N(INDEX(Setup!$L$6:$L$23,18)))+((W1775="")*(INDEX(Setup!$M$6:$M$23,18)="Y"))+((Y1775="")*(INDEX(Setup!$M$6:$M$23,18)="Y")))</f>
        <v/>
      </c>
      <c r="AC1775" s="91">
        <f>IF($B1775="","",IF(AB1775=0,"✓ covered","⚠ "&amp;AB1775&amp;IF(AB1775=1," gap"," gaps")))</f>
        <v/>
      </c>
    </row>
    <row r="1776" ht="18" customHeight="1">
      <c r="A1776" t="n">
        <v>36</v>
      </c>
      <c r="B1776" s="78" t="inlineStr">
        <is>
          <t>TEAM AVAILABILITY</t>
        </is>
      </c>
      <c r="C1776" s="92" t="inlineStr">
        <is>
          <t>Mon</t>
        </is>
      </c>
      <c r="D1776" s="93" t="n"/>
      <c r="E1776" s="93" t="n"/>
      <c r="F1776" s="94" t="n"/>
      <c r="G1776" s="92" t="inlineStr">
        <is>
          <t>Tue</t>
        </is>
      </c>
      <c r="H1776" s="93" t="n"/>
      <c r="I1776" s="93" t="n"/>
      <c r="J1776" s="94" t="n"/>
      <c r="K1776" s="92" t="inlineStr">
        <is>
          <t>Wed</t>
        </is>
      </c>
      <c r="L1776" s="93" t="n"/>
      <c r="M1776" s="93" t="n"/>
      <c r="N1776" s="94" t="n"/>
      <c r="O1776" s="92" t="inlineStr">
        <is>
          <t>Thu</t>
        </is>
      </c>
      <c r="P1776" s="93" t="n"/>
      <c r="Q1776" s="93" t="n"/>
      <c r="R1776" s="94" t="n"/>
      <c r="S1776" s="92" t="inlineStr">
        <is>
          <t>Fri</t>
        </is>
      </c>
      <c r="T1776" s="93" t="n"/>
      <c r="U1776" s="93" t="n"/>
      <c r="V1776" s="94" t="n"/>
      <c r="W1776" s="95" t="inlineStr">
        <is>
          <t>Sat</t>
        </is>
      </c>
      <c r="X1776" s="96" t="n"/>
      <c r="Y1776" s="95" t="inlineStr">
        <is>
          <t>Sun</t>
        </is>
      </c>
      <c r="Z1776" s="96" t="n"/>
      <c r="AB1776" s="97" t="inlineStr">
        <is>
          <t>Days rostered</t>
        </is>
      </c>
      <c r="AC1776" s="97" t="inlineStr">
        <is>
          <t>Conflicts</t>
        </is>
      </c>
    </row>
    <row r="1777" ht="15" customHeight="1">
      <c r="A1777" t="n">
        <v>36</v>
      </c>
      <c r="B1777" s="35">
        <f>IF(Setup!$B$6="","",Setup!$B$6)</f>
        <v/>
      </c>
      <c r="C1777" s="98" t="n"/>
      <c r="D1777" s="99" t="n"/>
      <c r="E1777" s="99" t="n"/>
      <c r="F1777" s="100" t="n"/>
      <c r="G1777" s="98" t="n"/>
      <c r="H1777" s="99" t="n"/>
      <c r="I1777" s="99" t="n"/>
      <c r="J1777" s="100" t="n"/>
      <c r="K1777" s="98" t="n"/>
      <c r="L1777" s="99" t="n"/>
      <c r="M1777" s="99" t="n"/>
      <c r="N1777" s="100" t="n"/>
      <c r="O1777" s="98" t="n"/>
      <c r="P1777" s="99" t="n"/>
      <c r="Q1777" s="99" t="n"/>
      <c r="R1777" s="100" t="n"/>
      <c r="S1777" s="98" t="n"/>
      <c r="T1777" s="99" t="n"/>
      <c r="U1777" s="99" t="n"/>
      <c r="V1777" s="100" t="n"/>
      <c r="W1777" s="98" t="n"/>
      <c r="X1777" s="100" t="n"/>
      <c r="Y1777" s="98" t="n"/>
      <c r="Z1777" s="100" t="n"/>
      <c r="AB1777" s="101">
        <f>IF($B1777="","",(COUNTIF(C1758:E1775,$B1777)+COUNTIF(C1758:E1775,$B1777&amp;" ~*")&gt;0)+(COUNTIF(G1758:I1775,$B1777)+COUNTIF(G1758:I1775,$B1777&amp;" ~*")&gt;0)+(COUNTIF(K1758:M1775,$B1777)+COUNTIF(K1758:M1775,$B1777&amp;" ~*")&gt;0)+(COUNTIF(O1758:Q1775,$B1777)+COUNTIF(O1758:Q1775,$B1777&amp;" ~*")&gt;0)+(COUNTIF(S1758:U1775,$B1777)+COUNTIF(S1758:U1775,$B1777&amp;" ~*")&gt;0)+(COUNTIF(W1758:W1775,$B1777)+COUNTIF(W1758:W1775,$B1777&amp;" ~*")&gt;0)+(COUNTIF(Y1758:Y1775,$B1777)+COUNTIF(Y1758:Y1775,$B1777&amp;" ~*")&gt;0))</f>
        <v/>
      </c>
      <c r="AC1777" s="36">
        <f>IF($B1777="","",(IFERROR(INDEX(Setup!$G$33:$G$40,MATCH(C1777,Setup!$B$33:$B$40,0)),0)=1)*(COUNTIF(C1758:E1775,$B1777)+COUNTIF(C1758:E1775,$B1777&amp;" ~*")&gt;0)+(IFERROR(INDEX(Setup!$G$33:$G$40,MATCH(G1777,Setup!$B$33:$B$40,0)),0)=1)*(COUNTIF(G1758:I1775,$B1777)+COUNTIF(G1758:I1775,$B1777&amp;" ~*")&gt;0)+(IFERROR(INDEX(Setup!$G$33:$G$40,MATCH(K1777,Setup!$B$33:$B$40,0)),0)=1)*(COUNTIF(K1758:M1775,$B1777)+COUNTIF(K1758:M1775,$B1777&amp;" ~*")&gt;0)+(IFERROR(INDEX(Setup!$G$33:$G$40,MATCH(O1777,Setup!$B$33:$B$40,0)),0)=1)*(COUNTIF(O1758:Q1775,$B1777)+COUNTIF(O1758:Q1775,$B1777&amp;" ~*")&gt;0)+(IFERROR(INDEX(Setup!$G$33:$G$40,MATCH(S1777,Setup!$B$33:$B$40,0)),0)=1)*(COUNTIF(S1758:U1775,$B1777)+COUNTIF(S1758:U1775,$B1777&amp;" ~*")&gt;0)+(IFERROR(INDEX(Setup!$G$33:$G$40,MATCH(W1777,Setup!$B$33:$B$40,0)),0)=1)*(COUNTIF(W1758:W1775,$B1777)+COUNTIF(W1758:W1775,$B1777&amp;" ~*")&gt;0)+(IFERROR(INDEX(Setup!$G$33:$G$40,MATCH(Y1777,Setup!$B$33:$B$40,0)),0)=1)*(COUNTIF(Y1758:Y1775,$B1777)+COUNTIF(Y1758:Y1775,$B1777&amp;" ~*")&gt;0))</f>
        <v/>
      </c>
    </row>
    <row r="1778" ht="15" customHeight="1">
      <c r="A1778" t="n">
        <v>36</v>
      </c>
      <c r="B1778" s="37">
        <f>IF(Setup!$B$7="","",Setup!$B$7)</f>
        <v/>
      </c>
      <c r="C1778" s="102" t="n"/>
      <c r="D1778" s="103" t="n"/>
      <c r="E1778" s="103" t="n"/>
      <c r="F1778" s="104" t="n"/>
      <c r="G1778" s="102" t="n"/>
      <c r="H1778" s="103" t="n"/>
      <c r="I1778" s="103" t="n"/>
      <c r="J1778" s="104" t="n"/>
      <c r="K1778" s="102" t="n"/>
      <c r="L1778" s="103" t="n"/>
      <c r="M1778" s="103" t="n"/>
      <c r="N1778" s="104" t="n"/>
      <c r="O1778" s="102" t="n"/>
      <c r="P1778" s="103" t="n"/>
      <c r="Q1778" s="103" t="n"/>
      <c r="R1778" s="104" t="n"/>
      <c r="S1778" s="102" t="n"/>
      <c r="T1778" s="103" t="n"/>
      <c r="U1778" s="103" t="n"/>
      <c r="V1778" s="104" t="n"/>
      <c r="W1778" s="102" t="n"/>
      <c r="X1778" s="104" t="n"/>
      <c r="Y1778" s="102" t="n"/>
      <c r="Z1778" s="104" t="n"/>
      <c r="AB1778" s="105">
        <f>IF($B1778="","",(COUNTIF(C1758:E1775,$B1778)+COUNTIF(C1758:E1775,$B1778&amp;" ~*")&gt;0)+(COUNTIF(G1758:I1775,$B1778)+COUNTIF(G1758:I1775,$B1778&amp;" ~*")&gt;0)+(COUNTIF(K1758:M1775,$B1778)+COUNTIF(K1758:M1775,$B1778&amp;" ~*")&gt;0)+(COUNTIF(O1758:Q1775,$B1778)+COUNTIF(O1758:Q1775,$B1778&amp;" ~*")&gt;0)+(COUNTIF(S1758:U1775,$B1778)+COUNTIF(S1758:U1775,$B1778&amp;" ~*")&gt;0)+(COUNTIF(W1758:W1775,$B1778)+COUNTIF(W1758:W1775,$B1778&amp;" ~*")&gt;0)+(COUNTIF(Y1758:Y1775,$B1778)+COUNTIF(Y1758:Y1775,$B1778&amp;" ~*")&gt;0))</f>
        <v/>
      </c>
      <c r="AC1778" s="38">
        <f>IF($B1778="","",(IFERROR(INDEX(Setup!$G$33:$G$40,MATCH(C1778,Setup!$B$33:$B$40,0)),0)=1)*(COUNTIF(C1758:E1775,$B1778)+COUNTIF(C1758:E1775,$B1778&amp;" ~*")&gt;0)+(IFERROR(INDEX(Setup!$G$33:$G$40,MATCH(G1778,Setup!$B$33:$B$40,0)),0)=1)*(COUNTIF(G1758:I1775,$B1778)+COUNTIF(G1758:I1775,$B1778&amp;" ~*")&gt;0)+(IFERROR(INDEX(Setup!$G$33:$G$40,MATCH(K1778,Setup!$B$33:$B$40,0)),0)=1)*(COUNTIF(K1758:M1775,$B1778)+COUNTIF(K1758:M1775,$B1778&amp;" ~*")&gt;0)+(IFERROR(INDEX(Setup!$G$33:$G$40,MATCH(O1778,Setup!$B$33:$B$40,0)),0)=1)*(COUNTIF(O1758:Q1775,$B1778)+COUNTIF(O1758:Q1775,$B1778&amp;" ~*")&gt;0)+(IFERROR(INDEX(Setup!$G$33:$G$40,MATCH(S1778,Setup!$B$33:$B$40,0)),0)=1)*(COUNTIF(S1758:U1775,$B1778)+COUNTIF(S1758:U1775,$B1778&amp;" ~*")&gt;0)+(IFERROR(INDEX(Setup!$G$33:$G$40,MATCH(W1778,Setup!$B$33:$B$40,0)),0)=1)*(COUNTIF(W1758:W1775,$B1778)+COUNTIF(W1758:W1775,$B1778&amp;" ~*")&gt;0)+(IFERROR(INDEX(Setup!$G$33:$G$40,MATCH(Y1778,Setup!$B$33:$B$40,0)),0)=1)*(COUNTIF(Y1758:Y1775,$B1778)+COUNTIF(Y1758:Y1775,$B1778&amp;" ~*")&gt;0))</f>
        <v/>
      </c>
    </row>
    <row r="1779" ht="15" customHeight="1">
      <c r="A1779" t="n">
        <v>36</v>
      </c>
      <c r="B1779" s="35">
        <f>IF(Setup!$B$8="","",Setup!$B$8)</f>
        <v/>
      </c>
      <c r="C1779" s="98" t="n"/>
      <c r="D1779" s="99" t="n"/>
      <c r="E1779" s="99" t="n"/>
      <c r="F1779" s="100" t="n"/>
      <c r="G1779" s="98" t="n"/>
      <c r="H1779" s="99" t="n"/>
      <c r="I1779" s="99" t="n"/>
      <c r="J1779" s="100" t="n"/>
      <c r="K1779" s="98" t="n"/>
      <c r="L1779" s="99" t="n"/>
      <c r="M1779" s="99" t="n"/>
      <c r="N1779" s="100" t="n"/>
      <c r="O1779" s="98" t="n"/>
      <c r="P1779" s="99" t="n"/>
      <c r="Q1779" s="99" t="n"/>
      <c r="R1779" s="100" t="n"/>
      <c r="S1779" s="98" t="n"/>
      <c r="T1779" s="99" t="n"/>
      <c r="U1779" s="99" t="n"/>
      <c r="V1779" s="100" t="n"/>
      <c r="W1779" s="98" t="n"/>
      <c r="X1779" s="100" t="n"/>
      <c r="Y1779" s="98" t="n"/>
      <c r="Z1779" s="100" t="n"/>
      <c r="AB1779" s="101">
        <f>IF($B1779="","",(COUNTIF(C1758:E1775,$B1779)+COUNTIF(C1758:E1775,$B1779&amp;" ~*")&gt;0)+(COUNTIF(G1758:I1775,$B1779)+COUNTIF(G1758:I1775,$B1779&amp;" ~*")&gt;0)+(COUNTIF(K1758:M1775,$B1779)+COUNTIF(K1758:M1775,$B1779&amp;" ~*")&gt;0)+(COUNTIF(O1758:Q1775,$B1779)+COUNTIF(O1758:Q1775,$B1779&amp;" ~*")&gt;0)+(COUNTIF(S1758:U1775,$B1779)+COUNTIF(S1758:U1775,$B1779&amp;" ~*")&gt;0)+(COUNTIF(W1758:W1775,$B1779)+COUNTIF(W1758:W1775,$B1779&amp;" ~*")&gt;0)+(COUNTIF(Y1758:Y1775,$B1779)+COUNTIF(Y1758:Y1775,$B1779&amp;" ~*")&gt;0))</f>
        <v/>
      </c>
      <c r="AC1779" s="36">
        <f>IF($B1779="","",(IFERROR(INDEX(Setup!$G$33:$G$40,MATCH(C1779,Setup!$B$33:$B$40,0)),0)=1)*(COUNTIF(C1758:E1775,$B1779)+COUNTIF(C1758:E1775,$B1779&amp;" ~*")&gt;0)+(IFERROR(INDEX(Setup!$G$33:$G$40,MATCH(G1779,Setup!$B$33:$B$40,0)),0)=1)*(COUNTIF(G1758:I1775,$B1779)+COUNTIF(G1758:I1775,$B1779&amp;" ~*")&gt;0)+(IFERROR(INDEX(Setup!$G$33:$G$40,MATCH(K1779,Setup!$B$33:$B$40,0)),0)=1)*(COUNTIF(K1758:M1775,$B1779)+COUNTIF(K1758:M1775,$B1779&amp;" ~*")&gt;0)+(IFERROR(INDEX(Setup!$G$33:$G$40,MATCH(O1779,Setup!$B$33:$B$40,0)),0)=1)*(COUNTIF(O1758:Q1775,$B1779)+COUNTIF(O1758:Q1775,$B1779&amp;" ~*")&gt;0)+(IFERROR(INDEX(Setup!$G$33:$G$40,MATCH(S1779,Setup!$B$33:$B$40,0)),0)=1)*(COUNTIF(S1758:U1775,$B1779)+COUNTIF(S1758:U1775,$B1779&amp;" ~*")&gt;0)+(IFERROR(INDEX(Setup!$G$33:$G$40,MATCH(W1779,Setup!$B$33:$B$40,0)),0)=1)*(COUNTIF(W1758:W1775,$B1779)+COUNTIF(W1758:W1775,$B1779&amp;" ~*")&gt;0)+(IFERROR(INDEX(Setup!$G$33:$G$40,MATCH(Y1779,Setup!$B$33:$B$40,0)),0)=1)*(COUNTIF(Y1758:Y1775,$B1779)+COUNTIF(Y1758:Y1775,$B1779&amp;" ~*")&gt;0))</f>
        <v/>
      </c>
    </row>
    <row r="1780" ht="15" customHeight="1">
      <c r="A1780" t="n">
        <v>36</v>
      </c>
      <c r="B1780" s="37">
        <f>IF(Setup!$B$9="","",Setup!$B$9)</f>
        <v/>
      </c>
      <c r="C1780" s="102" t="n"/>
      <c r="D1780" s="103" t="n"/>
      <c r="E1780" s="103" t="n"/>
      <c r="F1780" s="104" t="n"/>
      <c r="G1780" s="102" t="n"/>
      <c r="H1780" s="103" t="n"/>
      <c r="I1780" s="103" t="n"/>
      <c r="J1780" s="104" t="n"/>
      <c r="K1780" s="102" t="n"/>
      <c r="L1780" s="103" t="n"/>
      <c r="M1780" s="103" t="n"/>
      <c r="N1780" s="104" t="n"/>
      <c r="O1780" s="102" t="n"/>
      <c r="P1780" s="103" t="n"/>
      <c r="Q1780" s="103" t="n"/>
      <c r="R1780" s="104" t="n"/>
      <c r="S1780" s="102" t="n"/>
      <c r="T1780" s="103" t="n"/>
      <c r="U1780" s="103" t="n"/>
      <c r="V1780" s="104" t="n"/>
      <c r="W1780" s="102" t="n"/>
      <c r="X1780" s="104" t="n"/>
      <c r="Y1780" s="102" t="n"/>
      <c r="Z1780" s="104" t="n"/>
      <c r="AB1780" s="105">
        <f>IF($B1780="","",(COUNTIF(C1758:E1775,$B1780)+COUNTIF(C1758:E1775,$B1780&amp;" ~*")&gt;0)+(COUNTIF(G1758:I1775,$B1780)+COUNTIF(G1758:I1775,$B1780&amp;" ~*")&gt;0)+(COUNTIF(K1758:M1775,$B1780)+COUNTIF(K1758:M1775,$B1780&amp;" ~*")&gt;0)+(COUNTIF(O1758:Q1775,$B1780)+COUNTIF(O1758:Q1775,$B1780&amp;" ~*")&gt;0)+(COUNTIF(S1758:U1775,$B1780)+COUNTIF(S1758:U1775,$B1780&amp;" ~*")&gt;0)+(COUNTIF(W1758:W1775,$B1780)+COUNTIF(W1758:W1775,$B1780&amp;" ~*")&gt;0)+(COUNTIF(Y1758:Y1775,$B1780)+COUNTIF(Y1758:Y1775,$B1780&amp;" ~*")&gt;0))</f>
        <v/>
      </c>
      <c r="AC1780" s="38">
        <f>IF($B1780="","",(IFERROR(INDEX(Setup!$G$33:$G$40,MATCH(C1780,Setup!$B$33:$B$40,0)),0)=1)*(COUNTIF(C1758:E1775,$B1780)+COUNTIF(C1758:E1775,$B1780&amp;" ~*")&gt;0)+(IFERROR(INDEX(Setup!$G$33:$G$40,MATCH(G1780,Setup!$B$33:$B$40,0)),0)=1)*(COUNTIF(G1758:I1775,$B1780)+COUNTIF(G1758:I1775,$B1780&amp;" ~*")&gt;0)+(IFERROR(INDEX(Setup!$G$33:$G$40,MATCH(K1780,Setup!$B$33:$B$40,0)),0)=1)*(COUNTIF(K1758:M1775,$B1780)+COUNTIF(K1758:M1775,$B1780&amp;" ~*")&gt;0)+(IFERROR(INDEX(Setup!$G$33:$G$40,MATCH(O1780,Setup!$B$33:$B$40,0)),0)=1)*(COUNTIF(O1758:Q1775,$B1780)+COUNTIF(O1758:Q1775,$B1780&amp;" ~*")&gt;0)+(IFERROR(INDEX(Setup!$G$33:$G$40,MATCH(S1780,Setup!$B$33:$B$40,0)),0)=1)*(COUNTIF(S1758:U1775,$B1780)+COUNTIF(S1758:U1775,$B1780&amp;" ~*")&gt;0)+(IFERROR(INDEX(Setup!$G$33:$G$40,MATCH(W1780,Setup!$B$33:$B$40,0)),0)=1)*(COUNTIF(W1758:W1775,$B1780)+COUNTIF(W1758:W1775,$B1780&amp;" ~*")&gt;0)+(IFERROR(INDEX(Setup!$G$33:$G$40,MATCH(Y1780,Setup!$B$33:$B$40,0)),0)=1)*(COUNTIF(Y1758:Y1775,$B1780)+COUNTIF(Y1758:Y1775,$B1780&amp;" ~*")&gt;0))</f>
        <v/>
      </c>
    </row>
    <row r="1781" ht="15" customHeight="1">
      <c r="A1781" t="n">
        <v>36</v>
      </c>
      <c r="B1781" s="35">
        <f>IF(Setup!$B$10="","",Setup!$B$10)</f>
        <v/>
      </c>
      <c r="C1781" s="98" t="n"/>
      <c r="D1781" s="99" t="n"/>
      <c r="E1781" s="99" t="n"/>
      <c r="F1781" s="100" t="n"/>
      <c r="G1781" s="98" t="n"/>
      <c r="H1781" s="99" t="n"/>
      <c r="I1781" s="99" t="n"/>
      <c r="J1781" s="100" t="n"/>
      <c r="K1781" s="98" t="n"/>
      <c r="L1781" s="99" t="n"/>
      <c r="M1781" s="99" t="n"/>
      <c r="N1781" s="100" t="n"/>
      <c r="O1781" s="98" t="n"/>
      <c r="P1781" s="99" t="n"/>
      <c r="Q1781" s="99" t="n"/>
      <c r="R1781" s="100" t="n"/>
      <c r="S1781" s="98" t="n"/>
      <c r="T1781" s="99" t="n"/>
      <c r="U1781" s="99" t="n"/>
      <c r="V1781" s="100" t="n"/>
      <c r="W1781" s="98" t="n"/>
      <c r="X1781" s="100" t="n"/>
      <c r="Y1781" s="98" t="n"/>
      <c r="Z1781" s="100" t="n"/>
      <c r="AB1781" s="101">
        <f>IF($B1781="","",(COUNTIF(C1758:E1775,$B1781)+COUNTIF(C1758:E1775,$B1781&amp;" ~*")&gt;0)+(COUNTIF(G1758:I1775,$B1781)+COUNTIF(G1758:I1775,$B1781&amp;" ~*")&gt;0)+(COUNTIF(K1758:M1775,$B1781)+COUNTIF(K1758:M1775,$B1781&amp;" ~*")&gt;0)+(COUNTIF(O1758:Q1775,$B1781)+COUNTIF(O1758:Q1775,$B1781&amp;" ~*")&gt;0)+(COUNTIF(S1758:U1775,$B1781)+COUNTIF(S1758:U1775,$B1781&amp;" ~*")&gt;0)+(COUNTIF(W1758:W1775,$B1781)+COUNTIF(W1758:W1775,$B1781&amp;" ~*")&gt;0)+(COUNTIF(Y1758:Y1775,$B1781)+COUNTIF(Y1758:Y1775,$B1781&amp;" ~*")&gt;0))</f>
        <v/>
      </c>
      <c r="AC1781" s="36">
        <f>IF($B1781="","",(IFERROR(INDEX(Setup!$G$33:$G$40,MATCH(C1781,Setup!$B$33:$B$40,0)),0)=1)*(COUNTIF(C1758:E1775,$B1781)+COUNTIF(C1758:E1775,$B1781&amp;" ~*")&gt;0)+(IFERROR(INDEX(Setup!$G$33:$G$40,MATCH(G1781,Setup!$B$33:$B$40,0)),0)=1)*(COUNTIF(G1758:I1775,$B1781)+COUNTIF(G1758:I1775,$B1781&amp;" ~*")&gt;0)+(IFERROR(INDEX(Setup!$G$33:$G$40,MATCH(K1781,Setup!$B$33:$B$40,0)),0)=1)*(COUNTIF(K1758:M1775,$B1781)+COUNTIF(K1758:M1775,$B1781&amp;" ~*")&gt;0)+(IFERROR(INDEX(Setup!$G$33:$G$40,MATCH(O1781,Setup!$B$33:$B$40,0)),0)=1)*(COUNTIF(O1758:Q1775,$B1781)+COUNTIF(O1758:Q1775,$B1781&amp;" ~*")&gt;0)+(IFERROR(INDEX(Setup!$G$33:$G$40,MATCH(S1781,Setup!$B$33:$B$40,0)),0)=1)*(COUNTIF(S1758:U1775,$B1781)+COUNTIF(S1758:U1775,$B1781&amp;" ~*")&gt;0)+(IFERROR(INDEX(Setup!$G$33:$G$40,MATCH(W1781,Setup!$B$33:$B$40,0)),0)=1)*(COUNTIF(W1758:W1775,$B1781)+COUNTIF(W1758:W1775,$B1781&amp;" ~*")&gt;0)+(IFERROR(INDEX(Setup!$G$33:$G$40,MATCH(Y1781,Setup!$B$33:$B$40,0)),0)=1)*(COUNTIF(Y1758:Y1775,$B1781)+COUNTIF(Y1758:Y1775,$B1781&amp;" ~*")&gt;0))</f>
        <v/>
      </c>
    </row>
    <row r="1782" ht="15" customHeight="1">
      <c r="A1782" t="n">
        <v>36</v>
      </c>
      <c r="B1782" s="37">
        <f>IF(Setup!$B$11="","",Setup!$B$11)</f>
        <v/>
      </c>
      <c r="C1782" s="102" t="n"/>
      <c r="D1782" s="103" t="n"/>
      <c r="E1782" s="103" t="n"/>
      <c r="F1782" s="104" t="n"/>
      <c r="G1782" s="102" t="n"/>
      <c r="H1782" s="103" t="n"/>
      <c r="I1782" s="103" t="n"/>
      <c r="J1782" s="104" t="n"/>
      <c r="K1782" s="102" t="n"/>
      <c r="L1782" s="103" t="n"/>
      <c r="M1782" s="103" t="n"/>
      <c r="N1782" s="104" t="n"/>
      <c r="O1782" s="102" t="n"/>
      <c r="P1782" s="103" t="n"/>
      <c r="Q1782" s="103" t="n"/>
      <c r="R1782" s="104" t="n"/>
      <c r="S1782" s="102" t="n"/>
      <c r="T1782" s="103" t="n"/>
      <c r="U1782" s="103" t="n"/>
      <c r="V1782" s="104" t="n"/>
      <c r="W1782" s="102" t="n"/>
      <c r="X1782" s="104" t="n"/>
      <c r="Y1782" s="102" t="n"/>
      <c r="Z1782" s="104" t="n"/>
      <c r="AB1782" s="105">
        <f>IF($B1782="","",(COUNTIF(C1758:E1775,$B1782)+COUNTIF(C1758:E1775,$B1782&amp;" ~*")&gt;0)+(COUNTIF(G1758:I1775,$B1782)+COUNTIF(G1758:I1775,$B1782&amp;" ~*")&gt;0)+(COUNTIF(K1758:M1775,$B1782)+COUNTIF(K1758:M1775,$B1782&amp;" ~*")&gt;0)+(COUNTIF(O1758:Q1775,$B1782)+COUNTIF(O1758:Q1775,$B1782&amp;" ~*")&gt;0)+(COUNTIF(S1758:U1775,$B1782)+COUNTIF(S1758:U1775,$B1782&amp;" ~*")&gt;0)+(COUNTIF(W1758:W1775,$B1782)+COUNTIF(W1758:W1775,$B1782&amp;" ~*")&gt;0)+(COUNTIF(Y1758:Y1775,$B1782)+COUNTIF(Y1758:Y1775,$B1782&amp;" ~*")&gt;0))</f>
        <v/>
      </c>
      <c r="AC1782" s="38">
        <f>IF($B1782="","",(IFERROR(INDEX(Setup!$G$33:$G$40,MATCH(C1782,Setup!$B$33:$B$40,0)),0)=1)*(COUNTIF(C1758:E1775,$B1782)+COUNTIF(C1758:E1775,$B1782&amp;" ~*")&gt;0)+(IFERROR(INDEX(Setup!$G$33:$G$40,MATCH(G1782,Setup!$B$33:$B$40,0)),0)=1)*(COUNTIF(G1758:I1775,$B1782)+COUNTIF(G1758:I1775,$B1782&amp;" ~*")&gt;0)+(IFERROR(INDEX(Setup!$G$33:$G$40,MATCH(K1782,Setup!$B$33:$B$40,0)),0)=1)*(COUNTIF(K1758:M1775,$B1782)+COUNTIF(K1758:M1775,$B1782&amp;" ~*")&gt;0)+(IFERROR(INDEX(Setup!$G$33:$G$40,MATCH(O1782,Setup!$B$33:$B$40,0)),0)=1)*(COUNTIF(O1758:Q1775,$B1782)+COUNTIF(O1758:Q1775,$B1782&amp;" ~*")&gt;0)+(IFERROR(INDEX(Setup!$G$33:$G$40,MATCH(S1782,Setup!$B$33:$B$40,0)),0)=1)*(COUNTIF(S1758:U1775,$B1782)+COUNTIF(S1758:U1775,$B1782&amp;" ~*")&gt;0)+(IFERROR(INDEX(Setup!$G$33:$G$40,MATCH(W1782,Setup!$B$33:$B$40,0)),0)=1)*(COUNTIF(W1758:W1775,$B1782)+COUNTIF(W1758:W1775,$B1782&amp;" ~*")&gt;0)+(IFERROR(INDEX(Setup!$G$33:$G$40,MATCH(Y1782,Setup!$B$33:$B$40,0)),0)=1)*(COUNTIF(Y1758:Y1775,$B1782)+COUNTIF(Y1758:Y1775,$B1782&amp;" ~*")&gt;0))</f>
        <v/>
      </c>
    </row>
    <row r="1783" ht="15" customHeight="1">
      <c r="A1783" t="n">
        <v>36</v>
      </c>
      <c r="B1783" s="35">
        <f>IF(Setup!$B$12="","",Setup!$B$12)</f>
        <v/>
      </c>
      <c r="C1783" s="98" t="n"/>
      <c r="D1783" s="99" t="n"/>
      <c r="E1783" s="99" t="n"/>
      <c r="F1783" s="100" t="n"/>
      <c r="G1783" s="98" t="n"/>
      <c r="H1783" s="99" t="n"/>
      <c r="I1783" s="99" t="n"/>
      <c r="J1783" s="100" t="n"/>
      <c r="K1783" s="98" t="n"/>
      <c r="L1783" s="99" t="n"/>
      <c r="M1783" s="99" t="n"/>
      <c r="N1783" s="100" t="n"/>
      <c r="O1783" s="98" t="n"/>
      <c r="P1783" s="99" t="n"/>
      <c r="Q1783" s="99" t="n"/>
      <c r="R1783" s="100" t="n"/>
      <c r="S1783" s="98" t="n"/>
      <c r="T1783" s="99" t="n"/>
      <c r="U1783" s="99" t="n"/>
      <c r="V1783" s="100" t="n"/>
      <c r="W1783" s="98" t="n"/>
      <c r="X1783" s="100" t="n"/>
      <c r="Y1783" s="98" t="n"/>
      <c r="Z1783" s="100" t="n"/>
      <c r="AB1783" s="101">
        <f>IF($B1783="","",(COUNTIF(C1758:E1775,$B1783)+COUNTIF(C1758:E1775,$B1783&amp;" ~*")&gt;0)+(COUNTIF(G1758:I1775,$B1783)+COUNTIF(G1758:I1775,$B1783&amp;" ~*")&gt;0)+(COUNTIF(K1758:M1775,$B1783)+COUNTIF(K1758:M1775,$B1783&amp;" ~*")&gt;0)+(COUNTIF(O1758:Q1775,$B1783)+COUNTIF(O1758:Q1775,$B1783&amp;" ~*")&gt;0)+(COUNTIF(S1758:U1775,$B1783)+COUNTIF(S1758:U1775,$B1783&amp;" ~*")&gt;0)+(COUNTIF(W1758:W1775,$B1783)+COUNTIF(W1758:W1775,$B1783&amp;" ~*")&gt;0)+(COUNTIF(Y1758:Y1775,$B1783)+COUNTIF(Y1758:Y1775,$B1783&amp;" ~*")&gt;0))</f>
        <v/>
      </c>
      <c r="AC1783" s="36">
        <f>IF($B1783="","",(IFERROR(INDEX(Setup!$G$33:$G$40,MATCH(C1783,Setup!$B$33:$B$40,0)),0)=1)*(COUNTIF(C1758:E1775,$B1783)+COUNTIF(C1758:E1775,$B1783&amp;" ~*")&gt;0)+(IFERROR(INDEX(Setup!$G$33:$G$40,MATCH(G1783,Setup!$B$33:$B$40,0)),0)=1)*(COUNTIF(G1758:I1775,$B1783)+COUNTIF(G1758:I1775,$B1783&amp;" ~*")&gt;0)+(IFERROR(INDEX(Setup!$G$33:$G$40,MATCH(K1783,Setup!$B$33:$B$40,0)),0)=1)*(COUNTIF(K1758:M1775,$B1783)+COUNTIF(K1758:M1775,$B1783&amp;" ~*")&gt;0)+(IFERROR(INDEX(Setup!$G$33:$G$40,MATCH(O1783,Setup!$B$33:$B$40,0)),0)=1)*(COUNTIF(O1758:Q1775,$B1783)+COUNTIF(O1758:Q1775,$B1783&amp;" ~*")&gt;0)+(IFERROR(INDEX(Setup!$G$33:$G$40,MATCH(S1783,Setup!$B$33:$B$40,0)),0)=1)*(COUNTIF(S1758:U1775,$B1783)+COUNTIF(S1758:U1775,$B1783&amp;" ~*")&gt;0)+(IFERROR(INDEX(Setup!$G$33:$G$40,MATCH(W1783,Setup!$B$33:$B$40,0)),0)=1)*(COUNTIF(W1758:W1775,$B1783)+COUNTIF(W1758:W1775,$B1783&amp;" ~*")&gt;0)+(IFERROR(INDEX(Setup!$G$33:$G$40,MATCH(Y1783,Setup!$B$33:$B$40,0)),0)=1)*(COUNTIF(Y1758:Y1775,$B1783)+COUNTIF(Y1758:Y1775,$B1783&amp;" ~*")&gt;0))</f>
        <v/>
      </c>
    </row>
    <row r="1784" ht="15" customHeight="1">
      <c r="A1784" t="n">
        <v>36</v>
      </c>
      <c r="B1784" s="37">
        <f>IF(Setup!$B$13="","",Setup!$B$13)</f>
        <v/>
      </c>
      <c r="C1784" s="102" t="n"/>
      <c r="D1784" s="103" t="n"/>
      <c r="E1784" s="103" t="n"/>
      <c r="F1784" s="104" t="n"/>
      <c r="G1784" s="102" t="n"/>
      <c r="H1784" s="103" t="n"/>
      <c r="I1784" s="103" t="n"/>
      <c r="J1784" s="104" t="n"/>
      <c r="K1784" s="102" t="n"/>
      <c r="L1784" s="103" t="n"/>
      <c r="M1784" s="103" t="n"/>
      <c r="N1784" s="104" t="n"/>
      <c r="O1784" s="102" t="n"/>
      <c r="P1784" s="103" t="n"/>
      <c r="Q1784" s="103" t="n"/>
      <c r="R1784" s="104" t="n"/>
      <c r="S1784" s="102" t="n"/>
      <c r="T1784" s="103" t="n"/>
      <c r="U1784" s="103" t="n"/>
      <c r="V1784" s="104" t="n"/>
      <c r="W1784" s="102" t="n"/>
      <c r="X1784" s="104" t="n"/>
      <c r="Y1784" s="102" t="n"/>
      <c r="Z1784" s="104" t="n"/>
      <c r="AB1784" s="105">
        <f>IF($B1784="","",(COUNTIF(C1758:E1775,$B1784)+COUNTIF(C1758:E1775,$B1784&amp;" ~*")&gt;0)+(COUNTIF(G1758:I1775,$B1784)+COUNTIF(G1758:I1775,$B1784&amp;" ~*")&gt;0)+(COUNTIF(K1758:M1775,$B1784)+COUNTIF(K1758:M1775,$B1784&amp;" ~*")&gt;0)+(COUNTIF(O1758:Q1775,$B1784)+COUNTIF(O1758:Q1775,$B1784&amp;" ~*")&gt;0)+(COUNTIF(S1758:U1775,$B1784)+COUNTIF(S1758:U1775,$B1784&amp;" ~*")&gt;0)+(COUNTIF(W1758:W1775,$B1784)+COUNTIF(W1758:W1775,$B1784&amp;" ~*")&gt;0)+(COUNTIF(Y1758:Y1775,$B1784)+COUNTIF(Y1758:Y1775,$B1784&amp;" ~*")&gt;0))</f>
        <v/>
      </c>
      <c r="AC1784" s="38">
        <f>IF($B1784="","",(IFERROR(INDEX(Setup!$G$33:$G$40,MATCH(C1784,Setup!$B$33:$B$40,0)),0)=1)*(COUNTIF(C1758:E1775,$B1784)+COUNTIF(C1758:E1775,$B1784&amp;" ~*")&gt;0)+(IFERROR(INDEX(Setup!$G$33:$G$40,MATCH(G1784,Setup!$B$33:$B$40,0)),0)=1)*(COUNTIF(G1758:I1775,$B1784)+COUNTIF(G1758:I1775,$B1784&amp;" ~*")&gt;0)+(IFERROR(INDEX(Setup!$G$33:$G$40,MATCH(K1784,Setup!$B$33:$B$40,0)),0)=1)*(COUNTIF(K1758:M1775,$B1784)+COUNTIF(K1758:M1775,$B1784&amp;" ~*")&gt;0)+(IFERROR(INDEX(Setup!$G$33:$G$40,MATCH(O1784,Setup!$B$33:$B$40,0)),0)=1)*(COUNTIF(O1758:Q1775,$B1784)+COUNTIF(O1758:Q1775,$B1784&amp;" ~*")&gt;0)+(IFERROR(INDEX(Setup!$G$33:$G$40,MATCH(S1784,Setup!$B$33:$B$40,0)),0)=1)*(COUNTIF(S1758:U1775,$B1784)+COUNTIF(S1758:U1775,$B1784&amp;" ~*")&gt;0)+(IFERROR(INDEX(Setup!$G$33:$G$40,MATCH(W1784,Setup!$B$33:$B$40,0)),0)=1)*(COUNTIF(W1758:W1775,$B1784)+COUNTIF(W1758:W1775,$B1784&amp;" ~*")&gt;0)+(IFERROR(INDEX(Setup!$G$33:$G$40,MATCH(Y1784,Setup!$B$33:$B$40,0)),0)=1)*(COUNTIF(Y1758:Y1775,$B1784)+COUNTIF(Y1758:Y1775,$B1784&amp;" ~*")&gt;0))</f>
        <v/>
      </c>
    </row>
    <row r="1785" ht="15" customHeight="1">
      <c r="A1785" t="n">
        <v>36</v>
      </c>
      <c r="B1785" s="35">
        <f>IF(Setup!$B$14="","",Setup!$B$14)</f>
        <v/>
      </c>
      <c r="C1785" s="98" t="n"/>
      <c r="D1785" s="99" t="n"/>
      <c r="E1785" s="99" t="n"/>
      <c r="F1785" s="100" t="n"/>
      <c r="G1785" s="98" t="n"/>
      <c r="H1785" s="99" t="n"/>
      <c r="I1785" s="99" t="n"/>
      <c r="J1785" s="100" t="n"/>
      <c r="K1785" s="98" t="n"/>
      <c r="L1785" s="99" t="n"/>
      <c r="M1785" s="99" t="n"/>
      <c r="N1785" s="100" t="n"/>
      <c r="O1785" s="98" t="n"/>
      <c r="P1785" s="99" t="n"/>
      <c r="Q1785" s="99" t="n"/>
      <c r="R1785" s="100" t="n"/>
      <c r="S1785" s="98" t="n"/>
      <c r="T1785" s="99" t="n"/>
      <c r="U1785" s="99" t="n"/>
      <c r="V1785" s="100" t="n"/>
      <c r="W1785" s="98" t="n"/>
      <c r="X1785" s="100" t="n"/>
      <c r="Y1785" s="98" t="n"/>
      <c r="Z1785" s="100" t="n"/>
      <c r="AB1785" s="101">
        <f>IF($B1785="","",(COUNTIF(C1758:E1775,$B1785)+COUNTIF(C1758:E1775,$B1785&amp;" ~*")&gt;0)+(COUNTIF(G1758:I1775,$B1785)+COUNTIF(G1758:I1775,$B1785&amp;" ~*")&gt;0)+(COUNTIF(K1758:M1775,$B1785)+COUNTIF(K1758:M1775,$B1785&amp;" ~*")&gt;0)+(COUNTIF(O1758:Q1775,$B1785)+COUNTIF(O1758:Q1775,$B1785&amp;" ~*")&gt;0)+(COUNTIF(S1758:U1775,$B1785)+COUNTIF(S1758:U1775,$B1785&amp;" ~*")&gt;0)+(COUNTIF(W1758:W1775,$B1785)+COUNTIF(W1758:W1775,$B1785&amp;" ~*")&gt;0)+(COUNTIF(Y1758:Y1775,$B1785)+COUNTIF(Y1758:Y1775,$B1785&amp;" ~*")&gt;0))</f>
        <v/>
      </c>
      <c r="AC1785" s="36">
        <f>IF($B1785="","",(IFERROR(INDEX(Setup!$G$33:$G$40,MATCH(C1785,Setup!$B$33:$B$40,0)),0)=1)*(COUNTIF(C1758:E1775,$B1785)+COUNTIF(C1758:E1775,$B1785&amp;" ~*")&gt;0)+(IFERROR(INDEX(Setup!$G$33:$G$40,MATCH(G1785,Setup!$B$33:$B$40,0)),0)=1)*(COUNTIF(G1758:I1775,$B1785)+COUNTIF(G1758:I1775,$B1785&amp;" ~*")&gt;0)+(IFERROR(INDEX(Setup!$G$33:$G$40,MATCH(K1785,Setup!$B$33:$B$40,0)),0)=1)*(COUNTIF(K1758:M1775,$B1785)+COUNTIF(K1758:M1775,$B1785&amp;" ~*")&gt;0)+(IFERROR(INDEX(Setup!$G$33:$G$40,MATCH(O1785,Setup!$B$33:$B$40,0)),0)=1)*(COUNTIF(O1758:Q1775,$B1785)+COUNTIF(O1758:Q1775,$B1785&amp;" ~*")&gt;0)+(IFERROR(INDEX(Setup!$G$33:$G$40,MATCH(S1785,Setup!$B$33:$B$40,0)),0)=1)*(COUNTIF(S1758:U1775,$B1785)+COUNTIF(S1758:U1775,$B1785&amp;" ~*")&gt;0)+(IFERROR(INDEX(Setup!$G$33:$G$40,MATCH(W1785,Setup!$B$33:$B$40,0)),0)=1)*(COUNTIF(W1758:W1775,$B1785)+COUNTIF(W1758:W1775,$B1785&amp;" ~*")&gt;0)+(IFERROR(INDEX(Setup!$G$33:$G$40,MATCH(Y1785,Setup!$B$33:$B$40,0)),0)=1)*(COUNTIF(Y1758:Y1775,$B1785)+COUNTIF(Y1758:Y1775,$B1785&amp;" ~*")&gt;0))</f>
        <v/>
      </c>
    </row>
    <row r="1786" ht="15" customHeight="1">
      <c r="A1786" t="n">
        <v>36</v>
      </c>
      <c r="B1786" s="37">
        <f>IF(Setup!$B$15="","",Setup!$B$15)</f>
        <v/>
      </c>
      <c r="C1786" s="102" t="n"/>
      <c r="D1786" s="103" t="n"/>
      <c r="E1786" s="103" t="n"/>
      <c r="F1786" s="104" t="n"/>
      <c r="G1786" s="102" t="n"/>
      <c r="H1786" s="103" t="n"/>
      <c r="I1786" s="103" t="n"/>
      <c r="J1786" s="104" t="n"/>
      <c r="K1786" s="102" t="n"/>
      <c r="L1786" s="103" t="n"/>
      <c r="M1786" s="103" t="n"/>
      <c r="N1786" s="104" t="n"/>
      <c r="O1786" s="102" t="n"/>
      <c r="P1786" s="103" t="n"/>
      <c r="Q1786" s="103" t="n"/>
      <c r="R1786" s="104" t="n"/>
      <c r="S1786" s="102" t="n"/>
      <c r="T1786" s="103" t="n"/>
      <c r="U1786" s="103" t="n"/>
      <c r="V1786" s="104" t="n"/>
      <c r="W1786" s="102" t="n"/>
      <c r="X1786" s="104" t="n"/>
      <c r="Y1786" s="102" t="n"/>
      <c r="Z1786" s="104" t="n"/>
      <c r="AB1786" s="105">
        <f>IF($B1786="","",(COUNTIF(C1758:E1775,$B1786)+COUNTIF(C1758:E1775,$B1786&amp;" ~*")&gt;0)+(COUNTIF(G1758:I1775,$B1786)+COUNTIF(G1758:I1775,$B1786&amp;" ~*")&gt;0)+(COUNTIF(K1758:M1775,$B1786)+COUNTIF(K1758:M1775,$B1786&amp;" ~*")&gt;0)+(COUNTIF(O1758:Q1775,$B1786)+COUNTIF(O1758:Q1775,$B1786&amp;" ~*")&gt;0)+(COUNTIF(S1758:U1775,$B1786)+COUNTIF(S1758:U1775,$B1786&amp;" ~*")&gt;0)+(COUNTIF(W1758:W1775,$B1786)+COUNTIF(W1758:W1775,$B1786&amp;" ~*")&gt;0)+(COUNTIF(Y1758:Y1775,$B1786)+COUNTIF(Y1758:Y1775,$B1786&amp;" ~*")&gt;0))</f>
        <v/>
      </c>
      <c r="AC1786" s="38">
        <f>IF($B1786="","",(IFERROR(INDEX(Setup!$G$33:$G$40,MATCH(C1786,Setup!$B$33:$B$40,0)),0)=1)*(COUNTIF(C1758:E1775,$B1786)+COUNTIF(C1758:E1775,$B1786&amp;" ~*")&gt;0)+(IFERROR(INDEX(Setup!$G$33:$G$40,MATCH(G1786,Setup!$B$33:$B$40,0)),0)=1)*(COUNTIF(G1758:I1775,$B1786)+COUNTIF(G1758:I1775,$B1786&amp;" ~*")&gt;0)+(IFERROR(INDEX(Setup!$G$33:$G$40,MATCH(K1786,Setup!$B$33:$B$40,0)),0)=1)*(COUNTIF(K1758:M1775,$B1786)+COUNTIF(K1758:M1775,$B1786&amp;" ~*")&gt;0)+(IFERROR(INDEX(Setup!$G$33:$G$40,MATCH(O1786,Setup!$B$33:$B$40,0)),0)=1)*(COUNTIF(O1758:Q1775,$B1786)+COUNTIF(O1758:Q1775,$B1786&amp;" ~*")&gt;0)+(IFERROR(INDEX(Setup!$G$33:$G$40,MATCH(S1786,Setup!$B$33:$B$40,0)),0)=1)*(COUNTIF(S1758:U1775,$B1786)+COUNTIF(S1758:U1775,$B1786&amp;" ~*")&gt;0)+(IFERROR(INDEX(Setup!$G$33:$G$40,MATCH(W1786,Setup!$B$33:$B$40,0)),0)=1)*(COUNTIF(W1758:W1775,$B1786)+COUNTIF(W1758:W1775,$B1786&amp;" ~*")&gt;0)+(IFERROR(INDEX(Setup!$G$33:$G$40,MATCH(Y1786,Setup!$B$33:$B$40,0)),0)=1)*(COUNTIF(Y1758:Y1775,$B1786)+COUNTIF(Y1758:Y1775,$B1786&amp;" ~*")&gt;0))</f>
        <v/>
      </c>
    </row>
    <row r="1787" ht="15" customHeight="1">
      <c r="A1787" t="n">
        <v>36</v>
      </c>
      <c r="B1787" s="35">
        <f>IF(Setup!$B$16="","",Setup!$B$16)</f>
        <v/>
      </c>
      <c r="C1787" s="98" t="n"/>
      <c r="D1787" s="99" t="n"/>
      <c r="E1787" s="99" t="n"/>
      <c r="F1787" s="100" t="n"/>
      <c r="G1787" s="98" t="n"/>
      <c r="H1787" s="99" t="n"/>
      <c r="I1787" s="99" t="n"/>
      <c r="J1787" s="100" t="n"/>
      <c r="K1787" s="98" t="n"/>
      <c r="L1787" s="99" t="n"/>
      <c r="M1787" s="99" t="n"/>
      <c r="N1787" s="100" t="n"/>
      <c r="O1787" s="98" t="n"/>
      <c r="P1787" s="99" t="n"/>
      <c r="Q1787" s="99" t="n"/>
      <c r="R1787" s="100" t="n"/>
      <c r="S1787" s="98" t="n"/>
      <c r="T1787" s="99" t="n"/>
      <c r="U1787" s="99" t="n"/>
      <c r="V1787" s="100" t="n"/>
      <c r="W1787" s="98" t="n"/>
      <c r="X1787" s="100" t="n"/>
      <c r="Y1787" s="98" t="n"/>
      <c r="Z1787" s="100" t="n"/>
      <c r="AB1787" s="101">
        <f>IF($B1787="","",(COUNTIF(C1758:E1775,$B1787)+COUNTIF(C1758:E1775,$B1787&amp;" ~*")&gt;0)+(COUNTIF(G1758:I1775,$B1787)+COUNTIF(G1758:I1775,$B1787&amp;" ~*")&gt;0)+(COUNTIF(K1758:M1775,$B1787)+COUNTIF(K1758:M1775,$B1787&amp;" ~*")&gt;0)+(COUNTIF(O1758:Q1775,$B1787)+COUNTIF(O1758:Q1775,$B1787&amp;" ~*")&gt;0)+(COUNTIF(S1758:U1775,$B1787)+COUNTIF(S1758:U1775,$B1787&amp;" ~*")&gt;0)+(COUNTIF(W1758:W1775,$B1787)+COUNTIF(W1758:W1775,$B1787&amp;" ~*")&gt;0)+(COUNTIF(Y1758:Y1775,$B1787)+COUNTIF(Y1758:Y1775,$B1787&amp;" ~*")&gt;0))</f>
        <v/>
      </c>
      <c r="AC1787" s="36">
        <f>IF($B1787="","",(IFERROR(INDEX(Setup!$G$33:$G$40,MATCH(C1787,Setup!$B$33:$B$40,0)),0)=1)*(COUNTIF(C1758:E1775,$B1787)+COUNTIF(C1758:E1775,$B1787&amp;" ~*")&gt;0)+(IFERROR(INDEX(Setup!$G$33:$G$40,MATCH(G1787,Setup!$B$33:$B$40,0)),0)=1)*(COUNTIF(G1758:I1775,$B1787)+COUNTIF(G1758:I1775,$B1787&amp;" ~*")&gt;0)+(IFERROR(INDEX(Setup!$G$33:$G$40,MATCH(K1787,Setup!$B$33:$B$40,0)),0)=1)*(COUNTIF(K1758:M1775,$B1787)+COUNTIF(K1758:M1775,$B1787&amp;" ~*")&gt;0)+(IFERROR(INDEX(Setup!$G$33:$G$40,MATCH(O1787,Setup!$B$33:$B$40,0)),0)=1)*(COUNTIF(O1758:Q1775,$B1787)+COUNTIF(O1758:Q1775,$B1787&amp;" ~*")&gt;0)+(IFERROR(INDEX(Setup!$G$33:$G$40,MATCH(S1787,Setup!$B$33:$B$40,0)),0)=1)*(COUNTIF(S1758:U1775,$B1787)+COUNTIF(S1758:U1775,$B1787&amp;" ~*")&gt;0)+(IFERROR(INDEX(Setup!$G$33:$G$40,MATCH(W1787,Setup!$B$33:$B$40,0)),0)=1)*(COUNTIF(W1758:W1775,$B1787)+COUNTIF(W1758:W1775,$B1787&amp;" ~*")&gt;0)+(IFERROR(INDEX(Setup!$G$33:$G$40,MATCH(Y1787,Setup!$B$33:$B$40,0)),0)=1)*(COUNTIF(Y1758:Y1775,$B1787)+COUNTIF(Y1758:Y1775,$B1787&amp;" ~*")&gt;0))</f>
        <v/>
      </c>
    </row>
    <row r="1788" ht="15" customHeight="1">
      <c r="A1788" t="n">
        <v>36</v>
      </c>
      <c r="B1788" s="37">
        <f>IF(Setup!$B$17="","",Setup!$B$17)</f>
        <v/>
      </c>
      <c r="C1788" s="102" t="n"/>
      <c r="D1788" s="103" t="n"/>
      <c r="E1788" s="103" t="n"/>
      <c r="F1788" s="104" t="n"/>
      <c r="G1788" s="102" t="n"/>
      <c r="H1788" s="103" t="n"/>
      <c r="I1788" s="103" t="n"/>
      <c r="J1788" s="104" t="n"/>
      <c r="K1788" s="102" t="n"/>
      <c r="L1788" s="103" t="n"/>
      <c r="M1788" s="103" t="n"/>
      <c r="N1788" s="104" t="n"/>
      <c r="O1788" s="102" t="n"/>
      <c r="P1788" s="103" t="n"/>
      <c r="Q1788" s="103" t="n"/>
      <c r="R1788" s="104" t="n"/>
      <c r="S1788" s="102" t="n"/>
      <c r="T1788" s="103" t="n"/>
      <c r="U1788" s="103" t="n"/>
      <c r="V1788" s="104" t="n"/>
      <c r="W1788" s="102" t="n"/>
      <c r="X1788" s="104" t="n"/>
      <c r="Y1788" s="102" t="n"/>
      <c r="Z1788" s="104" t="n"/>
      <c r="AB1788" s="105">
        <f>IF($B1788="","",(COUNTIF(C1758:E1775,$B1788)+COUNTIF(C1758:E1775,$B1788&amp;" ~*")&gt;0)+(COUNTIF(G1758:I1775,$B1788)+COUNTIF(G1758:I1775,$B1788&amp;" ~*")&gt;0)+(COUNTIF(K1758:M1775,$B1788)+COUNTIF(K1758:M1775,$B1788&amp;" ~*")&gt;0)+(COUNTIF(O1758:Q1775,$B1788)+COUNTIF(O1758:Q1775,$B1788&amp;" ~*")&gt;0)+(COUNTIF(S1758:U1775,$B1788)+COUNTIF(S1758:U1775,$B1788&amp;" ~*")&gt;0)+(COUNTIF(W1758:W1775,$B1788)+COUNTIF(W1758:W1775,$B1788&amp;" ~*")&gt;0)+(COUNTIF(Y1758:Y1775,$B1788)+COUNTIF(Y1758:Y1775,$B1788&amp;" ~*")&gt;0))</f>
        <v/>
      </c>
      <c r="AC1788" s="38">
        <f>IF($B1788="","",(IFERROR(INDEX(Setup!$G$33:$G$40,MATCH(C1788,Setup!$B$33:$B$40,0)),0)=1)*(COUNTIF(C1758:E1775,$B1788)+COUNTIF(C1758:E1775,$B1788&amp;" ~*")&gt;0)+(IFERROR(INDEX(Setup!$G$33:$G$40,MATCH(G1788,Setup!$B$33:$B$40,0)),0)=1)*(COUNTIF(G1758:I1775,$B1788)+COUNTIF(G1758:I1775,$B1788&amp;" ~*")&gt;0)+(IFERROR(INDEX(Setup!$G$33:$G$40,MATCH(K1788,Setup!$B$33:$B$40,0)),0)=1)*(COUNTIF(K1758:M1775,$B1788)+COUNTIF(K1758:M1775,$B1788&amp;" ~*")&gt;0)+(IFERROR(INDEX(Setup!$G$33:$G$40,MATCH(O1788,Setup!$B$33:$B$40,0)),0)=1)*(COUNTIF(O1758:Q1775,$B1788)+COUNTIF(O1758:Q1775,$B1788&amp;" ~*")&gt;0)+(IFERROR(INDEX(Setup!$G$33:$G$40,MATCH(S1788,Setup!$B$33:$B$40,0)),0)=1)*(COUNTIF(S1758:U1775,$B1788)+COUNTIF(S1758:U1775,$B1788&amp;" ~*")&gt;0)+(IFERROR(INDEX(Setup!$G$33:$G$40,MATCH(W1788,Setup!$B$33:$B$40,0)),0)=1)*(COUNTIF(W1758:W1775,$B1788)+COUNTIF(W1758:W1775,$B1788&amp;" ~*")&gt;0)+(IFERROR(INDEX(Setup!$G$33:$G$40,MATCH(Y1788,Setup!$B$33:$B$40,0)),0)=1)*(COUNTIF(Y1758:Y1775,$B1788)+COUNTIF(Y1758:Y1775,$B1788&amp;" ~*")&gt;0))</f>
        <v/>
      </c>
    </row>
    <row r="1789" ht="15" customHeight="1">
      <c r="A1789" t="n">
        <v>36</v>
      </c>
      <c r="B1789" s="35">
        <f>IF(Setup!$B$18="","",Setup!$B$18)</f>
        <v/>
      </c>
      <c r="C1789" s="98" t="n"/>
      <c r="D1789" s="99" t="n"/>
      <c r="E1789" s="99" t="n"/>
      <c r="F1789" s="100" t="n"/>
      <c r="G1789" s="98" t="n"/>
      <c r="H1789" s="99" t="n"/>
      <c r="I1789" s="99" t="n"/>
      <c r="J1789" s="100" t="n"/>
      <c r="K1789" s="98" t="n"/>
      <c r="L1789" s="99" t="n"/>
      <c r="M1789" s="99" t="n"/>
      <c r="N1789" s="100" t="n"/>
      <c r="O1789" s="98" t="n"/>
      <c r="P1789" s="99" t="n"/>
      <c r="Q1789" s="99" t="n"/>
      <c r="R1789" s="100" t="n"/>
      <c r="S1789" s="98" t="n"/>
      <c r="T1789" s="99" t="n"/>
      <c r="U1789" s="99" t="n"/>
      <c r="V1789" s="100" t="n"/>
      <c r="W1789" s="98" t="n"/>
      <c r="X1789" s="100" t="n"/>
      <c r="Y1789" s="98" t="n"/>
      <c r="Z1789" s="100" t="n"/>
      <c r="AB1789" s="101">
        <f>IF($B1789="","",(COUNTIF(C1758:E1775,$B1789)+COUNTIF(C1758:E1775,$B1789&amp;" ~*")&gt;0)+(COUNTIF(G1758:I1775,$B1789)+COUNTIF(G1758:I1775,$B1789&amp;" ~*")&gt;0)+(COUNTIF(K1758:M1775,$B1789)+COUNTIF(K1758:M1775,$B1789&amp;" ~*")&gt;0)+(COUNTIF(O1758:Q1775,$B1789)+COUNTIF(O1758:Q1775,$B1789&amp;" ~*")&gt;0)+(COUNTIF(S1758:U1775,$B1789)+COUNTIF(S1758:U1775,$B1789&amp;" ~*")&gt;0)+(COUNTIF(W1758:W1775,$B1789)+COUNTIF(W1758:W1775,$B1789&amp;" ~*")&gt;0)+(COUNTIF(Y1758:Y1775,$B1789)+COUNTIF(Y1758:Y1775,$B1789&amp;" ~*")&gt;0))</f>
        <v/>
      </c>
      <c r="AC1789" s="36">
        <f>IF($B1789="","",(IFERROR(INDEX(Setup!$G$33:$G$40,MATCH(C1789,Setup!$B$33:$B$40,0)),0)=1)*(COUNTIF(C1758:E1775,$B1789)+COUNTIF(C1758:E1775,$B1789&amp;" ~*")&gt;0)+(IFERROR(INDEX(Setup!$G$33:$G$40,MATCH(G1789,Setup!$B$33:$B$40,0)),0)=1)*(COUNTIF(G1758:I1775,$B1789)+COUNTIF(G1758:I1775,$B1789&amp;" ~*")&gt;0)+(IFERROR(INDEX(Setup!$G$33:$G$40,MATCH(K1789,Setup!$B$33:$B$40,0)),0)=1)*(COUNTIF(K1758:M1775,$B1789)+COUNTIF(K1758:M1775,$B1789&amp;" ~*")&gt;0)+(IFERROR(INDEX(Setup!$G$33:$G$40,MATCH(O1789,Setup!$B$33:$B$40,0)),0)=1)*(COUNTIF(O1758:Q1775,$B1789)+COUNTIF(O1758:Q1775,$B1789&amp;" ~*")&gt;0)+(IFERROR(INDEX(Setup!$G$33:$G$40,MATCH(S1789,Setup!$B$33:$B$40,0)),0)=1)*(COUNTIF(S1758:U1775,$B1789)+COUNTIF(S1758:U1775,$B1789&amp;" ~*")&gt;0)+(IFERROR(INDEX(Setup!$G$33:$G$40,MATCH(W1789,Setup!$B$33:$B$40,0)),0)=1)*(COUNTIF(W1758:W1775,$B1789)+COUNTIF(W1758:W1775,$B1789&amp;" ~*")&gt;0)+(IFERROR(INDEX(Setup!$G$33:$G$40,MATCH(Y1789,Setup!$B$33:$B$40,0)),0)=1)*(COUNTIF(Y1758:Y1775,$B1789)+COUNTIF(Y1758:Y1775,$B1789&amp;" ~*")&gt;0))</f>
        <v/>
      </c>
    </row>
    <row r="1790" ht="15" customHeight="1">
      <c r="A1790" t="n">
        <v>36</v>
      </c>
      <c r="B1790" s="37">
        <f>IF(Setup!$B$19="","",Setup!$B$19)</f>
        <v/>
      </c>
      <c r="C1790" s="102" t="n"/>
      <c r="D1790" s="103" t="n"/>
      <c r="E1790" s="103" t="n"/>
      <c r="F1790" s="104" t="n"/>
      <c r="G1790" s="102" t="n"/>
      <c r="H1790" s="103" t="n"/>
      <c r="I1790" s="103" t="n"/>
      <c r="J1790" s="104" t="n"/>
      <c r="K1790" s="102" t="n"/>
      <c r="L1790" s="103" t="n"/>
      <c r="M1790" s="103" t="n"/>
      <c r="N1790" s="104" t="n"/>
      <c r="O1790" s="102" t="n"/>
      <c r="P1790" s="103" t="n"/>
      <c r="Q1790" s="103" t="n"/>
      <c r="R1790" s="104" t="n"/>
      <c r="S1790" s="102" t="n"/>
      <c r="T1790" s="103" t="n"/>
      <c r="U1790" s="103" t="n"/>
      <c r="V1790" s="104" t="n"/>
      <c r="W1790" s="102" t="n"/>
      <c r="X1790" s="104" t="n"/>
      <c r="Y1790" s="102" t="n"/>
      <c r="Z1790" s="104" t="n"/>
      <c r="AB1790" s="105">
        <f>IF($B1790="","",(COUNTIF(C1758:E1775,$B1790)+COUNTIF(C1758:E1775,$B1790&amp;" ~*")&gt;0)+(COUNTIF(G1758:I1775,$B1790)+COUNTIF(G1758:I1775,$B1790&amp;" ~*")&gt;0)+(COUNTIF(K1758:M1775,$B1790)+COUNTIF(K1758:M1775,$B1790&amp;" ~*")&gt;0)+(COUNTIF(O1758:Q1775,$B1790)+COUNTIF(O1758:Q1775,$B1790&amp;" ~*")&gt;0)+(COUNTIF(S1758:U1775,$B1790)+COUNTIF(S1758:U1775,$B1790&amp;" ~*")&gt;0)+(COUNTIF(W1758:W1775,$B1790)+COUNTIF(W1758:W1775,$B1790&amp;" ~*")&gt;0)+(COUNTIF(Y1758:Y1775,$B1790)+COUNTIF(Y1758:Y1775,$B1790&amp;" ~*")&gt;0))</f>
        <v/>
      </c>
      <c r="AC1790" s="38">
        <f>IF($B1790="","",(IFERROR(INDEX(Setup!$G$33:$G$40,MATCH(C1790,Setup!$B$33:$B$40,0)),0)=1)*(COUNTIF(C1758:E1775,$B1790)+COUNTIF(C1758:E1775,$B1790&amp;" ~*")&gt;0)+(IFERROR(INDEX(Setup!$G$33:$G$40,MATCH(G1790,Setup!$B$33:$B$40,0)),0)=1)*(COUNTIF(G1758:I1775,$B1790)+COUNTIF(G1758:I1775,$B1790&amp;" ~*")&gt;0)+(IFERROR(INDEX(Setup!$G$33:$G$40,MATCH(K1790,Setup!$B$33:$B$40,0)),0)=1)*(COUNTIF(K1758:M1775,$B1790)+COUNTIF(K1758:M1775,$B1790&amp;" ~*")&gt;0)+(IFERROR(INDEX(Setup!$G$33:$G$40,MATCH(O1790,Setup!$B$33:$B$40,0)),0)=1)*(COUNTIF(O1758:Q1775,$B1790)+COUNTIF(O1758:Q1775,$B1790&amp;" ~*")&gt;0)+(IFERROR(INDEX(Setup!$G$33:$G$40,MATCH(S1790,Setup!$B$33:$B$40,0)),0)=1)*(COUNTIF(S1758:U1775,$B1790)+COUNTIF(S1758:U1775,$B1790&amp;" ~*")&gt;0)+(IFERROR(INDEX(Setup!$G$33:$G$40,MATCH(W1790,Setup!$B$33:$B$40,0)),0)=1)*(COUNTIF(W1758:W1775,$B1790)+COUNTIF(W1758:W1775,$B1790&amp;" ~*")&gt;0)+(IFERROR(INDEX(Setup!$G$33:$G$40,MATCH(Y1790,Setup!$B$33:$B$40,0)),0)=1)*(COUNTIF(Y1758:Y1775,$B1790)+COUNTIF(Y1758:Y1775,$B1790&amp;" ~*")&gt;0))</f>
        <v/>
      </c>
    </row>
    <row r="1791" ht="15" customHeight="1">
      <c r="A1791" t="n">
        <v>36</v>
      </c>
      <c r="B1791" s="35">
        <f>IF(Setup!$B$20="","",Setup!$B$20)</f>
        <v/>
      </c>
      <c r="C1791" s="98" t="n"/>
      <c r="D1791" s="99" t="n"/>
      <c r="E1791" s="99" t="n"/>
      <c r="F1791" s="100" t="n"/>
      <c r="G1791" s="98" t="n"/>
      <c r="H1791" s="99" t="n"/>
      <c r="I1791" s="99" t="n"/>
      <c r="J1791" s="100" t="n"/>
      <c r="K1791" s="98" t="n"/>
      <c r="L1791" s="99" t="n"/>
      <c r="M1791" s="99" t="n"/>
      <c r="N1791" s="100" t="n"/>
      <c r="O1791" s="98" t="n"/>
      <c r="P1791" s="99" t="n"/>
      <c r="Q1791" s="99" t="n"/>
      <c r="R1791" s="100" t="n"/>
      <c r="S1791" s="98" t="n"/>
      <c r="T1791" s="99" t="n"/>
      <c r="U1791" s="99" t="n"/>
      <c r="V1791" s="100" t="n"/>
      <c r="W1791" s="98" t="n"/>
      <c r="X1791" s="100" t="n"/>
      <c r="Y1791" s="98" t="n"/>
      <c r="Z1791" s="100" t="n"/>
      <c r="AB1791" s="101">
        <f>IF($B1791="","",(COUNTIF(C1758:E1775,$B1791)+COUNTIF(C1758:E1775,$B1791&amp;" ~*")&gt;0)+(COUNTIF(G1758:I1775,$B1791)+COUNTIF(G1758:I1775,$B1791&amp;" ~*")&gt;0)+(COUNTIF(K1758:M1775,$B1791)+COUNTIF(K1758:M1775,$B1791&amp;" ~*")&gt;0)+(COUNTIF(O1758:Q1775,$B1791)+COUNTIF(O1758:Q1775,$B1791&amp;" ~*")&gt;0)+(COUNTIF(S1758:U1775,$B1791)+COUNTIF(S1758:U1775,$B1791&amp;" ~*")&gt;0)+(COUNTIF(W1758:W1775,$B1791)+COUNTIF(W1758:W1775,$B1791&amp;" ~*")&gt;0)+(COUNTIF(Y1758:Y1775,$B1791)+COUNTIF(Y1758:Y1775,$B1791&amp;" ~*")&gt;0))</f>
        <v/>
      </c>
      <c r="AC1791" s="36">
        <f>IF($B1791="","",(IFERROR(INDEX(Setup!$G$33:$G$40,MATCH(C1791,Setup!$B$33:$B$40,0)),0)=1)*(COUNTIF(C1758:E1775,$B1791)+COUNTIF(C1758:E1775,$B1791&amp;" ~*")&gt;0)+(IFERROR(INDEX(Setup!$G$33:$G$40,MATCH(G1791,Setup!$B$33:$B$40,0)),0)=1)*(COUNTIF(G1758:I1775,$B1791)+COUNTIF(G1758:I1775,$B1791&amp;" ~*")&gt;0)+(IFERROR(INDEX(Setup!$G$33:$G$40,MATCH(K1791,Setup!$B$33:$B$40,0)),0)=1)*(COUNTIF(K1758:M1775,$B1791)+COUNTIF(K1758:M1775,$B1791&amp;" ~*")&gt;0)+(IFERROR(INDEX(Setup!$G$33:$G$40,MATCH(O1791,Setup!$B$33:$B$40,0)),0)=1)*(COUNTIF(O1758:Q1775,$B1791)+COUNTIF(O1758:Q1775,$B1791&amp;" ~*")&gt;0)+(IFERROR(INDEX(Setup!$G$33:$G$40,MATCH(S1791,Setup!$B$33:$B$40,0)),0)=1)*(COUNTIF(S1758:U1775,$B1791)+COUNTIF(S1758:U1775,$B1791&amp;" ~*")&gt;0)+(IFERROR(INDEX(Setup!$G$33:$G$40,MATCH(W1791,Setup!$B$33:$B$40,0)),0)=1)*(COUNTIF(W1758:W1775,$B1791)+COUNTIF(W1758:W1775,$B1791&amp;" ~*")&gt;0)+(IFERROR(INDEX(Setup!$G$33:$G$40,MATCH(Y1791,Setup!$B$33:$B$40,0)),0)=1)*(COUNTIF(Y1758:Y1775,$B1791)+COUNTIF(Y1758:Y1775,$B1791&amp;" ~*")&gt;0))</f>
        <v/>
      </c>
    </row>
    <row r="1792" ht="15" customHeight="1">
      <c r="A1792" t="n">
        <v>36</v>
      </c>
      <c r="B1792" s="37">
        <f>IF(Setup!$B$21="","",Setup!$B$21)</f>
        <v/>
      </c>
      <c r="C1792" s="102" t="n"/>
      <c r="D1792" s="103" t="n"/>
      <c r="E1792" s="103" t="n"/>
      <c r="F1792" s="104" t="n"/>
      <c r="G1792" s="102" t="n"/>
      <c r="H1792" s="103" t="n"/>
      <c r="I1792" s="103" t="n"/>
      <c r="J1792" s="104" t="n"/>
      <c r="K1792" s="102" t="n"/>
      <c r="L1792" s="103" t="n"/>
      <c r="M1792" s="103" t="n"/>
      <c r="N1792" s="104" t="n"/>
      <c r="O1792" s="102" t="n"/>
      <c r="P1792" s="103" t="n"/>
      <c r="Q1792" s="103" t="n"/>
      <c r="R1792" s="104" t="n"/>
      <c r="S1792" s="102" t="n"/>
      <c r="T1792" s="103" t="n"/>
      <c r="U1792" s="103" t="n"/>
      <c r="V1792" s="104" t="n"/>
      <c r="W1792" s="102" t="n"/>
      <c r="X1792" s="104" t="n"/>
      <c r="Y1792" s="102" t="n"/>
      <c r="Z1792" s="104" t="n"/>
      <c r="AB1792" s="105">
        <f>IF($B1792="","",(COUNTIF(C1758:E1775,$B1792)+COUNTIF(C1758:E1775,$B1792&amp;" ~*")&gt;0)+(COUNTIF(G1758:I1775,$B1792)+COUNTIF(G1758:I1775,$B1792&amp;" ~*")&gt;0)+(COUNTIF(K1758:M1775,$B1792)+COUNTIF(K1758:M1775,$B1792&amp;" ~*")&gt;0)+(COUNTIF(O1758:Q1775,$B1792)+COUNTIF(O1758:Q1775,$B1792&amp;" ~*")&gt;0)+(COUNTIF(S1758:U1775,$B1792)+COUNTIF(S1758:U1775,$B1792&amp;" ~*")&gt;0)+(COUNTIF(W1758:W1775,$B1792)+COUNTIF(W1758:W1775,$B1792&amp;" ~*")&gt;0)+(COUNTIF(Y1758:Y1775,$B1792)+COUNTIF(Y1758:Y1775,$B1792&amp;" ~*")&gt;0))</f>
        <v/>
      </c>
      <c r="AC1792" s="38">
        <f>IF($B1792="","",(IFERROR(INDEX(Setup!$G$33:$G$40,MATCH(C1792,Setup!$B$33:$B$40,0)),0)=1)*(COUNTIF(C1758:E1775,$B1792)+COUNTIF(C1758:E1775,$B1792&amp;" ~*")&gt;0)+(IFERROR(INDEX(Setup!$G$33:$G$40,MATCH(G1792,Setup!$B$33:$B$40,0)),0)=1)*(COUNTIF(G1758:I1775,$B1792)+COUNTIF(G1758:I1775,$B1792&amp;" ~*")&gt;0)+(IFERROR(INDEX(Setup!$G$33:$G$40,MATCH(K1792,Setup!$B$33:$B$40,0)),0)=1)*(COUNTIF(K1758:M1775,$B1792)+COUNTIF(K1758:M1775,$B1792&amp;" ~*")&gt;0)+(IFERROR(INDEX(Setup!$G$33:$G$40,MATCH(O1792,Setup!$B$33:$B$40,0)),0)=1)*(COUNTIF(O1758:Q1775,$B1792)+COUNTIF(O1758:Q1775,$B1792&amp;" ~*")&gt;0)+(IFERROR(INDEX(Setup!$G$33:$G$40,MATCH(S1792,Setup!$B$33:$B$40,0)),0)=1)*(COUNTIF(S1758:U1775,$B1792)+COUNTIF(S1758:U1775,$B1792&amp;" ~*")&gt;0)+(IFERROR(INDEX(Setup!$G$33:$G$40,MATCH(W1792,Setup!$B$33:$B$40,0)),0)=1)*(COUNTIF(W1758:W1775,$B1792)+COUNTIF(W1758:W1775,$B1792&amp;" ~*")&gt;0)+(IFERROR(INDEX(Setup!$G$33:$G$40,MATCH(Y1792,Setup!$B$33:$B$40,0)),0)=1)*(COUNTIF(Y1758:Y1775,$B1792)+COUNTIF(Y1758:Y1775,$B1792&amp;" ~*")&gt;0))</f>
        <v/>
      </c>
    </row>
    <row r="1793" ht="15" customHeight="1">
      <c r="A1793" t="n">
        <v>36</v>
      </c>
      <c r="B1793" s="35">
        <f>IF(Setup!$B$22="","",Setup!$B$22)</f>
        <v/>
      </c>
      <c r="C1793" s="98" t="n"/>
      <c r="D1793" s="99" t="n"/>
      <c r="E1793" s="99" t="n"/>
      <c r="F1793" s="100" t="n"/>
      <c r="G1793" s="98" t="n"/>
      <c r="H1793" s="99" t="n"/>
      <c r="I1793" s="99" t="n"/>
      <c r="J1793" s="100" t="n"/>
      <c r="K1793" s="98" t="n"/>
      <c r="L1793" s="99" t="n"/>
      <c r="M1793" s="99" t="n"/>
      <c r="N1793" s="100" t="n"/>
      <c r="O1793" s="98" t="n"/>
      <c r="P1793" s="99" t="n"/>
      <c r="Q1793" s="99" t="n"/>
      <c r="R1793" s="100" t="n"/>
      <c r="S1793" s="98" t="n"/>
      <c r="T1793" s="99" t="n"/>
      <c r="U1793" s="99" t="n"/>
      <c r="V1793" s="100" t="n"/>
      <c r="W1793" s="98" t="n"/>
      <c r="X1793" s="100" t="n"/>
      <c r="Y1793" s="98" t="n"/>
      <c r="Z1793" s="100" t="n"/>
      <c r="AB1793" s="101">
        <f>IF($B1793="","",(COUNTIF(C1758:E1775,$B1793)+COUNTIF(C1758:E1775,$B1793&amp;" ~*")&gt;0)+(COUNTIF(G1758:I1775,$B1793)+COUNTIF(G1758:I1775,$B1793&amp;" ~*")&gt;0)+(COUNTIF(K1758:M1775,$B1793)+COUNTIF(K1758:M1775,$B1793&amp;" ~*")&gt;0)+(COUNTIF(O1758:Q1775,$B1793)+COUNTIF(O1758:Q1775,$B1793&amp;" ~*")&gt;0)+(COUNTIF(S1758:U1775,$B1793)+COUNTIF(S1758:U1775,$B1793&amp;" ~*")&gt;0)+(COUNTIF(W1758:W1775,$B1793)+COUNTIF(W1758:W1775,$B1793&amp;" ~*")&gt;0)+(COUNTIF(Y1758:Y1775,$B1793)+COUNTIF(Y1758:Y1775,$B1793&amp;" ~*")&gt;0))</f>
        <v/>
      </c>
      <c r="AC1793" s="36">
        <f>IF($B1793="","",(IFERROR(INDEX(Setup!$G$33:$G$40,MATCH(C1793,Setup!$B$33:$B$40,0)),0)=1)*(COUNTIF(C1758:E1775,$B1793)+COUNTIF(C1758:E1775,$B1793&amp;" ~*")&gt;0)+(IFERROR(INDEX(Setup!$G$33:$G$40,MATCH(G1793,Setup!$B$33:$B$40,0)),0)=1)*(COUNTIF(G1758:I1775,$B1793)+COUNTIF(G1758:I1775,$B1793&amp;" ~*")&gt;0)+(IFERROR(INDEX(Setup!$G$33:$G$40,MATCH(K1793,Setup!$B$33:$B$40,0)),0)=1)*(COUNTIF(K1758:M1775,$B1793)+COUNTIF(K1758:M1775,$B1793&amp;" ~*")&gt;0)+(IFERROR(INDEX(Setup!$G$33:$G$40,MATCH(O1793,Setup!$B$33:$B$40,0)),0)=1)*(COUNTIF(O1758:Q1775,$B1793)+COUNTIF(O1758:Q1775,$B1793&amp;" ~*")&gt;0)+(IFERROR(INDEX(Setup!$G$33:$G$40,MATCH(S1793,Setup!$B$33:$B$40,0)),0)=1)*(COUNTIF(S1758:U1775,$B1793)+COUNTIF(S1758:U1775,$B1793&amp;" ~*")&gt;0)+(IFERROR(INDEX(Setup!$G$33:$G$40,MATCH(W1793,Setup!$B$33:$B$40,0)),0)=1)*(COUNTIF(W1758:W1775,$B1793)+COUNTIF(W1758:W1775,$B1793&amp;" ~*")&gt;0)+(IFERROR(INDEX(Setup!$G$33:$G$40,MATCH(Y1793,Setup!$B$33:$B$40,0)),0)=1)*(COUNTIF(Y1758:Y1775,$B1793)+COUNTIF(Y1758:Y1775,$B1793&amp;" ~*")&gt;0))</f>
        <v/>
      </c>
    </row>
    <row r="1794" ht="15" customHeight="1">
      <c r="A1794" t="n">
        <v>36</v>
      </c>
      <c r="B1794" s="37">
        <f>IF(Setup!$B$23="","",Setup!$B$23)</f>
        <v/>
      </c>
      <c r="C1794" s="102" t="n"/>
      <c r="D1794" s="103" t="n"/>
      <c r="E1794" s="103" t="n"/>
      <c r="F1794" s="104" t="n"/>
      <c r="G1794" s="102" t="n"/>
      <c r="H1794" s="103" t="n"/>
      <c r="I1794" s="103" t="n"/>
      <c r="J1794" s="104" t="n"/>
      <c r="K1794" s="102" t="n"/>
      <c r="L1794" s="103" t="n"/>
      <c r="M1794" s="103" t="n"/>
      <c r="N1794" s="104" t="n"/>
      <c r="O1794" s="102" t="n"/>
      <c r="P1794" s="103" t="n"/>
      <c r="Q1794" s="103" t="n"/>
      <c r="R1794" s="104" t="n"/>
      <c r="S1794" s="102" t="n"/>
      <c r="T1794" s="103" t="n"/>
      <c r="U1794" s="103" t="n"/>
      <c r="V1794" s="104" t="n"/>
      <c r="W1794" s="102" t="n"/>
      <c r="X1794" s="104" t="n"/>
      <c r="Y1794" s="102" t="n"/>
      <c r="Z1794" s="104" t="n"/>
      <c r="AB1794" s="105">
        <f>IF($B1794="","",(COUNTIF(C1758:E1775,$B1794)+COUNTIF(C1758:E1775,$B1794&amp;" ~*")&gt;0)+(COUNTIF(G1758:I1775,$B1794)+COUNTIF(G1758:I1775,$B1794&amp;" ~*")&gt;0)+(COUNTIF(K1758:M1775,$B1794)+COUNTIF(K1758:M1775,$B1794&amp;" ~*")&gt;0)+(COUNTIF(O1758:Q1775,$B1794)+COUNTIF(O1758:Q1775,$B1794&amp;" ~*")&gt;0)+(COUNTIF(S1758:U1775,$B1794)+COUNTIF(S1758:U1775,$B1794&amp;" ~*")&gt;0)+(COUNTIF(W1758:W1775,$B1794)+COUNTIF(W1758:W1775,$B1794&amp;" ~*")&gt;0)+(COUNTIF(Y1758:Y1775,$B1794)+COUNTIF(Y1758:Y1775,$B1794&amp;" ~*")&gt;0))</f>
        <v/>
      </c>
      <c r="AC1794" s="38">
        <f>IF($B1794="","",(IFERROR(INDEX(Setup!$G$33:$G$40,MATCH(C1794,Setup!$B$33:$B$40,0)),0)=1)*(COUNTIF(C1758:E1775,$B1794)+COUNTIF(C1758:E1775,$B1794&amp;" ~*")&gt;0)+(IFERROR(INDEX(Setup!$G$33:$G$40,MATCH(G1794,Setup!$B$33:$B$40,0)),0)=1)*(COUNTIF(G1758:I1775,$B1794)+COUNTIF(G1758:I1775,$B1794&amp;" ~*")&gt;0)+(IFERROR(INDEX(Setup!$G$33:$G$40,MATCH(K1794,Setup!$B$33:$B$40,0)),0)=1)*(COUNTIF(K1758:M1775,$B1794)+COUNTIF(K1758:M1775,$B1794&amp;" ~*")&gt;0)+(IFERROR(INDEX(Setup!$G$33:$G$40,MATCH(O1794,Setup!$B$33:$B$40,0)),0)=1)*(COUNTIF(O1758:Q1775,$B1794)+COUNTIF(O1758:Q1775,$B1794&amp;" ~*")&gt;0)+(IFERROR(INDEX(Setup!$G$33:$G$40,MATCH(S1794,Setup!$B$33:$B$40,0)),0)=1)*(COUNTIF(S1758:U1775,$B1794)+COUNTIF(S1758:U1775,$B1794&amp;" ~*")&gt;0)+(IFERROR(INDEX(Setup!$G$33:$G$40,MATCH(W1794,Setup!$B$33:$B$40,0)),0)=1)*(COUNTIF(W1758:W1775,$B1794)+COUNTIF(W1758:W1775,$B1794&amp;" ~*")&gt;0)+(IFERROR(INDEX(Setup!$G$33:$G$40,MATCH(Y1794,Setup!$B$33:$B$40,0)),0)=1)*(COUNTIF(Y1758:Y1775,$B1794)+COUNTIF(Y1758:Y1775,$B1794&amp;" ~*")&gt;0))</f>
        <v/>
      </c>
    </row>
    <row r="1795" ht="15" customHeight="1">
      <c r="A1795" t="n">
        <v>36</v>
      </c>
      <c r="B1795" s="35">
        <f>IF(Setup!$B$24="","",Setup!$B$24)</f>
        <v/>
      </c>
      <c r="C1795" s="98" t="n"/>
      <c r="D1795" s="99" t="n"/>
      <c r="E1795" s="99" t="n"/>
      <c r="F1795" s="100" t="n"/>
      <c r="G1795" s="98" t="n"/>
      <c r="H1795" s="99" t="n"/>
      <c r="I1795" s="99" t="n"/>
      <c r="J1795" s="100" t="n"/>
      <c r="K1795" s="98" t="n"/>
      <c r="L1795" s="99" t="n"/>
      <c r="M1795" s="99" t="n"/>
      <c r="N1795" s="100" t="n"/>
      <c r="O1795" s="98" t="n"/>
      <c r="P1795" s="99" t="n"/>
      <c r="Q1795" s="99" t="n"/>
      <c r="R1795" s="100" t="n"/>
      <c r="S1795" s="98" t="n"/>
      <c r="T1795" s="99" t="n"/>
      <c r="U1795" s="99" t="n"/>
      <c r="V1795" s="100" t="n"/>
      <c r="W1795" s="98" t="n"/>
      <c r="X1795" s="100" t="n"/>
      <c r="Y1795" s="98" t="n"/>
      <c r="Z1795" s="100" t="n"/>
      <c r="AB1795" s="101">
        <f>IF($B1795="","",(COUNTIF(C1758:E1775,$B1795)+COUNTIF(C1758:E1775,$B1795&amp;" ~*")&gt;0)+(COUNTIF(G1758:I1775,$B1795)+COUNTIF(G1758:I1775,$B1795&amp;" ~*")&gt;0)+(COUNTIF(K1758:M1775,$B1795)+COUNTIF(K1758:M1775,$B1795&amp;" ~*")&gt;0)+(COUNTIF(O1758:Q1775,$B1795)+COUNTIF(O1758:Q1775,$B1795&amp;" ~*")&gt;0)+(COUNTIF(S1758:U1775,$B1795)+COUNTIF(S1758:U1775,$B1795&amp;" ~*")&gt;0)+(COUNTIF(W1758:W1775,$B1795)+COUNTIF(W1758:W1775,$B1795&amp;" ~*")&gt;0)+(COUNTIF(Y1758:Y1775,$B1795)+COUNTIF(Y1758:Y1775,$B1795&amp;" ~*")&gt;0))</f>
        <v/>
      </c>
      <c r="AC1795" s="36">
        <f>IF($B1795="","",(IFERROR(INDEX(Setup!$G$33:$G$40,MATCH(C1795,Setup!$B$33:$B$40,0)),0)=1)*(COUNTIF(C1758:E1775,$B1795)+COUNTIF(C1758:E1775,$B1795&amp;" ~*")&gt;0)+(IFERROR(INDEX(Setup!$G$33:$G$40,MATCH(G1795,Setup!$B$33:$B$40,0)),0)=1)*(COUNTIF(G1758:I1775,$B1795)+COUNTIF(G1758:I1775,$B1795&amp;" ~*")&gt;0)+(IFERROR(INDEX(Setup!$G$33:$G$40,MATCH(K1795,Setup!$B$33:$B$40,0)),0)=1)*(COUNTIF(K1758:M1775,$B1795)+COUNTIF(K1758:M1775,$B1795&amp;" ~*")&gt;0)+(IFERROR(INDEX(Setup!$G$33:$G$40,MATCH(O1795,Setup!$B$33:$B$40,0)),0)=1)*(COUNTIF(O1758:Q1775,$B1795)+COUNTIF(O1758:Q1775,$B1795&amp;" ~*")&gt;0)+(IFERROR(INDEX(Setup!$G$33:$G$40,MATCH(S1795,Setup!$B$33:$B$40,0)),0)=1)*(COUNTIF(S1758:U1775,$B1795)+COUNTIF(S1758:U1775,$B1795&amp;" ~*")&gt;0)+(IFERROR(INDEX(Setup!$G$33:$G$40,MATCH(W1795,Setup!$B$33:$B$40,0)),0)=1)*(COUNTIF(W1758:W1775,$B1795)+COUNTIF(W1758:W1775,$B1795&amp;" ~*")&gt;0)+(IFERROR(INDEX(Setup!$G$33:$G$40,MATCH(Y1795,Setup!$B$33:$B$40,0)),0)=1)*(COUNTIF(Y1758:Y1775,$B1795)+COUNTIF(Y1758:Y1775,$B1795&amp;" ~*")&gt;0))</f>
        <v/>
      </c>
    </row>
    <row r="1796" ht="15" customHeight="1">
      <c r="A1796" t="n">
        <v>36</v>
      </c>
      <c r="B1796" s="37">
        <f>IF(Setup!$B$25="","",Setup!$B$25)</f>
        <v/>
      </c>
      <c r="C1796" s="102" t="n"/>
      <c r="D1796" s="103" t="n"/>
      <c r="E1796" s="103" t="n"/>
      <c r="F1796" s="104" t="n"/>
      <c r="G1796" s="102" t="n"/>
      <c r="H1796" s="103" t="n"/>
      <c r="I1796" s="103" t="n"/>
      <c r="J1796" s="104" t="n"/>
      <c r="K1796" s="102" t="n"/>
      <c r="L1796" s="103" t="n"/>
      <c r="M1796" s="103" t="n"/>
      <c r="N1796" s="104" t="n"/>
      <c r="O1796" s="102" t="n"/>
      <c r="P1796" s="103" t="n"/>
      <c r="Q1796" s="103" t="n"/>
      <c r="R1796" s="104" t="n"/>
      <c r="S1796" s="102" t="n"/>
      <c r="T1796" s="103" t="n"/>
      <c r="U1796" s="103" t="n"/>
      <c r="V1796" s="104" t="n"/>
      <c r="W1796" s="102" t="n"/>
      <c r="X1796" s="104" t="n"/>
      <c r="Y1796" s="102" t="n"/>
      <c r="Z1796" s="104" t="n"/>
      <c r="AB1796" s="105">
        <f>IF($B1796="","",(COUNTIF(C1758:E1775,$B1796)+COUNTIF(C1758:E1775,$B1796&amp;" ~*")&gt;0)+(COUNTIF(G1758:I1775,$B1796)+COUNTIF(G1758:I1775,$B1796&amp;" ~*")&gt;0)+(COUNTIF(K1758:M1775,$B1796)+COUNTIF(K1758:M1775,$B1796&amp;" ~*")&gt;0)+(COUNTIF(O1758:Q1775,$B1796)+COUNTIF(O1758:Q1775,$B1796&amp;" ~*")&gt;0)+(COUNTIF(S1758:U1775,$B1796)+COUNTIF(S1758:U1775,$B1796&amp;" ~*")&gt;0)+(COUNTIF(W1758:W1775,$B1796)+COUNTIF(W1758:W1775,$B1796&amp;" ~*")&gt;0)+(COUNTIF(Y1758:Y1775,$B1796)+COUNTIF(Y1758:Y1775,$B1796&amp;" ~*")&gt;0))</f>
        <v/>
      </c>
      <c r="AC1796" s="38">
        <f>IF($B1796="","",(IFERROR(INDEX(Setup!$G$33:$G$40,MATCH(C1796,Setup!$B$33:$B$40,0)),0)=1)*(COUNTIF(C1758:E1775,$B1796)+COUNTIF(C1758:E1775,$B1796&amp;" ~*")&gt;0)+(IFERROR(INDEX(Setup!$G$33:$G$40,MATCH(G1796,Setup!$B$33:$B$40,0)),0)=1)*(COUNTIF(G1758:I1775,$B1796)+COUNTIF(G1758:I1775,$B1796&amp;" ~*")&gt;0)+(IFERROR(INDEX(Setup!$G$33:$G$40,MATCH(K1796,Setup!$B$33:$B$40,0)),0)=1)*(COUNTIF(K1758:M1775,$B1796)+COUNTIF(K1758:M1775,$B1796&amp;" ~*")&gt;0)+(IFERROR(INDEX(Setup!$G$33:$G$40,MATCH(O1796,Setup!$B$33:$B$40,0)),0)=1)*(COUNTIF(O1758:Q1775,$B1796)+COUNTIF(O1758:Q1775,$B1796&amp;" ~*")&gt;0)+(IFERROR(INDEX(Setup!$G$33:$G$40,MATCH(S1796,Setup!$B$33:$B$40,0)),0)=1)*(COUNTIF(S1758:U1775,$B1796)+COUNTIF(S1758:U1775,$B1796&amp;" ~*")&gt;0)+(IFERROR(INDEX(Setup!$G$33:$G$40,MATCH(W1796,Setup!$B$33:$B$40,0)),0)=1)*(COUNTIF(W1758:W1775,$B1796)+COUNTIF(W1758:W1775,$B1796&amp;" ~*")&gt;0)+(IFERROR(INDEX(Setup!$G$33:$G$40,MATCH(Y1796,Setup!$B$33:$B$40,0)),0)=1)*(COUNTIF(Y1758:Y1775,$B1796)+COUNTIF(Y1758:Y1775,$B1796&amp;" ~*")&gt;0))</f>
        <v/>
      </c>
    </row>
    <row r="1797" ht="15" customHeight="1">
      <c r="A1797" t="n">
        <v>36</v>
      </c>
      <c r="B1797" s="35">
        <f>IF(Setup!$B$26="","",Setup!$B$26)</f>
        <v/>
      </c>
      <c r="C1797" s="98" t="n"/>
      <c r="D1797" s="99" t="n"/>
      <c r="E1797" s="99" t="n"/>
      <c r="F1797" s="100" t="n"/>
      <c r="G1797" s="98" t="n"/>
      <c r="H1797" s="99" t="n"/>
      <c r="I1797" s="99" t="n"/>
      <c r="J1797" s="100" t="n"/>
      <c r="K1797" s="98" t="n"/>
      <c r="L1797" s="99" t="n"/>
      <c r="M1797" s="99" t="n"/>
      <c r="N1797" s="100" t="n"/>
      <c r="O1797" s="98" t="n"/>
      <c r="P1797" s="99" t="n"/>
      <c r="Q1797" s="99" t="n"/>
      <c r="R1797" s="100" t="n"/>
      <c r="S1797" s="98" t="n"/>
      <c r="T1797" s="99" t="n"/>
      <c r="U1797" s="99" t="n"/>
      <c r="V1797" s="100" t="n"/>
      <c r="W1797" s="98" t="n"/>
      <c r="X1797" s="100" t="n"/>
      <c r="Y1797" s="98" t="n"/>
      <c r="Z1797" s="100" t="n"/>
      <c r="AB1797" s="101">
        <f>IF($B1797="","",(COUNTIF(C1758:E1775,$B1797)+COUNTIF(C1758:E1775,$B1797&amp;" ~*")&gt;0)+(COUNTIF(G1758:I1775,$B1797)+COUNTIF(G1758:I1775,$B1797&amp;" ~*")&gt;0)+(COUNTIF(K1758:M1775,$B1797)+COUNTIF(K1758:M1775,$B1797&amp;" ~*")&gt;0)+(COUNTIF(O1758:Q1775,$B1797)+COUNTIF(O1758:Q1775,$B1797&amp;" ~*")&gt;0)+(COUNTIF(S1758:U1775,$B1797)+COUNTIF(S1758:U1775,$B1797&amp;" ~*")&gt;0)+(COUNTIF(W1758:W1775,$B1797)+COUNTIF(W1758:W1775,$B1797&amp;" ~*")&gt;0)+(COUNTIF(Y1758:Y1775,$B1797)+COUNTIF(Y1758:Y1775,$B1797&amp;" ~*")&gt;0))</f>
        <v/>
      </c>
      <c r="AC1797" s="36">
        <f>IF($B1797="","",(IFERROR(INDEX(Setup!$G$33:$G$40,MATCH(C1797,Setup!$B$33:$B$40,0)),0)=1)*(COUNTIF(C1758:E1775,$B1797)+COUNTIF(C1758:E1775,$B1797&amp;" ~*")&gt;0)+(IFERROR(INDEX(Setup!$G$33:$G$40,MATCH(G1797,Setup!$B$33:$B$40,0)),0)=1)*(COUNTIF(G1758:I1775,$B1797)+COUNTIF(G1758:I1775,$B1797&amp;" ~*")&gt;0)+(IFERROR(INDEX(Setup!$G$33:$G$40,MATCH(K1797,Setup!$B$33:$B$40,0)),0)=1)*(COUNTIF(K1758:M1775,$B1797)+COUNTIF(K1758:M1775,$B1797&amp;" ~*")&gt;0)+(IFERROR(INDEX(Setup!$G$33:$G$40,MATCH(O1797,Setup!$B$33:$B$40,0)),0)=1)*(COUNTIF(O1758:Q1775,$B1797)+COUNTIF(O1758:Q1775,$B1797&amp;" ~*")&gt;0)+(IFERROR(INDEX(Setup!$G$33:$G$40,MATCH(S1797,Setup!$B$33:$B$40,0)),0)=1)*(COUNTIF(S1758:U1775,$B1797)+COUNTIF(S1758:U1775,$B1797&amp;" ~*")&gt;0)+(IFERROR(INDEX(Setup!$G$33:$G$40,MATCH(W1797,Setup!$B$33:$B$40,0)),0)=1)*(COUNTIF(W1758:W1775,$B1797)+COUNTIF(W1758:W1775,$B1797&amp;" ~*")&gt;0)+(IFERROR(INDEX(Setup!$G$33:$G$40,MATCH(Y1797,Setup!$B$33:$B$40,0)),0)=1)*(COUNTIF(Y1758:Y1775,$B1797)+COUNTIF(Y1758:Y1775,$B1797&amp;" ~*")&gt;0))</f>
        <v/>
      </c>
    </row>
    <row r="1798" ht="15" customHeight="1">
      <c r="A1798" t="n">
        <v>36</v>
      </c>
      <c r="B1798" s="37">
        <f>IF(Setup!$B$27="","",Setup!$B$27)</f>
        <v/>
      </c>
      <c r="C1798" s="102" t="n"/>
      <c r="D1798" s="103" t="n"/>
      <c r="E1798" s="103" t="n"/>
      <c r="F1798" s="104" t="n"/>
      <c r="G1798" s="102" t="n"/>
      <c r="H1798" s="103" t="n"/>
      <c r="I1798" s="103" t="n"/>
      <c r="J1798" s="104" t="n"/>
      <c r="K1798" s="102" t="n"/>
      <c r="L1798" s="103" t="n"/>
      <c r="M1798" s="103" t="n"/>
      <c r="N1798" s="104" t="n"/>
      <c r="O1798" s="102" t="n"/>
      <c r="P1798" s="103" t="n"/>
      <c r="Q1798" s="103" t="n"/>
      <c r="R1798" s="104" t="n"/>
      <c r="S1798" s="102" t="n"/>
      <c r="T1798" s="103" t="n"/>
      <c r="U1798" s="103" t="n"/>
      <c r="V1798" s="104" t="n"/>
      <c r="W1798" s="102" t="n"/>
      <c r="X1798" s="104" t="n"/>
      <c r="Y1798" s="102" t="n"/>
      <c r="Z1798" s="104" t="n"/>
      <c r="AB1798" s="105">
        <f>IF($B1798="","",(COUNTIF(C1758:E1775,$B1798)+COUNTIF(C1758:E1775,$B1798&amp;" ~*")&gt;0)+(COUNTIF(G1758:I1775,$B1798)+COUNTIF(G1758:I1775,$B1798&amp;" ~*")&gt;0)+(COUNTIF(K1758:M1775,$B1798)+COUNTIF(K1758:M1775,$B1798&amp;" ~*")&gt;0)+(COUNTIF(O1758:Q1775,$B1798)+COUNTIF(O1758:Q1775,$B1798&amp;" ~*")&gt;0)+(COUNTIF(S1758:U1775,$B1798)+COUNTIF(S1758:U1775,$B1798&amp;" ~*")&gt;0)+(COUNTIF(W1758:W1775,$B1798)+COUNTIF(W1758:W1775,$B1798&amp;" ~*")&gt;0)+(COUNTIF(Y1758:Y1775,$B1798)+COUNTIF(Y1758:Y1775,$B1798&amp;" ~*")&gt;0))</f>
        <v/>
      </c>
      <c r="AC1798" s="38">
        <f>IF($B1798="","",(IFERROR(INDEX(Setup!$G$33:$G$40,MATCH(C1798,Setup!$B$33:$B$40,0)),0)=1)*(COUNTIF(C1758:E1775,$B1798)+COUNTIF(C1758:E1775,$B1798&amp;" ~*")&gt;0)+(IFERROR(INDEX(Setup!$G$33:$G$40,MATCH(G1798,Setup!$B$33:$B$40,0)),0)=1)*(COUNTIF(G1758:I1775,$B1798)+COUNTIF(G1758:I1775,$B1798&amp;" ~*")&gt;0)+(IFERROR(INDEX(Setup!$G$33:$G$40,MATCH(K1798,Setup!$B$33:$B$40,0)),0)=1)*(COUNTIF(K1758:M1775,$B1798)+COUNTIF(K1758:M1775,$B1798&amp;" ~*")&gt;0)+(IFERROR(INDEX(Setup!$G$33:$G$40,MATCH(O1798,Setup!$B$33:$B$40,0)),0)=1)*(COUNTIF(O1758:Q1775,$B1798)+COUNTIF(O1758:Q1775,$B1798&amp;" ~*")&gt;0)+(IFERROR(INDEX(Setup!$G$33:$G$40,MATCH(S1798,Setup!$B$33:$B$40,0)),0)=1)*(COUNTIF(S1758:U1775,$B1798)+COUNTIF(S1758:U1775,$B1798&amp;" ~*")&gt;0)+(IFERROR(INDEX(Setup!$G$33:$G$40,MATCH(W1798,Setup!$B$33:$B$40,0)),0)=1)*(COUNTIF(W1758:W1775,$B1798)+COUNTIF(W1758:W1775,$B1798&amp;" ~*")&gt;0)+(IFERROR(INDEX(Setup!$G$33:$G$40,MATCH(Y1798,Setup!$B$33:$B$40,0)),0)=1)*(COUNTIF(Y1758:Y1775,$B1798)+COUNTIF(Y1758:Y1775,$B1798&amp;" ~*")&gt;0))</f>
        <v/>
      </c>
    </row>
    <row r="1799" ht="15" customHeight="1">
      <c r="A1799" t="n">
        <v>36</v>
      </c>
      <c r="B1799" s="35">
        <f>IF(Setup!$B$28="","",Setup!$B$28)</f>
        <v/>
      </c>
      <c r="C1799" s="98" t="n"/>
      <c r="D1799" s="99" t="n"/>
      <c r="E1799" s="99" t="n"/>
      <c r="F1799" s="100" t="n"/>
      <c r="G1799" s="98" t="n"/>
      <c r="H1799" s="99" t="n"/>
      <c r="I1799" s="99" t="n"/>
      <c r="J1799" s="100" t="n"/>
      <c r="K1799" s="98" t="n"/>
      <c r="L1799" s="99" t="n"/>
      <c r="M1799" s="99" t="n"/>
      <c r="N1799" s="100" t="n"/>
      <c r="O1799" s="98" t="n"/>
      <c r="P1799" s="99" t="n"/>
      <c r="Q1799" s="99" t="n"/>
      <c r="R1799" s="100" t="n"/>
      <c r="S1799" s="98" t="n"/>
      <c r="T1799" s="99" t="n"/>
      <c r="U1799" s="99" t="n"/>
      <c r="V1799" s="100" t="n"/>
      <c r="W1799" s="98" t="n"/>
      <c r="X1799" s="100" t="n"/>
      <c r="Y1799" s="98" t="n"/>
      <c r="Z1799" s="100" t="n"/>
      <c r="AB1799" s="101">
        <f>IF($B1799="","",(COUNTIF(C1758:E1775,$B1799)+COUNTIF(C1758:E1775,$B1799&amp;" ~*")&gt;0)+(COUNTIF(G1758:I1775,$B1799)+COUNTIF(G1758:I1775,$B1799&amp;" ~*")&gt;0)+(COUNTIF(K1758:M1775,$B1799)+COUNTIF(K1758:M1775,$B1799&amp;" ~*")&gt;0)+(COUNTIF(O1758:Q1775,$B1799)+COUNTIF(O1758:Q1775,$B1799&amp;" ~*")&gt;0)+(COUNTIF(S1758:U1775,$B1799)+COUNTIF(S1758:U1775,$B1799&amp;" ~*")&gt;0)+(COUNTIF(W1758:W1775,$B1799)+COUNTIF(W1758:W1775,$B1799&amp;" ~*")&gt;0)+(COUNTIF(Y1758:Y1775,$B1799)+COUNTIF(Y1758:Y1775,$B1799&amp;" ~*")&gt;0))</f>
        <v/>
      </c>
      <c r="AC1799" s="36">
        <f>IF($B1799="","",(IFERROR(INDEX(Setup!$G$33:$G$40,MATCH(C1799,Setup!$B$33:$B$40,0)),0)=1)*(COUNTIF(C1758:E1775,$B1799)+COUNTIF(C1758:E1775,$B1799&amp;" ~*")&gt;0)+(IFERROR(INDEX(Setup!$G$33:$G$40,MATCH(G1799,Setup!$B$33:$B$40,0)),0)=1)*(COUNTIF(G1758:I1775,$B1799)+COUNTIF(G1758:I1775,$B1799&amp;" ~*")&gt;0)+(IFERROR(INDEX(Setup!$G$33:$G$40,MATCH(K1799,Setup!$B$33:$B$40,0)),0)=1)*(COUNTIF(K1758:M1775,$B1799)+COUNTIF(K1758:M1775,$B1799&amp;" ~*")&gt;0)+(IFERROR(INDEX(Setup!$G$33:$G$40,MATCH(O1799,Setup!$B$33:$B$40,0)),0)=1)*(COUNTIF(O1758:Q1775,$B1799)+COUNTIF(O1758:Q1775,$B1799&amp;" ~*")&gt;0)+(IFERROR(INDEX(Setup!$G$33:$G$40,MATCH(S1799,Setup!$B$33:$B$40,0)),0)=1)*(COUNTIF(S1758:U1775,$B1799)+COUNTIF(S1758:U1775,$B1799&amp;" ~*")&gt;0)+(IFERROR(INDEX(Setup!$G$33:$G$40,MATCH(W1799,Setup!$B$33:$B$40,0)),0)=1)*(COUNTIF(W1758:W1775,$B1799)+COUNTIF(W1758:W1775,$B1799&amp;" ~*")&gt;0)+(IFERROR(INDEX(Setup!$G$33:$G$40,MATCH(Y1799,Setup!$B$33:$B$40,0)),0)=1)*(COUNTIF(Y1758:Y1775,$B1799)+COUNTIF(Y1758:Y1775,$B1799&amp;" ~*")&gt;0))</f>
        <v/>
      </c>
    </row>
    <row r="1800" ht="15" customHeight="1">
      <c r="A1800" t="n">
        <v>36</v>
      </c>
      <c r="B1800" s="37">
        <f>IF(Setup!$B$29="","",Setup!$B$29)</f>
        <v/>
      </c>
      <c r="C1800" s="102" t="n"/>
      <c r="D1800" s="103" t="n"/>
      <c r="E1800" s="103" t="n"/>
      <c r="F1800" s="104" t="n"/>
      <c r="G1800" s="102" t="n"/>
      <c r="H1800" s="103" t="n"/>
      <c r="I1800" s="103" t="n"/>
      <c r="J1800" s="104" t="n"/>
      <c r="K1800" s="102" t="n"/>
      <c r="L1800" s="103" t="n"/>
      <c r="M1800" s="103" t="n"/>
      <c r="N1800" s="104" t="n"/>
      <c r="O1800" s="102" t="n"/>
      <c r="P1800" s="103" t="n"/>
      <c r="Q1800" s="103" t="n"/>
      <c r="R1800" s="104" t="n"/>
      <c r="S1800" s="102" t="n"/>
      <c r="T1800" s="103" t="n"/>
      <c r="U1800" s="103" t="n"/>
      <c r="V1800" s="104" t="n"/>
      <c r="W1800" s="102" t="n"/>
      <c r="X1800" s="104" t="n"/>
      <c r="Y1800" s="102" t="n"/>
      <c r="Z1800" s="104" t="n"/>
      <c r="AB1800" s="105">
        <f>IF($B1800="","",(COUNTIF(C1758:E1775,$B1800)+COUNTIF(C1758:E1775,$B1800&amp;" ~*")&gt;0)+(COUNTIF(G1758:I1775,$B1800)+COUNTIF(G1758:I1775,$B1800&amp;" ~*")&gt;0)+(COUNTIF(K1758:M1775,$B1800)+COUNTIF(K1758:M1775,$B1800&amp;" ~*")&gt;0)+(COUNTIF(O1758:Q1775,$B1800)+COUNTIF(O1758:Q1775,$B1800&amp;" ~*")&gt;0)+(COUNTIF(S1758:U1775,$B1800)+COUNTIF(S1758:U1775,$B1800&amp;" ~*")&gt;0)+(COUNTIF(W1758:W1775,$B1800)+COUNTIF(W1758:W1775,$B1800&amp;" ~*")&gt;0)+(COUNTIF(Y1758:Y1775,$B1800)+COUNTIF(Y1758:Y1775,$B1800&amp;" ~*")&gt;0))</f>
        <v/>
      </c>
      <c r="AC1800" s="38">
        <f>IF($B1800="","",(IFERROR(INDEX(Setup!$G$33:$G$40,MATCH(C1800,Setup!$B$33:$B$40,0)),0)=1)*(COUNTIF(C1758:E1775,$B1800)+COUNTIF(C1758:E1775,$B1800&amp;" ~*")&gt;0)+(IFERROR(INDEX(Setup!$G$33:$G$40,MATCH(G1800,Setup!$B$33:$B$40,0)),0)=1)*(COUNTIF(G1758:I1775,$B1800)+COUNTIF(G1758:I1775,$B1800&amp;" ~*")&gt;0)+(IFERROR(INDEX(Setup!$G$33:$G$40,MATCH(K1800,Setup!$B$33:$B$40,0)),0)=1)*(COUNTIF(K1758:M1775,$B1800)+COUNTIF(K1758:M1775,$B1800&amp;" ~*")&gt;0)+(IFERROR(INDEX(Setup!$G$33:$G$40,MATCH(O1800,Setup!$B$33:$B$40,0)),0)=1)*(COUNTIF(O1758:Q1775,$B1800)+COUNTIF(O1758:Q1775,$B1800&amp;" ~*")&gt;0)+(IFERROR(INDEX(Setup!$G$33:$G$40,MATCH(S1800,Setup!$B$33:$B$40,0)),0)=1)*(COUNTIF(S1758:U1775,$B1800)+COUNTIF(S1758:U1775,$B1800&amp;" ~*")&gt;0)+(IFERROR(INDEX(Setup!$G$33:$G$40,MATCH(W1800,Setup!$B$33:$B$40,0)),0)=1)*(COUNTIF(W1758:W1775,$B1800)+COUNTIF(W1758:W1775,$B1800&amp;" ~*")&gt;0)+(IFERROR(INDEX(Setup!$G$33:$G$40,MATCH(Y1800,Setup!$B$33:$B$40,0)),0)=1)*(COUNTIF(Y1758:Y1775,$B1800)+COUNTIF(Y1758:Y1775,$B1800&amp;" ~*")&gt;0))</f>
        <v/>
      </c>
    </row>
    <row r="1801" ht="16" customHeight="1">
      <c r="A1801" t="n">
        <v>36</v>
      </c>
      <c r="B1801" s="106" t="inlineStr">
        <is>
          <t>Available people</t>
        </is>
      </c>
      <c r="C1801" s="107">
        <f>COUNTIFS(Setup!$E$6:$E$29,"Y",Setup!$B$6:$B$29,"?*")-SUMPRODUCT(COUNTIF(C1777:C1800,Setup!$F$33:$F$40))</f>
        <v/>
      </c>
      <c r="D1801" s="107" t="n"/>
      <c r="E1801" s="107" t="n"/>
      <c r="F1801" s="107" t="n"/>
      <c r="G1801" s="107">
        <f>COUNTIFS(Setup!$E$6:$E$29,"Y",Setup!$B$6:$B$29,"?*")-SUMPRODUCT(COUNTIF(G1777:G1800,Setup!$F$33:$F$40))</f>
        <v/>
      </c>
      <c r="H1801" s="107" t="n"/>
      <c r="I1801" s="107" t="n"/>
      <c r="J1801" s="107" t="n"/>
      <c r="K1801" s="107">
        <f>COUNTIFS(Setup!$E$6:$E$29,"Y",Setup!$B$6:$B$29,"?*")-SUMPRODUCT(COUNTIF(K1777:K1800,Setup!$F$33:$F$40))</f>
        <v/>
      </c>
      <c r="L1801" s="107" t="n"/>
      <c r="M1801" s="107" t="n"/>
      <c r="N1801" s="107" t="n"/>
      <c r="O1801" s="107">
        <f>COUNTIFS(Setup!$E$6:$E$29,"Y",Setup!$B$6:$B$29,"?*")-SUMPRODUCT(COUNTIF(O1777:O1800,Setup!$F$33:$F$40))</f>
        <v/>
      </c>
      <c r="P1801" s="107" t="n"/>
      <c r="Q1801" s="107" t="n"/>
      <c r="R1801" s="107" t="n"/>
      <c r="S1801" s="107">
        <f>COUNTIFS(Setup!$E$6:$E$29,"Y",Setup!$B$6:$B$29,"?*")-SUMPRODUCT(COUNTIF(S1777:S1800,Setup!$F$33:$F$40))</f>
        <v/>
      </c>
      <c r="T1801" s="107" t="n"/>
      <c r="U1801" s="107" t="n"/>
      <c r="V1801" s="107" t="n"/>
      <c r="W1801" s="107">
        <f>COUNTIFS(Setup!$E$6:$E$29,"Y",Setup!$B$6:$B$29,"?*")-SUMPRODUCT(COUNTIF(W1777:W1800,Setup!$F$33:$F$40))</f>
        <v/>
      </c>
      <c r="X1801" s="107" t="n"/>
      <c r="Y1801" s="107">
        <f>COUNTIFS(Setup!$E$6:$E$29,"Y",Setup!$B$6:$B$29,"?*")-SUMPRODUCT(COUNTIF(Y1777:Y1800,Setup!$F$33:$F$40))</f>
        <v/>
      </c>
      <c r="Z1801" s="107" t="n"/>
      <c r="AB1801" s="108">
        <f>SUM(AB1777:AB1800)</f>
        <v/>
      </c>
      <c r="AC1801" s="109">
        <f>SUM(AC1777:AC1800)</f>
        <v/>
      </c>
    </row>
    <row r="1802" ht="30" customHeight="1">
      <c r="A1802" t="n">
        <v>36</v>
      </c>
      <c r="B1802" s="110" t="inlineStr">
        <is>
          <t>Week notes</t>
        </is>
      </c>
      <c r="C1802" s="111" t="n"/>
      <c r="D1802" s="112" t="n"/>
      <c r="E1802" s="112" t="n"/>
      <c r="F1802" s="112" t="n"/>
      <c r="G1802" s="112" t="n"/>
      <c r="H1802" s="112" t="n"/>
      <c r="I1802" s="112" t="n"/>
      <c r="J1802" s="112" t="n"/>
      <c r="K1802" s="112" t="n"/>
      <c r="L1802" s="112" t="n"/>
      <c r="M1802" s="112" t="n"/>
      <c r="N1802" s="112" t="n"/>
      <c r="O1802" s="112" t="n"/>
      <c r="P1802" s="112" t="n"/>
      <c r="Q1802" s="112" t="n"/>
      <c r="R1802" s="112" t="n"/>
      <c r="S1802" s="112" t="n"/>
      <c r="T1802" s="112" t="n"/>
      <c r="U1802" s="112" t="n"/>
      <c r="V1802" s="112" t="n"/>
      <c r="W1802" s="112" t="n"/>
      <c r="X1802" s="112" t="n"/>
      <c r="Y1802" s="112" t="n"/>
      <c r="Z1802" s="113" t="n"/>
    </row>
    <row r="1803" ht="8" customHeight="1">
      <c r="A1803" t="n">
        <v>36</v>
      </c>
    </row>
    <row r="1804" ht="8" customHeight="1">
      <c r="A1804" t="n">
        <v>36</v>
      </c>
    </row>
    <row r="1805" ht="24" customHeight="1">
      <c r="A1805" t="n">
        <v>37</v>
      </c>
      <c r="B1805" s="73">
        <f>"WEEK 37     "&amp;TEXT(C1806,"ddd d mmm")&amp;"  –  "&amp;TEXT(C1806+6,"ddd d mmm yyyy")</f>
        <v/>
      </c>
      <c r="S1805" s="74">
        <f>IF(TODAY()&lt;C1806,"FUTURE",IF(TODAY()&gt;C1806+6,"PAST","THIS WEEK"))</f>
        <v/>
      </c>
      <c r="W1805" s="75">
        <f>IF(AND(Engine!$B$8=$AC$3,Engine!$B$9=$A1805),"◀ ACTIVE WEEK","")</f>
        <v/>
      </c>
      <c r="AA1805" s="76" t="n"/>
      <c r="AB1805" s="77" t="inlineStr">
        <is>
          <t>◀ Prev</t>
        </is>
      </c>
      <c r="AC1805" s="77" t="inlineStr">
        <is>
          <t>Next ▶</t>
        </is>
      </c>
    </row>
    <row r="1806" ht="18" customHeight="1">
      <c r="A1806" t="n">
        <v>37</v>
      </c>
      <c r="B1806" s="78" t="inlineStr">
        <is>
          <t>DUTY</t>
        </is>
      </c>
      <c r="C1806" s="79">
        <f>$AC$2+7*($A1806-1)</f>
        <v/>
      </c>
      <c r="D1806" s="80" t="n"/>
      <c r="E1806" s="80" t="n"/>
      <c r="F1806" s="81" t="n"/>
      <c r="G1806" s="79">
        <f>C1806+1</f>
        <v/>
      </c>
      <c r="H1806" s="80" t="n"/>
      <c r="I1806" s="80" t="n"/>
      <c r="J1806" s="81" t="n"/>
      <c r="K1806" s="79">
        <f>C1806+2</f>
        <v/>
      </c>
      <c r="L1806" s="80" t="n"/>
      <c r="M1806" s="80" t="n"/>
      <c r="N1806" s="81" t="n"/>
      <c r="O1806" s="79">
        <f>C1806+3</f>
        <v/>
      </c>
      <c r="P1806" s="80" t="n"/>
      <c r="Q1806" s="80" t="n"/>
      <c r="R1806" s="81" t="n"/>
      <c r="S1806" s="79">
        <f>C1806+4</f>
        <v/>
      </c>
      <c r="T1806" s="80" t="n"/>
      <c r="U1806" s="80" t="n"/>
      <c r="V1806" s="81" t="n"/>
      <c r="W1806" s="82">
        <f>C1806+5</f>
        <v/>
      </c>
      <c r="X1806" s="83" t="n"/>
      <c r="Y1806" s="82">
        <f>C1806+6</f>
        <v/>
      </c>
      <c r="Z1806" s="83" t="n"/>
      <c r="AB1806" s="72" t="inlineStr">
        <is>
          <t>Gaps</t>
        </is>
      </c>
      <c r="AC1806" s="72" t="inlineStr">
        <is>
          <t>Cover</t>
        </is>
      </c>
    </row>
    <row r="1807" ht="14" customHeight="1">
      <c r="A1807" t="n">
        <v>37</v>
      </c>
      <c r="B1807" s="84" t="inlineStr">
        <is>
          <t>(from Setup)</t>
        </is>
      </c>
      <c r="C1807" s="85" t="inlineStr">
        <is>
          <t>1</t>
        </is>
      </c>
      <c r="D1807" s="85" t="inlineStr">
        <is>
          <t>2</t>
        </is>
      </c>
      <c r="E1807" s="85" t="inlineStr">
        <is>
          <t>3</t>
        </is>
      </c>
      <c r="F1807" s="85" t="inlineStr">
        <is>
          <t>Notes</t>
        </is>
      </c>
      <c r="G1807" s="85" t="inlineStr">
        <is>
          <t>1</t>
        </is>
      </c>
      <c r="H1807" s="85" t="inlineStr">
        <is>
          <t>2</t>
        </is>
      </c>
      <c r="I1807" s="85" t="inlineStr">
        <is>
          <t>3</t>
        </is>
      </c>
      <c r="J1807" s="85" t="inlineStr">
        <is>
          <t>Notes</t>
        </is>
      </c>
      <c r="K1807" s="85" t="inlineStr">
        <is>
          <t>1</t>
        </is>
      </c>
      <c r="L1807" s="85" t="inlineStr">
        <is>
          <t>2</t>
        </is>
      </c>
      <c r="M1807" s="85" t="inlineStr">
        <is>
          <t>3</t>
        </is>
      </c>
      <c r="N1807" s="85" t="inlineStr">
        <is>
          <t>Notes</t>
        </is>
      </c>
      <c r="O1807" s="85" t="inlineStr">
        <is>
          <t>1</t>
        </is>
      </c>
      <c r="P1807" s="85" t="inlineStr">
        <is>
          <t>2</t>
        </is>
      </c>
      <c r="Q1807" s="85" t="inlineStr">
        <is>
          <t>3</t>
        </is>
      </c>
      <c r="R1807" s="85" t="inlineStr">
        <is>
          <t>Notes</t>
        </is>
      </c>
      <c r="S1807" s="85" t="inlineStr">
        <is>
          <t>1</t>
        </is>
      </c>
      <c r="T1807" s="85" t="inlineStr">
        <is>
          <t>2</t>
        </is>
      </c>
      <c r="U1807" s="85" t="inlineStr">
        <is>
          <t>3</t>
        </is>
      </c>
      <c r="V1807" s="85" t="inlineStr">
        <is>
          <t>Notes</t>
        </is>
      </c>
      <c r="W1807" s="85" t="inlineStr">
        <is>
          <t>Cover</t>
        </is>
      </c>
      <c r="X1807" s="85" t="inlineStr">
        <is>
          <t>Notes</t>
        </is>
      </c>
      <c r="Y1807" s="85" t="inlineStr">
        <is>
          <t>Cover</t>
        </is>
      </c>
      <c r="Z1807" s="85" t="inlineStr">
        <is>
          <t>Notes</t>
        </is>
      </c>
      <c r="AB1807" s="86" t="inlineStr">
        <is>
          <t>weekdays short</t>
        </is>
      </c>
      <c r="AC1807" s="87" t="inlineStr"/>
    </row>
    <row r="1808" ht="17" customHeight="1">
      <c r="A1808" t="n">
        <v>37</v>
      </c>
      <c r="B1808" s="24">
        <f>IF(Setup!$K$6="","",Setup!$K$6)</f>
        <v/>
      </c>
      <c r="C1808" s="88" t="n"/>
      <c r="D1808" s="88" t="n"/>
      <c r="E1808" s="88" t="n"/>
      <c r="F1808" s="89" t="n"/>
      <c r="G1808" s="88" t="n"/>
      <c r="H1808" s="88" t="n"/>
      <c r="I1808" s="88" t="n"/>
      <c r="J1808" s="89" t="n"/>
      <c r="K1808" s="88" t="n"/>
      <c r="L1808" s="88" t="n"/>
      <c r="M1808" s="88" t="n"/>
      <c r="N1808" s="89" t="n"/>
      <c r="O1808" s="88" t="n"/>
      <c r="P1808" s="88" t="n"/>
      <c r="Q1808" s="88" t="n"/>
      <c r="R1808" s="89" t="n"/>
      <c r="S1808" s="88" t="n"/>
      <c r="T1808" s="88" t="n"/>
      <c r="U1808" s="88" t="n"/>
      <c r="V1808" s="89" t="n"/>
      <c r="W1808" s="88" t="n"/>
      <c r="X1808" s="89" t="n"/>
      <c r="Y1808" s="88" t="n"/>
      <c r="Z1808" s="89" t="n"/>
      <c r="AB1808" s="25">
        <f>IF($B1808="","",(COUNTIF(C1808:E1808,"?*")&lt;N(INDEX(Setup!$L$6:$L$23,1)))+(COUNTIF(G1808:I1808,"?*")&lt;N(INDEX(Setup!$L$6:$L$23,1)))+(COUNTIF(K1808:M1808,"?*")&lt;N(INDEX(Setup!$L$6:$L$23,1)))+(COUNTIF(O1808:Q1808,"?*")&lt;N(INDEX(Setup!$L$6:$L$23,1)))+(COUNTIF(S1808:U1808,"?*")&lt;N(INDEX(Setup!$L$6:$L$23,1)))+((W1808="")*(INDEX(Setup!$M$6:$M$23,1)="Y"))+((Y1808="")*(INDEX(Setup!$M$6:$M$23,1)="Y")))</f>
        <v/>
      </c>
      <c r="AC1808" s="90">
        <f>IF($B1808="","",IF(AB1808=0,"✓ covered","⚠ "&amp;AB1808&amp;IF(AB1808=1," gap"," gaps")))</f>
        <v/>
      </c>
    </row>
    <row r="1809" ht="17" customHeight="1">
      <c r="A1809" t="n">
        <v>37</v>
      </c>
      <c r="B1809" s="29">
        <f>IF(Setup!$K$7="","",Setup!$K$7)</f>
        <v/>
      </c>
      <c r="C1809" s="88" t="n"/>
      <c r="D1809" s="88" t="n"/>
      <c r="E1809" s="88" t="n"/>
      <c r="F1809" s="89" t="n"/>
      <c r="G1809" s="88" t="n"/>
      <c r="H1809" s="88" t="n"/>
      <c r="I1809" s="88" t="n"/>
      <c r="J1809" s="89" t="n"/>
      <c r="K1809" s="88" t="n"/>
      <c r="L1809" s="88" t="n"/>
      <c r="M1809" s="88" t="n"/>
      <c r="N1809" s="89" t="n"/>
      <c r="O1809" s="88" t="n"/>
      <c r="P1809" s="88" t="n"/>
      <c r="Q1809" s="88" t="n"/>
      <c r="R1809" s="89" t="n"/>
      <c r="S1809" s="88" t="n"/>
      <c r="T1809" s="88" t="n"/>
      <c r="U1809" s="88" t="n"/>
      <c r="V1809" s="89" t="n"/>
      <c r="W1809" s="88" t="n"/>
      <c r="X1809" s="89" t="n"/>
      <c r="Y1809" s="88" t="n"/>
      <c r="Z1809" s="89" t="n"/>
      <c r="AB1809" s="30">
        <f>IF($B1809="","",(COUNTIF(C1809:E1809,"?*")&lt;N(INDEX(Setup!$L$6:$L$23,2)))+(COUNTIF(G1809:I1809,"?*")&lt;N(INDEX(Setup!$L$6:$L$23,2)))+(COUNTIF(K1809:M1809,"?*")&lt;N(INDEX(Setup!$L$6:$L$23,2)))+(COUNTIF(O1809:Q1809,"?*")&lt;N(INDEX(Setup!$L$6:$L$23,2)))+(COUNTIF(S1809:U1809,"?*")&lt;N(INDEX(Setup!$L$6:$L$23,2)))+((W1809="")*(INDEX(Setup!$M$6:$M$23,2)="Y"))+((Y1809="")*(INDEX(Setup!$M$6:$M$23,2)="Y")))</f>
        <v/>
      </c>
      <c r="AC1809" s="91">
        <f>IF($B1809="","",IF(AB1809=0,"✓ covered","⚠ "&amp;AB1809&amp;IF(AB1809=1," gap"," gaps")))</f>
        <v/>
      </c>
    </row>
    <row r="1810" ht="17" customHeight="1">
      <c r="A1810" t="n">
        <v>37</v>
      </c>
      <c r="B1810" s="24">
        <f>IF(Setup!$K$8="","",Setup!$K$8)</f>
        <v/>
      </c>
      <c r="C1810" s="88" t="n"/>
      <c r="D1810" s="88" t="n"/>
      <c r="E1810" s="88" t="n"/>
      <c r="F1810" s="89" t="n"/>
      <c r="G1810" s="88" t="n"/>
      <c r="H1810" s="88" t="n"/>
      <c r="I1810" s="88" t="n"/>
      <c r="J1810" s="89" t="n"/>
      <c r="K1810" s="88" t="n"/>
      <c r="L1810" s="88" t="n"/>
      <c r="M1810" s="88" t="n"/>
      <c r="N1810" s="89" t="n"/>
      <c r="O1810" s="88" t="n"/>
      <c r="P1810" s="88" t="n"/>
      <c r="Q1810" s="88" t="n"/>
      <c r="R1810" s="89" t="n"/>
      <c r="S1810" s="88" t="n"/>
      <c r="T1810" s="88" t="n"/>
      <c r="U1810" s="88" t="n"/>
      <c r="V1810" s="89" t="n"/>
      <c r="W1810" s="88" t="n"/>
      <c r="X1810" s="89" t="n"/>
      <c r="Y1810" s="88" t="n"/>
      <c r="Z1810" s="89" t="n"/>
      <c r="AB1810" s="25">
        <f>IF($B1810="","",(COUNTIF(C1810:E1810,"?*")&lt;N(INDEX(Setup!$L$6:$L$23,3)))+(COUNTIF(G1810:I1810,"?*")&lt;N(INDEX(Setup!$L$6:$L$23,3)))+(COUNTIF(K1810:M1810,"?*")&lt;N(INDEX(Setup!$L$6:$L$23,3)))+(COUNTIF(O1810:Q1810,"?*")&lt;N(INDEX(Setup!$L$6:$L$23,3)))+(COUNTIF(S1810:U1810,"?*")&lt;N(INDEX(Setup!$L$6:$L$23,3)))+((W1810="")*(INDEX(Setup!$M$6:$M$23,3)="Y"))+((Y1810="")*(INDEX(Setup!$M$6:$M$23,3)="Y")))</f>
        <v/>
      </c>
      <c r="AC1810" s="90">
        <f>IF($B1810="","",IF(AB1810=0,"✓ covered","⚠ "&amp;AB1810&amp;IF(AB1810=1," gap"," gaps")))</f>
        <v/>
      </c>
    </row>
    <row r="1811" ht="17" customHeight="1">
      <c r="A1811" t="n">
        <v>37</v>
      </c>
      <c r="B1811" s="29">
        <f>IF(Setup!$K$9="","",Setup!$K$9)</f>
        <v/>
      </c>
      <c r="C1811" s="88" t="n"/>
      <c r="D1811" s="88" t="n"/>
      <c r="E1811" s="88" t="n"/>
      <c r="F1811" s="89" t="n"/>
      <c r="G1811" s="88" t="n"/>
      <c r="H1811" s="88" t="n"/>
      <c r="I1811" s="88" t="n"/>
      <c r="J1811" s="89" t="n"/>
      <c r="K1811" s="88" t="n"/>
      <c r="L1811" s="88" t="n"/>
      <c r="M1811" s="88" t="n"/>
      <c r="N1811" s="89" t="n"/>
      <c r="O1811" s="88" t="n"/>
      <c r="P1811" s="88" t="n"/>
      <c r="Q1811" s="88" t="n"/>
      <c r="R1811" s="89" t="n"/>
      <c r="S1811" s="88" t="n"/>
      <c r="T1811" s="88" t="n"/>
      <c r="U1811" s="88" t="n"/>
      <c r="V1811" s="89" t="n"/>
      <c r="W1811" s="88" t="n"/>
      <c r="X1811" s="89" t="n"/>
      <c r="Y1811" s="88" t="n"/>
      <c r="Z1811" s="89" t="n"/>
      <c r="AB1811" s="30">
        <f>IF($B1811="","",(COUNTIF(C1811:E1811,"?*")&lt;N(INDEX(Setup!$L$6:$L$23,4)))+(COUNTIF(G1811:I1811,"?*")&lt;N(INDEX(Setup!$L$6:$L$23,4)))+(COUNTIF(K1811:M1811,"?*")&lt;N(INDEX(Setup!$L$6:$L$23,4)))+(COUNTIF(O1811:Q1811,"?*")&lt;N(INDEX(Setup!$L$6:$L$23,4)))+(COUNTIF(S1811:U1811,"?*")&lt;N(INDEX(Setup!$L$6:$L$23,4)))+((W1811="")*(INDEX(Setup!$M$6:$M$23,4)="Y"))+((Y1811="")*(INDEX(Setup!$M$6:$M$23,4)="Y")))</f>
        <v/>
      </c>
      <c r="AC1811" s="91">
        <f>IF($B1811="","",IF(AB1811=0,"✓ covered","⚠ "&amp;AB1811&amp;IF(AB1811=1," gap"," gaps")))</f>
        <v/>
      </c>
    </row>
    <row r="1812" ht="17" customHeight="1">
      <c r="A1812" t="n">
        <v>37</v>
      </c>
      <c r="B1812" s="24">
        <f>IF(Setup!$K$10="","",Setup!$K$10)</f>
        <v/>
      </c>
      <c r="C1812" s="88" t="n"/>
      <c r="D1812" s="88" t="n"/>
      <c r="E1812" s="88" t="n"/>
      <c r="F1812" s="89" t="n"/>
      <c r="G1812" s="88" t="n"/>
      <c r="H1812" s="88" t="n"/>
      <c r="I1812" s="88" t="n"/>
      <c r="J1812" s="89" t="n"/>
      <c r="K1812" s="88" t="n"/>
      <c r="L1812" s="88" t="n"/>
      <c r="M1812" s="88" t="n"/>
      <c r="N1812" s="89" t="n"/>
      <c r="O1812" s="88" t="n"/>
      <c r="P1812" s="88" t="n"/>
      <c r="Q1812" s="88" t="n"/>
      <c r="R1812" s="89" t="n"/>
      <c r="S1812" s="88" t="n"/>
      <c r="T1812" s="88" t="n"/>
      <c r="U1812" s="88" t="n"/>
      <c r="V1812" s="89" t="n"/>
      <c r="W1812" s="88" t="n"/>
      <c r="X1812" s="89" t="n"/>
      <c r="Y1812" s="88" t="n"/>
      <c r="Z1812" s="89" t="n"/>
      <c r="AB1812" s="25">
        <f>IF($B1812="","",(COUNTIF(C1812:E1812,"?*")&lt;N(INDEX(Setup!$L$6:$L$23,5)))+(COUNTIF(G1812:I1812,"?*")&lt;N(INDEX(Setup!$L$6:$L$23,5)))+(COUNTIF(K1812:M1812,"?*")&lt;N(INDEX(Setup!$L$6:$L$23,5)))+(COUNTIF(O1812:Q1812,"?*")&lt;N(INDEX(Setup!$L$6:$L$23,5)))+(COUNTIF(S1812:U1812,"?*")&lt;N(INDEX(Setup!$L$6:$L$23,5)))+((W1812="")*(INDEX(Setup!$M$6:$M$23,5)="Y"))+((Y1812="")*(INDEX(Setup!$M$6:$M$23,5)="Y")))</f>
        <v/>
      </c>
      <c r="AC1812" s="90">
        <f>IF($B1812="","",IF(AB1812=0,"✓ covered","⚠ "&amp;AB1812&amp;IF(AB1812=1," gap"," gaps")))</f>
        <v/>
      </c>
    </row>
    <row r="1813" ht="17" customHeight="1">
      <c r="A1813" t="n">
        <v>37</v>
      </c>
      <c r="B1813" s="29">
        <f>IF(Setup!$K$11="","",Setup!$K$11)</f>
        <v/>
      </c>
      <c r="C1813" s="88" t="n"/>
      <c r="D1813" s="88" t="n"/>
      <c r="E1813" s="88" t="n"/>
      <c r="F1813" s="89" t="n"/>
      <c r="G1813" s="88" t="n"/>
      <c r="H1813" s="88" t="n"/>
      <c r="I1813" s="88" t="n"/>
      <c r="J1813" s="89" t="n"/>
      <c r="K1813" s="88" t="n"/>
      <c r="L1813" s="88" t="n"/>
      <c r="M1813" s="88" t="n"/>
      <c r="N1813" s="89" t="n"/>
      <c r="O1813" s="88" t="n"/>
      <c r="P1813" s="88" t="n"/>
      <c r="Q1813" s="88" t="n"/>
      <c r="R1813" s="89" t="n"/>
      <c r="S1813" s="88" t="n"/>
      <c r="T1813" s="88" t="n"/>
      <c r="U1813" s="88" t="n"/>
      <c r="V1813" s="89" t="n"/>
      <c r="W1813" s="88" t="n"/>
      <c r="X1813" s="89" t="n"/>
      <c r="Y1813" s="88" t="n"/>
      <c r="Z1813" s="89" t="n"/>
      <c r="AB1813" s="30">
        <f>IF($B1813="","",(COUNTIF(C1813:E1813,"?*")&lt;N(INDEX(Setup!$L$6:$L$23,6)))+(COUNTIF(G1813:I1813,"?*")&lt;N(INDEX(Setup!$L$6:$L$23,6)))+(COUNTIF(K1813:M1813,"?*")&lt;N(INDEX(Setup!$L$6:$L$23,6)))+(COUNTIF(O1813:Q1813,"?*")&lt;N(INDEX(Setup!$L$6:$L$23,6)))+(COUNTIF(S1813:U1813,"?*")&lt;N(INDEX(Setup!$L$6:$L$23,6)))+((W1813="")*(INDEX(Setup!$M$6:$M$23,6)="Y"))+((Y1813="")*(INDEX(Setup!$M$6:$M$23,6)="Y")))</f>
        <v/>
      </c>
      <c r="AC1813" s="91">
        <f>IF($B1813="","",IF(AB1813=0,"✓ covered","⚠ "&amp;AB1813&amp;IF(AB1813=1," gap"," gaps")))</f>
        <v/>
      </c>
    </row>
    <row r="1814" ht="17" customHeight="1">
      <c r="A1814" t="n">
        <v>37</v>
      </c>
      <c r="B1814" s="24">
        <f>IF(Setup!$K$12="","",Setup!$K$12)</f>
        <v/>
      </c>
      <c r="C1814" s="88" t="n"/>
      <c r="D1814" s="88" t="n"/>
      <c r="E1814" s="88" t="n"/>
      <c r="F1814" s="89" t="n"/>
      <c r="G1814" s="88" t="n"/>
      <c r="H1814" s="88" t="n"/>
      <c r="I1814" s="88" t="n"/>
      <c r="J1814" s="89" t="n"/>
      <c r="K1814" s="88" t="n"/>
      <c r="L1814" s="88" t="n"/>
      <c r="M1814" s="88" t="n"/>
      <c r="N1814" s="89" t="n"/>
      <c r="O1814" s="88" t="n"/>
      <c r="P1814" s="88" t="n"/>
      <c r="Q1814" s="88" t="n"/>
      <c r="R1814" s="89" t="n"/>
      <c r="S1814" s="88" t="n"/>
      <c r="T1814" s="88" t="n"/>
      <c r="U1814" s="88" t="n"/>
      <c r="V1814" s="89" t="n"/>
      <c r="W1814" s="88" t="n"/>
      <c r="X1814" s="89" t="n"/>
      <c r="Y1814" s="88" t="n"/>
      <c r="Z1814" s="89" t="n"/>
      <c r="AB1814" s="25">
        <f>IF($B1814="","",(COUNTIF(C1814:E1814,"?*")&lt;N(INDEX(Setup!$L$6:$L$23,7)))+(COUNTIF(G1814:I1814,"?*")&lt;N(INDEX(Setup!$L$6:$L$23,7)))+(COUNTIF(K1814:M1814,"?*")&lt;N(INDEX(Setup!$L$6:$L$23,7)))+(COUNTIF(O1814:Q1814,"?*")&lt;N(INDEX(Setup!$L$6:$L$23,7)))+(COUNTIF(S1814:U1814,"?*")&lt;N(INDEX(Setup!$L$6:$L$23,7)))+((W1814="")*(INDEX(Setup!$M$6:$M$23,7)="Y"))+((Y1814="")*(INDEX(Setup!$M$6:$M$23,7)="Y")))</f>
        <v/>
      </c>
      <c r="AC1814" s="90">
        <f>IF($B1814="","",IF(AB1814=0,"✓ covered","⚠ "&amp;AB1814&amp;IF(AB1814=1," gap"," gaps")))</f>
        <v/>
      </c>
    </row>
    <row r="1815" ht="17" customHeight="1">
      <c r="A1815" t="n">
        <v>37</v>
      </c>
      <c r="B1815" s="29">
        <f>IF(Setup!$K$13="","",Setup!$K$13)</f>
        <v/>
      </c>
      <c r="C1815" s="88" t="n"/>
      <c r="D1815" s="88" t="n"/>
      <c r="E1815" s="88" t="n"/>
      <c r="F1815" s="89" t="n"/>
      <c r="G1815" s="88" t="n"/>
      <c r="H1815" s="88" t="n"/>
      <c r="I1815" s="88" t="n"/>
      <c r="J1815" s="89" t="n"/>
      <c r="K1815" s="88" t="n"/>
      <c r="L1815" s="88" t="n"/>
      <c r="M1815" s="88" t="n"/>
      <c r="N1815" s="89" t="n"/>
      <c r="O1815" s="88" t="n"/>
      <c r="P1815" s="88" t="n"/>
      <c r="Q1815" s="88" t="n"/>
      <c r="R1815" s="89" t="n"/>
      <c r="S1815" s="88" t="n"/>
      <c r="T1815" s="88" t="n"/>
      <c r="U1815" s="88" t="n"/>
      <c r="V1815" s="89" t="n"/>
      <c r="W1815" s="88" t="n"/>
      <c r="X1815" s="89" t="n"/>
      <c r="Y1815" s="88" t="n"/>
      <c r="Z1815" s="89" t="n"/>
      <c r="AB1815" s="30">
        <f>IF($B1815="","",(COUNTIF(C1815:E1815,"?*")&lt;N(INDEX(Setup!$L$6:$L$23,8)))+(COUNTIF(G1815:I1815,"?*")&lt;N(INDEX(Setup!$L$6:$L$23,8)))+(COUNTIF(K1815:M1815,"?*")&lt;N(INDEX(Setup!$L$6:$L$23,8)))+(COUNTIF(O1815:Q1815,"?*")&lt;N(INDEX(Setup!$L$6:$L$23,8)))+(COUNTIF(S1815:U1815,"?*")&lt;N(INDEX(Setup!$L$6:$L$23,8)))+((W1815="")*(INDEX(Setup!$M$6:$M$23,8)="Y"))+((Y1815="")*(INDEX(Setup!$M$6:$M$23,8)="Y")))</f>
        <v/>
      </c>
      <c r="AC1815" s="91">
        <f>IF($B1815="","",IF(AB1815=0,"✓ covered","⚠ "&amp;AB1815&amp;IF(AB1815=1," gap"," gaps")))</f>
        <v/>
      </c>
    </row>
    <row r="1816" ht="17" customHeight="1">
      <c r="A1816" t="n">
        <v>37</v>
      </c>
      <c r="B1816" s="24">
        <f>IF(Setup!$K$14="","",Setup!$K$14)</f>
        <v/>
      </c>
      <c r="C1816" s="88" t="n"/>
      <c r="D1816" s="88" t="n"/>
      <c r="E1816" s="88" t="n"/>
      <c r="F1816" s="89" t="n"/>
      <c r="G1816" s="88" t="n"/>
      <c r="H1816" s="88" t="n"/>
      <c r="I1816" s="88" t="n"/>
      <c r="J1816" s="89" t="n"/>
      <c r="K1816" s="88" t="n"/>
      <c r="L1816" s="88" t="n"/>
      <c r="M1816" s="88" t="n"/>
      <c r="N1816" s="89" t="n"/>
      <c r="O1816" s="88" t="n"/>
      <c r="P1816" s="88" t="n"/>
      <c r="Q1816" s="88" t="n"/>
      <c r="R1816" s="89" t="n"/>
      <c r="S1816" s="88" t="n"/>
      <c r="T1816" s="88" t="n"/>
      <c r="U1816" s="88" t="n"/>
      <c r="V1816" s="89" t="n"/>
      <c r="W1816" s="88" t="n"/>
      <c r="X1816" s="89" t="n"/>
      <c r="Y1816" s="88" t="n"/>
      <c r="Z1816" s="89" t="n"/>
      <c r="AB1816" s="25">
        <f>IF($B1816="","",(COUNTIF(C1816:E1816,"?*")&lt;N(INDEX(Setup!$L$6:$L$23,9)))+(COUNTIF(G1816:I1816,"?*")&lt;N(INDEX(Setup!$L$6:$L$23,9)))+(COUNTIF(K1816:M1816,"?*")&lt;N(INDEX(Setup!$L$6:$L$23,9)))+(COUNTIF(O1816:Q1816,"?*")&lt;N(INDEX(Setup!$L$6:$L$23,9)))+(COUNTIF(S1816:U1816,"?*")&lt;N(INDEX(Setup!$L$6:$L$23,9)))+((W1816="")*(INDEX(Setup!$M$6:$M$23,9)="Y"))+((Y1816="")*(INDEX(Setup!$M$6:$M$23,9)="Y")))</f>
        <v/>
      </c>
      <c r="AC1816" s="90">
        <f>IF($B1816="","",IF(AB1816=0,"✓ covered","⚠ "&amp;AB1816&amp;IF(AB1816=1," gap"," gaps")))</f>
        <v/>
      </c>
    </row>
    <row r="1817" ht="17" customHeight="1">
      <c r="A1817" t="n">
        <v>37</v>
      </c>
      <c r="B1817" s="29">
        <f>IF(Setup!$K$15="","",Setup!$K$15)</f>
        <v/>
      </c>
      <c r="C1817" s="88" t="n"/>
      <c r="D1817" s="88" t="n"/>
      <c r="E1817" s="88" t="n"/>
      <c r="F1817" s="89" t="n"/>
      <c r="G1817" s="88" t="n"/>
      <c r="H1817" s="88" t="n"/>
      <c r="I1817" s="88" t="n"/>
      <c r="J1817" s="89" t="n"/>
      <c r="K1817" s="88" t="n"/>
      <c r="L1817" s="88" t="n"/>
      <c r="M1817" s="88" t="n"/>
      <c r="N1817" s="89" t="n"/>
      <c r="O1817" s="88" t="n"/>
      <c r="P1817" s="88" t="n"/>
      <c r="Q1817" s="88" t="n"/>
      <c r="R1817" s="89" t="n"/>
      <c r="S1817" s="88" t="n"/>
      <c r="T1817" s="88" t="n"/>
      <c r="U1817" s="88" t="n"/>
      <c r="V1817" s="89" t="n"/>
      <c r="W1817" s="88" t="n"/>
      <c r="X1817" s="89" t="n"/>
      <c r="Y1817" s="88" t="n"/>
      <c r="Z1817" s="89" t="n"/>
      <c r="AB1817" s="30">
        <f>IF($B1817="","",(COUNTIF(C1817:E1817,"?*")&lt;N(INDEX(Setup!$L$6:$L$23,10)))+(COUNTIF(G1817:I1817,"?*")&lt;N(INDEX(Setup!$L$6:$L$23,10)))+(COUNTIF(K1817:M1817,"?*")&lt;N(INDEX(Setup!$L$6:$L$23,10)))+(COUNTIF(O1817:Q1817,"?*")&lt;N(INDEX(Setup!$L$6:$L$23,10)))+(COUNTIF(S1817:U1817,"?*")&lt;N(INDEX(Setup!$L$6:$L$23,10)))+((W1817="")*(INDEX(Setup!$M$6:$M$23,10)="Y"))+((Y1817="")*(INDEX(Setup!$M$6:$M$23,10)="Y")))</f>
        <v/>
      </c>
      <c r="AC1817" s="91">
        <f>IF($B1817="","",IF(AB1817=0,"✓ covered","⚠ "&amp;AB1817&amp;IF(AB1817=1," gap"," gaps")))</f>
        <v/>
      </c>
    </row>
    <row r="1818" ht="17" customHeight="1">
      <c r="A1818" t="n">
        <v>37</v>
      </c>
      <c r="B1818" s="24">
        <f>IF(Setup!$K$16="","",Setup!$K$16)</f>
        <v/>
      </c>
      <c r="C1818" s="88" t="n"/>
      <c r="D1818" s="88" t="n"/>
      <c r="E1818" s="88" t="n"/>
      <c r="F1818" s="89" t="n"/>
      <c r="G1818" s="88" t="n"/>
      <c r="H1818" s="88" t="n"/>
      <c r="I1818" s="88" t="n"/>
      <c r="J1818" s="89" t="n"/>
      <c r="K1818" s="88" t="n"/>
      <c r="L1818" s="88" t="n"/>
      <c r="M1818" s="88" t="n"/>
      <c r="N1818" s="89" t="n"/>
      <c r="O1818" s="88" t="n"/>
      <c r="P1818" s="88" t="n"/>
      <c r="Q1818" s="88" t="n"/>
      <c r="R1818" s="89" t="n"/>
      <c r="S1818" s="88" t="n"/>
      <c r="T1818" s="88" t="n"/>
      <c r="U1818" s="88" t="n"/>
      <c r="V1818" s="89" t="n"/>
      <c r="W1818" s="88" t="n"/>
      <c r="X1818" s="89" t="n"/>
      <c r="Y1818" s="88" t="n"/>
      <c r="Z1818" s="89" t="n"/>
      <c r="AB1818" s="25">
        <f>IF($B1818="","",(COUNTIF(C1818:E1818,"?*")&lt;N(INDEX(Setup!$L$6:$L$23,11)))+(COUNTIF(G1818:I1818,"?*")&lt;N(INDEX(Setup!$L$6:$L$23,11)))+(COUNTIF(K1818:M1818,"?*")&lt;N(INDEX(Setup!$L$6:$L$23,11)))+(COUNTIF(O1818:Q1818,"?*")&lt;N(INDEX(Setup!$L$6:$L$23,11)))+(COUNTIF(S1818:U1818,"?*")&lt;N(INDEX(Setup!$L$6:$L$23,11)))+((W1818="")*(INDEX(Setup!$M$6:$M$23,11)="Y"))+((Y1818="")*(INDEX(Setup!$M$6:$M$23,11)="Y")))</f>
        <v/>
      </c>
      <c r="AC1818" s="90">
        <f>IF($B1818="","",IF(AB1818=0,"✓ covered","⚠ "&amp;AB1818&amp;IF(AB1818=1," gap"," gaps")))</f>
        <v/>
      </c>
    </row>
    <row r="1819" ht="17" customHeight="1">
      <c r="A1819" t="n">
        <v>37</v>
      </c>
      <c r="B1819" s="29">
        <f>IF(Setup!$K$17="","",Setup!$K$17)</f>
        <v/>
      </c>
      <c r="C1819" s="88" t="n"/>
      <c r="D1819" s="88" t="n"/>
      <c r="E1819" s="88" t="n"/>
      <c r="F1819" s="89" t="n"/>
      <c r="G1819" s="88" t="n"/>
      <c r="H1819" s="88" t="n"/>
      <c r="I1819" s="88" t="n"/>
      <c r="J1819" s="89" t="n"/>
      <c r="K1819" s="88" t="n"/>
      <c r="L1819" s="88" t="n"/>
      <c r="M1819" s="88" t="n"/>
      <c r="N1819" s="89" t="n"/>
      <c r="O1819" s="88" t="n"/>
      <c r="P1819" s="88" t="n"/>
      <c r="Q1819" s="88" t="n"/>
      <c r="R1819" s="89" t="n"/>
      <c r="S1819" s="88" t="n"/>
      <c r="T1819" s="88" t="n"/>
      <c r="U1819" s="88" t="n"/>
      <c r="V1819" s="89" t="n"/>
      <c r="W1819" s="88" t="n"/>
      <c r="X1819" s="89" t="n"/>
      <c r="Y1819" s="88" t="n"/>
      <c r="Z1819" s="89" t="n"/>
      <c r="AB1819" s="30">
        <f>IF($B1819="","",(COUNTIF(C1819:E1819,"?*")&lt;N(INDEX(Setup!$L$6:$L$23,12)))+(COUNTIF(G1819:I1819,"?*")&lt;N(INDEX(Setup!$L$6:$L$23,12)))+(COUNTIF(K1819:M1819,"?*")&lt;N(INDEX(Setup!$L$6:$L$23,12)))+(COUNTIF(O1819:Q1819,"?*")&lt;N(INDEX(Setup!$L$6:$L$23,12)))+(COUNTIF(S1819:U1819,"?*")&lt;N(INDEX(Setup!$L$6:$L$23,12)))+((W1819="")*(INDEX(Setup!$M$6:$M$23,12)="Y"))+((Y1819="")*(INDEX(Setup!$M$6:$M$23,12)="Y")))</f>
        <v/>
      </c>
      <c r="AC1819" s="91">
        <f>IF($B1819="","",IF(AB1819=0,"✓ covered","⚠ "&amp;AB1819&amp;IF(AB1819=1," gap"," gaps")))</f>
        <v/>
      </c>
    </row>
    <row r="1820" ht="17" customHeight="1">
      <c r="A1820" t="n">
        <v>37</v>
      </c>
      <c r="B1820" s="24">
        <f>IF(Setup!$K$18="","",Setup!$K$18)</f>
        <v/>
      </c>
      <c r="C1820" s="88" t="n"/>
      <c r="D1820" s="88" t="n"/>
      <c r="E1820" s="88" t="n"/>
      <c r="F1820" s="89" t="n"/>
      <c r="G1820" s="88" t="n"/>
      <c r="H1820" s="88" t="n"/>
      <c r="I1820" s="88" t="n"/>
      <c r="J1820" s="89" t="n"/>
      <c r="K1820" s="88" t="n"/>
      <c r="L1820" s="88" t="n"/>
      <c r="M1820" s="88" t="n"/>
      <c r="N1820" s="89" t="n"/>
      <c r="O1820" s="88" t="n"/>
      <c r="P1820" s="88" t="n"/>
      <c r="Q1820" s="88" t="n"/>
      <c r="R1820" s="89" t="n"/>
      <c r="S1820" s="88" t="n"/>
      <c r="T1820" s="88" t="n"/>
      <c r="U1820" s="88" t="n"/>
      <c r="V1820" s="89" t="n"/>
      <c r="W1820" s="88" t="n"/>
      <c r="X1820" s="89" t="n"/>
      <c r="Y1820" s="88" t="n"/>
      <c r="Z1820" s="89" t="n"/>
      <c r="AB1820" s="25">
        <f>IF($B1820="","",(COUNTIF(C1820:E1820,"?*")&lt;N(INDEX(Setup!$L$6:$L$23,13)))+(COUNTIF(G1820:I1820,"?*")&lt;N(INDEX(Setup!$L$6:$L$23,13)))+(COUNTIF(K1820:M1820,"?*")&lt;N(INDEX(Setup!$L$6:$L$23,13)))+(COUNTIF(O1820:Q1820,"?*")&lt;N(INDEX(Setup!$L$6:$L$23,13)))+(COUNTIF(S1820:U1820,"?*")&lt;N(INDEX(Setup!$L$6:$L$23,13)))+((W1820="")*(INDEX(Setup!$M$6:$M$23,13)="Y"))+((Y1820="")*(INDEX(Setup!$M$6:$M$23,13)="Y")))</f>
        <v/>
      </c>
      <c r="AC1820" s="90">
        <f>IF($B1820="","",IF(AB1820=0,"✓ covered","⚠ "&amp;AB1820&amp;IF(AB1820=1," gap"," gaps")))</f>
        <v/>
      </c>
    </row>
    <row r="1821" ht="17" customHeight="1">
      <c r="A1821" t="n">
        <v>37</v>
      </c>
      <c r="B1821" s="29">
        <f>IF(Setup!$K$19="","",Setup!$K$19)</f>
        <v/>
      </c>
      <c r="C1821" s="88" t="n"/>
      <c r="D1821" s="88" t="n"/>
      <c r="E1821" s="88" t="n"/>
      <c r="F1821" s="89" t="n"/>
      <c r="G1821" s="88" t="n"/>
      <c r="H1821" s="88" t="n"/>
      <c r="I1821" s="88" t="n"/>
      <c r="J1821" s="89" t="n"/>
      <c r="K1821" s="88" t="n"/>
      <c r="L1821" s="88" t="n"/>
      <c r="M1821" s="88" t="n"/>
      <c r="N1821" s="89" t="n"/>
      <c r="O1821" s="88" t="n"/>
      <c r="P1821" s="88" t="n"/>
      <c r="Q1821" s="88" t="n"/>
      <c r="R1821" s="89" t="n"/>
      <c r="S1821" s="88" t="n"/>
      <c r="T1821" s="88" t="n"/>
      <c r="U1821" s="88" t="n"/>
      <c r="V1821" s="89" t="n"/>
      <c r="W1821" s="88" t="n"/>
      <c r="X1821" s="89" t="n"/>
      <c r="Y1821" s="88" t="n"/>
      <c r="Z1821" s="89" t="n"/>
      <c r="AB1821" s="30">
        <f>IF($B1821="","",(COUNTIF(C1821:E1821,"?*")&lt;N(INDEX(Setup!$L$6:$L$23,14)))+(COUNTIF(G1821:I1821,"?*")&lt;N(INDEX(Setup!$L$6:$L$23,14)))+(COUNTIF(K1821:M1821,"?*")&lt;N(INDEX(Setup!$L$6:$L$23,14)))+(COUNTIF(O1821:Q1821,"?*")&lt;N(INDEX(Setup!$L$6:$L$23,14)))+(COUNTIF(S1821:U1821,"?*")&lt;N(INDEX(Setup!$L$6:$L$23,14)))+((W1821="")*(INDEX(Setup!$M$6:$M$23,14)="Y"))+((Y1821="")*(INDEX(Setup!$M$6:$M$23,14)="Y")))</f>
        <v/>
      </c>
      <c r="AC1821" s="91">
        <f>IF($B1821="","",IF(AB1821=0,"✓ covered","⚠ "&amp;AB1821&amp;IF(AB1821=1," gap"," gaps")))</f>
        <v/>
      </c>
    </row>
    <row r="1822" ht="17" customHeight="1">
      <c r="A1822" t="n">
        <v>37</v>
      </c>
      <c r="B1822" s="24">
        <f>IF(Setup!$K$20="","",Setup!$K$20)</f>
        <v/>
      </c>
      <c r="C1822" s="88" t="n"/>
      <c r="D1822" s="88" t="n"/>
      <c r="E1822" s="88" t="n"/>
      <c r="F1822" s="89" t="n"/>
      <c r="G1822" s="88" t="n"/>
      <c r="H1822" s="88" t="n"/>
      <c r="I1822" s="88" t="n"/>
      <c r="J1822" s="89" t="n"/>
      <c r="K1822" s="88" t="n"/>
      <c r="L1822" s="88" t="n"/>
      <c r="M1822" s="88" t="n"/>
      <c r="N1822" s="89" t="n"/>
      <c r="O1822" s="88" t="n"/>
      <c r="P1822" s="88" t="n"/>
      <c r="Q1822" s="88" t="n"/>
      <c r="R1822" s="89" t="n"/>
      <c r="S1822" s="88" t="n"/>
      <c r="T1822" s="88" t="n"/>
      <c r="U1822" s="88" t="n"/>
      <c r="V1822" s="89" t="n"/>
      <c r="W1822" s="88" t="n"/>
      <c r="X1822" s="89" t="n"/>
      <c r="Y1822" s="88" t="n"/>
      <c r="Z1822" s="89" t="n"/>
      <c r="AB1822" s="25">
        <f>IF($B1822="","",(COUNTIF(C1822:E1822,"?*")&lt;N(INDEX(Setup!$L$6:$L$23,15)))+(COUNTIF(G1822:I1822,"?*")&lt;N(INDEX(Setup!$L$6:$L$23,15)))+(COUNTIF(K1822:M1822,"?*")&lt;N(INDEX(Setup!$L$6:$L$23,15)))+(COUNTIF(O1822:Q1822,"?*")&lt;N(INDEX(Setup!$L$6:$L$23,15)))+(COUNTIF(S1822:U1822,"?*")&lt;N(INDEX(Setup!$L$6:$L$23,15)))+((W1822="")*(INDEX(Setup!$M$6:$M$23,15)="Y"))+((Y1822="")*(INDEX(Setup!$M$6:$M$23,15)="Y")))</f>
        <v/>
      </c>
      <c r="AC1822" s="90">
        <f>IF($B1822="","",IF(AB1822=0,"✓ covered","⚠ "&amp;AB1822&amp;IF(AB1822=1," gap"," gaps")))</f>
        <v/>
      </c>
    </row>
    <row r="1823" ht="17" customHeight="1">
      <c r="A1823" t="n">
        <v>37</v>
      </c>
      <c r="B1823" s="29">
        <f>IF(Setup!$K$21="","",Setup!$K$21)</f>
        <v/>
      </c>
      <c r="C1823" s="88" t="n"/>
      <c r="D1823" s="88" t="n"/>
      <c r="E1823" s="88" t="n"/>
      <c r="F1823" s="89" t="n"/>
      <c r="G1823" s="88" t="n"/>
      <c r="H1823" s="88" t="n"/>
      <c r="I1823" s="88" t="n"/>
      <c r="J1823" s="89" t="n"/>
      <c r="K1823" s="88" t="n"/>
      <c r="L1823" s="88" t="n"/>
      <c r="M1823" s="88" t="n"/>
      <c r="N1823" s="89" t="n"/>
      <c r="O1823" s="88" t="n"/>
      <c r="P1823" s="88" t="n"/>
      <c r="Q1823" s="88" t="n"/>
      <c r="R1823" s="89" t="n"/>
      <c r="S1823" s="88" t="n"/>
      <c r="T1823" s="88" t="n"/>
      <c r="U1823" s="88" t="n"/>
      <c r="V1823" s="89" t="n"/>
      <c r="W1823" s="88" t="n"/>
      <c r="X1823" s="89" t="n"/>
      <c r="Y1823" s="88" t="n"/>
      <c r="Z1823" s="89" t="n"/>
      <c r="AB1823" s="30">
        <f>IF($B1823="","",(COUNTIF(C1823:E1823,"?*")&lt;N(INDEX(Setup!$L$6:$L$23,16)))+(COUNTIF(G1823:I1823,"?*")&lt;N(INDEX(Setup!$L$6:$L$23,16)))+(COUNTIF(K1823:M1823,"?*")&lt;N(INDEX(Setup!$L$6:$L$23,16)))+(COUNTIF(O1823:Q1823,"?*")&lt;N(INDEX(Setup!$L$6:$L$23,16)))+(COUNTIF(S1823:U1823,"?*")&lt;N(INDEX(Setup!$L$6:$L$23,16)))+((W1823="")*(INDEX(Setup!$M$6:$M$23,16)="Y"))+((Y1823="")*(INDEX(Setup!$M$6:$M$23,16)="Y")))</f>
        <v/>
      </c>
      <c r="AC1823" s="91">
        <f>IF($B1823="","",IF(AB1823=0,"✓ covered","⚠ "&amp;AB1823&amp;IF(AB1823=1," gap"," gaps")))</f>
        <v/>
      </c>
    </row>
    <row r="1824" ht="17" customHeight="1">
      <c r="A1824" t="n">
        <v>37</v>
      </c>
      <c r="B1824" s="24">
        <f>IF(Setup!$K$22="","",Setup!$K$22)</f>
        <v/>
      </c>
      <c r="C1824" s="88" t="n"/>
      <c r="D1824" s="88" t="n"/>
      <c r="E1824" s="88" t="n"/>
      <c r="F1824" s="89" t="n"/>
      <c r="G1824" s="88" t="n"/>
      <c r="H1824" s="88" t="n"/>
      <c r="I1824" s="88" t="n"/>
      <c r="J1824" s="89" t="n"/>
      <c r="K1824" s="88" t="n"/>
      <c r="L1824" s="88" t="n"/>
      <c r="M1824" s="88" t="n"/>
      <c r="N1824" s="89" t="n"/>
      <c r="O1824" s="88" t="n"/>
      <c r="P1824" s="88" t="n"/>
      <c r="Q1824" s="88" t="n"/>
      <c r="R1824" s="89" t="n"/>
      <c r="S1824" s="88" t="n"/>
      <c r="T1824" s="88" t="n"/>
      <c r="U1824" s="88" t="n"/>
      <c r="V1824" s="89" t="n"/>
      <c r="W1824" s="88" t="n"/>
      <c r="X1824" s="89" t="n"/>
      <c r="Y1824" s="88" t="n"/>
      <c r="Z1824" s="89" t="n"/>
      <c r="AB1824" s="25">
        <f>IF($B1824="","",(COUNTIF(C1824:E1824,"?*")&lt;N(INDEX(Setup!$L$6:$L$23,17)))+(COUNTIF(G1824:I1824,"?*")&lt;N(INDEX(Setup!$L$6:$L$23,17)))+(COUNTIF(K1824:M1824,"?*")&lt;N(INDEX(Setup!$L$6:$L$23,17)))+(COUNTIF(O1824:Q1824,"?*")&lt;N(INDEX(Setup!$L$6:$L$23,17)))+(COUNTIF(S1824:U1824,"?*")&lt;N(INDEX(Setup!$L$6:$L$23,17)))+((W1824="")*(INDEX(Setup!$M$6:$M$23,17)="Y"))+((Y1824="")*(INDEX(Setup!$M$6:$M$23,17)="Y")))</f>
        <v/>
      </c>
      <c r="AC1824" s="90">
        <f>IF($B1824="","",IF(AB1824=0,"✓ covered","⚠ "&amp;AB1824&amp;IF(AB1824=1," gap"," gaps")))</f>
        <v/>
      </c>
    </row>
    <row r="1825" ht="17" customHeight="1">
      <c r="A1825" t="n">
        <v>37</v>
      </c>
      <c r="B1825" s="29">
        <f>IF(Setup!$K$23="","",Setup!$K$23)</f>
        <v/>
      </c>
      <c r="C1825" s="88" t="n"/>
      <c r="D1825" s="88" t="n"/>
      <c r="E1825" s="88" t="n"/>
      <c r="F1825" s="89" t="n"/>
      <c r="G1825" s="88" t="n"/>
      <c r="H1825" s="88" t="n"/>
      <c r="I1825" s="88" t="n"/>
      <c r="J1825" s="89" t="n"/>
      <c r="K1825" s="88" t="n"/>
      <c r="L1825" s="88" t="n"/>
      <c r="M1825" s="88" t="n"/>
      <c r="N1825" s="89" t="n"/>
      <c r="O1825" s="88" t="n"/>
      <c r="P1825" s="88" t="n"/>
      <c r="Q1825" s="88" t="n"/>
      <c r="R1825" s="89" t="n"/>
      <c r="S1825" s="88" t="n"/>
      <c r="T1825" s="88" t="n"/>
      <c r="U1825" s="88" t="n"/>
      <c r="V1825" s="89" t="n"/>
      <c r="W1825" s="88" t="n"/>
      <c r="X1825" s="89" t="n"/>
      <c r="Y1825" s="88" t="n"/>
      <c r="Z1825" s="89" t="n"/>
      <c r="AB1825" s="30">
        <f>IF($B1825="","",(COUNTIF(C1825:E1825,"?*")&lt;N(INDEX(Setup!$L$6:$L$23,18)))+(COUNTIF(G1825:I1825,"?*")&lt;N(INDEX(Setup!$L$6:$L$23,18)))+(COUNTIF(K1825:M1825,"?*")&lt;N(INDEX(Setup!$L$6:$L$23,18)))+(COUNTIF(O1825:Q1825,"?*")&lt;N(INDEX(Setup!$L$6:$L$23,18)))+(COUNTIF(S1825:U1825,"?*")&lt;N(INDEX(Setup!$L$6:$L$23,18)))+((W1825="")*(INDEX(Setup!$M$6:$M$23,18)="Y"))+((Y1825="")*(INDEX(Setup!$M$6:$M$23,18)="Y")))</f>
        <v/>
      </c>
      <c r="AC1825" s="91">
        <f>IF($B1825="","",IF(AB1825=0,"✓ covered","⚠ "&amp;AB1825&amp;IF(AB1825=1," gap"," gaps")))</f>
        <v/>
      </c>
    </row>
    <row r="1826" ht="18" customHeight="1">
      <c r="A1826" t="n">
        <v>37</v>
      </c>
      <c r="B1826" s="78" t="inlineStr">
        <is>
          <t>TEAM AVAILABILITY</t>
        </is>
      </c>
      <c r="C1826" s="92" t="inlineStr">
        <is>
          <t>Mon</t>
        </is>
      </c>
      <c r="D1826" s="93" t="n"/>
      <c r="E1826" s="93" t="n"/>
      <c r="F1826" s="94" t="n"/>
      <c r="G1826" s="92" t="inlineStr">
        <is>
          <t>Tue</t>
        </is>
      </c>
      <c r="H1826" s="93" t="n"/>
      <c r="I1826" s="93" t="n"/>
      <c r="J1826" s="94" t="n"/>
      <c r="K1826" s="92" t="inlineStr">
        <is>
          <t>Wed</t>
        </is>
      </c>
      <c r="L1826" s="93" t="n"/>
      <c r="M1826" s="93" t="n"/>
      <c r="N1826" s="94" t="n"/>
      <c r="O1826" s="92" t="inlineStr">
        <is>
          <t>Thu</t>
        </is>
      </c>
      <c r="P1826" s="93" t="n"/>
      <c r="Q1826" s="93" t="n"/>
      <c r="R1826" s="94" t="n"/>
      <c r="S1826" s="92" t="inlineStr">
        <is>
          <t>Fri</t>
        </is>
      </c>
      <c r="T1826" s="93" t="n"/>
      <c r="U1826" s="93" t="n"/>
      <c r="V1826" s="94" t="n"/>
      <c r="W1826" s="95" t="inlineStr">
        <is>
          <t>Sat</t>
        </is>
      </c>
      <c r="X1826" s="96" t="n"/>
      <c r="Y1826" s="95" t="inlineStr">
        <is>
          <t>Sun</t>
        </is>
      </c>
      <c r="Z1826" s="96" t="n"/>
      <c r="AB1826" s="97" t="inlineStr">
        <is>
          <t>Days rostered</t>
        </is>
      </c>
      <c r="AC1826" s="97" t="inlineStr">
        <is>
          <t>Conflicts</t>
        </is>
      </c>
    </row>
    <row r="1827" ht="15" customHeight="1">
      <c r="A1827" t="n">
        <v>37</v>
      </c>
      <c r="B1827" s="35">
        <f>IF(Setup!$B$6="","",Setup!$B$6)</f>
        <v/>
      </c>
      <c r="C1827" s="98" t="n"/>
      <c r="D1827" s="99" t="n"/>
      <c r="E1827" s="99" t="n"/>
      <c r="F1827" s="100" t="n"/>
      <c r="G1827" s="98" t="n"/>
      <c r="H1827" s="99" t="n"/>
      <c r="I1827" s="99" t="n"/>
      <c r="J1827" s="100" t="n"/>
      <c r="K1827" s="98" t="n"/>
      <c r="L1827" s="99" t="n"/>
      <c r="M1827" s="99" t="n"/>
      <c r="N1827" s="100" t="n"/>
      <c r="O1827" s="98" t="n"/>
      <c r="P1827" s="99" t="n"/>
      <c r="Q1827" s="99" t="n"/>
      <c r="R1827" s="100" t="n"/>
      <c r="S1827" s="98" t="n"/>
      <c r="T1827" s="99" t="n"/>
      <c r="U1827" s="99" t="n"/>
      <c r="V1827" s="100" t="n"/>
      <c r="W1827" s="98" t="n"/>
      <c r="X1827" s="100" t="n"/>
      <c r="Y1827" s="98" t="n"/>
      <c r="Z1827" s="100" t="n"/>
      <c r="AB1827" s="101">
        <f>IF($B1827="","",(COUNTIF(C1808:E1825,$B1827)+COUNTIF(C1808:E1825,$B1827&amp;" ~*")&gt;0)+(COUNTIF(G1808:I1825,$B1827)+COUNTIF(G1808:I1825,$B1827&amp;" ~*")&gt;0)+(COUNTIF(K1808:M1825,$B1827)+COUNTIF(K1808:M1825,$B1827&amp;" ~*")&gt;0)+(COUNTIF(O1808:Q1825,$B1827)+COUNTIF(O1808:Q1825,$B1827&amp;" ~*")&gt;0)+(COUNTIF(S1808:U1825,$B1827)+COUNTIF(S1808:U1825,$B1827&amp;" ~*")&gt;0)+(COUNTIF(W1808:W1825,$B1827)+COUNTIF(W1808:W1825,$B1827&amp;" ~*")&gt;0)+(COUNTIF(Y1808:Y1825,$B1827)+COUNTIF(Y1808:Y1825,$B1827&amp;" ~*")&gt;0))</f>
        <v/>
      </c>
      <c r="AC1827" s="36">
        <f>IF($B1827="","",(IFERROR(INDEX(Setup!$G$33:$G$40,MATCH(C1827,Setup!$B$33:$B$40,0)),0)=1)*(COUNTIF(C1808:E1825,$B1827)+COUNTIF(C1808:E1825,$B1827&amp;" ~*")&gt;0)+(IFERROR(INDEX(Setup!$G$33:$G$40,MATCH(G1827,Setup!$B$33:$B$40,0)),0)=1)*(COUNTIF(G1808:I1825,$B1827)+COUNTIF(G1808:I1825,$B1827&amp;" ~*")&gt;0)+(IFERROR(INDEX(Setup!$G$33:$G$40,MATCH(K1827,Setup!$B$33:$B$40,0)),0)=1)*(COUNTIF(K1808:M1825,$B1827)+COUNTIF(K1808:M1825,$B1827&amp;" ~*")&gt;0)+(IFERROR(INDEX(Setup!$G$33:$G$40,MATCH(O1827,Setup!$B$33:$B$40,0)),0)=1)*(COUNTIF(O1808:Q1825,$B1827)+COUNTIF(O1808:Q1825,$B1827&amp;" ~*")&gt;0)+(IFERROR(INDEX(Setup!$G$33:$G$40,MATCH(S1827,Setup!$B$33:$B$40,0)),0)=1)*(COUNTIF(S1808:U1825,$B1827)+COUNTIF(S1808:U1825,$B1827&amp;" ~*")&gt;0)+(IFERROR(INDEX(Setup!$G$33:$G$40,MATCH(W1827,Setup!$B$33:$B$40,0)),0)=1)*(COUNTIF(W1808:W1825,$B1827)+COUNTIF(W1808:W1825,$B1827&amp;" ~*")&gt;0)+(IFERROR(INDEX(Setup!$G$33:$G$40,MATCH(Y1827,Setup!$B$33:$B$40,0)),0)=1)*(COUNTIF(Y1808:Y1825,$B1827)+COUNTIF(Y1808:Y1825,$B1827&amp;" ~*")&gt;0))</f>
        <v/>
      </c>
    </row>
    <row r="1828" ht="15" customHeight="1">
      <c r="A1828" t="n">
        <v>37</v>
      </c>
      <c r="B1828" s="37">
        <f>IF(Setup!$B$7="","",Setup!$B$7)</f>
        <v/>
      </c>
      <c r="C1828" s="102" t="n"/>
      <c r="D1828" s="103" t="n"/>
      <c r="E1828" s="103" t="n"/>
      <c r="F1828" s="104" t="n"/>
      <c r="G1828" s="102" t="n"/>
      <c r="H1828" s="103" t="n"/>
      <c r="I1828" s="103" t="n"/>
      <c r="J1828" s="104" t="n"/>
      <c r="K1828" s="102" t="n"/>
      <c r="L1828" s="103" t="n"/>
      <c r="M1828" s="103" t="n"/>
      <c r="N1828" s="104" t="n"/>
      <c r="O1828" s="102" t="n"/>
      <c r="P1828" s="103" t="n"/>
      <c r="Q1828" s="103" t="n"/>
      <c r="R1828" s="104" t="n"/>
      <c r="S1828" s="102" t="n"/>
      <c r="T1828" s="103" t="n"/>
      <c r="U1828" s="103" t="n"/>
      <c r="V1828" s="104" t="n"/>
      <c r="W1828" s="102" t="n"/>
      <c r="X1828" s="104" t="n"/>
      <c r="Y1828" s="102" t="n"/>
      <c r="Z1828" s="104" t="n"/>
      <c r="AB1828" s="105">
        <f>IF($B1828="","",(COUNTIF(C1808:E1825,$B1828)+COUNTIF(C1808:E1825,$B1828&amp;" ~*")&gt;0)+(COUNTIF(G1808:I1825,$B1828)+COUNTIF(G1808:I1825,$B1828&amp;" ~*")&gt;0)+(COUNTIF(K1808:M1825,$B1828)+COUNTIF(K1808:M1825,$B1828&amp;" ~*")&gt;0)+(COUNTIF(O1808:Q1825,$B1828)+COUNTIF(O1808:Q1825,$B1828&amp;" ~*")&gt;0)+(COUNTIF(S1808:U1825,$B1828)+COUNTIF(S1808:U1825,$B1828&amp;" ~*")&gt;0)+(COUNTIF(W1808:W1825,$B1828)+COUNTIF(W1808:W1825,$B1828&amp;" ~*")&gt;0)+(COUNTIF(Y1808:Y1825,$B1828)+COUNTIF(Y1808:Y1825,$B1828&amp;" ~*")&gt;0))</f>
        <v/>
      </c>
      <c r="AC1828" s="38">
        <f>IF($B1828="","",(IFERROR(INDEX(Setup!$G$33:$G$40,MATCH(C1828,Setup!$B$33:$B$40,0)),0)=1)*(COUNTIF(C1808:E1825,$B1828)+COUNTIF(C1808:E1825,$B1828&amp;" ~*")&gt;0)+(IFERROR(INDEX(Setup!$G$33:$G$40,MATCH(G1828,Setup!$B$33:$B$40,0)),0)=1)*(COUNTIF(G1808:I1825,$B1828)+COUNTIF(G1808:I1825,$B1828&amp;" ~*")&gt;0)+(IFERROR(INDEX(Setup!$G$33:$G$40,MATCH(K1828,Setup!$B$33:$B$40,0)),0)=1)*(COUNTIF(K1808:M1825,$B1828)+COUNTIF(K1808:M1825,$B1828&amp;" ~*")&gt;0)+(IFERROR(INDEX(Setup!$G$33:$G$40,MATCH(O1828,Setup!$B$33:$B$40,0)),0)=1)*(COUNTIF(O1808:Q1825,$B1828)+COUNTIF(O1808:Q1825,$B1828&amp;" ~*")&gt;0)+(IFERROR(INDEX(Setup!$G$33:$G$40,MATCH(S1828,Setup!$B$33:$B$40,0)),0)=1)*(COUNTIF(S1808:U1825,$B1828)+COUNTIF(S1808:U1825,$B1828&amp;" ~*")&gt;0)+(IFERROR(INDEX(Setup!$G$33:$G$40,MATCH(W1828,Setup!$B$33:$B$40,0)),0)=1)*(COUNTIF(W1808:W1825,$B1828)+COUNTIF(W1808:W1825,$B1828&amp;" ~*")&gt;0)+(IFERROR(INDEX(Setup!$G$33:$G$40,MATCH(Y1828,Setup!$B$33:$B$40,0)),0)=1)*(COUNTIF(Y1808:Y1825,$B1828)+COUNTIF(Y1808:Y1825,$B1828&amp;" ~*")&gt;0))</f>
        <v/>
      </c>
    </row>
    <row r="1829" ht="15" customHeight="1">
      <c r="A1829" t="n">
        <v>37</v>
      </c>
      <c r="B1829" s="35">
        <f>IF(Setup!$B$8="","",Setup!$B$8)</f>
        <v/>
      </c>
      <c r="C1829" s="98" t="n"/>
      <c r="D1829" s="99" t="n"/>
      <c r="E1829" s="99" t="n"/>
      <c r="F1829" s="100" t="n"/>
      <c r="G1829" s="98" t="n"/>
      <c r="H1829" s="99" t="n"/>
      <c r="I1829" s="99" t="n"/>
      <c r="J1829" s="100" t="n"/>
      <c r="K1829" s="98" t="n"/>
      <c r="L1829" s="99" t="n"/>
      <c r="M1829" s="99" t="n"/>
      <c r="N1829" s="100" t="n"/>
      <c r="O1829" s="98" t="n"/>
      <c r="P1829" s="99" t="n"/>
      <c r="Q1829" s="99" t="n"/>
      <c r="R1829" s="100" t="n"/>
      <c r="S1829" s="98" t="n"/>
      <c r="T1829" s="99" t="n"/>
      <c r="U1829" s="99" t="n"/>
      <c r="V1829" s="100" t="n"/>
      <c r="W1829" s="98" t="n"/>
      <c r="X1829" s="100" t="n"/>
      <c r="Y1829" s="98" t="n"/>
      <c r="Z1829" s="100" t="n"/>
      <c r="AB1829" s="101">
        <f>IF($B1829="","",(COUNTIF(C1808:E1825,$B1829)+COUNTIF(C1808:E1825,$B1829&amp;" ~*")&gt;0)+(COUNTIF(G1808:I1825,$B1829)+COUNTIF(G1808:I1825,$B1829&amp;" ~*")&gt;0)+(COUNTIF(K1808:M1825,$B1829)+COUNTIF(K1808:M1825,$B1829&amp;" ~*")&gt;0)+(COUNTIF(O1808:Q1825,$B1829)+COUNTIF(O1808:Q1825,$B1829&amp;" ~*")&gt;0)+(COUNTIF(S1808:U1825,$B1829)+COUNTIF(S1808:U1825,$B1829&amp;" ~*")&gt;0)+(COUNTIF(W1808:W1825,$B1829)+COUNTIF(W1808:W1825,$B1829&amp;" ~*")&gt;0)+(COUNTIF(Y1808:Y1825,$B1829)+COUNTIF(Y1808:Y1825,$B1829&amp;" ~*")&gt;0))</f>
        <v/>
      </c>
      <c r="AC1829" s="36">
        <f>IF($B1829="","",(IFERROR(INDEX(Setup!$G$33:$G$40,MATCH(C1829,Setup!$B$33:$B$40,0)),0)=1)*(COUNTIF(C1808:E1825,$B1829)+COUNTIF(C1808:E1825,$B1829&amp;" ~*")&gt;0)+(IFERROR(INDEX(Setup!$G$33:$G$40,MATCH(G1829,Setup!$B$33:$B$40,0)),0)=1)*(COUNTIF(G1808:I1825,$B1829)+COUNTIF(G1808:I1825,$B1829&amp;" ~*")&gt;0)+(IFERROR(INDEX(Setup!$G$33:$G$40,MATCH(K1829,Setup!$B$33:$B$40,0)),0)=1)*(COUNTIF(K1808:M1825,$B1829)+COUNTIF(K1808:M1825,$B1829&amp;" ~*")&gt;0)+(IFERROR(INDEX(Setup!$G$33:$G$40,MATCH(O1829,Setup!$B$33:$B$40,0)),0)=1)*(COUNTIF(O1808:Q1825,$B1829)+COUNTIF(O1808:Q1825,$B1829&amp;" ~*")&gt;0)+(IFERROR(INDEX(Setup!$G$33:$G$40,MATCH(S1829,Setup!$B$33:$B$40,0)),0)=1)*(COUNTIF(S1808:U1825,$B1829)+COUNTIF(S1808:U1825,$B1829&amp;" ~*")&gt;0)+(IFERROR(INDEX(Setup!$G$33:$G$40,MATCH(W1829,Setup!$B$33:$B$40,0)),0)=1)*(COUNTIF(W1808:W1825,$B1829)+COUNTIF(W1808:W1825,$B1829&amp;" ~*")&gt;0)+(IFERROR(INDEX(Setup!$G$33:$G$40,MATCH(Y1829,Setup!$B$33:$B$40,0)),0)=1)*(COUNTIF(Y1808:Y1825,$B1829)+COUNTIF(Y1808:Y1825,$B1829&amp;" ~*")&gt;0))</f>
        <v/>
      </c>
    </row>
    <row r="1830" ht="15" customHeight="1">
      <c r="A1830" t="n">
        <v>37</v>
      </c>
      <c r="B1830" s="37">
        <f>IF(Setup!$B$9="","",Setup!$B$9)</f>
        <v/>
      </c>
      <c r="C1830" s="102" t="n"/>
      <c r="D1830" s="103" t="n"/>
      <c r="E1830" s="103" t="n"/>
      <c r="F1830" s="104" t="n"/>
      <c r="G1830" s="102" t="n"/>
      <c r="H1830" s="103" t="n"/>
      <c r="I1830" s="103" t="n"/>
      <c r="J1830" s="104" t="n"/>
      <c r="K1830" s="102" t="n"/>
      <c r="L1830" s="103" t="n"/>
      <c r="M1830" s="103" t="n"/>
      <c r="N1830" s="104" t="n"/>
      <c r="O1830" s="102" t="n"/>
      <c r="P1830" s="103" t="n"/>
      <c r="Q1830" s="103" t="n"/>
      <c r="R1830" s="104" t="n"/>
      <c r="S1830" s="102" t="n"/>
      <c r="T1830" s="103" t="n"/>
      <c r="U1830" s="103" t="n"/>
      <c r="V1830" s="104" t="n"/>
      <c r="W1830" s="102" t="n"/>
      <c r="X1830" s="104" t="n"/>
      <c r="Y1830" s="102" t="n"/>
      <c r="Z1830" s="104" t="n"/>
      <c r="AB1830" s="105">
        <f>IF($B1830="","",(COUNTIF(C1808:E1825,$B1830)+COUNTIF(C1808:E1825,$B1830&amp;" ~*")&gt;0)+(COUNTIF(G1808:I1825,$B1830)+COUNTIF(G1808:I1825,$B1830&amp;" ~*")&gt;0)+(COUNTIF(K1808:M1825,$B1830)+COUNTIF(K1808:M1825,$B1830&amp;" ~*")&gt;0)+(COUNTIF(O1808:Q1825,$B1830)+COUNTIF(O1808:Q1825,$B1830&amp;" ~*")&gt;0)+(COUNTIF(S1808:U1825,$B1830)+COUNTIF(S1808:U1825,$B1830&amp;" ~*")&gt;0)+(COUNTIF(W1808:W1825,$B1830)+COUNTIF(W1808:W1825,$B1830&amp;" ~*")&gt;0)+(COUNTIF(Y1808:Y1825,$B1830)+COUNTIF(Y1808:Y1825,$B1830&amp;" ~*")&gt;0))</f>
        <v/>
      </c>
      <c r="AC1830" s="38">
        <f>IF($B1830="","",(IFERROR(INDEX(Setup!$G$33:$G$40,MATCH(C1830,Setup!$B$33:$B$40,0)),0)=1)*(COUNTIF(C1808:E1825,$B1830)+COUNTIF(C1808:E1825,$B1830&amp;" ~*")&gt;0)+(IFERROR(INDEX(Setup!$G$33:$G$40,MATCH(G1830,Setup!$B$33:$B$40,0)),0)=1)*(COUNTIF(G1808:I1825,$B1830)+COUNTIF(G1808:I1825,$B1830&amp;" ~*")&gt;0)+(IFERROR(INDEX(Setup!$G$33:$G$40,MATCH(K1830,Setup!$B$33:$B$40,0)),0)=1)*(COUNTIF(K1808:M1825,$B1830)+COUNTIF(K1808:M1825,$B1830&amp;" ~*")&gt;0)+(IFERROR(INDEX(Setup!$G$33:$G$40,MATCH(O1830,Setup!$B$33:$B$40,0)),0)=1)*(COUNTIF(O1808:Q1825,$B1830)+COUNTIF(O1808:Q1825,$B1830&amp;" ~*")&gt;0)+(IFERROR(INDEX(Setup!$G$33:$G$40,MATCH(S1830,Setup!$B$33:$B$40,0)),0)=1)*(COUNTIF(S1808:U1825,$B1830)+COUNTIF(S1808:U1825,$B1830&amp;" ~*")&gt;0)+(IFERROR(INDEX(Setup!$G$33:$G$40,MATCH(W1830,Setup!$B$33:$B$40,0)),0)=1)*(COUNTIF(W1808:W1825,$B1830)+COUNTIF(W1808:W1825,$B1830&amp;" ~*")&gt;0)+(IFERROR(INDEX(Setup!$G$33:$G$40,MATCH(Y1830,Setup!$B$33:$B$40,0)),0)=1)*(COUNTIF(Y1808:Y1825,$B1830)+COUNTIF(Y1808:Y1825,$B1830&amp;" ~*")&gt;0))</f>
        <v/>
      </c>
    </row>
    <row r="1831" ht="15" customHeight="1">
      <c r="A1831" t="n">
        <v>37</v>
      </c>
      <c r="B1831" s="35">
        <f>IF(Setup!$B$10="","",Setup!$B$10)</f>
        <v/>
      </c>
      <c r="C1831" s="98" t="n"/>
      <c r="D1831" s="99" t="n"/>
      <c r="E1831" s="99" t="n"/>
      <c r="F1831" s="100" t="n"/>
      <c r="G1831" s="98" t="n"/>
      <c r="H1831" s="99" t="n"/>
      <c r="I1831" s="99" t="n"/>
      <c r="J1831" s="100" t="n"/>
      <c r="K1831" s="98" t="n"/>
      <c r="L1831" s="99" t="n"/>
      <c r="M1831" s="99" t="n"/>
      <c r="N1831" s="100" t="n"/>
      <c r="O1831" s="98" t="n"/>
      <c r="P1831" s="99" t="n"/>
      <c r="Q1831" s="99" t="n"/>
      <c r="R1831" s="100" t="n"/>
      <c r="S1831" s="98" t="n"/>
      <c r="T1831" s="99" t="n"/>
      <c r="U1831" s="99" t="n"/>
      <c r="V1831" s="100" t="n"/>
      <c r="W1831" s="98" t="n"/>
      <c r="X1831" s="100" t="n"/>
      <c r="Y1831" s="98" t="n"/>
      <c r="Z1831" s="100" t="n"/>
      <c r="AB1831" s="101">
        <f>IF($B1831="","",(COUNTIF(C1808:E1825,$B1831)+COUNTIF(C1808:E1825,$B1831&amp;" ~*")&gt;0)+(COUNTIF(G1808:I1825,$B1831)+COUNTIF(G1808:I1825,$B1831&amp;" ~*")&gt;0)+(COUNTIF(K1808:M1825,$B1831)+COUNTIF(K1808:M1825,$B1831&amp;" ~*")&gt;0)+(COUNTIF(O1808:Q1825,$B1831)+COUNTIF(O1808:Q1825,$B1831&amp;" ~*")&gt;0)+(COUNTIF(S1808:U1825,$B1831)+COUNTIF(S1808:U1825,$B1831&amp;" ~*")&gt;0)+(COUNTIF(W1808:W1825,$B1831)+COUNTIF(W1808:W1825,$B1831&amp;" ~*")&gt;0)+(COUNTIF(Y1808:Y1825,$B1831)+COUNTIF(Y1808:Y1825,$B1831&amp;" ~*")&gt;0))</f>
        <v/>
      </c>
      <c r="AC1831" s="36">
        <f>IF($B1831="","",(IFERROR(INDEX(Setup!$G$33:$G$40,MATCH(C1831,Setup!$B$33:$B$40,0)),0)=1)*(COUNTIF(C1808:E1825,$B1831)+COUNTIF(C1808:E1825,$B1831&amp;" ~*")&gt;0)+(IFERROR(INDEX(Setup!$G$33:$G$40,MATCH(G1831,Setup!$B$33:$B$40,0)),0)=1)*(COUNTIF(G1808:I1825,$B1831)+COUNTIF(G1808:I1825,$B1831&amp;" ~*")&gt;0)+(IFERROR(INDEX(Setup!$G$33:$G$40,MATCH(K1831,Setup!$B$33:$B$40,0)),0)=1)*(COUNTIF(K1808:M1825,$B1831)+COUNTIF(K1808:M1825,$B1831&amp;" ~*")&gt;0)+(IFERROR(INDEX(Setup!$G$33:$G$40,MATCH(O1831,Setup!$B$33:$B$40,0)),0)=1)*(COUNTIF(O1808:Q1825,$B1831)+COUNTIF(O1808:Q1825,$B1831&amp;" ~*")&gt;0)+(IFERROR(INDEX(Setup!$G$33:$G$40,MATCH(S1831,Setup!$B$33:$B$40,0)),0)=1)*(COUNTIF(S1808:U1825,$B1831)+COUNTIF(S1808:U1825,$B1831&amp;" ~*")&gt;0)+(IFERROR(INDEX(Setup!$G$33:$G$40,MATCH(W1831,Setup!$B$33:$B$40,0)),0)=1)*(COUNTIF(W1808:W1825,$B1831)+COUNTIF(W1808:W1825,$B1831&amp;" ~*")&gt;0)+(IFERROR(INDEX(Setup!$G$33:$G$40,MATCH(Y1831,Setup!$B$33:$B$40,0)),0)=1)*(COUNTIF(Y1808:Y1825,$B1831)+COUNTIF(Y1808:Y1825,$B1831&amp;" ~*")&gt;0))</f>
        <v/>
      </c>
    </row>
    <row r="1832" ht="15" customHeight="1">
      <c r="A1832" t="n">
        <v>37</v>
      </c>
      <c r="B1832" s="37">
        <f>IF(Setup!$B$11="","",Setup!$B$11)</f>
        <v/>
      </c>
      <c r="C1832" s="102" t="n"/>
      <c r="D1832" s="103" t="n"/>
      <c r="E1832" s="103" t="n"/>
      <c r="F1832" s="104" t="n"/>
      <c r="G1832" s="102" t="n"/>
      <c r="H1832" s="103" t="n"/>
      <c r="I1832" s="103" t="n"/>
      <c r="J1832" s="104" t="n"/>
      <c r="K1832" s="102" t="n"/>
      <c r="L1832" s="103" t="n"/>
      <c r="M1832" s="103" t="n"/>
      <c r="N1832" s="104" t="n"/>
      <c r="O1832" s="102" t="n"/>
      <c r="P1832" s="103" t="n"/>
      <c r="Q1832" s="103" t="n"/>
      <c r="R1832" s="104" t="n"/>
      <c r="S1832" s="102" t="n"/>
      <c r="T1832" s="103" t="n"/>
      <c r="U1832" s="103" t="n"/>
      <c r="V1832" s="104" t="n"/>
      <c r="W1832" s="102" t="n"/>
      <c r="X1832" s="104" t="n"/>
      <c r="Y1832" s="102" t="n"/>
      <c r="Z1832" s="104" t="n"/>
      <c r="AB1832" s="105">
        <f>IF($B1832="","",(COUNTIF(C1808:E1825,$B1832)+COUNTIF(C1808:E1825,$B1832&amp;" ~*")&gt;0)+(COUNTIF(G1808:I1825,$B1832)+COUNTIF(G1808:I1825,$B1832&amp;" ~*")&gt;0)+(COUNTIF(K1808:M1825,$B1832)+COUNTIF(K1808:M1825,$B1832&amp;" ~*")&gt;0)+(COUNTIF(O1808:Q1825,$B1832)+COUNTIF(O1808:Q1825,$B1832&amp;" ~*")&gt;0)+(COUNTIF(S1808:U1825,$B1832)+COUNTIF(S1808:U1825,$B1832&amp;" ~*")&gt;0)+(COUNTIF(W1808:W1825,$B1832)+COUNTIF(W1808:W1825,$B1832&amp;" ~*")&gt;0)+(COUNTIF(Y1808:Y1825,$B1832)+COUNTIF(Y1808:Y1825,$B1832&amp;" ~*")&gt;0))</f>
        <v/>
      </c>
      <c r="AC1832" s="38">
        <f>IF($B1832="","",(IFERROR(INDEX(Setup!$G$33:$G$40,MATCH(C1832,Setup!$B$33:$B$40,0)),0)=1)*(COUNTIF(C1808:E1825,$B1832)+COUNTIF(C1808:E1825,$B1832&amp;" ~*")&gt;0)+(IFERROR(INDEX(Setup!$G$33:$G$40,MATCH(G1832,Setup!$B$33:$B$40,0)),0)=1)*(COUNTIF(G1808:I1825,$B1832)+COUNTIF(G1808:I1825,$B1832&amp;" ~*")&gt;0)+(IFERROR(INDEX(Setup!$G$33:$G$40,MATCH(K1832,Setup!$B$33:$B$40,0)),0)=1)*(COUNTIF(K1808:M1825,$B1832)+COUNTIF(K1808:M1825,$B1832&amp;" ~*")&gt;0)+(IFERROR(INDEX(Setup!$G$33:$G$40,MATCH(O1832,Setup!$B$33:$B$40,0)),0)=1)*(COUNTIF(O1808:Q1825,$B1832)+COUNTIF(O1808:Q1825,$B1832&amp;" ~*")&gt;0)+(IFERROR(INDEX(Setup!$G$33:$G$40,MATCH(S1832,Setup!$B$33:$B$40,0)),0)=1)*(COUNTIF(S1808:U1825,$B1832)+COUNTIF(S1808:U1825,$B1832&amp;" ~*")&gt;0)+(IFERROR(INDEX(Setup!$G$33:$G$40,MATCH(W1832,Setup!$B$33:$B$40,0)),0)=1)*(COUNTIF(W1808:W1825,$B1832)+COUNTIF(W1808:W1825,$B1832&amp;" ~*")&gt;0)+(IFERROR(INDEX(Setup!$G$33:$G$40,MATCH(Y1832,Setup!$B$33:$B$40,0)),0)=1)*(COUNTIF(Y1808:Y1825,$B1832)+COUNTIF(Y1808:Y1825,$B1832&amp;" ~*")&gt;0))</f>
        <v/>
      </c>
    </row>
    <row r="1833" ht="15" customHeight="1">
      <c r="A1833" t="n">
        <v>37</v>
      </c>
      <c r="B1833" s="35">
        <f>IF(Setup!$B$12="","",Setup!$B$12)</f>
        <v/>
      </c>
      <c r="C1833" s="98" t="n"/>
      <c r="D1833" s="99" t="n"/>
      <c r="E1833" s="99" t="n"/>
      <c r="F1833" s="100" t="n"/>
      <c r="G1833" s="98" t="n"/>
      <c r="H1833" s="99" t="n"/>
      <c r="I1833" s="99" t="n"/>
      <c r="J1833" s="100" t="n"/>
      <c r="K1833" s="98" t="n"/>
      <c r="L1833" s="99" t="n"/>
      <c r="M1833" s="99" t="n"/>
      <c r="N1833" s="100" t="n"/>
      <c r="O1833" s="98" t="n"/>
      <c r="P1833" s="99" t="n"/>
      <c r="Q1833" s="99" t="n"/>
      <c r="R1833" s="100" t="n"/>
      <c r="S1833" s="98" t="n"/>
      <c r="T1833" s="99" t="n"/>
      <c r="U1833" s="99" t="n"/>
      <c r="V1833" s="100" t="n"/>
      <c r="W1833" s="98" t="n"/>
      <c r="X1833" s="100" t="n"/>
      <c r="Y1833" s="98" t="n"/>
      <c r="Z1833" s="100" t="n"/>
      <c r="AB1833" s="101">
        <f>IF($B1833="","",(COUNTIF(C1808:E1825,$B1833)+COUNTIF(C1808:E1825,$B1833&amp;" ~*")&gt;0)+(COUNTIF(G1808:I1825,$B1833)+COUNTIF(G1808:I1825,$B1833&amp;" ~*")&gt;0)+(COUNTIF(K1808:M1825,$B1833)+COUNTIF(K1808:M1825,$B1833&amp;" ~*")&gt;0)+(COUNTIF(O1808:Q1825,$B1833)+COUNTIF(O1808:Q1825,$B1833&amp;" ~*")&gt;0)+(COUNTIF(S1808:U1825,$B1833)+COUNTIF(S1808:U1825,$B1833&amp;" ~*")&gt;0)+(COUNTIF(W1808:W1825,$B1833)+COUNTIF(W1808:W1825,$B1833&amp;" ~*")&gt;0)+(COUNTIF(Y1808:Y1825,$B1833)+COUNTIF(Y1808:Y1825,$B1833&amp;" ~*")&gt;0))</f>
        <v/>
      </c>
      <c r="AC1833" s="36">
        <f>IF($B1833="","",(IFERROR(INDEX(Setup!$G$33:$G$40,MATCH(C1833,Setup!$B$33:$B$40,0)),0)=1)*(COUNTIF(C1808:E1825,$B1833)+COUNTIF(C1808:E1825,$B1833&amp;" ~*")&gt;0)+(IFERROR(INDEX(Setup!$G$33:$G$40,MATCH(G1833,Setup!$B$33:$B$40,0)),0)=1)*(COUNTIF(G1808:I1825,$B1833)+COUNTIF(G1808:I1825,$B1833&amp;" ~*")&gt;0)+(IFERROR(INDEX(Setup!$G$33:$G$40,MATCH(K1833,Setup!$B$33:$B$40,0)),0)=1)*(COUNTIF(K1808:M1825,$B1833)+COUNTIF(K1808:M1825,$B1833&amp;" ~*")&gt;0)+(IFERROR(INDEX(Setup!$G$33:$G$40,MATCH(O1833,Setup!$B$33:$B$40,0)),0)=1)*(COUNTIF(O1808:Q1825,$B1833)+COUNTIF(O1808:Q1825,$B1833&amp;" ~*")&gt;0)+(IFERROR(INDEX(Setup!$G$33:$G$40,MATCH(S1833,Setup!$B$33:$B$40,0)),0)=1)*(COUNTIF(S1808:U1825,$B1833)+COUNTIF(S1808:U1825,$B1833&amp;" ~*")&gt;0)+(IFERROR(INDEX(Setup!$G$33:$G$40,MATCH(W1833,Setup!$B$33:$B$40,0)),0)=1)*(COUNTIF(W1808:W1825,$B1833)+COUNTIF(W1808:W1825,$B1833&amp;" ~*")&gt;0)+(IFERROR(INDEX(Setup!$G$33:$G$40,MATCH(Y1833,Setup!$B$33:$B$40,0)),0)=1)*(COUNTIF(Y1808:Y1825,$B1833)+COUNTIF(Y1808:Y1825,$B1833&amp;" ~*")&gt;0))</f>
        <v/>
      </c>
    </row>
    <row r="1834" ht="15" customHeight="1">
      <c r="A1834" t="n">
        <v>37</v>
      </c>
      <c r="B1834" s="37">
        <f>IF(Setup!$B$13="","",Setup!$B$13)</f>
        <v/>
      </c>
      <c r="C1834" s="102" t="n"/>
      <c r="D1834" s="103" t="n"/>
      <c r="E1834" s="103" t="n"/>
      <c r="F1834" s="104" t="n"/>
      <c r="G1834" s="102" t="n"/>
      <c r="H1834" s="103" t="n"/>
      <c r="I1834" s="103" t="n"/>
      <c r="J1834" s="104" t="n"/>
      <c r="K1834" s="102" t="n"/>
      <c r="L1834" s="103" t="n"/>
      <c r="M1834" s="103" t="n"/>
      <c r="N1834" s="104" t="n"/>
      <c r="O1834" s="102" t="n"/>
      <c r="P1834" s="103" t="n"/>
      <c r="Q1834" s="103" t="n"/>
      <c r="R1834" s="104" t="n"/>
      <c r="S1834" s="102" t="n"/>
      <c r="T1834" s="103" t="n"/>
      <c r="U1834" s="103" t="n"/>
      <c r="V1834" s="104" t="n"/>
      <c r="W1834" s="102" t="n"/>
      <c r="X1834" s="104" t="n"/>
      <c r="Y1834" s="102" t="n"/>
      <c r="Z1834" s="104" t="n"/>
      <c r="AB1834" s="105">
        <f>IF($B1834="","",(COUNTIF(C1808:E1825,$B1834)+COUNTIF(C1808:E1825,$B1834&amp;" ~*")&gt;0)+(COUNTIF(G1808:I1825,$B1834)+COUNTIF(G1808:I1825,$B1834&amp;" ~*")&gt;0)+(COUNTIF(K1808:M1825,$B1834)+COUNTIF(K1808:M1825,$B1834&amp;" ~*")&gt;0)+(COUNTIF(O1808:Q1825,$B1834)+COUNTIF(O1808:Q1825,$B1834&amp;" ~*")&gt;0)+(COUNTIF(S1808:U1825,$B1834)+COUNTIF(S1808:U1825,$B1834&amp;" ~*")&gt;0)+(COUNTIF(W1808:W1825,$B1834)+COUNTIF(W1808:W1825,$B1834&amp;" ~*")&gt;0)+(COUNTIF(Y1808:Y1825,$B1834)+COUNTIF(Y1808:Y1825,$B1834&amp;" ~*")&gt;0))</f>
        <v/>
      </c>
      <c r="AC1834" s="38">
        <f>IF($B1834="","",(IFERROR(INDEX(Setup!$G$33:$G$40,MATCH(C1834,Setup!$B$33:$B$40,0)),0)=1)*(COUNTIF(C1808:E1825,$B1834)+COUNTIF(C1808:E1825,$B1834&amp;" ~*")&gt;0)+(IFERROR(INDEX(Setup!$G$33:$G$40,MATCH(G1834,Setup!$B$33:$B$40,0)),0)=1)*(COUNTIF(G1808:I1825,$B1834)+COUNTIF(G1808:I1825,$B1834&amp;" ~*")&gt;0)+(IFERROR(INDEX(Setup!$G$33:$G$40,MATCH(K1834,Setup!$B$33:$B$40,0)),0)=1)*(COUNTIF(K1808:M1825,$B1834)+COUNTIF(K1808:M1825,$B1834&amp;" ~*")&gt;0)+(IFERROR(INDEX(Setup!$G$33:$G$40,MATCH(O1834,Setup!$B$33:$B$40,0)),0)=1)*(COUNTIF(O1808:Q1825,$B1834)+COUNTIF(O1808:Q1825,$B1834&amp;" ~*")&gt;0)+(IFERROR(INDEX(Setup!$G$33:$G$40,MATCH(S1834,Setup!$B$33:$B$40,0)),0)=1)*(COUNTIF(S1808:U1825,$B1834)+COUNTIF(S1808:U1825,$B1834&amp;" ~*")&gt;0)+(IFERROR(INDEX(Setup!$G$33:$G$40,MATCH(W1834,Setup!$B$33:$B$40,0)),0)=1)*(COUNTIF(W1808:W1825,$B1834)+COUNTIF(W1808:W1825,$B1834&amp;" ~*")&gt;0)+(IFERROR(INDEX(Setup!$G$33:$G$40,MATCH(Y1834,Setup!$B$33:$B$40,0)),0)=1)*(COUNTIF(Y1808:Y1825,$B1834)+COUNTIF(Y1808:Y1825,$B1834&amp;" ~*")&gt;0))</f>
        <v/>
      </c>
    </row>
    <row r="1835" ht="15" customHeight="1">
      <c r="A1835" t="n">
        <v>37</v>
      </c>
      <c r="B1835" s="35">
        <f>IF(Setup!$B$14="","",Setup!$B$14)</f>
        <v/>
      </c>
      <c r="C1835" s="98" t="n"/>
      <c r="D1835" s="99" t="n"/>
      <c r="E1835" s="99" t="n"/>
      <c r="F1835" s="100" t="n"/>
      <c r="G1835" s="98" t="n"/>
      <c r="H1835" s="99" t="n"/>
      <c r="I1835" s="99" t="n"/>
      <c r="J1835" s="100" t="n"/>
      <c r="K1835" s="98" t="n"/>
      <c r="L1835" s="99" t="n"/>
      <c r="M1835" s="99" t="n"/>
      <c r="N1835" s="100" t="n"/>
      <c r="O1835" s="98" t="n"/>
      <c r="P1835" s="99" t="n"/>
      <c r="Q1835" s="99" t="n"/>
      <c r="R1835" s="100" t="n"/>
      <c r="S1835" s="98" t="n"/>
      <c r="T1835" s="99" t="n"/>
      <c r="U1835" s="99" t="n"/>
      <c r="V1835" s="100" t="n"/>
      <c r="W1835" s="98" t="n"/>
      <c r="X1835" s="100" t="n"/>
      <c r="Y1835" s="98" t="n"/>
      <c r="Z1835" s="100" t="n"/>
      <c r="AB1835" s="101">
        <f>IF($B1835="","",(COUNTIF(C1808:E1825,$B1835)+COUNTIF(C1808:E1825,$B1835&amp;" ~*")&gt;0)+(COUNTIF(G1808:I1825,$B1835)+COUNTIF(G1808:I1825,$B1835&amp;" ~*")&gt;0)+(COUNTIF(K1808:M1825,$B1835)+COUNTIF(K1808:M1825,$B1835&amp;" ~*")&gt;0)+(COUNTIF(O1808:Q1825,$B1835)+COUNTIF(O1808:Q1825,$B1835&amp;" ~*")&gt;0)+(COUNTIF(S1808:U1825,$B1835)+COUNTIF(S1808:U1825,$B1835&amp;" ~*")&gt;0)+(COUNTIF(W1808:W1825,$B1835)+COUNTIF(W1808:W1825,$B1835&amp;" ~*")&gt;0)+(COUNTIF(Y1808:Y1825,$B1835)+COUNTIF(Y1808:Y1825,$B1835&amp;" ~*")&gt;0))</f>
        <v/>
      </c>
      <c r="AC1835" s="36">
        <f>IF($B1835="","",(IFERROR(INDEX(Setup!$G$33:$G$40,MATCH(C1835,Setup!$B$33:$B$40,0)),0)=1)*(COUNTIF(C1808:E1825,$B1835)+COUNTIF(C1808:E1825,$B1835&amp;" ~*")&gt;0)+(IFERROR(INDEX(Setup!$G$33:$G$40,MATCH(G1835,Setup!$B$33:$B$40,0)),0)=1)*(COUNTIF(G1808:I1825,$B1835)+COUNTIF(G1808:I1825,$B1835&amp;" ~*")&gt;0)+(IFERROR(INDEX(Setup!$G$33:$G$40,MATCH(K1835,Setup!$B$33:$B$40,0)),0)=1)*(COUNTIF(K1808:M1825,$B1835)+COUNTIF(K1808:M1825,$B1835&amp;" ~*")&gt;0)+(IFERROR(INDEX(Setup!$G$33:$G$40,MATCH(O1835,Setup!$B$33:$B$40,0)),0)=1)*(COUNTIF(O1808:Q1825,$B1835)+COUNTIF(O1808:Q1825,$B1835&amp;" ~*")&gt;0)+(IFERROR(INDEX(Setup!$G$33:$G$40,MATCH(S1835,Setup!$B$33:$B$40,0)),0)=1)*(COUNTIF(S1808:U1825,$B1835)+COUNTIF(S1808:U1825,$B1835&amp;" ~*")&gt;0)+(IFERROR(INDEX(Setup!$G$33:$G$40,MATCH(W1835,Setup!$B$33:$B$40,0)),0)=1)*(COUNTIF(W1808:W1825,$B1835)+COUNTIF(W1808:W1825,$B1835&amp;" ~*")&gt;0)+(IFERROR(INDEX(Setup!$G$33:$G$40,MATCH(Y1835,Setup!$B$33:$B$40,0)),0)=1)*(COUNTIF(Y1808:Y1825,$B1835)+COUNTIF(Y1808:Y1825,$B1835&amp;" ~*")&gt;0))</f>
        <v/>
      </c>
    </row>
    <row r="1836" ht="15" customHeight="1">
      <c r="A1836" t="n">
        <v>37</v>
      </c>
      <c r="B1836" s="37">
        <f>IF(Setup!$B$15="","",Setup!$B$15)</f>
        <v/>
      </c>
      <c r="C1836" s="102" t="n"/>
      <c r="D1836" s="103" t="n"/>
      <c r="E1836" s="103" t="n"/>
      <c r="F1836" s="104" t="n"/>
      <c r="G1836" s="102" t="n"/>
      <c r="H1836" s="103" t="n"/>
      <c r="I1836" s="103" t="n"/>
      <c r="J1836" s="104" t="n"/>
      <c r="K1836" s="102" t="n"/>
      <c r="L1836" s="103" t="n"/>
      <c r="M1836" s="103" t="n"/>
      <c r="N1836" s="104" t="n"/>
      <c r="O1836" s="102" t="n"/>
      <c r="P1836" s="103" t="n"/>
      <c r="Q1836" s="103" t="n"/>
      <c r="R1836" s="104" t="n"/>
      <c r="S1836" s="102" t="n"/>
      <c r="T1836" s="103" t="n"/>
      <c r="U1836" s="103" t="n"/>
      <c r="V1836" s="104" t="n"/>
      <c r="W1836" s="102" t="n"/>
      <c r="X1836" s="104" t="n"/>
      <c r="Y1836" s="102" t="n"/>
      <c r="Z1836" s="104" t="n"/>
      <c r="AB1836" s="105">
        <f>IF($B1836="","",(COUNTIF(C1808:E1825,$B1836)+COUNTIF(C1808:E1825,$B1836&amp;" ~*")&gt;0)+(COUNTIF(G1808:I1825,$B1836)+COUNTIF(G1808:I1825,$B1836&amp;" ~*")&gt;0)+(COUNTIF(K1808:M1825,$B1836)+COUNTIF(K1808:M1825,$B1836&amp;" ~*")&gt;0)+(COUNTIF(O1808:Q1825,$B1836)+COUNTIF(O1808:Q1825,$B1836&amp;" ~*")&gt;0)+(COUNTIF(S1808:U1825,$B1836)+COUNTIF(S1808:U1825,$B1836&amp;" ~*")&gt;0)+(COUNTIF(W1808:W1825,$B1836)+COUNTIF(W1808:W1825,$B1836&amp;" ~*")&gt;0)+(COUNTIF(Y1808:Y1825,$B1836)+COUNTIF(Y1808:Y1825,$B1836&amp;" ~*")&gt;0))</f>
        <v/>
      </c>
      <c r="AC1836" s="38">
        <f>IF($B1836="","",(IFERROR(INDEX(Setup!$G$33:$G$40,MATCH(C1836,Setup!$B$33:$B$40,0)),0)=1)*(COUNTIF(C1808:E1825,$B1836)+COUNTIF(C1808:E1825,$B1836&amp;" ~*")&gt;0)+(IFERROR(INDEX(Setup!$G$33:$G$40,MATCH(G1836,Setup!$B$33:$B$40,0)),0)=1)*(COUNTIF(G1808:I1825,$B1836)+COUNTIF(G1808:I1825,$B1836&amp;" ~*")&gt;0)+(IFERROR(INDEX(Setup!$G$33:$G$40,MATCH(K1836,Setup!$B$33:$B$40,0)),0)=1)*(COUNTIF(K1808:M1825,$B1836)+COUNTIF(K1808:M1825,$B1836&amp;" ~*")&gt;0)+(IFERROR(INDEX(Setup!$G$33:$G$40,MATCH(O1836,Setup!$B$33:$B$40,0)),0)=1)*(COUNTIF(O1808:Q1825,$B1836)+COUNTIF(O1808:Q1825,$B1836&amp;" ~*")&gt;0)+(IFERROR(INDEX(Setup!$G$33:$G$40,MATCH(S1836,Setup!$B$33:$B$40,0)),0)=1)*(COUNTIF(S1808:U1825,$B1836)+COUNTIF(S1808:U1825,$B1836&amp;" ~*")&gt;0)+(IFERROR(INDEX(Setup!$G$33:$G$40,MATCH(W1836,Setup!$B$33:$B$40,0)),0)=1)*(COUNTIF(W1808:W1825,$B1836)+COUNTIF(W1808:W1825,$B1836&amp;" ~*")&gt;0)+(IFERROR(INDEX(Setup!$G$33:$G$40,MATCH(Y1836,Setup!$B$33:$B$40,0)),0)=1)*(COUNTIF(Y1808:Y1825,$B1836)+COUNTIF(Y1808:Y1825,$B1836&amp;" ~*")&gt;0))</f>
        <v/>
      </c>
    </row>
    <row r="1837" ht="15" customHeight="1">
      <c r="A1837" t="n">
        <v>37</v>
      </c>
      <c r="B1837" s="35">
        <f>IF(Setup!$B$16="","",Setup!$B$16)</f>
        <v/>
      </c>
      <c r="C1837" s="98" t="n"/>
      <c r="D1837" s="99" t="n"/>
      <c r="E1837" s="99" t="n"/>
      <c r="F1837" s="100" t="n"/>
      <c r="G1837" s="98" t="n"/>
      <c r="H1837" s="99" t="n"/>
      <c r="I1837" s="99" t="n"/>
      <c r="J1837" s="100" t="n"/>
      <c r="K1837" s="98" t="n"/>
      <c r="L1837" s="99" t="n"/>
      <c r="M1837" s="99" t="n"/>
      <c r="N1837" s="100" t="n"/>
      <c r="O1837" s="98" t="n"/>
      <c r="P1837" s="99" t="n"/>
      <c r="Q1837" s="99" t="n"/>
      <c r="R1837" s="100" t="n"/>
      <c r="S1837" s="98" t="n"/>
      <c r="T1837" s="99" t="n"/>
      <c r="U1837" s="99" t="n"/>
      <c r="V1837" s="100" t="n"/>
      <c r="W1837" s="98" t="n"/>
      <c r="X1837" s="100" t="n"/>
      <c r="Y1837" s="98" t="n"/>
      <c r="Z1837" s="100" t="n"/>
      <c r="AB1837" s="101">
        <f>IF($B1837="","",(COUNTIF(C1808:E1825,$B1837)+COUNTIF(C1808:E1825,$B1837&amp;" ~*")&gt;0)+(COUNTIF(G1808:I1825,$B1837)+COUNTIF(G1808:I1825,$B1837&amp;" ~*")&gt;0)+(COUNTIF(K1808:M1825,$B1837)+COUNTIF(K1808:M1825,$B1837&amp;" ~*")&gt;0)+(COUNTIF(O1808:Q1825,$B1837)+COUNTIF(O1808:Q1825,$B1837&amp;" ~*")&gt;0)+(COUNTIF(S1808:U1825,$B1837)+COUNTIF(S1808:U1825,$B1837&amp;" ~*")&gt;0)+(COUNTIF(W1808:W1825,$B1837)+COUNTIF(W1808:W1825,$B1837&amp;" ~*")&gt;0)+(COUNTIF(Y1808:Y1825,$B1837)+COUNTIF(Y1808:Y1825,$B1837&amp;" ~*")&gt;0))</f>
        <v/>
      </c>
      <c r="AC1837" s="36">
        <f>IF($B1837="","",(IFERROR(INDEX(Setup!$G$33:$G$40,MATCH(C1837,Setup!$B$33:$B$40,0)),0)=1)*(COUNTIF(C1808:E1825,$B1837)+COUNTIF(C1808:E1825,$B1837&amp;" ~*")&gt;0)+(IFERROR(INDEX(Setup!$G$33:$G$40,MATCH(G1837,Setup!$B$33:$B$40,0)),0)=1)*(COUNTIF(G1808:I1825,$B1837)+COUNTIF(G1808:I1825,$B1837&amp;" ~*")&gt;0)+(IFERROR(INDEX(Setup!$G$33:$G$40,MATCH(K1837,Setup!$B$33:$B$40,0)),0)=1)*(COUNTIF(K1808:M1825,$B1837)+COUNTIF(K1808:M1825,$B1837&amp;" ~*")&gt;0)+(IFERROR(INDEX(Setup!$G$33:$G$40,MATCH(O1837,Setup!$B$33:$B$40,0)),0)=1)*(COUNTIF(O1808:Q1825,$B1837)+COUNTIF(O1808:Q1825,$B1837&amp;" ~*")&gt;0)+(IFERROR(INDEX(Setup!$G$33:$G$40,MATCH(S1837,Setup!$B$33:$B$40,0)),0)=1)*(COUNTIF(S1808:U1825,$B1837)+COUNTIF(S1808:U1825,$B1837&amp;" ~*")&gt;0)+(IFERROR(INDEX(Setup!$G$33:$G$40,MATCH(W1837,Setup!$B$33:$B$40,0)),0)=1)*(COUNTIF(W1808:W1825,$B1837)+COUNTIF(W1808:W1825,$B1837&amp;" ~*")&gt;0)+(IFERROR(INDEX(Setup!$G$33:$G$40,MATCH(Y1837,Setup!$B$33:$B$40,0)),0)=1)*(COUNTIF(Y1808:Y1825,$B1837)+COUNTIF(Y1808:Y1825,$B1837&amp;" ~*")&gt;0))</f>
        <v/>
      </c>
    </row>
    <row r="1838" ht="15" customHeight="1">
      <c r="A1838" t="n">
        <v>37</v>
      </c>
      <c r="B1838" s="37">
        <f>IF(Setup!$B$17="","",Setup!$B$17)</f>
        <v/>
      </c>
      <c r="C1838" s="102" t="n"/>
      <c r="D1838" s="103" t="n"/>
      <c r="E1838" s="103" t="n"/>
      <c r="F1838" s="104" t="n"/>
      <c r="G1838" s="102" t="n"/>
      <c r="H1838" s="103" t="n"/>
      <c r="I1838" s="103" t="n"/>
      <c r="J1838" s="104" t="n"/>
      <c r="K1838" s="102" t="n"/>
      <c r="L1838" s="103" t="n"/>
      <c r="M1838" s="103" t="n"/>
      <c r="N1838" s="104" t="n"/>
      <c r="O1838" s="102" t="n"/>
      <c r="P1838" s="103" t="n"/>
      <c r="Q1838" s="103" t="n"/>
      <c r="R1838" s="104" t="n"/>
      <c r="S1838" s="102" t="n"/>
      <c r="T1838" s="103" t="n"/>
      <c r="U1838" s="103" t="n"/>
      <c r="V1838" s="104" t="n"/>
      <c r="W1838" s="102" t="n"/>
      <c r="X1838" s="104" t="n"/>
      <c r="Y1838" s="102" t="n"/>
      <c r="Z1838" s="104" t="n"/>
      <c r="AB1838" s="105">
        <f>IF($B1838="","",(COUNTIF(C1808:E1825,$B1838)+COUNTIF(C1808:E1825,$B1838&amp;" ~*")&gt;0)+(COUNTIF(G1808:I1825,$B1838)+COUNTIF(G1808:I1825,$B1838&amp;" ~*")&gt;0)+(COUNTIF(K1808:M1825,$B1838)+COUNTIF(K1808:M1825,$B1838&amp;" ~*")&gt;0)+(COUNTIF(O1808:Q1825,$B1838)+COUNTIF(O1808:Q1825,$B1838&amp;" ~*")&gt;0)+(COUNTIF(S1808:U1825,$B1838)+COUNTIF(S1808:U1825,$B1838&amp;" ~*")&gt;0)+(COUNTIF(W1808:W1825,$B1838)+COUNTIF(W1808:W1825,$B1838&amp;" ~*")&gt;0)+(COUNTIF(Y1808:Y1825,$B1838)+COUNTIF(Y1808:Y1825,$B1838&amp;" ~*")&gt;0))</f>
        <v/>
      </c>
      <c r="AC1838" s="38">
        <f>IF($B1838="","",(IFERROR(INDEX(Setup!$G$33:$G$40,MATCH(C1838,Setup!$B$33:$B$40,0)),0)=1)*(COUNTIF(C1808:E1825,$B1838)+COUNTIF(C1808:E1825,$B1838&amp;" ~*")&gt;0)+(IFERROR(INDEX(Setup!$G$33:$G$40,MATCH(G1838,Setup!$B$33:$B$40,0)),0)=1)*(COUNTIF(G1808:I1825,$B1838)+COUNTIF(G1808:I1825,$B1838&amp;" ~*")&gt;0)+(IFERROR(INDEX(Setup!$G$33:$G$40,MATCH(K1838,Setup!$B$33:$B$40,0)),0)=1)*(COUNTIF(K1808:M1825,$B1838)+COUNTIF(K1808:M1825,$B1838&amp;" ~*")&gt;0)+(IFERROR(INDEX(Setup!$G$33:$G$40,MATCH(O1838,Setup!$B$33:$B$40,0)),0)=1)*(COUNTIF(O1808:Q1825,$B1838)+COUNTIF(O1808:Q1825,$B1838&amp;" ~*")&gt;0)+(IFERROR(INDEX(Setup!$G$33:$G$40,MATCH(S1838,Setup!$B$33:$B$40,0)),0)=1)*(COUNTIF(S1808:U1825,$B1838)+COUNTIF(S1808:U1825,$B1838&amp;" ~*")&gt;0)+(IFERROR(INDEX(Setup!$G$33:$G$40,MATCH(W1838,Setup!$B$33:$B$40,0)),0)=1)*(COUNTIF(W1808:W1825,$B1838)+COUNTIF(W1808:W1825,$B1838&amp;" ~*")&gt;0)+(IFERROR(INDEX(Setup!$G$33:$G$40,MATCH(Y1838,Setup!$B$33:$B$40,0)),0)=1)*(COUNTIF(Y1808:Y1825,$B1838)+COUNTIF(Y1808:Y1825,$B1838&amp;" ~*")&gt;0))</f>
        <v/>
      </c>
    </row>
    <row r="1839" ht="15" customHeight="1">
      <c r="A1839" t="n">
        <v>37</v>
      </c>
      <c r="B1839" s="35">
        <f>IF(Setup!$B$18="","",Setup!$B$18)</f>
        <v/>
      </c>
      <c r="C1839" s="98" t="n"/>
      <c r="D1839" s="99" t="n"/>
      <c r="E1839" s="99" t="n"/>
      <c r="F1839" s="100" t="n"/>
      <c r="G1839" s="98" t="n"/>
      <c r="H1839" s="99" t="n"/>
      <c r="I1839" s="99" t="n"/>
      <c r="J1839" s="100" t="n"/>
      <c r="K1839" s="98" t="n"/>
      <c r="L1839" s="99" t="n"/>
      <c r="M1839" s="99" t="n"/>
      <c r="N1839" s="100" t="n"/>
      <c r="O1839" s="98" t="n"/>
      <c r="P1839" s="99" t="n"/>
      <c r="Q1839" s="99" t="n"/>
      <c r="R1839" s="100" t="n"/>
      <c r="S1839" s="98" t="n"/>
      <c r="T1839" s="99" t="n"/>
      <c r="U1839" s="99" t="n"/>
      <c r="V1839" s="100" t="n"/>
      <c r="W1839" s="98" t="n"/>
      <c r="X1839" s="100" t="n"/>
      <c r="Y1839" s="98" t="n"/>
      <c r="Z1839" s="100" t="n"/>
      <c r="AB1839" s="101">
        <f>IF($B1839="","",(COUNTIF(C1808:E1825,$B1839)+COUNTIF(C1808:E1825,$B1839&amp;" ~*")&gt;0)+(COUNTIF(G1808:I1825,$B1839)+COUNTIF(G1808:I1825,$B1839&amp;" ~*")&gt;0)+(COUNTIF(K1808:M1825,$B1839)+COUNTIF(K1808:M1825,$B1839&amp;" ~*")&gt;0)+(COUNTIF(O1808:Q1825,$B1839)+COUNTIF(O1808:Q1825,$B1839&amp;" ~*")&gt;0)+(COUNTIF(S1808:U1825,$B1839)+COUNTIF(S1808:U1825,$B1839&amp;" ~*")&gt;0)+(COUNTIF(W1808:W1825,$B1839)+COUNTIF(W1808:W1825,$B1839&amp;" ~*")&gt;0)+(COUNTIF(Y1808:Y1825,$B1839)+COUNTIF(Y1808:Y1825,$B1839&amp;" ~*")&gt;0))</f>
        <v/>
      </c>
      <c r="AC1839" s="36">
        <f>IF($B1839="","",(IFERROR(INDEX(Setup!$G$33:$G$40,MATCH(C1839,Setup!$B$33:$B$40,0)),0)=1)*(COUNTIF(C1808:E1825,$B1839)+COUNTIF(C1808:E1825,$B1839&amp;" ~*")&gt;0)+(IFERROR(INDEX(Setup!$G$33:$G$40,MATCH(G1839,Setup!$B$33:$B$40,0)),0)=1)*(COUNTIF(G1808:I1825,$B1839)+COUNTIF(G1808:I1825,$B1839&amp;" ~*")&gt;0)+(IFERROR(INDEX(Setup!$G$33:$G$40,MATCH(K1839,Setup!$B$33:$B$40,0)),0)=1)*(COUNTIF(K1808:M1825,$B1839)+COUNTIF(K1808:M1825,$B1839&amp;" ~*")&gt;0)+(IFERROR(INDEX(Setup!$G$33:$G$40,MATCH(O1839,Setup!$B$33:$B$40,0)),0)=1)*(COUNTIF(O1808:Q1825,$B1839)+COUNTIF(O1808:Q1825,$B1839&amp;" ~*")&gt;0)+(IFERROR(INDEX(Setup!$G$33:$G$40,MATCH(S1839,Setup!$B$33:$B$40,0)),0)=1)*(COUNTIF(S1808:U1825,$B1839)+COUNTIF(S1808:U1825,$B1839&amp;" ~*")&gt;0)+(IFERROR(INDEX(Setup!$G$33:$G$40,MATCH(W1839,Setup!$B$33:$B$40,0)),0)=1)*(COUNTIF(W1808:W1825,$B1839)+COUNTIF(W1808:W1825,$B1839&amp;" ~*")&gt;0)+(IFERROR(INDEX(Setup!$G$33:$G$40,MATCH(Y1839,Setup!$B$33:$B$40,0)),0)=1)*(COUNTIF(Y1808:Y1825,$B1839)+COUNTIF(Y1808:Y1825,$B1839&amp;" ~*")&gt;0))</f>
        <v/>
      </c>
    </row>
    <row r="1840" ht="15" customHeight="1">
      <c r="A1840" t="n">
        <v>37</v>
      </c>
      <c r="B1840" s="37">
        <f>IF(Setup!$B$19="","",Setup!$B$19)</f>
        <v/>
      </c>
      <c r="C1840" s="102" t="n"/>
      <c r="D1840" s="103" t="n"/>
      <c r="E1840" s="103" t="n"/>
      <c r="F1840" s="104" t="n"/>
      <c r="G1840" s="102" t="n"/>
      <c r="H1840" s="103" t="n"/>
      <c r="I1840" s="103" t="n"/>
      <c r="J1840" s="104" t="n"/>
      <c r="K1840" s="102" t="n"/>
      <c r="L1840" s="103" t="n"/>
      <c r="M1840" s="103" t="n"/>
      <c r="N1840" s="104" t="n"/>
      <c r="O1840" s="102" t="n"/>
      <c r="P1840" s="103" t="n"/>
      <c r="Q1840" s="103" t="n"/>
      <c r="R1840" s="104" t="n"/>
      <c r="S1840" s="102" t="n"/>
      <c r="T1840" s="103" t="n"/>
      <c r="U1840" s="103" t="n"/>
      <c r="V1840" s="104" t="n"/>
      <c r="W1840" s="102" t="n"/>
      <c r="X1840" s="104" t="n"/>
      <c r="Y1840" s="102" t="n"/>
      <c r="Z1840" s="104" t="n"/>
      <c r="AB1840" s="105">
        <f>IF($B1840="","",(COUNTIF(C1808:E1825,$B1840)+COUNTIF(C1808:E1825,$B1840&amp;" ~*")&gt;0)+(COUNTIF(G1808:I1825,$B1840)+COUNTIF(G1808:I1825,$B1840&amp;" ~*")&gt;0)+(COUNTIF(K1808:M1825,$B1840)+COUNTIF(K1808:M1825,$B1840&amp;" ~*")&gt;0)+(COUNTIF(O1808:Q1825,$B1840)+COUNTIF(O1808:Q1825,$B1840&amp;" ~*")&gt;0)+(COUNTIF(S1808:U1825,$B1840)+COUNTIF(S1808:U1825,$B1840&amp;" ~*")&gt;0)+(COUNTIF(W1808:W1825,$B1840)+COUNTIF(W1808:W1825,$B1840&amp;" ~*")&gt;0)+(COUNTIF(Y1808:Y1825,$B1840)+COUNTIF(Y1808:Y1825,$B1840&amp;" ~*")&gt;0))</f>
        <v/>
      </c>
      <c r="AC1840" s="38">
        <f>IF($B1840="","",(IFERROR(INDEX(Setup!$G$33:$G$40,MATCH(C1840,Setup!$B$33:$B$40,0)),0)=1)*(COUNTIF(C1808:E1825,$B1840)+COUNTIF(C1808:E1825,$B1840&amp;" ~*")&gt;0)+(IFERROR(INDEX(Setup!$G$33:$G$40,MATCH(G1840,Setup!$B$33:$B$40,0)),0)=1)*(COUNTIF(G1808:I1825,$B1840)+COUNTIF(G1808:I1825,$B1840&amp;" ~*")&gt;0)+(IFERROR(INDEX(Setup!$G$33:$G$40,MATCH(K1840,Setup!$B$33:$B$40,0)),0)=1)*(COUNTIF(K1808:M1825,$B1840)+COUNTIF(K1808:M1825,$B1840&amp;" ~*")&gt;0)+(IFERROR(INDEX(Setup!$G$33:$G$40,MATCH(O1840,Setup!$B$33:$B$40,0)),0)=1)*(COUNTIF(O1808:Q1825,$B1840)+COUNTIF(O1808:Q1825,$B1840&amp;" ~*")&gt;0)+(IFERROR(INDEX(Setup!$G$33:$G$40,MATCH(S1840,Setup!$B$33:$B$40,0)),0)=1)*(COUNTIF(S1808:U1825,$B1840)+COUNTIF(S1808:U1825,$B1840&amp;" ~*")&gt;0)+(IFERROR(INDEX(Setup!$G$33:$G$40,MATCH(W1840,Setup!$B$33:$B$40,0)),0)=1)*(COUNTIF(W1808:W1825,$B1840)+COUNTIF(W1808:W1825,$B1840&amp;" ~*")&gt;0)+(IFERROR(INDEX(Setup!$G$33:$G$40,MATCH(Y1840,Setup!$B$33:$B$40,0)),0)=1)*(COUNTIF(Y1808:Y1825,$B1840)+COUNTIF(Y1808:Y1825,$B1840&amp;" ~*")&gt;0))</f>
        <v/>
      </c>
    </row>
    <row r="1841" ht="15" customHeight="1">
      <c r="A1841" t="n">
        <v>37</v>
      </c>
      <c r="B1841" s="35">
        <f>IF(Setup!$B$20="","",Setup!$B$20)</f>
        <v/>
      </c>
      <c r="C1841" s="98" t="n"/>
      <c r="D1841" s="99" t="n"/>
      <c r="E1841" s="99" t="n"/>
      <c r="F1841" s="100" t="n"/>
      <c r="G1841" s="98" t="n"/>
      <c r="H1841" s="99" t="n"/>
      <c r="I1841" s="99" t="n"/>
      <c r="J1841" s="100" t="n"/>
      <c r="K1841" s="98" t="n"/>
      <c r="L1841" s="99" t="n"/>
      <c r="M1841" s="99" t="n"/>
      <c r="N1841" s="100" t="n"/>
      <c r="O1841" s="98" t="n"/>
      <c r="P1841" s="99" t="n"/>
      <c r="Q1841" s="99" t="n"/>
      <c r="R1841" s="100" t="n"/>
      <c r="S1841" s="98" t="n"/>
      <c r="T1841" s="99" t="n"/>
      <c r="U1841" s="99" t="n"/>
      <c r="V1841" s="100" t="n"/>
      <c r="W1841" s="98" t="n"/>
      <c r="X1841" s="100" t="n"/>
      <c r="Y1841" s="98" t="n"/>
      <c r="Z1841" s="100" t="n"/>
      <c r="AB1841" s="101">
        <f>IF($B1841="","",(COUNTIF(C1808:E1825,$B1841)+COUNTIF(C1808:E1825,$B1841&amp;" ~*")&gt;0)+(COUNTIF(G1808:I1825,$B1841)+COUNTIF(G1808:I1825,$B1841&amp;" ~*")&gt;0)+(COUNTIF(K1808:M1825,$B1841)+COUNTIF(K1808:M1825,$B1841&amp;" ~*")&gt;0)+(COUNTIF(O1808:Q1825,$B1841)+COUNTIF(O1808:Q1825,$B1841&amp;" ~*")&gt;0)+(COUNTIF(S1808:U1825,$B1841)+COUNTIF(S1808:U1825,$B1841&amp;" ~*")&gt;0)+(COUNTIF(W1808:W1825,$B1841)+COUNTIF(W1808:W1825,$B1841&amp;" ~*")&gt;0)+(COUNTIF(Y1808:Y1825,$B1841)+COUNTIF(Y1808:Y1825,$B1841&amp;" ~*")&gt;0))</f>
        <v/>
      </c>
      <c r="AC1841" s="36">
        <f>IF($B1841="","",(IFERROR(INDEX(Setup!$G$33:$G$40,MATCH(C1841,Setup!$B$33:$B$40,0)),0)=1)*(COUNTIF(C1808:E1825,$B1841)+COUNTIF(C1808:E1825,$B1841&amp;" ~*")&gt;0)+(IFERROR(INDEX(Setup!$G$33:$G$40,MATCH(G1841,Setup!$B$33:$B$40,0)),0)=1)*(COUNTIF(G1808:I1825,$B1841)+COUNTIF(G1808:I1825,$B1841&amp;" ~*")&gt;0)+(IFERROR(INDEX(Setup!$G$33:$G$40,MATCH(K1841,Setup!$B$33:$B$40,0)),0)=1)*(COUNTIF(K1808:M1825,$B1841)+COUNTIF(K1808:M1825,$B1841&amp;" ~*")&gt;0)+(IFERROR(INDEX(Setup!$G$33:$G$40,MATCH(O1841,Setup!$B$33:$B$40,0)),0)=1)*(COUNTIF(O1808:Q1825,$B1841)+COUNTIF(O1808:Q1825,$B1841&amp;" ~*")&gt;0)+(IFERROR(INDEX(Setup!$G$33:$G$40,MATCH(S1841,Setup!$B$33:$B$40,0)),0)=1)*(COUNTIF(S1808:U1825,$B1841)+COUNTIF(S1808:U1825,$B1841&amp;" ~*")&gt;0)+(IFERROR(INDEX(Setup!$G$33:$G$40,MATCH(W1841,Setup!$B$33:$B$40,0)),0)=1)*(COUNTIF(W1808:W1825,$B1841)+COUNTIF(W1808:W1825,$B1841&amp;" ~*")&gt;0)+(IFERROR(INDEX(Setup!$G$33:$G$40,MATCH(Y1841,Setup!$B$33:$B$40,0)),0)=1)*(COUNTIF(Y1808:Y1825,$B1841)+COUNTIF(Y1808:Y1825,$B1841&amp;" ~*")&gt;0))</f>
        <v/>
      </c>
    </row>
    <row r="1842" ht="15" customHeight="1">
      <c r="A1842" t="n">
        <v>37</v>
      </c>
      <c r="B1842" s="37">
        <f>IF(Setup!$B$21="","",Setup!$B$21)</f>
        <v/>
      </c>
      <c r="C1842" s="102" t="n"/>
      <c r="D1842" s="103" t="n"/>
      <c r="E1842" s="103" t="n"/>
      <c r="F1842" s="104" t="n"/>
      <c r="G1842" s="102" t="n"/>
      <c r="H1842" s="103" t="n"/>
      <c r="I1842" s="103" t="n"/>
      <c r="J1842" s="104" t="n"/>
      <c r="K1842" s="102" t="n"/>
      <c r="L1842" s="103" t="n"/>
      <c r="M1842" s="103" t="n"/>
      <c r="N1842" s="104" t="n"/>
      <c r="O1842" s="102" t="n"/>
      <c r="P1842" s="103" t="n"/>
      <c r="Q1842" s="103" t="n"/>
      <c r="R1842" s="104" t="n"/>
      <c r="S1842" s="102" t="n"/>
      <c r="T1842" s="103" t="n"/>
      <c r="U1842" s="103" t="n"/>
      <c r="V1842" s="104" t="n"/>
      <c r="W1842" s="102" t="n"/>
      <c r="X1842" s="104" t="n"/>
      <c r="Y1842" s="102" t="n"/>
      <c r="Z1842" s="104" t="n"/>
      <c r="AB1842" s="105">
        <f>IF($B1842="","",(COUNTIF(C1808:E1825,$B1842)+COUNTIF(C1808:E1825,$B1842&amp;" ~*")&gt;0)+(COUNTIF(G1808:I1825,$B1842)+COUNTIF(G1808:I1825,$B1842&amp;" ~*")&gt;0)+(COUNTIF(K1808:M1825,$B1842)+COUNTIF(K1808:M1825,$B1842&amp;" ~*")&gt;0)+(COUNTIF(O1808:Q1825,$B1842)+COUNTIF(O1808:Q1825,$B1842&amp;" ~*")&gt;0)+(COUNTIF(S1808:U1825,$B1842)+COUNTIF(S1808:U1825,$B1842&amp;" ~*")&gt;0)+(COUNTIF(W1808:W1825,$B1842)+COUNTIF(W1808:W1825,$B1842&amp;" ~*")&gt;0)+(COUNTIF(Y1808:Y1825,$B1842)+COUNTIF(Y1808:Y1825,$B1842&amp;" ~*")&gt;0))</f>
        <v/>
      </c>
      <c r="AC1842" s="38">
        <f>IF($B1842="","",(IFERROR(INDEX(Setup!$G$33:$G$40,MATCH(C1842,Setup!$B$33:$B$40,0)),0)=1)*(COUNTIF(C1808:E1825,$B1842)+COUNTIF(C1808:E1825,$B1842&amp;" ~*")&gt;0)+(IFERROR(INDEX(Setup!$G$33:$G$40,MATCH(G1842,Setup!$B$33:$B$40,0)),0)=1)*(COUNTIF(G1808:I1825,$B1842)+COUNTIF(G1808:I1825,$B1842&amp;" ~*")&gt;0)+(IFERROR(INDEX(Setup!$G$33:$G$40,MATCH(K1842,Setup!$B$33:$B$40,0)),0)=1)*(COUNTIF(K1808:M1825,$B1842)+COUNTIF(K1808:M1825,$B1842&amp;" ~*")&gt;0)+(IFERROR(INDEX(Setup!$G$33:$G$40,MATCH(O1842,Setup!$B$33:$B$40,0)),0)=1)*(COUNTIF(O1808:Q1825,$B1842)+COUNTIF(O1808:Q1825,$B1842&amp;" ~*")&gt;0)+(IFERROR(INDEX(Setup!$G$33:$G$40,MATCH(S1842,Setup!$B$33:$B$40,0)),0)=1)*(COUNTIF(S1808:U1825,$B1842)+COUNTIF(S1808:U1825,$B1842&amp;" ~*")&gt;0)+(IFERROR(INDEX(Setup!$G$33:$G$40,MATCH(W1842,Setup!$B$33:$B$40,0)),0)=1)*(COUNTIF(W1808:W1825,$B1842)+COUNTIF(W1808:W1825,$B1842&amp;" ~*")&gt;0)+(IFERROR(INDEX(Setup!$G$33:$G$40,MATCH(Y1842,Setup!$B$33:$B$40,0)),0)=1)*(COUNTIF(Y1808:Y1825,$B1842)+COUNTIF(Y1808:Y1825,$B1842&amp;" ~*")&gt;0))</f>
        <v/>
      </c>
    </row>
    <row r="1843" ht="15" customHeight="1">
      <c r="A1843" t="n">
        <v>37</v>
      </c>
      <c r="B1843" s="35">
        <f>IF(Setup!$B$22="","",Setup!$B$22)</f>
        <v/>
      </c>
      <c r="C1843" s="98" t="n"/>
      <c r="D1843" s="99" t="n"/>
      <c r="E1843" s="99" t="n"/>
      <c r="F1843" s="100" t="n"/>
      <c r="G1843" s="98" t="n"/>
      <c r="H1843" s="99" t="n"/>
      <c r="I1843" s="99" t="n"/>
      <c r="J1843" s="100" t="n"/>
      <c r="K1843" s="98" t="n"/>
      <c r="L1843" s="99" t="n"/>
      <c r="M1843" s="99" t="n"/>
      <c r="N1843" s="100" t="n"/>
      <c r="O1843" s="98" t="n"/>
      <c r="P1843" s="99" t="n"/>
      <c r="Q1843" s="99" t="n"/>
      <c r="R1843" s="100" t="n"/>
      <c r="S1843" s="98" t="n"/>
      <c r="T1843" s="99" t="n"/>
      <c r="U1843" s="99" t="n"/>
      <c r="V1843" s="100" t="n"/>
      <c r="W1843" s="98" t="n"/>
      <c r="X1843" s="100" t="n"/>
      <c r="Y1843" s="98" t="n"/>
      <c r="Z1843" s="100" t="n"/>
      <c r="AB1843" s="101">
        <f>IF($B1843="","",(COUNTIF(C1808:E1825,$B1843)+COUNTIF(C1808:E1825,$B1843&amp;" ~*")&gt;0)+(COUNTIF(G1808:I1825,$B1843)+COUNTIF(G1808:I1825,$B1843&amp;" ~*")&gt;0)+(COUNTIF(K1808:M1825,$B1843)+COUNTIF(K1808:M1825,$B1843&amp;" ~*")&gt;0)+(COUNTIF(O1808:Q1825,$B1843)+COUNTIF(O1808:Q1825,$B1843&amp;" ~*")&gt;0)+(COUNTIF(S1808:U1825,$B1843)+COUNTIF(S1808:U1825,$B1843&amp;" ~*")&gt;0)+(COUNTIF(W1808:W1825,$B1843)+COUNTIF(W1808:W1825,$B1843&amp;" ~*")&gt;0)+(COUNTIF(Y1808:Y1825,$B1843)+COUNTIF(Y1808:Y1825,$B1843&amp;" ~*")&gt;0))</f>
        <v/>
      </c>
      <c r="AC1843" s="36">
        <f>IF($B1843="","",(IFERROR(INDEX(Setup!$G$33:$G$40,MATCH(C1843,Setup!$B$33:$B$40,0)),0)=1)*(COUNTIF(C1808:E1825,$B1843)+COUNTIF(C1808:E1825,$B1843&amp;" ~*")&gt;0)+(IFERROR(INDEX(Setup!$G$33:$G$40,MATCH(G1843,Setup!$B$33:$B$40,0)),0)=1)*(COUNTIF(G1808:I1825,$B1843)+COUNTIF(G1808:I1825,$B1843&amp;" ~*")&gt;0)+(IFERROR(INDEX(Setup!$G$33:$G$40,MATCH(K1843,Setup!$B$33:$B$40,0)),0)=1)*(COUNTIF(K1808:M1825,$B1843)+COUNTIF(K1808:M1825,$B1843&amp;" ~*")&gt;0)+(IFERROR(INDEX(Setup!$G$33:$G$40,MATCH(O1843,Setup!$B$33:$B$40,0)),0)=1)*(COUNTIF(O1808:Q1825,$B1843)+COUNTIF(O1808:Q1825,$B1843&amp;" ~*")&gt;0)+(IFERROR(INDEX(Setup!$G$33:$G$40,MATCH(S1843,Setup!$B$33:$B$40,0)),0)=1)*(COUNTIF(S1808:U1825,$B1843)+COUNTIF(S1808:U1825,$B1843&amp;" ~*")&gt;0)+(IFERROR(INDEX(Setup!$G$33:$G$40,MATCH(W1843,Setup!$B$33:$B$40,0)),0)=1)*(COUNTIF(W1808:W1825,$B1843)+COUNTIF(W1808:W1825,$B1843&amp;" ~*")&gt;0)+(IFERROR(INDEX(Setup!$G$33:$G$40,MATCH(Y1843,Setup!$B$33:$B$40,0)),0)=1)*(COUNTIF(Y1808:Y1825,$B1843)+COUNTIF(Y1808:Y1825,$B1843&amp;" ~*")&gt;0))</f>
        <v/>
      </c>
    </row>
    <row r="1844" ht="15" customHeight="1">
      <c r="A1844" t="n">
        <v>37</v>
      </c>
      <c r="B1844" s="37">
        <f>IF(Setup!$B$23="","",Setup!$B$23)</f>
        <v/>
      </c>
      <c r="C1844" s="102" t="n"/>
      <c r="D1844" s="103" t="n"/>
      <c r="E1844" s="103" t="n"/>
      <c r="F1844" s="104" t="n"/>
      <c r="G1844" s="102" t="n"/>
      <c r="H1844" s="103" t="n"/>
      <c r="I1844" s="103" t="n"/>
      <c r="J1844" s="104" t="n"/>
      <c r="K1844" s="102" t="n"/>
      <c r="L1844" s="103" t="n"/>
      <c r="M1844" s="103" t="n"/>
      <c r="N1844" s="104" t="n"/>
      <c r="O1844" s="102" t="n"/>
      <c r="P1844" s="103" t="n"/>
      <c r="Q1844" s="103" t="n"/>
      <c r="R1844" s="104" t="n"/>
      <c r="S1844" s="102" t="n"/>
      <c r="T1844" s="103" t="n"/>
      <c r="U1844" s="103" t="n"/>
      <c r="V1844" s="104" t="n"/>
      <c r="W1844" s="102" t="n"/>
      <c r="X1844" s="104" t="n"/>
      <c r="Y1844" s="102" t="n"/>
      <c r="Z1844" s="104" t="n"/>
      <c r="AB1844" s="105">
        <f>IF($B1844="","",(COUNTIF(C1808:E1825,$B1844)+COUNTIF(C1808:E1825,$B1844&amp;" ~*")&gt;0)+(COUNTIF(G1808:I1825,$B1844)+COUNTIF(G1808:I1825,$B1844&amp;" ~*")&gt;0)+(COUNTIF(K1808:M1825,$B1844)+COUNTIF(K1808:M1825,$B1844&amp;" ~*")&gt;0)+(COUNTIF(O1808:Q1825,$B1844)+COUNTIF(O1808:Q1825,$B1844&amp;" ~*")&gt;0)+(COUNTIF(S1808:U1825,$B1844)+COUNTIF(S1808:U1825,$B1844&amp;" ~*")&gt;0)+(COUNTIF(W1808:W1825,$B1844)+COUNTIF(W1808:W1825,$B1844&amp;" ~*")&gt;0)+(COUNTIF(Y1808:Y1825,$B1844)+COUNTIF(Y1808:Y1825,$B1844&amp;" ~*")&gt;0))</f>
        <v/>
      </c>
      <c r="AC1844" s="38">
        <f>IF($B1844="","",(IFERROR(INDEX(Setup!$G$33:$G$40,MATCH(C1844,Setup!$B$33:$B$40,0)),0)=1)*(COUNTIF(C1808:E1825,$B1844)+COUNTIF(C1808:E1825,$B1844&amp;" ~*")&gt;0)+(IFERROR(INDEX(Setup!$G$33:$G$40,MATCH(G1844,Setup!$B$33:$B$40,0)),0)=1)*(COUNTIF(G1808:I1825,$B1844)+COUNTIF(G1808:I1825,$B1844&amp;" ~*")&gt;0)+(IFERROR(INDEX(Setup!$G$33:$G$40,MATCH(K1844,Setup!$B$33:$B$40,0)),0)=1)*(COUNTIF(K1808:M1825,$B1844)+COUNTIF(K1808:M1825,$B1844&amp;" ~*")&gt;0)+(IFERROR(INDEX(Setup!$G$33:$G$40,MATCH(O1844,Setup!$B$33:$B$40,0)),0)=1)*(COUNTIF(O1808:Q1825,$B1844)+COUNTIF(O1808:Q1825,$B1844&amp;" ~*")&gt;0)+(IFERROR(INDEX(Setup!$G$33:$G$40,MATCH(S1844,Setup!$B$33:$B$40,0)),0)=1)*(COUNTIF(S1808:U1825,$B1844)+COUNTIF(S1808:U1825,$B1844&amp;" ~*")&gt;0)+(IFERROR(INDEX(Setup!$G$33:$G$40,MATCH(W1844,Setup!$B$33:$B$40,0)),0)=1)*(COUNTIF(W1808:W1825,$B1844)+COUNTIF(W1808:W1825,$B1844&amp;" ~*")&gt;0)+(IFERROR(INDEX(Setup!$G$33:$G$40,MATCH(Y1844,Setup!$B$33:$B$40,0)),0)=1)*(COUNTIF(Y1808:Y1825,$B1844)+COUNTIF(Y1808:Y1825,$B1844&amp;" ~*")&gt;0))</f>
        <v/>
      </c>
    </row>
    <row r="1845" ht="15" customHeight="1">
      <c r="A1845" t="n">
        <v>37</v>
      </c>
      <c r="B1845" s="35">
        <f>IF(Setup!$B$24="","",Setup!$B$24)</f>
        <v/>
      </c>
      <c r="C1845" s="98" t="n"/>
      <c r="D1845" s="99" t="n"/>
      <c r="E1845" s="99" t="n"/>
      <c r="F1845" s="100" t="n"/>
      <c r="G1845" s="98" t="n"/>
      <c r="H1845" s="99" t="n"/>
      <c r="I1845" s="99" t="n"/>
      <c r="J1845" s="100" t="n"/>
      <c r="K1845" s="98" t="n"/>
      <c r="L1845" s="99" t="n"/>
      <c r="M1845" s="99" t="n"/>
      <c r="N1845" s="100" t="n"/>
      <c r="O1845" s="98" t="n"/>
      <c r="P1845" s="99" t="n"/>
      <c r="Q1845" s="99" t="n"/>
      <c r="R1845" s="100" t="n"/>
      <c r="S1845" s="98" t="n"/>
      <c r="T1845" s="99" t="n"/>
      <c r="U1845" s="99" t="n"/>
      <c r="V1845" s="100" t="n"/>
      <c r="W1845" s="98" t="n"/>
      <c r="X1845" s="100" t="n"/>
      <c r="Y1845" s="98" t="n"/>
      <c r="Z1845" s="100" t="n"/>
      <c r="AB1845" s="101">
        <f>IF($B1845="","",(COUNTIF(C1808:E1825,$B1845)+COUNTIF(C1808:E1825,$B1845&amp;" ~*")&gt;0)+(COUNTIF(G1808:I1825,$B1845)+COUNTIF(G1808:I1825,$B1845&amp;" ~*")&gt;0)+(COUNTIF(K1808:M1825,$B1845)+COUNTIF(K1808:M1825,$B1845&amp;" ~*")&gt;0)+(COUNTIF(O1808:Q1825,$B1845)+COUNTIF(O1808:Q1825,$B1845&amp;" ~*")&gt;0)+(COUNTIF(S1808:U1825,$B1845)+COUNTIF(S1808:U1825,$B1845&amp;" ~*")&gt;0)+(COUNTIF(W1808:W1825,$B1845)+COUNTIF(W1808:W1825,$B1845&amp;" ~*")&gt;0)+(COUNTIF(Y1808:Y1825,$B1845)+COUNTIF(Y1808:Y1825,$B1845&amp;" ~*")&gt;0))</f>
        <v/>
      </c>
      <c r="AC1845" s="36">
        <f>IF($B1845="","",(IFERROR(INDEX(Setup!$G$33:$G$40,MATCH(C1845,Setup!$B$33:$B$40,0)),0)=1)*(COUNTIF(C1808:E1825,$B1845)+COUNTIF(C1808:E1825,$B1845&amp;" ~*")&gt;0)+(IFERROR(INDEX(Setup!$G$33:$G$40,MATCH(G1845,Setup!$B$33:$B$40,0)),0)=1)*(COUNTIF(G1808:I1825,$B1845)+COUNTIF(G1808:I1825,$B1845&amp;" ~*")&gt;0)+(IFERROR(INDEX(Setup!$G$33:$G$40,MATCH(K1845,Setup!$B$33:$B$40,0)),0)=1)*(COUNTIF(K1808:M1825,$B1845)+COUNTIF(K1808:M1825,$B1845&amp;" ~*")&gt;0)+(IFERROR(INDEX(Setup!$G$33:$G$40,MATCH(O1845,Setup!$B$33:$B$40,0)),0)=1)*(COUNTIF(O1808:Q1825,$B1845)+COUNTIF(O1808:Q1825,$B1845&amp;" ~*")&gt;0)+(IFERROR(INDEX(Setup!$G$33:$G$40,MATCH(S1845,Setup!$B$33:$B$40,0)),0)=1)*(COUNTIF(S1808:U1825,$B1845)+COUNTIF(S1808:U1825,$B1845&amp;" ~*")&gt;0)+(IFERROR(INDEX(Setup!$G$33:$G$40,MATCH(W1845,Setup!$B$33:$B$40,0)),0)=1)*(COUNTIF(W1808:W1825,$B1845)+COUNTIF(W1808:W1825,$B1845&amp;" ~*")&gt;0)+(IFERROR(INDEX(Setup!$G$33:$G$40,MATCH(Y1845,Setup!$B$33:$B$40,0)),0)=1)*(COUNTIF(Y1808:Y1825,$B1845)+COUNTIF(Y1808:Y1825,$B1845&amp;" ~*")&gt;0))</f>
        <v/>
      </c>
    </row>
    <row r="1846" ht="15" customHeight="1">
      <c r="A1846" t="n">
        <v>37</v>
      </c>
      <c r="B1846" s="37">
        <f>IF(Setup!$B$25="","",Setup!$B$25)</f>
        <v/>
      </c>
      <c r="C1846" s="102" t="n"/>
      <c r="D1846" s="103" t="n"/>
      <c r="E1846" s="103" t="n"/>
      <c r="F1846" s="104" t="n"/>
      <c r="G1846" s="102" t="n"/>
      <c r="H1846" s="103" t="n"/>
      <c r="I1846" s="103" t="n"/>
      <c r="J1846" s="104" t="n"/>
      <c r="K1846" s="102" t="n"/>
      <c r="L1846" s="103" t="n"/>
      <c r="M1846" s="103" t="n"/>
      <c r="N1846" s="104" t="n"/>
      <c r="O1846" s="102" t="n"/>
      <c r="P1846" s="103" t="n"/>
      <c r="Q1846" s="103" t="n"/>
      <c r="R1846" s="104" t="n"/>
      <c r="S1846" s="102" t="n"/>
      <c r="T1846" s="103" t="n"/>
      <c r="U1846" s="103" t="n"/>
      <c r="V1846" s="104" t="n"/>
      <c r="W1846" s="102" t="n"/>
      <c r="X1846" s="104" t="n"/>
      <c r="Y1846" s="102" t="n"/>
      <c r="Z1846" s="104" t="n"/>
      <c r="AB1846" s="105">
        <f>IF($B1846="","",(COUNTIF(C1808:E1825,$B1846)+COUNTIF(C1808:E1825,$B1846&amp;" ~*")&gt;0)+(COUNTIF(G1808:I1825,$B1846)+COUNTIF(G1808:I1825,$B1846&amp;" ~*")&gt;0)+(COUNTIF(K1808:M1825,$B1846)+COUNTIF(K1808:M1825,$B1846&amp;" ~*")&gt;0)+(COUNTIF(O1808:Q1825,$B1846)+COUNTIF(O1808:Q1825,$B1846&amp;" ~*")&gt;0)+(COUNTIF(S1808:U1825,$B1846)+COUNTIF(S1808:U1825,$B1846&amp;" ~*")&gt;0)+(COUNTIF(W1808:W1825,$B1846)+COUNTIF(W1808:W1825,$B1846&amp;" ~*")&gt;0)+(COUNTIF(Y1808:Y1825,$B1846)+COUNTIF(Y1808:Y1825,$B1846&amp;" ~*")&gt;0))</f>
        <v/>
      </c>
      <c r="AC1846" s="38">
        <f>IF($B1846="","",(IFERROR(INDEX(Setup!$G$33:$G$40,MATCH(C1846,Setup!$B$33:$B$40,0)),0)=1)*(COUNTIF(C1808:E1825,$B1846)+COUNTIF(C1808:E1825,$B1846&amp;" ~*")&gt;0)+(IFERROR(INDEX(Setup!$G$33:$G$40,MATCH(G1846,Setup!$B$33:$B$40,0)),0)=1)*(COUNTIF(G1808:I1825,$B1846)+COUNTIF(G1808:I1825,$B1846&amp;" ~*")&gt;0)+(IFERROR(INDEX(Setup!$G$33:$G$40,MATCH(K1846,Setup!$B$33:$B$40,0)),0)=1)*(COUNTIF(K1808:M1825,$B1846)+COUNTIF(K1808:M1825,$B1846&amp;" ~*")&gt;0)+(IFERROR(INDEX(Setup!$G$33:$G$40,MATCH(O1846,Setup!$B$33:$B$40,0)),0)=1)*(COUNTIF(O1808:Q1825,$B1846)+COUNTIF(O1808:Q1825,$B1846&amp;" ~*")&gt;0)+(IFERROR(INDEX(Setup!$G$33:$G$40,MATCH(S1846,Setup!$B$33:$B$40,0)),0)=1)*(COUNTIF(S1808:U1825,$B1846)+COUNTIF(S1808:U1825,$B1846&amp;" ~*")&gt;0)+(IFERROR(INDEX(Setup!$G$33:$G$40,MATCH(W1846,Setup!$B$33:$B$40,0)),0)=1)*(COUNTIF(W1808:W1825,$B1846)+COUNTIF(W1808:W1825,$B1846&amp;" ~*")&gt;0)+(IFERROR(INDEX(Setup!$G$33:$G$40,MATCH(Y1846,Setup!$B$33:$B$40,0)),0)=1)*(COUNTIF(Y1808:Y1825,$B1846)+COUNTIF(Y1808:Y1825,$B1846&amp;" ~*")&gt;0))</f>
        <v/>
      </c>
    </row>
    <row r="1847" ht="15" customHeight="1">
      <c r="A1847" t="n">
        <v>37</v>
      </c>
      <c r="B1847" s="35">
        <f>IF(Setup!$B$26="","",Setup!$B$26)</f>
        <v/>
      </c>
      <c r="C1847" s="98" t="n"/>
      <c r="D1847" s="99" t="n"/>
      <c r="E1847" s="99" t="n"/>
      <c r="F1847" s="100" t="n"/>
      <c r="G1847" s="98" t="n"/>
      <c r="H1847" s="99" t="n"/>
      <c r="I1847" s="99" t="n"/>
      <c r="J1847" s="100" t="n"/>
      <c r="K1847" s="98" t="n"/>
      <c r="L1847" s="99" t="n"/>
      <c r="M1847" s="99" t="n"/>
      <c r="N1847" s="100" t="n"/>
      <c r="O1847" s="98" t="n"/>
      <c r="P1847" s="99" t="n"/>
      <c r="Q1847" s="99" t="n"/>
      <c r="R1847" s="100" t="n"/>
      <c r="S1847" s="98" t="n"/>
      <c r="T1847" s="99" t="n"/>
      <c r="U1847" s="99" t="n"/>
      <c r="V1847" s="100" t="n"/>
      <c r="W1847" s="98" t="n"/>
      <c r="X1847" s="100" t="n"/>
      <c r="Y1847" s="98" t="n"/>
      <c r="Z1847" s="100" t="n"/>
      <c r="AB1847" s="101">
        <f>IF($B1847="","",(COUNTIF(C1808:E1825,$B1847)+COUNTIF(C1808:E1825,$B1847&amp;" ~*")&gt;0)+(COUNTIF(G1808:I1825,$B1847)+COUNTIF(G1808:I1825,$B1847&amp;" ~*")&gt;0)+(COUNTIF(K1808:M1825,$B1847)+COUNTIF(K1808:M1825,$B1847&amp;" ~*")&gt;0)+(COUNTIF(O1808:Q1825,$B1847)+COUNTIF(O1808:Q1825,$B1847&amp;" ~*")&gt;0)+(COUNTIF(S1808:U1825,$B1847)+COUNTIF(S1808:U1825,$B1847&amp;" ~*")&gt;0)+(COUNTIF(W1808:W1825,$B1847)+COUNTIF(W1808:W1825,$B1847&amp;" ~*")&gt;0)+(COUNTIF(Y1808:Y1825,$B1847)+COUNTIF(Y1808:Y1825,$B1847&amp;" ~*")&gt;0))</f>
        <v/>
      </c>
      <c r="AC1847" s="36">
        <f>IF($B1847="","",(IFERROR(INDEX(Setup!$G$33:$G$40,MATCH(C1847,Setup!$B$33:$B$40,0)),0)=1)*(COUNTIF(C1808:E1825,$B1847)+COUNTIF(C1808:E1825,$B1847&amp;" ~*")&gt;0)+(IFERROR(INDEX(Setup!$G$33:$G$40,MATCH(G1847,Setup!$B$33:$B$40,0)),0)=1)*(COUNTIF(G1808:I1825,$B1847)+COUNTIF(G1808:I1825,$B1847&amp;" ~*")&gt;0)+(IFERROR(INDEX(Setup!$G$33:$G$40,MATCH(K1847,Setup!$B$33:$B$40,0)),0)=1)*(COUNTIF(K1808:M1825,$B1847)+COUNTIF(K1808:M1825,$B1847&amp;" ~*")&gt;0)+(IFERROR(INDEX(Setup!$G$33:$G$40,MATCH(O1847,Setup!$B$33:$B$40,0)),0)=1)*(COUNTIF(O1808:Q1825,$B1847)+COUNTIF(O1808:Q1825,$B1847&amp;" ~*")&gt;0)+(IFERROR(INDEX(Setup!$G$33:$G$40,MATCH(S1847,Setup!$B$33:$B$40,0)),0)=1)*(COUNTIF(S1808:U1825,$B1847)+COUNTIF(S1808:U1825,$B1847&amp;" ~*")&gt;0)+(IFERROR(INDEX(Setup!$G$33:$G$40,MATCH(W1847,Setup!$B$33:$B$40,0)),0)=1)*(COUNTIF(W1808:W1825,$B1847)+COUNTIF(W1808:W1825,$B1847&amp;" ~*")&gt;0)+(IFERROR(INDEX(Setup!$G$33:$G$40,MATCH(Y1847,Setup!$B$33:$B$40,0)),0)=1)*(COUNTIF(Y1808:Y1825,$B1847)+COUNTIF(Y1808:Y1825,$B1847&amp;" ~*")&gt;0))</f>
        <v/>
      </c>
    </row>
    <row r="1848" ht="15" customHeight="1">
      <c r="A1848" t="n">
        <v>37</v>
      </c>
      <c r="B1848" s="37">
        <f>IF(Setup!$B$27="","",Setup!$B$27)</f>
        <v/>
      </c>
      <c r="C1848" s="102" t="n"/>
      <c r="D1848" s="103" t="n"/>
      <c r="E1848" s="103" t="n"/>
      <c r="F1848" s="104" t="n"/>
      <c r="G1848" s="102" t="n"/>
      <c r="H1848" s="103" t="n"/>
      <c r="I1848" s="103" t="n"/>
      <c r="J1848" s="104" t="n"/>
      <c r="K1848" s="102" t="n"/>
      <c r="L1848" s="103" t="n"/>
      <c r="M1848" s="103" t="n"/>
      <c r="N1848" s="104" t="n"/>
      <c r="O1848" s="102" t="n"/>
      <c r="P1848" s="103" t="n"/>
      <c r="Q1848" s="103" t="n"/>
      <c r="R1848" s="104" t="n"/>
      <c r="S1848" s="102" t="n"/>
      <c r="T1848" s="103" t="n"/>
      <c r="U1848" s="103" t="n"/>
      <c r="V1848" s="104" t="n"/>
      <c r="W1848" s="102" t="n"/>
      <c r="X1848" s="104" t="n"/>
      <c r="Y1848" s="102" t="n"/>
      <c r="Z1848" s="104" t="n"/>
      <c r="AB1848" s="105">
        <f>IF($B1848="","",(COUNTIF(C1808:E1825,$B1848)+COUNTIF(C1808:E1825,$B1848&amp;" ~*")&gt;0)+(COUNTIF(G1808:I1825,$B1848)+COUNTIF(G1808:I1825,$B1848&amp;" ~*")&gt;0)+(COUNTIF(K1808:M1825,$B1848)+COUNTIF(K1808:M1825,$B1848&amp;" ~*")&gt;0)+(COUNTIF(O1808:Q1825,$B1848)+COUNTIF(O1808:Q1825,$B1848&amp;" ~*")&gt;0)+(COUNTIF(S1808:U1825,$B1848)+COUNTIF(S1808:U1825,$B1848&amp;" ~*")&gt;0)+(COUNTIF(W1808:W1825,$B1848)+COUNTIF(W1808:W1825,$B1848&amp;" ~*")&gt;0)+(COUNTIF(Y1808:Y1825,$B1848)+COUNTIF(Y1808:Y1825,$B1848&amp;" ~*")&gt;0))</f>
        <v/>
      </c>
      <c r="AC1848" s="38">
        <f>IF($B1848="","",(IFERROR(INDEX(Setup!$G$33:$G$40,MATCH(C1848,Setup!$B$33:$B$40,0)),0)=1)*(COUNTIF(C1808:E1825,$B1848)+COUNTIF(C1808:E1825,$B1848&amp;" ~*")&gt;0)+(IFERROR(INDEX(Setup!$G$33:$G$40,MATCH(G1848,Setup!$B$33:$B$40,0)),0)=1)*(COUNTIF(G1808:I1825,$B1848)+COUNTIF(G1808:I1825,$B1848&amp;" ~*")&gt;0)+(IFERROR(INDEX(Setup!$G$33:$G$40,MATCH(K1848,Setup!$B$33:$B$40,0)),0)=1)*(COUNTIF(K1808:M1825,$B1848)+COUNTIF(K1808:M1825,$B1848&amp;" ~*")&gt;0)+(IFERROR(INDEX(Setup!$G$33:$G$40,MATCH(O1848,Setup!$B$33:$B$40,0)),0)=1)*(COUNTIF(O1808:Q1825,$B1848)+COUNTIF(O1808:Q1825,$B1848&amp;" ~*")&gt;0)+(IFERROR(INDEX(Setup!$G$33:$G$40,MATCH(S1848,Setup!$B$33:$B$40,0)),0)=1)*(COUNTIF(S1808:U1825,$B1848)+COUNTIF(S1808:U1825,$B1848&amp;" ~*")&gt;0)+(IFERROR(INDEX(Setup!$G$33:$G$40,MATCH(W1848,Setup!$B$33:$B$40,0)),0)=1)*(COUNTIF(W1808:W1825,$B1848)+COUNTIF(W1808:W1825,$B1848&amp;" ~*")&gt;0)+(IFERROR(INDEX(Setup!$G$33:$G$40,MATCH(Y1848,Setup!$B$33:$B$40,0)),0)=1)*(COUNTIF(Y1808:Y1825,$B1848)+COUNTIF(Y1808:Y1825,$B1848&amp;" ~*")&gt;0))</f>
        <v/>
      </c>
    </row>
    <row r="1849" ht="15" customHeight="1">
      <c r="A1849" t="n">
        <v>37</v>
      </c>
      <c r="B1849" s="35">
        <f>IF(Setup!$B$28="","",Setup!$B$28)</f>
        <v/>
      </c>
      <c r="C1849" s="98" t="n"/>
      <c r="D1849" s="99" t="n"/>
      <c r="E1849" s="99" t="n"/>
      <c r="F1849" s="100" t="n"/>
      <c r="G1849" s="98" t="n"/>
      <c r="H1849" s="99" t="n"/>
      <c r="I1849" s="99" t="n"/>
      <c r="J1849" s="100" t="n"/>
      <c r="K1849" s="98" t="n"/>
      <c r="L1849" s="99" t="n"/>
      <c r="M1849" s="99" t="n"/>
      <c r="N1849" s="100" t="n"/>
      <c r="O1849" s="98" t="n"/>
      <c r="P1849" s="99" t="n"/>
      <c r="Q1849" s="99" t="n"/>
      <c r="R1849" s="100" t="n"/>
      <c r="S1849" s="98" t="n"/>
      <c r="T1849" s="99" t="n"/>
      <c r="U1849" s="99" t="n"/>
      <c r="V1849" s="100" t="n"/>
      <c r="W1849" s="98" t="n"/>
      <c r="X1849" s="100" t="n"/>
      <c r="Y1849" s="98" t="n"/>
      <c r="Z1849" s="100" t="n"/>
      <c r="AB1849" s="101">
        <f>IF($B1849="","",(COUNTIF(C1808:E1825,$B1849)+COUNTIF(C1808:E1825,$B1849&amp;" ~*")&gt;0)+(COUNTIF(G1808:I1825,$B1849)+COUNTIF(G1808:I1825,$B1849&amp;" ~*")&gt;0)+(COUNTIF(K1808:M1825,$B1849)+COUNTIF(K1808:M1825,$B1849&amp;" ~*")&gt;0)+(COUNTIF(O1808:Q1825,$B1849)+COUNTIF(O1808:Q1825,$B1849&amp;" ~*")&gt;0)+(COUNTIF(S1808:U1825,$B1849)+COUNTIF(S1808:U1825,$B1849&amp;" ~*")&gt;0)+(COUNTIF(W1808:W1825,$B1849)+COUNTIF(W1808:W1825,$B1849&amp;" ~*")&gt;0)+(COUNTIF(Y1808:Y1825,$B1849)+COUNTIF(Y1808:Y1825,$B1849&amp;" ~*")&gt;0))</f>
        <v/>
      </c>
      <c r="AC1849" s="36">
        <f>IF($B1849="","",(IFERROR(INDEX(Setup!$G$33:$G$40,MATCH(C1849,Setup!$B$33:$B$40,0)),0)=1)*(COUNTIF(C1808:E1825,$B1849)+COUNTIF(C1808:E1825,$B1849&amp;" ~*")&gt;0)+(IFERROR(INDEX(Setup!$G$33:$G$40,MATCH(G1849,Setup!$B$33:$B$40,0)),0)=1)*(COUNTIF(G1808:I1825,$B1849)+COUNTIF(G1808:I1825,$B1849&amp;" ~*")&gt;0)+(IFERROR(INDEX(Setup!$G$33:$G$40,MATCH(K1849,Setup!$B$33:$B$40,0)),0)=1)*(COUNTIF(K1808:M1825,$B1849)+COUNTIF(K1808:M1825,$B1849&amp;" ~*")&gt;0)+(IFERROR(INDEX(Setup!$G$33:$G$40,MATCH(O1849,Setup!$B$33:$B$40,0)),0)=1)*(COUNTIF(O1808:Q1825,$B1849)+COUNTIF(O1808:Q1825,$B1849&amp;" ~*")&gt;0)+(IFERROR(INDEX(Setup!$G$33:$G$40,MATCH(S1849,Setup!$B$33:$B$40,0)),0)=1)*(COUNTIF(S1808:U1825,$B1849)+COUNTIF(S1808:U1825,$B1849&amp;" ~*")&gt;0)+(IFERROR(INDEX(Setup!$G$33:$G$40,MATCH(W1849,Setup!$B$33:$B$40,0)),0)=1)*(COUNTIF(W1808:W1825,$B1849)+COUNTIF(W1808:W1825,$B1849&amp;" ~*")&gt;0)+(IFERROR(INDEX(Setup!$G$33:$G$40,MATCH(Y1849,Setup!$B$33:$B$40,0)),0)=1)*(COUNTIF(Y1808:Y1825,$B1849)+COUNTIF(Y1808:Y1825,$B1849&amp;" ~*")&gt;0))</f>
        <v/>
      </c>
    </row>
    <row r="1850" ht="15" customHeight="1">
      <c r="A1850" t="n">
        <v>37</v>
      </c>
      <c r="B1850" s="37">
        <f>IF(Setup!$B$29="","",Setup!$B$29)</f>
        <v/>
      </c>
      <c r="C1850" s="102" t="n"/>
      <c r="D1850" s="103" t="n"/>
      <c r="E1850" s="103" t="n"/>
      <c r="F1850" s="104" t="n"/>
      <c r="G1850" s="102" t="n"/>
      <c r="H1850" s="103" t="n"/>
      <c r="I1850" s="103" t="n"/>
      <c r="J1850" s="104" t="n"/>
      <c r="K1850" s="102" t="n"/>
      <c r="L1850" s="103" t="n"/>
      <c r="M1850" s="103" t="n"/>
      <c r="N1850" s="104" t="n"/>
      <c r="O1850" s="102" t="n"/>
      <c r="P1850" s="103" t="n"/>
      <c r="Q1850" s="103" t="n"/>
      <c r="R1850" s="104" t="n"/>
      <c r="S1850" s="102" t="n"/>
      <c r="T1850" s="103" t="n"/>
      <c r="U1850" s="103" t="n"/>
      <c r="V1850" s="104" t="n"/>
      <c r="W1850" s="102" t="n"/>
      <c r="X1850" s="104" t="n"/>
      <c r="Y1850" s="102" t="n"/>
      <c r="Z1850" s="104" t="n"/>
      <c r="AB1850" s="105">
        <f>IF($B1850="","",(COUNTIF(C1808:E1825,$B1850)+COUNTIF(C1808:E1825,$B1850&amp;" ~*")&gt;0)+(COUNTIF(G1808:I1825,$B1850)+COUNTIF(G1808:I1825,$B1850&amp;" ~*")&gt;0)+(COUNTIF(K1808:M1825,$B1850)+COUNTIF(K1808:M1825,$B1850&amp;" ~*")&gt;0)+(COUNTIF(O1808:Q1825,$B1850)+COUNTIF(O1808:Q1825,$B1850&amp;" ~*")&gt;0)+(COUNTIF(S1808:U1825,$B1850)+COUNTIF(S1808:U1825,$B1850&amp;" ~*")&gt;0)+(COUNTIF(W1808:W1825,$B1850)+COUNTIF(W1808:W1825,$B1850&amp;" ~*")&gt;0)+(COUNTIF(Y1808:Y1825,$B1850)+COUNTIF(Y1808:Y1825,$B1850&amp;" ~*")&gt;0))</f>
        <v/>
      </c>
      <c r="AC1850" s="38">
        <f>IF($B1850="","",(IFERROR(INDEX(Setup!$G$33:$G$40,MATCH(C1850,Setup!$B$33:$B$40,0)),0)=1)*(COUNTIF(C1808:E1825,$B1850)+COUNTIF(C1808:E1825,$B1850&amp;" ~*")&gt;0)+(IFERROR(INDEX(Setup!$G$33:$G$40,MATCH(G1850,Setup!$B$33:$B$40,0)),0)=1)*(COUNTIF(G1808:I1825,$B1850)+COUNTIF(G1808:I1825,$B1850&amp;" ~*")&gt;0)+(IFERROR(INDEX(Setup!$G$33:$G$40,MATCH(K1850,Setup!$B$33:$B$40,0)),0)=1)*(COUNTIF(K1808:M1825,$B1850)+COUNTIF(K1808:M1825,$B1850&amp;" ~*")&gt;0)+(IFERROR(INDEX(Setup!$G$33:$G$40,MATCH(O1850,Setup!$B$33:$B$40,0)),0)=1)*(COUNTIF(O1808:Q1825,$B1850)+COUNTIF(O1808:Q1825,$B1850&amp;" ~*")&gt;0)+(IFERROR(INDEX(Setup!$G$33:$G$40,MATCH(S1850,Setup!$B$33:$B$40,0)),0)=1)*(COUNTIF(S1808:U1825,$B1850)+COUNTIF(S1808:U1825,$B1850&amp;" ~*")&gt;0)+(IFERROR(INDEX(Setup!$G$33:$G$40,MATCH(W1850,Setup!$B$33:$B$40,0)),0)=1)*(COUNTIF(W1808:W1825,$B1850)+COUNTIF(W1808:W1825,$B1850&amp;" ~*")&gt;0)+(IFERROR(INDEX(Setup!$G$33:$G$40,MATCH(Y1850,Setup!$B$33:$B$40,0)),0)=1)*(COUNTIF(Y1808:Y1825,$B1850)+COUNTIF(Y1808:Y1825,$B1850&amp;" ~*")&gt;0))</f>
        <v/>
      </c>
    </row>
    <row r="1851" ht="16" customHeight="1">
      <c r="A1851" t="n">
        <v>37</v>
      </c>
      <c r="B1851" s="106" t="inlineStr">
        <is>
          <t>Available people</t>
        </is>
      </c>
      <c r="C1851" s="107">
        <f>COUNTIFS(Setup!$E$6:$E$29,"Y",Setup!$B$6:$B$29,"?*")-SUMPRODUCT(COUNTIF(C1827:C1850,Setup!$F$33:$F$40))</f>
        <v/>
      </c>
      <c r="D1851" s="107" t="n"/>
      <c r="E1851" s="107" t="n"/>
      <c r="F1851" s="107" t="n"/>
      <c r="G1851" s="107">
        <f>COUNTIFS(Setup!$E$6:$E$29,"Y",Setup!$B$6:$B$29,"?*")-SUMPRODUCT(COUNTIF(G1827:G1850,Setup!$F$33:$F$40))</f>
        <v/>
      </c>
      <c r="H1851" s="107" t="n"/>
      <c r="I1851" s="107" t="n"/>
      <c r="J1851" s="107" t="n"/>
      <c r="K1851" s="107">
        <f>COUNTIFS(Setup!$E$6:$E$29,"Y",Setup!$B$6:$B$29,"?*")-SUMPRODUCT(COUNTIF(K1827:K1850,Setup!$F$33:$F$40))</f>
        <v/>
      </c>
      <c r="L1851" s="107" t="n"/>
      <c r="M1851" s="107" t="n"/>
      <c r="N1851" s="107" t="n"/>
      <c r="O1851" s="107">
        <f>COUNTIFS(Setup!$E$6:$E$29,"Y",Setup!$B$6:$B$29,"?*")-SUMPRODUCT(COUNTIF(O1827:O1850,Setup!$F$33:$F$40))</f>
        <v/>
      </c>
      <c r="P1851" s="107" t="n"/>
      <c r="Q1851" s="107" t="n"/>
      <c r="R1851" s="107" t="n"/>
      <c r="S1851" s="107">
        <f>COUNTIFS(Setup!$E$6:$E$29,"Y",Setup!$B$6:$B$29,"?*")-SUMPRODUCT(COUNTIF(S1827:S1850,Setup!$F$33:$F$40))</f>
        <v/>
      </c>
      <c r="T1851" s="107" t="n"/>
      <c r="U1851" s="107" t="n"/>
      <c r="V1851" s="107" t="n"/>
      <c r="W1851" s="107">
        <f>COUNTIFS(Setup!$E$6:$E$29,"Y",Setup!$B$6:$B$29,"?*")-SUMPRODUCT(COUNTIF(W1827:W1850,Setup!$F$33:$F$40))</f>
        <v/>
      </c>
      <c r="X1851" s="107" t="n"/>
      <c r="Y1851" s="107">
        <f>COUNTIFS(Setup!$E$6:$E$29,"Y",Setup!$B$6:$B$29,"?*")-SUMPRODUCT(COUNTIF(Y1827:Y1850,Setup!$F$33:$F$40))</f>
        <v/>
      </c>
      <c r="Z1851" s="107" t="n"/>
      <c r="AB1851" s="108">
        <f>SUM(AB1827:AB1850)</f>
        <v/>
      </c>
      <c r="AC1851" s="109">
        <f>SUM(AC1827:AC1850)</f>
        <v/>
      </c>
    </row>
    <row r="1852" ht="30" customHeight="1">
      <c r="A1852" t="n">
        <v>37</v>
      </c>
      <c r="B1852" s="110" t="inlineStr">
        <is>
          <t>Week notes</t>
        </is>
      </c>
      <c r="C1852" s="111" t="n"/>
      <c r="D1852" s="112" t="n"/>
      <c r="E1852" s="112" t="n"/>
      <c r="F1852" s="112" t="n"/>
      <c r="G1852" s="112" t="n"/>
      <c r="H1852" s="112" t="n"/>
      <c r="I1852" s="112" t="n"/>
      <c r="J1852" s="112" t="n"/>
      <c r="K1852" s="112" t="n"/>
      <c r="L1852" s="112" t="n"/>
      <c r="M1852" s="112" t="n"/>
      <c r="N1852" s="112" t="n"/>
      <c r="O1852" s="112" t="n"/>
      <c r="P1852" s="112" t="n"/>
      <c r="Q1852" s="112" t="n"/>
      <c r="R1852" s="112" t="n"/>
      <c r="S1852" s="112" t="n"/>
      <c r="T1852" s="112" t="n"/>
      <c r="U1852" s="112" t="n"/>
      <c r="V1852" s="112" t="n"/>
      <c r="W1852" s="112" t="n"/>
      <c r="X1852" s="112" t="n"/>
      <c r="Y1852" s="112" t="n"/>
      <c r="Z1852" s="113" t="n"/>
    </row>
    <row r="1853" ht="8" customHeight="1">
      <c r="A1853" t="n">
        <v>37</v>
      </c>
    </row>
    <row r="1854" ht="8" customHeight="1">
      <c r="A1854" t="n">
        <v>37</v>
      </c>
    </row>
    <row r="1855" ht="24" customHeight="1">
      <c r="A1855" t="n">
        <v>38</v>
      </c>
      <c r="B1855" s="73">
        <f>"WEEK 38     "&amp;TEXT(C1856,"ddd d mmm")&amp;"  –  "&amp;TEXT(C1856+6,"ddd d mmm yyyy")</f>
        <v/>
      </c>
      <c r="S1855" s="74">
        <f>IF(TODAY()&lt;C1856,"FUTURE",IF(TODAY()&gt;C1856+6,"PAST","THIS WEEK"))</f>
        <v/>
      </c>
      <c r="W1855" s="75">
        <f>IF(AND(Engine!$B$8=$AC$3,Engine!$B$9=$A1855),"◀ ACTIVE WEEK","")</f>
        <v/>
      </c>
      <c r="AA1855" s="76" t="n"/>
      <c r="AB1855" s="77" t="inlineStr">
        <is>
          <t>◀ Prev</t>
        </is>
      </c>
      <c r="AC1855" s="77" t="inlineStr">
        <is>
          <t>Next ▶</t>
        </is>
      </c>
    </row>
    <row r="1856" ht="18" customHeight="1">
      <c r="A1856" t="n">
        <v>38</v>
      </c>
      <c r="B1856" s="78" t="inlineStr">
        <is>
          <t>DUTY</t>
        </is>
      </c>
      <c r="C1856" s="79">
        <f>$AC$2+7*($A1856-1)</f>
        <v/>
      </c>
      <c r="D1856" s="80" t="n"/>
      <c r="E1856" s="80" t="n"/>
      <c r="F1856" s="81" t="n"/>
      <c r="G1856" s="79">
        <f>C1856+1</f>
        <v/>
      </c>
      <c r="H1856" s="80" t="n"/>
      <c r="I1856" s="80" t="n"/>
      <c r="J1856" s="81" t="n"/>
      <c r="K1856" s="79">
        <f>C1856+2</f>
        <v/>
      </c>
      <c r="L1856" s="80" t="n"/>
      <c r="M1856" s="80" t="n"/>
      <c r="N1856" s="81" t="n"/>
      <c r="O1856" s="79">
        <f>C1856+3</f>
        <v/>
      </c>
      <c r="P1856" s="80" t="n"/>
      <c r="Q1856" s="80" t="n"/>
      <c r="R1856" s="81" t="n"/>
      <c r="S1856" s="79">
        <f>C1856+4</f>
        <v/>
      </c>
      <c r="T1856" s="80" t="n"/>
      <c r="U1856" s="80" t="n"/>
      <c r="V1856" s="81" t="n"/>
      <c r="W1856" s="82">
        <f>C1856+5</f>
        <v/>
      </c>
      <c r="X1856" s="83" t="n"/>
      <c r="Y1856" s="82">
        <f>C1856+6</f>
        <v/>
      </c>
      <c r="Z1856" s="83" t="n"/>
      <c r="AB1856" s="72" t="inlineStr">
        <is>
          <t>Gaps</t>
        </is>
      </c>
      <c r="AC1856" s="72" t="inlineStr">
        <is>
          <t>Cover</t>
        </is>
      </c>
    </row>
    <row r="1857" ht="14" customHeight="1">
      <c r="A1857" t="n">
        <v>38</v>
      </c>
      <c r="B1857" s="84" t="inlineStr">
        <is>
          <t>(from Setup)</t>
        </is>
      </c>
      <c r="C1857" s="85" t="inlineStr">
        <is>
          <t>1</t>
        </is>
      </c>
      <c r="D1857" s="85" t="inlineStr">
        <is>
          <t>2</t>
        </is>
      </c>
      <c r="E1857" s="85" t="inlineStr">
        <is>
          <t>3</t>
        </is>
      </c>
      <c r="F1857" s="85" t="inlineStr">
        <is>
          <t>Notes</t>
        </is>
      </c>
      <c r="G1857" s="85" t="inlineStr">
        <is>
          <t>1</t>
        </is>
      </c>
      <c r="H1857" s="85" t="inlineStr">
        <is>
          <t>2</t>
        </is>
      </c>
      <c r="I1857" s="85" t="inlineStr">
        <is>
          <t>3</t>
        </is>
      </c>
      <c r="J1857" s="85" t="inlineStr">
        <is>
          <t>Notes</t>
        </is>
      </c>
      <c r="K1857" s="85" t="inlineStr">
        <is>
          <t>1</t>
        </is>
      </c>
      <c r="L1857" s="85" t="inlineStr">
        <is>
          <t>2</t>
        </is>
      </c>
      <c r="M1857" s="85" t="inlineStr">
        <is>
          <t>3</t>
        </is>
      </c>
      <c r="N1857" s="85" t="inlineStr">
        <is>
          <t>Notes</t>
        </is>
      </c>
      <c r="O1857" s="85" t="inlineStr">
        <is>
          <t>1</t>
        </is>
      </c>
      <c r="P1857" s="85" t="inlineStr">
        <is>
          <t>2</t>
        </is>
      </c>
      <c r="Q1857" s="85" t="inlineStr">
        <is>
          <t>3</t>
        </is>
      </c>
      <c r="R1857" s="85" t="inlineStr">
        <is>
          <t>Notes</t>
        </is>
      </c>
      <c r="S1857" s="85" t="inlineStr">
        <is>
          <t>1</t>
        </is>
      </c>
      <c r="T1857" s="85" t="inlineStr">
        <is>
          <t>2</t>
        </is>
      </c>
      <c r="U1857" s="85" t="inlineStr">
        <is>
          <t>3</t>
        </is>
      </c>
      <c r="V1857" s="85" t="inlineStr">
        <is>
          <t>Notes</t>
        </is>
      </c>
      <c r="W1857" s="85" t="inlineStr">
        <is>
          <t>Cover</t>
        </is>
      </c>
      <c r="X1857" s="85" t="inlineStr">
        <is>
          <t>Notes</t>
        </is>
      </c>
      <c r="Y1857" s="85" t="inlineStr">
        <is>
          <t>Cover</t>
        </is>
      </c>
      <c r="Z1857" s="85" t="inlineStr">
        <is>
          <t>Notes</t>
        </is>
      </c>
      <c r="AB1857" s="86" t="inlineStr">
        <is>
          <t>weekdays short</t>
        </is>
      </c>
      <c r="AC1857" s="87" t="inlineStr"/>
    </row>
    <row r="1858" ht="17" customHeight="1">
      <c r="A1858" t="n">
        <v>38</v>
      </c>
      <c r="B1858" s="24">
        <f>IF(Setup!$K$6="","",Setup!$K$6)</f>
        <v/>
      </c>
      <c r="C1858" s="88" t="n"/>
      <c r="D1858" s="88" t="n"/>
      <c r="E1858" s="88" t="n"/>
      <c r="F1858" s="89" t="n"/>
      <c r="G1858" s="88" t="n"/>
      <c r="H1858" s="88" t="n"/>
      <c r="I1858" s="88" t="n"/>
      <c r="J1858" s="89" t="n"/>
      <c r="K1858" s="88" t="n"/>
      <c r="L1858" s="88" t="n"/>
      <c r="M1858" s="88" t="n"/>
      <c r="N1858" s="89" t="n"/>
      <c r="O1858" s="88" t="n"/>
      <c r="P1858" s="88" t="n"/>
      <c r="Q1858" s="88" t="n"/>
      <c r="R1858" s="89" t="n"/>
      <c r="S1858" s="88" t="n"/>
      <c r="T1858" s="88" t="n"/>
      <c r="U1858" s="88" t="n"/>
      <c r="V1858" s="89" t="n"/>
      <c r="W1858" s="88" t="n"/>
      <c r="X1858" s="89" t="n"/>
      <c r="Y1858" s="88" t="n"/>
      <c r="Z1858" s="89" t="n"/>
      <c r="AB1858" s="25">
        <f>IF($B1858="","",(COUNTIF(C1858:E1858,"?*")&lt;N(INDEX(Setup!$L$6:$L$23,1)))+(COUNTIF(G1858:I1858,"?*")&lt;N(INDEX(Setup!$L$6:$L$23,1)))+(COUNTIF(K1858:M1858,"?*")&lt;N(INDEX(Setup!$L$6:$L$23,1)))+(COUNTIF(O1858:Q1858,"?*")&lt;N(INDEX(Setup!$L$6:$L$23,1)))+(COUNTIF(S1858:U1858,"?*")&lt;N(INDEX(Setup!$L$6:$L$23,1)))+((W1858="")*(INDEX(Setup!$M$6:$M$23,1)="Y"))+((Y1858="")*(INDEX(Setup!$M$6:$M$23,1)="Y")))</f>
        <v/>
      </c>
      <c r="AC1858" s="90">
        <f>IF($B1858="","",IF(AB1858=0,"✓ covered","⚠ "&amp;AB1858&amp;IF(AB1858=1," gap"," gaps")))</f>
        <v/>
      </c>
    </row>
    <row r="1859" ht="17" customHeight="1">
      <c r="A1859" t="n">
        <v>38</v>
      </c>
      <c r="B1859" s="29">
        <f>IF(Setup!$K$7="","",Setup!$K$7)</f>
        <v/>
      </c>
      <c r="C1859" s="88" t="n"/>
      <c r="D1859" s="88" t="n"/>
      <c r="E1859" s="88" t="n"/>
      <c r="F1859" s="89" t="n"/>
      <c r="G1859" s="88" t="n"/>
      <c r="H1859" s="88" t="n"/>
      <c r="I1859" s="88" t="n"/>
      <c r="J1859" s="89" t="n"/>
      <c r="K1859" s="88" t="n"/>
      <c r="L1859" s="88" t="n"/>
      <c r="M1859" s="88" t="n"/>
      <c r="N1859" s="89" t="n"/>
      <c r="O1859" s="88" t="n"/>
      <c r="P1859" s="88" t="n"/>
      <c r="Q1859" s="88" t="n"/>
      <c r="R1859" s="89" t="n"/>
      <c r="S1859" s="88" t="n"/>
      <c r="T1859" s="88" t="n"/>
      <c r="U1859" s="88" t="n"/>
      <c r="V1859" s="89" t="n"/>
      <c r="W1859" s="88" t="n"/>
      <c r="X1859" s="89" t="n"/>
      <c r="Y1859" s="88" t="n"/>
      <c r="Z1859" s="89" t="n"/>
      <c r="AB1859" s="30">
        <f>IF($B1859="","",(COUNTIF(C1859:E1859,"?*")&lt;N(INDEX(Setup!$L$6:$L$23,2)))+(COUNTIF(G1859:I1859,"?*")&lt;N(INDEX(Setup!$L$6:$L$23,2)))+(COUNTIF(K1859:M1859,"?*")&lt;N(INDEX(Setup!$L$6:$L$23,2)))+(COUNTIF(O1859:Q1859,"?*")&lt;N(INDEX(Setup!$L$6:$L$23,2)))+(COUNTIF(S1859:U1859,"?*")&lt;N(INDEX(Setup!$L$6:$L$23,2)))+((W1859="")*(INDEX(Setup!$M$6:$M$23,2)="Y"))+((Y1859="")*(INDEX(Setup!$M$6:$M$23,2)="Y")))</f>
        <v/>
      </c>
      <c r="AC1859" s="91">
        <f>IF($B1859="","",IF(AB1859=0,"✓ covered","⚠ "&amp;AB1859&amp;IF(AB1859=1," gap"," gaps")))</f>
        <v/>
      </c>
    </row>
    <row r="1860" ht="17" customHeight="1">
      <c r="A1860" t="n">
        <v>38</v>
      </c>
      <c r="B1860" s="24">
        <f>IF(Setup!$K$8="","",Setup!$K$8)</f>
        <v/>
      </c>
      <c r="C1860" s="88" t="n"/>
      <c r="D1860" s="88" t="n"/>
      <c r="E1860" s="88" t="n"/>
      <c r="F1860" s="89" t="n"/>
      <c r="G1860" s="88" t="n"/>
      <c r="H1860" s="88" t="n"/>
      <c r="I1860" s="88" t="n"/>
      <c r="J1860" s="89" t="n"/>
      <c r="K1860" s="88" t="n"/>
      <c r="L1860" s="88" t="n"/>
      <c r="M1860" s="88" t="n"/>
      <c r="N1860" s="89" t="n"/>
      <c r="O1860" s="88" t="n"/>
      <c r="P1860" s="88" t="n"/>
      <c r="Q1860" s="88" t="n"/>
      <c r="R1860" s="89" t="n"/>
      <c r="S1860" s="88" t="n"/>
      <c r="T1860" s="88" t="n"/>
      <c r="U1860" s="88" t="n"/>
      <c r="V1860" s="89" t="n"/>
      <c r="W1860" s="88" t="n"/>
      <c r="X1860" s="89" t="n"/>
      <c r="Y1860" s="88" t="n"/>
      <c r="Z1860" s="89" t="n"/>
      <c r="AB1860" s="25">
        <f>IF($B1860="","",(COUNTIF(C1860:E1860,"?*")&lt;N(INDEX(Setup!$L$6:$L$23,3)))+(COUNTIF(G1860:I1860,"?*")&lt;N(INDEX(Setup!$L$6:$L$23,3)))+(COUNTIF(K1860:M1860,"?*")&lt;N(INDEX(Setup!$L$6:$L$23,3)))+(COUNTIF(O1860:Q1860,"?*")&lt;N(INDEX(Setup!$L$6:$L$23,3)))+(COUNTIF(S1860:U1860,"?*")&lt;N(INDEX(Setup!$L$6:$L$23,3)))+((W1860="")*(INDEX(Setup!$M$6:$M$23,3)="Y"))+((Y1860="")*(INDEX(Setup!$M$6:$M$23,3)="Y")))</f>
        <v/>
      </c>
      <c r="AC1860" s="90">
        <f>IF($B1860="","",IF(AB1860=0,"✓ covered","⚠ "&amp;AB1860&amp;IF(AB1860=1," gap"," gaps")))</f>
        <v/>
      </c>
    </row>
    <row r="1861" ht="17" customHeight="1">
      <c r="A1861" t="n">
        <v>38</v>
      </c>
      <c r="B1861" s="29">
        <f>IF(Setup!$K$9="","",Setup!$K$9)</f>
        <v/>
      </c>
      <c r="C1861" s="88" t="n"/>
      <c r="D1861" s="88" t="n"/>
      <c r="E1861" s="88" t="n"/>
      <c r="F1861" s="89" t="n"/>
      <c r="G1861" s="88" t="n"/>
      <c r="H1861" s="88" t="n"/>
      <c r="I1861" s="88" t="n"/>
      <c r="J1861" s="89" t="n"/>
      <c r="K1861" s="88" t="n"/>
      <c r="L1861" s="88" t="n"/>
      <c r="M1861" s="88" t="n"/>
      <c r="N1861" s="89" t="n"/>
      <c r="O1861" s="88" t="n"/>
      <c r="P1861" s="88" t="n"/>
      <c r="Q1861" s="88" t="n"/>
      <c r="R1861" s="89" t="n"/>
      <c r="S1861" s="88" t="n"/>
      <c r="T1861" s="88" t="n"/>
      <c r="U1861" s="88" t="n"/>
      <c r="V1861" s="89" t="n"/>
      <c r="W1861" s="88" t="n"/>
      <c r="X1861" s="89" t="n"/>
      <c r="Y1861" s="88" t="n"/>
      <c r="Z1861" s="89" t="n"/>
      <c r="AB1861" s="30">
        <f>IF($B1861="","",(COUNTIF(C1861:E1861,"?*")&lt;N(INDEX(Setup!$L$6:$L$23,4)))+(COUNTIF(G1861:I1861,"?*")&lt;N(INDEX(Setup!$L$6:$L$23,4)))+(COUNTIF(K1861:M1861,"?*")&lt;N(INDEX(Setup!$L$6:$L$23,4)))+(COUNTIF(O1861:Q1861,"?*")&lt;N(INDEX(Setup!$L$6:$L$23,4)))+(COUNTIF(S1861:U1861,"?*")&lt;N(INDEX(Setup!$L$6:$L$23,4)))+((W1861="")*(INDEX(Setup!$M$6:$M$23,4)="Y"))+((Y1861="")*(INDEX(Setup!$M$6:$M$23,4)="Y")))</f>
        <v/>
      </c>
      <c r="AC1861" s="91">
        <f>IF($B1861="","",IF(AB1861=0,"✓ covered","⚠ "&amp;AB1861&amp;IF(AB1861=1," gap"," gaps")))</f>
        <v/>
      </c>
    </row>
    <row r="1862" ht="17" customHeight="1">
      <c r="A1862" t="n">
        <v>38</v>
      </c>
      <c r="B1862" s="24">
        <f>IF(Setup!$K$10="","",Setup!$K$10)</f>
        <v/>
      </c>
      <c r="C1862" s="88" t="n"/>
      <c r="D1862" s="88" t="n"/>
      <c r="E1862" s="88" t="n"/>
      <c r="F1862" s="89" t="n"/>
      <c r="G1862" s="88" t="n"/>
      <c r="H1862" s="88" t="n"/>
      <c r="I1862" s="88" t="n"/>
      <c r="J1862" s="89" t="n"/>
      <c r="K1862" s="88" t="n"/>
      <c r="L1862" s="88" t="n"/>
      <c r="M1862" s="88" t="n"/>
      <c r="N1862" s="89" t="n"/>
      <c r="O1862" s="88" t="n"/>
      <c r="P1862" s="88" t="n"/>
      <c r="Q1862" s="88" t="n"/>
      <c r="R1862" s="89" t="n"/>
      <c r="S1862" s="88" t="n"/>
      <c r="T1862" s="88" t="n"/>
      <c r="U1862" s="88" t="n"/>
      <c r="V1862" s="89" t="n"/>
      <c r="W1862" s="88" t="n"/>
      <c r="X1862" s="89" t="n"/>
      <c r="Y1862" s="88" t="n"/>
      <c r="Z1862" s="89" t="n"/>
      <c r="AB1862" s="25">
        <f>IF($B1862="","",(COUNTIF(C1862:E1862,"?*")&lt;N(INDEX(Setup!$L$6:$L$23,5)))+(COUNTIF(G1862:I1862,"?*")&lt;N(INDEX(Setup!$L$6:$L$23,5)))+(COUNTIF(K1862:M1862,"?*")&lt;N(INDEX(Setup!$L$6:$L$23,5)))+(COUNTIF(O1862:Q1862,"?*")&lt;N(INDEX(Setup!$L$6:$L$23,5)))+(COUNTIF(S1862:U1862,"?*")&lt;N(INDEX(Setup!$L$6:$L$23,5)))+((W1862="")*(INDEX(Setup!$M$6:$M$23,5)="Y"))+((Y1862="")*(INDEX(Setup!$M$6:$M$23,5)="Y")))</f>
        <v/>
      </c>
      <c r="AC1862" s="90">
        <f>IF($B1862="","",IF(AB1862=0,"✓ covered","⚠ "&amp;AB1862&amp;IF(AB1862=1," gap"," gaps")))</f>
        <v/>
      </c>
    </row>
    <row r="1863" ht="17" customHeight="1">
      <c r="A1863" t="n">
        <v>38</v>
      </c>
      <c r="B1863" s="29">
        <f>IF(Setup!$K$11="","",Setup!$K$11)</f>
        <v/>
      </c>
      <c r="C1863" s="88" t="n"/>
      <c r="D1863" s="88" t="n"/>
      <c r="E1863" s="88" t="n"/>
      <c r="F1863" s="89" t="n"/>
      <c r="G1863" s="88" t="n"/>
      <c r="H1863" s="88" t="n"/>
      <c r="I1863" s="88" t="n"/>
      <c r="J1863" s="89" t="n"/>
      <c r="K1863" s="88" t="n"/>
      <c r="L1863" s="88" t="n"/>
      <c r="M1863" s="88" t="n"/>
      <c r="N1863" s="89" t="n"/>
      <c r="O1863" s="88" t="n"/>
      <c r="P1863" s="88" t="n"/>
      <c r="Q1863" s="88" t="n"/>
      <c r="R1863" s="89" t="n"/>
      <c r="S1863" s="88" t="n"/>
      <c r="T1863" s="88" t="n"/>
      <c r="U1863" s="88" t="n"/>
      <c r="V1863" s="89" t="n"/>
      <c r="W1863" s="88" t="n"/>
      <c r="X1863" s="89" t="n"/>
      <c r="Y1863" s="88" t="n"/>
      <c r="Z1863" s="89" t="n"/>
      <c r="AB1863" s="30">
        <f>IF($B1863="","",(COUNTIF(C1863:E1863,"?*")&lt;N(INDEX(Setup!$L$6:$L$23,6)))+(COUNTIF(G1863:I1863,"?*")&lt;N(INDEX(Setup!$L$6:$L$23,6)))+(COUNTIF(K1863:M1863,"?*")&lt;N(INDEX(Setup!$L$6:$L$23,6)))+(COUNTIF(O1863:Q1863,"?*")&lt;N(INDEX(Setup!$L$6:$L$23,6)))+(COUNTIF(S1863:U1863,"?*")&lt;N(INDEX(Setup!$L$6:$L$23,6)))+((W1863="")*(INDEX(Setup!$M$6:$M$23,6)="Y"))+((Y1863="")*(INDEX(Setup!$M$6:$M$23,6)="Y")))</f>
        <v/>
      </c>
      <c r="AC1863" s="91">
        <f>IF($B1863="","",IF(AB1863=0,"✓ covered","⚠ "&amp;AB1863&amp;IF(AB1863=1," gap"," gaps")))</f>
        <v/>
      </c>
    </row>
    <row r="1864" ht="17" customHeight="1">
      <c r="A1864" t="n">
        <v>38</v>
      </c>
      <c r="B1864" s="24">
        <f>IF(Setup!$K$12="","",Setup!$K$12)</f>
        <v/>
      </c>
      <c r="C1864" s="88" t="n"/>
      <c r="D1864" s="88" t="n"/>
      <c r="E1864" s="88" t="n"/>
      <c r="F1864" s="89" t="n"/>
      <c r="G1864" s="88" t="n"/>
      <c r="H1864" s="88" t="n"/>
      <c r="I1864" s="88" t="n"/>
      <c r="J1864" s="89" t="n"/>
      <c r="K1864" s="88" t="n"/>
      <c r="L1864" s="88" t="n"/>
      <c r="M1864" s="88" t="n"/>
      <c r="N1864" s="89" t="n"/>
      <c r="O1864" s="88" t="n"/>
      <c r="P1864" s="88" t="n"/>
      <c r="Q1864" s="88" t="n"/>
      <c r="R1864" s="89" t="n"/>
      <c r="S1864" s="88" t="n"/>
      <c r="T1864" s="88" t="n"/>
      <c r="U1864" s="88" t="n"/>
      <c r="V1864" s="89" t="n"/>
      <c r="W1864" s="88" t="n"/>
      <c r="X1864" s="89" t="n"/>
      <c r="Y1864" s="88" t="n"/>
      <c r="Z1864" s="89" t="n"/>
      <c r="AB1864" s="25">
        <f>IF($B1864="","",(COUNTIF(C1864:E1864,"?*")&lt;N(INDEX(Setup!$L$6:$L$23,7)))+(COUNTIF(G1864:I1864,"?*")&lt;N(INDEX(Setup!$L$6:$L$23,7)))+(COUNTIF(K1864:M1864,"?*")&lt;N(INDEX(Setup!$L$6:$L$23,7)))+(COUNTIF(O1864:Q1864,"?*")&lt;N(INDEX(Setup!$L$6:$L$23,7)))+(COUNTIF(S1864:U1864,"?*")&lt;N(INDEX(Setup!$L$6:$L$23,7)))+((W1864="")*(INDEX(Setup!$M$6:$M$23,7)="Y"))+((Y1864="")*(INDEX(Setup!$M$6:$M$23,7)="Y")))</f>
        <v/>
      </c>
      <c r="AC1864" s="90">
        <f>IF($B1864="","",IF(AB1864=0,"✓ covered","⚠ "&amp;AB1864&amp;IF(AB1864=1," gap"," gaps")))</f>
        <v/>
      </c>
    </row>
    <row r="1865" ht="17" customHeight="1">
      <c r="A1865" t="n">
        <v>38</v>
      </c>
      <c r="B1865" s="29">
        <f>IF(Setup!$K$13="","",Setup!$K$13)</f>
        <v/>
      </c>
      <c r="C1865" s="88" t="n"/>
      <c r="D1865" s="88" t="n"/>
      <c r="E1865" s="88" t="n"/>
      <c r="F1865" s="89" t="n"/>
      <c r="G1865" s="88" t="n"/>
      <c r="H1865" s="88" t="n"/>
      <c r="I1865" s="88" t="n"/>
      <c r="J1865" s="89" t="n"/>
      <c r="K1865" s="88" t="n"/>
      <c r="L1865" s="88" t="n"/>
      <c r="M1865" s="88" t="n"/>
      <c r="N1865" s="89" t="n"/>
      <c r="O1865" s="88" t="n"/>
      <c r="P1865" s="88" t="n"/>
      <c r="Q1865" s="88" t="n"/>
      <c r="R1865" s="89" t="n"/>
      <c r="S1865" s="88" t="n"/>
      <c r="T1865" s="88" t="n"/>
      <c r="U1865" s="88" t="n"/>
      <c r="V1865" s="89" t="n"/>
      <c r="W1865" s="88" t="n"/>
      <c r="X1865" s="89" t="n"/>
      <c r="Y1865" s="88" t="n"/>
      <c r="Z1865" s="89" t="n"/>
      <c r="AB1865" s="30">
        <f>IF($B1865="","",(COUNTIF(C1865:E1865,"?*")&lt;N(INDEX(Setup!$L$6:$L$23,8)))+(COUNTIF(G1865:I1865,"?*")&lt;N(INDEX(Setup!$L$6:$L$23,8)))+(COUNTIF(K1865:M1865,"?*")&lt;N(INDEX(Setup!$L$6:$L$23,8)))+(COUNTIF(O1865:Q1865,"?*")&lt;N(INDEX(Setup!$L$6:$L$23,8)))+(COUNTIF(S1865:U1865,"?*")&lt;N(INDEX(Setup!$L$6:$L$23,8)))+((W1865="")*(INDEX(Setup!$M$6:$M$23,8)="Y"))+((Y1865="")*(INDEX(Setup!$M$6:$M$23,8)="Y")))</f>
        <v/>
      </c>
      <c r="AC1865" s="91">
        <f>IF($B1865="","",IF(AB1865=0,"✓ covered","⚠ "&amp;AB1865&amp;IF(AB1865=1," gap"," gaps")))</f>
        <v/>
      </c>
    </row>
    <row r="1866" ht="17" customHeight="1">
      <c r="A1866" t="n">
        <v>38</v>
      </c>
      <c r="B1866" s="24">
        <f>IF(Setup!$K$14="","",Setup!$K$14)</f>
        <v/>
      </c>
      <c r="C1866" s="88" t="n"/>
      <c r="D1866" s="88" t="n"/>
      <c r="E1866" s="88" t="n"/>
      <c r="F1866" s="89" t="n"/>
      <c r="G1866" s="88" t="n"/>
      <c r="H1866" s="88" t="n"/>
      <c r="I1866" s="88" t="n"/>
      <c r="J1866" s="89" t="n"/>
      <c r="K1866" s="88" t="n"/>
      <c r="L1866" s="88" t="n"/>
      <c r="M1866" s="88" t="n"/>
      <c r="N1866" s="89" t="n"/>
      <c r="O1866" s="88" t="n"/>
      <c r="P1866" s="88" t="n"/>
      <c r="Q1866" s="88" t="n"/>
      <c r="R1866" s="89" t="n"/>
      <c r="S1866" s="88" t="n"/>
      <c r="T1866" s="88" t="n"/>
      <c r="U1866" s="88" t="n"/>
      <c r="V1866" s="89" t="n"/>
      <c r="W1866" s="88" t="n"/>
      <c r="X1866" s="89" t="n"/>
      <c r="Y1866" s="88" t="n"/>
      <c r="Z1866" s="89" t="n"/>
      <c r="AB1866" s="25">
        <f>IF($B1866="","",(COUNTIF(C1866:E1866,"?*")&lt;N(INDEX(Setup!$L$6:$L$23,9)))+(COUNTIF(G1866:I1866,"?*")&lt;N(INDEX(Setup!$L$6:$L$23,9)))+(COUNTIF(K1866:M1866,"?*")&lt;N(INDEX(Setup!$L$6:$L$23,9)))+(COUNTIF(O1866:Q1866,"?*")&lt;N(INDEX(Setup!$L$6:$L$23,9)))+(COUNTIF(S1866:U1866,"?*")&lt;N(INDEX(Setup!$L$6:$L$23,9)))+((W1866="")*(INDEX(Setup!$M$6:$M$23,9)="Y"))+((Y1866="")*(INDEX(Setup!$M$6:$M$23,9)="Y")))</f>
        <v/>
      </c>
      <c r="AC1866" s="90">
        <f>IF($B1866="","",IF(AB1866=0,"✓ covered","⚠ "&amp;AB1866&amp;IF(AB1866=1," gap"," gaps")))</f>
        <v/>
      </c>
    </row>
    <row r="1867" ht="17" customHeight="1">
      <c r="A1867" t="n">
        <v>38</v>
      </c>
      <c r="B1867" s="29">
        <f>IF(Setup!$K$15="","",Setup!$K$15)</f>
        <v/>
      </c>
      <c r="C1867" s="88" t="n"/>
      <c r="D1867" s="88" t="n"/>
      <c r="E1867" s="88" t="n"/>
      <c r="F1867" s="89" t="n"/>
      <c r="G1867" s="88" t="n"/>
      <c r="H1867" s="88" t="n"/>
      <c r="I1867" s="88" t="n"/>
      <c r="J1867" s="89" t="n"/>
      <c r="K1867" s="88" t="n"/>
      <c r="L1867" s="88" t="n"/>
      <c r="M1867" s="88" t="n"/>
      <c r="N1867" s="89" t="n"/>
      <c r="O1867" s="88" t="n"/>
      <c r="P1867" s="88" t="n"/>
      <c r="Q1867" s="88" t="n"/>
      <c r="R1867" s="89" t="n"/>
      <c r="S1867" s="88" t="n"/>
      <c r="T1867" s="88" t="n"/>
      <c r="U1867" s="88" t="n"/>
      <c r="V1867" s="89" t="n"/>
      <c r="W1867" s="88" t="n"/>
      <c r="X1867" s="89" t="n"/>
      <c r="Y1867" s="88" t="n"/>
      <c r="Z1867" s="89" t="n"/>
      <c r="AB1867" s="30">
        <f>IF($B1867="","",(COUNTIF(C1867:E1867,"?*")&lt;N(INDEX(Setup!$L$6:$L$23,10)))+(COUNTIF(G1867:I1867,"?*")&lt;N(INDEX(Setup!$L$6:$L$23,10)))+(COUNTIF(K1867:M1867,"?*")&lt;N(INDEX(Setup!$L$6:$L$23,10)))+(COUNTIF(O1867:Q1867,"?*")&lt;N(INDEX(Setup!$L$6:$L$23,10)))+(COUNTIF(S1867:U1867,"?*")&lt;N(INDEX(Setup!$L$6:$L$23,10)))+((W1867="")*(INDEX(Setup!$M$6:$M$23,10)="Y"))+((Y1867="")*(INDEX(Setup!$M$6:$M$23,10)="Y")))</f>
        <v/>
      </c>
      <c r="AC1867" s="91">
        <f>IF($B1867="","",IF(AB1867=0,"✓ covered","⚠ "&amp;AB1867&amp;IF(AB1867=1," gap"," gaps")))</f>
        <v/>
      </c>
    </row>
    <row r="1868" ht="17" customHeight="1">
      <c r="A1868" t="n">
        <v>38</v>
      </c>
      <c r="B1868" s="24">
        <f>IF(Setup!$K$16="","",Setup!$K$16)</f>
        <v/>
      </c>
      <c r="C1868" s="88" t="n"/>
      <c r="D1868" s="88" t="n"/>
      <c r="E1868" s="88" t="n"/>
      <c r="F1868" s="89" t="n"/>
      <c r="G1868" s="88" t="n"/>
      <c r="H1868" s="88" t="n"/>
      <c r="I1868" s="88" t="n"/>
      <c r="J1868" s="89" t="n"/>
      <c r="K1868" s="88" t="n"/>
      <c r="L1868" s="88" t="n"/>
      <c r="M1868" s="88" t="n"/>
      <c r="N1868" s="89" t="n"/>
      <c r="O1868" s="88" t="n"/>
      <c r="P1868" s="88" t="n"/>
      <c r="Q1868" s="88" t="n"/>
      <c r="R1868" s="89" t="n"/>
      <c r="S1868" s="88" t="n"/>
      <c r="T1868" s="88" t="n"/>
      <c r="U1868" s="88" t="n"/>
      <c r="V1868" s="89" t="n"/>
      <c r="W1868" s="88" t="n"/>
      <c r="X1868" s="89" t="n"/>
      <c r="Y1868" s="88" t="n"/>
      <c r="Z1868" s="89" t="n"/>
      <c r="AB1868" s="25">
        <f>IF($B1868="","",(COUNTIF(C1868:E1868,"?*")&lt;N(INDEX(Setup!$L$6:$L$23,11)))+(COUNTIF(G1868:I1868,"?*")&lt;N(INDEX(Setup!$L$6:$L$23,11)))+(COUNTIF(K1868:M1868,"?*")&lt;N(INDEX(Setup!$L$6:$L$23,11)))+(COUNTIF(O1868:Q1868,"?*")&lt;N(INDEX(Setup!$L$6:$L$23,11)))+(COUNTIF(S1868:U1868,"?*")&lt;N(INDEX(Setup!$L$6:$L$23,11)))+((W1868="")*(INDEX(Setup!$M$6:$M$23,11)="Y"))+((Y1868="")*(INDEX(Setup!$M$6:$M$23,11)="Y")))</f>
        <v/>
      </c>
      <c r="AC1868" s="90">
        <f>IF($B1868="","",IF(AB1868=0,"✓ covered","⚠ "&amp;AB1868&amp;IF(AB1868=1," gap"," gaps")))</f>
        <v/>
      </c>
    </row>
    <row r="1869" ht="17" customHeight="1">
      <c r="A1869" t="n">
        <v>38</v>
      </c>
      <c r="B1869" s="29">
        <f>IF(Setup!$K$17="","",Setup!$K$17)</f>
        <v/>
      </c>
      <c r="C1869" s="88" t="n"/>
      <c r="D1869" s="88" t="n"/>
      <c r="E1869" s="88" t="n"/>
      <c r="F1869" s="89" t="n"/>
      <c r="G1869" s="88" t="n"/>
      <c r="H1869" s="88" t="n"/>
      <c r="I1869" s="88" t="n"/>
      <c r="J1869" s="89" t="n"/>
      <c r="K1869" s="88" t="n"/>
      <c r="L1869" s="88" t="n"/>
      <c r="M1869" s="88" t="n"/>
      <c r="N1869" s="89" t="n"/>
      <c r="O1869" s="88" t="n"/>
      <c r="P1869" s="88" t="n"/>
      <c r="Q1869" s="88" t="n"/>
      <c r="R1869" s="89" t="n"/>
      <c r="S1869" s="88" t="n"/>
      <c r="T1869" s="88" t="n"/>
      <c r="U1869" s="88" t="n"/>
      <c r="V1869" s="89" t="n"/>
      <c r="W1869" s="88" t="n"/>
      <c r="X1869" s="89" t="n"/>
      <c r="Y1869" s="88" t="n"/>
      <c r="Z1869" s="89" t="n"/>
      <c r="AB1869" s="30">
        <f>IF($B1869="","",(COUNTIF(C1869:E1869,"?*")&lt;N(INDEX(Setup!$L$6:$L$23,12)))+(COUNTIF(G1869:I1869,"?*")&lt;N(INDEX(Setup!$L$6:$L$23,12)))+(COUNTIF(K1869:M1869,"?*")&lt;N(INDEX(Setup!$L$6:$L$23,12)))+(COUNTIF(O1869:Q1869,"?*")&lt;N(INDEX(Setup!$L$6:$L$23,12)))+(COUNTIF(S1869:U1869,"?*")&lt;N(INDEX(Setup!$L$6:$L$23,12)))+((W1869="")*(INDEX(Setup!$M$6:$M$23,12)="Y"))+((Y1869="")*(INDEX(Setup!$M$6:$M$23,12)="Y")))</f>
        <v/>
      </c>
      <c r="AC1869" s="91">
        <f>IF($B1869="","",IF(AB1869=0,"✓ covered","⚠ "&amp;AB1869&amp;IF(AB1869=1," gap"," gaps")))</f>
        <v/>
      </c>
    </row>
    <row r="1870" ht="17" customHeight="1">
      <c r="A1870" t="n">
        <v>38</v>
      </c>
      <c r="B1870" s="24">
        <f>IF(Setup!$K$18="","",Setup!$K$18)</f>
        <v/>
      </c>
      <c r="C1870" s="88" t="n"/>
      <c r="D1870" s="88" t="n"/>
      <c r="E1870" s="88" t="n"/>
      <c r="F1870" s="89" t="n"/>
      <c r="G1870" s="88" t="n"/>
      <c r="H1870" s="88" t="n"/>
      <c r="I1870" s="88" t="n"/>
      <c r="J1870" s="89" t="n"/>
      <c r="K1870" s="88" t="n"/>
      <c r="L1870" s="88" t="n"/>
      <c r="M1870" s="88" t="n"/>
      <c r="N1870" s="89" t="n"/>
      <c r="O1870" s="88" t="n"/>
      <c r="P1870" s="88" t="n"/>
      <c r="Q1870" s="88" t="n"/>
      <c r="R1870" s="89" t="n"/>
      <c r="S1870" s="88" t="n"/>
      <c r="T1870" s="88" t="n"/>
      <c r="U1870" s="88" t="n"/>
      <c r="V1870" s="89" t="n"/>
      <c r="W1870" s="88" t="n"/>
      <c r="X1870" s="89" t="n"/>
      <c r="Y1870" s="88" t="n"/>
      <c r="Z1870" s="89" t="n"/>
      <c r="AB1870" s="25">
        <f>IF($B1870="","",(COUNTIF(C1870:E1870,"?*")&lt;N(INDEX(Setup!$L$6:$L$23,13)))+(COUNTIF(G1870:I1870,"?*")&lt;N(INDEX(Setup!$L$6:$L$23,13)))+(COUNTIF(K1870:M1870,"?*")&lt;N(INDEX(Setup!$L$6:$L$23,13)))+(COUNTIF(O1870:Q1870,"?*")&lt;N(INDEX(Setup!$L$6:$L$23,13)))+(COUNTIF(S1870:U1870,"?*")&lt;N(INDEX(Setup!$L$6:$L$23,13)))+((W1870="")*(INDEX(Setup!$M$6:$M$23,13)="Y"))+((Y1870="")*(INDEX(Setup!$M$6:$M$23,13)="Y")))</f>
        <v/>
      </c>
      <c r="AC1870" s="90">
        <f>IF($B1870="","",IF(AB1870=0,"✓ covered","⚠ "&amp;AB1870&amp;IF(AB1870=1," gap"," gaps")))</f>
        <v/>
      </c>
    </row>
    <row r="1871" ht="17" customHeight="1">
      <c r="A1871" t="n">
        <v>38</v>
      </c>
      <c r="B1871" s="29">
        <f>IF(Setup!$K$19="","",Setup!$K$19)</f>
        <v/>
      </c>
      <c r="C1871" s="88" t="n"/>
      <c r="D1871" s="88" t="n"/>
      <c r="E1871" s="88" t="n"/>
      <c r="F1871" s="89" t="n"/>
      <c r="G1871" s="88" t="n"/>
      <c r="H1871" s="88" t="n"/>
      <c r="I1871" s="88" t="n"/>
      <c r="J1871" s="89" t="n"/>
      <c r="K1871" s="88" t="n"/>
      <c r="L1871" s="88" t="n"/>
      <c r="M1871" s="88" t="n"/>
      <c r="N1871" s="89" t="n"/>
      <c r="O1871" s="88" t="n"/>
      <c r="P1871" s="88" t="n"/>
      <c r="Q1871" s="88" t="n"/>
      <c r="R1871" s="89" t="n"/>
      <c r="S1871" s="88" t="n"/>
      <c r="T1871" s="88" t="n"/>
      <c r="U1871" s="88" t="n"/>
      <c r="V1871" s="89" t="n"/>
      <c r="W1871" s="88" t="n"/>
      <c r="X1871" s="89" t="n"/>
      <c r="Y1871" s="88" t="n"/>
      <c r="Z1871" s="89" t="n"/>
      <c r="AB1871" s="30">
        <f>IF($B1871="","",(COUNTIF(C1871:E1871,"?*")&lt;N(INDEX(Setup!$L$6:$L$23,14)))+(COUNTIF(G1871:I1871,"?*")&lt;N(INDEX(Setup!$L$6:$L$23,14)))+(COUNTIF(K1871:M1871,"?*")&lt;N(INDEX(Setup!$L$6:$L$23,14)))+(COUNTIF(O1871:Q1871,"?*")&lt;N(INDEX(Setup!$L$6:$L$23,14)))+(COUNTIF(S1871:U1871,"?*")&lt;N(INDEX(Setup!$L$6:$L$23,14)))+((W1871="")*(INDEX(Setup!$M$6:$M$23,14)="Y"))+((Y1871="")*(INDEX(Setup!$M$6:$M$23,14)="Y")))</f>
        <v/>
      </c>
      <c r="AC1871" s="91">
        <f>IF($B1871="","",IF(AB1871=0,"✓ covered","⚠ "&amp;AB1871&amp;IF(AB1871=1," gap"," gaps")))</f>
        <v/>
      </c>
    </row>
    <row r="1872" ht="17" customHeight="1">
      <c r="A1872" t="n">
        <v>38</v>
      </c>
      <c r="B1872" s="24">
        <f>IF(Setup!$K$20="","",Setup!$K$20)</f>
        <v/>
      </c>
      <c r="C1872" s="88" t="n"/>
      <c r="D1872" s="88" t="n"/>
      <c r="E1872" s="88" t="n"/>
      <c r="F1872" s="89" t="n"/>
      <c r="G1872" s="88" t="n"/>
      <c r="H1872" s="88" t="n"/>
      <c r="I1872" s="88" t="n"/>
      <c r="J1872" s="89" t="n"/>
      <c r="K1872" s="88" t="n"/>
      <c r="L1872" s="88" t="n"/>
      <c r="M1872" s="88" t="n"/>
      <c r="N1872" s="89" t="n"/>
      <c r="O1872" s="88" t="n"/>
      <c r="P1872" s="88" t="n"/>
      <c r="Q1872" s="88" t="n"/>
      <c r="R1872" s="89" t="n"/>
      <c r="S1872" s="88" t="n"/>
      <c r="T1872" s="88" t="n"/>
      <c r="U1872" s="88" t="n"/>
      <c r="V1872" s="89" t="n"/>
      <c r="W1872" s="88" t="n"/>
      <c r="X1872" s="89" t="n"/>
      <c r="Y1872" s="88" t="n"/>
      <c r="Z1872" s="89" t="n"/>
      <c r="AB1872" s="25">
        <f>IF($B1872="","",(COUNTIF(C1872:E1872,"?*")&lt;N(INDEX(Setup!$L$6:$L$23,15)))+(COUNTIF(G1872:I1872,"?*")&lt;N(INDEX(Setup!$L$6:$L$23,15)))+(COUNTIF(K1872:M1872,"?*")&lt;N(INDEX(Setup!$L$6:$L$23,15)))+(COUNTIF(O1872:Q1872,"?*")&lt;N(INDEX(Setup!$L$6:$L$23,15)))+(COUNTIF(S1872:U1872,"?*")&lt;N(INDEX(Setup!$L$6:$L$23,15)))+((W1872="")*(INDEX(Setup!$M$6:$M$23,15)="Y"))+((Y1872="")*(INDEX(Setup!$M$6:$M$23,15)="Y")))</f>
        <v/>
      </c>
      <c r="AC1872" s="90">
        <f>IF($B1872="","",IF(AB1872=0,"✓ covered","⚠ "&amp;AB1872&amp;IF(AB1872=1," gap"," gaps")))</f>
        <v/>
      </c>
    </row>
    <row r="1873" ht="17" customHeight="1">
      <c r="A1873" t="n">
        <v>38</v>
      </c>
      <c r="B1873" s="29">
        <f>IF(Setup!$K$21="","",Setup!$K$21)</f>
        <v/>
      </c>
      <c r="C1873" s="88" t="n"/>
      <c r="D1873" s="88" t="n"/>
      <c r="E1873" s="88" t="n"/>
      <c r="F1873" s="89" t="n"/>
      <c r="G1873" s="88" t="n"/>
      <c r="H1873" s="88" t="n"/>
      <c r="I1873" s="88" t="n"/>
      <c r="J1873" s="89" t="n"/>
      <c r="K1873" s="88" t="n"/>
      <c r="L1873" s="88" t="n"/>
      <c r="M1873" s="88" t="n"/>
      <c r="N1873" s="89" t="n"/>
      <c r="O1873" s="88" t="n"/>
      <c r="P1873" s="88" t="n"/>
      <c r="Q1873" s="88" t="n"/>
      <c r="R1873" s="89" t="n"/>
      <c r="S1873" s="88" t="n"/>
      <c r="T1873" s="88" t="n"/>
      <c r="U1873" s="88" t="n"/>
      <c r="V1873" s="89" t="n"/>
      <c r="W1873" s="88" t="n"/>
      <c r="X1873" s="89" t="n"/>
      <c r="Y1873" s="88" t="n"/>
      <c r="Z1873" s="89" t="n"/>
      <c r="AB1873" s="30">
        <f>IF($B1873="","",(COUNTIF(C1873:E1873,"?*")&lt;N(INDEX(Setup!$L$6:$L$23,16)))+(COUNTIF(G1873:I1873,"?*")&lt;N(INDEX(Setup!$L$6:$L$23,16)))+(COUNTIF(K1873:M1873,"?*")&lt;N(INDEX(Setup!$L$6:$L$23,16)))+(COUNTIF(O1873:Q1873,"?*")&lt;N(INDEX(Setup!$L$6:$L$23,16)))+(COUNTIF(S1873:U1873,"?*")&lt;N(INDEX(Setup!$L$6:$L$23,16)))+((W1873="")*(INDEX(Setup!$M$6:$M$23,16)="Y"))+((Y1873="")*(INDEX(Setup!$M$6:$M$23,16)="Y")))</f>
        <v/>
      </c>
      <c r="AC1873" s="91">
        <f>IF($B1873="","",IF(AB1873=0,"✓ covered","⚠ "&amp;AB1873&amp;IF(AB1873=1," gap"," gaps")))</f>
        <v/>
      </c>
    </row>
    <row r="1874" ht="17" customHeight="1">
      <c r="A1874" t="n">
        <v>38</v>
      </c>
      <c r="B1874" s="24">
        <f>IF(Setup!$K$22="","",Setup!$K$22)</f>
        <v/>
      </c>
      <c r="C1874" s="88" t="n"/>
      <c r="D1874" s="88" t="n"/>
      <c r="E1874" s="88" t="n"/>
      <c r="F1874" s="89" t="n"/>
      <c r="G1874" s="88" t="n"/>
      <c r="H1874" s="88" t="n"/>
      <c r="I1874" s="88" t="n"/>
      <c r="J1874" s="89" t="n"/>
      <c r="K1874" s="88" t="n"/>
      <c r="L1874" s="88" t="n"/>
      <c r="M1874" s="88" t="n"/>
      <c r="N1874" s="89" t="n"/>
      <c r="O1874" s="88" t="n"/>
      <c r="P1874" s="88" t="n"/>
      <c r="Q1874" s="88" t="n"/>
      <c r="R1874" s="89" t="n"/>
      <c r="S1874" s="88" t="n"/>
      <c r="T1874" s="88" t="n"/>
      <c r="U1874" s="88" t="n"/>
      <c r="V1874" s="89" t="n"/>
      <c r="W1874" s="88" t="n"/>
      <c r="X1874" s="89" t="n"/>
      <c r="Y1874" s="88" t="n"/>
      <c r="Z1874" s="89" t="n"/>
      <c r="AB1874" s="25">
        <f>IF($B1874="","",(COUNTIF(C1874:E1874,"?*")&lt;N(INDEX(Setup!$L$6:$L$23,17)))+(COUNTIF(G1874:I1874,"?*")&lt;N(INDEX(Setup!$L$6:$L$23,17)))+(COUNTIF(K1874:M1874,"?*")&lt;N(INDEX(Setup!$L$6:$L$23,17)))+(COUNTIF(O1874:Q1874,"?*")&lt;N(INDEX(Setup!$L$6:$L$23,17)))+(COUNTIF(S1874:U1874,"?*")&lt;N(INDEX(Setup!$L$6:$L$23,17)))+((W1874="")*(INDEX(Setup!$M$6:$M$23,17)="Y"))+((Y1874="")*(INDEX(Setup!$M$6:$M$23,17)="Y")))</f>
        <v/>
      </c>
      <c r="AC1874" s="90">
        <f>IF($B1874="","",IF(AB1874=0,"✓ covered","⚠ "&amp;AB1874&amp;IF(AB1874=1," gap"," gaps")))</f>
        <v/>
      </c>
    </row>
    <row r="1875" ht="17" customHeight="1">
      <c r="A1875" t="n">
        <v>38</v>
      </c>
      <c r="B1875" s="29">
        <f>IF(Setup!$K$23="","",Setup!$K$23)</f>
        <v/>
      </c>
      <c r="C1875" s="88" t="n"/>
      <c r="D1875" s="88" t="n"/>
      <c r="E1875" s="88" t="n"/>
      <c r="F1875" s="89" t="n"/>
      <c r="G1875" s="88" t="n"/>
      <c r="H1875" s="88" t="n"/>
      <c r="I1875" s="88" t="n"/>
      <c r="J1875" s="89" t="n"/>
      <c r="K1875" s="88" t="n"/>
      <c r="L1875" s="88" t="n"/>
      <c r="M1875" s="88" t="n"/>
      <c r="N1875" s="89" t="n"/>
      <c r="O1875" s="88" t="n"/>
      <c r="P1875" s="88" t="n"/>
      <c r="Q1875" s="88" t="n"/>
      <c r="R1875" s="89" t="n"/>
      <c r="S1875" s="88" t="n"/>
      <c r="T1875" s="88" t="n"/>
      <c r="U1875" s="88" t="n"/>
      <c r="V1875" s="89" t="n"/>
      <c r="W1875" s="88" t="n"/>
      <c r="X1875" s="89" t="n"/>
      <c r="Y1875" s="88" t="n"/>
      <c r="Z1875" s="89" t="n"/>
      <c r="AB1875" s="30">
        <f>IF($B1875="","",(COUNTIF(C1875:E1875,"?*")&lt;N(INDEX(Setup!$L$6:$L$23,18)))+(COUNTIF(G1875:I1875,"?*")&lt;N(INDEX(Setup!$L$6:$L$23,18)))+(COUNTIF(K1875:M1875,"?*")&lt;N(INDEX(Setup!$L$6:$L$23,18)))+(COUNTIF(O1875:Q1875,"?*")&lt;N(INDEX(Setup!$L$6:$L$23,18)))+(COUNTIF(S1875:U1875,"?*")&lt;N(INDEX(Setup!$L$6:$L$23,18)))+((W1875="")*(INDEX(Setup!$M$6:$M$23,18)="Y"))+((Y1875="")*(INDEX(Setup!$M$6:$M$23,18)="Y")))</f>
        <v/>
      </c>
      <c r="AC1875" s="91">
        <f>IF($B1875="","",IF(AB1875=0,"✓ covered","⚠ "&amp;AB1875&amp;IF(AB1875=1," gap"," gaps")))</f>
        <v/>
      </c>
    </row>
    <row r="1876" ht="18" customHeight="1">
      <c r="A1876" t="n">
        <v>38</v>
      </c>
      <c r="B1876" s="78" t="inlineStr">
        <is>
          <t>TEAM AVAILABILITY</t>
        </is>
      </c>
      <c r="C1876" s="92" t="inlineStr">
        <is>
          <t>Mon</t>
        </is>
      </c>
      <c r="D1876" s="93" t="n"/>
      <c r="E1876" s="93" t="n"/>
      <c r="F1876" s="94" t="n"/>
      <c r="G1876" s="92" t="inlineStr">
        <is>
          <t>Tue</t>
        </is>
      </c>
      <c r="H1876" s="93" t="n"/>
      <c r="I1876" s="93" t="n"/>
      <c r="J1876" s="94" t="n"/>
      <c r="K1876" s="92" t="inlineStr">
        <is>
          <t>Wed</t>
        </is>
      </c>
      <c r="L1876" s="93" t="n"/>
      <c r="M1876" s="93" t="n"/>
      <c r="N1876" s="94" t="n"/>
      <c r="O1876" s="92" t="inlineStr">
        <is>
          <t>Thu</t>
        </is>
      </c>
      <c r="P1876" s="93" t="n"/>
      <c r="Q1876" s="93" t="n"/>
      <c r="R1876" s="94" t="n"/>
      <c r="S1876" s="92" t="inlineStr">
        <is>
          <t>Fri</t>
        </is>
      </c>
      <c r="T1876" s="93" t="n"/>
      <c r="U1876" s="93" t="n"/>
      <c r="V1876" s="94" t="n"/>
      <c r="W1876" s="95" t="inlineStr">
        <is>
          <t>Sat</t>
        </is>
      </c>
      <c r="X1876" s="96" t="n"/>
      <c r="Y1876" s="95" t="inlineStr">
        <is>
          <t>Sun</t>
        </is>
      </c>
      <c r="Z1876" s="96" t="n"/>
      <c r="AB1876" s="97" t="inlineStr">
        <is>
          <t>Days rostered</t>
        </is>
      </c>
      <c r="AC1876" s="97" t="inlineStr">
        <is>
          <t>Conflicts</t>
        </is>
      </c>
    </row>
    <row r="1877" ht="15" customHeight="1">
      <c r="A1877" t="n">
        <v>38</v>
      </c>
      <c r="B1877" s="35">
        <f>IF(Setup!$B$6="","",Setup!$B$6)</f>
        <v/>
      </c>
      <c r="C1877" s="98" t="n"/>
      <c r="D1877" s="99" t="n"/>
      <c r="E1877" s="99" t="n"/>
      <c r="F1877" s="100" t="n"/>
      <c r="G1877" s="98" t="n"/>
      <c r="H1877" s="99" t="n"/>
      <c r="I1877" s="99" t="n"/>
      <c r="J1877" s="100" t="n"/>
      <c r="K1877" s="98" t="n"/>
      <c r="L1877" s="99" t="n"/>
      <c r="M1877" s="99" t="n"/>
      <c r="N1877" s="100" t="n"/>
      <c r="O1877" s="98" t="n"/>
      <c r="P1877" s="99" t="n"/>
      <c r="Q1877" s="99" t="n"/>
      <c r="R1877" s="100" t="n"/>
      <c r="S1877" s="98" t="n"/>
      <c r="T1877" s="99" t="n"/>
      <c r="U1877" s="99" t="n"/>
      <c r="V1877" s="100" t="n"/>
      <c r="W1877" s="98" t="n"/>
      <c r="X1877" s="100" t="n"/>
      <c r="Y1877" s="98" t="n"/>
      <c r="Z1877" s="100" t="n"/>
      <c r="AB1877" s="101">
        <f>IF($B1877="","",(COUNTIF(C1858:E1875,$B1877)+COUNTIF(C1858:E1875,$B1877&amp;" ~*")&gt;0)+(COUNTIF(G1858:I1875,$B1877)+COUNTIF(G1858:I1875,$B1877&amp;" ~*")&gt;0)+(COUNTIF(K1858:M1875,$B1877)+COUNTIF(K1858:M1875,$B1877&amp;" ~*")&gt;0)+(COUNTIF(O1858:Q1875,$B1877)+COUNTIF(O1858:Q1875,$B1877&amp;" ~*")&gt;0)+(COUNTIF(S1858:U1875,$B1877)+COUNTIF(S1858:U1875,$B1877&amp;" ~*")&gt;0)+(COUNTIF(W1858:W1875,$B1877)+COUNTIF(W1858:W1875,$B1877&amp;" ~*")&gt;0)+(COUNTIF(Y1858:Y1875,$B1877)+COUNTIF(Y1858:Y1875,$B1877&amp;" ~*")&gt;0))</f>
        <v/>
      </c>
      <c r="AC1877" s="36">
        <f>IF($B1877="","",(IFERROR(INDEX(Setup!$G$33:$G$40,MATCH(C1877,Setup!$B$33:$B$40,0)),0)=1)*(COUNTIF(C1858:E1875,$B1877)+COUNTIF(C1858:E1875,$B1877&amp;" ~*")&gt;0)+(IFERROR(INDEX(Setup!$G$33:$G$40,MATCH(G1877,Setup!$B$33:$B$40,0)),0)=1)*(COUNTIF(G1858:I1875,$B1877)+COUNTIF(G1858:I1875,$B1877&amp;" ~*")&gt;0)+(IFERROR(INDEX(Setup!$G$33:$G$40,MATCH(K1877,Setup!$B$33:$B$40,0)),0)=1)*(COUNTIF(K1858:M1875,$B1877)+COUNTIF(K1858:M1875,$B1877&amp;" ~*")&gt;0)+(IFERROR(INDEX(Setup!$G$33:$G$40,MATCH(O1877,Setup!$B$33:$B$40,0)),0)=1)*(COUNTIF(O1858:Q1875,$B1877)+COUNTIF(O1858:Q1875,$B1877&amp;" ~*")&gt;0)+(IFERROR(INDEX(Setup!$G$33:$G$40,MATCH(S1877,Setup!$B$33:$B$40,0)),0)=1)*(COUNTIF(S1858:U1875,$B1877)+COUNTIF(S1858:U1875,$B1877&amp;" ~*")&gt;0)+(IFERROR(INDEX(Setup!$G$33:$G$40,MATCH(W1877,Setup!$B$33:$B$40,0)),0)=1)*(COUNTIF(W1858:W1875,$B1877)+COUNTIF(W1858:W1875,$B1877&amp;" ~*")&gt;0)+(IFERROR(INDEX(Setup!$G$33:$G$40,MATCH(Y1877,Setup!$B$33:$B$40,0)),0)=1)*(COUNTIF(Y1858:Y1875,$B1877)+COUNTIF(Y1858:Y1875,$B1877&amp;" ~*")&gt;0))</f>
        <v/>
      </c>
    </row>
    <row r="1878" ht="15" customHeight="1">
      <c r="A1878" t="n">
        <v>38</v>
      </c>
      <c r="B1878" s="37">
        <f>IF(Setup!$B$7="","",Setup!$B$7)</f>
        <v/>
      </c>
      <c r="C1878" s="102" t="n"/>
      <c r="D1878" s="103" t="n"/>
      <c r="E1878" s="103" t="n"/>
      <c r="F1878" s="104" t="n"/>
      <c r="G1878" s="102" t="n"/>
      <c r="H1878" s="103" t="n"/>
      <c r="I1878" s="103" t="n"/>
      <c r="J1878" s="104" t="n"/>
      <c r="K1878" s="102" t="n"/>
      <c r="L1878" s="103" t="n"/>
      <c r="M1878" s="103" t="n"/>
      <c r="N1878" s="104" t="n"/>
      <c r="O1878" s="102" t="n"/>
      <c r="P1878" s="103" t="n"/>
      <c r="Q1878" s="103" t="n"/>
      <c r="R1878" s="104" t="n"/>
      <c r="S1878" s="102" t="n"/>
      <c r="T1878" s="103" t="n"/>
      <c r="U1878" s="103" t="n"/>
      <c r="V1878" s="104" t="n"/>
      <c r="W1878" s="102" t="n"/>
      <c r="X1878" s="104" t="n"/>
      <c r="Y1878" s="102" t="n"/>
      <c r="Z1878" s="104" t="n"/>
      <c r="AB1878" s="105">
        <f>IF($B1878="","",(COUNTIF(C1858:E1875,$B1878)+COUNTIF(C1858:E1875,$B1878&amp;" ~*")&gt;0)+(COUNTIF(G1858:I1875,$B1878)+COUNTIF(G1858:I1875,$B1878&amp;" ~*")&gt;0)+(COUNTIF(K1858:M1875,$B1878)+COUNTIF(K1858:M1875,$B1878&amp;" ~*")&gt;0)+(COUNTIF(O1858:Q1875,$B1878)+COUNTIF(O1858:Q1875,$B1878&amp;" ~*")&gt;0)+(COUNTIF(S1858:U1875,$B1878)+COUNTIF(S1858:U1875,$B1878&amp;" ~*")&gt;0)+(COUNTIF(W1858:W1875,$B1878)+COUNTIF(W1858:W1875,$B1878&amp;" ~*")&gt;0)+(COUNTIF(Y1858:Y1875,$B1878)+COUNTIF(Y1858:Y1875,$B1878&amp;" ~*")&gt;0))</f>
        <v/>
      </c>
      <c r="AC1878" s="38">
        <f>IF($B1878="","",(IFERROR(INDEX(Setup!$G$33:$G$40,MATCH(C1878,Setup!$B$33:$B$40,0)),0)=1)*(COUNTIF(C1858:E1875,$B1878)+COUNTIF(C1858:E1875,$B1878&amp;" ~*")&gt;0)+(IFERROR(INDEX(Setup!$G$33:$G$40,MATCH(G1878,Setup!$B$33:$B$40,0)),0)=1)*(COUNTIF(G1858:I1875,$B1878)+COUNTIF(G1858:I1875,$B1878&amp;" ~*")&gt;0)+(IFERROR(INDEX(Setup!$G$33:$G$40,MATCH(K1878,Setup!$B$33:$B$40,0)),0)=1)*(COUNTIF(K1858:M1875,$B1878)+COUNTIF(K1858:M1875,$B1878&amp;" ~*")&gt;0)+(IFERROR(INDEX(Setup!$G$33:$G$40,MATCH(O1878,Setup!$B$33:$B$40,0)),0)=1)*(COUNTIF(O1858:Q1875,$B1878)+COUNTIF(O1858:Q1875,$B1878&amp;" ~*")&gt;0)+(IFERROR(INDEX(Setup!$G$33:$G$40,MATCH(S1878,Setup!$B$33:$B$40,0)),0)=1)*(COUNTIF(S1858:U1875,$B1878)+COUNTIF(S1858:U1875,$B1878&amp;" ~*")&gt;0)+(IFERROR(INDEX(Setup!$G$33:$G$40,MATCH(W1878,Setup!$B$33:$B$40,0)),0)=1)*(COUNTIF(W1858:W1875,$B1878)+COUNTIF(W1858:W1875,$B1878&amp;" ~*")&gt;0)+(IFERROR(INDEX(Setup!$G$33:$G$40,MATCH(Y1878,Setup!$B$33:$B$40,0)),0)=1)*(COUNTIF(Y1858:Y1875,$B1878)+COUNTIF(Y1858:Y1875,$B1878&amp;" ~*")&gt;0))</f>
        <v/>
      </c>
    </row>
    <row r="1879" ht="15" customHeight="1">
      <c r="A1879" t="n">
        <v>38</v>
      </c>
      <c r="B1879" s="35">
        <f>IF(Setup!$B$8="","",Setup!$B$8)</f>
        <v/>
      </c>
      <c r="C1879" s="98" t="n"/>
      <c r="D1879" s="99" t="n"/>
      <c r="E1879" s="99" t="n"/>
      <c r="F1879" s="100" t="n"/>
      <c r="G1879" s="98" t="n"/>
      <c r="H1879" s="99" t="n"/>
      <c r="I1879" s="99" t="n"/>
      <c r="J1879" s="100" t="n"/>
      <c r="K1879" s="98" t="n"/>
      <c r="L1879" s="99" t="n"/>
      <c r="M1879" s="99" t="n"/>
      <c r="N1879" s="100" t="n"/>
      <c r="O1879" s="98" t="n"/>
      <c r="P1879" s="99" t="n"/>
      <c r="Q1879" s="99" t="n"/>
      <c r="R1879" s="100" t="n"/>
      <c r="S1879" s="98" t="n"/>
      <c r="T1879" s="99" t="n"/>
      <c r="U1879" s="99" t="n"/>
      <c r="V1879" s="100" t="n"/>
      <c r="W1879" s="98" t="n"/>
      <c r="X1879" s="100" t="n"/>
      <c r="Y1879" s="98" t="n"/>
      <c r="Z1879" s="100" t="n"/>
      <c r="AB1879" s="101">
        <f>IF($B1879="","",(COUNTIF(C1858:E1875,$B1879)+COUNTIF(C1858:E1875,$B1879&amp;" ~*")&gt;0)+(COUNTIF(G1858:I1875,$B1879)+COUNTIF(G1858:I1875,$B1879&amp;" ~*")&gt;0)+(COUNTIF(K1858:M1875,$B1879)+COUNTIF(K1858:M1875,$B1879&amp;" ~*")&gt;0)+(COUNTIF(O1858:Q1875,$B1879)+COUNTIF(O1858:Q1875,$B1879&amp;" ~*")&gt;0)+(COUNTIF(S1858:U1875,$B1879)+COUNTIF(S1858:U1875,$B1879&amp;" ~*")&gt;0)+(COUNTIF(W1858:W1875,$B1879)+COUNTIF(W1858:W1875,$B1879&amp;" ~*")&gt;0)+(COUNTIF(Y1858:Y1875,$B1879)+COUNTIF(Y1858:Y1875,$B1879&amp;" ~*")&gt;0))</f>
        <v/>
      </c>
      <c r="AC1879" s="36">
        <f>IF($B1879="","",(IFERROR(INDEX(Setup!$G$33:$G$40,MATCH(C1879,Setup!$B$33:$B$40,0)),0)=1)*(COUNTIF(C1858:E1875,$B1879)+COUNTIF(C1858:E1875,$B1879&amp;" ~*")&gt;0)+(IFERROR(INDEX(Setup!$G$33:$G$40,MATCH(G1879,Setup!$B$33:$B$40,0)),0)=1)*(COUNTIF(G1858:I1875,$B1879)+COUNTIF(G1858:I1875,$B1879&amp;" ~*")&gt;0)+(IFERROR(INDEX(Setup!$G$33:$G$40,MATCH(K1879,Setup!$B$33:$B$40,0)),0)=1)*(COUNTIF(K1858:M1875,$B1879)+COUNTIF(K1858:M1875,$B1879&amp;" ~*")&gt;0)+(IFERROR(INDEX(Setup!$G$33:$G$40,MATCH(O1879,Setup!$B$33:$B$40,0)),0)=1)*(COUNTIF(O1858:Q1875,$B1879)+COUNTIF(O1858:Q1875,$B1879&amp;" ~*")&gt;0)+(IFERROR(INDEX(Setup!$G$33:$G$40,MATCH(S1879,Setup!$B$33:$B$40,0)),0)=1)*(COUNTIF(S1858:U1875,$B1879)+COUNTIF(S1858:U1875,$B1879&amp;" ~*")&gt;0)+(IFERROR(INDEX(Setup!$G$33:$G$40,MATCH(W1879,Setup!$B$33:$B$40,0)),0)=1)*(COUNTIF(W1858:W1875,$B1879)+COUNTIF(W1858:W1875,$B1879&amp;" ~*")&gt;0)+(IFERROR(INDEX(Setup!$G$33:$G$40,MATCH(Y1879,Setup!$B$33:$B$40,0)),0)=1)*(COUNTIF(Y1858:Y1875,$B1879)+COUNTIF(Y1858:Y1875,$B1879&amp;" ~*")&gt;0))</f>
        <v/>
      </c>
    </row>
    <row r="1880" ht="15" customHeight="1">
      <c r="A1880" t="n">
        <v>38</v>
      </c>
      <c r="B1880" s="37">
        <f>IF(Setup!$B$9="","",Setup!$B$9)</f>
        <v/>
      </c>
      <c r="C1880" s="102" t="n"/>
      <c r="D1880" s="103" t="n"/>
      <c r="E1880" s="103" t="n"/>
      <c r="F1880" s="104" t="n"/>
      <c r="G1880" s="102" t="n"/>
      <c r="H1880" s="103" t="n"/>
      <c r="I1880" s="103" t="n"/>
      <c r="J1880" s="104" t="n"/>
      <c r="K1880" s="102" t="n"/>
      <c r="L1880" s="103" t="n"/>
      <c r="M1880" s="103" t="n"/>
      <c r="N1880" s="104" t="n"/>
      <c r="O1880" s="102" t="n"/>
      <c r="P1880" s="103" t="n"/>
      <c r="Q1880" s="103" t="n"/>
      <c r="R1880" s="104" t="n"/>
      <c r="S1880" s="102" t="n"/>
      <c r="T1880" s="103" t="n"/>
      <c r="U1880" s="103" t="n"/>
      <c r="V1880" s="104" t="n"/>
      <c r="W1880" s="102" t="n"/>
      <c r="X1880" s="104" t="n"/>
      <c r="Y1880" s="102" t="n"/>
      <c r="Z1880" s="104" t="n"/>
      <c r="AB1880" s="105">
        <f>IF($B1880="","",(COUNTIF(C1858:E1875,$B1880)+COUNTIF(C1858:E1875,$B1880&amp;" ~*")&gt;0)+(COUNTIF(G1858:I1875,$B1880)+COUNTIF(G1858:I1875,$B1880&amp;" ~*")&gt;0)+(COUNTIF(K1858:M1875,$B1880)+COUNTIF(K1858:M1875,$B1880&amp;" ~*")&gt;0)+(COUNTIF(O1858:Q1875,$B1880)+COUNTIF(O1858:Q1875,$B1880&amp;" ~*")&gt;0)+(COUNTIF(S1858:U1875,$B1880)+COUNTIF(S1858:U1875,$B1880&amp;" ~*")&gt;0)+(COUNTIF(W1858:W1875,$B1880)+COUNTIF(W1858:W1875,$B1880&amp;" ~*")&gt;0)+(COUNTIF(Y1858:Y1875,$B1880)+COUNTIF(Y1858:Y1875,$B1880&amp;" ~*")&gt;0))</f>
        <v/>
      </c>
      <c r="AC1880" s="38">
        <f>IF($B1880="","",(IFERROR(INDEX(Setup!$G$33:$G$40,MATCH(C1880,Setup!$B$33:$B$40,0)),0)=1)*(COUNTIF(C1858:E1875,$B1880)+COUNTIF(C1858:E1875,$B1880&amp;" ~*")&gt;0)+(IFERROR(INDEX(Setup!$G$33:$G$40,MATCH(G1880,Setup!$B$33:$B$40,0)),0)=1)*(COUNTIF(G1858:I1875,$B1880)+COUNTIF(G1858:I1875,$B1880&amp;" ~*")&gt;0)+(IFERROR(INDEX(Setup!$G$33:$G$40,MATCH(K1880,Setup!$B$33:$B$40,0)),0)=1)*(COUNTIF(K1858:M1875,$B1880)+COUNTIF(K1858:M1875,$B1880&amp;" ~*")&gt;0)+(IFERROR(INDEX(Setup!$G$33:$G$40,MATCH(O1880,Setup!$B$33:$B$40,0)),0)=1)*(COUNTIF(O1858:Q1875,$B1880)+COUNTIF(O1858:Q1875,$B1880&amp;" ~*")&gt;0)+(IFERROR(INDEX(Setup!$G$33:$G$40,MATCH(S1880,Setup!$B$33:$B$40,0)),0)=1)*(COUNTIF(S1858:U1875,$B1880)+COUNTIF(S1858:U1875,$B1880&amp;" ~*")&gt;0)+(IFERROR(INDEX(Setup!$G$33:$G$40,MATCH(W1880,Setup!$B$33:$B$40,0)),0)=1)*(COUNTIF(W1858:W1875,$B1880)+COUNTIF(W1858:W1875,$B1880&amp;" ~*")&gt;0)+(IFERROR(INDEX(Setup!$G$33:$G$40,MATCH(Y1880,Setup!$B$33:$B$40,0)),0)=1)*(COUNTIF(Y1858:Y1875,$B1880)+COUNTIF(Y1858:Y1875,$B1880&amp;" ~*")&gt;0))</f>
        <v/>
      </c>
    </row>
    <row r="1881" ht="15" customHeight="1">
      <c r="A1881" t="n">
        <v>38</v>
      </c>
      <c r="B1881" s="35">
        <f>IF(Setup!$B$10="","",Setup!$B$10)</f>
        <v/>
      </c>
      <c r="C1881" s="98" t="n"/>
      <c r="D1881" s="99" t="n"/>
      <c r="E1881" s="99" t="n"/>
      <c r="F1881" s="100" t="n"/>
      <c r="G1881" s="98" t="n"/>
      <c r="H1881" s="99" t="n"/>
      <c r="I1881" s="99" t="n"/>
      <c r="J1881" s="100" t="n"/>
      <c r="K1881" s="98" t="n"/>
      <c r="L1881" s="99" t="n"/>
      <c r="M1881" s="99" t="n"/>
      <c r="N1881" s="100" t="n"/>
      <c r="O1881" s="98" t="n"/>
      <c r="P1881" s="99" t="n"/>
      <c r="Q1881" s="99" t="n"/>
      <c r="R1881" s="100" t="n"/>
      <c r="S1881" s="98" t="n"/>
      <c r="T1881" s="99" t="n"/>
      <c r="U1881" s="99" t="n"/>
      <c r="V1881" s="100" t="n"/>
      <c r="W1881" s="98" t="n"/>
      <c r="X1881" s="100" t="n"/>
      <c r="Y1881" s="98" t="n"/>
      <c r="Z1881" s="100" t="n"/>
      <c r="AB1881" s="101">
        <f>IF($B1881="","",(COUNTIF(C1858:E1875,$B1881)+COUNTIF(C1858:E1875,$B1881&amp;" ~*")&gt;0)+(COUNTIF(G1858:I1875,$B1881)+COUNTIF(G1858:I1875,$B1881&amp;" ~*")&gt;0)+(COUNTIF(K1858:M1875,$B1881)+COUNTIF(K1858:M1875,$B1881&amp;" ~*")&gt;0)+(COUNTIF(O1858:Q1875,$B1881)+COUNTIF(O1858:Q1875,$B1881&amp;" ~*")&gt;0)+(COUNTIF(S1858:U1875,$B1881)+COUNTIF(S1858:U1875,$B1881&amp;" ~*")&gt;0)+(COUNTIF(W1858:W1875,$B1881)+COUNTIF(W1858:W1875,$B1881&amp;" ~*")&gt;0)+(COUNTIF(Y1858:Y1875,$B1881)+COUNTIF(Y1858:Y1875,$B1881&amp;" ~*")&gt;0))</f>
        <v/>
      </c>
      <c r="AC1881" s="36">
        <f>IF($B1881="","",(IFERROR(INDEX(Setup!$G$33:$G$40,MATCH(C1881,Setup!$B$33:$B$40,0)),0)=1)*(COUNTIF(C1858:E1875,$B1881)+COUNTIF(C1858:E1875,$B1881&amp;" ~*")&gt;0)+(IFERROR(INDEX(Setup!$G$33:$G$40,MATCH(G1881,Setup!$B$33:$B$40,0)),0)=1)*(COUNTIF(G1858:I1875,$B1881)+COUNTIF(G1858:I1875,$B1881&amp;" ~*")&gt;0)+(IFERROR(INDEX(Setup!$G$33:$G$40,MATCH(K1881,Setup!$B$33:$B$40,0)),0)=1)*(COUNTIF(K1858:M1875,$B1881)+COUNTIF(K1858:M1875,$B1881&amp;" ~*")&gt;0)+(IFERROR(INDEX(Setup!$G$33:$G$40,MATCH(O1881,Setup!$B$33:$B$40,0)),0)=1)*(COUNTIF(O1858:Q1875,$B1881)+COUNTIF(O1858:Q1875,$B1881&amp;" ~*")&gt;0)+(IFERROR(INDEX(Setup!$G$33:$G$40,MATCH(S1881,Setup!$B$33:$B$40,0)),0)=1)*(COUNTIF(S1858:U1875,$B1881)+COUNTIF(S1858:U1875,$B1881&amp;" ~*")&gt;0)+(IFERROR(INDEX(Setup!$G$33:$G$40,MATCH(W1881,Setup!$B$33:$B$40,0)),0)=1)*(COUNTIF(W1858:W1875,$B1881)+COUNTIF(W1858:W1875,$B1881&amp;" ~*")&gt;0)+(IFERROR(INDEX(Setup!$G$33:$G$40,MATCH(Y1881,Setup!$B$33:$B$40,0)),0)=1)*(COUNTIF(Y1858:Y1875,$B1881)+COUNTIF(Y1858:Y1875,$B1881&amp;" ~*")&gt;0))</f>
        <v/>
      </c>
    </row>
    <row r="1882" ht="15" customHeight="1">
      <c r="A1882" t="n">
        <v>38</v>
      </c>
      <c r="B1882" s="37">
        <f>IF(Setup!$B$11="","",Setup!$B$11)</f>
        <v/>
      </c>
      <c r="C1882" s="102" t="n"/>
      <c r="D1882" s="103" t="n"/>
      <c r="E1882" s="103" t="n"/>
      <c r="F1882" s="104" t="n"/>
      <c r="G1882" s="102" t="n"/>
      <c r="H1882" s="103" t="n"/>
      <c r="I1882" s="103" t="n"/>
      <c r="J1882" s="104" t="n"/>
      <c r="K1882" s="102" t="n"/>
      <c r="L1882" s="103" t="n"/>
      <c r="M1882" s="103" t="n"/>
      <c r="N1882" s="104" t="n"/>
      <c r="O1882" s="102" t="n"/>
      <c r="P1882" s="103" t="n"/>
      <c r="Q1882" s="103" t="n"/>
      <c r="R1882" s="104" t="n"/>
      <c r="S1882" s="102" t="n"/>
      <c r="T1882" s="103" t="n"/>
      <c r="U1882" s="103" t="n"/>
      <c r="V1882" s="104" t="n"/>
      <c r="W1882" s="102" t="n"/>
      <c r="X1882" s="104" t="n"/>
      <c r="Y1882" s="102" t="n"/>
      <c r="Z1882" s="104" t="n"/>
      <c r="AB1882" s="105">
        <f>IF($B1882="","",(COUNTIF(C1858:E1875,$B1882)+COUNTIF(C1858:E1875,$B1882&amp;" ~*")&gt;0)+(COUNTIF(G1858:I1875,$B1882)+COUNTIF(G1858:I1875,$B1882&amp;" ~*")&gt;0)+(COUNTIF(K1858:M1875,$B1882)+COUNTIF(K1858:M1875,$B1882&amp;" ~*")&gt;0)+(COUNTIF(O1858:Q1875,$B1882)+COUNTIF(O1858:Q1875,$B1882&amp;" ~*")&gt;0)+(COUNTIF(S1858:U1875,$B1882)+COUNTIF(S1858:U1875,$B1882&amp;" ~*")&gt;0)+(COUNTIF(W1858:W1875,$B1882)+COUNTIF(W1858:W1875,$B1882&amp;" ~*")&gt;0)+(COUNTIF(Y1858:Y1875,$B1882)+COUNTIF(Y1858:Y1875,$B1882&amp;" ~*")&gt;0))</f>
        <v/>
      </c>
      <c r="AC1882" s="38">
        <f>IF($B1882="","",(IFERROR(INDEX(Setup!$G$33:$G$40,MATCH(C1882,Setup!$B$33:$B$40,0)),0)=1)*(COUNTIF(C1858:E1875,$B1882)+COUNTIF(C1858:E1875,$B1882&amp;" ~*")&gt;0)+(IFERROR(INDEX(Setup!$G$33:$G$40,MATCH(G1882,Setup!$B$33:$B$40,0)),0)=1)*(COUNTIF(G1858:I1875,$B1882)+COUNTIF(G1858:I1875,$B1882&amp;" ~*")&gt;0)+(IFERROR(INDEX(Setup!$G$33:$G$40,MATCH(K1882,Setup!$B$33:$B$40,0)),0)=1)*(COUNTIF(K1858:M1875,$B1882)+COUNTIF(K1858:M1875,$B1882&amp;" ~*")&gt;0)+(IFERROR(INDEX(Setup!$G$33:$G$40,MATCH(O1882,Setup!$B$33:$B$40,0)),0)=1)*(COUNTIF(O1858:Q1875,$B1882)+COUNTIF(O1858:Q1875,$B1882&amp;" ~*")&gt;0)+(IFERROR(INDEX(Setup!$G$33:$G$40,MATCH(S1882,Setup!$B$33:$B$40,0)),0)=1)*(COUNTIF(S1858:U1875,$B1882)+COUNTIF(S1858:U1875,$B1882&amp;" ~*")&gt;0)+(IFERROR(INDEX(Setup!$G$33:$G$40,MATCH(W1882,Setup!$B$33:$B$40,0)),0)=1)*(COUNTIF(W1858:W1875,$B1882)+COUNTIF(W1858:W1875,$B1882&amp;" ~*")&gt;0)+(IFERROR(INDEX(Setup!$G$33:$G$40,MATCH(Y1882,Setup!$B$33:$B$40,0)),0)=1)*(COUNTIF(Y1858:Y1875,$B1882)+COUNTIF(Y1858:Y1875,$B1882&amp;" ~*")&gt;0))</f>
        <v/>
      </c>
    </row>
    <row r="1883" ht="15" customHeight="1">
      <c r="A1883" t="n">
        <v>38</v>
      </c>
      <c r="B1883" s="35">
        <f>IF(Setup!$B$12="","",Setup!$B$12)</f>
        <v/>
      </c>
      <c r="C1883" s="98" t="n"/>
      <c r="D1883" s="99" t="n"/>
      <c r="E1883" s="99" t="n"/>
      <c r="F1883" s="100" t="n"/>
      <c r="G1883" s="98" t="n"/>
      <c r="H1883" s="99" t="n"/>
      <c r="I1883" s="99" t="n"/>
      <c r="J1883" s="100" t="n"/>
      <c r="K1883" s="98" t="n"/>
      <c r="L1883" s="99" t="n"/>
      <c r="M1883" s="99" t="n"/>
      <c r="N1883" s="100" t="n"/>
      <c r="O1883" s="98" t="n"/>
      <c r="P1883" s="99" t="n"/>
      <c r="Q1883" s="99" t="n"/>
      <c r="R1883" s="100" t="n"/>
      <c r="S1883" s="98" t="n"/>
      <c r="T1883" s="99" t="n"/>
      <c r="U1883" s="99" t="n"/>
      <c r="V1883" s="100" t="n"/>
      <c r="W1883" s="98" t="n"/>
      <c r="X1883" s="100" t="n"/>
      <c r="Y1883" s="98" t="n"/>
      <c r="Z1883" s="100" t="n"/>
      <c r="AB1883" s="101">
        <f>IF($B1883="","",(COUNTIF(C1858:E1875,$B1883)+COUNTIF(C1858:E1875,$B1883&amp;" ~*")&gt;0)+(COUNTIF(G1858:I1875,$B1883)+COUNTIF(G1858:I1875,$B1883&amp;" ~*")&gt;0)+(COUNTIF(K1858:M1875,$B1883)+COUNTIF(K1858:M1875,$B1883&amp;" ~*")&gt;0)+(COUNTIF(O1858:Q1875,$B1883)+COUNTIF(O1858:Q1875,$B1883&amp;" ~*")&gt;0)+(COUNTIF(S1858:U1875,$B1883)+COUNTIF(S1858:U1875,$B1883&amp;" ~*")&gt;0)+(COUNTIF(W1858:W1875,$B1883)+COUNTIF(W1858:W1875,$B1883&amp;" ~*")&gt;0)+(COUNTIF(Y1858:Y1875,$B1883)+COUNTIF(Y1858:Y1875,$B1883&amp;" ~*")&gt;0))</f>
        <v/>
      </c>
      <c r="AC1883" s="36">
        <f>IF($B1883="","",(IFERROR(INDEX(Setup!$G$33:$G$40,MATCH(C1883,Setup!$B$33:$B$40,0)),0)=1)*(COUNTIF(C1858:E1875,$B1883)+COUNTIF(C1858:E1875,$B1883&amp;" ~*")&gt;0)+(IFERROR(INDEX(Setup!$G$33:$G$40,MATCH(G1883,Setup!$B$33:$B$40,0)),0)=1)*(COUNTIF(G1858:I1875,$B1883)+COUNTIF(G1858:I1875,$B1883&amp;" ~*")&gt;0)+(IFERROR(INDEX(Setup!$G$33:$G$40,MATCH(K1883,Setup!$B$33:$B$40,0)),0)=1)*(COUNTIF(K1858:M1875,$B1883)+COUNTIF(K1858:M1875,$B1883&amp;" ~*")&gt;0)+(IFERROR(INDEX(Setup!$G$33:$G$40,MATCH(O1883,Setup!$B$33:$B$40,0)),0)=1)*(COUNTIF(O1858:Q1875,$B1883)+COUNTIF(O1858:Q1875,$B1883&amp;" ~*")&gt;0)+(IFERROR(INDEX(Setup!$G$33:$G$40,MATCH(S1883,Setup!$B$33:$B$40,0)),0)=1)*(COUNTIF(S1858:U1875,$B1883)+COUNTIF(S1858:U1875,$B1883&amp;" ~*")&gt;0)+(IFERROR(INDEX(Setup!$G$33:$G$40,MATCH(W1883,Setup!$B$33:$B$40,0)),0)=1)*(COUNTIF(W1858:W1875,$B1883)+COUNTIF(W1858:W1875,$B1883&amp;" ~*")&gt;0)+(IFERROR(INDEX(Setup!$G$33:$G$40,MATCH(Y1883,Setup!$B$33:$B$40,0)),0)=1)*(COUNTIF(Y1858:Y1875,$B1883)+COUNTIF(Y1858:Y1875,$B1883&amp;" ~*")&gt;0))</f>
        <v/>
      </c>
    </row>
    <row r="1884" ht="15" customHeight="1">
      <c r="A1884" t="n">
        <v>38</v>
      </c>
      <c r="B1884" s="37">
        <f>IF(Setup!$B$13="","",Setup!$B$13)</f>
        <v/>
      </c>
      <c r="C1884" s="102" t="n"/>
      <c r="D1884" s="103" t="n"/>
      <c r="E1884" s="103" t="n"/>
      <c r="F1884" s="104" t="n"/>
      <c r="G1884" s="102" t="n"/>
      <c r="H1884" s="103" t="n"/>
      <c r="I1884" s="103" t="n"/>
      <c r="J1884" s="104" t="n"/>
      <c r="K1884" s="102" t="n"/>
      <c r="L1884" s="103" t="n"/>
      <c r="M1884" s="103" t="n"/>
      <c r="N1884" s="104" t="n"/>
      <c r="O1884" s="102" t="n"/>
      <c r="P1884" s="103" t="n"/>
      <c r="Q1884" s="103" t="n"/>
      <c r="R1884" s="104" t="n"/>
      <c r="S1884" s="102" t="n"/>
      <c r="T1884" s="103" t="n"/>
      <c r="U1884" s="103" t="n"/>
      <c r="V1884" s="104" t="n"/>
      <c r="W1884" s="102" t="n"/>
      <c r="X1884" s="104" t="n"/>
      <c r="Y1884" s="102" t="n"/>
      <c r="Z1884" s="104" t="n"/>
      <c r="AB1884" s="105">
        <f>IF($B1884="","",(COUNTIF(C1858:E1875,$B1884)+COUNTIF(C1858:E1875,$B1884&amp;" ~*")&gt;0)+(COUNTIF(G1858:I1875,$B1884)+COUNTIF(G1858:I1875,$B1884&amp;" ~*")&gt;0)+(COUNTIF(K1858:M1875,$B1884)+COUNTIF(K1858:M1875,$B1884&amp;" ~*")&gt;0)+(COUNTIF(O1858:Q1875,$B1884)+COUNTIF(O1858:Q1875,$B1884&amp;" ~*")&gt;0)+(COUNTIF(S1858:U1875,$B1884)+COUNTIF(S1858:U1875,$B1884&amp;" ~*")&gt;0)+(COUNTIF(W1858:W1875,$B1884)+COUNTIF(W1858:W1875,$B1884&amp;" ~*")&gt;0)+(COUNTIF(Y1858:Y1875,$B1884)+COUNTIF(Y1858:Y1875,$B1884&amp;" ~*")&gt;0))</f>
        <v/>
      </c>
      <c r="AC1884" s="38">
        <f>IF($B1884="","",(IFERROR(INDEX(Setup!$G$33:$G$40,MATCH(C1884,Setup!$B$33:$B$40,0)),0)=1)*(COUNTIF(C1858:E1875,$B1884)+COUNTIF(C1858:E1875,$B1884&amp;" ~*")&gt;0)+(IFERROR(INDEX(Setup!$G$33:$G$40,MATCH(G1884,Setup!$B$33:$B$40,0)),0)=1)*(COUNTIF(G1858:I1875,$B1884)+COUNTIF(G1858:I1875,$B1884&amp;" ~*")&gt;0)+(IFERROR(INDEX(Setup!$G$33:$G$40,MATCH(K1884,Setup!$B$33:$B$40,0)),0)=1)*(COUNTIF(K1858:M1875,$B1884)+COUNTIF(K1858:M1875,$B1884&amp;" ~*")&gt;0)+(IFERROR(INDEX(Setup!$G$33:$G$40,MATCH(O1884,Setup!$B$33:$B$40,0)),0)=1)*(COUNTIF(O1858:Q1875,$B1884)+COUNTIF(O1858:Q1875,$B1884&amp;" ~*")&gt;0)+(IFERROR(INDEX(Setup!$G$33:$G$40,MATCH(S1884,Setup!$B$33:$B$40,0)),0)=1)*(COUNTIF(S1858:U1875,$B1884)+COUNTIF(S1858:U1875,$B1884&amp;" ~*")&gt;0)+(IFERROR(INDEX(Setup!$G$33:$G$40,MATCH(W1884,Setup!$B$33:$B$40,0)),0)=1)*(COUNTIF(W1858:W1875,$B1884)+COUNTIF(W1858:W1875,$B1884&amp;" ~*")&gt;0)+(IFERROR(INDEX(Setup!$G$33:$G$40,MATCH(Y1884,Setup!$B$33:$B$40,0)),0)=1)*(COUNTIF(Y1858:Y1875,$B1884)+COUNTIF(Y1858:Y1875,$B1884&amp;" ~*")&gt;0))</f>
        <v/>
      </c>
    </row>
    <row r="1885" ht="15" customHeight="1">
      <c r="A1885" t="n">
        <v>38</v>
      </c>
      <c r="B1885" s="35">
        <f>IF(Setup!$B$14="","",Setup!$B$14)</f>
        <v/>
      </c>
      <c r="C1885" s="98" t="n"/>
      <c r="D1885" s="99" t="n"/>
      <c r="E1885" s="99" t="n"/>
      <c r="F1885" s="100" t="n"/>
      <c r="G1885" s="98" t="n"/>
      <c r="H1885" s="99" t="n"/>
      <c r="I1885" s="99" t="n"/>
      <c r="J1885" s="100" t="n"/>
      <c r="K1885" s="98" t="n"/>
      <c r="L1885" s="99" t="n"/>
      <c r="M1885" s="99" t="n"/>
      <c r="N1885" s="100" t="n"/>
      <c r="O1885" s="98" t="n"/>
      <c r="P1885" s="99" t="n"/>
      <c r="Q1885" s="99" t="n"/>
      <c r="R1885" s="100" t="n"/>
      <c r="S1885" s="98" t="n"/>
      <c r="T1885" s="99" t="n"/>
      <c r="U1885" s="99" t="n"/>
      <c r="V1885" s="100" t="n"/>
      <c r="W1885" s="98" t="n"/>
      <c r="X1885" s="100" t="n"/>
      <c r="Y1885" s="98" t="n"/>
      <c r="Z1885" s="100" t="n"/>
      <c r="AB1885" s="101">
        <f>IF($B1885="","",(COUNTIF(C1858:E1875,$B1885)+COUNTIF(C1858:E1875,$B1885&amp;" ~*")&gt;0)+(COUNTIF(G1858:I1875,$B1885)+COUNTIF(G1858:I1875,$B1885&amp;" ~*")&gt;0)+(COUNTIF(K1858:M1875,$B1885)+COUNTIF(K1858:M1875,$B1885&amp;" ~*")&gt;0)+(COUNTIF(O1858:Q1875,$B1885)+COUNTIF(O1858:Q1875,$B1885&amp;" ~*")&gt;0)+(COUNTIF(S1858:U1875,$B1885)+COUNTIF(S1858:U1875,$B1885&amp;" ~*")&gt;0)+(COUNTIF(W1858:W1875,$B1885)+COUNTIF(W1858:W1875,$B1885&amp;" ~*")&gt;0)+(COUNTIF(Y1858:Y1875,$B1885)+COUNTIF(Y1858:Y1875,$B1885&amp;" ~*")&gt;0))</f>
        <v/>
      </c>
      <c r="AC1885" s="36">
        <f>IF($B1885="","",(IFERROR(INDEX(Setup!$G$33:$G$40,MATCH(C1885,Setup!$B$33:$B$40,0)),0)=1)*(COUNTIF(C1858:E1875,$B1885)+COUNTIF(C1858:E1875,$B1885&amp;" ~*")&gt;0)+(IFERROR(INDEX(Setup!$G$33:$G$40,MATCH(G1885,Setup!$B$33:$B$40,0)),0)=1)*(COUNTIF(G1858:I1875,$B1885)+COUNTIF(G1858:I1875,$B1885&amp;" ~*")&gt;0)+(IFERROR(INDEX(Setup!$G$33:$G$40,MATCH(K1885,Setup!$B$33:$B$40,0)),0)=1)*(COUNTIF(K1858:M1875,$B1885)+COUNTIF(K1858:M1875,$B1885&amp;" ~*")&gt;0)+(IFERROR(INDEX(Setup!$G$33:$G$40,MATCH(O1885,Setup!$B$33:$B$40,0)),0)=1)*(COUNTIF(O1858:Q1875,$B1885)+COUNTIF(O1858:Q1875,$B1885&amp;" ~*")&gt;0)+(IFERROR(INDEX(Setup!$G$33:$G$40,MATCH(S1885,Setup!$B$33:$B$40,0)),0)=1)*(COUNTIF(S1858:U1875,$B1885)+COUNTIF(S1858:U1875,$B1885&amp;" ~*")&gt;0)+(IFERROR(INDEX(Setup!$G$33:$G$40,MATCH(W1885,Setup!$B$33:$B$40,0)),0)=1)*(COUNTIF(W1858:W1875,$B1885)+COUNTIF(W1858:W1875,$B1885&amp;" ~*")&gt;0)+(IFERROR(INDEX(Setup!$G$33:$G$40,MATCH(Y1885,Setup!$B$33:$B$40,0)),0)=1)*(COUNTIF(Y1858:Y1875,$B1885)+COUNTIF(Y1858:Y1875,$B1885&amp;" ~*")&gt;0))</f>
        <v/>
      </c>
    </row>
    <row r="1886" ht="15" customHeight="1">
      <c r="A1886" t="n">
        <v>38</v>
      </c>
      <c r="B1886" s="37">
        <f>IF(Setup!$B$15="","",Setup!$B$15)</f>
        <v/>
      </c>
      <c r="C1886" s="102" t="n"/>
      <c r="D1886" s="103" t="n"/>
      <c r="E1886" s="103" t="n"/>
      <c r="F1886" s="104" t="n"/>
      <c r="G1886" s="102" t="n"/>
      <c r="H1886" s="103" t="n"/>
      <c r="I1886" s="103" t="n"/>
      <c r="J1886" s="104" t="n"/>
      <c r="K1886" s="102" t="n"/>
      <c r="L1886" s="103" t="n"/>
      <c r="M1886" s="103" t="n"/>
      <c r="N1886" s="104" t="n"/>
      <c r="O1886" s="102" t="n"/>
      <c r="P1886" s="103" t="n"/>
      <c r="Q1886" s="103" t="n"/>
      <c r="R1886" s="104" t="n"/>
      <c r="S1886" s="102" t="n"/>
      <c r="T1886" s="103" t="n"/>
      <c r="U1886" s="103" t="n"/>
      <c r="V1886" s="104" t="n"/>
      <c r="W1886" s="102" t="n"/>
      <c r="X1886" s="104" t="n"/>
      <c r="Y1886" s="102" t="n"/>
      <c r="Z1886" s="104" t="n"/>
      <c r="AB1886" s="105">
        <f>IF($B1886="","",(COUNTIF(C1858:E1875,$B1886)+COUNTIF(C1858:E1875,$B1886&amp;" ~*")&gt;0)+(COUNTIF(G1858:I1875,$B1886)+COUNTIF(G1858:I1875,$B1886&amp;" ~*")&gt;0)+(COUNTIF(K1858:M1875,$B1886)+COUNTIF(K1858:M1875,$B1886&amp;" ~*")&gt;0)+(COUNTIF(O1858:Q1875,$B1886)+COUNTIF(O1858:Q1875,$B1886&amp;" ~*")&gt;0)+(COUNTIF(S1858:U1875,$B1886)+COUNTIF(S1858:U1875,$B1886&amp;" ~*")&gt;0)+(COUNTIF(W1858:W1875,$B1886)+COUNTIF(W1858:W1875,$B1886&amp;" ~*")&gt;0)+(COUNTIF(Y1858:Y1875,$B1886)+COUNTIF(Y1858:Y1875,$B1886&amp;" ~*")&gt;0))</f>
        <v/>
      </c>
      <c r="AC1886" s="38">
        <f>IF($B1886="","",(IFERROR(INDEX(Setup!$G$33:$G$40,MATCH(C1886,Setup!$B$33:$B$40,0)),0)=1)*(COUNTIF(C1858:E1875,$B1886)+COUNTIF(C1858:E1875,$B1886&amp;" ~*")&gt;0)+(IFERROR(INDEX(Setup!$G$33:$G$40,MATCH(G1886,Setup!$B$33:$B$40,0)),0)=1)*(COUNTIF(G1858:I1875,$B1886)+COUNTIF(G1858:I1875,$B1886&amp;" ~*")&gt;0)+(IFERROR(INDEX(Setup!$G$33:$G$40,MATCH(K1886,Setup!$B$33:$B$40,0)),0)=1)*(COUNTIF(K1858:M1875,$B1886)+COUNTIF(K1858:M1875,$B1886&amp;" ~*")&gt;0)+(IFERROR(INDEX(Setup!$G$33:$G$40,MATCH(O1886,Setup!$B$33:$B$40,0)),0)=1)*(COUNTIF(O1858:Q1875,$B1886)+COUNTIF(O1858:Q1875,$B1886&amp;" ~*")&gt;0)+(IFERROR(INDEX(Setup!$G$33:$G$40,MATCH(S1886,Setup!$B$33:$B$40,0)),0)=1)*(COUNTIF(S1858:U1875,$B1886)+COUNTIF(S1858:U1875,$B1886&amp;" ~*")&gt;0)+(IFERROR(INDEX(Setup!$G$33:$G$40,MATCH(W1886,Setup!$B$33:$B$40,0)),0)=1)*(COUNTIF(W1858:W1875,$B1886)+COUNTIF(W1858:W1875,$B1886&amp;" ~*")&gt;0)+(IFERROR(INDEX(Setup!$G$33:$G$40,MATCH(Y1886,Setup!$B$33:$B$40,0)),0)=1)*(COUNTIF(Y1858:Y1875,$B1886)+COUNTIF(Y1858:Y1875,$B1886&amp;" ~*")&gt;0))</f>
        <v/>
      </c>
    </row>
    <row r="1887" ht="15" customHeight="1">
      <c r="A1887" t="n">
        <v>38</v>
      </c>
      <c r="B1887" s="35">
        <f>IF(Setup!$B$16="","",Setup!$B$16)</f>
        <v/>
      </c>
      <c r="C1887" s="98" t="n"/>
      <c r="D1887" s="99" t="n"/>
      <c r="E1887" s="99" t="n"/>
      <c r="F1887" s="100" t="n"/>
      <c r="G1887" s="98" t="n"/>
      <c r="H1887" s="99" t="n"/>
      <c r="I1887" s="99" t="n"/>
      <c r="J1887" s="100" t="n"/>
      <c r="K1887" s="98" t="n"/>
      <c r="L1887" s="99" t="n"/>
      <c r="M1887" s="99" t="n"/>
      <c r="N1887" s="100" t="n"/>
      <c r="O1887" s="98" t="n"/>
      <c r="P1887" s="99" t="n"/>
      <c r="Q1887" s="99" t="n"/>
      <c r="R1887" s="100" t="n"/>
      <c r="S1887" s="98" t="n"/>
      <c r="T1887" s="99" t="n"/>
      <c r="U1887" s="99" t="n"/>
      <c r="V1887" s="100" t="n"/>
      <c r="W1887" s="98" t="n"/>
      <c r="X1887" s="100" t="n"/>
      <c r="Y1887" s="98" t="n"/>
      <c r="Z1887" s="100" t="n"/>
      <c r="AB1887" s="101">
        <f>IF($B1887="","",(COUNTIF(C1858:E1875,$B1887)+COUNTIF(C1858:E1875,$B1887&amp;" ~*")&gt;0)+(COUNTIF(G1858:I1875,$B1887)+COUNTIF(G1858:I1875,$B1887&amp;" ~*")&gt;0)+(COUNTIF(K1858:M1875,$B1887)+COUNTIF(K1858:M1875,$B1887&amp;" ~*")&gt;0)+(COUNTIF(O1858:Q1875,$B1887)+COUNTIF(O1858:Q1875,$B1887&amp;" ~*")&gt;0)+(COUNTIF(S1858:U1875,$B1887)+COUNTIF(S1858:U1875,$B1887&amp;" ~*")&gt;0)+(COUNTIF(W1858:W1875,$B1887)+COUNTIF(W1858:W1875,$B1887&amp;" ~*")&gt;0)+(COUNTIF(Y1858:Y1875,$B1887)+COUNTIF(Y1858:Y1875,$B1887&amp;" ~*")&gt;0))</f>
        <v/>
      </c>
      <c r="AC1887" s="36">
        <f>IF($B1887="","",(IFERROR(INDEX(Setup!$G$33:$G$40,MATCH(C1887,Setup!$B$33:$B$40,0)),0)=1)*(COUNTIF(C1858:E1875,$B1887)+COUNTIF(C1858:E1875,$B1887&amp;" ~*")&gt;0)+(IFERROR(INDEX(Setup!$G$33:$G$40,MATCH(G1887,Setup!$B$33:$B$40,0)),0)=1)*(COUNTIF(G1858:I1875,$B1887)+COUNTIF(G1858:I1875,$B1887&amp;" ~*")&gt;0)+(IFERROR(INDEX(Setup!$G$33:$G$40,MATCH(K1887,Setup!$B$33:$B$40,0)),0)=1)*(COUNTIF(K1858:M1875,$B1887)+COUNTIF(K1858:M1875,$B1887&amp;" ~*")&gt;0)+(IFERROR(INDEX(Setup!$G$33:$G$40,MATCH(O1887,Setup!$B$33:$B$40,0)),0)=1)*(COUNTIF(O1858:Q1875,$B1887)+COUNTIF(O1858:Q1875,$B1887&amp;" ~*")&gt;0)+(IFERROR(INDEX(Setup!$G$33:$G$40,MATCH(S1887,Setup!$B$33:$B$40,0)),0)=1)*(COUNTIF(S1858:U1875,$B1887)+COUNTIF(S1858:U1875,$B1887&amp;" ~*")&gt;0)+(IFERROR(INDEX(Setup!$G$33:$G$40,MATCH(W1887,Setup!$B$33:$B$40,0)),0)=1)*(COUNTIF(W1858:W1875,$B1887)+COUNTIF(W1858:W1875,$B1887&amp;" ~*")&gt;0)+(IFERROR(INDEX(Setup!$G$33:$G$40,MATCH(Y1887,Setup!$B$33:$B$40,0)),0)=1)*(COUNTIF(Y1858:Y1875,$B1887)+COUNTIF(Y1858:Y1875,$B1887&amp;" ~*")&gt;0))</f>
        <v/>
      </c>
    </row>
    <row r="1888" ht="15" customHeight="1">
      <c r="A1888" t="n">
        <v>38</v>
      </c>
      <c r="B1888" s="37">
        <f>IF(Setup!$B$17="","",Setup!$B$17)</f>
        <v/>
      </c>
      <c r="C1888" s="102" t="n"/>
      <c r="D1888" s="103" t="n"/>
      <c r="E1888" s="103" t="n"/>
      <c r="F1888" s="104" t="n"/>
      <c r="G1888" s="102" t="n"/>
      <c r="H1888" s="103" t="n"/>
      <c r="I1888" s="103" t="n"/>
      <c r="J1888" s="104" t="n"/>
      <c r="K1888" s="102" t="n"/>
      <c r="L1888" s="103" t="n"/>
      <c r="M1888" s="103" t="n"/>
      <c r="N1888" s="104" t="n"/>
      <c r="O1888" s="102" t="n"/>
      <c r="P1888" s="103" t="n"/>
      <c r="Q1888" s="103" t="n"/>
      <c r="R1888" s="104" t="n"/>
      <c r="S1888" s="102" t="n"/>
      <c r="T1888" s="103" t="n"/>
      <c r="U1888" s="103" t="n"/>
      <c r="V1888" s="104" t="n"/>
      <c r="W1888" s="102" t="n"/>
      <c r="X1888" s="104" t="n"/>
      <c r="Y1888" s="102" t="n"/>
      <c r="Z1888" s="104" t="n"/>
      <c r="AB1888" s="105">
        <f>IF($B1888="","",(COUNTIF(C1858:E1875,$B1888)+COUNTIF(C1858:E1875,$B1888&amp;" ~*")&gt;0)+(COUNTIF(G1858:I1875,$B1888)+COUNTIF(G1858:I1875,$B1888&amp;" ~*")&gt;0)+(COUNTIF(K1858:M1875,$B1888)+COUNTIF(K1858:M1875,$B1888&amp;" ~*")&gt;0)+(COUNTIF(O1858:Q1875,$B1888)+COUNTIF(O1858:Q1875,$B1888&amp;" ~*")&gt;0)+(COUNTIF(S1858:U1875,$B1888)+COUNTIF(S1858:U1875,$B1888&amp;" ~*")&gt;0)+(COUNTIF(W1858:W1875,$B1888)+COUNTIF(W1858:W1875,$B1888&amp;" ~*")&gt;0)+(COUNTIF(Y1858:Y1875,$B1888)+COUNTIF(Y1858:Y1875,$B1888&amp;" ~*")&gt;0))</f>
        <v/>
      </c>
      <c r="AC1888" s="38">
        <f>IF($B1888="","",(IFERROR(INDEX(Setup!$G$33:$G$40,MATCH(C1888,Setup!$B$33:$B$40,0)),0)=1)*(COUNTIF(C1858:E1875,$B1888)+COUNTIF(C1858:E1875,$B1888&amp;" ~*")&gt;0)+(IFERROR(INDEX(Setup!$G$33:$G$40,MATCH(G1888,Setup!$B$33:$B$40,0)),0)=1)*(COUNTIF(G1858:I1875,$B1888)+COUNTIF(G1858:I1875,$B1888&amp;" ~*")&gt;0)+(IFERROR(INDEX(Setup!$G$33:$G$40,MATCH(K1888,Setup!$B$33:$B$40,0)),0)=1)*(COUNTIF(K1858:M1875,$B1888)+COUNTIF(K1858:M1875,$B1888&amp;" ~*")&gt;0)+(IFERROR(INDEX(Setup!$G$33:$G$40,MATCH(O1888,Setup!$B$33:$B$40,0)),0)=1)*(COUNTIF(O1858:Q1875,$B1888)+COUNTIF(O1858:Q1875,$B1888&amp;" ~*")&gt;0)+(IFERROR(INDEX(Setup!$G$33:$G$40,MATCH(S1888,Setup!$B$33:$B$40,0)),0)=1)*(COUNTIF(S1858:U1875,$B1888)+COUNTIF(S1858:U1875,$B1888&amp;" ~*")&gt;0)+(IFERROR(INDEX(Setup!$G$33:$G$40,MATCH(W1888,Setup!$B$33:$B$40,0)),0)=1)*(COUNTIF(W1858:W1875,$B1888)+COUNTIF(W1858:W1875,$B1888&amp;" ~*")&gt;0)+(IFERROR(INDEX(Setup!$G$33:$G$40,MATCH(Y1888,Setup!$B$33:$B$40,0)),0)=1)*(COUNTIF(Y1858:Y1875,$B1888)+COUNTIF(Y1858:Y1875,$B1888&amp;" ~*")&gt;0))</f>
        <v/>
      </c>
    </row>
    <row r="1889" ht="15" customHeight="1">
      <c r="A1889" t="n">
        <v>38</v>
      </c>
      <c r="B1889" s="35">
        <f>IF(Setup!$B$18="","",Setup!$B$18)</f>
        <v/>
      </c>
      <c r="C1889" s="98" t="n"/>
      <c r="D1889" s="99" t="n"/>
      <c r="E1889" s="99" t="n"/>
      <c r="F1889" s="100" t="n"/>
      <c r="G1889" s="98" t="n"/>
      <c r="H1889" s="99" t="n"/>
      <c r="I1889" s="99" t="n"/>
      <c r="J1889" s="100" t="n"/>
      <c r="K1889" s="98" t="n"/>
      <c r="L1889" s="99" t="n"/>
      <c r="M1889" s="99" t="n"/>
      <c r="N1889" s="100" t="n"/>
      <c r="O1889" s="98" t="n"/>
      <c r="P1889" s="99" t="n"/>
      <c r="Q1889" s="99" t="n"/>
      <c r="R1889" s="100" t="n"/>
      <c r="S1889" s="98" t="n"/>
      <c r="T1889" s="99" t="n"/>
      <c r="U1889" s="99" t="n"/>
      <c r="V1889" s="100" t="n"/>
      <c r="W1889" s="98" t="n"/>
      <c r="X1889" s="100" t="n"/>
      <c r="Y1889" s="98" t="n"/>
      <c r="Z1889" s="100" t="n"/>
      <c r="AB1889" s="101">
        <f>IF($B1889="","",(COUNTIF(C1858:E1875,$B1889)+COUNTIF(C1858:E1875,$B1889&amp;" ~*")&gt;0)+(COUNTIF(G1858:I1875,$B1889)+COUNTIF(G1858:I1875,$B1889&amp;" ~*")&gt;0)+(COUNTIF(K1858:M1875,$B1889)+COUNTIF(K1858:M1875,$B1889&amp;" ~*")&gt;0)+(COUNTIF(O1858:Q1875,$B1889)+COUNTIF(O1858:Q1875,$B1889&amp;" ~*")&gt;0)+(COUNTIF(S1858:U1875,$B1889)+COUNTIF(S1858:U1875,$B1889&amp;" ~*")&gt;0)+(COUNTIF(W1858:W1875,$B1889)+COUNTIF(W1858:W1875,$B1889&amp;" ~*")&gt;0)+(COUNTIF(Y1858:Y1875,$B1889)+COUNTIF(Y1858:Y1875,$B1889&amp;" ~*")&gt;0))</f>
        <v/>
      </c>
      <c r="AC1889" s="36">
        <f>IF($B1889="","",(IFERROR(INDEX(Setup!$G$33:$G$40,MATCH(C1889,Setup!$B$33:$B$40,0)),0)=1)*(COUNTIF(C1858:E1875,$B1889)+COUNTIF(C1858:E1875,$B1889&amp;" ~*")&gt;0)+(IFERROR(INDEX(Setup!$G$33:$G$40,MATCH(G1889,Setup!$B$33:$B$40,0)),0)=1)*(COUNTIF(G1858:I1875,$B1889)+COUNTIF(G1858:I1875,$B1889&amp;" ~*")&gt;0)+(IFERROR(INDEX(Setup!$G$33:$G$40,MATCH(K1889,Setup!$B$33:$B$40,0)),0)=1)*(COUNTIF(K1858:M1875,$B1889)+COUNTIF(K1858:M1875,$B1889&amp;" ~*")&gt;0)+(IFERROR(INDEX(Setup!$G$33:$G$40,MATCH(O1889,Setup!$B$33:$B$40,0)),0)=1)*(COUNTIF(O1858:Q1875,$B1889)+COUNTIF(O1858:Q1875,$B1889&amp;" ~*")&gt;0)+(IFERROR(INDEX(Setup!$G$33:$G$40,MATCH(S1889,Setup!$B$33:$B$40,0)),0)=1)*(COUNTIF(S1858:U1875,$B1889)+COUNTIF(S1858:U1875,$B1889&amp;" ~*")&gt;0)+(IFERROR(INDEX(Setup!$G$33:$G$40,MATCH(W1889,Setup!$B$33:$B$40,0)),0)=1)*(COUNTIF(W1858:W1875,$B1889)+COUNTIF(W1858:W1875,$B1889&amp;" ~*")&gt;0)+(IFERROR(INDEX(Setup!$G$33:$G$40,MATCH(Y1889,Setup!$B$33:$B$40,0)),0)=1)*(COUNTIF(Y1858:Y1875,$B1889)+COUNTIF(Y1858:Y1875,$B1889&amp;" ~*")&gt;0))</f>
        <v/>
      </c>
    </row>
    <row r="1890" ht="15" customHeight="1">
      <c r="A1890" t="n">
        <v>38</v>
      </c>
      <c r="B1890" s="37">
        <f>IF(Setup!$B$19="","",Setup!$B$19)</f>
        <v/>
      </c>
      <c r="C1890" s="102" t="n"/>
      <c r="D1890" s="103" t="n"/>
      <c r="E1890" s="103" t="n"/>
      <c r="F1890" s="104" t="n"/>
      <c r="G1890" s="102" t="n"/>
      <c r="H1890" s="103" t="n"/>
      <c r="I1890" s="103" t="n"/>
      <c r="J1890" s="104" t="n"/>
      <c r="K1890" s="102" t="n"/>
      <c r="L1890" s="103" t="n"/>
      <c r="M1890" s="103" t="n"/>
      <c r="N1890" s="104" t="n"/>
      <c r="O1890" s="102" t="n"/>
      <c r="P1890" s="103" t="n"/>
      <c r="Q1890" s="103" t="n"/>
      <c r="R1890" s="104" t="n"/>
      <c r="S1890" s="102" t="n"/>
      <c r="T1890" s="103" t="n"/>
      <c r="U1890" s="103" t="n"/>
      <c r="V1890" s="104" t="n"/>
      <c r="W1890" s="102" t="n"/>
      <c r="X1890" s="104" t="n"/>
      <c r="Y1890" s="102" t="n"/>
      <c r="Z1890" s="104" t="n"/>
      <c r="AB1890" s="105">
        <f>IF($B1890="","",(COUNTIF(C1858:E1875,$B1890)+COUNTIF(C1858:E1875,$B1890&amp;" ~*")&gt;0)+(COUNTIF(G1858:I1875,$B1890)+COUNTIF(G1858:I1875,$B1890&amp;" ~*")&gt;0)+(COUNTIF(K1858:M1875,$B1890)+COUNTIF(K1858:M1875,$B1890&amp;" ~*")&gt;0)+(COUNTIF(O1858:Q1875,$B1890)+COUNTIF(O1858:Q1875,$B1890&amp;" ~*")&gt;0)+(COUNTIF(S1858:U1875,$B1890)+COUNTIF(S1858:U1875,$B1890&amp;" ~*")&gt;0)+(COUNTIF(W1858:W1875,$B1890)+COUNTIF(W1858:W1875,$B1890&amp;" ~*")&gt;0)+(COUNTIF(Y1858:Y1875,$B1890)+COUNTIF(Y1858:Y1875,$B1890&amp;" ~*")&gt;0))</f>
        <v/>
      </c>
      <c r="AC1890" s="38">
        <f>IF($B1890="","",(IFERROR(INDEX(Setup!$G$33:$G$40,MATCH(C1890,Setup!$B$33:$B$40,0)),0)=1)*(COUNTIF(C1858:E1875,$B1890)+COUNTIF(C1858:E1875,$B1890&amp;" ~*")&gt;0)+(IFERROR(INDEX(Setup!$G$33:$G$40,MATCH(G1890,Setup!$B$33:$B$40,0)),0)=1)*(COUNTIF(G1858:I1875,$B1890)+COUNTIF(G1858:I1875,$B1890&amp;" ~*")&gt;0)+(IFERROR(INDEX(Setup!$G$33:$G$40,MATCH(K1890,Setup!$B$33:$B$40,0)),0)=1)*(COUNTIF(K1858:M1875,$B1890)+COUNTIF(K1858:M1875,$B1890&amp;" ~*")&gt;0)+(IFERROR(INDEX(Setup!$G$33:$G$40,MATCH(O1890,Setup!$B$33:$B$40,0)),0)=1)*(COUNTIF(O1858:Q1875,$B1890)+COUNTIF(O1858:Q1875,$B1890&amp;" ~*")&gt;0)+(IFERROR(INDEX(Setup!$G$33:$G$40,MATCH(S1890,Setup!$B$33:$B$40,0)),0)=1)*(COUNTIF(S1858:U1875,$B1890)+COUNTIF(S1858:U1875,$B1890&amp;" ~*")&gt;0)+(IFERROR(INDEX(Setup!$G$33:$G$40,MATCH(W1890,Setup!$B$33:$B$40,0)),0)=1)*(COUNTIF(W1858:W1875,$B1890)+COUNTIF(W1858:W1875,$B1890&amp;" ~*")&gt;0)+(IFERROR(INDEX(Setup!$G$33:$G$40,MATCH(Y1890,Setup!$B$33:$B$40,0)),0)=1)*(COUNTIF(Y1858:Y1875,$B1890)+COUNTIF(Y1858:Y1875,$B1890&amp;" ~*")&gt;0))</f>
        <v/>
      </c>
    </row>
    <row r="1891" ht="15" customHeight="1">
      <c r="A1891" t="n">
        <v>38</v>
      </c>
      <c r="B1891" s="35">
        <f>IF(Setup!$B$20="","",Setup!$B$20)</f>
        <v/>
      </c>
      <c r="C1891" s="98" t="n"/>
      <c r="D1891" s="99" t="n"/>
      <c r="E1891" s="99" t="n"/>
      <c r="F1891" s="100" t="n"/>
      <c r="G1891" s="98" t="n"/>
      <c r="H1891" s="99" t="n"/>
      <c r="I1891" s="99" t="n"/>
      <c r="J1891" s="100" t="n"/>
      <c r="K1891" s="98" t="n"/>
      <c r="L1891" s="99" t="n"/>
      <c r="M1891" s="99" t="n"/>
      <c r="N1891" s="100" t="n"/>
      <c r="O1891" s="98" t="n"/>
      <c r="P1891" s="99" t="n"/>
      <c r="Q1891" s="99" t="n"/>
      <c r="R1891" s="100" t="n"/>
      <c r="S1891" s="98" t="n"/>
      <c r="T1891" s="99" t="n"/>
      <c r="U1891" s="99" t="n"/>
      <c r="V1891" s="100" t="n"/>
      <c r="W1891" s="98" t="n"/>
      <c r="X1891" s="100" t="n"/>
      <c r="Y1891" s="98" t="n"/>
      <c r="Z1891" s="100" t="n"/>
      <c r="AB1891" s="101">
        <f>IF($B1891="","",(COUNTIF(C1858:E1875,$B1891)+COUNTIF(C1858:E1875,$B1891&amp;" ~*")&gt;0)+(COUNTIF(G1858:I1875,$B1891)+COUNTIF(G1858:I1875,$B1891&amp;" ~*")&gt;0)+(COUNTIF(K1858:M1875,$B1891)+COUNTIF(K1858:M1875,$B1891&amp;" ~*")&gt;0)+(COUNTIF(O1858:Q1875,$B1891)+COUNTIF(O1858:Q1875,$B1891&amp;" ~*")&gt;0)+(COUNTIF(S1858:U1875,$B1891)+COUNTIF(S1858:U1875,$B1891&amp;" ~*")&gt;0)+(COUNTIF(W1858:W1875,$B1891)+COUNTIF(W1858:W1875,$B1891&amp;" ~*")&gt;0)+(COUNTIF(Y1858:Y1875,$B1891)+COUNTIF(Y1858:Y1875,$B1891&amp;" ~*")&gt;0))</f>
        <v/>
      </c>
      <c r="AC1891" s="36">
        <f>IF($B1891="","",(IFERROR(INDEX(Setup!$G$33:$G$40,MATCH(C1891,Setup!$B$33:$B$40,0)),0)=1)*(COUNTIF(C1858:E1875,$B1891)+COUNTIF(C1858:E1875,$B1891&amp;" ~*")&gt;0)+(IFERROR(INDEX(Setup!$G$33:$G$40,MATCH(G1891,Setup!$B$33:$B$40,0)),0)=1)*(COUNTIF(G1858:I1875,$B1891)+COUNTIF(G1858:I1875,$B1891&amp;" ~*")&gt;0)+(IFERROR(INDEX(Setup!$G$33:$G$40,MATCH(K1891,Setup!$B$33:$B$40,0)),0)=1)*(COUNTIF(K1858:M1875,$B1891)+COUNTIF(K1858:M1875,$B1891&amp;" ~*")&gt;0)+(IFERROR(INDEX(Setup!$G$33:$G$40,MATCH(O1891,Setup!$B$33:$B$40,0)),0)=1)*(COUNTIF(O1858:Q1875,$B1891)+COUNTIF(O1858:Q1875,$B1891&amp;" ~*")&gt;0)+(IFERROR(INDEX(Setup!$G$33:$G$40,MATCH(S1891,Setup!$B$33:$B$40,0)),0)=1)*(COUNTIF(S1858:U1875,$B1891)+COUNTIF(S1858:U1875,$B1891&amp;" ~*")&gt;0)+(IFERROR(INDEX(Setup!$G$33:$G$40,MATCH(W1891,Setup!$B$33:$B$40,0)),0)=1)*(COUNTIF(W1858:W1875,$B1891)+COUNTIF(W1858:W1875,$B1891&amp;" ~*")&gt;0)+(IFERROR(INDEX(Setup!$G$33:$G$40,MATCH(Y1891,Setup!$B$33:$B$40,0)),0)=1)*(COUNTIF(Y1858:Y1875,$B1891)+COUNTIF(Y1858:Y1875,$B1891&amp;" ~*")&gt;0))</f>
        <v/>
      </c>
    </row>
    <row r="1892" ht="15" customHeight="1">
      <c r="A1892" t="n">
        <v>38</v>
      </c>
      <c r="B1892" s="37">
        <f>IF(Setup!$B$21="","",Setup!$B$21)</f>
        <v/>
      </c>
      <c r="C1892" s="102" t="n"/>
      <c r="D1892" s="103" t="n"/>
      <c r="E1892" s="103" t="n"/>
      <c r="F1892" s="104" t="n"/>
      <c r="G1892" s="102" t="n"/>
      <c r="H1892" s="103" t="n"/>
      <c r="I1892" s="103" t="n"/>
      <c r="J1892" s="104" t="n"/>
      <c r="K1892" s="102" t="n"/>
      <c r="L1892" s="103" t="n"/>
      <c r="M1892" s="103" t="n"/>
      <c r="N1892" s="104" t="n"/>
      <c r="O1892" s="102" t="n"/>
      <c r="P1892" s="103" t="n"/>
      <c r="Q1892" s="103" t="n"/>
      <c r="R1892" s="104" t="n"/>
      <c r="S1892" s="102" t="n"/>
      <c r="T1892" s="103" t="n"/>
      <c r="U1892" s="103" t="n"/>
      <c r="V1892" s="104" t="n"/>
      <c r="W1892" s="102" t="n"/>
      <c r="X1892" s="104" t="n"/>
      <c r="Y1892" s="102" t="n"/>
      <c r="Z1892" s="104" t="n"/>
      <c r="AB1892" s="105">
        <f>IF($B1892="","",(COUNTIF(C1858:E1875,$B1892)+COUNTIF(C1858:E1875,$B1892&amp;" ~*")&gt;0)+(COUNTIF(G1858:I1875,$B1892)+COUNTIF(G1858:I1875,$B1892&amp;" ~*")&gt;0)+(COUNTIF(K1858:M1875,$B1892)+COUNTIF(K1858:M1875,$B1892&amp;" ~*")&gt;0)+(COUNTIF(O1858:Q1875,$B1892)+COUNTIF(O1858:Q1875,$B1892&amp;" ~*")&gt;0)+(COUNTIF(S1858:U1875,$B1892)+COUNTIF(S1858:U1875,$B1892&amp;" ~*")&gt;0)+(COUNTIF(W1858:W1875,$B1892)+COUNTIF(W1858:W1875,$B1892&amp;" ~*")&gt;0)+(COUNTIF(Y1858:Y1875,$B1892)+COUNTIF(Y1858:Y1875,$B1892&amp;" ~*")&gt;0))</f>
        <v/>
      </c>
      <c r="AC1892" s="38">
        <f>IF($B1892="","",(IFERROR(INDEX(Setup!$G$33:$G$40,MATCH(C1892,Setup!$B$33:$B$40,0)),0)=1)*(COUNTIF(C1858:E1875,$B1892)+COUNTIF(C1858:E1875,$B1892&amp;" ~*")&gt;0)+(IFERROR(INDEX(Setup!$G$33:$G$40,MATCH(G1892,Setup!$B$33:$B$40,0)),0)=1)*(COUNTIF(G1858:I1875,$B1892)+COUNTIF(G1858:I1875,$B1892&amp;" ~*")&gt;0)+(IFERROR(INDEX(Setup!$G$33:$G$40,MATCH(K1892,Setup!$B$33:$B$40,0)),0)=1)*(COUNTIF(K1858:M1875,$B1892)+COUNTIF(K1858:M1875,$B1892&amp;" ~*")&gt;0)+(IFERROR(INDEX(Setup!$G$33:$G$40,MATCH(O1892,Setup!$B$33:$B$40,0)),0)=1)*(COUNTIF(O1858:Q1875,$B1892)+COUNTIF(O1858:Q1875,$B1892&amp;" ~*")&gt;0)+(IFERROR(INDEX(Setup!$G$33:$G$40,MATCH(S1892,Setup!$B$33:$B$40,0)),0)=1)*(COUNTIF(S1858:U1875,$B1892)+COUNTIF(S1858:U1875,$B1892&amp;" ~*")&gt;0)+(IFERROR(INDEX(Setup!$G$33:$G$40,MATCH(W1892,Setup!$B$33:$B$40,0)),0)=1)*(COUNTIF(W1858:W1875,$B1892)+COUNTIF(W1858:W1875,$B1892&amp;" ~*")&gt;0)+(IFERROR(INDEX(Setup!$G$33:$G$40,MATCH(Y1892,Setup!$B$33:$B$40,0)),0)=1)*(COUNTIF(Y1858:Y1875,$B1892)+COUNTIF(Y1858:Y1875,$B1892&amp;" ~*")&gt;0))</f>
        <v/>
      </c>
    </row>
    <row r="1893" ht="15" customHeight="1">
      <c r="A1893" t="n">
        <v>38</v>
      </c>
      <c r="B1893" s="35">
        <f>IF(Setup!$B$22="","",Setup!$B$22)</f>
        <v/>
      </c>
      <c r="C1893" s="98" t="n"/>
      <c r="D1893" s="99" t="n"/>
      <c r="E1893" s="99" t="n"/>
      <c r="F1893" s="100" t="n"/>
      <c r="G1893" s="98" t="n"/>
      <c r="H1893" s="99" t="n"/>
      <c r="I1893" s="99" t="n"/>
      <c r="J1893" s="100" t="n"/>
      <c r="K1893" s="98" t="n"/>
      <c r="L1893" s="99" t="n"/>
      <c r="M1893" s="99" t="n"/>
      <c r="N1893" s="100" t="n"/>
      <c r="O1893" s="98" t="n"/>
      <c r="P1893" s="99" t="n"/>
      <c r="Q1893" s="99" t="n"/>
      <c r="R1893" s="100" t="n"/>
      <c r="S1893" s="98" t="n"/>
      <c r="T1893" s="99" t="n"/>
      <c r="U1893" s="99" t="n"/>
      <c r="V1893" s="100" t="n"/>
      <c r="W1893" s="98" t="n"/>
      <c r="X1893" s="100" t="n"/>
      <c r="Y1893" s="98" t="n"/>
      <c r="Z1893" s="100" t="n"/>
      <c r="AB1893" s="101">
        <f>IF($B1893="","",(COUNTIF(C1858:E1875,$B1893)+COUNTIF(C1858:E1875,$B1893&amp;" ~*")&gt;0)+(COUNTIF(G1858:I1875,$B1893)+COUNTIF(G1858:I1875,$B1893&amp;" ~*")&gt;0)+(COUNTIF(K1858:M1875,$B1893)+COUNTIF(K1858:M1875,$B1893&amp;" ~*")&gt;0)+(COUNTIF(O1858:Q1875,$B1893)+COUNTIF(O1858:Q1875,$B1893&amp;" ~*")&gt;0)+(COUNTIF(S1858:U1875,$B1893)+COUNTIF(S1858:U1875,$B1893&amp;" ~*")&gt;0)+(COUNTIF(W1858:W1875,$B1893)+COUNTIF(W1858:W1875,$B1893&amp;" ~*")&gt;0)+(COUNTIF(Y1858:Y1875,$B1893)+COUNTIF(Y1858:Y1875,$B1893&amp;" ~*")&gt;0))</f>
        <v/>
      </c>
      <c r="AC1893" s="36">
        <f>IF($B1893="","",(IFERROR(INDEX(Setup!$G$33:$G$40,MATCH(C1893,Setup!$B$33:$B$40,0)),0)=1)*(COUNTIF(C1858:E1875,$B1893)+COUNTIF(C1858:E1875,$B1893&amp;" ~*")&gt;0)+(IFERROR(INDEX(Setup!$G$33:$G$40,MATCH(G1893,Setup!$B$33:$B$40,0)),0)=1)*(COUNTIF(G1858:I1875,$B1893)+COUNTIF(G1858:I1875,$B1893&amp;" ~*")&gt;0)+(IFERROR(INDEX(Setup!$G$33:$G$40,MATCH(K1893,Setup!$B$33:$B$40,0)),0)=1)*(COUNTIF(K1858:M1875,$B1893)+COUNTIF(K1858:M1875,$B1893&amp;" ~*")&gt;0)+(IFERROR(INDEX(Setup!$G$33:$G$40,MATCH(O1893,Setup!$B$33:$B$40,0)),0)=1)*(COUNTIF(O1858:Q1875,$B1893)+COUNTIF(O1858:Q1875,$B1893&amp;" ~*")&gt;0)+(IFERROR(INDEX(Setup!$G$33:$G$40,MATCH(S1893,Setup!$B$33:$B$40,0)),0)=1)*(COUNTIF(S1858:U1875,$B1893)+COUNTIF(S1858:U1875,$B1893&amp;" ~*")&gt;0)+(IFERROR(INDEX(Setup!$G$33:$G$40,MATCH(W1893,Setup!$B$33:$B$40,0)),0)=1)*(COUNTIF(W1858:W1875,$B1893)+COUNTIF(W1858:W1875,$B1893&amp;" ~*")&gt;0)+(IFERROR(INDEX(Setup!$G$33:$G$40,MATCH(Y1893,Setup!$B$33:$B$40,0)),0)=1)*(COUNTIF(Y1858:Y1875,$B1893)+COUNTIF(Y1858:Y1875,$B1893&amp;" ~*")&gt;0))</f>
        <v/>
      </c>
    </row>
    <row r="1894" ht="15" customHeight="1">
      <c r="A1894" t="n">
        <v>38</v>
      </c>
      <c r="B1894" s="37">
        <f>IF(Setup!$B$23="","",Setup!$B$23)</f>
        <v/>
      </c>
      <c r="C1894" s="102" t="n"/>
      <c r="D1894" s="103" t="n"/>
      <c r="E1894" s="103" t="n"/>
      <c r="F1894" s="104" t="n"/>
      <c r="G1894" s="102" t="n"/>
      <c r="H1894" s="103" t="n"/>
      <c r="I1894" s="103" t="n"/>
      <c r="J1894" s="104" t="n"/>
      <c r="K1894" s="102" t="n"/>
      <c r="L1894" s="103" t="n"/>
      <c r="M1894" s="103" t="n"/>
      <c r="N1894" s="104" t="n"/>
      <c r="O1894" s="102" t="n"/>
      <c r="P1894" s="103" t="n"/>
      <c r="Q1894" s="103" t="n"/>
      <c r="R1894" s="104" t="n"/>
      <c r="S1894" s="102" t="n"/>
      <c r="T1894" s="103" t="n"/>
      <c r="U1894" s="103" t="n"/>
      <c r="V1894" s="104" t="n"/>
      <c r="W1894" s="102" t="n"/>
      <c r="X1894" s="104" t="n"/>
      <c r="Y1894" s="102" t="n"/>
      <c r="Z1894" s="104" t="n"/>
      <c r="AB1894" s="105">
        <f>IF($B1894="","",(COUNTIF(C1858:E1875,$B1894)+COUNTIF(C1858:E1875,$B1894&amp;" ~*")&gt;0)+(COUNTIF(G1858:I1875,$B1894)+COUNTIF(G1858:I1875,$B1894&amp;" ~*")&gt;0)+(COUNTIF(K1858:M1875,$B1894)+COUNTIF(K1858:M1875,$B1894&amp;" ~*")&gt;0)+(COUNTIF(O1858:Q1875,$B1894)+COUNTIF(O1858:Q1875,$B1894&amp;" ~*")&gt;0)+(COUNTIF(S1858:U1875,$B1894)+COUNTIF(S1858:U1875,$B1894&amp;" ~*")&gt;0)+(COUNTIF(W1858:W1875,$B1894)+COUNTIF(W1858:W1875,$B1894&amp;" ~*")&gt;0)+(COUNTIF(Y1858:Y1875,$B1894)+COUNTIF(Y1858:Y1875,$B1894&amp;" ~*")&gt;0))</f>
        <v/>
      </c>
      <c r="AC1894" s="38">
        <f>IF($B1894="","",(IFERROR(INDEX(Setup!$G$33:$G$40,MATCH(C1894,Setup!$B$33:$B$40,0)),0)=1)*(COUNTIF(C1858:E1875,$B1894)+COUNTIF(C1858:E1875,$B1894&amp;" ~*")&gt;0)+(IFERROR(INDEX(Setup!$G$33:$G$40,MATCH(G1894,Setup!$B$33:$B$40,0)),0)=1)*(COUNTIF(G1858:I1875,$B1894)+COUNTIF(G1858:I1875,$B1894&amp;" ~*")&gt;0)+(IFERROR(INDEX(Setup!$G$33:$G$40,MATCH(K1894,Setup!$B$33:$B$40,0)),0)=1)*(COUNTIF(K1858:M1875,$B1894)+COUNTIF(K1858:M1875,$B1894&amp;" ~*")&gt;0)+(IFERROR(INDEX(Setup!$G$33:$G$40,MATCH(O1894,Setup!$B$33:$B$40,0)),0)=1)*(COUNTIF(O1858:Q1875,$B1894)+COUNTIF(O1858:Q1875,$B1894&amp;" ~*")&gt;0)+(IFERROR(INDEX(Setup!$G$33:$G$40,MATCH(S1894,Setup!$B$33:$B$40,0)),0)=1)*(COUNTIF(S1858:U1875,$B1894)+COUNTIF(S1858:U1875,$B1894&amp;" ~*")&gt;0)+(IFERROR(INDEX(Setup!$G$33:$G$40,MATCH(W1894,Setup!$B$33:$B$40,0)),0)=1)*(COUNTIF(W1858:W1875,$B1894)+COUNTIF(W1858:W1875,$B1894&amp;" ~*")&gt;0)+(IFERROR(INDEX(Setup!$G$33:$G$40,MATCH(Y1894,Setup!$B$33:$B$40,0)),0)=1)*(COUNTIF(Y1858:Y1875,$B1894)+COUNTIF(Y1858:Y1875,$B1894&amp;" ~*")&gt;0))</f>
        <v/>
      </c>
    </row>
    <row r="1895" ht="15" customHeight="1">
      <c r="A1895" t="n">
        <v>38</v>
      </c>
      <c r="B1895" s="35">
        <f>IF(Setup!$B$24="","",Setup!$B$24)</f>
        <v/>
      </c>
      <c r="C1895" s="98" t="n"/>
      <c r="D1895" s="99" t="n"/>
      <c r="E1895" s="99" t="n"/>
      <c r="F1895" s="100" t="n"/>
      <c r="G1895" s="98" t="n"/>
      <c r="H1895" s="99" t="n"/>
      <c r="I1895" s="99" t="n"/>
      <c r="J1895" s="100" t="n"/>
      <c r="K1895" s="98" t="n"/>
      <c r="L1895" s="99" t="n"/>
      <c r="M1895" s="99" t="n"/>
      <c r="N1895" s="100" t="n"/>
      <c r="O1895" s="98" t="n"/>
      <c r="P1895" s="99" t="n"/>
      <c r="Q1895" s="99" t="n"/>
      <c r="R1895" s="100" t="n"/>
      <c r="S1895" s="98" t="n"/>
      <c r="T1895" s="99" t="n"/>
      <c r="U1895" s="99" t="n"/>
      <c r="V1895" s="100" t="n"/>
      <c r="W1895" s="98" t="n"/>
      <c r="X1895" s="100" t="n"/>
      <c r="Y1895" s="98" t="n"/>
      <c r="Z1895" s="100" t="n"/>
      <c r="AB1895" s="101">
        <f>IF($B1895="","",(COUNTIF(C1858:E1875,$B1895)+COUNTIF(C1858:E1875,$B1895&amp;" ~*")&gt;0)+(COUNTIF(G1858:I1875,$B1895)+COUNTIF(G1858:I1875,$B1895&amp;" ~*")&gt;0)+(COUNTIF(K1858:M1875,$B1895)+COUNTIF(K1858:M1875,$B1895&amp;" ~*")&gt;0)+(COUNTIF(O1858:Q1875,$B1895)+COUNTIF(O1858:Q1875,$B1895&amp;" ~*")&gt;0)+(COUNTIF(S1858:U1875,$B1895)+COUNTIF(S1858:U1875,$B1895&amp;" ~*")&gt;0)+(COUNTIF(W1858:W1875,$B1895)+COUNTIF(W1858:W1875,$B1895&amp;" ~*")&gt;0)+(COUNTIF(Y1858:Y1875,$B1895)+COUNTIF(Y1858:Y1875,$B1895&amp;" ~*")&gt;0))</f>
        <v/>
      </c>
      <c r="AC1895" s="36">
        <f>IF($B1895="","",(IFERROR(INDEX(Setup!$G$33:$G$40,MATCH(C1895,Setup!$B$33:$B$40,0)),0)=1)*(COUNTIF(C1858:E1875,$B1895)+COUNTIF(C1858:E1875,$B1895&amp;" ~*")&gt;0)+(IFERROR(INDEX(Setup!$G$33:$G$40,MATCH(G1895,Setup!$B$33:$B$40,0)),0)=1)*(COUNTIF(G1858:I1875,$B1895)+COUNTIF(G1858:I1875,$B1895&amp;" ~*")&gt;0)+(IFERROR(INDEX(Setup!$G$33:$G$40,MATCH(K1895,Setup!$B$33:$B$40,0)),0)=1)*(COUNTIF(K1858:M1875,$B1895)+COUNTIF(K1858:M1875,$B1895&amp;" ~*")&gt;0)+(IFERROR(INDEX(Setup!$G$33:$G$40,MATCH(O1895,Setup!$B$33:$B$40,0)),0)=1)*(COUNTIF(O1858:Q1875,$B1895)+COUNTIF(O1858:Q1875,$B1895&amp;" ~*")&gt;0)+(IFERROR(INDEX(Setup!$G$33:$G$40,MATCH(S1895,Setup!$B$33:$B$40,0)),0)=1)*(COUNTIF(S1858:U1875,$B1895)+COUNTIF(S1858:U1875,$B1895&amp;" ~*")&gt;0)+(IFERROR(INDEX(Setup!$G$33:$G$40,MATCH(W1895,Setup!$B$33:$B$40,0)),0)=1)*(COUNTIF(W1858:W1875,$B1895)+COUNTIF(W1858:W1875,$B1895&amp;" ~*")&gt;0)+(IFERROR(INDEX(Setup!$G$33:$G$40,MATCH(Y1895,Setup!$B$33:$B$40,0)),0)=1)*(COUNTIF(Y1858:Y1875,$B1895)+COUNTIF(Y1858:Y1875,$B1895&amp;" ~*")&gt;0))</f>
        <v/>
      </c>
    </row>
    <row r="1896" ht="15" customHeight="1">
      <c r="A1896" t="n">
        <v>38</v>
      </c>
      <c r="B1896" s="37">
        <f>IF(Setup!$B$25="","",Setup!$B$25)</f>
        <v/>
      </c>
      <c r="C1896" s="102" t="n"/>
      <c r="D1896" s="103" t="n"/>
      <c r="E1896" s="103" t="n"/>
      <c r="F1896" s="104" t="n"/>
      <c r="G1896" s="102" t="n"/>
      <c r="H1896" s="103" t="n"/>
      <c r="I1896" s="103" t="n"/>
      <c r="J1896" s="104" t="n"/>
      <c r="K1896" s="102" t="n"/>
      <c r="L1896" s="103" t="n"/>
      <c r="M1896" s="103" t="n"/>
      <c r="N1896" s="104" t="n"/>
      <c r="O1896" s="102" t="n"/>
      <c r="P1896" s="103" t="n"/>
      <c r="Q1896" s="103" t="n"/>
      <c r="R1896" s="104" t="n"/>
      <c r="S1896" s="102" t="n"/>
      <c r="T1896" s="103" t="n"/>
      <c r="U1896" s="103" t="n"/>
      <c r="V1896" s="104" t="n"/>
      <c r="W1896" s="102" t="n"/>
      <c r="X1896" s="104" t="n"/>
      <c r="Y1896" s="102" t="n"/>
      <c r="Z1896" s="104" t="n"/>
      <c r="AB1896" s="105">
        <f>IF($B1896="","",(COUNTIF(C1858:E1875,$B1896)+COUNTIF(C1858:E1875,$B1896&amp;" ~*")&gt;0)+(COUNTIF(G1858:I1875,$B1896)+COUNTIF(G1858:I1875,$B1896&amp;" ~*")&gt;0)+(COUNTIF(K1858:M1875,$B1896)+COUNTIF(K1858:M1875,$B1896&amp;" ~*")&gt;0)+(COUNTIF(O1858:Q1875,$B1896)+COUNTIF(O1858:Q1875,$B1896&amp;" ~*")&gt;0)+(COUNTIF(S1858:U1875,$B1896)+COUNTIF(S1858:U1875,$B1896&amp;" ~*")&gt;0)+(COUNTIF(W1858:W1875,$B1896)+COUNTIF(W1858:W1875,$B1896&amp;" ~*")&gt;0)+(COUNTIF(Y1858:Y1875,$B1896)+COUNTIF(Y1858:Y1875,$B1896&amp;" ~*")&gt;0))</f>
        <v/>
      </c>
      <c r="AC1896" s="38">
        <f>IF($B1896="","",(IFERROR(INDEX(Setup!$G$33:$G$40,MATCH(C1896,Setup!$B$33:$B$40,0)),0)=1)*(COUNTIF(C1858:E1875,$B1896)+COUNTIF(C1858:E1875,$B1896&amp;" ~*")&gt;0)+(IFERROR(INDEX(Setup!$G$33:$G$40,MATCH(G1896,Setup!$B$33:$B$40,0)),0)=1)*(COUNTIF(G1858:I1875,$B1896)+COUNTIF(G1858:I1875,$B1896&amp;" ~*")&gt;0)+(IFERROR(INDEX(Setup!$G$33:$G$40,MATCH(K1896,Setup!$B$33:$B$40,0)),0)=1)*(COUNTIF(K1858:M1875,$B1896)+COUNTIF(K1858:M1875,$B1896&amp;" ~*")&gt;0)+(IFERROR(INDEX(Setup!$G$33:$G$40,MATCH(O1896,Setup!$B$33:$B$40,0)),0)=1)*(COUNTIF(O1858:Q1875,$B1896)+COUNTIF(O1858:Q1875,$B1896&amp;" ~*")&gt;0)+(IFERROR(INDEX(Setup!$G$33:$G$40,MATCH(S1896,Setup!$B$33:$B$40,0)),0)=1)*(COUNTIF(S1858:U1875,$B1896)+COUNTIF(S1858:U1875,$B1896&amp;" ~*")&gt;0)+(IFERROR(INDEX(Setup!$G$33:$G$40,MATCH(W1896,Setup!$B$33:$B$40,0)),0)=1)*(COUNTIF(W1858:W1875,$B1896)+COUNTIF(W1858:W1875,$B1896&amp;" ~*")&gt;0)+(IFERROR(INDEX(Setup!$G$33:$G$40,MATCH(Y1896,Setup!$B$33:$B$40,0)),0)=1)*(COUNTIF(Y1858:Y1875,$B1896)+COUNTIF(Y1858:Y1875,$B1896&amp;" ~*")&gt;0))</f>
        <v/>
      </c>
    </row>
    <row r="1897" ht="15" customHeight="1">
      <c r="A1897" t="n">
        <v>38</v>
      </c>
      <c r="B1897" s="35">
        <f>IF(Setup!$B$26="","",Setup!$B$26)</f>
        <v/>
      </c>
      <c r="C1897" s="98" t="n"/>
      <c r="D1897" s="99" t="n"/>
      <c r="E1897" s="99" t="n"/>
      <c r="F1897" s="100" t="n"/>
      <c r="G1897" s="98" t="n"/>
      <c r="H1897" s="99" t="n"/>
      <c r="I1897" s="99" t="n"/>
      <c r="J1897" s="100" t="n"/>
      <c r="K1897" s="98" t="n"/>
      <c r="L1897" s="99" t="n"/>
      <c r="M1897" s="99" t="n"/>
      <c r="N1897" s="100" t="n"/>
      <c r="O1897" s="98" t="n"/>
      <c r="P1897" s="99" t="n"/>
      <c r="Q1897" s="99" t="n"/>
      <c r="R1897" s="100" t="n"/>
      <c r="S1897" s="98" t="n"/>
      <c r="T1897" s="99" t="n"/>
      <c r="U1897" s="99" t="n"/>
      <c r="V1897" s="100" t="n"/>
      <c r="W1897" s="98" t="n"/>
      <c r="X1897" s="100" t="n"/>
      <c r="Y1897" s="98" t="n"/>
      <c r="Z1897" s="100" t="n"/>
      <c r="AB1897" s="101">
        <f>IF($B1897="","",(COUNTIF(C1858:E1875,$B1897)+COUNTIF(C1858:E1875,$B1897&amp;" ~*")&gt;0)+(COUNTIF(G1858:I1875,$B1897)+COUNTIF(G1858:I1875,$B1897&amp;" ~*")&gt;0)+(COUNTIF(K1858:M1875,$B1897)+COUNTIF(K1858:M1875,$B1897&amp;" ~*")&gt;0)+(COUNTIF(O1858:Q1875,$B1897)+COUNTIF(O1858:Q1875,$B1897&amp;" ~*")&gt;0)+(COUNTIF(S1858:U1875,$B1897)+COUNTIF(S1858:U1875,$B1897&amp;" ~*")&gt;0)+(COUNTIF(W1858:W1875,$B1897)+COUNTIF(W1858:W1875,$B1897&amp;" ~*")&gt;0)+(COUNTIF(Y1858:Y1875,$B1897)+COUNTIF(Y1858:Y1875,$B1897&amp;" ~*")&gt;0))</f>
        <v/>
      </c>
      <c r="AC1897" s="36">
        <f>IF($B1897="","",(IFERROR(INDEX(Setup!$G$33:$G$40,MATCH(C1897,Setup!$B$33:$B$40,0)),0)=1)*(COUNTIF(C1858:E1875,$B1897)+COUNTIF(C1858:E1875,$B1897&amp;" ~*")&gt;0)+(IFERROR(INDEX(Setup!$G$33:$G$40,MATCH(G1897,Setup!$B$33:$B$40,0)),0)=1)*(COUNTIF(G1858:I1875,$B1897)+COUNTIF(G1858:I1875,$B1897&amp;" ~*")&gt;0)+(IFERROR(INDEX(Setup!$G$33:$G$40,MATCH(K1897,Setup!$B$33:$B$40,0)),0)=1)*(COUNTIF(K1858:M1875,$B1897)+COUNTIF(K1858:M1875,$B1897&amp;" ~*")&gt;0)+(IFERROR(INDEX(Setup!$G$33:$G$40,MATCH(O1897,Setup!$B$33:$B$40,0)),0)=1)*(COUNTIF(O1858:Q1875,$B1897)+COUNTIF(O1858:Q1875,$B1897&amp;" ~*")&gt;0)+(IFERROR(INDEX(Setup!$G$33:$G$40,MATCH(S1897,Setup!$B$33:$B$40,0)),0)=1)*(COUNTIF(S1858:U1875,$B1897)+COUNTIF(S1858:U1875,$B1897&amp;" ~*")&gt;0)+(IFERROR(INDEX(Setup!$G$33:$G$40,MATCH(W1897,Setup!$B$33:$B$40,0)),0)=1)*(COUNTIF(W1858:W1875,$B1897)+COUNTIF(W1858:W1875,$B1897&amp;" ~*")&gt;0)+(IFERROR(INDEX(Setup!$G$33:$G$40,MATCH(Y1897,Setup!$B$33:$B$40,0)),0)=1)*(COUNTIF(Y1858:Y1875,$B1897)+COUNTIF(Y1858:Y1875,$B1897&amp;" ~*")&gt;0))</f>
        <v/>
      </c>
    </row>
    <row r="1898" ht="15" customHeight="1">
      <c r="A1898" t="n">
        <v>38</v>
      </c>
      <c r="B1898" s="37">
        <f>IF(Setup!$B$27="","",Setup!$B$27)</f>
        <v/>
      </c>
      <c r="C1898" s="102" t="n"/>
      <c r="D1898" s="103" t="n"/>
      <c r="E1898" s="103" t="n"/>
      <c r="F1898" s="104" t="n"/>
      <c r="G1898" s="102" t="n"/>
      <c r="H1898" s="103" t="n"/>
      <c r="I1898" s="103" t="n"/>
      <c r="J1898" s="104" t="n"/>
      <c r="K1898" s="102" t="n"/>
      <c r="L1898" s="103" t="n"/>
      <c r="M1898" s="103" t="n"/>
      <c r="N1898" s="104" t="n"/>
      <c r="O1898" s="102" t="n"/>
      <c r="P1898" s="103" t="n"/>
      <c r="Q1898" s="103" t="n"/>
      <c r="R1898" s="104" t="n"/>
      <c r="S1898" s="102" t="n"/>
      <c r="T1898" s="103" t="n"/>
      <c r="U1898" s="103" t="n"/>
      <c r="V1898" s="104" t="n"/>
      <c r="W1898" s="102" t="n"/>
      <c r="X1898" s="104" t="n"/>
      <c r="Y1898" s="102" t="n"/>
      <c r="Z1898" s="104" t="n"/>
      <c r="AB1898" s="105">
        <f>IF($B1898="","",(COUNTIF(C1858:E1875,$B1898)+COUNTIF(C1858:E1875,$B1898&amp;" ~*")&gt;0)+(COUNTIF(G1858:I1875,$B1898)+COUNTIF(G1858:I1875,$B1898&amp;" ~*")&gt;0)+(COUNTIF(K1858:M1875,$B1898)+COUNTIF(K1858:M1875,$B1898&amp;" ~*")&gt;0)+(COUNTIF(O1858:Q1875,$B1898)+COUNTIF(O1858:Q1875,$B1898&amp;" ~*")&gt;0)+(COUNTIF(S1858:U1875,$B1898)+COUNTIF(S1858:U1875,$B1898&amp;" ~*")&gt;0)+(COUNTIF(W1858:W1875,$B1898)+COUNTIF(W1858:W1875,$B1898&amp;" ~*")&gt;0)+(COUNTIF(Y1858:Y1875,$B1898)+COUNTIF(Y1858:Y1875,$B1898&amp;" ~*")&gt;0))</f>
        <v/>
      </c>
      <c r="AC1898" s="38">
        <f>IF($B1898="","",(IFERROR(INDEX(Setup!$G$33:$G$40,MATCH(C1898,Setup!$B$33:$B$40,0)),0)=1)*(COUNTIF(C1858:E1875,$B1898)+COUNTIF(C1858:E1875,$B1898&amp;" ~*")&gt;0)+(IFERROR(INDEX(Setup!$G$33:$G$40,MATCH(G1898,Setup!$B$33:$B$40,0)),0)=1)*(COUNTIF(G1858:I1875,$B1898)+COUNTIF(G1858:I1875,$B1898&amp;" ~*")&gt;0)+(IFERROR(INDEX(Setup!$G$33:$G$40,MATCH(K1898,Setup!$B$33:$B$40,0)),0)=1)*(COUNTIF(K1858:M1875,$B1898)+COUNTIF(K1858:M1875,$B1898&amp;" ~*")&gt;0)+(IFERROR(INDEX(Setup!$G$33:$G$40,MATCH(O1898,Setup!$B$33:$B$40,0)),0)=1)*(COUNTIF(O1858:Q1875,$B1898)+COUNTIF(O1858:Q1875,$B1898&amp;" ~*")&gt;0)+(IFERROR(INDEX(Setup!$G$33:$G$40,MATCH(S1898,Setup!$B$33:$B$40,0)),0)=1)*(COUNTIF(S1858:U1875,$B1898)+COUNTIF(S1858:U1875,$B1898&amp;" ~*")&gt;0)+(IFERROR(INDEX(Setup!$G$33:$G$40,MATCH(W1898,Setup!$B$33:$B$40,0)),0)=1)*(COUNTIF(W1858:W1875,$B1898)+COUNTIF(W1858:W1875,$B1898&amp;" ~*")&gt;0)+(IFERROR(INDEX(Setup!$G$33:$G$40,MATCH(Y1898,Setup!$B$33:$B$40,0)),0)=1)*(COUNTIF(Y1858:Y1875,$B1898)+COUNTIF(Y1858:Y1875,$B1898&amp;" ~*")&gt;0))</f>
        <v/>
      </c>
    </row>
    <row r="1899" ht="15" customHeight="1">
      <c r="A1899" t="n">
        <v>38</v>
      </c>
      <c r="B1899" s="35">
        <f>IF(Setup!$B$28="","",Setup!$B$28)</f>
        <v/>
      </c>
      <c r="C1899" s="98" t="n"/>
      <c r="D1899" s="99" t="n"/>
      <c r="E1899" s="99" t="n"/>
      <c r="F1899" s="100" t="n"/>
      <c r="G1899" s="98" t="n"/>
      <c r="H1899" s="99" t="n"/>
      <c r="I1899" s="99" t="n"/>
      <c r="J1899" s="100" t="n"/>
      <c r="K1899" s="98" t="n"/>
      <c r="L1899" s="99" t="n"/>
      <c r="M1899" s="99" t="n"/>
      <c r="N1899" s="100" t="n"/>
      <c r="O1899" s="98" t="n"/>
      <c r="P1899" s="99" t="n"/>
      <c r="Q1899" s="99" t="n"/>
      <c r="R1899" s="100" t="n"/>
      <c r="S1899" s="98" t="n"/>
      <c r="T1899" s="99" t="n"/>
      <c r="U1899" s="99" t="n"/>
      <c r="V1899" s="100" t="n"/>
      <c r="W1899" s="98" t="n"/>
      <c r="X1899" s="100" t="n"/>
      <c r="Y1899" s="98" t="n"/>
      <c r="Z1899" s="100" t="n"/>
      <c r="AB1899" s="101">
        <f>IF($B1899="","",(COUNTIF(C1858:E1875,$B1899)+COUNTIF(C1858:E1875,$B1899&amp;" ~*")&gt;0)+(COUNTIF(G1858:I1875,$B1899)+COUNTIF(G1858:I1875,$B1899&amp;" ~*")&gt;0)+(COUNTIF(K1858:M1875,$B1899)+COUNTIF(K1858:M1875,$B1899&amp;" ~*")&gt;0)+(COUNTIF(O1858:Q1875,$B1899)+COUNTIF(O1858:Q1875,$B1899&amp;" ~*")&gt;0)+(COUNTIF(S1858:U1875,$B1899)+COUNTIF(S1858:U1875,$B1899&amp;" ~*")&gt;0)+(COUNTIF(W1858:W1875,$B1899)+COUNTIF(W1858:W1875,$B1899&amp;" ~*")&gt;0)+(COUNTIF(Y1858:Y1875,$B1899)+COUNTIF(Y1858:Y1875,$B1899&amp;" ~*")&gt;0))</f>
        <v/>
      </c>
      <c r="AC1899" s="36">
        <f>IF($B1899="","",(IFERROR(INDEX(Setup!$G$33:$G$40,MATCH(C1899,Setup!$B$33:$B$40,0)),0)=1)*(COUNTIF(C1858:E1875,$B1899)+COUNTIF(C1858:E1875,$B1899&amp;" ~*")&gt;0)+(IFERROR(INDEX(Setup!$G$33:$G$40,MATCH(G1899,Setup!$B$33:$B$40,0)),0)=1)*(COUNTIF(G1858:I1875,$B1899)+COUNTIF(G1858:I1875,$B1899&amp;" ~*")&gt;0)+(IFERROR(INDEX(Setup!$G$33:$G$40,MATCH(K1899,Setup!$B$33:$B$40,0)),0)=1)*(COUNTIF(K1858:M1875,$B1899)+COUNTIF(K1858:M1875,$B1899&amp;" ~*")&gt;0)+(IFERROR(INDEX(Setup!$G$33:$G$40,MATCH(O1899,Setup!$B$33:$B$40,0)),0)=1)*(COUNTIF(O1858:Q1875,$B1899)+COUNTIF(O1858:Q1875,$B1899&amp;" ~*")&gt;0)+(IFERROR(INDEX(Setup!$G$33:$G$40,MATCH(S1899,Setup!$B$33:$B$40,0)),0)=1)*(COUNTIF(S1858:U1875,$B1899)+COUNTIF(S1858:U1875,$B1899&amp;" ~*")&gt;0)+(IFERROR(INDEX(Setup!$G$33:$G$40,MATCH(W1899,Setup!$B$33:$B$40,0)),0)=1)*(COUNTIF(W1858:W1875,$B1899)+COUNTIF(W1858:W1875,$B1899&amp;" ~*")&gt;0)+(IFERROR(INDEX(Setup!$G$33:$G$40,MATCH(Y1899,Setup!$B$33:$B$40,0)),0)=1)*(COUNTIF(Y1858:Y1875,$B1899)+COUNTIF(Y1858:Y1875,$B1899&amp;" ~*")&gt;0))</f>
        <v/>
      </c>
    </row>
    <row r="1900" ht="15" customHeight="1">
      <c r="A1900" t="n">
        <v>38</v>
      </c>
      <c r="B1900" s="37">
        <f>IF(Setup!$B$29="","",Setup!$B$29)</f>
        <v/>
      </c>
      <c r="C1900" s="102" t="n"/>
      <c r="D1900" s="103" t="n"/>
      <c r="E1900" s="103" t="n"/>
      <c r="F1900" s="104" t="n"/>
      <c r="G1900" s="102" t="n"/>
      <c r="H1900" s="103" t="n"/>
      <c r="I1900" s="103" t="n"/>
      <c r="J1900" s="104" t="n"/>
      <c r="K1900" s="102" t="n"/>
      <c r="L1900" s="103" t="n"/>
      <c r="M1900" s="103" t="n"/>
      <c r="N1900" s="104" t="n"/>
      <c r="O1900" s="102" t="n"/>
      <c r="P1900" s="103" t="n"/>
      <c r="Q1900" s="103" t="n"/>
      <c r="R1900" s="104" t="n"/>
      <c r="S1900" s="102" t="n"/>
      <c r="T1900" s="103" t="n"/>
      <c r="U1900" s="103" t="n"/>
      <c r="V1900" s="104" t="n"/>
      <c r="W1900" s="102" t="n"/>
      <c r="X1900" s="104" t="n"/>
      <c r="Y1900" s="102" t="n"/>
      <c r="Z1900" s="104" t="n"/>
      <c r="AB1900" s="105">
        <f>IF($B1900="","",(COUNTIF(C1858:E1875,$B1900)+COUNTIF(C1858:E1875,$B1900&amp;" ~*")&gt;0)+(COUNTIF(G1858:I1875,$B1900)+COUNTIF(G1858:I1875,$B1900&amp;" ~*")&gt;0)+(COUNTIF(K1858:M1875,$B1900)+COUNTIF(K1858:M1875,$B1900&amp;" ~*")&gt;0)+(COUNTIF(O1858:Q1875,$B1900)+COUNTIF(O1858:Q1875,$B1900&amp;" ~*")&gt;0)+(COUNTIF(S1858:U1875,$B1900)+COUNTIF(S1858:U1875,$B1900&amp;" ~*")&gt;0)+(COUNTIF(W1858:W1875,$B1900)+COUNTIF(W1858:W1875,$B1900&amp;" ~*")&gt;0)+(COUNTIF(Y1858:Y1875,$B1900)+COUNTIF(Y1858:Y1875,$B1900&amp;" ~*")&gt;0))</f>
        <v/>
      </c>
      <c r="AC1900" s="38">
        <f>IF($B1900="","",(IFERROR(INDEX(Setup!$G$33:$G$40,MATCH(C1900,Setup!$B$33:$B$40,0)),0)=1)*(COUNTIF(C1858:E1875,$B1900)+COUNTIF(C1858:E1875,$B1900&amp;" ~*")&gt;0)+(IFERROR(INDEX(Setup!$G$33:$G$40,MATCH(G1900,Setup!$B$33:$B$40,0)),0)=1)*(COUNTIF(G1858:I1875,$B1900)+COUNTIF(G1858:I1875,$B1900&amp;" ~*")&gt;0)+(IFERROR(INDEX(Setup!$G$33:$G$40,MATCH(K1900,Setup!$B$33:$B$40,0)),0)=1)*(COUNTIF(K1858:M1875,$B1900)+COUNTIF(K1858:M1875,$B1900&amp;" ~*")&gt;0)+(IFERROR(INDEX(Setup!$G$33:$G$40,MATCH(O1900,Setup!$B$33:$B$40,0)),0)=1)*(COUNTIF(O1858:Q1875,$B1900)+COUNTIF(O1858:Q1875,$B1900&amp;" ~*")&gt;0)+(IFERROR(INDEX(Setup!$G$33:$G$40,MATCH(S1900,Setup!$B$33:$B$40,0)),0)=1)*(COUNTIF(S1858:U1875,$B1900)+COUNTIF(S1858:U1875,$B1900&amp;" ~*")&gt;0)+(IFERROR(INDEX(Setup!$G$33:$G$40,MATCH(W1900,Setup!$B$33:$B$40,0)),0)=1)*(COUNTIF(W1858:W1875,$B1900)+COUNTIF(W1858:W1875,$B1900&amp;" ~*")&gt;0)+(IFERROR(INDEX(Setup!$G$33:$G$40,MATCH(Y1900,Setup!$B$33:$B$40,0)),0)=1)*(COUNTIF(Y1858:Y1875,$B1900)+COUNTIF(Y1858:Y1875,$B1900&amp;" ~*")&gt;0))</f>
        <v/>
      </c>
    </row>
    <row r="1901" ht="16" customHeight="1">
      <c r="A1901" t="n">
        <v>38</v>
      </c>
      <c r="B1901" s="106" t="inlineStr">
        <is>
          <t>Available people</t>
        </is>
      </c>
      <c r="C1901" s="107">
        <f>COUNTIFS(Setup!$E$6:$E$29,"Y",Setup!$B$6:$B$29,"?*")-SUMPRODUCT(COUNTIF(C1877:C1900,Setup!$F$33:$F$40))</f>
        <v/>
      </c>
      <c r="D1901" s="107" t="n"/>
      <c r="E1901" s="107" t="n"/>
      <c r="F1901" s="107" t="n"/>
      <c r="G1901" s="107">
        <f>COUNTIFS(Setup!$E$6:$E$29,"Y",Setup!$B$6:$B$29,"?*")-SUMPRODUCT(COUNTIF(G1877:G1900,Setup!$F$33:$F$40))</f>
        <v/>
      </c>
      <c r="H1901" s="107" t="n"/>
      <c r="I1901" s="107" t="n"/>
      <c r="J1901" s="107" t="n"/>
      <c r="K1901" s="107">
        <f>COUNTIFS(Setup!$E$6:$E$29,"Y",Setup!$B$6:$B$29,"?*")-SUMPRODUCT(COUNTIF(K1877:K1900,Setup!$F$33:$F$40))</f>
        <v/>
      </c>
      <c r="L1901" s="107" t="n"/>
      <c r="M1901" s="107" t="n"/>
      <c r="N1901" s="107" t="n"/>
      <c r="O1901" s="107">
        <f>COUNTIFS(Setup!$E$6:$E$29,"Y",Setup!$B$6:$B$29,"?*")-SUMPRODUCT(COUNTIF(O1877:O1900,Setup!$F$33:$F$40))</f>
        <v/>
      </c>
      <c r="P1901" s="107" t="n"/>
      <c r="Q1901" s="107" t="n"/>
      <c r="R1901" s="107" t="n"/>
      <c r="S1901" s="107">
        <f>COUNTIFS(Setup!$E$6:$E$29,"Y",Setup!$B$6:$B$29,"?*")-SUMPRODUCT(COUNTIF(S1877:S1900,Setup!$F$33:$F$40))</f>
        <v/>
      </c>
      <c r="T1901" s="107" t="n"/>
      <c r="U1901" s="107" t="n"/>
      <c r="V1901" s="107" t="n"/>
      <c r="W1901" s="107">
        <f>COUNTIFS(Setup!$E$6:$E$29,"Y",Setup!$B$6:$B$29,"?*")-SUMPRODUCT(COUNTIF(W1877:W1900,Setup!$F$33:$F$40))</f>
        <v/>
      </c>
      <c r="X1901" s="107" t="n"/>
      <c r="Y1901" s="107">
        <f>COUNTIFS(Setup!$E$6:$E$29,"Y",Setup!$B$6:$B$29,"?*")-SUMPRODUCT(COUNTIF(Y1877:Y1900,Setup!$F$33:$F$40))</f>
        <v/>
      </c>
      <c r="Z1901" s="107" t="n"/>
      <c r="AB1901" s="108">
        <f>SUM(AB1877:AB1900)</f>
        <v/>
      </c>
      <c r="AC1901" s="109">
        <f>SUM(AC1877:AC1900)</f>
        <v/>
      </c>
    </row>
    <row r="1902" ht="30" customHeight="1">
      <c r="A1902" t="n">
        <v>38</v>
      </c>
      <c r="B1902" s="110" t="inlineStr">
        <is>
          <t>Week notes</t>
        </is>
      </c>
      <c r="C1902" s="111" t="n"/>
      <c r="D1902" s="112" t="n"/>
      <c r="E1902" s="112" t="n"/>
      <c r="F1902" s="112" t="n"/>
      <c r="G1902" s="112" t="n"/>
      <c r="H1902" s="112" t="n"/>
      <c r="I1902" s="112" t="n"/>
      <c r="J1902" s="112" t="n"/>
      <c r="K1902" s="112" t="n"/>
      <c r="L1902" s="112" t="n"/>
      <c r="M1902" s="112" t="n"/>
      <c r="N1902" s="112" t="n"/>
      <c r="O1902" s="112" t="n"/>
      <c r="P1902" s="112" t="n"/>
      <c r="Q1902" s="112" t="n"/>
      <c r="R1902" s="112" t="n"/>
      <c r="S1902" s="112" t="n"/>
      <c r="T1902" s="112" t="n"/>
      <c r="U1902" s="112" t="n"/>
      <c r="V1902" s="112" t="n"/>
      <c r="W1902" s="112" t="n"/>
      <c r="X1902" s="112" t="n"/>
      <c r="Y1902" s="112" t="n"/>
      <c r="Z1902" s="113" t="n"/>
    </row>
    <row r="1903" ht="8" customHeight="1">
      <c r="A1903" t="n">
        <v>38</v>
      </c>
    </row>
    <row r="1904" ht="8" customHeight="1">
      <c r="A1904" t="n">
        <v>38</v>
      </c>
    </row>
    <row r="1905" ht="24" customHeight="1">
      <c r="A1905" t="n">
        <v>39</v>
      </c>
      <c r="B1905" s="73">
        <f>"WEEK 39     "&amp;TEXT(C1906,"ddd d mmm")&amp;"  –  "&amp;TEXT(C1906+6,"ddd d mmm yyyy")</f>
        <v/>
      </c>
      <c r="S1905" s="74">
        <f>IF(TODAY()&lt;C1906,"FUTURE",IF(TODAY()&gt;C1906+6,"PAST","THIS WEEK"))</f>
        <v/>
      </c>
      <c r="W1905" s="75">
        <f>IF(AND(Engine!$B$8=$AC$3,Engine!$B$9=$A1905),"◀ ACTIVE WEEK","")</f>
        <v/>
      </c>
      <c r="AA1905" s="76" t="n"/>
      <c r="AB1905" s="77" t="inlineStr">
        <is>
          <t>◀ Prev</t>
        </is>
      </c>
      <c r="AC1905" s="77" t="inlineStr">
        <is>
          <t>Next ▶</t>
        </is>
      </c>
    </row>
    <row r="1906" ht="18" customHeight="1">
      <c r="A1906" t="n">
        <v>39</v>
      </c>
      <c r="B1906" s="78" t="inlineStr">
        <is>
          <t>DUTY</t>
        </is>
      </c>
      <c r="C1906" s="79">
        <f>$AC$2+7*($A1906-1)</f>
        <v/>
      </c>
      <c r="D1906" s="80" t="n"/>
      <c r="E1906" s="80" t="n"/>
      <c r="F1906" s="81" t="n"/>
      <c r="G1906" s="79">
        <f>C1906+1</f>
        <v/>
      </c>
      <c r="H1906" s="80" t="n"/>
      <c r="I1906" s="80" t="n"/>
      <c r="J1906" s="81" t="n"/>
      <c r="K1906" s="79">
        <f>C1906+2</f>
        <v/>
      </c>
      <c r="L1906" s="80" t="n"/>
      <c r="M1906" s="80" t="n"/>
      <c r="N1906" s="81" t="n"/>
      <c r="O1906" s="79">
        <f>C1906+3</f>
        <v/>
      </c>
      <c r="P1906" s="80" t="n"/>
      <c r="Q1906" s="80" t="n"/>
      <c r="R1906" s="81" t="n"/>
      <c r="S1906" s="79">
        <f>C1906+4</f>
        <v/>
      </c>
      <c r="T1906" s="80" t="n"/>
      <c r="U1906" s="80" t="n"/>
      <c r="V1906" s="81" t="n"/>
      <c r="W1906" s="82">
        <f>C1906+5</f>
        <v/>
      </c>
      <c r="X1906" s="83" t="n"/>
      <c r="Y1906" s="82">
        <f>C1906+6</f>
        <v/>
      </c>
      <c r="Z1906" s="83" t="n"/>
      <c r="AB1906" s="72" t="inlineStr">
        <is>
          <t>Gaps</t>
        </is>
      </c>
      <c r="AC1906" s="72" t="inlineStr">
        <is>
          <t>Cover</t>
        </is>
      </c>
    </row>
    <row r="1907" ht="14" customHeight="1">
      <c r="A1907" t="n">
        <v>39</v>
      </c>
      <c r="B1907" s="84" t="inlineStr">
        <is>
          <t>(from Setup)</t>
        </is>
      </c>
      <c r="C1907" s="85" t="inlineStr">
        <is>
          <t>1</t>
        </is>
      </c>
      <c r="D1907" s="85" t="inlineStr">
        <is>
          <t>2</t>
        </is>
      </c>
      <c r="E1907" s="85" t="inlineStr">
        <is>
          <t>3</t>
        </is>
      </c>
      <c r="F1907" s="85" t="inlineStr">
        <is>
          <t>Notes</t>
        </is>
      </c>
      <c r="G1907" s="85" t="inlineStr">
        <is>
          <t>1</t>
        </is>
      </c>
      <c r="H1907" s="85" t="inlineStr">
        <is>
          <t>2</t>
        </is>
      </c>
      <c r="I1907" s="85" t="inlineStr">
        <is>
          <t>3</t>
        </is>
      </c>
      <c r="J1907" s="85" t="inlineStr">
        <is>
          <t>Notes</t>
        </is>
      </c>
      <c r="K1907" s="85" t="inlineStr">
        <is>
          <t>1</t>
        </is>
      </c>
      <c r="L1907" s="85" t="inlineStr">
        <is>
          <t>2</t>
        </is>
      </c>
      <c r="M1907" s="85" t="inlineStr">
        <is>
          <t>3</t>
        </is>
      </c>
      <c r="N1907" s="85" t="inlineStr">
        <is>
          <t>Notes</t>
        </is>
      </c>
      <c r="O1907" s="85" t="inlineStr">
        <is>
          <t>1</t>
        </is>
      </c>
      <c r="P1907" s="85" t="inlineStr">
        <is>
          <t>2</t>
        </is>
      </c>
      <c r="Q1907" s="85" t="inlineStr">
        <is>
          <t>3</t>
        </is>
      </c>
      <c r="R1907" s="85" t="inlineStr">
        <is>
          <t>Notes</t>
        </is>
      </c>
      <c r="S1907" s="85" t="inlineStr">
        <is>
          <t>1</t>
        </is>
      </c>
      <c r="T1907" s="85" t="inlineStr">
        <is>
          <t>2</t>
        </is>
      </c>
      <c r="U1907" s="85" t="inlineStr">
        <is>
          <t>3</t>
        </is>
      </c>
      <c r="V1907" s="85" t="inlineStr">
        <is>
          <t>Notes</t>
        </is>
      </c>
      <c r="W1907" s="85" t="inlineStr">
        <is>
          <t>Cover</t>
        </is>
      </c>
      <c r="X1907" s="85" t="inlineStr">
        <is>
          <t>Notes</t>
        </is>
      </c>
      <c r="Y1907" s="85" t="inlineStr">
        <is>
          <t>Cover</t>
        </is>
      </c>
      <c r="Z1907" s="85" t="inlineStr">
        <is>
          <t>Notes</t>
        </is>
      </c>
      <c r="AB1907" s="86" t="inlineStr">
        <is>
          <t>weekdays short</t>
        </is>
      </c>
      <c r="AC1907" s="87" t="inlineStr"/>
    </row>
    <row r="1908" ht="17" customHeight="1">
      <c r="A1908" t="n">
        <v>39</v>
      </c>
      <c r="B1908" s="24">
        <f>IF(Setup!$K$6="","",Setup!$K$6)</f>
        <v/>
      </c>
      <c r="C1908" s="88" t="n"/>
      <c r="D1908" s="88" t="n"/>
      <c r="E1908" s="88" t="n"/>
      <c r="F1908" s="89" t="n"/>
      <c r="G1908" s="88" t="n"/>
      <c r="H1908" s="88" t="n"/>
      <c r="I1908" s="88" t="n"/>
      <c r="J1908" s="89" t="n"/>
      <c r="K1908" s="88" t="n"/>
      <c r="L1908" s="88" t="n"/>
      <c r="M1908" s="88" t="n"/>
      <c r="N1908" s="89" t="n"/>
      <c r="O1908" s="88" t="n"/>
      <c r="P1908" s="88" t="n"/>
      <c r="Q1908" s="88" t="n"/>
      <c r="R1908" s="89" t="n"/>
      <c r="S1908" s="88" t="n"/>
      <c r="T1908" s="88" t="n"/>
      <c r="U1908" s="88" t="n"/>
      <c r="V1908" s="89" t="n"/>
      <c r="W1908" s="88" t="n"/>
      <c r="X1908" s="89" t="n"/>
      <c r="Y1908" s="88" t="n"/>
      <c r="Z1908" s="89" t="n"/>
      <c r="AB1908" s="25">
        <f>IF($B1908="","",(COUNTIF(C1908:E1908,"?*")&lt;N(INDEX(Setup!$L$6:$L$23,1)))+(COUNTIF(G1908:I1908,"?*")&lt;N(INDEX(Setup!$L$6:$L$23,1)))+(COUNTIF(K1908:M1908,"?*")&lt;N(INDEX(Setup!$L$6:$L$23,1)))+(COUNTIF(O1908:Q1908,"?*")&lt;N(INDEX(Setup!$L$6:$L$23,1)))+(COUNTIF(S1908:U1908,"?*")&lt;N(INDEX(Setup!$L$6:$L$23,1)))+((W1908="")*(INDEX(Setup!$M$6:$M$23,1)="Y"))+((Y1908="")*(INDEX(Setup!$M$6:$M$23,1)="Y")))</f>
        <v/>
      </c>
      <c r="AC1908" s="90">
        <f>IF($B1908="","",IF(AB1908=0,"✓ covered","⚠ "&amp;AB1908&amp;IF(AB1908=1," gap"," gaps")))</f>
        <v/>
      </c>
    </row>
    <row r="1909" ht="17" customHeight="1">
      <c r="A1909" t="n">
        <v>39</v>
      </c>
      <c r="B1909" s="29">
        <f>IF(Setup!$K$7="","",Setup!$K$7)</f>
        <v/>
      </c>
      <c r="C1909" s="88" t="n"/>
      <c r="D1909" s="88" t="n"/>
      <c r="E1909" s="88" t="n"/>
      <c r="F1909" s="89" t="n"/>
      <c r="G1909" s="88" t="n"/>
      <c r="H1909" s="88" t="n"/>
      <c r="I1909" s="88" t="n"/>
      <c r="J1909" s="89" t="n"/>
      <c r="K1909" s="88" t="n"/>
      <c r="L1909" s="88" t="n"/>
      <c r="M1909" s="88" t="n"/>
      <c r="N1909" s="89" t="n"/>
      <c r="O1909" s="88" t="n"/>
      <c r="P1909" s="88" t="n"/>
      <c r="Q1909" s="88" t="n"/>
      <c r="R1909" s="89" t="n"/>
      <c r="S1909" s="88" t="n"/>
      <c r="T1909" s="88" t="n"/>
      <c r="U1909" s="88" t="n"/>
      <c r="V1909" s="89" t="n"/>
      <c r="W1909" s="88" t="n"/>
      <c r="X1909" s="89" t="n"/>
      <c r="Y1909" s="88" t="n"/>
      <c r="Z1909" s="89" t="n"/>
      <c r="AB1909" s="30">
        <f>IF($B1909="","",(COUNTIF(C1909:E1909,"?*")&lt;N(INDEX(Setup!$L$6:$L$23,2)))+(COUNTIF(G1909:I1909,"?*")&lt;N(INDEX(Setup!$L$6:$L$23,2)))+(COUNTIF(K1909:M1909,"?*")&lt;N(INDEX(Setup!$L$6:$L$23,2)))+(COUNTIF(O1909:Q1909,"?*")&lt;N(INDEX(Setup!$L$6:$L$23,2)))+(COUNTIF(S1909:U1909,"?*")&lt;N(INDEX(Setup!$L$6:$L$23,2)))+((W1909="")*(INDEX(Setup!$M$6:$M$23,2)="Y"))+((Y1909="")*(INDEX(Setup!$M$6:$M$23,2)="Y")))</f>
        <v/>
      </c>
      <c r="AC1909" s="91">
        <f>IF($B1909="","",IF(AB1909=0,"✓ covered","⚠ "&amp;AB1909&amp;IF(AB1909=1," gap"," gaps")))</f>
        <v/>
      </c>
    </row>
    <row r="1910" ht="17" customHeight="1">
      <c r="A1910" t="n">
        <v>39</v>
      </c>
      <c r="B1910" s="24">
        <f>IF(Setup!$K$8="","",Setup!$K$8)</f>
        <v/>
      </c>
      <c r="C1910" s="88" t="n"/>
      <c r="D1910" s="88" t="n"/>
      <c r="E1910" s="88" t="n"/>
      <c r="F1910" s="89" t="n"/>
      <c r="G1910" s="88" t="n"/>
      <c r="H1910" s="88" t="n"/>
      <c r="I1910" s="88" t="n"/>
      <c r="J1910" s="89" t="n"/>
      <c r="K1910" s="88" t="n"/>
      <c r="L1910" s="88" t="n"/>
      <c r="M1910" s="88" t="n"/>
      <c r="N1910" s="89" t="n"/>
      <c r="O1910" s="88" t="n"/>
      <c r="P1910" s="88" t="n"/>
      <c r="Q1910" s="88" t="n"/>
      <c r="R1910" s="89" t="n"/>
      <c r="S1910" s="88" t="n"/>
      <c r="T1910" s="88" t="n"/>
      <c r="U1910" s="88" t="n"/>
      <c r="V1910" s="89" t="n"/>
      <c r="W1910" s="88" t="n"/>
      <c r="X1910" s="89" t="n"/>
      <c r="Y1910" s="88" t="n"/>
      <c r="Z1910" s="89" t="n"/>
      <c r="AB1910" s="25">
        <f>IF($B1910="","",(COUNTIF(C1910:E1910,"?*")&lt;N(INDEX(Setup!$L$6:$L$23,3)))+(COUNTIF(G1910:I1910,"?*")&lt;N(INDEX(Setup!$L$6:$L$23,3)))+(COUNTIF(K1910:M1910,"?*")&lt;N(INDEX(Setup!$L$6:$L$23,3)))+(COUNTIF(O1910:Q1910,"?*")&lt;N(INDEX(Setup!$L$6:$L$23,3)))+(COUNTIF(S1910:U1910,"?*")&lt;N(INDEX(Setup!$L$6:$L$23,3)))+((W1910="")*(INDEX(Setup!$M$6:$M$23,3)="Y"))+((Y1910="")*(INDEX(Setup!$M$6:$M$23,3)="Y")))</f>
        <v/>
      </c>
      <c r="AC1910" s="90">
        <f>IF($B1910="","",IF(AB1910=0,"✓ covered","⚠ "&amp;AB1910&amp;IF(AB1910=1," gap"," gaps")))</f>
        <v/>
      </c>
    </row>
    <row r="1911" ht="17" customHeight="1">
      <c r="A1911" t="n">
        <v>39</v>
      </c>
      <c r="B1911" s="29">
        <f>IF(Setup!$K$9="","",Setup!$K$9)</f>
        <v/>
      </c>
      <c r="C1911" s="88" t="n"/>
      <c r="D1911" s="88" t="n"/>
      <c r="E1911" s="88" t="n"/>
      <c r="F1911" s="89" t="n"/>
      <c r="G1911" s="88" t="n"/>
      <c r="H1911" s="88" t="n"/>
      <c r="I1911" s="88" t="n"/>
      <c r="J1911" s="89" t="n"/>
      <c r="K1911" s="88" t="n"/>
      <c r="L1911" s="88" t="n"/>
      <c r="M1911" s="88" t="n"/>
      <c r="N1911" s="89" t="n"/>
      <c r="O1911" s="88" t="n"/>
      <c r="P1911" s="88" t="n"/>
      <c r="Q1911" s="88" t="n"/>
      <c r="R1911" s="89" t="n"/>
      <c r="S1911" s="88" t="n"/>
      <c r="T1911" s="88" t="n"/>
      <c r="U1911" s="88" t="n"/>
      <c r="V1911" s="89" t="n"/>
      <c r="W1911" s="88" t="n"/>
      <c r="X1911" s="89" t="n"/>
      <c r="Y1911" s="88" t="n"/>
      <c r="Z1911" s="89" t="n"/>
      <c r="AB1911" s="30">
        <f>IF($B1911="","",(COUNTIF(C1911:E1911,"?*")&lt;N(INDEX(Setup!$L$6:$L$23,4)))+(COUNTIF(G1911:I1911,"?*")&lt;N(INDEX(Setup!$L$6:$L$23,4)))+(COUNTIF(K1911:M1911,"?*")&lt;N(INDEX(Setup!$L$6:$L$23,4)))+(COUNTIF(O1911:Q1911,"?*")&lt;N(INDEX(Setup!$L$6:$L$23,4)))+(COUNTIF(S1911:U1911,"?*")&lt;N(INDEX(Setup!$L$6:$L$23,4)))+((W1911="")*(INDEX(Setup!$M$6:$M$23,4)="Y"))+((Y1911="")*(INDEX(Setup!$M$6:$M$23,4)="Y")))</f>
        <v/>
      </c>
      <c r="AC1911" s="91">
        <f>IF($B1911="","",IF(AB1911=0,"✓ covered","⚠ "&amp;AB1911&amp;IF(AB1911=1," gap"," gaps")))</f>
        <v/>
      </c>
    </row>
    <row r="1912" ht="17" customHeight="1">
      <c r="A1912" t="n">
        <v>39</v>
      </c>
      <c r="B1912" s="24">
        <f>IF(Setup!$K$10="","",Setup!$K$10)</f>
        <v/>
      </c>
      <c r="C1912" s="88" t="n"/>
      <c r="D1912" s="88" t="n"/>
      <c r="E1912" s="88" t="n"/>
      <c r="F1912" s="89" t="n"/>
      <c r="G1912" s="88" t="n"/>
      <c r="H1912" s="88" t="n"/>
      <c r="I1912" s="88" t="n"/>
      <c r="J1912" s="89" t="n"/>
      <c r="K1912" s="88" t="n"/>
      <c r="L1912" s="88" t="n"/>
      <c r="M1912" s="88" t="n"/>
      <c r="N1912" s="89" t="n"/>
      <c r="O1912" s="88" t="n"/>
      <c r="P1912" s="88" t="n"/>
      <c r="Q1912" s="88" t="n"/>
      <c r="R1912" s="89" t="n"/>
      <c r="S1912" s="88" t="n"/>
      <c r="T1912" s="88" t="n"/>
      <c r="U1912" s="88" t="n"/>
      <c r="V1912" s="89" t="n"/>
      <c r="W1912" s="88" t="n"/>
      <c r="X1912" s="89" t="n"/>
      <c r="Y1912" s="88" t="n"/>
      <c r="Z1912" s="89" t="n"/>
      <c r="AB1912" s="25">
        <f>IF($B1912="","",(COUNTIF(C1912:E1912,"?*")&lt;N(INDEX(Setup!$L$6:$L$23,5)))+(COUNTIF(G1912:I1912,"?*")&lt;N(INDEX(Setup!$L$6:$L$23,5)))+(COUNTIF(K1912:M1912,"?*")&lt;N(INDEX(Setup!$L$6:$L$23,5)))+(COUNTIF(O1912:Q1912,"?*")&lt;N(INDEX(Setup!$L$6:$L$23,5)))+(COUNTIF(S1912:U1912,"?*")&lt;N(INDEX(Setup!$L$6:$L$23,5)))+((W1912="")*(INDEX(Setup!$M$6:$M$23,5)="Y"))+((Y1912="")*(INDEX(Setup!$M$6:$M$23,5)="Y")))</f>
        <v/>
      </c>
      <c r="AC1912" s="90">
        <f>IF($B1912="","",IF(AB1912=0,"✓ covered","⚠ "&amp;AB1912&amp;IF(AB1912=1," gap"," gaps")))</f>
        <v/>
      </c>
    </row>
    <row r="1913" ht="17" customHeight="1">
      <c r="A1913" t="n">
        <v>39</v>
      </c>
      <c r="B1913" s="29">
        <f>IF(Setup!$K$11="","",Setup!$K$11)</f>
        <v/>
      </c>
      <c r="C1913" s="88" t="n"/>
      <c r="D1913" s="88" t="n"/>
      <c r="E1913" s="88" t="n"/>
      <c r="F1913" s="89" t="n"/>
      <c r="G1913" s="88" t="n"/>
      <c r="H1913" s="88" t="n"/>
      <c r="I1913" s="88" t="n"/>
      <c r="J1913" s="89" t="n"/>
      <c r="K1913" s="88" t="n"/>
      <c r="L1913" s="88" t="n"/>
      <c r="M1913" s="88" t="n"/>
      <c r="N1913" s="89" t="n"/>
      <c r="O1913" s="88" t="n"/>
      <c r="P1913" s="88" t="n"/>
      <c r="Q1913" s="88" t="n"/>
      <c r="R1913" s="89" t="n"/>
      <c r="S1913" s="88" t="n"/>
      <c r="T1913" s="88" t="n"/>
      <c r="U1913" s="88" t="n"/>
      <c r="V1913" s="89" t="n"/>
      <c r="W1913" s="88" t="n"/>
      <c r="X1913" s="89" t="n"/>
      <c r="Y1913" s="88" t="n"/>
      <c r="Z1913" s="89" t="n"/>
      <c r="AB1913" s="30">
        <f>IF($B1913="","",(COUNTIF(C1913:E1913,"?*")&lt;N(INDEX(Setup!$L$6:$L$23,6)))+(COUNTIF(G1913:I1913,"?*")&lt;N(INDEX(Setup!$L$6:$L$23,6)))+(COUNTIF(K1913:M1913,"?*")&lt;N(INDEX(Setup!$L$6:$L$23,6)))+(COUNTIF(O1913:Q1913,"?*")&lt;N(INDEX(Setup!$L$6:$L$23,6)))+(COUNTIF(S1913:U1913,"?*")&lt;N(INDEX(Setup!$L$6:$L$23,6)))+((W1913="")*(INDEX(Setup!$M$6:$M$23,6)="Y"))+((Y1913="")*(INDEX(Setup!$M$6:$M$23,6)="Y")))</f>
        <v/>
      </c>
      <c r="AC1913" s="91">
        <f>IF($B1913="","",IF(AB1913=0,"✓ covered","⚠ "&amp;AB1913&amp;IF(AB1913=1," gap"," gaps")))</f>
        <v/>
      </c>
    </row>
    <row r="1914" ht="17" customHeight="1">
      <c r="A1914" t="n">
        <v>39</v>
      </c>
      <c r="B1914" s="24">
        <f>IF(Setup!$K$12="","",Setup!$K$12)</f>
        <v/>
      </c>
      <c r="C1914" s="88" t="n"/>
      <c r="D1914" s="88" t="n"/>
      <c r="E1914" s="88" t="n"/>
      <c r="F1914" s="89" t="n"/>
      <c r="G1914" s="88" t="n"/>
      <c r="H1914" s="88" t="n"/>
      <c r="I1914" s="88" t="n"/>
      <c r="J1914" s="89" t="n"/>
      <c r="K1914" s="88" t="n"/>
      <c r="L1914" s="88" t="n"/>
      <c r="M1914" s="88" t="n"/>
      <c r="N1914" s="89" t="n"/>
      <c r="O1914" s="88" t="n"/>
      <c r="P1914" s="88" t="n"/>
      <c r="Q1914" s="88" t="n"/>
      <c r="R1914" s="89" t="n"/>
      <c r="S1914" s="88" t="n"/>
      <c r="T1914" s="88" t="n"/>
      <c r="U1914" s="88" t="n"/>
      <c r="V1914" s="89" t="n"/>
      <c r="W1914" s="88" t="n"/>
      <c r="X1914" s="89" t="n"/>
      <c r="Y1914" s="88" t="n"/>
      <c r="Z1914" s="89" t="n"/>
      <c r="AB1914" s="25">
        <f>IF($B1914="","",(COUNTIF(C1914:E1914,"?*")&lt;N(INDEX(Setup!$L$6:$L$23,7)))+(COUNTIF(G1914:I1914,"?*")&lt;N(INDEX(Setup!$L$6:$L$23,7)))+(COUNTIF(K1914:M1914,"?*")&lt;N(INDEX(Setup!$L$6:$L$23,7)))+(COUNTIF(O1914:Q1914,"?*")&lt;N(INDEX(Setup!$L$6:$L$23,7)))+(COUNTIF(S1914:U1914,"?*")&lt;N(INDEX(Setup!$L$6:$L$23,7)))+((W1914="")*(INDEX(Setup!$M$6:$M$23,7)="Y"))+((Y1914="")*(INDEX(Setup!$M$6:$M$23,7)="Y")))</f>
        <v/>
      </c>
      <c r="AC1914" s="90">
        <f>IF($B1914="","",IF(AB1914=0,"✓ covered","⚠ "&amp;AB1914&amp;IF(AB1914=1," gap"," gaps")))</f>
        <v/>
      </c>
    </row>
    <row r="1915" ht="17" customHeight="1">
      <c r="A1915" t="n">
        <v>39</v>
      </c>
      <c r="B1915" s="29">
        <f>IF(Setup!$K$13="","",Setup!$K$13)</f>
        <v/>
      </c>
      <c r="C1915" s="88" t="n"/>
      <c r="D1915" s="88" t="n"/>
      <c r="E1915" s="88" t="n"/>
      <c r="F1915" s="89" t="n"/>
      <c r="G1915" s="88" t="n"/>
      <c r="H1915" s="88" t="n"/>
      <c r="I1915" s="88" t="n"/>
      <c r="J1915" s="89" t="n"/>
      <c r="K1915" s="88" t="n"/>
      <c r="L1915" s="88" t="n"/>
      <c r="M1915" s="88" t="n"/>
      <c r="N1915" s="89" t="n"/>
      <c r="O1915" s="88" t="n"/>
      <c r="P1915" s="88" t="n"/>
      <c r="Q1915" s="88" t="n"/>
      <c r="R1915" s="89" t="n"/>
      <c r="S1915" s="88" t="n"/>
      <c r="T1915" s="88" t="n"/>
      <c r="U1915" s="88" t="n"/>
      <c r="V1915" s="89" t="n"/>
      <c r="W1915" s="88" t="n"/>
      <c r="X1915" s="89" t="n"/>
      <c r="Y1915" s="88" t="n"/>
      <c r="Z1915" s="89" t="n"/>
      <c r="AB1915" s="30">
        <f>IF($B1915="","",(COUNTIF(C1915:E1915,"?*")&lt;N(INDEX(Setup!$L$6:$L$23,8)))+(COUNTIF(G1915:I1915,"?*")&lt;N(INDEX(Setup!$L$6:$L$23,8)))+(COUNTIF(K1915:M1915,"?*")&lt;N(INDEX(Setup!$L$6:$L$23,8)))+(COUNTIF(O1915:Q1915,"?*")&lt;N(INDEX(Setup!$L$6:$L$23,8)))+(COUNTIF(S1915:U1915,"?*")&lt;N(INDEX(Setup!$L$6:$L$23,8)))+((W1915="")*(INDEX(Setup!$M$6:$M$23,8)="Y"))+((Y1915="")*(INDEX(Setup!$M$6:$M$23,8)="Y")))</f>
        <v/>
      </c>
      <c r="AC1915" s="91">
        <f>IF($B1915="","",IF(AB1915=0,"✓ covered","⚠ "&amp;AB1915&amp;IF(AB1915=1," gap"," gaps")))</f>
        <v/>
      </c>
    </row>
    <row r="1916" ht="17" customHeight="1">
      <c r="A1916" t="n">
        <v>39</v>
      </c>
      <c r="B1916" s="24">
        <f>IF(Setup!$K$14="","",Setup!$K$14)</f>
        <v/>
      </c>
      <c r="C1916" s="88" t="n"/>
      <c r="D1916" s="88" t="n"/>
      <c r="E1916" s="88" t="n"/>
      <c r="F1916" s="89" t="n"/>
      <c r="G1916" s="88" t="n"/>
      <c r="H1916" s="88" t="n"/>
      <c r="I1916" s="88" t="n"/>
      <c r="J1916" s="89" t="n"/>
      <c r="K1916" s="88" t="n"/>
      <c r="L1916" s="88" t="n"/>
      <c r="M1916" s="88" t="n"/>
      <c r="N1916" s="89" t="n"/>
      <c r="O1916" s="88" t="n"/>
      <c r="P1916" s="88" t="n"/>
      <c r="Q1916" s="88" t="n"/>
      <c r="R1916" s="89" t="n"/>
      <c r="S1916" s="88" t="n"/>
      <c r="T1916" s="88" t="n"/>
      <c r="U1916" s="88" t="n"/>
      <c r="V1916" s="89" t="n"/>
      <c r="W1916" s="88" t="n"/>
      <c r="X1916" s="89" t="n"/>
      <c r="Y1916" s="88" t="n"/>
      <c r="Z1916" s="89" t="n"/>
      <c r="AB1916" s="25">
        <f>IF($B1916="","",(COUNTIF(C1916:E1916,"?*")&lt;N(INDEX(Setup!$L$6:$L$23,9)))+(COUNTIF(G1916:I1916,"?*")&lt;N(INDEX(Setup!$L$6:$L$23,9)))+(COUNTIF(K1916:M1916,"?*")&lt;N(INDEX(Setup!$L$6:$L$23,9)))+(COUNTIF(O1916:Q1916,"?*")&lt;N(INDEX(Setup!$L$6:$L$23,9)))+(COUNTIF(S1916:U1916,"?*")&lt;N(INDEX(Setup!$L$6:$L$23,9)))+((W1916="")*(INDEX(Setup!$M$6:$M$23,9)="Y"))+((Y1916="")*(INDEX(Setup!$M$6:$M$23,9)="Y")))</f>
        <v/>
      </c>
      <c r="AC1916" s="90">
        <f>IF($B1916="","",IF(AB1916=0,"✓ covered","⚠ "&amp;AB1916&amp;IF(AB1916=1," gap"," gaps")))</f>
        <v/>
      </c>
    </row>
    <row r="1917" ht="17" customHeight="1">
      <c r="A1917" t="n">
        <v>39</v>
      </c>
      <c r="B1917" s="29">
        <f>IF(Setup!$K$15="","",Setup!$K$15)</f>
        <v/>
      </c>
      <c r="C1917" s="88" t="n"/>
      <c r="D1917" s="88" t="n"/>
      <c r="E1917" s="88" t="n"/>
      <c r="F1917" s="89" t="n"/>
      <c r="G1917" s="88" t="n"/>
      <c r="H1917" s="88" t="n"/>
      <c r="I1917" s="88" t="n"/>
      <c r="J1917" s="89" t="n"/>
      <c r="K1917" s="88" t="n"/>
      <c r="L1917" s="88" t="n"/>
      <c r="M1917" s="88" t="n"/>
      <c r="N1917" s="89" t="n"/>
      <c r="O1917" s="88" t="n"/>
      <c r="P1917" s="88" t="n"/>
      <c r="Q1917" s="88" t="n"/>
      <c r="R1917" s="89" t="n"/>
      <c r="S1917" s="88" t="n"/>
      <c r="T1917" s="88" t="n"/>
      <c r="U1917" s="88" t="n"/>
      <c r="V1917" s="89" t="n"/>
      <c r="W1917" s="88" t="n"/>
      <c r="X1917" s="89" t="n"/>
      <c r="Y1917" s="88" t="n"/>
      <c r="Z1917" s="89" t="n"/>
      <c r="AB1917" s="30">
        <f>IF($B1917="","",(COUNTIF(C1917:E1917,"?*")&lt;N(INDEX(Setup!$L$6:$L$23,10)))+(COUNTIF(G1917:I1917,"?*")&lt;N(INDEX(Setup!$L$6:$L$23,10)))+(COUNTIF(K1917:M1917,"?*")&lt;N(INDEX(Setup!$L$6:$L$23,10)))+(COUNTIF(O1917:Q1917,"?*")&lt;N(INDEX(Setup!$L$6:$L$23,10)))+(COUNTIF(S1917:U1917,"?*")&lt;N(INDEX(Setup!$L$6:$L$23,10)))+((W1917="")*(INDEX(Setup!$M$6:$M$23,10)="Y"))+((Y1917="")*(INDEX(Setup!$M$6:$M$23,10)="Y")))</f>
        <v/>
      </c>
      <c r="AC1917" s="91">
        <f>IF($B1917="","",IF(AB1917=0,"✓ covered","⚠ "&amp;AB1917&amp;IF(AB1917=1," gap"," gaps")))</f>
        <v/>
      </c>
    </row>
    <row r="1918" ht="17" customHeight="1">
      <c r="A1918" t="n">
        <v>39</v>
      </c>
      <c r="B1918" s="24">
        <f>IF(Setup!$K$16="","",Setup!$K$16)</f>
        <v/>
      </c>
      <c r="C1918" s="88" t="n"/>
      <c r="D1918" s="88" t="n"/>
      <c r="E1918" s="88" t="n"/>
      <c r="F1918" s="89" t="n"/>
      <c r="G1918" s="88" t="n"/>
      <c r="H1918" s="88" t="n"/>
      <c r="I1918" s="88" t="n"/>
      <c r="J1918" s="89" t="n"/>
      <c r="K1918" s="88" t="n"/>
      <c r="L1918" s="88" t="n"/>
      <c r="M1918" s="88" t="n"/>
      <c r="N1918" s="89" t="n"/>
      <c r="O1918" s="88" t="n"/>
      <c r="P1918" s="88" t="n"/>
      <c r="Q1918" s="88" t="n"/>
      <c r="R1918" s="89" t="n"/>
      <c r="S1918" s="88" t="n"/>
      <c r="T1918" s="88" t="n"/>
      <c r="U1918" s="88" t="n"/>
      <c r="V1918" s="89" t="n"/>
      <c r="W1918" s="88" t="n"/>
      <c r="X1918" s="89" t="n"/>
      <c r="Y1918" s="88" t="n"/>
      <c r="Z1918" s="89" t="n"/>
      <c r="AB1918" s="25">
        <f>IF($B1918="","",(COUNTIF(C1918:E1918,"?*")&lt;N(INDEX(Setup!$L$6:$L$23,11)))+(COUNTIF(G1918:I1918,"?*")&lt;N(INDEX(Setup!$L$6:$L$23,11)))+(COUNTIF(K1918:M1918,"?*")&lt;N(INDEX(Setup!$L$6:$L$23,11)))+(COUNTIF(O1918:Q1918,"?*")&lt;N(INDEX(Setup!$L$6:$L$23,11)))+(COUNTIF(S1918:U1918,"?*")&lt;N(INDEX(Setup!$L$6:$L$23,11)))+((W1918="")*(INDEX(Setup!$M$6:$M$23,11)="Y"))+((Y1918="")*(INDEX(Setup!$M$6:$M$23,11)="Y")))</f>
        <v/>
      </c>
      <c r="AC1918" s="90">
        <f>IF($B1918="","",IF(AB1918=0,"✓ covered","⚠ "&amp;AB1918&amp;IF(AB1918=1," gap"," gaps")))</f>
        <v/>
      </c>
    </row>
    <row r="1919" ht="17" customHeight="1">
      <c r="A1919" t="n">
        <v>39</v>
      </c>
      <c r="B1919" s="29">
        <f>IF(Setup!$K$17="","",Setup!$K$17)</f>
        <v/>
      </c>
      <c r="C1919" s="88" t="n"/>
      <c r="D1919" s="88" t="n"/>
      <c r="E1919" s="88" t="n"/>
      <c r="F1919" s="89" t="n"/>
      <c r="G1919" s="88" t="n"/>
      <c r="H1919" s="88" t="n"/>
      <c r="I1919" s="88" t="n"/>
      <c r="J1919" s="89" t="n"/>
      <c r="K1919" s="88" t="n"/>
      <c r="L1919" s="88" t="n"/>
      <c r="M1919" s="88" t="n"/>
      <c r="N1919" s="89" t="n"/>
      <c r="O1919" s="88" t="n"/>
      <c r="P1919" s="88" t="n"/>
      <c r="Q1919" s="88" t="n"/>
      <c r="R1919" s="89" t="n"/>
      <c r="S1919" s="88" t="n"/>
      <c r="T1919" s="88" t="n"/>
      <c r="U1919" s="88" t="n"/>
      <c r="V1919" s="89" t="n"/>
      <c r="W1919" s="88" t="n"/>
      <c r="X1919" s="89" t="n"/>
      <c r="Y1919" s="88" t="n"/>
      <c r="Z1919" s="89" t="n"/>
      <c r="AB1919" s="30">
        <f>IF($B1919="","",(COUNTIF(C1919:E1919,"?*")&lt;N(INDEX(Setup!$L$6:$L$23,12)))+(COUNTIF(G1919:I1919,"?*")&lt;N(INDEX(Setup!$L$6:$L$23,12)))+(COUNTIF(K1919:M1919,"?*")&lt;N(INDEX(Setup!$L$6:$L$23,12)))+(COUNTIF(O1919:Q1919,"?*")&lt;N(INDEX(Setup!$L$6:$L$23,12)))+(COUNTIF(S1919:U1919,"?*")&lt;N(INDEX(Setup!$L$6:$L$23,12)))+((W1919="")*(INDEX(Setup!$M$6:$M$23,12)="Y"))+((Y1919="")*(INDEX(Setup!$M$6:$M$23,12)="Y")))</f>
        <v/>
      </c>
      <c r="AC1919" s="91">
        <f>IF($B1919="","",IF(AB1919=0,"✓ covered","⚠ "&amp;AB1919&amp;IF(AB1919=1," gap"," gaps")))</f>
        <v/>
      </c>
    </row>
    <row r="1920" ht="17" customHeight="1">
      <c r="A1920" t="n">
        <v>39</v>
      </c>
      <c r="B1920" s="24">
        <f>IF(Setup!$K$18="","",Setup!$K$18)</f>
        <v/>
      </c>
      <c r="C1920" s="88" t="n"/>
      <c r="D1920" s="88" t="n"/>
      <c r="E1920" s="88" t="n"/>
      <c r="F1920" s="89" t="n"/>
      <c r="G1920" s="88" t="n"/>
      <c r="H1920" s="88" t="n"/>
      <c r="I1920" s="88" t="n"/>
      <c r="J1920" s="89" t="n"/>
      <c r="K1920" s="88" t="n"/>
      <c r="L1920" s="88" t="n"/>
      <c r="M1920" s="88" t="n"/>
      <c r="N1920" s="89" t="n"/>
      <c r="O1920" s="88" t="n"/>
      <c r="P1920" s="88" t="n"/>
      <c r="Q1920" s="88" t="n"/>
      <c r="R1920" s="89" t="n"/>
      <c r="S1920" s="88" t="n"/>
      <c r="T1920" s="88" t="n"/>
      <c r="U1920" s="88" t="n"/>
      <c r="V1920" s="89" t="n"/>
      <c r="W1920" s="88" t="n"/>
      <c r="X1920" s="89" t="n"/>
      <c r="Y1920" s="88" t="n"/>
      <c r="Z1920" s="89" t="n"/>
      <c r="AB1920" s="25">
        <f>IF($B1920="","",(COUNTIF(C1920:E1920,"?*")&lt;N(INDEX(Setup!$L$6:$L$23,13)))+(COUNTIF(G1920:I1920,"?*")&lt;N(INDEX(Setup!$L$6:$L$23,13)))+(COUNTIF(K1920:M1920,"?*")&lt;N(INDEX(Setup!$L$6:$L$23,13)))+(COUNTIF(O1920:Q1920,"?*")&lt;N(INDEX(Setup!$L$6:$L$23,13)))+(COUNTIF(S1920:U1920,"?*")&lt;N(INDEX(Setup!$L$6:$L$23,13)))+((W1920="")*(INDEX(Setup!$M$6:$M$23,13)="Y"))+((Y1920="")*(INDEX(Setup!$M$6:$M$23,13)="Y")))</f>
        <v/>
      </c>
      <c r="AC1920" s="90">
        <f>IF($B1920="","",IF(AB1920=0,"✓ covered","⚠ "&amp;AB1920&amp;IF(AB1920=1," gap"," gaps")))</f>
        <v/>
      </c>
    </row>
    <row r="1921" ht="17" customHeight="1">
      <c r="A1921" t="n">
        <v>39</v>
      </c>
      <c r="B1921" s="29">
        <f>IF(Setup!$K$19="","",Setup!$K$19)</f>
        <v/>
      </c>
      <c r="C1921" s="88" t="n"/>
      <c r="D1921" s="88" t="n"/>
      <c r="E1921" s="88" t="n"/>
      <c r="F1921" s="89" t="n"/>
      <c r="G1921" s="88" t="n"/>
      <c r="H1921" s="88" t="n"/>
      <c r="I1921" s="88" t="n"/>
      <c r="J1921" s="89" t="n"/>
      <c r="K1921" s="88" t="n"/>
      <c r="L1921" s="88" t="n"/>
      <c r="M1921" s="88" t="n"/>
      <c r="N1921" s="89" t="n"/>
      <c r="O1921" s="88" t="n"/>
      <c r="P1921" s="88" t="n"/>
      <c r="Q1921" s="88" t="n"/>
      <c r="R1921" s="89" t="n"/>
      <c r="S1921" s="88" t="n"/>
      <c r="T1921" s="88" t="n"/>
      <c r="U1921" s="88" t="n"/>
      <c r="V1921" s="89" t="n"/>
      <c r="W1921" s="88" t="n"/>
      <c r="X1921" s="89" t="n"/>
      <c r="Y1921" s="88" t="n"/>
      <c r="Z1921" s="89" t="n"/>
      <c r="AB1921" s="30">
        <f>IF($B1921="","",(COUNTIF(C1921:E1921,"?*")&lt;N(INDEX(Setup!$L$6:$L$23,14)))+(COUNTIF(G1921:I1921,"?*")&lt;N(INDEX(Setup!$L$6:$L$23,14)))+(COUNTIF(K1921:M1921,"?*")&lt;N(INDEX(Setup!$L$6:$L$23,14)))+(COUNTIF(O1921:Q1921,"?*")&lt;N(INDEX(Setup!$L$6:$L$23,14)))+(COUNTIF(S1921:U1921,"?*")&lt;N(INDEX(Setup!$L$6:$L$23,14)))+((W1921="")*(INDEX(Setup!$M$6:$M$23,14)="Y"))+((Y1921="")*(INDEX(Setup!$M$6:$M$23,14)="Y")))</f>
        <v/>
      </c>
      <c r="AC1921" s="91">
        <f>IF($B1921="","",IF(AB1921=0,"✓ covered","⚠ "&amp;AB1921&amp;IF(AB1921=1," gap"," gaps")))</f>
        <v/>
      </c>
    </row>
    <row r="1922" ht="17" customHeight="1">
      <c r="A1922" t="n">
        <v>39</v>
      </c>
      <c r="B1922" s="24">
        <f>IF(Setup!$K$20="","",Setup!$K$20)</f>
        <v/>
      </c>
      <c r="C1922" s="88" t="n"/>
      <c r="D1922" s="88" t="n"/>
      <c r="E1922" s="88" t="n"/>
      <c r="F1922" s="89" t="n"/>
      <c r="G1922" s="88" t="n"/>
      <c r="H1922" s="88" t="n"/>
      <c r="I1922" s="88" t="n"/>
      <c r="J1922" s="89" t="n"/>
      <c r="K1922" s="88" t="n"/>
      <c r="L1922" s="88" t="n"/>
      <c r="M1922" s="88" t="n"/>
      <c r="N1922" s="89" t="n"/>
      <c r="O1922" s="88" t="n"/>
      <c r="P1922" s="88" t="n"/>
      <c r="Q1922" s="88" t="n"/>
      <c r="R1922" s="89" t="n"/>
      <c r="S1922" s="88" t="n"/>
      <c r="T1922" s="88" t="n"/>
      <c r="U1922" s="88" t="n"/>
      <c r="V1922" s="89" t="n"/>
      <c r="W1922" s="88" t="n"/>
      <c r="X1922" s="89" t="n"/>
      <c r="Y1922" s="88" t="n"/>
      <c r="Z1922" s="89" t="n"/>
      <c r="AB1922" s="25">
        <f>IF($B1922="","",(COUNTIF(C1922:E1922,"?*")&lt;N(INDEX(Setup!$L$6:$L$23,15)))+(COUNTIF(G1922:I1922,"?*")&lt;N(INDEX(Setup!$L$6:$L$23,15)))+(COUNTIF(K1922:M1922,"?*")&lt;N(INDEX(Setup!$L$6:$L$23,15)))+(COUNTIF(O1922:Q1922,"?*")&lt;N(INDEX(Setup!$L$6:$L$23,15)))+(COUNTIF(S1922:U1922,"?*")&lt;N(INDEX(Setup!$L$6:$L$23,15)))+((W1922="")*(INDEX(Setup!$M$6:$M$23,15)="Y"))+((Y1922="")*(INDEX(Setup!$M$6:$M$23,15)="Y")))</f>
        <v/>
      </c>
      <c r="AC1922" s="90">
        <f>IF($B1922="","",IF(AB1922=0,"✓ covered","⚠ "&amp;AB1922&amp;IF(AB1922=1," gap"," gaps")))</f>
        <v/>
      </c>
    </row>
    <row r="1923" ht="17" customHeight="1">
      <c r="A1923" t="n">
        <v>39</v>
      </c>
      <c r="B1923" s="29">
        <f>IF(Setup!$K$21="","",Setup!$K$21)</f>
        <v/>
      </c>
      <c r="C1923" s="88" t="n"/>
      <c r="D1923" s="88" t="n"/>
      <c r="E1923" s="88" t="n"/>
      <c r="F1923" s="89" t="n"/>
      <c r="G1923" s="88" t="n"/>
      <c r="H1923" s="88" t="n"/>
      <c r="I1923" s="88" t="n"/>
      <c r="J1923" s="89" t="n"/>
      <c r="K1923" s="88" t="n"/>
      <c r="L1923" s="88" t="n"/>
      <c r="M1923" s="88" t="n"/>
      <c r="N1923" s="89" t="n"/>
      <c r="O1923" s="88" t="n"/>
      <c r="P1923" s="88" t="n"/>
      <c r="Q1923" s="88" t="n"/>
      <c r="R1923" s="89" t="n"/>
      <c r="S1923" s="88" t="n"/>
      <c r="T1923" s="88" t="n"/>
      <c r="U1923" s="88" t="n"/>
      <c r="V1923" s="89" t="n"/>
      <c r="W1923" s="88" t="n"/>
      <c r="X1923" s="89" t="n"/>
      <c r="Y1923" s="88" t="n"/>
      <c r="Z1923" s="89" t="n"/>
      <c r="AB1923" s="30">
        <f>IF($B1923="","",(COUNTIF(C1923:E1923,"?*")&lt;N(INDEX(Setup!$L$6:$L$23,16)))+(COUNTIF(G1923:I1923,"?*")&lt;N(INDEX(Setup!$L$6:$L$23,16)))+(COUNTIF(K1923:M1923,"?*")&lt;N(INDEX(Setup!$L$6:$L$23,16)))+(COUNTIF(O1923:Q1923,"?*")&lt;N(INDEX(Setup!$L$6:$L$23,16)))+(COUNTIF(S1923:U1923,"?*")&lt;N(INDEX(Setup!$L$6:$L$23,16)))+((W1923="")*(INDEX(Setup!$M$6:$M$23,16)="Y"))+((Y1923="")*(INDEX(Setup!$M$6:$M$23,16)="Y")))</f>
        <v/>
      </c>
      <c r="AC1923" s="91">
        <f>IF($B1923="","",IF(AB1923=0,"✓ covered","⚠ "&amp;AB1923&amp;IF(AB1923=1," gap"," gaps")))</f>
        <v/>
      </c>
    </row>
    <row r="1924" ht="17" customHeight="1">
      <c r="A1924" t="n">
        <v>39</v>
      </c>
      <c r="B1924" s="24">
        <f>IF(Setup!$K$22="","",Setup!$K$22)</f>
        <v/>
      </c>
      <c r="C1924" s="88" t="n"/>
      <c r="D1924" s="88" t="n"/>
      <c r="E1924" s="88" t="n"/>
      <c r="F1924" s="89" t="n"/>
      <c r="G1924" s="88" t="n"/>
      <c r="H1924" s="88" t="n"/>
      <c r="I1924" s="88" t="n"/>
      <c r="J1924" s="89" t="n"/>
      <c r="K1924" s="88" t="n"/>
      <c r="L1924" s="88" t="n"/>
      <c r="M1924" s="88" t="n"/>
      <c r="N1924" s="89" t="n"/>
      <c r="O1924" s="88" t="n"/>
      <c r="P1924" s="88" t="n"/>
      <c r="Q1924" s="88" t="n"/>
      <c r="R1924" s="89" t="n"/>
      <c r="S1924" s="88" t="n"/>
      <c r="T1924" s="88" t="n"/>
      <c r="U1924" s="88" t="n"/>
      <c r="V1924" s="89" t="n"/>
      <c r="W1924" s="88" t="n"/>
      <c r="X1924" s="89" t="n"/>
      <c r="Y1924" s="88" t="n"/>
      <c r="Z1924" s="89" t="n"/>
      <c r="AB1924" s="25">
        <f>IF($B1924="","",(COUNTIF(C1924:E1924,"?*")&lt;N(INDEX(Setup!$L$6:$L$23,17)))+(COUNTIF(G1924:I1924,"?*")&lt;N(INDEX(Setup!$L$6:$L$23,17)))+(COUNTIF(K1924:M1924,"?*")&lt;N(INDEX(Setup!$L$6:$L$23,17)))+(COUNTIF(O1924:Q1924,"?*")&lt;N(INDEX(Setup!$L$6:$L$23,17)))+(COUNTIF(S1924:U1924,"?*")&lt;N(INDEX(Setup!$L$6:$L$23,17)))+((W1924="")*(INDEX(Setup!$M$6:$M$23,17)="Y"))+((Y1924="")*(INDEX(Setup!$M$6:$M$23,17)="Y")))</f>
        <v/>
      </c>
      <c r="AC1924" s="90">
        <f>IF($B1924="","",IF(AB1924=0,"✓ covered","⚠ "&amp;AB1924&amp;IF(AB1924=1," gap"," gaps")))</f>
        <v/>
      </c>
    </row>
    <row r="1925" ht="17" customHeight="1">
      <c r="A1925" t="n">
        <v>39</v>
      </c>
      <c r="B1925" s="29">
        <f>IF(Setup!$K$23="","",Setup!$K$23)</f>
        <v/>
      </c>
      <c r="C1925" s="88" t="n"/>
      <c r="D1925" s="88" t="n"/>
      <c r="E1925" s="88" t="n"/>
      <c r="F1925" s="89" t="n"/>
      <c r="G1925" s="88" t="n"/>
      <c r="H1925" s="88" t="n"/>
      <c r="I1925" s="88" t="n"/>
      <c r="J1925" s="89" t="n"/>
      <c r="K1925" s="88" t="n"/>
      <c r="L1925" s="88" t="n"/>
      <c r="M1925" s="88" t="n"/>
      <c r="N1925" s="89" t="n"/>
      <c r="O1925" s="88" t="n"/>
      <c r="P1925" s="88" t="n"/>
      <c r="Q1925" s="88" t="n"/>
      <c r="R1925" s="89" t="n"/>
      <c r="S1925" s="88" t="n"/>
      <c r="T1925" s="88" t="n"/>
      <c r="U1925" s="88" t="n"/>
      <c r="V1925" s="89" t="n"/>
      <c r="W1925" s="88" t="n"/>
      <c r="X1925" s="89" t="n"/>
      <c r="Y1925" s="88" t="n"/>
      <c r="Z1925" s="89" t="n"/>
      <c r="AB1925" s="30">
        <f>IF($B1925="","",(COUNTIF(C1925:E1925,"?*")&lt;N(INDEX(Setup!$L$6:$L$23,18)))+(COUNTIF(G1925:I1925,"?*")&lt;N(INDEX(Setup!$L$6:$L$23,18)))+(COUNTIF(K1925:M1925,"?*")&lt;N(INDEX(Setup!$L$6:$L$23,18)))+(COUNTIF(O1925:Q1925,"?*")&lt;N(INDEX(Setup!$L$6:$L$23,18)))+(COUNTIF(S1925:U1925,"?*")&lt;N(INDEX(Setup!$L$6:$L$23,18)))+((W1925="")*(INDEX(Setup!$M$6:$M$23,18)="Y"))+((Y1925="")*(INDEX(Setup!$M$6:$M$23,18)="Y")))</f>
        <v/>
      </c>
      <c r="AC1925" s="91">
        <f>IF($B1925="","",IF(AB1925=0,"✓ covered","⚠ "&amp;AB1925&amp;IF(AB1925=1," gap"," gaps")))</f>
        <v/>
      </c>
    </row>
    <row r="1926" ht="18" customHeight="1">
      <c r="A1926" t="n">
        <v>39</v>
      </c>
      <c r="B1926" s="78" t="inlineStr">
        <is>
          <t>TEAM AVAILABILITY</t>
        </is>
      </c>
      <c r="C1926" s="92" t="inlineStr">
        <is>
          <t>Mon</t>
        </is>
      </c>
      <c r="D1926" s="93" t="n"/>
      <c r="E1926" s="93" t="n"/>
      <c r="F1926" s="94" t="n"/>
      <c r="G1926" s="92" t="inlineStr">
        <is>
          <t>Tue</t>
        </is>
      </c>
      <c r="H1926" s="93" t="n"/>
      <c r="I1926" s="93" t="n"/>
      <c r="J1926" s="94" t="n"/>
      <c r="K1926" s="92" t="inlineStr">
        <is>
          <t>Wed</t>
        </is>
      </c>
      <c r="L1926" s="93" t="n"/>
      <c r="M1926" s="93" t="n"/>
      <c r="N1926" s="94" t="n"/>
      <c r="O1926" s="92" t="inlineStr">
        <is>
          <t>Thu</t>
        </is>
      </c>
      <c r="P1926" s="93" t="n"/>
      <c r="Q1926" s="93" t="n"/>
      <c r="R1926" s="94" t="n"/>
      <c r="S1926" s="92" t="inlineStr">
        <is>
          <t>Fri</t>
        </is>
      </c>
      <c r="T1926" s="93" t="n"/>
      <c r="U1926" s="93" t="n"/>
      <c r="V1926" s="94" t="n"/>
      <c r="W1926" s="95" t="inlineStr">
        <is>
          <t>Sat</t>
        </is>
      </c>
      <c r="X1926" s="96" t="n"/>
      <c r="Y1926" s="95" t="inlineStr">
        <is>
          <t>Sun</t>
        </is>
      </c>
      <c r="Z1926" s="96" t="n"/>
      <c r="AB1926" s="97" t="inlineStr">
        <is>
          <t>Days rostered</t>
        </is>
      </c>
      <c r="AC1926" s="97" t="inlineStr">
        <is>
          <t>Conflicts</t>
        </is>
      </c>
    </row>
    <row r="1927" ht="15" customHeight="1">
      <c r="A1927" t="n">
        <v>39</v>
      </c>
      <c r="B1927" s="35">
        <f>IF(Setup!$B$6="","",Setup!$B$6)</f>
        <v/>
      </c>
      <c r="C1927" s="98" t="n"/>
      <c r="D1927" s="99" t="n"/>
      <c r="E1927" s="99" t="n"/>
      <c r="F1927" s="100" t="n"/>
      <c r="G1927" s="98" t="n"/>
      <c r="H1927" s="99" t="n"/>
      <c r="I1927" s="99" t="n"/>
      <c r="J1927" s="100" t="n"/>
      <c r="K1927" s="98" t="n"/>
      <c r="L1927" s="99" t="n"/>
      <c r="M1927" s="99" t="n"/>
      <c r="N1927" s="100" t="n"/>
      <c r="O1927" s="98" t="n"/>
      <c r="P1927" s="99" t="n"/>
      <c r="Q1927" s="99" t="n"/>
      <c r="R1927" s="100" t="n"/>
      <c r="S1927" s="98" t="n"/>
      <c r="T1927" s="99" t="n"/>
      <c r="U1927" s="99" t="n"/>
      <c r="V1927" s="100" t="n"/>
      <c r="W1927" s="98" t="n"/>
      <c r="X1927" s="100" t="n"/>
      <c r="Y1927" s="98" t="n"/>
      <c r="Z1927" s="100" t="n"/>
      <c r="AB1927" s="101">
        <f>IF($B1927="","",(COUNTIF(C1908:E1925,$B1927)+COUNTIF(C1908:E1925,$B1927&amp;" ~*")&gt;0)+(COUNTIF(G1908:I1925,$B1927)+COUNTIF(G1908:I1925,$B1927&amp;" ~*")&gt;0)+(COUNTIF(K1908:M1925,$B1927)+COUNTIF(K1908:M1925,$B1927&amp;" ~*")&gt;0)+(COUNTIF(O1908:Q1925,$B1927)+COUNTIF(O1908:Q1925,$B1927&amp;" ~*")&gt;0)+(COUNTIF(S1908:U1925,$B1927)+COUNTIF(S1908:U1925,$B1927&amp;" ~*")&gt;0)+(COUNTIF(W1908:W1925,$B1927)+COUNTIF(W1908:W1925,$B1927&amp;" ~*")&gt;0)+(COUNTIF(Y1908:Y1925,$B1927)+COUNTIF(Y1908:Y1925,$B1927&amp;" ~*")&gt;0))</f>
        <v/>
      </c>
      <c r="AC1927" s="36">
        <f>IF($B1927="","",(IFERROR(INDEX(Setup!$G$33:$G$40,MATCH(C1927,Setup!$B$33:$B$40,0)),0)=1)*(COUNTIF(C1908:E1925,$B1927)+COUNTIF(C1908:E1925,$B1927&amp;" ~*")&gt;0)+(IFERROR(INDEX(Setup!$G$33:$G$40,MATCH(G1927,Setup!$B$33:$B$40,0)),0)=1)*(COUNTIF(G1908:I1925,$B1927)+COUNTIF(G1908:I1925,$B1927&amp;" ~*")&gt;0)+(IFERROR(INDEX(Setup!$G$33:$G$40,MATCH(K1927,Setup!$B$33:$B$40,0)),0)=1)*(COUNTIF(K1908:M1925,$B1927)+COUNTIF(K1908:M1925,$B1927&amp;" ~*")&gt;0)+(IFERROR(INDEX(Setup!$G$33:$G$40,MATCH(O1927,Setup!$B$33:$B$40,0)),0)=1)*(COUNTIF(O1908:Q1925,$B1927)+COUNTIF(O1908:Q1925,$B1927&amp;" ~*")&gt;0)+(IFERROR(INDEX(Setup!$G$33:$G$40,MATCH(S1927,Setup!$B$33:$B$40,0)),0)=1)*(COUNTIF(S1908:U1925,$B1927)+COUNTIF(S1908:U1925,$B1927&amp;" ~*")&gt;0)+(IFERROR(INDEX(Setup!$G$33:$G$40,MATCH(W1927,Setup!$B$33:$B$40,0)),0)=1)*(COUNTIF(W1908:W1925,$B1927)+COUNTIF(W1908:W1925,$B1927&amp;" ~*")&gt;0)+(IFERROR(INDEX(Setup!$G$33:$G$40,MATCH(Y1927,Setup!$B$33:$B$40,0)),0)=1)*(COUNTIF(Y1908:Y1925,$B1927)+COUNTIF(Y1908:Y1925,$B1927&amp;" ~*")&gt;0))</f>
        <v/>
      </c>
    </row>
    <row r="1928" ht="15" customHeight="1">
      <c r="A1928" t="n">
        <v>39</v>
      </c>
      <c r="B1928" s="37">
        <f>IF(Setup!$B$7="","",Setup!$B$7)</f>
        <v/>
      </c>
      <c r="C1928" s="102" t="n"/>
      <c r="D1928" s="103" t="n"/>
      <c r="E1928" s="103" t="n"/>
      <c r="F1928" s="104" t="n"/>
      <c r="G1928" s="102" t="n"/>
      <c r="H1928" s="103" t="n"/>
      <c r="I1928" s="103" t="n"/>
      <c r="J1928" s="104" t="n"/>
      <c r="K1928" s="102" t="n"/>
      <c r="L1928" s="103" t="n"/>
      <c r="M1928" s="103" t="n"/>
      <c r="N1928" s="104" t="n"/>
      <c r="O1928" s="102" t="n"/>
      <c r="P1928" s="103" t="n"/>
      <c r="Q1928" s="103" t="n"/>
      <c r="R1928" s="104" t="n"/>
      <c r="S1928" s="102" t="n"/>
      <c r="T1928" s="103" t="n"/>
      <c r="U1928" s="103" t="n"/>
      <c r="V1928" s="104" t="n"/>
      <c r="W1928" s="102" t="n"/>
      <c r="X1928" s="104" t="n"/>
      <c r="Y1928" s="102" t="n"/>
      <c r="Z1928" s="104" t="n"/>
      <c r="AB1928" s="105">
        <f>IF($B1928="","",(COUNTIF(C1908:E1925,$B1928)+COUNTIF(C1908:E1925,$B1928&amp;" ~*")&gt;0)+(COUNTIF(G1908:I1925,$B1928)+COUNTIF(G1908:I1925,$B1928&amp;" ~*")&gt;0)+(COUNTIF(K1908:M1925,$B1928)+COUNTIF(K1908:M1925,$B1928&amp;" ~*")&gt;0)+(COUNTIF(O1908:Q1925,$B1928)+COUNTIF(O1908:Q1925,$B1928&amp;" ~*")&gt;0)+(COUNTIF(S1908:U1925,$B1928)+COUNTIF(S1908:U1925,$B1928&amp;" ~*")&gt;0)+(COUNTIF(W1908:W1925,$B1928)+COUNTIF(W1908:W1925,$B1928&amp;" ~*")&gt;0)+(COUNTIF(Y1908:Y1925,$B1928)+COUNTIF(Y1908:Y1925,$B1928&amp;" ~*")&gt;0))</f>
        <v/>
      </c>
      <c r="AC1928" s="38">
        <f>IF($B1928="","",(IFERROR(INDEX(Setup!$G$33:$G$40,MATCH(C1928,Setup!$B$33:$B$40,0)),0)=1)*(COUNTIF(C1908:E1925,$B1928)+COUNTIF(C1908:E1925,$B1928&amp;" ~*")&gt;0)+(IFERROR(INDEX(Setup!$G$33:$G$40,MATCH(G1928,Setup!$B$33:$B$40,0)),0)=1)*(COUNTIF(G1908:I1925,$B1928)+COUNTIF(G1908:I1925,$B1928&amp;" ~*")&gt;0)+(IFERROR(INDEX(Setup!$G$33:$G$40,MATCH(K1928,Setup!$B$33:$B$40,0)),0)=1)*(COUNTIF(K1908:M1925,$B1928)+COUNTIF(K1908:M1925,$B1928&amp;" ~*")&gt;0)+(IFERROR(INDEX(Setup!$G$33:$G$40,MATCH(O1928,Setup!$B$33:$B$40,0)),0)=1)*(COUNTIF(O1908:Q1925,$B1928)+COUNTIF(O1908:Q1925,$B1928&amp;" ~*")&gt;0)+(IFERROR(INDEX(Setup!$G$33:$G$40,MATCH(S1928,Setup!$B$33:$B$40,0)),0)=1)*(COUNTIF(S1908:U1925,$B1928)+COUNTIF(S1908:U1925,$B1928&amp;" ~*")&gt;0)+(IFERROR(INDEX(Setup!$G$33:$G$40,MATCH(W1928,Setup!$B$33:$B$40,0)),0)=1)*(COUNTIF(W1908:W1925,$B1928)+COUNTIF(W1908:W1925,$B1928&amp;" ~*")&gt;0)+(IFERROR(INDEX(Setup!$G$33:$G$40,MATCH(Y1928,Setup!$B$33:$B$40,0)),0)=1)*(COUNTIF(Y1908:Y1925,$B1928)+COUNTIF(Y1908:Y1925,$B1928&amp;" ~*")&gt;0))</f>
        <v/>
      </c>
    </row>
    <row r="1929" ht="15" customHeight="1">
      <c r="A1929" t="n">
        <v>39</v>
      </c>
      <c r="B1929" s="35">
        <f>IF(Setup!$B$8="","",Setup!$B$8)</f>
        <v/>
      </c>
      <c r="C1929" s="98" t="n"/>
      <c r="D1929" s="99" t="n"/>
      <c r="E1929" s="99" t="n"/>
      <c r="F1929" s="100" t="n"/>
      <c r="G1929" s="98" t="n"/>
      <c r="H1929" s="99" t="n"/>
      <c r="I1929" s="99" t="n"/>
      <c r="J1929" s="100" t="n"/>
      <c r="K1929" s="98" t="n"/>
      <c r="L1929" s="99" t="n"/>
      <c r="M1929" s="99" t="n"/>
      <c r="N1929" s="100" t="n"/>
      <c r="O1929" s="98" t="n"/>
      <c r="P1929" s="99" t="n"/>
      <c r="Q1929" s="99" t="n"/>
      <c r="R1929" s="100" t="n"/>
      <c r="S1929" s="98" t="n"/>
      <c r="T1929" s="99" t="n"/>
      <c r="U1929" s="99" t="n"/>
      <c r="V1929" s="100" t="n"/>
      <c r="W1929" s="98" t="n"/>
      <c r="X1929" s="100" t="n"/>
      <c r="Y1929" s="98" t="n"/>
      <c r="Z1929" s="100" t="n"/>
      <c r="AB1929" s="101">
        <f>IF($B1929="","",(COUNTIF(C1908:E1925,$B1929)+COUNTIF(C1908:E1925,$B1929&amp;" ~*")&gt;0)+(COUNTIF(G1908:I1925,$B1929)+COUNTIF(G1908:I1925,$B1929&amp;" ~*")&gt;0)+(COUNTIF(K1908:M1925,$B1929)+COUNTIF(K1908:M1925,$B1929&amp;" ~*")&gt;0)+(COUNTIF(O1908:Q1925,$B1929)+COUNTIF(O1908:Q1925,$B1929&amp;" ~*")&gt;0)+(COUNTIF(S1908:U1925,$B1929)+COUNTIF(S1908:U1925,$B1929&amp;" ~*")&gt;0)+(COUNTIF(W1908:W1925,$B1929)+COUNTIF(W1908:W1925,$B1929&amp;" ~*")&gt;0)+(COUNTIF(Y1908:Y1925,$B1929)+COUNTIF(Y1908:Y1925,$B1929&amp;" ~*")&gt;0))</f>
        <v/>
      </c>
      <c r="AC1929" s="36">
        <f>IF($B1929="","",(IFERROR(INDEX(Setup!$G$33:$G$40,MATCH(C1929,Setup!$B$33:$B$40,0)),0)=1)*(COUNTIF(C1908:E1925,$B1929)+COUNTIF(C1908:E1925,$B1929&amp;" ~*")&gt;0)+(IFERROR(INDEX(Setup!$G$33:$G$40,MATCH(G1929,Setup!$B$33:$B$40,0)),0)=1)*(COUNTIF(G1908:I1925,$B1929)+COUNTIF(G1908:I1925,$B1929&amp;" ~*")&gt;0)+(IFERROR(INDEX(Setup!$G$33:$G$40,MATCH(K1929,Setup!$B$33:$B$40,0)),0)=1)*(COUNTIF(K1908:M1925,$B1929)+COUNTIF(K1908:M1925,$B1929&amp;" ~*")&gt;0)+(IFERROR(INDEX(Setup!$G$33:$G$40,MATCH(O1929,Setup!$B$33:$B$40,0)),0)=1)*(COUNTIF(O1908:Q1925,$B1929)+COUNTIF(O1908:Q1925,$B1929&amp;" ~*")&gt;0)+(IFERROR(INDEX(Setup!$G$33:$G$40,MATCH(S1929,Setup!$B$33:$B$40,0)),0)=1)*(COUNTIF(S1908:U1925,$B1929)+COUNTIF(S1908:U1925,$B1929&amp;" ~*")&gt;0)+(IFERROR(INDEX(Setup!$G$33:$G$40,MATCH(W1929,Setup!$B$33:$B$40,0)),0)=1)*(COUNTIF(W1908:W1925,$B1929)+COUNTIF(W1908:W1925,$B1929&amp;" ~*")&gt;0)+(IFERROR(INDEX(Setup!$G$33:$G$40,MATCH(Y1929,Setup!$B$33:$B$40,0)),0)=1)*(COUNTIF(Y1908:Y1925,$B1929)+COUNTIF(Y1908:Y1925,$B1929&amp;" ~*")&gt;0))</f>
        <v/>
      </c>
    </row>
    <row r="1930" ht="15" customHeight="1">
      <c r="A1930" t="n">
        <v>39</v>
      </c>
      <c r="B1930" s="37">
        <f>IF(Setup!$B$9="","",Setup!$B$9)</f>
        <v/>
      </c>
      <c r="C1930" s="102" t="n"/>
      <c r="D1930" s="103" t="n"/>
      <c r="E1930" s="103" t="n"/>
      <c r="F1930" s="104" t="n"/>
      <c r="G1930" s="102" t="n"/>
      <c r="H1930" s="103" t="n"/>
      <c r="I1930" s="103" t="n"/>
      <c r="J1930" s="104" t="n"/>
      <c r="K1930" s="102" t="n"/>
      <c r="L1930" s="103" t="n"/>
      <c r="M1930" s="103" t="n"/>
      <c r="N1930" s="104" t="n"/>
      <c r="O1930" s="102" t="n"/>
      <c r="P1930" s="103" t="n"/>
      <c r="Q1930" s="103" t="n"/>
      <c r="R1930" s="104" t="n"/>
      <c r="S1930" s="102" t="n"/>
      <c r="T1930" s="103" t="n"/>
      <c r="U1930" s="103" t="n"/>
      <c r="V1930" s="104" t="n"/>
      <c r="W1930" s="102" t="n"/>
      <c r="X1930" s="104" t="n"/>
      <c r="Y1930" s="102" t="n"/>
      <c r="Z1930" s="104" t="n"/>
      <c r="AB1930" s="105">
        <f>IF($B1930="","",(COUNTIF(C1908:E1925,$B1930)+COUNTIF(C1908:E1925,$B1930&amp;" ~*")&gt;0)+(COUNTIF(G1908:I1925,$B1930)+COUNTIF(G1908:I1925,$B1930&amp;" ~*")&gt;0)+(COUNTIF(K1908:M1925,$B1930)+COUNTIF(K1908:M1925,$B1930&amp;" ~*")&gt;0)+(COUNTIF(O1908:Q1925,$B1930)+COUNTIF(O1908:Q1925,$B1930&amp;" ~*")&gt;0)+(COUNTIF(S1908:U1925,$B1930)+COUNTIF(S1908:U1925,$B1930&amp;" ~*")&gt;0)+(COUNTIF(W1908:W1925,$B1930)+COUNTIF(W1908:W1925,$B1930&amp;" ~*")&gt;0)+(COUNTIF(Y1908:Y1925,$B1930)+COUNTIF(Y1908:Y1925,$B1930&amp;" ~*")&gt;0))</f>
        <v/>
      </c>
      <c r="AC1930" s="38">
        <f>IF($B1930="","",(IFERROR(INDEX(Setup!$G$33:$G$40,MATCH(C1930,Setup!$B$33:$B$40,0)),0)=1)*(COUNTIF(C1908:E1925,$B1930)+COUNTIF(C1908:E1925,$B1930&amp;" ~*")&gt;0)+(IFERROR(INDEX(Setup!$G$33:$G$40,MATCH(G1930,Setup!$B$33:$B$40,0)),0)=1)*(COUNTIF(G1908:I1925,$B1930)+COUNTIF(G1908:I1925,$B1930&amp;" ~*")&gt;0)+(IFERROR(INDEX(Setup!$G$33:$G$40,MATCH(K1930,Setup!$B$33:$B$40,0)),0)=1)*(COUNTIF(K1908:M1925,$B1930)+COUNTIF(K1908:M1925,$B1930&amp;" ~*")&gt;0)+(IFERROR(INDEX(Setup!$G$33:$G$40,MATCH(O1930,Setup!$B$33:$B$40,0)),0)=1)*(COUNTIF(O1908:Q1925,$B1930)+COUNTIF(O1908:Q1925,$B1930&amp;" ~*")&gt;0)+(IFERROR(INDEX(Setup!$G$33:$G$40,MATCH(S1930,Setup!$B$33:$B$40,0)),0)=1)*(COUNTIF(S1908:U1925,$B1930)+COUNTIF(S1908:U1925,$B1930&amp;" ~*")&gt;0)+(IFERROR(INDEX(Setup!$G$33:$G$40,MATCH(W1930,Setup!$B$33:$B$40,0)),0)=1)*(COUNTIF(W1908:W1925,$B1930)+COUNTIF(W1908:W1925,$B1930&amp;" ~*")&gt;0)+(IFERROR(INDEX(Setup!$G$33:$G$40,MATCH(Y1930,Setup!$B$33:$B$40,0)),0)=1)*(COUNTIF(Y1908:Y1925,$B1930)+COUNTIF(Y1908:Y1925,$B1930&amp;" ~*")&gt;0))</f>
        <v/>
      </c>
    </row>
    <row r="1931" ht="15" customHeight="1">
      <c r="A1931" t="n">
        <v>39</v>
      </c>
      <c r="B1931" s="35">
        <f>IF(Setup!$B$10="","",Setup!$B$10)</f>
        <v/>
      </c>
      <c r="C1931" s="98" t="n"/>
      <c r="D1931" s="99" t="n"/>
      <c r="E1931" s="99" t="n"/>
      <c r="F1931" s="100" t="n"/>
      <c r="G1931" s="98" t="n"/>
      <c r="H1931" s="99" t="n"/>
      <c r="I1931" s="99" t="n"/>
      <c r="J1931" s="100" t="n"/>
      <c r="K1931" s="98" t="n"/>
      <c r="L1931" s="99" t="n"/>
      <c r="M1931" s="99" t="n"/>
      <c r="N1931" s="100" t="n"/>
      <c r="O1931" s="98" t="n"/>
      <c r="P1931" s="99" t="n"/>
      <c r="Q1931" s="99" t="n"/>
      <c r="R1931" s="100" t="n"/>
      <c r="S1931" s="98" t="n"/>
      <c r="T1931" s="99" t="n"/>
      <c r="U1931" s="99" t="n"/>
      <c r="V1931" s="100" t="n"/>
      <c r="W1931" s="98" t="n"/>
      <c r="X1931" s="100" t="n"/>
      <c r="Y1931" s="98" t="n"/>
      <c r="Z1931" s="100" t="n"/>
      <c r="AB1931" s="101">
        <f>IF($B1931="","",(COUNTIF(C1908:E1925,$B1931)+COUNTIF(C1908:E1925,$B1931&amp;" ~*")&gt;0)+(COUNTIF(G1908:I1925,$B1931)+COUNTIF(G1908:I1925,$B1931&amp;" ~*")&gt;0)+(COUNTIF(K1908:M1925,$B1931)+COUNTIF(K1908:M1925,$B1931&amp;" ~*")&gt;0)+(COUNTIF(O1908:Q1925,$B1931)+COUNTIF(O1908:Q1925,$B1931&amp;" ~*")&gt;0)+(COUNTIF(S1908:U1925,$B1931)+COUNTIF(S1908:U1925,$B1931&amp;" ~*")&gt;0)+(COUNTIF(W1908:W1925,$B1931)+COUNTIF(W1908:W1925,$B1931&amp;" ~*")&gt;0)+(COUNTIF(Y1908:Y1925,$B1931)+COUNTIF(Y1908:Y1925,$B1931&amp;" ~*")&gt;0))</f>
        <v/>
      </c>
      <c r="AC1931" s="36">
        <f>IF($B1931="","",(IFERROR(INDEX(Setup!$G$33:$G$40,MATCH(C1931,Setup!$B$33:$B$40,0)),0)=1)*(COUNTIF(C1908:E1925,$B1931)+COUNTIF(C1908:E1925,$B1931&amp;" ~*")&gt;0)+(IFERROR(INDEX(Setup!$G$33:$G$40,MATCH(G1931,Setup!$B$33:$B$40,0)),0)=1)*(COUNTIF(G1908:I1925,$B1931)+COUNTIF(G1908:I1925,$B1931&amp;" ~*")&gt;0)+(IFERROR(INDEX(Setup!$G$33:$G$40,MATCH(K1931,Setup!$B$33:$B$40,0)),0)=1)*(COUNTIF(K1908:M1925,$B1931)+COUNTIF(K1908:M1925,$B1931&amp;" ~*")&gt;0)+(IFERROR(INDEX(Setup!$G$33:$G$40,MATCH(O1931,Setup!$B$33:$B$40,0)),0)=1)*(COUNTIF(O1908:Q1925,$B1931)+COUNTIF(O1908:Q1925,$B1931&amp;" ~*")&gt;0)+(IFERROR(INDEX(Setup!$G$33:$G$40,MATCH(S1931,Setup!$B$33:$B$40,0)),0)=1)*(COUNTIF(S1908:U1925,$B1931)+COUNTIF(S1908:U1925,$B1931&amp;" ~*")&gt;0)+(IFERROR(INDEX(Setup!$G$33:$G$40,MATCH(W1931,Setup!$B$33:$B$40,0)),0)=1)*(COUNTIF(W1908:W1925,$B1931)+COUNTIF(W1908:W1925,$B1931&amp;" ~*")&gt;0)+(IFERROR(INDEX(Setup!$G$33:$G$40,MATCH(Y1931,Setup!$B$33:$B$40,0)),0)=1)*(COUNTIF(Y1908:Y1925,$B1931)+COUNTIF(Y1908:Y1925,$B1931&amp;" ~*")&gt;0))</f>
        <v/>
      </c>
    </row>
    <row r="1932" ht="15" customHeight="1">
      <c r="A1932" t="n">
        <v>39</v>
      </c>
      <c r="B1932" s="37">
        <f>IF(Setup!$B$11="","",Setup!$B$11)</f>
        <v/>
      </c>
      <c r="C1932" s="102" t="n"/>
      <c r="D1932" s="103" t="n"/>
      <c r="E1932" s="103" t="n"/>
      <c r="F1932" s="104" t="n"/>
      <c r="G1932" s="102" t="n"/>
      <c r="H1932" s="103" t="n"/>
      <c r="I1932" s="103" t="n"/>
      <c r="J1932" s="104" t="n"/>
      <c r="K1932" s="102" t="n"/>
      <c r="L1932" s="103" t="n"/>
      <c r="M1932" s="103" t="n"/>
      <c r="N1932" s="104" t="n"/>
      <c r="O1932" s="102" t="n"/>
      <c r="P1932" s="103" t="n"/>
      <c r="Q1932" s="103" t="n"/>
      <c r="R1932" s="104" t="n"/>
      <c r="S1932" s="102" t="n"/>
      <c r="T1932" s="103" t="n"/>
      <c r="U1932" s="103" t="n"/>
      <c r="V1932" s="104" t="n"/>
      <c r="W1932" s="102" t="n"/>
      <c r="X1932" s="104" t="n"/>
      <c r="Y1932" s="102" t="n"/>
      <c r="Z1932" s="104" t="n"/>
      <c r="AB1932" s="105">
        <f>IF($B1932="","",(COUNTIF(C1908:E1925,$B1932)+COUNTIF(C1908:E1925,$B1932&amp;" ~*")&gt;0)+(COUNTIF(G1908:I1925,$B1932)+COUNTIF(G1908:I1925,$B1932&amp;" ~*")&gt;0)+(COUNTIF(K1908:M1925,$B1932)+COUNTIF(K1908:M1925,$B1932&amp;" ~*")&gt;0)+(COUNTIF(O1908:Q1925,$B1932)+COUNTIF(O1908:Q1925,$B1932&amp;" ~*")&gt;0)+(COUNTIF(S1908:U1925,$B1932)+COUNTIF(S1908:U1925,$B1932&amp;" ~*")&gt;0)+(COUNTIF(W1908:W1925,$B1932)+COUNTIF(W1908:W1925,$B1932&amp;" ~*")&gt;0)+(COUNTIF(Y1908:Y1925,$B1932)+COUNTIF(Y1908:Y1925,$B1932&amp;" ~*")&gt;0))</f>
        <v/>
      </c>
      <c r="AC1932" s="38">
        <f>IF($B1932="","",(IFERROR(INDEX(Setup!$G$33:$G$40,MATCH(C1932,Setup!$B$33:$B$40,0)),0)=1)*(COUNTIF(C1908:E1925,$B1932)+COUNTIF(C1908:E1925,$B1932&amp;" ~*")&gt;0)+(IFERROR(INDEX(Setup!$G$33:$G$40,MATCH(G1932,Setup!$B$33:$B$40,0)),0)=1)*(COUNTIF(G1908:I1925,$B1932)+COUNTIF(G1908:I1925,$B1932&amp;" ~*")&gt;0)+(IFERROR(INDEX(Setup!$G$33:$G$40,MATCH(K1932,Setup!$B$33:$B$40,0)),0)=1)*(COUNTIF(K1908:M1925,$B1932)+COUNTIF(K1908:M1925,$B1932&amp;" ~*")&gt;0)+(IFERROR(INDEX(Setup!$G$33:$G$40,MATCH(O1932,Setup!$B$33:$B$40,0)),0)=1)*(COUNTIF(O1908:Q1925,$B1932)+COUNTIF(O1908:Q1925,$B1932&amp;" ~*")&gt;0)+(IFERROR(INDEX(Setup!$G$33:$G$40,MATCH(S1932,Setup!$B$33:$B$40,0)),0)=1)*(COUNTIF(S1908:U1925,$B1932)+COUNTIF(S1908:U1925,$B1932&amp;" ~*")&gt;0)+(IFERROR(INDEX(Setup!$G$33:$G$40,MATCH(W1932,Setup!$B$33:$B$40,0)),0)=1)*(COUNTIF(W1908:W1925,$B1932)+COUNTIF(W1908:W1925,$B1932&amp;" ~*")&gt;0)+(IFERROR(INDEX(Setup!$G$33:$G$40,MATCH(Y1932,Setup!$B$33:$B$40,0)),0)=1)*(COUNTIF(Y1908:Y1925,$B1932)+COUNTIF(Y1908:Y1925,$B1932&amp;" ~*")&gt;0))</f>
        <v/>
      </c>
    </row>
    <row r="1933" ht="15" customHeight="1">
      <c r="A1933" t="n">
        <v>39</v>
      </c>
      <c r="B1933" s="35">
        <f>IF(Setup!$B$12="","",Setup!$B$12)</f>
        <v/>
      </c>
      <c r="C1933" s="98" t="n"/>
      <c r="D1933" s="99" t="n"/>
      <c r="E1933" s="99" t="n"/>
      <c r="F1933" s="100" t="n"/>
      <c r="G1933" s="98" t="n"/>
      <c r="H1933" s="99" t="n"/>
      <c r="I1933" s="99" t="n"/>
      <c r="J1933" s="100" t="n"/>
      <c r="K1933" s="98" t="n"/>
      <c r="L1933" s="99" t="n"/>
      <c r="M1933" s="99" t="n"/>
      <c r="N1933" s="100" t="n"/>
      <c r="O1933" s="98" t="n"/>
      <c r="P1933" s="99" t="n"/>
      <c r="Q1933" s="99" t="n"/>
      <c r="R1933" s="100" t="n"/>
      <c r="S1933" s="98" t="n"/>
      <c r="T1933" s="99" t="n"/>
      <c r="U1933" s="99" t="n"/>
      <c r="V1933" s="100" t="n"/>
      <c r="W1933" s="98" t="n"/>
      <c r="X1933" s="100" t="n"/>
      <c r="Y1933" s="98" t="n"/>
      <c r="Z1933" s="100" t="n"/>
      <c r="AB1933" s="101">
        <f>IF($B1933="","",(COUNTIF(C1908:E1925,$B1933)+COUNTIF(C1908:E1925,$B1933&amp;" ~*")&gt;0)+(COUNTIF(G1908:I1925,$B1933)+COUNTIF(G1908:I1925,$B1933&amp;" ~*")&gt;0)+(COUNTIF(K1908:M1925,$B1933)+COUNTIF(K1908:M1925,$B1933&amp;" ~*")&gt;0)+(COUNTIF(O1908:Q1925,$B1933)+COUNTIF(O1908:Q1925,$B1933&amp;" ~*")&gt;0)+(COUNTIF(S1908:U1925,$B1933)+COUNTIF(S1908:U1925,$B1933&amp;" ~*")&gt;0)+(COUNTIF(W1908:W1925,$B1933)+COUNTIF(W1908:W1925,$B1933&amp;" ~*")&gt;0)+(COUNTIF(Y1908:Y1925,$B1933)+COUNTIF(Y1908:Y1925,$B1933&amp;" ~*")&gt;0))</f>
        <v/>
      </c>
      <c r="AC1933" s="36">
        <f>IF($B1933="","",(IFERROR(INDEX(Setup!$G$33:$G$40,MATCH(C1933,Setup!$B$33:$B$40,0)),0)=1)*(COUNTIF(C1908:E1925,$B1933)+COUNTIF(C1908:E1925,$B1933&amp;" ~*")&gt;0)+(IFERROR(INDEX(Setup!$G$33:$G$40,MATCH(G1933,Setup!$B$33:$B$40,0)),0)=1)*(COUNTIF(G1908:I1925,$B1933)+COUNTIF(G1908:I1925,$B1933&amp;" ~*")&gt;0)+(IFERROR(INDEX(Setup!$G$33:$G$40,MATCH(K1933,Setup!$B$33:$B$40,0)),0)=1)*(COUNTIF(K1908:M1925,$B1933)+COUNTIF(K1908:M1925,$B1933&amp;" ~*")&gt;0)+(IFERROR(INDEX(Setup!$G$33:$G$40,MATCH(O1933,Setup!$B$33:$B$40,0)),0)=1)*(COUNTIF(O1908:Q1925,$B1933)+COUNTIF(O1908:Q1925,$B1933&amp;" ~*")&gt;0)+(IFERROR(INDEX(Setup!$G$33:$G$40,MATCH(S1933,Setup!$B$33:$B$40,0)),0)=1)*(COUNTIF(S1908:U1925,$B1933)+COUNTIF(S1908:U1925,$B1933&amp;" ~*")&gt;0)+(IFERROR(INDEX(Setup!$G$33:$G$40,MATCH(W1933,Setup!$B$33:$B$40,0)),0)=1)*(COUNTIF(W1908:W1925,$B1933)+COUNTIF(W1908:W1925,$B1933&amp;" ~*")&gt;0)+(IFERROR(INDEX(Setup!$G$33:$G$40,MATCH(Y1933,Setup!$B$33:$B$40,0)),0)=1)*(COUNTIF(Y1908:Y1925,$B1933)+COUNTIF(Y1908:Y1925,$B1933&amp;" ~*")&gt;0))</f>
        <v/>
      </c>
    </row>
    <row r="1934" ht="15" customHeight="1">
      <c r="A1934" t="n">
        <v>39</v>
      </c>
      <c r="B1934" s="37">
        <f>IF(Setup!$B$13="","",Setup!$B$13)</f>
        <v/>
      </c>
      <c r="C1934" s="102" t="n"/>
      <c r="D1934" s="103" t="n"/>
      <c r="E1934" s="103" t="n"/>
      <c r="F1934" s="104" t="n"/>
      <c r="G1934" s="102" t="n"/>
      <c r="H1934" s="103" t="n"/>
      <c r="I1934" s="103" t="n"/>
      <c r="J1934" s="104" t="n"/>
      <c r="K1934" s="102" t="n"/>
      <c r="L1934" s="103" t="n"/>
      <c r="M1934" s="103" t="n"/>
      <c r="N1934" s="104" t="n"/>
      <c r="O1934" s="102" t="n"/>
      <c r="P1934" s="103" t="n"/>
      <c r="Q1934" s="103" t="n"/>
      <c r="R1934" s="104" t="n"/>
      <c r="S1934" s="102" t="n"/>
      <c r="T1934" s="103" t="n"/>
      <c r="U1934" s="103" t="n"/>
      <c r="V1934" s="104" t="n"/>
      <c r="W1934" s="102" t="n"/>
      <c r="X1934" s="104" t="n"/>
      <c r="Y1934" s="102" t="n"/>
      <c r="Z1934" s="104" t="n"/>
      <c r="AB1934" s="105">
        <f>IF($B1934="","",(COUNTIF(C1908:E1925,$B1934)+COUNTIF(C1908:E1925,$B1934&amp;" ~*")&gt;0)+(COUNTIF(G1908:I1925,$B1934)+COUNTIF(G1908:I1925,$B1934&amp;" ~*")&gt;0)+(COUNTIF(K1908:M1925,$B1934)+COUNTIF(K1908:M1925,$B1934&amp;" ~*")&gt;0)+(COUNTIF(O1908:Q1925,$B1934)+COUNTIF(O1908:Q1925,$B1934&amp;" ~*")&gt;0)+(COUNTIF(S1908:U1925,$B1934)+COUNTIF(S1908:U1925,$B1934&amp;" ~*")&gt;0)+(COUNTIF(W1908:W1925,$B1934)+COUNTIF(W1908:W1925,$B1934&amp;" ~*")&gt;0)+(COUNTIF(Y1908:Y1925,$B1934)+COUNTIF(Y1908:Y1925,$B1934&amp;" ~*")&gt;0))</f>
        <v/>
      </c>
      <c r="AC1934" s="38">
        <f>IF($B1934="","",(IFERROR(INDEX(Setup!$G$33:$G$40,MATCH(C1934,Setup!$B$33:$B$40,0)),0)=1)*(COUNTIF(C1908:E1925,$B1934)+COUNTIF(C1908:E1925,$B1934&amp;" ~*")&gt;0)+(IFERROR(INDEX(Setup!$G$33:$G$40,MATCH(G1934,Setup!$B$33:$B$40,0)),0)=1)*(COUNTIF(G1908:I1925,$B1934)+COUNTIF(G1908:I1925,$B1934&amp;" ~*")&gt;0)+(IFERROR(INDEX(Setup!$G$33:$G$40,MATCH(K1934,Setup!$B$33:$B$40,0)),0)=1)*(COUNTIF(K1908:M1925,$B1934)+COUNTIF(K1908:M1925,$B1934&amp;" ~*")&gt;0)+(IFERROR(INDEX(Setup!$G$33:$G$40,MATCH(O1934,Setup!$B$33:$B$40,0)),0)=1)*(COUNTIF(O1908:Q1925,$B1934)+COUNTIF(O1908:Q1925,$B1934&amp;" ~*")&gt;0)+(IFERROR(INDEX(Setup!$G$33:$G$40,MATCH(S1934,Setup!$B$33:$B$40,0)),0)=1)*(COUNTIF(S1908:U1925,$B1934)+COUNTIF(S1908:U1925,$B1934&amp;" ~*")&gt;0)+(IFERROR(INDEX(Setup!$G$33:$G$40,MATCH(W1934,Setup!$B$33:$B$40,0)),0)=1)*(COUNTIF(W1908:W1925,$B1934)+COUNTIF(W1908:W1925,$B1934&amp;" ~*")&gt;0)+(IFERROR(INDEX(Setup!$G$33:$G$40,MATCH(Y1934,Setup!$B$33:$B$40,0)),0)=1)*(COUNTIF(Y1908:Y1925,$B1934)+COUNTIF(Y1908:Y1925,$B1934&amp;" ~*")&gt;0))</f>
        <v/>
      </c>
    </row>
    <row r="1935" ht="15" customHeight="1">
      <c r="A1935" t="n">
        <v>39</v>
      </c>
      <c r="B1935" s="35">
        <f>IF(Setup!$B$14="","",Setup!$B$14)</f>
        <v/>
      </c>
      <c r="C1935" s="98" t="n"/>
      <c r="D1935" s="99" t="n"/>
      <c r="E1935" s="99" t="n"/>
      <c r="F1935" s="100" t="n"/>
      <c r="G1935" s="98" t="n"/>
      <c r="H1935" s="99" t="n"/>
      <c r="I1935" s="99" t="n"/>
      <c r="J1935" s="100" t="n"/>
      <c r="K1935" s="98" t="n"/>
      <c r="L1935" s="99" t="n"/>
      <c r="M1935" s="99" t="n"/>
      <c r="N1935" s="100" t="n"/>
      <c r="O1935" s="98" t="n"/>
      <c r="P1935" s="99" t="n"/>
      <c r="Q1935" s="99" t="n"/>
      <c r="R1935" s="100" t="n"/>
      <c r="S1935" s="98" t="n"/>
      <c r="T1935" s="99" t="n"/>
      <c r="U1935" s="99" t="n"/>
      <c r="V1935" s="100" t="n"/>
      <c r="W1935" s="98" t="n"/>
      <c r="X1935" s="100" t="n"/>
      <c r="Y1935" s="98" t="n"/>
      <c r="Z1935" s="100" t="n"/>
      <c r="AB1935" s="101">
        <f>IF($B1935="","",(COUNTIF(C1908:E1925,$B1935)+COUNTIF(C1908:E1925,$B1935&amp;" ~*")&gt;0)+(COUNTIF(G1908:I1925,$B1935)+COUNTIF(G1908:I1925,$B1935&amp;" ~*")&gt;0)+(COUNTIF(K1908:M1925,$B1935)+COUNTIF(K1908:M1925,$B1935&amp;" ~*")&gt;0)+(COUNTIF(O1908:Q1925,$B1935)+COUNTIF(O1908:Q1925,$B1935&amp;" ~*")&gt;0)+(COUNTIF(S1908:U1925,$B1935)+COUNTIF(S1908:U1925,$B1935&amp;" ~*")&gt;0)+(COUNTIF(W1908:W1925,$B1935)+COUNTIF(W1908:W1925,$B1935&amp;" ~*")&gt;0)+(COUNTIF(Y1908:Y1925,$B1935)+COUNTIF(Y1908:Y1925,$B1935&amp;" ~*")&gt;0))</f>
        <v/>
      </c>
      <c r="AC1935" s="36">
        <f>IF($B1935="","",(IFERROR(INDEX(Setup!$G$33:$G$40,MATCH(C1935,Setup!$B$33:$B$40,0)),0)=1)*(COUNTIF(C1908:E1925,$B1935)+COUNTIF(C1908:E1925,$B1935&amp;" ~*")&gt;0)+(IFERROR(INDEX(Setup!$G$33:$G$40,MATCH(G1935,Setup!$B$33:$B$40,0)),0)=1)*(COUNTIF(G1908:I1925,$B1935)+COUNTIF(G1908:I1925,$B1935&amp;" ~*")&gt;0)+(IFERROR(INDEX(Setup!$G$33:$G$40,MATCH(K1935,Setup!$B$33:$B$40,0)),0)=1)*(COUNTIF(K1908:M1925,$B1935)+COUNTIF(K1908:M1925,$B1935&amp;" ~*")&gt;0)+(IFERROR(INDEX(Setup!$G$33:$G$40,MATCH(O1935,Setup!$B$33:$B$40,0)),0)=1)*(COUNTIF(O1908:Q1925,$B1935)+COUNTIF(O1908:Q1925,$B1935&amp;" ~*")&gt;0)+(IFERROR(INDEX(Setup!$G$33:$G$40,MATCH(S1935,Setup!$B$33:$B$40,0)),0)=1)*(COUNTIF(S1908:U1925,$B1935)+COUNTIF(S1908:U1925,$B1935&amp;" ~*")&gt;0)+(IFERROR(INDEX(Setup!$G$33:$G$40,MATCH(W1935,Setup!$B$33:$B$40,0)),0)=1)*(COUNTIF(W1908:W1925,$B1935)+COUNTIF(W1908:W1925,$B1935&amp;" ~*")&gt;0)+(IFERROR(INDEX(Setup!$G$33:$G$40,MATCH(Y1935,Setup!$B$33:$B$40,0)),0)=1)*(COUNTIF(Y1908:Y1925,$B1935)+COUNTIF(Y1908:Y1925,$B1935&amp;" ~*")&gt;0))</f>
        <v/>
      </c>
    </row>
    <row r="1936" ht="15" customHeight="1">
      <c r="A1936" t="n">
        <v>39</v>
      </c>
      <c r="B1936" s="37">
        <f>IF(Setup!$B$15="","",Setup!$B$15)</f>
        <v/>
      </c>
      <c r="C1936" s="102" t="n"/>
      <c r="D1936" s="103" t="n"/>
      <c r="E1936" s="103" t="n"/>
      <c r="F1936" s="104" t="n"/>
      <c r="G1936" s="102" t="n"/>
      <c r="H1936" s="103" t="n"/>
      <c r="I1936" s="103" t="n"/>
      <c r="J1936" s="104" t="n"/>
      <c r="K1936" s="102" t="n"/>
      <c r="L1936" s="103" t="n"/>
      <c r="M1936" s="103" t="n"/>
      <c r="N1936" s="104" t="n"/>
      <c r="O1936" s="102" t="n"/>
      <c r="P1936" s="103" t="n"/>
      <c r="Q1936" s="103" t="n"/>
      <c r="R1936" s="104" t="n"/>
      <c r="S1936" s="102" t="n"/>
      <c r="T1936" s="103" t="n"/>
      <c r="U1936" s="103" t="n"/>
      <c r="V1936" s="104" t="n"/>
      <c r="W1936" s="102" t="n"/>
      <c r="X1936" s="104" t="n"/>
      <c r="Y1936" s="102" t="n"/>
      <c r="Z1936" s="104" t="n"/>
      <c r="AB1936" s="105">
        <f>IF($B1936="","",(COUNTIF(C1908:E1925,$B1936)+COUNTIF(C1908:E1925,$B1936&amp;" ~*")&gt;0)+(COUNTIF(G1908:I1925,$B1936)+COUNTIF(G1908:I1925,$B1936&amp;" ~*")&gt;0)+(COUNTIF(K1908:M1925,$B1936)+COUNTIF(K1908:M1925,$B1936&amp;" ~*")&gt;0)+(COUNTIF(O1908:Q1925,$B1936)+COUNTIF(O1908:Q1925,$B1936&amp;" ~*")&gt;0)+(COUNTIF(S1908:U1925,$B1936)+COUNTIF(S1908:U1925,$B1936&amp;" ~*")&gt;0)+(COUNTIF(W1908:W1925,$B1936)+COUNTIF(W1908:W1925,$B1936&amp;" ~*")&gt;0)+(COUNTIF(Y1908:Y1925,$B1936)+COUNTIF(Y1908:Y1925,$B1936&amp;" ~*")&gt;0))</f>
        <v/>
      </c>
      <c r="AC1936" s="38">
        <f>IF($B1936="","",(IFERROR(INDEX(Setup!$G$33:$G$40,MATCH(C1936,Setup!$B$33:$B$40,0)),0)=1)*(COUNTIF(C1908:E1925,$B1936)+COUNTIF(C1908:E1925,$B1936&amp;" ~*")&gt;0)+(IFERROR(INDEX(Setup!$G$33:$G$40,MATCH(G1936,Setup!$B$33:$B$40,0)),0)=1)*(COUNTIF(G1908:I1925,$B1936)+COUNTIF(G1908:I1925,$B1936&amp;" ~*")&gt;0)+(IFERROR(INDEX(Setup!$G$33:$G$40,MATCH(K1936,Setup!$B$33:$B$40,0)),0)=1)*(COUNTIF(K1908:M1925,$B1936)+COUNTIF(K1908:M1925,$B1936&amp;" ~*")&gt;0)+(IFERROR(INDEX(Setup!$G$33:$G$40,MATCH(O1936,Setup!$B$33:$B$40,0)),0)=1)*(COUNTIF(O1908:Q1925,$B1936)+COUNTIF(O1908:Q1925,$B1936&amp;" ~*")&gt;0)+(IFERROR(INDEX(Setup!$G$33:$G$40,MATCH(S1936,Setup!$B$33:$B$40,0)),0)=1)*(COUNTIF(S1908:U1925,$B1936)+COUNTIF(S1908:U1925,$B1936&amp;" ~*")&gt;0)+(IFERROR(INDEX(Setup!$G$33:$G$40,MATCH(W1936,Setup!$B$33:$B$40,0)),0)=1)*(COUNTIF(W1908:W1925,$B1936)+COUNTIF(W1908:W1925,$B1936&amp;" ~*")&gt;0)+(IFERROR(INDEX(Setup!$G$33:$G$40,MATCH(Y1936,Setup!$B$33:$B$40,0)),0)=1)*(COUNTIF(Y1908:Y1925,$B1936)+COUNTIF(Y1908:Y1925,$B1936&amp;" ~*")&gt;0))</f>
        <v/>
      </c>
    </row>
    <row r="1937" ht="15" customHeight="1">
      <c r="A1937" t="n">
        <v>39</v>
      </c>
      <c r="B1937" s="35">
        <f>IF(Setup!$B$16="","",Setup!$B$16)</f>
        <v/>
      </c>
      <c r="C1937" s="98" t="n"/>
      <c r="D1937" s="99" t="n"/>
      <c r="E1937" s="99" t="n"/>
      <c r="F1937" s="100" t="n"/>
      <c r="G1937" s="98" t="n"/>
      <c r="H1937" s="99" t="n"/>
      <c r="I1937" s="99" t="n"/>
      <c r="J1937" s="100" t="n"/>
      <c r="K1937" s="98" t="n"/>
      <c r="L1937" s="99" t="n"/>
      <c r="M1937" s="99" t="n"/>
      <c r="N1937" s="100" t="n"/>
      <c r="O1937" s="98" t="n"/>
      <c r="P1937" s="99" t="n"/>
      <c r="Q1937" s="99" t="n"/>
      <c r="R1937" s="100" t="n"/>
      <c r="S1937" s="98" t="n"/>
      <c r="T1937" s="99" t="n"/>
      <c r="U1937" s="99" t="n"/>
      <c r="V1937" s="100" t="n"/>
      <c r="W1937" s="98" t="n"/>
      <c r="X1937" s="100" t="n"/>
      <c r="Y1937" s="98" t="n"/>
      <c r="Z1937" s="100" t="n"/>
      <c r="AB1937" s="101">
        <f>IF($B1937="","",(COUNTIF(C1908:E1925,$B1937)+COUNTIF(C1908:E1925,$B1937&amp;" ~*")&gt;0)+(COUNTIF(G1908:I1925,$B1937)+COUNTIF(G1908:I1925,$B1937&amp;" ~*")&gt;0)+(COUNTIF(K1908:M1925,$B1937)+COUNTIF(K1908:M1925,$B1937&amp;" ~*")&gt;0)+(COUNTIF(O1908:Q1925,$B1937)+COUNTIF(O1908:Q1925,$B1937&amp;" ~*")&gt;0)+(COUNTIF(S1908:U1925,$B1937)+COUNTIF(S1908:U1925,$B1937&amp;" ~*")&gt;0)+(COUNTIF(W1908:W1925,$B1937)+COUNTIF(W1908:W1925,$B1937&amp;" ~*")&gt;0)+(COUNTIF(Y1908:Y1925,$B1937)+COUNTIF(Y1908:Y1925,$B1937&amp;" ~*")&gt;0))</f>
        <v/>
      </c>
      <c r="AC1937" s="36">
        <f>IF($B1937="","",(IFERROR(INDEX(Setup!$G$33:$G$40,MATCH(C1937,Setup!$B$33:$B$40,0)),0)=1)*(COUNTIF(C1908:E1925,$B1937)+COUNTIF(C1908:E1925,$B1937&amp;" ~*")&gt;0)+(IFERROR(INDEX(Setup!$G$33:$G$40,MATCH(G1937,Setup!$B$33:$B$40,0)),0)=1)*(COUNTIF(G1908:I1925,$B1937)+COUNTIF(G1908:I1925,$B1937&amp;" ~*")&gt;0)+(IFERROR(INDEX(Setup!$G$33:$G$40,MATCH(K1937,Setup!$B$33:$B$40,0)),0)=1)*(COUNTIF(K1908:M1925,$B1937)+COUNTIF(K1908:M1925,$B1937&amp;" ~*")&gt;0)+(IFERROR(INDEX(Setup!$G$33:$G$40,MATCH(O1937,Setup!$B$33:$B$40,0)),0)=1)*(COUNTIF(O1908:Q1925,$B1937)+COUNTIF(O1908:Q1925,$B1937&amp;" ~*")&gt;0)+(IFERROR(INDEX(Setup!$G$33:$G$40,MATCH(S1937,Setup!$B$33:$B$40,0)),0)=1)*(COUNTIF(S1908:U1925,$B1937)+COUNTIF(S1908:U1925,$B1937&amp;" ~*")&gt;0)+(IFERROR(INDEX(Setup!$G$33:$G$40,MATCH(W1937,Setup!$B$33:$B$40,0)),0)=1)*(COUNTIF(W1908:W1925,$B1937)+COUNTIF(W1908:W1925,$B1937&amp;" ~*")&gt;0)+(IFERROR(INDEX(Setup!$G$33:$G$40,MATCH(Y1937,Setup!$B$33:$B$40,0)),0)=1)*(COUNTIF(Y1908:Y1925,$B1937)+COUNTIF(Y1908:Y1925,$B1937&amp;" ~*")&gt;0))</f>
        <v/>
      </c>
    </row>
    <row r="1938" ht="15" customHeight="1">
      <c r="A1938" t="n">
        <v>39</v>
      </c>
      <c r="B1938" s="37">
        <f>IF(Setup!$B$17="","",Setup!$B$17)</f>
        <v/>
      </c>
      <c r="C1938" s="102" t="n"/>
      <c r="D1938" s="103" t="n"/>
      <c r="E1938" s="103" t="n"/>
      <c r="F1938" s="104" t="n"/>
      <c r="G1938" s="102" t="n"/>
      <c r="H1938" s="103" t="n"/>
      <c r="I1938" s="103" t="n"/>
      <c r="J1938" s="104" t="n"/>
      <c r="K1938" s="102" t="n"/>
      <c r="L1938" s="103" t="n"/>
      <c r="M1938" s="103" t="n"/>
      <c r="N1938" s="104" t="n"/>
      <c r="O1938" s="102" t="n"/>
      <c r="P1938" s="103" t="n"/>
      <c r="Q1938" s="103" t="n"/>
      <c r="R1938" s="104" t="n"/>
      <c r="S1938" s="102" t="n"/>
      <c r="T1938" s="103" t="n"/>
      <c r="U1938" s="103" t="n"/>
      <c r="V1938" s="104" t="n"/>
      <c r="W1938" s="102" t="n"/>
      <c r="X1938" s="104" t="n"/>
      <c r="Y1938" s="102" t="n"/>
      <c r="Z1938" s="104" t="n"/>
      <c r="AB1938" s="105">
        <f>IF($B1938="","",(COUNTIF(C1908:E1925,$B1938)+COUNTIF(C1908:E1925,$B1938&amp;" ~*")&gt;0)+(COUNTIF(G1908:I1925,$B1938)+COUNTIF(G1908:I1925,$B1938&amp;" ~*")&gt;0)+(COUNTIF(K1908:M1925,$B1938)+COUNTIF(K1908:M1925,$B1938&amp;" ~*")&gt;0)+(COUNTIF(O1908:Q1925,$B1938)+COUNTIF(O1908:Q1925,$B1938&amp;" ~*")&gt;0)+(COUNTIF(S1908:U1925,$B1938)+COUNTIF(S1908:U1925,$B1938&amp;" ~*")&gt;0)+(COUNTIF(W1908:W1925,$B1938)+COUNTIF(W1908:W1925,$B1938&amp;" ~*")&gt;0)+(COUNTIF(Y1908:Y1925,$B1938)+COUNTIF(Y1908:Y1925,$B1938&amp;" ~*")&gt;0))</f>
        <v/>
      </c>
      <c r="AC1938" s="38">
        <f>IF($B1938="","",(IFERROR(INDEX(Setup!$G$33:$G$40,MATCH(C1938,Setup!$B$33:$B$40,0)),0)=1)*(COUNTIF(C1908:E1925,$B1938)+COUNTIF(C1908:E1925,$B1938&amp;" ~*")&gt;0)+(IFERROR(INDEX(Setup!$G$33:$G$40,MATCH(G1938,Setup!$B$33:$B$40,0)),0)=1)*(COUNTIF(G1908:I1925,$B1938)+COUNTIF(G1908:I1925,$B1938&amp;" ~*")&gt;0)+(IFERROR(INDEX(Setup!$G$33:$G$40,MATCH(K1938,Setup!$B$33:$B$40,0)),0)=1)*(COUNTIF(K1908:M1925,$B1938)+COUNTIF(K1908:M1925,$B1938&amp;" ~*")&gt;0)+(IFERROR(INDEX(Setup!$G$33:$G$40,MATCH(O1938,Setup!$B$33:$B$40,0)),0)=1)*(COUNTIF(O1908:Q1925,$B1938)+COUNTIF(O1908:Q1925,$B1938&amp;" ~*")&gt;0)+(IFERROR(INDEX(Setup!$G$33:$G$40,MATCH(S1938,Setup!$B$33:$B$40,0)),0)=1)*(COUNTIF(S1908:U1925,$B1938)+COUNTIF(S1908:U1925,$B1938&amp;" ~*")&gt;0)+(IFERROR(INDEX(Setup!$G$33:$G$40,MATCH(W1938,Setup!$B$33:$B$40,0)),0)=1)*(COUNTIF(W1908:W1925,$B1938)+COUNTIF(W1908:W1925,$B1938&amp;" ~*")&gt;0)+(IFERROR(INDEX(Setup!$G$33:$G$40,MATCH(Y1938,Setup!$B$33:$B$40,0)),0)=1)*(COUNTIF(Y1908:Y1925,$B1938)+COUNTIF(Y1908:Y1925,$B1938&amp;" ~*")&gt;0))</f>
        <v/>
      </c>
    </row>
    <row r="1939" ht="15" customHeight="1">
      <c r="A1939" t="n">
        <v>39</v>
      </c>
      <c r="B1939" s="35">
        <f>IF(Setup!$B$18="","",Setup!$B$18)</f>
        <v/>
      </c>
      <c r="C1939" s="98" t="n"/>
      <c r="D1939" s="99" t="n"/>
      <c r="E1939" s="99" t="n"/>
      <c r="F1939" s="100" t="n"/>
      <c r="G1939" s="98" t="n"/>
      <c r="H1939" s="99" t="n"/>
      <c r="I1939" s="99" t="n"/>
      <c r="J1939" s="100" t="n"/>
      <c r="K1939" s="98" t="n"/>
      <c r="L1939" s="99" t="n"/>
      <c r="M1939" s="99" t="n"/>
      <c r="N1939" s="100" t="n"/>
      <c r="O1939" s="98" t="n"/>
      <c r="P1939" s="99" t="n"/>
      <c r="Q1939" s="99" t="n"/>
      <c r="R1939" s="100" t="n"/>
      <c r="S1939" s="98" t="n"/>
      <c r="T1939" s="99" t="n"/>
      <c r="U1939" s="99" t="n"/>
      <c r="V1939" s="100" t="n"/>
      <c r="W1939" s="98" t="n"/>
      <c r="X1939" s="100" t="n"/>
      <c r="Y1939" s="98" t="n"/>
      <c r="Z1939" s="100" t="n"/>
      <c r="AB1939" s="101">
        <f>IF($B1939="","",(COUNTIF(C1908:E1925,$B1939)+COUNTIF(C1908:E1925,$B1939&amp;" ~*")&gt;0)+(COUNTIF(G1908:I1925,$B1939)+COUNTIF(G1908:I1925,$B1939&amp;" ~*")&gt;0)+(COUNTIF(K1908:M1925,$B1939)+COUNTIF(K1908:M1925,$B1939&amp;" ~*")&gt;0)+(COUNTIF(O1908:Q1925,$B1939)+COUNTIF(O1908:Q1925,$B1939&amp;" ~*")&gt;0)+(COUNTIF(S1908:U1925,$B1939)+COUNTIF(S1908:U1925,$B1939&amp;" ~*")&gt;0)+(COUNTIF(W1908:W1925,$B1939)+COUNTIF(W1908:W1925,$B1939&amp;" ~*")&gt;0)+(COUNTIF(Y1908:Y1925,$B1939)+COUNTIF(Y1908:Y1925,$B1939&amp;" ~*")&gt;0))</f>
        <v/>
      </c>
      <c r="AC1939" s="36">
        <f>IF($B1939="","",(IFERROR(INDEX(Setup!$G$33:$G$40,MATCH(C1939,Setup!$B$33:$B$40,0)),0)=1)*(COUNTIF(C1908:E1925,$B1939)+COUNTIF(C1908:E1925,$B1939&amp;" ~*")&gt;0)+(IFERROR(INDEX(Setup!$G$33:$G$40,MATCH(G1939,Setup!$B$33:$B$40,0)),0)=1)*(COUNTIF(G1908:I1925,$B1939)+COUNTIF(G1908:I1925,$B1939&amp;" ~*")&gt;0)+(IFERROR(INDEX(Setup!$G$33:$G$40,MATCH(K1939,Setup!$B$33:$B$40,0)),0)=1)*(COUNTIF(K1908:M1925,$B1939)+COUNTIF(K1908:M1925,$B1939&amp;" ~*")&gt;0)+(IFERROR(INDEX(Setup!$G$33:$G$40,MATCH(O1939,Setup!$B$33:$B$40,0)),0)=1)*(COUNTIF(O1908:Q1925,$B1939)+COUNTIF(O1908:Q1925,$B1939&amp;" ~*")&gt;0)+(IFERROR(INDEX(Setup!$G$33:$G$40,MATCH(S1939,Setup!$B$33:$B$40,0)),0)=1)*(COUNTIF(S1908:U1925,$B1939)+COUNTIF(S1908:U1925,$B1939&amp;" ~*")&gt;0)+(IFERROR(INDEX(Setup!$G$33:$G$40,MATCH(W1939,Setup!$B$33:$B$40,0)),0)=1)*(COUNTIF(W1908:W1925,$B1939)+COUNTIF(W1908:W1925,$B1939&amp;" ~*")&gt;0)+(IFERROR(INDEX(Setup!$G$33:$G$40,MATCH(Y1939,Setup!$B$33:$B$40,0)),0)=1)*(COUNTIF(Y1908:Y1925,$B1939)+COUNTIF(Y1908:Y1925,$B1939&amp;" ~*")&gt;0))</f>
        <v/>
      </c>
    </row>
    <row r="1940" ht="15" customHeight="1">
      <c r="A1940" t="n">
        <v>39</v>
      </c>
      <c r="B1940" s="37">
        <f>IF(Setup!$B$19="","",Setup!$B$19)</f>
        <v/>
      </c>
      <c r="C1940" s="102" t="n"/>
      <c r="D1940" s="103" t="n"/>
      <c r="E1940" s="103" t="n"/>
      <c r="F1940" s="104" t="n"/>
      <c r="G1940" s="102" t="n"/>
      <c r="H1940" s="103" t="n"/>
      <c r="I1940" s="103" t="n"/>
      <c r="J1940" s="104" t="n"/>
      <c r="K1940" s="102" t="n"/>
      <c r="L1940" s="103" t="n"/>
      <c r="M1940" s="103" t="n"/>
      <c r="N1940" s="104" t="n"/>
      <c r="O1940" s="102" t="n"/>
      <c r="P1940" s="103" t="n"/>
      <c r="Q1940" s="103" t="n"/>
      <c r="R1940" s="104" t="n"/>
      <c r="S1940" s="102" t="n"/>
      <c r="T1940" s="103" t="n"/>
      <c r="U1940" s="103" t="n"/>
      <c r="V1940" s="104" t="n"/>
      <c r="W1940" s="102" t="n"/>
      <c r="X1940" s="104" t="n"/>
      <c r="Y1940" s="102" t="n"/>
      <c r="Z1940" s="104" t="n"/>
      <c r="AB1940" s="105">
        <f>IF($B1940="","",(COUNTIF(C1908:E1925,$B1940)+COUNTIF(C1908:E1925,$B1940&amp;" ~*")&gt;0)+(COUNTIF(G1908:I1925,$B1940)+COUNTIF(G1908:I1925,$B1940&amp;" ~*")&gt;0)+(COUNTIF(K1908:M1925,$B1940)+COUNTIF(K1908:M1925,$B1940&amp;" ~*")&gt;0)+(COUNTIF(O1908:Q1925,$B1940)+COUNTIF(O1908:Q1925,$B1940&amp;" ~*")&gt;0)+(COUNTIF(S1908:U1925,$B1940)+COUNTIF(S1908:U1925,$B1940&amp;" ~*")&gt;0)+(COUNTIF(W1908:W1925,$B1940)+COUNTIF(W1908:W1925,$B1940&amp;" ~*")&gt;0)+(COUNTIF(Y1908:Y1925,$B1940)+COUNTIF(Y1908:Y1925,$B1940&amp;" ~*")&gt;0))</f>
        <v/>
      </c>
      <c r="AC1940" s="38">
        <f>IF($B1940="","",(IFERROR(INDEX(Setup!$G$33:$G$40,MATCH(C1940,Setup!$B$33:$B$40,0)),0)=1)*(COUNTIF(C1908:E1925,$B1940)+COUNTIF(C1908:E1925,$B1940&amp;" ~*")&gt;0)+(IFERROR(INDEX(Setup!$G$33:$G$40,MATCH(G1940,Setup!$B$33:$B$40,0)),0)=1)*(COUNTIF(G1908:I1925,$B1940)+COUNTIF(G1908:I1925,$B1940&amp;" ~*")&gt;0)+(IFERROR(INDEX(Setup!$G$33:$G$40,MATCH(K1940,Setup!$B$33:$B$40,0)),0)=1)*(COUNTIF(K1908:M1925,$B1940)+COUNTIF(K1908:M1925,$B1940&amp;" ~*")&gt;0)+(IFERROR(INDEX(Setup!$G$33:$G$40,MATCH(O1940,Setup!$B$33:$B$40,0)),0)=1)*(COUNTIF(O1908:Q1925,$B1940)+COUNTIF(O1908:Q1925,$B1940&amp;" ~*")&gt;0)+(IFERROR(INDEX(Setup!$G$33:$G$40,MATCH(S1940,Setup!$B$33:$B$40,0)),0)=1)*(COUNTIF(S1908:U1925,$B1940)+COUNTIF(S1908:U1925,$B1940&amp;" ~*")&gt;0)+(IFERROR(INDEX(Setup!$G$33:$G$40,MATCH(W1940,Setup!$B$33:$B$40,0)),0)=1)*(COUNTIF(W1908:W1925,$B1940)+COUNTIF(W1908:W1925,$B1940&amp;" ~*")&gt;0)+(IFERROR(INDEX(Setup!$G$33:$G$40,MATCH(Y1940,Setup!$B$33:$B$40,0)),0)=1)*(COUNTIF(Y1908:Y1925,$B1940)+COUNTIF(Y1908:Y1925,$B1940&amp;" ~*")&gt;0))</f>
        <v/>
      </c>
    </row>
    <row r="1941" ht="15" customHeight="1">
      <c r="A1941" t="n">
        <v>39</v>
      </c>
      <c r="B1941" s="35">
        <f>IF(Setup!$B$20="","",Setup!$B$20)</f>
        <v/>
      </c>
      <c r="C1941" s="98" t="n"/>
      <c r="D1941" s="99" t="n"/>
      <c r="E1941" s="99" t="n"/>
      <c r="F1941" s="100" t="n"/>
      <c r="G1941" s="98" t="n"/>
      <c r="H1941" s="99" t="n"/>
      <c r="I1941" s="99" t="n"/>
      <c r="J1941" s="100" t="n"/>
      <c r="K1941" s="98" t="n"/>
      <c r="L1941" s="99" t="n"/>
      <c r="M1941" s="99" t="n"/>
      <c r="N1941" s="100" t="n"/>
      <c r="O1941" s="98" t="n"/>
      <c r="P1941" s="99" t="n"/>
      <c r="Q1941" s="99" t="n"/>
      <c r="R1941" s="100" t="n"/>
      <c r="S1941" s="98" t="n"/>
      <c r="T1941" s="99" t="n"/>
      <c r="U1941" s="99" t="n"/>
      <c r="V1941" s="100" t="n"/>
      <c r="W1941" s="98" t="n"/>
      <c r="X1941" s="100" t="n"/>
      <c r="Y1941" s="98" t="n"/>
      <c r="Z1941" s="100" t="n"/>
      <c r="AB1941" s="101">
        <f>IF($B1941="","",(COUNTIF(C1908:E1925,$B1941)+COUNTIF(C1908:E1925,$B1941&amp;" ~*")&gt;0)+(COUNTIF(G1908:I1925,$B1941)+COUNTIF(G1908:I1925,$B1941&amp;" ~*")&gt;0)+(COUNTIF(K1908:M1925,$B1941)+COUNTIF(K1908:M1925,$B1941&amp;" ~*")&gt;0)+(COUNTIF(O1908:Q1925,$B1941)+COUNTIF(O1908:Q1925,$B1941&amp;" ~*")&gt;0)+(COUNTIF(S1908:U1925,$B1941)+COUNTIF(S1908:U1925,$B1941&amp;" ~*")&gt;0)+(COUNTIF(W1908:W1925,$B1941)+COUNTIF(W1908:W1925,$B1941&amp;" ~*")&gt;0)+(COUNTIF(Y1908:Y1925,$B1941)+COUNTIF(Y1908:Y1925,$B1941&amp;" ~*")&gt;0))</f>
        <v/>
      </c>
      <c r="AC1941" s="36">
        <f>IF($B1941="","",(IFERROR(INDEX(Setup!$G$33:$G$40,MATCH(C1941,Setup!$B$33:$B$40,0)),0)=1)*(COUNTIF(C1908:E1925,$B1941)+COUNTIF(C1908:E1925,$B1941&amp;" ~*")&gt;0)+(IFERROR(INDEX(Setup!$G$33:$G$40,MATCH(G1941,Setup!$B$33:$B$40,0)),0)=1)*(COUNTIF(G1908:I1925,$B1941)+COUNTIF(G1908:I1925,$B1941&amp;" ~*")&gt;0)+(IFERROR(INDEX(Setup!$G$33:$G$40,MATCH(K1941,Setup!$B$33:$B$40,0)),0)=1)*(COUNTIF(K1908:M1925,$B1941)+COUNTIF(K1908:M1925,$B1941&amp;" ~*")&gt;0)+(IFERROR(INDEX(Setup!$G$33:$G$40,MATCH(O1941,Setup!$B$33:$B$40,0)),0)=1)*(COUNTIF(O1908:Q1925,$B1941)+COUNTIF(O1908:Q1925,$B1941&amp;" ~*")&gt;0)+(IFERROR(INDEX(Setup!$G$33:$G$40,MATCH(S1941,Setup!$B$33:$B$40,0)),0)=1)*(COUNTIF(S1908:U1925,$B1941)+COUNTIF(S1908:U1925,$B1941&amp;" ~*")&gt;0)+(IFERROR(INDEX(Setup!$G$33:$G$40,MATCH(W1941,Setup!$B$33:$B$40,0)),0)=1)*(COUNTIF(W1908:W1925,$B1941)+COUNTIF(W1908:W1925,$B1941&amp;" ~*")&gt;0)+(IFERROR(INDEX(Setup!$G$33:$G$40,MATCH(Y1941,Setup!$B$33:$B$40,0)),0)=1)*(COUNTIF(Y1908:Y1925,$B1941)+COUNTIF(Y1908:Y1925,$B1941&amp;" ~*")&gt;0))</f>
        <v/>
      </c>
    </row>
    <row r="1942" ht="15" customHeight="1">
      <c r="A1942" t="n">
        <v>39</v>
      </c>
      <c r="B1942" s="37">
        <f>IF(Setup!$B$21="","",Setup!$B$21)</f>
        <v/>
      </c>
      <c r="C1942" s="102" t="n"/>
      <c r="D1942" s="103" t="n"/>
      <c r="E1942" s="103" t="n"/>
      <c r="F1942" s="104" t="n"/>
      <c r="G1942" s="102" t="n"/>
      <c r="H1942" s="103" t="n"/>
      <c r="I1942" s="103" t="n"/>
      <c r="J1942" s="104" t="n"/>
      <c r="K1942" s="102" t="n"/>
      <c r="L1942" s="103" t="n"/>
      <c r="M1942" s="103" t="n"/>
      <c r="N1942" s="104" t="n"/>
      <c r="O1942" s="102" t="n"/>
      <c r="P1942" s="103" t="n"/>
      <c r="Q1942" s="103" t="n"/>
      <c r="R1942" s="104" t="n"/>
      <c r="S1942" s="102" t="n"/>
      <c r="T1942" s="103" t="n"/>
      <c r="U1942" s="103" t="n"/>
      <c r="V1942" s="104" t="n"/>
      <c r="W1942" s="102" t="n"/>
      <c r="X1942" s="104" t="n"/>
      <c r="Y1942" s="102" t="n"/>
      <c r="Z1942" s="104" t="n"/>
      <c r="AB1942" s="105">
        <f>IF($B1942="","",(COUNTIF(C1908:E1925,$B1942)+COUNTIF(C1908:E1925,$B1942&amp;" ~*")&gt;0)+(COUNTIF(G1908:I1925,$B1942)+COUNTIF(G1908:I1925,$B1942&amp;" ~*")&gt;0)+(COUNTIF(K1908:M1925,$B1942)+COUNTIF(K1908:M1925,$B1942&amp;" ~*")&gt;0)+(COUNTIF(O1908:Q1925,$B1942)+COUNTIF(O1908:Q1925,$B1942&amp;" ~*")&gt;0)+(COUNTIF(S1908:U1925,$B1942)+COUNTIF(S1908:U1925,$B1942&amp;" ~*")&gt;0)+(COUNTIF(W1908:W1925,$B1942)+COUNTIF(W1908:W1925,$B1942&amp;" ~*")&gt;0)+(COUNTIF(Y1908:Y1925,$B1942)+COUNTIF(Y1908:Y1925,$B1942&amp;" ~*")&gt;0))</f>
        <v/>
      </c>
      <c r="AC1942" s="38">
        <f>IF($B1942="","",(IFERROR(INDEX(Setup!$G$33:$G$40,MATCH(C1942,Setup!$B$33:$B$40,0)),0)=1)*(COUNTIF(C1908:E1925,$B1942)+COUNTIF(C1908:E1925,$B1942&amp;" ~*")&gt;0)+(IFERROR(INDEX(Setup!$G$33:$G$40,MATCH(G1942,Setup!$B$33:$B$40,0)),0)=1)*(COUNTIF(G1908:I1925,$B1942)+COUNTIF(G1908:I1925,$B1942&amp;" ~*")&gt;0)+(IFERROR(INDEX(Setup!$G$33:$G$40,MATCH(K1942,Setup!$B$33:$B$40,0)),0)=1)*(COUNTIF(K1908:M1925,$B1942)+COUNTIF(K1908:M1925,$B1942&amp;" ~*")&gt;0)+(IFERROR(INDEX(Setup!$G$33:$G$40,MATCH(O1942,Setup!$B$33:$B$40,0)),0)=1)*(COUNTIF(O1908:Q1925,$B1942)+COUNTIF(O1908:Q1925,$B1942&amp;" ~*")&gt;0)+(IFERROR(INDEX(Setup!$G$33:$G$40,MATCH(S1942,Setup!$B$33:$B$40,0)),0)=1)*(COUNTIF(S1908:U1925,$B1942)+COUNTIF(S1908:U1925,$B1942&amp;" ~*")&gt;0)+(IFERROR(INDEX(Setup!$G$33:$G$40,MATCH(W1942,Setup!$B$33:$B$40,0)),0)=1)*(COUNTIF(W1908:W1925,$B1942)+COUNTIF(W1908:W1925,$B1942&amp;" ~*")&gt;0)+(IFERROR(INDEX(Setup!$G$33:$G$40,MATCH(Y1942,Setup!$B$33:$B$40,0)),0)=1)*(COUNTIF(Y1908:Y1925,$B1942)+COUNTIF(Y1908:Y1925,$B1942&amp;" ~*")&gt;0))</f>
        <v/>
      </c>
    </row>
    <row r="1943" ht="15" customHeight="1">
      <c r="A1943" t="n">
        <v>39</v>
      </c>
      <c r="B1943" s="35">
        <f>IF(Setup!$B$22="","",Setup!$B$22)</f>
        <v/>
      </c>
      <c r="C1943" s="98" t="n"/>
      <c r="D1943" s="99" t="n"/>
      <c r="E1943" s="99" t="n"/>
      <c r="F1943" s="100" t="n"/>
      <c r="G1943" s="98" t="n"/>
      <c r="H1943" s="99" t="n"/>
      <c r="I1943" s="99" t="n"/>
      <c r="J1943" s="100" t="n"/>
      <c r="K1943" s="98" t="n"/>
      <c r="L1943" s="99" t="n"/>
      <c r="M1943" s="99" t="n"/>
      <c r="N1943" s="100" t="n"/>
      <c r="O1943" s="98" t="n"/>
      <c r="P1943" s="99" t="n"/>
      <c r="Q1943" s="99" t="n"/>
      <c r="R1943" s="100" t="n"/>
      <c r="S1943" s="98" t="n"/>
      <c r="T1943" s="99" t="n"/>
      <c r="U1943" s="99" t="n"/>
      <c r="V1943" s="100" t="n"/>
      <c r="W1943" s="98" t="n"/>
      <c r="X1943" s="100" t="n"/>
      <c r="Y1943" s="98" t="n"/>
      <c r="Z1943" s="100" t="n"/>
      <c r="AB1943" s="101">
        <f>IF($B1943="","",(COUNTIF(C1908:E1925,$B1943)+COUNTIF(C1908:E1925,$B1943&amp;" ~*")&gt;0)+(COUNTIF(G1908:I1925,$B1943)+COUNTIF(G1908:I1925,$B1943&amp;" ~*")&gt;0)+(COUNTIF(K1908:M1925,$B1943)+COUNTIF(K1908:M1925,$B1943&amp;" ~*")&gt;0)+(COUNTIF(O1908:Q1925,$B1943)+COUNTIF(O1908:Q1925,$B1943&amp;" ~*")&gt;0)+(COUNTIF(S1908:U1925,$B1943)+COUNTIF(S1908:U1925,$B1943&amp;" ~*")&gt;0)+(COUNTIF(W1908:W1925,$B1943)+COUNTIF(W1908:W1925,$B1943&amp;" ~*")&gt;0)+(COUNTIF(Y1908:Y1925,$B1943)+COUNTIF(Y1908:Y1925,$B1943&amp;" ~*")&gt;0))</f>
        <v/>
      </c>
      <c r="AC1943" s="36">
        <f>IF($B1943="","",(IFERROR(INDEX(Setup!$G$33:$G$40,MATCH(C1943,Setup!$B$33:$B$40,0)),0)=1)*(COUNTIF(C1908:E1925,$B1943)+COUNTIF(C1908:E1925,$B1943&amp;" ~*")&gt;0)+(IFERROR(INDEX(Setup!$G$33:$G$40,MATCH(G1943,Setup!$B$33:$B$40,0)),0)=1)*(COUNTIF(G1908:I1925,$B1943)+COUNTIF(G1908:I1925,$B1943&amp;" ~*")&gt;0)+(IFERROR(INDEX(Setup!$G$33:$G$40,MATCH(K1943,Setup!$B$33:$B$40,0)),0)=1)*(COUNTIF(K1908:M1925,$B1943)+COUNTIF(K1908:M1925,$B1943&amp;" ~*")&gt;0)+(IFERROR(INDEX(Setup!$G$33:$G$40,MATCH(O1943,Setup!$B$33:$B$40,0)),0)=1)*(COUNTIF(O1908:Q1925,$B1943)+COUNTIF(O1908:Q1925,$B1943&amp;" ~*")&gt;0)+(IFERROR(INDEX(Setup!$G$33:$G$40,MATCH(S1943,Setup!$B$33:$B$40,0)),0)=1)*(COUNTIF(S1908:U1925,$B1943)+COUNTIF(S1908:U1925,$B1943&amp;" ~*")&gt;0)+(IFERROR(INDEX(Setup!$G$33:$G$40,MATCH(W1943,Setup!$B$33:$B$40,0)),0)=1)*(COUNTIF(W1908:W1925,$B1943)+COUNTIF(W1908:W1925,$B1943&amp;" ~*")&gt;0)+(IFERROR(INDEX(Setup!$G$33:$G$40,MATCH(Y1943,Setup!$B$33:$B$40,0)),0)=1)*(COUNTIF(Y1908:Y1925,$B1943)+COUNTIF(Y1908:Y1925,$B1943&amp;" ~*")&gt;0))</f>
        <v/>
      </c>
    </row>
    <row r="1944" ht="15" customHeight="1">
      <c r="A1944" t="n">
        <v>39</v>
      </c>
      <c r="B1944" s="37">
        <f>IF(Setup!$B$23="","",Setup!$B$23)</f>
        <v/>
      </c>
      <c r="C1944" s="102" t="n"/>
      <c r="D1944" s="103" t="n"/>
      <c r="E1944" s="103" t="n"/>
      <c r="F1944" s="104" t="n"/>
      <c r="G1944" s="102" t="n"/>
      <c r="H1944" s="103" t="n"/>
      <c r="I1944" s="103" t="n"/>
      <c r="J1944" s="104" t="n"/>
      <c r="K1944" s="102" t="n"/>
      <c r="L1944" s="103" t="n"/>
      <c r="M1944" s="103" t="n"/>
      <c r="N1944" s="104" t="n"/>
      <c r="O1944" s="102" t="n"/>
      <c r="P1944" s="103" t="n"/>
      <c r="Q1944" s="103" t="n"/>
      <c r="R1944" s="104" t="n"/>
      <c r="S1944" s="102" t="n"/>
      <c r="T1944" s="103" t="n"/>
      <c r="U1944" s="103" t="n"/>
      <c r="V1944" s="104" t="n"/>
      <c r="W1944" s="102" t="n"/>
      <c r="X1944" s="104" t="n"/>
      <c r="Y1944" s="102" t="n"/>
      <c r="Z1944" s="104" t="n"/>
      <c r="AB1944" s="105">
        <f>IF($B1944="","",(COUNTIF(C1908:E1925,$B1944)+COUNTIF(C1908:E1925,$B1944&amp;" ~*")&gt;0)+(COUNTIF(G1908:I1925,$B1944)+COUNTIF(G1908:I1925,$B1944&amp;" ~*")&gt;0)+(COUNTIF(K1908:M1925,$B1944)+COUNTIF(K1908:M1925,$B1944&amp;" ~*")&gt;0)+(COUNTIF(O1908:Q1925,$B1944)+COUNTIF(O1908:Q1925,$B1944&amp;" ~*")&gt;0)+(COUNTIF(S1908:U1925,$B1944)+COUNTIF(S1908:U1925,$B1944&amp;" ~*")&gt;0)+(COUNTIF(W1908:W1925,$B1944)+COUNTIF(W1908:W1925,$B1944&amp;" ~*")&gt;0)+(COUNTIF(Y1908:Y1925,$B1944)+COUNTIF(Y1908:Y1925,$B1944&amp;" ~*")&gt;0))</f>
        <v/>
      </c>
      <c r="AC1944" s="38">
        <f>IF($B1944="","",(IFERROR(INDEX(Setup!$G$33:$G$40,MATCH(C1944,Setup!$B$33:$B$40,0)),0)=1)*(COUNTIF(C1908:E1925,$B1944)+COUNTIF(C1908:E1925,$B1944&amp;" ~*")&gt;0)+(IFERROR(INDEX(Setup!$G$33:$G$40,MATCH(G1944,Setup!$B$33:$B$40,0)),0)=1)*(COUNTIF(G1908:I1925,$B1944)+COUNTIF(G1908:I1925,$B1944&amp;" ~*")&gt;0)+(IFERROR(INDEX(Setup!$G$33:$G$40,MATCH(K1944,Setup!$B$33:$B$40,0)),0)=1)*(COUNTIF(K1908:M1925,$B1944)+COUNTIF(K1908:M1925,$B1944&amp;" ~*")&gt;0)+(IFERROR(INDEX(Setup!$G$33:$G$40,MATCH(O1944,Setup!$B$33:$B$40,0)),0)=1)*(COUNTIF(O1908:Q1925,$B1944)+COUNTIF(O1908:Q1925,$B1944&amp;" ~*")&gt;0)+(IFERROR(INDEX(Setup!$G$33:$G$40,MATCH(S1944,Setup!$B$33:$B$40,0)),0)=1)*(COUNTIF(S1908:U1925,$B1944)+COUNTIF(S1908:U1925,$B1944&amp;" ~*")&gt;0)+(IFERROR(INDEX(Setup!$G$33:$G$40,MATCH(W1944,Setup!$B$33:$B$40,0)),0)=1)*(COUNTIF(W1908:W1925,$B1944)+COUNTIF(W1908:W1925,$B1944&amp;" ~*")&gt;0)+(IFERROR(INDEX(Setup!$G$33:$G$40,MATCH(Y1944,Setup!$B$33:$B$40,0)),0)=1)*(COUNTIF(Y1908:Y1925,$B1944)+COUNTIF(Y1908:Y1925,$B1944&amp;" ~*")&gt;0))</f>
        <v/>
      </c>
    </row>
    <row r="1945" ht="15" customHeight="1">
      <c r="A1945" t="n">
        <v>39</v>
      </c>
      <c r="B1945" s="35">
        <f>IF(Setup!$B$24="","",Setup!$B$24)</f>
        <v/>
      </c>
      <c r="C1945" s="98" t="n"/>
      <c r="D1945" s="99" t="n"/>
      <c r="E1945" s="99" t="n"/>
      <c r="F1945" s="100" t="n"/>
      <c r="G1945" s="98" t="n"/>
      <c r="H1945" s="99" t="n"/>
      <c r="I1945" s="99" t="n"/>
      <c r="J1945" s="100" t="n"/>
      <c r="K1945" s="98" t="n"/>
      <c r="L1945" s="99" t="n"/>
      <c r="M1945" s="99" t="n"/>
      <c r="N1945" s="100" t="n"/>
      <c r="O1945" s="98" t="n"/>
      <c r="P1945" s="99" t="n"/>
      <c r="Q1945" s="99" t="n"/>
      <c r="R1945" s="100" t="n"/>
      <c r="S1945" s="98" t="n"/>
      <c r="T1945" s="99" t="n"/>
      <c r="U1945" s="99" t="n"/>
      <c r="V1945" s="100" t="n"/>
      <c r="W1945" s="98" t="n"/>
      <c r="X1945" s="100" t="n"/>
      <c r="Y1945" s="98" t="n"/>
      <c r="Z1945" s="100" t="n"/>
      <c r="AB1945" s="101">
        <f>IF($B1945="","",(COUNTIF(C1908:E1925,$B1945)+COUNTIF(C1908:E1925,$B1945&amp;" ~*")&gt;0)+(COUNTIF(G1908:I1925,$B1945)+COUNTIF(G1908:I1925,$B1945&amp;" ~*")&gt;0)+(COUNTIF(K1908:M1925,$B1945)+COUNTIF(K1908:M1925,$B1945&amp;" ~*")&gt;0)+(COUNTIF(O1908:Q1925,$B1945)+COUNTIF(O1908:Q1925,$B1945&amp;" ~*")&gt;0)+(COUNTIF(S1908:U1925,$B1945)+COUNTIF(S1908:U1925,$B1945&amp;" ~*")&gt;0)+(COUNTIF(W1908:W1925,$B1945)+COUNTIF(W1908:W1925,$B1945&amp;" ~*")&gt;0)+(COUNTIF(Y1908:Y1925,$B1945)+COUNTIF(Y1908:Y1925,$B1945&amp;" ~*")&gt;0))</f>
        <v/>
      </c>
      <c r="AC1945" s="36">
        <f>IF($B1945="","",(IFERROR(INDEX(Setup!$G$33:$G$40,MATCH(C1945,Setup!$B$33:$B$40,0)),0)=1)*(COUNTIF(C1908:E1925,$B1945)+COUNTIF(C1908:E1925,$B1945&amp;" ~*")&gt;0)+(IFERROR(INDEX(Setup!$G$33:$G$40,MATCH(G1945,Setup!$B$33:$B$40,0)),0)=1)*(COUNTIF(G1908:I1925,$B1945)+COUNTIF(G1908:I1925,$B1945&amp;" ~*")&gt;0)+(IFERROR(INDEX(Setup!$G$33:$G$40,MATCH(K1945,Setup!$B$33:$B$40,0)),0)=1)*(COUNTIF(K1908:M1925,$B1945)+COUNTIF(K1908:M1925,$B1945&amp;" ~*")&gt;0)+(IFERROR(INDEX(Setup!$G$33:$G$40,MATCH(O1945,Setup!$B$33:$B$40,0)),0)=1)*(COUNTIF(O1908:Q1925,$B1945)+COUNTIF(O1908:Q1925,$B1945&amp;" ~*")&gt;0)+(IFERROR(INDEX(Setup!$G$33:$G$40,MATCH(S1945,Setup!$B$33:$B$40,0)),0)=1)*(COUNTIF(S1908:U1925,$B1945)+COUNTIF(S1908:U1925,$B1945&amp;" ~*")&gt;0)+(IFERROR(INDEX(Setup!$G$33:$G$40,MATCH(W1945,Setup!$B$33:$B$40,0)),0)=1)*(COUNTIF(W1908:W1925,$B1945)+COUNTIF(W1908:W1925,$B1945&amp;" ~*")&gt;0)+(IFERROR(INDEX(Setup!$G$33:$G$40,MATCH(Y1945,Setup!$B$33:$B$40,0)),0)=1)*(COUNTIF(Y1908:Y1925,$B1945)+COUNTIF(Y1908:Y1925,$B1945&amp;" ~*")&gt;0))</f>
        <v/>
      </c>
    </row>
    <row r="1946" ht="15" customHeight="1">
      <c r="A1946" t="n">
        <v>39</v>
      </c>
      <c r="B1946" s="37">
        <f>IF(Setup!$B$25="","",Setup!$B$25)</f>
        <v/>
      </c>
      <c r="C1946" s="102" t="n"/>
      <c r="D1946" s="103" t="n"/>
      <c r="E1946" s="103" t="n"/>
      <c r="F1946" s="104" t="n"/>
      <c r="G1946" s="102" t="n"/>
      <c r="H1946" s="103" t="n"/>
      <c r="I1946" s="103" t="n"/>
      <c r="J1946" s="104" t="n"/>
      <c r="K1946" s="102" t="n"/>
      <c r="L1946" s="103" t="n"/>
      <c r="M1946" s="103" t="n"/>
      <c r="N1946" s="104" t="n"/>
      <c r="O1946" s="102" t="n"/>
      <c r="P1946" s="103" t="n"/>
      <c r="Q1946" s="103" t="n"/>
      <c r="R1946" s="104" t="n"/>
      <c r="S1946" s="102" t="n"/>
      <c r="T1946" s="103" t="n"/>
      <c r="U1946" s="103" t="n"/>
      <c r="V1946" s="104" t="n"/>
      <c r="W1946" s="102" t="n"/>
      <c r="X1946" s="104" t="n"/>
      <c r="Y1946" s="102" t="n"/>
      <c r="Z1946" s="104" t="n"/>
      <c r="AB1946" s="105">
        <f>IF($B1946="","",(COUNTIF(C1908:E1925,$B1946)+COUNTIF(C1908:E1925,$B1946&amp;" ~*")&gt;0)+(COUNTIF(G1908:I1925,$B1946)+COUNTIF(G1908:I1925,$B1946&amp;" ~*")&gt;0)+(COUNTIF(K1908:M1925,$B1946)+COUNTIF(K1908:M1925,$B1946&amp;" ~*")&gt;0)+(COUNTIF(O1908:Q1925,$B1946)+COUNTIF(O1908:Q1925,$B1946&amp;" ~*")&gt;0)+(COUNTIF(S1908:U1925,$B1946)+COUNTIF(S1908:U1925,$B1946&amp;" ~*")&gt;0)+(COUNTIF(W1908:W1925,$B1946)+COUNTIF(W1908:W1925,$B1946&amp;" ~*")&gt;0)+(COUNTIF(Y1908:Y1925,$B1946)+COUNTIF(Y1908:Y1925,$B1946&amp;" ~*")&gt;0))</f>
        <v/>
      </c>
      <c r="AC1946" s="38">
        <f>IF($B1946="","",(IFERROR(INDEX(Setup!$G$33:$G$40,MATCH(C1946,Setup!$B$33:$B$40,0)),0)=1)*(COUNTIF(C1908:E1925,$B1946)+COUNTIF(C1908:E1925,$B1946&amp;" ~*")&gt;0)+(IFERROR(INDEX(Setup!$G$33:$G$40,MATCH(G1946,Setup!$B$33:$B$40,0)),0)=1)*(COUNTIF(G1908:I1925,$B1946)+COUNTIF(G1908:I1925,$B1946&amp;" ~*")&gt;0)+(IFERROR(INDEX(Setup!$G$33:$G$40,MATCH(K1946,Setup!$B$33:$B$40,0)),0)=1)*(COUNTIF(K1908:M1925,$B1946)+COUNTIF(K1908:M1925,$B1946&amp;" ~*")&gt;0)+(IFERROR(INDEX(Setup!$G$33:$G$40,MATCH(O1946,Setup!$B$33:$B$40,0)),0)=1)*(COUNTIF(O1908:Q1925,$B1946)+COUNTIF(O1908:Q1925,$B1946&amp;" ~*")&gt;0)+(IFERROR(INDEX(Setup!$G$33:$G$40,MATCH(S1946,Setup!$B$33:$B$40,0)),0)=1)*(COUNTIF(S1908:U1925,$B1946)+COUNTIF(S1908:U1925,$B1946&amp;" ~*")&gt;0)+(IFERROR(INDEX(Setup!$G$33:$G$40,MATCH(W1946,Setup!$B$33:$B$40,0)),0)=1)*(COUNTIF(W1908:W1925,$B1946)+COUNTIF(W1908:W1925,$B1946&amp;" ~*")&gt;0)+(IFERROR(INDEX(Setup!$G$33:$G$40,MATCH(Y1946,Setup!$B$33:$B$40,0)),0)=1)*(COUNTIF(Y1908:Y1925,$B1946)+COUNTIF(Y1908:Y1925,$B1946&amp;" ~*")&gt;0))</f>
        <v/>
      </c>
    </row>
    <row r="1947" ht="15" customHeight="1">
      <c r="A1947" t="n">
        <v>39</v>
      </c>
      <c r="B1947" s="35">
        <f>IF(Setup!$B$26="","",Setup!$B$26)</f>
        <v/>
      </c>
      <c r="C1947" s="98" t="n"/>
      <c r="D1947" s="99" t="n"/>
      <c r="E1947" s="99" t="n"/>
      <c r="F1947" s="100" t="n"/>
      <c r="G1947" s="98" t="n"/>
      <c r="H1947" s="99" t="n"/>
      <c r="I1947" s="99" t="n"/>
      <c r="J1947" s="100" t="n"/>
      <c r="K1947" s="98" t="n"/>
      <c r="L1947" s="99" t="n"/>
      <c r="M1947" s="99" t="n"/>
      <c r="N1947" s="100" t="n"/>
      <c r="O1947" s="98" t="n"/>
      <c r="P1947" s="99" t="n"/>
      <c r="Q1947" s="99" t="n"/>
      <c r="R1947" s="100" t="n"/>
      <c r="S1947" s="98" t="n"/>
      <c r="T1947" s="99" t="n"/>
      <c r="U1947" s="99" t="n"/>
      <c r="V1947" s="100" t="n"/>
      <c r="W1947" s="98" t="n"/>
      <c r="X1947" s="100" t="n"/>
      <c r="Y1947" s="98" t="n"/>
      <c r="Z1947" s="100" t="n"/>
      <c r="AB1947" s="101">
        <f>IF($B1947="","",(COUNTIF(C1908:E1925,$B1947)+COUNTIF(C1908:E1925,$B1947&amp;" ~*")&gt;0)+(COUNTIF(G1908:I1925,$B1947)+COUNTIF(G1908:I1925,$B1947&amp;" ~*")&gt;0)+(COUNTIF(K1908:M1925,$B1947)+COUNTIF(K1908:M1925,$B1947&amp;" ~*")&gt;0)+(COUNTIF(O1908:Q1925,$B1947)+COUNTIF(O1908:Q1925,$B1947&amp;" ~*")&gt;0)+(COUNTIF(S1908:U1925,$B1947)+COUNTIF(S1908:U1925,$B1947&amp;" ~*")&gt;0)+(COUNTIF(W1908:W1925,$B1947)+COUNTIF(W1908:W1925,$B1947&amp;" ~*")&gt;0)+(COUNTIF(Y1908:Y1925,$B1947)+COUNTIF(Y1908:Y1925,$B1947&amp;" ~*")&gt;0))</f>
        <v/>
      </c>
      <c r="AC1947" s="36">
        <f>IF($B1947="","",(IFERROR(INDEX(Setup!$G$33:$G$40,MATCH(C1947,Setup!$B$33:$B$40,0)),0)=1)*(COUNTIF(C1908:E1925,$B1947)+COUNTIF(C1908:E1925,$B1947&amp;" ~*")&gt;0)+(IFERROR(INDEX(Setup!$G$33:$G$40,MATCH(G1947,Setup!$B$33:$B$40,0)),0)=1)*(COUNTIF(G1908:I1925,$B1947)+COUNTIF(G1908:I1925,$B1947&amp;" ~*")&gt;0)+(IFERROR(INDEX(Setup!$G$33:$G$40,MATCH(K1947,Setup!$B$33:$B$40,0)),0)=1)*(COUNTIF(K1908:M1925,$B1947)+COUNTIF(K1908:M1925,$B1947&amp;" ~*")&gt;0)+(IFERROR(INDEX(Setup!$G$33:$G$40,MATCH(O1947,Setup!$B$33:$B$40,0)),0)=1)*(COUNTIF(O1908:Q1925,$B1947)+COUNTIF(O1908:Q1925,$B1947&amp;" ~*")&gt;0)+(IFERROR(INDEX(Setup!$G$33:$G$40,MATCH(S1947,Setup!$B$33:$B$40,0)),0)=1)*(COUNTIF(S1908:U1925,$B1947)+COUNTIF(S1908:U1925,$B1947&amp;" ~*")&gt;0)+(IFERROR(INDEX(Setup!$G$33:$G$40,MATCH(W1947,Setup!$B$33:$B$40,0)),0)=1)*(COUNTIF(W1908:W1925,$B1947)+COUNTIF(W1908:W1925,$B1947&amp;" ~*")&gt;0)+(IFERROR(INDEX(Setup!$G$33:$G$40,MATCH(Y1947,Setup!$B$33:$B$40,0)),0)=1)*(COUNTIF(Y1908:Y1925,$B1947)+COUNTIF(Y1908:Y1925,$B1947&amp;" ~*")&gt;0))</f>
        <v/>
      </c>
    </row>
    <row r="1948" ht="15" customHeight="1">
      <c r="A1948" t="n">
        <v>39</v>
      </c>
      <c r="B1948" s="37">
        <f>IF(Setup!$B$27="","",Setup!$B$27)</f>
        <v/>
      </c>
      <c r="C1948" s="102" t="n"/>
      <c r="D1948" s="103" t="n"/>
      <c r="E1948" s="103" t="n"/>
      <c r="F1948" s="104" t="n"/>
      <c r="G1948" s="102" t="n"/>
      <c r="H1948" s="103" t="n"/>
      <c r="I1948" s="103" t="n"/>
      <c r="J1948" s="104" t="n"/>
      <c r="K1948" s="102" t="n"/>
      <c r="L1948" s="103" t="n"/>
      <c r="M1948" s="103" t="n"/>
      <c r="N1948" s="104" t="n"/>
      <c r="O1948" s="102" t="n"/>
      <c r="P1948" s="103" t="n"/>
      <c r="Q1948" s="103" t="n"/>
      <c r="R1948" s="104" t="n"/>
      <c r="S1948" s="102" t="n"/>
      <c r="T1948" s="103" t="n"/>
      <c r="U1948" s="103" t="n"/>
      <c r="V1948" s="104" t="n"/>
      <c r="W1948" s="102" t="n"/>
      <c r="X1948" s="104" t="n"/>
      <c r="Y1948" s="102" t="n"/>
      <c r="Z1948" s="104" t="n"/>
      <c r="AB1948" s="105">
        <f>IF($B1948="","",(COUNTIF(C1908:E1925,$B1948)+COUNTIF(C1908:E1925,$B1948&amp;" ~*")&gt;0)+(COUNTIF(G1908:I1925,$B1948)+COUNTIF(G1908:I1925,$B1948&amp;" ~*")&gt;0)+(COUNTIF(K1908:M1925,$B1948)+COUNTIF(K1908:M1925,$B1948&amp;" ~*")&gt;0)+(COUNTIF(O1908:Q1925,$B1948)+COUNTIF(O1908:Q1925,$B1948&amp;" ~*")&gt;0)+(COUNTIF(S1908:U1925,$B1948)+COUNTIF(S1908:U1925,$B1948&amp;" ~*")&gt;0)+(COUNTIF(W1908:W1925,$B1948)+COUNTIF(W1908:W1925,$B1948&amp;" ~*")&gt;0)+(COUNTIF(Y1908:Y1925,$B1948)+COUNTIF(Y1908:Y1925,$B1948&amp;" ~*")&gt;0))</f>
        <v/>
      </c>
      <c r="AC1948" s="38">
        <f>IF($B1948="","",(IFERROR(INDEX(Setup!$G$33:$G$40,MATCH(C1948,Setup!$B$33:$B$40,0)),0)=1)*(COUNTIF(C1908:E1925,$B1948)+COUNTIF(C1908:E1925,$B1948&amp;" ~*")&gt;0)+(IFERROR(INDEX(Setup!$G$33:$G$40,MATCH(G1948,Setup!$B$33:$B$40,0)),0)=1)*(COUNTIF(G1908:I1925,$B1948)+COUNTIF(G1908:I1925,$B1948&amp;" ~*")&gt;0)+(IFERROR(INDEX(Setup!$G$33:$G$40,MATCH(K1948,Setup!$B$33:$B$40,0)),0)=1)*(COUNTIF(K1908:M1925,$B1948)+COUNTIF(K1908:M1925,$B1948&amp;" ~*")&gt;0)+(IFERROR(INDEX(Setup!$G$33:$G$40,MATCH(O1948,Setup!$B$33:$B$40,0)),0)=1)*(COUNTIF(O1908:Q1925,$B1948)+COUNTIF(O1908:Q1925,$B1948&amp;" ~*")&gt;0)+(IFERROR(INDEX(Setup!$G$33:$G$40,MATCH(S1948,Setup!$B$33:$B$40,0)),0)=1)*(COUNTIF(S1908:U1925,$B1948)+COUNTIF(S1908:U1925,$B1948&amp;" ~*")&gt;0)+(IFERROR(INDEX(Setup!$G$33:$G$40,MATCH(W1948,Setup!$B$33:$B$40,0)),0)=1)*(COUNTIF(W1908:W1925,$B1948)+COUNTIF(W1908:W1925,$B1948&amp;" ~*")&gt;0)+(IFERROR(INDEX(Setup!$G$33:$G$40,MATCH(Y1948,Setup!$B$33:$B$40,0)),0)=1)*(COUNTIF(Y1908:Y1925,$B1948)+COUNTIF(Y1908:Y1925,$B1948&amp;" ~*")&gt;0))</f>
        <v/>
      </c>
    </row>
    <row r="1949" ht="15" customHeight="1">
      <c r="A1949" t="n">
        <v>39</v>
      </c>
      <c r="B1949" s="35">
        <f>IF(Setup!$B$28="","",Setup!$B$28)</f>
        <v/>
      </c>
      <c r="C1949" s="98" t="n"/>
      <c r="D1949" s="99" t="n"/>
      <c r="E1949" s="99" t="n"/>
      <c r="F1949" s="100" t="n"/>
      <c r="G1949" s="98" t="n"/>
      <c r="H1949" s="99" t="n"/>
      <c r="I1949" s="99" t="n"/>
      <c r="J1949" s="100" t="n"/>
      <c r="K1949" s="98" t="n"/>
      <c r="L1949" s="99" t="n"/>
      <c r="M1949" s="99" t="n"/>
      <c r="N1949" s="100" t="n"/>
      <c r="O1949" s="98" t="n"/>
      <c r="P1949" s="99" t="n"/>
      <c r="Q1949" s="99" t="n"/>
      <c r="R1949" s="100" t="n"/>
      <c r="S1949" s="98" t="n"/>
      <c r="T1949" s="99" t="n"/>
      <c r="U1949" s="99" t="n"/>
      <c r="V1949" s="100" t="n"/>
      <c r="W1949" s="98" t="n"/>
      <c r="X1949" s="100" t="n"/>
      <c r="Y1949" s="98" t="n"/>
      <c r="Z1949" s="100" t="n"/>
      <c r="AB1949" s="101">
        <f>IF($B1949="","",(COUNTIF(C1908:E1925,$B1949)+COUNTIF(C1908:E1925,$B1949&amp;" ~*")&gt;0)+(COUNTIF(G1908:I1925,$B1949)+COUNTIF(G1908:I1925,$B1949&amp;" ~*")&gt;0)+(COUNTIF(K1908:M1925,$B1949)+COUNTIF(K1908:M1925,$B1949&amp;" ~*")&gt;0)+(COUNTIF(O1908:Q1925,$B1949)+COUNTIF(O1908:Q1925,$B1949&amp;" ~*")&gt;0)+(COUNTIF(S1908:U1925,$B1949)+COUNTIF(S1908:U1925,$B1949&amp;" ~*")&gt;0)+(COUNTIF(W1908:W1925,$B1949)+COUNTIF(W1908:W1925,$B1949&amp;" ~*")&gt;0)+(COUNTIF(Y1908:Y1925,$B1949)+COUNTIF(Y1908:Y1925,$B1949&amp;" ~*")&gt;0))</f>
        <v/>
      </c>
      <c r="AC1949" s="36">
        <f>IF($B1949="","",(IFERROR(INDEX(Setup!$G$33:$G$40,MATCH(C1949,Setup!$B$33:$B$40,0)),0)=1)*(COUNTIF(C1908:E1925,$B1949)+COUNTIF(C1908:E1925,$B1949&amp;" ~*")&gt;0)+(IFERROR(INDEX(Setup!$G$33:$G$40,MATCH(G1949,Setup!$B$33:$B$40,0)),0)=1)*(COUNTIF(G1908:I1925,$B1949)+COUNTIF(G1908:I1925,$B1949&amp;" ~*")&gt;0)+(IFERROR(INDEX(Setup!$G$33:$G$40,MATCH(K1949,Setup!$B$33:$B$40,0)),0)=1)*(COUNTIF(K1908:M1925,$B1949)+COUNTIF(K1908:M1925,$B1949&amp;" ~*")&gt;0)+(IFERROR(INDEX(Setup!$G$33:$G$40,MATCH(O1949,Setup!$B$33:$B$40,0)),0)=1)*(COUNTIF(O1908:Q1925,$B1949)+COUNTIF(O1908:Q1925,$B1949&amp;" ~*")&gt;0)+(IFERROR(INDEX(Setup!$G$33:$G$40,MATCH(S1949,Setup!$B$33:$B$40,0)),0)=1)*(COUNTIF(S1908:U1925,$B1949)+COUNTIF(S1908:U1925,$B1949&amp;" ~*")&gt;0)+(IFERROR(INDEX(Setup!$G$33:$G$40,MATCH(W1949,Setup!$B$33:$B$40,0)),0)=1)*(COUNTIF(W1908:W1925,$B1949)+COUNTIF(W1908:W1925,$B1949&amp;" ~*")&gt;0)+(IFERROR(INDEX(Setup!$G$33:$G$40,MATCH(Y1949,Setup!$B$33:$B$40,0)),0)=1)*(COUNTIF(Y1908:Y1925,$B1949)+COUNTIF(Y1908:Y1925,$B1949&amp;" ~*")&gt;0))</f>
        <v/>
      </c>
    </row>
    <row r="1950" ht="15" customHeight="1">
      <c r="A1950" t="n">
        <v>39</v>
      </c>
      <c r="B1950" s="37">
        <f>IF(Setup!$B$29="","",Setup!$B$29)</f>
        <v/>
      </c>
      <c r="C1950" s="102" t="n"/>
      <c r="D1950" s="103" t="n"/>
      <c r="E1950" s="103" t="n"/>
      <c r="F1950" s="104" t="n"/>
      <c r="G1950" s="102" t="n"/>
      <c r="H1950" s="103" t="n"/>
      <c r="I1950" s="103" t="n"/>
      <c r="J1950" s="104" t="n"/>
      <c r="K1950" s="102" t="n"/>
      <c r="L1950" s="103" t="n"/>
      <c r="M1950" s="103" t="n"/>
      <c r="N1950" s="104" t="n"/>
      <c r="O1950" s="102" t="n"/>
      <c r="P1950" s="103" t="n"/>
      <c r="Q1950" s="103" t="n"/>
      <c r="R1950" s="104" t="n"/>
      <c r="S1950" s="102" t="n"/>
      <c r="T1950" s="103" t="n"/>
      <c r="U1950" s="103" t="n"/>
      <c r="V1950" s="104" t="n"/>
      <c r="W1950" s="102" t="n"/>
      <c r="X1950" s="104" t="n"/>
      <c r="Y1950" s="102" t="n"/>
      <c r="Z1950" s="104" t="n"/>
      <c r="AB1950" s="105">
        <f>IF($B1950="","",(COUNTIF(C1908:E1925,$B1950)+COUNTIF(C1908:E1925,$B1950&amp;" ~*")&gt;0)+(COUNTIF(G1908:I1925,$B1950)+COUNTIF(G1908:I1925,$B1950&amp;" ~*")&gt;0)+(COUNTIF(K1908:M1925,$B1950)+COUNTIF(K1908:M1925,$B1950&amp;" ~*")&gt;0)+(COUNTIF(O1908:Q1925,$B1950)+COUNTIF(O1908:Q1925,$B1950&amp;" ~*")&gt;0)+(COUNTIF(S1908:U1925,$B1950)+COUNTIF(S1908:U1925,$B1950&amp;" ~*")&gt;0)+(COUNTIF(W1908:W1925,$B1950)+COUNTIF(W1908:W1925,$B1950&amp;" ~*")&gt;0)+(COUNTIF(Y1908:Y1925,$B1950)+COUNTIF(Y1908:Y1925,$B1950&amp;" ~*")&gt;0))</f>
        <v/>
      </c>
      <c r="AC1950" s="38">
        <f>IF($B1950="","",(IFERROR(INDEX(Setup!$G$33:$G$40,MATCH(C1950,Setup!$B$33:$B$40,0)),0)=1)*(COUNTIF(C1908:E1925,$B1950)+COUNTIF(C1908:E1925,$B1950&amp;" ~*")&gt;0)+(IFERROR(INDEX(Setup!$G$33:$G$40,MATCH(G1950,Setup!$B$33:$B$40,0)),0)=1)*(COUNTIF(G1908:I1925,$B1950)+COUNTIF(G1908:I1925,$B1950&amp;" ~*")&gt;0)+(IFERROR(INDEX(Setup!$G$33:$G$40,MATCH(K1950,Setup!$B$33:$B$40,0)),0)=1)*(COUNTIF(K1908:M1925,$B1950)+COUNTIF(K1908:M1925,$B1950&amp;" ~*")&gt;0)+(IFERROR(INDEX(Setup!$G$33:$G$40,MATCH(O1950,Setup!$B$33:$B$40,0)),0)=1)*(COUNTIF(O1908:Q1925,$B1950)+COUNTIF(O1908:Q1925,$B1950&amp;" ~*")&gt;0)+(IFERROR(INDEX(Setup!$G$33:$G$40,MATCH(S1950,Setup!$B$33:$B$40,0)),0)=1)*(COUNTIF(S1908:U1925,$B1950)+COUNTIF(S1908:U1925,$B1950&amp;" ~*")&gt;0)+(IFERROR(INDEX(Setup!$G$33:$G$40,MATCH(W1950,Setup!$B$33:$B$40,0)),0)=1)*(COUNTIF(W1908:W1925,$B1950)+COUNTIF(W1908:W1925,$B1950&amp;" ~*")&gt;0)+(IFERROR(INDEX(Setup!$G$33:$G$40,MATCH(Y1950,Setup!$B$33:$B$40,0)),0)=1)*(COUNTIF(Y1908:Y1925,$B1950)+COUNTIF(Y1908:Y1925,$B1950&amp;" ~*")&gt;0))</f>
        <v/>
      </c>
    </row>
    <row r="1951" ht="16" customHeight="1">
      <c r="A1951" t="n">
        <v>39</v>
      </c>
      <c r="B1951" s="106" t="inlineStr">
        <is>
          <t>Available people</t>
        </is>
      </c>
      <c r="C1951" s="107">
        <f>COUNTIFS(Setup!$E$6:$E$29,"Y",Setup!$B$6:$B$29,"?*")-SUMPRODUCT(COUNTIF(C1927:C1950,Setup!$F$33:$F$40))</f>
        <v/>
      </c>
      <c r="D1951" s="107" t="n"/>
      <c r="E1951" s="107" t="n"/>
      <c r="F1951" s="107" t="n"/>
      <c r="G1951" s="107">
        <f>COUNTIFS(Setup!$E$6:$E$29,"Y",Setup!$B$6:$B$29,"?*")-SUMPRODUCT(COUNTIF(G1927:G1950,Setup!$F$33:$F$40))</f>
        <v/>
      </c>
      <c r="H1951" s="107" t="n"/>
      <c r="I1951" s="107" t="n"/>
      <c r="J1951" s="107" t="n"/>
      <c r="K1951" s="107">
        <f>COUNTIFS(Setup!$E$6:$E$29,"Y",Setup!$B$6:$B$29,"?*")-SUMPRODUCT(COUNTIF(K1927:K1950,Setup!$F$33:$F$40))</f>
        <v/>
      </c>
      <c r="L1951" s="107" t="n"/>
      <c r="M1951" s="107" t="n"/>
      <c r="N1951" s="107" t="n"/>
      <c r="O1951" s="107">
        <f>COUNTIFS(Setup!$E$6:$E$29,"Y",Setup!$B$6:$B$29,"?*")-SUMPRODUCT(COUNTIF(O1927:O1950,Setup!$F$33:$F$40))</f>
        <v/>
      </c>
      <c r="P1951" s="107" t="n"/>
      <c r="Q1951" s="107" t="n"/>
      <c r="R1951" s="107" t="n"/>
      <c r="S1951" s="107">
        <f>COUNTIFS(Setup!$E$6:$E$29,"Y",Setup!$B$6:$B$29,"?*")-SUMPRODUCT(COUNTIF(S1927:S1950,Setup!$F$33:$F$40))</f>
        <v/>
      </c>
      <c r="T1951" s="107" t="n"/>
      <c r="U1951" s="107" t="n"/>
      <c r="V1951" s="107" t="n"/>
      <c r="W1951" s="107">
        <f>COUNTIFS(Setup!$E$6:$E$29,"Y",Setup!$B$6:$B$29,"?*")-SUMPRODUCT(COUNTIF(W1927:W1950,Setup!$F$33:$F$40))</f>
        <v/>
      </c>
      <c r="X1951" s="107" t="n"/>
      <c r="Y1951" s="107">
        <f>COUNTIFS(Setup!$E$6:$E$29,"Y",Setup!$B$6:$B$29,"?*")-SUMPRODUCT(COUNTIF(Y1927:Y1950,Setup!$F$33:$F$40))</f>
        <v/>
      </c>
      <c r="Z1951" s="107" t="n"/>
      <c r="AB1951" s="108">
        <f>SUM(AB1927:AB1950)</f>
        <v/>
      </c>
      <c r="AC1951" s="109">
        <f>SUM(AC1927:AC1950)</f>
        <v/>
      </c>
    </row>
    <row r="1952" ht="30" customHeight="1">
      <c r="A1952" t="n">
        <v>39</v>
      </c>
      <c r="B1952" s="110" t="inlineStr">
        <is>
          <t>Week notes</t>
        </is>
      </c>
      <c r="C1952" s="111" t="n"/>
      <c r="D1952" s="112" t="n"/>
      <c r="E1952" s="112" t="n"/>
      <c r="F1952" s="112" t="n"/>
      <c r="G1952" s="112" t="n"/>
      <c r="H1952" s="112" t="n"/>
      <c r="I1952" s="112" t="n"/>
      <c r="J1952" s="112" t="n"/>
      <c r="K1952" s="112" t="n"/>
      <c r="L1952" s="112" t="n"/>
      <c r="M1952" s="112" t="n"/>
      <c r="N1952" s="112" t="n"/>
      <c r="O1952" s="112" t="n"/>
      <c r="P1952" s="112" t="n"/>
      <c r="Q1952" s="112" t="n"/>
      <c r="R1952" s="112" t="n"/>
      <c r="S1952" s="112" t="n"/>
      <c r="T1952" s="112" t="n"/>
      <c r="U1952" s="112" t="n"/>
      <c r="V1952" s="112" t="n"/>
      <c r="W1952" s="112" t="n"/>
      <c r="X1952" s="112" t="n"/>
      <c r="Y1952" s="112" t="n"/>
      <c r="Z1952" s="113" t="n"/>
    </row>
    <row r="1953" ht="8" customHeight="1">
      <c r="A1953" t="n">
        <v>39</v>
      </c>
    </row>
    <row r="1954" ht="8" customHeight="1">
      <c r="A1954" t="n">
        <v>39</v>
      </c>
    </row>
    <row r="1955" ht="24" customHeight="1">
      <c r="A1955" t="n">
        <v>40</v>
      </c>
      <c r="B1955" s="73">
        <f>"WEEK 40     "&amp;TEXT(C1956,"ddd d mmm")&amp;"  –  "&amp;TEXT(C1956+6,"ddd d mmm yyyy")</f>
        <v/>
      </c>
      <c r="S1955" s="74">
        <f>IF(TODAY()&lt;C1956,"FUTURE",IF(TODAY()&gt;C1956+6,"PAST","THIS WEEK"))</f>
        <v/>
      </c>
      <c r="W1955" s="75">
        <f>IF(AND(Engine!$B$8=$AC$3,Engine!$B$9=$A1955),"◀ ACTIVE WEEK","")</f>
        <v/>
      </c>
      <c r="AA1955" s="76" t="n"/>
      <c r="AB1955" s="77" t="inlineStr">
        <is>
          <t>◀ Prev</t>
        </is>
      </c>
      <c r="AC1955" s="77" t="inlineStr">
        <is>
          <t>Next ▶</t>
        </is>
      </c>
    </row>
    <row r="1956" ht="18" customHeight="1">
      <c r="A1956" t="n">
        <v>40</v>
      </c>
      <c r="B1956" s="78" t="inlineStr">
        <is>
          <t>DUTY</t>
        </is>
      </c>
      <c r="C1956" s="79">
        <f>$AC$2+7*($A1956-1)</f>
        <v/>
      </c>
      <c r="D1956" s="80" t="n"/>
      <c r="E1956" s="80" t="n"/>
      <c r="F1956" s="81" t="n"/>
      <c r="G1956" s="79">
        <f>C1956+1</f>
        <v/>
      </c>
      <c r="H1956" s="80" t="n"/>
      <c r="I1956" s="80" t="n"/>
      <c r="J1956" s="81" t="n"/>
      <c r="K1956" s="79">
        <f>C1956+2</f>
        <v/>
      </c>
      <c r="L1956" s="80" t="n"/>
      <c r="M1956" s="80" t="n"/>
      <c r="N1956" s="81" t="n"/>
      <c r="O1956" s="79">
        <f>C1956+3</f>
        <v/>
      </c>
      <c r="P1956" s="80" t="n"/>
      <c r="Q1956" s="80" t="n"/>
      <c r="R1956" s="81" t="n"/>
      <c r="S1956" s="79">
        <f>C1956+4</f>
        <v/>
      </c>
      <c r="T1956" s="80" t="n"/>
      <c r="U1956" s="80" t="n"/>
      <c r="V1956" s="81" t="n"/>
      <c r="W1956" s="82">
        <f>C1956+5</f>
        <v/>
      </c>
      <c r="X1956" s="83" t="n"/>
      <c r="Y1956" s="82">
        <f>C1956+6</f>
        <v/>
      </c>
      <c r="Z1956" s="83" t="n"/>
      <c r="AB1956" s="72" t="inlineStr">
        <is>
          <t>Gaps</t>
        </is>
      </c>
      <c r="AC1956" s="72" t="inlineStr">
        <is>
          <t>Cover</t>
        </is>
      </c>
    </row>
    <row r="1957" ht="14" customHeight="1">
      <c r="A1957" t="n">
        <v>40</v>
      </c>
      <c r="B1957" s="84" t="inlineStr">
        <is>
          <t>(from Setup)</t>
        </is>
      </c>
      <c r="C1957" s="85" t="inlineStr">
        <is>
          <t>1</t>
        </is>
      </c>
      <c r="D1957" s="85" t="inlineStr">
        <is>
          <t>2</t>
        </is>
      </c>
      <c r="E1957" s="85" t="inlineStr">
        <is>
          <t>3</t>
        </is>
      </c>
      <c r="F1957" s="85" t="inlineStr">
        <is>
          <t>Notes</t>
        </is>
      </c>
      <c r="G1957" s="85" t="inlineStr">
        <is>
          <t>1</t>
        </is>
      </c>
      <c r="H1957" s="85" t="inlineStr">
        <is>
          <t>2</t>
        </is>
      </c>
      <c r="I1957" s="85" t="inlineStr">
        <is>
          <t>3</t>
        </is>
      </c>
      <c r="J1957" s="85" t="inlineStr">
        <is>
          <t>Notes</t>
        </is>
      </c>
      <c r="K1957" s="85" t="inlineStr">
        <is>
          <t>1</t>
        </is>
      </c>
      <c r="L1957" s="85" t="inlineStr">
        <is>
          <t>2</t>
        </is>
      </c>
      <c r="M1957" s="85" t="inlineStr">
        <is>
          <t>3</t>
        </is>
      </c>
      <c r="N1957" s="85" t="inlineStr">
        <is>
          <t>Notes</t>
        </is>
      </c>
      <c r="O1957" s="85" t="inlineStr">
        <is>
          <t>1</t>
        </is>
      </c>
      <c r="P1957" s="85" t="inlineStr">
        <is>
          <t>2</t>
        </is>
      </c>
      <c r="Q1957" s="85" t="inlineStr">
        <is>
          <t>3</t>
        </is>
      </c>
      <c r="R1957" s="85" t="inlineStr">
        <is>
          <t>Notes</t>
        </is>
      </c>
      <c r="S1957" s="85" t="inlineStr">
        <is>
          <t>1</t>
        </is>
      </c>
      <c r="T1957" s="85" t="inlineStr">
        <is>
          <t>2</t>
        </is>
      </c>
      <c r="U1957" s="85" t="inlineStr">
        <is>
          <t>3</t>
        </is>
      </c>
      <c r="V1957" s="85" t="inlineStr">
        <is>
          <t>Notes</t>
        </is>
      </c>
      <c r="W1957" s="85" t="inlineStr">
        <is>
          <t>Cover</t>
        </is>
      </c>
      <c r="X1957" s="85" t="inlineStr">
        <is>
          <t>Notes</t>
        </is>
      </c>
      <c r="Y1957" s="85" t="inlineStr">
        <is>
          <t>Cover</t>
        </is>
      </c>
      <c r="Z1957" s="85" t="inlineStr">
        <is>
          <t>Notes</t>
        </is>
      </c>
      <c r="AB1957" s="86" t="inlineStr">
        <is>
          <t>weekdays short</t>
        </is>
      </c>
      <c r="AC1957" s="87" t="inlineStr"/>
    </row>
    <row r="1958" ht="17" customHeight="1">
      <c r="A1958" t="n">
        <v>40</v>
      </c>
      <c r="B1958" s="24">
        <f>IF(Setup!$K$6="","",Setup!$K$6)</f>
        <v/>
      </c>
      <c r="C1958" s="88" t="n"/>
      <c r="D1958" s="88" t="n"/>
      <c r="E1958" s="88" t="n"/>
      <c r="F1958" s="89" t="n"/>
      <c r="G1958" s="88" t="n"/>
      <c r="H1958" s="88" t="n"/>
      <c r="I1958" s="88" t="n"/>
      <c r="J1958" s="89" t="n"/>
      <c r="K1958" s="88" t="n"/>
      <c r="L1958" s="88" t="n"/>
      <c r="M1958" s="88" t="n"/>
      <c r="N1958" s="89" t="n"/>
      <c r="O1958" s="88" t="n"/>
      <c r="P1958" s="88" t="n"/>
      <c r="Q1958" s="88" t="n"/>
      <c r="R1958" s="89" t="n"/>
      <c r="S1958" s="88" t="n"/>
      <c r="T1958" s="88" t="n"/>
      <c r="U1958" s="88" t="n"/>
      <c r="V1958" s="89" t="n"/>
      <c r="W1958" s="88" t="n"/>
      <c r="X1958" s="89" t="n"/>
      <c r="Y1958" s="88" t="n"/>
      <c r="Z1958" s="89" t="n"/>
      <c r="AB1958" s="25">
        <f>IF($B1958="","",(COUNTIF(C1958:E1958,"?*")&lt;N(INDEX(Setup!$L$6:$L$23,1)))+(COUNTIF(G1958:I1958,"?*")&lt;N(INDEX(Setup!$L$6:$L$23,1)))+(COUNTIF(K1958:M1958,"?*")&lt;N(INDEX(Setup!$L$6:$L$23,1)))+(COUNTIF(O1958:Q1958,"?*")&lt;N(INDEX(Setup!$L$6:$L$23,1)))+(COUNTIF(S1958:U1958,"?*")&lt;N(INDEX(Setup!$L$6:$L$23,1)))+((W1958="")*(INDEX(Setup!$M$6:$M$23,1)="Y"))+((Y1958="")*(INDEX(Setup!$M$6:$M$23,1)="Y")))</f>
        <v/>
      </c>
      <c r="AC1958" s="90">
        <f>IF($B1958="","",IF(AB1958=0,"✓ covered","⚠ "&amp;AB1958&amp;IF(AB1958=1," gap"," gaps")))</f>
        <v/>
      </c>
    </row>
    <row r="1959" ht="17" customHeight="1">
      <c r="A1959" t="n">
        <v>40</v>
      </c>
      <c r="B1959" s="29">
        <f>IF(Setup!$K$7="","",Setup!$K$7)</f>
        <v/>
      </c>
      <c r="C1959" s="88" t="n"/>
      <c r="D1959" s="88" t="n"/>
      <c r="E1959" s="88" t="n"/>
      <c r="F1959" s="89" t="n"/>
      <c r="G1959" s="88" t="n"/>
      <c r="H1959" s="88" t="n"/>
      <c r="I1959" s="88" t="n"/>
      <c r="J1959" s="89" t="n"/>
      <c r="K1959" s="88" t="n"/>
      <c r="L1959" s="88" t="n"/>
      <c r="M1959" s="88" t="n"/>
      <c r="N1959" s="89" t="n"/>
      <c r="O1959" s="88" t="n"/>
      <c r="P1959" s="88" t="n"/>
      <c r="Q1959" s="88" t="n"/>
      <c r="R1959" s="89" t="n"/>
      <c r="S1959" s="88" t="n"/>
      <c r="T1959" s="88" t="n"/>
      <c r="U1959" s="88" t="n"/>
      <c r="V1959" s="89" t="n"/>
      <c r="W1959" s="88" t="n"/>
      <c r="X1959" s="89" t="n"/>
      <c r="Y1959" s="88" t="n"/>
      <c r="Z1959" s="89" t="n"/>
      <c r="AB1959" s="30">
        <f>IF($B1959="","",(COUNTIF(C1959:E1959,"?*")&lt;N(INDEX(Setup!$L$6:$L$23,2)))+(COUNTIF(G1959:I1959,"?*")&lt;N(INDEX(Setup!$L$6:$L$23,2)))+(COUNTIF(K1959:M1959,"?*")&lt;N(INDEX(Setup!$L$6:$L$23,2)))+(COUNTIF(O1959:Q1959,"?*")&lt;N(INDEX(Setup!$L$6:$L$23,2)))+(COUNTIF(S1959:U1959,"?*")&lt;N(INDEX(Setup!$L$6:$L$23,2)))+((W1959="")*(INDEX(Setup!$M$6:$M$23,2)="Y"))+((Y1959="")*(INDEX(Setup!$M$6:$M$23,2)="Y")))</f>
        <v/>
      </c>
      <c r="AC1959" s="91">
        <f>IF($B1959="","",IF(AB1959=0,"✓ covered","⚠ "&amp;AB1959&amp;IF(AB1959=1," gap"," gaps")))</f>
        <v/>
      </c>
    </row>
    <row r="1960" ht="17" customHeight="1">
      <c r="A1960" t="n">
        <v>40</v>
      </c>
      <c r="B1960" s="24">
        <f>IF(Setup!$K$8="","",Setup!$K$8)</f>
        <v/>
      </c>
      <c r="C1960" s="88" t="n"/>
      <c r="D1960" s="88" t="n"/>
      <c r="E1960" s="88" t="n"/>
      <c r="F1960" s="89" t="n"/>
      <c r="G1960" s="88" t="n"/>
      <c r="H1960" s="88" t="n"/>
      <c r="I1960" s="88" t="n"/>
      <c r="J1960" s="89" t="n"/>
      <c r="K1960" s="88" t="n"/>
      <c r="L1960" s="88" t="n"/>
      <c r="M1960" s="88" t="n"/>
      <c r="N1960" s="89" t="n"/>
      <c r="O1960" s="88" t="n"/>
      <c r="P1960" s="88" t="n"/>
      <c r="Q1960" s="88" t="n"/>
      <c r="R1960" s="89" t="n"/>
      <c r="S1960" s="88" t="n"/>
      <c r="T1960" s="88" t="n"/>
      <c r="U1960" s="88" t="n"/>
      <c r="V1960" s="89" t="n"/>
      <c r="W1960" s="88" t="n"/>
      <c r="X1960" s="89" t="n"/>
      <c r="Y1960" s="88" t="n"/>
      <c r="Z1960" s="89" t="n"/>
      <c r="AB1960" s="25">
        <f>IF($B1960="","",(COUNTIF(C1960:E1960,"?*")&lt;N(INDEX(Setup!$L$6:$L$23,3)))+(COUNTIF(G1960:I1960,"?*")&lt;N(INDEX(Setup!$L$6:$L$23,3)))+(COUNTIF(K1960:M1960,"?*")&lt;N(INDEX(Setup!$L$6:$L$23,3)))+(COUNTIF(O1960:Q1960,"?*")&lt;N(INDEX(Setup!$L$6:$L$23,3)))+(COUNTIF(S1960:U1960,"?*")&lt;N(INDEX(Setup!$L$6:$L$23,3)))+((W1960="")*(INDEX(Setup!$M$6:$M$23,3)="Y"))+((Y1960="")*(INDEX(Setup!$M$6:$M$23,3)="Y")))</f>
        <v/>
      </c>
      <c r="AC1960" s="90">
        <f>IF($B1960="","",IF(AB1960=0,"✓ covered","⚠ "&amp;AB1960&amp;IF(AB1960=1," gap"," gaps")))</f>
        <v/>
      </c>
    </row>
    <row r="1961" ht="17" customHeight="1">
      <c r="A1961" t="n">
        <v>40</v>
      </c>
      <c r="B1961" s="29">
        <f>IF(Setup!$K$9="","",Setup!$K$9)</f>
        <v/>
      </c>
      <c r="C1961" s="88" t="n"/>
      <c r="D1961" s="88" t="n"/>
      <c r="E1961" s="88" t="n"/>
      <c r="F1961" s="89" t="n"/>
      <c r="G1961" s="88" t="n"/>
      <c r="H1961" s="88" t="n"/>
      <c r="I1961" s="88" t="n"/>
      <c r="J1961" s="89" t="n"/>
      <c r="K1961" s="88" t="n"/>
      <c r="L1961" s="88" t="n"/>
      <c r="M1961" s="88" t="n"/>
      <c r="N1961" s="89" t="n"/>
      <c r="O1961" s="88" t="n"/>
      <c r="P1961" s="88" t="n"/>
      <c r="Q1961" s="88" t="n"/>
      <c r="R1961" s="89" t="n"/>
      <c r="S1961" s="88" t="n"/>
      <c r="T1961" s="88" t="n"/>
      <c r="U1961" s="88" t="n"/>
      <c r="V1961" s="89" t="n"/>
      <c r="W1961" s="88" t="n"/>
      <c r="X1961" s="89" t="n"/>
      <c r="Y1961" s="88" t="n"/>
      <c r="Z1961" s="89" t="n"/>
      <c r="AB1961" s="30">
        <f>IF($B1961="","",(COUNTIF(C1961:E1961,"?*")&lt;N(INDEX(Setup!$L$6:$L$23,4)))+(COUNTIF(G1961:I1961,"?*")&lt;N(INDEX(Setup!$L$6:$L$23,4)))+(COUNTIF(K1961:M1961,"?*")&lt;N(INDEX(Setup!$L$6:$L$23,4)))+(COUNTIF(O1961:Q1961,"?*")&lt;N(INDEX(Setup!$L$6:$L$23,4)))+(COUNTIF(S1961:U1961,"?*")&lt;N(INDEX(Setup!$L$6:$L$23,4)))+((W1961="")*(INDEX(Setup!$M$6:$M$23,4)="Y"))+((Y1961="")*(INDEX(Setup!$M$6:$M$23,4)="Y")))</f>
        <v/>
      </c>
      <c r="AC1961" s="91">
        <f>IF($B1961="","",IF(AB1961=0,"✓ covered","⚠ "&amp;AB1961&amp;IF(AB1961=1," gap"," gaps")))</f>
        <v/>
      </c>
    </row>
    <row r="1962" ht="17" customHeight="1">
      <c r="A1962" t="n">
        <v>40</v>
      </c>
      <c r="B1962" s="24">
        <f>IF(Setup!$K$10="","",Setup!$K$10)</f>
        <v/>
      </c>
      <c r="C1962" s="88" t="n"/>
      <c r="D1962" s="88" t="n"/>
      <c r="E1962" s="88" t="n"/>
      <c r="F1962" s="89" t="n"/>
      <c r="G1962" s="88" t="n"/>
      <c r="H1962" s="88" t="n"/>
      <c r="I1962" s="88" t="n"/>
      <c r="J1962" s="89" t="n"/>
      <c r="K1962" s="88" t="n"/>
      <c r="L1962" s="88" t="n"/>
      <c r="M1962" s="88" t="n"/>
      <c r="N1962" s="89" t="n"/>
      <c r="O1962" s="88" t="n"/>
      <c r="P1962" s="88" t="n"/>
      <c r="Q1962" s="88" t="n"/>
      <c r="R1962" s="89" t="n"/>
      <c r="S1962" s="88" t="n"/>
      <c r="T1962" s="88" t="n"/>
      <c r="U1962" s="88" t="n"/>
      <c r="V1962" s="89" t="n"/>
      <c r="W1962" s="88" t="n"/>
      <c r="X1962" s="89" t="n"/>
      <c r="Y1962" s="88" t="n"/>
      <c r="Z1962" s="89" t="n"/>
      <c r="AB1962" s="25">
        <f>IF($B1962="","",(COUNTIF(C1962:E1962,"?*")&lt;N(INDEX(Setup!$L$6:$L$23,5)))+(COUNTIF(G1962:I1962,"?*")&lt;N(INDEX(Setup!$L$6:$L$23,5)))+(COUNTIF(K1962:M1962,"?*")&lt;N(INDEX(Setup!$L$6:$L$23,5)))+(COUNTIF(O1962:Q1962,"?*")&lt;N(INDEX(Setup!$L$6:$L$23,5)))+(COUNTIF(S1962:U1962,"?*")&lt;N(INDEX(Setup!$L$6:$L$23,5)))+((W1962="")*(INDEX(Setup!$M$6:$M$23,5)="Y"))+((Y1962="")*(INDEX(Setup!$M$6:$M$23,5)="Y")))</f>
        <v/>
      </c>
      <c r="AC1962" s="90">
        <f>IF($B1962="","",IF(AB1962=0,"✓ covered","⚠ "&amp;AB1962&amp;IF(AB1962=1," gap"," gaps")))</f>
        <v/>
      </c>
    </row>
    <row r="1963" ht="17" customHeight="1">
      <c r="A1963" t="n">
        <v>40</v>
      </c>
      <c r="B1963" s="29">
        <f>IF(Setup!$K$11="","",Setup!$K$11)</f>
        <v/>
      </c>
      <c r="C1963" s="88" t="n"/>
      <c r="D1963" s="88" t="n"/>
      <c r="E1963" s="88" t="n"/>
      <c r="F1963" s="89" t="n"/>
      <c r="G1963" s="88" t="n"/>
      <c r="H1963" s="88" t="n"/>
      <c r="I1963" s="88" t="n"/>
      <c r="J1963" s="89" t="n"/>
      <c r="K1963" s="88" t="n"/>
      <c r="L1963" s="88" t="n"/>
      <c r="M1963" s="88" t="n"/>
      <c r="N1963" s="89" t="n"/>
      <c r="O1963" s="88" t="n"/>
      <c r="P1963" s="88" t="n"/>
      <c r="Q1963" s="88" t="n"/>
      <c r="R1963" s="89" t="n"/>
      <c r="S1963" s="88" t="n"/>
      <c r="T1963" s="88" t="n"/>
      <c r="U1963" s="88" t="n"/>
      <c r="V1963" s="89" t="n"/>
      <c r="W1963" s="88" t="n"/>
      <c r="X1963" s="89" t="n"/>
      <c r="Y1963" s="88" t="n"/>
      <c r="Z1963" s="89" t="n"/>
      <c r="AB1963" s="30">
        <f>IF($B1963="","",(COUNTIF(C1963:E1963,"?*")&lt;N(INDEX(Setup!$L$6:$L$23,6)))+(COUNTIF(G1963:I1963,"?*")&lt;N(INDEX(Setup!$L$6:$L$23,6)))+(COUNTIF(K1963:M1963,"?*")&lt;N(INDEX(Setup!$L$6:$L$23,6)))+(COUNTIF(O1963:Q1963,"?*")&lt;N(INDEX(Setup!$L$6:$L$23,6)))+(COUNTIF(S1963:U1963,"?*")&lt;N(INDEX(Setup!$L$6:$L$23,6)))+((W1963="")*(INDEX(Setup!$M$6:$M$23,6)="Y"))+((Y1963="")*(INDEX(Setup!$M$6:$M$23,6)="Y")))</f>
        <v/>
      </c>
      <c r="AC1963" s="91">
        <f>IF($B1963="","",IF(AB1963=0,"✓ covered","⚠ "&amp;AB1963&amp;IF(AB1963=1," gap"," gaps")))</f>
        <v/>
      </c>
    </row>
    <row r="1964" ht="17" customHeight="1">
      <c r="A1964" t="n">
        <v>40</v>
      </c>
      <c r="B1964" s="24">
        <f>IF(Setup!$K$12="","",Setup!$K$12)</f>
        <v/>
      </c>
      <c r="C1964" s="88" t="n"/>
      <c r="D1964" s="88" t="n"/>
      <c r="E1964" s="88" t="n"/>
      <c r="F1964" s="89" t="n"/>
      <c r="G1964" s="88" t="n"/>
      <c r="H1964" s="88" t="n"/>
      <c r="I1964" s="88" t="n"/>
      <c r="J1964" s="89" t="n"/>
      <c r="K1964" s="88" t="n"/>
      <c r="L1964" s="88" t="n"/>
      <c r="M1964" s="88" t="n"/>
      <c r="N1964" s="89" t="n"/>
      <c r="O1964" s="88" t="n"/>
      <c r="P1964" s="88" t="n"/>
      <c r="Q1964" s="88" t="n"/>
      <c r="R1964" s="89" t="n"/>
      <c r="S1964" s="88" t="n"/>
      <c r="T1964" s="88" t="n"/>
      <c r="U1964" s="88" t="n"/>
      <c r="V1964" s="89" t="n"/>
      <c r="W1964" s="88" t="n"/>
      <c r="X1964" s="89" t="n"/>
      <c r="Y1964" s="88" t="n"/>
      <c r="Z1964" s="89" t="n"/>
      <c r="AB1964" s="25">
        <f>IF($B1964="","",(COUNTIF(C1964:E1964,"?*")&lt;N(INDEX(Setup!$L$6:$L$23,7)))+(COUNTIF(G1964:I1964,"?*")&lt;N(INDEX(Setup!$L$6:$L$23,7)))+(COUNTIF(K1964:M1964,"?*")&lt;N(INDEX(Setup!$L$6:$L$23,7)))+(COUNTIF(O1964:Q1964,"?*")&lt;N(INDEX(Setup!$L$6:$L$23,7)))+(COUNTIF(S1964:U1964,"?*")&lt;N(INDEX(Setup!$L$6:$L$23,7)))+((W1964="")*(INDEX(Setup!$M$6:$M$23,7)="Y"))+((Y1964="")*(INDEX(Setup!$M$6:$M$23,7)="Y")))</f>
        <v/>
      </c>
      <c r="AC1964" s="90">
        <f>IF($B1964="","",IF(AB1964=0,"✓ covered","⚠ "&amp;AB1964&amp;IF(AB1964=1," gap"," gaps")))</f>
        <v/>
      </c>
    </row>
    <row r="1965" ht="17" customHeight="1">
      <c r="A1965" t="n">
        <v>40</v>
      </c>
      <c r="B1965" s="29">
        <f>IF(Setup!$K$13="","",Setup!$K$13)</f>
        <v/>
      </c>
      <c r="C1965" s="88" t="n"/>
      <c r="D1965" s="88" t="n"/>
      <c r="E1965" s="88" t="n"/>
      <c r="F1965" s="89" t="n"/>
      <c r="G1965" s="88" t="n"/>
      <c r="H1965" s="88" t="n"/>
      <c r="I1965" s="88" t="n"/>
      <c r="J1965" s="89" t="n"/>
      <c r="K1965" s="88" t="n"/>
      <c r="L1965" s="88" t="n"/>
      <c r="M1965" s="88" t="n"/>
      <c r="N1965" s="89" t="n"/>
      <c r="O1965" s="88" t="n"/>
      <c r="P1965" s="88" t="n"/>
      <c r="Q1965" s="88" t="n"/>
      <c r="R1965" s="89" t="n"/>
      <c r="S1965" s="88" t="n"/>
      <c r="T1965" s="88" t="n"/>
      <c r="U1965" s="88" t="n"/>
      <c r="V1965" s="89" t="n"/>
      <c r="W1965" s="88" t="n"/>
      <c r="X1965" s="89" t="n"/>
      <c r="Y1965" s="88" t="n"/>
      <c r="Z1965" s="89" t="n"/>
      <c r="AB1965" s="30">
        <f>IF($B1965="","",(COUNTIF(C1965:E1965,"?*")&lt;N(INDEX(Setup!$L$6:$L$23,8)))+(COUNTIF(G1965:I1965,"?*")&lt;N(INDEX(Setup!$L$6:$L$23,8)))+(COUNTIF(K1965:M1965,"?*")&lt;N(INDEX(Setup!$L$6:$L$23,8)))+(COUNTIF(O1965:Q1965,"?*")&lt;N(INDEX(Setup!$L$6:$L$23,8)))+(COUNTIF(S1965:U1965,"?*")&lt;N(INDEX(Setup!$L$6:$L$23,8)))+((W1965="")*(INDEX(Setup!$M$6:$M$23,8)="Y"))+((Y1965="")*(INDEX(Setup!$M$6:$M$23,8)="Y")))</f>
        <v/>
      </c>
      <c r="AC1965" s="91">
        <f>IF($B1965="","",IF(AB1965=0,"✓ covered","⚠ "&amp;AB1965&amp;IF(AB1965=1," gap"," gaps")))</f>
        <v/>
      </c>
    </row>
    <row r="1966" ht="17" customHeight="1">
      <c r="A1966" t="n">
        <v>40</v>
      </c>
      <c r="B1966" s="24">
        <f>IF(Setup!$K$14="","",Setup!$K$14)</f>
        <v/>
      </c>
      <c r="C1966" s="88" t="n"/>
      <c r="D1966" s="88" t="n"/>
      <c r="E1966" s="88" t="n"/>
      <c r="F1966" s="89" t="n"/>
      <c r="G1966" s="88" t="n"/>
      <c r="H1966" s="88" t="n"/>
      <c r="I1966" s="88" t="n"/>
      <c r="J1966" s="89" t="n"/>
      <c r="K1966" s="88" t="n"/>
      <c r="L1966" s="88" t="n"/>
      <c r="M1966" s="88" t="n"/>
      <c r="N1966" s="89" t="n"/>
      <c r="O1966" s="88" t="n"/>
      <c r="P1966" s="88" t="n"/>
      <c r="Q1966" s="88" t="n"/>
      <c r="R1966" s="89" t="n"/>
      <c r="S1966" s="88" t="n"/>
      <c r="T1966" s="88" t="n"/>
      <c r="U1966" s="88" t="n"/>
      <c r="V1966" s="89" t="n"/>
      <c r="W1966" s="88" t="n"/>
      <c r="X1966" s="89" t="n"/>
      <c r="Y1966" s="88" t="n"/>
      <c r="Z1966" s="89" t="n"/>
      <c r="AB1966" s="25">
        <f>IF($B1966="","",(COUNTIF(C1966:E1966,"?*")&lt;N(INDEX(Setup!$L$6:$L$23,9)))+(COUNTIF(G1966:I1966,"?*")&lt;N(INDEX(Setup!$L$6:$L$23,9)))+(COUNTIF(K1966:M1966,"?*")&lt;N(INDEX(Setup!$L$6:$L$23,9)))+(COUNTIF(O1966:Q1966,"?*")&lt;N(INDEX(Setup!$L$6:$L$23,9)))+(COUNTIF(S1966:U1966,"?*")&lt;N(INDEX(Setup!$L$6:$L$23,9)))+((W1966="")*(INDEX(Setup!$M$6:$M$23,9)="Y"))+((Y1966="")*(INDEX(Setup!$M$6:$M$23,9)="Y")))</f>
        <v/>
      </c>
      <c r="AC1966" s="90">
        <f>IF($B1966="","",IF(AB1966=0,"✓ covered","⚠ "&amp;AB1966&amp;IF(AB1966=1," gap"," gaps")))</f>
        <v/>
      </c>
    </row>
    <row r="1967" ht="17" customHeight="1">
      <c r="A1967" t="n">
        <v>40</v>
      </c>
      <c r="B1967" s="29">
        <f>IF(Setup!$K$15="","",Setup!$K$15)</f>
        <v/>
      </c>
      <c r="C1967" s="88" t="n"/>
      <c r="D1967" s="88" t="n"/>
      <c r="E1967" s="88" t="n"/>
      <c r="F1967" s="89" t="n"/>
      <c r="G1967" s="88" t="n"/>
      <c r="H1967" s="88" t="n"/>
      <c r="I1967" s="88" t="n"/>
      <c r="J1967" s="89" t="n"/>
      <c r="K1967" s="88" t="n"/>
      <c r="L1967" s="88" t="n"/>
      <c r="M1967" s="88" t="n"/>
      <c r="N1967" s="89" t="n"/>
      <c r="O1967" s="88" t="n"/>
      <c r="P1967" s="88" t="n"/>
      <c r="Q1967" s="88" t="n"/>
      <c r="R1967" s="89" t="n"/>
      <c r="S1967" s="88" t="n"/>
      <c r="T1967" s="88" t="n"/>
      <c r="U1967" s="88" t="n"/>
      <c r="V1967" s="89" t="n"/>
      <c r="W1967" s="88" t="n"/>
      <c r="X1967" s="89" t="n"/>
      <c r="Y1967" s="88" t="n"/>
      <c r="Z1967" s="89" t="n"/>
      <c r="AB1967" s="30">
        <f>IF($B1967="","",(COUNTIF(C1967:E1967,"?*")&lt;N(INDEX(Setup!$L$6:$L$23,10)))+(COUNTIF(G1967:I1967,"?*")&lt;N(INDEX(Setup!$L$6:$L$23,10)))+(COUNTIF(K1967:M1967,"?*")&lt;N(INDEX(Setup!$L$6:$L$23,10)))+(COUNTIF(O1967:Q1967,"?*")&lt;N(INDEX(Setup!$L$6:$L$23,10)))+(COUNTIF(S1967:U1967,"?*")&lt;N(INDEX(Setup!$L$6:$L$23,10)))+((W1967="")*(INDEX(Setup!$M$6:$M$23,10)="Y"))+((Y1967="")*(INDEX(Setup!$M$6:$M$23,10)="Y")))</f>
        <v/>
      </c>
      <c r="AC1967" s="91">
        <f>IF($B1967="","",IF(AB1967=0,"✓ covered","⚠ "&amp;AB1967&amp;IF(AB1967=1," gap"," gaps")))</f>
        <v/>
      </c>
    </row>
    <row r="1968" ht="17" customHeight="1">
      <c r="A1968" t="n">
        <v>40</v>
      </c>
      <c r="B1968" s="24">
        <f>IF(Setup!$K$16="","",Setup!$K$16)</f>
        <v/>
      </c>
      <c r="C1968" s="88" t="n"/>
      <c r="D1968" s="88" t="n"/>
      <c r="E1968" s="88" t="n"/>
      <c r="F1968" s="89" t="n"/>
      <c r="G1968" s="88" t="n"/>
      <c r="H1968" s="88" t="n"/>
      <c r="I1968" s="88" t="n"/>
      <c r="J1968" s="89" t="n"/>
      <c r="K1968" s="88" t="n"/>
      <c r="L1968" s="88" t="n"/>
      <c r="M1968" s="88" t="n"/>
      <c r="N1968" s="89" t="n"/>
      <c r="O1968" s="88" t="n"/>
      <c r="P1968" s="88" t="n"/>
      <c r="Q1968" s="88" t="n"/>
      <c r="R1968" s="89" t="n"/>
      <c r="S1968" s="88" t="n"/>
      <c r="T1968" s="88" t="n"/>
      <c r="U1968" s="88" t="n"/>
      <c r="V1968" s="89" t="n"/>
      <c r="W1968" s="88" t="n"/>
      <c r="X1968" s="89" t="n"/>
      <c r="Y1968" s="88" t="n"/>
      <c r="Z1968" s="89" t="n"/>
      <c r="AB1968" s="25">
        <f>IF($B1968="","",(COUNTIF(C1968:E1968,"?*")&lt;N(INDEX(Setup!$L$6:$L$23,11)))+(COUNTIF(G1968:I1968,"?*")&lt;N(INDEX(Setup!$L$6:$L$23,11)))+(COUNTIF(K1968:M1968,"?*")&lt;N(INDEX(Setup!$L$6:$L$23,11)))+(COUNTIF(O1968:Q1968,"?*")&lt;N(INDEX(Setup!$L$6:$L$23,11)))+(COUNTIF(S1968:U1968,"?*")&lt;N(INDEX(Setup!$L$6:$L$23,11)))+((W1968="")*(INDEX(Setup!$M$6:$M$23,11)="Y"))+((Y1968="")*(INDEX(Setup!$M$6:$M$23,11)="Y")))</f>
        <v/>
      </c>
      <c r="AC1968" s="90">
        <f>IF($B1968="","",IF(AB1968=0,"✓ covered","⚠ "&amp;AB1968&amp;IF(AB1968=1," gap"," gaps")))</f>
        <v/>
      </c>
    </row>
    <row r="1969" ht="17" customHeight="1">
      <c r="A1969" t="n">
        <v>40</v>
      </c>
      <c r="B1969" s="29">
        <f>IF(Setup!$K$17="","",Setup!$K$17)</f>
        <v/>
      </c>
      <c r="C1969" s="88" t="n"/>
      <c r="D1969" s="88" t="n"/>
      <c r="E1969" s="88" t="n"/>
      <c r="F1969" s="89" t="n"/>
      <c r="G1969" s="88" t="n"/>
      <c r="H1969" s="88" t="n"/>
      <c r="I1969" s="88" t="n"/>
      <c r="J1969" s="89" t="n"/>
      <c r="K1969" s="88" t="n"/>
      <c r="L1969" s="88" t="n"/>
      <c r="M1969" s="88" t="n"/>
      <c r="N1969" s="89" t="n"/>
      <c r="O1969" s="88" t="n"/>
      <c r="P1969" s="88" t="n"/>
      <c r="Q1969" s="88" t="n"/>
      <c r="R1969" s="89" t="n"/>
      <c r="S1969" s="88" t="n"/>
      <c r="T1969" s="88" t="n"/>
      <c r="U1969" s="88" t="n"/>
      <c r="V1969" s="89" t="n"/>
      <c r="W1969" s="88" t="n"/>
      <c r="X1969" s="89" t="n"/>
      <c r="Y1969" s="88" t="n"/>
      <c r="Z1969" s="89" t="n"/>
      <c r="AB1969" s="30">
        <f>IF($B1969="","",(COUNTIF(C1969:E1969,"?*")&lt;N(INDEX(Setup!$L$6:$L$23,12)))+(COUNTIF(G1969:I1969,"?*")&lt;N(INDEX(Setup!$L$6:$L$23,12)))+(COUNTIF(K1969:M1969,"?*")&lt;N(INDEX(Setup!$L$6:$L$23,12)))+(COUNTIF(O1969:Q1969,"?*")&lt;N(INDEX(Setup!$L$6:$L$23,12)))+(COUNTIF(S1969:U1969,"?*")&lt;N(INDEX(Setup!$L$6:$L$23,12)))+((W1969="")*(INDEX(Setup!$M$6:$M$23,12)="Y"))+((Y1969="")*(INDEX(Setup!$M$6:$M$23,12)="Y")))</f>
        <v/>
      </c>
      <c r="AC1969" s="91">
        <f>IF($B1969="","",IF(AB1969=0,"✓ covered","⚠ "&amp;AB1969&amp;IF(AB1969=1," gap"," gaps")))</f>
        <v/>
      </c>
    </row>
    <row r="1970" ht="17" customHeight="1">
      <c r="A1970" t="n">
        <v>40</v>
      </c>
      <c r="B1970" s="24">
        <f>IF(Setup!$K$18="","",Setup!$K$18)</f>
        <v/>
      </c>
      <c r="C1970" s="88" t="n"/>
      <c r="D1970" s="88" t="n"/>
      <c r="E1970" s="88" t="n"/>
      <c r="F1970" s="89" t="n"/>
      <c r="G1970" s="88" t="n"/>
      <c r="H1970" s="88" t="n"/>
      <c r="I1970" s="88" t="n"/>
      <c r="J1970" s="89" t="n"/>
      <c r="K1970" s="88" t="n"/>
      <c r="L1970" s="88" t="n"/>
      <c r="M1970" s="88" t="n"/>
      <c r="N1970" s="89" t="n"/>
      <c r="O1970" s="88" t="n"/>
      <c r="P1970" s="88" t="n"/>
      <c r="Q1970" s="88" t="n"/>
      <c r="R1970" s="89" t="n"/>
      <c r="S1970" s="88" t="n"/>
      <c r="T1970" s="88" t="n"/>
      <c r="U1970" s="88" t="n"/>
      <c r="V1970" s="89" t="n"/>
      <c r="W1970" s="88" t="n"/>
      <c r="X1970" s="89" t="n"/>
      <c r="Y1970" s="88" t="n"/>
      <c r="Z1970" s="89" t="n"/>
      <c r="AB1970" s="25">
        <f>IF($B1970="","",(COUNTIF(C1970:E1970,"?*")&lt;N(INDEX(Setup!$L$6:$L$23,13)))+(COUNTIF(G1970:I1970,"?*")&lt;N(INDEX(Setup!$L$6:$L$23,13)))+(COUNTIF(K1970:M1970,"?*")&lt;N(INDEX(Setup!$L$6:$L$23,13)))+(COUNTIF(O1970:Q1970,"?*")&lt;N(INDEX(Setup!$L$6:$L$23,13)))+(COUNTIF(S1970:U1970,"?*")&lt;N(INDEX(Setup!$L$6:$L$23,13)))+((W1970="")*(INDEX(Setup!$M$6:$M$23,13)="Y"))+((Y1970="")*(INDEX(Setup!$M$6:$M$23,13)="Y")))</f>
        <v/>
      </c>
      <c r="AC1970" s="90">
        <f>IF($B1970="","",IF(AB1970=0,"✓ covered","⚠ "&amp;AB1970&amp;IF(AB1970=1," gap"," gaps")))</f>
        <v/>
      </c>
    </row>
    <row r="1971" ht="17" customHeight="1">
      <c r="A1971" t="n">
        <v>40</v>
      </c>
      <c r="B1971" s="29">
        <f>IF(Setup!$K$19="","",Setup!$K$19)</f>
        <v/>
      </c>
      <c r="C1971" s="88" t="n"/>
      <c r="D1971" s="88" t="n"/>
      <c r="E1971" s="88" t="n"/>
      <c r="F1971" s="89" t="n"/>
      <c r="G1971" s="88" t="n"/>
      <c r="H1971" s="88" t="n"/>
      <c r="I1971" s="88" t="n"/>
      <c r="J1971" s="89" t="n"/>
      <c r="K1971" s="88" t="n"/>
      <c r="L1971" s="88" t="n"/>
      <c r="M1971" s="88" t="n"/>
      <c r="N1971" s="89" t="n"/>
      <c r="O1971" s="88" t="n"/>
      <c r="P1971" s="88" t="n"/>
      <c r="Q1971" s="88" t="n"/>
      <c r="R1971" s="89" t="n"/>
      <c r="S1971" s="88" t="n"/>
      <c r="T1971" s="88" t="n"/>
      <c r="U1971" s="88" t="n"/>
      <c r="V1971" s="89" t="n"/>
      <c r="W1971" s="88" t="n"/>
      <c r="X1971" s="89" t="n"/>
      <c r="Y1971" s="88" t="n"/>
      <c r="Z1971" s="89" t="n"/>
      <c r="AB1971" s="30">
        <f>IF($B1971="","",(COUNTIF(C1971:E1971,"?*")&lt;N(INDEX(Setup!$L$6:$L$23,14)))+(COUNTIF(G1971:I1971,"?*")&lt;N(INDEX(Setup!$L$6:$L$23,14)))+(COUNTIF(K1971:M1971,"?*")&lt;N(INDEX(Setup!$L$6:$L$23,14)))+(COUNTIF(O1971:Q1971,"?*")&lt;N(INDEX(Setup!$L$6:$L$23,14)))+(COUNTIF(S1971:U1971,"?*")&lt;N(INDEX(Setup!$L$6:$L$23,14)))+((W1971="")*(INDEX(Setup!$M$6:$M$23,14)="Y"))+((Y1971="")*(INDEX(Setup!$M$6:$M$23,14)="Y")))</f>
        <v/>
      </c>
      <c r="AC1971" s="91">
        <f>IF($B1971="","",IF(AB1971=0,"✓ covered","⚠ "&amp;AB1971&amp;IF(AB1971=1," gap"," gaps")))</f>
        <v/>
      </c>
    </row>
    <row r="1972" ht="17" customHeight="1">
      <c r="A1972" t="n">
        <v>40</v>
      </c>
      <c r="B1972" s="24">
        <f>IF(Setup!$K$20="","",Setup!$K$20)</f>
        <v/>
      </c>
      <c r="C1972" s="88" t="n"/>
      <c r="D1972" s="88" t="n"/>
      <c r="E1972" s="88" t="n"/>
      <c r="F1972" s="89" t="n"/>
      <c r="G1972" s="88" t="n"/>
      <c r="H1972" s="88" t="n"/>
      <c r="I1972" s="88" t="n"/>
      <c r="J1972" s="89" t="n"/>
      <c r="K1972" s="88" t="n"/>
      <c r="L1972" s="88" t="n"/>
      <c r="M1972" s="88" t="n"/>
      <c r="N1972" s="89" t="n"/>
      <c r="O1972" s="88" t="n"/>
      <c r="P1972" s="88" t="n"/>
      <c r="Q1972" s="88" t="n"/>
      <c r="R1972" s="89" t="n"/>
      <c r="S1972" s="88" t="n"/>
      <c r="T1972" s="88" t="n"/>
      <c r="U1972" s="88" t="n"/>
      <c r="V1972" s="89" t="n"/>
      <c r="W1972" s="88" t="n"/>
      <c r="X1972" s="89" t="n"/>
      <c r="Y1972" s="88" t="n"/>
      <c r="Z1972" s="89" t="n"/>
      <c r="AB1972" s="25">
        <f>IF($B1972="","",(COUNTIF(C1972:E1972,"?*")&lt;N(INDEX(Setup!$L$6:$L$23,15)))+(COUNTIF(G1972:I1972,"?*")&lt;N(INDEX(Setup!$L$6:$L$23,15)))+(COUNTIF(K1972:M1972,"?*")&lt;N(INDEX(Setup!$L$6:$L$23,15)))+(COUNTIF(O1972:Q1972,"?*")&lt;N(INDEX(Setup!$L$6:$L$23,15)))+(COUNTIF(S1972:U1972,"?*")&lt;N(INDEX(Setup!$L$6:$L$23,15)))+((W1972="")*(INDEX(Setup!$M$6:$M$23,15)="Y"))+((Y1972="")*(INDEX(Setup!$M$6:$M$23,15)="Y")))</f>
        <v/>
      </c>
      <c r="AC1972" s="90">
        <f>IF($B1972="","",IF(AB1972=0,"✓ covered","⚠ "&amp;AB1972&amp;IF(AB1972=1," gap"," gaps")))</f>
        <v/>
      </c>
    </row>
    <row r="1973" ht="17" customHeight="1">
      <c r="A1973" t="n">
        <v>40</v>
      </c>
      <c r="B1973" s="29">
        <f>IF(Setup!$K$21="","",Setup!$K$21)</f>
        <v/>
      </c>
      <c r="C1973" s="88" t="n"/>
      <c r="D1973" s="88" t="n"/>
      <c r="E1973" s="88" t="n"/>
      <c r="F1973" s="89" t="n"/>
      <c r="G1973" s="88" t="n"/>
      <c r="H1973" s="88" t="n"/>
      <c r="I1973" s="88" t="n"/>
      <c r="J1973" s="89" t="n"/>
      <c r="K1973" s="88" t="n"/>
      <c r="L1973" s="88" t="n"/>
      <c r="M1973" s="88" t="n"/>
      <c r="N1973" s="89" t="n"/>
      <c r="O1973" s="88" t="n"/>
      <c r="P1973" s="88" t="n"/>
      <c r="Q1973" s="88" t="n"/>
      <c r="R1973" s="89" t="n"/>
      <c r="S1973" s="88" t="n"/>
      <c r="T1973" s="88" t="n"/>
      <c r="U1973" s="88" t="n"/>
      <c r="V1973" s="89" t="n"/>
      <c r="W1973" s="88" t="n"/>
      <c r="X1973" s="89" t="n"/>
      <c r="Y1973" s="88" t="n"/>
      <c r="Z1973" s="89" t="n"/>
      <c r="AB1973" s="30">
        <f>IF($B1973="","",(COUNTIF(C1973:E1973,"?*")&lt;N(INDEX(Setup!$L$6:$L$23,16)))+(COUNTIF(G1973:I1973,"?*")&lt;N(INDEX(Setup!$L$6:$L$23,16)))+(COUNTIF(K1973:M1973,"?*")&lt;N(INDEX(Setup!$L$6:$L$23,16)))+(COUNTIF(O1973:Q1973,"?*")&lt;N(INDEX(Setup!$L$6:$L$23,16)))+(COUNTIF(S1973:U1973,"?*")&lt;N(INDEX(Setup!$L$6:$L$23,16)))+((W1973="")*(INDEX(Setup!$M$6:$M$23,16)="Y"))+((Y1973="")*(INDEX(Setup!$M$6:$M$23,16)="Y")))</f>
        <v/>
      </c>
      <c r="AC1973" s="91">
        <f>IF($B1973="","",IF(AB1973=0,"✓ covered","⚠ "&amp;AB1973&amp;IF(AB1973=1," gap"," gaps")))</f>
        <v/>
      </c>
    </row>
    <row r="1974" ht="17" customHeight="1">
      <c r="A1974" t="n">
        <v>40</v>
      </c>
      <c r="B1974" s="24">
        <f>IF(Setup!$K$22="","",Setup!$K$22)</f>
        <v/>
      </c>
      <c r="C1974" s="88" t="n"/>
      <c r="D1974" s="88" t="n"/>
      <c r="E1974" s="88" t="n"/>
      <c r="F1974" s="89" t="n"/>
      <c r="G1974" s="88" t="n"/>
      <c r="H1974" s="88" t="n"/>
      <c r="I1974" s="88" t="n"/>
      <c r="J1974" s="89" t="n"/>
      <c r="K1974" s="88" t="n"/>
      <c r="L1974" s="88" t="n"/>
      <c r="M1974" s="88" t="n"/>
      <c r="N1974" s="89" t="n"/>
      <c r="O1974" s="88" t="n"/>
      <c r="P1974" s="88" t="n"/>
      <c r="Q1974" s="88" t="n"/>
      <c r="R1974" s="89" t="n"/>
      <c r="S1974" s="88" t="n"/>
      <c r="T1974" s="88" t="n"/>
      <c r="U1974" s="88" t="n"/>
      <c r="V1974" s="89" t="n"/>
      <c r="W1974" s="88" t="n"/>
      <c r="X1974" s="89" t="n"/>
      <c r="Y1974" s="88" t="n"/>
      <c r="Z1974" s="89" t="n"/>
      <c r="AB1974" s="25">
        <f>IF($B1974="","",(COUNTIF(C1974:E1974,"?*")&lt;N(INDEX(Setup!$L$6:$L$23,17)))+(COUNTIF(G1974:I1974,"?*")&lt;N(INDEX(Setup!$L$6:$L$23,17)))+(COUNTIF(K1974:M1974,"?*")&lt;N(INDEX(Setup!$L$6:$L$23,17)))+(COUNTIF(O1974:Q1974,"?*")&lt;N(INDEX(Setup!$L$6:$L$23,17)))+(COUNTIF(S1974:U1974,"?*")&lt;N(INDEX(Setup!$L$6:$L$23,17)))+((W1974="")*(INDEX(Setup!$M$6:$M$23,17)="Y"))+((Y1974="")*(INDEX(Setup!$M$6:$M$23,17)="Y")))</f>
        <v/>
      </c>
      <c r="AC1974" s="90">
        <f>IF($B1974="","",IF(AB1974=0,"✓ covered","⚠ "&amp;AB1974&amp;IF(AB1974=1," gap"," gaps")))</f>
        <v/>
      </c>
    </row>
    <row r="1975" ht="17" customHeight="1">
      <c r="A1975" t="n">
        <v>40</v>
      </c>
      <c r="B1975" s="29">
        <f>IF(Setup!$K$23="","",Setup!$K$23)</f>
        <v/>
      </c>
      <c r="C1975" s="88" t="n"/>
      <c r="D1975" s="88" t="n"/>
      <c r="E1975" s="88" t="n"/>
      <c r="F1975" s="89" t="n"/>
      <c r="G1975" s="88" t="n"/>
      <c r="H1975" s="88" t="n"/>
      <c r="I1975" s="88" t="n"/>
      <c r="J1975" s="89" t="n"/>
      <c r="K1975" s="88" t="n"/>
      <c r="L1975" s="88" t="n"/>
      <c r="M1975" s="88" t="n"/>
      <c r="N1975" s="89" t="n"/>
      <c r="O1975" s="88" t="n"/>
      <c r="P1975" s="88" t="n"/>
      <c r="Q1975" s="88" t="n"/>
      <c r="R1975" s="89" t="n"/>
      <c r="S1975" s="88" t="n"/>
      <c r="T1975" s="88" t="n"/>
      <c r="U1975" s="88" t="n"/>
      <c r="V1975" s="89" t="n"/>
      <c r="W1975" s="88" t="n"/>
      <c r="X1975" s="89" t="n"/>
      <c r="Y1975" s="88" t="n"/>
      <c r="Z1975" s="89" t="n"/>
      <c r="AB1975" s="30">
        <f>IF($B1975="","",(COUNTIF(C1975:E1975,"?*")&lt;N(INDEX(Setup!$L$6:$L$23,18)))+(COUNTIF(G1975:I1975,"?*")&lt;N(INDEX(Setup!$L$6:$L$23,18)))+(COUNTIF(K1975:M1975,"?*")&lt;N(INDEX(Setup!$L$6:$L$23,18)))+(COUNTIF(O1975:Q1975,"?*")&lt;N(INDEX(Setup!$L$6:$L$23,18)))+(COUNTIF(S1975:U1975,"?*")&lt;N(INDEX(Setup!$L$6:$L$23,18)))+((W1975="")*(INDEX(Setup!$M$6:$M$23,18)="Y"))+((Y1975="")*(INDEX(Setup!$M$6:$M$23,18)="Y")))</f>
        <v/>
      </c>
      <c r="AC1975" s="91">
        <f>IF($B1975="","",IF(AB1975=0,"✓ covered","⚠ "&amp;AB1975&amp;IF(AB1975=1," gap"," gaps")))</f>
        <v/>
      </c>
    </row>
    <row r="1976" ht="18" customHeight="1">
      <c r="A1976" t="n">
        <v>40</v>
      </c>
      <c r="B1976" s="78" t="inlineStr">
        <is>
          <t>TEAM AVAILABILITY</t>
        </is>
      </c>
      <c r="C1976" s="92" t="inlineStr">
        <is>
          <t>Mon</t>
        </is>
      </c>
      <c r="D1976" s="93" t="n"/>
      <c r="E1976" s="93" t="n"/>
      <c r="F1976" s="94" t="n"/>
      <c r="G1976" s="92" t="inlineStr">
        <is>
          <t>Tue</t>
        </is>
      </c>
      <c r="H1976" s="93" t="n"/>
      <c r="I1976" s="93" t="n"/>
      <c r="J1976" s="94" t="n"/>
      <c r="K1976" s="92" t="inlineStr">
        <is>
          <t>Wed</t>
        </is>
      </c>
      <c r="L1976" s="93" t="n"/>
      <c r="M1976" s="93" t="n"/>
      <c r="N1976" s="94" t="n"/>
      <c r="O1976" s="92" t="inlineStr">
        <is>
          <t>Thu</t>
        </is>
      </c>
      <c r="P1976" s="93" t="n"/>
      <c r="Q1976" s="93" t="n"/>
      <c r="R1976" s="94" t="n"/>
      <c r="S1976" s="92" t="inlineStr">
        <is>
          <t>Fri</t>
        </is>
      </c>
      <c r="T1976" s="93" t="n"/>
      <c r="U1976" s="93" t="n"/>
      <c r="V1976" s="94" t="n"/>
      <c r="W1976" s="95" t="inlineStr">
        <is>
          <t>Sat</t>
        </is>
      </c>
      <c r="X1976" s="96" t="n"/>
      <c r="Y1976" s="95" t="inlineStr">
        <is>
          <t>Sun</t>
        </is>
      </c>
      <c r="Z1976" s="96" t="n"/>
      <c r="AB1976" s="97" t="inlineStr">
        <is>
          <t>Days rostered</t>
        </is>
      </c>
      <c r="AC1976" s="97" t="inlineStr">
        <is>
          <t>Conflicts</t>
        </is>
      </c>
    </row>
    <row r="1977" ht="15" customHeight="1">
      <c r="A1977" t="n">
        <v>40</v>
      </c>
      <c r="B1977" s="35">
        <f>IF(Setup!$B$6="","",Setup!$B$6)</f>
        <v/>
      </c>
      <c r="C1977" s="98" t="n"/>
      <c r="D1977" s="99" t="n"/>
      <c r="E1977" s="99" t="n"/>
      <c r="F1977" s="100" t="n"/>
      <c r="G1977" s="98" t="n"/>
      <c r="H1977" s="99" t="n"/>
      <c r="I1977" s="99" t="n"/>
      <c r="J1977" s="100" t="n"/>
      <c r="K1977" s="98" t="n"/>
      <c r="L1977" s="99" t="n"/>
      <c r="M1977" s="99" t="n"/>
      <c r="N1977" s="100" t="n"/>
      <c r="O1977" s="98" t="n"/>
      <c r="P1977" s="99" t="n"/>
      <c r="Q1977" s="99" t="n"/>
      <c r="R1977" s="100" t="n"/>
      <c r="S1977" s="98" t="n"/>
      <c r="T1977" s="99" t="n"/>
      <c r="U1977" s="99" t="n"/>
      <c r="V1977" s="100" t="n"/>
      <c r="W1977" s="98" t="n"/>
      <c r="X1977" s="100" t="n"/>
      <c r="Y1977" s="98" t="n"/>
      <c r="Z1977" s="100" t="n"/>
      <c r="AB1977" s="101">
        <f>IF($B1977="","",(COUNTIF(C1958:E1975,$B1977)+COUNTIF(C1958:E1975,$B1977&amp;" ~*")&gt;0)+(COUNTIF(G1958:I1975,$B1977)+COUNTIF(G1958:I1975,$B1977&amp;" ~*")&gt;0)+(COUNTIF(K1958:M1975,$B1977)+COUNTIF(K1958:M1975,$B1977&amp;" ~*")&gt;0)+(COUNTIF(O1958:Q1975,$B1977)+COUNTIF(O1958:Q1975,$B1977&amp;" ~*")&gt;0)+(COUNTIF(S1958:U1975,$B1977)+COUNTIF(S1958:U1975,$B1977&amp;" ~*")&gt;0)+(COUNTIF(W1958:W1975,$B1977)+COUNTIF(W1958:W1975,$B1977&amp;" ~*")&gt;0)+(COUNTIF(Y1958:Y1975,$B1977)+COUNTIF(Y1958:Y1975,$B1977&amp;" ~*")&gt;0))</f>
        <v/>
      </c>
      <c r="AC1977" s="36">
        <f>IF($B1977="","",(IFERROR(INDEX(Setup!$G$33:$G$40,MATCH(C1977,Setup!$B$33:$B$40,0)),0)=1)*(COUNTIF(C1958:E1975,$B1977)+COUNTIF(C1958:E1975,$B1977&amp;" ~*")&gt;0)+(IFERROR(INDEX(Setup!$G$33:$G$40,MATCH(G1977,Setup!$B$33:$B$40,0)),0)=1)*(COUNTIF(G1958:I1975,$B1977)+COUNTIF(G1958:I1975,$B1977&amp;" ~*")&gt;0)+(IFERROR(INDEX(Setup!$G$33:$G$40,MATCH(K1977,Setup!$B$33:$B$40,0)),0)=1)*(COUNTIF(K1958:M1975,$B1977)+COUNTIF(K1958:M1975,$B1977&amp;" ~*")&gt;0)+(IFERROR(INDEX(Setup!$G$33:$G$40,MATCH(O1977,Setup!$B$33:$B$40,0)),0)=1)*(COUNTIF(O1958:Q1975,$B1977)+COUNTIF(O1958:Q1975,$B1977&amp;" ~*")&gt;0)+(IFERROR(INDEX(Setup!$G$33:$G$40,MATCH(S1977,Setup!$B$33:$B$40,0)),0)=1)*(COUNTIF(S1958:U1975,$B1977)+COUNTIF(S1958:U1975,$B1977&amp;" ~*")&gt;0)+(IFERROR(INDEX(Setup!$G$33:$G$40,MATCH(W1977,Setup!$B$33:$B$40,0)),0)=1)*(COUNTIF(W1958:W1975,$B1977)+COUNTIF(W1958:W1975,$B1977&amp;" ~*")&gt;0)+(IFERROR(INDEX(Setup!$G$33:$G$40,MATCH(Y1977,Setup!$B$33:$B$40,0)),0)=1)*(COUNTIF(Y1958:Y1975,$B1977)+COUNTIF(Y1958:Y1975,$B1977&amp;" ~*")&gt;0))</f>
        <v/>
      </c>
    </row>
    <row r="1978" ht="15" customHeight="1">
      <c r="A1978" t="n">
        <v>40</v>
      </c>
      <c r="B1978" s="37">
        <f>IF(Setup!$B$7="","",Setup!$B$7)</f>
        <v/>
      </c>
      <c r="C1978" s="102" t="n"/>
      <c r="D1978" s="103" t="n"/>
      <c r="E1978" s="103" t="n"/>
      <c r="F1978" s="104" t="n"/>
      <c r="G1978" s="102" t="n"/>
      <c r="H1978" s="103" t="n"/>
      <c r="I1978" s="103" t="n"/>
      <c r="J1978" s="104" t="n"/>
      <c r="K1978" s="102" t="n"/>
      <c r="L1978" s="103" t="n"/>
      <c r="M1978" s="103" t="n"/>
      <c r="N1978" s="104" t="n"/>
      <c r="O1978" s="102" t="n"/>
      <c r="P1978" s="103" t="n"/>
      <c r="Q1978" s="103" t="n"/>
      <c r="R1978" s="104" t="n"/>
      <c r="S1978" s="102" t="n"/>
      <c r="T1978" s="103" t="n"/>
      <c r="U1978" s="103" t="n"/>
      <c r="V1978" s="104" t="n"/>
      <c r="W1978" s="102" t="n"/>
      <c r="X1978" s="104" t="n"/>
      <c r="Y1978" s="102" t="n"/>
      <c r="Z1978" s="104" t="n"/>
      <c r="AB1978" s="105">
        <f>IF($B1978="","",(COUNTIF(C1958:E1975,$B1978)+COUNTIF(C1958:E1975,$B1978&amp;" ~*")&gt;0)+(COUNTIF(G1958:I1975,$B1978)+COUNTIF(G1958:I1975,$B1978&amp;" ~*")&gt;0)+(COUNTIF(K1958:M1975,$B1978)+COUNTIF(K1958:M1975,$B1978&amp;" ~*")&gt;0)+(COUNTIF(O1958:Q1975,$B1978)+COUNTIF(O1958:Q1975,$B1978&amp;" ~*")&gt;0)+(COUNTIF(S1958:U1975,$B1978)+COUNTIF(S1958:U1975,$B1978&amp;" ~*")&gt;0)+(COUNTIF(W1958:W1975,$B1978)+COUNTIF(W1958:W1975,$B1978&amp;" ~*")&gt;0)+(COUNTIF(Y1958:Y1975,$B1978)+COUNTIF(Y1958:Y1975,$B1978&amp;" ~*")&gt;0))</f>
        <v/>
      </c>
      <c r="AC1978" s="38">
        <f>IF($B1978="","",(IFERROR(INDEX(Setup!$G$33:$G$40,MATCH(C1978,Setup!$B$33:$B$40,0)),0)=1)*(COUNTIF(C1958:E1975,$B1978)+COUNTIF(C1958:E1975,$B1978&amp;" ~*")&gt;0)+(IFERROR(INDEX(Setup!$G$33:$G$40,MATCH(G1978,Setup!$B$33:$B$40,0)),0)=1)*(COUNTIF(G1958:I1975,$B1978)+COUNTIF(G1958:I1975,$B1978&amp;" ~*")&gt;0)+(IFERROR(INDEX(Setup!$G$33:$G$40,MATCH(K1978,Setup!$B$33:$B$40,0)),0)=1)*(COUNTIF(K1958:M1975,$B1978)+COUNTIF(K1958:M1975,$B1978&amp;" ~*")&gt;0)+(IFERROR(INDEX(Setup!$G$33:$G$40,MATCH(O1978,Setup!$B$33:$B$40,0)),0)=1)*(COUNTIF(O1958:Q1975,$B1978)+COUNTIF(O1958:Q1975,$B1978&amp;" ~*")&gt;0)+(IFERROR(INDEX(Setup!$G$33:$G$40,MATCH(S1978,Setup!$B$33:$B$40,0)),0)=1)*(COUNTIF(S1958:U1975,$B1978)+COUNTIF(S1958:U1975,$B1978&amp;" ~*")&gt;0)+(IFERROR(INDEX(Setup!$G$33:$G$40,MATCH(W1978,Setup!$B$33:$B$40,0)),0)=1)*(COUNTIF(W1958:W1975,$B1978)+COUNTIF(W1958:W1975,$B1978&amp;" ~*")&gt;0)+(IFERROR(INDEX(Setup!$G$33:$G$40,MATCH(Y1978,Setup!$B$33:$B$40,0)),0)=1)*(COUNTIF(Y1958:Y1975,$B1978)+COUNTIF(Y1958:Y1975,$B1978&amp;" ~*")&gt;0))</f>
        <v/>
      </c>
    </row>
    <row r="1979" ht="15" customHeight="1">
      <c r="A1979" t="n">
        <v>40</v>
      </c>
      <c r="B1979" s="35">
        <f>IF(Setup!$B$8="","",Setup!$B$8)</f>
        <v/>
      </c>
      <c r="C1979" s="98" t="n"/>
      <c r="D1979" s="99" t="n"/>
      <c r="E1979" s="99" t="n"/>
      <c r="F1979" s="100" t="n"/>
      <c r="G1979" s="98" t="n"/>
      <c r="H1979" s="99" t="n"/>
      <c r="I1979" s="99" t="n"/>
      <c r="J1979" s="100" t="n"/>
      <c r="K1979" s="98" t="n"/>
      <c r="L1979" s="99" t="n"/>
      <c r="M1979" s="99" t="n"/>
      <c r="N1979" s="100" t="n"/>
      <c r="O1979" s="98" t="n"/>
      <c r="P1979" s="99" t="n"/>
      <c r="Q1979" s="99" t="n"/>
      <c r="R1979" s="100" t="n"/>
      <c r="S1979" s="98" t="n"/>
      <c r="T1979" s="99" t="n"/>
      <c r="U1979" s="99" t="n"/>
      <c r="V1979" s="100" t="n"/>
      <c r="W1979" s="98" t="n"/>
      <c r="X1979" s="100" t="n"/>
      <c r="Y1979" s="98" t="n"/>
      <c r="Z1979" s="100" t="n"/>
      <c r="AB1979" s="101">
        <f>IF($B1979="","",(COUNTIF(C1958:E1975,$B1979)+COUNTIF(C1958:E1975,$B1979&amp;" ~*")&gt;0)+(COUNTIF(G1958:I1975,$B1979)+COUNTIF(G1958:I1975,$B1979&amp;" ~*")&gt;0)+(COUNTIF(K1958:M1975,$B1979)+COUNTIF(K1958:M1975,$B1979&amp;" ~*")&gt;0)+(COUNTIF(O1958:Q1975,$B1979)+COUNTIF(O1958:Q1975,$B1979&amp;" ~*")&gt;0)+(COUNTIF(S1958:U1975,$B1979)+COUNTIF(S1958:U1975,$B1979&amp;" ~*")&gt;0)+(COUNTIF(W1958:W1975,$B1979)+COUNTIF(W1958:W1975,$B1979&amp;" ~*")&gt;0)+(COUNTIF(Y1958:Y1975,$B1979)+COUNTIF(Y1958:Y1975,$B1979&amp;" ~*")&gt;0))</f>
        <v/>
      </c>
      <c r="AC1979" s="36">
        <f>IF($B1979="","",(IFERROR(INDEX(Setup!$G$33:$G$40,MATCH(C1979,Setup!$B$33:$B$40,0)),0)=1)*(COUNTIF(C1958:E1975,$B1979)+COUNTIF(C1958:E1975,$B1979&amp;" ~*")&gt;0)+(IFERROR(INDEX(Setup!$G$33:$G$40,MATCH(G1979,Setup!$B$33:$B$40,0)),0)=1)*(COUNTIF(G1958:I1975,$B1979)+COUNTIF(G1958:I1975,$B1979&amp;" ~*")&gt;0)+(IFERROR(INDEX(Setup!$G$33:$G$40,MATCH(K1979,Setup!$B$33:$B$40,0)),0)=1)*(COUNTIF(K1958:M1975,$B1979)+COUNTIF(K1958:M1975,$B1979&amp;" ~*")&gt;0)+(IFERROR(INDEX(Setup!$G$33:$G$40,MATCH(O1979,Setup!$B$33:$B$40,0)),0)=1)*(COUNTIF(O1958:Q1975,$B1979)+COUNTIF(O1958:Q1975,$B1979&amp;" ~*")&gt;0)+(IFERROR(INDEX(Setup!$G$33:$G$40,MATCH(S1979,Setup!$B$33:$B$40,0)),0)=1)*(COUNTIF(S1958:U1975,$B1979)+COUNTIF(S1958:U1975,$B1979&amp;" ~*")&gt;0)+(IFERROR(INDEX(Setup!$G$33:$G$40,MATCH(W1979,Setup!$B$33:$B$40,0)),0)=1)*(COUNTIF(W1958:W1975,$B1979)+COUNTIF(W1958:W1975,$B1979&amp;" ~*")&gt;0)+(IFERROR(INDEX(Setup!$G$33:$G$40,MATCH(Y1979,Setup!$B$33:$B$40,0)),0)=1)*(COUNTIF(Y1958:Y1975,$B1979)+COUNTIF(Y1958:Y1975,$B1979&amp;" ~*")&gt;0))</f>
        <v/>
      </c>
    </row>
    <row r="1980" ht="15" customHeight="1">
      <c r="A1980" t="n">
        <v>40</v>
      </c>
      <c r="B1980" s="37">
        <f>IF(Setup!$B$9="","",Setup!$B$9)</f>
        <v/>
      </c>
      <c r="C1980" s="102" t="n"/>
      <c r="D1980" s="103" t="n"/>
      <c r="E1980" s="103" t="n"/>
      <c r="F1980" s="104" t="n"/>
      <c r="G1980" s="102" t="n"/>
      <c r="H1980" s="103" t="n"/>
      <c r="I1980" s="103" t="n"/>
      <c r="J1980" s="104" t="n"/>
      <c r="K1980" s="102" t="n"/>
      <c r="L1980" s="103" t="n"/>
      <c r="M1980" s="103" t="n"/>
      <c r="N1980" s="104" t="n"/>
      <c r="O1980" s="102" t="n"/>
      <c r="P1980" s="103" t="n"/>
      <c r="Q1980" s="103" t="n"/>
      <c r="R1980" s="104" t="n"/>
      <c r="S1980" s="102" t="n"/>
      <c r="T1980" s="103" t="n"/>
      <c r="U1980" s="103" t="n"/>
      <c r="V1980" s="104" t="n"/>
      <c r="W1980" s="102" t="n"/>
      <c r="X1980" s="104" t="n"/>
      <c r="Y1980" s="102" t="n"/>
      <c r="Z1980" s="104" t="n"/>
      <c r="AB1980" s="105">
        <f>IF($B1980="","",(COUNTIF(C1958:E1975,$B1980)+COUNTIF(C1958:E1975,$B1980&amp;" ~*")&gt;0)+(COUNTIF(G1958:I1975,$B1980)+COUNTIF(G1958:I1975,$B1980&amp;" ~*")&gt;0)+(COUNTIF(K1958:M1975,$B1980)+COUNTIF(K1958:M1975,$B1980&amp;" ~*")&gt;0)+(COUNTIF(O1958:Q1975,$B1980)+COUNTIF(O1958:Q1975,$B1980&amp;" ~*")&gt;0)+(COUNTIF(S1958:U1975,$B1980)+COUNTIF(S1958:U1975,$B1980&amp;" ~*")&gt;0)+(COUNTIF(W1958:W1975,$B1980)+COUNTIF(W1958:W1975,$B1980&amp;" ~*")&gt;0)+(COUNTIF(Y1958:Y1975,$B1980)+COUNTIF(Y1958:Y1975,$B1980&amp;" ~*")&gt;0))</f>
        <v/>
      </c>
      <c r="AC1980" s="38">
        <f>IF($B1980="","",(IFERROR(INDEX(Setup!$G$33:$G$40,MATCH(C1980,Setup!$B$33:$B$40,0)),0)=1)*(COUNTIF(C1958:E1975,$B1980)+COUNTIF(C1958:E1975,$B1980&amp;" ~*")&gt;0)+(IFERROR(INDEX(Setup!$G$33:$G$40,MATCH(G1980,Setup!$B$33:$B$40,0)),0)=1)*(COUNTIF(G1958:I1975,$B1980)+COUNTIF(G1958:I1975,$B1980&amp;" ~*")&gt;0)+(IFERROR(INDEX(Setup!$G$33:$G$40,MATCH(K1980,Setup!$B$33:$B$40,0)),0)=1)*(COUNTIF(K1958:M1975,$B1980)+COUNTIF(K1958:M1975,$B1980&amp;" ~*")&gt;0)+(IFERROR(INDEX(Setup!$G$33:$G$40,MATCH(O1980,Setup!$B$33:$B$40,0)),0)=1)*(COUNTIF(O1958:Q1975,$B1980)+COUNTIF(O1958:Q1975,$B1980&amp;" ~*")&gt;0)+(IFERROR(INDEX(Setup!$G$33:$G$40,MATCH(S1980,Setup!$B$33:$B$40,0)),0)=1)*(COUNTIF(S1958:U1975,$B1980)+COUNTIF(S1958:U1975,$B1980&amp;" ~*")&gt;0)+(IFERROR(INDEX(Setup!$G$33:$G$40,MATCH(W1980,Setup!$B$33:$B$40,0)),0)=1)*(COUNTIF(W1958:W1975,$B1980)+COUNTIF(W1958:W1975,$B1980&amp;" ~*")&gt;0)+(IFERROR(INDEX(Setup!$G$33:$G$40,MATCH(Y1980,Setup!$B$33:$B$40,0)),0)=1)*(COUNTIF(Y1958:Y1975,$B1980)+COUNTIF(Y1958:Y1975,$B1980&amp;" ~*")&gt;0))</f>
        <v/>
      </c>
    </row>
    <row r="1981" ht="15" customHeight="1">
      <c r="A1981" t="n">
        <v>40</v>
      </c>
      <c r="B1981" s="35">
        <f>IF(Setup!$B$10="","",Setup!$B$10)</f>
        <v/>
      </c>
      <c r="C1981" s="98" t="n"/>
      <c r="D1981" s="99" t="n"/>
      <c r="E1981" s="99" t="n"/>
      <c r="F1981" s="100" t="n"/>
      <c r="G1981" s="98" t="n"/>
      <c r="H1981" s="99" t="n"/>
      <c r="I1981" s="99" t="n"/>
      <c r="J1981" s="100" t="n"/>
      <c r="K1981" s="98" t="n"/>
      <c r="L1981" s="99" t="n"/>
      <c r="M1981" s="99" t="n"/>
      <c r="N1981" s="100" t="n"/>
      <c r="O1981" s="98" t="n"/>
      <c r="P1981" s="99" t="n"/>
      <c r="Q1981" s="99" t="n"/>
      <c r="R1981" s="100" t="n"/>
      <c r="S1981" s="98" t="n"/>
      <c r="T1981" s="99" t="n"/>
      <c r="U1981" s="99" t="n"/>
      <c r="V1981" s="100" t="n"/>
      <c r="W1981" s="98" t="n"/>
      <c r="X1981" s="100" t="n"/>
      <c r="Y1981" s="98" t="n"/>
      <c r="Z1981" s="100" t="n"/>
      <c r="AB1981" s="101">
        <f>IF($B1981="","",(COUNTIF(C1958:E1975,$B1981)+COUNTIF(C1958:E1975,$B1981&amp;" ~*")&gt;0)+(COUNTIF(G1958:I1975,$B1981)+COUNTIF(G1958:I1975,$B1981&amp;" ~*")&gt;0)+(COUNTIF(K1958:M1975,$B1981)+COUNTIF(K1958:M1975,$B1981&amp;" ~*")&gt;0)+(COUNTIF(O1958:Q1975,$B1981)+COUNTIF(O1958:Q1975,$B1981&amp;" ~*")&gt;0)+(COUNTIF(S1958:U1975,$B1981)+COUNTIF(S1958:U1975,$B1981&amp;" ~*")&gt;0)+(COUNTIF(W1958:W1975,$B1981)+COUNTIF(W1958:W1975,$B1981&amp;" ~*")&gt;0)+(COUNTIF(Y1958:Y1975,$B1981)+COUNTIF(Y1958:Y1975,$B1981&amp;" ~*")&gt;0))</f>
        <v/>
      </c>
      <c r="AC1981" s="36">
        <f>IF($B1981="","",(IFERROR(INDEX(Setup!$G$33:$G$40,MATCH(C1981,Setup!$B$33:$B$40,0)),0)=1)*(COUNTIF(C1958:E1975,$B1981)+COUNTIF(C1958:E1975,$B1981&amp;" ~*")&gt;0)+(IFERROR(INDEX(Setup!$G$33:$G$40,MATCH(G1981,Setup!$B$33:$B$40,0)),0)=1)*(COUNTIF(G1958:I1975,$B1981)+COUNTIF(G1958:I1975,$B1981&amp;" ~*")&gt;0)+(IFERROR(INDEX(Setup!$G$33:$G$40,MATCH(K1981,Setup!$B$33:$B$40,0)),0)=1)*(COUNTIF(K1958:M1975,$B1981)+COUNTIF(K1958:M1975,$B1981&amp;" ~*")&gt;0)+(IFERROR(INDEX(Setup!$G$33:$G$40,MATCH(O1981,Setup!$B$33:$B$40,0)),0)=1)*(COUNTIF(O1958:Q1975,$B1981)+COUNTIF(O1958:Q1975,$B1981&amp;" ~*")&gt;0)+(IFERROR(INDEX(Setup!$G$33:$G$40,MATCH(S1981,Setup!$B$33:$B$40,0)),0)=1)*(COUNTIF(S1958:U1975,$B1981)+COUNTIF(S1958:U1975,$B1981&amp;" ~*")&gt;0)+(IFERROR(INDEX(Setup!$G$33:$G$40,MATCH(W1981,Setup!$B$33:$B$40,0)),0)=1)*(COUNTIF(W1958:W1975,$B1981)+COUNTIF(W1958:W1975,$B1981&amp;" ~*")&gt;0)+(IFERROR(INDEX(Setup!$G$33:$G$40,MATCH(Y1981,Setup!$B$33:$B$40,0)),0)=1)*(COUNTIF(Y1958:Y1975,$B1981)+COUNTIF(Y1958:Y1975,$B1981&amp;" ~*")&gt;0))</f>
        <v/>
      </c>
    </row>
    <row r="1982" ht="15" customHeight="1">
      <c r="A1982" t="n">
        <v>40</v>
      </c>
      <c r="B1982" s="37">
        <f>IF(Setup!$B$11="","",Setup!$B$11)</f>
        <v/>
      </c>
      <c r="C1982" s="102" t="n"/>
      <c r="D1982" s="103" t="n"/>
      <c r="E1982" s="103" t="n"/>
      <c r="F1982" s="104" t="n"/>
      <c r="G1982" s="102" t="n"/>
      <c r="H1982" s="103" t="n"/>
      <c r="I1982" s="103" t="n"/>
      <c r="J1982" s="104" t="n"/>
      <c r="K1982" s="102" t="n"/>
      <c r="L1982" s="103" t="n"/>
      <c r="M1982" s="103" t="n"/>
      <c r="N1982" s="104" t="n"/>
      <c r="O1982" s="102" t="n"/>
      <c r="P1982" s="103" t="n"/>
      <c r="Q1982" s="103" t="n"/>
      <c r="R1982" s="104" t="n"/>
      <c r="S1982" s="102" t="n"/>
      <c r="T1982" s="103" t="n"/>
      <c r="U1982" s="103" t="n"/>
      <c r="V1982" s="104" t="n"/>
      <c r="W1982" s="102" t="n"/>
      <c r="X1982" s="104" t="n"/>
      <c r="Y1982" s="102" t="n"/>
      <c r="Z1982" s="104" t="n"/>
      <c r="AB1982" s="105">
        <f>IF($B1982="","",(COUNTIF(C1958:E1975,$B1982)+COUNTIF(C1958:E1975,$B1982&amp;" ~*")&gt;0)+(COUNTIF(G1958:I1975,$B1982)+COUNTIF(G1958:I1975,$B1982&amp;" ~*")&gt;0)+(COUNTIF(K1958:M1975,$B1982)+COUNTIF(K1958:M1975,$B1982&amp;" ~*")&gt;0)+(COUNTIF(O1958:Q1975,$B1982)+COUNTIF(O1958:Q1975,$B1982&amp;" ~*")&gt;0)+(COUNTIF(S1958:U1975,$B1982)+COUNTIF(S1958:U1975,$B1982&amp;" ~*")&gt;0)+(COUNTIF(W1958:W1975,$B1982)+COUNTIF(W1958:W1975,$B1982&amp;" ~*")&gt;0)+(COUNTIF(Y1958:Y1975,$B1982)+COUNTIF(Y1958:Y1975,$B1982&amp;" ~*")&gt;0))</f>
        <v/>
      </c>
      <c r="AC1982" s="38">
        <f>IF($B1982="","",(IFERROR(INDEX(Setup!$G$33:$G$40,MATCH(C1982,Setup!$B$33:$B$40,0)),0)=1)*(COUNTIF(C1958:E1975,$B1982)+COUNTIF(C1958:E1975,$B1982&amp;" ~*")&gt;0)+(IFERROR(INDEX(Setup!$G$33:$G$40,MATCH(G1982,Setup!$B$33:$B$40,0)),0)=1)*(COUNTIF(G1958:I1975,$B1982)+COUNTIF(G1958:I1975,$B1982&amp;" ~*")&gt;0)+(IFERROR(INDEX(Setup!$G$33:$G$40,MATCH(K1982,Setup!$B$33:$B$40,0)),0)=1)*(COUNTIF(K1958:M1975,$B1982)+COUNTIF(K1958:M1975,$B1982&amp;" ~*")&gt;0)+(IFERROR(INDEX(Setup!$G$33:$G$40,MATCH(O1982,Setup!$B$33:$B$40,0)),0)=1)*(COUNTIF(O1958:Q1975,$B1982)+COUNTIF(O1958:Q1975,$B1982&amp;" ~*")&gt;0)+(IFERROR(INDEX(Setup!$G$33:$G$40,MATCH(S1982,Setup!$B$33:$B$40,0)),0)=1)*(COUNTIF(S1958:U1975,$B1982)+COUNTIF(S1958:U1975,$B1982&amp;" ~*")&gt;0)+(IFERROR(INDEX(Setup!$G$33:$G$40,MATCH(W1982,Setup!$B$33:$B$40,0)),0)=1)*(COUNTIF(W1958:W1975,$B1982)+COUNTIF(W1958:W1975,$B1982&amp;" ~*")&gt;0)+(IFERROR(INDEX(Setup!$G$33:$G$40,MATCH(Y1982,Setup!$B$33:$B$40,0)),0)=1)*(COUNTIF(Y1958:Y1975,$B1982)+COUNTIF(Y1958:Y1975,$B1982&amp;" ~*")&gt;0))</f>
        <v/>
      </c>
    </row>
    <row r="1983" ht="15" customHeight="1">
      <c r="A1983" t="n">
        <v>40</v>
      </c>
      <c r="B1983" s="35">
        <f>IF(Setup!$B$12="","",Setup!$B$12)</f>
        <v/>
      </c>
      <c r="C1983" s="98" t="n"/>
      <c r="D1983" s="99" t="n"/>
      <c r="E1983" s="99" t="n"/>
      <c r="F1983" s="100" t="n"/>
      <c r="G1983" s="98" t="n"/>
      <c r="H1983" s="99" t="n"/>
      <c r="I1983" s="99" t="n"/>
      <c r="J1983" s="100" t="n"/>
      <c r="K1983" s="98" t="n"/>
      <c r="L1983" s="99" t="n"/>
      <c r="M1983" s="99" t="n"/>
      <c r="N1983" s="100" t="n"/>
      <c r="O1983" s="98" t="n"/>
      <c r="P1983" s="99" t="n"/>
      <c r="Q1983" s="99" t="n"/>
      <c r="R1983" s="100" t="n"/>
      <c r="S1983" s="98" t="n"/>
      <c r="T1983" s="99" t="n"/>
      <c r="U1983" s="99" t="n"/>
      <c r="V1983" s="100" t="n"/>
      <c r="W1983" s="98" t="n"/>
      <c r="X1983" s="100" t="n"/>
      <c r="Y1983" s="98" t="n"/>
      <c r="Z1983" s="100" t="n"/>
      <c r="AB1983" s="101">
        <f>IF($B1983="","",(COUNTIF(C1958:E1975,$B1983)+COUNTIF(C1958:E1975,$B1983&amp;" ~*")&gt;0)+(COUNTIF(G1958:I1975,$B1983)+COUNTIF(G1958:I1975,$B1983&amp;" ~*")&gt;0)+(COUNTIF(K1958:M1975,$B1983)+COUNTIF(K1958:M1975,$B1983&amp;" ~*")&gt;0)+(COUNTIF(O1958:Q1975,$B1983)+COUNTIF(O1958:Q1975,$B1983&amp;" ~*")&gt;0)+(COUNTIF(S1958:U1975,$B1983)+COUNTIF(S1958:U1975,$B1983&amp;" ~*")&gt;0)+(COUNTIF(W1958:W1975,$B1983)+COUNTIF(W1958:W1975,$B1983&amp;" ~*")&gt;0)+(COUNTIF(Y1958:Y1975,$B1983)+COUNTIF(Y1958:Y1975,$B1983&amp;" ~*")&gt;0))</f>
        <v/>
      </c>
      <c r="AC1983" s="36">
        <f>IF($B1983="","",(IFERROR(INDEX(Setup!$G$33:$G$40,MATCH(C1983,Setup!$B$33:$B$40,0)),0)=1)*(COUNTIF(C1958:E1975,$B1983)+COUNTIF(C1958:E1975,$B1983&amp;" ~*")&gt;0)+(IFERROR(INDEX(Setup!$G$33:$G$40,MATCH(G1983,Setup!$B$33:$B$40,0)),0)=1)*(COUNTIF(G1958:I1975,$B1983)+COUNTIF(G1958:I1975,$B1983&amp;" ~*")&gt;0)+(IFERROR(INDEX(Setup!$G$33:$G$40,MATCH(K1983,Setup!$B$33:$B$40,0)),0)=1)*(COUNTIF(K1958:M1975,$B1983)+COUNTIF(K1958:M1975,$B1983&amp;" ~*")&gt;0)+(IFERROR(INDEX(Setup!$G$33:$G$40,MATCH(O1983,Setup!$B$33:$B$40,0)),0)=1)*(COUNTIF(O1958:Q1975,$B1983)+COUNTIF(O1958:Q1975,$B1983&amp;" ~*")&gt;0)+(IFERROR(INDEX(Setup!$G$33:$G$40,MATCH(S1983,Setup!$B$33:$B$40,0)),0)=1)*(COUNTIF(S1958:U1975,$B1983)+COUNTIF(S1958:U1975,$B1983&amp;" ~*")&gt;0)+(IFERROR(INDEX(Setup!$G$33:$G$40,MATCH(W1983,Setup!$B$33:$B$40,0)),0)=1)*(COUNTIF(W1958:W1975,$B1983)+COUNTIF(W1958:W1975,$B1983&amp;" ~*")&gt;0)+(IFERROR(INDEX(Setup!$G$33:$G$40,MATCH(Y1983,Setup!$B$33:$B$40,0)),0)=1)*(COUNTIF(Y1958:Y1975,$B1983)+COUNTIF(Y1958:Y1975,$B1983&amp;" ~*")&gt;0))</f>
        <v/>
      </c>
    </row>
    <row r="1984" ht="15" customHeight="1">
      <c r="A1984" t="n">
        <v>40</v>
      </c>
      <c r="B1984" s="37">
        <f>IF(Setup!$B$13="","",Setup!$B$13)</f>
        <v/>
      </c>
      <c r="C1984" s="102" t="n"/>
      <c r="D1984" s="103" t="n"/>
      <c r="E1984" s="103" t="n"/>
      <c r="F1984" s="104" t="n"/>
      <c r="G1984" s="102" t="n"/>
      <c r="H1984" s="103" t="n"/>
      <c r="I1984" s="103" t="n"/>
      <c r="J1984" s="104" t="n"/>
      <c r="K1984" s="102" t="n"/>
      <c r="L1984" s="103" t="n"/>
      <c r="M1984" s="103" t="n"/>
      <c r="N1984" s="104" t="n"/>
      <c r="O1984" s="102" t="n"/>
      <c r="P1984" s="103" t="n"/>
      <c r="Q1984" s="103" t="n"/>
      <c r="R1984" s="104" t="n"/>
      <c r="S1984" s="102" t="n"/>
      <c r="T1984" s="103" t="n"/>
      <c r="U1984" s="103" t="n"/>
      <c r="V1984" s="104" t="n"/>
      <c r="W1984" s="102" t="n"/>
      <c r="X1984" s="104" t="n"/>
      <c r="Y1984" s="102" t="n"/>
      <c r="Z1984" s="104" t="n"/>
      <c r="AB1984" s="105">
        <f>IF($B1984="","",(COUNTIF(C1958:E1975,$B1984)+COUNTIF(C1958:E1975,$B1984&amp;" ~*")&gt;0)+(COUNTIF(G1958:I1975,$B1984)+COUNTIF(G1958:I1975,$B1984&amp;" ~*")&gt;0)+(COUNTIF(K1958:M1975,$B1984)+COUNTIF(K1958:M1975,$B1984&amp;" ~*")&gt;0)+(COUNTIF(O1958:Q1975,$B1984)+COUNTIF(O1958:Q1975,$B1984&amp;" ~*")&gt;0)+(COUNTIF(S1958:U1975,$B1984)+COUNTIF(S1958:U1975,$B1984&amp;" ~*")&gt;0)+(COUNTIF(W1958:W1975,$B1984)+COUNTIF(W1958:W1975,$B1984&amp;" ~*")&gt;0)+(COUNTIF(Y1958:Y1975,$B1984)+COUNTIF(Y1958:Y1975,$B1984&amp;" ~*")&gt;0))</f>
        <v/>
      </c>
      <c r="AC1984" s="38">
        <f>IF($B1984="","",(IFERROR(INDEX(Setup!$G$33:$G$40,MATCH(C1984,Setup!$B$33:$B$40,0)),0)=1)*(COUNTIF(C1958:E1975,$B1984)+COUNTIF(C1958:E1975,$B1984&amp;" ~*")&gt;0)+(IFERROR(INDEX(Setup!$G$33:$G$40,MATCH(G1984,Setup!$B$33:$B$40,0)),0)=1)*(COUNTIF(G1958:I1975,$B1984)+COUNTIF(G1958:I1975,$B1984&amp;" ~*")&gt;0)+(IFERROR(INDEX(Setup!$G$33:$G$40,MATCH(K1984,Setup!$B$33:$B$40,0)),0)=1)*(COUNTIF(K1958:M1975,$B1984)+COUNTIF(K1958:M1975,$B1984&amp;" ~*")&gt;0)+(IFERROR(INDEX(Setup!$G$33:$G$40,MATCH(O1984,Setup!$B$33:$B$40,0)),0)=1)*(COUNTIF(O1958:Q1975,$B1984)+COUNTIF(O1958:Q1975,$B1984&amp;" ~*")&gt;0)+(IFERROR(INDEX(Setup!$G$33:$G$40,MATCH(S1984,Setup!$B$33:$B$40,0)),0)=1)*(COUNTIF(S1958:U1975,$B1984)+COUNTIF(S1958:U1975,$B1984&amp;" ~*")&gt;0)+(IFERROR(INDEX(Setup!$G$33:$G$40,MATCH(W1984,Setup!$B$33:$B$40,0)),0)=1)*(COUNTIF(W1958:W1975,$B1984)+COUNTIF(W1958:W1975,$B1984&amp;" ~*")&gt;0)+(IFERROR(INDEX(Setup!$G$33:$G$40,MATCH(Y1984,Setup!$B$33:$B$40,0)),0)=1)*(COUNTIF(Y1958:Y1975,$B1984)+COUNTIF(Y1958:Y1975,$B1984&amp;" ~*")&gt;0))</f>
        <v/>
      </c>
    </row>
    <row r="1985" ht="15" customHeight="1">
      <c r="A1985" t="n">
        <v>40</v>
      </c>
      <c r="B1985" s="35">
        <f>IF(Setup!$B$14="","",Setup!$B$14)</f>
        <v/>
      </c>
      <c r="C1985" s="98" t="n"/>
      <c r="D1985" s="99" t="n"/>
      <c r="E1985" s="99" t="n"/>
      <c r="F1985" s="100" t="n"/>
      <c r="G1985" s="98" t="n"/>
      <c r="H1985" s="99" t="n"/>
      <c r="I1985" s="99" t="n"/>
      <c r="J1985" s="100" t="n"/>
      <c r="K1985" s="98" t="n"/>
      <c r="L1985" s="99" t="n"/>
      <c r="M1985" s="99" t="n"/>
      <c r="N1985" s="100" t="n"/>
      <c r="O1985" s="98" t="n"/>
      <c r="P1985" s="99" t="n"/>
      <c r="Q1985" s="99" t="n"/>
      <c r="R1985" s="100" t="n"/>
      <c r="S1985" s="98" t="n"/>
      <c r="T1985" s="99" t="n"/>
      <c r="U1985" s="99" t="n"/>
      <c r="V1985" s="100" t="n"/>
      <c r="W1985" s="98" t="n"/>
      <c r="X1985" s="100" t="n"/>
      <c r="Y1985" s="98" t="n"/>
      <c r="Z1985" s="100" t="n"/>
      <c r="AB1985" s="101">
        <f>IF($B1985="","",(COUNTIF(C1958:E1975,$B1985)+COUNTIF(C1958:E1975,$B1985&amp;" ~*")&gt;0)+(COUNTIF(G1958:I1975,$B1985)+COUNTIF(G1958:I1975,$B1985&amp;" ~*")&gt;0)+(COUNTIF(K1958:M1975,$B1985)+COUNTIF(K1958:M1975,$B1985&amp;" ~*")&gt;0)+(COUNTIF(O1958:Q1975,$B1985)+COUNTIF(O1958:Q1975,$B1985&amp;" ~*")&gt;0)+(COUNTIF(S1958:U1975,$B1985)+COUNTIF(S1958:U1975,$B1985&amp;" ~*")&gt;0)+(COUNTIF(W1958:W1975,$B1985)+COUNTIF(W1958:W1975,$B1985&amp;" ~*")&gt;0)+(COUNTIF(Y1958:Y1975,$B1985)+COUNTIF(Y1958:Y1975,$B1985&amp;" ~*")&gt;0))</f>
        <v/>
      </c>
      <c r="AC1985" s="36">
        <f>IF($B1985="","",(IFERROR(INDEX(Setup!$G$33:$G$40,MATCH(C1985,Setup!$B$33:$B$40,0)),0)=1)*(COUNTIF(C1958:E1975,$B1985)+COUNTIF(C1958:E1975,$B1985&amp;" ~*")&gt;0)+(IFERROR(INDEX(Setup!$G$33:$G$40,MATCH(G1985,Setup!$B$33:$B$40,0)),0)=1)*(COUNTIF(G1958:I1975,$B1985)+COUNTIF(G1958:I1975,$B1985&amp;" ~*")&gt;0)+(IFERROR(INDEX(Setup!$G$33:$G$40,MATCH(K1985,Setup!$B$33:$B$40,0)),0)=1)*(COUNTIF(K1958:M1975,$B1985)+COUNTIF(K1958:M1975,$B1985&amp;" ~*")&gt;0)+(IFERROR(INDEX(Setup!$G$33:$G$40,MATCH(O1985,Setup!$B$33:$B$40,0)),0)=1)*(COUNTIF(O1958:Q1975,$B1985)+COUNTIF(O1958:Q1975,$B1985&amp;" ~*")&gt;0)+(IFERROR(INDEX(Setup!$G$33:$G$40,MATCH(S1985,Setup!$B$33:$B$40,0)),0)=1)*(COUNTIF(S1958:U1975,$B1985)+COUNTIF(S1958:U1975,$B1985&amp;" ~*")&gt;0)+(IFERROR(INDEX(Setup!$G$33:$G$40,MATCH(W1985,Setup!$B$33:$B$40,0)),0)=1)*(COUNTIF(W1958:W1975,$B1985)+COUNTIF(W1958:W1975,$B1985&amp;" ~*")&gt;0)+(IFERROR(INDEX(Setup!$G$33:$G$40,MATCH(Y1985,Setup!$B$33:$B$40,0)),0)=1)*(COUNTIF(Y1958:Y1975,$B1985)+COUNTIF(Y1958:Y1975,$B1985&amp;" ~*")&gt;0))</f>
        <v/>
      </c>
    </row>
    <row r="1986" ht="15" customHeight="1">
      <c r="A1986" t="n">
        <v>40</v>
      </c>
      <c r="B1986" s="37">
        <f>IF(Setup!$B$15="","",Setup!$B$15)</f>
        <v/>
      </c>
      <c r="C1986" s="102" t="n"/>
      <c r="D1986" s="103" t="n"/>
      <c r="E1986" s="103" t="n"/>
      <c r="F1986" s="104" t="n"/>
      <c r="G1986" s="102" t="n"/>
      <c r="H1986" s="103" t="n"/>
      <c r="I1986" s="103" t="n"/>
      <c r="J1986" s="104" t="n"/>
      <c r="K1986" s="102" t="n"/>
      <c r="L1986" s="103" t="n"/>
      <c r="M1986" s="103" t="n"/>
      <c r="N1986" s="104" t="n"/>
      <c r="O1986" s="102" t="n"/>
      <c r="P1986" s="103" t="n"/>
      <c r="Q1986" s="103" t="n"/>
      <c r="R1986" s="104" t="n"/>
      <c r="S1986" s="102" t="n"/>
      <c r="T1986" s="103" t="n"/>
      <c r="U1986" s="103" t="n"/>
      <c r="V1986" s="104" t="n"/>
      <c r="W1986" s="102" t="n"/>
      <c r="X1986" s="104" t="n"/>
      <c r="Y1986" s="102" t="n"/>
      <c r="Z1986" s="104" t="n"/>
      <c r="AB1986" s="105">
        <f>IF($B1986="","",(COUNTIF(C1958:E1975,$B1986)+COUNTIF(C1958:E1975,$B1986&amp;" ~*")&gt;0)+(COUNTIF(G1958:I1975,$B1986)+COUNTIF(G1958:I1975,$B1986&amp;" ~*")&gt;0)+(COUNTIF(K1958:M1975,$B1986)+COUNTIF(K1958:M1975,$B1986&amp;" ~*")&gt;0)+(COUNTIF(O1958:Q1975,$B1986)+COUNTIF(O1958:Q1975,$B1986&amp;" ~*")&gt;0)+(COUNTIF(S1958:U1975,$B1986)+COUNTIF(S1958:U1975,$B1986&amp;" ~*")&gt;0)+(COUNTIF(W1958:W1975,$B1986)+COUNTIF(W1958:W1975,$B1986&amp;" ~*")&gt;0)+(COUNTIF(Y1958:Y1975,$B1986)+COUNTIF(Y1958:Y1975,$B1986&amp;" ~*")&gt;0))</f>
        <v/>
      </c>
      <c r="AC1986" s="38">
        <f>IF($B1986="","",(IFERROR(INDEX(Setup!$G$33:$G$40,MATCH(C1986,Setup!$B$33:$B$40,0)),0)=1)*(COUNTIF(C1958:E1975,$B1986)+COUNTIF(C1958:E1975,$B1986&amp;" ~*")&gt;0)+(IFERROR(INDEX(Setup!$G$33:$G$40,MATCH(G1986,Setup!$B$33:$B$40,0)),0)=1)*(COUNTIF(G1958:I1975,$B1986)+COUNTIF(G1958:I1975,$B1986&amp;" ~*")&gt;0)+(IFERROR(INDEX(Setup!$G$33:$G$40,MATCH(K1986,Setup!$B$33:$B$40,0)),0)=1)*(COUNTIF(K1958:M1975,$B1986)+COUNTIF(K1958:M1975,$B1986&amp;" ~*")&gt;0)+(IFERROR(INDEX(Setup!$G$33:$G$40,MATCH(O1986,Setup!$B$33:$B$40,0)),0)=1)*(COUNTIF(O1958:Q1975,$B1986)+COUNTIF(O1958:Q1975,$B1986&amp;" ~*")&gt;0)+(IFERROR(INDEX(Setup!$G$33:$G$40,MATCH(S1986,Setup!$B$33:$B$40,0)),0)=1)*(COUNTIF(S1958:U1975,$B1986)+COUNTIF(S1958:U1975,$B1986&amp;" ~*")&gt;0)+(IFERROR(INDEX(Setup!$G$33:$G$40,MATCH(W1986,Setup!$B$33:$B$40,0)),0)=1)*(COUNTIF(W1958:W1975,$B1986)+COUNTIF(W1958:W1975,$B1986&amp;" ~*")&gt;0)+(IFERROR(INDEX(Setup!$G$33:$G$40,MATCH(Y1986,Setup!$B$33:$B$40,0)),0)=1)*(COUNTIF(Y1958:Y1975,$B1986)+COUNTIF(Y1958:Y1975,$B1986&amp;" ~*")&gt;0))</f>
        <v/>
      </c>
    </row>
    <row r="1987" ht="15" customHeight="1">
      <c r="A1987" t="n">
        <v>40</v>
      </c>
      <c r="B1987" s="35">
        <f>IF(Setup!$B$16="","",Setup!$B$16)</f>
        <v/>
      </c>
      <c r="C1987" s="98" t="n"/>
      <c r="D1987" s="99" t="n"/>
      <c r="E1987" s="99" t="n"/>
      <c r="F1987" s="100" t="n"/>
      <c r="G1987" s="98" t="n"/>
      <c r="H1987" s="99" t="n"/>
      <c r="I1987" s="99" t="n"/>
      <c r="J1987" s="100" t="n"/>
      <c r="K1987" s="98" t="n"/>
      <c r="L1987" s="99" t="n"/>
      <c r="M1987" s="99" t="n"/>
      <c r="N1987" s="100" t="n"/>
      <c r="O1987" s="98" t="n"/>
      <c r="P1987" s="99" t="n"/>
      <c r="Q1987" s="99" t="n"/>
      <c r="R1987" s="100" t="n"/>
      <c r="S1987" s="98" t="n"/>
      <c r="T1987" s="99" t="n"/>
      <c r="U1987" s="99" t="n"/>
      <c r="V1987" s="100" t="n"/>
      <c r="W1987" s="98" t="n"/>
      <c r="X1987" s="100" t="n"/>
      <c r="Y1987" s="98" t="n"/>
      <c r="Z1987" s="100" t="n"/>
      <c r="AB1987" s="101">
        <f>IF($B1987="","",(COUNTIF(C1958:E1975,$B1987)+COUNTIF(C1958:E1975,$B1987&amp;" ~*")&gt;0)+(COUNTIF(G1958:I1975,$B1987)+COUNTIF(G1958:I1975,$B1987&amp;" ~*")&gt;0)+(COUNTIF(K1958:M1975,$B1987)+COUNTIF(K1958:M1975,$B1987&amp;" ~*")&gt;0)+(COUNTIF(O1958:Q1975,$B1987)+COUNTIF(O1958:Q1975,$B1987&amp;" ~*")&gt;0)+(COUNTIF(S1958:U1975,$B1987)+COUNTIF(S1958:U1975,$B1987&amp;" ~*")&gt;0)+(COUNTIF(W1958:W1975,$B1987)+COUNTIF(W1958:W1975,$B1987&amp;" ~*")&gt;0)+(COUNTIF(Y1958:Y1975,$B1987)+COUNTIF(Y1958:Y1975,$B1987&amp;" ~*")&gt;0))</f>
        <v/>
      </c>
      <c r="AC1987" s="36">
        <f>IF($B1987="","",(IFERROR(INDEX(Setup!$G$33:$G$40,MATCH(C1987,Setup!$B$33:$B$40,0)),0)=1)*(COUNTIF(C1958:E1975,$B1987)+COUNTIF(C1958:E1975,$B1987&amp;" ~*")&gt;0)+(IFERROR(INDEX(Setup!$G$33:$G$40,MATCH(G1987,Setup!$B$33:$B$40,0)),0)=1)*(COUNTIF(G1958:I1975,$B1987)+COUNTIF(G1958:I1975,$B1987&amp;" ~*")&gt;0)+(IFERROR(INDEX(Setup!$G$33:$G$40,MATCH(K1987,Setup!$B$33:$B$40,0)),0)=1)*(COUNTIF(K1958:M1975,$B1987)+COUNTIF(K1958:M1975,$B1987&amp;" ~*")&gt;0)+(IFERROR(INDEX(Setup!$G$33:$G$40,MATCH(O1987,Setup!$B$33:$B$40,0)),0)=1)*(COUNTIF(O1958:Q1975,$B1987)+COUNTIF(O1958:Q1975,$B1987&amp;" ~*")&gt;0)+(IFERROR(INDEX(Setup!$G$33:$G$40,MATCH(S1987,Setup!$B$33:$B$40,0)),0)=1)*(COUNTIF(S1958:U1975,$B1987)+COUNTIF(S1958:U1975,$B1987&amp;" ~*")&gt;0)+(IFERROR(INDEX(Setup!$G$33:$G$40,MATCH(W1987,Setup!$B$33:$B$40,0)),0)=1)*(COUNTIF(W1958:W1975,$B1987)+COUNTIF(W1958:W1975,$B1987&amp;" ~*")&gt;0)+(IFERROR(INDEX(Setup!$G$33:$G$40,MATCH(Y1987,Setup!$B$33:$B$40,0)),0)=1)*(COUNTIF(Y1958:Y1975,$B1987)+COUNTIF(Y1958:Y1975,$B1987&amp;" ~*")&gt;0))</f>
        <v/>
      </c>
    </row>
    <row r="1988" ht="15" customHeight="1">
      <c r="A1988" t="n">
        <v>40</v>
      </c>
      <c r="B1988" s="37">
        <f>IF(Setup!$B$17="","",Setup!$B$17)</f>
        <v/>
      </c>
      <c r="C1988" s="102" t="n"/>
      <c r="D1988" s="103" t="n"/>
      <c r="E1988" s="103" t="n"/>
      <c r="F1988" s="104" t="n"/>
      <c r="G1988" s="102" t="n"/>
      <c r="H1988" s="103" t="n"/>
      <c r="I1988" s="103" t="n"/>
      <c r="J1988" s="104" t="n"/>
      <c r="K1988" s="102" t="n"/>
      <c r="L1988" s="103" t="n"/>
      <c r="M1988" s="103" t="n"/>
      <c r="N1988" s="104" t="n"/>
      <c r="O1988" s="102" t="n"/>
      <c r="P1988" s="103" t="n"/>
      <c r="Q1988" s="103" t="n"/>
      <c r="R1988" s="104" t="n"/>
      <c r="S1988" s="102" t="n"/>
      <c r="T1988" s="103" t="n"/>
      <c r="U1988" s="103" t="n"/>
      <c r="V1988" s="104" t="n"/>
      <c r="W1988" s="102" t="n"/>
      <c r="X1988" s="104" t="n"/>
      <c r="Y1988" s="102" t="n"/>
      <c r="Z1988" s="104" t="n"/>
      <c r="AB1988" s="105">
        <f>IF($B1988="","",(COUNTIF(C1958:E1975,$B1988)+COUNTIF(C1958:E1975,$B1988&amp;" ~*")&gt;0)+(COUNTIF(G1958:I1975,$B1988)+COUNTIF(G1958:I1975,$B1988&amp;" ~*")&gt;0)+(COUNTIF(K1958:M1975,$B1988)+COUNTIF(K1958:M1975,$B1988&amp;" ~*")&gt;0)+(COUNTIF(O1958:Q1975,$B1988)+COUNTIF(O1958:Q1975,$B1988&amp;" ~*")&gt;0)+(COUNTIF(S1958:U1975,$B1988)+COUNTIF(S1958:U1975,$B1988&amp;" ~*")&gt;0)+(COUNTIF(W1958:W1975,$B1988)+COUNTIF(W1958:W1975,$B1988&amp;" ~*")&gt;0)+(COUNTIF(Y1958:Y1975,$B1988)+COUNTIF(Y1958:Y1975,$B1988&amp;" ~*")&gt;0))</f>
        <v/>
      </c>
      <c r="AC1988" s="38">
        <f>IF($B1988="","",(IFERROR(INDEX(Setup!$G$33:$G$40,MATCH(C1988,Setup!$B$33:$B$40,0)),0)=1)*(COUNTIF(C1958:E1975,$B1988)+COUNTIF(C1958:E1975,$B1988&amp;" ~*")&gt;0)+(IFERROR(INDEX(Setup!$G$33:$G$40,MATCH(G1988,Setup!$B$33:$B$40,0)),0)=1)*(COUNTIF(G1958:I1975,$B1988)+COUNTIF(G1958:I1975,$B1988&amp;" ~*")&gt;0)+(IFERROR(INDEX(Setup!$G$33:$G$40,MATCH(K1988,Setup!$B$33:$B$40,0)),0)=1)*(COUNTIF(K1958:M1975,$B1988)+COUNTIF(K1958:M1975,$B1988&amp;" ~*")&gt;0)+(IFERROR(INDEX(Setup!$G$33:$G$40,MATCH(O1988,Setup!$B$33:$B$40,0)),0)=1)*(COUNTIF(O1958:Q1975,$B1988)+COUNTIF(O1958:Q1975,$B1988&amp;" ~*")&gt;0)+(IFERROR(INDEX(Setup!$G$33:$G$40,MATCH(S1988,Setup!$B$33:$B$40,0)),0)=1)*(COUNTIF(S1958:U1975,$B1988)+COUNTIF(S1958:U1975,$B1988&amp;" ~*")&gt;0)+(IFERROR(INDEX(Setup!$G$33:$G$40,MATCH(W1988,Setup!$B$33:$B$40,0)),0)=1)*(COUNTIF(W1958:W1975,$B1988)+COUNTIF(W1958:W1975,$B1988&amp;" ~*")&gt;0)+(IFERROR(INDEX(Setup!$G$33:$G$40,MATCH(Y1988,Setup!$B$33:$B$40,0)),0)=1)*(COUNTIF(Y1958:Y1975,$B1988)+COUNTIF(Y1958:Y1975,$B1988&amp;" ~*")&gt;0))</f>
        <v/>
      </c>
    </row>
    <row r="1989" ht="15" customHeight="1">
      <c r="A1989" t="n">
        <v>40</v>
      </c>
      <c r="B1989" s="35">
        <f>IF(Setup!$B$18="","",Setup!$B$18)</f>
        <v/>
      </c>
      <c r="C1989" s="98" t="n"/>
      <c r="D1989" s="99" t="n"/>
      <c r="E1989" s="99" t="n"/>
      <c r="F1989" s="100" t="n"/>
      <c r="G1989" s="98" t="n"/>
      <c r="H1989" s="99" t="n"/>
      <c r="I1989" s="99" t="n"/>
      <c r="J1989" s="100" t="n"/>
      <c r="K1989" s="98" t="n"/>
      <c r="L1989" s="99" t="n"/>
      <c r="M1989" s="99" t="n"/>
      <c r="N1989" s="100" t="n"/>
      <c r="O1989" s="98" t="n"/>
      <c r="P1989" s="99" t="n"/>
      <c r="Q1989" s="99" t="n"/>
      <c r="R1989" s="100" t="n"/>
      <c r="S1989" s="98" t="n"/>
      <c r="T1989" s="99" t="n"/>
      <c r="U1989" s="99" t="n"/>
      <c r="V1989" s="100" t="n"/>
      <c r="W1989" s="98" t="n"/>
      <c r="X1989" s="100" t="n"/>
      <c r="Y1989" s="98" t="n"/>
      <c r="Z1989" s="100" t="n"/>
      <c r="AB1989" s="101">
        <f>IF($B1989="","",(COUNTIF(C1958:E1975,$B1989)+COUNTIF(C1958:E1975,$B1989&amp;" ~*")&gt;0)+(COUNTIF(G1958:I1975,$B1989)+COUNTIF(G1958:I1975,$B1989&amp;" ~*")&gt;0)+(COUNTIF(K1958:M1975,$B1989)+COUNTIF(K1958:M1975,$B1989&amp;" ~*")&gt;0)+(COUNTIF(O1958:Q1975,$B1989)+COUNTIF(O1958:Q1975,$B1989&amp;" ~*")&gt;0)+(COUNTIF(S1958:U1975,$B1989)+COUNTIF(S1958:U1975,$B1989&amp;" ~*")&gt;0)+(COUNTIF(W1958:W1975,$B1989)+COUNTIF(W1958:W1975,$B1989&amp;" ~*")&gt;0)+(COUNTIF(Y1958:Y1975,$B1989)+COUNTIF(Y1958:Y1975,$B1989&amp;" ~*")&gt;0))</f>
        <v/>
      </c>
      <c r="AC1989" s="36">
        <f>IF($B1989="","",(IFERROR(INDEX(Setup!$G$33:$G$40,MATCH(C1989,Setup!$B$33:$B$40,0)),0)=1)*(COUNTIF(C1958:E1975,$B1989)+COUNTIF(C1958:E1975,$B1989&amp;" ~*")&gt;0)+(IFERROR(INDEX(Setup!$G$33:$G$40,MATCH(G1989,Setup!$B$33:$B$40,0)),0)=1)*(COUNTIF(G1958:I1975,$B1989)+COUNTIF(G1958:I1975,$B1989&amp;" ~*")&gt;0)+(IFERROR(INDEX(Setup!$G$33:$G$40,MATCH(K1989,Setup!$B$33:$B$40,0)),0)=1)*(COUNTIF(K1958:M1975,$B1989)+COUNTIF(K1958:M1975,$B1989&amp;" ~*")&gt;0)+(IFERROR(INDEX(Setup!$G$33:$G$40,MATCH(O1989,Setup!$B$33:$B$40,0)),0)=1)*(COUNTIF(O1958:Q1975,$B1989)+COUNTIF(O1958:Q1975,$B1989&amp;" ~*")&gt;0)+(IFERROR(INDEX(Setup!$G$33:$G$40,MATCH(S1989,Setup!$B$33:$B$40,0)),0)=1)*(COUNTIF(S1958:U1975,$B1989)+COUNTIF(S1958:U1975,$B1989&amp;" ~*")&gt;0)+(IFERROR(INDEX(Setup!$G$33:$G$40,MATCH(W1989,Setup!$B$33:$B$40,0)),0)=1)*(COUNTIF(W1958:W1975,$B1989)+COUNTIF(W1958:W1975,$B1989&amp;" ~*")&gt;0)+(IFERROR(INDEX(Setup!$G$33:$G$40,MATCH(Y1989,Setup!$B$33:$B$40,0)),0)=1)*(COUNTIF(Y1958:Y1975,$B1989)+COUNTIF(Y1958:Y1975,$B1989&amp;" ~*")&gt;0))</f>
        <v/>
      </c>
    </row>
    <row r="1990" ht="15" customHeight="1">
      <c r="A1990" t="n">
        <v>40</v>
      </c>
      <c r="B1990" s="37">
        <f>IF(Setup!$B$19="","",Setup!$B$19)</f>
        <v/>
      </c>
      <c r="C1990" s="102" t="n"/>
      <c r="D1990" s="103" t="n"/>
      <c r="E1990" s="103" t="n"/>
      <c r="F1990" s="104" t="n"/>
      <c r="G1990" s="102" t="n"/>
      <c r="H1990" s="103" t="n"/>
      <c r="I1990" s="103" t="n"/>
      <c r="J1990" s="104" t="n"/>
      <c r="K1990" s="102" t="n"/>
      <c r="L1990" s="103" t="n"/>
      <c r="M1990" s="103" t="n"/>
      <c r="N1990" s="104" t="n"/>
      <c r="O1990" s="102" t="n"/>
      <c r="P1990" s="103" t="n"/>
      <c r="Q1990" s="103" t="n"/>
      <c r="R1990" s="104" t="n"/>
      <c r="S1990" s="102" t="n"/>
      <c r="T1990" s="103" t="n"/>
      <c r="U1990" s="103" t="n"/>
      <c r="V1990" s="104" t="n"/>
      <c r="W1990" s="102" t="n"/>
      <c r="X1990" s="104" t="n"/>
      <c r="Y1990" s="102" t="n"/>
      <c r="Z1990" s="104" t="n"/>
      <c r="AB1990" s="105">
        <f>IF($B1990="","",(COUNTIF(C1958:E1975,$B1990)+COUNTIF(C1958:E1975,$B1990&amp;" ~*")&gt;0)+(COUNTIF(G1958:I1975,$B1990)+COUNTIF(G1958:I1975,$B1990&amp;" ~*")&gt;0)+(COUNTIF(K1958:M1975,$B1990)+COUNTIF(K1958:M1975,$B1990&amp;" ~*")&gt;0)+(COUNTIF(O1958:Q1975,$B1990)+COUNTIF(O1958:Q1975,$B1990&amp;" ~*")&gt;0)+(COUNTIF(S1958:U1975,$B1990)+COUNTIF(S1958:U1975,$B1990&amp;" ~*")&gt;0)+(COUNTIF(W1958:W1975,$B1990)+COUNTIF(W1958:W1975,$B1990&amp;" ~*")&gt;0)+(COUNTIF(Y1958:Y1975,$B1990)+COUNTIF(Y1958:Y1975,$B1990&amp;" ~*")&gt;0))</f>
        <v/>
      </c>
      <c r="AC1990" s="38">
        <f>IF($B1990="","",(IFERROR(INDEX(Setup!$G$33:$G$40,MATCH(C1990,Setup!$B$33:$B$40,0)),0)=1)*(COUNTIF(C1958:E1975,$B1990)+COUNTIF(C1958:E1975,$B1990&amp;" ~*")&gt;0)+(IFERROR(INDEX(Setup!$G$33:$G$40,MATCH(G1990,Setup!$B$33:$B$40,0)),0)=1)*(COUNTIF(G1958:I1975,$B1990)+COUNTIF(G1958:I1975,$B1990&amp;" ~*")&gt;0)+(IFERROR(INDEX(Setup!$G$33:$G$40,MATCH(K1990,Setup!$B$33:$B$40,0)),0)=1)*(COUNTIF(K1958:M1975,$B1990)+COUNTIF(K1958:M1975,$B1990&amp;" ~*")&gt;0)+(IFERROR(INDEX(Setup!$G$33:$G$40,MATCH(O1990,Setup!$B$33:$B$40,0)),0)=1)*(COUNTIF(O1958:Q1975,$B1990)+COUNTIF(O1958:Q1975,$B1990&amp;" ~*")&gt;0)+(IFERROR(INDEX(Setup!$G$33:$G$40,MATCH(S1990,Setup!$B$33:$B$40,0)),0)=1)*(COUNTIF(S1958:U1975,$B1990)+COUNTIF(S1958:U1975,$B1990&amp;" ~*")&gt;0)+(IFERROR(INDEX(Setup!$G$33:$G$40,MATCH(W1990,Setup!$B$33:$B$40,0)),0)=1)*(COUNTIF(W1958:W1975,$B1990)+COUNTIF(W1958:W1975,$B1990&amp;" ~*")&gt;0)+(IFERROR(INDEX(Setup!$G$33:$G$40,MATCH(Y1990,Setup!$B$33:$B$40,0)),0)=1)*(COUNTIF(Y1958:Y1975,$B1990)+COUNTIF(Y1958:Y1975,$B1990&amp;" ~*")&gt;0))</f>
        <v/>
      </c>
    </row>
    <row r="1991" ht="15" customHeight="1">
      <c r="A1991" t="n">
        <v>40</v>
      </c>
      <c r="B1991" s="35">
        <f>IF(Setup!$B$20="","",Setup!$B$20)</f>
        <v/>
      </c>
      <c r="C1991" s="98" t="n"/>
      <c r="D1991" s="99" t="n"/>
      <c r="E1991" s="99" t="n"/>
      <c r="F1991" s="100" t="n"/>
      <c r="G1991" s="98" t="n"/>
      <c r="H1991" s="99" t="n"/>
      <c r="I1991" s="99" t="n"/>
      <c r="J1991" s="100" t="n"/>
      <c r="K1991" s="98" t="n"/>
      <c r="L1991" s="99" t="n"/>
      <c r="M1991" s="99" t="n"/>
      <c r="N1991" s="100" t="n"/>
      <c r="O1991" s="98" t="n"/>
      <c r="P1991" s="99" t="n"/>
      <c r="Q1991" s="99" t="n"/>
      <c r="R1991" s="100" t="n"/>
      <c r="S1991" s="98" t="n"/>
      <c r="T1991" s="99" t="n"/>
      <c r="U1991" s="99" t="n"/>
      <c r="V1991" s="100" t="n"/>
      <c r="W1991" s="98" t="n"/>
      <c r="X1991" s="100" t="n"/>
      <c r="Y1991" s="98" t="n"/>
      <c r="Z1991" s="100" t="n"/>
      <c r="AB1991" s="101">
        <f>IF($B1991="","",(COUNTIF(C1958:E1975,$B1991)+COUNTIF(C1958:E1975,$B1991&amp;" ~*")&gt;0)+(COUNTIF(G1958:I1975,$B1991)+COUNTIF(G1958:I1975,$B1991&amp;" ~*")&gt;0)+(COUNTIF(K1958:M1975,$B1991)+COUNTIF(K1958:M1975,$B1991&amp;" ~*")&gt;0)+(COUNTIF(O1958:Q1975,$B1991)+COUNTIF(O1958:Q1975,$B1991&amp;" ~*")&gt;0)+(COUNTIF(S1958:U1975,$B1991)+COUNTIF(S1958:U1975,$B1991&amp;" ~*")&gt;0)+(COUNTIF(W1958:W1975,$B1991)+COUNTIF(W1958:W1975,$B1991&amp;" ~*")&gt;0)+(COUNTIF(Y1958:Y1975,$B1991)+COUNTIF(Y1958:Y1975,$B1991&amp;" ~*")&gt;0))</f>
        <v/>
      </c>
      <c r="AC1991" s="36">
        <f>IF($B1991="","",(IFERROR(INDEX(Setup!$G$33:$G$40,MATCH(C1991,Setup!$B$33:$B$40,0)),0)=1)*(COUNTIF(C1958:E1975,$B1991)+COUNTIF(C1958:E1975,$B1991&amp;" ~*")&gt;0)+(IFERROR(INDEX(Setup!$G$33:$G$40,MATCH(G1991,Setup!$B$33:$B$40,0)),0)=1)*(COUNTIF(G1958:I1975,$B1991)+COUNTIF(G1958:I1975,$B1991&amp;" ~*")&gt;0)+(IFERROR(INDEX(Setup!$G$33:$G$40,MATCH(K1991,Setup!$B$33:$B$40,0)),0)=1)*(COUNTIF(K1958:M1975,$B1991)+COUNTIF(K1958:M1975,$B1991&amp;" ~*")&gt;0)+(IFERROR(INDEX(Setup!$G$33:$G$40,MATCH(O1991,Setup!$B$33:$B$40,0)),0)=1)*(COUNTIF(O1958:Q1975,$B1991)+COUNTIF(O1958:Q1975,$B1991&amp;" ~*")&gt;0)+(IFERROR(INDEX(Setup!$G$33:$G$40,MATCH(S1991,Setup!$B$33:$B$40,0)),0)=1)*(COUNTIF(S1958:U1975,$B1991)+COUNTIF(S1958:U1975,$B1991&amp;" ~*")&gt;0)+(IFERROR(INDEX(Setup!$G$33:$G$40,MATCH(W1991,Setup!$B$33:$B$40,0)),0)=1)*(COUNTIF(W1958:W1975,$B1991)+COUNTIF(W1958:W1975,$B1991&amp;" ~*")&gt;0)+(IFERROR(INDEX(Setup!$G$33:$G$40,MATCH(Y1991,Setup!$B$33:$B$40,0)),0)=1)*(COUNTIF(Y1958:Y1975,$B1991)+COUNTIF(Y1958:Y1975,$B1991&amp;" ~*")&gt;0))</f>
        <v/>
      </c>
    </row>
    <row r="1992" ht="15" customHeight="1">
      <c r="A1992" t="n">
        <v>40</v>
      </c>
      <c r="B1992" s="37">
        <f>IF(Setup!$B$21="","",Setup!$B$21)</f>
        <v/>
      </c>
      <c r="C1992" s="102" t="n"/>
      <c r="D1992" s="103" t="n"/>
      <c r="E1992" s="103" t="n"/>
      <c r="F1992" s="104" t="n"/>
      <c r="G1992" s="102" t="n"/>
      <c r="H1992" s="103" t="n"/>
      <c r="I1992" s="103" t="n"/>
      <c r="J1992" s="104" t="n"/>
      <c r="K1992" s="102" t="n"/>
      <c r="L1992" s="103" t="n"/>
      <c r="M1992" s="103" t="n"/>
      <c r="N1992" s="104" t="n"/>
      <c r="O1992" s="102" t="n"/>
      <c r="P1992" s="103" t="n"/>
      <c r="Q1992" s="103" t="n"/>
      <c r="R1992" s="104" t="n"/>
      <c r="S1992" s="102" t="n"/>
      <c r="T1992" s="103" t="n"/>
      <c r="U1992" s="103" t="n"/>
      <c r="V1992" s="104" t="n"/>
      <c r="W1992" s="102" t="n"/>
      <c r="X1992" s="104" t="n"/>
      <c r="Y1992" s="102" t="n"/>
      <c r="Z1992" s="104" t="n"/>
      <c r="AB1992" s="105">
        <f>IF($B1992="","",(COUNTIF(C1958:E1975,$B1992)+COUNTIF(C1958:E1975,$B1992&amp;" ~*")&gt;0)+(COUNTIF(G1958:I1975,$B1992)+COUNTIF(G1958:I1975,$B1992&amp;" ~*")&gt;0)+(COUNTIF(K1958:M1975,$B1992)+COUNTIF(K1958:M1975,$B1992&amp;" ~*")&gt;0)+(COUNTIF(O1958:Q1975,$B1992)+COUNTIF(O1958:Q1975,$B1992&amp;" ~*")&gt;0)+(COUNTIF(S1958:U1975,$B1992)+COUNTIF(S1958:U1975,$B1992&amp;" ~*")&gt;0)+(COUNTIF(W1958:W1975,$B1992)+COUNTIF(W1958:W1975,$B1992&amp;" ~*")&gt;0)+(COUNTIF(Y1958:Y1975,$B1992)+COUNTIF(Y1958:Y1975,$B1992&amp;" ~*")&gt;0))</f>
        <v/>
      </c>
      <c r="AC1992" s="38">
        <f>IF($B1992="","",(IFERROR(INDEX(Setup!$G$33:$G$40,MATCH(C1992,Setup!$B$33:$B$40,0)),0)=1)*(COUNTIF(C1958:E1975,$B1992)+COUNTIF(C1958:E1975,$B1992&amp;" ~*")&gt;0)+(IFERROR(INDEX(Setup!$G$33:$G$40,MATCH(G1992,Setup!$B$33:$B$40,0)),0)=1)*(COUNTIF(G1958:I1975,$B1992)+COUNTIF(G1958:I1975,$B1992&amp;" ~*")&gt;0)+(IFERROR(INDEX(Setup!$G$33:$G$40,MATCH(K1992,Setup!$B$33:$B$40,0)),0)=1)*(COUNTIF(K1958:M1975,$B1992)+COUNTIF(K1958:M1975,$B1992&amp;" ~*")&gt;0)+(IFERROR(INDEX(Setup!$G$33:$G$40,MATCH(O1992,Setup!$B$33:$B$40,0)),0)=1)*(COUNTIF(O1958:Q1975,$B1992)+COUNTIF(O1958:Q1975,$B1992&amp;" ~*")&gt;0)+(IFERROR(INDEX(Setup!$G$33:$G$40,MATCH(S1992,Setup!$B$33:$B$40,0)),0)=1)*(COUNTIF(S1958:U1975,$B1992)+COUNTIF(S1958:U1975,$B1992&amp;" ~*")&gt;0)+(IFERROR(INDEX(Setup!$G$33:$G$40,MATCH(W1992,Setup!$B$33:$B$40,0)),0)=1)*(COUNTIF(W1958:W1975,$B1992)+COUNTIF(W1958:W1975,$B1992&amp;" ~*")&gt;0)+(IFERROR(INDEX(Setup!$G$33:$G$40,MATCH(Y1992,Setup!$B$33:$B$40,0)),0)=1)*(COUNTIF(Y1958:Y1975,$B1992)+COUNTIF(Y1958:Y1975,$B1992&amp;" ~*")&gt;0))</f>
        <v/>
      </c>
    </row>
    <row r="1993" ht="15" customHeight="1">
      <c r="A1993" t="n">
        <v>40</v>
      </c>
      <c r="B1993" s="35">
        <f>IF(Setup!$B$22="","",Setup!$B$22)</f>
        <v/>
      </c>
      <c r="C1993" s="98" t="n"/>
      <c r="D1993" s="99" t="n"/>
      <c r="E1993" s="99" t="n"/>
      <c r="F1993" s="100" t="n"/>
      <c r="G1993" s="98" t="n"/>
      <c r="H1993" s="99" t="n"/>
      <c r="I1993" s="99" t="n"/>
      <c r="J1993" s="100" t="n"/>
      <c r="K1993" s="98" t="n"/>
      <c r="L1993" s="99" t="n"/>
      <c r="M1993" s="99" t="n"/>
      <c r="N1993" s="100" t="n"/>
      <c r="O1993" s="98" t="n"/>
      <c r="P1993" s="99" t="n"/>
      <c r="Q1993" s="99" t="n"/>
      <c r="R1993" s="100" t="n"/>
      <c r="S1993" s="98" t="n"/>
      <c r="T1993" s="99" t="n"/>
      <c r="U1993" s="99" t="n"/>
      <c r="V1993" s="100" t="n"/>
      <c r="W1993" s="98" t="n"/>
      <c r="X1993" s="100" t="n"/>
      <c r="Y1993" s="98" t="n"/>
      <c r="Z1993" s="100" t="n"/>
      <c r="AB1993" s="101">
        <f>IF($B1993="","",(COUNTIF(C1958:E1975,$B1993)+COUNTIF(C1958:E1975,$B1993&amp;" ~*")&gt;0)+(COUNTIF(G1958:I1975,$B1993)+COUNTIF(G1958:I1975,$B1993&amp;" ~*")&gt;0)+(COUNTIF(K1958:M1975,$B1993)+COUNTIF(K1958:M1975,$B1993&amp;" ~*")&gt;0)+(COUNTIF(O1958:Q1975,$B1993)+COUNTIF(O1958:Q1975,$B1993&amp;" ~*")&gt;0)+(COUNTIF(S1958:U1975,$B1993)+COUNTIF(S1958:U1975,$B1993&amp;" ~*")&gt;0)+(COUNTIF(W1958:W1975,$B1993)+COUNTIF(W1958:W1975,$B1993&amp;" ~*")&gt;0)+(COUNTIF(Y1958:Y1975,$B1993)+COUNTIF(Y1958:Y1975,$B1993&amp;" ~*")&gt;0))</f>
        <v/>
      </c>
      <c r="AC1993" s="36">
        <f>IF($B1993="","",(IFERROR(INDEX(Setup!$G$33:$G$40,MATCH(C1993,Setup!$B$33:$B$40,0)),0)=1)*(COUNTIF(C1958:E1975,$B1993)+COUNTIF(C1958:E1975,$B1993&amp;" ~*")&gt;0)+(IFERROR(INDEX(Setup!$G$33:$G$40,MATCH(G1993,Setup!$B$33:$B$40,0)),0)=1)*(COUNTIF(G1958:I1975,$B1993)+COUNTIF(G1958:I1975,$B1993&amp;" ~*")&gt;0)+(IFERROR(INDEX(Setup!$G$33:$G$40,MATCH(K1993,Setup!$B$33:$B$40,0)),0)=1)*(COUNTIF(K1958:M1975,$B1993)+COUNTIF(K1958:M1975,$B1993&amp;" ~*")&gt;0)+(IFERROR(INDEX(Setup!$G$33:$G$40,MATCH(O1993,Setup!$B$33:$B$40,0)),0)=1)*(COUNTIF(O1958:Q1975,$B1993)+COUNTIF(O1958:Q1975,$B1993&amp;" ~*")&gt;0)+(IFERROR(INDEX(Setup!$G$33:$G$40,MATCH(S1993,Setup!$B$33:$B$40,0)),0)=1)*(COUNTIF(S1958:U1975,$B1993)+COUNTIF(S1958:U1975,$B1993&amp;" ~*")&gt;0)+(IFERROR(INDEX(Setup!$G$33:$G$40,MATCH(W1993,Setup!$B$33:$B$40,0)),0)=1)*(COUNTIF(W1958:W1975,$B1993)+COUNTIF(W1958:W1975,$B1993&amp;" ~*")&gt;0)+(IFERROR(INDEX(Setup!$G$33:$G$40,MATCH(Y1993,Setup!$B$33:$B$40,0)),0)=1)*(COUNTIF(Y1958:Y1975,$B1993)+COUNTIF(Y1958:Y1975,$B1993&amp;" ~*")&gt;0))</f>
        <v/>
      </c>
    </row>
    <row r="1994" ht="15" customHeight="1">
      <c r="A1994" t="n">
        <v>40</v>
      </c>
      <c r="B1994" s="37">
        <f>IF(Setup!$B$23="","",Setup!$B$23)</f>
        <v/>
      </c>
      <c r="C1994" s="102" t="n"/>
      <c r="D1994" s="103" t="n"/>
      <c r="E1994" s="103" t="n"/>
      <c r="F1994" s="104" t="n"/>
      <c r="G1994" s="102" t="n"/>
      <c r="H1994" s="103" t="n"/>
      <c r="I1994" s="103" t="n"/>
      <c r="J1994" s="104" t="n"/>
      <c r="K1994" s="102" t="n"/>
      <c r="L1994" s="103" t="n"/>
      <c r="M1994" s="103" t="n"/>
      <c r="N1994" s="104" t="n"/>
      <c r="O1994" s="102" t="n"/>
      <c r="P1994" s="103" t="n"/>
      <c r="Q1994" s="103" t="n"/>
      <c r="R1994" s="104" t="n"/>
      <c r="S1994" s="102" t="n"/>
      <c r="T1994" s="103" t="n"/>
      <c r="U1994" s="103" t="n"/>
      <c r="V1994" s="104" t="n"/>
      <c r="W1994" s="102" t="n"/>
      <c r="X1994" s="104" t="n"/>
      <c r="Y1994" s="102" t="n"/>
      <c r="Z1994" s="104" t="n"/>
      <c r="AB1994" s="105">
        <f>IF($B1994="","",(COUNTIF(C1958:E1975,$B1994)+COUNTIF(C1958:E1975,$B1994&amp;" ~*")&gt;0)+(COUNTIF(G1958:I1975,$B1994)+COUNTIF(G1958:I1975,$B1994&amp;" ~*")&gt;0)+(COUNTIF(K1958:M1975,$B1994)+COUNTIF(K1958:M1975,$B1994&amp;" ~*")&gt;0)+(COUNTIF(O1958:Q1975,$B1994)+COUNTIF(O1958:Q1975,$B1994&amp;" ~*")&gt;0)+(COUNTIF(S1958:U1975,$B1994)+COUNTIF(S1958:U1975,$B1994&amp;" ~*")&gt;0)+(COUNTIF(W1958:W1975,$B1994)+COUNTIF(W1958:W1975,$B1994&amp;" ~*")&gt;0)+(COUNTIF(Y1958:Y1975,$B1994)+COUNTIF(Y1958:Y1975,$B1994&amp;" ~*")&gt;0))</f>
        <v/>
      </c>
      <c r="AC1994" s="38">
        <f>IF($B1994="","",(IFERROR(INDEX(Setup!$G$33:$G$40,MATCH(C1994,Setup!$B$33:$B$40,0)),0)=1)*(COUNTIF(C1958:E1975,$B1994)+COUNTIF(C1958:E1975,$B1994&amp;" ~*")&gt;0)+(IFERROR(INDEX(Setup!$G$33:$G$40,MATCH(G1994,Setup!$B$33:$B$40,0)),0)=1)*(COUNTIF(G1958:I1975,$B1994)+COUNTIF(G1958:I1975,$B1994&amp;" ~*")&gt;0)+(IFERROR(INDEX(Setup!$G$33:$G$40,MATCH(K1994,Setup!$B$33:$B$40,0)),0)=1)*(COUNTIF(K1958:M1975,$B1994)+COUNTIF(K1958:M1975,$B1994&amp;" ~*")&gt;0)+(IFERROR(INDEX(Setup!$G$33:$G$40,MATCH(O1994,Setup!$B$33:$B$40,0)),0)=1)*(COUNTIF(O1958:Q1975,$B1994)+COUNTIF(O1958:Q1975,$B1994&amp;" ~*")&gt;0)+(IFERROR(INDEX(Setup!$G$33:$G$40,MATCH(S1994,Setup!$B$33:$B$40,0)),0)=1)*(COUNTIF(S1958:U1975,$B1994)+COUNTIF(S1958:U1975,$B1994&amp;" ~*")&gt;0)+(IFERROR(INDEX(Setup!$G$33:$G$40,MATCH(W1994,Setup!$B$33:$B$40,0)),0)=1)*(COUNTIF(W1958:W1975,$B1994)+COUNTIF(W1958:W1975,$B1994&amp;" ~*")&gt;0)+(IFERROR(INDEX(Setup!$G$33:$G$40,MATCH(Y1994,Setup!$B$33:$B$40,0)),0)=1)*(COUNTIF(Y1958:Y1975,$B1994)+COUNTIF(Y1958:Y1975,$B1994&amp;" ~*")&gt;0))</f>
        <v/>
      </c>
    </row>
    <row r="1995" ht="15" customHeight="1">
      <c r="A1995" t="n">
        <v>40</v>
      </c>
      <c r="B1995" s="35">
        <f>IF(Setup!$B$24="","",Setup!$B$24)</f>
        <v/>
      </c>
      <c r="C1995" s="98" t="n"/>
      <c r="D1995" s="99" t="n"/>
      <c r="E1995" s="99" t="n"/>
      <c r="F1995" s="100" t="n"/>
      <c r="G1995" s="98" t="n"/>
      <c r="H1995" s="99" t="n"/>
      <c r="I1995" s="99" t="n"/>
      <c r="J1995" s="100" t="n"/>
      <c r="K1995" s="98" t="n"/>
      <c r="L1995" s="99" t="n"/>
      <c r="M1995" s="99" t="n"/>
      <c r="N1995" s="100" t="n"/>
      <c r="O1995" s="98" t="n"/>
      <c r="P1995" s="99" t="n"/>
      <c r="Q1995" s="99" t="n"/>
      <c r="R1995" s="100" t="n"/>
      <c r="S1995" s="98" t="n"/>
      <c r="T1995" s="99" t="n"/>
      <c r="U1995" s="99" t="n"/>
      <c r="V1995" s="100" t="n"/>
      <c r="W1995" s="98" t="n"/>
      <c r="X1995" s="100" t="n"/>
      <c r="Y1995" s="98" t="n"/>
      <c r="Z1995" s="100" t="n"/>
      <c r="AB1995" s="101">
        <f>IF($B1995="","",(COUNTIF(C1958:E1975,$B1995)+COUNTIF(C1958:E1975,$B1995&amp;" ~*")&gt;0)+(COUNTIF(G1958:I1975,$B1995)+COUNTIF(G1958:I1975,$B1995&amp;" ~*")&gt;0)+(COUNTIF(K1958:M1975,$B1995)+COUNTIF(K1958:M1975,$B1995&amp;" ~*")&gt;0)+(COUNTIF(O1958:Q1975,$B1995)+COUNTIF(O1958:Q1975,$B1995&amp;" ~*")&gt;0)+(COUNTIF(S1958:U1975,$B1995)+COUNTIF(S1958:U1975,$B1995&amp;" ~*")&gt;0)+(COUNTIF(W1958:W1975,$B1995)+COUNTIF(W1958:W1975,$B1995&amp;" ~*")&gt;0)+(COUNTIF(Y1958:Y1975,$B1995)+COUNTIF(Y1958:Y1975,$B1995&amp;" ~*")&gt;0))</f>
        <v/>
      </c>
      <c r="AC1995" s="36">
        <f>IF($B1995="","",(IFERROR(INDEX(Setup!$G$33:$G$40,MATCH(C1995,Setup!$B$33:$B$40,0)),0)=1)*(COUNTIF(C1958:E1975,$B1995)+COUNTIF(C1958:E1975,$B1995&amp;" ~*")&gt;0)+(IFERROR(INDEX(Setup!$G$33:$G$40,MATCH(G1995,Setup!$B$33:$B$40,0)),0)=1)*(COUNTIF(G1958:I1975,$B1995)+COUNTIF(G1958:I1975,$B1995&amp;" ~*")&gt;0)+(IFERROR(INDEX(Setup!$G$33:$G$40,MATCH(K1995,Setup!$B$33:$B$40,0)),0)=1)*(COUNTIF(K1958:M1975,$B1995)+COUNTIF(K1958:M1975,$B1995&amp;" ~*")&gt;0)+(IFERROR(INDEX(Setup!$G$33:$G$40,MATCH(O1995,Setup!$B$33:$B$40,0)),0)=1)*(COUNTIF(O1958:Q1975,$B1995)+COUNTIF(O1958:Q1975,$B1995&amp;" ~*")&gt;0)+(IFERROR(INDEX(Setup!$G$33:$G$40,MATCH(S1995,Setup!$B$33:$B$40,0)),0)=1)*(COUNTIF(S1958:U1975,$B1995)+COUNTIF(S1958:U1975,$B1995&amp;" ~*")&gt;0)+(IFERROR(INDEX(Setup!$G$33:$G$40,MATCH(W1995,Setup!$B$33:$B$40,0)),0)=1)*(COUNTIF(W1958:W1975,$B1995)+COUNTIF(W1958:W1975,$B1995&amp;" ~*")&gt;0)+(IFERROR(INDEX(Setup!$G$33:$G$40,MATCH(Y1995,Setup!$B$33:$B$40,0)),0)=1)*(COUNTIF(Y1958:Y1975,$B1995)+COUNTIF(Y1958:Y1975,$B1995&amp;" ~*")&gt;0))</f>
        <v/>
      </c>
    </row>
    <row r="1996" ht="15" customHeight="1">
      <c r="A1996" t="n">
        <v>40</v>
      </c>
      <c r="B1996" s="37">
        <f>IF(Setup!$B$25="","",Setup!$B$25)</f>
        <v/>
      </c>
      <c r="C1996" s="102" t="n"/>
      <c r="D1996" s="103" t="n"/>
      <c r="E1996" s="103" t="n"/>
      <c r="F1996" s="104" t="n"/>
      <c r="G1996" s="102" t="n"/>
      <c r="H1996" s="103" t="n"/>
      <c r="I1996" s="103" t="n"/>
      <c r="J1996" s="104" t="n"/>
      <c r="K1996" s="102" t="n"/>
      <c r="L1996" s="103" t="n"/>
      <c r="M1996" s="103" t="n"/>
      <c r="N1996" s="104" t="n"/>
      <c r="O1996" s="102" t="n"/>
      <c r="P1996" s="103" t="n"/>
      <c r="Q1996" s="103" t="n"/>
      <c r="R1996" s="104" t="n"/>
      <c r="S1996" s="102" t="n"/>
      <c r="T1996" s="103" t="n"/>
      <c r="U1996" s="103" t="n"/>
      <c r="V1996" s="104" t="n"/>
      <c r="W1996" s="102" t="n"/>
      <c r="X1996" s="104" t="n"/>
      <c r="Y1996" s="102" t="n"/>
      <c r="Z1996" s="104" t="n"/>
      <c r="AB1996" s="105">
        <f>IF($B1996="","",(COUNTIF(C1958:E1975,$B1996)+COUNTIF(C1958:E1975,$B1996&amp;" ~*")&gt;0)+(COUNTIF(G1958:I1975,$B1996)+COUNTIF(G1958:I1975,$B1996&amp;" ~*")&gt;0)+(COUNTIF(K1958:M1975,$B1996)+COUNTIF(K1958:M1975,$B1996&amp;" ~*")&gt;0)+(COUNTIF(O1958:Q1975,$B1996)+COUNTIF(O1958:Q1975,$B1996&amp;" ~*")&gt;0)+(COUNTIF(S1958:U1975,$B1996)+COUNTIF(S1958:U1975,$B1996&amp;" ~*")&gt;0)+(COUNTIF(W1958:W1975,$B1996)+COUNTIF(W1958:W1975,$B1996&amp;" ~*")&gt;0)+(COUNTIF(Y1958:Y1975,$B1996)+COUNTIF(Y1958:Y1975,$B1996&amp;" ~*")&gt;0))</f>
        <v/>
      </c>
      <c r="AC1996" s="38">
        <f>IF($B1996="","",(IFERROR(INDEX(Setup!$G$33:$G$40,MATCH(C1996,Setup!$B$33:$B$40,0)),0)=1)*(COUNTIF(C1958:E1975,$B1996)+COUNTIF(C1958:E1975,$B1996&amp;" ~*")&gt;0)+(IFERROR(INDEX(Setup!$G$33:$G$40,MATCH(G1996,Setup!$B$33:$B$40,0)),0)=1)*(COUNTIF(G1958:I1975,$B1996)+COUNTIF(G1958:I1975,$B1996&amp;" ~*")&gt;0)+(IFERROR(INDEX(Setup!$G$33:$G$40,MATCH(K1996,Setup!$B$33:$B$40,0)),0)=1)*(COUNTIF(K1958:M1975,$B1996)+COUNTIF(K1958:M1975,$B1996&amp;" ~*")&gt;0)+(IFERROR(INDEX(Setup!$G$33:$G$40,MATCH(O1996,Setup!$B$33:$B$40,0)),0)=1)*(COUNTIF(O1958:Q1975,$B1996)+COUNTIF(O1958:Q1975,$B1996&amp;" ~*")&gt;0)+(IFERROR(INDEX(Setup!$G$33:$G$40,MATCH(S1996,Setup!$B$33:$B$40,0)),0)=1)*(COUNTIF(S1958:U1975,$B1996)+COUNTIF(S1958:U1975,$B1996&amp;" ~*")&gt;0)+(IFERROR(INDEX(Setup!$G$33:$G$40,MATCH(W1996,Setup!$B$33:$B$40,0)),0)=1)*(COUNTIF(W1958:W1975,$B1996)+COUNTIF(W1958:W1975,$B1996&amp;" ~*")&gt;0)+(IFERROR(INDEX(Setup!$G$33:$G$40,MATCH(Y1996,Setup!$B$33:$B$40,0)),0)=1)*(COUNTIF(Y1958:Y1975,$B1996)+COUNTIF(Y1958:Y1975,$B1996&amp;" ~*")&gt;0))</f>
        <v/>
      </c>
    </row>
    <row r="1997" ht="15" customHeight="1">
      <c r="A1997" t="n">
        <v>40</v>
      </c>
      <c r="B1997" s="35">
        <f>IF(Setup!$B$26="","",Setup!$B$26)</f>
        <v/>
      </c>
      <c r="C1997" s="98" t="n"/>
      <c r="D1997" s="99" t="n"/>
      <c r="E1997" s="99" t="n"/>
      <c r="F1997" s="100" t="n"/>
      <c r="G1997" s="98" t="n"/>
      <c r="H1997" s="99" t="n"/>
      <c r="I1997" s="99" t="n"/>
      <c r="J1997" s="100" t="n"/>
      <c r="K1997" s="98" t="n"/>
      <c r="L1997" s="99" t="n"/>
      <c r="M1997" s="99" t="n"/>
      <c r="N1997" s="100" t="n"/>
      <c r="O1997" s="98" t="n"/>
      <c r="P1997" s="99" t="n"/>
      <c r="Q1997" s="99" t="n"/>
      <c r="R1997" s="100" t="n"/>
      <c r="S1997" s="98" t="n"/>
      <c r="T1997" s="99" t="n"/>
      <c r="U1997" s="99" t="n"/>
      <c r="V1997" s="100" t="n"/>
      <c r="W1997" s="98" t="n"/>
      <c r="X1997" s="100" t="n"/>
      <c r="Y1997" s="98" t="n"/>
      <c r="Z1997" s="100" t="n"/>
      <c r="AB1997" s="101">
        <f>IF($B1997="","",(COUNTIF(C1958:E1975,$B1997)+COUNTIF(C1958:E1975,$B1997&amp;" ~*")&gt;0)+(COUNTIF(G1958:I1975,$B1997)+COUNTIF(G1958:I1975,$B1997&amp;" ~*")&gt;0)+(COUNTIF(K1958:M1975,$B1997)+COUNTIF(K1958:M1975,$B1997&amp;" ~*")&gt;0)+(COUNTIF(O1958:Q1975,$B1997)+COUNTIF(O1958:Q1975,$B1997&amp;" ~*")&gt;0)+(COUNTIF(S1958:U1975,$B1997)+COUNTIF(S1958:U1975,$B1997&amp;" ~*")&gt;0)+(COUNTIF(W1958:W1975,$B1997)+COUNTIF(W1958:W1975,$B1997&amp;" ~*")&gt;0)+(COUNTIF(Y1958:Y1975,$B1997)+COUNTIF(Y1958:Y1975,$B1997&amp;" ~*")&gt;0))</f>
        <v/>
      </c>
      <c r="AC1997" s="36">
        <f>IF($B1997="","",(IFERROR(INDEX(Setup!$G$33:$G$40,MATCH(C1997,Setup!$B$33:$B$40,0)),0)=1)*(COUNTIF(C1958:E1975,$B1997)+COUNTIF(C1958:E1975,$B1997&amp;" ~*")&gt;0)+(IFERROR(INDEX(Setup!$G$33:$G$40,MATCH(G1997,Setup!$B$33:$B$40,0)),0)=1)*(COUNTIF(G1958:I1975,$B1997)+COUNTIF(G1958:I1975,$B1997&amp;" ~*")&gt;0)+(IFERROR(INDEX(Setup!$G$33:$G$40,MATCH(K1997,Setup!$B$33:$B$40,0)),0)=1)*(COUNTIF(K1958:M1975,$B1997)+COUNTIF(K1958:M1975,$B1997&amp;" ~*")&gt;0)+(IFERROR(INDEX(Setup!$G$33:$G$40,MATCH(O1997,Setup!$B$33:$B$40,0)),0)=1)*(COUNTIF(O1958:Q1975,$B1997)+COUNTIF(O1958:Q1975,$B1997&amp;" ~*")&gt;0)+(IFERROR(INDEX(Setup!$G$33:$G$40,MATCH(S1997,Setup!$B$33:$B$40,0)),0)=1)*(COUNTIF(S1958:U1975,$B1997)+COUNTIF(S1958:U1975,$B1997&amp;" ~*")&gt;0)+(IFERROR(INDEX(Setup!$G$33:$G$40,MATCH(W1997,Setup!$B$33:$B$40,0)),0)=1)*(COUNTIF(W1958:W1975,$B1997)+COUNTIF(W1958:W1975,$B1997&amp;" ~*")&gt;0)+(IFERROR(INDEX(Setup!$G$33:$G$40,MATCH(Y1997,Setup!$B$33:$B$40,0)),0)=1)*(COUNTIF(Y1958:Y1975,$B1997)+COUNTIF(Y1958:Y1975,$B1997&amp;" ~*")&gt;0))</f>
        <v/>
      </c>
    </row>
    <row r="1998" ht="15" customHeight="1">
      <c r="A1998" t="n">
        <v>40</v>
      </c>
      <c r="B1998" s="37">
        <f>IF(Setup!$B$27="","",Setup!$B$27)</f>
        <v/>
      </c>
      <c r="C1998" s="102" t="n"/>
      <c r="D1998" s="103" t="n"/>
      <c r="E1998" s="103" t="n"/>
      <c r="F1998" s="104" t="n"/>
      <c r="G1998" s="102" t="n"/>
      <c r="H1998" s="103" t="n"/>
      <c r="I1998" s="103" t="n"/>
      <c r="J1998" s="104" t="n"/>
      <c r="K1998" s="102" t="n"/>
      <c r="L1998" s="103" t="n"/>
      <c r="M1998" s="103" t="n"/>
      <c r="N1998" s="104" t="n"/>
      <c r="O1998" s="102" t="n"/>
      <c r="P1998" s="103" t="n"/>
      <c r="Q1998" s="103" t="n"/>
      <c r="R1998" s="104" t="n"/>
      <c r="S1998" s="102" t="n"/>
      <c r="T1998" s="103" t="n"/>
      <c r="U1998" s="103" t="n"/>
      <c r="V1998" s="104" t="n"/>
      <c r="W1998" s="102" t="n"/>
      <c r="X1998" s="104" t="n"/>
      <c r="Y1998" s="102" t="n"/>
      <c r="Z1998" s="104" t="n"/>
      <c r="AB1998" s="105">
        <f>IF($B1998="","",(COUNTIF(C1958:E1975,$B1998)+COUNTIF(C1958:E1975,$B1998&amp;" ~*")&gt;0)+(COUNTIF(G1958:I1975,$B1998)+COUNTIF(G1958:I1975,$B1998&amp;" ~*")&gt;0)+(COUNTIF(K1958:M1975,$B1998)+COUNTIF(K1958:M1975,$B1998&amp;" ~*")&gt;0)+(COUNTIF(O1958:Q1975,$B1998)+COUNTIF(O1958:Q1975,$B1998&amp;" ~*")&gt;0)+(COUNTIF(S1958:U1975,$B1998)+COUNTIF(S1958:U1975,$B1998&amp;" ~*")&gt;0)+(COUNTIF(W1958:W1975,$B1998)+COUNTIF(W1958:W1975,$B1998&amp;" ~*")&gt;0)+(COUNTIF(Y1958:Y1975,$B1998)+COUNTIF(Y1958:Y1975,$B1998&amp;" ~*")&gt;0))</f>
        <v/>
      </c>
      <c r="AC1998" s="38">
        <f>IF($B1998="","",(IFERROR(INDEX(Setup!$G$33:$G$40,MATCH(C1998,Setup!$B$33:$B$40,0)),0)=1)*(COUNTIF(C1958:E1975,$B1998)+COUNTIF(C1958:E1975,$B1998&amp;" ~*")&gt;0)+(IFERROR(INDEX(Setup!$G$33:$G$40,MATCH(G1998,Setup!$B$33:$B$40,0)),0)=1)*(COUNTIF(G1958:I1975,$B1998)+COUNTIF(G1958:I1975,$B1998&amp;" ~*")&gt;0)+(IFERROR(INDEX(Setup!$G$33:$G$40,MATCH(K1998,Setup!$B$33:$B$40,0)),0)=1)*(COUNTIF(K1958:M1975,$B1998)+COUNTIF(K1958:M1975,$B1998&amp;" ~*")&gt;0)+(IFERROR(INDEX(Setup!$G$33:$G$40,MATCH(O1998,Setup!$B$33:$B$40,0)),0)=1)*(COUNTIF(O1958:Q1975,$B1998)+COUNTIF(O1958:Q1975,$B1998&amp;" ~*")&gt;0)+(IFERROR(INDEX(Setup!$G$33:$G$40,MATCH(S1998,Setup!$B$33:$B$40,0)),0)=1)*(COUNTIF(S1958:U1975,$B1998)+COUNTIF(S1958:U1975,$B1998&amp;" ~*")&gt;0)+(IFERROR(INDEX(Setup!$G$33:$G$40,MATCH(W1998,Setup!$B$33:$B$40,0)),0)=1)*(COUNTIF(W1958:W1975,$B1998)+COUNTIF(W1958:W1975,$B1998&amp;" ~*")&gt;0)+(IFERROR(INDEX(Setup!$G$33:$G$40,MATCH(Y1998,Setup!$B$33:$B$40,0)),0)=1)*(COUNTIF(Y1958:Y1975,$B1998)+COUNTIF(Y1958:Y1975,$B1998&amp;" ~*")&gt;0))</f>
        <v/>
      </c>
    </row>
    <row r="1999" ht="15" customHeight="1">
      <c r="A1999" t="n">
        <v>40</v>
      </c>
      <c r="B1999" s="35">
        <f>IF(Setup!$B$28="","",Setup!$B$28)</f>
        <v/>
      </c>
      <c r="C1999" s="98" t="n"/>
      <c r="D1999" s="99" t="n"/>
      <c r="E1999" s="99" t="n"/>
      <c r="F1999" s="100" t="n"/>
      <c r="G1999" s="98" t="n"/>
      <c r="H1999" s="99" t="n"/>
      <c r="I1999" s="99" t="n"/>
      <c r="J1999" s="100" t="n"/>
      <c r="K1999" s="98" t="n"/>
      <c r="L1999" s="99" t="n"/>
      <c r="M1999" s="99" t="n"/>
      <c r="N1999" s="100" t="n"/>
      <c r="O1999" s="98" t="n"/>
      <c r="P1999" s="99" t="n"/>
      <c r="Q1999" s="99" t="n"/>
      <c r="R1999" s="100" t="n"/>
      <c r="S1999" s="98" t="n"/>
      <c r="T1999" s="99" t="n"/>
      <c r="U1999" s="99" t="n"/>
      <c r="V1999" s="100" t="n"/>
      <c r="W1999" s="98" t="n"/>
      <c r="X1999" s="100" t="n"/>
      <c r="Y1999" s="98" t="n"/>
      <c r="Z1999" s="100" t="n"/>
      <c r="AB1999" s="101">
        <f>IF($B1999="","",(COUNTIF(C1958:E1975,$B1999)+COUNTIF(C1958:E1975,$B1999&amp;" ~*")&gt;0)+(COUNTIF(G1958:I1975,$B1999)+COUNTIF(G1958:I1975,$B1999&amp;" ~*")&gt;0)+(COUNTIF(K1958:M1975,$B1999)+COUNTIF(K1958:M1975,$B1999&amp;" ~*")&gt;0)+(COUNTIF(O1958:Q1975,$B1999)+COUNTIF(O1958:Q1975,$B1999&amp;" ~*")&gt;0)+(COUNTIF(S1958:U1975,$B1999)+COUNTIF(S1958:U1975,$B1999&amp;" ~*")&gt;0)+(COUNTIF(W1958:W1975,$B1999)+COUNTIF(W1958:W1975,$B1999&amp;" ~*")&gt;0)+(COUNTIF(Y1958:Y1975,$B1999)+COUNTIF(Y1958:Y1975,$B1999&amp;" ~*")&gt;0))</f>
        <v/>
      </c>
      <c r="AC1999" s="36">
        <f>IF($B1999="","",(IFERROR(INDEX(Setup!$G$33:$G$40,MATCH(C1999,Setup!$B$33:$B$40,0)),0)=1)*(COUNTIF(C1958:E1975,$B1999)+COUNTIF(C1958:E1975,$B1999&amp;" ~*")&gt;0)+(IFERROR(INDEX(Setup!$G$33:$G$40,MATCH(G1999,Setup!$B$33:$B$40,0)),0)=1)*(COUNTIF(G1958:I1975,$B1999)+COUNTIF(G1958:I1975,$B1999&amp;" ~*")&gt;0)+(IFERROR(INDEX(Setup!$G$33:$G$40,MATCH(K1999,Setup!$B$33:$B$40,0)),0)=1)*(COUNTIF(K1958:M1975,$B1999)+COUNTIF(K1958:M1975,$B1999&amp;" ~*")&gt;0)+(IFERROR(INDEX(Setup!$G$33:$G$40,MATCH(O1999,Setup!$B$33:$B$40,0)),0)=1)*(COUNTIF(O1958:Q1975,$B1999)+COUNTIF(O1958:Q1975,$B1999&amp;" ~*")&gt;0)+(IFERROR(INDEX(Setup!$G$33:$G$40,MATCH(S1999,Setup!$B$33:$B$40,0)),0)=1)*(COUNTIF(S1958:U1975,$B1999)+COUNTIF(S1958:U1975,$B1999&amp;" ~*")&gt;0)+(IFERROR(INDEX(Setup!$G$33:$G$40,MATCH(W1999,Setup!$B$33:$B$40,0)),0)=1)*(COUNTIF(W1958:W1975,$B1999)+COUNTIF(W1958:W1975,$B1999&amp;" ~*")&gt;0)+(IFERROR(INDEX(Setup!$G$33:$G$40,MATCH(Y1999,Setup!$B$33:$B$40,0)),0)=1)*(COUNTIF(Y1958:Y1975,$B1999)+COUNTIF(Y1958:Y1975,$B1999&amp;" ~*")&gt;0))</f>
        <v/>
      </c>
    </row>
    <row r="2000" ht="15" customHeight="1">
      <c r="A2000" t="n">
        <v>40</v>
      </c>
      <c r="B2000" s="37">
        <f>IF(Setup!$B$29="","",Setup!$B$29)</f>
        <v/>
      </c>
      <c r="C2000" s="102" t="n"/>
      <c r="D2000" s="103" t="n"/>
      <c r="E2000" s="103" t="n"/>
      <c r="F2000" s="104" t="n"/>
      <c r="G2000" s="102" t="n"/>
      <c r="H2000" s="103" t="n"/>
      <c r="I2000" s="103" t="n"/>
      <c r="J2000" s="104" t="n"/>
      <c r="K2000" s="102" t="n"/>
      <c r="L2000" s="103" t="n"/>
      <c r="M2000" s="103" t="n"/>
      <c r="N2000" s="104" t="n"/>
      <c r="O2000" s="102" t="n"/>
      <c r="P2000" s="103" t="n"/>
      <c r="Q2000" s="103" t="n"/>
      <c r="R2000" s="104" t="n"/>
      <c r="S2000" s="102" t="n"/>
      <c r="T2000" s="103" t="n"/>
      <c r="U2000" s="103" t="n"/>
      <c r="V2000" s="104" t="n"/>
      <c r="W2000" s="102" t="n"/>
      <c r="X2000" s="104" t="n"/>
      <c r="Y2000" s="102" t="n"/>
      <c r="Z2000" s="104" t="n"/>
      <c r="AB2000" s="105">
        <f>IF($B2000="","",(COUNTIF(C1958:E1975,$B2000)+COUNTIF(C1958:E1975,$B2000&amp;" ~*")&gt;0)+(COUNTIF(G1958:I1975,$B2000)+COUNTIF(G1958:I1975,$B2000&amp;" ~*")&gt;0)+(COUNTIF(K1958:M1975,$B2000)+COUNTIF(K1958:M1975,$B2000&amp;" ~*")&gt;0)+(COUNTIF(O1958:Q1975,$B2000)+COUNTIF(O1958:Q1975,$B2000&amp;" ~*")&gt;0)+(COUNTIF(S1958:U1975,$B2000)+COUNTIF(S1958:U1975,$B2000&amp;" ~*")&gt;0)+(COUNTIF(W1958:W1975,$B2000)+COUNTIF(W1958:W1975,$B2000&amp;" ~*")&gt;0)+(COUNTIF(Y1958:Y1975,$B2000)+COUNTIF(Y1958:Y1975,$B2000&amp;" ~*")&gt;0))</f>
        <v/>
      </c>
      <c r="AC2000" s="38">
        <f>IF($B2000="","",(IFERROR(INDEX(Setup!$G$33:$G$40,MATCH(C2000,Setup!$B$33:$B$40,0)),0)=1)*(COUNTIF(C1958:E1975,$B2000)+COUNTIF(C1958:E1975,$B2000&amp;" ~*")&gt;0)+(IFERROR(INDEX(Setup!$G$33:$G$40,MATCH(G2000,Setup!$B$33:$B$40,0)),0)=1)*(COUNTIF(G1958:I1975,$B2000)+COUNTIF(G1958:I1975,$B2000&amp;" ~*")&gt;0)+(IFERROR(INDEX(Setup!$G$33:$G$40,MATCH(K2000,Setup!$B$33:$B$40,0)),0)=1)*(COUNTIF(K1958:M1975,$B2000)+COUNTIF(K1958:M1975,$B2000&amp;" ~*")&gt;0)+(IFERROR(INDEX(Setup!$G$33:$G$40,MATCH(O2000,Setup!$B$33:$B$40,0)),0)=1)*(COUNTIF(O1958:Q1975,$B2000)+COUNTIF(O1958:Q1975,$B2000&amp;" ~*")&gt;0)+(IFERROR(INDEX(Setup!$G$33:$G$40,MATCH(S2000,Setup!$B$33:$B$40,0)),0)=1)*(COUNTIF(S1958:U1975,$B2000)+COUNTIF(S1958:U1975,$B2000&amp;" ~*")&gt;0)+(IFERROR(INDEX(Setup!$G$33:$G$40,MATCH(W2000,Setup!$B$33:$B$40,0)),0)=1)*(COUNTIF(W1958:W1975,$B2000)+COUNTIF(W1958:W1975,$B2000&amp;" ~*")&gt;0)+(IFERROR(INDEX(Setup!$G$33:$G$40,MATCH(Y2000,Setup!$B$33:$B$40,0)),0)=1)*(COUNTIF(Y1958:Y1975,$B2000)+COUNTIF(Y1958:Y1975,$B2000&amp;" ~*")&gt;0))</f>
        <v/>
      </c>
    </row>
    <row r="2001" ht="16" customHeight="1">
      <c r="A2001" t="n">
        <v>40</v>
      </c>
      <c r="B2001" s="106" t="inlineStr">
        <is>
          <t>Available people</t>
        </is>
      </c>
      <c r="C2001" s="107">
        <f>COUNTIFS(Setup!$E$6:$E$29,"Y",Setup!$B$6:$B$29,"?*")-SUMPRODUCT(COUNTIF(C1977:C2000,Setup!$F$33:$F$40))</f>
        <v/>
      </c>
      <c r="D2001" s="107" t="n"/>
      <c r="E2001" s="107" t="n"/>
      <c r="F2001" s="107" t="n"/>
      <c r="G2001" s="107">
        <f>COUNTIFS(Setup!$E$6:$E$29,"Y",Setup!$B$6:$B$29,"?*")-SUMPRODUCT(COUNTIF(G1977:G2000,Setup!$F$33:$F$40))</f>
        <v/>
      </c>
      <c r="H2001" s="107" t="n"/>
      <c r="I2001" s="107" t="n"/>
      <c r="J2001" s="107" t="n"/>
      <c r="K2001" s="107">
        <f>COUNTIFS(Setup!$E$6:$E$29,"Y",Setup!$B$6:$B$29,"?*")-SUMPRODUCT(COUNTIF(K1977:K2000,Setup!$F$33:$F$40))</f>
        <v/>
      </c>
      <c r="L2001" s="107" t="n"/>
      <c r="M2001" s="107" t="n"/>
      <c r="N2001" s="107" t="n"/>
      <c r="O2001" s="107">
        <f>COUNTIFS(Setup!$E$6:$E$29,"Y",Setup!$B$6:$B$29,"?*")-SUMPRODUCT(COUNTIF(O1977:O2000,Setup!$F$33:$F$40))</f>
        <v/>
      </c>
      <c r="P2001" s="107" t="n"/>
      <c r="Q2001" s="107" t="n"/>
      <c r="R2001" s="107" t="n"/>
      <c r="S2001" s="107">
        <f>COUNTIFS(Setup!$E$6:$E$29,"Y",Setup!$B$6:$B$29,"?*")-SUMPRODUCT(COUNTIF(S1977:S2000,Setup!$F$33:$F$40))</f>
        <v/>
      </c>
      <c r="T2001" s="107" t="n"/>
      <c r="U2001" s="107" t="n"/>
      <c r="V2001" s="107" t="n"/>
      <c r="W2001" s="107">
        <f>COUNTIFS(Setup!$E$6:$E$29,"Y",Setup!$B$6:$B$29,"?*")-SUMPRODUCT(COUNTIF(W1977:W2000,Setup!$F$33:$F$40))</f>
        <v/>
      </c>
      <c r="X2001" s="107" t="n"/>
      <c r="Y2001" s="107">
        <f>COUNTIFS(Setup!$E$6:$E$29,"Y",Setup!$B$6:$B$29,"?*")-SUMPRODUCT(COUNTIF(Y1977:Y2000,Setup!$F$33:$F$40))</f>
        <v/>
      </c>
      <c r="Z2001" s="107" t="n"/>
      <c r="AB2001" s="108">
        <f>SUM(AB1977:AB2000)</f>
        <v/>
      </c>
      <c r="AC2001" s="109">
        <f>SUM(AC1977:AC2000)</f>
        <v/>
      </c>
    </row>
    <row r="2002" ht="30" customHeight="1">
      <c r="A2002" t="n">
        <v>40</v>
      </c>
      <c r="B2002" s="110" t="inlineStr">
        <is>
          <t>Week notes</t>
        </is>
      </c>
      <c r="C2002" s="111" t="n"/>
      <c r="D2002" s="112" t="n"/>
      <c r="E2002" s="112" t="n"/>
      <c r="F2002" s="112" t="n"/>
      <c r="G2002" s="112" t="n"/>
      <c r="H2002" s="112" t="n"/>
      <c r="I2002" s="112" t="n"/>
      <c r="J2002" s="112" t="n"/>
      <c r="K2002" s="112" t="n"/>
      <c r="L2002" s="112" t="n"/>
      <c r="M2002" s="112" t="n"/>
      <c r="N2002" s="112" t="n"/>
      <c r="O2002" s="112" t="n"/>
      <c r="P2002" s="112" t="n"/>
      <c r="Q2002" s="112" t="n"/>
      <c r="R2002" s="112" t="n"/>
      <c r="S2002" s="112" t="n"/>
      <c r="T2002" s="112" t="n"/>
      <c r="U2002" s="112" t="n"/>
      <c r="V2002" s="112" t="n"/>
      <c r="W2002" s="112" t="n"/>
      <c r="X2002" s="112" t="n"/>
      <c r="Y2002" s="112" t="n"/>
      <c r="Z2002" s="113" t="n"/>
    </row>
    <row r="2003" ht="8" customHeight="1">
      <c r="A2003" t="n">
        <v>40</v>
      </c>
    </row>
    <row r="2004" ht="8" customHeight="1">
      <c r="A2004" t="n">
        <v>40</v>
      </c>
    </row>
    <row r="2005" ht="24" customHeight="1">
      <c r="A2005" t="n">
        <v>41</v>
      </c>
      <c r="B2005" s="73">
        <f>"WEEK 41     "&amp;TEXT(C2006,"ddd d mmm")&amp;"  –  "&amp;TEXT(C2006+6,"ddd d mmm yyyy")</f>
        <v/>
      </c>
      <c r="S2005" s="74">
        <f>IF(TODAY()&lt;C2006,"FUTURE",IF(TODAY()&gt;C2006+6,"PAST","THIS WEEK"))</f>
        <v/>
      </c>
      <c r="W2005" s="75">
        <f>IF(AND(Engine!$B$8=$AC$3,Engine!$B$9=$A2005),"◀ ACTIVE WEEK","")</f>
        <v/>
      </c>
      <c r="AA2005" s="76" t="n"/>
      <c r="AB2005" s="77" t="inlineStr">
        <is>
          <t>◀ Prev</t>
        </is>
      </c>
      <c r="AC2005" s="77" t="inlineStr">
        <is>
          <t>Next ▶</t>
        </is>
      </c>
    </row>
    <row r="2006" ht="18" customHeight="1">
      <c r="A2006" t="n">
        <v>41</v>
      </c>
      <c r="B2006" s="78" t="inlineStr">
        <is>
          <t>DUTY</t>
        </is>
      </c>
      <c r="C2006" s="79">
        <f>$AC$2+7*($A2006-1)</f>
        <v/>
      </c>
      <c r="D2006" s="80" t="n"/>
      <c r="E2006" s="80" t="n"/>
      <c r="F2006" s="81" t="n"/>
      <c r="G2006" s="79">
        <f>C2006+1</f>
        <v/>
      </c>
      <c r="H2006" s="80" t="n"/>
      <c r="I2006" s="80" t="n"/>
      <c r="J2006" s="81" t="n"/>
      <c r="K2006" s="79">
        <f>C2006+2</f>
        <v/>
      </c>
      <c r="L2006" s="80" t="n"/>
      <c r="M2006" s="80" t="n"/>
      <c r="N2006" s="81" t="n"/>
      <c r="O2006" s="79">
        <f>C2006+3</f>
        <v/>
      </c>
      <c r="P2006" s="80" t="n"/>
      <c r="Q2006" s="80" t="n"/>
      <c r="R2006" s="81" t="n"/>
      <c r="S2006" s="79">
        <f>C2006+4</f>
        <v/>
      </c>
      <c r="T2006" s="80" t="n"/>
      <c r="U2006" s="80" t="n"/>
      <c r="V2006" s="81" t="n"/>
      <c r="W2006" s="82">
        <f>C2006+5</f>
        <v/>
      </c>
      <c r="X2006" s="83" t="n"/>
      <c r="Y2006" s="82">
        <f>C2006+6</f>
        <v/>
      </c>
      <c r="Z2006" s="83" t="n"/>
      <c r="AB2006" s="72" t="inlineStr">
        <is>
          <t>Gaps</t>
        </is>
      </c>
      <c r="AC2006" s="72" t="inlineStr">
        <is>
          <t>Cover</t>
        </is>
      </c>
    </row>
    <row r="2007" ht="14" customHeight="1">
      <c r="A2007" t="n">
        <v>41</v>
      </c>
      <c r="B2007" s="84" t="inlineStr">
        <is>
          <t>(from Setup)</t>
        </is>
      </c>
      <c r="C2007" s="85" t="inlineStr">
        <is>
          <t>1</t>
        </is>
      </c>
      <c r="D2007" s="85" t="inlineStr">
        <is>
          <t>2</t>
        </is>
      </c>
      <c r="E2007" s="85" t="inlineStr">
        <is>
          <t>3</t>
        </is>
      </c>
      <c r="F2007" s="85" t="inlineStr">
        <is>
          <t>Notes</t>
        </is>
      </c>
      <c r="G2007" s="85" t="inlineStr">
        <is>
          <t>1</t>
        </is>
      </c>
      <c r="H2007" s="85" t="inlineStr">
        <is>
          <t>2</t>
        </is>
      </c>
      <c r="I2007" s="85" t="inlineStr">
        <is>
          <t>3</t>
        </is>
      </c>
      <c r="J2007" s="85" t="inlineStr">
        <is>
          <t>Notes</t>
        </is>
      </c>
      <c r="K2007" s="85" t="inlineStr">
        <is>
          <t>1</t>
        </is>
      </c>
      <c r="L2007" s="85" t="inlineStr">
        <is>
          <t>2</t>
        </is>
      </c>
      <c r="M2007" s="85" t="inlineStr">
        <is>
          <t>3</t>
        </is>
      </c>
      <c r="N2007" s="85" t="inlineStr">
        <is>
          <t>Notes</t>
        </is>
      </c>
      <c r="O2007" s="85" t="inlineStr">
        <is>
          <t>1</t>
        </is>
      </c>
      <c r="P2007" s="85" t="inlineStr">
        <is>
          <t>2</t>
        </is>
      </c>
      <c r="Q2007" s="85" t="inlineStr">
        <is>
          <t>3</t>
        </is>
      </c>
      <c r="R2007" s="85" t="inlineStr">
        <is>
          <t>Notes</t>
        </is>
      </c>
      <c r="S2007" s="85" t="inlineStr">
        <is>
          <t>1</t>
        </is>
      </c>
      <c r="T2007" s="85" t="inlineStr">
        <is>
          <t>2</t>
        </is>
      </c>
      <c r="U2007" s="85" t="inlineStr">
        <is>
          <t>3</t>
        </is>
      </c>
      <c r="V2007" s="85" t="inlineStr">
        <is>
          <t>Notes</t>
        </is>
      </c>
      <c r="W2007" s="85" t="inlineStr">
        <is>
          <t>Cover</t>
        </is>
      </c>
      <c r="X2007" s="85" t="inlineStr">
        <is>
          <t>Notes</t>
        </is>
      </c>
      <c r="Y2007" s="85" t="inlineStr">
        <is>
          <t>Cover</t>
        </is>
      </c>
      <c r="Z2007" s="85" t="inlineStr">
        <is>
          <t>Notes</t>
        </is>
      </c>
      <c r="AB2007" s="86" t="inlineStr">
        <is>
          <t>weekdays short</t>
        </is>
      </c>
      <c r="AC2007" s="87" t="inlineStr"/>
    </row>
    <row r="2008" ht="17" customHeight="1">
      <c r="A2008" t="n">
        <v>41</v>
      </c>
      <c r="B2008" s="24">
        <f>IF(Setup!$K$6="","",Setup!$K$6)</f>
        <v/>
      </c>
      <c r="C2008" s="88" t="n"/>
      <c r="D2008" s="88" t="n"/>
      <c r="E2008" s="88" t="n"/>
      <c r="F2008" s="89" t="n"/>
      <c r="G2008" s="88" t="n"/>
      <c r="H2008" s="88" t="n"/>
      <c r="I2008" s="88" t="n"/>
      <c r="J2008" s="89" t="n"/>
      <c r="K2008" s="88" t="n"/>
      <c r="L2008" s="88" t="n"/>
      <c r="M2008" s="88" t="n"/>
      <c r="N2008" s="89" t="n"/>
      <c r="O2008" s="88" t="n"/>
      <c r="P2008" s="88" t="n"/>
      <c r="Q2008" s="88" t="n"/>
      <c r="R2008" s="89" t="n"/>
      <c r="S2008" s="88" t="n"/>
      <c r="T2008" s="88" t="n"/>
      <c r="U2008" s="88" t="n"/>
      <c r="V2008" s="89" t="n"/>
      <c r="W2008" s="88" t="n"/>
      <c r="X2008" s="89" t="n"/>
      <c r="Y2008" s="88" t="n"/>
      <c r="Z2008" s="89" t="n"/>
      <c r="AB2008" s="25">
        <f>IF($B2008="","",(COUNTIF(C2008:E2008,"?*")&lt;N(INDEX(Setup!$L$6:$L$23,1)))+(COUNTIF(G2008:I2008,"?*")&lt;N(INDEX(Setup!$L$6:$L$23,1)))+(COUNTIF(K2008:M2008,"?*")&lt;N(INDEX(Setup!$L$6:$L$23,1)))+(COUNTIF(O2008:Q2008,"?*")&lt;N(INDEX(Setup!$L$6:$L$23,1)))+(COUNTIF(S2008:U2008,"?*")&lt;N(INDEX(Setup!$L$6:$L$23,1)))+((W2008="")*(INDEX(Setup!$M$6:$M$23,1)="Y"))+((Y2008="")*(INDEX(Setup!$M$6:$M$23,1)="Y")))</f>
        <v/>
      </c>
      <c r="AC2008" s="90">
        <f>IF($B2008="","",IF(AB2008=0,"✓ covered","⚠ "&amp;AB2008&amp;IF(AB2008=1," gap"," gaps")))</f>
        <v/>
      </c>
    </row>
    <row r="2009" ht="17" customHeight="1">
      <c r="A2009" t="n">
        <v>41</v>
      </c>
      <c r="B2009" s="29">
        <f>IF(Setup!$K$7="","",Setup!$K$7)</f>
        <v/>
      </c>
      <c r="C2009" s="88" t="n"/>
      <c r="D2009" s="88" t="n"/>
      <c r="E2009" s="88" t="n"/>
      <c r="F2009" s="89" t="n"/>
      <c r="G2009" s="88" t="n"/>
      <c r="H2009" s="88" t="n"/>
      <c r="I2009" s="88" t="n"/>
      <c r="J2009" s="89" t="n"/>
      <c r="K2009" s="88" t="n"/>
      <c r="L2009" s="88" t="n"/>
      <c r="M2009" s="88" t="n"/>
      <c r="N2009" s="89" t="n"/>
      <c r="O2009" s="88" t="n"/>
      <c r="P2009" s="88" t="n"/>
      <c r="Q2009" s="88" t="n"/>
      <c r="R2009" s="89" t="n"/>
      <c r="S2009" s="88" t="n"/>
      <c r="T2009" s="88" t="n"/>
      <c r="U2009" s="88" t="n"/>
      <c r="V2009" s="89" t="n"/>
      <c r="W2009" s="88" t="n"/>
      <c r="X2009" s="89" t="n"/>
      <c r="Y2009" s="88" t="n"/>
      <c r="Z2009" s="89" t="n"/>
      <c r="AB2009" s="30">
        <f>IF($B2009="","",(COUNTIF(C2009:E2009,"?*")&lt;N(INDEX(Setup!$L$6:$L$23,2)))+(COUNTIF(G2009:I2009,"?*")&lt;N(INDEX(Setup!$L$6:$L$23,2)))+(COUNTIF(K2009:M2009,"?*")&lt;N(INDEX(Setup!$L$6:$L$23,2)))+(COUNTIF(O2009:Q2009,"?*")&lt;N(INDEX(Setup!$L$6:$L$23,2)))+(COUNTIF(S2009:U2009,"?*")&lt;N(INDEX(Setup!$L$6:$L$23,2)))+((W2009="")*(INDEX(Setup!$M$6:$M$23,2)="Y"))+((Y2009="")*(INDEX(Setup!$M$6:$M$23,2)="Y")))</f>
        <v/>
      </c>
      <c r="AC2009" s="91">
        <f>IF($B2009="","",IF(AB2009=0,"✓ covered","⚠ "&amp;AB2009&amp;IF(AB2009=1," gap"," gaps")))</f>
        <v/>
      </c>
    </row>
    <row r="2010" ht="17" customHeight="1">
      <c r="A2010" t="n">
        <v>41</v>
      </c>
      <c r="B2010" s="24">
        <f>IF(Setup!$K$8="","",Setup!$K$8)</f>
        <v/>
      </c>
      <c r="C2010" s="88" t="n"/>
      <c r="D2010" s="88" t="n"/>
      <c r="E2010" s="88" t="n"/>
      <c r="F2010" s="89" t="n"/>
      <c r="G2010" s="88" t="n"/>
      <c r="H2010" s="88" t="n"/>
      <c r="I2010" s="88" t="n"/>
      <c r="J2010" s="89" t="n"/>
      <c r="K2010" s="88" t="n"/>
      <c r="L2010" s="88" t="n"/>
      <c r="M2010" s="88" t="n"/>
      <c r="N2010" s="89" t="n"/>
      <c r="O2010" s="88" t="n"/>
      <c r="P2010" s="88" t="n"/>
      <c r="Q2010" s="88" t="n"/>
      <c r="R2010" s="89" t="n"/>
      <c r="S2010" s="88" t="n"/>
      <c r="T2010" s="88" t="n"/>
      <c r="U2010" s="88" t="n"/>
      <c r="V2010" s="89" t="n"/>
      <c r="W2010" s="88" t="n"/>
      <c r="X2010" s="89" t="n"/>
      <c r="Y2010" s="88" t="n"/>
      <c r="Z2010" s="89" t="n"/>
      <c r="AB2010" s="25">
        <f>IF($B2010="","",(COUNTIF(C2010:E2010,"?*")&lt;N(INDEX(Setup!$L$6:$L$23,3)))+(COUNTIF(G2010:I2010,"?*")&lt;N(INDEX(Setup!$L$6:$L$23,3)))+(COUNTIF(K2010:M2010,"?*")&lt;N(INDEX(Setup!$L$6:$L$23,3)))+(COUNTIF(O2010:Q2010,"?*")&lt;N(INDEX(Setup!$L$6:$L$23,3)))+(COUNTIF(S2010:U2010,"?*")&lt;N(INDEX(Setup!$L$6:$L$23,3)))+((W2010="")*(INDEX(Setup!$M$6:$M$23,3)="Y"))+((Y2010="")*(INDEX(Setup!$M$6:$M$23,3)="Y")))</f>
        <v/>
      </c>
      <c r="AC2010" s="90">
        <f>IF($B2010="","",IF(AB2010=0,"✓ covered","⚠ "&amp;AB2010&amp;IF(AB2010=1," gap"," gaps")))</f>
        <v/>
      </c>
    </row>
    <row r="2011" ht="17" customHeight="1">
      <c r="A2011" t="n">
        <v>41</v>
      </c>
      <c r="B2011" s="29">
        <f>IF(Setup!$K$9="","",Setup!$K$9)</f>
        <v/>
      </c>
      <c r="C2011" s="88" t="n"/>
      <c r="D2011" s="88" t="n"/>
      <c r="E2011" s="88" t="n"/>
      <c r="F2011" s="89" t="n"/>
      <c r="G2011" s="88" t="n"/>
      <c r="H2011" s="88" t="n"/>
      <c r="I2011" s="88" t="n"/>
      <c r="J2011" s="89" t="n"/>
      <c r="K2011" s="88" t="n"/>
      <c r="L2011" s="88" t="n"/>
      <c r="M2011" s="88" t="n"/>
      <c r="N2011" s="89" t="n"/>
      <c r="O2011" s="88" t="n"/>
      <c r="P2011" s="88" t="n"/>
      <c r="Q2011" s="88" t="n"/>
      <c r="R2011" s="89" t="n"/>
      <c r="S2011" s="88" t="n"/>
      <c r="T2011" s="88" t="n"/>
      <c r="U2011" s="88" t="n"/>
      <c r="V2011" s="89" t="n"/>
      <c r="W2011" s="88" t="n"/>
      <c r="X2011" s="89" t="n"/>
      <c r="Y2011" s="88" t="n"/>
      <c r="Z2011" s="89" t="n"/>
      <c r="AB2011" s="30">
        <f>IF($B2011="","",(COUNTIF(C2011:E2011,"?*")&lt;N(INDEX(Setup!$L$6:$L$23,4)))+(COUNTIF(G2011:I2011,"?*")&lt;N(INDEX(Setup!$L$6:$L$23,4)))+(COUNTIF(K2011:M2011,"?*")&lt;N(INDEX(Setup!$L$6:$L$23,4)))+(COUNTIF(O2011:Q2011,"?*")&lt;N(INDEX(Setup!$L$6:$L$23,4)))+(COUNTIF(S2011:U2011,"?*")&lt;N(INDEX(Setup!$L$6:$L$23,4)))+((W2011="")*(INDEX(Setup!$M$6:$M$23,4)="Y"))+((Y2011="")*(INDEX(Setup!$M$6:$M$23,4)="Y")))</f>
        <v/>
      </c>
      <c r="AC2011" s="91">
        <f>IF($B2011="","",IF(AB2011=0,"✓ covered","⚠ "&amp;AB2011&amp;IF(AB2011=1," gap"," gaps")))</f>
        <v/>
      </c>
    </row>
    <row r="2012" ht="17" customHeight="1">
      <c r="A2012" t="n">
        <v>41</v>
      </c>
      <c r="B2012" s="24">
        <f>IF(Setup!$K$10="","",Setup!$K$10)</f>
        <v/>
      </c>
      <c r="C2012" s="88" t="n"/>
      <c r="D2012" s="88" t="n"/>
      <c r="E2012" s="88" t="n"/>
      <c r="F2012" s="89" t="n"/>
      <c r="G2012" s="88" t="n"/>
      <c r="H2012" s="88" t="n"/>
      <c r="I2012" s="88" t="n"/>
      <c r="J2012" s="89" t="n"/>
      <c r="K2012" s="88" t="n"/>
      <c r="L2012" s="88" t="n"/>
      <c r="M2012" s="88" t="n"/>
      <c r="N2012" s="89" t="n"/>
      <c r="O2012" s="88" t="n"/>
      <c r="P2012" s="88" t="n"/>
      <c r="Q2012" s="88" t="n"/>
      <c r="R2012" s="89" t="n"/>
      <c r="S2012" s="88" t="n"/>
      <c r="T2012" s="88" t="n"/>
      <c r="U2012" s="88" t="n"/>
      <c r="V2012" s="89" t="n"/>
      <c r="W2012" s="88" t="n"/>
      <c r="X2012" s="89" t="n"/>
      <c r="Y2012" s="88" t="n"/>
      <c r="Z2012" s="89" t="n"/>
      <c r="AB2012" s="25">
        <f>IF($B2012="","",(COUNTIF(C2012:E2012,"?*")&lt;N(INDEX(Setup!$L$6:$L$23,5)))+(COUNTIF(G2012:I2012,"?*")&lt;N(INDEX(Setup!$L$6:$L$23,5)))+(COUNTIF(K2012:M2012,"?*")&lt;N(INDEX(Setup!$L$6:$L$23,5)))+(COUNTIF(O2012:Q2012,"?*")&lt;N(INDEX(Setup!$L$6:$L$23,5)))+(COUNTIF(S2012:U2012,"?*")&lt;N(INDEX(Setup!$L$6:$L$23,5)))+((W2012="")*(INDEX(Setup!$M$6:$M$23,5)="Y"))+((Y2012="")*(INDEX(Setup!$M$6:$M$23,5)="Y")))</f>
        <v/>
      </c>
      <c r="AC2012" s="90">
        <f>IF($B2012="","",IF(AB2012=0,"✓ covered","⚠ "&amp;AB2012&amp;IF(AB2012=1," gap"," gaps")))</f>
        <v/>
      </c>
    </row>
    <row r="2013" ht="17" customHeight="1">
      <c r="A2013" t="n">
        <v>41</v>
      </c>
      <c r="B2013" s="29">
        <f>IF(Setup!$K$11="","",Setup!$K$11)</f>
        <v/>
      </c>
      <c r="C2013" s="88" t="n"/>
      <c r="D2013" s="88" t="n"/>
      <c r="E2013" s="88" t="n"/>
      <c r="F2013" s="89" t="n"/>
      <c r="G2013" s="88" t="n"/>
      <c r="H2013" s="88" t="n"/>
      <c r="I2013" s="88" t="n"/>
      <c r="J2013" s="89" t="n"/>
      <c r="K2013" s="88" t="n"/>
      <c r="L2013" s="88" t="n"/>
      <c r="M2013" s="88" t="n"/>
      <c r="N2013" s="89" t="n"/>
      <c r="O2013" s="88" t="n"/>
      <c r="P2013" s="88" t="n"/>
      <c r="Q2013" s="88" t="n"/>
      <c r="R2013" s="89" t="n"/>
      <c r="S2013" s="88" t="n"/>
      <c r="T2013" s="88" t="n"/>
      <c r="U2013" s="88" t="n"/>
      <c r="V2013" s="89" t="n"/>
      <c r="W2013" s="88" t="n"/>
      <c r="X2013" s="89" t="n"/>
      <c r="Y2013" s="88" t="n"/>
      <c r="Z2013" s="89" t="n"/>
      <c r="AB2013" s="30">
        <f>IF($B2013="","",(COUNTIF(C2013:E2013,"?*")&lt;N(INDEX(Setup!$L$6:$L$23,6)))+(COUNTIF(G2013:I2013,"?*")&lt;N(INDEX(Setup!$L$6:$L$23,6)))+(COUNTIF(K2013:M2013,"?*")&lt;N(INDEX(Setup!$L$6:$L$23,6)))+(COUNTIF(O2013:Q2013,"?*")&lt;N(INDEX(Setup!$L$6:$L$23,6)))+(COUNTIF(S2013:U2013,"?*")&lt;N(INDEX(Setup!$L$6:$L$23,6)))+((W2013="")*(INDEX(Setup!$M$6:$M$23,6)="Y"))+((Y2013="")*(INDEX(Setup!$M$6:$M$23,6)="Y")))</f>
        <v/>
      </c>
      <c r="AC2013" s="91">
        <f>IF($B2013="","",IF(AB2013=0,"✓ covered","⚠ "&amp;AB2013&amp;IF(AB2013=1," gap"," gaps")))</f>
        <v/>
      </c>
    </row>
    <row r="2014" ht="17" customHeight="1">
      <c r="A2014" t="n">
        <v>41</v>
      </c>
      <c r="B2014" s="24">
        <f>IF(Setup!$K$12="","",Setup!$K$12)</f>
        <v/>
      </c>
      <c r="C2014" s="88" t="n"/>
      <c r="D2014" s="88" t="n"/>
      <c r="E2014" s="88" t="n"/>
      <c r="F2014" s="89" t="n"/>
      <c r="G2014" s="88" t="n"/>
      <c r="H2014" s="88" t="n"/>
      <c r="I2014" s="88" t="n"/>
      <c r="J2014" s="89" t="n"/>
      <c r="K2014" s="88" t="n"/>
      <c r="L2014" s="88" t="n"/>
      <c r="M2014" s="88" t="n"/>
      <c r="N2014" s="89" t="n"/>
      <c r="O2014" s="88" t="n"/>
      <c r="P2014" s="88" t="n"/>
      <c r="Q2014" s="88" t="n"/>
      <c r="R2014" s="89" t="n"/>
      <c r="S2014" s="88" t="n"/>
      <c r="T2014" s="88" t="n"/>
      <c r="U2014" s="88" t="n"/>
      <c r="V2014" s="89" t="n"/>
      <c r="W2014" s="88" t="n"/>
      <c r="X2014" s="89" t="n"/>
      <c r="Y2014" s="88" t="n"/>
      <c r="Z2014" s="89" t="n"/>
      <c r="AB2014" s="25">
        <f>IF($B2014="","",(COUNTIF(C2014:E2014,"?*")&lt;N(INDEX(Setup!$L$6:$L$23,7)))+(COUNTIF(G2014:I2014,"?*")&lt;N(INDEX(Setup!$L$6:$L$23,7)))+(COUNTIF(K2014:M2014,"?*")&lt;N(INDEX(Setup!$L$6:$L$23,7)))+(COUNTIF(O2014:Q2014,"?*")&lt;N(INDEX(Setup!$L$6:$L$23,7)))+(COUNTIF(S2014:U2014,"?*")&lt;N(INDEX(Setup!$L$6:$L$23,7)))+((W2014="")*(INDEX(Setup!$M$6:$M$23,7)="Y"))+((Y2014="")*(INDEX(Setup!$M$6:$M$23,7)="Y")))</f>
        <v/>
      </c>
      <c r="AC2014" s="90">
        <f>IF($B2014="","",IF(AB2014=0,"✓ covered","⚠ "&amp;AB2014&amp;IF(AB2014=1," gap"," gaps")))</f>
        <v/>
      </c>
    </row>
    <row r="2015" ht="17" customHeight="1">
      <c r="A2015" t="n">
        <v>41</v>
      </c>
      <c r="B2015" s="29">
        <f>IF(Setup!$K$13="","",Setup!$K$13)</f>
        <v/>
      </c>
      <c r="C2015" s="88" t="n"/>
      <c r="D2015" s="88" t="n"/>
      <c r="E2015" s="88" t="n"/>
      <c r="F2015" s="89" t="n"/>
      <c r="G2015" s="88" t="n"/>
      <c r="H2015" s="88" t="n"/>
      <c r="I2015" s="88" t="n"/>
      <c r="J2015" s="89" t="n"/>
      <c r="K2015" s="88" t="n"/>
      <c r="L2015" s="88" t="n"/>
      <c r="M2015" s="88" t="n"/>
      <c r="N2015" s="89" t="n"/>
      <c r="O2015" s="88" t="n"/>
      <c r="P2015" s="88" t="n"/>
      <c r="Q2015" s="88" t="n"/>
      <c r="R2015" s="89" t="n"/>
      <c r="S2015" s="88" t="n"/>
      <c r="T2015" s="88" t="n"/>
      <c r="U2015" s="88" t="n"/>
      <c r="V2015" s="89" t="n"/>
      <c r="W2015" s="88" t="n"/>
      <c r="X2015" s="89" t="n"/>
      <c r="Y2015" s="88" t="n"/>
      <c r="Z2015" s="89" t="n"/>
      <c r="AB2015" s="30">
        <f>IF($B2015="","",(COUNTIF(C2015:E2015,"?*")&lt;N(INDEX(Setup!$L$6:$L$23,8)))+(COUNTIF(G2015:I2015,"?*")&lt;N(INDEX(Setup!$L$6:$L$23,8)))+(COUNTIF(K2015:M2015,"?*")&lt;N(INDEX(Setup!$L$6:$L$23,8)))+(COUNTIF(O2015:Q2015,"?*")&lt;N(INDEX(Setup!$L$6:$L$23,8)))+(COUNTIF(S2015:U2015,"?*")&lt;N(INDEX(Setup!$L$6:$L$23,8)))+((W2015="")*(INDEX(Setup!$M$6:$M$23,8)="Y"))+((Y2015="")*(INDEX(Setup!$M$6:$M$23,8)="Y")))</f>
        <v/>
      </c>
      <c r="AC2015" s="91">
        <f>IF($B2015="","",IF(AB2015=0,"✓ covered","⚠ "&amp;AB2015&amp;IF(AB2015=1," gap"," gaps")))</f>
        <v/>
      </c>
    </row>
    <row r="2016" ht="17" customHeight="1">
      <c r="A2016" t="n">
        <v>41</v>
      </c>
      <c r="B2016" s="24">
        <f>IF(Setup!$K$14="","",Setup!$K$14)</f>
        <v/>
      </c>
      <c r="C2016" s="88" t="n"/>
      <c r="D2016" s="88" t="n"/>
      <c r="E2016" s="88" t="n"/>
      <c r="F2016" s="89" t="n"/>
      <c r="G2016" s="88" t="n"/>
      <c r="H2016" s="88" t="n"/>
      <c r="I2016" s="88" t="n"/>
      <c r="J2016" s="89" t="n"/>
      <c r="K2016" s="88" t="n"/>
      <c r="L2016" s="88" t="n"/>
      <c r="M2016" s="88" t="n"/>
      <c r="N2016" s="89" t="n"/>
      <c r="O2016" s="88" t="n"/>
      <c r="P2016" s="88" t="n"/>
      <c r="Q2016" s="88" t="n"/>
      <c r="R2016" s="89" t="n"/>
      <c r="S2016" s="88" t="n"/>
      <c r="T2016" s="88" t="n"/>
      <c r="U2016" s="88" t="n"/>
      <c r="V2016" s="89" t="n"/>
      <c r="W2016" s="88" t="n"/>
      <c r="X2016" s="89" t="n"/>
      <c r="Y2016" s="88" t="n"/>
      <c r="Z2016" s="89" t="n"/>
      <c r="AB2016" s="25">
        <f>IF($B2016="","",(COUNTIF(C2016:E2016,"?*")&lt;N(INDEX(Setup!$L$6:$L$23,9)))+(COUNTIF(G2016:I2016,"?*")&lt;N(INDEX(Setup!$L$6:$L$23,9)))+(COUNTIF(K2016:M2016,"?*")&lt;N(INDEX(Setup!$L$6:$L$23,9)))+(COUNTIF(O2016:Q2016,"?*")&lt;N(INDEX(Setup!$L$6:$L$23,9)))+(COUNTIF(S2016:U2016,"?*")&lt;N(INDEX(Setup!$L$6:$L$23,9)))+((W2016="")*(INDEX(Setup!$M$6:$M$23,9)="Y"))+((Y2016="")*(INDEX(Setup!$M$6:$M$23,9)="Y")))</f>
        <v/>
      </c>
      <c r="AC2016" s="90">
        <f>IF($B2016="","",IF(AB2016=0,"✓ covered","⚠ "&amp;AB2016&amp;IF(AB2016=1," gap"," gaps")))</f>
        <v/>
      </c>
    </row>
    <row r="2017" ht="17" customHeight="1">
      <c r="A2017" t="n">
        <v>41</v>
      </c>
      <c r="B2017" s="29">
        <f>IF(Setup!$K$15="","",Setup!$K$15)</f>
        <v/>
      </c>
      <c r="C2017" s="88" t="n"/>
      <c r="D2017" s="88" t="n"/>
      <c r="E2017" s="88" t="n"/>
      <c r="F2017" s="89" t="n"/>
      <c r="G2017" s="88" t="n"/>
      <c r="H2017" s="88" t="n"/>
      <c r="I2017" s="88" t="n"/>
      <c r="J2017" s="89" t="n"/>
      <c r="K2017" s="88" t="n"/>
      <c r="L2017" s="88" t="n"/>
      <c r="M2017" s="88" t="n"/>
      <c r="N2017" s="89" t="n"/>
      <c r="O2017" s="88" t="n"/>
      <c r="P2017" s="88" t="n"/>
      <c r="Q2017" s="88" t="n"/>
      <c r="R2017" s="89" t="n"/>
      <c r="S2017" s="88" t="n"/>
      <c r="T2017" s="88" t="n"/>
      <c r="U2017" s="88" t="n"/>
      <c r="V2017" s="89" t="n"/>
      <c r="W2017" s="88" t="n"/>
      <c r="X2017" s="89" t="n"/>
      <c r="Y2017" s="88" t="n"/>
      <c r="Z2017" s="89" t="n"/>
      <c r="AB2017" s="30">
        <f>IF($B2017="","",(COUNTIF(C2017:E2017,"?*")&lt;N(INDEX(Setup!$L$6:$L$23,10)))+(COUNTIF(G2017:I2017,"?*")&lt;N(INDEX(Setup!$L$6:$L$23,10)))+(COUNTIF(K2017:M2017,"?*")&lt;N(INDEX(Setup!$L$6:$L$23,10)))+(COUNTIF(O2017:Q2017,"?*")&lt;N(INDEX(Setup!$L$6:$L$23,10)))+(COUNTIF(S2017:U2017,"?*")&lt;N(INDEX(Setup!$L$6:$L$23,10)))+((W2017="")*(INDEX(Setup!$M$6:$M$23,10)="Y"))+((Y2017="")*(INDEX(Setup!$M$6:$M$23,10)="Y")))</f>
        <v/>
      </c>
      <c r="AC2017" s="91">
        <f>IF($B2017="","",IF(AB2017=0,"✓ covered","⚠ "&amp;AB2017&amp;IF(AB2017=1," gap"," gaps")))</f>
        <v/>
      </c>
    </row>
    <row r="2018" ht="17" customHeight="1">
      <c r="A2018" t="n">
        <v>41</v>
      </c>
      <c r="B2018" s="24">
        <f>IF(Setup!$K$16="","",Setup!$K$16)</f>
        <v/>
      </c>
      <c r="C2018" s="88" t="n"/>
      <c r="D2018" s="88" t="n"/>
      <c r="E2018" s="88" t="n"/>
      <c r="F2018" s="89" t="n"/>
      <c r="G2018" s="88" t="n"/>
      <c r="H2018" s="88" t="n"/>
      <c r="I2018" s="88" t="n"/>
      <c r="J2018" s="89" t="n"/>
      <c r="K2018" s="88" t="n"/>
      <c r="L2018" s="88" t="n"/>
      <c r="M2018" s="88" t="n"/>
      <c r="N2018" s="89" t="n"/>
      <c r="O2018" s="88" t="n"/>
      <c r="P2018" s="88" t="n"/>
      <c r="Q2018" s="88" t="n"/>
      <c r="R2018" s="89" t="n"/>
      <c r="S2018" s="88" t="n"/>
      <c r="T2018" s="88" t="n"/>
      <c r="U2018" s="88" t="n"/>
      <c r="V2018" s="89" t="n"/>
      <c r="W2018" s="88" t="n"/>
      <c r="X2018" s="89" t="n"/>
      <c r="Y2018" s="88" t="n"/>
      <c r="Z2018" s="89" t="n"/>
      <c r="AB2018" s="25">
        <f>IF($B2018="","",(COUNTIF(C2018:E2018,"?*")&lt;N(INDEX(Setup!$L$6:$L$23,11)))+(COUNTIF(G2018:I2018,"?*")&lt;N(INDEX(Setup!$L$6:$L$23,11)))+(COUNTIF(K2018:M2018,"?*")&lt;N(INDEX(Setup!$L$6:$L$23,11)))+(COUNTIF(O2018:Q2018,"?*")&lt;N(INDEX(Setup!$L$6:$L$23,11)))+(COUNTIF(S2018:U2018,"?*")&lt;N(INDEX(Setup!$L$6:$L$23,11)))+((W2018="")*(INDEX(Setup!$M$6:$M$23,11)="Y"))+((Y2018="")*(INDEX(Setup!$M$6:$M$23,11)="Y")))</f>
        <v/>
      </c>
      <c r="AC2018" s="90">
        <f>IF($B2018="","",IF(AB2018=0,"✓ covered","⚠ "&amp;AB2018&amp;IF(AB2018=1," gap"," gaps")))</f>
        <v/>
      </c>
    </row>
    <row r="2019" ht="17" customHeight="1">
      <c r="A2019" t="n">
        <v>41</v>
      </c>
      <c r="B2019" s="29">
        <f>IF(Setup!$K$17="","",Setup!$K$17)</f>
        <v/>
      </c>
      <c r="C2019" s="88" t="n"/>
      <c r="D2019" s="88" t="n"/>
      <c r="E2019" s="88" t="n"/>
      <c r="F2019" s="89" t="n"/>
      <c r="G2019" s="88" t="n"/>
      <c r="H2019" s="88" t="n"/>
      <c r="I2019" s="88" t="n"/>
      <c r="J2019" s="89" t="n"/>
      <c r="K2019" s="88" t="n"/>
      <c r="L2019" s="88" t="n"/>
      <c r="M2019" s="88" t="n"/>
      <c r="N2019" s="89" t="n"/>
      <c r="O2019" s="88" t="n"/>
      <c r="P2019" s="88" t="n"/>
      <c r="Q2019" s="88" t="n"/>
      <c r="R2019" s="89" t="n"/>
      <c r="S2019" s="88" t="n"/>
      <c r="T2019" s="88" t="n"/>
      <c r="U2019" s="88" t="n"/>
      <c r="V2019" s="89" t="n"/>
      <c r="W2019" s="88" t="n"/>
      <c r="X2019" s="89" t="n"/>
      <c r="Y2019" s="88" t="n"/>
      <c r="Z2019" s="89" t="n"/>
      <c r="AB2019" s="30">
        <f>IF($B2019="","",(COUNTIF(C2019:E2019,"?*")&lt;N(INDEX(Setup!$L$6:$L$23,12)))+(COUNTIF(G2019:I2019,"?*")&lt;N(INDEX(Setup!$L$6:$L$23,12)))+(COUNTIF(K2019:M2019,"?*")&lt;N(INDEX(Setup!$L$6:$L$23,12)))+(COUNTIF(O2019:Q2019,"?*")&lt;N(INDEX(Setup!$L$6:$L$23,12)))+(COUNTIF(S2019:U2019,"?*")&lt;N(INDEX(Setup!$L$6:$L$23,12)))+((W2019="")*(INDEX(Setup!$M$6:$M$23,12)="Y"))+((Y2019="")*(INDEX(Setup!$M$6:$M$23,12)="Y")))</f>
        <v/>
      </c>
      <c r="AC2019" s="91">
        <f>IF($B2019="","",IF(AB2019=0,"✓ covered","⚠ "&amp;AB2019&amp;IF(AB2019=1," gap"," gaps")))</f>
        <v/>
      </c>
    </row>
    <row r="2020" ht="17" customHeight="1">
      <c r="A2020" t="n">
        <v>41</v>
      </c>
      <c r="B2020" s="24">
        <f>IF(Setup!$K$18="","",Setup!$K$18)</f>
        <v/>
      </c>
      <c r="C2020" s="88" t="n"/>
      <c r="D2020" s="88" t="n"/>
      <c r="E2020" s="88" t="n"/>
      <c r="F2020" s="89" t="n"/>
      <c r="G2020" s="88" t="n"/>
      <c r="H2020" s="88" t="n"/>
      <c r="I2020" s="88" t="n"/>
      <c r="J2020" s="89" t="n"/>
      <c r="K2020" s="88" t="n"/>
      <c r="L2020" s="88" t="n"/>
      <c r="M2020" s="88" t="n"/>
      <c r="N2020" s="89" t="n"/>
      <c r="O2020" s="88" t="n"/>
      <c r="P2020" s="88" t="n"/>
      <c r="Q2020" s="88" t="n"/>
      <c r="R2020" s="89" t="n"/>
      <c r="S2020" s="88" t="n"/>
      <c r="T2020" s="88" t="n"/>
      <c r="U2020" s="88" t="n"/>
      <c r="V2020" s="89" t="n"/>
      <c r="W2020" s="88" t="n"/>
      <c r="X2020" s="89" t="n"/>
      <c r="Y2020" s="88" t="n"/>
      <c r="Z2020" s="89" t="n"/>
      <c r="AB2020" s="25">
        <f>IF($B2020="","",(COUNTIF(C2020:E2020,"?*")&lt;N(INDEX(Setup!$L$6:$L$23,13)))+(COUNTIF(G2020:I2020,"?*")&lt;N(INDEX(Setup!$L$6:$L$23,13)))+(COUNTIF(K2020:M2020,"?*")&lt;N(INDEX(Setup!$L$6:$L$23,13)))+(COUNTIF(O2020:Q2020,"?*")&lt;N(INDEX(Setup!$L$6:$L$23,13)))+(COUNTIF(S2020:U2020,"?*")&lt;N(INDEX(Setup!$L$6:$L$23,13)))+((W2020="")*(INDEX(Setup!$M$6:$M$23,13)="Y"))+((Y2020="")*(INDEX(Setup!$M$6:$M$23,13)="Y")))</f>
        <v/>
      </c>
      <c r="AC2020" s="90">
        <f>IF($B2020="","",IF(AB2020=0,"✓ covered","⚠ "&amp;AB2020&amp;IF(AB2020=1," gap"," gaps")))</f>
        <v/>
      </c>
    </row>
    <row r="2021" ht="17" customHeight="1">
      <c r="A2021" t="n">
        <v>41</v>
      </c>
      <c r="B2021" s="29">
        <f>IF(Setup!$K$19="","",Setup!$K$19)</f>
        <v/>
      </c>
      <c r="C2021" s="88" t="n"/>
      <c r="D2021" s="88" t="n"/>
      <c r="E2021" s="88" t="n"/>
      <c r="F2021" s="89" t="n"/>
      <c r="G2021" s="88" t="n"/>
      <c r="H2021" s="88" t="n"/>
      <c r="I2021" s="88" t="n"/>
      <c r="J2021" s="89" t="n"/>
      <c r="K2021" s="88" t="n"/>
      <c r="L2021" s="88" t="n"/>
      <c r="M2021" s="88" t="n"/>
      <c r="N2021" s="89" t="n"/>
      <c r="O2021" s="88" t="n"/>
      <c r="P2021" s="88" t="n"/>
      <c r="Q2021" s="88" t="n"/>
      <c r="R2021" s="89" t="n"/>
      <c r="S2021" s="88" t="n"/>
      <c r="T2021" s="88" t="n"/>
      <c r="U2021" s="88" t="n"/>
      <c r="V2021" s="89" t="n"/>
      <c r="W2021" s="88" t="n"/>
      <c r="X2021" s="89" t="n"/>
      <c r="Y2021" s="88" t="n"/>
      <c r="Z2021" s="89" t="n"/>
      <c r="AB2021" s="30">
        <f>IF($B2021="","",(COUNTIF(C2021:E2021,"?*")&lt;N(INDEX(Setup!$L$6:$L$23,14)))+(COUNTIF(G2021:I2021,"?*")&lt;N(INDEX(Setup!$L$6:$L$23,14)))+(COUNTIF(K2021:M2021,"?*")&lt;N(INDEX(Setup!$L$6:$L$23,14)))+(COUNTIF(O2021:Q2021,"?*")&lt;N(INDEX(Setup!$L$6:$L$23,14)))+(COUNTIF(S2021:U2021,"?*")&lt;N(INDEX(Setup!$L$6:$L$23,14)))+((W2021="")*(INDEX(Setup!$M$6:$M$23,14)="Y"))+((Y2021="")*(INDEX(Setup!$M$6:$M$23,14)="Y")))</f>
        <v/>
      </c>
      <c r="AC2021" s="91">
        <f>IF($B2021="","",IF(AB2021=0,"✓ covered","⚠ "&amp;AB2021&amp;IF(AB2021=1," gap"," gaps")))</f>
        <v/>
      </c>
    </row>
    <row r="2022" ht="17" customHeight="1">
      <c r="A2022" t="n">
        <v>41</v>
      </c>
      <c r="B2022" s="24">
        <f>IF(Setup!$K$20="","",Setup!$K$20)</f>
        <v/>
      </c>
      <c r="C2022" s="88" t="n"/>
      <c r="D2022" s="88" t="n"/>
      <c r="E2022" s="88" t="n"/>
      <c r="F2022" s="89" t="n"/>
      <c r="G2022" s="88" t="n"/>
      <c r="H2022" s="88" t="n"/>
      <c r="I2022" s="88" t="n"/>
      <c r="J2022" s="89" t="n"/>
      <c r="K2022" s="88" t="n"/>
      <c r="L2022" s="88" t="n"/>
      <c r="M2022" s="88" t="n"/>
      <c r="N2022" s="89" t="n"/>
      <c r="O2022" s="88" t="n"/>
      <c r="P2022" s="88" t="n"/>
      <c r="Q2022" s="88" t="n"/>
      <c r="R2022" s="89" t="n"/>
      <c r="S2022" s="88" t="n"/>
      <c r="T2022" s="88" t="n"/>
      <c r="U2022" s="88" t="n"/>
      <c r="V2022" s="89" t="n"/>
      <c r="W2022" s="88" t="n"/>
      <c r="X2022" s="89" t="n"/>
      <c r="Y2022" s="88" t="n"/>
      <c r="Z2022" s="89" t="n"/>
      <c r="AB2022" s="25">
        <f>IF($B2022="","",(COUNTIF(C2022:E2022,"?*")&lt;N(INDEX(Setup!$L$6:$L$23,15)))+(COUNTIF(G2022:I2022,"?*")&lt;N(INDEX(Setup!$L$6:$L$23,15)))+(COUNTIF(K2022:M2022,"?*")&lt;N(INDEX(Setup!$L$6:$L$23,15)))+(COUNTIF(O2022:Q2022,"?*")&lt;N(INDEX(Setup!$L$6:$L$23,15)))+(COUNTIF(S2022:U2022,"?*")&lt;N(INDEX(Setup!$L$6:$L$23,15)))+((W2022="")*(INDEX(Setup!$M$6:$M$23,15)="Y"))+((Y2022="")*(INDEX(Setup!$M$6:$M$23,15)="Y")))</f>
        <v/>
      </c>
      <c r="AC2022" s="90">
        <f>IF($B2022="","",IF(AB2022=0,"✓ covered","⚠ "&amp;AB2022&amp;IF(AB2022=1," gap"," gaps")))</f>
        <v/>
      </c>
    </row>
    <row r="2023" ht="17" customHeight="1">
      <c r="A2023" t="n">
        <v>41</v>
      </c>
      <c r="B2023" s="29">
        <f>IF(Setup!$K$21="","",Setup!$K$21)</f>
        <v/>
      </c>
      <c r="C2023" s="88" t="n"/>
      <c r="D2023" s="88" t="n"/>
      <c r="E2023" s="88" t="n"/>
      <c r="F2023" s="89" t="n"/>
      <c r="G2023" s="88" t="n"/>
      <c r="H2023" s="88" t="n"/>
      <c r="I2023" s="88" t="n"/>
      <c r="J2023" s="89" t="n"/>
      <c r="K2023" s="88" t="n"/>
      <c r="L2023" s="88" t="n"/>
      <c r="M2023" s="88" t="n"/>
      <c r="N2023" s="89" t="n"/>
      <c r="O2023" s="88" t="n"/>
      <c r="P2023" s="88" t="n"/>
      <c r="Q2023" s="88" t="n"/>
      <c r="R2023" s="89" t="n"/>
      <c r="S2023" s="88" t="n"/>
      <c r="T2023" s="88" t="n"/>
      <c r="U2023" s="88" t="n"/>
      <c r="V2023" s="89" t="n"/>
      <c r="W2023" s="88" t="n"/>
      <c r="X2023" s="89" t="n"/>
      <c r="Y2023" s="88" t="n"/>
      <c r="Z2023" s="89" t="n"/>
      <c r="AB2023" s="30">
        <f>IF($B2023="","",(COUNTIF(C2023:E2023,"?*")&lt;N(INDEX(Setup!$L$6:$L$23,16)))+(COUNTIF(G2023:I2023,"?*")&lt;N(INDEX(Setup!$L$6:$L$23,16)))+(COUNTIF(K2023:M2023,"?*")&lt;N(INDEX(Setup!$L$6:$L$23,16)))+(COUNTIF(O2023:Q2023,"?*")&lt;N(INDEX(Setup!$L$6:$L$23,16)))+(COUNTIF(S2023:U2023,"?*")&lt;N(INDEX(Setup!$L$6:$L$23,16)))+((W2023="")*(INDEX(Setup!$M$6:$M$23,16)="Y"))+((Y2023="")*(INDEX(Setup!$M$6:$M$23,16)="Y")))</f>
        <v/>
      </c>
      <c r="AC2023" s="91">
        <f>IF($B2023="","",IF(AB2023=0,"✓ covered","⚠ "&amp;AB2023&amp;IF(AB2023=1," gap"," gaps")))</f>
        <v/>
      </c>
    </row>
    <row r="2024" ht="17" customHeight="1">
      <c r="A2024" t="n">
        <v>41</v>
      </c>
      <c r="B2024" s="24">
        <f>IF(Setup!$K$22="","",Setup!$K$22)</f>
        <v/>
      </c>
      <c r="C2024" s="88" t="n"/>
      <c r="D2024" s="88" t="n"/>
      <c r="E2024" s="88" t="n"/>
      <c r="F2024" s="89" t="n"/>
      <c r="G2024" s="88" t="n"/>
      <c r="H2024" s="88" t="n"/>
      <c r="I2024" s="88" t="n"/>
      <c r="J2024" s="89" t="n"/>
      <c r="K2024" s="88" t="n"/>
      <c r="L2024" s="88" t="n"/>
      <c r="M2024" s="88" t="n"/>
      <c r="N2024" s="89" t="n"/>
      <c r="O2024" s="88" t="n"/>
      <c r="P2024" s="88" t="n"/>
      <c r="Q2024" s="88" t="n"/>
      <c r="R2024" s="89" t="n"/>
      <c r="S2024" s="88" t="n"/>
      <c r="T2024" s="88" t="n"/>
      <c r="U2024" s="88" t="n"/>
      <c r="V2024" s="89" t="n"/>
      <c r="W2024" s="88" t="n"/>
      <c r="X2024" s="89" t="n"/>
      <c r="Y2024" s="88" t="n"/>
      <c r="Z2024" s="89" t="n"/>
      <c r="AB2024" s="25">
        <f>IF($B2024="","",(COUNTIF(C2024:E2024,"?*")&lt;N(INDEX(Setup!$L$6:$L$23,17)))+(COUNTIF(G2024:I2024,"?*")&lt;N(INDEX(Setup!$L$6:$L$23,17)))+(COUNTIF(K2024:M2024,"?*")&lt;N(INDEX(Setup!$L$6:$L$23,17)))+(COUNTIF(O2024:Q2024,"?*")&lt;N(INDEX(Setup!$L$6:$L$23,17)))+(COUNTIF(S2024:U2024,"?*")&lt;N(INDEX(Setup!$L$6:$L$23,17)))+((W2024="")*(INDEX(Setup!$M$6:$M$23,17)="Y"))+((Y2024="")*(INDEX(Setup!$M$6:$M$23,17)="Y")))</f>
        <v/>
      </c>
      <c r="AC2024" s="90">
        <f>IF($B2024="","",IF(AB2024=0,"✓ covered","⚠ "&amp;AB2024&amp;IF(AB2024=1," gap"," gaps")))</f>
        <v/>
      </c>
    </row>
    <row r="2025" ht="17" customHeight="1">
      <c r="A2025" t="n">
        <v>41</v>
      </c>
      <c r="B2025" s="29">
        <f>IF(Setup!$K$23="","",Setup!$K$23)</f>
        <v/>
      </c>
      <c r="C2025" s="88" t="n"/>
      <c r="D2025" s="88" t="n"/>
      <c r="E2025" s="88" t="n"/>
      <c r="F2025" s="89" t="n"/>
      <c r="G2025" s="88" t="n"/>
      <c r="H2025" s="88" t="n"/>
      <c r="I2025" s="88" t="n"/>
      <c r="J2025" s="89" t="n"/>
      <c r="K2025" s="88" t="n"/>
      <c r="L2025" s="88" t="n"/>
      <c r="M2025" s="88" t="n"/>
      <c r="N2025" s="89" t="n"/>
      <c r="O2025" s="88" t="n"/>
      <c r="P2025" s="88" t="n"/>
      <c r="Q2025" s="88" t="n"/>
      <c r="R2025" s="89" t="n"/>
      <c r="S2025" s="88" t="n"/>
      <c r="T2025" s="88" t="n"/>
      <c r="U2025" s="88" t="n"/>
      <c r="V2025" s="89" t="n"/>
      <c r="W2025" s="88" t="n"/>
      <c r="X2025" s="89" t="n"/>
      <c r="Y2025" s="88" t="n"/>
      <c r="Z2025" s="89" t="n"/>
      <c r="AB2025" s="30">
        <f>IF($B2025="","",(COUNTIF(C2025:E2025,"?*")&lt;N(INDEX(Setup!$L$6:$L$23,18)))+(COUNTIF(G2025:I2025,"?*")&lt;N(INDEX(Setup!$L$6:$L$23,18)))+(COUNTIF(K2025:M2025,"?*")&lt;N(INDEX(Setup!$L$6:$L$23,18)))+(COUNTIF(O2025:Q2025,"?*")&lt;N(INDEX(Setup!$L$6:$L$23,18)))+(COUNTIF(S2025:U2025,"?*")&lt;N(INDEX(Setup!$L$6:$L$23,18)))+((W2025="")*(INDEX(Setup!$M$6:$M$23,18)="Y"))+((Y2025="")*(INDEX(Setup!$M$6:$M$23,18)="Y")))</f>
        <v/>
      </c>
      <c r="AC2025" s="91">
        <f>IF($B2025="","",IF(AB2025=0,"✓ covered","⚠ "&amp;AB2025&amp;IF(AB2025=1," gap"," gaps")))</f>
        <v/>
      </c>
    </row>
    <row r="2026" ht="18" customHeight="1">
      <c r="A2026" t="n">
        <v>41</v>
      </c>
      <c r="B2026" s="78" t="inlineStr">
        <is>
          <t>TEAM AVAILABILITY</t>
        </is>
      </c>
      <c r="C2026" s="92" t="inlineStr">
        <is>
          <t>Mon</t>
        </is>
      </c>
      <c r="D2026" s="93" t="n"/>
      <c r="E2026" s="93" t="n"/>
      <c r="F2026" s="94" t="n"/>
      <c r="G2026" s="92" t="inlineStr">
        <is>
          <t>Tue</t>
        </is>
      </c>
      <c r="H2026" s="93" t="n"/>
      <c r="I2026" s="93" t="n"/>
      <c r="J2026" s="94" t="n"/>
      <c r="K2026" s="92" t="inlineStr">
        <is>
          <t>Wed</t>
        </is>
      </c>
      <c r="L2026" s="93" t="n"/>
      <c r="M2026" s="93" t="n"/>
      <c r="N2026" s="94" t="n"/>
      <c r="O2026" s="92" t="inlineStr">
        <is>
          <t>Thu</t>
        </is>
      </c>
      <c r="P2026" s="93" t="n"/>
      <c r="Q2026" s="93" t="n"/>
      <c r="R2026" s="94" t="n"/>
      <c r="S2026" s="92" t="inlineStr">
        <is>
          <t>Fri</t>
        </is>
      </c>
      <c r="T2026" s="93" t="n"/>
      <c r="U2026" s="93" t="n"/>
      <c r="V2026" s="94" t="n"/>
      <c r="W2026" s="95" t="inlineStr">
        <is>
          <t>Sat</t>
        </is>
      </c>
      <c r="X2026" s="96" t="n"/>
      <c r="Y2026" s="95" t="inlineStr">
        <is>
          <t>Sun</t>
        </is>
      </c>
      <c r="Z2026" s="96" t="n"/>
      <c r="AB2026" s="97" t="inlineStr">
        <is>
          <t>Days rostered</t>
        </is>
      </c>
      <c r="AC2026" s="97" t="inlineStr">
        <is>
          <t>Conflicts</t>
        </is>
      </c>
    </row>
    <row r="2027" ht="15" customHeight="1">
      <c r="A2027" t="n">
        <v>41</v>
      </c>
      <c r="B2027" s="35">
        <f>IF(Setup!$B$6="","",Setup!$B$6)</f>
        <v/>
      </c>
      <c r="C2027" s="98" t="n"/>
      <c r="D2027" s="99" t="n"/>
      <c r="E2027" s="99" t="n"/>
      <c r="F2027" s="100" t="n"/>
      <c r="G2027" s="98" t="n"/>
      <c r="H2027" s="99" t="n"/>
      <c r="I2027" s="99" t="n"/>
      <c r="J2027" s="100" t="n"/>
      <c r="K2027" s="98" t="n"/>
      <c r="L2027" s="99" t="n"/>
      <c r="M2027" s="99" t="n"/>
      <c r="N2027" s="100" t="n"/>
      <c r="O2027" s="98" t="n"/>
      <c r="P2027" s="99" t="n"/>
      <c r="Q2027" s="99" t="n"/>
      <c r="R2027" s="100" t="n"/>
      <c r="S2027" s="98" t="n"/>
      <c r="T2027" s="99" t="n"/>
      <c r="U2027" s="99" t="n"/>
      <c r="V2027" s="100" t="n"/>
      <c r="W2027" s="98" t="n"/>
      <c r="X2027" s="100" t="n"/>
      <c r="Y2027" s="98" t="n"/>
      <c r="Z2027" s="100" t="n"/>
      <c r="AB2027" s="101">
        <f>IF($B2027="","",(COUNTIF(C2008:E2025,$B2027)+COUNTIF(C2008:E2025,$B2027&amp;" ~*")&gt;0)+(COUNTIF(G2008:I2025,$B2027)+COUNTIF(G2008:I2025,$B2027&amp;" ~*")&gt;0)+(COUNTIF(K2008:M2025,$B2027)+COUNTIF(K2008:M2025,$B2027&amp;" ~*")&gt;0)+(COUNTIF(O2008:Q2025,$B2027)+COUNTIF(O2008:Q2025,$B2027&amp;" ~*")&gt;0)+(COUNTIF(S2008:U2025,$B2027)+COUNTIF(S2008:U2025,$B2027&amp;" ~*")&gt;0)+(COUNTIF(W2008:W2025,$B2027)+COUNTIF(W2008:W2025,$B2027&amp;" ~*")&gt;0)+(COUNTIF(Y2008:Y2025,$B2027)+COUNTIF(Y2008:Y2025,$B2027&amp;" ~*")&gt;0))</f>
        <v/>
      </c>
      <c r="AC2027" s="36">
        <f>IF($B2027="","",(IFERROR(INDEX(Setup!$G$33:$G$40,MATCH(C2027,Setup!$B$33:$B$40,0)),0)=1)*(COUNTIF(C2008:E2025,$B2027)+COUNTIF(C2008:E2025,$B2027&amp;" ~*")&gt;0)+(IFERROR(INDEX(Setup!$G$33:$G$40,MATCH(G2027,Setup!$B$33:$B$40,0)),0)=1)*(COUNTIF(G2008:I2025,$B2027)+COUNTIF(G2008:I2025,$B2027&amp;" ~*")&gt;0)+(IFERROR(INDEX(Setup!$G$33:$G$40,MATCH(K2027,Setup!$B$33:$B$40,0)),0)=1)*(COUNTIF(K2008:M2025,$B2027)+COUNTIF(K2008:M2025,$B2027&amp;" ~*")&gt;0)+(IFERROR(INDEX(Setup!$G$33:$G$40,MATCH(O2027,Setup!$B$33:$B$40,0)),0)=1)*(COUNTIF(O2008:Q2025,$B2027)+COUNTIF(O2008:Q2025,$B2027&amp;" ~*")&gt;0)+(IFERROR(INDEX(Setup!$G$33:$G$40,MATCH(S2027,Setup!$B$33:$B$40,0)),0)=1)*(COUNTIF(S2008:U2025,$B2027)+COUNTIF(S2008:U2025,$B2027&amp;" ~*")&gt;0)+(IFERROR(INDEX(Setup!$G$33:$G$40,MATCH(W2027,Setup!$B$33:$B$40,0)),0)=1)*(COUNTIF(W2008:W2025,$B2027)+COUNTIF(W2008:W2025,$B2027&amp;" ~*")&gt;0)+(IFERROR(INDEX(Setup!$G$33:$G$40,MATCH(Y2027,Setup!$B$33:$B$40,0)),0)=1)*(COUNTIF(Y2008:Y2025,$B2027)+COUNTIF(Y2008:Y2025,$B2027&amp;" ~*")&gt;0))</f>
        <v/>
      </c>
    </row>
    <row r="2028" ht="15" customHeight="1">
      <c r="A2028" t="n">
        <v>41</v>
      </c>
      <c r="B2028" s="37">
        <f>IF(Setup!$B$7="","",Setup!$B$7)</f>
        <v/>
      </c>
      <c r="C2028" s="102" t="n"/>
      <c r="D2028" s="103" t="n"/>
      <c r="E2028" s="103" t="n"/>
      <c r="F2028" s="104" t="n"/>
      <c r="G2028" s="102" t="n"/>
      <c r="H2028" s="103" t="n"/>
      <c r="I2028" s="103" t="n"/>
      <c r="J2028" s="104" t="n"/>
      <c r="K2028" s="102" t="n"/>
      <c r="L2028" s="103" t="n"/>
      <c r="M2028" s="103" t="n"/>
      <c r="N2028" s="104" t="n"/>
      <c r="O2028" s="102" t="n"/>
      <c r="P2028" s="103" t="n"/>
      <c r="Q2028" s="103" t="n"/>
      <c r="R2028" s="104" t="n"/>
      <c r="S2028" s="102" t="n"/>
      <c r="T2028" s="103" t="n"/>
      <c r="U2028" s="103" t="n"/>
      <c r="V2028" s="104" t="n"/>
      <c r="W2028" s="102" t="n"/>
      <c r="X2028" s="104" t="n"/>
      <c r="Y2028" s="102" t="n"/>
      <c r="Z2028" s="104" t="n"/>
      <c r="AB2028" s="105">
        <f>IF($B2028="","",(COUNTIF(C2008:E2025,$B2028)+COUNTIF(C2008:E2025,$B2028&amp;" ~*")&gt;0)+(COUNTIF(G2008:I2025,$B2028)+COUNTIF(G2008:I2025,$B2028&amp;" ~*")&gt;0)+(COUNTIF(K2008:M2025,$B2028)+COUNTIF(K2008:M2025,$B2028&amp;" ~*")&gt;0)+(COUNTIF(O2008:Q2025,$B2028)+COUNTIF(O2008:Q2025,$B2028&amp;" ~*")&gt;0)+(COUNTIF(S2008:U2025,$B2028)+COUNTIF(S2008:U2025,$B2028&amp;" ~*")&gt;0)+(COUNTIF(W2008:W2025,$B2028)+COUNTIF(W2008:W2025,$B2028&amp;" ~*")&gt;0)+(COUNTIF(Y2008:Y2025,$B2028)+COUNTIF(Y2008:Y2025,$B2028&amp;" ~*")&gt;0))</f>
        <v/>
      </c>
      <c r="AC2028" s="38">
        <f>IF($B2028="","",(IFERROR(INDEX(Setup!$G$33:$G$40,MATCH(C2028,Setup!$B$33:$B$40,0)),0)=1)*(COUNTIF(C2008:E2025,$B2028)+COUNTIF(C2008:E2025,$B2028&amp;" ~*")&gt;0)+(IFERROR(INDEX(Setup!$G$33:$G$40,MATCH(G2028,Setup!$B$33:$B$40,0)),0)=1)*(COUNTIF(G2008:I2025,$B2028)+COUNTIF(G2008:I2025,$B2028&amp;" ~*")&gt;0)+(IFERROR(INDEX(Setup!$G$33:$G$40,MATCH(K2028,Setup!$B$33:$B$40,0)),0)=1)*(COUNTIF(K2008:M2025,$B2028)+COUNTIF(K2008:M2025,$B2028&amp;" ~*")&gt;0)+(IFERROR(INDEX(Setup!$G$33:$G$40,MATCH(O2028,Setup!$B$33:$B$40,0)),0)=1)*(COUNTIF(O2008:Q2025,$B2028)+COUNTIF(O2008:Q2025,$B2028&amp;" ~*")&gt;0)+(IFERROR(INDEX(Setup!$G$33:$G$40,MATCH(S2028,Setup!$B$33:$B$40,0)),0)=1)*(COUNTIF(S2008:U2025,$B2028)+COUNTIF(S2008:U2025,$B2028&amp;" ~*")&gt;0)+(IFERROR(INDEX(Setup!$G$33:$G$40,MATCH(W2028,Setup!$B$33:$B$40,0)),0)=1)*(COUNTIF(W2008:W2025,$B2028)+COUNTIF(W2008:W2025,$B2028&amp;" ~*")&gt;0)+(IFERROR(INDEX(Setup!$G$33:$G$40,MATCH(Y2028,Setup!$B$33:$B$40,0)),0)=1)*(COUNTIF(Y2008:Y2025,$B2028)+COUNTIF(Y2008:Y2025,$B2028&amp;" ~*")&gt;0))</f>
        <v/>
      </c>
    </row>
    <row r="2029" ht="15" customHeight="1">
      <c r="A2029" t="n">
        <v>41</v>
      </c>
      <c r="B2029" s="35">
        <f>IF(Setup!$B$8="","",Setup!$B$8)</f>
        <v/>
      </c>
      <c r="C2029" s="98" t="n"/>
      <c r="D2029" s="99" t="n"/>
      <c r="E2029" s="99" t="n"/>
      <c r="F2029" s="100" t="n"/>
      <c r="G2029" s="98" t="n"/>
      <c r="H2029" s="99" t="n"/>
      <c r="I2029" s="99" t="n"/>
      <c r="J2029" s="100" t="n"/>
      <c r="K2029" s="98" t="n"/>
      <c r="L2029" s="99" t="n"/>
      <c r="M2029" s="99" t="n"/>
      <c r="N2029" s="100" t="n"/>
      <c r="O2029" s="98" t="n"/>
      <c r="P2029" s="99" t="n"/>
      <c r="Q2029" s="99" t="n"/>
      <c r="R2029" s="100" t="n"/>
      <c r="S2029" s="98" t="n"/>
      <c r="T2029" s="99" t="n"/>
      <c r="U2029" s="99" t="n"/>
      <c r="V2029" s="100" t="n"/>
      <c r="W2029" s="98" t="n"/>
      <c r="X2029" s="100" t="n"/>
      <c r="Y2029" s="98" t="n"/>
      <c r="Z2029" s="100" t="n"/>
      <c r="AB2029" s="101">
        <f>IF($B2029="","",(COUNTIF(C2008:E2025,$B2029)+COUNTIF(C2008:E2025,$B2029&amp;" ~*")&gt;0)+(COUNTIF(G2008:I2025,$B2029)+COUNTIF(G2008:I2025,$B2029&amp;" ~*")&gt;0)+(COUNTIF(K2008:M2025,$B2029)+COUNTIF(K2008:M2025,$B2029&amp;" ~*")&gt;0)+(COUNTIF(O2008:Q2025,$B2029)+COUNTIF(O2008:Q2025,$B2029&amp;" ~*")&gt;0)+(COUNTIF(S2008:U2025,$B2029)+COUNTIF(S2008:U2025,$B2029&amp;" ~*")&gt;0)+(COUNTIF(W2008:W2025,$B2029)+COUNTIF(W2008:W2025,$B2029&amp;" ~*")&gt;0)+(COUNTIF(Y2008:Y2025,$B2029)+COUNTIF(Y2008:Y2025,$B2029&amp;" ~*")&gt;0))</f>
        <v/>
      </c>
      <c r="AC2029" s="36">
        <f>IF($B2029="","",(IFERROR(INDEX(Setup!$G$33:$G$40,MATCH(C2029,Setup!$B$33:$B$40,0)),0)=1)*(COUNTIF(C2008:E2025,$B2029)+COUNTIF(C2008:E2025,$B2029&amp;" ~*")&gt;0)+(IFERROR(INDEX(Setup!$G$33:$G$40,MATCH(G2029,Setup!$B$33:$B$40,0)),0)=1)*(COUNTIF(G2008:I2025,$B2029)+COUNTIF(G2008:I2025,$B2029&amp;" ~*")&gt;0)+(IFERROR(INDEX(Setup!$G$33:$G$40,MATCH(K2029,Setup!$B$33:$B$40,0)),0)=1)*(COUNTIF(K2008:M2025,$B2029)+COUNTIF(K2008:M2025,$B2029&amp;" ~*")&gt;0)+(IFERROR(INDEX(Setup!$G$33:$G$40,MATCH(O2029,Setup!$B$33:$B$40,0)),0)=1)*(COUNTIF(O2008:Q2025,$B2029)+COUNTIF(O2008:Q2025,$B2029&amp;" ~*")&gt;0)+(IFERROR(INDEX(Setup!$G$33:$G$40,MATCH(S2029,Setup!$B$33:$B$40,0)),0)=1)*(COUNTIF(S2008:U2025,$B2029)+COUNTIF(S2008:U2025,$B2029&amp;" ~*")&gt;0)+(IFERROR(INDEX(Setup!$G$33:$G$40,MATCH(W2029,Setup!$B$33:$B$40,0)),0)=1)*(COUNTIF(W2008:W2025,$B2029)+COUNTIF(W2008:W2025,$B2029&amp;" ~*")&gt;0)+(IFERROR(INDEX(Setup!$G$33:$G$40,MATCH(Y2029,Setup!$B$33:$B$40,0)),0)=1)*(COUNTIF(Y2008:Y2025,$B2029)+COUNTIF(Y2008:Y2025,$B2029&amp;" ~*")&gt;0))</f>
        <v/>
      </c>
    </row>
    <row r="2030" ht="15" customHeight="1">
      <c r="A2030" t="n">
        <v>41</v>
      </c>
      <c r="B2030" s="37">
        <f>IF(Setup!$B$9="","",Setup!$B$9)</f>
        <v/>
      </c>
      <c r="C2030" s="102" t="n"/>
      <c r="D2030" s="103" t="n"/>
      <c r="E2030" s="103" t="n"/>
      <c r="F2030" s="104" t="n"/>
      <c r="G2030" s="102" t="n"/>
      <c r="H2030" s="103" t="n"/>
      <c r="I2030" s="103" t="n"/>
      <c r="J2030" s="104" t="n"/>
      <c r="K2030" s="102" t="n"/>
      <c r="L2030" s="103" t="n"/>
      <c r="M2030" s="103" t="n"/>
      <c r="N2030" s="104" t="n"/>
      <c r="O2030" s="102" t="n"/>
      <c r="P2030" s="103" t="n"/>
      <c r="Q2030" s="103" t="n"/>
      <c r="R2030" s="104" t="n"/>
      <c r="S2030" s="102" t="n"/>
      <c r="T2030" s="103" t="n"/>
      <c r="U2030" s="103" t="n"/>
      <c r="V2030" s="104" t="n"/>
      <c r="W2030" s="102" t="n"/>
      <c r="X2030" s="104" t="n"/>
      <c r="Y2030" s="102" t="n"/>
      <c r="Z2030" s="104" t="n"/>
      <c r="AB2030" s="105">
        <f>IF($B2030="","",(COUNTIF(C2008:E2025,$B2030)+COUNTIF(C2008:E2025,$B2030&amp;" ~*")&gt;0)+(COUNTIF(G2008:I2025,$B2030)+COUNTIF(G2008:I2025,$B2030&amp;" ~*")&gt;0)+(COUNTIF(K2008:M2025,$B2030)+COUNTIF(K2008:M2025,$B2030&amp;" ~*")&gt;0)+(COUNTIF(O2008:Q2025,$B2030)+COUNTIF(O2008:Q2025,$B2030&amp;" ~*")&gt;0)+(COUNTIF(S2008:U2025,$B2030)+COUNTIF(S2008:U2025,$B2030&amp;" ~*")&gt;0)+(COUNTIF(W2008:W2025,$B2030)+COUNTIF(W2008:W2025,$B2030&amp;" ~*")&gt;0)+(COUNTIF(Y2008:Y2025,$B2030)+COUNTIF(Y2008:Y2025,$B2030&amp;" ~*")&gt;0))</f>
        <v/>
      </c>
      <c r="AC2030" s="38">
        <f>IF($B2030="","",(IFERROR(INDEX(Setup!$G$33:$G$40,MATCH(C2030,Setup!$B$33:$B$40,0)),0)=1)*(COUNTIF(C2008:E2025,$B2030)+COUNTIF(C2008:E2025,$B2030&amp;" ~*")&gt;0)+(IFERROR(INDEX(Setup!$G$33:$G$40,MATCH(G2030,Setup!$B$33:$B$40,0)),0)=1)*(COUNTIF(G2008:I2025,$B2030)+COUNTIF(G2008:I2025,$B2030&amp;" ~*")&gt;0)+(IFERROR(INDEX(Setup!$G$33:$G$40,MATCH(K2030,Setup!$B$33:$B$40,0)),0)=1)*(COUNTIF(K2008:M2025,$B2030)+COUNTIF(K2008:M2025,$B2030&amp;" ~*")&gt;0)+(IFERROR(INDEX(Setup!$G$33:$G$40,MATCH(O2030,Setup!$B$33:$B$40,0)),0)=1)*(COUNTIF(O2008:Q2025,$B2030)+COUNTIF(O2008:Q2025,$B2030&amp;" ~*")&gt;0)+(IFERROR(INDEX(Setup!$G$33:$G$40,MATCH(S2030,Setup!$B$33:$B$40,0)),0)=1)*(COUNTIF(S2008:U2025,$B2030)+COUNTIF(S2008:U2025,$B2030&amp;" ~*")&gt;0)+(IFERROR(INDEX(Setup!$G$33:$G$40,MATCH(W2030,Setup!$B$33:$B$40,0)),0)=1)*(COUNTIF(W2008:W2025,$B2030)+COUNTIF(W2008:W2025,$B2030&amp;" ~*")&gt;0)+(IFERROR(INDEX(Setup!$G$33:$G$40,MATCH(Y2030,Setup!$B$33:$B$40,0)),0)=1)*(COUNTIF(Y2008:Y2025,$B2030)+COUNTIF(Y2008:Y2025,$B2030&amp;" ~*")&gt;0))</f>
        <v/>
      </c>
    </row>
    <row r="2031" ht="15" customHeight="1">
      <c r="A2031" t="n">
        <v>41</v>
      </c>
      <c r="B2031" s="35">
        <f>IF(Setup!$B$10="","",Setup!$B$10)</f>
        <v/>
      </c>
      <c r="C2031" s="98" t="n"/>
      <c r="D2031" s="99" t="n"/>
      <c r="E2031" s="99" t="n"/>
      <c r="F2031" s="100" t="n"/>
      <c r="G2031" s="98" t="n"/>
      <c r="H2031" s="99" t="n"/>
      <c r="I2031" s="99" t="n"/>
      <c r="J2031" s="100" t="n"/>
      <c r="K2031" s="98" t="n"/>
      <c r="L2031" s="99" t="n"/>
      <c r="M2031" s="99" t="n"/>
      <c r="N2031" s="100" t="n"/>
      <c r="O2031" s="98" t="n"/>
      <c r="P2031" s="99" t="n"/>
      <c r="Q2031" s="99" t="n"/>
      <c r="R2031" s="100" t="n"/>
      <c r="S2031" s="98" t="n"/>
      <c r="T2031" s="99" t="n"/>
      <c r="U2031" s="99" t="n"/>
      <c r="V2031" s="100" t="n"/>
      <c r="W2031" s="98" t="n"/>
      <c r="X2031" s="100" t="n"/>
      <c r="Y2031" s="98" t="n"/>
      <c r="Z2031" s="100" t="n"/>
      <c r="AB2031" s="101">
        <f>IF($B2031="","",(COUNTIF(C2008:E2025,$B2031)+COUNTIF(C2008:E2025,$B2031&amp;" ~*")&gt;0)+(COUNTIF(G2008:I2025,$B2031)+COUNTIF(G2008:I2025,$B2031&amp;" ~*")&gt;0)+(COUNTIF(K2008:M2025,$B2031)+COUNTIF(K2008:M2025,$B2031&amp;" ~*")&gt;0)+(COUNTIF(O2008:Q2025,$B2031)+COUNTIF(O2008:Q2025,$B2031&amp;" ~*")&gt;0)+(COUNTIF(S2008:U2025,$B2031)+COUNTIF(S2008:U2025,$B2031&amp;" ~*")&gt;0)+(COUNTIF(W2008:W2025,$B2031)+COUNTIF(W2008:W2025,$B2031&amp;" ~*")&gt;0)+(COUNTIF(Y2008:Y2025,$B2031)+COUNTIF(Y2008:Y2025,$B2031&amp;" ~*")&gt;0))</f>
        <v/>
      </c>
      <c r="AC2031" s="36">
        <f>IF($B2031="","",(IFERROR(INDEX(Setup!$G$33:$G$40,MATCH(C2031,Setup!$B$33:$B$40,0)),0)=1)*(COUNTIF(C2008:E2025,$B2031)+COUNTIF(C2008:E2025,$B2031&amp;" ~*")&gt;0)+(IFERROR(INDEX(Setup!$G$33:$G$40,MATCH(G2031,Setup!$B$33:$B$40,0)),0)=1)*(COUNTIF(G2008:I2025,$B2031)+COUNTIF(G2008:I2025,$B2031&amp;" ~*")&gt;0)+(IFERROR(INDEX(Setup!$G$33:$G$40,MATCH(K2031,Setup!$B$33:$B$40,0)),0)=1)*(COUNTIF(K2008:M2025,$B2031)+COUNTIF(K2008:M2025,$B2031&amp;" ~*")&gt;0)+(IFERROR(INDEX(Setup!$G$33:$G$40,MATCH(O2031,Setup!$B$33:$B$40,0)),0)=1)*(COUNTIF(O2008:Q2025,$B2031)+COUNTIF(O2008:Q2025,$B2031&amp;" ~*")&gt;0)+(IFERROR(INDEX(Setup!$G$33:$G$40,MATCH(S2031,Setup!$B$33:$B$40,0)),0)=1)*(COUNTIF(S2008:U2025,$B2031)+COUNTIF(S2008:U2025,$B2031&amp;" ~*")&gt;0)+(IFERROR(INDEX(Setup!$G$33:$G$40,MATCH(W2031,Setup!$B$33:$B$40,0)),0)=1)*(COUNTIF(W2008:W2025,$B2031)+COUNTIF(W2008:W2025,$B2031&amp;" ~*")&gt;0)+(IFERROR(INDEX(Setup!$G$33:$G$40,MATCH(Y2031,Setup!$B$33:$B$40,0)),0)=1)*(COUNTIF(Y2008:Y2025,$B2031)+COUNTIF(Y2008:Y2025,$B2031&amp;" ~*")&gt;0))</f>
        <v/>
      </c>
    </row>
    <row r="2032" ht="15" customHeight="1">
      <c r="A2032" t="n">
        <v>41</v>
      </c>
      <c r="B2032" s="37">
        <f>IF(Setup!$B$11="","",Setup!$B$11)</f>
        <v/>
      </c>
      <c r="C2032" s="102" t="n"/>
      <c r="D2032" s="103" t="n"/>
      <c r="E2032" s="103" t="n"/>
      <c r="F2032" s="104" t="n"/>
      <c r="G2032" s="102" t="n"/>
      <c r="H2032" s="103" t="n"/>
      <c r="I2032" s="103" t="n"/>
      <c r="J2032" s="104" t="n"/>
      <c r="K2032" s="102" t="n"/>
      <c r="L2032" s="103" t="n"/>
      <c r="M2032" s="103" t="n"/>
      <c r="N2032" s="104" t="n"/>
      <c r="O2032" s="102" t="n"/>
      <c r="P2032" s="103" t="n"/>
      <c r="Q2032" s="103" t="n"/>
      <c r="R2032" s="104" t="n"/>
      <c r="S2032" s="102" t="n"/>
      <c r="T2032" s="103" t="n"/>
      <c r="U2032" s="103" t="n"/>
      <c r="V2032" s="104" t="n"/>
      <c r="W2032" s="102" t="n"/>
      <c r="X2032" s="104" t="n"/>
      <c r="Y2032" s="102" t="n"/>
      <c r="Z2032" s="104" t="n"/>
      <c r="AB2032" s="105">
        <f>IF($B2032="","",(COUNTIF(C2008:E2025,$B2032)+COUNTIF(C2008:E2025,$B2032&amp;" ~*")&gt;0)+(COUNTIF(G2008:I2025,$B2032)+COUNTIF(G2008:I2025,$B2032&amp;" ~*")&gt;0)+(COUNTIF(K2008:M2025,$B2032)+COUNTIF(K2008:M2025,$B2032&amp;" ~*")&gt;0)+(COUNTIF(O2008:Q2025,$B2032)+COUNTIF(O2008:Q2025,$B2032&amp;" ~*")&gt;0)+(COUNTIF(S2008:U2025,$B2032)+COUNTIF(S2008:U2025,$B2032&amp;" ~*")&gt;0)+(COUNTIF(W2008:W2025,$B2032)+COUNTIF(W2008:W2025,$B2032&amp;" ~*")&gt;0)+(COUNTIF(Y2008:Y2025,$B2032)+COUNTIF(Y2008:Y2025,$B2032&amp;" ~*")&gt;0))</f>
        <v/>
      </c>
      <c r="AC2032" s="38">
        <f>IF($B2032="","",(IFERROR(INDEX(Setup!$G$33:$G$40,MATCH(C2032,Setup!$B$33:$B$40,0)),0)=1)*(COUNTIF(C2008:E2025,$B2032)+COUNTIF(C2008:E2025,$B2032&amp;" ~*")&gt;0)+(IFERROR(INDEX(Setup!$G$33:$G$40,MATCH(G2032,Setup!$B$33:$B$40,0)),0)=1)*(COUNTIF(G2008:I2025,$B2032)+COUNTIF(G2008:I2025,$B2032&amp;" ~*")&gt;0)+(IFERROR(INDEX(Setup!$G$33:$G$40,MATCH(K2032,Setup!$B$33:$B$40,0)),0)=1)*(COUNTIF(K2008:M2025,$B2032)+COUNTIF(K2008:M2025,$B2032&amp;" ~*")&gt;0)+(IFERROR(INDEX(Setup!$G$33:$G$40,MATCH(O2032,Setup!$B$33:$B$40,0)),0)=1)*(COUNTIF(O2008:Q2025,$B2032)+COUNTIF(O2008:Q2025,$B2032&amp;" ~*")&gt;0)+(IFERROR(INDEX(Setup!$G$33:$G$40,MATCH(S2032,Setup!$B$33:$B$40,0)),0)=1)*(COUNTIF(S2008:U2025,$B2032)+COUNTIF(S2008:U2025,$B2032&amp;" ~*")&gt;0)+(IFERROR(INDEX(Setup!$G$33:$G$40,MATCH(W2032,Setup!$B$33:$B$40,0)),0)=1)*(COUNTIF(W2008:W2025,$B2032)+COUNTIF(W2008:W2025,$B2032&amp;" ~*")&gt;0)+(IFERROR(INDEX(Setup!$G$33:$G$40,MATCH(Y2032,Setup!$B$33:$B$40,0)),0)=1)*(COUNTIF(Y2008:Y2025,$B2032)+COUNTIF(Y2008:Y2025,$B2032&amp;" ~*")&gt;0))</f>
        <v/>
      </c>
    </row>
    <row r="2033" ht="15" customHeight="1">
      <c r="A2033" t="n">
        <v>41</v>
      </c>
      <c r="B2033" s="35">
        <f>IF(Setup!$B$12="","",Setup!$B$12)</f>
        <v/>
      </c>
      <c r="C2033" s="98" t="n"/>
      <c r="D2033" s="99" t="n"/>
      <c r="E2033" s="99" t="n"/>
      <c r="F2033" s="100" t="n"/>
      <c r="G2033" s="98" t="n"/>
      <c r="H2033" s="99" t="n"/>
      <c r="I2033" s="99" t="n"/>
      <c r="J2033" s="100" t="n"/>
      <c r="K2033" s="98" t="n"/>
      <c r="L2033" s="99" t="n"/>
      <c r="M2033" s="99" t="n"/>
      <c r="N2033" s="100" t="n"/>
      <c r="O2033" s="98" t="n"/>
      <c r="P2033" s="99" t="n"/>
      <c r="Q2033" s="99" t="n"/>
      <c r="R2033" s="100" t="n"/>
      <c r="S2033" s="98" t="n"/>
      <c r="T2033" s="99" t="n"/>
      <c r="U2033" s="99" t="n"/>
      <c r="V2033" s="100" t="n"/>
      <c r="W2033" s="98" t="n"/>
      <c r="X2033" s="100" t="n"/>
      <c r="Y2033" s="98" t="n"/>
      <c r="Z2033" s="100" t="n"/>
      <c r="AB2033" s="101">
        <f>IF($B2033="","",(COUNTIF(C2008:E2025,$B2033)+COUNTIF(C2008:E2025,$B2033&amp;" ~*")&gt;0)+(COUNTIF(G2008:I2025,$B2033)+COUNTIF(G2008:I2025,$B2033&amp;" ~*")&gt;0)+(COUNTIF(K2008:M2025,$B2033)+COUNTIF(K2008:M2025,$B2033&amp;" ~*")&gt;0)+(COUNTIF(O2008:Q2025,$B2033)+COUNTIF(O2008:Q2025,$B2033&amp;" ~*")&gt;0)+(COUNTIF(S2008:U2025,$B2033)+COUNTIF(S2008:U2025,$B2033&amp;" ~*")&gt;0)+(COUNTIF(W2008:W2025,$B2033)+COUNTIF(W2008:W2025,$B2033&amp;" ~*")&gt;0)+(COUNTIF(Y2008:Y2025,$B2033)+COUNTIF(Y2008:Y2025,$B2033&amp;" ~*")&gt;0))</f>
        <v/>
      </c>
      <c r="AC2033" s="36">
        <f>IF($B2033="","",(IFERROR(INDEX(Setup!$G$33:$G$40,MATCH(C2033,Setup!$B$33:$B$40,0)),0)=1)*(COUNTIF(C2008:E2025,$B2033)+COUNTIF(C2008:E2025,$B2033&amp;" ~*")&gt;0)+(IFERROR(INDEX(Setup!$G$33:$G$40,MATCH(G2033,Setup!$B$33:$B$40,0)),0)=1)*(COUNTIF(G2008:I2025,$B2033)+COUNTIF(G2008:I2025,$B2033&amp;" ~*")&gt;0)+(IFERROR(INDEX(Setup!$G$33:$G$40,MATCH(K2033,Setup!$B$33:$B$40,0)),0)=1)*(COUNTIF(K2008:M2025,$B2033)+COUNTIF(K2008:M2025,$B2033&amp;" ~*")&gt;0)+(IFERROR(INDEX(Setup!$G$33:$G$40,MATCH(O2033,Setup!$B$33:$B$40,0)),0)=1)*(COUNTIF(O2008:Q2025,$B2033)+COUNTIF(O2008:Q2025,$B2033&amp;" ~*")&gt;0)+(IFERROR(INDEX(Setup!$G$33:$G$40,MATCH(S2033,Setup!$B$33:$B$40,0)),0)=1)*(COUNTIF(S2008:U2025,$B2033)+COUNTIF(S2008:U2025,$B2033&amp;" ~*")&gt;0)+(IFERROR(INDEX(Setup!$G$33:$G$40,MATCH(W2033,Setup!$B$33:$B$40,0)),0)=1)*(COUNTIF(W2008:W2025,$B2033)+COUNTIF(W2008:W2025,$B2033&amp;" ~*")&gt;0)+(IFERROR(INDEX(Setup!$G$33:$G$40,MATCH(Y2033,Setup!$B$33:$B$40,0)),0)=1)*(COUNTIF(Y2008:Y2025,$B2033)+COUNTIF(Y2008:Y2025,$B2033&amp;" ~*")&gt;0))</f>
        <v/>
      </c>
    </row>
    <row r="2034" ht="15" customHeight="1">
      <c r="A2034" t="n">
        <v>41</v>
      </c>
      <c r="B2034" s="37">
        <f>IF(Setup!$B$13="","",Setup!$B$13)</f>
        <v/>
      </c>
      <c r="C2034" s="102" t="n"/>
      <c r="D2034" s="103" t="n"/>
      <c r="E2034" s="103" t="n"/>
      <c r="F2034" s="104" t="n"/>
      <c r="G2034" s="102" t="n"/>
      <c r="H2034" s="103" t="n"/>
      <c r="I2034" s="103" t="n"/>
      <c r="J2034" s="104" t="n"/>
      <c r="K2034" s="102" t="n"/>
      <c r="L2034" s="103" t="n"/>
      <c r="M2034" s="103" t="n"/>
      <c r="N2034" s="104" t="n"/>
      <c r="O2034" s="102" t="n"/>
      <c r="P2034" s="103" t="n"/>
      <c r="Q2034" s="103" t="n"/>
      <c r="R2034" s="104" t="n"/>
      <c r="S2034" s="102" t="n"/>
      <c r="T2034" s="103" t="n"/>
      <c r="U2034" s="103" t="n"/>
      <c r="V2034" s="104" t="n"/>
      <c r="W2034" s="102" t="n"/>
      <c r="X2034" s="104" t="n"/>
      <c r="Y2034" s="102" t="n"/>
      <c r="Z2034" s="104" t="n"/>
      <c r="AB2034" s="105">
        <f>IF($B2034="","",(COUNTIF(C2008:E2025,$B2034)+COUNTIF(C2008:E2025,$B2034&amp;" ~*")&gt;0)+(COUNTIF(G2008:I2025,$B2034)+COUNTIF(G2008:I2025,$B2034&amp;" ~*")&gt;0)+(COUNTIF(K2008:M2025,$B2034)+COUNTIF(K2008:M2025,$B2034&amp;" ~*")&gt;0)+(COUNTIF(O2008:Q2025,$B2034)+COUNTIF(O2008:Q2025,$B2034&amp;" ~*")&gt;0)+(COUNTIF(S2008:U2025,$B2034)+COUNTIF(S2008:U2025,$B2034&amp;" ~*")&gt;0)+(COUNTIF(W2008:W2025,$B2034)+COUNTIF(W2008:W2025,$B2034&amp;" ~*")&gt;0)+(COUNTIF(Y2008:Y2025,$B2034)+COUNTIF(Y2008:Y2025,$B2034&amp;" ~*")&gt;0))</f>
        <v/>
      </c>
      <c r="AC2034" s="38">
        <f>IF($B2034="","",(IFERROR(INDEX(Setup!$G$33:$G$40,MATCH(C2034,Setup!$B$33:$B$40,0)),0)=1)*(COUNTIF(C2008:E2025,$B2034)+COUNTIF(C2008:E2025,$B2034&amp;" ~*")&gt;0)+(IFERROR(INDEX(Setup!$G$33:$G$40,MATCH(G2034,Setup!$B$33:$B$40,0)),0)=1)*(COUNTIF(G2008:I2025,$B2034)+COUNTIF(G2008:I2025,$B2034&amp;" ~*")&gt;0)+(IFERROR(INDEX(Setup!$G$33:$G$40,MATCH(K2034,Setup!$B$33:$B$40,0)),0)=1)*(COUNTIF(K2008:M2025,$B2034)+COUNTIF(K2008:M2025,$B2034&amp;" ~*")&gt;0)+(IFERROR(INDEX(Setup!$G$33:$G$40,MATCH(O2034,Setup!$B$33:$B$40,0)),0)=1)*(COUNTIF(O2008:Q2025,$B2034)+COUNTIF(O2008:Q2025,$B2034&amp;" ~*")&gt;0)+(IFERROR(INDEX(Setup!$G$33:$G$40,MATCH(S2034,Setup!$B$33:$B$40,0)),0)=1)*(COUNTIF(S2008:U2025,$B2034)+COUNTIF(S2008:U2025,$B2034&amp;" ~*")&gt;0)+(IFERROR(INDEX(Setup!$G$33:$G$40,MATCH(W2034,Setup!$B$33:$B$40,0)),0)=1)*(COUNTIF(W2008:W2025,$B2034)+COUNTIF(W2008:W2025,$B2034&amp;" ~*")&gt;0)+(IFERROR(INDEX(Setup!$G$33:$G$40,MATCH(Y2034,Setup!$B$33:$B$40,0)),0)=1)*(COUNTIF(Y2008:Y2025,$B2034)+COUNTIF(Y2008:Y2025,$B2034&amp;" ~*")&gt;0))</f>
        <v/>
      </c>
    </row>
    <row r="2035" ht="15" customHeight="1">
      <c r="A2035" t="n">
        <v>41</v>
      </c>
      <c r="B2035" s="35">
        <f>IF(Setup!$B$14="","",Setup!$B$14)</f>
        <v/>
      </c>
      <c r="C2035" s="98" t="n"/>
      <c r="D2035" s="99" t="n"/>
      <c r="E2035" s="99" t="n"/>
      <c r="F2035" s="100" t="n"/>
      <c r="G2035" s="98" t="n"/>
      <c r="H2035" s="99" t="n"/>
      <c r="I2035" s="99" t="n"/>
      <c r="J2035" s="100" t="n"/>
      <c r="K2035" s="98" t="n"/>
      <c r="L2035" s="99" t="n"/>
      <c r="M2035" s="99" t="n"/>
      <c r="N2035" s="100" t="n"/>
      <c r="O2035" s="98" t="n"/>
      <c r="P2035" s="99" t="n"/>
      <c r="Q2035" s="99" t="n"/>
      <c r="R2035" s="100" t="n"/>
      <c r="S2035" s="98" t="n"/>
      <c r="T2035" s="99" t="n"/>
      <c r="U2035" s="99" t="n"/>
      <c r="V2035" s="100" t="n"/>
      <c r="W2035" s="98" t="n"/>
      <c r="X2035" s="100" t="n"/>
      <c r="Y2035" s="98" t="n"/>
      <c r="Z2035" s="100" t="n"/>
      <c r="AB2035" s="101">
        <f>IF($B2035="","",(COUNTIF(C2008:E2025,$B2035)+COUNTIF(C2008:E2025,$B2035&amp;" ~*")&gt;0)+(COUNTIF(G2008:I2025,$B2035)+COUNTIF(G2008:I2025,$B2035&amp;" ~*")&gt;0)+(COUNTIF(K2008:M2025,$B2035)+COUNTIF(K2008:M2025,$B2035&amp;" ~*")&gt;0)+(COUNTIF(O2008:Q2025,$B2035)+COUNTIF(O2008:Q2025,$B2035&amp;" ~*")&gt;0)+(COUNTIF(S2008:U2025,$B2035)+COUNTIF(S2008:U2025,$B2035&amp;" ~*")&gt;0)+(COUNTIF(W2008:W2025,$B2035)+COUNTIF(W2008:W2025,$B2035&amp;" ~*")&gt;0)+(COUNTIF(Y2008:Y2025,$B2035)+COUNTIF(Y2008:Y2025,$B2035&amp;" ~*")&gt;0))</f>
        <v/>
      </c>
      <c r="AC2035" s="36">
        <f>IF($B2035="","",(IFERROR(INDEX(Setup!$G$33:$G$40,MATCH(C2035,Setup!$B$33:$B$40,0)),0)=1)*(COUNTIF(C2008:E2025,$B2035)+COUNTIF(C2008:E2025,$B2035&amp;" ~*")&gt;0)+(IFERROR(INDEX(Setup!$G$33:$G$40,MATCH(G2035,Setup!$B$33:$B$40,0)),0)=1)*(COUNTIF(G2008:I2025,$B2035)+COUNTIF(G2008:I2025,$B2035&amp;" ~*")&gt;0)+(IFERROR(INDEX(Setup!$G$33:$G$40,MATCH(K2035,Setup!$B$33:$B$40,0)),0)=1)*(COUNTIF(K2008:M2025,$B2035)+COUNTIF(K2008:M2025,$B2035&amp;" ~*")&gt;0)+(IFERROR(INDEX(Setup!$G$33:$G$40,MATCH(O2035,Setup!$B$33:$B$40,0)),0)=1)*(COUNTIF(O2008:Q2025,$B2035)+COUNTIF(O2008:Q2025,$B2035&amp;" ~*")&gt;0)+(IFERROR(INDEX(Setup!$G$33:$G$40,MATCH(S2035,Setup!$B$33:$B$40,0)),0)=1)*(COUNTIF(S2008:U2025,$B2035)+COUNTIF(S2008:U2025,$B2035&amp;" ~*")&gt;0)+(IFERROR(INDEX(Setup!$G$33:$G$40,MATCH(W2035,Setup!$B$33:$B$40,0)),0)=1)*(COUNTIF(W2008:W2025,$B2035)+COUNTIF(W2008:W2025,$B2035&amp;" ~*")&gt;0)+(IFERROR(INDEX(Setup!$G$33:$G$40,MATCH(Y2035,Setup!$B$33:$B$40,0)),0)=1)*(COUNTIF(Y2008:Y2025,$B2035)+COUNTIF(Y2008:Y2025,$B2035&amp;" ~*")&gt;0))</f>
        <v/>
      </c>
    </row>
    <row r="2036" ht="15" customHeight="1">
      <c r="A2036" t="n">
        <v>41</v>
      </c>
      <c r="B2036" s="37">
        <f>IF(Setup!$B$15="","",Setup!$B$15)</f>
        <v/>
      </c>
      <c r="C2036" s="102" t="n"/>
      <c r="D2036" s="103" t="n"/>
      <c r="E2036" s="103" t="n"/>
      <c r="F2036" s="104" t="n"/>
      <c r="G2036" s="102" t="n"/>
      <c r="H2036" s="103" t="n"/>
      <c r="I2036" s="103" t="n"/>
      <c r="J2036" s="104" t="n"/>
      <c r="K2036" s="102" t="n"/>
      <c r="L2036" s="103" t="n"/>
      <c r="M2036" s="103" t="n"/>
      <c r="N2036" s="104" t="n"/>
      <c r="O2036" s="102" t="n"/>
      <c r="P2036" s="103" t="n"/>
      <c r="Q2036" s="103" t="n"/>
      <c r="R2036" s="104" t="n"/>
      <c r="S2036" s="102" t="n"/>
      <c r="T2036" s="103" t="n"/>
      <c r="U2036" s="103" t="n"/>
      <c r="V2036" s="104" t="n"/>
      <c r="W2036" s="102" t="n"/>
      <c r="X2036" s="104" t="n"/>
      <c r="Y2036" s="102" t="n"/>
      <c r="Z2036" s="104" t="n"/>
      <c r="AB2036" s="105">
        <f>IF($B2036="","",(COUNTIF(C2008:E2025,$B2036)+COUNTIF(C2008:E2025,$B2036&amp;" ~*")&gt;0)+(COUNTIF(G2008:I2025,$B2036)+COUNTIF(G2008:I2025,$B2036&amp;" ~*")&gt;0)+(COUNTIF(K2008:M2025,$B2036)+COUNTIF(K2008:M2025,$B2036&amp;" ~*")&gt;0)+(COUNTIF(O2008:Q2025,$B2036)+COUNTIF(O2008:Q2025,$B2036&amp;" ~*")&gt;0)+(COUNTIF(S2008:U2025,$B2036)+COUNTIF(S2008:U2025,$B2036&amp;" ~*")&gt;0)+(COUNTIF(W2008:W2025,$B2036)+COUNTIF(W2008:W2025,$B2036&amp;" ~*")&gt;0)+(COUNTIF(Y2008:Y2025,$B2036)+COUNTIF(Y2008:Y2025,$B2036&amp;" ~*")&gt;0))</f>
        <v/>
      </c>
      <c r="AC2036" s="38">
        <f>IF($B2036="","",(IFERROR(INDEX(Setup!$G$33:$G$40,MATCH(C2036,Setup!$B$33:$B$40,0)),0)=1)*(COUNTIF(C2008:E2025,$B2036)+COUNTIF(C2008:E2025,$B2036&amp;" ~*")&gt;0)+(IFERROR(INDEX(Setup!$G$33:$G$40,MATCH(G2036,Setup!$B$33:$B$40,0)),0)=1)*(COUNTIF(G2008:I2025,$B2036)+COUNTIF(G2008:I2025,$B2036&amp;" ~*")&gt;0)+(IFERROR(INDEX(Setup!$G$33:$G$40,MATCH(K2036,Setup!$B$33:$B$40,0)),0)=1)*(COUNTIF(K2008:M2025,$B2036)+COUNTIF(K2008:M2025,$B2036&amp;" ~*")&gt;0)+(IFERROR(INDEX(Setup!$G$33:$G$40,MATCH(O2036,Setup!$B$33:$B$40,0)),0)=1)*(COUNTIF(O2008:Q2025,$B2036)+COUNTIF(O2008:Q2025,$B2036&amp;" ~*")&gt;0)+(IFERROR(INDEX(Setup!$G$33:$G$40,MATCH(S2036,Setup!$B$33:$B$40,0)),0)=1)*(COUNTIF(S2008:U2025,$B2036)+COUNTIF(S2008:U2025,$B2036&amp;" ~*")&gt;0)+(IFERROR(INDEX(Setup!$G$33:$G$40,MATCH(W2036,Setup!$B$33:$B$40,0)),0)=1)*(COUNTIF(W2008:W2025,$B2036)+COUNTIF(W2008:W2025,$B2036&amp;" ~*")&gt;0)+(IFERROR(INDEX(Setup!$G$33:$G$40,MATCH(Y2036,Setup!$B$33:$B$40,0)),0)=1)*(COUNTIF(Y2008:Y2025,$B2036)+COUNTIF(Y2008:Y2025,$B2036&amp;" ~*")&gt;0))</f>
        <v/>
      </c>
    </row>
    <row r="2037" ht="15" customHeight="1">
      <c r="A2037" t="n">
        <v>41</v>
      </c>
      <c r="B2037" s="35">
        <f>IF(Setup!$B$16="","",Setup!$B$16)</f>
        <v/>
      </c>
      <c r="C2037" s="98" t="n"/>
      <c r="D2037" s="99" t="n"/>
      <c r="E2037" s="99" t="n"/>
      <c r="F2037" s="100" t="n"/>
      <c r="G2037" s="98" t="n"/>
      <c r="H2037" s="99" t="n"/>
      <c r="I2037" s="99" t="n"/>
      <c r="J2037" s="100" t="n"/>
      <c r="K2037" s="98" t="n"/>
      <c r="L2037" s="99" t="n"/>
      <c r="M2037" s="99" t="n"/>
      <c r="N2037" s="100" t="n"/>
      <c r="O2037" s="98" t="n"/>
      <c r="P2037" s="99" t="n"/>
      <c r="Q2037" s="99" t="n"/>
      <c r="R2037" s="100" t="n"/>
      <c r="S2037" s="98" t="n"/>
      <c r="T2037" s="99" t="n"/>
      <c r="U2037" s="99" t="n"/>
      <c r="V2037" s="100" t="n"/>
      <c r="W2037" s="98" t="n"/>
      <c r="X2037" s="100" t="n"/>
      <c r="Y2037" s="98" t="n"/>
      <c r="Z2037" s="100" t="n"/>
      <c r="AB2037" s="101">
        <f>IF($B2037="","",(COUNTIF(C2008:E2025,$B2037)+COUNTIF(C2008:E2025,$B2037&amp;" ~*")&gt;0)+(COUNTIF(G2008:I2025,$B2037)+COUNTIF(G2008:I2025,$B2037&amp;" ~*")&gt;0)+(COUNTIF(K2008:M2025,$B2037)+COUNTIF(K2008:M2025,$B2037&amp;" ~*")&gt;0)+(COUNTIF(O2008:Q2025,$B2037)+COUNTIF(O2008:Q2025,$B2037&amp;" ~*")&gt;0)+(COUNTIF(S2008:U2025,$B2037)+COUNTIF(S2008:U2025,$B2037&amp;" ~*")&gt;0)+(COUNTIF(W2008:W2025,$B2037)+COUNTIF(W2008:W2025,$B2037&amp;" ~*")&gt;0)+(COUNTIF(Y2008:Y2025,$B2037)+COUNTIF(Y2008:Y2025,$B2037&amp;" ~*")&gt;0))</f>
        <v/>
      </c>
      <c r="AC2037" s="36">
        <f>IF($B2037="","",(IFERROR(INDEX(Setup!$G$33:$G$40,MATCH(C2037,Setup!$B$33:$B$40,0)),0)=1)*(COUNTIF(C2008:E2025,$B2037)+COUNTIF(C2008:E2025,$B2037&amp;" ~*")&gt;0)+(IFERROR(INDEX(Setup!$G$33:$G$40,MATCH(G2037,Setup!$B$33:$B$40,0)),0)=1)*(COUNTIF(G2008:I2025,$B2037)+COUNTIF(G2008:I2025,$B2037&amp;" ~*")&gt;0)+(IFERROR(INDEX(Setup!$G$33:$G$40,MATCH(K2037,Setup!$B$33:$B$40,0)),0)=1)*(COUNTIF(K2008:M2025,$B2037)+COUNTIF(K2008:M2025,$B2037&amp;" ~*")&gt;0)+(IFERROR(INDEX(Setup!$G$33:$G$40,MATCH(O2037,Setup!$B$33:$B$40,0)),0)=1)*(COUNTIF(O2008:Q2025,$B2037)+COUNTIF(O2008:Q2025,$B2037&amp;" ~*")&gt;0)+(IFERROR(INDEX(Setup!$G$33:$G$40,MATCH(S2037,Setup!$B$33:$B$40,0)),0)=1)*(COUNTIF(S2008:U2025,$B2037)+COUNTIF(S2008:U2025,$B2037&amp;" ~*")&gt;0)+(IFERROR(INDEX(Setup!$G$33:$G$40,MATCH(W2037,Setup!$B$33:$B$40,0)),0)=1)*(COUNTIF(W2008:W2025,$B2037)+COUNTIF(W2008:W2025,$B2037&amp;" ~*")&gt;0)+(IFERROR(INDEX(Setup!$G$33:$G$40,MATCH(Y2037,Setup!$B$33:$B$40,0)),0)=1)*(COUNTIF(Y2008:Y2025,$B2037)+COUNTIF(Y2008:Y2025,$B2037&amp;" ~*")&gt;0))</f>
        <v/>
      </c>
    </row>
    <row r="2038" ht="15" customHeight="1">
      <c r="A2038" t="n">
        <v>41</v>
      </c>
      <c r="B2038" s="37">
        <f>IF(Setup!$B$17="","",Setup!$B$17)</f>
        <v/>
      </c>
      <c r="C2038" s="102" t="n"/>
      <c r="D2038" s="103" t="n"/>
      <c r="E2038" s="103" t="n"/>
      <c r="F2038" s="104" t="n"/>
      <c r="G2038" s="102" t="n"/>
      <c r="H2038" s="103" t="n"/>
      <c r="I2038" s="103" t="n"/>
      <c r="J2038" s="104" t="n"/>
      <c r="K2038" s="102" t="n"/>
      <c r="L2038" s="103" t="n"/>
      <c r="M2038" s="103" t="n"/>
      <c r="N2038" s="104" t="n"/>
      <c r="O2038" s="102" t="n"/>
      <c r="P2038" s="103" t="n"/>
      <c r="Q2038" s="103" t="n"/>
      <c r="R2038" s="104" t="n"/>
      <c r="S2038" s="102" t="n"/>
      <c r="T2038" s="103" t="n"/>
      <c r="U2038" s="103" t="n"/>
      <c r="V2038" s="104" t="n"/>
      <c r="W2038" s="102" t="n"/>
      <c r="X2038" s="104" t="n"/>
      <c r="Y2038" s="102" t="n"/>
      <c r="Z2038" s="104" t="n"/>
      <c r="AB2038" s="105">
        <f>IF($B2038="","",(COUNTIF(C2008:E2025,$B2038)+COUNTIF(C2008:E2025,$B2038&amp;" ~*")&gt;0)+(COUNTIF(G2008:I2025,$B2038)+COUNTIF(G2008:I2025,$B2038&amp;" ~*")&gt;0)+(COUNTIF(K2008:M2025,$B2038)+COUNTIF(K2008:M2025,$B2038&amp;" ~*")&gt;0)+(COUNTIF(O2008:Q2025,$B2038)+COUNTIF(O2008:Q2025,$B2038&amp;" ~*")&gt;0)+(COUNTIF(S2008:U2025,$B2038)+COUNTIF(S2008:U2025,$B2038&amp;" ~*")&gt;0)+(COUNTIF(W2008:W2025,$B2038)+COUNTIF(W2008:W2025,$B2038&amp;" ~*")&gt;0)+(COUNTIF(Y2008:Y2025,$B2038)+COUNTIF(Y2008:Y2025,$B2038&amp;" ~*")&gt;0))</f>
        <v/>
      </c>
      <c r="AC2038" s="38">
        <f>IF($B2038="","",(IFERROR(INDEX(Setup!$G$33:$G$40,MATCH(C2038,Setup!$B$33:$B$40,0)),0)=1)*(COUNTIF(C2008:E2025,$B2038)+COUNTIF(C2008:E2025,$B2038&amp;" ~*")&gt;0)+(IFERROR(INDEX(Setup!$G$33:$G$40,MATCH(G2038,Setup!$B$33:$B$40,0)),0)=1)*(COUNTIF(G2008:I2025,$B2038)+COUNTIF(G2008:I2025,$B2038&amp;" ~*")&gt;0)+(IFERROR(INDEX(Setup!$G$33:$G$40,MATCH(K2038,Setup!$B$33:$B$40,0)),0)=1)*(COUNTIF(K2008:M2025,$B2038)+COUNTIF(K2008:M2025,$B2038&amp;" ~*")&gt;0)+(IFERROR(INDEX(Setup!$G$33:$G$40,MATCH(O2038,Setup!$B$33:$B$40,0)),0)=1)*(COUNTIF(O2008:Q2025,$B2038)+COUNTIF(O2008:Q2025,$B2038&amp;" ~*")&gt;0)+(IFERROR(INDEX(Setup!$G$33:$G$40,MATCH(S2038,Setup!$B$33:$B$40,0)),0)=1)*(COUNTIF(S2008:U2025,$B2038)+COUNTIF(S2008:U2025,$B2038&amp;" ~*")&gt;0)+(IFERROR(INDEX(Setup!$G$33:$G$40,MATCH(W2038,Setup!$B$33:$B$40,0)),0)=1)*(COUNTIF(W2008:W2025,$B2038)+COUNTIF(W2008:W2025,$B2038&amp;" ~*")&gt;0)+(IFERROR(INDEX(Setup!$G$33:$G$40,MATCH(Y2038,Setup!$B$33:$B$40,0)),0)=1)*(COUNTIF(Y2008:Y2025,$B2038)+COUNTIF(Y2008:Y2025,$B2038&amp;" ~*")&gt;0))</f>
        <v/>
      </c>
    </row>
    <row r="2039" ht="15" customHeight="1">
      <c r="A2039" t="n">
        <v>41</v>
      </c>
      <c r="B2039" s="35">
        <f>IF(Setup!$B$18="","",Setup!$B$18)</f>
        <v/>
      </c>
      <c r="C2039" s="98" t="n"/>
      <c r="D2039" s="99" t="n"/>
      <c r="E2039" s="99" t="n"/>
      <c r="F2039" s="100" t="n"/>
      <c r="G2039" s="98" t="n"/>
      <c r="H2039" s="99" t="n"/>
      <c r="I2039" s="99" t="n"/>
      <c r="J2039" s="100" t="n"/>
      <c r="K2039" s="98" t="n"/>
      <c r="L2039" s="99" t="n"/>
      <c r="M2039" s="99" t="n"/>
      <c r="N2039" s="100" t="n"/>
      <c r="O2039" s="98" t="n"/>
      <c r="P2039" s="99" t="n"/>
      <c r="Q2039" s="99" t="n"/>
      <c r="R2039" s="100" t="n"/>
      <c r="S2039" s="98" t="n"/>
      <c r="T2039" s="99" t="n"/>
      <c r="U2039" s="99" t="n"/>
      <c r="V2039" s="100" t="n"/>
      <c r="W2039" s="98" t="n"/>
      <c r="X2039" s="100" t="n"/>
      <c r="Y2039" s="98" t="n"/>
      <c r="Z2039" s="100" t="n"/>
      <c r="AB2039" s="101">
        <f>IF($B2039="","",(COUNTIF(C2008:E2025,$B2039)+COUNTIF(C2008:E2025,$B2039&amp;" ~*")&gt;0)+(COUNTIF(G2008:I2025,$B2039)+COUNTIF(G2008:I2025,$B2039&amp;" ~*")&gt;0)+(COUNTIF(K2008:M2025,$B2039)+COUNTIF(K2008:M2025,$B2039&amp;" ~*")&gt;0)+(COUNTIF(O2008:Q2025,$B2039)+COUNTIF(O2008:Q2025,$B2039&amp;" ~*")&gt;0)+(COUNTIF(S2008:U2025,$B2039)+COUNTIF(S2008:U2025,$B2039&amp;" ~*")&gt;0)+(COUNTIF(W2008:W2025,$B2039)+COUNTIF(W2008:W2025,$B2039&amp;" ~*")&gt;0)+(COUNTIF(Y2008:Y2025,$B2039)+COUNTIF(Y2008:Y2025,$B2039&amp;" ~*")&gt;0))</f>
        <v/>
      </c>
      <c r="AC2039" s="36">
        <f>IF($B2039="","",(IFERROR(INDEX(Setup!$G$33:$G$40,MATCH(C2039,Setup!$B$33:$B$40,0)),0)=1)*(COUNTIF(C2008:E2025,$B2039)+COUNTIF(C2008:E2025,$B2039&amp;" ~*")&gt;0)+(IFERROR(INDEX(Setup!$G$33:$G$40,MATCH(G2039,Setup!$B$33:$B$40,0)),0)=1)*(COUNTIF(G2008:I2025,$B2039)+COUNTIF(G2008:I2025,$B2039&amp;" ~*")&gt;0)+(IFERROR(INDEX(Setup!$G$33:$G$40,MATCH(K2039,Setup!$B$33:$B$40,0)),0)=1)*(COUNTIF(K2008:M2025,$B2039)+COUNTIF(K2008:M2025,$B2039&amp;" ~*")&gt;0)+(IFERROR(INDEX(Setup!$G$33:$G$40,MATCH(O2039,Setup!$B$33:$B$40,0)),0)=1)*(COUNTIF(O2008:Q2025,$B2039)+COUNTIF(O2008:Q2025,$B2039&amp;" ~*")&gt;0)+(IFERROR(INDEX(Setup!$G$33:$G$40,MATCH(S2039,Setup!$B$33:$B$40,0)),0)=1)*(COUNTIF(S2008:U2025,$B2039)+COUNTIF(S2008:U2025,$B2039&amp;" ~*")&gt;0)+(IFERROR(INDEX(Setup!$G$33:$G$40,MATCH(W2039,Setup!$B$33:$B$40,0)),0)=1)*(COUNTIF(W2008:W2025,$B2039)+COUNTIF(W2008:W2025,$B2039&amp;" ~*")&gt;0)+(IFERROR(INDEX(Setup!$G$33:$G$40,MATCH(Y2039,Setup!$B$33:$B$40,0)),0)=1)*(COUNTIF(Y2008:Y2025,$B2039)+COUNTIF(Y2008:Y2025,$B2039&amp;" ~*")&gt;0))</f>
        <v/>
      </c>
    </row>
    <row r="2040" ht="15" customHeight="1">
      <c r="A2040" t="n">
        <v>41</v>
      </c>
      <c r="B2040" s="37">
        <f>IF(Setup!$B$19="","",Setup!$B$19)</f>
        <v/>
      </c>
      <c r="C2040" s="102" t="n"/>
      <c r="D2040" s="103" t="n"/>
      <c r="E2040" s="103" t="n"/>
      <c r="F2040" s="104" t="n"/>
      <c r="G2040" s="102" t="n"/>
      <c r="H2040" s="103" t="n"/>
      <c r="I2040" s="103" t="n"/>
      <c r="J2040" s="104" t="n"/>
      <c r="K2040" s="102" t="n"/>
      <c r="L2040" s="103" t="n"/>
      <c r="M2040" s="103" t="n"/>
      <c r="N2040" s="104" t="n"/>
      <c r="O2040" s="102" t="n"/>
      <c r="P2040" s="103" t="n"/>
      <c r="Q2040" s="103" t="n"/>
      <c r="R2040" s="104" t="n"/>
      <c r="S2040" s="102" t="n"/>
      <c r="T2040" s="103" t="n"/>
      <c r="U2040" s="103" t="n"/>
      <c r="V2040" s="104" t="n"/>
      <c r="W2040" s="102" t="n"/>
      <c r="X2040" s="104" t="n"/>
      <c r="Y2040" s="102" t="n"/>
      <c r="Z2040" s="104" t="n"/>
      <c r="AB2040" s="105">
        <f>IF($B2040="","",(COUNTIF(C2008:E2025,$B2040)+COUNTIF(C2008:E2025,$B2040&amp;" ~*")&gt;0)+(COUNTIF(G2008:I2025,$B2040)+COUNTIF(G2008:I2025,$B2040&amp;" ~*")&gt;0)+(COUNTIF(K2008:M2025,$B2040)+COUNTIF(K2008:M2025,$B2040&amp;" ~*")&gt;0)+(COUNTIF(O2008:Q2025,$B2040)+COUNTIF(O2008:Q2025,$B2040&amp;" ~*")&gt;0)+(COUNTIF(S2008:U2025,$B2040)+COUNTIF(S2008:U2025,$B2040&amp;" ~*")&gt;0)+(COUNTIF(W2008:W2025,$B2040)+COUNTIF(W2008:W2025,$B2040&amp;" ~*")&gt;0)+(COUNTIF(Y2008:Y2025,$B2040)+COUNTIF(Y2008:Y2025,$B2040&amp;" ~*")&gt;0))</f>
        <v/>
      </c>
      <c r="AC2040" s="38">
        <f>IF($B2040="","",(IFERROR(INDEX(Setup!$G$33:$G$40,MATCH(C2040,Setup!$B$33:$B$40,0)),0)=1)*(COUNTIF(C2008:E2025,$B2040)+COUNTIF(C2008:E2025,$B2040&amp;" ~*")&gt;0)+(IFERROR(INDEX(Setup!$G$33:$G$40,MATCH(G2040,Setup!$B$33:$B$40,0)),0)=1)*(COUNTIF(G2008:I2025,$B2040)+COUNTIF(G2008:I2025,$B2040&amp;" ~*")&gt;0)+(IFERROR(INDEX(Setup!$G$33:$G$40,MATCH(K2040,Setup!$B$33:$B$40,0)),0)=1)*(COUNTIF(K2008:M2025,$B2040)+COUNTIF(K2008:M2025,$B2040&amp;" ~*")&gt;0)+(IFERROR(INDEX(Setup!$G$33:$G$40,MATCH(O2040,Setup!$B$33:$B$40,0)),0)=1)*(COUNTIF(O2008:Q2025,$B2040)+COUNTIF(O2008:Q2025,$B2040&amp;" ~*")&gt;0)+(IFERROR(INDEX(Setup!$G$33:$G$40,MATCH(S2040,Setup!$B$33:$B$40,0)),0)=1)*(COUNTIF(S2008:U2025,$B2040)+COUNTIF(S2008:U2025,$B2040&amp;" ~*")&gt;0)+(IFERROR(INDEX(Setup!$G$33:$G$40,MATCH(W2040,Setup!$B$33:$B$40,0)),0)=1)*(COUNTIF(W2008:W2025,$B2040)+COUNTIF(W2008:W2025,$B2040&amp;" ~*")&gt;0)+(IFERROR(INDEX(Setup!$G$33:$G$40,MATCH(Y2040,Setup!$B$33:$B$40,0)),0)=1)*(COUNTIF(Y2008:Y2025,$B2040)+COUNTIF(Y2008:Y2025,$B2040&amp;" ~*")&gt;0))</f>
        <v/>
      </c>
    </row>
    <row r="2041" ht="15" customHeight="1">
      <c r="A2041" t="n">
        <v>41</v>
      </c>
      <c r="B2041" s="35">
        <f>IF(Setup!$B$20="","",Setup!$B$20)</f>
        <v/>
      </c>
      <c r="C2041" s="98" t="n"/>
      <c r="D2041" s="99" t="n"/>
      <c r="E2041" s="99" t="n"/>
      <c r="F2041" s="100" t="n"/>
      <c r="G2041" s="98" t="n"/>
      <c r="H2041" s="99" t="n"/>
      <c r="I2041" s="99" t="n"/>
      <c r="J2041" s="100" t="n"/>
      <c r="K2041" s="98" t="n"/>
      <c r="L2041" s="99" t="n"/>
      <c r="M2041" s="99" t="n"/>
      <c r="N2041" s="100" t="n"/>
      <c r="O2041" s="98" t="n"/>
      <c r="P2041" s="99" t="n"/>
      <c r="Q2041" s="99" t="n"/>
      <c r="R2041" s="100" t="n"/>
      <c r="S2041" s="98" t="n"/>
      <c r="T2041" s="99" t="n"/>
      <c r="U2041" s="99" t="n"/>
      <c r="V2041" s="100" t="n"/>
      <c r="W2041" s="98" t="n"/>
      <c r="X2041" s="100" t="n"/>
      <c r="Y2041" s="98" t="n"/>
      <c r="Z2041" s="100" t="n"/>
      <c r="AB2041" s="101">
        <f>IF($B2041="","",(COUNTIF(C2008:E2025,$B2041)+COUNTIF(C2008:E2025,$B2041&amp;" ~*")&gt;0)+(COUNTIF(G2008:I2025,$B2041)+COUNTIF(G2008:I2025,$B2041&amp;" ~*")&gt;0)+(COUNTIF(K2008:M2025,$B2041)+COUNTIF(K2008:M2025,$B2041&amp;" ~*")&gt;0)+(COUNTIF(O2008:Q2025,$B2041)+COUNTIF(O2008:Q2025,$B2041&amp;" ~*")&gt;0)+(COUNTIF(S2008:U2025,$B2041)+COUNTIF(S2008:U2025,$B2041&amp;" ~*")&gt;0)+(COUNTIF(W2008:W2025,$B2041)+COUNTIF(W2008:W2025,$B2041&amp;" ~*")&gt;0)+(COUNTIF(Y2008:Y2025,$B2041)+COUNTIF(Y2008:Y2025,$B2041&amp;" ~*")&gt;0))</f>
        <v/>
      </c>
      <c r="AC2041" s="36">
        <f>IF($B2041="","",(IFERROR(INDEX(Setup!$G$33:$G$40,MATCH(C2041,Setup!$B$33:$B$40,0)),0)=1)*(COUNTIF(C2008:E2025,$B2041)+COUNTIF(C2008:E2025,$B2041&amp;" ~*")&gt;0)+(IFERROR(INDEX(Setup!$G$33:$G$40,MATCH(G2041,Setup!$B$33:$B$40,0)),0)=1)*(COUNTIF(G2008:I2025,$B2041)+COUNTIF(G2008:I2025,$B2041&amp;" ~*")&gt;0)+(IFERROR(INDEX(Setup!$G$33:$G$40,MATCH(K2041,Setup!$B$33:$B$40,0)),0)=1)*(COUNTIF(K2008:M2025,$B2041)+COUNTIF(K2008:M2025,$B2041&amp;" ~*")&gt;0)+(IFERROR(INDEX(Setup!$G$33:$G$40,MATCH(O2041,Setup!$B$33:$B$40,0)),0)=1)*(COUNTIF(O2008:Q2025,$B2041)+COUNTIF(O2008:Q2025,$B2041&amp;" ~*")&gt;0)+(IFERROR(INDEX(Setup!$G$33:$G$40,MATCH(S2041,Setup!$B$33:$B$40,0)),0)=1)*(COUNTIF(S2008:U2025,$B2041)+COUNTIF(S2008:U2025,$B2041&amp;" ~*")&gt;0)+(IFERROR(INDEX(Setup!$G$33:$G$40,MATCH(W2041,Setup!$B$33:$B$40,0)),0)=1)*(COUNTIF(W2008:W2025,$B2041)+COUNTIF(W2008:W2025,$B2041&amp;" ~*")&gt;0)+(IFERROR(INDEX(Setup!$G$33:$G$40,MATCH(Y2041,Setup!$B$33:$B$40,0)),0)=1)*(COUNTIF(Y2008:Y2025,$B2041)+COUNTIF(Y2008:Y2025,$B2041&amp;" ~*")&gt;0))</f>
        <v/>
      </c>
    </row>
    <row r="2042" ht="15" customHeight="1">
      <c r="A2042" t="n">
        <v>41</v>
      </c>
      <c r="B2042" s="37">
        <f>IF(Setup!$B$21="","",Setup!$B$21)</f>
        <v/>
      </c>
      <c r="C2042" s="102" t="n"/>
      <c r="D2042" s="103" t="n"/>
      <c r="E2042" s="103" t="n"/>
      <c r="F2042" s="104" t="n"/>
      <c r="G2042" s="102" t="n"/>
      <c r="H2042" s="103" t="n"/>
      <c r="I2042" s="103" t="n"/>
      <c r="J2042" s="104" t="n"/>
      <c r="K2042" s="102" t="n"/>
      <c r="L2042" s="103" t="n"/>
      <c r="M2042" s="103" t="n"/>
      <c r="N2042" s="104" t="n"/>
      <c r="O2042" s="102" t="n"/>
      <c r="P2042" s="103" t="n"/>
      <c r="Q2042" s="103" t="n"/>
      <c r="R2042" s="104" t="n"/>
      <c r="S2042" s="102" t="n"/>
      <c r="T2042" s="103" t="n"/>
      <c r="U2042" s="103" t="n"/>
      <c r="V2042" s="104" t="n"/>
      <c r="W2042" s="102" t="n"/>
      <c r="X2042" s="104" t="n"/>
      <c r="Y2042" s="102" t="n"/>
      <c r="Z2042" s="104" t="n"/>
      <c r="AB2042" s="105">
        <f>IF($B2042="","",(COUNTIF(C2008:E2025,$B2042)+COUNTIF(C2008:E2025,$B2042&amp;" ~*")&gt;0)+(COUNTIF(G2008:I2025,$B2042)+COUNTIF(G2008:I2025,$B2042&amp;" ~*")&gt;0)+(COUNTIF(K2008:M2025,$B2042)+COUNTIF(K2008:M2025,$B2042&amp;" ~*")&gt;0)+(COUNTIF(O2008:Q2025,$B2042)+COUNTIF(O2008:Q2025,$B2042&amp;" ~*")&gt;0)+(COUNTIF(S2008:U2025,$B2042)+COUNTIF(S2008:U2025,$B2042&amp;" ~*")&gt;0)+(COUNTIF(W2008:W2025,$B2042)+COUNTIF(W2008:W2025,$B2042&amp;" ~*")&gt;0)+(COUNTIF(Y2008:Y2025,$B2042)+COUNTIF(Y2008:Y2025,$B2042&amp;" ~*")&gt;0))</f>
        <v/>
      </c>
      <c r="AC2042" s="38">
        <f>IF($B2042="","",(IFERROR(INDEX(Setup!$G$33:$G$40,MATCH(C2042,Setup!$B$33:$B$40,0)),0)=1)*(COUNTIF(C2008:E2025,$B2042)+COUNTIF(C2008:E2025,$B2042&amp;" ~*")&gt;0)+(IFERROR(INDEX(Setup!$G$33:$G$40,MATCH(G2042,Setup!$B$33:$B$40,0)),0)=1)*(COUNTIF(G2008:I2025,$B2042)+COUNTIF(G2008:I2025,$B2042&amp;" ~*")&gt;0)+(IFERROR(INDEX(Setup!$G$33:$G$40,MATCH(K2042,Setup!$B$33:$B$40,0)),0)=1)*(COUNTIF(K2008:M2025,$B2042)+COUNTIF(K2008:M2025,$B2042&amp;" ~*")&gt;0)+(IFERROR(INDEX(Setup!$G$33:$G$40,MATCH(O2042,Setup!$B$33:$B$40,0)),0)=1)*(COUNTIF(O2008:Q2025,$B2042)+COUNTIF(O2008:Q2025,$B2042&amp;" ~*")&gt;0)+(IFERROR(INDEX(Setup!$G$33:$G$40,MATCH(S2042,Setup!$B$33:$B$40,0)),0)=1)*(COUNTIF(S2008:U2025,$B2042)+COUNTIF(S2008:U2025,$B2042&amp;" ~*")&gt;0)+(IFERROR(INDEX(Setup!$G$33:$G$40,MATCH(W2042,Setup!$B$33:$B$40,0)),0)=1)*(COUNTIF(W2008:W2025,$B2042)+COUNTIF(W2008:W2025,$B2042&amp;" ~*")&gt;0)+(IFERROR(INDEX(Setup!$G$33:$G$40,MATCH(Y2042,Setup!$B$33:$B$40,0)),0)=1)*(COUNTIF(Y2008:Y2025,$B2042)+COUNTIF(Y2008:Y2025,$B2042&amp;" ~*")&gt;0))</f>
        <v/>
      </c>
    </row>
    <row r="2043" ht="15" customHeight="1">
      <c r="A2043" t="n">
        <v>41</v>
      </c>
      <c r="B2043" s="35">
        <f>IF(Setup!$B$22="","",Setup!$B$22)</f>
        <v/>
      </c>
      <c r="C2043" s="98" t="n"/>
      <c r="D2043" s="99" t="n"/>
      <c r="E2043" s="99" t="n"/>
      <c r="F2043" s="100" t="n"/>
      <c r="G2043" s="98" t="n"/>
      <c r="H2043" s="99" t="n"/>
      <c r="I2043" s="99" t="n"/>
      <c r="J2043" s="100" t="n"/>
      <c r="K2043" s="98" t="n"/>
      <c r="L2043" s="99" t="n"/>
      <c r="M2043" s="99" t="n"/>
      <c r="N2043" s="100" t="n"/>
      <c r="O2043" s="98" t="n"/>
      <c r="P2043" s="99" t="n"/>
      <c r="Q2043" s="99" t="n"/>
      <c r="R2043" s="100" t="n"/>
      <c r="S2043" s="98" t="n"/>
      <c r="T2043" s="99" t="n"/>
      <c r="U2043" s="99" t="n"/>
      <c r="V2043" s="100" t="n"/>
      <c r="W2043" s="98" t="n"/>
      <c r="X2043" s="100" t="n"/>
      <c r="Y2043" s="98" t="n"/>
      <c r="Z2043" s="100" t="n"/>
      <c r="AB2043" s="101">
        <f>IF($B2043="","",(COUNTIF(C2008:E2025,$B2043)+COUNTIF(C2008:E2025,$B2043&amp;" ~*")&gt;0)+(COUNTIF(G2008:I2025,$B2043)+COUNTIF(G2008:I2025,$B2043&amp;" ~*")&gt;0)+(COUNTIF(K2008:M2025,$B2043)+COUNTIF(K2008:M2025,$B2043&amp;" ~*")&gt;0)+(COUNTIF(O2008:Q2025,$B2043)+COUNTIF(O2008:Q2025,$B2043&amp;" ~*")&gt;0)+(COUNTIF(S2008:U2025,$B2043)+COUNTIF(S2008:U2025,$B2043&amp;" ~*")&gt;0)+(COUNTIF(W2008:W2025,$B2043)+COUNTIF(W2008:W2025,$B2043&amp;" ~*")&gt;0)+(COUNTIF(Y2008:Y2025,$B2043)+COUNTIF(Y2008:Y2025,$B2043&amp;" ~*")&gt;0))</f>
        <v/>
      </c>
      <c r="AC2043" s="36">
        <f>IF($B2043="","",(IFERROR(INDEX(Setup!$G$33:$G$40,MATCH(C2043,Setup!$B$33:$B$40,0)),0)=1)*(COUNTIF(C2008:E2025,$B2043)+COUNTIF(C2008:E2025,$B2043&amp;" ~*")&gt;0)+(IFERROR(INDEX(Setup!$G$33:$G$40,MATCH(G2043,Setup!$B$33:$B$40,0)),0)=1)*(COUNTIF(G2008:I2025,$B2043)+COUNTIF(G2008:I2025,$B2043&amp;" ~*")&gt;0)+(IFERROR(INDEX(Setup!$G$33:$G$40,MATCH(K2043,Setup!$B$33:$B$40,0)),0)=1)*(COUNTIF(K2008:M2025,$B2043)+COUNTIF(K2008:M2025,$B2043&amp;" ~*")&gt;0)+(IFERROR(INDEX(Setup!$G$33:$G$40,MATCH(O2043,Setup!$B$33:$B$40,0)),0)=1)*(COUNTIF(O2008:Q2025,$B2043)+COUNTIF(O2008:Q2025,$B2043&amp;" ~*")&gt;0)+(IFERROR(INDEX(Setup!$G$33:$G$40,MATCH(S2043,Setup!$B$33:$B$40,0)),0)=1)*(COUNTIF(S2008:U2025,$B2043)+COUNTIF(S2008:U2025,$B2043&amp;" ~*")&gt;0)+(IFERROR(INDEX(Setup!$G$33:$G$40,MATCH(W2043,Setup!$B$33:$B$40,0)),0)=1)*(COUNTIF(W2008:W2025,$B2043)+COUNTIF(W2008:W2025,$B2043&amp;" ~*")&gt;0)+(IFERROR(INDEX(Setup!$G$33:$G$40,MATCH(Y2043,Setup!$B$33:$B$40,0)),0)=1)*(COUNTIF(Y2008:Y2025,$B2043)+COUNTIF(Y2008:Y2025,$B2043&amp;" ~*")&gt;0))</f>
        <v/>
      </c>
    </row>
    <row r="2044" ht="15" customHeight="1">
      <c r="A2044" t="n">
        <v>41</v>
      </c>
      <c r="B2044" s="37">
        <f>IF(Setup!$B$23="","",Setup!$B$23)</f>
        <v/>
      </c>
      <c r="C2044" s="102" t="n"/>
      <c r="D2044" s="103" t="n"/>
      <c r="E2044" s="103" t="n"/>
      <c r="F2044" s="104" t="n"/>
      <c r="G2044" s="102" t="n"/>
      <c r="H2044" s="103" t="n"/>
      <c r="I2044" s="103" t="n"/>
      <c r="J2044" s="104" t="n"/>
      <c r="K2044" s="102" t="n"/>
      <c r="L2044" s="103" t="n"/>
      <c r="M2044" s="103" t="n"/>
      <c r="N2044" s="104" t="n"/>
      <c r="O2044" s="102" t="n"/>
      <c r="P2044" s="103" t="n"/>
      <c r="Q2044" s="103" t="n"/>
      <c r="R2044" s="104" t="n"/>
      <c r="S2044" s="102" t="n"/>
      <c r="T2044" s="103" t="n"/>
      <c r="U2044" s="103" t="n"/>
      <c r="V2044" s="104" t="n"/>
      <c r="W2044" s="102" t="n"/>
      <c r="X2044" s="104" t="n"/>
      <c r="Y2044" s="102" t="n"/>
      <c r="Z2044" s="104" t="n"/>
      <c r="AB2044" s="105">
        <f>IF($B2044="","",(COUNTIF(C2008:E2025,$B2044)+COUNTIF(C2008:E2025,$B2044&amp;" ~*")&gt;0)+(COUNTIF(G2008:I2025,$B2044)+COUNTIF(G2008:I2025,$B2044&amp;" ~*")&gt;0)+(COUNTIF(K2008:M2025,$B2044)+COUNTIF(K2008:M2025,$B2044&amp;" ~*")&gt;0)+(COUNTIF(O2008:Q2025,$B2044)+COUNTIF(O2008:Q2025,$B2044&amp;" ~*")&gt;0)+(COUNTIF(S2008:U2025,$B2044)+COUNTIF(S2008:U2025,$B2044&amp;" ~*")&gt;0)+(COUNTIF(W2008:W2025,$B2044)+COUNTIF(W2008:W2025,$B2044&amp;" ~*")&gt;0)+(COUNTIF(Y2008:Y2025,$B2044)+COUNTIF(Y2008:Y2025,$B2044&amp;" ~*")&gt;0))</f>
        <v/>
      </c>
      <c r="AC2044" s="38">
        <f>IF($B2044="","",(IFERROR(INDEX(Setup!$G$33:$G$40,MATCH(C2044,Setup!$B$33:$B$40,0)),0)=1)*(COUNTIF(C2008:E2025,$B2044)+COUNTIF(C2008:E2025,$B2044&amp;" ~*")&gt;0)+(IFERROR(INDEX(Setup!$G$33:$G$40,MATCH(G2044,Setup!$B$33:$B$40,0)),0)=1)*(COUNTIF(G2008:I2025,$B2044)+COUNTIF(G2008:I2025,$B2044&amp;" ~*")&gt;0)+(IFERROR(INDEX(Setup!$G$33:$G$40,MATCH(K2044,Setup!$B$33:$B$40,0)),0)=1)*(COUNTIF(K2008:M2025,$B2044)+COUNTIF(K2008:M2025,$B2044&amp;" ~*")&gt;0)+(IFERROR(INDEX(Setup!$G$33:$G$40,MATCH(O2044,Setup!$B$33:$B$40,0)),0)=1)*(COUNTIF(O2008:Q2025,$B2044)+COUNTIF(O2008:Q2025,$B2044&amp;" ~*")&gt;0)+(IFERROR(INDEX(Setup!$G$33:$G$40,MATCH(S2044,Setup!$B$33:$B$40,0)),0)=1)*(COUNTIF(S2008:U2025,$B2044)+COUNTIF(S2008:U2025,$B2044&amp;" ~*")&gt;0)+(IFERROR(INDEX(Setup!$G$33:$G$40,MATCH(W2044,Setup!$B$33:$B$40,0)),0)=1)*(COUNTIF(W2008:W2025,$B2044)+COUNTIF(W2008:W2025,$B2044&amp;" ~*")&gt;0)+(IFERROR(INDEX(Setup!$G$33:$G$40,MATCH(Y2044,Setup!$B$33:$B$40,0)),0)=1)*(COUNTIF(Y2008:Y2025,$B2044)+COUNTIF(Y2008:Y2025,$B2044&amp;" ~*")&gt;0))</f>
        <v/>
      </c>
    </row>
    <row r="2045" ht="15" customHeight="1">
      <c r="A2045" t="n">
        <v>41</v>
      </c>
      <c r="B2045" s="35">
        <f>IF(Setup!$B$24="","",Setup!$B$24)</f>
        <v/>
      </c>
      <c r="C2045" s="98" t="n"/>
      <c r="D2045" s="99" t="n"/>
      <c r="E2045" s="99" t="n"/>
      <c r="F2045" s="100" t="n"/>
      <c r="G2045" s="98" t="n"/>
      <c r="H2045" s="99" t="n"/>
      <c r="I2045" s="99" t="n"/>
      <c r="J2045" s="100" t="n"/>
      <c r="K2045" s="98" t="n"/>
      <c r="L2045" s="99" t="n"/>
      <c r="M2045" s="99" t="n"/>
      <c r="N2045" s="100" t="n"/>
      <c r="O2045" s="98" t="n"/>
      <c r="P2045" s="99" t="n"/>
      <c r="Q2045" s="99" t="n"/>
      <c r="R2045" s="100" t="n"/>
      <c r="S2045" s="98" t="n"/>
      <c r="T2045" s="99" t="n"/>
      <c r="U2045" s="99" t="n"/>
      <c r="V2045" s="100" t="n"/>
      <c r="W2045" s="98" t="n"/>
      <c r="X2045" s="100" t="n"/>
      <c r="Y2045" s="98" t="n"/>
      <c r="Z2045" s="100" t="n"/>
      <c r="AB2045" s="101">
        <f>IF($B2045="","",(COUNTIF(C2008:E2025,$B2045)+COUNTIF(C2008:E2025,$B2045&amp;" ~*")&gt;0)+(COUNTIF(G2008:I2025,$B2045)+COUNTIF(G2008:I2025,$B2045&amp;" ~*")&gt;0)+(COUNTIF(K2008:M2025,$B2045)+COUNTIF(K2008:M2025,$B2045&amp;" ~*")&gt;0)+(COUNTIF(O2008:Q2025,$B2045)+COUNTIF(O2008:Q2025,$B2045&amp;" ~*")&gt;0)+(COUNTIF(S2008:U2025,$B2045)+COUNTIF(S2008:U2025,$B2045&amp;" ~*")&gt;0)+(COUNTIF(W2008:W2025,$B2045)+COUNTIF(W2008:W2025,$B2045&amp;" ~*")&gt;0)+(COUNTIF(Y2008:Y2025,$B2045)+COUNTIF(Y2008:Y2025,$B2045&amp;" ~*")&gt;0))</f>
        <v/>
      </c>
      <c r="AC2045" s="36">
        <f>IF($B2045="","",(IFERROR(INDEX(Setup!$G$33:$G$40,MATCH(C2045,Setup!$B$33:$B$40,0)),0)=1)*(COUNTIF(C2008:E2025,$B2045)+COUNTIF(C2008:E2025,$B2045&amp;" ~*")&gt;0)+(IFERROR(INDEX(Setup!$G$33:$G$40,MATCH(G2045,Setup!$B$33:$B$40,0)),0)=1)*(COUNTIF(G2008:I2025,$B2045)+COUNTIF(G2008:I2025,$B2045&amp;" ~*")&gt;0)+(IFERROR(INDEX(Setup!$G$33:$G$40,MATCH(K2045,Setup!$B$33:$B$40,0)),0)=1)*(COUNTIF(K2008:M2025,$B2045)+COUNTIF(K2008:M2025,$B2045&amp;" ~*")&gt;0)+(IFERROR(INDEX(Setup!$G$33:$G$40,MATCH(O2045,Setup!$B$33:$B$40,0)),0)=1)*(COUNTIF(O2008:Q2025,$B2045)+COUNTIF(O2008:Q2025,$B2045&amp;" ~*")&gt;0)+(IFERROR(INDEX(Setup!$G$33:$G$40,MATCH(S2045,Setup!$B$33:$B$40,0)),0)=1)*(COUNTIF(S2008:U2025,$B2045)+COUNTIF(S2008:U2025,$B2045&amp;" ~*")&gt;0)+(IFERROR(INDEX(Setup!$G$33:$G$40,MATCH(W2045,Setup!$B$33:$B$40,0)),0)=1)*(COUNTIF(W2008:W2025,$B2045)+COUNTIF(W2008:W2025,$B2045&amp;" ~*")&gt;0)+(IFERROR(INDEX(Setup!$G$33:$G$40,MATCH(Y2045,Setup!$B$33:$B$40,0)),0)=1)*(COUNTIF(Y2008:Y2025,$B2045)+COUNTIF(Y2008:Y2025,$B2045&amp;" ~*")&gt;0))</f>
        <v/>
      </c>
    </row>
    <row r="2046" ht="15" customHeight="1">
      <c r="A2046" t="n">
        <v>41</v>
      </c>
      <c r="B2046" s="37">
        <f>IF(Setup!$B$25="","",Setup!$B$25)</f>
        <v/>
      </c>
      <c r="C2046" s="102" t="n"/>
      <c r="D2046" s="103" t="n"/>
      <c r="E2046" s="103" t="n"/>
      <c r="F2046" s="104" t="n"/>
      <c r="G2046" s="102" t="n"/>
      <c r="H2046" s="103" t="n"/>
      <c r="I2046" s="103" t="n"/>
      <c r="J2046" s="104" t="n"/>
      <c r="K2046" s="102" t="n"/>
      <c r="L2046" s="103" t="n"/>
      <c r="M2046" s="103" t="n"/>
      <c r="N2046" s="104" t="n"/>
      <c r="O2046" s="102" t="n"/>
      <c r="P2046" s="103" t="n"/>
      <c r="Q2046" s="103" t="n"/>
      <c r="R2046" s="104" t="n"/>
      <c r="S2046" s="102" t="n"/>
      <c r="T2046" s="103" t="n"/>
      <c r="U2046" s="103" t="n"/>
      <c r="V2046" s="104" t="n"/>
      <c r="W2046" s="102" t="n"/>
      <c r="X2046" s="104" t="n"/>
      <c r="Y2046" s="102" t="n"/>
      <c r="Z2046" s="104" t="n"/>
      <c r="AB2046" s="105">
        <f>IF($B2046="","",(COUNTIF(C2008:E2025,$B2046)+COUNTIF(C2008:E2025,$B2046&amp;" ~*")&gt;0)+(COUNTIF(G2008:I2025,$B2046)+COUNTIF(G2008:I2025,$B2046&amp;" ~*")&gt;0)+(COUNTIF(K2008:M2025,$B2046)+COUNTIF(K2008:M2025,$B2046&amp;" ~*")&gt;0)+(COUNTIF(O2008:Q2025,$B2046)+COUNTIF(O2008:Q2025,$B2046&amp;" ~*")&gt;0)+(COUNTIF(S2008:U2025,$B2046)+COUNTIF(S2008:U2025,$B2046&amp;" ~*")&gt;0)+(COUNTIF(W2008:W2025,$B2046)+COUNTIF(W2008:W2025,$B2046&amp;" ~*")&gt;0)+(COUNTIF(Y2008:Y2025,$B2046)+COUNTIF(Y2008:Y2025,$B2046&amp;" ~*")&gt;0))</f>
        <v/>
      </c>
      <c r="AC2046" s="38">
        <f>IF($B2046="","",(IFERROR(INDEX(Setup!$G$33:$G$40,MATCH(C2046,Setup!$B$33:$B$40,0)),0)=1)*(COUNTIF(C2008:E2025,$B2046)+COUNTIF(C2008:E2025,$B2046&amp;" ~*")&gt;0)+(IFERROR(INDEX(Setup!$G$33:$G$40,MATCH(G2046,Setup!$B$33:$B$40,0)),0)=1)*(COUNTIF(G2008:I2025,$B2046)+COUNTIF(G2008:I2025,$B2046&amp;" ~*")&gt;0)+(IFERROR(INDEX(Setup!$G$33:$G$40,MATCH(K2046,Setup!$B$33:$B$40,0)),0)=1)*(COUNTIF(K2008:M2025,$B2046)+COUNTIF(K2008:M2025,$B2046&amp;" ~*")&gt;0)+(IFERROR(INDEX(Setup!$G$33:$G$40,MATCH(O2046,Setup!$B$33:$B$40,0)),0)=1)*(COUNTIF(O2008:Q2025,$B2046)+COUNTIF(O2008:Q2025,$B2046&amp;" ~*")&gt;0)+(IFERROR(INDEX(Setup!$G$33:$G$40,MATCH(S2046,Setup!$B$33:$B$40,0)),0)=1)*(COUNTIF(S2008:U2025,$B2046)+COUNTIF(S2008:U2025,$B2046&amp;" ~*")&gt;0)+(IFERROR(INDEX(Setup!$G$33:$G$40,MATCH(W2046,Setup!$B$33:$B$40,0)),0)=1)*(COUNTIF(W2008:W2025,$B2046)+COUNTIF(W2008:W2025,$B2046&amp;" ~*")&gt;0)+(IFERROR(INDEX(Setup!$G$33:$G$40,MATCH(Y2046,Setup!$B$33:$B$40,0)),0)=1)*(COUNTIF(Y2008:Y2025,$B2046)+COUNTIF(Y2008:Y2025,$B2046&amp;" ~*")&gt;0))</f>
        <v/>
      </c>
    </row>
    <row r="2047" ht="15" customHeight="1">
      <c r="A2047" t="n">
        <v>41</v>
      </c>
      <c r="B2047" s="35">
        <f>IF(Setup!$B$26="","",Setup!$B$26)</f>
        <v/>
      </c>
      <c r="C2047" s="98" t="n"/>
      <c r="D2047" s="99" t="n"/>
      <c r="E2047" s="99" t="n"/>
      <c r="F2047" s="100" t="n"/>
      <c r="G2047" s="98" t="n"/>
      <c r="H2047" s="99" t="n"/>
      <c r="I2047" s="99" t="n"/>
      <c r="J2047" s="100" t="n"/>
      <c r="K2047" s="98" t="n"/>
      <c r="L2047" s="99" t="n"/>
      <c r="M2047" s="99" t="n"/>
      <c r="N2047" s="100" t="n"/>
      <c r="O2047" s="98" t="n"/>
      <c r="P2047" s="99" t="n"/>
      <c r="Q2047" s="99" t="n"/>
      <c r="R2047" s="100" t="n"/>
      <c r="S2047" s="98" t="n"/>
      <c r="T2047" s="99" t="n"/>
      <c r="U2047" s="99" t="n"/>
      <c r="V2047" s="100" t="n"/>
      <c r="W2047" s="98" t="n"/>
      <c r="X2047" s="100" t="n"/>
      <c r="Y2047" s="98" t="n"/>
      <c r="Z2047" s="100" t="n"/>
      <c r="AB2047" s="101">
        <f>IF($B2047="","",(COUNTIF(C2008:E2025,$B2047)+COUNTIF(C2008:E2025,$B2047&amp;" ~*")&gt;0)+(COUNTIF(G2008:I2025,$B2047)+COUNTIF(G2008:I2025,$B2047&amp;" ~*")&gt;0)+(COUNTIF(K2008:M2025,$B2047)+COUNTIF(K2008:M2025,$B2047&amp;" ~*")&gt;0)+(COUNTIF(O2008:Q2025,$B2047)+COUNTIF(O2008:Q2025,$B2047&amp;" ~*")&gt;0)+(COUNTIF(S2008:U2025,$B2047)+COUNTIF(S2008:U2025,$B2047&amp;" ~*")&gt;0)+(COUNTIF(W2008:W2025,$B2047)+COUNTIF(W2008:W2025,$B2047&amp;" ~*")&gt;0)+(COUNTIF(Y2008:Y2025,$B2047)+COUNTIF(Y2008:Y2025,$B2047&amp;" ~*")&gt;0))</f>
        <v/>
      </c>
      <c r="AC2047" s="36">
        <f>IF($B2047="","",(IFERROR(INDEX(Setup!$G$33:$G$40,MATCH(C2047,Setup!$B$33:$B$40,0)),0)=1)*(COUNTIF(C2008:E2025,$B2047)+COUNTIF(C2008:E2025,$B2047&amp;" ~*")&gt;0)+(IFERROR(INDEX(Setup!$G$33:$G$40,MATCH(G2047,Setup!$B$33:$B$40,0)),0)=1)*(COUNTIF(G2008:I2025,$B2047)+COUNTIF(G2008:I2025,$B2047&amp;" ~*")&gt;0)+(IFERROR(INDEX(Setup!$G$33:$G$40,MATCH(K2047,Setup!$B$33:$B$40,0)),0)=1)*(COUNTIF(K2008:M2025,$B2047)+COUNTIF(K2008:M2025,$B2047&amp;" ~*")&gt;0)+(IFERROR(INDEX(Setup!$G$33:$G$40,MATCH(O2047,Setup!$B$33:$B$40,0)),0)=1)*(COUNTIF(O2008:Q2025,$B2047)+COUNTIF(O2008:Q2025,$B2047&amp;" ~*")&gt;0)+(IFERROR(INDEX(Setup!$G$33:$G$40,MATCH(S2047,Setup!$B$33:$B$40,0)),0)=1)*(COUNTIF(S2008:U2025,$B2047)+COUNTIF(S2008:U2025,$B2047&amp;" ~*")&gt;0)+(IFERROR(INDEX(Setup!$G$33:$G$40,MATCH(W2047,Setup!$B$33:$B$40,0)),0)=1)*(COUNTIF(W2008:W2025,$B2047)+COUNTIF(W2008:W2025,$B2047&amp;" ~*")&gt;0)+(IFERROR(INDEX(Setup!$G$33:$G$40,MATCH(Y2047,Setup!$B$33:$B$40,0)),0)=1)*(COUNTIF(Y2008:Y2025,$B2047)+COUNTIF(Y2008:Y2025,$B2047&amp;" ~*")&gt;0))</f>
        <v/>
      </c>
    </row>
    <row r="2048" ht="15" customHeight="1">
      <c r="A2048" t="n">
        <v>41</v>
      </c>
      <c r="B2048" s="37">
        <f>IF(Setup!$B$27="","",Setup!$B$27)</f>
        <v/>
      </c>
      <c r="C2048" s="102" t="n"/>
      <c r="D2048" s="103" t="n"/>
      <c r="E2048" s="103" t="n"/>
      <c r="F2048" s="104" t="n"/>
      <c r="G2048" s="102" t="n"/>
      <c r="H2048" s="103" t="n"/>
      <c r="I2048" s="103" t="n"/>
      <c r="J2048" s="104" t="n"/>
      <c r="K2048" s="102" t="n"/>
      <c r="L2048" s="103" t="n"/>
      <c r="M2048" s="103" t="n"/>
      <c r="N2048" s="104" t="n"/>
      <c r="O2048" s="102" t="n"/>
      <c r="P2048" s="103" t="n"/>
      <c r="Q2048" s="103" t="n"/>
      <c r="R2048" s="104" t="n"/>
      <c r="S2048" s="102" t="n"/>
      <c r="T2048" s="103" t="n"/>
      <c r="U2048" s="103" t="n"/>
      <c r="V2048" s="104" t="n"/>
      <c r="W2048" s="102" t="n"/>
      <c r="X2048" s="104" t="n"/>
      <c r="Y2048" s="102" t="n"/>
      <c r="Z2048" s="104" t="n"/>
      <c r="AB2048" s="105">
        <f>IF($B2048="","",(COUNTIF(C2008:E2025,$B2048)+COUNTIF(C2008:E2025,$B2048&amp;" ~*")&gt;0)+(COUNTIF(G2008:I2025,$B2048)+COUNTIF(G2008:I2025,$B2048&amp;" ~*")&gt;0)+(COUNTIF(K2008:M2025,$B2048)+COUNTIF(K2008:M2025,$B2048&amp;" ~*")&gt;0)+(COUNTIF(O2008:Q2025,$B2048)+COUNTIF(O2008:Q2025,$B2048&amp;" ~*")&gt;0)+(COUNTIF(S2008:U2025,$B2048)+COUNTIF(S2008:U2025,$B2048&amp;" ~*")&gt;0)+(COUNTIF(W2008:W2025,$B2048)+COUNTIF(W2008:W2025,$B2048&amp;" ~*")&gt;0)+(COUNTIF(Y2008:Y2025,$B2048)+COUNTIF(Y2008:Y2025,$B2048&amp;" ~*")&gt;0))</f>
        <v/>
      </c>
      <c r="AC2048" s="38">
        <f>IF($B2048="","",(IFERROR(INDEX(Setup!$G$33:$G$40,MATCH(C2048,Setup!$B$33:$B$40,0)),0)=1)*(COUNTIF(C2008:E2025,$B2048)+COUNTIF(C2008:E2025,$B2048&amp;" ~*")&gt;0)+(IFERROR(INDEX(Setup!$G$33:$G$40,MATCH(G2048,Setup!$B$33:$B$40,0)),0)=1)*(COUNTIF(G2008:I2025,$B2048)+COUNTIF(G2008:I2025,$B2048&amp;" ~*")&gt;0)+(IFERROR(INDEX(Setup!$G$33:$G$40,MATCH(K2048,Setup!$B$33:$B$40,0)),0)=1)*(COUNTIF(K2008:M2025,$B2048)+COUNTIF(K2008:M2025,$B2048&amp;" ~*")&gt;0)+(IFERROR(INDEX(Setup!$G$33:$G$40,MATCH(O2048,Setup!$B$33:$B$40,0)),0)=1)*(COUNTIF(O2008:Q2025,$B2048)+COUNTIF(O2008:Q2025,$B2048&amp;" ~*")&gt;0)+(IFERROR(INDEX(Setup!$G$33:$G$40,MATCH(S2048,Setup!$B$33:$B$40,0)),0)=1)*(COUNTIF(S2008:U2025,$B2048)+COUNTIF(S2008:U2025,$B2048&amp;" ~*")&gt;0)+(IFERROR(INDEX(Setup!$G$33:$G$40,MATCH(W2048,Setup!$B$33:$B$40,0)),0)=1)*(COUNTIF(W2008:W2025,$B2048)+COUNTIF(W2008:W2025,$B2048&amp;" ~*")&gt;0)+(IFERROR(INDEX(Setup!$G$33:$G$40,MATCH(Y2048,Setup!$B$33:$B$40,0)),0)=1)*(COUNTIF(Y2008:Y2025,$B2048)+COUNTIF(Y2008:Y2025,$B2048&amp;" ~*")&gt;0))</f>
        <v/>
      </c>
    </row>
    <row r="2049" ht="15" customHeight="1">
      <c r="A2049" t="n">
        <v>41</v>
      </c>
      <c r="B2049" s="35">
        <f>IF(Setup!$B$28="","",Setup!$B$28)</f>
        <v/>
      </c>
      <c r="C2049" s="98" t="n"/>
      <c r="D2049" s="99" t="n"/>
      <c r="E2049" s="99" t="n"/>
      <c r="F2049" s="100" t="n"/>
      <c r="G2049" s="98" t="n"/>
      <c r="H2049" s="99" t="n"/>
      <c r="I2049" s="99" t="n"/>
      <c r="J2049" s="100" t="n"/>
      <c r="K2049" s="98" t="n"/>
      <c r="L2049" s="99" t="n"/>
      <c r="M2049" s="99" t="n"/>
      <c r="N2049" s="100" t="n"/>
      <c r="O2049" s="98" t="n"/>
      <c r="P2049" s="99" t="n"/>
      <c r="Q2049" s="99" t="n"/>
      <c r="R2049" s="100" t="n"/>
      <c r="S2049" s="98" t="n"/>
      <c r="T2049" s="99" t="n"/>
      <c r="U2049" s="99" t="n"/>
      <c r="V2049" s="100" t="n"/>
      <c r="W2049" s="98" t="n"/>
      <c r="X2049" s="100" t="n"/>
      <c r="Y2049" s="98" t="n"/>
      <c r="Z2049" s="100" t="n"/>
      <c r="AB2049" s="101">
        <f>IF($B2049="","",(COUNTIF(C2008:E2025,$B2049)+COUNTIF(C2008:E2025,$B2049&amp;" ~*")&gt;0)+(COUNTIF(G2008:I2025,$B2049)+COUNTIF(G2008:I2025,$B2049&amp;" ~*")&gt;0)+(COUNTIF(K2008:M2025,$B2049)+COUNTIF(K2008:M2025,$B2049&amp;" ~*")&gt;0)+(COUNTIF(O2008:Q2025,$B2049)+COUNTIF(O2008:Q2025,$B2049&amp;" ~*")&gt;0)+(COUNTIF(S2008:U2025,$B2049)+COUNTIF(S2008:U2025,$B2049&amp;" ~*")&gt;0)+(COUNTIF(W2008:W2025,$B2049)+COUNTIF(W2008:W2025,$B2049&amp;" ~*")&gt;0)+(COUNTIF(Y2008:Y2025,$B2049)+COUNTIF(Y2008:Y2025,$B2049&amp;" ~*")&gt;0))</f>
        <v/>
      </c>
      <c r="AC2049" s="36">
        <f>IF($B2049="","",(IFERROR(INDEX(Setup!$G$33:$G$40,MATCH(C2049,Setup!$B$33:$B$40,0)),0)=1)*(COUNTIF(C2008:E2025,$B2049)+COUNTIF(C2008:E2025,$B2049&amp;" ~*")&gt;0)+(IFERROR(INDEX(Setup!$G$33:$G$40,MATCH(G2049,Setup!$B$33:$B$40,0)),0)=1)*(COUNTIF(G2008:I2025,$B2049)+COUNTIF(G2008:I2025,$B2049&amp;" ~*")&gt;0)+(IFERROR(INDEX(Setup!$G$33:$G$40,MATCH(K2049,Setup!$B$33:$B$40,0)),0)=1)*(COUNTIF(K2008:M2025,$B2049)+COUNTIF(K2008:M2025,$B2049&amp;" ~*")&gt;0)+(IFERROR(INDEX(Setup!$G$33:$G$40,MATCH(O2049,Setup!$B$33:$B$40,0)),0)=1)*(COUNTIF(O2008:Q2025,$B2049)+COUNTIF(O2008:Q2025,$B2049&amp;" ~*")&gt;0)+(IFERROR(INDEX(Setup!$G$33:$G$40,MATCH(S2049,Setup!$B$33:$B$40,0)),0)=1)*(COUNTIF(S2008:U2025,$B2049)+COUNTIF(S2008:U2025,$B2049&amp;" ~*")&gt;0)+(IFERROR(INDEX(Setup!$G$33:$G$40,MATCH(W2049,Setup!$B$33:$B$40,0)),0)=1)*(COUNTIF(W2008:W2025,$B2049)+COUNTIF(W2008:W2025,$B2049&amp;" ~*")&gt;0)+(IFERROR(INDEX(Setup!$G$33:$G$40,MATCH(Y2049,Setup!$B$33:$B$40,0)),0)=1)*(COUNTIF(Y2008:Y2025,$B2049)+COUNTIF(Y2008:Y2025,$B2049&amp;" ~*")&gt;0))</f>
        <v/>
      </c>
    </row>
    <row r="2050" ht="15" customHeight="1">
      <c r="A2050" t="n">
        <v>41</v>
      </c>
      <c r="B2050" s="37">
        <f>IF(Setup!$B$29="","",Setup!$B$29)</f>
        <v/>
      </c>
      <c r="C2050" s="102" t="n"/>
      <c r="D2050" s="103" t="n"/>
      <c r="E2050" s="103" t="n"/>
      <c r="F2050" s="104" t="n"/>
      <c r="G2050" s="102" t="n"/>
      <c r="H2050" s="103" t="n"/>
      <c r="I2050" s="103" t="n"/>
      <c r="J2050" s="104" t="n"/>
      <c r="K2050" s="102" t="n"/>
      <c r="L2050" s="103" t="n"/>
      <c r="M2050" s="103" t="n"/>
      <c r="N2050" s="104" t="n"/>
      <c r="O2050" s="102" t="n"/>
      <c r="P2050" s="103" t="n"/>
      <c r="Q2050" s="103" t="n"/>
      <c r="R2050" s="104" t="n"/>
      <c r="S2050" s="102" t="n"/>
      <c r="T2050" s="103" t="n"/>
      <c r="U2050" s="103" t="n"/>
      <c r="V2050" s="104" t="n"/>
      <c r="W2050" s="102" t="n"/>
      <c r="X2050" s="104" t="n"/>
      <c r="Y2050" s="102" t="n"/>
      <c r="Z2050" s="104" t="n"/>
      <c r="AB2050" s="105">
        <f>IF($B2050="","",(COUNTIF(C2008:E2025,$B2050)+COUNTIF(C2008:E2025,$B2050&amp;" ~*")&gt;0)+(COUNTIF(G2008:I2025,$B2050)+COUNTIF(G2008:I2025,$B2050&amp;" ~*")&gt;0)+(COUNTIF(K2008:M2025,$B2050)+COUNTIF(K2008:M2025,$B2050&amp;" ~*")&gt;0)+(COUNTIF(O2008:Q2025,$B2050)+COUNTIF(O2008:Q2025,$B2050&amp;" ~*")&gt;0)+(COUNTIF(S2008:U2025,$B2050)+COUNTIF(S2008:U2025,$B2050&amp;" ~*")&gt;0)+(COUNTIF(W2008:W2025,$B2050)+COUNTIF(W2008:W2025,$B2050&amp;" ~*")&gt;0)+(COUNTIF(Y2008:Y2025,$B2050)+COUNTIF(Y2008:Y2025,$B2050&amp;" ~*")&gt;0))</f>
        <v/>
      </c>
      <c r="AC2050" s="38">
        <f>IF($B2050="","",(IFERROR(INDEX(Setup!$G$33:$G$40,MATCH(C2050,Setup!$B$33:$B$40,0)),0)=1)*(COUNTIF(C2008:E2025,$B2050)+COUNTIF(C2008:E2025,$B2050&amp;" ~*")&gt;0)+(IFERROR(INDEX(Setup!$G$33:$G$40,MATCH(G2050,Setup!$B$33:$B$40,0)),0)=1)*(COUNTIF(G2008:I2025,$B2050)+COUNTIF(G2008:I2025,$B2050&amp;" ~*")&gt;0)+(IFERROR(INDEX(Setup!$G$33:$G$40,MATCH(K2050,Setup!$B$33:$B$40,0)),0)=1)*(COUNTIF(K2008:M2025,$B2050)+COUNTIF(K2008:M2025,$B2050&amp;" ~*")&gt;0)+(IFERROR(INDEX(Setup!$G$33:$G$40,MATCH(O2050,Setup!$B$33:$B$40,0)),0)=1)*(COUNTIF(O2008:Q2025,$B2050)+COUNTIF(O2008:Q2025,$B2050&amp;" ~*")&gt;0)+(IFERROR(INDEX(Setup!$G$33:$G$40,MATCH(S2050,Setup!$B$33:$B$40,0)),0)=1)*(COUNTIF(S2008:U2025,$B2050)+COUNTIF(S2008:U2025,$B2050&amp;" ~*")&gt;0)+(IFERROR(INDEX(Setup!$G$33:$G$40,MATCH(W2050,Setup!$B$33:$B$40,0)),0)=1)*(COUNTIF(W2008:W2025,$B2050)+COUNTIF(W2008:W2025,$B2050&amp;" ~*")&gt;0)+(IFERROR(INDEX(Setup!$G$33:$G$40,MATCH(Y2050,Setup!$B$33:$B$40,0)),0)=1)*(COUNTIF(Y2008:Y2025,$B2050)+COUNTIF(Y2008:Y2025,$B2050&amp;" ~*")&gt;0))</f>
        <v/>
      </c>
    </row>
    <row r="2051" ht="16" customHeight="1">
      <c r="A2051" t="n">
        <v>41</v>
      </c>
      <c r="B2051" s="106" t="inlineStr">
        <is>
          <t>Available people</t>
        </is>
      </c>
      <c r="C2051" s="107">
        <f>COUNTIFS(Setup!$E$6:$E$29,"Y",Setup!$B$6:$B$29,"?*")-SUMPRODUCT(COUNTIF(C2027:C2050,Setup!$F$33:$F$40))</f>
        <v/>
      </c>
      <c r="D2051" s="107" t="n"/>
      <c r="E2051" s="107" t="n"/>
      <c r="F2051" s="107" t="n"/>
      <c r="G2051" s="107">
        <f>COUNTIFS(Setup!$E$6:$E$29,"Y",Setup!$B$6:$B$29,"?*")-SUMPRODUCT(COUNTIF(G2027:G2050,Setup!$F$33:$F$40))</f>
        <v/>
      </c>
      <c r="H2051" s="107" t="n"/>
      <c r="I2051" s="107" t="n"/>
      <c r="J2051" s="107" t="n"/>
      <c r="K2051" s="107">
        <f>COUNTIFS(Setup!$E$6:$E$29,"Y",Setup!$B$6:$B$29,"?*")-SUMPRODUCT(COUNTIF(K2027:K2050,Setup!$F$33:$F$40))</f>
        <v/>
      </c>
      <c r="L2051" s="107" t="n"/>
      <c r="M2051" s="107" t="n"/>
      <c r="N2051" s="107" t="n"/>
      <c r="O2051" s="107">
        <f>COUNTIFS(Setup!$E$6:$E$29,"Y",Setup!$B$6:$B$29,"?*")-SUMPRODUCT(COUNTIF(O2027:O2050,Setup!$F$33:$F$40))</f>
        <v/>
      </c>
      <c r="P2051" s="107" t="n"/>
      <c r="Q2051" s="107" t="n"/>
      <c r="R2051" s="107" t="n"/>
      <c r="S2051" s="107">
        <f>COUNTIFS(Setup!$E$6:$E$29,"Y",Setup!$B$6:$B$29,"?*")-SUMPRODUCT(COUNTIF(S2027:S2050,Setup!$F$33:$F$40))</f>
        <v/>
      </c>
      <c r="T2051" s="107" t="n"/>
      <c r="U2051" s="107" t="n"/>
      <c r="V2051" s="107" t="n"/>
      <c r="W2051" s="107">
        <f>COUNTIFS(Setup!$E$6:$E$29,"Y",Setup!$B$6:$B$29,"?*")-SUMPRODUCT(COUNTIF(W2027:W2050,Setup!$F$33:$F$40))</f>
        <v/>
      </c>
      <c r="X2051" s="107" t="n"/>
      <c r="Y2051" s="107">
        <f>COUNTIFS(Setup!$E$6:$E$29,"Y",Setup!$B$6:$B$29,"?*")-SUMPRODUCT(COUNTIF(Y2027:Y2050,Setup!$F$33:$F$40))</f>
        <v/>
      </c>
      <c r="Z2051" s="107" t="n"/>
      <c r="AB2051" s="108">
        <f>SUM(AB2027:AB2050)</f>
        <v/>
      </c>
      <c r="AC2051" s="109">
        <f>SUM(AC2027:AC2050)</f>
        <v/>
      </c>
    </row>
    <row r="2052" ht="30" customHeight="1">
      <c r="A2052" t="n">
        <v>41</v>
      </c>
      <c r="B2052" s="110" t="inlineStr">
        <is>
          <t>Week notes</t>
        </is>
      </c>
      <c r="C2052" s="111" t="n"/>
      <c r="D2052" s="112" t="n"/>
      <c r="E2052" s="112" t="n"/>
      <c r="F2052" s="112" t="n"/>
      <c r="G2052" s="112" t="n"/>
      <c r="H2052" s="112" t="n"/>
      <c r="I2052" s="112" t="n"/>
      <c r="J2052" s="112" t="n"/>
      <c r="K2052" s="112" t="n"/>
      <c r="L2052" s="112" t="n"/>
      <c r="M2052" s="112" t="n"/>
      <c r="N2052" s="112" t="n"/>
      <c r="O2052" s="112" t="n"/>
      <c r="P2052" s="112" t="n"/>
      <c r="Q2052" s="112" t="n"/>
      <c r="R2052" s="112" t="n"/>
      <c r="S2052" s="112" t="n"/>
      <c r="T2052" s="112" t="n"/>
      <c r="U2052" s="112" t="n"/>
      <c r="V2052" s="112" t="n"/>
      <c r="W2052" s="112" t="n"/>
      <c r="X2052" s="112" t="n"/>
      <c r="Y2052" s="112" t="n"/>
      <c r="Z2052" s="113" t="n"/>
    </row>
    <row r="2053" ht="8" customHeight="1">
      <c r="A2053" t="n">
        <v>41</v>
      </c>
    </row>
    <row r="2054" ht="8" customHeight="1">
      <c r="A2054" t="n">
        <v>41</v>
      </c>
    </row>
    <row r="2055" ht="24" customHeight="1">
      <c r="A2055" t="n">
        <v>42</v>
      </c>
      <c r="B2055" s="73">
        <f>"WEEK 42     "&amp;TEXT(C2056,"ddd d mmm")&amp;"  –  "&amp;TEXT(C2056+6,"ddd d mmm yyyy")</f>
        <v/>
      </c>
      <c r="S2055" s="74">
        <f>IF(TODAY()&lt;C2056,"FUTURE",IF(TODAY()&gt;C2056+6,"PAST","THIS WEEK"))</f>
        <v/>
      </c>
      <c r="W2055" s="75">
        <f>IF(AND(Engine!$B$8=$AC$3,Engine!$B$9=$A2055),"◀ ACTIVE WEEK","")</f>
        <v/>
      </c>
      <c r="AA2055" s="76" t="n"/>
      <c r="AB2055" s="77" t="inlineStr">
        <is>
          <t>◀ Prev</t>
        </is>
      </c>
      <c r="AC2055" s="77" t="inlineStr">
        <is>
          <t>Next ▶</t>
        </is>
      </c>
    </row>
    <row r="2056" ht="18" customHeight="1">
      <c r="A2056" t="n">
        <v>42</v>
      </c>
      <c r="B2056" s="78" t="inlineStr">
        <is>
          <t>DUTY</t>
        </is>
      </c>
      <c r="C2056" s="79">
        <f>$AC$2+7*($A2056-1)</f>
        <v/>
      </c>
      <c r="D2056" s="80" t="n"/>
      <c r="E2056" s="80" t="n"/>
      <c r="F2056" s="81" t="n"/>
      <c r="G2056" s="79">
        <f>C2056+1</f>
        <v/>
      </c>
      <c r="H2056" s="80" t="n"/>
      <c r="I2056" s="80" t="n"/>
      <c r="J2056" s="81" t="n"/>
      <c r="K2056" s="79">
        <f>C2056+2</f>
        <v/>
      </c>
      <c r="L2056" s="80" t="n"/>
      <c r="M2056" s="80" t="n"/>
      <c r="N2056" s="81" t="n"/>
      <c r="O2056" s="79">
        <f>C2056+3</f>
        <v/>
      </c>
      <c r="P2056" s="80" t="n"/>
      <c r="Q2056" s="80" t="n"/>
      <c r="R2056" s="81" t="n"/>
      <c r="S2056" s="79">
        <f>C2056+4</f>
        <v/>
      </c>
      <c r="T2056" s="80" t="n"/>
      <c r="U2056" s="80" t="n"/>
      <c r="V2056" s="81" t="n"/>
      <c r="W2056" s="82">
        <f>C2056+5</f>
        <v/>
      </c>
      <c r="X2056" s="83" t="n"/>
      <c r="Y2056" s="82">
        <f>C2056+6</f>
        <v/>
      </c>
      <c r="Z2056" s="83" t="n"/>
      <c r="AB2056" s="72" t="inlineStr">
        <is>
          <t>Gaps</t>
        </is>
      </c>
      <c r="AC2056" s="72" t="inlineStr">
        <is>
          <t>Cover</t>
        </is>
      </c>
    </row>
    <row r="2057" ht="14" customHeight="1">
      <c r="A2057" t="n">
        <v>42</v>
      </c>
      <c r="B2057" s="84" t="inlineStr">
        <is>
          <t>(from Setup)</t>
        </is>
      </c>
      <c r="C2057" s="85" t="inlineStr">
        <is>
          <t>1</t>
        </is>
      </c>
      <c r="D2057" s="85" t="inlineStr">
        <is>
          <t>2</t>
        </is>
      </c>
      <c r="E2057" s="85" t="inlineStr">
        <is>
          <t>3</t>
        </is>
      </c>
      <c r="F2057" s="85" t="inlineStr">
        <is>
          <t>Notes</t>
        </is>
      </c>
      <c r="G2057" s="85" t="inlineStr">
        <is>
          <t>1</t>
        </is>
      </c>
      <c r="H2057" s="85" t="inlineStr">
        <is>
          <t>2</t>
        </is>
      </c>
      <c r="I2057" s="85" t="inlineStr">
        <is>
          <t>3</t>
        </is>
      </c>
      <c r="J2057" s="85" t="inlineStr">
        <is>
          <t>Notes</t>
        </is>
      </c>
      <c r="K2057" s="85" t="inlineStr">
        <is>
          <t>1</t>
        </is>
      </c>
      <c r="L2057" s="85" t="inlineStr">
        <is>
          <t>2</t>
        </is>
      </c>
      <c r="M2057" s="85" t="inlineStr">
        <is>
          <t>3</t>
        </is>
      </c>
      <c r="N2057" s="85" t="inlineStr">
        <is>
          <t>Notes</t>
        </is>
      </c>
      <c r="O2057" s="85" t="inlineStr">
        <is>
          <t>1</t>
        </is>
      </c>
      <c r="P2057" s="85" t="inlineStr">
        <is>
          <t>2</t>
        </is>
      </c>
      <c r="Q2057" s="85" t="inlineStr">
        <is>
          <t>3</t>
        </is>
      </c>
      <c r="R2057" s="85" t="inlineStr">
        <is>
          <t>Notes</t>
        </is>
      </c>
      <c r="S2057" s="85" t="inlineStr">
        <is>
          <t>1</t>
        </is>
      </c>
      <c r="T2057" s="85" t="inlineStr">
        <is>
          <t>2</t>
        </is>
      </c>
      <c r="U2057" s="85" t="inlineStr">
        <is>
          <t>3</t>
        </is>
      </c>
      <c r="V2057" s="85" t="inlineStr">
        <is>
          <t>Notes</t>
        </is>
      </c>
      <c r="W2057" s="85" t="inlineStr">
        <is>
          <t>Cover</t>
        </is>
      </c>
      <c r="X2057" s="85" t="inlineStr">
        <is>
          <t>Notes</t>
        </is>
      </c>
      <c r="Y2057" s="85" t="inlineStr">
        <is>
          <t>Cover</t>
        </is>
      </c>
      <c r="Z2057" s="85" t="inlineStr">
        <is>
          <t>Notes</t>
        </is>
      </c>
      <c r="AB2057" s="86" t="inlineStr">
        <is>
          <t>weekdays short</t>
        </is>
      </c>
      <c r="AC2057" s="87" t="inlineStr"/>
    </row>
    <row r="2058" ht="17" customHeight="1">
      <c r="A2058" t="n">
        <v>42</v>
      </c>
      <c r="B2058" s="24">
        <f>IF(Setup!$K$6="","",Setup!$K$6)</f>
        <v/>
      </c>
      <c r="C2058" s="88" t="n"/>
      <c r="D2058" s="88" t="n"/>
      <c r="E2058" s="88" t="n"/>
      <c r="F2058" s="89" t="n"/>
      <c r="G2058" s="88" t="n"/>
      <c r="H2058" s="88" t="n"/>
      <c r="I2058" s="88" t="n"/>
      <c r="J2058" s="89" t="n"/>
      <c r="K2058" s="88" t="n"/>
      <c r="L2058" s="88" t="n"/>
      <c r="M2058" s="88" t="n"/>
      <c r="N2058" s="89" t="n"/>
      <c r="O2058" s="88" t="n"/>
      <c r="P2058" s="88" t="n"/>
      <c r="Q2058" s="88" t="n"/>
      <c r="R2058" s="89" t="n"/>
      <c r="S2058" s="88" t="n"/>
      <c r="T2058" s="88" t="n"/>
      <c r="U2058" s="88" t="n"/>
      <c r="V2058" s="89" t="n"/>
      <c r="W2058" s="88" t="n"/>
      <c r="X2058" s="89" t="n"/>
      <c r="Y2058" s="88" t="n"/>
      <c r="Z2058" s="89" t="n"/>
      <c r="AB2058" s="25">
        <f>IF($B2058="","",(COUNTIF(C2058:E2058,"?*")&lt;N(INDEX(Setup!$L$6:$L$23,1)))+(COUNTIF(G2058:I2058,"?*")&lt;N(INDEX(Setup!$L$6:$L$23,1)))+(COUNTIF(K2058:M2058,"?*")&lt;N(INDEX(Setup!$L$6:$L$23,1)))+(COUNTIF(O2058:Q2058,"?*")&lt;N(INDEX(Setup!$L$6:$L$23,1)))+(COUNTIF(S2058:U2058,"?*")&lt;N(INDEX(Setup!$L$6:$L$23,1)))+((W2058="")*(INDEX(Setup!$M$6:$M$23,1)="Y"))+((Y2058="")*(INDEX(Setup!$M$6:$M$23,1)="Y")))</f>
        <v/>
      </c>
      <c r="AC2058" s="90">
        <f>IF($B2058="","",IF(AB2058=0,"✓ covered","⚠ "&amp;AB2058&amp;IF(AB2058=1," gap"," gaps")))</f>
        <v/>
      </c>
    </row>
    <row r="2059" ht="17" customHeight="1">
      <c r="A2059" t="n">
        <v>42</v>
      </c>
      <c r="B2059" s="29">
        <f>IF(Setup!$K$7="","",Setup!$K$7)</f>
        <v/>
      </c>
      <c r="C2059" s="88" t="n"/>
      <c r="D2059" s="88" t="n"/>
      <c r="E2059" s="88" t="n"/>
      <c r="F2059" s="89" t="n"/>
      <c r="G2059" s="88" t="n"/>
      <c r="H2059" s="88" t="n"/>
      <c r="I2059" s="88" t="n"/>
      <c r="J2059" s="89" t="n"/>
      <c r="K2059" s="88" t="n"/>
      <c r="L2059" s="88" t="n"/>
      <c r="M2059" s="88" t="n"/>
      <c r="N2059" s="89" t="n"/>
      <c r="O2059" s="88" t="n"/>
      <c r="P2059" s="88" t="n"/>
      <c r="Q2059" s="88" t="n"/>
      <c r="R2059" s="89" t="n"/>
      <c r="S2059" s="88" t="n"/>
      <c r="T2059" s="88" t="n"/>
      <c r="U2059" s="88" t="n"/>
      <c r="V2059" s="89" t="n"/>
      <c r="W2059" s="88" t="n"/>
      <c r="X2059" s="89" t="n"/>
      <c r="Y2059" s="88" t="n"/>
      <c r="Z2059" s="89" t="n"/>
      <c r="AB2059" s="30">
        <f>IF($B2059="","",(COUNTIF(C2059:E2059,"?*")&lt;N(INDEX(Setup!$L$6:$L$23,2)))+(COUNTIF(G2059:I2059,"?*")&lt;N(INDEX(Setup!$L$6:$L$23,2)))+(COUNTIF(K2059:M2059,"?*")&lt;N(INDEX(Setup!$L$6:$L$23,2)))+(COUNTIF(O2059:Q2059,"?*")&lt;N(INDEX(Setup!$L$6:$L$23,2)))+(COUNTIF(S2059:U2059,"?*")&lt;N(INDEX(Setup!$L$6:$L$23,2)))+((W2059="")*(INDEX(Setup!$M$6:$M$23,2)="Y"))+((Y2059="")*(INDEX(Setup!$M$6:$M$23,2)="Y")))</f>
        <v/>
      </c>
      <c r="AC2059" s="91">
        <f>IF($B2059="","",IF(AB2059=0,"✓ covered","⚠ "&amp;AB2059&amp;IF(AB2059=1," gap"," gaps")))</f>
        <v/>
      </c>
    </row>
    <row r="2060" ht="17" customHeight="1">
      <c r="A2060" t="n">
        <v>42</v>
      </c>
      <c r="B2060" s="24">
        <f>IF(Setup!$K$8="","",Setup!$K$8)</f>
        <v/>
      </c>
      <c r="C2060" s="88" t="n"/>
      <c r="D2060" s="88" t="n"/>
      <c r="E2060" s="88" t="n"/>
      <c r="F2060" s="89" t="n"/>
      <c r="G2060" s="88" t="n"/>
      <c r="H2060" s="88" t="n"/>
      <c r="I2060" s="88" t="n"/>
      <c r="J2060" s="89" t="n"/>
      <c r="K2060" s="88" t="n"/>
      <c r="L2060" s="88" t="n"/>
      <c r="M2060" s="88" t="n"/>
      <c r="N2060" s="89" t="n"/>
      <c r="O2060" s="88" t="n"/>
      <c r="P2060" s="88" t="n"/>
      <c r="Q2060" s="88" t="n"/>
      <c r="R2060" s="89" t="n"/>
      <c r="S2060" s="88" t="n"/>
      <c r="T2060" s="88" t="n"/>
      <c r="U2060" s="88" t="n"/>
      <c r="V2060" s="89" t="n"/>
      <c r="W2060" s="88" t="n"/>
      <c r="X2060" s="89" t="n"/>
      <c r="Y2060" s="88" t="n"/>
      <c r="Z2060" s="89" t="n"/>
      <c r="AB2060" s="25">
        <f>IF($B2060="","",(COUNTIF(C2060:E2060,"?*")&lt;N(INDEX(Setup!$L$6:$L$23,3)))+(COUNTIF(G2060:I2060,"?*")&lt;N(INDEX(Setup!$L$6:$L$23,3)))+(COUNTIF(K2060:M2060,"?*")&lt;N(INDEX(Setup!$L$6:$L$23,3)))+(COUNTIF(O2060:Q2060,"?*")&lt;N(INDEX(Setup!$L$6:$L$23,3)))+(COUNTIF(S2060:U2060,"?*")&lt;N(INDEX(Setup!$L$6:$L$23,3)))+((W2060="")*(INDEX(Setup!$M$6:$M$23,3)="Y"))+((Y2060="")*(INDEX(Setup!$M$6:$M$23,3)="Y")))</f>
        <v/>
      </c>
      <c r="AC2060" s="90">
        <f>IF($B2060="","",IF(AB2060=0,"✓ covered","⚠ "&amp;AB2060&amp;IF(AB2060=1," gap"," gaps")))</f>
        <v/>
      </c>
    </row>
    <row r="2061" ht="17" customHeight="1">
      <c r="A2061" t="n">
        <v>42</v>
      </c>
      <c r="B2061" s="29">
        <f>IF(Setup!$K$9="","",Setup!$K$9)</f>
        <v/>
      </c>
      <c r="C2061" s="88" t="n"/>
      <c r="D2061" s="88" t="n"/>
      <c r="E2061" s="88" t="n"/>
      <c r="F2061" s="89" t="n"/>
      <c r="G2061" s="88" t="n"/>
      <c r="H2061" s="88" t="n"/>
      <c r="I2061" s="88" t="n"/>
      <c r="J2061" s="89" t="n"/>
      <c r="K2061" s="88" t="n"/>
      <c r="L2061" s="88" t="n"/>
      <c r="M2061" s="88" t="n"/>
      <c r="N2061" s="89" t="n"/>
      <c r="O2061" s="88" t="n"/>
      <c r="P2061" s="88" t="n"/>
      <c r="Q2061" s="88" t="n"/>
      <c r="R2061" s="89" t="n"/>
      <c r="S2061" s="88" t="n"/>
      <c r="T2061" s="88" t="n"/>
      <c r="U2061" s="88" t="n"/>
      <c r="V2061" s="89" t="n"/>
      <c r="W2061" s="88" t="n"/>
      <c r="X2061" s="89" t="n"/>
      <c r="Y2061" s="88" t="n"/>
      <c r="Z2061" s="89" t="n"/>
      <c r="AB2061" s="30">
        <f>IF($B2061="","",(COUNTIF(C2061:E2061,"?*")&lt;N(INDEX(Setup!$L$6:$L$23,4)))+(COUNTIF(G2061:I2061,"?*")&lt;N(INDEX(Setup!$L$6:$L$23,4)))+(COUNTIF(K2061:M2061,"?*")&lt;N(INDEX(Setup!$L$6:$L$23,4)))+(COUNTIF(O2061:Q2061,"?*")&lt;N(INDEX(Setup!$L$6:$L$23,4)))+(COUNTIF(S2061:U2061,"?*")&lt;N(INDEX(Setup!$L$6:$L$23,4)))+((W2061="")*(INDEX(Setup!$M$6:$M$23,4)="Y"))+((Y2061="")*(INDEX(Setup!$M$6:$M$23,4)="Y")))</f>
        <v/>
      </c>
      <c r="AC2061" s="91">
        <f>IF($B2061="","",IF(AB2061=0,"✓ covered","⚠ "&amp;AB2061&amp;IF(AB2061=1," gap"," gaps")))</f>
        <v/>
      </c>
    </row>
    <row r="2062" ht="17" customHeight="1">
      <c r="A2062" t="n">
        <v>42</v>
      </c>
      <c r="B2062" s="24">
        <f>IF(Setup!$K$10="","",Setup!$K$10)</f>
        <v/>
      </c>
      <c r="C2062" s="88" t="n"/>
      <c r="D2062" s="88" t="n"/>
      <c r="E2062" s="88" t="n"/>
      <c r="F2062" s="89" t="n"/>
      <c r="G2062" s="88" t="n"/>
      <c r="H2062" s="88" t="n"/>
      <c r="I2062" s="88" t="n"/>
      <c r="J2062" s="89" t="n"/>
      <c r="K2062" s="88" t="n"/>
      <c r="L2062" s="88" t="n"/>
      <c r="M2062" s="88" t="n"/>
      <c r="N2062" s="89" t="n"/>
      <c r="O2062" s="88" t="n"/>
      <c r="P2062" s="88" t="n"/>
      <c r="Q2062" s="88" t="n"/>
      <c r="R2062" s="89" t="n"/>
      <c r="S2062" s="88" t="n"/>
      <c r="T2062" s="88" t="n"/>
      <c r="U2062" s="88" t="n"/>
      <c r="V2062" s="89" t="n"/>
      <c r="W2062" s="88" t="n"/>
      <c r="X2062" s="89" t="n"/>
      <c r="Y2062" s="88" t="n"/>
      <c r="Z2062" s="89" t="n"/>
      <c r="AB2062" s="25">
        <f>IF($B2062="","",(COUNTIF(C2062:E2062,"?*")&lt;N(INDEX(Setup!$L$6:$L$23,5)))+(COUNTIF(G2062:I2062,"?*")&lt;N(INDEX(Setup!$L$6:$L$23,5)))+(COUNTIF(K2062:M2062,"?*")&lt;N(INDEX(Setup!$L$6:$L$23,5)))+(COUNTIF(O2062:Q2062,"?*")&lt;N(INDEX(Setup!$L$6:$L$23,5)))+(COUNTIF(S2062:U2062,"?*")&lt;N(INDEX(Setup!$L$6:$L$23,5)))+((W2062="")*(INDEX(Setup!$M$6:$M$23,5)="Y"))+((Y2062="")*(INDEX(Setup!$M$6:$M$23,5)="Y")))</f>
        <v/>
      </c>
      <c r="AC2062" s="90">
        <f>IF($B2062="","",IF(AB2062=0,"✓ covered","⚠ "&amp;AB2062&amp;IF(AB2062=1," gap"," gaps")))</f>
        <v/>
      </c>
    </row>
    <row r="2063" ht="17" customHeight="1">
      <c r="A2063" t="n">
        <v>42</v>
      </c>
      <c r="B2063" s="29">
        <f>IF(Setup!$K$11="","",Setup!$K$11)</f>
        <v/>
      </c>
      <c r="C2063" s="88" t="n"/>
      <c r="D2063" s="88" t="n"/>
      <c r="E2063" s="88" t="n"/>
      <c r="F2063" s="89" t="n"/>
      <c r="G2063" s="88" t="n"/>
      <c r="H2063" s="88" t="n"/>
      <c r="I2063" s="88" t="n"/>
      <c r="J2063" s="89" t="n"/>
      <c r="K2063" s="88" t="n"/>
      <c r="L2063" s="88" t="n"/>
      <c r="M2063" s="88" t="n"/>
      <c r="N2063" s="89" t="n"/>
      <c r="O2063" s="88" t="n"/>
      <c r="P2063" s="88" t="n"/>
      <c r="Q2063" s="88" t="n"/>
      <c r="R2063" s="89" t="n"/>
      <c r="S2063" s="88" t="n"/>
      <c r="T2063" s="88" t="n"/>
      <c r="U2063" s="88" t="n"/>
      <c r="V2063" s="89" t="n"/>
      <c r="W2063" s="88" t="n"/>
      <c r="X2063" s="89" t="n"/>
      <c r="Y2063" s="88" t="n"/>
      <c r="Z2063" s="89" t="n"/>
      <c r="AB2063" s="30">
        <f>IF($B2063="","",(COUNTIF(C2063:E2063,"?*")&lt;N(INDEX(Setup!$L$6:$L$23,6)))+(COUNTIF(G2063:I2063,"?*")&lt;N(INDEX(Setup!$L$6:$L$23,6)))+(COUNTIF(K2063:M2063,"?*")&lt;N(INDEX(Setup!$L$6:$L$23,6)))+(COUNTIF(O2063:Q2063,"?*")&lt;N(INDEX(Setup!$L$6:$L$23,6)))+(COUNTIF(S2063:U2063,"?*")&lt;N(INDEX(Setup!$L$6:$L$23,6)))+((W2063="")*(INDEX(Setup!$M$6:$M$23,6)="Y"))+((Y2063="")*(INDEX(Setup!$M$6:$M$23,6)="Y")))</f>
        <v/>
      </c>
      <c r="AC2063" s="91">
        <f>IF($B2063="","",IF(AB2063=0,"✓ covered","⚠ "&amp;AB2063&amp;IF(AB2063=1," gap"," gaps")))</f>
        <v/>
      </c>
    </row>
    <row r="2064" ht="17" customHeight="1">
      <c r="A2064" t="n">
        <v>42</v>
      </c>
      <c r="B2064" s="24">
        <f>IF(Setup!$K$12="","",Setup!$K$12)</f>
        <v/>
      </c>
      <c r="C2064" s="88" t="n"/>
      <c r="D2064" s="88" t="n"/>
      <c r="E2064" s="88" t="n"/>
      <c r="F2064" s="89" t="n"/>
      <c r="G2064" s="88" t="n"/>
      <c r="H2064" s="88" t="n"/>
      <c r="I2064" s="88" t="n"/>
      <c r="J2064" s="89" t="n"/>
      <c r="K2064" s="88" t="n"/>
      <c r="L2064" s="88" t="n"/>
      <c r="M2064" s="88" t="n"/>
      <c r="N2064" s="89" t="n"/>
      <c r="O2064" s="88" t="n"/>
      <c r="P2064" s="88" t="n"/>
      <c r="Q2064" s="88" t="n"/>
      <c r="R2064" s="89" t="n"/>
      <c r="S2064" s="88" t="n"/>
      <c r="T2064" s="88" t="n"/>
      <c r="U2064" s="88" t="n"/>
      <c r="V2064" s="89" t="n"/>
      <c r="W2064" s="88" t="n"/>
      <c r="X2064" s="89" t="n"/>
      <c r="Y2064" s="88" t="n"/>
      <c r="Z2064" s="89" t="n"/>
      <c r="AB2064" s="25">
        <f>IF($B2064="","",(COUNTIF(C2064:E2064,"?*")&lt;N(INDEX(Setup!$L$6:$L$23,7)))+(COUNTIF(G2064:I2064,"?*")&lt;N(INDEX(Setup!$L$6:$L$23,7)))+(COUNTIF(K2064:M2064,"?*")&lt;N(INDEX(Setup!$L$6:$L$23,7)))+(COUNTIF(O2064:Q2064,"?*")&lt;N(INDEX(Setup!$L$6:$L$23,7)))+(COUNTIF(S2064:U2064,"?*")&lt;N(INDEX(Setup!$L$6:$L$23,7)))+((W2064="")*(INDEX(Setup!$M$6:$M$23,7)="Y"))+((Y2064="")*(INDEX(Setup!$M$6:$M$23,7)="Y")))</f>
        <v/>
      </c>
      <c r="AC2064" s="90">
        <f>IF($B2064="","",IF(AB2064=0,"✓ covered","⚠ "&amp;AB2064&amp;IF(AB2064=1," gap"," gaps")))</f>
        <v/>
      </c>
    </row>
    <row r="2065" ht="17" customHeight="1">
      <c r="A2065" t="n">
        <v>42</v>
      </c>
      <c r="B2065" s="29">
        <f>IF(Setup!$K$13="","",Setup!$K$13)</f>
        <v/>
      </c>
      <c r="C2065" s="88" t="n"/>
      <c r="D2065" s="88" t="n"/>
      <c r="E2065" s="88" t="n"/>
      <c r="F2065" s="89" t="n"/>
      <c r="G2065" s="88" t="n"/>
      <c r="H2065" s="88" t="n"/>
      <c r="I2065" s="88" t="n"/>
      <c r="J2065" s="89" t="n"/>
      <c r="K2065" s="88" t="n"/>
      <c r="L2065" s="88" t="n"/>
      <c r="M2065" s="88" t="n"/>
      <c r="N2065" s="89" t="n"/>
      <c r="O2065" s="88" t="n"/>
      <c r="P2065" s="88" t="n"/>
      <c r="Q2065" s="88" t="n"/>
      <c r="R2065" s="89" t="n"/>
      <c r="S2065" s="88" t="n"/>
      <c r="T2065" s="88" t="n"/>
      <c r="U2065" s="88" t="n"/>
      <c r="V2065" s="89" t="n"/>
      <c r="W2065" s="88" t="n"/>
      <c r="X2065" s="89" t="n"/>
      <c r="Y2065" s="88" t="n"/>
      <c r="Z2065" s="89" t="n"/>
      <c r="AB2065" s="30">
        <f>IF($B2065="","",(COUNTIF(C2065:E2065,"?*")&lt;N(INDEX(Setup!$L$6:$L$23,8)))+(COUNTIF(G2065:I2065,"?*")&lt;N(INDEX(Setup!$L$6:$L$23,8)))+(COUNTIF(K2065:M2065,"?*")&lt;N(INDEX(Setup!$L$6:$L$23,8)))+(COUNTIF(O2065:Q2065,"?*")&lt;N(INDEX(Setup!$L$6:$L$23,8)))+(COUNTIF(S2065:U2065,"?*")&lt;N(INDEX(Setup!$L$6:$L$23,8)))+((W2065="")*(INDEX(Setup!$M$6:$M$23,8)="Y"))+((Y2065="")*(INDEX(Setup!$M$6:$M$23,8)="Y")))</f>
        <v/>
      </c>
      <c r="AC2065" s="91">
        <f>IF($B2065="","",IF(AB2065=0,"✓ covered","⚠ "&amp;AB2065&amp;IF(AB2065=1," gap"," gaps")))</f>
        <v/>
      </c>
    </row>
    <row r="2066" ht="17" customHeight="1">
      <c r="A2066" t="n">
        <v>42</v>
      </c>
      <c r="B2066" s="24">
        <f>IF(Setup!$K$14="","",Setup!$K$14)</f>
        <v/>
      </c>
      <c r="C2066" s="88" t="n"/>
      <c r="D2066" s="88" t="n"/>
      <c r="E2066" s="88" t="n"/>
      <c r="F2066" s="89" t="n"/>
      <c r="G2066" s="88" t="n"/>
      <c r="H2066" s="88" t="n"/>
      <c r="I2066" s="88" t="n"/>
      <c r="J2066" s="89" t="n"/>
      <c r="K2066" s="88" t="n"/>
      <c r="L2066" s="88" t="n"/>
      <c r="M2066" s="88" t="n"/>
      <c r="N2066" s="89" t="n"/>
      <c r="O2066" s="88" t="n"/>
      <c r="P2066" s="88" t="n"/>
      <c r="Q2066" s="88" t="n"/>
      <c r="R2066" s="89" t="n"/>
      <c r="S2066" s="88" t="n"/>
      <c r="T2066" s="88" t="n"/>
      <c r="U2066" s="88" t="n"/>
      <c r="V2066" s="89" t="n"/>
      <c r="W2066" s="88" t="n"/>
      <c r="X2066" s="89" t="n"/>
      <c r="Y2066" s="88" t="n"/>
      <c r="Z2066" s="89" t="n"/>
      <c r="AB2066" s="25">
        <f>IF($B2066="","",(COUNTIF(C2066:E2066,"?*")&lt;N(INDEX(Setup!$L$6:$L$23,9)))+(COUNTIF(G2066:I2066,"?*")&lt;N(INDEX(Setup!$L$6:$L$23,9)))+(COUNTIF(K2066:M2066,"?*")&lt;N(INDEX(Setup!$L$6:$L$23,9)))+(COUNTIF(O2066:Q2066,"?*")&lt;N(INDEX(Setup!$L$6:$L$23,9)))+(COUNTIF(S2066:U2066,"?*")&lt;N(INDEX(Setup!$L$6:$L$23,9)))+((W2066="")*(INDEX(Setup!$M$6:$M$23,9)="Y"))+((Y2066="")*(INDEX(Setup!$M$6:$M$23,9)="Y")))</f>
        <v/>
      </c>
      <c r="AC2066" s="90">
        <f>IF($B2066="","",IF(AB2066=0,"✓ covered","⚠ "&amp;AB2066&amp;IF(AB2066=1," gap"," gaps")))</f>
        <v/>
      </c>
    </row>
    <row r="2067" ht="17" customHeight="1">
      <c r="A2067" t="n">
        <v>42</v>
      </c>
      <c r="B2067" s="29">
        <f>IF(Setup!$K$15="","",Setup!$K$15)</f>
        <v/>
      </c>
      <c r="C2067" s="88" t="n"/>
      <c r="D2067" s="88" t="n"/>
      <c r="E2067" s="88" t="n"/>
      <c r="F2067" s="89" t="n"/>
      <c r="G2067" s="88" t="n"/>
      <c r="H2067" s="88" t="n"/>
      <c r="I2067" s="88" t="n"/>
      <c r="J2067" s="89" t="n"/>
      <c r="K2067" s="88" t="n"/>
      <c r="L2067" s="88" t="n"/>
      <c r="M2067" s="88" t="n"/>
      <c r="N2067" s="89" t="n"/>
      <c r="O2067" s="88" t="n"/>
      <c r="P2067" s="88" t="n"/>
      <c r="Q2067" s="88" t="n"/>
      <c r="R2067" s="89" t="n"/>
      <c r="S2067" s="88" t="n"/>
      <c r="T2067" s="88" t="n"/>
      <c r="U2067" s="88" t="n"/>
      <c r="V2067" s="89" t="n"/>
      <c r="W2067" s="88" t="n"/>
      <c r="X2067" s="89" t="n"/>
      <c r="Y2067" s="88" t="n"/>
      <c r="Z2067" s="89" t="n"/>
      <c r="AB2067" s="30">
        <f>IF($B2067="","",(COUNTIF(C2067:E2067,"?*")&lt;N(INDEX(Setup!$L$6:$L$23,10)))+(COUNTIF(G2067:I2067,"?*")&lt;N(INDEX(Setup!$L$6:$L$23,10)))+(COUNTIF(K2067:M2067,"?*")&lt;N(INDEX(Setup!$L$6:$L$23,10)))+(COUNTIF(O2067:Q2067,"?*")&lt;N(INDEX(Setup!$L$6:$L$23,10)))+(COUNTIF(S2067:U2067,"?*")&lt;N(INDEX(Setup!$L$6:$L$23,10)))+((W2067="")*(INDEX(Setup!$M$6:$M$23,10)="Y"))+((Y2067="")*(INDEX(Setup!$M$6:$M$23,10)="Y")))</f>
        <v/>
      </c>
      <c r="AC2067" s="91">
        <f>IF($B2067="","",IF(AB2067=0,"✓ covered","⚠ "&amp;AB2067&amp;IF(AB2067=1," gap"," gaps")))</f>
        <v/>
      </c>
    </row>
    <row r="2068" ht="17" customHeight="1">
      <c r="A2068" t="n">
        <v>42</v>
      </c>
      <c r="B2068" s="24">
        <f>IF(Setup!$K$16="","",Setup!$K$16)</f>
        <v/>
      </c>
      <c r="C2068" s="88" t="n"/>
      <c r="D2068" s="88" t="n"/>
      <c r="E2068" s="88" t="n"/>
      <c r="F2068" s="89" t="n"/>
      <c r="G2068" s="88" t="n"/>
      <c r="H2068" s="88" t="n"/>
      <c r="I2068" s="88" t="n"/>
      <c r="J2068" s="89" t="n"/>
      <c r="K2068" s="88" t="n"/>
      <c r="L2068" s="88" t="n"/>
      <c r="M2068" s="88" t="n"/>
      <c r="N2068" s="89" t="n"/>
      <c r="O2068" s="88" t="n"/>
      <c r="P2068" s="88" t="n"/>
      <c r="Q2068" s="88" t="n"/>
      <c r="R2068" s="89" t="n"/>
      <c r="S2068" s="88" t="n"/>
      <c r="T2068" s="88" t="n"/>
      <c r="U2068" s="88" t="n"/>
      <c r="V2068" s="89" t="n"/>
      <c r="W2068" s="88" t="n"/>
      <c r="X2068" s="89" t="n"/>
      <c r="Y2068" s="88" t="n"/>
      <c r="Z2068" s="89" t="n"/>
      <c r="AB2068" s="25">
        <f>IF($B2068="","",(COUNTIF(C2068:E2068,"?*")&lt;N(INDEX(Setup!$L$6:$L$23,11)))+(COUNTIF(G2068:I2068,"?*")&lt;N(INDEX(Setup!$L$6:$L$23,11)))+(COUNTIF(K2068:M2068,"?*")&lt;N(INDEX(Setup!$L$6:$L$23,11)))+(COUNTIF(O2068:Q2068,"?*")&lt;N(INDEX(Setup!$L$6:$L$23,11)))+(COUNTIF(S2068:U2068,"?*")&lt;N(INDEX(Setup!$L$6:$L$23,11)))+((W2068="")*(INDEX(Setup!$M$6:$M$23,11)="Y"))+((Y2068="")*(INDEX(Setup!$M$6:$M$23,11)="Y")))</f>
        <v/>
      </c>
      <c r="AC2068" s="90">
        <f>IF($B2068="","",IF(AB2068=0,"✓ covered","⚠ "&amp;AB2068&amp;IF(AB2068=1," gap"," gaps")))</f>
        <v/>
      </c>
    </row>
    <row r="2069" ht="17" customHeight="1">
      <c r="A2069" t="n">
        <v>42</v>
      </c>
      <c r="B2069" s="29">
        <f>IF(Setup!$K$17="","",Setup!$K$17)</f>
        <v/>
      </c>
      <c r="C2069" s="88" t="n"/>
      <c r="D2069" s="88" t="n"/>
      <c r="E2069" s="88" t="n"/>
      <c r="F2069" s="89" t="n"/>
      <c r="G2069" s="88" t="n"/>
      <c r="H2069" s="88" t="n"/>
      <c r="I2069" s="88" t="n"/>
      <c r="J2069" s="89" t="n"/>
      <c r="K2069" s="88" t="n"/>
      <c r="L2069" s="88" t="n"/>
      <c r="M2069" s="88" t="n"/>
      <c r="N2069" s="89" t="n"/>
      <c r="O2069" s="88" t="n"/>
      <c r="P2069" s="88" t="n"/>
      <c r="Q2069" s="88" t="n"/>
      <c r="R2069" s="89" t="n"/>
      <c r="S2069" s="88" t="n"/>
      <c r="T2069" s="88" t="n"/>
      <c r="U2069" s="88" t="n"/>
      <c r="V2069" s="89" t="n"/>
      <c r="W2069" s="88" t="n"/>
      <c r="X2069" s="89" t="n"/>
      <c r="Y2069" s="88" t="n"/>
      <c r="Z2069" s="89" t="n"/>
      <c r="AB2069" s="30">
        <f>IF($B2069="","",(COUNTIF(C2069:E2069,"?*")&lt;N(INDEX(Setup!$L$6:$L$23,12)))+(COUNTIF(G2069:I2069,"?*")&lt;N(INDEX(Setup!$L$6:$L$23,12)))+(COUNTIF(K2069:M2069,"?*")&lt;N(INDEX(Setup!$L$6:$L$23,12)))+(COUNTIF(O2069:Q2069,"?*")&lt;N(INDEX(Setup!$L$6:$L$23,12)))+(COUNTIF(S2069:U2069,"?*")&lt;N(INDEX(Setup!$L$6:$L$23,12)))+((W2069="")*(INDEX(Setup!$M$6:$M$23,12)="Y"))+((Y2069="")*(INDEX(Setup!$M$6:$M$23,12)="Y")))</f>
        <v/>
      </c>
      <c r="AC2069" s="91">
        <f>IF($B2069="","",IF(AB2069=0,"✓ covered","⚠ "&amp;AB2069&amp;IF(AB2069=1," gap"," gaps")))</f>
        <v/>
      </c>
    </row>
    <row r="2070" ht="17" customHeight="1">
      <c r="A2070" t="n">
        <v>42</v>
      </c>
      <c r="B2070" s="24">
        <f>IF(Setup!$K$18="","",Setup!$K$18)</f>
        <v/>
      </c>
      <c r="C2070" s="88" t="n"/>
      <c r="D2070" s="88" t="n"/>
      <c r="E2070" s="88" t="n"/>
      <c r="F2070" s="89" t="n"/>
      <c r="G2070" s="88" t="n"/>
      <c r="H2070" s="88" t="n"/>
      <c r="I2070" s="88" t="n"/>
      <c r="J2070" s="89" t="n"/>
      <c r="K2070" s="88" t="n"/>
      <c r="L2070" s="88" t="n"/>
      <c r="M2070" s="88" t="n"/>
      <c r="N2070" s="89" t="n"/>
      <c r="O2070" s="88" t="n"/>
      <c r="P2070" s="88" t="n"/>
      <c r="Q2070" s="88" t="n"/>
      <c r="R2070" s="89" t="n"/>
      <c r="S2070" s="88" t="n"/>
      <c r="T2070" s="88" t="n"/>
      <c r="U2070" s="88" t="n"/>
      <c r="V2070" s="89" t="n"/>
      <c r="W2070" s="88" t="n"/>
      <c r="X2070" s="89" t="n"/>
      <c r="Y2070" s="88" t="n"/>
      <c r="Z2070" s="89" t="n"/>
      <c r="AB2070" s="25">
        <f>IF($B2070="","",(COUNTIF(C2070:E2070,"?*")&lt;N(INDEX(Setup!$L$6:$L$23,13)))+(COUNTIF(G2070:I2070,"?*")&lt;N(INDEX(Setup!$L$6:$L$23,13)))+(COUNTIF(K2070:M2070,"?*")&lt;N(INDEX(Setup!$L$6:$L$23,13)))+(COUNTIF(O2070:Q2070,"?*")&lt;N(INDEX(Setup!$L$6:$L$23,13)))+(COUNTIF(S2070:U2070,"?*")&lt;N(INDEX(Setup!$L$6:$L$23,13)))+((W2070="")*(INDEX(Setup!$M$6:$M$23,13)="Y"))+((Y2070="")*(INDEX(Setup!$M$6:$M$23,13)="Y")))</f>
        <v/>
      </c>
      <c r="AC2070" s="90">
        <f>IF($B2070="","",IF(AB2070=0,"✓ covered","⚠ "&amp;AB2070&amp;IF(AB2070=1," gap"," gaps")))</f>
        <v/>
      </c>
    </row>
    <row r="2071" ht="17" customHeight="1">
      <c r="A2071" t="n">
        <v>42</v>
      </c>
      <c r="B2071" s="29">
        <f>IF(Setup!$K$19="","",Setup!$K$19)</f>
        <v/>
      </c>
      <c r="C2071" s="88" t="n"/>
      <c r="D2071" s="88" t="n"/>
      <c r="E2071" s="88" t="n"/>
      <c r="F2071" s="89" t="n"/>
      <c r="G2071" s="88" t="n"/>
      <c r="H2071" s="88" t="n"/>
      <c r="I2071" s="88" t="n"/>
      <c r="J2071" s="89" t="n"/>
      <c r="K2071" s="88" t="n"/>
      <c r="L2071" s="88" t="n"/>
      <c r="M2071" s="88" t="n"/>
      <c r="N2071" s="89" t="n"/>
      <c r="O2071" s="88" t="n"/>
      <c r="P2071" s="88" t="n"/>
      <c r="Q2071" s="88" t="n"/>
      <c r="R2071" s="89" t="n"/>
      <c r="S2071" s="88" t="n"/>
      <c r="T2071" s="88" t="n"/>
      <c r="U2071" s="88" t="n"/>
      <c r="V2071" s="89" t="n"/>
      <c r="W2071" s="88" t="n"/>
      <c r="X2071" s="89" t="n"/>
      <c r="Y2071" s="88" t="n"/>
      <c r="Z2071" s="89" t="n"/>
      <c r="AB2071" s="30">
        <f>IF($B2071="","",(COUNTIF(C2071:E2071,"?*")&lt;N(INDEX(Setup!$L$6:$L$23,14)))+(COUNTIF(G2071:I2071,"?*")&lt;N(INDEX(Setup!$L$6:$L$23,14)))+(COUNTIF(K2071:M2071,"?*")&lt;N(INDEX(Setup!$L$6:$L$23,14)))+(COUNTIF(O2071:Q2071,"?*")&lt;N(INDEX(Setup!$L$6:$L$23,14)))+(COUNTIF(S2071:U2071,"?*")&lt;N(INDEX(Setup!$L$6:$L$23,14)))+((W2071="")*(INDEX(Setup!$M$6:$M$23,14)="Y"))+((Y2071="")*(INDEX(Setup!$M$6:$M$23,14)="Y")))</f>
        <v/>
      </c>
      <c r="AC2071" s="91">
        <f>IF($B2071="","",IF(AB2071=0,"✓ covered","⚠ "&amp;AB2071&amp;IF(AB2071=1," gap"," gaps")))</f>
        <v/>
      </c>
    </row>
    <row r="2072" ht="17" customHeight="1">
      <c r="A2072" t="n">
        <v>42</v>
      </c>
      <c r="B2072" s="24">
        <f>IF(Setup!$K$20="","",Setup!$K$20)</f>
        <v/>
      </c>
      <c r="C2072" s="88" t="n"/>
      <c r="D2072" s="88" t="n"/>
      <c r="E2072" s="88" t="n"/>
      <c r="F2072" s="89" t="n"/>
      <c r="G2072" s="88" t="n"/>
      <c r="H2072" s="88" t="n"/>
      <c r="I2072" s="88" t="n"/>
      <c r="J2072" s="89" t="n"/>
      <c r="K2072" s="88" t="n"/>
      <c r="L2072" s="88" t="n"/>
      <c r="M2072" s="88" t="n"/>
      <c r="N2072" s="89" t="n"/>
      <c r="O2072" s="88" t="n"/>
      <c r="P2072" s="88" t="n"/>
      <c r="Q2072" s="88" t="n"/>
      <c r="R2072" s="89" t="n"/>
      <c r="S2072" s="88" t="n"/>
      <c r="T2072" s="88" t="n"/>
      <c r="U2072" s="88" t="n"/>
      <c r="V2072" s="89" t="n"/>
      <c r="W2072" s="88" t="n"/>
      <c r="X2072" s="89" t="n"/>
      <c r="Y2072" s="88" t="n"/>
      <c r="Z2072" s="89" t="n"/>
      <c r="AB2072" s="25">
        <f>IF($B2072="","",(COUNTIF(C2072:E2072,"?*")&lt;N(INDEX(Setup!$L$6:$L$23,15)))+(COUNTIF(G2072:I2072,"?*")&lt;N(INDEX(Setup!$L$6:$L$23,15)))+(COUNTIF(K2072:M2072,"?*")&lt;N(INDEX(Setup!$L$6:$L$23,15)))+(COUNTIF(O2072:Q2072,"?*")&lt;N(INDEX(Setup!$L$6:$L$23,15)))+(COUNTIF(S2072:U2072,"?*")&lt;N(INDEX(Setup!$L$6:$L$23,15)))+((W2072="")*(INDEX(Setup!$M$6:$M$23,15)="Y"))+((Y2072="")*(INDEX(Setup!$M$6:$M$23,15)="Y")))</f>
        <v/>
      </c>
      <c r="AC2072" s="90">
        <f>IF($B2072="","",IF(AB2072=0,"✓ covered","⚠ "&amp;AB2072&amp;IF(AB2072=1," gap"," gaps")))</f>
        <v/>
      </c>
    </row>
    <row r="2073" ht="17" customHeight="1">
      <c r="A2073" t="n">
        <v>42</v>
      </c>
      <c r="B2073" s="29">
        <f>IF(Setup!$K$21="","",Setup!$K$21)</f>
        <v/>
      </c>
      <c r="C2073" s="88" t="n"/>
      <c r="D2073" s="88" t="n"/>
      <c r="E2073" s="88" t="n"/>
      <c r="F2073" s="89" t="n"/>
      <c r="G2073" s="88" t="n"/>
      <c r="H2073" s="88" t="n"/>
      <c r="I2073" s="88" t="n"/>
      <c r="J2073" s="89" t="n"/>
      <c r="K2073" s="88" t="n"/>
      <c r="L2073" s="88" t="n"/>
      <c r="M2073" s="88" t="n"/>
      <c r="N2073" s="89" t="n"/>
      <c r="O2073" s="88" t="n"/>
      <c r="P2073" s="88" t="n"/>
      <c r="Q2073" s="88" t="n"/>
      <c r="R2073" s="89" t="n"/>
      <c r="S2073" s="88" t="n"/>
      <c r="T2073" s="88" t="n"/>
      <c r="U2073" s="88" t="n"/>
      <c r="V2073" s="89" t="n"/>
      <c r="W2073" s="88" t="n"/>
      <c r="X2073" s="89" t="n"/>
      <c r="Y2073" s="88" t="n"/>
      <c r="Z2073" s="89" t="n"/>
      <c r="AB2073" s="30">
        <f>IF($B2073="","",(COUNTIF(C2073:E2073,"?*")&lt;N(INDEX(Setup!$L$6:$L$23,16)))+(COUNTIF(G2073:I2073,"?*")&lt;N(INDEX(Setup!$L$6:$L$23,16)))+(COUNTIF(K2073:M2073,"?*")&lt;N(INDEX(Setup!$L$6:$L$23,16)))+(COUNTIF(O2073:Q2073,"?*")&lt;N(INDEX(Setup!$L$6:$L$23,16)))+(COUNTIF(S2073:U2073,"?*")&lt;N(INDEX(Setup!$L$6:$L$23,16)))+((W2073="")*(INDEX(Setup!$M$6:$M$23,16)="Y"))+((Y2073="")*(INDEX(Setup!$M$6:$M$23,16)="Y")))</f>
        <v/>
      </c>
      <c r="AC2073" s="91">
        <f>IF($B2073="","",IF(AB2073=0,"✓ covered","⚠ "&amp;AB2073&amp;IF(AB2073=1," gap"," gaps")))</f>
        <v/>
      </c>
    </row>
    <row r="2074" ht="17" customHeight="1">
      <c r="A2074" t="n">
        <v>42</v>
      </c>
      <c r="B2074" s="24">
        <f>IF(Setup!$K$22="","",Setup!$K$22)</f>
        <v/>
      </c>
      <c r="C2074" s="88" t="n"/>
      <c r="D2074" s="88" t="n"/>
      <c r="E2074" s="88" t="n"/>
      <c r="F2074" s="89" t="n"/>
      <c r="G2074" s="88" t="n"/>
      <c r="H2074" s="88" t="n"/>
      <c r="I2074" s="88" t="n"/>
      <c r="J2074" s="89" t="n"/>
      <c r="K2074" s="88" t="n"/>
      <c r="L2074" s="88" t="n"/>
      <c r="M2074" s="88" t="n"/>
      <c r="N2074" s="89" t="n"/>
      <c r="O2074" s="88" t="n"/>
      <c r="P2074" s="88" t="n"/>
      <c r="Q2074" s="88" t="n"/>
      <c r="R2074" s="89" t="n"/>
      <c r="S2074" s="88" t="n"/>
      <c r="T2074" s="88" t="n"/>
      <c r="U2074" s="88" t="n"/>
      <c r="V2074" s="89" t="n"/>
      <c r="W2074" s="88" t="n"/>
      <c r="X2074" s="89" t="n"/>
      <c r="Y2074" s="88" t="n"/>
      <c r="Z2074" s="89" t="n"/>
      <c r="AB2074" s="25">
        <f>IF($B2074="","",(COUNTIF(C2074:E2074,"?*")&lt;N(INDEX(Setup!$L$6:$L$23,17)))+(COUNTIF(G2074:I2074,"?*")&lt;N(INDEX(Setup!$L$6:$L$23,17)))+(COUNTIF(K2074:M2074,"?*")&lt;N(INDEX(Setup!$L$6:$L$23,17)))+(COUNTIF(O2074:Q2074,"?*")&lt;N(INDEX(Setup!$L$6:$L$23,17)))+(COUNTIF(S2074:U2074,"?*")&lt;N(INDEX(Setup!$L$6:$L$23,17)))+((W2074="")*(INDEX(Setup!$M$6:$M$23,17)="Y"))+((Y2074="")*(INDEX(Setup!$M$6:$M$23,17)="Y")))</f>
        <v/>
      </c>
      <c r="AC2074" s="90">
        <f>IF($B2074="","",IF(AB2074=0,"✓ covered","⚠ "&amp;AB2074&amp;IF(AB2074=1," gap"," gaps")))</f>
        <v/>
      </c>
    </row>
    <row r="2075" ht="17" customHeight="1">
      <c r="A2075" t="n">
        <v>42</v>
      </c>
      <c r="B2075" s="29">
        <f>IF(Setup!$K$23="","",Setup!$K$23)</f>
        <v/>
      </c>
      <c r="C2075" s="88" t="n"/>
      <c r="D2075" s="88" t="n"/>
      <c r="E2075" s="88" t="n"/>
      <c r="F2075" s="89" t="n"/>
      <c r="G2075" s="88" t="n"/>
      <c r="H2075" s="88" t="n"/>
      <c r="I2075" s="88" t="n"/>
      <c r="J2075" s="89" t="n"/>
      <c r="K2075" s="88" t="n"/>
      <c r="L2075" s="88" t="n"/>
      <c r="M2075" s="88" t="n"/>
      <c r="N2075" s="89" t="n"/>
      <c r="O2075" s="88" t="n"/>
      <c r="P2075" s="88" t="n"/>
      <c r="Q2075" s="88" t="n"/>
      <c r="R2075" s="89" t="n"/>
      <c r="S2075" s="88" t="n"/>
      <c r="T2075" s="88" t="n"/>
      <c r="U2075" s="88" t="n"/>
      <c r="V2075" s="89" t="n"/>
      <c r="W2075" s="88" t="n"/>
      <c r="X2075" s="89" t="n"/>
      <c r="Y2075" s="88" t="n"/>
      <c r="Z2075" s="89" t="n"/>
      <c r="AB2075" s="30">
        <f>IF($B2075="","",(COUNTIF(C2075:E2075,"?*")&lt;N(INDEX(Setup!$L$6:$L$23,18)))+(COUNTIF(G2075:I2075,"?*")&lt;N(INDEX(Setup!$L$6:$L$23,18)))+(COUNTIF(K2075:M2075,"?*")&lt;N(INDEX(Setup!$L$6:$L$23,18)))+(COUNTIF(O2075:Q2075,"?*")&lt;N(INDEX(Setup!$L$6:$L$23,18)))+(COUNTIF(S2075:U2075,"?*")&lt;N(INDEX(Setup!$L$6:$L$23,18)))+((W2075="")*(INDEX(Setup!$M$6:$M$23,18)="Y"))+((Y2075="")*(INDEX(Setup!$M$6:$M$23,18)="Y")))</f>
        <v/>
      </c>
      <c r="AC2075" s="91">
        <f>IF($B2075="","",IF(AB2075=0,"✓ covered","⚠ "&amp;AB2075&amp;IF(AB2075=1," gap"," gaps")))</f>
        <v/>
      </c>
    </row>
    <row r="2076" ht="18" customHeight="1">
      <c r="A2076" t="n">
        <v>42</v>
      </c>
      <c r="B2076" s="78" t="inlineStr">
        <is>
          <t>TEAM AVAILABILITY</t>
        </is>
      </c>
      <c r="C2076" s="92" t="inlineStr">
        <is>
          <t>Mon</t>
        </is>
      </c>
      <c r="D2076" s="93" t="n"/>
      <c r="E2076" s="93" t="n"/>
      <c r="F2076" s="94" t="n"/>
      <c r="G2076" s="92" t="inlineStr">
        <is>
          <t>Tue</t>
        </is>
      </c>
      <c r="H2076" s="93" t="n"/>
      <c r="I2076" s="93" t="n"/>
      <c r="J2076" s="94" t="n"/>
      <c r="K2076" s="92" t="inlineStr">
        <is>
          <t>Wed</t>
        </is>
      </c>
      <c r="L2076" s="93" t="n"/>
      <c r="M2076" s="93" t="n"/>
      <c r="N2076" s="94" t="n"/>
      <c r="O2076" s="92" t="inlineStr">
        <is>
          <t>Thu</t>
        </is>
      </c>
      <c r="P2076" s="93" t="n"/>
      <c r="Q2076" s="93" t="n"/>
      <c r="R2076" s="94" t="n"/>
      <c r="S2076" s="92" t="inlineStr">
        <is>
          <t>Fri</t>
        </is>
      </c>
      <c r="T2076" s="93" t="n"/>
      <c r="U2076" s="93" t="n"/>
      <c r="V2076" s="94" t="n"/>
      <c r="W2076" s="95" t="inlineStr">
        <is>
          <t>Sat</t>
        </is>
      </c>
      <c r="X2076" s="96" t="n"/>
      <c r="Y2076" s="95" t="inlineStr">
        <is>
          <t>Sun</t>
        </is>
      </c>
      <c r="Z2076" s="96" t="n"/>
      <c r="AB2076" s="97" t="inlineStr">
        <is>
          <t>Days rostered</t>
        </is>
      </c>
      <c r="AC2076" s="97" t="inlineStr">
        <is>
          <t>Conflicts</t>
        </is>
      </c>
    </row>
    <row r="2077" ht="15" customHeight="1">
      <c r="A2077" t="n">
        <v>42</v>
      </c>
      <c r="B2077" s="35">
        <f>IF(Setup!$B$6="","",Setup!$B$6)</f>
        <v/>
      </c>
      <c r="C2077" s="98" t="n"/>
      <c r="D2077" s="99" t="n"/>
      <c r="E2077" s="99" t="n"/>
      <c r="F2077" s="100" t="n"/>
      <c r="G2077" s="98" t="n"/>
      <c r="H2077" s="99" t="n"/>
      <c r="I2077" s="99" t="n"/>
      <c r="J2077" s="100" t="n"/>
      <c r="K2077" s="98" t="n"/>
      <c r="L2077" s="99" t="n"/>
      <c r="M2077" s="99" t="n"/>
      <c r="N2077" s="100" t="n"/>
      <c r="O2077" s="98" t="n"/>
      <c r="P2077" s="99" t="n"/>
      <c r="Q2077" s="99" t="n"/>
      <c r="R2077" s="100" t="n"/>
      <c r="S2077" s="98" t="n"/>
      <c r="T2077" s="99" t="n"/>
      <c r="U2077" s="99" t="n"/>
      <c r="V2077" s="100" t="n"/>
      <c r="W2077" s="98" t="n"/>
      <c r="X2077" s="100" t="n"/>
      <c r="Y2077" s="98" t="n"/>
      <c r="Z2077" s="100" t="n"/>
      <c r="AB2077" s="101">
        <f>IF($B2077="","",(COUNTIF(C2058:E2075,$B2077)+COUNTIF(C2058:E2075,$B2077&amp;" ~*")&gt;0)+(COUNTIF(G2058:I2075,$B2077)+COUNTIF(G2058:I2075,$B2077&amp;" ~*")&gt;0)+(COUNTIF(K2058:M2075,$B2077)+COUNTIF(K2058:M2075,$B2077&amp;" ~*")&gt;0)+(COUNTIF(O2058:Q2075,$B2077)+COUNTIF(O2058:Q2075,$B2077&amp;" ~*")&gt;0)+(COUNTIF(S2058:U2075,$B2077)+COUNTIF(S2058:U2075,$B2077&amp;" ~*")&gt;0)+(COUNTIF(W2058:W2075,$B2077)+COUNTIF(W2058:W2075,$B2077&amp;" ~*")&gt;0)+(COUNTIF(Y2058:Y2075,$B2077)+COUNTIF(Y2058:Y2075,$B2077&amp;" ~*")&gt;0))</f>
        <v/>
      </c>
      <c r="AC2077" s="36">
        <f>IF($B2077="","",(IFERROR(INDEX(Setup!$G$33:$G$40,MATCH(C2077,Setup!$B$33:$B$40,0)),0)=1)*(COUNTIF(C2058:E2075,$B2077)+COUNTIF(C2058:E2075,$B2077&amp;" ~*")&gt;0)+(IFERROR(INDEX(Setup!$G$33:$G$40,MATCH(G2077,Setup!$B$33:$B$40,0)),0)=1)*(COUNTIF(G2058:I2075,$B2077)+COUNTIF(G2058:I2075,$B2077&amp;" ~*")&gt;0)+(IFERROR(INDEX(Setup!$G$33:$G$40,MATCH(K2077,Setup!$B$33:$B$40,0)),0)=1)*(COUNTIF(K2058:M2075,$B2077)+COUNTIF(K2058:M2075,$B2077&amp;" ~*")&gt;0)+(IFERROR(INDEX(Setup!$G$33:$G$40,MATCH(O2077,Setup!$B$33:$B$40,0)),0)=1)*(COUNTIF(O2058:Q2075,$B2077)+COUNTIF(O2058:Q2075,$B2077&amp;" ~*")&gt;0)+(IFERROR(INDEX(Setup!$G$33:$G$40,MATCH(S2077,Setup!$B$33:$B$40,0)),0)=1)*(COUNTIF(S2058:U2075,$B2077)+COUNTIF(S2058:U2075,$B2077&amp;" ~*")&gt;0)+(IFERROR(INDEX(Setup!$G$33:$G$40,MATCH(W2077,Setup!$B$33:$B$40,0)),0)=1)*(COUNTIF(W2058:W2075,$B2077)+COUNTIF(W2058:W2075,$B2077&amp;" ~*")&gt;0)+(IFERROR(INDEX(Setup!$G$33:$G$40,MATCH(Y2077,Setup!$B$33:$B$40,0)),0)=1)*(COUNTIF(Y2058:Y2075,$B2077)+COUNTIF(Y2058:Y2075,$B2077&amp;" ~*")&gt;0))</f>
        <v/>
      </c>
    </row>
    <row r="2078" ht="15" customHeight="1">
      <c r="A2078" t="n">
        <v>42</v>
      </c>
      <c r="B2078" s="37">
        <f>IF(Setup!$B$7="","",Setup!$B$7)</f>
        <v/>
      </c>
      <c r="C2078" s="102" t="n"/>
      <c r="D2078" s="103" t="n"/>
      <c r="E2078" s="103" t="n"/>
      <c r="F2078" s="104" t="n"/>
      <c r="G2078" s="102" t="n"/>
      <c r="H2078" s="103" t="n"/>
      <c r="I2078" s="103" t="n"/>
      <c r="J2078" s="104" t="n"/>
      <c r="K2078" s="102" t="n"/>
      <c r="L2078" s="103" t="n"/>
      <c r="M2078" s="103" t="n"/>
      <c r="N2078" s="104" t="n"/>
      <c r="O2078" s="102" t="n"/>
      <c r="P2078" s="103" t="n"/>
      <c r="Q2078" s="103" t="n"/>
      <c r="R2078" s="104" t="n"/>
      <c r="S2078" s="102" t="n"/>
      <c r="T2078" s="103" t="n"/>
      <c r="U2078" s="103" t="n"/>
      <c r="V2078" s="104" t="n"/>
      <c r="W2078" s="102" t="n"/>
      <c r="X2078" s="104" t="n"/>
      <c r="Y2078" s="102" t="n"/>
      <c r="Z2078" s="104" t="n"/>
      <c r="AB2078" s="105">
        <f>IF($B2078="","",(COUNTIF(C2058:E2075,$B2078)+COUNTIF(C2058:E2075,$B2078&amp;" ~*")&gt;0)+(COUNTIF(G2058:I2075,$B2078)+COUNTIF(G2058:I2075,$B2078&amp;" ~*")&gt;0)+(COUNTIF(K2058:M2075,$B2078)+COUNTIF(K2058:M2075,$B2078&amp;" ~*")&gt;0)+(COUNTIF(O2058:Q2075,$B2078)+COUNTIF(O2058:Q2075,$B2078&amp;" ~*")&gt;0)+(COUNTIF(S2058:U2075,$B2078)+COUNTIF(S2058:U2075,$B2078&amp;" ~*")&gt;0)+(COUNTIF(W2058:W2075,$B2078)+COUNTIF(W2058:W2075,$B2078&amp;" ~*")&gt;0)+(COUNTIF(Y2058:Y2075,$B2078)+COUNTIF(Y2058:Y2075,$B2078&amp;" ~*")&gt;0))</f>
        <v/>
      </c>
      <c r="AC2078" s="38">
        <f>IF($B2078="","",(IFERROR(INDEX(Setup!$G$33:$G$40,MATCH(C2078,Setup!$B$33:$B$40,0)),0)=1)*(COUNTIF(C2058:E2075,$B2078)+COUNTIF(C2058:E2075,$B2078&amp;" ~*")&gt;0)+(IFERROR(INDEX(Setup!$G$33:$G$40,MATCH(G2078,Setup!$B$33:$B$40,0)),0)=1)*(COUNTIF(G2058:I2075,$B2078)+COUNTIF(G2058:I2075,$B2078&amp;" ~*")&gt;0)+(IFERROR(INDEX(Setup!$G$33:$G$40,MATCH(K2078,Setup!$B$33:$B$40,0)),0)=1)*(COUNTIF(K2058:M2075,$B2078)+COUNTIF(K2058:M2075,$B2078&amp;" ~*")&gt;0)+(IFERROR(INDEX(Setup!$G$33:$G$40,MATCH(O2078,Setup!$B$33:$B$40,0)),0)=1)*(COUNTIF(O2058:Q2075,$B2078)+COUNTIF(O2058:Q2075,$B2078&amp;" ~*")&gt;0)+(IFERROR(INDEX(Setup!$G$33:$G$40,MATCH(S2078,Setup!$B$33:$B$40,0)),0)=1)*(COUNTIF(S2058:U2075,$B2078)+COUNTIF(S2058:U2075,$B2078&amp;" ~*")&gt;0)+(IFERROR(INDEX(Setup!$G$33:$G$40,MATCH(W2078,Setup!$B$33:$B$40,0)),0)=1)*(COUNTIF(W2058:W2075,$B2078)+COUNTIF(W2058:W2075,$B2078&amp;" ~*")&gt;0)+(IFERROR(INDEX(Setup!$G$33:$G$40,MATCH(Y2078,Setup!$B$33:$B$40,0)),0)=1)*(COUNTIF(Y2058:Y2075,$B2078)+COUNTIF(Y2058:Y2075,$B2078&amp;" ~*")&gt;0))</f>
        <v/>
      </c>
    </row>
    <row r="2079" ht="15" customHeight="1">
      <c r="A2079" t="n">
        <v>42</v>
      </c>
      <c r="B2079" s="35">
        <f>IF(Setup!$B$8="","",Setup!$B$8)</f>
        <v/>
      </c>
      <c r="C2079" s="98" t="n"/>
      <c r="D2079" s="99" t="n"/>
      <c r="E2079" s="99" t="n"/>
      <c r="F2079" s="100" t="n"/>
      <c r="G2079" s="98" t="n"/>
      <c r="H2079" s="99" t="n"/>
      <c r="I2079" s="99" t="n"/>
      <c r="J2079" s="100" t="n"/>
      <c r="K2079" s="98" t="n"/>
      <c r="L2079" s="99" t="n"/>
      <c r="M2079" s="99" t="n"/>
      <c r="N2079" s="100" t="n"/>
      <c r="O2079" s="98" t="n"/>
      <c r="P2079" s="99" t="n"/>
      <c r="Q2079" s="99" t="n"/>
      <c r="R2079" s="100" t="n"/>
      <c r="S2079" s="98" t="n"/>
      <c r="T2079" s="99" t="n"/>
      <c r="U2079" s="99" t="n"/>
      <c r="V2079" s="100" t="n"/>
      <c r="W2079" s="98" t="n"/>
      <c r="X2079" s="100" t="n"/>
      <c r="Y2079" s="98" t="n"/>
      <c r="Z2079" s="100" t="n"/>
      <c r="AB2079" s="101">
        <f>IF($B2079="","",(COUNTIF(C2058:E2075,$B2079)+COUNTIF(C2058:E2075,$B2079&amp;" ~*")&gt;0)+(COUNTIF(G2058:I2075,$B2079)+COUNTIF(G2058:I2075,$B2079&amp;" ~*")&gt;0)+(COUNTIF(K2058:M2075,$B2079)+COUNTIF(K2058:M2075,$B2079&amp;" ~*")&gt;0)+(COUNTIF(O2058:Q2075,$B2079)+COUNTIF(O2058:Q2075,$B2079&amp;" ~*")&gt;0)+(COUNTIF(S2058:U2075,$B2079)+COUNTIF(S2058:U2075,$B2079&amp;" ~*")&gt;0)+(COUNTIF(W2058:W2075,$B2079)+COUNTIF(W2058:W2075,$B2079&amp;" ~*")&gt;0)+(COUNTIF(Y2058:Y2075,$B2079)+COUNTIF(Y2058:Y2075,$B2079&amp;" ~*")&gt;0))</f>
        <v/>
      </c>
      <c r="AC2079" s="36">
        <f>IF($B2079="","",(IFERROR(INDEX(Setup!$G$33:$G$40,MATCH(C2079,Setup!$B$33:$B$40,0)),0)=1)*(COUNTIF(C2058:E2075,$B2079)+COUNTIF(C2058:E2075,$B2079&amp;" ~*")&gt;0)+(IFERROR(INDEX(Setup!$G$33:$G$40,MATCH(G2079,Setup!$B$33:$B$40,0)),0)=1)*(COUNTIF(G2058:I2075,$B2079)+COUNTIF(G2058:I2075,$B2079&amp;" ~*")&gt;0)+(IFERROR(INDEX(Setup!$G$33:$G$40,MATCH(K2079,Setup!$B$33:$B$40,0)),0)=1)*(COUNTIF(K2058:M2075,$B2079)+COUNTIF(K2058:M2075,$B2079&amp;" ~*")&gt;0)+(IFERROR(INDEX(Setup!$G$33:$G$40,MATCH(O2079,Setup!$B$33:$B$40,0)),0)=1)*(COUNTIF(O2058:Q2075,$B2079)+COUNTIF(O2058:Q2075,$B2079&amp;" ~*")&gt;0)+(IFERROR(INDEX(Setup!$G$33:$G$40,MATCH(S2079,Setup!$B$33:$B$40,0)),0)=1)*(COUNTIF(S2058:U2075,$B2079)+COUNTIF(S2058:U2075,$B2079&amp;" ~*")&gt;0)+(IFERROR(INDEX(Setup!$G$33:$G$40,MATCH(W2079,Setup!$B$33:$B$40,0)),0)=1)*(COUNTIF(W2058:W2075,$B2079)+COUNTIF(W2058:W2075,$B2079&amp;" ~*")&gt;0)+(IFERROR(INDEX(Setup!$G$33:$G$40,MATCH(Y2079,Setup!$B$33:$B$40,0)),0)=1)*(COUNTIF(Y2058:Y2075,$B2079)+COUNTIF(Y2058:Y2075,$B2079&amp;" ~*")&gt;0))</f>
        <v/>
      </c>
    </row>
    <row r="2080" ht="15" customHeight="1">
      <c r="A2080" t="n">
        <v>42</v>
      </c>
      <c r="B2080" s="37">
        <f>IF(Setup!$B$9="","",Setup!$B$9)</f>
        <v/>
      </c>
      <c r="C2080" s="102" t="n"/>
      <c r="D2080" s="103" t="n"/>
      <c r="E2080" s="103" t="n"/>
      <c r="F2080" s="104" t="n"/>
      <c r="G2080" s="102" t="n"/>
      <c r="H2080" s="103" t="n"/>
      <c r="I2080" s="103" t="n"/>
      <c r="J2080" s="104" t="n"/>
      <c r="K2080" s="102" t="n"/>
      <c r="L2080" s="103" t="n"/>
      <c r="M2080" s="103" t="n"/>
      <c r="N2080" s="104" t="n"/>
      <c r="O2080" s="102" t="n"/>
      <c r="P2080" s="103" t="n"/>
      <c r="Q2080" s="103" t="n"/>
      <c r="R2080" s="104" t="n"/>
      <c r="S2080" s="102" t="n"/>
      <c r="T2080" s="103" t="n"/>
      <c r="U2080" s="103" t="n"/>
      <c r="V2080" s="104" t="n"/>
      <c r="W2080" s="102" t="n"/>
      <c r="X2080" s="104" t="n"/>
      <c r="Y2080" s="102" t="n"/>
      <c r="Z2080" s="104" t="n"/>
      <c r="AB2080" s="105">
        <f>IF($B2080="","",(COUNTIF(C2058:E2075,$B2080)+COUNTIF(C2058:E2075,$B2080&amp;" ~*")&gt;0)+(COUNTIF(G2058:I2075,$B2080)+COUNTIF(G2058:I2075,$B2080&amp;" ~*")&gt;0)+(COUNTIF(K2058:M2075,$B2080)+COUNTIF(K2058:M2075,$B2080&amp;" ~*")&gt;0)+(COUNTIF(O2058:Q2075,$B2080)+COUNTIF(O2058:Q2075,$B2080&amp;" ~*")&gt;0)+(COUNTIF(S2058:U2075,$B2080)+COUNTIF(S2058:U2075,$B2080&amp;" ~*")&gt;0)+(COUNTIF(W2058:W2075,$B2080)+COUNTIF(W2058:W2075,$B2080&amp;" ~*")&gt;0)+(COUNTIF(Y2058:Y2075,$B2080)+COUNTIF(Y2058:Y2075,$B2080&amp;" ~*")&gt;0))</f>
        <v/>
      </c>
      <c r="AC2080" s="38">
        <f>IF($B2080="","",(IFERROR(INDEX(Setup!$G$33:$G$40,MATCH(C2080,Setup!$B$33:$B$40,0)),0)=1)*(COUNTIF(C2058:E2075,$B2080)+COUNTIF(C2058:E2075,$B2080&amp;" ~*")&gt;0)+(IFERROR(INDEX(Setup!$G$33:$G$40,MATCH(G2080,Setup!$B$33:$B$40,0)),0)=1)*(COUNTIF(G2058:I2075,$B2080)+COUNTIF(G2058:I2075,$B2080&amp;" ~*")&gt;0)+(IFERROR(INDEX(Setup!$G$33:$G$40,MATCH(K2080,Setup!$B$33:$B$40,0)),0)=1)*(COUNTIF(K2058:M2075,$B2080)+COUNTIF(K2058:M2075,$B2080&amp;" ~*")&gt;0)+(IFERROR(INDEX(Setup!$G$33:$G$40,MATCH(O2080,Setup!$B$33:$B$40,0)),0)=1)*(COUNTIF(O2058:Q2075,$B2080)+COUNTIF(O2058:Q2075,$B2080&amp;" ~*")&gt;0)+(IFERROR(INDEX(Setup!$G$33:$G$40,MATCH(S2080,Setup!$B$33:$B$40,0)),0)=1)*(COUNTIF(S2058:U2075,$B2080)+COUNTIF(S2058:U2075,$B2080&amp;" ~*")&gt;0)+(IFERROR(INDEX(Setup!$G$33:$G$40,MATCH(W2080,Setup!$B$33:$B$40,0)),0)=1)*(COUNTIF(W2058:W2075,$B2080)+COUNTIF(W2058:W2075,$B2080&amp;" ~*")&gt;0)+(IFERROR(INDEX(Setup!$G$33:$G$40,MATCH(Y2080,Setup!$B$33:$B$40,0)),0)=1)*(COUNTIF(Y2058:Y2075,$B2080)+COUNTIF(Y2058:Y2075,$B2080&amp;" ~*")&gt;0))</f>
        <v/>
      </c>
    </row>
    <row r="2081" ht="15" customHeight="1">
      <c r="A2081" t="n">
        <v>42</v>
      </c>
      <c r="B2081" s="35">
        <f>IF(Setup!$B$10="","",Setup!$B$10)</f>
        <v/>
      </c>
      <c r="C2081" s="98" t="n"/>
      <c r="D2081" s="99" t="n"/>
      <c r="E2081" s="99" t="n"/>
      <c r="F2081" s="100" t="n"/>
      <c r="G2081" s="98" t="n"/>
      <c r="H2081" s="99" t="n"/>
      <c r="I2081" s="99" t="n"/>
      <c r="J2081" s="100" t="n"/>
      <c r="K2081" s="98" t="n"/>
      <c r="L2081" s="99" t="n"/>
      <c r="M2081" s="99" t="n"/>
      <c r="N2081" s="100" t="n"/>
      <c r="O2081" s="98" t="n"/>
      <c r="P2081" s="99" t="n"/>
      <c r="Q2081" s="99" t="n"/>
      <c r="R2081" s="100" t="n"/>
      <c r="S2081" s="98" t="n"/>
      <c r="T2081" s="99" t="n"/>
      <c r="U2081" s="99" t="n"/>
      <c r="V2081" s="100" t="n"/>
      <c r="W2081" s="98" t="n"/>
      <c r="X2081" s="100" t="n"/>
      <c r="Y2081" s="98" t="n"/>
      <c r="Z2081" s="100" t="n"/>
      <c r="AB2081" s="101">
        <f>IF($B2081="","",(COUNTIF(C2058:E2075,$B2081)+COUNTIF(C2058:E2075,$B2081&amp;" ~*")&gt;0)+(COUNTIF(G2058:I2075,$B2081)+COUNTIF(G2058:I2075,$B2081&amp;" ~*")&gt;0)+(COUNTIF(K2058:M2075,$B2081)+COUNTIF(K2058:M2075,$B2081&amp;" ~*")&gt;0)+(COUNTIF(O2058:Q2075,$B2081)+COUNTIF(O2058:Q2075,$B2081&amp;" ~*")&gt;0)+(COUNTIF(S2058:U2075,$B2081)+COUNTIF(S2058:U2075,$B2081&amp;" ~*")&gt;0)+(COUNTIF(W2058:W2075,$B2081)+COUNTIF(W2058:W2075,$B2081&amp;" ~*")&gt;0)+(COUNTIF(Y2058:Y2075,$B2081)+COUNTIF(Y2058:Y2075,$B2081&amp;" ~*")&gt;0))</f>
        <v/>
      </c>
      <c r="AC2081" s="36">
        <f>IF($B2081="","",(IFERROR(INDEX(Setup!$G$33:$G$40,MATCH(C2081,Setup!$B$33:$B$40,0)),0)=1)*(COUNTIF(C2058:E2075,$B2081)+COUNTIF(C2058:E2075,$B2081&amp;" ~*")&gt;0)+(IFERROR(INDEX(Setup!$G$33:$G$40,MATCH(G2081,Setup!$B$33:$B$40,0)),0)=1)*(COUNTIF(G2058:I2075,$B2081)+COUNTIF(G2058:I2075,$B2081&amp;" ~*")&gt;0)+(IFERROR(INDEX(Setup!$G$33:$G$40,MATCH(K2081,Setup!$B$33:$B$40,0)),0)=1)*(COUNTIF(K2058:M2075,$B2081)+COUNTIF(K2058:M2075,$B2081&amp;" ~*")&gt;0)+(IFERROR(INDEX(Setup!$G$33:$G$40,MATCH(O2081,Setup!$B$33:$B$40,0)),0)=1)*(COUNTIF(O2058:Q2075,$B2081)+COUNTIF(O2058:Q2075,$B2081&amp;" ~*")&gt;0)+(IFERROR(INDEX(Setup!$G$33:$G$40,MATCH(S2081,Setup!$B$33:$B$40,0)),0)=1)*(COUNTIF(S2058:U2075,$B2081)+COUNTIF(S2058:U2075,$B2081&amp;" ~*")&gt;0)+(IFERROR(INDEX(Setup!$G$33:$G$40,MATCH(W2081,Setup!$B$33:$B$40,0)),0)=1)*(COUNTIF(W2058:W2075,$B2081)+COUNTIF(W2058:W2075,$B2081&amp;" ~*")&gt;0)+(IFERROR(INDEX(Setup!$G$33:$G$40,MATCH(Y2081,Setup!$B$33:$B$40,0)),0)=1)*(COUNTIF(Y2058:Y2075,$B2081)+COUNTIF(Y2058:Y2075,$B2081&amp;" ~*")&gt;0))</f>
        <v/>
      </c>
    </row>
    <row r="2082" ht="15" customHeight="1">
      <c r="A2082" t="n">
        <v>42</v>
      </c>
      <c r="B2082" s="37">
        <f>IF(Setup!$B$11="","",Setup!$B$11)</f>
        <v/>
      </c>
      <c r="C2082" s="102" t="n"/>
      <c r="D2082" s="103" t="n"/>
      <c r="E2082" s="103" t="n"/>
      <c r="F2082" s="104" t="n"/>
      <c r="G2082" s="102" t="n"/>
      <c r="H2082" s="103" t="n"/>
      <c r="I2082" s="103" t="n"/>
      <c r="J2082" s="104" t="n"/>
      <c r="K2082" s="102" t="n"/>
      <c r="L2082" s="103" t="n"/>
      <c r="M2082" s="103" t="n"/>
      <c r="N2082" s="104" t="n"/>
      <c r="O2082" s="102" t="n"/>
      <c r="P2082" s="103" t="n"/>
      <c r="Q2082" s="103" t="n"/>
      <c r="R2082" s="104" t="n"/>
      <c r="S2082" s="102" t="n"/>
      <c r="T2082" s="103" t="n"/>
      <c r="U2082" s="103" t="n"/>
      <c r="V2082" s="104" t="n"/>
      <c r="W2082" s="102" t="n"/>
      <c r="X2082" s="104" t="n"/>
      <c r="Y2082" s="102" t="n"/>
      <c r="Z2082" s="104" t="n"/>
      <c r="AB2082" s="105">
        <f>IF($B2082="","",(COUNTIF(C2058:E2075,$B2082)+COUNTIF(C2058:E2075,$B2082&amp;" ~*")&gt;0)+(COUNTIF(G2058:I2075,$B2082)+COUNTIF(G2058:I2075,$B2082&amp;" ~*")&gt;0)+(COUNTIF(K2058:M2075,$B2082)+COUNTIF(K2058:M2075,$B2082&amp;" ~*")&gt;0)+(COUNTIF(O2058:Q2075,$B2082)+COUNTIF(O2058:Q2075,$B2082&amp;" ~*")&gt;0)+(COUNTIF(S2058:U2075,$B2082)+COUNTIF(S2058:U2075,$B2082&amp;" ~*")&gt;0)+(COUNTIF(W2058:W2075,$B2082)+COUNTIF(W2058:W2075,$B2082&amp;" ~*")&gt;0)+(COUNTIF(Y2058:Y2075,$B2082)+COUNTIF(Y2058:Y2075,$B2082&amp;" ~*")&gt;0))</f>
        <v/>
      </c>
      <c r="AC2082" s="38">
        <f>IF($B2082="","",(IFERROR(INDEX(Setup!$G$33:$G$40,MATCH(C2082,Setup!$B$33:$B$40,0)),0)=1)*(COUNTIF(C2058:E2075,$B2082)+COUNTIF(C2058:E2075,$B2082&amp;" ~*")&gt;0)+(IFERROR(INDEX(Setup!$G$33:$G$40,MATCH(G2082,Setup!$B$33:$B$40,0)),0)=1)*(COUNTIF(G2058:I2075,$B2082)+COUNTIF(G2058:I2075,$B2082&amp;" ~*")&gt;0)+(IFERROR(INDEX(Setup!$G$33:$G$40,MATCH(K2082,Setup!$B$33:$B$40,0)),0)=1)*(COUNTIF(K2058:M2075,$B2082)+COUNTIF(K2058:M2075,$B2082&amp;" ~*")&gt;0)+(IFERROR(INDEX(Setup!$G$33:$G$40,MATCH(O2082,Setup!$B$33:$B$40,0)),0)=1)*(COUNTIF(O2058:Q2075,$B2082)+COUNTIF(O2058:Q2075,$B2082&amp;" ~*")&gt;0)+(IFERROR(INDEX(Setup!$G$33:$G$40,MATCH(S2082,Setup!$B$33:$B$40,0)),0)=1)*(COUNTIF(S2058:U2075,$B2082)+COUNTIF(S2058:U2075,$B2082&amp;" ~*")&gt;0)+(IFERROR(INDEX(Setup!$G$33:$G$40,MATCH(W2082,Setup!$B$33:$B$40,0)),0)=1)*(COUNTIF(W2058:W2075,$B2082)+COUNTIF(W2058:W2075,$B2082&amp;" ~*")&gt;0)+(IFERROR(INDEX(Setup!$G$33:$G$40,MATCH(Y2082,Setup!$B$33:$B$40,0)),0)=1)*(COUNTIF(Y2058:Y2075,$B2082)+COUNTIF(Y2058:Y2075,$B2082&amp;" ~*")&gt;0))</f>
        <v/>
      </c>
    </row>
    <row r="2083" ht="15" customHeight="1">
      <c r="A2083" t="n">
        <v>42</v>
      </c>
      <c r="B2083" s="35">
        <f>IF(Setup!$B$12="","",Setup!$B$12)</f>
        <v/>
      </c>
      <c r="C2083" s="98" t="n"/>
      <c r="D2083" s="99" t="n"/>
      <c r="E2083" s="99" t="n"/>
      <c r="F2083" s="100" t="n"/>
      <c r="G2083" s="98" t="n"/>
      <c r="H2083" s="99" t="n"/>
      <c r="I2083" s="99" t="n"/>
      <c r="J2083" s="100" t="n"/>
      <c r="K2083" s="98" t="n"/>
      <c r="L2083" s="99" t="n"/>
      <c r="M2083" s="99" t="n"/>
      <c r="N2083" s="100" t="n"/>
      <c r="O2083" s="98" t="n"/>
      <c r="P2083" s="99" t="n"/>
      <c r="Q2083" s="99" t="n"/>
      <c r="R2083" s="100" t="n"/>
      <c r="S2083" s="98" t="n"/>
      <c r="T2083" s="99" t="n"/>
      <c r="U2083" s="99" t="n"/>
      <c r="V2083" s="100" t="n"/>
      <c r="W2083" s="98" t="n"/>
      <c r="X2083" s="100" t="n"/>
      <c r="Y2083" s="98" t="n"/>
      <c r="Z2083" s="100" t="n"/>
      <c r="AB2083" s="101">
        <f>IF($B2083="","",(COUNTIF(C2058:E2075,$B2083)+COUNTIF(C2058:E2075,$B2083&amp;" ~*")&gt;0)+(COUNTIF(G2058:I2075,$B2083)+COUNTIF(G2058:I2075,$B2083&amp;" ~*")&gt;0)+(COUNTIF(K2058:M2075,$B2083)+COUNTIF(K2058:M2075,$B2083&amp;" ~*")&gt;0)+(COUNTIF(O2058:Q2075,$B2083)+COUNTIF(O2058:Q2075,$B2083&amp;" ~*")&gt;0)+(COUNTIF(S2058:U2075,$B2083)+COUNTIF(S2058:U2075,$B2083&amp;" ~*")&gt;0)+(COUNTIF(W2058:W2075,$B2083)+COUNTIF(W2058:W2075,$B2083&amp;" ~*")&gt;0)+(COUNTIF(Y2058:Y2075,$B2083)+COUNTIF(Y2058:Y2075,$B2083&amp;" ~*")&gt;0))</f>
        <v/>
      </c>
      <c r="AC2083" s="36">
        <f>IF($B2083="","",(IFERROR(INDEX(Setup!$G$33:$G$40,MATCH(C2083,Setup!$B$33:$B$40,0)),0)=1)*(COUNTIF(C2058:E2075,$B2083)+COUNTIF(C2058:E2075,$B2083&amp;" ~*")&gt;0)+(IFERROR(INDEX(Setup!$G$33:$G$40,MATCH(G2083,Setup!$B$33:$B$40,0)),0)=1)*(COUNTIF(G2058:I2075,$B2083)+COUNTIF(G2058:I2075,$B2083&amp;" ~*")&gt;0)+(IFERROR(INDEX(Setup!$G$33:$G$40,MATCH(K2083,Setup!$B$33:$B$40,0)),0)=1)*(COUNTIF(K2058:M2075,$B2083)+COUNTIF(K2058:M2075,$B2083&amp;" ~*")&gt;0)+(IFERROR(INDEX(Setup!$G$33:$G$40,MATCH(O2083,Setup!$B$33:$B$40,0)),0)=1)*(COUNTIF(O2058:Q2075,$B2083)+COUNTIF(O2058:Q2075,$B2083&amp;" ~*")&gt;0)+(IFERROR(INDEX(Setup!$G$33:$G$40,MATCH(S2083,Setup!$B$33:$B$40,0)),0)=1)*(COUNTIF(S2058:U2075,$B2083)+COUNTIF(S2058:U2075,$B2083&amp;" ~*")&gt;0)+(IFERROR(INDEX(Setup!$G$33:$G$40,MATCH(W2083,Setup!$B$33:$B$40,0)),0)=1)*(COUNTIF(W2058:W2075,$B2083)+COUNTIF(W2058:W2075,$B2083&amp;" ~*")&gt;0)+(IFERROR(INDEX(Setup!$G$33:$G$40,MATCH(Y2083,Setup!$B$33:$B$40,0)),0)=1)*(COUNTIF(Y2058:Y2075,$B2083)+COUNTIF(Y2058:Y2075,$B2083&amp;" ~*")&gt;0))</f>
        <v/>
      </c>
    </row>
    <row r="2084" ht="15" customHeight="1">
      <c r="A2084" t="n">
        <v>42</v>
      </c>
      <c r="B2084" s="37">
        <f>IF(Setup!$B$13="","",Setup!$B$13)</f>
        <v/>
      </c>
      <c r="C2084" s="102" t="n"/>
      <c r="D2084" s="103" t="n"/>
      <c r="E2084" s="103" t="n"/>
      <c r="F2084" s="104" t="n"/>
      <c r="G2084" s="102" t="n"/>
      <c r="H2084" s="103" t="n"/>
      <c r="I2084" s="103" t="n"/>
      <c r="J2084" s="104" t="n"/>
      <c r="K2084" s="102" t="n"/>
      <c r="L2084" s="103" t="n"/>
      <c r="M2084" s="103" t="n"/>
      <c r="N2084" s="104" t="n"/>
      <c r="O2084" s="102" t="n"/>
      <c r="P2084" s="103" t="n"/>
      <c r="Q2084" s="103" t="n"/>
      <c r="R2084" s="104" t="n"/>
      <c r="S2084" s="102" t="n"/>
      <c r="T2084" s="103" t="n"/>
      <c r="U2084" s="103" t="n"/>
      <c r="V2084" s="104" t="n"/>
      <c r="W2084" s="102" t="n"/>
      <c r="X2084" s="104" t="n"/>
      <c r="Y2084" s="102" t="n"/>
      <c r="Z2084" s="104" t="n"/>
      <c r="AB2084" s="105">
        <f>IF($B2084="","",(COUNTIF(C2058:E2075,$B2084)+COUNTIF(C2058:E2075,$B2084&amp;" ~*")&gt;0)+(COUNTIF(G2058:I2075,$B2084)+COUNTIF(G2058:I2075,$B2084&amp;" ~*")&gt;0)+(COUNTIF(K2058:M2075,$B2084)+COUNTIF(K2058:M2075,$B2084&amp;" ~*")&gt;0)+(COUNTIF(O2058:Q2075,$B2084)+COUNTIF(O2058:Q2075,$B2084&amp;" ~*")&gt;0)+(COUNTIF(S2058:U2075,$B2084)+COUNTIF(S2058:U2075,$B2084&amp;" ~*")&gt;0)+(COUNTIF(W2058:W2075,$B2084)+COUNTIF(W2058:W2075,$B2084&amp;" ~*")&gt;0)+(COUNTIF(Y2058:Y2075,$B2084)+COUNTIF(Y2058:Y2075,$B2084&amp;" ~*")&gt;0))</f>
        <v/>
      </c>
      <c r="AC2084" s="38">
        <f>IF($B2084="","",(IFERROR(INDEX(Setup!$G$33:$G$40,MATCH(C2084,Setup!$B$33:$B$40,0)),0)=1)*(COUNTIF(C2058:E2075,$B2084)+COUNTIF(C2058:E2075,$B2084&amp;" ~*")&gt;0)+(IFERROR(INDEX(Setup!$G$33:$G$40,MATCH(G2084,Setup!$B$33:$B$40,0)),0)=1)*(COUNTIF(G2058:I2075,$B2084)+COUNTIF(G2058:I2075,$B2084&amp;" ~*")&gt;0)+(IFERROR(INDEX(Setup!$G$33:$G$40,MATCH(K2084,Setup!$B$33:$B$40,0)),0)=1)*(COUNTIF(K2058:M2075,$B2084)+COUNTIF(K2058:M2075,$B2084&amp;" ~*")&gt;0)+(IFERROR(INDEX(Setup!$G$33:$G$40,MATCH(O2084,Setup!$B$33:$B$40,0)),0)=1)*(COUNTIF(O2058:Q2075,$B2084)+COUNTIF(O2058:Q2075,$B2084&amp;" ~*")&gt;0)+(IFERROR(INDEX(Setup!$G$33:$G$40,MATCH(S2084,Setup!$B$33:$B$40,0)),0)=1)*(COUNTIF(S2058:U2075,$B2084)+COUNTIF(S2058:U2075,$B2084&amp;" ~*")&gt;0)+(IFERROR(INDEX(Setup!$G$33:$G$40,MATCH(W2084,Setup!$B$33:$B$40,0)),0)=1)*(COUNTIF(W2058:W2075,$B2084)+COUNTIF(W2058:W2075,$B2084&amp;" ~*")&gt;0)+(IFERROR(INDEX(Setup!$G$33:$G$40,MATCH(Y2084,Setup!$B$33:$B$40,0)),0)=1)*(COUNTIF(Y2058:Y2075,$B2084)+COUNTIF(Y2058:Y2075,$B2084&amp;" ~*")&gt;0))</f>
        <v/>
      </c>
    </row>
    <row r="2085" ht="15" customHeight="1">
      <c r="A2085" t="n">
        <v>42</v>
      </c>
      <c r="B2085" s="35">
        <f>IF(Setup!$B$14="","",Setup!$B$14)</f>
        <v/>
      </c>
      <c r="C2085" s="98" t="n"/>
      <c r="D2085" s="99" t="n"/>
      <c r="E2085" s="99" t="n"/>
      <c r="F2085" s="100" t="n"/>
      <c r="G2085" s="98" t="n"/>
      <c r="H2085" s="99" t="n"/>
      <c r="I2085" s="99" t="n"/>
      <c r="J2085" s="100" t="n"/>
      <c r="K2085" s="98" t="n"/>
      <c r="L2085" s="99" t="n"/>
      <c r="M2085" s="99" t="n"/>
      <c r="N2085" s="100" t="n"/>
      <c r="O2085" s="98" t="n"/>
      <c r="P2085" s="99" t="n"/>
      <c r="Q2085" s="99" t="n"/>
      <c r="R2085" s="100" t="n"/>
      <c r="S2085" s="98" t="n"/>
      <c r="T2085" s="99" t="n"/>
      <c r="U2085" s="99" t="n"/>
      <c r="V2085" s="100" t="n"/>
      <c r="W2085" s="98" t="n"/>
      <c r="X2085" s="100" t="n"/>
      <c r="Y2085" s="98" t="n"/>
      <c r="Z2085" s="100" t="n"/>
      <c r="AB2085" s="101">
        <f>IF($B2085="","",(COUNTIF(C2058:E2075,$B2085)+COUNTIF(C2058:E2075,$B2085&amp;" ~*")&gt;0)+(COUNTIF(G2058:I2075,$B2085)+COUNTIF(G2058:I2075,$B2085&amp;" ~*")&gt;0)+(COUNTIF(K2058:M2075,$B2085)+COUNTIF(K2058:M2075,$B2085&amp;" ~*")&gt;0)+(COUNTIF(O2058:Q2075,$B2085)+COUNTIF(O2058:Q2075,$B2085&amp;" ~*")&gt;0)+(COUNTIF(S2058:U2075,$B2085)+COUNTIF(S2058:U2075,$B2085&amp;" ~*")&gt;0)+(COUNTIF(W2058:W2075,$B2085)+COUNTIF(W2058:W2075,$B2085&amp;" ~*")&gt;0)+(COUNTIF(Y2058:Y2075,$B2085)+COUNTIF(Y2058:Y2075,$B2085&amp;" ~*")&gt;0))</f>
        <v/>
      </c>
      <c r="AC2085" s="36">
        <f>IF($B2085="","",(IFERROR(INDEX(Setup!$G$33:$G$40,MATCH(C2085,Setup!$B$33:$B$40,0)),0)=1)*(COUNTIF(C2058:E2075,$B2085)+COUNTIF(C2058:E2075,$B2085&amp;" ~*")&gt;0)+(IFERROR(INDEX(Setup!$G$33:$G$40,MATCH(G2085,Setup!$B$33:$B$40,0)),0)=1)*(COUNTIF(G2058:I2075,$B2085)+COUNTIF(G2058:I2075,$B2085&amp;" ~*")&gt;0)+(IFERROR(INDEX(Setup!$G$33:$G$40,MATCH(K2085,Setup!$B$33:$B$40,0)),0)=1)*(COUNTIF(K2058:M2075,$B2085)+COUNTIF(K2058:M2075,$B2085&amp;" ~*")&gt;0)+(IFERROR(INDEX(Setup!$G$33:$G$40,MATCH(O2085,Setup!$B$33:$B$40,0)),0)=1)*(COUNTIF(O2058:Q2075,$B2085)+COUNTIF(O2058:Q2075,$B2085&amp;" ~*")&gt;0)+(IFERROR(INDEX(Setup!$G$33:$G$40,MATCH(S2085,Setup!$B$33:$B$40,0)),0)=1)*(COUNTIF(S2058:U2075,$B2085)+COUNTIF(S2058:U2075,$B2085&amp;" ~*")&gt;0)+(IFERROR(INDEX(Setup!$G$33:$G$40,MATCH(W2085,Setup!$B$33:$B$40,0)),0)=1)*(COUNTIF(W2058:W2075,$B2085)+COUNTIF(W2058:W2075,$B2085&amp;" ~*")&gt;0)+(IFERROR(INDEX(Setup!$G$33:$G$40,MATCH(Y2085,Setup!$B$33:$B$40,0)),0)=1)*(COUNTIF(Y2058:Y2075,$B2085)+COUNTIF(Y2058:Y2075,$B2085&amp;" ~*")&gt;0))</f>
        <v/>
      </c>
    </row>
    <row r="2086" ht="15" customHeight="1">
      <c r="A2086" t="n">
        <v>42</v>
      </c>
      <c r="B2086" s="37">
        <f>IF(Setup!$B$15="","",Setup!$B$15)</f>
        <v/>
      </c>
      <c r="C2086" s="102" t="n"/>
      <c r="D2086" s="103" t="n"/>
      <c r="E2086" s="103" t="n"/>
      <c r="F2086" s="104" t="n"/>
      <c r="G2086" s="102" t="n"/>
      <c r="H2086" s="103" t="n"/>
      <c r="I2086" s="103" t="n"/>
      <c r="J2086" s="104" t="n"/>
      <c r="K2086" s="102" t="n"/>
      <c r="L2086" s="103" t="n"/>
      <c r="M2086" s="103" t="n"/>
      <c r="N2086" s="104" t="n"/>
      <c r="O2086" s="102" t="n"/>
      <c r="P2086" s="103" t="n"/>
      <c r="Q2086" s="103" t="n"/>
      <c r="R2086" s="104" t="n"/>
      <c r="S2086" s="102" t="n"/>
      <c r="T2086" s="103" t="n"/>
      <c r="U2086" s="103" t="n"/>
      <c r="V2086" s="104" t="n"/>
      <c r="W2086" s="102" t="n"/>
      <c r="X2086" s="104" t="n"/>
      <c r="Y2086" s="102" t="n"/>
      <c r="Z2086" s="104" t="n"/>
      <c r="AB2086" s="105">
        <f>IF($B2086="","",(COUNTIF(C2058:E2075,$B2086)+COUNTIF(C2058:E2075,$B2086&amp;" ~*")&gt;0)+(COUNTIF(G2058:I2075,$B2086)+COUNTIF(G2058:I2075,$B2086&amp;" ~*")&gt;0)+(COUNTIF(K2058:M2075,$B2086)+COUNTIF(K2058:M2075,$B2086&amp;" ~*")&gt;0)+(COUNTIF(O2058:Q2075,$B2086)+COUNTIF(O2058:Q2075,$B2086&amp;" ~*")&gt;0)+(COUNTIF(S2058:U2075,$B2086)+COUNTIF(S2058:U2075,$B2086&amp;" ~*")&gt;0)+(COUNTIF(W2058:W2075,$B2086)+COUNTIF(W2058:W2075,$B2086&amp;" ~*")&gt;0)+(COUNTIF(Y2058:Y2075,$B2086)+COUNTIF(Y2058:Y2075,$B2086&amp;" ~*")&gt;0))</f>
        <v/>
      </c>
      <c r="AC2086" s="38">
        <f>IF($B2086="","",(IFERROR(INDEX(Setup!$G$33:$G$40,MATCH(C2086,Setup!$B$33:$B$40,0)),0)=1)*(COUNTIF(C2058:E2075,$B2086)+COUNTIF(C2058:E2075,$B2086&amp;" ~*")&gt;0)+(IFERROR(INDEX(Setup!$G$33:$G$40,MATCH(G2086,Setup!$B$33:$B$40,0)),0)=1)*(COUNTIF(G2058:I2075,$B2086)+COUNTIF(G2058:I2075,$B2086&amp;" ~*")&gt;0)+(IFERROR(INDEX(Setup!$G$33:$G$40,MATCH(K2086,Setup!$B$33:$B$40,0)),0)=1)*(COUNTIF(K2058:M2075,$B2086)+COUNTIF(K2058:M2075,$B2086&amp;" ~*")&gt;0)+(IFERROR(INDEX(Setup!$G$33:$G$40,MATCH(O2086,Setup!$B$33:$B$40,0)),0)=1)*(COUNTIF(O2058:Q2075,$B2086)+COUNTIF(O2058:Q2075,$B2086&amp;" ~*")&gt;0)+(IFERROR(INDEX(Setup!$G$33:$G$40,MATCH(S2086,Setup!$B$33:$B$40,0)),0)=1)*(COUNTIF(S2058:U2075,$B2086)+COUNTIF(S2058:U2075,$B2086&amp;" ~*")&gt;0)+(IFERROR(INDEX(Setup!$G$33:$G$40,MATCH(W2086,Setup!$B$33:$B$40,0)),0)=1)*(COUNTIF(W2058:W2075,$B2086)+COUNTIF(W2058:W2075,$B2086&amp;" ~*")&gt;0)+(IFERROR(INDEX(Setup!$G$33:$G$40,MATCH(Y2086,Setup!$B$33:$B$40,0)),0)=1)*(COUNTIF(Y2058:Y2075,$B2086)+COUNTIF(Y2058:Y2075,$B2086&amp;" ~*")&gt;0))</f>
        <v/>
      </c>
    </row>
    <row r="2087" ht="15" customHeight="1">
      <c r="A2087" t="n">
        <v>42</v>
      </c>
      <c r="B2087" s="35">
        <f>IF(Setup!$B$16="","",Setup!$B$16)</f>
        <v/>
      </c>
      <c r="C2087" s="98" t="n"/>
      <c r="D2087" s="99" t="n"/>
      <c r="E2087" s="99" t="n"/>
      <c r="F2087" s="100" t="n"/>
      <c r="G2087" s="98" t="n"/>
      <c r="H2087" s="99" t="n"/>
      <c r="I2087" s="99" t="n"/>
      <c r="J2087" s="100" t="n"/>
      <c r="K2087" s="98" t="n"/>
      <c r="L2087" s="99" t="n"/>
      <c r="M2087" s="99" t="n"/>
      <c r="N2087" s="100" t="n"/>
      <c r="O2087" s="98" t="n"/>
      <c r="P2087" s="99" t="n"/>
      <c r="Q2087" s="99" t="n"/>
      <c r="R2087" s="100" t="n"/>
      <c r="S2087" s="98" t="n"/>
      <c r="T2087" s="99" t="n"/>
      <c r="U2087" s="99" t="n"/>
      <c r="V2087" s="100" t="n"/>
      <c r="W2087" s="98" t="n"/>
      <c r="X2087" s="100" t="n"/>
      <c r="Y2087" s="98" t="n"/>
      <c r="Z2087" s="100" t="n"/>
      <c r="AB2087" s="101">
        <f>IF($B2087="","",(COUNTIF(C2058:E2075,$B2087)+COUNTIF(C2058:E2075,$B2087&amp;" ~*")&gt;0)+(COUNTIF(G2058:I2075,$B2087)+COUNTIF(G2058:I2075,$B2087&amp;" ~*")&gt;0)+(COUNTIF(K2058:M2075,$B2087)+COUNTIF(K2058:M2075,$B2087&amp;" ~*")&gt;0)+(COUNTIF(O2058:Q2075,$B2087)+COUNTIF(O2058:Q2075,$B2087&amp;" ~*")&gt;0)+(COUNTIF(S2058:U2075,$B2087)+COUNTIF(S2058:U2075,$B2087&amp;" ~*")&gt;0)+(COUNTIF(W2058:W2075,$B2087)+COUNTIF(W2058:W2075,$B2087&amp;" ~*")&gt;0)+(COUNTIF(Y2058:Y2075,$B2087)+COUNTIF(Y2058:Y2075,$B2087&amp;" ~*")&gt;0))</f>
        <v/>
      </c>
      <c r="AC2087" s="36">
        <f>IF($B2087="","",(IFERROR(INDEX(Setup!$G$33:$G$40,MATCH(C2087,Setup!$B$33:$B$40,0)),0)=1)*(COUNTIF(C2058:E2075,$B2087)+COUNTIF(C2058:E2075,$B2087&amp;" ~*")&gt;0)+(IFERROR(INDEX(Setup!$G$33:$G$40,MATCH(G2087,Setup!$B$33:$B$40,0)),0)=1)*(COUNTIF(G2058:I2075,$B2087)+COUNTIF(G2058:I2075,$B2087&amp;" ~*")&gt;0)+(IFERROR(INDEX(Setup!$G$33:$G$40,MATCH(K2087,Setup!$B$33:$B$40,0)),0)=1)*(COUNTIF(K2058:M2075,$B2087)+COUNTIF(K2058:M2075,$B2087&amp;" ~*")&gt;0)+(IFERROR(INDEX(Setup!$G$33:$G$40,MATCH(O2087,Setup!$B$33:$B$40,0)),0)=1)*(COUNTIF(O2058:Q2075,$B2087)+COUNTIF(O2058:Q2075,$B2087&amp;" ~*")&gt;0)+(IFERROR(INDEX(Setup!$G$33:$G$40,MATCH(S2087,Setup!$B$33:$B$40,0)),0)=1)*(COUNTIF(S2058:U2075,$B2087)+COUNTIF(S2058:U2075,$B2087&amp;" ~*")&gt;0)+(IFERROR(INDEX(Setup!$G$33:$G$40,MATCH(W2087,Setup!$B$33:$B$40,0)),0)=1)*(COUNTIF(W2058:W2075,$B2087)+COUNTIF(W2058:W2075,$B2087&amp;" ~*")&gt;0)+(IFERROR(INDEX(Setup!$G$33:$G$40,MATCH(Y2087,Setup!$B$33:$B$40,0)),0)=1)*(COUNTIF(Y2058:Y2075,$B2087)+COUNTIF(Y2058:Y2075,$B2087&amp;" ~*")&gt;0))</f>
        <v/>
      </c>
    </row>
    <row r="2088" ht="15" customHeight="1">
      <c r="A2088" t="n">
        <v>42</v>
      </c>
      <c r="B2088" s="37">
        <f>IF(Setup!$B$17="","",Setup!$B$17)</f>
        <v/>
      </c>
      <c r="C2088" s="102" t="n"/>
      <c r="D2088" s="103" t="n"/>
      <c r="E2088" s="103" t="n"/>
      <c r="F2088" s="104" t="n"/>
      <c r="G2088" s="102" t="n"/>
      <c r="H2088" s="103" t="n"/>
      <c r="I2088" s="103" t="n"/>
      <c r="J2088" s="104" t="n"/>
      <c r="K2088" s="102" t="n"/>
      <c r="L2088" s="103" t="n"/>
      <c r="M2088" s="103" t="n"/>
      <c r="N2088" s="104" t="n"/>
      <c r="O2088" s="102" t="n"/>
      <c r="P2088" s="103" t="n"/>
      <c r="Q2088" s="103" t="n"/>
      <c r="R2088" s="104" t="n"/>
      <c r="S2088" s="102" t="n"/>
      <c r="T2088" s="103" t="n"/>
      <c r="U2088" s="103" t="n"/>
      <c r="V2088" s="104" t="n"/>
      <c r="W2088" s="102" t="n"/>
      <c r="X2088" s="104" t="n"/>
      <c r="Y2088" s="102" t="n"/>
      <c r="Z2088" s="104" t="n"/>
      <c r="AB2088" s="105">
        <f>IF($B2088="","",(COUNTIF(C2058:E2075,$B2088)+COUNTIF(C2058:E2075,$B2088&amp;" ~*")&gt;0)+(COUNTIF(G2058:I2075,$B2088)+COUNTIF(G2058:I2075,$B2088&amp;" ~*")&gt;0)+(COUNTIF(K2058:M2075,$B2088)+COUNTIF(K2058:M2075,$B2088&amp;" ~*")&gt;0)+(COUNTIF(O2058:Q2075,$B2088)+COUNTIF(O2058:Q2075,$B2088&amp;" ~*")&gt;0)+(COUNTIF(S2058:U2075,$B2088)+COUNTIF(S2058:U2075,$B2088&amp;" ~*")&gt;0)+(COUNTIF(W2058:W2075,$B2088)+COUNTIF(W2058:W2075,$B2088&amp;" ~*")&gt;0)+(COUNTIF(Y2058:Y2075,$B2088)+COUNTIF(Y2058:Y2075,$B2088&amp;" ~*")&gt;0))</f>
        <v/>
      </c>
      <c r="AC2088" s="38">
        <f>IF($B2088="","",(IFERROR(INDEX(Setup!$G$33:$G$40,MATCH(C2088,Setup!$B$33:$B$40,0)),0)=1)*(COUNTIF(C2058:E2075,$B2088)+COUNTIF(C2058:E2075,$B2088&amp;" ~*")&gt;0)+(IFERROR(INDEX(Setup!$G$33:$G$40,MATCH(G2088,Setup!$B$33:$B$40,0)),0)=1)*(COUNTIF(G2058:I2075,$B2088)+COUNTIF(G2058:I2075,$B2088&amp;" ~*")&gt;0)+(IFERROR(INDEX(Setup!$G$33:$G$40,MATCH(K2088,Setup!$B$33:$B$40,0)),0)=1)*(COUNTIF(K2058:M2075,$B2088)+COUNTIF(K2058:M2075,$B2088&amp;" ~*")&gt;0)+(IFERROR(INDEX(Setup!$G$33:$G$40,MATCH(O2088,Setup!$B$33:$B$40,0)),0)=1)*(COUNTIF(O2058:Q2075,$B2088)+COUNTIF(O2058:Q2075,$B2088&amp;" ~*")&gt;0)+(IFERROR(INDEX(Setup!$G$33:$G$40,MATCH(S2088,Setup!$B$33:$B$40,0)),0)=1)*(COUNTIF(S2058:U2075,$B2088)+COUNTIF(S2058:U2075,$B2088&amp;" ~*")&gt;0)+(IFERROR(INDEX(Setup!$G$33:$G$40,MATCH(W2088,Setup!$B$33:$B$40,0)),0)=1)*(COUNTIF(W2058:W2075,$B2088)+COUNTIF(W2058:W2075,$B2088&amp;" ~*")&gt;0)+(IFERROR(INDEX(Setup!$G$33:$G$40,MATCH(Y2088,Setup!$B$33:$B$40,0)),0)=1)*(COUNTIF(Y2058:Y2075,$B2088)+COUNTIF(Y2058:Y2075,$B2088&amp;" ~*")&gt;0))</f>
        <v/>
      </c>
    </row>
    <row r="2089" ht="15" customHeight="1">
      <c r="A2089" t="n">
        <v>42</v>
      </c>
      <c r="B2089" s="35">
        <f>IF(Setup!$B$18="","",Setup!$B$18)</f>
        <v/>
      </c>
      <c r="C2089" s="98" t="n"/>
      <c r="D2089" s="99" t="n"/>
      <c r="E2089" s="99" t="n"/>
      <c r="F2089" s="100" t="n"/>
      <c r="G2089" s="98" t="n"/>
      <c r="H2089" s="99" t="n"/>
      <c r="I2089" s="99" t="n"/>
      <c r="J2089" s="100" t="n"/>
      <c r="K2089" s="98" t="n"/>
      <c r="L2089" s="99" t="n"/>
      <c r="M2089" s="99" t="n"/>
      <c r="N2089" s="100" t="n"/>
      <c r="O2089" s="98" t="n"/>
      <c r="P2089" s="99" t="n"/>
      <c r="Q2089" s="99" t="n"/>
      <c r="R2089" s="100" t="n"/>
      <c r="S2089" s="98" t="n"/>
      <c r="T2089" s="99" t="n"/>
      <c r="U2089" s="99" t="n"/>
      <c r="V2089" s="100" t="n"/>
      <c r="W2089" s="98" t="n"/>
      <c r="X2089" s="100" t="n"/>
      <c r="Y2089" s="98" t="n"/>
      <c r="Z2089" s="100" t="n"/>
      <c r="AB2089" s="101">
        <f>IF($B2089="","",(COUNTIF(C2058:E2075,$B2089)+COUNTIF(C2058:E2075,$B2089&amp;" ~*")&gt;0)+(COUNTIF(G2058:I2075,$B2089)+COUNTIF(G2058:I2075,$B2089&amp;" ~*")&gt;0)+(COUNTIF(K2058:M2075,$B2089)+COUNTIF(K2058:M2075,$B2089&amp;" ~*")&gt;0)+(COUNTIF(O2058:Q2075,$B2089)+COUNTIF(O2058:Q2075,$B2089&amp;" ~*")&gt;0)+(COUNTIF(S2058:U2075,$B2089)+COUNTIF(S2058:U2075,$B2089&amp;" ~*")&gt;0)+(COUNTIF(W2058:W2075,$B2089)+COUNTIF(W2058:W2075,$B2089&amp;" ~*")&gt;0)+(COUNTIF(Y2058:Y2075,$B2089)+COUNTIF(Y2058:Y2075,$B2089&amp;" ~*")&gt;0))</f>
        <v/>
      </c>
      <c r="AC2089" s="36">
        <f>IF($B2089="","",(IFERROR(INDEX(Setup!$G$33:$G$40,MATCH(C2089,Setup!$B$33:$B$40,0)),0)=1)*(COUNTIF(C2058:E2075,$B2089)+COUNTIF(C2058:E2075,$B2089&amp;" ~*")&gt;0)+(IFERROR(INDEX(Setup!$G$33:$G$40,MATCH(G2089,Setup!$B$33:$B$40,0)),0)=1)*(COUNTIF(G2058:I2075,$B2089)+COUNTIF(G2058:I2075,$B2089&amp;" ~*")&gt;0)+(IFERROR(INDEX(Setup!$G$33:$G$40,MATCH(K2089,Setup!$B$33:$B$40,0)),0)=1)*(COUNTIF(K2058:M2075,$B2089)+COUNTIF(K2058:M2075,$B2089&amp;" ~*")&gt;0)+(IFERROR(INDEX(Setup!$G$33:$G$40,MATCH(O2089,Setup!$B$33:$B$40,0)),0)=1)*(COUNTIF(O2058:Q2075,$B2089)+COUNTIF(O2058:Q2075,$B2089&amp;" ~*")&gt;0)+(IFERROR(INDEX(Setup!$G$33:$G$40,MATCH(S2089,Setup!$B$33:$B$40,0)),0)=1)*(COUNTIF(S2058:U2075,$B2089)+COUNTIF(S2058:U2075,$B2089&amp;" ~*")&gt;0)+(IFERROR(INDEX(Setup!$G$33:$G$40,MATCH(W2089,Setup!$B$33:$B$40,0)),0)=1)*(COUNTIF(W2058:W2075,$B2089)+COUNTIF(W2058:W2075,$B2089&amp;" ~*")&gt;0)+(IFERROR(INDEX(Setup!$G$33:$G$40,MATCH(Y2089,Setup!$B$33:$B$40,0)),0)=1)*(COUNTIF(Y2058:Y2075,$B2089)+COUNTIF(Y2058:Y2075,$B2089&amp;" ~*")&gt;0))</f>
        <v/>
      </c>
    </row>
    <row r="2090" ht="15" customHeight="1">
      <c r="A2090" t="n">
        <v>42</v>
      </c>
      <c r="B2090" s="37">
        <f>IF(Setup!$B$19="","",Setup!$B$19)</f>
        <v/>
      </c>
      <c r="C2090" s="102" t="n"/>
      <c r="D2090" s="103" t="n"/>
      <c r="E2090" s="103" t="n"/>
      <c r="F2090" s="104" t="n"/>
      <c r="G2090" s="102" t="n"/>
      <c r="H2090" s="103" t="n"/>
      <c r="I2090" s="103" t="n"/>
      <c r="J2090" s="104" t="n"/>
      <c r="K2090" s="102" t="n"/>
      <c r="L2090" s="103" t="n"/>
      <c r="M2090" s="103" t="n"/>
      <c r="N2090" s="104" t="n"/>
      <c r="O2090" s="102" t="n"/>
      <c r="P2090" s="103" t="n"/>
      <c r="Q2090" s="103" t="n"/>
      <c r="R2090" s="104" t="n"/>
      <c r="S2090" s="102" t="n"/>
      <c r="T2090" s="103" t="n"/>
      <c r="U2090" s="103" t="n"/>
      <c r="V2090" s="104" t="n"/>
      <c r="W2090" s="102" t="n"/>
      <c r="X2090" s="104" t="n"/>
      <c r="Y2090" s="102" t="n"/>
      <c r="Z2090" s="104" t="n"/>
      <c r="AB2090" s="105">
        <f>IF($B2090="","",(COUNTIF(C2058:E2075,$B2090)+COUNTIF(C2058:E2075,$B2090&amp;" ~*")&gt;0)+(COUNTIF(G2058:I2075,$B2090)+COUNTIF(G2058:I2075,$B2090&amp;" ~*")&gt;0)+(COUNTIF(K2058:M2075,$B2090)+COUNTIF(K2058:M2075,$B2090&amp;" ~*")&gt;0)+(COUNTIF(O2058:Q2075,$B2090)+COUNTIF(O2058:Q2075,$B2090&amp;" ~*")&gt;0)+(COUNTIF(S2058:U2075,$B2090)+COUNTIF(S2058:U2075,$B2090&amp;" ~*")&gt;0)+(COUNTIF(W2058:W2075,$B2090)+COUNTIF(W2058:W2075,$B2090&amp;" ~*")&gt;0)+(COUNTIF(Y2058:Y2075,$B2090)+COUNTIF(Y2058:Y2075,$B2090&amp;" ~*")&gt;0))</f>
        <v/>
      </c>
      <c r="AC2090" s="38">
        <f>IF($B2090="","",(IFERROR(INDEX(Setup!$G$33:$G$40,MATCH(C2090,Setup!$B$33:$B$40,0)),0)=1)*(COUNTIF(C2058:E2075,$B2090)+COUNTIF(C2058:E2075,$B2090&amp;" ~*")&gt;0)+(IFERROR(INDEX(Setup!$G$33:$G$40,MATCH(G2090,Setup!$B$33:$B$40,0)),0)=1)*(COUNTIF(G2058:I2075,$B2090)+COUNTIF(G2058:I2075,$B2090&amp;" ~*")&gt;0)+(IFERROR(INDEX(Setup!$G$33:$G$40,MATCH(K2090,Setup!$B$33:$B$40,0)),0)=1)*(COUNTIF(K2058:M2075,$B2090)+COUNTIF(K2058:M2075,$B2090&amp;" ~*")&gt;0)+(IFERROR(INDEX(Setup!$G$33:$G$40,MATCH(O2090,Setup!$B$33:$B$40,0)),0)=1)*(COUNTIF(O2058:Q2075,$B2090)+COUNTIF(O2058:Q2075,$B2090&amp;" ~*")&gt;0)+(IFERROR(INDEX(Setup!$G$33:$G$40,MATCH(S2090,Setup!$B$33:$B$40,0)),0)=1)*(COUNTIF(S2058:U2075,$B2090)+COUNTIF(S2058:U2075,$B2090&amp;" ~*")&gt;0)+(IFERROR(INDEX(Setup!$G$33:$G$40,MATCH(W2090,Setup!$B$33:$B$40,0)),0)=1)*(COUNTIF(W2058:W2075,$B2090)+COUNTIF(W2058:W2075,$B2090&amp;" ~*")&gt;0)+(IFERROR(INDEX(Setup!$G$33:$G$40,MATCH(Y2090,Setup!$B$33:$B$40,0)),0)=1)*(COUNTIF(Y2058:Y2075,$B2090)+COUNTIF(Y2058:Y2075,$B2090&amp;" ~*")&gt;0))</f>
        <v/>
      </c>
    </row>
    <row r="2091" ht="15" customHeight="1">
      <c r="A2091" t="n">
        <v>42</v>
      </c>
      <c r="B2091" s="35">
        <f>IF(Setup!$B$20="","",Setup!$B$20)</f>
        <v/>
      </c>
      <c r="C2091" s="98" t="n"/>
      <c r="D2091" s="99" t="n"/>
      <c r="E2091" s="99" t="n"/>
      <c r="F2091" s="100" t="n"/>
      <c r="G2091" s="98" t="n"/>
      <c r="H2091" s="99" t="n"/>
      <c r="I2091" s="99" t="n"/>
      <c r="J2091" s="100" t="n"/>
      <c r="K2091" s="98" t="n"/>
      <c r="L2091" s="99" t="n"/>
      <c r="M2091" s="99" t="n"/>
      <c r="N2091" s="100" t="n"/>
      <c r="O2091" s="98" t="n"/>
      <c r="P2091" s="99" t="n"/>
      <c r="Q2091" s="99" t="n"/>
      <c r="R2091" s="100" t="n"/>
      <c r="S2091" s="98" t="n"/>
      <c r="T2091" s="99" t="n"/>
      <c r="U2091" s="99" t="n"/>
      <c r="V2091" s="100" t="n"/>
      <c r="W2091" s="98" t="n"/>
      <c r="X2091" s="100" t="n"/>
      <c r="Y2091" s="98" t="n"/>
      <c r="Z2091" s="100" t="n"/>
      <c r="AB2091" s="101">
        <f>IF($B2091="","",(COUNTIF(C2058:E2075,$B2091)+COUNTIF(C2058:E2075,$B2091&amp;" ~*")&gt;0)+(COUNTIF(G2058:I2075,$B2091)+COUNTIF(G2058:I2075,$B2091&amp;" ~*")&gt;0)+(COUNTIF(K2058:M2075,$B2091)+COUNTIF(K2058:M2075,$B2091&amp;" ~*")&gt;0)+(COUNTIF(O2058:Q2075,$B2091)+COUNTIF(O2058:Q2075,$B2091&amp;" ~*")&gt;0)+(COUNTIF(S2058:U2075,$B2091)+COUNTIF(S2058:U2075,$B2091&amp;" ~*")&gt;0)+(COUNTIF(W2058:W2075,$B2091)+COUNTIF(W2058:W2075,$B2091&amp;" ~*")&gt;0)+(COUNTIF(Y2058:Y2075,$B2091)+COUNTIF(Y2058:Y2075,$B2091&amp;" ~*")&gt;0))</f>
        <v/>
      </c>
      <c r="AC2091" s="36">
        <f>IF($B2091="","",(IFERROR(INDEX(Setup!$G$33:$G$40,MATCH(C2091,Setup!$B$33:$B$40,0)),0)=1)*(COUNTIF(C2058:E2075,$B2091)+COUNTIF(C2058:E2075,$B2091&amp;" ~*")&gt;0)+(IFERROR(INDEX(Setup!$G$33:$G$40,MATCH(G2091,Setup!$B$33:$B$40,0)),0)=1)*(COUNTIF(G2058:I2075,$B2091)+COUNTIF(G2058:I2075,$B2091&amp;" ~*")&gt;0)+(IFERROR(INDEX(Setup!$G$33:$G$40,MATCH(K2091,Setup!$B$33:$B$40,0)),0)=1)*(COUNTIF(K2058:M2075,$B2091)+COUNTIF(K2058:M2075,$B2091&amp;" ~*")&gt;0)+(IFERROR(INDEX(Setup!$G$33:$G$40,MATCH(O2091,Setup!$B$33:$B$40,0)),0)=1)*(COUNTIF(O2058:Q2075,$B2091)+COUNTIF(O2058:Q2075,$B2091&amp;" ~*")&gt;0)+(IFERROR(INDEX(Setup!$G$33:$G$40,MATCH(S2091,Setup!$B$33:$B$40,0)),0)=1)*(COUNTIF(S2058:U2075,$B2091)+COUNTIF(S2058:U2075,$B2091&amp;" ~*")&gt;0)+(IFERROR(INDEX(Setup!$G$33:$G$40,MATCH(W2091,Setup!$B$33:$B$40,0)),0)=1)*(COUNTIF(W2058:W2075,$B2091)+COUNTIF(W2058:W2075,$B2091&amp;" ~*")&gt;0)+(IFERROR(INDEX(Setup!$G$33:$G$40,MATCH(Y2091,Setup!$B$33:$B$40,0)),0)=1)*(COUNTIF(Y2058:Y2075,$B2091)+COUNTIF(Y2058:Y2075,$B2091&amp;" ~*")&gt;0))</f>
        <v/>
      </c>
    </row>
    <row r="2092" ht="15" customHeight="1">
      <c r="A2092" t="n">
        <v>42</v>
      </c>
      <c r="B2092" s="37">
        <f>IF(Setup!$B$21="","",Setup!$B$21)</f>
        <v/>
      </c>
      <c r="C2092" s="102" t="n"/>
      <c r="D2092" s="103" t="n"/>
      <c r="E2092" s="103" t="n"/>
      <c r="F2092" s="104" t="n"/>
      <c r="G2092" s="102" t="n"/>
      <c r="H2092" s="103" t="n"/>
      <c r="I2092" s="103" t="n"/>
      <c r="J2092" s="104" t="n"/>
      <c r="K2092" s="102" t="n"/>
      <c r="L2092" s="103" t="n"/>
      <c r="M2092" s="103" t="n"/>
      <c r="N2092" s="104" t="n"/>
      <c r="O2092" s="102" t="n"/>
      <c r="P2092" s="103" t="n"/>
      <c r="Q2092" s="103" t="n"/>
      <c r="R2092" s="104" t="n"/>
      <c r="S2092" s="102" t="n"/>
      <c r="T2092" s="103" t="n"/>
      <c r="U2092" s="103" t="n"/>
      <c r="V2092" s="104" t="n"/>
      <c r="W2092" s="102" t="n"/>
      <c r="X2092" s="104" t="n"/>
      <c r="Y2092" s="102" t="n"/>
      <c r="Z2092" s="104" t="n"/>
      <c r="AB2092" s="105">
        <f>IF($B2092="","",(COUNTIF(C2058:E2075,$B2092)+COUNTIF(C2058:E2075,$B2092&amp;" ~*")&gt;0)+(COUNTIF(G2058:I2075,$B2092)+COUNTIF(G2058:I2075,$B2092&amp;" ~*")&gt;0)+(COUNTIF(K2058:M2075,$B2092)+COUNTIF(K2058:M2075,$B2092&amp;" ~*")&gt;0)+(COUNTIF(O2058:Q2075,$B2092)+COUNTIF(O2058:Q2075,$B2092&amp;" ~*")&gt;0)+(COUNTIF(S2058:U2075,$B2092)+COUNTIF(S2058:U2075,$B2092&amp;" ~*")&gt;0)+(COUNTIF(W2058:W2075,$B2092)+COUNTIF(W2058:W2075,$B2092&amp;" ~*")&gt;0)+(COUNTIF(Y2058:Y2075,$B2092)+COUNTIF(Y2058:Y2075,$B2092&amp;" ~*")&gt;0))</f>
        <v/>
      </c>
      <c r="AC2092" s="38">
        <f>IF($B2092="","",(IFERROR(INDEX(Setup!$G$33:$G$40,MATCH(C2092,Setup!$B$33:$B$40,0)),0)=1)*(COUNTIF(C2058:E2075,$B2092)+COUNTIF(C2058:E2075,$B2092&amp;" ~*")&gt;0)+(IFERROR(INDEX(Setup!$G$33:$G$40,MATCH(G2092,Setup!$B$33:$B$40,0)),0)=1)*(COUNTIF(G2058:I2075,$B2092)+COUNTIF(G2058:I2075,$B2092&amp;" ~*")&gt;0)+(IFERROR(INDEX(Setup!$G$33:$G$40,MATCH(K2092,Setup!$B$33:$B$40,0)),0)=1)*(COUNTIF(K2058:M2075,$B2092)+COUNTIF(K2058:M2075,$B2092&amp;" ~*")&gt;0)+(IFERROR(INDEX(Setup!$G$33:$G$40,MATCH(O2092,Setup!$B$33:$B$40,0)),0)=1)*(COUNTIF(O2058:Q2075,$B2092)+COUNTIF(O2058:Q2075,$B2092&amp;" ~*")&gt;0)+(IFERROR(INDEX(Setup!$G$33:$G$40,MATCH(S2092,Setup!$B$33:$B$40,0)),0)=1)*(COUNTIF(S2058:U2075,$B2092)+COUNTIF(S2058:U2075,$B2092&amp;" ~*")&gt;0)+(IFERROR(INDEX(Setup!$G$33:$G$40,MATCH(W2092,Setup!$B$33:$B$40,0)),0)=1)*(COUNTIF(W2058:W2075,$B2092)+COUNTIF(W2058:W2075,$B2092&amp;" ~*")&gt;0)+(IFERROR(INDEX(Setup!$G$33:$G$40,MATCH(Y2092,Setup!$B$33:$B$40,0)),0)=1)*(COUNTIF(Y2058:Y2075,$B2092)+COUNTIF(Y2058:Y2075,$B2092&amp;" ~*")&gt;0))</f>
        <v/>
      </c>
    </row>
    <row r="2093" ht="15" customHeight="1">
      <c r="A2093" t="n">
        <v>42</v>
      </c>
      <c r="B2093" s="35">
        <f>IF(Setup!$B$22="","",Setup!$B$22)</f>
        <v/>
      </c>
      <c r="C2093" s="98" t="n"/>
      <c r="D2093" s="99" t="n"/>
      <c r="E2093" s="99" t="n"/>
      <c r="F2093" s="100" t="n"/>
      <c r="G2093" s="98" t="n"/>
      <c r="H2093" s="99" t="n"/>
      <c r="I2093" s="99" t="n"/>
      <c r="J2093" s="100" t="n"/>
      <c r="K2093" s="98" t="n"/>
      <c r="L2093" s="99" t="n"/>
      <c r="M2093" s="99" t="n"/>
      <c r="N2093" s="100" t="n"/>
      <c r="O2093" s="98" t="n"/>
      <c r="P2093" s="99" t="n"/>
      <c r="Q2093" s="99" t="n"/>
      <c r="R2093" s="100" t="n"/>
      <c r="S2093" s="98" t="n"/>
      <c r="T2093" s="99" t="n"/>
      <c r="U2093" s="99" t="n"/>
      <c r="V2093" s="100" t="n"/>
      <c r="W2093" s="98" t="n"/>
      <c r="X2093" s="100" t="n"/>
      <c r="Y2093" s="98" t="n"/>
      <c r="Z2093" s="100" t="n"/>
      <c r="AB2093" s="101">
        <f>IF($B2093="","",(COUNTIF(C2058:E2075,$B2093)+COUNTIF(C2058:E2075,$B2093&amp;" ~*")&gt;0)+(COUNTIF(G2058:I2075,$B2093)+COUNTIF(G2058:I2075,$B2093&amp;" ~*")&gt;0)+(COUNTIF(K2058:M2075,$B2093)+COUNTIF(K2058:M2075,$B2093&amp;" ~*")&gt;0)+(COUNTIF(O2058:Q2075,$B2093)+COUNTIF(O2058:Q2075,$B2093&amp;" ~*")&gt;0)+(COUNTIF(S2058:U2075,$B2093)+COUNTIF(S2058:U2075,$B2093&amp;" ~*")&gt;0)+(COUNTIF(W2058:W2075,$B2093)+COUNTIF(W2058:W2075,$B2093&amp;" ~*")&gt;0)+(COUNTIF(Y2058:Y2075,$B2093)+COUNTIF(Y2058:Y2075,$B2093&amp;" ~*")&gt;0))</f>
        <v/>
      </c>
      <c r="AC2093" s="36">
        <f>IF($B2093="","",(IFERROR(INDEX(Setup!$G$33:$G$40,MATCH(C2093,Setup!$B$33:$B$40,0)),0)=1)*(COUNTIF(C2058:E2075,$B2093)+COUNTIF(C2058:E2075,$B2093&amp;" ~*")&gt;0)+(IFERROR(INDEX(Setup!$G$33:$G$40,MATCH(G2093,Setup!$B$33:$B$40,0)),0)=1)*(COUNTIF(G2058:I2075,$B2093)+COUNTIF(G2058:I2075,$B2093&amp;" ~*")&gt;0)+(IFERROR(INDEX(Setup!$G$33:$G$40,MATCH(K2093,Setup!$B$33:$B$40,0)),0)=1)*(COUNTIF(K2058:M2075,$B2093)+COUNTIF(K2058:M2075,$B2093&amp;" ~*")&gt;0)+(IFERROR(INDEX(Setup!$G$33:$G$40,MATCH(O2093,Setup!$B$33:$B$40,0)),0)=1)*(COUNTIF(O2058:Q2075,$B2093)+COUNTIF(O2058:Q2075,$B2093&amp;" ~*")&gt;0)+(IFERROR(INDEX(Setup!$G$33:$G$40,MATCH(S2093,Setup!$B$33:$B$40,0)),0)=1)*(COUNTIF(S2058:U2075,$B2093)+COUNTIF(S2058:U2075,$B2093&amp;" ~*")&gt;0)+(IFERROR(INDEX(Setup!$G$33:$G$40,MATCH(W2093,Setup!$B$33:$B$40,0)),0)=1)*(COUNTIF(W2058:W2075,$B2093)+COUNTIF(W2058:W2075,$B2093&amp;" ~*")&gt;0)+(IFERROR(INDEX(Setup!$G$33:$G$40,MATCH(Y2093,Setup!$B$33:$B$40,0)),0)=1)*(COUNTIF(Y2058:Y2075,$B2093)+COUNTIF(Y2058:Y2075,$B2093&amp;" ~*")&gt;0))</f>
        <v/>
      </c>
    </row>
    <row r="2094" ht="15" customHeight="1">
      <c r="A2094" t="n">
        <v>42</v>
      </c>
      <c r="B2094" s="37">
        <f>IF(Setup!$B$23="","",Setup!$B$23)</f>
        <v/>
      </c>
      <c r="C2094" s="102" t="n"/>
      <c r="D2094" s="103" t="n"/>
      <c r="E2094" s="103" t="n"/>
      <c r="F2094" s="104" t="n"/>
      <c r="G2094" s="102" t="n"/>
      <c r="H2094" s="103" t="n"/>
      <c r="I2094" s="103" t="n"/>
      <c r="J2094" s="104" t="n"/>
      <c r="K2094" s="102" t="n"/>
      <c r="L2094" s="103" t="n"/>
      <c r="M2094" s="103" t="n"/>
      <c r="N2094" s="104" t="n"/>
      <c r="O2094" s="102" t="n"/>
      <c r="P2094" s="103" t="n"/>
      <c r="Q2094" s="103" t="n"/>
      <c r="R2094" s="104" t="n"/>
      <c r="S2094" s="102" t="n"/>
      <c r="T2094" s="103" t="n"/>
      <c r="U2094" s="103" t="n"/>
      <c r="V2094" s="104" t="n"/>
      <c r="W2094" s="102" t="n"/>
      <c r="X2094" s="104" t="n"/>
      <c r="Y2094" s="102" t="n"/>
      <c r="Z2094" s="104" t="n"/>
      <c r="AB2094" s="105">
        <f>IF($B2094="","",(COUNTIF(C2058:E2075,$B2094)+COUNTIF(C2058:E2075,$B2094&amp;" ~*")&gt;0)+(COUNTIF(G2058:I2075,$B2094)+COUNTIF(G2058:I2075,$B2094&amp;" ~*")&gt;0)+(COUNTIF(K2058:M2075,$B2094)+COUNTIF(K2058:M2075,$B2094&amp;" ~*")&gt;0)+(COUNTIF(O2058:Q2075,$B2094)+COUNTIF(O2058:Q2075,$B2094&amp;" ~*")&gt;0)+(COUNTIF(S2058:U2075,$B2094)+COUNTIF(S2058:U2075,$B2094&amp;" ~*")&gt;0)+(COUNTIF(W2058:W2075,$B2094)+COUNTIF(W2058:W2075,$B2094&amp;" ~*")&gt;0)+(COUNTIF(Y2058:Y2075,$B2094)+COUNTIF(Y2058:Y2075,$B2094&amp;" ~*")&gt;0))</f>
        <v/>
      </c>
      <c r="AC2094" s="38">
        <f>IF($B2094="","",(IFERROR(INDEX(Setup!$G$33:$G$40,MATCH(C2094,Setup!$B$33:$B$40,0)),0)=1)*(COUNTIF(C2058:E2075,$B2094)+COUNTIF(C2058:E2075,$B2094&amp;" ~*")&gt;0)+(IFERROR(INDEX(Setup!$G$33:$G$40,MATCH(G2094,Setup!$B$33:$B$40,0)),0)=1)*(COUNTIF(G2058:I2075,$B2094)+COUNTIF(G2058:I2075,$B2094&amp;" ~*")&gt;0)+(IFERROR(INDEX(Setup!$G$33:$G$40,MATCH(K2094,Setup!$B$33:$B$40,0)),0)=1)*(COUNTIF(K2058:M2075,$B2094)+COUNTIF(K2058:M2075,$B2094&amp;" ~*")&gt;0)+(IFERROR(INDEX(Setup!$G$33:$G$40,MATCH(O2094,Setup!$B$33:$B$40,0)),0)=1)*(COUNTIF(O2058:Q2075,$B2094)+COUNTIF(O2058:Q2075,$B2094&amp;" ~*")&gt;0)+(IFERROR(INDEX(Setup!$G$33:$G$40,MATCH(S2094,Setup!$B$33:$B$40,0)),0)=1)*(COUNTIF(S2058:U2075,$B2094)+COUNTIF(S2058:U2075,$B2094&amp;" ~*")&gt;0)+(IFERROR(INDEX(Setup!$G$33:$G$40,MATCH(W2094,Setup!$B$33:$B$40,0)),0)=1)*(COUNTIF(W2058:W2075,$B2094)+COUNTIF(W2058:W2075,$B2094&amp;" ~*")&gt;0)+(IFERROR(INDEX(Setup!$G$33:$G$40,MATCH(Y2094,Setup!$B$33:$B$40,0)),0)=1)*(COUNTIF(Y2058:Y2075,$B2094)+COUNTIF(Y2058:Y2075,$B2094&amp;" ~*")&gt;0))</f>
        <v/>
      </c>
    </row>
    <row r="2095" ht="15" customHeight="1">
      <c r="A2095" t="n">
        <v>42</v>
      </c>
      <c r="B2095" s="35">
        <f>IF(Setup!$B$24="","",Setup!$B$24)</f>
        <v/>
      </c>
      <c r="C2095" s="98" t="n"/>
      <c r="D2095" s="99" t="n"/>
      <c r="E2095" s="99" t="n"/>
      <c r="F2095" s="100" t="n"/>
      <c r="G2095" s="98" t="n"/>
      <c r="H2095" s="99" t="n"/>
      <c r="I2095" s="99" t="n"/>
      <c r="J2095" s="100" t="n"/>
      <c r="K2095" s="98" t="n"/>
      <c r="L2095" s="99" t="n"/>
      <c r="M2095" s="99" t="n"/>
      <c r="N2095" s="100" t="n"/>
      <c r="O2095" s="98" t="n"/>
      <c r="P2095" s="99" t="n"/>
      <c r="Q2095" s="99" t="n"/>
      <c r="R2095" s="100" t="n"/>
      <c r="S2095" s="98" t="n"/>
      <c r="T2095" s="99" t="n"/>
      <c r="U2095" s="99" t="n"/>
      <c r="V2095" s="100" t="n"/>
      <c r="W2095" s="98" t="n"/>
      <c r="X2095" s="100" t="n"/>
      <c r="Y2095" s="98" t="n"/>
      <c r="Z2095" s="100" t="n"/>
      <c r="AB2095" s="101">
        <f>IF($B2095="","",(COUNTIF(C2058:E2075,$B2095)+COUNTIF(C2058:E2075,$B2095&amp;" ~*")&gt;0)+(COUNTIF(G2058:I2075,$B2095)+COUNTIF(G2058:I2075,$B2095&amp;" ~*")&gt;0)+(COUNTIF(K2058:M2075,$B2095)+COUNTIF(K2058:M2075,$B2095&amp;" ~*")&gt;0)+(COUNTIF(O2058:Q2075,$B2095)+COUNTIF(O2058:Q2075,$B2095&amp;" ~*")&gt;0)+(COUNTIF(S2058:U2075,$B2095)+COUNTIF(S2058:U2075,$B2095&amp;" ~*")&gt;0)+(COUNTIF(W2058:W2075,$B2095)+COUNTIF(W2058:W2075,$B2095&amp;" ~*")&gt;0)+(COUNTIF(Y2058:Y2075,$B2095)+COUNTIF(Y2058:Y2075,$B2095&amp;" ~*")&gt;0))</f>
        <v/>
      </c>
      <c r="AC2095" s="36">
        <f>IF($B2095="","",(IFERROR(INDEX(Setup!$G$33:$G$40,MATCH(C2095,Setup!$B$33:$B$40,0)),0)=1)*(COUNTIF(C2058:E2075,$B2095)+COUNTIF(C2058:E2075,$B2095&amp;" ~*")&gt;0)+(IFERROR(INDEX(Setup!$G$33:$G$40,MATCH(G2095,Setup!$B$33:$B$40,0)),0)=1)*(COUNTIF(G2058:I2075,$B2095)+COUNTIF(G2058:I2075,$B2095&amp;" ~*")&gt;0)+(IFERROR(INDEX(Setup!$G$33:$G$40,MATCH(K2095,Setup!$B$33:$B$40,0)),0)=1)*(COUNTIF(K2058:M2075,$B2095)+COUNTIF(K2058:M2075,$B2095&amp;" ~*")&gt;0)+(IFERROR(INDEX(Setup!$G$33:$G$40,MATCH(O2095,Setup!$B$33:$B$40,0)),0)=1)*(COUNTIF(O2058:Q2075,$B2095)+COUNTIF(O2058:Q2075,$B2095&amp;" ~*")&gt;0)+(IFERROR(INDEX(Setup!$G$33:$G$40,MATCH(S2095,Setup!$B$33:$B$40,0)),0)=1)*(COUNTIF(S2058:U2075,$B2095)+COUNTIF(S2058:U2075,$B2095&amp;" ~*")&gt;0)+(IFERROR(INDEX(Setup!$G$33:$G$40,MATCH(W2095,Setup!$B$33:$B$40,0)),0)=1)*(COUNTIF(W2058:W2075,$B2095)+COUNTIF(W2058:W2075,$B2095&amp;" ~*")&gt;0)+(IFERROR(INDEX(Setup!$G$33:$G$40,MATCH(Y2095,Setup!$B$33:$B$40,0)),0)=1)*(COUNTIF(Y2058:Y2075,$B2095)+COUNTIF(Y2058:Y2075,$B2095&amp;" ~*")&gt;0))</f>
        <v/>
      </c>
    </row>
    <row r="2096" ht="15" customHeight="1">
      <c r="A2096" t="n">
        <v>42</v>
      </c>
      <c r="B2096" s="37">
        <f>IF(Setup!$B$25="","",Setup!$B$25)</f>
        <v/>
      </c>
      <c r="C2096" s="102" t="n"/>
      <c r="D2096" s="103" t="n"/>
      <c r="E2096" s="103" t="n"/>
      <c r="F2096" s="104" t="n"/>
      <c r="G2096" s="102" t="n"/>
      <c r="H2096" s="103" t="n"/>
      <c r="I2096" s="103" t="n"/>
      <c r="J2096" s="104" t="n"/>
      <c r="K2096" s="102" t="n"/>
      <c r="L2096" s="103" t="n"/>
      <c r="M2096" s="103" t="n"/>
      <c r="N2096" s="104" t="n"/>
      <c r="O2096" s="102" t="n"/>
      <c r="P2096" s="103" t="n"/>
      <c r="Q2096" s="103" t="n"/>
      <c r="R2096" s="104" t="n"/>
      <c r="S2096" s="102" t="n"/>
      <c r="T2096" s="103" t="n"/>
      <c r="U2096" s="103" t="n"/>
      <c r="V2096" s="104" t="n"/>
      <c r="W2096" s="102" t="n"/>
      <c r="X2096" s="104" t="n"/>
      <c r="Y2096" s="102" t="n"/>
      <c r="Z2096" s="104" t="n"/>
      <c r="AB2096" s="105">
        <f>IF($B2096="","",(COUNTIF(C2058:E2075,$B2096)+COUNTIF(C2058:E2075,$B2096&amp;" ~*")&gt;0)+(COUNTIF(G2058:I2075,$B2096)+COUNTIF(G2058:I2075,$B2096&amp;" ~*")&gt;0)+(COUNTIF(K2058:M2075,$B2096)+COUNTIF(K2058:M2075,$B2096&amp;" ~*")&gt;0)+(COUNTIF(O2058:Q2075,$B2096)+COUNTIF(O2058:Q2075,$B2096&amp;" ~*")&gt;0)+(COUNTIF(S2058:U2075,$B2096)+COUNTIF(S2058:U2075,$B2096&amp;" ~*")&gt;0)+(COUNTIF(W2058:W2075,$B2096)+COUNTIF(W2058:W2075,$B2096&amp;" ~*")&gt;0)+(COUNTIF(Y2058:Y2075,$B2096)+COUNTIF(Y2058:Y2075,$B2096&amp;" ~*")&gt;0))</f>
        <v/>
      </c>
      <c r="AC2096" s="38">
        <f>IF($B2096="","",(IFERROR(INDEX(Setup!$G$33:$G$40,MATCH(C2096,Setup!$B$33:$B$40,0)),0)=1)*(COUNTIF(C2058:E2075,$B2096)+COUNTIF(C2058:E2075,$B2096&amp;" ~*")&gt;0)+(IFERROR(INDEX(Setup!$G$33:$G$40,MATCH(G2096,Setup!$B$33:$B$40,0)),0)=1)*(COUNTIF(G2058:I2075,$B2096)+COUNTIF(G2058:I2075,$B2096&amp;" ~*")&gt;0)+(IFERROR(INDEX(Setup!$G$33:$G$40,MATCH(K2096,Setup!$B$33:$B$40,0)),0)=1)*(COUNTIF(K2058:M2075,$B2096)+COUNTIF(K2058:M2075,$B2096&amp;" ~*")&gt;0)+(IFERROR(INDEX(Setup!$G$33:$G$40,MATCH(O2096,Setup!$B$33:$B$40,0)),0)=1)*(COUNTIF(O2058:Q2075,$B2096)+COUNTIF(O2058:Q2075,$B2096&amp;" ~*")&gt;0)+(IFERROR(INDEX(Setup!$G$33:$G$40,MATCH(S2096,Setup!$B$33:$B$40,0)),0)=1)*(COUNTIF(S2058:U2075,$B2096)+COUNTIF(S2058:U2075,$B2096&amp;" ~*")&gt;0)+(IFERROR(INDEX(Setup!$G$33:$G$40,MATCH(W2096,Setup!$B$33:$B$40,0)),0)=1)*(COUNTIF(W2058:W2075,$B2096)+COUNTIF(W2058:W2075,$B2096&amp;" ~*")&gt;0)+(IFERROR(INDEX(Setup!$G$33:$G$40,MATCH(Y2096,Setup!$B$33:$B$40,0)),0)=1)*(COUNTIF(Y2058:Y2075,$B2096)+COUNTIF(Y2058:Y2075,$B2096&amp;" ~*")&gt;0))</f>
        <v/>
      </c>
    </row>
    <row r="2097" ht="15" customHeight="1">
      <c r="A2097" t="n">
        <v>42</v>
      </c>
      <c r="B2097" s="35">
        <f>IF(Setup!$B$26="","",Setup!$B$26)</f>
        <v/>
      </c>
      <c r="C2097" s="98" t="n"/>
      <c r="D2097" s="99" t="n"/>
      <c r="E2097" s="99" t="n"/>
      <c r="F2097" s="100" t="n"/>
      <c r="G2097" s="98" t="n"/>
      <c r="H2097" s="99" t="n"/>
      <c r="I2097" s="99" t="n"/>
      <c r="J2097" s="100" t="n"/>
      <c r="K2097" s="98" t="n"/>
      <c r="L2097" s="99" t="n"/>
      <c r="M2097" s="99" t="n"/>
      <c r="N2097" s="100" t="n"/>
      <c r="O2097" s="98" t="n"/>
      <c r="P2097" s="99" t="n"/>
      <c r="Q2097" s="99" t="n"/>
      <c r="R2097" s="100" t="n"/>
      <c r="S2097" s="98" t="n"/>
      <c r="T2097" s="99" t="n"/>
      <c r="U2097" s="99" t="n"/>
      <c r="V2097" s="100" t="n"/>
      <c r="W2097" s="98" t="n"/>
      <c r="X2097" s="100" t="n"/>
      <c r="Y2097" s="98" t="n"/>
      <c r="Z2097" s="100" t="n"/>
      <c r="AB2097" s="101">
        <f>IF($B2097="","",(COUNTIF(C2058:E2075,$B2097)+COUNTIF(C2058:E2075,$B2097&amp;" ~*")&gt;0)+(COUNTIF(G2058:I2075,$B2097)+COUNTIF(G2058:I2075,$B2097&amp;" ~*")&gt;0)+(COUNTIF(K2058:M2075,$B2097)+COUNTIF(K2058:M2075,$B2097&amp;" ~*")&gt;0)+(COUNTIF(O2058:Q2075,$B2097)+COUNTIF(O2058:Q2075,$B2097&amp;" ~*")&gt;0)+(COUNTIF(S2058:U2075,$B2097)+COUNTIF(S2058:U2075,$B2097&amp;" ~*")&gt;0)+(COUNTIF(W2058:W2075,$B2097)+COUNTIF(W2058:W2075,$B2097&amp;" ~*")&gt;0)+(COUNTIF(Y2058:Y2075,$B2097)+COUNTIF(Y2058:Y2075,$B2097&amp;" ~*")&gt;0))</f>
        <v/>
      </c>
      <c r="AC2097" s="36">
        <f>IF($B2097="","",(IFERROR(INDEX(Setup!$G$33:$G$40,MATCH(C2097,Setup!$B$33:$B$40,0)),0)=1)*(COUNTIF(C2058:E2075,$B2097)+COUNTIF(C2058:E2075,$B2097&amp;" ~*")&gt;0)+(IFERROR(INDEX(Setup!$G$33:$G$40,MATCH(G2097,Setup!$B$33:$B$40,0)),0)=1)*(COUNTIF(G2058:I2075,$B2097)+COUNTIF(G2058:I2075,$B2097&amp;" ~*")&gt;0)+(IFERROR(INDEX(Setup!$G$33:$G$40,MATCH(K2097,Setup!$B$33:$B$40,0)),0)=1)*(COUNTIF(K2058:M2075,$B2097)+COUNTIF(K2058:M2075,$B2097&amp;" ~*")&gt;0)+(IFERROR(INDEX(Setup!$G$33:$G$40,MATCH(O2097,Setup!$B$33:$B$40,0)),0)=1)*(COUNTIF(O2058:Q2075,$B2097)+COUNTIF(O2058:Q2075,$B2097&amp;" ~*")&gt;0)+(IFERROR(INDEX(Setup!$G$33:$G$40,MATCH(S2097,Setup!$B$33:$B$40,0)),0)=1)*(COUNTIF(S2058:U2075,$B2097)+COUNTIF(S2058:U2075,$B2097&amp;" ~*")&gt;0)+(IFERROR(INDEX(Setup!$G$33:$G$40,MATCH(W2097,Setup!$B$33:$B$40,0)),0)=1)*(COUNTIF(W2058:W2075,$B2097)+COUNTIF(W2058:W2075,$B2097&amp;" ~*")&gt;0)+(IFERROR(INDEX(Setup!$G$33:$G$40,MATCH(Y2097,Setup!$B$33:$B$40,0)),0)=1)*(COUNTIF(Y2058:Y2075,$B2097)+COUNTIF(Y2058:Y2075,$B2097&amp;" ~*")&gt;0))</f>
        <v/>
      </c>
    </row>
    <row r="2098" ht="15" customHeight="1">
      <c r="A2098" t="n">
        <v>42</v>
      </c>
      <c r="B2098" s="37">
        <f>IF(Setup!$B$27="","",Setup!$B$27)</f>
        <v/>
      </c>
      <c r="C2098" s="102" t="n"/>
      <c r="D2098" s="103" t="n"/>
      <c r="E2098" s="103" t="n"/>
      <c r="F2098" s="104" t="n"/>
      <c r="G2098" s="102" t="n"/>
      <c r="H2098" s="103" t="n"/>
      <c r="I2098" s="103" t="n"/>
      <c r="J2098" s="104" t="n"/>
      <c r="K2098" s="102" t="n"/>
      <c r="L2098" s="103" t="n"/>
      <c r="M2098" s="103" t="n"/>
      <c r="N2098" s="104" t="n"/>
      <c r="O2098" s="102" t="n"/>
      <c r="P2098" s="103" t="n"/>
      <c r="Q2098" s="103" t="n"/>
      <c r="R2098" s="104" t="n"/>
      <c r="S2098" s="102" t="n"/>
      <c r="T2098" s="103" t="n"/>
      <c r="U2098" s="103" t="n"/>
      <c r="V2098" s="104" t="n"/>
      <c r="W2098" s="102" t="n"/>
      <c r="X2098" s="104" t="n"/>
      <c r="Y2098" s="102" t="n"/>
      <c r="Z2098" s="104" t="n"/>
      <c r="AB2098" s="105">
        <f>IF($B2098="","",(COUNTIF(C2058:E2075,$B2098)+COUNTIF(C2058:E2075,$B2098&amp;" ~*")&gt;0)+(COUNTIF(G2058:I2075,$B2098)+COUNTIF(G2058:I2075,$B2098&amp;" ~*")&gt;0)+(COUNTIF(K2058:M2075,$B2098)+COUNTIF(K2058:M2075,$B2098&amp;" ~*")&gt;0)+(COUNTIF(O2058:Q2075,$B2098)+COUNTIF(O2058:Q2075,$B2098&amp;" ~*")&gt;0)+(COUNTIF(S2058:U2075,$B2098)+COUNTIF(S2058:U2075,$B2098&amp;" ~*")&gt;0)+(COUNTIF(W2058:W2075,$B2098)+COUNTIF(W2058:W2075,$B2098&amp;" ~*")&gt;0)+(COUNTIF(Y2058:Y2075,$B2098)+COUNTIF(Y2058:Y2075,$B2098&amp;" ~*")&gt;0))</f>
        <v/>
      </c>
      <c r="AC2098" s="38">
        <f>IF($B2098="","",(IFERROR(INDEX(Setup!$G$33:$G$40,MATCH(C2098,Setup!$B$33:$B$40,0)),0)=1)*(COUNTIF(C2058:E2075,$B2098)+COUNTIF(C2058:E2075,$B2098&amp;" ~*")&gt;0)+(IFERROR(INDEX(Setup!$G$33:$G$40,MATCH(G2098,Setup!$B$33:$B$40,0)),0)=1)*(COUNTIF(G2058:I2075,$B2098)+COUNTIF(G2058:I2075,$B2098&amp;" ~*")&gt;0)+(IFERROR(INDEX(Setup!$G$33:$G$40,MATCH(K2098,Setup!$B$33:$B$40,0)),0)=1)*(COUNTIF(K2058:M2075,$B2098)+COUNTIF(K2058:M2075,$B2098&amp;" ~*")&gt;0)+(IFERROR(INDEX(Setup!$G$33:$G$40,MATCH(O2098,Setup!$B$33:$B$40,0)),0)=1)*(COUNTIF(O2058:Q2075,$B2098)+COUNTIF(O2058:Q2075,$B2098&amp;" ~*")&gt;0)+(IFERROR(INDEX(Setup!$G$33:$G$40,MATCH(S2098,Setup!$B$33:$B$40,0)),0)=1)*(COUNTIF(S2058:U2075,$B2098)+COUNTIF(S2058:U2075,$B2098&amp;" ~*")&gt;0)+(IFERROR(INDEX(Setup!$G$33:$G$40,MATCH(W2098,Setup!$B$33:$B$40,0)),0)=1)*(COUNTIF(W2058:W2075,$B2098)+COUNTIF(W2058:W2075,$B2098&amp;" ~*")&gt;0)+(IFERROR(INDEX(Setup!$G$33:$G$40,MATCH(Y2098,Setup!$B$33:$B$40,0)),0)=1)*(COUNTIF(Y2058:Y2075,$B2098)+COUNTIF(Y2058:Y2075,$B2098&amp;" ~*")&gt;0))</f>
        <v/>
      </c>
    </row>
    <row r="2099" ht="15" customHeight="1">
      <c r="A2099" t="n">
        <v>42</v>
      </c>
      <c r="B2099" s="35">
        <f>IF(Setup!$B$28="","",Setup!$B$28)</f>
        <v/>
      </c>
      <c r="C2099" s="98" t="n"/>
      <c r="D2099" s="99" t="n"/>
      <c r="E2099" s="99" t="n"/>
      <c r="F2099" s="100" t="n"/>
      <c r="G2099" s="98" t="n"/>
      <c r="H2099" s="99" t="n"/>
      <c r="I2099" s="99" t="n"/>
      <c r="J2099" s="100" t="n"/>
      <c r="K2099" s="98" t="n"/>
      <c r="L2099" s="99" t="n"/>
      <c r="M2099" s="99" t="n"/>
      <c r="N2099" s="100" t="n"/>
      <c r="O2099" s="98" t="n"/>
      <c r="P2099" s="99" t="n"/>
      <c r="Q2099" s="99" t="n"/>
      <c r="R2099" s="100" t="n"/>
      <c r="S2099" s="98" t="n"/>
      <c r="T2099" s="99" t="n"/>
      <c r="U2099" s="99" t="n"/>
      <c r="V2099" s="100" t="n"/>
      <c r="W2099" s="98" t="n"/>
      <c r="X2099" s="100" t="n"/>
      <c r="Y2099" s="98" t="n"/>
      <c r="Z2099" s="100" t="n"/>
      <c r="AB2099" s="101">
        <f>IF($B2099="","",(COUNTIF(C2058:E2075,$B2099)+COUNTIF(C2058:E2075,$B2099&amp;" ~*")&gt;0)+(COUNTIF(G2058:I2075,$B2099)+COUNTIF(G2058:I2075,$B2099&amp;" ~*")&gt;0)+(COUNTIF(K2058:M2075,$B2099)+COUNTIF(K2058:M2075,$B2099&amp;" ~*")&gt;0)+(COUNTIF(O2058:Q2075,$B2099)+COUNTIF(O2058:Q2075,$B2099&amp;" ~*")&gt;0)+(COUNTIF(S2058:U2075,$B2099)+COUNTIF(S2058:U2075,$B2099&amp;" ~*")&gt;0)+(COUNTIF(W2058:W2075,$B2099)+COUNTIF(W2058:W2075,$B2099&amp;" ~*")&gt;0)+(COUNTIF(Y2058:Y2075,$B2099)+COUNTIF(Y2058:Y2075,$B2099&amp;" ~*")&gt;0))</f>
        <v/>
      </c>
      <c r="AC2099" s="36">
        <f>IF($B2099="","",(IFERROR(INDEX(Setup!$G$33:$G$40,MATCH(C2099,Setup!$B$33:$B$40,0)),0)=1)*(COUNTIF(C2058:E2075,$B2099)+COUNTIF(C2058:E2075,$B2099&amp;" ~*")&gt;0)+(IFERROR(INDEX(Setup!$G$33:$G$40,MATCH(G2099,Setup!$B$33:$B$40,0)),0)=1)*(COUNTIF(G2058:I2075,$B2099)+COUNTIF(G2058:I2075,$B2099&amp;" ~*")&gt;0)+(IFERROR(INDEX(Setup!$G$33:$G$40,MATCH(K2099,Setup!$B$33:$B$40,0)),0)=1)*(COUNTIF(K2058:M2075,$B2099)+COUNTIF(K2058:M2075,$B2099&amp;" ~*")&gt;0)+(IFERROR(INDEX(Setup!$G$33:$G$40,MATCH(O2099,Setup!$B$33:$B$40,0)),0)=1)*(COUNTIF(O2058:Q2075,$B2099)+COUNTIF(O2058:Q2075,$B2099&amp;" ~*")&gt;0)+(IFERROR(INDEX(Setup!$G$33:$G$40,MATCH(S2099,Setup!$B$33:$B$40,0)),0)=1)*(COUNTIF(S2058:U2075,$B2099)+COUNTIF(S2058:U2075,$B2099&amp;" ~*")&gt;0)+(IFERROR(INDEX(Setup!$G$33:$G$40,MATCH(W2099,Setup!$B$33:$B$40,0)),0)=1)*(COUNTIF(W2058:W2075,$B2099)+COUNTIF(W2058:W2075,$B2099&amp;" ~*")&gt;0)+(IFERROR(INDEX(Setup!$G$33:$G$40,MATCH(Y2099,Setup!$B$33:$B$40,0)),0)=1)*(COUNTIF(Y2058:Y2075,$B2099)+COUNTIF(Y2058:Y2075,$B2099&amp;" ~*")&gt;0))</f>
        <v/>
      </c>
    </row>
    <row r="2100" ht="15" customHeight="1">
      <c r="A2100" t="n">
        <v>42</v>
      </c>
      <c r="B2100" s="37">
        <f>IF(Setup!$B$29="","",Setup!$B$29)</f>
        <v/>
      </c>
      <c r="C2100" s="102" t="n"/>
      <c r="D2100" s="103" t="n"/>
      <c r="E2100" s="103" t="n"/>
      <c r="F2100" s="104" t="n"/>
      <c r="G2100" s="102" t="n"/>
      <c r="H2100" s="103" t="n"/>
      <c r="I2100" s="103" t="n"/>
      <c r="J2100" s="104" t="n"/>
      <c r="K2100" s="102" t="n"/>
      <c r="L2100" s="103" t="n"/>
      <c r="M2100" s="103" t="n"/>
      <c r="N2100" s="104" t="n"/>
      <c r="O2100" s="102" t="n"/>
      <c r="P2100" s="103" t="n"/>
      <c r="Q2100" s="103" t="n"/>
      <c r="R2100" s="104" t="n"/>
      <c r="S2100" s="102" t="n"/>
      <c r="T2100" s="103" t="n"/>
      <c r="U2100" s="103" t="n"/>
      <c r="V2100" s="104" t="n"/>
      <c r="W2100" s="102" t="n"/>
      <c r="X2100" s="104" t="n"/>
      <c r="Y2100" s="102" t="n"/>
      <c r="Z2100" s="104" t="n"/>
      <c r="AB2100" s="105">
        <f>IF($B2100="","",(COUNTIF(C2058:E2075,$B2100)+COUNTIF(C2058:E2075,$B2100&amp;" ~*")&gt;0)+(COUNTIF(G2058:I2075,$B2100)+COUNTIF(G2058:I2075,$B2100&amp;" ~*")&gt;0)+(COUNTIF(K2058:M2075,$B2100)+COUNTIF(K2058:M2075,$B2100&amp;" ~*")&gt;0)+(COUNTIF(O2058:Q2075,$B2100)+COUNTIF(O2058:Q2075,$B2100&amp;" ~*")&gt;0)+(COUNTIF(S2058:U2075,$B2100)+COUNTIF(S2058:U2075,$B2100&amp;" ~*")&gt;0)+(COUNTIF(W2058:W2075,$B2100)+COUNTIF(W2058:W2075,$B2100&amp;" ~*")&gt;0)+(COUNTIF(Y2058:Y2075,$B2100)+COUNTIF(Y2058:Y2075,$B2100&amp;" ~*")&gt;0))</f>
        <v/>
      </c>
      <c r="AC2100" s="38">
        <f>IF($B2100="","",(IFERROR(INDEX(Setup!$G$33:$G$40,MATCH(C2100,Setup!$B$33:$B$40,0)),0)=1)*(COUNTIF(C2058:E2075,$B2100)+COUNTIF(C2058:E2075,$B2100&amp;" ~*")&gt;0)+(IFERROR(INDEX(Setup!$G$33:$G$40,MATCH(G2100,Setup!$B$33:$B$40,0)),0)=1)*(COUNTIF(G2058:I2075,$B2100)+COUNTIF(G2058:I2075,$B2100&amp;" ~*")&gt;0)+(IFERROR(INDEX(Setup!$G$33:$G$40,MATCH(K2100,Setup!$B$33:$B$40,0)),0)=1)*(COUNTIF(K2058:M2075,$B2100)+COUNTIF(K2058:M2075,$B2100&amp;" ~*")&gt;0)+(IFERROR(INDEX(Setup!$G$33:$G$40,MATCH(O2100,Setup!$B$33:$B$40,0)),0)=1)*(COUNTIF(O2058:Q2075,$B2100)+COUNTIF(O2058:Q2075,$B2100&amp;" ~*")&gt;0)+(IFERROR(INDEX(Setup!$G$33:$G$40,MATCH(S2100,Setup!$B$33:$B$40,0)),0)=1)*(COUNTIF(S2058:U2075,$B2100)+COUNTIF(S2058:U2075,$B2100&amp;" ~*")&gt;0)+(IFERROR(INDEX(Setup!$G$33:$G$40,MATCH(W2100,Setup!$B$33:$B$40,0)),0)=1)*(COUNTIF(W2058:W2075,$B2100)+COUNTIF(W2058:W2075,$B2100&amp;" ~*")&gt;0)+(IFERROR(INDEX(Setup!$G$33:$G$40,MATCH(Y2100,Setup!$B$33:$B$40,0)),0)=1)*(COUNTIF(Y2058:Y2075,$B2100)+COUNTIF(Y2058:Y2075,$B2100&amp;" ~*")&gt;0))</f>
        <v/>
      </c>
    </row>
    <row r="2101" ht="16" customHeight="1">
      <c r="A2101" t="n">
        <v>42</v>
      </c>
      <c r="B2101" s="106" t="inlineStr">
        <is>
          <t>Available people</t>
        </is>
      </c>
      <c r="C2101" s="107">
        <f>COUNTIFS(Setup!$E$6:$E$29,"Y",Setup!$B$6:$B$29,"?*")-SUMPRODUCT(COUNTIF(C2077:C2100,Setup!$F$33:$F$40))</f>
        <v/>
      </c>
      <c r="D2101" s="107" t="n"/>
      <c r="E2101" s="107" t="n"/>
      <c r="F2101" s="107" t="n"/>
      <c r="G2101" s="107">
        <f>COUNTIFS(Setup!$E$6:$E$29,"Y",Setup!$B$6:$B$29,"?*")-SUMPRODUCT(COUNTIF(G2077:G2100,Setup!$F$33:$F$40))</f>
        <v/>
      </c>
      <c r="H2101" s="107" t="n"/>
      <c r="I2101" s="107" t="n"/>
      <c r="J2101" s="107" t="n"/>
      <c r="K2101" s="107">
        <f>COUNTIFS(Setup!$E$6:$E$29,"Y",Setup!$B$6:$B$29,"?*")-SUMPRODUCT(COUNTIF(K2077:K2100,Setup!$F$33:$F$40))</f>
        <v/>
      </c>
      <c r="L2101" s="107" t="n"/>
      <c r="M2101" s="107" t="n"/>
      <c r="N2101" s="107" t="n"/>
      <c r="O2101" s="107">
        <f>COUNTIFS(Setup!$E$6:$E$29,"Y",Setup!$B$6:$B$29,"?*")-SUMPRODUCT(COUNTIF(O2077:O2100,Setup!$F$33:$F$40))</f>
        <v/>
      </c>
      <c r="P2101" s="107" t="n"/>
      <c r="Q2101" s="107" t="n"/>
      <c r="R2101" s="107" t="n"/>
      <c r="S2101" s="107">
        <f>COUNTIFS(Setup!$E$6:$E$29,"Y",Setup!$B$6:$B$29,"?*")-SUMPRODUCT(COUNTIF(S2077:S2100,Setup!$F$33:$F$40))</f>
        <v/>
      </c>
      <c r="T2101" s="107" t="n"/>
      <c r="U2101" s="107" t="n"/>
      <c r="V2101" s="107" t="n"/>
      <c r="W2101" s="107">
        <f>COUNTIFS(Setup!$E$6:$E$29,"Y",Setup!$B$6:$B$29,"?*")-SUMPRODUCT(COUNTIF(W2077:W2100,Setup!$F$33:$F$40))</f>
        <v/>
      </c>
      <c r="X2101" s="107" t="n"/>
      <c r="Y2101" s="107">
        <f>COUNTIFS(Setup!$E$6:$E$29,"Y",Setup!$B$6:$B$29,"?*")-SUMPRODUCT(COUNTIF(Y2077:Y2100,Setup!$F$33:$F$40))</f>
        <v/>
      </c>
      <c r="Z2101" s="107" t="n"/>
      <c r="AB2101" s="108">
        <f>SUM(AB2077:AB2100)</f>
        <v/>
      </c>
      <c r="AC2101" s="109">
        <f>SUM(AC2077:AC2100)</f>
        <v/>
      </c>
    </row>
    <row r="2102" ht="30" customHeight="1">
      <c r="A2102" t="n">
        <v>42</v>
      </c>
      <c r="B2102" s="110" t="inlineStr">
        <is>
          <t>Week notes</t>
        </is>
      </c>
      <c r="C2102" s="111" t="n"/>
      <c r="D2102" s="112" t="n"/>
      <c r="E2102" s="112" t="n"/>
      <c r="F2102" s="112" t="n"/>
      <c r="G2102" s="112" t="n"/>
      <c r="H2102" s="112" t="n"/>
      <c r="I2102" s="112" t="n"/>
      <c r="J2102" s="112" t="n"/>
      <c r="K2102" s="112" t="n"/>
      <c r="L2102" s="112" t="n"/>
      <c r="M2102" s="112" t="n"/>
      <c r="N2102" s="112" t="n"/>
      <c r="O2102" s="112" t="n"/>
      <c r="P2102" s="112" t="n"/>
      <c r="Q2102" s="112" t="n"/>
      <c r="R2102" s="112" t="n"/>
      <c r="S2102" s="112" t="n"/>
      <c r="T2102" s="112" t="n"/>
      <c r="U2102" s="112" t="n"/>
      <c r="V2102" s="112" t="n"/>
      <c r="W2102" s="112" t="n"/>
      <c r="X2102" s="112" t="n"/>
      <c r="Y2102" s="112" t="n"/>
      <c r="Z2102" s="113" t="n"/>
    </row>
    <row r="2103" ht="8" customHeight="1">
      <c r="A2103" t="n">
        <v>42</v>
      </c>
    </row>
    <row r="2104" ht="8" customHeight="1">
      <c r="A2104" t="n">
        <v>42</v>
      </c>
    </row>
    <row r="2105" ht="24" customHeight="1">
      <c r="A2105" t="n">
        <v>43</v>
      </c>
      <c r="B2105" s="73">
        <f>"WEEK 43     "&amp;TEXT(C2106,"ddd d mmm")&amp;"  –  "&amp;TEXT(C2106+6,"ddd d mmm yyyy")</f>
        <v/>
      </c>
      <c r="S2105" s="74">
        <f>IF(TODAY()&lt;C2106,"FUTURE",IF(TODAY()&gt;C2106+6,"PAST","THIS WEEK"))</f>
        <v/>
      </c>
      <c r="W2105" s="75">
        <f>IF(AND(Engine!$B$8=$AC$3,Engine!$B$9=$A2105),"◀ ACTIVE WEEK","")</f>
        <v/>
      </c>
      <c r="AA2105" s="76" t="n"/>
      <c r="AB2105" s="77" t="inlineStr">
        <is>
          <t>◀ Prev</t>
        </is>
      </c>
      <c r="AC2105" s="77" t="inlineStr">
        <is>
          <t>Next ▶</t>
        </is>
      </c>
    </row>
    <row r="2106" ht="18" customHeight="1">
      <c r="A2106" t="n">
        <v>43</v>
      </c>
      <c r="B2106" s="78" t="inlineStr">
        <is>
          <t>DUTY</t>
        </is>
      </c>
      <c r="C2106" s="79">
        <f>$AC$2+7*($A2106-1)</f>
        <v/>
      </c>
      <c r="D2106" s="80" t="n"/>
      <c r="E2106" s="80" t="n"/>
      <c r="F2106" s="81" t="n"/>
      <c r="G2106" s="79">
        <f>C2106+1</f>
        <v/>
      </c>
      <c r="H2106" s="80" t="n"/>
      <c r="I2106" s="80" t="n"/>
      <c r="J2106" s="81" t="n"/>
      <c r="K2106" s="79">
        <f>C2106+2</f>
        <v/>
      </c>
      <c r="L2106" s="80" t="n"/>
      <c r="M2106" s="80" t="n"/>
      <c r="N2106" s="81" t="n"/>
      <c r="O2106" s="79">
        <f>C2106+3</f>
        <v/>
      </c>
      <c r="P2106" s="80" t="n"/>
      <c r="Q2106" s="80" t="n"/>
      <c r="R2106" s="81" t="n"/>
      <c r="S2106" s="79">
        <f>C2106+4</f>
        <v/>
      </c>
      <c r="T2106" s="80" t="n"/>
      <c r="U2106" s="80" t="n"/>
      <c r="V2106" s="81" t="n"/>
      <c r="W2106" s="82">
        <f>C2106+5</f>
        <v/>
      </c>
      <c r="X2106" s="83" t="n"/>
      <c r="Y2106" s="82">
        <f>C2106+6</f>
        <v/>
      </c>
      <c r="Z2106" s="83" t="n"/>
      <c r="AB2106" s="72" t="inlineStr">
        <is>
          <t>Gaps</t>
        </is>
      </c>
      <c r="AC2106" s="72" t="inlineStr">
        <is>
          <t>Cover</t>
        </is>
      </c>
    </row>
    <row r="2107" ht="14" customHeight="1">
      <c r="A2107" t="n">
        <v>43</v>
      </c>
      <c r="B2107" s="84" t="inlineStr">
        <is>
          <t>(from Setup)</t>
        </is>
      </c>
      <c r="C2107" s="85" t="inlineStr">
        <is>
          <t>1</t>
        </is>
      </c>
      <c r="D2107" s="85" t="inlineStr">
        <is>
          <t>2</t>
        </is>
      </c>
      <c r="E2107" s="85" t="inlineStr">
        <is>
          <t>3</t>
        </is>
      </c>
      <c r="F2107" s="85" t="inlineStr">
        <is>
          <t>Notes</t>
        </is>
      </c>
      <c r="G2107" s="85" t="inlineStr">
        <is>
          <t>1</t>
        </is>
      </c>
      <c r="H2107" s="85" t="inlineStr">
        <is>
          <t>2</t>
        </is>
      </c>
      <c r="I2107" s="85" t="inlineStr">
        <is>
          <t>3</t>
        </is>
      </c>
      <c r="J2107" s="85" t="inlineStr">
        <is>
          <t>Notes</t>
        </is>
      </c>
      <c r="K2107" s="85" t="inlineStr">
        <is>
          <t>1</t>
        </is>
      </c>
      <c r="L2107" s="85" t="inlineStr">
        <is>
          <t>2</t>
        </is>
      </c>
      <c r="M2107" s="85" t="inlineStr">
        <is>
          <t>3</t>
        </is>
      </c>
      <c r="N2107" s="85" t="inlineStr">
        <is>
          <t>Notes</t>
        </is>
      </c>
      <c r="O2107" s="85" t="inlineStr">
        <is>
          <t>1</t>
        </is>
      </c>
      <c r="P2107" s="85" t="inlineStr">
        <is>
          <t>2</t>
        </is>
      </c>
      <c r="Q2107" s="85" t="inlineStr">
        <is>
          <t>3</t>
        </is>
      </c>
      <c r="R2107" s="85" t="inlineStr">
        <is>
          <t>Notes</t>
        </is>
      </c>
      <c r="S2107" s="85" t="inlineStr">
        <is>
          <t>1</t>
        </is>
      </c>
      <c r="T2107" s="85" t="inlineStr">
        <is>
          <t>2</t>
        </is>
      </c>
      <c r="U2107" s="85" t="inlineStr">
        <is>
          <t>3</t>
        </is>
      </c>
      <c r="V2107" s="85" t="inlineStr">
        <is>
          <t>Notes</t>
        </is>
      </c>
      <c r="W2107" s="85" t="inlineStr">
        <is>
          <t>Cover</t>
        </is>
      </c>
      <c r="X2107" s="85" t="inlineStr">
        <is>
          <t>Notes</t>
        </is>
      </c>
      <c r="Y2107" s="85" t="inlineStr">
        <is>
          <t>Cover</t>
        </is>
      </c>
      <c r="Z2107" s="85" t="inlineStr">
        <is>
          <t>Notes</t>
        </is>
      </c>
      <c r="AB2107" s="86" t="inlineStr">
        <is>
          <t>weekdays short</t>
        </is>
      </c>
      <c r="AC2107" s="87" t="inlineStr"/>
    </row>
    <row r="2108" ht="17" customHeight="1">
      <c r="A2108" t="n">
        <v>43</v>
      </c>
      <c r="B2108" s="24">
        <f>IF(Setup!$K$6="","",Setup!$K$6)</f>
        <v/>
      </c>
      <c r="C2108" s="88" t="n"/>
      <c r="D2108" s="88" t="n"/>
      <c r="E2108" s="88" t="n"/>
      <c r="F2108" s="89" t="n"/>
      <c r="G2108" s="88" t="n"/>
      <c r="H2108" s="88" t="n"/>
      <c r="I2108" s="88" t="n"/>
      <c r="J2108" s="89" t="n"/>
      <c r="K2108" s="88" t="n"/>
      <c r="L2108" s="88" t="n"/>
      <c r="M2108" s="88" t="n"/>
      <c r="N2108" s="89" t="n"/>
      <c r="O2108" s="88" t="n"/>
      <c r="P2108" s="88" t="n"/>
      <c r="Q2108" s="88" t="n"/>
      <c r="R2108" s="89" t="n"/>
      <c r="S2108" s="88" t="n"/>
      <c r="T2108" s="88" t="n"/>
      <c r="U2108" s="88" t="n"/>
      <c r="V2108" s="89" t="n"/>
      <c r="W2108" s="88" t="n"/>
      <c r="X2108" s="89" t="n"/>
      <c r="Y2108" s="88" t="n"/>
      <c r="Z2108" s="89" t="n"/>
      <c r="AB2108" s="25">
        <f>IF($B2108="","",(COUNTIF(C2108:E2108,"?*")&lt;N(INDEX(Setup!$L$6:$L$23,1)))+(COUNTIF(G2108:I2108,"?*")&lt;N(INDEX(Setup!$L$6:$L$23,1)))+(COUNTIF(K2108:M2108,"?*")&lt;N(INDEX(Setup!$L$6:$L$23,1)))+(COUNTIF(O2108:Q2108,"?*")&lt;N(INDEX(Setup!$L$6:$L$23,1)))+(COUNTIF(S2108:U2108,"?*")&lt;N(INDEX(Setup!$L$6:$L$23,1)))+((W2108="")*(INDEX(Setup!$M$6:$M$23,1)="Y"))+((Y2108="")*(INDEX(Setup!$M$6:$M$23,1)="Y")))</f>
        <v/>
      </c>
      <c r="AC2108" s="90">
        <f>IF($B2108="","",IF(AB2108=0,"✓ covered","⚠ "&amp;AB2108&amp;IF(AB2108=1," gap"," gaps")))</f>
        <v/>
      </c>
    </row>
    <row r="2109" ht="17" customHeight="1">
      <c r="A2109" t="n">
        <v>43</v>
      </c>
      <c r="B2109" s="29">
        <f>IF(Setup!$K$7="","",Setup!$K$7)</f>
        <v/>
      </c>
      <c r="C2109" s="88" t="n"/>
      <c r="D2109" s="88" t="n"/>
      <c r="E2109" s="88" t="n"/>
      <c r="F2109" s="89" t="n"/>
      <c r="G2109" s="88" t="n"/>
      <c r="H2109" s="88" t="n"/>
      <c r="I2109" s="88" t="n"/>
      <c r="J2109" s="89" t="n"/>
      <c r="K2109" s="88" t="n"/>
      <c r="L2109" s="88" t="n"/>
      <c r="M2109" s="88" t="n"/>
      <c r="N2109" s="89" t="n"/>
      <c r="O2109" s="88" t="n"/>
      <c r="P2109" s="88" t="n"/>
      <c r="Q2109" s="88" t="n"/>
      <c r="R2109" s="89" t="n"/>
      <c r="S2109" s="88" t="n"/>
      <c r="T2109" s="88" t="n"/>
      <c r="U2109" s="88" t="n"/>
      <c r="V2109" s="89" t="n"/>
      <c r="W2109" s="88" t="n"/>
      <c r="X2109" s="89" t="n"/>
      <c r="Y2109" s="88" t="n"/>
      <c r="Z2109" s="89" t="n"/>
      <c r="AB2109" s="30">
        <f>IF($B2109="","",(COUNTIF(C2109:E2109,"?*")&lt;N(INDEX(Setup!$L$6:$L$23,2)))+(COUNTIF(G2109:I2109,"?*")&lt;N(INDEX(Setup!$L$6:$L$23,2)))+(COUNTIF(K2109:M2109,"?*")&lt;N(INDEX(Setup!$L$6:$L$23,2)))+(COUNTIF(O2109:Q2109,"?*")&lt;N(INDEX(Setup!$L$6:$L$23,2)))+(COUNTIF(S2109:U2109,"?*")&lt;N(INDEX(Setup!$L$6:$L$23,2)))+((W2109="")*(INDEX(Setup!$M$6:$M$23,2)="Y"))+((Y2109="")*(INDEX(Setup!$M$6:$M$23,2)="Y")))</f>
        <v/>
      </c>
      <c r="AC2109" s="91">
        <f>IF($B2109="","",IF(AB2109=0,"✓ covered","⚠ "&amp;AB2109&amp;IF(AB2109=1," gap"," gaps")))</f>
        <v/>
      </c>
    </row>
    <row r="2110" ht="17" customHeight="1">
      <c r="A2110" t="n">
        <v>43</v>
      </c>
      <c r="B2110" s="24">
        <f>IF(Setup!$K$8="","",Setup!$K$8)</f>
        <v/>
      </c>
      <c r="C2110" s="88" t="n"/>
      <c r="D2110" s="88" t="n"/>
      <c r="E2110" s="88" t="n"/>
      <c r="F2110" s="89" t="n"/>
      <c r="G2110" s="88" t="n"/>
      <c r="H2110" s="88" t="n"/>
      <c r="I2110" s="88" t="n"/>
      <c r="J2110" s="89" t="n"/>
      <c r="K2110" s="88" t="n"/>
      <c r="L2110" s="88" t="n"/>
      <c r="M2110" s="88" t="n"/>
      <c r="N2110" s="89" t="n"/>
      <c r="O2110" s="88" t="n"/>
      <c r="P2110" s="88" t="n"/>
      <c r="Q2110" s="88" t="n"/>
      <c r="R2110" s="89" t="n"/>
      <c r="S2110" s="88" t="n"/>
      <c r="T2110" s="88" t="n"/>
      <c r="U2110" s="88" t="n"/>
      <c r="V2110" s="89" t="n"/>
      <c r="W2110" s="88" t="n"/>
      <c r="X2110" s="89" t="n"/>
      <c r="Y2110" s="88" t="n"/>
      <c r="Z2110" s="89" t="n"/>
      <c r="AB2110" s="25">
        <f>IF($B2110="","",(COUNTIF(C2110:E2110,"?*")&lt;N(INDEX(Setup!$L$6:$L$23,3)))+(COUNTIF(G2110:I2110,"?*")&lt;N(INDEX(Setup!$L$6:$L$23,3)))+(COUNTIF(K2110:M2110,"?*")&lt;N(INDEX(Setup!$L$6:$L$23,3)))+(COUNTIF(O2110:Q2110,"?*")&lt;N(INDEX(Setup!$L$6:$L$23,3)))+(COUNTIF(S2110:U2110,"?*")&lt;N(INDEX(Setup!$L$6:$L$23,3)))+((W2110="")*(INDEX(Setup!$M$6:$M$23,3)="Y"))+((Y2110="")*(INDEX(Setup!$M$6:$M$23,3)="Y")))</f>
        <v/>
      </c>
      <c r="AC2110" s="90">
        <f>IF($B2110="","",IF(AB2110=0,"✓ covered","⚠ "&amp;AB2110&amp;IF(AB2110=1," gap"," gaps")))</f>
        <v/>
      </c>
    </row>
    <row r="2111" ht="17" customHeight="1">
      <c r="A2111" t="n">
        <v>43</v>
      </c>
      <c r="B2111" s="29">
        <f>IF(Setup!$K$9="","",Setup!$K$9)</f>
        <v/>
      </c>
      <c r="C2111" s="88" t="n"/>
      <c r="D2111" s="88" t="n"/>
      <c r="E2111" s="88" t="n"/>
      <c r="F2111" s="89" t="n"/>
      <c r="G2111" s="88" t="n"/>
      <c r="H2111" s="88" t="n"/>
      <c r="I2111" s="88" t="n"/>
      <c r="J2111" s="89" t="n"/>
      <c r="K2111" s="88" t="n"/>
      <c r="L2111" s="88" t="n"/>
      <c r="M2111" s="88" t="n"/>
      <c r="N2111" s="89" t="n"/>
      <c r="O2111" s="88" t="n"/>
      <c r="P2111" s="88" t="n"/>
      <c r="Q2111" s="88" t="n"/>
      <c r="R2111" s="89" t="n"/>
      <c r="S2111" s="88" t="n"/>
      <c r="T2111" s="88" t="n"/>
      <c r="U2111" s="88" t="n"/>
      <c r="V2111" s="89" t="n"/>
      <c r="W2111" s="88" t="n"/>
      <c r="X2111" s="89" t="n"/>
      <c r="Y2111" s="88" t="n"/>
      <c r="Z2111" s="89" t="n"/>
      <c r="AB2111" s="30">
        <f>IF($B2111="","",(COUNTIF(C2111:E2111,"?*")&lt;N(INDEX(Setup!$L$6:$L$23,4)))+(COUNTIF(G2111:I2111,"?*")&lt;N(INDEX(Setup!$L$6:$L$23,4)))+(COUNTIF(K2111:M2111,"?*")&lt;N(INDEX(Setup!$L$6:$L$23,4)))+(COUNTIF(O2111:Q2111,"?*")&lt;N(INDEX(Setup!$L$6:$L$23,4)))+(COUNTIF(S2111:U2111,"?*")&lt;N(INDEX(Setup!$L$6:$L$23,4)))+((W2111="")*(INDEX(Setup!$M$6:$M$23,4)="Y"))+((Y2111="")*(INDEX(Setup!$M$6:$M$23,4)="Y")))</f>
        <v/>
      </c>
      <c r="AC2111" s="91">
        <f>IF($B2111="","",IF(AB2111=0,"✓ covered","⚠ "&amp;AB2111&amp;IF(AB2111=1," gap"," gaps")))</f>
        <v/>
      </c>
    </row>
    <row r="2112" ht="17" customHeight="1">
      <c r="A2112" t="n">
        <v>43</v>
      </c>
      <c r="B2112" s="24">
        <f>IF(Setup!$K$10="","",Setup!$K$10)</f>
        <v/>
      </c>
      <c r="C2112" s="88" t="n"/>
      <c r="D2112" s="88" t="n"/>
      <c r="E2112" s="88" t="n"/>
      <c r="F2112" s="89" t="n"/>
      <c r="G2112" s="88" t="n"/>
      <c r="H2112" s="88" t="n"/>
      <c r="I2112" s="88" t="n"/>
      <c r="J2112" s="89" t="n"/>
      <c r="K2112" s="88" t="n"/>
      <c r="L2112" s="88" t="n"/>
      <c r="M2112" s="88" t="n"/>
      <c r="N2112" s="89" t="n"/>
      <c r="O2112" s="88" t="n"/>
      <c r="P2112" s="88" t="n"/>
      <c r="Q2112" s="88" t="n"/>
      <c r="R2112" s="89" t="n"/>
      <c r="S2112" s="88" t="n"/>
      <c r="T2112" s="88" t="n"/>
      <c r="U2112" s="88" t="n"/>
      <c r="V2112" s="89" t="n"/>
      <c r="W2112" s="88" t="n"/>
      <c r="X2112" s="89" t="n"/>
      <c r="Y2112" s="88" t="n"/>
      <c r="Z2112" s="89" t="n"/>
      <c r="AB2112" s="25">
        <f>IF($B2112="","",(COUNTIF(C2112:E2112,"?*")&lt;N(INDEX(Setup!$L$6:$L$23,5)))+(COUNTIF(G2112:I2112,"?*")&lt;N(INDEX(Setup!$L$6:$L$23,5)))+(COUNTIF(K2112:M2112,"?*")&lt;N(INDEX(Setup!$L$6:$L$23,5)))+(COUNTIF(O2112:Q2112,"?*")&lt;N(INDEX(Setup!$L$6:$L$23,5)))+(COUNTIF(S2112:U2112,"?*")&lt;N(INDEX(Setup!$L$6:$L$23,5)))+((W2112="")*(INDEX(Setup!$M$6:$M$23,5)="Y"))+((Y2112="")*(INDEX(Setup!$M$6:$M$23,5)="Y")))</f>
        <v/>
      </c>
      <c r="AC2112" s="90">
        <f>IF($B2112="","",IF(AB2112=0,"✓ covered","⚠ "&amp;AB2112&amp;IF(AB2112=1," gap"," gaps")))</f>
        <v/>
      </c>
    </row>
    <row r="2113" ht="17" customHeight="1">
      <c r="A2113" t="n">
        <v>43</v>
      </c>
      <c r="B2113" s="29">
        <f>IF(Setup!$K$11="","",Setup!$K$11)</f>
        <v/>
      </c>
      <c r="C2113" s="88" t="n"/>
      <c r="D2113" s="88" t="n"/>
      <c r="E2113" s="88" t="n"/>
      <c r="F2113" s="89" t="n"/>
      <c r="G2113" s="88" t="n"/>
      <c r="H2113" s="88" t="n"/>
      <c r="I2113" s="88" t="n"/>
      <c r="J2113" s="89" t="n"/>
      <c r="K2113" s="88" t="n"/>
      <c r="L2113" s="88" t="n"/>
      <c r="M2113" s="88" t="n"/>
      <c r="N2113" s="89" t="n"/>
      <c r="O2113" s="88" t="n"/>
      <c r="P2113" s="88" t="n"/>
      <c r="Q2113" s="88" t="n"/>
      <c r="R2113" s="89" t="n"/>
      <c r="S2113" s="88" t="n"/>
      <c r="T2113" s="88" t="n"/>
      <c r="U2113" s="88" t="n"/>
      <c r="V2113" s="89" t="n"/>
      <c r="W2113" s="88" t="n"/>
      <c r="X2113" s="89" t="n"/>
      <c r="Y2113" s="88" t="n"/>
      <c r="Z2113" s="89" t="n"/>
      <c r="AB2113" s="30">
        <f>IF($B2113="","",(COUNTIF(C2113:E2113,"?*")&lt;N(INDEX(Setup!$L$6:$L$23,6)))+(COUNTIF(G2113:I2113,"?*")&lt;N(INDEX(Setup!$L$6:$L$23,6)))+(COUNTIF(K2113:M2113,"?*")&lt;N(INDEX(Setup!$L$6:$L$23,6)))+(COUNTIF(O2113:Q2113,"?*")&lt;N(INDEX(Setup!$L$6:$L$23,6)))+(COUNTIF(S2113:U2113,"?*")&lt;N(INDEX(Setup!$L$6:$L$23,6)))+((W2113="")*(INDEX(Setup!$M$6:$M$23,6)="Y"))+((Y2113="")*(INDEX(Setup!$M$6:$M$23,6)="Y")))</f>
        <v/>
      </c>
      <c r="AC2113" s="91">
        <f>IF($B2113="","",IF(AB2113=0,"✓ covered","⚠ "&amp;AB2113&amp;IF(AB2113=1," gap"," gaps")))</f>
        <v/>
      </c>
    </row>
    <row r="2114" ht="17" customHeight="1">
      <c r="A2114" t="n">
        <v>43</v>
      </c>
      <c r="B2114" s="24">
        <f>IF(Setup!$K$12="","",Setup!$K$12)</f>
        <v/>
      </c>
      <c r="C2114" s="88" t="n"/>
      <c r="D2114" s="88" t="n"/>
      <c r="E2114" s="88" t="n"/>
      <c r="F2114" s="89" t="n"/>
      <c r="G2114" s="88" t="n"/>
      <c r="H2114" s="88" t="n"/>
      <c r="I2114" s="88" t="n"/>
      <c r="J2114" s="89" t="n"/>
      <c r="K2114" s="88" t="n"/>
      <c r="L2114" s="88" t="n"/>
      <c r="M2114" s="88" t="n"/>
      <c r="N2114" s="89" t="n"/>
      <c r="O2114" s="88" t="n"/>
      <c r="P2114" s="88" t="n"/>
      <c r="Q2114" s="88" t="n"/>
      <c r="R2114" s="89" t="n"/>
      <c r="S2114" s="88" t="n"/>
      <c r="T2114" s="88" t="n"/>
      <c r="U2114" s="88" t="n"/>
      <c r="V2114" s="89" t="n"/>
      <c r="W2114" s="88" t="n"/>
      <c r="X2114" s="89" t="n"/>
      <c r="Y2114" s="88" t="n"/>
      <c r="Z2114" s="89" t="n"/>
      <c r="AB2114" s="25">
        <f>IF($B2114="","",(COUNTIF(C2114:E2114,"?*")&lt;N(INDEX(Setup!$L$6:$L$23,7)))+(COUNTIF(G2114:I2114,"?*")&lt;N(INDEX(Setup!$L$6:$L$23,7)))+(COUNTIF(K2114:M2114,"?*")&lt;N(INDEX(Setup!$L$6:$L$23,7)))+(COUNTIF(O2114:Q2114,"?*")&lt;N(INDEX(Setup!$L$6:$L$23,7)))+(COUNTIF(S2114:U2114,"?*")&lt;N(INDEX(Setup!$L$6:$L$23,7)))+((W2114="")*(INDEX(Setup!$M$6:$M$23,7)="Y"))+((Y2114="")*(INDEX(Setup!$M$6:$M$23,7)="Y")))</f>
        <v/>
      </c>
      <c r="AC2114" s="90">
        <f>IF($B2114="","",IF(AB2114=0,"✓ covered","⚠ "&amp;AB2114&amp;IF(AB2114=1," gap"," gaps")))</f>
        <v/>
      </c>
    </row>
    <row r="2115" ht="17" customHeight="1">
      <c r="A2115" t="n">
        <v>43</v>
      </c>
      <c r="B2115" s="29">
        <f>IF(Setup!$K$13="","",Setup!$K$13)</f>
        <v/>
      </c>
      <c r="C2115" s="88" t="n"/>
      <c r="D2115" s="88" t="n"/>
      <c r="E2115" s="88" t="n"/>
      <c r="F2115" s="89" t="n"/>
      <c r="G2115" s="88" t="n"/>
      <c r="H2115" s="88" t="n"/>
      <c r="I2115" s="88" t="n"/>
      <c r="J2115" s="89" t="n"/>
      <c r="K2115" s="88" t="n"/>
      <c r="L2115" s="88" t="n"/>
      <c r="M2115" s="88" t="n"/>
      <c r="N2115" s="89" t="n"/>
      <c r="O2115" s="88" t="n"/>
      <c r="P2115" s="88" t="n"/>
      <c r="Q2115" s="88" t="n"/>
      <c r="R2115" s="89" t="n"/>
      <c r="S2115" s="88" t="n"/>
      <c r="T2115" s="88" t="n"/>
      <c r="U2115" s="88" t="n"/>
      <c r="V2115" s="89" t="n"/>
      <c r="W2115" s="88" t="n"/>
      <c r="X2115" s="89" t="n"/>
      <c r="Y2115" s="88" t="n"/>
      <c r="Z2115" s="89" t="n"/>
      <c r="AB2115" s="30">
        <f>IF($B2115="","",(COUNTIF(C2115:E2115,"?*")&lt;N(INDEX(Setup!$L$6:$L$23,8)))+(COUNTIF(G2115:I2115,"?*")&lt;N(INDEX(Setup!$L$6:$L$23,8)))+(COUNTIF(K2115:M2115,"?*")&lt;N(INDEX(Setup!$L$6:$L$23,8)))+(COUNTIF(O2115:Q2115,"?*")&lt;N(INDEX(Setup!$L$6:$L$23,8)))+(COUNTIF(S2115:U2115,"?*")&lt;N(INDEX(Setup!$L$6:$L$23,8)))+((W2115="")*(INDEX(Setup!$M$6:$M$23,8)="Y"))+((Y2115="")*(INDEX(Setup!$M$6:$M$23,8)="Y")))</f>
        <v/>
      </c>
      <c r="AC2115" s="91">
        <f>IF($B2115="","",IF(AB2115=0,"✓ covered","⚠ "&amp;AB2115&amp;IF(AB2115=1," gap"," gaps")))</f>
        <v/>
      </c>
    </row>
    <row r="2116" ht="17" customHeight="1">
      <c r="A2116" t="n">
        <v>43</v>
      </c>
      <c r="B2116" s="24">
        <f>IF(Setup!$K$14="","",Setup!$K$14)</f>
        <v/>
      </c>
      <c r="C2116" s="88" t="n"/>
      <c r="D2116" s="88" t="n"/>
      <c r="E2116" s="88" t="n"/>
      <c r="F2116" s="89" t="n"/>
      <c r="G2116" s="88" t="n"/>
      <c r="H2116" s="88" t="n"/>
      <c r="I2116" s="88" t="n"/>
      <c r="J2116" s="89" t="n"/>
      <c r="K2116" s="88" t="n"/>
      <c r="L2116" s="88" t="n"/>
      <c r="M2116" s="88" t="n"/>
      <c r="N2116" s="89" t="n"/>
      <c r="O2116" s="88" t="n"/>
      <c r="P2116" s="88" t="n"/>
      <c r="Q2116" s="88" t="n"/>
      <c r="R2116" s="89" t="n"/>
      <c r="S2116" s="88" t="n"/>
      <c r="T2116" s="88" t="n"/>
      <c r="U2116" s="88" t="n"/>
      <c r="V2116" s="89" t="n"/>
      <c r="W2116" s="88" t="n"/>
      <c r="X2116" s="89" t="n"/>
      <c r="Y2116" s="88" t="n"/>
      <c r="Z2116" s="89" t="n"/>
      <c r="AB2116" s="25">
        <f>IF($B2116="","",(COUNTIF(C2116:E2116,"?*")&lt;N(INDEX(Setup!$L$6:$L$23,9)))+(COUNTIF(G2116:I2116,"?*")&lt;N(INDEX(Setup!$L$6:$L$23,9)))+(COUNTIF(K2116:M2116,"?*")&lt;N(INDEX(Setup!$L$6:$L$23,9)))+(COUNTIF(O2116:Q2116,"?*")&lt;N(INDEX(Setup!$L$6:$L$23,9)))+(COUNTIF(S2116:U2116,"?*")&lt;N(INDEX(Setup!$L$6:$L$23,9)))+((W2116="")*(INDEX(Setup!$M$6:$M$23,9)="Y"))+((Y2116="")*(INDEX(Setup!$M$6:$M$23,9)="Y")))</f>
        <v/>
      </c>
      <c r="AC2116" s="90">
        <f>IF($B2116="","",IF(AB2116=0,"✓ covered","⚠ "&amp;AB2116&amp;IF(AB2116=1," gap"," gaps")))</f>
        <v/>
      </c>
    </row>
    <row r="2117" ht="17" customHeight="1">
      <c r="A2117" t="n">
        <v>43</v>
      </c>
      <c r="B2117" s="29">
        <f>IF(Setup!$K$15="","",Setup!$K$15)</f>
        <v/>
      </c>
      <c r="C2117" s="88" t="n"/>
      <c r="D2117" s="88" t="n"/>
      <c r="E2117" s="88" t="n"/>
      <c r="F2117" s="89" t="n"/>
      <c r="G2117" s="88" t="n"/>
      <c r="H2117" s="88" t="n"/>
      <c r="I2117" s="88" t="n"/>
      <c r="J2117" s="89" t="n"/>
      <c r="K2117" s="88" t="n"/>
      <c r="L2117" s="88" t="n"/>
      <c r="M2117" s="88" t="n"/>
      <c r="N2117" s="89" t="n"/>
      <c r="O2117" s="88" t="n"/>
      <c r="P2117" s="88" t="n"/>
      <c r="Q2117" s="88" t="n"/>
      <c r="R2117" s="89" t="n"/>
      <c r="S2117" s="88" t="n"/>
      <c r="T2117" s="88" t="n"/>
      <c r="U2117" s="88" t="n"/>
      <c r="V2117" s="89" t="n"/>
      <c r="W2117" s="88" t="n"/>
      <c r="X2117" s="89" t="n"/>
      <c r="Y2117" s="88" t="n"/>
      <c r="Z2117" s="89" t="n"/>
      <c r="AB2117" s="30">
        <f>IF($B2117="","",(COUNTIF(C2117:E2117,"?*")&lt;N(INDEX(Setup!$L$6:$L$23,10)))+(COUNTIF(G2117:I2117,"?*")&lt;N(INDEX(Setup!$L$6:$L$23,10)))+(COUNTIF(K2117:M2117,"?*")&lt;N(INDEX(Setup!$L$6:$L$23,10)))+(COUNTIF(O2117:Q2117,"?*")&lt;N(INDEX(Setup!$L$6:$L$23,10)))+(COUNTIF(S2117:U2117,"?*")&lt;N(INDEX(Setup!$L$6:$L$23,10)))+((W2117="")*(INDEX(Setup!$M$6:$M$23,10)="Y"))+((Y2117="")*(INDEX(Setup!$M$6:$M$23,10)="Y")))</f>
        <v/>
      </c>
      <c r="AC2117" s="91">
        <f>IF($B2117="","",IF(AB2117=0,"✓ covered","⚠ "&amp;AB2117&amp;IF(AB2117=1," gap"," gaps")))</f>
        <v/>
      </c>
    </row>
    <row r="2118" ht="17" customHeight="1">
      <c r="A2118" t="n">
        <v>43</v>
      </c>
      <c r="B2118" s="24">
        <f>IF(Setup!$K$16="","",Setup!$K$16)</f>
        <v/>
      </c>
      <c r="C2118" s="88" t="n"/>
      <c r="D2118" s="88" t="n"/>
      <c r="E2118" s="88" t="n"/>
      <c r="F2118" s="89" t="n"/>
      <c r="G2118" s="88" t="n"/>
      <c r="H2118" s="88" t="n"/>
      <c r="I2118" s="88" t="n"/>
      <c r="J2118" s="89" t="n"/>
      <c r="K2118" s="88" t="n"/>
      <c r="L2118" s="88" t="n"/>
      <c r="M2118" s="88" t="n"/>
      <c r="N2118" s="89" t="n"/>
      <c r="O2118" s="88" t="n"/>
      <c r="P2118" s="88" t="n"/>
      <c r="Q2118" s="88" t="n"/>
      <c r="R2118" s="89" t="n"/>
      <c r="S2118" s="88" t="n"/>
      <c r="T2118" s="88" t="n"/>
      <c r="U2118" s="88" t="n"/>
      <c r="V2118" s="89" t="n"/>
      <c r="W2118" s="88" t="n"/>
      <c r="X2118" s="89" t="n"/>
      <c r="Y2118" s="88" t="n"/>
      <c r="Z2118" s="89" t="n"/>
      <c r="AB2118" s="25">
        <f>IF($B2118="","",(COUNTIF(C2118:E2118,"?*")&lt;N(INDEX(Setup!$L$6:$L$23,11)))+(COUNTIF(G2118:I2118,"?*")&lt;N(INDEX(Setup!$L$6:$L$23,11)))+(COUNTIF(K2118:M2118,"?*")&lt;N(INDEX(Setup!$L$6:$L$23,11)))+(COUNTIF(O2118:Q2118,"?*")&lt;N(INDEX(Setup!$L$6:$L$23,11)))+(COUNTIF(S2118:U2118,"?*")&lt;N(INDEX(Setup!$L$6:$L$23,11)))+((W2118="")*(INDEX(Setup!$M$6:$M$23,11)="Y"))+((Y2118="")*(INDEX(Setup!$M$6:$M$23,11)="Y")))</f>
        <v/>
      </c>
      <c r="AC2118" s="90">
        <f>IF($B2118="","",IF(AB2118=0,"✓ covered","⚠ "&amp;AB2118&amp;IF(AB2118=1," gap"," gaps")))</f>
        <v/>
      </c>
    </row>
    <row r="2119" ht="17" customHeight="1">
      <c r="A2119" t="n">
        <v>43</v>
      </c>
      <c r="B2119" s="29">
        <f>IF(Setup!$K$17="","",Setup!$K$17)</f>
        <v/>
      </c>
      <c r="C2119" s="88" t="n"/>
      <c r="D2119" s="88" t="n"/>
      <c r="E2119" s="88" t="n"/>
      <c r="F2119" s="89" t="n"/>
      <c r="G2119" s="88" t="n"/>
      <c r="H2119" s="88" t="n"/>
      <c r="I2119" s="88" t="n"/>
      <c r="J2119" s="89" t="n"/>
      <c r="K2119" s="88" t="n"/>
      <c r="L2119" s="88" t="n"/>
      <c r="M2119" s="88" t="n"/>
      <c r="N2119" s="89" t="n"/>
      <c r="O2119" s="88" t="n"/>
      <c r="P2119" s="88" t="n"/>
      <c r="Q2119" s="88" t="n"/>
      <c r="R2119" s="89" t="n"/>
      <c r="S2119" s="88" t="n"/>
      <c r="T2119" s="88" t="n"/>
      <c r="U2119" s="88" t="n"/>
      <c r="V2119" s="89" t="n"/>
      <c r="W2119" s="88" t="n"/>
      <c r="X2119" s="89" t="n"/>
      <c r="Y2119" s="88" t="n"/>
      <c r="Z2119" s="89" t="n"/>
      <c r="AB2119" s="30">
        <f>IF($B2119="","",(COUNTIF(C2119:E2119,"?*")&lt;N(INDEX(Setup!$L$6:$L$23,12)))+(COUNTIF(G2119:I2119,"?*")&lt;N(INDEX(Setup!$L$6:$L$23,12)))+(COUNTIF(K2119:M2119,"?*")&lt;N(INDEX(Setup!$L$6:$L$23,12)))+(COUNTIF(O2119:Q2119,"?*")&lt;N(INDEX(Setup!$L$6:$L$23,12)))+(COUNTIF(S2119:U2119,"?*")&lt;N(INDEX(Setup!$L$6:$L$23,12)))+((W2119="")*(INDEX(Setup!$M$6:$M$23,12)="Y"))+((Y2119="")*(INDEX(Setup!$M$6:$M$23,12)="Y")))</f>
        <v/>
      </c>
      <c r="AC2119" s="91">
        <f>IF($B2119="","",IF(AB2119=0,"✓ covered","⚠ "&amp;AB2119&amp;IF(AB2119=1," gap"," gaps")))</f>
        <v/>
      </c>
    </row>
    <row r="2120" ht="17" customHeight="1">
      <c r="A2120" t="n">
        <v>43</v>
      </c>
      <c r="B2120" s="24">
        <f>IF(Setup!$K$18="","",Setup!$K$18)</f>
        <v/>
      </c>
      <c r="C2120" s="88" t="n"/>
      <c r="D2120" s="88" t="n"/>
      <c r="E2120" s="88" t="n"/>
      <c r="F2120" s="89" t="n"/>
      <c r="G2120" s="88" t="n"/>
      <c r="H2120" s="88" t="n"/>
      <c r="I2120" s="88" t="n"/>
      <c r="J2120" s="89" t="n"/>
      <c r="K2120" s="88" t="n"/>
      <c r="L2120" s="88" t="n"/>
      <c r="M2120" s="88" t="n"/>
      <c r="N2120" s="89" t="n"/>
      <c r="O2120" s="88" t="n"/>
      <c r="P2120" s="88" t="n"/>
      <c r="Q2120" s="88" t="n"/>
      <c r="R2120" s="89" t="n"/>
      <c r="S2120" s="88" t="n"/>
      <c r="T2120" s="88" t="n"/>
      <c r="U2120" s="88" t="n"/>
      <c r="V2120" s="89" t="n"/>
      <c r="W2120" s="88" t="n"/>
      <c r="X2120" s="89" t="n"/>
      <c r="Y2120" s="88" t="n"/>
      <c r="Z2120" s="89" t="n"/>
      <c r="AB2120" s="25">
        <f>IF($B2120="","",(COUNTIF(C2120:E2120,"?*")&lt;N(INDEX(Setup!$L$6:$L$23,13)))+(COUNTIF(G2120:I2120,"?*")&lt;N(INDEX(Setup!$L$6:$L$23,13)))+(COUNTIF(K2120:M2120,"?*")&lt;N(INDEX(Setup!$L$6:$L$23,13)))+(COUNTIF(O2120:Q2120,"?*")&lt;N(INDEX(Setup!$L$6:$L$23,13)))+(COUNTIF(S2120:U2120,"?*")&lt;N(INDEX(Setup!$L$6:$L$23,13)))+((W2120="")*(INDEX(Setup!$M$6:$M$23,13)="Y"))+((Y2120="")*(INDEX(Setup!$M$6:$M$23,13)="Y")))</f>
        <v/>
      </c>
      <c r="AC2120" s="90">
        <f>IF($B2120="","",IF(AB2120=0,"✓ covered","⚠ "&amp;AB2120&amp;IF(AB2120=1," gap"," gaps")))</f>
        <v/>
      </c>
    </row>
    <row r="2121" ht="17" customHeight="1">
      <c r="A2121" t="n">
        <v>43</v>
      </c>
      <c r="B2121" s="29">
        <f>IF(Setup!$K$19="","",Setup!$K$19)</f>
        <v/>
      </c>
      <c r="C2121" s="88" t="n"/>
      <c r="D2121" s="88" t="n"/>
      <c r="E2121" s="88" t="n"/>
      <c r="F2121" s="89" t="n"/>
      <c r="G2121" s="88" t="n"/>
      <c r="H2121" s="88" t="n"/>
      <c r="I2121" s="88" t="n"/>
      <c r="J2121" s="89" t="n"/>
      <c r="K2121" s="88" t="n"/>
      <c r="L2121" s="88" t="n"/>
      <c r="M2121" s="88" t="n"/>
      <c r="N2121" s="89" t="n"/>
      <c r="O2121" s="88" t="n"/>
      <c r="P2121" s="88" t="n"/>
      <c r="Q2121" s="88" t="n"/>
      <c r="R2121" s="89" t="n"/>
      <c r="S2121" s="88" t="n"/>
      <c r="T2121" s="88" t="n"/>
      <c r="U2121" s="88" t="n"/>
      <c r="V2121" s="89" t="n"/>
      <c r="W2121" s="88" t="n"/>
      <c r="X2121" s="89" t="n"/>
      <c r="Y2121" s="88" t="n"/>
      <c r="Z2121" s="89" t="n"/>
      <c r="AB2121" s="30">
        <f>IF($B2121="","",(COUNTIF(C2121:E2121,"?*")&lt;N(INDEX(Setup!$L$6:$L$23,14)))+(COUNTIF(G2121:I2121,"?*")&lt;N(INDEX(Setup!$L$6:$L$23,14)))+(COUNTIF(K2121:M2121,"?*")&lt;N(INDEX(Setup!$L$6:$L$23,14)))+(COUNTIF(O2121:Q2121,"?*")&lt;N(INDEX(Setup!$L$6:$L$23,14)))+(COUNTIF(S2121:U2121,"?*")&lt;N(INDEX(Setup!$L$6:$L$23,14)))+((W2121="")*(INDEX(Setup!$M$6:$M$23,14)="Y"))+((Y2121="")*(INDEX(Setup!$M$6:$M$23,14)="Y")))</f>
        <v/>
      </c>
      <c r="AC2121" s="91">
        <f>IF($B2121="","",IF(AB2121=0,"✓ covered","⚠ "&amp;AB2121&amp;IF(AB2121=1," gap"," gaps")))</f>
        <v/>
      </c>
    </row>
    <row r="2122" ht="17" customHeight="1">
      <c r="A2122" t="n">
        <v>43</v>
      </c>
      <c r="B2122" s="24">
        <f>IF(Setup!$K$20="","",Setup!$K$20)</f>
        <v/>
      </c>
      <c r="C2122" s="88" t="n"/>
      <c r="D2122" s="88" t="n"/>
      <c r="E2122" s="88" t="n"/>
      <c r="F2122" s="89" t="n"/>
      <c r="G2122" s="88" t="n"/>
      <c r="H2122" s="88" t="n"/>
      <c r="I2122" s="88" t="n"/>
      <c r="J2122" s="89" t="n"/>
      <c r="K2122" s="88" t="n"/>
      <c r="L2122" s="88" t="n"/>
      <c r="M2122" s="88" t="n"/>
      <c r="N2122" s="89" t="n"/>
      <c r="O2122" s="88" t="n"/>
      <c r="P2122" s="88" t="n"/>
      <c r="Q2122" s="88" t="n"/>
      <c r="R2122" s="89" t="n"/>
      <c r="S2122" s="88" t="n"/>
      <c r="T2122" s="88" t="n"/>
      <c r="U2122" s="88" t="n"/>
      <c r="V2122" s="89" t="n"/>
      <c r="W2122" s="88" t="n"/>
      <c r="X2122" s="89" t="n"/>
      <c r="Y2122" s="88" t="n"/>
      <c r="Z2122" s="89" t="n"/>
      <c r="AB2122" s="25">
        <f>IF($B2122="","",(COUNTIF(C2122:E2122,"?*")&lt;N(INDEX(Setup!$L$6:$L$23,15)))+(COUNTIF(G2122:I2122,"?*")&lt;N(INDEX(Setup!$L$6:$L$23,15)))+(COUNTIF(K2122:M2122,"?*")&lt;N(INDEX(Setup!$L$6:$L$23,15)))+(COUNTIF(O2122:Q2122,"?*")&lt;N(INDEX(Setup!$L$6:$L$23,15)))+(COUNTIF(S2122:U2122,"?*")&lt;N(INDEX(Setup!$L$6:$L$23,15)))+((W2122="")*(INDEX(Setup!$M$6:$M$23,15)="Y"))+((Y2122="")*(INDEX(Setup!$M$6:$M$23,15)="Y")))</f>
        <v/>
      </c>
      <c r="AC2122" s="90">
        <f>IF($B2122="","",IF(AB2122=0,"✓ covered","⚠ "&amp;AB2122&amp;IF(AB2122=1," gap"," gaps")))</f>
        <v/>
      </c>
    </row>
    <row r="2123" ht="17" customHeight="1">
      <c r="A2123" t="n">
        <v>43</v>
      </c>
      <c r="B2123" s="29">
        <f>IF(Setup!$K$21="","",Setup!$K$21)</f>
        <v/>
      </c>
      <c r="C2123" s="88" t="n"/>
      <c r="D2123" s="88" t="n"/>
      <c r="E2123" s="88" t="n"/>
      <c r="F2123" s="89" t="n"/>
      <c r="G2123" s="88" t="n"/>
      <c r="H2123" s="88" t="n"/>
      <c r="I2123" s="88" t="n"/>
      <c r="J2123" s="89" t="n"/>
      <c r="K2123" s="88" t="n"/>
      <c r="L2123" s="88" t="n"/>
      <c r="M2123" s="88" t="n"/>
      <c r="N2123" s="89" t="n"/>
      <c r="O2123" s="88" t="n"/>
      <c r="P2123" s="88" t="n"/>
      <c r="Q2123" s="88" t="n"/>
      <c r="R2123" s="89" t="n"/>
      <c r="S2123" s="88" t="n"/>
      <c r="T2123" s="88" t="n"/>
      <c r="U2123" s="88" t="n"/>
      <c r="V2123" s="89" t="n"/>
      <c r="W2123" s="88" t="n"/>
      <c r="X2123" s="89" t="n"/>
      <c r="Y2123" s="88" t="n"/>
      <c r="Z2123" s="89" t="n"/>
      <c r="AB2123" s="30">
        <f>IF($B2123="","",(COUNTIF(C2123:E2123,"?*")&lt;N(INDEX(Setup!$L$6:$L$23,16)))+(COUNTIF(G2123:I2123,"?*")&lt;N(INDEX(Setup!$L$6:$L$23,16)))+(COUNTIF(K2123:M2123,"?*")&lt;N(INDEX(Setup!$L$6:$L$23,16)))+(COUNTIF(O2123:Q2123,"?*")&lt;N(INDEX(Setup!$L$6:$L$23,16)))+(COUNTIF(S2123:U2123,"?*")&lt;N(INDEX(Setup!$L$6:$L$23,16)))+((W2123="")*(INDEX(Setup!$M$6:$M$23,16)="Y"))+((Y2123="")*(INDEX(Setup!$M$6:$M$23,16)="Y")))</f>
        <v/>
      </c>
      <c r="AC2123" s="91">
        <f>IF($B2123="","",IF(AB2123=0,"✓ covered","⚠ "&amp;AB2123&amp;IF(AB2123=1," gap"," gaps")))</f>
        <v/>
      </c>
    </row>
    <row r="2124" ht="17" customHeight="1">
      <c r="A2124" t="n">
        <v>43</v>
      </c>
      <c r="B2124" s="24">
        <f>IF(Setup!$K$22="","",Setup!$K$22)</f>
        <v/>
      </c>
      <c r="C2124" s="88" t="n"/>
      <c r="D2124" s="88" t="n"/>
      <c r="E2124" s="88" t="n"/>
      <c r="F2124" s="89" t="n"/>
      <c r="G2124" s="88" t="n"/>
      <c r="H2124" s="88" t="n"/>
      <c r="I2124" s="88" t="n"/>
      <c r="J2124" s="89" t="n"/>
      <c r="K2124" s="88" t="n"/>
      <c r="L2124" s="88" t="n"/>
      <c r="M2124" s="88" t="n"/>
      <c r="N2124" s="89" t="n"/>
      <c r="O2124" s="88" t="n"/>
      <c r="P2124" s="88" t="n"/>
      <c r="Q2124" s="88" t="n"/>
      <c r="R2124" s="89" t="n"/>
      <c r="S2124" s="88" t="n"/>
      <c r="T2124" s="88" t="n"/>
      <c r="U2124" s="88" t="n"/>
      <c r="V2124" s="89" t="n"/>
      <c r="W2124" s="88" t="n"/>
      <c r="X2124" s="89" t="n"/>
      <c r="Y2124" s="88" t="n"/>
      <c r="Z2124" s="89" t="n"/>
      <c r="AB2124" s="25">
        <f>IF($B2124="","",(COUNTIF(C2124:E2124,"?*")&lt;N(INDEX(Setup!$L$6:$L$23,17)))+(COUNTIF(G2124:I2124,"?*")&lt;N(INDEX(Setup!$L$6:$L$23,17)))+(COUNTIF(K2124:M2124,"?*")&lt;N(INDEX(Setup!$L$6:$L$23,17)))+(COUNTIF(O2124:Q2124,"?*")&lt;N(INDEX(Setup!$L$6:$L$23,17)))+(COUNTIF(S2124:U2124,"?*")&lt;N(INDEX(Setup!$L$6:$L$23,17)))+((W2124="")*(INDEX(Setup!$M$6:$M$23,17)="Y"))+((Y2124="")*(INDEX(Setup!$M$6:$M$23,17)="Y")))</f>
        <v/>
      </c>
      <c r="AC2124" s="90">
        <f>IF($B2124="","",IF(AB2124=0,"✓ covered","⚠ "&amp;AB2124&amp;IF(AB2124=1," gap"," gaps")))</f>
        <v/>
      </c>
    </row>
    <row r="2125" ht="17" customHeight="1">
      <c r="A2125" t="n">
        <v>43</v>
      </c>
      <c r="B2125" s="29">
        <f>IF(Setup!$K$23="","",Setup!$K$23)</f>
        <v/>
      </c>
      <c r="C2125" s="88" t="n"/>
      <c r="D2125" s="88" t="n"/>
      <c r="E2125" s="88" t="n"/>
      <c r="F2125" s="89" t="n"/>
      <c r="G2125" s="88" t="n"/>
      <c r="H2125" s="88" t="n"/>
      <c r="I2125" s="88" t="n"/>
      <c r="J2125" s="89" t="n"/>
      <c r="K2125" s="88" t="n"/>
      <c r="L2125" s="88" t="n"/>
      <c r="M2125" s="88" t="n"/>
      <c r="N2125" s="89" t="n"/>
      <c r="O2125" s="88" t="n"/>
      <c r="P2125" s="88" t="n"/>
      <c r="Q2125" s="88" t="n"/>
      <c r="R2125" s="89" t="n"/>
      <c r="S2125" s="88" t="n"/>
      <c r="T2125" s="88" t="n"/>
      <c r="U2125" s="88" t="n"/>
      <c r="V2125" s="89" t="n"/>
      <c r="W2125" s="88" t="n"/>
      <c r="X2125" s="89" t="n"/>
      <c r="Y2125" s="88" t="n"/>
      <c r="Z2125" s="89" t="n"/>
      <c r="AB2125" s="30">
        <f>IF($B2125="","",(COUNTIF(C2125:E2125,"?*")&lt;N(INDEX(Setup!$L$6:$L$23,18)))+(COUNTIF(G2125:I2125,"?*")&lt;N(INDEX(Setup!$L$6:$L$23,18)))+(COUNTIF(K2125:M2125,"?*")&lt;N(INDEX(Setup!$L$6:$L$23,18)))+(COUNTIF(O2125:Q2125,"?*")&lt;N(INDEX(Setup!$L$6:$L$23,18)))+(COUNTIF(S2125:U2125,"?*")&lt;N(INDEX(Setup!$L$6:$L$23,18)))+((W2125="")*(INDEX(Setup!$M$6:$M$23,18)="Y"))+((Y2125="")*(INDEX(Setup!$M$6:$M$23,18)="Y")))</f>
        <v/>
      </c>
      <c r="AC2125" s="91">
        <f>IF($B2125="","",IF(AB2125=0,"✓ covered","⚠ "&amp;AB2125&amp;IF(AB2125=1," gap"," gaps")))</f>
        <v/>
      </c>
    </row>
    <row r="2126" ht="18" customHeight="1">
      <c r="A2126" t="n">
        <v>43</v>
      </c>
      <c r="B2126" s="78" t="inlineStr">
        <is>
          <t>TEAM AVAILABILITY</t>
        </is>
      </c>
      <c r="C2126" s="92" t="inlineStr">
        <is>
          <t>Mon</t>
        </is>
      </c>
      <c r="D2126" s="93" t="n"/>
      <c r="E2126" s="93" t="n"/>
      <c r="F2126" s="94" t="n"/>
      <c r="G2126" s="92" t="inlineStr">
        <is>
          <t>Tue</t>
        </is>
      </c>
      <c r="H2126" s="93" t="n"/>
      <c r="I2126" s="93" t="n"/>
      <c r="J2126" s="94" t="n"/>
      <c r="K2126" s="92" t="inlineStr">
        <is>
          <t>Wed</t>
        </is>
      </c>
      <c r="L2126" s="93" t="n"/>
      <c r="M2126" s="93" t="n"/>
      <c r="N2126" s="94" t="n"/>
      <c r="O2126" s="92" t="inlineStr">
        <is>
          <t>Thu</t>
        </is>
      </c>
      <c r="P2126" s="93" t="n"/>
      <c r="Q2126" s="93" t="n"/>
      <c r="R2126" s="94" t="n"/>
      <c r="S2126" s="92" t="inlineStr">
        <is>
          <t>Fri</t>
        </is>
      </c>
      <c r="T2126" s="93" t="n"/>
      <c r="U2126" s="93" t="n"/>
      <c r="V2126" s="94" t="n"/>
      <c r="W2126" s="95" t="inlineStr">
        <is>
          <t>Sat</t>
        </is>
      </c>
      <c r="X2126" s="96" t="n"/>
      <c r="Y2126" s="95" t="inlineStr">
        <is>
          <t>Sun</t>
        </is>
      </c>
      <c r="Z2126" s="96" t="n"/>
      <c r="AB2126" s="97" t="inlineStr">
        <is>
          <t>Days rostered</t>
        </is>
      </c>
      <c r="AC2126" s="97" t="inlineStr">
        <is>
          <t>Conflicts</t>
        </is>
      </c>
    </row>
    <row r="2127" ht="15" customHeight="1">
      <c r="A2127" t="n">
        <v>43</v>
      </c>
      <c r="B2127" s="35">
        <f>IF(Setup!$B$6="","",Setup!$B$6)</f>
        <v/>
      </c>
      <c r="C2127" s="98" t="n"/>
      <c r="D2127" s="99" t="n"/>
      <c r="E2127" s="99" t="n"/>
      <c r="F2127" s="100" t="n"/>
      <c r="G2127" s="98" t="n"/>
      <c r="H2127" s="99" t="n"/>
      <c r="I2127" s="99" t="n"/>
      <c r="J2127" s="100" t="n"/>
      <c r="K2127" s="98" t="n"/>
      <c r="L2127" s="99" t="n"/>
      <c r="M2127" s="99" t="n"/>
      <c r="N2127" s="100" t="n"/>
      <c r="O2127" s="98" t="n"/>
      <c r="P2127" s="99" t="n"/>
      <c r="Q2127" s="99" t="n"/>
      <c r="R2127" s="100" t="n"/>
      <c r="S2127" s="98" t="n"/>
      <c r="T2127" s="99" t="n"/>
      <c r="U2127" s="99" t="n"/>
      <c r="V2127" s="100" t="n"/>
      <c r="W2127" s="98" t="n"/>
      <c r="X2127" s="100" t="n"/>
      <c r="Y2127" s="98" t="n"/>
      <c r="Z2127" s="100" t="n"/>
      <c r="AB2127" s="101">
        <f>IF($B2127="","",(COUNTIF(C2108:E2125,$B2127)+COUNTIF(C2108:E2125,$B2127&amp;" ~*")&gt;0)+(COUNTIF(G2108:I2125,$B2127)+COUNTIF(G2108:I2125,$B2127&amp;" ~*")&gt;0)+(COUNTIF(K2108:M2125,$B2127)+COUNTIF(K2108:M2125,$B2127&amp;" ~*")&gt;0)+(COUNTIF(O2108:Q2125,$B2127)+COUNTIF(O2108:Q2125,$B2127&amp;" ~*")&gt;0)+(COUNTIF(S2108:U2125,$B2127)+COUNTIF(S2108:U2125,$B2127&amp;" ~*")&gt;0)+(COUNTIF(W2108:W2125,$B2127)+COUNTIF(W2108:W2125,$B2127&amp;" ~*")&gt;0)+(COUNTIF(Y2108:Y2125,$B2127)+COUNTIF(Y2108:Y2125,$B2127&amp;" ~*")&gt;0))</f>
        <v/>
      </c>
      <c r="AC2127" s="36">
        <f>IF($B2127="","",(IFERROR(INDEX(Setup!$G$33:$G$40,MATCH(C2127,Setup!$B$33:$B$40,0)),0)=1)*(COUNTIF(C2108:E2125,$B2127)+COUNTIF(C2108:E2125,$B2127&amp;" ~*")&gt;0)+(IFERROR(INDEX(Setup!$G$33:$G$40,MATCH(G2127,Setup!$B$33:$B$40,0)),0)=1)*(COUNTIF(G2108:I2125,$B2127)+COUNTIF(G2108:I2125,$B2127&amp;" ~*")&gt;0)+(IFERROR(INDEX(Setup!$G$33:$G$40,MATCH(K2127,Setup!$B$33:$B$40,0)),0)=1)*(COUNTIF(K2108:M2125,$B2127)+COUNTIF(K2108:M2125,$B2127&amp;" ~*")&gt;0)+(IFERROR(INDEX(Setup!$G$33:$G$40,MATCH(O2127,Setup!$B$33:$B$40,0)),0)=1)*(COUNTIF(O2108:Q2125,$B2127)+COUNTIF(O2108:Q2125,$B2127&amp;" ~*")&gt;0)+(IFERROR(INDEX(Setup!$G$33:$G$40,MATCH(S2127,Setup!$B$33:$B$40,0)),0)=1)*(COUNTIF(S2108:U2125,$B2127)+COUNTIF(S2108:U2125,$B2127&amp;" ~*")&gt;0)+(IFERROR(INDEX(Setup!$G$33:$G$40,MATCH(W2127,Setup!$B$33:$B$40,0)),0)=1)*(COUNTIF(W2108:W2125,$B2127)+COUNTIF(W2108:W2125,$B2127&amp;" ~*")&gt;0)+(IFERROR(INDEX(Setup!$G$33:$G$40,MATCH(Y2127,Setup!$B$33:$B$40,0)),0)=1)*(COUNTIF(Y2108:Y2125,$B2127)+COUNTIF(Y2108:Y2125,$B2127&amp;" ~*")&gt;0))</f>
        <v/>
      </c>
    </row>
    <row r="2128" ht="15" customHeight="1">
      <c r="A2128" t="n">
        <v>43</v>
      </c>
      <c r="B2128" s="37">
        <f>IF(Setup!$B$7="","",Setup!$B$7)</f>
        <v/>
      </c>
      <c r="C2128" s="102" t="n"/>
      <c r="D2128" s="103" t="n"/>
      <c r="E2128" s="103" t="n"/>
      <c r="F2128" s="104" t="n"/>
      <c r="G2128" s="102" t="n"/>
      <c r="H2128" s="103" t="n"/>
      <c r="I2128" s="103" t="n"/>
      <c r="J2128" s="104" t="n"/>
      <c r="K2128" s="102" t="n"/>
      <c r="L2128" s="103" t="n"/>
      <c r="M2128" s="103" t="n"/>
      <c r="N2128" s="104" t="n"/>
      <c r="O2128" s="102" t="n"/>
      <c r="P2128" s="103" t="n"/>
      <c r="Q2128" s="103" t="n"/>
      <c r="R2128" s="104" t="n"/>
      <c r="S2128" s="102" t="n"/>
      <c r="T2128" s="103" t="n"/>
      <c r="U2128" s="103" t="n"/>
      <c r="V2128" s="104" t="n"/>
      <c r="W2128" s="102" t="n"/>
      <c r="X2128" s="104" t="n"/>
      <c r="Y2128" s="102" t="n"/>
      <c r="Z2128" s="104" t="n"/>
      <c r="AB2128" s="105">
        <f>IF($B2128="","",(COUNTIF(C2108:E2125,$B2128)+COUNTIF(C2108:E2125,$B2128&amp;" ~*")&gt;0)+(COUNTIF(G2108:I2125,$B2128)+COUNTIF(G2108:I2125,$B2128&amp;" ~*")&gt;0)+(COUNTIF(K2108:M2125,$B2128)+COUNTIF(K2108:M2125,$B2128&amp;" ~*")&gt;0)+(COUNTIF(O2108:Q2125,$B2128)+COUNTIF(O2108:Q2125,$B2128&amp;" ~*")&gt;0)+(COUNTIF(S2108:U2125,$B2128)+COUNTIF(S2108:U2125,$B2128&amp;" ~*")&gt;0)+(COUNTIF(W2108:W2125,$B2128)+COUNTIF(W2108:W2125,$B2128&amp;" ~*")&gt;0)+(COUNTIF(Y2108:Y2125,$B2128)+COUNTIF(Y2108:Y2125,$B2128&amp;" ~*")&gt;0))</f>
        <v/>
      </c>
      <c r="AC2128" s="38">
        <f>IF($B2128="","",(IFERROR(INDEX(Setup!$G$33:$G$40,MATCH(C2128,Setup!$B$33:$B$40,0)),0)=1)*(COUNTIF(C2108:E2125,$B2128)+COUNTIF(C2108:E2125,$B2128&amp;" ~*")&gt;0)+(IFERROR(INDEX(Setup!$G$33:$G$40,MATCH(G2128,Setup!$B$33:$B$40,0)),0)=1)*(COUNTIF(G2108:I2125,$B2128)+COUNTIF(G2108:I2125,$B2128&amp;" ~*")&gt;0)+(IFERROR(INDEX(Setup!$G$33:$G$40,MATCH(K2128,Setup!$B$33:$B$40,0)),0)=1)*(COUNTIF(K2108:M2125,$B2128)+COUNTIF(K2108:M2125,$B2128&amp;" ~*")&gt;0)+(IFERROR(INDEX(Setup!$G$33:$G$40,MATCH(O2128,Setup!$B$33:$B$40,0)),0)=1)*(COUNTIF(O2108:Q2125,$B2128)+COUNTIF(O2108:Q2125,$B2128&amp;" ~*")&gt;0)+(IFERROR(INDEX(Setup!$G$33:$G$40,MATCH(S2128,Setup!$B$33:$B$40,0)),0)=1)*(COUNTIF(S2108:U2125,$B2128)+COUNTIF(S2108:U2125,$B2128&amp;" ~*")&gt;0)+(IFERROR(INDEX(Setup!$G$33:$G$40,MATCH(W2128,Setup!$B$33:$B$40,0)),0)=1)*(COUNTIF(W2108:W2125,$B2128)+COUNTIF(W2108:W2125,$B2128&amp;" ~*")&gt;0)+(IFERROR(INDEX(Setup!$G$33:$G$40,MATCH(Y2128,Setup!$B$33:$B$40,0)),0)=1)*(COUNTIF(Y2108:Y2125,$B2128)+COUNTIF(Y2108:Y2125,$B2128&amp;" ~*")&gt;0))</f>
        <v/>
      </c>
    </row>
    <row r="2129" ht="15" customHeight="1">
      <c r="A2129" t="n">
        <v>43</v>
      </c>
      <c r="B2129" s="35">
        <f>IF(Setup!$B$8="","",Setup!$B$8)</f>
        <v/>
      </c>
      <c r="C2129" s="98" t="n"/>
      <c r="D2129" s="99" t="n"/>
      <c r="E2129" s="99" t="n"/>
      <c r="F2129" s="100" t="n"/>
      <c r="G2129" s="98" t="n"/>
      <c r="H2129" s="99" t="n"/>
      <c r="I2129" s="99" t="n"/>
      <c r="J2129" s="100" t="n"/>
      <c r="K2129" s="98" t="n"/>
      <c r="L2129" s="99" t="n"/>
      <c r="M2129" s="99" t="n"/>
      <c r="N2129" s="100" t="n"/>
      <c r="O2129" s="98" t="n"/>
      <c r="P2129" s="99" t="n"/>
      <c r="Q2129" s="99" t="n"/>
      <c r="R2129" s="100" t="n"/>
      <c r="S2129" s="98" t="n"/>
      <c r="T2129" s="99" t="n"/>
      <c r="U2129" s="99" t="n"/>
      <c r="V2129" s="100" t="n"/>
      <c r="W2129" s="98" t="n"/>
      <c r="X2129" s="100" t="n"/>
      <c r="Y2129" s="98" t="n"/>
      <c r="Z2129" s="100" t="n"/>
      <c r="AB2129" s="101">
        <f>IF($B2129="","",(COUNTIF(C2108:E2125,$B2129)+COUNTIF(C2108:E2125,$B2129&amp;" ~*")&gt;0)+(COUNTIF(G2108:I2125,$B2129)+COUNTIF(G2108:I2125,$B2129&amp;" ~*")&gt;0)+(COUNTIF(K2108:M2125,$B2129)+COUNTIF(K2108:M2125,$B2129&amp;" ~*")&gt;0)+(COUNTIF(O2108:Q2125,$B2129)+COUNTIF(O2108:Q2125,$B2129&amp;" ~*")&gt;0)+(COUNTIF(S2108:U2125,$B2129)+COUNTIF(S2108:U2125,$B2129&amp;" ~*")&gt;0)+(COUNTIF(W2108:W2125,$B2129)+COUNTIF(W2108:W2125,$B2129&amp;" ~*")&gt;0)+(COUNTIF(Y2108:Y2125,$B2129)+COUNTIF(Y2108:Y2125,$B2129&amp;" ~*")&gt;0))</f>
        <v/>
      </c>
      <c r="AC2129" s="36">
        <f>IF($B2129="","",(IFERROR(INDEX(Setup!$G$33:$G$40,MATCH(C2129,Setup!$B$33:$B$40,0)),0)=1)*(COUNTIF(C2108:E2125,$B2129)+COUNTIF(C2108:E2125,$B2129&amp;" ~*")&gt;0)+(IFERROR(INDEX(Setup!$G$33:$G$40,MATCH(G2129,Setup!$B$33:$B$40,0)),0)=1)*(COUNTIF(G2108:I2125,$B2129)+COUNTIF(G2108:I2125,$B2129&amp;" ~*")&gt;0)+(IFERROR(INDEX(Setup!$G$33:$G$40,MATCH(K2129,Setup!$B$33:$B$40,0)),0)=1)*(COUNTIF(K2108:M2125,$B2129)+COUNTIF(K2108:M2125,$B2129&amp;" ~*")&gt;0)+(IFERROR(INDEX(Setup!$G$33:$G$40,MATCH(O2129,Setup!$B$33:$B$40,0)),0)=1)*(COUNTIF(O2108:Q2125,$B2129)+COUNTIF(O2108:Q2125,$B2129&amp;" ~*")&gt;0)+(IFERROR(INDEX(Setup!$G$33:$G$40,MATCH(S2129,Setup!$B$33:$B$40,0)),0)=1)*(COUNTIF(S2108:U2125,$B2129)+COUNTIF(S2108:U2125,$B2129&amp;" ~*")&gt;0)+(IFERROR(INDEX(Setup!$G$33:$G$40,MATCH(W2129,Setup!$B$33:$B$40,0)),0)=1)*(COUNTIF(W2108:W2125,$B2129)+COUNTIF(W2108:W2125,$B2129&amp;" ~*")&gt;0)+(IFERROR(INDEX(Setup!$G$33:$G$40,MATCH(Y2129,Setup!$B$33:$B$40,0)),0)=1)*(COUNTIF(Y2108:Y2125,$B2129)+COUNTIF(Y2108:Y2125,$B2129&amp;" ~*")&gt;0))</f>
        <v/>
      </c>
    </row>
    <row r="2130" ht="15" customHeight="1">
      <c r="A2130" t="n">
        <v>43</v>
      </c>
      <c r="B2130" s="37">
        <f>IF(Setup!$B$9="","",Setup!$B$9)</f>
        <v/>
      </c>
      <c r="C2130" s="102" t="n"/>
      <c r="D2130" s="103" t="n"/>
      <c r="E2130" s="103" t="n"/>
      <c r="F2130" s="104" t="n"/>
      <c r="G2130" s="102" t="n"/>
      <c r="H2130" s="103" t="n"/>
      <c r="I2130" s="103" t="n"/>
      <c r="J2130" s="104" t="n"/>
      <c r="K2130" s="102" t="n"/>
      <c r="L2130" s="103" t="n"/>
      <c r="M2130" s="103" t="n"/>
      <c r="N2130" s="104" t="n"/>
      <c r="O2130" s="102" t="n"/>
      <c r="P2130" s="103" t="n"/>
      <c r="Q2130" s="103" t="n"/>
      <c r="R2130" s="104" t="n"/>
      <c r="S2130" s="102" t="n"/>
      <c r="T2130" s="103" t="n"/>
      <c r="U2130" s="103" t="n"/>
      <c r="V2130" s="104" t="n"/>
      <c r="W2130" s="102" t="n"/>
      <c r="X2130" s="104" t="n"/>
      <c r="Y2130" s="102" t="n"/>
      <c r="Z2130" s="104" t="n"/>
      <c r="AB2130" s="105">
        <f>IF($B2130="","",(COUNTIF(C2108:E2125,$B2130)+COUNTIF(C2108:E2125,$B2130&amp;" ~*")&gt;0)+(COUNTIF(G2108:I2125,$B2130)+COUNTIF(G2108:I2125,$B2130&amp;" ~*")&gt;0)+(COUNTIF(K2108:M2125,$B2130)+COUNTIF(K2108:M2125,$B2130&amp;" ~*")&gt;0)+(COUNTIF(O2108:Q2125,$B2130)+COUNTIF(O2108:Q2125,$B2130&amp;" ~*")&gt;0)+(COUNTIF(S2108:U2125,$B2130)+COUNTIF(S2108:U2125,$B2130&amp;" ~*")&gt;0)+(COUNTIF(W2108:W2125,$B2130)+COUNTIF(W2108:W2125,$B2130&amp;" ~*")&gt;0)+(COUNTIF(Y2108:Y2125,$B2130)+COUNTIF(Y2108:Y2125,$B2130&amp;" ~*")&gt;0))</f>
        <v/>
      </c>
      <c r="AC2130" s="38">
        <f>IF($B2130="","",(IFERROR(INDEX(Setup!$G$33:$G$40,MATCH(C2130,Setup!$B$33:$B$40,0)),0)=1)*(COUNTIF(C2108:E2125,$B2130)+COUNTIF(C2108:E2125,$B2130&amp;" ~*")&gt;0)+(IFERROR(INDEX(Setup!$G$33:$G$40,MATCH(G2130,Setup!$B$33:$B$40,0)),0)=1)*(COUNTIF(G2108:I2125,$B2130)+COUNTIF(G2108:I2125,$B2130&amp;" ~*")&gt;0)+(IFERROR(INDEX(Setup!$G$33:$G$40,MATCH(K2130,Setup!$B$33:$B$40,0)),0)=1)*(COUNTIF(K2108:M2125,$B2130)+COUNTIF(K2108:M2125,$B2130&amp;" ~*")&gt;0)+(IFERROR(INDEX(Setup!$G$33:$G$40,MATCH(O2130,Setup!$B$33:$B$40,0)),0)=1)*(COUNTIF(O2108:Q2125,$B2130)+COUNTIF(O2108:Q2125,$B2130&amp;" ~*")&gt;0)+(IFERROR(INDEX(Setup!$G$33:$G$40,MATCH(S2130,Setup!$B$33:$B$40,0)),0)=1)*(COUNTIF(S2108:U2125,$B2130)+COUNTIF(S2108:U2125,$B2130&amp;" ~*")&gt;0)+(IFERROR(INDEX(Setup!$G$33:$G$40,MATCH(W2130,Setup!$B$33:$B$40,0)),0)=1)*(COUNTIF(W2108:W2125,$B2130)+COUNTIF(W2108:W2125,$B2130&amp;" ~*")&gt;0)+(IFERROR(INDEX(Setup!$G$33:$G$40,MATCH(Y2130,Setup!$B$33:$B$40,0)),0)=1)*(COUNTIF(Y2108:Y2125,$B2130)+COUNTIF(Y2108:Y2125,$B2130&amp;" ~*")&gt;0))</f>
        <v/>
      </c>
    </row>
    <row r="2131" ht="15" customHeight="1">
      <c r="A2131" t="n">
        <v>43</v>
      </c>
      <c r="B2131" s="35">
        <f>IF(Setup!$B$10="","",Setup!$B$10)</f>
        <v/>
      </c>
      <c r="C2131" s="98" t="n"/>
      <c r="D2131" s="99" t="n"/>
      <c r="E2131" s="99" t="n"/>
      <c r="F2131" s="100" t="n"/>
      <c r="G2131" s="98" t="n"/>
      <c r="H2131" s="99" t="n"/>
      <c r="I2131" s="99" t="n"/>
      <c r="J2131" s="100" t="n"/>
      <c r="K2131" s="98" t="n"/>
      <c r="L2131" s="99" t="n"/>
      <c r="M2131" s="99" t="n"/>
      <c r="N2131" s="100" t="n"/>
      <c r="O2131" s="98" t="n"/>
      <c r="P2131" s="99" t="n"/>
      <c r="Q2131" s="99" t="n"/>
      <c r="R2131" s="100" t="n"/>
      <c r="S2131" s="98" t="n"/>
      <c r="T2131" s="99" t="n"/>
      <c r="U2131" s="99" t="n"/>
      <c r="V2131" s="100" t="n"/>
      <c r="W2131" s="98" t="n"/>
      <c r="X2131" s="100" t="n"/>
      <c r="Y2131" s="98" t="n"/>
      <c r="Z2131" s="100" t="n"/>
      <c r="AB2131" s="101">
        <f>IF($B2131="","",(COUNTIF(C2108:E2125,$B2131)+COUNTIF(C2108:E2125,$B2131&amp;" ~*")&gt;0)+(COUNTIF(G2108:I2125,$B2131)+COUNTIF(G2108:I2125,$B2131&amp;" ~*")&gt;0)+(COUNTIF(K2108:M2125,$B2131)+COUNTIF(K2108:M2125,$B2131&amp;" ~*")&gt;0)+(COUNTIF(O2108:Q2125,$B2131)+COUNTIF(O2108:Q2125,$B2131&amp;" ~*")&gt;0)+(COUNTIF(S2108:U2125,$B2131)+COUNTIF(S2108:U2125,$B2131&amp;" ~*")&gt;0)+(COUNTIF(W2108:W2125,$B2131)+COUNTIF(W2108:W2125,$B2131&amp;" ~*")&gt;0)+(COUNTIF(Y2108:Y2125,$B2131)+COUNTIF(Y2108:Y2125,$B2131&amp;" ~*")&gt;0))</f>
        <v/>
      </c>
      <c r="AC2131" s="36">
        <f>IF($B2131="","",(IFERROR(INDEX(Setup!$G$33:$G$40,MATCH(C2131,Setup!$B$33:$B$40,0)),0)=1)*(COUNTIF(C2108:E2125,$B2131)+COUNTIF(C2108:E2125,$B2131&amp;" ~*")&gt;0)+(IFERROR(INDEX(Setup!$G$33:$G$40,MATCH(G2131,Setup!$B$33:$B$40,0)),0)=1)*(COUNTIF(G2108:I2125,$B2131)+COUNTIF(G2108:I2125,$B2131&amp;" ~*")&gt;0)+(IFERROR(INDEX(Setup!$G$33:$G$40,MATCH(K2131,Setup!$B$33:$B$40,0)),0)=1)*(COUNTIF(K2108:M2125,$B2131)+COUNTIF(K2108:M2125,$B2131&amp;" ~*")&gt;0)+(IFERROR(INDEX(Setup!$G$33:$G$40,MATCH(O2131,Setup!$B$33:$B$40,0)),0)=1)*(COUNTIF(O2108:Q2125,$B2131)+COUNTIF(O2108:Q2125,$B2131&amp;" ~*")&gt;0)+(IFERROR(INDEX(Setup!$G$33:$G$40,MATCH(S2131,Setup!$B$33:$B$40,0)),0)=1)*(COUNTIF(S2108:U2125,$B2131)+COUNTIF(S2108:U2125,$B2131&amp;" ~*")&gt;0)+(IFERROR(INDEX(Setup!$G$33:$G$40,MATCH(W2131,Setup!$B$33:$B$40,0)),0)=1)*(COUNTIF(W2108:W2125,$B2131)+COUNTIF(W2108:W2125,$B2131&amp;" ~*")&gt;0)+(IFERROR(INDEX(Setup!$G$33:$G$40,MATCH(Y2131,Setup!$B$33:$B$40,0)),0)=1)*(COUNTIF(Y2108:Y2125,$B2131)+COUNTIF(Y2108:Y2125,$B2131&amp;" ~*")&gt;0))</f>
        <v/>
      </c>
    </row>
    <row r="2132" ht="15" customHeight="1">
      <c r="A2132" t="n">
        <v>43</v>
      </c>
      <c r="B2132" s="37">
        <f>IF(Setup!$B$11="","",Setup!$B$11)</f>
        <v/>
      </c>
      <c r="C2132" s="102" t="n"/>
      <c r="D2132" s="103" t="n"/>
      <c r="E2132" s="103" t="n"/>
      <c r="F2132" s="104" t="n"/>
      <c r="G2132" s="102" t="n"/>
      <c r="H2132" s="103" t="n"/>
      <c r="I2132" s="103" t="n"/>
      <c r="J2132" s="104" t="n"/>
      <c r="K2132" s="102" t="n"/>
      <c r="L2132" s="103" t="n"/>
      <c r="M2132" s="103" t="n"/>
      <c r="N2132" s="104" t="n"/>
      <c r="O2132" s="102" t="n"/>
      <c r="P2132" s="103" t="n"/>
      <c r="Q2132" s="103" t="n"/>
      <c r="R2132" s="104" t="n"/>
      <c r="S2132" s="102" t="n"/>
      <c r="T2132" s="103" t="n"/>
      <c r="U2132" s="103" t="n"/>
      <c r="V2132" s="104" t="n"/>
      <c r="W2132" s="102" t="n"/>
      <c r="X2132" s="104" t="n"/>
      <c r="Y2132" s="102" t="n"/>
      <c r="Z2132" s="104" t="n"/>
      <c r="AB2132" s="105">
        <f>IF($B2132="","",(COUNTIF(C2108:E2125,$B2132)+COUNTIF(C2108:E2125,$B2132&amp;" ~*")&gt;0)+(COUNTIF(G2108:I2125,$B2132)+COUNTIF(G2108:I2125,$B2132&amp;" ~*")&gt;0)+(COUNTIF(K2108:M2125,$B2132)+COUNTIF(K2108:M2125,$B2132&amp;" ~*")&gt;0)+(COUNTIF(O2108:Q2125,$B2132)+COUNTIF(O2108:Q2125,$B2132&amp;" ~*")&gt;0)+(COUNTIF(S2108:U2125,$B2132)+COUNTIF(S2108:U2125,$B2132&amp;" ~*")&gt;0)+(COUNTIF(W2108:W2125,$B2132)+COUNTIF(W2108:W2125,$B2132&amp;" ~*")&gt;0)+(COUNTIF(Y2108:Y2125,$B2132)+COUNTIF(Y2108:Y2125,$B2132&amp;" ~*")&gt;0))</f>
        <v/>
      </c>
      <c r="AC2132" s="38">
        <f>IF($B2132="","",(IFERROR(INDEX(Setup!$G$33:$G$40,MATCH(C2132,Setup!$B$33:$B$40,0)),0)=1)*(COUNTIF(C2108:E2125,$B2132)+COUNTIF(C2108:E2125,$B2132&amp;" ~*")&gt;0)+(IFERROR(INDEX(Setup!$G$33:$G$40,MATCH(G2132,Setup!$B$33:$B$40,0)),0)=1)*(COUNTIF(G2108:I2125,$B2132)+COUNTIF(G2108:I2125,$B2132&amp;" ~*")&gt;0)+(IFERROR(INDEX(Setup!$G$33:$G$40,MATCH(K2132,Setup!$B$33:$B$40,0)),0)=1)*(COUNTIF(K2108:M2125,$B2132)+COUNTIF(K2108:M2125,$B2132&amp;" ~*")&gt;0)+(IFERROR(INDEX(Setup!$G$33:$G$40,MATCH(O2132,Setup!$B$33:$B$40,0)),0)=1)*(COUNTIF(O2108:Q2125,$B2132)+COUNTIF(O2108:Q2125,$B2132&amp;" ~*")&gt;0)+(IFERROR(INDEX(Setup!$G$33:$G$40,MATCH(S2132,Setup!$B$33:$B$40,0)),0)=1)*(COUNTIF(S2108:U2125,$B2132)+COUNTIF(S2108:U2125,$B2132&amp;" ~*")&gt;0)+(IFERROR(INDEX(Setup!$G$33:$G$40,MATCH(W2132,Setup!$B$33:$B$40,0)),0)=1)*(COUNTIF(W2108:W2125,$B2132)+COUNTIF(W2108:W2125,$B2132&amp;" ~*")&gt;0)+(IFERROR(INDEX(Setup!$G$33:$G$40,MATCH(Y2132,Setup!$B$33:$B$40,0)),0)=1)*(COUNTIF(Y2108:Y2125,$B2132)+COUNTIF(Y2108:Y2125,$B2132&amp;" ~*")&gt;0))</f>
        <v/>
      </c>
    </row>
    <row r="2133" ht="15" customHeight="1">
      <c r="A2133" t="n">
        <v>43</v>
      </c>
      <c r="B2133" s="35">
        <f>IF(Setup!$B$12="","",Setup!$B$12)</f>
        <v/>
      </c>
      <c r="C2133" s="98" t="inlineStr">
        <is>
          <t>AL</t>
        </is>
      </c>
      <c r="D2133" s="99" t="n"/>
      <c r="E2133" s="99" t="n"/>
      <c r="F2133" s="100" t="n"/>
      <c r="G2133" s="98" t="n"/>
      <c r="H2133" s="99" t="n"/>
      <c r="I2133" s="99" t="n"/>
      <c r="J2133" s="100" t="n"/>
      <c r="K2133" s="98" t="n"/>
      <c r="L2133" s="99" t="n"/>
      <c r="M2133" s="99" t="n"/>
      <c r="N2133" s="100" t="n"/>
      <c r="O2133" s="98" t="inlineStr">
        <is>
          <t>AL</t>
        </is>
      </c>
      <c r="P2133" s="99" t="n"/>
      <c r="Q2133" s="99" t="n"/>
      <c r="R2133" s="100" t="n"/>
      <c r="S2133" s="98" t="n"/>
      <c r="T2133" s="99" t="n"/>
      <c r="U2133" s="99" t="n"/>
      <c r="V2133" s="100" t="n"/>
      <c r="W2133" s="98" t="n"/>
      <c r="X2133" s="100" t="n"/>
      <c r="Y2133" s="98" t="n"/>
      <c r="Z2133" s="100" t="n"/>
      <c r="AB2133" s="101">
        <f>IF($B2133="","",(COUNTIF(C2108:E2125,$B2133)+COUNTIF(C2108:E2125,$B2133&amp;" ~*")&gt;0)+(COUNTIF(G2108:I2125,$B2133)+COUNTIF(G2108:I2125,$B2133&amp;" ~*")&gt;0)+(COUNTIF(K2108:M2125,$B2133)+COUNTIF(K2108:M2125,$B2133&amp;" ~*")&gt;0)+(COUNTIF(O2108:Q2125,$B2133)+COUNTIF(O2108:Q2125,$B2133&amp;" ~*")&gt;0)+(COUNTIF(S2108:U2125,$B2133)+COUNTIF(S2108:U2125,$B2133&amp;" ~*")&gt;0)+(COUNTIF(W2108:W2125,$B2133)+COUNTIF(W2108:W2125,$B2133&amp;" ~*")&gt;0)+(COUNTIF(Y2108:Y2125,$B2133)+COUNTIF(Y2108:Y2125,$B2133&amp;" ~*")&gt;0))</f>
        <v/>
      </c>
      <c r="AC2133" s="36">
        <f>IF($B2133="","",(IFERROR(INDEX(Setup!$G$33:$G$40,MATCH(C2133,Setup!$B$33:$B$40,0)),0)=1)*(COUNTIF(C2108:E2125,$B2133)+COUNTIF(C2108:E2125,$B2133&amp;" ~*")&gt;0)+(IFERROR(INDEX(Setup!$G$33:$G$40,MATCH(G2133,Setup!$B$33:$B$40,0)),0)=1)*(COUNTIF(G2108:I2125,$B2133)+COUNTIF(G2108:I2125,$B2133&amp;" ~*")&gt;0)+(IFERROR(INDEX(Setup!$G$33:$G$40,MATCH(K2133,Setup!$B$33:$B$40,0)),0)=1)*(COUNTIF(K2108:M2125,$B2133)+COUNTIF(K2108:M2125,$B2133&amp;" ~*")&gt;0)+(IFERROR(INDEX(Setup!$G$33:$G$40,MATCH(O2133,Setup!$B$33:$B$40,0)),0)=1)*(COUNTIF(O2108:Q2125,$B2133)+COUNTIF(O2108:Q2125,$B2133&amp;" ~*")&gt;0)+(IFERROR(INDEX(Setup!$G$33:$G$40,MATCH(S2133,Setup!$B$33:$B$40,0)),0)=1)*(COUNTIF(S2108:U2125,$B2133)+COUNTIF(S2108:U2125,$B2133&amp;" ~*")&gt;0)+(IFERROR(INDEX(Setup!$G$33:$G$40,MATCH(W2133,Setup!$B$33:$B$40,0)),0)=1)*(COUNTIF(W2108:W2125,$B2133)+COUNTIF(W2108:W2125,$B2133&amp;" ~*")&gt;0)+(IFERROR(INDEX(Setup!$G$33:$G$40,MATCH(Y2133,Setup!$B$33:$B$40,0)),0)=1)*(COUNTIF(Y2108:Y2125,$B2133)+COUNTIF(Y2108:Y2125,$B2133&amp;" ~*")&gt;0))</f>
        <v/>
      </c>
    </row>
    <row r="2134" ht="15" customHeight="1">
      <c r="A2134" t="n">
        <v>43</v>
      </c>
      <c r="B2134" s="37">
        <f>IF(Setup!$B$13="","",Setup!$B$13)</f>
        <v/>
      </c>
      <c r="C2134" s="102" t="n"/>
      <c r="D2134" s="103" t="n"/>
      <c r="E2134" s="103" t="n"/>
      <c r="F2134" s="104" t="n"/>
      <c r="G2134" s="102" t="n"/>
      <c r="H2134" s="103" t="n"/>
      <c r="I2134" s="103" t="n"/>
      <c r="J2134" s="104" t="n"/>
      <c r="K2134" s="102" t="n"/>
      <c r="L2134" s="103" t="n"/>
      <c r="M2134" s="103" t="n"/>
      <c r="N2134" s="104" t="n"/>
      <c r="O2134" s="102" t="n"/>
      <c r="P2134" s="103" t="n"/>
      <c r="Q2134" s="103" t="n"/>
      <c r="R2134" s="104" t="n"/>
      <c r="S2134" s="102" t="n"/>
      <c r="T2134" s="103" t="n"/>
      <c r="U2134" s="103" t="n"/>
      <c r="V2134" s="104" t="n"/>
      <c r="W2134" s="102" t="n"/>
      <c r="X2134" s="104" t="n"/>
      <c r="Y2134" s="102" t="n"/>
      <c r="Z2134" s="104" t="n"/>
      <c r="AB2134" s="105">
        <f>IF($B2134="","",(COUNTIF(C2108:E2125,$B2134)+COUNTIF(C2108:E2125,$B2134&amp;" ~*")&gt;0)+(COUNTIF(G2108:I2125,$B2134)+COUNTIF(G2108:I2125,$B2134&amp;" ~*")&gt;0)+(COUNTIF(K2108:M2125,$B2134)+COUNTIF(K2108:M2125,$B2134&amp;" ~*")&gt;0)+(COUNTIF(O2108:Q2125,$B2134)+COUNTIF(O2108:Q2125,$B2134&amp;" ~*")&gt;0)+(COUNTIF(S2108:U2125,$B2134)+COUNTIF(S2108:U2125,$B2134&amp;" ~*")&gt;0)+(COUNTIF(W2108:W2125,$B2134)+COUNTIF(W2108:W2125,$B2134&amp;" ~*")&gt;0)+(COUNTIF(Y2108:Y2125,$B2134)+COUNTIF(Y2108:Y2125,$B2134&amp;" ~*")&gt;0))</f>
        <v/>
      </c>
      <c r="AC2134" s="38">
        <f>IF($B2134="","",(IFERROR(INDEX(Setup!$G$33:$G$40,MATCH(C2134,Setup!$B$33:$B$40,0)),0)=1)*(COUNTIF(C2108:E2125,$B2134)+COUNTIF(C2108:E2125,$B2134&amp;" ~*")&gt;0)+(IFERROR(INDEX(Setup!$G$33:$G$40,MATCH(G2134,Setup!$B$33:$B$40,0)),0)=1)*(COUNTIF(G2108:I2125,$B2134)+COUNTIF(G2108:I2125,$B2134&amp;" ~*")&gt;0)+(IFERROR(INDEX(Setup!$G$33:$G$40,MATCH(K2134,Setup!$B$33:$B$40,0)),0)=1)*(COUNTIF(K2108:M2125,$B2134)+COUNTIF(K2108:M2125,$B2134&amp;" ~*")&gt;0)+(IFERROR(INDEX(Setup!$G$33:$G$40,MATCH(O2134,Setup!$B$33:$B$40,0)),0)=1)*(COUNTIF(O2108:Q2125,$B2134)+COUNTIF(O2108:Q2125,$B2134&amp;" ~*")&gt;0)+(IFERROR(INDEX(Setup!$G$33:$G$40,MATCH(S2134,Setup!$B$33:$B$40,0)),0)=1)*(COUNTIF(S2108:U2125,$B2134)+COUNTIF(S2108:U2125,$B2134&amp;" ~*")&gt;0)+(IFERROR(INDEX(Setup!$G$33:$G$40,MATCH(W2134,Setup!$B$33:$B$40,0)),0)=1)*(COUNTIF(W2108:W2125,$B2134)+COUNTIF(W2108:W2125,$B2134&amp;" ~*")&gt;0)+(IFERROR(INDEX(Setup!$G$33:$G$40,MATCH(Y2134,Setup!$B$33:$B$40,0)),0)=1)*(COUNTIF(Y2108:Y2125,$B2134)+COUNTIF(Y2108:Y2125,$B2134&amp;" ~*")&gt;0))</f>
        <v/>
      </c>
    </row>
    <row r="2135" ht="15" customHeight="1">
      <c r="A2135" t="n">
        <v>43</v>
      </c>
      <c r="B2135" s="35">
        <f>IF(Setup!$B$14="","",Setup!$B$14)</f>
        <v/>
      </c>
      <c r="C2135" s="98" t="n"/>
      <c r="D2135" s="99" t="n"/>
      <c r="E2135" s="99" t="n"/>
      <c r="F2135" s="100" t="n"/>
      <c r="G2135" s="98" t="n"/>
      <c r="H2135" s="99" t="n"/>
      <c r="I2135" s="99" t="n"/>
      <c r="J2135" s="100" t="n"/>
      <c r="K2135" s="98" t="n"/>
      <c r="L2135" s="99" t="n"/>
      <c r="M2135" s="99" t="n"/>
      <c r="N2135" s="100" t="n"/>
      <c r="O2135" s="98" t="n"/>
      <c r="P2135" s="99" t="n"/>
      <c r="Q2135" s="99" t="n"/>
      <c r="R2135" s="100" t="n"/>
      <c r="S2135" s="98" t="n"/>
      <c r="T2135" s="99" t="n"/>
      <c r="U2135" s="99" t="n"/>
      <c r="V2135" s="100" t="n"/>
      <c r="W2135" s="98" t="n"/>
      <c r="X2135" s="100" t="n"/>
      <c r="Y2135" s="98" t="n"/>
      <c r="Z2135" s="100" t="n"/>
      <c r="AB2135" s="101">
        <f>IF($B2135="","",(COUNTIF(C2108:E2125,$B2135)+COUNTIF(C2108:E2125,$B2135&amp;" ~*")&gt;0)+(COUNTIF(G2108:I2125,$B2135)+COUNTIF(G2108:I2125,$B2135&amp;" ~*")&gt;0)+(COUNTIF(K2108:M2125,$B2135)+COUNTIF(K2108:M2125,$B2135&amp;" ~*")&gt;0)+(COUNTIF(O2108:Q2125,$B2135)+COUNTIF(O2108:Q2125,$B2135&amp;" ~*")&gt;0)+(COUNTIF(S2108:U2125,$B2135)+COUNTIF(S2108:U2125,$B2135&amp;" ~*")&gt;0)+(COUNTIF(W2108:W2125,$B2135)+COUNTIF(W2108:W2125,$B2135&amp;" ~*")&gt;0)+(COUNTIF(Y2108:Y2125,$B2135)+COUNTIF(Y2108:Y2125,$B2135&amp;" ~*")&gt;0))</f>
        <v/>
      </c>
      <c r="AC2135" s="36">
        <f>IF($B2135="","",(IFERROR(INDEX(Setup!$G$33:$G$40,MATCH(C2135,Setup!$B$33:$B$40,0)),0)=1)*(COUNTIF(C2108:E2125,$B2135)+COUNTIF(C2108:E2125,$B2135&amp;" ~*")&gt;0)+(IFERROR(INDEX(Setup!$G$33:$G$40,MATCH(G2135,Setup!$B$33:$B$40,0)),0)=1)*(COUNTIF(G2108:I2125,$B2135)+COUNTIF(G2108:I2125,$B2135&amp;" ~*")&gt;0)+(IFERROR(INDEX(Setup!$G$33:$G$40,MATCH(K2135,Setup!$B$33:$B$40,0)),0)=1)*(COUNTIF(K2108:M2125,$B2135)+COUNTIF(K2108:M2125,$B2135&amp;" ~*")&gt;0)+(IFERROR(INDEX(Setup!$G$33:$G$40,MATCH(O2135,Setup!$B$33:$B$40,0)),0)=1)*(COUNTIF(O2108:Q2125,$B2135)+COUNTIF(O2108:Q2125,$B2135&amp;" ~*")&gt;0)+(IFERROR(INDEX(Setup!$G$33:$G$40,MATCH(S2135,Setup!$B$33:$B$40,0)),0)=1)*(COUNTIF(S2108:U2125,$B2135)+COUNTIF(S2108:U2125,$B2135&amp;" ~*")&gt;0)+(IFERROR(INDEX(Setup!$G$33:$G$40,MATCH(W2135,Setup!$B$33:$B$40,0)),0)=1)*(COUNTIF(W2108:W2125,$B2135)+COUNTIF(W2108:W2125,$B2135&amp;" ~*")&gt;0)+(IFERROR(INDEX(Setup!$G$33:$G$40,MATCH(Y2135,Setup!$B$33:$B$40,0)),0)=1)*(COUNTIF(Y2108:Y2125,$B2135)+COUNTIF(Y2108:Y2125,$B2135&amp;" ~*")&gt;0))</f>
        <v/>
      </c>
    </row>
    <row r="2136" ht="15" customHeight="1">
      <c r="A2136" t="n">
        <v>43</v>
      </c>
      <c r="B2136" s="37">
        <f>IF(Setup!$B$15="","",Setup!$B$15)</f>
        <v/>
      </c>
      <c r="C2136" s="102" t="n"/>
      <c r="D2136" s="103" t="n"/>
      <c r="E2136" s="103" t="n"/>
      <c r="F2136" s="104" t="n"/>
      <c r="G2136" s="102" t="n"/>
      <c r="H2136" s="103" t="n"/>
      <c r="I2136" s="103" t="n"/>
      <c r="J2136" s="104" t="n"/>
      <c r="K2136" s="102" t="n"/>
      <c r="L2136" s="103" t="n"/>
      <c r="M2136" s="103" t="n"/>
      <c r="N2136" s="104" t="n"/>
      <c r="O2136" s="102" t="n"/>
      <c r="P2136" s="103" t="n"/>
      <c r="Q2136" s="103" t="n"/>
      <c r="R2136" s="104" t="n"/>
      <c r="S2136" s="102" t="n"/>
      <c r="T2136" s="103" t="n"/>
      <c r="U2136" s="103" t="n"/>
      <c r="V2136" s="104" t="n"/>
      <c r="W2136" s="102" t="n"/>
      <c r="X2136" s="104" t="n"/>
      <c r="Y2136" s="102" t="n"/>
      <c r="Z2136" s="104" t="n"/>
      <c r="AB2136" s="105">
        <f>IF($B2136="","",(COUNTIF(C2108:E2125,$B2136)+COUNTIF(C2108:E2125,$B2136&amp;" ~*")&gt;0)+(COUNTIF(G2108:I2125,$B2136)+COUNTIF(G2108:I2125,$B2136&amp;" ~*")&gt;0)+(COUNTIF(K2108:M2125,$B2136)+COUNTIF(K2108:M2125,$B2136&amp;" ~*")&gt;0)+(COUNTIF(O2108:Q2125,$B2136)+COUNTIF(O2108:Q2125,$B2136&amp;" ~*")&gt;0)+(COUNTIF(S2108:U2125,$B2136)+COUNTIF(S2108:U2125,$B2136&amp;" ~*")&gt;0)+(COUNTIF(W2108:W2125,$B2136)+COUNTIF(W2108:W2125,$B2136&amp;" ~*")&gt;0)+(COUNTIF(Y2108:Y2125,$B2136)+COUNTIF(Y2108:Y2125,$B2136&amp;" ~*")&gt;0))</f>
        <v/>
      </c>
      <c r="AC2136" s="38">
        <f>IF($B2136="","",(IFERROR(INDEX(Setup!$G$33:$G$40,MATCH(C2136,Setup!$B$33:$B$40,0)),0)=1)*(COUNTIF(C2108:E2125,$B2136)+COUNTIF(C2108:E2125,$B2136&amp;" ~*")&gt;0)+(IFERROR(INDEX(Setup!$G$33:$G$40,MATCH(G2136,Setup!$B$33:$B$40,0)),0)=1)*(COUNTIF(G2108:I2125,$B2136)+COUNTIF(G2108:I2125,$B2136&amp;" ~*")&gt;0)+(IFERROR(INDEX(Setup!$G$33:$G$40,MATCH(K2136,Setup!$B$33:$B$40,0)),0)=1)*(COUNTIF(K2108:M2125,$B2136)+COUNTIF(K2108:M2125,$B2136&amp;" ~*")&gt;0)+(IFERROR(INDEX(Setup!$G$33:$G$40,MATCH(O2136,Setup!$B$33:$B$40,0)),0)=1)*(COUNTIF(O2108:Q2125,$B2136)+COUNTIF(O2108:Q2125,$B2136&amp;" ~*")&gt;0)+(IFERROR(INDEX(Setup!$G$33:$G$40,MATCH(S2136,Setup!$B$33:$B$40,0)),0)=1)*(COUNTIF(S2108:U2125,$B2136)+COUNTIF(S2108:U2125,$B2136&amp;" ~*")&gt;0)+(IFERROR(INDEX(Setup!$G$33:$G$40,MATCH(W2136,Setup!$B$33:$B$40,0)),0)=1)*(COUNTIF(W2108:W2125,$B2136)+COUNTIF(W2108:W2125,$B2136&amp;" ~*")&gt;0)+(IFERROR(INDEX(Setup!$G$33:$G$40,MATCH(Y2136,Setup!$B$33:$B$40,0)),0)=1)*(COUNTIF(Y2108:Y2125,$B2136)+COUNTIF(Y2108:Y2125,$B2136&amp;" ~*")&gt;0))</f>
        <v/>
      </c>
    </row>
    <row r="2137" ht="15" customHeight="1">
      <c r="A2137" t="n">
        <v>43</v>
      </c>
      <c r="B2137" s="35">
        <f>IF(Setup!$B$16="","",Setup!$B$16)</f>
        <v/>
      </c>
      <c r="C2137" s="98" t="n"/>
      <c r="D2137" s="99" t="n"/>
      <c r="E2137" s="99" t="n"/>
      <c r="F2137" s="100" t="n"/>
      <c r="G2137" s="98" t="n"/>
      <c r="H2137" s="99" t="n"/>
      <c r="I2137" s="99" t="n"/>
      <c r="J2137" s="100" t="n"/>
      <c r="K2137" s="98" t="n"/>
      <c r="L2137" s="99" t="n"/>
      <c r="M2137" s="99" t="n"/>
      <c r="N2137" s="100" t="n"/>
      <c r="O2137" s="98" t="n"/>
      <c r="P2137" s="99" t="n"/>
      <c r="Q2137" s="99" t="n"/>
      <c r="R2137" s="100" t="n"/>
      <c r="S2137" s="98" t="n"/>
      <c r="T2137" s="99" t="n"/>
      <c r="U2137" s="99" t="n"/>
      <c r="V2137" s="100" t="n"/>
      <c r="W2137" s="98" t="n"/>
      <c r="X2137" s="100" t="n"/>
      <c r="Y2137" s="98" t="n"/>
      <c r="Z2137" s="100" t="n"/>
      <c r="AB2137" s="101">
        <f>IF($B2137="","",(COUNTIF(C2108:E2125,$B2137)+COUNTIF(C2108:E2125,$B2137&amp;" ~*")&gt;0)+(COUNTIF(G2108:I2125,$B2137)+COUNTIF(G2108:I2125,$B2137&amp;" ~*")&gt;0)+(COUNTIF(K2108:M2125,$B2137)+COUNTIF(K2108:M2125,$B2137&amp;" ~*")&gt;0)+(COUNTIF(O2108:Q2125,$B2137)+COUNTIF(O2108:Q2125,$B2137&amp;" ~*")&gt;0)+(COUNTIF(S2108:U2125,$B2137)+COUNTIF(S2108:U2125,$B2137&amp;" ~*")&gt;0)+(COUNTIF(W2108:W2125,$B2137)+COUNTIF(W2108:W2125,$B2137&amp;" ~*")&gt;0)+(COUNTIF(Y2108:Y2125,$B2137)+COUNTIF(Y2108:Y2125,$B2137&amp;" ~*")&gt;0))</f>
        <v/>
      </c>
      <c r="AC2137" s="36">
        <f>IF($B2137="","",(IFERROR(INDEX(Setup!$G$33:$G$40,MATCH(C2137,Setup!$B$33:$B$40,0)),0)=1)*(COUNTIF(C2108:E2125,$B2137)+COUNTIF(C2108:E2125,$B2137&amp;" ~*")&gt;0)+(IFERROR(INDEX(Setup!$G$33:$G$40,MATCH(G2137,Setup!$B$33:$B$40,0)),0)=1)*(COUNTIF(G2108:I2125,$B2137)+COUNTIF(G2108:I2125,$B2137&amp;" ~*")&gt;0)+(IFERROR(INDEX(Setup!$G$33:$G$40,MATCH(K2137,Setup!$B$33:$B$40,0)),0)=1)*(COUNTIF(K2108:M2125,$B2137)+COUNTIF(K2108:M2125,$B2137&amp;" ~*")&gt;0)+(IFERROR(INDEX(Setup!$G$33:$G$40,MATCH(O2137,Setup!$B$33:$B$40,0)),0)=1)*(COUNTIF(O2108:Q2125,$B2137)+COUNTIF(O2108:Q2125,$B2137&amp;" ~*")&gt;0)+(IFERROR(INDEX(Setup!$G$33:$G$40,MATCH(S2137,Setup!$B$33:$B$40,0)),0)=1)*(COUNTIF(S2108:U2125,$B2137)+COUNTIF(S2108:U2125,$B2137&amp;" ~*")&gt;0)+(IFERROR(INDEX(Setup!$G$33:$G$40,MATCH(W2137,Setup!$B$33:$B$40,0)),0)=1)*(COUNTIF(W2108:W2125,$B2137)+COUNTIF(W2108:W2125,$B2137&amp;" ~*")&gt;0)+(IFERROR(INDEX(Setup!$G$33:$G$40,MATCH(Y2137,Setup!$B$33:$B$40,0)),0)=1)*(COUNTIF(Y2108:Y2125,$B2137)+COUNTIF(Y2108:Y2125,$B2137&amp;" ~*")&gt;0))</f>
        <v/>
      </c>
    </row>
    <row r="2138" ht="15" customHeight="1">
      <c r="A2138" t="n">
        <v>43</v>
      </c>
      <c r="B2138" s="37">
        <f>IF(Setup!$B$17="","",Setup!$B$17)</f>
        <v/>
      </c>
      <c r="C2138" s="102" t="n"/>
      <c r="D2138" s="103" t="n"/>
      <c r="E2138" s="103" t="n"/>
      <c r="F2138" s="104" t="n"/>
      <c r="G2138" s="102" t="n"/>
      <c r="H2138" s="103" t="n"/>
      <c r="I2138" s="103" t="n"/>
      <c r="J2138" s="104" t="n"/>
      <c r="K2138" s="102" t="n"/>
      <c r="L2138" s="103" t="n"/>
      <c r="M2138" s="103" t="n"/>
      <c r="N2138" s="104" t="n"/>
      <c r="O2138" s="102" t="n"/>
      <c r="P2138" s="103" t="n"/>
      <c r="Q2138" s="103" t="n"/>
      <c r="R2138" s="104" t="n"/>
      <c r="S2138" s="102" t="n"/>
      <c r="T2138" s="103" t="n"/>
      <c r="U2138" s="103" t="n"/>
      <c r="V2138" s="104" t="n"/>
      <c r="W2138" s="102" t="n"/>
      <c r="X2138" s="104" t="n"/>
      <c r="Y2138" s="102" t="n"/>
      <c r="Z2138" s="104" t="n"/>
      <c r="AB2138" s="105">
        <f>IF($B2138="","",(COUNTIF(C2108:E2125,$B2138)+COUNTIF(C2108:E2125,$B2138&amp;" ~*")&gt;0)+(COUNTIF(G2108:I2125,$B2138)+COUNTIF(G2108:I2125,$B2138&amp;" ~*")&gt;0)+(COUNTIF(K2108:M2125,$B2138)+COUNTIF(K2108:M2125,$B2138&amp;" ~*")&gt;0)+(COUNTIF(O2108:Q2125,$B2138)+COUNTIF(O2108:Q2125,$B2138&amp;" ~*")&gt;0)+(COUNTIF(S2108:U2125,$B2138)+COUNTIF(S2108:U2125,$B2138&amp;" ~*")&gt;0)+(COUNTIF(W2108:W2125,$B2138)+COUNTIF(W2108:W2125,$B2138&amp;" ~*")&gt;0)+(COUNTIF(Y2108:Y2125,$B2138)+COUNTIF(Y2108:Y2125,$B2138&amp;" ~*")&gt;0))</f>
        <v/>
      </c>
      <c r="AC2138" s="38">
        <f>IF($B2138="","",(IFERROR(INDEX(Setup!$G$33:$G$40,MATCH(C2138,Setup!$B$33:$B$40,0)),0)=1)*(COUNTIF(C2108:E2125,$B2138)+COUNTIF(C2108:E2125,$B2138&amp;" ~*")&gt;0)+(IFERROR(INDEX(Setup!$G$33:$G$40,MATCH(G2138,Setup!$B$33:$B$40,0)),0)=1)*(COUNTIF(G2108:I2125,$B2138)+COUNTIF(G2108:I2125,$B2138&amp;" ~*")&gt;0)+(IFERROR(INDEX(Setup!$G$33:$G$40,MATCH(K2138,Setup!$B$33:$B$40,0)),0)=1)*(COUNTIF(K2108:M2125,$B2138)+COUNTIF(K2108:M2125,$B2138&amp;" ~*")&gt;0)+(IFERROR(INDEX(Setup!$G$33:$G$40,MATCH(O2138,Setup!$B$33:$B$40,0)),0)=1)*(COUNTIF(O2108:Q2125,$B2138)+COUNTIF(O2108:Q2125,$B2138&amp;" ~*")&gt;0)+(IFERROR(INDEX(Setup!$G$33:$G$40,MATCH(S2138,Setup!$B$33:$B$40,0)),0)=1)*(COUNTIF(S2108:U2125,$B2138)+COUNTIF(S2108:U2125,$B2138&amp;" ~*")&gt;0)+(IFERROR(INDEX(Setup!$G$33:$G$40,MATCH(W2138,Setup!$B$33:$B$40,0)),0)=1)*(COUNTIF(W2108:W2125,$B2138)+COUNTIF(W2108:W2125,$B2138&amp;" ~*")&gt;0)+(IFERROR(INDEX(Setup!$G$33:$G$40,MATCH(Y2138,Setup!$B$33:$B$40,0)),0)=1)*(COUNTIF(Y2108:Y2125,$B2138)+COUNTIF(Y2108:Y2125,$B2138&amp;" ~*")&gt;0))</f>
        <v/>
      </c>
    </row>
    <row r="2139" ht="15" customHeight="1">
      <c r="A2139" t="n">
        <v>43</v>
      </c>
      <c r="B2139" s="35">
        <f>IF(Setup!$B$18="","",Setup!$B$18)</f>
        <v/>
      </c>
      <c r="C2139" s="98" t="n"/>
      <c r="D2139" s="99" t="n"/>
      <c r="E2139" s="99" t="n"/>
      <c r="F2139" s="100" t="n"/>
      <c r="G2139" s="98" t="n"/>
      <c r="H2139" s="99" t="n"/>
      <c r="I2139" s="99" t="n"/>
      <c r="J2139" s="100" t="n"/>
      <c r="K2139" s="98" t="n"/>
      <c r="L2139" s="99" t="n"/>
      <c r="M2139" s="99" t="n"/>
      <c r="N2139" s="100" t="n"/>
      <c r="O2139" s="98" t="n"/>
      <c r="P2139" s="99" t="n"/>
      <c r="Q2139" s="99" t="n"/>
      <c r="R2139" s="100" t="n"/>
      <c r="S2139" s="98" t="n"/>
      <c r="T2139" s="99" t="n"/>
      <c r="U2139" s="99" t="n"/>
      <c r="V2139" s="100" t="n"/>
      <c r="W2139" s="98" t="n"/>
      <c r="X2139" s="100" t="n"/>
      <c r="Y2139" s="98" t="n"/>
      <c r="Z2139" s="100" t="n"/>
      <c r="AB2139" s="101">
        <f>IF($B2139="","",(COUNTIF(C2108:E2125,$B2139)+COUNTIF(C2108:E2125,$B2139&amp;" ~*")&gt;0)+(COUNTIF(G2108:I2125,$B2139)+COUNTIF(G2108:I2125,$B2139&amp;" ~*")&gt;0)+(COUNTIF(K2108:M2125,$B2139)+COUNTIF(K2108:M2125,$B2139&amp;" ~*")&gt;0)+(COUNTIF(O2108:Q2125,$B2139)+COUNTIF(O2108:Q2125,$B2139&amp;" ~*")&gt;0)+(COUNTIF(S2108:U2125,$B2139)+COUNTIF(S2108:U2125,$B2139&amp;" ~*")&gt;0)+(COUNTIF(W2108:W2125,$B2139)+COUNTIF(W2108:W2125,$B2139&amp;" ~*")&gt;0)+(COUNTIF(Y2108:Y2125,$B2139)+COUNTIF(Y2108:Y2125,$B2139&amp;" ~*")&gt;0))</f>
        <v/>
      </c>
      <c r="AC2139" s="36">
        <f>IF($B2139="","",(IFERROR(INDEX(Setup!$G$33:$G$40,MATCH(C2139,Setup!$B$33:$B$40,0)),0)=1)*(COUNTIF(C2108:E2125,$B2139)+COUNTIF(C2108:E2125,$B2139&amp;" ~*")&gt;0)+(IFERROR(INDEX(Setup!$G$33:$G$40,MATCH(G2139,Setup!$B$33:$B$40,0)),0)=1)*(COUNTIF(G2108:I2125,$B2139)+COUNTIF(G2108:I2125,$B2139&amp;" ~*")&gt;0)+(IFERROR(INDEX(Setup!$G$33:$G$40,MATCH(K2139,Setup!$B$33:$B$40,0)),0)=1)*(COUNTIF(K2108:M2125,$B2139)+COUNTIF(K2108:M2125,$B2139&amp;" ~*")&gt;0)+(IFERROR(INDEX(Setup!$G$33:$G$40,MATCH(O2139,Setup!$B$33:$B$40,0)),0)=1)*(COUNTIF(O2108:Q2125,$B2139)+COUNTIF(O2108:Q2125,$B2139&amp;" ~*")&gt;0)+(IFERROR(INDEX(Setup!$G$33:$G$40,MATCH(S2139,Setup!$B$33:$B$40,0)),0)=1)*(COUNTIF(S2108:U2125,$B2139)+COUNTIF(S2108:U2125,$B2139&amp;" ~*")&gt;0)+(IFERROR(INDEX(Setup!$G$33:$G$40,MATCH(W2139,Setup!$B$33:$B$40,0)),0)=1)*(COUNTIF(W2108:W2125,$B2139)+COUNTIF(W2108:W2125,$B2139&amp;" ~*")&gt;0)+(IFERROR(INDEX(Setup!$G$33:$G$40,MATCH(Y2139,Setup!$B$33:$B$40,0)),0)=1)*(COUNTIF(Y2108:Y2125,$B2139)+COUNTIF(Y2108:Y2125,$B2139&amp;" ~*")&gt;0))</f>
        <v/>
      </c>
    </row>
    <row r="2140" ht="15" customHeight="1">
      <c r="A2140" t="n">
        <v>43</v>
      </c>
      <c r="B2140" s="37">
        <f>IF(Setup!$B$19="","",Setup!$B$19)</f>
        <v/>
      </c>
      <c r="C2140" s="102" t="n"/>
      <c r="D2140" s="103" t="n"/>
      <c r="E2140" s="103" t="n"/>
      <c r="F2140" s="104" t="n"/>
      <c r="G2140" s="102" t="n"/>
      <c r="H2140" s="103" t="n"/>
      <c r="I2140" s="103" t="n"/>
      <c r="J2140" s="104" t="n"/>
      <c r="K2140" s="102" t="n"/>
      <c r="L2140" s="103" t="n"/>
      <c r="M2140" s="103" t="n"/>
      <c r="N2140" s="104" t="n"/>
      <c r="O2140" s="102" t="n"/>
      <c r="P2140" s="103" t="n"/>
      <c r="Q2140" s="103" t="n"/>
      <c r="R2140" s="104" t="n"/>
      <c r="S2140" s="102" t="n"/>
      <c r="T2140" s="103" t="n"/>
      <c r="U2140" s="103" t="n"/>
      <c r="V2140" s="104" t="n"/>
      <c r="W2140" s="102" t="n"/>
      <c r="X2140" s="104" t="n"/>
      <c r="Y2140" s="102" t="n"/>
      <c r="Z2140" s="104" t="n"/>
      <c r="AB2140" s="105">
        <f>IF($B2140="","",(COUNTIF(C2108:E2125,$B2140)+COUNTIF(C2108:E2125,$B2140&amp;" ~*")&gt;0)+(COUNTIF(G2108:I2125,$B2140)+COUNTIF(G2108:I2125,$B2140&amp;" ~*")&gt;0)+(COUNTIF(K2108:M2125,$B2140)+COUNTIF(K2108:M2125,$B2140&amp;" ~*")&gt;0)+(COUNTIF(O2108:Q2125,$B2140)+COUNTIF(O2108:Q2125,$B2140&amp;" ~*")&gt;0)+(COUNTIF(S2108:U2125,$B2140)+COUNTIF(S2108:U2125,$B2140&amp;" ~*")&gt;0)+(COUNTIF(W2108:W2125,$B2140)+COUNTIF(W2108:W2125,$B2140&amp;" ~*")&gt;0)+(COUNTIF(Y2108:Y2125,$B2140)+COUNTIF(Y2108:Y2125,$B2140&amp;" ~*")&gt;0))</f>
        <v/>
      </c>
      <c r="AC2140" s="38">
        <f>IF($B2140="","",(IFERROR(INDEX(Setup!$G$33:$G$40,MATCH(C2140,Setup!$B$33:$B$40,0)),0)=1)*(COUNTIF(C2108:E2125,$B2140)+COUNTIF(C2108:E2125,$B2140&amp;" ~*")&gt;0)+(IFERROR(INDEX(Setup!$G$33:$G$40,MATCH(G2140,Setup!$B$33:$B$40,0)),0)=1)*(COUNTIF(G2108:I2125,$B2140)+COUNTIF(G2108:I2125,$B2140&amp;" ~*")&gt;0)+(IFERROR(INDEX(Setup!$G$33:$G$40,MATCH(K2140,Setup!$B$33:$B$40,0)),0)=1)*(COUNTIF(K2108:M2125,$B2140)+COUNTIF(K2108:M2125,$B2140&amp;" ~*")&gt;0)+(IFERROR(INDEX(Setup!$G$33:$G$40,MATCH(O2140,Setup!$B$33:$B$40,0)),0)=1)*(COUNTIF(O2108:Q2125,$B2140)+COUNTIF(O2108:Q2125,$B2140&amp;" ~*")&gt;0)+(IFERROR(INDEX(Setup!$G$33:$G$40,MATCH(S2140,Setup!$B$33:$B$40,0)),0)=1)*(COUNTIF(S2108:U2125,$B2140)+COUNTIF(S2108:U2125,$B2140&amp;" ~*")&gt;0)+(IFERROR(INDEX(Setup!$G$33:$G$40,MATCH(W2140,Setup!$B$33:$B$40,0)),0)=1)*(COUNTIF(W2108:W2125,$B2140)+COUNTIF(W2108:W2125,$B2140&amp;" ~*")&gt;0)+(IFERROR(INDEX(Setup!$G$33:$G$40,MATCH(Y2140,Setup!$B$33:$B$40,0)),0)=1)*(COUNTIF(Y2108:Y2125,$B2140)+COUNTIF(Y2108:Y2125,$B2140&amp;" ~*")&gt;0))</f>
        <v/>
      </c>
    </row>
    <row r="2141" ht="15" customHeight="1">
      <c r="A2141" t="n">
        <v>43</v>
      </c>
      <c r="B2141" s="35">
        <f>IF(Setup!$B$20="","",Setup!$B$20)</f>
        <v/>
      </c>
      <c r="C2141" s="98" t="n"/>
      <c r="D2141" s="99" t="n"/>
      <c r="E2141" s="99" t="n"/>
      <c r="F2141" s="100" t="n"/>
      <c r="G2141" s="98" t="n"/>
      <c r="H2141" s="99" t="n"/>
      <c r="I2141" s="99" t="n"/>
      <c r="J2141" s="100" t="n"/>
      <c r="K2141" s="98" t="n"/>
      <c r="L2141" s="99" t="n"/>
      <c r="M2141" s="99" t="n"/>
      <c r="N2141" s="100" t="n"/>
      <c r="O2141" s="98" t="n"/>
      <c r="P2141" s="99" t="n"/>
      <c r="Q2141" s="99" t="n"/>
      <c r="R2141" s="100" t="n"/>
      <c r="S2141" s="98" t="n"/>
      <c r="T2141" s="99" t="n"/>
      <c r="U2141" s="99" t="n"/>
      <c r="V2141" s="100" t="n"/>
      <c r="W2141" s="98" t="n"/>
      <c r="X2141" s="100" t="n"/>
      <c r="Y2141" s="98" t="n"/>
      <c r="Z2141" s="100" t="n"/>
      <c r="AB2141" s="101">
        <f>IF($B2141="","",(COUNTIF(C2108:E2125,$B2141)+COUNTIF(C2108:E2125,$B2141&amp;" ~*")&gt;0)+(COUNTIF(G2108:I2125,$B2141)+COUNTIF(G2108:I2125,$B2141&amp;" ~*")&gt;0)+(COUNTIF(K2108:M2125,$B2141)+COUNTIF(K2108:M2125,$B2141&amp;" ~*")&gt;0)+(COUNTIF(O2108:Q2125,$B2141)+COUNTIF(O2108:Q2125,$B2141&amp;" ~*")&gt;0)+(COUNTIF(S2108:U2125,$B2141)+COUNTIF(S2108:U2125,$B2141&amp;" ~*")&gt;0)+(COUNTIF(W2108:W2125,$B2141)+COUNTIF(W2108:W2125,$B2141&amp;" ~*")&gt;0)+(COUNTIF(Y2108:Y2125,$B2141)+COUNTIF(Y2108:Y2125,$B2141&amp;" ~*")&gt;0))</f>
        <v/>
      </c>
      <c r="AC2141" s="36">
        <f>IF($B2141="","",(IFERROR(INDEX(Setup!$G$33:$G$40,MATCH(C2141,Setup!$B$33:$B$40,0)),0)=1)*(COUNTIF(C2108:E2125,$B2141)+COUNTIF(C2108:E2125,$B2141&amp;" ~*")&gt;0)+(IFERROR(INDEX(Setup!$G$33:$G$40,MATCH(G2141,Setup!$B$33:$B$40,0)),0)=1)*(COUNTIF(G2108:I2125,$B2141)+COUNTIF(G2108:I2125,$B2141&amp;" ~*")&gt;0)+(IFERROR(INDEX(Setup!$G$33:$G$40,MATCH(K2141,Setup!$B$33:$B$40,0)),0)=1)*(COUNTIF(K2108:M2125,$B2141)+COUNTIF(K2108:M2125,$B2141&amp;" ~*")&gt;0)+(IFERROR(INDEX(Setup!$G$33:$G$40,MATCH(O2141,Setup!$B$33:$B$40,0)),0)=1)*(COUNTIF(O2108:Q2125,$B2141)+COUNTIF(O2108:Q2125,$B2141&amp;" ~*")&gt;0)+(IFERROR(INDEX(Setup!$G$33:$G$40,MATCH(S2141,Setup!$B$33:$B$40,0)),0)=1)*(COUNTIF(S2108:U2125,$B2141)+COUNTIF(S2108:U2125,$B2141&amp;" ~*")&gt;0)+(IFERROR(INDEX(Setup!$G$33:$G$40,MATCH(W2141,Setup!$B$33:$B$40,0)),0)=1)*(COUNTIF(W2108:W2125,$B2141)+COUNTIF(W2108:W2125,$B2141&amp;" ~*")&gt;0)+(IFERROR(INDEX(Setup!$G$33:$G$40,MATCH(Y2141,Setup!$B$33:$B$40,0)),0)=1)*(COUNTIF(Y2108:Y2125,$B2141)+COUNTIF(Y2108:Y2125,$B2141&amp;" ~*")&gt;0))</f>
        <v/>
      </c>
    </row>
    <row r="2142" ht="15" customHeight="1">
      <c r="A2142" t="n">
        <v>43</v>
      </c>
      <c r="B2142" s="37">
        <f>IF(Setup!$B$21="","",Setup!$B$21)</f>
        <v/>
      </c>
      <c r="C2142" s="102" t="inlineStr">
        <is>
          <t>AL</t>
        </is>
      </c>
      <c r="D2142" s="103" t="n"/>
      <c r="E2142" s="103" t="n"/>
      <c r="F2142" s="104" t="n"/>
      <c r="G2142" s="102" t="inlineStr">
        <is>
          <t>AL</t>
        </is>
      </c>
      <c r="H2142" s="103" t="n"/>
      <c r="I2142" s="103" t="n"/>
      <c r="J2142" s="104" t="n"/>
      <c r="K2142" s="102" t="inlineStr">
        <is>
          <t>AL</t>
        </is>
      </c>
      <c r="L2142" s="103" t="n"/>
      <c r="M2142" s="103" t="n"/>
      <c r="N2142" s="104" t="n"/>
      <c r="O2142" s="102" t="inlineStr">
        <is>
          <t>AL</t>
        </is>
      </c>
      <c r="P2142" s="103" t="n"/>
      <c r="Q2142" s="103" t="n"/>
      <c r="R2142" s="104" t="n"/>
      <c r="S2142" s="102" t="inlineStr">
        <is>
          <t>AL</t>
        </is>
      </c>
      <c r="T2142" s="103" t="n"/>
      <c r="U2142" s="103" t="n"/>
      <c r="V2142" s="104" t="n"/>
      <c r="W2142" s="102" t="n"/>
      <c r="X2142" s="104" t="n"/>
      <c r="Y2142" s="102" t="n"/>
      <c r="Z2142" s="104" t="n"/>
      <c r="AB2142" s="105">
        <f>IF($B2142="","",(COUNTIF(C2108:E2125,$B2142)+COUNTIF(C2108:E2125,$B2142&amp;" ~*")&gt;0)+(COUNTIF(G2108:I2125,$B2142)+COUNTIF(G2108:I2125,$B2142&amp;" ~*")&gt;0)+(COUNTIF(K2108:M2125,$B2142)+COUNTIF(K2108:M2125,$B2142&amp;" ~*")&gt;0)+(COUNTIF(O2108:Q2125,$B2142)+COUNTIF(O2108:Q2125,$B2142&amp;" ~*")&gt;0)+(COUNTIF(S2108:U2125,$B2142)+COUNTIF(S2108:U2125,$B2142&amp;" ~*")&gt;0)+(COUNTIF(W2108:W2125,$B2142)+COUNTIF(W2108:W2125,$B2142&amp;" ~*")&gt;0)+(COUNTIF(Y2108:Y2125,$B2142)+COUNTIF(Y2108:Y2125,$B2142&amp;" ~*")&gt;0))</f>
        <v/>
      </c>
      <c r="AC2142" s="38">
        <f>IF($B2142="","",(IFERROR(INDEX(Setup!$G$33:$G$40,MATCH(C2142,Setup!$B$33:$B$40,0)),0)=1)*(COUNTIF(C2108:E2125,$B2142)+COUNTIF(C2108:E2125,$B2142&amp;" ~*")&gt;0)+(IFERROR(INDEX(Setup!$G$33:$G$40,MATCH(G2142,Setup!$B$33:$B$40,0)),0)=1)*(COUNTIF(G2108:I2125,$B2142)+COUNTIF(G2108:I2125,$B2142&amp;" ~*")&gt;0)+(IFERROR(INDEX(Setup!$G$33:$G$40,MATCH(K2142,Setup!$B$33:$B$40,0)),0)=1)*(COUNTIF(K2108:M2125,$B2142)+COUNTIF(K2108:M2125,$B2142&amp;" ~*")&gt;0)+(IFERROR(INDEX(Setup!$G$33:$G$40,MATCH(O2142,Setup!$B$33:$B$40,0)),0)=1)*(COUNTIF(O2108:Q2125,$B2142)+COUNTIF(O2108:Q2125,$B2142&amp;" ~*")&gt;0)+(IFERROR(INDEX(Setup!$G$33:$G$40,MATCH(S2142,Setup!$B$33:$B$40,0)),0)=1)*(COUNTIF(S2108:U2125,$B2142)+COUNTIF(S2108:U2125,$B2142&amp;" ~*")&gt;0)+(IFERROR(INDEX(Setup!$G$33:$G$40,MATCH(W2142,Setup!$B$33:$B$40,0)),0)=1)*(COUNTIF(W2108:W2125,$B2142)+COUNTIF(W2108:W2125,$B2142&amp;" ~*")&gt;0)+(IFERROR(INDEX(Setup!$G$33:$G$40,MATCH(Y2142,Setup!$B$33:$B$40,0)),0)=1)*(COUNTIF(Y2108:Y2125,$B2142)+COUNTIF(Y2108:Y2125,$B2142&amp;" ~*")&gt;0))</f>
        <v/>
      </c>
    </row>
    <row r="2143" ht="15" customHeight="1">
      <c r="A2143" t="n">
        <v>43</v>
      </c>
      <c r="B2143" s="35">
        <f>IF(Setup!$B$22="","",Setup!$B$22)</f>
        <v/>
      </c>
      <c r="C2143" s="98" t="n"/>
      <c r="D2143" s="99" t="n"/>
      <c r="E2143" s="99" t="n"/>
      <c r="F2143" s="100" t="n"/>
      <c r="G2143" s="98" t="n"/>
      <c r="H2143" s="99" t="n"/>
      <c r="I2143" s="99" t="n"/>
      <c r="J2143" s="100" t="n"/>
      <c r="K2143" s="98" t="n"/>
      <c r="L2143" s="99" t="n"/>
      <c r="M2143" s="99" t="n"/>
      <c r="N2143" s="100" t="n"/>
      <c r="O2143" s="98" t="n"/>
      <c r="P2143" s="99" t="n"/>
      <c r="Q2143" s="99" t="n"/>
      <c r="R2143" s="100" t="n"/>
      <c r="S2143" s="98" t="n"/>
      <c r="T2143" s="99" t="n"/>
      <c r="U2143" s="99" t="n"/>
      <c r="V2143" s="100" t="n"/>
      <c r="W2143" s="98" t="n"/>
      <c r="X2143" s="100" t="n"/>
      <c r="Y2143" s="98" t="n"/>
      <c r="Z2143" s="100" t="n"/>
      <c r="AB2143" s="101">
        <f>IF($B2143="","",(COUNTIF(C2108:E2125,$B2143)+COUNTIF(C2108:E2125,$B2143&amp;" ~*")&gt;0)+(COUNTIF(G2108:I2125,$B2143)+COUNTIF(G2108:I2125,$B2143&amp;" ~*")&gt;0)+(COUNTIF(K2108:M2125,$B2143)+COUNTIF(K2108:M2125,$B2143&amp;" ~*")&gt;0)+(COUNTIF(O2108:Q2125,$B2143)+COUNTIF(O2108:Q2125,$B2143&amp;" ~*")&gt;0)+(COUNTIF(S2108:U2125,$B2143)+COUNTIF(S2108:U2125,$B2143&amp;" ~*")&gt;0)+(COUNTIF(W2108:W2125,$B2143)+COUNTIF(W2108:W2125,$B2143&amp;" ~*")&gt;0)+(COUNTIF(Y2108:Y2125,$B2143)+COUNTIF(Y2108:Y2125,$B2143&amp;" ~*")&gt;0))</f>
        <v/>
      </c>
      <c r="AC2143" s="36">
        <f>IF($B2143="","",(IFERROR(INDEX(Setup!$G$33:$G$40,MATCH(C2143,Setup!$B$33:$B$40,0)),0)=1)*(COUNTIF(C2108:E2125,$B2143)+COUNTIF(C2108:E2125,$B2143&amp;" ~*")&gt;0)+(IFERROR(INDEX(Setup!$G$33:$G$40,MATCH(G2143,Setup!$B$33:$B$40,0)),0)=1)*(COUNTIF(G2108:I2125,$B2143)+COUNTIF(G2108:I2125,$B2143&amp;" ~*")&gt;0)+(IFERROR(INDEX(Setup!$G$33:$G$40,MATCH(K2143,Setup!$B$33:$B$40,0)),0)=1)*(COUNTIF(K2108:M2125,$B2143)+COUNTIF(K2108:M2125,$B2143&amp;" ~*")&gt;0)+(IFERROR(INDEX(Setup!$G$33:$G$40,MATCH(O2143,Setup!$B$33:$B$40,0)),0)=1)*(COUNTIF(O2108:Q2125,$B2143)+COUNTIF(O2108:Q2125,$B2143&amp;" ~*")&gt;0)+(IFERROR(INDEX(Setup!$G$33:$G$40,MATCH(S2143,Setup!$B$33:$B$40,0)),0)=1)*(COUNTIF(S2108:U2125,$B2143)+COUNTIF(S2108:U2125,$B2143&amp;" ~*")&gt;0)+(IFERROR(INDEX(Setup!$G$33:$G$40,MATCH(W2143,Setup!$B$33:$B$40,0)),0)=1)*(COUNTIF(W2108:W2125,$B2143)+COUNTIF(W2108:W2125,$B2143&amp;" ~*")&gt;0)+(IFERROR(INDEX(Setup!$G$33:$G$40,MATCH(Y2143,Setup!$B$33:$B$40,0)),0)=1)*(COUNTIF(Y2108:Y2125,$B2143)+COUNTIF(Y2108:Y2125,$B2143&amp;" ~*")&gt;0))</f>
        <v/>
      </c>
    </row>
    <row r="2144" ht="15" customHeight="1">
      <c r="A2144" t="n">
        <v>43</v>
      </c>
      <c r="B2144" s="37">
        <f>IF(Setup!$B$23="","",Setup!$B$23)</f>
        <v/>
      </c>
      <c r="C2144" s="102" t="n"/>
      <c r="D2144" s="103" t="n"/>
      <c r="E2144" s="103" t="n"/>
      <c r="F2144" s="104" t="n"/>
      <c r="G2144" s="102" t="n"/>
      <c r="H2144" s="103" t="n"/>
      <c r="I2144" s="103" t="n"/>
      <c r="J2144" s="104" t="n"/>
      <c r="K2144" s="102" t="n"/>
      <c r="L2144" s="103" t="n"/>
      <c r="M2144" s="103" t="n"/>
      <c r="N2144" s="104" t="n"/>
      <c r="O2144" s="102" t="n"/>
      <c r="P2144" s="103" t="n"/>
      <c r="Q2144" s="103" t="n"/>
      <c r="R2144" s="104" t="n"/>
      <c r="S2144" s="102" t="n"/>
      <c r="T2144" s="103" t="n"/>
      <c r="U2144" s="103" t="n"/>
      <c r="V2144" s="104" t="n"/>
      <c r="W2144" s="102" t="n"/>
      <c r="X2144" s="104" t="n"/>
      <c r="Y2144" s="102" t="n"/>
      <c r="Z2144" s="104" t="n"/>
      <c r="AB2144" s="105">
        <f>IF($B2144="","",(COUNTIF(C2108:E2125,$B2144)+COUNTIF(C2108:E2125,$B2144&amp;" ~*")&gt;0)+(COUNTIF(G2108:I2125,$B2144)+COUNTIF(G2108:I2125,$B2144&amp;" ~*")&gt;0)+(COUNTIF(K2108:M2125,$B2144)+COUNTIF(K2108:M2125,$B2144&amp;" ~*")&gt;0)+(COUNTIF(O2108:Q2125,$B2144)+COUNTIF(O2108:Q2125,$B2144&amp;" ~*")&gt;0)+(COUNTIF(S2108:U2125,$B2144)+COUNTIF(S2108:U2125,$B2144&amp;" ~*")&gt;0)+(COUNTIF(W2108:W2125,$B2144)+COUNTIF(W2108:W2125,$B2144&amp;" ~*")&gt;0)+(COUNTIF(Y2108:Y2125,$B2144)+COUNTIF(Y2108:Y2125,$B2144&amp;" ~*")&gt;0))</f>
        <v/>
      </c>
      <c r="AC2144" s="38">
        <f>IF($B2144="","",(IFERROR(INDEX(Setup!$G$33:$G$40,MATCH(C2144,Setup!$B$33:$B$40,0)),0)=1)*(COUNTIF(C2108:E2125,$B2144)+COUNTIF(C2108:E2125,$B2144&amp;" ~*")&gt;0)+(IFERROR(INDEX(Setup!$G$33:$G$40,MATCH(G2144,Setup!$B$33:$B$40,0)),0)=1)*(COUNTIF(G2108:I2125,$B2144)+COUNTIF(G2108:I2125,$B2144&amp;" ~*")&gt;0)+(IFERROR(INDEX(Setup!$G$33:$G$40,MATCH(K2144,Setup!$B$33:$B$40,0)),0)=1)*(COUNTIF(K2108:M2125,$B2144)+COUNTIF(K2108:M2125,$B2144&amp;" ~*")&gt;0)+(IFERROR(INDEX(Setup!$G$33:$G$40,MATCH(O2144,Setup!$B$33:$B$40,0)),0)=1)*(COUNTIF(O2108:Q2125,$B2144)+COUNTIF(O2108:Q2125,$B2144&amp;" ~*")&gt;0)+(IFERROR(INDEX(Setup!$G$33:$G$40,MATCH(S2144,Setup!$B$33:$B$40,0)),0)=1)*(COUNTIF(S2108:U2125,$B2144)+COUNTIF(S2108:U2125,$B2144&amp;" ~*")&gt;0)+(IFERROR(INDEX(Setup!$G$33:$G$40,MATCH(W2144,Setup!$B$33:$B$40,0)),0)=1)*(COUNTIF(W2108:W2125,$B2144)+COUNTIF(W2108:W2125,$B2144&amp;" ~*")&gt;0)+(IFERROR(INDEX(Setup!$G$33:$G$40,MATCH(Y2144,Setup!$B$33:$B$40,0)),0)=1)*(COUNTIF(Y2108:Y2125,$B2144)+COUNTIF(Y2108:Y2125,$B2144&amp;" ~*")&gt;0))</f>
        <v/>
      </c>
    </row>
    <row r="2145" ht="15" customHeight="1">
      <c r="A2145" t="n">
        <v>43</v>
      </c>
      <c r="B2145" s="35">
        <f>IF(Setup!$B$24="","",Setup!$B$24)</f>
        <v/>
      </c>
      <c r="C2145" s="98" t="n"/>
      <c r="D2145" s="99" t="n"/>
      <c r="E2145" s="99" t="n"/>
      <c r="F2145" s="100" t="n"/>
      <c r="G2145" s="98" t="n"/>
      <c r="H2145" s="99" t="n"/>
      <c r="I2145" s="99" t="n"/>
      <c r="J2145" s="100" t="n"/>
      <c r="K2145" s="98" t="n"/>
      <c r="L2145" s="99" t="n"/>
      <c r="M2145" s="99" t="n"/>
      <c r="N2145" s="100" t="n"/>
      <c r="O2145" s="98" t="n"/>
      <c r="P2145" s="99" t="n"/>
      <c r="Q2145" s="99" t="n"/>
      <c r="R2145" s="100" t="n"/>
      <c r="S2145" s="98" t="n"/>
      <c r="T2145" s="99" t="n"/>
      <c r="U2145" s="99" t="n"/>
      <c r="V2145" s="100" t="n"/>
      <c r="W2145" s="98" t="n"/>
      <c r="X2145" s="100" t="n"/>
      <c r="Y2145" s="98" t="n"/>
      <c r="Z2145" s="100" t="n"/>
      <c r="AB2145" s="101">
        <f>IF($B2145="","",(COUNTIF(C2108:E2125,$B2145)+COUNTIF(C2108:E2125,$B2145&amp;" ~*")&gt;0)+(COUNTIF(G2108:I2125,$B2145)+COUNTIF(G2108:I2125,$B2145&amp;" ~*")&gt;0)+(COUNTIF(K2108:M2125,$B2145)+COUNTIF(K2108:M2125,$B2145&amp;" ~*")&gt;0)+(COUNTIF(O2108:Q2125,$B2145)+COUNTIF(O2108:Q2125,$B2145&amp;" ~*")&gt;0)+(COUNTIF(S2108:U2125,$B2145)+COUNTIF(S2108:U2125,$B2145&amp;" ~*")&gt;0)+(COUNTIF(W2108:W2125,$B2145)+COUNTIF(W2108:W2125,$B2145&amp;" ~*")&gt;0)+(COUNTIF(Y2108:Y2125,$B2145)+COUNTIF(Y2108:Y2125,$B2145&amp;" ~*")&gt;0))</f>
        <v/>
      </c>
      <c r="AC2145" s="36">
        <f>IF($B2145="","",(IFERROR(INDEX(Setup!$G$33:$G$40,MATCH(C2145,Setup!$B$33:$B$40,0)),0)=1)*(COUNTIF(C2108:E2125,$B2145)+COUNTIF(C2108:E2125,$B2145&amp;" ~*")&gt;0)+(IFERROR(INDEX(Setup!$G$33:$G$40,MATCH(G2145,Setup!$B$33:$B$40,0)),0)=1)*(COUNTIF(G2108:I2125,$B2145)+COUNTIF(G2108:I2125,$B2145&amp;" ~*")&gt;0)+(IFERROR(INDEX(Setup!$G$33:$G$40,MATCH(K2145,Setup!$B$33:$B$40,0)),0)=1)*(COUNTIF(K2108:M2125,$B2145)+COUNTIF(K2108:M2125,$B2145&amp;" ~*")&gt;0)+(IFERROR(INDEX(Setup!$G$33:$G$40,MATCH(O2145,Setup!$B$33:$B$40,0)),0)=1)*(COUNTIF(O2108:Q2125,$B2145)+COUNTIF(O2108:Q2125,$B2145&amp;" ~*")&gt;0)+(IFERROR(INDEX(Setup!$G$33:$G$40,MATCH(S2145,Setup!$B$33:$B$40,0)),0)=1)*(COUNTIF(S2108:U2125,$B2145)+COUNTIF(S2108:U2125,$B2145&amp;" ~*")&gt;0)+(IFERROR(INDEX(Setup!$G$33:$G$40,MATCH(W2145,Setup!$B$33:$B$40,0)),0)=1)*(COUNTIF(W2108:W2125,$B2145)+COUNTIF(W2108:W2125,$B2145&amp;" ~*")&gt;0)+(IFERROR(INDEX(Setup!$G$33:$G$40,MATCH(Y2145,Setup!$B$33:$B$40,0)),0)=1)*(COUNTIF(Y2108:Y2125,$B2145)+COUNTIF(Y2108:Y2125,$B2145&amp;" ~*")&gt;0))</f>
        <v/>
      </c>
    </row>
    <row r="2146" ht="15" customHeight="1">
      <c r="A2146" t="n">
        <v>43</v>
      </c>
      <c r="B2146" s="37">
        <f>IF(Setup!$B$25="","",Setup!$B$25)</f>
        <v/>
      </c>
      <c r="C2146" s="102" t="n"/>
      <c r="D2146" s="103" t="n"/>
      <c r="E2146" s="103" t="n"/>
      <c r="F2146" s="104" t="n"/>
      <c r="G2146" s="102" t="n"/>
      <c r="H2146" s="103" t="n"/>
      <c r="I2146" s="103" t="n"/>
      <c r="J2146" s="104" t="n"/>
      <c r="K2146" s="102" t="n"/>
      <c r="L2146" s="103" t="n"/>
      <c r="M2146" s="103" t="n"/>
      <c r="N2146" s="104" t="n"/>
      <c r="O2146" s="102" t="n"/>
      <c r="P2146" s="103" t="n"/>
      <c r="Q2146" s="103" t="n"/>
      <c r="R2146" s="104" t="n"/>
      <c r="S2146" s="102" t="n"/>
      <c r="T2146" s="103" t="n"/>
      <c r="U2146" s="103" t="n"/>
      <c r="V2146" s="104" t="n"/>
      <c r="W2146" s="102" t="n"/>
      <c r="X2146" s="104" t="n"/>
      <c r="Y2146" s="102" t="n"/>
      <c r="Z2146" s="104" t="n"/>
      <c r="AB2146" s="105">
        <f>IF($B2146="","",(COUNTIF(C2108:E2125,$B2146)+COUNTIF(C2108:E2125,$B2146&amp;" ~*")&gt;0)+(COUNTIF(G2108:I2125,$B2146)+COUNTIF(G2108:I2125,$B2146&amp;" ~*")&gt;0)+(COUNTIF(K2108:M2125,$B2146)+COUNTIF(K2108:M2125,$B2146&amp;" ~*")&gt;0)+(COUNTIF(O2108:Q2125,$B2146)+COUNTIF(O2108:Q2125,$B2146&amp;" ~*")&gt;0)+(COUNTIF(S2108:U2125,$B2146)+COUNTIF(S2108:U2125,$B2146&amp;" ~*")&gt;0)+(COUNTIF(W2108:W2125,$B2146)+COUNTIF(W2108:W2125,$B2146&amp;" ~*")&gt;0)+(COUNTIF(Y2108:Y2125,$B2146)+COUNTIF(Y2108:Y2125,$B2146&amp;" ~*")&gt;0))</f>
        <v/>
      </c>
      <c r="AC2146" s="38">
        <f>IF($B2146="","",(IFERROR(INDEX(Setup!$G$33:$G$40,MATCH(C2146,Setup!$B$33:$B$40,0)),0)=1)*(COUNTIF(C2108:E2125,$B2146)+COUNTIF(C2108:E2125,$B2146&amp;" ~*")&gt;0)+(IFERROR(INDEX(Setup!$G$33:$G$40,MATCH(G2146,Setup!$B$33:$B$40,0)),0)=1)*(COUNTIF(G2108:I2125,$B2146)+COUNTIF(G2108:I2125,$B2146&amp;" ~*")&gt;0)+(IFERROR(INDEX(Setup!$G$33:$G$40,MATCH(K2146,Setup!$B$33:$B$40,0)),0)=1)*(COUNTIF(K2108:M2125,$B2146)+COUNTIF(K2108:M2125,$B2146&amp;" ~*")&gt;0)+(IFERROR(INDEX(Setup!$G$33:$G$40,MATCH(O2146,Setup!$B$33:$B$40,0)),0)=1)*(COUNTIF(O2108:Q2125,$B2146)+COUNTIF(O2108:Q2125,$B2146&amp;" ~*")&gt;0)+(IFERROR(INDEX(Setup!$G$33:$G$40,MATCH(S2146,Setup!$B$33:$B$40,0)),0)=1)*(COUNTIF(S2108:U2125,$B2146)+COUNTIF(S2108:U2125,$B2146&amp;" ~*")&gt;0)+(IFERROR(INDEX(Setup!$G$33:$G$40,MATCH(W2146,Setup!$B$33:$B$40,0)),0)=1)*(COUNTIF(W2108:W2125,$B2146)+COUNTIF(W2108:W2125,$B2146&amp;" ~*")&gt;0)+(IFERROR(INDEX(Setup!$G$33:$G$40,MATCH(Y2146,Setup!$B$33:$B$40,0)),0)=1)*(COUNTIF(Y2108:Y2125,$B2146)+COUNTIF(Y2108:Y2125,$B2146&amp;" ~*")&gt;0))</f>
        <v/>
      </c>
    </row>
    <row r="2147" ht="15" customHeight="1">
      <c r="A2147" t="n">
        <v>43</v>
      </c>
      <c r="B2147" s="35">
        <f>IF(Setup!$B$26="","",Setup!$B$26)</f>
        <v/>
      </c>
      <c r="C2147" s="98" t="n"/>
      <c r="D2147" s="99" t="n"/>
      <c r="E2147" s="99" t="n"/>
      <c r="F2147" s="100" t="n"/>
      <c r="G2147" s="98" t="n"/>
      <c r="H2147" s="99" t="n"/>
      <c r="I2147" s="99" t="n"/>
      <c r="J2147" s="100" t="n"/>
      <c r="K2147" s="98" t="n"/>
      <c r="L2147" s="99" t="n"/>
      <c r="M2147" s="99" t="n"/>
      <c r="N2147" s="100" t="n"/>
      <c r="O2147" s="98" t="n"/>
      <c r="P2147" s="99" t="n"/>
      <c r="Q2147" s="99" t="n"/>
      <c r="R2147" s="100" t="n"/>
      <c r="S2147" s="98" t="n"/>
      <c r="T2147" s="99" t="n"/>
      <c r="U2147" s="99" t="n"/>
      <c r="V2147" s="100" t="n"/>
      <c r="W2147" s="98" t="n"/>
      <c r="X2147" s="100" t="n"/>
      <c r="Y2147" s="98" t="n"/>
      <c r="Z2147" s="100" t="n"/>
      <c r="AB2147" s="101">
        <f>IF($B2147="","",(COUNTIF(C2108:E2125,$B2147)+COUNTIF(C2108:E2125,$B2147&amp;" ~*")&gt;0)+(COUNTIF(G2108:I2125,$B2147)+COUNTIF(G2108:I2125,$B2147&amp;" ~*")&gt;0)+(COUNTIF(K2108:M2125,$B2147)+COUNTIF(K2108:M2125,$B2147&amp;" ~*")&gt;0)+(COUNTIF(O2108:Q2125,$B2147)+COUNTIF(O2108:Q2125,$B2147&amp;" ~*")&gt;0)+(COUNTIF(S2108:U2125,$B2147)+COUNTIF(S2108:U2125,$B2147&amp;" ~*")&gt;0)+(COUNTIF(W2108:W2125,$B2147)+COUNTIF(W2108:W2125,$B2147&amp;" ~*")&gt;0)+(COUNTIF(Y2108:Y2125,$B2147)+COUNTIF(Y2108:Y2125,$B2147&amp;" ~*")&gt;0))</f>
        <v/>
      </c>
      <c r="AC2147" s="36">
        <f>IF($B2147="","",(IFERROR(INDEX(Setup!$G$33:$G$40,MATCH(C2147,Setup!$B$33:$B$40,0)),0)=1)*(COUNTIF(C2108:E2125,$B2147)+COUNTIF(C2108:E2125,$B2147&amp;" ~*")&gt;0)+(IFERROR(INDEX(Setup!$G$33:$G$40,MATCH(G2147,Setup!$B$33:$B$40,0)),0)=1)*(COUNTIF(G2108:I2125,$B2147)+COUNTIF(G2108:I2125,$B2147&amp;" ~*")&gt;0)+(IFERROR(INDEX(Setup!$G$33:$G$40,MATCH(K2147,Setup!$B$33:$B$40,0)),0)=1)*(COUNTIF(K2108:M2125,$B2147)+COUNTIF(K2108:M2125,$B2147&amp;" ~*")&gt;0)+(IFERROR(INDEX(Setup!$G$33:$G$40,MATCH(O2147,Setup!$B$33:$B$40,0)),0)=1)*(COUNTIF(O2108:Q2125,$B2147)+COUNTIF(O2108:Q2125,$B2147&amp;" ~*")&gt;0)+(IFERROR(INDEX(Setup!$G$33:$G$40,MATCH(S2147,Setup!$B$33:$B$40,0)),0)=1)*(COUNTIF(S2108:U2125,$B2147)+COUNTIF(S2108:U2125,$B2147&amp;" ~*")&gt;0)+(IFERROR(INDEX(Setup!$G$33:$G$40,MATCH(W2147,Setup!$B$33:$B$40,0)),0)=1)*(COUNTIF(W2108:W2125,$B2147)+COUNTIF(W2108:W2125,$B2147&amp;" ~*")&gt;0)+(IFERROR(INDEX(Setup!$G$33:$G$40,MATCH(Y2147,Setup!$B$33:$B$40,0)),0)=1)*(COUNTIF(Y2108:Y2125,$B2147)+COUNTIF(Y2108:Y2125,$B2147&amp;" ~*")&gt;0))</f>
        <v/>
      </c>
    </row>
    <row r="2148" ht="15" customHeight="1">
      <c r="A2148" t="n">
        <v>43</v>
      </c>
      <c r="B2148" s="37">
        <f>IF(Setup!$B$27="","",Setup!$B$27)</f>
        <v/>
      </c>
      <c r="C2148" s="102" t="n"/>
      <c r="D2148" s="103" t="n"/>
      <c r="E2148" s="103" t="n"/>
      <c r="F2148" s="104" t="n"/>
      <c r="G2148" s="102" t="n"/>
      <c r="H2148" s="103" t="n"/>
      <c r="I2148" s="103" t="n"/>
      <c r="J2148" s="104" t="n"/>
      <c r="K2148" s="102" t="n"/>
      <c r="L2148" s="103" t="n"/>
      <c r="M2148" s="103" t="n"/>
      <c r="N2148" s="104" t="n"/>
      <c r="O2148" s="102" t="n"/>
      <c r="P2148" s="103" t="n"/>
      <c r="Q2148" s="103" t="n"/>
      <c r="R2148" s="104" t="n"/>
      <c r="S2148" s="102" t="n"/>
      <c r="T2148" s="103" t="n"/>
      <c r="U2148" s="103" t="n"/>
      <c r="V2148" s="104" t="n"/>
      <c r="W2148" s="102" t="n"/>
      <c r="X2148" s="104" t="n"/>
      <c r="Y2148" s="102" t="n"/>
      <c r="Z2148" s="104" t="n"/>
      <c r="AB2148" s="105">
        <f>IF($B2148="","",(COUNTIF(C2108:E2125,$B2148)+COUNTIF(C2108:E2125,$B2148&amp;" ~*")&gt;0)+(COUNTIF(G2108:I2125,$B2148)+COUNTIF(G2108:I2125,$B2148&amp;" ~*")&gt;0)+(COUNTIF(K2108:M2125,$B2148)+COUNTIF(K2108:M2125,$B2148&amp;" ~*")&gt;0)+(COUNTIF(O2108:Q2125,$B2148)+COUNTIF(O2108:Q2125,$B2148&amp;" ~*")&gt;0)+(COUNTIF(S2108:U2125,$B2148)+COUNTIF(S2108:U2125,$B2148&amp;" ~*")&gt;0)+(COUNTIF(W2108:W2125,$B2148)+COUNTIF(W2108:W2125,$B2148&amp;" ~*")&gt;0)+(COUNTIF(Y2108:Y2125,$B2148)+COUNTIF(Y2108:Y2125,$B2148&amp;" ~*")&gt;0))</f>
        <v/>
      </c>
      <c r="AC2148" s="38">
        <f>IF($B2148="","",(IFERROR(INDEX(Setup!$G$33:$G$40,MATCH(C2148,Setup!$B$33:$B$40,0)),0)=1)*(COUNTIF(C2108:E2125,$B2148)+COUNTIF(C2108:E2125,$B2148&amp;" ~*")&gt;0)+(IFERROR(INDEX(Setup!$G$33:$G$40,MATCH(G2148,Setup!$B$33:$B$40,0)),0)=1)*(COUNTIF(G2108:I2125,$B2148)+COUNTIF(G2108:I2125,$B2148&amp;" ~*")&gt;0)+(IFERROR(INDEX(Setup!$G$33:$G$40,MATCH(K2148,Setup!$B$33:$B$40,0)),0)=1)*(COUNTIF(K2108:M2125,$B2148)+COUNTIF(K2108:M2125,$B2148&amp;" ~*")&gt;0)+(IFERROR(INDEX(Setup!$G$33:$G$40,MATCH(O2148,Setup!$B$33:$B$40,0)),0)=1)*(COUNTIF(O2108:Q2125,$B2148)+COUNTIF(O2108:Q2125,$B2148&amp;" ~*")&gt;0)+(IFERROR(INDEX(Setup!$G$33:$G$40,MATCH(S2148,Setup!$B$33:$B$40,0)),0)=1)*(COUNTIF(S2108:U2125,$B2148)+COUNTIF(S2108:U2125,$B2148&amp;" ~*")&gt;0)+(IFERROR(INDEX(Setup!$G$33:$G$40,MATCH(W2148,Setup!$B$33:$B$40,0)),0)=1)*(COUNTIF(W2108:W2125,$B2148)+COUNTIF(W2108:W2125,$B2148&amp;" ~*")&gt;0)+(IFERROR(INDEX(Setup!$G$33:$G$40,MATCH(Y2148,Setup!$B$33:$B$40,0)),0)=1)*(COUNTIF(Y2108:Y2125,$B2148)+COUNTIF(Y2108:Y2125,$B2148&amp;" ~*")&gt;0))</f>
        <v/>
      </c>
    </row>
    <row r="2149" ht="15" customHeight="1">
      <c r="A2149" t="n">
        <v>43</v>
      </c>
      <c r="B2149" s="35">
        <f>IF(Setup!$B$28="","",Setup!$B$28)</f>
        <v/>
      </c>
      <c r="C2149" s="98" t="n"/>
      <c r="D2149" s="99" t="n"/>
      <c r="E2149" s="99" t="n"/>
      <c r="F2149" s="100" t="n"/>
      <c r="G2149" s="98" t="n"/>
      <c r="H2149" s="99" t="n"/>
      <c r="I2149" s="99" t="n"/>
      <c r="J2149" s="100" t="n"/>
      <c r="K2149" s="98" t="n"/>
      <c r="L2149" s="99" t="n"/>
      <c r="M2149" s="99" t="n"/>
      <c r="N2149" s="100" t="n"/>
      <c r="O2149" s="98" t="n"/>
      <c r="P2149" s="99" t="n"/>
      <c r="Q2149" s="99" t="n"/>
      <c r="R2149" s="100" t="n"/>
      <c r="S2149" s="98" t="n"/>
      <c r="T2149" s="99" t="n"/>
      <c r="U2149" s="99" t="n"/>
      <c r="V2149" s="100" t="n"/>
      <c r="W2149" s="98" t="n"/>
      <c r="X2149" s="100" t="n"/>
      <c r="Y2149" s="98" t="n"/>
      <c r="Z2149" s="100" t="n"/>
      <c r="AB2149" s="101">
        <f>IF($B2149="","",(COUNTIF(C2108:E2125,$B2149)+COUNTIF(C2108:E2125,$B2149&amp;" ~*")&gt;0)+(COUNTIF(G2108:I2125,$B2149)+COUNTIF(G2108:I2125,$B2149&amp;" ~*")&gt;0)+(COUNTIF(K2108:M2125,$B2149)+COUNTIF(K2108:M2125,$B2149&amp;" ~*")&gt;0)+(COUNTIF(O2108:Q2125,$B2149)+COUNTIF(O2108:Q2125,$B2149&amp;" ~*")&gt;0)+(COUNTIF(S2108:U2125,$B2149)+COUNTIF(S2108:U2125,$B2149&amp;" ~*")&gt;0)+(COUNTIF(W2108:W2125,$B2149)+COUNTIF(W2108:W2125,$B2149&amp;" ~*")&gt;0)+(COUNTIF(Y2108:Y2125,$B2149)+COUNTIF(Y2108:Y2125,$B2149&amp;" ~*")&gt;0))</f>
        <v/>
      </c>
      <c r="AC2149" s="36">
        <f>IF($B2149="","",(IFERROR(INDEX(Setup!$G$33:$G$40,MATCH(C2149,Setup!$B$33:$B$40,0)),0)=1)*(COUNTIF(C2108:E2125,$B2149)+COUNTIF(C2108:E2125,$B2149&amp;" ~*")&gt;0)+(IFERROR(INDEX(Setup!$G$33:$G$40,MATCH(G2149,Setup!$B$33:$B$40,0)),0)=1)*(COUNTIF(G2108:I2125,$B2149)+COUNTIF(G2108:I2125,$B2149&amp;" ~*")&gt;0)+(IFERROR(INDEX(Setup!$G$33:$G$40,MATCH(K2149,Setup!$B$33:$B$40,0)),0)=1)*(COUNTIF(K2108:M2125,$B2149)+COUNTIF(K2108:M2125,$B2149&amp;" ~*")&gt;0)+(IFERROR(INDEX(Setup!$G$33:$G$40,MATCH(O2149,Setup!$B$33:$B$40,0)),0)=1)*(COUNTIF(O2108:Q2125,$B2149)+COUNTIF(O2108:Q2125,$B2149&amp;" ~*")&gt;0)+(IFERROR(INDEX(Setup!$G$33:$G$40,MATCH(S2149,Setup!$B$33:$B$40,0)),0)=1)*(COUNTIF(S2108:U2125,$B2149)+COUNTIF(S2108:U2125,$B2149&amp;" ~*")&gt;0)+(IFERROR(INDEX(Setup!$G$33:$G$40,MATCH(W2149,Setup!$B$33:$B$40,0)),0)=1)*(COUNTIF(W2108:W2125,$B2149)+COUNTIF(W2108:W2125,$B2149&amp;" ~*")&gt;0)+(IFERROR(INDEX(Setup!$G$33:$G$40,MATCH(Y2149,Setup!$B$33:$B$40,0)),0)=1)*(COUNTIF(Y2108:Y2125,$B2149)+COUNTIF(Y2108:Y2125,$B2149&amp;" ~*")&gt;0))</f>
        <v/>
      </c>
    </row>
    <row r="2150" ht="15" customHeight="1">
      <c r="A2150" t="n">
        <v>43</v>
      </c>
      <c r="B2150" s="37">
        <f>IF(Setup!$B$29="","",Setup!$B$29)</f>
        <v/>
      </c>
      <c r="C2150" s="102" t="n"/>
      <c r="D2150" s="103" t="n"/>
      <c r="E2150" s="103" t="n"/>
      <c r="F2150" s="104" t="n"/>
      <c r="G2150" s="102" t="n"/>
      <c r="H2150" s="103" t="n"/>
      <c r="I2150" s="103" t="n"/>
      <c r="J2150" s="104" t="n"/>
      <c r="K2150" s="102" t="n"/>
      <c r="L2150" s="103" t="n"/>
      <c r="M2150" s="103" t="n"/>
      <c r="N2150" s="104" t="n"/>
      <c r="O2150" s="102" t="n"/>
      <c r="P2150" s="103" t="n"/>
      <c r="Q2150" s="103" t="n"/>
      <c r="R2150" s="104" t="n"/>
      <c r="S2150" s="102" t="n"/>
      <c r="T2150" s="103" t="n"/>
      <c r="U2150" s="103" t="n"/>
      <c r="V2150" s="104" t="n"/>
      <c r="W2150" s="102" t="n"/>
      <c r="X2150" s="104" t="n"/>
      <c r="Y2150" s="102" t="n"/>
      <c r="Z2150" s="104" t="n"/>
      <c r="AB2150" s="105">
        <f>IF($B2150="","",(COUNTIF(C2108:E2125,$B2150)+COUNTIF(C2108:E2125,$B2150&amp;" ~*")&gt;0)+(COUNTIF(G2108:I2125,$B2150)+COUNTIF(G2108:I2125,$B2150&amp;" ~*")&gt;0)+(COUNTIF(K2108:M2125,$B2150)+COUNTIF(K2108:M2125,$B2150&amp;" ~*")&gt;0)+(COUNTIF(O2108:Q2125,$B2150)+COUNTIF(O2108:Q2125,$B2150&amp;" ~*")&gt;0)+(COUNTIF(S2108:U2125,$B2150)+COUNTIF(S2108:U2125,$B2150&amp;" ~*")&gt;0)+(COUNTIF(W2108:W2125,$B2150)+COUNTIF(W2108:W2125,$B2150&amp;" ~*")&gt;0)+(COUNTIF(Y2108:Y2125,$B2150)+COUNTIF(Y2108:Y2125,$B2150&amp;" ~*")&gt;0))</f>
        <v/>
      </c>
      <c r="AC2150" s="38">
        <f>IF($B2150="","",(IFERROR(INDEX(Setup!$G$33:$G$40,MATCH(C2150,Setup!$B$33:$B$40,0)),0)=1)*(COUNTIF(C2108:E2125,$B2150)+COUNTIF(C2108:E2125,$B2150&amp;" ~*")&gt;0)+(IFERROR(INDEX(Setup!$G$33:$G$40,MATCH(G2150,Setup!$B$33:$B$40,0)),0)=1)*(COUNTIF(G2108:I2125,$B2150)+COUNTIF(G2108:I2125,$B2150&amp;" ~*")&gt;0)+(IFERROR(INDEX(Setup!$G$33:$G$40,MATCH(K2150,Setup!$B$33:$B$40,0)),0)=1)*(COUNTIF(K2108:M2125,$B2150)+COUNTIF(K2108:M2125,$B2150&amp;" ~*")&gt;0)+(IFERROR(INDEX(Setup!$G$33:$G$40,MATCH(O2150,Setup!$B$33:$B$40,0)),0)=1)*(COUNTIF(O2108:Q2125,$B2150)+COUNTIF(O2108:Q2125,$B2150&amp;" ~*")&gt;0)+(IFERROR(INDEX(Setup!$G$33:$G$40,MATCH(S2150,Setup!$B$33:$B$40,0)),0)=1)*(COUNTIF(S2108:U2125,$B2150)+COUNTIF(S2108:U2125,$B2150&amp;" ~*")&gt;0)+(IFERROR(INDEX(Setup!$G$33:$G$40,MATCH(W2150,Setup!$B$33:$B$40,0)),0)=1)*(COUNTIF(W2108:W2125,$B2150)+COUNTIF(W2108:W2125,$B2150&amp;" ~*")&gt;0)+(IFERROR(INDEX(Setup!$G$33:$G$40,MATCH(Y2150,Setup!$B$33:$B$40,0)),0)=1)*(COUNTIF(Y2108:Y2125,$B2150)+COUNTIF(Y2108:Y2125,$B2150&amp;" ~*")&gt;0))</f>
        <v/>
      </c>
    </row>
    <row r="2151" ht="16" customHeight="1">
      <c r="A2151" t="n">
        <v>43</v>
      </c>
      <c r="B2151" s="106" t="inlineStr">
        <is>
          <t>Available people</t>
        </is>
      </c>
      <c r="C2151" s="107">
        <f>COUNTIFS(Setup!$E$6:$E$29,"Y",Setup!$B$6:$B$29,"?*")-SUMPRODUCT(COUNTIF(C2127:C2150,Setup!$F$33:$F$40))</f>
        <v/>
      </c>
      <c r="D2151" s="107" t="n"/>
      <c r="E2151" s="107" t="n"/>
      <c r="F2151" s="107" t="n"/>
      <c r="G2151" s="107">
        <f>COUNTIFS(Setup!$E$6:$E$29,"Y",Setup!$B$6:$B$29,"?*")-SUMPRODUCT(COUNTIF(G2127:G2150,Setup!$F$33:$F$40))</f>
        <v/>
      </c>
      <c r="H2151" s="107" t="n"/>
      <c r="I2151" s="107" t="n"/>
      <c r="J2151" s="107" t="n"/>
      <c r="K2151" s="107">
        <f>COUNTIFS(Setup!$E$6:$E$29,"Y",Setup!$B$6:$B$29,"?*")-SUMPRODUCT(COUNTIF(K2127:K2150,Setup!$F$33:$F$40))</f>
        <v/>
      </c>
      <c r="L2151" s="107" t="n"/>
      <c r="M2151" s="107" t="n"/>
      <c r="N2151" s="107" t="n"/>
      <c r="O2151" s="107">
        <f>COUNTIFS(Setup!$E$6:$E$29,"Y",Setup!$B$6:$B$29,"?*")-SUMPRODUCT(COUNTIF(O2127:O2150,Setup!$F$33:$F$40))</f>
        <v/>
      </c>
      <c r="P2151" s="107" t="n"/>
      <c r="Q2151" s="107" t="n"/>
      <c r="R2151" s="107" t="n"/>
      <c r="S2151" s="107">
        <f>COUNTIFS(Setup!$E$6:$E$29,"Y",Setup!$B$6:$B$29,"?*")-SUMPRODUCT(COUNTIF(S2127:S2150,Setup!$F$33:$F$40))</f>
        <v/>
      </c>
      <c r="T2151" s="107" t="n"/>
      <c r="U2151" s="107" t="n"/>
      <c r="V2151" s="107" t="n"/>
      <c r="W2151" s="107">
        <f>COUNTIFS(Setup!$E$6:$E$29,"Y",Setup!$B$6:$B$29,"?*")-SUMPRODUCT(COUNTIF(W2127:W2150,Setup!$F$33:$F$40))</f>
        <v/>
      </c>
      <c r="X2151" s="107" t="n"/>
      <c r="Y2151" s="107">
        <f>COUNTIFS(Setup!$E$6:$E$29,"Y",Setup!$B$6:$B$29,"?*")-SUMPRODUCT(COUNTIF(Y2127:Y2150,Setup!$F$33:$F$40))</f>
        <v/>
      </c>
      <c r="Z2151" s="107" t="n"/>
      <c r="AB2151" s="108">
        <f>SUM(AB2127:AB2150)</f>
        <v/>
      </c>
      <c r="AC2151" s="109">
        <f>SUM(AC2127:AC2150)</f>
        <v/>
      </c>
    </row>
    <row r="2152" ht="30" customHeight="1">
      <c r="A2152" t="n">
        <v>43</v>
      </c>
      <c r="B2152" s="110" t="inlineStr">
        <is>
          <t>Week notes</t>
        </is>
      </c>
      <c r="C2152" s="111" t="n"/>
      <c r="D2152" s="112" t="n"/>
      <c r="E2152" s="112" t="n"/>
      <c r="F2152" s="112" t="n"/>
      <c r="G2152" s="112" t="n"/>
      <c r="H2152" s="112" t="n"/>
      <c r="I2152" s="112" t="n"/>
      <c r="J2152" s="112" t="n"/>
      <c r="K2152" s="112" t="n"/>
      <c r="L2152" s="112" t="n"/>
      <c r="M2152" s="112" t="n"/>
      <c r="N2152" s="112" t="n"/>
      <c r="O2152" s="112" t="n"/>
      <c r="P2152" s="112" t="n"/>
      <c r="Q2152" s="112" t="n"/>
      <c r="R2152" s="112" t="n"/>
      <c r="S2152" s="112" t="n"/>
      <c r="T2152" s="112" t="n"/>
      <c r="U2152" s="112" t="n"/>
      <c r="V2152" s="112" t="n"/>
      <c r="W2152" s="112" t="n"/>
      <c r="X2152" s="112" t="n"/>
      <c r="Y2152" s="112" t="n"/>
      <c r="Z2152" s="113" t="n"/>
    </row>
    <row r="2153" ht="8" customHeight="1">
      <c r="A2153" t="n">
        <v>43</v>
      </c>
    </row>
    <row r="2154" ht="8" customHeight="1">
      <c r="A2154" t="n">
        <v>43</v>
      </c>
    </row>
    <row r="2155" ht="24" customHeight="1">
      <c r="A2155" t="n">
        <v>44</v>
      </c>
      <c r="B2155" s="73">
        <f>"WEEK 44     "&amp;TEXT(C2156,"ddd d mmm")&amp;"  –  "&amp;TEXT(C2156+6,"ddd d mmm yyyy")</f>
        <v/>
      </c>
      <c r="S2155" s="74">
        <f>IF(TODAY()&lt;C2156,"FUTURE",IF(TODAY()&gt;C2156+6,"PAST","THIS WEEK"))</f>
        <v/>
      </c>
      <c r="W2155" s="75">
        <f>IF(AND(Engine!$B$8=$AC$3,Engine!$B$9=$A2155),"◀ ACTIVE WEEK","")</f>
        <v/>
      </c>
      <c r="AA2155" s="76" t="n"/>
      <c r="AB2155" s="77" t="inlineStr">
        <is>
          <t>◀ Prev</t>
        </is>
      </c>
      <c r="AC2155" s="77" t="inlineStr">
        <is>
          <t>Next ▶</t>
        </is>
      </c>
    </row>
    <row r="2156" ht="18" customHeight="1">
      <c r="A2156" t="n">
        <v>44</v>
      </c>
      <c r="B2156" s="78" t="inlineStr">
        <is>
          <t>DUTY</t>
        </is>
      </c>
      <c r="C2156" s="79">
        <f>$AC$2+7*($A2156-1)</f>
        <v/>
      </c>
      <c r="D2156" s="80" t="n"/>
      <c r="E2156" s="80" t="n"/>
      <c r="F2156" s="81" t="n"/>
      <c r="G2156" s="79">
        <f>C2156+1</f>
        <v/>
      </c>
      <c r="H2156" s="80" t="n"/>
      <c r="I2156" s="80" t="n"/>
      <c r="J2156" s="81" t="n"/>
      <c r="K2156" s="79">
        <f>C2156+2</f>
        <v/>
      </c>
      <c r="L2156" s="80" t="n"/>
      <c r="M2156" s="80" t="n"/>
      <c r="N2156" s="81" t="n"/>
      <c r="O2156" s="79">
        <f>C2156+3</f>
        <v/>
      </c>
      <c r="P2156" s="80" t="n"/>
      <c r="Q2156" s="80" t="n"/>
      <c r="R2156" s="81" t="n"/>
      <c r="S2156" s="79">
        <f>C2156+4</f>
        <v/>
      </c>
      <c r="T2156" s="80" t="n"/>
      <c r="U2156" s="80" t="n"/>
      <c r="V2156" s="81" t="n"/>
      <c r="W2156" s="82">
        <f>C2156+5</f>
        <v/>
      </c>
      <c r="X2156" s="83" t="n"/>
      <c r="Y2156" s="82">
        <f>C2156+6</f>
        <v/>
      </c>
      <c r="Z2156" s="83" t="n"/>
      <c r="AB2156" s="72" t="inlineStr">
        <is>
          <t>Gaps</t>
        </is>
      </c>
      <c r="AC2156" s="72" t="inlineStr">
        <is>
          <t>Cover</t>
        </is>
      </c>
    </row>
    <row r="2157" ht="14" customHeight="1">
      <c r="A2157" t="n">
        <v>44</v>
      </c>
      <c r="B2157" s="84" t="inlineStr">
        <is>
          <t>(from Setup)</t>
        </is>
      </c>
      <c r="C2157" s="85" t="inlineStr">
        <is>
          <t>1</t>
        </is>
      </c>
      <c r="D2157" s="85" t="inlineStr">
        <is>
          <t>2</t>
        </is>
      </c>
      <c r="E2157" s="85" t="inlineStr">
        <is>
          <t>3</t>
        </is>
      </c>
      <c r="F2157" s="85" t="inlineStr">
        <is>
          <t>Notes</t>
        </is>
      </c>
      <c r="G2157" s="85" t="inlineStr">
        <is>
          <t>1</t>
        </is>
      </c>
      <c r="H2157" s="85" t="inlineStr">
        <is>
          <t>2</t>
        </is>
      </c>
      <c r="I2157" s="85" t="inlineStr">
        <is>
          <t>3</t>
        </is>
      </c>
      <c r="J2157" s="85" t="inlineStr">
        <is>
          <t>Notes</t>
        </is>
      </c>
      <c r="K2157" s="85" t="inlineStr">
        <is>
          <t>1</t>
        </is>
      </c>
      <c r="L2157" s="85" t="inlineStr">
        <is>
          <t>2</t>
        </is>
      </c>
      <c r="M2157" s="85" t="inlineStr">
        <is>
          <t>3</t>
        </is>
      </c>
      <c r="N2157" s="85" t="inlineStr">
        <is>
          <t>Notes</t>
        </is>
      </c>
      <c r="O2157" s="85" t="inlineStr">
        <is>
          <t>1</t>
        </is>
      </c>
      <c r="P2157" s="85" t="inlineStr">
        <is>
          <t>2</t>
        </is>
      </c>
      <c r="Q2157" s="85" t="inlineStr">
        <is>
          <t>3</t>
        </is>
      </c>
      <c r="R2157" s="85" t="inlineStr">
        <is>
          <t>Notes</t>
        </is>
      </c>
      <c r="S2157" s="85" t="inlineStr">
        <is>
          <t>1</t>
        </is>
      </c>
      <c r="T2157" s="85" t="inlineStr">
        <is>
          <t>2</t>
        </is>
      </c>
      <c r="U2157" s="85" t="inlineStr">
        <is>
          <t>3</t>
        </is>
      </c>
      <c r="V2157" s="85" t="inlineStr">
        <is>
          <t>Notes</t>
        </is>
      </c>
      <c r="W2157" s="85" t="inlineStr">
        <is>
          <t>Cover</t>
        </is>
      </c>
      <c r="X2157" s="85" t="inlineStr">
        <is>
          <t>Notes</t>
        </is>
      </c>
      <c r="Y2157" s="85" t="inlineStr">
        <is>
          <t>Cover</t>
        </is>
      </c>
      <c r="Z2157" s="85" t="inlineStr">
        <is>
          <t>Notes</t>
        </is>
      </c>
      <c r="AB2157" s="86" t="inlineStr">
        <is>
          <t>weekdays short</t>
        </is>
      </c>
      <c r="AC2157" s="87" t="inlineStr"/>
    </row>
    <row r="2158" ht="17" customHeight="1">
      <c r="A2158" t="n">
        <v>44</v>
      </c>
      <c r="B2158" s="24">
        <f>IF(Setup!$K$6="","",Setup!$K$6)</f>
        <v/>
      </c>
      <c r="C2158" s="88" t="n"/>
      <c r="D2158" s="88" t="n"/>
      <c r="E2158" s="88" t="n"/>
      <c r="F2158" s="89" t="n"/>
      <c r="G2158" s="88" t="n"/>
      <c r="H2158" s="88" t="n"/>
      <c r="I2158" s="88" t="n"/>
      <c r="J2158" s="89" t="n"/>
      <c r="K2158" s="88" t="n"/>
      <c r="L2158" s="88" t="n"/>
      <c r="M2158" s="88" t="n"/>
      <c r="N2158" s="89" t="n"/>
      <c r="O2158" s="88" t="n"/>
      <c r="P2158" s="88" t="n"/>
      <c r="Q2158" s="88" t="n"/>
      <c r="R2158" s="89" t="n"/>
      <c r="S2158" s="88" t="n"/>
      <c r="T2158" s="88" t="n"/>
      <c r="U2158" s="88" t="n"/>
      <c r="V2158" s="89" t="n"/>
      <c r="W2158" s="88" t="n"/>
      <c r="X2158" s="89" t="n"/>
      <c r="Y2158" s="88" t="n"/>
      <c r="Z2158" s="89" t="n"/>
      <c r="AB2158" s="25">
        <f>IF($B2158="","",(COUNTIF(C2158:E2158,"?*")&lt;N(INDEX(Setup!$L$6:$L$23,1)))+(COUNTIF(G2158:I2158,"?*")&lt;N(INDEX(Setup!$L$6:$L$23,1)))+(COUNTIF(K2158:M2158,"?*")&lt;N(INDEX(Setup!$L$6:$L$23,1)))+(COUNTIF(O2158:Q2158,"?*")&lt;N(INDEX(Setup!$L$6:$L$23,1)))+(COUNTIF(S2158:U2158,"?*")&lt;N(INDEX(Setup!$L$6:$L$23,1)))+((W2158="")*(INDEX(Setup!$M$6:$M$23,1)="Y"))+((Y2158="")*(INDEX(Setup!$M$6:$M$23,1)="Y")))</f>
        <v/>
      </c>
      <c r="AC2158" s="90">
        <f>IF($B2158="","",IF(AB2158=0,"✓ covered","⚠ "&amp;AB2158&amp;IF(AB2158=1," gap"," gaps")))</f>
        <v/>
      </c>
    </row>
    <row r="2159" ht="17" customHeight="1">
      <c r="A2159" t="n">
        <v>44</v>
      </c>
      <c r="B2159" s="29">
        <f>IF(Setup!$K$7="","",Setup!$K$7)</f>
        <v/>
      </c>
      <c r="C2159" s="88" t="n"/>
      <c r="D2159" s="88" t="n"/>
      <c r="E2159" s="88" t="n"/>
      <c r="F2159" s="89" t="n"/>
      <c r="G2159" s="88" t="n"/>
      <c r="H2159" s="88" t="n"/>
      <c r="I2159" s="88" t="n"/>
      <c r="J2159" s="89" t="n"/>
      <c r="K2159" s="88" t="n"/>
      <c r="L2159" s="88" t="n"/>
      <c r="M2159" s="88" t="n"/>
      <c r="N2159" s="89" t="n"/>
      <c r="O2159" s="88" t="n"/>
      <c r="P2159" s="88" t="n"/>
      <c r="Q2159" s="88" t="n"/>
      <c r="R2159" s="89" t="n"/>
      <c r="S2159" s="88" t="n"/>
      <c r="T2159" s="88" t="n"/>
      <c r="U2159" s="88" t="n"/>
      <c r="V2159" s="89" t="n"/>
      <c r="W2159" s="88" t="n"/>
      <c r="X2159" s="89" t="n"/>
      <c r="Y2159" s="88" t="n"/>
      <c r="Z2159" s="89" t="n"/>
      <c r="AB2159" s="30">
        <f>IF($B2159="","",(COUNTIF(C2159:E2159,"?*")&lt;N(INDEX(Setup!$L$6:$L$23,2)))+(COUNTIF(G2159:I2159,"?*")&lt;N(INDEX(Setup!$L$6:$L$23,2)))+(COUNTIF(K2159:M2159,"?*")&lt;N(INDEX(Setup!$L$6:$L$23,2)))+(COUNTIF(O2159:Q2159,"?*")&lt;N(INDEX(Setup!$L$6:$L$23,2)))+(COUNTIF(S2159:U2159,"?*")&lt;N(INDEX(Setup!$L$6:$L$23,2)))+((W2159="")*(INDEX(Setup!$M$6:$M$23,2)="Y"))+((Y2159="")*(INDEX(Setup!$M$6:$M$23,2)="Y")))</f>
        <v/>
      </c>
      <c r="AC2159" s="91">
        <f>IF($B2159="","",IF(AB2159=0,"✓ covered","⚠ "&amp;AB2159&amp;IF(AB2159=1," gap"," gaps")))</f>
        <v/>
      </c>
    </row>
    <row r="2160" ht="17" customHeight="1">
      <c r="A2160" t="n">
        <v>44</v>
      </c>
      <c r="B2160" s="24">
        <f>IF(Setup!$K$8="","",Setup!$K$8)</f>
        <v/>
      </c>
      <c r="C2160" s="88" t="n"/>
      <c r="D2160" s="88" t="n"/>
      <c r="E2160" s="88" t="n"/>
      <c r="F2160" s="89" t="n"/>
      <c r="G2160" s="88" t="n"/>
      <c r="H2160" s="88" t="n"/>
      <c r="I2160" s="88" t="n"/>
      <c r="J2160" s="89" t="n"/>
      <c r="K2160" s="88" t="n"/>
      <c r="L2160" s="88" t="n"/>
      <c r="M2160" s="88" t="n"/>
      <c r="N2160" s="89" t="n"/>
      <c r="O2160" s="88" t="n"/>
      <c r="P2160" s="88" t="n"/>
      <c r="Q2160" s="88" t="n"/>
      <c r="R2160" s="89" t="n"/>
      <c r="S2160" s="88" t="n"/>
      <c r="T2160" s="88" t="n"/>
      <c r="U2160" s="88" t="n"/>
      <c r="V2160" s="89" t="n"/>
      <c r="W2160" s="88" t="n"/>
      <c r="X2160" s="89" t="n"/>
      <c r="Y2160" s="88" t="n"/>
      <c r="Z2160" s="89" t="n"/>
      <c r="AB2160" s="25">
        <f>IF($B2160="","",(COUNTIF(C2160:E2160,"?*")&lt;N(INDEX(Setup!$L$6:$L$23,3)))+(COUNTIF(G2160:I2160,"?*")&lt;N(INDEX(Setup!$L$6:$L$23,3)))+(COUNTIF(K2160:M2160,"?*")&lt;N(INDEX(Setup!$L$6:$L$23,3)))+(COUNTIF(O2160:Q2160,"?*")&lt;N(INDEX(Setup!$L$6:$L$23,3)))+(COUNTIF(S2160:U2160,"?*")&lt;N(INDEX(Setup!$L$6:$L$23,3)))+((W2160="")*(INDEX(Setup!$M$6:$M$23,3)="Y"))+((Y2160="")*(INDEX(Setup!$M$6:$M$23,3)="Y")))</f>
        <v/>
      </c>
      <c r="AC2160" s="90">
        <f>IF($B2160="","",IF(AB2160=0,"✓ covered","⚠ "&amp;AB2160&amp;IF(AB2160=1," gap"," gaps")))</f>
        <v/>
      </c>
    </row>
    <row r="2161" ht="17" customHeight="1">
      <c r="A2161" t="n">
        <v>44</v>
      </c>
      <c r="B2161" s="29">
        <f>IF(Setup!$K$9="","",Setup!$K$9)</f>
        <v/>
      </c>
      <c r="C2161" s="88" t="n"/>
      <c r="D2161" s="88" t="n"/>
      <c r="E2161" s="88" t="n"/>
      <c r="F2161" s="89" t="n"/>
      <c r="G2161" s="88" t="n"/>
      <c r="H2161" s="88" t="n"/>
      <c r="I2161" s="88" t="n"/>
      <c r="J2161" s="89" t="n"/>
      <c r="K2161" s="88" t="n"/>
      <c r="L2161" s="88" t="n"/>
      <c r="M2161" s="88" t="n"/>
      <c r="N2161" s="89" t="n"/>
      <c r="O2161" s="88" t="n"/>
      <c r="P2161" s="88" t="n"/>
      <c r="Q2161" s="88" t="n"/>
      <c r="R2161" s="89" t="n"/>
      <c r="S2161" s="88" t="n"/>
      <c r="T2161" s="88" t="n"/>
      <c r="U2161" s="88" t="n"/>
      <c r="V2161" s="89" t="n"/>
      <c r="W2161" s="88" t="n"/>
      <c r="X2161" s="89" t="n"/>
      <c r="Y2161" s="88" t="n"/>
      <c r="Z2161" s="89" t="n"/>
      <c r="AB2161" s="30">
        <f>IF($B2161="","",(COUNTIF(C2161:E2161,"?*")&lt;N(INDEX(Setup!$L$6:$L$23,4)))+(COUNTIF(G2161:I2161,"?*")&lt;N(INDEX(Setup!$L$6:$L$23,4)))+(COUNTIF(K2161:M2161,"?*")&lt;N(INDEX(Setup!$L$6:$L$23,4)))+(COUNTIF(O2161:Q2161,"?*")&lt;N(INDEX(Setup!$L$6:$L$23,4)))+(COUNTIF(S2161:U2161,"?*")&lt;N(INDEX(Setup!$L$6:$L$23,4)))+((W2161="")*(INDEX(Setup!$M$6:$M$23,4)="Y"))+((Y2161="")*(INDEX(Setup!$M$6:$M$23,4)="Y")))</f>
        <v/>
      </c>
      <c r="AC2161" s="91">
        <f>IF($B2161="","",IF(AB2161=0,"✓ covered","⚠ "&amp;AB2161&amp;IF(AB2161=1," gap"," gaps")))</f>
        <v/>
      </c>
    </row>
    <row r="2162" ht="17" customHeight="1">
      <c r="A2162" t="n">
        <v>44</v>
      </c>
      <c r="B2162" s="24">
        <f>IF(Setup!$K$10="","",Setup!$K$10)</f>
        <v/>
      </c>
      <c r="C2162" s="88" t="n"/>
      <c r="D2162" s="88" t="n"/>
      <c r="E2162" s="88" t="n"/>
      <c r="F2162" s="89" t="n"/>
      <c r="G2162" s="88" t="n"/>
      <c r="H2162" s="88" t="n"/>
      <c r="I2162" s="88" t="n"/>
      <c r="J2162" s="89" t="n"/>
      <c r="K2162" s="88" t="n"/>
      <c r="L2162" s="88" t="n"/>
      <c r="M2162" s="88" t="n"/>
      <c r="N2162" s="89" t="n"/>
      <c r="O2162" s="88" t="n"/>
      <c r="P2162" s="88" t="n"/>
      <c r="Q2162" s="88" t="n"/>
      <c r="R2162" s="89" t="n"/>
      <c r="S2162" s="88" t="n"/>
      <c r="T2162" s="88" t="n"/>
      <c r="U2162" s="88" t="n"/>
      <c r="V2162" s="89" t="n"/>
      <c r="W2162" s="88" t="n"/>
      <c r="X2162" s="89" t="n"/>
      <c r="Y2162" s="88" t="n"/>
      <c r="Z2162" s="89" t="n"/>
      <c r="AB2162" s="25">
        <f>IF($B2162="","",(COUNTIF(C2162:E2162,"?*")&lt;N(INDEX(Setup!$L$6:$L$23,5)))+(COUNTIF(G2162:I2162,"?*")&lt;N(INDEX(Setup!$L$6:$L$23,5)))+(COUNTIF(K2162:M2162,"?*")&lt;N(INDEX(Setup!$L$6:$L$23,5)))+(COUNTIF(O2162:Q2162,"?*")&lt;N(INDEX(Setup!$L$6:$L$23,5)))+(COUNTIF(S2162:U2162,"?*")&lt;N(INDEX(Setup!$L$6:$L$23,5)))+((W2162="")*(INDEX(Setup!$M$6:$M$23,5)="Y"))+((Y2162="")*(INDEX(Setup!$M$6:$M$23,5)="Y")))</f>
        <v/>
      </c>
      <c r="AC2162" s="90">
        <f>IF($B2162="","",IF(AB2162=0,"✓ covered","⚠ "&amp;AB2162&amp;IF(AB2162=1," gap"," gaps")))</f>
        <v/>
      </c>
    </row>
    <row r="2163" ht="17" customHeight="1">
      <c r="A2163" t="n">
        <v>44</v>
      </c>
      <c r="B2163" s="29">
        <f>IF(Setup!$K$11="","",Setup!$K$11)</f>
        <v/>
      </c>
      <c r="C2163" s="88" t="n"/>
      <c r="D2163" s="88" t="n"/>
      <c r="E2163" s="88" t="n"/>
      <c r="F2163" s="89" t="n"/>
      <c r="G2163" s="88" t="n"/>
      <c r="H2163" s="88" t="n"/>
      <c r="I2163" s="88" t="n"/>
      <c r="J2163" s="89" t="n"/>
      <c r="K2163" s="88" t="n"/>
      <c r="L2163" s="88" t="n"/>
      <c r="M2163" s="88" t="n"/>
      <c r="N2163" s="89" t="n"/>
      <c r="O2163" s="88" t="n"/>
      <c r="P2163" s="88" t="n"/>
      <c r="Q2163" s="88" t="n"/>
      <c r="R2163" s="89" t="n"/>
      <c r="S2163" s="88" t="n"/>
      <c r="T2163" s="88" t="n"/>
      <c r="U2163" s="88" t="n"/>
      <c r="V2163" s="89" t="n"/>
      <c r="W2163" s="88" t="n"/>
      <c r="X2163" s="89" t="n"/>
      <c r="Y2163" s="88" t="n"/>
      <c r="Z2163" s="89" t="n"/>
      <c r="AB2163" s="30">
        <f>IF($B2163="","",(COUNTIF(C2163:E2163,"?*")&lt;N(INDEX(Setup!$L$6:$L$23,6)))+(COUNTIF(G2163:I2163,"?*")&lt;N(INDEX(Setup!$L$6:$L$23,6)))+(COUNTIF(K2163:M2163,"?*")&lt;N(INDEX(Setup!$L$6:$L$23,6)))+(COUNTIF(O2163:Q2163,"?*")&lt;N(INDEX(Setup!$L$6:$L$23,6)))+(COUNTIF(S2163:U2163,"?*")&lt;N(INDEX(Setup!$L$6:$L$23,6)))+((W2163="")*(INDEX(Setup!$M$6:$M$23,6)="Y"))+((Y2163="")*(INDEX(Setup!$M$6:$M$23,6)="Y")))</f>
        <v/>
      </c>
      <c r="AC2163" s="91">
        <f>IF($B2163="","",IF(AB2163=0,"✓ covered","⚠ "&amp;AB2163&amp;IF(AB2163=1," gap"," gaps")))</f>
        <v/>
      </c>
    </row>
    <row r="2164" ht="17" customHeight="1">
      <c r="A2164" t="n">
        <v>44</v>
      </c>
      <c r="B2164" s="24">
        <f>IF(Setup!$K$12="","",Setup!$K$12)</f>
        <v/>
      </c>
      <c r="C2164" s="88" t="n"/>
      <c r="D2164" s="88" t="n"/>
      <c r="E2164" s="88" t="n"/>
      <c r="F2164" s="89" t="n"/>
      <c r="G2164" s="88" t="n"/>
      <c r="H2164" s="88" t="n"/>
      <c r="I2164" s="88" t="n"/>
      <c r="J2164" s="89" t="n"/>
      <c r="K2164" s="88" t="n"/>
      <c r="L2164" s="88" t="n"/>
      <c r="M2164" s="88" t="n"/>
      <c r="N2164" s="89" t="n"/>
      <c r="O2164" s="88" t="n"/>
      <c r="P2164" s="88" t="n"/>
      <c r="Q2164" s="88" t="n"/>
      <c r="R2164" s="89" t="n"/>
      <c r="S2164" s="88" t="n"/>
      <c r="T2164" s="88" t="n"/>
      <c r="U2164" s="88" t="n"/>
      <c r="V2164" s="89" t="n"/>
      <c r="W2164" s="88" t="n"/>
      <c r="X2164" s="89" t="n"/>
      <c r="Y2164" s="88" t="n"/>
      <c r="Z2164" s="89" t="n"/>
      <c r="AB2164" s="25">
        <f>IF($B2164="","",(COUNTIF(C2164:E2164,"?*")&lt;N(INDEX(Setup!$L$6:$L$23,7)))+(COUNTIF(G2164:I2164,"?*")&lt;N(INDEX(Setup!$L$6:$L$23,7)))+(COUNTIF(K2164:M2164,"?*")&lt;N(INDEX(Setup!$L$6:$L$23,7)))+(COUNTIF(O2164:Q2164,"?*")&lt;N(INDEX(Setup!$L$6:$L$23,7)))+(COUNTIF(S2164:U2164,"?*")&lt;N(INDEX(Setup!$L$6:$L$23,7)))+((W2164="")*(INDEX(Setup!$M$6:$M$23,7)="Y"))+((Y2164="")*(INDEX(Setup!$M$6:$M$23,7)="Y")))</f>
        <v/>
      </c>
      <c r="AC2164" s="90">
        <f>IF($B2164="","",IF(AB2164=0,"✓ covered","⚠ "&amp;AB2164&amp;IF(AB2164=1," gap"," gaps")))</f>
        <v/>
      </c>
    </row>
    <row r="2165" ht="17" customHeight="1">
      <c r="A2165" t="n">
        <v>44</v>
      </c>
      <c r="B2165" s="29">
        <f>IF(Setup!$K$13="","",Setup!$K$13)</f>
        <v/>
      </c>
      <c r="C2165" s="88" t="n"/>
      <c r="D2165" s="88" t="n"/>
      <c r="E2165" s="88" t="n"/>
      <c r="F2165" s="89" t="n"/>
      <c r="G2165" s="88" t="n"/>
      <c r="H2165" s="88" t="n"/>
      <c r="I2165" s="88" t="n"/>
      <c r="J2165" s="89" t="n"/>
      <c r="K2165" s="88" t="n"/>
      <c r="L2165" s="88" t="n"/>
      <c r="M2165" s="88" t="n"/>
      <c r="N2165" s="89" t="n"/>
      <c r="O2165" s="88" t="n"/>
      <c r="P2165" s="88" t="n"/>
      <c r="Q2165" s="88" t="n"/>
      <c r="R2165" s="89" t="n"/>
      <c r="S2165" s="88" t="n"/>
      <c r="T2165" s="88" t="n"/>
      <c r="U2165" s="88" t="n"/>
      <c r="V2165" s="89" t="n"/>
      <c r="W2165" s="88" t="n"/>
      <c r="X2165" s="89" t="n"/>
      <c r="Y2165" s="88" t="n"/>
      <c r="Z2165" s="89" t="n"/>
      <c r="AB2165" s="30">
        <f>IF($B2165="","",(COUNTIF(C2165:E2165,"?*")&lt;N(INDEX(Setup!$L$6:$L$23,8)))+(COUNTIF(G2165:I2165,"?*")&lt;N(INDEX(Setup!$L$6:$L$23,8)))+(COUNTIF(K2165:M2165,"?*")&lt;N(INDEX(Setup!$L$6:$L$23,8)))+(COUNTIF(O2165:Q2165,"?*")&lt;N(INDEX(Setup!$L$6:$L$23,8)))+(COUNTIF(S2165:U2165,"?*")&lt;N(INDEX(Setup!$L$6:$L$23,8)))+((W2165="")*(INDEX(Setup!$M$6:$M$23,8)="Y"))+((Y2165="")*(INDEX(Setup!$M$6:$M$23,8)="Y")))</f>
        <v/>
      </c>
      <c r="AC2165" s="91">
        <f>IF($B2165="","",IF(AB2165=0,"✓ covered","⚠ "&amp;AB2165&amp;IF(AB2165=1," gap"," gaps")))</f>
        <v/>
      </c>
    </row>
    <row r="2166" ht="17" customHeight="1">
      <c r="A2166" t="n">
        <v>44</v>
      </c>
      <c r="B2166" s="24">
        <f>IF(Setup!$K$14="","",Setup!$K$14)</f>
        <v/>
      </c>
      <c r="C2166" s="88" t="n"/>
      <c r="D2166" s="88" t="n"/>
      <c r="E2166" s="88" t="n"/>
      <c r="F2166" s="89" t="n"/>
      <c r="G2166" s="88" t="n"/>
      <c r="H2166" s="88" t="n"/>
      <c r="I2166" s="88" t="n"/>
      <c r="J2166" s="89" t="n"/>
      <c r="K2166" s="88" t="n"/>
      <c r="L2166" s="88" t="n"/>
      <c r="M2166" s="88" t="n"/>
      <c r="N2166" s="89" t="n"/>
      <c r="O2166" s="88" t="n"/>
      <c r="P2166" s="88" t="n"/>
      <c r="Q2166" s="88" t="n"/>
      <c r="R2166" s="89" t="n"/>
      <c r="S2166" s="88" t="n"/>
      <c r="T2166" s="88" t="n"/>
      <c r="U2166" s="88" t="n"/>
      <c r="V2166" s="89" t="n"/>
      <c r="W2166" s="88" t="n"/>
      <c r="X2166" s="89" t="n"/>
      <c r="Y2166" s="88" t="n"/>
      <c r="Z2166" s="89" t="n"/>
      <c r="AB2166" s="25">
        <f>IF($B2166="","",(COUNTIF(C2166:E2166,"?*")&lt;N(INDEX(Setup!$L$6:$L$23,9)))+(COUNTIF(G2166:I2166,"?*")&lt;N(INDEX(Setup!$L$6:$L$23,9)))+(COUNTIF(K2166:M2166,"?*")&lt;N(INDEX(Setup!$L$6:$L$23,9)))+(COUNTIF(O2166:Q2166,"?*")&lt;N(INDEX(Setup!$L$6:$L$23,9)))+(COUNTIF(S2166:U2166,"?*")&lt;N(INDEX(Setup!$L$6:$L$23,9)))+((W2166="")*(INDEX(Setup!$M$6:$M$23,9)="Y"))+((Y2166="")*(INDEX(Setup!$M$6:$M$23,9)="Y")))</f>
        <v/>
      </c>
      <c r="AC2166" s="90">
        <f>IF($B2166="","",IF(AB2166=0,"✓ covered","⚠ "&amp;AB2166&amp;IF(AB2166=1," gap"," gaps")))</f>
        <v/>
      </c>
    </row>
    <row r="2167" ht="17" customHeight="1">
      <c r="A2167" t="n">
        <v>44</v>
      </c>
      <c r="B2167" s="29">
        <f>IF(Setup!$K$15="","",Setup!$K$15)</f>
        <v/>
      </c>
      <c r="C2167" s="88" t="n"/>
      <c r="D2167" s="88" t="n"/>
      <c r="E2167" s="88" t="n"/>
      <c r="F2167" s="89" t="n"/>
      <c r="G2167" s="88" t="n"/>
      <c r="H2167" s="88" t="n"/>
      <c r="I2167" s="88" t="n"/>
      <c r="J2167" s="89" t="n"/>
      <c r="K2167" s="88" t="n"/>
      <c r="L2167" s="88" t="n"/>
      <c r="M2167" s="88" t="n"/>
      <c r="N2167" s="89" t="n"/>
      <c r="O2167" s="88" t="n"/>
      <c r="P2167" s="88" t="n"/>
      <c r="Q2167" s="88" t="n"/>
      <c r="R2167" s="89" t="n"/>
      <c r="S2167" s="88" t="n"/>
      <c r="T2167" s="88" t="n"/>
      <c r="U2167" s="88" t="n"/>
      <c r="V2167" s="89" t="n"/>
      <c r="W2167" s="88" t="n"/>
      <c r="X2167" s="89" t="n"/>
      <c r="Y2167" s="88" t="n"/>
      <c r="Z2167" s="89" t="n"/>
      <c r="AB2167" s="30">
        <f>IF($B2167="","",(COUNTIF(C2167:E2167,"?*")&lt;N(INDEX(Setup!$L$6:$L$23,10)))+(COUNTIF(G2167:I2167,"?*")&lt;N(INDEX(Setup!$L$6:$L$23,10)))+(COUNTIF(K2167:M2167,"?*")&lt;N(INDEX(Setup!$L$6:$L$23,10)))+(COUNTIF(O2167:Q2167,"?*")&lt;N(INDEX(Setup!$L$6:$L$23,10)))+(COUNTIF(S2167:U2167,"?*")&lt;N(INDEX(Setup!$L$6:$L$23,10)))+((W2167="")*(INDEX(Setup!$M$6:$M$23,10)="Y"))+((Y2167="")*(INDEX(Setup!$M$6:$M$23,10)="Y")))</f>
        <v/>
      </c>
      <c r="AC2167" s="91">
        <f>IF($B2167="","",IF(AB2167=0,"✓ covered","⚠ "&amp;AB2167&amp;IF(AB2167=1," gap"," gaps")))</f>
        <v/>
      </c>
    </row>
    <row r="2168" ht="17" customHeight="1">
      <c r="A2168" t="n">
        <v>44</v>
      </c>
      <c r="B2168" s="24">
        <f>IF(Setup!$K$16="","",Setup!$K$16)</f>
        <v/>
      </c>
      <c r="C2168" s="88" t="n"/>
      <c r="D2168" s="88" t="n"/>
      <c r="E2168" s="88" t="n"/>
      <c r="F2168" s="89" t="n"/>
      <c r="G2168" s="88" t="n"/>
      <c r="H2168" s="88" t="n"/>
      <c r="I2168" s="88" t="n"/>
      <c r="J2168" s="89" t="n"/>
      <c r="K2168" s="88" t="n"/>
      <c r="L2168" s="88" t="n"/>
      <c r="M2168" s="88" t="n"/>
      <c r="N2168" s="89" t="n"/>
      <c r="O2168" s="88" t="n"/>
      <c r="P2168" s="88" t="n"/>
      <c r="Q2168" s="88" t="n"/>
      <c r="R2168" s="89" t="n"/>
      <c r="S2168" s="88" t="n"/>
      <c r="T2168" s="88" t="n"/>
      <c r="U2168" s="88" t="n"/>
      <c r="V2168" s="89" t="n"/>
      <c r="W2168" s="88" t="n"/>
      <c r="X2168" s="89" t="n"/>
      <c r="Y2168" s="88" t="n"/>
      <c r="Z2168" s="89" t="n"/>
      <c r="AB2168" s="25">
        <f>IF($B2168="","",(COUNTIF(C2168:E2168,"?*")&lt;N(INDEX(Setup!$L$6:$L$23,11)))+(COUNTIF(G2168:I2168,"?*")&lt;N(INDEX(Setup!$L$6:$L$23,11)))+(COUNTIF(K2168:M2168,"?*")&lt;N(INDEX(Setup!$L$6:$L$23,11)))+(COUNTIF(O2168:Q2168,"?*")&lt;N(INDEX(Setup!$L$6:$L$23,11)))+(COUNTIF(S2168:U2168,"?*")&lt;N(INDEX(Setup!$L$6:$L$23,11)))+((W2168="")*(INDEX(Setup!$M$6:$M$23,11)="Y"))+((Y2168="")*(INDEX(Setup!$M$6:$M$23,11)="Y")))</f>
        <v/>
      </c>
      <c r="AC2168" s="90">
        <f>IF($B2168="","",IF(AB2168=0,"✓ covered","⚠ "&amp;AB2168&amp;IF(AB2168=1," gap"," gaps")))</f>
        <v/>
      </c>
    </row>
    <row r="2169" ht="17" customHeight="1">
      <c r="A2169" t="n">
        <v>44</v>
      </c>
      <c r="B2169" s="29">
        <f>IF(Setup!$K$17="","",Setup!$K$17)</f>
        <v/>
      </c>
      <c r="C2169" s="88" t="n"/>
      <c r="D2169" s="88" t="n"/>
      <c r="E2169" s="88" t="n"/>
      <c r="F2169" s="89" t="n"/>
      <c r="G2169" s="88" t="n"/>
      <c r="H2169" s="88" t="n"/>
      <c r="I2169" s="88" t="n"/>
      <c r="J2169" s="89" t="n"/>
      <c r="K2169" s="88" t="n"/>
      <c r="L2169" s="88" t="n"/>
      <c r="M2169" s="88" t="n"/>
      <c r="N2169" s="89" t="n"/>
      <c r="O2169" s="88" t="n"/>
      <c r="P2169" s="88" t="n"/>
      <c r="Q2169" s="88" t="n"/>
      <c r="R2169" s="89" t="n"/>
      <c r="S2169" s="88" t="n"/>
      <c r="T2169" s="88" t="n"/>
      <c r="U2169" s="88" t="n"/>
      <c r="V2169" s="89" t="n"/>
      <c r="W2169" s="88" t="n"/>
      <c r="X2169" s="89" t="n"/>
      <c r="Y2169" s="88" t="n"/>
      <c r="Z2169" s="89" t="n"/>
      <c r="AB2169" s="30">
        <f>IF($B2169="","",(COUNTIF(C2169:E2169,"?*")&lt;N(INDEX(Setup!$L$6:$L$23,12)))+(COUNTIF(G2169:I2169,"?*")&lt;N(INDEX(Setup!$L$6:$L$23,12)))+(COUNTIF(K2169:M2169,"?*")&lt;N(INDEX(Setup!$L$6:$L$23,12)))+(COUNTIF(O2169:Q2169,"?*")&lt;N(INDEX(Setup!$L$6:$L$23,12)))+(COUNTIF(S2169:U2169,"?*")&lt;N(INDEX(Setup!$L$6:$L$23,12)))+((W2169="")*(INDEX(Setup!$M$6:$M$23,12)="Y"))+((Y2169="")*(INDEX(Setup!$M$6:$M$23,12)="Y")))</f>
        <v/>
      </c>
      <c r="AC2169" s="91">
        <f>IF($B2169="","",IF(AB2169=0,"✓ covered","⚠ "&amp;AB2169&amp;IF(AB2169=1," gap"," gaps")))</f>
        <v/>
      </c>
    </row>
    <row r="2170" ht="17" customHeight="1">
      <c r="A2170" t="n">
        <v>44</v>
      </c>
      <c r="B2170" s="24">
        <f>IF(Setup!$K$18="","",Setup!$K$18)</f>
        <v/>
      </c>
      <c r="C2170" s="88" t="n"/>
      <c r="D2170" s="88" t="n"/>
      <c r="E2170" s="88" t="n"/>
      <c r="F2170" s="89" t="n"/>
      <c r="G2170" s="88" t="n"/>
      <c r="H2170" s="88" t="n"/>
      <c r="I2170" s="88" t="n"/>
      <c r="J2170" s="89" t="n"/>
      <c r="K2170" s="88" t="n"/>
      <c r="L2170" s="88" t="n"/>
      <c r="M2170" s="88" t="n"/>
      <c r="N2170" s="89" t="n"/>
      <c r="O2170" s="88" t="n"/>
      <c r="P2170" s="88" t="n"/>
      <c r="Q2170" s="88" t="n"/>
      <c r="R2170" s="89" t="n"/>
      <c r="S2170" s="88" t="n"/>
      <c r="T2170" s="88" t="n"/>
      <c r="U2170" s="88" t="n"/>
      <c r="V2170" s="89" t="n"/>
      <c r="W2170" s="88" t="n"/>
      <c r="X2170" s="89" t="n"/>
      <c r="Y2170" s="88" t="n"/>
      <c r="Z2170" s="89" t="n"/>
      <c r="AB2170" s="25">
        <f>IF($B2170="","",(COUNTIF(C2170:E2170,"?*")&lt;N(INDEX(Setup!$L$6:$L$23,13)))+(COUNTIF(G2170:I2170,"?*")&lt;N(INDEX(Setup!$L$6:$L$23,13)))+(COUNTIF(K2170:M2170,"?*")&lt;N(INDEX(Setup!$L$6:$L$23,13)))+(COUNTIF(O2170:Q2170,"?*")&lt;N(INDEX(Setup!$L$6:$L$23,13)))+(COUNTIF(S2170:U2170,"?*")&lt;N(INDEX(Setup!$L$6:$L$23,13)))+((W2170="")*(INDEX(Setup!$M$6:$M$23,13)="Y"))+((Y2170="")*(INDEX(Setup!$M$6:$M$23,13)="Y")))</f>
        <v/>
      </c>
      <c r="AC2170" s="90">
        <f>IF($B2170="","",IF(AB2170=0,"✓ covered","⚠ "&amp;AB2170&amp;IF(AB2170=1," gap"," gaps")))</f>
        <v/>
      </c>
    </row>
    <row r="2171" ht="17" customHeight="1">
      <c r="A2171" t="n">
        <v>44</v>
      </c>
      <c r="B2171" s="29">
        <f>IF(Setup!$K$19="","",Setup!$K$19)</f>
        <v/>
      </c>
      <c r="C2171" s="88" t="n"/>
      <c r="D2171" s="88" t="n"/>
      <c r="E2171" s="88" t="n"/>
      <c r="F2171" s="89" t="n"/>
      <c r="G2171" s="88" t="n"/>
      <c r="H2171" s="88" t="n"/>
      <c r="I2171" s="88" t="n"/>
      <c r="J2171" s="89" t="n"/>
      <c r="K2171" s="88" t="n"/>
      <c r="L2171" s="88" t="n"/>
      <c r="M2171" s="88" t="n"/>
      <c r="N2171" s="89" t="n"/>
      <c r="O2171" s="88" t="n"/>
      <c r="P2171" s="88" t="n"/>
      <c r="Q2171" s="88" t="n"/>
      <c r="R2171" s="89" t="n"/>
      <c r="S2171" s="88" t="n"/>
      <c r="T2171" s="88" t="n"/>
      <c r="U2171" s="88" t="n"/>
      <c r="V2171" s="89" t="n"/>
      <c r="W2171" s="88" t="n"/>
      <c r="X2171" s="89" t="n"/>
      <c r="Y2171" s="88" t="n"/>
      <c r="Z2171" s="89" t="n"/>
      <c r="AB2171" s="30">
        <f>IF($B2171="","",(COUNTIF(C2171:E2171,"?*")&lt;N(INDEX(Setup!$L$6:$L$23,14)))+(COUNTIF(G2171:I2171,"?*")&lt;N(INDEX(Setup!$L$6:$L$23,14)))+(COUNTIF(K2171:M2171,"?*")&lt;N(INDEX(Setup!$L$6:$L$23,14)))+(COUNTIF(O2171:Q2171,"?*")&lt;N(INDEX(Setup!$L$6:$L$23,14)))+(COUNTIF(S2171:U2171,"?*")&lt;N(INDEX(Setup!$L$6:$L$23,14)))+((W2171="")*(INDEX(Setup!$M$6:$M$23,14)="Y"))+((Y2171="")*(INDEX(Setup!$M$6:$M$23,14)="Y")))</f>
        <v/>
      </c>
      <c r="AC2171" s="91">
        <f>IF($B2171="","",IF(AB2171=0,"✓ covered","⚠ "&amp;AB2171&amp;IF(AB2171=1," gap"," gaps")))</f>
        <v/>
      </c>
    </row>
    <row r="2172" ht="17" customHeight="1">
      <c r="A2172" t="n">
        <v>44</v>
      </c>
      <c r="B2172" s="24">
        <f>IF(Setup!$K$20="","",Setup!$K$20)</f>
        <v/>
      </c>
      <c r="C2172" s="88" t="n"/>
      <c r="D2172" s="88" t="n"/>
      <c r="E2172" s="88" t="n"/>
      <c r="F2172" s="89" t="n"/>
      <c r="G2172" s="88" t="n"/>
      <c r="H2172" s="88" t="n"/>
      <c r="I2172" s="88" t="n"/>
      <c r="J2172" s="89" t="n"/>
      <c r="K2172" s="88" t="n"/>
      <c r="L2172" s="88" t="n"/>
      <c r="M2172" s="88" t="n"/>
      <c r="N2172" s="89" t="n"/>
      <c r="O2172" s="88" t="n"/>
      <c r="P2172" s="88" t="n"/>
      <c r="Q2172" s="88" t="n"/>
      <c r="R2172" s="89" t="n"/>
      <c r="S2172" s="88" t="n"/>
      <c r="T2172" s="88" t="n"/>
      <c r="U2172" s="88" t="n"/>
      <c r="V2172" s="89" t="n"/>
      <c r="W2172" s="88" t="n"/>
      <c r="X2172" s="89" t="n"/>
      <c r="Y2172" s="88" t="n"/>
      <c r="Z2172" s="89" t="n"/>
      <c r="AB2172" s="25">
        <f>IF($B2172="","",(COUNTIF(C2172:E2172,"?*")&lt;N(INDEX(Setup!$L$6:$L$23,15)))+(COUNTIF(G2172:I2172,"?*")&lt;N(INDEX(Setup!$L$6:$L$23,15)))+(COUNTIF(K2172:M2172,"?*")&lt;N(INDEX(Setup!$L$6:$L$23,15)))+(COUNTIF(O2172:Q2172,"?*")&lt;N(INDEX(Setup!$L$6:$L$23,15)))+(COUNTIF(S2172:U2172,"?*")&lt;N(INDEX(Setup!$L$6:$L$23,15)))+((W2172="")*(INDEX(Setup!$M$6:$M$23,15)="Y"))+((Y2172="")*(INDEX(Setup!$M$6:$M$23,15)="Y")))</f>
        <v/>
      </c>
      <c r="AC2172" s="90">
        <f>IF($B2172="","",IF(AB2172=0,"✓ covered","⚠ "&amp;AB2172&amp;IF(AB2172=1," gap"," gaps")))</f>
        <v/>
      </c>
    </row>
    <row r="2173" ht="17" customHeight="1">
      <c r="A2173" t="n">
        <v>44</v>
      </c>
      <c r="B2173" s="29">
        <f>IF(Setup!$K$21="","",Setup!$K$21)</f>
        <v/>
      </c>
      <c r="C2173" s="88" t="n"/>
      <c r="D2173" s="88" t="n"/>
      <c r="E2173" s="88" t="n"/>
      <c r="F2173" s="89" t="n"/>
      <c r="G2173" s="88" t="n"/>
      <c r="H2173" s="88" t="n"/>
      <c r="I2173" s="88" t="n"/>
      <c r="J2173" s="89" t="n"/>
      <c r="K2173" s="88" t="n"/>
      <c r="L2173" s="88" t="n"/>
      <c r="M2173" s="88" t="n"/>
      <c r="N2173" s="89" t="n"/>
      <c r="O2173" s="88" t="n"/>
      <c r="P2173" s="88" t="n"/>
      <c r="Q2173" s="88" t="n"/>
      <c r="R2173" s="89" t="n"/>
      <c r="S2173" s="88" t="n"/>
      <c r="T2173" s="88" t="n"/>
      <c r="U2173" s="88" t="n"/>
      <c r="V2173" s="89" t="n"/>
      <c r="W2173" s="88" t="n"/>
      <c r="X2173" s="89" t="n"/>
      <c r="Y2173" s="88" t="n"/>
      <c r="Z2173" s="89" t="n"/>
      <c r="AB2173" s="30">
        <f>IF($B2173="","",(COUNTIF(C2173:E2173,"?*")&lt;N(INDEX(Setup!$L$6:$L$23,16)))+(COUNTIF(G2173:I2173,"?*")&lt;N(INDEX(Setup!$L$6:$L$23,16)))+(COUNTIF(K2173:M2173,"?*")&lt;N(INDEX(Setup!$L$6:$L$23,16)))+(COUNTIF(O2173:Q2173,"?*")&lt;N(INDEX(Setup!$L$6:$L$23,16)))+(COUNTIF(S2173:U2173,"?*")&lt;N(INDEX(Setup!$L$6:$L$23,16)))+((W2173="")*(INDEX(Setup!$M$6:$M$23,16)="Y"))+((Y2173="")*(INDEX(Setup!$M$6:$M$23,16)="Y")))</f>
        <v/>
      </c>
      <c r="AC2173" s="91">
        <f>IF($B2173="","",IF(AB2173=0,"✓ covered","⚠ "&amp;AB2173&amp;IF(AB2173=1," gap"," gaps")))</f>
        <v/>
      </c>
    </row>
    <row r="2174" ht="17" customHeight="1">
      <c r="A2174" t="n">
        <v>44</v>
      </c>
      <c r="B2174" s="24">
        <f>IF(Setup!$K$22="","",Setup!$K$22)</f>
        <v/>
      </c>
      <c r="C2174" s="88" t="n"/>
      <c r="D2174" s="88" t="n"/>
      <c r="E2174" s="88" t="n"/>
      <c r="F2174" s="89" t="n"/>
      <c r="G2174" s="88" t="n"/>
      <c r="H2174" s="88" t="n"/>
      <c r="I2174" s="88" t="n"/>
      <c r="J2174" s="89" t="n"/>
      <c r="K2174" s="88" t="n"/>
      <c r="L2174" s="88" t="n"/>
      <c r="M2174" s="88" t="n"/>
      <c r="N2174" s="89" t="n"/>
      <c r="O2174" s="88" t="n"/>
      <c r="P2174" s="88" t="n"/>
      <c r="Q2174" s="88" t="n"/>
      <c r="R2174" s="89" t="n"/>
      <c r="S2174" s="88" t="n"/>
      <c r="T2174" s="88" t="n"/>
      <c r="U2174" s="88" t="n"/>
      <c r="V2174" s="89" t="n"/>
      <c r="W2174" s="88" t="n"/>
      <c r="X2174" s="89" t="n"/>
      <c r="Y2174" s="88" t="n"/>
      <c r="Z2174" s="89" t="n"/>
      <c r="AB2174" s="25">
        <f>IF($B2174="","",(COUNTIF(C2174:E2174,"?*")&lt;N(INDEX(Setup!$L$6:$L$23,17)))+(COUNTIF(G2174:I2174,"?*")&lt;N(INDEX(Setup!$L$6:$L$23,17)))+(COUNTIF(K2174:M2174,"?*")&lt;N(INDEX(Setup!$L$6:$L$23,17)))+(COUNTIF(O2174:Q2174,"?*")&lt;N(INDEX(Setup!$L$6:$L$23,17)))+(COUNTIF(S2174:U2174,"?*")&lt;N(INDEX(Setup!$L$6:$L$23,17)))+((W2174="")*(INDEX(Setup!$M$6:$M$23,17)="Y"))+((Y2174="")*(INDEX(Setup!$M$6:$M$23,17)="Y")))</f>
        <v/>
      </c>
      <c r="AC2174" s="90">
        <f>IF($B2174="","",IF(AB2174=0,"✓ covered","⚠ "&amp;AB2174&amp;IF(AB2174=1," gap"," gaps")))</f>
        <v/>
      </c>
    </row>
    <row r="2175" ht="17" customHeight="1">
      <c r="A2175" t="n">
        <v>44</v>
      </c>
      <c r="B2175" s="29">
        <f>IF(Setup!$K$23="","",Setup!$K$23)</f>
        <v/>
      </c>
      <c r="C2175" s="88" t="n"/>
      <c r="D2175" s="88" t="n"/>
      <c r="E2175" s="88" t="n"/>
      <c r="F2175" s="89" t="n"/>
      <c r="G2175" s="88" t="n"/>
      <c r="H2175" s="88" t="n"/>
      <c r="I2175" s="88" t="n"/>
      <c r="J2175" s="89" t="n"/>
      <c r="K2175" s="88" t="n"/>
      <c r="L2175" s="88" t="n"/>
      <c r="M2175" s="88" t="n"/>
      <c r="N2175" s="89" t="n"/>
      <c r="O2175" s="88" t="n"/>
      <c r="P2175" s="88" t="n"/>
      <c r="Q2175" s="88" t="n"/>
      <c r="R2175" s="89" t="n"/>
      <c r="S2175" s="88" t="n"/>
      <c r="T2175" s="88" t="n"/>
      <c r="U2175" s="88" t="n"/>
      <c r="V2175" s="89" t="n"/>
      <c r="W2175" s="88" t="n"/>
      <c r="X2175" s="89" t="n"/>
      <c r="Y2175" s="88" t="n"/>
      <c r="Z2175" s="89" t="n"/>
      <c r="AB2175" s="30">
        <f>IF($B2175="","",(COUNTIF(C2175:E2175,"?*")&lt;N(INDEX(Setup!$L$6:$L$23,18)))+(COUNTIF(G2175:I2175,"?*")&lt;N(INDEX(Setup!$L$6:$L$23,18)))+(COUNTIF(K2175:M2175,"?*")&lt;N(INDEX(Setup!$L$6:$L$23,18)))+(COUNTIF(O2175:Q2175,"?*")&lt;N(INDEX(Setup!$L$6:$L$23,18)))+(COUNTIF(S2175:U2175,"?*")&lt;N(INDEX(Setup!$L$6:$L$23,18)))+((W2175="")*(INDEX(Setup!$M$6:$M$23,18)="Y"))+((Y2175="")*(INDEX(Setup!$M$6:$M$23,18)="Y")))</f>
        <v/>
      </c>
      <c r="AC2175" s="91">
        <f>IF($B2175="","",IF(AB2175=0,"✓ covered","⚠ "&amp;AB2175&amp;IF(AB2175=1," gap"," gaps")))</f>
        <v/>
      </c>
    </row>
    <row r="2176" ht="18" customHeight="1">
      <c r="A2176" t="n">
        <v>44</v>
      </c>
      <c r="B2176" s="78" t="inlineStr">
        <is>
          <t>TEAM AVAILABILITY</t>
        </is>
      </c>
      <c r="C2176" s="92" t="inlineStr">
        <is>
          <t>Mon</t>
        </is>
      </c>
      <c r="D2176" s="93" t="n"/>
      <c r="E2176" s="93" t="n"/>
      <c r="F2176" s="94" t="n"/>
      <c r="G2176" s="92" t="inlineStr">
        <is>
          <t>Tue</t>
        </is>
      </c>
      <c r="H2176" s="93" t="n"/>
      <c r="I2176" s="93" t="n"/>
      <c r="J2176" s="94" t="n"/>
      <c r="K2176" s="92" t="inlineStr">
        <is>
          <t>Wed</t>
        </is>
      </c>
      <c r="L2176" s="93" t="n"/>
      <c r="M2176" s="93" t="n"/>
      <c r="N2176" s="94" t="n"/>
      <c r="O2176" s="92" t="inlineStr">
        <is>
          <t>Thu</t>
        </is>
      </c>
      <c r="P2176" s="93" t="n"/>
      <c r="Q2176" s="93" t="n"/>
      <c r="R2176" s="94" t="n"/>
      <c r="S2176" s="92" t="inlineStr">
        <is>
          <t>Fri</t>
        </is>
      </c>
      <c r="T2176" s="93" t="n"/>
      <c r="U2176" s="93" t="n"/>
      <c r="V2176" s="94" t="n"/>
      <c r="W2176" s="95" t="inlineStr">
        <is>
          <t>Sat</t>
        </is>
      </c>
      <c r="X2176" s="96" t="n"/>
      <c r="Y2176" s="95" t="inlineStr">
        <is>
          <t>Sun</t>
        </is>
      </c>
      <c r="Z2176" s="96" t="n"/>
      <c r="AB2176" s="97" t="inlineStr">
        <is>
          <t>Days rostered</t>
        </is>
      </c>
      <c r="AC2176" s="97" t="inlineStr">
        <is>
          <t>Conflicts</t>
        </is>
      </c>
    </row>
    <row r="2177" ht="15" customHeight="1">
      <c r="A2177" t="n">
        <v>44</v>
      </c>
      <c r="B2177" s="35">
        <f>IF(Setup!$B$6="","",Setup!$B$6)</f>
        <v/>
      </c>
      <c r="C2177" s="98" t="n"/>
      <c r="D2177" s="99" t="n"/>
      <c r="E2177" s="99" t="n"/>
      <c r="F2177" s="100" t="n"/>
      <c r="G2177" s="98" t="n"/>
      <c r="H2177" s="99" t="n"/>
      <c r="I2177" s="99" t="n"/>
      <c r="J2177" s="100" t="n"/>
      <c r="K2177" s="98" t="n"/>
      <c r="L2177" s="99" t="n"/>
      <c r="M2177" s="99" t="n"/>
      <c r="N2177" s="100" t="n"/>
      <c r="O2177" s="98" t="n"/>
      <c r="P2177" s="99" t="n"/>
      <c r="Q2177" s="99" t="n"/>
      <c r="R2177" s="100" t="n"/>
      <c r="S2177" s="98" t="n"/>
      <c r="T2177" s="99" t="n"/>
      <c r="U2177" s="99" t="n"/>
      <c r="V2177" s="100" t="n"/>
      <c r="W2177" s="98" t="n"/>
      <c r="X2177" s="100" t="n"/>
      <c r="Y2177" s="98" t="n"/>
      <c r="Z2177" s="100" t="n"/>
      <c r="AB2177" s="101">
        <f>IF($B2177="","",(COUNTIF(C2158:E2175,$B2177)+COUNTIF(C2158:E2175,$B2177&amp;" ~*")&gt;0)+(COUNTIF(G2158:I2175,$B2177)+COUNTIF(G2158:I2175,$B2177&amp;" ~*")&gt;0)+(COUNTIF(K2158:M2175,$B2177)+COUNTIF(K2158:M2175,$B2177&amp;" ~*")&gt;0)+(COUNTIF(O2158:Q2175,$B2177)+COUNTIF(O2158:Q2175,$B2177&amp;" ~*")&gt;0)+(COUNTIF(S2158:U2175,$B2177)+COUNTIF(S2158:U2175,$B2177&amp;" ~*")&gt;0)+(COUNTIF(W2158:W2175,$B2177)+COUNTIF(W2158:W2175,$B2177&amp;" ~*")&gt;0)+(COUNTIF(Y2158:Y2175,$B2177)+COUNTIF(Y2158:Y2175,$B2177&amp;" ~*")&gt;0))</f>
        <v/>
      </c>
      <c r="AC2177" s="36">
        <f>IF($B2177="","",(IFERROR(INDEX(Setup!$G$33:$G$40,MATCH(C2177,Setup!$B$33:$B$40,0)),0)=1)*(COUNTIF(C2158:E2175,$B2177)+COUNTIF(C2158:E2175,$B2177&amp;" ~*")&gt;0)+(IFERROR(INDEX(Setup!$G$33:$G$40,MATCH(G2177,Setup!$B$33:$B$40,0)),0)=1)*(COUNTIF(G2158:I2175,$B2177)+COUNTIF(G2158:I2175,$B2177&amp;" ~*")&gt;0)+(IFERROR(INDEX(Setup!$G$33:$G$40,MATCH(K2177,Setup!$B$33:$B$40,0)),0)=1)*(COUNTIF(K2158:M2175,$B2177)+COUNTIF(K2158:M2175,$B2177&amp;" ~*")&gt;0)+(IFERROR(INDEX(Setup!$G$33:$G$40,MATCH(O2177,Setup!$B$33:$B$40,0)),0)=1)*(COUNTIF(O2158:Q2175,$B2177)+COUNTIF(O2158:Q2175,$B2177&amp;" ~*")&gt;0)+(IFERROR(INDEX(Setup!$G$33:$G$40,MATCH(S2177,Setup!$B$33:$B$40,0)),0)=1)*(COUNTIF(S2158:U2175,$B2177)+COUNTIF(S2158:U2175,$B2177&amp;" ~*")&gt;0)+(IFERROR(INDEX(Setup!$G$33:$G$40,MATCH(W2177,Setup!$B$33:$B$40,0)),0)=1)*(COUNTIF(W2158:W2175,$B2177)+COUNTIF(W2158:W2175,$B2177&amp;" ~*")&gt;0)+(IFERROR(INDEX(Setup!$G$33:$G$40,MATCH(Y2177,Setup!$B$33:$B$40,0)),0)=1)*(COUNTIF(Y2158:Y2175,$B2177)+COUNTIF(Y2158:Y2175,$B2177&amp;" ~*")&gt;0))</f>
        <v/>
      </c>
    </row>
    <row r="2178" ht="15" customHeight="1">
      <c r="A2178" t="n">
        <v>44</v>
      </c>
      <c r="B2178" s="37">
        <f>IF(Setup!$B$7="","",Setup!$B$7)</f>
        <v/>
      </c>
      <c r="C2178" s="102" t="n"/>
      <c r="D2178" s="103" t="n"/>
      <c r="E2178" s="103" t="n"/>
      <c r="F2178" s="104" t="n"/>
      <c r="G2178" s="102" t="n"/>
      <c r="H2178" s="103" t="n"/>
      <c r="I2178" s="103" t="n"/>
      <c r="J2178" s="104" t="n"/>
      <c r="K2178" s="102" t="n"/>
      <c r="L2178" s="103" t="n"/>
      <c r="M2178" s="103" t="n"/>
      <c r="N2178" s="104" t="n"/>
      <c r="O2178" s="102" t="n"/>
      <c r="P2178" s="103" t="n"/>
      <c r="Q2178" s="103" t="n"/>
      <c r="R2178" s="104" t="n"/>
      <c r="S2178" s="102" t="n"/>
      <c r="T2178" s="103" t="n"/>
      <c r="U2178" s="103" t="n"/>
      <c r="V2178" s="104" t="n"/>
      <c r="W2178" s="102" t="n"/>
      <c r="X2178" s="104" t="n"/>
      <c r="Y2178" s="102" t="n"/>
      <c r="Z2178" s="104" t="n"/>
      <c r="AB2178" s="105">
        <f>IF($B2178="","",(COUNTIF(C2158:E2175,$B2178)+COUNTIF(C2158:E2175,$B2178&amp;" ~*")&gt;0)+(COUNTIF(G2158:I2175,$B2178)+COUNTIF(G2158:I2175,$B2178&amp;" ~*")&gt;0)+(COUNTIF(K2158:M2175,$B2178)+COUNTIF(K2158:M2175,$B2178&amp;" ~*")&gt;0)+(COUNTIF(O2158:Q2175,$B2178)+COUNTIF(O2158:Q2175,$B2178&amp;" ~*")&gt;0)+(COUNTIF(S2158:U2175,$B2178)+COUNTIF(S2158:U2175,$B2178&amp;" ~*")&gt;0)+(COUNTIF(W2158:W2175,$B2178)+COUNTIF(W2158:W2175,$B2178&amp;" ~*")&gt;0)+(COUNTIF(Y2158:Y2175,$B2178)+COUNTIF(Y2158:Y2175,$B2178&amp;" ~*")&gt;0))</f>
        <v/>
      </c>
      <c r="AC2178" s="38">
        <f>IF($B2178="","",(IFERROR(INDEX(Setup!$G$33:$G$40,MATCH(C2178,Setup!$B$33:$B$40,0)),0)=1)*(COUNTIF(C2158:E2175,$B2178)+COUNTIF(C2158:E2175,$B2178&amp;" ~*")&gt;0)+(IFERROR(INDEX(Setup!$G$33:$G$40,MATCH(G2178,Setup!$B$33:$B$40,0)),0)=1)*(COUNTIF(G2158:I2175,$B2178)+COUNTIF(G2158:I2175,$B2178&amp;" ~*")&gt;0)+(IFERROR(INDEX(Setup!$G$33:$G$40,MATCH(K2178,Setup!$B$33:$B$40,0)),0)=1)*(COUNTIF(K2158:M2175,$B2178)+COUNTIF(K2158:M2175,$B2178&amp;" ~*")&gt;0)+(IFERROR(INDEX(Setup!$G$33:$G$40,MATCH(O2178,Setup!$B$33:$B$40,0)),0)=1)*(COUNTIF(O2158:Q2175,$B2178)+COUNTIF(O2158:Q2175,$B2178&amp;" ~*")&gt;0)+(IFERROR(INDEX(Setup!$G$33:$G$40,MATCH(S2178,Setup!$B$33:$B$40,0)),0)=1)*(COUNTIF(S2158:U2175,$B2178)+COUNTIF(S2158:U2175,$B2178&amp;" ~*")&gt;0)+(IFERROR(INDEX(Setup!$G$33:$G$40,MATCH(W2178,Setup!$B$33:$B$40,0)),0)=1)*(COUNTIF(W2158:W2175,$B2178)+COUNTIF(W2158:W2175,$B2178&amp;" ~*")&gt;0)+(IFERROR(INDEX(Setup!$G$33:$G$40,MATCH(Y2178,Setup!$B$33:$B$40,0)),0)=1)*(COUNTIF(Y2158:Y2175,$B2178)+COUNTIF(Y2158:Y2175,$B2178&amp;" ~*")&gt;0))</f>
        <v/>
      </c>
    </row>
    <row r="2179" ht="15" customHeight="1">
      <c r="A2179" t="n">
        <v>44</v>
      </c>
      <c r="B2179" s="35">
        <f>IF(Setup!$B$8="","",Setup!$B$8)</f>
        <v/>
      </c>
      <c r="C2179" s="98" t="n"/>
      <c r="D2179" s="99" t="n"/>
      <c r="E2179" s="99" t="n"/>
      <c r="F2179" s="100" t="n"/>
      <c r="G2179" s="98" t="n"/>
      <c r="H2179" s="99" t="n"/>
      <c r="I2179" s="99" t="n"/>
      <c r="J2179" s="100" t="n"/>
      <c r="K2179" s="98" t="n"/>
      <c r="L2179" s="99" t="n"/>
      <c r="M2179" s="99" t="n"/>
      <c r="N2179" s="100" t="n"/>
      <c r="O2179" s="98" t="n"/>
      <c r="P2179" s="99" t="n"/>
      <c r="Q2179" s="99" t="n"/>
      <c r="R2179" s="100" t="n"/>
      <c r="S2179" s="98" t="n"/>
      <c r="T2179" s="99" t="n"/>
      <c r="U2179" s="99" t="n"/>
      <c r="V2179" s="100" t="n"/>
      <c r="W2179" s="98" t="n"/>
      <c r="X2179" s="100" t="n"/>
      <c r="Y2179" s="98" t="n"/>
      <c r="Z2179" s="100" t="n"/>
      <c r="AB2179" s="101">
        <f>IF($B2179="","",(COUNTIF(C2158:E2175,$B2179)+COUNTIF(C2158:E2175,$B2179&amp;" ~*")&gt;0)+(COUNTIF(G2158:I2175,$B2179)+COUNTIF(G2158:I2175,$B2179&amp;" ~*")&gt;0)+(COUNTIF(K2158:M2175,$B2179)+COUNTIF(K2158:M2175,$B2179&amp;" ~*")&gt;0)+(COUNTIF(O2158:Q2175,$B2179)+COUNTIF(O2158:Q2175,$B2179&amp;" ~*")&gt;0)+(COUNTIF(S2158:U2175,$B2179)+COUNTIF(S2158:U2175,$B2179&amp;" ~*")&gt;0)+(COUNTIF(W2158:W2175,$B2179)+COUNTIF(W2158:W2175,$B2179&amp;" ~*")&gt;0)+(COUNTIF(Y2158:Y2175,$B2179)+COUNTIF(Y2158:Y2175,$B2179&amp;" ~*")&gt;0))</f>
        <v/>
      </c>
      <c r="AC2179" s="36">
        <f>IF($B2179="","",(IFERROR(INDEX(Setup!$G$33:$G$40,MATCH(C2179,Setup!$B$33:$B$40,0)),0)=1)*(COUNTIF(C2158:E2175,$B2179)+COUNTIF(C2158:E2175,$B2179&amp;" ~*")&gt;0)+(IFERROR(INDEX(Setup!$G$33:$G$40,MATCH(G2179,Setup!$B$33:$B$40,0)),0)=1)*(COUNTIF(G2158:I2175,$B2179)+COUNTIF(G2158:I2175,$B2179&amp;" ~*")&gt;0)+(IFERROR(INDEX(Setup!$G$33:$G$40,MATCH(K2179,Setup!$B$33:$B$40,0)),0)=1)*(COUNTIF(K2158:M2175,$B2179)+COUNTIF(K2158:M2175,$B2179&amp;" ~*")&gt;0)+(IFERROR(INDEX(Setup!$G$33:$G$40,MATCH(O2179,Setup!$B$33:$B$40,0)),0)=1)*(COUNTIF(O2158:Q2175,$B2179)+COUNTIF(O2158:Q2175,$B2179&amp;" ~*")&gt;0)+(IFERROR(INDEX(Setup!$G$33:$G$40,MATCH(S2179,Setup!$B$33:$B$40,0)),0)=1)*(COUNTIF(S2158:U2175,$B2179)+COUNTIF(S2158:U2175,$B2179&amp;" ~*")&gt;0)+(IFERROR(INDEX(Setup!$G$33:$G$40,MATCH(W2179,Setup!$B$33:$B$40,0)),0)=1)*(COUNTIF(W2158:W2175,$B2179)+COUNTIF(W2158:W2175,$B2179&amp;" ~*")&gt;0)+(IFERROR(INDEX(Setup!$G$33:$G$40,MATCH(Y2179,Setup!$B$33:$B$40,0)),0)=1)*(COUNTIF(Y2158:Y2175,$B2179)+COUNTIF(Y2158:Y2175,$B2179&amp;" ~*")&gt;0))</f>
        <v/>
      </c>
    </row>
    <row r="2180" ht="15" customHeight="1">
      <c r="A2180" t="n">
        <v>44</v>
      </c>
      <c r="B2180" s="37">
        <f>IF(Setup!$B$9="","",Setup!$B$9)</f>
        <v/>
      </c>
      <c r="C2180" s="102" t="n"/>
      <c r="D2180" s="103" t="n"/>
      <c r="E2180" s="103" t="n"/>
      <c r="F2180" s="104" t="n"/>
      <c r="G2180" s="102" t="n"/>
      <c r="H2180" s="103" t="n"/>
      <c r="I2180" s="103" t="n"/>
      <c r="J2180" s="104" t="n"/>
      <c r="K2180" s="102" t="n"/>
      <c r="L2180" s="103" t="n"/>
      <c r="M2180" s="103" t="n"/>
      <c r="N2180" s="104" t="n"/>
      <c r="O2180" s="102" t="n"/>
      <c r="P2180" s="103" t="n"/>
      <c r="Q2180" s="103" t="n"/>
      <c r="R2180" s="104" t="n"/>
      <c r="S2180" s="102" t="n"/>
      <c r="T2180" s="103" t="n"/>
      <c r="U2180" s="103" t="n"/>
      <c r="V2180" s="104" t="n"/>
      <c r="W2180" s="102" t="n"/>
      <c r="X2180" s="104" t="n"/>
      <c r="Y2180" s="102" t="n"/>
      <c r="Z2180" s="104" t="n"/>
      <c r="AB2180" s="105">
        <f>IF($B2180="","",(COUNTIF(C2158:E2175,$B2180)+COUNTIF(C2158:E2175,$B2180&amp;" ~*")&gt;0)+(COUNTIF(G2158:I2175,$B2180)+COUNTIF(G2158:I2175,$B2180&amp;" ~*")&gt;0)+(COUNTIF(K2158:M2175,$B2180)+COUNTIF(K2158:M2175,$B2180&amp;" ~*")&gt;0)+(COUNTIF(O2158:Q2175,$B2180)+COUNTIF(O2158:Q2175,$B2180&amp;" ~*")&gt;0)+(COUNTIF(S2158:U2175,$B2180)+COUNTIF(S2158:U2175,$B2180&amp;" ~*")&gt;0)+(COUNTIF(W2158:W2175,$B2180)+COUNTIF(W2158:W2175,$B2180&amp;" ~*")&gt;0)+(COUNTIF(Y2158:Y2175,$B2180)+COUNTIF(Y2158:Y2175,$B2180&amp;" ~*")&gt;0))</f>
        <v/>
      </c>
      <c r="AC2180" s="38">
        <f>IF($B2180="","",(IFERROR(INDEX(Setup!$G$33:$G$40,MATCH(C2180,Setup!$B$33:$B$40,0)),0)=1)*(COUNTIF(C2158:E2175,$B2180)+COUNTIF(C2158:E2175,$B2180&amp;" ~*")&gt;0)+(IFERROR(INDEX(Setup!$G$33:$G$40,MATCH(G2180,Setup!$B$33:$B$40,0)),0)=1)*(COUNTIF(G2158:I2175,$B2180)+COUNTIF(G2158:I2175,$B2180&amp;" ~*")&gt;0)+(IFERROR(INDEX(Setup!$G$33:$G$40,MATCH(K2180,Setup!$B$33:$B$40,0)),0)=1)*(COUNTIF(K2158:M2175,$B2180)+COUNTIF(K2158:M2175,$B2180&amp;" ~*")&gt;0)+(IFERROR(INDEX(Setup!$G$33:$G$40,MATCH(O2180,Setup!$B$33:$B$40,0)),0)=1)*(COUNTIF(O2158:Q2175,$B2180)+COUNTIF(O2158:Q2175,$B2180&amp;" ~*")&gt;0)+(IFERROR(INDEX(Setup!$G$33:$G$40,MATCH(S2180,Setup!$B$33:$B$40,0)),0)=1)*(COUNTIF(S2158:U2175,$B2180)+COUNTIF(S2158:U2175,$B2180&amp;" ~*")&gt;0)+(IFERROR(INDEX(Setup!$G$33:$G$40,MATCH(W2180,Setup!$B$33:$B$40,0)),0)=1)*(COUNTIF(W2158:W2175,$B2180)+COUNTIF(W2158:W2175,$B2180&amp;" ~*")&gt;0)+(IFERROR(INDEX(Setup!$G$33:$G$40,MATCH(Y2180,Setup!$B$33:$B$40,0)),0)=1)*(COUNTIF(Y2158:Y2175,$B2180)+COUNTIF(Y2158:Y2175,$B2180&amp;" ~*")&gt;0))</f>
        <v/>
      </c>
    </row>
    <row r="2181" ht="15" customHeight="1">
      <c r="A2181" t="n">
        <v>44</v>
      </c>
      <c r="B2181" s="35">
        <f>IF(Setup!$B$10="","",Setup!$B$10)</f>
        <v/>
      </c>
      <c r="C2181" s="98" t="n"/>
      <c r="D2181" s="99" t="n"/>
      <c r="E2181" s="99" t="n"/>
      <c r="F2181" s="100" t="n"/>
      <c r="G2181" s="98" t="n"/>
      <c r="H2181" s="99" t="n"/>
      <c r="I2181" s="99" t="n"/>
      <c r="J2181" s="100" t="n"/>
      <c r="K2181" s="98" t="n"/>
      <c r="L2181" s="99" t="n"/>
      <c r="M2181" s="99" t="n"/>
      <c r="N2181" s="100" t="n"/>
      <c r="O2181" s="98" t="n"/>
      <c r="P2181" s="99" t="n"/>
      <c r="Q2181" s="99" t="n"/>
      <c r="R2181" s="100" t="n"/>
      <c r="S2181" s="98" t="n"/>
      <c r="T2181" s="99" t="n"/>
      <c r="U2181" s="99" t="n"/>
      <c r="V2181" s="100" t="n"/>
      <c r="W2181" s="98" t="n"/>
      <c r="X2181" s="100" t="n"/>
      <c r="Y2181" s="98" t="n"/>
      <c r="Z2181" s="100" t="n"/>
      <c r="AB2181" s="101">
        <f>IF($B2181="","",(COUNTIF(C2158:E2175,$B2181)+COUNTIF(C2158:E2175,$B2181&amp;" ~*")&gt;0)+(COUNTIF(G2158:I2175,$B2181)+COUNTIF(G2158:I2175,$B2181&amp;" ~*")&gt;0)+(COUNTIF(K2158:M2175,$B2181)+COUNTIF(K2158:M2175,$B2181&amp;" ~*")&gt;0)+(COUNTIF(O2158:Q2175,$B2181)+COUNTIF(O2158:Q2175,$B2181&amp;" ~*")&gt;0)+(COUNTIF(S2158:U2175,$B2181)+COUNTIF(S2158:U2175,$B2181&amp;" ~*")&gt;0)+(COUNTIF(W2158:W2175,$B2181)+COUNTIF(W2158:W2175,$B2181&amp;" ~*")&gt;0)+(COUNTIF(Y2158:Y2175,$B2181)+COUNTIF(Y2158:Y2175,$B2181&amp;" ~*")&gt;0))</f>
        <v/>
      </c>
      <c r="AC2181" s="36">
        <f>IF($B2181="","",(IFERROR(INDEX(Setup!$G$33:$G$40,MATCH(C2181,Setup!$B$33:$B$40,0)),0)=1)*(COUNTIF(C2158:E2175,$B2181)+COUNTIF(C2158:E2175,$B2181&amp;" ~*")&gt;0)+(IFERROR(INDEX(Setup!$G$33:$G$40,MATCH(G2181,Setup!$B$33:$B$40,0)),0)=1)*(COUNTIF(G2158:I2175,$B2181)+COUNTIF(G2158:I2175,$B2181&amp;" ~*")&gt;0)+(IFERROR(INDEX(Setup!$G$33:$G$40,MATCH(K2181,Setup!$B$33:$B$40,0)),0)=1)*(COUNTIF(K2158:M2175,$B2181)+COUNTIF(K2158:M2175,$B2181&amp;" ~*")&gt;0)+(IFERROR(INDEX(Setup!$G$33:$G$40,MATCH(O2181,Setup!$B$33:$B$40,0)),0)=1)*(COUNTIF(O2158:Q2175,$B2181)+COUNTIF(O2158:Q2175,$B2181&amp;" ~*")&gt;0)+(IFERROR(INDEX(Setup!$G$33:$G$40,MATCH(S2181,Setup!$B$33:$B$40,0)),0)=1)*(COUNTIF(S2158:U2175,$B2181)+COUNTIF(S2158:U2175,$B2181&amp;" ~*")&gt;0)+(IFERROR(INDEX(Setup!$G$33:$G$40,MATCH(W2181,Setup!$B$33:$B$40,0)),0)=1)*(COUNTIF(W2158:W2175,$B2181)+COUNTIF(W2158:W2175,$B2181&amp;" ~*")&gt;0)+(IFERROR(INDEX(Setup!$G$33:$G$40,MATCH(Y2181,Setup!$B$33:$B$40,0)),0)=1)*(COUNTIF(Y2158:Y2175,$B2181)+COUNTIF(Y2158:Y2175,$B2181&amp;" ~*")&gt;0))</f>
        <v/>
      </c>
    </row>
    <row r="2182" ht="15" customHeight="1">
      <c r="A2182" t="n">
        <v>44</v>
      </c>
      <c r="B2182" s="37">
        <f>IF(Setup!$B$11="","",Setup!$B$11)</f>
        <v/>
      </c>
      <c r="C2182" s="102" t="n"/>
      <c r="D2182" s="103" t="n"/>
      <c r="E2182" s="103" t="n"/>
      <c r="F2182" s="104" t="n"/>
      <c r="G2182" s="102" t="n"/>
      <c r="H2182" s="103" t="n"/>
      <c r="I2182" s="103" t="n"/>
      <c r="J2182" s="104" t="n"/>
      <c r="K2182" s="102" t="n"/>
      <c r="L2182" s="103" t="n"/>
      <c r="M2182" s="103" t="n"/>
      <c r="N2182" s="104" t="n"/>
      <c r="O2182" s="102" t="n"/>
      <c r="P2182" s="103" t="n"/>
      <c r="Q2182" s="103" t="n"/>
      <c r="R2182" s="104" t="n"/>
      <c r="S2182" s="102" t="n"/>
      <c r="T2182" s="103" t="n"/>
      <c r="U2182" s="103" t="n"/>
      <c r="V2182" s="104" t="n"/>
      <c r="W2182" s="102" t="n"/>
      <c r="X2182" s="104" t="n"/>
      <c r="Y2182" s="102" t="n"/>
      <c r="Z2182" s="104" t="n"/>
      <c r="AB2182" s="105">
        <f>IF($B2182="","",(COUNTIF(C2158:E2175,$B2182)+COUNTIF(C2158:E2175,$B2182&amp;" ~*")&gt;0)+(COUNTIF(G2158:I2175,$B2182)+COUNTIF(G2158:I2175,$B2182&amp;" ~*")&gt;0)+(COUNTIF(K2158:M2175,$B2182)+COUNTIF(K2158:M2175,$B2182&amp;" ~*")&gt;0)+(COUNTIF(O2158:Q2175,$B2182)+COUNTIF(O2158:Q2175,$B2182&amp;" ~*")&gt;0)+(COUNTIF(S2158:U2175,$B2182)+COUNTIF(S2158:U2175,$B2182&amp;" ~*")&gt;0)+(COUNTIF(W2158:W2175,$B2182)+COUNTIF(W2158:W2175,$B2182&amp;" ~*")&gt;0)+(COUNTIF(Y2158:Y2175,$B2182)+COUNTIF(Y2158:Y2175,$B2182&amp;" ~*")&gt;0))</f>
        <v/>
      </c>
      <c r="AC2182" s="38">
        <f>IF($B2182="","",(IFERROR(INDEX(Setup!$G$33:$G$40,MATCH(C2182,Setup!$B$33:$B$40,0)),0)=1)*(COUNTIF(C2158:E2175,$B2182)+COUNTIF(C2158:E2175,$B2182&amp;" ~*")&gt;0)+(IFERROR(INDEX(Setup!$G$33:$G$40,MATCH(G2182,Setup!$B$33:$B$40,0)),0)=1)*(COUNTIF(G2158:I2175,$B2182)+COUNTIF(G2158:I2175,$B2182&amp;" ~*")&gt;0)+(IFERROR(INDEX(Setup!$G$33:$G$40,MATCH(K2182,Setup!$B$33:$B$40,0)),0)=1)*(COUNTIF(K2158:M2175,$B2182)+COUNTIF(K2158:M2175,$B2182&amp;" ~*")&gt;0)+(IFERROR(INDEX(Setup!$G$33:$G$40,MATCH(O2182,Setup!$B$33:$B$40,0)),0)=1)*(COUNTIF(O2158:Q2175,$B2182)+COUNTIF(O2158:Q2175,$B2182&amp;" ~*")&gt;0)+(IFERROR(INDEX(Setup!$G$33:$G$40,MATCH(S2182,Setup!$B$33:$B$40,0)),0)=1)*(COUNTIF(S2158:U2175,$B2182)+COUNTIF(S2158:U2175,$B2182&amp;" ~*")&gt;0)+(IFERROR(INDEX(Setup!$G$33:$G$40,MATCH(W2182,Setup!$B$33:$B$40,0)),0)=1)*(COUNTIF(W2158:W2175,$B2182)+COUNTIF(W2158:W2175,$B2182&amp;" ~*")&gt;0)+(IFERROR(INDEX(Setup!$G$33:$G$40,MATCH(Y2182,Setup!$B$33:$B$40,0)),0)=1)*(COUNTIF(Y2158:Y2175,$B2182)+COUNTIF(Y2158:Y2175,$B2182&amp;" ~*")&gt;0))</f>
        <v/>
      </c>
    </row>
    <row r="2183" ht="15" customHeight="1">
      <c r="A2183" t="n">
        <v>44</v>
      </c>
      <c r="B2183" s="35">
        <f>IF(Setup!$B$12="","",Setup!$B$12)</f>
        <v/>
      </c>
      <c r="C2183" s="98" t="n"/>
      <c r="D2183" s="99" t="n"/>
      <c r="E2183" s="99" t="n"/>
      <c r="F2183" s="100" t="n"/>
      <c r="G2183" s="98" t="n"/>
      <c r="H2183" s="99" t="n"/>
      <c r="I2183" s="99" t="n"/>
      <c r="J2183" s="100" t="n"/>
      <c r="K2183" s="98" t="n"/>
      <c r="L2183" s="99" t="n"/>
      <c r="M2183" s="99" t="n"/>
      <c r="N2183" s="100" t="n"/>
      <c r="O2183" s="98" t="n"/>
      <c r="P2183" s="99" t="n"/>
      <c r="Q2183" s="99" t="n"/>
      <c r="R2183" s="100" t="n"/>
      <c r="S2183" s="98" t="n"/>
      <c r="T2183" s="99" t="n"/>
      <c r="U2183" s="99" t="n"/>
      <c r="V2183" s="100" t="n"/>
      <c r="W2183" s="98" t="n"/>
      <c r="X2183" s="100" t="n"/>
      <c r="Y2183" s="98" t="n"/>
      <c r="Z2183" s="100" t="n"/>
      <c r="AB2183" s="101">
        <f>IF($B2183="","",(COUNTIF(C2158:E2175,$B2183)+COUNTIF(C2158:E2175,$B2183&amp;" ~*")&gt;0)+(COUNTIF(G2158:I2175,$B2183)+COUNTIF(G2158:I2175,$B2183&amp;" ~*")&gt;0)+(COUNTIF(K2158:M2175,$B2183)+COUNTIF(K2158:M2175,$B2183&amp;" ~*")&gt;0)+(COUNTIF(O2158:Q2175,$B2183)+COUNTIF(O2158:Q2175,$B2183&amp;" ~*")&gt;0)+(COUNTIF(S2158:U2175,$B2183)+COUNTIF(S2158:U2175,$B2183&amp;" ~*")&gt;0)+(COUNTIF(W2158:W2175,$B2183)+COUNTIF(W2158:W2175,$B2183&amp;" ~*")&gt;0)+(COUNTIF(Y2158:Y2175,$B2183)+COUNTIF(Y2158:Y2175,$B2183&amp;" ~*")&gt;0))</f>
        <v/>
      </c>
      <c r="AC2183" s="36">
        <f>IF($B2183="","",(IFERROR(INDEX(Setup!$G$33:$G$40,MATCH(C2183,Setup!$B$33:$B$40,0)),0)=1)*(COUNTIF(C2158:E2175,$B2183)+COUNTIF(C2158:E2175,$B2183&amp;" ~*")&gt;0)+(IFERROR(INDEX(Setup!$G$33:$G$40,MATCH(G2183,Setup!$B$33:$B$40,0)),0)=1)*(COUNTIF(G2158:I2175,$B2183)+COUNTIF(G2158:I2175,$B2183&amp;" ~*")&gt;0)+(IFERROR(INDEX(Setup!$G$33:$G$40,MATCH(K2183,Setup!$B$33:$B$40,0)),0)=1)*(COUNTIF(K2158:M2175,$B2183)+COUNTIF(K2158:M2175,$B2183&amp;" ~*")&gt;0)+(IFERROR(INDEX(Setup!$G$33:$G$40,MATCH(O2183,Setup!$B$33:$B$40,0)),0)=1)*(COUNTIF(O2158:Q2175,$B2183)+COUNTIF(O2158:Q2175,$B2183&amp;" ~*")&gt;0)+(IFERROR(INDEX(Setup!$G$33:$G$40,MATCH(S2183,Setup!$B$33:$B$40,0)),0)=1)*(COUNTIF(S2158:U2175,$B2183)+COUNTIF(S2158:U2175,$B2183&amp;" ~*")&gt;0)+(IFERROR(INDEX(Setup!$G$33:$G$40,MATCH(W2183,Setup!$B$33:$B$40,0)),0)=1)*(COUNTIF(W2158:W2175,$B2183)+COUNTIF(W2158:W2175,$B2183&amp;" ~*")&gt;0)+(IFERROR(INDEX(Setup!$G$33:$G$40,MATCH(Y2183,Setup!$B$33:$B$40,0)),0)=1)*(COUNTIF(Y2158:Y2175,$B2183)+COUNTIF(Y2158:Y2175,$B2183&amp;" ~*")&gt;0))</f>
        <v/>
      </c>
    </row>
    <row r="2184" ht="15" customHeight="1">
      <c r="A2184" t="n">
        <v>44</v>
      </c>
      <c r="B2184" s="37">
        <f>IF(Setup!$B$13="","",Setup!$B$13)</f>
        <v/>
      </c>
      <c r="C2184" s="102" t="n"/>
      <c r="D2184" s="103" t="n"/>
      <c r="E2184" s="103" t="n"/>
      <c r="F2184" s="104" t="n"/>
      <c r="G2184" s="102" t="n"/>
      <c r="H2184" s="103" t="n"/>
      <c r="I2184" s="103" t="n"/>
      <c r="J2184" s="104" t="n"/>
      <c r="K2184" s="102" t="n"/>
      <c r="L2184" s="103" t="n"/>
      <c r="M2184" s="103" t="n"/>
      <c r="N2184" s="104" t="n"/>
      <c r="O2184" s="102" t="n"/>
      <c r="P2184" s="103" t="n"/>
      <c r="Q2184" s="103" t="n"/>
      <c r="R2184" s="104" t="n"/>
      <c r="S2184" s="102" t="n"/>
      <c r="T2184" s="103" t="n"/>
      <c r="U2184" s="103" t="n"/>
      <c r="V2184" s="104" t="n"/>
      <c r="W2184" s="102" t="n"/>
      <c r="X2184" s="104" t="n"/>
      <c r="Y2184" s="102" t="n"/>
      <c r="Z2184" s="104" t="n"/>
      <c r="AB2184" s="105">
        <f>IF($B2184="","",(COUNTIF(C2158:E2175,$B2184)+COUNTIF(C2158:E2175,$B2184&amp;" ~*")&gt;0)+(COUNTIF(G2158:I2175,$B2184)+COUNTIF(G2158:I2175,$B2184&amp;" ~*")&gt;0)+(COUNTIF(K2158:M2175,$B2184)+COUNTIF(K2158:M2175,$B2184&amp;" ~*")&gt;0)+(COUNTIF(O2158:Q2175,$B2184)+COUNTIF(O2158:Q2175,$B2184&amp;" ~*")&gt;0)+(COUNTIF(S2158:U2175,$B2184)+COUNTIF(S2158:U2175,$B2184&amp;" ~*")&gt;0)+(COUNTIF(W2158:W2175,$B2184)+COUNTIF(W2158:W2175,$B2184&amp;" ~*")&gt;0)+(COUNTIF(Y2158:Y2175,$B2184)+COUNTIF(Y2158:Y2175,$B2184&amp;" ~*")&gt;0))</f>
        <v/>
      </c>
      <c r="AC2184" s="38">
        <f>IF($B2184="","",(IFERROR(INDEX(Setup!$G$33:$G$40,MATCH(C2184,Setup!$B$33:$B$40,0)),0)=1)*(COUNTIF(C2158:E2175,$B2184)+COUNTIF(C2158:E2175,$B2184&amp;" ~*")&gt;0)+(IFERROR(INDEX(Setup!$G$33:$G$40,MATCH(G2184,Setup!$B$33:$B$40,0)),0)=1)*(COUNTIF(G2158:I2175,$B2184)+COUNTIF(G2158:I2175,$B2184&amp;" ~*")&gt;0)+(IFERROR(INDEX(Setup!$G$33:$G$40,MATCH(K2184,Setup!$B$33:$B$40,0)),0)=1)*(COUNTIF(K2158:M2175,$B2184)+COUNTIF(K2158:M2175,$B2184&amp;" ~*")&gt;0)+(IFERROR(INDEX(Setup!$G$33:$G$40,MATCH(O2184,Setup!$B$33:$B$40,0)),0)=1)*(COUNTIF(O2158:Q2175,$B2184)+COUNTIF(O2158:Q2175,$B2184&amp;" ~*")&gt;0)+(IFERROR(INDEX(Setup!$G$33:$G$40,MATCH(S2184,Setup!$B$33:$B$40,0)),0)=1)*(COUNTIF(S2158:U2175,$B2184)+COUNTIF(S2158:U2175,$B2184&amp;" ~*")&gt;0)+(IFERROR(INDEX(Setup!$G$33:$G$40,MATCH(W2184,Setup!$B$33:$B$40,0)),0)=1)*(COUNTIF(W2158:W2175,$B2184)+COUNTIF(W2158:W2175,$B2184&amp;" ~*")&gt;0)+(IFERROR(INDEX(Setup!$G$33:$G$40,MATCH(Y2184,Setup!$B$33:$B$40,0)),0)=1)*(COUNTIF(Y2158:Y2175,$B2184)+COUNTIF(Y2158:Y2175,$B2184&amp;" ~*")&gt;0))</f>
        <v/>
      </c>
    </row>
    <row r="2185" ht="15" customHeight="1">
      <c r="A2185" t="n">
        <v>44</v>
      </c>
      <c r="B2185" s="35">
        <f>IF(Setup!$B$14="","",Setup!$B$14)</f>
        <v/>
      </c>
      <c r="C2185" s="98" t="n"/>
      <c r="D2185" s="99" t="n"/>
      <c r="E2185" s="99" t="n"/>
      <c r="F2185" s="100" t="n"/>
      <c r="G2185" s="98" t="n"/>
      <c r="H2185" s="99" t="n"/>
      <c r="I2185" s="99" t="n"/>
      <c r="J2185" s="100" t="n"/>
      <c r="K2185" s="98" t="n"/>
      <c r="L2185" s="99" t="n"/>
      <c r="M2185" s="99" t="n"/>
      <c r="N2185" s="100" t="n"/>
      <c r="O2185" s="98" t="n"/>
      <c r="P2185" s="99" t="n"/>
      <c r="Q2185" s="99" t="n"/>
      <c r="R2185" s="100" t="n"/>
      <c r="S2185" s="98" t="n"/>
      <c r="T2185" s="99" t="n"/>
      <c r="U2185" s="99" t="n"/>
      <c r="V2185" s="100" t="n"/>
      <c r="W2185" s="98" t="n"/>
      <c r="X2185" s="100" t="n"/>
      <c r="Y2185" s="98" t="n"/>
      <c r="Z2185" s="100" t="n"/>
      <c r="AB2185" s="101">
        <f>IF($B2185="","",(COUNTIF(C2158:E2175,$B2185)+COUNTIF(C2158:E2175,$B2185&amp;" ~*")&gt;0)+(COUNTIF(G2158:I2175,$B2185)+COUNTIF(G2158:I2175,$B2185&amp;" ~*")&gt;0)+(COUNTIF(K2158:M2175,$B2185)+COUNTIF(K2158:M2175,$B2185&amp;" ~*")&gt;0)+(COUNTIF(O2158:Q2175,$B2185)+COUNTIF(O2158:Q2175,$B2185&amp;" ~*")&gt;0)+(COUNTIF(S2158:U2175,$B2185)+COUNTIF(S2158:U2175,$B2185&amp;" ~*")&gt;0)+(COUNTIF(W2158:W2175,$B2185)+COUNTIF(W2158:W2175,$B2185&amp;" ~*")&gt;0)+(COUNTIF(Y2158:Y2175,$B2185)+COUNTIF(Y2158:Y2175,$B2185&amp;" ~*")&gt;0))</f>
        <v/>
      </c>
      <c r="AC2185" s="36">
        <f>IF($B2185="","",(IFERROR(INDEX(Setup!$G$33:$G$40,MATCH(C2185,Setup!$B$33:$B$40,0)),0)=1)*(COUNTIF(C2158:E2175,$B2185)+COUNTIF(C2158:E2175,$B2185&amp;" ~*")&gt;0)+(IFERROR(INDEX(Setup!$G$33:$G$40,MATCH(G2185,Setup!$B$33:$B$40,0)),0)=1)*(COUNTIF(G2158:I2175,$B2185)+COUNTIF(G2158:I2175,$B2185&amp;" ~*")&gt;0)+(IFERROR(INDEX(Setup!$G$33:$G$40,MATCH(K2185,Setup!$B$33:$B$40,0)),0)=1)*(COUNTIF(K2158:M2175,$B2185)+COUNTIF(K2158:M2175,$B2185&amp;" ~*")&gt;0)+(IFERROR(INDEX(Setup!$G$33:$G$40,MATCH(O2185,Setup!$B$33:$B$40,0)),0)=1)*(COUNTIF(O2158:Q2175,$B2185)+COUNTIF(O2158:Q2175,$B2185&amp;" ~*")&gt;0)+(IFERROR(INDEX(Setup!$G$33:$G$40,MATCH(S2185,Setup!$B$33:$B$40,0)),0)=1)*(COUNTIF(S2158:U2175,$B2185)+COUNTIF(S2158:U2175,$B2185&amp;" ~*")&gt;0)+(IFERROR(INDEX(Setup!$G$33:$G$40,MATCH(W2185,Setup!$B$33:$B$40,0)),0)=1)*(COUNTIF(W2158:W2175,$B2185)+COUNTIF(W2158:W2175,$B2185&amp;" ~*")&gt;0)+(IFERROR(INDEX(Setup!$G$33:$G$40,MATCH(Y2185,Setup!$B$33:$B$40,0)),0)=1)*(COUNTIF(Y2158:Y2175,$B2185)+COUNTIF(Y2158:Y2175,$B2185&amp;" ~*")&gt;0))</f>
        <v/>
      </c>
    </row>
    <row r="2186" ht="15" customHeight="1">
      <c r="A2186" t="n">
        <v>44</v>
      </c>
      <c r="B2186" s="37">
        <f>IF(Setup!$B$15="","",Setup!$B$15)</f>
        <v/>
      </c>
      <c r="C2186" s="102" t="n"/>
      <c r="D2186" s="103" t="n"/>
      <c r="E2186" s="103" t="n"/>
      <c r="F2186" s="104" t="n"/>
      <c r="G2186" s="102" t="n"/>
      <c r="H2186" s="103" t="n"/>
      <c r="I2186" s="103" t="n"/>
      <c r="J2186" s="104" t="n"/>
      <c r="K2186" s="102" t="n"/>
      <c r="L2186" s="103" t="n"/>
      <c r="M2186" s="103" t="n"/>
      <c r="N2186" s="104" t="n"/>
      <c r="O2186" s="102" t="n"/>
      <c r="P2186" s="103" t="n"/>
      <c r="Q2186" s="103" t="n"/>
      <c r="R2186" s="104" t="n"/>
      <c r="S2186" s="102" t="n"/>
      <c r="T2186" s="103" t="n"/>
      <c r="U2186" s="103" t="n"/>
      <c r="V2186" s="104" t="n"/>
      <c r="W2186" s="102" t="n"/>
      <c r="X2186" s="104" t="n"/>
      <c r="Y2186" s="102" t="n"/>
      <c r="Z2186" s="104" t="n"/>
      <c r="AB2186" s="105">
        <f>IF($B2186="","",(COUNTIF(C2158:E2175,$B2186)+COUNTIF(C2158:E2175,$B2186&amp;" ~*")&gt;0)+(COUNTIF(G2158:I2175,$B2186)+COUNTIF(G2158:I2175,$B2186&amp;" ~*")&gt;0)+(COUNTIF(K2158:M2175,$B2186)+COUNTIF(K2158:M2175,$B2186&amp;" ~*")&gt;0)+(COUNTIF(O2158:Q2175,$B2186)+COUNTIF(O2158:Q2175,$B2186&amp;" ~*")&gt;0)+(COUNTIF(S2158:U2175,$B2186)+COUNTIF(S2158:U2175,$B2186&amp;" ~*")&gt;0)+(COUNTIF(W2158:W2175,$B2186)+COUNTIF(W2158:W2175,$B2186&amp;" ~*")&gt;0)+(COUNTIF(Y2158:Y2175,$B2186)+COUNTIF(Y2158:Y2175,$B2186&amp;" ~*")&gt;0))</f>
        <v/>
      </c>
      <c r="AC2186" s="38">
        <f>IF($B2186="","",(IFERROR(INDEX(Setup!$G$33:$G$40,MATCH(C2186,Setup!$B$33:$B$40,0)),0)=1)*(COUNTIF(C2158:E2175,$B2186)+COUNTIF(C2158:E2175,$B2186&amp;" ~*")&gt;0)+(IFERROR(INDEX(Setup!$G$33:$G$40,MATCH(G2186,Setup!$B$33:$B$40,0)),0)=1)*(COUNTIF(G2158:I2175,$B2186)+COUNTIF(G2158:I2175,$B2186&amp;" ~*")&gt;0)+(IFERROR(INDEX(Setup!$G$33:$G$40,MATCH(K2186,Setup!$B$33:$B$40,0)),0)=1)*(COUNTIF(K2158:M2175,$B2186)+COUNTIF(K2158:M2175,$B2186&amp;" ~*")&gt;0)+(IFERROR(INDEX(Setup!$G$33:$G$40,MATCH(O2186,Setup!$B$33:$B$40,0)),0)=1)*(COUNTIF(O2158:Q2175,$B2186)+COUNTIF(O2158:Q2175,$B2186&amp;" ~*")&gt;0)+(IFERROR(INDEX(Setup!$G$33:$G$40,MATCH(S2186,Setup!$B$33:$B$40,0)),0)=1)*(COUNTIF(S2158:U2175,$B2186)+COUNTIF(S2158:U2175,$B2186&amp;" ~*")&gt;0)+(IFERROR(INDEX(Setup!$G$33:$G$40,MATCH(W2186,Setup!$B$33:$B$40,0)),0)=1)*(COUNTIF(W2158:W2175,$B2186)+COUNTIF(W2158:W2175,$B2186&amp;" ~*")&gt;0)+(IFERROR(INDEX(Setup!$G$33:$G$40,MATCH(Y2186,Setup!$B$33:$B$40,0)),0)=1)*(COUNTIF(Y2158:Y2175,$B2186)+COUNTIF(Y2158:Y2175,$B2186&amp;" ~*")&gt;0))</f>
        <v/>
      </c>
    </row>
    <row r="2187" ht="15" customHeight="1">
      <c r="A2187" t="n">
        <v>44</v>
      </c>
      <c r="B2187" s="35">
        <f>IF(Setup!$B$16="","",Setup!$B$16)</f>
        <v/>
      </c>
      <c r="C2187" s="98" t="n"/>
      <c r="D2187" s="99" t="n"/>
      <c r="E2187" s="99" t="n"/>
      <c r="F2187" s="100" t="n"/>
      <c r="G2187" s="98" t="n"/>
      <c r="H2187" s="99" t="n"/>
      <c r="I2187" s="99" t="n"/>
      <c r="J2187" s="100" t="n"/>
      <c r="K2187" s="98" t="n"/>
      <c r="L2187" s="99" t="n"/>
      <c r="M2187" s="99" t="n"/>
      <c r="N2187" s="100" t="n"/>
      <c r="O2187" s="98" t="n"/>
      <c r="P2187" s="99" t="n"/>
      <c r="Q2187" s="99" t="n"/>
      <c r="R2187" s="100" t="n"/>
      <c r="S2187" s="98" t="n"/>
      <c r="T2187" s="99" t="n"/>
      <c r="U2187" s="99" t="n"/>
      <c r="V2187" s="100" t="n"/>
      <c r="W2187" s="98" t="n"/>
      <c r="X2187" s="100" t="n"/>
      <c r="Y2187" s="98" t="n"/>
      <c r="Z2187" s="100" t="n"/>
      <c r="AB2187" s="101">
        <f>IF($B2187="","",(COUNTIF(C2158:E2175,$B2187)+COUNTIF(C2158:E2175,$B2187&amp;" ~*")&gt;0)+(COUNTIF(G2158:I2175,$B2187)+COUNTIF(G2158:I2175,$B2187&amp;" ~*")&gt;0)+(COUNTIF(K2158:M2175,$B2187)+COUNTIF(K2158:M2175,$B2187&amp;" ~*")&gt;0)+(COUNTIF(O2158:Q2175,$B2187)+COUNTIF(O2158:Q2175,$B2187&amp;" ~*")&gt;0)+(COUNTIF(S2158:U2175,$B2187)+COUNTIF(S2158:U2175,$B2187&amp;" ~*")&gt;0)+(COUNTIF(W2158:W2175,$B2187)+COUNTIF(W2158:W2175,$B2187&amp;" ~*")&gt;0)+(COUNTIF(Y2158:Y2175,$B2187)+COUNTIF(Y2158:Y2175,$B2187&amp;" ~*")&gt;0))</f>
        <v/>
      </c>
      <c r="AC2187" s="36">
        <f>IF($B2187="","",(IFERROR(INDEX(Setup!$G$33:$G$40,MATCH(C2187,Setup!$B$33:$B$40,0)),0)=1)*(COUNTIF(C2158:E2175,$B2187)+COUNTIF(C2158:E2175,$B2187&amp;" ~*")&gt;0)+(IFERROR(INDEX(Setup!$G$33:$G$40,MATCH(G2187,Setup!$B$33:$B$40,0)),0)=1)*(COUNTIF(G2158:I2175,$B2187)+COUNTIF(G2158:I2175,$B2187&amp;" ~*")&gt;0)+(IFERROR(INDEX(Setup!$G$33:$G$40,MATCH(K2187,Setup!$B$33:$B$40,0)),0)=1)*(COUNTIF(K2158:M2175,$B2187)+COUNTIF(K2158:M2175,$B2187&amp;" ~*")&gt;0)+(IFERROR(INDEX(Setup!$G$33:$G$40,MATCH(O2187,Setup!$B$33:$B$40,0)),0)=1)*(COUNTIF(O2158:Q2175,$B2187)+COUNTIF(O2158:Q2175,$B2187&amp;" ~*")&gt;0)+(IFERROR(INDEX(Setup!$G$33:$G$40,MATCH(S2187,Setup!$B$33:$B$40,0)),0)=1)*(COUNTIF(S2158:U2175,$B2187)+COUNTIF(S2158:U2175,$B2187&amp;" ~*")&gt;0)+(IFERROR(INDEX(Setup!$G$33:$G$40,MATCH(W2187,Setup!$B$33:$B$40,0)),0)=1)*(COUNTIF(W2158:W2175,$B2187)+COUNTIF(W2158:W2175,$B2187&amp;" ~*")&gt;0)+(IFERROR(INDEX(Setup!$G$33:$G$40,MATCH(Y2187,Setup!$B$33:$B$40,0)),0)=1)*(COUNTIF(Y2158:Y2175,$B2187)+COUNTIF(Y2158:Y2175,$B2187&amp;" ~*")&gt;0))</f>
        <v/>
      </c>
    </row>
    <row r="2188" ht="15" customHeight="1">
      <c r="A2188" t="n">
        <v>44</v>
      </c>
      <c r="B2188" s="37">
        <f>IF(Setup!$B$17="","",Setup!$B$17)</f>
        <v/>
      </c>
      <c r="C2188" s="102" t="n"/>
      <c r="D2188" s="103" t="n"/>
      <c r="E2188" s="103" t="n"/>
      <c r="F2188" s="104" t="n"/>
      <c r="G2188" s="102" t="n"/>
      <c r="H2188" s="103" t="n"/>
      <c r="I2188" s="103" t="n"/>
      <c r="J2188" s="104" t="n"/>
      <c r="K2188" s="102" t="n"/>
      <c r="L2188" s="103" t="n"/>
      <c r="M2188" s="103" t="n"/>
      <c r="N2188" s="104" t="n"/>
      <c r="O2188" s="102" t="n"/>
      <c r="P2188" s="103" t="n"/>
      <c r="Q2188" s="103" t="n"/>
      <c r="R2188" s="104" t="n"/>
      <c r="S2188" s="102" t="n"/>
      <c r="T2188" s="103" t="n"/>
      <c r="U2188" s="103" t="n"/>
      <c r="V2188" s="104" t="n"/>
      <c r="W2188" s="102" t="n"/>
      <c r="X2188" s="104" t="n"/>
      <c r="Y2188" s="102" t="n"/>
      <c r="Z2188" s="104" t="n"/>
      <c r="AB2188" s="105">
        <f>IF($B2188="","",(COUNTIF(C2158:E2175,$B2188)+COUNTIF(C2158:E2175,$B2188&amp;" ~*")&gt;0)+(COUNTIF(G2158:I2175,$B2188)+COUNTIF(G2158:I2175,$B2188&amp;" ~*")&gt;0)+(COUNTIF(K2158:M2175,$B2188)+COUNTIF(K2158:M2175,$B2188&amp;" ~*")&gt;0)+(COUNTIF(O2158:Q2175,$B2188)+COUNTIF(O2158:Q2175,$B2188&amp;" ~*")&gt;0)+(COUNTIF(S2158:U2175,$B2188)+COUNTIF(S2158:U2175,$B2188&amp;" ~*")&gt;0)+(COUNTIF(W2158:W2175,$B2188)+COUNTIF(W2158:W2175,$B2188&amp;" ~*")&gt;0)+(COUNTIF(Y2158:Y2175,$B2188)+COUNTIF(Y2158:Y2175,$B2188&amp;" ~*")&gt;0))</f>
        <v/>
      </c>
      <c r="AC2188" s="38">
        <f>IF($B2188="","",(IFERROR(INDEX(Setup!$G$33:$G$40,MATCH(C2188,Setup!$B$33:$B$40,0)),0)=1)*(COUNTIF(C2158:E2175,$B2188)+COUNTIF(C2158:E2175,$B2188&amp;" ~*")&gt;0)+(IFERROR(INDEX(Setup!$G$33:$G$40,MATCH(G2188,Setup!$B$33:$B$40,0)),0)=1)*(COUNTIF(G2158:I2175,$B2188)+COUNTIF(G2158:I2175,$B2188&amp;" ~*")&gt;0)+(IFERROR(INDEX(Setup!$G$33:$G$40,MATCH(K2188,Setup!$B$33:$B$40,0)),0)=1)*(COUNTIF(K2158:M2175,$B2188)+COUNTIF(K2158:M2175,$B2188&amp;" ~*")&gt;0)+(IFERROR(INDEX(Setup!$G$33:$G$40,MATCH(O2188,Setup!$B$33:$B$40,0)),0)=1)*(COUNTIF(O2158:Q2175,$B2188)+COUNTIF(O2158:Q2175,$B2188&amp;" ~*")&gt;0)+(IFERROR(INDEX(Setup!$G$33:$G$40,MATCH(S2188,Setup!$B$33:$B$40,0)),0)=1)*(COUNTIF(S2158:U2175,$B2188)+COUNTIF(S2158:U2175,$B2188&amp;" ~*")&gt;0)+(IFERROR(INDEX(Setup!$G$33:$G$40,MATCH(W2188,Setup!$B$33:$B$40,0)),0)=1)*(COUNTIF(W2158:W2175,$B2188)+COUNTIF(W2158:W2175,$B2188&amp;" ~*")&gt;0)+(IFERROR(INDEX(Setup!$G$33:$G$40,MATCH(Y2188,Setup!$B$33:$B$40,0)),0)=1)*(COUNTIF(Y2158:Y2175,$B2188)+COUNTIF(Y2158:Y2175,$B2188&amp;" ~*")&gt;0))</f>
        <v/>
      </c>
    </row>
    <row r="2189" ht="15" customHeight="1">
      <c r="A2189" t="n">
        <v>44</v>
      </c>
      <c r="B2189" s="35">
        <f>IF(Setup!$B$18="","",Setup!$B$18)</f>
        <v/>
      </c>
      <c r="C2189" s="98" t="n"/>
      <c r="D2189" s="99" t="n"/>
      <c r="E2189" s="99" t="n"/>
      <c r="F2189" s="100" t="n"/>
      <c r="G2189" s="98" t="n"/>
      <c r="H2189" s="99" t="n"/>
      <c r="I2189" s="99" t="n"/>
      <c r="J2189" s="100" t="n"/>
      <c r="K2189" s="98" t="n"/>
      <c r="L2189" s="99" t="n"/>
      <c r="M2189" s="99" t="n"/>
      <c r="N2189" s="100" t="n"/>
      <c r="O2189" s="98" t="n"/>
      <c r="P2189" s="99" t="n"/>
      <c r="Q2189" s="99" t="n"/>
      <c r="R2189" s="100" t="n"/>
      <c r="S2189" s="98" t="n"/>
      <c r="T2189" s="99" t="n"/>
      <c r="U2189" s="99" t="n"/>
      <c r="V2189" s="100" t="n"/>
      <c r="W2189" s="98" t="n"/>
      <c r="X2189" s="100" t="n"/>
      <c r="Y2189" s="98" t="n"/>
      <c r="Z2189" s="100" t="n"/>
      <c r="AB2189" s="101">
        <f>IF($B2189="","",(COUNTIF(C2158:E2175,$B2189)+COUNTIF(C2158:E2175,$B2189&amp;" ~*")&gt;0)+(COUNTIF(G2158:I2175,$B2189)+COUNTIF(G2158:I2175,$B2189&amp;" ~*")&gt;0)+(COUNTIF(K2158:M2175,$B2189)+COUNTIF(K2158:M2175,$B2189&amp;" ~*")&gt;0)+(COUNTIF(O2158:Q2175,$B2189)+COUNTIF(O2158:Q2175,$B2189&amp;" ~*")&gt;0)+(COUNTIF(S2158:U2175,$B2189)+COUNTIF(S2158:U2175,$B2189&amp;" ~*")&gt;0)+(COUNTIF(W2158:W2175,$B2189)+COUNTIF(W2158:W2175,$B2189&amp;" ~*")&gt;0)+(COUNTIF(Y2158:Y2175,$B2189)+COUNTIF(Y2158:Y2175,$B2189&amp;" ~*")&gt;0))</f>
        <v/>
      </c>
      <c r="AC2189" s="36">
        <f>IF($B2189="","",(IFERROR(INDEX(Setup!$G$33:$G$40,MATCH(C2189,Setup!$B$33:$B$40,0)),0)=1)*(COUNTIF(C2158:E2175,$B2189)+COUNTIF(C2158:E2175,$B2189&amp;" ~*")&gt;0)+(IFERROR(INDEX(Setup!$G$33:$G$40,MATCH(G2189,Setup!$B$33:$B$40,0)),0)=1)*(COUNTIF(G2158:I2175,$B2189)+COUNTIF(G2158:I2175,$B2189&amp;" ~*")&gt;0)+(IFERROR(INDEX(Setup!$G$33:$G$40,MATCH(K2189,Setup!$B$33:$B$40,0)),0)=1)*(COUNTIF(K2158:M2175,$B2189)+COUNTIF(K2158:M2175,$B2189&amp;" ~*")&gt;0)+(IFERROR(INDEX(Setup!$G$33:$G$40,MATCH(O2189,Setup!$B$33:$B$40,0)),0)=1)*(COUNTIF(O2158:Q2175,$B2189)+COUNTIF(O2158:Q2175,$B2189&amp;" ~*")&gt;0)+(IFERROR(INDEX(Setup!$G$33:$G$40,MATCH(S2189,Setup!$B$33:$B$40,0)),0)=1)*(COUNTIF(S2158:U2175,$B2189)+COUNTIF(S2158:U2175,$B2189&amp;" ~*")&gt;0)+(IFERROR(INDEX(Setup!$G$33:$G$40,MATCH(W2189,Setup!$B$33:$B$40,0)),0)=1)*(COUNTIF(W2158:W2175,$B2189)+COUNTIF(W2158:W2175,$B2189&amp;" ~*")&gt;0)+(IFERROR(INDEX(Setup!$G$33:$G$40,MATCH(Y2189,Setup!$B$33:$B$40,0)),0)=1)*(COUNTIF(Y2158:Y2175,$B2189)+COUNTIF(Y2158:Y2175,$B2189&amp;" ~*")&gt;0))</f>
        <v/>
      </c>
    </row>
    <row r="2190" ht="15" customHeight="1">
      <c r="A2190" t="n">
        <v>44</v>
      </c>
      <c r="B2190" s="37">
        <f>IF(Setup!$B$19="","",Setup!$B$19)</f>
        <v/>
      </c>
      <c r="C2190" s="102" t="n"/>
      <c r="D2190" s="103" t="n"/>
      <c r="E2190" s="103" t="n"/>
      <c r="F2190" s="104" t="n"/>
      <c r="G2190" s="102" t="n"/>
      <c r="H2190" s="103" t="n"/>
      <c r="I2190" s="103" t="n"/>
      <c r="J2190" s="104" t="n"/>
      <c r="K2190" s="102" t="n"/>
      <c r="L2190" s="103" t="n"/>
      <c r="M2190" s="103" t="n"/>
      <c r="N2190" s="104" t="n"/>
      <c r="O2190" s="102" t="n"/>
      <c r="P2190" s="103" t="n"/>
      <c r="Q2190" s="103" t="n"/>
      <c r="R2190" s="104" t="n"/>
      <c r="S2190" s="102" t="n"/>
      <c r="T2190" s="103" t="n"/>
      <c r="U2190" s="103" t="n"/>
      <c r="V2190" s="104" t="n"/>
      <c r="W2190" s="102" t="n"/>
      <c r="X2190" s="104" t="n"/>
      <c r="Y2190" s="102" t="n"/>
      <c r="Z2190" s="104" t="n"/>
      <c r="AB2190" s="105">
        <f>IF($B2190="","",(COUNTIF(C2158:E2175,$B2190)+COUNTIF(C2158:E2175,$B2190&amp;" ~*")&gt;0)+(COUNTIF(G2158:I2175,$B2190)+COUNTIF(G2158:I2175,$B2190&amp;" ~*")&gt;0)+(COUNTIF(K2158:M2175,$B2190)+COUNTIF(K2158:M2175,$B2190&amp;" ~*")&gt;0)+(COUNTIF(O2158:Q2175,$B2190)+COUNTIF(O2158:Q2175,$B2190&amp;" ~*")&gt;0)+(COUNTIF(S2158:U2175,$B2190)+COUNTIF(S2158:U2175,$B2190&amp;" ~*")&gt;0)+(COUNTIF(W2158:W2175,$B2190)+COUNTIF(W2158:W2175,$B2190&amp;" ~*")&gt;0)+(COUNTIF(Y2158:Y2175,$B2190)+COUNTIF(Y2158:Y2175,$B2190&amp;" ~*")&gt;0))</f>
        <v/>
      </c>
      <c r="AC2190" s="38">
        <f>IF($B2190="","",(IFERROR(INDEX(Setup!$G$33:$G$40,MATCH(C2190,Setup!$B$33:$B$40,0)),0)=1)*(COUNTIF(C2158:E2175,$B2190)+COUNTIF(C2158:E2175,$B2190&amp;" ~*")&gt;0)+(IFERROR(INDEX(Setup!$G$33:$G$40,MATCH(G2190,Setup!$B$33:$B$40,0)),0)=1)*(COUNTIF(G2158:I2175,$B2190)+COUNTIF(G2158:I2175,$B2190&amp;" ~*")&gt;0)+(IFERROR(INDEX(Setup!$G$33:$G$40,MATCH(K2190,Setup!$B$33:$B$40,0)),0)=1)*(COUNTIF(K2158:M2175,$B2190)+COUNTIF(K2158:M2175,$B2190&amp;" ~*")&gt;0)+(IFERROR(INDEX(Setup!$G$33:$G$40,MATCH(O2190,Setup!$B$33:$B$40,0)),0)=1)*(COUNTIF(O2158:Q2175,$B2190)+COUNTIF(O2158:Q2175,$B2190&amp;" ~*")&gt;0)+(IFERROR(INDEX(Setup!$G$33:$G$40,MATCH(S2190,Setup!$B$33:$B$40,0)),0)=1)*(COUNTIF(S2158:U2175,$B2190)+COUNTIF(S2158:U2175,$B2190&amp;" ~*")&gt;0)+(IFERROR(INDEX(Setup!$G$33:$G$40,MATCH(W2190,Setup!$B$33:$B$40,0)),0)=1)*(COUNTIF(W2158:W2175,$B2190)+COUNTIF(W2158:W2175,$B2190&amp;" ~*")&gt;0)+(IFERROR(INDEX(Setup!$G$33:$G$40,MATCH(Y2190,Setup!$B$33:$B$40,0)),0)=1)*(COUNTIF(Y2158:Y2175,$B2190)+COUNTIF(Y2158:Y2175,$B2190&amp;" ~*")&gt;0))</f>
        <v/>
      </c>
    </row>
    <row r="2191" ht="15" customHeight="1">
      <c r="A2191" t="n">
        <v>44</v>
      </c>
      <c r="B2191" s="35">
        <f>IF(Setup!$B$20="","",Setup!$B$20)</f>
        <v/>
      </c>
      <c r="C2191" s="98" t="n"/>
      <c r="D2191" s="99" t="n"/>
      <c r="E2191" s="99" t="n"/>
      <c r="F2191" s="100" t="n"/>
      <c r="G2191" s="98" t="n"/>
      <c r="H2191" s="99" t="n"/>
      <c r="I2191" s="99" t="n"/>
      <c r="J2191" s="100" t="n"/>
      <c r="K2191" s="98" t="n"/>
      <c r="L2191" s="99" t="n"/>
      <c r="M2191" s="99" t="n"/>
      <c r="N2191" s="100" t="n"/>
      <c r="O2191" s="98" t="n"/>
      <c r="P2191" s="99" t="n"/>
      <c r="Q2191" s="99" t="n"/>
      <c r="R2191" s="100" t="n"/>
      <c r="S2191" s="98" t="n"/>
      <c r="T2191" s="99" t="n"/>
      <c r="U2191" s="99" t="n"/>
      <c r="V2191" s="100" t="n"/>
      <c r="W2191" s="98" t="n"/>
      <c r="X2191" s="100" t="n"/>
      <c r="Y2191" s="98" t="n"/>
      <c r="Z2191" s="100" t="n"/>
      <c r="AB2191" s="101">
        <f>IF($B2191="","",(COUNTIF(C2158:E2175,$B2191)+COUNTIF(C2158:E2175,$B2191&amp;" ~*")&gt;0)+(COUNTIF(G2158:I2175,$B2191)+COUNTIF(G2158:I2175,$B2191&amp;" ~*")&gt;0)+(COUNTIF(K2158:M2175,$B2191)+COUNTIF(K2158:M2175,$B2191&amp;" ~*")&gt;0)+(COUNTIF(O2158:Q2175,$B2191)+COUNTIF(O2158:Q2175,$B2191&amp;" ~*")&gt;0)+(COUNTIF(S2158:U2175,$B2191)+COUNTIF(S2158:U2175,$B2191&amp;" ~*")&gt;0)+(COUNTIF(W2158:W2175,$B2191)+COUNTIF(W2158:W2175,$B2191&amp;" ~*")&gt;0)+(COUNTIF(Y2158:Y2175,$B2191)+COUNTIF(Y2158:Y2175,$B2191&amp;" ~*")&gt;0))</f>
        <v/>
      </c>
      <c r="AC2191" s="36">
        <f>IF($B2191="","",(IFERROR(INDEX(Setup!$G$33:$G$40,MATCH(C2191,Setup!$B$33:$B$40,0)),0)=1)*(COUNTIF(C2158:E2175,$B2191)+COUNTIF(C2158:E2175,$B2191&amp;" ~*")&gt;0)+(IFERROR(INDEX(Setup!$G$33:$G$40,MATCH(G2191,Setup!$B$33:$B$40,0)),0)=1)*(COUNTIF(G2158:I2175,$B2191)+COUNTIF(G2158:I2175,$B2191&amp;" ~*")&gt;0)+(IFERROR(INDEX(Setup!$G$33:$G$40,MATCH(K2191,Setup!$B$33:$B$40,0)),0)=1)*(COUNTIF(K2158:M2175,$B2191)+COUNTIF(K2158:M2175,$B2191&amp;" ~*")&gt;0)+(IFERROR(INDEX(Setup!$G$33:$G$40,MATCH(O2191,Setup!$B$33:$B$40,0)),0)=1)*(COUNTIF(O2158:Q2175,$B2191)+COUNTIF(O2158:Q2175,$B2191&amp;" ~*")&gt;0)+(IFERROR(INDEX(Setup!$G$33:$G$40,MATCH(S2191,Setup!$B$33:$B$40,0)),0)=1)*(COUNTIF(S2158:U2175,$B2191)+COUNTIF(S2158:U2175,$B2191&amp;" ~*")&gt;0)+(IFERROR(INDEX(Setup!$G$33:$G$40,MATCH(W2191,Setup!$B$33:$B$40,0)),0)=1)*(COUNTIF(W2158:W2175,$B2191)+COUNTIF(W2158:W2175,$B2191&amp;" ~*")&gt;0)+(IFERROR(INDEX(Setup!$G$33:$G$40,MATCH(Y2191,Setup!$B$33:$B$40,0)),0)=1)*(COUNTIF(Y2158:Y2175,$B2191)+COUNTIF(Y2158:Y2175,$B2191&amp;" ~*")&gt;0))</f>
        <v/>
      </c>
    </row>
    <row r="2192" ht="15" customHeight="1">
      <c r="A2192" t="n">
        <v>44</v>
      </c>
      <c r="B2192" s="37">
        <f>IF(Setup!$B$21="","",Setup!$B$21)</f>
        <v/>
      </c>
      <c r="C2192" s="102" t="n"/>
      <c r="D2192" s="103" t="n"/>
      <c r="E2192" s="103" t="n"/>
      <c r="F2192" s="104" t="n"/>
      <c r="G2192" s="102" t="n"/>
      <c r="H2192" s="103" t="n"/>
      <c r="I2192" s="103" t="n"/>
      <c r="J2192" s="104" t="n"/>
      <c r="K2192" s="102" t="n"/>
      <c r="L2192" s="103" t="n"/>
      <c r="M2192" s="103" t="n"/>
      <c r="N2192" s="104" t="n"/>
      <c r="O2192" s="102" t="n"/>
      <c r="P2192" s="103" t="n"/>
      <c r="Q2192" s="103" t="n"/>
      <c r="R2192" s="104" t="n"/>
      <c r="S2192" s="102" t="n"/>
      <c r="T2192" s="103" t="n"/>
      <c r="U2192" s="103" t="n"/>
      <c r="V2192" s="104" t="n"/>
      <c r="W2192" s="102" t="n"/>
      <c r="X2192" s="104" t="n"/>
      <c r="Y2192" s="102" t="n"/>
      <c r="Z2192" s="104" t="n"/>
      <c r="AB2192" s="105">
        <f>IF($B2192="","",(COUNTIF(C2158:E2175,$B2192)+COUNTIF(C2158:E2175,$B2192&amp;" ~*")&gt;0)+(COUNTIF(G2158:I2175,$B2192)+COUNTIF(G2158:I2175,$B2192&amp;" ~*")&gt;0)+(COUNTIF(K2158:M2175,$B2192)+COUNTIF(K2158:M2175,$B2192&amp;" ~*")&gt;0)+(COUNTIF(O2158:Q2175,$B2192)+COUNTIF(O2158:Q2175,$B2192&amp;" ~*")&gt;0)+(COUNTIF(S2158:U2175,$B2192)+COUNTIF(S2158:U2175,$B2192&amp;" ~*")&gt;0)+(COUNTIF(W2158:W2175,$B2192)+COUNTIF(W2158:W2175,$B2192&amp;" ~*")&gt;0)+(COUNTIF(Y2158:Y2175,$B2192)+COUNTIF(Y2158:Y2175,$B2192&amp;" ~*")&gt;0))</f>
        <v/>
      </c>
      <c r="AC2192" s="38">
        <f>IF($B2192="","",(IFERROR(INDEX(Setup!$G$33:$G$40,MATCH(C2192,Setup!$B$33:$B$40,0)),0)=1)*(COUNTIF(C2158:E2175,$B2192)+COUNTIF(C2158:E2175,$B2192&amp;" ~*")&gt;0)+(IFERROR(INDEX(Setup!$G$33:$G$40,MATCH(G2192,Setup!$B$33:$B$40,0)),0)=1)*(COUNTIF(G2158:I2175,$B2192)+COUNTIF(G2158:I2175,$B2192&amp;" ~*")&gt;0)+(IFERROR(INDEX(Setup!$G$33:$G$40,MATCH(K2192,Setup!$B$33:$B$40,0)),0)=1)*(COUNTIF(K2158:M2175,$B2192)+COUNTIF(K2158:M2175,$B2192&amp;" ~*")&gt;0)+(IFERROR(INDEX(Setup!$G$33:$G$40,MATCH(O2192,Setup!$B$33:$B$40,0)),0)=1)*(COUNTIF(O2158:Q2175,$B2192)+COUNTIF(O2158:Q2175,$B2192&amp;" ~*")&gt;0)+(IFERROR(INDEX(Setup!$G$33:$G$40,MATCH(S2192,Setup!$B$33:$B$40,0)),0)=1)*(COUNTIF(S2158:U2175,$B2192)+COUNTIF(S2158:U2175,$B2192&amp;" ~*")&gt;0)+(IFERROR(INDEX(Setup!$G$33:$G$40,MATCH(W2192,Setup!$B$33:$B$40,0)),0)=1)*(COUNTIF(W2158:W2175,$B2192)+COUNTIF(W2158:W2175,$B2192&amp;" ~*")&gt;0)+(IFERROR(INDEX(Setup!$G$33:$G$40,MATCH(Y2192,Setup!$B$33:$B$40,0)),0)=1)*(COUNTIF(Y2158:Y2175,$B2192)+COUNTIF(Y2158:Y2175,$B2192&amp;" ~*")&gt;0))</f>
        <v/>
      </c>
    </row>
    <row r="2193" ht="15" customHeight="1">
      <c r="A2193" t="n">
        <v>44</v>
      </c>
      <c r="B2193" s="35">
        <f>IF(Setup!$B$22="","",Setup!$B$22)</f>
        <v/>
      </c>
      <c r="C2193" s="98" t="n"/>
      <c r="D2193" s="99" t="n"/>
      <c r="E2193" s="99" t="n"/>
      <c r="F2193" s="100" t="n"/>
      <c r="G2193" s="98" t="n"/>
      <c r="H2193" s="99" t="n"/>
      <c r="I2193" s="99" t="n"/>
      <c r="J2193" s="100" t="n"/>
      <c r="K2193" s="98" t="n"/>
      <c r="L2193" s="99" t="n"/>
      <c r="M2193" s="99" t="n"/>
      <c r="N2193" s="100" t="n"/>
      <c r="O2193" s="98" t="n"/>
      <c r="P2193" s="99" t="n"/>
      <c r="Q2193" s="99" t="n"/>
      <c r="R2193" s="100" t="n"/>
      <c r="S2193" s="98" t="n"/>
      <c r="T2193" s="99" t="n"/>
      <c r="U2193" s="99" t="n"/>
      <c r="V2193" s="100" t="n"/>
      <c r="W2193" s="98" t="n"/>
      <c r="X2193" s="100" t="n"/>
      <c r="Y2193" s="98" t="n"/>
      <c r="Z2193" s="100" t="n"/>
      <c r="AB2193" s="101">
        <f>IF($B2193="","",(COUNTIF(C2158:E2175,$B2193)+COUNTIF(C2158:E2175,$B2193&amp;" ~*")&gt;0)+(COUNTIF(G2158:I2175,$B2193)+COUNTIF(G2158:I2175,$B2193&amp;" ~*")&gt;0)+(COUNTIF(K2158:M2175,$B2193)+COUNTIF(K2158:M2175,$B2193&amp;" ~*")&gt;0)+(COUNTIF(O2158:Q2175,$B2193)+COUNTIF(O2158:Q2175,$B2193&amp;" ~*")&gt;0)+(COUNTIF(S2158:U2175,$B2193)+COUNTIF(S2158:U2175,$B2193&amp;" ~*")&gt;0)+(COUNTIF(W2158:W2175,$B2193)+COUNTIF(W2158:W2175,$B2193&amp;" ~*")&gt;0)+(COUNTIF(Y2158:Y2175,$B2193)+COUNTIF(Y2158:Y2175,$B2193&amp;" ~*")&gt;0))</f>
        <v/>
      </c>
      <c r="AC2193" s="36">
        <f>IF($B2193="","",(IFERROR(INDEX(Setup!$G$33:$G$40,MATCH(C2193,Setup!$B$33:$B$40,0)),0)=1)*(COUNTIF(C2158:E2175,$B2193)+COUNTIF(C2158:E2175,$B2193&amp;" ~*")&gt;0)+(IFERROR(INDEX(Setup!$G$33:$G$40,MATCH(G2193,Setup!$B$33:$B$40,0)),0)=1)*(COUNTIF(G2158:I2175,$B2193)+COUNTIF(G2158:I2175,$B2193&amp;" ~*")&gt;0)+(IFERROR(INDEX(Setup!$G$33:$G$40,MATCH(K2193,Setup!$B$33:$B$40,0)),0)=1)*(COUNTIF(K2158:M2175,$B2193)+COUNTIF(K2158:M2175,$B2193&amp;" ~*")&gt;0)+(IFERROR(INDEX(Setup!$G$33:$G$40,MATCH(O2193,Setup!$B$33:$B$40,0)),0)=1)*(COUNTIF(O2158:Q2175,$B2193)+COUNTIF(O2158:Q2175,$B2193&amp;" ~*")&gt;0)+(IFERROR(INDEX(Setup!$G$33:$G$40,MATCH(S2193,Setup!$B$33:$B$40,0)),0)=1)*(COUNTIF(S2158:U2175,$B2193)+COUNTIF(S2158:U2175,$B2193&amp;" ~*")&gt;0)+(IFERROR(INDEX(Setup!$G$33:$G$40,MATCH(W2193,Setup!$B$33:$B$40,0)),0)=1)*(COUNTIF(W2158:W2175,$B2193)+COUNTIF(W2158:W2175,$B2193&amp;" ~*")&gt;0)+(IFERROR(INDEX(Setup!$G$33:$G$40,MATCH(Y2193,Setup!$B$33:$B$40,0)),0)=1)*(COUNTIF(Y2158:Y2175,$B2193)+COUNTIF(Y2158:Y2175,$B2193&amp;" ~*")&gt;0))</f>
        <v/>
      </c>
    </row>
    <row r="2194" ht="15" customHeight="1">
      <c r="A2194" t="n">
        <v>44</v>
      </c>
      <c r="B2194" s="37">
        <f>IF(Setup!$B$23="","",Setup!$B$23)</f>
        <v/>
      </c>
      <c r="C2194" s="102" t="n"/>
      <c r="D2194" s="103" t="n"/>
      <c r="E2194" s="103" t="n"/>
      <c r="F2194" s="104" t="n"/>
      <c r="G2194" s="102" t="n"/>
      <c r="H2194" s="103" t="n"/>
      <c r="I2194" s="103" t="n"/>
      <c r="J2194" s="104" t="n"/>
      <c r="K2194" s="102" t="n"/>
      <c r="L2194" s="103" t="n"/>
      <c r="M2194" s="103" t="n"/>
      <c r="N2194" s="104" t="n"/>
      <c r="O2194" s="102" t="n"/>
      <c r="P2194" s="103" t="n"/>
      <c r="Q2194" s="103" t="n"/>
      <c r="R2194" s="104" t="n"/>
      <c r="S2194" s="102" t="n"/>
      <c r="T2194" s="103" t="n"/>
      <c r="U2194" s="103" t="n"/>
      <c r="V2194" s="104" t="n"/>
      <c r="W2194" s="102" t="n"/>
      <c r="X2194" s="104" t="n"/>
      <c r="Y2194" s="102" t="n"/>
      <c r="Z2194" s="104" t="n"/>
      <c r="AB2194" s="105">
        <f>IF($B2194="","",(COUNTIF(C2158:E2175,$B2194)+COUNTIF(C2158:E2175,$B2194&amp;" ~*")&gt;0)+(COUNTIF(G2158:I2175,$B2194)+COUNTIF(G2158:I2175,$B2194&amp;" ~*")&gt;0)+(COUNTIF(K2158:M2175,$B2194)+COUNTIF(K2158:M2175,$B2194&amp;" ~*")&gt;0)+(COUNTIF(O2158:Q2175,$B2194)+COUNTIF(O2158:Q2175,$B2194&amp;" ~*")&gt;0)+(COUNTIF(S2158:U2175,$B2194)+COUNTIF(S2158:U2175,$B2194&amp;" ~*")&gt;0)+(COUNTIF(W2158:W2175,$B2194)+COUNTIF(W2158:W2175,$B2194&amp;" ~*")&gt;0)+(COUNTIF(Y2158:Y2175,$B2194)+COUNTIF(Y2158:Y2175,$B2194&amp;" ~*")&gt;0))</f>
        <v/>
      </c>
      <c r="AC2194" s="38">
        <f>IF($B2194="","",(IFERROR(INDEX(Setup!$G$33:$G$40,MATCH(C2194,Setup!$B$33:$B$40,0)),0)=1)*(COUNTIF(C2158:E2175,$B2194)+COUNTIF(C2158:E2175,$B2194&amp;" ~*")&gt;0)+(IFERROR(INDEX(Setup!$G$33:$G$40,MATCH(G2194,Setup!$B$33:$B$40,0)),0)=1)*(COUNTIF(G2158:I2175,$B2194)+COUNTIF(G2158:I2175,$B2194&amp;" ~*")&gt;0)+(IFERROR(INDEX(Setup!$G$33:$G$40,MATCH(K2194,Setup!$B$33:$B$40,0)),0)=1)*(COUNTIF(K2158:M2175,$B2194)+COUNTIF(K2158:M2175,$B2194&amp;" ~*")&gt;0)+(IFERROR(INDEX(Setup!$G$33:$G$40,MATCH(O2194,Setup!$B$33:$B$40,0)),0)=1)*(COUNTIF(O2158:Q2175,$B2194)+COUNTIF(O2158:Q2175,$B2194&amp;" ~*")&gt;0)+(IFERROR(INDEX(Setup!$G$33:$G$40,MATCH(S2194,Setup!$B$33:$B$40,0)),0)=1)*(COUNTIF(S2158:U2175,$B2194)+COUNTIF(S2158:U2175,$B2194&amp;" ~*")&gt;0)+(IFERROR(INDEX(Setup!$G$33:$G$40,MATCH(W2194,Setup!$B$33:$B$40,0)),0)=1)*(COUNTIF(W2158:W2175,$B2194)+COUNTIF(W2158:W2175,$B2194&amp;" ~*")&gt;0)+(IFERROR(INDEX(Setup!$G$33:$G$40,MATCH(Y2194,Setup!$B$33:$B$40,0)),0)=1)*(COUNTIF(Y2158:Y2175,$B2194)+COUNTIF(Y2158:Y2175,$B2194&amp;" ~*")&gt;0))</f>
        <v/>
      </c>
    </row>
    <row r="2195" ht="15" customHeight="1">
      <c r="A2195" t="n">
        <v>44</v>
      </c>
      <c r="B2195" s="35">
        <f>IF(Setup!$B$24="","",Setup!$B$24)</f>
        <v/>
      </c>
      <c r="C2195" s="98" t="n"/>
      <c r="D2195" s="99" t="n"/>
      <c r="E2195" s="99" t="n"/>
      <c r="F2195" s="100" t="n"/>
      <c r="G2195" s="98" t="n"/>
      <c r="H2195" s="99" t="n"/>
      <c r="I2195" s="99" t="n"/>
      <c r="J2195" s="100" t="n"/>
      <c r="K2195" s="98" t="n"/>
      <c r="L2195" s="99" t="n"/>
      <c r="M2195" s="99" t="n"/>
      <c r="N2195" s="100" t="n"/>
      <c r="O2195" s="98" t="n"/>
      <c r="P2195" s="99" t="n"/>
      <c r="Q2195" s="99" t="n"/>
      <c r="R2195" s="100" t="n"/>
      <c r="S2195" s="98" t="n"/>
      <c r="T2195" s="99" t="n"/>
      <c r="U2195" s="99" t="n"/>
      <c r="V2195" s="100" t="n"/>
      <c r="W2195" s="98" t="n"/>
      <c r="X2195" s="100" t="n"/>
      <c r="Y2195" s="98" t="n"/>
      <c r="Z2195" s="100" t="n"/>
      <c r="AB2195" s="101">
        <f>IF($B2195="","",(COUNTIF(C2158:E2175,$B2195)+COUNTIF(C2158:E2175,$B2195&amp;" ~*")&gt;0)+(COUNTIF(G2158:I2175,$B2195)+COUNTIF(G2158:I2175,$B2195&amp;" ~*")&gt;0)+(COUNTIF(K2158:M2175,$B2195)+COUNTIF(K2158:M2175,$B2195&amp;" ~*")&gt;0)+(COUNTIF(O2158:Q2175,$B2195)+COUNTIF(O2158:Q2175,$B2195&amp;" ~*")&gt;0)+(COUNTIF(S2158:U2175,$B2195)+COUNTIF(S2158:U2175,$B2195&amp;" ~*")&gt;0)+(COUNTIF(W2158:W2175,$B2195)+COUNTIF(W2158:W2175,$B2195&amp;" ~*")&gt;0)+(COUNTIF(Y2158:Y2175,$B2195)+COUNTIF(Y2158:Y2175,$B2195&amp;" ~*")&gt;0))</f>
        <v/>
      </c>
      <c r="AC2195" s="36">
        <f>IF($B2195="","",(IFERROR(INDEX(Setup!$G$33:$G$40,MATCH(C2195,Setup!$B$33:$B$40,0)),0)=1)*(COUNTIF(C2158:E2175,$B2195)+COUNTIF(C2158:E2175,$B2195&amp;" ~*")&gt;0)+(IFERROR(INDEX(Setup!$G$33:$G$40,MATCH(G2195,Setup!$B$33:$B$40,0)),0)=1)*(COUNTIF(G2158:I2175,$B2195)+COUNTIF(G2158:I2175,$B2195&amp;" ~*")&gt;0)+(IFERROR(INDEX(Setup!$G$33:$G$40,MATCH(K2195,Setup!$B$33:$B$40,0)),0)=1)*(COUNTIF(K2158:M2175,$B2195)+COUNTIF(K2158:M2175,$B2195&amp;" ~*")&gt;0)+(IFERROR(INDEX(Setup!$G$33:$G$40,MATCH(O2195,Setup!$B$33:$B$40,0)),0)=1)*(COUNTIF(O2158:Q2175,$B2195)+COUNTIF(O2158:Q2175,$B2195&amp;" ~*")&gt;0)+(IFERROR(INDEX(Setup!$G$33:$G$40,MATCH(S2195,Setup!$B$33:$B$40,0)),0)=1)*(COUNTIF(S2158:U2175,$B2195)+COUNTIF(S2158:U2175,$B2195&amp;" ~*")&gt;0)+(IFERROR(INDEX(Setup!$G$33:$G$40,MATCH(W2195,Setup!$B$33:$B$40,0)),0)=1)*(COUNTIF(W2158:W2175,$B2195)+COUNTIF(W2158:W2175,$B2195&amp;" ~*")&gt;0)+(IFERROR(INDEX(Setup!$G$33:$G$40,MATCH(Y2195,Setup!$B$33:$B$40,0)),0)=1)*(COUNTIF(Y2158:Y2175,$B2195)+COUNTIF(Y2158:Y2175,$B2195&amp;" ~*")&gt;0))</f>
        <v/>
      </c>
    </row>
    <row r="2196" ht="15" customHeight="1">
      <c r="A2196" t="n">
        <v>44</v>
      </c>
      <c r="B2196" s="37">
        <f>IF(Setup!$B$25="","",Setup!$B$25)</f>
        <v/>
      </c>
      <c r="C2196" s="102" t="n"/>
      <c r="D2196" s="103" t="n"/>
      <c r="E2196" s="103" t="n"/>
      <c r="F2196" s="104" t="n"/>
      <c r="G2196" s="102" t="n"/>
      <c r="H2196" s="103" t="n"/>
      <c r="I2196" s="103" t="n"/>
      <c r="J2196" s="104" t="n"/>
      <c r="K2196" s="102" t="n"/>
      <c r="L2196" s="103" t="n"/>
      <c r="M2196" s="103" t="n"/>
      <c r="N2196" s="104" t="n"/>
      <c r="O2196" s="102" t="n"/>
      <c r="P2196" s="103" t="n"/>
      <c r="Q2196" s="103" t="n"/>
      <c r="R2196" s="104" t="n"/>
      <c r="S2196" s="102" t="n"/>
      <c r="T2196" s="103" t="n"/>
      <c r="U2196" s="103" t="n"/>
      <c r="V2196" s="104" t="n"/>
      <c r="W2196" s="102" t="n"/>
      <c r="X2196" s="104" t="n"/>
      <c r="Y2196" s="102" t="n"/>
      <c r="Z2196" s="104" t="n"/>
      <c r="AB2196" s="105">
        <f>IF($B2196="","",(COUNTIF(C2158:E2175,$B2196)+COUNTIF(C2158:E2175,$B2196&amp;" ~*")&gt;0)+(COUNTIF(G2158:I2175,$B2196)+COUNTIF(G2158:I2175,$B2196&amp;" ~*")&gt;0)+(COUNTIF(K2158:M2175,$B2196)+COUNTIF(K2158:M2175,$B2196&amp;" ~*")&gt;0)+(COUNTIF(O2158:Q2175,$B2196)+COUNTIF(O2158:Q2175,$B2196&amp;" ~*")&gt;0)+(COUNTIF(S2158:U2175,$B2196)+COUNTIF(S2158:U2175,$B2196&amp;" ~*")&gt;0)+(COUNTIF(W2158:W2175,$B2196)+COUNTIF(W2158:W2175,$B2196&amp;" ~*")&gt;0)+(COUNTIF(Y2158:Y2175,$B2196)+COUNTIF(Y2158:Y2175,$B2196&amp;" ~*")&gt;0))</f>
        <v/>
      </c>
      <c r="AC2196" s="38">
        <f>IF($B2196="","",(IFERROR(INDEX(Setup!$G$33:$G$40,MATCH(C2196,Setup!$B$33:$B$40,0)),0)=1)*(COUNTIF(C2158:E2175,$B2196)+COUNTIF(C2158:E2175,$B2196&amp;" ~*")&gt;0)+(IFERROR(INDEX(Setup!$G$33:$G$40,MATCH(G2196,Setup!$B$33:$B$40,0)),0)=1)*(COUNTIF(G2158:I2175,$B2196)+COUNTIF(G2158:I2175,$B2196&amp;" ~*")&gt;0)+(IFERROR(INDEX(Setup!$G$33:$G$40,MATCH(K2196,Setup!$B$33:$B$40,0)),0)=1)*(COUNTIF(K2158:M2175,$B2196)+COUNTIF(K2158:M2175,$B2196&amp;" ~*")&gt;0)+(IFERROR(INDEX(Setup!$G$33:$G$40,MATCH(O2196,Setup!$B$33:$B$40,0)),0)=1)*(COUNTIF(O2158:Q2175,$B2196)+COUNTIF(O2158:Q2175,$B2196&amp;" ~*")&gt;0)+(IFERROR(INDEX(Setup!$G$33:$G$40,MATCH(S2196,Setup!$B$33:$B$40,0)),0)=1)*(COUNTIF(S2158:U2175,$B2196)+COUNTIF(S2158:U2175,$B2196&amp;" ~*")&gt;0)+(IFERROR(INDEX(Setup!$G$33:$G$40,MATCH(W2196,Setup!$B$33:$B$40,0)),0)=1)*(COUNTIF(W2158:W2175,$B2196)+COUNTIF(W2158:W2175,$B2196&amp;" ~*")&gt;0)+(IFERROR(INDEX(Setup!$G$33:$G$40,MATCH(Y2196,Setup!$B$33:$B$40,0)),0)=1)*(COUNTIF(Y2158:Y2175,$B2196)+COUNTIF(Y2158:Y2175,$B2196&amp;" ~*")&gt;0))</f>
        <v/>
      </c>
    </row>
    <row r="2197" ht="15" customHeight="1">
      <c r="A2197" t="n">
        <v>44</v>
      </c>
      <c r="B2197" s="35">
        <f>IF(Setup!$B$26="","",Setup!$B$26)</f>
        <v/>
      </c>
      <c r="C2197" s="98" t="n"/>
      <c r="D2197" s="99" t="n"/>
      <c r="E2197" s="99" t="n"/>
      <c r="F2197" s="100" t="n"/>
      <c r="G2197" s="98" t="n"/>
      <c r="H2197" s="99" t="n"/>
      <c r="I2197" s="99" t="n"/>
      <c r="J2197" s="100" t="n"/>
      <c r="K2197" s="98" t="n"/>
      <c r="L2197" s="99" t="n"/>
      <c r="M2197" s="99" t="n"/>
      <c r="N2197" s="100" t="n"/>
      <c r="O2197" s="98" t="n"/>
      <c r="P2197" s="99" t="n"/>
      <c r="Q2197" s="99" t="n"/>
      <c r="R2197" s="100" t="n"/>
      <c r="S2197" s="98" t="n"/>
      <c r="T2197" s="99" t="n"/>
      <c r="U2197" s="99" t="n"/>
      <c r="V2197" s="100" t="n"/>
      <c r="W2197" s="98" t="n"/>
      <c r="X2197" s="100" t="n"/>
      <c r="Y2197" s="98" t="n"/>
      <c r="Z2197" s="100" t="n"/>
      <c r="AB2197" s="101">
        <f>IF($B2197="","",(COUNTIF(C2158:E2175,$B2197)+COUNTIF(C2158:E2175,$B2197&amp;" ~*")&gt;0)+(COUNTIF(G2158:I2175,$B2197)+COUNTIF(G2158:I2175,$B2197&amp;" ~*")&gt;0)+(COUNTIF(K2158:M2175,$B2197)+COUNTIF(K2158:M2175,$B2197&amp;" ~*")&gt;0)+(COUNTIF(O2158:Q2175,$B2197)+COUNTIF(O2158:Q2175,$B2197&amp;" ~*")&gt;0)+(COUNTIF(S2158:U2175,$B2197)+COUNTIF(S2158:U2175,$B2197&amp;" ~*")&gt;0)+(COUNTIF(W2158:W2175,$B2197)+COUNTIF(W2158:W2175,$B2197&amp;" ~*")&gt;0)+(COUNTIF(Y2158:Y2175,$B2197)+COUNTIF(Y2158:Y2175,$B2197&amp;" ~*")&gt;0))</f>
        <v/>
      </c>
      <c r="AC2197" s="36">
        <f>IF($B2197="","",(IFERROR(INDEX(Setup!$G$33:$G$40,MATCH(C2197,Setup!$B$33:$B$40,0)),0)=1)*(COUNTIF(C2158:E2175,$B2197)+COUNTIF(C2158:E2175,$B2197&amp;" ~*")&gt;0)+(IFERROR(INDEX(Setup!$G$33:$G$40,MATCH(G2197,Setup!$B$33:$B$40,0)),0)=1)*(COUNTIF(G2158:I2175,$B2197)+COUNTIF(G2158:I2175,$B2197&amp;" ~*")&gt;0)+(IFERROR(INDEX(Setup!$G$33:$G$40,MATCH(K2197,Setup!$B$33:$B$40,0)),0)=1)*(COUNTIF(K2158:M2175,$B2197)+COUNTIF(K2158:M2175,$B2197&amp;" ~*")&gt;0)+(IFERROR(INDEX(Setup!$G$33:$G$40,MATCH(O2197,Setup!$B$33:$B$40,0)),0)=1)*(COUNTIF(O2158:Q2175,$B2197)+COUNTIF(O2158:Q2175,$B2197&amp;" ~*")&gt;0)+(IFERROR(INDEX(Setup!$G$33:$G$40,MATCH(S2197,Setup!$B$33:$B$40,0)),0)=1)*(COUNTIF(S2158:U2175,$B2197)+COUNTIF(S2158:U2175,$B2197&amp;" ~*")&gt;0)+(IFERROR(INDEX(Setup!$G$33:$G$40,MATCH(W2197,Setup!$B$33:$B$40,0)),0)=1)*(COUNTIF(W2158:W2175,$B2197)+COUNTIF(W2158:W2175,$B2197&amp;" ~*")&gt;0)+(IFERROR(INDEX(Setup!$G$33:$G$40,MATCH(Y2197,Setup!$B$33:$B$40,0)),0)=1)*(COUNTIF(Y2158:Y2175,$B2197)+COUNTIF(Y2158:Y2175,$B2197&amp;" ~*")&gt;0))</f>
        <v/>
      </c>
    </row>
    <row r="2198" ht="15" customHeight="1">
      <c r="A2198" t="n">
        <v>44</v>
      </c>
      <c r="B2198" s="37">
        <f>IF(Setup!$B$27="","",Setup!$B$27)</f>
        <v/>
      </c>
      <c r="C2198" s="102" t="n"/>
      <c r="D2198" s="103" t="n"/>
      <c r="E2198" s="103" t="n"/>
      <c r="F2198" s="104" t="n"/>
      <c r="G2198" s="102" t="n"/>
      <c r="H2198" s="103" t="n"/>
      <c r="I2198" s="103" t="n"/>
      <c r="J2198" s="104" t="n"/>
      <c r="K2198" s="102" t="n"/>
      <c r="L2198" s="103" t="n"/>
      <c r="M2198" s="103" t="n"/>
      <c r="N2198" s="104" t="n"/>
      <c r="O2198" s="102" t="n"/>
      <c r="P2198" s="103" t="n"/>
      <c r="Q2198" s="103" t="n"/>
      <c r="R2198" s="104" t="n"/>
      <c r="S2198" s="102" t="n"/>
      <c r="T2198" s="103" t="n"/>
      <c r="U2198" s="103" t="n"/>
      <c r="V2198" s="104" t="n"/>
      <c r="W2198" s="102" t="n"/>
      <c r="X2198" s="104" t="n"/>
      <c r="Y2198" s="102" t="n"/>
      <c r="Z2198" s="104" t="n"/>
      <c r="AB2198" s="105">
        <f>IF($B2198="","",(COUNTIF(C2158:E2175,$B2198)+COUNTIF(C2158:E2175,$B2198&amp;" ~*")&gt;0)+(COUNTIF(G2158:I2175,$B2198)+COUNTIF(G2158:I2175,$B2198&amp;" ~*")&gt;0)+(COUNTIF(K2158:M2175,$B2198)+COUNTIF(K2158:M2175,$B2198&amp;" ~*")&gt;0)+(COUNTIF(O2158:Q2175,$B2198)+COUNTIF(O2158:Q2175,$B2198&amp;" ~*")&gt;0)+(COUNTIF(S2158:U2175,$B2198)+COUNTIF(S2158:U2175,$B2198&amp;" ~*")&gt;0)+(COUNTIF(W2158:W2175,$B2198)+COUNTIF(W2158:W2175,$B2198&amp;" ~*")&gt;0)+(COUNTIF(Y2158:Y2175,$B2198)+COUNTIF(Y2158:Y2175,$B2198&amp;" ~*")&gt;0))</f>
        <v/>
      </c>
      <c r="AC2198" s="38">
        <f>IF($B2198="","",(IFERROR(INDEX(Setup!$G$33:$G$40,MATCH(C2198,Setup!$B$33:$B$40,0)),0)=1)*(COUNTIF(C2158:E2175,$B2198)+COUNTIF(C2158:E2175,$B2198&amp;" ~*")&gt;0)+(IFERROR(INDEX(Setup!$G$33:$G$40,MATCH(G2198,Setup!$B$33:$B$40,0)),0)=1)*(COUNTIF(G2158:I2175,$B2198)+COUNTIF(G2158:I2175,$B2198&amp;" ~*")&gt;0)+(IFERROR(INDEX(Setup!$G$33:$G$40,MATCH(K2198,Setup!$B$33:$B$40,0)),0)=1)*(COUNTIF(K2158:M2175,$B2198)+COUNTIF(K2158:M2175,$B2198&amp;" ~*")&gt;0)+(IFERROR(INDEX(Setup!$G$33:$G$40,MATCH(O2198,Setup!$B$33:$B$40,0)),0)=1)*(COUNTIF(O2158:Q2175,$B2198)+COUNTIF(O2158:Q2175,$B2198&amp;" ~*")&gt;0)+(IFERROR(INDEX(Setup!$G$33:$G$40,MATCH(S2198,Setup!$B$33:$B$40,0)),0)=1)*(COUNTIF(S2158:U2175,$B2198)+COUNTIF(S2158:U2175,$B2198&amp;" ~*")&gt;0)+(IFERROR(INDEX(Setup!$G$33:$G$40,MATCH(W2198,Setup!$B$33:$B$40,0)),0)=1)*(COUNTIF(W2158:W2175,$B2198)+COUNTIF(W2158:W2175,$B2198&amp;" ~*")&gt;0)+(IFERROR(INDEX(Setup!$G$33:$G$40,MATCH(Y2198,Setup!$B$33:$B$40,0)),0)=1)*(COUNTIF(Y2158:Y2175,$B2198)+COUNTIF(Y2158:Y2175,$B2198&amp;" ~*")&gt;0))</f>
        <v/>
      </c>
    </row>
    <row r="2199" ht="15" customHeight="1">
      <c r="A2199" t="n">
        <v>44</v>
      </c>
      <c r="B2199" s="35">
        <f>IF(Setup!$B$28="","",Setup!$B$28)</f>
        <v/>
      </c>
      <c r="C2199" s="98" t="n"/>
      <c r="D2199" s="99" t="n"/>
      <c r="E2199" s="99" t="n"/>
      <c r="F2199" s="100" t="n"/>
      <c r="G2199" s="98" t="n"/>
      <c r="H2199" s="99" t="n"/>
      <c r="I2199" s="99" t="n"/>
      <c r="J2199" s="100" t="n"/>
      <c r="K2199" s="98" t="n"/>
      <c r="L2199" s="99" t="n"/>
      <c r="M2199" s="99" t="n"/>
      <c r="N2199" s="100" t="n"/>
      <c r="O2199" s="98" t="n"/>
      <c r="P2199" s="99" t="n"/>
      <c r="Q2199" s="99" t="n"/>
      <c r="R2199" s="100" t="n"/>
      <c r="S2199" s="98" t="n"/>
      <c r="T2199" s="99" t="n"/>
      <c r="U2199" s="99" t="n"/>
      <c r="V2199" s="100" t="n"/>
      <c r="W2199" s="98" t="n"/>
      <c r="X2199" s="100" t="n"/>
      <c r="Y2199" s="98" t="n"/>
      <c r="Z2199" s="100" t="n"/>
      <c r="AB2199" s="101">
        <f>IF($B2199="","",(COUNTIF(C2158:E2175,$B2199)+COUNTIF(C2158:E2175,$B2199&amp;" ~*")&gt;0)+(COUNTIF(G2158:I2175,$B2199)+COUNTIF(G2158:I2175,$B2199&amp;" ~*")&gt;0)+(COUNTIF(K2158:M2175,$B2199)+COUNTIF(K2158:M2175,$B2199&amp;" ~*")&gt;0)+(COUNTIF(O2158:Q2175,$B2199)+COUNTIF(O2158:Q2175,$B2199&amp;" ~*")&gt;0)+(COUNTIF(S2158:U2175,$B2199)+COUNTIF(S2158:U2175,$B2199&amp;" ~*")&gt;0)+(COUNTIF(W2158:W2175,$B2199)+COUNTIF(W2158:W2175,$B2199&amp;" ~*")&gt;0)+(COUNTIF(Y2158:Y2175,$B2199)+COUNTIF(Y2158:Y2175,$B2199&amp;" ~*")&gt;0))</f>
        <v/>
      </c>
      <c r="AC2199" s="36">
        <f>IF($B2199="","",(IFERROR(INDEX(Setup!$G$33:$G$40,MATCH(C2199,Setup!$B$33:$B$40,0)),0)=1)*(COUNTIF(C2158:E2175,$B2199)+COUNTIF(C2158:E2175,$B2199&amp;" ~*")&gt;0)+(IFERROR(INDEX(Setup!$G$33:$G$40,MATCH(G2199,Setup!$B$33:$B$40,0)),0)=1)*(COUNTIF(G2158:I2175,$B2199)+COUNTIF(G2158:I2175,$B2199&amp;" ~*")&gt;0)+(IFERROR(INDEX(Setup!$G$33:$G$40,MATCH(K2199,Setup!$B$33:$B$40,0)),0)=1)*(COUNTIF(K2158:M2175,$B2199)+COUNTIF(K2158:M2175,$B2199&amp;" ~*")&gt;0)+(IFERROR(INDEX(Setup!$G$33:$G$40,MATCH(O2199,Setup!$B$33:$B$40,0)),0)=1)*(COUNTIF(O2158:Q2175,$B2199)+COUNTIF(O2158:Q2175,$B2199&amp;" ~*")&gt;0)+(IFERROR(INDEX(Setup!$G$33:$G$40,MATCH(S2199,Setup!$B$33:$B$40,0)),0)=1)*(COUNTIF(S2158:U2175,$B2199)+COUNTIF(S2158:U2175,$B2199&amp;" ~*")&gt;0)+(IFERROR(INDEX(Setup!$G$33:$G$40,MATCH(W2199,Setup!$B$33:$B$40,0)),0)=1)*(COUNTIF(W2158:W2175,$B2199)+COUNTIF(W2158:W2175,$B2199&amp;" ~*")&gt;0)+(IFERROR(INDEX(Setup!$G$33:$G$40,MATCH(Y2199,Setup!$B$33:$B$40,0)),0)=1)*(COUNTIF(Y2158:Y2175,$B2199)+COUNTIF(Y2158:Y2175,$B2199&amp;" ~*")&gt;0))</f>
        <v/>
      </c>
    </row>
    <row r="2200" ht="15" customHeight="1">
      <c r="A2200" t="n">
        <v>44</v>
      </c>
      <c r="B2200" s="37">
        <f>IF(Setup!$B$29="","",Setup!$B$29)</f>
        <v/>
      </c>
      <c r="C2200" s="102" t="n"/>
      <c r="D2200" s="103" t="n"/>
      <c r="E2200" s="103" t="n"/>
      <c r="F2200" s="104" t="n"/>
      <c r="G2200" s="102" t="n"/>
      <c r="H2200" s="103" t="n"/>
      <c r="I2200" s="103" t="n"/>
      <c r="J2200" s="104" t="n"/>
      <c r="K2200" s="102" t="n"/>
      <c r="L2200" s="103" t="n"/>
      <c r="M2200" s="103" t="n"/>
      <c r="N2200" s="104" t="n"/>
      <c r="O2200" s="102" t="n"/>
      <c r="P2200" s="103" t="n"/>
      <c r="Q2200" s="103" t="n"/>
      <c r="R2200" s="104" t="n"/>
      <c r="S2200" s="102" t="n"/>
      <c r="T2200" s="103" t="n"/>
      <c r="U2200" s="103" t="n"/>
      <c r="V2200" s="104" t="n"/>
      <c r="W2200" s="102" t="n"/>
      <c r="X2200" s="104" t="n"/>
      <c r="Y2200" s="102" t="n"/>
      <c r="Z2200" s="104" t="n"/>
      <c r="AB2200" s="105">
        <f>IF($B2200="","",(COUNTIF(C2158:E2175,$B2200)+COUNTIF(C2158:E2175,$B2200&amp;" ~*")&gt;0)+(COUNTIF(G2158:I2175,$B2200)+COUNTIF(G2158:I2175,$B2200&amp;" ~*")&gt;0)+(COUNTIF(K2158:M2175,$B2200)+COUNTIF(K2158:M2175,$B2200&amp;" ~*")&gt;0)+(COUNTIF(O2158:Q2175,$B2200)+COUNTIF(O2158:Q2175,$B2200&amp;" ~*")&gt;0)+(COUNTIF(S2158:U2175,$B2200)+COUNTIF(S2158:U2175,$B2200&amp;" ~*")&gt;0)+(COUNTIF(W2158:W2175,$B2200)+COUNTIF(W2158:W2175,$B2200&amp;" ~*")&gt;0)+(COUNTIF(Y2158:Y2175,$B2200)+COUNTIF(Y2158:Y2175,$B2200&amp;" ~*")&gt;0))</f>
        <v/>
      </c>
      <c r="AC2200" s="38">
        <f>IF($B2200="","",(IFERROR(INDEX(Setup!$G$33:$G$40,MATCH(C2200,Setup!$B$33:$B$40,0)),0)=1)*(COUNTIF(C2158:E2175,$B2200)+COUNTIF(C2158:E2175,$B2200&amp;" ~*")&gt;0)+(IFERROR(INDEX(Setup!$G$33:$G$40,MATCH(G2200,Setup!$B$33:$B$40,0)),0)=1)*(COUNTIF(G2158:I2175,$B2200)+COUNTIF(G2158:I2175,$B2200&amp;" ~*")&gt;0)+(IFERROR(INDEX(Setup!$G$33:$G$40,MATCH(K2200,Setup!$B$33:$B$40,0)),0)=1)*(COUNTIF(K2158:M2175,$B2200)+COUNTIF(K2158:M2175,$B2200&amp;" ~*")&gt;0)+(IFERROR(INDEX(Setup!$G$33:$G$40,MATCH(O2200,Setup!$B$33:$B$40,0)),0)=1)*(COUNTIF(O2158:Q2175,$B2200)+COUNTIF(O2158:Q2175,$B2200&amp;" ~*")&gt;0)+(IFERROR(INDEX(Setup!$G$33:$G$40,MATCH(S2200,Setup!$B$33:$B$40,0)),0)=1)*(COUNTIF(S2158:U2175,$B2200)+COUNTIF(S2158:U2175,$B2200&amp;" ~*")&gt;0)+(IFERROR(INDEX(Setup!$G$33:$G$40,MATCH(W2200,Setup!$B$33:$B$40,0)),0)=1)*(COUNTIF(W2158:W2175,$B2200)+COUNTIF(W2158:W2175,$B2200&amp;" ~*")&gt;0)+(IFERROR(INDEX(Setup!$G$33:$G$40,MATCH(Y2200,Setup!$B$33:$B$40,0)),0)=1)*(COUNTIF(Y2158:Y2175,$B2200)+COUNTIF(Y2158:Y2175,$B2200&amp;" ~*")&gt;0))</f>
        <v/>
      </c>
    </row>
    <row r="2201" ht="16" customHeight="1">
      <c r="A2201" t="n">
        <v>44</v>
      </c>
      <c r="B2201" s="106" t="inlineStr">
        <is>
          <t>Available people</t>
        </is>
      </c>
      <c r="C2201" s="107">
        <f>COUNTIFS(Setup!$E$6:$E$29,"Y",Setup!$B$6:$B$29,"?*")-SUMPRODUCT(COUNTIF(C2177:C2200,Setup!$F$33:$F$40))</f>
        <v/>
      </c>
      <c r="D2201" s="107" t="n"/>
      <c r="E2201" s="107" t="n"/>
      <c r="F2201" s="107" t="n"/>
      <c r="G2201" s="107">
        <f>COUNTIFS(Setup!$E$6:$E$29,"Y",Setup!$B$6:$B$29,"?*")-SUMPRODUCT(COUNTIF(G2177:G2200,Setup!$F$33:$F$40))</f>
        <v/>
      </c>
      <c r="H2201" s="107" t="n"/>
      <c r="I2201" s="107" t="n"/>
      <c r="J2201" s="107" t="n"/>
      <c r="K2201" s="107">
        <f>COUNTIFS(Setup!$E$6:$E$29,"Y",Setup!$B$6:$B$29,"?*")-SUMPRODUCT(COUNTIF(K2177:K2200,Setup!$F$33:$F$40))</f>
        <v/>
      </c>
      <c r="L2201" s="107" t="n"/>
      <c r="M2201" s="107" t="n"/>
      <c r="N2201" s="107" t="n"/>
      <c r="O2201" s="107">
        <f>COUNTIFS(Setup!$E$6:$E$29,"Y",Setup!$B$6:$B$29,"?*")-SUMPRODUCT(COUNTIF(O2177:O2200,Setup!$F$33:$F$40))</f>
        <v/>
      </c>
      <c r="P2201" s="107" t="n"/>
      <c r="Q2201" s="107" t="n"/>
      <c r="R2201" s="107" t="n"/>
      <c r="S2201" s="107">
        <f>COUNTIFS(Setup!$E$6:$E$29,"Y",Setup!$B$6:$B$29,"?*")-SUMPRODUCT(COUNTIF(S2177:S2200,Setup!$F$33:$F$40))</f>
        <v/>
      </c>
      <c r="T2201" s="107" t="n"/>
      <c r="U2201" s="107" t="n"/>
      <c r="V2201" s="107" t="n"/>
      <c r="W2201" s="107">
        <f>COUNTIFS(Setup!$E$6:$E$29,"Y",Setup!$B$6:$B$29,"?*")-SUMPRODUCT(COUNTIF(W2177:W2200,Setup!$F$33:$F$40))</f>
        <v/>
      </c>
      <c r="X2201" s="107" t="n"/>
      <c r="Y2201" s="107">
        <f>COUNTIFS(Setup!$E$6:$E$29,"Y",Setup!$B$6:$B$29,"?*")-SUMPRODUCT(COUNTIF(Y2177:Y2200,Setup!$F$33:$F$40))</f>
        <v/>
      </c>
      <c r="Z2201" s="107" t="n"/>
      <c r="AB2201" s="108">
        <f>SUM(AB2177:AB2200)</f>
        <v/>
      </c>
      <c r="AC2201" s="109">
        <f>SUM(AC2177:AC2200)</f>
        <v/>
      </c>
    </row>
    <row r="2202" ht="30" customHeight="1">
      <c r="A2202" t="n">
        <v>44</v>
      </c>
      <c r="B2202" s="110" t="inlineStr">
        <is>
          <t>Week notes</t>
        </is>
      </c>
      <c r="C2202" s="111" t="n"/>
      <c r="D2202" s="112" t="n"/>
      <c r="E2202" s="112" t="n"/>
      <c r="F2202" s="112" t="n"/>
      <c r="G2202" s="112" t="n"/>
      <c r="H2202" s="112" t="n"/>
      <c r="I2202" s="112" t="n"/>
      <c r="J2202" s="112" t="n"/>
      <c r="K2202" s="112" t="n"/>
      <c r="L2202" s="112" t="n"/>
      <c r="M2202" s="112" t="n"/>
      <c r="N2202" s="112" t="n"/>
      <c r="O2202" s="112" t="n"/>
      <c r="P2202" s="112" t="n"/>
      <c r="Q2202" s="112" t="n"/>
      <c r="R2202" s="112" t="n"/>
      <c r="S2202" s="112" t="n"/>
      <c r="T2202" s="112" t="n"/>
      <c r="U2202" s="112" t="n"/>
      <c r="V2202" s="112" t="n"/>
      <c r="W2202" s="112" t="n"/>
      <c r="X2202" s="112" t="n"/>
      <c r="Y2202" s="112" t="n"/>
      <c r="Z2202" s="113" t="n"/>
    </row>
    <row r="2203" ht="8" customHeight="1">
      <c r="A2203" t="n">
        <v>44</v>
      </c>
    </row>
    <row r="2204" ht="8" customHeight="1">
      <c r="A2204" t="n">
        <v>44</v>
      </c>
    </row>
    <row r="2205" ht="24" customHeight="1">
      <c r="A2205" t="n">
        <v>45</v>
      </c>
      <c r="B2205" s="73">
        <f>"WEEK 45     "&amp;TEXT(C2206,"ddd d mmm")&amp;"  –  "&amp;TEXT(C2206+6,"ddd d mmm yyyy")</f>
        <v/>
      </c>
      <c r="S2205" s="74">
        <f>IF(TODAY()&lt;C2206,"FUTURE",IF(TODAY()&gt;C2206+6,"PAST","THIS WEEK"))</f>
        <v/>
      </c>
      <c r="W2205" s="75">
        <f>IF(AND(Engine!$B$8=$AC$3,Engine!$B$9=$A2205),"◀ ACTIVE WEEK","")</f>
        <v/>
      </c>
      <c r="AA2205" s="76" t="n"/>
      <c r="AB2205" s="77" t="inlineStr">
        <is>
          <t>◀ Prev</t>
        </is>
      </c>
      <c r="AC2205" s="77" t="inlineStr">
        <is>
          <t>Next ▶</t>
        </is>
      </c>
    </row>
    <row r="2206" ht="18" customHeight="1">
      <c r="A2206" t="n">
        <v>45</v>
      </c>
      <c r="B2206" s="78" t="inlineStr">
        <is>
          <t>DUTY</t>
        </is>
      </c>
      <c r="C2206" s="79">
        <f>$AC$2+7*($A2206-1)</f>
        <v/>
      </c>
      <c r="D2206" s="80" t="n"/>
      <c r="E2206" s="80" t="n"/>
      <c r="F2206" s="81" t="n"/>
      <c r="G2206" s="79">
        <f>C2206+1</f>
        <v/>
      </c>
      <c r="H2206" s="80" t="n"/>
      <c r="I2206" s="80" t="n"/>
      <c r="J2206" s="81" t="n"/>
      <c r="K2206" s="79">
        <f>C2206+2</f>
        <v/>
      </c>
      <c r="L2206" s="80" t="n"/>
      <c r="M2206" s="80" t="n"/>
      <c r="N2206" s="81" t="n"/>
      <c r="O2206" s="79">
        <f>C2206+3</f>
        <v/>
      </c>
      <c r="P2206" s="80" t="n"/>
      <c r="Q2206" s="80" t="n"/>
      <c r="R2206" s="81" t="n"/>
      <c r="S2206" s="79">
        <f>C2206+4</f>
        <v/>
      </c>
      <c r="T2206" s="80" t="n"/>
      <c r="U2206" s="80" t="n"/>
      <c r="V2206" s="81" t="n"/>
      <c r="W2206" s="82">
        <f>C2206+5</f>
        <v/>
      </c>
      <c r="X2206" s="83" t="n"/>
      <c r="Y2206" s="82">
        <f>C2206+6</f>
        <v/>
      </c>
      <c r="Z2206" s="83" t="n"/>
      <c r="AB2206" s="72" t="inlineStr">
        <is>
          <t>Gaps</t>
        </is>
      </c>
      <c r="AC2206" s="72" t="inlineStr">
        <is>
          <t>Cover</t>
        </is>
      </c>
    </row>
    <row r="2207" ht="14" customHeight="1">
      <c r="A2207" t="n">
        <v>45</v>
      </c>
      <c r="B2207" s="84" t="inlineStr">
        <is>
          <t>(from Setup)</t>
        </is>
      </c>
      <c r="C2207" s="85" t="inlineStr">
        <is>
          <t>1</t>
        </is>
      </c>
      <c r="D2207" s="85" t="inlineStr">
        <is>
          <t>2</t>
        </is>
      </c>
      <c r="E2207" s="85" t="inlineStr">
        <is>
          <t>3</t>
        </is>
      </c>
      <c r="F2207" s="85" t="inlineStr">
        <is>
          <t>Notes</t>
        </is>
      </c>
      <c r="G2207" s="85" t="inlineStr">
        <is>
          <t>1</t>
        </is>
      </c>
      <c r="H2207" s="85" t="inlineStr">
        <is>
          <t>2</t>
        </is>
      </c>
      <c r="I2207" s="85" t="inlineStr">
        <is>
          <t>3</t>
        </is>
      </c>
      <c r="J2207" s="85" t="inlineStr">
        <is>
          <t>Notes</t>
        </is>
      </c>
      <c r="K2207" s="85" t="inlineStr">
        <is>
          <t>1</t>
        </is>
      </c>
      <c r="L2207" s="85" t="inlineStr">
        <is>
          <t>2</t>
        </is>
      </c>
      <c r="M2207" s="85" t="inlineStr">
        <is>
          <t>3</t>
        </is>
      </c>
      <c r="N2207" s="85" t="inlineStr">
        <is>
          <t>Notes</t>
        </is>
      </c>
      <c r="O2207" s="85" t="inlineStr">
        <is>
          <t>1</t>
        </is>
      </c>
      <c r="P2207" s="85" t="inlineStr">
        <is>
          <t>2</t>
        </is>
      </c>
      <c r="Q2207" s="85" t="inlineStr">
        <is>
          <t>3</t>
        </is>
      </c>
      <c r="R2207" s="85" t="inlineStr">
        <is>
          <t>Notes</t>
        </is>
      </c>
      <c r="S2207" s="85" t="inlineStr">
        <is>
          <t>1</t>
        </is>
      </c>
      <c r="T2207" s="85" t="inlineStr">
        <is>
          <t>2</t>
        </is>
      </c>
      <c r="U2207" s="85" t="inlineStr">
        <is>
          <t>3</t>
        </is>
      </c>
      <c r="V2207" s="85" t="inlineStr">
        <is>
          <t>Notes</t>
        </is>
      </c>
      <c r="W2207" s="85" t="inlineStr">
        <is>
          <t>Cover</t>
        </is>
      </c>
      <c r="X2207" s="85" t="inlineStr">
        <is>
          <t>Notes</t>
        </is>
      </c>
      <c r="Y2207" s="85" t="inlineStr">
        <is>
          <t>Cover</t>
        </is>
      </c>
      <c r="Z2207" s="85" t="inlineStr">
        <is>
          <t>Notes</t>
        </is>
      </c>
      <c r="AB2207" s="86" t="inlineStr">
        <is>
          <t>weekdays short</t>
        </is>
      </c>
      <c r="AC2207" s="87" t="inlineStr"/>
    </row>
    <row r="2208" ht="17" customHeight="1">
      <c r="A2208" t="n">
        <v>45</v>
      </c>
      <c r="B2208" s="24">
        <f>IF(Setup!$K$6="","",Setup!$K$6)</f>
        <v/>
      </c>
      <c r="C2208" s="88" t="n"/>
      <c r="D2208" s="88" t="n"/>
      <c r="E2208" s="88" t="n"/>
      <c r="F2208" s="89" t="n"/>
      <c r="G2208" s="88" t="n"/>
      <c r="H2208" s="88" t="n"/>
      <c r="I2208" s="88" t="n"/>
      <c r="J2208" s="89" t="n"/>
      <c r="K2208" s="88" t="n"/>
      <c r="L2208" s="88" t="n"/>
      <c r="M2208" s="88" t="n"/>
      <c r="N2208" s="89" t="n"/>
      <c r="O2208" s="88" t="n"/>
      <c r="P2208" s="88" t="n"/>
      <c r="Q2208" s="88" t="n"/>
      <c r="R2208" s="89" t="n"/>
      <c r="S2208" s="88" t="n"/>
      <c r="T2208" s="88" t="n"/>
      <c r="U2208" s="88" t="n"/>
      <c r="V2208" s="89" t="n"/>
      <c r="W2208" s="88" t="n"/>
      <c r="X2208" s="89" t="n"/>
      <c r="Y2208" s="88" t="n"/>
      <c r="Z2208" s="89" t="n"/>
      <c r="AB2208" s="25">
        <f>IF($B2208="","",(COUNTIF(C2208:E2208,"?*")&lt;N(INDEX(Setup!$L$6:$L$23,1)))+(COUNTIF(G2208:I2208,"?*")&lt;N(INDEX(Setup!$L$6:$L$23,1)))+(COUNTIF(K2208:M2208,"?*")&lt;N(INDEX(Setup!$L$6:$L$23,1)))+(COUNTIF(O2208:Q2208,"?*")&lt;N(INDEX(Setup!$L$6:$L$23,1)))+(COUNTIF(S2208:U2208,"?*")&lt;N(INDEX(Setup!$L$6:$L$23,1)))+((W2208="")*(INDEX(Setup!$M$6:$M$23,1)="Y"))+((Y2208="")*(INDEX(Setup!$M$6:$M$23,1)="Y")))</f>
        <v/>
      </c>
      <c r="AC2208" s="90">
        <f>IF($B2208="","",IF(AB2208=0,"✓ covered","⚠ "&amp;AB2208&amp;IF(AB2208=1," gap"," gaps")))</f>
        <v/>
      </c>
    </row>
    <row r="2209" ht="17" customHeight="1">
      <c r="A2209" t="n">
        <v>45</v>
      </c>
      <c r="B2209" s="29">
        <f>IF(Setup!$K$7="","",Setup!$K$7)</f>
        <v/>
      </c>
      <c r="C2209" s="88" t="n"/>
      <c r="D2209" s="88" t="n"/>
      <c r="E2209" s="88" t="n"/>
      <c r="F2209" s="89" t="n"/>
      <c r="G2209" s="88" t="n"/>
      <c r="H2209" s="88" t="n"/>
      <c r="I2209" s="88" t="n"/>
      <c r="J2209" s="89" t="n"/>
      <c r="K2209" s="88" t="n"/>
      <c r="L2209" s="88" t="n"/>
      <c r="M2209" s="88" t="n"/>
      <c r="N2209" s="89" t="n"/>
      <c r="O2209" s="88" t="n"/>
      <c r="P2209" s="88" t="n"/>
      <c r="Q2209" s="88" t="n"/>
      <c r="R2209" s="89" t="n"/>
      <c r="S2209" s="88" t="n"/>
      <c r="T2209" s="88" t="n"/>
      <c r="U2209" s="88" t="n"/>
      <c r="V2209" s="89" t="n"/>
      <c r="W2209" s="88" t="n"/>
      <c r="X2209" s="89" t="n"/>
      <c r="Y2209" s="88" t="n"/>
      <c r="Z2209" s="89" t="n"/>
      <c r="AB2209" s="30">
        <f>IF($B2209="","",(COUNTIF(C2209:E2209,"?*")&lt;N(INDEX(Setup!$L$6:$L$23,2)))+(COUNTIF(G2209:I2209,"?*")&lt;N(INDEX(Setup!$L$6:$L$23,2)))+(COUNTIF(K2209:M2209,"?*")&lt;N(INDEX(Setup!$L$6:$L$23,2)))+(COUNTIF(O2209:Q2209,"?*")&lt;N(INDEX(Setup!$L$6:$L$23,2)))+(COUNTIF(S2209:U2209,"?*")&lt;N(INDEX(Setup!$L$6:$L$23,2)))+((W2209="")*(INDEX(Setup!$M$6:$M$23,2)="Y"))+((Y2209="")*(INDEX(Setup!$M$6:$M$23,2)="Y")))</f>
        <v/>
      </c>
      <c r="AC2209" s="91">
        <f>IF($B2209="","",IF(AB2209=0,"✓ covered","⚠ "&amp;AB2209&amp;IF(AB2209=1," gap"," gaps")))</f>
        <v/>
      </c>
    </row>
    <row r="2210" ht="17" customHeight="1">
      <c r="A2210" t="n">
        <v>45</v>
      </c>
      <c r="B2210" s="24">
        <f>IF(Setup!$K$8="","",Setup!$K$8)</f>
        <v/>
      </c>
      <c r="C2210" s="88" t="n"/>
      <c r="D2210" s="88" t="n"/>
      <c r="E2210" s="88" t="n"/>
      <c r="F2210" s="89" t="n"/>
      <c r="G2210" s="88" t="n"/>
      <c r="H2210" s="88" t="n"/>
      <c r="I2210" s="88" t="n"/>
      <c r="J2210" s="89" t="n"/>
      <c r="K2210" s="88" t="n"/>
      <c r="L2210" s="88" t="n"/>
      <c r="M2210" s="88" t="n"/>
      <c r="N2210" s="89" t="n"/>
      <c r="O2210" s="88" t="n"/>
      <c r="P2210" s="88" t="n"/>
      <c r="Q2210" s="88" t="n"/>
      <c r="R2210" s="89" t="n"/>
      <c r="S2210" s="88" t="n"/>
      <c r="T2210" s="88" t="n"/>
      <c r="U2210" s="88" t="n"/>
      <c r="V2210" s="89" t="n"/>
      <c r="W2210" s="88" t="n"/>
      <c r="X2210" s="89" t="n"/>
      <c r="Y2210" s="88" t="n"/>
      <c r="Z2210" s="89" t="n"/>
      <c r="AB2210" s="25">
        <f>IF($B2210="","",(COUNTIF(C2210:E2210,"?*")&lt;N(INDEX(Setup!$L$6:$L$23,3)))+(COUNTIF(G2210:I2210,"?*")&lt;N(INDEX(Setup!$L$6:$L$23,3)))+(COUNTIF(K2210:M2210,"?*")&lt;N(INDEX(Setup!$L$6:$L$23,3)))+(COUNTIF(O2210:Q2210,"?*")&lt;N(INDEX(Setup!$L$6:$L$23,3)))+(COUNTIF(S2210:U2210,"?*")&lt;N(INDEX(Setup!$L$6:$L$23,3)))+((W2210="")*(INDEX(Setup!$M$6:$M$23,3)="Y"))+((Y2210="")*(INDEX(Setup!$M$6:$M$23,3)="Y")))</f>
        <v/>
      </c>
      <c r="AC2210" s="90">
        <f>IF($B2210="","",IF(AB2210=0,"✓ covered","⚠ "&amp;AB2210&amp;IF(AB2210=1," gap"," gaps")))</f>
        <v/>
      </c>
    </row>
    <row r="2211" ht="17" customHeight="1">
      <c r="A2211" t="n">
        <v>45</v>
      </c>
      <c r="B2211" s="29">
        <f>IF(Setup!$K$9="","",Setup!$K$9)</f>
        <v/>
      </c>
      <c r="C2211" s="88" t="n"/>
      <c r="D2211" s="88" t="n"/>
      <c r="E2211" s="88" t="n"/>
      <c r="F2211" s="89" t="n"/>
      <c r="G2211" s="88" t="n"/>
      <c r="H2211" s="88" t="n"/>
      <c r="I2211" s="88" t="n"/>
      <c r="J2211" s="89" t="n"/>
      <c r="K2211" s="88" t="n"/>
      <c r="L2211" s="88" t="n"/>
      <c r="M2211" s="88" t="n"/>
      <c r="N2211" s="89" t="n"/>
      <c r="O2211" s="88" t="n"/>
      <c r="P2211" s="88" t="n"/>
      <c r="Q2211" s="88" t="n"/>
      <c r="R2211" s="89" t="n"/>
      <c r="S2211" s="88" t="n"/>
      <c r="T2211" s="88" t="n"/>
      <c r="U2211" s="88" t="n"/>
      <c r="V2211" s="89" t="n"/>
      <c r="W2211" s="88" t="n"/>
      <c r="X2211" s="89" t="n"/>
      <c r="Y2211" s="88" t="n"/>
      <c r="Z2211" s="89" t="n"/>
      <c r="AB2211" s="30">
        <f>IF($B2211="","",(COUNTIF(C2211:E2211,"?*")&lt;N(INDEX(Setup!$L$6:$L$23,4)))+(COUNTIF(G2211:I2211,"?*")&lt;N(INDEX(Setup!$L$6:$L$23,4)))+(COUNTIF(K2211:M2211,"?*")&lt;N(INDEX(Setup!$L$6:$L$23,4)))+(COUNTIF(O2211:Q2211,"?*")&lt;N(INDEX(Setup!$L$6:$L$23,4)))+(COUNTIF(S2211:U2211,"?*")&lt;N(INDEX(Setup!$L$6:$L$23,4)))+((W2211="")*(INDEX(Setup!$M$6:$M$23,4)="Y"))+((Y2211="")*(INDEX(Setup!$M$6:$M$23,4)="Y")))</f>
        <v/>
      </c>
      <c r="AC2211" s="91">
        <f>IF($B2211="","",IF(AB2211=0,"✓ covered","⚠ "&amp;AB2211&amp;IF(AB2211=1," gap"," gaps")))</f>
        <v/>
      </c>
    </row>
    <row r="2212" ht="17" customHeight="1">
      <c r="A2212" t="n">
        <v>45</v>
      </c>
      <c r="B2212" s="24">
        <f>IF(Setup!$K$10="","",Setup!$K$10)</f>
        <v/>
      </c>
      <c r="C2212" s="88" t="n"/>
      <c r="D2212" s="88" t="n"/>
      <c r="E2212" s="88" t="n"/>
      <c r="F2212" s="89" t="n"/>
      <c r="G2212" s="88" t="n"/>
      <c r="H2212" s="88" t="n"/>
      <c r="I2212" s="88" t="n"/>
      <c r="J2212" s="89" t="n"/>
      <c r="K2212" s="88" t="n"/>
      <c r="L2212" s="88" t="n"/>
      <c r="M2212" s="88" t="n"/>
      <c r="N2212" s="89" t="n"/>
      <c r="O2212" s="88" t="n"/>
      <c r="P2212" s="88" t="n"/>
      <c r="Q2212" s="88" t="n"/>
      <c r="R2212" s="89" t="n"/>
      <c r="S2212" s="88" t="n"/>
      <c r="T2212" s="88" t="n"/>
      <c r="U2212" s="88" t="n"/>
      <c r="V2212" s="89" t="n"/>
      <c r="W2212" s="88" t="n"/>
      <c r="X2212" s="89" t="n"/>
      <c r="Y2212" s="88" t="n"/>
      <c r="Z2212" s="89" t="n"/>
      <c r="AB2212" s="25">
        <f>IF($B2212="","",(COUNTIF(C2212:E2212,"?*")&lt;N(INDEX(Setup!$L$6:$L$23,5)))+(COUNTIF(G2212:I2212,"?*")&lt;N(INDEX(Setup!$L$6:$L$23,5)))+(COUNTIF(K2212:M2212,"?*")&lt;N(INDEX(Setup!$L$6:$L$23,5)))+(COUNTIF(O2212:Q2212,"?*")&lt;N(INDEX(Setup!$L$6:$L$23,5)))+(COUNTIF(S2212:U2212,"?*")&lt;N(INDEX(Setup!$L$6:$L$23,5)))+((W2212="")*(INDEX(Setup!$M$6:$M$23,5)="Y"))+((Y2212="")*(INDEX(Setup!$M$6:$M$23,5)="Y")))</f>
        <v/>
      </c>
      <c r="AC2212" s="90">
        <f>IF($B2212="","",IF(AB2212=0,"✓ covered","⚠ "&amp;AB2212&amp;IF(AB2212=1," gap"," gaps")))</f>
        <v/>
      </c>
    </row>
    <row r="2213" ht="17" customHeight="1">
      <c r="A2213" t="n">
        <v>45</v>
      </c>
      <c r="B2213" s="29">
        <f>IF(Setup!$K$11="","",Setup!$K$11)</f>
        <v/>
      </c>
      <c r="C2213" s="88" t="n"/>
      <c r="D2213" s="88" t="n"/>
      <c r="E2213" s="88" t="n"/>
      <c r="F2213" s="89" t="n"/>
      <c r="G2213" s="88" t="n"/>
      <c r="H2213" s="88" t="n"/>
      <c r="I2213" s="88" t="n"/>
      <c r="J2213" s="89" t="n"/>
      <c r="K2213" s="88" t="n"/>
      <c r="L2213" s="88" t="n"/>
      <c r="M2213" s="88" t="n"/>
      <c r="N2213" s="89" t="n"/>
      <c r="O2213" s="88" t="n"/>
      <c r="P2213" s="88" t="n"/>
      <c r="Q2213" s="88" t="n"/>
      <c r="R2213" s="89" t="n"/>
      <c r="S2213" s="88" t="n"/>
      <c r="T2213" s="88" t="n"/>
      <c r="U2213" s="88" t="n"/>
      <c r="V2213" s="89" t="n"/>
      <c r="W2213" s="88" t="n"/>
      <c r="X2213" s="89" t="n"/>
      <c r="Y2213" s="88" t="n"/>
      <c r="Z2213" s="89" t="n"/>
      <c r="AB2213" s="30">
        <f>IF($B2213="","",(COUNTIF(C2213:E2213,"?*")&lt;N(INDEX(Setup!$L$6:$L$23,6)))+(COUNTIF(G2213:I2213,"?*")&lt;N(INDEX(Setup!$L$6:$L$23,6)))+(COUNTIF(K2213:M2213,"?*")&lt;N(INDEX(Setup!$L$6:$L$23,6)))+(COUNTIF(O2213:Q2213,"?*")&lt;N(INDEX(Setup!$L$6:$L$23,6)))+(COUNTIF(S2213:U2213,"?*")&lt;N(INDEX(Setup!$L$6:$L$23,6)))+((W2213="")*(INDEX(Setup!$M$6:$M$23,6)="Y"))+((Y2213="")*(INDEX(Setup!$M$6:$M$23,6)="Y")))</f>
        <v/>
      </c>
      <c r="AC2213" s="91">
        <f>IF($B2213="","",IF(AB2213=0,"✓ covered","⚠ "&amp;AB2213&amp;IF(AB2213=1," gap"," gaps")))</f>
        <v/>
      </c>
    </row>
    <row r="2214" ht="17" customHeight="1">
      <c r="A2214" t="n">
        <v>45</v>
      </c>
      <c r="B2214" s="24">
        <f>IF(Setup!$K$12="","",Setup!$K$12)</f>
        <v/>
      </c>
      <c r="C2214" s="88" t="n"/>
      <c r="D2214" s="88" t="n"/>
      <c r="E2214" s="88" t="n"/>
      <c r="F2214" s="89" t="n"/>
      <c r="G2214" s="88" t="n"/>
      <c r="H2214" s="88" t="n"/>
      <c r="I2214" s="88" t="n"/>
      <c r="J2214" s="89" t="n"/>
      <c r="K2214" s="88" t="n"/>
      <c r="L2214" s="88" t="n"/>
      <c r="M2214" s="88" t="n"/>
      <c r="N2214" s="89" t="n"/>
      <c r="O2214" s="88" t="n"/>
      <c r="P2214" s="88" t="n"/>
      <c r="Q2214" s="88" t="n"/>
      <c r="R2214" s="89" t="n"/>
      <c r="S2214" s="88" t="n"/>
      <c r="T2214" s="88" t="n"/>
      <c r="U2214" s="88" t="n"/>
      <c r="V2214" s="89" t="n"/>
      <c r="W2214" s="88" t="n"/>
      <c r="X2214" s="89" t="n"/>
      <c r="Y2214" s="88" t="n"/>
      <c r="Z2214" s="89" t="n"/>
      <c r="AB2214" s="25">
        <f>IF($B2214="","",(COUNTIF(C2214:E2214,"?*")&lt;N(INDEX(Setup!$L$6:$L$23,7)))+(COUNTIF(G2214:I2214,"?*")&lt;N(INDEX(Setup!$L$6:$L$23,7)))+(COUNTIF(K2214:M2214,"?*")&lt;N(INDEX(Setup!$L$6:$L$23,7)))+(COUNTIF(O2214:Q2214,"?*")&lt;N(INDEX(Setup!$L$6:$L$23,7)))+(COUNTIF(S2214:U2214,"?*")&lt;N(INDEX(Setup!$L$6:$L$23,7)))+((W2214="")*(INDEX(Setup!$M$6:$M$23,7)="Y"))+((Y2214="")*(INDEX(Setup!$M$6:$M$23,7)="Y")))</f>
        <v/>
      </c>
      <c r="AC2214" s="90">
        <f>IF($B2214="","",IF(AB2214=0,"✓ covered","⚠ "&amp;AB2214&amp;IF(AB2214=1," gap"," gaps")))</f>
        <v/>
      </c>
    </row>
    <row r="2215" ht="17" customHeight="1">
      <c r="A2215" t="n">
        <v>45</v>
      </c>
      <c r="B2215" s="29">
        <f>IF(Setup!$K$13="","",Setup!$K$13)</f>
        <v/>
      </c>
      <c r="C2215" s="88" t="n"/>
      <c r="D2215" s="88" t="n"/>
      <c r="E2215" s="88" t="n"/>
      <c r="F2215" s="89" t="n"/>
      <c r="G2215" s="88" t="n"/>
      <c r="H2215" s="88" t="n"/>
      <c r="I2215" s="88" t="n"/>
      <c r="J2215" s="89" t="n"/>
      <c r="K2215" s="88" t="n"/>
      <c r="L2215" s="88" t="n"/>
      <c r="M2215" s="88" t="n"/>
      <c r="N2215" s="89" t="n"/>
      <c r="O2215" s="88" t="n"/>
      <c r="P2215" s="88" t="n"/>
      <c r="Q2215" s="88" t="n"/>
      <c r="R2215" s="89" t="n"/>
      <c r="S2215" s="88" t="n"/>
      <c r="T2215" s="88" t="n"/>
      <c r="U2215" s="88" t="n"/>
      <c r="V2215" s="89" t="n"/>
      <c r="W2215" s="88" t="n"/>
      <c r="X2215" s="89" t="n"/>
      <c r="Y2215" s="88" t="n"/>
      <c r="Z2215" s="89" t="n"/>
      <c r="AB2215" s="30">
        <f>IF($B2215="","",(COUNTIF(C2215:E2215,"?*")&lt;N(INDEX(Setup!$L$6:$L$23,8)))+(COUNTIF(G2215:I2215,"?*")&lt;N(INDEX(Setup!$L$6:$L$23,8)))+(COUNTIF(K2215:M2215,"?*")&lt;N(INDEX(Setup!$L$6:$L$23,8)))+(COUNTIF(O2215:Q2215,"?*")&lt;N(INDEX(Setup!$L$6:$L$23,8)))+(COUNTIF(S2215:U2215,"?*")&lt;N(INDEX(Setup!$L$6:$L$23,8)))+((W2215="")*(INDEX(Setup!$M$6:$M$23,8)="Y"))+((Y2215="")*(INDEX(Setup!$M$6:$M$23,8)="Y")))</f>
        <v/>
      </c>
      <c r="AC2215" s="91">
        <f>IF($B2215="","",IF(AB2215=0,"✓ covered","⚠ "&amp;AB2215&amp;IF(AB2215=1," gap"," gaps")))</f>
        <v/>
      </c>
    </row>
    <row r="2216" ht="17" customHeight="1">
      <c r="A2216" t="n">
        <v>45</v>
      </c>
      <c r="B2216" s="24">
        <f>IF(Setup!$K$14="","",Setup!$K$14)</f>
        <v/>
      </c>
      <c r="C2216" s="88" t="n"/>
      <c r="D2216" s="88" t="n"/>
      <c r="E2216" s="88" t="n"/>
      <c r="F2216" s="89" t="n"/>
      <c r="G2216" s="88" t="n"/>
      <c r="H2216" s="88" t="n"/>
      <c r="I2216" s="88" t="n"/>
      <c r="J2216" s="89" t="n"/>
      <c r="K2216" s="88" t="n"/>
      <c r="L2216" s="88" t="n"/>
      <c r="M2216" s="88" t="n"/>
      <c r="N2216" s="89" t="n"/>
      <c r="O2216" s="88" t="n"/>
      <c r="P2216" s="88" t="n"/>
      <c r="Q2216" s="88" t="n"/>
      <c r="R2216" s="89" t="n"/>
      <c r="S2216" s="88" t="n"/>
      <c r="T2216" s="88" t="n"/>
      <c r="U2216" s="88" t="n"/>
      <c r="V2216" s="89" t="n"/>
      <c r="W2216" s="88" t="n"/>
      <c r="X2216" s="89" t="n"/>
      <c r="Y2216" s="88" t="n"/>
      <c r="Z2216" s="89" t="n"/>
      <c r="AB2216" s="25">
        <f>IF($B2216="","",(COUNTIF(C2216:E2216,"?*")&lt;N(INDEX(Setup!$L$6:$L$23,9)))+(COUNTIF(G2216:I2216,"?*")&lt;N(INDEX(Setup!$L$6:$L$23,9)))+(COUNTIF(K2216:M2216,"?*")&lt;N(INDEX(Setup!$L$6:$L$23,9)))+(COUNTIF(O2216:Q2216,"?*")&lt;N(INDEX(Setup!$L$6:$L$23,9)))+(COUNTIF(S2216:U2216,"?*")&lt;N(INDEX(Setup!$L$6:$L$23,9)))+((W2216="")*(INDEX(Setup!$M$6:$M$23,9)="Y"))+((Y2216="")*(INDEX(Setup!$M$6:$M$23,9)="Y")))</f>
        <v/>
      </c>
      <c r="AC2216" s="90">
        <f>IF($B2216="","",IF(AB2216=0,"✓ covered","⚠ "&amp;AB2216&amp;IF(AB2216=1," gap"," gaps")))</f>
        <v/>
      </c>
    </row>
    <row r="2217" ht="17" customHeight="1">
      <c r="A2217" t="n">
        <v>45</v>
      </c>
      <c r="B2217" s="29">
        <f>IF(Setup!$K$15="","",Setup!$K$15)</f>
        <v/>
      </c>
      <c r="C2217" s="88" t="n"/>
      <c r="D2217" s="88" t="n"/>
      <c r="E2217" s="88" t="n"/>
      <c r="F2217" s="89" t="n"/>
      <c r="G2217" s="88" t="n"/>
      <c r="H2217" s="88" t="n"/>
      <c r="I2217" s="88" t="n"/>
      <c r="J2217" s="89" t="n"/>
      <c r="K2217" s="88" t="n"/>
      <c r="L2217" s="88" t="n"/>
      <c r="M2217" s="88" t="n"/>
      <c r="N2217" s="89" t="n"/>
      <c r="O2217" s="88" t="n"/>
      <c r="P2217" s="88" t="n"/>
      <c r="Q2217" s="88" t="n"/>
      <c r="R2217" s="89" t="n"/>
      <c r="S2217" s="88" t="n"/>
      <c r="T2217" s="88" t="n"/>
      <c r="U2217" s="88" t="n"/>
      <c r="V2217" s="89" t="n"/>
      <c r="W2217" s="88" t="n"/>
      <c r="X2217" s="89" t="n"/>
      <c r="Y2217" s="88" t="n"/>
      <c r="Z2217" s="89" t="n"/>
      <c r="AB2217" s="30">
        <f>IF($B2217="","",(COUNTIF(C2217:E2217,"?*")&lt;N(INDEX(Setup!$L$6:$L$23,10)))+(COUNTIF(G2217:I2217,"?*")&lt;N(INDEX(Setup!$L$6:$L$23,10)))+(COUNTIF(K2217:M2217,"?*")&lt;N(INDEX(Setup!$L$6:$L$23,10)))+(COUNTIF(O2217:Q2217,"?*")&lt;N(INDEX(Setup!$L$6:$L$23,10)))+(COUNTIF(S2217:U2217,"?*")&lt;N(INDEX(Setup!$L$6:$L$23,10)))+((W2217="")*(INDEX(Setup!$M$6:$M$23,10)="Y"))+((Y2217="")*(INDEX(Setup!$M$6:$M$23,10)="Y")))</f>
        <v/>
      </c>
      <c r="AC2217" s="91">
        <f>IF($B2217="","",IF(AB2217=0,"✓ covered","⚠ "&amp;AB2217&amp;IF(AB2217=1," gap"," gaps")))</f>
        <v/>
      </c>
    </row>
    <row r="2218" ht="17" customHeight="1">
      <c r="A2218" t="n">
        <v>45</v>
      </c>
      <c r="B2218" s="24">
        <f>IF(Setup!$K$16="","",Setup!$K$16)</f>
        <v/>
      </c>
      <c r="C2218" s="88" t="n"/>
      <c r="D2218" s="88" t="n"/>
      <c r="E2218" s="88" t="n"/>
      <c r="F2218" s="89" t="n"/>
      <c r="G2218" s="88" t="n"/>
      <c r="H2218" s="88" t="n"/>
      <c r="I2218" s="88" t="n"/>
      <c r="J2218" s="89" t="n"/>
      <c r="K2218" s="88" t="n"/>
      <c r="L2218" s="88" t="n"/>
      <c r="M2218" s="88" t="n"/>
      <c r="N2218" s="89" t="n"/>
      <c r="O2218" s="88" t="n"/>
      <c r="P2218" s="88" t="n"/>
      <c r="Q2218" s="88" t="n"/>
      <c r="R2218" s="89" t="n"/>
      <c r="S2218" s="88" t="n"/>
      <c r="T2218" s="88" t="n"/>
      <c r="U2218" s="88" t="n"/>
      <c r="V2218" s="89" t="n"/>
      <c r="W2218" s="88" t="n"/>
      <c r="X2218" s="89" t="n"/>
      <c r="Y2218" s="88" t="n"/>
      <c r="Z2218" s="89" t="n"/>
      <c r="AB2218" s="25">
        <f>IF($B2218="","",(COUNTIF(C2218:E2218,"?*")&lt;N(INDEX(Setup!$L$6:$L$23,11)))+(COUNTIF(G2218:I2218,"?*")&lt;N(INDEX(Setup!$L$6:$L$23,11)))+(COUNTIF(K2218:M2218,"?*")&lt;N(INDEX(Setup!$L$6:$L$23,11)))+(COUNTIF(O2218:Q2218,"?*")&lt;N(INDEX(Setup!$L$6:$L$23,11)))+(COUNTIF(S2218:U2218,"?*")&lt;N(INDEX(Setup!$L$6:$L$23,11)))+((W2218="")*(INDEX(Setup!$M$6:$M$23,11)="Y"))+((Y2218="")*(INDEX(Setup!$M$6:$M$23,11)="Y")))</f>
        <v/>
      </c>
      <c r="AC2218" s="90">
        <f>IF($B2218="","",IF(AB2218=0,"✓ covered","⚠ "&amp;AB2218&amp;IF(AB2218=1," gap"," gaps")))</f>
        <v/>
      </c>
    </row>
    <row r="2219" ht="17" customHeight="1">
      <c r="A2219" t="n">
        <v>45</v>
      </c>
      <c r="B2219" s="29">
        <f>IF(Setup!$K$17="","",Setup!$K$17)</f>
        <v/>
      </c>
      <c r="C2219" s="88" t="n"/>
      <c r="D2219" s="88" t="n"/>
      <c r="E2219" s="88" t="n"/>
      <c r="F2219" s="89" t="n"/>
      <c r="G2219" s="88" t="n"/>
      <c r="H2219" s="88" t="n"/>
      <c r="I2219" s="88" t="n"/>
      <c r="J2219" s="89" t="n"/>
      <c r="K2219" s="88" t="n"/>
      <c r="L2219" s="88" t="n"/>
      <c r="M2219" s="88" t="n"/>
      <c r="N2219" s="89" t="n"/>
      <c r="O2219" s="88" t="n"/>
      <c r="P2219" s="88" t="n"/>
      <c r="Q2219" s="88" t="n"/>
      <c r="R2219" s="89" t="n"/>
      <c r="S2219" s="88" t="n"/>
      <c r="T2219" s="88" t="n"/>
      <c r="U2219" s="88" t="n"/>
      <c r="V2219" s="89" t="n"/>
      <c r="W2219" s="88" t="n"/>
      <c r="X2219" s="89" t="n"/>
      <c r="Y2219" s="88" t="n"/>
      <c r="Z2219" s="89" t="n"/>
      <c r="AB2219" s="30">
        <f>IF($B2219="","",(COUNTIF(C2219:E2219,"?*")&lt;N(INDEX(Setup!$L$6:$L$23,12)))+(COUNTIF(G2219:I2219,"?*")&lt;N(INDEX(Setup!$L$6:$L$23,12)))+(COUNTIF(K2219:M2219,"?*")&lt;N(INDEX(Setup!$L$6:$L$23,12)))+(COUNTIF(O2219:Q2219,"?*")&lt;N(INDEX(Setup!$L$6:$L$23,12)))+(COUNTIF(S2219:U2219,"?*")&lt;N(INDEX(Setup!$L$6:$L$23,12)))+((W2219="")*(INDEX(Setup!$M$6:$M$23,12)="Y"))+((Y2219="")*(INDEX(Setup!$M$6:$M$23,12)="Y")))</f>
        <v/>
      </c>
      <c r="AC2219" s="91">
        <f>IF($B2219="","",IF(AB2219=0,"✓ covered","⚠ "&amp;AB2219&amp;IF(AB2219=1," gap"," gaps")))</f>
        <v/>
      </c>
    </row>
    <row r="2220" ht="17" customHeight="1">
      <c r="A2220" t="n">
        <v>45</v>
      </c>
      <c r="B2220" s="24">
        <f>IF(Setup!$K$18="","",Setup!$K$18)</f>
        <v/>
      </c>
      <c r="C2220" s="88" t="n"/>
      <c r="D2220" s="88" t="n"/>
      <c r="E2220" s="88" t="n"/>
      <c r="F2220" s="89" t="n"/>
      <c r="G2220" s="88" t="n"/>
      <c r="H2220" s="88" t="n"/>
      <c r="I2220" s="88" t="n"/>
      <c r="J2220" s="89" t="n"/>
      <c r="K2220" s="88" t="n"/>
      <c r="L2220" s="88" t="n"/>
      <c r="M2220" s="88" t="n"/>
      <c r="N2220" s="89" t="n"/>
      <c r="O2220" s="88" t="n"/>
      <c r="P2220" s="88" t="n"/>
      <c r="Q2220" s="88" t="n"/>
      <c r="R2220" s="89" t="n"/>
      <c r="S2220" s="88" t="n"/>
      <c r="T2220" s="88" t="n"/>
      <c r="U2220" s="88" t="n"/>
      <c r="V2220" s="89" t="n"/>
      <c r="W2220" s="88" t="n"/>
      <c r="X2220" s="89" t="n"/>
      <c r="Y2220" s="88" t="n"/>
      <c r="Z2220" s="89" t="n"/>
      <c r="AB2220" s="25">
        <f>IF($B2220="","",(COUNTIF(C2220:E2220,"?*")&lt;N(INDEX(Setup!$L$6:$L$23,13)))+(COUNTIF(G2220:I2220,"?*")&lt;N(INDEX(Setup!$L$6:$L$23,13)))+(COUNTIF(K2220:M2220,"?*")&lt;N(INDEX(Setup!$L$6:$L$23,13)))+(COUNTIF(O2220:Q2220,"?*")&lt;N(INDEX(Setup!$L$6:$L$23,13)))+(COUNTIF(S2220:U2220,"?*")&lt;N(INDEX(Setup!$L$6:$L$23,13)))+((W2220="")*(INDEX(Setup!$M$6:$M$23,13)="Y"))+((Y2220="")*(INDEX(Setup!$M$6:$M$23,13)="Y")))</f>
        <v/>
      </c>
      <c r="AC2220" s="90">
        <f>IF($B2220="","",IF(AB2220=0,"✓ covered","⚠ "&amp;AB2220&amp;IF(AB2220=1," gap"," gaps")))</f>
        <v/>
      </c>
    </row>
    <row r="2221" ht="17" customHeight="1">
      <c r="A2221" t="n">
        <v>45</v>
      </c>
      <c r="B2221" s="29">
        <f>IF(Setup!$K$19="","",Setup!$K$19)</f>
        <v/>
      </c>
      <c r="C2221" s="88" t="n"/>
      <c r="D2221" s="88" t="n"/>
      <c r="E2221" s="88" t="n"/>
      <c r="F2221" s="89" t="n"/>
      <c r="G2221" s="88" t="n"/>
      <c r="H2221" s="88" t="n"/>
      <c r="I2221" s="88" t="n"/>
      <c r="J2221" s="89" t="n"/>
      <c r="K2221" s="88" t="n"/>
      <c r="L2221" s="88" t="n"/>
      <c r="M2221" s="88" t="n"/>
      <c r="N2221" s="89" t="n"/>
      <c r="O2221" s="88" t="n"/>
      <c r="P2221" s="88" t="n"/>
      <c r="Q2221" s="88" t="n"/>
      <c r="R2221" s="89" t="n"/>
      <c r="S2221" s="88" t="n"/>
      <c r="T2221" s="88" t="n"/>
      <c r="U2221" s="88" t="n"/>
      <c r="V2221" s="89" t="n"/>
      <c r="W2221" s="88" t="n"/>
      <c r="X2221" s="89" t="n"/>
      <c r="Y2221" s="88" t="n"/>
      <c r="Z2221" s="89" t="n"/>
      <c r="AB2221" s="30">
        <f>IF($B2221="","",(COUNTIF(C2221:E2221,"?*")&lt;N(INDEX(Setup!$L$6:$L$23,14)))+(COUNTIF(G2221:I2221,"?*")&lt;N(INDEX(Setup!$L$6:$L$23,14)))+(COUNTIF(K2221:M2221,"?*")&lt;N(INDEX(Setup!$L$6:$L$23,14)))+(COUNTIF(O2221:Q2221,"?*")&lt;N(INDEX(Setup!$L$6:$L$23,14)))+(COUNTIF(S2221:U2221,"?*")&lt;N(INDEX(Setup!$L$6:$L$23,14)))+((W2221="")*(INDEX(Setup!$M$6:$M$23,14)="Y"))+((Y2221="")*(INDEX(Setup!$M$6:$M$23,14)="Y")))</f>
        <v/>
      </c>
      <c r="AC2221" s="91">
        <f>IF($B2221="","",IF(AB2221=0,"✓ covered","⚠ "&amp;AB2221&amp;IF(AB2221=1," gap"," gaps")))</f>
        <v/>
      </c>
    </row>
    <row r="2222" ht="17" customHeight="1">
      <c r="A2222" t="n">
        <v>45</v>
      </c>
      <c r="B2222" s="24">
        <f>IF(Setup!$K$20="","",Setup!$K$20)</f>
        <v/>
      </c>
      <c r="C2222" s="88" t="n"/>
      <c r="D2222" s="88" t="n"/>
      <c r="E2222" s="88" t="n"/>
      <c r="F2222" s="89" t="n"/>
      <c r="G2222" s="88" t="n"/>
      <c r="H2222" s="88" t="n"/>
      <c r="I2222" s="88" t="n"/>
      <c r="J2222" s="89" t="n"/>
      <c r="K2222" s="88" t="n"/>
      <c r="L2222" s="88" t="n"/>
      <c r="M2222" s="88" t="n"/>
      <c r="N2222" s="89" t="n"/>
      <c r="O2222" s="88" t="n"/>
      <c r="P2222" s="88" t="n"/>
      <c r="Q2222" s="88" t="n"/>
      <c r="R2222" s="89" t="n"/>
      <c r="S2222" s="88" t="n"/>
      <c r="T2222" s="88" t="n"/>
      <c r="U2222" s="88" t="n"/>
      <c r="V2222" s="89" t="n"/>
      <c r="W2222" s="88" t="n"/>
      <c r="X2222" s="89" t="n"/>
      <c r="Y2222" s="88" t="n"/>
      <c r="Z2222" s="89" t="n"/>
      <c r="AB2222" s="25">
        <f>IF($B2222="","",(COUNTIF(C2222:E2222,"?*")&lt;N(INDEX(Setup!$L$6:$L$23,15)))+(COUNTIF(G2222:I2222,"?*")&lt;N(INDEX(Setup!$L$6:$L$23,15)))+(COUNTIF(K2222:M2222,"?*")&lt;N(INDEX(Setup!$L$6:$L$23,15)))+(COUNTIF(O2222:Q2222,"?*")&lt;N(INDEX(Setup!$L$6:$L$23,15)))+(COUNTIF(S2222:U2222,"?*")&lt;N(INDEX(Setup!$L$6:$L$23,15)))+((W2222="")*(INDEX(Setup!$M$6:$M$23,15)="Y"))+((Y2222="")*(INDEX(Setup!$M$6:$M$23,15)="Y")))</f>
        <v/>
      </c>
      <c r="AC2222" s="90">
        <f>IF($B2222="","",IF(AB2222=0,"✓ covered","⚠ "&amp;AB2222&amp;IF(AB2222=1," gap"," gaps")))</f>
        <v/>
      </c>
    </row>
    <row r="2223" ht="17" customHeight="1">
      <c r="A2223" t="n">
        <v>45</v>
      </c>
      <c r="B2223" s="29">
        <f>IF(Setup!$K$21="","",Setup!$K$21)</f>
        <v/>
      </c>
      <c r="C2223" s="88" t="n"/>
      <c r="D2223" s="88" t="n"/>
      <c r="E2223" s="88" t="n"/>
      <c r="F2223" s="89" t="n"/>
      <c r="G2223" s="88" t="n"/>
      <c r="H2223" s="88" t="n"/>
      <c r="I2223" s="88" t="n"/>
      <c r="J2223" s="89" t="n"/>
      <c r="K2223" s="88" t="n"/>
      <c r="L2223" s="88" t="n"/>
      <c r="M2223" s="88" t="n"/>
      <c r="N2223" s="89" t="n"/>
      <c r="O2223" s="88" t="n"/>
      <c r="P2223" s="88" t="n"/>
      <c r="Q2223" s="88" t="n"/>
      <c r="R2223" s="89" t="n"/>
      <c r="S2223" s="88" t="n"/>
      <c r="T2223" s="88" t="n"/>
      <c r="U2223" s="88" t="n"/>
      <c r="V2223" s="89" t="n"/>
      <c r="W2223" s="88" t="n"/>
      <c r="X2223" s="89" t="n"/>
      <c r="Y2223" s="88" t="n"/>
      <c r="Z2223" s="89" t="n"/>
      <c r="AB2223" s="30">
        <f>IF($B2223="","",(COUNTIF(C2223:E2223,"?*")&lt;N(INDEX(Setup!$L$6:$L$23,16)))+(COUNTIF(G2223:I2223,"?*")&lt;N(INDEX(Setup!$L$6:$L$23,16)))+(COUNTIF(K2223:M2223,"?*")&lt;N(INDEX(Setup!$L$6:$L$23,16)))+(COUNTIF(O2223:Q2223,"?*")&lt;N(INDEX(Setup!$L$6:$L$23,16)))+(COUNTIF(S2223:U2223,"?*")&lt;N(INDEX(Setup!$L$6:$L$23,16)))+((W2223="")*(INDEX(Setup!$M$6:$M$23,16)="Y"))+((Y2223="")*(INDEX(Setup!$M$6:$M$23,16)="Y")))</f>
        <v/>
      </c>
      <c r="AC2223" s="91">
        <f>IF($B2223="","",IF(AB2223=0,"✓ covered","⚠ "&amp;AB2223&amp;IF(AB2223=1," gap"," gaps")))</f>
        <v/>
      </c>
    </row>
    <row r="2224" ht="17" customHeight="1">
      <c r="A2224" t="n">
        <v>45</v>
      </c>
      <c r="B2224" s="24">
        <f>IF(Setup!$K$22="","",Setup!$K$22)</f>
        <v/>
      </c>
      <c r="C2224" s="88" t="n"/>
      <c r="D2224" s="88" t="n"/>
      <c r="E2224" s="88" t="n"/>
      <c r="F2224" s="89" t="n"/>
      <c r="G2224" s="88" t="n"/>
      <c r="H2224" s="88" t="n"/>
      <c r="I2224" s="88" t="n"/>
      <c r="J2224" s="89" t="n"/>
      <c r="K2224" s="88" t="n"/>
      <c r="L2224" s="88" t="n"/>
      <c r="M2224" s="88" t="n"/>
      <c r="N2224" s="89" t="n"/>
      <c r="O2224" s="88" t="n"/>
      <c r="P2224" s="88" t="n"/>
      <c r="Q2224" s="88" t="n"/>
      <c r="R2224" s="89" t="n"/>
      <c r="S2224" s="88" t="n"/>
      <c r="T2224" s="88" t="n"/>
      <c r="U2224" s="88" t="n"/>
      <c r="V2224" s="89" t="n"/>
      <c r="W2224" s="88" t="n"/>
      <c r="X2224" s="89" t="n"/>
      <c r="Y2224" s="88" t="n"/>
      <c r="Z2224" s="89" t="n"/>
      <c r="AB2224" s="25">
        <f>IF($B2224="","",(COUNTIF(C2224:E2224,"?*")&lt;N(INDEX(Setup!$L$6:$L$23,17)))+(COUNTIF(G2224:I2224,"?*")&lt;N(INDEX(Setup!$L$6:$L$23,17)))+(COUNTIF(K2224:M2224,"?*")&lt;N(INDEX(Setup!$L$6:$L$23,17)))+(COUNTIF(O2224:Q2224,"?*")&lt;N(INDEX(Setup!$L$6:$L$23,17)))+(COUNTIF(S2224:U2224,"?*")&lt;N(INDEX(Setup!$L$6:$L$23,17)))+((W2224="")*(INDEX(Setup!$M$6:$M$23,17)="Y"))+((Y2224="")*(INDEX(Setup!$M$6:$M$23,17)="Y")))</f>
        <v/>
      </c>
      <c r="AC2224" s="90">
        <f>IF($B2224="","",IF(AB2224=0,"✓ covered","⚠ "&amp;AB2224&amp;IF(AB2224=1," gap"," gaps")))</f>
        <v/>
      </c>
    </row>
    <row r="2225" ht="17" customHeight="1">
      <c r="A2225" t="n">
        <v>45</v>
      </c>
      <c r="B2225" s="29">
        <f>IF(Setup!$K$23="","",Setup!$K$23)</f>
        <v/>
      </c>
      <c r="C2225" s="88" t="n"/>
      <c r="D2225" s="88" t="n"/>
      <c r="E2225" s="88" t="n"/>
      <c r="F2225" s="89" t="n"/>
      <c r="G2225" s="88" t="n"/>
      <c r="H2225" s="88" t="n"/>
      <c r="I2225" s="88" t="n"/>
      <c r="J2225" s="89" t="n"/>
      <c r="K2225" s="88" t="n"/>
      <c r="L2225" s="88" t="n"/>
      <c r="M2225" s="88" t="n"/>
      <c r="N2225" s="89" t="n"/>
      <c r="O2225" s="88" t="n"/>
      <c r="P2225" s="88" t="n"/>
      <c r="Q2225" s="88" t="n"/>
      <c r="R2225" s="89" t="n"/>
      <c r="S2225" s="88" t="n"/>
      <c r="T2225" s="88" t="n"/>
      <c r="U2225" s="88" t="n"/>
      <c r="V2225" s="89" t="n"/>
      <c r="W2225" s="88" t="n"/>
      <c r="X2225" s="89" t="n"/>
      <c r="Y2225" s="88" t="n"/>
      <c r="Z2225" s="89" t="n"/>
      <c r="AB2225" s="30">
        <f>IF($B2225="","",(COUNTIF(C2225:E2225,"?*")&lt;N(INDEX(Setup!$L$6:$L$23,18)))+(COUNTIF(G2225:I2225,"?*")&lt;N(INDEX(Setup!$L$6:$L$23,18)))+(COUNTIF(K2225:M2225,"?*")&lt;N(INDEX(Setup!$L$6:$L$23,18)))+(COUNTIF(O2225:Q2225,"?*")&lt;N(INDEX(Setup!$L$6:$L$23,18)))+(COUNTIF(S2225:U2225,"?*")&lt;N(INDEX(Setup!$L$6:$L$23,18)))+((W2225="")*(INDEX(Setup!$M$6:$M$23,18)="Y"))+((Y2225="")*(INDEX(Setup!$M$6:$M$23,18)="Y")))</f>
        <v/>
      </c>
      <c r="AC2225" s="91">
        <f>IF($B2225="","",IF(AB2225=0,"✓ covered","⚠ "&amp;AB2225&amp;IF(AB2225=1," gap"," gaps")))</f>
        <v/>
      </c>
    </row>
    <row r="2226" ht="18" customHeight="1">
      <c r="A2226" t="n">
        <v>45</v>
      </c>
      <c r="B2226" s="78" t="inlineStr">
        <is>
          <t>TEAM AVAILABILITY</t>
        </is>
      </c>
      <c r="C2226" s="92" t="inlineStr">
        <is>
          <t>Mon</t>
        </is>
      </c>
      <c r="D2226" s="93" t="n"/>
      <c r="E2226" s="93" t="n"/>
      <c r="F2226" s="94" t="n"/>
      <c r="G2226" s="92" t="inlineStr">
        <is>
          <t>Tue</t>
        </is>
      </c>
      <c r="H2226" s="93" t="n"/>
      <c r="I2226" s="93" t="n"/>
      <c r="J2226" s="94" t="n"/>
      <c r="K2226" s="92" t="inlineStr">
        <is>
          <t>Wed</t>
        </is>
      </c>
      <c r="L2226" s="93" t="n"/>
      <c r="M2226" s="93" t="n"/>
      <c r="N2226" s="94" t="n"/>
      <c r="O2226" s="92" t="inlineStr">
        <is>
          <t>Thu</t>
        </is>
      </c>
      <c r="P2226" s="93" t="n"/>
      <c r="Q2226" s="93" t="n"/>
      <c r="R2226" s="94" t="n"/>
      <c r="S2226" s="92" t="inlineStr">
        <is>
          <t>Fri</t>
        </is>
      </c>
      <c r="T2226" s="93" t="n"/>
      <c r="U2226" s="93" t="n"/>
      <c r="V2226" s="94" t="n"/>
      <c r="W2226" s="95" t="inlineStr">
        <is>
          <t>Sat</t>
        </is>
      </c>
      <c r="X2226" s="96" t="n"/>
      <c r="Y2226" s="95" t="inlineStr">
        <is>
          <t>Sun</t>
        </is>
      </c>
      <c r="Z2226" s="96" t="n"/>
      <c r="AB2226" s="97" t="inlineStr">
        <is>
          <t>Days rostered</t>
        </is>
      </c>
      <c r="AC2226" s="97" t="inlineStr">
        <is>
          <t>Conflicts</t>
        </is>
      </c>
    </row>
    <row r="2227" ht="15" customHeight="1">
      <c r="A2227" t="n">
        <v>45</v>
      </c>
      <c r="B2227" s="35">
        <f>IF(Setup!$B$6="","",Setup!$B$6)</f>
        <v/>
      </c>
      <c r="C2227" s="98" t="n"/>
      <c r="D2227" s="99" t="n"/>
      <c r="E2227" s="99" t="n"/>
      <c r="F2227" s="100" t="n"/>
      <c r="G2227" s="98" t="n"/>
      <c r="H2227" s="99" t="n"/>
      <c r="I2227" s="99" t="n"/>
      <c r="J2227" s="100" t="n"/>
      <c r="K2227" s="98" t="n"/>
      <c r="L2227" s="99" t="n"/>
      <c r="M2227" s="99" t="n"/>
      <c r="N2227" s="100" t="n"/>
      <c r="O2227" s="98" t="n"/>
      <c r="P2227" s="99" t="n"/>
      <c r="Q2227" s="99" t="n"/>
      <c r="R2227" s="100" t="n"/>
      <c r="S2227" s="98" t="n"/>
      <c r="T2227" s="99" t="n"/>
      <c r="U2227" s="99" t="n"/>
      <c r="V2227" s="100" t="n"/>
      <c r="W2227" s="98" t="n"/>
      <c r="X2227" s="100" t="n"/>
      <c r="Y2227" s="98" t="n"/>
      <c r="Z2227" s="100" t="n"/>
      <c r="AB2227" s="101">
        <f>IF($B2227="","",(COUNTIF(C2208:E2225,$B2227)+COUNTIF(C2208:E2225,$B2227&amp;" ~*")&gt;0)+(COUNTIF(G2208:I2225,$B2227)+COUNTIF(G2208:I2225,$B2227&amp;" ~*")&gt;0)+(COUNTIF(K2208:M2225,$B2227)+COUNTIF(K2208:M2225,$B2227&amp;" ~*")&gt;0)+(COUNTIF(O2208:Q2225,$B2227)+COUNTIF(O2208:Q2225,$B2227&amp;" ~*")&gt;0)+(COUNTIF(S2208:U2225,$B2227)+COUNTIF(S2208:U2225,$B2227&amp;" ~*")&gt;0)+(COUNTIF(W2208:W2225,$B2227)+COUNTIF(W2208:W2225,$B2227&amp;" ~*")&gt;0)+(COUNTIF(Y2208:Y2225,$B2227)+COUNTIF(Y2208:Y2225,$B2227&amp;" ~*")&gt;0))</f>
        <v/>
      </c>
      <c r="AC2227" s="36">
        <f>IF($B2227="","",(IFERROR(INDEX(Setup!$G$33:$G$40,MATCH(C2227,Setup!$B$33:$B$40,0)),0)=1)*(COUNTIF(C2208:E2225,$B2227)+COUNTIF(C2208:E2225,$B2227&amp;" ~*")&gt;0)+(IFERROR(INDEX(Setup!$G$33:$G$40,MATCH(G2227,Setup!$B$33:$B$40,0)),0)=1)*(COUNTIF(G2208:I2225,$B2227)+COUNTIF(G2208:I2225,$B2227&amp;" ~*")&gt;0)+(IFERROR(INDEX(Setup!$G$33:$G$40,MATCH(K2227,Setup!$B$33:$B$40,0)),0)=1)*(COUNTIF(K2208:M2225,$B2227)+COUNTIF(K2208:M2225,$B2227&amp;" ~*")&gt;0)+(IFERROR(INDEX(Setup!$G$33:$G$40,MATCH(O2227,Setup!$B$33:$B$40,0)),0)=1)*(COUNTIF(O2208:Q2225,$B2227)+COUNTIF(O2208:Q2225,$B2227&amp;" ~*")&gt;0)+(IFERROR(INDEX(Setup!$G$33:$G$40,MATCH(S2227,Setup!$B$33:$B$40,0)),0)=1)*(COUNTIF(S2208:U2225,$B2227)+COUNTIF(S2208:U2225,$B2227&amp;" ~*")&gt;0)+(IFERROR(INDEX(Setup!$G$33:$G$40,MATCH(W2227,Setup!$B$33:$B$40,0)),0)=1)*(COUNTIF(W2208:W2225,$B2227)+COUNTIF(W2208:W2225,$B2227&amp;" ~*")&gt;0)+(IFERROR(INDEX(Setup!$G$33:$G$40,MATCH(Y2227,Setup!$B$33:$B$40,0)),0)=1)*(COUNTIF(Y2208:Y2225,$B2227)+COUNTIF(Y2208:Y2225,$B2227&amp;" ~*")&gt;0))</f>
        <v/>
      </c>
    </row>
    <row r="2228" ht="15" customHeight="1">
      <c r="A2228" t="n">
        <v>45</v>
      </c>
      <c r="B2228" s="37">
        <f>IF(Setup!$B$7="","",Setup!$B$7)</f>
        <v/>
      </c>
      <c r="C2228" s="102" t="n"/>
      <c r="D2228" s="103" t="n"/>
      <c r="E2228" s="103" t="n"/>
      <c r="F2228" s="104" t="n"/>
      <c r="G2228" s="102" t="n"/>
      <c r="H2228" s="103" t="n"/>
      <c r="I2228" s="103" t="n"/>
      <c r="J2228" s="104" t="n"/>
      <c r="K2228" s="102" t="n"/>
      <c r="L2228" s="103" t="n"/>
      <c r="M2228" s="103" t="n"/>
      <c r="N2228" s="104" t="n"/>
      <c r="O2228" s="102" t="n"/>
      <c r="P2228" s="103" t="n"/>
      <c r="Q2228" s="103" t="n"/>
      <c r="R2228" s="104" t="n"/>
      <c r="S2228" s="102" t="n"/>
      <c r="T2228" s="103" t="n"/>
      <c r="U2228" s="103" t="n"/>
      <c r="V2228" s="104" t="n"/>
      <c r="W2228" s="102" t="n"/>
      <c r="X2228" s="104" t="n"/>
      <c r="Y2228" s="102" t="n"/>
      <c r="Z2228" s="104" t="n"/>
      <c r="AB2228" s="105">
        <f>IF($B2228="","",(COUNTIF(C2208:E2225,$B2228)+COUNTIF(C2208:E2225,$B2228&amp;" ~*")&gt;0)+(COUNTIF(G2208:I2225,$B2228)+COUNTIF(G2208:I2225,$B2228&amp;" ~*")&gt;0)+(COUNTIF(K2208:M2225,$B2228)+COUNTIF(K2208:M2225,$B2228&amp;" ~*")&gt;0)+(COUNTIF(O2208:Q2225,$B2228)+COUNTIF(O2208:Q2225,$B2228&amp;" ~*")&gt;0)+(COUNTIF(S2208:U2225,$B2228)+COUNTIF(S2208:U2225,$B2228&amp;" ~*")&gt;0)+(COUNTIF(W2208:W2225,$B2228)+COUNTIF(W2208:W2225,$B2228&amp;" ~*")&gt;0)+(COUNTIF(Y2208:Y2225,$B2228)+COUNTIF(Y2208:Y2225,$B2228&amp;" ~*")&gt;0))</f>
        <v/>
      </c>
      <c r="AC2228" s="38">
        <f>IF($B2228="","",(IFERROR(INDEX(Setup!$G$33:$G$40,MATCH(C2228,Setup!$B$33:$B$40,0)),0)=1)*(COUNTIF(C2208:E2225,$B2228)+COUNTIF(C2208:E2225,$B2228&amp;" ~*")&gt;0)+(IFERROR(INDEX(Setup!$G$33:$G$40,MATCH(G2228,Setup!$B$33:$B$40,0)),0)=1)*(COUNTIF(G2208:I2225,$B2228)+COUNTIF(G2208:I2225,$B2228&amp;" ~*")&gt;0)+(IFERROR(INDEX(Setup!$G$33:$G$40,MATCH(K2228,Setup!$B$33:$B$40,0)),0)=1)*(COUNTIF(K2208:M2225,$B2228)+COUNTIF(K2208:M2225,$B2228&amp;" ~*")&gt;0)+(IFERROR(INDEX(Setup!$G$33:$G$40,MATCH(O2228,Setup!$B$33:$B$40,0)),0)=1)*(COUNTIF(O2208:Q2225,$B2228)+COUNTIF(O2208:Q2225,$B2228&amp;" ~*")&gt;0)+(IFERROR(INDEX(Setup!$G$33:$G$40,MATCH(S2228,Setup!$B$33:$B$40,0)),0)=1)*(COUNTIF(S2208:U2225,$B2228)+COUNTIF(S2208:U2225,$B2228&amp;" ~*")&gt;0)+(IFERROR(INDEX(Setup!$G$33:$G$40,MATCH(W2228,Setup!$B$33:$B$40,0)),0)=1)*(COUNTIF(W2208:W2225,$B2228)+COUNTIF(W2208:W2225,$B2228&amp;" ~*")&gt;0)+(IFERROR(INDEX(Setup!$G$33:$G$40,MATCH(Y2228,Setup!$B$33:$B$40,0)),0)=1)*(COUNTIF(Y2208:Y2225,$B2228)+COUNTIF(Y2208:Y2225,$B2228&amp;" ~*")&gt;0))</f>
        <v/>
      </c>
    </row>
    <row r="2229" ht="15" customHeight="1">
      <c r="A2229" t="n">
        <v>45</v>
      </c>
      <c r="B2229" s="35">
        <f>IF(Setup!$B$8="","",Setup!$B$8)</f>
        <v/>
      </c>
      <c r="C2229" s="98" t="n"/>
      <c r="D2229" s="99" t="n"/>
      <c r="E2229" s="99" t="n"/>
      <c r="F2229" s="100" t="n"/>
      <c r="G2229" s="98" t="n"/>
      <c r="H2229" s="99" t="n"/>
      <c r="I2229" s="99" t="n"/>
      <c r="J2229" s="100" t="n"/>
      <c r="K2229" s="98" t="n"/>
      <c r="L2229" s="99" t="n"/>
      <c r="M2229" s="99" t="n"/>
      <c r="N2229" s="100" t="n"/>
      <c r="O2229" s="98" t="n"/>
      <c r="P2229" s="99" t="n"/>
      <c r="Q2229" s="99" t="n"/>
      <c r="R2229" s="100" t="n"/>
      <c r="S2229" s="98" t="n"/>
      <c r="T2229" s="99" t="n"/>
      <c r="U2229" s="99" t="n"/>
      <c r="V2229" s="100" t="n"/>
      <c r="W2229" s="98" t="n"/>
      <c r="X2229" s="100" t="n"/>
      <c r="Y2229" s="98" t="n"/>
      <c r="Z2229" s="100" t="n"/>
      <c r="AB2229" s="101">
        <f>IF($B2229="","",(COUNTIF(C2208:E2225,$B2229)+COUNTIF(C2208:E2225,$B2229&amp;" ~*")&gt;0)+(COUNTIF(G2208:I2225,$B2229)+COUNTIF(G2208:I2225,$B2229&amp;" ~*")&gt;0)+(COUNTIF(K2208:M2225,$B2229)+COUNTIF(K2208:M2225,$B2229&amp;" ~*")&gt;0)+(COUNTIF(O2208:Q2225,$B2229)+COUNTIF(O2208:Q2225,$B2229&amp;" ~*")&gt;0)+(COUNTIF(S2208:U2225,$B2229)+COUNTIF(S2208:U2225,$B2229&amp;" ~*")&gt;0)+(COUNTIF(W2208:W2225,$B2229)+COUNTIF(W2208:W2225,$B2229&amp;" ~*")&gt;0)+(COUNTIF(Y2208:Y2225,$B2229)+COUNTIF(Y2208:Y2225,$B2229&amp;" ~*")&gt;0))</f>
        <v/>
      </c>
      <c r="AC2229" s="36">
        <f>IF($B2229="","",(IFERROR(INDEX(Setup!$G$33:$G$40,MATCH(C2229,Setup!$B$33:$B$40,0)),0)=1)*(COUNTIF(C2208:E2225,$B2229)+COUNTIF(C2208:E2225,$B2229&amp;" ~*")&gt;0)+(IFERROR(INDEX(Setup!$G$33:$G$40,MATCH(G2229,Setup!$B$33:$B$40,0)),0)=1)*(COUNTIF(G2208:I2225,$B2229)+COUNTIF(G2208:I2225,$B2229&amp;" ~*")&gt;0)+(IFERROR(INDEX(Setup!$G$33:$G$40,MATCH(K2229,Setup!$B$33:$B$40,0)),0)=1)*(COUNTIF(K2208:M2225,$B2229)+COUNTIF(K2208:M2225,$B2229&amp;" ~*")&gt;0)+(IFERROR(INDEX(Setup!$G$33:$G$40,MATCH(O2229,Setup!$B$33:$B$40,0)),0)=1)*(COUNTIF(O2208:Q2225,$B2229)+COUNTIF(O2208:Q2225,$B2229&amp;" ~*")&gt;0)+(IFERROR(INDEX(Setup!$G$33:$G$40,MATCH(S2229,Setup!$B$33:$B$40,0)),0)=1)*(COUNTIF(S2208:U2225,$B2229)+COUNTIF(S2208:U2225,$B2229&amp;" ~*")&gt;0)+(IFERROR(INDEX(Setup!$G$33:$G$40,MATCH(W2229,Setup!$B$33:$B$40,0)),0)=1)*(COUNTIF(W2208:W2225,$B2229)+COUNTIF(W2208:W2225,$B2229&amp;" ~*")&gt;0)+(IFERROR(INDEX(Setup!$G$33:$G$40,MATCH(Y2229,Setup!$B$33:$B$40,0)),0)=1)*(COUNTIF(Y2208:Y2225,$B2229)+COUNTIF(Y2208:Y2225,$B2229&amp;" ~*")&gt;0))</f>
        <v/>
      </c>
    </row>
    <row r="2230" ht="15" customHeight="1">
      <c r="A2230" t="n">
        <v>45</v>
      </c>
      <c r="B2230" s="37">
        <f>IF(Setup!$B$9="","",Setup!$B$9)</f>
        <v/>
      </c>
      <c r="C2230" s="102" t="n"/>
      <c r="D2230" s="103" t="n"/>
      <c r="E2230" s="103" t="n"/>
      <c r="F2230" s="104" t="n"/>
      <c r="G2230" s="102" t="n"/>
      <c r="H2230" s="103" t="n"/>
      <c r="I2230" s="103" t="n"/>
      <c r="J2230" s="104" t="n"/>
      <c r="K2230" s="102" t="n"/>
      <c r="L2230" s="103" t="n"/>
      <c r="M2230" s="103" t="n"/>
      <c r="N2230" s="104" t="n"/>
      <c r="O2230" s="102" t="n"/>
      <c r="P2230" s="103" t="n"/>
      <c r="Q2230" s="103" t="n"/>
      <c r="R2230" s="104" t="n"/>
      <c r="S2230" s="102" t="n"/>
      <c r="T2230" s="103" t="n"/>
      <c r="U2230" s="103" t="n"/>
      <c r="V2230" s="104" t="n"/>
      <c r="W2230" s="102" t="n"/>
      <c r="X2230" s="104" t="n"/>
      <c r="Y2230" s="102" t="n"/>
      <c r="Z2230" s="104" t="n"/>
      <c r="AB2230" s="105">
        <f>IF($B2230="","",(COUNTIF(C2208:E2225,$B2230)+COUNTIF(C2208:E2225,$B2230&amp;" ~*")&gt;0)+(COUNTIF(G2208:I2225,$B2230)+COUNTIF(G2208:I2225,$B2230&amp;" ~*")&gt;0)+(COUNTIF(K2208:M2225,$B2230)+COUNTIF(K2208:M2225,$B2230&amp;" ~*")&gt;0)+(COUNTIF(O2208:Q2225,$B2230)+COUNTIF(O2208:Q2225,$B2230&amp;" ~*")&gt;0)+(COUNTIF(S2208:U2225,$B2230)+COUNTIF(S2208:U2225,$B2230&amp;" ~*")&gt;0)+(COUNTIF(W2208:W2225,$B2230)+COUNTIF(W2208:W2225,$B2230&amp;" ~*")&gt;0)+(COUNTIF(Y2208:Y2225,$B2230)+COUNTIF(Y2208:Y2225,$B2230&amp;" ~*")&gt;0))</f>
        <v/>
      </c>
      <c r="AC2230" s="38">
        <f>IF($B2230="","",(IFERROR(INDEX(Setup!$G$33:$G$40,MATCH(C2230,Setup!$B$33:$B$40,0)),0)=1)*(COUNTIF(C2208:E2225,$B2230)+COUNTIF(C2208:E2225,$B2230&amp;" ~*")&gt;0)+(IFERROR(INDEX(Setup!$G$33:$G$40,MATCH(G2230,Setup!$B$33:$B$40,0)),0)=1)*(COUNTIF(G2208:I2225,$B2230)+COUNTIF(G2208:I2225,$B2230&amp;" ~*")&gt;0)+(IFERROR(INDEX(Setup!$G$33:$G$40,MATCH(K2230,Setup!$B$33:$B$40,0)),0)=1)*(COUNTIF(K2208:M2225,$B2230)+COUNTIF(K2208:M2225,$B2230&amp;" ~*")&gt;0)+(IFERROR(INDEX(Setup!$G$33:$G$40,MATCH(O2230,Setup!$B$33:$B$40,0)),0)=1)*(COUNTIF(O2208:Q2225,$B2230)+COUNTIF(O2208:Q2225,$B2230&amp;" ~*")&gt;0)+(IFERROR(INDEX(Setup!$G$33:$G$40,MATCH(S2230,Setup!$B$33:$B$40,0)),0)=1)*(COUNTIF(S2208:U2225,$B2230)+COUNTIF(S2208:U2225,$B2230&amp;" ~*")&gt;0)+(IFERROR(INDEX(Setup!$G$33:$G$40,MATCH(W2230,Setup!$B$33:$B$40,0)),0)=1)*(COUNTIF(W2208:W2225,$B2230)+COUNTIF(W2208:W2225,$B2230&amp;" ~*")&gt;0)+(IFERROR(INDEX(Setup!$G$33:$G$40,MATCH(Y2230,Setup!$B$33:$B$40,0)),0)=1)*(COUNTIF(Y2208:Y2225,$B2230)+COUNTIF(Y2208:Y2225,$B2230&amp;" ~*")&gt;0))</f>
        <v/>
      </c>
    </row>
    <row r="2231" ht="15" customHeight="1">
      <c r="A2231" t="n">
        <v>45</v>
      </c>
      <c r="B2231" s="35">
        <f>IF(Setup!$B$10="","",Setup!$B$10)</f>
        <v/>
      </c>
      <c r="C2231" s="98" t="n"/>
      <c r="D2231" s="99" t="n"/>
      <c r="E2231" s="99" t="n"/>
      <c r="F2231" s="100" t="n"/>
      <c r="G2231" s="98" t="n"/>
      <c r="H2231" s="99" t="n"/>
      <c r="I2231" s="99" t="n"/>
      <c r="J2231" s="100" t="n"/>
      <c r="K2231" s="98" t="n"/>
      <c r="L2231" s="99" t="n"/>
      <c r="M2231" s="99" t="n"/>
      <c r="N2231" s="100" t="n"/>
      <c r="O2231" s="98" t="n"/>
      <c r="P2231" s="99" t="n"/>
      <c r="Q2231" s="99" t="n"/>
      <c r="R2231" s="100" t="n"/>
      <c r="S2231" s="98" t="n"/>
      <c r="T2231" s="99" t="n"/>
      <c r="U2231" s="99" t="n"/>
      <c r="V2231" s="100" t="n"/>
      <c r="W2231" s="98" t="n"/>
      <c r="X2231" s="100" t="n"/>
      <c r="Y2231" s="98" t="n"/>
      <c r="Z2231" s="100" t="n"/>
      <c r="AB2231" s="101">
        <f>IF($B2231="","",(COUNTIF(C2208:E2225,$B2231)+COUNTIF(C2208:E2225,$B2231&amp;" ~*")&gt;0)+(COUNTIF(G2208:I2225,$B2231)+COUNTIF(G2208:I2225,$B2231&amp;" ~*")&gt;0)+(COUNTIF(K2208:M2225,$B2231)+COUNTIF(K2208:M2225,$B2231&amp;" ~*")&gt;0)+(COUNTIF(O2208:Q2225,$B2231)+COUNTIF(O2208:Q2225,$B2231&amp;" ~*")&gt;0)+(COUNTIF(S2208:U2225,$B2231)+COUNTIF(S2208:U2225,$B2231&amp;" ~*")&gt;0)+(COUNTIF(W2208:W2225,$B2231)+COUNTIF(W2208:W2225,$B2231&amp;" ~*")&gt;0)+(COUNTIF(Y2208:Y2225,$B2231)+COUNTIF(Y2208:Y2225,$B2231&amp;" ~*")&gt;0))</f>
        <v/>
      </c>
      <c r="AC2231" s="36">
        <f>IF($B2231="","",(IFERROR(INDEX(Setup!$G$33:$G$40,MATCH(C2231,Setup!$B$33:$B$40,0)),0)=1)*(COUNTIF(C2208:E2225,$B2231)+COUNTIF(C2208:E2225,$B2231&amp;" ~*")&gt;0)+(IFERROR(INDEX(Setup!$G$33:$G$40,MATCH(G2231,Setup!$B$33:$B$40,0)),0)=1)*(COUNTIF(G2208:I2225,$B2231)+COUNTIF(G2208:I2225,$B2231&amp;" ~*")&gt;0)+(IFERROR(INDEX(Setup!$G$33:$G$40,MATCH(K2231,Setup!$B$33:$B$40,0)),0)=1)*(COUNTIF(K2208:M2225,$B2231)+COUNTIF(K2208:M2225,$B2231&amp;" ~*")&gt;0)+(IFERROR(INDEX(Setup!$G$33:$G$40,MATCH(O2231,Setup!$B$33:$B$40,0)),0)=1)*(COUNTIF(O2208:Q2225,$B2231)+COUNTIF(O2208:Q2225,$B2231&amp;" ~*")&gt;0)+(IFERROR(INDEX(Setup!$G$33:$G$40,MATCH(S2231,Setup!$B$33:$B$40,0)),0)=1)*(COUNTIF(S2208:U2225,$B2231)+COUNTIF(S2208:U2225,$B2231&amp;" ~*")&gt;0)+(IFERROR(INDEX(Setup!$G$33:$G$40,MATCH(W2231,Setup!$B$33:$B$40,0)),0)=1)*(COUNTIF(W2208:W2225,$B2231)+COUNTIF(W2208:W2225,$B2231&amp;" ~*")&gt;0)+(IFERROR(INDEX(Setup!$G$33:$G$40,MATCH(Y2231,Setup!$B$33:$B$40,0)),0)=1)*(COUNTIF(Y2208:Y2225,$B2231)+COUNTIF(Y2208:Y2225,$B2231&amp;" ~*")&gt;0))</f>
        <v/>
      </c>
    </row>
    <row r="2232" ht="15" customHeight="1">
      <c r="A2232" t="n">
        <v>45</v>
      </c>
      <c r="B2232" s="37">
        <f>IF(Setup!$B$11="","",Setup!$B$11)</f>
        <v/>
      </c>
      <c r="C2232" s="102" t="n"/>
      <c r="D2232" s="103" t="n"/>
      <c r="E2232" s="103" t="n"/>
      <c r="F2232" s="104" t="n"/>
      <c r="G2232" s="102" t="n"/>
      <c r="H2232" s="103" t="n"/>
      <c r="I2232" s="103" t="n"/>
      <c r="J2232" s="104" t="n"/>
      <c r="K2232" s="102" t="n"/>
      <c r="L2232" s="103" t="n"/>
      <c r="M2232" s="103" t="n"/>
      <c r="N2232" s="104" t="n"/>
      <c r="O2232" s="102" t="n"/>
      <c r="P2232" s="103" t="n"/>
      <c r="Q2232" s="103" t="n"/>
      <c r="R2232" s="104" t="n"/>
      <c r="S2232" s="102" t="n"/>
      <c r="T2232" s="103" t="n"/>
      <c r="U2232" s="103" t="n"/>
      <c r="V2232" s="104" t="n"/>
      <c r="W2232" s="102" t="n"/>
      <c r="X2232" s="104" t="n"/>
      <c r="Y2232" s="102" t="n"/>
      <c r="Z2232" s="104" t="n"/>
      <c r="AB2232" s="105">
        <f>IF($B2232="","",(COUNTIF(C2208:E2225,$B2232)+COUNTIF(C2208:E2225,$B2232&amp;" ~*")&gt;0)+(COUNTIF(G2208:I2225,$B2232)+COUNTIF(G2208:I2225,$B2232&amp;" ~*")&gt;0)+(COUNTIF(K2208:M2225,$B2232)+COUNTIF(K2208:M2225,$B2232&amp;" ~*")&gt;0)+(COUNTIF(O2208:Q2225,$B2232)+COUNTIF(O2208:Q2225,$B2232&amp;" ~*")&gt;0)+(COUNTIF(S2208:U2225,$B2232)+COUNTIF(S2208:U2225,$B2232&amp;" ~*")&gt;0)+(COUNTIF(W2208:W2225,$B2232)+COUNTIF(W2208:W2225,$B2232&amp;" ~*")&gt;0)+(COUNTIF(Y2208:Y2225,$B2232)+COUNTIF(Y2208:Y2225,$B2232&amp;" ~*")&gt;0))</f>
        <v/>
      </c>
      <c r="AC2232" s="38">
        <f>IF($B2232="","",(IFERROR(INDEX(Setup!$G$33:$G$40,MATCH(C2232,Setup!$B$33:$B$40,0)),0)=1)*(COUNTIF(C2208:E2225,$B2232)+COUNTIF(C2208:E2225,$B2232&amp;" ~*")&gt;0)+(IFERROR(INDEX(Setup!$G$33:$G$40,MATCH(G2232,Setup!$B$33:$B$40,0)),0)=1)*(COUNTIF(G2208:I2225,$B2232)+COUNTIF(G2208:I2225,$B2232&amp;" ~*")&gt;0)+(IFERROR(INDEX(Setup!$G$33:$G$40,MATCH(K2232,Setup!$B$33:$B$40,0)),0)=1)*(COUNTIF(K2208:M2225,$B2232)+COUNTIF(K2208:M2225,$B2232&amp;" ~*")&gt;0)+(IFERROR(INDEX(Setup!$G$33:$G$40,MATCH(O2232,Setup!$B$33:$B$40,0)),0)=1)*(COUNTIF(O2208:Q2225,$B2232)+COUNTIF(O2208:Q2225,$B2232&amp;" ~*")&gt;0)+(IFERROR(INDEX(Setup!$G$33:$G$40,MATCH(S2232,Setup!$B$33:$B$40,0)),0)=1)*(COUNTIF(S2208:U2225,$B2232)+COUNTIF(S2208:U2225,$B2232&amp;" ~*")&gt;0)+(IFERROR(INDEX(Setup!$G$33:$G$40,MATCH(W2232,Setup!$B$33:$B$40,0)),0)=1)*(COUNTIF(W2208:W2225,$B2232)+COUNTIF(W2208:W2225,$B2232&amp;" ~*")&gt;0)+(IFERROR(INDEX(Setup!$G$33:$G$40,MATCH(Y2232,Setup!$B$33:$B$40,0)),0)=1)*(COUNTIF(Y2208:Y2225,$B2232)+COUNTIF(Y2208:Y2225,$B2232&amp;" ~*")&gt;0))</f>
        <v/>
      </c>
    </row>
    <row r="2233" ht="15" customHeight="1">
      <c r="A2233" t="n">
        <v>45</v>
      </c>
      <c r="B2233" s="35">
        <f>IF(Setup!$B$12="","",Setup!$B$12)</f>
        <v/>
      </c>
      <c r="C2233" s="98" t="n"/>
      <c r="D2233" s="99" t="n"/>
      <c r="E2233" s="99" t="n"/>
      <c r="F2233" s="100" t="n"/>
      <c r="G2233" s="98" t="n"/>
      <c r="H2233" s="99" t="n"/>
      <c r="I2233" s="99" t="n"/>
      <c r="J2233" s="100" t="n"/>
      <c r="K2233" s="98" t="n"/>
      <c r="L2233" s="99" t="n"/>
      <c r="M2233" s="99" t="n"/>
      <c r="N2233" s="100" t="n"/>
      <c r="O2233" s="98" t="n"/>
      <c r="P2233" s="99" t="n"/>
      <c r="Q2233" s="99" t="n"/>
      <c r="R2233" s="100" t="n"/>
      <c r="S2233" s="98" t="n"/>
      <c r="T2233" s="99" t="n"/>
      <c r="U2233" s="99" t="n"/>
      <c r="V2233" s="100" t="n"/>
      <c r="W2233" s="98" t="n"/>
      <c r="X2233" s="100" t="n"/>
      <c r="Y2233" s="98" t="n"/>
      <c r="Z2233" s="100" t="n"/>
      <c r="AB2233" s="101">
        <f>IF($B2233="","",(COUNTIF(C2208:E2225,$B2233)+COUNTIF(C2208:E2225,$B2233&amp;" ~*")&gt;0)+(COUNTIF(G2208:I2225,$B2233)+COUNTIF(G2208:I2225,$B2233&amp;" ~*")&gt;0)+(COUNTIF(K2208:M2225,$B2233)+COUNTIF(K2208:M2225,$B2233&amp;" ~*")&gt;0)+(COUNTIF(O2208:Q2225,$B2233)+COUNTIF(O2208:Q2225,$B2233&amp;" ~*")&gt;0)+(COUNTIF(S2208:U2225,$B2233)+COUNTIF(S2208:U2225,$B2233&amp;" ~*")&gt;0)+(COUNTIF(W2208:W2225,$B2233)+COUNTIF(W2208:W2225,$B2233&amp;" ~*")&gt;0)+(COUNTIF(Y2208:Y2225,$B2233)+COUNTIF(Y2208:Y2225,$B2233&amp;" ~*")&gt;0))</f>
        <v/>
      </c>
      <c r="AC2233" s="36">
        <f>IF($B2233="","",(IFERROR(INDEX(Setup!$G$33:$G$40,MATCH(C2233,Setup!$B$33:$B$40,0)),0)=1)*(COUNTIF(C2208:E2225,$B2233)+COUNTIF(C2208:E2225,$B2233&amp;" ~*")&gt;0)+(IFERROR(INDEX(Setup!$G$33:$G$40,MATCH(G2233,Setup!$B$33:$B$40,0)),0)=1)*(COUNTIF(G2208:I2225,$B2233)+COUNTIF(G2208:I2225,$B2233&amp;" ~*")&gt;0)+(IFERROR(INDEX(Setup!$G$33:$G$40,MATCH(K2233,Setup!$B$33:$B$40,0)),0)=1)*(COUNTIF(K2208:M2225,$B2233)+COUNTIF(K2208:M2225,$B2233&amp;" ~*")&gt;0)+(IFERROR(INDEX(Setup!$G$33:$G$40,MATCH(O2233,Setup!$B$33:$B$40,0)),0)=1)*(COUNTIF(O2208:Q2225,$B2233)+COUNTIF(O2208:Q2225,$B2233&amp;" ~*")&gt;0)+(IFERROR(INDEX(Setup!$G$33:$G$40,MATCH(S2233,Setup!$B$33:$B$40,0)),0)=1)*(COUNTIF(S2208:U2225,$B2233)+COUNTIF(S2208:U2225,$B2233&amp;" ~*")&gt;0)+(IFERROR(INDEX(Setup!$G$33:$G$40,MATCH(W2233,Setup!$B$33:$B$40,0)),0)=1)*(COUNTIF(W2208:W2225,$B2233)+COUNTIF(W2208:W2225,$B2233&amp;" ~*")&gt;0)+(IFERROR(INDEX(Setup!$G$33:$G$40,MATCH(Y2233,Setup!$B$33:$B$40,0)),0)=1)*(COUNTIF(Y2208:Y2225,$B2233)+COUNTIF(Y2208:Y2225,$B2233&amp;" ~*")&gt;0))</f>
        <v/>
      </c>
    </row>
    <row r="2234" ht="15" customHeight="1">
      <c r="A2234" t="n">
        <v>45</v>
      </c>
      <c r="B2234" s="37">
        <f>IF(Setup!$B$13="","",Setup!$B$13)</f>
        <v/>
      </c>
      <c r="C2234" s="102" t="inlineStr">
        <is>
          <t>AL</t>
        </is>
      </c>
      <c r="D2234" s="103" t="n"/>
      <c r="E2234" s="103" t="n"/>
      <c r="F2234" s="104" t="n"/>
      <c r="G2234" s="102" t="inlineStr">
        <is>
          <t>AL</t>
        </is>
      </c>
      <c r="H2234" s="103" t="n"/>
      <c r="I2234" s="103" t="n"/>
      <c r="J2234" s="104" t="n"/>
      <c r="K2234" s="102" t="inlineStr">
        <is>
          <t>AL</t>
        </is>
      </c>
      <c r="L2234" s="103" t="n"/>
      <c r="M2234" s="103" t="n"/>
      <c r="N2234" s="104" t="n"/>
      <c r="O2234" s="102" t="inlineStr">
        <is>
          <t>AL</t>
        </is>
      </c>
      <c r="P2234" s="103" t="n"/>
      <c r="Q2234" s="103" t="n"/>
      <c r="R2234" s="104" t="n"/>
      <c r="S2234" s="102" t="inlineStr">
        <is>
          <t>AL</t>
        </is>
      </c>
      <c r="T2234" s="103" t="n"/>
      <c r="U2234" s="103" t="n"/>
      <c r="V2234" s="104" t="n"/>
      <c r="W2234" s="102" t="n"/>
      <c r="X2234" s="104" t="n"/>
      <c r="Y2234" s="102" t="n"/>
      <c r="Z2234" s="104" t="n"/>
      <c r="AB2234" s="105">
        <f>IF($B2234="","",(COUNTIF(C2208:E2225,$B2234)+COUNTIF(C2208:E2225,$B2234&amp;" ~*")&gt;0)+(COUNTIF(G2208:I2225,$B2234)+COUNTIF(G2208:I2225,$B2234&amp;" ~*")&gt;0)+(COUNTIF(K2208:M2225,$B2234)+COUNTIF(K2208:M2225,$B2234&amp;" ~*")&gt;0)+(COUNTIF(O2208:Q2225,$B2234)+COUNTIF(O2208:Q2225,$B2234&amp;" ~*")&gt;0)+(COUNTIF(S2208:U2225,$B2234)+COUNTIF(S2208:U2225,$B2234&amp;" ~*")&gt;0)+(COUNTIF(W2208:W2225,$B2234)+COUNTIF(W2208:W2225,$B2234&amp;" ~*")&gt;0)+(COUNTIF(Y2208:Y2225,$B2234)+COUNTIF(Y2208:Y2225,$B2234&amp;" ~*")&gt;0))</f>
        <v/>
      </c>
      <c r="AC2234" s="38">
        <f>IF($B2234="","",(IFERROR(INDEX(Setup!$G$33:$G$40,MATCH(C2234,Setup!$B$33:$B$40,0)),0)=1)*(COUNTIF(C2208:E2225,$B2234)+COUNTIF(C2208:E2225,$B2234&amp;" ~*")&gt;0)+(IFERROR(INDEX(Setup!$G$33:$G$40,MATCH(G2234,Setup!$B$33:$B$40,0)),0)=1)*(COUNTIF(G2208:I2225,$B2234)+COUNTIF(G2208:I2225,$B2234&amp;" ~*")&gt;0)+(IFERROR(INDEX(Setup!$G$33:$G$40,MATCH(K2234,Setup!$B$33:$B$40,0)),0)=1)*(COUNTIF(K2208:M2225,$B2234)+COUNTIF(K2208:M2225,$B2234&amp;" ~*")&gt;0)+(IFERROR(INDEX(Setup!$G$33:$G$40,MATCH(O2234,Setup!$B$33:$B$40,0)),0)=1)*(COUNTIF(O2208:Q2225,$B2234)+COUNTIF(O2208:Q2225,$B2234&amp;" ~*")&gt;0)+(IFERROR(INDEX(Setup!$G$33:$G$40,MATCH(S2234,Setup!$B$33:$B$40,0)),0)=1)*(COUNTIF(S2208:U2225,$B2234)+COUNTIF(S2208:U2225,$B2234&amp;" ~*")&gt;0)+(IFERROR(INDEX(Setup!$G$33:$G$40,MATCH(W2234,Setup!$B$33:$B$40,0)),0)=1)*(COUNTIF(W2208:W2225,$B2234)+COUNTIF(W2208:W2225,$B2234&amp;" ~*")&gt;0)+(IFERROR(INDEX(Setup!$G$33:$G$40,MATCH(Y2234,Setup!$B$33:$B$40,0)),0)=1)*(COUNTIF(Y2208:Y2225,$B2234)+COUNTIF(Y2208:Y2225,$B2234&amp;" ~*")&gt;0))</f>
        <v/>
      </c>
    </row>
    <row r="2235" ht="15" customHeight="1">
      <c r="A2235" t="n">
        <v>45</v>
      </c>
      <c r="B2235" s="35">
        <f>IF(Setup!$B$14="","",Setup!$B$14)</f>
        <v/>
      </c>
      <c r="C2235" s="98" t="n"/>
      <c r="D2235" s="99" t="n"/>
      <c r="E2235" s="99" t="n"/>
      <c r="F2235" s="100" t="n"/>
      <c r="G2235" s="98" t="n"/>
      <c r="H2235" s="99" t="n"/>
      <c r="I2235" s="99" t="n"/>
      <c r="J2235" s="100" t="n"/>
      <c r="K2235" s="98" t="n"/>
      <c r="L2235" s="99" t="n"/>
      <c r="M2235" s="99" t="n"/>
      <c r="N2235" s="100" t="n"/>
      <c r="O2235" s="98" t="n"/>
      <c r="P2235" s="99" t="n"/>
      <c r="Q2235" s="99" t="n"/>
      <c r="R2235" s="100" t="n"/>
      <c r="S2235" s="98" t="n"/>
      <c r="T2235" s="99" t="n"/>
      <c r="U2235" s="99" t="n"/>
      <c r="V2235" s="100" t="n"/>
      <c r="W2235" s="98" t="n"/>
      <c r="X2235" s="100" t="n"/>
      <c r="Y2235" s="98" t="n"/>
      <c r="Z2235" s="100" t="n"/>
      <c r="AB2235" s="101">
        <f>IF($B2235="","",(COUNTIF(C2208:E2225,$B2235)+COUNTIF(C2208:E2225,$B2235&amp;" ~*")&gt;0)+(COUNTIF(G2208:I2225,$B2235)+COUNTIF(G2208:I2225,$B2235&amp;" ~*")&gt;0)+(COUNTIF(K2208:M2225,$B2235)+COUNTIF(K2208:M2225,$B2235&amp;" ~*")&gt;0)+(COUNTIF(O2208:Q2225,$B2235)+COUNTIF(O2208:Q2225,$B2235&amp;" ~*")&gt;0)+(COUNTIF(S2208:U2225,$B2235)+COUNTIF(S2208:U2225,$B2235&amp;" ~*")&gt;0)+(COUNTIF(W2208:W2225,$B2235)+COUNTIF(W2208:W2225,$B2235&amp;" ~*")&gt;0)+(COUNTIF(Y2208:Y2225,$B2235)+COUNTIF(Y2208:Y2225,$B2235&amp;" ~*")&gt;0))</f>
        <v/>
      </c>
      <c r="AC2235" s="36">
        <f>IF($B2235="","",(IFERROR(INDEX(Setup!$G$33:$G$40,MATCH(C2235,Setup!$B$33:$B$40,0)),0)=1)*(COUNTIF(C2208:E2225,$B2235)+COUNTIF(C2208:E2225,$B2235&amp;" ~*")&gt;0)+(IFERROR(INDEX(Setup!$G$33:$G$40,MATCH(G2235,Setup!$B$33:$B$40,0)),0)=1)*(COUNTIF(G2208:I2225,$B2235)+COUNTIF(G2208:I2225,$B2235&amp;" ~*")&gt;0)+(IFERROR(INDEX(Setup!$G$33:$G$40,MATCH(K2235,Setup!$B$33:$B$40,0)),0)=1)*(COUNTIF(K2208:M2225,$B2235)+COUNTIF(K2208:M2225,$B2235&amp;" ~*")&gt;0)+(IFERROR(INDEX(Setup!$G$33:$G$40,MATCH(O2235,Setup!$B$33:$B$40,0)),0)=1)*(COUNTIF(O2208:Q2225,$B2235)+COUNTIF(O2208:Q2225,$B2235&amp;" ~*")&gt;0)+(IFERROR(INDEX(Setup!$G$33:$G$40,MATCH(S2235,Setup!$B$33:$B$40,0)),0)=1)*(COUNTIF(S2208:U2225,$B2235)+COUNTIF(S2208:U2225,$B2235&amp;" ~*")&gt;0)+(IFERROR(INDEX(Setup!$G$33:$G$40,MATCH(W2235,Setup!$B$33:$B$40,0)),0)=1)*(COUNTIF(W2208:W2225,$B2235)+COUNTIF(W2208:W2225,$B2235&amp;" ~*")&gt;0)+(IFERROR(INDEX(Setup!$G$33:$G$40,MATCH(Y2235,Setup!$B$33:$B$40,0)),0)=1)*(COUNTIF(Y2208:Y2225,$B2235)+COUNTIF(Y2208:Y2225,$B2235&amp;" ~*")&gt;0))</f>
        <v/>
      </c>
    </row>
    <row r="2236" ht="15" customHeight="1">
      <c r="A2236" t="n">
        <v>45</v>
      </c>
      <c r="B2236" s="37">
        <f>IF(Setup!$B$15="","",Setup!$B$15)</f>
        <v/>
      </c>
      <c r="C2236" s="102" t="n"/>
      <c r="D2236" s="103" t="n"/>
      <c r="E2236" s="103" t="n"/>
      <c r="F2236" s="104" t="n"/>
      <c r="G2236" s="102" t="n"/>
      <c r="H2236" s="103" t="n"/>
      <c r="I2236" s="103" t="n"/>
      <c r="J2236" s="104" t="n"/>
      <c r="K2236" s="102" t="n"/>
      <c r="L2236" s="103" t="n"/>
      <c r="M2236" s="103" t="n"/>
      <c r="N2236" s="104" t="n"/>
      <c r="O2236" s="102" t="n"/>
      <c r="P2236" s="103" t="n"/>
      <c r="Q2236" s="103" t="n"/>
      <c r="R2236" s="104" t="n"/>
      <c r="S2236" s="102" t="n"/>
      <c r="T2236" s="103" t="n"/>
      <c r="U2236" s="103" t="n"/>
      <c r="V2236" s="104" t="n"/>
      <c r="W2236" s="102" t="n"/>
      <c r="X2236" s="104" t="n"/>
      <c r="Y2236" s="102" t="n"/>
      <c r="Z2236" s="104" t="n"/>
      <c r="AB2236" s="105">
        <f>IF($B2236="","",(COUNTIF(C2208:E2225,$B2236)+COUNTIF(C2208:E2225,$B2236&amp;" ~*")&gt;0)+(COUNTIF(G2208:I2225,$B2236)+COUNTIF(G2208:I2225,$B2236&amp;" ~*")&gt;0)+(COUNTIF(K2208:M2225,$B2236)+COUNTIF(K2208:M2225,$B2236&amp;" ~*")&gt;0)+(COUNTIF(O2208:Q2225,$B2236)+COUNTIF(O2208:Q2225,$B2236&amp;" ~*")&gt;0)+(COUNTIF(S2208:U2225,$B2236)+COUNTIF(S2208:U2225,$B2236&amp;" ~*")&gt;0)+(COUNTIF(W2208:W2225,$B2236)+COUNTIF(W2208:W2225,$B2236&amp;" ~*")&gt;0)+(COUNTIF(Y2208:Y2225,$B2236)+COUNTIF(Y2208:Y2225,$B2236&amp;" ~*")&gt;0))</f>
        <v/>
      </c>
      <c r="AC2236" s="38">
        <f>IF($B2236="","",(IFERROR(INDEX(Setup!$G$33:$G$40,MATCH(C2236,Setup!$B$33:$B$40,0)),0)=1)*(COUNTIF(C2208:E2225,$B2236)+COUNTIF(C2208:E2225,$B2236&amp;" ~*")&gt;0)+(IFERROR(INDEX(Setup!$G$33:$G$40,MATCH(G2236,Setup!$B$33:$B$40,0)),0)=1)*(COUNTIF(G2208:I2225,$B2236)+COUNTIF(G2208:I2225,$B2236&amp;" ~*")&gt;0)+(IFERROR(INDEX(Setup!$G$33:$G$40,MATCH(K2236,Setup!$B$33:$B$40,0)),0)=1)*(COUNTIF(K2208:M2225,$B2236)+COUNTIF(K2208:M2225,$B2236&amp;" ~*")&gt;0)+(IFERROR(INDEX(Setup!$G$33:$G$40,MATCH(O2236,Setup!$B$33:$B$40,0)),0)=1)*(COUNTIF(O2208:Q2225,$B2236)+COUNTIF(O2208:Q2225,$B2236&amp;" ~*")&gt;0)+(IFERROR(INDEX(Setup!$G$33:$G$40,MATCH(S2236,Setup!$B$33:$B$40,0)),0)=1)*(COUNTIF(S2208:U2225,$B2236)+COUNTIF(S2208:U2225,$B2236&amp;" ~*")&gt;0)+(IFERROR(INDEX(Setup!$G$33:$G$40,MATCH(W2236,Setup!$B$33:$B$40,0)),0)=1)*(COUNTIF(W2208:W2225,$B2236)+COUNTIF(W2208:W2225,$B2236&amp;" ~*")&gt;0)+(IFERROR(INDEX(Setup!$G$33:$G$40,MATCH(Y2236,Setup!$B$33:$B$40,0)),0)=1)*(COUNTIF(Y2208:Y2225,$B2236)+COUNTIF(Y2208:Y2225,$B2236&amp;" ~*")&gt;0))</f>
        <v/>
      </c>
    </row>
    <row r="2237" ht="15" customHeight="1">
      <c r="A2237" t="n">
        <v>45</v>
      </c>
      <c r="B2237" s="35">
        <f>IF(Setup!$B$16="","",Setup!$B$16)</f>
        <v/>
      </c>
      <c r="C2237" s="98" t="n"/>
      <c r="D2237" s="99" t="n"/>
      <c r="E2237" s="99" t="n"/>
      <c r="F2237" s="100" t="n"/>
      <c r="G2237" s="98" t="n"/>
      <c r="H2237" s="99" t="n"/>
      <c r="I2237" s="99" t="n"/>
      <c r="J2237" s="100" t="n"/>
      <c r="K2237" s="98" t="n"/>
      <c r="L2237" s="99" t="n"/>
      <c r="M2237" s="99" t="n"/>
      <c r="N2237" s="100" t="n"/>
      <c r="O2237" s="98" t="n"/>
      <c r="P2237" s="99" t="n"/>
      <c r="Q2237" s="99" t="n"/>
      <c r="R2237" s="100" t="n"/>
      <c r="S2237" s="98" t="n"/>
      <c r="T2237" s="99" t="n"/>
      <c r="U2237" s="99" t="n"/>
      <c r="V2237" s="100" t="n"/>
      <c r="W2237" s="98" t="n"/>
      <c r="X2237" s="100" t="n"/>
      <c r="Y2237" s="98" t="n"/>
      <c r="Z2237" s="100" t="n"/>
      <c r="AB2237" s="101">
        <f>IF($B2237="","",(COUNTIF(C2208:E2225,$B2237)+COUNTIF(C2208:E2225,$B2237&amp;" ~*")&gt;0)+(COUNTIF(G2208:I2225,$B2237)+COUNTIF(G2208:I2225,$B2237&amp;" ~*")&gt;0)+(COUNTIF(K2208:M2225,$B2237)+COUNTIF(K2208:M2225,$B2237&amp;" ~*")&gt;0)+(COUNTIF(O2208:Q2225,$B2237)+COUNTIF(O2208:Q2225,$B2237&amp;" ~*")&gt;0)+(COUNTIF(S2208:U2225,$B2237)+COUNTIF(S2208:U2225,$B2237&amp;" ~*")&gt;0)+(COUNTIF(W2208:W2225,$B2237)+COUNTIF(W2208:W2225,$B2237&amp;" ~*")&gt;0)+(COUNTIF(Y2208:Y2225,$B2237)+COUNTIF(Y2208:Y2225,$B2237&amp;" ~*")&gt;0))</f>
        <v/>
      </c>
      <c r="AC2237" s="36">
        <f>IF($B2237="","",(IFERROR(INDEX(Setup!$G$33:$G$40,MATCH(C2237,Setup!$B$33:$B$40,0)),0)=1)*(COUNTIF(C2208:E2225,$B2237)+COUNTIF(C2208:E2225,$B2237&amp;" ~*")&gt;0)+(IFERROR(INDEX(Setup!$G$33:$G$40,MATCH(G2237,Setup!$B$33:$B$40,0)),0)=1)*(COUNTIF(G2208:I2225,$B2237)+COUNTIF(G2208:I2225,$B2237&amp;" ~*")&gt;0)+(IFERROR(INDEX(Setup!$G$33:$G$40,MATCH(K2237,Setup!$B$33:$B$40,0)),0)=1)*(COUNTIF(K2208:M2225,$B2237)+COUNTIF(K2208:M2225,$B2237&amp;" ~*")&gt;0)+(IFERROR(INDEX(Setup!$G$33:$G$40,MATCH(O2237,Setup!$B$33:$B$40,0)),0)=1)*(COUNTIF(O2208:Q2225,$B2237)+COUNTIF(O2208:Q2225,$B2237&amp;" ~*")&gt;0)+(IFERROR(INDEX(Setup!$G$33:$G$40,MATCH(S2237,Setup!$B$33:$B$40,0)),0)=1)*(COUNTIF(S2208:U2225,$B2237)+COUNTIF(S2208:U2225,$B2237&amp;" ~*")&gt;0)+(IFERROR(INDEX(Setup!$G$33:$G$40,MATCH(W2237,Setup!$B$33:$B$40,0)),0)=1)*(COUNTIF(W2208:W2225,$B2237)+COUNTIF(W2208:W2225,$B2237&amp;" ~*")&gt;0)+(IFERROR(INDEX(Setup!$G$33:$G$40,MATCH(Y2237,Setup!$B$33:$B$40,0)),0)=1)*(COUNTIF(Y2208:Y2225,$B2237)+COUNTIF(Y2208:Y2225,$B2237&amp;" ~*")&gt;0))</f>
        <v/>
      </c>
    </row>
    <row r="2238" ht="15" customHeight="1">
      <c r="A2238" t="n">
        <v>45</v>
      </c>
      <c r="B2238" s="37">
        <f>IF(Setup!$B$17="","",Setup!$B$17)</f>
        <v/>
      </c>
      <c r="C2238" s="102" t="n"/>
      <c r="D2238" s="103" t="n"/>
      <c r="E2238" s="103" t="n"/>
      <c r="F2238" s="104" t="n"/>
      <c r="G2238" s="102" t="n"/>
      <c r="H2238" s="103" t="n"/>
      <c r="I2238" s="103" t="n"/>
      <c r="J2238" s="104" t="n"/>
      <c r="K2238" s="102" t="n"/>
      <c r="L2238" s="103" t="n"/>
      <c r="M2238" s="103" t="n"/>
      <c r="N2238" s="104" t="n"/>
      <c r="O2238" s="102" t="n"/>
      <c r="P2238" s="103" t="n"/>
      <c r="Q2238" s="103" t="n"/>
      <c r="R2238" s="104" t="n"/>
      <c r="S2238" s="102" t="n"/>
      <c r="T2238" s="103" t="n"/>
      <c r="U2238" s="103" t="n"/>
      <c r="V2238" s="104" t="n"/>
      <c r="W2238" s="102" t="n"/>
      <c r="X2238" s="104" t="n"/>
      <c r="Y2238" s="102" t="n"/>
      <c r="Z2238" s="104" t="n"/>
      <c r="AB2238" s="105">
        <f>IF($B2238="","",(COUNTIF(C2208:E2225,$B2238)+COUNTIF(C2208:E2225,$B2238&amp;" ~*")&gt;0)+(COUNTIF(G2208:I2225,$B2238)+COUNTIF(G2208:I2225,$B2238&amp;" ~*")&gt;0)+(COUNTIF(K2208:M2225,$B2238)+COUNTIF(K2208:M2225,$B2238&amp;" ~*")&gt;0)+(COUNTIF(O2208:Q2225,$B2238)+COUNTIF(O2208:Q2225,$B2238&amp;" ~*")&gt;0)+(COUNTIF(S2208:U2225,$B2238)+COUNTIF(S2208:U2225,$B2238&amp;" ~*")&gt;0)+(COUNTIF(W2208:W2225,$B2238)+COUNTIF(W2208:W2225,$B2238&amp;" ~*")&gt;0)+(COUNTIF(Y2208:Y2225,$B2238)+COUNTIF(Y2208:Y2225,$B2238&amp;" ~*")&gt;0))</f>
        <v/>
      </c>
      <c r="AC2238" s="38">
        <f>IF($B2238="","",(IFERROR(INDEX(Setup!$G$33:$G$40,MATCH(C2238,Setup!$B$33:$B$40,0)),0)=1)*(COUNTIF(C2208:E2225,$B2238)+COUNTIF(C2208:E2225,$B2238&amp;" ~*")&gt;0)+(IFERROR(INDEX(Setup!$G$33:$G$40,MATCH(G2238,Setup!$B$33:$B$40,0)),0)=1)*(COUNTIF(G2208:I2225,$B2238)+COUNTIF(G2208:I2225,$B2238&amp;" ~*")&gt;0)+(IFERROR(INDEX(Setup!$G$33:$G$40,MATCH(K2238,Setup!$B$33:$B$40,0)),0)=1)*(COUNTIF(K2208:M2225,$B2238)+COUNTIF(K2208:M2225,$B2238&amp;" ~*")&gt;0)+(IFERROR(INDEX(Setup!$G$33:$G$40,MATCH(O2238,Setup!$B$33:$B$40,0)),0)=1)*(COUNTIF(O2208:Q2225,$B2238)+COUNTIF(O2208:Q2225,$B2238&amp;" ~*")&gt;0)+(IFERROR(INDEX(Setup!$G$33:$G$40,MATCH(S2238,Setup!$B$33:$B$40,0)),0)=1)*(COUNTIF(S2208:U2225,$B2238)+COUNTIF(S2208:U2225,$B2238&amp;" ~*")&gt;0)+(IFERROR(INDEX(Setup!$G$33:$G$40,MATCH(W2238,Setup!$B$33:$B$40,0)),0)=1)*(COUNTIF(W2208:W2225,$B2238)+COUNTIF(W2208:W2225,$B2238&amp;" ~*")&gt;0)+(IFERROR(INDEX(Setup!$G$33:$G$40,MATCH(Y2238,Setup!$B$33:$B$40,0)),0)=1)*(COUNTIF(Y2208:Y2225,$B2238)+COUNTIF(Y2208:Y2225,$B2238&amp;" ~*")&gt;0))</f>
        <v/>
      </c>
    </row>
    <row r="2239" ht="15" customHeight="1">
      <c r="A2239" t="n">
        <v>45</v>
      </c>
      <c r="B2239" s="35">
        <f>IF(Setup!$B$18="","",Setup!$B$18)</f>
        <v/>
      </c>
      <c r="C2239" s="98" t="n"/>
      <c r="D2239" s="99" t="n"/>
      <c r="E2239" s="99" t="n"/>
      <c r="F2239" s="100" t="n"/>
      <c r="G2239" s="98" t="n"/>
      <c r="H2239" s="99" t="n"/>
      <c r="I2239" s="99" t="n"/>
      <c r="J2239" s="100" t="n"/>
      <c r="K2239" s="98" t="n"/>
      <c r="L2239" s="99" t="n"/>
      <c r="M2239" s="99" t="n"/>
      <c r="N2239" s="100" t="n"/>
      <c r="O2239" s="98" t="n"/>
      <c r="P2239" s="99" t="n"/>
      <c r="Q2239" s="99" t="n"/>
      <c r="R2239" s="100" t="n"/>
      <c r="S2239" s="98" t="n"/>
      <c r="T2239" s="99" t="n"/>
      <c r="U2239" s="99" t="n"/>
      <c r="V2239" s="100" t="n"/>
      <c r="W2239" s="98" t="n"/>
      <c r="X2239" s="100" t="n"/>
      <c r="Y2239" s="98" t="n"/>
      <c r="Z2239" s="100" t="n"/>
      <c r="AB2239" s="101">
        <f>IF($B2239="","",(COUNTIF(C2208:E2225,$B2239)+COUNTIF(C2208:E2225,$B2239&amp;" ~*")&gt;0)+(COUNTIF(G2208:I2225,$B2239)+COUNTIF(G2208:I2225,$B2239&amp;" ~*")&gt;0)+(COUNTIF(K2208:M2225,$B2239)+COUNTIF(K2208:M2225,$B2239&amp;" ~*")&gt;0)+(COUNTIF(O2208:Q2225,$B2239)+COUNTIF(O2208:Q2225,$B2239&amp;" ~*")&gt;0)+(COUNTIF(S2208:U2225,$B2239)+COUNTIF(S2208:U2225,$B2239&amp;" ~*")&gt;0)+(COUNTIF(W2208:W2225,$B2239)+COUNTIF(W2208:W2225,$B2239&amp;" ~*")&gt;0)+(COUNTIF(Y2208:Y2225,$B2239)+COUNTIF(Y2208:Y2225,$B2239&amp;" ~*")&gt;0))</f>
        <v/>
      </c>
      <c r="AC2239" s="36">
        <f>IF($B2239="","",(IFERROR(INDEX(Setup!$G$33:$G$40,MATCH(C2239,Setup!$B$33:$B$40,0)),0)=1)*(COUNTIF(C2208:E2225,$B2239)+COUNTIF(C2208:E2225,$B2239&amp;" ~*")&gt;0)+(IFERROR(INDEX(Setup!$G$33:$G$40,MATCH(G2239,Setup!$B$33:$B$40,0)),0)=1)*(COUNTIF(G2208:I2225,$B2239)+COUNTIF(G2208:I2225,$B2239&amp;" ~*")&gt;0)+(IFERROR(INDEX(Setup!$G$33:$G$40,MATCH(K2239,Setup!$B$33:$B$40,0)),0)=1)*(COUNTIF(K2208:M2225,$B2239)+COUNTIF(K2208:M2225,$B2239&amp;" ~*")&gt;0)+(IFERROR(INDEX(Setup!$G$33:$G$40,MATCH(O2239,Setup!$B$33:$B$40,0)),0)=1)*(COUNTIF(O2208:Q2225,$B2239)+COUNTIF(O2208:Q2225,$B2239&amp;" ~*")&gt;0)+(IFERROR(INDEX(Setup!$G$33:$G$40,MATCH(S2239,Setup!$B$33:$B$40,0)),0)=1)*(COUNTIF(S2208:U2225,$B2239)+COUNTIF(S2208:U2225,$B2239&amp;" ~*")&gt;0)+(IFERROR(INDEX(Setup!$G$33:$G$40,MATCH(W2239,Setup!$B$33:$B$40,0)),0)=1)*(COUNTIF(W2208:W2225,$B2239)+COUNTIF(W2208:W2225,$B2239&amp;" ~*")&gt;0)+(IFERROR(INDEX(Setup!$G$33:$G$40,MATCH(Y2239,Setup!$B$33:$B$40,0)),0)=1)*(COUNTIF(Y2208:Y2225,$B2239)+COUNTIF(Y2208:Y2225,$B2239&amp;" ~*")&gt;0))</f>
        <v/>
      </c>
    </row>
    <row r="2240" ht="15" customHeight="1">
      <c r="A2240" t="n">
        <v>45</v>
      </c>
      <c r="B2240" s="37">
        <f>IF(Setup!$B$19="","",Setup!$B$19)</f>
        <v/>
      </c>
      <c r="C2240" s="102" t="n"/>
      <c r="D2240" s="103" t="n"/>
      <c r="E2240" s="103" t="n"/>
      <c r="F2240" s="104" t="n"/>
      <c r="G2240" s="102" t="n"/>
      <c r="H2240" s="103" t="n"/>
      <c r="I2240" s="103" t="n"/>
      <c r="J2240" s="104" t="n"/>
      <c r="K2240" s="102" t="n"/>
      <c r="L2240" s="103" t="n"/>
      <c r="M2240" s="103" t="n"/>
      <c r="N2240" s="104" t="n"/>
      <c r="O2240" s="102" t="n"/>
      <c r="P2240" s="103" t="n"/>
      <c r="Q2240" s="103" t="n"/>
      <c r="R2240" s="104" t="n"/>
      <c r="S2240" s="102" t="n"/>
      <c r="T2240" s="103" t="n"/>
      <c r="U2240" s="103" t="n"/>
      <c r="V2240" s="104" t="n"/>
      <c r="W2240" s="102" t="n"/>
      <c r="X2240" s="104" t="n"/>
      <c r="Y2240" s="102" t="n"/>
      <c r="Z2240" s="104" t="n"/>
      <c r="AB2240" s="105">
        <f>IF($B2240="","",(COUNTIF(C2208:E2225,$B2240)+COUNTIF(C2208:E2225,$B2240&amp;" ~*")&gt;0)+(COUNTIF(G2208:I2225,$B2240)+COUNTIF(G2208:I2225,$B2240&amp;" ~*")&gt;0)+(COUNTIF(K2208:M2225,$B2240)+COUNTIF(K2208:M2225,$B2240&amp;" ~*")&gt;0)+(COUNTIF(O2208:Q2225,$B2240)+COUNTIF(O2208:Q2225,$B2240&amp;" ~*")&gt;0)+(COUNTIF(S2208:U2225,$B2240)+COUNTIF(S2208:U2225,$B2240&amp;" ~*")&gt;0)+(COUNTIF(W2208:W2225,$B2240)+COUNTIF(W2208:W2225,$B2240&amp;" ~*")&gt;0)+(COUNTIF(Y2208:Y2225,$B2240)+COUNTIF(Y2208:Y2225,$B2240&amp;" ~*")&gt;0))</f>
        <v/>
      </c>
      <c r="AC2240" s="38">
        <f>IF($B2240="","",(IFERROR(INDEX(Setup!$G$33:$G$40,MATCH(C2240,Setup!$B$33:$B$40,0)),0)=1)*(COUNTIF(C2208:E2225,$B2240)+COUNTIF(C2208:E2225,$B2240&amp;" ~*")&gt;0)+(IFERROR(INDEX(Setup!$G$33:$G$40,MATCH(G2240,Setup!$B$33:$B$40,0)),0)=1)*(COUNTIF(G2208:I2225,$B2240)+COUNTIF(G2208:I2225,$B2240&amp;" ~*")&gt;0)+(IFERROR(INDEX(Setup!$G$33:$G$40,MATCH(K2240,Setup!$B$33:$B$40,0)),0)=1)*(COUNTIF(K2208:M2225,$B2240)+COUNTIF(K2208:M2225,$B2240&amp;" ~*")&gt;0)+(IFERROR(INDEX(Setup!$G$33:$G$40,MATCH(O2240,Setup!$B$33:$B$40,0)),0)=1)*(COUNTIF(O2208:Q2225,$B2240)+COUNTIF(O2208:Q2225,$B2240&amp;" ~*")&gt;0)+(IFERROR(INDEX(Setup!$G$33:$G$40,MATCH(S2240,Setup!$B$33:$B$40,0)),0)=1)*(COUNTIF(S2208:U2225,$B2240)+COUNTIF(S2208:U2225,$B2240&amp;" ~*")&gt;0)+(IFERROR(INDEX(Setup!$G$33:$G$40,MATCH(W2240,Setup!$B$33:$B$40,0)),0)=1)*(COUNTIF(W2208:W2225,$B2240)+COUNTIF(W2208:W2225,$B2240&amp;" ~*")&gt;0)+(IFERROR(INDEX(Setup!$G$33:$G$40,MATCH(Y2240,Setup!$B$33:$B$40,0)),0)=1)*(COUNTIF(Y2208:Y2225,$B2240)+COUNTIF(Y2208:Y2225,$B2240&amp;" ~*")&gt;0))</f>
        <v/>
      </c>
    </row>
    <row r="2241" ht="15" customHeight="1">
      <c r="A2241" t="n">
        <v>45</v>
      </c>
      <c r="B2241" s="35">
        <f>IF(Setup!$B$20="","",Setup!$B$20)</f>
        <v/>
      </c>
      <c r="C2241" s="98" t="n"/>
      <c r="D2241" s="99" t="n"/>
      <c r="E2241" s="99" t="n"/>
      <c r="F2241" s="100" t="n"/>
      <c r="G2241" s="98" t="n"/>
      <c r="H2241" s="99" t="n"/>
      <c r="I2241" s="99" t="n"/>
      <c r="J2241" s="100" t="n"/>
      <c r="K2241" s="98" t="n"/>
      <c r="L2241" s="99" t="n"/>
      <c r="M2241" s="99" t="n"/>
      <c r="N2241" s="100" t="n"/>
      <c r="O2241" s="98" t="n"/>
      <c r="P2241" s="99" t="n"/>
      <c r="Q2241" s="99" t="n"/>
      <c r="R2241" s="100" t="n"/>
      <c r="S2241" s="98" t="n"/>
      <c r="T2241" s="99" t="n"/>
      <c r="U2241" s="99" t="n"/>
      <c r="V2241" s="100" t="n"/>
      <c r="W2241" s="98" t="n"/>
      <c r="X2241" s="100" t="n"/>
      <c r="Y2241" s="98" t="n"/>
      <c r="Z2241" s="100" t="n"/>
      <c r="AB2241" s="101">
        <f>IF($B2241="","",(COUNTIF(C2208:E2225,$B2241)+COUNTIF(C2208:E2225,$B2241&amp;" ~*")&gt;0)+(COUNTIF(G2208:I2225,$B2241)+COUNTIF(G2208:I2225,$B2241&amp;" ~*")&gt;0)+(COUNTIF(K2208:M2225,$B2241)+COUNTIF(K2208:M2225,$B2241&amp;" ~*")&gt;0)+(COUNTIF(O2208:Q2225,$B2241)+COUNTIF(O2208:Q2225,$B2241&amp;" ~*")&gt;0)+(COUNTIF(S2208:U2225,$B2241)+COUNTIF(S2208:U2225,$B2241&amp;" ~*")&gt;0)+(COUNTIF(W2208:W2225,$B2241)+COUNTIF(W2208:W2225,$B2241&amp;" ~*")&gt;0)+(COUNTIF(Y2208:Y2225,$B2241)+COUNTIF(Y2208:Y2225,$B2241&amp;" ~*")&gt;0))</f>
        <v/>
      </c>
      <c r="AC2241" s="36">
        <f>IF($B2241="","",(IFERROR(INDEX(Setup!$G$33:$G$40,MATCH(C2241,Setup!$B$33:$B$40,0)),0)=1)*(COUNTIF(C2208:E2225,$B2241)+COUNTIF(C2208:E2225,$B2241&amp;" ~*")&gt;0)+(IFERROR(INDEX(Setup!$G$33:$G$40,MATCH(G2241,Setup!$B$33:$B$40,0)),0)=1)*(COUNTIF(G2208:I2225,$B2241)+COUNTIF(G2208:I2225,$B2241&amp;" ~*")&gt;0)+(IFERROR(INDEX(Setup!$G$33:$G$40,MATCH(K2241,Setup!$B$33:$B$40,0)),0)=1)*(COUNTIF(K2208:M2225,$B2241)+COUNTIF(K2208:M2225,$B2241&amp;" ~*")&gt;0)+(IFERROR(INDEX(Setup!$G$33:$G$40,MATCH(O2241,Setup!$B$33:$B$40,0)),0)=1)*(COUNTIF(O2208:Q2225,$B2241)+COUNTIF(O2208:Q2225,$B2241&amp;" ~*")&gt;0)+(IFERROR(INDEX(Setup!$G$33:$G$40,MATCH(S2241,Setup!$B$33:$B$40,0)),0)=1)*(COUNTIF(S2208:U2225,$B2241)+COUNTIF(S2208:U2225,$B2241&amp;" ~*")&gt;0)+(IFERROR(INDEX(Setup!$G$33:$G$40,MATCH(W2241,Setup!$B$33:$B$40,0)),0)=1)*(COUNTIF(W2208:W2225,$B2241)+COUNTIF(W2208:W2225,$B2241&amp;" ~*")&gt;0)+(IFERROR(INDEX(Setup!$G$33:$G$40,MATCH(Y2241,Setup!$B$33:$B$40,0)),0)=1)*(COUNTIF(Y2208:Y2225,$B2241)+COUNTIF(Y2208:Y2225,$B2241&amp;" ~*")&gt;0))</f>
        <v/>
      </c>
    </row>
    <row r="2242" ht="15" customHeight="1">
      <c r="A2242" t="n">
        <v>45</v>
      </c>
      <c r="B2242" s="37">
        <f>IF(Setup!$B$21="","",Setup!$B$21)</f>
        <v/>
      </c>
      <c r="C2242" s="102" t="n"/>
      <c r="D2242" s="103" t="n"/>
      <c r="E2242" s="103" t="n"/>
      <c r="F2242" s="104" t="n"/>
      <c r="G2242" s="102" t="n"/>
      <c r="H2242" s="103" t="n"/>
      <c r="I2242" s="103" t="n"/>
      <c r="J2242" s="104" t="n"/>
      <c r="K2242" s="102" t="n"/>
      <c r="L2242" s="103" t="n"/>
      <c r="M2242" s="103" t="n"/>
      <c r="N2242" s="104" t="n"/>
      <c r="O2242" s="102" t="n"/>
      <c r="P2242" s="103" t="n"/>
      <c r="Q2242" s="103" t="n"/>
      <c r="R2242" s="104" t="n"/>
      <c r="S2242" s="102" t="n"/>
      <c r="T2242" s="103" t="n"/>
      <c r="U2242" s="103" t="n"/>
      <c r="V2242" s="104" t="n"/>
      <c r="W2242" s="102" t="n"/>
      <c r="X2242" s="104" t="n"/>
      <c r="Y2242" s="102" t="n"/>
      <c r="Z2242" s="104" t="n"/>
      <c r="AB2242" s="105">
        <f>IF($B2242="","",(COUNTIF(C2208:E2225,$B2242)+COUNTIF(C2208:E2225,$B2242&amp;" ~*")&gt;0)+(COUNTIF(G2208:I2225,$B2242)+COUNTIF(G2208:I2225,$B2242&amp;" ~*")&gt;0)+(COUNTIF(K2208:M2225,$B2242)+COUNTIF(K2208:M2225,$B2242&amp;" ~*")&gt;0)+(COUNTIF(O2208:Q2225,$B2242)+COUNTIF(O2208:Q2225,$B2242&amp;" ~*")&gt;0)+(COUNTIF(S2208:U2225,$B2242)+COUNTIF(S2208:U2225,$B2242&amp;" ~*")&gt;0)+(COUNTIF(W2208:W2225,$B2242)+COUNTIF(W2208:W2225,$B2242&amp;" ~*")&gt;0)+(COUNTIF(Y2208:Y2225,$B2242)+COUNTIF(Y2208:Y2225,$B2242&amp;" ~*")&gt;0))</f>
        <v/>
      </c>
      <c r="AC2242" s="38">
        <f>IF($B2242="","",(IFERROR(INDEX(Setup!$G$33:$G$40,MATCH(C2242,Setup!$B$33:$B$40,0)),0)=1)*(COUNTIF(C2208:E2225,$B2242)+COUNTIF(C2208:E2225,$B2242&amp;" ~*")&gt;0)+(IFERROR(INDEX(Setup!$G$33:$G$40,MATCH(G2242,Setup!$B$33:$B$40,0)),0)=1)*(COUNTIF(G2208:I2225,$B2242)+COUNTIF(G2208:I2225,$B2242&amp;" ~*")&gt;0)+(IFERROR(INDEX(Setup!$G$33:$G$40,MATCH(K2242,Setup!$B$33:$B$40,0)),0)=1)*(COUNTIF(K2208:M2225,$B2242)+COUNTIF(K2208:M2225,$B2242&amp;" ~*")&gt;0)+(IFERROR(INDEX(Setup!$G$33:$G$40,MATCH(O2242,Setup!$B$33:$B$40,0)),0)=1)*(COUNTIF(O2208:Q2225,$B2242)+COUNTIF(O2208:Q2225,$B2242&amp;" ~*")&gt;0)+(IFERROR(INDEX(Setup!$G$33:$G$40,MATCH(S2242,Setup!$B$33:$B$40,0)),0)=1)*(COUNTIF(S2208:U2225,$B2242)+COUNTIF(S2208:U2225,$B2242&amp;" ~*")&gt;0)+(IFERROR(INDEX(Setup!$G$33:$G$40,MATCH(W2242,Setup!$B$33:$B$40,0)),0)=1)*(COUNTIF(W2208:W2225,$B2242)+COUNTIF(W2208:W2225,$B2242&amp;" ~*")&gt;0)+(IFERROR(INDEX(Setup!$G$33:$G$40,MATCH(Y2242,Setup!$B$33:$B$40,0)),0)=1)*(COUNTIF(Y2208:Y2225,$B2242)+COUNTIF(Y2208:Y2225,$B2242&amp;" ~*")&gt;0))</f>
        <v/>
      </c>
    </row>
    <row r="2243" ht="15" customHeight="1">
      <c r="A2243" t="n">
        <v>45</v>
      </c>
      <c r="B2243" s="35">
        <f>IF(Setup!$B$22="","",Setup!$B$22)</f>
        <v/>
      </c>
      <c r="C2243" s="98" t="n"/>
      <c r="D2243" s="99" t="n"/>
      <c r="E2243" s="99" t="n"/>
      <c r="F2243" s="100" t="n"/>
      <c r="G2243" s="98" t="n"/>
      <c r="H2243" s="99" t="n"/>
      <c r="I2243" s="99" t="n"/>
      <c r="J2243" s="100" t="n"/>
      <c r="K2243" s="98" t="n"/>
      <c r="L2243" s="99" t="n"/>
      <c r="M2243" s="99" t="n"/>
      <c r="N2243" s="100" t="n"/>
      <c r="O2243" s="98" t="n"/>
      <c r="P2243" s="99" t="n"/>
      <c r="Q2243" s="99" t="n"/>
      <c r="R2243" s="100" t="n"/>
      <c r="S2243" s="98" t="n"/>
      <c r="T2243" s="99" t="n"/>
      <c r="U2243" s="99" t="n"/>
      <c r="V2243" s="100" t="n"/>
      <c r="W2243" s="98" t="n"/>
      <c r="X2243" s="100" t="n"/>
      <c r="Y2243" s="98" t="n"/>
      <c r="Z2243" s="100" t="n"/>
      <c r="AB2243" s="101">
        <f>IF($B2243="","",(COUNTIF(C2208:E2225,$B2243)+COUNTIF(C2208:E2225,$B2243&amp;" ~*")&gt;0)+(COUNTIF(G2208:I2225,$B2243)+COUNTIF(G2208:I2225,$B2243&amp;" ~*")&gt;0)+(COUNTIF(K2208:M2225,$B2243)+COUNTIF(K2208:M2225,$B2243&amp;" ~*")&gt;0)+(COUNTIF(O2208:Q2225,$B2243)+COUNTIF(O2208:Q2225,$B2243&amp;" ~*")&gt;0)+(COUNTIF(S2208:U2225,$B2243)+COUNTIF(S2208:U2225,$B2243&amp;" ~*")&gt;0)+(COUNTIF(W2208:W2225,$B2243)+COUNTIF(W2208:W2225,$B2243&amp;" ~*")&gt;0)+(COUNTIF(Y2208:Y2225,$B2243)+COUNTIF(Y2208:Y2225,$B2243&amp;" ~*")&gt;0))</f>
        <v/>
      </c>
      <c r="AC2243" s="36">
        <f>IF($B2243="","",(IFERROR(INDEX(Setup!$G$33:$G$40,MATCH(C2243,Setup!$B$33:$B$40,0)),0)=1)*(COUNTIF(C2208:E2225,$B2243)+COUNTIF(C2208:E2225,$B2243&amp;" ~*")&gt;0)+(IFERROR(INDEX(Setup!$G$33:$G$40,MATCH(G2243,Setup!$B$33:$B$40,0)),0)=1)*(COUNTIF(G2208:I2225,$B2243)+COUNTIF(G2208:I2225,$B2243&amp;" ~*")&gt;0)+(IFERROR(INDEX(Setup!$G$33:$G$40,MATCH(K2243,Setup!$B$33:$B$40,0)),0)=1)*(COUNTIF(K2208:M2225,$B2243)+COUNTIF(K2208:M2225,$B2243&amp;" ~*")&gt;0)+(IFERROR(INDEX(Setup!$G$33:$G$40,MATCH(O2243,Setup!$B$33:$B$40,0)),0)=1)*(COUNTIF(O2208:Q2225,$B2243)+COUNTIF(O2208:Q2225,$B2243&amp;" ~*")&gt;0)+(IFERROR(INDEX(Setup!$G$33:$G$40,MATCH(S2243,Setup!$B$33:$B$40,0)),0)=1)*(COUNTIF(S2208:U2225,$B2243)+COUNTIF(S2208:U2225,$B2243&amp;" ~*")&gt;0)+(IFERROR(INDEX(Setup!$G$33:$G$40,MATCH(W2243,Setup!$B$33:$B$40,0)),0)=1)*(COUNTIF(W2208:W2225,$B2243)+COUNTIF(W2208:W2225,$B2243&amp;" ~*")&gt;0)+(IFERROR(INDEX(Setup!$G$33:$G$40,MATCH(Y2243,Setup!$B$33:$B$40,0)),0)=1)*(COUNTIF(Y2208:Y2225,$B2243)+COUNTIF(Y2208:Y2225,$B2243&amp;" ~*")&gt;0))</f>
        <v/>
      </c>
    </row>
    <row r="2244" ht="15" customHeight="1">
      <c r="A2244" t="n">
        <v>45</v>
      </c>
      <c r="B2244" s="37">
        <f>IF(Setup!$B$23="","",Setup!$B$23)</f>
        <v/>
      </c>
      <c r="C2244" s="102" t="n"/>
      <c r="D2244" s="103" t="n"/>
      <c r="E2244" s="103" t="n"/>
      <c r="F2244" s="104" t="n"/>
      <c r="G2244" s="102" t="n"/>
      <c r="H2244" s="103" t="n"/>
      <c r="I2244" s="103" t="n"/>
      <c r="J2244" s="104" t="n"/>
      <c r="K2244" s="102" t="n"/>
      <c r="L2244" s="103" t="n"/>
      <c r="M2244" s="103" t="n"/>
      <c r="N2244" s="104" t="n"/>
      <c r="O2244" s="102" t="n"/>
      <c r="P2244" s="103" t="n"/>
      <c r="Q2244" s="103" t="n"/>
      <c r="R2244" s="104" t="n"/>
      <c r="S2244" s="102" t="n"/>
      <c r="T2244" s="103" t="n"/>
      <c r="U2244" s="103" t="n"/>
      <c r="V2244" s="104" t="n"/>
      <c r="W2244" s="102" t="n"/>
      <c r="X2244" s="104" t="n"/>
      <c r="Y2244" s="102" t="n"/>
      <c r="Z2244" s="104" t="n"/>
      <c r="AB2244" s="105">
        <f>IF($B2244="","",(COUNTIF(C2208:E2225,$B2244)+COUNTIF(C2208:E2225,$B2244&amp;" ~*")&gt;0)+(COUNTIF(G2208:I2225,$B2244)+COUNTIF(G2208:I2225,$B2244&amp;" ~*")&gt;0)+(COUNTIF(K2208:M2225,$B2244)+COUNTIF(K2208:M2225,$B2244&amp;" ~*")&gt;0)+(COUNTIF(O2208:Q2225,$B2244)+COUNTIF(O2208:Q2225,$B2244&amp;" ~*")&gt;0)+(COUNTIF(S2208:U2225,$B2244)+COUNTIF(S2208:U2225,$B2244&amp;" ~*")&gt;0)+(COUNTIF(W2208:W2225,$B2244)+COUNTIF(W2208:W2225,$B2244&amp;" ~*")&gt;0)+(COUNTIF(Y2208:Y2225,$B2244)+COUNTIF(Y2208:Y2225,$B2244&amp;" ~*")&gt;0))</f>
        <v/>
      </c>
      <c r="AC2244" s="38">
        <f>IF($B2244="","",(IFERROR(INDEX(Setup!$G$33:$G$40,MATCH(C2244,Setup!$B$33:$B$40,0)),0)=1)*(COUNTIF(C2208:E2225,$B2244)+COUNTIF(C2208:E2225,$B2244&amp;" ~*")&gt;0)+(IFERROR(INDEX(Setup!$G$33:$G$40,MATCH(G2244,Setup!$B$33:$B$40,0)),0)=1)*(COUNTIF(G2208:I2225,$B2244)+COUNTIF(G2208:I2225,$B2244&amp;" ~*")&gt;0)+(IFERROR(INDEX(Setup!$G$33:$G$40,MATCH(K2244,Setup!$B$33:$B$40,0)),0)=1)*(COUNTIF(K2208:M2225,$B2244)+COUNTIF(K2208:M2225,$B2244&amp;" ~*")&gt;0)+(IFERROR(INDEX(Setup!$G$33:$G$40,MATCH(O2244,Setup!$B$33:$B$40,0)),0)=1)*(COUNTIF(O2208:Q2225,$B2244)+COUNTIF(O2208:Q2225,$B2244&amp;" ~*")&gt;0)+(IFERROR(INDEX(Setup!$G$33:$G$40,MATCH(S2244,Setup!$B$33:$B$40,0)),0)=1)*(COUNTIF(S2208:U2225,$B2244)+COUNTIF(S2208:U2225,$B2244&amp;" ~*")&gt;0)+(IFERROR(INDEX(Setup!$G$33:$G$40,MATCH(W2244,Setup!$B$33:$B$40,0)),0)=1)*(COUNTIF(W2208:W2225,$B2244)+COUNTIF(W2208:W2225,$B2244&amp;" ~*")&gt;0)+(IFERROR(INDEX(Setup!$G$33:$G$40,MATCH(Y2244,Setup!$B$33:$B$40,0)),0)=1)*(COUNTIF(Y2208:Y2225,$B2244)+COUNTIF(Y2208:Y2225,$B2244&amp;" ~*")&gt;0))</f>
        <v/>
      </c>
    </row>
    <row r="2245" ht="15" customHeight="1">
      <c r="A2245" t="n">
        <v>45</v>
      </c>
      <c r="B2245" s="35">
        <f>IF(Setup!$B$24="","",Setup!$B$24)</f>
        <v/>
      </c>
      <c r="C2245" s="98" t="n"/>
      <c r="D2245" s="99" t="n"/>
      <c r="E2245" s="99" t="n"/>
      <c r="F2245" s="100" t="n"/>
      <c r="G2245" s="98" t="n"/>
      <c r="H2245" s="99" t="n"/>
      <c r="I2245" s="99" t="n"/>
      <c r="J2245" s="100" t="n"/>
      <c r="K2245" s="98" t="n"/>
      <c r="L2245" s="99" t="n"/>
      <c r="M2245" s="99" t="n"/>
      <c r="N2245" s="100" t="n"/>
      <c r="O2245" s="98" t="n"/>
      <c r="P2245" s="99" t="n"/>
      <c r="Q2245" s="99" t="n"/>
      <c r="R2245" s="100" t="n"/>
      <c r="S2245" s="98" t="n"/>
      <c r="T2245" s="99" t="n"/>
      <c r="U2245" s="99" t="n"/>
      <c r="V2245" s="100" t="n"/>
      <c r="W2245" s="98" t="n"/>
      <c r="X2245" s="100" t="n"/>
      <c r="Y2245" s="98" t="n"/>
      <c r="Z2245" s="100" t="n"/>
      <c r="AB2245" s="101">
        <f>IF($B2245="","",(COUNTIF(C2208:E2225,$B2245)+COUNTIF(C2208:E2225,$B2245&amp;" ~*")&gt;0)+(COUNTIF(G2208:I2225,$B2245)+COUNTIF(G2208:I2225,$B2245&amp;" ~*")&gt;0)+(COUNTIF(K2208:M2225,$B2245)+COUNTIF(K2208:M2225,$B2245&amp;" ~*")&gt;0)+(COUNTIF(O2208:Q2225,$B2245)+COUNTIF(O2208:Q2225,$B2245&amp;" ~*")&gt;0)+(COUNTIF(S2208:U2225,$B2245)+COUNTIF(S2208:U2225,$B2245&amp;" ~*")&gt;0)+(COUNTIF(W2208:W2225,$B2245)+COUNTIF(W2208:W2225,$B2245&amp;" ~*")&gt;0)+(COUNTIF(Y2208:Y2225,$B2245)+COUNTIF(Y2208:Y2225,$B2245&amp;" ~*")&gt;0))</f>
        <v/>
      </c>
      <c r="AC2245" s="36">
        <f>IF($B2245="","",(IFERROR(INDEX(Setup!$G$33:$G$40,MATCH(C2245,Setup!$B$33:$B$40,0)),0)=1)*(COUNTIF(C2208:E2225,$B2245)+COUNTIF(C2208:E2225,$B2245&amp;" ~*")&gt;0)+(IFERROR(INDEX(Setup!$G$33:$G$40,MATCH(G2245,Setup!$B$33:$B$40,0)),0)=1)*(COUNTIF(G2208:I2225,$B2245)+COUNTIF(G2208:I2225,$B2245&amp;" ~*")&gt;0)+(IFERROR(INDEX(Setup!$G$33:$G$40,MATCH(K2245,Setup!$B$33:$B$40,0)),0)=1)*(COUNTIF(K2208:M2225,$B2245)+COUNTIF(K2208:M2225,$B2245&amp;" ~*")&gt;0)+(IFERROR(INDEX(Setup!$G$33:$G$40,MATCH(O2245,Setup!$B$33:$B$40,0)),0)=1)*(COUNTIF(O2208:Q2225,$B2245)+COUNTIF(O2208:Q2225,$B2245&amp;" ~*")&gt;0)+(IFERROR(INDEX(Setup!$G$33:$G$40,MATCH(S2245,Setup!$B$33:$B$40,0)),0)=1)*(COUNTIF(S2208:U2225,$B2245)+COUNTIF(S2208:U2225,$B2245&amp;" ~*")&gt;0)+(IFERROR(INDEX(Setup!$G$33:$G$40,MATCH(W2245,Setup!$B$33:$B$40,0)),0)=1)*(COUNTIF(W2208:W2225,$B2245)+COUNTIF(W2208:W2225,$B2245&amp;" ~*")&gt;0)+(IFERROR(INDEX(Setup!$G$33:$G$40,MATCH(Y2245,Setup!$B$33:$B$40,0)),0)=1)*(COUNTIF(Y2208:Y2225,$B2245)+COUNTIF(Y2208:Y2225,$B2245&amp;" ~*")&gt;0))</f>
        <v/>
      </c>
    </row>
    <row r="2246" ht="15" customHeight="1">
      <c r="A2246" t="n">
        <v>45</v>
      </c>
      <c r="B2246" s="37">
        <f>IF(Setup!$B$25="","",Setup!$B$25)</f>
        <v/>
      </c>
      <c r="C2246" s="102" t="n"/>
      <c r="D2246" s="103" t="n"/>
      <c r="E2246" s="103" t="n"/>
      <c r="F2246" s="104" t="n"/>
      <c r="G2246" s="102" t="n"/>
      <c r="H2246" s="103" t="n"/>
      <c r="I2246" s="103" t="n"/>
      <c r="J2246" s="104" t="n"/>
      <c r="K2246" s="102" t="n"/>
      <c r="L2246" s="103" t="n"/>
      <c r="M2246" s="103" t="n"/>
      <c r="N2246" s="104" t="n"/>
      <c r="O2246" s="102" t="n"/>
      <c r="P2246" s="103" t="n"/>
      <c r="Q2246" s="103" t="n"/>
      <c r="R2246" s="104" t="n"/>
      <c r="S2246" s="102" t="n"/>
      <c r="T2246" s="103" t="n"/>
      <c r="U2246" s="103" t="n"/>
      <c r="V2246" s="104" t="n"/>
      <c r="W2246" s="102" t="n"/>
      <c r="X2246" s="104" t="n"/>
      <c r="Y2246" s="102" t="n"/>
      <c r="Z2246" s="104" t="n"/>
      <c r="AB2246" s="105">
        <f>IF($B2246="","",(COUNTIF(C2208:E2225,$B2246)+COUNTIF(C2208:E2225,$B2246&amp;" ~*")&gt;0)+(COUNTIF(G2208:I2225,$B2246)+COUNTIF(G2208:I2225,$B2246&amp;" ~*")&gt;0)+(COUNTIF(K2208:M2225,$B2246)+COUNTIF(K2208:M2225,$B2246&amp;" ~*")&gt;0)+(COUNTIF(O2208:Q2225,$B2246)+COUNTIF(O2208:Q2225,$B2246&amp;" ~*")&gt;0)+(COUNTIF(S2208:U2225,$B2246)+COUNTIF(S2208:U2225,$B2246&amp;" ~*")&gt;0)+(COUNTIF(W2208:W2225,$B2246)+COUNTIF(W2208:W2225,$B2246&amp;" ~*")&gt;0)+(COUNTIF(Y2208:Y2225,$B2246)+COUNTIF(Y2208:Y2225,$B2246&amp;" ~*")&gt;0))</f>
        <v/>
      </c>
      <c r="AC2246" s="38">
        <f>IF($B2246="","",(IFERROR(INDEX(Setup!$G$33:$G$40,MATCH(C2246,Setup!$B$33:$B$40,0)),0)=1)*(COUNTIF(C2208:E2225,$B2246)+COUNTIF(C2208:E2225,$B2246&amp;" ~*")&gt;0)+(IFERROR(INDEX(Setup!$G$33:$G$40,MATCH(G2246,Setup!$B$33:$B$40,0)),0)=1)*(COUNTIF(G2208:I2225,$B2246)+COUNTIF(G2208:I2225,$B2246&amp;" ~*")&gt;0)+(IFERROR(INDEX(Setup!$G$33:$G$40,MATCH(K2246,Setup!$B$33:$B$40,0)),0)=1)*(COUNTIF(K2208:M2225,$B2246)+COUNTIF(K2208:M2225,$B2246&amp;" ~*")&gt;0)+(IFERROR(INDEX(Setup!$G$33:$G$40,MATCH(O2246,Setup!$B$33:$B$40,0)),0)=1)*(COUNTIF(O2208:Q2225,$B2246)+COUNTIF(O2208:Q2225,$B2246&amp;" ~*")&gt;0)+(IFERROR(INDEX(Setup!$G$33:$G$40,MATCH(S2246,Setup!$B$33:$B$40,0)),0)=1)*(COUNTIF(S2208:U2225,$B2246)+COUNTIF(S2208:U2225,$B2246&amp;" ~*")&gt;0)+(IFERROR(INDEX(Setup!$G$33:$G$40,MATCH(W2246,Setup!$B$33:$B$40,0)),0)=1)*(COUNTIF(W2208:W2225,$B2246)+COUNTIF(W2208:W2225,$B2246&amp;" ~*")&gt;0)+(IFERROR(INDEX(Setup!$G$33:$G$40,MATCH(Y2246,Setup!$B$33:$B$40,0)),0)=1)*(COUNTIF(Y2208:Y2225,$B2246)+COUNTIF(Y2208:Y2225,$B2246&amp;" ~*")&gt;0))</f>
        <v/>
      </c>
    </row>
    <row r="2247" ht="15" customHeight="1">
      <c r="A2247" t="n">
        <v>45</v>
      </c>
      <c r="B2247" s="35">
        <f>IF(Setup!$B$26="","",Setup!$B$26)</f>
        <v/>
      </c>
      <c r="C2247" s="98" t="n"/>
      <c r="D2247" s="99" t="n"/>
      <c r="E2247" s="99" t="n"/>
      <c r="F2247" s="100" t="n"/>
      <c r="G2247" s="98" t="n"/>
      <c r="H2247" s="99" t="n"/>
      <c r="I2247" s="99" t="n"/>
      <c r="J2247" s="100" t="n"/>
      <c r="K2247" s="98" t="n"/>
      <c r="L2247" s="99" t="n"/>
      <c r="M2247" s="99" t="n"/>
      <c r="N2247" s="100" t="n"/>
      <c r="O2247" s="98" t="n"/>
      <c r="P2247" s="99" t="n"/>
      <c r="Q2247" s="99" t="n"/>
      <c r="R2247" s="100" t="n"/>
      <c r="S2247" s="98" t="n"/>
      <c r="T2247" s="99" t="n"/>
      <c r="U2247" s="99" t="n"/>
      <c r="V2247" s="100" t="n"/>
      <c r="W2247" s="98" t="n"/>
      <c r="X2247" s="100" t="n"/>
      <c r="Y2247" s="98" t="n"/>
      <c r="Z2247" s="100" t="n"/>
      <c r="AB2247" s="101">
        <f>IF($B2247="","",(COUNTIF(C2208:E2225,$B2247)+COUNTIF(C2208:E2225,$B2247&amp;" ~*")&gt;0)+(COUNTIF(G2208:I2225,$B2247)+COUNTIF(G2208:I2225,$B2247&amp;" ~*")&gt;0)+(COUNTIF(K2208:M2225,$B2247)+COUNTIF(K2208:M2225,$B2247&amp;" ~*")&gt;0)+(COUNTIF(O2208:Q2225,$B2247)+COUNTIF(O2208:Q2225,$B2247&amp;" ~*")&gt;0)+(COUNTIF(S2208:U2225,$B2247)+COUNTIF(S2208:U2225,$B2247&amp;" ~*")&gt;0)+(COUNTIF(W2208:W2225,$B2247)+COUNTIF(W2208:W2225,$B2247&amp;" ~*")&gt;0)+(COUNTIF(Y2208:Y2225,$B2247)+COUNTIF(Y2208:Y2225,$B2247&amp;" ~*")&gt;0))</f>
        <v/>
      </c>
      <c r="AC2247" s="36">
        <f>IF($B2247="","",(IFERROR(INDEX(Setup!$G$33:$G$40,MATCH(C2247,Setup!$B$33:$B$40,0)),0)=1)*(COUNTIF(C2208:E2225,$B2247)+COUNTIF(C2208:E2225,$B2247&amp;" ~*")&gt;0)+(IFERROR(INDEX(Setup!$G$33:$G$40,MATCH(G2247,Setup!$B$33:$B$40,0)),0)=1)*(COUNTIF(G2208:I2225,$B2247)+COUNTIF(G2208:I2225,$B2247&amp;" ~*")&gt;0)+(IFERROR(INDEX(Setup!$G$33:$G$40,MATCH(K2247,Setup!$B$33:$B$40,0)),0)=1)*(COUNTIF(K2208:M2225,$B2247)+COUNTIF(K2208:M2225,$B2247&amp;" ~*")&gt;0)+(IFERROR(INDEX(Setup!$G$33:$G$40,MATCH(O2247,Setup!$B$33:$B$40,0)),0)=1)*(COUNTIF(O2208:Q2225,$B2247)+COUNTIF(O2208:Q2225,$B2247&amp;" ~*")&gt;0)+(IFERROR(INDEX(Setup!$G$33:$G$40,MATCH(S2247,Setup!$B$33:$B$40,0)),0)=1)*(COUNTIF(S2208:U2225,$B2247)+COUNTIF(S2208:U2225,$B2247&amp;" ~*")&gt;0)+(IFERROR(INDEX(Setup!$G$33:$G$40,MATCH(W2247,Setup!$B$33:$B$40,0)),0)=1)*(COUNTIF(W2208:W2225,$B2247)+COUNTIF(W2208:W2225,$B2247&amp;" ~*")&gt;0)+(IFERROR(INDEX(Setup!$G$33:$G$40,MATCH(Y2247,Setup!$B$33:$B$40,0)),0)=1)*(COUNTIF(Y2208:Y2225,$B2247)+COUNTIF(Y2208:Y2225,$B2247&amp;" ~*")&gt;0))</f>
        <v/>
      </c>
    </row>
    <row r="2248" ht="15" customHeight="1">
      <c r="A2248" t="n">
        <v>45</v>
      </c>
      <c r="B2248" s="37">
        <f>IF(Setup!$B$27="","",Setup!$B$27)</f>
        <v/>
      </c>
      <c r="C2248" s="102" t="n"/>
      <c r="D2248" s="103" t="n"/>
      <c r="E2248" s="103" t="n"/>
      <c r="F2248" s="104" t="n"/>
      <c r="G2248" s="102" t="n"/>
      <c r="H2248" s="103" t="n"/>
      <c r="I2248" s="103" t="n"/>
      <c r="J2248" s="104" t="n"/>
      <c r="K2248" s="102" t="n"/>
      <c r="L2248" s="103" t="n"/>
      <c r="M2248" s="103" t="n"/>
      <c r="N2248" s="104" t="n"/>
      <c r="O2248" s="102" t="n"/>
      <c r="P2248" s="103" t="n"/>
      <c r="Q2248" s="103" t="n"/>
      <c r="R2248" s="104" t="n"/>
      <c r="S2248" s="102" t="n"/>
      <c r="T2248" s="103" t="n"/>
      <c r="U2248" s="103" t="n"/>
      <c r="V2248" s="104" t="n"/>
      <c r="W2248" s="102" t="n"/>
      <c r="X2248" s="104" t="n"/>
      <c r="Y2248" s="102" t="n"/>
      <c r="Z2248" s="104" t="n"/>
      <c r="AB2248" s="105">
        <f>IF($B2248="","",(COUNTIF(C2208:E2225,$B2248)+COUNTIF(C2208:E2225,$B2248&amp;" ~*")&gt;0)+(COUNTIF(G2208:I2225,$B2248)+COUNTIF(G2208:I2225,$B2248&amp;" ~*")&gt;0)+(COUNTIF(K2208:M2225,$B2248)+COUNTIF(K2208:M2225,$B2248&amp;" ~*")&gt;0)+(COUNTIF(O2208:Q2225,$B2248)+COUNTIF(O2208:Q2225,$B2248&amp;" ~*")&gt;0)+(COUNTIF(S2208:U2225,$B2248)+COUNTIF(S2208:U2225,$B2248&amp;" ~*")&gt;0)+(COUNTIF(W2208:W2225,$B2248)+COUNTIF(W2208:W2225,$B2248&amp;" ~*")&gt;0)+(COUNTIF(Y2208:Y2225,$B2248)+COUNTIF(Y2208:Y2225,$B2248&amp;" ~*")&gt;0))</f>
        <v/>
      </c>
      <c r="AC2248" s="38">
        <f>IF($B2248="","",(IFERROR(INDEX(Setup!$G$33:$G$40,MATCH(C2248,Setup!$B$33:$B$40,0)),0)=1)*(COUNTIF(C2208:E2225,$B2248)+COUNTIF(C2208:E2225,$B2248&amp;" ~*")&gt;0)+(IFERROR(INDEX(Setup!$G$33:$G$40,MATCH(G2248,Setup!$B$33:$B$40,0)),0)=1)*(COUNTIF(G2208:I2225,$B2248)+COUNTIF(G2208:I2225,$B2248&amp;" ~*")&gt;0)+(IFERROR(INDEX(Setup!$G$33:$G$40,MATCH(K2248,Setup!$B$33:$B$40,0)),0)=1)*(COUNTIF(K2208:M2225,$B2248)+COUNTIF(K2208:M2225,$B2248&amp;" ~*")&gt;0)+(IFERROR(INDEX(Setup!$G$33:$G$40,MATCH(O2248,Setup!$B$33:$B$40,0)),0)=1)*(COUNTIF(O2208:Q2225,$B2248)+COUNTIF(O2208:Q2225,$B2248&amp;" ~*")&gt;0)+(IFERROR(INDEX(Setup!$G$33:$G$40,MATCH(S2248,Setup!$B$33:$B$40,0)),0)=1)*(COUNTIF(S2208:U2225,$B2248)+COUNTIF(S2208:U2225,$B2248&amp;" ~*")&gt;0)+(IFERROR(INDEX(Setup!$G$33:$G$40,MATCH(W2248,Setup!$B$33:$B$40,0)),0)=1)*(COUNTIF(W2208:W2225,$B2248)+COUNTIF(W2208:W2225,$B2248&amp;" ~*")&gt;0)+(IFERROR(INDEX(Setup!$G$33:$G$40,MATCH(Y2248,Setup!$B$33:$B$40,0)),0)=1)*(COUNTIF(Y2208:Y2225,$B2248)+COUNTIF(Y2208:Y2225,$B2248&amp;" ~*")&gt;0))</f>
        <v/>
      </c>
    </row>
    <row r="2249" ht="15" customHeight="1">
      <c r="A2249" t="n">
        <v>45</v>
      </c>
      <c r="B2249" s="35">
        <f>IF(Setup!$B$28="","",Setup!$B$28)</f>
        <v/>
      </c>
      <c r="C2249" s="98" t="n"/>
      <c r="D2249" s="99" t="n"/>
      <c r="E2249" s="99" t="n"/>
      <c r="F2249" s="100" t="n"/>
      <c r="G2249" s="98" t="n"/>
      <c r="H2249" s="99" t="n"/>
      <c r="I2249" s="99" t="n"/>
      <c r="J2249" s="100" t="n"/>
      <c r="K2249" s="98" t="n"/>
      <c r="L2249" s="99" t="n"/>
      <c r="M2249" s="99" t="n"/>
      <c r="N2249" s="100" t="n"/>
      <c r="O2249" s="98" t="n"/>
      <c r="P2249" s="99" t="n"/>
      <c r="Q2249" s="99" t="n"/>
      <c r="R2249" s="100" t="n"/>
      <c r="S2249" s="98" t="n"/>
      <c r="T2249" s="99" t="n"/>
      <c r="U2249" s="99" t="n"/>
      <c r="V2249" s="100" t="n"/>
      <c r="W2249" s="98" t="n"/>
      <c r="X2249" s="100" t="n"/>
      <c r="Y2249" s="98" t="n"/>
      <c r="Z2249" s="100" t="n"/>
      <c r="AB2249" s="101">
        <f>IF($B2249="","",(COUNTIF(C2208:E2225,$B2249)+COUNTIF(C2208:E2225,$B2249&amp;" ~*")&gt;0)+(COUNTIF(G2208:I2225,$B2249)+COUNTIF(G2208:I2225,$B2249&amp;" ~*")&gt;0)+(COUNTIF(K2208:M2225,$B2249)+COUNTIF(K2208:M2225,$B2249&amp;" ~*")&gt;0)+(COUNTIF(O2208:Q2225,$B2249)+COUNTIF(O2208:Q2225,$B2249&amp;" ~*")&gt;0)+(COUNTIF(S2208:U2225,$B2249)+COUNTIF(S2208:U2225,$B2249&amp;" ~*")&gt;0)+(COUNTIF(W2208:W2225,$B2249)+COUNTIF(W2208:W2225,$B2249&amp;" ~*")&gt;0)+(COUNTIF(Y2208:Y2225,$B2249)+COUNTIF(Y2208:Y2225,$B2249&amp;" ~*")&gt;0))</f>
        <v/>
      </c>
      <c r="AC2249" s="36">
        <f>IF($B2249="","",(IFERROR(INDEX(Setup!$G$33:$G$40,MATCH(C2249,Setup!$B$33:$B$40,0)),0)=1)*(COUNTIF(C2208:E2225,$B2249)+COUNTIF(C2208:E2225,$B2249&amp;" ~*")&gt;0)+(IFERROR(INDEX(Setup!$G$33:$G$40,MATCH(G2249,Setup!$B$33:$B$40,0)),0)=1)*(COUNTIF(G2208:I2225,$B2249)+COUNTIF(G2208:I2225,$B2249&amp;" ~*")&gt;0)+(IFERROR(INDEX(Setup!$G$33:$G$40,MATCH(K2249,Setup!$B$33:$B$40,0)),0)=1)*(COUNTIF(K2208:M2225,$B2249)+COUNTIF(K2208:M2225,$B2249&amp;" ~*")&gt;0)+(IFERROR(INDEX(Setup!$G$33:$G$40,MATCH(O2249,Setup!$B$33:$B$40,0)),0)=1)*(COUNTIF(O2208:Q2225,$B2249)+COUNTIF(O2208:Q2225,$B2249&amp;" ~*")&gt;0)+(IFERROR(INDEX(Setup!$G$33:$G$40,MATCH(S2249,Setup!$B$33:$B$40,0)),0)=1)*(COUNTIF(S2208:U2225,$B2249)+COUNTIF(S2208:U2225,$B2249&amp;" ~*")&gt;0)+(IFERROR(INDEX(Setup!$G$33:$G$40,MATCH(W2249,Setup!$B$33:$B$40,0)),0)=1)*(COUNTIF(W2208:W2225,$B2249)+COUNTIF(W2208:W2225,$B2249&amp;" ~*")&gt;0)+(IFERROR(INDEX(Setup!$G$33:$G$40,MATCH(Y2249,Setup!$B$33:$B$40,0)),0)=1)*(COUNTIF(Y2208:Y2225,$B2249)+COUNTIF(Y2208:Y2225,$B2249&amp;" ~*")&gt;0))</f>
        <v/>
      </c>
    </row>
    <row r="2250" ht="15" customHeight="1">
      <c r="A2250" t="n">
        <v>45</v>
      </c>
      <c r="B2250" s="37">
        <f>IF(Setup!$B$29="","",Setup!$B$29)</f>
        <v/>
      </c>
      <c r="C2250" s="102" t="n"/>
      <c r="D2250" s="103" t="n"/>
      <c r="E2250" s="103" t="n"/>
      <c r="F2250" s="104" t="n"/>
      <c r="G2250" s="102" t="n"/>
      <c r="H2250" s="103" t="n"/>
      <c r="I2250" s="103" t="n"/>
      <c r="J2250" s="104" t="n"/>
      <c r="K2250" s="102" t="n"/>
      <c r="L2250" s="103" t="n"/>
      <c r="M2250" s="103" t="n"/>
      <c r="N2250" s="104" t="n"/>
      <c r="O2250" s="102" t="n"/>
      <c r="P2250" s="103" t="n"/>
      <c r="Q2250" s="103" t="n"/>
      <c r="R2250" s="104" t="n"/>
      <c r="S2250" s="102" t="n"/>
      <c r="T2250" s="103" t="n"/>
      <c r="U2250" s="103" t="n"/>
      <c r="V2250" s="104" t="n"/>
      <c r="W2250" s="102" t="n"/>
      <c r="X2250" s="104" t="n"/>
      <c r="Y2250" s="102" t="n"/>
      <c r="Z2250" s="104" t="n"/>
      <c r="AB2250" s="105">
        <f>IF($B2250="","",(COUNTIF(C2208:E2225,$B2250)+COUNTIF(C2208:E2225,$B2250&amp;" ~*")&gt;0)+(COUNTIF(G2208:I2225,$B2250)+COUNTIF(G2208:I2225,$B2250&amp;" ~*")&gt;0)+(COUNTIF(K2208:M2225,$B2250)+COUNTIF(K2208:M2225,$B2250&amp;" ~*")&gt;0)+(COUNTIF(O2208:Q2225,$B2250)+COUNTIF(O2208:Q2225,$B2250&amp;" ~*")&gt;0)+(COUNTIF(S2208:U2225,$B2250)+COUNTIF(S2208:U2225,$B2250&amp;" ~*")&gt;0)+(COUNTIF(W2208:W2225,$B2250)+COUNTIF(W2208:W2225,$B2250&amp;" ~*")&gt;0)+(COUNTIF(Y2208:Y2225,$B2250)+COUNTIF(Y2208:Y2225,$B2250&amp;" ~*")&gt;0))</f>
        <v/>
      </c>
      <c r="AC2250" s="38">
        <f>IF($B2250="","",(IFERROR(INDEX(Setup!$G$33:$G$40,MATCH(C2250,Setup!$B$33:$B$40,0)),0)=1)*(COUNTIF(C2208:E2225,$B2250)+COUNTIF(C2208:E2225,$B2250&amp;" ~*")&gt;0)+(IFERROR(INDEX(Setup!$G$33:$G$40,MATCH(G2250,Setup!$B$33:$B$40,0)),0)=1)*(COUNTIF(G2208:I2225,$B2250)+COUNTIF(G2208:I2225,$B2250&amp;" ~*")&gt;0)+(IFERROR(INDEX(Setup!$G$33:$G$40,MATCH(K2250,Setup!$B$33:$B$40,0)),0)=1)*(COUNTIF(K2208:M2225,$B2250)+COUNTIF(K2208:M2225,$B2250&amp;" ~*")&gt;0)+(IFERROR(INDEX(Setup!$G$33:$G$40,MATCH(O2250,Setup!$B$33:$B$40,0)),0)=1)*(COUNTIF(O2208:Q2225,$B2250)+COUNTIF(O2208:Q2225,$B2250&amp;" ~*")&gt;0)+(IFERROR(INDEX(Setup!$G$33:$G$40,MATCH(S2250,Setup!$B$33:$B$40,0)),0)=1)*(COUNTIF(S2208:U2225,$B2250)+COUNTIF(S2208:U2225,$B2250&amp;" ~*")&gt;0)+(IFERROR(INDEX(Setup!$G$33:$G$40,MATCH(W2250,Setup!$B$33:$B$40,0)),0)=1)*(COUNTIF(W2208:W2225,$B2250)+COUNTIF(W2208:W2225,$B2250&amp;" ~*")&gt;0)+(IFERROR(INDEX(Setup!$G$33:$G$40,MATCH(Y2250,Setup!$B$33:$B$40,0)),0)=1)*(COUNTIF(Y2208:Y2225,$B2250)+COUNTIF(Y2208:Y2225,$B2250&amp;" ~*")&gt;0))</f>
        <v/>
      </c>
    </row>
    <row r="2251" ht="16" customHeight="1">
      <c r="A2251" t="n">
        <v>45</v>
      </c>
      <c r="B2251" s="106" t="inlineStr">
        <is>
          <t>Available people</t>
        </is>
      </c>
      <c r="C2251" s="107">
        <f>COUNTIFS(Setup!$E$6:$E$29,"Y",Setup!$B$6:$B$29,"?*")-SUMPRODUCT(COUNTIF(C2227:C2250,Setup!$F$33:$F$40))</f>
        <v/>
      </c>
      <c r="D2251" s="107" t="n"/>
      <c r="E2251" s="107" t="n"/>
      <c r="F2251" s="107" t="n"/>
      <c r="G2251" s="107">
        <f>COUNTIFS(Setup!$E$6:$E$29,"Y",Setup!$B$6:$B$29,"?*")-SUMPRODUCT(COUNTIF(G2227:G2250,Setup!$F$33:$F$40))</f>
        <v/>
      </c>
      <c r="H2251" s="107" t="n"/>
      <c r="I2251" s="107" t="n"/>
      <c r="J2251" s="107" t="n"/>
      <c r="K2251" s="107">
        <f>COUNTIFS(Setup!$E$6:$E$29,"Y",Setup!$B$6:$B$29,"?*")-SUMPRODUCT(COUNTIF(K2227:K2250,Setup!$F$33:$F$40))</f>
        <v/>
      </c>
      <c r="L2251" s="107" t="n"/>
      <c r="M2251" s="107" t="n"/>
      <c r="N2251" s="107" t="n"/>
      <c r="O2251" s="107">
        <f>COUNTIFS(Setup!$E$6:$E$29,"Y",Setup!$B$6:$B$29,"?*")-SUMPRODUCT(COUNTIF(O2227:O2250,Setup!$F$33:$F$40))</f>
        <v/>
      </c>
      <c r="P2251" s="107" t="n"/>
      <c r="Q2251" s="107" t="n"/>
      <c r="R2251" s="107" t="n"/>
      <c r="S2251" s="107">
        <f>COUNTIFS(Setup!$E$6:$E$29,"Y",Setup!$B$6:$B$29,"?*")-SUMPRODUCT(COUNTIF(S2227:S2250,Setup!$F$33:$F$40))</f>
        <v/>
      </c>
      <c r="T2251" s="107" t="n"/>
      <c r="U2251" s="107" t="n"/>
      <c r="V2251" s="107" t="n"/>
      <c r="W2251" s="107">
        <f>COUNTIFS(Setup!$E$6:$E$29,"Y",Setup!$B$6:$B$29,"?*")-SUMPRODUCT(COUNTIF(W2227:W2250,Setup!$F$33:$F$40))</f>
        <v/>
      </c>
      <c r="X2251" s="107" t="n"/>
      <c r="Y2251" s="107">
        <f>COUNTIFS(Setup!$E$6:$E$29,"Y",Setup!$B$6:$B$29,"?*")-SUMPRODUCT(COUNTIF(Y2227:Y2250,Setup!$F$33:$F$40))</f>
        <v/>
      </c>
      <c r="Z2251" s="107" t="n"/>
      <c r="AB2251" s="108">
        <f>SUM(AB2227:AB2250)</f>
        <v/>
      </c>
      <c r="AC2251" s="109">
        <f>SUM(AC2227:AC2250)</f>
        <v/>
      </c>
    </row>
    <row r="2252" ht="30" customHeight="1">
      <c r="A2252" t="n">
        <v>45</v>
      </c>
      <c r="B2252" s="110" t="inlineStr">
        <is>
          <t>Week notes</t>
        </is>
      </c>
      <c r="C2252" s="111" t="n"/>
      <c r="D2252" s="112" t="n"/>
      <c r="E2252" s="112" t="n"/>
      <c r="F2252" s="112" t="n"/>
      <c r="G2252" s="112" t="n"/>
      <c r="H2252" s="112" t="n"/>
      <c r="I2252" s="112" t="n"/>
      <c r="J2252" s="112" t="n"/>
      <c r="K2252" s="112" t="n"/>
      <c r="L2252" s="112" t="n"/>
      <c r="M2252" s="112" t="n"/>
      <c r="N2252" s="112" t="n"/>
      <c r="O2252" s="112" t="n"/>
      <c r="P2252" s="112" t="n"/>
      <c r="Q2252" s="112" t="n"/>
      <c r="R2252" s="112" t="n"/>
      <c r="S2252" s="112" t="n"/>
      <c r="T2252" s="112" t="n"/>
      <c r="U2252" s="112" t="n"/>
      <c r="V2252" s="112" t="n"/>
      <c r="W2252" s="112" t="n"/>
      <c r="X2252" s="112" t="n"/>
      <c r="Y2252" s="112" t="n"/>
      <c r="Z2252" s="113" t="n"/>
    </row>
    <row r="2253" ht="8" customHeight="1">
      <c r="A2253" t="n">
        <v>45</v>
      </c>
    </row>
    <row r="2254" ht="8" customHeight="1">
      <c r="A2254" t="n">
        <v>45</v>
      </c>
    </row>
    <row r="2255" ht="24" customHeight="1">
      <c r="A2255" t="n">
        <v>46</v>
      </c>
      <c r="B2255" s="73">
        <f>"WEEK 46     "&amp;TEXT(C2256,"ddd d mmm")&amp;"  –  "&amp;TEXT(C2256+6,"ddd d mmm yyyy")</f>
        <v/>
      </c>
      <c r="S2255" s="74">
        <f>IF(TODAY()&lt;C2256,"FUTURE",IF(TODAY()&gt;C2256+6,"PAST","THIS WEEK"))</f>
        <v/>
      </c>
      <c r="W2255" s="75">
        <f>IF(AND(Engine!$B$8=$AC$3,Engine!$B$9=$A2255),"◀ ACTIVE WEEK","")</f>
        <v/>
      </c>
      <c r="AA2255" s="76" t="n"/>
      <c r="AB2255" s="77" t="inlineStr">
        <is>
          <t>◀ Prev</t>
        </is>
      </c>
      <c r="AC2255" s="77" t="inlineStr">
        <is>
          <t>Next ▶</t>
        </is>
      </c>
    </row>
    <row r="2256" ht="18" customHeight="1">
      <c r="A2256" t="n">
        <v>46</v>
      </c>
      <c r="B2256" s="78" t="inlineStr">
        <is>
          <t>DUTY</t>
        </is>
      </c>
      <c r="C2256" s="79">
        <f>$AC$2+7*($A2256-1)</f>
        <v/>
      </c>
      <c r="D2256" s="80" t="n"/>
      <c r="E2256" s="80" t="n"/>
      <c r="F2256" s="81" t="n"/>
      <c r="G2256" s="79">
        <f>C2256+1</f>
        <v/>
      </c>
      <c r="H2256" s="80" t="n"/>
      <c r="I2256" s="80" t="n"/>
      <c r="J2256" s="81" t="n"/>
      <c r="K2256" s="79">
        <f>C2256+2</f>
        <v/>
      </c>
      <c r="L2256" s="80" t="n"/>
      <c r="M2256" s="80" t="n"/>
      <c r="N2256" s="81" t="n"/>
      <c r="O2256" s="79">
        <f>C2256+3</f>
        <v/>
      </c>
      <c r="P2256" s="80" t="n"/>
      <c r="Q2256" s="80" t="n"/>
      <c r="R2256" s="81" t="n"/>
      <c r="S2256" s="79">
        <f>C2256+4</f>
        <v/>
      </c>
      <c r="T2256" s="80" t="n"/>
      <c r="U2256" s="80" t="n"/>
      <c r="V2256" s="81" t="n"/>
      <c r="W2256" s="82">
        <f>C2256+5</f>
        <v/>
      </c>
      <c r="X2256" s="83" t="n"/>
      <c r="Y2256" s="82">
        <f>C2256+6</f>
        <v/>
      </c>
      <c r="Z2256" s="83" t="n"/>
      <c r="AB2256" s="72" t="inlineStr">
        <is>
          <t>Gaps</t>
        </is>
      </c>
      <c r="AC2256" s="72" t="inlineStr">
        <is>
          <t>Cover</t>
        </is>
      </c>
    </row>
    <row r="2257" ht="14" customHeight="1">
      <c r="A2257" t="n">
        <v>46</v>
      </c>
      <c r="B2257" s="84" t="inlineStr">
        <is>
          <t>(from Setup)</t>
        </is>
      </c>
      <c r="C2257" s="85" t="inlineStr">
        <is>
          <t>1</t>
        </is>
      </c>
      <c r="D2257" s="85" t="inlineStr">
        <is>
          <t>2</t>
        </is>
      </c>
      <c r="E2257" s="85" t="inlineStr">
        <is>
          <t>3</t>
        </is>
      </c>
      <c r="F2257" s="85" t="inlineStr">
        <is>
          <t>Notes</t>
        </is>
      </c>
      <c r="G2257" s="85" t="inlineStr">
        <is>
          <t>1</t>
        </is>
      </c>
      <c r="H2257" s="85" t="inlineStr">
        <is>
          <t>2</t>
        </is>
      </c>
      <c r="I2257" s="85" t="inlineStr">
        <is>
          <t>3</t>
        </is>
      </c>
      <c r="J2257" s="85" t="inlineStr">
        <is>
          <t>Notes</t>
        </is>
      </c>
      <c r="K2257" s="85" t="inlineStr">
        <is>
          <t>1</t>
        </is>
      </c>
      <c r="L2257" s="85" t="inlineStr">
        <is>
          <t>2</t>
        </is>
      </c>
      <c r="M2257" s="85" t="inlineStr">
        <is>
          <t>3</t>
        </is>
      </c>
      <c r="N2257" s="85" t="inlineStr">
        <is>
          <t>Notes</t>
        </is>
      </c>
      <c r="O2257" s="85" t="inlineStr">
        <is>
          <t>1</t>
        </is>
      </c>
      <c r="P2257" s="85" t="inlineStr">
        <is>
          <t>2</t>
        </is>
      </c>
      <c r="Q2257" s="85" t="inlineStr">
        <is>
          <t>3</t>
        </is>
      </c>
      <c r="R2257" s="85" t="inlineStr">
        <is>
          <t>Notes</t>
        </is>
      </c>
      <c r="S2257" s="85" t="inlineStr">
        <is>
          <t>1</t>
        </is>
      </c>
      <c r="T2257" s="85" t="inlineStr">
        <is>
          <t>2</t>
        </is>
      </c>
      <c r="U2257" s="85" t="inlineStr">
        <is>
          <t>3</t>
        </is>
      </c>
      <c r="V2257" s="85" t="inlineStr">
        <is>
          <t>Notes</t>
        </is>
      </c>
      <c r="W2257" s="85" t="inlineStr">
        <is>
          <t>Cover</t>
        </is>
      </c>
      <c r="X2257" s="85" t="inlineStr">
        <is>
          <t>Notes</t>
        </is>
      </c>
      <c r="Y2257" s="85" t="inlineStr">
        <is>
          <t>Cover</t>
        </is>
      </c>
      <c r="Z2257" s="85" t="inlineStr">
        <is>
          <t>Notes</t>
        </is>
      </c>
      <c r="AB2257" s="86" t="inlineStr">
        <is>
          <t>weekdays short</t>
        </is>
      </c>
      <c r="AC2257" s="87" t="inlineStr"/>
    </row>
    <row r="2258" ht="17" customHeight="1">
      <c r="A2258" t="n">
        <v>46</v>
      </c>
      <c r="B2258" s="24">
        <f>IF(Setup!$K$6="","",Setup!$K$6)</f>
        <v/>
      </c>
      <c r="C2258" s="88" t="n"/>
      <c r="D2258" s="88" t="n"/>
      <c r="E2258" s="88" t="n"/>
      <c r="F2258" s="89" t="n"/>
      <c r="G2258" s="88" t="n"/>
      <c r="H2258" s="88" t="n"/>
      <c r="I2258" s="88" t="n"/>
      <c r="J2258" s="89" t="n"/>
      <c r="K2258" s="88" t="n"/>
      <c r="L2258" s="88" t="n"/>
      <c r="M2258" s="88" t="n"/>
      <c r="N2258" s="89" t="n"/>
      <c r="O2258" s="88" t="n"/>
      <c r="P2258" s="88" t="n"/>
      <c r="Q2258" s="88" t="n"/>
      <c r="R2258" s="89" t="n"/>
      <c r="S2258" s="88" t="n"/>
      <c r="T2258" s="88" t="n"/>
      <c r="U2258" s="88" t="n"/>
      <c r="V2258" s="89" t="n"/>
      <c r="W2258" s="88" t="n"/>
      <c r="X2258" s="89" t="n"/>
      <c r="Y2258" s="88" t="n"/>
      <c r="Z2258" s="89" t="n"/>
      <c r="AB2258" s="25">
        <f>IF($B2258="","",(COUNTIF(C2258:E2258,"?*")&lt;N(INDEX(Setup!$L$6:$L$23,1)))+(COUNTIF(G2258:I2258,"?*")&lt;N(INDEX(Setup!$L$6:$L$23,1)))+(COUNTIF(K2258:M2258,"?*")&lt;N(INDEX(Setup!$L$6:$L$23,1)))+(COUNTIF(O2258:Q2258,"?*")&lt;N(INDEX(Setup!$L$6:$L$23,1)))+(COUNTIF(S2258:U2258,"?*")&lt;N(INDEX(Setup!$L$6:$L$23,1)))+((W2258="")*(INDEX(Setup!$M$6:$M$23,1)="Y"))+((Y2258="")*(INDEX(Setup!$M$6:$M$23,1)="Y")))</f>
        <v/>
      </c>
      <c r="AC2258" s="90">
        <f>IF($B2258="","",IF(AB2258=0,"✓ covered","⚠ "&amp;AB2258&amp;IF(AB2258=1," gap"," gaps")))</f>
        <v/>
      </c>
    </row>
    <row r="2259" ht="17" customHeight="1">
      <c r="A2259" t="n">
        <v>46</v>
      </c>
      <c r="B2259" s="29">
        <f>IF(Setup!$K$7="","",Setup!$K$7)</f>
        <v/>
      </c>
      <c r="C2259" s="88" t="n"/>
      <c r="D2259" s="88" t="n"/>
      <c r="E2259" s="88" t="n"/>
      <c r="F2259" s="89" t="n"/>
      <c r="G2259" s="88" t="n"/>
      <c r="H2259" s="88" t="n"/>
      <c r="I2259" s="88" t="n"/>
      <c r="J2259" s="89" t="n"/>
      <c r="K2259" s="88" t="n"/>
      <c r="L2259" s="88" t="n"/>
      <c r="M2259" s="88" t="n"/>
      <c r="N2259" s="89" t="n"/>
      <c r="O2259" s="88" t="n"/>
      <c r="P2259" s="88" t="n"/>
      <c r="Q2259" s="88" t="n"/>
      <c r="R2259" s="89" t="n"/>
      <c r="S2259" s="88" t="n"/>
      <c r="T2259" s="88" t="n"/>
      <c r="U2259" s="88" t="n"/>
      <c r="V2259" s="89" t="n"/>
      <c r="W2259" s="88" t="n"/>
      <c r="X2259" s="89" t="n"/>
      <c r="Y2259" s="88" t="n"/>
      <c r="Z2259" s="89" t="n"/>
      <c r="AB2259" s="30">
        <f>IF($B2259="","",(COUNTIF(C2259:E2259,"?*")&lt;N(INDEX(Setup!$L$6:$L$23,2)))+(COUNTIF(G2259:I2259,"?*")&lt;N(INDEX(Setup!$L$6:$L$23,2)))+(COUNTIF(K2259:M2259,"?*")&lt;N(INDEX(Setup!$L$6:$L$23,2)))+(COUNTIF(O2259:Q2259,"?*")&lt;N(INDEX(Setup!$L$6:$L$23,2)))+(COUNTIF(S2259:U2259,"?*")&lt;N(INDEX(Setup!$L$6:$L$23,2)))+((W2259="")*(INDEX(Setup!$M$6:$M$23,2)="Y"))+((Y2259="")*(INDEX(Setup!$M$6:$M$23,2)="Y")))</f>
        <v/>
      </c>
      <c r="AC2259" s="91">
        <f>IF($B2259="","",IF(AB2259=0,"✓ covered","⚠ "&amp;AB2259&amp;IF(AB2259=1," gap"," gaps")))</f>
        <v/>
      </c>
    </row>
    <row r="2260" ht="17" customHeight="1">
      <c r="A2260" t="n">
        <v>46</v>
      </c>
      <c r="B2260" s="24">
        <f>IF(Setup!$K$8="","",Setup!$K$8)</f>
        <v/>
      </c>
      <c r="C2260" s="88" t="n"/>
      <c r="D2260" s="88" t="n"/>
      <c r="E2260" s="88" t="n"/>
      <c r="F2260" s="89" t="n"/>
      <c r="G2260" s="88" t="n"/>
      <c r="H2260" s="88" t="n"/>
      <c r="I2260" s="88" t="n"/>
      <c r="J2260" s="89" t="n"/>
      <c r="K2260" s="88" t="n"/>
      <c r="L2260" s="88" t="n"/>
      <c r="M2260" s="88" t="n"/>
      <c r="N2260" s="89" t="n"/>
      <c r="O2260" s="88" t="n"/>
      <c r="P2260" s="88" t="n"/>
      <c r="Q2260" s="88" t="n"/>
      <c r="R2260" s="89" t="n"/>
      <c r="S2260" s="88" t="n"/>
      <c r="T2260" s="88" t="n"/>
      <c r="U2260" s="88" t="n"/>
      <c r="V2260" s="89" t="n"/>
      <c r="W2260" s="88" t="n"/>
      <c r="X2260" s="89" t="n"/>
      <c r="Y2260" s="88" t="n"/>
      <c r="Z2260" s="89" t="n"/>
      <c r="AB2260" s="25">
        <f>IF($B2260="","",(COUNTIF(C2260:E2260,"?*")&lt;N(INDEX(Setup!$L$6:$L$23,3)))+(COUNTIF(G2260:I2260,"?*")&lt;N(INDEX(Setup!$L$6:$L$23,3)))+(COUNTIF(K2260:M2260,"?*")&lt;N(INDEX(Setup!$L$6:$L$23,3)))+(COUNTIF(O2260:Q2260,"?*")&lt;N(INDEX(Setup!$L$6:$L$23,3)))+(COUNTIF(S2260:U2260,"?*")&lt;N(INDEX(Setup!$L$6:$L$23,3)))+((W2260="")*(INDEX(Setup!$M$6:$M$23,3)="Y"))+((Y2260="")*(INDEX(Setup!$M$6:$M$23,3)="Y")))</f>
        <v/>
      </c>
      <c r="AC2260" s="90">
        <f>IF($B2260="","",IF(AB2260=0,"✓ covered","⚠ "&amp;AB2260&amp;IF(AB2260=1," gap"," gaps")))</f>
        <v/>
      </c>
    </row>
    <row r="2261" ht="17" customHeight="1">
      <c r="A2261" t="n">
        <v>46</v>
      </c>
      <c r="B2261" s="29">
        <f>IF(Setup!$K$9="","",Setup!$K$9)</f>
        <v/>
      </c>
      <c r="C2261" s="88" t="n"/>
      <c r="D2261" s="88" t="n"/>
      <c r="E2261" s="88" t="n"/>
      <c r="F2261" s="89" t="n"/>
      <c r="G2261" s="88" t="n"/>
      <c r="H2261" s="88" t="n"/>
      <c r="I2261" s="88" t="n"/>
      <c r="J2261" s="89" t="n"/>
      <c r="K2261" s="88" t="n"/>
      <c r="L2261" s="88" t="n"/>
      <c r="M2261" s="88" t="n"/>
      <c r="N2261" s="89" t="n"/>
      <c r="O2261" s="88" t="n"/>
      <c r="P2261" s="88" t="n"/>
      <c r="Q2261" s="88" t="n"/>
      <c r="R2261" s="89" t="n"/>
      <c r="S2261" s="88" t="n"/>
      <c r="T2261" s="88" t="n"/>
      <c r="U2261" s="88" t="n"/>
      <c r="V2261" s="89" t="n"/>
      <c r="W2261" s="88" t="n"/>
      <c r="X2261" s="89" t="n"/>
      <c r="Y2261" s="88" t="n"/>
      <c r="Z2261" s="89" t="n"/>
      <c r="AB2261" s="30">
        <f>IF($B2261="","",(COUNTIF(C2261:E2261,"?*")&lt;N(INDEX(Setup!$L$6:$L$23,4)))+(COUNTIF(G2261:I2261,"?*")&lt;N(INDEX(Setup!$L$6:$L$23,4)))+(COUNTIF(K2261:M2261,"?*")&lt;N(INDEX(Setup!$L$6:$L$23,4)))+(COUNTIF(O2261:Q2261,"?*")&lt;N(INDEX(Setup!$L$6:$L$23,4)))+(COUNTIF(S2261:U2261,"?*")&lt;N(INDEX(Setup!$L$6:$L$23,4)))+((W2261="")*(INDEX(Setup!$M$6:$M$23,4)="Y"))+((Y2261="")*(INDEX(Setup!$M$6:$M$23,4)="Y")))</f>
        <v/>
      </c>
      <c r="AC2261" s="91">
        <f>IF($B2261="","",IF(AB2261=0,"✓ covered","⚠ "&amp;AB2261&amp;IF(AB2261=1," gap"," gaps")))</f>
        <v/>
      </c>
    </row>
    <row r="2262" ht="17" customHeight="1">
      <c r="A2262" t="n">
        <v>46</v>
      </c>
      <c r="B2262" s="24">
        <f>IF(Setup!$K$10="","",Setup!$K$10)</f>
        <v/>
      </c>
      <c r="C2262" s="88" t="n"/>
      <c r="D2262" s="88" t="n"/>
      <c r="E2262" s="88" t="n"/>
      <c r="F2262" s="89" t="n"/>
      <c r="G2262" s="88" t="n"/>
      <c r="H2262" s="88" t="n"/>
      <c r="I2262" s="88" t="n"/>
      <c r="J2262" s="89" t="n"/>
      <c r="K2262" s="88" t="n"/>
      <c r="L2262" s="88" t="n"/>
      <c r="M2262" s="88" t="n"/>
      <c r="N2262" s="89" t="n"/>
      <c r="O2262" s="88" t="n"/>
      <c r="P2262" s="88" t="n"/>
      <c r="Q2262" s="88" t="n"/>
      <c r="R2262" s="89" t="n"/>
      <c r="S2262" s="88" t="n"/>
      <c r="T2262" s="88" t="n"/>
      <c r="U2262" s="88" t="n"/>
      <c r="V2262" s="89" t="n"/>
      <c r="W2262" s="88" t="n"/>
      <c r="X2262" s="89" t="n"/>
      <c r="Y2262" s="88" t="n"/>
      <c r="Z2262" s="89" t="n"/>
      <c r="AB2262" s="25">
        <f>IF($B2262="","",(COUNTIF(C2262:E2262,"?*")&lt;N(INDEX(Setup!$L$6:$L$23,5)))+(COUNTIF(G2262:I2262,"?*")&lt;N(INDEX(Setup!$L$6:$L$23,5)))+(COUNTIF(K2262:M2262,"?*")&lt;N(INDEX(Setup!$L$6:$L$23,5)))+(COUNTIF(O2262:Q2262,"?*")&lt;N(INDEX(Setup!$L$6:$L$23,5)))+(COUNTIF(S2262:U2262,"?*")&lt;N(INDEX(Setup!$L$6:$L$23,5)))+((W2262="")*(INDEX(Setup!$M$6:$M$23,5)="Y"))+((Y2262="")*(INDEX(Setup!$M$6:$M$23,5)="Y")))</f>
        <v/>
      </c>
      <c r="AC2262" s="90">
        <f>IF($B2262="","",IF(AB2262=0,"✓ covered","⚠ "&amp;AB2262&amp;IF(AB2262=1," gap"," gaps")))</f>
        <v/>
      </c>
    </row>
    <row r="2263" ht="17" customHeight="1">
      <c r="A2263" t="n">
        <v>46</v>
      </c>
      <c r="B2263" s="29">
        <f>IF(Setup!$K$11="","",Setup!$K$11)</f>
        <v/>
      </c>
      <c r="C2263" s="88" t="n"/>
      <c r="D2263" s="88" t="n"/>
      <c r="E2263" s="88" t="n"/>
      <c r="F2263" s="89" t="n"/>
      <c r="G2263" s="88" t="n"/>
      <c r="H2263" s="88" t="n"/>
      <c r="I2263" s="88" t="n"/>
      <c r="J2263" s="89" t="n"/>
      <c r="K2263" s="88" t="n"/>
      <c r="L2263" s="88" t="n"/>
      <c r="M2263" s="88" t="n"/>
      <c r="N2263" s="89" t="n"/>
      <c r="O2263" s="88" t="n"/>
      <c r="P2263" s="88" t="n"/>
      <c r="Q2263" s="88" t="n"/>
      <c r="R2263" s="89" t="n"/>
      <c r="S2263" s="88" t="n"/>
      <c r="T2263" s="88" t="n"/>
      <c r="U2263" s="88" t="n"/>
      <c r="V2263" s="89" t="n"/>
      <c r="W2263" s="88" t="n"/>
      <c r="X2263" s="89" t="n"/>
      <c r="Y2263" s="88" t="n"/>
      <c r="Z2263" s="89" t="n"/>
      <c r="AB2263" s="30">
        <f>IF($B2263="","",(COUNTIF(C2263:E2263,"?*")&lt;N(INDEX(Setup!$L$6:$L$23,6)))+(COUNTIF(G2263:I2263,"?*")&lt;N(INDEX(Setup!$L$6:$L$23,6)))+(COUNTIF(K2263:M2263,"?*")&lt;N(INDEX(Setup!$L$6:$L$23,6)))+(COUNTIF(O2263:Q2263,"?*")&lt;N(INDEX(Setup!$L$6:$L$23,6)))+(COUNTIF(S2263:U2263,"?*")&lt;N(INDEX(Setup!$L$6:$L$23,6)))+((W2263="")*(INDEX(Setup!$M$6:$M$23,6)="Y"))+((Y2263="")*(INDEX(Setup!$M$6:$M$23,6)="Y")))</f>
        <v/>
      </c>
      <c r="AC2263" s="91">
        <f>IF($B2263="","",IF(AB2263=0,"✓ covered","⚠ "&amp;AB2263&amp;IF(AB2263=1," gap"," gaps")))</f>
        <v/>
      </c>
    </row>
    <row r="2264" ht="17" customHeight="1">
      <c r="A2264" t="n">
        <v>46</v>
      </c>
      <c r="B2264" s="24">
        <f>IF(Setup!$K$12="","",Setup!$K$12)</f>
        <v/>
      </c>
      <c r="C2264" s="88" t="n"/>
      <c r="D2264" s="88" t="n"/>
      <c r="E2264" s="88" t="n"/>
      <c r="F2264" s="89" t="n"/>
      <c r="G2264" s="88" t="n"/>
      <c r="H2264" s="88" t="n"/>
      <c r="I2264" s="88" t="n"/>
      <c r="J2264" s="89" t="n"/>
      <c r="K2264" s="88" t="n"/>
      <c r="L2264" s="88" t="n"/>
      <c r="M2264" s="88" t="n"/>
      <c r="N2264" s="89" t="n"/>
      <c r="O2264" s="88" t="n"/>
      <c r="P2264" s="88" t="n"/>
      <c r="Q2264" s="88" t="n"/>
      <c r="R2264" s="89" t="n"/>
      <c r="S2264" s="88" t="n"/>
      <c r="T2264" s="88" t="n"/>
      <c r="U2264" s="88" t="n"/>
      <c r="V2264" s="89" t="n"/>
      <c r="W2264" s="88" t="n"/>
      <c r="X2264" s="89" t="n"/>
      <c r="Y2264" s="88" t="n"/>
      <c r="Z2264" s="89" t="n"/>
      <c r="AB2264" s="25">
        <f>IF($B2264="","",(COUNTIF(C2264:E2264,"?*")&lt;N(INDEX(Setup!$L$6:$L$23,7)))+(COUNTIF(G2264:I2264,"?*")&lt;N(INDEX(Setup!$L$6:$L$23,7)))+(COUNTIF(K2264:M2264,"?*")&lt;N(INDEX(Setup!$L$6:$L$23,7)))+(COUNTIF(O2264:Q2264,"?*")&lt;N(INDEX(Setup!$L$6:$L$23,7)))+(COUNTIF(S2264:U2264,"?*")&lt;N(INDEX(Setup!$L$6:$L$23,7)))+((W2264="")*(INDEX(Setup!$M$6:$M$23,7)="Y"))+((Y2264="")*(INDEX(Setup!$M$6:$M$23,7)="Y")))</f>
        <v/>
      </c>
      <c r="AC2264" s="90">
        <f>IF($B2264="","",IF(AB2264=0,"✓ covered","⚠ "&amp;AB2264&amp;IF(AB2264=1," gap"," gaps")))</f>
        <v/>
      </c>
    </row>
    <row r="2265" ht="17" customHeight="1">
      <c r="A2265" t="n">
        <v>46</v>
      </c>
      <c r="B2265" s="29">
        <f>IF(Setup!$K$13="","",Setup!$K$13)</f>
        <v/>
      </c>
      <c r="C2265" s="88" t="n"/>
      <c r="D2265" s="88" t="n"/>
      <c r="E2265" s="88" t="n"/>
      <c r="F2265" s="89" t="n"/>
      <c r="G2265" s="88" t="n"/>
      <c r="H2265" s="88" t="n"/>
      <c r="I2265" s="88" t="n"/>
      <c r="J2265" s="89" t="n"/>
      <c r="K2265" s="88" t="n"/>
      <c r="L2265" s="88" t="n"/>
      <c r="M2265" s="88" t="n"/>
      <c r="N2265" s="89" t="n"/>
      <c r="O2265" s="88" t="n"/>
      <c r="P2265" s="88" t="n"/>
      <c r="Q2265" s="88" t="n"/>
      <c r="R2265" s="89" t="n"/>
      <c r="S2265" s="88" t="n"/>
      <c r="T2265" s="88" t="n"/>
      <c r="U2265" s="88" t="n"/>
      <c r="V2265" s="89" t="n"/>
      <c r="W2265" s="88" t="n"/>
      <c r="X2265" s="89" t="n"/>
      <c r="Y2265" s="88" t="n"/>
      <c r="Z2265" s="89" t="n"/>
      <c r="AB2265" s="30">
        <f>IF($B2265="","",(COUNTIF(C2265:E2265,"?*")&lt;N(INDEX(Setup!$L$6:$L$23,8)))+(COUNTIF(G2265:I2265,"?*")&lt;N(INDEX(Setup!$L$6:$L$23,8)))+(COUNTIF(K2265:M2265,"?*")&lt;N(INDEX(Setup!$L$6:$L$23,8)))+(COUNTIF(O2265:Q2265,"?*")&lt;N(INDEX(Setup!$L$6:$L$23,8)))+(COUNTIF(S2265:U2265,"?*")&lt;N(INDEX(Setup!$L$6:$L$23,8)))+((W2265="")*(INDEX(Setup!$M$6:$M$23,8)="Y"))+((Y2265="")*(INDEX(Setup!$M$6:$M$23,8)="Y")))</f>
        <v/>
      </c>
      <c r="AC2265" s="91">
        <f>IF($B2265="","",IF(AB2265=0,"✓ covered","⚠ "&amp;AB2265&amp;IF(AB2265=1," gap"," gaps")))</f>
        <v/>
      </c>
    </row>
    <row r="2266" ht="17" customHeight="1">
      <c r="A2266" t="n">
        <v>46</v>
      </c>
      <c r="B2266" s="24">
        <f>IF(Setup!$K$14="","",Setup!$K$14)</f>
        <v/>
      </c>
      <c r="C2266" s="88" t="n"/>
      <c r="D2266" s="88" t="n"/>
      <c r="E2266" s="88" t="n"/>
      <c r="F2266" s="89" t="n"/>
      <c r="G2266" s="88" t="n"/>
      <c r="H2266" s="88" t="n"/>
      <c r="I2266" s="88" t="n"/>
      <c r="J2266" s="89" t="n"/>
      <c r="K2266" s="88" t="n"/>
      <c r="L2266" s="88" t="n"/>
      <c r="M2266" s="88" t="n"/>
      <c r="N2266" s="89" t="n"/>
      <c r="O2266" s="88" t="n"/>
      <c r="P2266" s="88" t="n"/>
      <c r="Q2266" s="88" t="n"/>
      <c r="R2266" s="89" t="n"/>
      <c r="S2266" s="88" t="n"/>
      <c r="T2266" s="88" t="n"/>
      <c r="U2266" s="88" t="n"/>
      <c r="V2266" s="89" t="n"/>
      <c r="W2266" s="88" t="n"/>
      <c r="X2266" s="89" t="n"/>
      <c r="Y2266" s="88" t="n"/>
      <c r="Z2266" s="89" t="n"/>
      <c r="AB2266" s="25">
        <f>IF($B2266="","",(COUNTIF(C2266:E2266,"?*")&lt;N(INDEX(Setup!$L$6:$L$23,9)))+(COUNTIF(G2266:I2266,"?*")&lt;N(INDEX(Setup!$L$6:$L$23,9)))+(COUNTIF(K2266:M2266,"?*")&lt;N(INDEX(Setup!$L$6:$L$23,9)))+(COUNTIF(O2266:Q2266,"?*")&lt;N(INDEX(Setup!$L$6:$L$23,9)))+(COUNTIF(S2266:U2266,"?*")&lt;N(INDEX(Setup!$L$6:$L$23,9)))+((W2266="")*(INDEX(Setup!$M$6:$M$23,9)="Y"))+((Y2266="")*(INDEX(Setup!$M$6:$M$23,9)="Y")))</f>
        <v/>
      </c>
      <c r="AC2266" s="90">
        <f>IF($B2266="","",IF(AB2266=0,"✓ covered","⚠ "&amp;AB2266&amp;IF(AB2266=1," gap"," gaps")))</f>
        <v/>
      </c>
    </row>
    <row r="2267" ht="17" customHeight="1">
      <c r="A2267" t="n">
        <v>46</v>
      </c>
      <c r="B2267" s="29">
        <f>IF(Setup!$K$15="","",Setup!$K$15)</f>
        <v/>
      </c>
      <c r="C2267" s="88" t="n"/>
      <c r="D2267" s="88" t="n"/>
      <c r="E2267" s="88" t="n"/>
      <c r="F2267" s="89" t="n"/>
      <c r="G2267" s="88" t="n"/>
      <c r="H2267" s="88" t="n"/>
      <c r="I2267" s="88" t="n"/>
      <c r="J2267" s="89" t="n"/>
      <c r="K2267" s="88" t="n"/>
      <c r="L2267" s="88" t="n"/>
      <c r="M2267" s="88" t="n"/>
      <c r="N2267" s="89" t="n"/>
      <c r="O2267" s="88" t="n"/>
      <c r="P2267" s="88" t="n"/>
      <c r="Q2267" s="88" t="n"/>
      <c r="R2267" s="89" t="n"/>
      <c r="S2267" s="88" t="n"/>
      <c r="T2267" s="88" t="n"/>
      <c r="U2267" s="88" t="n"/>
      <c r="V2267" s="89" t="n"/>
      <c r="W2267" s="88" t="n"/>
      <c r="X2267" s="89" t="n"/>
      <c r="Y2267" s="88" t="n"/>
      <c r="Z2267" s="89" t="n"/>
      <c r="AB2267" s="30">
        <f>IF($B2267="","",(COUNTIF(C2267:E2267,"?*")&lt;N(INDEX(Setup!$L$6:$L$23,10)))+(COUNTIF(G2267:I2267,"?*")&lt;N(INDEX(Setup!$L$6:$L$23,10)))+(COUNTIF(K2267:M2267,"?*")&lt;N(INDEX(Setup!$L$6:$L$23,10)))+(COUNTIF(O2267:Q2267,"?*")&lt;N(INDEX(Setup!$L$6:$L$23,10)))+(COUNTIF(S2267:U2267,"?*")&lt;N(INDEX(Setup!$L$6:$L$23,10)))+((W2267="")*(INDEX(Setup!$M$6:$M$23,10)="Y"))+((Y2267="")*(INDEX(Setup!$M$6:$M$23,10)="Y")))</f>
        <v/>
      </c>
      <c r="AC2267" s="91">
        <f>IF($B2267="","",IF(AB2267=0,"✓ covered","⚠ "&amp;AB2267&amp;IF(AB2267=1," gap"," gaps")))</f>
        <v/>
      </c>
    </row>
    <row r="2268" ht="17" customHeight="1">
      <c r="A2268" t="n">
        <v>46</v>
      </c>
      <c r="B2268" s="24">
        <f>IF(Setup!$K$16="","",Setup!$K$16)</f>
        <v/>
      </c>
      <c r="C2268" s="88" t="n"/>
      <c r="D2268" s="88" t="n"/>
      <c r="E2268" s="88" t="n"/>
      <c r="F2268" s="89" t="n"/>
      <c r="G2268" s="88" t="n"/>
      <c r="H2268" s="88" t="n"/>
      <c r="I2268" s="88" t="n"/>
      <c r="J2268" s="89" t="n"/>
      <c r="K2268" s="88" t="n"/>
      <c r="L2268" s="88" t="n"/>
      <c r="M2268" s="88" t="n"/>
      <c r="N2268" s="89" t="n"/>
      <c r="O2268" s="88" t="n"/>
      <c r="P2268" s="88" t="n"/>
      <c r="Q2268" s="88" t="n"/>
      <c r="R2268" s="89" t="n"/>
      <c r="S2268" s="88" t="n"/>
      <c r="T2268" s="88" t="n"/>
      <c r="U2268" s="88" t="n"/>
      <c r="V2268" s="89" t="n"/>
      <c r="W2268" s="88" t="n"/>
      <c r="X2268" s="89" t="n"/>
      <c r="Y2268" s="88" t="n"/>
      <c r="Z2268" s="89" t="n"/>
      <c r="AB2268" s="25">
        <f>IF($B2268="","",(COUNTIF(C2268:E2268,"?*")&lt;N(INDEX(Setup!$L$6:$L$23,11)))+(COUNTIF(G2268:I2268,"?*")&lt;N(INDEX(Setup!$L$6:$L$23,11)))+(COUNTIF(K2268:M2268,"?*")&lt;N(INDEX(Setup!$L$6:$L$23,11)))+(COUNTIF(O2268:Q2268,"?*")&lt;N(INDEX(Setup!$L$6:$L$23,11)))+(COUNTIF(S2268:U2268,"?*")&lt;N(INDEX(Setup!$L$6:$L$23,11)))+((W2268="")*(INDEX(Setup!$M$6:$M$23,11)="Y"))+((Y2268="")*(INDEX(Setup!$M$6:$M$23,11)="Y")))</f>
        <v/>
      </c>
      <c r="AC2268" s="90">
        <f>IF($B2268="","",IF(AB2268=0,"✓ covered","⚠ "&amp;AB2268&amp;IF(AB2268=1," gap"," gaps")))</f>
        <v/>
      </c>
    </row>
    <row r="2269" ht="17" customHeight="1">
      <c r="A2269" t="n">
        <v>46</v>
      </c>
      <c r="B2269" s="29">
        <f>IF(Setup!$K$17="","",Setup!$K$17)</f>
        <v/>
      </c>
      <c r="C2269" s="88" t="n"/>
      <c r="D2269" s="88" t="n"/>
      <c r="E2269" s="88" t="n"/>
      <c r="F2269" s="89" t="n"/>
      <c r="G2269" s="88" t="n"/>
      <c r="H2269" s="88" t="n"/>
      <c r="I2269" s="88" t="n"/>
      <c r="J2269" s="89" t="n"/>
      <c r="K2269" s="88" t="n"/>
      <c r="L2269" s="88" t="n"/>
      <c r="M2269" s="88" t="n"/>
      <c r="N2269" s="89" t="n"/>
      <c r="O2269" s="88" t="n"/>
      <c r="P2269" s="88" t="n"/>
      <c r="Q2269" s="88" t="n"/>
      <c r="R2269" s="89" t="n"/>
      <c r="S2269" s="88" t="n"/>
      <c r="T2269" s="88" t="n"/>
      <c r="U2269" s="88" t="n"/>
      <c r="V2269" s="89" t="n"/>
      <c r="W2269" s="88" t="n"/>
      <c r="X2269" s="89" t="n"/>
      <c r="Y2269" s="88" t="n"/>
      <c r="Z2269" s="89" t="n"/>
      <c r="AB2269" s="30">
        <f>IF($B2269="","",(COUNTIF(C2269:E2269,"?*")&lt;N(INDEX(Setup!$L$6:$L$23,12)))+(COUNTIF(G2269:I2269,"?*")&lt;N(INDEX(Setup!$L$6:$L$23,12)))+(COUNTIF(K2269:M2269,"?*")&lt;N(INDEX(Setup!$L$6:$L$23,12)))+(COUNTIF(O2269:Q2269,"?*")&lt;N(INDEX(Setup!$L$6:$L$23,12)))+(COUNTIF(S2269:U2269,"?*")&lt;N(INDEX(Setup!$L$6:$L$23,12)))+((W2269="")*(INDEX(Setup!$M$6:$M$23,12)="Y"))+((Y2269="")*(INDEX(Setup!$M$6:$M$23,12)="Y")))</f>
        <v/>
      </c>
      <c r="AC2269" s="91">
        <f>IF($B2269="","",IF(AB2269=0,"✓ covered","⚠ "&amp;AB2269&amp;IF(AB2269=1," gap"," gaps")))</f>
        <v/>
      </c>
    </row>
    <row r="2270" ht="17" customHeight="1">
      <c r="A2270" t="n">
        <v>46</v>
      </c>
      <c r="B2270" s="24">
        <f>IF(Setup!$K$18="","",Setup!$K$18)</f>
        <v/>
      </c>
      <c r="C2270" s="88" t="n"/>
      <c r="D2270" s="88" t="n"/>
      <c r="E2270" s="88" t="n"/>
      <c r="F2270" s="89" t="n"/>
      <c r="G2270" s="88" t="n"/>
      <c r="H2270" s="88" t="n"/>
      <c r="I2270" s="88" t="n"/>
      <c r="J2270" s="89" t="n"/>
      <c r="K2270" s="88" t="n"/>
      <c r="L2270" s="88" t="n"/>
      <c r="M2270" s="88" t="n"/>
      <c r="N2270" s="89" t="n"/>
      <c r="O2270" s="88" t="n"/>
      <c r="P2270" s="88" t="n"/>
      <c r="Q2270" s="88" t="n"/>
      <c r="R2270" s="89" t="n"/>
      <c r="S2270" s="88" t="n"/>
      <c r="T2270" s="88" t="n"/>
      <c r="U2270" s="88" t="n"/>
      <c r="V2270" s="89" t="n"/>
      <c r="W2270" s="88" t="n"/>
      <c r="X2270" s="89" t="n"/>
      <c r="Y2270" s="88" t="n"/>
      <c r="Z2270" s="89" t="n"/>
      <c r="AB2270" s="25">
        <f>IF($B2270="","",(COUNTIF(C2270:E2270,"?*")&lt;N(INDEX(Setup!$L$6:$L$23,13)))+(COUNTIF(G2270:I2270,"?*")&lt;N(INDEX(Setup!$L$6:$L$23,13)))+(COUNTIF(K2270:M2270,"?*")&lt;N(INDEX(Setup!$L$6:$L$23,13)))+(COUNTIF(O2270:Q2270,"?*")&lt;N(INDEX(Setup!$L$6:$L$23,13)))+(COUNTIF(S2270:U2270,"?*")&lt;N(INDEX(Setup!$L$6:$L$23,13)))+((W2270="")*(INDEX(Setup!$M$6:$M$23,13)="Y"))+((Y2270="")*(INDEX(Setup!$M$6:$M$23,13)="Y")))</f>
        <v/>
      </c>
      <c r="AC2270" s="90">
        <f>IF($B2270="","",IF(AB2270=0,"✓ covered","⚠ "&amp;AB2270&amp;IF(AB2270=1," gap"," gaps")))</f>
        <v/>
      </c>
    </row>
    <row r="2271" ht="17" customHeight="1">
      <c r="A2271" t="n">
        <v>46</v>
      </c>
      <c r="B2271" s="29">
        <f>IF(Setup!$K$19="","",Setup!$K$19)</f>
        <v/>
      </c>
      <c r="C2271" s="88" t="n"/>
      <c r="D2271" s="88" t="n"/>
      <c r="E2271" s="88" t="n"/>
      <c r="F2271" s="89" t="n"/>
      <c r="G2271" s="88" t="n"/>
      <c r="H2271" s="88" t="n"/>
      <c r="I2271" s="88" t="n"/>
      <c r="J2271" s="89" t="n"/>
      <c r="K2271" s="88" t="n"/>
      <c r="L2271" s="88" t="n"/>
      <c r="M2271" s="88" t="n"/>
      <c r="N2271" s="89" t="n"/>
      <c r="O2271" s="88" t="n"/>
      <c r="P2271" s="88" t="n"/>
      <c r="Q2271" s="88" t="n"/>
      <c r="R2271" s="89" t="n"/>
      <c r="S2271" s="88" t="n"/>
      <c r="T2271" s="88" t="n"/>
      <c r="U2271" s="88" t="n"/>
      <c r="V2271" s="89" t="n"/>
      <c r="W2271" s="88" t="n"/>
      <c r="X2271" s="89" t="n"/>
      <c r="Y2271" s="88" t="n"/>
      <c r="Z2271" s="89" t="n"/>
      <c r="AB2271" s="30">
        <f>IF($B2271="","",(COUNTIF(C2271:E2271,"?*")&lt;N(INDEX(Setup!$L$6:$L$23,14)))+(COUNTIF(G2271:I2271,"?*")&lt;N(INDEX(Setup!$L$6:$L$23,14)))+(COUNTIF(K2271:M2271,"?*")&lt;N(INDEX(Setup!$L$6:$L$23,14)))+(COUNTIF(O2271:Q2271,"?*")&lt;N(INDEX(Setup!$L$6:$L$23,14)))+(COUNTIF(S2271:U2271,"?*")&lt;N(INDEX(Setup!$L$6:$L$23,14)))+((W2271="")*(INDEX(Setup!$M$6:$M$23,14)="Y"))+((Y2271="")*(INDEX(Setup!$M$6:$M$23,14)="Y")))</f>
        <v/>
      </c>
      <c r="AC2271" s="91">
        <f>IF($B2271="","",IF(AB2271=0,"✓ covered","⚠ "&amp;AB2271&amp;IF(AB2271=1," gap"," gaps")))</f>
        <v/>
      </c>
    </row>
    <row r="2272" ht="17" customHeight="1">
      <c r="A2272" t="n">
        <v>46</v>
      </c>
      <c r="B2272" s="24">
        <f>IF(Setup!$K$20="","",Setup!$K$20)</f>
        <v/>
      </c>
      <c r="C2272" s="88" t="n"/>
      <c r="D2272" s="88" t="n"/>
      <c r="E2272" s="88" t="n"/>
      <c r="F2272" s="89" t="n"/>
      <c r="G2272" s="88" t="n"/>
      <c r="H2272" s="88" t="n"/>
      <c r="I2272" s="88" t="n"/>
      <c r="J2272" s="89" t="n"/>
      <c r="K2272" s="88" t="n"/>
      <c r="L2272" s="88" t="n"/>
      <c r="M2272" s="88" t="n"/>
      <c r="N2272" s="89" t="n"/>
      <c r="O2272" s="88" t="n"/>
      <c r="P2272" s="88" t="n"/>
      <c r="Q2272" s="88" t="n"/>
      <c r="R2272" s="89" t="n"/>
      <c r="S2272" s="88" t="n"/>
      <c r="T2272" s="88" t="n"/>
      <c r="U2272" s="88" t="n"/>
      <c r="V2272" s="89" t="n"/>
      <c r="W2272" s="88" t="n"/>
      <c r="X2272" s="89" t="n"/>
      <c r="Y2272" s="88" t="n"/>
      <c r="Z2272" s="89" t="n"/>
      <c r="AB2272" s="25">
        <f>IF($B2272="","",(COUNTIF(C2272:E2272,"?*")&lt;N(INDEX(Setup!$L$6:$L$23,15)))+(COUNTIF(G2272:I2272,"?*")&lt;N(INDEX(Setup!$L$6:$L$23,15)))+(COUNTIF(K2272:M2272,"?*")&lt;N(INDEX(Setup!$L$6:$L$23,15)))+(COUNTIF(O2272:Q2272,"?*")&lt;N(INDEX(Setup!$L$6:$L$23,15)))+(COUNTIF(S2272:U2272,"?*")&lt;N(INDEX(Setup!$L$6:$L$23,15)))+((W2272="")*(INDEX(Setup!$M$6:$M$23,15)="Y"))+((Y2272="")*(INDEX(Setup!$M$6:$M$23,15)="Y")))</f>
        <v/>
      </c>
      <c r="AC2272" s="90">
        <f>IF($B2272="","",IF(AB2272=0,"✓ covered","⚠ "&amp;AB2272&amp;IF(AB2272=1," gap"," gaps")))</f>
        <v/>
      </c>
    </row>
    <row r="2273" ht="17" customHeight="1">
      <c r="A2273" t="n">
        <v>46</v>
      </c>
      <c r="B2273" s="29">
        <f>IF(Setup!$K$21="","",Setup!$K$21)</f>
        <v/>
      </c>
      <c r="C2273" s="88" t="n"/>
      <c r="D2273" s="88" t="n"/>
      <c r="E2273" s="88" t="n"/>
      <c r="F2273" s="89" t="n"/>
      <c r="G2273" s="88" t="n"/>
      <c r="H2273" s="88" t="n"/>
      <c r="I2273" s="88" t="n"/>
      <c r="J2273" s="89" t="n"/>
      <c r="K2273" s="88" t="n"/>
      <c r="L2273" s="88" t="n"/>
      <c r="M2273" s="88" t="n"/>
      <c r="N2273" s="89" t="n"/>
      <c r="O2273" s="88" t="n"/>
      <c r="P2273" s="88" t="n"/>
      <c r="Q2273" s="88" t="n"/>
      <c r="R2273" s="89" t="n"/>
      <c r="S2273" s="88" t="n"/>
      <c r="T2273" s="88" t="n"/>
      <c r="U2273" s="88" t="n"/>
      <c r="V2273" s="89" t="n"/>
      <c r="W2273" s="88" t="n"/>
      <c r="X2273" s="89" t="n"/>
      <c r="Y2273" s="88" t="n"/>
      <c r="Z2273" s="89" t="n"/>
      <c r="AB2273" s="30">
        <f>IF($B2273="","",(COUNTIF(C2273:E2273,"?*")&lt;N(INDEX(Setup!$L$6:$L$23,16)))+(COUNTIF(G2273:I2273,"?*")&lt;N(INDEX(Setup!$L$6:$L$23,16)))+(COUNTIF(K2273:M2273,"?*")&lt;N(INDEX(Setup!$L$6:$L$23,16)))+(COUNTIF(O2273:Q2273,"?*")&lt;N(INDEX(Setup!$L$6:$L$23,16)))+(COUNTIF(S2273:U2273,"?*")&lt;N(INDEX(Setup!$L$6:$L$23,16)))+((W2273="")*(INDEX(Setup!$M$6:$M$23,16)="Y"))+((Y2273="")*(INDEX(Setup!$M$6:$M$23,16)="Y")))</f>
        <v/>
      </c>
      <c r="AC2273" s="91">
        <f>IF($B2273="","",IF(AB2273=0,"✓ covered","⚠ "&amp;AB2273&amp;IF(AB2273=1," gap"," gaps")))</f>
        <v/>
      </c>
    </row>
    <row r="2274" ht="17" customHeight="1">
      <c r="A2274" t="n">
        <v>46</v>
      </c>
      <c r="B2274" s="24">
        <f>IF(Setup!$K$22="","",Setup!$K$22)</f>
        <v/>
      </c>
      <c r="C2274" s="88" t="n"/>
      <c r="D2274" s="88" t="n"/>
      <c r="E2274" s="88" t="n"/>
      <c r="F2274" s="89" t="n"/>
      <c r="G2274" s="88" t="n"/>
      <c r="H2274" s="88" t="n"/>
      <c r="I2274" s="88" t="n"/>
      <c r="J2274" s="89" t="n"/>
      <c r="K2274" s="88" t="n"/>
      <c r="L2274" s="88" t="n"/>
      <c r="M2274" s="88" t="n"/>
      <c r="N2274" s="89" t="n"/>
      <c r="O2274" s="88" t="n"/>
      <c r="P2274" s="88" t="n"/>
      <c r="Q2274" s="88" t="n"/>
      <c r="R2274" s="89" t="n"/>
      <c r="S2274" s="88" t="n"/>
      <c r="T2274" s="88" t="n"/>
      <c r="U2274" s="88" t="n"/>
      <c r="V2274" s="89" t="n"/>
      <c r="W2274" s="88" t="n"/>
      <c r="X2274" s="89" t="n"/>
      <c r="Y2274" s="88" t="n"/>
      <c r="Z2274" s="89" t="n"/>
      <c r="AB2274" s="25">
        <f>IF($B2274="","",(COUNTIF(C2274:E2274,"?*")&lt;N(INDEX(Setup!$L$6:$L$23,17)))+(COUNTIF(G2274:I2274,"?*")&lt;N(INDEX(Setup!$L$6:$L$23,17)))+(COUNTIF(K2274:M2274,"?*")&lt;N(INDEX(Setup!$L$6:$L$23,17)))+(COUNTIF(O2274:Q2274,"?*")&lt;N(INDEX(Setup!$L$6:$L$23,17)))+(COUNTIF(S2274:U2274,"?*")&lt;N(INDEX(Setup!$L$6:$L$23,17)))+((W2274="")*(INDEX(Setup!$M$6:$M$23,17)="Y"))+((Y2274="")*(INDEX(Setup!$M$6:$M$23,17)="Y")))</f>
        <v/>
      </c>
      <c r="AC2274" s="90">
        <f>IF($B2274="","",IF(AB2274=0,"✓ covered","⚠ "&amp;AB2274&amp;IF(AB2274=1," gap"," gaps")))</f>
        <v/>
      </c>
    </row>
    <row r="2275" ht="17" customHeight="1">
      <c r="A2275" t="n">
        <v>46</v>
      </c>
      <c r="B2275" s="29">
        <f>IF(Setup!$K$23="","",Setup!$K$23)</f>
        <v/>
      </c>
      <c r="C2275" s="88" t="n"/>
      <c r="D2275" s="88" t="n"/>
      <c r="E2275" s="88" t="n"/>
      <c r="F2275" s="89" t="n"/>
      <c r="G2275" s="88" t="n"/>
      <c r="H2275" s="88" t="n"/>
      <c r="I2275" s="88" t="n"/>
      <c r="J2275" s="89" t="n"/>
      <c r="K2275" s="88" t="n"/>
      <c r="L2275" s="88" t="n"/>
      <c r="M2275" s="88" t="n"/>
      <c r="N2275" s="89" t="n"/>
      <c r="O2275" s="88" t="n"/>
      <c r="P2275" s="88" t="n"/>
      <c r="Q2275" s="88" t="n"/>
      <c r="R2275" s="89" t="n"/>
      <c r="S2275" s="88" t="n"/>
      <c r="T2275" s="88" t="n"/>
      <c r="U2275" s="88" t="n"/>
      <c r="V2275" s="89" t="n"/>
      <c r="W2275" s="88" t="n"/>
      <c r="X2275" s="89" t="n"/>
      <c r="Y2275" s="88" t="n"/>
      <c r="Z2275" s="89" t="n"/>
      <c r="AB2275" s="30">
        <f>IF($B2275="","",(COUNTIF(C2275:E2275,"?*")&lt;N(INDEX(Setup!$L$6:$L$23,18)))+(COUNTIF(G2275:I2275,"?*")&lt;N(INDEX(Setup!$L$6:$L$23,18)))+(COUNTIF(K2275:M2275,"?*")&lt;N(INDEX(Setup!$L$6:$L$23,18)))+(COUNTIF(O2275:Q2275,"?*")&lt;N(INDEX(Setup!$L$6:$L$23,18)))+(COUNTIF(S2275:U2275,"?*")&lt;N(INDEX(Setup!$L$6:$L$23,18)))+((W2275="")*(INDEX(Setup!$M$6:$M$23,18)="Y"))+((Y2275="")*(INDEX(Setup!$M$6:$M$23,18)="Y")))</f>
        <v/>
      </c>
      <c r="AC2275" s="91">
        <f>IF($B2275="","",IF(AB2275=0,"✓ covered","⚠ "&amp;AB2275&amp;IF(AB2275=1," gap"," gaps")))</f>
        <v/>
      </c>
    </row>
    <row r="2276" ht="18" customHeight="1">
      <c r="A2276" t="n">
        <v>46</v>
      </c>
      <c r="B2276" s="78" t="inlineStr">
        <is>
          <t>TEAM AVAILABILITY</t>
        </is>
      </c>
      <c r="C2276" s="92" t="inlineStr">
        <is>
          <t>Mon</t>
        </is>
      </c>
      <c r="D2276" s="93" t="n"/>
      <c r="E2276" s="93" t="n"/>
      <c r="F2276" s="94" t="n"/>
      <c r="G2276" s="92" t="inlineStr">
        <is>
          <t>Tue</t>
        </is>
      </c>
      <c r="H2276" s="93" t="n"/>
      <c r="I2276" s="93" t="n"/>
      <c r="J2276" s="94" t="n"/>
      <c r="K2276" s="92" t="inlineStr">
        <is>
          <t>Wed</t>
        </is>
      </c>
      <c r="L2276" s="93" t="n"/>
      <c r="M2276" s="93" t="n"/>
      <c r="N2276" s="94" t="n"/>
      <c r="O2276" s="92" t="inlineStr">
        <is>
          <t>Thu</t>
        </is>
      </c>
      <c r="P2276" s="93" t="n"/>
      <c r="Q2276" s="93" t="n"/>
      <c r="R2276" s="94" t="n"/>
      <c r="S2276" s="92" t="inlineStr">
        <is>
          <t>Fri</t>
        </is>
      </c>
      <c r="T2276" s="93" t="n"/>
      <c r="U2276" s="93" t="n"/>
      <c r="V2276" s="94" t="n"/>
      <c r="W2276" s="95" t="inlineStr">
        <is>
          <t>Sat</t>
        </is>
      </c>
      <c r="X2276" s="96" t="n"/>
      <c r="Y2276" s="95" t="inlineStr">
        <is>
          <t>Sun</t>
        </is>
      </c>
      <c r="Z2276" s="96" t="n"/>
      <c r="AB2276" s="97" t="inlineStr">
        <is>
          <t>Days rostered</t>
        </is>
      </c>
      <c r="AC2276" s="97" t="inlineStr">
        <is>
          <t>Conflicts</t>
        </is>
      </c>
    </row>
    <row r="2277" ht="15" customHeight="1">
      <c r="A2277" t="n">
        <v>46</v>
      </c>
      <c r="B2277" s="35">
        <f>IF(Setup!$B$6="","",Setup!$B$6)</f>
        <v/>
      </c>
      <c r="C2277" s="98" t="n"/>
      <c r="D2277" s="99" t="n"/>
      <c r="E2277" s="99" t="n"/>
      <c r="F2277" s="100" t="n"/>
      <c r="G2277" s="98" t="n"/>
      <c r="H2277" s="99" t="n"/>
      <c r="I2277" s="99" t="n"/>
      <c r="J2277" s="100" t="n"/>
      <c r="K2277" s="98" t="n"/>
      <c r="L2277" s="99" t="n"/>
      <c r="M2277" s="99" t="n"/>
      <c r="N2277" s="100" t="n"/>
      <c r="O2277" s="98" t="n"/>
      <c r="P2277" s="99" t="n"/>
      <c r="Q2277" s="99" t="n"/>
      <c r="R2277" s="100" t="n"/>
      <c r="S2277" s="98" t="n"/>
      <c r="T2277" s="99" t="n"/>
      <c r="U2277" s="99" t="n"/>
      <c r="V2277" s="100" t="n"/>
      <c r="W2277" s="98" t="n"/>
      <c r="X2277" s="100" t="n"/>
      <c r="Y2277" s="98" t="n"/>
      <c r="Z2277" s="100" t="n"/>
      <c r="AB2277" s="101">
        <f>IF($B2277="","",(COUNTIF(C2258:E2275,$B2277)+COUNTIF(C2258:E2275,$B2277&amp;" ~*")&gt;0)+(COUNTIF(G2258:I2275,$B2277)+COUNTIF(G2258:I2275,$B2277&amp;" ~*")&gt;0)+(COUNTIF(K2258:M2275,$B2277)+COUNTIF(K2258:M2275,$B2277&amp;" ~*")&gt;0)+(COUNTIF(O2258:Q2275,$B2277)+COUNTIF(O2258:Q2275,$B2277&amp;" ~*")&gt;0)+(COUNTIF(S2258:U2275,$B2277)+COUNTIF(S2258:U2275,$B2277&amp;" ~*")&gt;0)+(COUNTIF(W2258:W2275,$B2277)+COUNTIF(W2258:W2275,$B2277&amp;" ~*")&gt;0)+(COUNTIF(Y2258:Y2275,$B2277)+COUNTIF(Y2258:Y2275,$B2277&amp;" ~*")&gt;0))</f>
        <v/>
      </c>
      <c r="AC2277" s="36">
        <f>IF($B2277="","",(IFERROR(INDEX(Setup!$G$33:$G$40,MATCH(C2277,Setup!$B$33:$B$40,0)),0)=1)*(COUNTIF(C2258:E2275,$B2277)+COUNTIF(C2258:E2275,$B2277&amp;" ~*")&gt;0)+(IFERROR(INDEX(Setup!$G$33:$G$40,MATCH(G2277,Setup!$B$33:$B$40,0)),0)=1)*(COUNTIF(G2258:I2275,$B2277)+COUNTIF(G2258:I2275,$B2277&amp;" ~*")&gt;0)+(IFERROR(INDEX(Setup!$G$33:$G$40,MATCH(K2277,Setup!$B$33:$B$40,0)),0)=1)*(COUNTIF(K2258:M2275,$B2277)+COUNTIF(K2258:M2275,$B2277&amp;" ~*")&gt;0)+(IFERROR(INDEX(Setup!$G$33:$G$40,MATCH(O2277,Setup!$B$33:$B$40,0)),0)=1)*(COUNTIF(O2258:Q2275,$B2277)+COUNTIF(O2258:Q2275,$B2277&amp;" ~*")&gt;0)+(IFERROR(INDEX(Setup!$G$33:$G$40,MATCH(S2277,Setup!$B$33:$B$40,0)),0)=1)*(COUNTIF(S2258:U2275,$B2277)+COUNTIF(S2258:U2275,$B2277&amp;" ~*")&gt;0)+(IFERROR(INDEX(Setup!$G$33:$G$40,MATCH(W2277,Setup!$B$33:$B$40,0)),0)=1)*(COUNTIF(W2258:W2275,$B2277)+COUNTIF(W2258:W2275,$B2277&amp;" ~*")&gt;0)+(IFERROR(INDEX(Setup!$G$33:$G$40,MATCH(Y2277,Setup!$B$33:$B$40,0)),0)=1)*(COUNTIF(Y2258:Y2275,$B2277)+COUNTIF(Y2258:Y2275,$B2277&amp;" ~*")&gt;0))</f>
        <v/>
      </c>
    </row>
    <row r="2278" ht="15" customHeight="1">
      <c r="A2278" t="n">
        <v>46</v>
      </c>
      <c r="B2278" s="37">
        <f>IF(Setup!$B$7="","",Setup!$B$7)</f>
        <v/>
      </c>
      <c r="C2278" s="102" t="n"/>
      <c r="D2278" s="103" t="n"/>
      <c r="E2278" s="103" t="n"/>
      <c r="F2278" s="104" t="n"/>
      <c r="G2278" s="102" t="n"/>
      <c r="H2278" s="103" t="n"/>
      <c r="I2278" s="103" t="n"/>
      <c r="J2278" s="104" t="n"/>
      <c r="K2278" s="102" t="n"/>
      <c r="L2278" s="103" t="n"/>
      <c r="M2278" s="103" t="n"/>
      <c r="N2278" s="104" t="n"/>
      <c r="O2278" s="102" t="n"/>
      <c r="P2278" s="103" t="n"/>
      <c r="Q2278" s="103" t="n"/>
      <c r="R2278" s="104" t="n"/>
      <c r="S2278" s="102" t="n"/>
      <c r="T2278" s="103" t="n"/>
      <c r="U2278" s="103" t="n"/>
      <c r="V2278" s="104" t="n"/>
      <c r="W2278" s="102" t="n"/>
      <c r="X2278" s="104" t="n"/>
      <c r="Y2278" s="102" t="n"/>
      <c r="Z2278" s="104" t="n"/>
      <c r="AB2278" s="105">
        <f>IF($B2278="","",(COUNTIF(C2258:E2275,$B2278)+COUNTIF(C2258:E2275,$B2278&amp;" ~*")&gt;0)+(COUNTIF(G2258:I2275,$B2278)+COUNTIF(G2258:I2275,$B2278&amp;" ~*")&gt;0)+(COUNTIF(K2258:M2275,$B2278)+COUNTIF(K2258:M2275,$B2278&amp;" ~*")&gt;0)+(COUNTIF(O2258:Q2275,$B2278)+COUNTIF(O2258:Q2275,$B2278&amp;" ~*")&gt;0)+(COUNTIF(S2258:U2275,$B2278)+COUNTIF(S2258:U2275,$B2278&amp;" ~*")&gt;0)+(COUNTIF(W2258:W2275,$B2278)+COUNTIF(W2258:W2275,$B2278&amp;" ~*")&gt;0)+(COUNTIF(Y2258:Y2275,$B2278)+COUNTIF(Y2258:Y2275,$B2278&amp;" ~*")&gt;0))</f>
        <v/>
      </c>
      <c r="AC2278" s="38">
        <f>IF($B2278="","",(IFERROR(INDEX(Setup!$G$33:$G$40,MATCH(C2278,Setup!$B$33:$B$40,0)),0)=1)*(COUNTIF(C2258:E2275,$B2278)+COUNTIF(C2258:E2275,$B2278&amp;" ~*")&gt;0)+(IFERROR(INDEX(Setup!$G$33:$G$40,MATCH(G2278,Setup!$B$33:$B$40,0)),0)=1)*(COUNTIF(G2258:I2275,$B2278)+COUNTIF(G2258:I2275,$B2278&amp;" ~*")&gt;0)+(IFERROR(INDEX(Setup!$G$33:$G$40,MATCH(K2278,Setup!$B$33:$B$40,0)),0)=1)*(COUNTIF(K2258:M2275,$B2278)+COUNTIF(K2258:M2275,$B2278&amp;" ~*")&gt;0)+(IFERROR(INDEX(Setup!$G$33:$G$40,MATCH(O2278,Setup!$B$33:$B$40,0)),0)=1)*(COUNTIF(O2258:Q2275,$B2278)+COUNTIF(O2258:Q2275,$B2278&amp;" ~*")&gt;0)+(IFERROR(INDEX(Setup!$G$33:$G$40,MATCH(S2278,Setup!$B$33:$B$40,0)),0)=1)*(COUNTIF(S2258:U2275,$B2278)+COUNTIF(S2258:U2275,$B2278&amp;" ~*")&gt;0)+(IFERROR(INDEX(Setup!$G$33:$G$40,MATCH(W2278,Setup!$B$33:$B$40,0)),0)=1)*(COUNTIF(W2258:W2275,$B2278)+COUNTIF(W2258:W2275,$B2278&amp;" ~*")&gt;0)+(IFERROR(INDEX(Setup!$G$33:$G$40,MATCH(Y2278,Setup!$B$33:$B$40,0)),0)=1)*(COUNTIF(Y2258:Y2275,$B2278)+COUNTIF(Y2258:Y2275,$B2278&amp;" ~*")&gt;0))</f>
        <v/>
      </c>
    </row>
    <row r="2279" ht="15" customHeight="1">
      <c r="A2279" t="n">
        <v>46</v>
      </c>
      <c r="B2279" s="35">
        <f>IF(Setup!$B$8="","",Setup!$B$8)</f>
        <v/>
      </c>
      <c r="C2279" s="98" t="n"/>
      <c r="D2279" s="99" t="n"/>
      <c r="E2279" s="99" t="n"/>
      <c r="F2279" s="100" t="n"/>
      <c r="G2279" s="98" t="n"/>
      <c r="H2279" s="99" t="n"/>
      <c r="I2279" s="99" t="n"/>
      <c r="J2279" s="100" t="n"/>
      <c r="K2279" s="98" t="n"/>
      <c r="L2279" s="99" t="n"/>
      <c r="M2279" s="99" t="n"/>
      <c r="N2279" s="100" t="n"/>
      <c r="O2279" s="98" t="n"/>
      <c r="P2279" s="99" t="n"/>
      <c r="Q2279" s="99" t="n"/>
      <c r="R2279" s="100" t="n"/>
      <c r="S2279" s="98" t="n"/>
      <c r="T2279" s="99" t="n"/>
      <c r="U2279" s="99" t="n"/>
      <c r="V2279" s="100" t="n"/>
      <c r="W2279" s="98" t="n"/>
      <c r="X2279" s="100" t="n"/>
      <c r="Y2279" s="98" t="n"/>
      <c r="Z2279" s="100" t="n"/>
      <c r="AB2279" s="101">
        <f>IF($B2279="","",(COUNTIF(C2258:E2275,$B2279)+COUNTIF(C2258:E2275,$B2279&amp;" ~*")&gt;0)+(COUNTIF(G2258:I2275,$B2279)+COUNTIF(G2258:I2275,$B2279&amp;" ~*")&gt;0)+(COUNTIF(K2258:M2275,$B2279)+COUNTIF(K2258:M2275,$B2279&amp;" ~*")&gt;0)+(COUNTIF(O2258:Q2275,$B2279)+COUNTIF(O2258:Q2275,$B2279&amp;" ~*")&gt;0)+(COUNTIF(S2258:U2275,$B2279)+COUNTIF(S2258:U2275,$B2279&amp;" ~*")&gt;0)+(COUNTIF(W2258:W2275,$B2279)+COUNTIF(W2258:W2275,$B2279&amp;" ~*")&gt;0)+(COUNTIF(Y2258:Y2275,$B2279)+COUNTIF(Y2258:Y2275,$B2279&amp;" ~*")&gt;0))</f>
        <v/>
      </c>
      <c r="AC2279" s="36">
        <f>IF($B2279="","",(IFERROR(INDEX(Setup!$G$33:$G$40,MATCH(C2279,Setup!$B$33:$B$40,0)),0)=1)*(COUNTIF(C2258:E2275,$B2279)+COUNTIF(C2258:E2275,$B2279&amp;" ~*")&gt;0)+(IFERROR(INDEX(Setup!$G$33:$G$40,MATCH(G2279,Setup!$B$33:$B$40,0)),0)=1)*(COUNTIF(G2258:I2275,$B2279)+COUNTIF(G2258:I2275,$B2279&amp;" ~*")&gt;0)+(IFERROR(INDEX(Setup!$G$33:$G$40,MATCH(K2279,Setup!$B$33:$B$40,0)),0)=1)*(COUNTIF(K2258:M2275,$B2279)+COUNTIF(K2258:M2275,$B2279&amp;" ~*")&gt;0)+(IFERROR(INDEX(Setup!$G$33:$G$40,MATCH(O2279,Setup!$B$33:$B$40,0)),0)=1)*(COUNTIF(O2258:Q2275,$B2279)+COUNTIF(O2258:Q2275,$B2279&amp;" ~*")&gt;0)+(IFERROR(INDEX(Setup!$G$33:$G$40,MATCH(S2279,Setup!$B$33:$B$40,0)),0)=1)*(COUNTIF(S2258:U2275,$B2279)+COUNTIF(S2258:U2275,$B2279&amp;" ~*")&gt;0)+(IFERROR(INDEX(Setup!$G$33:$G$40,MATCH(W2279,Setup!$B$33:$B$40,0)),0)=1)*(COUNTIF(W2258:W2275,$B2279)+COUNTIF(W2258:W2275,$B2279&amp;" ~*")&gt;0)+(IFERROR(INDEX(Setup!$G$33:$G$40,MATCH(Y2279,Setup!$B$33:$B$40,0)),0)=1)*(COUNTIF(Y2258:Y2275,$B2279)+COUNTIF(Y2258:Y2275,$B2279&amp;" ~*")&gt;0))</f>
        <v/>
      </c>
    </row>
    <row r="2280" ht="15" customHeight="1">
      <c r="A2280" t="n">
        <v>46</v>
      </c>
      <c r="B2280" s="37">
        <f>IF(Setup!$B$9="","",Setup!$B$9)</f>
        <v/>
      </c>
      <c r="C2280" s="102" t="n"/>
      <c r="D2280" s="103" t="n"/>
      <c r="E2280" s="103" t="n"/>
      <c r="F2280" s="104" t="n"/>
      <c r="G2280" s="102" t="n"/>
      <c r="H2280" s="103" t="n"/>
      <c r="I2280" s="103" t="n"/>
      <c r="J2280" s="104" t="n"/>
      <c r="K2280" s="102" t="n"/>
      <c r="L2280" s="103" t="n"/>
      <c r="M2280" s="103" t="n"/>
      <c r="N2280" s="104" t="n"/>
      <c r="O2280" s="102" t="n"/>
      <c r="P2280" s="103" t="n"/>
      <c r="Q2280" s="103" t="n"/>
      <c r="R2280" s="104" t="n"/>
      <c r="S2280" s="102" t="n"/>
      <c r="T2280" s="103" t="n"/>
      <c r="U2280" s="103" t="n"/>
      <c r="V2280" s="104" t="n"/>
      <c r="W2280" s="102" t="n"/>
      <c r="X2280" s="104" t="n"/>
      <c r="Y2280" s="102" t="n"/>
      <c r="Z2280" s="104" t="n"/>
      <c r="AB2280" s="105">
        <f>IF($B2280="","",(COUNTIF(C2258:E2275,$B2280)+COUNTIF(C2258:E2275,$B2280&amp;" ~*")&gt;0)+(COUNTIF(G2258:I2275,$B2280)+COUNTIF(G2258:I2275,$B2280&amp;" ~*")&gt;0)+(COUNTIF(K2258:M2275,$B2280)+COUNTIF(K2258:M2275,$B2280&amp;" ~*")&gt;0)+(COUNTIF(O2258:Q2275,$B2280)+COUNTIF(O2258:Q2275,$B2280&amp;" ~*")&gt;0)+(COUNTIF(S2258:U2275,$B2280)+COUNTIF(S2258:U2275,$B2280&amp;" ~*")&gt;0)+(COUNTIF(W2258:W2275,$B2280)+COUNTIF(W2258:W2275,$B2280&amp;" ~*")&gt;0)+(COUNTIF(Y2258:Y2275,$B2280)+COUNTIF(Y2258:Y2275,$B2280&amp;" ~*")&gt;0))</f>
        <v/>
      </c>
      <c r="AC2280" s="38">
        <f>IF($B2280="","",(IFERROR(INDEX(Setup!$G$33:$G$40,MATCH(C2280,Setup!$B$33:$B$40,0)),0)=1)*(COUNTIF(C2258:E2275,$B2280)+COUNTIF(C2258:E2275,$B2280&amp;" ~*")&gt;0)+(IFERROR(INDEX(Setup!$G$33:$G$40,MATCH(G2280,Setup!$B$33:$B$40,0)),0)=1)*(COUNTIF(G2258:I2275,$B2280)+COUNTIF(G2258:I2275,$B2280&amp;" ~*")&gt;0)+(IFERROR(INDEX(Setup!$G$33:$G$40,MATCH(K2280,Setup!$B$33:$B$40,0)),0)=1)*(COUNTIF(K2258:M2275,$B2280)+COUNTIF(K2258:M2275,$B2280&amp;" ~*")&gt;0)+(IFERROR(INDEX(Setup!$G$33:$G$40,MATCH(O2280,Setup!$B$33:$B$40,0)),0)=1)*(COUNTIF(O2258:Q2275,$B2280)+COUNTIF(O2258:Q2275,$B2280&amp;" ~*")&gt;0)+(IFERROR(INDEX(Setup!$G$33:$G$40,MATCH(S2280,Setup!$B$33:$B$40,0)),0)=1)*(COUNTIF(S2258:U2275,$B2280)+COUNTIF(S2258:U2275,$B2280&amp;" ~*")&gt;0)+(IFERROR(INDEX(Setup!$G$33:$G$40,MATCH(W2280,Setup!$B$33:$B$40,0)),0)=1)*(COUNTIF(W2258:W2275,$B2280)+COUNTIF(W2258:W2275,$B2280&amp;" ~*")&gt;0)+(IFERROR(INDEX(Setup!$G$33:$G$40,MATCH(Y2280,Setup!$B$33:$B$40,0)),0)=1)*(COUNTIF(Y2258:Y2275,$B2280)+COUNTIF(Y2258:Y2275,$B2280&amp;" ~*")&gt;0))</f>
        <v/>
      </c>
    </row>
    <row r="2281" ht="15" customHeight="1">
      <c r="A2281" t="n">
        <v>46</v>
      </c>
      <c r="B2281" s="35">
        <f>IF(Setup!$B$10="","",Setup!$B$10)</f>
        <v/>
      </c>
      <c r="C2281" s="98" t="n"/>
      <c r="D2281" s="99" t="n"/>
      <c r="E2281" s="99" t="n"/>
      <c r="F2281" s="100" t="n"/>
      <c r="G2281" s="98" t="n"/>
      <c r="H2281" s="99" t="n"/>
      <c r="I2281" s="99" t="n"/>
      <c r="J2281" s="100" t="n"/>
      <c r="K2281" s="98" t="n"/>
      <c r="L2281" s="99" t="n"/>
      <c r="M2281" s="99" t="n"/>
      <c r="N2281" s="100" t="n"/>
      <c r="O2281" s="98" t="n"/>
      <c r="P2281" s="99" t="n"/>
      <c r="Q2281" s="99" t="n"/>
      <c r="R2281" s="100" t="n"/>
      <c r="S2281" s="98" t="n"/>
      <c r="T2281" s="99" t="n"/>
      <c r="U2281" s="99" t="n"/>
      <c r="V2281" s="100" t="n"/>
      <c r="W2281" s="98" t="n"/>
      <c r="X2281" s="100" t="n"/>
      <c r="Y2281" s="98" t="n"/>
      <c r="Z2281" s="100" t="n"/>
      <c r="AB2281" s="101">
        <f>IF($B2281="","",(COUNTIF(C2258:E2275,$B2281)+COUNTIF(C2258:E2275,$B2281&amp;" ~*")&gt;0)+(COUNTIF(G2258:I2275,$B2281)+COUNTIF(G2258:I2275,$B2281&amp;" ~*")&gt;0)+(COUNTIF(K2258:M2275,$B2281)+COUNTIF(K2258:M2275,$B2281&amp;" ~*")&gt;0)+(COUNTIF(O2258:Q2275,$B2281)+COUNTIF(O2258:Q2275,$B2281&amp;" ~*")&gt;0)+(COUNTIF(S2258:U2275,$B2281)+COUNTIF(S2258:U2275,$B2281&amp;" ~*")&gt;0)+(COUNTIF(W2258:W2275,$B2281)+COUNTIF(W2258:W2275,$B2281&amp;" ~*")&gt;0)+(COUNTIF(Y2258:Y2275,$B2281)+COUNTIF(Y2258:Y2275,$B2281&amp;" ~*")&gt;0))</f>
        <v/>
      </c>
      <c r="AC2281" s="36">
        <f>IF($B2281="","",(IFERROR(INDEX(Setup!$G$33:$G$40,MATCH(C2281,Setup!$B$33:$B$40,0)),0)=1)*(COUNTIF(C2258:E2275,$B2281)+COUNTIF(C2258:E2275,$B2281&amp;" ~*")&gt;0)+(IFERROR(INDEX(Setup!$G$33:$G$40,MATCH(G2281,Setup!$B$33:$B$40,0)),0)=1)*(COUNTIF(G2258:I2275,$B2281)+COUNTIF(G2258:I2275,$B2281&amp;" ~*")&gt;0)+(IFERROR(INDEX(Setup!$G$33:$G$40,MATCH(K2281,Setup!$B$33:$B$40,0)),0)=1)*(COUNTIF(K2258:M2275,$B2281)+COUNTIF(K2258:M2275,$B2281&amp;" ~*")&gt;0)+(IFERROR(INDEX(Setup!$G$33:$G$40,MATCH(O2281,Setup!$B$33:$B$40,0)),0)=1)*(COUNTIF(O2258:Q2275,$B2281)+COUNTIF(O2258:Q2275,$B2281&amp;" ~*")&gt;0)+(IFERROR(INDEX(Setup!$G$33:$G$40,MATCH(S2281,Setup!$B$33:$B$40,0)),0)=1)*(COUNTIF(S2258:U2275,$B2281)+COUNTIF(S2258:U2275,$B2281&amp;" ~*")&gt;0)+(IFERROR(INDEX(Setup!$G$33:$G$40,MATCH(W2281,Setup!$B$33:$B$40,0)),0)=1)*(COUNTIF(W2258:W2275,$B2281)+COUNTIF(W2258:W2275,$B2281&amp;" ~*")&gt;0)+(IFERROR(INDEX(Setup!$G$33:$G$40,MATCH(Y2281,Setup!$B$33:$B$40,0)),0)=1)*(COUNTIF(Y2258:Y2275,$B2281)+COUNTIF(Y2258:Y2275,$B2281&amp;" ~*")&gt;0))</f>
        <v/>
      </c>
    </row>
    <row r="2282" ht="15" customHeight="1">
      <c r="A2282" t="n">
        <v>46</v>
      </c>
      <c r="B2282" s="37">
        <f>IF(Setup!$B$11="","",Setup!$B$11)</f>
        <v/>
      </c>
      <c r="C2282" s="102" t="n"/>
      <c r="D2282" s="103" t="n"/>
      <c r="E2282" s="103" t="n"/>
      <c r="F2282" s="104" t="n"/>
      <c r="G2282" s="102" t="n"/>
      <c r="H2282" s="103" t="n"/>
      <c r="I2282" s="103" t="n"/>
      <c r="J2282" s="104" t="n"/>
      <c r="K2282" s="102" t="n"/>
      <c r="L2282" s="103" t="n"/>
      <c r="M2282" s="103" t="n"/>
      <c r="N2282" s="104" t="n"/>
      <c r="O2282" s="102" t="n"/>
      <c r="P2282" s="103" t="n"/>
      <c r="Q2282" s="103" t="n"/>
      <c r="R2282" s="104" t="n"/>
      <c r="S2282" s="102" t="n"/>
      <c r="T2282" s="103" t="n"/>
      <c r="U2282" s="103" t="n"/>
      <c r="V2282" s="104" t="n"/>
      <c r="W2282" s="102" t="n"/>
      <c r="X2282" s="104" t="n"/>
      <c r="Y2282" s="102" t="n"/>
      <c r="Z2282" s="104" t="n"/>
      <c r="AB2282" s="105">
        <f>IF($B2282="","",(COUNTIF(C2258:E2275,$B2282)+COUNTIF(C2258:E2275,$B2282&amp;" ~*")&gt;0)+(COUNTIF(G2258:I2275,$B2282)+COUNTIF(G2258:I2275,$B2282&amp;" ~*")&gt;0)+(COUNTIF(K2258:M2275,$B2282)+COUNTIF(K2258:M2275,$B2282&amp;" ~*")&gt;0)+(COUNTIF(O2258:Q2275,$B2282)+COUNTIF(O2258:Q2275,$B2282&amp;" ~*")&gt;0)+(COUNTIF(S2258:U2275,$B2282)+COUNTIF(S2258:U2275,$B2282&amp;" ~*")&gt;0)+(COUNTIF(W2258:W2275,$B2282)+COUNTIF(W2258:W2275,$B2282&amp;" ~*")&gt;0)+(COUNTIF(Y2258:Y2275,$B2282)+COUNTIF(Y2258:Y2275,$B2282&amp;" ~*")&gt;0))</f>
        <v/>
      </c>
      <c r="AC2282" s="38">
        <f>IF($B2282="","",(IFERROR(INDEX(Setup!$G$33:$G$40,MATCH(C2282,Setup!$B$33:$B$40,0)),0)=1)*(COUNTIF(C2258:E2275,$B2282)+COUNTIF(C2258:E2275,$B2282&amp;" ~*")&gt;0)+(IFERROR(INDEX(Setup!$G$33:$G$40,MATCH(G2282,Setup!$B$33:$B$40,0)),0)=1)*(COUNTIF(G2258:I2275,$B2282)+COUNTIF(G2258:I2275,$B2282&amp;" ~*")&gt;0)+(IFERROR(INDEX(Setup!$G$33:$G$40,MATCH(K2282,Setup!$B$33:$B$40,0)),0)=1)*(COUNTIF(K2258:M2275,$B2282)+COUNTIF(K2258:M2275,$B2282&amp;" ~*")&gt;0)+(IFERROR(INDEX(Setup!$G$33:$G$40,MATCH(O2282,Setup!$B$33:$B$40,0)),0)=1)*(COUNTIF(O2258:Q2275,$B2282)+COUNTIF(O2258:Q2275,$B2282&amp;" ~*")&gt;0)+(IFERROR(INDEX(Setup!$G$33:$G$40,MATCH(S2282,Setup!$B$33:$B$40,0)),0)=1)*(COUNTIF(S2258:U2275,$B2282)+COUNTIF(S2258:U2275,$B2282&amp;" ~*")&gt;0)+(IFERROR(INDEX(Setup!$G$33:$G$40,MATCH(W2282,Setup!$B$33:$B$40,0)),0)=1)*(COUNTIF(W2258:W2275,$B2282)+COUNTIF(W2258:W2275,$B2282&amp;" ~*")&gt;0)+(IFERROR(INDEX(Setup!$G$33:$G$40,MATCH(Y2282,Setup!$B$33:$B$40,0)),0)=1)*(COUNTIF(Y2258:Y2275,$B2282)+COUNTIF(Y2258:Y2275,$B2282&amp;" ~*")&gt;0))</f>
        <v/>
      </c>
    </row>
    <row r="2283" ht="15" customHeight="1">
      <c r="A2283" t="n">
        <v>46</v>
      </c>
      <c r="B2283" s="35">
        <f>IF(Setup!$B$12="","",Setup!$B$12)</f>
        <v/>
      </c>
      <c r="C2283" s="98" t="n"/>
      <c r="D2283" s="99" t="n"/>
      <c r="E2283" s="99" t="n"/>
      <c r="F2283" s="100" t="n"/>
      <c r="G2283" s="98" t="n"/>
      <c r="H2283" s="99" t="n"/>
      <c r="I2283" s="99" t="n"/>
      <c r="J2283" s="100" t="n"/>
      <c r="K2283" s="98" t="n"/>
      <c r="L2283" s="99" t="n"/>
      <c r="M2283" s="99" t="n"/>
      <c r="N2283" s="100" t="n"/>
      <c r="O2283" s="98" t="n"/>
      <c r="P2283" s="99" t="n"/>
      <c r="Q2283" s="99" t="n"/>
      <c r="R2283" s="100" t="n"/>
      <c r="S2283" s="98" t="n"/>
      <c r="T2283" s="99" t="n"/>
      <c r="U2283" s="99" t="n"/>
      <c r="V2283" s="100" t="n"/>
      <c r="W2283" s="98" t="n"/>
      <c r="X2283" s="100" t="n"/>
      <c r="Y2283" s="98" t="n"/>
      <c r="Z2283" s="100" t="n"/>
      <c r="AB2283" s="101">
        <f>IF($B2283="","",(COUNTIF(C2258:E2275,$B2283)+COUNTIF(C2258:E2275,$B2283&amp;" ~*")&gt;0)+(COUNTIF(G2258:I2275,$B2283)+COUNTIF(G2258:I2275,$B2283&amp;" ~*")&gt;0)+(COUNTIF(K2258:M2275,$B2283)+COUNTIF(K2258:M2275,$B2283&amp;" ~*")&gt;0)+(COUNTIF(O2258:Q2275,$B2283)+COUNTIF(O2258:Q2275,$B2283&amp;" ~*")&gt;0)+(COUNTIF(S2258:U2275,$B2283)+COUNTIF(S2258:U2275,$B2283&amp;" ~*")&gt;0)+(COUNTIF(W2258:W2275,$B2283)+COUNTIF(W2258:W2275,$B2283&amp;" ~*")&gt;0)+(COUNTIF(Y2258:Y2275,$B2283)+COUNTIF(Y2258:Y2275,$B2283&amp;" ~*")&gt;0))</f>
        <v/>
      </c>
      <c r="AC2283" s="36">
        <f>IF($B2283="","",(IFERROR(INDEX(Setup!$G$33:$G$40,MATCH(C2283,Setup!$B$33:$B$40,0)),0)=1)*(COUNTIF(C2258:E2275,$B2283)+COUNTIF(C2258:E2275,$B2283&amp;" ~*")&gt;0)+(IFERROR(INDEX(Setup!$G$33:$G$40,MATCH(G2283,Setup!$B$33:$B$40,0)),0)=1)*(COUNTIF(G2258:I2275,$B2283)+COUNTIF(G2258:I2275,$B2283&amp;" ~*")&gt;0)+(IFERROR(INDEX(Setup!$G$33:$G$40,MATCH(K2283,Setup!$B$33:$B$40,0)),0)=1)*(COUNTIF(K2258:M2275,$B2283)+COUNTIF(K2258:M2275,$B2283&amp;" ~*")&gt;0)+(IFERROR(INDEX(Setup!$G$33:$G$40,MATCH(O2283,Setup!$B$33:$B$40,0)),0)=1)*(COUNTIF(O2258:Q2275,$B2283)+COUNTIF(O2258:Q2275,$B2283&amp;" ~*")&gt;0)+(IFERROR(INDEX(Setup!$G$33:$G$40,MATCH(S2283,Setup!$B$33:$B$40,0)),0)=1)*(COUNTIF(S2258:U2275,$B2283)+COUNTIF(S2258:U2275,$B2283&amp;" ~*")&gt;0)+(IFERROR(INDEX(Setup!$G$33:$G$40,MATCH(W2283,Setup!$B$33:$B$40,0)),0)=1)*(COUNTIF(W2258:W2275,$B2283)+COUNTIF(W2258:W2275,$B2283&amp;" ~*")&gt;0)+(IFERROR(INDEX(Setup!$G$33:$G$40,MATCH(Y2283,Setup!$B$33:$B$40,0)),0)=1)*(COUNTIF(Y2258:Y2275,$B2283)+COUNTIF(Y2258:Y2275,$B2283&amp;" ~*")&gt;0))</f>
        <v/>
      </c>
    </row>
    <row r="2284" ht="15" customHeight="1">
      <c r="A2284" t="n">
        <v>46</v>
      </c>
      <c r="B2284" s="37">
        <f>IF(Setup!$B$13="","",Setup!$B$13)</f>
        <v/>
      </c>
      <c r="C2284" s="102" t="inlineStr">
        <is>
          <t>AL</t>
        </is>
      </c>
      <c r="D2284" s="103" t="n"/>
      <c r="E2284" s="103" t="n"/>
      <c r="F2284" s="104" t="n"/>
      <c r="G2284" s="102" t="inlineStr">
        <is>
          <t>AL</t>
        </is>
      </c>
      <c r="H2284" s="103" t="n"/>
      <c r="I2284" s="103" t="n"/>
      <c r="J2284" s="104" t="n"/>
      <c r="K2284" s="102" t="inlineStr">
        <is>
          <t>AL</t>
        </is>
      </c>
      <c r="L2284" s="103" t="n"/>
      <c r="M2284" s="103" t="n"/>
      <c r="N2284" s="104" t="n"/>
      <c r="O2284" s="102" t="inlineStr">
        <is>
          <t>AL</t>
        </is>
      </c>
      <c r="P2284" s="103" t="n"/>
      <c r="Q2284" s="103" t="n"/>
      <c r="R2284" s="104" t="n"/>
      <c r="S2284" s="102" t="inlineStr">
        <is>
          <t>AL</t>
        </is>
      </c>
      <c r="T2284" s="103" t="n"/>
      <c r="U2284" s="103" t="n"/>
      <c r="V2284" s="104" t="n"/>
      <c r="W2284" s="102" t="n"/>
      <c r="X2284" s="104" t="n"/>
      <c r="Y2284" s="102" t="n"/>
      <c r="Z2284" s="104" t="n"/>
      <c r="AB2284" s="105">
        <f>IF($B2284="","",(COUNTIF(C2258:E2275,$B2284)+COUNTIF(C2258:E2275,$B2284&amp;" ~*")&gt;0)+(COUNTIF(G2258:I2275,$B2284)+COUNTIF(G2258:I2275,$B2284&amp;" ~*")&gt;0)+(COUNTIF(K2258:M2275,$B2284)+COUNTIF(K2258:M2275,$B2284&amp;" ~*")&gt;0)+(COUNTIF(O2258:Q2275,$B2284)+COUNTIF(O2258:Q2275,$B2284&amp;" ~*")&gt;0)+(COUNTIF(S2258:U2275,$B2284)+COUNTIF(S2258:U2275,$B2284&amp;" ~*")&gt;0)+(COUNTIF(W2258:W2275,$B2284)+COUNTIF(W2258:W2275,$B2284&amp;" ~*")&gt;0)+(COUNTIF(Y2258:Y2275,$B2284)+COUNTIF(Y2258:Y2275,$B2284&amp;" ~*")&gt;0))</f>
        <v/>
      </c>
      <c r="AC2284" s="38">
        <f>IF($B2284="","",(IFERROR(INDEX(Setup!$G$33:$G$40,MATCH(C2284,Setup!$B$33:$B$40,0)),0)=1)*(COUNTIF(C2258:E2275,$B2284)+COUNTIF(C2258:E2275,$B2284&amp;" ~*")&gt;0)+(IFERROR(INDEX(Setup!$G$33:$G$40,MATCH(G2284,Setup!$B$33:$B$40,0)),0)=1)*(COUNTIF(G2258:I2275,$B2284)+COUNTIF(G2258:I2275,$B2284&amp;" ~*")&gt;0)+(IFERROR(INDEX(Setup!$G$33:$G$40,MATCH(K2284,Setup!$B$33:$B$40,0)),0)=1)*(COUNTIF(K2258:M2275,$B2284)+COUNTIF(K2258:M2275,$B2284&amp;" ~*")&gt;0)+(IFERROR(INDEX(Setup!$G$33:$G$40,MATCH(O2284,Setup!$B$33:$B$40,0)),0)=1)*(COUNTIF(O2258:Q2275,$B2284)+COUNTIF(O2258:Q2275,$B2284&amp;" ~*")&gt;0)+(IFERROR(INDEX(Setup!$G$33:$G$40,MATCH(S2284,Setup!$B$33:$B$40,0)),0)=1)*(COUNTIF(S2258:U2275,$B2284)+COUNTIF(S2258:U2275,$B2284&amp;" ~*")&gt;0)+(IFERROR(INDEX(Setup!$G$33:$G$40,MATCH(W2284,Setup!$B$33:$B$40,0)),0)=1)*(COUNTIF(W2258:W2275,$B2284)+COUNTIF(W2258:W2275,$B2284&amp;" ~*")&gt;0)+(IFERROR(INDEX(Setup!$G$33:$G$40,MATCH(Y2284,Setup!$B$33:$B$40,0)),0)=1)*(COUNTIF(Y2258:Y2275,$B2284)+COUNTIF(Y2258:Y2275,$B2284&amp;" ~*")&gt;0))</f>
        <v/>
      </c>
    </row>
    <row r="2285" ht="15" customHeight="1">
      <c r="A2285" t="n">
        <v>46</v>
      </c>
      <c r="B2285" s="35">
        <f>IF(Setup!$B$14="","",Setup!$B$14)</f>
        <v/>
      </c>
      <c r="C2285" s="98" t="n"/>
      <c r="D2285" s="99" t="n"/>
      <c r="E2285" s="99" t="n"/>
      <c r="F2285" s="100" t="n"/>
      <c r="G2285" s="98" t="n"/>
      <c r="H2285" s="99" t="n"/>
      <c r="I2285" s="99" t="n"/>
      <c r="J2285" s="100" t="n"/>
      <c r="K2285" s="98" t="n"/>
      <c r="L2285" s="99" t="n"/>
      <c r="M2285" s="99" t="n"/>
      <c r="N2285" s="100" t="n"/>
      <c r="O2285" s="98" t="n"/>
      <c r="P2285" s="99" t="n"/>
      <c r="Q2285" s="99" t="n"/>
      <c r="R2285" s="100" t="n"/>
      <c r="S2285" s="98" t="n"/>
      <c r="T2285" s="99" t="n"/>
      <c r="U2285" s="99" t="n"/>
      <c r="V2285" s="100" t="n"/>
      <c r="W2285" s="98" t="n"/>
      <c r="X2285" s="100" t="n"/>
      <c r="Y2285" s="98" t="n"/>
      <c r="Z2285" s="100" t="n"/>
      <c r="AB2285" s="101">
        <f>IF($B2285="","",(COUNTIF(C2258:E2275,$B2285)+COUNTIF(C2258:E2275,$B2285&amp;" ~*")&gt;0)+(COUNTIF(G2258:I2275,$B2285)+COUNTIF(G2258:I2275,$B2285&amp;" ~*")&gt;0)+(COUNTIF(K2258:M2275,$B2285)+COUNTIF(K2258:M2275,$B2285&amp;" ~*")&gt;0)+(COUNTIF(O2258:Q2275,$B2285)+COUNTIF(O2258:Q2275,$B2285&amp;" ~*")&gt;0)+(COUNTIF(S2258:U2275,$B2285)+COUNTIF(S2258:U2275,$B2285&amp;" ~*")&gt;0)+(COUNTIF(W2258:W2275,$B2285)+COUNTIF(W2258:W2275,$B2285&amp;" ~*")&gt;0)+(COUNTIF(Y2258:Y2275,$B2285)+COUNTIF(Y2258:Y2275,$B2285&amp;" ~*")&gt;0))</f>
        <v/>
      </c>
      <c r="AC2285" s="36">
        <f>IF($B2285="","",(IFERROR(INDEX(Setup!$G$33:$G$40,MATCH(C2285,Setup!$B$33:$B$40,0)),0)=1)*(COUNTIF(C2258:E2275,$B2285)+COUNTIF(C2258:E2275,$B2285&amp;" ~*")&gt;0)+(IFERROR(INDEX(Setup!$G$33:$G$40,MATCH(G2285,Setup!$B$33:$B$40,0)),0)=1)*(COUNTIF(G2258:I2275,$B2285)+COUNTIF(G2258:I2275,$B2285&amp;" ~*")&gt;0)+(IFERROR(INDEX(Setup!$G$33:$G$40,MATCH(K2285,Setup!$B$33:$B$40,0)),0)=1)*(COUNTIF(K2258:M2275,$B2285)+COUNTIF(K2258:M2275,$B2285&amp;" ~*")&gt;0)+(IFERROR(INDEX(Setup!$G$33:$G$40,MATCH(O2285,Setup!$B$33:$B$40,0)),0)=1)*(COUNTIF(O2258:Q2275,$B2285)+COUNTIF(O2258:Q2275,$B2285&amp;" ~*")&gt;0)+(IFERROR(INDEX(Setup!$G$33:$G$40,MATCH(S2285,Setup!$B$33:$B$40,0)),0)=1)*(COUNTIF(S2258:U2275,$B2285)+COUNTIF(S2258:U2275,$B2285&amp;" ~*")&gt;0)+(IFERROR(INDEX(Setup!$G$33:$G$40,MATCH(W2285,Setup!$B$33:$B$40,0)),0)=1)*(COUNTIF(W2258:W2275,$B2285)+COUNTIF(W2258:W2275,$B2285&amp;" ~*")&gt;0)+(IFERROR(INDEX(Setup!$G$33:$G$40,MATCH(Y2285,Setup!$B$33:$B$40,0)),0)=1)*(COUNTIF(Y2258:Y2275,$B2285)+COUNTIF(Y2258:Y2275,$B2285&amp;" ~*")&gt;0))</f>
        <v/>
      </c>
    </row>
    <row r="2286" ht="15" customHeight="1">
      <c r="A2286" t="n">
        <v>46</v>
      </c>
      <c r="B2286" s="37">
        <f>IF(Setup!$B$15="","",Setup!$B$15)</f>
        <v/>
      </c>
      <c r="C2286" s="102" t="n"/>
      <c r="D2286" s="103" t="n"/>
      <c r="E2286" s="103" t="n"/>
      <c r="F2286" s="104" t="n"/>
      <c r="G2286" s="102" t="n"/>
      <c r="H2286" s="103" t="n"/>
      <c r="I2286" s="103" t="n"/>
      <c r="J2286" s="104" t="n"/>
      <c r="K2286" s="102" t="n"/>
      <c r="L2286" s="103" t="n"/>
      <c r="M2286" s="103" t="n"/>
      <c r="N2286" s="104" t="n"/>
      <c r="O2286" s="102" t="n"/>
      <c r="P2286" s="103" t="n"/>
      <c r="Q2286" s="103" t="n"/>
      <c r="R2286" s="104" t="n"/>
      <c r="S2286" s="102" t="n"/>
      <c r="T2286" s="103" t="n"/>
      <c r="U2286" s="103" t="n"/>
      <c r="V2286" s="104" t="n"/>
      <c r="W2286" s="102" t="n"/>
      <c r="X2286" s="104" t="n"/>
      <c r="Y2286" s="102" t="n"/>
      <c r="Z2286" s="104" t="n"/>
      <c r="AB2286" s="105">
        <f>IF($B2286="","",(COUNTIF(C2258:E2275,$B2286)+COUNTIF(C2258:E2275,$B2286&amp;" ~*")&gt;0)+(COUNTIF(G2258:I2275,$B2286)+COUNTIF(G2258:I2275,$B2286&amp;" ~*")&gt;0)+(COUNTIF(K2258:M2275,$B2286)+COUNTIF(K2258:M2275,$B2286&amp;" ~*")&gt;0)+(COUNTIF(O2258:Q2275,$B2286)+COUNTIF(O2258:Q2275,$B2286&amp;" ~*")&gt;0)+(COUNTIF(S2258:U2275,$B2286)+COUNTIF(S2258:U2275,$B2286&amp;" ~*")&gt;0)+(COUNTIF(W2258:W2275,$B2286)+COUNTIF(W2258:W2275,$B2286&amp;" ~*")&gt;0)+(COUNTIF(Y2258:Y2275,$B2286)+COUNTIF(Y2258:Y2275,$B2286&amp;" ~*")&gt;0))</f>
        <v/>
      </c>
      <c r="AC2286" s="38">
        <f>IF($B2286="","",(IFERROR(INDEX(Setup!$G$33:$G$40,MATCH(C2286,Setup!$B$33:$B$40,0)),0)=1)*(COUNTIF(C2258:E2275,$B2286)+COUNTIF(C2258:E2275,$B2286&amp;" ~*")&gt;0)+(IFERROR(INDEX(Setup!$G$33:$G$40,MATCH(G2286,Setup!$B$33:$B$40,0)),0)=1)*(COUNTIF(G2258:I2275,$B2286)+COUNTIF(G2258:I2275,$B2286&amp;" ~*")&gt;0)+(IFERROR(INDEX(Setup!$G$33:$G$40,MATCH(K2286,Setup!$B$33:$B$40,0)),0)=1)*(COUNTIF(K2258:M2275,$B2286)+COUNTIF(K2258:M2275,$B2286&amp;" ~*")&gt;0)+(IFERROR(INDEX(Setup!$G$33:$G$40,MATCH(O2286,Setup!$B$33:$B$40,0)),0)=1)*(COUNTIF(O2258:Q2275,$B2286)+COUNTIF(O2258:Q2275,$B2286&amp;" ~*")&gt;0)+(IFERROR(INDEX(Setup!$G$33:$G$40,MATCH(S2286,Setup!$B$33:$B$40,0)),0)=1)*(COUNTIF(S2258:U2275,$B2286)+COUNTIF(S2258:U2275,$B2286&amp;" ~*")&gt;0)+(IFERROR(INDEX(Setup!$G$33:$G$40,MATCH(W2286,Setup!$B$33:$B$40,0)),0)=1)*(COUNTIF(W2258:W2275,$B2286)+COUNTIF(W2258:W2275,$B2286&amp;" ~*")&gt;0)+(IFERROR(INDEX(Setup!$G$33:$G$40,MATCH(Y2286,Setup!$B$33:$B$40,0)),0)=1)*(COUNTIF(Y2258:Y2275,$B2286)+COUNTIF(Y2258:Y2275,$B2286&amp;" ~*")&gt;0))</f>
        <v/>
      </c>
    </row>
    <row r="2287" ht="15" customHeight="1">
      <c r="A2287" t="n">
        <v>46</v>
      </c>
      <c r="B2287" s="35">
        <f>IF(Setup!$B$16="","",Setup!$B$16)</f>
        <v/>
      </c>
      <c r="C2287" s="98" t="n"/>
      <c r="D2287" s="99" t="n"/>
      <c r="E2287" s="99" t="n"/>
      <c r="F2287" s="100" t="n"/>
      <c r="G2287" s="98" t="n"/>
      <c r="H2287" s="99" t="n"/>
      <c r="I2287" s="99" t="n"/>
      <c r="J2287" s="100" t="n"/>
      <c r="K2287" s="98" t="n"/>
      <c r="L2287" s="99" t="n"/>
      <c r="M2287" s="99" t="n"/>
      <c r="N2287" s="100" t="n"/>
      <c r="O2287" s="98" t="n"/>
      <c r="P2287" s="99" t="n"/>
      <c r="Q2287" s="99" t="n"/>
      <c r="R2287" s="100" t="n"/>
      <c r="S2287" s="98" t="n"/>
      <c r="T2287" s="99" t="n"/>
      <c r="U2287" s="99" t="n"/>
      <c r="V2287" s="100" t="n"/>
      <c r="W2287" s="98" t="n"/>
      <c r="X2287" s="100" t="n"/>
      <c r="Y2287" s="98" t="n"/>
      <c r="Z2287" s="100" t="n"/>
      <c r="AB2287" s="101">
        <f>IF($B2287="","",(COUNTIF(C2258:E2275,$B2287)+COUNTIF(C2258:E2275,$B2287&amp;" ~*")&gt;0)+(COUNTIF(G2258:I2275,$B2287)+COUNTIF(G2258:I2275,$B2287&amp;" ~*")&gt;0)+(COUNTIF(K2258:M2275,$B2287)+COUNTIF(K2258:M2275,$B2287&amp;" ~*")&gt;0)+(COUNTIF(O2258:Q2275,$B2287)+COUNTIF(O2258:Q2275,$B2287&amp;" ~*")&gt;0)+(COUNTIF(S2258:U2275,$B2287)+COUNTIF(S2258:U2275,$B2287&amp;" ~*")&gt;0)+(COUNTIF(W2258:W2275,$B2287)+COUNTIF(W2258:W2275,$B2287&amp;" ~*")&gt;0)+(COUNTIF(Y2258:Y2275,$B2287)+COUNTIF(Y2258:Y2275,$B2287&amp;" ~*")&gt;0))</f>
        <v/>
      </c>
      <c r="AC2287" s="36">
        <f>IF($B2287="","",(IFERROR(INDEX(Setup!$G$33:$G$40,MATCH(C2287,Setup!$B$33:$B$40,0)),0)=1)*(COUNTIF(C2258:E2275,$B2287)+COUNTIF(C2258:E2275,$B2287&amp;" ~*")&gt;0)+(IFERROR(INDEX(Setup!$G$33:$G$40,MATCH(G2287,Setup!$B$33:$B$40,0)),0)=1)*(COUNTIF(G2258:I2275,$B2287)+COUNTIF(G2258:I2275,$B2287&amp;" ~*")&gt;0)+(IFERROR(INDEX(Setup!$G$33:$G$40,MATCH(K2287,Setup!$B$33:$B$40,0)),0)=1)*(COUNTIF(K2258:M2275,$B2287)+COUNTIF(K2258:M2275,$B2287&amp;" ~*")&gt;0)+(IFERROR(INDEX(Setup!$G$33:$G$40,MATCH(O2287,Setup!$B$33:$B$40,0)),0)=1)*(COUNTIF(O2258:Q2275,$B2287)+COUNTIF(O2258:Q2275,$B2287&amp;" ~*")&gt;0)+(IFERROR(INDEX(Setup!$G$33:$G$40,MATCH(S2287,Setup!$B$33:$B$40,0)),0)=1)*(COUNTIF(S2258:U2275,$B2287)+COUNTIF(S2258:U2275,$B2287&amp;" ~*")&gt;0)+(IFERROR(INDEX(Setup!$G$33:$G$40,MATCH(W2287,Setup!$B$33:$B$40,0)),0)=1)*(COUNTIF(W2258:W2275,$B2287)+COUNTIF(W2258:W2275,$B2287&amp;" ~*")&gt;0)+(IFERROR(INDEX(Setup!$G$33:$G$40,MATCH(Y2287,Setup!$B$33:$B$40,0)),0)=1)*(COUNTIF(Y2258:Y2275,$B2287)+COUNTIF(Y2258:Y2275,$B2287&amp;" ~*")&gt;0))</f>
        <v/>
      </c>
    </row>
    <row r="2288" ht="15" customHeight="1">
      <c r="A2288" t="n">
        <v>46</v>
      </c>
      <c r="B2288" s="37">
        <f>IF(Setup!$B$17="","",Setup!$B$17)</f>
        <v/>
      </c>
      <c r="C2288" s="102" t="n"/>
      <c r="D2288" s="103" t="n"/>
      <c r="E2288" s="103" t="n"/>
      <c r="F2288" s="104" t="n"/>
      <c r="G2288" s="102" t="n"/>
      <c r="H2288" s="103" t="n"/>
      <c r="I2288" s="103" t="n"/>
      <c r="J2288" s="104" t="n"/>
      <c r="K2288" s="102" t="n"/>
      <c r="L2288" s="103" t="n"/>
      <c r="M2288" s="103" t="n"/>
      <c r="N2288" s="104" t="n"/>
      <c r="O2288" s="102" t="n"/>
      <c r="P2288" s="103" t="n"/>
      <c r="Q2288" s="103" t="n"/>
      <c r="R2288" s="104" t="n"/>
      <c r="S2288" s="102" t="n"/>
      <c r="T2288" s="103" t="n"/>
      <c r="U2288" s="103" t="n"/>
      <c r="V2288" s="104" t="n"/>
      <c r="W2288" s="102" t="n"/>
      <c r="X2288" s="104" t="n"/>
      <c r="Y2288" s="102" t="n"/>
      <c r="Z2288" s="104" t="n"/>
      <c r="AB2288" s="105">
        <f>IF($B2288="","",(COUNTIF(C2258:E2275,$B2288)+COUNTIF(C2258:E2275,$B2288&amp;" ~*")&gt;0)+(COUNTIF(G2258:I2275,$B2288)+COUNTIF(G2258:I2275,$B2288&amp;" ~*")&gt;0)+(COUNTIF(K2258:M2275,$B2288)+COUNTIF(K2258:M2275,$B2288&amp;" ~*")&gt;0)+(COUNTIF(O2258:Q2275,$B2288)+COUNTIF(O2258:Q2275,$B2288&amp;" ~*")&gt;0)+(COUNTIF(S2258:U2275,$B2288)+COUNTIF(S2258:U2275,$B2288&amp;" ~*")&gt;0)+(COUNTIF(W2258:W2275,$B2288)+COUNTIF(W2258:W2275,$B2288&amp;" ~*")&gt;0)+(COUNTIF(Y2258:Y2275,$B2288)+COUNTIF(Y2258:Y2275,$B2288&amp;" ~*")&gt;0))</f>
        <v/>
      </c>
      <c r="AC2288" s="38">
        <f>IF($B2288="","",(IFERROR(INDEX(Setup!$G$33:$G$40,MATCH(C2288,Setup!$B$33:$B$40,0)),0)=1)*(COUNTIF(C2258:E2275,$B2288)+COUNTIF(C2258:E2275,$B2288&amp;" ~*")&gt;0)+(IFERROR(INDEX(Setup!$G$33:$G$40,MATCH(G2288,Setup!$B$33:$B$40,0)),0)=1)*(COUNTIF(G2258:I2275,$B2288)+COUNTIF(G2258:I2275,$B2288&amp;" ~*")&gt;0)+(IFERROR(INDEX(Setup!$G$33:$G$40,MATCH(K2288,Setup!$B$33:$B$40,0)),0)=1)*(COUNTIF(K2258:M2275,$B2288)+COUNTIF(K2258:M2275,$B2288&amp;" ~*")&gt;0)+(IFERROR(INDEX(Setup!$G$33:$G$40,MATCH(O2288,Setup!$B$33:$B$40,0)),0)=1)*(COUNTIF(O2258:Q2275,$B2288)+COUNTIF(O2258:Q2275,$B2288&amp;" ~*")&gt;0)+(IFERROR(INDEX(Setup!$G$33:$G$40,MATCH(S2288,Setup!$B$33:$B$40,0)),0)=1)*(COUNTIF(S2258:U2275,$B2288)+COUNTIF(S2258:U2275,$B2288&amp;" ~*")&gt;0)+(IFERROR(INDEX(Setup!$G$33:$G$40,MATCH(W2288,Setup!$B$33:$B$40,0)),0)=1)*(COUNTIF(W2258:W2275,$B2288)+COUNTIF(W2258:W2275,$B2288&amp;" ~*")&gt;0)+(IFERROR(INDEX(Setup!$G$33:$G$40,MATCH(Y2288,Setup!$B$33:$B$40,0)),0)=1)*(COUNTIF(Y2258:Y2275,$B2288)+COUNTIF(Y2258:Y2275,$B2288&amp;" ~*")&gt;0))</f>
        <v/>
      </c>
    </row>
    <row r="2289" ht="15" customHeight="1">
      <c r="A2289" t="n">
        <v>46</v>
      </c>
      <c r="B2289" s="35">
        <f>IF(Setup!$B$18="","",Setup!$B$18)</f>
        <v/>
      </c>
      <c r="C2289" s="98" t="n"/>
      <c r="D2289" s="99" t="n"/>
      <c r="E2289" s="99" t="n"/>
      <c r="F2289" s="100" t="n"/>
      <c r="G2289" s="98" t="n"/>
      <c r="H2289" s="99" t="n"/>
      <c r="I2289" s="99" t="n"/>
      <c r="J2289" s="100" t="n"/>
      <c r="K2289" s="98" t="n"/>
      <c r="L2289" s="99" t="n"/>
      <c r="M2289" s="99" t="n"/>
      <c r="N2289" s="100" t="n"/>
      <c r="O2289" s="98" t="n"/>
      <c r="P2289" s="99" t="n"/>
      <c r="Q2289" s="99" t="n"/>
      <c r="R2289" s="100" t="n"/>
      <c r="S2289" s="98" t="n"/>
      <c r="T2289" s="99" t="n"/>
      <c r="U2289" s="99" t="n"/>
      <c r="V2289" s="100" t="n"/>
      <c r="W2289" s="98" t="n"/>
      <c r="X2289" s="100" t="n"/>
      <c r="Y2289" s="98" t="n"/>
      <c r="Z2289" s="100" t="n"/>
      <c r="AB2289" s="101">
        <f>IF($B2289="","",(COUNTIF(C2258:E2275,$B2289)+COUNTIF(C2258:E2275,$B2289&amp;" ~*")&gt;0)+(COUNTIF(G2258:I2275,$B2289)+COUNTIF(G2258:I2275,$B2289&amp;" ~*")&gt;0)+(COUNTIF(K2258:M2275,$B2289)+COUNTIF(K2258:M2275,$B2289&amp;" ~*")&gt;0)+(COUNTIF(O2258:Q2275,$B2289)+COUNTIF(O2258:Q2275,$B2289&amp;" ~*")&gt;0)+(COUNTIF(S2258:U2275,$B2289)+COUNTIF(S2258:U2275,$B2289&amp;" ~*")&gt;0)+(COUNTIF(W2258:W2275,$B2289)+COUNTIF(W2258:W2275,$B2289&amp;" ~*")&gt;0)+(COUNTIF(Y2258:Y2275,$B2289)+COUNTIF(Y2258:Y2275,$B2289&amp;" ~*")&gt;0))</f>
        <v/>
      </c>
      <c r="AC2289" s="36">
        <f>IF($B2289="","",(IFERROR(INDEX(Setup!$G$33:$G$40,MATCH(C2289,Setup!$B$33:$B$40,0)),0)=1)*(COUNTIF(C2258:E2275,$B2289)+COUNTIF(C2258:E2275,$B2289&amp;" ~*")&gt;0)+(IFERROR(INDEX(Setup!$G$33:$G$40,MATCH(G2289,Setup!$B$33:$B$40,0)),0)=1)*(COUNTIF(G2258:I2275,$B2289)+COUNTIF(G2258:I2275,$B2289&amp;" ~*")&gt;0)+(IFERROR(INDEX(Setup!$G$33:$G$40,MATCH(K2289,Setup!$B$33:$B$40,0)),0)=1)*(COUNTIF(K2258:M2275,$B2289)+COUNTIF(K2258:M2275,$B2289&amp;" ~*")&gt;0)+(IFERROR(INDEX(Setup!$G$33:$G$40,MATCH(O2289,Setup!$B$33:$B$40,0)),0)=1)*(COUNTIF(O2258:Q2275,$B2289)+COUNTIF(O2258:Q2275,$B2289&amp;" ~*")&gt;0)+(IFERROR(INDEX(Setup!$G$33:$G$40,MATCH(S2289,Setup!$B$33:$B$40,0)),0)=1)*(COUNTIF(S2258:U2275,$B2289)+COUNTIF(S2258:U2275,$B2289&amp;" ~*")&gt;0)+(IFERROR(INDEX(Setup!$G$33:$G$40,MATCH(W2289,Setup!$B$33:$B$40,0)),0)=1)*(COUNTIF(W2258:W2275,$B2289)+COUNTIF(W2258:W2275,$B2289&amp;" ~*")&gt;0)+(IFERROR(INDEX(Setup!$G$33:$G$40,MATCH(Y2289,Setup!$B$33:$B$40,0)),0)=1)*(COUNTIF(Y2258:Y2275,$B2289)+COUNTIF(Y2258:Y2275,$B2289&amp;" ~*")&gt;0))</f>
        <v/>
      </c>
    </row>
    <row r="2290" ht="15" customHeight="1">
      <c r="A2290" t="n">
        <v>46</v>
      </c>
      <c r="B2290" s="37">
        <f>IF(Setup!$B$19="","",Setup!$B$19)</f>
        <v/>
      </c>
      <c r="C2290" s="102" t="n"/>
      <c r="D2290" s="103" t="n"/>
      <c r="E2290" s="103" t="n"/>
      <c r="F2290" s="104" t="n"/>
      <c r="G2290" s="102" t="n"/>
      <c r="H2290" s="103" t="n"/>
      <c r="I2290" s="103" t="n"/>
      <c r="J2290" s="104" t="n"/>
      <c r="K2290" s="102" t="n"/>
      <c r="L2290" s="103" t="n"/>
      <c r="M2290" s="103" t="n"/>
      <c r="N2290" s="104" t="n"/>
      <c r="O2290" s="102" t="n"/>
      <c r="P2290" s="103" t="n"/>
      <c r="Q2290" s="103" t="n"/>
      <c r="R2290" s="104" t="n"/>
      <c r="S2290" s="102" t="n"/>
      <c r="T2290" s="103" t="n"/>
      <c r="U2290" s="103" t="n"/>
      <c r="V2290" s="104" t="n"/>
      <c r="W2290" s="102" t="n"/>
      <c r="X2290" s="104" t="n"/>
      <c r="Y2290" s="102" t="n"/>
      <c r="Z2290" s="104" t="n"/>
      <c r="AB2290" s="105">
        <f>IF($B2290="","",(COUNTIF(C2258:E2275,$B2290)+COUNTIF(C2258:E2275,$B2290&amp;" ~*")&gt;0)+(COUNTIF(G2258:I2275,$B2290)+COUNTIF(G2258:I2275,$B2290&amp;" ~*")&gt;0)+(COUNTIF(K2258:M2275,$B2290)+COUNTIF(K2258:M2275,$B2290&amp;" ~*")&gt;0)+(COUNTIF(O2258:Q2275,$B2290)+COUNTIF(O2258:Q2275,$B2290&amp;" ~*")&gt;0)+(COUNTIF(S2258:U2275,$B2290)+COUNTIF(S2258:U2275,$B2290&amp;" ~*")&gt;0)+(COUNTIF(W2258:W2275,$B2290)+COUNTIF(W2258:W2275,$B2290&amp;" ~*")&gt;0)+(COUNTIF(Y2258:Y2275,$B2290)+COUNTIF(Y2258:Y2275,$B2290&amp;" ~*")&gt;0))</f>
        <v/>
      </c>
      <c r="AC2290" s="38">
        <f>IF($B2290="","",(IFERROR(INDEX(Setup!$G$33:$G$40,MATCH(C2290,Setup!$B$33:$B$40,0)),0)=1)*(COUNTIF(C2258:E2275,$B2290)+COUNTIF(C2258:E2275,$B2290&amp;" ~*")&gt;0)+(IFERROR(INDEX(Setup!$G$33:$G$40,MATCH(G2290,Setup!$B$33:$B$40,0)),0)=1)*(COUNTIF(G2258:I2275,$B2290)+COUNTIF(G2258:I2275,$B2290&amp;" ~*")&gt;0)+(IFERROR(INDEX(Setup!$G$33:$G$40,MATCH(K2290,Setup!$B$33:$B$40,0)),0)=1)*(COUNTIF(K2258:M2275,$B2290)+COUNTIF(K2258:M2275,$B2290&amp;" ~*")&gt;0)+(IFERROR(INDEX(Setup!$G$33:$G$40,MATCH(O2290,Setup!$B$33:$B$40,0)),0)=1)*(COUNTIF(O2258:Q2275,$B2290)+COUNTIF(O2258:Q2275,$B2290&amp;" ~*")&gt;0)+(IFERROR(INDEX(Setup!$G$33:$G$40,MATCH(S2290,Setup!$B$33:$B$40,0)),0)=1)*(COUNTIF(S2258:U2275,$B2290)+COUNTIF(S2258:U2275,$B2290&amp;" ~*")&gt;0)+(IFERROR(INDEX(Setup!$G$33:$G$40,MATCH(W2290,Setup!$B$33:$B$40,0)),0)=1)*(COUNTIF(W2258:W2275,$B2290)+COUNTIF(W2258:W2275,$B2290&amp;" ~*")&gt;0)+(IFERROR(INDEX(Setup!$G$33:$G$40,MATCH(Y2290,Setup!$B$33:$B$40,0)),0)=1)*(COUNTIF(Y2258:Y2275,$B2290)+COUNTIF(Y2258:Y2275,$B2290&amp;" ~*")&gt;0))</f>
        <v/>
      </c>
    </row>
    <row r="2291" ht="15" customHeight="1">
      <c r="A2291" t="n">
        <v>46</v>
      </c>
      <c r="B2291" s="35">
        <f>IF(Setup!$B$20="","",Setup!$B$20)</f>
        <v/>
      </c>
      <c r="C2291" s="98" t="n"/>
      <c r="D2291" s="99" t="n"/>
      <c r="E2291" s="99" t="n"/>
      <c r="F2291" s="100" t="n"/>
      <c r="G2291" s="98" t="n"/>
      <c r="H2291" s="99" t="n"/>
      <c r="I2291" s="99" t="n"/>
      <c r="J2291" s="100" t="n"/>
      <c r="K2291" s="98" t="n"/>
      <c r="L2291" s="99" t="n"/>
      <c r="M2291" s="99" t="n"/>
      <c r="N2291" s="100" t="n"/>
      <c r="O2291" s="98" t="n"/>
      <c r="P2291" s="99" t="n"/>
      <c r="Q2291" s="99" t="n"/>
      <c r="R2291" s="100" t="n"/>
      <c r="S2291" s="98" t="n"/>
      <c r="T2291" s="99" t="n"/>
      <c r="U2291" s="99" t="n"/>
      <c r="V2291" s="100" t="n"/>
      <c r="W2291" s="98" t="n"/>
      <c r="X2291" s="100" t="n"/>
      <c r="Y2291" s="98" t="n"/>
      <c r="Z2291" s="100" t="n"/>
      <c r="AB2291" s="101">
        <f>IF($B2291="","",(COUNTIF(C2258:E2275,$B2291)+COUNTIF(C2258:E2275,$B2291&amp;" ~*")&gt;0)+(COUNTIF(G2258:I2275,$B2291)+COUNTIF(G2258:I2275,$B2291&amp;" ~*")&gt;0)+(COUNTIF(K2258:M2275,$B2291)+COUNTIF(K2258:M2275,$B2291&amp;" ~*")&gt;0)+(COUNTIF(O2258:Q2275,$B2291)+COUNTIF(O2258:Q2275,$B2291&amp;" ~*")&gt;0)+(COUNTIF(S2258:U2275,$B2291)+COUNTIF(S2258:U2275,$B2291&amp;" ~*")&gt;0)+(COUNTIF(W2258:W2275,$B2291)+COUNTIF(W2258:W2275,$B2291&amp;" ~*")&gt;0)+(COUNTIF(Y2258:Y2275,$B2291)+COUNTIF(Y2258:Y2275,$B2291&amp;" ~*")&gt;0))</f>
        <v/>
      </c>
      <c r="AC2291" s="36">
        <f>IF($B2291="","",(IFERROR(INDEX(Setup!$G$33:$G$40,MATCH(C2291,Setup!$B$33:$B$40,0)),0)=1)*(COUNTIF(C2258:E2275,$B2291)+COUNTIF(C2258:E2275,$B2291&amp;" ~*")&gt;0)+(IFERROR(INDEX(Setup!$G$33:$G$40,MATCH(G2291,Setup!$B$33:$B$40,0)),0)=1)*(COUNTIF(G2258:I2275,$B2291)+COUNTIF(G2258:I2275,$B2291&amp;" ~*")&gt;0)+(IFERROR(INDEX(Setup!$G$33:$G$40,MATCH(K2291,Setup!$B$33:$B$40,0)),0)=1)*(COUNTIF(K2258:M2275,$B2291)+COUNTIF(K2258:M2275,$B2291&amp;" ~*")&gt;0)+(IFERROR(INDEX(Setup!$G$33:$G$40,MATCH(O2291,Setup!$B$33:$B$40,0)),0)=1)*(COUNTIF(O2258:Q2275,$B2291)+COUNTIF(O2258:Q2275,$B2291&amp;" ~*")&gt;0)+(IFERROR(INDEX(Setup!$G$33:$G$40,MATCH(S2291,Setup!$B$33:$B$40,0)),0)=1)*(COUNTIF(S2258:U2275,$B2291)+COUNTIF(S2258:U2275,$B2291&amp;" ~*")&gt;0)+(IFERROR(INDEX(Setup!$G$33:$G$40,MATCH(W2291,Setup!$B$33:$B$40,0)),0)=1)*(COUNTIF(W2258:W2275,$B2291)+COUNTIF(W2258:W2275,$B2291&amp;" ~*")&gt;0)+(IFERROR(INDEX(Setup!$G$33:$G$40,MATCH(Y2291,Setup!$B$33:$B$40,0)),0)=1)*(COUNTIF(Y2258:Y2275,$B2291)+COUNTIF(Y2258:Y2275,$B2291&amp;" ~*")&gt;0))</f>
        <v/>
      </c>
    </row>
    <row r="2292" ht="15" customHeight="1">
      <c r="A2292" t="n">
        <v>46</v>
      </c>
      <c r="B2292" s="37">
        <f>IF(Setup!$B$21="","",Setup!$B$21)</f>
        <v/>
      </c>
      <c r="C2292" s="102" t="n"/>
      <c r="D2292" s="103" t="n"/>
      <c r="E2292" s="103" t="n"/>
      <c r="F2292" s="104" t="n"/>
      <c r="G2292" s="102" t="n"/>
      <c r="H2292" s="103" t="n"/>
      <c r="I2292" s="103" t="n"/>
      <c r="J2292" s="104" t="n"/>
      <c r="K2292" s="102" t="n"/>
      <c r="L2292" s="103" t="n"/>
      <c r="M2292" s="103" t="n"/>
      <c r="N2292" s="104" t="n"/>
      <c r="O2292" s="102" t="n"/>
      <c r="P2292" s="103" t="n"/>
      <c r="Q2292" s="103" t="n"/>
      <c r="R2292" s="104" t="n"/>
      <c r="S2292" s="102" t="n"/>
      <c r="T2292" s="103" t="n"/>
      <c r="U2292" s="103" t="n"/>
      <c r="V2292" s="104" t="n"/>
      <c r="W2292" s="102" t="n"/>
      <c r="X2292" s="104" t="n"/>
      <c r="Y2292" s="102" t="n"/>
      <c r="Z2292" s="104" t="n"/>
      <c r="AB2292" s="105">
        <f>IF($B2292="","",(COUNTIF(C2258:E2275,$B2292)+COUNTIF(C2258:E2275,$B2292&amp;" ~*")&gt;0)+(COUNTIF(G2258:I2275,$B2292)+COUNTIF(G2258:I2275,$B2292&amp;" ~*")&gt;0)+(COUNTIF(K2258:M2275,$B2292)+COUNTIF(K2258:M2275,$B2292&amp;" ~*")&gt;0)+(COUNTIF(O2258:Q2275,$B2292)+COUNTIF(O2258:Q2275,$B2292&amp;" ~*")&gt;0)+(COUNTIF(S2258:U2275,$B2292)+COUNTIF(S2258:U2275,$B2292&amp;" ~*")&gt;0)+(COUNTIF(W2258:W2275,$B2292)+COUNTIF(W2258:W2275,$B2292&amp;" ~*")&gt;0)+(COUNTIF(Y2258:Y2275,$B2292)+COUNTIF(Y2258:Y2275,$B2292&amp;" ~*")&gt;0))</f>
        <v/>
      </c>
      <c r="AC2292" s="38">
        <f>IF($B2292="","",(IFERROR(INDEX(Setup!$G$33:$G$40,MATCH(C2292,Setup!$B$33:$B$40,0)),0)=1)*(COUNTIF(C2258:E2275,$B2292)+COUNTIF(C2258:E2275,$B2292&amp;" ~*")&gt;0)+(IFERROR(INDEX(Setup!$G$33:$G$40,MATCH(G2292,Setup!$B$33:$B$40,0)),0)=1)*(COUNTIF(G2258:I2275,$B2292)+COUNTIF(G2258:I2275,$B2292&amp;" ~*")&gt;0)+(IFERROR(INDEX(Setup!$G$33:$G$40,MATCH(K2292,Setup!$B$33:$B$40,0)),0)=1)*(COUNTIF(K2258:M2275,$B2292)+COUNTIF(K2258:M2275,$B2292&amp;" ~*")&gt;0)+(IFERROR(INDEX(Setup!$G$33:$G$40,MATCH(O2292,Setup!$B$33:$B$40,0)),0)=1)*(COUNTIF(O2258:Q2275,$B2292)+COUNTIF(O2258:Q2275,$B2292&amp;" ~*")&gt;0)+(IFERROR(INDEX(Setup!$G$33:$G$40,MATCH(S2292,Setup!$B$33:$B$40,0)),0)=1)*(COUNTIF(S2258:U2275,$B2292)+COUNTIF(S2258:U2275,$B2292&amp;" ~*")&gt;0)+(IFERROR(INDEX(Setup!$G$33:$G$40,MATCH(W2292,Setup!$B$33:$B$40,0)),0)=1)*(COUNTIF(W2258:W2275,$B2292)+COUNTIF(W2258:W2275,$B2292&amp;" ~*")&gt;0)+(IFERROR(INDEX(Setup!$G$33:$G$40,MATCH(Y2292,Setup!$B$33:$B$40,0)),0)=1)*(COUNTIF(Y2258:Y2275,$B2292)+COUNTIF(Y2258:Y2275,$B2292&amp;" ~*")&gt;0))</f>
        <v/>
      </c>
    </row>
    <row r="2293" ht="15" customHeight="1">
      <c r="A2293" t="n">
        <v>46</v>
      </c>
      <c r="B2293" s="35">
        <f>IF(Setup!$B$22="","",Setup!$B$22)</f>
        <v/>
      </c>
      <c r="C2293" s="98" t="n"/>
      <c r="D2293" s="99" t="n"/>
      <c r="E2293" s="99" t="n"/>
      <c r="F2293" s="100" t="n"/>
      <c r="G2293" s="98" t="n"/>
      <c r="H2293" s="99" t="n"/>
      <c r="I2293" s="99" t="n"/>
      <c r="J2293" s="100" t="n"/>
      <c r="K2293" s="98" t="n"/>
      <c r="L2293" s="99" t="n"/>
      <c r="M2293" s="99" t="n"/>
      <c r="N2293" s="100" t="n"/>
      <c r="O2293" s="98" t="n"/>
      <c r="P2293" s="99" t="n"/>
      <c r="Q2293" s="99" t="n"/>
      <c r="R2293" s="100" t="n"/>
      <c r="S2293" s="98" t="n"/>
      <c r="T2293" s="99" t="n"/>
      <c r="U2293" s="99" t="n"/>
      <c r="V2293" s="100" t="n"/>
      <c r="W2293" s="98" t="n"/>
      <c r="X2293" s="100" t="n"/>
      <c r="Y2293" s="98" t="n"/>
      <c r="Z2293" s="100" t="n"/>
      <c r="AB2293" s="101">
        <f>IF($B2293="","",(COUNTIF(C2258:E2275,$B2293)+COUNTIF(C2258:E2275,$B2293&amp;" ~*")&gt;0)+(COUNTIF(G2258:I2275,$B2293)+COUNTIF(G2258:I2275,$B2293&amp;" ~*")&gt;0)+(COUNTIF(K2258:M2275,$B2293)+COUNTIF(K2258:M2275,$B2293&amp;" ~*")&gt;0)+(COUNTIF(O2258:Q2275,$B2293)+COUNTIF(O2258:Q2275,$B2293&amp;" ~*")&gt;0)+(COUNTIF(S2258:U2275,$B2293)+COUNTIF(S2258:U2275,$B2293&amp;" ~*")&gt;0)+(COUNTIF(W2258:W2275,$B2293)+COUNTIF(W2258:W2275,$B2293&amp;" ~*")&gt;0)+(COUNTIF(Y2258:Y2275,$B2293)+COUNTIF(Y2258:Y2275,$B2293&amp;" ~*")&gt;0))</f>
        <v/>
      </c>
      <c r="AC2293" s="36">
        <f>IF($B2293="","",(IFERROR(INDEX(Setup!$G$33:$G$40,MATCH(C2293,Setup!$B$33:$B$40,0)),0)=1)*(COUNTIF(C2258:E2275,$B2293)+COUNTIF(C2258:E2275,$B2293&amp;" ~*")&gt;0)+(IFERROR(INDEX(Setup!$G$33:$G$40,MATCH(G2293,Setup!$B$33:$B$40,0)),0)=1)*(COUNTIF(G2258:I2275,$B2293)+COUNTIF(G2258:I2275,$B2293&amp;" ~*")&gt;0)+(IFERROR(INDEX(Setup!$G$33:$G$40,MATCH(K2293,Setup!$B$33:$B$40,0)),0)=1)*(COUNTIF(K2258:M2275,$B2293)+COUNTIF(K2258:M2275,$B2293&amp;" ~*")&gt;0)+(IFERROR(INDEX(Setup!$G$33:$G$40,MATCH(O2293,Setup!$B$33:$B$40,0)),0)=1)*(COUNTIF(O2258:Q2275,$B2293)+COUNTIF(O2258:Q2275,$B2293&amp;" ~*")&gt;0)+(IFERROR(INDEX(Setup!$G$33:$G$40,MATCH(S2293,Setup!$B$33:$B$40,0)),0)=1)*(COUNTIF(S2258:U2275,$B2293)+COUNTIF(S2258:U2275,$B2293&amp;" ~*")&gt;0)+(IFERROR(INDEX(Setup!$G$33:$G$40,MATCH(W2293,Setup!$B$33:$B$40,0)),0)=1)*(COUNTIF(W2258:W2275,$B2293)+COUNTIF(W2258:W2275,$B2293&amp;" ~*")&gt;0)+(IFERROR(INDEX(Setup!$G$33:$G$40,MATCH(Y2293,Setup!$B$33:$B$40,0)),0)=1)*(COUNTIF(Y2258:Y2275,$B2293)+COUNTIF(Y2258:Y2275,$B2293&amp;" ~*")&gt;0))</f>
        <v/>
      </c>
    </row>
    <row r="2294" ht="15" customHeight="1">
      <c r="A2294" t="n">
        <v>46</v>
      </c>
      <c r="B2294" s="37">
        <f>IF(Setup!$B$23="","",Setup!$B$23)</f>
        <v/>
      </c>
      <c r="C2294" s="102" t="n"/>
      <c r="D2294" s="103" t="n"/>
      <c r="E2294" s="103" t="n"/>
      <c r="F2294" s="104" t="n"/>
      <c r="G2294" s="102" t="n"/>
      <c r="H2294" s="103" t="n"/>
      <c r="I2294" s="103" t="n"/>
      <c r="J2294" s="104" t="n"/>
      <c r="K2294" s="102" t="n"/>
      <c r="L2294" s="103" t="n"/>
      <c r="M2294" s="103" t="n"/>
      <c r="N2294" s="104" t="n"/>
      <c r="O2294" s="102" t="n"/>
      <c r="P2294" s="103" t="n"/>
      <c r="Q2294" s="103" t="n"/>
      <c r="R2294" s="104" t="n"/>
      <c r="S2294" s="102" t="n"/>
      <c r="T2294" s="103" t="n"/>
      <c r="U2294" s="103" t="n"/>
      <c r="V2294" s="104" t="n"/>
      <c r="W2294" s="102" t="n"/>
      <c r="X2294" s="104" t="n"/>
      <c r="Y2294" s="102" t="n"/>
      <c r="Z2294" s="104" t="n"/>
      <c r="AB2294" s="105">
        <f>IF($B2294="","",(COUNTIF(C2258:E2275,$B2294)+COUNTIF(C2258:E2275,$B2294&amp;" ~*")&gt;0)+(COUNTIF(G2258:I2275,$B2294)+COUNTIF(G2258:I2275,$B2294&amp;" ~*")&gt;0)+(COUNTIF(K2258:M2275,$B2294)+COUNTIF(K2258:M2275,$B2294&amp;" ~*")&gt;0)+(COUNTIF(O2258:Q2275,$B2294)+COUNTIF(O2258:Q2275,$B2294&amp;" ~*")&gt;0)+(COUNTIF(S2258:U2275,$B2294)+COUNTIF(S2258:U2275,$B2294&amp;" ~*")&gt;0)+(COUNTIF(W2258:W2275,$B2294)+COUNTIF(W2258:W2275,$B2294&amp;" ~*")&gt;0)+(COUNTIF(Y2258:Y2275,$B2294)+COUNTIF(Y2258:Y2275,$B2294&amp;" ~*")&gt;0))</f>
        <v/>
      </c>
      <c r="AC2294" s="38">
        <f>IF($B2294="","",(IFERROR(INDEX(Setup!$G$33:$G$40,MATCH(C2294,Setup!$B$33:$B$40,0)),0)=1)*(COUNTIF(C2258:E2275,$B2294)+COUNTIF(C2258:E2275,$B2294&amp;" ~*")&gt;0)+(IFERROR(INDEX(Setup!$G$33:$G$40,MATCH(G2294,Setup!$B$33:$B$40,0)),0)=1)*(COUNTIF(G2258:I2275,$B2294)+COUNTIF(G2258:I2275,$B2294&amp;" ~*")&gt;0)+(IFERROR(INDEX(Setup!$G$33:$G$40,MATCH(K2294,Setup!$B$33:$B$40,0)),0)=1)*(COUNTIF(K2258:M2275,$B2294)+COUNTIF(K2258:M2275,$B2294&amp;" ~*")&gt;0)+(IFERROR(INDEX(Setup!$G$33:$G$40,MATCH(O2294,Setup!$B$33:$B$40,0)),0)=1)*(COUNTIF(O2258:Q2275,$B2294)+COUNTIF(O2258:Q2275,$B2294&amp;" ~*")&gt;0)+(IFERROR(INDEX(Setup!$G$33:$G$40,MATCH(S2294,Setup!$B$33:$B$40,0)),0)=1)*(COUNTIF(S2258:U2275,$B2294)+COUNTIF(S2258:U2275,$B2294&amp;" ~*")&gt;0)+(IFERROR(INDEX(Setup!$G$33:$G$40,MATCH(W2294,Setup!$B$33:$B$40,0)),0)=1)*(COUNTIF(W2258:W2275,$B2294)+COUNTIF(W2258:W2275,$B2294&amp;" ~*")&gt;0)+(IFERROR(INDEX(Setup!$G$33:$G$40,MATCH(Y2294,Setup!$B$33:$B$40,0)),0)=1)*(COUNTIF(Y2258:Y2275,$B2294)+COUNTIF(Y2258:Y2275,$B2294&amp;" ~*")&gt;0))</f>
        <v/>
      </c>
    </row>
    <row r="2295" ht="15" customHeight="1">
      <c r="A2295" t="n">
        <v>46</v>
      </c>
      <c r="B2295" s="35">
        <f>IF(Setup!$B$24="","",Setup!$B$24)</f>
        <v/>
      </c>
      <c r="C2295" s="98" t="n"/>
      <c r="D2295" s="99" t="n"/>
      <c r="E2295" s="99" t="n"/>
      <c r="F2295" s="100" t="n"/>
      <c r="G2295" s="98" t="n"/>
      <c r="H2295" s="99" t="n"/>
      <c r="I2295" s="99" t="n"/>
      <c r="J2295" s="100" t="n"/>
      <c r="K2295" s="98" t="n"/>
      <c r="L2295" s="99" t="n"/>
      <c r="M2295" s="99" t="n"/>
      <c r="N2295" s="100" t="n"/>
      <c r="O2295" s="98" t="n"/>
      <c r="P2295" s="99" t="n"/>
      <c r="Q2295" s="99" t="n"/>
      <c r="R2295" s="100" t="n"/>
      <c r="S2295" s="98" t="n"/>
      <c r="T2295" s="99" t="n"/>
      <c r="U2295" s="99" t="n"/>
      <c r="V2295" s="100" t="n"/>
      <c r="W2295" s="98" t="n"/>
      <c r="X2295" s="100" t="n"/>
      <c r="Y2295" s="98" t="n"/>
      <c r="Z2295" s="100" t="n"/>
      <c r="AB2295" s="101">
        <f>IF($B2295="","",(COUNTIF(C2258:E2275,$B2295)+COUNTIF(C2258:E2275,$B2295&amp;" ~*")&gt;0)+(COUNTIF(G2258:I2275,$B2295)+COUNTIF(G2258:I2275,$B2295&amp;" ~*")&gt;0)+(COUNTIF(K2258:M2275,$B2295)+COUNTIF(K2258:M2275,$B2295&amp;" ~*")&gt;0)+(COUNTIF(O2258:Q2275,$B2295)+COUNTIF(O2258:Q2275,$B2295&amp;" ~*")&gt;0)+(COUNTIF(S2258:U2275,$B2295)+COUNTIF(S2258:U2275,$B2295&amp;" ~*")&gt;0)+(COUNTIF(W2258:W2275,$B2295)+COUNTIF(W2258:W2275,$B2295&amp;" ~*")&gt;0)+(COUNTIF(Y2258:Y2275,$B2295)+COUNTIF(Y2258:Y2275,$B2295&amp;" ~*")&gt;0))</f>
        <v/>
      </c>
      <c r="AC2295" s="36">
        <f>IF($B2295="","",(IFERROR(INDEX(Setup!$G$33:$G$40,MATCH(C2295,Setup!$B$33:$B$40,0)),0)=1)*(COUNTIF(C2258:E2275,$B2295)+COUNTIF(C2258:E2275,$B2295&amp;" ~*")&gt;0)+(IFERROR(INDEX(Setup!$G$33:$G$40,MATCH(G2295,Setup!$B$33:$B$40,0)),0)=1)*(COUNTIF(G2258:I2275,$B2295)+COUNTIF(G2258:I2275,$B2295&amp;" ~*")&gt;0)+(IFERROR(INDEX(Setup!$G$33:$G$40,MATCH(K2295,Setup!$B$33:$B$40,0)),0)=1)*(COUNTIF(K2258:M2275,$B2295)+COUNTIF(K2258:M2275,$B2295&amp;" ~*")&gt;0)+(IFERROR(INDEX(Setup!$G$33:$G$40,MATCH(O2295,Setup!$B$33:$B$40,0)),0)=1)*(COUNTIF(O2258:Q2275,$B2295)+COUNTIF(O2258:Q2275,$B2295&amp;" ~*")&gt;0)+(IFERROR(INDEX(Setup!$G$33:$G$40,MATCH(S2295,Setup!$B$33:$B$40,0)),0)=1)*(COUNTIF(S2258:U2275,$B2295)+COUNTIF(S2258:U2275,$B2295&amp;" ~*")&gt;0)+(IFERROR(INDEX(Setup!$G$33:$G$40,MATCH(W2295,Setup!$B$33:$B$40,0)),0)=1)*(COUNTIF(W2258:W2275,$B2295)+COUNTIF(W2258:W2275,$B2295&amp;" ~*")&gt;0)+(IFERROR(INDEX(Setup!$G$33:$G$40,MATCH(Y2295,Setup!$B$33:$B$40,0)),0)=1)*(COUNTIF(Y2258:Y2275,$B2295)+COUNTIF(Y2258:Y2275,$B2295&amp;" ~*")&gt;0))</f>
        <v/>
      </c>
    </row>
    <row r="2296" ht="15" customHeight="1">
      <c r="A2296" t="n">
        <v>46</v>
      </c>
      <c r="B2296" s="37">
        <f>IF(Setup!$B$25="","",Setup!$B$25)</f>
        <v/>
      </c>
      <c r="C2296" s="102" t="n"/>
      <c r="D2296" s="103" t="n"/>
      <c r="E2296" s="103" t="n"/>
      <c r="F2296" s="104" t="n"/>
      <c r="G2296" s="102" t="n"/>
      <c r="H2296" s="103" t="n"/>
      <c r="I2296" s="103" t="n"/>
      <c r="J2296" s="104" t="n"/>
      <c r="K2296" s="102" t="n"/>
      <c r="L2296" s="103" t="n"/>
      <c r="M2296" s="103" t="n"/>
      <c r="N2296" s="104" t="n"/>
      <c r="O2296" s="102" t="n"/>
      <c r="P2296" s="103" t="n"/>
      <c r="Q2296" s="103" t="n"/>
      <c r="R2296" s="104" t="n"/>
      <c r="S2296" s="102" t="n"/>
      <c r="T2296" s="103" t="n"/>
      <c r="U2296" s="103" t="n"/>
      <c r="V2296" s="104" t="n"/>
      <c r="W2296" s="102" t="n"/>
      <c r="X2296" s="104" t="n"/>
      <c r="Y2296" s="102" t="n"/>
      <c r="Z2296" s="104" t="n"/>
      <c r="AB2296" s="105">
        <f>IF($B2296="","",(COUNTIF(C2258:E2275,$B2296)+COUNTIF(C2258:E2275,$B2296&amp;" ~*")&gt;0)+(COUNTIF(G2258:I2275,$B2296)+COUNTIF(G2258:I2275,$B2296&amp;" ~*")&gt;0)+(COUNTIF(K2258:M2275,$B2296)+COUNTIF(K2258:M2275,$B2296&amp;" ~*")&gt;0)+(COUNTIF(O2258:Q2275,$B2296)+COUNTIF(O2258:Q2275,$B2296&amp;" ~*")&gt;0)+(COUNTIF(S2258:U2275,$B2296)+COUNTIF(S2258:U2275,$B2296&amp;" ~*")&gt;0)+(COUNTIF(W2258:W2275,$B2296)+COUNTIF(W2258:W2275,$B2296&amp;" ~*")&gt;0)+(COUNTIF(Y2258:Y2275,$B2296)+COUNTIF(Y2258:Y2275,$B2296&amp;" ~*")&gt;0))</f>
        <v/>
      </c>
      <c r="AC2296" s="38">
        <f>IF($B2296="","",(IFERROR(INDEX(Setup!$G$33:$G$40,MATCH(C2296,Setup!$B$33:$B$40,0)),0)=1)*(COUNTIF(C2258:E2275,$B2296)+COUNTIF(C2258:E2275,$B2296&amp;" ~*")&gt;0)+(IFERROR(INDEX(Setup!$G$33:$G$40,MATCH(G2296,Setup!$B$33:$B$40,0)),0)=1)*(COUNTIF(G2258:I2275,$B2296)+COUNTIF(G2258:I2275,$B2296&amp;" ~*")&gt;0)+(IFERROR(INDEX(Setup!$G$33:$G$40,MATCH(K2296,Setup!$B$33:$B$40,0)),0)=1)*(COUNTIF(K2258:M2275,$B2296)+COUNTIF(K2258:M2275,$B2296&amp;" ~*")&gt;0)+(IFERROR(INDEX(Setup!$G$33:$G$40,MATCH(O2296,Setup!$B$33:$B$40,0)),0)=1)*(COUNTIF(O2258:Q2275,$B2296)+COUNTIF(O2258:Q2275,$B2296&amp;" ~*")&gt;0)+(IFERROR(INDEX(Setup!$G$33:$G$40,MATCH(S2296,Setup!$B$33:$B$40,0)),0)=1)*(COUNTIF(S2258:U2275,$B2296)+COUNTIF(S2258:U2275,$B2296&amp;" ~*")&gt;0)+(IFERROR(INDEX(Setup!$G$33:$G$40,MATCH(W2296,Setup!$B$33:$B$40,0)),0)=1)*(COUNTIF(W2258:W2275,$B2296)+COUNTIF(W2258:W2275,$B2296&amp;" ~*")&gt;0)+(IFERROR(INDEX(Setup!$G$33:$G$40,MATCH(Y2296,Setup!$B$33:$B$40,0)),0)=1)*(COUNTIF(Y2258:Y2275,$B2296)+COUNTIF(Y2258:Y2275,$B2296&amp;" ~*")&gt;0))</f>
        <v/>
      </c>
    </row>
    <row r="2297" ht="15" customHeight="1">
      <c r="A2297" t="n">
        <v>46</v>
      </c>
      <c r="B2297" s="35">
        <f>IF(Setup!$B$26="","",Setup!$B$26)</f>
        <v/>
      </c>
      <c r="C2297" s="98" t="n"/>
      <c r="D2297" s="99" t="n"/>
      <c r="E2297" s="99" t="n"/>
      <c r="F2297" s="100" t="n"/>
      <c r="G2297" s="98" t="n"/>
      <c r="H2297" s="99" t="n"/>
      <c r="I2297" s="99" t="n"/>
      <c r="J2297" s="100" t="n"/>
      <c r="K2297" s="98" t="n"/>
      <c r="L2297" s="99" t="n"/>
      <c r="M2297" s="99" t="n"/>
      <c r="N2297" s="100" t="n"/>
      <c r="O2297" s="98" t="n"/>
      <c r="P2297" s="99" t="n"/>
      <c r="Q2297" s="99" t="n"/>
      <c r="R2297" s="100" t="n"/>
      <c r="S2297" s="98" t="n"/>
      <c r="T2297" s="99" t="n"/>
      <c r="U2297" s="99" t="n"/>
      <c r="V2297" s="100" t="n"/>
      <c r="W2297" s="98" t="n"/>
      <c r="X2297" s="100" t="n"/>
      <c r="Y2297" s="98" t="n"/>
      <c r="Z2297" s="100" t="n"/>
      <c r="AB2297" s="101">
        <f>IF($B2297="","",(COUNTIF(C2258:E2275,$B2297)+COUNTIF(C2258:E2275,$B2297&amp;" ~*")&gt;0)+(COUNTIF(G2258:I2275,$B2297)+COUNTIF(G2258:I2275,$B2297&amp;" ~*")&gt;0)+(COUNTIF(K2258:M2275,$B2297)+COUNTIF(K2258:M2275,$B2297&amp;" ~*")&gt;0)+(COUNTIF(O2258:Q2275,$B2297)+COUNTIF(O2258:Q2275,$B2297&amp;" ~*")&gt;0)+(COUNTIF(S2258:U2275,$B2297)+COUNTIF(S2258:U2275,$B2297&amp;" ~*")&gt;0)+(COUNTIF(W2258:W2275,$B2297)+COUNTIF(W2258:W2275,$B2297&amp;" ~*")&gt;0)+(COUNTIF(Y2258:Y2275,$B2297)+COUNTIF(Y2258:Y2275,$B2297&amp;" ~*")&gt;0))</f>
        <v/>
      </c>
      <c r="AC2297" s="36">
        <f>IF($B2297="","",(IFERROR(INDEX(Setup!$G$33:$G$40,MATCH(C2297,Setup!$B$33:$B$40,0)),0)=1)*(COUNTIF(C2258:E2275,$B2297)+COUNTIF(C2258:E2275,$B2297&amp;" ~*")&gt;0)+(IFERROR(INDEX(Setup!$G$33:$G$40,MATCH(G2297,Setup!$B$33:$B$40,0)),0)=1)*(COUNTIF(G2258:I2275,$B2297)+COUNTIF(G2258:I2275,$B2297&amp;" ~*")&gt;0)+(IFERROR(INDEX(Setup!$G$33:$G$40,MATCH(K2297,Setup!$B$33:$B$40,0)),0)=1)*(COUNTIF(K2258:M2275,$B2297)+COUNTIF(K2258:M2275,$B2297&amp;" ~*")&gt;0)+(IFERROR(INDEX(Setup!$G$33:$G$40,MATCH(O2297,Setup!$B$33:$B$40,0)),0)=1)*(COUNTIF(O2258:Q2275,$B2297)+COUNTIF(O2258:Q2275,$B2297&amp;" ~*")&gt;0)+(IFERROR(INDEX(Setup!$G$33:$G$40,MATCH(S2297,Setup!$B$33:$B$40,0)),0)=1)*(COUNTIF(S2258:U2275,$B2297)+COUNTIF(S2258:U2275,$B2297&amp;" ~*")&gt;0)+(IFERROR(INDEX(Setup!$G$33:$G$40,MATCH(W2297,Setup!$B$33:$B$40,0)),0)=1)*(COUNTIF(W2258:W2275,$B2297)+COUNTIF(W2258:W2275,$B2297&amp;" ~*")&gt;0)+(IFERROR(INDEX(Setup!$G$33:$G$40,MATCH(Y2297,Setup!$B$33:$B$40,0)),0)=1)*(COUNTIF(Y2258:Y2275,$B2297)+COUNTIF(Y2258:Y2275,$B2297&amp;" ~*")&gt;0))</f>
        <v/>
      </c>
    </row>
    <row r="2298" ht="15" customHeight="1">
      <c r="A2298" t="n">
        <v>46</v>
      </c>
      <c r="B2298" s="37">
        <f>IF(Setup!$B$27="","",Setup!$B$27)</f>
        <v/>
      </c>
      <c r="C2298" s="102" t="n"/>
      <c r="D2298" s="103" t="n"/>
      <c r="E2298" s="103" t="n"/>
      <c r="F2298" s="104" t="n"/>
      <c r="G2298" s="102" t="n"/>
      <c r="H2298" s="103" t="n"/>
      <c r="I2298" s="103" t="n"/>
      <c r="J2298" s="104" t="n"/>
      <c r="K2298" s="102" t="n"/>
      <c r="L2298" s="103" t="n"/>
      <c r="M2298" s="103" t="n"/>
      <c r="N2298" s="104" t="n"/>
      <c r="O2298" s="102" t="n"/>
      <c r="P2298" s="103" t="n"/>
      <c r="Q2298" s="103" t="n"/>
      <c r="R2298" s="104" t="n"/>
      <c r="S2298" s="102" t="n"/>
      <c r="T2298" s="103" t="n"/>
      <c r="U2298" s="103" t="n"/>
      <c r="V2298" s="104" t="n"/>
      <c r="W2298" s="102" t="n"/>
      <c r="X2298" s="104" t="n"/>
      <c r="Y2298" s="102" t="n"/>
      <c r="Z2298" s="104" t="n"/>
      <c r="AB2298" s="105">
        <f>IF($B2298="","",(COUNTIF(C2258:E2275,$B2298)+COUNTIF(C2258:E2275,$B2298&amp;" ~*")&gt;0)+(COUNTIF(G2258:I2275,$B2298)+COUNTIF(G2258:I2275,$B2298&amp;" ~*")&gt;0)+(COUNTIF(K2258:M2275,$B2298)+COUNTIF(K2258:M2275,$B2298&amp;" ~*")&gt;0)+(COUNTIF(O2258:Q2275,$B2298)+COUNTIF(O2258:Q2275,$B2298&amp;" ~*")&gt;0)+(COUNTIF(S2258:U2275,$B2298)+COUNTIF(S2258:U2275,$B2298&amp;" ~*")&gt;0)+(COUNTIF(W2258:W2275,$B2298)+COUNTIF(W2258:W2275,$B2298&amp;" ~*")&gt;0)+(COUNTIF(Y2258:Y2275,$B2298)+COUNTIF(Y2258:Y2275,$B2298&amp;" ~*")&gt;0))</f>
        <v/>
      </c>
      <c r="AC2298" s="38">
        <f>IF($B2298="","",(IFERROR(INDEX(Setup!$G$33:$G$40,MATCH(C2298,Setup!$B$33:$B$40,0)),0)=1)*(COUNTIF(C2258:E2275,$B2298)+COUNTIF(C2258:E2275,$B2298&amp;" ~*")&gt;0)+(IFERROR(INDEX(Setup!$G$33:$G$40,MATCH(G2298,Setup!$B$33:$B$40,0)),0)=1)*(COUNTIF(G2258:I2275,$B2298)+COUNTIF(G2258:I2275,$B2298&amp;" ~*")&gt;0)+(IFERROR(INDEX(Setup!$G$33:$G$40,MATCH(K2298,Setup!$B$33:$B$40,0)),0)=1)*(COUNTIF(K2258:M2275,$B2298)+COUNTIF(K2258:M2275,$B2298&amp;" ~*")&gt;0)+(IFERROR(INDEX(Setup!$G$33:$G$40,MATCH(O2298,Setup!$B$33:$B$40,0)),0)=1)*(COUNTIF(O2258:Q2275,$B2298)+COUNTIF(O2258:Q2275,$B2298&amp;" ~*")&gt;0)+(IFERROR(INDEX(Setup!$G$33:$G$40,MATCH(S2298,Setup!$B$33:$B$40,0)),0)=1)*(COUNTIF(S2258:U2275,$B2298)+COUNTIF(S2258:U2275,$B2298&amp;" ~*")&gt;0)+(IFERROR(INDEX(Setup!$G$33:$G$40,MATCH(W2298,Setup!$B$33:$B$40,0)),0)=1)*(COUNTIF(W2258:W2275,$B2298)+COUNTIF(W2258:W2275,$B2298&amp;" ~*")&gt;0)+(IFERROR(INDEX(Setup!$G$33:$G$40,MATCH(Y2298,Setup!$B$33:$B$40,0)),0)=1)*(COUNTIF(Y2258:Y2275,$B2298)+COUNTIF(Y2258:Y2275,$B2298&amp;" ~*")&gt;0))</f>
        <v/>
      </c>
    </row>
    <row r="2299" ht="15" customHeight="1">
      <c r="A2299" t="n">
        <v>46</v>
      </c>
      <c r="B2299" s="35">
        <f>IF(Setup!$B$28="","",Setup!$B$28)</f>
        <v/>
      </c>
      <c r="C2299" s="98" t="n"/>
      <c r="D2299" s="99" t="n"/>
      <c r="E2299" s="99" t="n"/>
      <c r="F2299" s="100" t="n"/>
      <c r="G2299" s="98" t="n"/>
      <c r="H2299" s="99" t="n"/>
      <c r="I2299" s="99" t="n"/>
      <c r="J2299" s="100" t="n"/>
      <c r="K2299" s="98" t="n"/>
      <c r="L2299" s="99" t="n"/>
      <c r="M2299" s="99" t="n"/>
      <c r="N2299" s="100" t="n"/>
      <c r="O2299" s="98" t="n"/>
      <c r="P2299" s="99" t="n"/>
      <c r="Q2299" s="99" t="n"/>
      <c r="R2299" s="100" t="n"/>
      <c r="S2299" s="98" t="n"/>
      <c r="T2299" s="99" t="n"/>
      <c r="U2299" s="99" t="n"/>
      <c r="V2299" s="100" t="n"/>
      <c r="W2299" s="98" t="n"/>
      <c r="X2299" s="100" t="n"/>
      <c r="Y2299" s="98" t="n"/>
      <c r="Z2299" s="100" t="n"/>
      <c r="AB2299" s="101">
        <f>IF($B2299="","",(COUNTIF(C2258:E2275,$B2299)+COUNTIF(C2258:E2275,$B2299&amp;" ~*")&gt;0)+(COUNTIF(G2258:I2275,$B2299)+COUNTIF(G2258:I2275,$B2299&amp;" ~*")&gt;0)+(COUNTIF(K2258:M2275,$B2299)+COUNTIF(K2258:M2275,$B2299&amp;" ~*")&gt;0)+(COUNTIF(O2258:Q2275,$B2299)+COUNTIF(O2258:Q2275,$B2299&amp;" ~*")&gt;0)+(COUNTIF(S2258:U2275,$B2299)+COUNTIF(S2258:U2275,$B2299&amp;" ~*")&gt;0)+(COUNTIF(W2258:W2275,$B2299)+COUNTIF(W2258:W2275,$B2299&amp;" ~*")&gt;0)+(COUNTIF(Y2258:Y2275,$B2299)+COUNTIF(Y2258:Y2275,$B2299&amp;" ~*")&gt;0))</f>
        <v/>
      </c>
      <c r="AC2299" s="36">
        <f>IF($B2299="","",(IFERROR(INDEX(Setup!$G$33:$G$40,MATCH(C2299,Setup!$B$33:$B$40,0)),0)=1)*(COUNTIF(C2258:E2275,$B2299)+COUNTIF(C2258:E2275,$B2299&amp;" ~*")&gt;0)+(IFERROR(INDEX(Setup!$G$33:$G$40,MATCH(G2299,Setup!$B$33:$B$40,0)),0)=1)*(COUNTIF(G2258:I2275,$B2299)+COUNTIF(G2258:I2275,$B2299&amp;" ~*")&gt;0)+(IFERROR(INDEX(Setup!$G$33:$G$40,MATCH(K2299,Setup!$B$33:$B$40,0)),0)=1)*(COUNTIF(K2258:M2275,$B2299)+COUNTIF(K2258:M2275,$B2299&amp;" ~*")&gt;0)+(IFERROR(INDEX(Setup!$G$33:$G$40,MATCH(O2299,Setup!$B$33:$B$40,0)),0)=1)*(COUNTIF(O2258:Q2275,$B2299)+COUNTIF(O2258:Q2275,$B2299&amp;" ~*")&gt;0)+(IFERROR(INDEX(Setup!$G$33:$G$40,MATCH(S2299,Setup!$B$33:$B$40,0)),0)=1)*(COUNTIF(S2258:U2275,$B2299)+COUNTIF(S2258:U2275,$B2299&amp;" ~*")&gt;0)+(IFERROR(INDEX(Setup!$G$33:$G$40,MATCH(W2299,Setup!$B$33:$B$40,0)),0)=1)*(COUNTIF(W2258:W2275,$B2299)+COUNTIF(W2258:W2275,$B2299&amp;" ~*")&gt;0)+(IFERROR(INDEX(Setup!$G$33:$G$40,MATCH(Y2299,Setup!$B$33:$B$40,0)),0)=1)*(COUNTIF(Y2258:Y2275,$B2299)+COUNTIF(Y2258:Y2275,$B2299&amp;" ~*")&gt;0))</f>
        <v/>
      </c>
    </row>
    <row r="2300" ht="15" customHeight="1">
      <c r="A2300" t="n">
        <v>46</v>
      </c>
      <c r="B2300" s="37">
        <f>IF(Setup!$B$29="","",Setup!$B$29)</f>
        <v/>
      </c>
      <c r="C2300" s="102" t="n"/>
      <c r="D2300" s="103" t="n"/>
      <c r="E2300" s="103" t="n"/>
      <c r="F2300" s="104" t="n"/>
      <c r="G2300" s="102" t="n"/>
      <c r="H2300" s="103" t="n"/>
      <c r="I2300" s="103" t="n"/>
      <c r="J2300" s="104" t="n"/>
      <c r="K2300" s="102" t="n"/>
      <c r="L2300" s="103" t="n"/>
      <c r="M2300" s="103" t="n"/>
      <c r="N2300" s="104" t="n"/>
      <c r="O2300" s="102" t="n"/>
      <c r="P2300" s="103" t="n"/>
      <c r="Q2300" s="103" t="n"/>
      <c r="R2300" s="104" t="n"/>
      <c r="S2300" s="102" t="n"/>
      <c r="T2300" s="103" t="n"/>
      <c r="U2300" s="103" t="n"/>
      <c r="V2300" s="104" t="n"/>
      <c r="W2300" s="102" t="n"/>
      <c r="X2300" s="104" t="n"/>
      <c r="Y2300" s="102" t="n"/>
      <c r="Z2300" s="104" t="n"/>
      <c r="AB2300" s="105">
        <f>IF($B2300="","",(COUNTIF(C2258:E2275,$B2300)+COUNTIF(C2258:E2275,$B2300&amp;" ~*")&gt;0)+(COUNTIF(G2258:I2275,$B2300)+COUNTIF(G2258:I2275,$B2300&amp;" ~*")&gt;0)+(COUNTIF(K2258:M2275,$B2300)+COUNTIF(K2258:M2275,$B2300&amp;" ~*")&gt;0)+(COUNTIF(O2258:Q2275,$B2300)+COUNTIF(O2258:Q2275,$B2300&amp;" ~*")&gt;0)+(COUNTIF(S2258:U2275,$B2300)+COUNTIF(S2258:U2275,$B2300&amp;" ~*")&gt;0)+(COUNTIF(W2258:W2275,$B2300)+COUNTIF(W2258:W2275,$B2300&amp;" ~*")&gt;0)+(COUNTIF(Y2258:Y2275,$B2300)+COUNTIF(Y2258:Y2275,$B2300&amp;" ~*")&gt;0))</f>
        <v/>
      </c>
      <c r="AC2300" s="38">
        <f>IF($B2300="","",(IFERROR(INDEX(Setup!$G$33:$G$40,MATCH(C2300,Setup!$B$33:$B$40,0)),0)=1)*(COUNTIF(C2258:E2275,$B2300)+COUNTIF(C2258:E2275,$B2300&amp;" ~*")&gt;0)+(IFERROR(INDEX(Setup!$G$33:$G$40,MATCH(G2300,Setup!$B$33:$B$40,0)),0)=1)*(COUNTIF(G2258:I2275,$B2300)+COUNTIF(G2258:I2275,$B2300&amp;" ~*")&gt;0)+(IFERROR(INDEX(Setup!$G$33:$G$40,MATCH(K2300,Setup!$B$33:$B$40,0)),0)=1)*(COUNTIF(K2258:M2275,$B2300)+COUNTIF(K2258:M2275,$B2300&amp;" ~*")&gt;0)+(IFERROR(INDEX(Setup!$G$33:$G$40,MATCH(O2300,Setup!$B$33:$B$40,0)),0)=1)*(COUNTIF(O2258:Q2275,$B2300)+COUNTIF(O2258:Q2275,$B2300&amp;" ~*")&gt;0)+(IFERROR(INDEX(Setup!$G$33:$G$40,MATCH(S2300,Setup!$B$33:$B$40,0)),0)=1)*(COUNTIF(S2258:U2275,$B2300)+COUNTIF(S2258:U2275,$B2300&amp;" ~*")&gt;0)+(IFERROR(INDEX(Setup!$G$33:$G$40,MATCH(W2300,Setup!$B$33:$B$40,0)),0)=1)*(COUNTIF(W2258:W2275,$B2300)+COUNTIF(W2258:W2275,$B2300&amp;" ~*")&gt;0)+(IFERROR(INDEX(Setup!$G$33:$G$40,MATCH(Y2300,Setup!$B$33:$B$40,0)),0)=1)*(COUNTIF(Y2258:Y2275,$B2300)+COUNTIF(Y2258:Y2275,$B2300&amp;" ~*")&gt;0))</f>
        <v/>
      </c>
    </row>
    <row r="2301" ht="16" customHeight="1">
      <c r="A2301" t="n">
        <v>46</v>
      </c>
      <c r="B2301" s="106" t="inlineStr">
        <is>
          <t>Available people</t>
        </is>
      </c>
      <c r="C2301" s="107">
        <f>COUNTIFS(Setup!$E$6:$E$29,"Y",Setup!$B$6:$B$29,"?*")-SUMPRODUCT(COUNTIF(C2277:C2300,Setup!$F$33:$F$40))</f>
        <v/>
      </c>
      <c r="D2301" s="107" t="n"/>
      <c r="E2301" s="107" t="n"/>
      <c r="F2301" s="107" t="n"/>
      <c r="G2301" s="107">
        <f>COUNTIFS(Setup!$E$6:$E$29,"Y",Setup!$B$6:$B$29,"?*")-SUMPRODUCT(COUNTIF(G2277:G2300,Setup!$F$33:$F$40))</f>
        <v/>
      </c>
      <c r="H2301" s="107" t="n"/>
      <c r="I2301" s="107" t="n"/>
      <c r="J2301" s="107" t="n"/>
      <c r="K2301" s="107">
        <f>COUNTIFS(Setup!$E$6:$E$29,"Y",Setup!$B$6:$B$29,"?*")-SUMPRODUCT(COUNTIF(K2277:K2300,Setup!$F$33:$F$40))</f>
        <v/>
      </c>
      <c r="L2301" s="107" t="n"/>
      <c r="M2301" s="107" t="n"/>
      <c r="N2301" s="107" t="n"/>
      <c r="O2301" s="107">
        <f>COUNTIFS(Setup!$E$6:$E$29,"Y",Setup!$B$6:$B$29,"?*")-SUMPRODUCT(COUNTIF(O2277:O2300,Setup!$F$33:$F$40))</f>
        <v/>
      </c>
      <c r="P2301" s="107" t="n"/>
      <c r="Q2301" s="107" t="n"/>
      <c r="R2301" s="107" t="n"/>
      <c r="S2301" s="107">
        <f>COUNTIFS(Setup!$E$6:$E$29,"Y",Setup!$B$6:$B$29,"?*")-SUMPRODUCT(COUNTIF(S2277:S2300,Setup!$F$33:$F$40))</f>
        <v/>
      </c>
      <c r="T2301" s="107" t="n"/>
      <c r="U2301" s="107" t="n"/>
      <c r="V2301" s="107" t="n"/>
      <c r="W2301" s="107">
        <f>COUNTIFS(Setup!$E$6:$E$29,"Y",Setup!$B$6:$B$29,"?*")-SUMPRODUCT(COUNTIF(W2277:W2300,Setup!$F$33:$F$40))</f>
        <v/>
      </c>
      <c r="X2301" s="107" t="n"/>
      <c r="Y2301" s="107">
        <f>COUNTIFS(Setup!$E$6:$E$29,"Y",Setup!$B$6:$B$29,"?*")-SUMPRODUCT(COUNTIF(Y2277:Y2300,Setup!$F$33:$F$40))</f>
        <v/>
      </c>
      <c r="Z2301" s="107" t="n"/>
      <c r="AB2301" s="108">
        <f>SUM(AB2277:AB2300)</f>
        <v/>
      </c>
      <c r="AC2301" s="109">
        <f>SUM(AC2277:AC2300)</f>
        <v/>
      </c>
    </row>
    <row r="2302" ht="30" customHeight="1">
      <c r="A2302" t="n">
        <v>46</v>
      </c>
      <c r="B2302" s="110" t="inlineStr">
        <is>
          <t>Week notes</t>
        </is>
      </c>
      <c r="C2302" s="111" t="n"/>
      <c r="D2302" s="112" t="n"/>
      <c r="E2302" s="112" t="n"/>
      <c r="F2302" s="112" t="n"/>
      <c r="G2302" s="112" t="n"/>
      <c r="H2302" s="112" t="n"/>
      <c r="I2302" s="112" t="n"/>
      <c r="J2302" s="112" t="n"/>
      <c r="K2302" s="112" t="n"/>
      <c r="L2302" s="112" t="n"/>
      <c r="M2302" s="112" t="n"/>
      <c r="N2302" s="112" t="n"/>
      <c r="O2302" s="112" t="n"/>
      <c r="P2302" s="112" t="n"/>
      <c r="Q2302" s="112" t="n"/>
      <c r="R2302" s="112" t="n"/>
      <c r="S2302" s="112" t="n"/>
      <c r="T2302" s="112" t="n"/>
      <c r="U2302" s="112" t="n"/>
      <c r="V2302" s="112" t="n"/>
      <c r="W2302" s="112" t="n"/>
      <c r="X2302" s="112" t="n"/>
      <c r="Y2302" s="112" t="n"/>
      <c r="Z2302" s="113" t="n"/>
    </row>
    <row r="2303" ht="8" customHeight="1">
      <c r="A2303" t="n">
        <v>46</v>
      </c>
    </row>
    <row r="2304" ht="8" customHeight="1">
      <c r="A2304" t="n">
        <v>46</v>
      </c>
    </row>
    <row r="2305" ht="24" customHeight="1">
      <c r="A2305" t="n">
        <v>47</v>
      </c>
      <c r="B2305" s="73">
        <f>"WEEK 47     "&amp;TEXT(C2306,"ddd d mmm")&amp;"  –  "&amp;TEXT(C2306+6,"ddd d mmm yyyy")</f>
        <v/>
      </c>
      <c r="S2305" s="74">
        <f>IF(TODAY()&lt;C2306,"FUTURE",IF(TODAY()&gt;C2306+6,"PAST","THIS WEEK"))</f>
        <v/>
      </c>
      <c r="W2305" s="75">
        <f>IF(AND(Engine!$B$8=$AC$3,Engine!$B$9=$A2305),"◀ ACTIVE WEEK","")</f>
        <v/>
      </c>
      <c r="AA2305" s="76" t="n"/>
      <c r="AB2305" s="77" t="inlineStr">
        <is>
          <t>◀ Prev</t>
        </is>
      </c>
      <c r="AC2305" s="77" t="inlineStr">
        <is>
          <t>Next ▶</t>
        </is>
      </c>
    </row>
    <row r="2306" ht="18" customHeight="1">
      <c r="A2306" t="n">
        <v>47</v>
      </c>
      <c r="B2306" s="78" t="inlineStr">
        <is>
          <t>DUTY</t>
        </is>
      </c>
      <c r="C2306" s="79">
        <f>$AC$2+7*($A2306-1)</f>
        <v/>
      </c>
      <c r="D2306" s="80" t="n"/>
      <c r="E2306" s="80" t="n"/>
      <c r="F2306" s="81" t="n"/>
      <c r="G2306" s="79">
        <f>C2306+1</f>
        <v/>
      </c>
      <c r="H2306" s="80" t="n"/>
      <c r="I2306" s="80" t="n"/>
      <c r="J2306" s="81" t="n"/>
      <c r="K2306" s="79">
        <f>C2306+2</f>
        <v/>
      </c>
      <c r="L2306" s="80" t="n"/>
      <c r="M2306" s="80" t="n"/>
      <c r="N2306" s="81" t="n"/>
      <c r="O2306" s="79">
        <f>C2306+3</f>
        <v/>
      </c>
      <c r="P2306" s="80" t="n"/>
      <c r="Q2306" s="80" t="n"/>
      <c r="R2306" s="81" t="n"/>
      <c r="S2306" s="79">
        <f>C2306+4</f>
        <v/>
      </c>
      <c r="T2306" s="80" t="n"/>
      <c r="U2306" s="80" t="n"/>
      <c r="V2306" s="81" t="n"/>
      <c r="W2306" s="82">
        <f>C2306+5</f>
        <v/>
      </c>
      <c r="X2306" s="83" t="n"/>
      <c r="Y2306" s="82">
        <f>C2306+6</f>
        <v/>
      </c>
      <c r="Z2306" s="83" t="n"/>
      <c r="AB2306" s="72" t="inlineStr">
        <is>
          <t>Gaps</t>
        </is>
      </c>
      <c r="AC2306" s="72" t="inlineStr">
        <is>
          <t>Cover</t>
        </is>
      </c>
    </row>
    <row r="2307" ht="14" customHeight="1">
      <c r="A2307" t="n">
        <v>47</v>
      </c>
      <c r="B2307" s="84" t="inlineStr">
        <is>
          <t>(from Setup)</t>
        </is>
      </c>
      <c r="C2307" s="85" t="inlineStr">
        <is>
          <t>1</t>
        </is>
      </c>
      <c r="D2307" s="85" t="inlineStr">
        <is>
          <t>2</t>
        </is>
      </c>
      <c r="E2307" s="85" t="inlineStr">
        <is>
          <t>3</t>
        </is>
      </c>
      <c r="F2307" s="85" t="inlineStr">
        <is>
          <t>Notes</t>
        </is>
      </c>
      <c r="G2307" s="85" t="inlineStr">
        <is>
          <t>1</t>
        </is>
      </c>
      <c r="H2307" s="85" t="inlineStr">
        <is>
          <t>2</t>
        </is>
      </c>
      <c r="I2307" s="85" t="inlineStr">
        <is>
          <t>3</t>
        </is>
      </c>
      <c r="J2307" s="85" t="inlineStr">
        <is>
          <t>Notes</t>
        </is>
      </c>
      <c r="K2307" s="85" t="inlineStr">
        <is>
          <t>1</t>
        </is>
      </c>
      <c r="L2307" s="85" t="inlineStr">
        <is>
          <t>2</t>
        </is>
      </c>
      <c r="M2307" s="85" t="inlineStr">
        <is>
          <t>3</t>
        </is>
      </c>
      <c r="N2307" s="85" t="inlineStr">
        <is>
          <t>Notes</t>
        </is>
      </c>
      <c r="O2307" s="85" t="inlineStr">
        <is>
          <t>1</t>
        </is>
      </c>
      <c r="P2307" s="85" t="inlineStr">
        <is>
          <t>2</t>
        </is>
      </c>
      <c r="Q2307" s="85" t="inlineStr">
        <is>
          <t>3</t>
        </is>
      </c>
      <c r="R2307" s="85" t="inlineStr">
        <is>
          <t>Notes</t>
        </is>
      </c>
      <c r="S2307" s="85" t="inlineStr">
        <is>
          <t>1</t>
        </is>
      </c>
      <c r="T2307" s="85" t="inlineStr">
        <is>
          <t>2</t>
        </is>
      </c>
      <c r="U2307" s="85" t="inlineStr">
        <is>
          <t>3</t>
        </is>
      </c>
      <c r="V2307" s="85" t="inlineStr">
        <is>
          <t>Notes</t>
        </is>
      </c>
      <c r="W2307" s="85" t="inlineStr">
        <is>
          <t>Cover</t>
        </is>
      </c>
      <c r="X2307" s="85" t="inlineStr">
        <is>
          <t>Notes</t>
        </is>
      </c>
      <c r="Y2307" s="85" t="inlineStr">
        <is>
          <t>Cover</t>
        </is>
      </c>
      <c r="Z2307" s="85" t="inlineStr">
        <is>
          <t>Notes</t>
        </is>
      </c>
      <c r="AB2307" s="86" t="inlineStr">
        <is>
          <t>weekdays short</t>
        </is>
      </c>
      <c r="AC2307" s="87" t="inlineStr"/>
    </row>
    <row r="2308" ht="17" customHeight="1">
      <c r="A2308" t="n">
        <v>47</v>
      </c>
      <c r="B2308" s="24">
        <f>IF(Setup!$K$6="","",Setup!$K$6)</f>
        <v/>
      </c>
      <c r="C2308" s="88" t="n"/>
      <c r="D2308" s="88" t="n"/>
      <c r="E2308" s="88" t="n"/>
      <c r="F2308" s="89" t="n"/>
      <c r="G2308" s="88" t="n"/>
      <c r="H2308" s="88" t="n"/>
      <c r="I2308" s="88" t="n"/>
      <c r="J2308" s="89" t="n"/>
      <c r="K2308" s="88" t="n"/>
      <c r="L2308" s="88" t="n"/>
      <c r="M2308" s="88" t="n"/>
      <c r="N2308" s="89" t="n"/>
      <c r="O2308" s="88" t="n"/>
      <c r="P2308" s="88" t="n"/>
      <c r="Q2308" s="88" t="n"/>
      <c r="R2308" s="89" t="n"/>
      <c r="S2308" s="88" t="n"/>
      <c r="T2308" s="88" t="n"/>
      <c r="U2308" s="88" t="n"/>
      <c r="V2308" s="89" t="n"/>
      <c r="W2308" s="88" t="n"/>
      <c r="X2308" s="89" t="n"/>
      <c r="Y2308" s="88" t="n"/>
      <c r="Z2308" s="89" t="n"/>
      <c r="AB2308" s="25">
        <f>IF($B2308="","",(COUNTIF(C2308:E2308,"?*")&lt;N(INDEX(Setup!$L$6:$L$23,1)))+(COUNTIF(G2308:I2308,"?*")&lt;N(INDEX(Setup!$L$6:$L$23,1)))+(COUNTIF(K2308:M2308,"?*")&lt;N(INDEX(Setup!$L$6:$L$23,1)))+(COUNTIF(O2308:Q2308,"?*")&lt;N(INDEX(Setup!$L$6:$L$23,1)))+(COUNTIF(S2308:U2308,"?*")&lt;N(INDEX(Setup!$L$6:$L$23,1)))+((W2308="")*(INDEX(Setup!$M$6:$M$23,1)="Y"))+((Y2308="")*(INDEX(Setup!$M$6:$M$23,1)="Y")))</f>
        <v/>
      </c>
      <c r="AC2308" s="90">
        <f>IF($B2308="","",IF(AB2308=0,"✓ covered","⚠ "&amp;AB2308&amp;IF(AB2308=1," gap"," gaps")))</f>
        <v/>
      </c>
    </row>
    <row r="2309" ht="17" customHeight="1">
      <c r="A2309" t="n">
        <v>47</v>
      </c>
      <c r="B2309" s="29">
        <f>IF(Setup!$K$7="","",Setup!$K$7)</f>
        <v/>
      </c>
      <c r="C2309" s="88" t="n"/>
      <c r="D2309" s="88" t="n"/>
      <c r="E2309" s="88" t="n"/>
      <c r="F2309" s="89" t="n"/>
      <c r="G2309" s="88" t="n"/>
      <c r="H2309" s="88" t="n"/>
      <c r="I2309" s="88" t="n"/>
      <c r="J2309" s="89" t="n"/>
      <c r="K2309" s="88" t="n"/>
      <c r="L2309" s="88" t="n"/>
      <c r="M2309" s="88" t="n"/>
      <c r="N2309" s="89" t="n"/>
      <c r="O2309" s="88" t="n"/>
      <c r="P2309" s="88" t="n"/>
      <c r="Q2309" s="88" t="n"/>
      <c r="R2309" s="89" t="n"/>
      <c r="S2309" s="88" t="n"/>
      <c r="T2309" s="88" t="n"/>
      <c r="U2309" s="88" t="n"/>
      <c r="V2309" s="89" t="n"/>
      <c r="W2309" s="88" t="n"/>
      <c r="X2309" s="89" t="n"/>
      <c r="Y2309" s="88" t="n"/>
      <c r="Z2309" s="89" t="n"/>
      <c r="AB2309" s="30">
        <f>IF($B2309="","",(COUNTIF(C2309:E2309,"?*")&lt;N(INDEX(Setup!$L$6:$L$23,2)))+(COUNTIF(G2309:I2309,"?*")&lt;N(INDEX(Setup!$L$6:$L$23,2)))+(COUNTIF(K2309:M2309,"?*")&lt;N(INDEX(Setup!$L$6:$L$23,2)))+(COUNTIF(O2309:Q2309,"?*")&lt;N(INDEX(Setup!$L$6:$L$23,2)))+(COUNTIF(S2309:U2309,"?*")&lt;N(INDEX(Setup!$L$6:$L$23,2)))+((W2309="")*(INDEX(Setup!$M$6:$M$23,2)="Y"))+((Y2309="")*(INDEX(Setup!$M$6:$M$23,2)="Y")))</f>
        <v/>
      </c>
      <c r="AC2309" s="91">
        <f>IF($B2309="","",IF(AB2309=0,"✓ covered","⚠ "&amp;AB2309&amp;IF(AB2309=1," gap"," gaps")))</f>
        <v/>
      </c>
    </row>
    <row r="2310" ht="17" customHeight="1">
      <c r="A2310" t="n">
        <v>47</v>
      </c>
      <c r="B2310" s="24">
        <f>IF(Setup!$K$8="","",Setup!$K$8)</f>
        <v/>
      </c>
      <c r="C2310" s="88" t="n"/>
      <c r="D2310" s="88" t="n"/>
      <c r="E2310" s="88" t="n"/>
      <c r="F2310" s="89" t="n"/>
      <c r="G2310" s="88" t="n"/>
      <c r="H2310" s="88" t="n"/>
      <c r="I2310" s="88" t="n"/>
      <c r="J2310" s="89" t="n"/>
      <c r="K2310" s="88" t="n"/>
      <c r="L2310" s="88" t="n"/>
      <c r="M2310" s="88" t="n"/>
      <c r="N2310" s="89" t="n"/>
      <c r="O2310" s="88" t="n"/>
      <c r="P2310" s="88" t="n"/>
      <c r="Q2310" s="88" t="n"/>
      <c r="R2310" s="89" t="n"/>
      <c r="S2310" s="88" t="n"/>
      <c r="T2310" s="88" t="n"/>
      <c r="U2310" s="88" t="n"/>
      <c r="V2310" s="89" t="n"/>
      <c r="W2310" s="88" t="n"/>
      <c r="X2310" s="89" t="n"/>
      <c r="Y2310" s="88" t="n"/>
      <c r="Z2310" s="89" t="n"/>
      <c r="AB2310" s="25">
        <f>IF($B2310="","",(COUNTIF(C2310:E2310,"?*")&lt;N(INDEX(Setup!$L$6:$L$23,3)))+(COUNTIF(G2310:I2310,"?*")&lt;N(INDEX(Setup!$L$6:$L$23,3)))+(COUNTIF(K2310:M2310,"?*")&lt;N(INDEX(Setup!$L$6:$L$23,3)))+(COUNTIF(O2310:Q2310,"?*")&lt;N(INDEX(Setup!$L$6:$L$23,3)))+(COUNTIF(S2310:U2310,"?*")&lt;N(INDEX(Setup!$L$6:$L$23,3)))+((W2310="")*(INDEX(Setup!$M$6:$M$23,3)="Y"))+((Y2310="")*(INDEX(Setup!$M$6:$M$23,3)="Y")))</f>
        <v/>
      </c>
      <c r="AC2310" s="90">
        <f>IF($B2310="","",IF(AB2310=0,"✓ covered","⚠ "&amp;AB2310&amp;IF(AB2310=1," gap"," gaps")))</f>
        <v/>
      </c>
    </row>
    <row r="2311" ht="17" customHeight="1">
      <c r="A2311" t="n">
        <v>47</v>
      </c>
      <c r="B2311" s="29">
        <f>IF(Setup!$K$9="","",Setup!$K$9)</f>
        <v/>
      </c>
      <c r="C2311" s="88" t="n"/>
      <c r="D2311" s="88" t="n"/>
      <c r="E2311" s="88" t="n"/>
      <c r="F2311" s="89" t="n"/>
      <c r="G2311" s="88" t="n"/>
      <c r="H2311" s="88" t="n"/>
      <c r="I2311" s="88" t="n"/>
      <c r="J2311" s="89" t="n"/>
      <c r="K2311" s="88" t="n"/>
      <c r="L2311" s="88" t="n"/>
      <c r="M2311" s="88" t="n"/>
      <c r="N2311" s="89" t="n"/>
      <c r="O2311" s="88" t="n"/>
      <c r="P2311" s="88" t="n"/>
      <c r="Q2311" s="88" t="n"/>
      <c r="R2311" s="89" t="n"/>
      <c r="S2311" s="88" t="n"/>
      <c r="T2311" s="88" t="n"/>
      <c r="U2311" s="88" t="n"/>
      <c r="V2311" s="89" t="n"/>
      <c r="W2311" s="88" t="n"/>
      <c r="X2311" s="89" t="n"/>
      <c r="Y2311" s="88" t="n"/>
      <c r="Z2311" s="89" t="n"/>
      <c r="AB2311" s="30">
        <f>IF($B2311="","",(COUNTIF(C2311:E2311,"?*")&lt;N(INDEX(Setup!$L$6:$L$23,4)))+(COUNTIF(G2311:I2311,"?*")&lt;N(INDEX(Setup!$L$6:$L$23,4)))+(COUNTIF(K2311:M2311,"?*")&lt;N(INDEX(Setup!$L$6:$L$23,4)))+(COUNTIF(O2311:Q2311,"?*")&lt;N(INDEX(Setup!$L$6:$L$23,4)))+(COUNTIF(S2311:U2311,"?*")&lt;N(INDEX(Setup!$L$6:$L$23,4)))+((W2311="")*(INDEX(Setup!$M$6:$M$23,4)="Y"))+((Y2311="")*(INDEX(Setup!$M$6:$M$23,4)="Y")))</f>
        <v/>
      </c>
      <c r="AC2311" s="91">
        <f>IF($B2311="","",IF(AB2311=0,"✓ covered","⚠ "&amp;AB2311&amp;IF(AB2311=1," gap"," gaps")))</f>
        <v/>
      </c>
    </row>
    <row r="2312" ht="17" customHeight="1">
      <c r="A2312" t="n">
        <v>47</v>
      </c>
      <c r="B2312" s="24">
        <f>IF(Setup!$K$10="","",Setup!$K$10)</f>
        <v/>
      </c>
      <c r="C2312" s="88" t="n"/>
      <c r="D2312" s="88" t="n"/>
      <c r="E2312" s="88" t="n"/>
      <c r="F2312" s="89" t="n"/>
      <c r="G2312" s="88" t="n"/>
      <c r="H2312" s="88" t="n"/>
      <c r="I2312" s="88" t="n"/>
      <c r="J2312" s="89" t="n"/>
      <c r="K2312" s="88" t="n"/>
      <c r="L2312" s="88" t="n"/>
      <c r="M2312" s="88" t="n"/>
      <c r="N2312" s="89" t="n"/>
      <c r="O2312" s="88" t="n"/>
      <c r="P2312" s="88" t="n"/>
      <c r="Q2312" s="88" t="n"/>
      <c r="R2312" s="89" t="n"/>
      <c r="S2312" s="88" t="n"/>
      <c r="T2312" s="88" t="n"/>
      <c r="U2312" s="88" t="n"/>
      <c r="V2312" s="89" t="n"/>
      <c r="W2312" s="88" t="n"/>
      <c r="X2312" s="89" t="n"/>
      <c r="Y2312" s="88" t="n"/>
      <c r="Z2312" s="89" t="n"/>
      <c r="AB2312" s="25">
        <f>IF($B2312="","",(COUNTIF(C2312:E2312,"?*")&lt;N(INDEX(Setup!$L$6:$L$23,5)))+(COUNTIF(G2312:I2312,"?*")&lt;N(INDEX(Setup!$L$6:$L$23,5)))+(COUNTIF(K2312:M2312,"?*")&lt;N(INDEX(Setup!$L$6:$L$23,5)))+(COUNTIF(O2312:Q2312,"?*")&lt;N(INDEX(Setup!$L$6:$L$23,5)))+(COUNTIF(S2312:U2312,"?*")&lt;N(INDEX(Setup!$L$6:$L$23,5)))+((W2312="")*(INDEX(Setup!$M$6:$M$23,5)="Y"))+((Y2312="")*(INDEX(Setup!$M$6:$M$23,5)="Y")))</f>
        <v/>
      </c>
      <c r="AC2312" s="90">
        <f>IF($B2312="","",IF(AB2312=0,"✓ covered","⚠ "&amp;AB2312&amp;IF(AB2312=1," gap"," gaps")))</f>
        <v/>
      </c>
    </row>
    <row r="2313" ht="17" customHeight="1">
      <c r="A2313" t="n">
        <v>47</v>
      </c>
      <c r="B2313" s="29">
        <f>IF(Setup!$K$11="","",Setup!$K$11)</f>
        <v/>
      </c>
      <c r="C2313" s="88" t="n"/>
      <c r="D2313" s="88" t="n"/>
      <c r="E2313" s="88" t="n"/>
      <c r="F2313" s="89" t="n"/>
      <c r="G2313" s="88" t="n"/>
      <c r="H2313" s="88" t="n"/>
      <c r="I2313" s="88" t="n"/>
      <c r="J2313" s="89" t="n"/>
      <c r="K2313" s="88" t="n"/>
      <c r="L2313" s="88" t="n"/>
      <c r="M2313" s="88" t="n"/>
      <c r="N2313" s="89" t="n"/>
      <c r="O2313" s="88" t="n"/>
      <c r="P2313" s="88" t="n"/>
      <c r="Q2313" s="88" t="n"/>
      <c r="R2313" s="89" t="n"/>
      <c r="S2313" s="88" t="n"/>
      <c r="T2313" s="88" t="n"/>
      <c r="U2313" s="88" t="n"/>
      <c r="V2313" s="89" t="n"/>
      <c r="W2313" s="88" t="n"/>
      <c r="X2313" s="89" t="n"/>
      <c r="Y2313" s="88" t="n"/>
      <c r="Z2313" s="89" t="n"/>
      <c r="AB2313" s="30">
        <f>IF($B2313="","",(COUNTIF(C2313:E2313,"?*")&lt;N(INDEX(Setup!$L$6:$L$23,6)))+(COUNTIF(G2313:I2313,"?*")&lt;N(INDEX(Setup!$L$6:$L$23,6)))+(COUNTIF(K2313:M2313,"?*")&lt;N(INDEX(Setup!$L$6:$L$23,6)))+(COUNTIF(O2313:Q2313,"?*")&lt;N(INDEX(Setup!$L$6:$L$23,6)))+(COUNTIF(S2313:U2313,"?*")&lt;N(INDEX(Setup!$L$6:$L$23,6)))+((W2313="")*(INDEX(Setup!$M$6:$M$23,6)="Y"))+((Y2313="")*(INDEX(Setup!$M$6:$M$23,6)="Y")))</f>
        <v/>
      </c>
      <c r="AC2313" s="91">
        <f>IF($B2313="","",IF(AB2313=0,"✓ covered","⚠ "&amp;AB2313&amp;IF(AB2313=1," gap"," gaps")))</f>
        <v/>
      </c>
    </row>
    <row r="2314" ht="17" customHeight="1">
      <c r="A2314" t="n">
        <v>47</v>
      </c>
      <c r="B2314" s="24">
        <f>IF(Setup!$K$12="","",Setup!$K$12)</f>
        <v/>
      </c>
      <c r="C2314" s="88" t="n"/>
      <c r="D2314" s="88" t="n"/>
      <c r="E2314" s="88" t="n"/>
      <c r="F2314" s="89" t="n"/>
      <c r="G2314" s="88" t="n"/>
      <c r="H2314" s="88" t="n"/>
      <c r="I2314" s="88" t="n"/>
      <c r="J2314" s="89" t="n"/>
      <c r="K2314" s="88" t="n"/>
      <c r="L2314" s="88" t="n"/>
      <c r="M2314" s="88" t="n"/>
      <c r="N2314" s="89" t="n"/>
      <c r="O2314" s="88" t="n"/>
      <c r="P2314" s="88" t="n"/>
      <c r="Q2314" s="88" t="n"/>
      <c r="R2314" s="89" t="n"/>
      <c r="S2314" s="88" t="n"/>
      <c r="T2314" s="88" t="n"/>
      <c r="U2314" s="88" t="n"/>
      <c r="V2314" s="89" t="n"/>
      <c r="W2314" s="88" t="n"/>
      <c r="X2314" s="89" t="n"/>
      <c r="Y2314" s="88" t="n"/>
      <c r="Z2314" s="89" t="n"/>
      <c r="AB2314" s="25">
        <f>IF($B2314="","",(COUNTIF(C2314:E2314,"?*")&lt;N(INDEX(Setup!$L$6:$L$23,7)))+(COUNTIF(G2314:I2314,"?*")&lt;N(INDEX(Setup!$L$6:$L$23,7)))+(COUNTIF(K2314:M2314,"?*")&lt;N(INDEX(Setup!$L$6:$L$23,7)))+(COUNTIF(O2314:Q2314,"?*")&lt;N(INDEX(Setup!$L$6:$L$23,7)))+(COUNTIF(S2314:U2314,"?*")&lt;N(INDEX(Setup!$L$6:$L$23,7)))+((W2314="")*(INDEX(Setup!$M$6:$M$23,7)="Y"))+((Y2314="")*(INDEX(Setup!$M$6:$M$23,7)="Y")))</f>
        <v/>
      </c>
      <c r="AC2314" s="90">
        <f>IF($B2314="","",IF(AB2314=0,"✓ covered","⚠ "&amp;AB2314&amp;IF(AB2314=1," gap"," gaps")))</f>
        <v/>
      </c>
    </row>
    <row r="2315" ht="17" customHeight="1">
      <c r="A2315" t="n">
        <v>47</v>
      </c>
      <c r="B2315" s="29">
        <f>IF(Setup!$K$13="","",Setup!$K$13)</f>
        <v/>
      </c>
      <c r="C2315" s="88" t="n"/>
      <c r="D2315" s="88" t="n"/>
      <c r="E2315" s="88" t="n"/>
      <c r="F2315" s="89" t="n"/>
      <c r="G2315" s="88" t="n"/>
      <c r="H2315" s="88" t="n"/>
      <c r="I2315" s="88" t="n"/>
      <c r="J2315" s="89" t="n"/>
      <c r="K2315" s="88" t="n"/>
      <c r="L2315" s="88" t="n"/>
      <c r="M2315" s="88" t="n"/>
      <c r="N2315" s="89" t="n"/>
      <c r="O2315" s="88" t="n"/>
      <c r="P2315" s="88" t="n"/>
      <c r="Q2315" s="88" t="n"/>
      <c r="R2315" s="89" t="n"/>
      <c r="S2315" s="88" t="n"/>
      <c r="T2315" s="88" t="n"/>
      <c r="U2315" s="88" t="n"/>
      <c r="V2315" s="89" t="n"/>
      <c r="W2315" s="88" t="n"/>
      <c r="X2315" s="89" t="n"/>
      <c r="Y2315" s="88" t="n"/>
      <c r="Z2315" s="89" t="n"/>
      <c r="AB2315" s="30">
        <f>IF($B2315="","",(COUNTIF(C2315:E2315,"?*")&lt;N(INDEX(Setup!$L$6:$L$23,8)))+(COUNTIF(G2315:I2315,"?*")&lt;N(INDEX(Setup!$L$6:$L$23,8)))+(COUNTIF(K2315:M2315,"?*")&lt;N(INDEX(Setup!$L$6:$L$23,8)))+(COUNTIF(O2315:Q2315,"?*")&lt;N(INDEX(Setup!$L$6:$L$23,8)))+(COUNTIF(S2315:U2315,"?*")&lt;N(INDEX(Setup!$L$6:$L$23,8)))+((W2315="")*(INDEX(Setup!$M$6:$M$23,8)="Y"))+((Y2315="")*(INDEX(Setup!$M$6:$M$23,8)="Y")))</f>
        <v/>
      </c>
      <c r="AC2315" s="91">
        <f>IF($B2315="","",IF(AB2315=0,"✓ covered","⚠ "&amp;AB2315&amp;IF(AB2315=1," gap"," gaps")))</f>
        <v/>
      </c>
    </row>
    <row r="2316" ht="17" customHeight="1">
      <c r="A2316" t="n">
        <v>47</v>
      </c>
      <c r="B2316" s="24">
        <f>IF(Setup!$K$14="","",Setup!$K$14)</f>
        <v/>
      </c>
      <c r="C2316" s="88" t="n"/>
      <c r="D2316" s="88" t="n"/>
      <c r="E2316" s="88" t="n"/>
      <c r="F2316" s="89" t="n"/>
      <c r="G2316" s="88" t="n"/>
      <c r="H2316" s="88" t="n"/>
      <c r="I2316" s="88" t="n"/>
      <c r="J2316" s="89" t="n"/>
      <c r="K2316" s="88" t="n"/>
      <c r="L2316" s="88" t="n"/>
      <c r="M2316" s="88" t="n"/>
      <c r="N2316" s="89" t="n"/>
      <c r="O2316" s="88" t="n"/>
      <c r="P2316" s="88" t="n"/>
      <c r="Q2316" s="88" t="n"/>
      <c r="R2316" s="89" t="n"/>
      <c r="S2316" s="88" t="n"/>
      <c r="T2316" s="88" t="n"/>
      <c r="U2316" s="88" t="n"/>
      <c r="V2316" s="89" t="n"/>
      <c r="W2316" s="88" t="n"/>
      <c r="X2316" s="89" t="n"/>
      <c r="Y2316" s="88" t="n"/>
      <c r="Z2316" s="89" t="n"/>
      <c r="AB2316" s="25">
        <f>IF($B2316="","",(COUNTIF(C2316:E2316,"?*")&lt;N(INDEX(Setup!$L$6:$L$23,9)))+(COUNTIF(G2316:I2316,"?*")&lt;N(INDEX(Setup!$L$6:$L$23,9)))+(COUNTIF(K2316:M2316,"?*")&lt;N(INDEX(Setup!$L$6:$L$23,9)))+(COUNTIF(O2316:Q2316,"?*")&lt;N(INDEX(Setup!$L$6:$L$23,9)))+(COUNTIF(S2316:U2316,"?*")&lt;N(INDEX(Setup!$L$6:$L$23,9)))+((W2316="")*(INDEX(Setup!$M$6:$M$23,9)="Y"))+((Y2316="")*(INDEX(Setup!$M$6:$M$23,9)="Y")))</f>
        <v/>
      </c>
      <c r="AC2316" s="90">
        <f>IF($B2316="","",IF(AB2316=0,"✓ covered","⚠ "&amp;AB2316&amp;IF(AB2316=1," gap"," gaps")))</f>
        <v/>
      </c>
    </row>
    <row r="2317" ht="17" customHeight="1">
      <c r="A2317" t="n">
        <v>47</v>
      </c>
      <c r="B2317" s="29">
        <f>IF(Setup!$K$15="","",Setup!$K$15)</f>
        <v/>
      </c>
      <c r="C2317" s="88" t="n"/>
      <c r="D2317" s="88" t="n"/>
      <c r="E2317" s="88" t="n"/>
      <c r="F2317" s="89" t="n"/>
      <c r="G2317" s="88" t="n"/>
      <c r="H2317" s="88" t="n"/>
      <c r="I2317" s="88" t="n"/>
      <c r="J2317" s="89" t="n"/>
      <c r="K2317" s="88" t="n"/>
      <c r="L2317" s="88" t="n"/>
      <c r="M2317" s="88" t="n"/>
      <c r="N2317" s="89" t="n"/>
      <c r="O2317" s="88" t="n"/>
      <c r="P2317" s="88" t="n"/>
      <c r="Q2317" s="88" t="n"/>
      <c r="R2317" s="89" t="n"/>
      <c r="S2317" s="88" t="n"/>
      <c r="T2317" s="88" t="n"/>
      <c r="U2317" s="88" t="n"/>
      <c r="V2317" s="89" t="n"/>
      <c r="W2317" s="88" t="n"/>
      <c r="X2317" s="89" t="n"/>
      <c r="Y2317" s="88" t="n"/>
      <c r="Z2317" s="89" t="n"/>
      <c r="AB2317" s="30">
        <f>IF($B2317="","",(COUNTIF(C2317:E2317,"?*")&lt;N(INDEX(Setup!$L$6:$L$23,10)))+(COUNTIF(G2317:I2317,"?*")&lt;N(INDEX(Setup!$L$6:$L$23,10)))+(COUNTIF(K2317:M2317,"?*")&lt;N(INDEX(Setup!$L$6:$L$23,10)))+(COUNTIF(O2317:Q2317,"?*")&lt;N(INDEX(Setup!$L$6:$L$23,10)))+(COUNTIF(S2317:U2317,"?*")&lt;N(INDEX(Setup!$L$6:$L$23,10)))+((W2317="")*(INDEX(Setup!$M$6:$M$23,10)="Y"))+((Y2317="")*(INDEX(Setup!$M$6:$M$23,10)="Y")))</f>
        <v/>
      </c>
      <c r="AC2317" s="91">
        <f>IF($B2317="","",IF(AB2317=0,"✓ covered","⚠ "&amp;AB2317&amp;IF(AB2317=1," gap"," gaps")))</f>
        <v/>
      </c>
    </row>
    <row r="2318" ht="17" customHeight="1">
      <c r="A2318" t="n">
        <v>47</v>
      </c>
      <c r="B2318" s="24">
        <f>IF(Setup!$K$16="","",Setup!$K$16)</f>
        <v/>
      </c>
      <c r="C2318" s="88" t="n"/>
      <c r="D2318" s="88" t="n"/>
      <c r="E2318" s="88" t="n"/>
      <c r="F2318" s="89" t="n"/>
      <c r="G2318" s="88" t="n"/>
      <c r="H2318" s="88" t="n"/>
      <c r="I2318" s="88" t="n"/>
      <c r="J2318" s="89" t="n"/>
      <c r="K2318" s="88" t="n"/>
      <c r="L2318" s="88" t="n"/>
      <c r="M2318" s="88" t="n"/>
      <c r="N2318" s="89" t="n"/>
      <c r="O2318" s="88" t="n"/>
      <c r="P2318" s="88" t="n"/>
      <c r="Q2318" s="88" t="n"/>
      <c r="R2318" s="89" t="n"/>
      <c r="S2318" s="88" t="n"/>
      <c r="T2318" s="88" t="n"/>
      <c r="U2318" s="88" t="n"/>
      <c r="V2318" s="89" t="n"/>
      <c r="W2318" s="88" t="n"/>
      <c r="X2318" s="89" t="n"/>
      <c r="Y2318" s="88" t="n"/>
      <c r="Z2318" s="89" t="n"/>
      <c r="AB2318" s="25">
        <f>IF($B2318="","",(COUNTIF(C2318:E2318,"?*")&lt;N(INDEX(Setup!$L$6:$L$23,11)))+(COUNTIF(G2318:I2318,"?*")&lt;N(INDEX(Setup!$L$6:$L$23,11)))+(COUNTIF(K2318:M2318,"?*")&lt;N(INDEX(Setup!$L$6:$L$23,11)))+(COUNTIF(O2318:Q2318,"?*")&lt;N(INDEX(Setup!$L$6:$L$23,11)))+(COUNTIF(S2318:U2318,"?*")&lt;N(INDEX(Setup!$L$6:$L$23,11)))+((W2318="")*(INDEX(Setup!$M$6:$M$23,11)="Y"))+((Y2318="")*(INDEX(Setup!$M$6:$M$23,11)="Y")))</f>
        <v/>
      </c>
      <c r="AC2318" s="90">
        <f>IF($B2318="","",IF(AB2318=0,"✓ covered","⚠ "&amp;AB2318&amp;IF(AB2318=1," gap"," gaps")))</f>
        <v/>
      </c>
    </row>
    <row r="2319" ht="17" customHeight="1">
      <c r="A2319" t="n">
        <v>47</v>
      </c>
      <c r="B2319" s="29">
        <f>IF(Setup!$K$17="","",Setup!$K$17)</f>
        <v/>
      </c>
      <c r="C2319" s="88" t="n"/>
      <c r="D2319" s="88" t="n"/>
      <c r="E2319" s="88" t="n"/>
      <c r="F2319" s="89" t="n"/>
      <c r="G2319" s="88" t="n"/>
      <c r="H2319" s="88" t="n"/>
      <c r="I2319" s="88" t="n"/>
      <c r="J2319" s="89" t="n"/>
      <c r="K2319" s="88" t="n"/>
      <c r="L2319" s="88" t="n"/>
      <c r="M2319" s="88" t="n"/>
      <c r="N2319" s="89" t="n"/>
      <c r="O2319" s="88" t="n"/>
      <c r="P2319" s="88" t="n"/>
      <c r="Q2319" s="88" t="n"/>
      <c r="R2319" s="89" t="n"/>
      <c r="S2319" s="88" t="n"/>
      <c r="T2319" s="88" t="n"/>
      <c r="U2319" s="88" t="n"/>
      <c r="V2319" s="89" t="n"/>
      <c r="W2319" s="88" t="n"/>
      <c r="X2319" s="89" t="n"/>
      <c r="Y2319" s="88" t="n"/>
      <c r="Z2319" s="89" t="n"/>
      <c r="AB2319" s="30">
        <f>IF($B2319="","",(COUNTIF(C2319:E2319,"?*")&lt;N(INDEX(Setup!$L$6:$L$23,12)))+(COUNTIF(G2319:I2319,"?*")&lt;N(INDEX(Setup!$L$6:$L$23,12)))+(COUNTIF(K2319:M2319,"?*")&lt;N(INDEX(Setup!$L$6:$L$23,12)))+(COUNTIF(O2319:Q2319,"?*")&lt;N(INDEX(Setup!$L$6:$L$23,12)))+(COUNTIF(S2319:U2319,"?*")&lt;N(INDEX(Setup!$L$6:$L$23,12)))+((W2319="")*(INDEX(Setup!$M$6:$M$23,12)="Y"))+((Y2319="")*(INDEX(Setup!$M$6:$M$23,12)="Y")))</f>
        <v/>
      </c>
      <c r="AC2319" s="91">
        <f>IF($B2319="","",IF(AB2319=0,"✓ covered","⚠ "&amp;AB2319&amp;IF(AB2319=1," gap"," gaps")))</f>
        <v/>
      </c>
    </row>
    <row r="2320" ht="17" customHeight="1">
      <c r="A2320" t="n">
        <v>47</v>
      </c>
      <c r="B2320" s="24">
        <f>IF(Setup!$K$18="","",Setup!$K$18)</f>
        <v/>
      </c>
      <c r="C2320" s="88" t="n"/>
      <c r="D2320" s="88" t="n"/>
      <c r="E2320" s="88" t="n"/>
      <c r="F2320" s="89" t="n"/>
      <c r="G2320" s="88" t="n"/>
      <c r="H2320" s="88" t="n"/>
      <c r="I2320" s="88" t="n"/>
      <c r="J2320" s="89" t="n"/>
      <c r="K2320" s="88" t="n"/>
      <c r="L2320" s="88" t="n"/>
      <c r="M2320" s="88" t="n"/>
      <c r="N2320" s="89" t="n"/>
      <c r="O2320" s="88" t="n"/>
      <c r="P2320" s="88" t="n"/>
      <c r="Q2320" s="88" t="n"/>
      <c r="R2320" s="89" t="n"/>
      <c r="S2320" s="88" t="n"/>
      <c r="T2320" s="88" t="n"/>
      <c r="U2320" s="88" t="n"/>
      <c r="V2320" s="89" t="n"/>
      <c r="W2320" s="88" t="n"/>
      <c r="X2320" s="89" t="n"/>
      <c r="Y2320" s="88" t="n"/>
      <c r="Z2320" s="89" t="n"/>
      <c r="AB2320" s="25">
        <f>IF($B2320="","",(COUNTIF(C2320:E2320,"?*")&lt;N(INDEX(Setup!$L$6:$L$23,13)))+(COUNTIF(G2320:I2320,"?*")&lt;N(INDEX(Setup!$L$6:$L$23,13)))+(COUNTIF(K2320:M2320,"?*")&lt;N(INDEX(Setup!$L$6:$L$23,13)))+(COUNTIF(O2320:Q2320,"?*")&lt;N(INDEX(Setup!$L$6:$L$23,13)))+(COUNTIF(S2320:U2320,"?*")&lt;N(INDEX(Setup!$L$6:$L$23,13)))+((W2320="")*(INDEX(Setup!$M$6:$M$23,13)="Y"))+((Y2320="")*(INDEX(Setup!$M$6:$M$23,13)="Y")))</f>
        <v/>
      </c>
      <c r="AC2320" s="90">
        <f>IF($B2320="","",IF(AB2320=0,"✓ covered","⚠ "&amp;AB2320&amp;IF(AB2320=1," gap"," gaps")))</f>
        <v/>
      </c>
    </row>
    <row r="2321" ht="17" customHeight="1">
      <c r="A2321" t="n">
        <v>47</v>
      </c>
      <c r="B2321" s="29">
        <f>IF(Setup!$K$19="","",Setup!$K$19)</f>
        <v/>
      </c>
      <c r="C2321" s="88" t="n"/>
      <c r="D2321" s="88" t="n"/>
      <c r="E2321" s="88" t="n"/>
      <c r="F2321" s="89" t="n"/>
      <c r="G2321" s="88" t="n"/>
      <c r="H2321" s="88" t="n"/>
      <c r="I2321" s="88" t="n"/>
      <c r="J2321" s="89" t="n"/>
      <c r="K2321" s="88" t="n"/>
      <c r="L2321" s="88" t="n"/>
      <c r="M2321" s="88" t="n"/>
      <c r="N2321" s="89" t="n"/>
      <c r="O2321" s="88" t="n"/>
      <c r="P2321" s="88" t="n"/>
      <c r="Q2321" s="88" t="n"/>
      <c r="R2321" s="89" t="n"/>
      <c r="S2321" s="88" t="n"/>
      <c r="T2321" s="88" t="n"/>
      <c r="U2321" s="88" t="n"/>
      <c r="V2321" s="89" t="n"/>
      <c r="W2321" s="88" t="n"/>
      <c r="X2321" s="89" t="n"/>
      <c r="Y2321" s="88" t="n"/>
      <c r="Z2321" s="89" t="n"/>
      <c r="AB2321" s="30">
        <f>IF($B2321="","",(COUNTIF(C2321:E2321,"?*")&lt;N(INDEX(Setup!$L$6:$L$23,14)))+(COUNTIF(G2321:I2321,"?*")&lt;N(INDEX(Setup!$L$6:$L$23,14)))+(COUNTIF(K2321:M2321,"?*")&lt;N(INDEX(Setup!$L$6:$L$23,14)))+(COUNTIF(O2321:Q2321,"?*")&lt;N(INDEX(Setup!$L$6:$L$23,14)))+(COUNTIF(S2321:U2321,"?*")&lt;N(INDEX(Setup!$L$6:$L$23,14)))+((W2321="")*(INDEX(Setup!$M$6:$M$23,14)="Y"))+((Y2321="")*(INDEX(Setup!$M$6:$M$23,14)="Y")))</f>
        <v/>
      </c>
      <c r="AC2321" s="91">
        <f>IF($B2321="","",IF(AB2321=0,"✓ covered","⚠ "&amp;AB2321&amp;IF(AB2321=1," gap"," gaps")))</f>
        <v/>
      </c>
    </row>
    <row r="2322" ht="17" customHeight="1">
      <c r="A2322" t="n">
        <v>47</v>
      </c>
      <c r="B2322" s="24">
        <f>IF(Setup!$K$20="","",Setup!$K$20)</f>
        <v/>
      </c>
      <c r="C2322" s="88" t="n"/>
      <c r="D2322" s="88" t="n"/>
      <c r="E2322" s="88" t="n"/>
      <c r="F2322" s="89" t="n"/>
      <c r="G2322" s="88" t="n"/>
      <c r="H2322" s="88" t="n"/>
      <c r="I2322" s="88" t="n"/>
      <c r="J2322" s="89" t="n"/>
      <c r="K2322" s="88" t="n"/>
      <c r="L2322" s="88" t="n"/>
      <c r="M2322" s="88" t="n"/>
      <c r="N2322" s="89" t="n"/>
      <c r="O2322" s="88" t="n"/>
      <c r="P2322" s="88" t="n"/>
      <c r="Q2322" s="88" t="n"/>
      <c r="R2322" s="89" t="n"/>
      <c r="S2322" s="88" t="n"/>
      <c r="T2322" s="88" t="n"/>
      <c r="U2322" s="88" t="n"/>
      <c r="V2322" s="89" t="n"/>
      <c r="W2322" s="88" t="n"/>
      <c r="X2322" s="89" t="n"/>
      <c r="Y2322" s="88" t="n"/>
      <c r="Z2322" s="89" t="n"/>
      <c r="AB2322" s="25">
        <f>IF($B2322="","",(COUNTIF(C2322:E2322,"?*")&lt;N(INDEX(Setup!$L$6:$L$23,15)))+(COUNTIF(G2322:I2322,"?*")&lt;N(INDEX(Setup!$L$6:$L$23,15)))+(COUNTIF(K2322:M2322,"?*")&lt;N(INDEX(Setup!$L$6:$L$23,15)))+(COUNTIF(O2322:Q2322,"?*")&lt;N(INDEX(Setup!$L$6:$L$23,15)))+(COUNTIF(S2322:U2322,"?*")&lt;N(INDEX(Setup!$L$6:$L$23,15)))+((W2322="")*(INDEX(Setup!$M$6:$M$23,15)="Y"))+((Y2322="")*(INDEX(Setup!$M$6:$M$23,15)="Y")))</f>
        <v/>
      </c>
      <c r="AC2322" s="90">
        <f>IF($B2322="","",IF(AB2322=0,"✓ covered","⚠ "&amp;AB2322&amp;IF(AB2322=1," gap"," gaps")))</f>
        <v/>
      </c>
    </row>
    <row r="2323" ht="17" customHeight="1">
      <c r="A2323" t="n">
        <v>47</v>
      </c>
      <c r="B2323" s="29">
        <f>IF(Setup!$K$21="","",Setup!$K$21)</f>
        <v/>
      </c>
      <c r="C2323" s="88" t="n"/>
      <c r="D2323" s="88" t="n"/>
      <c r="E2323" s="88" t="n"/>
      <c r="F2323" s="89" t="n"/>
      <c r="G2323" s="88" t="n"/>
      <c r="H2323" s="88" t="n"/>
      <c r="I2323" s="88" t="n"/>
      <c r="J2323" s="89" t="n"/>
      <c r="K2323" s="88" t="n"/>
      <c r="L2323" s="88" t="n"/>
      <c r="M2323" s="88" t="n"/>
      <c r="N2323" s="89" t="n"/>
      <c r="O2323" s="88" t="n"/>
      <c r="P2323" s="88" t="n"/>
      <c r="Q2323" s="88" t="n"/>
      <c r="R2323" s="89" t="n"/>
      <c r="S2323" s="88" t="n"/>
      <c r="T2323" s="88" t="n"/>
      <c r="U2323" s="88" t="n"/>
      <c r="V2323" s="89" t="n"/>
      <c r="W2323" s="88" t="n"/>
      <c r="X2323" s="89" t="n"/>
      <c r="Y2323" s="88" t="n"/>
      <c r="Z2323" s="89" t="n"/>
      <c r="AB2323" s="30">
        <f>IF($B2323="","",(COUNTIF(C2323:E2323,"?*")&lt;N(INDEX(Setup!$L$6:$L$23,16)))+(COUNTIF(G2323:I2323,"?*")&lt;N(INDEX(Setup!$L$6:$L$23,16)))+(COUNTIF(K2323:M2323,"?*")&lt;N(INDEX(Setup!$L$6:$L$23,16)))+(COUNTIF(O2323:Q2323,"?*")&lt;N(INDEX(Setup!$L$6:$L$23,16)))+(COUNTIF(S2323:U2323,"?*")&lt;N(INDEX(Setup!$L$6:$L$23,16)))+((W2323="")*(INDEX(Setup!$M$6:$M$23,16)="Y"))+((Y2323="")*(INDEX(Setup!$M$6:$M$23,16)="Y")))</f>
        <v/>
      </c>
      <c r="AC2323" s="91">
        <f>IF($B2323="","",IF(AB2323=0,"✓ covered","⚠ "&amp;AB2323&amp;IF(AB2323=1," gap"," gaps")))</f>
        <v/>
      </c>
    </row>
    <row r="2324" ht="17" customHeight="1">
      <c r="A2324" t="n">
        <v>47</v>
      </c>
      <c r="B2324" s="24">
        <f>IF(Setup!$K$22="","",Setup!$K$22)</f>
        <v/>
      </c>
      <c r="C2324" s="88" t="n"/>
      <c r="D2324" s="88" t="n"/>
      <c r="E2324" s="88" t="n"/>
      <c r="F2324" s="89" t="n"/>
      <c r="G2324" s="88" t="n"/>
      <c r="H2324" s="88" t="n"/>
      <c r="I2324" s="88" t="n"/>
      <c r="J2324" s="89" t="n"/>
      <c r="K2324" s="88" t="n"/>
      <c r="L2324" s="88" t="n"/>
      <c r="M2324" s="88" t="n"/>
      <c r="N2324" s="89" t="n"/>
      <c r="O2324" s="88" t="n"/>
      <c r="P2324" s="88" t="n"/>
      <c r="Q2324" s="88" t="n"/>
      <c r="R2324" s="89" t="n"/>
      <c r="S2324" s="88" t="n"/>
      <c r="T2324" s="88" t="n"/>
      <c r="U2324" s="88" t="n"/>
      <c r="V2324" s="89" t="n"/>
      <c r="W2324" s="88" t="n"/>
      <c r="X2324" s="89" t="n"/>
      <c r="Y2324" s="88" t="n"/>
      <c r="Z2324" s="89" t="n"/>
      <c r="AB2324" s="25">
        <f>IF($B2324="","",(COUNTIF(C2324:E2324,"?*")&lt;N(INDEX(Setup!$L$6:$L$23,17)))+(COUNTIF(G2324:I2324,"?*")&lt;N(INDEX(Setup!$L$6:$L$23,17)))+(COUNTIF(K2324:M2324,"?*")&lt;N(INDEX(Setup!$L$6:$L$23,17)))+(COUNTIF(O2324:Q2324,"?*")&lt;N(INDEX(Setup!$L$6:$L$23,17)))+(COUNTIF(S2324:U2324,"?*")&lt;N(INDEX(Setup!$L$6:$L$23,17)))+((W2324="")*(INDEX(Setup!$M$6:$M$23,17)="Y"))+((Y2324="")*(INDEX(Setup!$M$6:$M$23,17)="Y")))</f>
        <v/>
      </c>
      <c r="AC2324" s="90">
        <f>IF($B2324="","",IF(AB2324=0,"✓ covered","⚠ "&amp;AB2324&amp;IF(AB2324=1," gap"," gaps")))</f>
        <v/>
      </c>
    </row>
    <row r="2325" ht="17" customHeight="1">
      <c r="A2325" t="n">
        <v>47</v>
      </c>
      <c r="B2325" s="29">
        <f>IF(Setup!$K$23="","",Setup!$K$23)</f>
        <v/>
      </c>
      <c r="C2325" s="88" t="n"/>
      <c r="D2325" s="88" t="n"/>
      <c r="E2325" s="88" t="n"/>
      <c r="F2325" s="89" t="n"/>
      <c r="G2325" s="88" t="n"/>
      <c r="H2325" s="88" t="n"/>
      <c r="I2325" s="88" t="n"/>
      <c r="J2325" s="89" t="n"/>
      <c r="K2325" s="88" t="n"/>
      <c r="L2325" s="88" t="n"/>
      <c r="M2325" s="88" t="n"/>
      <c r="N2325" s="89" t="n"/>
      <c r="O2325" s="88" t="n"/>
      <c r="P2325" s="88" t="n"/>
      <c r="Q2325" s="88" t="n"/>
      <c r="R2325" s="89" t="n"/>
      <c r="S2325" s="88" t="n"/>
      <c r="T2325" s="88" t="n"/>
      <c r="U2325" s="88" t="n"/>
      <c r="V2325" s="89" t="n"/>
      <c r="W2325" s="88" t="n"/>
      <c r="X2325" s="89" t="n"/>
      <c r="Y2325" s="88" t="n"/>
      <c r="Z2325" s="89" t="n"/>
      <c r="AB2325" s="30">
        <f>IF($B2325="","",(COUNTIF(C2325:E2325,"?*")&lt;N(INDEX(Setup!$L$6:$L$23,18)))+(COUNTIF(G2325:I2325,"?*")&lt;N(INDEX(Setup!$L$6:$L$23,18)))+(COUNTIF(K2325:M2325,"?*")&lt;N(INDEX(Setup!$L$6:$L$23,18)))+(COUNTIF(O2325:Q2325,"?*")&lt;N(INDEX(Setup!$L$6:$L$23,18)))+(COUNTIF(S2325:U2325,"?*")&lt;N(INDEX(Setup!$L$6:$L$23,18)))+((W2325="")*(INDEX(Setup!$M$6:$M$23,18)="Y"))+((Y2325="")*(INDEX(Setup!$M$6:$M$23,18)="Y")))</f>
        <v/>
      </c>
      <c r="AC2325" s="91">
        <f>IF($B2325="","",IF(AB2325=0,"✓ covered","⚠ "&amp;AB2325&amp;IF(AB2325=1," gap"," gaps")))</f>
        <v/>
      </c>
    </row>
    <row r="2326" ht="18" customHeight="1">
      <c r="A2326" t="n">
        <v>47</v>
      </c>
      <c r="B2326" s="78" t="inlineStr">
        <is>
          <t>TEAM AVAILABILITY</t>
        </is>
      </c>
      <c r="C2326" s="92" t="inlineStr">
        <is>
          <t>Mon</t>
        </is>
      </c>
      <c r="D2326" s="93" t="n"/>
      <c r="E2326" s="93" t="n"/>
      <c r="F2326" s="94" t="n"/>
      <c r="G2326" s="92" t="inlineStr">
        <is>
          <t>Tue</t>
        </is>
      </c>
      <c r="H2326" s="93" t="n"/>
      <c r="I2326" s="93" t="n"/>
      <c r="J2326" s="94" t="n"/>
      <c r="K2326" s="92" t="inlineStr">
        <is>
          <t>Wed</t>
        </is>
      </c>
      <c r="L2326" s="93" t="n"/>
      <c r="M2326" s="93" t="n"/>
      <c r="N2326" s="94" t="n"/>
      <c r="O2326" s="92" t="inlineStr">
        <is>
          <t>Thu</t>
        </is>
      </c>
      <c r="P2326" s="93" t="n"/>
      <c r="Q2326" s="93" t="n"/>
      <c r="R2326" s="94" t="n"/>
      <c r="S2326" s="92" t="inlineStr">
        <is>
          <t>Fri</t>
        </is>
      </c>
      <c r="T2326" s="93" t="n"/>
      <c r="U2326" s="93" t="n"/>
      <c r="V2326" s="94" t="n"/>
      <c r="W2326" s="95" t="inlineStr">
        <is>
          <t>Sat</t>
        </is>
      </c>
      <c r="X2326" s="96" t="n"/>
      <c r="Y2326" s="95" t="inlineStr">
        <is>
          <t>Sun</t>
        </is>
      </c>
      <c r="Z2326" s="96" t="n"/>
      <c r="AB2326" s="97" t="inlineStr">
        <is>
          <t>Days rostered</t>
        </is>
      </c>
      <c r="AC2326" s="97" t="inlineStr">
        <is>
          <t>Conflicts</t>
        </is>
      </c>
    </row>
    <row r="2327" ht="15" customHeight="1">
      <c r="A2327" t="n">
        <v>47</v>
      </c>
      <c r="B2327" s="35">
        <f>IF(Setup!$B$6="","",Setup!$B$6)</f>
        <v/>
      </c>
      <c r="C2327" s="98" t="n"/>
      <c r="D2327" s="99" t="n"/>
      <c r="E2327" s="99" t="n"/>
      <c r="F2327" s="100" t="n"/>
      <c r="G2327" s="98" t="n"/>
      <c r="H2327" s="99" t="n"/>
      <c r="I2327" s="99" t="n"/>
      <c r="J2327" s="100" t="n"/>
      <c r="K2327" s="98" t="n"/>
      <c r="L2327" s="99" t="n"/>
      <c r="M2327" s="99" t="n"/>
      <c r="N2327" s="100" t="n"/>
      <c r="O2327" s="98" t="n"/>
      <c r="P2327" s="99" t="n"/>
      <c r="Q2327" s="99" t="n"/>
      <c r="R2327" s="100" t="n"/>
      <c r="S2327" s="98" t="n"/>
      <c r="T2327" s="99" t="n"/>
      <c r="U2327" s="99" t="n"/>
      <c r="V2327" s="100" t="n"/>
      <c r="W2327" s="98" t="n"/>
      <c r="X2327" s="100" t="n"/>
      <c r="Y2327" s="98" t="n"/>
      <c r="Z2327" s="100" t="n"/>
      <c r="AB2327" s="101">
        <f>IF($B2327="","",(COUNTIF(C2308:E2325,$B2327)+COUNTIF(C2308:E2325,$B2327&amp;" ~*")&gt;0)+(COUNTIF(G2308:I2325,$B2327)+COUNTIF(G2308:I2325,$B2327&amp;" ~*")&gt;0)+(COUNTIF(K2308:M2325,$B2327)+COUNTIF(K2308:M2325,$B2327&amp;" ~*")&gt;0)+(COUNTIF(O2308:Q2325,$B2327)+COUNTIF(O2308:Q2325,$B2327&amp;" ~*")&gt;0)+(COUNTIF(S2308:U2325,$B2327)+COUNTIF(S2308:U2325,$B2327&amp;" ~*")&gt;0)+(COUNTIF(W2308:W2325,$B2327)+COUNTIF(W2308:W2325,$B2327&amp;" ~*")&gt;0)+(COUNTIF(Y2308:Y2325,$B2327)+COUNTIF(Y2308:Y2325,$B2327&amp;" ~*")&gt;0))</f>
        <v/>
      </c>
      <c r="AC2327" s="36">
        <f>IF($B2327="","",(IFERROR(INDEX(Setup!$G$33:$G$40,MATCH(C2327,Setup!$B$33:$B$40,0)),0)=1)*(COUNTIF(C2308:E2325,$B2327)+COUNTIF(C2308:E2325,$B2327&amp;" ~*")&gt;0)+(IFERROR(INDEX(Setup!$G$33:$G$40,MATCH(G2327,Setup!$B$33:$B$40,0)),0)=1)*(COUNTIF(G2308:I2325,$B2327)+COUNTIF(G2308:I2325,$B2327&amp;" ~*")&gt;0)+(IFERROR(INDEX(Setup!$G$33:$G$40,MATCH(K2327,Setup!$B$33:$B$40,0)),0)=1)*(COUNTIF(K2308:M2325,$B2327)+COUNTIF(K2308:M2325,$B2327&amp;" ~*")&gt;0)+(IFERROR(INDEX(Setup!$G$33:$G$40,MATCH(O2327,Setup!$B$33:$B$40,0)),0)=1)*(COUNTIF(O2308:Q2325,$B2327)+COUNTIF(O2308:Q2325,$B2327&amp;" ~*")&gt;0)+(IFERROR(INDEX(Setup!$G$33:$G$40,MATCH(S2327,Setup!$B$33:$B$40,0)),0)=1)*(COUNTIF(S2308:U2325,$B2327)+COUNTIF(S2308:U2325,$B2327&amp;" ~*")&gt;0)+(IFERROR(INDEX(Setup!$G$33:$G$40,MATCH(W2327,Setup!$B$33:$B$40,0)),0)=1)*(COUNTIF(W2308:W2325,$B2327)+COUNTIF(W2308:W2325,$B2327&amp;" ~*")&gt;0)+(IFERROR(INDEX(Setup!$G$33:$G$40,MATCH(Y2327,Setup!$B$33:$B$40,0)),0)=1)*(COUNTIF(Y2308:Y2325,$B2327)+COUNTIF(Y2308:Y2325,$B2327&amp;" ~*")&gt;0))</f>
        <v/>
      </c>
    </row>
    <row r="2328" ht="15" customHeight="1">
      <c r="A2328" t="n">
        <v>47</v>
      </c>
      <c r="B2328" s="37">
        <f>IF(Setup!$B$7="","",Setup!$B$7)</f>
        <v/>
      </c>
      <c r="C2328" s="102" t="n"/>
      <c r="D2328" s="103" t="n"/>
      <c r="E2328" s="103" t="n"/>
      <c r="F2328" s="104" t="n"/>
      <c r="G2328" s="102" t="n"/>
      <c r="H2328" s="103" t="n"/>
      <c r="I2328" s="103" t="n"/>
      <c r="J2328" s="104" t="n"/>
      <c r="K2328" s="102" t="n"/>
      <c r="L2328" s="103" t="n"/>
      <c r="M2328" s="103" t="n"/>
      <c r="N2328" s="104" t="n"/>
      <c r="O2328" s="102" t="n"/>
      <c r="P2328" s="103" t="n"/>
      <c r="Q2328" s="103" t="n"/>
      <c r="R2328" s="104" t="n"/>
      <c r="S2328" s="102" t="n"/>
      <c r="T2328" s="103" t="n"/>
      <c r="U2328" s="103" t="n"/>
      <c r="V2328" s="104" t="n"/>
      <c r="W2328" s="102" t="n"/>
      <c r="X2328" s="104" t="n"/>
      <c r="Y2328" s="102" t="n"/>
      <c r="Z2328" s="104" t="n"/>
      <c r="AB2328" s="105">
        <f>IF($B2328="","",(COUNTIF(C2308:E2325,$B2328)+COUNTIF(C2308:E2325,$B2328&amp;" ~*")&gt;0)+(COUNTIF(G2308:I2325,$B2328)+COUNTIF(G2308:I2325,$B2328&amp;" ~*")&gt;0)+(COUNTIF(K2308:M2325,$B2328)+COUNTIF(K2308:M2325,$B2328&amp;" ~*")&gt;0)+(COUNTIF(O2308:Q2325,$B2328)+COUNTIF(O2308:Q2325,$B2328&amp;" ~*")&gt;0)+(COUNTIF(S2308:U2325,$B2328)+COUNTIF(S2308:U2325,$B2328&amp;" ~*")&gt;0)+(COUNTIF(W2308:W2325,$B2328)+COUNTIF(W2308:W2325,$B2328&amp;" ~*")&gt;0)+(COUNTIF(Y2308:Y2325,$B2328)+COUNTIF(Y2308:Y2325,$B2328&amp;" ~*")&gt;0))</f>
        <v/>
      </c>
      <c r="AC2328" s="38">
        <f>IF($B2328="","",(IFERROR(INDEX(Setup!$G$33:$G$40,MATCH(C2328,Setup!$B$33:$B$40,0)),0)=1)*(COUNTIF(C2308:E2325,$B2328)+COUNTIF(C2308:E2325,$B2328&amp;" ~*")&gt;0)+(IFERROR(INDEX(Setup!$G$33:$G$40,MATCH(G2328,Setup!$B$33:$B$40,0)),0)=1)*(COUNTIF(G2308:I2325,$B2328)+COUNTIF(G2308:I2325,$B2328&amp;" ~*")&gt;0)+(IFERROR(INDEX(Setup!$G$33:$G$40,MATCH(K2328,Setup!$B$33:$B$40,0)),0)=1)*(COUNTIF(K2308:M2325,$B2328)+COUNTIF(K2308:M2325,$B2328&amp;" ~*")&gt;0)+(IFERROR(INDEX(Setup!$G$33:$G$40,MATCH(O2328,Setup!$B$33:$B$40,0)),0)=1)*(COUNTIF(O2308:Q2325,$B2328)+COUNTIF(O2308:Q2325,$B2328&amp;" ~*")&gt;0)+(IFERROR(INDEX(Setup!$G$33:$G$40,MATCH(S2328,Setup!$B$33:$B$40,0)),0)=1)*(COUNTIF(S2308:U2325,$B2328)+COUNTIF(S2308:U2325,$B2328&amp;" ~*")&gt;0)+(IFERROR(INDEX(Setup!$G$33:$G$40,MATCH(W2328,Setup!$B$33:$B$40,0)),0)=1)*(COUNTIF(W2308:W2325,$B2328)+COUNTIF(W2308:W2325,$B2328&amp;" ~*")&gt;0)+(IFERROR(INDEX(Setup!$G$33:$G$40,MATCH(Y2328,Setup!$B$33:$B$40,0)),0)=1)*(COUNTIF(Y2308:Y2325,$B2328)+COUNTIF(Y2308:Y2325,$B2328&amp;" ~*")&gt;0))</f>
        <v/>
      </c>
    </row>
    <row r="2329" ht="15" customHeight="1">
      <c r="A2329" t="n">
        <v>47</v>
      </c>
      <c r="B2329" s="35">
        <f>IF(Setup!$B$8="","",Setup!$B$8)</f>
        <v/>
      </c>
      <c r="C2329" s="98" t="n"/>
      <c r="D2329" s="99" t="n"/>
      <c r="E2329" s="99" t="n"/>
      <c r="F2329" s="100" t="n"/>
      <c r="G2329" s="98" t="n"/>
      <c r="H2329" s="99" t="n"/>
      <c r="I2329" s="99" t="n"/>
      <c r="J2329" s="100" t="n"/>
      <c r="K2329" s="98" t="n"/>
      <c r="L2329" s="99" t="n"/>
      <c r="M2329" s="99" t="n"/>
      <c r="N2329" s="100" t="n"/>
      <c r="O2329" s="98" t="n"/>
      <c r="P2329" s="99" t="n"/>
      <c r="Q2329" s="99" t="n"/>
      <c r="R2329" s="100" t="n"/>
      <c r="S2329" s="98" t="n"/>
      <c r="T2329" s="99" t="n"/>
      <c r="U2329" s="99" t="n"/>
      <c r="V2329" s="100" t="n"/>
      <c r="W2329" s="98" t="n"/>
      <c r="X2329" s="100" t="n"/>
      <c r="Y2329" s="98" t="n"/>
      <c r="Z2329" s="100" t="n"/>
      <c r="AB2329" s="101">
        <f>IF($B2329="","",(COUNTIF(C2308:E2325,$B2329)+COUNTIF(C2308:E2325,$B2329&amp;" ~*")&gt;0)+(COUNTIF(G2308:I2325,$B2329)+COUNTIF(G2308:I2325,$B2329&amp;" ~*")&gt;0)+(COUNTIF(K2308:M2325,$B2329)+COUNTIF(K2308:M2325,$B2329&amp;" ~*")&gt;0)+(COUNTIF(O2308:Q2325,$B2329)+COUNTIF(O2308:Q2325,$B2329&amp;" ~*")&gt;0)+(COUNTIF(S2308:U2325,$B2329)+COUNTIF(S2308:U2325,$B2329&amp;" ~*")&gt;0)+(COUNTIF(W2308:W2325,$B2329)+COUNTIF(W2308:W2325,$B2329&amp;" ~*")&gt;0)+(COUNTIF(Y2308:Y2325,$B2329)+COUNTIF(Y2308:Y2325,$B2329&amp;" ~*")&gt;0))</f>
        <v/>
      </c>
      <c r="AC2329" s="36">
        <f>IF($B2329="","",(IFERROR(INDEX(Setup!$G$33:$G$40,MATCH(C2329,Setup!$B$33:$B$40,0)),0)=1)*(COUNTIF(C2308:E2325,$B2329)+COUNTIF(C2308:E2325,$B2329&amp;" ~*")&gt;0)+(IFERROR(INDEX(Setup!$G$33:$G$40,MATCH(G2329,Setup!$B$33:$B$40,0)),0)=1)*(COUNTIF(G2308:I2325,$B2329)+COUNTIF(G2308:I2325,$B2329&amp;" ~*")&gt;0)+(IFERROR(INDEX(Setup!$G$33:$G$40,MATCH(K2329,Setup!$B$33:$B$40,0)),0)=1)*(COUNTIF(K2308:M2325,$B2329)+COUNTIF(K2308:M2325,$B2329&amp;" ~*")&gt;0)+(IFERROR(INDEX(Setup!$G$33:$G$40,MATCH(O2329,Setup!$B$33:$B$40,0)),0)=1)*(COUNTIF(O2308:Q2325,$B2329)+COUNTIF(O2308:Q2325,$B2329&amp;" ~*")&gt;0)+(IFERROR(INDEX(Setup!$G$33:$G$40,MATCH(S2329,Setup!$B$33:$B$40,0)),0)=1)*(COUNTIF(S2308:U2325,$B2329)+COUNTIF(S2308:U2325,$B2329&amp;" ~*")&gt;0)+(IFERROR(INDEX(Setup!$G$33:$G$40,MATCH(W2329,Setup!$B$33:$B$40,0)),0)=1)*(COUNTIF(W2308:W2325,$B2329)+COUNTIF(W2308:W2325,$B2329&amp;" ~*")&gt;0)+(IFERROR(INDEX(Setup!$G$33:$G$40,MATCH(Y2329,Setup!$B$33:$B$40,0)),0)=1)*(COUNTIF(Y2308:Y2325,$B2329)+COUNTIF(Y2308:Y2325,$B2329&amp;" ~*")&gt;0))</f>
        <v/>
      </c>
    </row>
    <row r="2330" ht="15" customHeight="1">
      <c r="A2330" t="n">
        <v>47</v>
      </c>
      <c r="B2330" s="37">
        <f>IF(Setup!$B$9="","",Setup!$B$9)</f>
        <v/>
      </c>
      <c r="C2330" s="102" t="n"/>
      <c r="D2330" s="103" t="n"/>
      <c r="E2330" s="103" t="n"/>
      <c r="F2330" s="104" t="n"/>
      <c r="G2330" s="102" t="n"/>
      <c r="H2330" s="103" t="n"/>
      <c r="I2330" s="103" t="n"/>
      <c r="J2330" s="104" t="n"/>
      <c r="K2330" s="102" t="n"/>
      <c r="L2330" s="103" t="n"/>
      <c r="M2330" s="103" t="n"/>
      <c r="N2330" s="104" t="n"/>
      <c r="O2330" s="102" t="n"/>
      <c r="P2330" s="103" t="n"/>
      <c r="Q2330" s="103" t="n"/>
      <c r="R2330" s="104" t="n"/>
      <c r="S2330" s="102" t="n"/>
      <c r="T2330" s="103" t="n"/>
      <c r="U2330" s="103" t="n"/>
      <c r="V2330" s="104" t="n"/>
      <c r="W2330" s="102" t="n"/>
      <c r="X2330" s="104" t="n"/>
      <c r="Y2330" s="102" t="n"/>
      <c r="Z2330" s="104" t="n"/>
      <c r="AB2330" s="105">
        <f>IF($B2330="","",(COUNTIF(C2308:E2325,$B2330)+COUNTIF(C2308:E2325,$B2330&amp;" ~*")&gt;0)+(COUNTIF(G2308:I2325,$B2330)+COUNTIF(G2308:I2325,$B2330&amp;" ~*")&gt;0)+(COUNTIF(K2308:M2325,$B2330)+COUNTIF(K2308:M2325,$B2330&amp;" ~*")&gt;0)+(COUNTIF(O2308:Q2325,$B2330)+COUNTIF(O2308:Q2325,$B2330&amp;" ~*")&gt;0)+(COUNTIF(S2308:U2325,$B2330)+COUNTIF(S2308:U2325,$B2330&amp;" ~*")&gt;0)+(COUNTIF(W2308:W2325,$B2330)+COUNTIF(W2308:W2325,$B2330&amp;" ~*")&gt;0)+(COUNTIF(Y2308:Y2325,$B2330)+COUNTIF(Y2308:Y2325,$B2330&amp;" ~*")&gt;0))</f>
        <v/>
      </c>
      <c r="AC2330" s="38">
        <f>IF($B2330="","",(IFERROR(INDEX(Setup!$G$33:$G$40,MATCH(C2330,Setup!$B$33:$B$40,0)),0)=1)*(COUNTIF(C2308:E2325,$B2330)+COUNTIF(C2308:E2325,$B2330&amp;" ~*")&gt;0)+(IFERROR(INDEX(Setup!$G$33:$G$40,MATCH(G2330,Setup!$B$33:$B$40,0)),0)=1)*(COUNTIF(G2308:I2325,$B2330)+COUNTIF(G2308:I2325,$B2330&amp;" ~*")&gt;0)+(IFERROR(INDEX(Setup!$G$33:$G$40,MATCH(K2330,Setup!$B$33:$B$40,0)),0)=1)*(COUNTIF(K2308:M2325,$B2330)+COUNTIF(K2308:M2325,$B2330&amp;" ~*")&gt;0)+(IFERROR(INDEX(Setup!$G$33:$G$40,MATCH(O2330,Setup!$B$33:$B$40,0)),0)=1)*(COUNTIF(O2308:Q2325,$B2330)+COUNTIF(O2308:Q2325,$B2330&amp;" ~*")&gt;0)+(IFERROR(INDEX(Setup!$G$33:$G$40,MATCH(S2330,Setup!$B$33:$B$40,0)),0)=1)*(COUNTIF(S2308:U2325,$B2330)+COUNTIF(S2308:U2325,$B2330&amp;" ~*")&gt;0)+(IFERROR(INDEX(Setup!$G$33:$G$40,MATCH(W2330,Setup!$B$33:$B$40,0)),0)=1)*(COUNTIF(W2308:W2325,$B2330)+COUNTIF(W2308:W2325,$B2330&amp;" ~*")&gt;0)+(IFERROR(INDEX(Setup!$G$33:$G$40,MATCH(Y2330,Setup!$B$33:$B$40,0)),0)=1)*(COUNTIF(Y2308:Y2325,$B2330)+COUNTIF(Y2308:Y2325,$B2330&amp;" ~*")&gt;0))</f>
        <v/>
      </c>
    </row>
    <row r="2331" ht="15" customHeight="1">
      <c r="A2331" t="n">
        <v>47</v>
      </c>
      <c r="B2331" s="35">
        <f>IF(Setup!$B$10="","",Setup!$B$10)</f>
        <v/>
      </c>
      <c r="C2331" s="98" t="n"/>
      <c r="D2331" s="99" t="n"/>
      <c r="E2331" s="99" t="n"/>
      <c r="F2331" s="100" t="n"/>
      <c r="G2331" s="98" t="n"/>
      <c r="H2331" s="99" t="n"/>
      <c r="I2331" s="99" t="n"/>
      <c r="J2331" s="100" t="n"/>
      <c r="K2331" s="98" t="n"/>
      <c r="L2331" s="99" t="n"/>
      <c r="M2331" s="99" t="n"/>
      <c r="N2331" s="100" t="n"/>
      <c r="O2331" s="98" t="n"/>
      <c r="P2331" s="99" t="n"/>
      <c r="Q2331" s="99" t="n"/>
      <c r="R2331" s="100" t="n"/>
      <c r="S2331" s="98" t="n"/>
      <c r="T2331" s="99" t="n"/>
      <c r="U2331" s="99" t="n"/>
      <c r="V2331" s="100" t="n"/>
      <c r="W2331" s="98" t="n"/>
      <c r="X2331" s="100" t="n"/>
      <c r="Y2331" s="98" t="n"/>
      <c r="Z2331" s="100" t="n"/>
      <c r="AB2331" s="101">
        <f>IF($B2331="","",(COUNTIF(C2308:E2325,$B2331)+COUNTIF(C2308:E2325,$B2331&amp;" ~*")&gt;0)+(COUNTIF(G2308:I2325,$B2331)+COUNTIF(G2308:I2325,$B2331&amp;" ~*")&gt;0)+(COUNTIF(K2308:M2325,$B2331)+COUNTIF(K2308:M2325,$B2331&amp;" ~*")&gt;0)+(COUNTIF(O2308:Q2325,$B2331)+COUNTIF(O2308:Q2325,$B2331&amp;" ~*")&gt;0)+(COUNTIF(S2308:U2325,$B2331)+COUNTIF(S2308:U2325,$B2331&amp;" ~*")&gt;0)+(COUNTIF(W2308:W2325,$B2331)+COUNTIF(W2308:W2325,$B2331&amp;" ~*")&gt;0)+(COUNTIF(Y2308:Y2325,$B2331)+COUNTIF(Y2308:Y2325,$B2331&amp;" ~*")&gt;0))</f>
        <v/>
      </c>
      <c r="AC2331" s="36">
        <f>IF($B2331="","",(IFERROR(INDEX(Setup!$G$33:$G$40,MATCH(C2331,Setup!$B$33:$B$40,0)),0)=1)*(COUNTIF(C2308:E2325,$B2331)+COUNTIF(C2308:E2325,$B2331&amp;" ~*")&gt;0)+(IFERROR(INDEX(Setup!$G$33:$G$40,MATCH(G2331,Setup!$B$33:$B$40,0)),0)=1)*(COUNTIF(G2308:I2325,$B2331)+COUNTIF(G2308:I2325,$B2331&amp;" ~*")&gt;0)+(IFERROR(INDEX(Setup!$G$33:$G$40,MATCH(K2331,Setup!$B$33:$B$40,0)),0)=1)*(COUNTIF(K2308:M2325,$B2331)+COUNTIF(K2308:M2325,$B2331&amp;" ~*")&gt;0)+(IFERROR(INDEX(Setup!$G$33:$G$40,MATCH(O2331,Setup!$B$33:$B$40,0)),0)=1)*(COUNTIF(O2308:Q2325,$B2331)+COUNTIF(O2308:Q2325,$B2331&amp;" ~*")&gt;0)+(IFERROR(INDEX(Setup!$G$33:$G$40,MATCH(S2331,Setup!$B$33:$B$40,0)),0)=1)*(COUNTIF(S2308:U2325,$B2331)+COUNTIF(S2308:U2325,$B2331&amp;" ~*")&gt;0)+(IFERROR(INDEX(Setup!$G$33:$G$40,MATCH(W2331,Setup!$B$33:$B$40,0)),0)=1)*(COUNTIF(W2308:W2325,$B2331)+COUNTIF(W2308:W2325,$B2331&amp;" ~*")&gt;0)+(IFERROR(INDEX(Setup!$G$33:$G$40,MATCH(Y2331,Setup!$B$33:$B$40,0)),0)=1)*(COUNTIF(Y2308:Y2325,$B2331)+COUNTIF(Y2308:Y2325,$B2331&amp;" ~*")&gt;0))</f>
        <v/>
      </c>
    </row>
    <row r="2332" ht="15" customHeight="1">
      <c r="A2332" t="n">
        <v>47</v>
      </c>
      <c r="B2332" s="37">
        <f>IF(Setup!$B$11="","",Setup!$B$11)</f>
        <v/>
      </c>
      <c r="C2332" s="102" t="n"/>
      <c r="D2332" s="103" t="n"/>
      <c r="E2332" s="103" t="n"/>
      <c r="F2332" s="104" t="n"/>
      <c r="G2332" s="102" t="n"/>
      <c r="H2332" s="103" t="n"/>
      <c r="I2332" s="103" t="n"/>
      <c r="J2332" s="104" t="n"/>
      <c r="K2332" s="102" t="n"/>
      <c r="L2332" s="103" t="n"/>
      <c r="M2332" s="103" t="n"/>
      <c r="N2332" s="104" t="n"/>
      <c r="O2332" s="102" t="n"/>
      <c r="P2332" s="103" t="n"/>
      <c r="Q2332" s="103" t="n"/>
      <c r="R2332" s="104" t="n"/>
      <c r="S2332" s="102" t="n"/>
      <c r="T2332" s="103" t="n"/>
      <c r="U2332" s="103" t="n"/>
      <c r="V2332" s="104" t="n"/>
      <c r="W2332" s="102" t="n"/>
      <c r="X2332" s="104" t="n"/>
      <c r="Y2332" s="102" t="n"/>
      <c r="Z2332" s="104" t="n"/>
      <c r="AB2332" s="105">
        <f>IF($B2332="","",(COUNTIF(C2308:E2325,$B2332)+COUNTIF(C2308:E2325,$B2332&amp;" ~*")&gt;0)+(COUNTIF(G2308:I2325,$B2332)+COUNTIF(G2308:I2325,$B2332&amp;" ~*")&gt;0)+(COUNTIF(K2308:M2325,$B2332)+COUNTIF(K2308:M2325,$B2332&amp;" ~*")&gt;0)+(COUNTIF(O2308:Q2325,$B2332)+COUNTIF(O2308:Q2325,$B2332&amp;" ~*")&gt;0)+(COUNTIF(S2308:U2325,$B2332)+COUNTIF(S2308:U2325,$B2332&amp;" ~*")&gt;0)+(COUNTIF(W2308:W2325,$B2332)+COUNTIF(W2308:W2325,$B2332&amp;" ~*")&gt;0)+(COUNTIF(Y2308:Y2325,$B2332)+COUNTIF(Y2308:Y2325,$B2332&amp;" ~*")&gt;0))</f>
        <v/>
      </c>
      <c r="AC2332" s="38">
        <f>IF($B2332="","",(IFERROR(INDEX(Setup!$G$33:$G$40,MATCH(C2332,Setup!$B$33:$B$40,0)),0)=1)*(COUNTIF(C2308:E2325,$B2332)+COUNTIF(C2308:E2325,$B2332&amp;" ~*")&gt;0)+(IFERROR(INDEX(Setup!$G$33:$G$40,MATCH(G2332,Setup!$B$33:$B$40,0)),0)=1)*(COUNTIF(G2308:I2325,$B2332)+COUNTIF(G2308:I2325,$B2332&amp;" ~*")&gt;0)+(IFERROR(INDEX(Setup!$G$33:$G$40,MATCH(K2332,Setup!$B$33:$B$40,0)),0)=1)*(COUNTIF(K2308:M2325,$B2332)+COUNTIF(K2308:M2325,$B2332&amp;" ~*")&gt;0)+(IFERROR(INDEX(Setup!$G$33:$G$40,MATCH(O2332,Setup!$B$33:$B$40,0)),0)=1)*(COUNTIF(O2308:Q2325,$B2332)+COUNTIF(O2308:Q2325,$B2332&amp;" ~*")&gt;0)+(IFERROR(INDEX(Setup!$G$33:$G$40,MATCH(S2332,Setup!$B$33:$B$40,0)),0)=1)*(COUNTIF(S2308:U2325,$B2332)+COUNTIF(S2308:U2325,$B2332&amp;" ~*")&gt;0)+(IFERROR(INDEX(Setup!$G$33:$G$40,MATCH(W2332,Setup!$B$33:$B$40,0)),0)=1)*(COUNTIF(W2308:W2325,$B2332)+COUNTIF(W2308:W2325,$B2332&amp;" ~*")&gt;0)+(IFERROR(INDEX(Setup!$G$33:$G$40,MATCH(Y2332,Setup!$B$33:$B$40,0)),0)=1)*(COUNTIF(Y2308:Y2325,$B2332)+COUNTIF(Y2308:Y2325,$B2332&amp;" ~*")&gt;0))</f>
        <v/>
      </c>
    </row>
    <row r="2333" ht="15" customHeight="1">
      <c r="A2333" t="n">
        <v>47</v>
      </c>
      <c r="B2333" s="35">
        <f>IF(Setup!$B$12="","",Setup!$B$12)</f>
        <v/>
      </c>
      <c r="C2333" s="98" t="n"/>
      <c r="D2333" s="99" t="n"/>
      <c r="E2333" s="99" t="n"/>
      <c r="F2333" s="100" t="n"/>
      <c r="G2333" s="98" t="n"/>
      <c r="H2333" s="99" t="n"/>
      <c r="I2333" s="99" t="n"/>
      <c r="J2333" s="100" t="n"/>
      <c r="K2333" s="98" t="n"/>
      <c r="L2333" s="99" t="n"/>
      <c r="M2333" s="99" t="n"/>
      <c r="N2333" s="100" t="n"/>
      <c r="O2333" s="98" t="n"/>
      <c r="P2333" s="99" t="n"/>
      <c r="Q2333" s="99" t="n"/>
      <c r="R2333" s="100" t="n"/>
      <c r="S2333" s="98" t="n"/>
      <c r="T2333" s="99" t="n"/>
      <c r="U2333" s="99" t="n"/>
      <c r="V2333" s="100" t="n"/>
      <c r="W2333" s="98" t="n"/>
      <c r="X2333" s="100" t="n"/>
      <c r="Y2333" s="98" t="n"/>
      <c r="Z2333" s="100" t="n"/>
      <c r="AB2333" s="101">
        <f>IF($B2333="","",(COUNTIF(C2308:E2325,$B2333)+COUNTIF(C2308:E2325,$B2333&amp;" ~*")&gt;0)+(COUNTIF(G2308:I2325,$B2333)+COUNTIF(G2308:I2325,$B2333&amp;" ~*")&gt;0)+(COUNTIF(K2308:M2325,$B2333)+COUNTIF(K2308:M2325,$B2333&amp;" ~*")&gt;0)+(COUNTIF(O2308:Q2325,$B2333)+COUNTIF(O2308:Q2325,$B2333&amp;" ~*")&gt;0)+(COUNTIF(S2308:U2325,$B2333)+COUNTIF(S2308:U2325,$B2333&amp;" ~*")&gt;0)+(COUNTIF(W2308:W2325,$B2333)+COUNTIF(W2308:W2325,$B2333&amp;" ~*")&gt;0)+(COUNTIF(Y2308:Y2325,$B2333)+COUNTIF(Y2308:Y2325,$B2333&amp;" ~*")&gt;0))</f>
        <v/>
      </c>
      <c r="AC2333" s="36">
        <f>IF($B2333="","",(IFERROR(INDEX(Setup!$G$33:$G$40,MATCH(C2333,Setup!$B$33:$B$40,0)),0)=1)*(COUNTIF(C2308:E2325,$B2333)+COUNTIF(C2308:E2325,$B2333&amp;" ~*")&gt;0)+(IFERROR(INDEX(Setup!$G$33:$G$40,MATCH(G2333,Setup!$B$33:$B$40,0)),0)=1)*(COUNTIF(G2308:I2325,$B2333)+COUNTIF(G2308:I2325,$B2333&amp;" ~*")&gt;0)+(IFERROR(INDEX(Setup!$G$33:$G$40,MATCH(K2333,Setup!$B$33:$B$40,0)),0)=1)*(COUNTIF(K2308:M2325,$B2333)+COUNTIF(K2308:M2325,$B2333&amp;" ~*")&gt;0)+(IFERROR(INDEX(Setup!$G$33:$G$40,MATCH(O2333,Setup!$B$33:$B$40,0)),0)=1)*(COUNTIF(O2308:Q2325,$B2333)+COUNTIF(O2308:Q2325,$B2333&amp;" ~*")&gt;0)+(IFERROR(INDEX(Setup!$G$33:$G$40,MATCH(S2333,Setup!$B$33:$B$40,0)),0)=1)*(COUNTIF(S2308:U2325,$B2333)+COUNTIF(S2308:U2325,$B2333&amp;" ~*")&gt;0)+(IFERROR(INDEX(Setup!$G$33:$G$40,MATCH(W2333,Setup!$B$33:$B$40,0)),0)=1)*(COUNTIF(W2308:W2325,$B2333)+COUNTIF(W2308:W2325,$B2333&amp;" ~*")&gt;0)+(IFERROR(INDEX(Setup!$G$33:$G$40,MATCH(Y2333,Setup!$B$33:$B$40,0)),0)=1)*(COUNTIF(Y2308:Y2325,$B2333)+COUNTIF(Y2308:Y2325,$B2333&amp;" ~*")&gt;0))</f>
        <v/>
      </c>
    </row>
    <row r="2334" ht="15" customHeight="1">
      <c r="A2334" t="n">
        <v>47</v>
      </c>
      <c r="B2334" s="37">
        <f>IF(Setup!$B$13="","",Setup!$B$13)</f>
        <v/>
      </c>
      <c r="C2334" s="102" t="n"/>
      <c r="D2334" s="103" t="n"/>
      <c r="E2334" s="103" t="n"/>
      <c r="F2334" s="104" t="n"/>
      <c r="G2334" s="102" t="n"/>
      <c r="H2334" s="103" t="n"/>
      <c r="I2334" s="103" t="n"/>
      <c r="J2334" s="104" t="n"/>
      <c r="K2334" s="102" t="n"/>
      <c r="L2334" s="103" t="n"/>
      <c r="M2334" s="103" t="n"/>
      <c r="N2334" s="104" t="n"/>
      <c r="O2334" s="102" t="n"/>
      <c r="P2334" s="103" t="n"/>
      <c r="Q2334" s="103" t="n"/>
      <c r="R2334" s="104" t="n"/>
      <c r="S2334" s="102" t="n"/>
      <c r="T2334" s="103" t="n"/>
      <c r="U2334" s="103" t="n"/>
      <c r="V2334" s="104" t="n"/>
      <c r="W2334" s="102" t="n"/>
      <c r="X2334" s="104" t="n"/>
      <c r="Y2334" s="102" t="n"/>
      <c r="Z2334" s="104" t="n"/>
      <c r="AB2334" s="105">
        <f>IF($B2334="","",(COUNTIF(C2308:E2325,$B2334)+COUNTIF(C2308:E2325,$B2334&amp;" ~*")&gt;0)+(COUNTIF(G2308:I2325,$B2334)+COUNTIF(G2308:I2325,$B2334&amp;" ~*")&gt;0)+(COUNTIF(K2308:M2325,$B2334)+COUNTIF(K2308:M2325,$B2334&amp;" ~*")&gt;0)+(COUNTIF(O2308:Q2325,$B2334)+COUNTIF(O2308:Q2325,$B2334&amp;" ~*")&gt;0)+(COUNTIF(S2308:U2325,$B2334)+COUNTIF(S2308:U2325,$B2334&amp;" ~*")&gt;0)+(COUNTIF(W2308:W2325,$B2334)+COUNTIF(W2308:W2325,$B2334&amp;" ~*")&gt;0)+(COUNTIF(Y2308:Y2325,$B2334)+COUNTIF(Y2308:Y2325,$B2334&amp;" ~*")&gt;0))</f>
        <v/>
      </c>
      <c r="AC2334" s="38">
        <f>IF($B2334="","",(IFERROR(INDEX(Setup!$G$33:$G$40,MATCH(C2334,Setup!$B$33:$B$40,0)),0)=1)*(COUNTIF(C2308:E2325,$B2334)+COUNTIF(C2308:E2325,$B2334&amp;" ~*")&gt;0)+(IFERROR(INDEX(Setup!$G$33:$G$40,MATCH(G2334,Setup!$B$33:$B$40,0)),0)=1)*(COUNTIF(G2308:I2325,$B2334)+COUNTIF(G2308:I2325,$B2334&amp;" ~*")&gt;0)+(IFERROR(INDEX(Setup!$G$33:$G$40,MATCH(K2334,Setup!$B$33:$B$40,0)),0)=1)*(COUNTIF(K2308:M2325,$B2334)+COUNTIF(K2308:M2325,$B2334&amp;" ~*")&gt;0)+(IFERROR(INDEX(Setup!$G$33:$G$40,MATCH(O2334,Setup!$B$33:$B$40,0)),0)=1)*(COUNTIF(O2308:Q2325,$B2334)+COUNTIF(O2308:Q2325,$B2334&amp;" ~*")&gt;0)+(IFERROR(INDEX(Setup!$G$33:$G$40,MATCH(S2334,Setup!$B$33:$B$40,0)),0)=1)*(COUNTIF(S2308:U2325,$B2334)+COUNTIF(S2308:U2325,$B2334&amp;" ~*")&gt;0)+(IFERROR(INDEX(Setup!$G$33:$G$40,MATCH(W2334,Setup!$B$33:$B$40,0)),0)=1)*(COUNTIF(W2308:W2325,$B2334)+COUNTIF(W2308:W2325,$B2334&amp;" ~*")&gt;0)+(IFERROR(INDEX(Setup!$G$33:$G$40,MATCH(Y2334,Setup!$B$33:$B$40,0)),0)=1)*(COUNTIF(Y2308:Y2325,$B2334)+COUNTIF(Y2308:Y2325,$B2334&amp;" ~*")&gt;0))</f>
        <v/>
      </c>
    </row>
    <row r="2335" ht="15" customHeight="1">
      <c r="A2335" t="n">
        <v>47</v>
      </c>
      <c r="B2335" s="35">
        <f>IF(Setup!$B$14="","",Setup!$B$14)</f>
        <v/>
      </c>
      <c r="C2335" s="98" t="n"/>
      <c r="D2335" s="99" t="n"/>
      <c r="E2335" s="99" t="n"/>
      <c r="F2335" s="100" t="n"/>
      <c r="G2335" s="98" t="n"/>
      <c r="H2335" s="99" t="n"/>
      <c r="I2335" s="99" t="n"/>
      <c r="J2335" s="100" t="n"/>
      <c r="K2335" s="98" t="n"/>
      <c r="L2335" s="99" t="n"/>
      <c r="M2335" s="99" t="n"/>
      <c r="N2335" s="100" t="n"/>
      <c r="O2335" s="98" t="n"/>
      <c r="P2335" s="99" t="n"/>
      <c r="Q2335" s="99" t="n"/>
      <c r="R2335" s="100" t="n"/>
      <c r="S2335" s="98" t="n"/>
      <c r="T2335" s="99" t="n"/>
      <c r="U2335" s="99" t="n"/>
      <c r="V2335" s="100" t="n"/>
      <c r="W2335" s="98" t="n"/>
      <c r="X2335" s="100" t="n"/>
      <c r="Y2335" s="98" t="n"/>
      <c r="Z2335" s="100" t="n"/>
      <c r="AB2335" s="101">
        <f>IF($B2335="","",(COUNTIF(C2308:E2325,$B2335)+COUNTIF(C2308:E2325,$B2335&amp;" ~*")&gt;0)+(COUNTIF(G2308:I2325,$B2335)+COUNTIF(G2308:I2325,$B2335&amp;" ~*")&gt;0)+(COUNTIF(K2308:M2325,$B2335)+COUNTIF(K2308:M2325,$B2335&amp;" ~*")&gt;0)+(COUNTIF(O2308:Q2325,$B2335)+COUNTIF(O2308:Q2325,$B2335&amp;" ~*")&gt;0)+(COUNTIF(S2308:U2325,$B2335)+COUNTIF(S2308:U2325,$B2335&amp;" ~*")&gt;0)+(COUNTIF(W2308:W2325,$B2335)+COUNTIF(W2308:W2325,$B2335&amp;" ~*")&gt;0)+(COUNTIF(Y2308:Y2325,$B2335)+COUNTIF(Y2308:Y2325,$B2335&amp;" ~*")&gt;0))</f>
        <v/>
      </c>
      <c r="AC2335" s="36">
        <f>IF($B2335="","",(IFERROR(INDEX(Setup!$G$33:$G$40,MATCH(C2335,Setup!$B$33:$B$40,0)),0)=1)*(COUNTIF(C2308:E2325,$B2335)+COUNTIF(C2308:E2325,$B2335&amp;" ~*")&gt;0)+(IFERROR(INDEX(Setup!$G$33:$G$40,MATCH(G2335,Setup!$B$33:$B$40,0)),0)=1)*(COUNTIF(G2308:I2325,$B2335)+COUNTIF(G2308:I2325,$B2335&amp;" ~*")&gt;0)+(IFERROR(INDEX(Setup!$G$33:$G$40,MATCH(K2335,Setup!$B$33:$B$40,0)),0)=1)*(COUNTIF(K2308:M2325,$B2335)+COUNTIF(K2308:M2325,$B2335&amp;" ~*")&gt;0)+(IFERROR(INDEX(Setup!$G$33:$G$40,MATCH(O2335,Setup!$B$33:$B$40,0)),0)=1)*(COUNTIF(O2308:Q2325,$B2335)+COUNTIF(O2308:Q2325,$B2335&amp;" ~*")&gt;0)+(IFERROR(INDEX(Setup!$G$33:$G$40,MATCH(S2335,Setup!$B$33:$B$40,0)),0)=1)*(COUNTIF(S2308:U2325,$B2335)+COUNTIF(S2308:U2325,$B2335&amp;" ~*")&gt;0)+(IFERROR(INDEX(Setup!$G$33:$G$40,MATCH(W2335,Setup!$B$33:$B$40,0)),0)=1)*(COUNTIF(W2308:W2325,$B2335)+COUNTIF(W2308:W2325,$B2335&amp;" ~*")&gt;0)+(IFERROR(INDEX(Setup!$G$33:$G$40,MATCH(Y2335,Setup!$B$33:$B$40,0)),0)=1)*(COUNTIF(Y2308:Y2325,$B2335)+COUNTIF(Y2308:Y2325,$B2335&amp;" ~*")&gt;0))</f>
        <v/>
      </c>
    </row>
    <row r="2336" ht="15" customHeight="1">
      <c r="A2336" t="n">
        <v>47</v>
      </c>
      <c r="B2336" s="37">
        <f>IF(Setup!$B$15="","",Setup!$B$15)</f>
        <v/>
      </c>
      <c r="C2336" s="102" t="n"/>
      <c r="D2336" s="103" t="n"/>
      <c r="E2336" s="103" t="n"/>
      <c r="F2336" s="104" t="n"/>
      <c r="G2336" s="102" t="n"/>
      <c r="H2336" s="103" t="n"/>
      <c r="I2336" s="103" t="n"/>
      <c r="J2336" s="104" t="n"/>
      <c r="K2336" s="102" t="n"/>
      <c r="L2336" s="103" t="n"/>
      <c r="M2336" s="103" t="n"/>
      <c r="N2336" s="104" t="n"/>
      <c r="O2336" s="102" t="n"/>
      <c r="P2336" s="103" t="n"/>
      <c r="Q2336" s="103" t="n"/>
      <c r="R2336" s="104" t="n"/>
      <c r="S2336" s="102" t="n"/>
      <c r="T2336" s="103" t="n"/>
      <c r="U2336" s="103" t="n"/>
      <c r="V2336" s="104" t="n"/>
      <c r="W2336" s="102" t="n"/>
      <c r="X2336" s="104" t="n"/>
      <c r="Y2336" s="102" t="n"/>
      <c r="Z2336" s="104" t="n"/>
      <c r="AB2336" s="105">
        <f>IF($B2336="","",(COUNTIF(C2308:E2325,$B2336)+COUNTIF(C2308:E2325,$B2336&amp;" ~*")&gt;0)+(COUNTIF(G2308:I2325,$B2336)+COUNTIF(G2308:I2325,$B2336&amp;" ~*")&gt;0)+(COUNTIF(K2308:M2325,$B2336)+COUNTIF(K2308:M2325,$B2336&amp;" ~*")&gt;0)+(COUNTIF(O2308:Q2325,$B2336)+COUNTIF(O2308:Q2325,$B2336&amp;" ~*")&gt;0)+(COUNTIF(S2308:U2325,$B2336)+COUNTIF(S2308:U2325,$B2336&amp;" ~*")&gt;0)+(COUNTIF(W2308:W2325,$B2336)+COUNTIF(W2308:W2325,$B2336&amp;" ~*")&gt;0)+(COUNTIF(Y2308:Y2325,$B2336)+COUNTIF(Y2308:Y2325,$B2336&amp;" ~*")&gt;0))</f>
        <v/>
      </c>
      <c r="AC2336" s="38">
        <f>IF($B2336="","",(IFERROR(INDEX(Setup!$G$33:$G$40,MATCH(C2336,Setup!$B$33:$B$40,0)),0)=1)*(COUNTIF(C2308:E2325,$B2336)+COUNTIF(C2308:E2325,$B2336&amp;" ~*")&gt;0)+(IFERROR(INDEX(Setup!$G$33:$G$40,MATCH(G2336,Setup!$B$33:$B$40,0)),0)=1)*(COUNTIF(G2308:I2325,$B2336)+COUNTIF(G2308:I2325,$B2336&amp;" ~*")&gt;0)+(IFERROR(INDEX(Setup!$G$33:$G$40,MATCH(K2336,Setup!$B$33:$B$40,0)),0)=1)*(COUNTIF(K2308:M2325,$B2336)+COUNTIF(K2308:M2325,$B2336&amp;" ~*")&gt;0)+(IFERROR(INDEX(Setup!$G$33:$G$40,MATCH(O2336,Setup!$B$33:$B$40,0)),0)=1)*(COUNTIF(O2308:Q2325,$B2336)+COUNTIF(O2308:Q2325,$B2336&amp;" ~*")&gt;0)+(IFERROR(INDEX(Setup!$G$33:$G$40,MATCH(S2336,Setup!$B$33:$B$40,0)),0)=1)*(COUNTIF(S2308:U2325,$B2336)+COUNTIF(S2308:U2325,$B2336&amp;" ~*")&gt;0)+(IFERROR(INDEX(Setup!$G$33:$G$40,MATCH(W2336,Setup!$B$33:$B$40,0)),0)=1)*(COUNTIF(W2308:W2325,$B2336)+COUNTIF(W2308:W2325,$B2336&amp;" ~*")&gt;0)+(IFERROR(INDEX(Setup!$G$33:$G$40,MATCH(Y2336,Setup!$B$33:$B$40,0)),0)=1)*(COUNTIF(Y2308:Y2325,$B2336)+COUNTIF(Y2308:Y2325,$B2336&amp;" ~*")&gt;0))</f>
        <v/>
      </c>
    </row>
    <row r="2337" ht="15" customHeight="1">
      <c r="A2337" t="n">
        <v>47</v>
      </c>
      <c r="B2337" s="35">
        <f>IF(Setup!$B$16="","",Setup!$B$16)</f>
        <v/>
      </c>
      <c r="C2337" s="98" t="n"/>
      <c r="D2337" s="99" t="n"/>
      <c r="E2337" s="99" t="n"/>
      <c r="F2337" s="100" t="n"/>
      <c r="G2337" s="98" t="n"/>
      <c r="H2337" s="99" t="n"/>
      <c r="I2337" s="99" t="n"/>
      <c r="J2337" s="100" t="n"/>
      <c r="K2337" s="98" t="n"/>
      <c r="L2337" s="99" t="n"/>
      <c r="M2337" s="99" t="n"/>
      <c r="N2337" s="100" t="n"/>
      <c r="O2337" s="98" t="n"/>
      <c r="P2337" s="99" t="n"/>
      <c r="Q2337" s="99" t="n"/>
      <c r="R2337" s="100" t="n"/>
      <c r="S2337" s="98" t="n"/>
      <c r="T2337" s="99" t="n"/>
      <c r="U2337" s="99" t="n"/>
      <c r="V2337" s="100" t="n"/>
      <c r="W2337" s="98" t="n"/>
      <c r="X2337" s="100" t="n"/>
      <c r="Y2337" s="98" t="n"/>
      <c r="Z2337" s="100" t="n"/>
      <c r="AB2337" s="101">
        <f>IF($B2337="","",(COUNTIF(C2308:E2325,$B2337)+COUNTIF(C2308:E2325,$B2337&amp;" ~*")&gt;0)+(COUNTIF(G2308:I2325,$B2337)+COUNTIF(G2308:I2325,$B2337&amp;" ~*")&gt;0)+(COUNTIF(K2308:M2325,$B2337)+COUNTIF(K2308:M2325,$B2337&amp;" ~*")&gt;0)+(COUNTIF(O2308:Q2325,$B2337)+COUNTIF(O2308:Q2325,$B2337&amp;" ~*")&gt;0)+(COUNTIF(S2308:U2325,$B2337)+COUNTIF(S2308:U2325,$B2337&amp;" ~*")&gt;0)+(COUNTIF(W2308:W2325,$B2337)+COUNTIF(W2308:W2325,$B2337&amp;" ~*")&gt;0)+(COUNTIF(Y2308:Y2325,$B2337)+COUNTIF(Y2308:Y2325,$B2337&amp;" ~*")&gt;0))</f>
        <v/>
      </c>
      <c r="AC2337" s="36">
        <f>IF($B2337="","",(IFERROR(INDEX(Setup!$G$33:$G$40,MATCH(C2337,Setup!$B$33:$B$40,0)),0)=1)*(COUNTIF(C2308:E2325,$B2337)+COUNTIF(C2308:E2325,$B2337&amp;" ~*")&gt;0)+(IFERROR(INDEX(Setup!$G$33:$G$40,MATCH(G2337,Setup!$B$33:$B$40,0)),0)=1)*(COUNTIF(G2308:I2325,$B2337)+COUNTIF(G2308:I2325,$B2337&amp;" ~*")&gt;0)+(IFERROR(INDEX(Setup!$G$33:$G$40,MATCH(K2337,Setup!$B$33:$B$40,0)),0)=1)*(COUNTIF(K2308:M2325,$B2337)+COUNTIF(K2308:M2325,$B2337&amp;" ~*")&gt;0)+(IFERROR(INDEX(Setup!$G$33:$G$40,MATCH(O2337,Setup!$B$33:$B$40,0)),0)=1)*(COUNTIF(O2308:Q2325,$B2337)+COUNTIF(O2308:Q2325,$B2337&amp;" ~*")&gt;0)+(IFERROR(INDEX(Setup!$G$33:$G$40,MATCH(S2337,Setup!$B$33:$B$40,0)),0)=1)*(COUNTIF(S2308:U2325,$B2337)+COUNTIF(S2308:U2325,$B2337&amp;" ~*")&gt;0)+(IFERROR(INDEX(Setup!$G$33:$G$40,MATCH(W2337,Setup!$B$33:$B$40,0)),0)=1)*(COUNTIF(W2308:W2325,$B2337)+COUNTIF(W2308:W2325,$B2337&amp;" ~*")&gt;0)+(IFERROR(INDEX(Setup!$G$33:$G$40,MATCH(Y2337,Setup!$B$33:$B$40,0)),0)=1)*(COUNTIF(Y2308:Y2325,$B2337)+COUNTIF(Y2308:Y2325,$B2337&amp;" ~*")&gt;0))</f>
        <v/>
      </c>
    </row>
    <row r="2338" ht="15" customHeight="1">
      <c r="A2338" t="n">
        <v>47</v>
      </c>
      <c r="B2338" s="37">
        <f>IF(Setup!$B$17="","",Setup!$B$17)</f>
        <v/>
      </c>
      <c r="C2338" s="102" t="n"/>
      <c r="D2338" s="103" t="n"/>
      <c r="E2338" s="103" t="n"/>
      <c r="F2338" s="104" t="n"/>
      <c r="G2338" s="102" t="n"/>
      <c r="H2338" s="103" t="n"/>
      <c r="I2338" s="103" t="n"/>
      <c r="J2338" s="104" t="n"/>
      <c r="K2338" s="102" t="n"/>
      <c r="L2338" s="103" t="n"/>
      <c r="M2338" s="103" t="n"/>
      <c r="N2338" s="104" t="n"/>
      <c r="O2338" s="102" t="n"/>
      <c r="P2338" s="103" t="n"/>
      <c r="Q2338" s="103" t="n"/>
      <c r="R2338" s="104" t="n"/>
      <c r="S2338" s="102" t="n"/>
      <c r="T2338" s="103" t="n"/>
      <c r="U2338" s="103" t="n"/>
      <c r="V2338" s="104" t="n"/>
      <c r="W2338" s="102" t="n"/>
      <c r="X2338" s="104" t="n"/>
      <c r="Y2338" s="102" t="n"/>
      <c r="Z2338" s="104" t="n"/>
      <c r="AB2338" s="105">
        <f>IF($B2338="","",(COUNTIF(C2308:E2325,$B2338)+COUNTIF(C2308:E2325,$B2338&amp;" ~*")&gt;0)+(COUNTIF(G2308:I2325,$B2338)+COUNTIF(G2308:I2325,$B2338&amp;" ~*")&gt;0)+(COUNTIF(K2308:M2325,$B2338)+COUNTIF(K2308:M2325,$B2338&amp;" ~*")&gt;0)+(COUNTIF(O2308:Q2325,$B2338)+COUNTIF(O2308:Q2325,$B2338&amp;" ~*")&gt;0)+(COUNTIF(S2308:U2325,$B2338)+COUNTIF(S2308:U2325,$B2338&amp;" ~*")&gt;0)+(COUNTIF(W2308:W2325,$B2338)+COUNTIF(W2308:W2325,$B2338&amp;" ~*")&gt;0)+(COUNTIF(Y2308:Y2325,$B2338)+COUNTIF(Y2308:Y2325,$B2338&amp;" ~*")&gt;0))</f>
        <v/>
      </c>
      <c r="AC2338" s="38">
        <f>IF($B2338="","",(IFERROR(INDEX(Setup!$G$33:$G$40,MATCH(C2338,Setup!$B$33:$B$40,0)),0)=1)*(COUNTIF(C2308:E2325,$B2338)+COUNTIF(C2308:E2325,$B2338&amp;" ~*")&gt;0)+(IFERROR(INDEX(Setup!$G$33:$G$40,MATCH(G2338,Setup!$B$33:$B$40,0)),0)=1)*(COUNTIF(G2308:I2325,$B2338)+COUNTIF(G2308:I2325,$B2338&amp;" ~*")&gt;0)+(IFERROR(INDEX(Setup!$G$33:$G$40,MATCH(K2338,Setup!$B$33:$B$40,0)),0)=1)*(COUNTIF(K2308:M2325,$B2338)+COUNTIF(K2308:M2325,$B2338&amp;" ~*")&gt;0)+(IFERROR(INDEX(Setup!$G$33:$G$40,MATCH(O2338,Setup!$B$33:$B$40,0)),0)=1)*(COUNTIF(O2308:Q2325,$B2338)+COUNTIF(O2308:Q2325,$B2338&amp;" ~*")&gt;0)+(IFERROR(INDEX(Setup!$G$33:$G$40,MATCH(S2338,Setup!$B$33:$B$40,0)),0)=1)*(COUNTIF(S2308:U2325,$B2338)+COUNTIF(S2308:U2325,$B2338&amp;" ~*")&gt;0)+(IFERROR(INDEX(Setup!$G$33:$G$40,MATCH(W2338,Setup!$B$33:$B$40,0)),0)=1)*(COUNTIF(W2308:W2325,$B2338)+COUNTIF(W2308:W2325,$B2338&amp;" ~*")&gt;0)+(IFERROR(INDEX(Setup!$G$33:$G$40,MATCH(Y2338,Setup!$B$33:$B$40,0)),0)=1)*(COUNTIF(Y2308:Y2325,$B2338)+COUNTIF(Y2308:Y2325,$B2338&amp;" ~*")&gt;0))</f>
        <v/>
      </c>
    </row>
    <row r="2339" ht="15" customHeight="1">
      <c r="A2339" t="n">
        <v>47</v>
      </c>
      <c r="B2339" s="35">
        <f>IF(Setup!$B$18="","",Setup!$B$18)</f>
        <v/>
      </c>
      <c r="C2339" s="98" t="n"/>
      <c r="D2339" s="99" t="n"/>
      <c r="E2339" s="99" t="n"/>
      <c r="F2339" s="100" t="n"/>
      <c r="G2339" s="98" t="n"/>
      <c r="H2339" s="99" t="n"/>
      <c r="I2339" s="99" t="n"/>
      <c r="J2339" s="100" t="n"/>
      <c r="K2339" s="98" t="n"/>
      <c r="L2339" s="99" t="n"/>
      <c r="M2339" s="99" t="n"/>
      <c r="N2339" s="100" t="n"/>
      <c r="O2339" s="98" t="n"/>
      <c r="P2339" s="99" t="n"/>
      <c r="Q2339" s="99" t="n"/>
      <c r="R2339" s="100" t="n"/>
      <c r="S2339" s="98" t="n"/>
      <c r="T2339" s="99" t="n"/>
      <c r="U2339" s="99" t="n"/>
      <c r="V2339" s="100" t="n"/>
      <c r="W2339" s="98" t="n"/>
      <c r="X2339" s="100" t="n"/>
      <c r="Y2339" s="98" t="n"/>
      <c r="Z2339" s="100" t="n"/>
      <c r="AB2339" s="101">
        <f>IF($B2339="","",(COUNTIF(C2308:E2325,$B2339)+COUNTIF(C2308:E2325,$B2339&amp;" ~*")&gt;0)+(COUNTIF(G2308:I2325,$B2339)+COUNTIF(G2308:I2325,$B2339&amp;" ~*")&gt;0)+(COUNTIF(K2308:M2325,$B2339)+COUNTIF(K2308:M2325,$B2339&amp;" ~*")&gt;0)+(COUNTIF(O2308:Q2325,$B2339)+COUNTIF(O2308:Q2325,$B2339&amp;" ~*")&gt;0)+(COUNTIF(S2308:U2325,$B2339)+COUNTIF(S2308:U2325,$B2339&amp;" ~*")&gt;0)+(COUNTIF(W2308:W2325,$B2339)+COUNTIF(W2308:W2325,$B2339&amp;" ~*")&gt;0)+(COUNTIF(Y2308:Y2325,$B2339)+COUNTIF(Y2308:Y2325,$B2339&amp;" ~*")&gt;0))</f>
        <v/>
      </c>
      <c r="AC2339" s="36">
        <f>IF($B2339="","",(IFERROR(INDEX(Setup!$G$33:$G$40,MATCH(C2339,Setup!$B$33:$B$40,0)),0)=1)*(COUNTIF(C2308:E2325,$B2339)+COUNTIF(C2308:E2325,$B2339&amp;" ~*")&gt;0)+(IFERROR(INDEX(Setup!$G$33:$G$40,MATCH(G2339,Setup!$B$33:$B$40,0)),0)=1)*(COUNTIF(G2308:I2325,$B2339)+COUNTIF(G2308:I2325,$B2339&amp;" ~*")&gt;0)+(IFERROR(INDEX(Setup!$G$33:$G$40,MATCH(K2339,Setup!$B$33:$B$40,0)),0)=1)*(COUNTIF(K2308:M2325,$B2339)+COUNTIF(K2308:M2325,$B2339&amp;" ~*")&gt;0)+(IFERROR(INDEX(Setup!$G$33:$G$40,MATCH(O2339,Setup!$B$33:$B$40,0)),0)=1)*(COUNTIF(O2308:Q2325,$B2339)+COUNTIF(O2308:Q2325,$B2339&amp;" ~*")&gt;0)+(IFERROR(INDEX(Setup!$G$33:$G$40,MATCH(S2339,Setup!$B$33:$B$40,0)),0)=1)*(COUNTIF(S2308:U2325,$B2339)+COUNTIF(S2308:U2325,$B2339&amp;" ~*")&gt;0)+(IFERROR(INDEX(Setup!$G$33:$G$40,MATCH(W2339,Setup!$B$33:$B$40,0)),0)=1)*(COUNTIF(W2308:W2325,$B2339)+COUNTIF(W2308:W2325,$B2339&amp;" ~*")&gt;0)+(IFERROR(INDEX(Setup!$G$33:$G$40,MATCH(Y2339,Setup!$B$33:$B$40,0)),0)=1)*(COUNTIF(Y2308:Y2325,$B2339)+COUNTIF(Y2308:Y2325,$B2339&amp;" ~*")&gt;0))</f>
        <v/>
      </c>
    </row>
    <row r="2340" ht="15" customHeight="1">
      <c r="A2340" t="n">
        <v>47</v>
      </c>
      <c r="B2340" s="37">
        <f>IF(Setup!$B$19="","",Setup!$B$19)</f>
        <v/>
      </c>
      <c r="C2340" s="102" t="n"/>
      <c r="D2340" s="103" t="n"/>
      <c r="E2340" s="103" t="n"/>
      <c r="F2340" s="104" t="n"/>
      <c r="G2340" s="102" t="n"/>
      <c r="H2340" s="103" t="n"/>
      <c r="I2340" s="103" t="n"/>
      <c r="J2340" s="104" t="n"/>
      <c r="K2340" s="102" t="n"/>
      <c r="L2340" s="103" t="n"/>
      <c r="M2340" s="103" t="n"/>
      <c r="N2340" s="104" t="n"/>
      <c r="O2340" s="102" t="n"/>
      <c r="P2340" s="103" t="n"/>
      <c r="Q2340" s="103" t="n"/>
      <c r="R2340" s="104" t="n"/>
      <c r="S2340" s="102" t="n"/>
      <c r="T2340" s="103" t="n"/>
      <c r="U2340" s="103" t="n"/>
      <c r="V2340" s="104" t="n"/>
      <c r="W2340" s="102" t="n"/>
      <c r="X2340" s="104" t="n"/>
      <c r="Y2340" s="102" t="n"/>
      <c r="Z2340" s="104" t="n"/>
      <c r="AB2340" s="105">
        <f>IF($B2340="","",(COUNTIF(C2308:E2325,$B2340)+COUNTIF(C2308:E2325,$B2340&amp;" ~*")&gt;0)+(COUNTIF(G2308:I2325,$B2340)+COUNTIF(G2308:I2325,$B2340&amp;" ~*")&gt;0)+(COUNTIF(K2308:M2325,$B2340)+COUNTIF(K2308:M2325,$B2340&amp;" ~*")&gt;0)+(COUNTIF(O2308:Q2325,$B2340)+COUNTIF(O2308:Q2325,$B2340&amp;" ~*")&gt;0)+(COUNTIF(S2308:U2325,$B2340)+COUNTIF(S2308:U2325,$B2340&amp;" ~*")&gt;0)+(COUNTIF(W2308:W2325,$B2340)+COUNTIF(W2308:W2325,$B2340&amp;" ~*")&gt;0)+(COUNTIF(Y2308:Y2325,$B2340)+COUNTIF(Y2308:Y2325,$B2340&amp;" ~*")&gt;0))</f>
        <v/>
      </c>
      <c r="AC2340" s="38">
        <f>IF($B2340="","",(IFERROR(INDEX(Setup!$G$33:$G$40,MATCH(C2340,Setup!$B$33:$B$40,0)),0)=1)*(COUNTIF(C2308:E2325,$B2340)+COUNTIF(C2308:E2325,$B2340&amp;" ~*")&gt;0)+(IFERROR(INDEX(Setup!$G$33:$G$40,MATCH(G2340,Setup!$B$33:$B$40,0)),0)=1)*(COUNTIF(G2308:I2325,$B2340)+COUNTIF(G2308:I2325,$B2340&amp;" ~*")&gt;0)+(IFERROR(INDEX(Setup!$G$33:$G$40,MATCH(K2340,Setup!$B$33:$B$40,0)),0)=1)*(COUNTIF(K2308:M2325,$B2340)+COUNTIF(K2308:M2325,$B2340&amp;" ~*")&gt;0)+(IFERROR(INDEX(Setup!$G$33:$G$40,MATCH(O2340,Setup!$B$33:$B$40,0)),0)=1)*(COUNTIF(O2308:Q2325,$B2340)+COUNTIF(O2308:Q2325,$B2340&amp;" ~*")&gt;0)+(IFERROR(INDEX(Setup!$G$33:$G$40,MATCH(S2340,Setup!$B$33:$B$40,0)),0)=1)*(COUNTIF(S2308:U2325,$B2340)+COUNTIF(S2308:U2325,$B2340&amp;" ~*")&gt;0)+(IFERROR(INDEX(Setup!$G$33:$G$40,MATCH(W2340,Setup!$B$33:$B$40,0)),0)=1)*(COUNTIF(W2308:W2325,$B2340)+COUNTIF(W2308:W2325,$B2340&amp;" ~*")&gt;0)+(IFERROR(INDEX(Setup!$G$33:$G$40,MATCH(Y2340,Setup!$B$33:$B$40,0)),0)=1)*(COUNTIF(Y2308:Y2325,$B2340)+COUNTIF(Y2308:Y2325,$B2340&amp;" ~*")&gt;0))</f>
        <v/>
      </c>
    </row>
    <row r="2341" ht="15" customHeight="1">
      <c r="A2341" t="n">
        <v>47</v>
      </c>
      <c r="B2341" s="35">
        <f>IF(Setup!$B$20="","",Setup!$B$20)</f>
        <v/>
      </c>
      <c r="C2341" s="98" t="n"/>
      <c r="D2341" s="99" t="n"/>
      <c r="E2341" s="99" t="n"/>
      <c r="F2341" s="100" t="n"/>
      <c r="G2341" s="98" t="n"/>
      <c r="H2341" s="99" t="n"/>
      <c r="I2341" s="99" t="n"/>
      <c r="J2341" s="100" t="n"/>
      <c r="K2341" s="98" t="n"/>
      <c r="L2341" s="99" t="n"/>
      <c r="M2341" s="99" t="n"/>
      <c r="N2341" s="100" t="n"/>
      <c r="O2341" s="98" t="n"/>
      <c r="P2341" s="99" t="n"/>
      <c r="Q2341" s="99" t="n"/>
      <c r="R2341" s="100" t="n"/>
      <c r="S2341" s="98" t="n"/>
      <c r="T2341" s="99" t="n"/>
      <c r="U2341" s="99" t="n"/>
      <c r="V2341" s="100" t="n"/>
      <c r="W2341" s="98" t="n"/>
      <c r="X2341" s="100" t="n"/>
      <c r="Y2341" s="98" t="n"/>
      <c r="Z2341" s="100" t="n"/>
      <c r="AB2341" s="101">
        <f>IF($B2341="","",(COUNTIF(C2308:E2325,$B2341)+COUNTIF(C2308:E2325,$B2341&amp;" ~*")&gt;0)+(COUNTIF(G2308:I2325,$B2341)+COUNTIF(G2308:I2325,$B2341&amp;" ~*")&gt;0)+(COUNTIF(K2308:M2325,$B2341)+COUNTIF(K2308:M2325,$B2341&amp;" ~*")&gt;0)+(COUNTIF(O2308:Q2325,$B2341)+COUNTIF(O2308:Q2325,$B2341&amp;" ~*")&gt;0)+(COUNTIF(S2308:U2325,$B2341)+COUNTIF(S2308:U2325,$B2341&amp;" ~*")&gt;0)+(COUNTIF(W2308:W2325,$B2341)+COUNTIF(W2308:W2325,$B2341&amp;" ~*")&gt;0)+(COUNTIF(Y2308:Y2325,$B2341)+COUNTIF(Y2308:Y2325,$B2341&amp;" ~*")&gt;0))</f>
        <v/>
      </c>
      <c r="AC2341" s="36">
        <f>IF($B2341="","",(IFERROR(INDEX(Setup!$G$33:$G$40,MATCH(C2341,Setup!$B$33:$B$40,0)),0)=1)*(COUNTIF(C2308:E2325,$B2341)+COUNTIF(C2308:E2325,$B2341&amp;" ~*")&gt;0)+(IFERROR(INDEX(Setup!$G$33:$G$40,MATCH(G2341,Setup!$B$33:$B$40,0)),0)=1)*(COUNTIF(G2308:I2325,$B2341)+COUNTIF(G2308:I2325,$B2341&amp;" ~*")&gt;0)+(IFERROR(INDEX(Setup!$G$33:$G$40,MATCH(K2341,Setup!$B$33:$B$40,0)),0)=1)*(COUNTIF(K2308:M2325,$B2341)+COUNTIF(K2308:M2325,$B2341&amp;" ~*")&gt;0)+(IFERROR(INDEX(Setup!$G$33:$G$40,MATCH(O2341,Setup!$B$33:$B$40,0)),0)=1)*(COUNTIF(O2308:Q2325,$B2341)+COUNTIF(O2308:Q2325,$B2341&amp;" ~*")&gt;0)+(IFERROR(INDEX(Setup!$G$33:$G$40,MATCH(S2341,Setup!$B$33:$B$40,0)),0)=1)*(COUNTIF(S2308:U2325,$B2341)+COUNTIF(S2308:U2325,$B2341&amp;" ~*")&gt;0)+(IFERROR(INDEX(Setup!$G$33:$G$40,MATCH(W2341,Setup!$B$33:$B$40,0)),0)=1)*(COUNTIF(W2308:W2325,$B2341)+COUNTIF(W2308:W2325,$B2341&amp;" ~*")&gt;0)+(IFERROR(INDEX(Setup!$G$33:$G$40,MATCH(Y2341,Setup!$B$33:$B$40,0)),0)=1)*(COUNTIF(Y2308:Y2325,$B2341)+COUNTIF(Y2308:Y2325,$B2341&amp;" ~*")&gt;0))</f>
        <v/>
      </c>
    </row>
    <row r="2342" ht="15" customHeight="1">
      <c r="A2342" t="n">
        <v>47</v>
      </c>
      <c r="B2342" s="37">
        <f>IF(Setup!$B$21="","",Setup!$B$21)</f>
        <v/>
      </c>
      <c r="C2342" s="102" t="n"/>
      <c r="D2342" s="103" t="n"/>
      <c r="E2342" s="103" t="n"/>
      <c r="F2342" s="104" t="n"/>
      <c r="G2342" s="102" t="n"/>
      <c r="H2342" s="103" t="n"/>
      <c r="I2342" s="103" t="n"/>
      <c r="J2342" s="104" t="n"/>
      <c r="K2342" s="102" t="n"/>
      <c r="L2342" s="103" t="n"/>
      <c r="M2342" s="103" t="n"/>
      <c r="N2342" s="104" t="n"/>
      <c r="O2342" s="102" t="n"/>
      <c r="P2342" s="103" t="n"/>
      <c r="Q2342" s="103" t="n"/>
      <c r="R2342" s="104" t="n"/>
      <c r="S2342" s="102" t="n"/>
      <c r="T2342" s="103" t="n"/>
      <c r="U2342" s="103" t="n"/>
      <c r="V2342" s="104" t="n"/>
      <c r="W2342" s="102" t="n"/>
      <c r="X2342" s="104" t="n"/>
      <c r="Y2342" s="102" t="n"/>
      <c r="Z2342" s="104" t="n"/>
      <c r="AB2342" s="105">
        <f>IF($B2342="","",(COUNTIF(C2308:E2325,$B2342)+COUNTIF(C2308:E2325,$B2342&amp;" ~*")&gt;0)+(COUNTIF(G2308:I2325,$B2342)+COUNTIF(G2308:I2325,$B2342&amp;" ~*")&gt;0)+(COUNTIF(K2308:M2325,$B2342)+COUNTIF(K2308:M2325,$B2342&amp;" ~*")&gt;0)+(COUNTIF(O2308:Q2325,$B2342)+COUNTIF(O2308:Q2325,$B2342&amp;" ~*")&gt;0)+(COUNTIF(S2308:U2325,$B2342)+COUNTIF(S2308:U2325,$B2342&amp;" ~*")&gt;0)+(COUNTIF(W2308:W2325,$B2342)+COUNTIF(W2308:W2325,$B2342&amp;" ~*")&gt;0)+(COUNTIF(Y2308:Y2325,$B2342)+COUNTIF(Y2308:Y2325,$B2342&amp;" ~*")&gt;0))</f>
        <v/>
      </c>
      <c r="AC2342" s="38">
        <f>IF($B2342="","",(IFERROR(INDEX(Setup!$G$33:$G$40,MATCH(C2342,Setup!$B$33:$B$40,0)),0)=1)*(COUNTIF(C2308:E2325,$B2342)+COUNTIF(C2308:E2325,$B2342&amp;" ~*")&gt;0)+(IFERROR(INDEX(Setup!$G$33:$G$40,MATCH(G2342,Setup!$B$33:$B$40,0)),0)=1)*(COUNTIF(G2308:I2325,$B2342)+COUNTIF(G2308:I2325,$B2342&amp;" ~*")&gt;0)+(IFERROR(INDEX(Setup!$G$33:$G$40,MATCH(K2342,Setup!$B$33:$B$40,0)),0)=1)*(COUNTIF(K2308:M2325,$B2342)+COUNTIF(K2308:M2325,$B2342&amp;" ~*")&gt;0)+(IFERROR(INDEX(Setup!$G$33:$G$40,MATCH(O2342,Setup!$B$33:$B$40,0)),0)=1)*(COUNTIF(O2308:Q2325,$B2342)+COUNTIF(O2308:Q2325,$B2342&amp;" ~*")&gt;0)+(IFERROR(INDEX(Setup!$G$33:$G$40,MATCH(S2342,Setup!$B$33:$B$40,0)),0)=1)*(COUNTIF(S2308:U2325,$B2342)+COUNTIF(S2308:U2325,$B2342&amp;" ~*")&gt;0)+(IFERROR(INDEX(Setup!$G$33:$G$40,MATCH(W2342,Setup!$B$33:$B$40,0)),0)=1)*(COUNTIF(W2308:W2325,$B2342)+COUNTIF(W2308:W2325,$B2342&amp;" ~*")&gt;0)+(IFERROR(INDEX(Setup!$G$33:$G$40,MATCH(Y2342,Setup!$B$33:$B$40,0)),0)=1)*(COUNTIF(Y2308:Y2325,$B2342)+COUNTIF(Y2308:Y2325,$B2342&amp;" ~*")&gt;0))</f>
        <v/>
      </c>
    </row>
    <row r="2343" ht="15" customHeight="1">
      <c r="A2343" t="n">
        <v>47</v>
      </c>
      <c r="B2343" s="35">
        <f>IF(Setup!$B$22="","",Setup!$B$22)</f>
        <v/>
      </c>
      <c r="C2343" s="98" t="n"/>
      <c r="D2343" s="99" t="n"/>
      <c r="E2343" s="99" t="n"/>
      <c r="F2343" s="100" t="n"/>
      <c r="G2343" s="98" t="n"/>
      <c r="H2343" s="99" t="n"/>
      <c r="I2343" s="99" t="n"/>
      <c r="J2343" s="100" t="n"/>
      <c r="K2343" s="98" t="n"/>
      <c r="L2343" s="99" t="n"/>
      <c r="M2343" s="99" t="n"/>
      <c r="N2343" s="100" t="n"/>
      <c r="O2343" s="98" t="n"/>
      <c r="P2343" s="99" t="n"/>
      <c r="Q2343" s="99" t="n"/>
      <c r="R2343" s="100" t="n"/>
      <c r="S2343" s="98" t="n"/>
      <c r="T2343" s="99" t="n"/>
      <c r="U2343" s="99" t="n"/>
      <c r="V2343" s="100" t="n"/>
      <c r="W2343" s="98" t="n"/>
      <c r="X2343" s="100" t="n"/>
      <c r="Y2343" s="98" t="n"/>
      <c r="Z2343" s="100" t="n"/>
      <c r="AB2343" s="101">
        <f>IF($B2343="","",(COUNTIF(C2308:E2325,$B2343)+COUNTIF(C2308:E2325,$B2343&amp;" ~*")&gt;0)+(COUNTIF(G2308:I2325,$B2343)+COUNTIF(G2308:I2325,$B2343&amp;" ~*")&gt;0)+(COUNTIF(K2308:M2325,$B2343)+COUNTIF(K2308:M2325,$B2343&amp;" ~*")&gt;0)+(COUNTIF(O2308:Q2325,$B2343)+COUNTIF(O2308:Q2325,$B2343&amp;" ~*")&gt;0)+(COUNTIF(S2308:U2325,$B2343)+COUNTIF(S2308:U2325,$B2343&amp;" ~*")&gt;0)+(COUNTIF(W2308:W2325,$B2343)+COUNTIF(W2308:W2325,$B2343&amp;" ~*")&gt;0)+(COUNTIF(Y2308:Y2325,$B2343)+COUNTIF(Y2308:Y2325,$B2343&amp;" ~*")&gt;0))</f>
        <v/>
      </c>
      <c r="AC2343" s="36">
        <f>IF($B2343="","",(IFERROR(INDEX(Setup!$G$33:$G$40,MATCH(C2343,Setup!$B$33:$B$40,0)),0)=1)*(COUNTIF(C2308:E2325,$B2343)+COUNTIF(C2308:E2325,$B2343&amp;" ~*")&gt;0)+(IFERROR(INDEX(Setup!$G$33:$G$40,MATCH(G2343,Setup!$B$33:$B$40,0)),0)=1)*(COUNTIF(G2308:I2325,$B2343)+COUNTIF(G2308:I2325,$B2343&amp;" ~*")&gt;0)+(IFERROR(INDEX(Setup!$G$33:$G$40,MATCH(K2343,Setup!$B$33:$B$40,0)),0)=1)*(COUNTIF(K2308:M2325,$B2343)+COUNTIF(K2308:M2325,$B2343&amp;" ~*")&gt;0)+(IFERROR(INDEX(Setup!$G$33:$G$40,MATCH(O2343,Setup!$B$33:$B$40,0)),0)=1)*(COUNTIF(O2308:Q2325,$B2343)+COUNTIF(O2308:Q2325,$B2343&amp;" ~*")&gt;0)+(IFERROR(INDEX(Setup!$G$33:$G$40,MATCH(S2343,Setup!$B$33:$B$40,0)),0)=1)*(COUNTIF(S2308:U2325,$B2343)+COUNTIF(S2308:U2325,$B2343&amp;" ~*")&gt;0)+(IFERROR(INDEX(Setup!$G$33:$G$40,MATCH(W2343,Setup!$B$33:$B$40,0)),0)=1)*(COUNTIF(W2308:W2325,$B2343)+COUNTIF(W2308:W2325,$B2343&amp;" ~*")&gt;0)+(IFERROR(INDEX(Setup!$G$33:$G$40,MATCH(Y2343,Setup!$B$33:$B$40,0)),0)=1)*(COUNTIF(Y2308:Y2325,$B2343)+COUNTIF(Y2308:Y2325,$B2343&amp;" ~*")&gt;0))</f>
        <v/>
      </c>
    </row>
    <row r="2344" ht="15" customHeight="1">
      <c r="A2344" t="n">
        <v>47</v>
      </c>
      <c r="B2344" s="37">
        <f>IF(Setup!$B$23="","",Setup!$B$23)</f>
        <v/>
      </c>
      <c r="C2344" s="102" t="n"/>
      <c r="D2344" s="103" t="n"/>
      <c r="E2344" s="103" t="n"/>
      <c r="F2344" s="104" t="n"/>
      <c r="G2344" s="102" t="n"/>
      <c r="H2344" s="103" t="n"/>
      <c r="I2344" s="103" t="n"/>
      <c r="J2344" s="104" t="n"/>
      <c r="K2344" s="102" t="n"/>
      <c r="L2344" s="103" t="n"/>
      <c r="M2344" s="103" t="n"/>
      <c r="N2344" s="104" t="n"/>
      <c r="O2344" s="102" t="n"/>
      <c r="P2344" s="103" t="n"/>
      <c r="Q2344" s="103" t="n"/>
      <c r="R2344" s="104" t="n"/>
      <c r="S2344" s="102" t="n"/>
      <c r="T2344" s="103" t="n"/>
      <c r="U2344" s="103" t="n"/>
      <c r="V2344" s="104" t="n"/>
      <c r="W2344" s="102" t="n"/>
      <c r="X2344" s="104" t="n"/>
      <c r="Y2344" s="102" t="n"/>
      <c r="Z2344" s="104" t="n"/>
      <c r="AB2344" s="105">
        <f>IF($B2344="","",(COUNTIF(C2308:E2325,$B2344)+COUNTIF(C2308:E2325,$B2344&amp;" ~*")&gt;0)+(COUNTIF(G2308:I2325,$B2344)+COUNTIF(G2308:I2325,$B2344&amp;" ~*")&gt;0)+(COUNTIF(K2308:M2325,$B2344)+COUNTIF(K2308:M2325,$B2344&amp;" ~*")&gt;0)+(COUNTIF(O2308:Q2325,$B2344)+COUNTIF(O2308:Q2325,$B2344&amp;" ~*")&gt;0)+(COUNTIF(S2308:U2325,$B2344)+COUNTIF(S2308:U2325,$B2344&amp;" ~*")&gt;0)+(COUNTIF(W2308:W2325,$B2344)+COUNTIF(W2308:W2325,$B2344&amp;" ~*")&gt;0)+(COUNTIF(Y2308:Y2325,$B2344)+COUNTIF(Y2308:Y2325,$B2344&amp;" ~*")&gt;0))</f>
        <v/>
      </c>
      <c r="AC2344" s="38">
        <f>IF($B2344="","",(IFERROR(INDEX(Setup!$G$33:$G$40,MATCH(C2344,Setup!$B$33:$B$40,0)),0)=1)*(COUNTIF(C2308:E2325,$B2344)+COUNTIF(C2308:E2325,$B2344&amp;" ~*")&gt;0)+(IFERROR(INDEX(Setup!$G$33:$G$40,MATCH(G2344,Setup!$B$33:$B$40,0)),0)=1)*(COUNTIF(G2308:I2325,$B2344)+COUNTIF(G2308:I2325,$B2344&amp;" ~*")&gt;0)+(IFERROR(INDEX(Setup!$G$33:$G$40,MATCH(K2344,Setup!$B$33:$B$40,0)),0)=1)*(COUNTIF(K2308:M2325,$B2344)+COUNTIF(K2308:M2325,$B2344&amp;" ~*")&gt;0)+(IFERROR(INDEX(Setup!$G$33:$G$40,MATCH(O2344,Setup!$B$33:$B$40,0)),0)=1)*(COUNTIF(O2308:Q2325,$B2344)+COUNTIF(O2308:Q2325,$B2344&amp;" ~*")&gt;0)+(IFERROR(INDEX(Setup!$G$33:$G$40,MATCH(S2344,Setup!$B$33:$B$40,0)),0)=1)*(COUNTIF(S2308:U2325,$B2344)+COUNTIF(S2308:U2325,$B2344&amp;" ~*")&gt;0)+(IFERROR(INDEX(Setup!$G$33:$G$40,MATCH(W2344,Setup!$B$33:$B$40,0)),0)=1)*(COUNTIF(W2308:W2325,$B2344)+COUNTIF(W2308:W2325,$B2344&amp;" ~*")&gt;0)+(IFERROR(INDEX(Setup!$G$33:$G$40,MATCH(Y2344,Setup!$B$33:$B$40,0)),0)=1)*(COUNTIF(Y2308:Y2325,$B2344)+COUNTIF(Y2308:Y2325,$B2344&amp;" ~*")&gt;0))</f>
        <v/>
      </c>
    </row>
    <row r="2345" ht="15" customHeight="1">
      <c r="A2345" t="n">
        <v>47</v>
      </c>
      <c r="B2345" s="35">
        <f>IF(Setup!$B$24="","",Setup!$B$24)</f>
        <v/>
      </c>
      <c r="C2345" s="98" t="n"/>
      <c r="D2345" s="99" t="n"/>
      <c r="E2345" s="99" t="n"/>
      <c r="F2345" s="100" t="n"/>
      <c r="G2345" s="98" t="n"/>
      <c r="H2345" s="99" t="n"/>
      <c r="I2345" s="99" t="n"/>
      <c r="J2345" s="100" t="n"/>
      <c r="K2345" s="98" t="n"/>
      <c r="L2345" s="99" t="n"/>
      <c r="M2345" s="99" t="n"/>
      <c r="N2345" s="100" t="n"/>
      <c r="O2345" s="98" t="n"/>
      <c r="P2345" s="99" t="n"/>
      <c r="Q2345" s="99" t="n"/>
      <c r="R2345" s="100" t="n"/>
      <c r="S2345" s="98" t="n"/>
      <c r="T2345" s="99" t="n"/>
      <c r="U2345" s="99" t="n"/>
      <c r="V2345" s="100" t="n"/>
      <c r="W2345" s="98" t="n"/>
      <c r="X2345" s="100" t="n"/>
      <c r="Y2345" s="98" t="n"/>
      <c r="Z2345" s="100" t="n"/>
      <c r="AB2345" s="101">
        <f>IF($B2345="","",(COUNTIF(C2308:E2325,$B2345)+COUNTIF(C2308:E2325,$B2345&amp;" ~*")&gt;0)+(COUNTIF(G2308:I2325,$B2345)+COUNTIF(G2308:I2325,$B2345&amp;" ~*")&gt;0)+(COUNTIF(K2308:M2325,$B2345)+COUNTIF(K2308:M2325,$B2345&amp;" ~*")&gt;0)+(COUNTIF(O2308:Q2325,$B2345)+COUNTIF(O2308:Q2325,$B2345&amp;" ~*")&gt;0)+(COUNTIF(S2308:U2325,$B2345)+COUNTIF(S2308:U2325,$B2345&amp;" ~*")&gt;0)+(COUNTIF(W2308:W2325,$B2345)+COUNTIF(W2308:W2325,$B2345&amp;" ~*")&gt;0)+(COUNTIF(Y2308:Y2325,$B2345)+COUNTIF(Y2308:Y2325,$B2345&amp;" ~*")&gt;0))</f>
        <v/>
      </c>
      <c r="AC2345" s="36">
        <f>IF($B2345="","",(IFERROR(INDEX(Setup!$G$33:$G$40,MATCH(C2345,Setup!$B$33:$B$40,0)),0)=1)*(COUNTIF(C2308:E2325,$B2345)+COUNTIF(C2308:E2325,$B2345&amp;" ~*")&gt;0)+(IFERROR(INDEX(Setup!$G$33:$G$40,MATCH(G2345,Setup!$B$33:$B$40,0)),0)=1)*(COUNTIF(G2308:I2325,$B2345)+COUNTIF(G2308:I2325,$B2345&amp;" ~*")&gt;0)+(IFERROR(INDEX(Setup!$G$33:$G$40,MATCH(K2345,Setup!$B$33:$B$40,0)),0)=1)*(COUNTIF(K2308:M2325,$B2345)+COUNTIF(K2308:M2325,$B2345&amp;" ~*")&gt;0)+(IFERROR(INDEX(Setup!$G$33:$G$40,MATCH(O2345,Setup!$B$33:$B$40,0)),0)=1)*(COUNTIF(O2308:Q2325,$B2345)+COUNTIF(O2308:Q2325,$B2345&amp;" ~*")&gt;0)+(IFERROR(INDEX(Setup!$G$33:$G$40,MATCH(S2345,Setup!$B$33:$B$40,0)),0)=1)*(COUNTIF(S2308:U2325,$B2345)+COUNTIF(S2308:U2325,$B2345&amp;" ~*")&gt;0)+(IFERROR(INDEX(Setup!$G$33:$G$40,MATCH(W2345,Setup!$B$33:$B$40,0)),0)=1)*(COUNTIF(W2308:W2325,$B2345)+COUNTIF(W2308:W2325,$B2345&amp;" ~*")&gt;0)+(IFERROR(INDEX(Setup!$G$33:$G$40,MATCH(Y2345,Setup!$B$33:$B$40,0)),0)=1)*(COUNTIF(Y2308:Y2325,$B2345)+COUNTIF(Y2308:Y2325,$B2345&amp;" ~*")&gt;0))</f>
        <v/>
      </c>
    </row>
    <row r="2346" ht="15" customHeight="1">
      <c r="A2346" t="n">
        <v>47</v>
      </c>
      <c r="B2346" s="37">
        <f>IF(Setup!$B$25="","",Setup!$B$25)</f>
        <v/>
      </c>
      <c r="C2346" s="102" t="n"/>
      <c r="D2346" s="103" t="n"/>
      <c r="E2346" s="103" t="n"/>
      <c r="F2346" s="104" t="n"/>
      <c r="G2346" s="102" t="n"/>
      <c r="H2346" s="103" t="n"/>
      <c r="I2346" s="103" t="n"/>
      <c r="J2346" s="104" t="n"/>
      <c r="K2346" s="102" t="n"/>
      <c r="L2346" s="103" t="n"/>
      <c r="M2346" s="103" t="n"/>
      <c r="N2346" s="104" t="n"/>
      <c r="O2346" s="102" t="n"/>
      <c r="P2346" s="103" t="n"/>
      <c r="Q2346" s="103" t="n"/>
      <c r="R2346" s="104" t="n"/>
      <c r="S2346" s="102" t="n"/>
      <c r="T2346" s="103" t="n"/>
      <c r="U2346" s="103" t="n"/>
      <c r="V2346" s="104" t="n"/>
      <c r="W2346" s="102" t="n"/>
      <c r="X2346" s="104" t="n"/>
      <c r="Y2346" s="102" t="n"/>
      <c r="Z2346" s="104" t="n"/>
      <c r="AB2346" s="105">
        <f>IF($B2346="","",(COUNTIF(C2308:E2325,$B2346)+COUNTIF(C2308:E2325,$B2346&amp;" ~*")&gt;0)+(COUNTIF(G2308:I2325,$B2346)+COUNTIF(G2308:I2325,$B2346&amp;" ~*")&gt;0)+(COUNTIF(K2308:M2325,$B2346)+COUNTIF(K2308:M2325,$B2346&amp;" ~*")&gt;0)+(COUNTIF(O2308:Q2325,$B2346)+COUNTIF(O2308:Q2325,$B2346&amp;" ~*")&gt;0)+(COUNTIF(S2308:U2325,$B2346)+COUNTIF(S2308:U2325,$B2346&amp;" ~*")&gt;0)+(COUNTIF(W2308:W2325,$B2346)+COUNTIF(W2308:W2325,$B2346&amp;" ~*")&gt;0)+(COUNTIF(Y2308:Y2325,$B2346)+COUNTIF(Y2308:Y2325,$B2346&amp;" ~*")&gt;0))</f>
        <v/>
      </c>
      <c r="AC2346" s="38">
        <f>IF($B2346="","",(IFERROR(INDEX(Setup!$G$33:$G$40,MATCH(C2346,Setup!$B$33:$B$40,0)),0)=1)*(COUNTIF(C2308:E2325,$B2346)+COUNTIF(C2308:E2325,$B2346&amp;" ~*")&gt;0)+(IFERROR(INDEX(Setup!$G$33:$G$40,MATCH(G2346,Setup!$B$33:$B$40,0)),0)=1)*(COUNTIF(G2308:I2325,$B2346)+COUNTIF(G2308:I2325,$B2346&amp;" ~*")&gt;0)+(IFERROR(INDEX(Setup!$G$33:$G$40,MATCH(K2346,Setup!$B$33:$B$40,0)),0)=1)*(COUNTIF(K2308:M2325,$B2346)+COUNTIF(K2308:M2325,$B2346&amp;" ~*")&gt;0)+(IFERROR(INDEX(Setup!$G$33:$G$40,MATCH(O2346,Setup!$B$33:$B$40,0)),0)=1)*(COUNTIF(O2308:Q2325,$B2346)+COUNTIF(O2308:Q2325,$B2346&amp;" ~*")&gt;0)+(IFERROR(INDEX(Setup!$G$33:$G$40,MATCH(S2346,Setup!$B$33:$B$40,0)),0)=1)*(COUNTIF(S2308:U2325,$B2346)+COUNTIF(S2308:U2325,$B2346&amp;" ~*")&gt;0)+(IFERROR(INDEX(Setup!$G$33:$G$40,MATCH(W2346,Setup!$B$33:$B$40,0)),0)=1)*(COUNTIF(W2308:W2325,$B2346)+COUNTIF(W2308:W2325,$B2346&amp;" ~*")&gt;0)+(IFERROR(INDEX(Setup!$G$33:$G$40,MATCH(Y2346,Setup!$B$33:$B$40,0)),0)=1)*(COUNTIF(Y2308:Y2325,$B2346)+COUNTIF(Y2308:Y2325,$B2346&amp;" ~*")&gt;0))</f>
        <v/>
      </c>
    </row>
    <row r="2347" ht="15" customHeight="1">
      <c r="A2347" t="n">
        <v>47</v>
      </c>
      <c r="B2347" s="35">
        <f>IF(Setup!$B$26="","",Setup!$B$26)</f>
        <v/>
      </c>
      <c r="C2347" s="98" t="n"/>
      <c r="D2347" s="99" t="n"/>
      <c r="E2347" s="99" t="n"/>
      <c r="F2347" s="100" t="n"/>
      <c r="G2347" s="98" t="n"/>
      <c r="H2347" s="99" t="n"/>
      <c r="I2347" s="99" t="n"/>
      <c r="J2347" s="100" t="n"/>
      <c r="K2347" s="98" t="n"/>
      <c r="L2347" s="99" t="n"/>
      <c r="M2347" s="99" t="n"/>
      <c r="N2347" s="100" t="n"/>
      <c r="O2347" s="98" t="n"/>
      <c r="P2347" s="99" t="n"/>
      <c r="Q2347" s="99" t="n"/>
      <c r="R2347" s="100" t="n"/>
      <c r="S2347" s="98" t="n"/>
      <c r="T2347" s="99" t="n"/>
      <c r="U2347" s="99" t="n"/>
      <c r="V2347" s="100" t="n"/>
      <c r="W2347" s="98" t="n"/>
      <c r="X2347" s="100" t="n"/>
      <c r="Y2347" s="98" t="n"/>
      <c r="Z2347" s="100" t="n"/>
      <c r="AB2347" s="101">
        <f>IF($B2347="","",(COUNTIF(C2308:E2325,$B2347)+COUNTIF(C2308:E2325,$B2347&amp;" ~*")&gt;0)+(COUNTIF(G2308:I2325,$B2347)+COUNTIF(G2308:I2325,$B2347&amp;" ~*")&gt;0)+(COUNTIF(K2308:M2325,$B2347)+COUNTIF(K2308:M2325,$B2347&amp;" ~*")&gt;0)+(COUNTIF(O2308:Q2325,$B2347)+COUNTIF(O2308:Q2325,$B2347&amp;" ~*")&gt;0)+(COUNTIF(S2308:U2325,$B2347)+COUNTIF(S2308:U2325,$B2347&amp;" ~*")&gt;0)+(COUNTIF(W2308:W2325,$B2347)+COUNTIF(W2308:W2325,$B2347&amp;" ~*")&gt;0)+(COUNTIF(Y2308:Y2325,$B2347)+COUNTIF(Y2308:Y2325,$B2347&amp;" ~*")&gt;0))</f>
        <v/>
      </c>
      <c r="AC2347" s="36">
        <f>IF($B2347="","",(IFERROR(INDEX(Setup!$G$33:$G$40,MATCH(C2347,Setup!$B$33:$B$40,0)),0)=1)*(COUNTIF(C2308:E2325,$B2347)+COUNTIF(C2308:E2325,$B2347&amp;" ~*")&gt;0)+(IFERROR(INDEX(Setup!$G$33:$G$40,MATCH(G2347,Setup!$B$33:$B$40,0)),0)=1)*(COUNTIF(G2308:I2325,$B2347)+COUNTIF(G2308:I2325,$B2347&amp;" ~*")&gt;0)+(IFERROR(INDEX(Setup!$G$33:$G$40,MATCH(K2347,Setup!$B$33:$B$40,0)),0)=1)*(COUNTIF(K2308:M2325,$B2347)+COUNTIF(K2308:M2325,$B2347&amp;" ~*")&gt;0)+(IFERROR(INDEX(Setup!$G$33:$G$40,MATCH(O2347,Setup!$B$33:$B$40,0)),0)=1)*(COUNTIF(O2308:Q2325,$B2347)+COUNTIF(O2308:Q2325,$B2347&amp;" ~*")&gt;0)+(IFERROR(INDEX(Setup!$G$33:$G$40,MATCH(S2347,Setup!$B$33:$B$40,0)),0)=1)*(COUNTIF(S2308:U2325,$B2347)+COUNTIF(S2308:U2325,$B2347&amp;" ~*")&gt;0)+(IFERROR(INDEX(Setup!$G$33:$G$40,MATCH(W2347,Setup!$B$33:$B$40,0)),0)=1)*(COUNTIF(W2308:W2325,$B2347)+COUNTIF(W2308:W2325,$B2347&amp;" ~*")&gt;0)+(IFERROR(INDEX(Setup!$G$33:$G$40,MATCH(Y2347,Setup!$B$33:$B$40,0)),0)=1)*(COUNTIF(Y2308:Y2325,$B2347)+COUNTIF(Y2308:Y2325,$B2347&amp;" ~*")&gt;0))</f>
        <v/>
      </c>
    </row>
    <row r="2348" ht="15" customHeight="1">
      <c r="A2348" t="n">
        <v>47</v>
      </c>
      <c r="B2348" s="37">
        <f>IF(Setup!$B$27="","",Setup!$B$27)</f>
        <v/>
      </c>
      <c r="C2348" s="102" t="n"/>
      <c r="D2348" s="103" t="n"/>
      <c r="E2348" s="103" t="n"/>
      <c r="F2348" s="104" t="n"/>
      <c r="G2348" s="102" t="n"/>
      <c r="H2348" s="103" t="n"/>
      <c r="I2348" s="103" t="n"/>
      <c r="J2348" s="104" t="n"/>
      <c r="K2348" s="102" t="n"/>
      <c r="L2348" s="103" t="n"/>
      <c r="M2348" s="103" t="n"/>
      <c r="N2348" s="104" t="n"/>
      <c r="O2348" s="102" t="n"/>
      <c r="P2348" s="103" t="n"/>
      <c r="Q2348" s="103" t="n"/>
      <c r="R2348" s="104" t="n"/>
      <c r="S2348" s="102" t="n"/>
      <c r="T2348" s="103" t="n"/>
      <c r="U2348" s="103" t="n"/>
      <c r="V2348" s="104" t="n"/>
      <c r="W2348" s="102" t="n"/>
      <c r="X2348" s="104" t="n"/>
      <c r="Y2348" s="102" t="n"/>
      <c r="Z2348" s="104" t="n"/>
      <c r="AB2348" s="105">
        <f>IF($B2348="","",(COUNTIF(C2308:E2325,$B2348)+COUNTIF(C2308:E2325,$B2348&amp;" ~*")&gt;0)+(COUNTIF(G2308:I2325,$B2348)+COUNTIF(G2308:I2325,$B2348&amp;" ~*")&gt;0)+(COUNTIF(K2308:M2325,$B2348)+COUNTIF(K2308:M2325,$B2348&amp;" ~*")&gt;0)+(COUNTIF(O2308:Q2325,$B2348)+COUNTIF(O2308:Q2325,$B2348&amp;" ~*")&gt;0)+(COUNTIF(S2308:U2325,$B2348)+COUNTIF(S2308:U2325,$B2348&amp;" ~*")&gt;0)+(COUNTIF(W2308:W2325,$B2348)+COUNTIF(W2308:W2325,$B2348&amp;" ~*")&gt;0)+(COUNTIF(Y2308:Y2325,$B2348)+COUNTIF(Y2308:Y2325,$B2348&amp;" ~*")&gt;0))</f>
        <v/>
      </c>
      <c r="AC2348" s="38">
        <f>IF($B2348="","",(IFERROR(INDEX(Setup!$G$33:$G$40,MATCH(C2348,Setup!$B$33:$B$40,0)),0)=1)*(COUNTIF(C2308:E2325,$B2348)+COUNTIF(C2308:E2325,$B2348&amp;" ~*")&gt;0)+(IFERROR(INDEX(Setup!$G$33:$G$40,MATCH(G2348,Setup!$B$33:$B$40,0)),0)=1)*(COUNTIF(G2308:I2325,$B2348)+COUNTIF(G2308:I2325,$B2348&amp;" ~*")&gt;0)+(IFERROR(INDEX(Setup!$G$33:$G$40,MATCH(K2348,Setup!$B$33:$B$40,0)),0)=1)*(COUNTIF(K2308:M2325,$B2348)+COUNTIF(K2308:M2325,$B2348&amp;" ~*")&gt;0)+(IFERROR(INDEX(Setup!$G$33:$G$40,MATCH(O2348,Setup!$B$33:$B$40,0)),0)=1)*(COUNTIF(O2308:Q2325,$B2348)+COUNTIF(O2308:Q2325,$B2348&amp;" ~*")&gt;0)+(IFERROR(INDEX(Setup!$G$33:$G$40,MATCH(S2348,Setup!$B$33:$B$40,0)),0)=1)*(COUNTIF(S2308:U2325,$B2348)+COUNTIF(S2308:U2325,$B2348&amp;" ~*")&gt;0)+(IFERROR(INDEX(Setup!$G$33:$G$40,MATCH(W2348,Setup!$B$33:$B$40,0)),0)=1)*(COUNTIF(W2308:W2325,$B2348)+COUNTIF(W2308:W2325,$B2348&amp;" ~*")&gt;0)+(IFERROR(INDEX(Setup!$G$33:$G$40,MATCH(Y2348,Setup!$B$33:$B$40,0)),0)=1)*(COUNTIF(Y2308:Y2325,$B2348)+COUNTIF(Y2308:Y2325,$B2348&amp;" ~*")&gt;0))</f>
        <v/>
      </c>
    </row>
    <row r="2349" ht="15" customHeight="1">
      <c r="A2349" t="n">
        <v>47</v>
      </c>
      <c r="B2349" s="35">
        <f>IF(Setup!$B$28="","",Setup!$B$28)</f>
        <v/>
      </c>
      <c r="C2349" s="98" t="n"/>
      <c r="D2349" s="99" t="n"/>
      <c r="E2349" s="99" t="n"/>
      <c r="F2349" s="100" t="n"/>
      <c r="G2349" s="98" t="n"/>
      <c r="H2349" s="99" t="n"/>
      <c r="I2349" s="99" t="n"/>
      <c r="J2349" s="100" t="n"/>
      <c r="K2349" s="98" t="n"/>
      <c r="L2349" s="99" t="n"/>
      <c r="M2349" s="99" t="n"/>
      <c r="N2349" s="100" t="n"/>
      <c r="O2349" s="98" t="n"/>
      <c r="P2349" s="99" t="n"/>
      <c r="Q2349" s="99" t="n"/>
      <c r="R2349" s="100" t="n"/>
      <c r="S2349" s="98" t="n"/>
      <c r="T2349" s="99" t="n"/>
      <c r="U2349" s="99" t="n"/>
      <c r="V2349" s="100" t="n"/>
      <c r="W2349" s="98" t="n"/>
      <c r="X2349" s="100" t="n"/>
      <c r="Y2349" s="98" t="n"/>
      <c r="Z2349" s="100" t="n"/>
      <c r="AB2349" s="101">
        <f>IF($B2349="","",(COUNTIF(C2308:E2325,$B2349)+COUNTIF(C2308:E2325,$B2349&amp;" ~*")&gt;0)+(COUNTIF(G2308:I2325,$B2349)+COUNTIF(G2308:I2325,$B2349&amp;" ~*")&gt;0)+(COUNTIF(K2308:M2325,$B2349)+COUNTIF(K2308:M2325,$B2349&amp;" ~*")&gt;0)+(COUNTIF(O2308:Q2325,$B2349)+COUNTIF(O2308:Q2325,$B2349&amp;" ~*")&gt;0)+(COUNTIF(S2308:U2325,$B2349)+COUNTIF(S2308:U2325,$B2349&amp;" ~*")&gt;0)+(COUNTIF(W2308:W2325,$B2349)+COUNTIF(W2308:W2325,$B2349&amp;" ~*")&gt;0)+(COUNTIF(Y2308:Y2325,$B2349)+COUNTIF(Y2308:Y2325,$B2349&amp;" ~*")&gt;0))</f>
        <v/>
      </c>
      <c r="AC2349" s="36">
        <f>IF($B2349="","",(IFERROR(INDEX(Setup!$G$33:$G$40,MATCH(C2349,Setup!$B$33:$B$40,0)),0)=1)*(COUNTIF(C2308:E2325,$B2349)+COUNTIF(C2308:E2325,$B2349&amp;" ~*")&gt;0)+(IFERROR(INDEX(Setup!$G$33:$G$40,MATCH(G2349,Setup!$B$33:$B$40,0)),0)=1)*(COUNTIF(G2308:I2325,$B2349)+COUNTIF(G2308:I2325,$B2349&amp;" ~*")&gt;0)+(IFERROR(INDEX(Setup!$G$33:$G$40,MATCH(K2349,Setup!$B$33:$B$40,0)),0)=1)*(COUNTIF(K2308:M2325,$B2349)+COUNTIF(K2308:M2325,$B2349&amp;" ~*")&gt;0)+(IFERROR(INDEX(Setup!$G$33:$G$40,MATCH(O2349,Setup!$B$33:$B$40,0)),0)=1)*(COUNTIF(O2308:Q2325,$B2349)+COUNTIF(O2308:Q2325,$B2349&amp;" ~*")&gt;0)+(IFERROR(INDEX(Setup!$G$33:$G$40,MATCH(S2349,Setup!$B$33:$B$40,0)),0)=1)*(COUNTIF(S2308:U2325,$B2349)+COUNTIF(S2308:U2325,$B2349&amp;" ~*")&gt;0)+(IFERROR(INDEX(Setup!$G$33:$G$40,MATCH(W2349,Setup!$B$33:$B$40,0)),0)=1)*(COUNTIF(W2308:W2325,$B2349)+COUNTIF(W2308:W2325,$B2349&amp;" ~*")&gt;0)+(IFERROR(INDEX(Setup!$G$33:$G$40,MATCH(Y2349,Setup!$B$33:$B$40,0)),0)=1)*(COUNTIF(Y2308:Y2325,$B2349)+COUNTIF(Y2308:Y2325,$B2349&amp;" ~*")&gt;0))</f>
        <v/>
      </c>
    </row>
    <row r="2350" ht="15" customHeight="1">
      <c r="A2350" t="n">
        <v>47</v>
      </c>
      <c r="B2350" s="37">
        <f>IF(Setup!$B$29="","",Setup!$B$29)</f>
        <v/>
      </c>
      <c r="C2350" s="102" t="n"/>
      <c r="D2350" s="103" t="n"/>
      <c r="E2350" s="103" t="n"/>
      <c r="F2350" s="104" t="n"/>
      <c r="G2350" s="102" t="n"/>
      <c r="H2350" s="103" t="n"/>
      <c r="I2350" s="103" t="n"/>
      <c r="J2350" s="104" t="n"/>
      <c r="K2350" s="102" t="n"/>
      <c r="L2350" s="103" t="n"/>
      <c r="M2350" s="103" t="n"/>
      <c r="N2350" s="104" t="n"/>
      <c r="O2350" s="102" t="n"/>
      <c r="P2350" s="103" t="n"/>
      <c r="Q2350" s="103" t="n"/>
      <c r="R2350" s="104" t="n"/>
      <c r="S2350" s="102" t="n"/>
      <c r="T2350" s="103" t="n"/>
      <c r="U2350" s="103" t="n"/>
      <c r="V2350" s="104" t="n"/>
      <c r="W2350" s="102" t="n"/>
      <c r="X2350" s="104" t="n"/>
      <c r="Y2350" s="102" t="n"/>
      <c r="Z2350" s="104" t="n"/>
      <c r="AB2350" s="105">
        <f>IF($B2350="","",(COUNTIF(C2308:E2325,$B2350)+COUNTIF(C2308:E2325,$B2350&amp;" ~*")&gt;0)+(COUNTIF(G2308:I2325,$B2350)+COUNTIF(G2308:I2325,$B2350&amp;" ~*")&gt;0)+(COUNTIF(K2308:M2325,$B2350)+COUNTIF(K2308:M2325,$B2350&amp;" ~*")&gt;0)+(COUNTIF(O2308:Q2325,$B2350)+COUNTIF(O2308:Q2325,$B2350&amp;" ~*")&gt;0)+(COUNTIF(S2308:U2325,$B2350)+COUNTIF(S2308:U2325,$B2350&amp;" ~*")&gt;0)+(COUNTIF(W2308:W2325,$B2350)+COUNTIF(W2308:W2325,$B2350&amp;" ~*")&gt;0)+(COUNTIF(Y2308:Y2325,$B2350)+COUNTIF(Y2308:Y2325,$B2350&amp;" ~*")&gt;0))</f>
        <v/>
      </c>
      <c r="AC2350" s="38">
        <f>IF($B2350="","",(IFERROR(INDEX(Setup!$G$33:$G$40,MATCH(C2350,Setup!$B$33:$B$40,0)),0)=1)*(COUNTIF(C2308:E2325,$B2350)+COUNTIF(C2308:E2325,$B2350&amp;" ~*")&gt;0)+(IFERROR(INDEX(Setup!$G$33:$G$40,MATCH(G2350,Setup!$B$33:$B$40,0)),0)=1)*(COUNTIF(G2308:I2325,$B2350)+COUNTIF(G2308:I2325,$B2350&amp;" ~*")&gt;0)+(IFERROR(INDEX(Setup!$G$33:$G$40,MATCH(K2350,Setup!$B$33:$B$40,0)),0)=1)*(COUNTIF(K2308:M2325,$B2350)+COUNTIF(K2308:M2325,$B2350&amp;" ~*")&gt;0)+(IFERROR(INDEX(Setup!$G$33:$G$40,MATCH(O2350,Setup!$B$33:$B$40,0)),0)=1)*(COUNTIF(O2308:Q2325,$B2350)+COUNTIF(O2308:Q2325,$B2350&amp;" ~*")&gt;0)+(IFERROR(INDEX(Setup!$G$33:$G$40,MATCH(S2350,Setup!$B$33:$B$40,0)),0)=1)*(COUNTIF(S2308:U2325,$B2350)+COUNTIF(S2308:U2325,$B2350&amp;" ~*")&gt;0)+(IFERROR(INDEX(Setup!$G$33:$G$40,MATCH(W2350,Setup!$B$33:$B$40,0)),0)=1)*(COUNTIF(W2308:W2325,$B2350)+COUNTIF(W2308:W2325,$B2350&amp;" ~*")&gt;0)+(IFERROR(INDEX(Setup!$G$33:$G$40,MATCH(Y2350,Setup!$B$33:$B$40,0)),0)=1)*(COUNTIF(Y2308:Y2325,$B2350)+COUNTIF(Y2308:Y2325,$B2350&amp;" ~*")&gt;0))</f>
        <v/>
      </c>
    </row>
    <row r="2351" ht="16" customHeight="1">
      <c r="A2351" t="n">
        <v>47</v>
      </c>
      <c r="B2351" s="106" t="inlineStr">
        <is>
          <t>Available people</t>
        </is>
      </c>
      <c r="C2351" s="107">
        <f>COUNTIFS(Setup!$E$6:$E$29,"Y",Setup!$B$6:$B$29,"?*")-SUMPRODUCT(COUNTIF(C2327:C2350,Setup!$F$33:$F$40))</f>
        <v/>
      </c>
      <c r="D2351" s="107" t="n"/>
      <c r="E2351" s="107" t="n"/>
      <c r="F2351" s="107" t="n"/>
      <c r="G2351" s="107">
        <f>COUNTIFS(Setup!$E$6:$E$29,"Y",Setup!$B$6:$B$29,"?*")-SUMPRODUCT(COUNTIF(G2327:G2350,Setup!$F$33:$F$40))</f>
        <v/>
      </c>
      <c r="H2351" s="107" t="n"/>
      <c r="I2351" s="107" t="n"/>
      <c r="J2351" s="107" t="n"/>
      <c r="K2351" s="107">
        <f>COUNTIFS(Setup!$E$6:$E$29,"Y",Setup!$B$6:$B$29,"?*")-SUMPRODUCT(COUNTIF(K2327:K2350,Setup!$F$33:$F$40))</f>
        <v/>
      </c>
      <c r="L2351" s="107" t="n"/>
      <c r="M2351" s="107" t="n"/>
      <c r="N2351" s="107" t="n"/>
      <c r="O2351" s="107">
        <f>COUNTIFS(Setup!$E$6:$E$29,"Y",Setup!$B$6:$B$29,"?*")-SUMPRODUCT(COUNTIF(O2327:O2350,Setup!$F$33:$F$40))</f>
        <v/>
      </c>
      <c r="P2351" s="107" t="n"/>
      <c r="Q2351" s="107" t="n"/>
      <c r="R2351" s="107" t="n"/>
      <c r="S2351" s="107">
        <f>COUNTIFS(Setup!$E$6:$E$29,"Y",Setup!$B$6:$B$29,"?*")-SUMPRODUCT(COUNTIF(S2327:S2350,Setup!$F$33:$F$40))</f>
        <v/>
      </c>
      <c r="T2351" s="107" t="n"/>
      <c r="U2351" s="107" t="n"/>
      <c r="V2351" s="107" t="n"/>
      <c r="W2351" s="107">
        <f>COUNTIFS(Setup!$E$6:$E$29,"Y",Setup!$B$6:$B$29,"?*")-SUMPRODUCT(COUNTIF(W2327:W2350,Setup!$F$33:$F$40))</f>
        <v/>
      </c>
      <c r="X2351" s="107" t="n"/>
      <c r="Y2351" s="107">
        <f>COUNTIFS(Setup!$E$6:$E$29,"Y",Setup!$B$6:$B$29,"?*")-SUMPRODUCT(COUNTIF(Y2327:Y2350,Setup!$F$33:$F$40))</f>
        <v/>
      </c>
      <c r="Z2351" s="107" t="n"/>
      <c r="AB2351" s="108">
        <f>SUM(AB2327:AB2350)</f>
        <v/>
      </c>
      <c r="AC2351" s="109">
        <f>SUM(AC2327:AC2350)</f>
        <v/>
      </c>
    </row>
    <row r="2352" ht="30" customHeight="1">
      <c r="A2352" t="n">
        <v>47</v>
      </c>
      <c r="B2352" s="110" t="inlineStr">
        <is>
          <t>Week notes</t>
        </is>
      </c>
      <c r="C2352" s="111" t="n"/>
      <c r="D2352" s="112" t="n"/>
      <c r="E2352" s="112" t="n"/>
      <c r="F2352" s="112" t="n"/>
      <c r="G2352" s="112" t="n"/>
      <c r="H2352" s="112" t="n"/>
      <c r="I2352" s="112" t="n"/>
      <c r="J2352" s="112" t="n"/>
      <c r="K2352" s="112" t="n"/>
      <c r="L2352" s="112" t="n"/>
      <c r="M2352" s="112" t="n"/>
      <c r="N2352" s="112" t="n"/>
      <c r="O2352" s="112" t="n"/>
      <c r="P2352" s="112" t="n"/>
      <c r="Q2352" s="112" t="n"/>
      <c r="R2352" s="112" t="n"/>
      <c r="S2352" s="112" t="n"/>
      <c r="T2352" s="112" t="n"/>
      <c r="U2352" s="112" t="n"/>
      <c r="V2352" s="112" t="n"/>
      <c r="W2352" s="112" t="n"/>
      <c r="X2352" s="112" t="n"/>
      <c r="Y2352" s="112" t="n"/>
      <c r="Z2352" s="113" t="n"/>
    </row>
    <row r="2353" ht="8" customHeight="1">
      <c r="A2353" t="n">
        <v>47</v>
      </c>
    </row>
    <row r="2354" ht="8" customHeight="1">
      <c r="A2354" t="n">
        <v>47</v>
      </c>
    </row>
    <row r="2355" ht="24" customHeight="1">
      <c r="A2355" t="n">
        <v>48</v>
      </c>
      <c r="B2355" s="73">
        <f>"WEEK 48     "&amp;TEXT(C2356,"ddd d mmm")&amp;"  –  "&amp;TEXT(C2356+6,"ddd d mmm yyyy")</f>
        <v/>
      </c>
      <c r="S2355" s="74">
        <f>IF(TODAY()&lt;C2356,"FUTURE",IF(TODAY()&gt;C2356+6,"PAST","THIS WEEK"))</f>
        <v/>
      </c>
      <c r="W2355" s="75">
        <f>IF(AND(Engine!$B$8=$AC$3,Engine!$B$9=$A2355),"◀ ACTIVE WEEK","")</f>
        <v/>
      </c>
      <c r="AA2355" s="76" t="n"/>
      <c r="AB2355" s="77" t="inlineStr">
        <is>
          <t>◀ Prev</t>
        </is>
      </c>
      <c r="AC2355" s="77" t="inlineStr">
        <is>
          <t>Next ▶</t>
        </is>
      </c>
    </row>
    <row r="2356" ht="18" customHeight="1">
      <c r="A2356" t="n">
        <v>48</v>
      </c>
      <c r="B2356" s="78" t="inlineStr">
        <is>
          <t>DUTY</t>
        </is>
      </c>
      <c r="C2356" s="79">
        <f>$AC$2+7*($A2356-1)</f>
        <v/>
      </c>
      <c r="D2356" s="80" t="n"/>
      <c r="E2356" s="80" t="n"/>
      <c r="F2356" s="81" t="n"/>
      <c r="G2356" s="79">
        <f>C2356+1</f>
        <v/>
      </c>
      <c r="H2356" s="80" t="n"/>
      <c r="I2356" s="80" t="n"/>
      <c r="J2356" s="81" t="n"/>
      <c r="K2356" s="79">
        <f>C2356+2</f>
        <v/>
      </c>
      <c r="L2356" s="80" t="n"/>
      <c r="M2356" s="80" t="n"/>
      <c r="N2356" s="81" t="n"/>
      <c r="O2356" s="79">
        <f>C2356+3</f>
        <v/>
      </c>
      <c r="P2356" s="80" t="n"/>
      <c r="Q2356" s="80" t="n"/>
      <c r="R2356" s="81" t="n"/>
      <c r="S2356" s="79">
        <f>C2356+4</f>
        <v/>
      </c>
      <c r="T2356" s="80" t="n"/>
      <c r="U2356" s="80" t="n"/>
      <c r="V2356" s="81" t="n"/>
      <c r="W2356" s="82">
        <f>C2356+5</f>
        <v/>
      </c>
      <c r="X2356" s="83" t="n"/>
      <c r="Y2356" s="82">
        <f>C2356+6</f>
        <v/>
      </c>
      <c r="Z2356" s="83" t="n"/>
      <c r="AB2356" s="72" t="inlineStr">
        <is>
          <t>Gaps</t>
        </is>
      </c>
      <c r="AC2356" s="72" t="inlineStr">
        <is>
          <t>Cover</t>
        </is>
      </c>
    </row>
    <row r="2357" ht="14" customHeight="1">
      <c r="A2357" t="n">
        <v>48</v>
      </c>
      <c r="B2357" s="84" t="inlineStr">
        <is>
          <t>(from Setup)</t>
        </is>
      </c>
      <c r="C2357" s="85" t="inlineStr">
        <is>
          <t>1</t>
        </is>
      </c>
      <c r="D2357" s="85" t="inlineStr">
        <is>
          <t>2</t>
        </is>
      </c>
      <c r="E2357" s="85" t="inlineStr">
        <is>
          <t>3</t>
        </is>
      </c>
      <c r="F2357" s="85" t="inlineStr">
        <is>
          <t>Notes</t>
        </is>
      </c>
      <c r="G2357" s="85" t="inlineStr">
        <is>
          <t>1</t>
        </is>
      </c>
      <c r="H2357" s="85" t="inlineStr">
        <is>
          <t>2</t>
        </is>
      </c>
      <c r="I2357" s="85" t="inlineStr">
        <is>
          <t>3</t>
        </is>
      </c>
      <c r="J2357" s="85" t="inlineStr">
        <is>
          <t>Notes</t>
        </is>
      </c>
      <c r="K2357" s="85" t="inlineStr">
        <is>
          <t>1</t>
        </is>
      </c>
      <c r="L2357" s="85" t="inlineStr">
        <is>
          <t>2</t>
        </is>
      </c>
      <c r="M2357" s="85" t="inlineStr">
        <is>
          <t>3</t>
        </is>
      </c>
      <c r="N2357" s="85" t="inlineStr">
        <is>
          <t>Notes</t>
        </is>
      </c>
      <c r="O2357" s="85" t="inlineStr">
        <is>
          <t>1</t>
        </is>
      </c>
      <c r="P2357" s="85" t="inlineStr">
        <is>
          <t>2</t>
        </is>
      </c>
      <c r="Q2357" s="85" t="inlineStr">
        <is>
          <t>3</t>
        </is>
      </c>
      <c r="R2357" s="85" t="inlineStr">
        <is>
          <t>Notes</t>
        </is>
      </c>
      <c r="S2357" s="85" t="inlineStr">
        <is>
          <t>1</t>
        </is>
      </c>
      <c r="T2357" s="85" t="inlineStr">
        <is>
          <t>2</t>
        </is>
      </c>
      <c r="U2357" s="85" t="inlineStr">
        <is>
          <t>3</t>
        </is>
      </c>
      <c r="V2357" s="85" t="inlineStr">
        <is>
          <t>Notes</t>
        </is>
      </c>
      <c r="W2357" s="85" t="inlineStr">
        <is>
          <t>Cover</t>
        </is>
      </c>
      <c r="X2357" s="85" t="inlineStr">
        <is>
          <t>Notes</t>
        </is>
      </c>
      <c r="Y2357" s="85" t="inlineStr">
        <is>
          <t>Cover</t>
        </is>
      </c>
      <c r="Z2357" s="85" t="inlineStr">
        <is>
          <t>Notes</t>
        </is>
      </c>
      <c r="AB2357" s="86" t="inlineStr">
        <is>
          <t>weekdays short</t>
        </is>
      </c>
      <c r="AC2357" s="87" t="inlineStr"/>
    </row>
    <row r="2358" ht="17" customHeight="1">
      <c r="A2358" t="n">
        <v>48</v>
      </c>
      <c r="B2358" s="24">
        <f>IF(Setup!$K$6="","",Setup!$K$6)</f>
        <v/>
      </c>
      <c r="C2358" s="88" t="n"/>
      <c r="D2358" s="88" t="n"/>
      <c r="E2358" s="88" t="n"/>
      <c r="F2358" s="89" t="n"/>
      <c r="G2358" s="88" t="n"/>
      <c r="H2358" s="88" t="n"/>
      <c r="I2358" s="88" t="n"/>
      <c r="J2358" s="89" t="n"/>
      <c r="K2358" s="88" t="n"/>
      <c r="L2358" s="88" t="n"/>
      <c r="M2358" s="88" t="n"/>
      <c r="N2358" s="89" t="n"/>
      <c r="O2358" s="88" t="n"/>
      <c r="P2358" s="88" t="n"/>
      <c r="Q2358" s="88" t="n"/>
      <c r="R2358" s="89" t="n"/>
      <c r="S2358" s="88" t="n"/>
      <c r="T2358" s="88" t="n"/>
      <c r="U2358" s="88" t="n"/>
      <c r="V2358" s="89" t="n"/>
      <c r="W2358" s="88" t="n"/>
      <c r="X2358" s="89" t="n"/>
      <c r="Y2358" s="88" t="n"/>
      <c r="Z2358" s="89" t="n"/>
      <c r="AB2358" s="25">
        <f>IF($B2358="","",(COUNTIF(C2358:E2358,"?*")&lt;N(INDEX(Setup!$L$6:$L$23,1)))+(COUNTIF(G2358:I2358,"?*")&lt;N(INDEX(Setup!$L$6:$L$23,1)))+(COUNTIF(K2358:M2358,"?*")&lt;N(INDEX(Setup!$L$6:$L$23,1)))+(COUNTIF(O2358:Q2358,"?*")&lt;N(INDEX(Setup!$L$6:$L$23,1)))+(COUNTIF(S2358:U2358,"?*")&lt;N(INDEX(Setup!$L$6:$L$23,1)))+((W2358="")*(INDEX(Setup!$M$6:$M$23,1)="Y"))+((Y2358="")*(INDEX(Setup!$M$6:$M$23,1)="Y")))</f>
        <v/>
      </c>
      <c r="AC2358" s="90">
        <f>IF($B2358="","",IF(AB2358=0,"✓ covered","⚠ "&amp;AB2358&amp;IF(AB2358=1," gap"," gaps")))</f>
        <v/>
      </c>
    </row>
    <row r="2359" ht="17" customHeight="1">
      <c r="A2359" t="n">
        <v>48</v>
      </c>
      <c r="B2359" s="29">
        <f>IF(Setup!$K$7="","",Setup!$K$7)</f>
        <v/>
      </c>
      <c r="C2359" s="88" t="n"/>
      <c r="D2359" s="88" t="n"/>
      <c r="E2359" s="88" t="n"/>
      <c r="F2359" s="89" t="n"/>
      <c r="G2359" s="88" t="n"/>
      <c r="H2359" s="88" t="n"/>
      <c r="I2359" s="88" t="n"/>
      <c r="J2359" s="89" t="n"/>
      <c r="K2359" s="88" t="n"/>
      <c r="L2359" s="88" t="n"/>
      <c r="M2359" s="88" t="n"/>
      <c r="N2359" s="89" t="n"/>
      <c r="O2359" s="88" t="n"/>
      <c r="P2359" s="88" t="n"/>
      <c r="Q2359" s="88" t="n"/>
      <c r="R2359" s="89" t="n"/>
      <c r="S2359" s="88" t="n"/>
      <c r="T2359" s="88" t="n"/>
      <c r="U2359" s="88" t="n"/>
      <c r="V2359" s="89" t="n"/>
      <c r="W2359" s="88" t="n"/>
      <c r="X2359" s="89" t="n"/>
      <c r="Y2359" s="88" t="n"/>
      <c r="Z2359" s="89" t="n"/>
      <c r="AB2359" s="30">
        <f>IF($B2359="","",(COUNTIF(C2359:E2359,"?*")&lt;N(INDEX(Setup!$L$6:$L$23,2)))+(COUNTIF(G2359:I2359,"?*")&lt;N(INDEX(Setup!$L$6:$L$23,2)))+(COUNTIF(K2359:M2359,"?*")&lt;N(INDEX(Setup!$L$6:$L$23,2)))+(COUNTIF(O2359:Q2359,"?*")&lt;N(INDEX(Setup!$L$6:$L$23,2)))+(COUNTIF(S2359:U2359,"?*")&lt;N(INDEX(Setup!$L$6:$L$23,2)))+((W2359="")*(INDEX(Setup!$M$6:$M$23,2)="Y"))+((Y2359="")*(INDEX(Setup!$M$6:$M$23,2)="Y")))</f>
        <v/>
      </c>
      <c r="AC2359" s="91">
        <f>IF($B2359="","",IF(AB2359=0,"✓ covered","⚠ "&amp;AB2359&amp;IF(AB2359=1," gap"," gaps")))</f>
        <v/>
      </c>
    </row>
    <row r="2360" ht="17" customHeight="1">
      <c r="A2360" t="n">
        <v>48</v>
      </c>
      <c r="B2360" s="24">
        <f>IF(Setup!$K$8="","",Setup!$K$8)</f>
        <v/>
      </c>
      <c r="C2360" s="88" t="n"/>
      <c r="D2360" s="88" t="n"/>
      <c r="E2360" s="88" t="n"/>
      <c r="F2360" s="89" t="n"/>
      <c r="G2360" s="88" t="n"/>
      <c r="H2360" s="88" t="n"/>
      <c r="I2360" s="88" t="n"/>
      <c r="J2360" s="89" t="n"/>
      <c r="K2360" s="88" t="n"/>
      <c r="L2360" s="88" t="n"/>
      <c r="M2360" s="88" t="n"/>
      <c r="N2360" s="89" t="n"/>
      <c r="O2360" s="88" t="n"/>
      <c r="P2360" s="88" t="n"/>
      <c r="Q2360" s="88" t="n"/>
      <c r="R2360" s="89" t="n"/>
      <c r="S2360" s="88" t="n"/>
      <c r="T2360" s="88" t="n"/>
      <c r="U2360" s="88" t="n"/>
      <c r="V2360" s="89" t="n"/>
      <c r="W2360" s="88" t="n"/>
      <c r="X2360" s="89" t="n"/>
      <c r="Y2360" s="88" t="n"/>
      <c r="Z2360" s="89" t="n"/>
      <c r="AB2360" s="25">
        <f>IF($B2360="","",(COUNTIF(C2360:E2360,"?*")&lt;N(INDEX(Setup!$L$6:$L$23,3)))+(COUNTIF(G2360:I2360,"?*")&lt;N(INDEX(Setup!$L$6:$L$23,3)))+(COUNTIF(K2360:M2360,"?*")&lt;N(INDEX(Setup!$L$6:$L$23,3)))+(COUNTIF(O2360:Q2360,"?*")&lt;N(INDEX(Setup!$L$6:$L$23,3)))+(COUNTIF(S2360:U2360,"?*")&lt;N(INDEX(Setup!$L$6:$L$23,3)))+((W2360="")*(INDEX(Setup!$M$6:$M$23,3)="Y"))+((Y2360="")*(INDEX(Setup!$M$6:$M$23,3)="Y")))</f>
        <v/>
      </c>
      <c r="AC2360" s="90">
        <f>IF($B2360="","",IF(AB2360=0,"✓ covered","⚠ "&amp;AB2360&amp;IF(AB2360=1," gap"," gaps")))</f>
        <v/>
      </c>
    </row>
    <row r="2361" ht="17" customHeight="1">
      <c r="A2361" t="n">
        <v>48</v>
      </c>
      <c r="B2361" s="29">
        <f>IF(Setup!$K$9="","",Setup!$K$9)</f>
        <v/>
      </c>
      <c r="C2361" s="88" t="n"/>
      <c r="D2361" s="88" t="n"/>
      <c r="E2361" s="88" t="n"/>
      <c r="F2361" s="89" t="n"/>
      <c r="G2361" s="88" t="n"/>
      <c r="H2361" s="88" t="n"/>
      <c r="I2361" s="88" t="n"/>
      <c r="J2361" s="89" t="n"/>
      <c r="K2361" s="88" t="n"/>
      <c r="L2361" s="88" t="n"/>
      <c r="M2361" s="88" t="n"/>
      <c r="N2361" s="89" t="n"/>
      <c r="O2361" s="88" t="n"/>
      <c r="P2361" s="88" t="n"/>
      <c r="Q2361" s="88" t="n"/>
      <c r="R2361" s="89" t="n"/>
      <c r="S2361" s="88" t="n"/>
      <c r="T2361" s="88" t="n"/>
      <c r="U2361" s="88" t="n"/>
      <c r="V2361" s="89" t="n"/>
      <c r="W2361" s="88" t="n"/>
      <c r="X2361" s="89" t="n"/>
      <c r="Y2361" s="88" t="n"/>
      <c r="Z2361" s="89" t="n"/>
      <c r="AB2361" s="30">
        <f>IF($B2361="","",(COUNTIF(C2361:E2361,"?*")&lt;N(INDEX(Setup!$L$6:$L$23,4)))+(COUNTIF(G2361:I2361,"?*")&lt;N(INDEX(Setup!$L$6:$L$23,4)))+(COUNTIF(K2361:M2361,"?*")&lt;N(INDEX(Setup!$L$6:$L$23,4)))+(COUNTIF(O2361:Q2361,"?*")&lt;N(INDEX(Setup!$L$6:$L$23,4)))+(COUNTIF(S2361:U2361,"?*")&lt;N(INDEX(Setup!$L$6:$L$23,4)))+((W2361="")*(INDEX(Setup!$M$6:$M$23,4)="Y"))+((Y2361="")*(INDEX(Setup!$M$6:$M$23,4)="Y")))</f>
        <v/>
      </c>
      <c r="AC2361" s="91">
        <f>IF($B2361="","",IF(AB2361=0,"✓ covered","⚠ "&amp;AB2361&amp;IF(AB2361=1," gap"," gaps")))</f>
        <v/>
      </c>
    </row>
    <row r="2362" ht="17" customHeight="1">
      <c r="A2362" t="n">
        <v>48</v>
      </c>
      <c r="B2362" s="24">
        <f>IF(Setup!$K$10="","",Setup!$K$10)</f>
        <v/>
      </c>
      <c r="C2362" s="88" t="n"/>
      <c r="D2362" s="88" t="n"/>
      <c r="E2362" s="88" t="n"/>
      <c r="F2362" s="89" t="n"/>
      <c r="G2362" s="88" t="n"/>
      <c r="H2362" s="88" t="n"/>
      <c r="I2362" s="88" t="n"/>
      <c r="J2362" s="89" t="n"/>
      <c r="K2362" s="88" t="n"/>
      <c r="L2362" s="88" t="n"/>
      <c r="M2362" s="88" t="n"/>
      <c r="N2362" s="89" t="n"/>
      <c r="O2362" s="88" t="n"/>
      <c r="P2362" s="88" t="n"/>
      <c r="Q2362" s="88" t="n"/>
      <c r="R2362" s="89" t="n"/>
      <c r="S2362" s="88" t="n"/>
      <c r="T2362" s="88" t="n"/>
      <c r="U2362" s="88" t="n"/>
      <c r="V2362" s="89" t="n"/>
      <c r="W2362" s="88" t="n"/>
      <c r="X2362" s="89" t="n"/>
      <c r="Y2362" s="88" t="n"/>
      <c r="Z2362" s="89" t="n"/>
      <c r="AB2362" s="25">
        <f>IF($B2362="","",(COUNTIF(C2362:E2362,"?*")&lt;N(INDEX(Setup!$L$6:$L$23,5)))+(COUNTIF(G2362:I2362,"?*")&lt;N(INDEX(Setup!$L$6:$L$23,5)))+(COUNTIF(K2362:M2362,"?*")&lt;N(INDEX(Setup!$L$6:$L$23,5)))+(COUNTIF(O2362:Q2362,"?*")&lt;N(INDEX(Setup!$L$6:$L$23,5)))+(COUNTIF(S2362:U2362,"?*")&lt;N(INDEX(Setup!$L$6:$L$23,5)))+((W2362="")*(INDEX(Setup!$M$6:$M$23,5)="Y"))+((Y2362="")*(INDEX(Setup!$M$6:$M$23,5)="Y")))</f>
        <v/>
      </c>
      <c r="AC2362" s="90">
        <f>IF($B2362="","",IF(AB2362=0,"✓ covered","⚠ "&amp;AB2362&amp;IF(AB2362=1," gap"," gaps")))</f>
        <v/>
      </c>
    </row>
    <row r="2363" ht="17" customHeight="1">
      <c r="A2363" t="n">
        <v>48</v>
      </c>
      <c r="B2363" s="29">
        <f>IF(Setup!$K$11="","",Setup!$K$11)</f>
        <v/>
      </c>
      <c r="C2363" s="88" t="n"/>
      <c r="D2363" s="88" t="n"/>
      <c r="E2363" s="88" t="n"/>
      <c r="F2363" s="89" t="n"/>
      <c r="G2363" s="88" t="n"/>
      <c r="H2363" s="88" t="n"/>
      <c r="I2363" s="88" t="n"/>
      <c r="J2363" s="89" t="n"/>
      <c r="K2363" s="88" t="n"/>
      <c r="L2363" s="88" t="n"/>
      <c r="M2363" s="88" t="n"/>
      <c r="N2363" s="89" t="n"/>
      <c r="O2363" s="88" t="n"/>
      <c r="P2363" s="88" t="n"/>
      <c r="Q2363" s="88" t="n"/>
      <c r="R2363" s="89" t="n"/>
      <c r="S2363" s="88" t="n"/>
      <c r="T2363" s="88" t="n"/>
      <c r="U2363" s="88" t="n"/>
      <c r="V2363" s="89" t="n"/>
      <c r="W2363" s="88" t="n"/>
      <c r="X2363" s="89" t="n"/>
      <c r="Y2363" s="88" t="n"/>
      <c r="Z2363" s="89" t="n"/>
      <c r="AB2363" s="30">
        <f>IF($B2363="","",(COUNTIF(C2363:E2363,"?*")&lt;N(INDEX(Setup!$L$6:$L$23,6)))+(COUNTIF(G2363:I2363,"?*")&lt;N(INDEX(Setup!$L$6:$L$23,6)))+(COUNTIF(K2363:M2363,"?*")&lt;N(INDEX(Setup!$L$6:$L$23,6)))+(COUNTIF(O2363:Q2363,"?*")&lt;N(INDEX(Setup!$L$6:$L$23,6)))+(COUNTIF(S2363:U2363,"?*")&lt;N(INDEX(Setup!$L$6:$L$23,6)))+((W2363="")*(INDEX(Setup!$M$6:$M$23,6)="Y"))+((Y2363="")*(INDEX(Setup!$M$6:$M$23,6)="Y")))</f>
        <v/>
      </c>
      <c r="AC2363" s="91">
        <f>IF($B2363="","",IF(AB2363=0,"✓ covered","⚠ "&amp;AB2363&amp;IF(AB2363=1," gap"," gaps")))</f>
        <v/>
      </c>
    </row>
    <row r="2364" ht="17" customHeight="1">
      <c r="A2364" t="n">
        <v>48</v>
      </c>
      <c r="B2364" s="24">
        <f>IF(Setup!$K$12="","",Setup!$K$12)</f>
        <v/>
      </c>
      <c r="C2364" s="88" t="n"/>
      <c r="D2364" s="88" t="n"/>
      <c r="E2364" s="88" t="n"/>
      <c r="F2364" s="89" t="n"/>
      <c r="G2364" s="88" t="n"/>
      <c r="H2364" s="88" t="n"/>
      <c r="I2364" s="88" t="n"/>
      <c r="J2364" s="89" t="n"/>
      <c r="K2364" s="88" t="n"/>
      <c r="L2364" s="88" t="n"/>
      <c r="M2364" s="88" t="n"/>
      <c r="N2364" s="89" t="n"/>
      <c r="O2364" s="88" t="n"/>
      <c r="P2364" s="88" t="n"/>
      <c r="Q2364" s="88" t="n"/>
      <c r="R2364" s="89" t="n"/>
      <c r="S2364" s="88" t="n"/>
      <c r="T2364" s="88" t="n"/>
      <c r="U2364" s="88" t="n"/>
      <c r="V2364" s="89" t="n"/>
      <c r="W2364" s="88" t="n"/>
      <c r="X2364" s="89" t="n"/>
      <c r="Y2364" s="88" t="n"/>
      <c r="Z2364" s="89" t="n"/>
      <c r="AB2364" s="25">
        <f>IF($B2364="","",(COUNTIF(C2364:E2364,"?*")&lt;N(INDEX(Setup!$L$6:$L$23,7)))+(COUNTIF(G2364:I2364,"?*")&lt;N(INDEX(Setup!$L$6:$L$23,7)))+(COUNTIF(K2364:M2364,"?*")&lt;N(INDEX(Setup!$L$6:$L$23,7)))+(COUNTIF(O2364:Q2364,"?*")&lt;N(INDEX(Setup!$L$6:$L$23,7)))+(COUNTIF(S2364:U2364,"?*")&lt;N(INDEX(Setup!$L$6:$L$23,7)))+((W2364="")*(INDEX(Setup!$M$6:$M$23,7)="Y"))+((Y2364="")*(INDEX(Setup!$M$6:$M$23,7)="Y")))</f>
        <v/>
      </c>
      <c r="AC2364" s="90">
        <f>IF($B2364="","",IF(AB2364=0,"✓ covered","⚠ "&amp;AB2364&amp;IF(AB2364=1," gap"," gaps")))</f>
        <v/>
      </c>
    </row>
    <row r="2365" ht="17" customHeight="1">
      <c r="A2365" t="n">
        <v>48</v>
      </c>
      <c r="B2365" s="29">
        <f>IF(Setup!$K$13="","",Setup!$K$13)</f>
        <v/>
      </c>
      <c r="C2365" s="88" t="n"/>
      <c r="D2365" s="88" t="n"/>
      <c r="E2365" s="88" t="n"/>
      <c r="F2365" s="89" t="n"/>
      <c r="G2365" s="88" t="n"/>
      <c r="H2365" s="88" t="n"/>
      <c r="I2365" s="88" t="n"/>
      <c r="J2365" s="89" t="n"/>
      <c r="K2365" s="88" t="n"/>
      <c r="L2365" s="88" t="n"/>
      <c r="M2365" s="88" t="n"/>
      <c r="N2365" s="89" t="n"/>
      <c r="O2365" s="88" t="n"/>
      <c r="P2365" s="88" t="n"/>
      <c r="Q2365" s="88" t="n"/>
      <c r="R2365" s="89" t="n"/>
      <c r="S2365" s="88" t="n"/>
      <c r="T2365" s="88" t="n"/>
      <c r="U2365" s="88" t="n"/>
      <c r="V2365" s="89" t="n"/>
      <c r="W2365" s="88" t="n"/>
      <c r="X2365" s="89" t="n"/>
      <c r="Y2365" s="88" t="n"/>
      <c r="Z2365" s="89" t="n"/>
      <c r="AB2365" s="30">
        <f>IF($B2365="","",(COUNTIF(C2365:E2365,"?*")&lt;N(INDEX(Setup!$L$6:$L$23,8)))+(COUNTIF(G2365:I2365,"?*")&lt;N(INDEX(Setup!$L$6:$L$23,8)))+(COUNTIF(K2365:M2365,"?*")&lt;N(INDEX(Setup!$L$6:$L$23,8)))+(COUNTIF(O2365:Q2365,"?*")&lt;N(INDEX(Setup!$L$6:$L$23,8)))+(COUNTIF(S2365:U2365,"?*")&lt;N(INDEX(Setup!$L$6:$L$23,8)))+((W2365="")*(INDEX(Setup!$M$6:$M$23,8)="Y"))+((Y2365="")*(INDEX(Setup!$M$6:$M$23,8)="Y")))</f>
        <v/>
      </c>
      <c r="AC2365" s="91">
        <f>IF($B2365="","",IF(AB2365=0,"✓ covered","⚠ "&amp;AB2365&amp;IF(AB2365=1," gap"," gaps")))</f>
        <v/>
      </c>
    </row>
    <row r="2366" ht="17" customHeight="1">
      <c r="A2366" t="n">
        <v>48</v>
      </c>
      <c r="B2366" s="24">
        <f>IF(Setup!$K$14="","",Setup!$K$14)</f>
        <v/>
      </c>
      <c r="C2366" s="88" t="n"/>
      <c r="D2366" s="88" t="n"/>
      <c r="E2366" s="88" t="n"/>
      <c r="F2366" s="89" t="n"/>
      <c r="G2366" s="88" t="n"/>
      <c r="H2366" s="88" t="n"/>
      <c r="I2366" s="88" t="n"/>
      <c r="J2366" s="89" t="n"/>
      <c r="K2366" s="88" t="n"/>
      <c r="L2366" s="88" t="n"/>
      <c r="M2366" s="88" t="n"/>
      <c r="N2366" s="89" t="n"/>
      <c r="O2366" s="88" t="n"/>
      <c r="P2366" s="88" t="n"/>
      <c r="Q2366" s="88" t="n"/>
      <c r="R2366" s="89" t="n"/>
      <c r="S2366" s="88" t="n"/>
      <c r="T2366" s="88" t="n"/>
      <c r="U2366" s="88" t="n"/>
      <c r="V2366" s="89" t="n"/>
      <c r="W2366" s="88" t="n"/>
      <c r="X2366" s="89" t="n"/>
      <c r="Y2366" s="88" t="n"/>
      <c r="Z2366" s="89" t="n"/>
      <c r="AB2366" s="25">
        <f>IF($B2366="","",(COUNTIF(C2366:E2366,"?*")&lt;N(INDEX(Setup!$L$6:$L$23,9)))+(COUNTIF(G2366:I2366,"?*")&lt;N(INDEX(Setup!$L$6:$L$23,9)))+(COUNTIF(K2366:M2366,"?*")&lt;N(INDEX(Setup!$L$6:$L$23,9)))+(COUNTIF(O2366:Q2366,"?*")&lt;N(INDEX(Setup!$L$6:$L$23,9)))+(COUNTIF(S2366:U2366,"?*")&lt;N(INDEX(Setup!$L$6:$L$23,9)))+((W2366="")*(INDEX(Setup!$M$6:$M$23,9)="Y"))+((Y2366="")*(INDEX(Setup!$M$6:$M$23,9)="Y")))</f>
        <v/>
      </c>
      <c r="AC2366" s="90">
        <f>IF($B2366="","",IF(AB2366=0,"✓ covered","⚠ "&amp;AB2366&amp;IF(AB2366=1," gap"," gaps")))</f>
        <v/>
      </c>
    </row>
    <row r="2367" ht="17" customHeight="1">
      <c r="A2367" t="n">
        <v>48</v>
      </c>
      <c r="B2367" s="29">
        <f>IF(Setup!$K$15="","",Setup!$K$15)</f>
        <v/>
      </c>
      <c r="C2367" s="88" t="n"/>
      <c r="D2367" s="88" t="n"/>
      <c r="E2367" s="88" t="n"/>
      <c r="F2367" s="89" t="n"/>
      <c r="G2367" s="88" t="n"/>
      <c r="H2367" s="88" t="n"/>
      <c r="I2367" s="88" t="n"/>
      <c r="J2367" s="89" t="n"/>
      <c r="K2367" s="88" t="n"/>
      <c r="L2367" s="88" t="n"/>
      <c r="M2367" s="88" t="n"/>
      <c r="N2367" s="89" t="n"/>
      <c r="O2367" s="88" t="n"/>
      <c r="P2367" s="88" t="n"/>
      <c r="Q2367" s="88" t="n"/>
      <c r="R2367" s="89" t="n"/>
      <c r="S2367" s="88" t="n"/>
      <c r="T2367" s="88" t="n"/>
      <c r="U2367" s="88" t="n"/>
      <c r="V2367" s="89" t="n"/>
      <c r="W2367" s="88" t="n"/>
      <c r="X2367" s="89" t="n"/>
      <c r="Y2367" s="88" t="n"/>
      <c r="Z2367" s="89" t="n"/>
      <c r="AB2367" s="30">
        <f>IF($B2367="","",(COUNTIF(C2367:E2367,"?*")&lt;N(INDEX(Setup!$L$6:$L$23,10)))+(COUNTIF(G2367:I2367,"?*")&lt;N(INDEX(Setup!$L$6:$L$23,10)))+(COUNTIF(K2367:M2367,"?*")&lt;N(INDEX(Setup!$L$6:$L$23,10)))+(COUNTIF(O2367:Q2367,"?*")&lt;N(INDEX(Setup!$L$6:$L$23,10)))+(COUNTIF(S2367:U2367,"?*")&lt;N(INDEX(Setup!$L$6:$L$23,10)))+((W2367="")*(INDEX(Setup!$M$6:$M$23,10)="Y"))+((Y2367="")*(INDEX(Setup!$M$6:$M$23,10)="Y")))</f>
        <v/>
      </c>
      <c r="AC2367" s="91">
        <f>IF($B2367="","",IF(AB2367=0,"✓ covered","⚠ "&amp;AB2367&amp;IF(AB2367=1," gap"," gaps")))</f>
        <v/>
      </c>
    </row>
    <row r="2368" ht="17" customHeight="1">
      <c r="A2368" t="n">
        <v>48</v>
      </c>
      <c r="B2368" s="24">
        <f>IF(Setup!$K$16="","",Setup!$K$16)</f>
        <v/>
      </c>
      <c r="C2368" s="88" t="n"/>
      <c r="D2368" s="88" t="n"/>
      <c r="E2368" s="88" t="n"/>
      <c r="F2368" s="89" t="n"/>
      <c r="G2368" s="88" t="n"/>
      <c r="H2368" s="88" t="n"/>
      <c r="I2368" s="88" t="n"/>
      <c r="J2368" s="89" t="n"/>
      <c r="K2368" s="88" t="n"/>
      <c r="L2368" s="88" t="n"/>
      <c r="M2368" s="88" t="n"/>
      <c r="N2368" s="89" t="n"/>
      <c r="O2368" s="88" t="n"/>
      <c r="P2368" s="88" t="n"/>
      <c r="Q2368" s="88" t="n"/>
      <c r="R2368" s="89" t="n"/>
      <c r="S2368" s="88" t="n"/>
      <c r="T2368" s="88" t="n"/>
      <c r="U2368" s="88" t="n"/>
      <c r="V2368" s="89" t="n"/>
      <c r="W2368" s="88" t="n"/>
      <c r="X2368" s="89" t="n"/>
      <c r="Y2368" s="88" t="n"/>
      <c r="Z2368" s="89" t="n"/>
      <c r="AB2368" s="25">
        <f>IF($B2368="","",(COUNTIF(C2368:E2368,"?*")&lt;N(INDEX(Setup!$L$6:$L$23,11)))+(COUNTIF(G2368:I2368,"?*")&lt;N(INDEX(Setup!$L$6:$L$23,11)))+(COUNTIF(K2368:M2368,"?*")&lt;N(INDEX(Setup!$L$6:$L$23,11)))+(COUNTIF(O2368:Q2368,"?*")&lt;N(INDEX(Setup!$L$6:$L$23,11)))+(COUNTIF(S2368:U2368,"?*")&lt;N(INDEX(Setup!$L$6:$L$23,11)))+((W2368="")*(INDEX(Setup!$M$6:$M$23,11)="Y"))+((Y2368="")*(INDEX(Setup!$M$6:$M$23,11)="Y")))</f>
        <v/>
      </c>
      <c r="AC2368" s="90">
        <f>IF($B2368="","",IF(AB2368=0,"✓ covered","⚠ "&amp;AB2368&amp;IF(AB2368=1," gap"," gaps")))</f>
        <v/>
      </c>
    </row>
    <row r="2369" ht="17" customHeight="1">
      <c r="A2369" t="n">
        <v>48</v>
      </c>
      <c r="B2369" s="29">
        <f>IF(Setup!$K$17="","",Setup!$K$17)</f>
        <v/>
      </c>
      <c r="C2369" s="88" t="n"/>
      <c r="D2369" s="88" t="n"/>
      <c r="E2369" s="88" t="n"/>
      <c r="F2369" s="89" t="n"/>
      <c r="G2369" s="88" t="n"/>
      <c r="H2369" s="88" t="n"/>
      <c r="I2369" s="88" t="n"/>
      <c r="J2369" s="89" t="n"/>
      <c r="K2369" s="88" t="n"/>
      <c r="L2369" s="88" t="n"/>
      <c r="M2369" s="88" t="n"/>
      <c r="N2369" s="89" t="n"/>
      <c r="O2369" s="88" t="n"/>
      <c r="P2369" s="88" t="n"/>
      <c r="Q2369" s="88" t="n"/>
      <c r="R2369" s="89" t="n"/>
      <c r="S2369" s="88" t="n"/>
      <c r="T2369" s="88" t="n"/>
      <c r="U2369" s="88" t="n"/>
      <c r="V2369" s="89" t="n"/>
      <c r="W2369" s="88" t="n"/>
      <c r="X2369" s="89" t="n"/>
      <c r="Y2369" s="88" t="n"/>
      <c r="Z2369" s="89" t="n"/>
      <c r="AB2369" s="30">
        <f>IF($B2369="","",(COUNTIF(C2369:E2369,"?*")&lt;N(INDEX(Setup!$L$6:$L$23,12)))+(COUNTIF(G2369:I2369,"?*")&lt;N(INDEX(Setup!$L$6:$L$23,12)))+(COUNTIF(K2369:M2369,"?*")&lt;N(INDEX(Setup!$L$6:$L$23,12)))+(COUNTIF(O2369:Q2369,"?*")&lt;N(INDEX(Setup!$L$6:$L$23,12)))+(COUNTIF(S2369:U2369,"?*")&lt;N(INDEX(Setup!$L$6:$L$23,12)))+((W2369="")*(INDEX(Setup!$M$6:$M$23,12)="Y"))+((Y2369="")*(INDEX(Setup!$M$6:$M$23,12)="Y")))</f>
        <v/>
      </c>
      <c r="AC2369" s="91">
        <f>IF($B2369="","",IF(AB2369=0,"✓ covered","⚠ "&amp;AB2369&amp;IF(AB2369=1," gap"," gaps")))</f>
        <v/>
      </c>
    </row>
    <row r="2370" ht="17" customHeight="1">
      <c r="A2370" t="n">
        <v>48</v>
      </c>
      <c r="B2370" s="24">
        <f>IF(Setup!$K$18="","",Setup!$K$18)</f>
        <v/>
      </c>
      <c r="C2370" s="88" t="n"/>
      <c r="D2370" s="88" t="n"/>
      <c r="E2370" s="88" t="n"/>
      <c r="F2370" s="89" t="n"/>
      <c r="G2370" s="88" t="n"/>
      <c r="H2370" s="88" t="n"/>
      <c r="I2370" s="88" t="n"/>
      <c r="J2370" s="89" t="n"/>
      <c r="K2370" s="88" t="n"/>
      <c r="L2370" s="88" t="n"/>
      <c r="M2370" s="88" t="n"/>
      <c r="N2370" s="89" t="n"/>
      <c r="O2370" s="88" t="n"/>
      <c r="P2370" s="88" t="n"/>
      <c r="Q2370" s="88" t="n"/>
      <c r="R2370" s="89" t="n"/>
      <c r="S2370" s="88" t="n"/>
      <c r="T2370" s="88" t="n"/>
      <c r="U2370" s="88" t="n"/>
      <c r="V2370" s="89" t="n"/>
      <c r="W2370" s="88" t="n"/>
      <c r="X2370" s="89" t="n"/>
      <c r="Y2370" s="88" t="n"/>
      <c r="Z2370" s="89" t="n"/>
      <c r="AB2370" s="25">
        <f>IF($B2370="","",(COUNTIF(C2370:E2370,"?*")&lt;N(INDEX(Setup!$L$6:$L$23,13)))+(COUNTIF(G2370:I2370,"?*")&lt;N(INDEX(Setup!$L$6:$L$23,13)))+(COUNTIF(K2370:M2370,"?*")&lt;N(INDEX(Setup!$L$6:$L$23,13)))+(COUNTIF(O2370:Q2370,"?*")&lt;N(INDEX(Setup!$L$6:$L$23,13)))+(COUNTIF(S2370:U2370,"?*")&lt;N(INDEX(Setup!$L$6:$L$23,13)))+((W2370="")*(INDEX(Setup!$M$6:$M$23,13)="Y"))+((Y2370="")*(INDEX(Setup!$M$6:$M$23,13)="Y")))</f>
        <v/>
      </c>
      <c r="AC2370" s="90">
        <f>IF($B2370="","",IF(AB2370=0,"✓ covered","⚠ "&amp;AB2370&amp;IF(AB2370=1," gap"," gaps")))</f>
        <v/>
      </c>
    </row>
    <row r="2371" ht="17" customHeight="1">
      <c r="A2371" t="n">
        <v>48</v>
      </c>
      <c r="B2371" s="29">
        <f>IF(Setup!$K$19="","",Setup!$K$19)</f>
        <v/>
      </c>
      <c r="C2371" s="88" t="n"/>
      <c r="D2371" s="88" t="n"/>
      <c r="E2371" s="88" t="n"/>
      <c r="F2371" s="89" t="n"/>
      <c r="G2371" s="88" t="n"/>
      <c r="H2371" s="88" t="n"/>
      <c r="I2371" s="88" t="n"/>
      <c r="J2371" s="89" t="n"/>
      <c r="K2371" s="88" t="n"/>
      <c r="L2371" s="88" t="n"/>
      <c r="M2371" s="88" t="n"/>
      <c r="N2371" s="89" t="n"/>
      <c r="O2371" s="88" t="n"/>
      <c r="P2371" s="88" t="n"/>
      <c r="Q2371" s="88" t="n"/>
      <c r="R2371" s="89" t="n"/>
      <c r="S2371" s="88" t="n"/>
      <c r="T2371" s="88" t="n"/>
      <c r="U2371" s="88" t="n"/>
      <c r="V2371" s="89" t="n"/>
      <c r="W2371" s="88" t="n"/>
      <c r="X2371" s="89" t="n"/>
      <c r="Y2371" s="88" t="n"/>
      <c r="Z2371" s="89" t="n"/>
      <c r="AB2371" s="30">
        <f>IF($B2371="","",(COUNTIF(C2371:E2371,"?*")&lt;N(INDEX(Setup!$L$6:$L$23,14)))+(COUNTIF(G2371:I2371,"?*")&lt;N(INDEX(Setup!$L$6:$L$23,14)))+(COUNTIF(K2371:M2371,"?*")&lt;N(INDEX(Setup!$L$6:$L$23,14)))+(COUNTIF(O2371:Q2371,"?*")&lt;N(INDEX(Setup!$L$6:$L$23,14)))+(COUNTIF(S2371:U2371,"?*")&lt;N(INDEX(Setup!$L$6:$L$23,14)))+((W2371="")*(INDEX(Setup!$M$6:$M$23,14)="Y"))+((Y2371="")*(INDEX(Setup!$M$6:$M$23,14)="Y")))</f>
        <v/>
      </c>
      <c r="AC2371" s="91">
        <f>IF($B2371="","",IF(AB2371=0,"✓ covered","⚠ "&amp;AB2371&amp;IF(AB2371=1," gap"," gaps")))</f>
        <v/>
      </c>
    </row>
    <row r="2372" ht="17" customHeight="1">
      <c r="A2372" t="n">
        <v>48</v>
      </c>
      <c r="B2372" s="24">
        <f>IF(Setup!$K$20="","",Setup!$K$20)</f>
        <v/>
      </c>
      <c r="C2372" s="88" t="n"/>
      <c r="D2372" s="88" t="n"/>
      <c r="E2372" s="88" t="n"/>
      <c r="F2372" s="89" t="n"/>
      <c r="G2372" s="88" t="n"/>
      <c r="H2372" s="88" t="n"/>
      <c r="I2372" s="88" t="n"/>
      <c r="J2372" s="89" t="n"/>
      <c r="K2372" s="88" t="n"/>
      <c r="L2372" s="88" t="n"/>
      <c r="M2372" s="88" t="n"/>
      <c r="N2372" s="89" t="n"/>
      <c r="O2372" s="88" t="n"/>
      <c r="P2372" s="88" t="n"/>
      <c r="Q2372" s="88" t="n"/>
      <c r="R2372" s="89" t="n"/>
      <c r="S2372" s="88" t="n"/>
      <c r="T2372" s="88" t="n"/>
      <c r="U2372" s="88" t="n"/>
      <c r="V2372" s="89" t="n"/>
      <c r="W2372" s="88" t="n"/>
      <c r="X2372" s="89" t="n"/>
      <c r="Y2372" s="88" t="n"/>
      <c r="Z2372" s="89" t="n"/>
      <c r="AB2372" s="25">
        <f>IF($B2372="","",(COUNTIF(C2372:E2372,"?*")&lt;N(INDEX(Setup!$L$6:$L$23,15)))+(COUNTIF(G2372:I2372,"?*")&lt;N(INDEX(Setup!$L$6:$L$23,15)))+(COUNTIF(K2372:M2372,"?*")&lt;N(INDEX(Setup!$L$6:$L$23,15)))+(COUNTIF(O2372:Q2372,"?*")&lt;N(INDEX(Setup!$L$6:$L$23,15)))+(COUNTIF(S2372:U2372,"?*")&lt;N(INDEX(Setup!$L$6:$L$23,15)))+((W2372="")*(INDEX(Setup!$M$6:$M$23,15)="Y"))+((Y2372="")*(INDEX(Setup!$M$6:$M$23,15)="Y")))</f>
        <v/>
      </c>
      <c r="AC2372" s="90">
        <f>IF($B2372="","",IF(AB2372=0,"✓ covered","⚠ "&amp;AB2372&amp;IF(AB2372=1," gap"," gaps")))</f>
        <v/>
      </c>
    </row>
    <row r="2373" ht="17" customHeight="1">
      <c r="A2373" t="n">
        <v>48</v>
      </c>
      <c r="B2373" s="29">
        <f>IF(Setup!$K$21="","",Setup!$K$21)</f>
        <v/>
      </c>
      <c r="C2373" s="88" t="n"/>
      <c r="D2373" s="88" t="n"/>
      <c r="E2373" s="88" t="n"/>
      <c r="F2373" s="89" t="n"/>
      <c r="G2373" s="88" t="n"/>
      <c r="H2373" s="88" t="n"/>
      <c r="I2373" s="88" t="n"/>
      <c r="J2373" s="89" t="n"/>
      <c r="K2373" s="88" t="n"/>
      <c r="L2373" s="88" t="n"/>
      <c r="M2373" s="88" t="n"/>
      <c r="N2373" s="89" t="n"/>
      <c r="O2373" s="88" t="n"/>
      <c r="P2373" s="88" t="n"/>
      <c r="Q2373" s="88" t="n"/>
      <c r="R2373" s="89" t="n"/>
      <c r="S2373" s="88" t="n"/>
      <c r="T2373" s="88" t="n"/>
      <c r="U2373" s="88" t="n"/>
      <c r="V2373" s="89" t="n"/>
      <c r="W2373" s="88" t="n"/>
      <c r="X2373" s="89" t="n"/>
      <c r="Y2373" s="88" t="n"/>
      <c r="Z2373" s="89" t="n"/>
      <c r="AB2373" s="30">
        <f>IF($B2373="","",(COUNTIF(C2373:E2373,"?*")&lt;N(INDEX(Setup!$L$6:$L$23,16)))+(COUNTIF(G2373:I2373,"?*")&lt;N(INDEX(Setup!$L$6:$L$23,16)))+(COUNTIF(K2373:M2373,"?*")&lt;N(INDEX(Setup!$L$6:$L$23,16)))+(COUNTIF(O2373:Q2373,"?*")&lt;N(INDEX(Setup!$L$6:$L$23,16)))+(COUNTIF(S2373:U2373,"?*")&lt;N(INDEX(Setup!$L$6:$L$23,16)))+((W2373="")*(INDEX(Setup!$M$6:$M$23,16)="Y"))+((Y2373="")*(INDEX(Setup!$M$6:$M$23,16)="Y")))</f>
        <v/>
      </c>
      <c r="AC2373" s="91">
        <f>IF($B2373="","",IF(AB2373=0,"✓ covered","⚠ "&amp;AB2373&amp;IF(AB2373=1," gap"," gaps")))</f>
        <v/>
      </c>
    </row>
    <row r="2374" ht="17" customHeight="1">
      <c r="A2374" t="n">
        <v>48</v>
      </c>
      <c r="B2374" s="24">
        <f>IF(Setup!$K$22="","",Setup!$K$22)</f>
        <v/>
      </c>
      <c r="C2374" s="88" t="n"/>
      <c r="D2374" s="88" t="n"/>
      <c r="E2374" s="88" t="n"/>
      <c r="F2374" s="89" t="n"/>
      <c r="G2374" s="88" t="n"/>
      <c r="H2374" s="88" t="n"/>
      <c r="I2374" s="88" t="n"/>
      <c r="J2374" s="89" t="n"/>
      <c r="K2374" s="88" t="n"/>
      <c r="L2374" s="88" t="n"/>
      <c r="M2374" s="88" t="n"/>
      <c r="N2374" s="89" t="n"/>
      <c r="O2374" s="88" t="n"/>
      <c r="P2374" s="88" t="n"/>
      <c r="Q2374" s="88" t="n"/>
      <c r="R2374" s="89" t="n"/>
      <c r="S2374" s="88" t="n"/>
      <c r="T2374" s="88" t="n"/>
      <c r="U2374" s="88" t="n"/>
      <c r="V2374" s="89" t="n"/>
      <c r="W2374" s="88" t="n"/>
      <c r="X2374" s="89" t="n"/>
      <c r="Y2374" s="88" t="n"/>
      <c r="Z2374" s="89" t="n"/>
      <c r="AB2374" s="25">
        <f>IF($B2374="","",(COUNTIF(C2374:E2374,"?*")&lt;N(INDEX(Setup!$L$6:$L$23,17)))+(COUNTIF(G2374:I2374,"?*")&lt;N(INDEX(Setup!$L$6:$L$23,17)))+(COUNTIF(K2374:M2374,"?*")&lt;N(INDEX(Setup!$L$6:$L$23,17)))+(COUNTIF(O2374:Q2374,"?*")&lt;N(INDEX(Setup!$L$6:$L$23,17)))+(COUNTIF(S2374:U2374,"?*")&lt;N(INDEX(Setup!$L$6:$L$23,17)))+((W2374="")*(INDEX(Setup!$M$6:$M$23,17)="Y"))+((Y2374="")*(INDEX(Setup!$M$6:$M$23,17)="Y")))</f>
        <v/>
      </c>
      <c r="AC2374" s="90">
        <f>IF($B2374="","",IF(AB2374=0,"✓ covered","⚠ "&amp;AB2374&amp;IF(AB2374=1," gap"," gaps")))</f>
        <v/>
      </c>
    </row>
    <row r="2375" ht="17" customHeight="1">
      <c r="A2375" t="n">
        <v>48</v>
      </c>
      <c r="B2375" s="29">
        <f>IF(Setup!$K$23="","",Setup!$K$23)</f>
        <v/>
      </c>
      <c r="C2375" s="88" t="n"/>
      <c r="D2375" s="88" t="n"/>
      <c r="E2375" s="88" t="n"/>
      <c r="F2375" s="89" t="n"/>
      <c r="G2375" s="88" t="n"/>
      <c r="H2375" s="88" t="n"/>
      <c r="I2375" s="88" t="n"/>
      <c r="J2375" s="89" t="n"/>
      <c r="K2375" s="88" t="n"/>
      <c r="L2375" s="88" t="n"/>
      <c r="M2375" s="88" t="n"/>
      <c r="N2375" s="89" t="n"/>
      <c r="O2375" s="88" t="n"/>
      <c r="P2375" s="88" t="n"/>
      <c r="Q2375" s="88" t="n"/>
      <c r="R2375" s="89" t="n"/>
      <c r="S2375" s="88" t="n"/>
      <c r="T2375" s="88" t="n"/>
      <c r="U2375" s="88" t="n"/>
      <c r="V2375" s="89" t="n"/>
      <c r="W2375" s="88" t="n"/>
      <c r="X2375" s="89" t="n"/>
      <c r="Y2375" s="88" t="n"/>
      <c r="Z2375" s="89" t="n"/>
      <c r="AB2375" s="30">
        <f>IF($B2375="","",(COUNTIF(C2375:E2375,"?*")&lt;N(INDEX(Setup!$L$6:$L$23,18)))+(COUNTIF(G2375:I2375,"?*")&lt;N(INDEX(Setup!$L$6:$L$23,18)))+(COUNTIF(K2375:M2375,"?*")&lt;N(INDEX(Setup!$L$6:$L$23,18)))+(COUNTIF(O2375:Q2375,"?*")&lt;N(INDEX(Setup!$L$6:$L$23,18)))+(COUNTIF(S2375:U2375,"?*")&lt;N(INDEX(Setup!$L$6:$L$23,18)))+((W2375="")*(INDEX(Setup!$M$6:$M$23,18)="Y"))+((Y2375="")*(INDEX(Setup!$M$6:$M$23,18)="Y")))</f>
        <v/>
      </c>
      <c r="AC2375" s="91">
        <f>IF($B2375="","",IF(AB2375=0,"✓ covered","⚠ "&amp;AB2375&amp;IF(AB2375=1," gap"," gaps")))</f>
        <v/>
      </c>
    </row>
    <row r="2376" ht="18" customHeight="1">
      <c r="A2376" t="n">
        <v>48</v>
      </c>
      <c r="B2376" s="78" t="inlineStr">
        <is>
          <t>TEAM AVAILABILITY</t>
        </is>
      </c>
      <c r="C2376" s="92" t="inlineStr">
        <is>
          <t>Mon</t>
        </is>
      </c>
      <c r="D2376" s="93" t="n"/>
      <c r="E2376" s="93" t="n"/>
      <c r="F2376" s="94" t="n"/>
      <c r="G2376" s="92" t="inlineStr">
        <is>
          <t>Tue</t>
        </is>
      </c>
      <c r="H2376" s="93" t="n"/>
      <c r="I2376" s="93" t="n"/>
      <c r="J2376" s="94" t="n"/>
      <c r="K2376" s="92" t="inlineStr">
        <is>
          <t>Wed</t>
        </is>
      </c>
      <c r="L2376" s="93" t="n"/>
      <c r="M2376" s="93" t="n"/>
      <c r="N2376" s="94" t="n"/>
      <c r="O2376" s="92" t="inlineStr">
        <is>
          <t>Thu</t>
        </is>
      </c>
      <c r="P2376" s="93" t="n"/>
      <c r="Q2376" s="93" t="n"/>
      <c r="R2376" s="94" t="n"/>
      <c r="S2376" s="92" t="inlineStr">
        <is>
          <t>Fri</t>
        </is>
      </c>
      <c r="T2376" s="93" t="n"/>
      <c r="U2376" s="93" t="n"/>
      <c r="V2376" s="94" t="n"/>
      <c r="W2376" s="95" t="inlineStr">
        <is>
          <t>Sat</t>
        </is>
      </c>
      <c r="X2376" s="96" t="n"/>
      <c r="Y2376" s="95" t="inlineStr">
        <is>
          <t>Sun</t>
        </is>
      </c>
      <c r="Z2376" s="96" t="n"/>
      <c r="AB2376" s="97" t="inlineStr">
        <is>
          <t>Days rostered</t>
        </is>
      </c>
      <c r="AC2376" s="97" t="inlineStr">
        <is>
          <t>Conflicts</t>
        </is>
      </c>
    </row>
    <row r="2377" ht="15" customHeight="1">
      <c r="A2377" t="n">
        <v>48</v>
      </c>
      <c r="B2377" s="35">
        <f>IF(Setup!$B$6="","",Setup!$B$6)</f>
        <v/>
      </c>
      <c r="C2377" s="98" t="n"/>
      <c r="D2377" s="99" t="n"/>
      <c r="E2377" s="99" t="n"/>
      <c r="F2377" s="100" t="n"/>
      <c r="G2377" s="98" t="n"/>
      <c r="H2377" s="99" t="n"/>
      <c r="I2377" s="99" t="n"/>
      <c r="J2377" s="100" t="n"/>
      <c r="K2377" s="98" t="n"/>
      <c r="L2377" s="99" t="n"/>
      <c r="M2377" s="99" t="n"/>
      <c r="N2377" s="100" t="n"/>
      <c r="O2377" s="98" t="n"/>
      <c r="P2377" s="99" t="n"/>
      <c r="Q2377" s="99" t="n"/>
      <c r="R2377" s="100" t="n"/>
      <c r="S2377" s="98" t="n"/>
      <c r="T2377" s="99" t="n"/>
      <c r="U2377" s="99" t="n"/>
      <c r="V2377" s="100" t="n"/>
      <c r="W2377" s="98" t="n"/>
      <c r="X2377" s="100" t="n"/>
      <c r="Y2377" s="98" t="n"/>
      <c r="Z2377" s="100" t="n"/>
      <c r="AB2377" s="101">
        <f>IF($B2377="","",(COUNTIF(C2358:E2375,$B2377)+COUNTIF(C2358:E2375,$B2377&amp;" ~*")&gt;0)+(COUNTIF(G2358:I2375,$B2377)+COUNTIF(G2358:I2375,$B2377&amp;" ~*")&gt;0)+(COUNTIF(K2358:M2375,$B2377)+COUNTIF(K2358:M2375,$B2377&amp;" ~*")&gt;0)+(COUNTIF(O2358:Q2375,$B2377)+COUNTIF(O2358:Q2375,$B2377&amp;" ~*")&gt;0)+(COUNTIF(S2358:U2375,$B2377)+COUNTIF(S2358:U2375,$B2377&amp;" ~*")&gt;0)+(COUNTIF(W2358:W2375,$B2377)+COUNTIF(W2358:W2375,$B2377&amp;" ~*")&gt;0)+(COUNTIF(Y2358:Y2375,$B2377)+COUNTIF(Y2358:Y2375,$B2377&amp;" ~*")&gt;0))</f>
        <v/>
      </c>
      <c r="AC2377" s="36">
        <f>IF($B2377="","",(IFERROR(INDEX(Setup!$G$33:$G$40,MATCH(C2377,Setup!$B$33:$B$40,0)),0)=1)*(COUNTIF(C2358:E2375,$B2377)+COUNTIF(C2358:E2375,$B2377&amp;" ~*")&gt;0)+(IFERROR(INDEX(Setup!$G$33:$G$40,MATCH(G2377,Setup!$B$33:$B$40,0)),0)=1)*(COUNTIF(G2358:I2375,$B2377)+COUNTIF(G2358:I2375,$B2377&amp;" ~*")&gt;0)+(IFERROR(INDEX(Setup!$G$33:$G$40,MATCH(K2377,Setup!$B$33:$B$40,0)),0)=1)*(COUNTIF(K2358:M2375,$B2377)+COUNTIF(K2358:M2375,$B2377&amp;" ~*")&gt;0)+(IFERROR(INDEX(Setup!$G$33:$G$40,MATCH(O2377,Setup!$B$33:$B$40,0)),0)=1)*(COUNTIF(O2358:Q2375,$B2377)+COUNTIF(O2358:Q2375,$B2377&amp;" ~*")&gt;0)+(IFERROR(INDEX(Setup!$G$33:$G$40,MATCH(S2377,Setup!$B$33:$B$40,0)),0)=1)*(COUNTIF(S2358:U2375,$B2377)+COUNTIF(S2358:U2375,$B2377&amp;" ~*")&gt;0)+(IFERROR(INDEX(Setup!$G$33:$G$40,MATCH(W2377,Setup!$B$33:$B$40,0)),0)=1)*(COUNTIF(W2358:W2375,$B2377)+COUNTIF(W2358:W2375,$B2377&amp;" ~*")&gt;0)+(IFERROR(INDEX(Setup!$G$33:$G$40,MATCH(Y2377,Setup!$B$33:$B$40,0)),0)=1)*(COUNTIF(Y2358:Y2375,$B2377)+COUNTIF(Y2358:Y2375,$B2377&amp;" ~*")&gt;0))</f>
        <v/>
      </c>
    </row>
    <row r="2378" ht="15" customHeight="1">
      <c r="A2378" t="n">
        <v>48</v>
      </c>
      <c r="B2378" s="37">
        <f>IF(Setup!$B$7="","",Setup!$B$7)</f>
        <v/>
      </c>
      <c r="C2378" s="102" t="n"/>
      <c r="D2378" s="103" t="n"/>
      <c r="E2378" s="103" t="n"/>
      <c r="F2378" s="104" t="n"/>
      <c r="G2378" s="102" t="n"/>
      <c r="H2378" s="103" t="n"/>
      <c r="I2378" s="103" t="n"/>
      <c r="J2378" s="104" t="n"/>
      <c r="K2378" s="102" t="n"/>
      <c r="L2378" s="103" t="n"/>
      <c r="M2378" s="103" t="n"/>
      <c r="N2378" s="104" t="n"/>
      <c r="O2378" s="102" t="n"/>
      <c r="P2378" s="103" t="n"/>
      <c r="Q2378" s="103" t="n"/>
      <c r="R2378" s="104" t="n"/>
      <c r="S2378" s="102" t="n"/>
      <c r="T2378" s="103" t="n"/>
      <c r="U2378" s="103" t="n"/>
      <c r="V2378" s="104" t="n"/>
      <c r="W2378" s="102" t="n"/>
      <c r="X2378" s="104" t="n"/>
      <c r="Y2378" s="102" t="n"/>
      <c r="Z2378" s="104" t="n"/>
      <c r="AB2378" s="105">
        <f>IF($B2378="","",(COUNTIF(C2358:E2375,$B2378)+COUNTIF(C2358:E2375,$B2378&amp;" ~*")&gt;0)+(COUNTIF(G2358:I2375,$B2378)+COUNTIF(G2358:I2375,$B2378&amp;" ~*")&gt;0)+(COUNTIF(K2358:M2375,$B2378)+COUNTIF(K2358:M2375,$B2378&amp;" ~*")&gt;0)+(COUNTIF(O2358:Q2375,$B2378)+COUNTIF(O2358:Q2375,$B2378&amp;" ~*")&gt;0)+(COUNTIF(S2358:U2375,$B2378)+COUNTIF(S2358:U2375,$B2378&amp;" ~*")&gt;0)+(COUNTIF(W2358:W2375,$B2378)+COUNTIF(W2358:W2375,$B2378&amp;" ~*")&gt;0)+(COUNTIF(Y2358:Y2375,$B2378)+COUNTIF(Y2358:Y2375,$B2378&amp;" ~*")&gt;0))</f>
        <v/>
      </c>
      <c r="AC2378" s="38">
        <f>IF($B2378="","",(IFERROR(INDEX(Setup!$G$33:$G$40,MATCH(C2378,Setup!$B$33:$B$40,0)),0)=1)*(COUNTIF(C2358:E2375,$B2378)+COUNTIF(C2358:E2375,$B2378&amp;" ~*")&gt;0)+(IFERROR(INDEX(Setup!$G$33:$G$40,MATCH(G2378,Setup!$B$33:$B$40,0)),0)=1)*(COUNTIF(G2358:I2375,$B2378)+COUNTIF(G2358:I2375,$B2378&amp;" ~*")&gt;0)+(IFERROR(INDEX(Setup!$G$33:$G$40,MATCH(K2378,Setup!$B$33:$B$40,0)),0)=1)*(COUNTIF(K2358:M2375,$B2378)+COUNTIF(K2358:M2375,$B2378&amp;" ~*")&gt;0)+(IFERROR(INDEX(Setup!$G$33:$G$40,MATCH(O2378,Setup!$B$33:$B$40,0)),0)=1)*(COUNTIF(O2358:Q2375,$B2378)+COUNTIF(O2358:Q2375,$B2378&amp;" ~*")&gt;0)+(IFERROR(INDEX(Setup!$G$33:$G$40,MATCH(S2378,Setup!$B$33:$B$40,0)),0)=1)*(COUNTIF(S2358:U2375,$B2378)+COUNTIF(S2358:U2375,$B2378&amp;" ~*")&gt;0)+(IFERROR(INDEX(Setup!$G$33:$G$40,MATCH(W2378,Setup!$B$33:$B$40,0)),0)=1)*(COUNTIF(W2358:W2375,$B2378)+COUNTIF(W2358:W2375,$B2378&amp;" ~*")&gt;0)+(IFERROR(INDEX(Setup!$G$33:$G$40,MATCH(Y2378,Setup!$B$33:$B$40,0)),0)=1)*(COUNTIF(Y2358:Y2375,$B2378)+COUNTIF(Y2358:Y2375,$B2378&amp;" ~*")&gt;0))</f>
        <v/>
      </c>
    </row>
    <row r="2379" ht="15" customHeight="1">
      <c r="A2379" t="n">
        <v>48</v>
      </c>
      <c r="B2379" s="35">
        <f>IF(Setup!$B$8="","",Setup!$B$8)</f>
        <v/>
      </c>
      <c r="C2379" s="98" t="n"/>
      <c r="D2379" s="99" t="n"/>
      <c r="E2379" s="99" t="n"/>
      <c r="F2379" s="100" t="n"/>
      <c r="G2379" s="98" t="n"/>
      <c r="H2379" s="99" t="n"/>
      <c r="I2379" s="99" t="n"/>
      <c r="J2379" s="100" t="n"/>
      <c r="K2379" s="98" t="n"/>
      <c r="L2379" s="99" t="n"/>
      <c r="M2379" s="99" t="n"/>
      <c r="N2379" s="100" t="n"/>
      <c r="O2379" s="98" t="n"/>
      <c r="P2379" s="99" t="n"/>
      <c r="Q2379" s="99" t="n"/>
      <c r="R2379" s="100" t="n"/>
      <c r="S2379" s="98" t="n"/>
      <c r="T2379" s="99" t="n"/>
      <c r="U2379" s="99" t="n"/>
      <c r="V2379" s="100" t="n"/>
      <c r="W2379" s="98" t="n"/>
      <c r="X2379" s="100" t="n"/>
      <c r="Y2379" s="98" t="n"/>
      <c r="Z2379" s="100" t="n"/>
      <c r="AB2379" s="101">
        <f>IF($B2379="","",(COUNTIF(C2358:E2375,$B2379)+COUNTIF(C2358:E2375,$B2379&amp;" ~*")&gt;0)+(COUNTIF(G2358:I2375,$B2379)+COUNTIF(G2358:I2375,$B2379&amp;" ~*")&gt;0)+(COUNTIF(K2358:M2375,$B2379)+COUNTIF(K2358:M2375,$B2379&amp;" ~*")&gt;0)+(COUNTIF(O2358:Q2375,$B2379)+COUNTIF(O2358:Q2375,$B2379&amp;" ~*")&gt;0)+(COUNTIF(S2358:U2375,$B2379)+COUNTIF(S2358:U2375,$B2379&amp;" ~*")&gt;0)+(COUNTIF(W2358:W2375,$B2379)+COUNTIF(W2358:W2375,$B2379&amp;" ~*")&gt;0)+(COUNTIF(Y2358:Y2375,$B2379)+COUNTIF(Y2358:Y2375,$B2379&amp;" ~*")&gt;0))</f>
        <v/>
      </c>
      <c r="AC2379" s="36">
        <f>IF($B2379="","",(IFERROR(INDEX(Setup!$G$33:$G$40,MATCH(C2379,Setup!$B$33:$B$40,0)),0)=1)*(COUNTIF(C2358:E2375,$B2379)+COUNTIF(C2358:E2375,$B2379&amp;" ~*")&gt;0)+(IFERROR(INDEX(Setup!$G$33:$G$40,MATCH(G2379,Setup!$B$33:$B$40,0)),0)=1)*(COUNTIF(G2358:I2375,$B2379)+COUNTIF(G2358:I2375,$B2379&amp;" ~*")&gt;0)+(IFERROR(INDEX(Setup!$G$33:$G$40,MATCH(K2379,Setup!$B$33:$B$40,0)),0)=1)*(COUNTIF(K2358:M2375,$B2379)+COUNTIF(K2358:M2375,$B2379&amp;" ~*")&gt;0)+(IFERROR(INDEX(Setup!$G$33:$G$40,MATCH(O2379,Setup!$B$33:$B$40,0)),0)=1)*(COUNTIF(O2358:Q2375,$B2379)+COUNTIF(O2358:Q2375,$B2379&amp;" ~*")&gt;0)+(IFERROR(INDEX(Setup!$G$33:$G$40,MATCH(S2379,Setup!$B$33:$B$40,0)),0)=1)*(COUNTIF(S2358:U2375,$B2379)+COUNTIF(S2358:U2375,$B2379&amp;" ~*")&gt;0)+(IFERROR(INDEX(Setup!$G$33:$G$40,MATCH(W2379,Setup!$B$33:$B$40,0)),0)=1)*(COUNTIF(W2358:W2375,$B2379)+COUNTIF(W2358:W2375,$B2379&amp;" ~*")&gt;0)+(IFERROR(INDEX(Setup!$G$33:$G$40,MATCH(Y2379,Setup!$B$33:$B$40,0)),0)=1)*(COUNTIF(Y2358:Y2375,$B2379)+COUNTIF(Y2358:Y2375,$B2379&amp;" ~*")&gt;0))</f>
        <v/>
      </c>
    </row>
    <row r="2380" ht="15" customHeight="1">
      <c r="A2380" t="n">
        <v>48</v>
      </c>
      <c r="B2380" s="37">
        <f>IF(Setup!$B$9="","",Setup!$B$9)</f>
        <v/>
      </c>
      <c r="C2380" s="102" t="n"/>
      <c r="D2380" s="103" t="n"/>
      <c r="E2380" s="103" t="n"/>
      <c r="F2380" s="104" t="n"/>
      <c r="G2380" s="102" t="n"/>
      <c r="H2380" s="103" t="n"/>
      <c r="I2380" s="103" t="n"/>
      <c r="J2380" s="104" t="n"/>
      <c r="K2380" s="102" t="n"/>
      <c r="L2380" s="103" t="n"/>
      <c r="M2380" s="103" t="n"/>
      <c r="N2380" s="104" t="n"/>
      <c r="O2380" s="102" t="n"/>
      <c r="P2380" s="103" t="n"/>
      <c r="Q2380" s="103" t="n"/>
      <c r="R2380" s="104" t="n"/>
      <c r="S2380" s="102" t="n"/>
      <c r="T2380" s="103" t="n"/>
      <c r="U2380" s="103" t="n"/>
      <c r="V2380" s="104" t="n"/>
      <c r="W2380" s="102" t="n"/>
      <c r="X2380" s="104" t="n"/>
      <c r="Y2380" s="102" t="n"/>
      <c r="Z2380" s="104" t="n"/>
      <c r="AB2380" s="105">
        <f>IF($B2380="","",(COUNTIF(C2358:E2375,$B2380)+COUNTIF(C2358:E2375,$B2380&amp;" ~*")&gt;0)+(COUNTIF(G2358:I2375,$B2380)+COUNTIF(G2358:I2375,$B2380&amp;" ~*")&gt;0)+(COUNTIF(K2358:M2375,$B2380)+COUNTIF(K2358:M2375,$B2380&amp;" ~*")&gt;0)+(COUNTIF(O2358:Q2375,$B2380)+COUNTIF(O2358:Q2375,$B2380&amp;" ~*")&gt;0)+(COUNTIF(S2358:U2375,$B2380)+COUNTIF(S2358:U2375,$B2380&amp;" ~*")&gt;0)+(COUNTIF(W2358:W2375,$B2380)+COUNTIF(W2358:W2375,$B2380&amp;" ~*")&gt;0)+(COUNTIF(Y2358:Y2375,$B2380)+COUNTIF(Y2358:Y2375,$B2380&amp;" ~*")&gt;0))</f>
        <v/>
      </c>
      <c r="AC2380" s="38">
        <f>IF($B2380="","",(IFERROR(INDEX(Setup!$G$33:$G$40,MATCH(C2380,Setup!$B$33:$B$40,0)),0)=1)*(COUNTIF(C2358:E2375,$B2380)+COUNTIF(C2358:E2375,$B2380&amp;" ~*")&gt;0)+(IFERROR(INDEX(Setup!$G$33:$G$40,MATCH(G2380,Setup!$B$33:$B$40,0)),0)=1)*(COUNTIF(G2358:I2375,$B2380)+COUNTIF(G2358:I2375,$B2380&amp;" ~*")&gt;0)+(IFERROR(INDEX(Setup!$G$33:$G$40,MATCH(K2380,Setup!$B$33:$B$40,0)),0)=1)*(COUNTIF(K2358:M2375,$B2380)+COUNTIF(K2358:M2375,$B2380&amp;" ~*")&gt;0)+(IFERROR(INDEX(Setup!$G$33:$G$40,MATCH(O2380,Setup!$B$33:$B$40,0)),0)=1)*(COUNTIF(O2358:Q2375,$B2380)+COUNTIF(O2358:Q2375,$B2380&amp;" ~*")&gt;0)+(IFERROR(INDEX(Setup!$G$33:$G$40,MATCH(S2380,Setup!$B$33:$B$40,0)),0)=1)*(COUNTIF(S2358:U2375,$B2380)+COUNTIF(S2358:U2375,$B2380&amp;" ~*")&gt;0)+(IFERROR(INDEX(Setup!$G$33:$G$40,MATCH(W2380,Setup!$B$33:$B$40,0)),0)=1)*(COUNTIF(W2358:W2375,$B2380)+COUNTIF(W2358:W2375,$B2380&amp;" ~*")&gt;0)+(IFERROR(INDEX(Setup!$G$33:$G$40,MATCH(Y2380,Setup!$B$33:$B$40,0)),0)=1)*(COUNTIF(Y2358:Y2375,$B2380)+COUNTIF(Y2358:Y2375,$B2380&amp;" ~*")&gt;0))</f>
        <v/>
      </c>
    </row>
    <row r="2381" ht="15" customHeight="1">
      <c r="A2381" t="n">
        <v>48</v>
      </c>
      <c r="B2381" s="35">
        <f>IF(Setup!$B$10="","",Setup!$B$10)</f>
        <v/>
      </c>
      <c r="C2381" s="98" t="n"/>
      <c r="D2381" s="99" t="n"/>
      <c r="E2381" s="99" t="n"/>
      <c r="F2381" s="100" t="n"/>
      <c r="G2381" s="98" t="n"/>
      <c r="H2381" s="99" t="n"/>
      <c r="I2381" s="99" t="n"/>
      <c r="J2381" s="100" t="n"/>
      <c r="K2381" s="98" t="n"/>
      <c r="L2381" s="99" t="n"/>
      <c r="M2381" s="99" t="n"/>
      <c r="N2381" s="100" t="n"/>
      <c r="O2381" s="98" t="n"/>
      <c r="P2381" s="99" t="n"/>
      <c r="Q2381" s="99" t="n"/>
      <c r="R2381" s="100" t="n"/>
      <c r="S2381" s="98" t="n"/>
      <c r="T2381" s="99" t="n"/>
      <c r="U2381" s="99" t="n"/>
      <c r="V2381" s="100" t="n"/>
      <c r="W2381" s="98" t="n"/>
      <c r="X2381" s="100" t="n"/>
      <c r="Y2381" s="98" t="n"/>
      <c r="Z2381" s="100" t="n"/>
      <c r="AB2381" s="101">
        <f>IF($B2381="","",(COUNTIF(C2358:E2375,$B2381)+COUNTIF(C2358:E2375,$B2381&amp;" ~*")&gt;0)+(COUNTIF(G2358:I2375,$B2381)+COUNTIF(G2358:I2375,$B2381&amp;" ~*")&gt;0)+(COUNTIF(K2358:M2375,$B2381)+COUNTIF(K2358:M2375,$B2381&amp;" ~*")&gt;0)+(COUNTIF(O2358:Q2375,$B2381)+COUNTIF(O2358:Q2375,$B2381&amp;" ~*")&gt;0)+(COUNTIF(S2358:U2375,$B2381)+COUNTIF(S2358:U2375,$B2381&amp;" ~*")&gt;0)+(COUNTIF(W2358:W2375,$B2381)+COUNTIF(W2358:W2375,$B2381&amp;" ~*")&gt;0)+(COUNTIF(Y2358:Y2375,$B2381)+COUNTIF(Y2358:Y2375,$B2381&amp;" ~*")&gt;0))</f>
        <v/>
      </c>
      <c r="AC2381" s="36">
        <f>IF($B2381="","",(IFERROR(INDEX(Setup!$G$33:$G$40,MATCH(C2381,Setup!$B$33:$B$40,0)),0)=1)*(COUNTIF(C2358:E2375,$B2381)+COUNTIF(C2358:E2375,$B2381&amp;" ~*")&gt;0)+(IFERROR(INDEX(Setup!$G$33:$G$40,MATCH(G2381,Setup!$B$33:$B$40,0)),0)=1)*(COUNTIF(G2358:I2375,$B2381)+COUNTIF(G2358:I2375,$B2381&amp;" ~*")&gt;0)+(IFERROR(INDEX(Setup!$G$33:$G$40,MATCH(K2381,Setup!$B$33:$B$40,0)),0)=1)*(COUNTIF(K2358:M2375,$B2381)+COUNTIF(K2358:M2375,$B2381&amp;" ~*")&gt;0)+(IFERROR(INDEX(Setup!$G$33:$G$40,MATCH(O2381,Setup!$B$33:$B$40,0)),0)=1)*(COUNTIF(O2358:Q2375,$B2381)+COUNTIF(O2358:Q2375,$B2381&amp;" ~*")&gt;0)+(IFERROR(INDEX(Setup!$G$33:$G$40,MATCH(S2381,Setup!$B$33:$B$40,0)),0)=1)*(COUNTIF(S2358:U2375,$B2381)+COUNTIF(S2358:U2375,$B2381&amp;" ~*")&gt;0)+(IFERROR(INDEX(Setup!$G$33:$G$40,MATCH(W2381,Setup!$B$33:$B$40,0)),0)=1)*(COUNTIF(W2358:W2375,$B2381)+COUNTIF(W2358:W2375,$B2381&amp;" ~*")&gt;0)+(IFERROR(INDEX(Setup!$G$33:$G$40,MATCH(Y2381,Setup!$B$33:$B$40,0)),0)=1)*(COUNTIF(Y2358:Y2375,$B2381)+COUNTIF(Y2358:Y2375,$B2381&amp;" ~*")&gt;0))</f>
        <v/>
      </c>
    </row>
    <row r="2382" ht="15" customHeight="1">
      <c r="A2382" t="n">
        <v>48</v>
      </c>
      <c r="B2382" s="37">
        <f>IF(Setup!$B$11="","",Setup!$B$11)</f>
        <v/>
      </c>
      <c r="C2382" s="102" t="n"/>
      <c r="D2382" s="103" t="n"/>
      <c r="E2382" s="103" t="n"/>
      <c r="F2382" s="104" t="n"/>
      <c r="G2382" s="102" t="n"/>
      <c r="H2382" s="103" t="n"/>
      <c r="I2382" s="103" t="n"/>
      <c r="J2382" s="104" t="n"/>
      <c r="K2382" s="102" t="n"/>
      <c r="L2382" s="103" t="n"/>
      <c r="M2382" s="103" t="n"/>
      <c r="N2382" s="104" t="n"/>
      <c r="O2382" s="102" t="n"/>
      <c r="P2382" s="103" t="n"/>
      <c r="Q2382" s="103" t="n"/>
      <c r="R2382" s="104" t="n"/>
      <c r="S2382" s="102" t="n"/>
      <c r="T2382" s="103" t="n"/>
      <c r="U2382" s="103" t="n"/>
      <c r="V2382" s="104" t="n"/>
      <c r="W2382" s="102" t="n"/>
      <c r="X2382" s="104" t="n"/>
      <c r="Y2382" s="102" t="n"/>
      <c r="Z2382" s="104" t="n"/>
      <c r="AB2382" s="105">
        <f>IF($B2382="","",(COUNTIF(C2358:E2375,$B2382)+COUNTIF(C2358:E2375,$B2382&amp;" ~*")&gt;0)+(COUNTIF(G2358:I2375,$B2382)+COUNTIF(G2358:I2375,$B2382&amp;" ~*")&gt;0)+(COUNTIF(K2358:M2375,$B2382)+COUNTIF(K2358:M2375,$B2382&amp;" ~*")&gt;0)+(COUNTIF(O2358:Q2375,$B2382)+COUNTIF(O2358:Q2375,$B2382&amp;" ~*")&gt;0)+(COUNTIF(S2358:U2375,$B2382)+COUNTIF(S2358:U2375,$B2382&amp;" ~*")&gt;0)+(COUNTIF(W2358:W2375,$B2382)+COUNTIF(W2358:W2375,$B2382&amp;" ~*")&gt;0)+(COUNTIF(Y2358:Y2375,$B2382)+COUNTIF(Y2358:Y2375,$B2382&amp;" ~*")&gt;0))</f>
        <v/>
      </c>
      <c r="AC2382" s="38">
        <f>IF($B2382="","",(IFERROR(INDEX(Setup!$G$33:$G$40,MATCH(C2382,Setup!$B$33:$B$40,0)),0)=1)*(COUNTIF(C2358:E2375,$B2382)+COUNTIF(C2358:E2375,$B2382&amp;" ~*")&gt;0)+(IFERROR(INDEX(Setup!$G$33:$G$40,MATCH(G2382,Setup!$B$33:$B$40,0)),0)=1)*(COUNTIF(G2358:I2375,$B2382)+COUNTIF(G2358:I2375,$B2382&amp;" ~*")&gt;0)+(IFERROR(INDEX(Setup!$G$33:$G$40,MATCH(K2382,Setup!$B$33:$B$40,0)),0)=1)*(COUNTIF(K2358:M2375,$B2382)+COUNTIF(K2358:M2375,$B2382&amp;" ~*")&gt;0)+(IFERROR(INDEX(Setup!$G$33:$G$40,MATCH(O2382,Setup!$B$33:$B$40,0)),0)=1)*(COUNTIF(O2358:Q2375,$B2382)+COUNTIF(O2358:Q2375,$B2382&amp;" ~*")&gt;0)+(IFERROR(INDEX(Setup!$G$33:$G$40,MATCH(S2382,Setup!$B$33:$B$40,0)),0)=1)*(COUNTIF(S2358:U2375,$B2382)+COUNTIF(S2358:U2375,$B2382&amp;" ~*")&gt;0)+(IFERROR(INDEX(Setup!$G$33:$G$40,MATCH(W2382,Setup!$B$33:$B$40,0)),0)=1)*(COUNTIF(W2358:W2375,$B2382)+COUNTIF(W2358:W2375,$B2382&amp;" ~*")&gt;0)+(IFERROR(INDEX(Setup!$G$33:$G$40,MATCH(Y2382,Setup!$B$33:$B$40,0)),0)=1)*(COUNTIF(Y2358:Y2375,$B2382)+COUNTIF(Y2358:Y2375,$B2382&amp;" ~*")&gt;0))</f>
        <v/>
      </c>
    </row>
    <row r="2383" ht="15" customHeight="1">
      <c r="A2383" t="n">
        <v>48</v>
      </c>
      <c r="B2383" s="35">
        <f>IF(Setup!$B$12="","",Setup!$B$12)</f>
        <v/>
      </c>
      <c r="C2383" s="98" t="n"/>
      <c r="D2383" s="99" t="n"/>
      <c r="E2383" s="99" t="n"/>
      <c r="F2383" s="100" t="n"/>
      <c r="G2383" s="98" t="n"/>
      <c r="H2383" s="99" t="n"/>
      <c r="I2383" s="99" t="n"/>
      <c r="J2383" s="100" t="n"/>
      <c r="K2383" s="98" t="n"/>
      <c r="L2383" s="99" t="n"/>
      <c r="M2383" s="99" t="n"/>
      <c r="N2383" s="100" t="n"/>
      <c r="O2383" s="98" t="n"/>
      <c r="P2383" s="99" t="n"/>
      <c r="Q2383" s="99" t="n"/>
      <c r="R2383" s="100" t="n"/>
      <c r="S2383" s="98" t="n"/>
      <c r="T2383" s="99" t="n"/>
      <c r="U2383" s="99" t="n"/>
      <c r="V2383" s="100" t="n"/>
      <c r="W2383" s="98" t="n"/>
      <c r="X2383" s="100" t="n"/>
      <c r="Y2383" s="98" t="n"/>
      <c r="Z2383" s="100" t="n"/>
      <c r="AB2383" s="101">
        <f>IF($B2383="","",(COUNTIF(C2358:E2375,$B2383)+COUNTIF(C2358:E2375,$B2383&amp;" ~*")&gt;0)+(COUNTIF(G2358:I2375,$B2383)+COUNTIF(G2358:I2375,$B2383&amp;" ~*")&gt;0)+(COUNTIF(K2358:M2375,$B2383)+COUNTIF(K2358:M2375,$B2383&amp;" ~*")&gt;0)+(COUNTIF(O2358:Q2375,$B2383)+COUNTIF(O2358:Q2375,$B2383&amp;" ~*")&gt;0)+(COUNTIF(S2358:U2375,$B2383)+COUNTIF(S2358:U2375,$B2383&amp;" ~*")&gt;0)+(COUNTIF(W2358:W2375,$B2383)+COUNTIF(W2358:W2375,$B2383&amp;" ~*")&gt;0)+(COUNTIF(Y2358:Y2375,$B2383)+COUNTIF(Y2358:Y2375,$B2383&amp;" ~*")&gt;0))</f>
        <v/>
      </c>
      <c r="AC2383" s="36">
        <f>IF($B2383="","",(IFERROR(INDEX(Setup!$G$33:$G$40,MATCH(C2383,Setup!$B$33:$B$40,0)),0)=1)*(COUNTIF(C2358:E2375,$B2383)+COUNTIF(C2358:E2375,$B2383&amp;" ~*")&gt;0)+(IFERROR(INDEX(Setup!$G$33:$G$40,MATCH(G2383,Setup!$B$33:$B$40,0)),0)=1)*(COUNTIF(G2358:I2375,$B2383)+COUNTIF(G2358:I2375,$B2383&amp;" ~*")&gt;0)+(IFERROR(INDEX(Setup!$G$33:$G$40,MATCH(K2383,Setup!$B$33:$B$40,0)),0)=1)*(COUNTIF(K2358:M2375,$B2383)+COUNTIF(K2358:M2375,$B2383&amp;" ~*")&gt;0)+(IFERROR(INDEX(Setup!$G$33:$G$40,MATCH(O2383,Setup!$B$33:$B$40,0)),0)=1)*(COUNTIF(O2358:Q2375,$B2383)+COUNTIF(O2358:Q2375,$B2383&amp;" ~*")&gt;0)+(IFERROR(INDEX(Setup!$G$33:$G$40,MATCH(S2383,Setup!$B$33:$B$40,0)),0)=1)*(COUNTIF(S2358:U2375,$B2383)+COUNTIF(S2358:U2375,$B2383&amp;" ~*")&gt;0)+(IFERROR(INDEX(Setup!$G$33:$G$40,MATCH(W2383,Setup!$B$33:$B$40,0)),0)=1)*(COUNTIF(W2358:W2375,$B2383)+COUNTIF(W2358:W2375,$B2383&amp;" ~*")&gt;0)+(IFERROR(INDEX(Setup!$G$33:$G$40,MATCH(Y2383,Setup!$B$33:$B$40,0)),0)=1)*(COUNTIF(Y2358:Y2375,$B2383)+COUNTIF(Y2358:Y2375,$B2383&amp;" ~*")&gt;0))</f>
        <v/>
      </c>
    </row>
    <row r="2384" ht="15" customHeight="1">
      <c r="A2384" t="n">
        <v>48</v>
      </c>
      <c r="B2384" s="37">
        <f>IF(Setup!$B$13="","",Setup!$B$13)</f>
        <v/>
      </c>
      <c r="C2384" s="102" t="n"/>
      <c r="D2384" s="103" t="n"/>
      <c r="E2384" s="103" t="n"/>
      <c r="F2384" s="104" t="n"/>
      <c r="G2384" s="102" t="n"/>
      <c r="H2384" s="103" t="n"/>
      <c r="I2384" s="103" t="n"/>
      <c r="J2384" s="104" t="n"/>
      <c r="K2384" s="102" t="n"/>
      <c r="L2384" s="103" t="n"/>
      <c r="M2384" s="103" t="n"/>
      <c r="N2384" s="104" t="n"/>
      <c r="O2384" s="102" t="inlineStr">
        <is>
          <t>AL</t>
        </is>
      </c>
      <c r="P2384" s="103" t="n"/>
      <c r="Q2384" s="103" t="n"/>
      <c r="R2384" s="104" t="n"/>
      <c r="S2384" s="102" t="inlineStr">
        <is>
          <t>AL</t>
        </is>
      </c>
      <c r="T2384" s="103" t="n"/>
      <c r="U2384" s="103" t="n"/>
      <c r="V2384" s="104" t="n"/>
      <c r="W2384" s="102" t="n"/>
      <c r="X2384" s="104" t="n"/>
      <c r="Y2384" s="102" t="n"/>
      <c r="Z2384" s="104" t="n"/>
      <c r="AB2384" s="105">
        <f>IF($B2384="","",(COUNTIF(C2358:E2375,$B2384)+COUNTIF(C2358:E2375,$B2384&amp;" ~*")&gt;0)+(COUNTIF(G2358:I2375,$B2384)+COUNTIF(G2358:I2375,$B2384&amp;" ~*")&gt;0)+(COUNTIF(K2358:M2375,$B2384)+COUNTIF(K2358:M2375,$B2384&amp;" ~*")&gt;0)+(COUNTIF(O2358:Q2375,$B2384)+COUNTIF(O2358:Q2375,$B2384&amp;" ~*")&gt;0)+(COUNTIF(S2358:U2375,$B2384)+COUNTIF(S2358:U2375,$B2384&amp;" ~*")&gt;0)+(COUNTIF(W2358:W2375,$B2384)+COUNTIF(W2358:W2375,$B2384&amp;" ~*")&gt;0)+(COUNTIF(Y2358:Y2375,$B2384)+COUNTIF(Y2358:Y2375,$B2384&amp;" ~*")&gt;0))</f>
        <v/>
      </c>
      <c r="AC2384" s="38">
        <f>IF($B2384="","",(IFERROR(INDEX(Setup!$G$33:$G$40,MATCH(C2384,Setup!$B$33:$B$40,0)),0)=1)*(COUNTIF(C2358:E2375,$B2384)+COUNTIF(C2358:E2375,$B2384&amp;" ~*")&gt;0)+(IFERROR(INDEX(Setup!$G$33:$G$40,MATCH(G2384,Setup!$B$33:$B$40,0)),0)=1)*(COUNTIF(G2358:I2375,$B2384)+COUNTIF(G2358:I2375,$B2384&amp;" ~*")&gt;0)+(IFERROR(INDEX(Setup!$G$33:$G$40,MATCH(K2384,Setup!$B$33:$B$40,0)),0)=1)*(COUNTIF(K2358:M2375,$B2384)+COUNTIF(K2358:M2375,$B2384&amp;" ~*")&gt;0)+(IFERROR(INDEX(Setup!$G$33:$G$40,MATCH(O2384,Setup!$B$33:$B$40,0)),0)=1)*(COUNTIF(O2358:Q2375,$B2384)+COUNTIF(O2358:Q2375,$B2384&amp;" ~*")&gt;0)+(IFERROR(INDEX(Setup!$G$33:$G$40,MATCH(S2384,Setup!$B$33:$B$40,0)),0)=1)*(COUNTIF(S2358:U2375,$B2384)+COUNTIF(S2358:U2375,$B2384&amp;" ~*")&gt;0)+(IFERROR(INDEX(Setup!$G$33:$G$40,MATCH(W2384,Setup!$B$33:$B$40,0)),0)=1)*(COUNTIF(W2358:W2375,$B2384)+COUNTIF(W2358:W2375,$B2384&amp;" ~*")&gt;0)+(IFERROR(INDEX(Setup!$G$33:$G$40,MATCH(Y2384,Setup!$B$33:$B$40,0)),0)=1)*(COUNTIF(Y2358:Y2375,$B2384)+COUNTIF(Y2358:Y2375,$B2384&amp;" ~*")&gt;0))</f>
        <v/>
      </c>
    </row>
    <row r="2385" ht="15" customHeight="1">
      <c r="A2385" t="n">
        <v>48</v>
      </c>
      <c r="B2385" s="35">
        <f>IF(Setup!$B$14="","",Setup!$B$14)</f>
        <v/>
      </c>
      <c r="C2385" s="98" t="n"/>
      <c r="D2385" s="99" t="n"/>
      <c r="E2385" s="99" t="n"/>
      <c r="F2385" s="100" t="n"/>
      <c r="G2385" s="98" t="n"/>
      <c r="H2385" s="99" t="n"/>
      <c r="I2385" s="99" t="n"/>
      <c r="J2385" s="100" t="n"/>
      <c r="K2385" s="98" t="n"/>
      <c r="L2385" s="99" t="n"/>
      <c r="M2385" s="99" t="n"/>
      <c r="N2385" s="100" t="n"/>
      <c r="O2385" s="98" t="n"/>
      <c r="P2385" s="99" t="n"/>
      <c r="Q2385" s="99" t="n"/>
      <c r="R2385" s="100" t="n"/>
      <c r="S2385" s="98" t="n"/>
      <c r="T2385" s="99" t="n"/>
      <c r="U2385" s="99" t="n"/>
      <c r="V2385" s="100" t="n"/>
      <c r="W2385" s="98" t="n"/>
      <c r="X2385" s="100" t="n"/>
      <c r="Y2385" s="98" t="n"/>
      <c r="Z2385" s="100" t="n"/>
      <c r="AB2385" s="101">
        <f>IF($B2385="","",(COUNTIF(C2358:E2375,$B2385)+COUNTIF(C2358:E2375,$B2385&amp;" ~*")&gt;0)+(COUNTIF(G2358:I2375,$B2385)+COUNTIF(G2358:I2375,$B2385&amp;" ~*")&gt;0)+(COUNTIF(K2358:M2375,$B2385)+COUNTIF(K2358:M2375,$B2385&amp;" ~*")&gt;0)+(COUNTIF(O2358:Q2375,$B2385)+COUNTIF(O2358:Q2375,$B2385&amp;" ~*")&gt;0)+(COUNTIF(S2358:U2375,$B2385)+COUNTIF(S2358:U2375,$B2385&amp;" ~*")&gt;0)+(COUNTIF(W2358:W2375,$B2385)+COUNTIF(W2358:W2375,$B2385&amp;" ~*")&gt;0)+(COUNTIF(Y2358:Y2375,$B2385)+COUNTIF(Y2358:Y2375,$B2385&amp;" ~*")&gt;0))</f>
        <v/>
      </c>
      <c r="AC2385" s="36">
        <f>IF($B2385="","",(IFERROR(INDEX(Setup!$G$33:$G$40,MATCH(C2385,Setup!$B$33:$B$40,0)),0)=1)*(COUNTIF(C2358:E2375,$B2385)+COUNTIF(C2358:E2375,$B2385&amp;" ~*")&gt;0)+(IFERROR(INDEX(Setup!$G$33:$G$40,MATCH(G2385,Setup!$B$33:$B$40,0)),0)=1)*(COUNTIF(G2358:I2375,$B2385)+COUNTIF(G2358:I2375,$B2385&amp;" ~*")&gt;0)+(IFERROR(INDEX(Setup!$G$33:$G$40,MATCH(K2385,Setup!$B$33:$B$40,0)),0)=1)*(COUNTIF(K2358:M2375,$B2385)+COUNTIF(K2358:M2375,$B2385&amp;" ~*")&gt;0)+(IFERROR(INDEX(Setup!$G$33:$G$40,MATCH(O2385,Setup!$B$33:$B$40,0)),0)=1)*(COUNTIF(O2358:Q2375,$B2385)+COUNTIF(O2358:Q2375,$B2385&amp;" ~*")&gt;0)+(IFERROR(INDEX(Setup!$G$33:$G$40,MATCH(S2385,Setup!$B$33:$B$40,0)),0)=1)*(COUNTIF(S2358:U2375,$B2385)+COUNTIF(S2358:U2375,$B2385&amp;" ~*")&gt;0)+(IFERROR(INDEX(Setup!$G$33:$G$40,MATCH(W2385,Setup!$B$33:$B$40,0)),0)=1)*(COUNTIF(W2358:W2375,$B2385)+COUNTIF(W2358:W2375,$B2385&amp;" ~*")&gt;0)+(IFERROR(INDEX(Setup!$G$33:$G$40,MATCH(Y2385,Setup!$B$33:$B$40,0)),0)=1)*(COUNTIF(Y2358:Y2375,$B2385)+COUNTIF(Y2358:Y2375,$B2385&amp;" ~*")&gt;0))</f>
        <v/>
      </c>
    </row>
    <row r="2386" ht="15" customHeight="1">
      <c r="A2386" t="n">
        <v>48</v>
      </c>
      <c r="B2386" s="37">
        <f>IF(Setup!$B$15="","",Setup!$B$15)</f>
        <v/>
      </c>
      <c r="C2386" s="102" t="n"/>
      <c r="D2386" s="103" t="n"/>
      <c r="E2386" s="103" t="n"/>
      <c r="F2386" s="104" t="n"/>
      <c r="G2386" s="102" t="n"/>
      <c r="H2386" s="103" t="n"/>
      <c r="I2386" s="103" t="n"/>
      <c r="J2386" s="104" t="n"/>
      <c r="K2386" s="102" t="n"/>
      <c r="L2386" s="103" t="n"/>
      <c r="M2386" s="103" t="n"/>
      <c r="N2386" s="104" t="n"/>
      <c r="O2386" s="102" t="n"/>
      <c r="P2386" s="103" t="n"/>
      <c r="Q2386" s="103" t="n"/>
      <c r="R2386" s="104" t="n"/>
      <c r="S2386" s="102" t="n"/>
      <c r="T2386" s="103" t="n"/>
      <c r="U2386" s="103" t="n"/>
      <c r="V2386" s="104" t="n"/>
      <c r="W2386" s="102" t="n"/>
      <c r="X2386" s="104" t="n"/>
      <c r="Y2386" s="102" t="n"/>
      <c r="Z2386" s="104" t="n"/>
      <c r="AB2386" s="105">
        <f>IF($B2386="","",(COUNTIF(C2358:E2375,$B2386)+COUNTIF(C2358:E2375,$B2386&amp;" ~*")&gt;0)+(COUNTIF(G2358:I2375,$B2386)+COUNTIF(G2358:I2375,$B2386&amp;" ~*")&gt;0)+(COUNTIF(K2358:M2375,$B2386)+COUNTIF(K2358:M2375,$B2386&amp;" ~*")&gt;0)+(COUNTIF(O2358:Q2375,$B2386)+COUNTIF(O2358:Q2375,$B2386&amp;" ~*")&gt;0)+(COUNTIF(S2358:U2375,$B2386)+COUNTIF(S2358:U2375,$B2386&amp;" ~*")&gt;0)+(COUNTIF(W2358:W2375,$B2386)+COUNTIF(W2358:W2375,$B2386&amp;" ~*")&gt;0)+(COUNTIF(Y2358:Y2375,$B2386)+COUNTIF(Y2358:Y2375,$B2386&amp;" ~*")&gt;0))</f>
        <v/>
      </c>
      <c r="AC2386" s="38">
        <f>IF($B2386="","",(IFERROR(INDEX(Setup!$G$33:$G$40,MATCH(C2386,Setup!$B$33:$B$40,0)),0)=1)*(COUNTIF(C2358:E2375,$B2386)+COUNTIF(C2358:E2375,$B2386&amp;" ~*")&gt;0)+(IFERROR(INDEX(Setup!$G$33:$G$40,MATCH(G2386,Setup!$B$33:$B$40,0)),0)=1)*(COUNTIF(G2358:I2375,$B2386)+COUNTIF(G2358:I2375,$B2386&amp;" ~*")&gt;0)+(IFERROR(INDEX(Setup!$G$33:$G$40,MATCH(K2386,Setup!$B$33:$B$40,0)),0)=1)*(COUNTIF(K2358:M2375,$B2386)+COUNTIF(K2358:M2375,$B2386&amp;" ~*")&gt;0)+(IFERROR(INDEX(Setup!$G$33:$G$40,MATCH(O2386,Setup!$B$33:$B$40,0)),0)=1)*(COUNTIF(O2358:Q2375,$B2386)+COUNTIF(O2358:Q2375,$B2386&amp;" ~*")&gt;0)+(IFERROR(INDEX(Setup!$G$33:$G$40,MATCH(S2386,Setup!$B$33:$B$40,0)),0)=1)*(COUNTIF(S2358:U2375,$B2386)+COUNTIF(S2358:U2375,$B2386&amp;" ~*")&gt;0)+(IFERROR(INDEX(Setup!$G$33:$G$40,MATCH(W2386,Setup!$B$33:$B$40,0)),0)=1)*(COUNTIF(W2358:W2375,$B2386)+COUNTIF(W2358:W2375,$B2386&amp;" ~*")&gt;0)+(IFERROR(INDEX(Setup!$G$33:$G$40,MATCH(Y2386,Setup!$B$33:$B$40,0)),0)=1)*(COUNTIF(Y2358:Y2375,$B2386)+COUNTIF(Y2358:Y2375,$B2386&amp;" ~*")&gt;0))</f>
        <v/>
      </c>
    </row>
    <row r="2387" ht="15" customHeight="1">
      <c r="A2387" t="n">
        <v>48</v>
      </c>
      <c r="B2387" s="35">
        <f>IF(Setup!$B$16="","",Setup!$B$16)</f>
        <v/>
      </c>
      <c r="C2387" s="98" t="n"/>
      <c r="D2387" s="99" t="n"/>
      <c r="E2387" s="99" t="n"/>
      <c r="F2387" s="100" t="n"/>
      <c r="G2387" s="98" t="n"/>
      <c r="H2387" s="99" t="n"/>
      <c r="I2387" s="99" t="n"/>
      <c r="J2387" s="100" t="n"/>
      <c r="K2387" s="98" t="n"/>
      <c r="L2387" s="99" t="n"/>
      <c r="M2387" s="99" t="n"/>
      <c r="N2387" s="100" t="n"/>
      <c r="O2387" s="98" t="n"/>
      <c r="P2387" s="99" t="n"/>
      <c r="Q2387" s="99" t="n"/>
      <c r="R2387" s="100" t="n"/>
      <c r="S2387" s="98" t="n"/>
      <c r="T2387" s="99" t="n"/>
      <c r="U2387" s="99" t="n"/>
      <c r="V2387" s="100" t="n"/>
      <c r="W2387" s="98" t="n"/>
      <c r="X2387" s="100" t="n"/>
      <c r="Y2387" s="98" t="n"/>
      <c r="Z2387" s="100" t="n"/>
      <c r="AB2387" s="101">
        <f>IF($B2387="","",(COUNTIF(C2358:E2375,$B2387)+COUNTIF(C2358:E2375,$B2387&amp;" ~*")&gt;0)+(COUNTIF(G2358:I2375,$B2387)+COUNTIF(G2358:I2375,$B2387&amp;" ~*")&gt;0)+(COUNTIF(K2358:M2375,$B2387)+COUNTIF(K2358:M2375,$B2387&amp;" ~*")&gt;0)+(COUNTIF(O2358:Q2375,$B2387)+COUNTIF(O2358:Q2375,$B2387&amp;" ~*")&gt;0)+(COUNTIF(S2358:U2375,$B2387)+COUNTIF(S2358:U2375,$B2387&amp;" ~*")&gt;0)+(COUNTIF(W2358:W2375,$B2387)+COUNTIF(W2358:W2375,$B2387&amp;" ~*")&gt;0)+(COUNTIF(Y2358:Y2375,$B2387)+COUNTIF(Y2358:Y2375,$B2387&amp;" ~*")&gt;0))</f>
        <v/>
      </c>
      <c r="AC2387" s="36">
        <f>IF($B2387="","",(IFERROR(INDEX(Setup!$G$33:$G$40,MATCH(C2387,Setup!$B$33:$B$40,0)),0)=1)*(COUNTIF(C2358:E2375,$B2387)+COUNTIF(C2358:E2375,$B2387&amp;" ~*")&gt;0)+(IFERROR(INDEX(Setup!$G$33:$G$40,MATCH(G2387,Setup!$B$33:$B$40,0)),0)=1)*(COUNTIF(G2358:I2375,$B2387)+COUNTIF(G2358:I2375,$B2387&amp;" ~*")&gt;0)+(IFERROR(INDEX(Setup!$G$33:$G$40,MATCH(K2387,Setup!$B$33:$B$40,0)),0)=1)*(COUNTIF(K2358:M2375,$B2387)+COUNTIF(K2358:M2375,$B2387&amp;" ~*")&gt;0)+(IFERROR(INDEX(Setup!$G$33:$G$40,MATCH(O2387,Setup!$B$33:$B$40,0)),0)=1)*(COUNTIF(O2358:Q2375,$B2387)+COUNTIF(O2358:Q2375,$B2387&amp;" ~*")&gt;0)+(IFERROR(INDEX(Setup!$G$33:$G$40,MATCH(S2387,Setup!$B$33:$B$40,0)),0)=1)*(COUNTIF(S2358:U2375,$B2387)+COUNTIF(S2358:U2375,$B2387&amp;" ~*")&gt;0)+(IFERROR(INDEX(Setup!$G$33:$G$40,MATCH(W2387,Setup!$B$33:$B$40,0)),0)=1)*(COUNTIF(W2358:W2375,$B2387)+COUNTIF(W2358:W2375,$B2387&amp;" ~*")&gt;0)+(IFERROR(INDEX(Setup!$G$33:$G$40,MATCH(Y2387,Setup!$B$33:$B$40,0)),0)=1)*(COUNTIF(Y2358:Y2375,$B2387)+COUNTIF(Y2358:Y2375,$B2387&amp;" ~*")&gt;0))</f>
        <v/>
      </c>
    </row>
    <row r="2388" ht="15" customHeight="1">
      <c r="A2388" t="n">
        <v>48</v>
      </c>
      <c r="B2388" s="37">
        <f>IF(Setup!$B$17="","",Setup!$B$17)</f>
        <v/>
      </c>
      <c r="C2388" s="102" t="n"/>
      <c r="D2388" s="103" t="n"/>
      <c r="E2388" s="103" t="n"/>
      <c r="F2388" s="104" t="n"/>
      <c r="G2388" s="102" t="n"/>
      <c r="H2388" s="103" t="n"/>
      <c r="I2388" s="103" t="n"/>
      <c r="J2388" s="104" t="n"/>
      <c r="K2388" s="102" t="n"/>
      <c r="L2388" s="103" t="n"/>
      <c r="M2388" s="103" t="n"/>
      <c r="N2388" s="104" t="n"/>
      <c r="O2388" s="102" t="n"/>
      <c r="P2388" s="103" t="n"/>
      <c r="Q2388" s="103" t="n"/>
      <c r="R2388" s="104" t="n"/>
      <c r="S2388" s="102" t="n"/>
      <c r="T2388" s="103" t="n"/>
      <c r="U2388" s="103" t="n"/>
      <c r="V2388" s="104" t="n"/>
      <c r="W2388" s="102" t="n"/>
      <c r="X2388" s="104" t="n"/>
      <c r="Y2388" s="102" t="n"/>
      <c r="Z2388" s="104" t="n"/>
      <c r="AB2388" s="105">
        <f>IF($B2388="","",(COUNTIF(C2358:E2375,$B2388)+COUNTIF(C2358:E2375,$B2388&amp;" ~*")&gt;0)+(COUNTIF(G2358:I2375,$B2388)+COUNTIF(G2358:I2375,$B2388&amp;" ~*")&gt;0)+(COUNTIF(K2358:M2375,$B2388)+COUNTIF(K2358:M2375,$B2388&amp;" ~*")&gt;0)+(COUNTIF(O2358:Q2375,$B2388)+COUNTIF(O2358:Q2375,$B2388&amp;" ~*")&gt;0)+(COUNTIF(S2358:U2375,$B2388)+COUNTIF(S2358:U2375,$B2388&amp;" ~*")&gt;0)+(COUNTIF(W2358:W2375,$B2388)+COUNTIF(W2358:W2375,$B2388&amp;" ~*")&gt;0)+(COUNTIF(Y2358:Y2375,$B2388)+COUNTIF(Y2358:Y2375,$B2388&amp;" ~*")&gt;0))</f>
        <v/>
      </c>
      <c r="AC2388" s="38">
        <f>IF($B2388="","",(IFERROR(INDEX(Setup!$G$33:$G$40,MATCH(C2388,Setup!$B$33:$B$40,0)),0)=1)*(COUNTIF(C2358:E2375,$B2388)+COUNTIF(C2358:E2375,$B2388&amp;" ~*")&gt;0)+(IFERROR(INDEX(Setup!$G$33:$G$40,MATCH(G2388,Setup!$B$33:$B$40,0)),0)=1)*(COUNTIF(G2358:I2375,$B2388)+COUNTIF(G2358:I2375,$B2388&amp;" ~*")&gt;0)+(IFERROR(INDEX(Setup!$G$33:$G$40,MATCH(K2388,Setup!$B$33:$B$40,0)),0)=1)*(COUNTIF(K2358:M2375,$B2388)+COUNTIF(K2358:M2375,$B2388&amp;" ~*")&gt;0)+(IFERROR(INDEX(Setup!$G$33:$G$40,MATCH(O2388,Setup!$B$33:$B$40,0)),0)=1)*(COUNTIF(O2358:Q2375,$B2388)+COUNTIF(O2358:Q2375,$B2388&amp;" ~*")&gt;0)+(IFERROR(INDEX(Setup!$G$33:$G$40,MATCH(S2388,Setup!$B$33:$B$40,0)),0)=1)*(COUNTIF(S2358:U2375,$B2388)+COUNTIF(S2358:U2375,$B2388&amp;" ~*")&gt;0)+(IFERROR(INDEX(Setup!$G$33:$G$40,MATCH(W2388,Setup!$B$33:$B$40,0)),0)=1)*(COUNTIF(W2358:W2375,$B2388)+COUNTIF(W2358:W2375,$B2388&amp;" ~*")&gt;0)+(IFERROR(INDEX(Setup!$G$33:$G$40,MATCH(Y2388,Setup!$B$33:$B$40,0)),0)=1)*(COUNTIF(Y2358:Y2375,$B2388)+COUNTIF(Y2358:Y2375,$B2388&amp;" ~*")&gt;0))</f>
        <v/>
      </c>
    </row>
    <row r="2389" ht="15" customHeight="1">
      <c r="A2389" t="n">
        <v>48</v>
      </c>
      <c r="B2389" s="35">
        <f>IF(Setup!$B$18="","",Setup!$B$18)</f>
        <v/>
      </c>
      <c r="C2389" s="98" t="n"/>
      <c r="D2389" s="99" t="n"/>
      <c r="E2389" s="99" t="n"/>
      <c r="F2389" s="100" t="n"/>
      <c r="G2389" s="98" t="n"/>
      <c r="H2389" s="99" t="n"/>
      <c r="I2389" s="99" t="n"/>
      <c r="J2389" s="100" t="n"/>
      <c r="K2389" s="98" t="n"/>
      <c r="L2389" s="99" t="n"/>
      <c r="M2389" s="99" t="n"/>
      <c r="N2389" s="100" t="n"/>
      <c r="O2389" s="98" t="n"/>
      <c r="P2389" s="99" t="n"/>
      <c r="Q2389" s="99" t="n"/>
      <c r="R2389" s="100" t="n"/>
      <c r="S2389" s="98" t="n"/>
      <c r="T2389" s="99" t="n"/>
      <c r="U2389" s="99" t="n"/>
      <c r="V2389" s="100" t="n"/>
      <c r="W2389" s="98" t="n"/>
      <c r="X2389" s="100" t="n"/>
      <c r="Y2389" s="98" t="n"/>
      <c r="Z2389" s="100" t="n"/>
      <c r="AB2389" s="101">
        <f>IF($B2389="","",(COUNTIF(C2358:E2375,$B2389)+COUNTIF(C2358:E2375,$B2389&amp;" ~*")&gt;0)+(COUNTIF(G2358:I2375,$B2389)+COUNTIF(G2358:I2375,$B2389&amp;" ~*")&gt;0)+(COUNTIF(K2358:M2375,$B2389)+COUNTIF(K2358:M2375,$B2389&amp;" ~*")&gt;0)+(COUNTIF(O2358:Q2375,$B2389)+COUNTIF(O2358:Q2375,$B2389&amp;" ~*")&gt;0)+(COUNTIF(S2358:U2375,$B2389)+COUNTIF(S2358:U2375,$B2389&amp;" ~*")&gt;0)+(COUNTIF(W2358:W2375,$B2389)+COUNTIF(W2358:W2375,$B2389&amp;" ~*")&gt;0)+(COUNTIF(Y2358:Y2375,$B2389)+COUNTIF(Y2358:Y2375,$B2389&amp;" ~*")&gt;0))</f>
        <v/>
      </c>
      <c r="AC2389" s="36">
        <f>IF($B2389="","",(IFERROR(INDEX(Setup!$G$33:$G$40,MATCH(C2389,Setup!$B$33:$B$40,0)),0)=1)*(COUNTIF(C2358:E2375,$B2389)+COUNTIF(C2358:E2375,$B2389&amp;" ~*")&gt;0)+(IFERROR(INDEX(Setup!$G$33:$G$40,MATCH(G2389,Setup!$B$33:$B$40,0)),0)=1)*(COUNTIF(G2358:I2375,$B2389)+COUNTIF(G2358:I2375,$B2389&amp;" ~*")&gt;0)+(IFERROR(INDEX(Setup!$G$33:$G$40,MATCH(K2389,Setup!$B$33:$B$40,0)),0)=1)*(COUNTIF(K2358:M2375,$B2389)+COUNTIF(K2358:M2375,$B2389&amp;" ~*")&gt;0)+(IFERROR(INDEX(Setup!$G$33:$G$40,MATCH(O2389,Setup!$B$33:$B$40,0)),0)=1)*(COUNTIF(O2358:Q2375,$B2389)+COUNTIF(O2358:Q2375,$B2389&amp;" ~*")&gt;0)+(IFERROR(INDEX(Setup!$G$33:$G$40,MATCH(S2389,Setup!$B$33:$B$40,0)),0)=1)*(COUNTIF(S2358:U2375,$B2389)+COUNTIF(S2358:U2375,$B2389&amp;" ~*")&gt;0)+(IFERROR(INDEX(Setup!$G$33:$G$40,MATCH(W2389,Setup!$B$33:$B$40,0)),0)=1)*(COUNTIF(W2358:W2375,$B2389)+COUNTIF(W2358:W2375,$B2389&amp;" ~*")&gt;0)+(IFERROR(INDEX(Setup!$G$33:$G$40,MATCH(Y2389,Setup!$B$33:$B$40,0)),0)=1)*(COUNTIF(Y2358:Y2375,$B2389)+COUNTIF(Y2358:Y2375,$B2389&amp;" ~*")&gt;0))</f>
        <v/>
      </c>
    </row>
    <row r="2390" ht="15" customHeight="1">
      <c r="A2390" t="n">
        <v>48</v>
      </c>
      <c r="B2390" s="37">
        <f>IF(Setup!$B$19="","",Setup!$B$19)</f>
        <v/>
      </c>
      <c r="C2390" s="102" t="n"/>
      <c r="D2390" s="103" t="n"/>
      <c r="E2390" s="103" t="n"/>
      <c r="F2390" s="104" t="n"/>
      <c r="G2390" s="102" t="n"/>
      <c r="H2390" s="103" t="n"/>
      <c r="I2390" s="103" t="n"/>
      <c r="J2390" s="104" t="n"/>
      <c r="K2390" s="102" t="n"/>
      <c r="L2390" s="103" t="n"/>
      <c r="M2390" s="103" t="n"/>
      <c r="N2390" s="104" t="n"/>
      <c r="O2390" s="102" t="n"/>
      <c r="P2390" s="103" t="n"/>
      <c r="Q2390" s="103" t="n"/>
      <c r="R2390" s="104" t="n"/>
      <c r="S2390" s="102" t="n"/>
      <c r="T2390" s="103" t="n"/>
      <c r="U2390" s="103" t="n"/>
      <c r="V2390" s="104" t="n"/>
      <c r="W2390" s="102" t="n"/>
      <c r="X2390" s="104" t="n"/>
      <c r="Y2390" s="102" t="n"/>
      <c r="Z2390" s="104" t="n"/>
      <c r="AB2390" s="105">
        <f>IF($B2390="","",(COUNTIF(C2358:E2375,$B2390)+COUNTIF(C2358:E2375,$B2390&amp;" ~*")&gt;0)+(COUNTIF(G2358:I2375,$B2390)+COUNTIF(G2358:I2375,$B2390&amp;" ~*")&gt;0)+(COUNTIF(K2358:M2375,$B2390)+COUNTIF(K2358:M2375,$B2390&amp;" ~*")&gt;0)+(COUNTIF(O2358:Q2375,$B2390)+COUNTIF(O2358:Q2375,$B2390&amp;" ~*")&gt;0)+(COUNTIF(S2358:U2375,$B2390)+COUNTIF(S2358:U2375,$B2390&amp;" ~*")&gt;0)+(COUNTIF(W2358:W2375,$B2390)+COUNTIF(W2358:W2375,$B2390&amp;" ~*")&gt;0)+(COUNTIF(Y2358:Y2375,$B2390)+COUNTIF(Y2358:Y2375,$B2390&amp;" ~*")&gt;0))</f>
        <v/>
      </c>
      <c r="AC2390" s="38">
        <f>IF($B2390="","",(IFERROR(INDEX(Setup!$G$33:$G$40,MATCH(C2390,Setup!$B$33:$B$40,0)),0)=1)*(COUNTIF(C2358:E2375,$B2390)+COUNTIF(C2358:E2375,$B2390&amp;" ~*")&gt;0)+(IFERROR(INDEX(Setup!$G$33:$G$40,MATCH(G2390,Setup!$B$33:$B$40,0)),0)=1)*(COUNTIF(G2358:I2375,$B2390)+COUNTIF(G2358:I2375,$B2390&amp;" ~*")&gt;0)+(IFERROR(INDEX(Setup!$G$33:$G$40,MATCH(K2390,Setup!$B$33:$B$40,0)),0)=1)*(COUNTIF(K2358:M2375,$B2390)+COUNTIF(K2358:M2375,$B2390&amp;" ~*")&gt;0)+(IFERROR(INDEX(Setup!$G$33:$G$40,MATCH(O2390,Setup!$B$33:$B$40,0)),0)=1)*(COUNTIF(O2358:Q2375,$B2390)+COUNTIF(O2358:Q2375,$B2390&amp;" ~*")&gt;0)+(IFERROR(INDEX(Setup!$G$33:$G$40,MATCH(S2390,Setup!$B$33:$B$40,0)),0)=1)*(COUNTIF(S2358:U2375,$B2390)+COUNTIF(S2358:U2375,$B2390&amp;" ~*")&gt;0)+(IFERROR(INDEX(Setup!$G$33:$G$40,MATCH(W2390,Setup!$B$33:$B$40,0)),0)=1)*(COUNTIF(W2358:W2375,$B2390)+COUNTIF(W2358:W2375,$B2390&amp;" ~*")&gt;0)+(IFERROR(INDEX(Setup!$G$33:$G$40,MATCH(Y2390,Setup!$B$33:$B$40,0)),0)=1)*(COUNTIF(Y2358:Y2375,$B2390)+COUNTIF(Y2358:Y2375,$B2390&amp;" ~*")&gt;0))</f>
        <v/>
      </c>
    </row>
    <row r="2391" ht="15" customHeight="1">
      <c r="A2391" t="n">
        <v>48</v>
      </c>
      <c r="B2391" s="35">
        <f>IF(Setup!$B$20="","",Setup!$B$20)</f>
        <v/>
      </c>
      <c r="C2391" s="98" t="n"/>
      <c r="D2391" s="99" t="n"/>
      <c r="E2391" s="99" t="n"/>
      <c r="F2391" s="100" t="n"/>
      <c r="G2391" s="98" t="n"/>
      <c r="H2391" s="99" t="n"/>
      <c r="I2391" s="99" t="n"/>
      <c r="J2391" s="100" t="n"/>
      <c r="K2391" s="98" t="n"/>
      <c r="L2391" s="99" t="n"/>
      <c r="M2391" s="99" t="n"/>
      <c r="N2391" s="100" t="n"/>
      <c r="O2391" s="98" t="n"/>
      <c r="P2391" s="99" t="n"/>
      <c r="Q2391" s="99" t="n"/>
      <c r="R2391" s="100" t="n"/>
      <c r="S2391" s="98" t="n"/>
      <c r="T2391" s="99" t="n"/>
      <c r="U2391" s="99" t="n"/>
      <c r="V2391" s="100" t="n"/>
      <c r="W2391" s="98" t="n"/>
      <c r="X2391" s="100" t="n"/>
      <c r="Y2391" s="98" t="n"/>
      <c r="Z2391" s="100" t="n"/>
      <c r="AB2391" s="101">
        <f>IF($B2391="","",(COUNTIF(C2358:E2375,$B2391)+COUNTIF(C2358:E2375,$B2391&amp;" ~*")&gt;0)+(COUNTIF(G2358:I2375,$B2391)+COUNTIF(G2358:I2375,$B2391&amp;" ~*")&gt;0)+(COUNTIF(K2358:M2375,$B2391)+COUNTIF(K2358:M2375,$B2391&amp;" ~*")&gt;0)+(COUNTIF(O2358:Q2375,$B2391)+COUNTIF(O2358:Q2375,$B2391&amp;" ~*")&gt;0)+(COUNTIF(S2358:U2375,$B2391)+COUNTIF(S2358:U2375,$B2391&amp;" ~*")&gt;0)+(COUNTIF(W2358:W2375,$B2391)+COUNTIF(W2358:W2375,$B2391&amp;" ~*")&gt;0)+(COUNTIF(Y2358:Y2375,$B2391)+COUNTIF(Y2358:Y2375,$B2391&amp;" ~*")&gt;0))</f>
        <v/>
      </c>
      <c r="AC2391" s="36">
        <f>IF($B2391="","",(IFERROR(INDEX(Setup!$G$33:$G$40,MATCH(C2391,Setup!$B$33:$B$40,0)),0)=1)*(COUNTIF(C2358:E2375,$B2391)+COUNTIF(C2358:E2375,$B2391&amp;" ~*")&gt;0)+(IFERROR(INDEX(Setup!$G$33:$G$40,MATCH(G2391,Setup!$B$33:$B$40,0)),0)=1)*(COUNTIF(G2358:I2375,$B2391)+COUNTIF(G2358:I2375,$B2391&amp;" ~*")&gt;0)+(IFERROR(INDEX(Setup!$G$33:$G$40,MATCH(K2391,Setup!$B$33:$B$40,0)),0)=1)*(COUNTIF(K2358:M2375,$B2391)+COUNTIF(K2358:M2375,$B2391&amp;" ~*")&gt;0)+(IFERROR(INDEX(Setup!$G$33:$G$40,MATCH(O2391,Setup!$B$33:$B$40,0)),0)=1)*(COUNTIF(O2358:Q2375,$B2391)+COUNTIF(O2358:Q2375,$B2391&amp;" ~*")&gt;0)+(IFERROR(INDEX(Setup!$G$33:$G$40,MATCH(S2391,Setup!$B$33:$B$40,0)),0)=1)*(COUNTIF(S2358:U2375,$B2391)+COUNTIF(S2358:U2375,$B2391&amp;" ~*")&gt;0)+(IFERROR(INDEX(Setup!$G$33:$G$40,MATCH(W2391,Setup!$B$33:$B$40,0)),0)=1)*(COUNTIF(W2358:W2375,$B2391)+COUNTIF(W2358:W2375,$B2391&amp;" ~*")&gt;0)+(IFERROR(INDEX(Setup!$G$33:$G$40,MATCH(Y2391,Setup!$B$33:$B$40,0)),0)=1)*(COUNTIF(Y2358:Y2375,$B2391)+COUNTIF(Y2358:Y2375,$B2391&amp;" ~*")&gt;0))</f>
        <v/>
      </c>
    </row>
    <row r="2392" ht="15" customHeight="1">
      <c r="A2392" t="n">
        <v>48</v>
      </c>
      <c r="B2392" s="37">
        <f>IF(Setup!$B$21="","",Setup!$B$21)</f>
        <v/>
      </c>
      <c r="C2392" s="102" t="n"/>
      <c r="D2392" s="103" t="n"/>
      <c r="E2392" s="103" t="n"/>
      <c r="F2392" s="104" t="n"/>
      <c r="G2392" s="102" t="n"/>
      <c r="H2392" s="103" t="n"/>
      <c r="I2392" s="103" t="n"/>
      <c r="J2392" s="104" t="n"/>
      <c r="K2392" s="102" t="n"/>
      <c r="L2392" s="103" t="n"/>
      <c r="M2392" s="103" t="n"/>
      <c r="N2392" s="104" t="n"/>
      <c r="O2392" s="102" t="n"/>
      <c r="P2392" s="103" t="n"/>
      <c r="Q2392" s="103" t="n"/>
      <c r="R2392" s="104" t="n"/>
      <c r="S2392" s="102" t="n"/>
      <c r="T2392" s="103" t="n"/>
      <c r="U2392" s="103" t="n"/>
      <c r="V2392" s="104" t="n"/>
      <c r="W2392" s="102" t="n"/>
      <c r="X2392" s="104" t="n"/>
      <c r="Y2392" s="102" t="n"/>
      <c r="Z2392" s="104" t="n"/>
      <c r="AB2392" s="105">
        <f>IF($B2392="","",(COUNTIF(C2358:E2375,$B2392)+COUNTIF(C2358:E2375,$B2392&amp;" ~*")&gt;0)+(COUNTIF(G2358:I2375,$B2392)+COUNTIF(G2358:I2375,$B2392&amp;" ~*")&gt;0)+(COUNTIF(K2358:M2375,$B2392)+COUNTIF(K2358:M2375,$B2392&amp;" ~*")&gt;0)+(COUNTIF(O2358:Q2375,$B2392)+COUNTIF(O2358:Q2375,$B2392&amp;" ~*")&gt;0)+(COUNTIF(S2358:U2375,$B2392)+COUNTIF(S2358:U2375,$B2392&amp;" ~*")&gt;0)+(COUNTIF(W2358:W2375,$B2392)+COUNTIF(W2358:W2375,$B2392&amp;" ~*")&gt;0)+(COUNTIF(Y2358:Y2375,$B2392)+COUNTIF(Y2358:Y2375,$B2392&amp;" ~*")&gt;0))</f>
        <v/>
      </c>
      <c r="AC2392" s="38">
        <f>IF($B2392="","",(IFERROR(INDEX(Setup!$G$33:$G$40,MATCH(C2392,Setup!$B$33:$B$40,0)),0)=1)*(COUNTIF(C2358:E2375,$B2392)+COUNTIF(C2358:E2375,$B2392&amp;" ~*")&gt;0)+(IFERROR(INDEX(Setup!$G$33:$G$40,MATCH(G2392,Setup!$B$33:$B$40,0)),0)=1)*(COUNTIF(G2358:I2375,$B2392)+COUNTIF(G2358:I2375,$B2392&amp;" ~*")&gt;0)+(IFERROR(INDEX(Setup!$G$33:$G$40,MATCH(K2392,Setup!$B$33:$B$40,0)),0)=1)*(COUNTIF(K2358:M2375,$B2392)+COUNTIF(K2358:M2375,$B2392&amp;" ~*")&gt;0)+(IFERROR(INDEX(Setup!$G$33:$G$40,MATCH(O2392,Setup!$B$33:$B$40,0)),0)=1)*(COUNTIF(O2358:Q2375,$B2392)+COUNTIF(O2358:Q2375,$B2392&amp;" ~*")&gt;0)+(IFERROR(INDEX(Setup!$G$33:$G$40,MATCH(S2392,Setup!$B$33:$B$40,0)),0)=1)*(COUNTIF(S2358:U2375,$B2392)+COUNTIF(S2358:U2375,$B2392&amp;" ~*")&gt;0)+(IFERROR(INDEX(Setup!$G$33:$G$40,MATCH(W2392,Setup!$B$33:$B$40,0)),0)=1)*(COUNTIF(W2358:W2375,$B2392)+COUNTIF(W2358:W2375,$B2392&amp;" ~*")&gt;0)+(IFERROR(INDEX(Setup!$G$33:$G$40,MATCH(Y2392,Setup!$B$33:$B$40,0)),0)=1)*(COUNTIF(Y2358:Y2375,$B2392)+COUNTIF(Y2358:Y2375,$B2392&amp;" ~*")&gt;0))</f>
        <v/>
      </c>
    </row>
    <row r="2393" ht="15" customHeight="1">
      <c r="A2393" t="n">
        <v>48</v>
      </c>
      <c r="B2393" s="35">
        <f>IF(Setup!$B$22="","",Setup!$B$22)</f>
        <v/>
      </c>
      <c r="C2393" s="98" t="n"/>
      <c r="D2393" s="99" t="n"/>
      <c r="E2393" s="99" t="n"/>
      <c r="F2393" s="100" t="n"/>
      <c r="G2393" s="98" t="n"/>
      <c r="H2393" s="99" t="n"/>
      <c r="I2393" s="99" t="n"/>
      <c r="J2393" s="100" t="n"/>
      <c r="K2393" s="98" t="n"/>
      <c r="L2393" s="99" t="n"/>
      <c r="M2393" s="99" t="n"/>
      <c r="N2393" s="100" t="n"/>
      <c r="O2393" s="98" t="n"/>
      <c r="P2393" s="99" t="n"/>
      <c r="Q2393" s="99" t="n"/>
      <c r="R2393" s="100" t="n"/>
      <c r="S2393" s="98" t="n"/>
      <c r="T2393" s="99" t="n"/>
      <c r="U2393" s="99" t="n"/>
      <c r="V2393" s="100" t="n"/>
      <c r="W2393" s="98" t="n"/>
      <c r="X2393" s="100" t="n"/>
      <c r="Y2393" s="98" t="n"/>
      <c r="Z2393" s="100" t="n"/>
      <c r="AB2393" s="101">
        <f>IF($B2393="","",(COUNTIF(C2358:E2375,$B2393)+COUNTIF(C2358:E2375,$B2393&amp;" ~*")&gt;0)+(COUNTIF(G2358:I2375,$B2393)+COUNTIF(G2358:I2375,$B2393&amp;" ~*")&gt;0)+(COUNTIF(K2358:M2375,$B2393)+COUNTIF(K2358:M2375,$B2393&amp;" ~*")&gt;0)+(COUNTIF(O2358:Q2375,$B2393)+COUNTIF(O2358:Q2375,$B2393&amp;" ~*")&gt;0)+(COUNTIF(S2358:U2375,$B2393)+COUNTIF(S2358:U2375,$B2393&amp;" ~*")&gt;0)+(COUNTIF(W2358:W2375,$B2393)+COUNTIF(W2358:W2375,$B2393&amp;" ~*")&gt;0)+(COUNTIF(Y2358:Y2375,$B2393)+COUNTIF(Y2358:Y2375,$B2393&amp;" ~*")&gt;0))</f>
        <v/>
      </c>
      <c r="AC2393" s="36">
        <f>IF($B2393="","",(IFERROR(INDEX(Setup!$G$33:$G$40,MATCH(C2393,Setup!$B$33:$B$40,0)),0)=1)*(COUNTIF(C2358:E2375,$B2393)+COUNTIF(C2358:E2375,$B2393&amp;" ~*")&gt;0)+(IFERROR(INDEX(Setup!$G$33:$G$40,MATCH(G2393,Setup!$B$33:$B$40,0)),0)=1)*(COUNTIF(G2358:I2375,$B2393)+COUNTIF(G2358:I2375,$B2393&amp;" ~*")&gt;0)+(IFERROR(INDEX(Setup!$G$33:$G$40,MATCH(K2393,Setup!$B$33:$B$40,0)),0)=1)*(COUNTIF(K2358:M2375,$B2393)+COUNTIF(K2358:M2375,$B2393&amp;" ~*")&gt;0)+(IFERROR(INDEX(Setup!$G$33:$G$40,MATCH(O2393,Setup!$B$33:$B$40,0)),0)=1)*(COUNTIF(O2358:Q2375,$B2393)+COUNTIF(O2358:Q2375,$B2393&amp;" ~*")&gt;0)+(IFERROR(INDEX(Setup!$G$33:$G$40,MATCH(S2393,Setup!$B$33:$B$40,0)),0)=1)*(COUNTIF(S2358:U2375,$B2393)+COUNTIF(S2358:U2375,$B2393&amp;" ~*")&gt;0)+(IFERROR(INDEX(Setup!$G$33:$G$40,MATCH(W2393,Setup!$B$33:$B$40,0)),0)=1)*(COUNTIF(W2358:W2375,$B2393)+COUNTIF(W2358:W2375,$B2393&amp;" ~*")&gt;0)+(IFERROR(INDEX(Setup!$G$33:$G$40,MATCH(Y2393,Setup!$B$33:$B$40,0)),0)=1)*(COUNTIF(Y2358:Y2375,$B2393)+COUNTIF(Y2358:Y2375,$B2393&amp;" ~*")&gt;0))</f>
        <v/>
      </c>
    </row>
    <row r="2394" ht="15" customHeight="1">
      <c r="A2394" t="n">
        <v>48</v>
      </c>
      <c r="B2394" s="37">
        <f>IF(Setup!$B$23="","",Setup!$B$23)</f>
        <v/>
      </c>
      <c r="C2394" s="102" t="n"/>
      <c r="D2394" s="103" t="n"/>
      <c r="E2394" s="103" t="n"/>
      <c r="F2394" s="104" t="n"/>
      <c r="G2394" s="102" t="n"/>
      <c r="H2394" s="103" t="n"/>
      <c r="I2394" s="103" t="n"/>
      <c r="J2394" s="104" t="n"/>
      <c r="K2394" s="102" t="n"/>
      <c r="L2394" s="103" t="n"/>
      <c r="M2394" s="103" t="n"/>
      <c r="N2394" s="104" t="n"/>
      <c r="O2394" s="102" t="n"/>
      <c r="P2394" s="103" t="n"/>
      <c r="Q2394" s="103" t="n"/>
      <c r="R2394" s="104" t="n"/>
      <c r="S2394" s="102" t="n"/>
      <c r="T2394" s="103" t="n"/>
      <c r="U2394" s="103" t="n"/>
      <c r="V2394" s="104" t="n"/>
      <c r="W2394" s="102" t="n"/>
      <c r="X2394" s="104" t="n"/>
      <c r="Y2394" s="102" t="n"/>
      <c r="Z2394" s="104" t="n"/>
      <c r="AB2394" s="105">
        <f>IF($B2394="","",(COUNTIF(C2358:E2375,$B2394)+COUNTIF(C2358:E2375,$B2394&amp;" ~*")&gt;0)+(COUNTIF(G2358:I2375,$B2394)+COUNTIF(G2358:I2375,$B2394&amp;" ~*")&gt;0)+(COUNTIF(K2358:M2375,$B2394)+COUNTIF(K2358:M2375,$B2394&amp;" ~*")&gt;0)+(COUNTIF(O2358:Q2375,$B2394)+COUNTIF(O2358:Q2375,$B2394&amp;" ~*")&gt;0)+(COUNTIF(S2358:U2375,$B2394)+COUNTIF(S2358:U2375,$B2394&amp;" ~*")&gt;0)+(COUNTIF(W2358:W2375,$B2394)+COUNTIF(W2358:W2375,$B2394&amp;" ~*")&gt;0)+(COUNTIF(Y2358:Y2375,$B2394)+COUNTIF(Y2358:Y2375,$B2394&amp;" ~*")&gt;0))</f>
        <v/>
      </c>
      <c r="AC2394" s="38">
        <f>IF($B2394="","",(IFERROR(INDEX(Setup!$G$33:$G$40,MATCH(C2394,Setup!$B$33:$B$40,0)),0)=1)*(COUNTIF(C2358:E2375,$B2394)+COUNTIF(C2358:E2375,$B2394&amp;" ~*")&gt;0)+(IFERROR(INDEX(Setup!$G$33:$G$40,MATCH(G2394,Setup!$B$33:$B$40,0)),0)=1)*(COUNTIF(G2358:I2375,$B2394)+COUNTIF(G2358:I2375,$B2394&amp;" ~*")&gt;0)+(IFERROR(INDEX(Setup!$G$33:$G$40,MATCH(K2394,Setup!$B$33:$B$40,0)),0)=1)*(COUNTIF(K2358:M2375,$B2394)+COUNTIF(K2358:M2375,$B2394&amp;" ~*")&gt;0)+(IFERROR(INDEX(Setup!$G$33:$G$40,MATCH(O2394,Setup!$B$33:$B$40,0)),0)=1)*(COUNTIF(O2358:Q2375,$B2394)+COUNTIF(O2358:Q2375,$B2394&amp;" ~*")&gt;0)+(IFERROR(INDEX(Setup!$G$33:$G$40,MATCH(S2394,Setup!$B$33:$B$40,0)),0)=1)*(COUNTIF(S2358:U2375,$B2394)+COUNTIF(S2358:U2375,$B2394&amp;" ~*")&gt;0)+(IFERROR(INDEX(Setup!$G$33:$G$40,MATCH(W2394,Setup!$B$33:$B$40,0)),0)=1)*(COUNTIF(W2358:W2375,$B2394)+COUNTIF(W2358:W2375,$B2394&amp;" ~*")&gt;0)+(IFERROR(INDEX(Setup!$G$33:$G$40,MATCH(Y2394,Setup!$B$33:$B$40,0)),0)=1)*(COUNTIF(Y2358:Y2375,$B2394)+COUNTIF(Y2358:Y2375,$B2394&amp;" ~*")&gt;0))</f>
        <v/>
      </c>
    </row>
    <row r="2395" ht="15" customHeight="1">
      <c r="A2395" t="n">
        <v>48</v>
      </c>
      <c r="B2395" s="35">
        <f>IF(Setup!$B$24="","",Setup!$B$24)</f>
        <v/>
      </c>
      <c r="C2395" s="98" t="n"/>
      <c r="D2395" s="99" t="n"/>
      <c r="E2395" s="99" t="n"/>
      <c r="F2395" s="100" t="n"/>
      <c r="G2395" s="98" t="n"/>
      <c r="H2395" s="99" t="n"/>
      <c r="I2395" s="99" t="n"/>
      <c r="J2395" s="100" t="n"/>
      <c r="K2395" s="98" t="n"/>
      <c r="L2395" s="99" t="n"/>
      <c r="M2395" s="99" t="n"/>
      <c r="N2395" s="100" t="n"/>
      <c r="O2395" s="98" t="n"/>
      <c r="P2395" s="99" t="n"/>
      <c r="Q2395" s="99" t="n"/>
      <c r="R2395" s="100" t="n"/>
      <c r="S2395" s="98" t="n"/>
      <c r="T2395" s="99" t="n"/>
      <c r="U2395" s="99" t="n"/>
      <c r="V2395" s="100" t="n"/>
      <c r="W2395" s="98" t="n"/>
      <c r="X2395" s="100" t="n"/>
      <c r="Y2395" s="98" t="n"/>
      <c r="Z2395" s="100" t="n"/>
      <c r="AB2395" s="101">
        <f>IF($B2395="","",(COUNTIF(C2358:E2375,$B2395)+COUNTIF(C2358:E2375,$B2395&amp;" ~*")&gt;0)+(COUNTIF(G2358:I2375,$B2395)+COUNTIF(G2358:I2375,$B2395&amp;" ~*")&gt;0)+(COUNTIF(K2358:M2375,$B2395)+COUNTIF(K2358:M2375,$B2395&amp;" ~*")&gt;0)+(COUNTIF(O2358:Q2375,$B2395)+COUNTIF(O2358:Q2375,$B2395&amp;" ~*")&gt;0)+(COUNTIF(S2358:U2375,$B2395)+COUNTIF(S2358:U2375,$B2395&amp;" ~*")&gt;0)+(COUNTIF(W2358:W2375,$B2395)+COUNTIF(W2358:W2375,$B2395&amp;" ~*")&gt;0)+(COUNTIF(Y2358:Y2375,$B2395)+COUNTIF(Y2358:Y2375,$B2395&amp;" ~*")&gt;0))</f>
        <v/>
      </c>
      <c r="AC2395" s="36">
        <f>IF($B2395="","",(IFERROR(INDEX(Setup!$G$33:$G$40,MATCH(C2395,Setup!$B$33:$B$40,0)),0)=1)*(COUNTIF(C2358:E2375,$B2395)+COUNTIF(C2358:E2375,$B2395&amp;" ~*")&gt;0)+(IFERROR(INDEX(Setup!$G$33:$G$40,MATCH(G2395,Setup!$B$33:$B$40,0)),0)=1)*(COUNTIF(G2358:I2375,$B2395)+COUNTIF(G2358:I2375,$B2395&amp;" ~*")&gt;0)+(IFERROR(INDEX(Setup!$G$33:$G$40,MATCH(K2395,Setup!$B$33:$B$40,0)),0)=1)*(COUNTIF(K2358:M2375,$B2395)+COUNTIF(K2358:M2375,$B2395&amp;" ~*")&gt;0)+(IFERROR(INDEX(Setup!$G$33:$G$40,MATCH(O2395,Setup!$B$33:$B$40,0)),0)=1)*(COUNTIF(O2358:Q2375,$B2395)+COUNTIF(O2358:Q2375,$B2395&amp;" ~*")&gt;0)+(IFERROR(INDEX(Setup!$G$33:$G$40,MATCH(S2395,Setup!$B$33:$B$40,0)),0)=1)*(COUNTIF(S2358:U2375,$B2395)+COUNTIF(S2358:U2375,$B2395&amp;" ~*")&gt;0)+(IFERROR(INDEX(Setup!$G$33:$G$40,MATCH(W2395,Setup!$B$33:$B$40,0)),0)=1)*(COUNTIF(W2358:W2375,$B2395)+COUNTIF(W2358:W2375,$B2395&amp;" ~*")&gt;0)+(IFERROR(INDEX(Setup!$G$33:$G$40,MATCH(Y2395,Setup!$B$33:$B$40,0)),0)=1)*(COUNTIF(Y2358:Y2375,$B2395)+COUNTIF(Y2358:Y2375,$B2395&amp;" ~*")&gt;0))</f>
        <v/>
      </c>
    </row>
    <row r="2396" ht="15" customHeight="1">
      <c r="A2396" t="n">
        <v>48</v>
      </c>
      <c r="B2396" s="37">
        <f>IF(Setup!$B$25="","",Setup!$B$25)</f>
        <v/>
      </c>
      <c r="C2396" s="102" t="n"/>
      <c r="D2396" s="103" t="n"/>
      <c r="E2396" s="103" t="n"/>
      <c r="F2396" s="104" t="n"/>
      <c r="G2396" s="102" t="n"/>
      <c r="H2396" s="103" t="n"/>
      <c r="I2396" s="103" t="n"/>
      <c r="J2396" s="104" t="n"/>
      <c r="K2396" s="102" t="n"/>
      <c r="L2396" s="103" t="n"/>
      <c r="M2396" s="103" t="n"/>
      <c r="N2396" s="104" t="n"/>
      <c r="O2396" s="102" t="n"/>
      <c r="P2396" s="103" t="n"/>
      <c r="Q2396" s="103" t="n"/>
      <c r="R2396" s="104" t="n"/>
      <c r="S2396" s="102" t="n"/>
      <c r="T2396" s="103" t="n"/>
      <c r="U2396" s="103" t="n"/>
      <c r="V2396" s="104" t="n"/>
      <c r="W2396" s="102" t="n"/>
      <c r="X2396" s="104" t="n"/>
      <c r="Y2396" s="102" t="n"/>
      <c r="Z2396" s="104" t="n"/>
      <c r="AB2396" s="105">
        <f>IF($B2396="","",(COUNTIF(C2358:E2375,$B2396)+COUNTIF(C2358:E2375,$B2396&amp;" ~*")&gt;0)+(COUNTIF(G2358:I2375,$B2396)+COUNTIF(G2358:I2375,$B2396&amp;" ~*")&gt;0)+(COUNTIF(K2358:M2375,$B2396)+COUNTIF(K2358:M2375,$B2396&amp;" ~*")&gt;0)+(COUNTIF(O2358:Q2375,$B2396)+COUNTIF(O2358:Q2375,$B2396&amp;" ~*")&gt;0)+(COUNTIF(S2358:U2375,$B2396)+COUNTIF(S2358:U2375,$B2396&amp;" ~*")&gt;0)+(COUNTIF(W2358:W2375,$B2396)+COUNTIF(W2358:W2375,$B2396&amp;" ~*")&gt;0)+(COUNTIF(Y2358:Y2375,$B2396)+COUNTIF(Y2358:Y2375,$B2396&amp;" ~*")&gt;0))</f>
        <v/>
      </c>
      <c r="AC2396" s="38">
        <f>IF($B2396="","",(IFERROR(INDEX(Setup!$G$33:$G$40,MATCH(C2396,Setup!$B$33:$B$40,0)),0)=1)*(COUNTIF(C2358:E2375,$B2396)+COUNTIF(C2358:E2375,$B2396&amp;" ~*")&gt;0)+(IFERROR(INDEX(Setup!$G$33:$G$40,MATCH(G2396,Setup!$B$33:$B$40,0)),0)=1)*(COUNTIF(G2358:I2375,$B2396)+COUNTIF(G2358:I2375,$B2396&amp;" ~*")&gt;0)+(IFERROR(INDEX(Setup!$G$33:$G$40,MATCH(K2396,Setup!$B$33:$B$40,0)),0)=1)*(COUNTIF(K2358:M2375,$B2396)+COUNTIF(K2358:M2375,$B2396&amp;" ~*")&gt;0)+(IFERROR(INDEX(Setup!$G$33:$G$40,MATCH(O2396,Setup!$B$33:$B$40,0)),0)=1)*(COUNTIF(O2358:Q2375,$B2396)+COUNTIF(O2358:Q2375,$B2396&amp;" ~*")&gt;0)+(IFERROR(INDEX(Setup!$G$33:$G$40,MATCH(S2396,Setup!$B$33:$B$40,0)),0)=1)*(COUNTIF(S2358:U2375,$B2396)+COUNTIF(S2358:U2375,$B2396&amp;" ~*")&gt;0)+(IFERROR(INDEX(Setup!$G$33:$G$40,MATCH(W2396,Setup!$B$33:$B$40,0)),0)=1)*(COUNTIF(W2358:W2375,$B2396)+COUNTIF(W2358:W2375,$B2396&amp;" ~*")&gt;0)+(IFERROR(INDEX(Setup!$G$33:$G$40,MATCH(Y2396,Setup!$B$33:$B$40,0)),0)=1)*(COUNTIF(Y2358:Y2375,$B2396)+COUNTIF(Y2358:Y2375,$B2396&amp;" ~*")&gt;0))</f>
        <v/>
      </c>
    </row>
    <row r="2397" ht="15" customHeight="1">
      <c r="A2397" t="n">
        <v>48</v>
      </c>
      <c r="B2397" s="35">
        <f>IF(Setup!$B$26="","",Setup!$B$26)</f>
        <v/>
      </c>
      <c r="C2397" s="98" t="n"/>
      <c r="D2397" s="99" t="n"/>
      <c r="E2397" s="99" t="n"/>
      <c r="F2397" s="100" t="n"/>
      <c r="G2397" s="98" t="n"/>
      <c r="H2397" s="99" t="n"/>
      <c r="I2397" s="99" t="n"/>
      <c r="J2397" s="100" t="n"/>
      <c r="K2397" s="98" t="n"/>
      <c r="L2397" s="99" t="n"/>
      <c r="M2397" s="99" t="n"/>
      <c r="N2397" s="100" t="n"/>
      <c r="O2397" s="98" t="n"/>
      <c r="P2397" s="99" t="n"/>
      <c r="Q2397" s="99" t="n"/>
      <c r="R2397" s="100" t="n"/>
      <c r="S2397" s="98" t="n"/>
      <c r="T2397" s="99" t="n"/>
      <c r="U2397" s="99" t="n"/>
      <c r="V2397" s="100" t="n"/>
      <c r="W2397" s="98" t="n"/>
      <c r="X2397" s="100" t="n"/>
      <c r="Y2397" s="98" t="n"/>
      <c r="Z2397" s="100" t="n"/>
      <c r="AB2397" s="101">
        <f>IF($B2397="","",(COUNTIF(C2358:E2375,$B2397)+COUNTIF(C2358:E2375,$B2397&amp;" ~*")&gt;0)+(COUNTIF(G2358:I2375,$B2397)+COUNTIF(G2358:I2375,$B2397&amp;" ~*")&gt;0)+(COUNTIF(K2358:M2375,$B2397)+COUNTIF(K2358:M2375,$B2397&amp;" ~*")&gt;0)+(COUNTIF(O2358:Q2375,$B2397)+COUNTIF(O2358:Q2375,$B2397&amp;" ~*")&gt;0)+(COUNTIF(S2358:U2375,$B2397)+COUNTIF(S2358:U2375,$B2397&amp;" ~*")&gt;0)+(COUNTIF(W2358:W2375,$B2397)+COUNTIF(W2358:W2375,$B2397&amp;" ~*")&gt;0)+(COUNTIF(Y2358:Y2375,$B2397)+COUNTIF(Y2358:Y2375,$B2397&amp;" ~*")&gt;0))</f>
        <v/>
      </c>
      <c r="AC2397" s="36">
        <f>IF($B2397="","",(IFERROR(INDEX(Setup!$G$33:$G$40,MATCH(C2397,Setup!$B$33:$B$40,0)),0)=1)*(COUNTIF(C2358:E2375,$B2397)+COUNTIF(C2358:E2375,$B2397&amp;" ~*")&gt;0)+(IFERROR(INDEX(Setup!$G$33:$G$40,MATCH(G2397,Setup!$B$33:$B$40,0)),0)=1)*(COUNTIF(G2358:I2375,$B2397)+COUNTIF(G2358:I2375,$B2397&amp;" ~*")&gt;0)+(IFERROR(INDEX(Setup!$G$33:$G$40,MATCH(K2397,Setup!$B$33:$B$40,0)),0)=1)*(COUNTIF(K2358:M2375,$B2397)+COUNTIF(K2358:M2375,$B2397&amp;" ~*")&gt;0)+(IFERROR(INDEX(Setup!$G$33:$G$40,MATCH(O2397,Setup!$B$33:$B$40,0)),0)=1)*(COUNTIF(O2358:Q2375,$B2397)+COUNTIF(O2358:Q2375,$B2397&amp;" ~*")&gt;0)+(IFERROR(INDEX(Setup!$G$33:$G$40,MATCH(S2397,Setup!$B$33:$B$40,0)),0)=1)*(COUNTIF(S2358:U2375,$B2397)+COUNTIF(S2358:U2375,$B2397&amp;" ~*")&gt;0)+(IFERROR(INDEX(Setup!$G$33:$G$40,MATCH(W2397,Setup!$B$33:$B$40,0)),0)=1)*(COUNTIF(W2358:W2375,$B2397)+COUNTIF(W2358:W2375,$B2397&amp;" ~*")&gt;0)+(IFERROR(INDEX(Setup!$G$33:$G$40,MATCH(Y2397,Setup!$B$33:$B$40,0)),0)=1)*(COUNTIF(Y2358:Y2375,$B2397)+COUNTIF(Y2358:Y2375,$B2397&amp;" ~*")&gt;0))</f>
        <v/>
      </c>
    </row>
    <row r="2398" ht="15" customHeight="1">
      <c r="A2398" t="n">
        <v>48</v>
      </c>
      <c r="B2398" s="37">
        <f>IF(Setup!$B$27="","",Setup!$B$27)</f>
        <v/>
      </c>
      <c r="C2398" s="102" t="n"/>
      <c r="D2398" s="103" t="n"/>
      <c r="E2398" s="103" t="n"/>
      <c r="F2398" s="104" t="n"/>
      <c r="G2398" s="102" t="n"/>
      <c r="H2398" s="103" t="n"/>
      <c r="I2398" s="103" t="n"/>
      <c r="J2398" s="104" t="n"/>
      <c r="K2398" s="102" t="n"/>
      <c r="L2398" s="103" t="n"/>
      <c r="M2398" s="103" t="n"/>
      <c r="N2398" s="104" t="n"/>
      <c r="O2398" s="102" t="n"/>
      <c r="P2398" s="103" t="n"/>
      <c r="Q2398" s="103" t="n"/>
      <c r="R2398" s="104" t="n"/>
      <c r="S2398" s="102" t="n"/>
      <c r="T2398" s="103" t="n"/>
      <c r="U2398" s="103" t="n"/>
      <c r="V2398" s="104" t="n"/>
      <c r="W2398" s="102" t="n"/>
      <c r="X2398" s="104" t="n"/>
      <c r="Y2398" s="102" t="n"/>
      <c r="Z2398" s="104" t="n"/>
      <c r="AB2398" s="105">
        <f>IF($B2398="","",(COUNTIF(C2358:E2375,$B2398)+COUNTIF(C2358:E2375,$B2398&amp;" ~*")&gt;0)+(COUNTIF(G2358:I2375,$B2398)+COUNTIF(G2358:I2375,$B2398&amp;" ~*")&gt;0)+(COUNTIF(K2358:M2375,$B2398)+COUNTIF(K2358:M2375,$B2398&amp;" ~*")&gt;0)+(COUNTIF(O2358:Q2375,$B2398)+COUNTIF(O2358:Q2375,$B2398&amp;" ~*")&gt;0)+(COUNTIF(S2358:U2375,$B2398)+COUNTIF(S2358:U2375,$B2398&amp;" ~*")&gt;0)+(COUNTIF(W2358:W2375,$B2398)+COUNTIF(W2358:W2375,$B2398&amp;" ~*")&gt;0)+(COUNTIF(Y2358:Y2375,$B2398)+COUNTIF(Y2358:Y2375,$B2398&amp;" ~*")&gt;0))</f>
        <v/>
      </c>
      <c r="AC2398" s="38">
        <f>IF($B2398="","",(IFERROR(INDEX(Setup!$G$33:$G$40,MATCH(C2398,Setup!$B$33:$B$40,0)),0)=1)*(COUNTIF(C2358:E2375,$B2398)+COUNTIF(C2358:E2375,$B2398&amp;" ~*")&gt;0)+(IFERROR(INDEX(Setup!$G$33:$G$40,MATCH(G2398,Setup!$B$33:$B$40,0)),0)=1)*(COUNTIF(G2358:I2375,$B2398)+COUNTIF(G2358:I2375,$B2398&amp;" ~*")&gt;0)+(IFERROR(INDEX(Setup!$G$33:$G$40,MATCH(K2398,Setup!$B$33:$B$40,0)),0)=1)*(COUNTIF(K2358:M2375,$B2398)+COUNTIF(K2358:M2375,$B2398&amp;" ~*")&gt;0)+(IFERROR(INDEX(Setup!$G$33:$G$40,MATCH(O2398,Setup!$B$33:$B$40,0)),0)=1)*(COUNTIF(O2358:Q2375,$B2398)+COUNTIF(O2358:Q2375,$B2398&amp;" ~*")&gt;0)+(IFERROR(INDEX(Setup!$G$33:$G$40,MATCH(S2398,Setup!$B$33:$B$40,0)),0)=1)*(COUNTIF(S2358:U2375,$B2398)+COUNTIF(S2358:U2375,$B2398&amp;" ~*")&gt;0)+(IFERROR(INDEX(Setup!$G$33:$G$40,MATCH(W2398,Setup!$B$33:$B$40,0)),0)=1)*(COUNTIF(W2358:W2375,$B2398)+COUNTIF(W2358:W2375,$B2398&amp;" ~*")&gt;0)+(IFERROR(INDEX(Setup!$G$33:$G$40,MATCH(Y2398,Setup!$B$33:$B$40,0)),0)=1)*(COUNTIF(Y2358:Y2375,$B2398)+COUNTIF(Y2358:Y2375,$B2398&amp;" ~*")&gt;0))</f>
        <v/>
      </c>
    </row>
    <row r="2399" ht="15" customHeight="1">
      <c r="A2399" t="n">
        <v>48</v>
      </c>
      <c r="B2399" s="35">
        <f>IF(Setup!$B$28="","",Setup!$B$28)</f>
        <v/>
      </c>
      <c r="C2399" s="98" t="n"/>
      <c r="D2399" s="99" t="n"/>
      <c r="E2399" s="99" t="n"/>
      <c r="F2399" s="100" t="n"/>
      <c r="G2399" s="98" t="n"/>
      <c r="H2399" s="99" t="n"/>
      <c r="I2399" s="99" t="n"/>
      <c r="J2399" s="100" t="n"/>
      <c r="K2399" s="98" t="n"/>
      <c r="L2399" s="99" t="n"/>
      <c r="M2399" s="99" t="n"/>
      <c r="N2399" s="100" t="n"/>
      <c r="O2399" s="98" t="n"/>
      <c r="P2399" s="99" t="n"/>
      <c r="Q2399" s="99" t="n"/>
      <c r="R2399" s="100" t="n"/>
      <c r="S2399" s="98" t="n"/>
      <c r="T2399" s="99" t="n"/>
      <c r="U2399" s="99" t="n"/>
      <c r="V2399" s="100" t="n"/>
      <c r="W2399" s="98" t="n"/>
      <c r="X2399" s="100" t="n"/>
      <c r="Y2399" s="98" t="n"/>
      <c r="Z2399" s="100" t="n"/>
      <c r="AB2399" s="101">
        <f>IF($B2399="","",(COUNTIF(C2358:E2375,$B2399)+COUNTIF(C2358:E2375,$B2399&amp;" ~*")&gt;0)+(COUNTIF(G2358:I2375,$B2399)+COUNTIF(G2358:I2375,$B2399&amp;" ~*")&gt;0)+(COUNTIF(K2358:M2375,$B2399)+COUNTIF(K2358:M2375,$B2399&amp;" ~*")&gt;0)+(COUNTIF(O2358:Q2375,$B2399)+COUNTIF(O2358:Q2375,$B2399&amp;" ~*")&gt;0)+(COUNTIF(S2358:U2375,$B2399)+COUNTIF(S2358:U2375,$B2399&amp;" ~*")&gt;0)+(COUNTIF(W2358:W2375,$B2399)+COUNTIF(W2358:W2375,$B2399&amp;" ~*")&gt;0)+(COUNTIF(Y2358:Y2375,$B2399)+COUNTIF(Y2358:Y2375,$B2399&amp;" ~*")&gt;0))</f>
        <v/>
      </c>
      <c r="AC2399" s="36">
        <f>IF($B2399="","",(IFERROR(INDEX(Setup!$G$33:$G$40,MATCH(C2399,Setup!$B$33:$B$40,0)),0)=1)*(COUNTIF(C2358:E2375,$B2399)+COUNTIF(C2358:E2375,$B2399&amp;" ~*")&gt;0)+(IFERROR(INDEX(Setup!$G$33:$G$40,MATCH(G2399,Setup!$B$33:$B$40,0)),0)=1)*(COUNTIF(G2358:I2375,$B2399)+COUNTIF(G2358:I2375,$B2399&amp;" ~*")&gt;0)+(IFERROR(INDEX(Setup!$G$33:$G$40,MATCH(K2399,Setup!$B$33:$B$40,0)),0)=1)*(COUNTIF(K2358:M2375,$B2399)+COUNTIF(K2358:M2375,$B2399&amp;" ~*")&gt;0)+(IFERROR(INDEX(Setup!$G$33:$G$40,MATCH(O2399,Setup!$B$33:$B$40,0)),0)=1)*(COUNTIF(O2358:Q2375,$B2399)+COUNTIF(O2358:Q2375,$B2399&amp;" ~*")&gt;0)+(IFERROR(INDEX(Setup!$G$33:$G$40,MATCH(S2399,Setup!$B$33:$B$40,0)),0)=1)*(COUNTIF(S2358:U2375,$B2399)+COUNTIF(S2358:U2375,$B2399&amp;" ~*")&gt;0)+(IFERROR(INDEX(Setup!$G$33:$G$40,MATCH(W2399,Setup!$B$33:$B$40,0)),0)=1)*(COUNTIF(W2358:W2375,$B2399)+COUNTIF(W2358:W2375,$B2399&amp;" ~*")&gt;0)+(IFERROR(INDEX(Setup!$G$33:$G$40,MATCH(Y2399,Setup!$B$33:$B$40,0)),0)=1)*(COUNTIF(Y2358:Y2375,$B2399)+COUNTIF(Y2358:Y2375,$B2399&amp;" ~*")&gt;0))</f>
        <v/>
      </c>
    </row>
    <row r="2400" ht="15" customHeight="1">
      <c r="A2400" t="n">
        <v>48</v>
      </c>
      <c r="B2400" s="37">
        <f>IF(Setup!$B$29="","",Setup!$B$29)</f>
        <v/>
      </c>
      <c r="C2400" s="102" t="n"/>
      <c r="D2400" s="103" t="n"/>
      <c r="E2400" s="103" t="n"/>
      <c r="F2400" s="104" t="n"/>
      <c r="G2400" s="102" t="n"/>
      <c r="H2400" s="103" t="n"/>
      <c r="I2400" s="103" t="n"/>
      <c r="J2400" s="104" t="n"/>
      <c r="K2400" s="102" t="n"/>
      <c r="L2400" s="103" t="n"/>
      <c r="M2400" s="103" t="n"/>
      <c r="N2400" s="104" t="n"/>
      <c r="O2400" s="102" t="n"/>
      <c r="P2400" s="103" t="n"/>
      <c r="Q2400" s="103" t="n"/>
      <c r="R2400" s="104" t="n"/>
      <c r="S2400" s="102" t="n"/>
      <c r="T2400" s="103" t="n"/>
      <c r="U2400" s="103" t="n"/>
      <c r="V2400" s="104" t="n"/>
      <c r="W2400" s="102" t="n"/>
      <c r="X2400" s="104" t="n"/>
      <c r="Y2400" s="102" t="n"/>
      <c r="Z2400" s="104" t="n"/>
      <c r="AB2400" s="105">
        <f>IF($B2400="","",(COUNTIF(C2358:E2375,$B2400)+COUNTIF(C2358:E2375,$B2400&amp;" ~*")&gt;0)+(COUNTIF(G2358:I2375,$B2400)+COUNTIF(G2358:I2375,$B2400&amp;" ~*")&gt;0)+(COUNTIF(K2358:M2375,$B2400)+COUNTIF(K2358:M2375,$B2400&amp;" ~*")&gt;0)+(COUNTIF(O2358:Q2375,$B2400)+COUNTIF(O2358:Q2375,$B2400&amp;" ~*")&gt;0)+(COUNTIF(S2358:U2375,$B2400)+COUNTIF(S2358:U2375,$B2400&amp;" ~*")&gt;0)+(COUNTIF(W2358:W2375,$B2400)+COUNTIF(W2358:W2375,$B2400&amp;" ~*")&gt;0)+(COUNTIF(Y2358:Y2375,$B2400)+COUNTIF(Y2358:Y2375,$B2400&amp;" ~*")&gt;0))</f>
        <v/>
      </c>
      <c r="AC2400" s="38">
        <f>IF($B2400="","",(IFERROR(INDEX(Setup!$G$33:$G$40,MATCH(C2400,Setup!$B$33:$B$40,0)),0)=1)*(COUNTIF(C2358:E2375,$B2400)+COUNTIF(C2358:E2375,$B2400&amp;" ~*")&gt;0)+(IFERROR(INDEX(Setup!$G$33:$G$40,MATCH(G2400,Setup!$B$33:$B$40,0)),0)=1)*(COUNTIF(G2358:I2375,$B2400)+COUNTIF(G2358:I2375,$B2400&amp;" ~*")&gt;0)+(IFERROR(INDEX(Setup!$G$33:$G$40,MATCH(K2400,Setup!$B$33:$B$40,0)),0)=1)*(COUNTIF(K2358:M2375,$B2400)+COUNTIF(K2358:M2375,$B2400&amp;" ~*")&gt;0)+(IFERROR(INDEX(Setup!$G$33:$G$40,MATCH(O2400,Setup!$B$33:$B$40,0)),0)=1)*(COUNTIF(O2358:Q2375,$B2400)+COUNTIF(O2358:Q2375,$B2400&amp;" ~*")&gt;0)+(IFERROR(INDEX(Setup!$G$33:$G$40,MATCH(S2400,Setup!$B$33:$B$40,0)),0)=1)*(COUNTIF(S2358:U2375,$B2400)+COUNTIF(S2358:U2375,$B2400&amp;" ~*")&gt;0)+(IFERROR(INDEX(Setup!$G$33:$G$40,MATCH(W2400,Setup!$B$33:$B$40,0)),0)=1)*(COUNTIF(W2358:W2375,$B2400)+COUNTIF(W2358:W2375,$B2400&amp;" ~*")&gt;0)+(IFERROR(INDEX(Setup!$G$33:$G$40,MATCH(Y2400,Setup!$B$33:$B$40,0)),0)=1)*(COUNTIF(Y2358:Y2375,$B2400)+COUNTIF(Y2358:Y2375,$B2400&amp;" ~*")&gt;0))</f>
        <v/>
      </c>
    </row>
    <row r="2401" ht="16" customHeight="1">
      <c r="A2401" t="n">
        <v>48</v>
      </c>
      <c r="B2401" s="106" t="inlineStr">
        <is>
          <t>Available people</t>
        </is>
      </c>
      <c r="C2401" s="107">
        <f>COUNTIFS(Setup!$E$6:$E$29,"Y",Setup!$B$6:$B$29,"?*")-SUMPRODUCT(COUNTIF(C2377:C2400,Setup!$F$33:$F$40))</f>
        <v/>
      </c>
      <c r="D2401" s="107" t="n"/>
      <c r="E2401" s="107" t="n"/>
      <c r="F2401" s="107" t="n"/>
      <c r="G2401" s="107">
        <f>COUNTIFS(Setup!$E$6:$E$29,"Y",Setup!$B$6:$B$29,"?*")-SUMPRODUCT(COUNTIF(G2377:G2400,Setup!$F$33:$F$40))</f>
        <v/>
      </c>
      <c r="H2401" s="107" t="n"/>
      <c r="I2401" s="107" t="n"/>
      <c r="J2401" s="107" t="n"/>
      <c r="K2401" s="107">
        <f>COUNTIFS(Setup!$E$6:$E$29,"Y",Setup!$B$6:$B$29,"?*")-SUMPRODUCT(COUNTIF(K2377:K2400,Setup!$F$33:$F$40))</f>
        <v/>
      </c>
      <c r="L2401" s="107" t="n"/>
      <c r="M2401" s="107" t="n"/>
      <c r="N2401" s="107" t="n"/>
      <c r="O2401" s="107">
        <f>COUNTIFS(Setup!$E$6:$E$29,"Y",Setup!$B$6:$B$29,"?*")-SUMPRODUCT(COUNTIF(O2377:O2400,Setup!$F$33:$F$40))</f>
        <v/>
      </c>
      <c r="P2401" s="107" t="n"/>
      <c r="Q2401" s="107" t="n"/>
      <c r="R2401" s="107" t="n"/>
      <c r="S2401" s="107">
        <f>COUNTIFS(Setup!$E$6:$E$29,"Y",Setup!$B$6:$B$29,"?*")-SUMPRODUCT(COUNTIF(S2377:S2400,Setup!$F$33:$F$40))</f>
        <v/>
      </c>
      <c r="T2401" s="107" t="n"/>
      <c r="U2401" s="107" t="n"/>
      <c r="V2401" s="107" t="n"/>
      <c r="W2401" s="107">
        <f>COUNTIFS(Setup!$E$6:$E$29,"Y",Setup!$B$6:$B$29,"?*")-SUMPRODUCT(COUNTIF(W2377:W2400,Setup!$F$33:$F$40))</f>
        <v/>
      </c>
      <c r="X2401" s="107" t="n"/>
      <c r="Y2401" s="107">
        <f>COUNTIFS(Setup!$E$6:$E$29,"Y",Setup!$B$6:$B$29,"?*")-SUMPRODUCT(COUNTIF(Y2377:Y2400,Setup!$F$33:$F$40))</f>
        <v/>
      </c>
      <c r="Z2401" s="107" t="n"/>
      <c r="AB2401" s="108">
        <f>SUM(AB2377:AB2400)</f>
        <v/>
      </c>
      <c r="AC2401" s="109">
        <f>SUM(AC2377:AC2400)</f>
        <v/>
      </c>
    </row>
    <row r="2402" ht="30" customHeight="1">
      <c r="A2402" t="n">
        <v>48</v>
      </c>
      <c r="B2402" s="110" t="inlineStr">
        <is>
          <t>Week notes</t>
        </is>
      </c>
      <c r="C2402" s="111" t="n"/>
      <c r="D2402" s="112" t="n"/>
      <c r="E2402" s="112" t="n"/>
      <c r="F2402" s="112" t="n"/>
      <c r="G2402" s="112" t="n"/>
      <c r="H2402" s="112" t="n"/>
      <c r="I2402" s="112" t="n"/>
      <c r="J2402" s="112" t="n"/>
      <c r="K2402" s="112" t="n"/>
      <c r="L2402" s="112" t="n"/>
      <c r="M2402" s="112" t="n"/>
      <c r="N2402" s="112" t="n"/>
      <c r="O2402" s="112" t="n"/>
      <c r="P2402" s="112" t="n"/>
      <c r="Q2402" s="112" t="n"/>
      <c r="R2402" s="112" t="n"/>
      <c r="S2402" s="112" t="n"/>
      <c r="T2402" s="112" t="n"/>
      <c r="U2402" s="112" t="n"/>
      <c r="V2402" s="112" t="n"/>
      <c r="W2402" s="112" t="n"/>
      <c r="X2402" s="112" t="n"/>
      <c r="Y2402" s="112" t="n"/>
      <c r="Z2402" s="113" t="n"/>
    </row>
    <row r="2403" ht="8" customHeight="1">
      <c r="A2403" t="n">
        <v>48</v>
      </c>
    </row>
    <row r="2404" ht="8" customHeight="1">
      <c r="A2404" t="n">
        <v>48</v>
      </c>
    </row>
    <row r="2405" ht="24" customHeight="1">
      <c r="A2405" t="n">
        <v>49</v>
      </c>
      <c r="B2405" s="73">
        <f>"WEEK 49     "&amp;TEXT(C2406,"ddd d mmm")&amp;"  –  "&amp;TEXT(C2406+6,"ddd d mmm yyyy")</f>
        <v/>
      </c>
      <c r="S2405" s="74">
        <f>IF(TODAY()&lt;C2406,"FUTURE",IF(TODAY()&gt;C2406+6,"PAST","THIS WEEK"))</f>
        <v/>
      </c>
      <c r="W2405" s="75">
        <f>IF(AND(Engine!$B$8=$AC$3,Engine!$B$9=$A2405),"◀ ACTIVE WEEK","")</f>
        <v/>
      </c>
      <c r="AA2405" s="76" t="n"/>
      <c r="AB2405" s="77" t="inlineStr">
        <is>
          <t>◀ Prev</t>
        </is>
      </c>
      <c r="AC2405" s="77" t="inlineStr">
        <is>
          <t>Next ▶</t>
        </is>
      </c>
    </row>
    <row r="2406" ht="18" customHeight="1">
      <c r="A2406" t="n">
        <v>49</v>
      </c>
      <c r="B2406" s="78" t="inlineStr">
        <is>
          <t>DUTY</t>
        </is>
      </c>
      <c r="C2406" s="79">
        <f>$AC$2+7*($A2406-1)</f>
        <v/>
      </c>
      <c r="D2406" s="80" t="n"/>
      <c r="E2406" s="80" t="n"/>
      <c r="F2406" s="81" t="n"/>
      <c r="G2406" s="79">
        <f>C2406+1</f>
        <v/>
      </c>
      <c r="H2406" s="80" t="n"/>
      <c r="I2406" s="80" t="n"/>
      <c r="J2406" s="81" t="n"/>
      <c r="K2406" s="79">
        <f>C2406+2</f>
        <v/>
      </c>
      <c r="L2406" s="80" t="n"/>
      <c r="M2406" s="80" t="n"/>
      <c r="N2406" s="81" t="n"/>
      <c r="O2406" s="79">
        <f>C2406+3</f>
        <v/>
      </c>
      <c r="P2406" s="80" t="n"/>
      <c r="Q2406" s="80" t="n"/>
      <c r="R2406" s="81" t="n"/>
      <c r="S2406" s="79">
        <f>C2406+4</f>
        <v/>
      </c>
      <c r="T2406" s="80" t="n"/>
      <c r="U2406" s="80" t="n"/>
      <c r="V2406" s="81" t="n"/>
      <c r="W2406" s="82">
        <f>C2406+5</f>
        <v/>
      </c>
      <c r="X2406" s="83" t="n"/>
      <c r="Y2406" s="82">
        <f>C2406+6</f>
        <v/>
      </c>
      <c r="Z2406" s="83" t="n"/>
      <c r="AB2406" s="72" t="inlineStr">
        <is>
          <t>Gaps</t>
        </is>
      </c>
      <c r="AC2406" s="72" t="inlineStr">
        <is>
          <t>Cover</t>
        </is>
      </c>
    </row>
    <row r="2407" ht="14" customHeight="1">
      <c r="A2407" t="n">
        <v>49</v>
      </c>
      <c r="B2407" s="84" t="inlineStr">
        <is>
          <t>(from Setup)</t>
        </is>
      </c>
      <c r="C2407" s="85" t="inlineStr">
        <is>
          <t>1</t>
        </is>
      </c>
      <c r="D2407" s="85" t="inlineStr">
        <is>
          <t>2</t>
        </is>
      </c>
      <c r="E2407" s="85" t="inlineStr">
        <is>
          <t>3</t>
        </is>
      </c>
      <c r="F2407" s="85" t="inlineStr">
        <is>
          <t>Notes</t>
        </is>
      </c>
      <c r="G2407" s="85" t="inlineStr">
        <is>
          <t>1</t>
        </is>
      </c>
      <c r="H2407" s="85" t="inlineStr">
        <is>
          <t>2</t>
        </is>
      </c>
      <c r="I2407" s="85" t="inlineStr">
        <is>
          <t>3</t>
        </is>
      </c>
      <c r="J2407" s="85" t="inlineStr">
        <is>
          <t>Notes</t>
        </is>
      </c>
      <c r="K2407" s="85" t="inlineStr">
        <is>
          <t>1</t>
        </is>
      </c>
      <c r="L2407" s="85" t="inlineStr">
        <is>
          <t>2</t>
        </is>
      </c>
      <c r="M2407" s="85" t="inlineStr">
        <is>
          <t>3</t>
        </is>
      </c>
      <c r="N2407" s="85" t="inlineStr">
        <is>
          <t>Notes</t>
        </is>
      </c>
      <c r="O2407" s="85" t="inlineStr">
        <is>
          <t>1</t>
        </is>
      </c>
      <c r="P2407" s="85" t="inlineStr">
        <is>
          <t>2</t>
        </is>
      </c>
      <c r="Q2407" s="85" t="inlineStr">
        <is>
          <t>3</t>
        </is>
      </c>
      <c r="R2407" s="85" t="inlineStr">
        <is>
          <t>Notes</t>
        </is>
      </c>
      <c r="S2407" s="85" t="inlineStr">
        <is>
          <t>1</t>
        </is>
      </c>
      <c r="T2407" s="85" t="inlineStr">
        <is>
          <t>2</t>
        </is>
      </c>
      <c r="U2407" s="85" t="inlineStr">
        <is>
          <t>3</t>
        </is>
      </c>
      <c r="V2407" s="85" t="inlineStr">
        <is>
          <t>Notes</t>
        </is>
      </c>
      <c r="W2407" s="85" t="inlineStr">
        <is>
          <t>Cover</t>
        </is>
      </c>
      <c r="X2407" s="85" t="inlineStr">
        <is>
          <t>Notes</t>
        </is>
      </c>
      <c r="Y2407" s="85" t="inlineStr">
        <is>
          <t>Cover</t>
        </is>
      </c>
      <c r="Z2407" s="85" t="inlineStr">
        <is>
          <t>Notes</t>
        </is>
      </c>
      <c r="AB2407" s="86" t="inlineStr">
        <is>
          <t>weekdays short</t>
        </is>
      </c>
      <c r="AC2407" s="87" t="inlineStr"/>
    </row>
    <row r="2408" ht="17" customHeight="1">
      <c r="A2408" t="n">
        <v>49</v>
      </c>
      <c r="B2408" s="24">
        <f>IF(Setup!$K$6="","",Setup!$K$6)</f>
        <v/>
      </c>
      <c r="C2408" s="88" t="n"/>
      <c r="D2408" s="88" t="n"/>
      <c r="E2408" s="88" t="n"/>
      <c r="F2408" s="89" t="n"/>
      <c r="G2408" s="88" t="n"/>
      <c r="H2408" s="88" t="n"/>
      <c r="I2408" s="88" t="n"/>
      <c r="J2408" s="89" t="n"/>
      <c r="K2408" s="88" t="n"/>
      <c r="L2408" s="88" t="n"/>
      <c r="M2408" s="88" t="n"/>
      <c r="N2408" s="89" t="n"/>
      <c r="O2408" s="88" t="n"/>
      <c r="P2408" s="88" t="n"/>
      <c r="Q2408" s="88" t="n"/>
      <c r="R2408" s="89" t="n"/>
      <c r="S2408" s="88" t="n"/>
      <c r="T2408" s="88" t="n"/>
      <c r="U2408" s="88" t="n"/>
      <c r="V2408" s="89" t="n"/>
      <c r="W2408" s="88" t="n"/>
      <c r="X2408" s="89" t="n"/>
      <c r="Y2408" s="88" t="n"/>
      <c r="Z2408" s="89" t="n"/>
      <c r="AB2408" s="25">
        <f>IF($B2408="","",(COUNTIF(C2408:E2408,"?*")&lt;N(INDEX(Setup!$L$6:$L$23,1)))+(COUNTIF(G2408:I2408,"?*")&lt;N(INDEX(Setup!$L$6:$L$23,1)))+(COUNTIF(K2408:M2408,"?*")&lt;N(INDEX(Setup!$L$6:$L$23,1)))+(COUNTIF(O2408:Q2408,"?*")&lt;N(INDEX(Setup!$L$6:$L$23,1)))+(COUNTIF(S2408:U2408,"?*")&lt;N(INDEX(Setup!$L$6:$L$23,1)))+((W2408="")*(INDEX(Setup!$M$6:$M$23,1)="Y"))+((Y2408="")*(INDEX(Setup!$M$6:$M$23,1)="Y")))</f>
        <v/>
      </c>
      <c r="AC2408" s="90">
        <f>IF($B2408="","",IF(AB2408=0,"✓ covered","⚠ "&amp;AB2408&amp;IF(AB2408=1," gap"," gaps")))</f>
        <v/>
      </c>
    </row>
    <row r="2409" ht="17" customHeight="1">
      <c r="A2409" t="n">
        <v>49</v>
      </c>
      <c r="B2409" s="29">
        <f>IF(Setup!$K$7="","",Setup!$K$7)</f>
        <v/>
      </c>
      <c r="C2409" s="88" t="n"/>
      <c r="D2409" s="88" t="n"/>
      <c r="E2409" s="88" t="n"/>
      <c r="F2409" s="89" t="n"/>
      <c r="G2409" s="88" t="n"/>
      <c r="H2409" s="88" t="n"/>
      <c r="I2409" s="88" t="n"/>
      <c r="J2409" s="89" t="n"/>
      <c r="K2409" s="88" t="n"/>
      <c r="L2409" s="88" t="n"/>
      <c r="M2409" s="88" t="n"/>
      <c r="N2409" s="89" t="n"/>
      <c r="O2409" s="88" t="n"/>
      <c r="P2409" s="88" t="n"/>
      <c r="Q2409" s="88" t="n"/>
      <c r="R2409" s="89" t="n"/>
      <c r="S2409" s="88" t="n"/>
      <c r="T2409" s="88" t="n"/>
      <c r="U2409" s="88" t="n"/>
      <c r="V2409" s="89" t="n"/>
      <c r="W2409" s="88" t="n"/>
      <c r="X2409" s="89" t="n"/>
      <c r="Y2409" s="88" t="n"/>
      <c r="Z2409" s="89" t="n"/>
      <c r="AB2409" s="30">
        <f>IF($B2409="","",(COUNTIF(C2409:E2409,"?*")&lt;N(INDEX(Setup!$L$6:$L$23,2)))+(COUNTIF(G2409:I2409,"?*")&lt;N(INDEX(Setup!$L$6:$L$23,2)))+(COUNTIF(K2409:M2409,"?*")&lt;N(INDEX(Setup!$L$6:$L$23,2)))+(COUNTIF(O2409:Q2409,"?*")&lt;N(INDEX(Setup!$L$6:$L$23,2)))+(COUNTIF(S2409:U2409,"?*")&lt;N(INDEX(Setup!$L$6:$L$23,2)))+((W2409="")*(INDEX(Setup!$M$6:$M$23,2)="Y"))+((Y2409="")*(INDEX(Setup!$M$6:$M$23,2)="Y")))</f>
        <v/>
      </c>
      <c r="AC2409" s="91">
        <f>IF($B2409="","",IF(AB2409=0,"✓ covered","⚠ "&amp;AB2409&amp;IF(AB2409=1," gap"," gaps")))</f>
        <v/>
      </c>
    </row>
    <row r="2410" ht="17" customHeight="1">
      <c r="A2410" t="n">
        <v>49</v>
      </c>
      <c r="B2410" s="24">
        <f>IF(Setup!$K$8="","",Setup!$K$8)</f>
        <v/>
      </c>
      <c r="C2410" s="88" t="n"/>
      <c r="D2410" s="88" t="n"/>
      <c r="E2410" s="88" t="n"/>
      <c r="F2410" s="89" t="n"/>
      <c r="G2410" s="88" t="n"/>
      <c r="H2410" s="88" t="n"/>
      <c r="I2410" s="88" t="n"/>
      <c r="J2410" s="89" t="n"/>
      <c r="K2410" s="88" t="n"/>
      <c r="L2410" s="88" t="n"/>
      <c r="M2410" s="88" t="n"/>
      <c r="N2410" s="89" t="n"/>
      <c r="O2410" s="88" t="n"/>
      <c r="P2410" s="88" t="n"/>
      <c r="Q2410" s="88" t="n"/>
      <c r="R2410" s="89" t="n"/>
      <c r="S2410" s="88" t="n"/>
      <c r="T2410" s="88" t="n"/>
      <c r="U2410" s="88" t="n"/>
      <c r="V2410" s="89" t="n"/>
      <c r="W2410" s="88" t="n"/>
      <c r="X2410" s="89" t="n"/>
      <c r="Y2410" s="88" t="n"/>
      <c r="Z2410" s="89" t="n"/>
      <c r="AB2410" s="25">
        <f>IF($B2410="","",(COUNTIF(C2410:E2410,"?*")&lt;N(INDEX(Setup!$L$6:$L$23,3)))+(COUNTIF(G2410:I2410,"?*")&lt;N(INDEX(Setup!$L$6:$L$23,3)))+(COUNTIF(K2410:M2410,"?*")&lt;N(INDEX(Setup!$L$6:$L$23,3)))+(COUNTIF(O2410:Q2410,"?*")&lt;N(INDEX(Setup!$L$6:$L$23,3)))+(COUNTIF(S2410:U2410,"?*")&lt;N(INDEX(Setup!$L$6:$L$23,3)))+((W2410="")*(INDEX(Setup!$M$6:$M$23,3)="Y"))+((Y2410="")*(INDEX(Setup!$M$6:$M$23,3)="Y")))</f>
        <v/>
      </c>
      <c r="AC2410" s="90">
        <f>IF($B2410="","",IF(AB2410=0,"✓ covered","⚠ "&amp;AB2410&amp;IF(AB2410=1," gap"," gaps")))</f>
        <v/>
      </c>
    </row>
    <row r="2411" ht="17" customHeight="1">
      <c r="A2411" t="n">
        <v>49</v>
      </c>
      <c r="B2411" s="29">
        <f>IF(Setup!$K$9="","",Setup!$K$9)</f>
        <v/>
      </c>
      <c r="C2411" s="88" t="n"/>
      <c r="D2411" s="88" t="n"/>
      <c r="E2411" s="88" t="n"/>
      <c r="F2411" s="89" t="n"/>
      <c r="G2411" s="88" t="n"/>
      <c r="H2411" s="88" t="n"/>
      <c r="I2411" s="88" t="n"/>
      <c r="J2411" s="89" t="n"/>
      <c r="K2411" s="88" t="n"/>
      <c r="L2411" s="88" t="n"/>
      <c r="M2411" s="88" t="n"/>
      <c r="N2411" s="89" t="n"/>
      <c r="O2411" s="88" t="n"/>
      <c r="P2411" s="88" t="n"/>
      <c r="Q2411" s="88" t="n"/>
      <c r="R2411" s="89" t="n"/>
      <c r="S2411" s="88" t="n"/>
      <c r="T2411" s="88" t="n"/>
      <c r="U2411" s="88" t="n"/>
      <c r="V2411" s="89" t="n"/>
      <c r="W2411" s="88" t="n"/>
      <c r="X2411" s="89" t="n"/>
      <c r="Y2411" s="88" t="n"/>
      <c r="Z2411" s="89" t="n"/>
      <c r="AB2411" s="30">
        <f>IF($B2411="","",(COUNTIF(C2411:E2411,"?*")&lt;N(INDEX(Setup!$L$6:$L$23,4)))+(COUNTIF(G2411:I2411,"?*")&lt;N(INDEX(Setup!$L$6:$L$23,4)))+(COUNTIF(K2411:M2411,"?*")&lt;N(INDEX(Setup!$L$6:$L$23,4)))+(COUNTIF(O2411:Q2411,"?*")&lt;N(INDEX(Setup!$L$6:$L$23,4)))+(COUNTIF(S2411:U2411,"?*")&lt;N(INDEX(Setup!$L$6:$L$23,4)))+((W2411="")*(INDEX(Setup!$M$6:$M$23,4)="Y"))+((Y2411="")*(INDEX(Setup!$M$6:$M$23,4)="Y")))</f>
        <v/>
      </c>
      <c r="AC2411" s="91">
        <f>IF($B2411="","",IF(AB2411=0,"✓ covered","⚠ "&amp;AB2411&amp;IF(AB2411=1," gap"," gaps")))</f>
        <v/>
      </c>
    </row>
    <row r="2412" ht="17" customHeight="1">
      <c r="A2412" t="n">
        <v>49</v>
      </c>
      <c r="B2412" s="24">
        <f>IF(Setup!$K$10="","",Setup!$K$10)</f>
        <v/>
      </c>
      <c r="C2412" s="88" t="n"/>
      <c r="D2412" s="88" t="n"/>
      <c r="E2412" s="88" t="n"/>
      <c r="F2412" s="89" t="n"/>
      <c r="G2412" s="88" t="n"/>
      <c r="H2412" s="88" t="n"/>
      <c r="I2412" s="88" t="n"/>
      <c r="J2412" s="89" t="n"/>
      <c r="K2412" s="88" t="n"/>
      <c r="L2412" s="88" t="n"/>
      <c r="M2412" s="88" t="n"/>
      <c r="N2412" s="89" t="n"/>
      <c r="O2412" s="88" t="n"/>
      <c r="P2412" s="88" t="n"/>
      <c r="Q2412" s="88" t="n"/>
      <c r="R2412" s="89" t="n"/>
      <c r="S2412" s="88" t="n"/>
      <c r="T2412" s="88" t="n"/>
      <c r="U2412" s="88" t="n"/>
      <c r="V2412" s="89" t="n"/>
      <c r="W2412" s="88" t="n"/>
      <c r="X2412" s="89" t="n"/>
      <c r="Y2412" s="88" t="n"/>
      <c r="Z2412" s="89" t="n"/>
      <c r="AB2412" s="25">
        <f>IF($B2412="","",(COUNTIF(C2412:E2412,"?*")&lt;N(INDEX(Setup!$L$6:$L$23,5)))+(COUNTIF(G2412:I2412,"?*")&lt;N(INDEX(Setup!$L$6:$L$23,5)))+(COUNTIF(K2412:M2412,"?*")&lt;N(INDEX(Setup!$L$6:$L$23,5)))+(COUNTIF(O2412:Q2412,"?*")&lt;N(INDEX(Setup!$L$6:$L$23,5)))+(COUNTIF(S2412:U2412,"?*")&lt;N(INDEX(Setup!$L$6:$L$23,5)))+((W2412="")*(INDEX(Setup!$M$6:$M$23,5)="Y"))+((Y2412="")*(INDEX(Setup!$M$6:$M$23,5)="Y")))</f>
        <v/>
      </c>
      <c r="AC2412" s="90">
        <f>IF($B2412="","",IF(AB2412=0,"✓ covered","⚠ "&amp;AB2412&amp;IF(AB2412=1," gap"," gaps")))</f>
        <v/>
      </c>
    </row>
    <row r="2413" ht="17" customHeight="1">
      <c r="A2413" t="n">
        <v>49</v>
      </c>
      <c r="B2413" s="29">
        <f>IF(Setup!$K$11="","",Setup!$K$11)</f>
        <v/>
      </c>
      <c r="C2413" s="88" t="n"/>
      <c r="D2413" s="88" t="n"/>
      <c r="E2413" s="88" t="n"/>
      <c r="F2413" s="89" t="n"/>
      <c r="G2413" s="88" t="n"/>
      <c r="H2413" s="88" t="n"/>
      <c r="I2413" s="88" t="n"/>
      <c r="J2413" s="89" t="n"/>
      <c r="K2413" s="88" t="n"/>
      <c r="L2413" s="88" t="n"/>
      <c r="M2413" s="88" t="n"/>
      <c r="N2413" s="89" t="n"/>
      <c r="O2413" s="88" t="n"/>
      <c r="P2413" s="88" t="n"/>
      <c r="Q2413" s="88" t="n"/>
      <c r="R2413" s="89" t="n"/>
      <c r="S2413" s="88" t="n"/>
      <c r="T2413" s="88" t="n"/>
      <c r="U2413" s="88" t="n"/>
      <c r="V2413" s="89" t="n"/>
      <c r="W2413" s="88" t="n"/>
      <c r="X2413" s="89" t="n"/>
      <c r="Y2413" s="88" t="n"/>
      <c r="Z2413" s="89" t="n"/>
      <c r="AB2413" s="30">
        <f>IF($B2413="","",(COUNTIF(C2413:E2413,"?*")&lt;N(INDEX(Setup!$L$6:$L$23,6)))+(COUNTIF(G2413:I2413,"?*")&lt;N(INDEX(Setup!$L$6:$L$23,6)))+(COUNTIF(K2413:M2413,"?*")&lt;N(INDEX(Setup!$L$6:$L$23,6)))+(COUNTIF(O2413:Q2413,"?*")&lt;N(INDEX(Setup!$L$6:$L$23,6)))+(COUNTIF(S2413:U2413,"?*")&lt;N(INDEX(Setup!$L$6:$L$23,6)))+((W2413="")*(INDEX(Setup!$M$6:$M$23,6)="Y"))+((Y2413="")*(INDEX(Setup!$M$6:$M$23,6)="Y")))</f>
        <v/>
      </c>
      <c r="AC2413" s="91">
        <f>IF($B2413="","",IF(AB2413=0,"✓ covered","⚠ "&amp;AB2413&amp;IF(AB2413=1," gap"," gaps")))</f>
        <v/>
      </c>
    </row>
    <row r="2414" ht="17" customHeight="1">
      <c r="A2414" t="n">
        <v>49</v>
      </c>
      <c r="B2414" s="24">
        <f>IF(Setup!$K$12="","",Setup!$K$12)</f>
        <v/>
      </c>
      <c r="C2414" s="88" t="n"/>
      <c r="D2414" s="88" t="n"/>
      <c r="E2414" s="88" t="n"/>
      <c r="F2414" s="89" t="n"/>
      <c r="G2414" s="88" t="n"/>
      <c r="H2414" s="88" t="n"/>
      <c r="I2414" s="88" t="n"/>
      <c r="J2414" s="89" t="n"/>
      <c r="K2414" s="88" t="n"/>
      <c r="L2414" s="88" t="n"/>
      <c r="M2414" s="88" t="n"/>
      <c r="N2414" s="89" t="n"/>
      <c r="O2414" s="88" t="n"/>
      <c r="P2414" s="88" t="n"/>
      <c r="Q2414" s="88" t="n"/>
      <c r="R2414" s="89" t="n"/>
      <c r="S2414" s="88" t="n"/>
      <c r="T2414" s="88" t="n"/>
      <c r="U2414" s="88" t="n"/>
      <c r="V2414" s="89" t="n"/>
      <c r="W2414" s="88" t="n"/>
      <c r="X2414" s="89" t="n"/>
      <c r="Y2414" s="88" t="n"/>
      <c r="Z2414" s="89" t="n"/>
      <c r="AB2414" s="25">
        <f>IF($B2414="","",(COUNTIF(C2414:E2414,"?*")&lt;N(INDEX(Setup!$L$6:$L$23,7)))+(COUNTIF(G2414:I2414,"?*")&lt;N(INDEX(Setup!$L$6:$L$23,7)))+(COUNTIF(K2414:M2414,"?*")&lt;N(INDEX(Setup!$L$6:$L$23,7)))+(COUNTIF(O2414:Q2414,"?*")&lt;N(INDEX(Setup!$L$6:$L$23,7)))+(COUNTIF(S2414:U2414,"?*")&lt;N(INDEX(Setup!$L$6:$L$23,7)))+((W2414="")*(INDEX(Setup!$M$6:$M$23,7)="Y"))+((Y2414="")*(INDEX(Setup!$M$6:$M$23,7)="Y")))</f>
        <v/>
      </c>
      <c r="AC2414" s="90">
        <f>IF($B2414="","",IF(AB2414=0,"✓ covered","⚠ "&amp;AB2414&amp;IF(AB2414=1," gap"," gaps")))</f>
        <v/>
      </c>
    </row>
    <row r="2415" ht="17" customHeight="1">
      <c r="A2415" t="n">
        <v>49</v>
      </c>
      <c r="B2415" s="29">
        <f>IF(Setup!$K$13="","",Setup!$K$13)</f>
        <v/>
      </c>
      <c r="C2415" s="88" t="n"/>
      <c r="D2415" s="88" t="n"/>
      <c r="E2415" s="88" t="n"/>
      <c r="F2415" s="89" t="n"/>
      <c r="G2415" s="88" t="n"/>
      <c r="H2415" s="88" t="n"/>
      <c r="I2415" s="88" t="n"/>
      <c r="J2415" s="89" t="n"/>
      <c r="K2415" s="88" t="n"/>
      <c r="L2415" s="88" t="n"/>
      <c r="M2415" s="88" t="n"/>
      <c r="N2415" s="89" t="n"/>
      <c r="O2415" s="88" t="n"/>
      <c r="P2415" s="88" t="n"/>
      <c r="Q2415" s="88" t="n"/>
      <c r="R2415" s="89" t="n"/>
      <c r="S2415" s="88" t="n"/>
      <c r="T2415" s="88" t="n"/>
      <c r="U2415" s="88" t="n"/>
      <c r="V2415" s="89" t="n"/>
      <c r="W2415" s="88" t="n"/>
      <c r="X2415" s="89" t="n"/>
      <c r="Y2415" s="88" t="n"/>
      <c r="Z2415" s="89" t="n"/>
      <c r="AB2415" s="30">
        <f>IF($B2415="","",(COUNTIF(C2415:E2415,"?*")&lt;N(INDEX(Setup!$L$6:$L$23,8)))+(COUNTIF(G2415:I2415,"?*")&lt;N(INDEX(Setup!$L$6:$L$23,8)))+(COUNTIF(K2415:M2415,"?*")&lt;N(INDEX(Setup!$L$6:$L$23,8)))+(COUNTIF(O2415:Q2415,"?*")&lt;N(INDEX(Setup!$L$6:$L$23,8)))+(COUNTIF(S2415:U2415,"?*")&lt;N(INDEX(Setup!$L$6:$L$23,8)))+((W2415="")*(INDEX(Setup!$M$6:$M$23,8)="Y"))+((Y2415="")*(INDEX(Setup!$M$6:$M$23,8)="Y")))</f>
        <v/>
      </c>
      <c r="AC2415" s="91">
        <f>IF($B2415="","",IF(AB2415=0,"✓ covered","⚠ "&amp;AB2415&amp;IF(AB2415=1," gap"," gaps")))</f>
        <v/>
      </c>
    </row>
    <row r="2416" ht="17" customHeight="1">
      <c r="A2416" t="n">
        <v>49</v>
      </c>
      <c r="B2416" s="24">
        <f>IF(Setup!$K$14="","",Setup!$K$14)</f>
        <v/>
      </c>
      <c r="C2416" s="88" t="n"/>
      <c r="D2416" s="88" t="n"/>
      <c r="E2416" s="88" t="n"/>
      <c r="F2416" s="89" t="n"/>
      <c r="G2416" s="88" t="n"/>
      <c r="H2416" s="88" t="n"/>
      <c r="I2416" s="88" t="n"/>
      <c r="J2416" s="89" t="n"/>
      <c r="K2416" s="88" t="n"/>
      <c r="L2416" s="88" t="n"/>
      <c r="M2416" s="88" t="n"/>
      <c r="N2416" s="89" t="n"/>
      <c r="O2416" s="88" t="n"/>
      <c r="P2416" s="88" t="n"/>
      <c r="Q2416" s="88" t="n"/>
      <c r="R2416" s="89" t="n"/>
      <c r="S2416" s="88" t="n"/>
      <c r="T2416" s="88" t="n"/>
      <c r="U2416" s="88" t="n"/>
      <c r="V2416" s="89" t="n"/>
      <c r="W2416" s="88" t="n"/>
      <c r="X2416" s="89" t="n"/>
      <c r="Y2416" s="88" t="n"/>
      <c r="Z2416" s="89" t="n"/>
      <c r="AB2416" s="25">
        <f>IF($B2416="","",(COUNTIF(C2416:E2416,"?*")&lt;N(INDEX(Setup!$L$6:$L$23,9)))+(COUNTIF(G2416:I2416,"?*")&lt;N(INDEX(Setup!$L$6:$L$23,9)))+(COUNTIF(K2416:M2416,"?*")&lt;N(INDEX(Setup!$L$6:$L$23,9)))+(COUNTIF(O2416:Q2416,"?*")&lt;N(INDEX(Setup!$L$6:$L$23,9)))+(COUNTIF(S2416:U2416,"?*")&lt;N(INDEX(Setup!$L$6:$L$23,9)))+((W2416="")*(INDEX(Setup!$M$6:$M$23,9)="Y"))+((Y2416="")*(INDEX(Setup!$M$6:$M$23,9)="Y")))</f>
        <v/>
      </c>
      <c r="AC2416" s="90">
        <f>IF($B2416="","",IF(AB2416=0,"✓ covered","⚠ "&amp;AB2416&amp;IF(AB2416=1," gap"," gaps")))</f>
        <v/>
      </c>
    </row>
    <row r="2417" ht="17" customHeight="1">
      <c r="A2417" t="n">
        <v>49</v>
      </c>
      <c r="B2417" s="29">
        <f>IF(Setup!$K$15="","",Setup!$K$15)</f>
        <v/>
      </c>
      <c r="C2417" s="88" t="n"/>
      <c r="D2417" s="88" t="n"/>
      <c r="E2417" s="88" t="n"/>
      <c r="F2417" s="89" t="n"/>
      <c r="G2417" s="88" t="n"/>
      <c r="H2417" s="88" t="n"/>
      <c r="I2417" s="88" t="n"/>
      <c r="J2417" s="89" t="n"/>
      <c r="K2417" s="88" t="n"/>
      <c r="L2417" s="88" t="n"/>
      <c r="M2417" s="88" t="n"/>
      <c r="N2417" s="89" t="n"/>
      <c r="O2417" s="88" t="n"/>
      <c r="P2417" s="88" t="n"/>
      <c r="Q2417" s="88" t="n"/>
      <c r="R2417" s="89" t="n"/>
      <c r="S2417" s="88" t="n"/>
      <c r="T2417" s="88" t="n"/>
      <c r="U2417" s="88" t="n"/>
      <c r="V2417" s="89" t="n"/>
      <c r="W2417" s="88" t="n"/>
      <c r="X2417" s="89" t="n"/>
      <c r="Y2417" s="88" t="n"/>
      <c r="Z2417" s="89" t="n"/>
      <c r="AB2417" s="30">
        <f>IF($B2417="","",(COUNTIF(C2417:E2417,"?*")&lt;N(INDEX(Setup!$L$6:$L$23,10)))+(COUNTIF(G2417:I2417,"?*")&lt;N(INDEX(Setup!$L$6:$L$23,10)))+(COUNTIF(K2417:M2417,"?*")&lt;N(INDEX(Setup!$L$6:$L$23,10)))+(COUNTIF(O2417:Q2417,"?*")&lt;N(INDEX(Setup!$L$6:$L$23,10)))+(COUNTIF(S2417:U2417,"?*")&lt;N(INDEX(Setup!$L$6:$L$23,10)))+((W2417="")*(INDEX(Setup!$M$6:$M$23,10)="Y"))+((Y2417="")*(INDEX(Setup!$M$6:$M$23,10)="Y")))</f>
        <v/>
      </c>
      <c r="AC2417" s="91">
        <f>IF($B2417="","",IF(AB2417=0,"✓ covered","⚠ "&amp;AB2417&amp;IF(AB2417=1," gap"," gaps")))</f>
        <v/>
      </c>
    </row>
    <row r="2418" ht="17" customHeight="1">
      <c r="A2418" t="n">
        <v>49</v>
      </c>
      <c r="B2418" s="24">
        <f>IF(Setup!$K$16="","",Setup!$K$16)</f>
        <v/>
      </c>
      <c r="C2418" s="88" t="n"/>
      <c r="D2418" s="88" t="n"/>
      <c r="E2418" s="88" t="n"/>
      <c r="F2418" s="89" t="n"/>
      <c r="G2418" s="88" t="n"/>
      <c r="H2418" s="88" t="n"/>
      <c r="I2418" s="88" t="n"/>
      <c r="J2418" s="89" t="n"/>
      <c r="K2418" s="88" t="n"/>
      <c r="L2418" s="88" t="n"/>
      <c r="M2418" s="88" t="n"/>
      <c r="N2418" s="89" t="n"/>
      <c r="O2418" s="88" t="n"/>
      <c r="P2418" s="88" t="n"/>
      <c r="Q2418" s="88" t="n"/>
      <c r="R2418" s="89" t="n"/>
      <c r="S2418" s="88" t="n"/>
      <c r="T2418" s="88" t="n"/>
      <c r="U2418" s="88" t="n"/>
      <c r="V2418" s="89" t="n"/>
      <c r="W2418" s="88" t="n"/>
      <c r="X2418" s="89" t="n"/>
      <c r="Y2418" s="88" t="n"/>
      <c r="Z2418" s="89" t="n"/>
      <c r="AB2418" s="25">
        <f>IF($B2418="","",(COUNTIF(C2418:E2418,"?*")&lt;N(INDEX(Setup!$L$6:$L$23,11)))+(COUNTIF(G2418:I2418,"?*")&lt;N(INDEX(Setup!$L$6:$L$23,11)))+(COUNTIF(K2418:M2418,"?*")&lt;N(INDEX(Setup!$L$6:$L$23,11)))+(COUNTIF(O2418:Q2418,"?*")&lt;N(INDEX(Setup!$L$6:$L$23,11)))+(COUNTIF(S2418:U2418,"?*")&lt;N(INDEX(Setup!$L$6:$L$23,11)))+((W2418="")*(INDEX(Setup!$M$6:$M$23,11)="Y"))+((Y2418="")*(INDEX(Setup!$M$6:$M$23,11)="Y")))</f>
        <v/>
      </c>
      <c r="AC2418" s="90">
        <f>IF($B2418="","",IF(AB2418=0,"✓ covered","⚠ "&amp;AB2418&amp;IF(AB2418=1," gap"," gaps")))</f>
        <v/>
      </c>
    </row>
    <row r="2419" ht="17" customHeight="1">
      <c r="A2419" t="n">
        <v>49</v>
      </c>
      <c r="B2419" s="29">
        <f>IF(Setup!$K$17="","",Setup!$K$17)</f>
        <v/>
      </c>
      <c r="C2419" s="88" t="n"/>
      <c r="D2419" s="88" t="n"/>
      <c r="E2419" s="88" t="n"/>
      <c r="F2419" s="89" t="n"/>
      <c r="G2419" s="88" t="n"/>
      <c r="H2419" s="88" t="n"/>
      <c r="I2419" s="88" t="n"/>
      <c r="J2419" s="89" t="n"/>
      <c r="K2419" s="88" t="n"/>
      <c r="L2419" s="88" t="n"/>
      <c r="M2419" s="88" t="n"/>
      <c r="N2419" s="89" t="n"/>
      <c r="O2419" s="88" t="n"/>
      <c r="P2419" s="88" t="n"/>
      <c r="Q2419" s="88" t="n"/>
      <c r="R2419" s="89" t="n"/>
      <c r="S2419" s="88" t="n"/>
      <c r="T2419" s="88" t="n"/>
      <c r="U2419" s="88" t="n"/>
      <c r="V2419" s="89" t="n"/>
      <c r="W2419" s="88" t="n"/>
      <c r="X2419" s="89" t="n"/>
      <c r="Y2419" s="88" t="n"/>
      <c r="Z2419" s="89" t="n"/>
      <c r="AB2419" s="30">
        <f>IF($B2419="","",(COUNTIF(C2419:E2419,"?*")&lt;N(INDEX(Setup!$L$6:$L$23,12)))+(COUNTIF(G2419:I2419,"?*")&lt;N(INDEX(Setup!$L$6:$L$23,12)))+(COUNTIF(K2419:M2419,"?*")&lt;N(INDEX(Setup!$L$6:$L$23,12)))+(COUNTIF(O2419:Q2419,"?*")&lt;N(INDEX(Setup!$L$6:$L$23,12)))+(COUNTIF(S2419:U2419,"?*")&lt;N(INDEX(Setup!$L$6:$L$23,12)))+((W2419="")*(INDEX(Setup!$M$6:$M$23,12)="Y"))+((Y2419="")*(INDEX(Setup!$M$6:$M$23,12)="Y")))</f>
        <v/>
      </c>
      <c r="AC2419" s="91">
        <f>IF($B2419="","",IF(AB2419=0,"✓ covered","⚠ "&amp;AB2419&amp;IF(AB2419=1," gap"," gaps")))</f>
        <v/>
      </c>
    </row>
    <row r="2420" ht="17" customHeight="1">
      <c r="A2420" t="n">
        <v>49</v>
      </c>
      <c r="B2420" s="24">
        <f>IF(Setup!$K$18="","",Setup!$K$18)</f>
        <v/>
      </c>
      <c r="C2420" s="88" t="n"/>
      <c r="D2420" s="88" t="n"/>
      <c r="E2420" s="88" t="n"/>
      <c r="F2420" s="89" t="n"/>
      <c r="G2420" s="88" t="n"/>
      <c r="H2420" s="88" t="n"/>
      <c r="I2420" s="88" t="n"/>
      <c r="J2420" s="89" t="n"/>
      <c r="K2420" s="88" t="n"/>
      <c r="L2420" s="88" t="n"/>
      <c r="M2420" s="88" t="n"/>
      <c r="N2420" s="89" t="n"/>
      <c r="O2420" s="88" t="n"/>
      <c r="P2420" s="88" t="n"/>
      <c r="Q2420" s="88" t="n"/>
      <c r="R2420" s="89" t="n"/>
      <c r="S2420" s="88" t="n"/>
      <c r="T2420" s="88" t="n"/>
      <c r="U2420" s="88" t="n"/>
      <c r="V2420" s="89" t="n"/>
      <c r="W2420" s="88" t="n"/>
      <c r="X2420" s="89" t="n"/>
      <c r="Y2420" s="88" t="n"/>
      <c r="Z2420" s="89" t="n"/>
      <c r="AB2420" s="25">
        <f>IF($B2420="","",(COUNTIF(C2420:E2420,"?*")&lt;N(INDEX(Setup!$L$6:$L$23,13)))+(COUNTIF(G2420:I2420,"?*")&lt;N(INDEX(Setup!$L$6:$L$23,13)))+(COUNTIF(K2420:M2420,"?*")&lt;N(INDEX(Setup!$L$6:$L$23,13)))+(COUNTIF(O2420:Q2420,"?*")&lt;N(INDEX(Setup!$L$6:$L$23,13)))+(COUNTIF(S2420:U2420,"?*")&lt;N(INDEX(Setup!$L$6:$L$23,13)))+((W2420="")*(INDEX(Setup!$M$6:$M$23,13)="Y"))+((Y2420="")*(INDEX(Setup!$M$6:$M$23,13)="Y")))</f>
        <v/>
      </c>
      <c r="AC2420" s="90">
        <f>IF($B2420="","",IF(AB2420=0,"✓ covered","⚠ "&amp;AB2420&amp;IF(AB2420=1," gap"," gaps")))</f>
        <v/>
      </c>
    </row>
    <row r="2421" ht="17" customHeight="1">
      <c r="A2421" t="n">
        <v>49</v>
      </c>
      <c r="B2421" s="29">
        <f>IF(Setup!$K$19="","",Setup!$K$19)</f>
        <v/>
      </c>
      <c r="C2421" s="88" t="n"/>
      <c r="D2421" s="88" t="n"/>
      <c r="E2421" s="88" t="n"/>
      <c r="F2421" s="89" t="n"/>
      <c r="G2421" s="88" t="n"/>
      <c r="H2421" s="88" t="n"/>
      <c r="I2421" s="88" t="n"/>
      <c r="J2421" s="89" t="n"/>
      <c r="K2421" s="88" t="n"/>
      <c r="L2421" s="88" t="n"/>
      <c r="M2421" s="88" t="n"/>
      <c r="N2421" s="89" t="n"/>
      <c r="O2421" s="88" t="n"/>
      <c r="P2421" s="88" t="n"/>
      <c r="Q2421" s="88" t="n"/>
      <c r="R2421" s="89" t="n"/>
      <c r="S2421" s="88" t="n"/>
      <c r="T2421" s="88" t="n"/>
      <c r="U2421" s="88" t="n"/>
      <c r="V2421" s="89" t="n"/>
      <c r="W2421" s="88" t="n"/>
      <c r="X2421" s="89" t="n"/>
      <c r="Y2421" s="88" t="n"/>
      <c r="Z2421" s="89" t="n"/>
      <c r="AB2421" s="30">
        <f>IF($B2421="","",(COUNTIF(C2421:E2421,"?*")&lt;N(INDEX(Setup!$L$6:$L$23,14)))+(COUNTIF(G2421:I2421,"?*")&lt;N(INDEX(Setup!$L$6:$L$23,14)))+(COUNTIF(K2421:M2421,"?*")&lt;N(INDEX(Setup!$L$6:$L$23,14)))+(COUNTIF(O2421:Q2421,"?*")&lt;N(INDEX(Setup!$L$6:$L$23,14)))+(COUNTIF(S2421:U2421,"?*")&lt;N(INDEX(Setup!$L$6:$L$23,14)))+((W2421="")*(INDEX(Setup!$M$6:$M$23,14)="Y"))+((Y2421="")*(INDEX(Setup!$M$6:$M$23,14)="Y")))</f>
        <v/>
      </c>
      <c r="AC2421" s="91">
        <f>IF($B2421="","",IF(AB2421=0,"✓ covered","⚠ "&amp;AB2421&amp;IF(AB2421=1," gap"," gaps")))</f>
        <v/>
      </c>
    </row>
    <row r="2422" ht="17" customHeight="1">
      <c r="A2422" t="n">
        <v>49</v>
      </c>
      <c r="B2422" s="24">
        <f>IF(Setup!$K$20="","",Setup!$K$20)</f>
        <v/>
      </c>
      <c r="C2422" s="88" t="n"/>
      <c r="D2422" s="88" t="n"/>
      <c r="E2422" s="88" t="n"/>
      <c r="F2422" s="89" t="n"/>
      <c r="G2422" s="88" t="n"/>
      <c r="H2422" s="88" t="n"/>
      <c r="I2422" s="88" t="n"/>
      <c r="J2422" s="89" t="n"/>
      <c r="K2422" s="88" t="n"/>
      <c r="L2422" s="88" t="n"/>
      <c r="M2422" s="88" t="n"/>
      <c r="N2422" s="89" t="n"/>
      <c r="O2422" s="88" t="n"/>
      <c r="P2422" s="88" t="n"/>
      <c r="Q2422" s="88" t="n"/>
      <c r="R2422" s="89" t="n"/>
      <c r="S2422" s="88" t="n"/>
      <c r="T2422" s="88" t="n"/>
      <c r="U2422" s="88" t="n"/>
      <c r="V2422" s="89" t="n"/>
      <c r="W2422" s="88" t="n"/>
      <c r="X2422" s="89" t="n"/>
      <c r="Y2422" s="88" t="n"/>
      <c r="Z2422" s="89" t="n"/>
      <c r="AB2422" s="25">
        <f>IF($B2422="","",(COUNTIF(C2422:E2422,"?*")&lt;N(INDEX(Setup!$L$6:$L$23,15)))+(COUNTIF(G2422:I2422,"?*")&lt;N(INDEX(Setup!$L$6:$L$23,15)))+(COUNTIF(K2422:M2422,"?*")&lt;N(INDEX(Setup!$L$6:$L$23,15)))+(COUNTIF(O2422:Q2422,"?*")&lt;N(INDEX(Setup!$L$6:$L$23,15)))+(COUNTIF(S2422:U2422,"?*")&lt;N(INDEX(Setup!$L$6:$L$23,15)))+((W2422="")*(INDEX(Setup!$M$6:$M$23,15)="Y"))+((Y2422="")*(INDEX(Setup!$M$6:$M$23,15)="Y")))</f>
        <v/>
      </c>
      <c r="AC2422" s="90">
        <f>IF($B2422="","",IF(AB2422=0,"✓ covered","⚠ "&amp;AB2422&amp;IF(AB2422=1," gap"," gaps")))</f>
        <v/>
      </c>
    </row>
    <row r="2423" ht="17" customHeight="1">
      <c r="A2423" t="n">
        <v>49</v>
      </c>
      <c r="B2423" s="29">
        <f>IF(Setup!$K$21="","",Setup!$K$21)</f>
        <v/>
      </c>
      <c r="C2423" s="88" t="n"/>
      <c r="D2423" s="88" t="n"/>
      <c r="E2423" s="88" t="n"/>
      <c r="F2423" s="89" t="n"/>
      <c r="G2423" s="88" t="n"/>
      <c r="H2423" s="88" t="n"/>
      <c r="I2423" s="88" t="n"/>
      <c r="J2423" s="89" t="n"/>
      <c r="K2423" s="88" t="n"/>
      <c r="L2423" s="88" t="n"/>
      <c r="M2423" s="88" t="n"/>
      <c r="N2423" s="89" t="n"/>
      <c r="O2423" s="88" t="n"/>
      <c r="P2423" s="88" t="n"/>
      <c r="Q2423" s="88" t="n"/>
      <c r="R2423" s="89" t="n"/>
      <c r="S2423" s="88" t="n"/>
      <c r="T2423" s="88" t="n"/>
      <c r="U2423" s="88" t="n"/>
      <c r="V2423" s="89" t="n"/>
      <c r="W2423" s="88" t="n"/>
      <c r="X2423" s="89" t="n"/>
      <c r="Y2423" s="88" t="n"/>
      <c r="Z2423" s="89" t="n"/>
      <c r="AB2423" s="30">
        <f>IF($B2423="","",(COUNTIF(C2423:E2423,"?*")&lt;N(INDEX(Setup!$L$6:$L$23,16)))+(COUNTIF(G2423:I2423,"?*")&lt;N(INDEX(Setup!$L$6:$L$23,16)))+(COUNTIF(K2423:M2423,"?*")&lt;N(INDEX(Setup!$L$6:$L$23,16)))+(COUNTIF(O2423:Q2423,"?*")&lt;N(INDEX(Setup!$L$6:$L$23,16)))+(COUNTIF(S2423:U2423,"?*")&lt;N(INDEX(Setup!$L$6:$L$23,16)))+((W2423="")*(INDEX(Setup!$M$6:$M$23,16)="Y"))+((Y2423="")*(INDEX(Setup!$M$6:$M$23,16)="Y")))</f>
        <v/>
      </c>
      <c r="AC2423" s="91">
        <f>IF($B2423="","",IF(AB2423=0,"✓ covered","⚠ "&amp;AB2423&amp;IF(AB2423=1," gap"," gaps")))</f>
        <v/>
      </c>
    </row>
    <row r="2424" ht="17" customHeight="1">
      <c r="A2424" t="n">
        <v>49</v>
      </c>
      <c r="B2424" s="24">
        <f>IF(Setup!$K$22="","",Setup!$K$22)</f>
        <v/>
      </c>
      <c r="C2424" s="88" t="n"/>
      <c r="D2424" s="88" t="n"/>
      <c r="E2424" s="88" t="n"/>
      <c r="F2424" s="89" t="n"/>
      <c r="G2424" s="88" t="n"/>
      <c r="H2424" s="88" t="n"/>
      <c r="I2424" s="88" t="n"/>
      <c r="J2424" s="89" t="n"/>
      <c r="K2424" s="88" t="n"/>
      <c r="L2424" s="88" t="n"/>
      <c r="M2424" s="88" t="n"/>
      <c r="N2424" s="89" t="n"/>
      <c r="O2424" s="88" t="n"/>
      <c r="P2424" s="88" t="n"/>
      <c r="Q2424" s="88" t="n"/>
      <c r="R2424" s="89" t="n"/>
      <c r="S2424" s="88" t="n"/>
      <c r="T2424" s="88" t="n"/>
      <c r="U2424" s="88" t="n"/>
      <c r="V2424" s="89" t="n"/>
      <c r="W2424" s="88" t="n"/>
      <c r="X2424" s="89" t="n"/>
      <c r="Y2424" s="88" t="n"/>
      <c r="Z2424" s="89" t="n"/>
      <c r="AB2424" s="25">
        <f>IF($B2424="","",(COUNTIF(C2424:E2424,"?*")&lt;N(INDEX(Setup!$L$6:$L$23,17)))+(COUNTIF(G2424:I2424,"?*")&lt;N(INDEX(Setup!$L$6:$L$23,17)))+(COUNTIF(K2424:M2424,"?*")&lt;N(INDEX(Setup!$L$6:$L$23,17)))+(COUNTIF(O2424:Q2424,"?*")&lt;N(INDEX(Setup!$L$6:$L$23,17)))+(COUNTIF(S2424:U2424,"?*")&lt;N(INDEX(Setup!$L$6:$L$23,17)))+((W2424="")*(INDEX(Setup!$M$6:$M$23,17)="Y"))+((Y2424="")*(INDEX(Setup!$M$6:$M$23,17)="Y")))</f>
        <v/>
      </c>
      <c r="AC2424" s="90">
        <f>IF($B2424="","",IF(AB2424=0,"✓ covered","⚠ "&amp;AB2424&amp;IF(AB2424=1," gap"," gaps")))</f>
        <v/>
      </c>
    </row>
    <row r="2425" ht="17" customHeight="1">
      <c r="A2425" t="n">
        <v>49</v>
      </c>
      <c r="B2425" s="29">
        <f>IF(Setup!$K$23="","",Setup!$K$23)</f>
        <v/>
      </c>
      <c r="C2425" s="88" t="n"/>
      <c r="D2425" s="88" t="n"/>
      <c r="E2425" s="88" t="n"/>
      <c r="F2425" s="89" t="n"/>
      <c r="G2425" s="88" t="n"/>
      <c r="H2425" s="88" t="n"/>
      <c r="I2425" s="88" t="n"/>
      <c r="J2425" s="89" t="n"/>
      <c r="K2425" s="88" t="n"/>
      <c r="L2425" s="88" t="n"/>
      <c r="M2425" s="88" t="n"/>
      <c r="N2425" s="89" t="n"/>
      <c r="O2425" s="88" t="n"/>
      <c r="P2425" s="88" t="n"/>
      <c r="Q2425" s="88" t="n"/>
      <c r="R2425" s="89" t="n"/>
      <c r="S2425" s="88" t="n"/>
      <c r="T2425" s="88" t="n"/>
      <c r="U2425" s="88" t="n"/>
      <c r="V2425" s="89" t="n"/>
      <c r="W2425" s="88" t="n"/>
      <c r="X2425" s="89" t="n"/>
      <c r="Y2425" s="88" t="n"/>
      <c r="Z2425" s="89" t="n"/>
      <c r="AB2425" s="30">
        <f>IF($B2425="","",(COUNTIF(C2425:E2425,"?*")&lt;N(INDEX(Setup!$L$6:$L$23,18)))+(COUNTIF(G2425:I2425,"?*")&lt;N(INDEX(Setup!$L$6:$L$23,18)))+(COUNTIF(K2425:M2425,"?*")&lt;N(INDEX(Setup!$L$6:$L$23,18)))+(COUNTIF(O2425:Q2425,"?*")&lt;N(INDEX(Setup!$L$6:$L$23,18)))+(COUNTIF(S2425:U2425,"?*")&lt;N(INDEX(Setup!$L$6:$L$23,18)))+((W2425="")*(INDEX(Setup!$M$6:$M$23,18)="Y"))+((Y2425="")*(INDEX(Setup!$M$6:$M$23,18)="Y")))</f>
        <v/>
      </c>
      <c r="AC2425" s="91">
        <f>IF($B2425="","",IF(AB2425=0,"✓ covered","⚠ "&amp;AB2425&amp;IF(AB2425=1," gap"," gaps")))</f>
        <v/>
      </c>
    </row>
    <row r="2426" ht="18" customHeight="1">
      <c r="A2426" t="n">
        <v>49</v>
      </c>
      <c r="B2426" s="78" t="inlineStr">
        <is>
          <t>TEAM AVAILABILITY</t>
        </is>
      </c>
      <c r="C2426" s="92" t="inlineStr">
        <is>
          <t>Mon</t>
        </is>
      </c>
      <c r="D2426" s="93" t="n"/>
      <c r="E2426" s="93" t="n"/>
      <c r="F2426" s="94" t="n"/>
      <c r="G2426" s="92" t="inlineStr">
        <is>
          <t>Tue</t>
        </is>
      </c>
      <c r="H2426" s="93" t="n"/>
      <c r="I2426" s="93" t="n"/>
      <c r="J2426" s="94" t="n"/>
      <c r="K2426" s="92" t="inlineStr">
        <is>
          <t>Wed</t>
        </is>
      </c>
      <c r="L2426" s="93" t="n"/>
      <c r="M2426" s="93" t="n"/>
      <c r="N2426" s="94" t="n"/>
      <c r="O2426" s="92" t="inlineStr">
        <is>
          <t>Thu</t>
        </is>
      </c>
      <c r="P2426" s="93" t="n"/>
      <c r="Q2426" s="93" t="n"/>
      <c r="R2426" s="94" t="n"/>
      <c r="S2426" s="92" t="inlineStr">
        <is>
          <t>Fri</t>
        </is>
      </c>
      <c r="T2426" s="93" t="n"/>
      <c r="U2426" s="93" t="n"/>
      <c r="V2426" s="94" t="n"/>
      <c r="W2426" s="95" t="inlineStr">
        <is>
          <t>Sat</t>
        </is>
      </c>
      <c r="X2426" s="96" t="n"/>
      <c r="Y2426" s="95" t="inlineStr">
        <is>
          <t>Sun</t>
        </is>
      </c>
      <c r="Z2426" s="96" t="n"/>
      <c r="AB2426" s="97" t="inlineStr">
        <is>
          <t>Days rostered</t>
        </is>
      </c>
      <c r="AC2426" s="97" t="inlineStr">
        <is>
          <t>Conflicts</t>
        </is>
      </c>
    </row>
    <row r="2427" ht="15" customHeight="1">
      <c r="A2427" t="n">
        <v>49</v>
      </c>
      <c r="B2427" s="35">
        <f>IF(Setup!$B$6="","",Setup!$B$6)</f>
        <v/>
      </c>
      <c r="C2427" s="98" t="n"/>
      <c r="D2427" s="99" t="n"/>
      <c r="E2427" s="99" t="n"/>
      <c r="F2427" s="100" t="n"/>
      <c r="G2427" s="98" t="n"/>
      <c r="H2427" s="99" t="n"/>
      <c r="I2427" s="99" t="n"/>
      <c r="J2427" s="100" t="n"/>
      <c r="K2427" s="98" t="n"/>
      <c r="L2427" s="99" t="n"/>
      <c r="M2427" s="99" t="n"/>
      <c r="N2427" s="100" t="n"/>
      <c r="O2427" s="98" t="n"/>
      <c r="P2427" s="99" t="n"/>
      <c r="Q2427" s="99" t="n"/>
      <c r="R2427" s="100" t="n"/>
      <c r="S2427" s="98" t="n"/>
      <c r="T2427" s="99" t="n"/>
      <c r="U2427" s="99" t="n"/>
      <c r="V2427" s="100" t="n"/>
      <c r="W2427" s="98" t="n"/>
      <c r="X2427" s="100" t="n"/>
      <c r="Y2427" s="98" t="n"/>
      <c r="Z2427" s="100" t="n"/>
      <c r="AB2427" s="101">
        <f>IF($B2427="","",(COUNTIF(C2408:E2425,$B2427)+COUNTIF(C2408:E2425,$B2427&amp;" ~*")&gt;0)+(COUNTIF(G2408:I2425,$B2427)+COUNTIF(G2408:I2425,$B2427&amp;" ~*")&gt;0)+(COUNTIF(K2408:M2425,$B2427)+COUNTIF(K2408:M2425,$B2427&amp;" ~*")&gt;0)+(COUNTIF(O2408:Q2425,$B2427)+COUNTIF(O2408:Q2425,$B2427&amp;" ~*")&gt;0)+(COUNTIF(S2408:U2425,$B2427)+COUNTIF(S2408:U2425,$B2427&amp;" ~*")&gt;0)+(COUNTIF(W2408:W2425,$B2427)+COUNTIF(W2408:W2425,$B2427&amp;" ~*")&gt;0)+(COUNTIF(Y2408:Y2425,$B2427)+COUNTIF(Y2408:Y2425,$B2427&amp;" ~*")&gt;0))</f>
        <v/>
      </c>
      <c r="AC2427" s="36">
        <f>IF($B2427="","",(IFERROR(INDEX(Setup!$G$33:$G$40,MATCH(C2427,Setup!$B$33:$B$40,0)),0)=1)*(COUNTIF(C2408:E2425,$B2427)+COUNTIF(C2408:E2425,$B2427&amp;" ~*")&gt;0)+(IFERROR(INDEX(Setup!$G$33:$G$40,MATCH(G2427,Setup!$B$33:$B$40,0)),0)=1)*(COUNTIF(G2408:I2425,$B2427)+COUNTIF(G2408:I2425,$B2427&amp;" ~*")&gt;0)+(IFERROR(INDEX(Setup!$G$33:$G$40,MATCH(K2427,Setup!$B$33:$B$40,0)),0)=1)*(COUNTIF(K2408:M2425,$B2427)+COUNTIF(K2408:M2425,$B2427&amp;" ~*")&gt;0)+(IFERROR(INDEX(Setup!$G$33:$G$40,MATCH(O2427,Setup!$B$33:$B$40,0)),0)=1)*(COUNTIF(O2408:Q2425,$B2427)+COUNTIF(O2408:Q2425,$B2427&amp;" ~*")&gt;0)+(IFERROR(INDEX(Setup!$G$33:$G$40,MATCH(S2427,Setup!$B$33:$B$40,0)),0)=1)*(COUNTIF(S2408:U2425,$B2427)+COUNTIF(S2408:U2425,$B2427&amp;" ~*")&gt;0)+(IFERROR(INDEX(Setup!$G$33:$G$40,MATCH(W2427,Setup!$B$33:$B$40,0)),0)=1)*(COUNTIF(W2408:W2425,$B2427)+COUNTIF(W2408:W2425,$B2427&amp;" ~*")&gt;0)+(IFERROR(INDEX(Setup!$G$33:$G$40,MATCH(Y2427,Setup!$B$33:$B$40,0)),0)=1)*(COUNTIF(Y2408:Y2425,$B2427)+COUNTIF(Y2408:Y2425,$B2427&amp;" ~*")&gt;0))</f>
        <v/>
      </c>
    </row>
    <row r="2428" ht="15" customHeight="1">
      <c r="A2428" t="n">
        <v>49</v>
      </c>
      <c r="B2428" s="37">
        <f>IF(Setup!$B$7="","",Setup!$B$7)</f>
        <v/>
      </c>
      <c r="C2428" s="102" t="n"/>
      <c r="D2428" s="103" t="n"/>
      <c r="E2428" s="103" t="n"/>
      <c r="F2428" s="104" t="n"/>
      <c r="G2428" s="102" t="n"/>
      <c r="H2428" s="103" t="n"/>
      <c r="I2428" s="103" t="n"/>
      <c r="J2428" s="104" t="n"/>
      <c r="K2428" s="102" t="n"/>
      <c r="L2428" s="103" t="n"/>
      <c r="M2428" s="103" t="n"/>
      <c r="N2428" s="104" t="n"/>
      <c r="O2428" s="102" t="n"/>
      <c r="P2428" s="103" t="n"/>
      <c r="Q2428" s="103" t="n"/>
      <c r="R2428" s="104" t="n"/>
      <c r="S2428" s="102" t="n"/>
      <c r="T2428" s="103" t="n"/>
      <c r="U2428" s="103" t="n"/>
      <c r="V2428" s="104" t="n"/>
      <c r="W2428" s="102" t="n"/>
      <c r="X2428" s="104" t="n"/>
      <c r="Y2428" s="102" t="n"/>
      <c r="Z2428" s="104" t="n"/>
      <c r="AB2428" s="105">
        <f>IF($B2428="","",(COUNTIF(C2408:E2425,$B2428)+COUNTIF(C2408:E2425,$B2428&amp;" ~*")&gt;0)+(COUNTIF(G2408:I2425,$B2428)+COUNTIF(G2408:I2425,$B2428&amp;" ~*")&gt;0)+(COUNTIF(K2408:M2425,$B2428)+COUNTIF(K2408:M2425,$B2428&amp;" ~*")&gt;0)+(COUNTIF(O2408:Q2425,$B2428)+COUNTIF(O2408:Q2425,$B2428&amp;" ~*")&gt;0)+(COUNTIF(S2408:U2425,$B2428)+COUNTIF(S2408:U2425,$B2428&amp;" ~*")&gt;0)+(COUNTIF(W2408:W2425,$B2428)+COUNTIF(W2408:W2425,$B2428&amp;" ~*")&gt;0)+(COUNTIF(Y2408:Y2425,$B2428)+COUNTIF(Y2408:Y2425,$B2428&amp;" ~*")&gt;0))</f>
        <v/>
      </c>
      <c r="AC2428" s="38">
        <f>IF($B2428="","",(IFERROR(INDEX(Setup!$G$33:$G$40,MATCH(C2428,Setup!$B$33:$B$40,0)),0)=1)*(COUNTIF(C2408:E2425,$B2428)+COUNTIF(C2408:E2425,$B2428&amp;" ~*")&gt;0)+(IFERROR(INDEX(Setup!$G$33:$G$40,MATCH(G2428,Setup!$B$33:$B$40,0)),0)=1)*(COUNTIF(G2408:I2425,$B2428)+COUNTIF(G2408:I2425,$B2428&amp;" ~*")&gt;0)+(IFERROR(INDEX(Setup!$G$33:$G$40,MATCH(K2428,Setup!$B$33:$B$40,0)),0)=1)*(COUNTIF(K2408:M2425,$B2428)+COUNTIF(K2408:M2425,$B2428&amp;" ~*")&gt;0)+(IFERROR(INDEX(Setup!$G$33:$G$40,MATCH(O2428,Setup!$B$33:$B$40,0)),0)=1)*(COUNTIF(O2408:Q2425,$B2428)+COUNTIF(O2408:Q2425,$B2428&amp;" ~*")&gt;0)+(IFERROR(INDEX(Setup!$G$33:$G$40,MATCH(S2428,Setup!$B$33:$B$40,0)),0)=1)*(COUNTIF(S2408:U2425,$B2428)+COUNTIF(S2408:U2425,$B2428&amp;" ~*")&gt;0)+(IFERROR(INDEX(Setup!$G$33:$G$40,MATCH(W2428,Setup!$B$33:$B$40,0)),0)=1)*(COUNTIF(W2408:W2425,$B2428)+COUNTIF(W2408:W2425,$B2428&amp;" ~*")&gt;0)+(IFERROR(INDEX(Setup!$G$33:$G$40,MATCH(Y2428,Setup!$B$33:$B$40,0)),0)=1)*(COUNTIF(Y2408:Y2425,$B2428)+COUNTIF(Y2408:Y2425,$B2428&amp;" ~*")&gt;0))</f>
        <v/>
      </c>
    </row>
    <row r="2429" ht="15" customHeight="1">
      <c r="A2429" t="n">
        <v>49</v>
      </c>
      <c r="B2429" s="35">
        <f>IF(Setup!$B$8="","",Setup!$B$8)</f>
        <v/>
      </c>
      <c r="C2429" s="98" t="n"/>
      <c r="D2429" s="99" t="n"/>
      <c r="E2429" s="99" t="n"/>
      <c r="F2429" s="100" t="n"/>
      <c r="G2429" s="98" t="n"/>
      <c r="H2429" s="99" t="n"/>
      <c r="I2429" s="99" t="n"/>
      <c r="J2429" s="100" t="n"/>
      <c r="K2429" s="98" t="n"/>
      <c r="L2429" s="99" t="n"/>
      <c r="M2429" s="99" t="n"/>
      <c r="N2429" s="100" t="n"/>
      <c r="O2429" s="98" t="n"/>
      <c r="P2429" s="99" t="n"/>
      <c r="Q2429" s="99" t="n"/>
      <c r="R2429" s="100" t="n"/>
      <c r="S2429" s="98" t="n"/>
      <c r="T2429" s="99" t="n"/>
      <c r="U2429" s="99" t="n"/>
      <c r="V2429" s="100" t="n"/>
      <c r="W2429" s="98" t="n"/>
      <c r="X2429" s="100" t="n"/>
      <c r="Y2429" s="98" t="n"/>
      <c r="Z2429" s="100" t="n"/>
      <c r="AB2429" s="101">
        <f>IF($B2429="","",(COUNTIF(C2408:E2425,$B2429)+COUNTIF(C2408:E2425,$B2429&amp;" ~*")&gt;0)+(COUNTIF(G2408:I2425,$B2429)+COUNTIF(G2408:I2425,$B2429&amp;" ~*")&gt;0)+(COUNTIF(K2408:M2425,$B2429)+COUNTIF(K2408:M2425,$B2429&amp;" ~*")&gt;0)+(COUNTIF(O2408:Q2425,$B2429)+COUNTIF(O2408:Q2425,$B2429&amp;" ~*")&gt;0)+(COUNTIF(S2408:U2425,$B2429)+COUNTIF(S2408:U2425,$B2429&amp;" ~*")&gt;0)+(COUNTIF(W2408:W2425,$B2429)+COUNTIF(W2408:W2425,$B2429&amp;" ~*")&gt;0)+(COUNTIF(Y2408:Y2425,$B2429)+COUNTIF(Y2408:Y2425,$B2429&amp;" ~*")&gt;0))</f>
        <v/>
      </c>
      <c r="AC2429" s="36">
        <f>IF($B2429="","",(IFERROR(INDEX(Setup!$G$33:$G$40,MATCH(C2429,Setup!$B$33:$B$40,0)),0)=1)*(COUNTIF(C2408:E2425,$B2429)+COUNTIF(C2408:E2425,$B2429&amp;" ~*")&gt;0)+(IFERROR(INDEX(Setup!$G$33:$G$40,MATCH(G2429,Setup!$B$33:$B$40,0)),0)=1)*(COUNTIF(G2408:I2425,$B2429)+COUNTIF(G2408:I2425,$B2429&amp;" ~*")&gt;0)+(IFERROR(INDEX(Setup!$G$33:$G$40,MATCH(K2429,Setup!$B$33:$B$40,0)),0)=1)*(COUNTIF(K2408:M2425,$B2429)+COUNTIF(K2408:M2425,$B2429&amp;" ~*")&gt;0)+(IFERROR(INDEX(Setup!$G$33:$G$40,MATCH(O2429,Setup!$B$33:$B$40,0)),0)=1)*(COUNTIF(O2408:Q2425,$B2429)+COUNTIF(O2408:Q2425,$B2429&amp;" ~*")&gt;0)+(IFERROR(INDEX(Setup!$G$33:$G$40,MATCH(S2429,Setup!$B$33:$B$40,0)),0)=1)*(COUNTIF(S2408:U2425,$B2429)+COUNTIF(S2408:U2425,$B2429&amp;" ~*")&gt;0)+(IFERROR(INDEX(Setup!$G$33:$G$40,MATCH(W2429,Setup!$B$33:$B$40,0)),0)=1)*(COUNTIF(W2408:W2425,$B2429)+COUNTIF(W2408:W2425,$B2429&amp;" ~*")&gt;0)+(IFERROR(INDEX(Setup!$G$33:$G$40,MATCH(Y2429,Setup!$B$33:$B$40,0)),0)=1)*(COUNTIF(Y2408:Y2425,$B2429)+COUNTIF(Y2408:Y2425,$B2429&amp;" ~*")&gt;0))</f>
        <v/>
      </c>
    </row>
    <row r="2430" ht="15" customHeight="1">
      <c r="A2430" t="n">
        <v>49</v>
      </c>
      <c r="B2430" s="37">
        <f>IF(Setup!$B$9="","",Setup!$B$9)</f>
        <v/>
      </c>
      <c r="C2430" s="102" t="n"/>
      <c r="D2430" s="103" t="n"/>
      <c r="E2430" s="103" t="n"/>
      <c r="F2430" s="104" t="n"/>
      <c r="G2430" s="102" t="n"/>
      <c r="H2430" s="103" t="n"/>
      <c r="I2430" s="103" t="n"/>
      <c r="J2430" s="104" t="n"/>
      <c r="K2430" s="102" t="n"/>
      <c r="L2430" s="103" t="n"/>
      <c r="M2430" s="103" t="n"/>
      <c r="N2430" s="104" t="n"/>
      <c r="O2430" s="102" t="n"/>
      <c r="P2430" s="103" t="n"/>
      <c r="Q2430" s="103" t="n"/>
      <c r="R2430" s="104" t="n"/>
      <c r="S2430" s="102" t="n"/>
      <c r="T2430" s="103" t="n"/>
      <c r="U2430" s="103" t="n"/>
      <c r="V2430" s="104" t="n"/>
      <c r="W2430" s="102" t="n"/>
      <c r="X2430" s="104" t="n"/>
      <c r="Y2430" s="102" t="n"/>
      <c r="Z2430" s="104" t="n"/>
      <c r="AB2430" s="105">
        <f>IF($B2430="","",(COUNTIF(C2408:E2425,$B2430)+COUNTIF(C2408:E2425,$B2430&amp;" ~*")&gt;0)+(COUNTIF(G2408:I2425,$B2430)+COUNTIF(G2408:I2425,$B2430&amp;" ~*")&gt;0)+(COUNTIF(K2408:M2425,$B2430)+COUNTIF(K2408:M2425,$B2430&amp;" ~*")&gt;0)+(COUNTIF(O2408:Q2425,$B2430)+COUNTIF(O2408:Q2425,$B2430&amp;" ~*")&gt;0)+(COUNTIF(S2408:U2425,$B2430)+COUNTIF(S2408:U2425,$B2430&amp;" ~*")&gt;0)+(COUNTIF(W2408:W2425,$B2430)+COUNTIF(W2408:W2425,$B2430&amp;" ~*")&gt;0)+(COUNTIF(Y2408:Y2425,$B2430)+COUNTIF(Y2408:Y2425,$B2430&amp;" ~*")&gt;0))</f>
        <v/>
      </c>
      <c r="AC2430" s="38">
        <f>IF($B2430="","",(IFERROR(INDEX(Setup!$G$33:$G$40,MATCH(C2430,Setup!$B$33:$B$40,0)),0)=1)*(COUNTIF(C2408:E2425,$B2430)+COUNTIF(C2408:E2425,$B2430&amp;" ~*")&gt;0)+(IFERROR(INDEX(Setup!$G$33:$G$40,MATCH(G2430,Setup!$B$33:$B$40,0)),0)=1)*(COUNTIF(G2408:I2425,$B2430)+COUNTIF(G2408:I2425,$B2430&amp;" ~*")&gt;0)+(IFERROR(INDEX(Setup!$G$33:$G$40,MATCH(K2430,Setup!$B$33:$B$40,0)),0)=1)*(COUNTIF(K2408:M2425,$B2430)+COUNTIF(K2408:M2425,$B2430&amp;" ~*")&gt;0)+(IFERROR(INDEX(Setup!$G$33:$G$40,MATCH(O2430,Setup!$B$33:$B$40,0)),0)=1)*(COUNTIF(O2408:Q2425,$B2430)+COUNTIF(O2408:Q2425,$B2430&amp;" ~*")&gt;0)+(IFERROR(INDEX(Setup!$G$33:$G$40,MATCH(S2430,Setup!$B$33:$B$40,0)),0)=1)*(COUNTIF(S2408:U2425,$B2430)+COUNTIF(S2408:U2425,$B2430&amp;" ~*")&gt;0)+(IFERROR(INDEX(Setup!$G$33:$G$40,MATCH(W2430,Setup!$B$33:$B$40,0)),0)=1)*(COUNTIF(W2408:W2425,$B2430)+COUNTIF(W2408:W2425,$B2430&amp;" ~*")&gt;0)+(IFERROR(INDEX(Setup!$G$33:$G$40,MATCH(Y2430,Setup!$B$33:$B$40,0)),0)=1)*(COUNTIF(Y2408:Y2425,$B2430)+COUNTIF(Y2408:Y2425,$B2430&amp;" ~*")&gt;0))</f>
        <v/>
      </c>
    </row>
    <row r="2431" ht="15" customHeight="1">
      <c r="A2431" t="n">
        <v>49</v>
      </c>
      <c r="B2431" s="35">
        <f>IF(Setup!$B$10="","",Setup!$B$10)</f>
        <v/>
      </c>
      <c r="C2431" s="98" t="n"/>
      <c r="D2431" s="99" t="n"/>
      <c r="E2431" s="99" t="n"/>
      <c r="F2431" s="100" t="n"/>
      <c r="G2431" s="98" t="n"/>
      <c r="H2431" s="99" t="n"/>
      <c r="I2431" s="99" t="n"/>
      <c r="J2431" s="100" t="n"/>
      <c r="K2431" s="98" t="n"/>
      <c r="L2431" s="99" t="n"/>
      <c r="M2431" s="99" t="n"/>
      <c r="N2431" s="100" t="n"/>
      <c r="O2431" s="98" t="n"/>
      <c r="P2431" s="99" t="n"/>
      <c r="Q2431" s="99" t="n"/>
      <c r="R2431" s="100" t="n"/>
      <c r="S2431" s="98" t="n"/>
      <c r="T2431" s="99" t="n"/>
      <c r="U2431" s="99" t="n"/>
      <c r="V2431" s="100" t="n"/>
      <c r="W2431" s="98" t="n"/>
      <c r="X2431" s="100" t="n"/>
      <c r="Y2431" s="98" t="n"/>
      <c r="Z2431" s="100" t="n"/>
      <c r="AB2431" s="101">
        <f>IF($B2431="","",(COUNTIF(C2408:E2425,$B2431)+COUNTIF(C2408:E2425,$B2431&amp;" ~*")&gt;0)+(COUNTIF(G2408:I2425,$B2431)+COUNTIF(G2408:I2425,$B2431&amp;" ~*")&gt;0)+(COUNTIF(K2408:M2425,$B2431)+COUNTIF(K2408:M2425,$B2431&amp;" ~*")&gt;0)+(COUNTIF(O2408:Q2425,$B2431)+COUNTIF(O2408:Q2425,$B2431&amp;" ~*")&gt;0)+(COUNTIF(S2408:U2425,$B2431)+COUNTIF(S2408:U2425,$B2431&amp;" ~*")&gt;0)+(COUNTIF(W2408:W2425,$B2431)+COUNTIF(W2408:W2425,$B2431&amp;" ~*")&gt;0)+(COUNTIF(Y2408:Y2425,$B2431)+COUNTIF(Y2408:Y2425,$B2431&amp;" ~*")&gt;0))</f>
        <v/>
      </c>
      <c r="AC2431" s="36">
        <f>IF($B2431="","",(IFERROR(INDEX(Setup!$G$33:$G$40,MATCH(C2431,Setup!$B$33:$B$40,0)),0)=1)*(COUNTIF(C2408:E2425,$B2431)+COUNTIF(C2408:E2425,$B2431&amp;" ~*")&gt;0)+(IFERROR(INDEX(Setup!$G$33:$G$40,MATCH(G2431,Setup!$B$33:$B$40,0)),0)=1)*(COUNTIF(G2408:I2425,$B2431)+COUNTIF(G2408:I2425,$B2431&amp;" ~*")&gt;0)+(IFERROR(INDEX(Setup!$G$33:$G$40,MATCH(K2431,Setup!$B$33:$B$40,0)),0)=1)*(COUNTIF(K2408:M2425,$B2431)+COUNTIF(K2408:M2425,$B2431&amp;" ~*")&gt;0)+(IFERROR(INDEX(Setup!$G$33:$G$40,MATCH(O2431,Setup!$B$33:$B$40,0)),0)=1)*(COUNTIF(O2408:Q2425,$B2431)+COUNTIF(O2408:Q2425,$B2431&amp;" ~*")&gt;0)+(IFERROR(INDEX(Setup!$G$33:$G$40,MATCH(S2431,Setup!$B$33:$B$40,0)),0)=1)*(COUNTIF(S2408:U2425,$B2431)+COUNTIF(S2408:U2425,$B2431&amp;" ~*")&gt;0)+(IFERROR(INDEX(Setup!$G$33:$G$40,MATCH(W2431,Setup!$B$33:$B$40,0)),0)=1)*(COUNTIF(W2408:W2425,$B2431)+COUNTIF(W2408:W2425,$B2431&amp;" ~*")&gt;0)+(IFERROR(INDEX(Setup!$G$33:$G$40,MATCH(Y2431,Setup!$B$33:$B$40,0)),0)=1)*(COUNTIF(Y2408:Y2425,$B2431)+COUNTIF(Y2408:Y2425,$B2431&amp;" ~*")&gt;0))</f>
        <v/>
      </c>
    </row>
    <row r="2432" ht="15" customHeight="1">
      <c r="A2432" t="n">
        <v>49</v>
      </c>
      <c r="B2432" s="37">
        <f>IF(Setup!$B$11="","",Setup!$B$11)</f>
        <v/>
      </c>
      <c r="C2432" s="102" t="n"/>
      <c r="D2432" s="103" t="n"/>
      <c r="E2432" s="103" t="n"/>
      <c r="F2432" s="104" t="n"/>
      <c r="G2432" s="102" t="n"/>
      <c r="H2432" s="103" t="n"/>
      <c r="I2432" s="103" t="n"/>
      <c r="J2432" s="104" t="n"/>
      <c r="K2432" s="102" t="n"/>
      <c r="L2432" s="103" t="n"/>
      <c r="M2432" s="103" t="n"/>
      <c r="N2432" s="104" t="n"/>
      <c r="O2432" s="102" t="n"/>
      <c r="P2432" s="103" t="n"/>
      <c r="Q2432" s="103" t="n"/>
      <c r="R2432" s="104" t="n"/>
      <c r="S2432" s="102" t="n"/>
      <c r="T2432" s="103" t="n"/>
      <c r="U2432" s="103" t="n"/>
      <c r="V2432" s="104" t="n"/>
      <c r="W2432" s="102" t="n"/>
      <c r="X2432" s="104" t="n"/>
      <c r="Y2432" s="102" t="n"/>
      <c r="Z2432" s="104" t="n"/>
      <c r="AB2432" s="105">
        <f>IF($B2432="","",(COUNTIF(C2408:E2425,$B2432)+COUNTIF(C2408:E2425,$B2432&amp;" ~*")&gt;0)+(COUNTIF(G2408:I2425,$B2432)+COUNTIF(G2408:I2425,$B2432&amp;" ~*")&gt;0)+(COUNTIF(K2408:M2425,$B2432)+COUNTIF(K2408:M2425,$B2432&amp;" ~*")&gt;0)+(COUNTIF(O2408:Q2425,$B2432)+COUNTIF(O2408:Q2425,$B2432&amp;" ~*")&gt;0)+(COUNTIF(S2408:U2425,$B2432)+COUNTIF(S2408:U2425,$B2432&amp;" ~*")&gt;0)+(COUNTIF(W2408:W2425,$B2432)+COUNTIF(W2408:W2425,$B2432&amp;" ~*")&gt;0)+(COUNTIF(Y2408:Y2425,$B2432)+COUNTIF(Y2408:Y2425,$B2432&amp;" ~*")&gt;0))</f>
        <v/>
      </c>
      <c r="AC2432" s="38">
        <f>IF($B2432="","",(IFERROR(INDEX(Setup!$G$33:$G$40,MATCH(C2432,Setup!$B$33:$B$40,0)),0)=1)*(COUNTIF(C2408:E2425,$B2432)+COUNTIF(C2408:E2425,$B2432&amp;" ~*")&gt;0)+(IFERROR(INDEX(Setup!$G$33:$G$40,MATCH(G2432,Setup!$B$33:$B$40,0)),0)=1)*(COUNTIF(G2408:I2425,$B2432)+COUNTIF(G2408:I2425,$B2432&amp;" ~*")&gt;0)+(IFERROR(INDEX(Setup!$G$33:$G$40,MATCH(K2432,Setup!$B$33:$B$40,0)),0)=1)*(COUNTIF(K2408:M2425,$B2432)+COUNTIF(K2408:M2425,$B2432&amp;" ~*")&gt;0)+(IFERROR(INDEX(Setup!$G$33:$G$40,MATCH(O2432,Setup!$B$33:$B$40,0)),0)=1)*(COUNTIF(O2408:Q2425,$B2432)+COUNTIF(O2408:Q2425,$B2432&amp;" ~*")&gt;0)+(IFERROR(INDEX(Setup!$G$33:$G$40,MATCH(S2432,Setup!$B$33:$B$40,0)),0)=1)*(COUNTIF(S2408:U2425,$B2432)+COUNTIF(S2408:U2425,$B2432&amp;" ~*")&gt;0)+(IFERROR(INDEX(Setup!$G$33:$G$40,MATCH(W2432,Setup!$B$33:$B$40,0)),0)=1)*(COUNTIF(W2408:W2425,$B2432)+COUNTIF(W2408:W2425,$B2432&amp;" ~*")&gt;0)+(IFERROR(INDEX(Setup!$G$33:$G$40,MATCH(Y2432,Setup!$B$33:$B$40,0)),0)=1)*(COUNTIF(Y2408:Y2425,$B2432)+COUNTIF(Y2408:Y2425,$B2432&amp;" ~*")&gt;0))</f>
        <v/>
      </c>
    </row>
    <row r="2433" ht="15" customHeight="1">
      <c r="A2433" t="n">
        <v>49</v>
      </c>
      <c r="B2433" s="35">
        <f>IF(Setup!$B$12="","",Setup!$B$12)</f>
        <v/>
      </c>
      <c r="C2433" s="98" t="n"/>
      <c r="D2433" s="99" t="n"/>
      <c r="E2433" s="99" t="n"/>
      <c r="F2433" s="100" t="n"/>
      <c r="G2433" s="98" t="n"/>
      <c r="H2433" s="99" t="n"/>
      <c r="I2433" s="99" t="n"/>
      <c r="J2433" s="100" t="n"/>
      <c r="K2433" s="98" t="n"/>
      <c r="L2433" s="99" t="n"/>
      <c r="M2433" s="99" t="n"/>
      <c r="N2433" s="100" t="n"/>
      <c r="O2433" s="98" t="n"/>
      <c r="P2433" s="99" t="n"/>
      <c r="Q2433" s="99" t="n"/>
      <c r="R2433" s="100" t="n"/>
      <c r="S2433" s="98" t="n"/>
      <c r="T2433" s="99" t="n"/>
      <c r="U2433" s="99" t="n"/>
      <c r="V2433" s="100" t="n"/>
      <c r="W2433" s="98" t="n"/>
      <c r="X2433" s="100" t="n"/>
      <c r="Y2433" s="98" t="n"/>
      <c r="Z2433" s="100" t="n"/>
      <c r="AB2433" s="101">
        <f>IF($B2433="","",(COUNTIF(C2408:E2425,$B2433)+COUNTIF(C2408:E2425,$B2433&amp;" ~*")&gt;0)+(COUNTIF(G2408:I2425,$B2433)+COUNTIF(G2408:I2425,$B2433&amp;" ~*")&gt;0)+(COUNTIF(K2408:M2425,$B2433)+COUNTIF(K2408:M2425,$B2433&amp;" ~*")&gt;0)+(COUNTIF(O2408:Q2425,$B2433)+COUNTIF(O2408:Q2425,$B2433&amp;" ~*")&gt;0)+(COUNTIF(S2408:U2425,$B2433)+COUNTIF(S2408:U2425,$B2433&amp;" ~*")&gt;0)+(COUNTIF(W2408:W2425,$B2433)+COUNTIF(W2408:W2425,$B2433&amp;" ~*")&gt;0)+(COUNTIF(Y2408:Y2425,$B2433)+COUNTIF(Y2408:Y2425,$B2433&amp;" ~*")&gt;0))</f>
        <v/>
      </c>
      <c r="AC2433" s="36">
        <f>IF($B2433="","",(IFERROR(INDEX(Setup!$G$33:$G$40,MATCH(C2433,Setup!$B$33:$B$40,0)),0)=1)*(COUNTIF(C2408:E2425,$B2433)+COUNTIF(C2408:E2425,$B2433&amp;" ~*")&gt;0)+(IFERROR(INDEX(Setup!$G$33:$G$40,MATCH(G2433,Setup!$B$33:$B$40,0)),0)=1)*(COUNTIF(G2408:I2425,$B2433)+COUNTIF(G2408:I2425,$B2433&amp;" ~*")&gt;0)+(IFERROR(INDEX(Setup!$G$33:$G$40,MATCH(K2433,Setup!$B$33:$B$40,0)),0)=1)*(COUNTIF(K2408:M2425,$B2433)+COUNTIF(K2408:M2425,$B2433&amp;" ~*")&gt;0)+(IFERROR(INDEX(Setup!$G$33:$G$40,MATCH(O2433,Setup!$B$33:$B$40,0)),0)=1)*(COUNTIF(O2408:Q2425,$B2433)+COUNTIF(O2408:Q2425,$B2433&amp;" ~*")&gt;0)+(IFERROR(INDEX(Setup!$G$33:$G$40,MATCH(S2433,Setup!$B$33:$B$40,0)),0)=1)*(COUNTIF(S2408:U2425,$B2433)+COUNTIF(S2408:U2425,$B2433&amp;" ~*")&gt;0)+(IFERROR(INDEX(Setup!$G$33:$G$40,MATCH(W2433,Setup!$B$33:$B$40,0)),0)=1)*(COUNTIF(W2408:W2425,$B2433)+COUNTIF(W2408:W2425,$B2433&amp;" ~*")&gt;0)+(IFERROR(INDEX(Setup!$G$33:$G$40,MATCH(Y2433,Setup!$B$33:$B$40,0)),0)=1)*(COUNTIF(Y2408:Y2425,$B2433)+COUNTIF(Y2408:Y2425,$B2433&amp;" ~*")&gt;0))</f>
        <v/>
      </c>
    </row>
    <row r="2434" ht="15" customHeight="1">
      <c r="A2434" t="n">
        <v>49</v>
      </c>
      <c r="B2434" s="37">
        <f>IF(Setup!$B$13="","",Setup!$B$13)</f>
        <v/>
      </c>
      <c r="C2434" s="102" t="n"/>
      <c r="D2434" s="103" t="n"/>
      <c r="E2434" s="103" t="n"/>
      <c r="F2434" s="104" t="n"/>
      <c r="G2434" s="102" t="n"/>
      <c r="H2434" s="103" t="n"/>
      <c r="I2434" s="103" t="n"/>
      <c r="J2434" s="104" t="n"/>
      <c r="K2434" s="102" t="n"/>
      <c r="L2434" s="103" t="n"/>
      <c r="M2434" s="103" t="n"/>
      <c r="N2434" s="104" t="n"/>
      <c r="O2434" s="102" t="n"/>
      <c r="P2434" s="103" t="n"/>
      <c r="Q2434" s="103" t="n"/>
      <c r="R2434" s="104" t="n"/>
      <c r="S2434" s="102" t="n"/>
      <c r="T2434" s="103" t="n"/>
      <c r="U2434" s="103" t="n"/>
      <c r="V2434" s="104" t="n"/>
      <c r="W2434" s="102" t="n"/>
      <c r="X2434" s="104" t="n"/>
      <c r="Y2434" s="102" t="n"/>
      <c r="Z2434" s="104" t="n"/>
      <c r="AB2434" s="105">
        <f>IF($B2434="","",(COUNTIF(C2408:E2425,$B2434)+COUNTIF(C2408:E2425,$B2434&amp;" ~*")&gt;0)+(COUNTIF(G2408:I2425,$B2434)+COUNTIF(G2408:I2425,$B2434&amp;" ~*")&gt;0)+(COUNTIF(K2408:M2425,$B2434)+COUNTIF(K2408:M2425,$B2434&amp;" ~*")&gt;0)+(COUNTIF(O2408:Q2425,$B2434)+COUNTIF(O2408:Q2425,$B2434&amp;" ~*")&gt;0)+(COUNTIF(S2408:U2425,$B2434)+COUNTIF(S2408:U2425,$B2434&amp;" ~*")&gt;0)+(COUNTIF(W2408:W2425,$B2434)+COUNTIF(W2408:W2425,$B2434&amp;" ~*")&gt;0)+(COUNTIF(Y2408:Y2425,$B2434)+COUNTIF(Y2408:Y2425,$B2434&amp;" ~*")&gt;0))</f>
        <v/>
      </c>
      <c r="AC2434" s="38">
        <f>IF($B2434="","",(IFERROR(INDEX(Setup!$G$33:$G$40,MATCH(C2434,Setup!$B$33:$B$40,0)),0)=1)*(COUNTIF(C2408:E2425,$B2434)+COUNTIF(C2408:E2425,$B2434&amp;" ~*")&gt;0)+(IFERROR(INDEX(Setup!$G$33:$G$40,MATCH(G2434,Setup!$B$33:$B$40,0)),0)=1)*(COUNTIF(G2408:I2425,$B2434)+COUNTIF(G2408:I2425,$B2434&amp;" ~*")&gt;0)+(IFERROR(INDEX(Setup!$G$33:$G$40,MATCH(K2434,Setup!$B$33:$B$40,0)),0)=1)*(COUNTIF(K2408:M2425,$B2434)+COUNTIF(K2408:M2425,$B2434&amp;" ~*")&gt;0)+(IFERROR(INDEX(Setup!$G$33:$G$40,MATCH(O2434,Setup!$B$33:$B$40,0)),0)=1)*(COUNTIF(O2408:Q2425,$B2434)+COUNTIF(O2408:Q2425,$B2434&amp;" ~*")&gt;0)+(IFERROR(INDEX(Setup!$G$33:$G$40,MATCH(S2434,Setup!$B$33:$B$40,0)),0)=1)*(COUNTIF(S2408:U2425,$B2434)+COUNTIF(S2408:U2425,$B2434&amp;" ~*")&gt;0)+(IFERROR(INDEX(Setup!$G$33:$G$40,MATCH(W2434,Setup!$B$33:$B$40,0)),0)=1)*(COUNTIF(W2408:W2425,$B2434)+COUNTIF(W2408:W2425,$B2434&amp;" ~*")&gt;0)+(IFERROR(INDEX(Setup!$G$33:$G$40,MATCH(Y2434,Setup!$B$33:$B$40,0)),0)=1)*(COUNTIF(Y2408:Y2425,$B2434)+COUNTIF(Y2408:Y2425,$B2434&amp;" ~*")&gt;0))</f>
        <v/>
      </c>
    </row>
    <row r="2435" ht="15" customHeight="1">
      <c r="A2435" t="n">
        <v>49</v>
      </c>
      <c r="B2435" s="35">
        <f>IF(Setup!$B$14="","",Setup!$B$14)</f>
        <v/>
      </c>
      <c r="C2435" s="98" t="n"/>
      <c r="D2435" s="99" t="n"/>
      <c r="E2435" s="99" t="n"/>
      <c r="F2435" s="100" t="n"/>
      <c r="G2435" s="98" t="n"/>
      <c r="H2435" s="99" t="n"/>
      <c r="I2435" s="99" t="n"/>
      <c r="J2435" s="100" t="n"/>
      <c r="K2435" s="98" t="n"/>
      <c r="L2435" s="99" t="n"/>
      <c r="M2435" s="99" t="n"/>
      <c r="N2435" s="100" t="n"/>
      <c r="O2435" s="98" t="n"/>
      <c r="P2435" s="99" t="n"/>
      <c r="Q2435" s="99" t="n"/>
      <c r="R2435" s="100" t="n"/>
      <c r="S2435" s="98" t="n"/>
      <c r="T2435" s="99" t="n"/>
      <c r="U2435" s="99" t="n"/>
      <c r="V2435" s="100" t="n"/>
      <c r="W2435" s="98" t="n"/>
      <c r="X2435" s="100" t="n"/>
      <c r="Y2435" s="98" t="n"/>
      <c r="Z2435" s="100" t="n"/>
      <c r="AB2435" s="101">
        <f>IF($B2435="","",(COUNTIF(C2408:E2425,$B2435)+COUNTIF(C2408:E2425,$B2435&amp;" ~*")&gt;0)+(COUNTIF(G2408:I2425,$B2435)+COUNTIF(G2408:I2425,$B2435&amp;" ~*")&gt;0)+(COUNTIF(K2408:M2425,$B2435)+COUNTIF(K2408:M2425,$B2435&amp;" ~*")&gt;0)+(COUNTIF(O2408:Q2425,$B2435)+COUNTIF(O2408:Q2425,$B2435&amp;" ~*")&gt;0)+(COUNTIF(S2408:U2425,$B2435)+COUNTIF(S2408:U2425,$B2435&amp;" ~*")&gt;0)+(COUNTIF(W2408:W2425,$B2435)+COUNTIF(W2408:W2425,$B2435&amp;" ~*")&gt;0)+(COUNTIF(Y2408:Y2425,$B2435)+COUNTIF(Y2408:Y2425,$B2435&amp;" ~*")&gt;0))</f>
        <v/>
      </c>
      <c r="AC2435" s="36">
        <f>IF($B2435="","",(IFERROR(INDEX(Setup!$G$33:$G$40,MATCH(C2435,Setup!$B$33:$B$40,0)),0)=1)*(COUNTIF(C2408:E2425,$B2435)+COUNTIF(C2408:E2425,$B2435&amp;" ~*")&gt;0)+(IFERROR(INDEX(Setup!$G$33:$G$40,MATCH(G2435,Setup!$B$33:$B$40,0)),0)=1)*(COUNTIF(G2408:I2425,$B2435)+COUNTIF(G2408:I2425,$B2435&amp;" ~*")&gt;0)+(IFERROR(INDEX(Setup!$G$33:$G$40,MATCH(K2435,Setup!$B$33:$B$40,0)),0)=1)*(COUNTIF(K2408:M2425,$B2435)+COUNTIF(K2408:M2425,$B2435&amp;" ~*")&gt;0)+(IFERROR(INDEX(Setup!$G$33:$G$40,MATCH(O2435,Setup!$B$33:$B$40,0)),0)=1)*(COUNTIF(O2408:Q2425,$B2435)+COUNTIF(O2408:Q2425,$B2435&amp;" ~*")&gt;0)+(IFERROR(INDEX(Setup!$G$33:$G$40,MATCH(S2435,Setup!$B$33:$B$40,0)),0)=1)*(COUNTIF(S2408:U2425,$B2435)+COUNTIF(S2408:U2425,$B2435&amp;" ~*")&gt;0)+(IFERROR(INDEX(Setup!$G$33:$G$40,MATCH(W2435,Setup!$B$33:$B$40,0)),0)=1)*(COUNTIF(W2408:W2425,$B2435)+COUNTIF(W2408:W2425,$B2435&amp;" ~*")&gt;0)+(IFERROR(INDEX(Setup!$G$33:$G$40,MATCH(Y2435,Setup!$B$33:$B$40,0)),0)=1)*(COUNTIF(Y2408:Y2425,$B2435)+COUNTIF(Y2408:Y2425,$B2435&amp;" ~*")&gt;0))</f>
        <v/>
      </c>
    </row>
    <row r="2436" ht="15" customHeight="1">
      <c r="A2436" t="n">
        <v>49</v>
      </c>
      <c r="B2436" s="37">
        <f>IF(Setup!$B$15="","",Setup!$B$15)</f>
        <v/>
      </c>
      <c r="C2436" s="102" t="n"/>
      <c r="D2436" s="103" t="n"/>
      <c r="E2436" s="103" t="n"/>
      <c r="F2436" s="104" t="n"/>
      <c r="G2436" s="102" t="n"/>
      <c r="H2436" s="103" t="n"/>
      <c r="I2436" s="103" t="n"/>
      <c r="J2436" s="104" t="n"/>
      <c r="K2436" s="102" t="n"/>
      <c r="L2436" s="103" t="n"/>
      <c r="M2436" s="103" t="n"/>
      <c r="N2436" s="104" t="n"/>
      <c r="O2436" s="102" t="n"/>
      <c r="P2436" s="103" t="n"/>
      <c r="Q2436" s="103" t="n"/>
      <c r="R2436" s="104" t="n"/>
      <c r="S2436" s="102" t="n"/>
      <c r="T2436" s="103" t="n"/>
      <c r="U2436" s="103" t="n"/>
      <c r="V2436" s="104" t="n"/>
      <c r="W2436" s="102" t="n"/>
      <c r="X2436" s="104" t="n"/>
      <c r="Y2436" s="102" t="n"/>
      <c r="Z2436" s="104" t="n"/>
      <c r="AB2436" s="105">
        <f>IF($B2436="","",(COUNTIF(C2408:E2425,$B2436)+COUNTIF(C2408:E2425,$B2436&amp;" ~*")&gt;0)+(COUNTIF(G2408:I2425,$B2436)+COUNTIF(G2408:I2425,$B2436&amp;" ~*")&gt;0)+(COUNTIF(K2408:M2425,$B2436)+COUNTIF(K2408:M2425,$B2436&amp;" ~*")&gt;0)+(COUNTIF(O2408:Q2425,$B2436)+COUNTIF(O2408:Q2425,$B2436&amp;" ~*")&gt;0)+(COUNTIF(S2408:U2425,$B2436)+COUNTIF(S2408:U2425,$B2436&amp;" ~*")&gt;0)+(COUNTIF(W2408:W2425,$B2436)+COUNTIF(W2408:W2425,$B2436&amp;" ~*")&gt;0)+(COUNTIF(Y2408:Y2425,$B2436)+COUNTIF(Y2408:Y2425,$B2436&amp;" ~*")&gt;0))</f>
        <v/>
      </c>
      <c r="AC2436" s="38">
        <f>IF($B2436="","",(IFERROR(INDEX(Setup!$G$33:$G$40,MATCH(C2436,Setup!$B$33:$B$40,0)),0)=1)*(COUNTIF(C2408:E2425,$B2436)+COUNTIF(C2408:E2425,$B2436&amp;" ~*")&gt;0)+(IFERROR(INDEX(Setup!$G$33:$G$40,MATCH(G2436,Setup!$B$33:$B$40,0)),0)=1)*(COUNTIF(G2408:I2425,$B2436)+COUNTIF(G2408:I2425,$B2436&amp;" ~*")&gt;0)+(IFERROR(INDEX(Setup!$G$33:$G$40,MATCH(K2436,Setup!$B$33:$B$40,0)),0)=1)*(COUNTIF(K2408:M2425,$B2436)+COUNTIF(K2408:M2425,$B2436&amp;" ~*")&gt;0)+(IFERROR(INDEX(Setup!$G$33:$G$40,MATCH(O2436,Setup!$B$33:$B$40,0)),0)=1)*(COUNTIF(O2408:Q2425,$B2436)+COUNTIF(O2408:Q2425,$B2436&amp;" ~*")&gt;0)+(IFERROR(INDEX(Setup!$G$33:$G$40,MATCH(S2436,Setup!$B$33:$B$40,0)),0)=1)*(COUNTIF(S2408:U2425,$B2436)+COUNTIF(S2408:U2425,$B2436&amp;" ~*")&gt;0)+(IFERROR(INDEX(Setup!$G$33:$G$40,MATCH(W2436,Setup!$B$33:$B$40,0)),0)=1)*(COUNTIF(W2408:W2425,$B2436)+COUNTIF(W2408:W2425,$B2436&amp;" ~*")&gt;0)+(IFERROR(INDEX(Setup!$G$33:$G$40,MATCH(Y2436,Setup!$B$33:$B$40,0)),0)=1)*(COUNTIF(Y2408:Y2425,$B2436)+COUNTIF(Y2408:Y2425,$B2436&amp;" ~*")&gt;0))</f>
        <v/>
      </c>
    </row>
    <row r="2437" ht="15" customHeight="1">
      <c r="A2437" t="n">
        <v>49</v>
      </c>
      <c r="B2437" s="35">
        <f>IF(Setup!$B$16="","",Setup!$B$16)</f>
        <v/>
      </c>
      <c r="C2437" s="98" t="n"/>
      <c r="D2437" s="99" t="n"/>
      <c r="E2437" s="99" t="n"/>
      <c r="F2437" s="100" t="n"/>
      <c r="G2437" s="98" t="n"/>
      <c r="H2437" s="99" t="n"/>
      <c r="I2437" s="99" t="n"/>
      <c r="J2437" s="100" t="n"/>
      <c r="K2437" s="98" t="n"/>
      <c r="L2437" s="99" t="n"/>
      <c r="M2437" s="99" t="n"/>
      <c r="N2437" s="100" t="n"/>
      <c r="O2437" s="98" t="n"/>
      <c r="P2437" s="99" t="n"/>
      <c r="Q2437" s="99" t="n"/>
      <c r="R2437" s="100" t="n"/>
      <c r="S2437" s="98" t="n"/>
      <c r="T2437" s="99" t="n"/>
      <c r="U2437" s="99" t="n"/>
      <c r="V2437" s="100" t="n"/>
      <c r="W2437" s="98" t="n"/>
      <c r="X2437" s="100" t="n"/>
      <c r="Y2437" s="98" t="n"/>
      <c r="Z2437" s="100" t="n"/>
      <c r="AB2437" s="101">
        <f>IF($B2437="","",(COUNTIF(C2408:E2425,$B2437)+COUNTIF(C2408:E2425,$B2437&amp;" ~*")&gt;0)+(COUNTIF(G2408:I2425,$B2437)+COUNTIF(G2408:I2425,$B2437&amp;" ~*")&gt;0)+(COUNTIF(K2408:M2425,$B2437)+COUNTIF(K2408:M2425,$B2437&amp;" ~*")&gt;0)+(COUNTIF(O2408:Q2425,$B2437)+COUNTIF(O2408:Q2425,$B2437&amp;" ~*")&gt;0)+(COUNTIF(S2408:U2425,$B2437)+COUNTIF(S2408:U2425,$B2437&amp;" ~*")&gt;0)+(COUNTIF(W2408:W2425,$B2437)+COUNTIF(W2408:W2425,$B2437&amp;" ~*")&gt;0)+(COUNTIF(Y2408:Y2425,$B2437)+COUNTIF(Y2408:Y2425,$B2437&amp;" ~*")&gt;0))</f>
        <v/>
      </c>
      <c r="AC2437" s="36">
        <f>IF($B2437="","",(IFERROR(INDEX(Setup!$G$33:$G$40,MATCH(C2437,Setup!$B$33:$B$40,0)),0)=1)*(COUNTIF(C2408:E2425,$B2437)+COUNTIF(C2408:E2425,$B2437&amp;" ~*")&gt;0)+(IFERROR(INDEX(Setup!$G$33:$G$40,MATCH(G2437,Setup!$B$33:$B$40,0)),0)=1)*(COUNTIF(G2408:I2425,$B2437)+COUNTIF(G2408:I2425,$B2437&amp;" ~*")&gt;0)+(IFERROR(INDEX(Setup!$G$33:$G$40,MATCH(K2437,Setup!$B$33:$B$40,0)),0)=1)*(COUNTIF(K2408:M2425,$B2437)+COUNTIF(K2408:M2425,$B2437&amp;" ~*")&gt;0)+(IFERROR(INDEX(Setup!$G$33:$G$40,MATCH(O2437,Setup!$B$33:$B$40,0)),0)=1)*(COUNTIF(O2408:Q2425,$B2437)+COUNTIF(O2408:Q2425,$B2437&amp;" ~*")&gt;0)+(IFERROR(INDEX(Setup!$G$33:$G$40,MATCH(S2437,Setup!$B$33:$B$40,0)),0)=1)*(COUNTIF(S2408:U2425,$B2437)+COUNTIF(S2408:U2425,$B2437&amp;" ~*")&gt;0)+(IFERROR(INDEX(Setup!$G$33:$G$40,MATCH(W2437,Setup!$B$33:$B$40,0)),0)=1)*(COUNTIF(W2408:W2425,$B2437)+COUNTIF(W2408:W2425,$B2437&amp;" ~*")&gt;0)+(IFERROR(INDEX(Setup!$G$33:$G$40,MATCH(Y2437,Setup!$B$33:$B$40,0)),0)=1)*(COUNTIF(Y2408:Y2425,$B2437)+COUNTIF(Y2408:Y2425,$B2437&amp;" ~*")&gt;0))</f>
        <v/>
      </c>
    </row>
    <row r="2438" ht="15" customHeight="1">
      <c r="A2438" t="n">
        <v>49</v>
      </c>
      <c r="B2438" s="37">
        <f>IF(Setup!$B$17="","",Setup!$B$17)</f>
        <v/>
      </c>
      <c r="C2438" s="102" t="n"/>
      <c r="D2438" s="103" t="n"/>
      <c r="E2438" s="103" t="n"/>
      <c r="F2438" s="104" t="n"/>
      <c r="G2438" s="102" t="n"/>
      <c r="H2438" s="103" t="n"/>
      <c r="I2438" s="103" t="n"/>
      <c r="J2438" s="104" t="n"/>
      <c r="K2438" s="102" t="n"/>
      <c r="L2438" s="103" t="n"/>
      <c r="M2438" s="103" t="n"/>
      <c r="N2438" s="104" t="n"/>
      <c r="O2438" s="102" t="n"/>
      <c r="P2438" s="103" t="n"/>
      <c r="Q2438" s="103" t="n"/>
      <c r="R2438" s="104" t="n"/>
      <c r="S2438" s="102" t="n"/>
      <c r="T2438" s="103" t="n"/>
      <c r="U2438" s="103" t="n"/>
      <c r="V2438" s="104" t="n"/>
      <c r="W2438" s="102" t="n"/>
      <c r="X2438" s="104" t="n"/>
      <c r="Y2438" s="102" t="n"/>
      <c r="Z2438" s="104" t="n"/>
      <c r="AB2438" s="105">
        <f>IF($B2438="","",(COUNTIF(C2408:E2425,$B2438)+COUNTIF(C2408:E2425,$B2438&amp;" ~*")&gt;0)+(COUNTIF(G2408:I2425,$B2438)+COUNTIF(G2408:I2425,$B2438&amp;" ~*")&gt;0)+(COUNTIF(K2408:M2425,$B2438)+COUNTIF(K2408:M2425,$B2438&amp;" ~*")&gt;0)+(COUNTIF(O2408:Q2425,$B2438)+COUNTIF(O2408:Q2425,$B2438&amp;" ~*")&gt;0)+(COUNTIF(S2408:U2425,$B2438)+COUNTIF(S2408:U2425,$B2438&amp;" ~*")&gt;0)+(COUNTIF(W2408:W2425,$B2438)+COUNTIF(W2408:W2425,$B2438&amp;" ~*")&gt;0)+(COUNTIF(Y2408:Y2425,$B2438)+COUNTIF(Y2408:Y2425,$B2438&amp;" ~*")&gt;0))</f>
        <v/>
      </c>
      <c r="AC2438" s="38">
        <f>IF($B2438="","",(IFERROR(INDEX(Setup!$G$33:$G$40,MATCH(C2438,Setup!$B$33:$B$40,0)),0)=1)*(COUNTIF(C2408:E2425,$B2438)+COUNTIF(C2408:E2425,$B2438&amp;" ~*")&gt;0)+(IFERROR(INDEX(Setup!$G$33:$G$40,MATCH(G2438,Setup!$B$33:$B$40,0)),0)=1)*(COUNTIF(G2408:I2425,$B2438)+COUNTIF(G2408:I2425,$B2438&amp;" ~*")&gt;0)+(IFERROR(INDEX(Setup!$G$33:$G$40,MATCH(K2438,Setup!$B$33:$B$40,0)),0)=1)*(COUNTIF(K2408:M2425,$B2438)+COUNTIF(K2408:M2425,$B2438&amp;" ~*")&gt;0)+(IFERROR(INDEX(Setup!$G$33:$G$40,MATCH(O2438,Setup!$B$33:$B$40,0)),0)=1)*(COUNTIF(O2408:Q2425,$B2438)+COUNTIF(O2408:Q2425,$B2438&amp;" ~*")&gt;0)+(IFERROR(INDEX(Setup!$G$33:$G$40,MATCH(S2438,Setup!$B$33:$B$40,0)),0)=1)*(COUNTIF(S2408:U2425,$B2438)+COUNTIF(S2408:U2425,$B2438&amp;" ~*")&gt;0)+(IFERROR(INDEX(Setup!$G$33:$G$40,MATCH(W2438,Setup!$B$33:$B$40,0)),0)=1)*(COUNTIF(W2408:W2425,$B2438)+COUNTIF(W2408:W2425,$B2438&amp;" ~*")&gt;0)+(IFERROR(INDEX(Setup!$G$33:$G$40,MATCH(Y2438,Setup!$B$33:$B$40,0)),0)=1)*(COUNTIF(Y2408:Y2425,$B2438)+COUNTIF(Y2408:Y2425,$B2438&amp;" ~*")&gt;0))</f>
        <v/>
      </c>
    </row>
    <row r="2439" ht="15" customHeight="1">
      <c r="A2439" t="n">
        <v>49</v>
      </c>
      <c r="B2439" s="35">
        <f>IF(Setup!$B$18="","",Setup!$B$18)</f>
        <v/>
      </c>
      <c r="C2439" s="98" t="n"/>
      <c r="D2439" s="99" t="n"/>
      <c r="E2439" s="99" t="n"/>
      <c r="F2439" s="100" t="n"/>
      <c r="G2439" s="98" t="n"/>
      <c r="H2439" s="99" t="n"/>
      <c r="I2439" s="99" t="n"/>
      <c r="J2439" s="100" t="n"/>
      <c r="K2439" s="98" t="n"/>
      <c r="L2439" s="99" t="n"/>
      <c r="M2439" s="99" t="n"/>
      <c r="N2439" s="100" t="n"/>
      <c r="O2439" s="98" t="n"/>
      <c r="P2439" s="99" t="n"/>
      <c r="Q2439" s="99" t="n"/>
      <c r="R2439" s="100" t="n"/>
      <c r="S2439" s="98" t="n"/>
      <c r="T2439" s="99" t="n"/>
      <c r="U2439" s="99" t="n"/>
      <c r="V2439" s="100" t="n"/>
      <c r="W2439" s="98" t="n"/>
      <c r="X2439" s="100" t="n"/>
      <c r="Y2439" s="98" t="n"/>
      <c r="Z2439" s="100" t="n"/>
      <c r="AB2439" s="101">
        <f>IF($B2439="","",(COUNTIF(C2408:E2425,$B2439)+COUNTIF(C2408:E2425,$B2439&amp;" ~*")&gt;0)+(COUNTIF(G2408:I2425,$B2439)+COUNTIF(G2408:I2425,$B2439&amp;" ~*")&gt;0)+(COUNTIF(K2408:M2425,$B2439)+COUNTIF(K2408:M2425,$B2439&amp;" ~*")&gt;0)+(COUNTIF(O2408:Q2425,$B2439)+COUNTIF(O2408:Q2425,$B2439&amp;" ~*")&gt;0)+(COUNTIF(S2408:U2425,$B2439)+COUNTIF(S2408:U2425,$B2439&amp;" ~*")&gt;0)+(COUNTIF(W2408:W2425,$B2439)+COUNTIF(W2408:W2425,$B2439&amp;" ~*")&gt;0)+(COUNTIF(Y2408:Y2425,$B2439)+COUNTIF(Y2408:Y2425,$B2439&amp;" ~*")&gt;0))</f>
        <v/>
      </c>
      <c r="AC2439" s="36">
        <f>IF($B2439="","",(IFERROR(INDEX(Setup!$G$33:$G$40,MATCH(C2439,Setup!$B$33:$B$40,0)),0)=1)*(COUNTIF(C2408:E2425,$B2439)+COUNTIF(C2408:E2425,$B2439&amp;" ~*")&gt;0)+(IFERROR(INDEX(Setup!$G$33:$G$40,MATCH(G2439,Setup!$B$33:$B$40,0)),0)=1)*(COUNTIF(G2408:I2425,$B2439)+COUNTIF(G2408:I2425,$B2439&amp;" ~*")&gt;0)+(IFERROR(INDEX(Setup!$G$33:$G$40,MATCH(K2439,Setup!$B$33:$B$40,0)),0)=1)*(COUNTIF(K2408:M2425,$B2439)+COUNTIF(K2408:M2425,$B2439&amp;" ~*")&gt;0)+(IFERROR(INDEX(Setup!$G$33:$G$40,MATCH(O2439,Setup!$B$33:$B$40,0)),0)=1)*(COUNTIF(O2408:Q2425,$B2439)+COUNTIF(O2408:Q2425,$B2439&amp;" ~*")&gt;0)+(IFERROR(INDEX(Setup!$G$33:$G$40,MATCH(S2439,Setup!$B$33:$B$40,0)),0)=1)*(COUNTIF(S2408:U2425,$B2439)+COUNTIF(S2408:U2425,$B2439&amp;" ~*")&gt;0)+(IFERROR(INDEX(Setup!$G$33:$G$40,MATCH(W2439,Setup!$B$33:$B$40,0)),0)=1)*(COUNTIF(W2408:W2425,$B2439)+COUNTIF(W2408:W2425,$B2439&amp;" ~*")&gt;0)+(IFERROR(INDEX(Setup!$G$33:$G$40,MATCH(Y2439,Setup!$B$33:$B$40,0)),0)=1)*(COUNTIF(Y2408:Y2425,$B2439)+COUNTIF(Y2408:Y2425,$B2439&amp;" ~*")&gt;0))</f>
        <v/>
      </c>
    </row>
    <row r="2440" ht="15" customHeight="1">
      <c r="A2440" t="n">
        <v>49</v>
      </c>
      <c r="B2440" s="37">
        <f>IF(Setup!$B$19="","",Setup!$B$19)</f>
        <v/>
      </c>
      <c r="C2440" s="102" t="n"/>
      <c r="D2440" s="103" t="n"/>
      <c r="E2440" s="103" t="n"/>
      <c r="F2440" s="104" t="n"/>
      <c r="G2440" s="102" t="n"/>
      <c r="H2440" s="103" t="n"/>
      <c r="I2440" s="103" t="n"/>
      <c r="J2440" s="104" t="n"/>
      <c r="K2440" s="102" t="n"/>
      <c r="L2440" s="103" t="n"/>
      <c r="M2440" s="103" t="n"/>
      <c r="N2440" s="104" t="n"/>
      <c r="O2440" s="102" t="n"/>
      <c r="P2440" s="103" t="n"/>
      <c r="Q2440" s="103" t="n"/>
      <c r="R2440" s="104" t="n"/>
      <c r="S2440" s="102" t="n"/>
      <c r="T2440" s="103" t="n"/>
      <c r="U2440" s="103" t="n"/>
      <c r="V2440" s="104" t="n"/>
      <c r="W2440" s="102" t="n"/>
      <c r="X2440" s="104" t="n"/>
      <c r="Y2440" s="102" t="n"/>
      <c r="Z2440" s="104" t="n"/>
      <c r="AB2440" s="105">
        <f>IF($B2440="","",(COUNTIF(C2408:E2425,$B2440)+COUNTIF(C2408:E2425,$B2440&amp;" ~*")&gt;0)+(COUNTIF(G2408:I2425,$B2440)+COUNTIF(G2408:I2425,$B2440&amp;" ~*")&gt;0)+(COUNTIF(K2408:M2425,$B2440)+COUNTIF(K2408:M2425,$B2440&amp;" ~*")&gt;0)+(COUNTIF(O2408:Q2425,$B2440)+COUNTIF(O2408:Q2425,$B2440&amp;" ~*")&gt;0)+(COUNTIF(S2408:U2425,$B2440)+COUNTIF(S2408:U2425,$B2440&amp;" ~*")&gt;0)+(COUNTIF(W2408:W2425,$B2440)+COUNTIF(W2408:W2425,$B2440&amp;" ~*")&gt;0)+(COUNTIF(Y2408:Y2425,$B2440)+COUNTIF(Y2408:Y2425,$B2440&amp;" ~*")&gt;0))</f>
        <v/>
      </c>
      <c r="AC2440" s="38">
        <f>IF($B2440="","",(IFERROR(INDEX(Setup!$G$33:$G$40,MATCH(C2440,Setup!$B$33:$B$40,0)),0)=1)*(COUNTIF(C2408:E2425,$B2440)+COUNTIF(C2408:E2425,$B2440&amp;" ~*")&gt;0)+(IFERROR(INDEX(Setup!$G$33:$G$40,MATCH(G2440,Setup!$B$33:$B$40,0)),0)=1)*(COUNTIF(G2408:I2425,$B2440)+COUNTIF(G2408:I2425,$B2440&amp;" ~*")&gt;0)+(IFERROR(INDEX(Setup!$G$33:$G$40,MATCH(K2440,Setup!$B$33:$B$40,0)),0)=1)*(COUNTIF(K2408:M2425,$B2440)+COUNTIF(K2408:M2425,$B2440&amp;" ~*")&gt;0)+(IFERROR(INDEX(Setup!$G$33:$G$40,MATCH(O2440,Setup!$B$33:$B$40,0)),0)=1)*(COUNTIF(O2408:Q2425,$B2440)+COUNTIF(O2408:Q2425,$B2440&amp;" ~*")&gt;0)+(IFERROR(INDEX(Setup!$G$33:$G$40,MATCH(S2440,Setup!$B$33:$B$40,0)),0)=1)*(COUNTIF(S2408:U2425,$B2440)+COUNTIF(S2408:U2425,$B2440&amp;" ~*")&gt;0)+(IFERROR(INDEX(Setup!$G$33:$G$40,MATCH(W2440,Setup!$B$33:$B$40,0)),0)=1)*(COUNTIF(W2408:W2425,$B2440)+COUNTIF(W2408:W2425,$B2440&amp;" ~*")&gt;0)+(IFERROR(INDEX(Setup!$G$33:$G$40,MATCH(Y2440,Setup!$B$33:$B$40,0)),0)=1)*(COUNTIF(Y2408:Y2425,$B2440)+COUNTIF(Y2408:Y2425,$B2440&amp;" ~*")&gt;0))</f>
        <v/>
      </c>
    </row>
    <row r="2441" ht="15" customHeight="1">
      <c r="A2441" t="n">
        <v>49</v>
      </c>
      <c r="B2441" s="35">
        <f>IF(Setup!$B$20="","",Setup!$B$20)</f>
        <v/>
      </c>
      <c r="C2441" s="98" t="n"/>
      <c r="D2441" s="99" t="n"/>
      <c r="E2441" s="99" t="n"/>
      <c r="F2441" s="100" t="n"/>
      <c r="G2441" s="98" t="n"/>
      <c r="H2441" s="99" t="n"/>
      <c r="I2441" s="99" t="n"/>
      <c r="J2441" s="100" t="n"/>
      <c r="K2441" s="98" t="n"/>
      <c r="L2441" s="99" t="n"/>
      <c r="M2441" s="99" t="n"/>
      <c r="N2441" s="100" t="n"/>
      <c r="O2441" s="98" t="n"/>
      <c r="P2441" s="99" t="n"/>
      <c r="Q2441" s="99" t="n"/>
      <c r="R2441" s="100" t="n"/>
      <c r="S2441" s="98" t="n"/>
      <c r="T2441" s="99" t="n"/>
      <c r="U2441" s="99" t="n"/>
      <c r="V2441" s="100" t="n"/>
      <c r="W2441" s="98" t="n"/>
      <c r="X2441" s="100" t="n"/>
      <c r="Y2441" s="98" t="n"/>
      <c r="Z2441" s="100" t="n"/>
      <c r="AB2441" s="101">
        <f>IF($B2441="","",(COUNTIF(C2408:E2425,$B2441)+COUNTIF(C2408:E2425,$B2441&amp;" ~*")&gt;0)+(COUNTIF(G2408:I2425,$B2441)+COUNTIF(G2408:I2425,$B2441&amp;" ~*")&gt;0)+(COUNTIF(K2408:M2425,$B2441)+COUNTIF(K2408:M2425,$B2441&amp;" ~*")&gt;0)+(COUNTIF(O2408:Q2425,$B2441)+COUNTIF(O2408:Q2425,$B2441&amp;" ~*")&gt;0)+(COUNTIF(S2408:U2425,$B2441)+COUNTIF(S2408:U2425,$B2441&amp;" ~*")&gt;0)+(COUNTIF(W2408:W2425,$B2441)+COUNTIF(W2408:W2425,$B2441&amp;" ~*")&gt;0)+(COUNTIF(Y2408:Y2425,$B2441)+COUNTIF(Y2408:Y2425,$B2441&amp;" ~*")&gt;0))</f>
        <v/>
      </c>
      <c r="AC2441" s="36">
        <f>IF($B2441="","",(IFERROR(INDEX(Setup!$G$33:$G$40,MATCH(C2441,Setup!$B$33:$B$40,0)),0)=1)*(COUNTIF(C2408:E2425,$B2441)+COUNTIF(C2408:E2425,$B2441&amp;" ~*")&gt;0)+(IFERROR(INDEX(Setup!$G$33:$G$40,MATCH(G2441,Setup!$B$33:$B$40,0)),0)=1)*(COUNTIF(G2408:I2425,$B2441)+COUNTIF(G2408:I2425,$B2441&amp;" ~*")&gt;0)+(IFERROR(INDEX(Setup!$G$33:$G$40,MATCH(K2441,Setup!$B$33:$B$40,0)),0)=1)*(COUNTIF(K2408:M2425,$B2441)+COUNTIF(K2408:M2425,$B2441&amp;" ~*")&gt;0)+(IFERROR(INDEX(Setup!$G$33:$G$40,MATCH(O2441,Setup!$B$33:$B$40,0)),0)=1)*(COUNTIF(O2408:Q2425,$B2441)+COUNTIF(O2408:Q2425,$B2441&amp;" ~*")&gt;0)+(IFERROR(INDEX(Setup!$G$33:$G$40,MATCH(S2441,Setup!$B$33:$B$40,0)),0)=1)*(COUNTIF(S2408:U2425,$B2441)+COUNTIF(S2408:U2425,$B2441&amp;" ~*")&gt;0)+(IFERROR(INDEX(Setup!$G$33:$G$40,MATCH(W2441,Setup!$B$33:$B$40,0)),0)=1)*(COUNTIF(W2408:W2425,$B2441)+COUNTIF(W2408:W2425,$B2441&amp;" ~*")&gt;0)+(IFERROR(INDEX(Setup!$G$33:$G$40,MATCH(Y2441,Setup!$B$33:$B$40,0)),0)=1)*(COUNTIF(Y2408:Y2425,$B2441)+COUNTIF(Y2408:Y2425,$B2441&amp;" ~*")&gt;0))</f>
        <v/>
      </c>
    </row>
    <row r="2442" ht="15" customHeight="1">
      <c r="A2442" t="n">
        <v>49</v>
      </c>
      <c r="B2442" s="37">
        <f>IF(Setup!$B$21="","",Setup!$B$21)</f>
        <v/>
      </c>
      <c r="C2442" s="102" t="n"/>
      <c r="D2442" s="103" t="n"/>
      <c r="E2442" s="103" t="n"/>
      <c r="F2442" s="104" t="n"/>
      <c r="G2442" s="102" t="n"/>
      <c r="H2442" s="103" t="n"/>
      <c r="I2442" s="103" t="n"/>
      <c r="J2442" s="104" t="n"/>
      <c r="K2442" s="102" t="n"/>
      <c r="L2442" s="103" t="n"/>
      <c r="M2442" s="103" t="n"/>
      <c r="N2442" s="104" t="n"/>
      <c r="O2442" s="102" t="n"/>
      <c r="P2442" s="103" t="n"/>
      <c r="Q2442" s="103" t="n"/>
      <c r="R2442" s="104" t="n"/>
      <c r="S2442" s="102" t="n"/>
      <c r="T2442" s="103" t="n"/>
      <c r="U2442" s="103" t="n"/>
      <c r="V2442" s="104" t="n"/>
      <c r="W2442" s="102" t="n"/>
      <c r="X2442" s="104" t="n"/>
      <c r="Y2442" s="102" t="n"/>
      <c r="Z2442" s="104" t="n"/>
      <c r="AB2442" s="105">
        <f>IF($B2442="","",(COUNTIF(C2408:E2425,$B2442)+COUNTIF(C2408:E2425,$B2442&amp;" ~*")&gt;0)+(COUNTIF(G2408:I2425,$B2442)+COUNTIF(G2408:I2425,$B2442&amp;" ~*")&gt;0)+(COUNTIF(K2408:M2425,$B2442)+COUNTIF(K2408:M2425,$B2442&amp;" ~*")&gt;0)+(COUNTIF(O2408:Q2425,$B2442)+COUNTIF(O2408:Q2425,$B2442&amp;" ~*")&gt;0)+(COUNTIF(S2408:U2425,$B2442)+COUNTIF(S2408:U2425,$B2442&amp;" ~*")&gt;0)+(COUNTIF(W2408:W2425,$B2442)+COUNTIF(W2408:W2425,$B2442&amp;" ~*")&gt;0)+(COUNTIF(Y2408:Y2425,$B2442)+COUNTIF(Y2408:Y2425,$B2442&amp;" ~*")&gt;0))</f>
        <v/>
      </c>
      <c r="AC2442" s="38">
        <f>IF($B2442="","",(IFERROR(INDEX(Setup!$G$33:$G$40,MATCH(C2442,Setup!$B$33:$B$40,0)),0)=1)*(COUNTIF(C2408:E2425,$B2442)+COUNTIF(C2408:E2425,$B2442&amp;" ~*")&gt;0)+(IFERROR(INDEX(Setup!$G$33:$G$40,MATCH(G2442,Setup!$B$33:$B$40,0)),0)=1)*(COUNTIF(G2408:I2425,$B2442)+COUNTIF(G2408:I2425,$B2442&amp;" ~*")&gt;0)+(IFERROR(INDEX(Setup!$G$33:$G$40,MATCH(K2442,Setup!$B$33:$B$40,0)),0)=1)*(COUNTIF(K2408:M2425,$B2442)+COUNTIF(K2408:M2425,$B2442&amp;" ~*")&gt;0)+(IFERROR(INDEX(Setup!$G$33:$G$40,MATCH(O2442,Setup!$B$33:$B$40,0)),0)=1)*(COUNTIF(O2408:Q2425,$B2442)+COUNTIF(O2408:Q2425,$B2442&amp;" ~*")&gt;0)+(IFERROR(INDEX(Setup!$G$33:$G$40,MATCH(S2442,Setup!$B$33:$B$40,0)),0)=1)*(COUNTIF(S2408:U2425,$B2442)+COUNTIF(S2408:U2425,$B2442&amp;" ~*")&gt;0)+(IFERROR(INDEX(Setup!$G$33:$G$40,MATCH(W2442,Setup!$B$33:$B$40,0)),0)=1)*(COUNTIF(W2408:W2425,$B2442)+COUNTIF(W2408:W2425,$B2442&amp;" ~*")&gt;0)+(IFERROR(INDEX(Setup!$G$33:$G$40,MATCH(Y2442,Setup!$B$33:$B$40,0)),0)=1)*(COUNTIF(Y2408:Y2425,$B2442)+COUNTIF(Y2408:Y2425,$B2442&amp;" ~*")&gt;0))</f>
        <v/>
      </c>
    </row>
    <row r="2443" ht="15" customHeight="1">
      <c r="A2443" t="n">
        <v>49</v>
      </c>
      <c r="B2443" s="35">
        <f>IF(Setup!$B$22="","",Setup!$B$22)</f>
        <v/>
      </c>
      <c r="C2443" s="98" t="n"/>
      <c r="D2443" s="99" t="n"/>
      <c r="E2443" s="99" t="n"/>
      <c r="F2443" s="100" t="n"/>
      <c r="G2443" s="98" t="n"/>
      <c r="H2443" s="99" t="n"/>
      <c r="I2443" s="99" t="n"/>
      <c r="J2443" s="100" t="n"/>
      <c r="K2443" s="98" t="n"/>
      <c r="L2443" s="99" t="n"/>
      <c r="M2443" s="99" t="n"/>
      <c r="N2443" s="100" t="n"/>
      <c r="O2443" s="98" t="n"/>
      <c r="P2443" s="99" t="n"/>
      <c r="Q2443" s="99" t="n"/>
      <c r="R2443" s="100" t="n"/>
      <c r="S2443" s="98" t="n"/>
      <c r="T2443" s="99" t="n"/>
      <c r="U2443" s="99" t="n"/>
      <c r="V2443" s="100" t="n"/>
      <c r="W2443" s="98" t="n"/>
      <c r="X2443" s="100" t="n"/>
      <c r="Y2443" s="98" t="n"/>
      <c r="Z2443" s="100" t="n"/>
      <c r="AB2443" s="101">
        <f>IF($B2443="","",(COUNTIF(C2408:E2425,$B2443)+COUNTIF(C2408:E2425,$B2443&amp;" ~*")&gt;0)+(COUNTIF(G2408:I2425,$B2443)+COUNTIF(G2408:I2425,$B2443&amp;" ~*")&gt;0)+(COUNTIF(K2408:M2425,$B2443)+COUNTIF(K2408:M2425,$B2443&amp;" ~*")&gt;0)+(COUNTIF(O2408:Q2425,$B2443)+COUNTIF(O2408:Q2425,$B2443&amp;" ~*")&gt;0)+(COUNTIF(S2408:U2425,$B2443)+COUNTIF(S2408:U2425,$B2443&amp;" ~*")&gt;0)+(COUNTIF(W2408:W2425,$B2443)+COUNTIF(W2408:W2425,$B2443&amp;" ~*")&gt;0)+(COUNTIF(Y2408:Y2425,$B2443)+COUNTIF(Y2408:Y2425,$B2443&amp;" ~*")&gt;0))</f>
        <v/>
      </c>
      <c r="AC2443" s="36">
        <f>IF($B2443="","",(IFERROR(INDEX(Setup!$G$33:$G$40,MATCH(C2443,Setup!$B$33:$B$40,0)),0)=1)*(COUNTIF(C2408:E2425,$B2443)+COUNTIF(C2408:E2425,$B2443&amp;" ~*")&gt;0)+(IFERROR(INDEX(Setup!$G$33:$G$40,MATCH(G2443,Setup!$B$33:$B$40,0)),0)=1)*(COUNTIF(G2408:I2425,$B2443)+COUNTIF(G2408:I2425,$B2443&amp;" ~*")&gt;0)+(IFERROR(INDEX(Setup!$G$33:$G$40,MATCH(K2443,Setup!$B$33:$B$40,0)),0)=1)*(COUNTIF(K2408:M2425,$B2443)+COUNTIF(K2408:M2425,$B2443&amp;" ~*")&gt;0)+(IFERROR(INDEX(Setup!$G$33:$G$40,MATCH(O2443,Setup!$B$33:$B$40,0)),0)=1)*(COUNTIF(O2408:Q2425,$B2443)+COUNTIF(O2408:Q2425,$B2443&amp;" ~*")&gt;0)+(IFERROR(INDEX(Setup!$G$33:$G$40,MATCH(S2443,Setup!$B$33:$B$40,0)),0)=1)*(COUNTIF(S2408:U2425,$B2443)+COUNTIF(S2408:U2425,$B2443&amp;" ~*")&gt;0)+(IFERROR(INDEX(Setup!$G$33:$G$40,MATCH(W2443,Setup!$B$33:$B$40,0)),0)=1)*(COUNTIF(W2408:W2425,$B2443)+COUNTIF(W2408:W2425,$B2443&amp;" ~*")&gt;0)+(IFERROR(INDEX(Setup!$G$33:$G$40,MATCH(Y2443,Setup!$B$33:$B$40,0)),0)=1)*(COUNTIF(Y2408:Y2425,$B2443)+COUNTIF(Y2408:Y2425,$B2443&amp;" ~*")&gt;0))</f>
        <v/>
      </c>
    </row>
    <row r="2444" ht="15" customHeight="1">
      <c r="A2444" t="n">
        <v>49</v>
      </c>
      <c r="B2444" s="37">
        <f>IF(Setup!$B$23="","",Setup!$B$23)</f>
        <v/>
      </c>
      <c r="C2444" s="102" t="n"/>
      <c r="D2444" s="103" t="n"/>
      <c r="E2444" s="103" t="n"/>
      <c r="F2444" s="104" t="n"/>
      <c r="G2444" s="102" t="n"/>
      <c r="H2444" s="103" t="n"/>
      <c r="I2444" s="103" t="n"/>
      <c r="J2444" s="104" t="n"/>
      <c r="K2444" s="102" t="n"/>
      <c r="L2444" s="103" t="n"/>
      <c r="M2444" s="103" t="n"/>
      <c r="N2444" s="104" t="n"/>
      <c r="O2444" s="102" t="n"/>
      <c r="P2444" s="103" t="n"/>
      <c r="Q2444" s="103" t="n"/>
      <c r="R2444" s="104" t="n"/>
      <c r="S2444" s="102" t="n"/>
      <c r="T2444" s="103" t="n"/>
      <c r="U2444" s="103" t="n"/>
      <c r="V2444" s="104" t="n"/>
      <c r="W2444" s="102" t="n"/>
      <c r="X2444" s="104" t="n"/>
      <c r="Y2444" s="102" t="n"/>
      <c r="Z2444" s="104" t="n"/>
      <c r="AB2444" s="105">
        <f>IF($B2444="","",(COUNTIF(C2408:E2425,$B2444)+COUNTIF(C2408:E2425,$B2444&amp;" ~*")&gt;0)+(COUNTIF(G2408:I2425,$B2444)+COUNTIF(G2408:I2425,$B2444&amp;" ~*")&gt;0)+(COUNTIF(K2408:M2425,$B2444)+COUNTIF(K2408:M2425,$B2444&amp;" ~*")&gt;0)+(COUNTIF(O2408:Q2425,$B2444)+COUNTIF(O2408:Q2425,$B2444&amp;" ~*")&gt;0)+(COUNTIF(S2408:U2425,$B2444)+COUNTIF(S2408:U2425,$B2444&amp;" ~*")&gt;0)+(COUNTIF(W2408:W2425,$B2444)+COUNTIF(W2408:W2425,$B2444&amp;" ~*")&gt;0)+(COUNTIF(Y2408:Y2425,$B2444)+COUNTIF(Y2408:Y2425,$B2444&amp;" ~*")&gt;0))</f>
        <v/>
      </c>
      <c r="AC2444" s="38">
        <f>IF($B2444="","",(IFERROR(INDEX(Setup!$G$33:$G$40,MATCH(C2444,Setup!$B$33:$B$40,0)),0)=1)*(COUNTIF(C2408:E2425,$B2444)+COUNTIF(C2408:E2425,$B2444&amp;" ~*")&gt;0)+(IFERROR(INDEX(Setup!$G$33:$G$40,MATCH(G2444,Setup!$B$33:$B$40,0)),0)=1)*(COUNTIF(G2408:I2425,$B2444)+COUNTIF(G2408:I2425,$B2444&amp;" ~*")&gt;0)+(IFERROR(INDEX(Setup!$G$33:$G$40,MATCH(K2444,Setup!$B$33:$B$40,0)),0)=1)*(COUNTIF(K2408:M2425,$B2444)+COUNTIF(K2408:M2425,$B2444&amp;" ~*")&gt;0)+(IFERROR(INDEX(Setup!$G$33:$G$40,MATCH(O2444,Setup!$B$33:$B$40,0)),0)=1)*(COUNTIF(O2408:Q2425,$B2444)+COUNTIF(O2408:Q2425,$B2444&amp;" ~*")&gt;0)+(IFERROR(INDEX(Setup!$G$33:$G$40,MATCH(S2444,Setup!$B$33:$B$40,0)),0)=1)*(COUNTIF(S2408:U2425,$B2444)+COUNTIF(S2408:U2425,$B2444&amp;" ~*")&gt;0)+(IFERROR(INDEX(Setup!$G$33:$G$40,MATCH(W2444,Setup!$B$33:$B$40,0)),0)=1)*(COUNTIF(W2408:W2425,$B2444)+COUNTIF(W2408:W2425,$B2444&amp;" ~*")&gt;0)+(IFERROR(INDEX(Setup!$G$33:$G$40,MATCH(Y2444,Setup!$B$33:$B$40,0)),0)=1)*(COUNTIF(Y2408:Y2425,$B2444)+COUNTIF(Y2408:Y2425,$B2444&amp;" ~*")&gt;0))</f>
        <v/>
      </c>
    </row>
    <row r="2445" ht="15" customHeight="1">
      <c r="A2445" t="n">
        <v>49</v>
      </c>
      <c r="B2445" s="35">
        <f>IF(Setup!$B$24="","",Setup!$B$24)</f>
        <v/>
      </c>
      <c r="C2445" s="98" t="n"/>
      <c r="D2445" s="99" t="n"/>
      <c r="E2445" s="99" t="n"/>
      <c r="F2445" s="100" t="n"/>
      <c r="G2445" s="98" t="n"/>
      <c r="H2445" s="99" t="n"/>
      <c r="I2445" s="99" t="n"/>
      <c r="J2445" s="100" t="n"/>
      <c r="K2445" s="98" t="n"/>
      <c r="L2445" s="99" t="n"/>
      <c r="M2445" s="99" t="n"/>
      <c r="N2445" s="100" t="n"/>
      <c r="O2445" s="98" t="n"/>
      <c r="P2445" s="99" t="n"/>
      <c r="Q2445" s="99" t="n"/>
      <c r="R2445" s="100" t="n"/>
      <c r="S2445" s="98" t="n"/>
      <c r="T2445" s="99" t="n"/>
      <c r="U2445" s="99" t="n"/>
      <c r="V2445" s="100" t="n"/>
      <c r="W2445" s="98" t="n"/>
      <c r="X2445" s="100" t="n"/>
      <c r="Y2445" s="98" t="n"/>
      <c r="Z2445" s="100" t="n"/>
      <c r="AB2445" s="101">
        <f>IF($B2445="","",(COUNTIF(C2408:E2425,$B2445)+COUNTIF(C2408:E2425,$B2445&amp;" ~*")&gt;0)+(COUNTIF(G2408:I2425,$B2445)+COUNTIF(G2408:I2425,$B2445&amp;" ~*")&gt;0)+(COUNTIF(K2408:M2425,$B2445)+COUNTIF(K2408:M2425,$B2445&amp;" ~*")&gt;0)+(COUNTIF(O2408:Q2425,$B2445)+COUNTIF(O2408:Q2425,$B2445&amp;" ~*")&gt;0)+(COUNTIF(S2408:U2425,$B2445)+COUNTIF(S2408:U2425,$B2445&amp;" ~*")&gt;0)+(COUNTIF(W2408:W2425,$B2445)+COUNTIF(W2408:W2425,$B2445&amp;" ~*")&gt;0)+(COUNTIF(Y2408:Y2425,$B2445)+COUNTIF(Y2408:Y2425,$B2445&amp;" ~*")&gt;0))</f>
        <v/>
      </c>
      <c r="AC2445" s="36">
        <f>IF($B2445="","",(IFERROR(INDEX(Setup!$G$33:$G$40,MATCH(C2445,Setup!$B$33:$B$40,0)),0)=1)*(COUNTIF(C2408:E2425,$B2445)+COUNTIF(C2408:E2425,$B2445&amp;" ~*")&gt;0)+(IFERROR(INDEX(Setup!$G$33:$G$40,MATCH(G2445,Setup!$B$33:$B$40,0)),0)=1)*(COUNTIF(G2408:I2425,$B2445)+COUNTIF(G2408:I2425,$B2445&amp;" ~*")&gt;0)+(IFERROR(INDEX(Setup!$G$33:$G$40,MATCH(K2445,Setup!$B$33:$B$40,0)),0)=1)*(COUNTIF(K2408:M2425,$B2445)+COUNTIF(K2408:M2425,$B2445&amp;" ~*")&gt;0)+(IFERROR(INDEX(Setup!$G$33:$G$40,MATCH(O2445,Setup!$B$33:$B$40,0)),0)=1)*(COUNTIF(O2408:Q2425,$B2445)+COUNTIF(O2408:Q2425,$B2445&amp;" ~*")&gt;0)+(IFERROR(INDEX(Setup!$G$33:$G$40,MATCH(S2445,Setup!$B$33:$B$40,0)),0)=1)*(COUNTIF(S2408:U2425,$B2445)+COUNTIF(S2408:U2425,$B2445&amp;" ~*")&gt;0)+(IFERROR(INDEX(Setup!$G$33:$G$40,MATCH(W2445,Setup!$B$33:$B$40,0)),0)=1)*(COUNTIF(W2408:W2425,$B2445)+COUNTIF(W2408:W2425,$B2445&amp;" ~*")&gt;0)+(IFERROR(INDEX(Setup!$G$33:$G$40,MATCH(Y2445,Setup!$B$33:$B$40,0)),0)=1)*(COUNTIF(Y2408:Y2425,$B2445)+COUNTIF(Y2408:Y2425,$B2445&amp;" ~*")&gt;0))</f>
        <v/>
      </c>
    </row>
    <row r="2446" ht="15" customHeight="1">
      <c r="A2446" t="n">
        <v>49</v>
      </c>
      <c r="B2446" s="37">
        <f>IF(Setup!$B$25="","",Setup!$B$25)</f>
        <v/>
      </c>
      <c r="C2446" s="102" t="n"/>
      <c r="D2446" s="103" t="n"/>
      <c r="E2446" s="103" t="n"/>
      <c r="F2446" s="104" t="n"/>
      <c r="G2446" s="102" t="n"/>
      <c r="H2446" s="103" t="n"/>
      <c r="I2446" s="103" t="n"/>
      <c r="J2446" s="104" t="n"/>
      <c r="K2446" s="102" t="n"/>
      <c r="L2446" s="103" t="n"/>
      <c r="M2446" s="103" t="n"/>
      <c r="N2446" s="104" t="n"/>
      <c r="O2446" s="102" t="n"/>
      <c r="P2446" s="103" t="n"/>
      <c r="Q2446" s="103" t="n"/>
      <c r="R2446" s="104" t="n"/>
      <c r="S2446" s="102" t="n"/>
      <c r="T2446" s="103" t="n"/>
      <c r="U2446" s="103" t="n"/>
      <c r="V2446" s="104" t="n"/>
      <c r="W2446" s="102" t="n"/>
      <c r="X2446" s="104" t="n"/>
      <c r="Y2446" s="102" t="n"/>
      <c r="Z2446" s="104" t="n"/>
      <c r="AB2446" s="105">
        <f>IF($B2446="","",(COUNTIF(C2408:E2425,$B2446)+COUNTIF(C2408:E2425,$B2446&amp;" ~*")&gt;0)+(COUNTIF(G2408:I2425,$B2446)+COUNTIF(G2408:I2425,$B2446&amp;" ~*")&gt;0)+(COUNTIF(K2408:M2425,$B2446)+COUNTIF(K2408:M2425,$B2446&amp;" ~*")&gt;0)+(COUNTIF(O2408:Q2425,$B2446)+COUNTIF(O2408:Q2425,$B2446&amp;" ~*")&gt;0)+(COUNTIF(S2408:U2425,$B2446)+COUNTIF(S2408:U2425,$B2446&amp;" ~*")&gt;0)+(COUNTIF(W2408:W2425,$B2446)+COUNTIF(W2408:W2425,$B2446&amp;" ~*")&gt;0)+(COUNTIF(Y2408:Y2425,$B2446)+COUNTIF(Y2408:Y2425,$B2446&amp;" ~*")&gt;0))</f>
        <v/>
      </c>
      <c r="AC2446" s="38">
        <f>IF($B2446="","",(IFERROR(INDEX(Setup!$G$33:$G$40,MATCH(C2446,Setup!$B$33:$B$40,0)),0)=1)*(COUNTIF(C2408:E2425,$B2446)+COUNTIF(C2408:E2425,$B2446&amp;" ~*")&gt;0)+(IFERROR(INDEX(Setup!$G$33:$G$40,MATCH(G2446,Setup!$B$33:$B$40,0)),0)=1)*(COUNTIF(G2408:I2425,$B2446)+COUNTIF(G2408:I2425,$B2446&amp;" ~*")&gt;0)+(IFERROR(INDEX(Setup!$G$33:$G$40,MATCH(K2446,Setup!$B$33:$B$40,0)),0)=1)*(COUNTIF(K2408:M2425,$B2446)+COUNTIF(K2408:M2425,$B2446&amp;" ~*")&gt;0)+(IFERROR(INDEX(Setup!$G$33:$G$40,MATCH(O2446,Setup!$B$33:$B$40,0)),0)=1)*(COUNTIF(O2408:Q2425,$B2446)+COUNTIF(O2408:Q2425,$B2446&amp;" ~*")&gt;0)+(IFERROR(INDEX(Setup!$G$33:$G$40,MATCH(S2446,Setup!$B$33:$B$40,0)),0)=1)*(COUNTIF(S2408:U2425,$B2446)+COUNTIF(S2408:U2425,$B2446&amp;" ~*")&gt;0)+(IFERROR(INDEX(Setup!$G$33:$G$40,MATCH(W2446,Setup!$B$33:$B$40,0)),0)=1)*(COUNTIF(W2408:W2425,$B2446)+COUNTIF(W2408:W2425,$B2446&amp;" ~*")&gt;0)+(IFERROR(INDEX(Setup!$G$33:$G$40,MATCH(Y2446,Setup!$B$33:$B$40,0)),0)=1)*(COUNTIF(Y2408:Y2425,$B2446)+COUNTIF(Y2408:Y2425,$B2446&amp;" ~*")&gt;0))</f>
        <v/>
      </c>
    </row>
    <row r="2447" ht="15" customHeight="1">
      <c r="A2447" t="n">
        <v>49</v>
      </c>
      <c r="B2447" s="35">
        <f>IF(Setup!$B$26="","",Setup!$B$26)</f>
        <v/>
      </c>
      <c r="C2447" s="98" t="n"/>
      <c r="D2447" s="99" t="n"/>
      <c r="E2447" s="99" t="n"/>
      <c r="F2447" s="100" t="n"/>
      <c r="G2447" s="98" t="n"/>
      <c r="H2447" s="99" t="n"/>
      <c r="I2447" s="99" t="n"/>
      <c r="J2447" s="100" t="n"/>
      <c r="K2447" s="98" t="n"/>
      <c r="L2447" s="99" t="n"/>
      <c r="M2447" s="99" t="n"/>
      <c r="N2447" s="100" t="n"/>
      <c r="O2447" s="98" t="n"/>
      <c r="P2447" s="99" t="n"/>
      <c r="Q2447" s="99" t="n"/>
      <c r="R2447" s="100" t="n"/>
      <c r="S2447" s="98" t="n"/>
      <c r="T2447" s="99" t="n"/>
      <c r="U2447" s="99" t="n"/>
      <c r="V2447" s="100" t="n"/>
      <c r="W2447" s="98" t="n"/>
      <c r="X2447" s="100" t="n"/>
      <c r="Y2447" s="98" t="n"/>
      <c r="Z2447" s="100" t="n"/>
      <c r="AB2447" s="101">
        <f>IF($B2447="","",(COUNTIF(C2408:E2425,$B2447)+COUNTIF(C2408:E2425,$B2447&amp;" ~*")&gt;0)+(COUNTIF(G2408:I2425,$B2447)+COUNTIF(G2408:I2425,$B2447&amp;" ~*")&gt;0)+(COUNTIF(K2408:M2425,$B2447)+COUNTIF(K2408:M2425,$B2447&amp;" ~*")&gt;0)+(COUNTIF(O2408:Q2425,$B2447)+COUNTIF(O2408:Q2425,$B2447&amp;" ~*")&gt;0)+(COUNTIF(S2408:U2425,$B2447)+COUNTIF(S2408:U2425,$B2447&amp;" ~*")&gt;0)+(COUNTIF(W2408:W2425,$B2447)+COUNTIF(W2408:W2425,$B2447&amp;" ~*")&gt;0)+(COUNTIF(Y2408:Y2425,$B2447)+COUNTIF(Y2408:Y2425,$B2447&amp;" ~*")&gt;0))</f>
        <v/>
      </c>
      <c r="AC2447" s="36">
        <f>IF($B2447="","",(IFERROR(INDEX(Setup!$G$33:$G$40,MATCH(C2447,Setup!$B$33:$B$40,0)),0)=1)*(COUNTIF(C2408:E2425,$B2447)+COUNTIF(C2408:E2425,$B2447&amp;" ~*")&gt;0)+(IFERROR(INDEX(Setup!$G$33:$G$40,MATCH(G2447,Setup!$B$33:$B$40,0)),0)=1)*(COUNTIF(G2408:I2425,$B2447)+COUNTIF(G2408:I2425,$B2447&amp;" ~*")&gt;0)+(IFERROR(INDEX(Setup!$G$33:$G$40,MATCH(K2447,Setup!$B$33:$B$40,0)),0)=1)*(COUNTIF(K2408:M2425,$B2447)+COUNTIF(K2408:M2425,$B2447&amp;" ~*")&gt;0)+(IFERROR(INDEX(Setup!$G$33:$G$40,MATCH(O2447,Setup!$B$33:$B$40,0)),0)=1)*(COUNTIF(O2408:Q2425,$B2447)+COUNTIF(O2408:Q2425,$B2447&amp;" ~*")&gt;0)+(IFERROR(INDEX(Setup!$G$33:$G$40,MATCH(S2447,Setup!$B$33:$B$40,0)),0)=1)*(COUNTIF(S2408:U2425,$B2447)+COUNTIF(S2408:U2425,$B2447&amp;" ~*")&gt;0)+(IFERROR(INDEX(Setup!$G$33:$G$40,MATCH(W2447,Setup!$B$33:$B$40,0)),0)=1)*(COUNTIF(W2408:W2425,$B2447)+COUNTIF(W2408:W2425,$B2447&amp;" ~*")&gt;0)+(IFERROR(INDEX(Setup!$G$33:$G$40,MATCH(Y2447,Setup!$B$33:$B$40,0)),0)=1)*(COUNTIF(Y2408:Y2425,$B2447)+COUNTIF(Y2408:Y2425,$B2447&amp;" ~*")&gt;0))</f>
        <v/>
      </c>
    </row>
    <row r="2448" ht="15" customHeight="1">
      <c r="A2448" t="n">
        <v>49</v>
      </c>
      <c r="B2448" s="37">
        <f>IF(Setup!$B$27="","",Setup!$B$27)</f>
        <v/>
      </c>
      <c r="C2448" s="102" t="n"/>
      <c r="D2448" s="103" t="n"/>
      <c r="E2448" s="103" t="n"/>
      <c r="F2448" s="104" t="n"/>
      <c r="G2448" s="102" t="n"/>
      <c r="H2448" s="103" t="n"/>
      <c r="I2448" s="103" t="n"/>
      <c r="J2448" s="104" t="n"/>
      <c r="K2448" s="102" t="n"/>
      <c r="L2448" s="103" t="n"/>
      <c r="M2448" s="103" t="n"/>
      <c r="N2448" s="104" t="n"/>
      <c r="O2448" s="102" t="n"/>
      <c r="P2448" s="103" t="n"/>
      <c r="Q2448" s="103" t="n"/>
      <c r="R2448" s="104" t="n"/>
      <c r="S2448" s="102" t="n"/>
      <c r="T2448" s="103" t="n"/>
      <c r="U2448" s="103" t="n"/>
      <c r="V2448" s="104" t="n"/>
      <c r="W2448" s="102" t="n"/>
      <c r="X2448" s="104" t="n"/>
      <c r="Y2448" s="102" t="n"/>
      <c r="Z2448" s="104" t="n"/>
      <c r="AB2448" s="105">
        <f>IF($B2448="","",(COUNTIF(C2408:E2425,$B2448)+COUNTIF(C2408:E2425,$B2448&amp;" ~*")&gt;0)+(COUNTIF(G2408:I2425,$B2448)+COUNTIF(G2408:I2425,$B2448&amp;" ~*")&gt;0)+(COUNTIF(K2408:M2425,$B2448)+COUNTIF(K2408:M2425,$B2448&amp;" ~*")&gt;0)+(COUNTIF(O2408:Q2425,$B2448)+COUNTIF(O2408:Q2425,$B2448&amp;" ~*")&gt;0)+(COUNTIF(S2408:U2425,$B2448)+COUNTIF(S2408:U2425,$B2448&amp;" ~*")&gt;0)+(COUNTIF(W2408:W2425,$B2448)+COUNTIF(W2408:W2425,$B2448&amp;" ~*")&gt;0)+(COUNTIF(Y2408:Y2425,$B2448)+COUNTIF(Y2408:Y2425,$B2448&amp;" ~*")&gt;0))</f>
        <v/>
      </c>
      <c r="AC2448" s="38">
        <f>IF($B2448="","",(IFERROR(INDEX(Setup!$G$33:$G$40,MATCH(C2448,Setup!$B$33:$B$40,0)),0)=1)*(COUNTIF(C2408:E2425,$B2448)+COUNTIF(C2408:E2425,$B2448&amp;" ~*")&gt;0)+(IFERROR(INDEX(Setup!$G$33:$G$40,MATCH(G2448,Setup!$B$33:$B$40,0)),0)=1)*(COUNTIF(G2408:I2425,$B2448)+COUNTIF(G2408:I2425,$B2448&amp;" ~*")&gt;0)+(IFERROR(INDEX(Setup!$G$33:$G$40,MATCH(K2448,Setup!$B$33:$B$40,0)),0)=1)*(COUNTIF(K2408:M2425,$B2448)+COUNTIF(K2408:M2425,$B2448&amp;" ~*")&gt;0)+(IFERROR(INDEX(Setup!$G$33:$G$40,MATCH(O2448,Setup!$B$33:$B$40,0)),0)=1)*(COUNTIF(O2408:Q2425,$B2448)+COUNTIF(O2408:Q2425,$B2448&amp;" ~*")&gt;0)+(IFERROR(INDEX(Setup!$G$33:$G$40,MATCH(S2448,Setup!$B$33:$B$40,0)),0)=1)*(COUNTIF(S2408:U2425,$B2448)+COUNTIF(S2408:U2425,$B2448&amp;" ~*")&gt;0)+(IFERROR(INDEX(Setup!$G$33:$G$40,MATCH(W2448,Setup!$B$33:$B$40,0)),0)=1)*(COUNTIF(W2408:W2425,$B2448)+COUNTIF(W2408:W2425,$B2448&amp;" ~*")&gt;0)+(IFERROR(INDEX(Setup!$G$33:$G$40,MATCH(Y2448,Setup!$B$33:$B$40,0)),0)=1)*(COUNTIF(Y2408:Y2425,$B2448)+COUNTIF(Y2408:Y2425,$B2448&amp;" ~*")&gt;0))</f>
        <v/>
      </c>
    </row>
    <row r="2449" ht="15" customHeight="1">
      <c r="A2449" t="n">
        <v>49</v>
      </c>
      <c r="B2449" s="35">
        <f>IF(Setup!$B$28="","",Setup!$B$28)</f>
        <v/>
      </c>
      <c r="C2449" s="98" t="n"/>
      <c r="D2449" s="99" t="n"/>
      <c r="E2449" s="99" t="n"/>
      <c r="F2449" s="100" t="n"/>
      <c r="G2449" s="98" t="n"/>
      <c r="H2449" s="99" t="n"/>
      <c r="I2449" s="99" t="n"/>
      <c r="J2449" s="100" t="n"/>
      <c r="K2449" s="98" t="n"/>
      <c r="L2449" s="99" t="n"/>
      <c r="M2449" s="99" t="n"/>
      <c r="N2449" s="100" t="n"/>
      <c r="O2449" s="98" t="n"/>
      <c r="P2449" s="99" t="n"/>
      <c r="Q2449" s="99" t="n"/>
      <c r="R2449" s="100" t="n"/>
      <c r="S2449" s="98" t="n"/>
      <c r="T2449" s="99" t="n"/>
      <c r="U2449" s="99" t="n"/>
      <c r="V2449" s="100" t="n"/>
      <c r="W2449" s="98" t="n"/>
      <c r="X2449" s="100" t="n"/>
      <c r="Y2449" s="98" t="n"/>
      <c r="Z2449" s="100" t="n"/>
      <c r="AB2449" s="101">
        <f>IF($B2449="","",(COUNTIF(C2408:E2425,$B2449)+COUNTIF(C2408:E2425,$B2449&amp;" ~*")&gt;0)+(COUNTIF(G2408:I2425,$B2449)+COUNTIF(G2408:I2425,$B2449&amp;" ~*")&gt;0)+(COUNTIF(K2408:M2425,$B2449)+COUNTIF(K2408:M2425,$B2449&amp;" ~*")&gt;0)+(COUNTIF(O2408:Q2425,$B2449)+COUNTIF(O2408:Q2425,$B2449&amp;" ~*")&gt;0)+(COUNTIF(S2408:U2425,$B2449)+COUNTIF(S2408:U2425,$B2449&amp;" ~*")&gt;0)+(COUNTIF(W2408:W2425,$B2449)+COUNTIF(W2408:W2425,$B2449&amp;" ~*")&gt;0)+(COUNTIF(Y2408:Y2425,$B2449)+COUNTIF(Y2408:Y2425,$B2449&amp;" ~*")&gt;0))</f>
        <v/>
      </c>
      <c r="AC2449" s="36">
        <f>IF($B2449="","",(IFERROR(INDEX(Setup!$G$33:$G$40,MATCH(C2449,Setup!$B$33:$B$40,0)),0)=1)*(COUNTIF(C2408:E2425,$B2449)+COUNTIF(C2408:E2425,$B2449&amp;" ~*")&gt;0)+(IFERROR(INDEX(Setup!$G$33:$G$40,MATCH(G2449,Setup!$B$33:$B$40,0)),0)=1)*(COUNTIF(G2408:I2425,$B2449)+COUNTIF(G2408:I2425,$B2449&amp;" ~*")&gt;0)+(IFERROR(INDEX(Setup!$G$33:$G$40,MATCH(K2449,Setup!$B$33:$B$40,0)),0)=1)*(COUNTIF(K2408:M2425,$B2449)+COUNTIF(K2408:M2425,$B2449&amp;" ~*")&gt;0)+(IFERROR(INDEX(Setup!$G$33:$G$40,MATCH(O2449,Setup!$B$33:$B$40,0)),0)=1)*(COUNTIF(O2408:Q2425,$B2449)+COUNTIF(O2408:Q2425,$B2449&amp;" ~*")&gt;0)+(IFERROR(INDEX(Setup!$G$33:$G$40,MATCH(S2449,Setup!$B$33:$B$40,0)),0)=1)*(COUNTIF(S2408:U2425,$B2449)+COUNTIF(S2408:U2425,$B2449&amp;" ~*")&gt;0)+(IFERROR(INDEX(Setup!$G$33:$G$40,MATCH(W2449,Setup!$B$33:$B$40,0)),0)=1)*(COUNTIF(W2408:W2425,$B2449)+COUNTIF(W2408:W2425,$B2449&amp;" ~*")&gt;0)+(IFERROR(INDEX(Setup!$G$33:$G$40,MATCH(Y2449,Setup!$B$33:$B$40,0)),0)=1)*(COUNTIF(Y2408:Y2425,$B2449)+COUNTIF(Y2408:Y2425,$B2449&amp;" ~*")&gt;0))</f>
        <v/>
      </c>
    </row>
    <row r="2450" ht="15" customHeight="1">
      <c r="A2450" t="n">
        <v>49</v>
      </c>
      <c r="B2450" s="37">
        <f>IF(Setup!$B$29="","",Setup!$B$29)</f>
        <v/>
      </c>
      <c r="C2450" s="102" t="n"/>
      <c r="D2450" s="103" t="n"/>
      <c r="E2450" s="103" t="n"/>
      <c r="F2450" s="104" t="n"/>
      <c r="G2450" s="102" t="n"/>
      <c r="H2450" s="103" t="n"/>
      <c r="I2450" s="103" t="n"/>
      <c r="J2450" s="104" t="n"/>
      <c r="K2450" s="102" t="n"/>
      <c r="L2450" s="103" t="n"/>
      <c r="M2450" s="103" t="n"/>
      <c r="N2450" s="104" t="n"/>
      <c r="O2450" s="102" t="n"/>
      <c r="P2450" s="103" t="n"/>
      <c r="Q2450" s="103" t="n"/>
      <c r="R2450" s="104" t="n"/>
      <c r="S2450" s="102" t="n"/>
      <c r="T2450" s="103" t="n"/>
      <c r="U2450" s="103" t="n"/>
      <c r="V2450" s="104" t="n"/>
      <c r="W2450" s="102" t="n"/>
      <c r="X2450" s="104" t="n"/>
      <c r="Y2450" s="102" t="n"/>
      <c r="Z2450" s="104" t="n"/>
      <c r="AB2450" s="105">
        <f>IF($B2450="","",(COUNTIF(C2408:E2425,$B2450)+COUNTIF(C2408:E2425,$B2450&amp;" ~*")&gt;0)+(COUNTIF(G2408:I2425,$B2450)+COUNTIF(G2408:I2425,$B2450&amp;" ~*")&gt;0)+(COUNTIF(K2408:M2425,$B2450)+COUNTIF(K2408:M2425,$B2450&amp;" ~*")&gt;0)+(COUNTIF(O2408:Q2425,$B2450)+COUNTIF(O2408:Q2425,$B2450&amp;" ~*")&gt;0)+(COUNTIF(S2408:U2425,$B2450)+COUNTIF(S2408:U2425,$B2450&amp;" ~*")&gt;0)+(COUNTIF(W2408:W2425,$B2450)+COUNTIF(W2408:W2425,$B2450&amp;" ~*")&gt;0)+(COUNTIF(Y2408:Y2425,$B2450)+COUNTIF(Y2408:Y2425,$B2450&amp;" ~*")&gt;0))</f>
        <v/>
      </c>
      <c r="AC2450" s="38">
        <f>IF($B2450="","",(IFERROR(INDEX(Setup!$G$33:$G$40,MATCH(C2450,Setup!$B$33:$B$40,0)),0)=1)*(COUNTIF(C2408:E2425,$B2450)+COUNTIF(C2408:E2425,$B2450&amp;" ~*")&gt;0)+(IFERROR(INDEX(Setup!$G$33:$G$40,MATCH(G2450,Setup!$B$33:$B$40,0)),0)=1)*(COUNTIF(G2408:I2425,$B2450)+COUNTIF(G2408:I2425,$B2450&amp;" ~*")&gt;0)+(IFERROR(INDEX(Setup!$G$33:$G$40,MATCH(K2450,Setup!$B$33:$B$40,0)),0)=1)*(COUNTIF(K2408:M2425,$B2450)+COUNTIF(K2408:M2425,$B2450&amp;" ~*")&gt;0)+(IFERROR(INDEX(Setup!$G$33:$G$40,MATCH(O2450,Setup!$B$33:$B$40,0)),0)=1)*(COUNTIF(O2408:Q2425,$B2450)+COUNTIF(O2408:Q2425,$B2450&amp;" ~*")&gt;0)+(IFERROR(INDEX(Setup!$G$33:$G$40,MATCH(S2450,Setup!$B$33:$B$40,0)),0)=1)*(COUNTIF(S2408:U2425,$B2450)+COUNTIF(S2408:U2425,$B2450&amp;" ~*")&gt;0)+(IFERROR(INDEX(Setup!$G$33:$G$40,MATCH(W2450,Setup!$B$33:$B$40,0)),0)=1)*(COUNTIF(W2408:W2425,$B2450)+COUNTIF(W2408:W2425,$B2450&amp;" ~*")&gt;0)+(IFERROR(INDEX(Setup!$G$33:$G$40,MATCH(Y2450,Setup!$B$33:$B$40,0)),0)=1)*(COUNTIF(Y2408:Y2425,$B2450)+COUNTIF(Y2408:Y2425,$B2450&amp;" ~*")&gt;0))</f>
        <v/>
      </c>
    </row>
    <row r="2451" ht="16" customHeight="1">
      <c r="A2451" t="n">
        <v>49</v>
      </c>
      <c r="B2451" s="106" t="inlineStr">
        <is>
          <t>Available people</t>
        </is>
      </c>
      <c r="C2451" s="107">
        <f>COUNTIFS(Setup!$E$6:$E$29,"Y",Setup!$B$6:$B$29,"?*")-SUMPRODUCT(COUNTIF(C2427:C2450,Setup!$F$33:$F$40))</f>
        <v/>
      </c>
      <c r="D2451" s="107" t="n"/>
      <c r="E2451" s="107" t="n"/>
      <c r="F2451" s="107" t="n"/>
      <c r="G2451" s="107">
        <f>COUNTIFS(Setup!$E$6:$E$29,"Y",Setup!$B$6:$B$29,"?*")-SUMPRODUCT(COUNTIF(G2427:G2450,Setup!$F$33:$F$40))</f>
        <v/>
      </c>
      <c r="H2451" s="107" t="n"/>
      <c r="I2451" s="107" t="n"/>
      <c r="J2451" s="107" t="n"/>
      <c r="K2451" s="107">
        <f>COUNTIFS(Setup!$E$6:$E$29,"Y",Setup!$B$6:$B$29,"?*")-SUMPRODUCT(COUNTIF(K2427:K2450,Setup!$F$33:$F$40))</f>
        <v/>
      </c>
      <c r="L2451" s="107" t="n"/>
      <c r="M2451" s="107" t="n"/>
      <c r="N2451" s="107" t="n"/>
      <c r="O2451" s="107">
        <f>COUNTIFS(Setup!$E$6:$E$29,"Y",Setup!$B$6:$B$29,"?*")-SUMPRODUCT(COUNTIF(O2427:O2450,Setup!$F$33:$F$40))</f>
        <v/>
      </c>
      <c r="P2451" s="107" t="n"/>
      <c r="Q2451" s="107" t="n"/>
      <c r="R2451" s="107" t="n"/>
      <c r="S2451" s="107">
        <f>COUNTIFS(Setup!$E$6:$E$29,"Y",Setup!$B$6:$B$29,"?*")-SUMPRODUCT(COUNTIF(S2427:S2450,Setup!$F$33:$F$40))</f>
        <v/>
      </c>
      <c r="T2451" s="107" t="n"/>
      <c r="U2451" s="107" t="n"/>
      <c r="V2451" s="107" t="n"/>
      <c r="W2451" s="107">
        <f>COUNTIFS(Setup!$E$6:$E$29,"Y",Setup!$B$6:$B$29,"?*")-SUMPRODUCT(COUNTIF(W2427:W2450,Setup!$F$33:$F$40))</f>
        <v/>
      </c>
      <c r="X2451" s="107" t="n"/>
      <c r="Y2451" s="107">
        <f>COUNTIFS(Setup!$E$6:$E$29,"Y",Setup!$B$6:$B$29,"?*")-SUMPRODUCT(COUNTIF(Y2427:Y2450,Setup!$F$33:$F$40))</f>
        <v/>
      </c>
      <c r="Z2451" s="107" t="n"/>
      <c r="AB2451" s="108">
        <f>SUM(AB2427:AB2450)</f>
        <v/>
      </c>
      <c r="AC2451" s="109">
        <f>SUM(AC2427:AC2450)</f>
        <v/>
      </c>
    </row>
    <row r="2452" ht="30" customHeight="1">
      <c r="A2452" t="n">
        <v>49</v>
      </c>
      <c r="B2452" s="110" t="inlineStr">
        <is>
          <t>Week notes</t>
        </is>
      </c>
      <c r="C2452" s="111" t="n"/>
      <c r="D2452" s="112" t="n"/>
      <c r="E2452" s="112" t="n"/>
      <c r="F2452" s="112" t="n"/>
      <c r="G2452" s="112" t="n"/>
      <c r="H2452" s="112" t="n"/>
      <c r="I2452" s="112" t="n"/>
      <c r="J2452" s="112" t="n"/>
      <c r="K2452" s="112" t="n"/>
      <c r="L2452" s="112" t="n"/>
      <c r="M2452" s="112" t="n"/>
      <c r="N2452" s="112" t="n"/>
      <c r="O2452" s="112" t="n"/>
      <c r="P2452" s="112" t="n"/>
      <c r="Q2452" s="112" t="n"/>
      <c r="R2452" s="112" t="n"/>
      <c r="S2452" s="112" t="n"/>
      <c r="T2452" s="112" t="n"/>
      <c r="U2452" s="112" t="n"/>
      <c r="V2452" s="112" t="n"/>
      <c r="W2452" s="112" t="n"/>
      <c r="X2452" s="112" t="n"/>
      <c r="Y2452" s="112" t="n"/>
      <c r="Z2452" s="113" t="n"/>
    </row>
    <row r="2453" ht="8" customHeight="1">
      <c r="A2453" t="n">
        <v>49</v>
      </c>
    </row>
    <row r="2454" ht="8" customHeight="1">
      <c r="A2454" t="n">
        <v>49</v>
      </c>
    </row>
    <row r="2455" ht="24" customHeight="1">
      <c r="A2455" t="n">
        <v>50</v>
      </c>
      <c r="B2455" s="73">
        <f>"WEEK 50     "&amp;TEXT(C2456,"ddd d mmm")&amp;"  –  "&amp;TEXT(C2456+6,"ddd d mmm yyyy")</f>
        <v/>
      </c>
      <c r="S2455" s="74">
        <f>IF(TODAY()&lt;C2456,"FUTURE",IF(TODAY()&gt;C2456+6,"PAST","THIS WEEK"))</f>
        <v/>
      </c>
      <c r="W2455" s="75">
        <f>IF(AND(Engine!$B$8=$AC$3,Engine!$B$9=$A2455),"◀ ACTIVE WEEK","")</f>
        <v/>
      </c>
      <c r="AA2455" s="76" t="n"/>
      <c r="AB2455" s="77" t="inlineStr">
        <is>
          <t>◀ Prev</t>
        </is>
      </c>
      <c r="AC2455" s="77" t="inlineStr">
        <is>
          <t>Next ▶</t>
        </is>
      </c>
    </row>
    <row r="2456" ht="18" customHeight="1">
      <c r="A2456" t="n">
        <v>50</v>
      </c>
      <c r="B2456" s="78" t="inlineStr">
        <is>
          <t>DUTY</t>
        </is>
      </c>
      <c r="C2456" s="79">
        <f>$AC$2+7*($A2456-1)</f>
        <v/>
      </c>
      <c r="D2456" s="80" t="n"/>
      <c r="E2456" s="80" t="n"/>
      <c r="F2456" s="81" t="n"/>
      <c r="G2456" s="79">
        <f>C2456+1</f>
        <v/>
      </c>
      <c r="H2456" s="80" t="n"/>
      <c r="I2456" s="80" t="n"/>
      <c r="J2456" s="81" t="n"/>
      <c r="K2456" s="79">
        <f>C2456+2</f>
        <v/>
      </c>
      <c r="L2456" s="80" t="n"/>
      <c r="M2456" s="80" t="n"/>
      <c r="N2456" s="81" t="n"/>
      <c r="O2456" s="79">
        <f>C2456+3</f>
        <v/>
      </c>
      <c r="P2456" s="80" t="n"/>
      <c r="Q2456" s="80" t="n"/>
      <c r="R2456" s="81" t="n"/>
      <c r="S2456" s="79">
        <f>C2456+4</f>
        <v/>
      </c>
      <c r="T2456" s="80" t="n"/>
      <c r="U2456" s="80" t="n"/>
      <c r="V2456" s="81" t="n"/>
      <c r="W2456" s="82">
        <f>C2456+5</f>
        <v/>
      </c>
      <c r="X2456" s="83" t="n"/>
      <c r="Y2456" s="82">
        <f>C2456+6</f>
        <v/>
      </c>
      <c r="Z2456" s="83" t="n"/>
      <c r="AB2456" s="72" t="inlineStr">
        <is>
          <t>Gaps</t>
        </is>
      </c>
      <c r="AC2456" s="72" t="inlineStr">
        <is>
          <t>Cover</t>
        </is>
      </c>
    </row>
    <row r="2457" ht="14" customHeight="1">
      <c r="A2457" t="n">
        <v>50</v>
      </c>
      <c r="B2457" s="84" t="inlineStr">
        <is>
          <t>(from Setup)</t>
        </is>
      </c>
      <c r="C2457" s="85" t="inlineStr">
        <is>
          <t>1</t>
        </is>
      </c>
      <c r="D2457" s="85" t="inlineStr">
        <is>
          <t>2</t>
        </is>
      </c>
      <c r="E2457" s="85" t="inlineStr">
        <is>
          <t>3</t>
        </is>
      </c>
      <c r="F2457" s="85" t="inlineStr">
        <is>
          <t>Notes</t>
        </is>
      </c>
      <c r="G2457" s="85" t="inlineStr">
        <is>
          <t>1</t>
        </is>
      </c>
      <c r="H2457" s="85" t="inlineStr">
        <is>
          <t>2</t>
        </is>
      </c>
      <c r="I2457" s="85" t="inlineStr">
        <is>
          <t>3</t>
        </is>
      </c>
      <c r="J2457" s="85" t="inlineStr">
        <is>
          <t>Notes</t>
        </is>
      </c>
      <c r="K2457" s="85" t="inlineStr">
        <is>
          <t>1</t>
        </is>
      </c>
      <c r="L2457" s="85" t="inlineStr">
        <is>
          <t>2</t>
        </is>
      </c>
      <c r="M2457" s="85" t="inlineStr">
        <is>
          <t>3</t>
        </is>
      </c>
      <c r="N2457" s="85" t="inlineStr">
        <is>
          <t>Notes</t>
        </is>
      </c>
      <c r="O2457" s="85" t="inlineStr">
        <is>
          <t>1</t>
        </is>
      </c>
      <c r="P2457" s="85" t="inlineStr">
        <is>
          <t>2</t>
        </is>
      </c>
      <c r="Q2457" s="85" t="inlineStr">
        <is>
          <t>3</t>
        </is>
      </c>
      <c r="R2457" s="85" t="inlineStr">
        <is>
          <t>Notes</t>
        </is>
      </c>
      <c r="S2457" s="85" t="inlineStr">
        <is>
          <t>1</t>
        </is>
      </c>
      <c r="T2457" s="85" t="inlineStr">
        <is>
          <t>2</t>
        </is>
      </c>
      <c r="U2457" s="85" t="inlineStr">
        <is>
          <t>3</t>
        </is>
      </c>
      <c r="V2457" s="85" t="inlineStr">
        <is>
          <t>Notes</t>
        </is>
      </c>
      <c r="W2457" s="85" t="inlineStr">
        <is>
          <t>Cover</t>
        </is>
      </c>
      <c r="X2457" s="85" t="inlineStr">
        <is>
          <t>Notes</t>
        </is>
      </c>
      <c r="Y2457" s="85" t="inlineStr">
        <is>
          <t>Cover</t>
        </is>
      </c>
      <c r="Z2457" s="85" t="inlineStr">
        <is>
          <t>Notes</t>
        </is>
      </c>
      <c r="AB2457" s="86" t="inlineStr">
        <is>
          <t>weekdays short</t>
        </is>
      </c>
      <c r="AC2457" s="87" t="inlineStr"/>
    </row>
    <row r="2458" ht="17" customHeight="1">
      <c r="A2458" t="n">
        <v>50</v>
      </c>
      <c r="B2458" s="24">
        <f>IF(Setup!$K$6="","",Setup!$K$6)</f>
        <v/>
      </c>
      <c r="C2458" s="88" t="n"/>
      <c r="D2458" s="88" t="n"/>
      <c r="E2458" s="88" t="n"/>
      <c r="F2458" s="89" t="n"/>
      <c r="G2458" s="88" t="n"/>
      <c r="H2458" s="88" t="n"/>
      <c r="I2458" s="88" t="n"/>
      <c r="J2458" s="89" t="n"/>
      <c r="K2458" s="88" t="n"/>
      <c r="L2458" s="88" t="n"/>
      <c r="M2458" s="88" t="n"/>
      <c r="N2458" s="89" t="n"/>
      <c r="O2458" s="88" t="n"/>
      <c r="P2458" s="88" t="n"/>
      <c r="Q2458" s="88" t="n"/>
      <c r="R2458" s="89" t="n"/>
      <c r="S2458" s="88" t="n"/>
      <c r="T2458" s="88" t="n"/>
      <c r="U2458" s="88" t="n"/>
      <c r="V2458" s="89" t="n"/>
      <c r="W2458" s="88" t="n"/>
      <c r="X2458" s="89" t="n"/>
      <c r="Y2458" s="88" t="n"/>
      <c r="Z2458" s="89" t="n"/>
      <c r="AB2458" s="25">
        <f>IF($B2458="","",(COUNTIF(C2458:E2458,"?*")&lt;N(INDEX(Setup!$L$6:$L$23,1)))+(COUNTIF(G2458:I2458,"?*")&lt;N(INDEX(Setup!$L$6:$L$23,1)))+(COUNTIF(K2458:M2458,"?*")&lt;N(INDEX(Setup!$L$6:$L$23,1)))+(COUNTIF(O2458:Q2458,"?*")&lt;N(INDEX(Setup!$L$6:$L$23,1)))+(COUNTIF(S2458:U2458,"?*")&lt;N(INDEX(Setup!$L$6:$L$23,1)))+((W2458="")*(INDEX(Setup!$M$6:$M$23,1)="Y"))+((Y2458="")*(INDEX(Setup!$M$6:$M$23,1)="Y")))</f>
        <v/>
      </c>
      <c r="AC2458" s="90">
        <f>IF($B2458="","",IF(AB2458=0,"✓ covered","⚠ "&amp;AB2458&amp;IF(AB2458=1," gap"," gaps")))</f>
        <v/>
      </c>
    </row>
    <row r="2459" ht="17" customHeight="1">
      <c r="A2459" t="n">
        <v>50</v>
      </c>
      <c r="B2459" s="29">
        <f>IF(Setup!$K$7="","",Setup!$K$7)</f>
        <v/>
      </c>
      <c r="C2459" s="88" t="n"/>
      <c r="D2459" s="88" t="n"/>
      <c r="E2459" s="88" t="n"/>
      <c r="F2459" s="89" t="n"/>
      <c r="G2459" s="88" t="n"/>
      <c r="H2459" s="88" t="n"/>
      <c r="I2459" s="88" t="n"/>
      <c r="J2459" s="89" t="n"/>
      <c r="K2459" s="88" t="n"/>
      <c r="L2459" s="88" t="n"/>
      <c r="M2459" s="88" t="n"/>
      <c r="N2459" s="89" t="n"/>
      <c r="O2459" s="88" t="n"/>
      <c r="P2459" s="88" t="n"/>
      <c r="Q2459" s="88" t="n"/>
      <c r="R2459" s="89" t="n"/>
      <c r="S2459" s="88" t="n"/>
      <c r="T2459" s="88" t="n"/>
      <c r="U2459" s="88" t="n"/>
      <c r="V2459" s="89" t="n"/>
      <c r="W2459" s="88" t="n"/>
      <c r="X2459" s="89" t="n"/>
      <c r="Y2459" s="88" t="n"/>
      <c r="Z2459" s="89" t="n"/>
      <c r="AB2459" s="30">
        <f>IF($B2459="","",(COUNTIF(C2459:E2459,"?*")&lt;N(INDEX(Setup!$L$6:$L$23,2)))+(COUNTIF(G2459:I2459,"?*")&lt;N(INDEX(Setup!$L$6:$L$23,2)))+(COUNTIF(K2459:M2459,"?*")&lt;N(INDEX(Setup!$L$6:$L$23,2)))+(COUNTIF(O2459:Q2459,"?*")&lt;N(INDEX(Setup!$L$6:$L$23,2)))+(COUNTIF(S2459:U2459,"?*")&lt;N(INDEX(Setup!$L$6:$L$23,2)))+((W2459="")*(INDEX(Setup!$M$6:$M$23,2)="Y"))+((Y2459="")*(INDEX(Setup!$M$6:$M$23,2)="Y")))</f>
        <v/>
      </c>
      <c r="AC2459" s="91">
        <f>IF($B2459="","",IF(AB2459=0,"✓ covered","⚠ "&amp;AB2459&amp;IF(AB2459=1," gap"," gaps")))</f>
        <v/>
      </c>
    </row>
    <row r="2460" ht="17" customHeight="1">
      <c r="A2460" t="n">
        <v>50</v>
      </c>
      <c r="B2460" s="24">
        <f>IF(Setup!$K$8="","",Setup!$K$8)</f>
        <v/>
      </c>
      <c r="C2460" s="88" t="n"/>
      <c r="D2460" s="88" t="n"/>
      <c r="E2460" s="88" t="n"/>
      <c r="F2460" s="89" t="n"/>
      <c r="G2460" s="88" t="n"/>
      <c r="H2460" s="88" t="n"/>
      <c r="I2460" s="88" t="n"/>
      <c r="J2460" s="89" t="n"/>
      <c r="K2460" s="88" t="n"/>
      <c r="L2460" s="88" t="n"/>
      <c r="M2460" s="88" t="n"/>
      <c r="N2460" s="89" t="n"/>
      <c r="O2460" s="88" t="n"/>
      <c r="P2460" s="88" t="n"/>
      <c r="Q2460" s="88" t="n"/>
      <c r="R2460" s="89" t="n"/>
      <c r="S2460" s="88" t="n"/>
      <c r="T2460" s="88" t="n"/>
      <c r="U2460" s="88" t="n"/>
      <c r="V2460" s="89" t="n"/>
      <c r="W2460" s="88" t="n"/>
      <c r="X2460" s="89" t="n"/>
      <c r="Y2460" s="88" t="n"/>
      <c r="Z2460" s="89" t="n"/>
      <c r="AB2460" s="25">
        <f>IF($B2460="","",(COUNTIF(C2460:E2460,"?*")&lt;N(INDEX(Setup!$L$6:$L$23,3)))+(COUNTIF(G2460:I2460,"?*")&lt;N(INDEX(Setup!$L$6:$L$23,3)))+(COUNTIF(K2460:M2460,"?*")&lt;N(INDEX(Setup!$L$6:$L$23,3)))+(COUNTIF(O2460:Q2460,"?*")&lt;N(INDEX(Setup!$L$6:$L$23,3)))+(COUNTIF(S2460:U2460,"?*")&lt;N(INDEX(Setup!$L$6:$L$23,3)))+((W2460="")*(INDEX(Setup!$M$6:$M$23,3)="Y"))+((Y2460="")*(INDEX(Setup!$M$6:$M$23,3)="Y")))</f>
        <v/>
      </c>
      <c r="AC2460" s="90">
        <f>IF($B2460="","",IF(AB2460=0,"✓ covered","⚠ "&amp;AB2460&amp;IF(AB2460=1," gap"," gaps")))</f>
        <v/>
      </c>
    </row>
    <row r="2461" ht="17" customHeight="1">
      <c r="A2461" t="n">
        <v>50</v>
      </c>
      <c r="B2461" s="29">
        <f>IF(Setup!$K$9="","",Setup!$K$9)</f>
        <v/>
      </c>
      <c r="C2461" s="88" t="n"/>
      <c r="D2461" s="88" t="n"/>
      <c r="E2461" s="88" t="n"/>
      <c r="F2461" s="89" t="n"/>
      <c r="G2461" s="88" t="n"/>
      <c r="H2461" s="88" t="n"/>
      <c r="I2461" s="88" t="n"/>
      <c r="J2461" s="89" t="n"/>
      <c r="K2461" s="88" t="n"/>
      <c r="L2461" s="88" t="n"/>
      <c r="M2461" s="88" t="n"/>
      <c r="N2461" s="89" t="n"/>
      <c r="O2461" s="88" t="n"/>
      <c r="P2461" s="88" t="n"/>
      <c r="Q2461" s="88" t="n"/>
      <c r="R2461" s="89" t="n"/>
      <c r="S2461" s="88" t="n"/>
      <c r="T2461" s="88" t="n"/>
      <c r="U2461" s="88" t="n"/>
      <c r="V2461" s="89" t="n"/>
      <c r="W2461" s="88" t="n"/>
      <c r="X2461" s="89" t="n"/>
      <c r="Y2461" s="88" t="n"/>
      <c r="Z2461" s="89" t="n"/>
      <c r="AB2461" s="30">
        <f>IF($B2461="","",(COUNTIF(C2461:E2461,"?*")&lt;N(INDEX(Setup!$L$6:$L$23,4)))+(COUNTIF(G2461:I2461,"?*")&lt;N(INDEX(Setup!$L$6:$L$23,4)))+(COUNTIF(K2461:M2461,"?*")&lt;N(INDEX(Setup!$L$6:$L$23,4)))+(COUNTIF(O2461:Q2461,"?*")&lt;N(INDEX(Setup!$L$6:$L$23,4)))+(COUNTIF(S2461:U2461,"?*")&lt;N(INDEX(Setup!$L$6:$L$23,4)))+((W2461="")*(INDEX(Setup!$M$6:$M$23,4)="Y"))+((Y2461="")*(INDEX(Setup!$M$6:$M$23,4)="Y")))</f>
        <v/>
      </c>
      <c r="AC2461" s="91">
        <f>IF($B2461="","",IF(AB2461=0,"✓ covered","⚠ "&amp;AB2461&amp;IF(AB2461=1," gap"," gaps")))</f>
        <v/>
      </c>
    </row>
    <row r="2462" ht="17" customHeight="1">
      <c r="A2462" t="n">
        <v>50</v>
      </c>
      <c r="B2462" s="24">
        <f>IF(Setup!$K$10="","",Setup!$K$10)</f>
        <v/>
      </c>
      <c r="C2462" s="88" t="n"/>
      <c r="D2462" s="88" t="n"/>
      <c r="E2462" s="88" t="n"/>
      <c r="F2462" s="89" t="n"/>
      <c r="G2462" s="88" t="n"/>
      <c r="H2462" s="88" t="n"/>
      <c r="I2462" s="88" t="n"/>
      <c r="J2462" s="89" t="n"/>
      <c r="K2462" s="88" t="n"/>
      <c r="L2462" s="88" t="n"/>
      <c r="M2462" s="88" t="n"/>
      <c r="N2462" s="89" t="n"/>
      <c r="O2462" s="88" t="n"/>
      <c r="P2462" s="88" t="n"/>
      <c r="Q2462" s="88" t="n"/>
      <c r="R2462" s="89" t="n"/>
      <c r="S2462" s="88" t="n"/>
      <c r="T2462" s="88" t="n"/>
      <c r="U2462" s="88" t="n"/>
      <c r="V2462" s="89" t="n"/>
      <c r="W2462" s="88" t="n"/>
      <c r="X2462" s="89" t="n"/>
      <c r="Y2462" s="88" t="n"/>
      <c r="Z2462" s="89" t="n"/>
      <c r="AB2462" s="25">
        <f>IF($B2462="","",(COUNTIF(C2462:E2462,"?*")&lt;N(INDEX(Setup!$L$6:$L$23,5)))+(COUNTIF(G2462:I2462,"?*")&lt;N(INDEX(Setup!$L$6:$L$23,5)))+(COUNTIF(K2462:M2462,"?*")&lt;N(INDEX(Setup!$L$6:$L$23,5)))+(COUNTIF(O2462:Q2462,"?*")&lt;N(INDEX(Setup!$L$6:$L$23,5)))+(COUNTIF(S2462:U2462,"?*")&lt;N(INDEX(Setup!$L$6:$L$23,5)))+((W2462="")*(INDEX(Setup!$M$6:$M$23,5)="Y"))+((Y2462="")*(INDEX(Setup!$M$6:$M$23,5)="Y")))</f>
        <v/>
      </c>
      <c r="AC2462" s="90">
        <f>IF($B2462="","",IF(AB2462=0,"✓ covered","⚠ "&amp;AB2462&amp;IF(AB2462=1," gap"," gaps")))</f>
        <v/>
      </c>
    </row>
    <row r="2463" ht="17" customHeight="1">
      <c r="A2463" t="n">
        <v>50</v>
      </c>
      <c r="B2463" s="29">
        <f>IF(Setup!$K$11="","",Setup!$K$11)</f>
        <v/>
      </c>
      <c r="C2463" s="88" t="n"/>
      <c r="D2463" s="88" t="n"/>
      <c r="E2463" s="88" t="n"/>
      <c r="F2463" s="89" t="n"/>
      <c r="G2463" s="88" t="n"/>
      <c r="H2463" s="88" t="n"/>
      <c r="I2463" s="88" t="n"/>
      <c r="J2463" s="89" t="n"/>
      <c r="K2463" s="88" t="n"/>
      <c r="L2463" s="88" t="n"/>
      <c r="M2463" s="88" t="n"/>
      <c r="N2463" s="89" t="n"/>
      <c r="O2463" s="88" t="n"/>
      <c r="P2463" s="88" t="n"/>
      <c r="Q2463" s="88" t="n"/>
      <c r="R2463" s="89" t="n"/>
      <c r="S2463" s="88" t="n"/>
      <c r="T2463" s="88" t="n"/>
      <c r="U2463" s="88" t="n"/>
      <c r="V2463" s="89" t="n"/>
      <c r="W2463" s="88" t="n"/>
      <c r="X2463" s="89" t="n"/>
      <c r="Y2463" s="88" t="n"/>
      <c r="Z2463" s="89" t="n"/>
      <c r="AB2463" s="30">
        <f>IF($B2463="","",(COUNTIF(C2463:E2463,"?*")&lt;N(INDEX(Setup!$L$6:$L$23,6)))+(COUNTIF(G2463:I2463,"?*")&lt;N(INDEX(Setup!$L$6:$L$23,6)))+(COUNTIF(K2463:M2463,"?*")&lt;N(INDEX(Setup!$L$6:$L$23,6)))+(COUNTIF(O2463:Q2463,"?*")&lt;N(INDEX(Setup!$L$6:$L$23,6)))+(COUNTIF(S2463:U2463,"?*")&lt;N(INDEX(Setup!$L$6:$L$23,6)))+((W2463="")*(INDEX(Setup!$M$6:$M$23,6)="Y"))+((Y2463="")*(INDEX(Setup!$M$6:$M$23,6)="Y")))</f>
        <v/>
      </c>
      <c r="AC2463" s="91">
        <f>IF($B2463="","",IF(AB2463=0,"✓ covered","⚠ "&amp;AB2463&amp;IF(AB2463=1," gap"," gaps")))</f>
        <v/>
      </c>
    </row>
    <row r="2464" ht="17" customHeight="1">
      <c r="A2464" t="n">
        <v>50</v>
      </c>
      <c r="B2464" s="24">
        <f>IF(Setup!$K$12="","",Setup!$K$12)</f>
        <v/>
      </c>
      <c r="C2464" s="88" t="n"/>
      <c r="D2464" s="88" t="n"/>
      <c r="E2464" s="88" t="n"/>
      <c r="F2464" s="89" t="n"/>
      <c r="G2464" s="88" t="n"/>
      <c r="H2464" s="88" t="n"/>
      <c r="I2464" s="88" t="n"/>
      <c r="J2464" s="89" t="n"/>
      <c r="K2464" s="88" t="n"/>
      <c r="L2464" s="88" t="n"/>
      <c r="M2464" s="88" t="n"/>
      <c r="N2464" s="89" t="n"/>
      <c r="O2464" s="88" t="n"/>
      <c r="P2464" s="88" t="n"/>
      <c r="Q2464" s="88" t="n"/>
      <c r="R2464" s="89" t="n"/>
      <c r="S2464" s="88" t="n"/>
      <c r="T2464" s="88" t="n"/>
      <c r="U2464" s="88" t="n"/>
      <c r="V2464" s="89" t="n"/>
      <c r="W2464" s="88" t="n"/>
      <c r="X2464" s="89" t="n"/>
      <c r="Y2464" s="88" t="n"/>
      <c r="Z2464" s="89" t="n"/>
      <c r="AB2464" s="25">
        <f>IF($B2464="","",(COUNTIF(C2464:E2464,"?*")&lt;N(INDEX(Setup!$L$6:$L$23,7)))+(COUNTIF(G2464:I2464,"?*")&lt;N(INDEX(Setup!$L$6:$L$23,7)))+(COUNTIF(K2464:M2464,"?*")&lt;N(INDEX(Setup!$L$6:$L$23,7)))+(COUNTIF(O2464:Q2464,"?*")&lt;N(INDEX(Setup!$L$6:$L$23,7)))+(COUNTIF(S2464:U2464,"?*")&lt;N(INDEX(Setup!$L$6:$L$23,7)))+((W2464="")*(INDEX(Setup!$M$6:$M$23,7)="Y"))+((Y2464="")*(INDEX(Setup!$M$6:$M$23,7)="Y")))</f>
        <v/>
      </c>
      <c r="AC2464" s="90">
        <f>IF($B2464="","",IF(AB2464=0,"✓ covered","⚠ "&amp;AB2464&amp;IF(AB2464=1," gap"," gaps")))</f>
        <v/>
      </c>
    </row>
    <row r="2465" ht="17" customHeight="1">
      <c r="A2465" t="n">
        <v>50</v>
      </c>
      <c r="B2465" s="29">
        <f>IF(Setup!$K$13="","",Setup!$K$13)</f>
        <v/>
      </c>
      <c r="C2465" s="88" t="n"/>
      <c r="D2465" s="88" t="n"/>
      <c r="E2465" s="88" t="n"/>
      <c r="F2465" s="89" t="n"/>
      <c r="G2465" s="88" t="n"/>
      <c r="H2465" s="88" t="n"/>
      <c r="I2465" s="88" t="n"/>
      <c r="J2465" s="89" t="n"/>
      <c r="K2465" s="88" t="n"/>
      <c r="L2465" s="88" t="n"/>
      <c r="M2465" s="88" t="n"/>
      <c r="N2465" s="89" t="n"/>
      <c r="O2465" s="88" t="n"/>
      <c r="P2465" s="88" t="n"/>
      <c r="Q2465" s="88" t="n"/>
      <c r="R2465" s="89" t="n"/>
      <c r="S2465" s="88" t="n"/>
      <c r="T2465" s="88" t="n"/>
      <c r="U2465" s="88" t="n"/>
      <c r="V2465" s="89" t="n"/>
      <c r="W2465" s="88" t="n"/>
      <c r="X2465" s="89" t="n"/>
      <c r="Y2465" s="88" t="n"/>
      <c r="Z2465" s="89" t="n"/>
      <c r="AB2465" s="30">
        <f>IF($B2465="","",(COUNTIF(C2465:E2465,"?*")&lt;N(INDEX(Setup!$L$6:$L$23,8)))+(COUNTIF(G2465:I2465,"?*")&lt;N(INDEX(Setup!$L$6:$L$23,8)))+(COUNTIF(K2465:M2465,"?*")&lt;N(INDEX(Setup!$L$6:$L$23,8)))+(COUNTIF(O2465:Q2465,"?*")&lt;N(INDEX(Setup!$L$6:$L$23,8)))+(COUNTIF(S2465:U2465,"?*")&lt;N(INDEX(Setup!$L$6:$L$23,8)))+((W2465="")*(INDEX(Setup!$M$6:$M$23,8)="Y"))+((Y2465="")*(INDEX(Setup!$M$6:$M$23,8)="Y")))</f>
        <v/>
      </c>
      <c r="AC2465" s="91">
        <f>IF($B2465="","",IF(AB2465=0,"✓ covered","⚠ "&amp;AB2465&amp;IF(AB2465=1," gap"," gaps")))</f>
        <v/>
      </c>
    </row>
    <row r="2466" ht="17" customHeight="1">
      <c r="A2466" t="n">
        <v>50</v>
      </c>
      <c r="B2466" s="24">
        <f>IF(Setup!$K$14="","",Setup!$K$14)</f>
        <v/>
      </c>
      <c r="C2466" s="88" t="n"/>
      <c r="D2466" s="88" t="n"/>
      <c r="E2466" s="88" t="n"/>
      <c r="F2466" s="89" t="n"/>
      <c r="G2466" s="88" t="n"/>
      <c r="H2466" s="88" t="n"/>
      <c r="I2466" s="88" t="n"/>
      <c r="J2466" s="89" t="n"/>
      <c r="K2466" s="88" t="n"/>
      <c r="L2466" s="88" t="n"/>
      <c r="M2466" s="88" t="n"/>
      <c r="N2466" s="89" t="n"/>
      <c r="O2466" s="88" t="n"/>
      <c r="P2466" s="88" t="n"/>
      <c r="Q2466" s="88" t="n"/>
      <c r="R2466" s="89" t="n"/>
      <c r="S2466" s="88" t="n"/>
      <c r="T2466" s="88" t="n"/>
      <c r="U2466" s="88" t="n"/>
      <c r="V2466" s="89" t="n"/>
      <c r="W2466" s="88" t="n"/>
      <c r="X2466" s="89" t="n"/>
      <c r="Y2466" s="88" t="n"/>
      <c r="Z2466" s="89" t="n"/>
      <c r="AB2466" s="25">
        <f>IF($B2466="","",(COUNTIF(C2466:E2466,"?*")&lt;N(INDEX(Setup!$L$6:$L$23,9)))+(COUNTIF(G2466:I2466,"?*")&lt;N(INDEX(Setup!$L$6:$L$23,9)))+(COUNTIF(K2466:M2466,"?*")&lt;N(INDEX(Setup!$L$6:$L$23,9)))+(COUNTIF(O2466:Q2466,"?*")&lt;N(INDEX(Setup!$L$6:$L$23,9)))+(COUNTIF(S2466:U2466,"?*")&lt;N(INDEX(Setup!$L$6:$L$23,9)))+((W2466="")*(INDEX(Setup!$M$6:$M$23,9)="Y"))+((Y2466="")*(INDEX(Setup!$M$6:$M$23,9)="Y")))</f>
        <v/>
      </c>
      <c r="AC2466" s="90">
        <f>IF($B2466="","",IF(AB2466=0,"✓ covered","⚠ "&amp;AB2466&amp;IF(AB2466=1," gap"," gaps")))</f>
        <v/>
      </c>
    </row>
    <row r="2467" ht="17" customHeight="1">
      <c r="A2467" t="n">
        <v>50</v>
      </c>
      <c r="B2467" s="29">
        <f>IF(Setup!$K$15="","",Setup!$K$15)</f>
        <v/>
      </c>
      <c r="C2467" s="88" t="n"/>
      <c r="D2467" s="88" t="n"/>
      <c r="E2467" s="88" t="n"/>
      <c r="F2467" s="89" t="n"/>
      <c r="G2467" s="88" t="n"/>
      <c r="H2467" s="88" t="n"/>
      <c r="I2467" s="88" t="n"/>
      <c r="J2467" s="89" t="n"/>
      <c r="K2467" s="88" t="n"/>
      <c r="L2467" s="88" t="n"/>
      <c r="M2467" s="88" t="n"/>
      <c r="N2467" s="89" t="n"/>
      <c r="O2467" s="88" t="n"/>
      <c r="P2467" s="88" t="n"/>
      <c r="Q2467" s="88" t="n"/>
      <c r="R2467" s="89" t="n"/>
      <c r="S2467" s="88" t="n"/>
      <c r="T2467" s="88" t="n"/>
      <c r="U2467" s="88" t="n"/>
      <c r="V2467" s="89" t="n"/>
      <c r="W2467" s="88" t="n"/>
      <c r="X2467" s="89" t="n"/>
      <c r="Y2467" s="88" t="n"/>
      <c r="Z2467" s="89" t="n"/>
      <c r="AB2467" s="30">
        <f>IF($B2467="","",(COUNTIF(C2467:E2467,"?*")&lt;N(INDEX(Setup!$L$6:$L$23,10)))+(COUNTIF(G2467:I2467,"?*")&lt;N(INDEX(Setup!$L$6:$L$23,10)))+(COUNTIF(K2467:M2467,"?*")&lt;N(INDEX(Setup!$L$6:$L$23,10)))+(COUNTIF(O2467:Q2467,"?*")&lt;N(INDEX(Setup!$L$6:$L$23,10)))+(COUNTIF(S2467:U2467,"?*")&lt;N(INDEX(Setup!$L$6:$L$23,10)))+((W2467="")*(INDEX(Setup!$M$6:$M$23,10)="Y"))+((Y2467="")*(INDEX(Setup!$M$6:$M$23,10)="Y")))</f>
        <v/>
      </c>
      <c r="AC2467" s="91">
        <f>IF($B2467="","",IF(AB2467=0,"✓ covered","⚠ "&amp;AB2467&amp;IF(AB2467=1," gap"," gaps")))</f>
        <v/>
      </c>
    </row>
    <row r="2468" ht="17" customHeight="1">
      <c r="A2468" t="n">
        <v>50</v>
      </c>
      <c r="B2468" s="24">
        <f>IF(Setup!$K$16="","",Setup!$K$16)</f>
        <v/>
      </c>
      <c r="C2468" s="88" t="n"/>
      <c r="D2468" s="88" t="n"/>
      <c r="E2468" s="88" t="n"/>
      <c r="F2468" s="89" t="n"/>
      <c r="G2468" s="88" t="n"/>
      <c r="H2468" s="88" t="n"/>
      <c r="I2468" s="88" t="n"/>
      <c r="J2468" s="89" t="n"/>
      <c r="K2468" s="88" t="n"/>
      <c r="L2468" s="88" t="n"/>
      <c r="M2468" s="88" t="n"/>
      <c r="N2468" s="89" t="n"/>
      <c r="O2468" s="88" t="n"/>
      <c r="P2468" s="88" t="n"/>
      <c r="Q2468" s="88" t="n"/>
      <c r="R2468" s="89" t="n"/>
      <c r="S2468" s="88" t="n"/>
      <c r="T2468" s="88" t="n"/>
      <c r="U2468" s="88" t="n"/>
      <c r="V2468" s="89" t="n"/>
      <c r="W2468" s="88" t="n"/>
      <c r="X2468" s="89" t="n"/>
      <c r="Y2468" s="88" t="n"/>
      <c r="Z2468" s="89" t="n"/>
      <c r="AB2468" s="25">
        <f>IF($B2468="","",(COUNTIF(C2468:E2468,"?*")&lt;N(INDEX(Setup!$L$6:$L$23,11)))+(COUNTIF(G2468:I2468,"?*")&lt;N(INDEX(Setup!$L$6:$L$23,11)))+(COUNTIF(K2468:M2468,"?*")&lt;N(INDEX(Setup!$L$6:$L$23,11)))+(COUNTIF(O2468:Q2468,"?*")&lt;N(INDEX(Setup!$L$6:$L$23,11)))+(COUNTIF(S2468:U2468,"?*")&lt;N(INDEX(Setup!$L$6:$L$23,11)))+((W2468="")*(INDEX(Setup!$M$6:$M$23,11)="Y"))+((Y2468="")*(INDEX(Setup!$M$6:$M$23,11)="Y")))</f>
        <v/>
      </c>
      <c r="AC2468" s="90">
        <f>IF($B2468="","",IF(AB2468=0,"✓ covered","⚠ "&amp;AB2468&amp;IF(AB2468=1," gap"," gaps")))</f>
        <v/>
      </c>
    </row>
    <row r="2469" ht="17" customHeight="1">
      <c r="A2469" t="n">
        <v>50</v>
      </c>
      <c r="B2469" s="29">
        <f>IF(Setup!$K$17="","",Setup!$K$17)</f>
        <v/>
      </c>
      <c r="C2469" s="88" t="n"/>
      <c r="D2469" s="88" t="n"/>
      <c r="E2469" s="88" t="n"/>
      <c r="F2469" s="89" t="n"/>
      <c r="G2469" s="88" t="n"/>
      <c r="H2469" s="88" t="n"/>
      <c r="I2469" s="88" t="n"/>
      <c r="J2469" s="89" t="n"/>
      <c r="K2469" s="88" t="n"/>
      <c r="L2469" s="88" t="n"/>
      <c r="M2469" s="88" t="n"/>
      <c r="N2469" s="89" t="n"/>
      <c r="O2469" s="88" t="n"/>
      <c r="P2469" s="88" t="n"/>
      <c r="Q2469" s="88" t="n"/>
      <c r="R2469" s="89" t="n"/>
      <c r="S2469" s="88" t="n"/>
      <c r="T2469" s="88" t="n"/>
      <c r="U2469" s="88" t="n"/>
      <c r="V2469" s="89" t="n"/>
      <c r="W2469" s="88" t="n"/>
      <c r="X2469" s="89" t="n"/>
      <c r="Y2469" s="88" t="n"/>
      <c r="Z2469" s="89" t="n"/>
      <c r="AB2469" s="30">
        <f>IF($B2469="","",(COUNTIF(C2469:E2469,"?*")&lt;N(INDEX(Setup!$L$6:$L$23,12)))+(COUNTIF(G2469:I2469,"?*")&lt;N(INDEX(Setup!$L$6:$L$23,12)))+(COUNTIF(K2469:M2469,"?*")&lt;N(INDEX(Setup!$L$6:$L$23,12)))+(COUNTIF(O2469:Q2469,"?*")&lt;N(INDEX(Setup!$L$6:$L$23,12)))+(COUNTIF(S2469:U2469,"?*")&lt;N(INDEX(Setup!$L$6:$L$23,12)))+((W2469="")*(INDEX(Setup!$M$6:$M$23,12)="Y"))+((Y2469="")*(INDEX(Setup!$M$6:$M$23,12)="Y")))</f>
        <v/>
      </c>
      <c r="AC2469" s="91">
        <f>IF($B2469="","",IF(AB2469=0,"✓ covered","⚠ "&amp;AB2469&amp;IF(AB2469=1," gap"," gaps")))</f>
        <v/>
      </c>
    </row>
    <row r="2470" ht="17" customHeight="1">
      <c r="A2470" t="n">
        <v>50</v>
      </c>
      <c r="B2470" s="24">
        <f>IF(Setup!$K$18="","",Setup!$K$18)</f>
        <v/>
      </c>
      <c r="C2470" s="88" t="n"/>
      <c r="D2470" s="88" t="n"/>
      <c r="E2470" s="88" t="n"/>
      <c r="F2470" s="89" t="n"/>
      <c r="G2470" s="88" t="n"/>
      <c r="H2470" s="88" t="n"/>
      <c r="I2470" s="88" t="n"/>
      <c r="J2470" s="89" t="n"/>
      <c r="K2470" s="88" t="n"/>
      <c r="L2470" s="88" t="n"/>
      <c r="M2470" s="88" t="n"/>
      <c r="N2470" s="89" t="n"/>
      <c r="O2470" s="88" t="n"/>
      <c r="P2470" s="88" t="n"/>
      <c r="Q2470" s="88" t="n"/>
      <c r="R2470" s="89" t="n"/>
      <c r="S2470" s="88" t="n"/>
      <c r="T2470" s="88" t="n"/>
      <c r="U2470" s="88" t="n"/>
      <c r="V2470" s="89" t="n"/>
      <c r="W2470" s="88" t="n"/>
      <c r="X2470" s="89" t="n"/>
      <c r="Y2470" s="88" t="n"/>
      <c r="Z2470" s="89" t="n"/>
      <c r="AB2470" s="25">
        <f>IF($B2470="","",(COUNTIF(C2470:E2470,"?*")&lt;N(INDEX(Setup!$L$6:$L$23,13)))+(COUNTIF(G2470:I2470,"?*")&lt;N(INDEX(Setup!$L$6:$L$23,13)))+(COUNTIF(K2470:M2470,"?*")&lt;N(INDEX(Setup!$L$6:$L$23,13)))+(COUNTIF(O2470:Q2470,"?*")&lt;N(INDEX(Setup!$L$6:$L$23,13)))+(COUNTIF(S2470:U2470,"?*")&lt;N(INDEX(Setup!$L$6:$L$23,13)))+((W2470="")*(INDEX(Setup!$M$6:$M$23,13)="Y"))+((Y2470="")*(INDEX(Setup!$M$6:$M$23,13)="Y")))</f>
        <v/>
      </c>
      <c r="AC2470" s="90">
        <f>IF($B2470="","",IF(AB2470=0,"✓ covered","⚠ "&amp;AB2470&amp;IF(AB2470=1," gap"," gaps")))</f>
        <v/>
      </c>
    </row>
    <row r="2471" ht="17" customHeight="1">
      <c r="A2471" t="n">
        <v>50</v>
      </c>
      <c r="B2471" s="29">
        <f>IF(Setup!$K$19="","",Setup!$K$19)</f>
        <v/>
      </c>
      <c r="C2471" s="88" t="n"/>
      <c r="D2471" s="88" t="n"/>
      <c r="E2471" s="88" t="n"/>
      <c r="F2471" s="89" t="n"/>
      <c r="G2471" s="88" t="n"/>
      <c r="H2471" s="88" t="n"/>
      <c r="I2471" s="88" t="n"/>
      <c r="J2471" s="89" t="n"/>
      <c r="K2471" s="88" t="n"/>
      <c r="L2471" s="88" t="n"/>
      <c r="M2471" s="88" t="n"/>
      <c r="N2471" s="89" t="n"/>
      <c r="O2471" s="88" t="n"/>
      <c r="P2471" s="88" t="n"/>
      <c r="Q2471" s="88" t="n"/>
      <c r="R2471" s="89" t="n"/>
      <c r="S2471" s="88" t="n"/>
      <c r="T2471" s="88" t="n"/>
      <c r="U2471" s="88" t="n"/>
      <c r="V2471" s="89" t="n"/>
      <c r="W2471" s="88" t="n"/>
      <c r="X2471" s="89" t="n"/>
      <c r="Y2471" s="88" t="n"/>
      <c r="Z2471" s="89" t="n"/>
      <c r="AB2471" s="30">
        <f>IF($B2471="","",(COUNTIF(C2471:E2471,"?*")&lt;N(INDEX(Setup!$L$6:$L$23,14)))+(COUNTIF(G2471:I2471,"?*")&lt;N(INDEX(Setup!$L$6:$L$23,14)))+(COUNTIF(K2471:M2471,"?*")&lt;N(INDEX(Setup!$L$6:$L$23,14)))+(COUNTIF(O2471:Q2471,"?*")&lt;N(INDEX(Setup!$L$6:$L$23,14)))+(COUNTIF(S2471:U2471,"?*")&lt;N(INDEX(Setup!$L$6:$L$23,14)))+((W2471="")*(INDEX(Setup!$M$6:$M$23,14)="Y"))+((Y2471="")*(INDEX(Setup!$M$6:$M$23,14)="Y")))</f>
        <v/>
      </c>
      <c r="AC2471" s="91">
        <f>IF($B2471="","",IF(AB2471=0,"✓ covered","⚠ "&amp;AB2471&amp;IF(AB2471=1," gap"," gaps")))</f>
        <v/>
      </c>
    </row>
    <row r="2472" ht="17" customHeight="1">
      <c r="A2472" t="n">
        <v>50</v>
      </c>
      <c r="B2472" s="24">
        <f>IF(Setup!$K$20="","",Setup!$K$20)</f>
        <v/>
      </c>
      <c r="C2472" s="88" t="n"/>
      <c r="D2472" s="88" t="n"/>
      <c r="E2472" s="88" t="n"/>
      <c r="F2472" s="89" t="n"/>
      <c r="G2472" s="88" t="n"/>
      <c r="H2472" s="88" t="n"/>
      <c r="I2472" s="88" t="n"/>
      <c r="J2472" s="89" t="n"/>
      <c r="K2472" s="88" t="n"/>
      <c r="L2472" s="88" t="n"/>
      <c r="M2472" s="88" t="n"/>
      <c r="N2472" s="89" t="n"/>
      <c r="O2472" s="88" t="n"/>
      <c r="P2472" s="88" t="n"/>
      <c r="Q2472" s="88" t="n"/>
      <c r="R2472" s="89" t="n"/>
      <c r="S2472" s="88" t="n"/>
      <c r="T2472" s="88" t="n"/>
      <c r="U2472" s="88" t="n"/>
      <c r="V2472" s="89" t="n"/>
      <c r="W2472" s="88" t="n"/>
      <c r="X2472" s="89" t="n"/>
      <c r="Y2472" s="88" t="n"/>
      <c r="Z2472" s="89" t="n"/>
      <c r="AB2472" s="25">
        <f>IF($B2472="","",(COUNTIF(C2472:E2472,"?*")&lt;N(INDEX(Setup!$L$6:$L$23,15)))+(COUNTIF(G2472:I2472,"?*")&lt;N(INDEX(Setup!$L$6:$L$23,15)))+(COUNTIF(K2472:M2472,"?*")&lt;N(INDEX(Setup!$L$6:$L$23,15)))+(COUNTIF(O2472:Q2472,"?*")&lt;N(INDEX(Setup!$L$6:$L$23,15)))+(COUNTIF(S2472:U2472,"?*")&lt;N(INDEX(Setup!$L$6:$L$23,15)))+((W2472="")*(INDEX(Setup!$M$6:$M$23,15)="Y"))+((Y2472="")*(INDEX(Setup!$M$6:$M$23,15)="Y")))</f>
        <v/>
      </c>
      <c r="AC2472" s="90">
        <f>IF($B2472="","",IF(AB2472=0,"✓ covered","⚠ "&amp;AB2472&amp;IF(AB2472=1," gap"," gaps")))</f>
        <v/>
      </c>
    </row>
    <row r="2473" ht="17" customHeight="1">
      <c r="A2473" t="n">
        <v>50</v>
      </c>
      <c r="B2473" s="29">
        <f>IF(Setup!$K$21="","",Setup!$K$21)</f>
        <v/>
      </c>
      <c r="C2473" s="88" t="n"/>
      <c r="D2473" s="88" t="n"/>
      <c r="E2473" s="88" t="n"/>
      <c r="F2473" s="89" t="n"/>
      <c r="G2473" s="88" t="n"/>
      <c r="H2473" s="88" t="n"/>
      <c r="I2473" s="88" t="n"/>
      <c r="J2473" s="89" t="n"/>
      <c r="K2473" s="88" t="n"/>
      <c r="L2473" s="88" t="n"/>
      <c r="M2473" s="88" t="n"/>
      <c r="N2473" s="89" t="n"/>
      <c r="O2473" s="88" t="n"/>
      <c r="P2473" s="88" t="n"/>
      <c r="Q2473" s="88" t="n"/>
      <c r="R2473" s="89" t="n"/>
      <c r="S2473" s="88" t="n"/>
      <c r="T2473" s="88" t="n"/>
      <c r="U2473" s="88" t="n"/>
      <c r="V2473" s="89" t="n"/>
      <c r="W2473" s="88" t="n"/>
      <c r="X2473" s="89" t="n"/>
      <c r="Y2473" s="88" t="n"/>
      <c r="Z2473" s="89" t="n"/>
      <c r="AB2473" s="30">
        <f>IF($B2473="","",(COUNTIF(C2473:E2473,"?*")&lt;N(INDEX(Setup!$L$6:$L$23,16)))+(COUNTIF(G2473:I2473,"?*")&lt;N(INDEX(Setup!$L$6:$L$23,16)))+(COUNTIF(K2473:M2473,"?*")&lt;N(INDEX(Setup!$L$6:$L$23,16)))+(COUNTIF(O2473:Q2473,"?*")&lt;N(INDEX(Setup!$L$6:$L$23,16)))+(COUNTIF(S2473:U2473,"?*")&lt;N(INDEX(Setup!$L$6:$L$23,16)))+((W2473="")*(INDEX(Setup!$M$6:$M$23,16)="Y"))+((Y2473="")*(INDEX(Setup!$M$6:$M$23,16)="Y")))</f>
        <v/>
      </c>
      <c r="AC2473" s="91">
        <f>IF($B2473="","",IF(AB2473=0,"✓ covered","⚠ "&amp;AB2473&amp;IF(AB2473=1," gap"," gaps")))</f>
        <v/>
      </c>
    </row>
    <row r="2474" ht="17" customHeight="1">
      <c r="A2474" t="n">
        <v>50</v>
      </c>
      <c r="B2474" s="24">
        <f>IF(Setup!$K$22="","",Setup!$K$22)</f>
        <v/>
      </c>
      <c r="C2474" s="88" t="n"/>
      <c r="D2474" s="88" t="n"/>
      <c r="E2474" s="88" t="n"/>
      <c r="F2474" s="89" t="n"/>
      <c r="G2474" s="88" t="n"/>
      <c r="H2474" s="88" t="n"/>
      <c r="I2474" s="88" t="n"/>
      <c r="J2474" s="89" t="n"/>
      <c r="K2474" s="88" t="n"/>
      <c r="L2474" s="88" t="n"/>
      <c r="M2474" s="88" t="n"/>
      <c r="N2474" s="89" t="n"/>
      <c r="O2474" s="88" t="n"/>
      <c r="P2474" s="88" t="n"/>
      <c r="Q2474" s="88" t="n"/>
      <c r="R2474" s="89" t="n"/>
      <c r="S2474" s="88" t="n"/>
      <c r="T2474" s="88" t="n"/>
      <c r="U2474" s="88" t="n"/>
      <c r="V2474" s="89" t="n"/>
      <c r="W2474" s="88" t="n"/>
      <c r="X2474" s="89" t="n"/>
      <c r="Y2474" s="88" t="n"/>
      <c r="Z2474" s="89" t="n"/>
      <c r="AB2474" s="25">
        <f>IF($B2474="","",(COUNTIF(C2474:E2474,"?*")&lt;N(INDEX(Setup!$L$6:$L$23,17)))+(COUNTIF(G2474:I2474,"?*")&lt;N(INDEX(Setup!$L$6:$L$23,17)))+(COUNTIF(K2474:M2474,"?*")&lt;N(INDEX(Setup!$L$6:$L$23,17)))+(COUNTIF(O2474:Q2474,"?*")&lt;N(INDEX(Setup!$L$6:$L$23,17)))+(COUNTIF(S2474:U2474,"?*")&lt;N(INDEX(Setup!$L$6:$L$23,17)))+((W2474="")*(INDEX(Setup!$M$6:$M$23,17)="Y"))+((Y2474="")*(INDEX(Setup!$M$6:$M$23,17)="Y")))</f>
        <v/>
      </c>
      <c r="AC2474" s="90">
        <f>IF($B2474="","",IF(AB2474=0,"✓ covered","⚠ "&amp;AB2474&amp;IF(AB2474=1," gap"," gaps")))</f>
        <v/>
      </c>
    </row>
    <row r="2475" ht="17" customHeight="1">
      <c r="A2475" t="n">
        <v>50</v>
      </c>
      <c r="B2475" s="29">
        <f>IF(Setup!$K$23="","",Setup!$K$23)</f>
        <v/>
      </c>
      <c r="C2475" s="88" t="n"/>
      <c r="D2475" s="88" t="n"/>
      <c r="E2475" s="88" t="n"/>
      <c r="F2475" s="89" t="n"/>
      <c r="G2475" s="88" t="n"/>
      <c r="H2475" s="88" t="n"/>
      <c r="I2475" s="88" t="n"/>
      <c r="J2475" s="89" t="n"/>
      <c r="K2475" s="88" t="n"/>
      <c r="L2475" s="88" t="n"/>
      <c r="M2475" s="88" t="n"/>
      <c r="N2475" s="89" t="n"/>
      <c r="O2475" s="88" t="n"/>
      <c r="P2475" s="88" t="n"/>
      <c r="Q2475" s="88" t="n"/>
      <c r="R2475" s="89" t="n"/>
      <c r="S2475" s="88" t="n"/>
      <c r="T2475" s="88" t="n"/>
      <c r="U2475" s="88" t="n"/>
      <c r="V2475" s="89" t="n"/>
      <c r="W2475" s="88" t="n"/>
      <c r="X2475" s="89" t="n"/>
      <c r="Y2475" s="88" t="n"/>
      <c r="Z2475" s="89" t="n"/>
      <c r="AB2475" s="30">
        <f>IF($B2475="","",(COUNTIF(C2475:E2475,"?*")&lt;N(INDEX(Setup!$L$6:$L$23,18)))+(COUNTIF(G2475:I2475,"?*")&lt;N(INDEX(Setup!$L$6:$L$23,18)))+(COUNTIF(K2475:M2475,"?*")&lt;N(INDEX(Setup!$L$6:$L$23,18)))+(COUNTIF(O2475:Q2475,"?*")&lt;N(INDEX(Setup!$L$6:$L$23,18)))+(COUNTIF(S2475:U2475,"?*")&lt;N(INDEX(Setup!$L$6:$L$23,18)))+((W2475="")*(INDEX(Setup!$M$6:$M$23,18)="Y"))+((Y2475="")*(INDEX(Setup!$M$6:$M$23,18)="Y")))</f>
        <v/>
      </c>
      <c r="AC2475" s="91">
        <f>IF($B2475="","",IF(AB2475=0,"✓ covered","⚠ "&amp;AB2475&amp;IF(AB2475=1," gap"," gaps")))</f>
        <v/>
      </c>
    </row>
    <row r="2476" ht="18" customHeight="1">
      <c r="A2476" t="n">
        <v>50</v>
      </c>
      <c r="B2476" s="78" t="inlineStr">
        <is>
          <t>TEAM AVAILABILITY</t>
        </is>
      </c>
      <c r="C2476" s="92" t="inlineStr">
        <is>
          <t>Mon</t>
        </is>
      </c>
      <c r="D2476" s="93" t="n"/>
      <c r="E2476" s="93" t="n"/>
      <c r="F2476" s="94" t="n"/>
      <c r="G2476" s="92" t="inlineStr">
        <is>
          <t>Tue</t>
        </is>
      </c>
      <c r="H2476" s="93" t="n"/>
      <c r="I2476" s="93" t="n"/>
      <c r="J2476" s="94" t="n"/>
      <c r="K2476" s="92" t="inlineStr">
        <is>
          <t>Wed</t>
        </is>
      </c>
      <c r="L2476" s="93" t="n"/>
      <c r="M2476" s="93" t="n"/>
      <c r="N2476" s="94" t="n"/>
      <c r="O2476" s="92" t="inlineStr">
        <is>
          <t>Thu</t>
        </is>
      </c>
      <c r="P2476" s="93" t="n"/>
      <c r="Q2476" s="93" t="n"/>
      <c r="R2476" s="94" t="n"/>
      <c r="S2476" s="92" t="inlineStr">
        <is>
          <t>Fri</t>
        </is>
      </c>
      <c r="T2476" s="93" t="n"/>
      <c r="U2476" s="93" t="n"/>
      <c r="V2476" s="94" t="n"/>
      <c r="W2476" s="95" t="inlineStr">
        <is>
          <t>Sat</t>
        </is>
      </c>
      <c r="X2476" s="96" t="n"/>
      <c r="Y2476" s="95" t="inlineStr">
        <is>
          <t>Sun</t>
        </is>
      </c>
      <c r="Z2476" s="96" t="n"/>
      <c r="AB2476" s="97" t="inlineStr">
        <is>
          <t>Days rostered</t>
        </is>
      </c>
      <c r="AC2476" s="97" t="inlineStr">
        <is>
          <t>Conflicts</t>
        </is>
      </c>
    </row>
    <row r="2477" ht="15" customHeight="1">
      <c r="A2477" t="n">
        <v>50</v>
      </c>
      <c r="B2477" s="35">
        <f>IF(Setup!$B$6="","",Setup!$B$6)</f>
        <v/>
      </c>
      <c r="C2477" s="98" t="n"/>
      <c r="D2477" s="99" t="n"/>
      <c r="E2477" s="99" t="n"/>
      <c r="F2477" s="100" t="n"/>
      <c r="G2477" s="98" t="n"/>
      <c r="H2477" s="99" t="n"/>
      <c r="I2477" s="99" t="n"/>
      <c r="J2477" s="100" t="n"/>
      <c r="K2477" s="98" t="n"/>
      <c r="L2477" s="99" t="n"/>
      <c r="M2477" s="99" t="n"/>
      <c r="N2477" s="100" t="n"/>
      <c r="O2477" s="98" t="n"/>
      <c r="P2477" s="99" t="n"/>
      <c r="Q2477" s="99" t="n"/>
      <c r="R2477" s="100" t="n"/>
      <c r="S2477" s="98" t="n"/>
      <c r="T2477" s="99" t="n"/>
      <c r="U2477" s="99" t="n"/>
      <c r="V2477" s="100" t="n"/>
      <c r="W2477" s="98" t="n"/>
      <c r="X2477" s="100" t="n"/>
      <c r="Y2477" s="98" t="n"/>
      <c r="Z2477" s="100" t="n"/>
      <c r="AB2477" s="101">
        <f>IF($B2477="","",(COUNTIF(C2458:E2475,$B2477)+COUNTIF(C2458:E2475,$B2477&amp;" ~*")&gt;0)+(COUNTIF(G2458:I2475,$B2477)+COUNTIF(G2458:I2475,$B2477&amp;" ~*")&gt;0)+(COUNTIF(K2458:M2475,$B2477)+COUNTIF(K2458:M2475,$B2477&amp;" ~*")&gt;0)+(COUNTIF(O2458:Q2475,$B2477)+COUNTIF(O2458:Q2475,$B2477&amp;" ~*")&gt;0)+(COUNTIF(S2458:U2475,$B2477)+COUNTIF(S2458:U2475,$B2477&amp;" ~*")&gt;0)+(COUNTIF(W2458:W2475,$B2477)+COUNTIF(W2458:W2475,$B2477&amp;" ~*")&gt;0)+(COUNTIF(Y2458:Y2475,$B2477)+COUNTIF(Y2458:Y2475,$B2477&amp;" ~*")&gt;0))</f>
        <v/>
      </c>
      <c r="AC2477" s="36">
        <f>IF($B2477="","",(IFERROR(INDEX(Setup!$G$33:$G$40,MATCH(C2477,Setup!$B$33:$B$40,0)),0)=1)*(COUNTIF(C2458:E2475,$B2477)+COUNTIF(C2458:E2475,$B2477&amp;" ~*")&gt;0)+(IFERROR(INDEX(Setup!$G$33:$G$40,MATCH(G2477,Setup!$B$33:$B$40,0)),0)=1)*(COUNTIF(G2458:I2475,$B2477)+COUNTIF(G2458:I2475,$B2477&amp;" ~*")&gt;0)+(IFERROR(INDEX(Setup!$G$33:$G$40,MATCH(K2477,Setup!$B$33:$B$40,0)),0)=1)*(COUNTIF(K2458:M2475,$B2477)+COUNTIF(K2458:M2475,$B2477&amp;" ~*")&gt;0)+(IFERROR(INDEX(Setup!$G$33:$G$40,MATCH(O2477,Setup!$B$33:$B$40,0)),0)=1)*(COUNTIF(O2458:Q2475,$B2477)+COUNTIF(O2458:Q2475,$B2477&amp;" ~*")&gt;0)+(IFERROR(INDEX(Setup!$G$33:$G$40,MATCH(S2477,Setup!$B$33:$B$40,0)),0)=1)*(COUNTIF(S2458:U2475,$B2477)+COUNTIF(S2458:U2475,$B2477&amp;" ~*")&gt;0)+(IFERROR(INDEX(Setup!$G$33:$G$40,MATCH(W2477,Setup!$B$33:$B$40,0)),0)=1)*(COUNTIF(W2458:W2475,$B2477)+COUNTIF(W2458:W2475,$B2477&amp;" ~*")&gt;0)+(IFERROR(INDEX(Setup!$G$33:$G$40,MATCH(Y2477,Setup!$B$33:$B$40,0)),0)=1)*(COUNTIF(Y2458:Y2475,$B2477)+COUNTIF(Y2458:Y2475,$B2477&amp;" ~*")&gt;0))</f>
        <v/>
      </c>
    </row>
    <row r="2478" ht="15" customHeight="1">
      <c r="A2478" t="n">
        <v>50</v>
      </c>
      <c r="B2478" s="37">
        <f>IF(Setup!$B$7="","",Setup!$B$7)</f>
        <v/>
      </c>
      <c r="C2478" s="102" t="n"/>
      <c r="D2478" s="103" t="n"/>
      <c r="E2478" s="103" t="n"/>
      <c r="F2478" s="104" t="n"/>
      <c r="G2478" s="102" t="n"/>
      <c r="H2478" s="103" t="n"/>
      <c r="I2478" s="103" t="n"/>
      <c r="J2478" s="104" t="n"/>
      <c r="K2478" s="102" t="n"/>
      <c r="L2478" s="103" t="n"/>
      <c r="M2478" s="103" t="n"/>
      <c r="N2478" s="104" t="n"/>
      <c r="O2478" s="102" t="n"/>
      <c r="P2478" s="103" t="n"/>
      <c r="Q2478" s="103" t="n"/>
      <c r="R2478" s="104" t="n"/>
      <c r="S2478" s="102" t="n"/>
      <c r="T2478" s="103" t="n"/>
      <c r="U2478" s="103" t="n"/>
      <c r="V2478" s="104" t="n"/>
      <c r="W2478" s="102" t="n"/>
      <c r="X2478" s="104" t="n"/>
      <c r="Y2478" s="102" t="n"/>
      <c r="Z2478" s="104" t="n"/>
      <c r="AB2478" s="105">
        <f>IF($B2478="","",(COUNTIF(C2458:E2475,$B2478)+COUNTIF(C2458:E2475,$B2478&amp;" ~*")&gt;0)+(COUNTIF(G2458:I2475,$B2478)+COUNTIF(G2458:I2475,$B2478&amp;" ~*")&gt;0)+(COUNTIF(K2458:M2475,$B2478)+COUNTIF(K2458:M2475,$B2478&amp;" ~*")&gt;0)+(COUNTIF(O2458:Q2475,$B2478)+COUNTIF(O2458:Q2475,$B2478&amp;" ~*")&gt;0)+(COUNTIF(S2458:U2475,$B2478)+COUNTIF(S2458:U2475,$B2478&amp;" ~*")&gt;0)+(COUNTIF(W2458:W2475,$B2478)+COUNTIF(W2458:W2475,$B2478&amp;" ~*")&gt;0)+(COUNTIF(Y2458:Y2475,$B2478)+COUNTIF(Y2458:Y2475,$B2478&amp;" ~*")&gt;0))</f>
        <v/>
      </c>
      <c r="AC2478" s="38">
        <f>IF($B2478="","",(IFERROR(INDEX(Setup!$G$33:$G$40,MATCH(C2478,Setup!$B$33:$B$40,0)),0)=1)*(COUNTIF(C2458:E2475,$B2478)+COUNTIF(C2458:E2475,$B2478&amp;" ~*")&gt;0)+(IFERROR(INDEX(Setup!$G$33:$G$40,MATCH(G2478,Setup!$B$33:$B$40,0)),0)=1)*(COUNTIF(G2458:I2475,$B2478)+COUNTIF(G2458:I2475,$B2478&amp;" ~*")&gt;0)+(IFERROR(INDEX(Setup!$G$33:$G$40,MATCH(K2478,Setup!$B$33:$B$40,0)),0)=1)*(COUNTIF(K2458:M2475,$B2478)+COUNTIF(K2458:M2475,$B2478&amp;" ~*")&gt;0)+(IFERROR(INDEX(Setup!$G$33:$G$40,MATCH(O2478,Setup!$B$33:$B$40,0)),0)=1)*(COUNTIF(O2458:Q2475,$B2478)+COUNTIF(O2458:Q2475,$B2478&amp;" ~*")&gt;0)+(IFERROR(INDEX(Setup!$G$33:$G$40,MATCH(S2478,Setup!$B$33:$B$40,0)),0)=1)*(COUNTIF(S2458:U2475,$B2478)+COUNTIF(S2458:U2475,$B2478&amp;" ~*")&gt;0)+(IFERROR(INDEX(Setup!$G$33:$G$40,MATCH(W2478,Setup!$B$33:$B$40,0)),0)=1)*(COUNTIF(W2458:W2475,$B2478)+COUNTIF(W2458:W2475,$B2478&amp;" ~*")&gt;0)+(IFERROR(INDEX(Setup!$G$33:$G$40,MATCH(Y2478,Setup!$B$33:$B$40,0)),0)=1)*(COUNTIF(Y2458:Y2475,$B2478)+COUNTIF(Y2458:Y2475,$B2478&amp;" ~*")&gt;0))</f>
        <v/>
      </c>
    </row>
    <row r="2479" ht="15" customHeight="1">
      <c r="A2479" t="n">
        <v>50</v>
      </c>
      <c r="B2479" s="35">
        <f>IF(Setup!$B$8="","",Setup!$B$8)</f>
        <v/>
      </c>
      <c r="C2479" s="98" t="n"/>
      <c r="D2479" s="99" t="n"/>
      <c r="E2479" s="99" t="n"/>
      <c r="F2479" s="100" t="n"/>
      <c r="G2479" s="98" t="n"/>
      <c r="H2479" s="99" t="n"/>
      <c r="I2479" s="99" t="n"/>
      <c r="J2479" s="100" t="n"/>
      <c r="K2479" s="98" t="n"/>
      <c r="L2479" s="99" t="n"/>
      <c r="M2479" s="99" t="n"/>
      <c r="N2479" s="100" t="n"/>
      <c r="O2479" s="98" t="n"/>
      <c r="P2479" s="99" t="n"/>
      <c r="Q2479" s="99" t="n"/>
      <c r="R2479" s="100" t="n"/>
      <c r="S2479" s="98" t="n"/>
      <c r="T2479" s="99" t="n"/>
      <c r="U2479" s="99" t="n"/>
      <c r="V2479" s="100" t="n"/>
      <c r="W2479" s="98" t="n"/>
      <c r="X2479" s="100" t="n"/>
      <c r="Y2479" s="98" t="n"/>
      <c r="Z2479" s="100" t="n"/>
      <c r="AB2479" s="101">
        <f>IF($B2479="","",(COUNTIF(C2458:E2475,$B2479)+COUNTIF(C2458:E2475,$B2479&amp;" ~*")&gt;0)+(COUNTIF(G2458:I2475,$B2479)+COUNTIF(G2458:I2475,$B2479&amp;" ~*")&gt;0)+(COUNTIF(K2458:M2475,$B2479)+COUNTIF(K2458:M2475,$B2479&amp;" ~*")&gt;0)+(COUNTIF(O2458:Q2475,$B2479)+COUNTIF(O2458:Q2475,$B2479&amp;" ~*")&gt;0)+(COUNTIF(S2458:U2475,$B2479)+COUNTIF(S2458:U2475,$B2479&amp;" ~*")&gt;0)+(COUNTIF(W2458:W2475,$B2479)+COUNTIF(W2458:W2475,$B2479&amp;" ~*")&gt;0)+(COUNTIF(Y2458:Y2475,$B2479)+COUNTIF(Y2458:Y2475,$B2479&amp;" ~*")&gt;0))</f>
        <v/>
      </c>
      <c r="AC2479" s="36">
        <f>IF($B2479="","",(IFERROR(INDEX(Setup!$G$33:$G$40,MATCH(C2479,Setup!$B$33:$B$40,0)),0)=1)*(COUNTIF(C2458:E2475,$B2479)+COUNTIF(C2458:E2475,$B2479&amp;" ~*")&gt;0)+(IFERROR(INDEX(Setup!$G$33:$G$40,MATCH(G2479,Setup!$B$33:$B$40,0)),0)=1)*(COUNTIF(G2458:I2475,$B2479)+COUNTIF(G2458:I2475,$B2479&amp;" ~*")&gt;0)+(IFERROR(INDEX(Setup!$G$33:$G$40,MATCH(K2479,Setup!$B$33:$B$40,0)),0)=1)*(COUNTIF(K2458:M2475,$B2479)+COUNTIF(K2458:M2475,$B2479&amp;" ~*")&gt;0)+(IFERROR(INDEX(Setup!$G$33:$G$40,MATCH(O2479,Setup!$B$33:$B$40,0)),0)=1)*(COUNTIF(O2458:Q2475,$B2479)+COUNTIF(O2458:Q2475,$B2479&amp;" ~*")&gt;0)+(IFERROR(INDEX(Setup!$G$33:$G$40,MATCH(S2479,Setup!$B$33:$B$40,0)),0)=1)*(COUNTIF(S2458:U2475,$B2479)+COUNTIF(S2458:U2475,$B2479&amp;" ~*")&gt;0)+(IFERROR(INDEX(Setup!$G$33:$G$40,MATCH(W2479,Setup!$B$33:$B$40,0)),0)=1)*(COUNTIF(W2458:W2475,$B2479)+COUNTIF(W2458:W2475,$B2479&amp;" ~*")&gt;0)+(IFERROR(INDEX(Setup!$G$33:$G$40,MATCH(Y2479,Setup!$B$33:$B$40,0)),0)=1)*(COUNTIF(Y2458:Y2475,$B2479)+COUNTIF(Y2458:Y2475,$B2479&amp;" ~*")&gt;0))</f>
        <v/>
      </c>
    </row>
    <row r="2480" ht="15" customHeight="1">
      <c r="A2480" t="n">
        <v>50</v>
      </c>
      <c r="B2480" s="37">
        <f>IF(Setup!$B$9="","",Setup!$B$9)</f>
        <v/>
      </c>
      <c r="C2480" s="102" t="n"/>
      <c r="D2480" s="103" t="n"/>
      <c r="E2480" s="103" t="n"/>
      <c r="F2480" s="104" t="n"/>
      <c r="G2480" s="102" t="n"/>
      <c r="H2480" s="103" t="n"/>
      <c r="I2480" s="103" t="n"/>
      <c r="J2480" s="104" t="n"/>
      <c r="K2480" s="102" t="n"/>
      <c r="L2480" s="103" t="n"/>
      <c r="M2480" s="103" t="n"/>
      <c r="N2480" s="104" t="n"/>
      <c r="O2480" s="102" t="n"/>
      <c r="P2480" s="103" t="n"/>
      <c r="Q2480" s="103" t="n"/>
      <c r="R2480" s="104" t="n"/>
      <c r="S2480" s="102" t="n"/>
      <c r="T2480" s="103" t="n"/>
      <c r="U2480" s="103" t="n"/>
      <c r="V2480" s="104" t="n"/>
      <c r="W2480" s="102" t="n"/>
      <c r="X2480" s="104" t="n"/>
      <c r="Y2480" s="102" t="n"/>
      <c r="Z2480" s="104" t="n"/>
      <c r="AB2480" s="105">
        <f>IF($B2480="","",(COUNTIF(C2458:E2475,$B2480)+COUNTIF(C2458:E2475,$B2480&amp;" ~*")&gt;0)+(COUNTIF(G2458:I2475,$B2480)+COUNTIF(G2458:I2475,$B2480&amp;" ~*")&gt;0)+(COUNTIF(K2458:M2475,$B2480)+COUNTIF(K2458:M2475,$B2480&amp;" ~*")&gt;0)+(COUNTIF(O2458:Q2475,$B2480)+COUNTIF(O2458:Q2475,$B2480&amp;" ~*")&gt;0)+(COUNTIF(S2458:U2475,$B2480)+COUNTIF(S2458:U2475,$B2480&amp;" ~*")&gt;0)+(COUNTIF(W2458:W2475,$B2480)+COUNTIF(W2458:W2475,$B2480&amp;" ~*")&gt;0)+(COUNTIF(Y2458:Y2475,$B2480)+COUNTIF(Y2458:Y2475,$B2480&amp;" ~*")&gt;0))</f>
        <v/>
      </c>
      <c r="AC2480" s="38">
        <f>IF($B2480="","",(IFERROR(INDEX(Setup!$G$33:$G$40,MATCH(C2480,Setup!$B$33:$B$40,0)),0)=1)*(COUNTIF(C2458:E2475,$B2480)+COUNTIF(C2458:E2475,$B2480&amp;" ~*")&gt;0)+(IFERROR(INDEX(Setup!$G$33:$G$40,MATCH(G2480,Setup!$B$33:$B$40,0)),0)=1)*(COUNTIF(G2458:I2475,$B2480)+COUNTIF(G2458:I2475,$B2480&amp;" ~*")&gt;0)+(IFERROR(INDEX(Setup!$G$33:$G$40,MATCH(K2480,Setup!$B$33:$B$40,0)),0)=1)*(COUNTIF(K2458:M2475,$B2480)+COUNTIF(K2458:M2475,$B2480&amp;" ~*")&gt;0)+(IFERROR(INDEX(Setup!$G$33:$G$40,MATCH(O2480,Setup!$B$33:$B$40,0)),0)=1)*(COUNTIF(O2458:Q2475,$B2480)+COUNTIF(O2458:Q2475,$B2480&amp;" ~*")&gt;0)+(IFERROR(INDEX(Setup!$G$33:$G$40,MATCH(S2480,Setup!$B$33:$B$40,0)),0)=1)*(COUNTIF(S2458:U2475,$B2480)+COUNTIF(S2458:U2475,$B2480&amp;" ~*")&gt;0)+(IFERROR(INDEX(Setup!$G$33:$G$40,MATCH(W2480,Setup!$B$33:$B$40,0)),0)=1)*(COUNTIF(W2458:W2475,$B2480)+COUNTIF(W2458:W2475,$B2480&amp;" ~*")&gt;0)+(IFERROR(INDEX(Setup!$G$33:$G$40,MATCH(Y2480,Setup!$B$33:$B$40,0)),0)=1)*(COUNTIF(Y2458:Y2475,$B2480)+COUNTIF(Y2458:Y2475,$B2480&amp;" ~*")&gt;0))</f>
        <v/>
      </c>
    </row>
    <row r="2481" ht="15" customHeight="1">
      <c r="A2481" t="n">
        <v>50</v>
      </c>
      <c r="B2481" s="35">
        <f>IF(Setup!$B$10="","",Setup!$B$10)</f>
        <v/>
      </c>
      <c r="C2481" s="98" t="n"/>
      <c r="D2481" s="99" t="n"/>
      <c r="E2481" s="99" t="n"/>
      <c r="F2481" s="100" t="n"/>
      <c r="G2481" s="98" t="n"/>
      <c r="H2481" s="99" t="n"/>
      <c r="I2481" s="99" t="n"/>
      <c r="J2481" s="100" t="n"/>
      <c r="K2481" s="98" t="n"/>
      <c r="L2481" s="99" t="n"/>
      <c r="M2481" s="99" t="n"/>
      <c r="N2481" s="100" t="n"/>
      <c r="O2481" s="98" t="n"/>
      <c r="P2481" s="99" t="n"/>
      <c r="Q2481" s="99" t="n"/>
      <c r="R2481" s="100" t="n"/>
      <c r="S2481" s="98" t="n"/>
      <c r="T2481" s="99" t="n"/>
      <c r="U2481" s="99" t="n"/>
      <c r="V2481" s="100" t="n"/>
      <c r="W2481" s="98" t="n"/>
      <c r="X2481" s="100" t="n"/>
      <c r="Y2481" s="98" t="n"/>
      <c r="Z2481" s="100" t="n"/>
      <c r="AB2481" s="101">
        <f>IF($B2481="","",(COUNTIF(C2458:E2475,$B2481)+COUNTIF(C2458:E2475,$B2481&amp;" ~*")&gt;0)+(COUNTIF(G2458:I2475,$B2481)+COUNTIF(G2458:I2475,$B2481&amp;" ~*")&gt;0)+(COUNTIF(K2458:M2475,$B2481)+COUNTIF(K2458:M2475,$B2481&amp;" ~*")&gt;0)+(COUNTIF(O2458:Q2475,$B2481)+COUNTIF(O2458:Q2475,$B2481&amp;" ~*")&gt;0)+(COUNTIF(S2458:U2475,$B2481)+COUNTIF(S2458:U2475,$B2481&amp;" ~*")&gt;0)+(COUNTIF(W2458:W2475,$B2481)+COUNTIF(W2458:W2475,$B2481&amp;" ~*")&gt;0)+(COUNTIF(Y2458:Y2475,$B2481)+COUNTIF(Y2458:Y2475,$B2481&amp;" ~*")&gt;0))</f>
        <v/>
      </c>
      <c r="AC2481" s="36">
        <f>IF($B2481="","",(IFERROR(INDEX(Setup!$G$33:$G$40,MATCH(C2481,Setup!$B$33:$B$40,0)),0)=1)*(COUNTIF(C2458:E2475,$B2481)+COUNTIF(C2458:E2475,$B2481&amp;" ~*")&gt;0)+(IFERROR(INDEX(Setup!$G$33:$G$40,MATCH(G2481,Setup!$B$33:$B$40,0)),0)=1)*(COUNTIF(G2458:I2475,$B2481)+COUNTIF(G2458:I2475,$B2481&amp;" ~*")&gt;0)+(IFERROR(INDEX(Setup!$G$33:$G$40,MATCH(K2481,Setup!$B$33:$B$40,0)),0)=1)*(COUNTIF(K2458:M2475,$B2481)+COUNTIF(K2458:M2475,$B2481&amp;" ~*")&gt;0)+(IFERROR(INDEX(Setup!$G$33:$G$40,MATCH(O2481,Setup!$B$33:$B$40,0)),0)=1)*(COUNTIF(O2458:Q2475,$B2481)+COUNTIF(O2458:Q2475,$B2481&amp;" ~*")&gt;0)+(IFERROR(INDEX(Setup!$G$33:$G$40,MATCH(S2481,Setup!$B$33:$B$40,0)),0)=1)*(COUNTIF(S2458:U2475,$B2481)+COUNTIF(S2458:U2475,$B2481&amp;" ~*")&gt;0)+(IFERROR(INDEX(Setup!$G$33:$G$40,MATCH(W2481,Setup!$B$33:$B$40,0)),0)=1)*(COUNTIF(W2458:W2475,$B2481)+COUNTIF(W2458:W2475,$B2481&amp;" ~*")&gt;0)+(IFERROR(INDEX(Setup!$G$33:$G$40,MATCH(Y2481,Setup!$B$33:$B$40,0)),0)=1)*(COUNTIF(Y2458:Y2475,$B2481)+COUNTIF(Y2458:Y2475,$B2481&amp;" ~*")&gt;0))</f>
        <v/>
      </c>
    </row>
    <row r="2482" ht="15" customHeight="1">
      <c r="A2482" t="n">
        <v>50</v>
      </c>
      <c r="B2482" s="37">
        <f>IF(Setup!$B$11="","",Setup!$B$11)</f>
        <v/>
      </c>
      <c r="C2482" s="102" t="n"/>
      <c r="D2482" s="103" t="n"/>
      <c r="E2482" s="103" t="n"/>
      <c r="F2482" s="104" t="n"/>
      <c r="G2482" s="102" t="n"/>
      <c r="H2482" s="103" t="n"/>
      <c r="I2482" s="103" t="n"/>
      <c r="J2482" s="104" t="n"/>
      <c r="K2482" s="102" t="n"/>
      <c r="L2482" s="103" t="n"/>
      <c r="M2482" s="103" t="n"/>
      <c r="N2482" s="104" t="n"/>
      <c r="O2482" s="102" t="n"/>
      <c r="P2482" s="103" t="n"/>
      <c r="Q2482" s="103" t="n"/>
      <c r="R2482" s="104" t="n"/>
      <c r="S2482" s="102" t="n"/>
      <c r="T2482" s="103" t="n"/>
      <c r="U2482" s="103" t="n"/>
      <c r="V2482" s="104" t="n"/>
      <c r="W2482" s="102" t="n"/>
      <c r="X2482" s="104" t="n"/>
      <c r="Y2482" s="102" t="n"/>
      <c r="Z2482" s="104" t="n"/>
      <c r="AB2482" s="105">
        <f>IF($B2482="","",(COUNTIF(C2458:E2475,$B2482)+COUNTIF(C2458:E2475,$B2482&amp;" ~*")&gt;0)+(COUNTIF(G2458:I2475,$B2482)+COUNTIF(G2458:I2475,$B2482&amp;" ~*")&gt;0)+(COUNTIF(K2458:M2475,$B2482)+COUNTIF(K2458:M2475,$B2482&amp;" ~*")&gt;0)+(COUNTIF(O2458:Q2475,$B2482)+COUNTIF(O2458:Q2475,$B2482&amp;" ~*")&gt;0)+(COUNTIF(S2458:U2475,$B2482)+COUNTIF(S2458:U2475,$B2482&amp;" ~*")&gt;0)+(COUNTIF(W2458:W2475,$B2482)+COUNTIF(W2458:W2475,$B2482&amp;" ~*")&gt;0)+(COUNTIF(Y2458:Y2475,$B2482)+COUNTIF(Y2458:Y2475,$B2482&amp;" ~*")&gt;0))</f>
        <v/>
      </c>
      <c r="AC2482" s="38">
        <f>IF($B2482="","",(IFERROR(INDEX(Setup!$G$33:$G$40,MATCH(C2482,Setup!$B$33:$B$40,0)),0)=1)*(COUNTIF(C2458:E2475,$B2482)+COUNTIF(C2458:E2475,$B2482&amp;" ~*")&gt;0)+(IFERROR(INDEX(Setup!$G$33:$G$40,MATCH(G2482,Setup!$B$33:$B$40,0)),0)=1)*(COUNTIF(G2458:I2475,$B2482)+COUNTIF(G2458:I2475,$B2482&amp;" ~*")&gt;0)+(IFERROR(INDEX(Setup!$G$33:$G$40,MATCH(K2482,Setup!$B$33:$B$40,0)),0)=1)*(COUNTIF(K2458:M2475,$B2482)+COUNTIF(K2458:M2475,$B2482&amp;" ~*")&gt;0)+(IFERROR(INDEX(Setup!$G$33:$G$40,MATCH(O2482,Setup!$B$33:$B$40,0)),0)=1)*(COUNTIF(O2458:Q2475,$B2482)+COUNTIF(O2458:Q2475,$B2482&amp;" ~*")&gt;0)+(IFERROR(INDEX(Setup!$G$33:$G$40,MATCH(S2482,Setup!$B$33:$B$40,0)),0)=1)*(COUNTIF(S2458:U2475,$B2482)+COUNTIF(S2458:U2475,$B2482&amp;" ~*")&gt;0)+(IFERROR(INDEX(Setup!$G$33:$G$40,MATCH(W2482,Setup!$B$33:$B$40,0)),0)=1)*(COUNTIF(W2458:W2475,$B2482)+COUNTIF(W2458:W2475,$B2482&amp;" ~*")&gt;0)+(IFERROR(INDEX(Setup!$G$33:$G$40,MATCH(Y2482,Setup!$B$33:$B$40,0)),0)=1)*(COUNTIF(Y2458:Y2475,$B2482)+COUNTIF(Y2458:Y2475,$B2482&amp;" ~*")&gt;0))</f>
        <v/>
      </c>
    </row>
    <row r="2483" ht="15" customHeight="1">
      <c r="A2483" t="n">
        <v>50</v>
      </c>
      <c r="B2483" s="35">
        <f>IF(Setup!$B$12="","",Setup!$B$12)</f>
        <v/>
      </c>
      <c r="C2483" s="98" t="n"/>
      <c r="D2483" s="99" t="n"/>
      <c r="E2483" s="99" t="n"/>
      <c r="F2483" s="100" t="n"/>
      <c r="G2483" s="98" t="n"/>
      <c r="H2483" s="99" t="n"/>
      <c r="I2483" s="99" t="n"/>
      <c r="J2483" s="100" t="n"/>
      <c r="K2483" s="98" t="n"/>
      <c r="L2483" s="99" t="n"/>
      <c r="M2483" s="99" t="n"/>
      <c r="N2483" s="100" t="n"/>
      <c r="O2483" s="98" t="n"/>
      <c r="P2483" s="99" t="n"/>
      <c r="Q2483" s="99" t="n"/>
      <c r="R2483" s="100" t="n"/>
      <c r="S2483" s="98" t="n"/>
      <c r="T2483" s="99" t="n"/>
      <c r="U2483" s="99" t="n"/>
      <c r="V2483" s="100" t="n"/>
      <c r="W2483" s="98" t="n"/>
      <c r="X2483" s="100" t="n"/>
      <c r="Y2483" s="98" t="n"/>
      <c r="Z2483" s="100" t="n"/>
      <c r="AB2483" s="101">
        <f>IF($B2483="","",(COUNTIF(C2458:E2475,$B2483)+COUNTIF(C2458:E2475,$B2483&amp;" ~*")&gt;0)+(COUNTIF(G2458:I2475,$B2483)+COUNTIF(G2458:I2475,$B2483&amp;" ~*")&gt;0)+(COUNTIF(K2458:M2475,$B2483)+COUNTIF(K2458:M2475,$B2483&amp;" ~*")&gt;0)+(COUNTIF(O2458:Q2475,$B2483)+COUNTIF(O2458:Q2475,$B2483&amp;" ~*")&gt;0)+(COUNTIF(S2458:U2475,$B2483)+COUNTIF(S2458:U2475,$B2483&amp;" ~*")&gt;0)+(COUNTIF(W2458:W2475,$B2483)+COUNTIF(W2458:W2475,$B2483&amp;" ~*")&gt;0)+(COUNTIF(Y2458:Y2475,$B2483)+COUNTIF(Y2458:Y2475,$B2483&amp;" ~*")&gt;0))</f>
        <v/>
      </c>
      <c r="AC2483" s="36">
        <f>IF($B2483="","",(IFERROR(INDEX(Setup!$G$33:$G$40,MATCH(C2483,Setup!$B$33:$B$40,0)),0)=1)*(COUNTIF(C2458:E2475,$B2483)+COUNTIF(C2458:E2475,$B2483&amp;" ~*")&gt;0)+(IFERROR(INDEX(Setup!$G$33:$G$40,MATCH(G2483,Setup!$B$33:$B$40,0)),0)=1)*(COUNTIF(G2458:I2475,$B2483)+COUNTIF(G2458:I2475,$B2483&amp;" ~*")&gt;0)+(IFERROR(INDEX(Setup!$G$33:$G$40,MATCH(K2483,Setup!$B$33:$B$40,0)),0)=1)*(COUNTIF(K2458:M2475,$B2483)+COUNTIF(K2458:M2475,$B2483&amp;" ~*")&gt;0)+(IFERROR(INDEX(Setup!$G$33:$G$40,MATCH(O2483,Setup!$B$33:$B$40,0)),0)=1)*(COUNTIF(O2458:Q2475,$B2483)+COUNTIF(O2458:Q2475,$B2483&amp;" ~*")&gt;0)+(IFERROR(INDEX(Setup!$G$33:$G$40,MATCH(S2483,Setup!$B$33:$B$40,0)),0)=1)*(COUNTIF(S2458:U2475,$B2483)+COUNTIF(S2458:U2475,$B2483&amp;" ~*")&gt;0)+(IFERROR(INDEX(Setup!$G$33:$G$40,MATCH(W2483,Setup!$B$33:$B$40,0)),0)=1)*(COUNTIF(W2458:W2475,$B2483)+COUNTIF(W2458:W2475,$B2483&amp;" ~*")&gt;0)+(IFERROR(INDEX(Setup!$G$33:$G$40,MATCH(Y2483,Setup!$B$33:$B$40,0)),0)=1)*(COUNTIF(Y2458:Y2475,$B2483)+COUNTIF(Y2458:Y2475,$B2483&amp;" ~*")&gt;0))</f>
        <v/>
      </c>
    </row>
    <row r="2484" ht="15" customHeight="1">
      <c r="A2484" t="n">
        <v>50</v>
      </c>
      <c r="B2484" s="37">
        <f>IF(Setup!$B$13="","",Setup!$B$13)</f>
        <v/>
      </c>
      <c r="C2484" s="102" t="n"/>
      <c r="D2484" s="103" t="n"/>
      <c r="E2484" s="103" t="n"/>
      <c r="F2484" s="104" t="n"/>
      <c r="G2484" s="102" t="n"/>
      <c r="H2484" s="103" t="n"/>
      <c r="I2484" s="103" t="n"/>
      <c r="J2484" s="104" t="n"/>
      <c r="K2484" s="102" t="n"/>
      <c r="L2484" s="103" t="n"/>
      <c r="M2484" s="103" t="n"/>
      <c r="N2484" s="104" t="n"/>
      <c r="O2484" s="102" t="n"/>
      <c r="P2484" s="103" t="n"/>
      <c r="Q2484" s="103" t="n"/>
      <c r="R2484" s="104" t="n"/>
      <c r="S2484" s="102" t="n"/>
      <c r="T2484" s="103" t="n"/>
      <c r="U2484" s="103" t="n"/>
      <c r="V2484" s="104" t="n"/>
      <c r="W2484" s="102" t="n"/>
      <c r="X2484" s="104" t="n"/>
      <c r="Y2484" s="102" t="n"/>
      <c r="Z2484" s="104" t="n"/>
      <c r="AB2484" s="105">
        <f>IF($B2484="","",(COUNTIF(C2458:E2475,$B2484)+COUNTIF(C2458:E2475,$B2484&amp;" ~*")&gt;0)+(COUNTIF(G2458:I2475,$B2484)+COUNTIF(G2458:I2475,$B2484&amp;" ~*")&gt;0)+(COUNTIF(K2458:M2475,$B2484)+COUNTIF(K2458:M2475,$B2484&amp;" ~*")&gt;0)+(COUNTIF(O2458:Q2475,$B2484)+COUNTIF(O2458:Q2475,$B2484&amp;" ~*")&gt;0)+(COUNTIF(S2458:U2475,$B2484)+COUNTIF(S2458:U2475,$B2484&amp;" ~*")&gt;0)+(COUNTIF(W2458:W2475,$B2484)+COUNTIF(W2458:W2475,$B2484&amp;" ~*")&gt;0)+(COUNTIF(Y2458:Y2475,$B2484)+COUNTIF(Y2458:Y2475,$B2484&amp;" ~*")&gt;0))</f>
        <v/>
      </c>
      <c r="AC2484" s="38">
        <f>IF($B2484="","",(IFERROR(INDEX(Setup!$G$33:$G$40,MATCH(C2484,Setup!$B$33:$B$40,0)),0)=1)*(COUNTIF(C2458:E2475,$B2484)+COUNTIF(C2458:E2475,$B2484&amp;" ~*")&gt;0)+(IFERROR(INDEX(Setup!$G$33:$G$40,MATCH(G2484,Setup!$B$33:$B$40,0)),0)=1)*(COUNTIF(G2458:I2475,$B2484)+COUNTIF(G2458:I2475,$B2484&amp;" ~*")&gt;0)+(IFERROR(INDEX(Setup!$G$33:$G$40,MATCH(K2484,Setup!$B$33:$B$40,0)),0)=1)*(COUNTIF(K2458:M2475,$B2484)+COUNTIF(K2458:M2475,$B2484&amp;" ~*")&gt;0)+(IFERROR(INDEX(Setup!$G$33:$G$40,MATCH(O2484,Setup!$B$33:$B$40,0)),0)=1)*(COUNTIF(O2458:Q2475,$B2484)+COUNTIF(O2458:Q2475,$B2484&amp;" ~*")&gt;0)+(IFERROR(INDEX(Setup!$G$33:$G$40,MATCH(S2484,Setup!$B$33:$B$40,0)),0)=1)*(COUNTIF(S2458:U2475,$B2484)+COUNTIF(S2458:U2475,$B2484&amp;" ~*")&gt;0)+(IFERROR(INDEX(Setup!$G$33:$G$40,MATCH(W2484,Setup!$B$33:$B$40,0)),0)=1)*(COUNTIF(W2458:W2475,$B2484)+COUNTIF(W2458:W2475,$B2484&amp;" ~*")&gt;0)+(IFERROR(INDEX(Setup!$G$33:$G$40,MATCH(Y2484,Setup!$B$33:$B$40,0)),0)=1)*(COUNTIF(Y2458:Y2475,$B2484)+COUNTIF(Y2458:Y2475,$B2484&amp;" ~*")&gt;0))</f>
        <v/>
      </c>
    </row>
    <row r="2485" ht="15" customHeight="1">
      <c r="A2485" t="n">
        <v>50</v>
      </c>
      <c r="B2485" s="35">
        <f>IF(Setup!$B$14="","",Setup!$B$14)</f>
        <v/>
      </c>
      <c r="C2485" s="98" t="n"/>
      <c r="D2485" s="99" t="n"/>
      <c r="E2485" s="99" t="n"/>
      <c r="F2485" s="100" t="n"/>
      <c r="G2485" s="98" t="n"/>
      <c r="H2485" s="99" t="n"/>
      <c r="I2485" s="99" t="n"/>
      <c r="J2485" s="100" t="n"/>
      <c r="K2485" s="98" t="n"/>
      <c r="L2485" s="99" t="n"/>
      <c r="M2485" s="99" t="n"/>
      <c r="N2485" s="100" t="n"/>
      <c r="O2485" s="98" t="n"/>
      <c r="P2485" s="99" t="n"/>
      <c r="Q2485" s="99" t="n"/>
      <c r="R2485" s="100" t="n"/>
      <c r="S2485" s="98" t="n"/>
      <c r="T2485" s="99" t="n"/>
      <c r="U2485" s="99" t="n"/>
      <c r="V2485" s="100" t="n"/>
      <c r="W2485" s="98" t="n"/>
      <c r="X2485" s="100" t="n"/>
      <c r="Y2485" s="98" t="n"/>
      <c r="Z2485" s="100" t="n"/>
      <c r="AB2485" s="101">
        <f>IF($B2485="","",(COUNTIF(C2458:E2475,$B2485)+COUNTIF(C2458:E2475,$B2485&amp;" ~*")&gt;0)+(COUNTIF(G2458:I2475,$B2485)+COUNTIF(G2458:I2475,$B2485&amp;" ~*")&gt;0)+(COUNTIF(K2458:M2475,$B2485)+COUNTIF(K2458:M2475,$B2485&amp;" ~*")&gt;0)+(COUNTIF(O2458:Q2475,$B2485)+COUNTIF(O2458:Q2475,$B2485&amp;" ~*")&gt;0)+(COUNTIF(S2458:U2475,$B2485)+COUNTIF(S2458:U2475,$B2485&amp;" ~*")&gt;0)+(COUNTIF(W2458:W2475,$B2485)+COUNTIF(W2458:W2475,$B2485&amp;" ~*")&gt;0)+(COUNTIF(Y2458:Y2475,$B2485)+COUNTIF(Y2458:Y2475,$B2485&amp;" ~*")&gt;0))</f>
        <v/>
      </c>
      <c r="AC2485" s="36">
        <f>IF($B2485="","",(IFERROR(INDEX(Setup!$G$33:$G$40,MATCH(C2485,Setup!$B$33:$B$40,0)),0)=1)*(COUNTIF(C2458:E2475,$B2485)+COUNTIF(C2458:E2475,$B2485&amp;" ~*")&gt;0)+(IFERROR(INDEX(Setup!$G$33:$G$40,MATCH(G2485,Setup!$B$33:$B$40,0)),0)=1)*(COUNTIF(G2458:I2475,$B2485)+COUNTIF(G2458:I2475,$B2485&amp;" ~*")&gt;0)+(IFERROR(INDEX(Setup!$G$33:$G$40,MATCH(K2485,Setup!$B$33:$B$40,0)),0)=1)*(COUNTIF(K2458:M2475,$B2485)+COUNTIF(K2458:M2475,$B2485&amp;" ~*")&gt;0)+(IFERROR(INDEX(Setup!$G$33:$G$40,MATCH(O2485,Setup!$B$33:$B$40,0)),0)=1)*(COUNTIF(O2458:Q2475,$B2485)+COUNTIF(O2458:Q2475,$B2485&amp;" ~*")&gt;0)+(IFERROR(INDEX(Setup!$G$33:$G$40,MATCH(S2485,Setup!$B$33:$B$40,0)),0)=1)*(COUNTIF(S2458:U2475,$B2485)+COUNTIF(S2458:U2475,$B2485&amp;" ~*")&gt;0)+(IFERROR(INDEX(Setup!$G$33:$G$40,MATCH(W2485,Setup!$B$33:$B$40,0)),0)=1)*(COUNTIF(W2458:W2475,$B2485)+COUNTIF(W2458:W2475,$B2485&amp;" ~*")&gt;0)+(IFERROR(INDEX(Setup!$G$33:$G$40,MATCH(Y2485,Setup!$B$33:$B$40,0)),0)=1)*(COUNTIF(Y2458:Y2475,$B2485)+COUNTIF(Y2458:Y2475,$B2485&amp;" ~*")&gt;0))</f>
        <v/>
      </c>
    </row>
    <row r="2486" ht="15" customHeight="1">
      <c r="A2486" t="n">
        <v>50</v>
      </c>
      <c r="B2486" s="37">
        <f>IF(Setup!$B$15="","",Setup!$B$15)</f>
        <v/>
      </c>
      <c r="C2486" s="102" t="n"/>
      <c r="D2486" s="103" t="n"/>
      <c r="E2486" s="103" t="n"/>
      <c r="F2486" s="104" t="n"/>
      <c r="G2486" s="102" t="n"/>
      <c r="H2486" s="103" t="n"/>
      <c r="I2486" s="103" t="n"/>
      <c r="J2486" s="104" t="n"/>
      <c r="K2486" s="102" t="n"/>
      <c r="L2486" s="103" t="n"/>
      <c r="M2486" s="103" t="n"/>
      <c r="N2486" s="104" t="n"/>
      <c r="O2486" s="102" t="n"/>
      <c r="P2486" s="103" t="n"/>
      <c r="Q2486" s="103" t="n"/>
      <c r="R2486" s="104" t="n"/>
      <c r="S2486" s="102" t="n"/>
      <c r="T2486" s="103" t="n"/>
      <c r="U2486" s="103" t="n"/>
      <c r="V2486" s="104" t="n"/>
      <c r="W2486" s="102" t="n"/>
      <c r="X2486" s="104" t="n"/>
      <c r="Y2486" s="102" t="n"/>
      <c r="Z2486" s="104" t="n"/>
      <c r="AB2486" s="105">
        <f>IF($B2486="","",(COUNTIF(C2458:E2475,$B2486)+COUNTIF(C2458:E2475,$B2486&amp;" ~*")&gt;0)+(COUNTIF(G2458:I2475,$B2486)+COUNTIF(G2458:I2475,$B2486&amp;" ~*")&gt;0)+(COUNTIF(K2458:M2475,$B2486)+COUNTIF(K2458:M2475,$B2486&amp;" ~*")&gt;0)+(COUNTIF(O2458:Q2475,$B2486)+COUNTIF(O2458:Q2475,$B2486&amp;" ~*")&gt;0)+(COUNTIF(S2458:U2475,$B2486)+COUNTIF(S2458:U2475,$B2486&amp;" ~*")&gt;0)+(COUNTIF(W2458:W2475,$B2486)+COUNTIF(W2458:W2475,$B2486&amp;" ~*")&gt;0)+(COUNTIF(Y2458:Y2475,$B2486)+COUNTIF(Y2458:Y2475,$B2486&amp;" ~*")&gt;0))</f>
        <v/>
      </c>
      <c r="AC2486" s="38">
        <f>IF($B2486="","",(IFERROR(INDEX(Setup!$G$33:$G$40,MATCH(C2486,Setup!$B$33:$B$40,0)),0)=1)*(COUNTIF(C2458:E2475,$B2486)+COUNTIF(C2458:E2475,$B2486&amp;" ~*")&gt;0)+(IFERROR(INDEX(Setup!$G$33:$G$40,MATCH(G2486,Setup!$B$33:$B$40,0)),0)=1)*(COUNTIF(G2458:I2475,$B2486)+COUNTIF(G2458:I2475,$B2486&amp;" ~*")&gt;0)+(IFERROR(INDEX(Setup!$G$33:$G$40,MATCH(K2486,Setup!$B$33:$B$40,0)),0)=1)*(COUNTIF(K2458:M2475,$B2486)+COUNTIF(K2458:M2475,$B2486&amp;" ~*")&gt;0)+(IFERROR(INDEX(Setup!$G$33:$G$40,MATCH(O2486,Setup!$B$33:$B$40,0)),0)=1)*(COUNTIF(O2458:Q2475,$B2486)+COUNTIF(O2458:Q2475,$B2486&amp;" ~*")&gt;0)+(IFERROR(INDEX(Setup!$G$33:$G$40,MATCH(S2486,Setup!$B$33:$B$40,0)),0)=1)*(COUNTIF(S2458:U2475,$B2486)+COUNTIF(S2458:U2475,$B2486&amp;" ~*")&gt;0)+(IFERROR(INDEX(Setup!$G$33:$G$40,MATCH(W2486,Setup!$B$33:$B$40,0)),0)=1)*(COUNTIF(W2458:W2475,$B2486)+COUNTIF(W2458:W2475,$B2486&amp;" ~*")&gt;0)+(IFERROR(INDEX(Setup!$G$33:$G$40,MATCH(Y2486,Setup!$B$33:$B$40,0)),0)=1)*(COUNTIF(Y2458:Y2475,$B2486)+COUNTIF(Y2458:Y2475,$B2486&amp;" ~*")&gt;0))</f>
        <v/>
      </c>
    </row>
    <row r="2487" ht="15" customHeight="1">
      <c r="A2487" t="n">
        <v>50</v>
      </c>
      <c r="B2487" s="35">
        <f>IF(Setup!$B$16="","",Setup!$B$16)</f>
        <v/>
      </c>
      <c r="C2487" s="98" t="n"/>
      <c r="D2487" s="99" t="n"/>
      <c r="E2487" s="99" t="n"/>
      <c r="F2487" s="100" t="n"/>
      <c r="G2487" s="98" t="n"/>
      <c r="H2487" s="99" t="n"/>
      <c r="I2487" s="99" t="n"/>
      <c r="J2487" s="100" t="n"/>
      <c r="K2487" s="98" t="n"/>
      <c r="L2487" s="99" t="n"/>
      <c r="M2487" s="99" t="n"/>
      <c r="N2487" s="100" t="n"/>
      <c r="O2487" s="98" t="n"/>
      <c r="P2487" s="99" t="n"/>
      <c r="Q2487" s="99" t="n"/>
      <c r="R2487" s="100" t="n"/>
      <c r="S2487" s="98" t="n"/>
      <c r="T2487" s="99" t="n"/>
      <c r="U2487" s="99" t="n"/>
      <c r="V2487" s="100" t="n"/>
      <c r="W2487" s="98" t="n"/>
      <c r="X2487" s="100" t="n"/>
      <c r="Y2487" s="98" t="n"/>
      <c r="Z2487" s="100" t="n"/>
      <c r="AB2487" s="101">
        <f>IF($B2487="","",(COUNTIF(C2458:E2475,$B2487)+COUNTIF(C2458:E2475,$B2487&amp;" ~*")&gt;0)+(COUNTIF(G2458:I2475,$B2487)+COUNTIF(G2458:I2475,$B2487&amp;" ~*")&gt;0)+(COUNTIF(K2458:M2475,$B2487)+COUNTIF(K2458:M2475,$B2487&amp;" ~*")&gt;0)+(COUNTIF(O2458:Q2475,$B2487)+COUNTIF(O2458:Q2475,$B2487&amp;" ~*")&gt;0)+(COUNTIF(S2458:U2475,$B2487)+COUNTIF(S2458:U2475,$B2487&amp;" ~*")&gt;0)+(COUNTIF(W2458:W2475,$B2487)+COUNTIF(W2458:W2475,$B2487&amp;" ~*")&gt;0)+(COUNTIF(Y2458:Y2475,$B2487)+COUNTIF(Y2458:Y2475,$B2487&amp;" ~*")&gt;0))</f>
        <v/>
      </c>
      <c r="AC2487" s="36">
        <f>IF($B2487="","",(IFERROR(INDEX(Setup!$G$33:$G$40,MATCH(C2487,Setup!$B$33:$B$40,0)),0)=1)*(COUNTIF(C2458:E2475,$B2487)+COUNTIF(C2458:E2475,$B2487&amp;" ~*")&gt;0)+(IFERROR(INDEX(Setup!$G$33:$G$40,MATCH(G2487,Setup!$B$33:$B$40,0)),0)=1)*(COUNTIF(G2458:I2475,$B2487)+COUNTIF(G2458:I2475,$B2487&amp;" ~*")&gt;0)+(IFERROR(INDEX(Setup!$G$33:$G$40,MATCH(K2487,Setup!$B$33:$B$40,0)),0)=1)*(COUNTIF(K2458:M2475,$B2487)+COUNTIF(K2458:M2475,$B2487&amp;" ~*")&gt;0)+(IFERROR(INDEX(Setup!$G$33:$G$40,MATCH(O2487,Setup!$B$33:$B$40,0)),0)=1)*(COUNTIF(O2458:Q2475,$B2487)+COUNTIF(O2458:Q2475,$B2487&amp;" ~*")&gt;0)+(IFERROR(INDEX(Setup!$G$33:$G$40,MATCH(S2487,Setup!$B$33:$B$40,0)),0)=1)*(COUNTIF(S2458:U2475,$B2487)+COUNTIF(S2458:U2475,$B2487&amp;" ~*")&gt;0)+(IFERROR(INDEX(Setup!$G$33:$G$40,MATCH(W2487,Setup!$B$33:$B$40,0)),0)=1)*(COUNTIF(W2458:W2475,$B2487)+COUNTIF(W2458:W2475,$B2487&amp;" ~*")&gt;0)+(IFERROR(INDEX(Setup!$G$33:$G$40,MATCH(Y2487,Setup!$B$33:$B$40,0)),0)=1)*(COUNTIF(Y2458:Y2475,$B2487)+COUNTIF(Y2458:Y2475,$B2487&amp;" ~*")&gt;0))</f>
        <v/>
      </c>
    </row>
    <row r="2488" ht="15" customHeight="1">
      <c r="A2488" t="n">
        <v>50</v>
      </c>
      <c r="B2488" s="37">
        <f>IF(Setup!$B$17="","",Setup!$B$17)</f>
        <v/>
      </c>
      <c r="C2488" s="102" t="n"/>
      <c r="D2488" s="103" t="n"/>
      <c r="E2488" s="103" t="n"/>
      <c r="F2488" s="104" t="n"/>
      <c r="G2488" s="102" t="n"/>
      <c r="H2488" s="103" t="n"/>
      <c r="I2488" s="103" t="n"/>
      <c r="J2488" s="104" t="n"/>
      <c r="K2488" s="102" t="n"/>
      <c r="L2488" s="103" t="n"/>
      <c r="M2488" s="103" t="n"/>
      <c r="N2488" s="104" t="n"/>
      <c r="O2488" s="102" t="n"/>
      <c r="P2488" s="103" t="n"/>
      <c r="Q2488" s="103" t="n"/>
      <c r="R2488" s="104" t="n"/>
      <c r="S2488" s="102" t="n"/>
      <c r="T2488" s="103" t="n"/>
      <c r="U2488" s="103" t="n"/>
      <c r="V2488" s="104" t="n"/>
      <c r="W2488" s="102" t="n"/>
      <c r="X2488" s="104" t="n"/>
      <c r="Y2488" s="102" t="n"/>
      <c r="Z2488" s="104" t="n"/>
      <c r="AB2488" s="105">
        <f>IF($B2488="","",(COUNTIF(C2458:E2475,$B2488)+COUNTIF(C2458:E2475,$B2488&amp;" ~*")&gt;0)+(COUNTIF(G2458:I2475,$B2488)+COUNTIF(G2458:I2475,$B2488&amp;" ~*")&gt;0)+(COUNTIF(K2458:M2475,$B2488)+COUNTIF(K2458:M2475,$B2488&amp;" ~*")&gt;0)+(COUNTIF(O2458:Q2475,$B2488)+COUNTIF(O2458:Q2475,$B2488&amp;" ~*")&gt;0)+(COUNTIF(S2458:U2475,$B2488)+COUNTIF(S2458:U2475,$B2488&amp;" ~*")&gt;0)+(COUNTIF(W2458:W2475,$B2488)+COUNTIF(W2458:W2475,$B2488&amp;" ~*")&gt;0)+(COUNTIF(Y2458:Y2475,$B2488)+COUNTIF(Y2458:Y2475,$B2488&amp;" ~*")&gt;0))</f>
        <v/>
      </c>
      <c r="AC2488" s="38">
        <f>IF($B2488="","",(IFERROR(INDEX(Setup!$G$33:$G$40,MATCH(C2488,Setup!$B$33:$B$40,0)),0)=1)*(COUNTIF(C2458:E2475,$B2488)+COUNTIF(C2458:E2475,$B2488&amp;" ~*")&gt;0)+(IFERROR(INDEX(Setup!$G$33:$G$40,MATCH(G2488,Setup!$B$33:$B$40,0)),0)=1)*(COUNTIF(G2458:I2475,$B2488)+COUNTIF(G2458:I2475,$B2488&amp;" ~*")&gt;0)+(IFERROR(INDEX(Setup!$G$33:$G$40,MATCH(K2488,Setup!$B$33:$B$40,0)),0)=1)*(COUNTIF(K2458:M2475,$B2488)+COUNTIF(K2458:M2475,$B2488&amp;" ~*")&gt;0)+(IFERROR(INDEX(Setup!$G$33:$G$40,MATCH(O2488,Setup!$B$33:$B$40,0)),0)=1)*(COUNTIF(O2458:Q2475,$B2488)+COUNTIF(O2458:Q2475,$B2488&amp;" ~*")&gt;0)+(IFERROR(INDEX(Setup!$G$33:$G$40,MATCH(S2488,Setup!$B$33:$B$40,0)),0)=1)*(COUNTIF(S2458:U2475,$B2488)+COUNTIF(S2458:U2475,$B2488&amp;" ~*")&gt;0)+(IFERROR(INDEX(Setup!$G$33:$G$40,MATCH(W2488,Setup!$B$33:$B$40,0)),0)=1)*(COUNTIF(W2458:W2475,$B2488)+COUNTIF(W2458:W2475,$B2488&amp;" ~*")&gt;0)+(IFERROR(INDEX(Setup!$G$33:$G$40,MATCH(Y2488,Setup!$B$33:$B$40,0)),0)=1)*(COUNTIF(Y2458:Y2475,$B2488)+COUNTIF(Y2458:Y2475,$B2488&amp;" ~*")&gt;0))</f>
        <v/>
      </c>
    </row>
    <row r="2489" ht="15" customHeight="1">
      <c r="A2489" t="n">
        <v>50</v>
      </c>
      <c r="B2489" s="35">
        <f>IF(Setup!$B$18="","",Setup!$B$18)</f>
        <v/>
      </c>
      <c r="C2489" s="98" t="n"/>
      <c r="D2489" s="99" t="n"/>
      <c r="E2489" s="99" t="n"/>
      <c r="F2489" s="100" t="n"/>
      <c r="G2489" s="98" t="n"/>
      <c r="H2489" s="99" t="n"/>
      <c r="I2489" s="99" t="n"/>
      <c r="J2489" s="100" t="n"/>
      <c r="K2489" s="98" t="n"/>
      <c r="L2489" s="99" t="n"/>
      <c r="M2489" s="99" t="n"/>
      <c r="N2489" s="100" t="n"/>
      <c r="O2489" s="98" t="n"/>
      <c r="P2489" s="99" t="n"/>
      <c r="Q2489" s="99" t="n"/>
      <c r="R2489" s="100" t="n"/>
      <c r="S2489" s="98" t="n"/>
      <c r="T2489" s="99" t="n"/>
      <c r="U2489" s="99" t="n"/>
      <c r="V2489" s="100" t="n"/>
      <c r="W2489" s="98" t="n"/>
      <c r="X2489" s="100" t="n"/>
      <c r="Y2489" s="98" t="n"/>
      <c r="Z2489" s="100" t="n"/>
      <c r="AB2489" s="101">
        <f>IF($B2489="","",(COUNTIF(C2458:E2475,$B2489)+COUNTIF(C2458:E2475,$B2489&amp;" ~*")&gt;0)+(COUNTIF(G2458:I2475,$B2489)+COUNTIF(G2458:I2475,$B2489&amp;" ~*")&gt;0)+(COUNTIF(K2458:M2475,$B2489)+COUNTIF(K2458:M2475,$B2489&amp;" ~*")&gt;0)+(COUNTIF(O2458:Q2475,$B2489)+COUNTIF(O2458:Q2475,$B2489&amp;" ~*")&gt;0)+(COUNTIF(S2458:U2475,$B2489)+COUNTIF(S2458:U2475,$B2489&amp;" ~*")&gt;0)+(COUNTIF(W2458:W2475,$B2489)+COUNTIF(W2458:W2475,$B2489&amp;" ~*")&gt;0)+(COUNTIF(Y2458:Y2475,$B2489)+COUNTIF(Y2458:Y2475,$B2489&amp;" ~*")&gt;0))</f>
        <v/>
      </c>
      <c r="AC2489" s="36">
        <f>IF($B2489="","",(IFERROR(INDEX(Setup!$G$33:$G$40,MATCH(C2489,Setup!$B$33:$B$40,0)),0)=1)*(COUNTIF(C2458:E2475,$B2489)+COUNTIF(C2458:E2475,$B2489&amp;" ~*")&gt;0)+(IFERROR(INDEX(Setup!$G$33:$G$40,MATCH(G2489,Setup!$B$33:$B$40,0)),0)=1)*(COUNTIF(G2458:I2475,$B2489)+COUNTIF(G2458:I2475,$B2489&amp;" ~*")&gt;0)+(IFERROR(INDEX(Setup!$G$33:$G$40,MATCH(K2489,Setup!$B$33:$B$40,0)),0)=1)*(COUNTIF(K2458:M2475,$B2489)+COUNTIF(K2458:M2475,$B2489&amp;" ~*")&gt;0)+(IFERROR(INDEX(Setup!$G$33:$G$40,MATCH(O2489,Setup!$B$33:$B$40,0)),0)=1)*(COUNTIF(O2458:Q2475,$B2489)+COUNTIF(O2458:Q2475,$B2489&amp;" ~*")&gt;0)+(IFERROR(INDEX(Setup!$G$33:$G$40,MATCH(S2489,Setup!$B$33:$B$40,0)),0)=1)*(COUNTIF(S2458:U2475,$B2489)+COUNTIF(S2458:U2475,$B2489&amp;" ~*")&gt;0)+(IFERROR(INDEX(Setup!$G$33:$G$40,MATCH(W2489,Setup!$B$33:$B$40,0)),0)=1)*(COUNTIF(W2458:W2475,$B2489)+COUNTIF(W2458:W2475,$B2489&amp;" ~*")&gt;0)+(IFERROR(INDEX(Setup!$G$33:$G$40,MATCH(Y2489,Setup!$B$33:$B$40,0)),0)=1)*(COUNTIF(Y2458:Y2475,$B2489)+COUNTIF(Y2458:Y2475,$B2489&amp;" ~*")&gt;0))</f>
        <v/>
      </c>
    </row>
    <row r="2490" ht="15" customHeight="1">
      <c r="A2490" t="n">
        <v>50</v>
      </c>
      <c r="B2490" s="37">
        <f>IF(Setup!$B$19="","",Setup!$B$19)</f>
        <v/>
      </c>
      <c r="C2490" s="102" t="n"/>
      <c r="D2490" s="103" t="n"/>
      <c r="E2490" s="103" t="n"/>
      <c r="F2490" s="104" t="n"/>
      <c r="G2490" s="102" t="n"/>
      <c r="H2490" s="103" t="n"/>
      <c r="I2490" s="103" t="n"/>
      <c r="J2490" s="104" t="n"/>
      <c r="K2490" s="102" t="n"/>
      <c r="L2490" s="103" t="n"/>
      <c r="M2490" s="103" t="n"/>
      <c r="N2490" s="104" t="n"/>
      <c r="O2490" s="102" t="n"/>
      <c r="P2490" s="103" t="n"/>
      <c r="Q2490" s="103" t="n"/>
      <c r="R2490" s="104" t="n"/>
      <c r="S2490" s="102" t="n"/>
      <c r="T2490" s="103" t="n"/>
      <c r="U2490" s="103" t="n"/>
      <c r="V2490" s="104" t="n"/>
      <c r="W2490" s="102" t="n"/>
      <c r="X2490" s="104" t="n"/>
      <c r="Y2490" s="102" t="n"/>
      <c r="Z2490" s="104" t="n"/>
      <c r="AB2490" s="105">
        <f>IF($B2490="","",(COUNTIF(C2458:E2475,$B2490)+COUNTIF(C2458:E2475,$B2490&amp;" ~*")&gt;0)+(COUNTIF(G2458:I2475,$B2490)+COUNTIF(G2458:I2475,$B2490&amp;" ~*")&gt;0)+(COUNTIF(K2458:M2475,$B2490)+COUNTIF(K2458:M2475,$B2490&amp;" ~*")&gt;0)+(COUNTIF(O2458:Q2475,$B2490)+COUNTIF(O2458:Q2475,$B2490&amp;" ~*")&gt;0)+(COUNTIF(S2458:U2475,$B2490)+COUNTIF(S2458:U2475,$B2490&amp;" ~*")&gt;0)+(COUNTIF(W2458:W2475,$B2490)+COUNTIF(W2458:W2475,$B2490&amp;" ~*")&gt;0)+(COUNTIF(Y2458:Y2475,$B2490)+COUNTIF(Y2458:Y2475,$B2490&amp;" ~*")&gt;0))</f>
        <v/>
      </c>
      <c r="AC2490" s="38">
        <f>IF($B2490="","",(IFERROR(INDEX(Setup!$G$33:$G$40,MATCH(C2490,Setup!$B$33:$B$40,0)),0)=1)*(COUNTIF(C2458:E2475,$B2490)+COUNTIF(C2458:E2475,$B2490&amp;" ~*")&gt;0)+(IFERROR(INDEX(Setup!$G$33:$G$40,MATCH(G2490,Setup!$B$33:$B$40,0)),0)=1)*(COUNTIF(G2458:I2475,$B2490)+COUNTIF(G2458:I2475,$B2490&amp;" ~*")&gt;0)+(IFERROR(INDEX(Setup!$G$33:$G$40,MATCH(K2490,Setup!$B$33:$B$40,0)),0)=1)*(COUNTIF(K2458:M2475,$B2490)+COUNTIF(K2458:M2475,$B2490&amp;" ~*")&gt;0)+(IFERROR(INDEX(Setup!$G$33:$G$40,MATCH(O2490,Setup!$B$33:$B$40,0)),0)=1)*(COUNTIF(O2458:Q2475,$B2490)+COUNTIF(O2458:Q2475,$B2490&amp;" ~*")&gt;0)+(IFERROR(INDEX(Setup!$G$33:$G$40,MATCH(S2490,Setup!$B$33:$B$40,0)),0)=1)*(COUNTIF(S2458:U2475,$B2490)+COUNTIF(S2458:U2475,$B2490&amp;" ~*")&gt;0)+(IFERROR(INDEX(Setup!$G$33:$G$40,MATCH(W2490,Setup!$B$33:$B$40,0)),0)=1)*(COUNTIF(W2458:W2475,$B2490)+COUNTIF(W2458:W2475,$B2490&amp;" ~*")&gt;0)+(IFERROR(INDEX(Setup!$G$33:$G$40,MATCH(Y2490,Setup!$B$33:$B$40,0)),0)=1)*(COUNTIF(Y2458:Y2475,$B2490)+COUNTIF(Y2458:Y2475,$B2490&amp;" ~*")&gt;0))</f>
        <v/>
      </c>
    </row>
    <row r="2491" ht="15" customHeight="1">
      <c r="A2491" t="n">
        <v>50</v>
      </c>
      <c r="B2491" s="35">
        <f>IF(Setup!$B$20="","",Setup!$B$20)</f>
        <v/>
      </c>
      <c r="C2491" s="98" t="n"/>
      <c r="D2491" s="99" t="n"/>
      <c r="E2491" s="99" t="n"/>
      <c r="F2491" s="100" t="n"/>
      <c r="G2491" s="98" t="n"/>
      <c r="H2491" s="99" t="n"/>
      <c r="I2491" s="99" t="n"/>
      <c r="J2491" s="100" t="n"/>
      <c r="K2491" s="98" t="n"/>
      <c r="L2491" s="99" t="n"/>
      <c r="M2491" s="99" t="n"/>
      <c r="N2491" s="100" t="n"/>
      <c r="O2491" s="98" t="n"/>
      <c r="P2491" s="99" t="n"/>
      <c r="Q2491" s="99" t="n"/>
      <c r="R2491" s="100" t="n"/>
      <c r="S2491" s="98" t="n"/>
      <c r="T2491" s="99" t="n"/>
      <c r="U2491" s="99" t="n"/>
      <c r="V2491" s="100" t="n"/>
      <c r="W2491" s="98" t="n"/>
      <c r="X2491" s="100" t="n"/>
      <c r="Y2491" s="98" t="n"/>
      <c r="Z2491" s="100" t="n"/>
      <c r="AB2491" s="101">
        <f>IF($B2491="","",(COUNTIF(C2458:E2475,$B2491)+COUNTIF(C2458:E2475,$B2491&amp;" ~*")&gt;0)+(COUNTIF(G2458:I2475,$B2491)+COUNTIF(G2458:I2475,$B2491&amp;" ~*")&gt;0)+(COUNTIF(K2458:M2475,$B2491)+COUNTIF(K2458:M2475,$B2491&amp;" ~*")&gt;0)+(COUNTIF(O2458:Q2475,$B2491)+COUNTIF(O2458:Q2475,$B2491&amp;" ~*")&gt;0)+(COUNTIF(S2458:U2475,$B2491)+COUNTIF(S2458:U2475,$B2491&amp;" ~*")&gt;0)+(COUNTIF(W2458:W2475,$B2491)+COUNTIF(W2458:W2475,$B2491&amp;" ~*")&gt;0)+(COUNTIF(Y2458:Y2475,$B2491)+COUNTIF(Y2458:Y2475,$B2491&amp;" ~*")&gt;0))</f>
        <v/>
      </c>
      <c r="AC2491" s="36">
        <f>IF($B2491="","",(IFERROR(INDEX(Setup!$G$33:$G$40,MATCH(C2491,Setup!$B$33:$B$40,0)),0)=1)*(COUNTIF(C2458:E2475,$B2491)+COUNTIF(C2458:E2475,$B2491&amp;" ~*")&gt;0)+(IFERROR(INDEX(Setup!$G$33:$G$40,MATCH(G2491,Setup!$B$33:$B$40,0)),0)=1)*(COUNTIF(G2458:I2475,$B2491)+COUNTIF(G2458:I2475,$B2491&amp;" ~*")&gt;0)+(IFERROR(INDEX(Setup!$G$33:$G$40,MATCH(K2491,Setup!$B$33:$B$40,0)),0)=1)*(COUNTIF(K2458:M2475,$B2491)+COUNTIF(K2458:M2475,$B2491&amp;" ~*")&gt;0)+(IFERROR(INDEX(Setup!$G$33:$G$40,MATCH(O2491,Setup!$B$33:$B$40,0)),0)=1)*(COUNTIF(O2458:Q2475,$B2491)+COUNTIF(O2458:Q2475,$B2491&amp;" ~*")&gt;0)+(IFERROR(INDEX(Setup!$G$33:$G$40,MATCH(S2491,Setup!$B$33:$B$40,0)),0)=1)*(COUNTIF(S2458:U2475,$B2491)+COUNTIF(S2458:U2475,$B2491&amp;" ~*")&gt;0)+(IFERROR(INDEX(Setup!$G$33:$G$40,MATCH(W2491,Setup!$B$33:$B$40,0)),0)=1)*(COUNTIF(W2458:W2475,$B2491)+COUNTIF(W2458:W2475,$B2491&amp;" ~*")&gt;0)+(IFERROR(INDEX(Setup!$G$33:$G$40,MATCH(Y2491,Setup!$B$33:$B$40,0)),0)=1)*(COUNTIF(Y2458:Y2475,$B2491)+COUNTIF(Y2458:Y2475,$B2491&amp;" ~*")&gt;0))</f>
        <v/>
      </c>
    </row>
    <row r="2492" ht="15" customHeight="1">
      <c r="A2492" t="n">
        <v>50</v>
      </c>
      <c r="B2492" s="37">
        <f>IF(Setup!$B$21="","",Setup!$B$21)</f>
        <v/>
      </c>
      <c r="C2492" s="102" t="n"/>
      <c r="D2492" s="103" t="n"/>
      <c r="E2492" s="103" t="n"/>
      <c r="F2492" s="104" t="n"/>
      <c r="G2492" s="102" t="n"/>
      <c r="H2492" s="103" t="n"/>
      <c r="I2492" s="103" t="n"/>
      <c r="J2492" s="104" t="n"/>
      <c r="K2492" s="102" t="n"/>
      <c r="L2492" s="103" t="n"/>
      <c r="M2492" s="103" t="n"/>
      <c r="N2492" s="104" t="n"/>
      <c r="O2492" s="102" t="n"/>
      <c r="P2492" s="103" t="n"/>
      <c r="Q2492" s="103" t="n"/>
      <c r="R2492" s="104" t="n"/>
      <c r="S2492" s="102" t="n"/>
      <c r="T2492" s="103" t="n"/>
      <c r="U2492" s="103" t="n"/>
      <c r="V2492" s="104" t="n"/>
      <c r="W2492" s="102" t="n"/>
      <c r="X2492" s="104" t="n"/>
      <c r="Y2492" s="102" t="n"/>
      <c r="Z2492" s="104" t="n"/>
      <c r="AB2492" s="105">
        <f>IF($B2492="","",(COUNTIF(C2458:E2475,$B2492)+COUNTIF(C2458:E2475,$B2492&amp;" ~*")&gt;0)+(COUNTIF(G2458:I2475,$B2492)+COUNTIF(G2458:I2475,$B2492&amp;" ~*")&gt;0)+(COUNTIF(K2458:M2475,$B2492)+COUNTIF(K2458:M2475,$B2492&amp;" ~*")&gt;0)+(COUNTIF(O2458:Q2475,$B2492)+COUNTIF(O2458:Q2475,$B2492&amp;" ~*")&gt;0)+(COUNTIF(S2458:U2475,$B2492)+COUNTIF(S2458:U2475,$B2492&amp;" ~*")&gt;0)+(COUNTIF(W2458:W2475,$B2492)+COUNTIF(W2458:W2475,$B2492&amp;" ~*")&gt;0)+(COUNTIF(Y2458:Y2475,$B2492)+COUNTIF(Y2458:Y2475,$B2492&amp;" ~*")&gt;0))</f>
        <v/>
      </c>
      <c r="AC2492" s="38">
        <f>IF($B2492="","",(IFERROR(INDEX(Setup!$G$33:$G$40,MATCH(C2492,Setup!$B$33:$B$40,0)),0)=1)*(COUNTIF(C2458:E2475,$B2492)+COUNTIF(C2458:E2475,$B2492&amp;" ~*")&gt;0)+(IFERROR(INDEX(Setup!$G$33:$G$40,MATCH(G2492,Setup!$B$33:$B$40,0)),0)=1)*(COUNTIF(G2458:I2475,$B2492)+COUNTIF(G2458:I2475,$B2492&amp;" ~*")&gt;0)+(IFERROR(INDEX(Setup!$G$33:$G$40,MATCH(K2492,Setup!$B$33:$B$40,0)),0)=1)*(COUNTIF(K2458:M2475,$B2492)+COUNTIF(K2458:M2475,$B2492&amp;" ~*")&gt;0)+(IFERROR(INDEX(Setup!$G$33:$G$40,MATCH(O2492,Setup!$B$33:$B$40,0)),0)=1)*(COUNTIF(O2458:Q2475,$B2492)+COUNTIF(O2458:Q2475,$B2492&amp;" ~*")&gt;0)+(IFERROR(INDEX(Setup!$G$33:$G$40,MATCH(S2492,Setup!$B$33:$B$40,0)),0)=1)*(COUNTIF(S2458:U2475,$B2492)+COUNTIF(S2458:U2475,$B2492&amp;" ~*")&gt;0)+(IFERROR(INDEX(Setup!$G$33:$G$40,MATCH(W2492,Setup!$B$33:$B$40,0)),0)=1)*(COUNTIF(W2458:W2475,$B2492)+COUNTIF(W2458:W2475,$B2492&amp;" ~*")&gt;0)+(IFERROR(INDEX(Setup!$G$33:$G$40,MATCH(Y2492,Setup!$B$33:$B$40,0)),0)=1)*(COUNTIF(Y2458:Y2475,$B2492)+COUNTIF(Y2458:Y2475,$B2492&amp;" ~*")&gt;0))</f>
        <v/>
      </c>
    </row>
    <row r="2493" ht="15" customHeight="1">
      <c r="A2493" t="n">
        <v>50</v>
      </c>
      <c r="B2493" s="35">
        <f>IF(Setup!$B$22="","",Setup!$B$22)</f>
        <v/>
      </c>
      <c r="C2493" s="98" t="n"/>
      <c r="D2493" s="99" t="n"/>
      <c r="E2493" s="99" t="n"/>
      <c r="F2493" s="100" t="n"/>
      <c r="G2493" s="98" t="n"/>
      <c r="H2493" s="99" t="n"/>
      <c r="I2493" s="99" t="n"/>
      <c r="J2493" s="100" t="n"/>
      <c r="K2493" s="98" t="n"/>
      <c r="L2493" s="99" t="n"/>
      <c r="M2493" s="99" t="n"/>
      <c r="N2493" s="100" t="n"/>
      <c r="O2493" s="98" t="n"/>
      <c r="P2493" s="99" t="n"/>
      <c r="Q2493" s="99" t="n"/>
      <c r="R2493" s="100" t="n"/>
      <c r="S2493" s="98" t="n"/>
      <c r="T2493" s="99" t="n"/>
      <c r="U2493" s="99" t="n"/>
      <c r="V2493" s="100" t="n"/>
      <c r="W2493" s="98" t="n"/>
      <c r="X2493" s="100" t="n"/>
      <c r="Y2493" s="98" t="n"/>
      <c r="Z2493" s="100" t="n"/>
      <c r="AB2493" s="101">
        <f>IF($B2493="","",(COUNTIF(C2458:E2475,$B2493)+COUNTIF(C2458:E2475,$B2493&amp;" ~*")&gt;0)+(COUNTIF(G2458:I2475,$B2493)+COUNTIF(G2458:I2475,$B2493&amp;" ~*")&gt;0)+(COUNTIF(K2458:M2475,$B2493)+COUNTIF(K2458:M2475,$B2493&amp;" ~*")&gt;0)+(COUNTIF(O2458:Q2475,$B2493)+COUNTIF(O2458:Q2475,$B2493&amp;" ~*")&gt;0)+(COUNTIF(S2458:U2475,$B2493)+COUNTIF(S2458:U2475,$B2493&amp;" ~*")&gt;0)+(COUNTIF(W2458:W2475,$B2493)+COUNTIF(W2458:W2475,$B2493&amp;" ~*")&gt;0)+(COUNTIF(Y2458:Y2475,$B2493)+COUNTIF(Y2458:Y2475,$B2493&amp;" ~*")&gt;0))</f>
        <v/>
      </c>
      <c r="AC2493" s="36">
        <f>IF($B2493="","",(IFERROR(INDEX(Setup!$G$33:$G$40,MATCH(C2493,Setup!$B$33:$B$40,0)),0)=1)*(COUNTIF(C2458:E2475,$B2493)+COUNTIF(C2458:E2475,$B2493&amp;" ~*")&gt;0)+(IFERROR(INDEX(Setup!$G$33:$G$40,MATCH(G2493,Setup!$B$33:$B$40,0)),0)=1)*(COUNTIF(G2458:I2475,$B2493)+COUNTIF(G2458:I2475,$B2493&amp;" ~*")&gt;0)+(IFERROR(INDEX(Setup!$G$33:$G$40,MATCH(K2493,Setup!$B$33:$B$40,0)),0)=1)*(COUNTIF(K2458:M2475,$B2493)+COUNTIF(K2458:M2475,$B2493&amp;" ~*")&gt;0)+(IFERROR(INDEX(Setup!$G$33:$G$40,MATCH(O2493,Setup!$B$33:$B$40,0)),0)=1)*(COUNTIF(O2458:Q2475,$B2493)+COUNTIF(O2458:Q2475,$B2493&amp;" ~*")&gt;0)+(IFERROR(INDEX(Setup!$G$33:$G$40,MATCH(S2493,Setup!$B$33:$B$40,0)),0)=1)*(COUNTIF(S2458:U2475,$B2493)+COUNTIF(S2458:U2475,$B2493&amp;" ~*")&gt;0)+(IFERROR(INDEX(Setup!$G$33:$G$40,MATCH(W2493,Setup!$B$33:$B$40,0)),0)=1)*(COUNTIF(W2458:W2475,$B2493)+COUNTIF(W2458:W2475,$B2493&amp;" ~*")&gt;0)+(IFERROR(INDEX(Setup!$G$33:$G$40,MATCH(Y2493,Setup!$B$33:$B$40,0)),0)=1)*(COUNTIF(Y2458:Y2475,$B2493)+COUNTIF(Y2458:Y2475,$B2493&amp;" ~*")&gt;0))</f>
        <v/>
      </c>
    </row>
    <row r="2494" ht="15" customHeight="1">
      <c r="A2494" t="n">
        <v>50</v>
      </c>
      <c r="B2494" s="37">
        <f>IF(Setup!$B$23="","",Setup!$B$23)</f>
        <v/>
      </c>
      <c r="C2494" s="102" t="n"/>
      <c r="D2494" s="103" t="n"/>
      <c r="E2494" s="103" t="n"/>
      <c r="F2494" s="104" t="n"/>
      <c r="G2494" s="102" t="n"/>
      <c r="H2494" s="103" t="n"/>
      <c r="I2494" s="103" t="n"/>
      <c r="J2494" s="104" t="n"/>
      <c r="K2494" s="102" t="n"/>
      <c r="L2494" s="103" t="n"/>
      <c r="M2494" s="103" t="n"/>
      <c r="N2494" s="104" t="n"/>
      <c r="O2494" s="102" t="n"/>
      <c r="P2494" s="103" t="n"/>
      <c r="Q2494" s="103" t="n"/>
      <c r="R2494" s="104" t="n"/>
      <c r="S2494" s="102" t="n"/>
      <c r="T2494" s="103" t="n"/>
      <c r="U2494" s="103" t="n"/>
      <c r="V2494" s="104" t="n"/>
      <c r="W2494" s="102" t="n"/>
      <c r="X2494" s="104" t="n"/>
      <c r="Y2494" s="102" t="n"/>
      <c r="Z2494" s="104" t="n"/>
      <c r="AB2494" s="105">
        <f>IF($B2494="","",(COUNTIF(C2458:E2475,$B2494)+COUNTIF(C2458:E2475,$B2494&amp;" ~*")&gt;0)+(COUNTIF(G2458:I2475,$B2494)+COUNTIF(G2458:I2475,$B2494&amp;" ~*")&gt;0)+(COUNTIF(K2458:M2475,$B2494)+COUNTIF(K2458:M2475,$B2494&amp;" ~*")&gt;0)+(COUNTIF(O2458:Q2475,$B2494)+COUNTIF(O2458:Q2475,$B2494&amp;" ~*")&gt;0)+(COUNTIF(S2458:U2475,$B2494)+COUNTIF(S2458:U2475,$B2494&amp;" ~*")&gt;0)+(COUNTIF(W2458:W2475,$B2494)+COUNTIF(W2458:W2475,$B2494&amp;" ~*")&gt;0)+(COUNTIF(Y2458:Y2475,$B2494)+COUNTIF(Y2458:Y2475,$B2494&amp;" ~*")&gt;0))</f>
        <v/>
      </c>
      <c r="AC2494" s="38">
        <f>IF($B2494="","",(IFERROR(INDEX(Setup!$G$33:$G$40,MATCH(C2494,Setup!$B$33:$B$40,0)),0)=1)*(COUNTIF(C2458:E2475,$B2494)+COUNTIF(C2458:E2475,$B2494&amp;" ~*")&gt;0)+(IFERROR(INDEX(Setup!$G$33:$G$40,MATCH(G2494,Setup!$B$33:$B$40,0)),0)=1)*(COUNTIF(G2458:I2475,$B2494)+COUNTIF(G2458:I2475,$B2494&amp;" ~*")&gt;0)+(IFERROR(INDEX(Setup!$G$33:$G$40,MATCH(K2494,Setup!$B$33:$B$40,0)),0)=1)*(COUNTIF(K2458:M2475,$B2494)+COUNTIF(K2458:M2475,$B2494&amp;" ~*")&gt;0)+(IFERROR(INDEX(Setup!$G$33:$G$40,MATCH(O2494,Setup!$B$33:$B$40,0)),0)=1)*(COUNTIF(O2458:Q2475,$B2494)+COUNTIF(O2458:Q2475,$B2494&amp;" ~*")&gt;0)+(IFERROR(INDEX(Setup!$G$33:$G$40,MATCH(S2494,Setup!$B$33:$B$40,0)),0)=1)*(COUNTIF(S2458:U2475,$B2494)+COUNTIF(S2458:U2475,$B2494&amp;" ~*")&gt;0)+(IFERROR(INDEX(Setup!$G$33:$G$40,MATCH(W2494,Setup!$B$33:$B$40,0)),0)=1)*(COUNTIF(W2458:W2475,$B2494)+COUNTIF(W2458:W2475,$B2494&amp;" ~*")&gt;0)+(IFERROR(INDEX(Setup!$G$33:$G$40,MATCH(Y2494,Setup!$B$33:$B$40,0)),0)=1)*(COUNTIF(Y2458:Y2475,$B2494)+COUNTIF(Y2458:Y2475,$B2494&amp;" ~*")&gt;0))</f>
        <v/>
      </c>
    </row>
    <row r="2495" ht="15" customHeight="1">
      <c r="A2495" t="n">
        <v>50</v>
      </c>
      <c r="B2495" s="35">
        <f>IF(Setup!$B$24="","",Setup!$B$24)</f>
        <v/>
      </c>
      <c r="C2495" s="98" t="n"/>
      <c r="D2495" s="99" t="n"/>
      <c r="E2495" s="99" t="n"/>
      <c r="F2495" s="100" t="n"/>
      <c r="G2495" s="98" t="n"/>
      <c r="H2495" s="99" t="n"/>
      <c r="I2495" s="99" t="n"/>
      <c r="J2495" s="100" t="n"/>
      <c r="K2495" s="98" t="n"/>
      <c r="L2495" s="99" t="n"/>
      <c r="M2495" s="99" t="n"/>
      <c r="N2495" s="100" t="n"/>
      <c r="O2495" s="98" t="n"/>
      <c r="P2495" s="99" t="n"/>
      <c r="Q2495" s="99" t="n"/>
      <c r="R2495" s="100" t="n"/>
      <c r="S2495" s="98" t="n"/>
      <c r="T2495" s="99" t="n"/>
      <c r="U2495" s="99" t="n"/>
      <c r="V2495" s="100" t="n"/>
      <c r="W2495" s="98" t="n"/>
      <c r="X2495" s="100" t="n"/>
      <c r="Y2495" s="98" t="n"/>
      <c r="Z2495" s="100" t="n"/>
      <c r="AB2495" s="101">
        <f>IF($B2495="","",(COUNTIF(C2458:E2475,$B2495)+COUNTIF(C2458:E2475,$B2495&amp;" ~*")&gt;0)+(COUNTIF(G2458:I2475,$B2495)+COUNTIF(G2458:I2475,$B2495&amp;" ~*")&gt;0)+(COUNTIF(K2458:M2475,$B2495)+COUNTIF(K2458:M2475,$B2495&amp;" ~*")&gt;0)+(COUNTIF(O2458:Q2475,$B2495)+COUNTIF(O2458:Q2475,$B2495&amp;" ~*")&gt;0)+(COUNTIF(S2458:U2475,$B2495)+COUNTIF(S2458:U2475,$B2495&amp;" ~*")&gt;0)+(COUNTIF(W2458:W2475,$B2495)+COUNTIF(W2458:W2475,$B2495&amp;" ~*")&gt;0)+(COUNTIF(Y2458:Y2475,$B2495)+COUNTIF(Y2458:Y2475,$B2495&amp;" ~*")&gt;0))</f>
        <v/>
      </c>
      <c r="AC2495" s="36">
        <f>IF($B2495="","",(IFERROR(INDEX(Setup!$G$33:$G$40,MATCH(C2495,Setup!$B$33:$B$40,0)),0)=1)*(COUNTIF(C2458:E2475,$B2495)+COUNTIF(C2458:E2475,$B2495&amp;" ~*")&gt;0)+(IFERROR(INDEX(Setup!$G$33:$G$40,MATCH(G2495,Setup!$B$33:$B$40,0)),0)=1)*(COUNTIF(G2458:I2475,$B2495)+COUNTIF(G2458:I2475,$B2495&amp;" ~*")&gt;0)+(IFERROR(INDEX(Setup!$G$33:$G$40,MATCH(K2495,Setup!$B$33:$B$40,0)),0)=1)*(COUNTIF(K2458:M2475,$B2495)+COUNTIF(K2458:M2475,$B2495&amp;" ~*")&gt;0)+(IFERROR(INDEX(Setup!$G$33:$G$40,MATCH(O2495,Setup!$B$33:$B$40,0)),0)=1)*(COUNTIF(O2458:Q2475,$B2495)+COUNTIF(O2458:Q2475,$B2495&amp;" ~*")&gt;0)+(IFERROR(INDEX(Setup!$G$33:$G$40,MATCH(S2495,Setup!$B$33:$B$40,0)),0)=1)*(COUNTIF(S2458:U2475,$B2495)+COUNTIF(S2458:U2475,$B2495&amp;" ~*")&gt;0)+(IFERROR(INDEX(Setup!$G$33:$G$40,MATCH(W2495,Setup!$B$33:$B$40,0)),0)=1)*(COUNTIF(W2458:W2475,$B2495)+COUNTIF(W2458:W2475,$B2495&amp;" ~*")&gt;0)+(IFERROR(INDEX(Setup!$G$33:$G$40,MATCH(Y2495,Setup!$B$33:$B$40,0)),0)=1)*(COUNTIF(Y2458:Y2475,$B2495)+COUNTIF(Y2458:Y2475,$B2495&amp;" ~*")&gt;0))</f>
        <v/>
      </c>
    </row>
    <row r="2496" ht="15" customHeight="1">
      <c r="A2496" t="n">
        <v>50</v>
      </c>
      <c r="B2496" s="37">
        <f>IF(Setup!$B$25="","",Setup!$B$25)</f>
        <v/>
      </c>
      <c r="C2496" s="102" t="n"/>
      <c r="D2496" s="103" t="n"/>
      <c r="E2496" s="103" t="n"/>
      <c r="F2496" s="104" t="n"/>
      <c r="G2496" s="102" t="n"/>
      <c r="H2496" s="103" t="n"/>
      <c r="I2496" s="103" t="n"/>
      <c r="J2496" s="104" t="n"/>
      <c r="K2496" s="102" t="n"/>
      <c r="L2496" s="103" t="n"/>
      <c r="M2496" s="103" t="n"/>
      <c r="N2496" s="104" t="n"/>
      <c r="O2496" s="102" t="n"/>
      <c r="P2496" s="103" t="n"/>
      <c r="Q2496" s="103" t="n"/>
      <c r="R2496" s="104" t="n"/>
      <c r="S2496" s="102" t="n"/>
      <c r="T2496" s="103" t="n"/>
      <c r="U2496" s="103" t="n"/>
      <c r="V2496" s="104" t="n"/>
      <c r="W2496" s="102" t="n"/>
      <c r="X2496" s="104" t="n"/>
      <c r="Y2496" s="102" t="n"/>
      <c r="Z2496" s="104" t="n"/>
      <c r="AB2496" s="105">
        <f>IF($B2496="","",(COUNTIF(C2458:E2475,$B2496)+COUNTIF(C2458:E2475,$B2496&amp;" ~*")&gt;0)+(COUNTIF(G2458:I2475,$B2496)+COUNTIF(G2458:I2475,$B2496&amp;" ~*")&gt;0)+(COUNTIF(K2458:M2475,$B2496)+COUNTIF(K2458:M2475,$B2496&amp;" ~*")&gt;0)+(COUNTIF(O2458:Q2475,$B2496)+COUNTIF(O2458:Q2475,$B2496&amp;" ~*")&gt;0)+(COUNTIF(S2458:U2475,$B2496)+COUNTIF(S2458:U2475,$B2496&amp;" ~*")&gt;0)+(COUNTIF(W2458:W2475,$B2496)+COUNTIF(W2458:W2475,$B2496&amp;" ~*")&gt;0)+(COUNTIF(Y2458:Y2475,$B2496)+COUNTIF(Y2458:Y2475,$B2496&amp;" ~*")&gt;0))</f>
        <v/>
      </c>
      <c r="AC2496" s="38">
        <f>IF($B2496="","",(IFERROR(INDEX(Setup!$G$33:$G$40,MATCH(C2496,Setup!$B$33:$B$40,0)),0)=1)*(COUNTIF(C2458:E2475,$B2496)+COUNTIF(C2458:E2475,$B2496&amp;" ~*")&gt;0)+(IFERROR(INDEX(Setup!$G$33:$G$40,MATCH(G2496,Setup!$B$33:$B$40,0)),0)=1)*(COUNTIF(G2458:I2475,$B2496)+COUNTIF(G2458:I2475,$B2496&amp;" ~*")&gt;0)+(IFERROR(INDEX(Setup!$G$33:$G$40,MATCH(K2496,Setup!$B$33:$B$40,0)),0)=1)*(COUNTIF(K2458:M2475,$B2496)+COUNTIF(K2458:M2475,$B2496&amp;" ~*")&gt;0)+(IFERROR(INDEX(Setup!$G$33:$G$40,MATCH(O2496,Setup!$B$33:$B$40,0)),0)=1)*(COUNTIF(O2458:Q2475,$B2496)+COUNTIF(O2458:Q2475,$B2496&amp;" ~*")&gt;0)+(IFERROR(INDEX(Setup!$G$33:$G$40,MATCH(S2496,Setup!$B$33:$B$40,0)),0)=1)*(COUNTIF(S2458:U2475,$B2496)+COUNTIF(S2458:U2475,$B2496&amp;" ~*")&gt;0)+(IFERROR(INDEX(Setup!$G$33:$G$40,MATCH(W2496,Setup!$B$33:$B$40,0)),0)=1)*(COUNTIF(W2458:W2475,$B2496)+COUNTIF(W2458:W2475,$B2496&amp;" ~*")&gt;0)+(IFERROR(INDEX(Setup!$G$33:$G$40,MATCH(Y2496,Setup!$B$33:$B$40,0)),0)=1)*(COUNTIF(Y2458:Y2475,$B2496)+COUNTIF(Y2458:Y2475,$B2496&amp;" ~*")&gt;0))</f>
        <v/>
      </c>
    </row>
    <row r="2497" ht="15" customHeight="1">
      <c r="A2497" t="n">
        <v>50</v>
      </c>
      <c r="B2497" s="35">
        <f>IF(Setup!$B$26="","",Setup!$B$26)</f>
        <v/>
      </c>
      <c r="C2497" s="98" t="n"/>
      <c r="D2497" s="99" t="n"/>
      <c r="E2497" s="99" t="n"/>
      <c r="F2497" s="100" t="n"/>
      <c r="G2497" s="98" t="n"/>
      <c r="H2497" s="99" t="n"/>
      <c r="I2497" s="99" t="n"/>
      <c r="J2497" s="100" t="n"/>
      <c r="K2497" s="98" t="n"/>
      <c r="L2497" s="99" t="n"/>
      <c r="M2497" s="99" t="n"/>
      <c r="N2497" s="100" t="n"/>
      <c r="O2497" s="98" t="n"/>
      <c r="P2497" s="99" t="n"/>
      <c r="Q2497" s="99" t="n"/>
      <c r="R2497" s="100" t="n"/>
      <c r="S2497" s="98" t="n"/>
      <c r="T2497" s="99" t="n"/>
      <c r="U2497" s="99" t="n"/>
      <c r="V2497" s="100" t="n"/>
      <c r="W2497" s="98" t="n"/>
      <c r="X2497" s="100" t="n"/>
      <c r="Y2497" s="98" t="n"/>
      <c r="Z2497" s="100" t="n"/>
      <c r="AB2497" s="101">
        <f>IF($B2497="","",(COUNTIF(C2458:E2475,$B2497)+COUNTIF(C2458:E2475,$B2497&amp;" ~*")&gt;0)+(COUNTIF(G2458:I2475,$B2497)+COUNTIF(G2458:I2475,$B2497&amp;" ~*")&gt;0)+(COUNTIF(K2458:M2475,$B2497)+COUNTIF(K2458:M2475,$B2497&amp;" ~*")&gt;0)+(COUNTIF(O2458:Q2475,$B2497)+COUNTIF(O2458:Q2475,$B2497&amp;" ~*")&gt;0)+(COUNTIF(S2458:U2475,$B2497)+COUNTIF(S2458:U2475,$B2497&amp;" ~*")&gt;0)+(COUNTIF(W2458:W2475,$B2497)+COUNTIF(W2458:W2475,$B2497&amp;" ~*")&gt;0)+(COUNTIF(Y2458:Y2475,$B2497)+COUNTIF(Y2458:Y2475,$B2497&amp;" ~*")&gt;0))</f>
        <v/>
      </c>
      <c r="AC2497" s="36">
        <f>IF($B2497="","",(IFERROR(INDEX(Setup!$G$33:$G$40,MATCH(C2497,Setup!$B$33:$B$40,0)),0)=1)*(COUNTIF(C2458:E2475,$B2497)+COUNTIF(C2458:E2475,$B2497&amp;" ~*")&gt;0)+(IFERROR(INDEX(Setup!$G$33:$G$40,MATCH(G2497,Setup!$B$33:$B$40,0)),0)=1)*(COUNTIF(G2458:I2475,$B2497)+COUNTIF(G2458:I2475,$B2497&amp;" ~*")&gt;0)+(IFERROR(INDEX(Setup!$G$33:$G$40,MATCH(K2497,Setup!$B$33:$B$40,0)),0)=1)*(COUNTIF(K2458:M2475,$B2497)+COUNTIF(K2458:M2475,$B2497&amp;" ~*")&gt;0)+(IFERROR(INDEX(Setup!$G$33:$G$40,MATCH(O2497,Setup!$B$33:$B$40,0)),0)=1)*(COUNTIF(O2458:Q2475,$B2497)+COUNTIF(O2458:Q2475,$B2497&amp;" ~*")&gt;0)+(IFERROR(INDEX(Setup!$G$33:$G$40,MATCH(S2497,Setup!$B$33:$B$40,0)),0)=1)*(COUNTIF(S2458:U2475,$B2497)+COUNTIF(S2458:U2475,$B2497&amp;" ~*")&gt;0)+(IFERROR(INDEX(Setup!$G$33:$G$40,MATCH(W2497,Setup!$B$33:$B$40,0)),0)=1)*(COUNTIF(W2458:W2475,$B2497)+COUNTIF(W2458:W2475,$B2497&amp;" ~*")&gt;0)+(IFERROR(INDEX(Setup!$G$33:$G$40,MATCH(Y2497,Setup!$B$33:$B$40,0)),0)=1)*(COUNTIF(Y2458:Y2475,$B2497)+COUNTIF(Y2458:Y2475,$B2497&amp;" ~*")&gt;0))</f>
        <v/>
      </c>
    </row>
    <row r="2498" ht="15" customHeight="1">
      <c r="A2498" t="n">
        <v>50</v>
      </c>
      <c r="B2498" s="37">
        <f>IF(Setup!$B$27="","",Setup!$B$27)</f>
        <v/>
      </c>
      <c r="C2498" s="102" t="n"/>
      <c r="D2498" s="103" t="n"/>
      <c r="E2498" s="103" t="n"/>
      <c r="F2498" s="104" t="n"/>
      <c r="G2498" s="102" t="n"/>
      <c r="H2498" s="103" t="n"/>
      <c r="I2498" s="103" t="n"/>
      <c r="J2498" s="104" t="n"/>
      <c r="K2498" s="102" t="n"/>
      <c r="L2498" s="103" t="n"/>
      <c r="M2498" s="103" t="n"/>
      <c r="N2498" s="104" t="n"/>
      <c r="O2498" s="102" t="n"/>
      <c r="P2498" s="103" t="n"/>
      <c r="Q2498" s="103" t="n"/>
      <c r="R2498" s="104" t="n"/>
      <c r="S2498" s="102" t="n"/>
      <c r="T2498" s="103" t="n"/>
      <c r="U2498" s="103" t="n"/>
      <c r="V2498" s="104" t="n"/>
      <c r="W2498" s="102" t="n"/>
      <c r="X2498" s="104" t="n"/>
      <c r="Y2498" s="102" t="n"/>
      <c r="Z2498" s="104" t="n"/>
      <c r="AB2498" s="105">
        <f>IF($B2498="","",(COUNTIF(C2458:E2475,$B2498)+COUNTIF(C2458:E2475,$B2498&amp;" ~*")&gt;0)+(COUNTIF(G2458:I2475,$B2498)+COUNTIF(G2458:I2475,$B2498&amp;" ~*")&gt;0)+(COUNTIF(K2458:M2475,$B2498)+COUNTIF(K2458:M2475,$B2498&amp;" ~*")&gt;0)+(COUNTIF(O2458:Q2475,$B2498)+COUNTIF(O2458:Q2475,$B2498&amp;" ~*")&gt;0)+(COUNTIF(S2458:U2475,$B2498)+COUNTIF(S2458:U2475,$B2498&amp;" ~*")&gt;0)+(COUNTIF(W2458:W2475,$B2498)+COUNTIF(W2458:W2475,$B2498&amp;" ~*")&gt;0)+(COUNTIF(Y2458:Y2475,$B2498)+COUNTIF(Y2458:Y2475,$B2498&amp;" ~*")&gt;0))</f>
        <v/>
      </c>
      <c r="AC2498" s="38">
        <f>IF($B2498="","",(IFERROR(INDEX(Setup!$G$33:$G$40,MATCH(C2498,Setup!$B$33:$B$40,0)),0)=1)*(COUNTIF(C2458:E2475,$B2498)+COUNTIF(C2458:E2475,$B2498&amp;" ~*")&gt;0)+(IFERROR(INDEX(Setup!$G$33:$G$40,MATCH(G2498,Setup!$B$33:$B$40,0)),0)=1)*(COUNTIF(G2458:I2475,$B2498)+COUNTIF(G2458:I2475,$B2498&amp;" ~*")&gt;0)+(IFERROR(INDEX(Setup!$G$33:$G$40,MATCH(K2498,Setup!$B$33:$B$40,0)),0)=1)*(COUNTIF(K2458:M2475,$B2498)+COUNTIF(K2458:M2475,$B2498&amp;" ~*")&gt;0)+(IFERROR(INDEX(Setup!$G$33:$G$40,MATCH(O2498,Setup!$B$33:$B$40,0)),0)=1)*(COUNTIF(O2458:Q2475,$B2498)+COUNTIF(O2458:Q2475,$B2498&amp;" ~*")&gt;0)+(IFERROR(INDEX(Setup!$G$33:$G$40,MATCH(S2498,Setup!$B$33:$B$40,0)),0)=1)*(COUNTIF(S2458:U2475,$B2498)+COUNTIF(S2458:U2475,$B2498&amp;" ~*")&gt;0)+(IFERROR(INDEX(Setup!$G$33:$G$40,MATCH(W2498,Setup!$B$33:$B$40,0)),0)=1)*(COUNTIF(W2458:W2475,$B2498)+COUNTIF(W2458:W2475,$B2498&amp;" ~*")&gt;0)+(IFERROR(INDEX(Setup!$G$33:$G$40,MATCH(Y2498,Setup!$B$33:$B$40,0)),0)=1)*(COUNTIF(Y2458:Y2475,$B2498)+COUNTIF(Y2458:Y2475,$B2498&amp;" ~*")&gt;0))</f>
        <v/>
      </c>
    </row>
    <row r="2499" ht="15" customHeight="1">
      <c r="A2499" t="n">
        <v>50</v>
      </c>
      <c r="B2499" s="35">
        <f>IF(Setup!$B$28="","",Setup!$B$28)</f>
        <v/>
      </c>
      <c r="C2499" s="98" t="n"/>
      <c r="D2499" s="99" t="n"/>
      <c r="E2499" s="99" t="n"/>
      <c r="F2499" s="100" t="n"/>
      <c r="G2499" s="98" t="n"/>
      <c r="H2499" s="99" t="n"/>
      <c r="I2499" s="99" t="n"/>
      <c r="J2499" s="100" t="n"/>
      <c r="K2499" s="98" t="n"/>
      <c r="L2499" s="99" t="n"/>
      <c r="M2499" s="99" t="n"/>
      <c r="N2499" s="100" t="n"/>
      <c r="O2499" s="98" t="n"/>
      <c r="P2499" s="99" t="n"/>
      <c r="Q2499" s="99" t="n"/>
      <c r="R2499" s="100" t="n"/>
      <c r="S2499" s="98" t="n"/>
      <c r="T2499" s="99" t="n"/>
      <c r="U2499" s="99" t="n"/>
      <c r="V2499" s="100" t="n"/>
      <c r="W2499" s="98" t="n"/>
      <c r="X2499" s="100" t="n"/>
      <c r="Y2499" s="98" t="n"/>
      <c r="Z2499" s="100" t="n"/>
      <c r="AB2499" s="101">
        <f>IF($B2499="","",(COUNTIF(C2458:E2475,$B2499)+COUNTIF(C2458:E2475,$B2499&amp;" ~*")&gt;0)+(COUNTIF(G2458:I2475,$B2499)+COUNTIF(G2458:I2475,$B2499&amp;" ~*")&gt;0)+(COUNTIF(K2458:M2475,$B2499)+COUNTIF(K2458:M2475,$B2499&amp;" ~*")&gt;0)+(COUNTIF(O2458:Q2475,$B2499)+COUNTIF(O2458:Q2475,$B2499&amp;" ~*")&gt;0)+(COUNTIF(S2458:U2475,$B2499)+COUNTIF(S2458:U2475,$B2499&amp;" ~*")&gt;0)+(COUNTIF(W2458:W2475,$B2499)+COUNTIF(W2458:W2475,$B2499&amp;" ~*")&gt;0)+(COUNTIF(Y2458:Y2475,$B2499)+COUNTIF(Y2458:Y2475,$B2499&amp;" ~*")&gt;0))</f>
        <v/>
      </c>
      <c r="AC2499" s="36">
        <f>IF($B2499="","",(IFERROR(INDEX(Setup!$G$33:$G$40,MATCH(C2499,Setup!$B$33:$B$40,0)),0)=1)*(COUNTIF(C2458:E2475,$B2499)+COUNTIF(C2458:E2475,$B2499&amp;" ~*")&gt;0)+(IFERROR(INDEX(Setup!$G$33:$G$40,MATCH(G2499,Setup!$B$33:$B$40,0)),0)=1)*(COUNTIF(G2458:I2475,$B2499)+COUNTIF(G2458:I2475,$B2499&amp;" ~*")&gt;0)+(IFERROR(INDEX(Setup!$G$33:$G$40,MATCH(K2499,Setup!$B$33:$B$40,0)),0)=1)*(COUNTIF(K2458:M2475,$B2499)+COUNTIF(K2458:M2475,$B2499&amp;" ~*")&gt;0)+(IFERROR(INDEX(Setup!$G$33:$G$40,MATCH(O2499,Setup!$B$33:$B$40,0)),0)=1)*(COUNTIF(O2458:Q2475,$B2499)+COUNTIF(O2458:Q2475,$B2499&amp;" ~*")&gt;0)+(IFERROR(INDEX(Setup!$G$33:$G$40,MATCH(S2499,Setup!$B$33:$B$40,0)),0)=1)*(COUNTIF(S2458:U2475,$B2499)+COUNTIF(S2458:U2475,$B2499&amp;" ~*")&gt;0)+(IFERROR(INDEX(Setup!$G$33:$G$40,MATCH(W2499,Setup!$B$33:$B$40,0)),0)=1)*(COUNTIF(W2458:W2475,$B2499)+COUNTIF(W2458:W2475,$B2499&amp;" ~*")&gt;0)+(IFERROR(INDEX(Setup!$G$33:$G$40,MATCH(Y2499,Setup!$B$33:$B$40,0)),0)=1)*(COUNTIF(Y2458:Y2475,$B2499)+COUNTIF(Y2458:Y2475,$B2499&amp;" ~*")&gt;0))</f>
        <v/>
      </c>
    </row>
    <row r="2500" ht="15" customHeight="1">
      <c r="A2500" t="n">
        <v>50</v>
      </c>
      <c r="B2500" s="37">
        <f>IF(Setup!$B$29="","",Setup!$B$29)</f>
        <v/>
      </c>
      <c r="C2500" s="102" t="n"/>
      <c r="D2500" s="103" t="n"/>
      <c r="E2500" s="103" t="n"/>
      <c r="F2500" s="104" t="n"/>
      <c r="G2500" s="102" t="n"/>
      <c r="H2500" s="103" t="n"/>
      <c r="I2500" s="103" t="n"/>
      <c r="J2500" s="104" t="n"/>
      <c r="K2500" s="102" t="n"/>
      <c r="L2500" s="103" t="n"/>
      <c r="M2500" s="103" t="n"/>
      <c r="N2500" s="104" t="n"/>
      <c r="O2500" s="102" t="n"/>
      <c r="P2500" s="103" t="n"/>
      <c r="Q2500" s="103" t="n"/>
      <c r="R2500" s="104" t="n"/>
      <c r="S2500" s="102" t="n"/>
      <c r="T2500" s="103" t="n"/>
      <c r="U2500" s="103" t="n"/>
      <c r="V2500" s="104" t="n"/>
      <c r="W2500" s="102" t="n"/>
      <c r="X2500" s="104" t="n"/>
      <c r="Y2500" s="102" t="n"/>
      <c r="Z2500" s="104" t="n"/>
      <c r="AB2500" s="105">
        <f>IF($B2500="","",(COUNTIF(C2458:E2475,$B2500)+COUNTIF(C2458:E2475,$B2500&amp;" ~*")&gt;0)+(COUNTIF(G2458:I2475,$B2500)+COUNTIF(G2458:I2475,$B2500&amp;" ~*")&gt;0)+(COUNTIF(K2458:M2475,$B2500)+COUNTIF(K2458:M2475,$B2500&amp;" ~*")&gt;0)+(COUNTIF(O2458:Q2475,$B2500)+COUNTIF(O2458:Q2475,$B2500&amp;" ~*")&gt;0)+(COUNTIF(S2458:U2475,$B2500)+COUNTIF(S2458:U2475,$B2500&amp;" ~*")&gt;0)+(COUNTIF(W2458:W2475,$B2500)+COUNTIF(W2458:W2475,$B2500&amp;" ~*")&gt;0)+(COUNTIF(Y2458:Y2475,$B2500)+COUNTIF(Y2458:Y2475,$B2500&amp;" ~*")&gt;0))</f>
        <v/>
      </c>
      <c r="AC2500" s="38">
        <f>IF($B2500="","",(IFERROR(INDEX(Setup!$G$33:$G$40,MATCH(C2500,Setup!$B$33:$B$40,0)),0)=1)*(COUNTIF(C2458:E2475,$B2500)+COUNTIF(C2458:E2475,$B2500&amp;" ~*")&gt;0)+(IFERROR(INDEX(Setup!$G$33:$G$40,MATCH(G2500,Setup!$B$33:$B$40,0)),0)=1)*(COUNTIF(G2458:I2475,$B2500)+COUNTIF(G2458:I2475,$B2500&amp;" ~*")&gt;0)+(IFERROR(INDEX(Setup!$G$33:$G$40,MATCH(K2500,Setup!$B$33:$B$40,0)),0)=1)*(COUNTIF(K2458:M2475,$B2500)+COUNTIF(K2458:M2475,$B2500&amp;" ~*")&gt;0)+(IFERROR(INDEX(Setup!$G$33:$G$40,MATCH(O2500,Setup!$B$33:$B$40,0)),0)=1)*(COUNTIF(O2458:Q2475,$B2500)+COUNTIF(O2458:Q2475,$B2500&amp;" ~*")&gt;0)+(IFERROR(INDEX(Setup!$G$33:$G$40,MATCH(S2500,Setup!$B$33:$B$40,0)),0)=1)*(COUNTIF(S2458:U2475,$B2500)+COUNTIF(S2458:U2475,$B2500&amp;" ~*")&gt;0)+(IFERROR(INDEX(Setup!$G$33:$G$40,MATCH(W2500,Setup!$B$33:$B$40,0)),0)=1)*(COUNTIF(W2458:W2475,$B2500)+COUNTIF(W2458:W2475,$B2500&amp;" ~*")&gt;0)+(IFERROR(INDEX(Setup!$G$33:$G$40,MATCH(Y2500,Setup!$B$33:$B$40,0)),0)=1)*(COUNTIF(Y2458:Y2475,$B2500)+COUNTIF(Y2458:Y2475,$B2500&amp;" ~*")&gt;0))</f>
        <v/>
      </c>
    </row>
    <row r="2501" ht="16" customHeight="1">
      <c r="A2501" t="n">
        <v>50</v>
      </c>
      <c r="B2501" s="106" t="inlineStr">
        <is>
          <t>Available people</t>
        </is>
      </c>
      <c r="C2501" s="107">
        <f>COUNTIFS(Setup!$E$6:$E$29,"Y",Setup!$B$6:$B$29,"?*")-SUMPRODUCT(COUNTIF(C2477:C2500,Setup!$F$33:$F$40))</f>
        <v/>
      </c>
      <c r="D2501" s="107" t="n"/>
      <c r="E2501" s="107" t="n"/>
      <c r="F2501" s="107" t="n"/>
      <c r="G2501" s="107">
        <f>COUNTIFS(Setup!$E$6:$E$29,"Y",Setup!$B$6:$B$29,"?*")-SUMPRODUCT(COUNTIF(G2477:G2500,Setup!$F$33:$F$40))</f>
        <v/>
      </c>
      <c r="H2501" s="107" t="n"/>
      <c r="I2501" s="107" t="n"/>
      <c r="J2501" s="107" t="n"/>
      <c r="K2501" s="107">
        <f>COUNTIFS(Setup!$E$6:$E$29,"Y",Setup!$B$6:$B$29,"?*")-SUMPRODUCT(COUNTIF(K2477:K2500,Setup!$F$33:$F$40))</f>
        <v/>
      </c>
      <c r="L2501" s="107" t="n"/>
      <c r="M2501" s="107" t="n"/>
      <c r="N2501" s="107" t="n"/>
      <c r="O2501" s="107">
        <f>COUNTIFS(Setup!$E$6:$E$29,"Y",Setup!$B$6:$B$29,"?*")-SUMPRODUCT(COUNTIF(O2477:O2500,Setup!$F$33:$F$40))</f>
        <v/>
      </c>
      <c r="P2501" s="107" t="n"/>
      <c r="Q2501" s="107" t="n"/>
      <c r="R2501" s="107" t="n"/>
      <c r="S2501" s="107">
        <f>COUNTIFS(Setup!$E$6:$E$29,"Y",Setup!$B$6:$B$29,"?*")-SUMPRODUCT(COUNTIF(S2477:S2500,Setup!$F$33:$F$40))</f>
        <v/>
      </c>
      <c r="T2501" s="107" t="n"/>
      <c r="U2501" s="107" t="n"/>
      <c r="V2501" s="107" t="n"/>
      <c r="W2501" s="107">
        <f>COUNTIFS(Setup!$E$6:$E$29,"Y",Setup!$B$6:$B$29,"?*")-SUMPRODUCT(COUNTIF(W2477:W2500,Setup!$F$33:$F$40))</f>
        <v/>
      </c>
      <c r="X2501" s="107" t="n"/>
      <c r="Y2501" s="107">
        <f>COUNTIFS(Setup!$E$6:$E$29,"Y",Setup!$B$6:$B$29,"?*")-SUMPRODUCT(COUNTIF(Y2477:Y2500,Setup!$F$33:$F$40))</f>
        <v/>
      </c>
      <c r="Z2501" s="107" t="n"/>
      <c r="AB2501" s="108">
        <f>SUM(AB2477:AB2500)</f>
        <v/>
      </c>
      <c r="AC2501" s="109">
        <f>SUM(AC2477:AC2500)</f>
        <v/>
      </c>
    </row>
    <row r="2502" ht="30" customHeight="1">
      <c r="A2502" t="n">
        <v>50</v>
      </c>
      <c r="B2502" s="110" t="inlineStr">
        <is>
          <t>Week notes</t>
        </is>
      </c>
      <c r="C2502" s="111" t="n"/>
      <c r="D2502" s="112" t="n"/>
      <c r="E2502" s="112" t="n"/>
      <c r="F2502" s="112" t="n"/>
      <c r="G2502" s="112" t="n"/>
      <c r="H2502" s="112" t="n"/>
      <c r="I2502" s="112" t="n"/>
      <c r="J2502" s="112" t="n"/>
      <c r="K2502" s="112" t="n"/>
      <c r="L2502" s="112" t="n"/>
      <c r="M2502" s="112" t="n"/>
      <c r="N2502" s="112" t="n"/>
      <c r="O2502" s="112" t="n"/>
      <c r="P2502" s="112" t="n"/>
      <c r="Q2502" s="112" t="n"/>
      <c r="R2502" s="112" t="n"/>
      <c r="S2502" s="112" t="n"/>
      <c r="T2502" s="112" t="n"/>
      <c r="U2502" s="112" t="n"/>
      <c r="V2502" s="112" t="n"/>
      <c r="W2502" s="112" t="n"/>
      <c r="X2502" s="112" t="n"/>
      <c r="Y2502" s="112" t="n"/>
      <c r="Z2502" s="113" t="n"/>
    </row>
    <row r="2503" ht="8" customHeight="1">
      <c r="A2503" t="n">
        <v>50</v>
      </c>
    </row>
    <row r="2504" ht="8" customHeight="1">
      <c r="A2504" t="n">
        <v>50</v>
      </c>
    </row>
    <row r="2505" ht="24" customHeight="1">
      <c r="A2505" t="n">
        <v>51</v>
      </c>
      <c r="B2505" s="73">
        <f>"WEEK 51     "&amp;TEXT(C2506,"ddd d mmm")&amp;"  –  "&amp;TEXT(C2506+6,"ddd d mmm yyyy")</f>
        <v/>
      </c>
      <c r="S2505" s="74">
        <f>IF(TODAY()&lt;C2506,"FUTURE",IF(TODAY()&gt;C2506+6,"PAST","THIS WEEK"))</f>
        <v/>
      </c>
      <c r="W2505" s="75">
        <f>IF(AND(Engine!$B$8=$AC$3,Engine!$B$9=$A2505),"◀ ACTIVE WEEK","")</f>
        <v/>
      </c>
      <c r="AA2505" s="76" t="n"/>
      <c r="AB2505" s="77" t="inlineStr">
        <is>
          <t>◀ Prev</t>
        </is>
      </c>
      <c r="AC2505" s="77" t="inlineStr">
        <is>
          <t>Next ▶</t>
        </is>
      </c>
    </row>
    <row r="2506" ht="18" customHeight="1">
      <c r="A2506" t="n">
        <v>51</v>
      </c>
      <c r="B2506" s="78" t="inlineStr">
        <is>
          <t>DUTY</t>
        </is>
      </c>
      <c r="C2506" s="79">
        <f>$AC$2+7*($A2506-1)</f>
        <v/>
      </c>
      <c r="D2506" s="80" t="n"/>
      <c r="E2506" s="80" t="n"/>
      <c r="F2506" s="81" t="n"/>
      <c r="G2506" s="79">
        <f>C2506+1</f>
        <v/>
      </c>
      <c r="H2506" s="80" t="n"/>
      <c r="I2506" s="80" t="n"/>
      <c r="J2506" s="81" t="n"/>
      <c r="K2506" s="79">
        <f>C2506+2</f>
        <v/>
      </c>
      <c r="L2506" s="80" t="n"/>
      <c r="M2506" s="80" t="n"/>
      <c r="N2506" s="81" t="n"/>
      <c r="O2506" s="79">
        <f>C2506+3</f>
        <v/>
      </c>
      <c r="P2506" s="80" t="n"/>
      <c r="Q2506" s="80" t="n"/>
      <c r="R2506" s="81" t="n"/>
      <c r="S2506" s="79">
        <f>C2506+4</f>
        <v/>
      </c>
      <c r="T2506" s="80" t="n"/>
      <c r="U2506" s="80" t="n"/>
      <c r="V2506" s="81" t="n"/>
      <c r="W2506" s="82">
        <f>C2506+5</f>
        <v/>
      </c>
      <c r="X2506" s="83" t="n"/>
      <c r="Y2506" s="82">
        <f>C2506+6</f>
        <v/>
      </c>
      <c r="Z2506" s="83" t="n"/>
      <c r="AB2506" s="72" t="inlineStr">
        <is>
          <t>Gaps</t>
        </is>
      </c>
      <c r="AC2506" s="72" t="inlineStr">
        <is>
          <t>Cover</t>
        </is>
      </c>
    </row>
    <row r="2507" ht="14" customHeight="1">
      <c r="A2507" t="n">
        <v>51</v>
      </c>
      <c r="B2507" s="84" t="inlineStr">
        <is>
          <t>(from Setup)</t>
        </is>
      </c>
      <c r="C2507" s="85" t="inlineStr">
        <is>
          <t>1</t>
        </is>
      </c>
      <c r="D2507" s="85" t="inlineStr">
        <is>
          <t>2</t>
        </is>
      </c>
      <c r="E2507" s="85" t="inlineStr">
        <is>
          <t>3</t>
        </is>
      </c>
      <c r="F2507" s="85" t="inlineStr">
        <is>
          <t>Notes</t>
        </is>
      </c>
      <c r="G2507" s="85" t="inlineStr">
        <is>
          <t>1</t>
        </is>
      </c>
      <c r="H2507" s="85" t="inlineStr">
        <is>
          <t>2</t>
        </is>
      </c>
      <c r="I2507" s="85" t="inlineStr">
        <is>
          <t>3</t>
        </is>
      </c>
      <c r="J2507" s="85" t="inlineStr">
        <is>
          <t>Notes</t>
        </is>
      </c>
      <c r="K2507" s="85" t="inlineStr">
        <is>
          <t>1</t>
        </is>
      </c>
      <c r="L2507" s="85" t="inlineStr">
        <is>
          <t>2</t>
        </is>
      </c>
      <c r="M2507" s="85" t="inlineStr">
        <is>
          <t>3</t>
        </is>
      </c>
      <c r="N2507" s="85" t="inlineStr">
        <is>
          <t>Notes</t>
        </is>
      </c>
      <c r="O2507" s="85" t="inlineStr">
        <is>
          <t>1</t>
        </is>
      </c>
      <c r="P2507" s="85" t="inlineStr">
        <is>
          <t>2</t>
        </is>
      </c>
      <c r="Q2507" s="85" t="inlineStr">
        <is>
          <t>3</t>
        </is>
      </c>
      <c r="R2507" s="85" t="inlineStr">
        <is>
          <t>Notes</t>
        </is>
      </c>
      <c r="S2507" s="85" t="inlineStr">
        <is>
          <t>1</t>
        </is>
      </c>
      <c r="T2507" s="85" t="inlineStr">
        <is>
          <t>2</t>
        </is>
      </c>
      <c r="U2507" s="85" t="inlineStr">
        <is>
          <t>3</t>
        </is>
      </c>
      <c r="V2507" s="85" t="inlineStr">
        <is>
          <t>Notes</t>
        </is>
      </c>
      <c r="W2507" s="85" t="inlineStr">
        <is>
          <t>Cover</t>
        </is>
      </c>
      <c r="X2507" s="85" t="inlineStr">
        <is>
          <t>Notes</t>
        </is>
      </c>
      <c r="Y2507" s="85" t="inlineStr">
        <is>
          <t>Cover</t>
        </is>
      </c>
      <c r="Z2507" s="85" t="inlineStr">
        <is>
          <t>Notes</t>
        </is>
      </c>
      <c r="AB2507" s="86" t="inlineStr">
        <is>
          <t>weekdays short</t>
        </is>
      </c>
      <c r="AC2507" s="87" t="inlineStr"/>
    </row>
    <row r="2508" ht="17" customHeight="1">
      <c r="A2508" t="n">
        <v>51</v>
      </c>
      <c r="B2508" s="24">
        <f>IF(Setup!$K$6="","",Setup!$K$6)</f>
        <v/>
      </c>
      <c r="C2508" s="88" t="n"/>
      <c r="D2508" s="88" t="n"/>
      <c r="E2508" s="88" t="n"/>
      <c r="F2508" s="89" t="n"/>
      <c r="G2508" s="88" t="n"/>
      <c r="H2508" s="88" t="n"/>
      <c r="I2508" s="88" t="n"/>
      <c r="J2508" s="89" t="n"/>
      <c r="K2508" s="88" t="n"/>
      <c r="L2508" s="88" t="n"/>
      <c r="M2508" s="88" t="n"/>
      <c r="N2508" s="89" t="n"/>
      <c r="O2508" s="88" t="n"/>
      <c r="P2508" s="88" t="n"/>
      <c r="Q2508" s="88" t="n"/>
      <c r="R2508" s="89" t="n"/>
      <c r="S2508" s="88" t="n"/>
      <c r="T2508" s="88" t="n"/>
      <c r="U2508" s="88" t="n"/>
      <c r="V2508" s="89" t="n"/>
      <c r="W2508" s="88" t="n"/>
      <c r="X2508" s="89" t="n"/>
      <c r="Y2508" s="88" t="n"/>
      <c r="Z2508" s="89" t="n"/>
      <c r="AB2508" s="25">
        <f>IF($B2508="","",(COUNTIF(C2508:E2508,"?*")&lt;N(INDEX(Setup!$L$6:$L$23,1)))+(COUNTIF(G2508:I2508,"?*")&lt;N(INDEX(Setup!$L$6:$L$23,1)))+(COUNTIF(K2508:M2508,"?*")&lt;N(INDEX(Setup!$L$6:$L$23,1)))+(COUNTIF(O2508:Q2508,"?*")&lt;N(INDEX(Setup!$L$6:$L$23,1)))+(COUNTIF(S2508:U2508,"?*")&lt;N(INDEX(Setup!$L$6:$L$23,1)))+((W2508="")*(INDEX(Setup!$M$6:$M$23,1)="Y"))+((Y2508="")*(INDEX(Setup!$M$6:$M$23,1)="Y")))</f>
        <v/>
      </c>
      <c r="AC2508" s="90">
        <f>IF($B2508="","",IF(AB2508=0,"✓ covered","⚠ "&amp;AB2508&amp;IF(AB2508=1," gap"," gaps")))</f>
        <v/>
      </c>
    </row>
    <row r="2509" ht="17" customHeight="1">
      <c r="A2509" t="n">
        <v>51</v>
      </c>
      <c r="B2509" s="29">
        <f>IF(Setup!$K$7="","",Setup!$K$7)</f>
        <v/>
      </c>
      <c r="C2509" s="88" t="n"/>
      <c r="D2509" s="88" t="n"/>
      <c r="E2509" s="88" t="n"/>
      <c r="F2509" s="89" t="n"/>
      <c r="G2509" s="88" t="n"/>
      <c r="H2509" s="88" t="n"/>
      <c r="I2509" s="88" t="n"/>
      <c r="J2509" s="89" t="n"/>
      <c r="K2509" s="88" t="n"/>
      <c r="L2509" s="88" t="n"/>
      <c r="M2509" s="88" t="n"/>
      <c r="N2509" s="89" t="n"/>
      <c r="O2509" s="88" t="n"/>
      <c r="P2509" s="88" t="n"/>
      <c r="Q2509" s="88" t="n"/>
      <c r="R2509" s="89" t="n"/>
      <c r="S2509" s="88" t="n"/>
      <c r="T2509" s="88" t="n"/>
      <c r="U2509" s="88" t="n"/>
      <c r="V2509" s="89" t="n"/>
      <c r="W2509" s="88" t="n"/>
      <c r="X2509" s="89" t="n"/>
      <c r="Y2509" s="88" t="n"/>
      <c r="Z2509" s="89" t="n"/>
      <c r="AB2509" s="30">
        <f>IF($B2509="","",(COUNTIF(C2509:E2509,"?*")&lt;N(INDEX(Setup!$L$6:$L$23,2)))+(COUNTIF(G2509:I2509,"?*")&lt;N(INDEX(Setup!$L$6:$L$23,2)))+(COUNTIF(K2509:M2509,"?*")&lt;N(INDEX(Setup!$L$6:$L$23,2)))+(COUNTIF(O2509:Q2509,"?*")&lt;N(INDEX(Setup!$L$6:$L$23,2)))+(COUNTIF(S2509:U2509,"?*")&lt;N(INDEX(Setup!$L$6:$L$23,2)))+((W2509="")*(INDEX(Setup!$M$6:$M$23,2)="Y"))+((Y2509="")*(INDEX(Setup!$M$6:$M$23,2)="Y")))</f>
        <v/>
      </c>
      <c r="AC2509" s="91">
        <f>IF($B2509="","",IF(AB2509=0,"✓ covered","⚠ "&amp;AB2509&amp;IF(AB2509=1," gap"," gaps")))</f>
        <v/>
      </c>
    </row>
    <row r="2510" ht="17" customHeight="1">
      <c r="A2510" t="n">
        <v>51</v>
      </c>
      <c r="B2510" s="24">
        <f>IF(Setup!$K$8="","",Setup!$K$8)</f>
        <v/>
      </c>
      <c r="C2510" s="88" t="n"/>
      <c r="D2510" s="88" t="n"/>
      <c r="E2510" s="88" t="n"/>
      <c r="F2510" s="89" t="n"/>
      <c r="G2510" s="88" t="n"/>
      <c r="H2510" s="88" t="n"/>
      <c r="I2510" s="88" t="n"/>
      <c r="J2510" s="89" t="n"/>
      <c r="K2510" s="88" t="n"/>
      <c r="L2510" s="88" t="n"/>
      <c r="M2510" s="88" t="n"/>
      <c r="N2510" s="89" t="n"/>
      <c r="O2510" s="88" t="n"/>
      <c r="P2510" s="88" t="n"/>
      <c r="Q2510" s="88" t="n"/>
      <c r="R2510" s="89" t="n"/>
      <c r="S2510" s="88" t="n"/>
      <c r="T2510" s="88" t="n"/>
      <c r="U2510" s="88" t="n"/>
      <c r="V2510" s="89" t="n"/>
      <c r="W2510" s="88" t="n"/>
      <c r="X2510" s="89" t="n"/>
      <c r="Y2510" s="88" t="n"/>
      <c r="Z2510" s="89" t="n"/>
      <c r="AB2510" s="25">
        <f>IF($B2510="","",(COUNTIF(C2510:E2510,"?*")&lt;N(INDEX(Setup!$L$6:$L$23,3)))+(COUNTIF(G2510:I2510,"?*")&lt;N(INDEX(Setup!$L$6:$L$23,3)))+(COUNTIF(K2510:M2510,"?*")&lt;N(INDEX(Setup!$L$6:$L$23,3)))+(COUNTIF(O2510:Q2510,"?*")&lt;N(INDEX(Setup!$L$6:$L$23,3)))+(COUNTIF(S2510:U2510,"?*")&lt;N(INDEX(Setup!$L$6:$L$23,3)))+((W2510="")*(INDEX(Setup!$M$6:$M$23,3)="Y"))+((Y2510="")*(INDEX(Setup!$M$6:$M$23,3)="Y")))</f>
        <v/>
      </c>
      <c r="AC2510" s="90">
        <f>IF($B2510="","",IF(AB2510=0,"✓ covered","⚠ "&amp;AB2510&amp;IF(AB2510=1," gap"," gaps")))</f>
        <v/>
      </c>
    </row>
    <row r="2511" ht="17" customHeight="1">
      <c r="A2511" t="n">
        <v>51</v>
      </c>
      <c r="B2511" s="29">
        <f>IF(Setup!$K$9="","",Setup!$K$9)</f>
        <v/>
      </c>
      <c r="C2511" s="88" t="n"/>
      <c r="D2511" s="88" t="n"/>
      <c r="E2511" s="88" t="n"/>
      <c r="F2511" s="89" t="n"/>
      <c r="G2511" s="88" t="n"/>
      <c r="H2511" s="88" t="n"/>
      <c r="I2511" s="88" t="n"/>
      <c r="J2511" s="89" t="n"/>
      <c r="K2511" s="88" t="n"/>
      <c r="L2511" s="88" t="n"/>
      <c r="M2511" s="88" t="n"/>
      <c r="N2511" s="89" t="n"/>
      <c r="O2511" s="88" t="n"/>
      <c r="P2511" s="88" t="n"/>
      <c r="Q2511" s="88" t="n"/>
      <c r="R2511" s="89" t="n"/>
      <c r="S2511" s="88" t="n"/>
      <c r="T2511" s="88" t="n"/>
      <c r="U2511" s="88" t="n"/>
      <c r="V2511" s="89" t="n"/>
      <c r="W2511" s="88" t="n"/>
      <c r="X2511" s="89" t="n"/>
      <c r="Y2511" s="88" t="n"/>
      <c r="Z2511" s="89" t="n"/>
      <c r="AB2511" s="30">
        <f>IF($B2511="","",(COUNTIF(C2511:E2511,"?*")&lt;N(INDEX(Setup!$L$6:$L$23,4)))+(COUNTIF(G2511:I2511,"?*")&lt;N(INDEX(Setup!$L$6:$L$23,4)))+(COUNTIF(K2511:M2511,"?*")&lt;N(INDEX(Setup!$L$6:$L$23,4)))+(COUNTIF(O2511:Q2511,"?*")&lt;N(INDEX(Setup!$L$6:$L$23,4)))+(COUNTIF(S2511:U2511,"?*")&lt;N(INDEX(Setup!$L$6:$L$23,4)))+((W2511="")*(INDEX(Setup!$M$6:$M$23,4)="Y"))+((Y2511="")*(INDEX(Setup!$M$6:$M$23,4)="Y")))</f>
        <v/>
      </c>
      <c r="AC2511" s="91">
        <f>IF($B2511="","",IF(AB2511=0,"✓ covered","⚠ "&amp;AB2511&amp;IF(AB2511=1," gap"," gaps")))</f>
        <v/>
      </c>
    </row>
    <row r="2512" ht="17" customHeight="1">
      <c r="A2512" t="n">
        <v>51</v>
      </c>
      <c r="B2512" s="24">
        <f>IF(Setup!$K$10="","",Setup!$K$10)</f>
        <v/>
      </c>
      <c r="C2512" s="88" t="n"/>
      <c r="D2512" s="88" t="n"/>
      <c r="E2512" s="88" t="n"/>
      <c r="F2512" s="89" t="n"/>
      <c r="G2512" s="88" t="n"/>
      <c r="H2512" s="88" t="n"/>
      <c r="I2512" s="88" t="n"/>
      <c r="J2512" s="89" t="n"/>
      <c r="K2512" s="88" t="n"/>
      <c r="L2512" s="88" t="n"/>
      <c r="M2512" s="88" t="n"/>
      <c r="N2512" s="89" t="n"/>
      <c r="O2512" s="88" t="n"/>
      <c r="P2512" s="88" t="n"/>
      <c r="Q2512" s="88" t="n"/>
      <c r="R2512" s="89" t="n"/>
      <c r="S2512" s="88" t="n"/>
      <c r="T2512" s="88" t="n"/>
      <c r="U2512" s="88" t="n"/>
      <c r="V2512" s="89" t="n"/>
      <c r="W2512" s="88" t="n"/>
      <c r="X2512" s="89" t="n"/>
      <c r="Y2512" s="88" t="n"/>
      <c r="Z2512" s="89" t="n"/>
      <c r="AB2512" s="25">
        <f>IF($B2512="","",(COUNTIF(C2512:E2512,"?*")&lt;N(INDEX(Setup!$L$6:$L$23,5)))+(COUNTIF(G2512:I2512,"?*")&lt;N(INDEX(Setup!$L$6:$L$23,5)))+(COUNTIF(K2512:M2512,"?*")&lt;N(INDEX(Setup!$L$6:$L$23,5)))+(COUNTIF(O2512:Q2512,"?*")&lt;N(INDEX(Setup!$L$6:$L$23,5)))+(COUNTIF(S2512:U2512,"?*")&lt;N(INDEX(Setup!$L$6:$L$23,5)))+((W2512="")*(INDEX(Setup!$M$6:$M$23,5)="Y"))+((Y2512="")*(INDEX(Setup!$M$6:$M$23,5)="Y")))</f>
        <v/>
      </c>
      <c r="AC2512" s="90">
        <f>IF($B2512="","",IF(AB2512=0,"✓ covered","⚠ "&amp;AB2512&amp;IF(AB2512=1," gap"," gaps")))</f>
        <v/>
      </c>
    </row>
    <row r="2513" ht="17" customHeight="1">
      <c r="A2513" t="n">
        <v>51</v>
      </c>
      <c r="B2513" s="29">
        <f>IF(Setup!$K$11="","",Setup!$K$11)</f>
        <v/>
      </c>
      <c r="C2513" s="88" t="n"/>
      <c r="D2513" s="88" t="n"/>
      <c r="E2513" s="88" t="n"/>
      <c r="F2513" s="89" t="n"/>
      <c r="G2513" s="88" t="n"/>
      <c r="H2513" s="88" t="n"/>
      <c r="I2513" s="88" t="n"/>
      <c r="J2513" s="89" t="n"/>
      <c r="K2513" s="88" t="n"/>
      <c r="L2513" s="88" t="n"/>
      <c r="M2513" s="88" t="n"/>
      <c r="N2513" s="89" t="n"/>
      <c r="O2513" s="88" t="n"/>
      <c r="P2513" s="88" t="n"/>
      <c r="Q2513" s="88" t="n"/>
      <c r="R2513" s="89" t="n"/>
      <c r="S2513" s="88" t="n"/>
      <c r="T2513" s="88" t="n"/>
      <c r="U2513" s="88" t="n"/>
      <c r="V2513" s="89" t="n"/>
      <c r="W2513" s="88" t="n"/>
      <c r="X2513" s="89" t="n"/>
      <c r="Y2513" s="88" t="n"/>
      <c r="Z2513" s="89" t="n"/>
      <c r="AB2513" s="30">
        <f>IF($B2513="","",(COUNTIF(C2513:E2513,"?*")&lt;N(INDEX(Setup!$L$6:$L$23,6)))+(COUNTIF(G2513:I2513,"?*")&lt;N(INDEX(Setup!$L$6:$L$23,6)))+(COUNTIF(K2513:M2513,"?*")&lt;N(INDEX(Setup!$L$6:$L$23,6)))+(COUNTIF(O2513:Q2513,"?*")&lt;N(INDEX(Setup!$L$6:$L$23,6)))+(COUNTIF(S2513:U2513,"?*")&lt;N(INDEX(Setup!$L$6:$L$23,6)))+((W2513="")*(INDEX(Setup!$M$6:$M$23,6)="Y"))+((Y2513="")*(INDEX(Setup!$M$6:$M$23,6)="Y")))</f>
        <v/>
      </c>
      <c r="AC2513" s="91">
        <f>IF($B2513="","",IF(AB2513=0,"✓ covered","⚠ "&amp;AB2513&amp;IF(AB2513=1," gap"," gaps")))</f>
        <v/>
      </c>
    </row>
    <row r="2514" ht="17" customHeight="1">
      <c r="A2514" t="n">
        <v>51</v>
      </c>
      <c r="B2514" s="24">
        <f>IF(Setup!$K$12="","",Setup!$K$12)</f>
        <v/>
      </c>
      <c r="C2514" s="88" t="n"/>
      <c r="D2514" s="88" t="n"/>
      <c r="E2514" s="88" t="n"/>
      <c r="F2514" s="89" t="n"/>
      <c r="G2514" s="88" t="n"/>
      <c r="H2514" s="88" t="n"/>
      <c r="I2514" s="88" t="n"/>
      <c r="J2514" s="89" t="n"/>
      <c r="K2514" s="88" t="n"/>
      <c r="L2514" s="88" t="n"/>
      <c r="M2514" s="88" t="n"/>
      <c r="N2514" s="89" t="n"/>
      <c r="O2514" s="88" t="n"/>
      <c r="P2514" s="88" t="n"/>
      <c r="Q2514" s="88" t="n"/>
      <c r="R2514" s="89" t="n"/>
      <c r="S2514" s="88" t="n"/>
      <c r="T2514" s="88" t="n"/>
      <c r="U2514" s="88" t="n"/>
      <c r="V2514" s="89" t="n"/>
      <c r="W2514" s="88" t="n"/>
      <c r="X2514" s="89" t="n"/>
      <c r="Y2514" s="88" t="n"/>
      <c r="Z2514" s="89" t="n"/>
      <c r="AB2514" s="25">
        <f>IF($B2514="","",(COUNTIF(C2514:E2514,"?*")&lt;N(INDEX(Setup!$L$6:$L$23,7)))+(COUNTIF(G2514:I2514,"?*")&lt;N(INDEX(Setup!$L$6:$L$23,7)))+(COUNTIF(K2514:M2514,"?*")&lt;N(INDEX(Setup!$L$6:$L$23,7)))+(COUNTIF(O2514:Q2514,"?*")&lt;N(INDEX(Setup!$L$6:$L$23,7)))+(COUNTIF(S2514:U2514,"?*")&lt;N(INDEX(Setup!$L$6:$L$23,7)))+((W2514="")*(INDEX(Setup!$M$6:$M$23,7)="Y"))+((Y2514="")*(INDEX(Setup!$M$6:$M$23,7)="Y")))</f>
        <v/>
      </c>
      <c r="AC2514" s="90">
        <f>IF($B2514="","",IF(AB2514=0,"✓ covered","⚠ "&amp;AB2514&amp;IF(AB2514=1," gap"," gaps")))</f>
        <v/>
      </c>
    </row>
    <row r="2515" ht="17" customHeight="1">
      <c r="A2515" t="n">
        <v>51</v>
      </c>
      <c r="B2515" s="29">
        <f>IF(Setup!$K$13="","",Setup!$K$13)</f>
        <v/>
      </c>
      <c r="C2515" s="88" t="n"/>
      <c r="D2515" s="88" t="n"/>
      <c r="E2515" s="88" t="n"/>
      <c r="F2515" s="89" t="n"/>
      <c r="G2515" s="88" t="n"/>
      <c r="H2515" s="88" t="n"/>
      <c r="I2515" s="88" t="n"/>
      <c r="J2515" s="89" t="n"/>
      <c r="K2515" s="88" t="n"/>
      <c r="L2515" s="88" t="n"/>
      <c r="M2515" s="88" t="n"/>
      <c r="N2515" s="89" t="n"/>
      <c r="O2515" s="88" t="n"/>
      <c r="P2515" s="88" t="n"/>
      <c r="Q2515" s="88" t="n"/>
      <c r="R2515" s="89" t="n"/>
      <c r="S2515" s="88" t="n"/>
      <c r="T2515" s="88" t="n"/>
      <c r="U2515" s="88" t="n"/>
      <c r="V2515" s="89" t="n"/>
      <c r="W2515" s="88" t="n"/>
      <c r="X2515" s="89" t="n"/>
      <c r="Y2515" s="88" t="n"/>
      <c r="Z2515" s="89" t="n"/>
      <c r="AB2515" s="30">
        <f>IF($B2515="","",(COUNTIF(C2515:E2515,"?*")&lt;N(INDEX(Setup!$L$6:$L$23,8)))+(COUNTIF(G2515:I2515,"?*")&lt;N(INDEX(Setup!$L$6:$L$23,8)))+(COUNTIF(K2515:M2515,"?*")&lt;N(INDEX(Setup!$L$6:$L$23,8)))+(COUNTIF(O2515:Q2515,"?*")&lt;N(INDEX(Setup!$L$6:$L$23,8)))+(COUNTIF(S2515:U2515,"?*")&lt;N(INDEX(Setup!$L$6:$L$23,8)))+((W2515="")*(INDEX(Setup!$M$6:$M$23,8)="Y"))+((Y2515="")*(INDEX(Setup!$M$6:$M$23,8)="Y")))</f>
        <v/>
      </c>
      <c r="AC2515" s="91">
        <f>IF($B2515="","",IF(AB2515=0,"✓ covered","⚠ "&amp;AB2515&amp;IF(AB2515=1," gap"," gaps")))</f>
        <v/>
      </c>
    </row>
    <row r="2516" ht="17" customHeight="1">
      <c r="A2516" t="n">
        <v>51</v>
      </c>
      <c r="B2516" s="24">
        <f>IF(Setup!$K$14="","",Setup!$K$14)</f>
        <v/>
      </c>
      <c r="C2516" s="88" t="n"/>
      <c r="D2516" s="88" t="n"/>
      <c r="E2516" s="88" t="n"/>
      <c r="F2516" s="89" t="n"/>
      <c r="G2516" s="88" t="n"/>
      <c r="H2516" s="88" t="n"/>
      <c r="I2516" s="88" t="n"/>
      <c r="J2516" s="89" t="n"/>
      <c r="K2516" s="88" t="n"/>
      <c r="L2516" s="88" t="n"/>
      <c r="M2516" s="88" t="n"/>
      <c r="N2516" s="89" t="n"/>
      <c r="O2516" s="88" t="n"/>
      <c r="P2516" s="88" t="n"/>
      <c r="Q2516" s="88" t="n"/>
      <c r="R2516" s="89" t="n"/>
      <c r="S2516" s="88" t="n"/>
      <c r="T2516" s="88" t="n"/>
      <c r="U2516" s="88" t="n"/>
      <c r="V2516" s="89" t="n"/>
      <c r="W2516" s="88" t="n"/>
      <c r="X2516" s="89" t="n"/>
      <c r="Y2516" s="88" t="n"/>
      <c r="Z2516" s="89" t="n"/>
      <c r="AB2516" s="25">
        <f>IF($B2516="","",(COUNTIF(C2516:E2516,"?*")&lt;N(INDEX(Setup!$L$6:$L$23,9)))+(COUNTIF(G2516:I2516,"?*")&lt;N(INDEX(Setup!$L$6:$L$23,9)))+(COUNTIF(K2516:M2516,"?*")&lt;N(INDEX(Setup!$L$6:$L$23,9)))+(COUNTIF(O2516:Q2516,"?*")&lt;N(INDEX(Setup!$L$6:$L$23,9)))+(COUNTIF(S2516:U2516,"?*")&lt;N(INDEX(Setup!$L$6:$L$23,9)))+((W2516="")*(INDEX(Setup!$M$6:$M$23,9)="Y"))+((Y2516="")*(INDEX(Setup!$M$6:$M$23,9)="Y")))</f>
        <v/>
      </c>
      <c r="AC2516" s="90">
        <f>IF($B2516="","",IF(AB2516=0,"✓ covered","⚠ "&amp;AB2516&amp;IF(AB2516=1," gap"," gaps")))</f>
        <v/>
      </c>
    </row>
    <row r="2517" ht="17" customHeight="1">
      <c r="A2517" t="n">
        <v>51</v>
      </c>
      <c r="B2517" s="29">
        <f>IF(Setup!$K$15="","",Setup!$K$15)</f>
        <v/>
      </c>
      <c r="C2517" s="88" t="n"/>
      <c r="D2517" s="88" t="n"/>
      <c r="E2517" s="88" t="n"/>
      <c r="F2517" s="89" t="n"/>
      <c r="G2517" s="88" t="n"/>
      <c r="H2517" s="88" t="n"/>
      <c r="I2517" s="88" t="n"/>
      <c r="J2517" s="89" t="n"/>
      <c r="K2517" s="88" t="n"/>
      <c r="L2517" s="88" t="n"/>
      <c r="M2517" s="88" t="n"/>
      <c r="N2517" s="89" t="n"/>
      <c r="O2517" s="88" t="n"/>
      <c r="P2517" s="88" t="n"/>
      <c r="Q2517" s="88" t="n"/>
      <c r="R2517" s="89" t="n"/>
      <c r="S2517" s="88" t="n"/>
      <c r="T2517" s="88" t="n"/>
      <c r="U2517" s="88" t="n"/>
      <c r="V2517" s="89" t="n"/>
      <c r="W2517" s="88" t="n"/>
      <c r="X2517" s="89" t="n"/>
      <c r="Y2517" s="88" t="n"/>
      <c r="Z2517" s="89" t="n"/>
      <c r="AB2517" s="30">
        <f>IF($B2517="","",(COUNTIF(C2517:E2517,"?*")&lt;N(INDEX(Setup!$L$6:$L$23,10)))+(COUNTIF(G2517:I2517,"?*")&lt;N(INDEX(Setup!$L$6:$L$23,10)))+(COUNTIF(K2517:M2517,"?*")&lt;N(INDEX(Setup!$L$6:$L$23,10)))+(COUNTIF(O2517:Q2517,"?*")&lt;N(INDEX(Setup!$L$6:$L$23,10)))+(COUNTIF(S2517:U2517,"?*")&lt;N(INDEX(Setup!$L$6:$L$23,10)))+((W2517="")*(INDEX(Setup!$M$6:$M$23,10)="Y"))+((Y2517="")*(INDEX(Setup!$M$6:$M$23,10)="Y")))</f>
        <v/>
      </c>
      <c r="AC2517" s="91">
        <f>IF($B2517="","",IF(AB2517=0,"✓ covered","⚠ "&amp;AB2517&amp;IF(AB2517=1," gap"," gaps")))</f>
        <v/>
      </c>
    </row>
    <row r="2518" ht="17" customHeight="1">
      <c r="A2518" t="n">
        <v>51</v>
      </c>
      <c r="B2518" s="24">
        <f>IF(Setup!$K$16="","",Setup!$K$16)</f>
        <v/>
      </c>
      <c r="C2518" s="88" t="n"/>
      <c r="D2518" s="88" t="n"/>
      <c r="E2518" s="88" t="n"/>
      <c r="F2518" s="89" t="n"/>
      <c r="G2518" s="88" t="n"/>
      <c r="H2518" s="88" t="n"/>
      <c r="I2518" s="88" t="n"/>
      <c r="J2518" s="89" t="n"/>
      <c r="K2518" s="88" t="n"/>
      <c r="L2518" s="88" t="n"/>
      <c r="M2518" s="88" t="n"/>
      <c r="N2518" s="89" t="n"/>
      <c r="O2518" s="88" t="n"/>
      <c r="P2518" s="88" t="n"/>
      <c r="Q2518" s="88" t="n"/>
      <c r="R2518" s="89" t="n"/>
      <c r="S2518" s="88" t="n"/>
      <c r="T2518" s="88" t="n"/>
      <c r="U2518" s="88" t="n"/>
      <c r="V2518" s="89" t="n"/>
      <c r="W2518" s="88" t="n"/>
      <c r="X2518" s="89" t="n"/>
      <c r="Y2518" s="88" t="n"/>
      <c r="Z2518" s="89" t="n"/>
      <c r="AB2518" s="25">
        <f>IF($B2518="","",(COUNTIF(C2518:E2518,"?*")&lt;N(INDEX(Setup!$L$6:$L$23,11)))+(COUNTIF(G2518:I2518,"?*")&lt;N(INDEX(Setup!$L$6:$L$23,11)))+(COUNTIF(K2518:M2518,"?*")&lt;N(INDEX(Setup!$L$6:$L$23,11)))+(COUNTIF(O2518:Q2518,"?*")&lt;N(INDEX(Setup!$L$6:$L$23,11)))+(COUNTIF(S2518:U2518,"?*")&lt;N(INDEX(Setup!$L$6:$L$23,11)))+((W2518="")*(INDEX(Setup!$M$6:$M$23,11)="Y"))+((Y2518="")*(INDEX(Setup!$M$6:$M$23,11)="Y")))</f>
        <v/>
      </c>
      <c r="AC2518" s="90">
        <f>IF($B2518="","",IF(AB2518=0,"✓ covered","⚠ "&amp;AB2518&amp;IF(AB2518=1," gap"," gaps")))</f>
        <v/>
      </c>
    </row>
    <row r="2519" ht="17" customHeight="1">
      <c r="A2519" t="n">
        <v>51</v>
      </c>
      <c r="B2519" s="29">
        <f>IF(Setup!$K$17="","",Setup!$K$17)</f>
        <v/>
      </c>
      <c r="C2519" s="88" t="n"/>
      <c r="D2519" s="88" t="n"/>
      <c r="E2519" s="88" t="n"/>
      <c r="F2519" s="89" t="n"/>
      <c r="G2519" s="88" t="n"/>
      <c r="H2519" s="88" t="n"/>
      <c r="I2519" s="88" t="n"/>
      <c r="J2519" s="89" t="n"/>
      <c r="K2519" s="88" t="n"/>
      <c r="L2519" s="88" t="n"/>
      <c r="M2519" s="88" t="n"/>
      <c r="N2519" s="89" t="n"/>
      <c r="O2519" s="88" t="n"/>
      <c r="P2519" s="88" t="n"/>
      <c r="Q2519" s="88" t="n"/>
      <c r="R2519" s="89" t="n"/>
      <c r="S2519" s="88" t="n"/>
      <c r="T2519" s="88" t="n"/>
      <c r="U2519" s="88" t="n"/>
      <c r="V2519" s="89" t="n"/>
      <c r="W2519" s="88" t="n"/>
      <c r="X2519" s="89" t="n"/>
      <c r="Y2519" s="88" t="n"/>
      <c r="Z2519" s="89" t="n"/>
      <c r="AB2519" s="30">
        <f>IF($B2519="","",(COUNTIF(C2519:E2519,"?*")&lt;N(INDEX(Setup!$L$6:$L$23,12)))+(COUNTIF(G2519:I2519,"?*")&lt;N(INDEX(Setup!$L$6:$L$23,12)))+(COUNTIF(K2519:M2519,"?*")&lt;N(INDEX(Setup!$L$6:$L$23,12)))+(COUNTIF(O2519:Q2519,"?*")&lt;N(INDEX(Setup!$L$6:$L$23,12)))+(COUNTIF(S2519:U2519,"?*")&lt;N(INDEX(Setup!$L$6:$L$23,12)))+((W2519="")*(INDEX(Setup!$M$6:$M$23,12)="Y"))+((Y2519="")*(INDEX(Setup!$M$6:$M$23,12)="Y")))</f>
        <v/>
      </c>
      <c r="AC2519" s="91">
        <f>IF($B2519="","",IF(AB2519=0,"✓ covered","⚠ "&amp;AB2519&amp;IF(AB2519=1," gap"," gaps")))</f>
        <v/>
      </c>
    </row>
    <row r="2520" ht="17" customHeight="1">
      <c r="A2520" t="n">
        <v>51</v>
      </c>
      <c r="B2520" s="24">
        <f>IF(Setup!$K$18="","",Setup!$K$18)</f>
        <v/>
      </c>
      <c r="C2520" s="88" t="n"/>
      <c r="D2520" s="88" t="n"/>
      <c r="E2520" s="88" t="n"/>
      <c r="F2520" s="89" t="n"/>
      <c r="G2520" s="88" t="n"/>
      <c r="H2520" s="88" t="n"/>
      <c r="I2520" s="88" t="n"/>
      <c r="J2520" s="89" t="n"/>
      <c r="K2520" s="88" t="n"/>
      <c r="L2520" s="88" t="n"/>
      <c r="M2520" s="88" t="n"/>
      <c r="N2520" s="89" t="n"/>
      <c r="O2520" s="88" t="n"/>
      <c r="P2520" s="88" t="n"/>
      <c r="Q2520" s="88" t="n"/>
      <c r="R2520" s="89" t="n"/>
      <c r="S2520" s="88" t="n"/>
      <c r="T2520" s="88" t="n"/>
      <c r="U2520" s="88" t="n"/>
      <c r="V2520" s="89" t="n"/>
      <c r="W2520" s="88" t="n"/>
      <c r="X2520" s="89" t="n"/>
      <c r="Y2520" s="88" t="n"/>
      <c r="Z2520" s="89" t="n"/>
      <c r="AB2520" s="25">
        <f>IF($B2520="","",(COUNTIF(C2520:E2520,"?*")&lt;N(INDEX(Setup!$L$6:$L$23,13)))+(COUNTIF(G2520:I2520,"?*")&lt;N(INDEX(Setup!$L$6:$L$23,13)))+(COUNTIF(K2520:M2520,"?*")&lt;N(INDEX(Setup!$L$6:$L$23,13)))+(COUNTIF(O2520:Q2520,"?*")&lt;N(INDEX(Setup!$L$6:$L$23,13)))+(COUNTIF(S2520:U2520,"?*")&lt;N(INDEX(Setup!$L$6:$L$23,13)))+((W2520="")*(INDEX(Setup!$M$6:$M$23,13)="Y"))+((Y2520="")*(INDEX(Setup!$M$6:$M$23,13)="Y")))</f>
        <v/>
      </c>
      <c r="AC2520" s="90">
        <f>IF($B2520="","",IF(AB2520=0,"✓ covered","⚠ "&amp;AB2520&amp;IF(AB2520=1," gap"," gaps")))</f>
        <v/>
      </c>
    </row>
    <row r="2521" ht="17" customHeight="1">
      <c r="A2521" t="n">
        <v>51</v>
      </c>
      <c r="B2521" s="29">
        <f>IF(Setup!$K$19="","",Setup!$K$19)</f>
        <v/>
      </c>
      <c r="C2521" s="88" t="n"/>
      <c r="D2521" s="88" t="n"/>
      <c r="E2521" s="88" t="n"/>
      <c r="F2521" s="89" t="n"/>
      <c r="G2521" s="88" t="n"/>
      <c r="H2521" s="88" t="n"/>
      <c r="I2521" s="88" t="n"/>
      <c r="J2521" s="89" t="n"/>
      <c r="K2521" s="88" t="n"/>
      <c r="L2521" s="88" t="n"/>
      <c r="M2521" s="88" t="n"/>
      <c r="N2521" s="89" t="n"/>
      <c r="O2521" s="88" t="n"/>
      <c r="P2521" s="88" t="n"/>
      <c r="Q2521" s="88" t="n"/>
      <c r="R2521" s="89" t="n"/>
      <c r="S2521" s="88" t="n"/>
      <c r="T2521" s="88" t="n"/>
      <c r="U2521" s="88" t="n"/>
      <c r="V2521" s="89" t="n"/>
      <c r="W2521" s="88" t="n"/>
      <c r="X2521" s="89" t="n"/>
      <c r="Y2521" s="88" t="n"/>
      <c r="Z2521" s="89" t="n"/>
      <c r="AB2521" s="30">
        <f>IF($B2521="","",(COUNTIF(C2521:E2521,"?*")&lt;N(INDEX(Setup!$L$6:$L$23,14)))+(COUNTIF(G2521:I2521,"?*")&lt;N(INDEX(Setup!$L$6:$L$23,14)))+(COUNTIF(K2521:M2521,"?*")&lt;N(INDEX(Setup!$L$6:$L$23,14)))+(COUNTIF(O2521:Q2521,"?*")&lt;N(INDEX(Setup!$L$6:$L$23,14)))+(COUNTIF(S2521:U2521,"?*")&lt;N(INDEX(Setup!$L$6:$L$23,14)))+((W2521="")*(INDEX(Setup!$M$6:$M$23,14)="Y"))+((Y2521="")*(INDEX(Setup!$M$6:$M$23,14)="Y")))</f>
        <v/>
      </c>
      <c r="AC2521" s="91">
        <f>IF($B2521="","",IF(AB2521=0,"✓ covered","⚠ "&amp;AB2521&amp;IF(AB2521=1," gap"," gaps")))</f>
        <v/>
      </c>
    </row>
    <row r="2522" ht="17" customHeight="1">
      <c r="A2522" t="n">
        <v>51</v>
      </c>
      <c r="B2522" s="24">
        <f>IF(Setup!$K$20="","",Setup!$K$20)</f>
        <v/>
      </c>
      <c r="C2522" s="88" t="n"/>
      <c r="D2522" s="88" t="n"/>
      <c r="E2522" s="88" t="n"/>
      <c r="F2522" s="89" t="n"/>
      <c r="G2522" s="88" t="n"/>
      <c r="H2522" s="88" t="n"/>
      <c r="I2522" s="88" t="n"/>
      <c r="J2522" s="89" t="n"/>
      <c r="K2522" s="88" t="n"/>
      <c r="L2522" s="88" t="n"/>
      <c r="M2522" s="88" t="n"/>
      <c r="N2522" s="89" t="n"/>
      <c r="O2522" s="88" t="n"/>
      <c r="P2522" s="88" t="n"/>
      <c r="Q2522" s="88" t="n"/>
      <c r="R2522" s="89" t="n"/>
      <c r="S2522" s="88" t="n"/>
      <c r="T2522" s="88" t="n"/>
      <c r="U2522" s="88" t="n"/>
      <c r="V2522" s="89" t="n"/>
      <c r="W2522" s="88" t="n"/>
      <c r="X2522" s="89" t="n"/>
      <c r="Y2522" s="88" t="n"/>
      <c r="Z2522" s="89" t="n"/>
      <c r="AB2522" s="25">
        <f>IF($B2522="","",(COUNTIF(C2522:E2522,"?*")&lt;N(INDEX(Setup!$L$6:$L$23,15)))+(COUNTIF(G2522:I2522,"?*")&lt;N(INDEX(Setup!$L$6:$L$23,15)))+(COUNTIF(K2522:M2522,"?*")&lt;N(INDEX(Setup!$L$6:$L$23,15)))+(COUNTIF(O2522:Q2522,"?*")&lt;N(INDEX(Setup!$L$6:$L$23,15)))+(COUNTIF(S2522:U2522,"?*")&lt;N(INDEX(Setup!$L$6:$L$23,15)))+((W2522="")*(INDEX(Setup!$M$6:$M$23,15)="Y"))+((Y2522="")*(INDEX(Setup!$M$6:$M$23,15)="Y")))</f>
        <v/>
      </c>
      <c r="AC2522" s="90">
        <f>IF($B2522="","",IF(AB2522=0,"✓ covered","⚠ "&amp;AB2522&amp;IF(AB2522=1," gap"," gaps")))</f>
        <v/>
      </c>
    </row>
    <row r="2523" ht="17" customHeight="1">
      <c r="A2523" t="n">
        <v>51</v>
      </c>
      <c r="B2523" s="29">
        <f>IF(Setup!$K$21="","",Setup!$K$21)</f>
        <v/>
      </c>
      <c r="C2523" s="88" t="n"/>
      <c r="D2523" s="88" t="n"/>
      <c r="E2523" s="88" t="n"/>
      <c r="F2523" s="89" t="n"/>
      <c r="G2523" s="88" t="n"/>
      <c r="H2523" s="88" t="n"/>
      <c r="I2523" s="88" t="n"/>
      <c r="J2523" s="89" t="n"/>
      <c r="K2523" s="88" t="n"/>
      <c r="L2523" s="88" t="n"/>
      <c r="M2523" s="88" t="n"/>
      <c r="N2523" s="89" t="n"/>
      <c r="O2523" s="88" t="n"/>
      <c r="P2523" s="88" t="n"/>
      <c r="Q2523" s="88" t="n"/>
      <c r="R2523" s="89" t="n"/>
      <c r="S2523" s="88" t="n"/>
      <c r="T2523" s="88" t="n"/>
      <c r="U2523" s="88" t="n"/>
      <c r="V2523" s="89" t="n"/>
      <c r="W2523" s="88" t="n"/>
      <c r="X2523" s="89" t="n"/>
      <c r="Y2523" s="88" t="n"/>
      <c r="Z2523" s="89" t="n"/>
      <c r="AB2523" s="30">
        <f>IF($B2523="","",(COUNTIF(C2523:E2523,"?*")&lt;N(INDEX(Setup!$L$6:$L$23,16)))+(COUNTIF(G2523:I2523,"?*")&lt;N(INDEX(Setup!$L$6:$L$23,16)))+(COUNTIF(K2523:M2523,"?*")&lt;N(INDEX(Setup!$L$6:$L$23,16)))+(COUNTIF(O2523:Q2523,"?*")&lt;N(INDEX(Setup!$L$6:$L$23,16)))+(COUNTIF(S2523:U2523,"?*")&lt;N(INDEX(Setup!$L$6:$L$23,16)))+((W2523="")*(INDEX(Setup!$M$6:$M$23,16)="Y"))+((Y2523="")*(INDEX(Setup!$M$6:$M$23,16)="Y")))</f>
        <v/>
      </c>
      <c r="AC2523" s="91">
        <f>IF($B2523="","",IF(AB2523=0,"✓ covered","⚠ "&amp;AB2523&amp;IF(AB2523=1," gap"," gaps")))</f>
        <v/>
      </c>
    </row>
    <row r="2524" ht="17" customHeight="1">
      <c r="A2524" t="n">
        <v>51</v>
      </c>
      <c r="B2524" s="24">
        <f>IF(Setup!$K$22="","",Setup!$K$22)</f>
        <v/>
      </c>
      <c r="C2524" s="88" t="n"/>
      <c r="D2524" s="88" t="n"/>
      <c r="E2524" s="88" t="n"/>
      <c r="F2524" s="89" t="n"/>
      <c r="G2524" s="88" t="n"/>
      <c r="H2524" s="88" t="n"/>
      <c r="I2524" s="88" t="n"/>
      <c r="J2524" s="89" t="n"/>
      <c r="K2524" s="88" t="n"/>
      <c r="L2524" s="88" t="n"/>
      <c r="M2524" s="88" t="n"/>
      <c r="N2524" s="89" t="n"/>
      <c r="O2524" s="88" t="n"/>
      <c r="P2524" s="88" t="n"/>
      <c r="Q2524" s="88" t="n"/>
      <c r="R2524" s="89" t="n"/>
      <c r="S2524" s="88" t="n"/>
      <c r="T2524" s="88" t="n"/>
      <c r="U2524" s="88" t="n"/>
      <c r="V2524" s="89" t="n"/>
      <c r="W2524" s="88" t="n"/>
      <c r="X2524" s="89" t="n"/>
      <c r="Y2524" s="88" t="n"/>
      <c r="Z2524" s="89" t="n"/>
      <c r="AB2524" s="25">
        <f>IF($B2524="","",(COUNTIF(C2524:E2524,"?*")&lt;N(INDEX(Setup!$L$6:$L$23,17)))+(COUNTIF(G2524:I2524,"?*")&lt;N(INDEX(Setup!$L$6:$L$23,17)))+(COUNTIF(K2524:M2524,"?*")&lt;N(INDEX(Setup!$L$6:$L$23,17)))+(COUNTIF(O2524:Q2524,"?*")&lt;N(INDEX(Setup!$L$6:$L$23,17)))+(COUNTIF(S2524:U2524,"?*")&lt;N(INDEX(Setup!$L$6:$L$23,17)))+((W2524="")*(INDEX(Setup!$M$6:$M$23,17)="Y"))+((Y2524="")*(INDEX(Setup!$M$6:$M$23,17)="Y")))</f>
        <v/>
      </c>
      <c r="AC2524" s="90">
        <f>IF($B2524="","",IF(AB2524=0,"✓ covered","⚠ "&amp;AB2524&amp;IF(AB2524=1," gap"," gaps")))</f>
        <v/>
      </c>
    </row>
    <row r="2525" ht="17" customHeight="1">
      <c r="A2525" t="n">
        <v>51</v>
      </c>
      <c r="B2525" s="29">
        <f>IF(Setup!$K$23="","",Setup!$K$23)</f>
        <v/>
      </c>
      <c r="C2525" s="88" t="n"/>
      <c r="D2525" s="88" t="n"/>
      <c r="E2525" s="88" t="n"/>
      <c r="F2525" s="89" t="n"/>
      <c r="G2525" s="88" t="n"/>
      <c r="H2525" s="88" t="n"/>
      <c r="I2525" s="88" t="n"/>
      <c r="J2525" s="89" t="n"/>
      <c r="K2525" s="88" t="n"/>
      <c r="L2525" s="88" t="n"/>
      <c r="M2525" s="88" t="n"/>
      <c r="N2525" s="89" t="n"/>
      <c r="O2525" s="88" t="n"/>
      <c r="P2525" s="88" t="n"/>
      <c r="Q2525" s="88" t="n"/>
      <c r="R2525" s="89" t="n"/>
      <c r="S2525" s="88" t="n"/>
      <c r="T2525" s="88" t="n"/>
      <c r="U2525" s="88" t="n"/>
      <c r="V2525" s="89" t="n"/>
      <c r="W2525" s="88" t="n"/>
      <c r="X2525" s="89" t="n"/>
      <c r="Y2525" s="88" t="n"/>
      <c r="Z2525" s="89" t="n"/>
      <c r="AB2525" s="30">
        <f>IF($B2525="","",(COUNTIF(C2525:E2525,"?*")&lt;N(INDEX(Setup!$L$6:$L$23,18)))+(COUNTIF(G2525:I2525,"?*")&lt;N(INDEX(Setup!$L$6:$L$23,18)))+(COUNTIF(K2525:M2525,"?*")&lt;N(INDEX(Setup!$L$6:$L$23,18)))+(COUNTIF(O2525:Q2525,"?*")&lt;N(INDEX(Setup!$L$6:$L$23,18)))+(COUNTIF(S2525:U2525,"?*")&lt;N(INDEX(Setup!$L$6:$L$23,18)))+((W2525="")*(INDEX(Setup!$M$6:$M$23,18)="Y"))+((Y2525="")*(INDEX(Setup!$M$6:$M$23,18)="Y")))</f>
        <v/>
      </c>
      <c r="AC2525" s="91">
        <f>IF($B2525="","",IF(AB2525=0,"✓ covered","⚠ "&amp;AB2525&amp;IF(AB2525=1," gap"," gaps")))</f>
        <v/>
      </c>
    </row>
    <row r="2526" ht="18" customHeight="1">
      <c r="A2526" t="n">
        <v>51</v>
      </c>
      <c r="B2526" s="78" t="inlineStr">
        <is>
          <t>TEAM AVAILABILITY</t>
        </is>
      </c>
      <c r="C2526" s="92" t="inlineStr">
        <is>
          <t>Mon</t>
        </is>
      </c>
      <c r="D2526" s="93" t="n"/>
      <c r="E2526" s="93" t="n"/>
      <c r="F2526" s="94" t="n"/>
      <c r="G2526" s="92" t="inlineStr">
        <is>
          <t>Tue</t>
        </is>
      </c>
      <c r="H2526" s="93" t="n"/>
      <c r="I2526" s="93" t="n"/>
      <c r="J2526" s="94" t="n"/>
      <c r="K2526" s="92" t="inlineStr">
        <is>
          <t>Wed</t>
        </is>
      </c>
      <c r="L2526" s="93" t="n"/>
      <c r="M2526" s="93" t="n"/>
      <c r="N2526" s="94" t="n"/>
      <c r="O2526" s="92" t="inlineStr">
        <is>
          <t>Thu</t>
        </is>
      </c>
      <c r="P2526" s="93" t="n"/>
      <c r="Q2526" s="93" t="n"/>
      <c r="R2526" s="94" t="n"/>
      <c r="S2526" s="92" t="inlineStr">
        <is>
          <t>Fri</t>
        </is>
      </c>
      <c r="T2526" s="93" t="n"/>
      <c r="U2526" s="93" t="n"/>
      <c r="V2526" s="94" t="n"/>
      <c r="W2526" s="95" t="inlineStr">
        <is>
          <t>Sat</t>
        </is>
      </c>
      <c r="X2526" s="96" t="n"/>
      <c r="Y2526" s="95" t="inlineStr">
        <is>
          <t>Sun</t>
        </is>
      </c>
      <c r="Z2526" s="96" t="n"/>
      <c r="AB2526" s="97" t="inlineStr">
        <is>
          <t>Days rostered</t>
        </is>
      </c>
      <c r="AC2526" s="97" t="inlineStr">
        <is>
          <t>Conflicts</t>
        </is>
      </c>
    </row>
    <row r="2527" ht="15" customHeight="1">
      <c r="A2527" t="n">
        <v>51</v>
      </c>
      <c r="B2527" s="35">
        <f>IF(Setup!$B$6="","",Setup!$B$6)</f>
        <v/>
      </c>
      <c r="C2527" s="98" t="n"/>
      <c r="D2527" s="99" t="n"/>
      <c r="E2527" s="99" t="n"/>
      <c r="F2527" s="100" t="n"/>
      <c r="G2527" s="98" t="n"/>
      <c r="H2527" s="99" t="n"/>
      <c r="I2527" s="99" t="n"/>
      <c r="J2527" s="100" t="n"/>
      <c r="K2527" s="98" t="n"/>
      <c r="L2527" s="99" t="n"/>
      <c r="M2527" s="99" t="n"/>
      <c r="N2527" s="100" t="n"/>
      <c r="O2527" s="98" t="n"/>
      <c r="P2527" s="99" t="n"/>
      <c r="Q2527" s="99" t="n"/>
      <c r="R2527" s="100" t="n"/>
      <c r="S2527" s="98" t="n"/>
      <c r="T2527" s="99" t="n"/>
      <c r="U2527" s="99" t="n"/>
      <c r="V2527" s="100" t="n"/>
      <c r="W2527" s="98" t="n"/>
      <c r="X2527" s="100" t="n"/>
      <c r="Y2527" s="98" t="n"/>
      <c r="Z2527" s="100" t="n"/>
      <c r="AB2527" s="101">
        <f>IF($B2527="","",(COUNTIF(C2508:E2525,$B2527)+COUNTIF(C2508:E2525,$B2527&amp;" ~*")&gt;0)+(COUNTIF(G2508:I2525,$B2527)+COUNTIF(G2508:I2525,$B2527&amp;" ~*")&gt;0)+(COUNTIF(K2508:M2525,$B2527)+COUNTIF(K2508:M2525,$B2527&amp;" ~*")&gt;0)+(COUNTIF(O2508:Q2525,$B2527)+COUNTIF(O2508:Q2525,$B2527&amp;" ~*")&gt;0)+(COUNTIF(S2508:U2525,$B2527)+COUNTIF(S2508:U2525,$B2527&amp;" ~*")&gt;0)+(COUNTIF(W2508:W2525,$B2527)+COUNTIF(W2508:W2525,$B2527&amp;" ~*")&gt;0)+(COUNTIF(Y2508:Y2525,$B2527)+COUNTIF(Y2508:Y2525,$B2527&amp;" ~*")&gt;0))</f>
        <v/>
      </c>
      <c r="AC2527" s="36">
        <f>IF($B2527="","",(IFERROR(INDEX(Setup!$G$33:$G$40,MATCH(C2527,Setup!$B$33:$B$40,0)),0)=1)*(COUNTIF(C2508:E2525,$B2527)+COUNTIF(C2508:E2525,$B2527&amp;" ~*")&gt;0)+(IFERROR(INDEX(Setup!$G$33:$G$40,MATCH(G2527,Setup!$B$33:$B$40,0)),0)=1)*(COUNTIF(G2508:I2525,$B2527)+COUNTIF(G2508:I2525,$B2527&amp;" ~*")&gt;0)+(IFERROR(INDEX(Setup!$G$33:$G$40,MATCH(K2527,Setup!$B$33:$B$40,0)),0)=1)*(COUNTIF(K2508:M2525,$B2527)+COUNTIF(K2508:M2525,$B2527&amp;" ~*")&gt;0)+(IFERROR(INDEX(Setup!$G$33:$G$40,MATCH(O2527,Setup!$B$33:$B$40,0)),0)=1)*(COUNTIF(O2508:Q2525,$B2527)+COUNTIF(O2508:Q2525,$B2527&amp;" ~*")&gt;0)+(IFERROR(INDEX(Setup!$G$33:$G$40,MATCH(S2527,Setup!$B$33:$B$40,0)),0)=1)*(COUNTIF(S2508:U2525,$B2527)+COUNTIF(S2508:U2525,$B2527&amp;" ~*")&gt;0)+(IFERROR(INDEX(Setup!$G$33:$G$40,MATCH(W2527,Setup!$B$33:$B$40,0)),0)=1)*(COUNTIF(W2508:W2525,$B2527)+COUNTIF(W2508:W2525,$B2527&amp;" ~*")&gt;0)+(IFERROR(INDEX(Setup!$G$33:$G$40,MATCH(Y2527,Setup!$B$33:$B$40,0)),0)=1)*(COUNTIF(Y2508:Y2525,$B2527)+COUNTIF(Y2508:Y2525,$B2527&amp;" ~*")&gt;0))</f>
        <v/>
      </c>
    </row>
    <row r="2528" ht="15" customHeight="1">
      <c r="A2528" t="n">
        <v>51</v>
      </c>
      <c r="B2528" s="37">
        <f>IF(Setup!$B$7="","",Setup!$B$7)</f>
        <v/>
      </c>
      <c r="C2528" s="102" t="n"/>
      <c r="D2528" s="103" t="n"/>
      <c r="E2528" s="103" t="n"/>
      <c r="F2528" s="104" t="n"/>
      <c r="G2528" s="102" t="n"/>
      <c r="H2528" s="103" t="n"/>
      <c r="I2528" s="103" t="n"/>
      <c r="J2528" s="104" t="n"/>
      <c r="K2528" s="102" t="n"/>
      <c r="L2528" s="103" t="n"/>
      <c r="M2528" s="103" t="n"/>
      <c r="N2528" s="104" t="n"/>
      <c r="O2528" s="102" t="n"/>
      <c r="P2528" s="103" t="n"/>
      <c r="Q2528" s="103" t="n"/>
      <c r="R2528" s="104" t="n"/>
      <c r="S2528" s="102" t="n"/>
      <c r="T2528" s="103" t="n"/>
      <c r="U2528" s="103" t="n"/>
      <c r="V2528" s="104" t="n"/>
      <c r="W2528" s="102" t="n"/>
      <c r="X2528" s="104" t="n"/>
      <c r="Y2528" s="102" t="n"/>
      <c r="Z2528" s="104" t="n"/>
      <c r="AB2528" s="105">
        <f>IF($B2528="","",(COUNTIF(C2508:E2525,$B2528)+COUNTIF(C2508:E2525,$B2528&amp;" ~*")&gt;0)+(COUNTIF(G2508:I2525,$B2528)+COUNTIF(G2508:I2525,$B2528&amp;" ~*")&gt;0)+(COUNTIF(K2508:M2525,$B2528)+COUNTIF(K2508:M2525,$B2528&amp;" ~*")&gt;0)+(COUNTIF(O2508:Q2525,$B2528)+COUNTIF(O2508:Q2525,$B2528&amp;" ~*")&gt;0)+(COUNTIF(S2508:U2525,$B2528)+COUNTIF(S2508:U2525,$B2528&amp;" ~*")&gt;0)+(COUNTIF(W2508:W2525,$B2528)+COUNTIF(W2508:W2525,$B2528&amp;" ~*")&gt;0)+(COUNTIF(Y2508:Y2525,$B2528)+COUNTIF(Y2508:Y2525,$B2528&amp;" ~*")&gt;0))</f>
        <v/>
      </c>
      <c r="AC2528" s="38">
        <f>IF($B2528="","",(IFERROR(INDEX(Setup!$G$33:$G$40,MATCH(C2528,Setup!$B$33:$B$40,0)),0)=1)*(COUNTIF(C2508:E2525,$B2528)+COUNTIF(C2508:E2525,$B2528&amp;" ~*")&gt;0)+(IFERROR(INDEX(Setup!$G$33:$G$40,MATCH(G2528,Setup!$B$33:$B$40,0)),0)=1)*(COUNTIF(G2508:I2525,$B2528)+COUNTIF(G2508:I2525,$B2528&amp;" ~*")&gt;0)+(IFERROR(INDEX(Setup!$G$33:$G$40,MATCH(K2528,Setup!$B$33:$B$40,0)),0)=1)*(COUNTIF(K2508:M2525,$B2528)+COUNTIF(K2508:M2525,$B2528&amp;" ~*")&gt;0)+(IFERROR(INDEX(Setup!$G$33:$G$40,MATCH(O2528,Setup!$B$33:$B$40,0)),0)=1)*(COUNTIF(O2508:Q2525,$B2528)+COUNTIF(O2508:Q2525,$B2528&amp;" ~*")&gt;0)+(IFERROR(INDEX(Setup!$G$33:$G$40,MATCH(S2528,Setup!$B$33:$B$40,0)),0)=1)*(COUNTIF(S2508:U2525,$B2528)+COUNTIF(S2508:U2525,$B2528&amp;" ~*")&gt;0)+(IFERROR(INDEX(Setup!$G$33:$G$40,MATCH(W2528,Setup!$B$33:$B$40,0)),0)=1)*(COUNTIF(W2508:W2525,$B2528)+COUNTIF(W2508:W2525,$B2528&amp;" ~*")&gt;0)+(IFERROR(INDEX(Setup!$G$33:$G$40,MATCH(Y2528,Setup!$B$33:$B$40,0)),0)=1)*(COUNTIF(Y2508:Y2525,$B2528)+COUNTIF(Y2508:Y2525,$B2528&amp;" ~*")&gt;0))</f>
        <v/>
      </c>
    </row>
    <row r="2529" ht="15" customHeight="1">
      <c r="A2529" t="n">
        <v>51</v>
      </c>
      <c r="B2529" s="35">
        <f>IF(Setup!$B$8="","",Setup!$B$8)</f>
        <v/>
      </c>
      <c r="C2529" s="98" t="n"/>
      <c r="D2529" s="99" t="n"/>
      <c r="E2529" s="99" t="n"/>
      <c r="F2529" s="100" t="n"/>
      <c r="G2529" s="98" t="n"/>
      <c r="H2529" s="99" t="n"/>
      <c r="I2529" s="99" t="n"/>
      <c r="J2529" s="100" t="n"/>
      <c r="K2529" s="98" t="n"/>
      <c r="L2529" s="99" t="n"/>
      <c r="M2529" s="99" t="n"/>
      <c r="N2529" s="100" t="n"/>
      <c r="O2529" s="98" t="n"/>
      <c r="P2529" s="99" t="n"/>
      <c r="Q2529" s="99" t="n"/>
      <c r="R2529" s="100" t="n"/>
      <c r="S2529" s="98" t="n"/>
      <c r="T2529" s="99" t="n"/>
      <c r="U2529" s="99" t="n"/>
      <c r="V2529" s="100" t="n"/>
      <c r="W2529" s="98" t="n"/>
      <c r="X2529" s="100" t="n"/>
      <c r="Y2529" s="98" t="n"/>
      <c r="Z2529" s="100" t="n"/>
      <c r="AB2529" s="101">
        <f>IF($B2529="","",(COUNTIF(C2508:E2525,$B2529)+COUNTIF(C2508:E2525,$B2529&amp;" ~*")&gt;0)+(COUNTIF(G2508:I2525,$B2529)+COUNTIF(G2508:I2525,$B2529&amp;" ~*")&gt;0)+(COUNTIF(K2508:M2525,$B2529)+COUNTIF(K2508:M2525,$B2529&amp;" ~*")&gt;0)+(COUNTIF(O2508:Q2525,$B2529)+COUNTIF(O2508:Q2525,$B2529&amp;" ~*")&gt;0)+(COUNTIF(S2508:U2525,$B2529)+COUNTIF(S2508:U2525,$B2529&amp;" ~*")&gt;0)+(COUNTIF(W2508:W2525,$B2529)+COUNTIF(W2508:W2525,$B2529&amp;" ~*")&gt;0)+(COUNTIF(Y2508:Y2525,$B2529)+COUNTIF(Y2508:Y2525,$B2529&amp;" ~*")&gt;0))</f>
        <v/>
      </c>
      <c r="AC2529" s="36">
        <f>IF($B2529="","",(IFERROR(INDEX(Setup!$G$33:$G$40,MATCH(C2529,Setup!$B$33:$B$40,0)),0)=1)*(COUNTIF(C2508:E2525,$B2529)+COUNTIF(C2508:E2525,$B2529&amp;" ~*")&gt;0)+(IFERROR(INDEX(Setup!$G$33:$G$40,MATCH(G2529,Setup!$B$33:$B$40,0)),0)=1)*(COUNTIF(G2508:I2525,$B2529)+COUNTIF(G2508:I2525,$B2529&amp;" ~*")&gt;0)+(IFERROR(INDEX(Setup!$G$33:$G$40,MATCH(K2529,Setup!$B$33:$B$40,0)),0)=1)*(COUNTIF(K2508:M2525,$B2529)+COUNTIF(K2508:M2525,$B2529&amp;" ~*")&gt;0)+(IFERROR(INDEX(Setup!$G$33:$G$40,MATCH(O2529,Setup!$B$33:$B$40,0)),0)=1)*(COUNTIF(O2508:Q2525,$B2529)+COUNTIF(O2508:Q2525,$B2529&amp;" ~*")&gt;0)+(IFERROR(INDEX(Setup!$G$33:$G$40,MATCH(S2529,Setup!$B$33:$B$40,0)),0)=1)*(COUNTIF(S2508:U2525,$B2529)+COUNTIF(S2508:U2525,$B2529&amp;" ~*")&gt;0)+(IFERROR(INDEX(Setup!$G$33:$G$40,MATCH(W2529,Setup!$B$33:$B$40,0)),0)=1)*(COUNTIF(W2508:W2525,$B2529)+COUNTIF(W2508:W2525,$B2529&amp;" ~*")&gt;0)+(IFERROR(INDEX(Setup!$G$33:$G$40,MATCH(Y2529,Setup!$B$33:$B$40,0)),0)=1)*(COUNTIF(Y2508:Y2525,$B2529)+COUNTIF(Y2508:Y2525,$B2529&amp;" ~*")&gt;0))</f>
        <v/>
      </c>
    </row>
    <row r="2530" ht="15" customHeight="1">
      <c r="A2530" t="n">
        <v>51</v>
      </c>
      <c r="B2530" s="37">
        <f>IF(Setup!$B$9="","",Setup!$B$9)</f>
        <v/>
      </c>
      <c r="C2530" s="102" t="n"/>
      <c r="D2530" s="103" t="n"/>
      <c r="E2530" s="103" t="n"/>
      <c r="F2530" s="104" t="n"/>
      <c r="G2530" s="102" t="n"/>
      <c r="H2530" s="103" t="n"/>
      <c r="I2530" s="103" t="n"/>
      <c r="J2530" s="104" t="n"/>
      <c r="K2530" s="102" t="n"/>
      <c r="L2530" s="103" t="n"/>
      <c r="M2530" s="103" t="n"/>
      <c r="N2530" s="104" t="n"/>
      <c r="O2530" s="102" t="n"/>
      <c r="P2530" s="103" t="n"/>
      <c r="Q2530" s="103" t="n"/>
      <c r="R2530" s="104" t="n"/>
      <c r="S2530" s="102" t="n"/>
      <c r="T2530" s="103" t="n"/>
      <c r="U2530" s="103" t="n"/>
      <c r="V2530" s="104" t="n"/>
      <c r="W2530" s="102" t="n"/>
      <c r="X2530" s="104" t="n"/>
      <c r="Y2530" s="102" t="n"/>
      <c r="Z2530" s="104" t="n"/>
      <c r="AB2530" s="105">
        <f>IF($B2530="","",(COUNTIF(C2508:E2525,$B2530)+COUNTIF(C2508:E2525,$B2530&amp;" ~*")&gt;0)+(COUNTIF(G2508:I2525,$B2530)+COUNTIF(G2508:I2525,$B2530&amp;" ~*")&gt;0)+(COUNTIF(K2508:M2525,$B2530)+COUNTIF(K2508:M2525,$B2530&amp;" ~*")&gt;0)+(COUNTIF(O2508:Q2525,$B2530)+COUNTIF(O2508:Q2525,$B2530&amp;" ~*")&gt;0)+(COUNTIF(S2508:U2525,$B2530)+COUNTIF(S2508:U2525,$B2530&amp;" ~*")&gt;0)+(COUNTIF(W2508:W2525,$B2530)+COUNTIF(W2508:W2525,$B2530&amp;" ~*")&gt;0)+(COUNTIF(Y2508:Y2525,$B2530)+COUNTIF(Y2508:Y2525,$B2530&amp;" ~*")&gt;0))</f>
        <v/>
      </c>
      <c r="AC2530" s="38">
        <f>IF($B2530="","",(IFERROR(INDEX(Setup!$G$33:$G$40,MATCH(C2530,Setup!$B$33:$B$40,0)),0)=1)*(COUNTIF(C2508:E2525,$B2530)+COUNTIF(C2508:E2525,$B2530&amp;" ~*")&gt;0)+(IFERROR(INDEX(Setup!$G$33:$G$40,MATCH(G2530,Setup!$B$33:$B$40,0)),0)=1)*(COUNTIF(G2508:I2525,$B2530)+COUNTIF(G2508:I2525,$B2530&amp;" ~*")&gt;0)+(IFERROR(INDEX(Setup!$G$33:$G$40,MATCH(K2530,Setup!$B$33:$B$40,0)),0)=1)*(COUNTIF(K2508:M2525,$B2530)+COUNTIF(K2508:M2525,$B2530&amp;" ~*")&gt;0)+(IFERROR(INDEX(Setup!$G$33:$G$40,MATCH(O2530,Setup!$B$33:$B$40,0)),0)=1)*(COUNTIF(O2508:Q2525,$B2530)+COUNTIF(O2508:Q2525,$B2530&amp;" ~*")&gt;0)+(IFERROR(INDEX(Setup!$G$33:$G$40,MATCH(S2530,Setup!$B$33:$B$40,0)),0)=1)*(COUNTIF(S2508:U2525,$B2530)+COUNTIF(S2508:U2525,$B2530&amp;" ~*")&gt;0)+(IFERROR(INDEX(Setup!$G$33:$G$40,MATCH(W2530,Setup!$B$33:$B$40,0)),0)=1)*(COUNTIF(W2508:W2525,$B2530)+COUNTIF(W2508:W2525,$B2530&amp;" ~*")&gt;0)+(IFERROR(INDEX(Setup!$G$33:$G$40,MATCH(Y2530,Setup!$B$33:$B$40,0)),0)=1)*(COUNTIF(Y2508:Y2525,$B2530)+COUNTIF(Y2508:Y2525,$B2530&amp;" ~*")&gt;0))</f>
        <v/>
      </c>
    </row>
    <row r="2531" ht="15" customHeight="1">
      <c r="A2531" t="n">
        <v>51</v>
      </c>
      <c r="B2531" s="35">
        <f>IF(Setup!$B$10="","",Setup!$B$10)</f>
        <v/>
      </c>
      <c r="C2531" s="98" t="n"/>
      <c r="D2531" s="99" t="n"/>
      <c r="E2531" s="99" t="n"/>
      <c r="F2531" s="100" t="n"/>
      <c r="G2531" s="98" t="n"/>
      <c r="H2531" s="99" t="n"/>
      <c r="I2531" s="99" t="n"/>
      <c r="J2531" s="100" t="n"/>
      <c r="K2531" s="98" t="n"/>
      <c r="L2531" s="99" t="n"/>
      <c r="M2531" s="99" t="n"/>
      <c r="N2531" s="100" t="n"/>
      <c r="O2531" s="98" t="n"/>
      <c r="P2531" s="99" t="n"/>
      <c r="Q2531" s="99" t="n"/>
      <c r="R2531" s="100" t="n"/>
      <c r="S2531" s="98" t="n"/>
      <c r="T2531" s="99" t="n"/>
      <c r="U2531" s="99" t="n"/>
      <c r="V2531" s="100" t="n"/>
      <c r="W2531" s="98" t="n"/>
      <c r="X2531" s="100" t="n"/>
      <c r="Y2531" s="98" t="n"/>
      <c r="Z2531" s="100" t="n"/>
      <c r="AB2531" s="101">
        <f>IF($B2531="","",(COUNTIF(C2508:E2525,$B2531)+COUNTIF(C2508:E2525,$B2531&amp;" ~*")&gt;0)+(COUNTIF(G2508:I2525,$B2531)+COUNTIF(G2508:I2525,$B2531&amp;" ~*")&gt;0)+(COUNTIF(K2508:M2525,$B2531)+COUNTIF(K2508:M2525,$B2531&amp;" ~*")&gt;0)+(COUNTIF(O2508:Q2525,$B2531)+COUNTIF(O2508:Q2525,$B2531&amp;" ~*")&gt;0)+(COUNTIF(S2508:U2525,$B2531)+COUNTIF(S2508:U2525,$B2531&amp;" ~*")&gt;0)+(COUNTIF(W2508:W2525,$B2531)+COUNTIF(W2508:W2525,$B2531&amp;" ~*")&gt;0)+(COUNTIF(Y2508:Y2525,$B2531)+COUNTIF(Y2508:Y2525,$B2531&amp;" ~*")&gt;0))</f>
        <v/>
      </c>
      <c r="AC2531" s="36">
        <f>IF($B2531="","",(IFERROR(INDEX(Setup!$G$33:$G$40,MATCH(C2531,Setup!$B$33:$B$40,0)),0)=1)*(COUNTIF(C2508:E2525,$B2531)+COUNTIF(C2508:E2525,$B2531&amp;" ~*")&gt;0)+(IFERROR(INDEX(Setup!$G$33:$G$40,MATCH(G2531,Setup!$B$33:$B$40,0)),0)=1)*(COUNTIF(G2508:I2525,$B2531)+COUNTIF(G2508:I2525,$B2531&amp;" ~*")&gt;0)+(IFERROR(INDEX(Setup!$G$33:$G$40,MATCH(K2531,Setup!$B$33:$B$40,0)),0)=1)*(COUNTIF(K2508:M2525,$B2531)+COUNTIF(K2508:M2525,$B2531&amp;" ~*")&gt;0)+(IFERROR(INDEX(Setup!$G$33:$G$40,MATCH(O2531,Setup!$B$33:$B$40,0)),0)=1)*(COUNTIF(O2508:Q2525,$B2531)+COUNTIF(O2508:Q2525,$B2531&amp;" ~*")&gt;0)+(IFERROR(INDEX(Setup!$G$33:$G$40,MATCH(S2531,Setup!$B$33:$B$40,0)),0)=1)*(COUNTIF(S2508:U2525,$B2531)+COUNTIF(S2508:U2525,$B2531&amp;" ~*")&gt;0)+(IFERROR(INDEX(Setup!$G$33:$G$40,MATCH(W2531,Setup!$B$33:$B$40,0)),0)=1)*(COUNTIF(W2508:W2525,$B2531)+COUNTIF(W2508:W2525,$B2531&amp;" ~*")&gt;0)+(IFERROR(INDEX(Setup!$G$33:$G$40,MATCH(Y2531,Setup!$B$33:$B$40,0)),0)=1)*(COUNTIF(Y2508:Y2525,$B2531)+COUNTIF(Y2508:Y2525,$B2531&amp;" ~*")&gt;0))</f>
        <v/>
      </c>
    </row>
    <row r="2532" ht="15" customHeight="1">
      <c r="A2532" t="n">
        <v>51</v>
      </c>
      <c r="B2532" s="37">
        <f>IF(Setup!$B$11="","",Setup!$B$11)</f>
        <v/>
      </c>
      <c r="C2532" s="102" t="n"/>
      <c r="D2532" s="103" t="n"/>
      <c r="E2532" s="103" t="n"/>
      <c r="F2532" s="104" t="n"/>
      <c r="G2532" s="102" t="n"/>
      <c r="H2532" s="103" t="n"/>
      <c r="I2532" s="103" t="n"/>
      <c r="J2532" s="104" t="n"/>
      <c r="K2532" s="102" t="n"/>
      <c r="L2532" s="103" t="n"/>
      <c r="M2532" s="103" t="n"/>
      <c r="N2532" s="104" t="n"/>
      <c r="O2532" s="102" t="n"/>
      <c r="P2532" s="103" t="n"/>
      <c r="Q2532" s="103" t="n"/>
      <c r="R2532" s="104" t="n"/>
      <c r="S2532" s="102" t="n"/>
      <c r="T2532" s="103" t="n"/>
      <c r="U2532" s="103" t="n"/>
      <c r="V2532" s="104" t="n"/>
      <c r="W2532" s="102" t="n"/>
      <c r="X2532" s="104" t="n"/>
      <c r="Y2532" s="102" t="n"/>
      <c r="Z2532" s="104" t="n"/>
      <c r="AB2532" s="105">
        <f>IF($B2532="","",(COUNTIF(C2508:E2525,$B2532)+COUNTIF(C2508:E2525,$B2532&amp;" ~*")&gt;0)+(COUNTIF(G2508:I2525,$B2532)+COUNTIF(G2508:I2525,$B2532&amp;" ~*")&gt;0)+(COUNTIF(K2508:M2525,$B2532)+COUNTIF(K2508:M2525,$B2532&amp;" ~*")&gt;0)+(COUNTIF(O2508:Q2525,$B2532)+COUNTIF(O2508:Q2525,$B2532&amp;" ~*")&gt;0)+(COUNTIF(S2508:U2525,$B2532)+COUNTIF(S2508:U2525,$B2532&amp;" ~*")&gt;0)+(COUNTIF(W2508:W2525,$B2532)+COUNTIF(W2508:W2525,$B2532&amp;" ~*")&gt;0)+(COUNTIF(Y2508:Y2525,$B2532)+COUNTIF(Y2508:Y2525,$B2532&amp;" ~*")&gt;0))</f>
        <v/>
      </c>
      <c r="AC2532" s="38">
        <f>IF($B2532="","",(IFERROR(INDEX(Setup!$G$33:$G$40,MATCH(C2532,Setup!$B$33:$B$40,0)),0)=1)*(COUNTIF(C2508:E2525,$B2532)+COUNTIF(C2508:E2525,$B2532&amp;" ~*")&gt;0)+(IFERROR(INDEX(Setup!$G$33:$G$40,MATCH(G2532,Setup!$B$33:$B$40,0)),0)=1)*(COUNTIF(G2508:I2525,$B2532)+COUNTIF(G2508:I2525,$B2532&amp;" ~*")&gt;0)+(IFERROR(INDEX(Setup!$G$33:$G$40,MATCH(K2532,Setup!$B$33:$B$40,0)),0)=1)*(COUNTIF(K2508:M2525,$B2532)+COUNTIF(K2508:M2525,$B2532&amp;" ~*")&gt;0)+(IFERROR(INDEX(Setup!$G$33:$G$40,MATCH(O2532,Setup!$B$33:$B$40,0)),0)=1)*(COUNTIF(O2508:Q2525,$B2532)+COUNTIF(O2508:Q2525,$B2532&amp;" ~*")&gt;0)+(IFERROR(INDEX(Setup!$G$33:$G$40,MATCH(S2532,Setup!$B$33:$B$40,0)),0)=1)*(COUNTIF(S2508:U2525,$B2532)+COUNTIF(S2508:U2525,$B2532&amp;" ~*")&gt;0)+(IFERROR(INDEX(Setup!$G$33:$G$40,MATCH(W2532,Setup!$B$33:$B$40,0)),0)=1)*(COUNTIF(W2508:W2525,$B2532)+COUNTIF(W2508:W2525,$B2532&amp;" ~*")&gt;0)+(IFERROR(INDEX(Setup!$G$33:$G$40,MATCH(Y2532,Setup!$B$33:$B$40,0)),0)=1)*(COUNTIF(Y2508:Y2525,$B2532)+COUNTIF(Y2508:Y2525,$B2532&amp;" ~*")&gt;0))</f>
        <v/>
      </c>
    </row>
    <row r="2533" ht="15" customHeight="1">
      <c r="A2533" t="n">
        <v>51</v>
      </c>
      <c r="B2533" s="35">
        <f>IF(Setup!$B$12="","",Setup!$B$12)</f>
        <v/>
      </c>
      <c r="C2533" s="98" t="n"/>
      <c r="D2533" s="99" t="n"/>
      <c r="E2533" s="99" t="n"/>
      <c r="F2533" s="100" t="n"/>
      <c r="G2533" s="98" t="n"/>
      <c r="H2533" s="99" t="n"/>
      <c r="I2533" s="99" t="n"/>
      <c r="J2533" s="100" t="n"/>
      <c r="K2533" s="98" t="n"/>
      <c r="L2533" s="99" t="n"/>
      <c r="M2533" s="99" t="n"/>
      <c r="N2533" s="100" t="n"/>
      <c r="O2533" s="98" t="n"/>
      <c r="P2533" s="99" t="n"/>
      <c r="Q2533" s="99" t="n"/>
      <c r="R2533" s="100" t="n"/>
      <c r="S2533" s="98" t="inlineStr">
        <is>
          <t>AL</t>
        </is>
      </c>
      <c r="T2533" s="99" t="n"/>
      <c r="U2533" s="99" t="n"/>
      <c r="V2533" s="100" t="n"/>
      <c r="W2533" s="98" t="n"/>
      <c r="X2533" s="100" t="n"/>
      <c r="Y2533" s="98" t="n"/>
      <c r="Z2533" s="100" t="n"/>
      <c r="AB2533" s="101">
        <f>IF($B2533="","",(COUNTIF(C2508:E2525,$B2533)+COUNTIF(C2508:E2525,$B2533&amp;" ~*")&gt;0)+(COUNTIF(G2508:I2525,$B2533)+COUNTIF(G2508:I2525,$B2533&amp;" ~*")&gt;0)+(COUNTIF(K2508:M2525,$B2533)+COUNTIF(K2508:M2525,$B2533&amp;" ~*")&gt;0)+(COUNTIF(O2508:Q2525,$B2533)+COUNTIF(O2508:Q2525,$B2533&amp;" ~*")&gt;0)+(COUNTIF(S2508:U2525,$B2533)+COUNTIF(S2508:U2525,$B2533&amp;" ~*")&gt;0)+(COUNTIF(W2508:W2525,$B2533)+COUNTIF(W2508:W2525,$B2533&amp;" ~*")&gt;0)+(COUNTIF(Y2508:Y2525,$B2533)+COUNTIF(Y2508:Y2525,$B2533&amp;" ~*")&gt;0))</f>
        <v/>
      </c>
      <c r="AC2533" s="36">
        <f>IF($B2533="","",(IFERROR(INDEX(Setup!$G$33:$G$40,MATCH(C2533,Setup!$B$33:$B$40,0)),0)=1)*(COUNTIF(C2508:E2525,$B2533)+COUNTIF(C2508:E2525,$B2533&amp;" ~*")&gt;0)+(IFERROR(INDEX(Setup!$G$33:$G$40,MATCH(G2533,Setup!$B$33:$B$40,0)),0)=1)*(COUNTIF(G2508:I2525,$B2533)+COUNTIF(G2508:I2525,$B2533&amp;" ~*")&gt;0)+(IFERROR(INDEX(Setup!$G$33:$G$40,MATCH(K2533,Setup!$B$33:$B$40,0)),0)=1)*(COUNTIF(K2508:M2525,$B2533)+COUNTIF(K2508:M2525,$B2533&amp;" ~*")&gt;0)+(IFERROR(INDEX(Setup!$G$33:$G$40,MATCH(O2533,Setup!$B$33:$B$40,0)),0)=1)*(COUNTIF(O2508:Q2525,$B2533)+COUNTIF(O2508:Q2525,$B2533&amp;" ~*")&gt;0)+(IFERROR(INDEX(Setup!$G$33:$G$40,MATCH(S2533,Setup!$B$33:$B$40,0)),0)=1)*(COUNTIF(S2508:U2525,$B2533)+COUNTIF(S2508:U2525,$B2533&amp;" ~*")&gt;0)+(IFERROR(INDEX(Setup!$G$33:$G$40,MATCH(W2533,Setup!$B$33:$B$40,0)),0)=1)*(COUNTIF(W2508:W2525,$B2533)+COUNTIF(W2508:W2525,$B2533&amp;" ~*")&gt;0)+(IFERROR(INDEX(Setup!$G$33:$G$40,MATCH(Y2533,Setup!$B$33:$B$40,0)),0)=1)*(COUNTIF(Y2508:Y2525,$B2533)+COUNTIF(Y2508:Y2525,$B2533&amp;" ~*")&gt;0))</f>
        <v/>
      </c>
    </row>
    <row r="2534" ht="15" customHeight="1">
      <c r="A2534" t="n">
        <v>51</v>
      </c>
      <c r="B2534" s="37">
        <f>IF(Setup!$B$13="","",Setup!$B$13)</f>
        <v/>
      </c>
      <c r="C2534" s="102" t="n"/>
      <c r="D2534" s="103" t="n"/>
      <c r="E2534" s="103" t="n"/>
      <c r="F2534" s="104" t="n"/>
      <c r="G2534" s="102" t="n"/>
      <c r="H2534" s="103" t="n"/>
      <c r="I2534" s="103" t="n"/>
      <c r="J2534" s="104" t="n"/>
      <c r="K2534" s="102" t="inlineStr">
        <is>
          <t>AL</t>
        </is>
      </c>
      <c r="L2534" s="103" t="n"/>
      <c r="M2534" s="103" t="n"/>
      <c r="N2534" s="104" t="n"/>
      <c r="O2534" s="102" t="inlineStr">
        <is>
          <t>AL</t>
        </is>
      </c>
      <c r="P2534" s="103" t="n"/>
      <c r="Q2534" s="103" t="n"/>
      <c r="R2534" s="104" t="n"/>
      <c r="S2534" s="102" t="inlineStr">
        <is>
          <t>AL</t>
        </is>
      </c>
      <c r="T2534" s="103" t="n"/>
      <c r="U2534" s="103" t="n"/>
      <c r="V2534" s="104" t="n"/>
      <c r="W2534" s="102" t="n"/>
      <c r="X2534" s="104" t="n"/>
      <c r="Y2534" s="102" t="n"/>
      <c r="Z2534" s="104" t="n"/>
      <c r="AB2534" s="105">
        <f>IF($B2534="","",(COUNTIF(C2508:E2525,$B2534)+COUNTIF(C2508:E2525,$B2534&amp;" ~*")&gt;0)+(COUNTIF(G2508:I2525,$B2534)+COUNTIF(G2508:I2525,$B2534&amp;" ~*")&gt;0)+(COUNTIF(K2508:M2525,$B2534)+COUNTIF(K2508:M2525,$B2534&amp;" ~*")&gt;0)+(COUNTIF(O2508:Q2525,$B2534)+COUNTIF(O2508:Q2525,$B2534&amp;" ~*")&gt;0)+(COUNTIF(S2508:U2525,$B2534)+COUNTIF(S2508:U2525,$B2534&amp;" ~*")&gt;0)+(COUNTIF(W2508:W2525,$B2534)+COUNTIF(W2508:W2525,$B2534&amp;" ~*")&gt;0)+(COUNTIF(Y2508:Y2525,$B2534)+COUNTIF(Y2508:Y2525,$B2534&amp;" ~*")&gt;0))</f>
        <v/>
      </c>
      <c r="AC2534" s="38">
        <f>IF($B2534="","",(IFERROR(INDEX(Setup!$G$33:$G$40,MATCH(C2534,Setup!$B$33:$B$40,0)),0)=1)*(COUNTIF(C2508:E2525,$B2534)+COUNTIF(C2508:E2525,$B2534&amp;" ~*")&gt;0)+(IFERROR(INDEX(Setup!$G$33:$G$40,MATCH(G2534,Setup!$B$33:$B$40,0)),0)=1)*(COUNTIF(G2508:I2525,$B2534)+COUNTIF(G2508:I2525,$B2534&amp;" ~*")&gt;0)+(IFERROR(INDEX(Setup!$G$33:$G$40,MATCH(K2534,Setup!$B$33:$B$40,0)),0)=1)*(COUNTIF(K2508:M2525,$B2534)+COUNTIF(K2508:M2525,$B2534&amp;" ~*")&gt;0)+(IFERROR(INDEX(Setup!$G$33:$G$40,MATCH(O2534,Setup!$B$33:$B$40,0)),0)=1)*(COUNTIF(O2508:Q2525,$B2534)+COUNTIF(O2508:Q2525,$B2534&amp;" ~*")&gt;0)+(IFERROR(INDEX(Setup!$G$33:$G$40,MATCH(S2534,Setup!$B$33:$B$40,0)),0)=1)*(COUNTIF(S2508:U2525,$B2534)+COUNTIF(S2508:U2525,$B2534&amp;" ~*")&gt;0)+(IFERROR(INDEX(Setup!$G$33:$G$40,MATCH(W2534,Setup!$B$33:$B$40,0)),0)=1)*(COUNTIF(W2508:W2525,$B2534)+COUNTIF(W2508:W2525,$B2534&amp;" ~*")&gt;0)+(IFERROR(INDEX(Setup!$G$33:$G$40,MATCH(Y2534,Setup!$B$33:$B$40,0)),0)=1)*(COUNTIF(Y2508:Y2525,$B2534)+COUNTIF(Y2508:Y2525,$B2534&amp;" ~*")&gt;0))</f>
        <v/>
      </c>
    </row>
    <row r="2535" ht="15" customHeight="1">
      <c r="A2535" t="n">
        <v>51</v>
      </c>
      <c r="B2535" s="35">
        <f>IF(Setup!$B$14="","",Setup!$B$14)</f>
        <v/>
      </c>
      <c r="C2535" s="98" t="n"/>
      <c r="D2535" s="99" t="n"/>
      <c r="E2535" s="99" t="n"/>
      <c r="F2535" s="100" t="n"/>
      <c r="G2535" s="98" t="n"/>
      <c r="H2535" s="99" t="n"/>
      <c r="I2535" s="99" t="n"/>
      <c r="J2535" s="100" t="n"/>
      <c r="K2535" s="98" t="n"/>
      <c r="L2535" s="99" t="n"/>
      <c r="M2535" s="99" t="n"/>
      <c r="N2535" s="100" t="n"/>
      <c r="O2535" s="98" t="n"/>
      <c r="P2535" s="99" t="n"/>
      <c r="Q2535" s="99" t="n"/>
      <c r="R2535" s="100" t="n"/>
      <c r="S2535" s="98" t="n"/>
      <c r="T2535" s="99" t="n"/>
      <c r="U2535" s="99" t="n"/>
      <c r="V2535" s="100" t="n"/>
      <c r="W2535" s="98" t="n"/>
      <c r="X2535" s="100" t="n"/>
      <c r="Y2535" s="98" t="n"/>
      <c r="Z2535" s="100" t="n"/>
      <c r="AB2535" s="101">
        <f>IF($B2535="","",(COUNTIF(C2508:E2525,$B2535)+COUNTIF(C2508:E2525,$B2535&amp;" ~*")&gt;0)+(COUNTIF(G2508:I2525,$B2535)+COUNTIF(G2508:I2525,$B2535&amp;" ~*")&gt;0)+(COUNTIF(K2508:M2525,$B2535)+COUNTIF(K2508:M2525,$B2535&amp;" ~*")&gt;0)+(COUNTIF(O2508:Q2525,$B2535)+COUNTIF(O2508:Q2525,$B2535&amp;" ~*")&gt;0)+(COUNTIF(S2508:U2525,$B2535)+COUNTIF(S2508:U2525,$B2535&amp;" ~*")&gt;0)+(COUNTIF(W2508:W2525,$B2535)+COUNTIF(W2508:W2525,$B2535&amp;" ~*")&gt;0)+(COUNTIF(Y2508:Y2525,$B2535)+COUNTIF(Y2508:Y2525,$B2535&amp;" ~*")&gt;0))</f>
        <v/>
      </c>
      <c r="AC2535" s="36">
        <f>IF($B2535="","",(IFERROR(INDEX(Setup!$G$33:$G$40,MATCH(C2535,Setup!$B$33:$B$40,0)),0)=1)*(COUNTIF(C2508:E2525,$B2535)+COUNTIF(C2508:E2525,$B2535&amp;" ~*")&gt;0)+(IFERROR(INDEX(Setup!$G$33:$G$40,MATCH(G2535,Setup!$B$33:$B$40,0)),0)=1)*(COUNTIF(G2508:I2525,$B2535)+COUNTIF(G2508:I2525,$B2535&amp;" ~*")&gt;0)+(IFERROR(INDEX(Setup!$G$33:$G$40,MATCH(K2535,Setup!$B$33:$B$40,0)),0)=1)*(COUNTIF(K2508:M2525,$B2535)+COUNTIF(K2508:M2525,$B2535&amp;" ~*")&gt;0)+(IFERROR(INDEX(Setup!$G$33:$G$40,MATCH(O2535,Setup!$B$33:$B$40,0)),0)=1)*(COUNTIF(O2508:Q2525,$B2535)+COUNTIF(O2508:Q2525,$B2535&amp;" ~*")&gt;0)+(IFERROR(INDEX(Setup!$G$33:$G$40,MATCH(S2535,Setup!$B$33:$B$40,0)),0)=1)*(COUNTIF(S2508:U2525,$B2535)+COUNTIF(S2508:U2525,$B2535&amp;" ~*")&gt;0)+(IFERROR(INDEX(Setup!$G$33:$G$40,MATCH(W2535,Setup!$B$33:$B$40,0)),0)=1)*(COUNTIF(W2508:W2525,$B2535)+COUNTIF(W2508:W2525,$B2535&amp;" ~*")&gt;0)+(IFERROR(INDEX(Setup!$G$33:$G$40,MATCH(Y2535,Setup!$B$33:$B$40,0)),0)=1)*(COUNTIF(Y2508:Y2525,$B2535)+COUNTIF(Y2508:Y2525,$B2535&amp;" ~*")&gt;0))</f>
        <v/>
      </c>
    </row>
    <row r="2536" ht="15" customHeight="1">
      <c r="A2536" t="n">
        <v>51</v>
      </c>
      <c r="B2536" s="37">
        <f>IF(Setup!$B$15="","",Setup!$B$15)</f>
        <v/>
      </c>
      <c r="C2536" s="102" t="inlineStr">
        <is>
          <t>AL</t>
        </is>
      </c>
      <c r="D2536" s="103" t="n"/>
      <c r="E2536" s="103" t="n"/>
      <c r="F2536" s="104" t="n"/>
      <c r="G2536" s="102" t="inlineStr">
        <is>
          <t>AL</t>
        </is>
      </c>
      <c r="H2536" s="103" t="n"/>
      <c r="I2536" s="103" t="n"/>
      <c r="J2536" s="104" t="n"/>
      <c r="K2536" s="102" t="inlineStr">
        <is>
          <t>AL</t>
        </is>
      </c>
      <c r="L2536" s="103" t="n"/>
      <c r="M2536" s="103" t="n"/>
      <c r="N2536" s="104" t="n"/>
      <c r="O2536" s="102" t="inlineStr">
        <is>
          <t>AL</t>
        </is>
      </c>
      <c r="P2536" s="103" t="n"/>
      <c r="Q2536" s="103" t="n"/>
      <c r="R2536" s="104" t="n"/>
      <c r="S2536" s="102" t="inlineStr">
        <is>
          <t>AL</t>
        </is>
      </c>
      <c r="T2536" s="103" t="n"/>
      <c r="U2536" s="103" t="n"/>
      <c r="V2536" s="104" t="n"/>
      <c r="W2536" s="102" t="n"/>
      <c r="X2536" s="104" t="n"/>
      <c r="Y2536" s="102" t="n"/>
      <c r="Z2536" s="104" t="n"/>
      <c r="AB2536" s="105">
        <f>IF($B2536="","",(COUNTIF(C2508:E2525,$B2536)+COUNTIF(C2508:E2525,$B2536&amp;" ~*")&gt;0)+(COUNTIF(G2508:I2525,$B2536)+COUNTIF(G2508:I2525,$B2536&amp;" ~*")&gt;0)+(COUNTIF(K2508:M2525,$B2536)+COUNTIF(K2508:M2525,$B2536&amp;" ~*")&gt;0)+(COUNTIF(O2508:Q2525,$B2536)+COUNTIF(O2508:Q2525,$B2536&amp;" ~*")&gt;0)+(COUNTIF(S2508:U2525,$B2536)+COUNTIF(S2508:U2525,$B2536&amp;" ~*")&gt;0)+(COUNTIF(W2508:W2525,$B2536)+COUNTIF(W2508:W2525,$B2536&amp;" ~*")&gt;0)+(COUNTIF(Y2508:Y2525,$B2536)+COUNTIF(Y2508:Y2525,$B2536&amp;" ~*")&gt;0))</f>
        <v/>
      </c>
      <c r="AC2536" s="38">
        <f>IF($B2536="","",(IFERROR(INDEX(Setup!$G$33:$G$40,MATCH(C2536,Setup!$B$33:$B$40,0)),0)=1)*(COUNTIF(C2508:E2525,$B2536)+COUNTIF(C2508:E2525,$B2536&amp;" ~*")&gt;0)+(IFERROR(INDEX(Setup!$G$33:$G$40,MATCH(G2536,Setup!$B$33:$B$40,0)),0)=1)*(COUNTIF(G2508:I2525,$B2536)+COUNTIF(G2508:I2525,$B2536&amp;" ~*")&gt;0)+(IFERROR(INDEX(Setup!$G$33:$G$40,MATCH(K2536,Setup!$B$33:$B$40,0)),0)=1)*(COUNTIF(K2508:M2525,$B2536)+COUNTIF(K2508:M2525,$B2536&amp;" ~*")&gt;0)+(IFERROR(INDEX(Setup!$G$33:$G$40,MATCH(O2536,Setup!$B$33:$B$40,0)),0)=1)*(COUNTIF(O2508:Q2525,$B2536)+COUNTIF(O2508:Q2525,$B2536&amp;" ~*")&gt;0)+(IFERROR(INDEX(Setup!$G$33:$G$40,MATCH(S2536,Setup!$B$33:$B$40,0)),0)=1)*(COUNTIF(S2508:U2525,$B2536)+COUNTIF(S2508:U2525,$B2536&amp;" ~*")&gt;0)+(IFERROR(INDEX(Setup!$G$33:$G$40,MATCH(W2536,Setup!$B$33:$B$40,0)),0)=1)*(COUNTIF(W2508:W2525,$B2536)+COUNTIF(W2508:W2525,$B2536&amp;" ~*")&gt;0)+(IFERROR(INDEX(Setup!$G$33:$G$40,MATCH(Y2536,Setup!$B$33:$B$40,0)),0)=1)*(COUNTIF(Y2508:Y2525,$B2536)+COUNTIF(Y2508:Y2525,$B2536&amp;" ~*")&gt;0))</f>
        <v/>
      </c>
    </row>
    <row r="2537" ht="15" customHeight="1">
      <c r="A2537" t="n">
        <v>51</v>
      </c>
      <c r="B2537" s="35">
        <f>IF(Setup!$B$16="","",Setup!$B$16)</f>
        <v/>
      </c>
      <c r="C2537" s="98" t="n"/>
      <c r="D2537" s="99" t="n"/>
      <c r="E2537" s="99" t="n"/>
      <c r="F2537" s="100" t="n"/>
      <c r="G2537" s="98" t="n"/>
      <c r="H2537" s="99" t="n"/>
      <c r="I2537" s="99" t="n"/>
      <c r="J2537" s="100" t="n"/>
      <c r="K2537" s="98" t="n"/>
      <c r="L2537" s="99" t="n"/>
      <c r="M2537" s="99" t="n"/>
      <c r="N2537" s="100" t="n"/>
      <c r="O2537" s="98" t="n"/>
      <c r="P2537" s="99" t="n"/>
      <c r="Q2537" s="99" t="n"/>
      <c r="R2537" s="100" t="n"/>
      <c r="S2537" s="98" t="n"/>
      <c r="T2537" s="99" t="n"/>
      <c r="U2537" s="99" t="n"/>
      <c r="V2537" s="100" t="n"/>
      <c r="W2537" s="98" t="n"/>
      <c r="X2537" s="100" t="n"/>
      <c r="Y2537" s="98" t="n"/>
      <c r="Z2537" s="100" t="n"/>
      <c r="AB2537" s="101">
        <f>IF($B2537="","",(COUNTIF(C2508:E2525,$B2537)+COUNTIF(C2508:E2525,$B2537&amp;" ~*")&gt;0)+(COUNTIF(G2508:I2525,$B2537)+COUNTIF(G2508:I2525,$B2537&amp;" ~*")&gt;0)+(COUNTIF(K2508:M2525,$B2537)+COUNTIF(K2508:M2525,$B2537&amp;" ~*")&gt;0)+(COUNTIF(O2508:Q2525,$B2537)+COUNTIF(O2508:Q2525,$B2537&amp;" ~*")&gt;0)+(COUNTIF(S2508:U2525,$B2537)+COUNTIF(S2508:U2525,$B2537&amp;" ~*")&gt;0)+(COUNTIF(W2508:W2525,$B2537)+COUNTIF(W2508:W2525,$B2537&amp;" ~*")&gt;0)+(COUNTIF(Y2508:Y2525,$B2537)+COUNTIF(Y2508:Y2525,$B2537&amp;" ~*")&gt;0))</f>
        <v/>
      </c>
      <c r="AC2537" s="36">
        <f>IF($B2537="","",(IFERROR(INDEX(Setup!$G$33:$G$40,MATCH(C2537,Setup!$B$33:$B$40,0)),0)=1)*(COUNTIF(C2508:E2525,$B2537)+COUNTIF(C2508:E2525,$B2537&amp;" ~*")&gt;0)+(IFERROR(INDEX(Setup!$G$33:$G$40,MATCH(G2537,Setup!$B$33:$B$40,0)),0)=1)*(COUNTIF(G2508:I2525,$B2537)+COUNTIF(G2508:I2525,$B2537&amp;" ~*")&gt;0)+(IFERROR(INDEX(Setup!$G$33:$G$40,MATCH(K2537,Setup!$B$33:$B$40,0)),0)=1)*(COUNTIF(K2508:M2525,$B2537)+COUNTIF(K2508:M2525,$B2537&amp;" ~*")&gt;0)+(IFERROR(INDEX(Setup!$G$33:$G$40,MATCH(O2537,Setup!$B$33:$B$40,0)),0)=1)*(COUNTIF(O2508:Q2525,$B2537)+COUNTIF(O2508:Q2525,$B2537&amp;" ~*")&gt;0)+(IFERROR(INDEX(Setup!$G$33:$G$40,MATCH(S2537,Setup!$B$33:$B$40,0)),0)=1)*(COUNTIF(S2508:U2525,$B2537)+COUNTIF(S2508:U2525,$B2537&amp;" ~*")&gt;0)+(IFERROR(INDEX(Setup!$G$33:$G$40,MATCH(W2537,Setup!$B$33:$B$40,0)),0)=1)*(COUNTIF(W2508:W2525,$B2537)+COUNTIF(W2508:W2525,$B2537&amp;" ~*")&gt;0)+(IFERROR(INDEX(Setup!$G$33:$G$40,MATCH(Y2537,Setup!$B$33:$B$40,0)),0)=1)*(COUNTIF(Y2508:Y2525,$B2537)+COUNTIF(Y2508:Y2525,$B2537&amp;" ~*")&gt;0))</f>
        <v/>
      </c>
    </row>
    <row r="2538" ht="15" customHeight="1">
      <c r="A2538" t="n">
        <v>51</v>
      </c>
      <c r="B2538" s="37">
        <f>IF(Setup!$B$17="","",Setup!$B$17)</f>
        <v/>
      </c>
      <c r="C2538" s="102" t="n"/>
      <c r="D2538" s="103" t="n"/>
      <c r="E2538" s="103" t="n"/>
      <c r="F2538" s="104" t="n"/>
      <c r="G2538" s="102" t="n"/>
      <c r="H2538" s="103" t="n"/>
      <c r="I2538" s="103" t="n"/>
      <c r="J2538" s="104" t="n"/>
      <c r="K2538" s="102" t="n"/>
      <c r="L2538" s="103" t="n"/>
      <c r="M2538" s="103" t="n"/>
      <c r="N2538" s="104" t="n"/>
      <c r="O2538" s="102" t="n"/>
      <c r="P2538" s="103" t="n"/>
      <c r="Q2538" s="103" t="n"/>
      <c r="R2538" s="104" t="n"/>
      <c r="S2538" s="102" t="n"/>
      <c r="T2538" s="103" t="n"/>
      <c r="U2538" s="103" t="n"/>
      <c r="V2538" s="104" t="n"/>
      <c r="W2538" s="102" t="n"/>
      <c r="X2538" s="104" t="n"/>
      <c r="Y2538" s="102" t="n"/>
      <c r="Z2538" s="104" t="n"/>
      <c r="AB2538" s="105">
        <f>IF($B2538="","",(COUNTIF(C2508:E2525,$B2538)+COUNTIF(C2508:E2525,$B2538&amp;" ~*")&gt;0)+(COUNTIF(G2508:I2525,$B2538)+COUNTIF(G2508:I2525,$B2538&amp;" ~*")&gt;0)+(COUNTIF(K2508:M2525,$B2538)+COUNTIF(K2508:M2525,$B2538&amp;" ~*")&gt;0)+(COUNTIF(O2508:Q2525,$B2538)+COUNTIF(O2508:Q2525,$B2538&amp;" ~*")&gt;0)+(COUNTIF(S2508:U2525,$B2538)+COUNTIF(S2508:U2525,$B2538&amp;" ~*")&gt;0)+(COUNTIF(W2508:W2525,$B2538)+COUNTIF(W2508:W2525,$B2538&amp;" ~*")&gt;0)+(COUNTIF(Y2508:Y2525,$B2538)+COUNTIF(Y2508:Y2525,$B2538&amp;" ~*")&gt;0))</f>
        <v/>
      </c>
      <c r="AC2538" s="38">
        <f>IF($B2538="","",(IFERROR(INDEX(Setup!$G$33:$G$40,MATCH(C2538,Setup!$B$33:$B$40,0)),0)=1)*(COUNTIF(C2508:E2525,$B2538)+COUNTIF(C2508:E2525,$B2538&amp;" ~*")&gt;0)+(IFERROR(INDEX(Setup!$G$33:$G$40,MATCH(G2538,Setup!$B$33:$B$40,0)),0)=1)*(COUNTIF(G2508:I2525,$B2538)+COUNTIF(G2508:I2525,$B2538&amp;" ~*")&gt;0)+(IFERROR(INDEX(Setup!$G$33:$G$40,MATCH(K2538,Setup!$B$33:$B$40,0)),0)=1)*(COUNTIF(K2508:M2525,$B2538)+COUNTIF(K2508:M2525,$B2538&amp;" ~*")&gt;0)+(IFERROR(INDEX(Setup!$G$33:$G$40,MATCH(O2538,Setup!$B$33:$B$40,0)),0)=1)*(COUNTIF(O2508:Q2525,$B2538)+COUNTIF(O2508:Q2525,$B2538&amp;" ~*")&gt;0)+(IFERROR(INDEX(Setup!$G$33:$G$40,MATCH(S2538,Setup!$B$33:$B$40,0)),0)=1)*(COUNTIF(S2508:U2525,$B2538)+COUNTIF(S2508:U2525,$B2538&amp;" ~*")&gt;0)+(IFERROR(INDEX(Setup!$G$33:$G$40,MATCH(W2538,Setup!$B$33:$B$40,0)),0)=1)*(COUNTIF(W2508:W2525,$B2538)+COUNTIF(W2508:W2525,$B2538&amp;" ~*")&gt;0)+(IFERROR(INDEX(Setup!$G$33:$G$40,MATCH(Y2538,Setup!$B$33:$B$40,0)),0)=1)*(COUNTIF(Y2508:Y2525,$B2538)+COUNTIF(Y2508:Y2525,$B2538&amp;" ~*")&gt;0))</f>
        <v/>
      </c>
    </row>
    <row r="2539" ht="15" customHeight="1">
      <c r="A2539" t="n">
        <v>51</v>
      </c>
      <c r="B2539" s="35">
        <f>IF(Setup!$B$18="","",Setup!$B$18)</f>
        <v/>
      </c>
      <c r="C2539" s="98" t="n"/>
      <c r="D2539" s="99" t="n"/>
      <c r="E2539" s="99" t="n"/>
      <c r="F2539" s="100" t="n"/>
      <c r="G2539" s="98" t="n"/>
      <c r="H2539" s="99" t="n"/>
      <c r="I2539" s="99" t="n"/>
      <c r="J2539" s="100" t="n"/>
      <c r="K2539" s="98" t="n"/>
      <c r="L2539" s="99" t="n"/>
      <c r="M2539" s="99" t="n"/>
      <c r="N2539" s="100" t="n"/>
      <c r="O2539" s="98" t="n"/>
      <c r="P2539" s="99" t="n"/>
      <c r="Q2539" s="99" t="n"/>
      <c r="R2539" s="100" t="n"/>
      <c r="S2539" s="98" t="n"/>
      <c r="T2539" s="99" t="n"/>
      <c r="U2539" s="99" t="n"/>
      <c r="V2539" s="100" t="n"/>
      <c r="W2539" s="98" t="n"/>
      <c r="X2539" s="100" t="n"/>
      <c r="Y2539" s="98" t="n"/>
      <c r="Z2539" s="100" t="n"/>
      <c r="AB2539" s="101">
        <f>IF($B2539="","",(COUNTIF(C2508:E2525,$B2539)+COUNTIF(C2508:E2525,$B2539&amp;" ~*")&gt;0)+(COUNTIF(G2508:I2525,$B2539)+COUNTIF(G2508:I2525,$B2539&amp;" ~*")&gt;0)+(COUNTIF(K2508:M2525,$B2539)+COUNTIF(K2508:M2525,$B2539&amp;" ~*")&gt;0)+(COUNTIF(O2508:Q2525,$B2539)+COUNTIF(O2508:Q2525,$B2539&amp;" ~*")&gt;0)+(COUNTIF(S2508:U2525,$B2539)+COUNTIF(S2508:U2525,$B2539&amp;" ~*")&gt;0)+(COUNTIF(W2508:W2525,$B2539)+COUNTIF(W2508:W2525,$B2539&amp;" ~*")&gt;0)+(COUNTIF(Y2508:Y2525,$B2539)+COUNTIF(Y2508:Y2525,$B2539&amp;" ~*")&gt;0))</f>
        <v/>
      </c>
      <c r="AC2539" s="36">
        <f>IF($B2539="","",(IFERROR(INDEX(Setup!$G$33:$G$40,MATCH(C2539,Setup!$B$33:$B$40,0)),0)=1)*(COUNTIF(C2508:E2525,$B2539)+COUNTIF(C2508:E2525,$B2539&amp;" ~*")&gt;0)+(IFERROR(INDEX(Setup!$G$33:$G$40,MATCH(G2539,Setup!$B$33:$B$40,0)),0)=1)*(COUNTIF(G2508:I2525,$B2539)+COUNTIF(G2508:I2525,$B2539&amp;" ~*")&gt;0)+(IFERROR(INDEX(Setup!$G$33:$G$40,MATCH(K2539,Setup!$B$33:$B$40,0)),0)=1)*(COUNTIF(K2508:M2525,$B2539)+COUNTIF(K2508:M2525,$B2539&amp;" ~*")&gt;0)+(IFERROR(INDEX(Setup!$G$33:$G$40,MATCH(O2539,Setup!$B$33:$B$40,0)),0)=1)*(COUNTIF(O2508:Q2525,$B2539)+COUNTIF(O2508:Q2525,$B2539&amp;" ~*")&gt;0)+(IFERROR(INDEX(Setup!$G$33:$G$40,MATCH(S2539,Setup!$B$33:$B$40,0)),0)=1)*(COUNTIF(S2508:U2525,$B2539)+COUNTIF(S2508:U2525,$B2539&amp;" ~*")&gt;0)+(IFERROR(INDEX(Setup!$G$33:$G$40,MATCH(W2539,Setup!$B$33:$B$40,0)),0)=1)*(COUNTIF(W2508:W2525,$B2539)+COUNTIF(W2508:W2525,$B2539&amp;" ~*")&gt;0)+(IFERROR(INDEX(Setup!$G$33:$G$40,MATCH(Y2539,Setup!$B$33:$B$40,0)),0)=1)*(COUNTIF(Y2508:Y2525,$B2539)+COUNTIF(Y2508:Y2525,$B2539&amp;" ~*")&gt;0))</f>
        <v/>
      </c>
    </row>
    <row r="2540" ht="15" customHeight="1">
      <c r="A2540" t="n">
        <v>51</v>
      </c>
      <c r="B2540" s="37">
        <f>IF(Setup!$B$19="","",Setup!$B$19)</f>
        <v/>
      </c>
      <c r="C2540" s="102" t="n"/>
      <c r="D2540" s="103" t="n"/>
      <c r="E2540" s="103" t="n"/>
      <c r="F2540" s="104" t="n"/>
      <c r="G2540" s="102" t="n"/>
      <c r="H2540" s="103" t="n"/>
      <c r="I2540" s="103" t="n"/>
      <c r="J2540" s="104" t="n"/>
      <c r="K2540" s="102" t="n"/>
      <c r="L2540" s="103" t="n"/>
      <c r="M2540" s="103" t="n"/>
      <c r="N2540" s="104" t="n"/>
      <c r="O2540" s="102" t="n"/>
      <c r="P2540" s="103" t="n"/>
      <c r="Q2540" s="103" t="n"/>
      <c r="R2540" s="104" t="n"/>
      <c r="S2540" s="102" t="inlineStr">
        <is>
          <t>AL</t>
        </is>
      </c>
      <c r="T2540" s="103" t="n"/>
      <c r="U2540" s="103" t="n"/>
      <c r="V2540" s="104" t="n"/>
      <c r="W2540" s="102" t="n"/>
      <c r="X2540" s="104" t="n"/>
      <c r="Y2540" s="102" t="n"/>
      <c r="Z2540" s="104" t="n"/>
      <c r="AB2540" s="105">
        <f>IF($B2540="","",(COUNTIF(C2508:E2525,$B2540)+COUNTIF(C2508:E2525,$B2540&amp;" ~*")&gt;0)+(COUNTIF(G2508:I2525,$B2540)+COUNTIF(G2508:I2525,$B2540&amp;" ~*")&gt;0)+(COUNTIF(K2508:M2525,$B2540)+COUNTIF(K2508:M2525,$B2540&amp;" ~*")&gt;0)+(COUNTIF(O2508:Q2525,$B2540)+COUNTIF(O2508:Q2525,$B2540&amp;" ~*")&gt;0)+(COUNTIF(S2508:U2525,$B2540)+COUNTIF(S2508:U2525,$B2540&amp;" ~*")&gt;0)+(COUNTIF(W2508:W2525,$B2540)+COUNTIF(W2508:W2525,$B2540&amp;" ~*")&gt;0)+(COUNTIF(Y2508:Y2525,$B2540)+COUNTIF(Y2508:Y2525,$B2540&amp;" ~*")&gt;0))</f>
        <v/>
      </c>
      <c r="AC2540" s="38">
        <f>IF($B2540="","",(IFERROR(INDEX(Setup!$G$33:$G$40,MATCH(C2540,Setup!$B$33:$B$40,0)),0)=1)*(COUNTIF(C2508:E2525,$B2540)+COUNTIF(C2508:E2525,$B2540&amp;" ~*")&gt;0)+(IFERROR(INDEX(Setup!$G$33:$G$40,MATCH(G2540,Setup!$B$33:$B$40,0)),0)=1)*(COUNTIF(G2508:I2525,$B2540)+COUNTIF(G2508:I2525,$B2540&amp;" ~*")&gt;0)+(IFERROR(INDEX(Setup!$G$33:$G$40,MATCH(K2540,Setup!$B$33:$B$40,0)),0)=1)*(COUNTIF(K2508:M2525,$B2540)+COUNTIF(K2508:M2525,$B2540&amp;" ~*")&gt;0)+(IFERROR(INDEX(Setup!$G$33:$G$40,MATCH(O2540,Setup!$B$33:$B$40,0)),0)=1)*(COUNTIF(O2508:Q2525,$B2540)+COUNTIF(O2508:Q2525,$B2540&amp;" ~*")&gt;0)+(IFERROR(INDEX(Setup!$G$33:$G$40,MATCH(S2540,Setup!$B$33:$B$40,0)),0)=1)*(COUNTIF(S2508:U2525,$B2540)+COUNTIF(S2508:U2525,$B2540&amp;" ~*")&gt;0)+(IFERROR(INDEX(Setup!$G$33:$G$40,MATCH(W2540,Setup!$B$33:$B$40,0)),0)=1)*(COUNTIF(W2508:W2525,$B2540)+COUNTIF(W2508:W2525,$B2540&amp;" ~*")&gt;0)+(IFERROR(INDEX(Setup!$G$33:$G$40,MATCH(Y2540,Setup!$B$33:$B$40,0)),0)=1)*(COUNTIF(Y2508:Y2525,$B2540)+COUNTIF(Y2508:Y2525,$B2540&amp;" ~*")&gt;0))</f>
        <v/>
      </c>
    </row>
    <row r="2541" ht="15" customHeight="1">
      <c r="A2541" t="n">
        <v>51</v>
      </c>
      <c r="B2541" s="35">
        <f>IF(Setup!$B$20="","",Setup!$B$20)</f>
        <v/>
      </c>
      <c r="C2541" s="98" t="n"/>
      <c r="D2541" s="99" t="n"/>
      <c r="E2541" s="99" t="n"/>
      <c r="F2541" s="100" t="n"/>
      <c r="G2541" s="98" t="n"/>
      <c r="H2541" s="99" t="n"/>
      <c r="I2541" s="99" t="n"/>
      <c r="J2541" s="100" t="n"/>
      <c r="K2541" s="98" t="n"/>
      <c r="L2541" s="99" t="n"/>
      <c r="M2541" s="99" t="n"/>
      <c r="N2541" s="100" t="n"/>
      <c r="O2541" s="98" t="n"/>
      <c r="P2541" s="99" t="n"/>
      <c r="Q2541" s="99" t="n"/>
      <c r="R2541" s="100" t="n"/>
      <c r="S2541" s="98" t="n"/>
      <c r="T2541" s="99" t="n"/>
      <c r="U2541" s="99" t="n"/>
      <c r="V2541" s="100" t="n"/>
      <c r="W2541" s="98" t="n"/>
      <c r="X2541" s="100" t="n"/>
      <c r="Y2541" s="98" t="n"/>
      <c r="Z2541" s="100" t="n"/>
      <c r="AB2541" s="101">
        <f>IF($B2541="","",(COUNTIF(C2508:E2525,$B2541)+COUNTIF(C2508:E2525,$B2541&amp;" ~*")&gt;0)+(COUNTIF(G2508:I2525,$B2541)+COUNTIF(G2508:I2525,$B2541&amp;" ~*")&gt;0)+(COUNTIF(K2508:M2525,$B2541)+COUNTIF(K2508:M2525,$B2541&amp;" ~*")&gt;0)+(COUNTIF(O2508:Q2525,$B2541)+COUNTIF(O2508:Q2525,$B2541&amp;" ~*")&gt;0)+(COUNTIF(S2508:U2525,$B2541)+COUNTIF(S2508:U2525,$B2541&amp;" ~*")&gt;0)+(COUNTIF(W2508:W2525,$B2541)+COUNTIF(W2508:W2525,$B2541&amp;" ~*")&gt;0)+(COUNTIF(Y2508:Y2525,$B2541)+COUNTIF(Y2508:Y2525,$B2541&amp;" ~*")&gt;0))</f>
        <v/>
      </c>
      <c r="AC2541" s="36">
        <f>IF($B2541="","",(IFERROR(INDEX(Setup!$G$33:$G$40,MATCH(C2541,Setup!$B$33:$B$40,0)),0)=1)*(COUNTIF(C2508:E2525,$B2541)+COUNTIF(C2508:E2525,$B2541&amp;" ~*")&gt;0)+(IFERROR(INDEX(Setup!$G$33:$G$40,MATCH(G2541,Setup!$B$33:$B$40,0)),0)=1)*(COUNTIF(G2508:I2525,$B2541)+COUNTIF(G2508:I2525,$B2541&amp;" ~*")&gt;0)+(IFERROR(INDEX(Setup!$G$33:$G$40,MATCH(K2541,Setup!$B$33:$B$40,0)),0)=1)*(COUNTIF(K2508:M2525,$B2541)+COUNTIF(K2508:M2525,$B2541&amp;" ~*")&gt;0)+(IFERROR(INDEX(Setup!$G$33:$G$40,MATCH(O2541,Setup!$B$33:$B$40,0)),0)=1)*(COUNTIF(O2508:Q2525,$B2541)+COUNTIF(O2508:Q2525,$B2541&amp;" ~*")&gt;0)+(IFERROR(INDEX(Setup!$G$33:$G$40,MATCH(S2541,Setup!$B$33:$B$40,0)),0)=1)*(COUNTIF(S2508:U2525,$B2541)+COUNTIF(S2508:U2525,$B2541&amp;" ~*")&gt;0)+(IFERROR(INDEX(Setup!$G$33:$G$40,MATCH(W2541,Setup!$B$33:$B$40,0)),0)=1)*(COUNTIF(W2508:W2525,$B2541)+COUNTIF(W2508:W2525,$B2541&amp;" ~*")&gt;0)+(IFERROR(INDEX(Setup!$G$33:$G$40,MATCH(Y2541,Setup!$B$33:$B$40,0)),0)=1)*(COUNTIF(Y2508:Y2525,$B2541)+COUNTIF(Y2508:Y2525,$B2541&amp;" ~*")&gt;0))</f>
        <v/>
      </c>
    </row>
    <row r="2542" ht="15" customHeight="1">
      <c r="A2542" t="n">
        <v>51</v>
      </c>
      <c r="B2542" s="37">
        <f>IF(Setup!$B$21="","",Setup!$B$21)</f>
        <v/>
      </c>
      <c r="C2542" s="102" t="n"/>
      <c r="D2542" s="103" t="n"/>
      <c r="E2542" s="103" t="n"/>
      <c r="F2542" s="104" t="n"/>
      <c r="G2542" s="102" t="n"/>
      <c r="H2542" s="103" t="n"/>
      <c r="I2542" s="103" t="n"/>
      <c r="J2542" s="104" t="n"/>
      <c r="K2542" s="102" t="n"/>
      <c r="L2542" s="103" t="n"/>
      <c r="M2542" s="103" t="n"/>
      <c r="N2542" s="104" t="n"/>
      <c r="O2542" s="102" t="n"/>
      <c r="P2542" s="103" t="n"/>
      <c r="Q2542" s="103" t="n"/>
      <c r="R2542" s="104" t="n"/>
      <c r="S2542" s="102" t="n"/>
      <c r="T2542" s="103" t="n"/>
      <c r="U2542" s="103" t="n"/>
      <c r="V2542" s="104" t="n"/>
      <c r="W2542" s="102" t="n"/>
      <c r="X2542" s="104" t="n"/>
      <c r="Y2542" s="102" t="n"/>
      <c r="Z2542" s="104" t="n"/>
      <c r="AB2542" s="105">
        <f>IF($B2542="","",(COUNTIF(C2508:E2525,$B2542)+COUNTIF(C2508:E2525,$B2542&amp;" ~*")&gt;0)+(COUNTIF(G2508:I2525,$B2542)+COUNTIF(G2508:I2525,$B2542&amp;" ~*")&gt;0)+(COUNTIF(K2508:M2525,$B2542)+COUNTIF(K2508:M2525,$B2542&amp;" ~*")&gt;0)+(COUNTIF(O2508:Q2525,$B2542)+COUNTIF(O2508:Q2525,$B2542&amp;" ~*")&gt;0)+(COUNTIF(S2508:U2525,$B2542)+COUNTIF(S2508:U2525,$B2542&amp;" ~*")&gt;0)+(COUNTIF(W2508:W2525,$B2542)+COUNTIF(W2508:W2525,$B2542&amp;" ~*")&gt;0)+(COUNTIF(Y2508:Y2525,$B2542)+COUNTIF(Y2508:Y2525,$B2542&amp;" ~*")&gt;0))</f>
        <v/>
      </c>
      <c r="AC2542" s="38">
        <f>IF($B2542="","",(IFERROR(INDEX(Setup!$G$33:$G$40,MATCH(C2542,Setup!$B$33:$B$40,0)),0)=1)*(COUNTIF(C2508:E2525,$B2542)+COUNTIF(C2508:E2525,$B2542&amp;" ~*")&gt;0)+(IFERROR(INDEX(Setup!$G$33:$G$40,MATCH(G2542,Setup!$B$33:$B$40,0)),0)=1)*(COUNTIF(G2508:I2525,$B2542)+COUNTIF(G2508:I2525,$B2542&amp;" ~*")&gt;0)+(IFERROR(INDEX(Setup!$G$33:$G$40,MATCH(K2542,Setup!$B$33:$B$40,0)),0)=1)*(COUNTIF(K2508:M2525,$B2542)+COUNTIF(K2508:M2525,$B2542&amp;" ~*")&gt;0)+(IFERROR(INDEX(Setup!$G$33:$G$40,MATCH(O2542,Setup!$B$33:$B$40,0)),0)=1)*(COUNTIF(O2508:Q2525,$B2542)+COUNTIF(O2508:Q2525,$B2542&amp;" ~*")&gt;0)+(IFERROR(INDEX(Setup!$G$33:$G$40,MATCH(S2542,Setup!$B$33:$B$40,0)),0)=1)*(COUNTIF(S2508:U2525,$B2542)+COUNTIF(S2508:U2525,$B2542&amp;" ~*")&gt;0)+(IFERROR(INDEX(Setup!$G$33:$G$40,MATCH(W2542,Setup!$B$33:$B$40,0)),0)=1)*(COUNTIF(W2508:W2525,$B2542)+COUNTIF(W2508:W2525,$B2542&amp;" ~*")&gt;0)+(IFERROR(INDEX(Setup!$G$33:$G$40,MATCH(Y2542,Setup!$B$33:$B$40,0)),0)=1)*(COUNTIF(Y2508:Y2525,$B2542)+COUNTIF(Y2508:Y2525,$B2542&amp;" ~*")&gt;0))</f>
        <v/>
      </c>
    </row>
    <row r="2543" ht="15" customHeight="1">
      <c r="A2543" t="n">
        <v>51</v>
      </c>
      <c r="B2543" s="35">
        <f>IF(Setup!$B$22="","",Setup!$B$22)</f>
        <v/>
      </c>
      <c r="C2543" s="98" t="inlineStr">
        <is>
          <t>AL</t>
        </is>
      </c>
      <c r="D2543" s="99" t="n"/>
      <c r="E2543" s="99" t="n"/>
      <c r="F2543" s="100" t="n"/>
      <c r="G2543" s="98" t="inlineStr">
        <is>
          <t>AL</t>
        </is>
      </c>
      <c r="H2543" s="99" t="n"/>
      <c r="I2543" s="99" t="n"/>
      <c r="J2543" s="100" t="n"/>
      <c r="K2543" s="98" t="inlineStr">
        <is>
          <t>AL</t>
        </is>
      </c>
      <c r="L2543" s="99" t="n"/>
      <c r="M2543" s="99" t="n"/>
      <c r="N2543" s="100" t="n"/>
      <c r="O2543" s="98" t="inlineStr">
        <is>
          <t>AL</t>
        </is>
      </c>
      <c r="P2543" s="99" t="n"/>
      <c r="Q2543" s="99" t="n"/>
      <c r="R2543" s="100" t="n"/>
      <c r="S2543" s="98" t="inlineStr">
        <is>
          <t>AL</t>
        </is>
      </c>
      <c r="T2543" s="99" t="n"/>
      <c r="U2543" s="99" t="n"/>
      <c r="V2543" s="100" t="n"/>
      <c r="W2543" s="98" t="n"/>
      <c r="X2543" s="100" t="n"/>
      <c r="Y2543" s="98" t="n"/>
      <c r="Z2543" s="100" t="n"/>
      <c r="AB2543" s="101">
        <f>IF($B2543="","",(COUNTIF(C2508:E2525,$B2543)+COUNTIF(C2508:E2525,$B2543&amp;" ~*")&gt;0)+(COUNTIF(G2508:I2525,$B2543)+COUNTIF(G2508:I2525,$B2543&amp;" ~*")&gt;0)+(COUNTIF(K2508:M2525,$B2543)+COUNTIF(K2508:M2525,$B2543&amp;" ~*")&gt;0)+(COUNTIF(O2508:Q2525,$B2543)+COUNTIF(O2508:Q2525,$B2543&amp;" ~*")&gt;0)+(COUNTIF(S2508:U2525,$B2543)+COUNTIF(S2508:U2525,$B2543&amp;" ~*")&gt;0)+(COUNTIF(W2508:W2525,$B2543)+COUNTIF(W2508:W2525,$B2543&amp;" ~*")&gt;0)+(COUNTIF(Y2508:Y2525,$B2543)+COUNTIF(Y2508:Y2525,$B2543&amp;" ~*")&gt;0))</f>
        <v/>
      </c>
      <c r="AC2543" s="36">
        <f>IF($B2543="","",(IFERROR(INDEX(Setup!$G$33:$G$40,MATCH(C2543,Setup!$B$33:$B$40,0)),0)=1)*(COUNTIF(C2508:E2525,$B2543)+COUNTIF(C2508:E2525,$B2543&amp;" ~*")&gt;0)+(IFERROR(INDEX(Setup!$G$33:$G$40,MATCH(G2543,Setup!$B$33:$B$40,0)),0)=1)*(COUNTIF(G2508:I2525,$B2543)+COUNTIF(G2508:I2525,$B2543&amp;" ~*")&gt;0)+(IFERROR(INDEX(Setup!$G$33:$G$40,MATCH(K2543,Setup!$B$33:$B$40,0)),0)=1)*(COUNTIF(K2508:M2525,$B2543)+COUNTIF(K2508:M2525,$B2543&amp;" ~*")&gt;0)+(IFERROR(INDEX(Setup!$G$33:$G$40,MATCH(O2543,Setup!$B$33:$B$40,0)),0)=1)*(COUNTIF(O2508:Q2525,$B2543)+COUNTIF(O2508:Q2525,$B2543&amp;" ~*")&gt;0)+(IFERROR(INDEX(Setup!$G$33:$G$40,MATCH(S2543,Setup!$B$33:$B$40,0)),0)=1)*(COUNTIF(S2508:U2525,$B2543)+COUNTIF(S2508:U2525,$B2543&amp;" ~*")&gt;0)+(IFERROR(INDEX(Setup!$G$33:$G$40,MATCH(W2543,Setup!$B$33:$B$40,0)),0)=1)*(COUNTIF(W2508:W2525,$B2543)+COUNTIF(W2508:W2525,$B2543&amp;" ~*")&gt;0)+(IFERROR(INDEX(Setup!$G$33:$G$40,MATCH(Y2543,Setup!$B$33:$B$40,0)),0)=1)*(COUNTIF(Y2508:Y2525,$B2543)+COUNTIF(Y2508:Y2525,$B2543&amp;" ~*")&gt;0))</f>
        <v/>
      </c>
    </row>
    <row r="2544" ht="15" customHeight="1">
      <c r="A2544" t="n">
        <v>51</v>
      </c>
      <c r="B2544" s="37">
        <f>IF(Setup!$B$23="","",Setup!$B$23)</f>
        <v/>
      </c>
      <c r="C2544" s="102" t="n"/>
      <c r="D2544" s="103" t="n"/>
      <c r="E2544" s="103" t="n"/>
      <c r="F2544" s="104" t="n"/>
      <c r="G2544" s="102" t="inlineStr">
        <is>
          <t>AL</t>
        </is>
      </c>
      <c r="H2544" s="103" t="n"/>
      <c r="I2544" s="103" t="n"/>
      <c r="J2544" s="104" t="n"/>
      <c r="K2544" s="102" t="inlineStr">
        <is>
          <t>AL</t>
        </is>
      </c>
      <c r="L2544" s="103" t="n"/>
      <c r="M2544" s="103" t="n"/>
      <c r="N2544" s="104" t="n"/>
      <c r="O2544" s="102" t="inlineStr">
        <is>
          <t>AL</t>
        </is>
      </c>
      <c r="P2544" s="103" t="n"/>
      <c r="Q2544" s="103" t="n"/>
      <c r="R2544" s="104" t="n"/>
      <c r="S2544" s="102" t="n"/>
      <c r="T2544" s="103" t="n"/>
      <c r="U2544" s="103" t="n"/>
      <c r="V2544" s="104" t="n"/>
      <c r="W2544" s="102" t="n"/>
      <c r="X2544" s="104" t="n"/>
      <c r="Y2544" s="102" t="n"/>
      <c r="Z2544" s="104" t="n"/>
      <c r="AB2544" s="105">
        <f>IF($B2544="","",(COUNTIF(C2508:E2525,$B2544)+COUNTIF(C2508:E2525,$B2544&amp;" ~*")&gt;0)+(COUNTIF(G2508:I2525,$B2544)+COUNTIF(G2508:I2525,$B2544&amp;" ~*")&gt;0)+(COUNTIF(K2508:M2525,$B2544)+COUNTIF(K2508:M2525,$B2544&amp;" ~*")&gt;0)+(COUNTIF(O2508:Q2525,$B2544)+COUNTIF(O2508:Q2525,$B2544&amp;" ~*")&gt;0)+(COUNTIF(S2508:U2525,$B2544)+COUNTIF(S2508:U2525,$B2544&amp;" ~*")&gt;0)+(COUNTIF(W2508:W2525,$B2544)+COUNTIF(W2508:W2525,$B2544&amp;" ~*")&gt;0)+(COUNTIF(Y2508:Y2525,$B2544)+COUNTIF(Y2508:Y2525,$B2544&amp;" ~*")&gt;0))</f>
        <v/>
      </c>
      <c r="AC2544" s="38">
        <f>IF($B2544="","",(IFERROR(INDEX(Setup!$G$33:$G$40,MATCH(C2544,Setup!$B$33:$B$40,0)),0)=1)*(COUNTIF(C2508:E2525,$B2544)+COUNTIF(C2508:E2525,$B2544&amp;" ~*")&gt;0)+(IFERROR(INDEX(Setup!$G$33:$G$40,MATCH(G2544,Setup!$B$33:$B$40,0)),0)=1)*(COUNTIF(G2508:I2525,$B2544)+COUNTIF(G2508:I2525,$B2544&amp;" ~*")&gt;0)+(IFERROR(INDEX(Setup!$G$33:$G$40,MATCH(K2544,Setup!$B$33:$B$40,0)),0)=1)*(COUNTIF(K2508:M2525,$B2544)+COUNTIF(K2508:M2525,$B2544&amp;" ~*")&gt;0)+(IFERROR(INDEX(Setup!$G$33:$G$40,MATCH(O2544,Setup!$B$33:$B$40,0)),0)=1)*(COUNTIF(O2508:Q2525,$B2544)+COUNTIF(O2508:Q2525,$B2544&amp;" ~*")&gt;0)+(IFERROR(INDEX(Setup!$G$33:$G$40,MATCH(S2544,Setup!$B$33:$B$40,0)),0)=1)*(COUNTIF(S2508:U2525,$B2544)+COUNTIF(S2508:U2525,$B2544&amp;" ~*")&gt;0)+(IFERROR(INDEX(Setup!$G$33:$G$40,MATCH(W2544,Setup!$B$33:$B$40,0)),0)=1)*(COUNTIF(W2508:W2525,$B2544)+COUNTIF(W2508:W2525,$B2544&amp;" ~*")&gt;0)+(IFERROR(INDEX(Setup!$G$33:$G$40,MATCH(Y2544,Setup!$B$33:$B$40,0)),0)=1)*(COUNTIF(Y2508:Y2525,$B2544)+COUNTIF(Y2508:Y2525,$B2544&amp;" ~*")&gt;0))</f>
        <v/>
      </c>
    </row>
    <row r="2545" ht="15" customHeight="1">
      <c r="A2545" t="n">
        <v>51</v>
      </c>
      <c r="B2545" s="35">
        <f>IF(Setup!$B$24="","",Setup!$B$24)</f>
        <v/>
      </c>
      <c r="C2545" s="98" t="n"/>
      <c r="D2545" s="99" t="n"/>
      <c r="E2545" s="99" t="n"/>
      <c r="F2545" s="100" t="n"/>
      <c r="G2545" s="98" t="n"/>
      <c r="H2545" s="99" t="n"/>
      <c r="I2545" s="99" t="n"/>
      <c r="J2545" s="100" t="n"/>
      <c r="K2545" s="98" t="n"/>
      <c r="L2545" s="99" t="n"/>
      <c r="M2545" s="99" t="n"/>
      <c r="N2545" s="100" t="n"/>
      <c r="O2545" s="98" t="n"/>
      <c r="P2545" s="99" t="n"/>
      <c r="Q2545" s="99" t="n"/>
      <c r="R2545" s="100" t="n"/>
      <c r="S2545" s="98" t="n"/>
      <c r="T2545" s="99" t="n"/>
      <c r="U2545" s="99" t="n"/>
      <c r="V2545" s="100" t="n"/>
      <c r="W2545" s="98" t="n"/>
      <c r="X2545" s="100" t="n"/>
      <c r="Y2545" s="98" t="n"/>
      <c r="Z2545" s="100" t="n"/>
      <c r="AB2545" s="101">
        <f>IF($B2545="","",(COUNTIF(C2508:E2525,$B2545)+COUNTIF(C2508:E2525,$B2545&amp;" ~*")&gt;0)+(COUNTIF(G2508:I2525,$B2545)+COUNTIF(G2508:I2525,$B2545&amp;" ~*")&gt;0)+(COUNTIF(K2508:M2525,$B2545)+COUNTIF(K2508:M2525,$B2545&amp;" ~*")&gt;0)+(COUNTIF(O2508:Q2525,$B2545)+COUNTIF(O2508:Q2525,$B2545&amp;" ~*")&gt;0)+(COUNTIF(S2508:U2525,$B2545)+COUNTIF(S2508:U2525,$B2545&amp;" ~*")&gt;0)+(COUNTIF(W2508:W2525,$B2545)+COUNTIF(W2508:W2525,$B2545&amp;" ~*")&gt;0)+(COUNTIF(Y2508:Y2525,$B2545)+COUNTIF(Y2508:Y2525,$B2545&amp;" ~*")&gt;0))</f>
        <v/>
      </c>
      <c r="AC2545" s="36">
        <f>IF($B2545="","",(IFERROR(INDEX(Setup!$G$33:$G$40,MATCH(C2545,Setup!$B$33:$B$40,0)),0)=1)*(COUNTIF(C2508:E2525,$B2545)+COUNTIF(C2508:E2525,$B2545&amp;" ~*")&gt;0)+(IFERROR(INDEX(Setup!$G$33:$G$40,MATCH(G2545,Setup!$B$33:$B$40,0)),0)=1)*(COUNTIF(G2508:I2525,$B2545)+COUNTIF(G2508:I2525,$B2545&amp;" ~*")&gt;0)+(IFERROR(INDEX(Setup!$G$33:$G$40,MATCH(K2545,Setup!$B$33:$B$40,0)),0)=1)*(COUNTIF(K2508:M2525,$B2545)+COUNTIF(K2508:M2525,$B2545&amp;" ~*")&gt;0)+(IFERROR(INDEX(Setup!$G$33:$G$40,MATCH(O2545,Setup!$B$33:$B$40,0)),0)=1)*(COUNTIF(O2508:Q2525,$B2545)+COUNTIF(O2508:Q2525,$B2545&amp;" ~*")&gt;0)+(IFERROR(INDEX(Setup!$G$33:$G$40,MATCH(S2545,Setup!$B$33:$B$40,0)),0)=1)*(COUNTIF(S2508:U2525,$B2545)+COUNTIF(S2508:U2525,$B2545&amp;" ~*")&gt;0)+(IFERROR(INDEX(Setup!$G$33:$G$40,MATCH(W2545,Setup!$B$33:$B$40,0)),0)=1)*(COUNTIF(W2508:W2525,$B2545)+COUNTIF(W2508:W2525,$B2545&amp;" ~*")&gt;0)+(IFERROR(INDEX(Setup!$G$33:$G$40,MATCH(Y2545,Setup!$B$33:$B$40,0)),0)=1)*(COUNTIF(Y2508:Y2525,$B2545)+COUNTIF(Y2508:Y2525,$B2545&amp;" ~*")&gt;0))</f>
        <v/>
      </c>
    </row>
    <row r="2546" ht="15" customHeight="1">
      <c r="A2546" t="n">
        <v>51</v>
      </c>
      <c r="B2546" s="37">
        <f>IF(Setup!$B$25="","",Setup!$B$25)</f>
        <v/>
      </c>
      <c r="C2546" s="102" t="n"/>
      <c r="D2546" s="103" t="n"/>
      <c r="E2546" s="103" t="n"/>
      <c r="F2546" s="104" t="n"/>
      <c r="G2546" s="102" t="n"/>
      <c r="H2546" s="103" t="n"/>
      <c r="I2546" s="103" t="n"/>
      <c r="J2546" s="104" t="n"/>
      <c r="K2546" s="102" t="n"/>
      <c r="L2546" s="103" t="n"/>
      <c r="M2546" s="103" t="n"/>
      <c r="N2546" s="104" t="n"/>
      <c r="O2546" s="102" t="n"/>
      <c r="P2546" s="103" t="n"/>
      <c r="Q2546" s="103" t="n"/>
      <c r="R2546" s="104" t="n"/>
      <c r="S2546" s="102" t="n"/>
      <c r="T2546" s="103" t="n"/>
      <c r="U2546" s="103" t="n"/>
      <c r="V2546" s="104" t="n"/>
      <c r="W2546" s="102" t="n"/>
      <c r="X2546" s="104" t="n"/>
      <c r="Y2546" s="102" t="n"/>
      <c r="Z2546" s="104" t="n"/>
      <c r="AB2546" s="105">
        <f>IF($B2546="","",(COUNTIF(C2508:E2525,$B2546)+COUNTIF(C2508:E2525,$B2546&amp;" ~*")&gt;0)+(COUNTIF(G2508:I2525,$B2546)+COUNTIF(G2508:I2525,$B2546&amp;" ~*")&gt;0)+(COUNTIF(K2508:M2525,$B2546)+COUNTIF(K2508:M2525,$B2546&amp;" ~*")&gt;0)+(COUNTIF(O2508:Q2525,$B2546)+COUNTIF(O2508:Q2525,$B2546&amp;" ~*")&gt;0)+(COUNTIF(S2508:U2525,$B2546)+COUNTIF(S2508:U2525,$B2546&amp;" ~*")&gt;0)+(COUNTIF(W2508:W2525,$B2546)+COUNTIF(W2508:W2525,$B2546&amp;" ~*")&gt;0)+(COUNTIF(Y2508:Y2525,$B2546)+COUNTIF(Y2508:Y2525,$B2546&amp;" ~*")&gt;0))</f>
        <v/>
      </c>
      <c r="AC2546" s="38">
        <f>IF($B2546="","",(IFERROR(INDEX(Setup!$G$33:$G$40,MATCH(C2546,Setup!$B$33:$B$40,0)),0)=1)*(COUNTIF(C2508:E2525,$B2546)+COUNTIF(C2508:E2525,$B2546&amp;" ~*")&gt;0)+(IFERROR(INDEX(Setup!$G$33:$G$40,MATCH(G2546,Setup!$B$33:$B$40,0)),0)=1)*(COUNTIF(G2508:I2525,$B2546)+COUNTIF(G2508:I2525,$B2546&amp;" ~*")&gt;0)+(IFERROR(INDEX(Setup!$G$33:$G$40,MATCH(K2546,Setup!$B$33:$B$40,0)),0)=1)*(COUNTIF(K2508:M2525,$B2546)+COUNTIF(K2508:M2525,$B2546&amp;" ~*")&gt;0)+(IFERROR(INDEX(Setup!$G$33:$G$40,MATCH(O2546,Setup!$B$33:$B$40,0)),0)=1)*(COUNTIF(O2508:Q2525,$B2546)+COUNTIF(O2508:Q2525,$B2546&amp;" ~*")&gt;0)+(IFERROR(INDEX(Setup!$G$33:$G$40,MATCH(S2546,Setup!$B$33:$B$40,0)),0)=1)*(COUNTIF(S2508:U2525,$B2546)+COUNTIF(S2508:U2525,$B2546&amp;" ~*")&gt;0)+(IFERROR(INDEX(Setup!$G$33:$G$40,MATCH(W2546,Setup!$B$33:$B$40,0)),0)=1)*(COUNTIF(W2508:W2525,$B2546)+COUNTIF(W2508:W2525,$B2546&amp;" ~*")&gt;0)+(IFERROR(INDEX(Setup!$G$33:$G$40,MATCH(Y2546,Setup!$B$33:$B$40,0)),0)=1)*(COUNTIF(Y2508:Y2525,$B2546)+COUNTIF(Y2508:Y2525,$B2546&amp;" ~*")&gt;0))</f>
        <v/>
      </c>
    </row>
    <row r="2547" ht="15" customHeight="1">
      <c r="A2547" t="n">
        <v>51</v>
      </c>
      <c r="B2547" s="35">
        <f>IF(Setup!$B$26="","",Setup!$B$26)</f>
        <v/>
      </c>
      <c r="C2547" s="98" t="n"/>
      <c r="D2547" s="99" t="n"/>
      <c r="E2547" s="99" t="n"/>
      <c r="F2547" s="100" t="n"/>
      <c r="G2547" s="98" t="n"/>
      <c r="H2547" s="99" t="n"/>
      <c r="I2547" s="99" t="n"/>
      <c r="J2547" s="100" t="n"/>
      <c r="K2547" s="98" t="n"/>
      <c r="L2547" s="99" t="n"/>
      <c r="M2547" s="99" t="n"/>
      <c r="N2547" s="100" t="n"/>
      <c r="O2547" s="98" t="n"/>
      <c r="P2547" s="99" t="n"/>
      <c r="Q2547" s="99" t="n"/>
      <c r="R2547" s="100" t="n"/>
      <c r="S2547" s="98" t="n"/>
      <c r="T2547" s="99" t="n"/>
      <c r="U2547" s="99" t="n"/>
      <c r="V2547" s="100" t="n"/>
      <c r="W2547" s="98" t="n"/>
      <c r="X2547" s="100" t="n"/>
      <c r="Y2547" s="98" t="n"/>
      <c r="Z2547" s="100" t="n"/>
      <c r="AB2547" s="101">
        <f>IF($B2547="","",(COUNTIF(C2508:E2525,$B2547)+COUNTIF(C2508:E2525,$B2547&amp;" ~*")&gt;0)+(COUNTIF(G2508:I2525,$B2547)+COUNTIF(G2508:I2525,$B2547&amp;" ~*")&gt;0)+(COUNTIF(K2508:M2525,$B2547)+COUNTIF(K2508:M2525,$B2547&amp;" ~*")&gt;0)+(COUNTIF(O2508:Q2525,$B2547)+COUNTIF(O2508:Q2525,$B2547&amp;" ~*")&gt;0)+(COUNTIF(S2508:U2525,$B2547)+COUNTIF(S2508:U2525,$B2547&amp;" ~*")&gt;0)+(COUNTIF(W2508:W2525,$B2547)+COUNTIF(W2508:W2525,$B2547&amp;" ~*")&gt;0)+(COUNTIF(Y2508:Y2525,$B2547)+COUNTIF(Y2508:Y2525,$B2547&amp;" ~*")&gt;0))</f>
        <v/>
      </c>
      <c r="AC2547" s="36">
        <f>IF($B2547="","",(IFERROR(INDEX(Setup!$G$33:$G$40,MATCH(C2547,Setup!$B$33:$B$40,0)),0)=1)*(COUNTIF(C2508:E2525,$B2547)+COUNTIF(C2508:E2525,$B2547&amp;" ~*")&gt;0)+(IFERROR(INDEX(Setup!$G$33:$G$40,MATCH(G2547,Setup!$B$33:$B$40,0)),0)=1)*(COUNTIF(G2508:I2525,$B2547)+COUNTIF(G2508:I2525,$B2547&amp;" ~*")&gt;0)+(IFERROR(INDEX(Setup!$G$33:$G$40,MATCH(K2547,Setup!$B$33:$B$40,0)),0)=1)*(COUNTIF(K2508:M2525,$B2547)+COUNTIF(K2508:M2525,$B2547&amp;" ~*")&gt;0)+(IFERROR(INDEX(Setup!$G$33:$G$40,MATCH(O2547,Setup!$B$33:$B$40,0)),0)=1)*(COUNTIF(O2508:Q2525,$B2547)+COUNTIF(O2508:Q2525,$B2547&amp;" ~*")&gt;0)+(IFERROR(INDEX(Setup!$G$33:$G$40,MATCH(S2547,Setup!$B$33:$B$40,0)),0)=1)*(COUNTIF(S2508:U2525,$B2547)+COUNTIF(S2508:U2525,$B2547&amp;" ~*")&gt;0)+(IFERROR(INDEX(Setup!$G$33:$G$40,MATCH(W2547,Setup!$B$33:$B$40,0)),0)=1)*(COUNTIF(W2508:W2525,$B2547)+COUNTIF(W2508:W2525,$B2547&amp;" ~*")&gt;0)+(IFERROR(INDEX(Setup!$G$33:$G$40,MATCH(Y2547,Setup!$B$33:$B$40,0)),0)=1)*(COUNTIF(Y2508:Y2525,$B2547)+COUNTIF(Y2508:Y2525,$B2547&amp;" ~*")&gt;0))</f>
        <v/>
      </c>
    </row>
    <row r="2548" ht="15" customHeight="1">
      <c r="A2548" t="n">
        <v>51</v>
      </c>
      <c r="B2548" s="37">
        <f>IF(Setup!$B$27="","",Setup!$B$27)</f>
        <v/>
      </c>
      <c r="C2548" s="102" t="n"/>
      <c r="D2548" s="103" t="n"/>
      <c r="E2548" s="103" t="n"/>
      <c r="F2548" s="104" t="n"/>
      <c r="G2548" s="102" t="n"/>
      <c r="H2548" s="103" t="n"/>
      <c r="I2548" s="103" t="n"/>
      <c r="J2548" s="104" t="n"/>
      <c r="K2548" s="102" t="n"/>
      <c r="L2548" s="103" t="n"/>
      <c r="M2548" s="103" t="n"/>
      <c r="N2548" s="104" t="n"/>
      <c r="O2548" s="102" t="n"/>
      <c r="P2548" s="103" t="n"/>
      <c r="Q2548" s="103" t="n"/>
      <c r="R2548" s="104" t="n"/>
      <c r="S2548" s="102" t="n"/>
      <c r="T2548" s="103" t="n"/>
      <c r="U2548" s="103" t="n"/>
      <c r="V2548" s="104" t="n"/>
      <c r="W2548" s="102" t="n"/>
      <c r="X2548" s="104" t="n"/>
      <c r="Y2548" s="102" t="n"/>
      <c r="Z2548" s="104" t="n"/>
      <c r="AB2548" s="105">
        <f>IF($B2548="","",(COUNTIF(C2508:E2525,$B2548)+COUNTIF(C2508:E2525,$B2548&amp;" ~*")&gt;0)+(COUNTIF(G2508:I2525,$B2548)+COUNTIF(G2508:I2525,$B2548&amp;" ~*")&gt;0)+(COUNTIF(K2508:M2525,$B2548)+COUNTIF(K2508:M2525,$B2548&amp;" ~*")&gt;0)+(COUNTIF(O2508:Q2525,$B2548)+COUNTIF(O2508:Q2525,$B2548&amp;" ~*")&gt;0)+(COUNTIF(S2508:U2525,$B2548)+COUNTIF(S2508:U2525,$B2548&amp;" ~*")&gt;0)+(COUNTIF(W2508:W2525,$B2548)+COUNTIF(W2508:W2525,$B2548&amp;" ~*")&gt;0)+(COUNTIF(Y2508:Y2525,$B2548)+COUNTIF(Y2508:Y2525,$B2548&amp;" ~*")&gt;0))</f>
        <v/>
      </c>
      <c r="AC2548" s="38">
        <f>IF($B2548="","",(IFERROR(INDEX(Setup!$G$33:$G$40,MATCH(C2548,Setup!$B$33:$B$40,0)),0)=1)*(COUNTIF(C2508:E2525,$B2548)+COUNTIF(C2508:E2525,$B2548&amp;" ~*")&gt;0)+(IFERROR(INDEX(Setup!$G$33:$G$40,MATCH(G2548,Setup!$B$33:$B$40,0)),0)=1)*(COUNTIF(G2508:I2525,$B2548)+COUNTIF(G2508:I2525,$B2548&amp;" ~*")&gt;0)+(IFERROR(INDEX(Setup!$G$33:$G$40,MATCH(K2548,Setup!$B$33:$B$40,0)),0)=1)*(COUNTIF(K2508:M2525,$B2548)+COUNTIF(K2508:M2525,$B2548&amp;" ~*")&gt;0)+(IFERROR(INDEX(Setup!$G$33:$G$40,MATCH(O2548,Setup!$B$33:$B$40,0)),0)=1)*(COUNTIF(O2508:Q2525,$B2548)+COUNTIF(O2508:Q2525,$B2548&amp;" ~*")&gt;0)+(IFERROR(INDEX(Setup!$G$33:$G$40,MATCH(S2548,Setup!$B$33:$B$40,0)),0)=1)*(COUNTIF(S2508:U2525,$B2548)+COUNTIF(S2508:U2525,$B2548&amp;" ~*")&gt;0)+(IFERROR(INDEX(Setup!$G$33:$G$40,MATCH(W2548,Setup!$B$33:$B$40,0)),0)=1)*(COUNTIF(W2508:W2525,$B2548)+COUNTIF(W2508:W2525,$B2548&amp;" ~*")&gt;0)+(IFERROR(INDEX(Setup!$G$33:$G$40,MATCH(Y2548,Setup!$B$33:$B$40,0)),0)=1)*(COUNTIF(Y2508:Y2525,$B2548)+COUNTIF(Y2508:Y2525,$B2548&amp;" ~*")&gt;0))</f>
        <v/>
      </c>
    </row>
    <row r="2549" ht="15" customHeight="1">
      <c r="A2549" t="n">
        <v>51</v>
      </c>
      <c r="B2549" s="35">
        <f>IF(Setup!$B$28="","",Setup!$B$28)</f>
        <v/>
      </c>
      <c r="C2549" s="98" t="n"/>
      <c r="D2549" s="99" t="n"/>
      <c r="E2549" s="99" t="n"/>
      <c r="F2549" s="100" t="n"/>
      <c r="G2549" s="98" t="n"/>
      <c r="H2549" s="99" t="n"/>
      <c r="I2549" s="99" t="n"/>
      <c r="J2549" s="100" t="n"/>
      <c r="K2549" s="98" t="n"/>
      <c r="L2549" s="99" t="n"/>
      <c r="M2549" s="99" t="n"/>
      <c r="N2549" s="100" t="n"/>
      <c r="O2549" s="98" t="n"/>
      <c r="P2549" s="99" t="n"/>
      <c r="Q2549" s="99" t="n"/>
      <c r="R2549" s="100" t="n"/>
      <c r="S2549" s="98" t="n"/>
      <c r="T2549" s="99" t="n"/>
      <c r="U2549" s="99" t="n"/>
      <c r="V2549" s="100" t="n"/>
      <c r="W2549" s="98" t="n"/>
      <c r="X2549" s="100" t="n"/>
      <c r="Y2549" s="98" t="n"/>
      <c r="Z2549" s="100" t="n"/>
      <c r="AB2549" s="101">
        <f>IF($B2549="","",(COUNTIF(C2508:E2525,$B2549)+COUNTIF(C2508:E2525,$B2549&amp;" ~*")&gt;0)+(COUNTIF(G2508:I2525,$B2549)+COUNTIF(G2508:I2525,$B2549&amp;" ~*")&gt;0)+(COUNTIF(K2508:M2525,$B2549)+COUNTIF(K2508:M2525,$B2549&amp;" ~*")&gt;0)+(COUNTIF(O2508:Q2525,$B2549)+COUNTIF(O2508:Q2525,$B2549&amp;" ~*")&gt;0)+(COUNTIF(S2508:U2525,$B2549)+COUNTIF(S2508:U2525,$B2549&amp;" ~*")&gt;0)+(COUNTIF(W2508:W2525,$B2549)+COUNTIF(W2508:W2525,$B2549&amp;" ~*")&gt;0)+(COUNTIF(Y2508:Y2525,$B2549)+COUNTIF(Y2508:Y2525,$B2549&amp;" ~*")&gt;0))</f>
        <v/>
      </c>
      <c r="AC2549" s="36">
        <f>IF($B2549="","",(IFERROR(INDEX(Setup!$G$33:$G$40,MATCH(C2549,Setup!$B$33:$B$40,0)),0)=1)*(COUNTIF(C2508:E2525,$B2549)+COUNTIF(C2508:E2525,$B2549&amp;" ~*")&gt;0)+(IFERROR(INDEX(Setup!$G$33:$G$40,MATCH(G2549,Setup!$B$33:$B$40,0)),0)=1)*(COUNTIF(G2508:I2525,$B2549)+COUNTIF(G2508:I2525,$B2549&amp;" ~*")&gt;0)+(IFERROR(INDEX(Setup!$G$33:$G$40,MATCH(K2549,Setup!$B$33:$B$40,0)),0)=1)*(COUNTIF(K2508:M2525,$B2549)+COUNTIF(K2508:M2525,$B2549&amp;" ~*")&gt;0)+(IFERROR(INDEX(Setup!$G$33:$G$40,MATCH(O2549,Setup!$B$33:$B$40,0)),0)=1)*(COUNTIF(O2508:Q2525,$B2549)+COUNTIF(O2508:Q2525,$B2549&amp;" ~*")&gt;0)+(IFERROR(INDEX(Setup!$G$33:$G$40,MATCH(S2549,Setup!$B$33:$B$40,0)),0)=1)*(COUNTIF(S2508:U2525,$B2549)+COUNTIF(S2508:U2525,$B2549&amp;" ~*")&gt;0)+(IFERROR(INDEX(Setup!$G$33:$G$40,MATCH(W2549,Setup!$B$33:$B$40,0)),0)=1)*(COUNTIF(W2508:W2525,$B2549)+COUNTIF(W2508:W2525,$B2549&amp;" ~*")&gt;0)+(IFERROR(INDEX(Setup!$G$33:$G$40,MATCH(Y2549,Setup!$B$33:$B$40,0)),0)=1)*(COUNTIF(Y2508:Y2525,$B2549)+COUNTIF(Y2508:Y2525,$B2549&amp;" ~*")&gt;0))</f>
        <v/>
      </c>
    </row>
    <row r="2550" ht="15" customHeight="1">
      <c r="A2550" t="n">
        <v>51</v>
      </c>
      <c r="B2550" s="37">
        <f>IF(Setup!$B$29="","",Setup!$B$29)</f>
        <v/>
      </c>
      <c r="C2550" s="102" t="n"/>
      <c r="D2550" s="103" t="n"/>
      <c r="E2550" s="103" t="n"/>
      <c r="F2550" s="104" t="n"/>
      <c r="G2550" s="102" t="n"/>
      <c r="H2550" s="103" t="n"/>
      <c r="I2550" s="103" t="n"/>
      <c r="J2550" s="104" t="n"/>
      <c r="K2550" s="102" t="n"/>
      <c r="L2550" s="103" t="n"/>
      <c r="M2550" s="103" t="n"/>
      <c r="N2550" s="104" t="n"/>
      <c r="O2550" s="102" t="n"/>
      <c r="P2550" s="103" t="n"/>
      <c r="Q2550" s="103" t="n"/>
      <c r="R2550" s="104" t="n"/>
      <c r="S2550" s="102" t="n"/>
      <c r="T2550" s="103" t="n"/>
      <c r="U2550" s="103" t="n"/>
      <c r="V2550" s="104" t="n"/>
      <c r="W2550" s="102" t="n"/>
      <c r="X2550" s="104" t="n"/>
      <c r="Y2550" s="102" t="n"/>
      <c r="Z2550" s="104" t="n"/>
      <c r="AB2550" s="105">
        <f>IF($B2550="","",(COUNTIF(C2508:E2525,$B2550)+COUNTIF(C2508:E2525,$B2550&amp;" ~*")&gt;0)+(COUNTIF(G2508:I2525,$B2550)+COUNTIF(G2508:I2525,$B2550&amp;" ~*")&gt;0)+(COUNTIF(K2508:M2525,$B2550)+COUNTIF(K2508:M2525,$B2550&amp;" ~*")&gt;0)+(COUNTIF(O2508:Q2525,$B2550)+COUNTIF(O2508:Q2525,$B2550&amp;" ~*")&gt;0)+(COUNTIF(S2508:U2525,$B2550)+COUNTIF(S2508:U2525,$B2550&amp;" ~*")&gt;0)+(COUNTIF(W2508:W2525,$B2550)+COUNTIF(W2508:W2525,$B2550&amp;" ~*")&gt;0)+(COUNTIF(Y2508:Y2525,$B2550)+COUNTIF(Y2508:Y2525,$B2550&amp;" ~*")&gt;0))</f>
        <v/>
      </c>
      <c r="AC2550" s="38">
        <f>IF($B2550="","",(IFERROR(INDEX(Setup!$G$33:$G$40,MATCH(C2550,Setup!$B$33:$B$40,0)),0)=1)*(COUNTIF(C2508:E2525,$B2550)+COUNTIF(C2508:E2525,$B2550&amp;" ~*")&gt;0)+(IFERROR(INDEX(Setup!$G$33:$G$40,MATCH(G2550,Setup!$B$33:$B$40,0)),0)=1)*(COUNTIF(G2508:I2525,$B2550)+COUNTIF(G2508:I2525,$B2550&amp;" ~*")&gt;0)+(IFERROR(INDEX(Setup!$G$33:$G$40,MATCH(K2550,Setup!$B$33:$B$40,0)),0)=1)*(COUNTIF(K2508:M2525,$B2550)+COUNTIF(K2508:M2525,$B2550&amp;" ~*")&gt;0)+(IFERROR(INDEX(Setup!$G$33:$G$40,MATCH(O2550,Setup!$B$33:$B$40,0)),0)=1)*(COUNTIF(O2508:Q2525,$B2550)+COUNTIF(O2508:Q2525,$B2550&amp;" ~*")&gt;0)+(IFERROR(INDEX(Setup!$G$33:$G$40,MATCH(S2550,Setup!$B$33:$B$40,0)),0)=1)*(COUNTIF(S2508:U2525,$B2550)+COUNTIF(S2508:U2525,$B2550&amp;" ~*")&gt;0)+(IFERROR(INDEX(Setup!$G$33:$G$40,MATCH(W2550,Setup!$B$33:$B$40,0)),0)=1)*(COUNTIF(W2508:W2525,$B2550)+COUNTIF(W2508:W2525,$B2550&amp;" ~*")&gt;0)+(IFERROR(INDEX(Setup!$G$33:$G$40,MATCH(Y2550,Setup!$B$33:$B$40,0)),0)=1)*(COUNTIF(Y2508:Y2525,$B2550)+COUNTIF(Y2508:Y2525,$B2550&amp;" ~*")&gt;0))</f>
        <v/>
      </c>
    </row>
    <row r="2551" ht="16" customHeight="1">
      <c r="A2551" t="n">
        <v>51</v>
      </c>
      <c r="B2551" s="106" t="inlineStr">
        <is>
          <t>Available people</t>
        </is>
      </c>
      <c r="C2551" s="107">
        <f>COUNTIFS(Setup!$E$6:$E$29,"Y",Setup!$B$6:$B$29,"?*")-SUMPRODUCT(COUNTIF(C2527:C2550,Setup!$F$33:$F$40))</f>
        <v/>
      </c>
      <c r="D2551" s="107" t="n"/>
      <c r="E2551" s="107" t="n"/>
      <c r="F2551" s="107" t="n"/>
      <c r="G2551" s="107">
        <f>COUNTIFS(Setup!$E$6:$E$29,"Y",Setup!$B$6:$B$29,"?*")-SUMPRODUCT(COUNTIF(G2527:G2550,Setup!$F$33:$F$40))</f>
        <v/>
      </c>
      <c r="H2551" s="107" t="n"/>
      <c r="I2551" s="107" t="n"/>
      <c r="J2551" s="107" t="n"/>
      <c r="K2551" s="107">
        <f>COUNTIFS(Setup!$E$6:$E$29,"Y",Setup!$B$6:$B$29,"?*")-SUMPRODUCT(COUNTIF(K2527:K2550,Setup!$F$33:$F$40))</f>
        <v/>
      </c>
      <c r="L2551" s="107" t="n"/>
      <c r="M2551" s="107" t="n"/>
      <c r="N2551" s="107" t="n"/>
      <c r="O2551" s="107">
        <f>COUNTIFS(Setup!$E$6:$E$29,"Y",Setup!$B$6:$B$29,"?*")-SUMPRODUCT(COUNTIF(O2527:O2550,Setup!$F$33:$F$40))</f>
        <v/>
      </c>
      <c r="P2551" s="107" t="n"/>
      <c r="Q2551" s="107" t="n"/>
      <c r="R2551" s="107" t="n"/>
      <c r="S2551" s="107">
        <f>COUNTIFS(Setup!$E$6:$E$29,"Y",Setup!$B$6:$B$29,"?*")-SUMPRODUCT(COUNTIF(S2527:S2550,Setup!$F$33:$F$40))</f>
        <v/>
      </c>
      <c r="T2551" s="107" t="n"/>
      <c r="U2551" s="107" t="n"/>
      <c r="V2551" s="107" t="n"/>
      <c r="W2551" s="107">
        <f>COUNTIFS(Setup!$E$6:$E$29,"Y",Setup!$B$6:$B$29,"?*")-SUMPRODUCT(COUNTIF(W2527:W2550,Setup!$F$33:$F$40))</f>
        <v/>
      </c>
      <c r="X2551" s="107" t="n"/>
      <c r="Y2551" s="107">
        <f>COUNTIFS(Setup!$E$6:$E$29,"Y",Setup!$B$6:$B$29,"?*")-SUMPRODUCT(COUNTIF(Y2527:Y2550,Setup!$F$33:$F$40))</f>
        <v/>
      </c>
      <c r="Z2551" s="107" t="n"/>
      <c r="AB2551" s="108">
        <f>SUM(AB2527:AB2550)</f>
        <v/>
      </c>
      <c r="AC2551" s="109">
        <f>SUM(AC2527:AC2550)</f>
        <v/>
      </c>
    </row>
    <row r="2552" ht="30" customHeight="1">
      <c r="A2552" t="n">
        <v>51</v>
      </c>
      <c r="B2552" s="110" t="inlineStr">
        <is>
          <t>Week notes</t>
        </is>
      </c>
      <c r="C2552" s="111" t="n"/>
      <c r="D2552" s="112" t="n"/>
      <c r="E2552" s="112" t="n"/>
      <c r="F2552" s="112" t="n"/>
      <c r="G2552" s="112" t="n"/>
      <c r="H2552" s="112" t="n"/>
      <c r="I2552" s="112" t="n"/>
      <c r="J2552" s="112" t="n"/>
      <c r="K2552" s="112" t="n"/>
      <c r="L2552" s="112" t="n"/>
      <c r="M2552" s="112" t="n"/>
      <c r="N2552" s="112" t="n"/>
      <c r="O2552" s="112" t="n"/>
      <c r="P2552" s="112" t="n"/>
      <c r="Q2552" s="112" t="n"/>
      <c r="R2552" s="112" t="n"/>
      <c r="S2552" s="112" t="n"/>
      <c r="T2552" s="112" t="n"/>
      <c r="U2552" s="112" t="n"/>
      <c r="V2552" s="112" t="n"/>
      <c r="W2552" s="112" t="n"/>
      <c r="X2552" s="112" t="n"/>
      <c r="Y2552" s="112" t="n"/>
      <c r="Z2552" s="113" t="n"/>
    </row>
    <row r="2553" ht="8" customHeight="1">
      <c r="A2553" t="n">
        <v>51</v>
      </c>
    </row>
    <row r="2554" ht="8" customHeight="1">
      <c r="A2554" t="n">
        <v>51</v>
      </c>
    </row>
    <row r="2555" ht="24" customHeight="1">
      <c r="A2555" t="n">
        <v>52</v>
      </c>
      <c r="B2555" s="73">
        <f>"WEEK 52     "&amp;TEXT(C2556,"ddd d mmm")&amp;"  –  "&amp;TEXT(C2556+6,"ddd d mmm yyyy")</f>
        <v/>
      </c>
      <c r="S2555" s="74">
        <f>IF(TODAY()&lt;C2556,"FUTURE",IF(TODAY()&gt;C2556+6,"PAST","THIS WEEK"))</f>
        <v/>
      </c>
      <c r="W2555" s="75">
        <f>IF(AND(Engine!$B$8=$AC$3,Engine!$B$9=$A2555),"◀ ACTIVE WEEK","")</f>
        <v/>
      </c>
      <c r="AA2555" s="76" t="n"/>
      <c r="AB2555" s="77" t="inlineStr">
        <is>
          <t>◀ Prev</t>
        </is>
      </c>
      <c r="AC2555" s="77" t="inlineStr">
        <is>
          <t>Next ▶</t>
        </is>
      </c>
    </row>
    <row r="2556" ht="18" customHeight="1">
      <c r="A2556" t="n">
        <v>52</v>
      </c>
      <c r="B2556" s="78" t="inlineStr">
        <is>
          <t>DUTY</t>
        </is>
      </c>
      <c r="C2556" s="79">
        <f>$AC$2+7*($A2556-1)</f>
        <v/>
      </c>
      <c r="D2556" s="80" t="n"/>
      <c r="E2556" s="80" t="n"/>
      <c r="F2556" s="81" t="n"/>
      <c r="G2556" s="79">
        <f>C2556+1</f>
        <v/>
      </c>
      <c r="H2556" s="80" t="n"/>
      <c r="I2556" s="80" t="n"/>
      <c r="J2556" s="81" t="n"/>
      <c r="K2556" s="79">
        <f>C2556+2</f>
        <v/>
      </c>
      <c r="L2556" s="80" t="n"/>
      <c r="M2556" s="80" t="n"/>
      <c r="N2556" s="81" t="n"/>
      <c r="O2556" s="79">
        <f>C2556+3</f>
        <v/>
      </c>
      <c r="P2556" s="80" t="n"/>
      <c r="Q2556" s="80" t="n"/>
      <c r="R2556" s="81" t="n"/>
      <c r="S2556" s="79">
        <f>C2556+4</f>
        <v/>
      </c>
      <c r="T2556" s="80" t="n"/>
      <c r="U2556" s="80" t="n"/>
      <c r="V2556" s="81" t="n"/>
      <c r="W2556" s="82">
        <f>C2556+5</f>
        <v/>
      </c>
      <c r="X2556" s="83" t="n"/>
      <c r="Y2556" s="82">
        <f>C2556+6</f>
        <v/>
      </c>
      <c r="Z2556" s="83" t="n"/>
      <c r="AB2556" s="72" t="inlineStr">
        <is>
          <t>Gaps</t>
        </is>
      </c>
      <c r="AC2556" s="72" t="inlineStr">
        <is>
          <t>Cover</t>
        </is>
      </c>
    </row>
    <row r="2557" ht="14" customHeight="1">
      <c r="A2557" t="n">
        <v>52</v>
      </c>
      <c r="B2557" s="84" t="inlineStr">
        <is>
          <t>(from Setup)</t>
        </is>
      </c>
      <c r="C2557" s="85" t="inlineStr">
        <is>
          <t>1</t>
        </is>
      </c>
      <c r="D2557" s="85" t="inlineStr">
        <is>
          <t>2</t>
        </is>
      </c>
      <c r="E2557" s="85" t="inlineStr">
        <is>
          <t>3</t>
        </is>
      </c>
      <c r="F2557" s="85" t="inlineStr">
        <is>
          <t>Notes</t>
        </is>
      </c>
      <c r="G2557" s="85" t="inlineStr">
        <is>
          <t>1</t>
        </is>
      </c>
      <c r="H2557" s="85" t="inlineStr">
        <is>
          <t>2</t>
        </is>
      </c>
      <c r="I2557" s="85" t="inlineStr">
        <is>
          <t>3</t>
        </is>
      </c>
      <c r="J2557" s="85" t="inlineStr">
        <is>
          <t>Notes</t>
        </is>
      </c>
      <c r="K2557" s="85" t="inlineStr">
        <is>
          <t>1</t>
        </is>
      </c>
      <c r="L2557" s="85" t="inlineStr">
        <is>
          <t>2</t>
        </is>
      </c>
      <c r="M2557" s="85" t="inlineStr">
        <is>
          <t>3</t>
        </is>
      </c>
      <c r="N2557" s="85" t="inlineStr">
        <is>
          <t>Notes</t>
        </is>
      </c>
      <c r="O2557" s="85" t="inlineStr">
        <is>
          <t>1</t>
        </is>
      </c>
      <c r="P2557" s="85" t="inlineStr">
        <is>
          <t>2</t>
        </is>
      </c>
      <c r="Q2557" s="85" t="inlineStr">
        <is>
          <t>3</t>
        </is>
      </c>
      <c r="R2557" s="85" t="inlineStr">
        <is>
          <t>Notes</t>
        </is>
      </c>
      <c r="S2557" s="85" t="inlineStr">
        <is>
          <t>1</t>
        </is>
      </c>
      <c r="T2557" s="85" t="inlineStr">
        <is>
          <t>2</t>
        </is>
      </c>
      <c r="U2557" s="85" t="inlineStr">
        <is>
          <t>3</t>
        </is>
      </c>
      <c r="V2557" s="85" t="inlineStr">
        <is>
          <t>Notes</t>
        </is>
      </c>
      <c r="W2557" s="85" t="inlineStr">
        <is>
          <t>Cover</t>
        </is>
      </c>
      <c r="X2557" s="85" t="inlineStr">
        <is>
          <t>Notes</t>
        </is>
      </c>
      <c r="Y2557" s="85" t="inlineStr">
        <is>
          <t>Cover</t>
        </is>
      </c>
      <c r="Z2557" s="85" t="inlineStr">
        <is>
          <t>Notes</t>
        </is>
      </c>
      <c r="AB2557" s="86" t="inlineStr">
        <is>
          <t>weekdays short</t>
        </is>
      </c>
      <c r="AC2557" s="87" t="inlineStr"/>
    </row>
    <row r="2558" ht="17" customHeight="1">
      <c r="A2558" t="n">
        <v>52</v>
      </c>
      <c r="B2558" s="24">
        <f>IF(Setup!$K$6="","",Setup!$K$6)</f>
        <v/>
      </c>
      <c r="C2558" s="88" t="n"/>
      <c r="D2558" s="88" t="n"/>
      <c r="E2558" s="88" t="n"/>
      <c r="F2558" s="89" t="n"/>
      <c r="G2558" s="88" t="n"/>
      <c r="H2558" s="88" t="n"/>
      <c r="I2558" s="88" t="n"/>
      <c r="J2558" s="89" t="n"/>
      <c r="K2558" s="88" t="n"/>
      <c r="L2558" s="88" t="n"/>
      <c r="M2558" s="88" t="n"/>
      <c r="N2558" s="89" t="n"/>
      <c r="O2558" s="88" t="n"/>
      <c r="P2558" s="88" t="n"/>
      <c r="Q2558" s="88" t="n"/>
      <c r="R2558" s="89" t="n"/>
      <c r="S2558" s="88" t="n"/>
      <c r="T2558" s="88" t="n"/>
      <c r="U2558" s="88" t="n"/>
      <c r="V2558" s="89" t="n"/>
      <c r="W2558" s="88" t="n"/>
      <c r="X2558" s="89" t="n"/>
      <c r="Y2558" s="88" t="n"/>
      <c r="Z2558" s="89" t="n"/>
      <c r="AB2558" s="25">
        <f>IF($B2558="","",(COUNTIF(C2558:E2558,"?*")&lt;N(INDEX(Setup!$L$6:$L$23,1)))+(COUNTIF(G2558:I2558,"?*")&lt;N(INDEX(Setup!$L$6:$L$23,1)))+(COUNTIF(K2558:M2558,"?*")&lt;N(INDEX(Setup!$L$6:$L$23,1)))+(COUNTIF(O2558:Q2558,"?*")&lt;N(INDEX(Setup!$L$6:$L$23,1)))+(COUNTIF(S2558:U2558,"?*")&lt;N(INDEX(Setup!$L$6:$L$23,1)))+((W2558="")*(INDEX(Setup!$M$6:$M$23,1)="Y"))+((Y2558="")*(INDEX(Setup!$M$6:$M$23,1)="Y")))</f>
        <v/>
      </c>
      <c r="AC2558" s="90">
        <f>IF($B2558="","",IF(AB2558=0,"✓ covered","⚠ "&amp;AB2558&amp;IF(AB2558=1," gap"," gaps")))</f>
        <v/>
      </c>
    </row>
    <row r="2559" ht="17" customHeight="1">
      <c r="A2559" t="n">
        <v>52</v>
      </c>
      <c r="B2559" s="29">
        <f>IF(Setup!$K$7="","",Setup!$K$7)</f>
        <v/>
      </c>
      <c r="C2559" s="88" t="n"/>
      <c r="D2559" s="88" t="n"/>
      <c r="E2559" s="88" t="n"/>
      <c r="F2559" s="89" t="n"/>
      <c r="G2559" s="88" t="n"/>
      <c r="H2559" s="88" t="n"/>
      <c r="I2559" s="88" t="n"/>
      <c r="J2559" s="89" t="n"/>
      <c r="K2559" s="88" t="n"/>
      <c r="L2559" s="88" t="n"/>
      <c r="M2559" s="88" t="n"/>
      <c r="N2559" s="89" t="n"/>
      <c r="O2559" s="88" t="n"/>
      <c r="P2559" s="88" t="n"/>
      <c r="Q2559" s="88" t="n"/>
      <c r="R2559" s="89" t="n"/>
      <c r="S2559" s="88" t="n"/>
      <c r="T2559" s="88" t="n"/>
      <c r="U2559" s="88" t="n"/>
      <c r="V2559" s="89" t="n"/>
      <c r="W2559" s="88" t="n"/>
      <c r="X2559" s="89" t="n"/>
      <c r="Y2559" s="88" t="n"/>
      <c r="Z2559" s="89" t="n"/>
      <c r="AB2559" s="30">
        <f>IF($B2559="","",(COUNTIF(C2559:E2559,"?*")&lt;N(INDEX(Setup!$L$6:$L$23,2)))+(COUNTIF(G2559:I2559,"?*")&lt;N(INDEX(Setup!$L$6:$L$23,2)))+(COUNTIF(K2559:M2559,"?*")&lt;N(INDEX(Setup!$L$6:$L$23,2)))+(COUNTIF(O2559:Q2559,"?*")&lt;N(INDEX(Setup!$L$6:$L$23,2)))+(COUNTIF(S2559:U2559,"?*")&lt;N(INDEX(Setup!$L$6:$L$23,2)))+((W2559="")*(INDEX(Setup!$M$6:$M$23,2)="Y"))+((Y2559="")*(INDEX(Setup!$M$6:$M$23,2)="Y")))</f>
        <v/>
      </c>
      <c r="AC2559" s="91">
        <f>IF($B2559="","",IF(AB2559=0,"✓ covered","⚠ "&amp;AB2559&amp;IF(AB2559=1," gap"," gaps")))</f>
        <v/>
      </c>
    </row>
    <row r="2560" ht="17" customHeight="1">
      <c r="A2560" t="n">
        <v>52</v>
      </c>
      <c r="B2560" s="24">
        <f>IF(Setup!$K$8="","",Setup!$K$8)</f>
        <v/>
      </c>
      <c r="C2560" s="88" t="n"/>
      <c r="D2560" s="88" t="n"/>
      <c r="E2560" s="88" t="n"/>
      <c r="F2560" s="89" t="n"/>
      <c r="G2560" s="88" t="n"/>
      <c r="H2560" s="88" t="n"/>
      <c r="I2560" s="88" t="n"/>
      <c r="J2560" s="89" t="n"/>
      <c r="K2560" s="88" t="n"/>
      <c r="L2560" s="88" t="n"/>
      <c r="M2560" s="88" t="n"/>
      <c r="N2560" s="89" t="n"/>
      <c r="O2560" s="88" t="n"/>
      <c r="P2560" s="88" t="n"/>
      <c r="Q2560" s="88" t="n"/>
      <c r="R2560" s="89" t="n"/>
      <c r="S2560" s="88" t="n"/>
      <c r="T2560" s="88" t="n"/>
      <c r="U2560" s="88" t="n"/>
      <c r="V2560" s="89" t="n"/>
      <c r="W2560" s="88" t="n"/>
      <c r="X2560" s="89" t="n"/>
      <c r="Y2560" s="88" t="n"/>
      <c r="Z2560" s="89" t="n"/>
      <c r="AB2560" s="25">
        <f>IF($B2560="","",(COUNTIF(C2560:E2560,"?*")&lt;N(INDEX(Setup!$L$6:$L$23,3)))+(COUNTIF(G2560:I2560,"?*")&lt;N(INDEX(Setup!$L$6:$L$23,3)))+(COUNTIF(K2560:M2560,"?*")&lt;N(INDEX(Setup!$L$6:$L$23,3)))+(COUNTIF(O2560:Q2560,"?*")&lt;N(INDEX(Setup!$L$6:$L$23,3)))+(COUNTIF(S2560:U2560,"?*")&lt;N(INDEX(Setup!$L$6:$L$23,3)))+((W2560="")*(INDEX(Setup!$M$6:$M$23,3)="Y"))+((Y2560="")*(INDEX(Setup!$M$6:$M$23,3)="Y")))</f>
        <v/>
      </c>
      <c r="AC2560" s="90">
        <f>IF($B2560="","",IF(AB2560=0,"✓ covered","⚠ "&amp;AB2560&amp;IF(AB2560=1," gap"," gaps")))</f>
        <v/>
      </c>
    </row>
    <row r="2561" ht="17" customHeight="1">
      <c r="A2561" t="n">
        <v>52</v>
      </c>
      <c r="B2561" s="29">
        <f>IF(Setup!$K$9="","",Setup!$K$9)</f>
        <v/>
      </c>
      <c r="C2561" s="88" t="n"/>
      <c r="D2561" s="88" t="n"/>
      <c r="E2561" s="88" t="n"/>
      <c r="F2561" s="89" t="n"/>
      <c r="G2561" s="88" t="n"/>
      <c r="H2561" s="88" t="n"/>
      <c r="I2561" s="88" t="n"/>
      <c r="J2561" s="89" t="n"/>
      <c r="K2561" s="88" t="n"/>
      <c r="L2561" s="88" t="n"/>
      <c r="M2561" s="88" t="n"/>
      <c r="N2561" s="89" t="n"/>
      <c r="O2561" s="88" t="n"/>
      <c r="P2561" s="88" t="n"/>
      <c r="Q2561" s="88" t="n"/>
      <c r="R2561" s="89" t="n"/>
      <c r="S2561" s="88" t="n"/>
      <c r="T2561" s="88" t="n"/>
      <c r="U2561" s="88" t="n"/>
      <c r="V2561" s="89" t="n"/>
      <c r="W2561" s="88" t="n"/>
      <c r="X2561" s="89" t="n"/>
      <c r="Y2561" s="88" t="n"/>
      <c r="Z2561" s="89" t="n"/>
      <c r="AB2561" s="30">
        <f>IF($B2561="","",(COUNTIF(C2561:E2561,"?*")&lt;N(INDEX(Setup!$L$6:$L$23,4)))+(COUNTIF(G2561:I2561,"?*")&lt;N(INDEX(Setup!$L$6:$L$23,4)))+(COUNTIF(K2561:M2561,"?*")&lt;N(INDEX(Setup!$L$6:$L$23,4)))+(COUNTIF(O2561:Q2561,"?*")&lt;N(INDEX(Setup!$L$6:$L$23,4)))+(COUNTIF(S2561:U2561,"?*")&lt;N(INDEX(Setup!$L$6:$L$23,4)))+((W2561="")*(INDEX(Setup!$M$6:$M$23,4)="Y"))+((Y2561="")*(INDEX(Setup!$M$6:$M$23,4)="Y")))</f>
        <v/>
      </c>
      <c r="AC2561" s="91">
        <f>IF($B2561="","",IF(AB2561=0,"✓ covered","⚠ "&amp;AB2561&amp;IF(AB2561=1," gap"," gaps")))</f>
        <v/>
      </c>
    </row>
    <row r="2562" ht="17" customHeight="1">
      <c r="A2562" t="n">
        <v>52</v>
      </c>
      <c r="B2562" s="24">
        <f>IF(Setup!$K$10="","",Setup!$K$10)</f>
        <v/>
      </c>
      <c r="C2562" s="88" t="n"/>
      <c r="D2562" s="88" t="n"/>
      <c r="E2562" s="88" t="n"/>
      <c r="F2562" s="89" t="n"/>
      <c r="G2562" s="88" t="n"/>
      <c r="H2562" s="88" t="n"/>
      <c r="I2562" s="88" t="n"/>
      <c r="J2562" s="89" t="n"/>
      <c r="K2562" s="88" t="n"/>
      <c r="L2562" s="88" t="n"/>
      <c r="M2562" s="88" t="n"/>
      <c r="N2562" s="89" t="n"/>
      <c r="O2562" s="88" t="n"/>
      <c r="P2562" s="88" t="n"/>
      <c r="Q2562" s="88" t="n"/>
      <c r="R2562" s="89" t="n"/>
      <c r="S2562" s="88" t="n"/>
      <c r="T2562" s="88" t="n"/>
      <c r="U2562" s="88" t="n"/>
      <c r="V2562" s="89" t="n"/>
      <c r="W2562" s="88" t="n"/>
      <c r="X2562" s="89" t="n"/>
      <c r="Y2562" s="88" t="n"/>
      <c r="Z2562" s="89" t="n"/>
      <c r="AB2562" s="25">
        <f>IF($B2562="","",(COUNTIF(C2562:E2562,"?*")&lt;N(INDEX(Setup!$L$6:$L$23,5)))+(COUNTIF(G2562:I2562,"?*")&lt;N(INDEX(Setup!$L$6:$L$23,5)))+(COUNTIF(K2562:M2562,"?*")&lt;N(INDEX(Setup!$L$6:$L$23,5)))+(COUNTIF(O2562:Q2562,"?*")&lt;N(INDEX(Setup!$L$6:$L$23,5)))+(COUNTIF(S2562:U2562,"?*")&lt;N(INDEX(Setup!$L$6:$L$23,5)))+((W2562="")*(INDEX(Setup!$M$6:$M$23,5)="Y"))+((Y2562="")*(INDEX(Setup!$M$6:$M$23,5)="Y")))</f>
        <v/>
      </c>
      <c r="AC2562" s="90">
        <f>IF($B2562="","",IF(AB2562=0,"✓ covered","⚠ "&amp;AB2562&amp;IF(AB2562=1," gap"," gaps")))</f>
        <v/>
      </c>
    </row>
    <row r="2563" ht="17" customHeight="1">
      <c r="A2563" t="n">
        <v>52</v>
      </c>
      <c r="B2563" s="29">
        <f>IF(Setup!$K$11="","",Setup!$K$11)</f>
        <v/>
      </c>
      <c r="C2563" s="88" t="n"/>
      <c r="D2563" s="88" t="n"/>
      <c r="E2563" s="88" t="n"/>
      <c r="F2563" s="89" t="n"/>
      <c r="G2563" s="88" t="n"/>
      <c r="H2563" s="88" t="n"/>
      <c r="I2563" s="88" t="n"/>
      <c r="J2563" s="89" t="n"/>
      <c r="K2563" s="88" t="n"/>
      <c r="L2563" s="88" t="n"/>
      <c r="M2563" s="88" t="n"/>
      <c r="N2563" s="89" t="n"/>
      <c r="O2563" s="88" t="n"/>
      <c r="P2563" s="88" t="n"/>
      <c r="Q2563" s="88" t="n"/>
      <c r="R2563" s="89" t="n"/>
      <c r="S2563" s="88" t="n"/>
      <c r="T2563" s="88" t="n"/>
      <c r="U2563" s="88" t="n"/>
      <c r="V2563" s="89" t="n"/>
      <c r="W2563" s="88" t="n"/>
      <c r="X2563" s="89" t="n"/>
      <c r="Y2563" s="88" t="n"/>
      <c r="Z2563" s="89" t="n"/>
      <c r="AB2563" s="30">
        <f>IF($B2563="","",(COUNTIF(C2563:E2563,"?*")&lt;N(INDEX(Setup!$L$6:$L$23,6)))+(COUNTIF(G2563:I2563,"?*")&lt;N(INDEX(Setup!$L$6:$L$23,6)))+(COUNTIF(K2563:M2563,"?*")&lt;N(INDEX(Setup!$L$6:$L$23,6)))+(COUNTIF(O2563:Q2563,"?*")&lt;N(INDEX(Setup!$L$6:$L$23,6)))+(COUNTIF(S2563:U2563,"?*")&lt;N(INDEX(Setup!$L$6:$L$23,6)))+((W2563="")*(INDEX(Setup!$M$6:$M$23,6)="Y"))+((Y2563="")*(INDEX(Setup!$M$6:$M$23,6)="Y")))</f>
        <v/>
      </c>
      <c r="AC2563" s="91">
        <f>IF($B2563="","",IF(AB2563=0,"✓ covered","⚠ "&amp;AB2563&amp;IF(AB2563=1," gap"," gaps")))</f>
        <v/>
      </c>
    </row>
    <row r="2564" ht="17" customHeight="1">
      <c r="A2564" t="n">
        <v>52</v>
      </c>
      <c r="B2564" s="24">
        <f>IF(Setup!$K$12="","",Setup!$K$12)</f>
        <v/>
      </c>
      <c r="C2564" s="88" t="n"/>
      <c r="D2564" s="88" t="n"/>
      <c r="E2564" s="88" t="n"/>
      <c r="F2564" s="89" t="n"/>
      <c r="G2564" s="88" t="n"/>
      <c r="H2564" s="88" t="n"/>
      <c r="I2564" s="88" t="n"/>
      <c r="J2564" s="89" t="n"/>
      <c r="K2564" s="88" t="n"/>
      <c r="L2564" s="88" t="n"/>
      <c r="M2564" s="88" t="n"/>
      <c r="N2564" s="89" t="n"/>
      <c r="O2564" s="88" t="n"/>
      <c r="P2564" s="88" t="n"/>
      <c r="Q2564" s="88" t="n"/>
      <c r="R2564" s="89" t="n"/>
      <c r="S2564" s="88" t="n"/>
      <c r="T2564" s="88" t="n"/>
      <c r="U2564" s="88" t="n"/>
      <c r="V2564" s="89" t="n"/>
      <c r="W2564" s="88" t="n"/>
      <c r="X2564" s="89" t="n"/>
      <c r="Y2564" s="88" t="n"/>
      <c r="Z2564" s="89" t="n"/>
      <c r="AB2564" s="25">
        <f>IF($B2564="","",(COUNTIF(C2564:E2564,"?*")&lt;N(INDEX(Setup!$L$6:$L$23,7)))+(COUNTIF(G2564:I2564,"?*")&lt;N(INDEX(Setup!$L$6:$L$23,7)))+(COUNTIF(K2564:M2564,"?*")&lt;N(INDEX(Setup!$L$6:$L$23,7)))+(COUNTIF(O2564:Q2564,"?*")&lt;N(INDEX(Setup!$L$6:$L$23,7)))+(COUNTIF(S2564:U2564,"?*")&lt;N(INDEX(Setup!$L$6:$L$23,7)))+((W2564="")*(INDEX(Setup!$M$6:$M$23,7)="Y"))+((Y2564="")*(INDEX(Setup!$M$6:$M$23,7)="Y")))</f>
        <v/>
      </c>
      <c r="AC2564" s="90">
        <f>IF($B2564="","",IF(AB2564=0,"✓ covered","⚠ "&amp;AB2564&amp;IF(AB2564=1," gap"," gaps")))</f>
        <v/>
      </c>
    </row>
    <row r="2565" ht="17" customHeight="1">
      <c r="A2565" t="n">
        <v>52</v>
      </c>
      <c r="B2565" s="29">
        <f>IF(Setup!$K$13="","",Setup!$K$13)</f>
        <v/>
      </c>
      <c r="C2565" s="88" t="n"/>
      <c r="D2565" s="88" t="n"/>
      <c r="E2565" s="88" t="n"/>
      <c r="F2565" s="89" t="n"/>
      <c r="G2565" s="88" t="n"/>
      <c r="H2565" s="88" t="n"/>
      <c r="I2565" s="88" t="n"/>
      <c r="J2565" s="89" t="n"/>
      <c r="K2565" s="88" t="n"/>
      <c r="L2565" s="88" t="n"/>
      <c r="M2565" s="88" t="n"/>
      <c r="N2565" s="89" t="n"/>
      <c r="O2565" s="88" t="n"/>
      <c r="P2565" s="88" t="n"/>
      <c r="Q2565" s="88" t="n"/>
      <c r="R2565" s="89" t="n"/>
      <c r="S2565" s="88" t="n"/>
      <c r="T2565" s="88" t="n"/>
      <c r="U2565" s="88" t="n"/>
      <c r="V2565" s="89" t="n"/>
      <c r="W2565" s="88" t="n"/>
      <c r="X2565" s="89" t="n"/>
      <c r="Y2565" s="88" t="n"/>
      <c r="Z2565" s="89" t="n"/>
      <c r="AB2565" s="30">
        <f>IF($B2565="","",(COUNTIF(C2565:E2565,"?*")&lt;N(INDEX(Setup!$L$6:$L$23,8)))+(COUNTIF(G2565:I2565,"?*")&lt;N(INDEX(Setup!$L$6:$L$23,8)))+(COUNTIF(K2565:M2565,"?*")&lt;N(INDEX(Setup!$L$6:$L$23,8)))+(COUNTIF(O2565:Q2565,"?*")&lt;N(INDEX(Setup!$L$6:$L$23,8)))+(COUNTIF(S2565:U2565,"?*")&lt;N(INDEX(Setup!$L$6:$L$23,8)))+((W2565="")*(INDEX(Setup!$M$6:$M$23,8)="Y"))+((Y2565="")*(INDEX(Setup!$M$6:$M$23,8)="Y")))</f>
        <v/>
      </c>
      <c r="AC2565" s="91">
        <f>IF($B2565="","",IF(AB2565=0,"✓ covered","⚠ "&amp;AB2565&amp;IF(AB2565=1," gap"," gaps")))</f>
        <v/>
      </c>
    </row>
    <row r="2566" ht="17" customHeight="1">
      <c r="A2566" t="n">
        <v>52</v>
      </c>
      <c r="B2566" s="24">
        <f>IF(Setup!$K$14="","",Setup!$K$14)</f>
        <v/>
      </c>
      <c r="C2566" s="88" t="n"/>
      <c r="D2566" s="88" t="n"/>
      <c r="E2566" s="88" t="n"/>
      <c r="F2566" s="89" t="n"/>
      <c r="G2566" s="88" t="n"/>
      <c r="H2566" s="88" t="n"/>
      <c r="I2566" s="88" t="n"/>
      <c r="J2566" s="89" t="n"/>
      <c r="K2566" s="88" t="n"/>
      <c r="L2566" s="88" t="n"/>
      <c r="M2566" s="88" t="n"/>
      <c r="N2566" s="89" t="n"/>
      <c r="O2566" s="88" t="n"/>
      <c r="P2566" s="88" t="n"/>
      <c r="Q2566" s="88" t="n"/>
      <c r="R2566" s="89" t="n"/>
      <c r="S2566" s="88" t="n"/>
      <c r="T2566" s="88" t="n"/>
      <c r="U2566" s="88" t="n"/>
      <c r="V2566" s="89" t="n"/>
      <c r="W2566" s="88" t="n"/>
      <c r="X2566" s="89" t="n"/>
      <c r="Y2566" s="88" t="n"/>
      <c r="Z2566" s="89" t="n"/>
      <c r="AB2566" s="25">
        <f>IF($B2566="","",(COUNTIF(C2566:E2566,"?*")&lt;N(INDEX(Setup!$L$6:$L$23,9)))+(COUNTIF(G2566:I2566,"?*")&lt;N(INDEX(Setup!$L$6:$L$23,9)))+(COUNTIF(K2566:M2566,"?*")&lt;N(INDEX(Setup!$L$6:$L$23,9)))+(COUNTIF(O2566:Q2566,"?*")&lt;N(INDEX(Setup!$L$6:$L$23,9)))+(COUNTIF(S2566:U2566,"?*")&lt;N(INDEX(Setup!$L$6:$L$23,9)))+((W2566="")*(INDEX(Setup!$M$6:$M$23,9)="Y"))+((Y2566="")*(INDEX(Setup!$M$6:$M$23,9)="Y")))</f>
        <v/>
      </c>
      <c r="AC2566" s="90">
        <f>IF($B2566="","",IF(AB2566=0,"✓ covered","⚠ "&amp;AB2566&amp;IF(AB2566=1," gap"," gaps")))</f>
        <v/>
      </c>
    </row>
    <row r="2567" ht="17" customHeight="1">
      <c r="A2567" t="n">
        <v>52</v>
      </c>
      <c r="B2567" s="29">
        <f>IF(Setup!$K$15="","",Setup!$K$15)</f>
        <v/>
      </c>
      <c r="C2567" s="88" t="n"/>
      <c r="D2567" s="88" t="n"/>
      <c r="E2567" s="88" t="n"/>
      <c r="F2567" s="89" t="n"/>
      <c r="G2567" s="88" t="n"/>
      <c r="H2567" s="88" t="n"/>
      <c r="I2567" s="88" t="n"/>
      <c r="J2567" s="89" t="n"/>
      <c r="K2567" s="88" t="n"/>
      <c r="L2567" s="88" t="n"/>
      <c r="M2567" s="88" t="n"/>
      <c r="N2567" s="89" t="n"/>
      <c r="O2567" s="88" t="n"/>
      <c r="P2567" s="88" t="n"/>
      <c r="Q2567" s="88" t="n"/>
      <c r="R2567" s="89" t="n"/>
      <c r="S2567" s="88" t="n"/>
      <c r="T2567" s="88" t="n"/>
      <c r="U2567" s="88" t="n"/>
      <c r="V2567" s="89" t="n"/>
      <c r="W2567" s="88" t="n"/>
      <c r="X2567" s="89" t="n"/>
      <c r="Y2567" s="88" t="n"/>
      <c r="Z2567" s="89" t="n"/>
      <c r="AB2567" s="30">
        <f>IF($B2567="","",(COUNTIF(C2567:E2567,"?*")&lt;N(INDEX(Setup!$L$6:$L$23,10)))+(COUNTIF(G2567:I2567,"?*")&lt;N(INDEX(Setup!$L$6:$L$23,10)))+(COUNTIF(K2567:M2567,"?*")&lt;N(INDEX(Setup!$L$6:$L$23,10)))+(COUNTIF(O2567:Q2567,"?*")&lt;N(INDEX(Setup!$L$6:$L$23,10)))+(COUNTIF(S2567:U2567,"?*")&lt;N(INDEX(Setup!$L$6:$L$23,10)))+((W2567="")*(INDEX(Setup!$M$6:$M$23,10)="Y"))+((Y2567="")*(INDEX(Setup!$M$6:$M$23,10)="Y")))</f>
        <v/>
      </c>
      <c r="AC2567" s="91">
        <f>IF($B2567="","",IF(AB2567=0,"✓ covered","⚠ "&amp;AB2567&amp;IF(AB2567=1," gap"," gaps")))</f>
        <v/>
      </c>
    </row>
    <row r="2568" ht="17" customHeight="1">
      <c r="A2568" t="n">
        <v>52</v>
      </c>
      <c r="B2568" s="24">
        <f>IF(Setup!$K$16="","",Setup!$K$16)</f>
        <v/>
      </c>
      <c r="C2568" s="88" t="n"/>
      <c r="D2568" s="88" t="n"/>
      <c r="E2568" s="88" t="n"/>
      <c r="F2568" s="89" t="n"/>
      <c r="G2568" s="88" t="n"/>
      <c r="H2568" s="88" t="n"/>
      <c r="I2568" s="88" t="n"/>
      <c r="J2568" s="89" t="n"/>
      <c r="K2568" s="88" t="n"/>
      <c r="L2568" s="88" t="n"/>
      <c r="M2568" s="88" t="n"/>
      <c r="N2568" s="89" t="n"/>
      <c r="O2568" s="88" t="n"/>
      <c r="P2568" s="88" t="n"/>
      <c r="Q2568" s="88" t="n"/>
      <c r="R2568" s="89" t="n"/>
      <c r="S2568" s="88" t="n"/>
      <c r="T2568" s="88" t="n"/>
      <c r="U2568" s="88" t="n"/>
      <c r="V2568" s="89" t="n"/>
      <c r="W2568" s="88" t="n"/>
      <c r="X2568" s="89" t="n"/>
      <c r="Y2568" s="88" t="n"/>
      <c r="Z2568" s="89" t="n"/>
      <c r="AB2568" s="25">
        <f>IF($B2568="","",(COUNTIF(C2568:E2568,"?*")&lt;N(INDEX(Setup!$L$6:$L$23,11)))+(COUNTIF(G2568:I2568,"?*")&lt;N(INDEX(Setup!$L$6:$L$23,11)))+(COUNTIF(K2568:M2568,"?*")&lt;N(INDEX(Setup!$L$6:$L$23,11)))+(COUNTIF(O2568:Q2568,"?*")&lt;N(INDEX(Setup!$L$6:$L$23,11)))+(COUNTIF(S2568:U2568,"?*")&lt;N(INDEX(Setup!$L$6:$L$23,11)))+((W2568="")*(INDEX(Setup!$M$6:$M$23,11)="Y"))+((Y2568="")*(INDEX(Setup!$M$6:$M$23,11)="Y")))</f>
        <v/>
      </c>
      <c r="AC2568" s="90">
        <f>IF($B2568="","",IF(AB2568=0,"✓ covered","⚠ "&amp;AB2568&amp;IF(AB2568=1," gap"," gaps")))</f>
        <v/>
      </c>
    </row>
    <row r="2569" ht="17" customHeight="1">
      <c r="A2569" t="n">
        <v>52</v>
      </c>
      <c r="B2569" s="29">
        <f>IF(Setup!$K$17="","",Setup!$K$17)</f>
        <v/>
      </c>
      <c r="C2569" s="88" t="n"/>
      <c r="D2569" s="88" t="n"/>
      <c r="E2569" s="88" t="n"/>
      <c r="F2569" s="89" t="n"/>
      <c r="G2569" s="88" t="n"/>
      <c r="H2569" s="88" t="n"/>
      <c r="I2569" s="88" t="n"/>
      <c r="J2569" s="89" t="n"/>
      <c r="K2569" s="88" t="n"/>
      <c r="L2569" s="88" t="n"/>
      <c r="M2569" s="88" t="n"/>
      <c r="N2569" s="89" t="n"/>
      <c r="O2569" s="88" t="n"/>
      <c r="P2569" s="88" t="n"/>
      <c r="Q2569" s="88" t="n"/>
      <c r="R2569" s="89" t="n"/>
      <c r="S2569" s="88" t="n"/>
      <c r="T2569" s="88" t="n"/>
      <c r="U2569" s="88" t="n"/>
      <c r="V2569" s="89" t="n"/>
      <c r="W2569" s="88" t="n"/>
      <c r="X2569" s="89" t="n"/>
      <c r="Y2569" s="88" t="n"/>
      <c r="Z2569" s="89" t="n"/>
      <c r="AB2569" s="30">
        <f>IF($B2569="","",(COUNTIF(C2569:E2569,"?*")&lt;N(INDEX(Setup!$L$6:$L$23,12)))+(COUNTIF(G2569:I2569,"?*")&lt;N(INDEX(Setup!$L$6:$L$23,12)))+(COUNTIF(K2569:M2569,"?*")&lt;N(INDEX(Setup!$L$6:$L$23,12)))+(COUNTIF(O2569:Q2569,"?*")&lt;N(INDEX(Setup!$L$6:$L$23,12)))+(COUNTIF(S2569:U2569,"?*")&lt;N(INDEX(Setup!$L$6:$L$23,12)))+((W2569="")*(INDEX(Setup!$M$6:$M$23,12)="Y"))+((Y2569="")*(INDEX(Setup!$M$6:$M$23,12)="Y")))</f>
        <v/>
      </c>
      <c r="AC2569" s="91">
        <f>IF($B2569="","",IF(AB2569=0,"✓ covered","⚠ "&amp;AB2569&amp;IF(AB2569=1," gap"," gaps")))</f>
        <v/>
      </c>
    </row>
    <row r="2570" ht="17" customHeight="1">
      <c r="A2570" t="n">
        <v>52</v>
      </c>
      <c r="B2570" s="24">
        <f>IF(Setup!$K$18="","",Setup!$K$18)</f>
        <v/>
      </c>
      <c r="C2570" s="88" t="n"/>
      <c r="D2570" s="88" t="n"/>
      <c r="E2570" s="88" t="n"/>
      <c r="F2570" s="89" t="n"/>
      <c r="G2570" s="88" t="n"/>
      <c r="H2570" s="88" t="n"/>
      <c r="I2570" s="88" t="n"/>
      <c r="J2570" s="89" t="n"/>
      <c r="K2570" s="88" t="n"/>
      <c r="L2570" s="88" t="n"/>
      <c r="M2570" s="88" t="n"/>
      <c r="N2570" s="89" t="n"/>
      <c r="O2570" s="88" t="n"/>
      <c r="P2570" s="88" t="n"/>
      <c r="Q2570" s="88" t="n"/>
      <c r="R2570" s="89" t="n"/>
      <c r="S2570" s="88" t="n"/>
      <c r="T2570" s="88" t="n"/>
      <c r="U2570" s="88" t="n"/>
      <c r="V2570" s="89" t="n"/>
      <c r="W2570" s="88" t="n"/>
      <c r="X2570" s="89" t="n"/>
      <c r="Y2570" s="88" t="n"/>
      <c r="Z2570" s="89" t="n"/>
      <c r="AB2570" s="25">
        <f>IF($B2570="","",(COUNTIF(C2570:E2570,"?*")&lt;N(INDEX(Setup!$L$6:$L$23,13)))+(COUNTIF(G2570:I2570,"?*")&lt;N(INDEX(Setup!$L$6:$L$23,13)))+(COUNTIF(K2570:M2570,"?*")&lt;N(INDEX(Setup!$L$6:$L$23,13)))+(COUNTIF(O2570:Q2570,"?*")&lt;N(INDEX(Setup!$L$6:$L$23,13)))+(COUNTIF(S2570:U2570,"?*")&lt;N(INDEX(Setup!$L$6:$L$23,13)))+((W2570="")*(INDEX(Setup!$M$6:$M$23,13)="Y"))+((Y2570="")*(INDEX(Setup!$M$6:$M$23,13)="Y")))</f>
        <v/>
      </c>
      <c r="AC2570" s="90">
        <f>IF($B2570="","",IF(AB2570=0,"✓ covered","⚠ "&amp;AB2570&amp;IF(AB2570=1," gap"," gaps")))</f>
        <v/>
      </c>
    </row>
    <row r="2571" ht="17" customHeight="1">
      <c r="A2571" t="n">
        <v>52</v>
      </c>
      <c r="B2571" s="29">
        <f>IF(Setup!$K$19="","",Setup!$K$19)</f>
        <v/>
      </c>
      <c r="C2571" s="88" t="n"/>
      <c r="D2571" s="88" t="n"/>
      <c r="E2571" s="88" t="n"/>
      <c r="F2571" s="89" t="n"/>
      <c r="G2571" s="88" t="n"/>
      <c r="H2571" s="88" t="n"/>
      <c r="I2571" s="88" t="n"/>
      <c r="J2571" s="89" t="n"/>
      <c r="K2571" s="88" t="n"/>
      <c r="L2571" s="88" t="n"/>
      <c r="M2571" s="88" t="n"/>
      <c r="N2571" s="89" t="n"/>
      <c r="O2571" s="88" t="n"/>
      <c r="P2571" s="88" t="n"/>
      <c r="Q2571" s="88" t="n"/>
      <c r="R2571" s="89" t="n"/>
      <c r="S2571" s="88" t="n"/>
      <c r="T2571" s="88" t="n"/>
      <c r="U2571" s="88" t="n"/>
      <c r="V2571" s="89" t="n"/>
      <c r="W2571" s="88" t="n"/>
      <c r="X2571" s="89" t="n"/>
      <c r="Y2571" s="88" t="n"/>
      <c r="Z2571" s="89" t="n"/>
      <c r="AB2571" s="30">
        <f>IF($B2571="","",(COUNTIF(C2571:E2571,"?*")&lt;N(INDEX(Setup!$L$6:$L$23,14)))+(COUNTIF(G2571:I2571,"?*")&lt;N(INDEX(Setup!$L$6:$L$23,14)))+(COUNTIF(K2571:M2571,"?*")&lt;N(INDEX(Setup!$L$6:$L$23,14)))+(COUNTIF(O2571:Q2571,"?*")&lt;N(INDEX(Setup!$L$6:$L$23,14)))+(COUNTIF(S2571:U2571,"?*")&lt;N(INDEX(Setup!$L$6:$L$23,14)))+((W2571="")*(INDEX(Setup!$M$6:$M$23,14)="Y"))+((Y2571="")*(INDEX(Setup!$M$6:$M$23,14)="Y")))</f>
        <v/>
      </c>
      <c r="AC2571" s="91">
        <f>IF($B2571="","",IF(AB2571=0,"✓ covered","⚠ "&amp;AB2571&amp;IF(AB2571=1," gap"," gaps")))</f>
        <v/>
      </c>
    </row>
    <row r="2572" ht="17" customHeight="1">
      <c r="A2572" t="n">
        <v>52</v>
      </c>
      <c r="B2572" s="24">
        <f>IF(Setup!$K$20="","",Setup!$K$20)</f>
        <v/>
      </c>
      <c r="C2572" s="88" t="n"/>
      <c r="D2572" s="88" t="n"/>
      <c r="E2572" s="88" t="n"/>
      <c r="F2572" s="89" t="n"/>
      <c r="G2572" s="88" t="n"/>
      <c r="H2572" s="88" t="n"/>
      <c r="I2572" s="88" t="n"/>
      <c r="J2572" s="89" t="n"/>
      <c r="K2572" s="88" t="n"/>
      <c r="L2572" s="88" t="n"/>
      <c r="M2572" s="88" t="n"/>
      <c r="N2572" s="89" t="n"/>
      <c r="O2572" s="88" t="n"/>
      <c r="P2572" s="88" t="n"/>
      <c r="Q2572" s="88" t="n"/>
      <c r="R2572" s="89" t="n"/>
      <c r="S2572" s="88" t="n"/>
      <c r="T2572" s="88" t="n"/>
      <c r="U2572" s="88" t="n"/>
      <c r="V2572" s="89" t="n"/>
      <c r="W2572" s="88" t="n"/>
      <c r="X2572" s="89" t="n"/>
      <c r="Y2572" s="88" t="n"/>
      <c r="Z2572" s="89" t="n"/>
      <c r="AB2572" s="25">
        <f>IF($B2572="","",(COUNTIF(C2572:E2572,"?*")&lt;N(INDEX(Setup!$L$6:$L$23,15)))+(COUNTIF(G2572:I2572,"?*")&lt;N(INDEX(Setup!$L$6:$L$23,15)))+(COUNTIF(K2572:M2572,"?*")&lt;N(INDEX(Setup!$L$6:$L$23,15)))+(COUNTIF(O2572:Q2572,"?*")&lt;N(INDEX(Setup!$L$6:$L$23,15)))+(COUNTIF(S2572:U2572,"?*")&lt;N(INDEX(Setup!$L$6:$L$23,15)))+((W2572="")*(INDEX(Setup!$M$6:$M$23,15)="Y"))+((Y2572="")*(INDEX(Setup!$M$6:$M$23,15)="Y")))</f>
        <v/>
      </c>
      <c r="AC2572" s="90">
        <f>IF($B2572="","",IF(AB2572=0,"✓ covered","⚠ "&amp;AB2572&amp;IF(AB2572=1," gap"," gaps")))</f>
        <v/>
      </c>
    </row>
    <row r="2573" ht="17" customHeight="1">
      <c r="A2573" t="n">
        <v>52</v>
      </c>
      <c r="B2573" s="29">
        <f>IF(Setup!$K$21="","",Setup!$K$21)</f>
        <v/>
      </c>
      <c r="C2573" s="88" t="n"/>
      <c r="D2573" s="88" t="n"/>
      <c r="E2573" s="88" t="n"/>
      <c r="F2573" s="89" t="n"/>
      <c r="G2573" s="88" t="n"/>
      <c r="H2573" s="88" t="n"/>
      <c r="I2573" s="88" t="n"/>
      <c r="J2573" s="89" t="n"/>
      <c r="K2573" s="88" t="n"/>
      <c r="L2573" s="88" t="n"/>
      <c r="M2573" s="88" t="n"/>
      <c r="N2573" s="89" t="n"/>
      <c r="O2573" s="88" t="n"/>
      <c r="P2573" s="88" t="n"/>
      <c r="Q2573" s="88" t="n"/>
      <c r="R2573" s="89" t="n"/>
      <c r="S2573" s="88" t="n"/>
      <c r="T2573" s="88" t="n"/>
      <c r="U2573" s="88" t="n"/>
      <c r="V2573" s="89" t="n"/>
      <c r="W2573" s="88" t="n"/>
      <c r="X2573" s="89" t="n"/>
      <c r="Y2573" s="88" t="n"/>
      <c r="Z2573" s="89" t="n"/>
      <c r="AB2573" s="30">
        <f>IF($B2573="","",(COUNTIF(C2573:E2573,"?*")&lt;N(INDEX(Setup!$L$6:$L$23,16)))+(COUNTIF(G2573:I2573,"?*")&lt;N(INDEX(Setup!$L$6:$L$23,16)))+(COUNTIF(K2573:M2573,"?*")&lt;N(INDEX(Setup!$L$6:$L$23,16)))+(COUNTIF(O2573:Q2573,"?*")&lt;N(INDEX(Setup!$L$6:$L$23,16)))+(COUNTIF(S2573:U2573,"?*")&lt;N(INDEX(Setup!$L$6:$L$23,16)))+((W2573="")*(INDEX(Setup!$M$6:$M$23,16)="Y"))+((Y2573="")*(INDEX(Setup!$M$6:$M$23,16)="Y")))</f>
        <v/>
      </c>
      <c r="AC2573" s="91">
        <f>IF($B2573="","",IF(AB2573=0,"✓ covered","⚠ "&amp;AB2573&amp;IF(AB2573=1," gap"," gaps")))</f>
        <v/>
      </c>
    </row>
    <row r="2574" ht="17" customHeight="1">
      <c r="A2574" t="n">
        <v>52</v>
      </c>
      <c r="B2574" s="24">
        <f>IF(Setup!$K$22="","",Setup!$K$22)</f>
        <v/>
      </c>
      <c r="C2574" s="88" t="n"/>
      <c r="D2574" s="88" t="n"/>
      <c r="E2574" s="88" t="n"/>
      <c r="F2574" s="89" t="n"/>
      <c r="G2574" s="88" t="n"/>
      <c r="H2574" s="88" t="n"/>
      <c r="I2574" s="88" t="n"/>
      <c r="J2574" s="89" t="n"/>
      <c r="K2574" s="88" t="n"/>
      <c r="L2574" s="88" t="n"/>
      <c r="M2574" s="88" t="n"/>
      <c r="N2574" s="89" t="n"/>
      <c r="O2574" s="88" t="n"/>
      <c r="P2574" s="88" t="n"/>
      <c r="Q2574" s="88" t="n"/>
      <c r="R2574" s="89" t="n"/>
      <c r="S2574" s="88" t="n"/>
      <c r="T2574" s="88" t="n"/>
      <c r="U2574" s="88" t="n"/>
      <c r="V2574" s="89" t="n"/>
      <c r="W2574" s="88" t="n"/>
      <c r="X2574" s="89" t="n"/>
      <c r="Y2574" s="88" t="n"/>
      <c r="Z2574" s="89" t="n"/>
      <c r="AB2574" s="25">
        <f>IF($B2574="","",(COUNTIF(C2574:E2574,"?*")&lt;N(INDEX(Setup!$L$6:$L$23,17)))+(COUNTIF(G2574:I2574,"?*")&lt;N(INDEX(Setup!$L$6:$L$23,17)))+(COUNTIF(K2574:M2574,"?*")&lt;N(INDEX(Setup!$L$6:$L$23,17)))+(COUNTIF(O2574:Q2574,"?*")&lt;N(INDEX(Setup!$L$6:$L$23,17)))+(COUNTIF(S2574:U2574,"?*")&lt;N(INDEX(Setup!$L$6:$L$23,17)))+((W2574="")*(INDEX(Setup!$M$6:$M$23,17)="Y"))+((Y2574="")*(INDEX(Setup!$M$6:$M$23,17)="Y")))</f>
        <v/>
      </c>
      <c r="AC2574" s="90">
        <f>IF($B2574="","",IF(AB2574=0,"✓ covered","⚠ "&amp;AB2574&amp;IF(AB2574=1," gap"," gaps")))</f>
        <v/>
      </c>
    </row>
    <row r="2575" ht="17" customHeight="1">
      <c r="A2575" t="n">
        <v>52</v>
      </c>
      <c r="B2575" s="29">
        <f>IF(Setup!$K$23="","",Setup!$K$23)</f>
        <v/>
      </c>
      <c r="C2575" s="88" t="n"/>
      <c r="D2575" s="88" t="n"/>
      <c r="E2575" s="88" t="n"/>
      <c r="F2575" s="89" t="n"/>
      <c r="G2575" s="88" t="n"/>
      <c r="H2575" s="88" t="n"/>
      <c r="I2575" s="88" t="n"/>
      <c r="J2575" s="89" t="n"/>
      <c r="K2575" s="88" t="n"/>
      <c r="L2575" s="88" t="n"/>
      <c r="M2575" s="88" t="n"/>
      <c r="N2575" s="89" t="n"/>
      <c r="O2575" s="88" t="n"/>
      <c r="P2575" s="88" t="n"/>
      <c r="Q2575" s="88" t="n"/>
      <c r="R2575" s="89" t="n"/>
      <c r="S2575" s="88" t="n"/>
      <c r="T2575" s="88" t="n"/>
      <c r="U2575" s="88" t="n"/>
      <c r="V2575" s="89" t="n"/>
      <c r="W2575" s="88" t="n"/>
      <c r="X2575" s="89" t="n"/>
      <c r="Y2575" s="88" t="n"/>
      <c r="Z2575" s="89" t="n"/>
      <c r="AB2575" s="30">
        <f>IF($B2575="","",(COUNTIF(C2575:E2575,"?*")&lt;N(INDEX(Setup!$L$6:$L$23,18)))+(COUNTIF(G2575:I2575,"?*")&lt;N(INDEX(Setup!$L$6:$L$23,18)))+(COUNTIF(K2575:M2575,"?*")&lt;N(INDEX(Setup!$L$6:$L$23,18)))+(COUNTIF(O2575:Q2575,"?*")&lt;N(INDEX(Setup!$L$6:$L$23,18)))+(COUNTIF(S2575:U2575,"?*")&lt;N(INDEX(Setup!$L$6:$L$23,18)))+((W2575="")*(INDEX(Setup!$M$6:$M$23,18)="Y"))+((Y2575="")*(INDEX(Setup!$M$6:$M$23,18)="Y")))</f>
        <v/>
      </c>
      <c r="AC2575" s="91">
        <f>IF($B2575="","",IF(AB2575=0,"✓ covered","⚠ "&amp;AB2575&amp;IF(AB2575=1," gap"," gaps")))</f>
        <v/>
      </c>
    </row>
    <row r="2576" ht="18" customHeight="1">
      <c r="A2576" t="n">
        <v>52</v>
      </c>
      <c r="B2576" s="78" t="inlineStr">
        <is>
          <t>TEAM AVAILABILITY</t>
        </is>
      </c>
      <c r="C2576" s="92" t="inlineStr">
        <is>
          <t>Mon</t>
        </is>
      </c>
      <c r="D2576" s="93" t="n"/>
      <c r="E2576" s="93" t="n"/>
      <c r="F2576" s="94" t="n"/>
      <c r="G2576" s="92" t="inlineStr">
        <is>
          <t>Tue</t>
        </is>
      </c>
      <c r="H2576" s="93" t="n"/>
      <c r="I2576" s="93" t="n"/>
      <c r="J2576" s="94" t="n"/>
      <c r="K2576" s="92" t="inlineStr">
        <is>
          <t>Wed</t>
        </is>
      </c>
      <c r="L2576" s="93" t="n"/>
      <c r="M2576" s="93" t="n"/>
      <c r="N2576" s="94" t="n"/>
      <c r="O2576" s="92" t="inlineStr">
        <is>
          <t>Thu</t>
        </is>
      </c>
      <c r="P2576" s="93" t="n"/>
      <c r="Q2576" s="93" t="n"/>
      <c r="R2576" s="94" t="n"/>
      <c r="S2576" s="92" t="inlineStr">
        <is>
          <t>Fri</t>
        </is>
      </c>
      <c r="T2576" s="93" t="n"/>
      <c r="U2576" s="93" t="n"/>
      <c r="V2576" s="94" t="n"/>
      <c r="W2576" s="95" t="inlineStr">
        <is>
          <t>Sat</t>
        </is>
      </c>
      <c r="X2576" s="96" t="n"/>
      <c r="Y2576" s="95" t="inlineStr">
        <is>
          <t>Sun</t>
        </is>
      </c>
      <c r="Z2576" s="96" t="n"/>
      <c r="AB2576" s="97" t="inlineStr">
        <is>
          <t>Days rostered</t>
        </is>
      </c>
      <c r="AC2576" s="97" t="inlineStr">
        <is>
          <t>Conflicts</t>
        </is>
      </c>
    </row>
    <row r="2577" ht="15" customHeight="1">
      <c r="A2577" t="n">
        <v>52</v>
      </c>
      <c r="B2577" s="35">
        <f>IF(Setup!$B$6="","",Setup!$B$6)</f>
        <v/>
      </c>
      <c r="C2577" s="98" t="n"/>
      <c r="D2577" s="99" t="n"/>
      <c r="E2577" s="99" t="n"/>
      <c r="F2577" s="100" t="n"/>
      <c r="G2577" s="98" t="n"/>
      <c r="H2577" s="99" t="n"/>
      <c r="I2577" s="99" t="n"/>
      <c r="J2577" s="100" t="n"/>
      <c r="K2577" s="98" t="n"/>
      <c r="L2577" s="99" t="n"/>
      <c r="M2577" s="99" t="n"/>
      <c r="N2577" s="100" t="n"/>
      <c r="O2577" s="98" t="n"/>
      <c r="P2577" s="99" t="n"/>
      <c r="Q2577" s="99" t="n"/>
      <c r="R2577" s="100" t="n"/>
      <c r="S2577" s="98" t="n"/>
      <c r="T2577" s="99" t="n"/>
      <c r="U2577" s="99" t="n"/>
      <c r="V2577" s="100" t="n"/>
      <c r="W2577" s="98" t="n"/>
      <c r="X2577" s="100" t="n"/>
      <c r="Y2577" s="98" t="n"/>
      <c r="Z2577" s="100" t="n"/>
      <c r="AB2577" s="101">
        <f>IF($B2577="","",(COUNTIF(C2558:E2575,$B2577)+COUNTIF(C2558:E2575,$B2577&amp;" ~*")&gt;0)+(COUNTIF(G2558:I2575,$B2577)+COUNTIF(G2558:I2575,$B2577&amp;" ~*")&gt;0)+(COUNTIF(K2558:M2575,$B2577)+COUNTIF(K2558:M2575,$B2577&amp;" ~*")&gt;0)+(COUNTIF(O2558:Q2575,$B2577)+COUNTIF(O2558:Q2575,$B2577&amp;" ~*")&gt;0)+(COUNTIF(S2558:U2575,$B2577)+COUNTIF(S2558:U2575,$B2577&amp;" ~*")&gt;0)+(COUNTIF(W2558:W2575,$B2577)+COUNTIF(W2558:W2575,$B2577&amp;" ~*")&gt;0)+(COUNTIF(Y2558:Y2575,$B2577)+COUNTIF(Y2558:Y2575,$B2577&amp;" ~*")&gt;0))</f>
        <v/>
      </c>
      <c r="AC2577" s="36">
        <f>IF($B2577="","",(IFERROR(INDEX(Setup!$G$33:$G$40,MATCH(C2577,Setup!$B$33:$B$40,0)),0)=1)*(COUNTIF(C2558:E2575,$B2577)+COUNTIF(C2558:E2575,$B2577&amp;" ~*")&gt;0)+(IFERROR(INDEX(Setup!$G$33:$G$40,MATCH(G2577,Setup!$B$33:$B$40,0)),0)=1)*(COUNTIF(G2558:I2575,$B2577)+COUNTIF(G2558:I2575,$B2577&amp;" ~*")&gt;0)+(IFERROR(INDEX(Setup!$G$33:$G$40,MATCH(K2577,Setup!$B$33:$B$40,0)),0)=1)*(COUNTIF(K2558:M2575,$B2577)+COUNTIF(K2558:M2575,$B2577&amp;" ~*")&gt;0)+(IFERROR(INDEX(Setup!$G$33:$G$40,MATCH(O2577,Setup!$B$33:$B$40,0)),0)=1)*(COUNTIF(O2558:Q2575,$B2577)+COUNTIF(O2558:Q2575,$B2577&amp;" ~*")&gt;0)+(IFERROR(INDEX(Setup!$G$33:$G$40,MATCH(S2577,Setup!$B$33:$B$40,0)),0)=1)*(COUNTIF(S2558:U2575,$B2577)+COUNTIF(S2558:U2575,$B2577&amp;" ~*")&gt;0)+(IFERROR(INDEX(Setup!$G$33:$G$40,MATCH(W2577,Setup!$B$33:$B$40,0)),0)=1)*(COUNTIF(W2558:W2575,$B2577)+COUNTIF(W2558:W2575,$B2577&amp;" ~*")&gt;0)+(IFERROR(INDEX(Setup!$G$33:$G$40,MATCH(Y2577,Setup!$B$33:$B$40,0)),0)=1)*(COUNTIF(Y2558:Y2575,$B2577)+COUNTIF(Y2558:Y2575,$B2577&amp;" ~*")&gt;0))</f>
        <v/>
      </c>
    </row>
    <row r="2578" ht="15" customHeight="1">
      <c r="A2578" t="n">
        <v>52</v>
      </c>
      <c r="B2578" s="37">
        <f>IF(Setup!$B$7="","",Setup!$B$7)</f>
        <v/>
      </c>
      <c r="C2578" s="102" t="n"/>
      <c r="D2578" s="103" t="n"/>
      <c r="E2578" s="103" t="n"/>
      <c r="F2578" s="104" t="n"/>
      <c r="G2578" s="102" t="n"/>
      <c r="H2578" s="103" t="n"/>
      <c r="I2578" s="103" t="n"/>
      <c r="J2578" s="104" t="n"/>
      <c r="K2578" s="102" t="n"/>
      <c r="L2578" s="103" t="n"/>
      <c r="M2578" s="103" t="n"/>
      <c r="N2578" s="104" t="n"/>
      <c r="O2578" s="102" t="n"/>
      <c r="P2578" s="103" t="n"/>
      <c r="Q2578" s="103" t="n"/>
      <c r="R2578" s="104" t="n"/>
      <c r="S2578" s="102" t="n"/>
      <c r="T2578" s="103" t="n"/>
      <c r="U2578" s="103" t="n"/>
      <c r="V2578" s="104" t="n"/>
      <c r="W2578" s="102" t="n"/>
      <c r="X2578" s="104" t="n"/>
      <c r="Y2578" s="102" t="n"/>
      <c r="Z2578" s="104" t="n"/>
      <c r="AB2578" s="105">
        <f>IF($B2578="","",(COUNTIF(C2558:E2575,$B2578)+COUNTIF(C2558:E2575,$B2578&amp;" ~*")&gt;0)+(COUNTIF(G2558:I2575,$B2578)+COUNTIF(G2558:I2575,$B2578&amp;" ~*")&gt;0)+(COUNTIF(K2558:M2575,$B2578)+COUNTIF(K2558:M2575,$B2578&amp;" ~*")&gt;0)+(COUNTIF(O2558:Q2575,$B2578)+COUNTIF(O2558:Q2575,$B2578&amp;" ~*")&gt;0)+(COUNTIF(S2558:U2575,$B2578)+COUNTIF(S2558:U2575,$B2578&amp;" ~*")&gt;0)+(COUNTIF(W2558:W2575,$B2578)+COUNTIF(W2558:W2575,$B2578&amp;" ~*")&gt;0)+(COUNTIF(Y2558:Y2575,$B2578)+COUNTIF(Y2558:Y2575,$B2578&amp;" ~*")&gt;0))</f>
        <v/>
      </c>
      <c r="AC2578" s="38">
        <f>IF($B2578="","",(IFERROR(INDEX(Setup!$G$33:$G$40,MATCH(C2578,Setup!$B$33:$B$40,0)),0)=1)*(COUNTIF(C2558:E2575,$B2578)+COUNTIF(C2558:E2575,$B2578&amp;" ~*")&gt;0)+(IFERROR(INDEX(Setup!$G$33:$G$40,MATCH(G2578,Setup!$B$33:$B$40,0)),0)=1)*(COUNTIF(G2558:I2575,$B2578)+COUNTIF(G2558:I2575,$B2578&amp;" ~*")&gt;0)+(IFERROR(INDEX(Setup!$G$33:$G$40,MATCH(K2578,Setup!$B$33:$B$40,0)),0)=1)*(COUNTIF(K2558:M2575,$B2578)+COUNTIF(K2558:M2575,$B2578&amp;" ~*")&gt;0)+(IFERROR(INDEX(Setup!$G$33:$G$40,MATCH(O2578,Setup!$B$33:$B$40,0)),0)=1)*(COUNTIF(O2558:Q2575,$B2578)+COUNTIF(O2558:Q2575,$B2578&amp;" ~*")&gt;0)+(IFERROR(INDEX(Setup!$G$33:$G$40,MATCH(S2578,Setup!$B$33:$B$40,0)),0)=1)*(COUNTIF(S2558:U2575,$B2578)+COUNTIF(S2558:U2575,$B2578&amp;" ~*")&gt;0)+(IFERROR(INDEX(Setup!$G$33:$G$40,MATCH(W2578,Setup!$B$33:$B$40,0)),0)=1)*(COUNTIF(W2558:W2575,$B2578)+COUNTIF(W2558:W2575,$B2578&amp;" ~*")&gt;0)+(IFERROR(INDEX(Setup!$G$33:$G$40,MATCH(Y2578,Setup!$B$33:$B$40,0)),0)=1)*(COUNTIF(Y2558:Y2575,$B2578)+COUNTIF(Y2558:Y2575,$B2578&amp;" ~*")&gt;0))</f>
        <v/>
      </c>
    </row>
    <row r="2579" ht="15" customHeight="1">
      <c r="A2579" t="n">
        <v>52</v>
      </c>
      <c r="B2579" s="35">
        <f>IF(Setup!$B$8="","",Setup!$B$8)</f>
        <v/>
      </c>
      <c r="C2579" s="98" t="n"/>
      <c r="D2579" s="99" t="n"/>
      <c r="E2579" s="99" t="n"/>
      <c r="F2579" s="100" t="n"/>
      <c r="G2579" s="98" t="n"/>
      <c r="H2579" s="99" t="n"/>
      <c r="I2579" s="99" t="n"/>
      <c r="J2579" s="100" t="n"/>
      <c r="K2579" s="98" t="n"/>
      <c r="L2579" s="99" t="n"/>
      <c r="M2579" s="99" t="n"/>
      <c r="N2579" s="100" t="n"/>
      <c r="O2579" s="98" t="n"/>
      <c r="P2579" s="99" t="n"/>
      <c r="Q2579" s="99" t="n"/>
      <c r="R2579" s="100" t="n"/>
      <c r="S2579" s="98" t="n"/>
      <c r="T2579" s="99" t="n"/>
      <c r="U2579" s="99" t="n"/>
      <c r="V2579" s="100" t="n"/>
      <c r="W2579" s="98" t="n"/>
      <c r="X2579" s="100" t="n"/>
      <c r="Y2579" s="98" t="n"/>
      <c r="Z2579" s="100" t="n"/>
      <c r="AB2579" s="101">
        <f>IF($B2579="","",(COUNTIF(C2558:E2575,$B2579)+COUNTIF(C2558:E2575,$B2579&amp;" ~*")&gt;0)+(COUNTIF(G2558:I2575,$B2579)+COUNTIF(G2558:I2575,$B2579&amp;" ~*")&gt;0)+(COUNTIF(K2558:M2575,$B2579)+COUNTIF(K2558:M2575,$B2579&amp;" ~*")&gt;0)+(COUNTIF(O2558:Q2575,$B2579)+COUNTIF(O2558:Q2575,$B2579&amp;" ~*")&gt;0)+(COUNTIF(S2558:U2575,$B2579)+COUNTIF(S2558:U2575,$B2579&amp;" ~*")&gt;0)+(COUNTIF(W2558:W2575,$B2579)+COUNTIF(W2558:W2575,$B2579&amp;" ~*")&gt;0)+(COUNTIF(Y2558:Y2575,$B2579)+COUNTIF(Y2558:Y2575,$B2579&amp;" ~*")&gt;0))</f>
        <v/>
      </c>
      <c r="AC2579" s="36">
        <f>IF($B2579="","",(IFERROR(INDEX(Setup!$G$33:$G$40,MATCH(C2579,Setup!$B$33:$B$40,0)),0)=1)*(COUNTIF(C2558:E2575,$B2579)+COUNTIF(C2558:E2575,$B2579&amp;" ~*")&gt;0)+(IFERROR(INDEX(Setup!$G$33:$G$40,MATCH(G2579,Setup!$B$33:$B$40,0)),0)=1)*(COUNTIF(G2558:I2575,$B2579)+COUNTIF(G2558:I2575,$B2579&amp;" ~*")&gt;0)+(IFERROR(INDEX(Setup!$G$33:$G$40,MATCH(K2579,Setup!$B$33:$B$40,0)),0)=1)*(COUNTIF(K2558:M2575,$B2579)+COUNTIF(K2558:M2575,$B2579&amp;" ~*")&gt;0)+(IFERROR(INDEX(Setup!$G$33:$G$40,MATCH(O2579,Setup!$B$33:$B$40,0)),0)=1)*(COUNTIF(O2558:Q2575,$B2579)+COUNTIF(O2558:Q2575,$B2579&amp;" ~*")&gt;0)+(IFERROR(INDEX(Setup!$G$33:$G$40,MATCH(S2579,Setup!$B$33:$B$40,0)),0)=1)*(COUNTIF(S2558:U2575,$B2579)+COUNTIF(S2558:U2575,$B2579&amp;" ~*")&gt;0)+(IFERROR(INDEX(Setup!$G$33:$G$40,MATCH(W2579,Setup!$B$33:$B$40,0)),0)=1)*(COUNTIF(W2558:W2575,$B2579)+COUNTIF(W2558:W2575,$B2579&amp;" ~*")&gt;0)+(IFERROR(INDEX(Setup!$G$33:$G$40,MATCH(Y2579,Setup!$B$33:$B$40,0)),0)=1)*(COUNTIF(Y2558:Y2575,$B2579)+COUNTIF(Y2558:Y2575,$B2579&amp;" ~*")&gt;0))</f>
        <v/>
      </c>
    </row>
    <row r="2580" ht="15" customHeight="1">
      <c r="A2580" t="n">
        <v>52</v>
      </c>
      <c r="B2580" s="37">
        <f>IF(Setup!$B$9="","",Setup!$B$9)</f>
        <v/>
      </c>
      <c r="C2580" s="102" t="n"/>
      <c r="D2580" s="103" t="n"/>
      <c r="E2580" s="103" t="n"/>
      <c r="F2580" s="104" t="n"/>
      <c r="G2580" s="102" t="n"/>
      <c r="H2580" s="103" t="n"/>
      <c r="I2580" s="103" t="n"/>
      <c r="J2580" s="104" t="n"/>
      <c r="K2580" s="102" t="n"/>
      <c r="L2580" s="103" t="n"/>
      <c r="M2580" s="103" t="n"/>
      <c r="N2580" s="104" t="n"/>
      <c r="O2580" s="102" t="n"/>
      <c r="P2580" s="103" t="n"/>
      <c r="Q2580" s="103" t="n"/>
      <c r="R2580" s="104" t="n"/>
      <c r="S2580" s="102" t="n"/>
      <c r="T2580" s="103" t="n"/>
      <c r="U2580" s="103" t="n"/>
      <c r="V2580" s="104" t="n"/>
      <c r="W2580" s="102" t="n"/>
      <c r="X2580" s="104" t="n"/>
      <c r="Y2580" s="102" t="n"/>
      <c r="Z2580" s="104" t="n"/>
      <c r="AB2580" s="105">
        <f>IF($B2580="","",(COUNTIF(C2558:E2575,$B2580)+COUNTIF(C2558:E2575,$B2580&amp;" ~*")&gt;0)+(COUNTIF(G2558:I2575,$B2580)+COUNTIF(G2558:I2575,$B2580&amp;" ~*")&gt;0)+(COUNTIF(K2558:M2575,$B2580)+COUNTIF(K2558:M2575,$B2580&amp;" ~*")&gt;0)+(COUNTIF(O2558:Q2575,$B2580)+COUNTIF(O2558:Q2575,$B2580&amp;" ~*")&gt;0)+(COUNTIF(S2558:U2575,$B2580)+COUNTIF(S2558:U2575,$B2580&amp;" ~*")&gt;0)+(COUNTIF(W2558:W2575,$B2580)+COUNTIF(W2558:W2575,$B2580&amp;" ~*")&gt;0)+(COUNTIF(Y2558:Y2575,$B2580)+COUNTIF(Y2558:Y2575,$B2580&amp;" ~*")&gt;0))</f>
        <v/>
      </c>
      <c r="AC2580" s="38">
        <f>IF($B2580="","",(IFERROR(INDEX(Setup!$G$33:$G$40,MATCH(C2580,Setup!$B$33:$B$40,0)),0)=1)*(COUNTIF(C2558:E2575,$B2580)+COUNTIF(C2558:E2575,$B2580&amp;" ~*")&gt;0)+(IFERROR(INDEX(Setup!$G$33:$G$40,MATCH(G2580,Setup!$B$33:$B$40,0)),0)=1)*(COUNTIF(G2558:I2575,$B2580)+COUNTIF(G2558:I2575,$B2580&amp;" ~*")&gt;0)+(IFERROR(INDEX(Setup!$G$33:$G$40,MATCH(K2580,Setup!$B$33:$B$40,0)),0)=1)*(COUNTIF(K2558:M2575,$B2580)+COUNTIF(K2558:M2575,$B2580&amp;" ~*")&gt;0)+(IFERROR(INDEX(Setup!$G$33:$G$40,MATCH(O2580,Setup!$B$33:$B$40,0)),0)=1)*(COUNTIF(O2558:Q2575,$B2580)+COUNTIF(O2558:Q2575,$B2580&amp;" ~*")&gt;0)+(IFERROR(INDEX(Setup!$G$33:$G$40,MATCH(S2580,Setup!$B$33:$B$40,0)),0)=1)*(COUNTIF(S2558:U2575,$B2580)+COUNTIF(S2558:U2575,$B2580&amp;" ~*")&gt;0)+(IFERROR(INDEX(Setup!$G$33:$G$40,MATCH(W2580,Setup!$B$33:$B$40,0)),0)=1)*(COUNTIF(W2558:W2575,$B2580)+COUNTIF(W2558:W2575,$B2580&amp;" ~*")&gt;0)+(IFERROR(INDEX(Setup!$G$33:$G$40,MATCH(Y2580,Setup!$B$33:$B$40,0)),0)=1)*(COUNTIF(Y2558:Y2575,$B2580)+COUNTIF(Y2558:Y2575,$B2580&amp;" ~*")&gt;0))</f>
        <v/>
      </c>
    </row>
    <row r="2581" ht="15" customHeight="1">
      <c r="A2581" t="n">
        <v>52</v>
      </c>
      <c r="B2581" s="35">
        <f>IF(Setup!$B$10="","",Setup!$B$10)</f>
        <v/>
      </c>
      <c r="C2581" s="98" t="n"/>
      <c r="D2581" s="99" t="n"/>
      <c r="E2581" s="99" t="n"/>
      <c r="F2581" s="100" t="n"/>
      <c r="G2581" s="98" t="n"/>
      <c r="H2581" s="99" t="n"/>
      <c r="I2581" s="99" t="n"/>
      <c r="J2581" s="100" t="n"/>
      <c r="K2581" s="98" t="n"/>
      <c r="L2581" s="99" t="n"/>
      <c r="M2581" s="99" t="n"/>
      <c r="N2581" s="100" t="n"/>
      <c r="O2581" s="98" t="n"/>
      <c r="P2581" s="99" t="n"/>
      <c r="Q2581" s="99" t="n"/>
      <c r="R2581" s="100" t="n"/>
      <c r="S2581" s="98" t="n"/>
      <c r="T2581" s="99" t="n"/>
      <c r="U2581" s="99" t="n"/>
      <c r="V2581" s="100" t="n"/>
      <c r="W2581" s="98" t="n"/>
      <c r="X2581" s="100" t="n"/>
      <c r="Y2581" s="98" t="n"/>
      <c r="Z2581" s="100" t="n"/>
      <c r="AB2581" s="101">
        <f>IF($B2581="","",(COUNTIF(C2558:E2575,$B2581)+COUNTIF(C2558:E2575,$B2581&amp;" ~*")&gt;0)+(COUNTIF(G2558:I2575,$B2581)+COUNTIF(G2558:I2575,$B2581&amp;" ~*")&gt;0)+(COUNTIF(K2558:M2575,$B2581)+COUNTIF(K2558:M2575,$B2581&amp;" ~*")&gt;0)+(COUNTIF(O2558:Q2575,$B2581)+COUNTIF(O2558:Q2575,$B2581&amp;" ~*")&gt;0)+(COUNTIF(S2558:U2575,$B2581)+COUNTIF(S2558:U2575,$B2581&amp;" ~*")&gt;0)+(COUNTIF(W2558:W2575,$B2581)+COUNTIF(W2558:W2575,$B2581&amp;" ~*")&gt;0)+(COUNTIF(Y2558:Y2575,$B2581)+COUNTIF(Y2558:Y2575,$B2581&amp;" ~*")&gt;0))</f>
        <v/>
      </c>
      <c r="AC2581" s="36">
        <f>IF($B2581="","",(IFERROR(INDEX(Setup!$G$33:$G$40,MATCH(C2581,Setup!$B$33:$B$40,0)),0)=1)*(COUNTIF(C2558:E2575,$B2581)+COUNTIF(C2558:E2575,$B2581&amp;" ~*")&gt;0)+(IFERROR(INDEX(Setup!$G$33:$G$40,MATCH(G2581,Setup!$B$33:$B$40,0)),0)=1)*(COUNTIF(G2558:I2575,$B2581)+COUNTIF(G2558:I2575,$B2581&amp;" ~*")&gt;0)+(IFERROR(INDEX(Setup!$G$33:$G$40,MATCH(K2581,Setup!$B$33:$B$40,0)),0)=1)*(COUNTIF(K2558:M2575,$B2581)+COUNTIF(K2558:M2575,$B2581&amp;" ~*")&gt;0)+(IFERROR(INDEX(Setup!$G$33:$G$40,MATCH(O2581,Setup!$B$33:$B$40,0)),0)=1)*(COUNTIF(O2558:Q2575,$B2581)+COUNTIF(O2558:Q2575,$B2581&amp;" ~*")&gt;0)+(IFERROR(INDEX(Setup!$G$33:$G$40,MATCH(S2581,Setup!$B$33:$B$40,0)),0)=1)*(COUNTIF(S2558:U2575,$B2581)+COUNTIF(S2558:U2575,$B2581&amp;" ~*")&gt;0)+(IFERROR(INDEX(Setup!$G$33:$G$40,MATCH(W2581,Setup!$B$33:$B$40,0)),0)=1)*(COUNTIF(W2558:W2575,$B2581)+COUNTIF(W2558:W2575,$B2581&amp;" ~*")&gt;0)+(IFERROR(INDEX(Setup!$G$33:$G$40,MATCH(Y2581,Setup!$B$33:$B$40,0)),0)=1)*(COUNTIF(Y2558:Y2575,$B2581)+COUNTIF(Y2558:Y2575,$B2581&amp;" ~*")&gt;0))</f>
        <v/>
      </c>
    </row>
    <row r="2582" ht="15" customHeight="1">
      <c r="A2582" t="n">
        <v>52</v>
      </c>
      <c r="B2582" s="37">
        <f>IF(Setup!$B$11="","",Setup!$B$11)</f>
        <v/>
      </c>
      <c r="C2582" s="102" t="n"/>
      <c r="D2582" s="103" t="n"/>
      <c r="E2582" s="103" t="n"/>
      <c r="F2582" s="104" t="n"/>
      <c r="G2582" s="102" t="n"/>
      <c r="H2582" s="103" t="n"/>
      <c r="I2582" s="103" t="n"/>
      <c r="J2582" s="104" t="n"/>
      <c r="K2582" s="102" t="n"/>
      <c r="L2582" s="103" t="n"/>
      <c r="M2582" s="103" t="n"/>
      <c r="N2582" s="104" t="n"/>
      <c r="O2582" s="102" t="n"/>
      <c r="P2582" s="103" t="n"/>
      <c r="Q2582" s="103" t="n"/>
      <c r="R2582" s="104" t="n"/>
      <c r="S2582" s="102" t="n"/>
      <c r="T2582" s="103" t="n"/>
      <c r="U2582" s="103" t="n"/>
      <c r="V2582" s="104" t="n"/>
      <c r="W2582" s="102" t="n"/>
      <c r="X2582" s="104" t="n"/>
      <c r="Y2582" s="102" t="n"/>
      <c r="Z2582" s="104" t="n"/>
      <c r="AB2582" s="105">
        <f>IF($B2582="","",(COUNTIF(C2558:E2575,$B2582)+COUNTIF(C2558:E2575,$B2582&amp;" ~*")&gt;0)+(COUNTIF(G2558:I2575,$B2582)+COUNTIF(G2558:I2575,$B2582&amp;" ~*")&gt;0)+(COUNTIF(K2558:M2575,$B2582)+COUNTIF(K2558:M2575,$B2582&amp;" ~*")&gt;0)+(COUNTIF(O2558:Q2575,$B2582)+COUNTIF(O2558:Q2575,$B2582&amp;" ~*")&gt;0)+(COUNTIF(S2558:U2575,$B2582)+COUNTIF(S2558:U2575,$B2582&amp;" ~*")&gt;0)+(COUNTIF(W2558:W2575,$B2582)+COUNTIF(W2558:W2575,$B2582&amp;" ~*")&gt;0)+(COUNTIF(Y2558:Y2575,$B2582)+COUNTIF(Y2558:Y2575,$B2582&amp;" ~*")&gt;0))</f>
        <v/>
      </c>
      <c r="AC2582" s="38">
        <f>IF($B2582="","",(IFERROR(INDEX(Setup!$G$33:$G$40,MATCH(C2582,Setup!$B$33:$B$40,0)),0)=1)*(COUNTIF(C2558:E2575,$B2582)+COUNTIF(C2558:E2575,$B2582&amp;" ~*")&gt;0)+(IFERROR(INDEX(Setup!$G$33:$G$40,MATCH(G2582,Setup!$B$33:$B$40,0)),0)=1)*(COUNTIF(G2558:I2575,$B2582)+COUNTIF(G2558:I2575,$B2582&amp;" ~*")&gt;0)+(IFERROR(INDEX(Setup!$G$33:$G$40,MATCH(K2582,Setup!$B$33:$B$40,0)),0)=1)*(COUNTIF(K2558:M2575,$B2582)+COUNTIF(K2558:M2575,$B2582&amp;" ~*")&gt;0)+(IFERROR(INDEX(Setup!$G$33:$G$40,MATCH(O2582,Setup!$B$33:$B$40,0)),0)=1)*(COUNTIF(O2558:Q2575,$B2582)+COUNTIF(O2558:Q2575,$B2582&amp;" ~*")&gt;0)+(IFERROR(INDEX(Setup!$G$33:$G$40,MATCH(S2582,Setup!$B$33:$B$40,0)),0)=1)*(COUNTIF(S2558:U2575,$B2582)+COUNTIF(S2558:U2575,$B2582&amp;" ~*")&gt;0)+(IFERROR(INDEX(Setup!$G$33:$G$40,MATCH(W2582,Setup!$B$33:$B$40,0)),0)=1)*(COUNTIF(W2558:W2575,$B2582)+COUNTIF(W2558:W2575,$B2582&amp;" ~*")&gt;0)+(IFERROR(INDEX(Setup!$G$33:$G$40,MATCH(Y2582,Setup!$B$33:$B$40,0)),0)=1)*(COUNTIF(Y2558:Y2575,$B2582)+COUNTIF(Y2558:Y2575,$B2582&amp;" ~*")&gt;0))</f>
        <v/>
      </c>
    </row>
    <row r="2583" ht="15" customHeight="1">
      <c r="A2583" t="n">
        <v>52</v>
      </c>
      <c r="B2583" s="35">
        <f>IF(Setup!$B$12="","",Setup!$B$12)</f>
        <v/>
      </c>
      <c r="C2583" s="98" t="n"/>
      <c r="D2583" s="99" t="n"/>
      <c r="E2583" s="99" t="n"/>
      <c r="F2583" s="100" t="n"/>
      <c r="G2583" s="98" t="n"/>
      <c r="H2583" s="99" t="n"/>
      <c r="I2583" s="99" t="n"/>
      <c r="J2583" s="100" t="n"/>
      <c r="K2583" s="98" t="n"/>
      <c r="L2583" s="99" t="n"/>
      <c r="M2583" s="99" t="n"/>
      <c r="N2583" s="100" t="n"/>
      <c r="O2583" s="98" t="n"/>
      <c r="P2583" s="99" t="n"/>
      <c r="Q2583" s="99" t="n"/>
      <c r="R2583" s="100" t="n"/>
      <c r="S2583" s="98" t="n"/>
      <c r="T2583" s="99" t="n"/>
      <c r="U2583" s="99" t="n"/>
      <c r="V2583" s="100" t="n"/>
      <c r="W2583" s="98" t="n"/>
      <c r="X2583" s="100" t="n"/>
      <c r="Y2583" s="98" t="n"/>
      <c r="Z2583" s="100" t="n"/>
      <c r="AB2583" s="101">
        <f>IF($B2583="","",(COUNTIF(C2558:E2575,$B2583)+COUNTIF(C2558:E2575,$B2583&amp;" ~*")&gt;0)+(COUNTIF(G2558:I2575,$B2583)+COUNTIF(G2558:I2575,$B2583&amp;" ~*")&gt;0)+(COUNTIF(K2558:M2575,$B2583)+COUNTIF(K2558:M2575,$B2583&amp;" ~*")&gt;0)+(COUNTIF(O2558:Q2575,$B2583)+COUNTIF(O2558:Q2575,$B2583&amp;" ~*")&gt;0)+(COUNTIF(S2558:U2575,$B2583)+COUNTIF(S2558:U2575,$B2583&amp;" ~*")&gt;0)+(COUNTIF(W2558:W2575,$B2583)+COUNTIF(W2558:W2575,$B2583&amp;" ~*")&gt;0)+(COUNTIF(Y2558:Y2575,$B2583)+COUNTIF(Y2558:Y2575,$B2583&amp;" ~*")&gt;0))</f>
        <v/>
      </c>
      <c r="AC2583" s="36">
        <f>IF($B2583="","",(IFERROR(INDEX(Setup!$G$33:$G$40,MATCH(C2583,Setup!$B$33:$B$40,0)),0)=1)*(COUNTIF(C2558:E2575,$B2583)+COUNTIF(C2558:E2575,$B2583&amp;" ~*")&gt;0)+(IFERROR(INDEX(Setup!$G$33:$G$40,MATCH(G2583,Setup!$B$33:$B$40,0)),0)=1)*(COUNTIF(G2558:I2575,$B2583)+COUNTIF(G2558:I2575,$B2583&amp;" ~*")&gt;0)+(IFERROR(INDEX(Setup!$G$33:$G$40,MATCH(K2583,Setup!$B$33:$B$40,0)),0)=1)*(COUNTIF(K2558:M2575,$B2583)+COUNTIF(K2558:M2575,$B2583&amp;" ~*")&gt;0)+(IFERROR(INDEX(Setup!$G$33:$G$40,MATCH(O2583,Setup!$B$33:$B$40,0)),0)=1)*(COUNTIF(O2558:Q2575,$B2583)+COUNTIF(O2558:Q2575,$B2583&amp;" ~*")&gt;0)+(IFERROR(INDEX(Setup!$G$33:$G$40,MATCH(S2583,Setup!$B$33:$B$40,0)),0)=1)*(COUNTIF(S2558:U2575,$B2583)+COUNTIF(S2558:U2575,$B2583&amp;" ~*")&gt;0)+(IFERROR(INDEX(Setup!$G$33:$G$40,MATCH(W2583,Setup!$B$33:$B$40,0)),0)=1)*(COUNTIF(W2558:W2575,$B2583)+COUNTIF(W2558:W2575,$B2583&amp;" ~*")&gt;0)+(IFERROR(INDEX(Setup!$G$33:$G$40,MATCH(Y2583,Setup!$B$33:$B$40,0)),0)=1)*(COUNTIF(Y2558:Y2575,$B2583)+COUNTIF(Y2558:Y2575,$B2583&amp;" ~*")&gt;0))</f>
        <v/>
      </c>
    </row>
    <row r="2584" ht="15" customHeight="1">
      <c r="A2584" t="n">
        <v>52</v>
      </c>
      <c r="B2584" s="37">
        <f>IF(Setup!$B$13="","",Setup!$B$13)</f>
        <v/>
      </c>
      <c r="C2584" s="102" t="n"/>
      <c r="D2584" s="103" t="n"/>
      <c r="E2584" s="103" t="n"/>
      <c r="F2584" s="104" t="n"/>
      <c r="G2584" s="102" t="n"/>
      <c r="H2584" s="103" t="n"/>
      <c r="I2584" s="103" t="n"/>
      <c r="J2584" s="104" t="n"/>
      <c r="K2584" s="102" t="n"/>
      <c r="L2584" s="103" t="n"/>
      <c r="M2584" s="103" t="n"/>
      <c r="N2584" s="104" t="n"/>
      <c r="O2584" s="102" t="n"/>
      <c r="P2584" s="103" t="n"/>
      <c r="Q2584" s="103" t="n"/>
      <c r="R2584" s="104" t="n"/>
      <c r="S2584" s="102" t="n"/>
      <c r="T2584" s="103" t="n"/>
      <c r="U2584" s="103" t="n"/>
      <c r="V2584" s="104" t="n"/>
      <c r="W2584" s="102" t="n"/>
      <c r="X2584" s="104" t="n"/>
      <c r="Y2584" s="102" t="n"/>
      <c r="Z2584" s="104" t="n"/>
      <c r="AB2584" s="105">
        <f>IF($B2584="","",(COUNTIF(C2558:E2575,$B2584)+COUNTIF(C2558:E2575,$B2584&amp;" ~*")&gt;0)+(COUNTIF(G2558:I2575,$B2584)+COUNTIF(G2558:I2575,$B2584&amp;" ~*")&gt;0)+(COUNTIF(K2558:M2575,$B2584)+COUNTIF(K2558:M2575,$B2584&amp;" ~*")&gt;0)+(COUNTIF(O2558:Q2575,$B2584)+COUNTIF(O2558:Q2575,$B2584&amp;" ~*")&gt;0)+(COUNTIF(S2558:U2575,$B2584)+COUNTIF(S2558:U2575,$B2584&amp;" ~*")&gt;0)+(COUNTIF(W2558:W2575,$B2584)+COUNTIF(W2558:W2575,$B2584&amp;" ~*")&gt;0)+(COUNTIF(Y2558:Y2575,$B2584)+COUNTIF(Y2558:Y2575,$B2584&amp;" ~*")&gt;0))</f>
        <v/>
      </c>
      <c r="AC2584" s="38">
        <f>IF($B2584="","",(IFERROR(INDEX(Setup!$G$33:$G$40,MATCH(C2584,Setup!$B$33:$B$40,0)),0)=1)*(COUNTIF(C2558:E2575,$B2584)+COUNTIF(C2558:E2575,$B2584&amp;" ~*")&gt;0)+(IFERROR(INDEX(Setup!$G$33:$G$40,MATCH(G2584,Setup!$B$33:$B$40,0)),0)=1)*(COUNTIF(G2558:I2575,$B2584)+COUNTIF(G2558:I2575,$B2584&amp;" ~*")&gt;0)+(IFERROR(INDEX(Setup!$G$33:$G$40,MATCH(K2584,Setup!$B$33:$B$40,0)),0)=1)*(COUNTIF(K2558:M2575,$B2584)+COUNTIF(K2558:M2575,$B2584&amp;" ~*")&gt;0)+(IFERROR(INDEX(Setup!$G$33:$G$40,MATCH(O2584,Setup!$B$33:$B$40,0)),0)=1)*(COUNTIF(O2558:Q2575,$B2584)+COUNTIF(O2558:Q2575,$B2584&amp;" ~*")&gt;0)+(IFERROR(INDEX(Setup!$G$33:$G$40,MATCH(S2584,Setup!$B$33:$B$40,0)),0)=1)*(COUNTIF(S2558:U2575,$B2584)+COUNTIF(S2558:U2575,$B2584&amp;" ~*")&gt;0)+(IFERROR(INDEX(Setup!$G$33:$G$40,MATCH(W2584,Setup!$B$33:$B$40,0)),0)=1)*(COUNTIF(W2558:W2575,$B2584)+COUNTIF(W2558:W2575,$B2584&amp;" ~*")&gt;0)+(IFERROR(INDEX(Setup!$G$33:$G$40,MATCH(Y2584,Setup!$B$33:$B$40,0)),0)=1)*(COUNTIF(Y2558:Y2575,$B2584)+COUNTIF(Y2558:Y2575,$B2584&amp;" ~*")&gt;0))</f>
        <v/>
      </c>
    </row>
    <row r="2585" ht="15" customHeight="1">
      <c r="A2585" t="n">
        <v>52</v>
      </c>
      <c r="B2585" s="35">
        <f>IF(Setup!$B$14="","",Setup!$B$14)</f>
        <v/>
      </c>
      <c r="C2585" s="98" t="n"/>
      <c r="D2585" s="99" t="n"/>
      <c r="E2585" s="99" t="n"/>
      <c r="F2585" s="100" t="n"/>
      <c r="G2585" s="98" t="n"/>
      <c r="H2585" s="99" t="n"/>
      <c r="I2585" s="99" t="n"/>
      <c r="J2585" s="100" t="n"/>
      <c r="K2585" s="98" t="n"/>
      <c r="L2585" s="99" t="n"/>
      <c r="M2585" s="99" t="n"/>
      <c r="N2585" s="100" t="n"/>
      <c r="O2585" s="98" t="n"/>
      <c r="P2585" s="99" t="n"/>
      <c r="Q2585" s="99" t="n"/>
      <c r="R2585" s="100" t="n"/>
      <c r="S2585" s="98" t="n"/>
      <c r="T2585" s="99" t="n"/>
      <c r="U2585" s="99" t="n"/>
      <c r="V2585" s="100" t="n"/>
      <c r="W2585" s="98" t="n"/>
      <c r="X2585" s="100" t="n"/>
      <c r="Y2585" s="98" t="n"/>
      <c r="Z2585" s="100" t="n"/>
      <c r="AB2585" s="101">
        <f>IF($B2585="","",(COUNTIF(C2558:E2575,$B2585)+COUNTIF(C2558:E2575,$B2585&amp;" ~*")&gt;0)+(COUNTIF(G2558:I2575,$B2585)+COUNTIF(G2558:I2575,$B2585&amp;" ~*")&gt;0)+(COUNTIF(K2558:M2575,$B2585)+COUNTIF(K2558:M2575,$B2585&amp;" ~*")&gt;0)+(COUNTIF(O2558:Q2575,$B2585)+COUNTIF(O2558:Q2575,$B2585&amp;" ~*")&gt;0)+(COUNTIF(S2558:U2575,$B2585)+COUNTIF(S2558:U2575,$B2585&amp;" ~*")&gt;0)+(COUNTIF(W2558:W2575,$B2585)+COUNTIF(W2558:W2575,$B2585&amp;" ~*")&gt;0)+(COUNTIF(Y2558:Y2575,$B2585)+COUNTIF(Y2558:Y2575,$B2585&amp;" ~*")&gt;0))</f>
        <v/>
      </c>
      <c r="AC2585" s="36">
        <f>IF($B2585="","",(IFERROR(INDEX(Setup!$G$33:$G$40,MATCH(C2585,Setup!$B$33:$B$40,0)),0)=1)*(COUNTIF(C2558:E2575,$B2585)+COUNTIF(C2558:E2575,$B2585&amp;" ~*")&gt;0)+(IFERROR(INDEX(Setup!$G$33:$G$40,MATCH(G2585,Setup!$B$33:$B$40,0)),0)=1)*(COUNTIF(G2558:I2575,$B2585)+COUNTIF(G2558:I2575,$B2585&amp;" ~*")&gt;0)+(IFERROR(INDEX(Setup!$G$33:$G$40,MATCH(K2585,Setup!$B$33:$B$40,0)),0)=1)*(COUNTIF(K2558:M2575,$B2585)+COUNTIF(K2558:M2575,$B2585&amp;" ~*")&gt;0)+(IFERROR(INDEX(Setup!$G$33:$G$40,MATCH(O2585,Setup!$B$33:$B$40,0)),0)=1)*(COUNTIF(O2558:Q2575,$B2585)+COUNTIF(O2558:Q2575,$B2585&amp;" ~*")&gt;0)+(IFERROR(INDEX(Setup!$G$33:$G$40,MATCH(S2585,Setup!$B$33:$B$40,0)),0)=1)*(COUNTIF(S2558:U2575,$B2585)+COUNTIF(S2558:U2575,$B2585&amp;" ~*")&gt;0)+(IFERROR(INDEX(Setup!$G$33:$G$40,MATCH(W2585,Setup!$B$33:$B$40,0)),0)=1)*(COUNTIF(W2558:W2575,$B2585)+COUNTIF(W2558:W2575,$B2585&amp;" ~*")&gt;0)+(IFERROR(INDEX(Setup!$G$33:$G$40,MATCH(Y2585,Setup!$B$33:$B$40,0)),0)=1)*(COUNTIF(Y2558:Y2575,$B2585)+COUNTIF(Y2558:Y2575,$B2585&amp;" ~*")&gt;0))</f>
        <v/>
      </c>
    </row>
    <row r="2586" ht="15" customHeight="1">
      <c r="A2586" t="n">
        <v>52</v>
      </c>
      <c r="B2586" s="37">
        <f>IF(Setup!$B$15="","",Setup!$B$15)</f>
        <v/>
      </c>
      <c r="C2586" s="102" t="n"/>
      <c r="D2586" s="103" t="n"/>
      <c r="E2586" s="103" t="n"/>
      <c r="F2586" s="104" t="n"/>
      <c r="G2586" s="102" t="n"/>
      <c r="H2586" s="103" t="n"/>
      <c r="I2586" s="103" t="n"/>
      <c r="J2586" s="104" t="n"/>
      <c r="K2586" s="102" t="n"/>
      <c r="L2586" s="103" t="n"/>
      <c r="M2586" s="103" t="n"/>
      <c r="N2586" s="104" t="n"/>
      <c r="O2586" s="102" t="n"/>
      <c r="P2586" s="103" t="n"/>
      <c r="Q2586" s="103" t="n"/>
      <c r="R2586" s="104" t="n"/>
      <c r="S2586" s="102" t="n"/>
      <c r="T2586" s="103" t="n"/>
      <c r="U2586" s="103" t="n"/>
      <c r="V2586" s="104" t="n"/>
      <c r="W2586" s="102" t="n"/>
      <c r="X2586" s="104" t="n"/>
      <c r="Y2586" s="102" t="n"/>
      <c r="Z2586" s="104" t="n"/>
      <c r="AB2586" s="105">
        <f>IF($B2586="","",(COUNTIF(C2558:E2575,$B2586)+COUNTIF(C2558:E2575,$B2586&amp;" ~*")&gt;0)+(COUNTIF(G2558:I2575,$B2586)+COUNTIF(G2558:I2575,$B2586&amp;" ~*")&gt;0)+(COUNTIF(K2558:M2575,$B2586)+COUNTIF(K2558:M2575,$B2586&amp;" ~*")&gt;0)+(COUNTIF(O2558:Q2575,$B2586)+COUNTIF(O2558:Q2575,$B2586&amp;" ~*")&gt;0)+(COUNTIF(S2558:U2575,$B2586)+COUNTIF(S2558:U2575,$B2586&amp;" ~*")&gt;0)+(COUNTIF(W2558:W2575,$B2586)+COUNTIF(W2558:W2575,$B2586&amp;" ~*")&gt;0)+(COUNTIF(Y2558:Y2575,$B2586)+COUNTIF(Y2558:Y2575,$B2586&amp;" ~*")&gt;0))</f>
        <v/>
      </c>
      <c r="AC2586" s="38">
        <f>IF($B2586="","",(IFERROR(INDEX(Setup!$G$33:$G$40,MATCH(C2586,Setup!$B$33:$B$40,0)),0)=1)*(COUNTIF(C2558:E2575,$B2586)+COUNTIF(C2558:E2575,$B2586&amp;" ~*")&gt;0)+(IFERROR(INDEX(Setup!$G$33:$G$40,MATCH(G2586,Setup!$B$33:$B$40,0)),0)=1)*(COUNTIF(G2558:I2575,$B2586)+COUNTIF(G2558:I2575,$B2586&amp;" ~*")&gt;0)+(IFERROR(INDEX(Setup!$G$33:$G$40,MATCH(K2586,Setup!$B$33:$B$40,0)),0)=1)*(COUNTIF(K2558:M2575,$B2586)+COUNTIF(K2558:M2575,$B2586&amp;" ~*")&gt;0)+(IFERROR(INDEX(Setup!$G$33:$G$40,MATCH(O2586,Setup!$B$33:$B$40,0)),0)=1)*(COUNTIF(O2558:Q2575,$B2586)+COUNTIF(O2558:Q2575,$B2586&amp;" ~*")&gt;0)+(IFERROR(INDEX(Setup!$G$33:$G$40,MATCH(S2586,Setup!$B$33:$B$40,0)),0)=1)*(COUNTIF(S2558:U2575,$B2586)+COUNTIF(S2558:U2575,$B2586&amp;" ~*")&gt;0)+(IFERROR(INDEX(Setup!$G$33:$G$40,MATCH(W2586,Setup!$B$33:$B$40,0)),0)=1)*(COUNTIF(W2558:W2575,$B2586)+COUNTIF(W2558:W2575,$B2586&amp;" ~*")&gt;0)+(IFERROR(INDEX(Setup!$G$33:$G$40,MATCH(Y2586,Setup!$B$33:$B$40,0)),0)=1)*(COUNTIF(Y2558:Y2575,$B2586)+COUNTIF(Y2558:Y2575,$B2586&amp;" ~*")&gt;0))</f>
        <v/>
      </c>
    </row>
    <row r="2587" ht="15" customHeight="1">
      <c r="A2587" t="n">
        <v>52</v>
      </c>
      <c r="B2587" s="35">
        <f>IF(Setup!$B$16="","",Setup!$B$16)</f>
        <v/>
      </c>
      <c r="C2587" s="98" t="n"/>
      <c r="D2587" s="99" t="n"/>
      <c r="E2587" s="99" t="n"/>
      <c r="F2587" s="100" t="n"/>
      <c r="G2587" s="98" t="n"/>
      <c r="H2587" s="99" t="n"/>
      <c r="I2587" s="99" t="n"/>
      <c r="J2587" s="100" t="n"/>
      <c r="K2587" s="98" t="n"/>
      <c r="L2587" s="99" t="n"/>
      <c r="M2587" s="99" t="n"/>
      <c r="N2587" s="100" t="n"/>
      <c r="O2587" s="98" t="n"/>
      <c r="P2587" s="99" t="n"/>
      <c r="Q2587" s="99" t="n"/>
      <c r="R2587" s="100" t="n"/>
      <c r="S2587" s="98" t="n"/>
      <c r="T2587" s="99" t="n"/>
      <c r="U2587" s="99" t="n"/>
      <c r="V2587" s="100" t="n"/>
      <c r="W2587" s="98" t="n"/>
      <c r="X2587" s="100" t="n"/>
      <c r="Y2587" s="98" t="n"/>
      <c r="Z2587" s="100" t="n"/>
      <c r="AB2587" s="101">
        <f>IF($B2587="","",(COUNTIF(C2558:E2575,$B2587)+COUNTIF(C2558:E2575,$B2587&amp;" ~*")&gt;0)+(COUNTIF(G2558:I2575,$B2587)+COUNTIF(G2558:I2575,$B2587&amp;" ~*")&gt;0)+(COUNTIF(K2558:M2575,$B2587)+COUNTIF(K2558:M2575,$B2587&amp;" ~*")&gt;0)+(COUNTIF(O2558:Q2575,$B2587)+COUNTIF(O2558:Q2575,$B2587&amp;" ~*")&gt;0)+(COUNTIF(S2558:U2575,$B2587)+COUNTIF(S2558:U2575,$B2587&amp;" ~*")&gt;0)+(COUNTIF(W2558:W2575,$B2587)+COUNTIF(W2558:W2575,$B2587&amp;" ~*")&gt;0)+(COUNTIF(Y2558:Y2575,$B2587)+COUNTIF(Y2558:Y2575,$B2587&amp;" ~*")&gt;0))</f>
        <v/>
      </c>
      <c r="AC2587" s="36">
        <f>IF($B2587="","",(IFERROR(INDEX(Setup!$G$33:$G$40,MATCH(C2587,Setup!$B$33:$B$40,0)),0)=1)*(COUNTIF(C2558:E2575,$B2587)+COUNTIF(C2558:E2575,$B2587&amp;" ~*")&gt;0)+(IFERROR(INDEX(Setup!$G$33:$G$40,MATCH(G2587,Setup!$B$33:$B$40,0)),0)=1)*(COUNTIF(G2558:I2575,$B2587)+COUNTIF(G2558:I2575,$B2587&amp;" ~*")&gt;0)+(IFERROR(INDEX(Setup!$G$33:$G$40,MATCH(K2587,Setup!$B$33:$B$40,0)),0)=1)*(COUNTIF(K2558:M2575,$B2587)+COUNTIF(K2558:M2575,$B2587&amp;" ~*")&gt;0)+(IFERROR(INDEX(Setup!$G$33:$G$40,MATCH(O2587,Setup!$B$33:$B$40,0)),0)=1)*(COUNTIF(O2558:Q2575,$B2587)+COUNTIF(O2558:Q2575,$B2587&amp;" ~*")&gt;0)+(IFERROR(INDEX(Setup!$G$33:$G$40,MATCH(S2587,Setup!$B$33:$B$40,0)),0)=1)*(COUNTIF(S2558:U2575,$B2587)+COUNTIF(S2558:U2575,$B2587&amp;" ~*")&gt;0)+(IFERROR(INDEX(Setup!$G$33:$G$40,MATCH(W2587,Setup!$B$33:$B$40,0)),0)=1)*(COUNTIF(W2558:W2575,$B2587)+COUNTIF(W2558:W2575,$B2587&amp;" ~*")&gt;0)+(IFERROR(INDEX(Setup!$G$33:$G$40,MATCH(Y2587,Setup!$B$33:$B$40,0)),0)=1)*(COUNTIF(Y2558:Y2575,$B2587)+COUNTIF(Y2558:Y2575,$B2587&amp;" ~*")&gt;0))</f>
        <v/>
      </c>
    </row>
    <row r="2588" ht="15" customHeight="1">
      <c r="A2588" t="n">
        <v>52</v>
      </c>
      <c r="B2588" s="37">
        <f>IF(Setup!$B$17="","",Setup!$B$17)</f>
        <v/>
      </c>
      <c r="C2588" s="102" t="n"/>
      <c r="D2588" s="103" t="n"/>
      <c r="E2588" s="103" t="n"/>
      <c r="F2588" s="104" t="n"/>
      <c r="G2588" s="102" t="n"/>
      <c r="H2588" s="103" t="n"/>
      <c r="I2588" s="103" t="n"/>
      <c r="J2588" s="104" t="n"/>
      <c r="K2588" s="102" t="n"/>
      <c r="L2588" s="103" t="n"/>
      <c r="M2588" s="103" t="n"/>
      <c r="N2588" s="104" t="n"/>
      <c r="O2588" s="102" t="n"/>
      <c r="P2588" s="103" t="n"/>
      <c r="Q2588" s="103" t="n"/>
      <c r="R2588" s="104" t="n"/>
      <c r="S2588" s="102" t="n"/>
      <c r="T2588" s="103" t="n"/>
      <c r="U2588" s="103" t="n"/>
      <c r="V2588" s="104" t="n"/>
      <c r="W2588" s="102" t="n"/>
      <c r="X2588" s="104" t="n"/>
      <c r="Y2588" s="102" t="n"/>
      <c r="Z2588" s="104" t="n"/>
      <c r="AB2588" s="105">
        <f>IF($B2588="","",(COUNTIF(C2558:E2575,$B2588)+COUNTIF(C2558:E2575,$B2588&amp;" ~*")&gt;0)+(COUNTIF(G2558:I2575,$B2588)+COUNTIF(G2558:I2575,$B2588&amp;" ~*")&gt;0)+(COUNTIF(K2558:M2575,$B2588)+COUNTIF(K2558:M2575,$B2588&amp;" ~*")&gt;0)+(COUNTIF(O2558:Q2575,$B2588)+COUNTIF(O2558:Q2575,$B2588&amp;" ~*")&gt;0)+(COUNTIF(S2558:U2575,$B2588)+COUNTIF(S2558:U2575,$B2588&amp;" ~*")&gt;0)+(COUNTIF(W2558:W2575,$B2588)+COUNTIF(W2558:W2575,$B2588&amp;" ~*")&gt;0)+(COUNTIF(Y2558:Y2575,$B2588)+COUNTIF(Y2558:Y2575,$B2588&amp;" ~*")&gt;0))</f>
        <v/>
      </c>
      <c r="AC2588" s="38">
        <f>IF($B2588="","",(IFERROR(INDEX(Setup!$G$33:$G$40,MATCH(C2588,Setup!$B$33:$B$40,0)),0)=1)*(COUNTIF(C2558:E2575,$B2588)+COUNTIF(C2558:E2575,$B2588&amp;" ~*")&gt;0)+(IFERROR(INDEX(Setup!$G$33:$G$40,MATCH(G2588,Setup!$B$33:$B$40,0)),0)=1)*(COUNTIF(G2558:I2575,$B2588)+COUNTIF(G2558:I2575,$B2588&amp;" ~*")&gt;0)+(IFERROR(INDEX(Setup!$G$33:$G$40,MATCH(K2588,Setup!$B$33:$B$40,0)),0)=1)*(COUNTIF(K2558:M2575,$B2588)+COUNTIF(K2558:M2575,$B2588&amp;" ~*")&gt;0)+(IFERROR(INDEX(Setup!$G$33:$G$40,MATCH(O2588,Setup!$B$33:$B$40,0)),0)=1)*(COUNTIF(O2558:Q2575,$B2588)+COUNTIF(O2558:Q2575,$B2588&amp;" ~*")&gt;0)+(IFERROR(INDEX(Setup!$G$33:$G$40,MATCH(S2588,Setup!$B$33:$B$40,0)),0)=1)*(COUNTIF(S2558:U2575,$B2588)+COUNTIF(S2558:U2575,$B2588&amp;" ~*")&gt;0)+(IFERROR(INDEX(Setup!$G$33:$G$40,MATCH(W2588,Setup!$B$33:$B$40,0)),0)=1)*(COUNTIF(W2558:W2575,$B2588)+COUNTIF(W2558:W2575,$B2588&amp;" ~*")&gt;0)+(IFERROR(INDEX(Setup!$G$33:$G$40,MATCH(Y2588,Setup!$B$33:$B$40,0)),0)=1)*(COUNTIF(Y2558:Y2575,$B2588)+COUNTIF(Y2558:Y2575,$B2588&amp;" ~*")&gt;0))</f>
        <v/>
      </c>
    </row>
    <row r="2589" ht="15" customHeight="1">
      <c r="A2589" t="n">
        <v>52</v>
      </c>
      <c r="B2589" s="35">
        <f>IF(Setup!$B$18="","",Setup!$B$18)</f>
        <v/>
      </c>
      <c r="C2589" s="98" t="n"/>
      <c r="D2589" s="99" t="n"/>
      <c r="E2589" s="99" t="n"/>
      <c r="F2589" s="100" t="n"/>
      <c r="G2589" s="98" t="n"/>
      <c r="H2589" s="99" t="n"/>
      <c r="I2589" s="99" t="n"/>
      <c r="J2589" s="100" t="n"/>
      <c r="K2589" s="98" t="n"/>
      <c r="L2589" s="99" t="n"/>
      <c r="M2589" s="99" t="n"/>
      <c r="N2589" s="100" t="n"/>
      <c r="O2589" s="98" t="n"/>
      <c r="P2589" s="99" t="n"/>
      <c r="Q2589" s="99" t="n"/>
      <c r="R2589" s="100" t="n"/>
      <c r="S2589" s="98" t="n"/>
      <c r="T2589" s="99" t="n"/>
      <c r="U2589" s="99" t="n"/>
      <c r="V2589" s="100" t="n"/>
      <c r="W2589" s="98" t="n"/>
      <c r="X2589" s="100" t="n"/>
      <c r="Y2589" s="98" t="n"/>
      <c r="Z2589" s="100" t="n"/>
      <c r="AB2589" s="101">
        <f>IF($B2589="","",(COUNTIF(C2558:E2575,$B2589)+COUNTIF(C2558:E2575,$B2589&amp;" ~*")&gt;0)+(COUNTIF(G2558:I2575,$B2589)+COUNTIF(G2558:I2575,$B2589&amp;" ~*")&gt;0)+(COUNTIF(K2558:M2575,$B2589)+COUNTIF(K2558:M2575,$B2589&amp;" ~*")&gt;0)+(COUNTIF(O2558:Q2575,$B2589)+COUNTIF(O2558:Q2575,$B2589&amp;" ~*")&gt;0)+(COUNTIF(S2558:U2575,$B2589)+COUNTIF(S2558:U2575,$B2589&amp;" ~*")&gt;0)+(COUNTIF(W2558:W2575,$B2589)+COUNTIF(W2558:W2575,$B2589&amp;" ~*")&gt;0)+(COUNTIF(Y2558:Y2575,$B2589)+COUNTIF(Y2558:Y2575,$B2589&amp;" ~*")&gt;0))</f>
        <v/>
      </c>
      <c r="AC2589" s="36">
        <f>IF($B2589="","",(IFERROR(INDEX(Setup!$G$33:$G$40,MATCH(C2589,Setup!$B$33:$B$40,0)),0)=1)*(COUNTIF(C2558:E2575,$B2589)+COUNTIF(C2558:E2575,$B2589&amp;" ~*")&gt;0)+(IFERROR(INDEX(Setup!$G$33:$G$40,MATCH(G2589,Setup!$B$33:$B$40,0)),0)=1)*(COUNTIF(G2558:I2575,$B2589)+COUNTIF(G2558:I2575,$B2589&amp;" ~*")&gt;0)+(IFERROR(INDEX(Setup!$G$33:$G$40,MATCH(K2589,Setup!$B$33:$B$40,0)),0)=1)*(COUNTIF(K2558:M2575,$B2589)+COUNTIF(K2558:M2575,$B2589&amp;" ~*")&gt;0)+(IFERROR(INDEX(Setup!$G$33:$G$40,MATCH(O2589,Setup!$B$33:$B$40,0)),0)=1)*(COUNTIF(O2558:Q2575,$B2589)+COUNTIF(O2558:Q2575,$B2589&amp;" ~*")&gt;0)+(IFERROR(INDEX(Setup!$G$33:$G$40,MATCH(S2589,Setup!$B$33:$B$40,0)),0)=1)*(COUNTIF(S2558:U2575,$B2589)+COUNTIF(S2558:U2575,$B2589&amp;" ~*")&gt;0)+(IFERROR(INDEX(Setup!$G$33:$G$40,MATCH(W2589,Setup!$B$33:$B$40,0)),0)=1)*(COUNTIF(W2558:W2575,$B2589)+COUNTIF(W2558:W2575,$B2589&amp;" ~*")&gt;0)+(IFERROR(INDEX(Setup!$G$33:$G$40,MATCH(Y2589,Setup!$B$33:$B$40,0)),0)=1)*(COUNTIF(Y2558:Y2575,$B2589)+COUNTIF(Y2558:Y2575,$B2589&amp;" ~*")&gt;0))</f>
        <v/>
      </c>
    </row>
    <row r="2590" ht="15" customHeight="1">
      <c r="A2590" t="n">
        <v>52</v>
      </c>
      <c r="B2590" s="37">
        <f>IF(Setup!$B$19="","",Setup!$B$19)</f>
        <v/>
      </c>
      <c r="C2590" s="102" t="n"/>
      <c r="D2590" s="103" t="n"/>
      <c r="E2590" s="103" t="n"/>
      <c r="F2590" s="104" t="n"/>
      <c r="G2590" s="102" t="n"/>
      <c r="H2590" s="103" t="n"/>
      <c r="I2590" s="103" t="n"/>
      <c r="J2590" s="104" t="n"/>
      <c r="K2590" s="102" t="n"/>
      <c r="L2590" s="103" t="n"/>
      <c r="M2590" s="103" t="n"/>
      <c r="N2590" s="104" t="n"/>
      <c r="O2590" s="102" t="n"/>
      <c r="P2590" s="103" t="n"/>
      <c r="Q2590" s="103" t="n"/>
      <c r="R2590" s="104" t="n"/>
      <c r="S2590" s="102" t="n"/>
      <c r="T2590" s="103" t="n"/>
      <c r="U2590" s="103" t="n"/>
      <c r="V2590" s="104" t="n"/>
      <c r="W2590" s="102" t="n"/>
      <c r="X2590" s="104" t="n"/>
      <c r="Y2590" s="102" t="n"/>
      <c r="Z2590" s="104" t="n"/>
      <c r="AB2590" s="105">
        <f>IF($B2590="","",(COUNTIF(C2558:E2575,$B2590)+COUNTIF(C2558:E2575,$B2590&amp;" ~*")&gt;0)+(COUNTIF(G2558:I2575,$B2590)+COUNTIF(G2558:I2575,$B2590&amp;" ~*")&gt;0)+(COUNTIF(K2558:M2575,$B2590)+COUNTIF(K2558:M2575,$B2590&amp;" ~*")&gt;0)+(COUNTIF(O2558:Q2575,$B2590)+COUNTIF(O2558:Q2575,$B2590&amp;" ~*")&gt;0)+(COUNTIF(S2558:U2575,$B2590)+COUNTIF(S2558:U2575,$B2590&amp;" ~*")&gt;0)+(COUNTIF(W2558:W2575,$B2590)+COUNTIF(W2558:W2575,$B2590&amp;" ~*")&gt;0)+(COUNTIF(Y2558:Y2575,$B2590)+COUNTIF(Y2558:Y2575,$B2590&amp;" ~*")&gt;0))</f>
        <v/>
      </c>
      <c r="AC2590" s="38">
        <f>IF($B2590="","",(IFERROR(INDEX(Setup!$G$33:$G$40,MATCH(C2590,Setup!$B$33:$B$40,0)),0)=1)*(COUNTIF(C2558:E2575,$B2590)+COUNTIF(C2558:E2575,$B2590&amp;" ~*")&gt;0)+(IFERROR(INDEX(Setup!$G$33:$G$40,MATCH(G2590,Setup!$B$33:$B$40,0)),0)=1)*(COUNTIF(G2558:I2575,$B2590)+COUNTIF(G2558:I2575,$B2590&amp;" ~*")&gt;0)+(IFERROR(INDEX(Setup!$G$33:$G$40,MATCH(K2590,Setup!$B$33:$B$40,0)),0)=1)*(COUNTIF(K2558:M2575,$B2590)+COUNTIF(K2558:M2575,$B2590&amp;" ~*")&gt;0)+(IFERROR(INDEX(Setup!$G$33:$G$40,MATCH(O2590,Setup!$B$33:$B$40,0)),0)=1)*(COUNTIF(O2558:Q2575,$B2590)+COUNTIF(O2558:Q2575,$B2590&amp;" ~*")&gt;0)+(IFERROR(INDEX(Setup!$G$33:$G$40,MATCH(S2590,Setup!$B$33:$B$40,0)),0)=1)*(COUNTIF(S2558:U2575,$B2590)+COUNTIF(S2558:U2575,$B2590&amp;" ~*")&gt;0)+(IFERROR(INDEX(Setup!$G$33:$G$40,MATCH(W2590,Setup!$B$33:$B$40,0)),0)=1)*(COUNTIF(W2558:W2575,$B2590)+COUNTIF(W2558:W2575,$B2590&amp;" ~*")&gt;0)+(IFERROR(INDEX(Setup!$G$33:$G$40,MATCH(Y2590,Setup!$B$33:$B$40,0)),0)=1)*(COUNTIF(Y2558:Y2575,$B2590)+COUNTIF(Y2558:Y2575,$B2590&amp;" ~*")&gt;0))</f>
        <v/>
      </c>
    </row>
    <row r="2591" ht="15" customHeight="1">
      <c r="A2591" t="n">
        <v>52</v>
      </c>
      <c r="B2591" s="35">
        <f>IF(Setup!$B$20="","",Setup!$B$20)</f>
        <v/>
      </c>
      <c r="C2591" s="98" t="n"/>
      <c r="D2591" s="99" t="n"/>
      <c r="E2591" s="99" t="n"/>
      <c r="F2591" s="100" t="n"/>
      <c r="G2591" s="98" t="n"/>
      <c r="H2591" s="99" t="n"/>
      <c r="I2591" s="99" t="n"/>
      <c r="J2591" s="100" t="n"/>
      <c r="K2591" s="98" t="n"/>
      <c r="L2591" s="99" t="n"/>
      <c r="M2591" s="99" t="n"/>
      <c r="N2591" s="100" t="n"/>
      <c r="O2591" s="98" t="n"/>
      <c r="P2591" s="99" t="n"/>
      <c r="Q2591" s="99" t="n"/>
      <c r="R2591" s="100" t="n"/>
      <c r="S2591" s="98" t="n"/>
      <c r="T2591" s="99" t="n"/>
      <c r="U2591" s="99" t="n"/>
      <c r="V2591" s="100" t="n"/>
      <c r="W2591" s="98" t="n"/>
      <c r="X2591" s="100" t="n"/>
      <c r="Y2591" s="98" t="n"/>
      <c r="Z2591" s="100" t="n"/>
      <c r="AB2591" s="101">
        <f>IF($B2591="","",(COUNTIF(C2558:E2575,$B2591)+COUNTIF(C2558:E2575,$B2591&amp;" ~*")&gt;0)+(COUNTIF(G2558:I2575,$B2591)+COUNTIF(G2558:I2575,$B2591&amp;" ~*")&gt;0)+(COUNTIF(K2558:M2575,$B2591)+COUNTIF(K2558:M2575,$B2591&amp;" ~*")&gt;0)+(COUNTIF(O2558:Q2575,$B2591)+COUNTIF(O2558:Q2575,$B2591&amp;" ~*")&gt;0)+(COUNTIF(S2558:U2575,$B2591)+COUNTIF(S2558:U2575,$B2591&amp;" ~*")&gt;0)+(COUNTIF(W2558:W2575,$B2591)+COUNTIF(W2558:W2575,$B2591&amp;" ~*")&gt;0)+(COUNTIF(Y2558:Y2575,$B2591)+COUNTIF(Y2558:Y2575,$B2591&amp;" ~*")&gt;0))</f>
        <v/>
      </c>
      <c r="AC2591" s="36">
        <f>IF($B2591="","",(IFERROR(INDEX(Setup!$G$33:$G$40,MATCH(C2591,Setup!$B$33:$B$40,0)),0)=1)*(COUNTIF(C2558:E2575,$B2591)+COUNTIF(C2558:E2575,$B2591&amp;" ~*")&gt;0)+(IFERROR(INDEX(Setup!$G$33:$G$40,MATCH(G2591,Setup!$B$33:$B$40,0)),0)=1)*(COUNTIF(G2558:I2575,$B2591)+COUNTIF(G2558:I2575,$B2591&amp;" ~*")&gt;0)+(IFERROR(INDEX(Setup!$G$33:$G$40,MATCH(K2591,Setup!$B$33:$B$40,0)),0)=1)*(COUNTIF(K2558:M2575,$B2591)+COUNTIF(K2558:M2575,$B2591&amp;" ~*")&gt;0)+(IFERROR(INDEX(Setup!$G$33:$G$40,MATCH(O2591,Setup!$B$33:$B$40,0)),0)=1)*(COUNTIF(O2558:Q2575,$B2591)+COUNTIF(O2558:Q2575,$B2591&amp;" ~*")&gt;0)+(IFERROR(INDEX(Setup!$G$33:$G$40,MATCH(S2591,Setup!$B$33:$B$40,0)),0)=1)*(COUNTIF(S2558:U2575,$B2591)+COUNTIF(S2558:U2575,$B2591&amp;" ~*")&gt;0)+(IFERROR(INDEX(Setup!$G$33:$G$40,MATCH(W2591,Setup!$B$33:$B$40,0)),0)=1)*(COUNTIF(W2558:W2575,$B2591)+COUNTIF(W2558:W2575,$B2591&amp;" ~*")&gt;0)+(IFERROR(INDEX(Setup!$G$33:$G$40,MATCH(Y2591,Setup!$B$33:$B$40,0)),0)=1)*(COUNTIF(Y2558:Y2575,$B2591)+COUNTIF(Y2558:Y2575,$B2591&amp;" ~*")&gt;0))</f>
        <v/>
      </c>
    </row>
    <row r="2592" ht="15" customHeight="1">
      <c r="A2592" t="n">
        <v>52</v>
      </c>
      <c r="B2592" s="37">
        <f>IF(Setup!$B$21="","",Setup!$B$21)</f>
        <v/>
      </c>
      <c r="C2592" s="102" t="n"/>
      <c r="D2592" s="103" t="n"/>
      <c r="E2592" s="103" t="n"/>
      <c r="F2592" s="104" t="n"/>
      <c r="G2592" s="102" t="n"/>
      <c r="H2592" s="103" t="n"/>
      <c r="I2592" s="103" t="n"/>
      <c r="J2592" s="104" t="n"/>
      <c r="K2592" s="102" t="inlineStr">
        <is>
          <t>AL</t>
        </is>
      </c>
      <c r="L2592" s="103" t="n"/>
      <c r="M2592" s="103" t="n"/>
      <c r="N2592" s="104" t="n"/>
      <c r="O2592" s="102" t="inlineStr">
        <is>
          <t>AL</t>
        </is>
      </c>
      <c r="P2592" s="103" t="n"/>
      <c r="Q2592" s="103" t="n"/>
      <c r="R2592" s="104" t="n"/>
      <c r="S2592" s="102" t="inlineStr">
        <is>
          <t>AL</t>
        </is>
      </c>
      <c r="T2592" s="103" t="n"/>
      <c r="U2592" s="103" t="n"/>
      <c r="V2592" s="104" t="n"/>
      <c r="W2592" s="102" t="n"/>
      <c r="X2592" s="104" t="n"/>
      <c r="Y2592" s="102" t="n"/>
      <c r="Z2592" s="104" t="n"/>
      <c r="AB2592" s="105">
        <f>IF($B2592="","",(COUNTIF(C2558:E2575,$B2592)+COUNTIF(C2558:E2575,$B2592&amp;" ~*")&gt;0)+(COUNTIF(G2558:I2575,$B2592)+COUNTIF(G2558:I2575,$B2592&amp;" ~*")&gt;0)+(COUNTIF(K2558:M2575,$B2592)+COUNTIF(K2558:M2575,$B2592&amp;" ~*")&gt;0)+(COUNTIF(O2558:Q2575,$B2592)+COUNTIF(O2558:Q2575,$B2592&amp;" ~*")&gt;0)+(COUNTIF(S2558:U2575,$B2592)+COUNTIF(S2558:U2575,$B2592&amp;" ~*")&gt;0)+(COUNTIF(W2558:W2575,$B2592)+COUNTIF(W2558:W2575,$B2592&amp;" ~*")&gt;0)+(COUNTIF(Y2558:Y2575,$B2592)+COUNTIF(Y2558:Y2575,$B2592&amp;" ~*")&gt;0))</f>
        <v/>
      </c>
      <c r="AC2592" s="38">
        <f>IF($B2592="","",(IFERROR(INDEX(Setup!$G$33:$G$40,MATCH(C2592,Setup!$B$33:$B$40,0)),0)=1)*(COUNTIF(C2558:E2575,$B2592)+COUNTIF(C2558:E2575,$B2592&amp;" ~*")&gt;0)+(IFERROR(INDEX(Setup!$G$33:$G$40,MATCH(G2592,Setup!$B$33:$B$40,0)),0)=1)*(COUNTIF(G2558:I2575,$B2592)+COUNTIF(G2558:I2575,$B2592&amp;" ~*")&gt;0)+(IFERROR(INDEX(Setup!$G$33:$G$40,MATCH(K2592,Setup!$B$33:$B$40,0)),0)=1)*(COUNTIF(K2558:M2575,$B2592)+COUNTIF(K2558:M2575,$B2592&amp;" ~*")&gt;0)+(IFERROR(INDEX(Setup!$G$33:$G$40,MATCH(O2592,Setup!$B$33:$B$40,0)),0)=1)*(COUNTIF(O2558:Q2575,$B2592)+COUNTIF(O2558:Q2575,$B2592&amp;" ~*")&gt;0)+(IFERROR(INDEX(Setup!$G$33:$G$40,MATCH(S2592,Setup!$B$33:$B$40,0)),0)=1)*(COUNTIF(S2558:U2575,$B2592)+COUNTIF(S2558:U2575,$B2592&amp;" ~*")&gt;0)+(IFERROR(INDEX(Setup!$G$33:$G$40,MATCH(W2592,Setup!$B$33:$B$40,0)),0)=1)*(COUNTIF(W2558:W2575,$B2592)+COUNTIF(W2558:W2575,$B2592&amp;" ~*")&gt;0)+(IFERROR(INDEX(Setup!$G$33:$G$40,MATCH(Y2592,Setup!$B$33:$B$40,0)),0)=1)*(COUNTIF(Y2558:Y2575,$B2592)+COUNTIF(Y2558:Y2575,$B2592&amp;" ~*")&gt;0))</f>
        <v/>
      </c>
    </row>
    <row r="2593" ht="15" customHeight="1">
      <c r="A2593" t="n">
        <v>52</v>
      </c>
      <c r="B2593" s="35">
        <f>IF(Setup!$B$22="","",Setup!$B$22)</f>
        <v/>
      </c>
      <c r="C2593" s="98" t="n"/>
      <c r="D2593" s="99" t="n"/>
      <c r="E2593" s="99" t="n"/>
      <c r="F2593" s="100" t="n"/>
      <c r="G2593" s="98" t="n"/>
      <c r="H2593" s="99" t="n"/>
      <c r="I2593" s="99" t="n"/>
      <c r="J2593" s="100" t="n"/>
      <c r="K2593" s="98" t="n"/>
      <c r="L2593" s="99" t="n"/>
      <c r="M2593" s="99" t="n"/>
      <c r="N2593" s="100" t="n"/>
      <c r="O2593" s="98" t="n"/>
      <c r="P2593" s="99" t="n"/>
      <c r="Q2593" s="99" t="n"/>
      <c r="R2593" s="100" t="n"/>
      <c r="S2593" s="98" t="n"/>
      <c r="T2593" s="99" t="n"/>
      <c r="U2593" s="99" t="n"/>
      <c r="V2593" s="100" t="n"/>
      <c r="W2593" s="98" t="n"/>
      <c r="X2593" s="100" t="n"/>
      <c r="Y2593" s="98" t="n"/>
      <c r="Z2593" s="100" t="n"/>
      <c r="AB2593" s="101">
        <f>IF($B2593="","",(COUNTIF(C2558:E2575,$B2593)+COUNTIF(C2558:E2575,$B2593&amp;" ~*")&gt;0)+(COUNTIF(G2558:I2575,$B2593)+COUNTIF(G2558:I2575,$B2593&amp;" ~*")&gt;0)+(COUNTIF(K2558:M2575,$B2593)+COUNTIF(K2558:M2575,$B2593&amp;" ~*")&gt;0)+(COUNTIF(O2558:Q2575,$B2593)+COUNTIF(O2558:Q2575,$B2593&amp;" ~*")&gt;0)+(COUNTIF(S2558:U2575,$B2593)+COUNTIF(S2558:U2575,$B2593&amp;" ~*")&gt;0)+(COUNTIF(W2558:W2575,$B2593)+COUNTIF(W2558:W2575,$B2593&amp;" ~*")&gt;0)+(COUNTIF(Y2558:Y2575,$B2593)+COUNTIF(Y2558:Y2575,$B2593&amp;" ~*")&gt;0))</f>
        <v/>
      </c>
      <c r="AC2593" s="36">
        <f>IF($B2593="","",(IFERROR(INDEX(Setup!$G$33:$G$40,MATCH(C2593,Setup!$B$33:$B$40,0)),0)=1)*(COUNTIF(C2558:E2575,$B2593)+COUNTIF(C2558:E2575,$B2593&amp;" ~*")&gt;0)+(IFERROR(INDEX(Setup!$G$33:$G$40,MATCH(G2593,Setup!$B$33:$B$40,0)),0)=1)*(COUNTIF(G2558:I2575,$B2593)+COUNTIF(G2558:I2575,$B2593&amp;" ~*")&gt;0)+(IFERROR(INDEX(Setup!$G$33:$G$40,MATCH(K2593,Setup!$B$33:$B$40,0)),0)=1)*(COUNTIF(K2558:M2575,$B2593)+COUNTIF(K2558:M2575,$B2593&amp;" ~*")&gt;0)+(IFERROR(INDEX(Setup!$G$33:$G$40,MATCH(O2593,Setup!$B$33:$B$40,0)),0)=1)*(COUNTIF(O2558:Q2575,$B2593)+COUNTIF(O2558:Q2575,$B2593&amp;" ~*")&gt;0)+(IFERROR(INDEX(Setup!$G$33:$G$40,MATCH(S2593,Setup!$B$33:$B$40,0)),0)=1)*(COUNTIF(S2558:U2575,$B2593)+COUNTIF(S2558:U2575,$B2593&amp;" ~*")&gt;0)+(IFERROR(INDEX(Setup!$G$33:$G$40,MATCH(W2593,Setup!$B$33:$B$40,0)),0)=1)*(COUNTIF(W2558:W2575,$B2593)+COUNTIF(W2558:W2575,$B2593&amp;" ~*")&gt;0)+(IFERROR(INDEX(Setup!$G$33:$G$40,MATCH(Y2593,Setup!$B$33:$B$40,0)),0)=1)*(COUNTIF(Y2558:Y2575,$B2593)+COUNTIF(Y2558:Y2575,$B2593&amp;" ~*")&gt;0))</f>
        <v/>
      </c>
    </row>
    <row r="2594" ht="15" customHeight="1">
      <c r="A2594" t="n">
        <v>52</v>
      </c>
      <c r="B2594" s="37">
        <f>IF(Setup!$B$23="","",Setup!$B$23)</f>
        <v/>
      </c>
      <c r="C2594" s="102" t="n"/>
      <c r="D2594" s="103" t="n"/>
      <c r="E2594" s="103" t="n"/>
      <c r="F2594" s="104" t="n"/>
      <c r="G2594" s="102" t="n"/>
      <c r="H2594" s="103" t="n"/>
      <c r="I2594" s="103" t="n"/>
      <c r="J2594" s="104" t="n"/>
      <c r="K2594" s="102" t="n"/>
      <c r="L2594" s="103" t="n"/>
      <c r="M2594" s="103" t="n"/>
      <c r="N2594" s="104" t="n"/>
      <c r="O2594" s="102" t="n"/>
      <c r="P2594" s="103" t="n"/>
      <c r="Q2594" s="103" t="n"/>
      <c r="R2594" s="104" t="n"/>
      <c r="S2594" s="102" t="n"/>
      <c r="T2594" s="103" t="n"/>
      <c r="U2594" s="103" t="n"/>
      <c r="V2594" s="104" t="n"/>
      <c r="W2594" s="102" t="n"/>
      <c r="X2594" s="104" t="n"/>
      <c r="Y2594" s="102" t="n"/>
      <c r="Z2594" s="104" t="n"/>
      <c r="AB2594" s="105">
        <f>IF($B2594="","",(COUNTIF(C2558:E2575,$B2594)+COUNTIF(C2558:E2575,$B2594&amp;" ~*")&gt;0)+(COUNTIF(G2558:I2575,$B2594)+COUNTIF(G2558:I2575,$B2594&amp;" ~*")&gt;0)+(COUNTIF(K2558:M2575,$B2594)+COUNTIF(K2558:M2575,$B2594&amp;" ~*")&gt;0)+(COUNTIF(O2558:Q2575,$B2594)+COUNTIF(O2558:Q2575,$B2594&amp;" ~*")&gt;0)+(COUNTIF(S2558:U2575,$B2594)+COUNTIF(S2558:U2575,$B2594&amp;" ~*")&gt;0)+(COUNTIF(W2558:W2575,$B2594)+COUNTIF(W2558:W2575,$B2594&amp;" ~*")&gt;0)+(COUNTIF(Y2558:Y2575,$B2594)+COUNTIF(Y2558:Y2575,$B2594&amp;" ~*")&gt;0))</f>
        <v/>
      </c>
      <c r="AC2594" s="38">
        <f>IF($B2594="","",(IFERROR(INDEX(Setup!$G$33:$G$40,MATCH(C2594,Setup!$B$33:$B$40,0)),0)=1)*(COUNTIF(C2558:E2575,$B2594)+COUNTIF(C2558:E2575,$B2594&amp;" ~*")&gt;0)+(IFERROR(INDEX(Setup!$G$33:$G$40,MATCH(G2594,Setup!$B$33:$B$40,0)),0)=1)*(COUNTIF(G2558:I2575,$B2594)+COUNTIF(G2558:I2575,$B2594&amp;" ~*")&gt;0)+(IFERROR(INDEX(Setup!$G$33:$G$40,MATCH(K2594,Setup!$B$33:$B$40,0)),0)=1)*(COUNTIF(K2558:M2575,$B2594)+COUNTIF(K2558:M2575,$B2594&amp;" ~*")&gt;0)+(IFERROR(INDEX(Setup!$G$33:$G$40,MATCH(O2594,Setup!$B$33:$B$40,0)),0)=1)*(COUNTIF(O2558:Q2575,$B2594)+COUNTIF(O2558:Q2575,$B2594&amp;" ~*")&gt;0)+(IFERROR(INDEX(Setup!$G$33:$G$40,MATCH(S2594,Setup!$B$33:$B$40,0)),0)=1)*(COUNTIF(S2558:U2575,$B2594)+COUNTIF(S2558:U2575,$B2594&amp;" ~*")&gt;0)+(IFERROR(INDEX(Setup!$G$33:$G$40,MATCH(W2594,Setup!$B$33:$B$40,0)),0)=1)*(COUNTIF(W2558:W2575,$B2594)+COUNTIF(W2558:W2575,$B2594&amp;" ~*")&gt;0)+(IFERROR(INDEX(Setup!$G$33:$G$40,MATCH(Y2594,Setup!$B$33:$B$40,0)),0)=1)*(COUNTIF(Y2558:Y2575,$B2594)+COUNTIF(Y2558:Y2575,$B2594&amp;" ~*")&gt;0))</f>
        <v/>
      </c>
    </row>
    <row r="2595" ht="15" customHeight="1">
      <c r="A2595" t="n">
        <v>52</v>
      </c>
      <c r="B2595" s="35">
        <f>IF(Setup!$B$24="","",Setup!$B$24)</f>
        <v/>
      </c>
      <c r="C2595" s="98" t="n"/>
      <c r="D2595" s="99" t="n"/>
      <c r="E2595" s="99" t="n"/>
      <c r="F2595" s="100" t="n"/>
      <c r="G2595" s="98" t="n"/>
      <c r="H2595" s="99" t="n"/>
      <c r="I2595" s="99" t="n"/>
      <c r="J2595" s="100" t="n"/>
      <c r="K2595" s="98" t="n"/>
      <c r="L2595" s="99" t="n"/>
      <c r="M2595" s="99" t="n"/>
      <c r="N2595" s="100" t="n"/>
      <c r="O2595" s="98" t="n"/>
      <c r="P2595" s="99" t="n"/>
      <c r="Q2595" s="99" t="n"/>
      <c r="R2595" s="100" t="n"/>
      <c r="S2595" s="98" t="n"/>
      <c r="T2595" s="99" t="n"/>
      <c r="U2595" s="99" t="n"/>
      <c r="V2595" s="100" t="n"/>
      <c r="W2595" s="98" t="n"/>
      <c r="X2595" s="100" t="n"/>
      <c r="Y2595" s="98" t="n"/>
      <c r="Z2595" s="100" t="n"/>
      <c r="AB2595" s="101">
        <f>IF($B2595="","",(COUNTIF(C2558:E2575,$B2595)+COUNTIF(C2558:E2575,$B2595&amp;" ~*")&gt;0)+(COUNTIF(G2558:I2575,$B2595)+COUNTIF(G2558:I2575,$B2595&amp;" ~*")&gt;0)+(COUNTIF(K2558:M2575,$B2595)+COUNTIF(K2558:M2575,$B2595&amp;" ~*")&gt;0)+(COUNTIF(O2558:Q2575,$B2595)+COUNTIF(O2558:Q2575,$B2595&amp;" ~*")&gt;0)+(COUNTIF(S2558:U2575,$B2595)+COUNTIF(S2558:U2575,$B2595&amp;" ~*")&gt;0)+(COUNTIF(W2558:W2575,$B2595)+COUNTIF(W2558:W2575,$B2595&amp;" ~*")&gt;0)+(COUNTIF(Y2558:Y2575,$B2595)+COUNTIF(Y2558:Y2575,$B2595&amp;" ~*")&gt;0))</f>
        <v/>
      </c>
      <c r="AC2595" s="36">
        <f>IF($B2595="","",(IFERROR(INDEX(Setup!$G$33:$G$40,MATCH(C2595,Setup!$B$33:$B$40,0)),0)=1)*(COUNTIF(C2558:E2575,$B2595)+COUNTIF(C2558:E2575,$B2595&amp;" ~*")&gt;0)+(IFERROR(INDEX(Setup!$G$33:$G$40,MATCH(G2595,Setup!$B$33:$B$40,0)),0)=1)*(COUNTIF(G2558:I2575,$B2595)+COUNTIF(G2558:I2575,$B2595&amp;" ~*")&gt;0)+(IFERROR(INDEX(Setup!$G$33:$G$40,MATCH(K2595,Setup!$B$33:$B$40,0)),0)=1)*(COUNTIF(K2558:M2575,$B2595)+COUNTIF(K2558:M2575,$B2595&amp;" ~*")&gt;0)+(IFERROR(INDEX(Setup!$G$33:$G$40,MATCH(O2595,Setup!$B$33:$B$40,0)),0)=1)*(COUNTIF(O2558:Q2575,$B2595)+COUNTIF(O2558:Q2575,$B2595&amp;" ~*")&gt;0)+(IFERROR(INDEX(Setup!$G$33:$G$40,MATCH(S2595,Setup!$B$33:$B$40,0)),0)=1)*(COUNTIF(S2558:U2575,$B2595)+COUNTIF(S2558:U2575,$B2595&amp;" ~*")&gt;0)+(IFERROR(INDEX(Setup!$G$33:$G$40,MATCH(W2595,Setup!$B$33:$B$40,0)),0)=1)*(COUNTIF(W2558:W2575,$B2595)+COUNTIF(W2558:W2575,$B2595&amp;" ~*")&gt;0)+(IFERROR(INDEX(Setup!$G$33:$G$40,MATCH(Y2595,Setup!$B$33:$B$40,0)),0)=1)*(COUNTIF(Y2558:Y2575,$B2595)+COUNTIF(Y2558:Y2575,$B2595&amp;" ~*")&gt;0))</f>
        <v/>
      </c>
    </row>
    <row r="2596" ht="15" customHeight="1">
      <c r="A2596" t="n">
        <v>52</v>
      </c>
      <c r="B2596" s="37">
        <f>IF(Setup!$B$25="","",Setup!$B$25)</f>
        <v/>
      </c>
      <c r="C2596" s="102" t="n"/>
      <c r="D2596" s="103" t="n"/>
      <c r="E2596" s="103" t="n"/>
      <c r="F2596" s="104" t="n"/>
      <c r="G2596" s="102" t="n"/>
      <c r="H2596" s="103" t="n"/>
      <c r="I2596" s="103" t="n"/>
      <c r="J2596" s="104" t="n"/>
      <c r="K2596" s="102" t="n"/>
      <c r="L2596" s="103" t="n"/>
      <c r="M2596" s="103" t="n"/>
      <c r="N2596" s="104" t="n"/>
      <c r="O2596" s="102" t="n"/>
      <c r="P2596" s="103" t="n"/>
      <c r="Q2596" s="103" t="n"/>
      <c r="R2596" s="104" t="n"/>
      <c r="S2596" s="102" t="n"/>
      <c r="T2596" s="103" t="n"/>
      <c r="U2596" s="103" t="n"/>
      <c r="V2596" s="104" t="n"/>
      <c r="W2596" s="102" t="n"/>
      <c r="X2596" s="104" t="n"/>
      <c r="Y2596" s="102" t="n"/>
      <c r="Z2596" s="104" t="n"/>
      <c r="AB2596" s="105">
        <f>IF($B2596="","",(COUNTIF(C2558:E2575,$B2596)+COUNTIF(C2558:E2575,$B2596&amp;" ~*")&gt;0)+(COUNTIF(G2558:I2575,$B2596)+COUNTIF(G2558:I2575,$B2596&amp;" ~*")&gt;0)+(COUNTIF(K2558:M2575,$B2596)+COUNTIF(K2558:M2575,$B2596&amp;" ~*")&gt;0)+(COUNTIF(O2558:Q2575,$B2596)+COUNTIF(O2558:Q2575,$B2596&amp;" ~*")&gt;0)+(COUNTIF(S2558:U2575,$B2596)+COUNTIF(S2558:U2575,$B2596&amp;" ~*")&gt;0)+(COUNTIF(W2558:W2575,$B2596)+COUNTIF(W2558:W2575,$B2596&amp;" ~*")&gt;0)+(COUNTIF(Y2558:Y2575,$B2596)+COUNTIF(Y2558:Y2575,$B2596&amp;" ~*")&gt;0))</f>
        <v/>
      </c>
      <c r="AC2596" s="38">
        <f>IF($B2596="","",(IFERROR(INDEX(Setup!$G$33:$G$40,MATCH(C2596,Setup!$B$33:$B$40,0)),0)=1)*(COUNTIF(C2558:E2575,$B2596)+COUNTIF(C2558:E2575,$B2596&amp;" ~*")&gt;0)+(IFERROR(INDEX(Setup!$G$33:$G$40,MATCH(G2596,Setup!$B$33:$B$40,0)),0)=1)*(COUNTIF(G2558:I2575,$B2596)+COUNTIF(G2558:I2575,$B2596&amp;" ~*")&gt;0)+(IFERROR(INDEX(Setup!$G$33:$G$40,MATCH(K2596,Setup!$B$33:$B$40,0)),0)=1)*(COUNTIF(K2558:M2575,$B2596)+COUNTIF(K2558:M2575,$B2596&amp;" ~*")&gt;0)+(IFERROR(INDEX(Setup!$G$33:$G$40,MATCH(O2596,Setup!$B$33:$B$40,0)),0)=1)*(COUNTIF(O2558:Q2575,$B2596)+COUNTIF(O2558:Q2575,$B2596&amp;" ~*")&gt;0)+(IFERROR(INDEX(Setup!$G$33:$G$40,MATCH(S2596,Setup!$B$33:$B$40,0)),0)=1)*(COUNTIF(S2558:U2575,$B2596)+COUNTIF(S2558:U2575,$B2596&amp;" ~*")&gt;0)+(IFERROR(INDEX(Setup!$G$33:$G$40,MATCH(W2596,Setup!$B$33:$B$40,0)),0)=1)*(COUNTIF(W2558:W2575,$B2596)+COUNTIF(W2558:W2575,$B2596&amp;" ~*")&gt;0)+(IFERROR(INDEX(Setup!$G$33:$G$40,MATCH(Y2596,Setup!$B$33:$B$40,0)),0)=1)*(COUNTIF(Y2558:Y2575,$B2596)+COUNTIF(Y2558:Y2575,$B2596&amp;" ~*")&gt;0))</f>
        <v/>
      </c>
    </row>
    <row r="2597" ht="15" customHeight="1">
      <c r="A2597" t="n">
        <v>52</v>
      </c>
      <c r="B2597" s="35">
        <f>IF(Setup!$B$26="","",Setup!$B$26)</f>
        <v/>
      </c>
      <c r="C2597" s="98" t="n"/>
      <c r="D2597" s="99" t="n"/>
      <c r="E2597" s="99" t="n"/>
      <c r="F2597" s="100" t="n"/>
      <c r="G2597" s="98" t="n"/>
      <c r="H2597" s="99" t="n"/>
      <c r="I2597" s="99" t="n"/>
      <c r="J2597" s="100" t="n"/>
      <c r="K2597" s="98" t="n"/>
      <c r="L2597" s="99" t="n"/>
      <c r="M2597" s="99" t="n"/>
      <c r="N2597" s="100" t="n"/>
      <c r="O2597" s="98" t="n"/>
      <c r="P2597" s="99" t="n"/>
      <c r="Q2597" s="99" t="n"/>
      <c r="R2597" s="100" t="n"/>
      <c r="S2597" s="98" t="n"/>
      <c r="T2597" s="99" t="n"/>
      <c r="U2597" s="99" t="n"/>
      <c r="V2597" s="100" t="n"/>
      <c r="W2597" s="98" t="n"/>
      <c r="X2597" s="100" t="n"/>
      <c r="Y2597" s="98" t="n"/>
      <c r="Z2597" s="100" t="n"/>
      <c r="AB2597" s="101">
        <f>IF($B2597="","",(COUNTIF(C2558:E2575,$B2597)+COUNTIF(C2558:E2575,$B2597&amp;" ~*")&gt;0)+(COUNTIF(G2558:I2575,$B2597)+COUNTIF(G2558:I2575,$B2597&amp;" ~*")&gt;0)+(COUNTIF(K2558:M2575,$B2597)+COUNTIF(K2558:M2575,$B2597&amp;" ~*")&gt;0)+(COUNTIF(O2558:Q2575,$B2597)+COUNTIF(O2558:Q2575,$B2597&amp;" ~*")&gt;0)+(COUNTIF(S2558:U2575,$B2597)+COUNTIF(S2558:U2575,$B2597&amp;" ~*")&gt;0)+(COUNTIF(W2558:W2575,$B2597)+COUNTIF(W2558:W2575,$B2597&amp;" ~*")&gt;0)+(COUNTIF(Y2558:Y2575,$B2597)+COUNTIF(Y2558:Y2575,$B2597&amp;" ~*")&gt;0))</f>
        <v/>
      </c>
      <c r="AC2597" s="36">
        <f>IF($B2597="","",(IFERROR(INDEX(Setup!$G$33:$G$40,MATCH(C2597,Setup!$B$33:$B$40,0)),0)=1)*(COUNTIF(C2558:E2575,$B2597)+COUNTIF(C2558:E2575,$B2597&amp;" ~*")&gt;0)+(IFERROR(INDEX(Setup!$G$33:$G$40,MATCH(G2597,Setup!$B$33:$B$40,0)),0)=1)*(COUNTIF(G2558:I2575,$B2597)+COUNTIF(G2558:I2575,$B2597&amp;" ~*")&gt;0)+(IFERROR(INDEX(Setup!$G$33:$G$40,MATCH(K2597,Setup!$B$33:$B$40,0)),0)=1)*(COUNTIF(K2558:M2575,$B2597)+COUNTIF(K2558:M2575,$B2597&amp;" ~*")&gt;0)+(IFERROR(INDEX(Setup!$G$33:$G$40,MATCH(O2597,Setup!$B$33:$B$40,0)),0)=1)*(COUNTIF(O2558:Q2575,$B2597)+COUNTIF(O2558:Q2575,$B2597&amp;" ~*")&gt;0)+(IFERROR(INDEX(Setup!$G$33:$G$40,MATCH(S2597,Setup!$B$33:$B$40,0)),0)=1)*(COUNTIF(S2558:U2575,$B2597)+COUNTIF(S2558:U2575,$B2597&amp;" ~*")&gt;0)+(IFERROR(INDEX(Setup!$G$33:$G$40,MATCH(W2597,Setup!$B$33:$B$40,0)),0)=1)*(COUNTIF(W2558:W2575,$B2597)+COUNTIF(W2558:W2575,$B2597&amp;" ~*")&gt;0)+(IFERROR(INDEX(Setup!$G$33:$G$40,MATCH(Y2597,Setup!$B$33:$B$40,0)),0)=1)*(COUNTIF(Y2558:Y2575,$B2597)+COUNTIF(Y2558:Y2575,$B2597&amp;" ~*")&gt;0))</f>
        <v/>
      </c>
    </row>
    <row r="2598" ht="15" customHeight="1">
      <c r="A2598" t="n">
        <v>52</v>
      </c>
      <c r="B2598" s="37">
        <f>IF(Setup!$B$27="","",Setup!$B$27)</f>
        <v/>
      </c>
      <c r="C2598" s="102" t="n"/>
      <c r="D2598" s="103" t="n"/>
      <c r="E2598" s="103" t="n"/>
      <c r="F2598" s="104" t="n"/>
      <c r="G2598" s="102" t="n"/>
      <c r="H2598" s="103" t="n"/>
      <c r="I2598" s="103" t="n"/>
      <c r="J2598" s="104" t="n"/>
      <c r="K2598" s="102" t="n"/>
      <c r="L2598" s="103" t="n"/>
      <c r="M2598" s="103" t="n"/>
      <c r="N2598" s="104" t="n"/>
      <c r="O2598" s="102" t="n"/>
      <c r="P2598" s="103" t="n"/>
      <c r="Q2598" s="103" t="n"/>
      <c r="R2598" s="104" t="n"/>
      <c r="S2598" s="102" t="n"/>
      <c r="T2598" s="103" t="n"/>
      <c r="U2598" s="103" t="n"/>
      <c r="V2598" s="104" t="n"/>
      <c r="W2598" s="102" t="n"/>
      <c r="X2598" s="104" t="n"/>
      <c r="Y2598" s="102" t="n"/>
      <c r="Z2598" s="104" t="n"/>
      <c r="AB2598" s="105">
        <f>IF($B2598="","",(COUNTIF(C2558:E2575,$B2598)+COUNTIF(C2558:E2575,$B2598&amp;" ~*")&gt;0)+(COUNTIF(G2558:I2575,$B2598)+COUNTIF(G2558:I2575,$B2598&amp;" ~*")&gt;0)+(COUNTIF(K2558:M2575,$B2598)+COUNTIF(K2558:M2575,$B2598&amp;" ~*")&gt;0)+(COUNTIF(O2558:Q2575,$B2598)+COUNTIF(O2558:Q2575,$B2598&amp;" ~*")&gt;0)+(COUNTIF(S2558:U2575,$B2598)+COUNTIF(S2558:U2575,$B2598&amp;" ~*")&gt;0)+(COUNTIF(W2558:W2575,$B2598)+COUNTIF(W2558:W2575,$B2598&amp;" ~*")&gt;0)+(COUNTIF(Y2558:Y2575,$B2598)+COUNTIF(Y2558:Y2575,$B2598&amp;" ~*")&gt;0))</f>
        <v/>
      </c>
      <c r="AC2598" s="38">
        <f>IF($B2598="","",(IFERROR(INDEX(Setup!$G$33:$G$40,MATCH(C2598,Setup!$B$33:$B$40,0)),0)=1)*(COUNTIF(C2558:E2575,$B2598)+COUNTIF(C2558:E2575,$B2598&amp;" ~*")&gt;0)+(IFERROR(INDEX(Setup!$G$33:$G$40,MATCH(G2598,Setup!$B$33:$B$40,0)),0)=1)*(COUNTIF(G2558:I2575,$B2598)+COUNTIF(G2558:I2575,$B2598&amp;" ~*")&gt;0)+(IFERROR(INDEX(Setup!$G$33:$G$40,MATCH(K2598,Setup!$B$33:$B$40,0)),0)=1)*(COUNTIF(K2558:M2575,$B2598)+COUNTIF(K2558:M2575,$B2598&amp;" ~*")&gt;0)+(IFERROR(INDEX(Setup!$G$33:$G$40,MATCH(O2598,Setup!$B$33:$B$40,0)),0)=1)*(COUNTIF(O2558:Q2575,$B2598)+COUNTIF(O2558:Q2575,$B2598&amp;" ~*")&gt;0)+(IFERROR(INDEX(Setup!$G$33:$G$40,MATCH(S2598,Setup!$B$33:$B$40,0)),0)=1)*(COUNTIF(S2558:U2575,$B2598)+COUNTIF(S2558:U2575,$B2598&amp;" ~*")&gt;0)+(IFERROR(INDEX(Setup!$G$33:$G$40,MATCH(W2598,Setup!$B$33:$B$40,0)),0)=1)*(COUNTIF(W2558:W2575,$B2598)+COUNTIF(W2558:W2575,$B2598&amp;" ~*")&gt;0)+(IFERROR(INDEX(Setup!$G$33:$G$40,MATCH(Y2598,Setup!$B$33:$B$40,0)),0)=1)*(COUNTIF(Y2558:Y2575,$B2598)+COUNTIF(Y2558:Y2575,$B2598&amp;" ~*")&gt;0))</f>
        <v/>
      </c>
    </row>
    <row r="2599" ht="15" customHeight="1">
      <c r="A2599" t="n">
        <v>52</v>
      </c>
      <c r="B2599" s="35">
        <f>IF(Setup!$B$28="","",Setup!$B$28)</f>
        <v/>
      </c>
      <c r="C2599" s="98" t="n"/>
      <c r="D2599" s="99" t="n"/>
      <c r="E2599" s="99" t="n"/>
      <c r="F2599" s="100" t="n"/>
      <c r="G2599" s="98" t="n"/>
      <c r="H2599" s="99" t="n"/>
      <c r="I2599" s="99" t="n"/>
      <c r="J2599" s="100" t="n"/>
      <c r="K2599" s="98" t="n"/>
      <c r="L2599" s="99" t="n"/>
      <c r="M2599" s="99" t="n"/>
      <c r="N2599" s="100" t="n"/>
      <c r="O2599" s="98" t="n"/>
      <c r="P2599" s="99" t="n"/>
      <c r="Q2599" s="99" t="n"/>
      <c r="R2599" s="100" t="n"/>
      <c r="S2599" s="98" t="n"/>
      <c r="T2599" s="99" t="n"/>
      <c r="U2599" s="99" t="n"/>
      <c r="V2599" s="100" t="n"/>
      <c r="W2599" s="98" t="n"/>
      <c r="X2599" s="100" t="n"/>
      <c r="Y2599" s="98" t="n"/>
      <c r="Z2599" s="100" t="n"/>
      <c r="AB2599" s="101">
        <f>IF($B2599="","",(COUNTIF(C2558:E2575,$B2599)+COUNTIF(C2558:E2575,$B2599&amp;" ~*")&gt;0)+(COUNTIF(G2558:I2575,$B2599)+COUNTIF(G2558:I2575,$B2599&amp;" ~*")&gt;0)+(COUNTIF(K2558:M2575,$B2599)+COUNTIF(K2558:M2575,$B2599&amp;" ~*")&gt;0)+(COUNTIF(O2558:Q2575,$B2599)+COUNTIF(O2558:Q2575,$B2599&amp;" ~*")&gt;0)+(COUNTIF(S2558:U2575,$B2599)+COUNTIF(S2558:U2575,$B2599&amp;" ~*")&gt;0)+(COUNTIF(W2558:W2575,$B2599)+COUNTIF(W2558:W2575,$B2599&amp;" ~*")&gt;0)+(COUNTIF(Y2558:Y2575,$B2599)+COUNTIF(Y2558:Y2575,$B2599&amp;" ~*")&gt;0))</f>
        <v/>
      </c>
      <c r="AC2599" s="36">
        <f>IF($B2599="","",(IFERROR(INDEX(Setup!$G$33:$G$40,MATCH(C2599,Setup!$B$33:$B$40,0)),0)=1)*(COUNTIF(C2558:E2575,$B2599)+COUNTIF(C2558:E2575,$B2599&amp;" ~*")&gt;0)+(IFERROR(INDEX(Setup!$G$33:$G$40,MATCH(G2599,Setup!$B$33:$B$40,0)),0)=1)*(COUNTIF(G2558:I2575,$B2599)+COUNTIF(G2558:I2575,$B2599&amp;" ~*")&gt;0)+(IFERROR(INDEX(Setup!$G$33:$G$40,MATCH(K2599,Setup!$B$33:$B$40,0)),0)=1)*(COUNTIF(K2558:M2575,$B2599)+COUNTIF(K2558:M2575,$B2599&amp;" ~*")&gt;0)+(IFERROR(INDEX(Setup!$G$33:$G$40,MATCH(O2599,Setup!$B$33:$B$40,0)),0)=1)*(COUNTIF(O2558:Q2575,$B2599)+COUNTIF(O2558:Q2575,$B2599&amp;" ~*")&gt;0)+(IFERROR(INDEX(Setup!$G$33:$G$40,MATCH(S2599,Setup!$B$33:$B$40,0)),0)=1)*(COUNTIF(S2558:U2575,$B2599)+COUNTIF(S2558:U2575,$B2599&amp;" ~*")&gt;0)+(IFERROR(INDEX(Setup!$G$33:$G$40,MATCH(W2599,Setup!$B$33:$B$40,0)),0)=1)*(COUNTIF(W2558:W2575,$B2599)+COUNTIF(W2558:W2575,$B2599&amp;" ~*")&gt;0)+(IFERROR(INDEX(Setup!$G$33:$G$40,MATCH(Y2599,Setup!$B$33:$B$40,0)),0)=1)*(COUNTIF(Y2558:Y2575,$B2599)+COUNTIF(Y2558:Y2575,$B2599&amp;" ~*")&gt;0))</f>
        <v/>
      </c>
    </row>
    <row r="2600" ht="15" customHeight="1">
      <c r="A2600" t="n">
        <v>52</v>
      </c>
      <c r="B2600" s="37">
        <f>IF(Setup!$B$29="","",Setup!$B$29)</f>
        <v/>
      </c>
      <c r="C2600" s="102" t="n"/>
      <c r="D2600" s="103" t="n"/>
      <c r="E2600" s="103" t="n"/>
      <c r="F2600" s="104" t="n"/>
      <c r="G2600" s="102" t="n"/>
      <c r="H2600" s="103" t="n"/>
      <c r="I2600" s="103" t="n"/>
      <c r="J2600" s="104" t="n"/>
      <c r="K2600" s="102" t="n"/>
      <c r="L2600" s="103" t="n"/>
      <c r="M2600" s="103" t="n"/>
      <c r="N2600" s="104" t="n"/>
      <c r="O2600" s="102" t="n"/>
      <c r="P2600" s="103" t="n"/>
      <c r="Q2600" s="103" t="n"/>
      <c r="R2600" s="104" t="n"/>
      <c r="S2600" s="102" t="n"/>
      <c r="T2600" s="103" t="n"/>
      <c r="U2600" s="103" t="n"/>
      <c r="V2600" s="104" t="n"/>
      <c r="W2600" s="102" t="n"/>
      <c r="X2600" s="104" t="n"/>
      <c r="Y2600" s="102" t="n"/>
      <c r="Z2600" s="104" t="n"/>
      <c r="AB2600" s="105">
        <f>IF($B2600="","",(COUNTIF(C2558:E2575,$B2600)+COUNTIF(C2558:E2575,$B2600&amp;" ~*")&gt;0)+(COUNTIF(G2558:I2575,$B2600)+COUNTIF(G2558:I2575,$B2600&amp;" ~*")&gt;0)+(COUNTIF(K2558:M2575,$B2600)+COUNTIF(K2558:M2575,$B2600&amp;" ~*")&gt;0)+(COUNTIF(O2558:Q2575,$B2600)+COUNTIF(O2558:Q2575,$B2600&amp;" ~*")&gt;0)+(COUNTIF(S2558:U2575,$B2600)+COUNTIF(S2558:U2575,$B2600&amp;" ~*")&gt;0)+(COUNTIF(W2558:W2575,$B2600)+COUNTIF(W2558:W2575,$B2600&amp;" ~*")&gt;0)+(COUNTIF(Y2558:Y2575,$B2600)+COUNTIF(Y2558:Y2575,$B2600&amp;" ~*")&gt;0))</f>
        <v/>
      </c>
      <c r="AC2600" s="38">
        <f>IF($B2600="","",(IFERROR(INDEX(Setup!$G$33:$G$40,MATCH(C2600,Setup!$B$33:$B$40,0)),0)=1)*(COUNTIF(C2558:E2575,$B2600)+COUNTIF(C2558:E2575,$B2600&amp;" ~*")&gt;0)+(IFERROR(INDEX(Setup!$G$33:$G$40,MATCH(G2600,Setup!$B$33:$B$40,0)),0)=1)*(COUNTIF(G2558:I2575,$B2600)+COUNTIF(G2558:I2575,$B2600&amp;" ~*")&gt;0)+(IFERROR(INDEX(Setup!$G$33:$G$40,MATCH(K2600,Setup!$B$33:$B$40,0)),0)=1)*(COUNTIF(K2558:M2575,$B2600)+COUNTIF(K2558:M2575,$B2600&amp;" ~*")&gt;0)+(IFERROR(INDEX(Setup!$G$33:$G$40,MATCH(O2600,Setup!$B$33:$B$40,0)),0)=1)*(COUNTIF(O2558:Q2575,$B2600)+COUNTIF(O2558:Q2575,$B2600&amp;" ~*")&gt;0)+(IFERROR(INDEX(Setup!$G$33:$G$40,MATCH(S2600,Setup!$B$33:$B$40,0)),0)=1)*(COUNTIF(S2558:U2575,$B2600)+COUNTIF(S2558:U2575,$B2600&amp;" ~*")&gt;0)+(IFERROR(INDEX(Setup!$G$33:$G$40,MATCH(W2600,Setup!$B$33:$B$40,0)),0)=1)*(COUNTIF(W2558:W2575,$B2600)+COUNTIF(W2558:W2575,$B2600&amp;" ~*")&gt;0)+(IFERROR(INDEX(Setup!$G$33:$G$40,MATCH(Y2600,Setup!$B$33:$B$40,0)),0)=1)*(COUNTIF(Y2558:Y2575,$B2600)+COUNTIF(Y2558:Y2575,$B2600&amp;" ~*")&gt;0))</f>
        <v/>
      </c>
    </row>
    <row r="2601" ht="16" customHeight="1">
      <c r="A2601" t="n">
        <v>52</v>
      </c>
      <c r="B2601" s="106" t="inlineStr">
        <is>
          <t>Available people</t>
        </is>
      </c>
      <c r="C2601" s="107">
        <f>COUNTIFS(Setup!$E$6:$E$29,"Y",Setup!$B$6:$B$29,"?*")-SUMPRODUCT(COUNTIF(C2577:C2600,Setup!$F$33:$F$40))</f>
        <v/>
      </c>
      <c r="D2601" s="107" t="n"/>
      <c r="E2601" s="107" t="n"/>
      <c r="F2601" s="107" t="n"/>
      <c r="G2601" s="107">
        <f>COUNTIFS(Setup!$E$6:$E$29,"Y",Setup!$B$6:$B$29,"?*")-SUMPRODUCT(COUNTIF(G2577:G2600,Setup!$F$33:$F$40))</f>
        <v/>
      </c>
      <c r="H2601" s="107" t="n"/>
      <c r="I2601" s="107" t="n"/>
      <c r="J2601" s="107" t="n"/>
      <c r="K2601" s="107">
        <f>COUNTIFS(Setup!$E$6:$E$29,"Y",Setup!$B$6:$B$29,"?*")-SUMPRODUCT(COUNTIF(K2577:K2600,Setup!$F$33:$F$40))</f>
        <v/>
      </c>
      <c r="L2601" s="107" t="n"/>
      <c r="M2601" s="107" t="n"/>
      <c r="N2601" s="107" t="n"/>
      <c r="O2601" s="107">
        <f>COUNTIFS(Setup!$E$6:$E$29,"Y",Setup!$B$6:$B$29,"?*")-SUMPRODUCT(COUNTIF(O2577:O2600,Setup!$F$33:$F$40))</f>
        <v/>
      </c>
      <c r="P2601" s="107" t="n"/>
      <c r="Q2601" s="107" t="n"/>
      <c r="R2601" s="107" t="n"/>
      <c r="S2601" s="107">
        <f>COUNTIFS(Setup!$E$6:$E$29,"Y",Setup!$B$6:$B$29,"?*")-SUMPRODUCT(COUNTIF(S2577:S2600,Setup!$F$33:$F$40))</f>
        <v/>
      </c>
      <c r="T2601" s="107" t="n"/>
      <c r="U2601" s="107" t="n"/>
      <c r="V2601" s="107" t="n"/>
      <c r="W2601" s="107">
        <f>COUNTIFS(Setup!$E$6:$E$29,"Y",Setup!$B$6:$B$29,"?*")-SUMPRODUCT(COUNTIF(W2577:W2600,Setup!$F$33:$F$40))</f>
        <v/>
      </c>
      <c r="X2601" s="107" t="n"/>
      <c r="Y2601" s="107">
        <f>COUNTIFS(Setup!$E$6:$E$29,"Y",Setup!$B$6:$B$29,"?*")-SUMPRODUCT(COUNTIF(Y2577:Y2600,Setup!$F$33:$F$40))</f>
        <v/>
      </c>
      <c r="Z2601" s="107" t="n"/>
      <c r="AB2601" s="108">
        <f>SUM(AB2577:AB2600)</f>
        <v/>
      </c>
      <c r="AC2601" s="109">
        <f>SUM(AC2577:AC2600)</f>
        <v/>
      </c>
    </row>
    <row r="2602" ht="30" customHeight="1">
      <c r="A2602" t="n">
        <v>52</v>
      </c>
      <c r="B2602" s="110" t="inlineStr">
        <is>
          <t>Week notes</t>
        </is>
      </c>
      <c r="C2602" s="111" t="n"/>
      <c r="D2602" s="112" t="n"/>
      <c r="E2602" s="112" t="n"/>
      <c r="F2602" s="112" t="n"/>
      <c r="G2602" s="112" t="n"/>
      <c r="H2602" s="112" t="n"/>
      <c r="I2602" s="112" t="n"/>
      <c r="J2602" s="112" t="n"/>
      <c r="K2602" s="112" t="n"/>
      <c r="L2602" s="112" t="n"/>
      <c r="M2602" s="112" t="n"/>
      <c r="N2602" s="112" t="n"/>
      <c r="O2602" s="112" t="n"/>
      <c r="P2602" s="112" t="n"/>
      <c r="Q2602" s="112" t="n"/>
      <c r="R2602" s="112" t="n"/>
      <c r="S2602" s="112" t="n"/>
      <c r="T2602" s="112" t="n"/>
      <c r="U2602" s="112" t="n"/>
      <c r="V2602" s="112" t="n"/>
      <c r="W2602" s="112" t="n"/>
      <c r="X2602" s="112" t="n"/>
      <c r="Y2602" s="112" t="n"/>
      <c r="Z2602" s="113" t="n"/>
    </row>
    <row r="2603" ht="8" customHeight="1">
      <c r="A2603" t="n">
        <v>52</v>
      </c>
    </row>
    <row r="2604" ht="8" customHeight="1">
      <c r="A2604" t="n">
        <v>52</v>
      </c>
    </row>
    <row r="2605" ht="24" customHeight="1">
      <c r="A2605" t="n">
        <v>53</v>
      </c>
      <c r="B2605" s="73">
        <f>"WEEK 53     "&amp;TEXT(C2606,"ddd d mmm")&amp;"  –  "&amp;TEXT(C2606+6,"ddd d mmm yyyy")&amp;"   (week 53 - only used in 53-week years)"</f>
        <v/>
      </c>
      <c r="S2605" s="74">
        <f>IF(TODAY()&lt;C2606,"FUTURE",IF(TODAY()&gt;C2606+6,"PAST","THIS WEEK"))</f>
        <v/>
      </c>
      <c r="W2605" s="75">
        <f>IF(AND(Engine!$B$8=$AC$3,Engine!$B$9=$A2605),"◀ ACTIVE WEEK","")</f>
        <v/>
      </c>
      <c r="AA2605" s="76" t="n"/>
      <c r="AB2605" s="77" t="inlineStr">
        <is>
          <t>◀ Prev</t>
        </is>
      </c>
      <c r="AC2605" s="77" t="inlineStr">
        <is>
          <t>▲ Top</t>
        </is>
      </c>
    </row>
    <row r="2606" ht="18" customHeight="1">
      <c r="A2606" t="n">
        <v>53</v>
      </c>
      <c r="B2606" s="78" t="inlineStr">
        <is>
          <t>DUTY</t>
        </is>
      </c>
      <c r="C2606" s="79">
        <f>$AC$2+7*($A2606-1)</f>
        <v/>
      </c>
      <c r="D2606" s="80" t="n"/>
      <c r="E2606" s="80" t="n"/>
      <c r="F2606" s="81" t="n"/>
      <c r="G2606" s="79">
        <f>C2606+1</f>
        <v/>
      </c>
      <c r="H2606" s="80" t="n"/>
      <c r="I2606" s="80" t="n"/>
      <c r="J2606" s="81" t="n"/>
      <c r="K2606" s="79">
        <f>C2606+2</f>
        <v/>
      </c>
      <c r="L2606" s="80" t="n"/>
      <c r="M2606" s="80" t="n"/>
      <c r="N2606" s="81" t="n"/>
      <c r="O2606" s="79">
        <f>C2606+3</f>
        <v/>
      </c>
      <c r="P2606" s="80" t="n"/>
      <c r="Q2606" s="80" t="n"/>
      <c r="R2606" s="81" t="n"/>
      <c r="S2606" s="79">
        <f>C2606+4</f>
        <v/>
      </c>
      <c r="T2606" s="80" t="n"/>
      <c r="U2606" s="80" t="n"/>
      <c r="V2606" s="81" t="n"/>
      <c r="W2606" s="82">
        <f>C2606+5</f>
        <v/>
      </c>
      <c r="X2606" s="83" t="n"/>
      <c r="Y2606" s="82">
        <f>C2606+6</f>
        <v/>
      </c>
      <c r="Z2606" s="83" t="n"/>
      <c r="AB2606" s="72" t="inlineStr">
        <is>
          <t>Gaps</t>
        </is>
      </c>
      <c r="AC2606" s="72" t="inlineStr">
        <is>
          <t>Cover</t>
        </is>
      </c>
    </row>
    <row r="2607" ht="14" customHeight="1">
      <c r="A2607" t="n">
        <v>53</v>
      </c>
      <c r="B2607" s="84" t="inlineStr">
        <is>
          <t>(from Setup)</t>
        </is>
      </c>
      <c r="C2607" s="85" t="inlineStr">
        <is>
          <t>1</t>
        </is>
      </c>
      <c r="D2607" s="85" t="inlineStr">
        <is>
          <t>2</t>
        </is>
      </c>
      <c r="E2607" s="85" t="inlineStr">
        <is>
          <t>3</t>
        </is>
      </c>
      <c r="F2607" s="85" t="inlineStr">
        <is>
          <t>Notes</t>
        </is>
      </c>
      <c r="G2607" s="85" t="inlineStr">
        <is>
          <t>1</t>
        </is>
      </c>
      <c r="H2607" s="85" t="inlineStr">
        <is>
          <t>2</t>
        </is>
      </c>
      <c r="I2607" s="85" t="inlineStr">
        <is>
          <t>3</t>
        </is>
      </c>
      <c r="J2607" s="85" t="inlineStr">
        <is>
          <t>Notes</t>
        </is>
      </c>
      <c r="K2607" s="85" t="inlineStr">
        <is>
          <t>1</t>
        </is>
      </c>
      <c r="L2607" s="85" t="inlineStr">
        <is>
          <t>2</t>
        </is>
      </c>
      <c r="M2607" s="85" t="inlineStr">
        <is>
          <t>3</t>
        </is>
      </c>
      <c r="N2607" s="85" t="inlineStr">
        <is>
          <t>Notes</t>
        </is>
      </c>
      <c r="O2607" s="85" t="inlineStr">
        <is>
          <t>1</t>
        </is>
      </c>
      <c r="P2607" s="85" t="inlineStr">
        <is>
          <t>2</t>
        </is>
      </c>
      <c r="Q2607" s="85" t="inlineStr">
        <is>
          <t>3</t>
        </is>
      </c>
      <c r="R2607" s="85" t="inlineStr">
        <is>
          <t>Notes</t>
        </is>
      </c>
      <c r="S2607" s="85" t="inlineStr">
        <is>
          <t>1</t>
        </is>
      </c>
      <c r="T2607" s="85" t="inlineStr">
        <is>
          <t>2</t>
        </is>
      </c>
      <c r="U2607" s="85" t="inlineStr">
        <is>
          <t>3</t>
        </is>
      </c>
      <c r="V2607" s="85" t="inlineStr">
        <is>
          <t>Notes</t>
        </is>
      </c>
      <c r="W2607" s="85" t="inlineStr">
        <is>
          <t>Cover</t>
        </is>
      </c>
      <c r="X2607" s="85" t="inlineStr">
        <is>
          <t>Notes</t>
        </is>
      </c>
      <c r="Y2607" s="85" t="inlineStr">
        <is>
          <t>Cover</t>
        </is>
      </c>
      <c r="Z2607" s="85" t="inlineStr">
        <is>
          <t>Notes</t>
        </is>
      </c>
      <c r="AB2607" s="86" t="inlineStr">
        <is>
          <t>weekdays short</t>
        </is>
      </c>
      <c r="AC2607" s="87" t="inlineStr"/>
    </row>
    <row r="2608" ht="17" customHeight="1">
      <c r="A2608" t="n">
        <v>53</v>
      </c>
      <c r="B2608" s="24">
        <f>IF(Setup!$K$6="","",Setup!$K$6)</f>
        <v/>
      </c>
      <c r="C2608" s="88" t="n"/>
      <c r="D2608" s="88" t="n"/>
      <c r="E2608" s="88" t="n"/>
      <c r="F2608" s="89" t="n"/>
      <c r="G2608" s="88" t="n"/>
      <c r="H2608" s="88" t="n"/>
      <c r="I2608" s="88" t="n"/>
      <c r="J2608" s="89" t="n"/>
      <c r="K2608" s="88" t="n"/>
      <c r="L2608" s="88" t="n"/>
      <c r="M2608" s="88" t="n"/>
      <c r="N2608" s="89" t="n"/>
      <c r="O2608" s="88" t="n"/>
      <c r="P2608" s="88" t="n"/>
      <c r="Q2608" s="88" t="n"/>
      <c r="R2608" s="89" t="n"/>
      <c r="S2608" s="88" t="n"/>
      <c r="T2608" s="88" t="n"/>
      <c r="U2608" s="88" t="n"/>
      <c r="V2608" s="89" t="n"/>
      <c r="W2608" s="88" t="n"/>
      <c r="X2608" s="89" t="n"/>
      <c r="Y2608" s="88" t="n"/>
      <c r="Z2608" s="89" t="n"/>
      <c r="AB2608" s="25">
        <f>IF($B2608="","",(COUNTIF(C2608:E2608,"?*")&lt;N(INDEX(Setup!$L$6:$L$23,1)))+(COUNTIF(G2608:I2608,"?*")&lt;N(INDEX(Setup!$L$6:$L$23,1)))+(COUNTIF(K2608:M2608,"?*")&lt;N(INDEX(Setup!$L$6:$L$23,1)))+(COUNTIF(O2608:Q2608,"?*")&lt;N(INDEX(Setup!$L$6:$L$23,1)))+(COUNTIF(S2608:U2608,"?*")&lt;N(INDEX(Setup!$L$6:$L$23,1)))+((W2608="")*(INDEX(Setup!$M$6:$M$23,1)="Y"))+((Y2608="")*(INDEX(Setup!$M$6:$M$23,1)="Y")))</f>
        <v/>
      </c>
      <c r="AC2608" s="90">
        <f>IF($B2608="","",IF(AB2608=0,"✓ covered","⚠ "&amp;AB2608&amp;IF(AB2608=1," gap"," gaps")))</f>
        <v/>
      </c>
    </row>
    <row r="2609" ht="17" customHeight="1">
      <c r="A2609" t="n">
        <v>53</v>
      </c>
      <c r="B2609" s="29">
        <f>IF(Setup!$K$7="","",Setup!$K$7)</f>
        <v/>
      </c>
      <c r="C2609" s="88" t="n"/>
      <c r="D2609" s="88" t="n"/>
      <c r="E2609" s="88" t="n"/>
      <c r="F2609" s="89" t="n"/>
      <c r="G2609" s="88" t="n"/>
      <c r="H2609" s="88" t="n"/>
      <c r="I2609" s="88" t="n"/>
      <c r="J2609" s="89" t="n"/>
      <c r="K2609" s="88" t="n"/>
      <c r="L2609" s="88" t="n"/>
      <c r="M2609" s="88" t="n"/>
      <c r="N2609" s="89" t="n"/>
      <c r="O2609" s="88" t="n"/>
      <c r="P2609" s="88" t="n"/>
      <c r="Q2609" s="88" t="n"/>
      <c r="R2609" s="89" t="n"/>
      <c r="S2609" s="88" t="n"/>
      <c r="T2609" s="88" t="n"/>
      <c r="U2609" s="88" t="n"/>
      <c r="V2609" s="89" t="n"/>
      <c r="W2609" s="88" t="n"/>
      <c r="X2609" s="89" t="n"/>
      <c r="Y2609" s="88" t="n"/>
      <c r="Z2609" s="89" t="n"/>
      <c r="AB2609" s="30">
        <f>IF($B2609="","",(COUNTIF(C2609:E2609,"?*")&lt;N(INDEX(Setup!$L$6:$L$23,2)))+(COUNTIF(G2609:I2609,"?*")&lt;N(INDEX(Setup!$L$6:$L$23,2)))+(COUNTIF(K2609:M2609,"?*")&lt;N(INDEX(Setup!$L$6:$L$23,2)))+(COUNTIF(O2609:Q2609,"?*")&lt;N(INDEX(Setup!$L$6:$L$23,2)))+(COUNTIF(S2609:U2609,"?*")&lt;N(INDEX(Setup!$L$6:$L$23,2)))+((W2609="")*(INDEX(Setup!$M$6:$M$23,2)="Y"))+((Y2609="")*(INDEX(Setup!$M$6:$M$23,2)="Y")))</f>
        <v/>
      </c>
      <c r="AC2609" s="91">
        <f>IF($B2609="","",IF(AB2609=0,"✓ covered","⚠ "&amp;AB2609&amp;IF(AB2609=1," gap"," gaps")))</f>
        <v/>
      </c>
    </row>
    <row r="2610" ht="17" customHeight="1">
      <c r="A2610" t="n">
        <v>53</v>
      </c>
      <c r="B2610" s="24">
        <f>IF(Setup!$K$8="","",Setup!$K$8)</f>
        <v/>
      </c>
      <c r="C2610" s="88" t="n"/>
      <c r="D2610" s="88" t="n"/>
      <c r="E2610" s="88" t="n"/>
      <c r="F2610" s="89" t="n"/>
      <c r="G2610" s="88" t="n"/>
      <c r="H2610" s="88" t="n"/>
      <c r="I2610" s="88" t="n"/>
      <c r="J2610" s="89" t="n"/>
      <c r="K2610" s="88" t="n"/>
      <c r="L2610" s="88" t="n"/>
      <c r="M2610" s="88" t="n"/>
      <c r="N2610" s="89" t="n"/>
      <c r="O2610" s="88" t="n"/>
      <c r="P2610" s="88" t="n"/>
      <c r="Q2610" s="88" t="n"/>
      <c r="R2610" s="89" t="n"/>
      <c r="S2610" s="88" t="n"/>
      <c r="T2610" s="88" t="n"/>
      <c r="U2610" s="88" t="n"/>
      <c r="V2610" s="89" t="n"/>
      <c r="W2610" s="88" t="n"/>
      <c r="X2610" s="89" t="n"/>
      <c r="Y2610" s="88" t="n"/>
      <c r="Z2610" s="89" t="n"/>
      <c r="AB2610" s="25">
        <f>IF($B2610="","",(COUNTIF(C2610:E2610,"?*")&lt;N(INDEX(Setup!$L$6:$L$23,3)))+(COUNTIF(G2610:I2610,"?*")&lt;N(INDEX(Setup!$L$6:$L$23,3)))+(COUNTIF(K2610:M2610,"?*")&lt;N(INDEX(Setup!$L$6:$L$23,3)))+(COUNTIF(O2610:Q2610,"?*")&lt;N(INDEX(Setup!$L$6:$L$23,3)))+(COUNTIF(S2610:U2610,"?*")&lt;N(INDEX(Setup!$L$6:$L$23,3)))+((W2610="")*(INDEX(Setup!$M$6:$M$23,3)="Y"))+((Y2610="")*(INDEX(Setup!$M$6:$M$23,3)="Y")))</f>
        <v/>
      </c>
      <c r="AC2610" s="90">
        <f>IF($B2610="","",IF(AB2610=0,"✓ covered","⚠ "&amp;AB2610&amp;IF(AB2610=1," gap"," gaps")))</f>
        <v/>
      </c>
    </row>
    <row r="2611" ht="17" customHeight="1">
      <c r="A2611" t="n">
        <v>53</v>
      </c>
      <c r="B2611" s="29">
        <f>IF(Setup!$K$9="","",Setup!$K$9)</f>
        <v/>
      </c>
      <c r="C2611" s="88" t="n"/>
      <c r="D2611" s="88" t="n"/>
      <c r="E2611" s="88" t="n"/>
      <c r="F2611" s="89" t="n"/>
      <c r="G2611" s="88" t="n"/>
      <c r="H2611" s="88" t="n"/>
      <c r="I2611" s="88" t="n"/>
      <c r="J2611" s="89" t="n"/>
      <c r="K2611" s="88" t="n"/>
      <c r="L2611" s="88" t="n"/>
      <c r="M2611" s="88" t="n"/>
      <c r="N2611" s="89" t="n"/>
      <c r="O2611" s="88" t="n"/>
      <c r="P2611" s="88" t="n"/>
      <c r="Q2611" s="88" t="n"/>
      <c r="R2611" s="89" t="n"/>
      <c r="S2611" s="88" t="n"/>
      <c r="T2611" s="88" t="n"/>
      <c r="U2611" s="88" t="n"/>
      <c r="V2611" s="89" t="n"/>
      <c r="W2611" s="88" t="n"/>
      <c r="X2611" s="89" t="n"/>
      <c r="Y2611" s="88" t="n"/>
      <c r="Z2611" s="89" t="n"/>
      <c r="AB2611" s="30">
        <f>IF($B2611="","",(COUNTIF(C2611:E2611,"?*")&lt;N(INDEX(Setup!$L$6:$L$23,4)))+(COUNTIF(G2611:I2611,"?*")&lt;N(INDEX(Setup!$L$6:$L$23,4)))+(COUNTIF(K2611:M2611,"?*")&lt;N(INDEX(Setup!$L$6:$L$23,4)))+(COUNTIF(O2611:Q2611,"?*")&lt;N(INDEX(Setup!$L$6:$L$23,4)))+(COUNTIF(S2611:U2611,"?*")&lt;N(INDEX(Setup!$L$6:$L$23,4)))+((W2611="")*(INDEX(Setup!$M$6:$M$23,4)="Y"))+((Y2611="")*(INDEX(Setup!$M$6:$M$23,4)="Y")))</f>
        <v/>
      </c>
      <c r="AC2611" s="91">
        <f>IF($B2611="","",IF(AB2611=0,"✓ covered","⚠ "&amp;AB2611&amp;IF(AB2611=1," gap"," gaps")))</f>
        <v/>
      </c>
    </row>
    <row r="2612" ht="17" customHeight="1">
      <c r="A2612" t="n">
        <v>53</v>
      </c>
      <c r="B2612" s="24">
        <f>IF(Setup!$K$10="","",Setup!$K$10)</f>
        <v/>
      </c>
      <c r="C2612" s="88" t="n"/>
      <c r="D2612" s="88" t="n"/>
      <c r="E2612" s="88" t="n"/>
      <c r="F2612" s="89" t="n"/>
      <c r="G2612" s="88" t="n"/>
      <c r="H2612" s="88" t="n"/>
      <c r="I2612" s="88" t="n"/>
      <c r="J2612" s="89" t="n"/>
      <c r="K2612" s="88" t="n"/>
      <c r="L2612" s="88" t="n"/>
      <c r="M2612" s="88" t="n"/>
      <c r="N2612" s="89" t="n"/>
      <c r="O2612" s="88" t="n"/>
      <c r="P2612" s="88" t="n"/>
      <c r="Q2612" s="88" t="n"/>
      <c r="R2612" s="89" t="n"/>
      <c r="S2612" s="88" t="n"/>
      <c r="T2612" s="88" t="n"/>
      <c r="U2612" s="88" t="n"/>
      <c r="V2612" s="89" t="n"/>
      <c r="W2612" s="88" t="n"/>
      <c r="X2612" s="89" t="n"/>
      <c r="Y2612" s="88" t="n"/>
      <c r="Z2612" s="89" t="n"/>
      <c r="AB2612" s="25">
        <f>IF($B2612="","",(COUNTIF(C2612:E2612,"?*")&lt;N(INDEX(Setup!$L$6:$L$23,5)))+(COUNTIF(G2612:I2612,"?*")&lt;N(INDEX(Setup!$L$6:$L$23,5)))+(COUNTIF(K2612:M2612,"?*")&lt;N(INDEX(Setup!$L$6:$L$23,5)))+(COUNTIF(O2612:Q2612,"?*")&lt;N(INDEX(Setup!$L$6:$L$23,5)))+(COUNTIF(S2612:U2612,"?*")&lt;N(INDEX(Setup!$L$6:$L$23,5)))+((W2612="")*(INDEX(Setup!$M$6:$M$23,5)="Y"))+((Y2612="")*(INDEX(Setup!$M$6:$M$23,5)="Y")))</f>
        <v/>
      </c>
      <c r="AC2612" s="90">
        <f>IF($B2612="","",IF(AB2612=0,"✓ covered","⚠ "&amp;AB2612&amp;IF(AB2612=1," gap"," gaps")))</f>
        <v/>
      </c>
    </row>
    <row r="2613" ht="17" customHeight="1">
      <c r="A2613" t="n">
        <v>53</v>
      </c>
      <c r="B2613" s="29">
        <f>IF(Setup!$K$11="","",Setup!$K$11)</f>
        <v/>
      </c>
      <c r="C2613" s="88" t="n"/>
      <c r="D2613" s="88" t="n"/>
      <c r="E2613" s="88" t="n"/>
      <c r="F2613" s="89" t="n"/>
      <c r="G2613" s="88" t="n"/>
      <c r="H2613" s="88" t="n"/>
      <c r="I2613" s="88" t="n"/>
      <c r="J2613" s="89" t="n"/>
      <c r="K2613" s="88" t="n"/>
      <c r="L2613" s="88" t="n"/>
      <c r="M2613" s="88" t="n"/>
      <c r="N2613" s="89" t="n"/>
      <c r="O2613" s="88" t="n"/>
      <c r="P2613" s="88" t="n"/>
      <c r="Q2613" s="88" t="n"/>
      <c r="R2613" s="89" t="n"/>
      <c r="S2613" s="88" t="n"/>
      <c r="T2613" s="88" t="n"/>
      <c r="U2613" s="88" t="n"/>
      <c r="V2613" s="89" t="n"/>
      <c r="W2613" s="88" t="n"/>
      <c r="X2613" s="89" t="n"/>
      <c r="Y2613" s="88" t="n"/>
      <c r="Z2613" s="89" t="n"/>
      <c r="AB2613" s="30">
        <f>IF($B2613="","",(COUNTIF(C2613:E2613,"?*")&lt;N(INDEX(Setup!$L$6:$L$23,6)))+(COUNTIF(G2613:I2613,"?*")&lt;N(INDEX(Setup!$L$6:$L$23,6)))+(COUNTIF(K2613:M2613,"?*")&lt;N(INDEX(Setup!$L$6:$L$23,6)))+(COUNTIF(O2613:Q2613,"?*")&lt;N(INDEX(Setup!$L$6:$L$23,6)))+(COUNTIF(S2613:U2613,"?*")&lt;N(INDEX(Setup!$L$6:$L$23,6)))+((W2613="")*(INDEX(Setup!$M$6:$M$23,6)="Y"))+((Y2613="")*(INDEX(Setup!$M$6:$M$23,6)="Y")))</f>
        <v/>
      </c>
      <c r="AC2613" s="91">
        <f>IF($B2613="","",IF(AB2613=0,"✓ covered","⚠ "&amp;AB2613&amp;IF(AB2613=1," gap"," gaps")))</f>
        <v/>
      </c>
    </row>
    <row r="2614" ht="17" customHeight="1">
      <c r="A2614" t="n">
        <v>53</v>
      </c>
      <c r="B2614" s="24">
        <f>IF(Setup!$K$12="","",Setup!$K$12)</f>
        <v/>
      </c>
      <c r="C2614" s="88" t="n"/>
      <c r="D2614" s="88" t="n"/>
      <c r="E2614" s="88" t="n"/>
      <c r="F2614" s="89" t="n"/>
      <c r="G2614" s="88" t="n"/>
      <c r="H2614" s="88" t="n"/>
      <c r="I2614" s="88" t="n"/>
      <c r="J2614" s="89" t="n"/>
      <c r="K2614" s="88" t="n"/>
      <c r="L2614" s="88" t="n"/>
      <c r="M2614" s="88" t="n"/>
      <c r="N2614" s="89" t="n"/>
      <c r="O2614" s="88" t="n"/>
      <c r="P2614" s="88" t="n"/>
      <c r="Q2614" s="88" t="n"/>
      <c r="R2614" s="89" t="n"/>
      <c r="S2614" s="88" t="n"/>
      <c r="T2614" s="88" t="n"/>
      <c r="U2614" s="88" t="n"/>
      <c r="V2614" s="89" t="n"/>
      <c r="W2614" s="88" t="n"/>
      <c r="X2614" s="89" t="n"/>
      <c r="Y2614" s="88" t="n"/>
      <c r="Z2614" s="89" t="n"/>
      <c r="AB2614" s="25">
        <f>IF($B2614="","",(COUNTIF(C2614:E2614,"?*")&lt;N(INDEX(Setup!$L$6:$L$23,7)))+(COUNTIF(G2614:I2614,"?*")&lt;N(INDEX(Setup!$L$6:$L$23,7)))+(COUNTIF(K2614:M2614,"?*")&lt;N(INDEX(Setup!$L$6:$L$23,7)))+(COUNTIF(O2614:Q2614,"?*")&lt;N(INDEX(Setup!$L$6:$L$23,7)))+(COUNTIF(S2614:U2614,"?*")&lt;N(INDEX(Setup!$L$6:$L$23,7)))+((W2614="")*(INDEX(Setup!$M$6:$M$23,7)="Y"))+((Y2614="")*(INDEX(Setup!$M$6:$M$23,7)="Y")))</f>
        <v/>
      </c>
      <c r="AC2614" s="90">
        <f>IF($B2614="","",IF(AB2614=0,"✓ covered","⚠ "&amp;AB2614&amp;IF(AB2614=1," gap"," gaps")))</f>
        <v/>
      </c>
    </row>
    <row r="2615" ht="17" customHeight="1">
      <c r="A2615" t="n">
        <v>53</v>
      </c>
      <c r="B2615" s="29">
        <f>IF(Setup!$K$13="","",Setup!$K$13)</f>
        <v/>
      </c>
      <c r="C2615" s="88" t="n"/>
      <c r="D2615" s="88" t="n"/>
      <c r="E2615" s="88" t="n"/>
      <c r="F2615" s="89" t="n"/>
      <c r="G2615" s="88" t="n"/>
      <c r="H2615" s="88" t="n"/>
      <c r="I2615" s="88" t="n"/>
      <c r="J2615" s="89" t="n"/>
      <c r="K2615" s="88" t="n"/>
      <c r="L2615" s="88" t="n"/>
      <c r="M2615" s="88" t="n"/>
      <c r="N2615" s="89" t="n"/>
      <c r="O2615" s="88" t="n"/>
      <c r="P2615" s="88" t="n"/>
      <c r="Q2615" s="88" t="n"/>
      <c r="R2615" s="89" t="n"/>
      <c r="S2615" s="88" t="n"/>
      <c r="T2615" s="88" t="n"/>
      <c r="U2615" s="88" t="n"/>
      <c r="V2615" s="89" t="n"/>
      <c r="W2615" s="88" t="n"/>
      <c r="X2615" s="89" t="n"/>
      <c r="Y2615" s="88" t="n"/>
      <c r="Z2615" s="89" t="n"/>
      <c r="AB2615" s="30">
        <f>IF($B2615="","",(COUNTIF(C2615:E2615,"?*")&lt;N(INDEX(Setup!$L$6:$L$23,8)))+(COUNTIF(G2615:I2615,"?*")&lt;N(INDEX(Setup!$L$6:$L$23,8)))+(COUNTIF(K2615:M2615,"?*")&lt;N(INDEX(Setup!$L$6:$L$23,8)))+(COUNTIF(O2615:Q2615,"?*")&lt;N(INDEX(Setup!$L$6:$L$23,8)))+(COUNTIF(S2615:U2615,"?*")&lt;N(INDEX(Setup!$L$6:$L$23,8)))+((W2615="")*(INDEX(Setup!$M$6:$M$23,8)="Y"))+((Y2615="")*(INDEX(Setup!$M$6:$M$23,8)="Y")))</f>
        <v/>
      </c>
      <c r="AC2615" s="91">
        <f>IF($B2615="","",IF(AB2615=0,"✓ covered","⚠ "&amp;AB2615&amp;IF(AB2615=1," gap"," gaps")))</f>
        <v/>
      </c>
    </row>
    <row r="2616" ht="17" customHeight="1">
      <c r="A2616" t="n">
        <v>53</v>
      </c>
      <c r="B2616" s="24">
        <f>IF(Setup!$K$14="","",Setup!$K$14)</f>
        <v/>
      </c>
      <c r="C2616" s="88" t="n"/>
      <c r="D2616" s="88" t="n"/>
      <c r="E2616" s="88" t="n"/>
      <c r="F2616" s="89" t="n"/>
      <c r="G2616" s="88" t="n"/>
      <c r="H2616" s="88" t="n"/>
      <c r="I2616" s="88" t="n"/>
      <c r="J2616" s="89" t="n"/>
      <c r="K2616" s="88" t="n"/>
      <c r="L2616" s="88" t="n"/>
      <c r="M2616" s="88" t="n"/>
      <c r="N2616" s="89" t="n"/>
      <c r="O2616" s="88" t="n"/>
      <c r="P2616" s="88" t="n"/>
      <c r="Q2616" s="88" t="n"/>
      <c r="R2616" s="89" t="n"/>
      <c r="S2616" s="88" t="n"/>
      <c r="T2616" s="88" t="n"/>
      <c r="U2616" s="88" t="n"/>
      <c r="V2616" s="89" t="n"/>
      <c r="W2616" s="88" t="n"/>
      <c r="X2616" s="89" t="n"/>
      <c r="Y2616" s="88" t="n"/>
      <c r="Z2616" s="89" t="n"/>
      <c r="AB2616" s="25">
        <f>IF($B2616="","",(COUNTIF(C2616:E2616,"?*")&lt;N(INDEX(Setup!$L$6:$L$23,9)))+(COUNTIF(G2616:I2616,"?*")&lt;N(INDEX(Setup!$L$6:$L$23,9)))+(COUNTIF(K2616:M2616,"?*")&lt;N(INDEX(Setup!$L$6:$L$23,9)))+(COUNTIF(O2616:Q2616,"?*")&lt;N(INDEX(Setup!$L$6:$L$23,9)))+(COUNTIF(S2616:U2616,"?*")&lt;N(INDEX(Setup!$L$6:$L$23,9)))+((W2616="")*(INDEX(Setup!$M$6:$M$23,9)="Y"))+((Y2616="")*(INDEX(Setup!$M$6:$M$23,9)="Y")))</f>
        <v/>
      </c>
      <c r="AC2616" s="90">
        <f>IF($B2616="","",IF(AB2616=0,"✓ covered","⚠ "&amp;AB2616&amp;IF(AB2616=1," gap"," gaps")))</f>
        <v/>
      </c>
    </row>
    <row r="2617" ht="17" customHeight="1">
      <c r="A2617" t="n">
        <v>53</v>
      </c>
      <c r="B2617" s="29">
        <f>IF(Setup!$K$15="","",Setup!$K$15)</f>
        <v/>
      </c>
      <c r="C2617" s="88" t="n"/>
      <c r="D2617" s="88" t="n"/>
      <c r="E2617" s="88" t="n"/>
      <c r="F2617" s="89" t="n"/>
      <c r="G2617" s="88" t="n"/>
      <c r="H2617" s="88" t="n"/>
      <c r="I2617" s="88" t="n"/>
      <c r="J2617" s="89" t="n"/>
      <c r="K2617" s="88" t="n"/>
      <c r="L2617" s="88" t="n"/>
      <c r="M2617" s="88" t="n"/>
      <c r="N2617" s="89" t="n"/>
      <c r="O2617" s="88" t="n"/>
      <c r="P2617" s="88" t="n"/>
      <c r="Q2617" s="88" t="n"/>
      <c r="R2617" s="89" t="n"/>
      <c r="S2617" s="88" t="n"/>
      <c r="T2617" s="88" t="n"/>
      <c r="U2617" s="88" t="n"/>
      <c r="V2617" s="89" t="n"/>
      <c r="W2617" s="88" t="n"/>
      <c r="X2617" s="89" t="n"/>
      <c r="Y2617" s="88" t="n"/>
      <c r="Z2617" s="89" t="n"/>
      <c r="AB2617" s="30">
        <f>IF($B2617="","",(COUNTIF(C2617:E2617,"?*")&lt;N(INDEX(Setup!$L$6:$L$23,10)))+(COUNTIF(G2617:I2617,"?*")&lt;N(INDEX(Setup!$L$6:$L$23,10)))+(COUNTIF(K2617:M2617,"?*")&lt;N(INDEX(Setup!$L$6:$L$23,10)))+(COUNTIF(O2617:Q2617,"?*")&lt;N(INDEX(Setup!$L$6:$L$23,10)))+(COUNTIF(S2617:U2617,"?*")&lt;N(INDEX(Setup!$L$6:$L$23,10)))+((W2617="")*(INDEX(Setup!$M$6:$M$23,10)="Y"))+((Y2617="")*(INDEX(Setup!$M$6:$M$23,10)="Y")))</f>
        <v/>
      </c>
      <c r="AC2617" s="91">
        <f>IF($B2617="","",IF(AB2617=0,"✓ covered","⚠ "&amp;AB2617&amp;IF(AB2617=1," gap"," gaps")))</f>
        <v/>
      </c>
    </row>
    <row r="2618" ht="17" customHeight="1">
      <c r="A2618" t="n">
        <v>53</v>
      </c>
      <c r="B2618" s="24">
        <f>IF(Setup!$K$16="","",Setup!$K$16)</f>
        <v/>
      </c>
      <c r="C2618" s="88" t="n"/>
      <c r="D2618" s="88" t="n"/>
      <c r="E2618" s="88" t="n"/>
      <c r="F2618" s="89" t="n"/>
      <c r="G2618" s="88" t="n"/>
      <c r="H2618" s="88" t="n"/>
      <c r="I2618" s="88" t="n"/>
      <c r="J2618" s="89" t="n"/>
      <c r="K2618" s="88" t="n"/>
      <c r="L2618" s="88" t="n"/>
      <c r="M2618" s="88" t="n"/>
      <c r="N2618" s="89" t="n"/>
      <c r="O2618" s="88" t="n"/>
      <c r="P2618" s="88" t="n"/>
      <c r="Q2618" s="88" t="n"/>
      <c r="R2618" s="89" t="n"/>
      <c r="S2618" s="88" t="n"/>
      <c r="T2618" s="88" t="n"/>
      <c r="U2618" s="88" t="n"/>
      <c r="V2618" s="89" t="n"/>
      <c r="W2618" s="88" t="n"/>
      <c r="X2618" s="89" t="n"/>
      <c r="Y2618" s="88" t="n"/>
      <c r="Z2618" s="89" t="n"/>
      <c r="AB2618" s="25">
        <f>IF($B2618="","",(COUNTIF(C2618:E2618,"?*")&lt;N(INDEX(Setup!$L$6:$L$23,11)))+(COUNTIF(G2618:I2618,"?*")&lt;N(INDEX(Setup!$L$6:$L$23,11)))+(COUNTIF(K2618:M2618,"?*")&lt;N(INDEX(Setup!$L$6:$L$23,11)))+(COUNTIF(O2618:Q2618,"?*")&lt;N(INDEX(Setup!$L$6:$L$23,11)))+(COUNTIF(S2618:U2618,"?*")&lt;N(INDEX(Setup!$L$6:$L$23,11)))+((W2618="")*(INDEX(Setup!$M$6:$M$23,11)="Y"))+((Y2618="")*(INDEX(Setup!$M$6:$M$23,11)="Y")))</f>
        <v/>
      </c>
      <c r="AC2618" s="90">
        <f>IF($B2618="","",IF(AB2618=0,"✓ covered","⚠ "&amp;AB2618&amp;IF(AB2618=1," gap"," gaps")))</f>
        <v/>
      </c>
    </row>
    <row r="2619" ht="17" customHeight="1">
      <c r="A2619" t="n">
        <v>53</v>
      </c>
      <c r="B2619" s="29">
        <f>IF(Setup!$K$17="","",Setup!$K$17)</f>
        <v/>
      </c>
      <c r="C2619" s="88" t="n"/>
      <c r="D2619" s="88" t="n"/>
      <c r="E2619" s="88" t="n"/>
      <c r="F2619" s="89" t="n"/>
      <c r="G2619" s="88" t="n"/>
      <c r="H2619" s="88" t="n"/>
      <c r="I2619" s="88" t="n"/>
      <c r="J2619" s="89" t="n"/>
      <c r="K2619" s="88" t="n"/>
      <c r="L2619" s="88" t="n"/>
      <c r="M2619" s="88" t="n"/>
      <c r="N2619" s="89" t="n"/>
      <c r="O2619" s="88" t="n"/>
      <c r="P2619" s="88" t="n"/>
      <c r="Q2619" s="88" t="n"/>
      <c r="R2619" s="89" t="n"/>
      <c r="S2619" s="88" t="n"/>
      <c r="T2619" s="88" t="n"/>
      <c r="U2619" s="88" t="n"/>
      <c r="V2619" s="89" t="n"/>
      <c r="W2619" s="88" t="n"/>
      <c r="X2619" s="89" t="n"/>
      <c r="Y2619" s="88" t="n"/>
      <c r="Z2619" s="89" t="n"/>
      <c r="AB2619" s="30">
        <f>IF($B2619="","",(COUNTIF(C2619:E2619,"?*")&lt;N(INDEX(Setup!$L$6:$L$23,12)))+(COUNTIF(G2619:I2619,"?*")&lt;N(INDEX(Setup!$L$6:$L$23,12)))+(COUNTIF(K2619:M2619,"?*")&lt;N(INDEX(Setup!$L$6:$L$23,12)))+(COUNTIF(O2619:Q2619,"?*")&lt;N(INDEX(Setup!$L$6:$L$23,12)))+(COUNTIF(S2619:U2619,"?*")&lt;N(INDEX(Setup!$L$6:$L$23,12)))+((W2619="")*(INDEX(Setup!$M$6:$M$23,12)="Y"))+((Y2619="")*(INDEX(Setup!$M$6:$M$23,12)="Y")))</f>
        <v/>
      </c>
      <c r="AC2619" s="91">
        <f>IF($B2619="","",IF(AB2619=0,"✓ covered","⚠ "&amp;AB2619&amp;IF(AB2619=1," gap"," gaps")))</f>
        <v/>
      </c>
    </row>
    <row r="2620" ht="17" customHeight="1">
      <c r="A2620" t="n">
        <v>53</v>
      </c>
      <c r="B2620" s="24">
        <f>IF(Setup!$K$18="","",Setup!$K$18)</f>
        <v/>
      </c>
      <c r="C2620" s="88" t="n"/>
      <c r="D2620" s="88" t="n"/>
      <c r="E2620" s="88" t="n"/>
      <c r="F2620" s="89" t="n"/>
      <c r="G2620" s="88" t="n"/>
      <c r="H2620" s="88" t="n"/>
      <c r="I2620" s="88" t="n"/>
      <c r="J2620" s="89" t="n"/>
      <c r="K2620" s="88" t="n"/>
      <c r="L2620" s="88" t="n"/>
      <c r="M2620" s="88" t="n"/>
      <c r="N2620" s="89" t="n"/>
      <c r="O2620" s="88" t="n"/>
      <c r="P2620" s="88" t="n"/>
      <c r="Q2620" s="88" t="n"/>
      <c r="R2620" s="89" t="n"/>
      <c r="S2620" s="88" t="n"/>
      <c r="T2620" s="88" t="n"/>
      <c r="U2620" s="88" t="n"/>
      <c r="V2620" s="89" t="n"/>
      <c r="W2620" s="88" t="n"/>
      <c r="X2620" s="89" t="n"/>
      <c r="Y2620" s="88" t="n"/>
      <c r="Z2620" s="89" t="n"/>
      <c r="AB2620" s="25">
        <f>IF($B2620="","",(COUNTIF(C2620:E2620,"?*")&lt;N(INDEX(Setup!$L$6:$L$23,13)))+(COUNTIF(G2620:I2620,"?*")&lt;N(INDEX(Setup!$L$6:$L$23,13)))+(COUNTIF(K2620:M2620,"?*")&lt;N(INDEX(Setup!$L$6:$L$23,13)))+(COUNTIF(O2620:Q2620,"?*")&lt;N(INDEX(Setup!$L$6:$L$23,13)))+(COUNTIF(S2620:U2620,"?*")&lt;N(INDEX(Setup!$L$6:$L$23,13)))+((W2620="")*(INDEX(Setup!$M$6:$M$23,13)="Y"))+((Y2620="")*(INDEX(Setup!$M$6:$M$23,13)="Y")))</f>
        <v/>
      </c>
      <c r="AC2620" s="90">
        <f>IF($B2620="","",IF(AB2620=0,"✓ covered","⚠ "&amp;AB2620&amp;IF(AB2620=1," gap"," gaps")))</f>
        <v/>
      </c>
    </row>
    <row r="2621" ht="17" customHeight="1">
      <c r="A2621" t="n">
        <v>53</v>
      </c>
      <c r="B2621" s="29">
        <f>IF(Setup!$K$19="","",Setup!$K$19)</f>
        <v/>
      </c>
      <c r="C2621" s="88" t="n"/>
      <c r="D2621" s="88" t="n"/>
      <c r="E2621" s="88" t="n"/>
      <c r="F2621" s="89" t="n"/>
      <c r="G2621" s="88" t="n"/>
      <c r="H2621" s="88" t="n"/>
      <c r="I2621" s="88" t="n"/>
      <c r="J2621" s="89" t="n"/>
      <c r="K2621" s="88" t="n"/>
      <c r="L2621" s="88" t="n"/>
      <c r="M2621" s="88" t="n"/>
      <c r="N2621" s="89" t="n"/>
      <c r="O2621" s="88" t="n"/>
      <c r="P2621" s="88" t="n"/>
      <c r="Q2621" s="88" t="n"/>
      <c r="R2621" s="89" t="n"/>
      <c r="S2621" s="88" t="n"/>
      <c r="T2621" s="88" t="n"/>
      <c r="U2621" s="88" t="n"/>
      <c r="V2621" s="89" t="n"/>
      <c r="W2621" s="88" t="n"/>
      <c r="X2621" s="89" t="n"/>
      <c r="Y2621" s="88" t="n"/>
      <c r="Z2621" s="89" t="n"/>
      <c r="AB2621" s="30">
        <f>IF($B2621="","",(COUNTIF(C2621:E2621,"?*")&lt;N(INDEX(Setup!$L$6:$L$23,14)))+(COUNTIF(G2621:I2621,"?*")&lt;N(INDEX(Setup!$L$6:$L$23,14)))+(COUNTIF(K2621:M2621,"?*")&lt;N(INDEX(Setup!$L$6:$L$23,14)))+(COUNTIF(O2621:Q2621,"?*")&lt;N(INDEX(Setup!$L$6:$L$23,14)))+(COUNTIF(S2621:U2621,"?*")&lt;N(INDEX(Setup!$L$6:$L$23,14)))+((W2621="")*(INDEX(Setup!$M$6:$M$23,14)="Y"))+((Y2621="")*(INDEX(Setup!$M$6:$M$23,14)="Y")))</f>
        <v/>
      </c>
      <c r="AC2621" s="91">
        <f>IF($B2621="","",IF(AB2621=0,"✓ covered","⚠ "&amp;AB2621&amp;IF(AB2621=1," gap"," gaps")))</f>
        <v/>
      </c>
    </row>
    <row r="2622" ht="17" customHeight="1">
      <c r="A2622" t="n">
        <v>53</v>
      </c>
      <c r="B2622" s="24">
        <f>IF(Setup!$K$20="","",Setup!$K$20)</f>
        <v/>
      </c>
      <c r="C2622" s="88" t="n"/>
      <c r="D2622" s="88" t="n"/>
      <c r="E2622" s="88" t="n"/>
      <c r="F2622" s="89" t="n"/>
      <c r="G2622" s="88" t="n"/>
      <c r="H2622" s="88" t="n"/>
      <c r="I2622" s="88" t="n"/>
      <c r="J2622" s="89" t="n"/>
      <c r="K2622" s="88" t="n"/>
      <c r="L2622" s="88" t="n"/>
      <c r="M2622" s="88" t="n"/>
      <c r="N2622" s="89" t="n"/>
      <c r="O2622" s="88" t="n"/>
      <c r="P2622" s="88" t="n"/>
      <c r="Q2622" s="88" t="n"/>
      <c r="R2622" s="89" t="n"/>
      <c r="S2622" s="88" t="n"/>
      <c r="T2622" s="88" t="n"/>
      <c r="U2622" s="88" t="n"/>
      <c r="V2622" s="89" t="n"/>
      <c r="W2622" s="88" t="n"/>
      <c r="X2622" s="89" t="n"/>
      <c r="Y2622" s="88" t="n"/>
      <c r="Z2622" s="89" t="n"/>
      <c r="AB2622" s="25">
        <f>IF($B2622="","",(COUNTIF(C2622:E2622,"?*")&lt;N(INDEX(Setup!$L$6:$L$23,15)))+(COUNTIF(G2622:I2622,"?*")&lt;N(INDEX(Setup!$L$6:$L$23,15)))+(COUNTIF(K2622:M2622,"?*")&lt;N(INDEX(Setup!$L$6:$L$23,15)))+(COUNTIF(O2622:Q2622,"?*")&lt;N(INDEX(Setup!$L$6:$L$23,15)))+(COUNTIF(S2622:U2622,"?*")&lt;N(INDEX(Setup!$L$6:$L$23,15)))+((W2622="")*(INDEX(Setup!$M$6:$M$23,15)="Y"))+((Y2622="")*(INDEX(Setup!$M$6:$M$23,15)="Y")))</f>
        <v/>
      </c>
      <c r="AC2622" s="90">
        <f>IF($B2622="","",IF(AB2622=0,"✓ covered","⚠ "&amp;AB2622&amp;IF(AB2622=1," gap"," gaps")))</f>
        <v/>
      </c>
    </row>
    <row r="2623" ht="17" customHeight="1">
      <c r="A2623" t="n">
        <v>53</v>
      </c>
      <c r="B2623" s="29">
        <f>IF(Setup!$K$21="","",Setup!$K$21)</f>
        <v/>
      </c>
      <c r="C2623" s="88" t="n"/>
      <c r="D2623" s="88" t="n"/>
      <c r="E2623" s="88" t="n"/>
      <c r="F2623" s="89" t="n"/>
      <c r="G2623" s="88" t="n"/>
      <c r="H2623" s="88" t="n"/>
      <c r="I2623" s="88" t="n"/>
      <c r="J2623" s="89" t="n"/>
      <c r="K2623" s="88" t="n"/>
      <c r="L2623" s="88" t="n"/>
      <c r="M2623" s="88" t="n"/>
      <c r="N2623" s="89" t="n"/>
      <c r="O2623" s="88" t="n"/>
      <c r="P2623" s="88" t="n"/>
      <c r="Q2623" s="88" t="n"/>
      <c r="R2623" s="89" t="n"/>
      <c r="S2623" s="88" t="n"/>
      <c r="T2623" s="88" t="n"/>
      <c r="U2623" s="88" t="n"/>
      <c r="V2623" s="89" t="n"/>
      <c r="W2623" s="88" t="n"/>
      <c r="X2623" s="89" t="n"/>
      <c r="Y2623" s="88" t="n"/>
      <c r="Z2623" s="89" t="n"/>
      <c r="AB2623" s="30">
        <f>IF($B2623="","",(COUNTIF(C2623:E2623,"?*")&lt;N(INDEX(Setup!$L$6:$L$23,16)))+(COUNTIF(G2623:I2623,"?*")&lt;N(INDEX(Setup!$L$6:$L$23,16)))+(COUNTIF(K2623:M2623,"?*")&lt;N(INDEX(Setup!$L$6:$L$23,16)))+(COUNTIF(O2623:Q2623,"?*")&lt;N(INDEX(Setup!$L$6:$L$23,16)))+(COUNTIF(S2623:U2623,"?*")&lt;N(INDEX(Setup!$L$6:$L$23,16)))+((W2623="")*(INDEX(Setup!$M$6:$M$23,16)="Y"))+((Y2623="")*(INDEX(Setup!$M$6:$M$23,16)="Y")))</f>
        <v/>
      </c>
      <c r="AC2623" s="91">
        <f>IF($B2623="","",IF(AB2623=0,"✓ covered","⚠ "&amp;AB2623&amp;IF(AB2623=1," gap"," gaps")))</f>
        <v/>
      </c>
    </row>
    <row r="2624" ht="17" customHeight="1">
      <c r="A2624" t="n">
        <v>53</v>
      </c>
      <c r="B2624" s="24">
        <f>IF(Setup!$K$22="","",Setup!$K$22)</f>
        <v/>
      </c>
      <c r="C2624" s="88" t="n"/>
      <c r="D2624" s="88" t="n"/>
      <c r="E2624" s="88" t="n"/>
      <c r="F2624" s="89" t="n"/>
      <c r="G2624" s="88" t="n"/>
      <c r="H2624" s="88" t="n"/>
      <c r="I2624" s="88" t="n"/>
      <c r="J2624" s="89" t="n"/>
      <c r="K2624" s="88" t="n"/>
      <c r="L2624" s="88" t="n"/>
      <c r="M2624" s="88" t="n"/>
      <c r="N2624" s="89" t="n"/>
      <c r="O2624" s="88" t="n"/>
      <c r="P2624" s="88" t="n"/>
      <c r="Q2624" s="88" t="n"/>
      <c r="R2624" s="89" t="n"/>
      <c r="S2624" s="88" t="n"/>
      <c r="T2624" s="88" t="n"/>
      <c r="U2624" s="88" t="n"/>
      <c r="V2624" s="89" t="n"/>
      <c r="W2624" s="88" t="n"/>
      <c r="X2624" s="89" t="n"/>
      <c r="Y2624" s="88" t="n"/>
      <c r="Z2624" s="89" t="n"/>
      <c r="AB2624" s="25">
        <f>IF($B2624="","",(COUNTIF(C2624:E2624,"?*")&lt;N(INDEX(Setup!$L$6:$L$23,17)))+(COUNTIF(G2624:I2624,"?*")&lt;N(INDEX(Setup!$L$6:$L$23,17)))+(COUNTIF(K2624:M2624,"?*")&lt;N(INDEX(Setup!$L$6:$L$23,17)))+(COUNTIF(O2624:Q2624,"?*")&lt;N(INDEX(Setup!$L$6:$L$23,17)))+(COUNTIF(S2624:U2624,"?*")&lt;N(INDEX(Setup!$L$6:$L$23,17)))+((W2624="")*(INDEX(Setup!$M$6:$M$23,17)="Y"))+((Y2624="")*(INDEX(Setup!$M$6:$M$23,17)="Y")))</f>
        <v/>
      </c>
      <c r="AC2624" s="90">
        <f>IF($B2624="","",IF(AB2624=0,"✓ covered","⚠ "&amp;AB2624&amp;IF(AB2624=1," gap"," gaps")))</f>
        <v/>
      </c>
    </row>
    <row r="2625" ht="17" customHeight="1">
      <c r="A2625" t="n">
        <v>53</v>
      </c>
      <c r="B2625" s="29">
        <f>IF(Setup!$K$23="","",Setup!$K$23)</f>
        <v/>
      </c>
      <c r="C2625" s="88" t="n"/>
      <c r="D2625" s="88" t="n"/>
      <c r="E2625" s="88" t="n"/>
      <c r="F2625" s="89" t="n"/>
      <c r="G2625" s="88" t="n"/>
      <c r="H2625" s="88" t="n"/>
      <c r="I2625" s="88" t="n"/>
      <c r="J2625" s="89" t="n"/>
      <c r="K2625" s="88" t="n"/>
      <c r="L2625" s="88" t="n"/>
      <c r="M2625" s="88" t="n"/>
      <c r="N2625" s="89" t="n"/>
      <c r="O2625" s="88" t="n"/>
      <c r="P2625" s="88" t="n"/>
      <c r="Q2625" s="88" t="n"/>
      <c r="R2625" s="89" t="n"/>
      <c r="S2625" s="88" t="n"/>
      <c r="T2625" s="88" t="n"/>
      <c r="U2625" s="88" t="n"/>
      <c r="V2625" s="89" t="n"/>
      <c r="W2625" s="88" t="n"/>
      <c r="X2625" s="89" t="n"/>
      <c r="Y2625" s="88" t="n"/>
      <c r="Z2625" s="89" t="n"/>
      <c r="AB2625" s="30">
        <f>IF($B2625="","",(COUNTIF(C2625:E2625,"?*")&lt;N(INDEX(Setup!$L$6:$L$23,18)))+(COUNTIF(G2625:I2625,"?*")&lt;N(INDEX(Setup!$L$6:$L$23,18)))+(COUNTIF(K2625:M2625,"?*")&lt;N(INDEX(Setup!$L$6:$L$23,18)))+(COUNTIF(O2625:Q2625,"?*")&lt;N(INDEX(Setup!$L$6:$L$23,18)))+(COUNTIF(S2625:U2625,"?*")&lt;N(INDEX(Setup!$L$6:$L$23,18)))+((W2625="")*(INDEX(Setup!$M$6:$M$23,18)="Y"))+((Y2625="")*(INDEX(Setup!$M$6:$M$23,18)="Y")))</f>
        <v/>
      </c>
      <c r="AC2625" s="91">
        <f>IF($B2625="","",IF(AB2625=0,"✓ covered","⚠ "&amp;AB2625&amp;IF(AB2625=1," gap"," gaps")))</f>
        <v/>
      </c>
    </row>
    <row r="2626" ht="18" customHeight="1">
      <c r="A2626" t="n">
        <v>53</v>
      </c>
      <c r="B2626" s="78" t="inlineStr">
        <is>
          <t>TEAM AVAILABILITY</t>
        </is>
      </c>
      <c r="C2626" s="92" t="inlineStr">
        <is>
          <t>Mon</t>
        </is>
      </c>
      <c r="D2626" s="93" t="n"/>
      <c r="E2626" s="93" t="n"/>
      <c r="F2626" s="94" t="n"/>
      <c r="G2626" s="92" t="inlineStr">
        <is>
          <t>Tue</t>
        </is>
      </c>
      <c r="H2626" s="93" t="n"/>
      <c r="I2626" s="93" t="n"/>
      <c r="J2626" s="94" t="n"/>
      <c r="K2626" s="92" t="inlineStr">
        <is>
          <t>Wed</t>
        </is>
      </c>
      <c r="L2626" s="93" t="n"/>
      <c r="M2626" s="93" t="n"/>
      <c r="N2626" s="94" t="n"/>
      <c r="O2626" s="92" t="inlineStr">
        <is>
          <t>Thu</t>
        </is>
      </c>
      <c r="P2626" s="93" t="n"/>
      <c r="Q2626" s="93" t="n"/>
      <c r="R2626" s="94" t="n"/>
      <c r="S2626" s="92" t="inlineStr">
        <is>
          <t>Fri</t>
        </is>
      </c>
      <c r="T2626" s="93" t="n"/>
      <c r="U2626" s="93" t="n"/>
      <c r="V2626" s="94" t="n"/>
      <c r="W2626" s="95" t="inlineStr">
        <is>
          <t>Sat</t>
        </is>
      </c>
      <c r="X2626" s="96" t="n"/>
      <c r="Y2626" s="95" t="inlineStr">
        <is>
          <t>Sun</t>
        </is>
      </c>
      <c r="Z2626" s="96" t="n"/>
      <c r="AB2626" s="97" t="inlineStr">
        <is>
          <t>Days rostered</t>
        </is>
      </c>
      <c r="AC2626" s="97" t="inlineStr">
        <is>
          <t>Conflicts</t>
        </is>
      </c>
    </row>
    <row r="2627" ht="15" customHeight="1">
      <c r="A2627" t="n">
        <v>53</v>
      </c>
      <c r="B2627" s="35">
        <f>IF(Setup!$B$6="","",Setup!$B$6)</f>
        <v/>
      </c>
      <c r="C2627" s="98" t="n"/>
      <c r="D2627" s="99" t="n"/>
      <c r="E2627" s="99" t="n"/>
      <c r="F2627" s="100" t="n"/>
      <c r="G2627" s="98" t="n"/>
      <c r="H2627" s="99" t="n"/>
      <c r="I2627" s="99" t="n"/>
      <c r="J2627" s="100" t="n"/>
      <c r="K2627" s="98" t="n"/>
      <c r="L2627" s="99" t="n"/>
      <c r="M2627" s="99" t="n"/>
      <c r="N2627" s="100" t="n"/>
      <c r="O2627" s="98" t="n"/>
      <c r="P2627" s="99" t="n"/>
      <c r="Q2627" s="99" t="n"/>
      <c r="R2627" s="100" t="n"/>
      <c r="S2627" s="98" t="n"/>
      <c r="T2627" s="99" t="n"/>
      <c r="U2627" s="99" t="n"/>
      <c r="V2627" s="100" t="n"/>
      <c r="W2627" s="98" t="n"/>
      <c r="X2627" s="100" t="n"/>
      <c r="Y2627" s="98" t="n"/>
      <c r="Z2627" s="100" t="n"/>
      <c r="AB2627" s="101">
        <f>IF($B2627="","",(COUNTIF(C2608:E2625,$B2627)+COUNTIF(C2608:E2625,$B2627&amp;" ~*")&gt;0)+(COUNTIF(G2608:I2625,$B2627)+COUNTIF(G2608:I2625,$B2627&amp;" ~*")&gt;0)+(COUNTIF(K2608:M2625,$B2627)+COUNTIF(K2608:M2625,$B2627&amp;" ~*")&gt;0)+(COUNTIF(O2608:Q2625,$B2627)+COUNTIF(O2608:Q2625,$B2627&amp;" ~*")&gt;0)+(COUNTIF(S2608:U2625,$B2627)+COUNTIF(S2608:U2625,$B2627&amp;" ~*")&gt;0)+(COUNTIF(W2608:W2625,$B2627)+COUNTIF(W2608:W2625,$B2627&amp;" ~*")&gt;0)+(COUNTIF(Y2608:Y2625,$B2627)+COUNTIF(Y2608:Y2625,$B2627&amp;" ~*")&gt;0))</f>
        <v/>
      </c>
      <c r="AC2627" s="36">
        <f>IF($B2627="","",(IFERROR(INDEX(Setup!$G$33:$G$40,MATCH(C2627,Setup!$B$33:$B$40,0)),0)=1)*(COUNTIF(C2608:E2625,$B2627)+COUNTIF(C2608:E2625,$B2627&amp;" ~*")&gt;0)+(IFERROR(INDEX(Setup!$G$33:$G$40,MATCH(G2627,Setup!$B$33:$B$40,0)),0)=1)*(COUNTIF(G2608:I2625,$B2627)+COUNTIF(G2608:I2625,$B2627&amp;" ~*")&gt;0)+(IFERROR(INDEX(Setup!$G$33:$G$40,MATCH(K2627,Setup!$B$33:$B$40,0)),0)=1)*(COUNTIF(K2608:M2625,$B2627)+COUNTIF(K2608:M2625,$B2627&amp;" ~*")&gt;0)+(IFERROR(INDEX(Setup!$G$33:$G$40,MATCH(O2627,Setup!$B$33:$B$40,0)),0)=1)*(COUNTIF(O2608:Q2625,$B2627)+COUNTIF(O2608:Q2625,$B2627&amp;" ~*")&gt;0)+(IFERROR(INDEX(Setup!$G$33:$G$40,MATCH(S2627,Setup!$B$33:$B$40,0)),0)=1)*(COUNTIF(S2608:U2625,$B2627)+COUNTIF(S2608:U2625,$B2627&amp;" ~*")&gt;0)+(IFERROR(INDEX(Setup!$G$33:$G$40,MATCH(W2627,Setup!$B$33:$B$40,0)),0)=1)*(COUNTIF(W2608:W2625,$B2627)+COUNTIF(W2608:W2625,$B2627&amp;" ~*")&gt;0)+(IFERROR(INDEX(Setup!$G$33:$G$40,MATCH(Y2627,Setup!$B$33:$B$40,0)),0)=1)*(COUNTIF(Y2608:Y2625,$B2627)+COUNTIF(Y2608:Y2625,$B2627&amp;" ~*")&gt;0))</f>
        <v/>
      </c>
    </row>
    <row r="2628" ht="15" customHeight="1">
      <c r="A2628" t="n">
        <v>53</v>
      </c>
      <c r="B2628" s="37">
        <f>IF(Setup!$B$7="","",Setup!$B$7)</f>
        <v/>
      </c>
      <c r="C2628" s="102" t="n"/>
      <c r="D2628" s="103" t="n"/>
      <c r="E2628" s="103" t="n"/>
      <c r="F2628" s="104" t="n"/>
      <c r="G2628" s="102" t="n"/>
      <c r="H2628" s="103" t="n"/>
      <c r="I2628" s="103" t="n"/>
      <c r="J2628" s="104" t="n"/>
      <c r="K2628" s="102" t="n"/>
      <c r="L2628" s="103" t="n"/>
      <c r="M2628" s="103" t="n"/>
      <c r="N2628" s="104" t="n"/>
      <c r="O2628" s="102" t="n"/>
      <c r="P2628" s="103" t="n"/>
      <c r="Q2628" s="103" t="n"/>
      <c r="R2628" s="104" t="n"/>
      <c r="S2628" s="102" t="n"/>
      <c r="T2628" s="103" t="n"/>
      <c r="U2628" s="103" t="n"/>
      <c r="V2628" s="104" t="n"/>
      <c r="W2628" s="102" t="n"/>
      <c r="X2628" s="104" t="n"/>
      <c r="Y2628" s="102" t="n"/>
      <c r="Z2628" s="104" t="n"/>
      <c r="AB2628" s="105">
        <f>IF($B2628="","",(COUNTIF(C2608:E2625,$B2628)+COUNTIF(C2608:E2625,$B2628&amp;" ~*")&gt;0)+(COUNTIF(G2608:I2625,$B2628)+COUNTIF(G2608:I2625,$B2628&amp;" ~*")&gt;0)+(COUNTIF(K2608:M2625,$B2628)+COUNTIF(K2608:M2625,$B2628&amp;" ~*")&gt;0)+(COUNTIF(O2608:Q2625,$B2628)+COUNTIF(O2608:Q2625,$B2628&amp;" ~*")&gt;0)+(COUNTIF(S2608:U2625,$B2628)+COUNTIF(S2608:U2625,$B2628&amp;" ~*")&gt;0)+(COUNTIF(W2608:W2625,$B2628)+COUNTIF(W2608:W2625,$B2628&amp;" ~*")&gt;0)+(COUNTIF(Y2608:Y2625,$B2628)+COUNTIF(Y2608:Y2625,$B2628&amp;" ~*")&gt;0))</f>
        <v/>
      </c>
      <c r="AC2628" s="38">
        <f>IF($B2628="","",(IFERROR(INDEX(Setup!$G$33:$G$40,MATCH(C2628,Setup!$B$33:$B$40,0)),0)=1)*(COUNTIF(C2608:E2625,$B2628)+COUNTIF(C2608:E2625,$B2628&amp;" ~*")&gt;0)+(IFERROR(INDEX(Setup!$G$33:$G$40,MATCH(G2628,Setup!$B$33:$B$40,0)),0)=1)*(COUNTIF(G2608:I2625,$B2628)+COUNTIF(G2608:I2625,$B2628&amp;" ~*")&gt;0)+(IFERROR(INDEX(Setup!$G$33:$G$40,MATCH(K2628,Setup!$B$33:$B$40,0)),0)=1)*(COUNTIF(K2608:M2625,$B2628)+COUNTIF(K2608:M2625,$B2628&amp;" ~*")&gt;0)+(IFERROR(INDEX(Setup!$G$33:$G$40,MATCH(O2628,Setup!$B$33:$B$40,0)),0)=1)*(COUNTIF(O2608:Q2625,$B2628)+COUNTIF(O2608:Q2625,$B2628&amp;" ~*")&gt;0)+(IFERROR(INDEX(Setup!$G$33:$G$40,MATCH(S2628,Setup!$B$33:$B$40,0)),0)=1)*(COUNTIF(S2608:U2625,$B2628)+COUNTIF(S2608:U2625,$B2628&amp;" ~*")&gt;0)+(IFERROR(INDEX(Setup!$G$33:$G$40,MATCH(W2628,Setup!$B$33:$B$40,0)),0)=1)*(COUNTIF(W2608:W2625,$B2628)+COUNTIF(W2608:W2625,$B2628&amp;" ~*")&gt;0)+(IFERROR(INDEX(Setup!$G$33:$G$40,MATCH(Y2628,Setup!$B$33:$B$40,0)),0)=1)*(COUNTIF(Y2608:Y2625,$B2628)+COUNTIF(Y2608:Y2625,$B2628&amp;" ~*")&gt;0))</f>
        <v/>
      </c>
    </row>
    <row r="2629" ht="15" customHeight="1">
      <c r="A2629" t="n">
        <v>53</v>
      </c>
      <c r="B2629" s="35">
        <f>IF(Setup!$B$8="","",Setup!$B$8)</f>
        <v/>
      </c>
      <c r="C2629" s="98" t="n"/>
      <c r="D2629" s="99" t="n"/>
      <c r="E2629" s="99" t="n"/>
      <c r="F2629" s="100" t="n"/>
      <c r="G2629" s="98" t="n"/>
      <c r="H2629" s="99" t="n"/>
      <c r="I2629" s="99" t="n"/>
      <c r="J2629" s="100" t="n"/>
      <c r="K2629" s="98" t="n"/>
      <c r="L2629" s="99" t="n"/>
      <c r="M2629" s="99" t="n"/>
      <c r="N2629" s="100" t="n"/>
      <c r="O2629" s="98" t="n"/>
      <c r="P2629" s="99" t="n"/>
      <c r="Q2629" s="99" t="n"/>
      <c r="R2629" s="100" t="n"/>
      <c r="S2629" s="98" t="n"/>
      <c r="T2629" s="99" t="n"/>
      <c r="U2629" s="99" t="n"/>
      <c r="V2629" s="100" t="n"/>
      <c r="W2629" s="98" t="n"/>
      <c r="X2629" s="100" t="n"/>
      <c r="Y2629" s="98" t="n"/>
      <c r="Z2629" s="100" t="n"/>
      <c r="AB2629" s="101">
        <f>IF($B2629="","",(COUNTIF(C2608:E2625,$B2629)+COUNTIF(C2608:E2625,$B2629&amp;" ~*")&gt;0)+(COUNTIF(G2608:I2625,$B2629)+COUNTIF(G2608:I2625,$B2629&amp;" ~*")&gt;0)+(COUNTIF(K2608:M2625,$B2629)+COUNTIF(K2608:M2625,$B2629&amp;" ~*")&gt;0)+(COUNTIF(O2608:Q2625,$B2629)+COUNTIF(O2608:Q2625,$B2629&amp;" ~*")&gt;0)+(COUNTIF(S2608:U2625,$B2629)+COUNTIF(S2608:U2625,$B2629&amp;" ~*")&gt;0)+(COUNTIF(W2608:W2625,$B2629)+COUNTIF(W2608:W2625,$B2629&amp;" ~*")&gt;0)+(COUNTIF(Y2608:Y2625,$B2629)+COUNTIF(Y2608:Y2625,$B2629&amp;" ~*")&gt;0))</f>
        <v/>
      </c>
      <c r="AC2629" s="36">
        <f>IF($B2629="","",(IFERROR(INDEX(Setup!$G$33:$G$40,MATCH(C2629,Setup!$B$33:$B$40,0)),0)=1)*(COUNTIF(C2608:E2625,$B2629)+COUNTIF(C2608:E2625,$B2629&amp;" ~*")&gt;0)+(IFERROR(INDEX(Setup!$G$33:$G$40,MATCH(G2629,Setup!$B$33:$B$40,0)),0)=1)*(COUNTIF(G2608:I2625,$B2629)+COUNTIF(G2608:I2625,$B2629&amp;" ~*")&gt;0)+(IFERROR(INDEX(Setup!$G$33:$G$40,MATCH(K2629,Setup!$B$33:$B$40,0)),0)=1)*(COUNTIF(K2608:M2625,$B2629)+COUNTIF(K2608:M2625,$B2629&amp;" ~*")&gt;0)+(IFERROR(INDEX(Setup!$G$33:$G$40,MATCH(O2629,Setup!$B$33:$B$40,0)),0)=1)*(COUNTIF(O2608:Q2625,$B2629)+COUNTIF(O2608:Q2625,$B2629&amp;" ~*")&gt;0)+(IFERROR(INDEX(Setup!$G$33:$G$40,MATCH(S2629,Setup!$B$33:$B$40,0)),0)=1)*(COUNTIF(S2608:U2625,$B2629)+COUNTIF(S2608:U2625,$B2629&amp;" ~*")&gt;0)+(IFERROR(INDEX(Setup!$G$33:$G$40,MATCH(W2629,Setup!$B$33:$B$40,0)),0)=1)*(COUNTIF(W2608:W2625,$B2629)+COUNTIF(W2608:W2625,$B2629&amp;" ~*")&gt;0)+(IFERROR(INDEX(Setup!$G$33:$G$40,MATCH(Y2629,Setup!$B$33:$B$40,0)),0)=1)*(COUNTIF(Y2608:Y2625,$B2629)+COUNTIF(Y2608:Y2625,$B2629&amp;" ~*")&gt;0))</f>
        <v/>
      </c>
    </row>
    <row r="2630" ht="15" customHeight="1">
      <c r="A2630" t="n">
        <v>53</v>
      </c>
      <c r="B2630" s="37">
        <f>IF(Setup!$B$9="","",Setup!$B$9)</f>
        <v/>
      </c>
      <c r="C2630" s="102" t="n"/>
      <c r="D2630" s="103" t="n"/>
      <c r="E2630" s="103" t="n"/>
      <c r="F2630" s="104" t="n"/>
      <c r="G2630" s="102" t="n"/>
      <c r="H2630" s="103" t="n"/>
      <c r="I2630" s="103" t="n"/>
      <c r="J2630" s="104" t="n"/>
      <c r="K2630" s="102" t="n"/>
      <c r="L2630" s="103" t="n"/>
      <c r="M2630" s="103" t="n"/>
      <c r="N2630" s="104" t="n"/>
      <c r="O2630" s="102" t="n"/>
      <c r="P2630" s="103" t="n"/>
      <c r="Q2630" s="103" t="n"/>
      <c r="R2630" s="104" t="n"/>
      <c r="S2630" s="102" t="n"/>
      <c r="T2630" s="103" t="n"/>
      <c r="U2630" s="103" t="n"/>
      <c r="V2630" s="104" t="n"/>
      <c r="W2630" s="102" t="n"/>
      <c r="X2630" s="104" t="n"/>
      <c r="Y2630" s="102" t="n"/>
      <c r="Z2630" s="104" t="n"/>
      <c r="AB2630" s="105">
        <f>IF($B2630="","",(COUNTIF(C2608:E2625,$B2630)+COUNTIF(C2608:E2625,$B2630&amp;" ~*")&gt;0)+(COUNTIF(G2608:I2625,$B2630)+COUNTIF(G2608:I2625,$B2630&amp;" ~*")&gt;0)+(COUNTIF(K2608:M2625,$B2630)+COUNTIF(K2608:M2625,$B2630&amp;" ~*")&gt;0)+(COUNTIF(O2608:Q2625,$B2630)+COUNTIF(O2608:Q2625,$B2630&amp;" ~*")&gt;0)+(COUNTIF(S2608:U2625,$B2630)+COUNTIF(S2608:U2625,$B2630&amp;" ~*")&gt;0)+(COUNTIF(W2608:W2625,$B2630)+COUNTIF(W2608:W2625,$B2630&amp;" ~*")&gt;0)+(COUNTIF(Y2608:Y2625,$B2630)+COUNTIF(Y2608:Y2625,$B2630&amp;" ~*")&gt;0))</f>
        <v/>
      </c>
      <c r="AC2630" s="38">
        <f>IF($B2630="","",(IFERROR(INDEX(Setup!$G$33:$G$40,MATCH(C2630,Setup!$B$33:$B$40,0)),0)=1)*(COUNTIF(C2608:E2625,$B2630)+COUNTIF(C2608:E2625,$B2630&amp;" ~*")&gt;0)+(IFERROR(INDEX(Setup!$G$33:$G$40,MATCH(G2630,Setup!$B$33:$B$40,0)),0)=1)*(COUNTIF(G2608:I2625,$B2630)+COUNTIF(G2608:I2625,$B2630&amp;" ~*")&gt;0)+(IFERROR(INDEX(Setup!$G$33:$G$40,MATCH(K2630,Setup!$B$33:$B$40,0)),0)=1)*(COUNTIF(K2608:M2625,$B2630)+COUNTIF(K2608:M2625,$B2630&amp;" ~*")&gt;0)+(IFERROR(INDEX(Setup!$G$33:$G$40,MATCH(O2630,Setup!$B$33:$B$40,0)),0)=1)*(COUNTIF(O2608:Q2625,$B2630)+COUNTIF(O2608:Q2625,$B2630&amp;" ~*")&gt;0)+(IFERROR(INDEX(Setup!$G$33:$G$40,MATCH(S2630,Setup!$B$33:$B$40,0)),0)=1)*(COUNTIF(S2608:U2625,$B2630)+COUNTIF(S2608:U2625,$B2630&amp;" ~*")&gt;0)+(IFERROR(INDEX(Setup!$G$33:$G$40,MATCH(W2630,Setup!$B$33:$B$40,0)),0)=1)*(COUNTIF(W2608:W2625,$B2630)+COUNTIF(W2608:W2625,$B2630&amp;" ~*")&gt;0)+(IFERROR(INDEX(Setup!$G$33:$G$40,MATCH(Y2630,Setup!$B$33:$B$40,0)),0)=1)*(COUNTIF(Y2608:Y2625,$B2630)+COUNTIF(Y2608:Y2625,$B2630&amp;" ~*")&gt;0))</f>
        <v/>
      </c>
    </row>
    <row r="2631" ht="15" customHeight="1">
      <c r="A2631" t="n">
        <v>53</v>
      </c>
      <c r="B2631" s="35">
        <f>IF(Setup!$B$10="","",Setup!$B$10)</f>
        <v/>
      </c>
      <c r="C2631" s="98" t="n"/>
      <c r="D2631" s="99" t="n"/>
      <c r="E2631" s="99" t="n"/>
      <c r="F2631" s="100" t="n"/>
      <c r="G2631" s="98" t="n"/>
      <c r="H2631" s="99" t="n"/>
      <c r="I2631" s="99" t="n"/>
      <c r="J2631" s="100" t="n"/>
      <c r="K2631" s="98" t="n"/>
      <c r="L2631" s="99" t="n"/>
      <c r="M2631" s="99" t="n"/>
      <c r="N2631" s="100" t="n"/>
      <c r="O2631" s="98" t="n"/>
      <c r="P2631" s="99" t="n"/>
      <c r="Q2631" s="99" t="n"/>
      <c r="R2631" s="100" t="n"/>
      <c r="S2631" s="98" t="n"/>
      <c r="T2631" s="99" t="n"/>
      <c r="U2631" s="99" t="n"/>
      <c r="V2631" s="100" t="n"/>
      <c r="W2631" s="98" t="n"/>
      <c r="X2631" s="100" t="n"/>
      <c r="Y2631" s="98" t="n"/>
      <c r="Z2631" s="100" t="n"/>
      <c r="AB2631" s="101">
        <f>IF($B2631="","",(COUNTIF(C2608:E2625,$B2631)+COUNTIF(C2608:E2625,$B2631&amp;" ~*")&gt;0)+(COUNTIF(G2608:I2625,$B2631)+COUNTIF(G2608:I2625,$B2631&amp;" ~*")&gt;0)+(COUNTIF(K2608:M2625,$B2631)+COUNTIF(K2608:M2625,$B2631&amp;" ~*")&gt;0)+(COUNTIF(O2608:Q2625,$B2631)+COUNTIF(O2608:Q2625,$B2631&amp;" ~*")&gt;0)+(COUNTIF(S2608:U2625,$B2631)+COUNTIF(S2608:U2625,$B2631&amp;" ~*")&gt;0)+(COUNTIF(W2608:W2625,$B2631)+COUNTIF(W2608:W2625,$B2631&amp;" ~*")&gt;0)+(COUNTIF(Y2608:Y2625,$B2631)+COUNTIF(Y2608:Y2625,$B2631&amp;" ~*")&gt;0))</f>
        <v/>
      </c>
      <c r="AC2631" s="36">
        <f>IF($B2631="","",(IFERROR(INDEX(Setup!$G$33:$G$40,MATCH(C2631,Setup!$B$33:$B$40,0)),0)=1)*(COUNTIF(C2608:E2625,$B2631)+COUNTIF(C2608:E2625,$B2631&amp;" ~*")&gt;0)+(IFERROR(INDEX(Setup!$G$33:$G$40,MATCH(G2631,Setup!$B$33:$B$40,0)),0)=1)*(COUNTIF(G2608:I2625,$B2631)+COUNTIF(G2608:I2625,$B2631&amp;" ~*")&gt;0)+(IFERROR(INDEX(Setup!$G$33:$G$40,MATCH(K2631,Setup!$B$33:$B$40,0)),0)=1)*(COUNTIF(K2608:M2625,$B2631)+COUNTIF(K2608:M2625,$B2631&amp;" ~*")&gt;0)+(IFERROR(INDEX(Setup!$G$33:$G$40,MATCH(O2631,Setup!$B$33:$B$40,0)),0)=1)*(COUNTIF(O2608:Q2625,$B2631)+COUNTIF(O2608:Q2625,$B2631&amp;" ~*")&gt;0)+(IFERROR(INDEX(Setup!$G$33:$G$40,MATCH(S2631,Setup!$B$33:$B$40,0)),0)=1)*(COUNTIF(S2608:U2625,$B2631)+COUNTIF(S2608:U2625,$B2631&amp;" ~*")&gt;0)+(IFERROR(INDEX(Setup!$G$33:$G$40,MATCH(W2631,Setup!$B$33:$B$40,0)),0)=1)*(COUNTIF(W2608:W2625,$B2631)+COUNTIF(W2608:W2625,$B2631&amp;" ~*")&gt;0)+(IFERROR(INDEX(Setup!$G$33:$G$40,MATCH(Y2631,Setup!$B$33:$B$40,0)),0)=1)*(COUNTIF(Y2608:Y2625,$B2631)+COUNTIF(Y2608:Y2625,$B2631&amp;" ~*")&gt;0))</f>
        <v/>
      </c>
    </row>
    <row r="2632" ht="15" customHeight="1">
      <c r="A2632" t="n">
        <v>53</v>
      </c>
      <c r="B2632" s="37">
        <f>IF(Setup!$B$11="","",Setup!$B$11)</f>
        <v/>
      </c>
      <c r="C2632" s="102" t="n"/>
      <c r="D2632" s="103" t="n"/>
      <c r="E2632" s="103" t="n"/>
      <c r="F2632" s="104" t="n"/>
      <c r="G2632" s="102" t="n"/>
      <c r="H2632" s="103" t="n"/>
      <c r="I2632" s="103" t="n"/>
      <c r="J2632" s="104" t="n"/>
      <c r="K2632" s="102" t="n"/>
      <c r="L2632" s="103" t="n"/>
      <c r="M2632" s="103" t="n"/>
      <c r="N2632" s="104" t="n"/>
      <c r="O2632" s="102" t="n"/>
      <c r="P2632" s="103" t="n"/>
      <c r="Q2632" s="103" t="n"/>
      <c r="R2632" s="104" t="n"/>
      <c r="S2632" s="102" t="n"/>
      <c r="T2632" s="103" t="n"/>
      <c r="U2632" s="103" t="n"/>
      <c r="V2632" s="104" t="n"/>
      <c r="W2632" s="102" t="n"/>
      <c r="X2632" s="104" t="n"/>
      <c r="Y2632" s="102" t="n"/>
      <c r="Z2632" s="104" t="n"/>
      <c r="AB2632" s="105">
        <f>IF($B2632="","",(COUNTIF(C2608:E2625,$B2632)+COUNTIF(C2608:E2625,$B2632&amp;" ~*")&gt;0)+(COUNTIF(G2608:I2625,$B2632)+COUNTIF(G2608:I2625,$B2632&amp;" ~*")&gt;0)+(COUNTIF(K2608:M2625,$B2632)+COUNTIF(K2608:M2625,$B2632&amp;" ~*")&gt;0)+(COUNTIF(O2608:Q2625,$B2632)+COUNTIF(O2608:Q2625,$B2632&amp;" ~*")&gt;0)+(COUNTIF(S2608:U2625,$B2632)+COUNTIF(S2608:U2625,$B2632&amp;" ~*")&gt;0)+(COUNTIF(W2608:W2625,$B2632)+COUNTIF(W2608:W2625,$B2632&amp;" ~*")&gt;0)+(COUNTIF(Y2608:Y2625,$B2632)+COUNTIF(Y2608:Y2625,$B2632&amp;" ~*")&gt;0))</f>
        <v/>
      </c>
      <c r="AC2632" s="38">
        <f>IF($B2632="","",(IFERROR(INDEX(Setup!$G$33:$G$40,MATCH(C2632,Setup!$B$33:$B$40,0)),0)=1)*(COUNTIF(C2608:E2625,$B2632)+COUNTIF(C2608:E2625,$B2632&amp;" ~*")&gt;0)+(IFERROR(INDEX(Setup!$G$33:$G$40,MATCH(G2632,Setup!$B$33:$B$40,0)),0)=1)*(COUNTIF(G2608:I2625,$B2632)+COUNTIF(G2608:I2625,$B2632&amp;" ~*")&gt;0)+(IFERROR(INDEX(Setup!$G$33:$G$40,MATCH(K2632,Setup!$B$33:$B$40,0)),0)=1)*(COUNTIF(K2608:M2625,$B2632)+COUNTIF(K2608:M2625,$B2632&amp;" ~*")&gt;0)+(IFERROR(INDEX(Setup!$G$33:$G$40,MATCH(O2632,Setup!$B$33:$B$40,0)),0)=1)*(COUNTIF(O2608:Q2625,$B2632)+COUNTIF(O2608:Q2625,$B2632&amp;" ~*")&gt;0)+(IFERROR(INDEX(Setup!$G$33:$G$40,MATCH(S2632,Setup!$B$33:$B$40,0)),0)=1)*(COUNTIF(S2608:U2625,$B2632)+COUNTIF(S2608:U2625,$B2632&amp;" ~*")&gt;0)+(IFERROR(INDEX(Setup!$G$33:$G$40,MATCH(W2632,Setup!$B$33:$B$40,0)),0)=1)*(COUNTIF(W2608:W2625,$B2632)+COUNTIF(W2608:W2625,$B2632&amp;" ~*")&gt;0)+(IFERROR(INDEX(Setup!$G$33:$G$40,MATCH(Y2632,Setup!$B$33:$B$40,0)),0)=1)*(COUNTIF(Y2608:Y2625,$B2632)+COUNTIF(Y2608:Y2625,$B2632&amp;" ~*")&gt;0))</f>
        <v/>
      </c>
    </row>
    <row r="2633" ht="15" customHeight="1">
      <c r="A2633" t="n">
        <v>53</v>
      </c>
      <c r="B2633" s="35">
        <f>IF(Setup!$B$12="","",Setup!$B$12)</f>
        <v/>
      </c>
      <c r="C2633" s="98" t="n"/>
      <c r="D2633" s="99" t="n"/>
      <c r="E2633" s="99" t="n"/>
      <c r="F2633" s="100" t="n"/>
      <c r="G2633" s="98" t="n"/>
      <c r="H2633" s="99" t="n"/>
      <c r="I2633" s="99" t="n"/>
      <c r="J2633" s="100" t="n"/>
      <c r="K2633" s="98" t="n"/>
      <c r="L2633" s="99" t="n"/>
      <c r="M2633" s="99" t="n"/>
      <c r="N2633" s="100" t="n"/>
      <c r="O2633" s="98" t="n"/>
      <c r="P2633" s="99" t="n"/>
      <c r="Q2633" s="99" t="n"/>
      <c r="R2633" s="100" t="n"/>
      <c r="S2633" s="98" t="n"/>
      <c r="T2633" s="99" t="n"/>
      <c r="U2633" s="99" t="n"/>
      <c r="V2633" s="100" t="n"/>
      <c r="W2633" s="98" t="n"/>
      <c r="X2633" s="100" t="n"/>
      <c r="Y2633" s="98" t="n"/>
      <c r="Z2633" s="100" t="n"/>
      <c r="AB2633" s="101">
        <f>IF($B2633="","",(COUNTIF(C2608:E2625,$B2633)+COUNTIF(C2608:E2625,$B2633&amp;" ~*")&gt;0)+(COUNTIF(G2608:I2625,$B2633)+COUNTIF(G2608:I2625,$B2633&amp;" ~*")&gt;0)+(COUNTIF(K2608:M2625,$B2633)+COUNTIF(K2608:M2625,$B2633&amp;" ~*")&gt;0)+(COUNTIF(O2608:Q2625,$B2633)+COUNTIF(O2608:Q2625,$B2633&amp;" ~*")&gt;0)+(COUNTIF(S2608:U2625,$B2633)+COUNTIF(S2608:U2625,$B2633&amp;" ~*")&gt;0)+(COUNTIF(W2608:W2625,$B2633)+COUNTIF(W2608:W2625,$B2633&amp;" ~*")&gt;0)+(COUNTIF(Y2608:Y2625,$B2633)+COUNTIF(Y2608:Y2625,$B2633&amp;" ~*")&gt;0))</f>
        <v/>
      </c>
      <c r="AC2633" s="36">
        <f>IF($B2633="","",(IFERROR(INDEX(Setup!$G$33:$G$40,MATCH(C2633,Setup!$B$33:$B$40,0)),0)=1)*(COUNTIF(C2608:E2625,$B2633)+COUNTIF(C2608:E2625,$B2633&amp;" ~*")&gt;0)+(IFERROR(INDEX(Setup!$G$33:$G$40,MATCH(G2633,Setup!$B$33:$B$40,0)),0)=1)*(COUNTIF(G2608:I2625,$B2633)+COUNTIF(G2608:I2625,$B2633&amp;" ~*")&gt;0)+(IFERROR(INDEX(Setup!$G$33:$G$40,MATCH(K2633,Setup!$B$33:$B$40,0)),0)=1)*(COUNTIF(K2608:M2625,$B2633)+COUNTIF(K2608:M2625,$B2633&amp;" ~*")&gt;0)+(IFERROR(INDEX(Setup!$G$33:$G$40,MATCH(O2633,Setup!$B$33:$B$40,0)),0)=1)*(COUNTIF(O2608:Q2625,$B2633)+COUNTIF(O2608:Q2625,$B2633&amp;" ~*")&gt;0)+(IFERROR(INDEX(Setup!$G$33:$G$40,MATCH(S2633,Setup!$B$33:$B$40,0)),0)=1)*(COUNTIF(S2608:U2625,$B2633)+COUNTIF(S2608:U2625,$B2633&amp;" ~*")&gt;0)+(IFERROR(INDEX(Setup!$G$33:$G$40,MATCH(W2633,Setup!$B$33:$B$40,0)),0)=1)*(COUNTIF(W2608:W2625,$B2633)+COUNTIF(W2608:W2625,$B2633&amp;" ~*")&gt;0)+(IFERROR(INDEX(Setup!$G$33:$G$40,MATCH(Y2633,Setup!$B$33:$B$40,0)),0)=1)*(COUNTIF(Y2608:Y2625,$B2633)+COUNTIF(Y2608:Y2625,$B2633&amp;" ~*")&gt;0))</f>
        <v/>
      </c>
    </row>
    <row r="2634" ht="15" customHeight="1">
      <c r="A2634" t="n">
        <v>53</v>
      </c>
      <c r="B2634" s="37">
        <f>IF(Setup!$B$13="","",Setup!$B$13)</f>
        <v/>
      </c>
      <c r="C2634" s="102" t="n"/>
      <c r="D2634" s="103" t="n"/>
      <c r="E2634" s="103" t="n"/>
      <c r="F2634" s="104" t="n"/>
      <c r="G2634" s="102" t="n"/>
      <c r="H2634" s="103" t="n"/>
      <c r="I2634" s="103" t="n"/>
      <c r="J2634" s="104" t="n"/>
      <c r="K2634" s="102" t="n"/>
      <c r="L2634" s="103" t="n"/>
      <c r="M2634" s="103" t="n"/>
      <c r="N2634" s="104" t="n"/>
      <c r="O2634" s="102" t="n"/>
      <c r="P2634" s="103" t="n"/>
      <c r="Q2634" s="103" t="n"/>
      <c r="R2634" s="104" t="n"/>
      <c r="S2634" s="102" t="n"/>
      <c r="T2634" s="103" t="n"/>
      <c r="U2634" s="103" t="n"/>
      <c r="V2634" s="104" t="n"/>
      <c r="W2634" s="102" t="n"/>
      <c r="X2634" s="104" t="n"/>
      <c r="Y2634" s="102" t="n"/>
      <c r="Z2634" s="104" t="n"/>
      <c r="AB2634" s="105">
        <f>IF($B2634="","",(COUNTIF(C2608:E2625,$B2634)+COUNTIF(C2608:E2625,$B2634&amp;" ~*")&gt;0)+(COUNTIF(G2608:I2625,$B2634)+COUNTIF(G2608:I2625,$B2634&amp;" ~*")&gt;0)+(COUNTIF(K2608:M2625,$B2634)+COUNTIF(K2608:M2625,$B2634&amp;" ~*")&gt;0)+(COUNTIF(O2608:Q2625,$B2634)+COUNTIF(O2608:Q2625,$B2634&amp;" ~*")&gt;0)+(COUNTIF(S2608:U2625,$B2634)+COUNTIF(S2608:U2625,$B2634&amp;" ~*")&gt;0)+(COUNTIF(W2608:W2625,$B2634)+COUNTIF(W2608:W2625,$B2634&amp;" ~*")&gt;0)+(COUNTIF(Y2608:Y2625,$B2634)+COUNTIF(Y2608:Y2625,$B2634&amp;" ~*")&gt;0))</f>
        <v/>
      </c>
      <c r="AC2634" s="38">
        <f>IF($B2634="","",(IFERROR(INDEX(Setup!$G$33:$G$40,MATCH(C2634,Setup!$B$33:$B$40,0)),0)=1)*(COUNTIF(C2608:E2625,$B2634)+COUNTIF(C2608:E2625,$B2634&amp;" ~*")&gt;0)+(IFERROR(INDEX(Setup!$G$33:$G$40,MATCH(G2634,Setup!$B$33:$B$40,0)),0)=1)*(COUNTIF(G2608:I2625,$B2634)+COUNTIF(G2608:I2625,$B2634&amp;" ~*")&gt;0)+(IFERROR(INDEX(Setup!$G$33:$G$40,MATCH(K2634,Setup!$B$33:$B$40,0)),0)=1)*(COUNTIF(K2608:M2625,$B2634)+COUNTIF(K2608:M2625,$B2634&amp;" ~*")&gt;0)+(IFERROR(INDEX(Setup!$G$33:$G$40,MATCH(O2634,Setup!$B$33:$B$40,0)),0)=1)*(COUNTIF(O2608:Q2625,$B2634)+COUNTIF(O2608:Q2625,$B2634&amp;" ~*")&gt;0)+(IFERROR(INDEX(Setup!$G$33:$G$40,MATCH(S2634,Setup!$B$33:$B$40,0)),0)=1)*(COUNTIF(S2608:U2625,$B2634)+COUNTIF(S2608:U2625,$B2634&amp;" ~*")&gt;0)+(IFERROR(INDEX(Setup!$G$33:$G$40,MATCH(W2634,Setup!$B$33:$B$40,0)),0)=1)*(COUNTIF(W2608:W2625,$B2634)+COUNTIF(W2608:W2625,$B2634&amp;" ~*")&gt;0)+(IFERROR(INDEX(Setup!$G$33:$G$40,MATCH(Y2634,Setup!$B$33:$B$40,0)),0)=1)*(COUNTIF(Y2608:Y2625,$B2634)+COUNTIF(Y2608:Y2625,$B2634&amp;" ~*")&gt;0))</f>
        <v/>
      </c>
    </row>
    <row r="2635" ht="15" customHeight="1">
      <c r="A2635" t="n">
        <v>53</v>
      </c>
      <c r="B2635" s="35">
        <f>IF(Setup!$B$14="","",Setup!$B$14)</f>
        <v/>
      </c>
      <c r="C2635" s="98" t="n"/>
      <c r="D2635" s="99" t="n"/>
      <c r="E2635" s="99" t="n"/>
      <c r="F2635" s="100" t="n"/>
      <c r="G2635" s="98" t="n"/>
      <c r="H2635" s="99" t="n"/>
      <c r="I2635" s="99" t="n"/>
      <c r="J2635" s="100" t="n"/>
      <c r="K2635" s="98" t="n"/>
      <c r="L2635" s="99" t="n"/>
      <c r="M2635" s="99" t="n"/>
      <c r="N2635" s="100" t="n"/>
      <c r="O2635" s="98" t="n"/>
      <c r="P2635" s="99" t="n"/>
      <c r="Q2635" s="99" t="n"/>
      <c r="R2635" s="100" t="n"/>
      <c r="S2635" s="98" t="n"/>
      <c r="T2635" s="99" t="n"/>
      <c r="U2635" s="99" t="n"/>
      <c r="V2635" s="100" t="n"/>
      <c r="W2635" s="98" t="n"/>
      <c r="X2635" s="100" t="n"/>
      <c r="Y2635" s="98" t="n"/>
      <c r="Z2635" s="100" t="n"/>
      <c r="AB2635" s="101">
        <f>IF($B2635="","",(COUNTIF(C2608:E2625,$B2635)+COUNTIF(C2608:E2625,$B2635&amp;" ~*")&gt;0)+(COUNTIF(G2608:I2625,$B2635)+COUNTIF(G2608:I2625,$B2635&amp;" ~*")&gt;0)+(COUNTIF(K2608:M2625,$B2635)+COUNTIF(K2608:M2625,$B2635&amp;" ~*")&gt;0)+(COUNTIF(O2608:Q2625,$B2635)+COUNTIF(O2608:Q2625,$B2635&amp;" ~*")&gt;0)+(COUNTIF(S2608:U2625,$B2635)+COUNTIF(S2608:U2625,$B2635&amp;" ~*")&gt;0)+(COUNTIF(W2608:W2625,$B2635)+COUNTIF(W2608:W2625,$B2635&amp;" ~*")&gt;0)+(COUNTIF(Y2608:Y2625,$B2635)+COUNTIF(Y2608:Y2625,$B2635&amp;" ~*")&gt;0))</f>
        <v/>
      </c>
      <c r="AC2635" s="36">
        <f>IF($B2635="","",(IFERROR(INDEX(Setup!$G$33:$G$40,MATCH(C2635,Setup!$B$33:$B$40,0)),0)=1)*(COUNTIF(C2608:E2625,$B2635)+COUNTIF(C2608:E2625,$B2635&amp;" ~*")&gt;0)+(IFERROR(INDEX(Setup!$G$33:$G$40,MATCH(G2635,Setup!$B$33:$B$40,0)),0)=1)*(COUNTIF(G2608:I2625,$B2635)+COUNTIF(G2608:I2625,$B2635&amp;" ~*")&gt;0)+(IFERROR(INDEX(Setup!$G$33:$G$40,MATCH(K2635,Setup!$B$33:$B$40,0)),0)=1)*(COUNTIF(K2608:M2625,$B2635)+COUNTIF(K2608:M2625,$B2635&amp;" ~*")&gt;0)+(IFERROR(INDEX(Setup!$G$33:$G$40,MATCH(O2635,Setup!$B$33:$B$40,0)),0)=1)*(COUNTIF(O2608:Q2625,$B2635)+COUNTIF(O2608:Q2625,$B2635&amp;" ~*")&gt;0)+(IFERROR(INDEX(Setup!$G$33:$G$40,MATCH(S2635,Setup!$B$33:$B$40,0)),0)=1)*(COUNTIF(S2608:U2625,$B2635)+COUNTIF(S2608:U2625,$B2635&amp;" ~*")&gt;0)+(IFERROR(INDEX(Setup!$G$33:$G$40,MATCH(W2635,Setup!$B$33:$B$40,0)),0)=1)*(COUNTIF(W2608:W2625,$B2635)+COUNTIF(W2608:W2625,$B2635&amp;" ~*")&gt;0)+(IFERROR(INDEX(Setup!$G$33:$G$40,MATCH(Y2635,Setup!$B$33:$B$40,0)),0)=1)*(COUNTIF(Y2608:Y2625,$B2635)+COUNTIF(Y2608:Y2625,$B2635&amp;" ~*")&gt;0))</f>
        <v/>
      </c>
    </row>
    <row r="2636" ht="15" customHeight="1">
      <c r="A2636" t="n">
        <v>53</v>
      </c>
      <c r="B2636" s="37">
        <f>IF(Setup!$B$15="","",Setup!$B$15)</f>
        <v/>
      </c>
      <c r="C2636" s="102" t="n"/>
      <c r="D2636" s="103" t="n"/>
      <c r="E2636" s="103" t="n"/>
      <c r="F2636" s="104" t="n"/>
      <c r="G2636" s="102" t="n"/>
      <c r="H2636" s="103" t="n"/>
      <c r="I2636" s="103" t="n"/>
      <c r="J2636" s="104" t="n"/>
      <c r="K2636" s="102" t="n"/>
      <c r="L2636" s="103" t="n"/>
      <c r="M2636" s="103" t="n"/>
      <c r="N2636" s="104" t="n"/>
      <c r="O2636" s="102" t="n"/>
      <c r="P2636" s="103" t="n"/>
      <c r="Q2636" s="103" t="n"/>
      <c r="R2636" s="104" t="n"/>
      <c r="S2636" s="102" t="n"/>
      <c r="T2636" s="103" t="n"/>
      <c r="U2636" s="103" t="n"/>
      <c r="V2636" s="104" t="n"/>
      <c r="W2636" s="102" t="n"/>
      <c r="X2636" s="104" t="n"/>
      <c r="Y2636" s="102" t="n"/>
      <c r="Z2636" s="104" t="n"/>
      <c r="AB2636" s="105">
        <f>IF($B2636="","",(COUNTIF(C2608:E2625,$B2636)+COUNTIF(C2608:E2625,$B2636&amp;" ~*")&gt;0)+(COUNTIF(G2608:I2625,$B2636)+COUNTIF(G2608:I2625,$B2636&amp;" ~*")&gt;0)+(COUNTIF(K2608:M2625,$B2636)+COUNTIF(K2608:M2625,$B2636&amp;" ~*")&gt;0)+(COUNTIF(O2608:Q2625,$B2636)+COUNTIF(O2608:Q2625,$B2636&amp;" ~*")&gt;0)+(COUNTIF(S2608:U2625,$B2636)+COUNTIF(S2608:U2625,$B2636&amp;" ~*")&gt;0)+(COUNTIF(W2608:W2625,$B2636)+COUNTIF(W2608:W2625,$B2636&amp;" ~*")&gt;0)+(COUNTIF(Y2608:Y2625,$B2636)+COUNTIF(Y2608:Y2625,$B2636&amp;" ~*")&gt;0))</f>
        <v/>
      </c>
      <c r="AC2636" s="38">
        <f>IF($B2636="","",(IFERROR(INDEX(Setup!$G$33:$G$40,MATCH(C2636,Setup!$B$33:$B$40,0)),0)=1)*(COUNTIF(C2608:E2625,$B2636)+COUNTIF(C2608:E2625,$B2636&amp;" ~*")&gt;0)+(IFERROR(INDEX(Setup!$G$33:$G$40,MATCH(G2636,Setup!$B$33:$B$40,0)),0)=1)*(COUNTIF(G2608:I2625,$B2636)+COUNTIF(G2608:I2625,$B2636&amp;" ~*")&gt;0)+(IFERROR(INDEX(Setup!$G$33:$G$40,MATCH(K2636,Setup!$B$33:$B$40,0)),0)=1)*(COUNTIF(K2608:M2625,$B2636)+COUNTIF(K2608:M2625,$B2636&amp;" ~*")&gt;0)+(IFERROR(INDEX(Setup!$G$33:$G$40,MATCH(O2636,Setup!$B$33:$B$40,0)),0)=1)*(COUNTIF(O2608:Q2625,$B2636)+COUNTIF(O2608:Q2625,$B2636&amp;" ~*")&gt;0)+(IFERROR(INDEX(Setup!$G$33:$G$40,MATCH(S2636,Setup!$B$33:$B$40,0)),0)=1)*(COUNTIF(S2608:U2625,$B2636)+COUNTIF(S2608:U2625,$B2636&amp;" ~*")&gt;0)+(IFERROR(INDEX(Setup!$G$33:$G$40,MATCH(W2636,Setup!$B$33:$B$40,0)),0)=1)*(COUNTIF(W2608:W2625,$B2636)+COUNTIF(W2608:W2625,$B2636&amp;" ~*")&gt;0)+(IFERROR(INDEX(Setup!$G$33:$G$40,MATCH(Y2636,Setup!$B$33:$B$40,0)),0)=1)*(COUNTIF(Y2608:Y2625,$B2636)+COUNTIF(Y2608:Y2625,$B2636&amp;" ~*")&gt;0))</f>
        <v/>
      </c>
    </row>
    <row r="2637" ht="15" customHeight="1">
      <c r="A2637" t="n">
        <v>53</v>
      </c>
      <c r="B2637" s="35">
        <f>IF(Setup!$B$16="","",Setup!$B$16)</f>
        <v/>
      </c>
      <c r="C2637" s="98" t="n"/>
      <c r="D2637" s="99" t="n"/>
      <c r="E2637" s="99" t="n"/>
      <c r="F2637" s="100" t="n"/>
      <c r="G2637" s="98" t="n"/>
      <c r="H2637" s="99" t="n"/>
      <c r="I2637" s="99" t="n"/>
      <c r="J2637" s="100" t="n"/>
      <c r="K2637" s="98" t="n"/>
      <c r="L2637" s="99" t="n"/>
      <c r="M2637" s="99" t="n"/>
      <c r="N2637" s="100" t="n"/>
      <c r="O2637" s="98" t="n"/>
      <c r="P2637" s="99" t="n"/>
      <c r="Q2637" s="99" t="n"/>
      <c r="R2637" s="100" t="n"/>
      <c r="S2637" s="98" t="n"/>
      <c r="T2637" s="99" t="n"/>
      <c r="U2637" s="99" t="n"/>
      <c r="V2637" s="100" t="n"/>
      <c r="W2637" s="98" t="n"/>
      <c r="X2637" s="100" t="n"/>
      <c r="Y2637" s="98" t="n"/>
      <c r="Z2637" s="100" t="n"/>
      <c r="AB2637" s="101">
        <f>IF($B2637="","",(COUNTIF(C2608:E2625,$B2637)+COUNTIF(C2608:E2625,$B2637&amp;" ~*")&gt;0)+(COUNTIF(G2608:I2625,$B2637)+COUNTIF(G2608:I2625,$B2637&amp;" ~*")&gt;0)+(COUNTIF(K2608:M2625,$B2637)+COUNTIF(K2608:M2625,$B2637&amp;" ~*")&gt;0)+(COUNTIF(O2608:Q2625,$B2637)+COUNTIF(O2608:Q2625,$B2637&amp;" ~*")&gt;0)+(COUNTIF(S2608:U2625,$B2637)+COUNTIF(S2608:U2625,$B2637&amp;" ~*")&gt;0)+(COUNTIF(W2608:W2625,$B2637)+COUNTIF(W2608:W2625,$B2637&amp;" ~*")&gt;0)+(COUNTIF(Y2608:Y2625,$B2637)+COUNTIF(Y2608:Y2625,$B2637&amp;" ~*")&gt;0))</f>
        <v/>
      </c>
      <c r="AC2637" s="36">
        <f>IF($B2637="","",(IFERROR(INDEX(Setup!$G$33:$G$40,MATCH(C2637,Setup!$B$33:$B$40,0)),0)=1)*(COUNTIF(C2608:E2625,$B2637)+COUNTIF(C2608:E2625,$B2637&amp;" ~*")&gt;0)+(IFERROR(INDEX(Setup!$G$33:$G$40,MATCH(G2637,Setup!$B$33:$B$40,0)),0)=1)*(COUNTIF(G2608:I2625,$B2637)+COUNTIF(G2608:I2625,$B2637&amp;" ~*")&gt;0)+(IFERROR(INDEX(Setup!$G$33:$G$40,MATCH(K2637,Setup!$B$33:$B$40,0)),0)=1)*(COUNTIF(K2608:M2625,$B2637)+COUNTIF(K2608:M2625,$B2637&amp;" ~*")&gt;0)+(IFERROR(INDEX(Setup!$G$33:$G$40,MATCH(O2637,Setup!$B$33:$B$40,0)),0)=1)*(COUNTIF(O2608:Q2625,$B2637)+COUNTIF(O2608:Q2625,$B2637&amp;" ~*")&gt;0)+(IFERROR(INDEX(Setup!$G$33:$G$40,MATCH(S2637,Setup!$B$33:$B$40,0)),0)=1)*(COUNTIF(S2608:U2625,$B2637)+COUNTIF(S2608:U2625,$B2637&amp;" ~*")&gt;0)+(IFERROR(INDEX(Setup!$G$33:$G$40,MATCH(W2637,Setup!$B$33:$B$40,0)),0)=1)*(COUNTIF(W2608:W2625,$B2637)+COUNTIF(W2608:W2625,$B2637&amp;" ~*")&gt;0)+(IFERROR(INDEX(Setup!$G$33:$G$40,MATCH(Y2637,Setup!$B$33:$B$40,0)),0)=1)*(COUNTIF(Y2608:Y2625,$B2637)+COUNTIF(Y2608:Y2625,$B2637&amp;" ~*")&gt;0))</f>
        <v/>
      </c>
    </row>
    <row r="2638" ht="15" customHeight="1">
      <c r="A2638" t="n">
        <v>53</v>
      </c>
      <c r="B2638" s="37">
        <f>IF(Setup!$B$17="","",Setup!$B$17)</f>
        <v/>
      </c>
      <c r="C2638" s="102" t="n"/>
      <c r="D2638" s="103" t="n"/>
      <c r="E2638" s="103" t="n"/>
      <c r="F2638" s="104" t="n"/>
      <c r="G2638" s="102" t="n"/>
      <c r="H2638" s="103" t="n"/>
      <c r="I2638" s="103" t="n"/>
      <c r="J2638" s="104" t="n"/>
      <c r="K2638" s="102" t="n"/>
      <c r="L2638" s="103" t="n"/>
      <c r="M2638" s="103" t="n"/>
      <c r="N2638" s="104" t="n"/>
      <c r="O2638" s="102" t="n"/>
      <c r="P2638" s="103" t="n"/>
      <c r="Q2638" s="103" t="n"/>
      <c r="R2638" s="104" t="n"/>
      <c r="S2638" s="102" t="n"/>
      <c r="T2638" s="103" t="n"/>
      <c r="U2638" s="103" t="n"/>
      <c r="V2638" s="104" t="n"/>
      <c r="W2638" s="102" t="n"/>
      <c r="X2638" s="104" t="n"/>
      <c r="Y2638" s="102" t="n"/>
      <c r="Z2638" s="104" t="n"/>
      <c r="AB2638" s="105">
        <f>IF($B2638="","",(COUNTIF(C2608:E2625,$B2638)+COUNTIF(C2608:E2625,$B2638&amp;" ~*")&gt;0)+(COUNTIF(G2608:I2625,$B2638)+COUNTIF(G2608:I2625,$B2638&amp;" ~*")&gt;0)+(COUNTIF(K2608:M2625,$B2638)+COUNTIF(K2608:M2625,$B2638&amp;" ~*")&gt;0)+(COUNTIF(O2608:Q2625,$B2638)+COUNTIF(O2608:Q2625,$B2638&amp;" ~*")&gt;0)+(COUNTIF(S2608:U2625,$B2638)+COUNTIF(S2608:U2625,$B2638&amp;" ~*")&gt;0)+(COUNTIF(W2608:W2625,$B2638)+COUNTIF(W2608:W2625,$B2638&amp;" ~*")&gt;0)+(COUNTIF(Y2608:Y2625,$B2638)+COUNTIF(Y2608:Y2625,$B2638&amp;" ~*")&gt;0))</f>
        <v/>
      </c>
      <c r="AC2638" s="38">
        <f>IF($B2638="","",(IFERROR(INDEX(Setup!$G$33:$G$40,MATCH(C2638,Setup!$B$33:$B$40,0)),0)=1)*(COUNTIF(C2608:E2625,$B2638)+COUNTIF(C2608:E2625,$B2638&amp;" ~*")&gt;0)+(IFERROR(INDEX(Setup!$G$33:$G$40,MATCH(G2638,Setup!$B$33:$B$40,0)),0)=1)*(COUNTIF(G2608:I2625,$B2638)+COUNTIF(G2608:I2625,$B2638&amp;" ~*")&gt;0)+(IFERROR(INDEX(Setup!$G$33:$G$40,MATCH(K2638,Setup!$B$33:$B$40,0)),0)=1)*(COUNTIF(K2608:M2625,$B2638)+COUNTIF(K2608:M2625,$B2638&amp;" ~*")&gt;0)+(IFERROR(INDEX(Setup!$G$33:$G$40,MATCH(O2638,Setup!$B$33:$B$40,0)),0)=1)*(COUNTIF(O2608:Q2625,$B2638)+COUNTIF(O2608:Q2625,$B2638&amp;" ~*")&gt;0)+(IFERROR(INDEX(Setup!$G$33:$G$40,MATCH(S2638,Setup!$B$33:$B$40,0)),0)=1)*(COUNTIF(S2608:U2625,$B2638)+COUNTIF(S2608:U2625,$B2638&amp;" ~*")&gt;0)+(IFERROR(INDEX(Setup!$G$33:$G$40,MATCH(W2638,Setup!$B$33:$B$40,0)),0)=1)*(COUNTIF(W2608:W2625,$B2638)+COUNTIF(W2608:W2625,$B2638&amp;" ~*")&gt;0)+(IFERROR(INDEX(Setup!$G$33:$G$40,MATCH(Y2638,Setup!$B$33:$B$40,0)),0)=1)*(COUNTIF(Y2608:Y2625,$B2638)+COUNTIF(Y2608:Y2625,$B2638&amp;" ~*")&gt;0))</f>
        <v/>
      </c>
    </row>
    <row r="2639" ht="15" customHeight="1">
      <c r="A2639" t="n">
        <v>53</v>
      </c>
      <c r="B2639" s="35">
        <f>IF(Setup!$B$18="","",Setup!$B$18)</f>
        <v/>
      </c>
      <c r="C2639" s="98" t="n"/>
      <c r="D2639" s="99" t="n"/>
      <c r="E2639" s="99" t="n"/>
      <c r="F2639" s="100" t="n"/>
      <c r="G2639" s="98" t="n"/>
      <c r="H2639" s="99" t="n"/>
      <c r="I2639" s="99" t="n"/>
      <c r="J2639" s="100" t="n"/>
      <c r="K2639" s="98" t="n"/>
      <c r="L2639" s="99" t="n"/>
      <c r="M2639" s="99" t="n"/>
      <c r="N2639" s="100" t="n"/>
      <c r="O2639" s="98" t="n"/>
      <c r="P2639" s="99" t="n"/>
      <c r="Q2639" s="99" t="n"/>
      <c r="R2639" s="100" t="n"/>
      <c r="S2639" s="98" t="n"/>
      <c r="T2639" s="99" t="n"/>
      <c r="U2639" s="99" t="n"/>
      <c r="V2639" s="100" t="n"/>
      <c r="W2639" s="98" t="n"/>
      <c r="X2639" s="100" t="n"/>
      <c r="Y2639" s="98" t="n"/>
      <c r="Z2639" s="100" t="n"/>
      <c r="AB2639" s="101">
        <f>IF($B2639="","",(COUNTIF(C2608:E2625,$B2639)+COUNTIF(C2608:E2625,$B2639&amp;" ~*")&gt;0)+(COUNTIF(G2608:I2625,$B2639)+COUNTIF(G2608:I2625,$B2639&amp;" ~*")&gt;0)+(COUNTIF(K2608:M2625,$B2639)+COUNTIF(K2608:M2625,$B2639&amp;" ~*")&gt;0)+(COUNTIF(O2608:Q2625,$B2639)+COUNTIF(O2608:Q2625,$B2639&amp;" ~*")&gt;0)+(COUNTIF(S2608:U2625,$B2639)+COUNTIF(S2608:U2625,$B2639&amp;" ~*")&gt;0)+(COUNTIF(W2608:W2625,$B2639)+COUNTIF(W2608:W2625,$B2639&amp;" ~*")&gt;0)+(COUNTIF(Y2608:Y2625,$B2639)+COUNTIF(Y2608:Y2625,$B2639&amp;" ~*")&gt;0))</f>
        <v/>
      </c>
      <c r="AC2639" s="36">
        <f>IF($B2639="","",(IFERROR(INDEX(Setup!$G$33:$G$40,MATCH(C2639,Setup!$B$33:$B$40,0)),0)=1)*(COUNTIF(C2608:E2625,$B2639)+COUNTIF(C2608:E2625,$B2639&amp;" ~*")&gt;0)+(IFERROR(INDEX(Setup!$G$33:$G$40,MATCH(G2639,Setup!$B$33:$B$40,0)),0)=1)*(COUNTIF(G2608:I2625,$B2639)+COUNTIF(G2608:I2625,$B2639&amp;" ~*")&gt;0)+(IFERROR(INDEX(Setup!$G$33:$G$40,MATCH(K2639,Setup!$B$33:$B$40,0)),0)=1)*(COUNTIF(K2608:M2625,$B2639)+COUNTIF(K2608:M2625,$B2639&amp;" ~*")&gt;0)+(IFERROR(INDEX(Setup!$G$33:$G$40,MATCH(O2639,Setup!$B$33:$B$40,0)),0)=1)*(COUNTIF(O2608:Q2625,$B2639)+COUNTIF(O2608:Q2625,$B2639&amp;" ~*")&gt;0)+(IFERROR(INDEX(Setup!$G$33:$G$40,MATCH(S2639,Setup!$B$33:$B$40,0)),0)=1)*(COUNTIF(S2608:U2625,$B2639)+COUNTIF(S2608:U2625,$B2639&amp;" ~*")&gt;0)+(IFERROR(INDEX(Setup!$G$33:$G$40,MATCH(W2639,Setup!$B$33:$B$40,0)),0)=1)*(COUNTIF(W2608:W2625,$B2639)+COUNTIF(W2608:W2625,$B2639&amp;" ~*")&gt;0)+(IFERROR(INDEX(Setup!$G$33:$G$40,MATCH(Y2639,Setup!$B$33:$B$40,0)),0)=1)*(COUNTIF(Y2608:Y2625,$B2639)+COUNTIF(Y2608:Y2625,$B2639&amp;" ~*")&gt;0))</f>
        <v/>
      </c>
    </row>
    <row r="2640" ht="15" customHeight="1">
      <c r="A2640" t="n">
        <v>53</v>
      </c>
      <c r="B2640" s="37">
        <f>IF(Setup!$B$19="","",Setup!$B$19)</f>
        <v/>
      </c>
      <c r="C2640" s="102" t="n"/>
      <c r="D2640" s="103" t="n"/>
      <c r="E2640" s="103" t="n"/>
      <c r="F2640" s="104" t="n"/>
      <c r="G2640" s="102" t="n"/>
      <c r="H2640" s="103" t="n"/>
      <c r="I2640" s="103" t="n"/>
      <c r="J2640" s="104" t="n"/>
      <c r="K2640" s="102" t="n"/>
      <c r="L2640" s="103" t="n"/>
      <c r="M2640" s="103" t="n"/>
      <c r="N2640" s="104" t="n"/>
      <c r="O2640" s="102" t="n"/>
      <c r="P2640" s="103" t="n"/>
      <c r="Q2640" s="103" t="n"/>
      <c r="R2640" s="104" t="n"/>
      <c r="S2640" s="102" t="n"/>
      <c r="T2640" s="103" t="n"/>
      <c r="U2640" s="103" t="n"/>
      <c r="V2640" s="104" t="n"/>
      <c r="W2640" s="102" t="n"/>
      <c r="X2640" s="104" t="n"/>
      <c r="Y2640" s="102" t="n"/>
      <c r="Z2640" s="104" t="n"/>
      <c r="AB2640" s="105">
        <f>IF($B2640="","",(COUNTIF(C2608:E2625,$B2640)+COUNTIF(C2608:E2625,$B2640&amp;" ~*")&gt;0)+(COUNTIF(G2608:I2625,$B2640)+COUNTIF(G2608:I2625,$B2640&amp;" ~*")&gt;0)+(COUNTIF(K2608:M2625,$B2640)+COUNTIF(K2608:M2625,$B2640&amp;" ~*")&gt;0)+(COUNTIF(O2608:Q2625,$B2640)+COUNTIF(O2608:Q2625,$B2640&amp;" ~*")&gt;0)+(COUNTIF(S2608:U2625,$B2640)+COUNTIF(S2608:U2625,$B2640&amp;" ~*")&gt;0)+(COUNTIF(W2608:W2625,$B2640)+COUNTIF(W2608:W2625,$B2640&amp;" ~*")&gt;0)+(COUNTIF(Y2608:Y2625,$B2640)+COUNTIF(Y2608:Y2625,$B2640&amp;" ~*")&gt;0))</f>
        <v/>
      </c>
      <c r="AC2640" s="38">
        <f>IF($B2640="","",(IFERROR(INDEX(Setup!$G$33:$G$40,MATCH(C2640,Setup!$B$33:$B$40,0)),0)=1)*(COUNTIF(C2608:E2625,$B2640)+COUNTIF(C2608:E2625,$B2640&amp;" ~*")&gt;0)+(IFERROR(INDEX(Setup!$G$33:$G$40,MATCH(G2640,Setup!$B$33:$B$40,0)),0)=1)*(COUNTIF(G2608:I2625,$B2640)+COUNTIF(G2608:I2625,$B2640&amp;" ~*")&gt;0)+(IFERROR(INDEX(Setup!$G$33:$G$40,MATCH(K2640,Setup!$B$33:$B$40,0)),0)=1)*(COUNTIF(K2608:M2625,$B2640)+COUNTIF(K2608:M2625,$B2640&amp;" ~*")&gt;0)+(IFERROR(INDEX(Setup!$G$33:$G$40,MATCH(O2640,Setup!$B$33:$B$40,0)),0)=1)*(COUNTIF(O2608:Q2625,$B2640)+COUNTIF(O2608:Q2625,$B2640&amp;" ~*")&gt;0)+(IFERROR(INDEX(Setup!$G$33:$G$40,MATCH(S2640,Setup!$B$33:$B$40,0)),0)=1)*(COUNTIF(S2608:U2625,$B2640)+COUNTIF(S2608:U2625,$B2640&amp;" ~*")&gt;0)+(IFERROR(INDEX(Setup!$G$33:$G$40,MATCH(W2640,Setup!$B$33:$B$40,0)),0)=1)*(COUNTIF(W2608:W2625,$B2640)+COUNTIF(W2608:W2625,$B2640&amp;" ~*")&gt;0)+(IFERROR(INDEX(Setup!$G$33:$G$40,MATCH(Y2640,Setup!$B$33:$B$40,0)),0)=1)*(COUNTIF(Y2608:Y2625,$B2640)+COUNTIF(Y2608:Y2625,$B2640&amp;" ~*")&gt;0))</f>
        <v/>
      </c>
    </row>
    <row r="2641" ht="15" customHeight="1">
      <c r="A2641" t="n">
        <v>53</v>
      </c>
      <c r="B2641" s="35">
        <f>IF(Setup!$B$20="","",Setup!$B$20)</f>
        <v/>
      </c>
      <c r="C2641" s="98" t="n"/>
      <c r="D2641" s="99" t="n"/>
      <c r="E2641" s="99" t="n"/>
      <c r="F2641" s="100" t="n"/>
      <c r="G2641" s="98" t="n"/>
      <c r="H2641" s="99" t="n"/>
      <c r="I2641" s="99" t="n"/>
      <c r="J2641" s="100" t="n"/>
      <c r="K2641" s="98" t="n"/>
      <c r="L2641" s="99" t="n"/>
      <c r="M2641" s="99" t="n"/>
      <c r="N2641" s="100" t="n"/>
      <c r="O2641" s="98" t="n"/>
      <c r="P2641" s="99" t="n"/>
      <c r="Q2641" s="99" t="n"/>
      <c r="R2641" s="100" t="n"/>
      <c r="S2641" s="98" t="n"/>
      <c r="T2641" s="99" t="n"/>
      <c r="U2641" s="99" t="n"/>
      <c r="V2641" s="100" t="n"/>
      <c r="W2641" s="98" t="n"/>
      <c r="X2641" s="100" t="n"/>
      <c r="Y2641" s="98" t="n"/>
      <c r="Z2641" s="100" t="n"/>
      <c r="AB2641" s="101">
        <f>IF($B2641="","",(COUNTIF(C2608:E2625,$B2641)+COUNTIF(C2608:E2625,$B2641&amp;" ~*")&gt;0)+(COUNTIF(G2608:I2625,$B2641)+COUNTIF(G2608:I2625,$B2641&amp;" ~*")&gt;0)+(COUNTIF(K2608:M2625,$B2641)+COUNTIF(K2608:M2625,$B2641&amp;" ~*")&gt;0)+(COUNTIF(O2608:Q2625,$B2641)+COUNTIF(O2608:Q2625,$B2641&amp;" ~*")&gt;0)+(COUNTIF(S2608:U2625,$B2641)+COUNTIF(S2608:U2625,$B2641&amp;" ~*")&gt;0)+(COUNTIF(W2608:W2625,$B2641)+COUNTIF(W2608:W2625,$B2641&amp;" ~*")&gt;0)+(COUNTIF(Y2608:Y2625,$B2641)+COUNTIF(Y2608:Y2625,$B2641&amp;" ~*")&gt;0))</f>
        <v/>
      </c>
      <c r="AC2641" s="36">
        <f>IF($B2641="","",(IFERROR(INDEX(Setup!$G$33:$G$40,MATCH(C2641,Setup!$B$33:$B$40,0)),0)=1)*(COUNTIF(C2608:E2625,$B2641)+COUNTIF(C2608:E2625,$B2641&amp;" ~*")&gt;0)+(IFERROR(INDEX(Setup!$G$33:$G$40,MATCH(G2641,Setup!$B$33:$B$40,0)),0)=1)*(COUNTIF(G2608:I2625,$B2641)+COUNTIF(G2608:I2625,$B2641&amp;" ~*")&gt;0)+(IFERROR(INDEX(Setup!$G$33:$G$40,MATCH(K2641,Setup!$B$33:$B$40,0)),0)=1)*(COUNTIF(K2608:M2625,$B2641)+COUNTIF(K2608:M2625,$B2641&amp;" ~*")&gt;0)+(IFERROR(INDEX(Setup!$G$33:$G$40,MATCH(O2641,Setup!$B$33:$B$40,0)),0)=1)*(COUNTIF(O2608:Q2625,$B2641)+COUNTIF(O2608:Q2625,$B2641&amp;" ~*")&gt;0)+(IFERROR(INDEX(Setup!$G$33:$G$40,MATCH(S2641,Setup!$B$33:$B$40,0)),0)=1)*(COUNTIF(S2608:U2625,$B2641)+COUNTIF(S2608:U2625,$B2641&amp;" ~*")&gt;0)+(IFERROR(INDEX(Setup!$G$33:$G$40,MATCH(W2641,Setup!$B$33:$B$40,0)),0)=1)*(COUNTIF(W2608:W2625,$B2641)+COUNTIF(W2608:W2625,$B2641&amp;" ~*")&gt;0)+(IFERROR(INDEX(Setup!$G$33:$G$40,MATCH(Y2641,Setup!$B$33:$B$40,0)),0)=1)*(COUNTIF(Y2608:Y2625,$B2641)+COUNTIF(Y2608:Y2625,$B2641&amp;" ~*")&gt;0))</f>
        <v/>
      </c>
    </row>
    <row r="2642" ht="15" customHeight="1">
      <c r="A2642" t="n">
        <v>53</v>
      </c>
      <c r="B2642" s="37">
        <f>IF(Setup!$B$21="","",Setup!$B$21)</f>
        <v/>
      </c>
      <c r="C2642" s="102" t="n"/>
      <c r="D2642" s="103" t="n"/>
      <c r="E2642" s="103" t="n"/>
      <c r="F2642" s="104" t="n"/>
      <c r="G2642" s="102" t="n"/>
      <c r="H2642" s="103" t="n"/>
      <c r="I2642" s="103" t="n"/>
      <c r="J2642" s="104" t="n"/>
      <c r="K2642" s="102" t="n"/>
      <c r="L2642" s="103" t="n"/>
      <c r="M2642" s="103" t="n"/>
      <c r="N2642" s="104" t="n"/>
      <c r="O2642" s="102" t="n"/>
      <c r="P2642" s="103" t="n"/>
      <c r="Q2642" s="103" t="n"/>
      <c r="R2642" s="104" t="n"/>
      <c r="S2642" s="102" t="n"/>
      <c r="T2642" s="103" t="n"/>
      <c r="U2642" s="103" t="n"/>
      <c r="V2642" s="104" t="n"/>
      <c r="W2642" s="102" t="n"/>
      <c r="X2642" s="104" t="n"/>
      <c r="Y2642" s="102" t="n"/>
      <c r="Z2642" s="104" t="n"/>
      <c r="AB2642" s="105">
        <f>IF($B2642="","",(COUNTIF(C2608:E2625,$B2642)+COUNTIF(C2608:E2625,$B2642&amp;" ~*")&gt;0)+(COUNTIF(G2608:I2625,$B2642)+COUNTIF(G2608:I2625,$B2642&amp;" ~*")&gt;0)+(COUNTIF(K2608:M2625,$B2642)+COUNTIF(K2608:M2625,$B2642&amp;" ~*")&gt;0)+(COUNTIF(O2608:Q2625,$B2642)+COUNTIF(O2608:Q2625,$B2642&amp;" ~*")&gt;0)+(COUNTIF(S2608:U2625,$B2642)+COUNTIF(S2608:U2625,$B2642&amp;" ~*")&gt;0)+(COUNTIF(W2608:W2625,$B2642)+COUNTIF(W2608:W2625,$B2642&amp;" ~*")&gt;0)+(COUNTIF(Y2608:Y2625,$B2642)+COUNTIF(Y2608:Y2625,$B2642&amp;" ~*")&gt;0))</f>
        <v/>
      </c>
      <c r="AC2642" s="38">
        <f>IF($B2642="","",(IFERROR(INDEX(Setup!$G$33:$G$40,MATCH(C2642,Setup!$B$33:$B$40,0)),0)=1)*(COUNTIF(C2608:E2625,$B2642)+COUNTIF(C2608:E2625,$B2642&amp;" ~*")&gt;0)+(IFERROR(INDEX(Setup!$G$33:$G$40,MATCH(G2642,Setup!$B$33:$B$40,0)),0)=1)*(COUNTIF(G2608:I2625,$B2642)+COUNTIF(G2608:I2625,$B2642&amp;" ~*")&gt;0)+(IFERROR(INDEX(Setup!$G$33:$G$40,MATCH(K2642,Setup!$B$33:$B$40,0)),0)=1)*(COUNTIF(K2608:M2625,$B2642)+COUNTIF(K2608:M2625,$B2642&amp;" ~*")&gt;0)+(IFERROR(INDEX(Setup!$G$33:$G$40,MATCH(O2642,Setup!$B$33:$B$40,0)),0)=1)*(COUNTIF(O2608:Q2625,$B2642)+COUNTIF(O2608:Q2625,$B2642&amp;" ~*")&gt;0)+(IFERROR(INDEX(Setup!$G$33:$G$40,MATCH(S2642,Setup!$B$33:$B$40,0)),0)=1)*(COUNTIF(S2608:U2625,$B2642)+COUNTIF(S2608:U2625,$B2642&amp;" ~*")&gt;0)+(IFERROR(INDEX(Setup!$G$33:$G$40,MATCH(W2642,Setup!$B$33:$B$40,0)),0)=1)*(COUNTIF(W2608:W2625,$B2642)+COUNTIF(W2608:W2625,$B2642&amp;" ~*")&gt;0)+(IFERROR(INDEX(Setup!$G$33:$G$40,MATCH(Y2642,Setup!$B$33:$B$40,0)),0)=1)*(COUNTIF(Y2608:Y2625,$B2642)+COUNTIF(Y2608:Y2625,$B2642&amp;" ~*")&gt;0))</f>
        <v/>
      </c>
    </row>
    <row r="2643" ht="15" customHeight="1">
      <c r="A2643" t="n">
        <v>53</v>
      </c>
      <c r="B2643" s="35">
        <f>IF(Setup!$B$22="","",Setup!$B$22)</f>
        <v/>
      </c>
      <c r="C2643" s="98" t="n"/>
      <c r="D2643" s="99" t="n"/>
      <c r="E2643" s="99" t="n"/>
      <c r="F2643" s="100" t="n"/>
      <c r="G2643" s="98" t="n"/>
      <c r="H2643" s="99" t="n"/>
      <c r="I2643" s="99" t="n"/>
      <c r="J2643" s="100" t="n"/>
      <c r="K2643" s="98" t="n"/>
      <c r="L2643" s="99" t="n"/>
      <c r="M2643" s="99" t="n"/>
      <c r="N2643" s="100" t="n"/>
      <c r="O2643" s="98" t="n"/>
      <c r="P2643" s="99" t="n"/>
      <c r="Q2643" s="99" t="n"/>
      <c r="R2643" s="100" t="n"/>
      <c r="S2643" s="98" t="n"/>
      <c r="T2643" s="99" t="n"/>
      <c r="U2643" s="99" t="n"/>
      <c r="V2643" s="100" t="n"/>
      <c r="W2643" s="98" t="n"/>
      <c r="X2643" s="100" t="n"/>
      <c r="Y2643" s="98" t="n"/>
      <c r="Z2643" s="100" t="n"/>
      <c r="AB2643" s="101">
        <f>IF($B2643="","",(COUNTIF(C2608:E2625,$B2643)+COUNTIF(C2608:E2625,$B2643&amp;" ~*")&gt;0)+(COUNTIF(G2608:I2625,$B2643)+COUNTIF(G2608:I2625,$B2643&amp;" ~*")&gt;0)+(COUNTIF(K2608:M2625,$B2643)+COUNTIF(K2608:M2625,$B2643&amp;" ~*")&gt;0)+(COUNTIF(O2608:Q2625,$B2643)+COUNTIF(O2608:Q2625,$B2643&amp;" ~*")&gt;0)+(COUNTIF(S2608:U2625,$B2643)+COUNTIF(S2608:U2625,$B2643&amp;" ~*")&gt;0)+(COUNTIF(W2608:W2625,$B2643)+COUNTIF(W2608:W2625,$B2643&amp;" ~*")&gt;0)+(COUNTIF(Y2608:Y2625,$B2643)+COUNTIF(Y2608:Y2625,$B2643&amp;" ~*")&gt;0))</f>
        <v/>
      </c>
      <c r="AC2643" s="36">
        <f>IF($B2643="","",(IFERROR(INDEX(Setup!$G$33:$G$40,MATCH(C2643,Setup!$B$33:$B$40,0)),0)=1)*(COUNTIF(C2608:E2625,$B2643)+COUNTIF(C2608:E2625,$B2643&amp;" ~*")&gt;0)+(IFERROR(INDEX(Setup!$G$33:$G$40,MATCH(G2643,Setup!$B$33:$B$40,0)),0)=1)*(COUNTIF(G2608:I2625,$B2643)+COUNTIF(G2608:I2625,$B2643&amp;" ~*")&gt;0)+(IFERROR(INDEX(Setup!$G$33:$G$40,MATCH(K2643,Setup!$B$33:$B$40,0)),0)=1)*(COUNTIF(K2608:M2625,$B2643)+COUNTIF(K2608:M2625,$B2643&amp;" ~*")&gt;0)+(IFERROR(INDEX(Setup!$G$33:$G$40,MATCH(O2643,Setup!$B$33:$B$40,0)),0)=1)*(COUNTIF(O2608:Q2625,$B2643)+COUNTIF(O2608:Q2625,$B2643&amp;" ~*")&gt;0)+(IFERROR(INDEX(Setup!$G$33:$G$40,MATCH(S2643,Setup!$B$33:$B$40,0)),0)=1)*(COUNTIF(S2608:U2625,$B2643)+COUNTIF(S2608:U2625,$B2643&amp;" ~*")&gt;0)+(IFERROR(INDEX(Setup!$G$33:$G$40,MATCH(W2643,Setup!$B$33:$B$40,0)),0)=1)*(COUNTIF(W2608:W2625,$B2643)+COUNTIF(W2608:W2625,$B2643&amp;" ~*")&gt;0)+(IFERROR(INDEX(Setup!$G$33:$G$40,MATCH(Y2643,Setup!$B$33:$B$40,0)),0)=1)*(COUNTIF(Y2608:Y2625,$B2643)+COUNTIF(Y2608:Y2625,$B2643&amp;" ~*")&gt;0))</f>
        <v/>
      </c>
    </row>
    <row r="2644" ht="15" customHeight="1">
      <c r="A2644" t="n">
        <v>53</v>
      </c>
      <c r="B2644" s="37">
        <f>IF(Setup!$B$23="","",Setup!$B$23)</f>
        <v/>
      </c>
      <c r="C2644" s="102" t="n"/>
      <c r="D2644" s="103" t="n"/>
      <c r="E2644" s="103" t="n"/>
      <c r="F2644" s="104" t="n"/>
      <c r="G2644" s="102" t="n"/>
      <c r="H2644" s="103" t="n"/>
      <c r="I2644" s="103" t="n"/>
      <c r="J2644" s="104" t="n"/>
      <c r="K2644" s="102" t="n"/>
      <c r="L2644" s="103" t="n"/>
      <c r="M2644" s="103" t="n"/>
      <c r="N2644" s="104" t="n"/>
      <c r="O2644" s="102" t="n"/>
      <c r="P2644" s="103" t="n"/>
      <c r="Q2644" s="103" t="n"/>
      <c r="R2644" s="104" t="n"/>
      <c r="S2644" s="102" t="n"/>
      <c r="T2644" s="103" t="n"/>
      <c r="U2644" s="103" t="n"/>
      <c r="V2644" s="104" t="n"/>
      <c r="W2644" s="102" t="n"/>
      <c r="X2644" s="104" t="n"/>
      <c r="Y2644" s="102" t="n"/>
      <c r="Z2644" s="104" t="n"/>
      <c r="AB2644" s="105">
        <f>IF($B2644="","",(COUNTIF(C2608:E2625,$B2644)+COUNTIF(C2608:E2625,$B2644&amp;" ~*")&gt;0)+(COUNTIF(G2608:I2625,$B2644)+COUNTIF(G2608:I2625,$B2644&amp;" ~*")&gt;0)+(COUNTIF(K2608:M2625,$B2644)+COUNTIF(K2608:M2625,$B2644&amp;" ~*")&gt;0)+(COUNTIF(O2608:Q2625,$B2644)+COUNTIF(O2608:Q2625,$B2644&amp;" ~*")&gt;0)+(COUNTIF(S2608:U2625,$B2644)+COUNTIF(S2608:U2625,$B2644&amp;" ~*")&gt;0)+(COUNTIF(W2608:W2625,$B2644)+COUNTIF(W2608:W2625,$B2644&amp;" ~*")&gt;0)+(COUNTIF(Y2608:Y2625,$B2644)+COUNTIF(Y2608:Y2625,$B2644&amp;" ~*")&gt;0))</f>
        <v/>
      </c>
      <c r="AC2644" s="38">
        <f>IF($B2644="","",(IFERROR(INDEX(Setup!$G$33:$G$40,MATCH(C2644,Setup!$B$33:$B$40,0)),0)=1)*(COUNTIF(C2608:E2625,$B2644)+COUNTIF(C2608:E2625,$B2644&amp;" ~*")&gt;0)+(IFERROR(INDEX(Setup!$G$33:$G$40,MATCH(G2644,Setup!$B$33:$B$40,0)),0)=1)*(COUNTIF(G2608:I2625,$B2644)+COUNTIF(G2608:I2625,$B2644&amp;" ~*")&gt;0)+(IFERROR(INDEX(Setup!$G$33:$G$40,MATCH(K2644,Setup!$B$33:$B$40,0)),0)=1)*(COUNTIF(K2608:M2625,$B2644)+COUNTIF(K2608:M2625,$B2644&amp;" ~*")&gt;0)+(IFERROR(INDEX(Setup!$G$33:$G$40,MATCH(O2644,Setup!$B$33:$B$40,0)),0)=1)*(COUNTIF(O2608:Q2625,$B2644)+COUNTIF(O2608:Q2625,$B2644&amp;" ~*")&gt;0)+(IFERROR(INDEX(Setup!$G$33:$G$40,MATCH(S2644,Setup!$B$33:$B$40,0)),0)=1)*(COUNTIF(S2608:U2625,$B2644)+COUNTIF(S2608:U2625,$B2644&amp;" ~*")&gt;0)+(IFERROR(INDEX(Setup!$G$33:$G$40,MATCH(W2644,Setup!$B$33:$B$40,0)),0)=1)*(COUNTIF(W2608:W2625,$B2644)+COUNTIF(W2608:W2625,$B2644&amp;" ~*")&gt;0)+(IFERROR(INDEX(Setup!$G$33:$G$40,MATCH(Y2644,Setup!$B$33:$B$40,0)),0)=1)*(COUNTIF(Y2608:Y2625,$B2644)+COUNTIF(Y2608:Y2625,$B2644&amp;" ~*")&gt;0))</f>
        <v/>
      </c>
    </row>
    <row r="2645" ht="15" customHeight="1">
      <c r="A2645" t="n">
        <v>53</v>
      </c>
      <c r="B2645" s="35">
        <f>IF(Setup!$B$24="","",Setup!$B$24)</f>
        <v/>
      </c>
      <c r="C2645" s="98" t="n"/>
      <c r="D2645" s="99" t="n"/>
      <c r="E2645" s="99" t="n"/>
      <c r="F2645" s="100" t="n"/>
      <c r="G2645" s="98" t="n"/>
      <c r="H2645" s="99" t="n"/>
      <c r="I2645" s="99" t="n"/>
      <c r="J2645" s="100" t="n"/>
      <c r="K2645" s="98" t="n"/>
      <c r="L2645" s="99" t="n"/>
      <c r="M2645" s="99" t="n"/>
      <c r="N2645" s="100" t="n"/>
      <c r="O2645" s="98" t="n"/>
      <c r="P2645" s="99" t="n"/>
      <c r="Q2645" s="99" t="n"/>
      <c r="R2645" s="100" t="n"/>
      <c r="S2645" s="98" t="n"/>
      <c r="T2645" s="99" t="n"/>
      <c r="U2645" s="99" t="n"/>
      <c r="V2645" s="100" t="n"/>
      <c r="W2645" s="98" t="n"/>
      <c r="X2645" s="100" t="n"/>
      <c r="Y2645" s="98" t="n"/>
      <c r="Z2645" s="100" t="n"/>
      <c r="AB2645" s="101">
        <f>IF($B2645="","",(COUNTIF(C2608:E2625,$B2645)+COUNTIF(C2608:E2625,$B2645&amp;" ~*")&gt;0)+(COUNTIF(G2608:I2625,$B2645)+COUNTIF(G2608:I2625,$B2645&amp;" ~*")&gt;0)+(COUNTIF(K2608:M2625,$B2645)+COUNTIF(K2608:M2625,$B2645&amp;" ~*")&gt;0)+(COUNTIF(O2608:Q2625,$B2645)+COUNTIF(O2608:Q2625,$B2645&amp;" ~*")&gt;0)+(COUNTIF(S2608:U2625,$B2645)+COUNTIF(S2608:U2625,$B2645&amp;" ~*")&gt;0)+(COUNTIF(W2608:W2625,$B2645)+COUNTIF(W2608:W2625,$B2645&amp;" ~*")&gt;0)+(COUNTIF(Y2608:Y2625,$B2645)+COUNTIF(Y2608:Y2625,$B2645&amp;" ~*")&gt;0))</f>
        <v/>
      </c>
      <c r="AC2645" s="36">
        <f>IF($B2645="","",(IFERROR(INDEX(Setup!$G$33:$G$40,MATCH(C2645,Setup!$B$33:$B$40,0)),0)=1)*(COUNTIF(C2608:E2625,$B2645)+COUNTIF(C2608:E2625,$B2645&amp;" ~*")&gt;0)+(IFERROR(INDEX(Setup!$G$33:$G$40,MATCH(G2645,Setup!$B$33:$B$40,0)),0)=1)*(COUNTIF(G2608:I2625,$B2645)+COUNTIF(G2608:I2625,$B2645&amp;" ~*")&gt;0)+(IFERROR(INDEX(Setup!$G$33:$G$40,MATCH(K2645,Setup!$B$33:$B$40,0)),0)=1)*(COUNTIF(K2608:M2625,$B2645)+COUNTIF(K2608:M2625,$B2645&amp;" ~*")&gt;0)+(IFERROR(INDEX(Setup!$G$33:$G$40,MATCH(O2645,Setup!$B$33:$B$40,0)),0)=1)*(COUNTIF(O2608:Q2625,$B2645)+COUNTIF(O2608:Q2625,$B2645&amp;" ~*")&gt;0)+(IFERROR(INDEX(Setup!$G$33:$G$40,MATCH(S2645,Setup!$B$33:$B$40,0)),0)=1)*(COUNTIF(S2608:U2625,$B2645)+COUNTIF(S2608:U2625,$B2645&amp;" ~*")&gt;0)+(IFERROR(INDEX(Setup!$G$33:$G$40,MATCH(W2645,Setup!$B$33:$B$40,0)),0)=1)*(COUNTIF(W2608:W2625,$B2645)+COUNTIF(W2608:W2625,$B2645&amp;" ~*")&gt;0)+(IFERROR(INDEX(Setup!$G$33:$G$40,MATCH(Y2645,Setup!$B$33:$B$40,0)),0)=1)*(COUNTIF(Y2608:Y2625,$B2645)+COUNTIF(Y2608:Y2625,$B2645&amp;" ~*")&gt;0))</f>
        <v/>
      </c>
    </row>
    <row r="2646" ht="15" customHeight="1">
      <c r="A2646" t="n">
        <v>53</v>
      </c>
      <c r="B2646" s="37">
        <f>IF(Setup!$B$25="","",Setup!$B$25)</f>
        <v/>
      </c>
      <c r="C2646" s="102" t="n"/>
      <c r="D2646" s="103" t="n"/>
      <c r="E2646" s="103" t="n"/>
      <c r="F2646" s="104" t="n"/>
      <c r="G2646" s="102" t="n"/>
      <c r="H2646" s="103" t="n"/>
      <c r="I2646" s="103" t="n"/>
      <c r="J2646" s="104" t="n"/>
      <c r="K2646" s="102" t="n"/>
      <c r="L2646" s="103" t="n"/>
      <c r="M2646" s="103" t="n"/>
      <c r="N2646" s="104" t="n"/>
      <c r="O2646" s="102" t="n"/>
      <c r="P2646" s="103" t="n"/>
      <c r="Q2646" s="103" t="n"/>
      <c r="R2646" s="104" t="n"/>
      <c r="S2646" s="102" t="n"/>
      <c r="T2646" s="103" t="n"/>
      <c r="U2646" s="103" t="n"/>
      <c r="V2646" s="104" t="n"/>
      <c r="W2646" s="102" t="n"/>
      <c r="X2646" s="104" t="n"/>
      <c r="Y2646" s="102" t="n"/>
      <c r="Z2646" s="104" t="n"/>
      <c r="AB2646" s="105">
        <f>IF($B2646="","",(COUNTIF(C2608:E2625,$B2646)+COUNTIF(C2608:E2625,$B2646&amp;" ~*")&gt;0)+(COUNTIF(G2608:I2625,$B2646)+COUNTIF(G2608:I2625,$B2646&amp;" ~*")&gt;0)+(COUNTIF(K2608:M2625,$B2646)+COUNTIF(K2608:M2625,$B2646&amp;" ~*")&gt;0)+(COUNTIF(O2608:Q2625,$B2646)+COUNTIF(O2608:Q2625,$B2646&amp;" ~*")&gt;0)+(COUNTIF(S2608:U2625,$B2646)+COUNTIF(S2608:U2625,$B2646&amp;" ~*")&gt;0)+(COUNTIF(W2608:W2625,$B2646)+COUNTIF(W2608:W2625,$B2646&amp;" ~*")&gt;0)+(COUNTIF(Y2608:Y2625,$B2646)+COUNTIF(Y2608:Y2625,$B2646&amp;" ~*")&gt;0))</f>
        <v/>
      </c>
      <c r="AC2646" s="38">
        <f>IF($B2646="","",(IFERROR(INDEX(Setup!$G$33:$G$40,MATCH(C2646,Setup!$B$33:$B$40,0)),0)=1)*(COUNTIF(C2608:E2625,$B2646)+COUNTIF(C2608:E2625,$B2646&amp;" ~*")&gt;0)+(IFERROR(INDEX(Setup!$G$33:$G$40,MATCH(G2646,Setup!$B$33:$B$40,0)),0)=1)*(COUNTIF(G2608:I2625,$B2646)+COUNTIF(G2608:I2625,$B2646&amp;" ~*")&gt;0)+(IFERROR(INDEX(Setup!$G$33:$G$40,MATCH(K2646,Setup!$B$33:$B$40,0)),0)=1)*(COUNTIF(K2608:M2625,$B2646)+COUNTIF(K2608:M2625,$B2646&amp;" ~*")&gt;0)+(IFERROR(INDEX(Setup!$G$33:$G$40,MATCH(O2646,Setup!$B$33:$B$40,0)),0)=1)*(COUNTIF(O2608:Q2625,$B2646)+COUNTIF(O2608:Q2625,$B2646&amp;" ~*")&gt;0)+(IFERROR(INDEX(Setup!$G$33:$G$40,MATCH(S2646,Setup!$B$33:$B$40,0)),0)=1)*(COUNTIF(S2608:U2625,$B2646)+COUNTIF(S2608:U2625,$B2646&amp;" ~*")&gt;0)+(IFERROR(INDEX(Setup!$G$33:$G$40,MATCH(W2646,Setup!$B$33:$B$40,0)),0)=1)*(COUNTIF(W2608:W2625,$B2646)+COUNTIF(W2608:W2625,$B2646&amp;" ~*")&gt;0)+(IFERROR(INDEX(Setup!$G$33:$G$40,MATCH(Y2646,Setup!$B$33:$B$40,0)),0)=1)*(COUNTIF(Y2608:Y2625,$B2646)+COUNTIF(Y2608:Y2625,$B2646&amp;" ~*")&gt;0))</f>
        <v/>
      </c>
    </row>
    <row r="2647" ht="15" customHeight="1">
      <c r="A2647" t="n">
        <v>53</v>
      </c>
      <c r="B2647" s="35">
        <f>IF(Setup!$B$26="","",Setup!$B$26)</f>
        <v/>
      </c>
      <c r="C2647" s="98" t="n"/>
      <c r="D2647" s="99" t="n"/>
      <c r="E2647" s="99" t="n"/>
      <c r="F2647" s="100" t="n"/>
      <c r="G2647" s="98" t="n"/>
      <c r="H2647" s="99" t="n"/>
      <c r="I2647" s="99" t="n"/>
      <c r="J2647" s="100" t="n"/>
      <c r="K2647" s="98" t="n"/>
      <c r="L2647" s="99" t="n"/>
      <c r="M2647" s="99" t="n"/>
      <c r="N2647" s="100" t="n"/>
      <c r="O2647" s="98" t="n"/>
      <c r="P2647" s="99" t="n"/>
      <c r="Q2647" s="99" t="n"/>
      <c r="R2647" s="100" t="n"/>
      <c r="S2647" s="98" t="n"/>
      <c r="T2647" s="99" t="n"/>
      <c r="U2647" s="99" t="n"/>
      <c r="V2647" s="100" t="n"/>
      <c r="W2647" s="98" t="n"/>
      <c r="X2647" s="100" t="n"/>
      <c r="Y2647" s="98" t="n"/>
      <c r="Z2647" s="100" t="n"/>
      <c r="AB2647" s="101">
        <f>IF($B2647="","",(COUNTIF(C2608:E2625,$B2647)+COUNTIF(C2608:E2625,$B2647&amp;" ~*")&gt;0)+(COUNTIF(G2608:I2625,$B2647)+COUNTIF(G2608:I2625,$B2647&amp;" ~*")&gt;0)+(COUNTIF(K2608:M2625,$B2647)+COUNTIF(K2608:M2625,$B2647&amp;" ~*")&gt;0)+(COUNTIF(O2608:Q2625,$B2647)+COUNTIF(O2608:Q2625,$B2647&amp;" ~*")&gt;0)+(COUNTIF(S2608:U2625,$B2647)+COUNTIF(S2608:U2625,$B2647&amp;" ~*")&gt;0)+(COUNTIF(W2608:W2625,$B2647)+COUNTIF(W2608:W2625,$B2647&amp;" ~*")&gt;0)+(COUNTIF(Y2608:Y2625,$B2647)+COUNTIF(Y2608:Y2625,$B2647&amp;" ~*")&gt;0))</f>
        <v/>
      </c>
      <c r="AC2647" s="36">
        <f>IF($B2647="","",(IFERROR(INDEX(Setup!$G$33:$G$40,MATCH(C2647,Setup!$B$33:$B$40,0)),0)=1)*(COUNTIF(C2608:E2625,$B2647)+COUNTIF(C2608:E2625,$B2647&amp;" ~*")&gt;0)+(IFERROR(INDEX(Setup!$G$33:$G$40,MATCH(G2647,Setup!$B$33:$B$40,0)),0)=1)*(COUNTIF(G2608:I2625,$B2647)+COUNTIF(G2608:I2625,$B2647&amp;" ~*")&gt;0)+(IFERROR(INDEX(Setup!$G$33:$G$40,MATCH(K2647,Setup!$B$33:$B$40,0)),0)=1)*(COUNTIF(K2608:M2625,$B2647)+COUNTIF(K2608:M2625,$B2647&amp;" ~*")&gt;0)+(IFERROR(INDEX(Setup!$G$33:$G$40,MATCH(O2647,Setup!$B$33:$B$40,0)),0)=1)*(COUNTIF(O2608:Q2625,$B2647)+COUNTIF(O2608:Q2625,$B2647&amp;" ~*")&gt;0)+(IFERROR(INDEX(Setup!$G$33:$G$40,MATCH(S2647,Setup!$B$33:$B$40,0)),0)=1)*(COUNTIF(S2608:U2625,$B2647)+COUNTIF(S2608:U2625,$B2647&amp;" ~*")&gt;0)+(IFERROR(INDEX(Setup!$G$33:$G$40,MATCH(W2647,Setup!$B$33:$B$40,0)),0)=1)*(COUNTIF(W2608:W2625,$B2647)+COUNTIF(W2608:W2625,$B2647&amp;" ~*")&gt;0)+(IFERROR(INDEX(Setup!$G$33:$G$40,MATCH(Y2647,Setup!$B$33:$B$40,0)),0)=1)*(COUNTIF(Y2608:Y2625,$B2647)+COUNTIF(Y2608:Y2625,$B2647&amp;" ~*")&gt;0))</f>
        <v/>
      </c>
    </row>
    <row r="2648" ht="15" customHeight="1">
      <c r="A2648" t="n">
        <v>53</v>
      </c>
      <c r="B2648" s="37">
        <f>IF(Setup!$B$27="","",Setup!$B$27)</f>
        <v/>
      </c>
      <c r="C2648" s="102" t="n"/>
      <c r="D2648" s="103" t="n"/>
      <c r="E2648" s="103" t="n"/>
      <c r="F2648" s="104" t="n"/>
      <c r="G2648" s="102" t="n"/>
      <c r="H2648" s="103" t="n"/>
      <c r="I2648" s="103" t="n"/>
      <c r="J2648" s="104" t="n"/>
      <c r="K2648" s="102" t="n"/>
      <c r="L2648" s="103" t="n"/>
      <c r="M2648" s="103" t="n"/>
      <c r="N2648" s="104" t="n"/>
      <c r="O2648" s="102" t="n"/>
      <c r="P2648" s="103" t="n"/>
      <c r="Q2648" s="103" t="n"/>
      <c r="R2648" s="104" t="n"/>
      <c r="S2648" s="102" t="n"/>
      <c r="T2648" s="103" t="n"/>
      <c r="U2648" s="103" t="n"/>
      <c r="V2648" s="104" t="n"/>
      <c r="W2648" s="102" t="n"/>
      <c r="X2648" s="104" t="n"/>
      <c r="Y2648" s="102" t="n"/>
      <c r="Z2648" s="104" t="n"/>
      <c r="AB2648" s="105">
        <f>IF($B2648="","",(COUNTIF(C2608:E2625,$B2648)+COUNTIF(C2608:E2625,$B2648&amp;" ~*")&gt;0)+(COUNTIF(G2608:I2625,$B2648)+COUNTIF(G2608:I2625,$B2648&amp;" ~*")&gt;0)+(COUNTIF(K2608:M2625,$B2648)+COUNTIF(K2608:M2625,$B2648&amp;" ~*")&gt;0)+(COUNTIF(O2608:Q2625,$B2648)+COUNTIF(O2608:Q2625,$B2648&amp;" ~*")&gt;0)+(COUNTIF(S2608:U2625,$B2648)+COUNTIF(S2608:U2625,$B2648&amp;" ~*")&gt;0)+(COUNTIF(W2608:W2625,$B2648)+COUNTIF(W2608:W2625,$B2648&amp;" ~*")&gt;0)+(COUNTIF(Y2608:Y2625,$B2648)+COUNTIF(Y2608:Y2625,$B2648&amp;" ~*")&gt;0))</f>
        <v/>
      </c>
      <c r="AC2648" s="38">
        <f>IF($B2648="","",(IFERROR(INDEX(Setup!$G$33:$G$40,MATCH(C2648,Setup!$B$33:$B$40,0)),0)=1)*(COUNTIF(C2608:E2625,$B2648)+COUNTIF(C2608:E2625,$B2648&amp;" ~*")&gt;0)+(IFERROR(INDEX(Setup!$G$33:$G$40,MATCH(G2648,Setup!$B$33:$B$40,0)),0)=1)*(COUNTIF(G2608:I2625,$B2648)+COUNTIF(G2608:I2625,$B2648&amp;" ~*")&gt;0)+(IFERROR(INDEX(Setup!$G$33:$G$40,MATCH(K2648,Setup!$B$33:$B$40,0)),0)=1)*(COUNTIF(K2608:M2625,$B2648)+COUNTIF(K2608:M2625,$B2648&amp;" ~*")&gt;0)+(IFERROR(INDEX(Setup!$G$33:$G$40,MATCH(O2648,Setup!$B$33:$B$40,0)),0)=1)*(COUNTIF(O2608:Q2625,$B2648)+COUNTIF(O2608:Q2625,$B2648&amp;" ~*")&gt;0)+(IFERROR(INDEX(Setup!$G$33:$G$40,MATCH(S2648,Setup!$B$33:$B$40,0)),0)=1)*(COUNTIF(S2608:U2625,$B2648)+COUNTIF(S2608:U2625,$B2648&amp;" ~*")&gt;0)+(IFERROR(INDEX(Setup!$G$33:$G$40,MATCH(W2648,Setup!$B$33:$B$40,0)),0)=1)*(COUNTIF(W2608:W2625,$B2648)+COUNTIF(W2608:W2625,$B2648&amp;" ~*")&gt;0)+(IFERROR(INDEX(Setup!$G$33:$G$40,MATCH(Y2648,Setup!$B$33:$B$40,0)),0)=1)*(COUNTIF(Y2608:Y2625,$B2648)+COUNTIF(Y2608:Y2625,$B2648&amp;" ~*")&gt;0))</f>
        <v/>
      </c>
    </row>
    <row r="2649" ht="15" customHeight="1">
      <c r="A2649" t="n">
        <v>53</v>
      </c>
      <c r="B2649" s="35">
        <f>IF(Setup!$B$28="","",Setup!$B$28)</f>
        <v/>
      </c>
      <c r="C2649" s="98" t="n"/>
      <c r="D2649" s="99" t="n"/>
      <c r="E2649" s="99" t="n"/>
      <c r="F2649" s="100" t="n"/>
      <c r="G2649" s="98" t="n"/>
      <c r="H2649" s="99" t="n"/>
      <c r="I2649" s="99" t="n"/>
      <c r="J2649" s="100" t="n"/>
      <c r="K2649" s="98" t="n"/>
      <c r="L2649" s="99" t="n"/>
      <c r="M2649" s="99" t="n"/>
      <c r="N2649" s="100" t="n"/>
      <c r="O2649" s="98" t="n"/>
      <c r="P2649" s="99" t="n"/>
      <c r="Q2649" s="99" t="n"/>
      <c r="R2649" s="100" t="n"/>
      <c r="S2649" s="98" t="n"/>
      <c r="T2649" s="99" t="n"/>
      <c r="U2649" s="99" t="n"/>
      <c r="V2649" s="100" t="n"/>
      <c r="W2649" s="98" t="n"/>
      <c r="X2649" s="100" t="n"/>
      <c r="Y2649" s="98" t="n"/>
      <c r="Z2649" s="100" t="n"/>
      <c r="AB2649" s="101">
        <f>IF($B2649="","",(COUNTIF(C2608:E2625,$B2649)+COUNTIF(C2608:E2625,$B2649&amp;" ~*")&gt;0)+(COUNTIF(G2608:I2625,$B2649)+COUNTIF(G2608:I2625,$B2649&amp;" ~*")&gt;0)+(COUNTIF(K2608:M2625,$B2649)+COUNTIF(K2608:M2625,$B2649&amp;" ~*")&gt;0)+(COUNTIF(O2608:Q2625,$B2649)+COUNTIF(O2608:Q2625,$B2649&amp;" ~*")&gt;0)+(COUNTIF(S2608:U2625,$B2649)+COUNTIF(S2608:U2625,$B2649&amp;" ~*")&gt;0)+(COUNTIF(W2608:W2625,$B2649)+COUNTIF(W2608:W2625,$B2649&amp;" ~*")&gt;0)+(COUNTIF(Y2608:Y2625,$B2649)+COUNTIF(Y2608:Y2625,$B2649&amp;" ~*")&gt;0))</f>
        <v/>
      </c>
      <c r="AC2649" s="36">
        <f>IF($B2649="","",(IFERROR(INDEX(Setup!$G$33:$G$40,MATCH(C2649,Setup!$B$33:$B$40,0)),0)=1)*(COUNTIF(C2608:E2625,$B2649)+COUNTIF(C2608:E2625,$B2649&amp;" ~*")&gt;0)+(IFERROR(INDEX(Setup!$G$33:$G$40,MATCH(G2649,Setup!$B$33:$B$40,0)),0)=1)*(COUNTIF(G2608:I2625,$B2649)+COUNTIF(G2608:I2625,$B2649&amp;" ~*")&gt;0)+(IFERROR(INDEX(Setup!$G$33:$G$40,MATCH(K2649,Setup!$B$33:$B$40,0)),0)=1)*(COUNTIF(K2608:M2625,$B2649)+COUNTIF(K2608:M2625,$B2649&amp;" ~*")&gt;0)+(IFERROR(INDEX(Setup!$G$33:$G$40,MATCH(O2649,Setup!$B$33:$B$40,0)),0)=1)*(COUNTIF(O2608:Q2625,$B2649)+COUNTIF(O2608:Q2625,$B2649&amp;" ~*")&gt;0)+(IFERROR(INDEX(Setup!$G$33:$G$40,MATCH(S2649,Setup!$B$33:$B$40,0)),0)=1)*(COUNTIF(S2608:U2625,$B2649)+COUNTIF(S2608:U2625,$B2649&amp;" ~*")&gt;0)+(IFERROR(INDEX(Setup!$G$33:$G$40,MATCH(W2649,Setup!$B$33:$B$40,0)),0)=1)*(COUNTIF(W2608:W2625,$B2649)+COUNTIF(W2608:W2625,$B2649&amp;" ~*")&gt;0)+(IFERROR(INDEX(Setup!$G$33:$G$40,MATCH(Y2649,Setup!$B$33:$B$40,0)),0)=1)*(COUNTIF(Y2608:Y2625,$B2649)+COUNTIF(Y2608:Y2625,$B2649&amp;" ~*")&gt;0))</f>
        <v/>
      </c>
    </row>
    <row r="2650" ht="15" customHeight="1">
      <c r="A2650" t="n">
        <v>53</v>
      </c>
      <c r="B2650" s="37">
        <f>IF(Setup!$B$29="","",Setup!$B$29)</f>
        <v/>
      </c>
      <c r="C2650" s="102" t="n"/>
      <c r="D2650" s="103" t="n"/>
      <c r="E2650" s="103" t="n"/>
      <c r="F2650" s="104" t="n"/>
      <c r="G2650" s="102" t="n"/>
      <c r="H2650" s="103" t="n"/>
      <c r="I2650" s="103" t="n"/>
      <c r="J2650" s="104" t="n"/>
      <c r="K2650" s="102" t="n"/>
      <c r="L2650" s="103" t="n"/>
      <c r="M2650" s="103" t="n"/>
      <c r="N2650" s="104" t="n"/>
      <c r="O2650" s="102" t="n"/>
      <c r="P2650" s="103" t="n"/>
      <c r="Q2650" s="103" t="n"/>
      <c r="R2650" s="104" t="n"/>
      <c r="S2650" s="102" t="n"/>
      <c r="T2650" s="103" t="n"/>
      <c r="U2650" s="103" t="n"/>
      <c r="V2650" s="104" t="n"/>
      <c r="W2650" s="102" t="n"/>
      <c r="X2650" s="104" t="n"/>
      <c r="Y2650" s="102" t="n"/>
      <c r="Z2650" s="104" t="n"/>
      <c r="AB2650" s="105">
        <f>IF($B2650="","",(COUNTIF(C2608:E2625,$B2650)+COUNTIF(C2608:E2625,$B2650&amp;" ~*")&gt;0)+(COUNTIF(G2608:I2625,$B2650)+COUNTIF(G2608:I2625,$B2650&amp;" ~*")&gt;0)+(COUNTIF(K2608:M2625,$B2650)+COUNTIF(K2608:M2625,$B2650&amp;" ~*")&gt;0)+(COUNTIF(O2608:Q2625,$B2650)+COUNTIF(O2608:Q2625,$B2650&amp;" ~*")&gt;0)+(COUNTIF(S2608:U2625,$B2650)+COUNTIF(S2608:U2625,$B2650&amp;" ~*")&gt;0)+(COUNTIF(W2608:W2625,$B2650)+COUNTIF(W2608:W2625,$B2650&amp;" ~*")&gt;0)+(COUNTIF(Y2608:Y2625,$B2650)+COUNTIF(Y2608:Y2625,$B2650&amp;" ~*")&gt;0))</f>
        <v/>
      </c>
      <c r="AC2650" s="38">
        <f>IF($B2650="","",(IFERROR(INDEX(Setup!$G$33:$G$40,MATCH(C2650,Setup!$B$33:$B$40,0)),0)=1)*(COUNTIF(C2608:E2625,$B2650)+COUNTIF(C2608:E2625,$B2650&amp;" ~*")&gt;0)+(IFERROR(INDEX(Setup!$G$33:$G$40,MATCH(G2650,Setup!$B$33:$B$40,0)),0)=1)*(COUNTIF(G2608:I2625,$B2650)+COUNTIF(G2608:I2625,$B2650&amp;" ~*")&gt;0)+(IFERROR(INDEX(Setup!$G$33:$G$40,MATCH(K2650,Setup!$B$33:$B$40,0)),0)=1)*(COUNTIF(K2608:M2625,$B2650)+COUNTIF(K2608:M2625,$B2650&amp;" ~*")&gt;0)+(IFERROR(INDEX(Setup!$G$33:$G$40,MATCH(O2650,Setup!$B$33:$B$40,0)),0)=1)*(COUNTIF(O2608:Q2625,$B2650)+COUNTIF(O2608:Q2625,$B2650&amp;" ~*")&gt;0)+(IFERROR(INDEX(Setup!$G$33:$G$40,MATCH(S2650,Setup!$B$33:$B$40,0)),0)=1)*(COUNTIF(S2608:U2625,$B2650)+COUNTIF(S2608:U2625,$B2650&amp;" ~*")&gt;0)+(IFERROR(INDEX(Setup!$G$33:$G$40,MATCH(W2650,Setup!$B$33:$B$40,0)),0)=1)*(COUNTIF(W2608:W2625,$B2650)+COUNTIF(W2608:W2625,$B2650&amp;" ~*")&gt;0)+(IFERROR(INDEX(Setup!$G$33:$G$40,MATCH(Y2650,Setup!$B$33:$B$40,0)),0)=1)*(COUNTIF(Y2608:Y2625,$B2650)+COUNTIF(Y2608:Y2625,$B2650&amp;" ~*")&gt;0))</f>
        <v/>
      </c>
    </row>
    <row r="2651" ht="16" customHeight="1">
      <c r="A2651" t="n">
        <v>53</v>
      </c>
      <c r="B2651" s="106" t="inlineStr">
        <is>
          <t>Available people</t>
        </is>
      </c>
      <c r="C2651" s="107">
        <f>COUNTIFS(Setup!$E$6:$E$29,"Y",Setup!$B$6:$B$29,"?*")-SUMPRODUCT(COUNTIF(C2627:C2650,Setup!$F$33:$F$40))</f>
        <v/>
      </c>
      <c r="D2651" s="107" t="n"/>
      <c r="E2651" s="107" t="n"/>
      <c r="F2651" s="107" t="n"/>
      <c r="G2651" s="107">
        <f>COUNTIFS(Setup!$E$6:$E$29,"Y",Setup!$B$6:$B$29,"?*")-SUMPRODUCT(COUNTIF(G2627:G2650,Setup!$F$33:$F$40))</f>
        <v/>
      </c>
      <c r="H2651" s="107" t="n"/>
      <c r="I2651" s="107" t="n"/>
      <c r="J2651" s="107" t="n"/>
      <c r="K2651" s="107">
        <f>COUNTIFS(Setup!$E$6:$E$29,"Y",Setup!$B$6:$B$29,"?*")-SUMPRODUCT(COUNTIF(K2627:K2650,Setup!$F$33:$F$40))</f>
        <v/>
      </c>
      <c r="L2651" s="107" t="n"/>
      <c r="M2651" s="107" t="n"/>
      <c r="N2651" s="107" t="n"/>
      <c r="O2651" s="107">
        <f>COUNTIFS(Setup!$E$6:$E$29,"Y",Setup!$B$6:$B$29,"?*")-SUMPRODUCT(COUNTIF(O2627:O2650,Setup!$F$33:$F$40))</f>
        <v/>
      </c>
      <c r="P2651" s="107" t="n"/>
      <c r="Q2651" s="107" t="n"/>
      <c r="R2651" s="107" t="n"/>
      <c r="S2651" s="107">
        <f>COUNTIFS(Setup!$E$6:$E$29,"Y",Setup!$B$6:$B$29,"?*")-SUMPRODUCT(COUNTIF(S2627:S2650,Setup!$F$33:$F$40))</f>
        <v/>
      </c>
      <c r="T2651" s="107" t="n"/>
      <c r="U2651" s="107" t="n"/>
      <c r="V2651" s="107" t="n"/>
      <c r="W2651" s="107">
        <f>COUNTIFS(Setup!$E$6:$E$29,"Y",Setup!$B$6:$B$29,"?*")-SUMPRODUCT(COUNTIF(W2627:W2650,Setup!$F$33:$F$40))</f>
        <v/>
      </c>
      <c r="X2651" s="107" t="n"/>
      <c r="Y2651" s="107">
        <f>COUNTIFS(Setup!$E$6:$E$29,"Y",Setup!$B$6:$B$29,"?*")-SUMPRODUCT(COUNTIF(Y2627:Y2650,Setup!$F$33:$F$40))</f>
        <v/>
      </c>
      <c r="Z2651" s="107" t="n"/>
      <c r="AB2651" s="108">
        <f>SUM(AB2627:AB2650)</f>
        <v/>
      </c>
      <c r="AC2651" s="109">
        <f>SUM(AC2627:AC2650)</f>
        <v/>
      </c>
    </row>
    <row r="2652" ht="30" customHeight="1">
      <c r="A2652" t="n">
        <v>53</v>
      </c>
      <c r="B2652" s="110" t="inlineStr">
        <is>
          <t>Week notes</t>
        </is>
      </c>
      <c r="C2652" s="111" t="n"/>
      <c r="D2652" s="112" t="n"/>
      <c r="E2652" s="112" t="n"/>
      <c r="F2652" s="112" t="n"/>
      <c r="G2652" s="112" t="n"/>
      <c r="H2652" s="112" t="n"/>
      <c r="I2652" s="112" t="n"/>
      <c r="J2652" s="112" t="n"/>
      <c r="K2652" s="112" t="n"/>
      <c r="L2652" s="112" t="n"/>
      <c r="M2652" s="112" t="n"/>
      <c r="N2652" s="112" t="n"/>
      <c r="O2652" s="112" t="n"/>
      <c r="P2652" s="112" t="n"/>
      <c r="Q2652" s="112" t="n"/>
      <c r="R2652" s="112" t="n"/>
      <c r="S2652" s="112" t="n"/>
      <c r="T2652" s="112" t="n"/>
      <c r="U2652" s="112" t="n"/>
      <c r="V2652" s="112" t="n"/>
      <c r="W2652" s="112" t="n"/>
      <c r="X2652" s="112" t="n"/>
      <c r="Y2652" s="112" t="n"/>
      <c r="Z2652" s="113" t="n"/>
    </row>
    <row r="2653" ht="8" customHeight="1">
      <c r="A2653" t="n">
        <v>53</v>
      </c>
    </row>
    <row r="2654" ht="8" customHeight="1">
      <c r="A2654" t="n">
        <v>53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7">
    <mergeCell ref="B2155:R2155"/>
    <mergeCell ref="B1955:R1955"/>
    <mergeCell ref="B905:R905"/>
    <mergeCell ref="S505:V505"/>
    <mergeCell ref="C2552:Z2552"/>
    <mergeCell ref="S605:V605"/>
    <mergeCell ref="B355:R355"/>
    <mergeCell ref="B2505:R2505"/>
    <mergeCell ref="C152:Z152"/>
    <mergeCell ref="W1605:Z1605"/>
    <mergeCell ref="S855:V855"/>
    <mergeCell ref="W1055:Z1055"/>
    <mergeCell ref="C2352:Z2352"/>
    <mergeCell ref="S1455:V1455"/>
    <mergeCell ref="B1205:R1205"/>
    <mergeCell ref="S2155:V2155"/>
    <mergeCell ref="S1955:V1955"/>
    <mergeCell ref="B655:R655"/>
    <mergeCell ref="W1655:Z1655"/>
    <mergeCell ref="S905:V905"/>
    <mergeCell ref="S255:V255"/>
    <mergeCell ref="B105:R105"/>
    <mergeCell ref="S1155:V1155"/>
    <mergeCell ref="W1:X1"/>
    <mergeCell ref="S305:V305"/>
    <mergeCell ref="W805:Z805"/>
    <mergeCell ref="W1955:Z1955"/>
    <mergeCell ref="C2102:Z2102"/>
    <mergeCell ref="S2255:V2255"/>
    <mergeCell ref="S1205:V1205"/>
    <mergeCell ref="S655:V655"/>
    <mergeCell ref="B405:R405"/>
    <mergeCell ref="C2602:Z2602"/>
    <mergeCell ref="S2305:V2305"/>
    <mergeCell ref="B1905:R1905"/>
    <mergeCell ref="W2255:Z2255"/>
    <mergeCell ref="B2405:R2405"/>
    <mergeCell ref="S2005:V2005"/>
    <mergeCell ref="C1:F1"/>
    <mergeCell ref="C1852:Z1852"/>
    <mergeCell ref="W955:Z955"/>
    <mergeCell ref="S2605:V2605"/>
    <mergeCell ref="S405:V405"/>
    <mergeCell ref="S2055:V2055"/>
    <mergeCell ref="C1802:Z1802"/>
    <mergeCell ref="B1655:R1655"/>
    <mergeCell ref="W2555:Z2555"/>
    <mergeCell ref="W1405:Z1405"/>
    <mergeCell ref="B1105:R1105"/>
    <mergeCell ref="W1905:Z1905"/>
    <mergeCell ref="C2052:Z2052"/>
    <mergeCell ref="S1305:V1305"/>
    <mergeCell ref="S2355:V2355"/>
    <mergeCell ref="B5:R5"/>
    <mergeCell ref="W705:Z705"/>
    <mergeCell ref="W155:Z155"/>
    <mergeCell ref="W1705:Z1705"/>
    <mergeCell ref="B1405:R1405"/>
    <mergeCell ref="C2502:Z2502"/>
    <mergeCell ref="C302:Z302"/>
    <mergeCell ref="B1355:R1355"/>
    <mergeCell ref="S2405:V2405"/>
    <mergeCell ref="S1605:V1605"/>
    <mergeCell ref="B1455:R1455"/>
    <mergeCell ref="S5:V5"/>
    <mergeCell ref="W455:Z455"/>
    <mergeCell ref="B1705:R1705"/>
    <mergeCell ref="S2105:V2105"/>
    <mergeCell ref="B1155:R1155"/>
    <mergeCell ref="W505:Z505"/>
    <mergeCell ref="W2455:Z2455"/>
    <mergeCell ref="B1755:R1755"/>
    <mergeCell ref="B2255:R2255"/>
    <mergeCell ref="O1:V1"/>
    <mergeCell ref="W205:Z205"/>
    <mergeCell ref="C52:Z52"/>
    <mergeCell ref="B505:R505"/>
    <mergeCell ref="W605:Z605"/>
    <mergeCell ref="B2555:R2555"/>
    <mergeCell ref="W255:Z255"/>
    <mergeCell ref="S1755:V1755"/>
    <mergeCell ref="C1452:Z1452"/>
    <mergeCell ref="S1555:V1555"/>
    <mergeCell ref="C802:Z802"/>
    <mergeCell ref="B2005:R2005"/>
    <mergeCell ref="W2205:Z2205"/>
    <mergeCell ref="C2452:Z2452"/>
    <mergeCell ref="W55:Z55"/>
    <mergeCell ref="C352:Z352"/>
    <mergeCell ref="B805:R805"/>
    <mergeCell ref="W355:Z355"/>
    <mergeCell ref="B255:R255"/>
    <mergeCell ref="C1752:Z1752"/>
    <mergeCell ref="S1855:V1855"/>
    <mergeCell ref="S2555:V2555"/>
    <mergeCell ref="C1202:Z1202"/>
    <mergeCell ref="B1055:R1055"/>
    <mergeCell ref="W1505:Z1505"/>
    <mergeCell ref="C652:Z652"/>
    <mergeCell ref="C2202:Z2202"/>
    <mergeCell ref="B2355:R2355"/>
    <mergeCell ref="S1905:V1905"/>
    <mergeCell ref="W105:Z105"/>
    <mergeCell ref="C1502:Z1502"/>
    <mergeCell ref="W1805:Z1805"/>
    <mergeCell ref="C952:Z952"/>
    <mergeCell ref="C752:Z752"/>
    <mergeCell ref="W2305:Z2305"/>
    <mergeCell ref="W1255:Z1255"/>
    <mergeCell ref="S1005:V1005"/>
    <mergeCell ref="S1655:V1655"/>
    <mergeCell ref="W1855:Z1855"/>
    <mergeCell ref="B1555:R1555"/>
    <mergeCell ref="C1252:Z1252"/>
    <mergeCell ref="S1055:V1055"/>
    <mergeCell ref="W2605:Z2605"/>
    <mergeCell ref="S955:V955"/>
    <mergeCell ref="B705:R705"/>
    <mergeCell ref="B155:R155"/>
    <mergeCell ref="W1005:Z1005"/>
    <mergeCell ref="C252:Z252"/>
    <mergeCell ref="W2055:Z2055"/>
    <mergeCell ref="S2455:V2455"/>
    <mergeCell ref="B1855:R1855"/>
    <mergeCell ref="S1405:V1405"/>
    <mergeCell ref="C1102:Z1102"/>
    <mergeCell ref="B1305:R1305"/>
    <mergeCell ref="M3:O3"/>
    <mergeCell ref="S1355:V1355"/>
    <mergeCell ref="S805:V805"/>
    <mergeCell ref="C552:Z552"/>
    <mergeCell ref="S705:V705"/>
    <mergeCell ref="W1105:Z1105"/>
    <mergeCell ref="C2652:Z2652"/>
    <mergeCell ref="S155:V155"/>
    <mergeCell ref="C1402:Z1402"/>
    <mergeCell ref="W755:Z755"/>
    <mergeCell ref="W555:Z555"/>
    <mergeCell ref="S1705:V1705"/>
    <mergeCell ref="S2205:V2205"/>
    <mergeCell ref="B1605:R1605"/>
    <mergeCell ref="W5:Z5"/>
    <mergeCell ref="C852:Z852"/>
    <mergeCell ref="W1355:Z1355"/>
    <mergeCell ref="C2002:Z2002"/>
    <mergeCell ref="S455:V455"/>
    <mergeCell ref="B205:R205"/>
    <mergeCell ref="W855:Z855"/>
    <mergeCell ref="C102:Z102"/>
    <mergeCell ref="S2505:V2505"/>
    <mergeCell ref="W1455:Z1455"/>
    <mergeCell ref="W2155:Z2155"/>
    <mergeCell ref="C602:Z602"/>
    <mergeCell ref="W905:Z905"/>
    <mergeCell ref="C2302:Z2302"/>
    <mergeCell ref="B55:R55"/>
    <mergeCell ref="C402:Z402"/>
    <mergeCell ref="W1155:Z1155"/>
    <mergeCell ref="W2505:Z2505"/>
    <mergeCell ref="S205:V205"/>
    <mergeCell ref="W1755:Z1755"/>
    <mergeCell ref="W305:Z305"/>
    <mergeCell ref="C902:Z902"/>
    <mergeCell ref="W1205:Z1205"/>
    <mergeCell ref="C452:Z452"/>
    <mergeCell ref="C2402:Z2402"/>
    <mergeCell ref="W655:Z655"/>
    <mergeCell ref="B1505:R1505"/>
    <mergeCell ref="S55:V55"/>
    <mergeCell ref="B955:R955"/>
    <mergeCell ref="W2005:Z2005"/>
    <mergeCell ref="C202:Z202"/>
    <mergeCell ref="S355:V355"/>
    <mergeCell ref="C702:Z702"/>
    <mergeCell ref="B1805:R1805"/>
    <mergeCell ref="C2152:Z2152"/>
    <mergeCell ref="W405:Z405"/>
    <mergeCell ref="B2305:R2305"/>
    <mergeCell ref="C1602:Z1602"/>
    <mergeCell ref="S1505:V1505"/>
    <mergeCell ref="B1255:R1255"/>
    <mergeCell ref="C1052:Z1052"/>
    <mergeCell ref="C1552:Z1552"/>
    <mergeCell ref="C502:Z502"/>
    <mergeCell ref="C1652:Z1652"/>
    <mergeCell ref="W2405:Z2405"/>
    <mergeCell ref="C1002:Z1002"/>
    <mergeCell ref="S105:V105"/>
    <mergeCell ref="B2605:R2605"/>
    <mergeCell ref="C1902:Z1902"/>
    <mergeCell ref="W2355:Z2355"/>
    <mergeCell ref="S1805:V1805"/>
    <mergeCell ref="B2055:R2055"/>
    <mergeCell ref="B1005:R1005"/>
    <mergeCell ref="C1352:Z1352"/>
    <mergeCell ref="S1255:V1255"/>
    <mergeCell ref="B455:R455"/>
    <mergeCell ref="C1952:Z1952"/>
    <mergeCell ref="C1302:Z1302"/>
    <mergeCell ref="W2105:Z2105"/>
    <mergeCell ref="B2455:R2455"/>
    <mergeCell ref="W1555:Z1555"/>
    <mergeCell ref="B755:R755"/>
    <mergeCell ref="B555:R555"/>
    <mergeCell ref="C2252:Z2252"/>
    <mergeCell ref="C1702:Z1702"/>
    <mergeCell ref="C1152:Z1152"/>
    <mergeCell ref="G1:N1"/>
    <mergeCell ref="B605:R605"/>
    <mergeCell ref="B2105:R2105"/>
    <mergeCell ref="B2205:R2205"/>
    <mergeCell ref="S1105:V1105"/>
    <mergeCell ref="B855:R855"/>
    <mergeCell ref="W1305:Z1305"/>
    <mergeCell ref="S755:V755"/>
    <mergeCell ref="S555:V555"/>
    <mergeCell ref="B305:R305"/>
  </mergeCells>
  <conditionalFormatting sqref="B8:AC25 B58:AC75 B108:AC125 B158:AC175 B208:AC225 B258:AC275 B308:AC325 B358:AC375 B408:AC425 B458:AC475 B508:AC525 B558:AC575 B608:AC625 B658:AC675 B708:AC725 B758:AC775 B808:AC825 B858:AC875 B908:AC925 B958:AC975 B1008:AC1025 B1058:AC1075 B1108:AC1125 B1158:AC1175 B1208:AC1225 B1258:AC1275 B1308:AC1325 B1358:AC1375 B1408:AC1425 B1458:AC1475 B1508:AC1525 B1558:AC1575 B1608:AC1625 B1658:AC1675 B1708:AC1725 B1758:AC1775 B1808:AC1825 B1858:AC1875 B1908:AC1925 B1958:AC1975 B2008:AC2025 B2058:AC2075 B2108:AC2125 B2158:AC2175 B2208:AC2225 B2258:AC2275 B2308:AC2325 B2358:AC2375 B2408:AC2425 B2458:AC2475 B2508:AC2525 B2558:AC2575 B2608:AC2625">
    <cfRule type="expression" priority="1" dxfId="2" stopIfTrue="1">
      <formula>$B8=""</formula>
    </cfRule>
  </conditionalFormatting>
  <conditionalFormatting sqref="B27:AC50 B77:AC100 B127:AC150 B177:AC200 B227:AC250 B277:AC300 B327:AC350 B377:AC400 B427:AC450 B477:AC500 B527:AC550 B577:AC600 B627:AC650 B677:AC700 B727:AC750 B777:AC800 B827:AC850 B877:AC900 B927:AC950 B977:AC1000 B1027:AC1050 B1077:AC1100 B1127:AC1150 B1177:AC1200 B1227:AC1250 B1277:AC1300 B1327:AC1350 B1377:AC1400 B1427:AC1450 B1477:AC1500 B1527:AC1550 B1577:AC1600 B1627:AC1650 B1677:AC1700 B1727:AC1750 B1777:AC1800 B1827:AC1850 B1877:AC1900 B1927:AC1950 B1977:AC2000 B2027:AC2050 B2077:AC2100 B2127:AC2150 B2177:AC2200 B2227:AC2250 B2277:AC2300 B2327:AC2350 B2377:AC2400 B2427:AC2450 B2477:AC2500 B2527:AC2550 B2577:AC2600 B2627:AC2650">
    <cfRule type="expression" priority="2" dxfId="2" stopIfTrue="1">
      <formula>$B27=""</formula>
    </cfRule>
  </conditionalFormatting>
  <conditionalFormatting sqref="C8:Z25 C58:Z75 C108:Z125 C158:Z175 C208:Z225 C258:Z275 C308:Z325 C358:Z375 C408:Z425 C458:Z475 C508:Z525 C558:Z575 C608:Z625 C658:Z675 C708:Z725 C758:Z775 C808:Z825 C858:Z875 C908:Z925 C958:Z975 C1008:Z1025 C1058:Z1075 C1108:Z1125 C1158:Z1175 C1208:Z1225 C1258:Z1275 C1308:Z1325 C1358:Z1375 C1408:Z1425 C1458:Z1475 C1508:Z1525 C1558:Z1575 C1608:Z1625 C1658:Z1675 C1708:Z1725 C1758:Z1775 C1808:Z1825 C1858:Z1875 C1908:Z1925 C1958:Z1975 C2008:Z2025 C2058:Z2075 C2108:Z2125 C2158:Z2175 C2208:Z2225 C2258:Z2275 C2308:Z2325 C2358:Z2375 C2408:Z2425 C2458:Z2475 C2508:Z2525 C2558:Z2575 C2608:Z2625">
    <cfRule type="expression" priority="3" dxfId="3" stopIfTrue="1">
      <formula>AND(C8&lt;&gt;"",INDEX(Engine!$A$5:$AC$5,COLUMN())=1,$B8&lt;&gt;"",IFERROR(INDEX(Setup!$O$6:$AL$23,MATCH($B8,Setup!$K$6:$K$23,0),MATCH(SUBSTITUTE(C8," *",""),Setup!$B$6:$B$29,0)),"")="")</formula>
    </cfRule>
    <cfRule type="expression" priority="4" dxfId="3" stopIfTrue="1">
      <formula>AND(C8&lt;&gt;"",INDEX(Engine!$A$5:$AC$5,COLUMN())=1,IFERROR(INDEX(Setup!$G$33:$G$40,MATCH(IFERROR(INDEX($A:$Z,(5+50*QUOTIENT(ROW()-5,50))+21+MATCH(SUBSTITUTE(C8," *",""),INDEX($B:$B,(5+50*QUOTIENT(ROW()-5,50))+22):INDEX($B:$B,(5+50*QUOTIENT(ROW()-5,50))+45),0),INDEX(Engine!$A$4:$AC$4,COLUMN())),""),Setup!$B$33:$B$40,0)),0)=1)</formula>
    </cfRule>
    <cfRule type="expression" priority="5" dxfId="5" stopIfTrue="1">
      <formula>AND(INDEX(Engine!$A$5:$AC$5,COLUMN())=1,INDEX(Engine!$A$3:$AC$3,COLUMN())&gt;=6,$B8&lt;&gt;"",INDEX(Setup!$M$6:$M$23,MATCH($B8,Setup!$K$6:$K$23,0))&lt;&gt;"Y")</formula>
    </cfRule>
    <cfRule type="expression" priority="6" dxfId="18">
      <formula>AND(C8="",INDEX(Engine!$A$5:$AC$5,COLUMN())=1,$B8&lt;&gt;"",COUNTIF(INDEX($A:$Z,ROW(),INDEX(Engine!$A$4:$AC$4,COLUMN())):INDEX($A:$Z,ROW(),INDEX(Engine!$A$4:$AC$4,COLUMN())+INDEX(Engine!$A$6:$AC$6,COLUMN())-1),"?*")&lt;IF(INDEX(Engine!$A$3:$AC$3,COLUMN())&lt;=5,N(INDEX(Setup!$L$6:$L$23,MATCH($B8,Setup!$K$6:$K$23,0))),--(INDEX(Setup!$M$6:$M$23,MATCH($B8,Setup!$K$6:$K$23,0))="Y")))</formula>
    </cfRule>
    <cfRule type="expression" priority="7" dxfId="9">
      <formula>AND(INDEX(Engine!$A$5:$AC$5,COLUMN())=1,ISNUMBER(SEARCH("~*",C8)))</formula>
    </cfRule>
    <cfRule type="expression" priority="8" dxfId="10">
      <formula>AND(C8&lt;&gt;"",INDEX(Engine!$A$5:$AC$5,COLUMN())=1,Setup!$B$33&lt;&gt;"",IFERROR(INDEX($A:$Z,(5+50*QUOTIENT(ROW()-5,50))+21+MATCH(SUBSTITUTE(C8," *",""),INDEX($B:$B,(5+50*QUOTIENT(ROW()-5,50))+22):INDEX($B:$B,(5+50*QUOTIENT(ROW()-5,50))+45),0),INDEX(Engine!$A$4:$AC$4,COLUMN())),"")=Setup!$B$33)</formula>
    </cfRule>
    <cfRule type="expression" priority="9" dxfId="11">
      <formula>AND(C8&lt;&gt;"",INDEX(Engine!$A$5:$AC$5,COLUMN())=1,Setup!$B$34&lt;&gt;"",IFERROR(INDEX($A:$Z,(5+50*QUOTIENT(ROW()-5,50))+21+MATCH(SUBSTITUTE(C8," *",""),INDEX($B:$B,(5+50*QUOTIENT(ROW()-5,50))+22):INDEX($B:$B,(5+50*QUOTIENT(ROW()-5,50))+45),0),INDEX(Engine!$A$4:$AC$4,COLUMN())),"")=Setup!$B$34)</formula>
    </cfRule>
    <cfRule type="expression" priority="10" dxfId="12">
      <formula>AND(C8&lt;&gt;"",INDEX(Engine!$A$5:$AC$5,COLUMN())=1,Setup!$B$35&lt;&gt;"",IFERROR(INDEX($A:$Z,(5+50*QUOTIENT(ROW()-5,50))+21+MATCH(SUBSTITUTE(C8," *",""),INDEX($B:$B,(5+50*QUOTIENT(ROW()-5,50))+22):INDEX($B:$B,(5+50*QUOTIENT(ROW()-5,50))+45),0),INDEX(Engine!$A$4:$AC$4,COLUMN())),"")=Setup!$B$35)</formula>
    </cfRule>
    <cfRule type="expression" priority="11" dxfId="13">
      <formula>AND(C8&lt;&gt;"",INDEX(Engine!$A$5:$AC$5,COLUMN())=1,Setup!$B$36&lt;&gt;"",IFERROR(INDEX($A:$Z,(5+50*QUOTIENT(ROW()-5,50))+21+MATCH(SUBSTITUTE(C8," *",""),INDEX($B:$B,(5+50*QUOTIENT(ROW()-5,50))+22):INDEX($B:$B,(5+50*QUOTIENT(ROW()-5,50))+45),0),INDEX(Engine!$A$4:$AC$4,COLUMN())),"")=Setup!$B$36)</formula>
    </cfRule>
    <cfRule type="expression" priority="12" dxfId="14">
      <formula>AND(C8&lt;&gt;"",INDEX(Engine!$A$5:$AC$5,COLUMN())=1,Setup!$B$37&lt;&gt;"",IFERROR(INDEX($A:$Z,(5+50*QUOTIENT(ROW()-5,50))+21+MATCH(SUBSTITUTE(C8," *",""),INDEX($B:$B,(5+50*QUOTIENT(ROW()-5,50))+22):INDEX($B:$B,(5+50*QUOTIENT(ROW()-5,50))+45),0),INDEX(Engine!$A$4:$AC$4,COLUMN())),"")=Setup!$B$37)</formula>
    </cfRule>
    <cfRule type="expression" priority="13" dxfId="15">
      <formula>AND(C8&lt;&gt;"",INDEX(Engine!$A$5:$AC$5,COLUMN())=1,Setup!$B$38&lt;&gt;"",IFERROR(INDEX($A:$Z,(5+50*QUOTIENT(ROW()-5,50))+21+MATCH(SUBSTITUTE(C8," *",""),INDEX($B:$B,(5+50*QUOTIENT(ROW()-5,50))+22):INDEX($B:$B,(5+50*QUOTIENT(ROW()-5,50))+45),0),INDEX(Engine!$A$4:$AC$4,COLUMN())),"")=Setup!$B$38)</formula>
    </cfRule>
    <cfRule type="expression" priority="14" dxfId="16">
      <formula>AND(C8&lt;&gt;"",INDEX(Engine!$A$5:$AC$5,COLUMN())=1,Setup!$B$39&lt;&gt;"",IFERROR(INDEX($A:$Z,(5+50*QUOTIENT(ROW()-5,50))+21+MATCH(SUBSTITUTE(C8," *",""),INDEX($B:$B,(5+50*QUOTIENT(ROW()-5,50))+22):INDEX($B:$B,(5+50*QUOTIENT(ROW()-5,50))+45),0),INDEX(Engine!$A$4:$AC$4,COLUMN())),"")=Setup!$B$39)</formula>
    </cfRule>
    <cfRule type="expression" priority="15" dxfId="17">
      <formula>AND(C8&lt;&gt;"",INDEX(Engine!$A$5:$AC$5,COLUMN())=1,Setup!$B$40&lt;&gt;"",IFERROR(INDEX($A:$Z,(5+50*QUOTIENT(ROW()-5,50))+21+MATCH(SUBSTITUTE(C8," *",""),INDEX($B:$B,(5+50*QUOTIENT(ROW()-5,50))+22):INDEX($B:$B,(5+50*QUOTIENT(ROW()-5,50))+45),0),INDEX(Engine!$A$4:$AC$4,COLUMN())),"")=Setup!$B$40)</formula>
    </cfRule>
  </conditionalFormatting>
  <conditionalFormatting sqref="C6:Z51 C56:Z101 C106:Z151 C156:Z201 C206:Z251 C256:Z301 C306:Z351 C356:Z401 C406:Z451 C456:Z501 C506:Z551 C556:Z601 C606:Z651 C656:Z701 C706:Z751 C756:Z801 C806:Z851 C856:Z901 C906:Z951 C956:Z1001 C1006:Z1051 C1056:Z1101 C1106:Z1151 C1156:Z1201 C1206:Z1251 C1256:Z1301 C1306:Z1351 C1356:Z1401 C1406:Z1451 C1456:Z1501 C1506:Z1551 C1556:Z1601 C1606:Z1651 C1656:Z1701 C1706:Z1751 C1756:Z1801 C1806:Z1851 C1856:Z1901 C1906:Z1951 C1956:Z2001 C2006:Z2051 C2056:Z2101 C2106:Z2151 C2156:Z2201 C2206:Z2251 C2256:Z2301 C2306:Z2351 C2356:Z2401 C2406:Z2451 C2456:Z2501 C2506:Z2551 C2556:Z2601 C2606:Z2651">
    <cfRule type="expression" priority="16" dxfId="6">
      <formula>AND(INDEX(Engine!$A$4:$AC$4,COLUMN())&gt;0,INDEX($A:$Z,(5+50*QUOTIENT(ROW()-5,50))+1,INDEX(Engine!$A$4:$AC$4,COLUMN()))=TODAY())</formula>
    </cfRule>
  </conditionalFormatting>
  <conditionalFormatting sqref="C27:Z50 C77:Z100 C127:Z150 C177:Z200 C227:Z250 C277:Z300 C327:Z350 C377:Z400 C427:Z450 C477:Z500 C527:Z550 C577:Z600 C627:Z650 C677:Z700 C727:Z750 C777:Z800 C827:Z850 C877:Z900 C927:Z950 C977:Z1000 C1027:Z1050 C1077:Z1100 C1127:Z1150 C1177:Z1200 C1227:Z1250 C1277:Z1300 C1327:Z1350 C1377:Z1400 C1427:Z1450 C1477:Z1500 C1527:Z1550 C1577:Z1600 C1627:Z1650 C1677:Z1700 C1727:Z1750 C1777:Z1800 C1827:Z1850 C1877:Z1900 C1927:Z1950 C1977:Z2000 C2027:Z2050 C2077:Z2100 C2127:Z2150 C2177:Z2200 C2227:Z2250 C2277:Z2300 C2327:Z2350 C2377:Z2400 C2427:Z2450 C2477:Z2500 C2527:Z2550 C2577:Z2600 C2627:Z2650">
    <cfRule type="expression" priority="17" dxfId="3" stopIfTrue="1">
      <formula>AND(IFERROR(INDEX(Setup!$G$33:$G$40,MATCH(INDEX($A:$Z,ROW(),INDEX(Engine!$A$4:$AC$4,COLUMN())),Setup!$B$33:$B$40,0)),0)=1,COUNTIF(INDEX($A:$Z,(5+50*QUOTIENT(ROW()-5,50))+3,INDEX(Engine!$A$4:$AC$4,COLUMN())):INDEX($A:$Z,(5+50*QUOTIENT(ROW()-5,50))+20,INDEX(Engine!$A$4:$AC$4,COLUMN())+INDEX(Engine!$A$6:$AC$6,COLUMN())-1),$B27)+COUNTIF(INDEX($A:$Z,(5+50*QUOTIENT(ROW()-5,50))+3,INDEX(Engine!$A$4:$AC$4,COLUMN())):INDEX($A:$Z,(5+50*QUOTIENT(ROW()-5,50))+20,INDEX(Engine!$A$4:$AC$4,COLUMN())+INDEX(Engine!$A$6:$AC$6,COLUMN())-1),$B27&amp;" ~*")&gt;0)</formula>
    </cfRule>
    <cfRule type="expression" priority="18" dxfId="10">
      <formula>AND(Setup!$B$33&lt;&gt;"",INDEX($A:$Z,ROW(),INDEX(Engine!$A$4:$AC$4,COLUMN()))=Setup!$B$33)</formula>
    </cfRule>
    <cfRule type="expression" priority="19" dxfId="11">
      <formula>AND(Setup!$B$34&lt;&gt;"",INDEX($A:$Z,ROW(),INDEX(Engine!$A$4:$AC$4,COLUMN()))=Setup!$B$34)</formula>
    </cfRule>
    <cfRule type="expression" priority="20" dxfId="12">
      <formula>AND(Setup!$B$35&lt;&gt;"",INDEX($A:$Z,ROW(),INDEX(Engine!$A$4:$AC$4,COLUMN()))=Setup!$B$35)</formula>
    </cfRule>
    <cfRule type="expression" priority="21" dxfId="13">
      <formula>AND(Setup!$B$36&lt;&gt;"",INDEX($A:$Z,ROW(),INDEX(Engine!$A$4:$AC$4,COLUMN()))=Setup!$B$36)</formula>
    </cfRule>
    <cfRule type="expression" priority="22" dxfId="14">
      <formula>AND(Setup!$B$37&lt;&gt;"",INDEX($A:$Z,ROW(),INDEX(Engine!$A$4:$AC$4,COLUMN()))=Setup!$B$37)</formula>
    </cfRule>
    <cfRule type="expression" priority="23" dxfId="15">
      <formula>AND(Setup!$B$38&lt;&gt;"",INDEX($A:$Z,ROW(),INDEX(Engine!$A$4:$AC$4,COLUMN()))=Setup!$B$38)</formula>
    </cfRule>
    <cfRule type="expression" priority="24" dxfId="16">
      <formula>AND(Setup!$B$39&lt;&gt;"",INDEX($A:$Z,ROW(),INDEX(Engine!$A$4:$AC$4,COLUMN()))=Setup!$B$39)</formula>
    </cfRule>
    <cfRule type="expression" priority="25" dxfId="17">
      <formula>AND(Setup!$B$40&lt;&gt;"",INDEX($A:$Z,ROW(),INDEX(Engine!$A$4:$AC$4,COLUMN()))=Setup!$B$40)</formula>
    </cfRule>
    <cfRule type="expression" priority="26" dxfId="4">
      <formula>AND(INDEX($A:$Z,ROW(),INDEX(Engine!$A$4:$AC$4,COLUMN()))&lt;&gt;"",ISNA(MATCH(INDEX($A:$Z,ROW(),INDEX(Engine!$A$4:$AC$4,COLUMN())),Setup!$B$33:$B$40,0)))</formula>
    </cfRule>
  </conditionalFormatting>
  <conditionalFormatting sqref="B27:B50 B77:B100 B127:B150 B177:B200 B227:B250 B277:B300 B327:B350 B377:B400 B427:B450 B477:B500 B527:B550 B577:B600 B627:B650 B677:B700 B727:B750 B777:B800 B827:B850 B877:B900 B927:B950 B977:B1000 B1027:B1050 B1077:B1100 B1127:B1150 B1177:B1200 B1227:B1250 B1277:B1300 B1327:B1350 B1377:B1400 B1427:B1450 B1477:B1500 B1527:B1550 B1577:B1600 B1627:B1650 B1677:B1700 B1727:B1750 B1777:B1800 B1827:B1850 B1877:B1900 B1927:B1950 B1977:B2000 B2027:B2050 B2077:B2100 B2127:B2150 B2177:B2200 B2227:B2250 B2277:B2300 B2327:B2350 B2377:B2400 B2427:B2450 B2477:B2500 B2527:B2550 B2577:B2600 B2627:B2650">
    <cfRule type="expression" priority="27" dxfId="19">
      <formula>AND($B27&lt;&gt;"",IFERROR(INDEX(Setup!$E$6:$E$29,MATCH($B27,Setup!$B$6:$B$29,0)),"")&lt;&gt;"Y")</formula>
    </cfRule>
  </conditionalFormatting>
  <conditionalFormatting sqref="AB8:AB25 AB58:AB75 AB108:AB125 AB158:AB175 AB208:AB225 AB258:AB275 AB308:AB325 AB358:AB375 AB408:AB425 AB458:AB475 AB508:AB525 AB558:AB575 AB608:AB625 AB658:AB675 AB708:AB725 AB758:AB775 AB808:AB825 AB858:AB875 AB908:AB925 AB958:AB975 AB1008:AB1025 AB1058:AB1075 AB1108:AB1125 AB1158:AB1175 AB1208:AB1225 AB1258:AB1275 AB1308:AB1325 AB1358:AB1375 AB1408:AB1425 AB1458:AB1475 AB1508:AB1525 AB1558:AB1575 AB1608:AB1625 AB1658:AB1675 AB1708:AB1725 AB1758:AB1775 AB1808:AB1825 AB1858:AB1875 AB1908:AB1925 AB1958:AB1975 AB2008:AB2025 AB2058:AB2075 AB2108:AB2125 AB2158:AB2175 AB2208:AB2225 AB2258:AB2275 AB2308:AB2325 AB2358:AB2375 AB2408:AB2425 AB2458:AB2475 AB2508:AB2525 AB2558:AB2575 AB2608:AB2625">
    <cfRule type="expression" priority="28" dxfId="4">
      <formula>AND(ISNUMBER(AB8),AB8&gt;0)</formula>
    </cfRule>
  </conditionalFormatting>
  <conditionalFormatting sqref="AC8:AC25 AC58:AC75 AC108:AC125 AC158:AC175 AC208:AC225 AC258:AC275 AC308:AC325 AC358:AC375 AC408:AC425 AC458:AC475 AC508:AC525 AC558:AC575 AC608:AC625 AC658:AC675 AC708:AC725 AC758:AC775 AC808:AC825 AC858:AC875 AC908:AC925 AC958:AC975 AC1008:AC1025 AC1058:AC1075 AC1108:AC1125 AC1158:AC1175 AC1208:AC1225 AC1258:AC1275 AC1308:AC1325 AC1358:AC1375 AC1408:AC1425 AC1458:AC1475 AC1508:AC1525 AC1558:AC1575 AC1608:AC1625 AC1658:AC1675 AC1708:AC1725 AC1758:AC1775 AC1808:AC1825 AC1858:AC1875 AC1908:AC1925 AC1958:AC1975 AC2008:AC2025 AC2058:AC2075 AC2108:AC2125 AC2158:AC2175 AC2208:AC2225 AC2258:AC2275 AC2308:AC2325 AC2358:AC2375 AC2408:AC2425 AC2458:AC2475 AC2508:AC2525 AC2558:AC2575 AC2608:AC2625">
    <cfRule type="expression" priority="29" dxfId="4">
      <formula>LEFT(AC8,1)="⚠"</formula>
    </cfRule>
  </conditionalFormatting>
  <conditionalFormatting sqref="AC27:AC50 AC77:AC100 AC127:AC150 AC177:AC200 AC227:AC250 AC277:AC300 AC327:AC350 AC377:AC400 AC427:AC450 AC477:AC500 AC527:AC550 AC577:AC600 AC627:AC650 AC677:AC700 AC727:AC750 AC777:AC800 AC827:AC850 AC877:AC900 AC927:AC950 AC977:AC1000 AC1027:AC1050 AC1077:AC1100 AC1127:AC1150 AC1177:AC1200 AC1227:AC1250 AC1277:AC1300 AC1327:AC1350 AC1377:AC1400 AC1427:AC1450 AC1477:AC1500 AC1527:AC1550 AC1577:AC1600 AC1627:AC1650 AC1677:AC1700 AC1727:AC1750 AC1777:AC1800 AC1827:AC1850 AC1877:AC1900 AC1927:AC1950 AC1977:AC2000 AC2027:AC2050 AC2077:AC2100 AC2127:AC2150 AC2177:AC2200 AC2227:AC2250 AC2277:AC2300 AC2327:AC2350 AC2377:AC2400 AC2427:AC2450 AC2477:AC2500 AC2527:AC2550 AC2577:AC2600 AC2627:AC2650">
    <cfRule type="expression" priority="30" dxfId="3">
      <formula>AND(ISNUMBER(AC27),AC27&gt;0)</formula>
    </cfRule>
    <cfRule type="expression" priority="31" dxfId="20">
      <formula>AND(ISNUMBER(AC27),AC27=0)</formula>
    </cfRule>
  </conditionalFormatting>
  <conditionalFormatting sqref="S5:V5 S55:V55 S105:V105 S155:V155 S205:V205 S255:V255 S305:V305 S355:V355 S405:V405 S455:V455 S505:V505 S555:V555 S605:V605 S655:V655 S705:V705 S755:V755 S805:V805 S855:V855 S905:V905 S955:V955 S1005:V1005 S1055:V1055 S1105:V1105 S1155:V1155 S1205:V1205 S1255:V1255 S1305:V1305 S1355:V1355 S1405:V1405 S1455:V1455 S1505:V1505 S1555:V1555 S1605:V1605 S1655:V1655 S1705:V1705 S1755:V1755 S1805:V1805 S1855:V1855 S1905:V1905 S1955:V1955 S2005:V2005 S2055:V2055 S2105:V2105 S2155:V2155 S2205:V2205 S2255:V2255 S2305:V2305 S2355:V2355 S2405:V2405 S2455:V2455 S2505:V2505 S2555:V2555 S2605:V2605">
    <cfRule type="cellIs" priority="32" operator="equal" dxfId="21">
      <formula>"THIS WEEK"</formula>
    </cfRule>
    <cfRule type="cellIs" priority="33" operator="equal" dxfId="22">
      <formula>"PAST"</formula>
    </cfRule>
  </conditionalFormatting>
  <conditionalFormatting sqref="W5:Z5 W55:Z55 W105:Z105 W155:Z155 W205:Z205 W255:Z255 W305:Z305 W355:Z355 W405:Z405 W455:Z455 W505:Z505 W555:Z555 W605:Z605 W655:Z655 W705:Z705 W755:Z755 W805:Z805 W855:Z855 W905:Z905 W955:Z955 W1005:Z1005 W1055:Z1055 W1105:Z1105 W1155:Z1155 W1205:Z1205 W1255:Z1255 W1305:Z1305 W1355:Z1355 W1405:Z1405 W1455:Z1455 W1505:Z1505 W1555:Z1555 W1605:Z1605 W1655:Z1655 W1705:Z1705 W1755:Z1755 W1805:Z1805 W1855:Z1855 W1905:Z1905 W1955:Z1955 W2005:Z2005 W2055:Z2055 W2105:Z2105 W2155:Z2155 W2205:Z2205 W2255:Z2255 W2305:Z2305 W2355:Z2355 W2405:Z2405 W2455:Z2455 W2505:Z2505 W2555:Z2555 W2605:Z2605">
    <cfRule type="expression" priority="34" dxfId="7">
      <formula>W5&lt;&gt;""</formula>
    </cfRule>
  </conditionalFormatting>
  <conditionalFormatting sqref="B5:R5 B55:R55 B105:R105 B155:R155 B205:R205 B255:R255 B305:R305 B355:R355 B405:R405 B455:R455 B505:R505 B555:R555 B605:R605 B655:R655 B705:R705 B755:R755 B805:R805 B855:R855 B905:R905 B955:R955 B1005:R1005 B1055:R1055 B1105:R1105 B1155:R1155 B1205:R1205 B1255:R1255 B1305:R1305 B1355:R1355 B1405:R1405 B1455:R1455 B1505:R1505 B1555:R1555 B1605:R1605 B1655:R1655 B1705:R1705 B1755:R1755 B1805:R1805 B1855:R1855 B1905:R1905 B1955:R1955 B2005:R2005 B2055:R2055 B2105:R2105 B2155:R2155 B2205:R2205 B2255:R2255 B2305:R2305 B2355:R2355 B2405:R2405 B2455:R2455 B2505:R2505 B2555:R2555 B2605:R2605">
    <cfRule type="expression" priority="35" dxfId="23">
      <formula>$W5&lt;&gt;""</formula>
    </cfRule>
  </conditionalFormatting>
  <dataValidations count="3">
    <dataValidation sqref="Y1" showDropDown="0" showInputMessage="0" showErrorMessage="0" allowBlank="0" errorTitle="Week" error="Enter a week number from 1 to 53." type="whole" operator="between">
      <formula1>1</formula1>
      <formula2>53</formula2>
    </dataValidation>
    <dataValidation sqref="C8:E25 C58:E75 C108:E125 C158:E175 C208:E225 C258:E275 C308:E325 C358:E375 C408:E425 C458:E475 C508:E525 C558:E575 C608:E625 C658:E675 C708:E725 C758:E775 C808:E825 C858:E875 C908:E925 C958:E975 C1008:E1025 C1058:E1075 C1108:E1125 C1158:E1175 C1208:E1225 C1258:E1275 C1308:E1325 C1358:E1375 C1408:E1425 C1458:E1475 C1508:E1525 C1558:E1575 C1608:E1625 C1658:E1675 C1708:E1725 C1758:E1775 C1808:E1825 C1858:E1875 C1908:E1925 C1958:E1975 C2008:E2025 C2058:E2075 C2108:E2125 C2158:E2175 C2208:E2225 C2258:E2275 C2308:E2325 C2358:E2375 C2408:E2425 C2458:E2475 C2508:E2525 C2558:E2575 C2608:E2625 G8:I25 G58:I75 G108:I125 G158:I175 G208:I225 G258:I275 G308:I325 G358:I375 G408:I425 G458:I475 G508:I525 G558:I575 G608:I625 G658:I675 G708:I725 G758:I775 G808:I825 G858:I875 G908:I925 G958:I975 G1008:I1025 G1058:I1075 G1108:I1125 G1158:I1175 G1208:I1225 G1258:I1275 G1308:I1325 G1358:I1375 G1408:I1425 G1458:I1475 G1508:I1525 G1558:I1575 G1608:I1625 G1658:I1675 G1708:I1725 G1758:I1775 G1808:I1825 G1858:I1875 G1908:I1925 G1958:I1975 G2008:I2025 G2058:I2075 G2108:I2125 G2158:I2175 G2208:I2225 G2258:I2275 G2308:I2325 G2358:I2375 G2408:I2425 G2458:I2475 G2508:I2525 G2558:I2575 G2608:I2625 K8:M25 K58:M75 K108:M125 K158:M175 K208:M225 K258:M275 K308:M325 K358:M375 K408:M425 K458:M475 K508:M525 K558:M575 K608:M625 K658:M675 K708:M725 K758:M775 K808:M825 K858:M875 K908:M925 K958:M975 K1008:M1025 K1058:M1075 K1108:M1125 K1158:M1175 K1208:M1225 K1258:M1275 K1308:M1325 K1358:M1375 K1408:M1425 K1458:M1475 K1508:M1525 K1558:M1575 K1608:M1625 K1658:M1675 K1708:M1725 K1758:M1775 K1808:M1825 K1858:M1875 K1908:M1925 K1958:M1975 K2008:M2025 K2058:M2075 K2108:M2125 K2158:M2175 K2208:M2225 K2258:M2275 K2308:M2325 K2358:M2375 K2408:M2425 K2458:M2475 K2508:M2525 K2558:M2575 K2608:M2625 O8:Q25 O58:Q75 O108:Q125 O158:Q175 O208:Q225 O258:Q275 O308:Q325 O358:Q375 O408:Q425 O458:Q475 O508:Q525 O558:Q575 O608:Q625 O658:Q675 O708:Q725 O758:Q775 O808:Q825 O858:Q875 O908:Q925 O958:Q975 O1008:Q1025 O1058:Q1075 O1108:Q1125 O1158:Q1175 O1208:Q1225 O1258:Q1275 O1308:Q1325 O1358:Q1375 O1408:Q1425 O1458:Q1475 O1508:Q1525 O1558:Q1575 O1608:Q1625 O1658:Q1675 O1708:Q1725 O1758:Q1775 O1808:Q1825 O1858:Q1875 O1908:Q1925 O1958:Q1975 O2008:Q2025 O2058:Q2075 O2108:Q2125 O2158:Q2175 O2208:Q2225 O2258:Q2275 O2308:Q2325 O2358:Q2375 O2408:Q2425 O2458:Q2475 O2508:Q2525 O2558:Q2575 O2608:Q2625 S8:U25 S58:U75 S108:U125 S158:U175 S208:U225 S258:U275 S308:U325 S358:U375 S408:U425 S458:U475 S508:U525 S558:U575 S608:U625 S658:U675 S708:U725 S758:U775 S808:U825 S858:U875 S908:U925 S958:U975 S1008:U1025 S1058:U1075 S1108:U1125 S1158:U1175 S1208:U1225 S1258:U1275 S1308:U1325 S1358:U1375 S1408:U1425 S1458:U1475 S1508:U1525 S1558:U1575 S1608:U1625 S1658:U1675 S1708:U1725 S1758:U1775 S1808:U1825 S1858:U1875 S1908:U1925 S1958:U1975 S2008:U2025 S2058:U2075 S2108:U2125 S2158:U2175 S2208:U2225 S2258:U2275 S2308:U2325 S2358:U2375 S2408:U2425 S2458:U2475 S2508:U2525 S2558:U2575 S2608:U2625 W8:W25 W58:W75 W108:W125 W158:W175 W208:W225 W258:W275 W308:W325 W358:W375 W408:W425 W458:W475 W508:W525 W558:W575 W608:W625 W658:W675 W708:W725 W758:W775 W808:W825 W858:W875 W908:W925 W958:W975 W1008:W1025 W1058:W1075 W1108:W1125 W1158:W1175 W1208:W1225 W1258:W1275 W1308:W1325 W1358:W1375 W1408:W1425 W1458:W1475 W1508:W1525 W1558:W1575 W1608:W1625 W1658:W1675 W1708:W1725 W1758:W1775 W1808:W1825 W1858:W1875 W1908:W1925 W1958:W1975 W2008:W2025 W2058:W2075 W2108:W2125 W2158:W2175 W2208:W2225 W2258:W2275 W2308:W2325 W2358:W2375 W2408:W2425 W2458:W2475 W2508:W2525 W2558:W2575 W2608:W2625 Y8:Y25 Y58:Y75 Y108:Y125 Y158:Y175 Y208:Y225 Y258:Y275 Y308:Y325 Y358:Y375 Y408:Y425 Y458:Y475 Y508:Y525 Y558:Y575 Y608:Y625 Y658:Y675 Y708:Y725 Y758:Y775 Y808:Y825 Y858:Y875 Y908:Y925 Y958:Y975 Y1008:Y1025 Y1058:Y1075 Y1108:Y1125 Y1158:Y1175 Y1208:Y1225 Y1258:Y1275 Y1308:Y1325 Y1358:Y1375 Y1408:Y1425 Y1458:Y1475 Y1508:Y1525 Y1558:Y1575 Y1608:Y1625 Y1658:Y1675 Y1708:Y1725 Y1758:Y1775 Y1808:Y1825 Y1858:Y1875 Y1908:Y1925 Y1958:Y1975 Y2008:Y2025 Y2058:Y2075 Y2108:Y2125 Y2158:Y2175 Y2208:Y2225 Y2258:Y2275 Y2308:Y2325 Y2358:Y2375 Y2408:Y2425 Y2458:Y2475 Y2508:Y2525 Y2558:Y2575 Y2608:Y2625" showDropDown="0" showInputMessage="0" showErrorMessage="0" allowBlank="1" type="list">
      <formula1>OFFSET(Engine!$O$68,(INDEX(Engine!$A$3:$AC$3,COLUMN())-1)*18+MOD(ROW()-5,50)-3,0,1,MAX(1,INDEX(Engine!$N$68:$N$193,(INDEX(Engine!$A$3:$AC$3,COLUMN())-1)*18+MOD(ROW()-5,50)-2)))</formula1>
    </dataValidation>
    <dataValidation sqref="C27:C50 C77:C100 C127:C150 C177:C200 C227:C250 C277:C300 C327:C350 C377:C400 C427:C450 C477:C500 C527:C550 C577:C600 C627:C650 C677:C700 C727:C750 C777:C800 C827:C850 C877:C900 C927:C950 C977:C1000 C1027:C1050 C1077:C1100 C1127:C1150 C1177:C1200 C1227:C1250 C1277:C1300 C1327:C1350 C1377:C1400 C1427:C1450 C1477:C1500 C1527:C1550 C1577:C1600 C1627:C1650 C1677:C1700 C1727:C1750 C1777:C1800 C1827:C1850 C1877:C1900 C1927:C1950 C1977:C2000 C2027:C2050 C2077:C2100 C2127:C2150 C2177:C2200 C2227:C2250 C2277:C2300 C2327:C2350 C2377:C2400 C2427:C2450 C2477:C2500 C2527:C2550 C2577:C2600 C2627:C2650 G27:G50 G77:G100 G127:G150 G177:G200 G227:G250 G277:G300 G327:G350 G377:G400 G427:G450 G477:G500 G527:G550 G577:G600 G627:G650 G677:G700 G727:G750 G777:G800 G827:G850 G877:G900 G927:G950 G977:G1000 G1027:G1050 G1077:G1100 G1127:G1150 G1177:G1200 G1227:G1250 G1277:G1300 G1327:G1350 G1377:G1400 G1427:G1450 G1477:G1500 G1527:G1550 G1577:G1600 G1627:G1650 G1677:G1700 G1727:G1750 G1777:G1800 G1827:G1850 G1877:G1900 G1927:G1950 G1977:G2000 G2027:G2050 G2077:G2100 G2127:G2150 G2177:G2200 G2227:G2250 G2277:G2300 G2327:G2350 G2377:G2400 G2427:G2450 G2477:G2500 G2527:G2550 G2577:G2600 G2627:G2650 K27:K50 K77:K100 K127:K150 K177:K200 K227:K250 K277:K300 K327:K350 K377:K400 K427:K450 K477:K500 K527:K550 K577:K600 K627:K650 K677:K700 K727:K750 K777:K800 K827:K850 K877:K900 K927:K950 K977:K1000 K1027:K1050 K1077:K1100 K1127:K1150 K1177:K1200 K1227:K1250 K1277:K1300 K1327:K1350 K1377:K1400 K1427:K1450 K1477:K1500 K1527:K1550 K1577:K1600 K1627:K1650 K1677:K1700 K1727:K1750 K1777:K1800 K1827:K1850 K1877:K1900 K1927:K1950 K1977:K2000 K2027:K2050 K2077:K2100 K2127:K2150 K2177:K2200 K2227:K2250 K2277:K2300 K2327:K2350 K2377:K2400 K2427:K2450 K2477:K2500 K2527:K2550 K2577:K2600 K2627:K2650 O27:O50 O77:O100 O127:O150 O177:O200 O227:O250 O277:O300 O327:O350 O377:O400 O427:O450 O477:O500 O527:O550 O577:O600 O627:O650 O677:O700 O727:O750 O777:O800 O827:O850 O877:O900 O927:O950 O977:O1000 O1027:O1050 O1077:O1100 O1127:O1150 O1177:O1200 O1227:O1250 O1277:O1300 O1327:O1350 O1377:O1400 O1427:O1450 O1477:O1500 O1527:O1550 O1577:O1600 O1627:O1650 O1677:O1700 O1727:O1750 O1777:O1800 O1827:O1850 O1877:O1900 O1927:O1950 O1977:O2000 O2027:O2050 O2077:O2100 O2127:O2150 O2177:O2200 O2227:O2250 O2277:O2300 O2327:O2350 O2377:O2400 O2427:O2450 O2477:O2500 O2527:O2550 O2577:O2600 O2627:O2650 S27:S50 S77:S100 S127:S150 S177:S200 S227:S250 S277:S300 S327:S350 S377:S400 S427:S450 S477:S500 S527:S550 S577:S600 S627:S650 S677:S700 S727:S750 S777:S800 S827:S850 S877:S900 S927:S950 S977:S1000 S1027:S1050 S1077:S1100 S1127:S1150 S1177:S1200 S1227:S1250 S1277:S1300 S1327:S1350 S1377:S1400 S1427:S1450 S1477:S1500 S1527:S1550 S1577:S1600 S1627:S1650 S1677:S1700 S1727:S1750 S1777:S1800 S1827:S1850 S1877:S1900 S1927:S1950 S1977:S2000 S2027:S2050 S2077:S2100 S2127:S2150 S2177:S2200 S2227:S2250 S2277:S2300 S2327:S2350 S2377:S2400 S2427:S2450 S2477:S2500 S2527:S2550 S2577:S2600 S2627:S2650 W27:W50 W77:W100 W127:W150 W177:W200 W227:W250 W277:W300 W327:W350 W377:W400 W427:W450 W477:W500 W527:W550 W577:W600 W627:W650 W677:W700 W727:W750 W777:W800 W827:W850 W877:W900 W927:W950 W977:W1000 W1027:W1050 W1077:W1100 W1127:W1150 W1177:W1200 W1227:W1250 W1277:W1300 W1327:W1350 W1377:W1400 W1427:W1450 W1477:W1500 W1527:W1550 W1577:W1600 W1627:W1650 W1677:W1700 W1727:W1750 W1777:W1800 W1827:W1850 W1877:W1900 W1927:W1950 W1977:W2000 W2027:W2050 W2077:W2100 W2127:W2150 W2177:W2200 W2227:W2250 W2277:W2300 W2327:W2350 W2377:W2400 W2427:W2450 W2477:W2500 W2527:W2550 W2577:W2600 W2627:W2650 Y27:Y50 Y77:Y100 Y127:Y150 Y177:Y200 Y227:Y250 Y277:Y300 Y327:Y350 Y377:Y400 Y427:Y450 Y477:Y500 Y527:Y550 Y577:Y600 Y627:Y650 Y677:Y700 Y727:Y750 Y777:Y800 Y827:Y850 Y877:Y900 Y927:Y950 Y977:Y1000 Y1027:Y1050 Y1077:Y1100 Y1127:Y1150 Y1177:Y1200 Y1227:Y1250 Y1277:Y1300 Y1327:Y1350 Y1377:Y1400 Y1427:Y1450 Y1477:Y1500 Y1527:Y1550 Y1577:Y1600 Y1627:Y1650 Y1677:Y1700 Y1727:Y1750 Y1777:Y1800 Y1827:Y1850 Y1877:Y1900 Y1927:Y1950 Y1977:Y2000 Y2027:Y2050 Y2077:Y2100 Y2127:Y2150 Y2177:Y2200 Y2227:Y2250 Y2277:Y2300 Y2327:Y2350 Y2377:Y2400 Y2427:Y2450 Y2477:Y2500 Y2527:Y2550 Y2577:Y2600 Y2627:Y2650" showDropDown="0" showInputMessage="0" showErrorMessage="1" allowBlank="1" errorTitle="Status code" error="That is not one of the status codes on the Setup sheet. Keep it anyway?" type="list" errorStyle="warning">
      <formula1>OFFSET(Setup!$B$33,0,0,MAX(1,COUNTIF(Setup!$B$33:$B$40,"?*")),1)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AB5" r:id="rId2"/>
    <hyperlink xmlns:r="http://schemas.openxmlformats.org/officeDocument/2006/relationships" ref="AC5" r:id="rId3"/>
    <hyperlink xmlns:r="http://schemas.openxmlformats.org/officeDocument/2006/relationships" ref="AB55" r:id="rId4"/>
    <hyperlink xmlns:r="http://schemas.openxmlformats.org/officeDocument/2006/relationships" ref="AC55" r:id="rId5"/>
    <hyperlink xmlns:r="http://schemas.openxmlformats.org/officeDocument/2006/relationships" ref="AB105" r:id="rId6"/>
    <hyperlink xmlns:r="http://schemas.openxmlformats.org/officeDocument/2006/relationships" ref="AC105" r:id="rId7"/>
    <hyperlink xmlns:r="http://schemas.openxmlformats.org/officeDocument/2006/relationships" ref="AB155" r:id="rId8"/>
    <hyperlink xmlns:r="http://schemas.openxmlformats.org/officeDocument/2006/relationships" ref="AC155" r:id="rId9"/>
    <hyperlink xmlns:r="http://schemas.openxmlformats.org/officeDocument/2006/relationships" ref="AB205" r:id="rId10"/>
    <hyperlink xmlns:r="http://schemas.openxmlformats.org/officeDocument/2006/relationships" ref="AC205" r:id="rId11"/>
    <hyperlink xmlns:r="http://schemas.openxmlformats.org/officeDocument/2006/relationships" ref="AB255" r:id="rId12"/>
    <hyperlink xmlns:r="http://schemas.openxmlformats.org/officeDocument/2006/relationships" ref="AC255" r:id="rId13"/>
    <hyperlink xmlns:r="http://schemas.openxmlformats.org/officeDocument/2006/relationships" ref="AB305" r:id="rId14"/>
    <hyperlink xmlns:r="http://schemas.openxmlformats.org/officeDocument/2006/relationships" ref="AC305" r:id="rId15"/>
    <hyperlink xmlns:r="http://schemas.openxmlformats.org/officeDocument/2006/relationships" ref="AB355" r:id="rId16"/>
    <hyperlink xmlns:r="http://schemas.openxmlformats.org/officeDocument/2006/relationships" ref="AC355" r:id="rId17"/>
    <hyperlink xmlns:r="http://schemas.openxmlformats.org/officeDocument/2006/relationships" ref="AB405" r:id="rId18"/>
    <hyperlink xmlns:r="http://schemas.openxmlformats.org/officeDocument/2006/relationships" ref="AC405" r:id="rId19"/>
    <hyperlink xmlns:r="http://schemas.openxmlformats.org/officeDocument/2006/relationships" ref="AB455" r:id="rId20"/>
    <hyperlink xmlns:r="http://schemas.openxmlformats.org/officeDocument/2006/relationships" ref="AC455" r:id="rId21"/>
    <hyperlink xmlns:r="http://schemas.openxmlformats.org/officeDocument/2006/relationships" ref="AB505" r:id="rId22"/>
    <hyperlink xmlns:r="http://schemas.openxmlformats.org/officeDocument/2006/relationships" ref="AC505" r:id="rId23"/>
    <hyperlink xmlns:r="http://schemas.openxmlformats.org/officeDocument/2006/relationships" ref="AB555" r:id="rId24"/>
    <hyperlink xmlns:r="http://schemas.openxmlformats.org/officeDocument/2006/relationships" ref="AC555" r:id="rId25"/>
    <hyperlink xmlns:r="http://schemas.openxmlformats.org/officeDocument/2006/relationships" ref="AB605" r:id="rId26"/>
    <hyperlink xmlns:r="http://schemas.openxmlformats.org/officeDocument/2006/relationships" ref="AC605" r:id="rId27"/>
    <hyperlink xmlns:r="http://schemas.openxmlformats.org/officeDocument/2006/relationships" ref="AB655" r:id="rId28"/>
    <hyperlink xmlns:r="http://schemas.openxmlformats.org/officeDocument/2006/relationships" ref="AC655" r:id="rId29"/>
    <hyperlink xmlns:r="http://schemas.openxmlformats.org/officeDocument/2006/relationships" ref="AB705" r:id="rId30"/>
    <hyperlink xmlns:r="http://schemas.openxmlformats.org/officeDocument/2006/relationships" ref="AC705" r:id="rId31"/>
    <hyperlink xmlns:r="http://schemas.openxmlformats.org/officeDocument/2006/relationships" ref="AB755" r:id="rId32"/>
    <hyperlink xmlns:r="http://schemas.openxmlformats.org/officeDocument/2006/relationships" ref="AC755" r:id="rId33"/>
    <hyperlink xmlns:r="http://schemas.openxmlformats.org/officeDocument/2006/relationships" ref="AB805" r:id="rId34"/>
    <hyperlink xmlns:r="http://schemas.openxmlformats.org/officeDocument/2006/relationships" ref="AC805" r:id="rId35"/>
    <hyperlink xmlns:r="http://schemas.openxmlformats.org/officeDocument/2006/relationships" ref="AB855" r:id="rId36"/>
    <hyperlink xmlns:r="http://schemas.openxmlformats.org/officeDocument/2006/relationships" ref="AC855" r:id="rId37"/>
    <hyperlink xmlns:r="http://schemas.openxmlformats.org/officeDocument/2006/relationships" ref="AB905" r:id="rId38"/>
    <hyperlink xmlns:r="http://schemas.openxmlformats.org/officeDocument/2006/relationships" ref="AC905" r:id="rId39"/>
    <hyperlink xmlns:r="http://schemas.openxmlformats.org/officeDocument/2006/relationships" ref="AB955" r:id="rId40"/>
    <hyperlink xmlns:r="http://schemas.openxmlformats.org/officeDocument/2006/relationships" ref="AC955" r:id="rId41"/>
    <hyperlink xmlns:r="http://schemas.openxmlformats.org/officeDocument/2006/relationships" ref="AB1005" r:id="rId42"/>
    <hyperlink xmlns:r="http://schemas.openxmlformats.org/officeDocument/2006/relationships" ref="AC1005" r:id="rId43"/>
    <hyperlink xmlns:r="http://schemas.openxmlformats.org/officeDocument/2006/relationships" ref="AB1055" r:id="rId44"/>
    <hyperlink xmlns:r="http://schemas.openxmlformats.org/officeDocument/2006/relationships" ref="AC1055" r:id="rId45"/>
    <hyperlink xmlns:r="http://schemas.openxmlformats.org/officeDocument/2006/relationships" ref="AB1105" r:id="rId46"/>
    <hyperlink xmlns:r="http://schemas.openxmlformats.org/officeDocument/2006/relationships" ref="AC1105" r:id="rId47"/>
    <hyperlink xmlns:r="http://schemas.openxmlformats.org/officeDocument/2006/relationships" ref="AB1155" r:id="rId48"/>
    <hyperlink xmlns:r="http://schemas.openxmlformats.org/officeDocument/2006/relationships" ref="AC1155" r:id="rId49"/>
    <hyperlink xmlns:r="http://schemas.openxmlformats.org/officeDocument/2006/relationships" ref="AB1205" r:id="rId50"/>
    <hyperlink xmlns:r="http://schemas.openxmlformats.org/officeDocument/2006/relationships" ref="AC1205" r:id="rId51"/>
    <hyperlink xmlns:r="http://schemas.openxmlformats.org/officeDocument/2006/relationships" ref="AB1255" r:id="rId52"/>
    <hyperlink xmlns:r="http://schemas.openxmlformats.org/officeDocument/2006/relationships" ref="AC1255" r:id="rId53"/>
    <hyperlink xmlns:r="http://schemas.openxmlformats.org/officeDocument/2006/relationships" ref="AB1305" r:id="rId54"/>
    <hyperlink xmlns:r="http://schemas.openxmlformats.org/officeDocument/2006/relationships" ref="AC1305" r:id="rId55"/>
    <hyperlink xmlns:r="http://schemas.openxmlformats.org/officeDocument/2006/relationships" ref="AB1355" r:id="rId56"/>
    <hyperlink xmlns:r="http://schemas.openxmlformats.org/officeDocument/2006/relationships" ref="AC1355" r:id="rId57"/>
    <hyperlink xmlns:r="http://schemas.openxmlformats.org/officeDocument/2006/relationships" ref="AB1405" r:id="rId58"/>
    <hyperlink xmlns:r="http://schemas.openxmlformats.org/officeDocument/2006/relationships" ref="AC1405" r:id="rId59"/>
    <hyperlink xmlns:r="http://schemas.openxmlformats.org/officeDocument/2006/relationships" ref="AB1455" r:id="rId60"/>
    <hyperlink xmlns:r="http://schemas.openxmlformats.org/officeDocument/2006/relationships" ref="AC1455" r:id="rId61"/>
    <hyperlink xmlns:r="http://schemas.openxmlformats.org/officeDocument/2006/relationships" ref="AB1505" r:id="rId62"/>
    <hyperlink xmlns:r="http://schemas.openxmlformats.org/officeDocument/2006/relationships" ref="AC1505" r:id="rId63"/>
    <hyperlink xmlns:r="http://schemas.openxmlformats.org/officeDocument/2006/relationships" ref="AB1555" r:id="rId64"/>
    <hyperlink xmlns:r="http://schemas.openxmlformats.org/officeDocument/2006/relationships" ref="AC1555" r:id="rId65"/>
    <hyperlink xmlns:r="http://schemas.openxmlformats.org/officeDocument/2006/relationships" ref="AB1605" r:id="rId66"/>
    <hyperlink xmlns:r="http://schemas.openxmlformats.org/officeDocument/2006/relationships" ref="AC1605" r:id="rId67"/>
    <hyperlink xmlns:r="http://schemas.openxmlformats.org/officeDocument/2006/relationships" ref="AB1655" r:id="rId68"/>
    <hyperlink xmlns:r="http://schemas.openxmlformats.org/officeDocument/2006/relationships" ref="AC1655" r:id="rId69"/>
    <hyperlink xmlns:r="http://schemas.openxmlformats.org/officeDocument/2006/relationships" ref="AB1705" r:id="rId70"/>
    <hyperlink xmlns:r="http://schemas.openxmlformats.org/officeDocument/2006/relationships" ref="AC1705" r:id="rId71"/>
    <hyperlink xmlns:r="http://schemas.openxmlformats.org/officeDocument/2006/relationships" ref="AB1755" r:id="rId72"/>
    <hyperlink xmlns:r="http://schemas.openxmlformats.org/officeDocument/2006/relationships" ref="AC1755" r:id="rId73"/>
    <hyperlink xmlns:r="http://schemas.openxmlformats.org/officeDocument/2006/relationships" ref="AB1805" r:id="rId74"/>
    <hyperlink xmlns:r="http://schemas.openxmlformats.org/officeDocument/2006/relationships" ref="AC1805" r:id="rId75"/>
    <hyperlink xmlns:r="http://schemas.openxmlformats.org/officeDocument/2006/relationships" ref="AB1855" r:id="rId76"/>
    <hyperlink xmlns:r="http://schemas.openxmlformats.org/officeDocument/2006/relationships" ref="AC1855" r:id="rId77"/>
    <hyperlink xmlns:r="http://schemas.openxmlformats.org/officeDocument/2006/relationships" ref="AB1905" r:id="rId78"/>
    <hyperlink xmlns:r="http://schemas.openxmlformats.org/officeDocument/2006/relationships" ref="AC1905" r:id="rId79"/>
    <hyperlink xmlns:r="http://schemas.openxmlformats.org/officeDocument/2006/relationships" ref="AB1955" r:id="rId80"/>
    <hyperlink xmlns:r="http://schemas.openxmlformats.org/officeDocument/2006/relationships" ref="AC1955" r:id="rId81"/>
    <hyperlink xmlns:r="http://schemas.openxmlformats.org/officeDocument/2006/relationships" ref="AB2005" r:id="rId82"/>
    <hyperlink xmlns:r="http://schemas.openxmlformats.org/officeDocument/2006/relationships" ref="AC2005" r:id="rId83"/>
    <hyperlink xmlns:r="http://schemas.openxmlformats.org/officeDocument/2006/relationships" ref="AB2055" r:id="rId84"/>
    <hyperlink xmlns:r="http://schemas.openxmlformats.org/officeDocument/2006/relationships" ref="AC2055" r:id="rId85"/>
    <hyperlink xmlns:r="http://schemas.openxmlformats.org/officeDocument/2006/relationships" ref="AB2105" r:id="rId86"/>
    <hyperlink xmlns:r="http://schemas.openxmlformats.org/officeDocument/2006/relationships" ref="AC2105" r:id="rId87"/>
    <hyperlink xmlns:r="http://schemas.openxmlformats.org/officeDocument/2006/relationships" ref="AB2155" r:id="rId88"/>
    <hyperlink xmlns:r="http://schemas.openxmlformats.org/officeDocument/2006/relationships" ref="AC2155" r:id="rId89"/>
    <hyperlink xmlns:r="http://schemas.openxmlformats.org/officeDocument/2006/relationships" ref="AB2205" r:id="rId90"/>
    <hyperlink xmlns:r="http://schemas.openxmlformats.org/officeDocument/2006/relationships" ref="AC2205" r:id="rId91"/>
    <hyperlink xmlns:r="http://schemas.openxmlformats.org/officeDocument/2006/relationships" ref="AB2255" r:id="rId92"/>
    <hyperlink xmlns:r="http://schemas.openxmlformats.org/officeDocument/2006/relationships" ref="AC2255" r:id="rId93"/>
    <hyperlink xmlns:r="http://schemas.openxmlformats.org/officeDocument/2006/relationships" ref="AB2305" r:id="rId94"/>
    <hyperlink xmlns:r="http://schemas.openxmlformats.org/officeDocument/2006/relationships" ref="AC2305" r:id="rId95"/>
    <hyperlink xmlns:r="http://schemas.openxmlformats.org/officeDocument/2006/relationships" ref="AB2355" r:id="rId96"/>
    <hyperlink xmlns:r="http://schemas.openxmlformats.org/officeDocument/2006/relationships" ref="AC2355" r:id="rId97"/>
    <hyperlink xmlns:r="http://schemas.openxmlformats.org/officeDocument/2006/relationships" ref="AB2405" r:id="rId98"/>
    <hyperlink xmlns:r="http://schemas.openxmlformats.org/officeDocument/2006/relationships" ref="AC2405" r:id="rId99"/>
    <hyperlink xmlns:r="http://schemas.openxmlformats.org/officeDocument/2006/relationships" ref="AB2455" r:id="rId100"/>
    <hyperlink xmlns:r="http://schemas.openxmlformats.org/officeDocument/2006/relationships" ref="AC2455" r:id="rId101"/>
    <hyperlink xmlns:r="http://schemas.openxmlformats.org/officeDocument/2006/relationships" ref="AB2505" r:id="rId102"/>
    <hyperlink xmlns:r="http://schemas.openxmlformats.org/officeDocument/2006/relationships" ref="AC2505" r:id="rId103"/>
    <hyperlink xmlns:r="http://schemas.openxmlformats.org/officeDocument/2006/relationships" ref="AB2555" r:id="rId104"/>
    <hyperlink xmlns:r="http://schemas.openxmlformats.org/officeDocument/2006/relationships" ref="AC2555" r:id="rId105"/>
    <hyperlink xmlns:r="http://schemas.openxmlformats.org/officeDocument/2006/relationships" ref="AB2605" r:id="rId106"/>
    <hyperlink xmlns:r="http://schemas.openxmlformats.org/officeDocument/2006/relationships" ref="AC2605" r:id="rId107"/>
  </hyperlinks>
  <pageMargins left="0.75" right="0.75" top="1" bottom="1" header="0.5" footer="0.5"/>
  <pageSetup orientation="landscape" fitToHeight="0" fitToWidth="1"/>
  <rowBreaks count="52" manualBreakCount="52">
    <brk id="54" min="0" max="16383" man="1"/>
    <brk id="104" min="0" max="16383" man="1"/>
    <brk id="154" min="0" max="16383" man="1"/>
    <brk id="204" min="0" max="16383" man="1"/>
    <brk id="254" min="0" max="16383" man="1"/>
    <brk id="304" min="0" max="16383" man="1"/>
    <brk id="354" min="0" max="16383" man="1"/>
    <brk id="404" min="0" max="16383" man="1"/>
    <brk id="454" min="0" max="16383" man="1"/>
    <brk id="504" min="0" max="16383" man="1"/>
    <brk id="554" min="0" max="16383" man="1"/>
    <brk id="604" min="0" max="16383" man="1"/>
    <brk id="654" min="0" max="16383" man="1"/>
    <brk id="704" min="0" max="16383" man="1"/>
    <brk id="754" min="0" max="16383" man="1"/>
    <brk id="804" min="0" max="16383" man="1"/>
    <brk id="854" min="0" max="16383" man="1"/>
    <brk id="904" min="0" max="16383" man="1"/>
    <brk id="954" min="0" max="16383" man="1"/>
    <brk id="1004" min="0" max="16383" man="1"/>
    <brk id="1054" min="0" max="16383" man="1"/>
    <brk id="1104" min="0" max="16383" man="1"/>
    <brk id="1154" min="0" max="16383" man="1"/>
    <brk id="1204" min="0" max="16383" man="1"/>
    <brk id="1254" min="0" max="16383" man="1"/>
    <brk id="1304" min="0" max="16383" man="1"/>
    <brk id="1354" min="0" max="16383" man="1"/>
    <brk id="1404" min="0" max="16383" man="1"/>
    <brk id="1454" min="0" max="16383" man="1"/>
    <brk id="1504" min="0" max="16383" man="1"/>
    <brk id="1554" min="0" max="16383" man="1"/>
    <brk id="1604" min="0" max="16383" man="1"/>
    <brk id="1654" min="0" max="16383" man="1"/>
    <brk id="1704" min="0" max="16383" man="1"/>
    <brk id="1754" min="0" max="16383" man="1"/>
    <brk id="1804" min="0" max="16383" man="1"/>
    <brk id="1854" min="0" max="16383" man="1"/>
    <brk id="1904" min="0" max="16383" man="1"/>
    <brk id="1954" min="0" max="16383" man="1"/>
    <brk id="2004" min="0" max="16383" man="1"/>
    <brk id="2054" min="0" max="16383" man="1"/>
    <brk id="2104" min="0" max="16383" man="1"/>
    <brk id="2154" min="0" max="16383" man="1"/>
    <brk id="2204" min="0" max="16383" man="1"/>
    <brk id="2254" min="0" max="16383" man="1"/>
    <brk id="2304" min="0" max="16383" man="1"/>
    <brk id="2354" min="0" max="16383" man="1"/>
    <brk id="2404" min="0" max="16383" man="1"/>
    <brk id="2454" min="0" max="16383" man="1"/>
    <brk id="2504" min="0" max="16383" man="1"/>
    <brk id="2554" min="0" max="16383" man="1"/>
    <brk id="2604" min="0" max="16383" man="1"/>
  </rowBreaks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C265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3" customWidth="1" min="1" max="1"/>
    <col width="24" customWidth="1" min="2" max="2"/>
    <col width="6.5" customWidth="1" min="3" max="3"/>
    <col width="6.5" customWidth="1" min="4" max="4"/>
    <col width="6.5" customWidth="1" min="5" max="5"/>
    <col width="15" customWidth="1" min="6" max="6"/>
    <col width="6.5" customWidth="1" min="7" max="7"/>
    <col width="6.5" customWidth="1" min="8" max="8"/>
    <col width="6.5" customWidth="1" min="9" max="9"/>
    <col width="15" customWidth="1" min="10" max="10"/>
    <col width="6.5" customWidth="1" min="11" max="11"/>
    <col width="6.5" customWidth="1" min="12" max="12"/>
    <col width="6.5" customWidth="1" min="13" max="13"/>
    <col width="15" customWidth="1" min="14" max="14"/>
    <col width="6.5" customWidth="1" min="15" max="15"/>
    <col width="6.5" customWidth="1" min="16" max="16"/>
    <col width="6.5" customWidth="1" min="17" max="17"/>
    <col width="15" customWidth="1" min="18" max="18"/>
    <col width="6.5" customWidth="1" min="19" max="19"/>
    <col width="6.5" customWidth="1" min="20" max="20"/>
    <col width="6.5" customWidth="1" min="21" max="21"/>
    <col width="15" customWidth="1" min="22" max="22"/>
    <col width="7.5" customWidth="1" min="23" max="23"/>
    <col width="11" customWidth="1" min="24" max="24"/>
    <col width="7.5" customWidth="1" min="25" max="25"/>
    <col width="11" customWidth="1" min="26" max="26"/>
    <col width="2" customWidth="1" min="27" max="27"/>
    <col width="11" customWidth="1" min="28" max="28"/>
    <col width="13" customWidth="1" min="29" max="29"/>
  </cols>
  <sheetData>
    <row r="1" ht="30" customHeight="1">
      <c r="A1" s="1" t="n"/>
      <c r="B1" s="52" t="inlineStr">
        <is>
          <t>2029  PLANNER</t>
        </is>
      </c>
      <c r="C1" s="53" t="inlineStr">
        <is>
          <t>◀ Dashboard</t>
        </is>
      </c>
      <c r="G1" s="54">
        <f>HYPERLINK("#'"&amp;Engine!$B$11&amp;"'!B"&amp;Engine!$B$10,"Active week: W"&amp;Engine!$B$9&amp;" of "&amp;Engine!$B$11&amp;" ▶")</f>
        <v/>
      </c>
      <c r="O1" s="53">
        <f>IF(AND(Engine!$B$17&gt;=2027,Engine!$B$17&lt;=2030),HYPERLINK("#'"&amp;Engine!$B$17&amp;"'!B"&amp;(5+50*(Engine!$B$18-1)),"Today's week ▶"),"Today is outside 2027-2030")</f>
        <v/>
      </c>
      <c r="W1" s="55" t="inlineStr">
        <is>
          <t>Jump to week:</t>
        </is>
      </c>
      <c r="Y1" s="56" t="n">
        <v>1</v>
      </c>
      <c r="Z1" s="54">
        <f>HYPERLINK("#'2029'!B"&amp;(5+50*(MAX(1,MIN(53,N($Y$1)))-1)),"Go ▶")</f>
        <v/>
      </c>
      <c r="AA1" s="1" t="n"/>
      <c r="AB1" s="57" t="inlineStr">
        <is>
          <t>Year</t>
        </is>
      </c>
      <c r="AC1" s="58" t="n">
        <v>2029</v>
      </c>
    </row>
    <row r="2" ht="16" customHeight="1">
      <c r="A2" s="1" t="n"/>
      <c r="B2" s="59" t="inlineStr">
        <is>
          <t>Pick people from the dropdowns (they only list qualified, available staff for the active week). Type a status code against a person to mark leave, training or sickness.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57" t="inlineStr">
        <is>
          <t>Week 1 starts</t>
        </is>
      </c>
      <c r="AC2" s="60">
        <f>INDEX(Setup!$L$33:$L$36,MATCH($AC$1,Setup!$K$33:$K$36,0))</f>
        <v/>
      </c>
    </row>
    <row r="3" ht="18" customHeight="1">
      <c r="A3" s="1" t="n"/>
      <c r="B3" s="61" t="inlineStr">
        <is>
          <t>Legend:</t>
        </is>
      </c>
      <c r="C3" s="62">
        <f>IF(Setup!$B$33="","",Setup!$B$33)</f>
        <v/>
      </c>
      <c r="D3" s="63">
        <f>IF(Setup!$B$34="","",Setup!$B$34)</f>
        <v/>
      </c>
      <c r="E3" s="64">
        <f>IF(Setup!$B$35="","",Setup!$B$35)</f>
        <v/>
      </c>
      <c r="F3" s="65">
        <f>IF(Setup!$B$36="","",Setup!$B$36)</f>
        <v/>
      </c>
      <c r="G3" s="66">
        <f>IF(Setup!$B$37="","",Setup!$B$37)</f>
        <v/>
      </c>
      <c r="H3" s="67">
        <f>IF(Setup!$B$38="","",Setup!$B$38)</f>
        <v/>
      </c>
      <c r="I3" s="68">
        <f>IF(Setup!$B$39="","",Setup!$B$39)</f>
        <v/>
      </c>
      <c r="J3" s="69">
        <f>IF(Setup!$B$40="","",Setup!$B$40)</f>
        <v/>
      </c>
      <c r="K3" s="70" t="inlineStr">
        <is>
          <t>* trainee</t>
        </is>
      </c>
      <c r="L3" s="48" t="inlineStr">
        <is>
          <t>gap</t>
        </is>
      </c>
      <c r="M3" s="49" t="inlineStr">
        <is>
          <t>not SQEP / conflict</t>
        </is>
      </c>
      <c r="P3" s="50" t="inlineStr">
        <is>
          <t>today</t>
        </is>
      </c>
      <c r="Q3" s="71" t="inlineStr">
        <is>
          <t>n/a weekend</t>
        </is>
      </c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57" t="inlineStr">
        <is>
          <t>Year index</t>
        </is>
      </c>
      <c r="AC3" s="72">
        <f>$AC$1-2026</f>
        <v/>
      </c>
    </row>
    <row r="4" ht="6" customHeight="1"/>
    <row r="5" ht="24" customHeight="1">
      <c r="A5" t="n">
        <v>1</v>
      </c>
      <c r="B5" s="73">
        <f>"WEEK 1     "&amp;TEXT(C6,"ddd d mmm")&amp;"  –  "&amp;TEXT(C6+6,"ddd d mmm yyyy")</f>
        <v/>
      </c>
      <c r="S5" s="74">
        <f>IF(TODAY()&lt;C6,"FUTURE",IF(TODAY()&gt;C6+6,"PAST","THIS WEEK"))</f>
        <v/>
      </c>
      <c r="W5" s="75">
        <f>IF(AND(Engine!$B$8=$AC$3,Engine!$B$9=$A5),"◀ ACTIVE WEEK","")</f>
        <v/>
      </c>
      <c r="AA5" s="76" t="n"/>
      <c r="AB5" s="77" t="inlineStr">
        <is>
          <t>▲ Top</t>
        </is>
      </c>
      <c r="AC5" s="77" t="inlineStr">
        <is>
          <t>Next ▶</t>
        </is>
      </c>
    </row>
    <row r="6" ht="18" customHeight="1">
      <c r="A6" t="n">
        <v>1</v>
      </c>
      <c r="B6" s="78" t="inlineStr">
        <is>
          <t>DUTY</t>
        </is>
      </c>
      <c r="C6" s="79">
        <f>$AC$2+7*($A6-1)</f>
        <v/>
      </c>
      <c r="D6" s="80" t="n"/>
      <c r="E6" s="80" t="n"/>
      <c r="F6" s="81" t="n"/>
      <c r="G6" s="79">
        <f>C6+1</f>
        <v/>
      </c>
      <c r="H6" s="80" t="n"/>
      <c r="I6" s="80" t="n"/>
      <c r="J6" s="81" t="n"/>
      <c r="K6" s="79">
        <f>C6+2</f>
        <v/>
      </c>
      <c r="L6" s="80" t="n"/>
      <c r="M6" s="80" t="n"/>
      <c r="N6" s="81" t="n"/>
      <c r="O6" s="79">
        <f>C6+3</f>
        <v/>
      </c>
      <c r="P6" s="80" t="n"/>
      <c r="Q6" s="80" t="n"/>
      <c r="R6" s="81" t="n"/>
      <c r="S6" s="79">
        <f>C6+4</f>
        <v/>
      </c>
      <c r="T6" s="80" t="n"/>
      <c r="U6" s="80" t="n"/>
      <c r="V6" s="81" t="n"/>
      <c r="W6" s="82">
        <f>C6+5</f>
        <v/>
      </c>
      <c r="X6" s="83" t="n"/>
      <c r="Y6" s="82">
        <f>C6+6</f>
        <v/>
      </c>
      <c r="Z6" s="83" t="n"/>
      <c r="AB6" s="72" t="inlineStr">
        <is>
          <t>Gaps</t>
        </is>
      </c>
      <c r="AC6" s="72" t="inlineStr">
        <is>
          <t>Cover</t>
        </is>
      </c>
    </row>
    <row r="7" ht="14" customHeight="1">
      <c r="A7" t="n">
        <v>1</v>
      </c>
      <c r="B7" s="84" t="inlineStr">
        <is>
          <t>(from Setup)</t>
        </is>
      </c>
      <c r="C7" s="85" t="inlineStr">
        <is>
          <t>1</t>
        </is>
      </c>
      <c r="D7" s="85" t="inlineStr">
        <is>
          <t>2</t>
        </is>
      </c>
      <c r="E7" s="85" t="inlineStr">
        <is>
          <t>3</t>
        </is>
      </c>
      <c r="F7" s="85" t="inlineStr">
        <is>
          <t>Notes</t>
        </is>
      </c>
      <c r="G7" s="85" t="inlineStr">
        <is>
          <t>1</t>
        </is>
      </c>
      <c r="H7" s="85" t="inlineStr">
        <is>
          <t>2</t>
        </is>
      </c>
      <c r="I7" s="85" t="inlineStr">
        <is>
          <t>3</t>
        </is>
      </c>
      <c r="J7" s="85" t="inlineStr">
        <is>
          <t>Notes</t>
        </is>
      </c>
      <c r="K7" s="85" t="inlineStr">
        <is>
          <t>1</t>
        </is>
      </c>
      <c r="L7" s="85" t="inlineStr">
        <is>
          <t>2</t>
        </is>
      </c>
      <c r="M7" s="85" t="inlineStr">
        <is>
          <t>3</t>
        </is>
      </c>
      <c r="N7" s="85" t="inlineStr">
        <is>
          <t>Notes</t>
        </is>
      </c>
      <c r="O7" s="85" t="inlineStr">
        <is>
          <t>1</t>
        </is>
      </c>
      <c r="P7" s="85" t="inlineStr">
        <is>
          <t>2</t>
        </is>
      </c>
      <c r="Q7" s="85" t="inlineStr">
        <is>
          <t>3</t>
        </is>
      </c>
      <c r="R7" s="85" t="inlineStr">
        <is>
          <t>Notes</t>
        </is>
      </c>
      <c r="S7" s="85" t="inlineStr">
        <is>
          <t>1</t>
        </is>
      </c>
      <c r="T7" s="85" t="inlineStr">
        <is>
          <t>2</t>
        </is>
      </c>
      <c r="U7" s="85" t="inlineStr">
        <is>
          <t>3</t>
        </is>
      </c>
      <c r="V7" s="85" t="inlineStr">
        <is>
          <t>Notes</t>
        </is>
      </c>
      <c r="W7" s="85" t="inlineStr">
        <is>
          <t>Cover</t>
        </is>
      </c>
      <c r="X7" s="85" t="inlineStr">
        <is>
          <t>Notes</t>
        </is>
      </c>
      <c r="Y7" s="85" t="inlineStr">
        <is>
          <t>Cover</t>
        </is>
      </c>
      <c r="Z7" s="85" t="inlineStr">
        <is>
          <t>Notes</t>
        </is>
      </c>
      <c r="AB7" s="86" t="inlineStr">
        <is>
          <t>weekdays short</t>
        </is>
      </c>
      <c r="AC7" s="87" t="inlineStr"/>
    </row>
    <row r="8" ht="17" customHeight="1">
      <c r="A8" t="n">
        <v>1</v>
      </c>
      <c r="B8" s="24">
        <f>IF(Setup!$K$6="","",Setup!$K$6)</f>
        <v/>
      </c>
      <c r="C8" s="88" t="n"/>
      <c r="D8" s="88" t="n"/>
      <c r="E8" s="88" t="n"/>
      <c r="F8" s="89" t="n"/>
      <c r="G8" s="88" t="n"/>
      <c r="H8" s="88" t="n"/>
      <c r="I8" s="88" t="n"/>
      <c r="J8" s="89" t="n"/>
      <c r="K8" s="88" t="n"/>
      <c r="L8" s="88" t="n"/>
      <c r="M8" s="88" t="n"/>
      <c r="N8" s="89" t="n"/>
      <c r="O8" s="88" t="n"/>
      <c r="P8" s="88" t="n"/>
      <c r="Q8" s="88" t="n"/>
      <c r="R8" s="89" t="n"/>
      <c r="S8" s="88" t="n"/>
      <c r="T8" s="88" t="n"/>
      <c r="U8" s="88" t="n"/>
      <c r="V8" s="89" t="n"/>
      <c r="W8" s="88" t="n"/>
      <c r="X8" s="89" t="n"/>
      <c r="Y8" s="88" t="n"/>
      <c r="Z8" s="89" t="n"/>
      <c r="AB8" s="25">
        <f>IF($B8="","",(COUNTIF(C8:E8,"?*")&lt;N(INDEX(Setup!$L$6:$L$23,1)))+(COUNTIF(G8:I8,"?*")&lt;N(INDEX(Setup!$L$6:$L$23,1)))+(COUNTIF(K8:M8,"?*")&lt;N(INDEX(Setup!$L$6:$L$23,1)))+(COUNTIF(O8:Q8,"?*")&lt;N(INDEX(Setup!$L$6:$L$23,1)))+(COUNTIF(S8:U8,"?*")&lt;N(INDEX(Setup!$L$6:$L$23,1)))+((W8="")*(INDEX(Setup!$M$6:$M$23,1)="Y"))+((Y8="")*(INDEX(Setup!$M$6:$M$23,1)="Y")))</f>
        <v/>
      </c>
      <c r="AC8" s="90">
        <f>IF($B8="","",IF(AB8=0,"✓ covered","⚠ "&amp;AB8&amp;IF(AB8=1," gap"," gaps")))</f>
        <v/>
      </c>
    </row>
    <row r="9" ht="17" customHeight="1">
      <c r="A9" t="n">
        <v>1</v>
      </c>
      <c r="B9" s="29">
        <f>IF(Setup!$K$7="","",Setup!$K$7)</f>
        <v/>
      </c>
      <c r="C9" s="88" t="n"/>
      <c r="D9" s="88" t="n"/>
      <c r="E9" s="88" t="n"/>
      <c r="F9" s="89" t="n"/>
      <c r="G9" s="88" t="n"/>
      <c r="H9" s="88" t="n"/>
      <c r="I9" s="88" t="n"/>
      <c r="J9" s="89" t="n"/>
      <c r="K9" s="88" t="n"/>
      <c r="L9" s="88" t="n"/>
      <c r="M9" s="88" t="n"/>
      <c r="N9" s="89" t="n"/>
      <c r="O9" s="88" t="n"/>
      <c r="P9" s="88" t="n"/>
      <c r="Q9" s="88" t="n"/>
      <c r="R9" s="89" t="n"/>
      <c r="S9" s="88" t="n"/>
      <c r="T9" s="88" t="n"/>
      <c r="U9" s="88" t="n"/>
      <c r="V9" s="89" t="n"/>
      <c r="W9" s="88" t="n"/>
      <c r="X9" s="89" t="n"/>
      <c r="Y9" s="88" t="n"/>
      <c r="Z9" s="89" t="n"/>
      <c r="AB9" s="30">
        <f>IF($B9="","",(COUNTIF(C9:E9,"?*")&lt;N(INDEX(Setup!$L$6:$L$23,2)))+(COUNTIF(G9:I9,"?*")&lt;N(INDEX(Setup!$L$6:$L$23,2)))+(COUNTIF(K9:M9,"?*")&lt;N(INDEX(Setup!$L$6:$L$23,2)))+(COUNTIF(O9:Q9,"?*")&lt;N(INDEX(Setup!$L$6:$L$23,2)))+(COUNTIF(S9:U9,"?*")&lt;N(INDEX(Setup!$L$6:$L$23,2)))+((W9="")*(INDEX(Setup!$M$6:$M$23,2)="Y"))+((Y9="")*(INDEX(Setup!$M$6:$M$23,2)="Y")))</f>
        <v/>
      </c>
      <c r="AC9" s="91">
        <f>IF($B9="","",IF(AB9=0,"✓ covered","⚠ "&amp;AB9&amp;IF(AB9=1," gap"," gaps")))</f>
        <v/>
      </c>
    </row>
    <row r="10" ht="17" customHeight="1">
      <c r="A10" t="n">
        <v>1</v>
      </c>
      <c r="B10" s="24">
        <f>IF(Setup!$K$8="","",Setup!$K$8)</f>
        <v/>
      </c>
      <c r="C10" s="88" t="n"/>
      <c r="D10" s="88" t="n"/>
      <c r="E10" s="88" t="n"/>
      <c r="F10" s="89" t="n"/>
      <c r="G10" s="88" t="n"/>
      <c r="H10" s="88" t="n"/>
      <c r="I10" s="88" t="n"/>
      <c r="J10" s="89" t="n"/>
      <c r="K10" s="88" t="n"/>
      <c r="L10" s="88" t="n"/>
      <c r="M10" s="88" t="n"/>
      <c r="N10" s="89" t="n"/>
      <c r="O10" s="88" t="n"/>
      <c r="P10" s="88" t="n"/>
      <c r="Q10" s="88" t="n"/>
      <c r="R10" s="89" t="n"/>
      <c r="S10" s="88" t="n"/>
      <c r="T10" s="88" t="n"/>
      <c r="U10" s="88" t="n"/>
      <c r="V10" s="89" t="n"/>
      <c r="W10" s="88" t="n"/>
      <c r="X10" s="89" t="n"/>
      <c r="Y10" s="88" t="n"/>
      <c r="Z10" s="89" t="n"/>
      <c r="AB10" s="25">
        <f>IF($B10="","",(COUNTIF(C10:E10,"?*")&lt;N(INDEX(Setup!$L$6:$L$23,3)))+(COUNTIF(G10:I10,"?*")&lt;N(INDEX(Setup!$L$6:$L$23,3)))+(COUNTIF(K10:M10,"?*")&lt;N(INDEX(Setup!$L$6:$L$23,3)))+(COUNTIF(O10:Q10,"?*")&lt;N(INDEX(Setup!$L$6:$L$23,3)))+(COUNTIF(S10:U10,"?*")&lt;N(INDEX(Setup!$L$6:$L$23,3)))+((W10="")*(INDEX(Setup!$M$6:$M$23,3)="Y"))+((Y10="")*(INDEX(Setup!$M$6:$M$23,3)="Y")))</f>
        <v/>
      </c>
      <c r="AC10" s="90">
        <f>IF($B10="","",IF(AB10=0,"✓ covered","⚠ "&amp;AB10&amp;IF(AB10=1," gap"," gaps")))</f>
        <v/>
      </c>
    </row>
    <row r="11" ht="17" customHeight="1">
      <c r="A11" t="n">
        <v>1</v>
      </c>
      <c r="B11" s="29">
        <f>IF(Setup!$K$9="","",Setup!$K$9)</f>
        <v/>
      </c>
      <c r="C11" s="88" t="n"/>
      <c r="D11" s="88" t="n"/>
      <c r="E11" s="88" t="n"/>
      <c r="F11" s="89" t="n"/>
      <c r="G11" s="88" t="n"/>
      <c r="H11" s="88" t="n"/>
      <c r="I11" s="88" t="n"/>
      <c r="J11" s="89" t="n"/>
      <c r="K11" s="88" t="n"/>
      <c r="L11" s="88" t="n"/>
      <c r="M11" s="88" t="n"/>
      <c r="N11" s="89" t="n"/>
      <c r="O11" s="88" t="n"/>
      <c r="P11" s="88" t="n"/>
      <c r="Q11" s="88" t="n"/>
      <c r="R11" s="89" t="n"/>
      <c r="S11" s="88" t="n"/>
      <c r="T11" s="88" t="n"/>
      <c r="U11" s="88" t="n"/>
      <c r="V11" s="89" t="n"/>
      <c r="W11" s="88" t="n"/>
      <c r="X11" s="89" t="n"/>
      <c r="Y11" s="88" t="n"/>
      <c r="Z11" s="89" t="n"/>
      <c r="AB11" s="30">
        <f>IF($B11="","",(COUNTIF(C11:E11,"?*")&lt;N(INDEX(Setup!$L$6:$L$23,4)))+(COUNTIF(G11:I11,"?*")&lt;N(INDEX(Setup!$L$6:$L$23,4)))+(COUNTIF(K11:M11,"?*")&lt;N(INDEX(Setup!$L$6:$L$23,4)))+(COUNTIF(O11:Q11,"?*")&lt;N(INDEX(Setup!$L$6:$L$23,4)))+(COUNTIF(S11:U11,"?*")&lt;N(INDEX(Setup!$L$6:$L$23,4)))+((W11="")*(INDEX(Setup!$M$6:$M$23,4)="Y"))+((Y11="")*(INDEX(Setup!$M$6:$M$23,4)="Y")))</f>
        <v/>
      </c>
      <c r="AC11" s="91">
        <f>IF($B11="","",IF(AB11=0,"✓ covered","⚠ "&amp;AB11&amp;IF(AB11=1," gap"," gaps")))</f>
        <v/>
      </c>
    </row>
    <row r="12" ht="17" customHeight="1">
      <c r="A12" t="n">
        <v>1</v>
      </c>
      <c r="B12" s="24">
        <f>IF(Setup!$K$10="","",Setup!$K$10)</f>
        <v/>
      </c>
      <c r="C12" s="88" t="n"/>
      <c r="D12" s="88" t="n"/>
      <c r="E12" s="88" t="n"/>
      <c r="F12" s="89" t="n"/>
      <c r="G12" s="88" t="n"/>
      <c r="H12" s="88" t="n"/>
      <c r="I12" s="88" t="n"/>
      <c r="J12" s="89" t="n"/>
      <c r="K12" s="88" t="n"/>
      <c r="L12" s="88" t="n"/>
      <c r="M12" s="88" t="n"/>
      <c r="N12" s="89" t="n"/>
      <c r="O12" s="88" t="n"/>
      <c r="P12" s="88" t="n"/>
      <c r="Q12" s="88" t="n"/>
      <c r="R12" s="89" t="n"/>
      <c r="S12" s="88" t="n"/>
      <c r="T12" s="88" t="n"/>
      <c r="U12" s="88" t="n"/>
      <c r="V12" s="89" t="n"/>
      <c r="W12" s="88" t="n"/>
      <c r="X12" s="89" t="n"/>
      <c r="Y12" s="88" t="n"/>
      <c r="Z12" s="89" t="n"/>
      <c r="AB12" s="25">
        <f>IF($B12="","",(COUNTIF(C12:E12,"?*")&lt;N(INDEX(Setup!$L$6:$L$23,5)))+(COUNTIF(G12:I12,"?*")&lt;N(INDEX(Setup!$L$6:$L$23,5)))+(COUNTIF(K12:M12,"?*")&lt;N(INDEX(Setup!$L$6:$L$23,5)))+(COUNTIF(O12:Q12,"?*")&lt;N(INDEX(Setup!$L$6:$L$23,5)))+(COUNTIF(S12:U12,"?*")&lt;N(INDEX(Setup!$L$6:$L$23,5)))+((W12="")*(INDEX(Setup!$M$6:$M$23,5)="Y"))+((Y12="")*(INDEX(Setup!$M$6:$M$23,5)="Y")))</f>
        <v/>
      </c>
      <c r="AC12" s="90">
        <f>IF($B12="","",IF(AB12=0,"✓ covered","⚠ "&amp;AB12&amp;IF(AB12=1," gap"," gaps")))</f>
        <v/>
      </c>
    </row>
    <row r="13" ht="17" customHeight="1">
      <c r="A13" t="n">
        <v>1</v>
      </c>
      <c r="B13" s="29">
        <f>IF(Setup!$K$11="","",Setup!$K$11)</f>
        <v/>
      </c>
      <c r="C13" s="88" t="n"/>
      <c r="D13" s="88" t="n"/>
      <c r="E13" s="88" t="n"/>
      <c r="F13" s="89" t="n"/>
      <c r="G13" s="88" t="n"/>
      <c r="H13" s="88" t="n"/>
      <c r="I13" s="88" t="n"/>
      <c r="J13" s="89" t="n"/>
      <c r="K13" s="88" t="n"/>
      <c r="L13" s="88" t="n"/>
      <c r="M13" s="88" t="n"/>
      <c r="N13" s="89" t="n"/>
      <c r="O13" s="88" t="n"/>
      <c r="P13" s="88" t="n"/>
      <c r="Q13" s="88" t="n"/>
      <c r="R13" s="89" t="n"/>
      <c r="S13" s="88" t="n"/>
      <c r="T13" s="88" t="n"/>
      <c r="U13" s="88" t="n"/>
      <c r="V13" s="89" t="n"/>
      <c r="W13" s="88" t="n"/>
      <c r="X13" s="89" t="n"/>
      <c r="Y13" s="88" t="n"/>
      <c r="Z13" s="89" t="n"/>
      <c r="AB13" s="30">
        <f>IF($B13="","",(COUNTIF(C13:E13,"?*")&lt;N(INDEX(Setup!$L$6:$L$23,6)))+(COUNTIF(G13:I13,"?*")&lt;N(INDEX(Setup!$L$6:$L$23,6)))+(COUNTIF(K13:M13,"?*")&lt;N(INDEX(Setup!$L$6:$L$23,6)))+(COUNTIF(O13:Q13,"?*")&lt;N(INDEX(Setup!$L$6:$L$23,6)))+(COUNTIF(S13:U13,"?*")&lt;N(INDEX(Setup!$L$6:$L$23,6)))+((W13="")*(INDEX(Setup!$M$6:$M$23,6)="Y"))+((Y13="")*(INDEX(Setup!$M$6:$M$23,6)="Y")))</f>
        <v/>
      </c>
      <c r="AC13" s="91">
        <f>IF($B13="","",IF(AB13=0,"✓ covered","⚠ "&amp;AB13&amp;IF(AB13=1," gap"," gaps")))</f>
        <v/>
      </c>
    </row>
    <row r="14" ht="17" customHeight="1">
      <c r="A14" t="n">
        <v>1</v>
      </c>
      <c r="B14" s="24">
        <f>IF(Setup!$K$12="","",Setup!$K$12)</f>
        <v/>
      </c>
      <c r="C14" s="88" t="n"/>
      <c r="D14" s="88" t="n"/>
      <c r="E14" s="88" t="n"/>
      <c r="F14" s="89" t="n"/>
      <c r="G14" s="88" t="n"/>
      <c r="H14" s="88" t="n"/>
      <c r="I14" s="88" t="n"/>
      <c r="J14" s="89" t="n"/>
      <c r="K14" s="88" t="n"/>
      <c r="L14" s="88" t="n"/>
      <c r="M14" s="88" t="n"/>
      <c r="N14" s="89" t="n"/>
      <c r="O14" s="88" t="n"/>
      <c r="P14" s="88" t="n"/>
      <c r="Q14" s="88" t="n"/>
      <c r="R14" s="89" t="n"/>
      <c r="S14" s="88" t="n"/>
      <c r="T14" s="88" t="n"/>
      <c r="U14" s="88" t="n"/>
      <c r="V14" s="89" t="n"/>
      <c r="W14" s="88" t="n"/>
      <c r="X14" s="89" t="n"/>
      <c r="Y14" s="88" t="n"/>
      <c r="Z14" s="89" t="n"/>
      <c r="AB14" s="25">
        <f>IF($B14="","",(COUNTIF(C14:E14,"?*")&lt;N(INDEX(Setup!$L$6:$L$23,7)))+(COUNTIF(G14:I14,"?*")&lt;N(INDEX(Setup!$L$6:$L$23,7)))+(COUNTIF(K14:M14,"?*")&lt;N(INDEX(Setup!$L$6:$L$23,7)))+(COUNTIF(O14:Q14,"?*")&lt;N(INDEX(Setup!$L$6:$L$23,7)))+(COUNTIF(S14:U14,"?*")&lt;N(INDEX(Setup!$L$6:$L$23,7)))+((W14="")*(INDEX(Setup!$M$6:$M$23,7)="Y"))+((Y14="")*(INDEX(Setup!$M$6:$M$23,7)="Y")))</f>
        <v/>
      </c>
      <c r="AC14" s="90">
        <f>IF($B14="","",IF(AB14=0,"✓ covered","⚠ "&amp;AB14&amp;IF(AB14=1," gap"," gaps")))</f>
        <v/>
      </c>
    </row>
    <row r="15" ht="17" customHeight="1">
      <c r="A15" t="n">
        <v>1</v>
      </c>
      <c r="B15" s="29">
        <f>IF(Setup!$K$13="","",Setup!$K$13)</f>
        <v/>
      </c>
      <c r="C15" s="88" t="n"/>
      <c r="D15" s="88" t="n"/>
      <c r="E15" s="88" t="n"/>
      <c r="F15" s="89" t="n"/>
      <c r="G15" s="88" t="n"/>
      <c r="H15" s="88" t="n"/>
      <c r="I15" s="88" t="n"/>
      <c r="J15" s="89" t="n"/>
      <c r="K15" s="88" t="n"/>
      <c r="L15" s="88" t="n"/>
      <c r="M15" s="88" t="n"/>
      <c r="N15" s="89" t="n"/>
      <c r="O15" s="88" t="n"/>
      <c r="P15" s="88" t="n"/>
      <c r="Q15" s="88" t="n"/>
      <c r="R15" s="89" t="n"/>
      <c r="S15" s="88" t="n"/>
      <c r="T15" s="88" t="n"/>
      <c r="U15" s="88" t="n"/>
      <c r="V15" s="89" t="n"/>
      <c r="W15" s="88" t="n"/>
      <c r="X15" s="89" t="n"/>
      <c r="Y15" s="88" t="n"/>
      <c r="Z15" s="89" t="n"/>
      <c r="AB15" s="30">
        <f>IF($B15="","",(COUNTIF(C15:E15,"?*")&lt;N(INDEX(Setup!$L$6:$L$23,8)))+(COUNTIF(G15:I15,"?*")&lt;N(INDEX(Setup!$L$6:$L$23,8)))+(COUNTIF(K15:M15,"?*")&lt;N(INDEX(Setup!$L$6:$L$23,8)))+(COUNTIF(O15:Q15,"?*")&lt;N(INDEX(Setup!$L$6:$L$23,8)))+(COUNTIF(S15:U15,"?*")&lt;N(INDEX(Setup!$L$6:$L$23,8)))+((W15="")*(INDEX(Setup!$M$6:$M$23,8)="Y"))+((Y15="")*(INDEX(Setup!$M$6:$M$23,8)="Y")))</f>
        <v/>
      </c>
      <c r="AC15" s="91">
        <f>IF($B15="","",IF(AB15=0,"✓ covered","⚠ "&amp;AB15&amp;IF(AB15=1," gap"," gaps")))</f>
        <v/>
      </c>
    </row>
    <row r="16" ht="17" customHeight="1">
      <c r="A16" t="n">
        <v>1</v>
      </c>
      <c r="B16" s="24">
        <f>IF(Setup!$K$14="","",Setup!$K$14)</f>
        <v/>
      </c>
      <c r="C16" s="88" t="n"/>
      <c r="D16" s="88" t="n"/>
      <c r="E16" s="88" t="n"/>
      <c r="F16" s="89" t="n"/>
      <c r="G16" s="88" t="n"/>
      <c r="H16" s="88" t="n"/>
      <c r="I16" s="88" t="n"/>
      <c r="J16" s="89" t="n"/>
      <c r="K16" s="88" t="n"/>
      <c r="L16" s="88" t="n"/>
      <c r="M16" s="88" t="n"/>
      <c r="N16" s="89" t="n"/>
      <c r="O16" s="88" t="n"/>
      <c r="P16" s="88" t="n"/>
      <c r="Q16" s="88" t="n"/>
      <c r="R16" s="89" t="n"/>
      <c r="S16" s="88" t="n"/>
      <c r="T16" s="88" t="n"/>
      <c r="U16" s="88" t="n"/>
      <c r="V16" s="89" t="n"/>
      <c r="W16" s="88" t="n"/>
      <c r="X16" s="89" t="n"/>
      <c r="Y16" s="88" t="n"/>
      <c r="Z16" s="89" t="n"/>
      <c r="AB16" s="25">
        <f>IF($B16="","",(COUNTIF(C16:E16,"?*")&lt;N(INDEX(Setup!$L$6:$L$23,9)))+(COUNTIF(G16:I16,"?*")&lt;N(INDEX(Setup!$L$6:$L$23,9)))+(COUNTIF(K16:M16,"?*")&lt;N(INDEX(Setup!$L$6:$L$23,9)))+(COUNTIF(O16:Q16,"?*")&lt;N(INDEX(Setup!$L$6:$L$23,9)))+(COUNTIF(S16:U16,"?*")&lt;N(INDEX(Setup!$L$6:$L$23,9)))+((W16="")*(INDEX(Setup!$M$6:$M$23,9)="Y"))+((Y16="")*(INDEX(Setup!$M$6:$M$23,9)="Y")))</f>
        <v/>
      </c>
      <c r="AC16" s="90">
        <f>IF($B16="","",IF(AB16=0,"✓ covered","⚠ "&amp;AB16&amp;IF(AB16=1," gap"," gaps")))</f>
        <v/>
      </c>
    </row>
    <row r="17" ht="17" customHeight="1">
      <c r="A17" t="n">
        <v>1</v>
      </c>
      <c r="B17" s="29">
        <f>IF(Setup!$K$15="","",Setup!$K$15)</f>
        <v/>
      </c>
      <c r="C17" s="88" t="n"/>
      <c r="D17" s="88" t="n"/>
      <c r="E17" s="88" t="n"/>
      <c r="F17" s="89" t="n"/>
      <c r="G17" s="88" t="n"/>
      <c r="H17" s="88" t="n"/>
      <c r="I17" s="88" t="n"/>
      <c r="J17" s="89" t="n"/>
      <c r="K17" s="88" t="n"/>
      <c r="L17" s="88" t="n"/>
      <c r="M17" s="88" t="n"/>
      <c r="N17" s="89" t="n"/>
      <c r="O17" s="88" t="n"/>
      <c r="P17" s="88" t="n"/>
      <c r="Q17" s="88" t="n"/>
      <c r="R17" s="89" t="n"/>
      <c r="S17" s="88" t="n"/>
      <c r="T17" s="88" t="n"/>
      <c r="U17" s="88" t="n"/>
      <c r="V17" s="89" t="n"/>
      <c r="W17" s="88" t="n"/>
      <c r="X17" s="89" t="n"/>
      <c r="Y17" s="88" t="n"/>
      <c r="Z17" s="89" t="n"/>
      <c r="AB17" s="30">
        <f>IF($B17="","",(COUNTIF(C17:E17,"?*")&lt;N(INDEX(Setup!$L$6:$L$23,10)))+(COUNTIF(G17:I17,"?*")&lt;N(INDEX(Setup!$L$6:$L$23,10)))+(COUNTIF(K17:M17,"?*")&lt;N(INDEX(Setup!$L$6:$L$23,10)))+(COUNTIF(O17:Q17,"?*")&lt;N(INDEX(Setup!$L$6:$L$23,10)))+(COUNTIF(S17:U17,"?*")&lt;N(INDEX(Setup!$L$6:$L$23,10)))+((W17="")*(INDEX(Setup!$M$6:$M$23,10)="Y"))+((Y17="")*(INDEX(Setup!$M$6:$M$23,10)="Y")))</f>
        <v/>
      </c>
      <c r="AC17" s="91">
        <f>IF($B17="","",IF(AB17=0,"✓ covered","⚠ "&amp;AB17&amp;IF(AB17=1," gap"," gaps")))</f>
        <v/>
      </c>
    </row>
    <row r="18" ht="17" customHeight="1">
      <c r="A18" t="n">
        <v>1</v>
      </c>
      <c r="B18" s="24">
        <f>IF(Setup!$K$16="","",Setup!$K$16)</f>
        <v/>
      </c>
      <c r="C18" s="88" t="n"/>
      <c r="D18" s="88" t="n"/>
      <c r="E18" s="88" t="n"/>
      <c r="F18" s="89" t="n"/>
      <c r="G18" s="88" t="n"/>
      <c r="H18" s="88" t="n"/>
      <c r="I18" s="88" t="n"/>
      <c r="J18" s="89" t="n"/>
      <c r="K18" s="88" t="n"/>
      <c r="L18" s="88" t="n"/>
      <c r="M18" s="88" t="n"/>
      <c r="N18" s="89" t="n"/>
      <c r="O18" s="88" t="n"/>
      <c r="P18" s="88" t="n"/>
      <c r="Q18" s="88" t="n"/>
      <c r="R18" s="89" t="n"/>
      <c r="S18" s="88" t="n"/>
      <c r="T18" s="88" t="n"/>
      <c r="U18" s="88" t="n"/>
      <c r="V18" s="89" t="n"/>
      <c r="W18" s="88" t="n"/>
      <c r="X18" s="89" t="n"/>
      <c r="Y18" s="88" t="n"/>
      <c r="Z18" s="89" t="n"/>
      <c r="AB18" s="25">
        <f>IF($B18="","",(COUNTIF(C18:E18,"?*")&lt;N(INDEX(Setup!$L$6:$L$23,11)))+(COUNTIF(G18:I18,"?*")&lt;N(INDEX(Setup!$L$6:$L$23,11)))+(COUNTIF(K18:M18,"?*")&lt;N(INDEX(Setup!$L$6:$L$23,11)))+(COUNTIF(O18:Q18,"?*")&lt;N(INDEX(Setup!$L$6:$L$23,11)))+(COUNTIF(S18:U18,"?*")&lt;N(INDEX(Setup!$L$6:$L$23,11)))+((W18="")*(INDEX(Setup!$M$6:$M$23,11)="Y"))+((Y18="")*(INDEX(Setup!$M$6:$M$23,11)="Y")))</f>
        <v/>
      </c>
      <c r="AC18" s="90">
        <f>IF($B18="","",IF(AB18=0,"✓ covered","⚠ "&amp;AB18&amp;IF(AB18=1," gap"," gaps")))</f>
        <v/>
      </c>
    </row>
    <row r="19" ht="17" customHeight="1">
      <c r="A19" t="n">
        <v>1</v>
      </c>
      <c r="B19" s="29">
        <f>IF(Setup!$K$17="","",Setup!$K$17)</f>
        <v/>
      </c>
      <c r="C19" s="88" t="n"/>
      <c r="D19" s="88" t="n"/>
      <c r="E19" s="88" t="n"/>
      <c r="F19" s="89" t="n"/>
      <c r="G19" s="88" t="n"/>
      <c r="H19" s="88" t="n"/>
      <c r="I19" s="88" t="n"/>
      <c r="J19" s="89" t="n"/>
      <c r="K19" s="88" t="n"/>
      <c r="L19" s="88" t="n"/>
      <c r="M19" s="88" t="n"/>
      <c r="N19" s="89" t="n"/>
      <c r="O19" s="88" t="n"/>
      <c r="P19" s="88" t="n"/>
      <c r="Q19" s="88" t="n"/>
      <c r="R19" s="89" t="n"/>
      <c r="S19" s="88" t="n"/>
      <c r="T19" s="88" t="n"/>
      <c r="U19" s="88" t="n"/>
      <c r="V19" s="89" t="n"/>
      <c r="W19" s="88" t="n"/>
      <c r="X19" s="89" t="n"/>
      <c r="Y19" s="88" t="n"/>
      <c r="Z19" s="89" t="n"/>
      <c r="AB19" s="30">
        <f>IF($B19="","",(COUNTIF(C19:E19,"?*")&lt;N(INDEX(Setup!$L$6:$L$23,12)))+(COUNTIF(G19:I19,"?*")&lt;N(INDEX(Setup!$L$6:$L$23,12)))+(COUNTIF(K19:M19,"?*")&lt;N(INDEX(Setup!$L$6:$L$23,12)))+(COUNTIF(O19:Q19,"?*")&lt;N(INDEX(Setup!$L$6:$L$23,12)))+(COUNTIF(S19:U19,"?*")&lt;N(INDEX(Setup!$L$6:$L$23,12)))+((W19="")*(INDEX(Setup!$M$6:$M$23,12)="Y"))+((Y19="")*(INDEX(Setup!$M$6:$M$23,12)="Y")))</f>
        <v/>
      </c>
      <c r="AC19" s="91">
        <f>IF($B19="","",IF(AB19=0,"✓ covered","⚠ "&amp;AB19&amp;IF(AB19=1," gap"," gaps")))</f>
        <v/>
      </c>
    </row>
    <row r="20" ht="17" customHeight="1">
      <c r="A20" t="n">
        <v>1</v>
      </c>
      <c r="B20" s="24">
        <f>IF(Setup!$K$18="","",Setup!$K$18)</f>
        <v/>
      </c>
      <c r="C20" s="88" t="n"/>
      <c r="D20" s="88" t="n"/>
      <c r="E20" s="88" t="n"/>
      <c r="F20" s="89" t="n"/>
      <c r="G20" s="88" t="n"/>
      <c r="H20" s="88" t="n"/>
      <c r="I20" s="88" t="n"/>
      <c r="J20" s="89" t="n"/>
      <c r="K20" s="88" t="n"/>
      <c r="L20" s="88" t="n"/>
      <c r="M20" s="88" t="n"/>
      <c r="N20" s="89" t="n"/>
      <c r="O20" s="88" t="n"/>
      <c r="P20" s="88" t="n"/>
      <c r="Q20" s="88" t="n"/>
      <c r="R20" s="89" t="n"/>
      <c r="S20" s="88" t="n"/>
      <c r="T20" s="88" t="n"/>
      <c r="U20" s="88" t="n"/>
      <c r="V20" s="89" t="n"/>
      <c r="W20" s="88" t="n"/>
      <c r="X20" s="89" t="n"/>
      <c r="Y20" s="88" t="n"/>
      <c r="Z20" s="89" t="n"/>
      <c r="AB20" s="25">
        <f>IF($B20="","",(COUNTIF(C20:E20,"?*")&lt;N(INDEX(Setup!$L$6:$L$23,13)))+(COUNTIF(G20:I20,"?*")&lt;N(INDEX(Setup!$L$6:$L$23,13)))+(COUNTIF(K20:M20,"?*")&lt;N(INDEX(Setup!$L$6:$L$23,13)))+(COUNTIF(O20:Q20,"?*")&lt;N(INDEX(Setup!$L$6:$L$23,13)))+(COUNTIF(S20:U20,"?*")&lt;N(INDEX(Setup!$L$6:$L$23,13)))+((W20="")*(INDEX(Setup!$M$6:$M$23,13)="Y"))+((Y20="")*(INDEX(Setup!$M$6:$M$23,13)="Y")))</f>
        <v/>
      </c>
      <c r="AC20" s="90">
        <f>IF($B20="","",IF(AB20=0,"✓ covered","⚠ "&amp;AB20&amp;IF(AB20=1," gap"," gaps")))</f>
        <v/>
      </c>
    </row>
    <row r="21" ht="17" customHeight="1">
      <c r="A21" t="n">
        <v>1</v>
      </c>
      <c r="B21" s="29">
        <f>IF(Setup!$K$19="","",Setup!$K$19)</f>
        <v/>
      </c>
      <c r="C21" s="88" t="n"/>
      <c r="D21" s="88" t="n"/>
      <c r="E21" s="88" t="n"/>
      <c r="F21" s="89" t="n"/>
      <c r="G21" s="88" t="n"/>
      <c r="H21" s="88" t="n"/>
      <c r="I21" s="88" t="n"/>
      <c r="J21" s="89" t="n"/>
      <c r="K21" s="88" t="n"/>
      <c r="L21" s="88" t="n"/>
      <c r="M21" s="88" t="n"/>
      <c r="N21" s="89" t="n"/>
      <c r="O21" s="88" t="n"/>
      <c r="P21" s="88" t="n"/>
      <c r="Q21" s="88" t="n"/>
      <c r="R21" s="89" t="n"/>
      <c r="S21" s="88" t="n"/>
      <c r="T21" s="88" t="n"/>
      <c r="U21" s="88" t="n"/>
      <c r="V21" s="89" t="n"/>
      <c r="W21" s="88" t="n"/>
      <c r="X21" s="89" t="n"/>
      <c r="Y21" s="88" t="n"/>
      <c r="Z21" s="89" t="n"/>
      <c r="AB21" s="30">
        <f>IF($B21="","",(COUNTIF(C21:E21,"?*")&lt;N(INDEX(Setup!$L$6:$L$23,14)))+(COUNTIF(G21:I21,"?*")&lt;N(INDEX(Setup!$L$6:$L$23,14)))+(COUNTIF(K21:M21,"?*")&lt;N(INDEX(Setup!$L$6:$L$23,14)))+(COUNTIF(O21:Q21,"?*")&lt;N(INDEX(Setup!$L$6:$L$23,14)))+(COUNTIF(S21:U21,"?*")&lt;N(INDEX(Setup!$L$6:$L$23,14)))+((W21="")*(INDEX(Setup!$M$6:$M$23,14)="Y"))+((Y21="")*(INDEX(Setup!$M$6:$M$23,14)="Y")))</f>
        <v/>
      </c>
      <c r="AC21" s="91">
        <f>IF($B21="","",IF(AB21=0,"✓ covered","⚠ "&amp;AB21&amp;IF(AB21=1," gap"," gaps")))</f>
        <v/>
      </c>
    </row>
    <row r="22" ht="17" customHeight="1">
      <c r="A22" t="n">
        <v>1</v>
      </c>
      <c r="B22" s="24">
        <f>IF(Setup!$K$20="","",Setup!$K$20)</f>
        <v/>
      </c>
      <c r="C22" s="88" t="n"/>
      <c r="D22" s="88" t="n"/>
      <c r="E22" s="88" t="n"/>
      <c r="F22" s="89" t="n"/>
      <c r="G22" s="88" t="n"/>
      <c r="H22" s="88" t="n"/>
      <c r="I22" s="88" t="n"/>
      <c r="J22" s="89" t="n"/>
      <c r="K22" s="88" t="n"/>
      <c r="L22" s="88" t="n"/>
      <c r="M22" s="88" t="n"/>
      <c r="N22" s="89" t="n"/>
      <c r="O22" s="88" t="n"/>
      <c r="P22" s="88" t="n"/>
      <c r="Q22" s="88" t="n"/>
      <c r="R22" s="89" t="n"/>
      <c r="S22" s="88" t="n"/>
      <c r="T22" s="88" t="n"/>
      <c r="U22" s="88" t="n"/>
      <c r="V22" s="89" t="n"/>
      <c r="W22" s="88" t="n"/>
      <c r="X22" s="89" t="n"/>
      <c r="Y22" s="88" t="n"/>
      <c r="Z22" s="89" t="n"/>
      <c r="AB22" s="25">
        <f>IF($B22="","",(COUNTIF(C22:E22,"?*")&lt;N(INDEX(Setup!$L$6:$L$23,15)))+(COUNTIF(G22:I22,"?*")&lt;N(INDEX(Setup!$L$6:$L$23,15)))+(COUNTIF(K22:M22,"?*")&lt;N(INDEX(Setup!$L$6:$L$23,15)))+(COUNTIF(O22:Q22,"?*")&lt;N(INDEX(Setup!$L$6:$L$23,15)))+(COUNTIF(S22:U22,"?*")&lt;N(INDEX(Setup!$L$6:$L$23,15)))+((W22="")*(INDEX(Setup!$M$6:$M$23,15)="Y"))+((Y22="")*(INDEX(Setup!$M$6:$M$23,15)="Y")))</f>
        <v/>
      </c>
      <c r="AC22" s="90">
        <f>IF($B22="","",IF(AB22=0,"✓ covered","⚠ "&amp;AB22&amp;IF(AB22=1," gap"," gaps")))</f>
        <v/>
      </c>
    </row>
    <row r="23" ht="17" customHeight="1">
      <c r="A23" t="n">
        <v>1</v>
      </c>
      <c r="B23" s="29">
        <f>IF(Setup!$K$21="","",Setup!$K$21)</f>
        <v/>
      </c>
      <c r="C23" s="88" t="n"/>
      <c r="D23" s="88" t="n"/>
      <c r="E23" s="88" t="n"/>
      <c r="F23" s="89" t="n"/>
      <c r="G23" s="88" t="n"/>
      <c r="H23" s="88" t="n"/>
      <c r="I23" s="88" t="n"/>
      <c r="J23" s="89" t="n"/>
      <c r="K23" s="88" t="n"/>
      <c r="L23" s="88" t="n"/>
      <c r="M23" s="88" t="n"/>
      <c r="N23" s="89" t="n"/>
      <c r="O23" s="88" t="n"/>
      <c r="P23" s="88" t="n"/>
      <c r="Q23" s="88" t="n"/>
      <c r="R23" s="89" t="n"/>
      <c r="S23" s="88" t="n"/>
      <c r="T23" s="88" t="n"/>
      <c r="U23" s="88" t="n"/>
      <c r="V23" s="89" t="n"/>
      <c r="W23" s="88" t="n"/>
      <c r="X23" s="89" t="n"/>
      <c r="Y23" s="88" t="n"/>
      <c r="Z23" s="89" t="n"/>
      <c r="AB23" s="30">
        <f>IF($B23="","",(COUNTIF(C23:E23,"?*")&lt;N(INDEX(Setup!$L$6:$L$23,16)))+(COUNTIF(G23:I23,"?*")&lt;N(INDEX(Setup!$L$6:$L$23,16)))+(COUNTIF(K23:M23,"?*")&lt;N(INDEX(Setup!$L$6:$L$23,16)))+(COUNTIF(O23:Q23,"?*")&lt;N(INDEX(Setup!$L$6:$L$23,16)))+(COUNTIF(S23:U23,"?*")&lt;N(INDEX(Setup!$L$6:$L$23,16)))+((W23="")*(INDEX(Setup!$M$6:$M$23,16)="Y"))+((Y23="")*(INDEX(Setup!$M$6:$M$23,16)="Y")))</f>
        <v/>
      </c>
      <c r="AC23" s="91">
        <f>IF($B23="","",IF(AB23=0,"✓ covered","⚠ "&amp;AB23&amp;IF(AB23=1," gap"," gaps")))</f>
        <v/>
      </c>
    </row>
    <row r="24" ht="17" customHeight="1">
      <c r="A24" t="n">
        <v>1</v>
      </c>
      <c r="B24" s="24">
        <f>IF(Setup!$K$22="","",Setup!$K$22)</f>
        <v/>
      </c>
      <c r="C24" s="88" t="n"/>
      <c r="D24" s="88" t="n"/>
      <c r="E24" s="88" t="n"/>
      <c r="F24" s="89" t="n"/>
      <c r="G24" s="88" t="n"/>
      <c r="H24" s="88" t="n"/>
      <c r="I24" s="88" t="n"/>
      <c r="J24" s="89" t="n"/>
      <c r="K24" s="88" t="n"/>
      <c r="L24" s="88" t="n"/>
      <c r="M24" s="88" t="n"/>
      <c r="N24" s="89" t="n"/>
      <c r="O24" s="88" t="n"/>
      <c r="P24" s="88" t="n"/>
      <c r="Q24" s="88" t="n"/>
      <c r="R24" s="89" t="n"/>
      <c r="S24" s="88" t="n"/>
      <c r="T24" s="88" t="n"/>
      <c r="U24" s="88" t="n"/>
      <c r="V24" s="89" t="n"/>
      <c r="W24" s="88" t="n"/>
      <c r="X24" s="89" t="n"/>
      <c r="Y24" s="88" t="n"/>
      <c r="Z24" s="89" t="n"/>
      <c r="AB24" s="25">
        <f>IF($B24="","",(COUNTIF(C24:E24,"?*")&lt;N(INDEX(Setup!$L$6:$L$23,17)))+(COUNTIF(G24:I24,"?*")&lt;N(INDEX(Setup!$L$6:$L$23,17)))+(COUNTIF(K24:M24,"?*")&lt;N(INDEX(Setup!$L$6:$L$23,17)))+(COUNTIF(O24:Q24,"?*")&lt;N(INDEX(Setup!$L$6:$L$23,17)))+(COUNTIF(S24:U24,"?*")&lt;N(INDEX(Setup!$L$6:$L$23,17)))+((W24="")*(INDEX(Setup!$M$6:$M$23,17)="Y"))+((Y24="")*(INDEX(Setup!$M$6:$M$23,17)="Y")))</f>
        <v/>
      </c>
      <c r="AC24" s="90">
        <f>IF($B24="","",IF(AB24=0,"✓ covered","⚠ "&amp;AB24&amp;IF(AB24=1," gap"," gaps")))</f>
        <v/>
      </c>
    </row>
    <row r="25" ht="17" customHeight="1">
      <c r="A25" t="n">
        <v>1</v>
      </c>
      <c r="B25" s="29">
        <f>IF(Setup!$K$23="","",Setup!$K$23)</f>
        <v/>
      </c>
      <c r="C25" s="88" t="n"/>
      <c r="D25" s="88" t="n"/>
      <c r="E25" s="88" t="n"/>
      <c r="F25" s="89" t="n"/>
      <c r="G25" s="88" t="n"/>
      <c r="H25" s="88" t="n"/>
      <c r="I25" s="88" t="n"/>
      <c r="J25" s="89" t="n"/>
      <c r="K25" s="88" t="n"/>
      <c r="L25" s="88" t="n"/>
      <c r="M25" s="88" t="n"/>
      <c r="N25" s="89" t="n"/>
      <c r="O25" s="88" t="n"/>
      <c r="P25" s="88" t="n"/>
      <c r="Q25" s="88" t="n"/>
      <c r="R25" s="89" t="n"/>
      <c r="S25" s="88" t="n"/>
      <c r="T25" s="88" t="n"/>
      <c r="U25" s="88" t="n"/>
      <c r="V25" s="89" t="n"/>
      <c r="W25" s="88" t="n"/>
      <c r="X25" s="89" t="n"/>
      <c r="Y25" s="88" t="n"/>
      <c r="Z25" s="89" t="n"/>
      <c r="AB25" s="30">
        <f>IF($B25="","",(COUNTIF(C25:E25,"?*")&lt;N(INDEX(Setup!$L$6:$L$23,18)))+(COUNTIF(G25:I25,"?*")&lt;N(INDEX(Setup!$L$6:$L$23,18)))+(COUNTIF(K25:M25,"?*")&lt;N(INDEX(Setup!$L$6:$L$23,18)))+(COUNTIF(O25:Q25,"?*")&lt;N(INDEX(Setup!$L$6:$L$23,18)))+(COUNTIF(S25:U25,"?*")&lt;N(INDEX(Setup!$L$6:$L$23,18)))+((W25="")*(INDEX(Setup!$M$6:$M$23,18)="Y"))+((Y25="")*(INDEX(Setup!$M$6:$M$23,18)="Y")))</f>
        <v/>
      </c>
      <c r="AC25" s="91">
        <f>IF($B25="","",IF(AB25=0,"✓ covered","⚠ "&amp;AB25&amp;IF(AB25=1," gap"," gaps")))</f>
        <v/>
      </c>
    </row>
    <row r="26" ht="18" customHeight="1">
      <c r="A26" t="n">
        <v>1</v>
      </c>
      <c r="B26" s="78" t="inlineStr">
        <is>
          <t>TEAM AVAILABILITY</t>
        </is>
      </c>
      <c r="C26" s="92" t="inlineStr">
        <is>
          <t>Mon</t>
        </is>
      </c>
      <c r="D26" s="93" t="n"/>
      <c r="E26" s="93" t="n"/>
      <c r="F26" s="94" t="n"/>
      <c r="G26" s="92" t="inlineStr">
        <is>
          <t>Tue</t>
        </is>
      </c>
      <c r="H26" s="93" t="n"/>
      <c r="I26" s="93" t="n"/>
      <c r="J26" s="94" t="n"/>
      <c r="K26" s="92" t="inlineStr">
        <is>
          <t>Wed</t>
        </is>
      </c>
      <c r="L26" s="93" t="n"/>
      <c r="M26" s="93" t="n"/>
      <c r="N26" s="94" t="n"/>
      <c r="O26" s="92" t="inlineStr">
        <is>
          <t>Thu</t>
        </is>
      </c>
      <c r="P26" s="93" t="n"/>
      <c r="Q26" s="93" t="n"/>
      <c r="R26" s="94" t="n"/>
      <c r="S26" s="92" t="inlineStr">
        <is>
          <t>Fri</t>
        </is>
      </c>
      <c r="T26" s="93" t="n"/>
      <c r="U26" s="93" t="n"/>
      <c r="V26" s="94" t="n"/>
      <c r="W26" s="95" t="inlineStr">
        <is>
          <t>Sat</t>
        </is>
      </c>
      <c r="X26" s="96" t="n"/>
      <c r="Y26" s="95" t="inlineStr">
        <is>
          <t>Sun</t>
        </is>
      </c>
      <c r="Z26" s="96" t="n"/>
      <c r="AB26" s="97" t="inlineStr">
        <is>
          <t>Days rostered</t>
        </is>
      </c>
      <c r="AC26" s="97" t="inlineStr">
        <is>
          <t>Conflicts</t>
        </is>
      </c>
    </row>
    <row r="27" ht="15" customHeight="1">
      <c r="A27" t="n">
        <v>1</v>
      </c>
      <c r="B27" s="35">
        <f>IF(Setup!$B$6="","",Setup!$B$6)</f>
        <v/>
      </c>
      <c r="C27" s="98" t="n"/>
      <c r="D27" s="99" t="n"/>
      <c r="E27" s="99" t="n"/>
      <c r="F27" s="100" t="n"/>
      <c r="G27" s="98" t="n"/>
      <c r="H27" s="99" t="n"/>
      <c r="I27" s="99" t="n"/>
      <c r="J27" s="100" t="n"/>
      <c r="K27" s="98" t="n"/>
      <c r="L27" s="99" t="n"/>
      <c r="M27" s="99" t="n"/>
      <c r="N27" s="100" t="n"/>
      <c r="O27" s="98" t="n"/>
      <c r="P27" s="99" t="n"/>
      <c r="Q27" s="99" t="n"/>
      <c r="R27" s="100" t="n"/>
      <c r="S27" s="98" t="n"/>
      <c r="T27" s="99" t="n"/>
      <c r="U27" s="99" t="n"/>
      <c r="V27" s="100" t="n"/>
      <c r="W27" s="98" t="n"/>
      <c r="X27" s="100" t="n"/>
      <c r="Y27" s="98" t="n"/>
      <c r="Z27" s="100" t="n"/>
      <c r="AB27" s="101">
        <f>IF($B27="","",(COUNTIF(C8:E25,$B27)+COUNTIF(C8:E25,$B27&amp;" ~*")&gt;0)+(COUNTIF(G8:I25,$B27)+COUNTIF(G8:I25,$B27&amp;" ~*")&gt;0)+(COUNTIF(K8:M25,$B27)+COUNTIF(K8:M25,$B27&amp;" ~*")&gt;0)+(COUNTIF(O8:Q25,$B27)+COUNTIF(O8:Q25,$B27&amp;" ~*")&gt;0)+(COUNTIF(S8:U25,$B27)+COUNTIF(S8:U25,$B27&amp;" ~*")&gt;0)+(COUNTIF(W8:W25,$B27)+COUNTIF(W8:W25,$B27&amp;" ~*")&gt;0)+(COUNTIF(Y8:Y25,$B27)+COUNTIF(Y8:Y25,$B27&amp;" ~*")&gt;0))</f>
        <v/>
      </c>
      <c r="AC27" s="36">
        <f>IF($B27="","",(IFERROR(INDEX(Setup!$G$33:$G$40,MATCH(C27,Setup!$B$33:$B$40,0)),0)=1)*(COUNTIF(C8:E25,$B27)+COUNTIF(C8:E25,$B27&amp;" ~*")&gt;0)+(IFERROR(INDEX(Setup!$G$33:$G$40,MATCH(G27,Setup!$B$33:$B$40,0)),0)=1)*(COUNTIF(G8:I25,$B27)+COUNTIF(G8:I25,$B27&amp;" ~*")&gt;0)+(IFERROR(INDEX(Setup!$G$33:$G$40,MATCH(K27,Setup!$B$33:$B$40,0)),0)=1)*(COUNTIF(K8:M25,$B27)+COUNTIF(K8:M25,$B27&amp;" ~*")&gt;0)+(IFERROR(INDEX(Setup!$G$33:$G$40,MATCH(O27,Setup!$B$33:$B$40,0)),0)=1)*(COUNTIF(O8:Q25,$B27)+COUNTIF(O8:Q25,$B27&amp;" ~*")&gt;0)+(IFERROR(INDEX(Setup!$G$33:$G$40,MATCH(S27,Setup!$B$33:$B$40,0)),0)=1)*(COUNTIF(S8:U25,$B27)+COUNTIF(S8:U25,$B27&amp;" ~*")&gt;0)+(IFERROR(INDEX(Setup!$G$33:$G$40,MATCH(W27,Setup!$B$33:$B$40,0)),0)=1)*(COUNTIF(W8:W25,$B27)+COUNTIF(W8:W25,$B27&amp;" ~*")&gt;0)+(IFERROR(INDEX(Setup!$G$33:$G$40,MATCH(Y27,Setup!$B$33:$B$40,0)),0)=1)*(COUNTIF(Y8:Y25,$B27)+COUNTIF(Y8:Y25,$B27&amp;" ~*")&gt;0))</f>
        <v/>
      </c>
    </row>
    <row r="28" ht="15" customHeight="1">
      <c r="A28" t="n">
        <v>1</v>
      </c>
      <c r="B28" s="37">
        <f>IF(Setup!$B$7="","",Setup!$B$7)</f>
        <v/>
      </c>
      <c r="C28" s="102" t="n"/>
      <c r="D28" s="103" t="n"/>
      <c r="E28" s="103" t="n"/>
      <c r="F28" s="104" t="n"/>
      <c r="G28" s="102" t="n"/>
      <c r="H28" s="103" t="n"/>
      <c r="I28" s="103" t="n"/>
      <c r="J28" s="104" t="n"/>
      <c r="K28" s="102" t="n"/>
      <c r="L28" s="103" t="n"/>
      <c r="M28" s="103" t="n"/>
      <c r="N28" s="104" t="n"/>
      <c r="O28" s="102" t="n"/>
      <c r="P28" s="103" t="n"/>
      <c r="Q28" s="103" t="n"/>
      <c r="R28" s="104" t="n"/>
      <c r="S28" s="102" t="n"/>
      <c r="T28" s="103" t="n"/>
      <c r="U28" s="103" t="n"/>
      <c r="V28" s="104" t="n"/>
      <c r="W28" s="102" t="n"/>
      <c r="X28" s="104" t="n"/>
      <c r="Y28" s="102" t="n"/>
      <c r="Z28" s="104" t="n"/>
      <c r="AB28" s="105">
        <f>IF($B28="","",(COUNTIF(C8:E25,$B28)+COUNTIF(C8:E25,$B28&amp;" ~*")&gt;0)+(COUNTIF(G8:I25,$B28)+COUNTIF(G8:I25,$B28&amp;" ~*")&gt;0)+(COUNTIF(K8:M25,$B28)+COUNTIF(K8:M25,$B28&amp;" ~*")&gt;0)+(COUNTIF(O8:Q25,$B28)+COUNTIF(O8:Q25,$B28&amp;" ~*")&gt;0)+(COUNTIF(S8:U25,$B28)+COUNTIF(S8:U25,$B28&amp;" ~*")&gt;0)+(COUNTIF(W8:W25,$B28)+COUNTIF(W8:W25,$B28&amp;" ~*")&gt;0)+(COUNTIF(Y8:Y25,$B28)+COUNTIF(Y8:Y25,$B28&amp;" ~*")&gt;0))</f>
        <v/>
      </c>
      <c r="AC28" s="38">
        <f>IF($B28="","",(IFERROR(INDEX(Setup!$G$33:$G$40,MATCH(C28,Setup!$B$33:$B$40,0)),0)=1)*(COUNTIF(C8:E25,$B28)+COUNTIF(C8:E25,$B28&amp;" ~*")&gt;0)+(IFERROR(INDEX(Setup!$G$33:$G$40,MATCH(G28,Setup!$B$33:$B$40,0)),0)=1)*(COUNTIF(G8:I25,$B28)+COUNTIF(G8:I25,$B28&amp;" ~*")&gt;0)+(IFERROR(INDEX(Setup!$G$33:$G$40,MATCH(K28,Setup!$B$33:$B$40,0)),0)=1)*(COUNTIF(K8:M25,$B28)+COUNTIF(K8:M25,$B28&amp;" ~*")&gt;0)+(IFERROR(INDEX(Setup!$G$33:$G$40,MATCH(O28,Setup!$B$33:$B$40,0)),0)=1)*(COUNTIF(O8:Q25,$B28)+COUNTIF(O8:Q25,$B28&amp;" ~*")&gt;0)+(IFERROR(INDEX(Setup!$G$33:$G$40,MATCH(S28,Setup!$B$33:$B$40,0)),0)=1)*(COUNTIF(S8:U25,$B28)+COUNTIF(S8:U25,$B28&amp;" ~*")&gt;0)+(IFERROR(INDEX(Setup!$G$33:$G$40,MATCH(W28,Setup!$B$33:$B$40,0)),0)=1)*(COUNTIF(W8:W25,$B28)+COUNTIF(W8:W25,$B28&amp;" ~*")&gt;0)+(IFERROR(INDEX(Setup!$G$33:$G$40,MATCH(Y28,Setup!$B$33:$B$40,0)),0)=1)*(COUNTIF(Y8:Y25,$B28)+COUNTIF(Y8:Y25,$B28&amp;" ~*")&gt;0))</f>
        <v/>
      </c>
    </row>
    <row r="29" ht="15" customHeight="1">
      <c r="A29" t="n">
        <v>1</v>
      </c>
      <c r="B29" s="35">
        <f>IF(Setup!$B$8="","",Setup!$B$8)</f>
        <v/>
      </c>
      <c r="C29" s="98" t="n"/>
      <c r="D29" s="99" t="n"/>
      <c r="E29" s="99" t="n"/>
      <c r="F29" s="100" t="n"/>
      <c r="G29" s="98" t="n"/>
      <c r="H29" s="99" t="n"/>
      <c r="I29" s="99" t="n"/>
      <c r="J29" s="100" t="n"/>
      <c r="K29" s="98" t="n"/>
      <c r="L29" s="99" t="n"/>
      <c r="M29" s="99" t="n"/>
      <c r="N29" s="100" t="n"/>
      <c r="O29" s="98" t="n"/>
      <c r="P29" s="99" t="n"/>
      <c r="Q29" s="99" t="n"/>
      <c r="R29" s="100" t="n"/>
      <c r="S29" s="98" t="n"/>
      <c r="T29" s="99" t="n"/>
      <c r="U29" s="99" t="n"/>
      <c r="V29" s="100" t="n"/>
      <c r="W29" s="98" t="n"/>
      <c r="X29" s="100" t="n"/>
      <c r="Y29" s="98" t="n"/>
      <c r="Z29" s="100" t="n"/>
      <c r="AB29" s="101">
        <f>IF($B29="","",(COUNTIF(C8:E25,$B29)+COUNTIF(C8:E25,$B29&amp;" ~*")&gt;0)+(COUNTIF(G8:I25,$B29)+COUNTIF(G8:I25,$B29&amp;" ~*")&gt;0)+(COUNTIF(K8:M25,$B29)+COUNTIF(K8:M25,$B29&amp;" ~*")&gt;0)+(COUNTIF(O8:Q25,$B29)+COUNTIF(O8:Q25,$B29&amp;" ~*")&gt;0)+(COUNTIF(S8:U25,$B29)+COUNTIF(S8:U25,$B29&amp;" ~*")&gt;0)+(COUNTIF(W8:W25,$B29)+COUNTIF(W8:W25,$B29&amp;" ~*")&gt;0)+(COUNTIF(Y8:Y25,$B29)+COUNTIF(Y8:Y25,$B29&amp;" ~*")&gt;0))</f>
        <v/>
      </c>
      <c r="AC29" s="36">
        <f>IF($B29="","",(IFERROR(INDEX(Setup!$G$33:$G$40,MATCH(C29,Setup!$B$33:$B$40,0)),0)=1)*(COUNTIF(C8:E25,$B29)+COUNTIF(C8:E25,$B29&amp;" ~*")&gt;0)+(IFERROR(INDEX(Setup!$G$33:$G$40,MATCH(G29,Setup!$B$33:$B$40,0)),0)=1)*(COUNTIF(G8:I25,$B29)+COUNTIF(G8:I25,$B29&amp;" ~*")&gt;0)+(IFERROR(INDEX(Setup!$G$33:$G$40,MATCH(K29,Setup!$B$33:$B$40,0)),0)=1)*(COUNTIF(K8:M25,$B29)+COUNTIF(K8:M25,$B29&amp;" ~*")&gt;0)+(IFERROR(INDEX(Setup!$G$33:$G$40,MATCH(O29,Setup!$B$33:$B$40,0)),0)=1)*(COUNTIF(O8:Q25,$B29)+COUNTIF(O8:Q25,$B29&amp;" ~*")&gt;0)+(IFERROR(INDEX(Setup!$G$33:$G$40,MATCH(S29,Setup!$B$33:$B$40,0)),0)=1)*(COUNTIF(S8:U25,$B29)+COUNTIF(S8:U25,$B29&amp;" ~*")&gt;0)+(IFERROR(INDEX(Setup!$G$33:$G$40,MATCH(W29,Setup!$B$33:$B$40,0)),0)=1)*(COUNTIF(W8:W25,$B29)+COUNTIF(W8:W25,$B29&amp;" ~*")&gt;0)+(IFERROR(INDEX(Setup!$G$33:$G$40,MATCH(Y29,Setup!$B$33:$B$40,0)),0)=1)*(COUNTIF(Y8:Y25,$B29)+COUNTIF(Y8:Y25,$B29&amp;" ~*")&gt;0))</f>
        <v/>
      </c>
    </row>
    <row r="30" ht="15" customHeight="1">
      <c r="A30" t="n">
        <v>1</v>
      </c>
      <c r="B30" s="37">
        <f>IF(Setup!$B$9="","",Setup!$B$9)</f>
        <v/>
      </c>
      <c r="C30" s="102" t="n"/>
      <c r="D30" s="103" t="n"/>
      <c r="E30" s="103" t="n"/>
      <c r="F30" s="104" t="n"/>
      <c r="G30" s="102" t="n"/>
      <c r="H30" s="103" t="n"/>
      <c r="I30" s="103" t="n"/>
      <c r="J30" s="104" t="n"/>
      <c r="K30" s="102" t="n"/>
      <c r="L30" s="103" t="n"/>
      <c r="M30" s="103" t="n"/>
      <c r="N30" s="104" t="n"/>
      <c r="O30" s="102" t="n"/>
      <c r="P30" s="103" t="n"/>
      <c r="Q30" s="103" t="n"/>
      <c r="R30" s="104" t="n"/>
      <c r="S30" s="102" t="n"/>
      <c r="T30" s="103" t="n"/>
      <c r="U30" s="103" t="n"/>
      <c r="V30" s="104" t="n"/>
      <c r="W30" s="102" t="n"/>
      <c r="X30" s="104" t="n"/>
      <c r="Y30" s="102" t="n"/>
      <c r="Z30" s="104" t="n"/>
      <c r="AB30" s="105">
        <f>IF($B30="","",(COUNTIF(C8:E25,$B30)+COUNTIF(C8:E25,$B30&amp;" ~*")&gt;0)+(COUNTIF(G8:I25,$B30)+COUNTIF(G8:I25,$B30&amp;" ~*")&gt;0)+(COUNTIF(K8:M25,$B30)+COUNTIF(K8:M25,$B30&amp;" ~*")&gt;0)+(COUNTIF(O8:Q25,$B30)+COUNTIF(O8:Q25,$B30&amp;" ~*")&gt;0)+(COUNTIF(S8:U25,$B30)+COUNTIF(S8:U25,$B30&amp;" ~*")&gt;0)+(COUNTIF(W8:W25,$B30)+COUNTIF(W8:W25,$B30&amp;" ~*")&gt;0)+(COUNTIF(Y8:Y25,$B30)+COUNTIF(Y8:Y25,$B30&amp;" ~*")&gt;0))</f>
        <v/>
      </c>
      <c r="AC30" s="38">
        <f>IF($B30="","",(IFERROR(INDEX(Setup!$G$33:$G$40,MATCH(C30,Setup!$B$33:$B$40,0)),0)=1)*(COUNTIF(C8:E25,$B30)+COUNTIF(C8:E25,$B30&amp;" ~*")&gt;0)+(IFERROR(INDEX(Setup!$G$33:$G$40,MATCH(G30,Setup!$B$33:$B$40,0)),0)=1)*(COUNTIF(G8:I25,$B30)+COUNTIF(G8:I25,$B30&amp;" ~*")&gt;0)+(IFERROR(INDEX(Setup!$G$33:$G$40,MATCH(K30,Setup!$B$33:$B$40,0)),0)=1)*(COUNTIF(K8:M25,$B30)+COUNTIF(K8:M25,$B30&amp;" ~*")&gt;0)+(IFERROR(INDEX(Setup!$G$33:$G$40,MATCH(O30,Setup!$B$33:$B$40,0)),0)=1)*(COUNTIF(O8:Q25,$B30)+COUNTIF(O8:Q25,$B30&amp;" ~*")&gt;0)+(IFERROR(INDEX(Setup!$G$33:$G$40,MATCH(S30,Setup!$B$33:$B$40,0)),0)=1)*(COUNTIF(S8:U25,$B30)+COUNTIF(S8:U25,$B30&amp;" ~*")&gt;0)+(IFERROR(INDEX(Setup!$G$33:$G$40,MATCH(W30,Setup!$B$33:$B$40,0)),0)=1)*(COUNTIF(W8:W25,$B30)+COUNTIF(W8:W25,$B30&amp;" ~*")&gt;0)+(IFERROR(INDEX(Setup!$G$33:$G$40,MATCH(Y30,Setup!$B$33:$B$40,0)),0)=1)*(COUNTIF(Y8:Y25,$B30)+COUNTIF(Y8:Y25,$B30&amp;" ~*")&gt;0))</f>
        <v/>
      </c>
    </row>
    <row r="31" ht="15" customHeight="1">
      <c r="A31" t="n">
        <v>1</v>
      </c>
      <c r="B31" s="35">
        <f>IF(Setup!$B$10="","",Setup!$B$10)</f>
        <v/>
      </c>
      <c r="C31" s="98" t="n"/>
      <c r="D31" s="99" t="n"/>
      <c r="E31" s="99" t="n"/>
      <c r="F31" s="100" t="n"/>
      <c r="G31" s="98" t="n"/>
      <c r="H31" s="99" t="n"/>
      <c r="I31" s="99" t="n"/>
      <c r="J31" s="100" t="n"/>
      <c r="K31" s="98" t="n"/>
      <c r="L31" s="99" t="n"/>
      <c r="M31" s="99" t="n"/>
      <c r="N31" s="100" t="n"/>
      <c r="O31" s="98" t="n"/>
      <c r="P31" s="99" t="n"/>
      <c r="Q31" s="99" t="n"/>
      <c r="R31" s="100" t="n"/>
      <c r="S31" s="98" t="n"/>
      <c r="T31" s="99" t="n"/>
      <c r="U31" s="99" t="n"/>
      <c r="V31" s="100" t="n"/>
      <c r="W31" s="98" t="n"/>
      <c r="X31" s="100" t="n"/>
      <c r="Y31" s="98" t="n"/>
      <c r="Z31" s="100" t="n"/>
      <c r="AB31" s="101">
        <f>IF($B31="","",(COUNTIF(C8:E25,$B31)+COUNTIF(C8:E25,$B31&amp;" ~*")&gt;0)+(COUNTIF(G8:I25,$B31)+COUNTIF(G8:I25,$B31&amp;" ~*")&gt;0)+(COUNTIF(K8:M25,$B31)+COUNTIF(K8:M25,$B31&amp;" ~*")&gt;0)+(COUNTIF(O8:Q25,$B31)+COUNTIF(O8:Q25,$B31&amp;" ~*")&gt;0)+(COUNTIF(S8:U25,$B31)+COUNTIF(S8:U25,$B31&amp;" ~*")&gt;0)+(COUNTIF(W8:W25,$B31)+COUNTIF(W8:W25,$B31&amp;" ~*")&gt;0)+(COUNTIF(Y8:Y25,$B31)+COUNTIF(Y8:Y25,$B31&amp;" ~*")&gt;0))</f>
        <v/>
      </c>
      <c r="AC31" s="36">
        <f>IF($B31="","",(IFERROR(INDEX(Setup!$G$33:$G$40,MATCH(C31,Setup!$B$33:$B$40,0)),0)=1)*(COUNTIF(C8:E25,$B31)+COUNTIF(C8:E25,$B31&amp;" ~*")&gt;0)+(IFERROR(INDEX(Setup!$G$33:$G$40,MATCH(G31,Setup!$B$33:$B$40,0)),0)=1)*(COUNTIF(G8:I25,$B31)+COUNTIF(G8:I25,$B31&amp;" ~*")&gt;0)+(IFERROR(INDEX(Setup!$G$33:$G$40,MATCH(K31,Setup!$B$33:$B$40,0)),0)=1)*(COUNTIF(K8:M25,$B31)+COUNTIF(K8:M25,$B31&amp;" ~*")&gt;0)+(IFERROR(INDEX(Setup!$G$33:$G$40,MATCH(O31,Setup!$B$33:$B$40,0)),0)=1)*(COUNTIF(O8:Q25,$B31)+COUNTIF(O8:Q25,$B31&amp;" ~*")&gt;0)+(IFERROR(INDEX(Setup!$G$33:$G$40,MATCH(S31,Setup!$B$33:$B$40,0)),0)=1)*(COUNTIF(S8:U25,$B31)+COUNTIF(S8:U25,$B31&amp;" ~*")&gt;0)+(IFERROR(INDEX(Setup!$G$33:$G$40,MATCH(W31,Setup!$B$33:$B$40,0)),0)=1)*(COUNTIF(W8:W25,$B31)+COUNTIF(W8:W25,$B31&amp;" ~*")&gt;0)+(IFERROR(INDEX(Setup!$G$33:$G$40,MATCH(Y31,Setup!$B$33:$B$40,0)),0)=1)*(COUNTIF(Y8:Y25,$B31)+COUNTIF(Y8:Y25,$B31&amp;" ~*")&gt;0))</f>
        <v/>
      </c>
    </row>
    <row r="32" ht="15" customHeight="1">
      <c r="A32" t="n">
        <v>1</v>
      </c>
      <c r="B32" s="37">
        <f>IF(Setup!$B$11="","",Setup!$B$11)</f>
        <v/>
      </c>
      <c r="C32" s="102" t="n"/>
      <c r="D32" s="103" t="n"/>
      <c r="E32" s="103" t="n"/>
      <c r="F32" s="104" t="n"/>
      <c r="G32" s="102" t="n"/>
      <c r="H32" s="103" t="n"/>
      <c r="I32" s="103" t="n"/>
      <c r="J32" s="104" t="n"/>
      <c r="K32" s="102" t="n"/>
      <c r="L32" s="103" t="n"/>
      <c r="M32" s="103" t="n"/>
      <c r="N32" s="104" t="n"/>
      <c r="O32" s="102" t="n"/>
      <c r="P32" s="103" t="n"/>
      <c r="Q32" s="103" t="n"/>
      <c r="R32" s="104" t="n"/>
      <c r="S32" s="102" t="n"/>
      <c r="T32" s="103" t="n"/>
      <c r="U32" s="103" t="n"/>
      <c r="V32" s="104" t="n"/>
      <c r="W32" s="102" t="n"/>
      <c r="X32" s="104" t="n"/>
      <c r="Y32" s="102" t="n"/>
      <c r="Z32" s="104" t="n"/>
      <c r="AB32" s="105">
        <f>IF($B32="","",(COUNTIF(C8:E25,$B32)+COUNTIF(C8:E25,$B32&amp;" ~*")&gt;0)+(COUNTIF(G8:I25,$B32)+COUNTIF(G8:I25,$B32&amp;" ~*")&gt;0)+(COUNTIF(K8:M25,$B32)+COUNTIF(K8:M25,$B32&amp;" ~*")&gt;0)+(COUNTIF(O8:Q25,$B32)+COUNTIF(O8:Q25,$B32&amp;" ~*")&gt;0)+(COUNTIF(S8:U25,$B32)+COUNTIF(S8:U25,$B32&amp;" ~*")&gt;0)+(COUNTIF(W8:W25,$B32)+COUNTIF(W8:W25,$B32&amp;" ~*")&gt;0)+(COUNTIF(Y8:Y25,$B32)+COUNTIF(Y8:Y25,$B32&amp;" ~*")&gt;0))</f>
        <v/>
      </c>
      <c r="AC32" s="38">
        <f>IF($B32="","",(IFERROR(INDEX(Setup!$G$33:$G$40,MATCH(C32,Setup!$B$33:$B$40,0)),0)=1)*(COUNTIF(C8:E25,$B32)+COUNTIF(C8:E25,$B32&amp;" ~*")&gt;0)+(IFERROR(INDEX(Setup!$G$33:$G$40,MATCH(G32,Setup!$B$33:$B$40,0)),0)=1)*(COUNTIF(G8:I25,$B32)+COUNTIF(G8:I25,$B32&amp;" ~*")&gt;0)+(IFERROR(INDEX(Setup!$G$33:$G$40,MATCH(K32,Setup!$B$33:$B$40,0)),0)=1)*(COUNTIF(K8:M25,$B32)+COUNTIF(K8:M25,$B32&amp;" ~*")&gt;0)+(IFERROR(INDEX(Setup!$G$33:$G$40,MATCH(O32,Setup!$B$33:$B$40,0)),0)=1)*(COUNTIF(O8:Q25,$B32)+COUNTIF(O8:Q25,$B32&amp;" ~*")&gt;0)+(IFERROR(INDEX(Setup!$G$33:$G$40,MATCH(S32,Setup!$B$33:$B$40,0)),0)=1)*(COUNTIF(S8:U25,$B32)+COUNTIF(S8:U25,$B32&amp;" ~*")&gt;0)+(IFERROR(INDEX(Setup!$G$33:$G$40,MATCH(W32,Setup!$B$33:$B$40,0)),0)=1)*(COUNTIF(W8:W25,$B32)+COUNTIF(W8:W25,$B32&amp;" ~*")&gt;0)+(IFERROR(INDEX(Setup!$G$33:$G$40,MATCH(Y32,Setup!$B$33:$B$40,0)),0)=1)*(COUNTIF(Y8:Y25,$B32)+COUNTIF(Y8:Y25,$B32&amp;" ~*")&gt;0))</f>
        <v/>
      </c>
    </row>
    <row r="33" ht="15" customHeight="1">
      <c r="A33" t="n">
        <v>1</v>
      </c>
      <c r="B33" s="35">
        <f>IF(Setup!$B$12="","",Setup!$B$12)</f>
        <v/>
      </c>
      <c r="C33" s="98" t="n"/>
      <c r="D33" s="99" t="n"/>
      <c r="E33" s="99" t="n"/>
      <c r="F33" s="100" t="n"/>
      <c r="G33" s="98" t="n"/>
      <c r="H33" s="99" t="n"/>
      <c r="I33" s="99" t="n"/>
      <c r="J33" s="100" t="n"/>
      <c r="K33" s="98" t="n"/>
      <c r="L33" s="99" t="n"/>
      <c r="M33" s="99" t="n"/>
      <c r="N33" s="100" t="n"/>
      <c r="O33" s="98" t="n"/>
      <c r="P33" s="99" t="n"/>
      <c r="Q33" s="99" t="n"/>
      <c r="R33" s="100" t="n"/>
      <c r="S33" s="98" t="n"/>
      <c r="T33" s="99" t="n"/>
      <c r="U33" s="99" t="n"/>
      <c r="V33" s="100" t="n"/>
      <c r="W33" s="98" t="n"/>
      <c r="X33" s="100" t="n"/>
      <c r="Y33" s="98" t="n"/>
      <c r="Z33" s="100" t="n"/>
      <c r="AB33" s="101">
        <f>IF($B33="","",(COUNTIF(C8:E25,$B33)+COUNTIF(C8:E25,$B33&amp;" ~*")&gt;0)+(COUNTIF(G8:I25,$B33)+COUNTIF(G8:I25,$B33&amp;" ~*")&gt;0)+(COUNTIF(K8:M25,$B33)+COUNTIF(K8:M25,$B33&amp;" ~*")&gt;0)+(COUNTIF(O8:Q25,$B33)+COUNTIF(O8:Q25,$B33&amp;" ~*")&gt;0)+(COUNTIF(S8:U25,$B33)+COUNTIF(S8:U25,$B33&amp;" ~*")&gt;0)+(COUNTIF(W8:W25,$B33)+COUNTIF(W8:W25,$B33&amp;" ~*")&gt;0)+(COUNTIF(Y8:Y25,$B33)+COUNTIF(Y8:Y25,$B33&amp;" ~*")&gt;0))</f>
        <v/>
      </c>
      <c r="AC33" s="36">
        <f>IF($B33="","",(IFERROR(INDEX(Setup!$G$33:$G$40,MATCH(C33,Setup!$B$33:$B$40,0)),0)=1)*(COUNTIF(C8:E25,$B33)+COUNTIF(C8:E25,$B33&amp;" ~*")&gt;0)+(IFERROR(INDEX(Setup!$G$33:$G$40,MATCH(G33,Setup!$B$33:$B$40,0)),0)=1)*(COUNTIF(G8:I25,$B33)+COUNTIF(G8:I25,$B33&amp;" ~*")&gt;0)+(IFERROR(INDEX(Setup!$G$33:$G$40,MATCH(K33,Setup!$B$33:$B$40,0)),0)=1)*(COUNTIF(K8:M25,$B33)+COUNTIF(K8:M25,$B33&amp;" ~*")&gt;0)+(IFERROR(INDEX(Setup!$G$33:$G$40,MATCH(O33,Setup!$B$33:$B$40,0)),0)=1)*(COUNTIF(O8:Q25,$B33)+COUNTIF(O8:Q25,$B33&amp;" ~*")&gt;0)+(IFERROR(INDEX(Setup!$G$33:$G$40,MATCH(S33,Setup!$B$33:$B$40,0)),0)=1)*(COUNTIF(S8:U25,$B33)+COUNTIF(S8:U25,$B33&amp;" ~*")&gt;0)+(IFERROR(INDEX(Setup!$G$33:$G$40,MATCH(W33,Setup!$B$33:$B$40,0)),0)=1)*(COUNTIF(W8:W25,$B33)+COUNTIF(W8:W25,$B33&amp;" ~*")&gt;0)+(IFERROR(INDEX(Setup!$G$33:$G$40,MATCH(Y33,Setup!$B$33:$B$40,0)),0)=1)*(COUNTIF(Y8:Y25,$B33)+COUNTIF(Y8:Y25,$B33&amp;" ~*")&gt;0))</f>
        <v/>
      </c>
    </row>
    <row r="34" ht="15" customHeight="1">
      <c r="A34" t="n">
        <v>1</v>
      </c>
      <c r="B34" s="37">
        <f>IF(Setup!$B$13="","",Setup!$B$13)</f>
        <v/>
      </c>
      <c r="C34" s="102" t="inlineStr">
        <is>
          <t>AL</t>
        </is>
      </c>
      <c r="D34" s="103" t="n"/>
      <c r="E34" s="103" t="n"/>
      <c r="F34" s="104" t="n"/>
      <c r="G34" s="102" t="inlineStr">
        <is>
          <t>AL</t>
        </is>
      </c>
      <c r="H34" s="103" t="n"/>
      <c r="I34" s="103" t="n"/>
      <c r="J34" s="104" t="n"/>
      <c r="K34" s="102" t="inlineStr">
        <is>
          <t>AL</t>
        </is>
      </c>
      <c r="L34" s="103" t="n"/>
      <c r="M34" s="103" t="n"/>
      <c r="N34" s="104" t="n"/>
      <c r="O34" s="102" t="inlineStr">
        <is>
          <t>AL</t>
        </is>
      </c>
      <c r="P34" s="103" t="n"/>
      <c r="Q34" s="103" t="n"/>
      <c r="R34" s="104" t="n"/>
      <c r="S34" s="102" t="inlineStr">
        <is>
          <t>AL</t>
        </is>
      </c>
      <c r="T34" s="103" t="n"/>
      <c r="U34" s="103" t="n"/>
      <c r="V34" s="104" t="n"/>
      <c r="W34" s="102" t="n"/>
      <c r="X34" s="104" t="n"/>
      <c r="Y34" s="102" t="n"/>
      <c r="Z34" s="104" t="n"/>
      <c r="AB34" s="105">
        <f>IF($B34="","",(COUNTIF(C8:E25,$B34)+COUNTIF(C8:E25,$B34&amp;" ~*")&gt;0)+(COUNTIF(G8:I25,$B34)+COUNTIF(G8:I25,$B34&amp;" ~*")&gt;0)+(COUNTIF(K8:M25,$B34)+COUNTIF(K8:M25,$B34&amp;" ~*")&gt;0)+(COUNTIF(O8:Q25,$B34)+COUNTIF(O8:Q25,$B34&amp;" ~*")&gt;0)+(COUNTIF(S8:U25,$B34)+COUNTIF(S8:U25,$B34&amp;" ~*")&gt;0)+(COUNTIF(W8:W25,$B34)+COUNTIF(W8:W25,$B34&amp;" ~*")&gt;0)+(COUNTIF(Y8:Y25,$B34)+COUNTIF(Y8:Y25,$B34&amp;" ~*")&gt;0))</f>
        <v/>
      </c>
      <c r="AC34" s="38">
        <f>IF($B34="","",(IFERROR(INDEX(Setup!$G$33:$G$40,MATCH(C34,Setup!$B$33:$B$40,0)),0)=1)*(COUNTIF(C8:E25,$B34)+COUNTIF(C8:E25,$B34&amp;" ~*")&gt;0)+(IFERROR(INDEX(Setup!$G$33:$G$40,MATCH(G34,Setup!$B$33:$B$40,0)),0)=1)*(COUNTIF(G8:I25,$B34)+COUNTIF(G8:I25,$B34&amp;" ~*")&gt;0)+(IFERROR(INDEX(Setup!$G$33:$G$40,MATCH(K34,Setup!$B$33:$B$40,0)),0)=1)*(COUNTIF(K8:M25,$B34)+COUNTIF(K8:M25,$B34&amp;" ~*")&gt;0)+(IFERROR(INDEX(Setup!$G$33:$G$40,MATCH(O34,Setup!$B$33:$B$40,0)),0)=1)*(COUNTIF(O8:Q25,$B34)+COUNTIF(O8:Q25,$B34&amp;" ~*")&gt;0)+(IFERROR(INDEX(Setup!$G$33:$G$40,MATCH(S34,Setup!$B$33:$B$40,0)),0)=1)*(COUNTIF(S8:U25,$B34)+COUNTIF(S8:U25,$B34&amp;" ~*")&gt;0)+(IFERROR(INDEX(Setup!$G$33:$G$40,MATCH(W34,Setup!$B$33:$B$40,0)),0)=1)*(COUNTIF(W8:W25,$B34)+COUNTIF(W8:W25,$B34&amp;" ~*")&gt;0)+(IFERROR(INDEX(Setup!$G$33:$G$40,MATCH(Y34,Setup!$B$33:$B$40,0)),0)=1)*(COUNTIF(Y8:Y25,$B34)+COUNTIF(Y8:Y25,$B34&amp;" ~*")&gt;0))</f>
        <v/>
      </c>
    </row>
    <row r="35" ht="15" customHeight="1">
      <c r="A35" t="n">
        <v>1</v>
      </c>
      <c r="B35" s="35">
        <f>IF(Setup!$B$14="","",Setup!$B$14)</f>
        <v/>
      </c>
      <c r="C35" s="98" t="n"/>
      <c r="D35" s="99" t="n"/>
      <c r="E35" s="99" t="n"/>
      <c r="F35" s="100" t="n"/>
      <c r="G35" s="98" t="n"/>
      <c r="H35" s="99" t="n"/>
      <c r="I35" s="99" t="n"/>
      <c r="J35" s="100" t="n"/>
      <c r="K35" s="98" t="n"/>
      <c r="L35" s="99" t="n"/>
      <c r="M35" s="99" t="n"/>
      <c r="N35" s="100" t="n"/>
      <c r="O35" s="98" t="n"/>
      <c r="P35" s="99" t="n"/>
      <c r="Q35" s="99" t="n"/>
      <c r="R35" s="100" t="n"/>
      <c r="S35" s="98" t="n"/>
      <c r="T35" s="99" t="n"/>
      <c r="U35" s="99" t="n"/>
      <c r="V35" s="100" t="n"/>
      <c r="W35" s="98" t="n"/>
      <c r="X35" s="100" t="n"/>
      <c r="Y35" s="98" t="n"/>
      <c r="Z35" s="100" t="n"/>
      <c r="AB35" s="101">
        <f>IF($B35="","",(COUNTIF(C8:E25,$B35)+COUNTIF(C8:E25,$B35&amp;" ~*")&gt;0)+(COUNTIF(G8:I25,$B35)+COUNTIF(G8:I25,$B35&amp;" ~*")&gt;0)+(COUNTIF(K8:M25,$B35)+COUNTIF(K8:M25,$B35&amp;" ~*")&gt;0)+(COUNTIF(O8:Q25,$B35)+COUNTIF(O8:Q25,$B35&amp;" ~*")&gt;0)+(COUNTIF(S8:U25,$B35)+COUNTIF(S8:U25,$B35&amp;" ~*")&gt;0)+(COUNTIF(W8:W25,$B35)+COUNTIF(W8:W25,$B35&amp;" ~*")&gt;0)+(COUNTIF(Y8:Y25,$B35)+COUNTIF(Y8:Y25,$B35&amp;" ~*")&gt;0))</f>
        <v/>
      </c>
      <c r="AC35" s="36">
        <f>IF($B35="","",(IFERROR(INDEX(Setup!$G$33:$G$40,MATCH(C35,Setup!$B$33:$B$40,0)),0)=1)*(COUNTIF(C8:E25,$B35)+COUNTIF(C8:E25,$B35&amp;" ~*")&gt;0)+(IFERROR(INDEX(Setup!$G$33:$G$40,MATCH(G35,Setup!$B$33:$B$40,0)),0)=1)*(COUNTIF(G8:I25,$B35)+COUNTIF(G8:I25,$B35&amp;" ~*")&gt;0)+(IFERROR(INDEX(Setup!$G$33:$G$40,MATCH(K35,Setup!$B$33:$B$40,0)),0)=1)*(COUNTIF(K8:M25,$B35)+COUNTIF(K8:M25,$B35&amp;" ~*")&gt;0)+(IFERROR(INDEX(Setup!$G$33:$G$40,MATCH(O35,Setup!$B$33:$B$40,0)),0)=1)*(COUNTIF(O8:Q25,$B35)+COUNTIF(O8:Q25,$B35&amp;" ~*")&gt;0)+(IFERROR(INDEX(Setup!$G$33:$G$40,MATCH(S35,Setup!$B$33:$B$40,0)),0)=1)*(COUNTIF(S8:U25,$B35)+COUNTIF(S8:U25,$B35&amp;" ~*")&gt;0)+(IFERROR(INDEX(Setup!$G$33:$G$40,MATCH(W35,Setup!$B$33:$B$40,0)),0)=1)*(COUNTIF(W8:W25,$B35)+COUNTIF(W8:W25,$B35&amp;" ~*")&gt;0)+(IFERROR(INDEX(Setup!$G$33:$G$40,MATCH(Y35,Setup!$B$33:$B$40,0)),0)=1)*(COUNTIF(Y8:Y25,$B35)+COUNTIF(Y8:Y25,$B35&amp;" ~*")&gt;0))</f>
        <v/>
      </c>
    </row>
    <row r="36" ht="15" customHeight="1">
      <c r="A36" t="n">
        <v>1</v>
      </c>
      <c r="B36" s="37">
        <f>IF(Setup!$B$15="","",Setup!$B$15)</f>
        <v/>
      </c>
      <c r="C36" s="102" t="n"/>
      <c r="D36" s="103" t="n"/>
      <c r="E36" s="103" t="n"/>
      <c r="F36" s="104" t="n"/>
      <c r="G36" s="102" t="n"/>
      <c r="H36" s="103" t="n"/>
      <c r="I36" s="103" t="n"/>
      <c r="J36" s="104" t="n"/>
      <c r="K36" s="102" t="n"/>
      <c r="L36" s="103" t="n"/>
      <c r="M36" s="103" t="n"/>
      <c r="N36" s="104" t="n"/>
      <c r="O36" s="102" t="n"/>
      <c r="P36" s="103" t="n"/>
      <c r="Q36" s="103" t="n"/>
      <c r="R36" s="104" t="n"/>
      <c r="S36" s="102" t="n"/>
      <c r="T36" s="103" t="n"/>
      <c r="U36" s="103" t="n"/>
      <c r="V36" s="104" t="n"/>
      <c r="W36" s="102" t="n"/>
      <c r="X36" s="104" t="n"/>
      <c r="Y36" s="102" t="n"/>
      <c r="Z36" s="104" t="n"/>
      <c r="AB36" s="105">
        <f>IF($B36="","",(COUNTIF(C8:E25,$B36)+COUNTIF(C8:E25,$B36&amp;" ~*")&gt;0)+(COUNTIF(G8:I25,$B36)+COUNTIF(G8:I25,$B36&amp;" ~*")&gt;0)+(COUNTIF(K8:M25,$B36)+COUNTIF(K8:M25,$B36&amp;" ~*")&gt;0)+(COUNTIF(O8:Q25,$B36)+COUNTIF(O8:Q25,$B36&amp;" ~*")&gt;0)+(COUNTIF(S8:U25,$B36)+COUNTIF(S8:U25,$B36&amp;" ~*")&gt;0)+(COUNTIF(W8:W25,$B36)+COUNTIF(W8:W25,$B36&amp;" ~*")&gt;0)+(COUNTIF(Y8:Y25,$B36)+COUNTIF(Y8:Y25,$B36&amp;" ~*")&gt;0))</f>
        <v/>
      </c>
      <c r="AC36" s="38">
        <f>IF($B36="","",(IFERROR(INDEX(Setup!$G$33:$G$40,MATCH(C36,Setup!$B$33:$B$40,0)),0)=1)*(COUNTIF(C8:E25,$B36)+COUNTIF(C8:E25,$B36&amp;" ~*")&gt;0)+(IFERROR(INDEX(Setup!$G$33:$G$40,MATCH(G36,Setup!$B$33:$B$40,0)),0)=1)*(COUNTIF(G8:I25,$B36)+COUNTIF(G8:I25,$B36&amp;" ~*")&gt;0)+(IFERROR(INDEX(Setup!$G$33:$G$40,MATCH(K36,Setup!$B$33:$B$40,0)),0)=1)*(COUNTIF(K8:M25,$B36)+COUNTIF(K8:M25,$B36&amp;" ~*")&gt;0)+(IFERROR(INDEX(Setup!$G$33:$G$40,MATCH(O36,Setup!$B$33:$B$40,0)),0)=1)*(COUNTIF(O8:Q25,$B36)+COUNTIF(O8:Q25,$B36&amp;" ~*")&gt;0)+(IFERROR(INDEX(Setup!$G$33:$G$40,MATCH(S36,Setup!$B$33:$B$40,0)),0)=1)*(COUNTIF(S8:U25,$B36)+COUNTIF(S8:U25,$B36&amp;" ~*")&gt;0)+(IFERROR(INDEX(Setup!$G$33:$G$40,MATCH(W36,Setup!$B$33:$B$40,0)),0)=1)*(COUNTIF(W8:W25,$B36)+COUNTIF(W8:W25,$B36&amp;" ~*")&gt;0)+(IFERROR(INDEX(Setup!$G$33:$G$40,MATCH(Y36,Setup!$B$33:$B$40,0)),0)=1)*(COUNTIF(Y8:Y25,$B36)+COUNTIF(Y8:Y25,$B36&amp;" ~*")&gt;0))</f>
        <v/>
      </c>
    </row>
    <row r="37" ht="15" customHeight="1">
      <c r="A37" t="n">
        <v>1</v>
      </c>
      <c r="B37" s="35">
        <f>IF(Setup!$B$16="","",Setup!$B$16)</f>
        <v/>
      </c>
      <c r="C37" s="98" t="n"/>
      <c r="D37" s="99" t="n"/>
      <c r="E37" s="99" t="n"/>
      <c r="F37" s="100" t="n"/>
      <c r="G37" s="98" t="n"/>
      <c r="H37" s="99" t="n"/>
      <c r="I37" s="99" t="n"/>
      <c r="J37" s="100" t="n"/>
      <c r="K37" s="98" t="n"/>
      <c r="L37" s="99" t="n"/>
      <c r="M37" s="99" t="n"/>
      <c r="N37" s="100" t="n"/>
      <c r="O37" s="98" t="n"/>
      <c r="P37" s="99" t="n"/>
      <c r="Q37" s="99" t="n"/>
      <c r="R37" s="100" t="n"/>
      <c r="S37" s="98" t="n"/>
      <c r="T37" s="99" t="n"/>
      <c r="U37" s="99" t="n"/>
      <c r="V37" s="100" t="n"/>
      <c r="W37" s="98" t="n"/>
      <c r="X37" s="100" t="n"/>
      <c r="Y37" s="98" t="n"/>
      <c r="Z37" s="100" t="n"/>
      <c r="AB37" s="101">
        <f>IF($B37="","",(COUNTIF(C8:E25,$B37)+COUNTIF(C8:E25,$B37&amp;" ~*")&gt;0)+(COUNTIF(G8:I25,$B37)+COUNTIF(G8:I25,$B37&amp;" ~*")&gt;0)+(COUNTIF(K8:M25,$B37)+COUNTIF(K8:M25,$B37&amp;" ~*")&gt;0)+(COUNTIF(O8:Q25,$B37)+COUNTIF(O8:Q25,$B37&amp;" ~*")&gt;0)+(COUNTIF(S8:U25,$B37)+COUNTIF(S8:U25,$B37&amp;" ~*")&gt;0)+(COUNTIF(W8:W25,$B37)+COUNTIF(W8:W25,$B37&amp;" ~*")&gt;0)+(COUNTIF(Y8:Y25,$B37)+COUNTIF(Y8:Y25,$B37&amp;" ~*")&gt;0))</f>
        <v/>
      </c>
      <c r="AC37" s="36">
        <f>IF($B37="","",(IFERROR(INDEX(Setup!$G$33:$G$40,MATCH(C37,Setup!$B$33:$B$40,0)),0)=1)*(COUNTIF(C8:E25,$B37)+COUNTIF(C8:E25,$B37&amp;" ~*")&gt;0)+(IFERROR(INDEX(Setup!$G$33:$G$40,MATCH(G37,Setup!$B$33:$B$40,0)),0)=1)*(COUNTIF(G8:I25,$B37)+COUNTIF(G8:I25,$B37&amp;" ~*")&gt;0)+(IFERROR(INDEX(Setup!$G$33:$G$40,MATCH(K37,Setup!$B$33:$B$40,0)),0)=1)*(COUNTIF(K8:M25,$B37)+COUNTIF(K8:M25,$B37&amp;" ~*")&gt;0)+(IFERROR(INDEX(Setup!$G$33:$G$40,MATCH(O37,Setup!$B$33:$B$40,0)),0)=1)*(COUNTIF(O8:Q25,$B37)+COUNTIF(O8:Q25,$B37&amp;" ~*")&gt;0)+(IFERROR(INDEX(Setup!$G$33:$G$40,MATCH(S37,Setup!$B$33:$B$40,0)),0)=1)*(COUNTIF(S8:U25,$B37)+COUNTIF(S8:U25,$B37&amp;" ~*")&gt;0)+(IFERROR(INDEX(Setup!$G$33:$G$40,MATCH(W37,Setup!$B$33:$B$40,0)),0)=1)*(COUNTIF(W8:W25,$B37)+COUNTIF(W8:W25,$B37&amp;" ~*")&gt;0)+(IFERROR(INDEX(Setup!$G$33:$G$40,MATCH(Y37,Setup!$B$33:$B$40,0)),0)=1)*(COUNTIF(Y8:Y25,$B37)+COUNTIF(Y8:Y25,$B37&amp;" ~*")&gt;0))</f>
        <v/>
      </c>
    </row>
    <row r="38" ht="15" customHeight="1">
      <c r="A38" t="n">
        <v>1</v>
      </c>
      <c r="B38" s="37">
        <f>IF(Setup!$B$17="","",Setup!$B$17)</f>
        <v/>
      </c>
      <c r="C38" s="102" t="n"/>
      <c r="D38" s="103" t="n"/>
      <c r="E38" s="103" t="n"/>
      <c r="F38" s="104" t="n"/>
      <c r="G38" s="102" t="n"/>
      <c r="H38" s="103" t="n"/>
      <c r="I38" s="103" t="n"/>
      <c r="J38" s="104" t="n"/>
      <c r="K38" s="102" t="n"/>
      <c r="L38" s="103" t="n"/>
      <c r="M38" s="103" t="n"/>
      <c r="N38" s="104" t="n"/>
      <c r="O38" s="102" t="n"/>
      <c r="P38" s="103" t="n"/>
      <c r="Q38" s="103" t="n"/>
      <c r="R38" s="104" t="n"/>
      <c r="S38" s="102" t="n"/>
      <c r="T38" s="103" t="n"/>
      <c r="U38" s="103" t="n"/>
      <c r="V38" s="104" t="n"/>
      <c r="W38" s="102" t="n"/>
      <c r="X38" s="104" t="n"/>
      <c r="Y38" s="102" t="n"/>
      <c r="Z38" s="104" t="n"/>
      <c r="AB38" s="105">
        <f>IF($B38="","",(COUNTIF(C8:E25,$B38)+COUNTIF(C8:E25,$B38&amp;" ~*")&gt;0)+(COUNTIF(G8:I25,$B38)+COUNTIF(G8:I25,$B38&amp;" ~*")&gt;0)+(COUNTIF(K8:M25,$B38)+COUNTIF(K8:M25,$B38&amp;" ~*")&gt;0)+(COUNTIF(O8:Q25,$B38)+COUNTIF(O8:Q25,$B38&amp;" ~*")&gt;0)+(COUNTIF(S8:U25,$B38)+COUNTIF(S8:U25,$B38&amp;" ~*")&gt;0)+(COUNTIF(W8:W25,$B38)+COUNTIF(W8:W25,$B38&amp;" ~*")&gt;0)+(COUNTIF(Y8:Y25,$B38)+COUNTIF(Y8:Y25,$B38&amp;" ~*")&gt;0))</f>
        <v/>
      </c>
      <c r="AC38" s="38">
        <f>IF($B38="","",(IFERROR(INDEX(Setup!$G$33:$G$40,MATCH(C38,Setup!$B$33:$B$40,0)),0)=1)*(COUNTIF(C8:E25,$B38)+COUNTIF(C8:E25,$B38&amp;" ~*")&gt;0)+(IFERROR(INDEX(Setup!$G$33:$G$40,MATCH(G38,Setup!$B$33:$B$40,0)),0)=1)*(COUNTIF(G8:I25,$B38)+COUNTIF(G8:I25,$B38&amp;" ~*")&gt;0)+(IFERROR(INDEX(Setup!$G$33:$G$40,MATCH(K38,Setup!$B$33:$B$40,0)),0)=1)*(COUNTIF(K8:M25,$B38)+COUNTIF(K8:M25,$B38&amp;" ~*")&gt;0)+(IFERROR(INDEX(Setup!$G$33:$G$40,MATCH(O38,Setup!$B$33:$B$40,0)),0)=1)*(COUNTIF(O8:Q25,$B38)+COUNTIF(O8:Q25,$B38&amp;" ~*")&gt;0)+(IFERROR(INDEX(Setup!$G$33:$G$40,MATCH(S38,Setup!$B$33:$B$40,0)),0)=1)*(COUNTIF(S8:U25,$B38)+COUNTIF(S8:U25,$B38&amp;" ~*")&gt;0)+(IFERROR(INDEX(Setup!$G$33:$G$40,MATCH(W38,Setup!$B$33:$B$40,0)),0)=1)*(COUNTIF(W8:W25,$B38)+COUNTIF(W8:W25,$B38&amp;" ~*")&gt;0)+(IFERROR(INDEX(Setup!$G$33:$G$40,MATCH(Y38,Setup!$B$33:$B$40,0)),0)=1)*(COUNTIF(Y8:Y25,$B38)+COUNTIF(Y8:Y25,$B38&amp;" ~*")&gt;0))</f>
        <v/>
      </c>
    </row>
    <row r="39" ht="15" customHeight="1">
      <c r="A39" t="n">
        <v>1</v>
      </c>
      <c r="B39" s="35">
        <f>IF(Setup!$B$18="","",Setup!$B$18)</f>
        <v/>
      </c>
      <c r="C39" s="98" t="n"/>
      <c r="D39" s="99" t="n"/>
      <c r="E39" s="99" t="n"/>
      <c r="F39" s="100" t="n"/>
      <c r="G39" s="98" t="n"/>
      <c r="H39" s="99" t="n"/>
      <c r="I39" s="99" t="n"/>
      <c r="J39" s="100" t="n"/>
      <c r="K39" s="98" t="n"/>
      <c r="L39" s="99" t="n"/>
      <c r="M39" s="99" t="n"/>
      <c r="N39" s="100" t="n"/>
      <c r="O39" s="98" t="n"/>
      <c r="P39" s="99" t="n"/>
      <c r="Q39" s="99" t="n"/>
      <c r="R39" s="100" t="n"/>
      <c r="S39" s="98" t="n"/>
      <c r="T39" s="99" t="n"/>
      <c r="U39" s="99" t="n"/>
      <c r="V39" s="100" t="n"/>
      <c r="W39" s="98" t="n"/>
      <c r="X39" s="100" t="n"/>
      <c r="Y39" s="98" t="n"/>
      <c r="Z39" s="100" t="n"/>
      <c r="AB39" s="101">
        <f>IF($B39="","",(COUNTIF(C8:E25,$B39)+COUNTIF(C8:E25,$B39&amp;" ~*")&gt;0)+(COUNTIF(G8:I25,$B39)+COUNTIF(G8:I25,$B39&amp;" ~*")&gt;0)+(COUNTIF(K8:M25,$B39)+COUNTIF(K8:M25,$B39&amp;" ~*")&gt;0)+(COUNTIF(O8:Q25,$B39)+COUNTIF(O8:Q25,$B39&amp;" ~*")&gt;0)+(COUNTIF(S8:U25,$B39)+COUNTIF(S8:U25,$B39&amp;" ~*")&gt;0)+(COUNTIF(W8:W25,$B39)+COUNTIF(W8:W25,$B39&amp;" ~*")&gt;0)+(COUNTIF(Y8:Y25,$B39)+COUNTIF(Y8:Y25,$B39&amp;" ~*")&gt;0))</f>
        <v/>
      </c>
      <c r="AC39" s="36">
        <f>IF($B39="","",(IFERROR(INDEX(Setup!$G$33:$G$40,MATCH(C39,Setup!$B$33:$B$40,0)),0)=1)*(COUNTIF(C8:E25,$B39)+COUNTIF(C8:E25,$B39&amp;" ~*")&gt;0)+(IFERROR(INDEX(Setup!$G$33:$G$40,MATCH(G39,Setup!$B$33:$B$40,0)),0)=1)*(COUNTIF(G8:I25,$B39)+COUNTIF(G8:I25,$B39&amp;" ~*")&gt;0)+(IFERROR(INDEX(Setup!$G$33:$G$40,MATCH(K39,Setup!$B$33:$B$40,0)),0)=1)*(COUNTIF(K8:M25,$B39)+COUNTIF(K8:M25,$B39&amp;" ~*")&gt;0)+(IFERROR(INDEX(Setup!$G$33:$G$40,MATCH(O39,Setup!$B$33:$B$40,0)),0)=1)*(COUNTIF(O8:Q25,$B39)+COUNTIF(O8:Q25,$B39&amp;" ~*")&gt;0)+(IFERROR(INDEX(Setup!$G$33:$G$40,MATCH(S39,Setup!$B$33:$B$40,0)),0)=1)*(COUNTIF(S8:U25,$B39)+COUNTIF(S8:U25,$B39&amp;" ~*")&gt;0)+(IFERROR(INDEX(Setup!$G$33:$G$40,MATCH(W39,Setup!$B$33:$B$40,0)),0)=1)*(COUNTIF(W8:W25,$B39)+COUNTIF(W8:W25,$B39&amp;" ~*")&gt;0)+(IFERROR(INDEX(Setup!$G$33:$G$40,MATCH(Y39,Setup!$B$33:$B$40,0)),0)=1)*(COUNTIF(Y8:Y25,$B39)+COUNTIF(Y8:Y25,$B39&amp;" ~*")&gt;0))</f>
        <v/>
      </c>
    </row>
    <row r="40" ht="15" customHeight="1">
      <c r="A40" t="n">
        <v>1</v>
      </c>
      <c r="B40" s="37">
        <f>IF(Setup!$B$19="","",Setup!$B$19)</f>
        <v/>
      </c>
      <c r="C40" s="102" t="n"/>
      <c r="D40" s="103" t="n"/>
      <c r="E40" s="103" t="n"/>
      <c r="F40" s="104" t="n"/>
      <c r="G40" s="102" t="n"/>
      <c r="H40" s="103" t="n"/>
      <c r="I40" s="103" t="n"/>
      <c r="J40" s="104" t="n"/>
      <c r="K40" s="102" t="n"/>
      <c r="L40" s="103" t="n"/>
      <c r="M40" s="103" t="n"/>
      <c r="N40" s="104" t="n"/>
      <c r="O40" s="102" t="n"/>
      <c r="P40" s="103" t="n"/>
      <c r="Q40" s="103" t="n"/>
      <c r="R40" s="104" t="n"/>
      <c r="S40" s="102" t="n"/>
      <c r="T40" s="103" t="n"/>
      <c r="U40" s="103" t="n"/>
      <c r="V40" s="104" t="n"/>
      <c r="W40" s="102" t="n"/>
      <c r="X40" s="104" t="n"/>
      <c r="Y40" s="102" t="n"/>
      <c r="Z40" s="104" t="n"/>
      <c r="AB40" s="105">
        <f>IF($B40="","",(COUNTIF(C8:E25,$B40)+COUNTIF(C8:E25,$B40&amp;" ~*")&gt;0)+(COUNTIF(G8:I25,$B40)+COUNTIF(G8:I25,$B40&amp;" ~*")&gt;0)+(COUNTIF(K8:M25,$B40)+COUNTIF(K8:M25,$B40&amp;" ~*")&gt;0)+(COUNTIF(O8:Q25,$B40)+COUNTIF(O8:Q25,$B40&amp;" ~*")&gt;0)+(COUNTIF(S8:U25,$B40)+COUNTIF(S8:U25,$B40&amp;" ~*")&gt;0)+(COUNTIF(W8:W25,$B40)+COUNTIF(W8:W25,$B40&amp;" ~*")&gt;0)+(COUNTIF(Y8:Y25,$B40)+COUNTIF(Y8:Y25,$B40&amp;" ~*")&gt;0))</f>
        <v/>
      </c>
      <c r="AC40" s="38">
        <f>IF($B40="","",(IFERROR(INDEX(Setup!$G$33:$G$40,MATCH(C40,Setup!$B$33:$B$40,0)),0)=1)*(COUNTIF(C8:E25,$B40)+COUNTIF(C8:E25,$B40&amp;" ~*")&gt;0)+(IFERROR(INDEX(Setup!$G$33:$G$40,MATCH(G40,Setup!$B$33:$B$40,0)),0)=1)*(COUNTIF(G8:I25,$B40)+COUNTIF(G8:I25,$B40&amp;" ~*")&gt;0)+(IFERROR(INDEX(Setup!$G$33:$G$40,MATCH(K40,Setup!$B$33:$B$40,0)),0)=1)*(COUNTIF(K8:M25,$B40)+COUNTIF(K8:M25,$B40&amp;" ~*")&gt;0)+(IFERROR(INDEX(Setup!$G$33:$G$40,MATCH(O40,Setup!$B$33:$B$40,0)),0)=1)*(COUNTIF(O8:Q25,$B40)+COUNTIF(O8:Q25,$B40&amp;" ~*")&gt;0)+(IFERROR(INDEX(Setup!$G$33:$G$40,MATCH(S40,Setup!$B$33:$B$40,0)),0)=1)*(COUNTIF(S8:U25,$B40)+COUNTIF(S8:U25,$B40&amp;" ~*")&gt;0)+(IFERROR(INDEX(Setup!$G$33:$G$40,MATCH(W40,Setup!$B$33:$B$40,0)),0)=1)*(COUNTIF(W8:W25,$B40)+COUNTIF(W8:W25,$B40&amp;" ~*")&gt;0)+(IFERROR(INDEX(Setup!$G$33:$G$40,MATCH(Y40,Setup!$B$33:$B$40,0)),0)=1)*(COUNTIF(Y8:Y25,$B40)+COUNTIF(Y8:Y25,$B40&amp;" ~*")&gt;0))</f>
        <v/>
      </c>
    </row>
    <row r="41" ht="15" customHeight="1">
      <c r="A41" t="n">
        <v>1</v>
      </c>
      <c r="B41" s="35">
        <f>IF(Setup!$B$20="","",Setup!$B$20)</f>
        <v/>
      </c>
      <c r="C41" s="98" t="n"/>
      <c r="D41" s="99" t="n"/>
      <c r="E41" s="99" t="n"/>
      <c r="F41" s="100" t="n"/>
      <c r="G41" s="98" t="n"/>
      <c r="H41" s="99" t="n"/>
      <c r="I41" s="99" t="n"/>
      <c r="J41" s="100" t="n"/>
      <c r="K41" s="98" t="n"/>
      <c r="L41" s="99" t="n"/>
      <c r="M41" s="99" t="n"/>
      <c r="N41" s="100" t="n"/>
      <c r="O41" s="98" t="n"/>
      <c r="P41" s="99" t="n"/>
      <c r="Q41" s="99" t="n"/>
      <c r="R41" s="100" t="n"/>
      <c r="S41" s="98" t="n"/>
      <c r="T41" s="99" t="n"/>
      <c r="U41" s="99" t="n"/>
      <c r="V41" s="100" t="n"/>
      <c r="W41" s="98" t="n"/>
      <c r="X41" s="100" t="n"/>
      <c r="Y41" s="98" t="n"/>
      <c r="Z41" s="100" t="n"/>
      <c r="AB41" s="101">
        <f>IF($B41="","",(COUNTIF(C8:E25,$B41)+COUNTIF(C8:E25,$B41&amp;" ~*")&gt;0)+(COUNTIF(G8:I25,$B41)+COUNTIF(G8:I25,$B41&amp;" ~*")&gt;0)+(COUNTIF(K8:M25,$B41)+COUNTIF(K8:M25,$B41&amp;" ~*")&gt;0)+(COUNTIF(O8:Q25,$B41)+COUNTIF(O8:Q25,$B41&amp;" ~*")&gt;0)+(COUNTIF(S8:U25,$B41)+COUNTIF(S8:U25,$B41&amp;" ~*")&gt;0)+(COUNTIF(W8:W25,$B41)+COUNTIF(W8:W25,$B41&amp;" ~*")&gt;0)+(COUNTIF(Y8:Y25,$B41)+COUNTIF(Y8:Y25,$B41&amp;" ~*")&gt;0))</f>
        <v/>
      </c>
      <c r="AC41" s="36">
        <f>IF($B41="","",(IFERROR(INDEX(Setup!$G$33:$G$40,MATCH(C41,Setup!$B$33:$B$40,0)),0)=1)*(COUNTIF(C8:E25,$B41)+COUNTIF(C8:E25,$B41&amp;" ~*")&gt;0)+(IFERROR(INDEX(Setup!$G$33:$G$40,MATCH(G41,Setup!$B$33:$B$40,0)),0)=1)*(COUNTIF(G8:I25,$B41)+COUNTIF(G8:I25,$B41&amp;" ~*")&gt;0)+(IFERROR(INDEX(Setup!$G$33:$G$40,MATCH(K41,Setup!$B$33:$B$40,0)),0)=1)*(COUNTIF(K8:M25,$B41)+COUNTIF(K8:M25,$B41&amp;" ~*")&gt;0)+(IFERROR(INDEX(Setup!$G$33:$G$40,MATCH(O41,Setup!$B$33:$B$40,0)),0)=1)*(COUNTIF(O8:Q25,$B41)+COUNTIF(O8:Q25,$B41&amp;" ~*")&gt;0)+(IFERROR(INDEX(Setup!$G$33:$G$40,MATCH(S41,Setup!$B$33:$B$40,0)),0)=1)*(COUNTIF(S8:U25,$B41)+COUNTIF(S8:U25,$B41&amp;" ~*")&gt;0)+(IFERROR(INDEX(Setup!$G$33:$G$40,MATCH(W41,Setup!$B$33:$B$40,0)),0)=1)*(COUNTIF(W8:W25,$B41)+COUNTIF(W8:W25,$B41&amp;" ~*")&gt;0)+(IFERROR(INDEX(Setup!$G$33:$G$40,MATCH(Y41,Setup!$B$33:$B$40,0)),0)=1)*(COUNTIF(Y8:Y25,$B41)+COUNTIF(Y8:Y25,$B41&amp;" ~*")&gt;0))</f>
        <v/>
      </c>
    </row>
    <row r="42" ht="15" customHeight="1">
      <c r="A42" t="n">
        <v>1</v>
      </c>
      <c r="B42" s="37">
        <f>IF(Setup!$B$21="","",Setup!$B$21)</f>
        <v/>
      </c>
      <c r="C42" s="102" t="n"/>
      <c r="D42" s="103" t="n"/>
      <c r="E42" s="103" t="n"/>
      <c r="F42" s="104" t="n"/>
      <c r="G42" s="102" t="n"/>
      <c r="H42" s="103" t="n"/>
      <c r="I42" s="103" t="n"/>
      <c r="J42" s="104" t="n"/>
      <c r="K42" s="102" t="n"/>
      <c r="L42" s="103" t="n"/>
      <c r="M42" s="103" t="n"/>
      <c r="N42" s="104" t="n"/>
      <c r="O42" s="102" t="n"/>
      <c r="P42" s="103" t="n"/>
      <c r="Q42" s="103" t="n"/>
      <c r="R42" s="104" t="n"/>
      <c r="S42" s="102" t="n"/>
      <c r="T42" s="103" t="n"/>
      <c r="U42" s="103" t="n"/>
      <c r="V42" s="104" t="n"/>
      <c r="W42" s="102" t="n"/>
      <c r="X42" s="104" t="n"/>
      <c r="Y42" s="102" t="n"/>
      <c r="Z42" s="104" t="n"/>
      <c r="AB42" s="105">
        <f>IF($B42="","",(COUNTIF(C8:E25,$B42)+COUNTIF(C8:E25,$B42&amp;" ~*")&gt;0)+(COUNTIF(G8:I25,$B42)+COUNTIF(G8:I25,$B42&amp;" ~*")&gt;0)+(COUNTIF(K8:M25,$B42)+COUNTIF(K8:M25,$B42&amp;" ~*")&gt;0)+(COUNTIF(O8:Q25,$B42)+COUNTIF(O8:Q25,$B42&amp;" ~*")&gt;0)+(COUNTIF(S8:U25,$B42)+COUNTIF(S8:U25,$B42&amp;" ~*")&gt;0)+(COUNTIF(W8:W25,$B42)+COUNTIF(W8:W25,$B42&amp;" ~*")&gt;0)+(COUNTIF(Y8:Y25,$B42)+COUNTIF(Y8:Y25,$B42&amp;" ~*")&gt;0))</f>
        <v/>
      </c>
      <c r="AC42" s="38">
        <f>IF($B42="","",(IFERROR(INDEX(Setup!$G$33:$G$40,MATCH(C42,Setup!$B$33:$B$40,0)),0)=1)*(COUNTIF(C8:E25,$B42)+COUNTIF(C8:E25,$B42&amp;" ~*")&gt;0)+(IFERROR(INDEX(Setup!$G$33:$G$40,MATCH(G42,Setup!$B$33:$B$40,0)),0)=1)*(COUNTIF(G8:I25,$B42)+COUNTIF(G8:I25,$B42&amp;" ~*")&gt;0)+(IFERROR(INDEX(Setup!$G$33:$G$40,MATCH(K42,Setup!$B$33:$B$40,0)),0)=1)*(COUNTIF(K8:M25,$B42)+COUNTIF(K8:M25,$B42&amp;" ~*")&gt;0)+(IFERROR(INDEX(Setup!$G$33:$G$40,MATCH(O42,Setup!$B$33:$B$40,0)),0)=1)*(COUNTIF(O8:Q25,$B42)+COUNTIF(O8:Q25,$B42&amp;" ~*")&gt;0)+(IFERROR(INDEX(Setup!$G$33:$G$40,MATCH(S42,Setup!$B$33:$B$40,0)),0)=1)*(COUNTIF(S8:U25,$B42)+COUNTIF(S8:U25,$B42&amp;" ~*")&gt;0)+(IFERROR(INDEX(Setup!$G$33:$G$40,MATCH(W42,Setup!$B$33:$B$40,0)),0)=1)*(COUNTIF(W8:W25,$B42)+COUNTIF(W8:W25,$B42&amp;" ~*")&gt;0)+(IFERROR(INDEX(Setup!$G$33:$G$40,MATCH(Y42,Setup!$B$33:$B$40,0)),0)=1)*(COUNTIF(Y8:Y25,$B42)+COUNTIF(Y8:Y25,$B42&amp;" ~*")&gt;0))</f>
        <v/>
      </c>
    </row>
    <row r="43" ht="15" customHeight="1">
      <c r="A43" t="n">
        <v>1</v>
      </c>
      <c r="B43" s="35">
        <f>IF(Setup!$B$22="","",Setup!$B$22)</f>
        <v/>
      </c>
      <c r="C43" s="98" t="inlineStr">
        <is>
          <t>AL</t>
        </is>
      </c>
      <c r="D43" s="99" t="n"/>
      <c r="E43" s="99" t="n"/>
      <c r="F43" s="100" t="n"/>
      <c r="G43" s="98" t="n"/>
      <c r="H43" s="99" t="n"/>
      <c r="I43" s="99" t="n"/>
      <c r="J43" s="100" t="n"/>
      <c r="K43" s="98" t="n"/>
      <c r="L43" s="99" t="n"/>
      <c r="M43" s="99" t="n"/>
      <c r="N43" s="100" t="n"/>
      <c r="O43" s="98" t="n"/>
      <c r="P43" s="99" t="n"/>
      <c r="Q43" s="99" t="n"/>
      <c r="R43" s="100" t="n"/>
      <c r="S43" s="98" t="n"/>
      <c r="T43" s="99" t="n"/>
      <c r="U43" s="99" t="n"/>
      <c r="V43" s="100" t="n"/>
      <c r="W43" s="98" t="n"/>
      <c r="X43" s="100" t="n"/>
      <c r="Y43" s="98" t="n"/>
      <c r="Z43" s="100" t="n"/>
      <c r="AB43" s="101">
        <f>IF($B43="","",(COUNTIF(C8:E25,$B43)+COUNTIF(C8:E25,$B43&amp;" ~*")&gt;0)+(COUNTIF(G8:I25,$B43)+COUNTIF(G8:I25,$B43&amp;" ~*")&gt;0)+(COUNTIF(K8:M25,$B43)+COUNTIF(K8:M25,$B43&amp;" ~*")&gt;0)+(COUNTIF(O8:Q25,$B43)+COUNTIF(O8:Q25,$B43&amp;" ~*")&gt;0)+(COUNTIF(S8:U25,$B43)+COUNTIF(S8:U25,$B43&amp;" ~*")&gt;0)+(COUNTIF(W8:W25,$B43)+COUNTIF(W8:W25,$B43&amp;" ~*")&gt;0)+(COUNTIF(Y8:Y25,$B43)+COUNTIF(Y8:Y25,$B43&amp;" ~*")&gt;0))</f>
        <v/>
      </c>
      <c r="AC43" s="36">
        <f>IF($B43="","",(IFERROR(INDEX(Setup!$G$33:$G$40,MATCH(C43,Setup!$B$33:$B$40,0)),0)=1)*(COUNTIF(C8:E25,$B43)+COUNTIF(C8:E25,$B43&amp;" ~*")&gt;0)+(IFERROR(INDEX(Setup!$G$33:$G$40,MATCH(G43,Setup!$B$33:$B$40,0)),0)=1)*(COUNTIF(G8:I25,$B43)+COUNTIF(G8:I25,$B43&amp;" ~*")&gt;0)+(IFERROR(INDEX(Setup!$G$33:$G$40,MATCH(K43,Setup!$B$33:$B$40,0)),0)=1)*(COUNTIF(K8:M25,$B43)+COUNTIF(K8:M25,$B43&amp;" ~*")&gt;0)+(IFERROR(INDEX(Setup!$G$33:$G$40,MATCH(O43,Setup!$B$33:$B$40,0)),0)=1)*(COUNTIF(O8:Q25,$B43)+COUNTIF(O8:Q25,$B43&amp;" ~*")&gt;0)+(IFERROR(INDEX(Setup!$G$33:$G$40,MATCH(S43,Setup!$B$33:$B$40,0)),0)=1)*(COUNTIF(S8:U25,$B43)+COUNTIF(S8:U25,$B43&amp;" ~*")&gt;0)+(IFERROR(INDEX(Setup!$G$33:$G$40,MATCH(W43,Setup!$B$33:$B$40,0)),0)=1)*(COUNTIF(W8:W25,$B43)+COUNTIF(W8:W25,$B43&amp;" ~*")&gt;0)+(IFERROR(INDEX(Setup!$G$33:$G$40,MATCH(Y43,Setup!$B$33:$B$40,0)),0)=1)*(COUNTIF(Y8:Y25,$B43)+COUNTIF(Y8:Y25,$B43&amp;" ~*")&gt;0))</f>
        <v/>
      </c>
    </row>
    <row r="44" ht="15" customHeight="1">
      <c r="A44" t="n">
        <v>1</v>
      </c>
      <c r="B44" s="37">
        <f>IF(Setup!$B$23="","",Setup!$B$23)</f>
        <v/>
      </c>
      <c r="C44" s="102" t="n"/>
      <c r="D44" s="103" t="n"/>
      <c r="E44" s="103" t="n"/>
      <c r="F44" s="104" t="n"/>
      <c r="G44" s="102" t="n"/>
      <c r="H44" s="103" t="n"/>
      <c r="I44" s="103" t="n"/>
      <c r="J44" s="104" t="n"/>
      <c r="K44" s="102" t="n"/>
      <c r="L44" s="103" t="n"/>
      <c r="M44" s="103" t="n"/>
      <c r="N44" s="104" t="n"/>
      <c r="O44" s="102" t="n"/>
      <c r="P44" s="103" t="n"/>
      <c r="Q44" s="103" t="n"/>
      <c r="R44" s="104" t="n"/>
      <c r="S44" s="102" t="n"/>
      <c r="T44" s="103" t="n"/>
      <c r="U44" s="103" t="n"/>
      <c r="V44" s="104" t="n"/>
      <c r="W44" s="102" t="n"/>
      <c r="X44" s="104" t="n"/>
      <c r="Y44" s="102" t="n"/>
      <c r="Z44" s="104" t="n"/>
      <c r="AB44" s="105">
        <f>IF($B44="","",(COUNTIF(C8:E25,$B44)+COUNTIF(C8:E25,$B44&amp;" ~*")&gt;0)+(COUNTIF(G8:I25,$B44)+COUNTIF(G8:I25,$B44&amp;" ~*")&gt;0)+(COUNTIF(K8:M25,$B44)+COUNTIF(K8:M25,$B44&amp;" ~*")&gt;0)+(COUNTIF(O8:Q25,$B44)+COUNTIF(O8:Q25,$B44&amp;" ~*")&gt;0)+(COUNTIF(S8:U25,$B44)+COUNTIF(S8:U25,$B44&amp;" ~*")&gt;0)+(COUNTIF(W8:W25,$B44)+COUNTIF(W8:W25,$B44&amp;" ~*")&gt;0)+(COUNTIF(Y8:Y25,$B44)+COUNTIF(Y8:Y25,$B44&amp;" ~*")&gt;0))</f>
        <v/>
      </c>
      <c r="AC44" s="38">
        <f>IF($B44="","",(IFERROR(INDEX(Setup!$G$33:$G$40,MATCH(C44,Setup!$B$33:$B$40,0)),0)=1)*(COUNTIF(C8:E25,$B44)+COUNTIF(C8:E25,$B44&amp;" ~*")&gt;0)+(IFERROR(INDEX(Setup!$G$33:$G$40,MATCH(G44,Setup!$B$33:$B$40,0)),0)=1)*(COUNTIF(G8:I25,$B44)+COUNTIF(G8:I25,$B44&amp;" ~*")&gt;0)+(IFERROR(INDEX(Setup!$G$33:$G$40,MATCH(K44,Setup!$B$33:$B$40,0)),0)=1)*(COUNTIF(K8:M25,$B44)+COUNTIF(K8:M25,$B44&amp;" ~*")&gt;0)+(IFERROR(INDEX(Setup!$G$33:$G$40,MATCH(O44,Setup!$B$33:$B$40,0)),0)=1)*(COUNTIF(O8:Q25,$B44)+COUNTIF(O8:Q25,$B44&amp;" ~*")&gt;0)+(IFERROR(INDEX(Setup!$G$33:$G$40,MATCH(S44,Setup!$B$33:$B$40,0)),0)=1)*(COUNTIF(S8:U25,$B44)+COUNTIF(S8:U25,$B44&amp;" ~*")&gt;0)+(IFERROR(INDEX(Setup!$G$33:$G$40,MATCH(W44,Setup!$B$33:$B$40,0)),0)=1)*(COUNTIF(W8:W25,$B44)+COUNTIF(W8:W25,$B44&amp;" ~*")&gt;0)+(IFERROR(INDEX(Setup!$G$33:$G$40,MATCH(Y44,Setup!$B$33:$B$40,0)),0)=1)*(COUNTIF(Y8:Y25,$B44)+COUNTIF(Y8:Y25,$B44&amp;" ~*")&gt;0))</f>
        <v/>
      </c>
    </row>
    <row r="45" ht="15" customHeight="1">
      <c r="A45" t="n">
        <v>1</v>
      </c>
      <c r="B45" s="35">
        <f>IF(Setup!$B$24="","",Setup!$B$24)</f>
        <v/>
      </c>
      <c r="C45" s="98" t="n"/>
      <c r="D45" s="99" t="n"/>
      <c r="E45" s="99" t="n"/>
      <c r="F45" s="100" t="n"/>
      <c r="G45" s="98" t="n"/>
      <c r="H45" s="99" t="n"/>
      <c r="I45" s="99" t="n"/>
      <c r="J45" s="100" t="n"/>
      <c r="K45" s="98" t="n"/>
      <c r="L45" s="99" t="n"/>
      <c r="M45" s="99" t="n"/>
      <c r="N45" s="100" t="n"/>
      <c r="O45" s="98" t="n"/>
      <c r="P45" s="99" t="n"/>
      <c r="Q45" s="99" t="n"/>
      <c r="R45" s="100" t="n"/>
      <c r="S45" s="98" t="n"/>
      <c r="T45" s="99" t="n"/>
      <c r="U45" s="99" t="n"/>
      <c r="V45" s="100" t="n"/>
      <c r="W45" s="98" t="n"/>
      <c r="X45" s="100" t="n"/>
      <c r="Y45" s="98" t="n"/>
      <c r="Z45" s="100" t="n"/>
      <c r="AB45" s="101">
        <f>IF($B45="","",(COUNTIF(C8:E25,$B45)+COUNTIF(C8:E25,$B45&amp;" ~*")&gt;0)+(COUNTIF(G8:I25,$B45)+COUNTIF(G8:I25,$B45&amp;" ~*")&gt;0)+(COUNTIF(K8:M25,$B45)+COUNTIF(K8:M25,$B45&amp;" ~*")&gt;0)+(COUNTIF(O8:Q25,$B45)+COUNTIF(O8:Q25,$B45&amp;" ~*")&gt;0)+(COUNTIF(S8:U25,$B45)+COUNTIF(S8:U25,$B45&amp;" ~*")&gt;0)+(COUNTIF(W8:W25,$B45)+COUNTIF(W8:W25,$B45&amp;" ~*")&gt;0)+(COUNTIF(Y8:Y25,$B45)+COUNTIF(Y8:Y25,$B45&amp;" ~*")&gt;0))</f>
        <v/>
      </c>
      <c r="AC45" s="36">
        <f>IF($B45="","",(IFERROR(INDEX(Setup!$G$33:$G$40,MATCH(C45,Setup!$B$33:$B$40,0)),0)=1)*(COUNTIF(C8:E25,$B45)+COUNTIF(C8:E25,$B45&amp;" ~*")&gt;0)+(IFERROR(INDEX(Setup!$G$33:$G$40,MATCH(G45,Setup!$B$33:$B$40,0)),0)=1)*(COUNTIF(G8:I25,$B45)+COUNTIF(G8:I25,$B45&amp;" ~*")&gt;0)+(IFERROR(INDEX(Setup!$G$33:$G$40,MATCH(K45,Setup!$B$33:$B$40,0)),0)=1)*(COUNTIF(K8:M25,$B45)+COUNTIF(K8:M25,$B45&amp;" ~*")&gt;0)+(IFERROR(INDEX(Setup!$G$33:$G$40,MATCH(O45,Setup!$B$33:$B$40,0)),0)=1)*(COUNTIF(O8:Q25,$B45)+COUNTIF(O8:Q25,$B45&amp;" ~*")&gt;0)+(IFERROR(INDEX(Setup!$G$33:$G$40,MATCH(S45,Setup!$B$33:$B$40,0)),0)=1)*(COUNTIF(S8:U25,$B45)+COUNTIF(S8:U25,$B45&amp;" ~*")&gt;0)+(IFERROR(INDEX(Setup!$G$33:$G$40,MATCH(W45,Setup!$B$33:$B$40,0)),0)=1)*(COUNTIF(W8:W25,$B45)+COUNTIF(W8:W25,$B45&amp;" ~*")&gt;0)+(IFERROR(INDEX(Setup!$G$33:$G$40,MATCH(Y45,Setup!$B$33:$B$40,0)),0)=1)*(COUNTIF(Y8:Y25,$B45)+COUNTIF(Y8:Y25,$B45&amp;" ~*")&gt;0))</f>
        <v/>
      </c>
    </row>
    <row r="46" ht="15" customHeight="1">
      <c r="A46" t="n">
        <v>1</v>
      </c>
      <c r="B46" s="37">
        <f>IF(Setup!$B$25="","",Setup!$B$25)</f>
        <v/>
      </c>
      <c r="C46" s="102" t="n"/>
      <c r="D46" s="103" t="n"/>
      <c r="E46" s="103" t="n"/>
      <c r="F46" s="104" t="n"/>
      <c r="G46" s="102" t="n"/>
      <c r="H46" s="103" t="n"/>
      <c r="I46" s="103" t="n"/>
      <c r="J46" s="104" t="n"/>
      <c r="K46" s="102" t="n"/>
      <c r="L46" s="103" t="n"/>
      <c r="M46" s="103" t="n"/>
      <c r="N46" s="104" t="n"/>
      <c r="O46" s="102" t="n"/>
      <c r="P46" s="103" t="n"/>
      <c r="Q46" s="103" t="n"/>
      <c r="R46" s="104" t="n"/>
      <c r="S46" s="102" t="n"/>
      <c r="T46" s="103" t="n"/>
      <c r="U46" s="103" t="n"/>
      <c r="V46" s="104" t="n"/>
      <c r="W46" s="102" t="n"/>
      <c r="X46" s="104" t="n"/>
      <c r="Y46" s="102" t="n"/>
      <c r="Z46" s="104" t="n"/>
      <c r="AB46" s="105">
        <f>IF($B46="","",(COUNTIF(C8:E25,$B46)+COUNTIF(C8:E25,$B46&amp;" ~*")&gt;0)+(COUNTIF(G8:I25,$B46)+COUNTIF(G8:I25,$B46&amp;" ~*")&gt;0)+(COUNTIF(K8:M25,$B46)+COUNTIF(K8:M25,$B46&amp;" ~*")&gt;0)+(COUNTIF(O8:Q25,$B46)+COUNTIF(O8:Q25,$B46&amp;" ~*")&gt;0)+(COUNTIF(S8:U25,$B46)+COUNTIF(S8:U25,$B46&amp;" ~*")&gt;0)+(COUNTIF(W8:W25,$B46)+COUNTIF(W8:W25,$B46&amp;" ~*")&gt;0)+(COUNTIF(Y8:Y25,$B46)+COUNTIF(Y8:Y25,$B46&amp;" ~*")&gt;0))</f>
        <v/>
      </c>
      <c r="AC46" s="38">
        <f>IF($B46="","",(IFERROR(INDEX(Setup!$G$33:$G$40,MATCH(C46,Setup!$B$33:$B$40,0)),0)=1)*(COUNTIF(C8:E25,$B46)+COUNTIF(C8:E25,$B46&amp;" ~*")&gt;0)+(IFERROR(INDEX(Setup!$G$33:$G$40,MATCH(G46,Setup!$B$33:$B$40,0)),0)=1)*(COUNTIF(G8:I25,$B46)+COUNTIF(G8:I25,$B46&amp;" ~*")&gt;0)+(IFERROR(INDEX(Setup!$G$33:$G$40,MATCH(K46,Setup!$B$33:$B$40,0)),0)=1)*(COUNTIF(K8:M25,$B46)+COUNTIF(K8:M25,$B46&amp;" ~*")&gt;0)+(IFERROR(INDEX(Setup!$G$33:$G$40,MATCH(O46,Setup!$B$33:$B$40,0)),0)=1)*(COUNTIF(O8:Q25,$B46)+COUNTIF(O8:Q25,$B46&amp;" ~*")&gt;0)+(IFERROR(INDEX(Setup!$G$33:$G$40,MATCH(S46,Setup!$B$33:$B$40,0)),0)=1)*(COUNTIF(S8:U25,$B46)+COUNTIF(S8:U25,$B46&amp;" ~*")&gt;0)+(IFERROR(INDEX(Setup!$G$33:$G$40,MATCH(W46,Setup!$B$33:$B$40,0)),0)=1)*(COUNTIF(W8:W25,$B46)+COUNTIF(W8:W25,$B46&amp;" ~*")&gt;0)+(IFERROR(INDEX(Setup!$G$33:$G$40,MATCH(Y46,Setup!$B$33:$B$40,0)),0)=1)*(COUNTIF(Y8:Y25,$B46)+COUNTIF(Y8:Y25,$B46&amp;" ~*")&gt;0))</f>
        <v/>
      </c>
    </row>
    <row r="47" ht="15" customHeight="1">
      <c r="A47" t="n">
        <v>1</v>
      </c>
      <c r="B47" s="35">
        <f>IF(Setup!$B$26="","",Setup!$B$26)</f>
        <v/>
      </c>
      <c r="C47" s="98" t="n"/>
      <c r="D47" s="99" t="n"/>
      <c r="E47" s="99" t="n"/>
      <c r="F47" s="100" t="n"/>
      <c r="G47" s="98" t="n"/>
      <c r="H47" s="99" t="n"/>
      <c r="I47" s="99" t="n"/>
      <c r="J47" s="100" t="n"/>
      <c r="K47" s="98" t="n"/>
      <c r="L47" s="99" t="n"/>
      <c r="M47" s="99" t="n"/>
      <c r="N47" s="100" t="n"/>
      <c r="O47" s="98" t="n"/>
      <c r="P47" s="99" t="n"/>
      <c r="Q47" s="99" t="n"/>
      <c r="R47" s="100" t="n"/>
      <c r="S47" s="98" t="n"/>
      <c r="T47" s="99" t="n"/>
      <c r="U47" s="99" t="n"/>
      <c r="V47" s="100" t="n"/>
      <c r="W47" s="98" t="n"/>
      <c r="X47" s="100" t="n"/>
      <c r="Y47" s="98" t="n"/>
      <c r="Z47" s="100" t="n"/>
      <c r="AB47" s="101">
        <f>IF($B47="","",(COUNTIF(C8:E25,$B47)+COUNTIF(C8:E25,$B47&amp;" ~*")&gt;0)+(COUNTIF(G8:I25,$B47)+COUNTIF(G8:I25,$B47&amp;" ~*")&gt;0)+(COUNTIF(K8:M25,$B47)+COUNTIF(K8:M25,$B47&amp;" ~*")&gt;0)+(COUNTIF(O8:Q25,$B47)+COUNTIF(O8:Q25,$B47&amp;" ~*")&gt;0)+(COUNTIF(S8:U25,$B47)+COUNTIF(S8:U25,$B47&amp;" ~*")&gt;0)+(COUNTIF(W8:W25,$B47)+COUNTIF(W8:W25,$B47&amp;" ~*")&gt;0)+(COUNTIF(Y8:Y25,$B47)+COUNTIF(Y8:Y25,$B47&amp;" ~*")&gt;0))</f>
        <v/>
      </c>
      <c r="AC47" s="36">
        <f>IF($B47="","",(IFERROR(INDEX(Setup!$G$33:$G$40,MATCH(C47,Setup!$B$33:$B$40,0)),0)=1)*(COUNTIF(C8:E25,$B47)+COUNTIF(C8:E25,$B47&amp;" ~*")&gt;0)+(IFERROR(INDEX(Setup!$G$33:$G$40,MATCH(G47,Setup!$B$33:$B$40,0)),0)=1)*(COUNTIF(G8:I25,$B47)+COUNTIF(G8:I25,$B47&amp;" ~*")&gt;0)+(IFERROR(INDEX(Setup!$G$33:$G$40,MATCH(K47,Setup!$B$33:$B$40,0)),0)=1)*(COUNTIF(K8:M25,$B47)+COUNTIF(K8:M25,$B47&amp;" ~*")&gt;0)+(IFERROR(INDEX(Setup!$G$33:$G$40,MATCH(O47,Setup!$B$33:$B$40,0)),0)=1)*(COUNTIF(O8:Q25,$B47)+COUNTIF(O8:Q25,$B47&amp;" ~*")&gt;0)+(IFERROR(INDEX(Setup!$G$33:$G$40,MATCH(S47,Setup!$B$33:$B$40,0)),0)=1)*(COUNTIF(S8:U25,$B47)+COUNTIF(S8:U25,$B47&amp;" ~*")&gt;0)+(IFERROR(INDEX(Setup!$G$33:$G$40,MATCH(W47,Setup!$B$33:$B$40,0)),0)=1)*(COUNTIF(W8:W25,$B47)+COUNTIF(W8:W25,$B47&amp;" ~*")&gt;0)+(IFERROR(INDEX(Setup!$G$33:$G$40,MATCH(Y47,Setup!$B$33:$B$40,0)),0)=1)*(COUNTIF(Y8:Y25,$B47)+COUNTIF(Y8:Y25,$B47&amp;" ~*")&gt;0))</f>
        <v/>
      </c>
    </row>
    <row r="48" ht="15" customHeight="1">
      <c r="A48" t="n">
        <v>1</v>
      </c>
      <c r="B48" s="37">
        <f>IF(Setup!$B$27="","",Setup!$B$27)</f>
        <v/>
      </c>
      <c r="C48" s="102" t="n"/>
      <c r="D48" s="103" t="n"/>
      <c r="E48" s="103" t="n"/>
      <c r="F48" s="104" t="n"/>
      <c r="G48" s="102" t="n"/>
      <c r="H48" s="103" t="n"/>
      <c r="I48" s="103" t="n"/>
      <c r="J48" s="104" t="n"/>
      <c r="K48" s="102" t="n"/>
      <c r="L48" s="103" t="n"/>
      <c r="M48" s="103" t="n"/>
      <c r="N48" s="104" t="n"/>
      <c r="O48" s="102" t="n"/>
      <c r="P48" s="103" t="n"/>
      <c r="Q48" s="103" t="n"/>
      <c r="R48" s="104" t="n"/>
      <c r="S48" s="102" t="n"/>
      <c r="T48" s="103" t="n"/>
      <c r="U48" s="103" t="n"/>
      <c r="V48" s="104" t="n"/>
      <c r="W48" s="102" t="n"/>
      <c r="X48" s="104" t="n"/>
      <c r="Y48" s="102" t="n"/>
      <c r="Z48" s="104" t="n"/>
      <c r="AB48" s="105">
        <f>IF($B48="","",(COUNTIF(C8:E25,$B48)+COUNTIF(C8:E25,$B48&amp;" ~*")&gt;0)+(COUNTIF(G8:I25,$B48)+COUNTIF(G8:I25,$B48&amp;" ~*")&gt;0)+(COUNTIF(K8:M25,$B48)+COUNTIF(K8:M25,$B48&amp;" ~*")&gt;0)+(COUNTIF(O8:Q25,$B48)+COUNTIF(O8:Q25,$B48&amp;" ~*")&gt;0)+(COUNTIF(S8:U25,$B48)+COUNTIF(S8:U25,$B48&amp;" ~*")&gt;0)+(COUNTIF(W8:W25,$B48)+COUNTIF(W8:W25,$B48&amp;" ~*")&gt;0)+(COUNTIF(Y8:Y25,$B48)+COUNTIF(Y8:Y25,$B48&amp;" ~*")&gt;0))</f>
        <v/>
      </c>
      <c r="AC48" s="38">
        <f>IF($B48="","",(IFERROR(INDEX(Setup!$G$33:$G$40,MATCH(C48,Setup!$B$33:$B$40,0)),0)=1)*(COUNTIF(C8:E25,$B48)+COUNTIF(C8:E25,$B48&amp;" ~*")&gt;0)+(IFERROR(INDEX(Setup!$G$33:$G$40,MATCH(G48,Setup!$B$33:$B$40,0)),0)=1)*(COUNTIF(G8:I25,$B48)+COUNTIF(G8:I25,$B48&amp;" ~*")&gt;0)+(IFERROR(INDEX(Setup!$G$33:$G$40,MATCH(K48,Setup!$B$33:$B$40,0)),0)=1)*(COUNTIF(K8:M25,$B48)+COUNTIF(K8:M25,$B48&amp;" ~*")&gt;0)+(IFERROR(INDEX(Setup!$G$33:$G$40,MATCH(O48,Setup!$B$33:$B$40,0)),0)=1)*(COUNTIF(O8:Q25,$B48)+COUNTIF(O8:Q25,$B48&amp;" ~*")&gt;0)+(IFERROR(INDEX(Setup!$G$33:$G$40,MATCH(S48,Setup!$B$33:$B$40,0)),0)=1)*(COUNTIF(S8:U25,$B48)+COUNTIF(S8:U25,$B48&amp;" ~*")&gt;0)+(IFERROR(INDEX(Setup!$G$33:$G$40,MATCH(W48,Setup!$B$33:$B$40,0)),0)=1)*(COUNTIF(W8:W25,$B48)+COUNTIF(W8:W25,$B48&amp;" ~*")&gt;0)+(IFERROR(INDEX(Setup!$G$33:$G$40,MATCH(Y48,Setup!$B$33:$B$40,0)),0)=1)*(COUNTIF(Y8:Y25,$B48)+COUNTIF(Y8:Y25,$B48&amp;" ~*")&gt;0))</f>
        <v/>
      </c>
    </row>
    <row r="49" ht="15" customHeight="1">
      <c r="A49" t="n">
        <v>1</v>
      </c>
      <c r="B49" s="35">
        <f>IF(Setup!$B$28="","",Setup!$B$28)</f>
        <v/>
      </c>
      <c r="C49" s="98" t="n"/>
      <c r="D49" s="99" t="n"/>
      <c r="E49" s="99" t="n"/>
      <c r="F49" s="100" t="n"/>
      <c r="G49" s="98" t="n"/>
      <c r="H49" s="99" t="n"/>
      <c r="I49" s="99" t="n"/>
      <c r="J49" s="100" t="n"/>
      <c r="K49" s="98" t="n"/>
      <c r="L49" s="99" t="n"/>
      <c r="M49" s="99" t="n"/>
      <c r="N49" s="100" t="n"/>
      <c r="O49" s="98" t="n"/>
      <c r="P49" s="99" t="n"/>
      <c r="Q49" s="99" t="n"/>
      <c r="R49" s="100" t="n"/>
      <c r="S49" s="98" t="n"/>
      <c r="T49" s="99" t="n"/>
      <c r="U49" s="99" t="n"/>
      <c r="V49" s="100" t="n"/>
      <c r="W49" s="98" t="n"/>
      <c r="X49" s="100" t="n"/>
      <c r="Y49" s="98" t="n"/>
      <c r="Z49" s="100" t="n"/>
      <c r="AB49" s="101">
        <f>IF($B49="","",(COUNTIF(C8:E25,$B49)+COUNTIF(C8:E25,$B49&amp;" ~*")&gt;0)+(COUNTIF(G8:I25,$B49)+COUNTIF(G8:I25,$B49&amp;" ~*")&gt;0)+(COUNTIF(K8:M25,$B49)+COUNTIF(K8:M25,$B49&amp;" ~*")&gt;0)+(COUNTIF(O8:Q25,$B49)+COUNTIF(O8:Q25,$B49&amp;" ~*")&gt;0)+(COUNTIF(S8:U25,$B49)+COUNTIF(S8:U25,$B49&amp;" ~*")&gt;0)+(COUNTIF(W8:W25,$B49)+COUNTIF(W8:W25,$B49&amp;" ~*")&gt;0)+(COUNTIF(Y8:Y25,$B49)+COUNTIF(Y8:Y25,$B49&amp;" ~*")&gt;0))</f>
        <v/>
      </c>
      <c r="AC49" s="36">
        <f>IF($B49="","",(IFERROR(INDEX(Setup!$G$33:$G$40,MATCH(C49,Setup!$B$33:$B$40,0)),0)=1)*(COUNTIF(C8:E25,$B49)+COUNTIF(C8:E25,$B49&amp;" ~*")&gt;0)+(IFERROR(INDEX(Setup!$G$33:$G$40,MATCH(G49,Setup!$B$33:$B$40,0)),0)=1)*(COUNTIF(G8:I25,$B49)+COUNTIF(G8:I25,$B49&amp;" ~*")&gt;0)+(IFERROR(INDEX(Setup!$G$33:$G$40,MATCH(K49,Setup!$B$33:$B$40,0)),0)=1)*(COUNTIF(K8:M25,$B49)+COUNTIF(K8:M25,$B49&amp;" ~*")&gt;0)+(IFERROR(INDEX(Setup!$G$33:$G$40,MATCH(O49,Setup!$B$33:$B$40,0)),0)=1)*(COUNTIF(O8:Q25,$B49)+COUNTIF(O8:Q25,$B49&amp;" ~*")&gt;0)+(IFERROR(INDEX(Setup!$G$33:$G$40,MATCH(S49,Setup!$B$33:$B$40,0)),0)=1)*(COUNTIF(S8:U25,$B49)+COUNTIF(S8:U25,$B49&amp;" ~*")&gt;0)+(IFERROR(INDEX(Setup!$G$33:$G$40,MATCH(W49,Setup!$B$33:$B$40,0)),0)=1)*(COUNTIF(W8:W25,$B49)+COUNTIF(W8:W25,$B49&amp;" ~*")&gt;0)+(IFERROR(INDEX(Setup!$G$33:$G$40,MATCH(Y49,Setup!$B$33:$B$40,0)),0)=1)*(COUNTIF(Y8:Y25,$B49)+COUNTIF(Y8:Y25,$B49&amp;" ~*")&gt;0))</f>
        <v/>
      </c>
    </row>
    <row r="50" ht="15" customHeight="1">
      <c r="A50" t="n">
        <v>1</v>
      </c>
      <c r="B50" s="37">
        <f>IF(Setup!$B$29="","",Setup!$B$29)</f>
        <v/>
      </c>
      <c r="C50" s="102" t="n"/>
      <c r="D50" s="103" t="n"/>
      <c r="E50" s="103" t="n"/>
      <c r="F50" s="104" t="n"/>
      <c r="G50" s="102" t="n"/>
      <c r="H50" s="103" t="n"/>
      <c r="I50" s="103" t="n"/>
      <c r="J50" s="104" t="n"/>
      <c r="K50" s="102" t="n"/>
      <c r="L50" s="103" t="n"/>
      <c r="M50" s="103" t="n"/>
      <c r="N50" s="104" t="n"/>
      <c r="O50" s="102" t="n"/>
      <c r="P50" s="103" t="n"/>
      <c r="Q50" s="103" t="n"/>
      <c r="R50" s="104" t="n"/>
      <c r="S50" s="102" t="n"/>
      <c r="T50" s="103" t="n"/>
      <c r="U50" s="103" t="n"/>
      <c r="V50" s="104" t="n"/>
      <c r="W50" s="102" t="n"/>
      <c r="X50" s="104" t="n"/>
      <c r="Y50" s="102" t="n"/>
      <c r="Z50" s="104" t="n"/>
      <c r="AB50" s="105">
        <f>IF($B50="","",(COUNTIF(C8:E25,$B50)+COUNTIF(C8:E25,$B50&amp;" ~*")&gt;0)+(COUNTIF(G8:I25,$B50)+COUNTIF(G8:I25,$B50&amp;" ~*")&gt;0)+(COUNTIF(K8:M25,$B50)+COUNTIF(K8:M25,$B50&amp;" ~*")&gt;0)+(COUNTIF(O8:Q25,$B50)+COUNTIF(O8:Q25,$B50&amp;" ~*")&gt;0)+(COUNTIF(S8:U25,$B50)+COUNTIF(S8:U25,$B50&amp;" ~*")&gt;0)+(COUNTIF(W8:W25,$B50)+COUNTIF(W8:W25,$B50&amp;" ~*")&gt;0)+(COUNTIF(Y8:Y25,$B50)+COUNTIF(Y8:Y25,$B50&amp;" ~*")&gt;0))</f>
        <v/>
      </c>
      <c r="AC50" s="38">
        <f>IF($B50="","",(IFERROR(INDEX(Setup!$G$33:$G$40,MATCH(C50,Setup!$B$33:$B$40,0)),0)=1)*(COUNTIF(C8:E25,$B50)+COUNTIF(C8:E25,$B50&amp;" ~*")&gt;0)+(IFERROR(INDEX(Setup!$G$33:$G$40,MATCH(G50,Setup!$B$33:$B$40,0)),0)=1)*(COUNTIF(G8:I25,$B50)+COUNTIF(G8:I25,$B50&amp;" ~*")&gt;0)+(IFERROR(INDEX(Setup!$G$33:$G$40,MATCH(K50,Setup!$B$33:$B$40,0)),0)=1)*(COUNTIF(K8:M25,$B50)+COUNTIF(K8:M25,$B50&amp;" ~*")&gt;0)+(IFERROR(INDEX(Setup!$G$33:$G$40,MATCH(O50,Setup!$B$33:$B$40,0)),0)=1)*(COUNTIF(O8:Q25,$B50)+COUNTIF(O8:Q25,$B50&amp;" ~*")&gt;0)+(IFERROR(INDEX(Setup!$G$33:$G$40,MATCH(S50,Setup!$B$33:$B$40,0)),0)=1)*(COUNTIF(S8:U25,$B50)+COUNTIF(S8:U25,$B50&amp;" ~*")&gt;0)+(IFERROR(INDEX(Setup!$G$33:$G$40,MATCH(W50,Setup!$B$33:$B$40,0)),0)=1)*(COUNTIF(W8:W25,$B50)+COUNTIF(W8:W25,$B50&amp;" ~*")&gt;0)+(IFERROR(INDEX(Setup!$G$33:$G$40,MATCH(Y50,Setup!$B$33:$B$40,0)),0)=1)*(COUNTIF(Y8:Y25,$B50)+COUNTIF(Y8:Y25,$B50&amp;" ~*")&gt;0))</f>
        <v/>
      </c>
    </row>
    <row r="51" ht="16" customHeight="1">
      <c r="A51" t="n">
        <v>1</v>
      </c>
      <c r="B51" s="106" t="inlineStr">
        <is>
          <t>Available people</t>
        </is>
      </c>
      <c r="C51" s="107">
        <f>COUNTIFS(Setup!$E$6:$E$29,"Y",Setup!$B$6:$B$29,"?*")-SUMPRODUCT(COUNTIF(C27:C50,Setup!$F$33:$F$40))</f>
        <v/>
      </c>
      <c r="D51" s="107" t="n"/>
      <c r="E51" s="107" t="n"/>
      <c r="F51" s="107" t="n"/>
      <c r="G51" s="107">
        <f>COUNTIFS(Setup!$E$6:$E$29,"Y",Setup!$B$6:$B$29,"?*")-SUMPRODUCT(COUNTIF(G27:G50,Setup!$F$33:$F$40))</f>
        <v/>
      </c>
      <c r="H51" s="107" t="n"/>
      <c r="I51" s="107" t="n"/>
      <c r="J51" s="107" t="n"/>
      <c r="K51" s="107">
        <f>COUNTIFS(Setup!$E$6:$E$29,"Y",Setup!$B$6:$B$29,"?*")-SUMPRODUCT(COUNTIF(K27:K50,Setup!$F$33:$F$40))</f>
        <v/>
      </c>
      <c r="L51" s="107" t="n"/>
      <c r="M51" s="107" t="n"/>
      <c r="N51" s="107" t="n"/>
      <c r="O51" s="107">
        <f>COUNTIFS(Setup!$E$6:$E$29,"Y",Setup!$B$6:$B$29,"?*")-SUMPRODUCT(COUNTIF(O27:O50,Setup!$F$33:$F$40))</f>
        <v/>
      </c>
      <c r="P51" s="107" t="n"/>
      <c r="Q51" s="107" t="n"/>
      <c r="R51" s="107" t="n"/>
      <c r="S51" s="107">
        <f>COUNTIFS(Setup!$E$6:$E$29,"Y",Setup!$B$6:$B$29,"?*")-SUMPRODUCT(COUNTIF(S27:S50,Setup!$F$33:$F$40))</f>
        <v/>
      </c>
      <c r="T51" s="107" t="n"/>
      <c r="U51" s="107" t="n"/>
      <c r="V51" s="107" t="n"/>
      <c r="W51" s="107">
        <f>COUNTIFS(Setup!$E$6:$E$29,"Y",Setup!$B$6:$B$29,"?*")-SUMPRODUCT(COUNTIF(W27:W50,Setup!$F$33:$F$40))</f>
        <v/>
      </c>
      <c r="X51" s="107" t="n"/>
      <c r="Y51" s="107">
        <f>COUNTIFS(Setup!$E$6:$E$29,"Y",Setup!$B$6:$B$29,"?*")-SUMPRODUCT(COUNTIF(Y27:Y50,Setup!$F$33:$F$40))</f>
        <v/>
      </c>
      <c r="Z51" s="107" t="n"/>
      <c r="AB51" s="108">
        <f>SUM(AB27:AB50)</f>
        <v/>
      </c>
      <c r="AC51" s="109">
        <f>SUM(AC27:AC50)</f>
        <v/>
      </c>
    </row>
    <row r="52" ht="30" customHeight="1">
      <c r="A52" t="n">
        <v>1</v>
      </c>
      <c r="B52" s="110" t="inlineStr">
        <is>
          <t>Week notes</t>
        </is>
      </c>
      <c r="C52" s="111" t="n"/>
      <c r="D52" s="112" t="n"/>
      <c r="E52" s="112" t="n"/>
      <c r="F52" s="112" t="n"/>
      <c r="G52" s="112" t="n"/>
      <c r="H52" s="112" t="n"/>
      <c r="I52" s="112" t="n"/>
      <c r="J52" s="112" t="n"/>
      <c r="K52" s="112" t="n"/>
      <c r="L52" s="112" t="n"/>
      <c r="M52" s="112" t="n"/>
      <c r="N52" s="112" t="n"/>
      <c r="O52" s="112" t="n"/>
      <c r="P52" s="112" t="n"/>
      <c r="Q52" s="112" t="n"/>
      <c r="R52" s="112" t="n"/>
      <c r="S52" s="112" t="n"/>
      <c r="T52" s="112" t="n"/>
      <c r="U52" s="112" t="n"/>
      <c r="V52" s="112" t="n"/>
      <c r="W52" s="112" t="n"/>
      <c r="X52" s="112" t="n"/>
      <c r="Y52" s="112" t="n"/>
      <c r="Z52" s="113" t="n"/>
    </row>
    <row r="53" ht="8" customHeight="1">
      <c r="A53" t="n">
        <v>1</v>
      </c>
    </row>
    <row r="54" ht="8" customHeight="1">
      <c r="A54" t="n">
        <v>1</v>
      </c>
    </row>
    <row r="55" ht="24" customHeight="1">
      <c r="A55" t="n">
        <v>2</v>
      </c>
      <c r="B55" s="73">
        <f>"WEEK 2     "&amp;TEXT(C56,"ddd d mmm")&amp;"  –  "&amp;TEXT(C56+6,"ddd d mmm yyyy")</f>
        <v/>
      </c>
      <c r="S55" s="74">
        <f>IF(TODAY()&lt;C56,"FUTURE",IF(TODAY()&gt;C56+6,"PAST","THIS WEEK"))</f>
        <v/>
      </c>
      <c r="W55" s="75">
        <f>IF(AND(Engine!$B$8=$AC$3,Engine!$B$9=$A55),"◀ ACTIVE WEEK","")</f>
        <v/>
      </c>
      <c r="AA55" s="76" t="n"/>
      <c r="AB55" s="77" t="inlineStr">
        <is>
          <t>◀ Prev</t>
        </is>
      </c>
      <c r="AC55" s="77" t="inlineStr">
        <is>
          <t>Next ▶</t>
        </is>
      </c>
    </row>
    <row r="56" ht="18" customHeight="1">
      <c r="A56" t="n">
        <v>2</v>
      </c>
      <c r="B56" s="78" t="inlineStr">
        <is>
          <t>DUTY</t>
        </is>
      </c>
      <c r="C56" s="79">
        <f>$AC$2+7*($A56-1)</f>
        <v/>
      </c>
      <c r="D56" s="80" t="n"/>
      <c r="E56" s="80" t="n"/>
      <c r="F56" s="81" t="n"/>
      <c r="G56" s="79">
        <f>C56+1</f>
        <v/>
      </c>
      <c r="H56" s="80" t="n"/>
      <c r="I56" s="80" t="n"/>
      <c r="J56" s="81" t="n"/>
      <c r="K56" s="79">
        <f>C56+2</f>
        <v/>
      </c>
      <c r="L56" s="80" t="n"/>
      <c r="M56" s="80" t="n"/>
      <c r="N56" s="81" t="n"/>
      <c r="O56" s="79">
        <f>C56+3</f>
        <v/>
      </c>
      <c r="P56" s="80" t="n"/>
      <c r="Q56" s="80" t="n"/>
      <c r="R56" s="81" t="n"/>
      <c r="S56" s="79">
        <f>C56+4</f>
        <v/>
      </c>
      <c r="T56" s="80" t="n"/>
      <c r="U56" s="80" t="n"/>
      <c r="V56" s="81" t="n"/>
      <c r="W56" s="82">
        <f>C56+5</f>
        <v/>
      </c>
      <c r="X56" s="83" t="n"/>
      <c r="Y56" s="82">
        <f>C56+6</f>
        <v/>
      </c>
      <c r="Z56" s="83" t="n"/>
      <c r="AB56" s="72" t="inlineStr">
        <is>
          <t>Gaps</t>
        </is>
      </c>
      <c r="AC56" s="72" t="inlineStr">
        <is>
          <t>Cover</t>
        </is>
      </c>
    </row>
    <row r="57" ht="14" customHeight="1">
      <c r="A57" t="n">
        <v>2</v>
      </c>
      <c r="B57" s="84" t="inlineStr">
        <is>
          <t>(from Setup)</t>
        </is>
      </c>
      <c r="C57" s="85" t="inlineStr">
        <is>
          <t>1</t>
        </is>
      </c>
      <c r="D57" s="85" t="inlineStr">
        <is>
          <t>2</t>
        </is>
      </c>
      <c r="E57" s="85" t="inlineStr">
        <is>
          <t>3</t>
        </is>
      </c>
      <c r="F57" s="85" t="inlineStr">
        <is>
          <t>Notes</t>
        </is>
      </c>
      <c r="G57" s="85" t="inlineStr">
        <is>
          <t>1</t>
        </is>
      </c>
      <c r="H57" s="85" t="inlineStr">
        <is>
          <t>2</t>
        </is>
      </c>
      <c r="I57" s="85" t="inlineStr">
        <is>
          <t>3</t>
        </is>
      </c>
      <c r="J57" s="85" t="inlineStr">
        <is>
          <t>Notes</t>
        </is>
      </c>
      <c r="K57" s="85" t="inlineStr">
        <is>
          <t>1</t>
        </is>
      </c>
      <c r="L57" s="85" t="inlineStr">
        <is>
          <t>2</t>
        </is>
      </c>
      <c r="M57" s="85" t="inlineStr">
        <is>
          <t>3</t>
        </is>
      </c>
      <c r="N57" s="85" t="inlineStr">
        <is>
          <t>Notes</t>
        </is>
      </c>
      <c r="O57" s="85" t="inlineStr">
        <is>
          <t>1</t>
        </is>
      </c>
      <c r="P57" s="85" t="inlineStr">
        <is>
          <t>2</t>
        </is>
      </c>
      <c r="Q57" s="85" t="inlineStr">
        <is>
          <t>3</t>
        </is>
      </c>
      <c r="R57" s="85" t="inlineStr">
        <is>
          <t>Notes</t>
        </is>
      </c>
      <c r="S57" s="85" t="inlineStr">
        <is>
          <t>1</t>
        </is>
      </c>
      <c r="T57" s="85" t="inlineStr">
        <is>
          <t>2</t>
        </is>
      </c>
      <c r="U57" s="85" t="inlineStr">
        <is>
          <t>3</t>
        </is>
      </c>
      <c r="V57" s="85" t="inlineStr">
        <is>
          <t>Notes</t>
        </is>
      </c>
      <c r="W57" s="85" t="inlineStr">
        <is>
          <t>Cover</t>
        </is>
      </c>
      <c r="X57" s="85" t="inlineStr">
        <is>
          <t>Notes</t>
        </is>
      </c>
      <c r="Y57" s="85" t="inlineStr">
        <is>
          <t>Cover</t>
        </is>
      </c>
      <c r="Z57" s="85" t="inlineStr">
        <is>
          <t>Notes</t>
        </is>
      </c>
      <c r="AB57" s="86" t="inlineStr">
        <is>
          <t>weekdays short</t>
        </is>
      </c>
      <c r="AC57" s="87" t="inlineStr"/>
    </row>
    <row r="58" ht="17" customHeight="1">
      <c r="A58" t="n">
        <v>2</v>
      </c>
      <c r="B58" s="24">
        <f>IF(Setup!$K$6="","",Setup!$K$6)</f>
        <v/>
      </c>
      <c r="C58" s="88" t="n"/>
      <c r="D58" s="88" t="n"/>
      <c r="E58" s="88" t="n"/>
      <c r="F58" s="89" t="n"/>
      <c r="G58" s="88" t="n"/>
      <c r="H58" s="88" t="n"/>
      <c r="I58" s="88" t="n"/>
      <c r="J58" s="89" t="n"/>
      <c r="K58" s="88" t="n"/>
      <c r="L58" s="88" t="n"/>
      <c r="M58" s="88" t="n"/>
      <c r="N58" s="89" t="n"/>
      <c r="O58" s="88" t="n"/>
      <c r="P58" s="88" t="n"/>
      <c r="Q58" s="88" t="n"/>
      <c r="R58" s="89" t="n"/>
      <c r="S58" s="88" t="n"/>
      <c r="T58" s="88" t="n"/>
      <c r="U58" s="88" t="n"/>
      <c r="V58" s="89" t="n"/>
      <c r="W58" s="88" t="n"/>
      <c r="X58" s="89" t="n"/>
      <c r="Y58" s="88" t="n"/>
      <c r="Z58" s="89" t="n"/>
      <c r="AB58" s="25">
        <f>IF($B58="","",(COUNTIF(C58:E58,"?*")&lt;N(INDEX(Setup!$L$6:$L$23,1)))+(COUNTIF(G58:I58,"?*")&lt;N(INDEX(Setup!$L$6:$L$23,1)))+(COUNTIF(K58:M58,"?*")&lt;N(INDEX(Setup!$L$6:$L$23,1)))+(COUNTIF(O58:Q58,"?*")&lt;N(INDEX(Setup!$L$6:$L$23,1)))+(COUNTIF(S58:U58,"?*")&lt;N(INDEX(Setup!$L$6:$L$23,1)))+((W58="")*(INDEX(Setup!$M$6:$M$23,1)="Y"))+((Y58="")*(INDEX(Setup!$M$6:$M$23,1)="Y")))</f>
        <v/>
      </c>
      <c r="AC58" s="90">
        <f>IF($B58="","",IF(AB58=0,"✓ covered","⚠ "&amp;AB58&amp;IF(AB58=1," gap"," gaps")))</f>
        <v/>
      </c>
    </row>
    <row r="59" ht="17" customHeight="1">
      <c r="A59" t="n">
        <v>2</v>
      </c>
      <c r="B59" s="29">
        <f>IF(Setup!$K$7="","",Setup!$K$7)</f>
        <v/>
      </c>
      <c r="C59" s="88" t="n"/>
      <c r="D59" s="88" t="n"/>
      <c r="E59" s="88" t="n"/>
      <c r="F59" s="89" t="n"/>
      <c r="G59" s="88" t="n"/>
      <c r="H59" s="88" t="n"/>
      <c r="I59" s="88" t="n"/>
      <c r="J59" s="89" t="n"/>
      <c r="K59" s="88" t="n"/>
      <c r="L59" s="88" t="n"/>
      <c r="M59" s="88" t="n"/>
      <c r="N59" s="89" t="n"/>
      <c r="O59" s="88" t="n"/>
      <c r="P59" s="88" t="n"/>
      <c r="Q59" s="88" t="n"/>
      <c r="R59" s="89" t="n"/>
      <c r="S59" s="88" t="n"/>
      <c r="T59" s="88" t="n"/>
      <c r="U59" s="88" t="n"/>
      <c r="V59" s="89" t="n"/>
      <c r="W59" s="88" t="n"/>
      <c r="X59" s="89" t="n"/>
      <c r="Y59" s="88" t="n"/>
      <c r="Z59" s="89" t="n"/>
      <c r="AB59" s="30">
        <f>IF($B59="","",(COUNTIF(C59:E59,"?*")&lt;N(INDEX(Setup!$L$6:$L$23,2)))+(COUNTIF(G59:I59,"?*")&lt;N(INDEX(Setup!$L$6:$L$23,2)))+(COUNTIF(K59:M59,"?*")&lt;N(INDEX(Setup!$L$6:$L$23,2)))+(COUNTIF(O59:Q59,"?*")&lt;N(INDEX(Setup!$L$6:$L$23,2)))+(COUNTIF(S59:U59,"?*")&lt;N(INDEX(Setup!$L$6:$L$23,2)))+((W59="")*(INDEX(Setup!$M$6:$M$23,2)="Y"))+((Y59="")*(INDEX(Setup!$M$6:$M$23,2)="Y")))</f>
        <v/>
      </c>
      <c r="AC59" s="91">
        <f>IF($B59="","",IF(AB59=0,"✓ covered","⚠ "&amp;AB59&amp;IF(AB59=1," gap"," gaps")))</f>
        <v/>
      </c>
    </row>
    <row r="60" ht="17" customHeight="1">
      <c r="A60" t="n">
        <v>2</v>
      </c>
      <c r="B60" s="24">
        <f>IF(Setup!$K$8="","",Setup!$K$8)</f>
        <v/>
      </c>
      <c r="C60" s="88" t="n"/>
      <c r="D60" s="88" t="n"/>
      <c r="E60" s="88" t="n"/>
      <c r="F60" s="89" t="n"/>
      <c r="G60" s="88" t="n"/>
      <c r="H60" s="88" t="n"/>
      <c r="I60" s="88" t="n"/>
      <c r="J60" s="89" t="n"/>
      <c r="K60" s="88" t="n"/>
      <c r="L60" s="88" t="n"/>
      <c r="M60" s="88" t="n"/>
      <c r="N60" s="89" t="n"/>
      <c r="O60" s="88" t="n"/>
      <c r="P60" s="88" t="n"/>
      <c r="Q60" s="88" t="n"/>
      <c r="R60" s="89" t="n"/>
      <c r="S60" s="88" t="n"/>
      <c r="T60" s="88" t="n"/>
      <c r="U60" s="88" t="n"/>
      <c r="V60" s="89" t="n"/>
      <c r="W60" s="88" t="n"/>
      <c r="X60" s="89" t="n"/>
      <c r="Y60" s="88" t="n"/>
      <c r="Z60" s="89" t="n"/>
      <c r="AB60" s="25">
        <f>IF($B60="","",(COUNTIF(C60:E60,"?*")&lt;N(INDEX(Setup!$L$6:$L$23,3)))+(COUNTIF(G60:I60,"?*")&lt;N(INDEX(Setup!$L$6:$L$23,3)))+(COUNTIF(K60:M60,"?*")&lt;N(INDEX(Setup!$L$6:$L$23,3)))+(COUNTIF(O60:Q60,"?*")&lt;N(INDEX(Setup!$L$6:$L$23,3)))+(COUNTIF(S60:U60,"?*")&lt;N(INDEX(Setup!$L$6:$L$23,3)))+((W60="")*(INDEX(Setup!$M$6:$M$23,3)="Y"))+((Y60="")*(INDEX(Setup!$M$6:$M$23,3)="Y")))</f>
        <v/>
      </c>
      <c r="AC60" s="90">
        <f>IF($B60="","",IF(AB60=0,"✓ covered","⚠ "&amp;AB60&amp;IF(AB60=1," gap"," gaps")))</f>
        <v/>
      </c>
    </row>
    <row r="61" ht="17" customHeight="1">
      <c r="A61" t="n">
        <v>2</v>
      </c>
      <c r="B61" s="29">
        <f>IF(Setup!$K$9="","",Setup!$K$9)</f>
        <v/>
      </c>
      <c r="C61" s="88" t="n"/>
      <c r="D61" s="88" t="n"/>
      <c r="E61" s="88" t="n"/>
      <c r="F61" s="89" t="n"/>
      <c r="G61" s="88" t="n"/>
      <c r="H61" s="88" t="n"/>
      <c r="I61" s="88" t="n"/>
      <c r="J61" s="89" t="n"/>
      <c r="K61" s="88" t="n"/>
      <c r="L61" s="88" t="n"/>
      <c r="M61" s="88" t="n"/>
      <c r="N61" s="89" t="n"/>
      <c r="O61" s="88" t="n"/>
      <c r="P61" s="88" t="n"/>
      <c r="Q61" s="88" t="n"/>
      <c r="R61" s="89" t="n"/>
      <c r="S61" s="88" t="n"/>
      <c r="T61" s="88" t="n"/>
      <c r="U61" s="88" t="n"/>
      <c r="V61" s="89" t="n"/>
      <c r="W61" s="88" t="n"/>
      <c r="X61" s="89" t="n"/>
      <c r="Y61" s="88" t="n"/>
      <c r="Z61" s="89" t="n"/>
      <c r="AB61" s="30">
        <f>IF($B61="","",(COUNTIF(C61:E61,"?*")&lt;N(INDEX(Setup!$L$6:$L$23,4)))+(COUNTIF(G61:I61,"?*")&lt;N(INDEX(Setup!$L$6:$L$23,4)))+(COUNTIF(K61:M61,"?*")&lt;N(INDEX(Setup!$L$6:$L$23,4)))+(COUNTIF(O61:Q61,"?*")&lt;N(INDEX(Setup!$L$6:$L$23,4)))+(COUNTIF(S61:U61,"?*")&lt;N(INDEX(Setup!$L$6:$L$23,4)))+((W61="")*(INDEX(Setup!$M$6:$M$23,4)="Y"))+((Y61="")*(INDEX(Setup!$M$6:$M$23,4)="Y")))</f>
        <v/>
      </c>
      <c r="AC61" s="91">
        <f>IF($B61="","",IF(AB61=0,"✓ covered","⚠ "&amp;AB61&amp;IF(AB61=1," gap"," gaps")))</f>
        <v/>
      </c>
    </row>
    <row r="62" ht="17" customHeight="1">
      <c r="A62" t="n">
        <v>2</v>
      </c>
      <c r="B62" s="24">
        <f>IF(Setup!$K$10="","",Setup!$K$10)</f>
        <v/>
      </c>
      <c r="C62" s="88" t="n"/>
      <c r="D62" s="88" t="n"/>
      <c r="E62" s="88" t="n"/>
      <c r="F62" s="89" t="n"/>
      <c r="G62" s="88" t="n"/>
      <c r="H62" s="88" t="n"/>
      <c r="I62" s="88" t="n"/>
      <c r="J62" s="89" t="n"/>
      <c r="K62" s="88" t="n"/>
      <c r="L62" s="88" t="n"/>
      <c r="M62" s="88" t="n"/>
      <c r="N62" s="89" t="n"/>
      <c r="O62" s="88" t="n"/>
      <c r="P62" s="88" t="n"/>
      <c r="Q62" s="88" t="n"/>
      <c r="R62" s="89" t="n"/>
      <c r="S62" s="88" t="n"/>
      <c r="T62" s="88" t="n"/>
      <c r="U62" s="88" t="n"/>
      <c r="V62" s="89" t="n"/>
      <c r="W62" s="88" t="n"/>
      <c r="X62" s="89" t="n"/>
      <c r="Y62" s="88" t="n"/>
      <c r="Z62" s="89" t="n"/>
      <c r="AB62" s="25">
        <f>IF($B62="","",(COUNTIF(C62:E62,"?*")&lt;N(INDEX(Setup!$L$6:$L$23,5)))+(COUNTIF(G62:I62,"?*")&lt;N(INDEX(Setup!$L$6:$L$23,5)))+(COUNTIF(K62:M62,"?*")&lt;N(INDEX(Setup!$L$6:$L$23,5)))+(COUNTIF(O62:Q62,"?*")&lt;N(INDEX(Setup!$L$6:$L$23,5)))+(COUNTIF(S62:U62,"?*")&lt;N(INDEX(Setup!$L$6:$L$23,5)))+((W62="")*(INDEX(Setup!$M$6:$M$23,5)="Y"))+((Y62="")*(INDEX(Setup!$M$6:$M$23,5)="Y")))</f>
        <v/>
      </c>
      <c r="AC62" s="90">
        <f>IF($B62="","",IF(AB62=0,"✓ covered","⚠ "&amp;AB62&amp;IF(AB62=1," gap"," gaps")))</f>
        <v/>
      </c>
    </row>
    <row r="63" ht="17" customHeight="1">
      <c r="A63" t="n">
        <v>2</v>
      </c>
      <c r="B63" s="29">
        <f>IF(Setup!$K$11="","",Setup!$K$11)</f>
        <v/>
      </c>
      <c r="C63" s="88" t="n"/>
      <c r="D63" s="88" t="n"/>
      <c r="E63" s="88" t="n"/>
      <c r="F63" s="89" t="n"/>
      <c r="G63" s="88" t="n"/>
      <c r="H63" s="88" t="n"/>
      <c r="I63" s="88" t="n"/>
      <c r="J63" s="89" t="n"/>
      <c r="K63" s="88" t="n"/>
      <c r="L63" s="88" t="n"/>
      <c r="M63" s="88" t="n"/>
      <c r="N63" s="89" t="n"/>
      <c r="O63" s="88" t="n"/>
      <c r="P63" s="88" t="n"/>
      <c r="Q63" s="88" t="n"/>
      <c r="R63" s="89" t="n"/>
      <c r="S63" s="88" t="n"/>
      <c r="T63" s="88" t="n"/>
      <c r="U63" s="88" t="n"/>
      <c r="V63" s="89" t="n"/>
      <c r="W63" s="88" t="n"/>
      <c r="X63" s="89" t="n"/>
      <c r="Y63" s="88" t="n"/>
      <c r="Z63" s="89" t="n"/>
      <c r="AB63" s="30">
        <f>IF($B63="","",(COUNTIF(C63:E63,"?*")&lt;N(INDEX(Setup!$L$6:$L$23,6)))+(COUNTIF(G63:I63,"?*")&lt;N(INDEX(Setup!$L$6:$L$23,6)))+(COUNTIF(K63:M63,"?*")&lt;N(INDEX(Setup!$L$6:$L$23,6)))+(COUNTIF(O63:Q63,"?*")&lt;N(INDEX(Setup!$L$6:$L$23,6)))+(COUNTIF(S63:U63,"?*")&lt;N(INDEX(Setup!$L$6:$L$23,6)))+((W63="")*(INDEX(Setup!$M$6:$M$23,6)="Y"))+((Y63="")*(INDEX(Setup!$M$6:$M$23,6)="Y")))</f>
        <v/>
      </c>
      <c r="AC63" s="91">
        <f>IF($B63="","",IF(AB63=0,"✓ covered","⚠ "&amp;AB63&amp;IF(AB63=1," gap"," gaps")))</f>
        <v/>
      </c>
    </row>
    <row r="64" ht="17" customHeight="1">
      <c r="A64" t="n">
        <v>2</v>
      </c>
      <c r="B64" s="24">
        <f>IF(Setup!$K$12="","",Setup!$K$12)</f>
        <v/>
      </c>
      <c r="C64" s="88" t="n"/>
      <c r="D64" s="88" t="n"/>
      <c r="E64" s="88" t="n"/>
      <c r="F64" s="89" t="n"/>
      <c r="G64" s="88" t="n"/>
      <c r="H64" s="88" t="n"/>
      <c r="I64" s="88" t="n"/>
      <c r="J64" s="89" t="n"/>
      <c r="K64" s="88" t="n"/>
      <c r="L64" s="88" t="n"/>
      <c r="M64" s="88" t="n"/>
      <c r="N64" s="89" t="n"/>
      <c r="O64" s="88" t="n"/>
      <c r="P64" s="88" t="n"/>
      <c r="Q64" s="88" t="n"/>
      <c r="R64" s="89" t="n"/>
      <c r="S64" s="88" t="n"/>
      <c r="T64" s="88" t="n"/>
      <c r="U64" s="88" t="n"/>
      <c r="V64" s="89" t="n"/>
      <c r="W64" s="88" t="n"/>
      <c r="X64" s="89" t="n"/>
      <c r="Y64" s="88" t="n"/>
      <c r="Z64" s="89" t="n"/>
      <c r="AB64" s="25">
        <f>IF($B64="","",(COUNTIF(C64:E64,"?*")&lt;N(INDEX(Setup!$L$6:$L$23,7)))+(COUNTIF(G64:I64,"?*")&lt;N(INDEX(Setup!$L$6:$L$23,7)))+(COUNTIF(K64:M64,"?*")&lt;N(INDEX(Setup!$L$6:$L$23,7)))+(COUNTIF(O64:Q64,"?*")&lt;N(INDEX(Setup!$L$6:$L$23,7)))+(COUNTIF(S64:U64,"?*")&lt;N(INDEX(Setup!$L$6:$L$23,7)))+((W64="")*(INDEX(Setup!$M$6:$M$23,7)="Y"))+((Y64="")*(INDEX(Setup!$M$6:$M$23,7)="Y")))</f>
        <v/>
      </c>
      <c r="AC64" s="90">
        <f>IF($B64="","",IF(AB64=0,"✓ covered","⚠ "&amp;AB64&amp;IF(AB64=1," gap"," gaps")))</f>
        <v/>
      </c>
    </row>
    <row r="65" ht="17" customHeight="1">
      <c r="A65" t="n">
        <v>2</v>
      </c>
      <c r="B65" s="29">
        <f>IF(Setup!$K$13="","",Setup!$K$13)</f>
        <v/>
      </c>
      <c r="C65" s="88" t="n"/>
      <c r="D65" s="88" t="n"/>
      <c r="E65" s="88" t="n"/>
      <c r="F65" s="89" t="n"/>
      <c r="G65" s="88" t="n"/>
      <c r="H65" s="88" t="n"/>
      <c r="I65" s="88" t="n"/>
      <c r="J65" s="89" t="n"/>
      <c r="K65" s="88" t="n"/>
      <c r="L65" s="88" t="n"/>
      <c r="M65" s="88" t="n"/>
      <c r="N65" s="89" t="n"/>
      <c r="O65" s="88" t="n"/>
      <c r="P65" s="88" t="n"/>
      <c r="Q65" s="88" t="n"/>
      <c r="R65" s="89" t="n"/>
      <c r="S65" s="88" t="n"/>
      <c r="T65" s="88" t="n"/>
      <c r="U65" s="88" t="n"/>
      <c r="V65" s="89" t="n"/>
      <c r="W65" s="88" t="n"/>
      <c r="X65" s="89" t="n"/>
      <c r="Y65" s="88" t="n"/>
      <c r="Z65" s="89" t="n"/>
      <c r="AB65" s="30">
        <f>IF($B65="","",(COUNTIF(C65:E65,"?*")&lt;N(INDEX(Setup!$L$6:$L$23,8)))+(COUNTIF(G65:I65,"?*")&lt;N(INDEX(Setup!$L$6:$L$23,8)))+(COUNTIF(K65:M65,"?*")&lt;N(INDEX(Setup!$L$6:$L$23,8)))+(COUNTIF(O65:Q65,"?*")&lt;N(INDEX(Setup!$L$6:$L$23,8)))+(COUNTIF(S65:U65,"?*")&lt;N(INDEX(Setup!$L$6:$L$23,8)))+((W65="")*(INDEX(Setup!$M$6:$M$23,8)="Y"))+((Y65="")*(INDEX(Setup!$M$6:$M$23,8)="Y")))</f>
        <v/>
      </c>
      <c r="AC65" s="91">
        <f>IF($B65="","",IF(AB65=0,"✓ covered","⚠ "&amp;AB65&amp;IF(AB65=1," gap"," gaps")))</f>
        <v/>
      </c>
    </row>
    <row r="66" ht="17" customHeight="1">
      <c r="A66" t="n">
        <v>2</v>
      </c>
      <c r="B66" s="24">
        <f>IF(Setup!$K$14="","",Setup!$K$14)</f>
        <v/>
      </c>
      <c r="C66" s="88" t="n"/>
      <c r="D66" s="88" t="n"/>
      <c r="E66" s="88" t="n"/>
      <c r="F66" s="89" t="n"/>
      <c r="G66" s="88" t="n"/>
      <c r="H66" s="88" t="n"/>
      <c r="I66" s="88" t="n"/>
      <c r="J66" s="89" t="n"/>
      <c r="K66" s="88" t="n"/>
      <c r="L66" s="88" t="n"/>
      <c r="M66" s="88" t="n"/>
      <c r="N66" s="89" t="n"/>
      <c r="O66" s="88" t="n"/>
      <c r="P66" s="88" t="n"/>
      <c r="Q66" s="88" t="n"/>
      <c r="R66" s="89" t="n"/>
      <c r="S66" s="88" t="n"/>
      <c r="T66" s="88" t="n"/>
      <c r="U66" s="88" t="n"/>
      <c r="V66" s="89" t="n"/>
      <c r="W66" s="88" t="n"/>
      <c r="X66" s="89" t="n"/>
      <c r="Y66" s="88" t="n"/>
      <c r="Z66" s="89" t="n"/>
      <c r="AB66" s="25">
        <f>IF($B66="","",(COUNTIF(C66:E66,"?*")&lt;N(INDEX(Setup!$L$6:$L$23,9)))+(COUNTIF(G66:I66,"?*")&lt;N(INDEX(Setup!$L$6:$L$23,9)))+(COUNTIF(K66:M66,"?*")&lt;N(INDEX(Setup!$L$6:$L$23,9)))+(COUNTIF(O66:Q66,"?*")&lt;N(INDEX(Setup!$L$6:$L$23,9)))+(COUNTIF(S66:U66,"?*")&lt;N(INDEX(Setup!$L$6:$L$23,9)))+((W66="")*(INDEX(Setup!$M$6:$M$23,9)="Y"))+((Y66="")*(INDEX(Setup!$M$6:$M$23,9)="Y")))</f>
        <v/>
      </c>
      <c r="AC66" s="90">
        <f>IF($B66="","",IF(AB66=0,"✓ covered","⚠ "&amp;AB66&amp;IF(AB66=1," gap"," gaps")))</f>
        <v/>
      </c>
    </row>
    <row r="67" ht="17" customHeight="1">
      <c r="A67" t="n">
        <v>2</v>
      </c>
      <c r="B67" s="29">
        <f>IF(Setup!$K$15="","",Setup!$K$15)</f>
        <v/>
      </c>
      <c r="C67" s="88" t="n"/>
      <c r="D67" s="88" t="n"/>
      <c r="E67" s="88" t="n"/>
      <c r="F67" s="89" t="n"/>
      <c r="G67" s="88" t="n"/>
      <c r="H67" s="88" t="n"/>
      <c r="I67" s="88" t="n"/>
      <c r="J67" s="89" t="n"/>
      <c r="K67" s="88" t="n"/>
      <c r="L67" s="88" t="n"/>
      <c r="M67" s="88" t="n"/>
      <c r="N67" s="89" t="n"/>
      <c r="O67" s="88" t="n"/>
      <c r="P67" s="88" t="n"/>
      <c r="Q67" s="88" t="n"/>
      <c r="R67" s="89" t="n"/>
      <c r="S67" s="88" t="n"/>
      <c r="T67" s="88" t="n"/>
      <c r="U67" s="88" t="n"/>
      <c r="V67" s="89" t="n"/>
      <c r="W67" s="88" t="n"/>
      <c r="X67" s="89" t="n"/>
      <c r="Y67" s="88" t="n"/>
      <c r="Z67" s="89" t="n"/>
      <c r="AB67" s="30">
        <f>IF($B67="","",(COUNTIF(C67:E67,"?*")&lt;N(INDEX(Setup!$L$6:$L$23,10)))+(COUNTIF(G67:I67,"?*")&lt;N(INDEX(Setup!$L$6:$L$23,10)))+(COUNTIF(K67:M67,"?*")&lt;N(INDEX(Setup!$L$6:$L$23,10)))+(COUNTIF(O67:Q67,"?*")&lt;N(INDEX(Setup!$L$6:$L$23,10)))+(COUNTIF(S67:U67,"?*")&lt;N(INDEX(Setup!$L$6:$L$23,10)))+((W67="")*(INDEX(Setup!$M$6:$M$23,10)="Y"))+((Y67="")*(INDEX(Setup!$M$6:$M$23,10)="Y")))</f>
        <v/>
      </c>
      <c r="AC67" s="91">
        <f>IF($B67="","",IF(AB67=0,"✓ covered","⚠ "&amp;AB67&amp;IF(AB67=1," gap"," gaps")))</f>
        <v/>
      </c>
    </row>
    <row r="68" ht="17" customHeight="1">
      <c r="A68" t="n">
        <v>2</v>
      </c>
      <c r="B68" s="24">
        <f>IF(Setup!$K$16="","",Setup!$K$16)</f>
        <v/>
      </c>
      <c r="C68" s="88" t="n"/>
      <c r="D68" s="88" t="n"/>
      <c r="E68" s="88" t="n"/>
      <c r="F68" s="89" t="n"/>
      <c r="G68" s="88" t="n"/>
      <c r="H68" s="88" t="n"/>
      <c r="I68" s="88" t="n"/>
      <c r="J68" s="89" t="n"/>
      <c r="K68" s="88" t="n"/>
      <c r="L68" s="88" t="n"/>
      <c r="M68" s="88" t="n"/>
      <c r="N68" s="89" t="n"/>
      <c r="O68" s="88" t="n"/>
      <c r="P68" s="88" t="n"/>
      <c r="Q68" s="88" t="n"/>
      <c r="R68" s="89" t="n"/>
      <c r="S68" s="88" t="n"/>
      <c r="T68" s="88" t="n"/>
      <c r="U68" s="88" t="n"/>
      <c r="V68" s="89" t="n"/>
      <c r="W68" s="88" t="n"/>
      <c r="X68" s="89" t="n"/>
      <c r="Y68" s="88" t="n"/>
      <c r="Z68" s="89" t="n"/>
      <c r="AB68" s="25">
        <f>IF($B68="","",(COUNTIF(C68:E68,"?*")&lt;N(INDEX(Setup!$L$6:$L$23,11)))+(COUNTIF(G68:I68,"?*")&lt;N(INDEX(Setup!$L$6:$L$23,11)))+(COUNTIF(K68:M68,"?*")&lt;N(INDEX(Setup!$L$6:$L$23,11)))+(COUNTIF(O68:Q68,"?*")&lt;N(INDEX(Setup!$L$6:$L$23,11)))+(COUNTIF(S68:U68,"?*")&lt;N(INDEX(Setup!$L$6:$L$23,11)))+((W68="")*(INDEX(Setup!$M$6:$M$23,11)="Y"))+((Y68="")*(INDEX(Setup!$M$6:$M$23,11)="Y")))</f>
        <v/>
      </c>
      <c r="AC68" s="90">
        <f>IF($B68="","",IF(AB68=0,"✓ covered","⚠ "&amp;AB68&amp;IF(AB68=1," gap"," gaps")))</f>
        <v/>
      </c>
    </row>
    <row r="69" ht="17" customHeight="1">
      <c r="A69" t="n">
        <v>2</v>
      </c>
      <c r="B69" s="29">
        <f>IF(Setup!$K$17="","",Setup!$K$17)</f>
        <v/>
      </c>
      <c r="C69" s="88" t="n"/>
      <c r="D69" s="88" t="n"/>
      <c r="E69" s="88" t="n"/>
      <c r="F69" s="89" t="n"/>
      <c r="G69" s="88" t="n"/>
      <c r="H69" s="88" t="n"/>
      <c r="I69" s="88" t="n"/>
      <c r="J69" s="89" t="n"/>
      <c r="K69" s="88" t="n"/>
      <c r="L69" s="88" t="n"/>
      <c r="M69" s="88" t="n"/>
      <c r="N69" s="89" t="n"/>
      <c r="O69" s="88" t="n"/>
      <c r="P69" s="88" t="n"/>
      <c r="Q69" s="88" t="n"/>
      <c r="R69" s="89" t="n"/>
      <c r="S69" s="88" t="n"/>
      <c r="T69" s="88" t="n"/>
      <c r="U69" s="88" t="n"/>
      <c r="V69" s="89" t="n"/>
      <c r="W69" s="88" t="n"/>
      <c r="X69" s="89" t="n"/>
      <c r="Y69" s="88" t="n"/>
      <c r="Z69" s="89" t="n"/>
      <c r="AB69" s="30">
        <f>IF($B69="","",(COUNTIF(C69:E69,"?*")&lt;N(INDEX(Setup!$L$6:$L$23,12)))+(COUNTIF(G69:I69,"?*")&lt;N(INDEX(Setup!$L$6:$L$23,12)))+(COUNTIF(K69:M69,"?*")&lt;N(INDEX(Setup!$L$6:$L$23,12)))+(COUNTIF(O69:Q69,"?*")&lt;N(INDEX(Setup!$L$6:$L$23,12)))+(COUNTIF(S69:U69,"?*")&lt;N(INDEX(Setup!$L$6:$L$23,12)))+((W69="")*(INDEX(Setup!$M$6:$M$23,12)="Y"))+((Y69="")*(INDEX(Setup!$M$6:$M$23,12)="Y")))</f>
        <v/>
      </c>
      <c r="AC69" s="91">
        <f>IF($B69="","",IF(AB69=0,"✓ covered","⚠ "&amp;AB69&amp;IF(AB69=1," gap"," gaps")))</f>
        <v/>
      </c>
    </row>
    <row r="70" ht="17" customHeight="1">
      <c r="A70" t="n">
        <v>2</v>
      </c>
      <c r="B70" s="24">
        <f>IF(Setup!$K$18="","",Setup!$K$18)</f>
        <v/>
      </c>
      <c r="C70" s="88" t="n"/>
      <c r="D70" s="88" t="n"/>
      <c r="E70" s="88" t="n"/>
      <c r="F70" s="89" t="n"/>
      <c r="G70" s="88" t="n"/>
      <c r="H70" s="88" t="n"/>
      <c r="I70" s="88" t="n"/>
      <c r="J70" s="89" t="n"/>
      <c r="K70" s="88" t="n"/>
      <c r="L70" s="88" t="n"/>
      <c r="M70" s="88" t="n"/>
      <c r="N70" s="89" t="n"/>
      <c r="O70" s="88" t="n"/>
      <c r="P70" s="88" t="n"/>
      <c r="Q70" s="88" t="n"/>
      <c r="R70" s="89" t="n"/>
      <c r="S70" s="88" t="n"/>
      <c r="T70" s="88" t="n"/>
      <c r="U70" s="88" t="n"/>
      <c r="V70" s="89" t="n"/>
      <c r="W70" s="88" t="n"/>
      <c r="X70" s="89" t="n"/>
      <c r="Y70" s="88" t="n"/>
      <c r="Z70" s="89" t="n"/>
      <c r="AB70" s="25">
        <f>IF($B70="","",(COUNTIF(C70:E70,"?*")&lt;N(INDEX(Setup!$L$6:$L$23,13)))+(COUNTIF(G70:I70,"?*")&lt;N(INDEX(Setup!$L$6:$L$23,13)))+(COUNTIF(K70:M70,"?*")&lt;N(INDEX(Setup!$L$6:$L$23,13)))+(COUNTIF(O70:Q70,"?*")&lt;N(INDEX(Setup!$L$6:$L$23,13)))+(COUNTIF(S70:U70,"?*")&lt;N(INDEX(Setup!$L$6:$L$23,13)))+((W70="")*(INDEX(Setup!$M$6:$M$23,13)="Y"))+((Y70="")*(INDEX(Setup!$M$6:$M$23,13)="Y")))</f>
        <v/>
      </c>
      <c r="AC70" s="90">
        <f>IF($B70="","",IF(AB70=0,"✓ covered","⚠ "&amp;AB70&amp;IF(AB70=1," gap"," gaps")))</f>
        <v/>
      </c>
    </row>
    <row r="71" ht="17" customHeight="1">
      <c r="A71" t="n">
        <v>2</v>
      </c>
      <c r="B71" s="29">
        <f>IF(Setup!$K$19="","",Setup!$K$19)</f>
        <v/>
      </c>
      <c r="C71" s="88" t="n"/>
      <c r="D71" s="88" t="n"/>
      <c r="E71" s="88" t="n"/>
      <c r="F71" s="89" t="n"/>
      <c r="G71" s="88" t="n"/>
      <c r="H71" s="88" t="n"/>
      <c r="I71" s="88" t="n"/>
      <c r="J71" s="89" t="n"/>
      <c r="K71" s="88" t="n"/>
      <c r="L71" s="88" t="n"/>
      <c r="M71" s="88" t="n"/>
      <c r="N71" s="89" t="n"/>
      <c r="O71" s="88" t="n"/>
      <c r="P71" s="88" t="n"/>
      <c r="Q71" s="88" t="n"/>
      <c r="R71" s="89" t="n"/>
      <c r="S71" s="88" t="n"/>
      <c r="T71" s="88" t="n"/>
      <c r="U71" s="88" t="n"/>
      <c r="V71" s="89" t="n"/>
      <c r="W71" s="88" t="n"/>
      <c r="X71" s="89" t="n"/>
      <c r="Y71" s="88" t="n"/>
      <c r="Z71" s="89" t="n"/>
      <c r="AB71" s="30">
        <f>IF($B71="","",(COUNTIF(C71:E71,"?*")&lt;N(INDEX(Setup!$L$6:$L$23,14)))+(COUNTIF(G71:I71,"?*")&lt;N(INDEX(Setup!$L$6:$L$23,14)))+(COUNTIF(K71:M71,"?*")&lt;N(INDEX(Setup!$L$6:$L$23,14)))+(COUNTIF(O71:Q71,"?*")&lt;N(INDEX(Setup!$L$6:$L$23,14)))+(COUNTIF(S71:U71,"?*")&lt;N(INDEX(Setup!$L$6:$L$23,14)))+((W71="")*(INDEX(Setup!$M$6:$M$23,14)="Y"))+((Y71="")*(INDEX(Setup!$M$6:$M$23,14)="Y")))</f>
        <v/>
      </c>
      <c r="AC71" s="91">
        <f>IF($B71="","",IF(AB71=0,"✓ covered","⚠ "&amp;AB71&amp;IF(AB71=1," gap"," gaps")))</f>
        <v/>
      </c>
    </row>
    <row r="72" ht="17" customHeight="1">
      <c r="A72" t="n">
        <v>2</v>
      </c>
      <c r="B72" s="24">
        <f>IF(Setup!$K$20="","",Setup!$K$20)</f>
        <v/>
      </c>
      <c r="C72" s="88" t="n"/>
      <c r="D72" s="88" t="n"/>
      <c r="E72" s="88" t="n"/>
      <c r="F72" s="89" t="n"/>
      <c r="G72" s="88" t="n"/>
      <c r="H72" s="88" t="n"/>
      <c r="I72" s="88" t="n"/>
      <c r="J72" s="89" t="n"/>
      <c r="K72" s="88" t="n"/>
      <c r="L72" s="88" t="n"/>
      <c r="M72" s="88" t="n"/>
      <c r="N72" s="89" t="n"/>
      <c r="O72" s="88" t="n"/>
      <c r="P72" s="88" t="n"/>
      <c r="Q72" s="88" t="n"/>
      <c r="R72" s="89" t="n"/>
      <c r="S72" s="88" t="n"/>
      <c r="T72" s="88" t="n"/>
      <c r="U72" s="88" t="n"/>
      <c r="V72" s="89" t="n"/>
      <c r="W72" s="88" t="n"/>
      <c r="X72" s="89" t="n"/>
      <c r="Y72" s="88" t="n"/>
      <c r="Z72" s="89" t="n"/>
      <c r="AB72" s="25">
        <f>IF($B72="","",(COUNTIF(C72:E72,"?*")&lt;N(INDEX(Setup!$L$6:$L$23,15)))+(COUNTIF(G72:I72,"?*")&lt;N(INDEX(Setup!$L$6:$L$23,15)))+(COUNTIF(K72:M72,"?*")&lt;N(INDEX(Setup!$L$6:$L$23,15)))+(COUNTIF(O72:Q72,"?*")&lt;N(INDEX(Setup!$L$6:$L$23,15)))+(COUNTIF(S72:U72,"?*")&lt;N(INDEX(Setup!$L$6:$L$23,15)))+((W72="")*(INDEX(Setup!$M$6:$M$23,15)="Y"))+((Y72="")*(INDEX(Setup!$M$6:$M$23,15)="Y")))</f>
        <v/>
      </c>
      <c r="AC72" s="90">
        <f>IF($B72="","",IF(AB72=0,"✓ covered","⚠ "&amp;AB72&amp;IF(AB72=1," gap"," gaps")))</f>
        <v/>
      </c>
    </row>
    <row r="73" ht="17" customHeight="1">
      <c r="A73" t="n">
        <v>2</v>
      </c>
      <c r="B73" s="29">
        <f>IF(Setup!$K$21="","",Setup!$K$21)</f>
        <v/>
      </c>
      <c r="C73" s="88" t="n"/>
      <c r="D73" s="88" t="n"/>
      <c r="E73" s="88" t="n"/>
      <c r="F73" s="89" t="n"/>
      <c r="G73" s="88" t="n"/>
      <c r="H73" s="88" t="n"/>
      <c r="I73" s="88" t="n"/>
      <c r="J73" s="89" t="n"/>
      <c r="K73" s="88" t="n"/>
      <c r="L73" s="88" t="n"/>
      <c r="M73" s="88" t="n"/>
      <c r="N73" s="89" t="n"/>
      <c r="O73" s="88" t="n"/>
      <c r="P73" s="88" t="n"/>
      <c r="Q73" s="88" t="n"/>
      <c r="R73" s="89" t="n"/>
      <c r="S73" s="88" t="n"/>
      <c r="T73" s="88" t="n"/>
      <c r="U73" s="88" t="n"/>
      <c r="V73" s="89" t="n"/>
      <c r="W73" s="88" t="n"/>
      <c r="X73" s="89" t="n"/>
      <c r="Y73" s="88" t="n"/>
      <c r="Z73" s="89" t="n"/>
      <c r="AB73" s="30">
        <f>IF($B73="","",(COUNTIF(C73:E73,"?*")&lt;N(INDEX(Setup!$L$6:$L$23,16)))+(COUNTIF(G73:I73,"?*")&lt;N(INDEX(Setup!$L$6:$L$23,16)))+(COUNTIF(K73:M73,"?*")&lt;N(INDEX(Setup!$L$6:$L$23,16)))+(COUNTIF(O73:Q73,"?*")&lt;N(INDEX(Setup!$L$6:$L$23,16)))+(COUNTIF(S73:U73,"?*")&lt;N(INDEX(Setup!$L$6:$L$23,16)))+((W73="")*(INDEX(Setup!$M$6:$M$23,16)="Y"))+((Y73="")*(INDEX(Setup!$M$6:$M$23,16)="Y")))</f>
        <v/>
      </c>
      <c r="AC73" s="91">
        <f>IF($B73="","",IF(AB73=0,"✓ covered","⚠ "&amp;AB73&amp;IF(AB73=1," gap"," gaps")))</f>
        <v/>
      </c>
    </row>
    <row r="74" ht="17" customHeight="1">
      <c r="A74" t="n">
        <v>2</v>
      </c>
      <c r="B74" s="24">
        <f>IF(Setup!$K$22="","",Setup!$K$22)</f>
        <v/>
      </c>
      <c r="C74" s="88" t="n"/>
      <c r="D74" s="88" t="n"/>
      <c r="E74" s="88" t="n"/>
      <c r="F74" s="89" t="n"/>
      <c r="G74" s="88" t="n"/>
      <c r="H74" s="88" t="n"/>
      <c r="I74" s="88" t="n"/>
      <c r="J74" s="89" t="n"/>
      <c r="K74" s="88" t="n"/>
      <c r="L74" s="88" t="n"/>
      <c r="M74" s="88" t="n"/>
      <c r="N74" s="89" t="n"/>
      <c r="O74" s="88" t="n"/>
      <c r="P74" s="88" t="n"/>
      <c r="Q74" s="88" t="n"/>
      <c r="R74" s="89" t="n"/>
      <c r="S74" s="88" t="n"/>
      <c r="T74" s="88" t="n"/>
      <c r="U74" s="88" t="n"/>
      <c r="V74" s="89" t="n"/>
      <c r="W74" s="88" t="n"/>
      <c r="X74" s="89" t="n"/>
      <c r="Y74" s="88" t="n"/>
      <c r="Z74" s="89" t="n"/>
      <c r="AB74" s="25">
        <f>IF($B74="","",(COUNTIF(C74:E74,"?*")&lt;N(INDEX(Setup!$L$6:$L$23,17)))+(COUNTIF(G74:I74,"?*")&lt;N(INDEX(Setup!$L$6:$L$23,17)))+(COUNTIF(K74:M74,"?*")&lt;N(INDEX(Setup!$L$6:$L$23,17)))+(COUNTIF(O74:Q74,"?*")&lt;N(INDEX(Setup!$L$6:$L$23,17)))+(COUNTIF(S74:U74,"?*")&lt;N(INDEX(Setup!$L$6:$L$23,17)))+((W74="")*(INDEX(Setup!$M$6:$M$23,17)="Y"))+((Y74="")*(INDEX(Setup!$M$6:$M$23,17)="Y")))</f>
        <v/>
      </c>
      <c r="AC74" s="90">
        <f>IF($B74="","",IF(AB74=0,"✓ covered","⚠ "&amp;AB74&amp;IF(AB74=1," gap"," gaps")))</f>
        <v/>
      </c>
    </row>
    <row r="75" ht="17" customHeight="1">
      <c r="A75" t="n">
        <v>2</v>
      </c>
      <c r="B75" s="29">
        <f>IF(Setup!$K$23="","",Setup!$K$23)</f>
        <v/>
      </c>
      <c r="C75" s="88" t="n"/>
      <c r="D75" s="88" t="n"/>
      <c r="E75" s="88" t="n"/>
      <c r="F75" s="89" t="n"/>
      <c r="G75" s="88" t="n"/>
      <c r="H75" s="88" t="n"/>
      <c r="I75" s="88" t="n"/>
      <c r="J75" s="89" t="n"/>
      <c r="K75" s="88" t="n"/>
      <c r="L75" s="88" t="n"/>
      <c r="M75" s="88" t="n"/>
      <c r="N75" s="89" t="n"/>
      <c r="O75" s="88" t="n"/>
      <c r="P75" s="88" t="n"/>
      <c r="Q75" s="88" t="n"/>
      <c r="R75" s="89" t="n"/>
      <c r="S75" s="88" t="n"/>
      <c r="T75" s="88" t="n"/>
      <c r="U75" s="88" t="n"/>
      <c r="V75" s="89" t="n"/>
      <c r="W75" s="88" t="n"/>
      <c r="X75" s="89" t="n"/>
      <c r="Y75" s="88" t="n"/>
      <c r="Z75" s="89" t="n"/>
      <c r="AB75" s="30">
        <f>IF($B75="","",(COUNTIF(C75:E75,"?*")&lt;N(INDEX(Setup!$L$6:$L$23,18)))+(COUNTIF(G75:I75,"?*")&lt;N(INDEX(Setup!$L$6:$L$23,18)))+(COUNTIF(K75:M75,"?*")&lt;N(INDEX(Setup!$L$6:$L$23,18)))+(COUNTIF(O75:Q75,"?*")&lt;N(INDEX(Setup!$L$6:$L$23,18)))+(COUNTIF(S75:U75,"?*")&lt;N(INDEX(Setup!$L$6:$L$23,18)))+((W75="")*(INDEX(Setup!$M$6:$M$23,18)="Y"))+((Y75="")*(INDEX(Setup!$M$6:$M$23,18)="Y")))</f>
        <v/>
      </c>
      <c r="AC75" s="91">
        <f>IF($B75="","",IF(AB75=0,"✓ covered","⚠ "&amp;AB75&amp;IF(AB75=1," gap"," gaps")))</f>
        <v/>
      </c>
    </row>
    <row r="76" ht="18" customHeight="1">
      <c r="A76" t="n">
        <v>2</v>
      </c>
      <c r="B76" s="78" t="inlineStr">
        <is>
          <t>TEAM AVAILABILITY</t>
        </is>
      </c>
      <c r="C76" s="92" t="inlineStr">
        <is>
          <t>Mon</t>
        </is>
      </c>
      <c r="D76" s="93" t="n"/>
      <c r="E76" s="93" t="n"/>
      <c r="F76" s="94" t="n"/>
      <c r="G76" s="92" t="inlineStr">
        <is>
          <t>Tue</t>
        </is>
      </c>
      <c r="H76" s="93" t="n"/>
      <c r="I76" s="93" t="n"/>
      <c r="J76" s="94" t="n"/>
      <c r="K76" s="92" t="inlineStr">
        <is>
          <t>Wed</t>
        </is>
      </c>
      <c r="L76" s="93" t="n"/>
      <c r="M76" s="93" t="n"/>
      <c r="N76" s="94" t="n"/>
      <c r="O76" s="92" t="inlineStr">
        <is>
          <t>Thu</t>
        </is>
      </c>
      <c r="P76" s="93" t="n"/>
      <c r="Q76" s="93" t="n"/>
      <c r="R76" s="94" t="n"/>
      <c r="S76" s="92" t="inlineStr">
        <is>
          <t>Fri</t>
        </is>
      </c>
      <c r="T76" s="93" t="n"/>
      <c r="U76" s="93" t="n"/>
      <c r="V76" s="94" t="n"/>
      <c r="W76" s="95" t="inlineStr">
        <is>
          <t>Sat</t>
        </is>
      </c>
      <c r="X76" s="96" t="n"/>
      <c r="Y76" s="95" t="inlineStr">
        <is>
          <t>Sun</t>
        </is>
      </c>
      <c r="Z76" s="96" t="n"/>
      <c r="AB76" s="97" t="inlineStr">
        <is>
          <t>Days rostered</t>
        </is>
      </c>
      <c r="AC76" s="97" t="inlineStr">
        <is>
          <t>Conflicts</t>
        </is>
      </c>
    </row>
    <row r="77" ht="15" customHeight="1">
      <c r="A77" t="n">
        <v>2</v>
      </c>
      <c r="B77" s="35">
        <f>IF(Setup!$B$6="","",Setup!$B$6)</f>
        <v/>
      </c>
      <c r="C77" s="98" t="inlineStr">
        <is>
          <t>AL</t>
        </is>
      </c>
      <c r="D77" s="99" t="n"/>
      <c r="E77" s="99" t="n"/>
      <c r="F77" s="100" t="n"/>
      <c r="G77" s="98" t="n"/>
      <c r="H77" s="99" t="n"/>
      <c r="I77" s="99" t="n"/>
      <c r="J77" s="100" t="n"/>
      <c r="K77" s="98" t="n"/>
      <c r="L77" s="99" t="n"/>
      <c r="M77" s="99" t="n"/>
      <c r="N77" s="100" t="n"/>
      <c r="O77" s="98" t="n"/>
      <c r="P77" s="99" t="n"/>
      <c r="Q77" s="99" t="n"/>
      <c r="R77" s="100" t="n"/>
      <c r="S77" s="98" t="n"/>
      <c r="T77" s="99" t="n"/>
      <c r="U77" s="99" t="n"/>
      <c r="V77" s="100" t="n"/>
      <c r="W77" s="98" t="n"/>
      <c r="X77" s="100" t="n"/>
      <c r="Y77" s="98" t="n"/>
      <c r="Z77" s="100" t="n"/>
      <c r="AB77" s="101">
        <f>IF($B77="","",(COUNTIF(C58:E75,$B77)+COUNTIF(C58:E75,$B77&amp;" ~*")&gt;0)+(COUNTIF(G58:I75,$B77)+COUNTIF(G58:I75,$B77&amp;" ~*")&gt;0)+(COUNTIF(K58:M75,$B77)+COUNTIF(K58:M75,$B77&amp;" ~*")&gt;0)+(COUNTIF(O58:Q75,$B77)+COUNTIF(O58:Q75,$B77&amp;" ~*")&gt;0)+(COUNTIF(S58:U75,$B77)+COUNTIF(S58:U75,$B77&amp;" ~*")&gt;0)+(COUNTIF(W58:W75,$B77)+COUNTIF(W58:W75,$B77&amp;" ~*")&gt;0)+(COUNTIF(Y58:Y75,$B77)+COUNTIF(Y58:Y75,$B77&amp;" ~*")&gt;0))</f>
        <v/>
      </c>
      <c r="AC77" s="36">
        <f>IF($B77="","",(IFERROR(INDEX(Setup!$G$33:$G$40,MATCH(C77,Setup!$B$33:$B$40,0)),0)=1)*(COUNTIF(C58:E75,$B77)+COUNTIF(C58:E75,$B77&amp;" ~*")&gt;0)+(IFERROR(INDEX(Setup!$G$33:$G$40,MATCH(G77,Setup!$B$33:$B$40,0)),0)=1)*(COUNTIF(G58:I75,$B77)+COUNTIF(G58:I75,$B77&amp;" ~*")&gt;0)+(IFERROR(INDEX(Setup!$G$33:$G$40,MATCH(K77,Setup!$B$33:$B$40,0)),0)=1)*(COUNTIF(K58:M75,$B77)+COUNTIF(K58:M75,$B77&amp;" ~*")&gt;0)+(IFERROR(INDEX(Setup!$G$33:$G$40,MATCH(O77,Setup!$B$33:$B$40,0)),0)=1)*(COUNTIF(O58:Q75,$B77)+COUNTIF(O58:Q75,$B77&amp;" ~*")&gt;0)+(IFERROR(INDEX(Setup!$G$33:$G$40,MATCH(S77,Setup!$B$33:$B$40,0)),0)=1)*(COUNTIF(S58:U75,$B77)+COUNTIF(S58:U75,$B77&amp;" ~*")&gt;0)+(IFERROR(INDEX(Setup!$G$33:$G$40,MATCH(W77,Setup!$B$33:$B$40,0)),0)=1)*(COUNTIF(W58:W75,$B77)+COUNTIF(W58:W75,$B77&amp;" ~*")&gt;0)+(IFERROR(INDEX(Setup!$G$33:$G$40,MATCH(Y77,Setup!$B$33:$B$40,0)),0)=1)*(COUNTIF(Y58:Y75,$B77)+COUNTIF(Y58:Y75,$B77&amp;" ~*")&gt;0))</f>
        <v/>
      </c>
    </row>
    <row r="78" ht="15" customHeight="1">
      <c r="A78" t="n">
        <v>2</v>
      </c>
      <c r="B78" s="37">
        <f>IF(Setup!$B$7="","",Setup!$B$7)</f>
        <v/>
      </c>
      <c r="C78" s="102" t="n"/>
      <c r="D78" s="103" t="n"/>
      <c r="E78" s="103" t="n"/>
      <c r="F78" s="104" t="n"/>
      <c r="G78" s="102" t="n"/>
      <c r="H78" s="103" t="n"/>
      <c r="I78" s="103" t="n"/>
      <c r="J78" s="104" t="n"/>
      <c r="K78" s="102" t="n"/>
      <c r="L78" s="103" t="n"/>
      <c r="M78" s="103" t="n"/>
      <c r="N78" s="104" t="n"/>
      <c r="O78" s="102" t="n"/>
      <c r="P78" s="103" t="n"/>
      <c r="Q78" s="103" t="n"/>
      <c r="R78" s="104" t="n"/>
      <c r="S78" s="102" t="n"/>
      <c r="T78" s="103" t="n"/>
      <c r="U78" s="103" t="n"/>
      <c r="V78" s="104" t="n"/>
      <c r="W78" s="102" t="n"/>
      <c r="X78" s="104" t="n"/>
      <c r="Y78" s="102" t="n"/>
      <c r="Z78" s="104" t="n"/>
      <c r="AB78" s="105">
        <f>IF($B78="","",(COUNTIF(C58:E75,$B78)+COUNTIF(C58:E75,$B78&amp;" ~*")&gt;0)+(COUNTIF(G58:I75,$B78)+COUNTIF(G58:I75,$B78&amp;" ~*")&gt;0)+(COUNTIF(K58:M75,$B78)+COUNTIF(K58:M75,$B78&amp;" ~*")&gt;0)+(COUNTIF(O58:Q75,$B78)+COUNTIF(O58:Q75,$B78&amp;" ~*")&gt;0)+(COUNTIF(S58:U75,$B78)+COUNTIF(S58:U75,$B78&amp;" ~*")&gt;0)+(COUNTIF(W58:W75,$B78)+COUNTIF(W58:W75,$B78&amp;" ~*")&gt;0)+(COUNTIF(Y58:Y75,$B78)+COUNTIF(Y58:Y75,$B78&amp;" ~*")&gt;0))</f>
        <v/>
      </c>
      <c r="AC78" s="38">
        <f>IF($B78="","",(IFERROR(INDEX(Setup!$G$33:$G$40,MATCH(C78,Setup!$B$33:$B$40,0)),0)=1)*(COUNTIF(C58:E75,$B78)+COUNTIF(C58:E75,$B78&amp;" ~*")&gt;0)+(IFERROR(INDEX(Setup!$G$33:$G$40,MATCH(G78,Setup!$B$33:$B$40,0)),0)=1)*(COUNTIF(G58:I75,$B78)+COUNTIF(G58:I75,$B78&amp;" ~*")&gt;0)+(IFERROR(INDEX(Setup!$G$33:$G$40,MATCH(K78,Setup!$B$33:$B$40,0)),0)=1)*(COUNTIF(K58:M75,$B78)+COUNTIF(K58:M75,$B78&amp;" ~*")&gt;0)+(IFERROR(INDEX(Setup!$G$33:$G$40,MATCH(O78,Setup!$B$33:$B$40,0)),0)=1)*(COUNTIF(O58:Q75,$B78)+COUNTIF(O58:Q75,$B78&amp;" ~*")&gt;0)+(IFERROR(INDEX(Setup!$G$33:$G$40,MATCH(S78,Setup!$B$33:$B$40,0)),0)=1)*(COUNTIF(S58:U75,$B78)+COUNTIF(S58:U75,$B78&amp;" ~*")&gt;0)+(IFERROR(INDEX(Setup!$G$33:$G$40,MATCH(W78,Setup!$B$33:$B$40,0)),0)=1)*(COUNTIF(W58:W75,$B78)+COUNTIF(W58:W75,$B78&amp;" ~*")&gt;0)+(IFERROR(INDEX(Setup!$G$33:$G$40,MATCH(Y78,Setup!$B$33:$B$40,0)),0)=1)*(COUNTIF(Y58:Y75,$B78)+COUNTIF(Y58:Y75,$B78&amp;" ~*")&gt;0))</f>
        <v/>
      </c>
    </row>
    <row r="79" ht="15" customHeight="1">
      <c r="A79" t="n">
        <v>2</v>
      </c>
      <c r="B79" s="35">
        <f>IF(Setup!$B$8="","",Setup!$B$8)</f>
        <v/>
      </c>
      <c r="C79" s="98" t="n"/>
      <c r="D79" s="99" t="n"/>
      <c r="E79" s="99" t="n"/>
      <c r="F79" s="100" t="n"/>
      <c r="G79" s="98" t="n"/>
      <c r="H79" s="99" t="n"/>
      <c r="I79" s="99" t="n"/>
      <c r="J79" s="100" t="n"/>
      <c r="K79" s="98" t="n"/>
      <c r="L79" s="99" t="n"/>
      <c r="M79" s="99" t="n"/>
      <c r="N79" s="100" t="n"/>
      <c r="O79" s="98" t="n"/>
      <c r="P79" s="99" t="n"/>
      <c r="Q79" s="99" t="n"/>
      <c r="R79" s="100" t="n"/>
      <c r="S79" s="98" t="n"/>
      <c r="T79" s="99" t="n"/>
      <c r="U79" s="99" t="n"/>
      <c r="V79" s="100" t="n"/>
      <c r="W79" s="98" t="n"/>
      <c r="X79" s="100" t="n"/>
      <c r="Y79" s="98" t="n"/>
      <c r="Z79" s="100" t="n"/>
      <c r="AB79" s="101">
        <f>IF($B79="","",(COUNTIF(C58:E75,$B79)+COUNTIF(C58:E75,$B79&amp;" ~*")&gt;0)+(COUNTIF(G58:I75,$B79)+COUNTIF(G58:I75,$B79&amp;" ~*")&gt;0)+(COUNTIF(K58:M75,$B79)+COUNTIF(K58:M75,$B79&amp;" ~*")&gt;0)+(COUNTIF(O58:Q75,$B79)+COUNTIF(O58:Q75,$B79&amp;" ~*")&gt;0)+(COUNTIF(S58:U75,$B79)+COUNTIF(S58:U75,$B79&amp;" ~*")&gt;0)+(COUNTIF(W58:W75,$B79)+COUNTIF(W58:W75,$B79&amp;" ~*")&gt;0)+(COUNTIF(Y58:Y75,$B79)+COUNTIF(Y58:Y75,$B79&amp;" ~*")&gt;0))</f>
        <v/>
      </c>
      <c r="AC79" s="36">
        <f>IF($B79="","",(IFERROR(INDEX(Setup!$G$33:$G$40,MATCH(C79,Setup!$B$33:$B$40,0)),0)=1)*(COUNTIF(C58:E75,$B79)+COUNTIF(C58:E75,$B79&amp;" ~*")&gt;0)+(IFERROR(INDEX(Setup!$G$33:$G$40,MATCH(G79,Setup!$B$33:$B$40,0)),0)=1)*(COUNTIF(G58:I75,$B79)+COUNTIF(G58:I75,$B79&amp;" ~*")&gt;0)+(IFERROR(INDEX(Setup!$G$33:$G$40,MATCH(K79,Setup!$B$33:$B$40,0)),0)=1)*(COUNTIF(K58:M75,$B79)+COUNTIF(K58:M75,$B79&amp;" ~*")&gt;0)+(IFERROR(INDEX(Setup!$G$33:$G$40,MATCH(O79,Setup!$B$33:$B$40,0)),0)=1)*(COUNTIF(O58:Q75,$B79)+COUNTIF(O58:Q75,$B79&amp;" ~*")&gt;0)+(IFERROR(INDEX(Setup!$G$33:$G$40,MATCH(S79,Setup!$B$33:$B$40,0)),0)=1)*(COUNTIF(S58:U75,$B79)+COUNTIF(S58:U75,$B79&amp;" ~*")&gt;0)+(IFERROR(INDEX(Setup!$G$33:$G$40,MATCH(W79,Setup!$B$33:$B$40,0)),0)=1)*(COUNTIF(W58:W75,$B79)+COUNTIF(W58:W75,$B79&amp;" ~*")&gt;0)+(IFERROR(INDEX(Setup!$G$33:$G$40,MATCH(Y79,Setup!$B$33:$B$40,0)),0)=1)*(COUNTIF(Y58:Y75,$B79)+COUNTIF(Y58:Y75,$B79&amp;" ~*")&gt;0))</f>
        <v/>
      </c>
    </row>
    <row r="80" ht="15" customHeight="1">
      <c r="A80" t="n">
        <v>2</v>
      </c>
      <c r="B80" s="37">
        <f>IF(Setup!$B$9="","",Setup!$B$9)</f>
        <v/>
      </c>
      <c r="C80" s="102" t="n"/>
      <c r="D80" s="103" t="n"/>
      <c r="E80" s="103" t="n"/>
      <c r="F80" s="104" t="n"/>
      <c r="G80" s="102" t="n"/>
      <c r="H80" s="103" t="n"/>
      <c r="I80" s="103" t="n"/>
      <c r="J80" s="104" t="n"/>
      <c r="K80" s="102" t="n"/>
      <c r="L80" s="103" t="n"/>
      <c r="M80" s="103" t="n"/>
      <c r="N80" s="104" t="n"/>
      <c r="O80" s="102" t="n"/>
      <c r="P80" s="103" t="n"/>
      <c r="Q80" s="103" t="n"/>
      <c r="R80" s="104" t="n"/>
      <c r="S80" s="102" t="n"/>
      <c r="T80" s="103" t="n"/>
      <c r="U80" s="103" t="n"/>
      <c r="V80" s="104" t="n"/>
      <c r="W80" s="102" t="n"/>
      <c r="X80" s="104" t="n"/>
      <c r="Y80" s="102" t="n"/>
      <c r="Z80" s="104" t="n"/>
      <c r="AB80" s="105">
        <f>IF($B80="","",(COUNTIF(C58:E75,$B80)+COUNTIF(C58:E75,$B80&amp;" ~*")&gt;0)+(COUNTIF(G58:I75,$B80)+COUNTIF(G58:I75,$B80&amp;" ~*")&gt;0)+(COUNTIF(K58:M75,$B80)+COUNTIF(K58:M75,$B80&amp;" ~*")&gt;0)+(COUNTIF(O58:Q75,$B80)+COUNTIF(O58:Q75,$B80&amp;" ~*")&gt;0)+(COUNTIF(S58:U75,$B80)+COUNTIF(S58:U75,$B80&amp;" ~*")&gt;0)+(COUNTIF(W58:W75,$B80)+COUNTIF(W58:W75,$B80&amp;" ~*")&gt;0)+(COUNTIF(Y58:Y75,$B80)+COUNTIF(Y58:Y75,$B80&amp;" ~*")&gt;0))</f>
        <v/>
      </c>
      <c r="AC80" s="38">
        <f>IF($B80="","",(IFERROR(INDEX(Setup!$G$33:$G$40,MATCH(C80,Setup!$B$33:$B$40,0)),0)=1)*(COUNTIF(C58:E75,$B80)+COUNTIF(C58:E75,$B80&amp;" ~*")&gt;0)+(IFERROR(INDEX(Setup!$G$33:$G$40,MATCH(G80,Setup!$B$33:$B$40,0)),0)=1)*(COUNTIF(G58:I75,$B80)+COUNTIF(G58:I75,$B80&amp;" ~*")&gt;0)+(IFERROR(INDEX(Setup!$G$33:$G$40,MATCH(K80,Setup!$B$33:$B$40,0)),0)=1)*(COUNTIF(K58:M75,$B80)+COUNTIF(K58:M75,$B80&amp;" ~*")&gt;0)+(IFERROR(INDEX(Setup!$G$33:$G$40,MATCH(O80,Setup!$B$33:$B$40,0)),0)=1)*(COUNTIF(O58:Q75,$B80)+COUNTIF(O58:Q75,$B80&amp;" ~*")&gt;0)+(IFERROR(INDEX(Setup!$G$33:$G$40,MATCH(S80,Setup!$B$33:$B$40,0)),0)=1)*(COUNTIF(S58:U75,$B80)+COUNTIF(S58:U75,$B80&amp;" ~*")&gt;0)+(IFERROR(INDEX(Setup!$G$33:$G$40,MATCH(W80,Setup!$B$33:$B$40,0)),0)=1)*(COUNTIF(W58:W75,$B80)+COUNTIF(W58:W75,$B80&amp;" ~*")&gt;0)+(IFERROR(INDEX(Setup!$G$33:$G$40,MATCH(Y80,Setup!$B$33:$B$40,0)),0)=1)*(COUNTIF(Y58:Y75,$B80)+COUNTIF(Y58:Y75,$B80&amp;" ~*")&gt;0))</f>
        <v/>
      </c>
    </row>
    <row r="81" ht="15" customHeight="1">
      <c r="A81" t="n">
        <v>2</v>
      </c>
      <c r="B81" s="35">
        <f>IF(Setup!$B$10="","",Setup!$B$10)</f>
        <v/>
      </c>
      <c r="C81" s="98" t="n"/>
      <c r="D81" s="99" t="n"/>
      <c r="E81" s="99" t="n"/>
      <c r="F81" s="100" t="n"/>
      <c r="G81" s="98" t="n"/>
      <c r="H81" s="99" t="n"/>
      <c r="I81" s="99" t="n"/>
      <c r="J81" s="100" t="n"/>
      <c r="K81" s="98" t="n"/>
      <c r="L81" s="99" t="n"/>
      <c r="M81" s="99" t="n"/>
      <c r="N81" s="100" t="n"/>
      <c r="O81" s="98" t="n"/>
      <c r="P81" s="99" t="n"/>
      <c r="Q81" s="99" t="n"/>
      <c r="R81" s="100" t="n"/>
      <c r="S81" s="98" t="n"/>
      <c r="T81" s="99" t="n"/>
      <c r="U81" s="99" t="n"/>
      <c r="V81" s="100" t="n"/>
      <c r="W81" s="98" t="n"/>
      <c r="X81" s="100" t="n"/>
      <c r="Y81" s="98" t="n"/>
      <c r="Z81" s="100" t="n"/>
      <c r="AB81" s="101">
        <f>IF($B81="","",(COUNTIF(C58:E75,$B81)+COUNTIF(C58:E75,$B81&amp;" ~*")&gt;0)+(COUNTIF(G58:I75,$B81)+COUNTIF(G58:I75,$B81&amp;" ~*")&gt;0)+(COUNTIF(K58:M75,$B81)+COUNTIF(K58:M75,$B81&amp;" ~*")&gt;0)+(COUNTIF(O58:Q75,$B81)+COUNTIF(O58:Q75,$B81&amp;" ~*")&gt;0)+(COUNTIF(S58:U75,$B81)+COUNTIF(S58:U75,$B81&amp;" ~*")&gt;0)+(COUNTIF(W58:W75,$B81)+COUNTIF(W58:W75,$B81&amp;" ~*")&gt;0)+(COUNTIF(Y58:Y75,$B81)+COUNTIF(Y58:Y75,$B81&amp;" ~*")&gt;0))</f>
        <v/>
      </c>
      <c r="AC81" s="36">
        <f>IF($B81="","",(IFERROR(INDEX(Setup!$G$33:$G$40,MATCH(C81,Setup!$B$33:$B$40,0)),0)=1)*(COUNTIF(C58:E75,$B81)+COUNTIF(C58:E75,$B81&amp;" ~*")&gt;0)+(IFERROR(INDEX(Setup!$G$33:$G$40,MATCH(G81,Setup!$B$33:$B$40,0)),0)=1)*(COUNTIF(G58:I75,$B81)+COUNTIF(G58:I75,$B81&amp;" ~*")&gt;0)+(IFERROR(INDEX(Setup!$G$33:$G$40,MATCH(K81,Setup!$B$33:$B$40,0)),0)=1)*(COUNTIF(K58:M75,$B81)+COUNTIF(K58:M75,$B81&amp;" ~*")&gt;0)+(IFERROR(INDEX(Setup!$G$33:$G$40,MATCH(O81,Setup!$B$33:$B$40,0)),0)=1)*(COUNTIF(O58:Q75,$B81)+COUNTIF(O58:Q75,$B81&amp;" ~*")&gt;0)+(IFERROR(INDEX(Setup!$G$33:$G$40,MATCH(S81,Setup!$B$33:$B$40,0)),0)=1)*(COUNTIF(S58:U75,$B81)+COUNTIF(S58:U75,$B81&amp;" ~*")&gt;0)+(IFERROR(INDEX(Setup!$G$33:$G$40,MATCH(W81,Setup!$B$33:$B$40,0)),0)=1)*(COUNTIF(W58:W75,$B81)+COUNTIF(W58:W75,$B81&amp;" ~*")&gt;0)+(IFERROR(INDEX(Setup!$G$33:$G$40,MATCH(Y81,Setup!$B$33:$B$40,0)),0)=1)*(COUNTIF(Y58:Y75,$B81)+COUNTIF(Y58:Y75,$B81&amp;" ~*")&gt;0))</f>
        <v/>
      </c>
    </row>
    <row r="82" ht="15" customHeight="1">
      <c r="A82" t="n">
        <v>2</v>
      </c>
      <c r="B82" s="37">
        <f>IF(Setup!$B$11="","",Setup!$B$11)</f>
        <v/>
      </c>
      <c r="C82" s="102" t="n"/>
      <c r="D82" s="103" t="n"/>
      <c r="E82" s="103" t="n"/>
      <c r="F82" s="104" t="n"/>
      <c r="G82" s="102" t="n"/>
      <c r="H82" s="103" t="n"/>
      <c r="I82" s="103" t="n"/>
      <c r="J82" s="104" t="n"/>
      <c r="K82" s="102" t="n"/>
      <c r="L82" s="103" t="n"/>
      <c r="M82" s="103" t="n"/>
      <c r="N82" s="104" t="n"/>
      <c r="O82" s="102" t="n"/>
      <c r="P82" s="103" t="n"/>
      <c r="Q82" s="103" t="n"/>
      <c r="R82" s="104" t="n"/>
      <c r="S82" s="102" t="n"/>
      <c r="T82" s="103" t="n"/>
      <c r="U82" s="103" t="n"/>
      <c r="V82" s="104" t="n"/>
      <c r="W82" s="102" t="n"/>
      <c r="X82" s="104" t="n"/>
      <c r="Y82" s="102" t="n"/>
      <c r="Z82" s="104" t="n"/>
      <c r="AB82" s="105">
        <f>IF($B82="","",(COUNTIF(C58:E75,$B82)+COUNTIF(C58:E75,$B82&amp;" ~*")&gt;0)+(COUNTIF(G58:I75,$B82)+COUNTIF(G58:I75,$B82&amp;" ~*")&gt;0)+(COUNTIF(K58:M75,$B82)+COUNTIF(K58:M75,$B82&amp;" ~*")&gt;0)+(COUNTIF(O58:Q75,$B82)+COUNTIF(O58:Q75,$B82&amp;" ~*")&gt;0)+(COUNTIF(S58:U75,$B82)+COUNTIF(S58:U75,$B82&amp;" ~*")&gt;0)+(COUNTIF(W58:W75,$B82)+COUNTIF(W58:W75,$B82&amp;" ~*")&gt;0)+(COUNTIF(Y58:Y75,$B82)+COUNTIF(Y58:Y75,$B82&amp;" ~*")&gt;0))</f>
        <v/>
      </c>
      <c r="AC82" s="38">
        <f>IF($B82="","",(IFERROR(INDEX(Setup!$G$33:$G$40,MATCH(C82,Setup!$B$33:$B$40,0)),0)=1)*(COUNTIF(C58:E75,$B82)+COUNTIF(C58:E75,$B82&amp;" ~*")&gt;0)+(IFERROR(INDEX(Setup!$G$33:$G$40,MATCH(G82,Setup!$B$33:$B$40,0)),0)=1)*(COUNTIF(G58:I75,$B82)+COUNTIF(G58:I75,$B82&amp;" ~*")&gt;0)+(IFERROR(INDEX(Setup!$G$33:$G$40,MATCH(K82,Setup!$B$33:$B$40,0)),0)=1)*(COUNTIF(K58:M75,$B82)+COUNTIF(K58:M75,$B82&amp;" ~*")&gt;0)+(IFERROR(INDEX(Setup!$G$33:$G$40,MATCH(O82,Setup!$B$33:$B$40,0)),0)=1)*(COUNTIF(O58:Q75,$B82)+COUNTIF(O58:Q75,$B82&amp;" ~*")&gt;0)+(IFERROR(INDEX(Setup!$G$33:$G$40,MATCH(S82,Setup!$B$33:$B$40,0)),0)=1)*(COUNTIF(S58:U75,$B82)+COUNTIF(S58:U75,$B82&amp;" ~*")&gt;0)+(IFERROR(INDEX(Setup!$G$33:$G$40,MATCH(W82,Setup!$B$33:$B$40,0)),0)=1)*(COUNTIF(W58:W75,$B82)+COUNTIF(W58:W75,$B82&amp;" ~*")&gt;0)+(IFERROR(INDEX(Setup!$G$33:$G$40,MATCH(Y82,Setup!$B$33:$B$40,0)),0)=1)*(COUNTIF(Y58:Y75,$B82)+COUNTIF(Y58:Y75,$B82&amp;" ~*")&gt;0))</f>
        <v/>
      </c>
    </row>
    <row r="83" ht="15" customHeight="1">
      <c r="A83" t="n">
        <v>2</v>
      </c>
      <c r="B83" s="35">
        <f>IF(Setup!$B$12="","",Setup!$B$12)</f>
        <v/>
      </c>
      <c r="C83" s="98" t="n"/>
      <c r="D83" s="99" t="n"/>
      <c r="E83" s="99" t="n"/>
      <c r="F83" s="100" t="n"/>
      <c r="G83" s="98" t="n"/>
      <c r="H83" s="99" t="n"/>
      <c r="I83" s="99" t="n"/>
      <c r="J83" s="100" t="n"/>
      <c r="K83" s="98" t="n"/>
      <c r="L83" s="99" t="n"/>
      <c r="M83" s="99" t="n"/>
      <c r="N83" s="100" t="n"/>
      <c r="O83" s="98" t="n"/>
      <c r="P83" s="99" t="n"/>
      <c r="Q83" s="99" t="n"/>
      <c r="R83" s="100" t="n"/>
      <c r="S83" s="98" t="inlineStr">
        <is>
          <t>AL</t>
        </is>
      </c>
      <c r="T83" s="99" t="n"/>
      <c r="U83" s="99" t="n"/>
      <c r="V83" s="100" t="n"/>
      <c r="W83" s="98" t="n"/>
      <c r="X83" s="100" t="n"/>
      <c r="Y83" s="98" t="n"/>
      <c r="Z83" s="100" t="n"/>
      <c r="AB83" s="101">
        <f>IF($B83="","",(COUNTIF(C58:E75,$B83)+COUNTIF(C58:E75,$B83&amp;" ~*")&gt;0)+(COUNTIF(G58:I75,$B83)+COUNTIF(G58:I75,$B83&amp;" ~*")&gt;0)+(COUNTIF(K58:M75,$B83)+COUNTIF(K58:M75,$B83&amp;" ~*")&gt;0)+(COUNTIF(O58:Q75,$B83)+COUNTIF(O58:Q75,$B83&amp;" ~*")&gt;0)+(COUNTIF(S58:U75,$B83)+COUNTIF(S58:U75,$B83&amp;" ~*")&gt;0)+(COUNTIF(W58:W75,$B83)+COUNTIF(W58:W75,$B83&amp;" ~*")&gt;0)+(COUNTIF(Y58:Y75,$B83)+COUNTIF(Y58:Y75,$B83&amp;" ~*")&gt;0))</f>
        <v/>
      </c>
      <c r="AC83" s="36">
        <f>IF($B83="","",(IFERROR(INDEX(Setup!$G$33:$G$40,MATCH(C83,Setup!$B$33:$B$40,0)),0)=1)*(COUNTIF(C58:E75,$B83)+COUNTIF(C58:E75,$B83&amp;" ~*")&gt;0)+(IFERROR(INDEX(Setup!$G$33:$G$40,MATCH(G83,Setup!$B$33:$B$40,0)),0)=1)*(COUNTIF(G58:I75,$B83)+COUNTIF(G58:I75,$B83&amp;" ~*")&gt;0)+(IFERROR(INDEX(Setup!$G$33:$G$40,MATCH(K83,Setup!$B$33:$B$40,0)),0)=1)*(COUNTIF(K58:M75,$B83)+COUNTIF(K58:M75,$B83&amp;" ~*")&gt;0)+(IFERROR(INDEX(Setup!$G$33:$G$40,MATCH(O83,Setup!$B$33:$B$40,0)),0)=1)*(COUNTIF(O58:Q75,$B83)+COUNTIF(O58:Q75,$B83&amp;" ~*")&gt;0)+(IFERROR(INDEX(Setup!$G$33:$G$40,MATCH(S83,Setup!$B$33:$B$40,0)),0)=1)*(COUNTIF(S58:U75,$B83)+COUNTIF(S58:U75,$B83&amp;" ~*")&gt;0)+(IFERROR(INDEX(Setup!$G$33:$G$40,MATCH(W83,Setup!$B$33:$B$40,0)),0)=1)*(COUNTIF(W58:W75,$B83)+COUNTIF(W58:W75,$B83&amp;" ~*")&gt;0)+(IFERROR(INDEX(Setup!$G$33:$G$40,MATCH(Y83,Setup!$B$33:$B$40,0)),0)=1)*(COUNTIF(Y58:Y75,$B83)+COUNTIF(Y58:Y75,$B83&amp;" ~*")&gt;0))</f>
        <v/>
      </c>
    </row>
    <row r="84" ht="15" customHeight="1">
      <c r="A84" t="n">
        <v>2</v>
      </c>
      <c r="B84" s="37">
        <f>IF(Setup!$B$13="","",Setup!$B$13)</f>
        <v/>
      </c>
      <c r="C84" s="102" t="n"/>
      <c r="D84" s="103" t="n"/>
      <c r="E84" s="103" t="n"/>
      <c r="F84" s="104" t="n"/>
      <c r="G84" s="102" t="n"/>
      <c r="H84" s="103" t="n"/>
      <c r="I84" s="103" t="n"/>
      <c r="J84" s="104" t="n"/>
      <c r="K84" s="102" t="n"/>
      <c r="L84" s="103" t="n"/>
      <c r="M84" s="103" t="n"/>
      <c r="N84" s="104" t="n"/>
      <c r="O84" s="102" t="n"/>
      <c r="P84" s="103" t="n"/>
      <c r="Q84" s="103" t="n"/>
      <c r="R84" s="104" t="n"/>
      <c r="S84" s="102" t="n"/>
      <c r="T84" s="103" t="n"/>
      <c r="U84" s="103" t="n"/>
      <c r="V84" s="104" t="n"/>
      <c r="W84" s="102" t="n"/>
      <c r="X84" s="104" t="n"/>
      <c r="Y84" s="102" t="n"/>
      <c r="Z84" s="104" t="n"/>
      <c r="AB84" s="105">
        <f>IF($B84="","",(COUNTIF(C58:E75,$B84)+COUNTIF(C58:E75,$B84&amp;" ~*")&gt;0)+(COUNTIF(G58:I75,$B84)+COUNTIF(G58:I75,$B84&amp;" ~*")&gt;0)+(COUNTIF(K58:M75,$B84)+COUNTIF(K58:M75,$B84&amp;" ~*")&gt;0)+(COUNTIF(O58:Q75,$B84)+COUNTIF(O58:Q75,$B84&amp;" ~*")&gt;0)+(COUNTIF(S58:U75,$B84)+COUNTIF(S58:U75,$B84&amp;" ~*")&gt;0)+(COUNTIF(W58:W75,$B84)+COUNTIF(W58:W75,$B84&amp;" ~*")&gt;0)+(COUNTIF(Y58:Y75,$B84)+COUNTIF(Y58:Y75,$B84&amp;" ~*")&gt;0))</f>
        <v/>
      </c>
      <c r="AC84" s="38">
        <f>IF($B84="","",(IFERROR(INDEX(Setup!$G$33:$G$40,MATCH(C84,Setup!$B$33:$B$40,0)),0)=1)*(COUNTIF(C58:E75,$B84)+COUNTIF(C58:E75,$B84&amp;" ~*")&gt;0)+(IFERROR(INDEX(Setup!$G$33:$G$40,MATCH(G84,Setup!$B$33:$B$40,0)),0)=1)*(COUNTIF(G58:I75,$B84)+COUNTIF(G58:I75,$B84&amp;" ~*")&gt;0)+(IFERROR(INDEX(Setup!$G$33:$G$40,MATCH(K84,Setup!$B$33:$B$40,0)),0)=1)*(COUNTIF(K58:M75,$B84)+COUNTIF(K58:M75,$B84&amp;" ~*")&gt;0)+(IFERROR(INDEX(Setup!$G$33:$G$40,MATCH(O84,Setup!$B$33:$B$40,0)),0)=1)*(COUNTIF(O58:Q75,$B84)+COUNTIF(O58:Q75,$B84&amp;" ~*")&gt;0)+(IFERROR(INDEX(Setup!$G$33:$G$40,MATCH(S84,Setup!$B$33:$B$40,0)),0)=1)*(COUNTIF(S58:U75,$B84)+COUNTIF(S58:U75,$B84&amp;" ~*")&gt;0)+(IFERROR(INDEX(Setup!$G$33:$G$40,MATCH(W84,Setup!$B$33:$B$40,0)),0)=1)*(COUNTIF(W58:W75,$B84)+COUNTIF(W58:W75,$B84&amp;" ~*")&gt;0)+(IFERROR(INDEX(Setup!$G$33:$G$40,MATCH(Y84,Setup!$B$33:$B$40,0)),0)=1)*(COUNTIF(Y58:Y75,$B84)+COUNTIF(Y58:Y75,$B84&amp;" ~*")&gt;0))</f>
        <v/>
      </c>
    </row>
    <row r="85" ht="15" customHeight="1">
      <c r="A85" t="n">
        <v>2</v>
      </c>
      <c r="B85" s="35">
        <f>IF(Setup!$B$14="","",Setup!$B$14)</f>
        <v/>
      </c>
      <c r="C85" s="98" t="n"/>
      <c r="D85" s="99" t="n"/>
      <c r="E85" s="99" t="n"/>
      <c r="F85" s="100" t="n"/>
      <c r="G85" s="98" t="n"/>
      <c r="H85" s="99" t="n"/>
      <c r="I85" s="99" t="n"/>
      <c r="J85" s="100" t="n"/>
      <c r="K85" s="98" t="n"/>
      <c r="L85" s="99" t="n"/>
      <c r="M85" s="99" t="n"/>
      <c r="N85" s="100" t="n"/>
      <c r="O85" s="98" t="n"/>
      <c r="P85" s="99" t="n"/>
      <c r="Q85" s="99" t="n"/>
      <c r="R85" s="100" t="n"/>
      <c r="S85" s="98" t="n"/>
      <c r="T85" s="99" t="n"/>
      <c r="U85" s="99" t="n"/>
      <c r="V85" s="100" t="n"/>
      <c r="W85" s="98" t="n"/>
      <c r="X85" s="100" t="n"/>
      <c r="Y85" s="98" t="n"/>
      <c r="Z85" s="100" t="n"/>
      <c r="AB85" s="101">
        <f>IF($B85="","",(COUNTIF(C58:E75,$B85)+COUNTIF(C58:E75,$B85&amp;" ~*")&gt;0)+(COUNTIF(G58:I75,$B85)+COUNTIF(G58:I75,$B85&amp;" ~*")&gt;0)+(COUNTIF(K58:M75,$B85)+COUNTIF(K58:M75,$B85&amp;" ~*")&gt;0)+(COUNTIF(O58:Q75,$B85)+COUNTIF(O58:Q75,$B85&amp;" ~*")&gt;0)+(COUNTIF(S58:U75,$B85)+COUNTIF(S58:U75,$B85&amp;" ~*")&gt;0)+(COUNTIF(W58:W75,$B85)+COUNTIF(W58:W75,$B85&amp;" ~*")&gt;0)+(COUNTIF(Y58:Y75,$B85)+COUNTIF(Y58:Y75,$B85&amp;" ~*")&gt;0))</f>
        <v/>
      </c>
      <c r="AC85" s="36">
        <f>IF($B85="","",(IFERROR(INDEX(Setup!$G$33:$G$40,MATCH(C85,Setup!$B$33:$B$40,0)),0)=1)*(COUNTIF(C58:E75,$B85)+COUNTIF(C58:E75,$B85&amp;" ~*")&gt;0)+(IFERROR(INDEX(Setup!$G$33:$G$40,MATCH(G85,Setup!$B$33:$B$40,0)),0)=1)*(COUNTIF(G58:I75,$B85)+COUNTIF(G58:I75,$B85&amp;" ~*")&gt;0)+(IFERROR(INDEX(Setup!$G$33:$G$40,MATCH(K85,Setup!$B$33:$B$40,0)),0)=1)*(COUNTIF(K58:M75,$B85)+COUNTIF(K58:M75,$B85&amp;" ~*")&gt;0)+(IFERROR(INDEX(Setup!$G$33:$G$40,MATCH(O85,Setup!$B$33:$B$40,0)),0)=1)*(COUNTIF(O58:Q75,$B85)+COUNTIF(O58:Q75,$B85&amp;" ~*")&gt;0)+(IFERROR(INDEX(Setup!$G$33:$G$40,MATCH(S85,Setup!$B$33:$B$40,0)),0)=1)*(COUNTIF(S58:U75,$B85)+COUNTIF(S58:U75,$B85&amp;" ~*")&gt;0)+(IFERROR(INDEX(Setup!$G$33:$G$40,MATCH(W85,Setup!$B$33:$B$40,0)),0)=1)*(COUNTIF(W58:W75,$B85)+COUNTIF(W58:W75,$B85&amp;" ~*")&gt;0)+(IFERROR(INDEX(Setup!$G$33:$G$40,MATCH(Y85,Setup!$B$33:$B$40,0)),0)=1)*(COUNTIF(Y58:Y75,$B85)+COUNTIF(Y58:Y75,$B85&amp;" ~*")&gt;0))</f>
        <v/>
      </c>
    </row>
    <row r="86" ht="15" customHeight="1">
      <c r="A86" t="n">
        <v>2</v>
      </c>
      <c r="B86" s="37">
        <f>IF(Setup!$B$15="","",Setup!$B$15)</f>
        <v/>
      </c>
      <c r="C86" s="102" t="n"/>
      <c r="D86" s="103" t="n"/>
      <c r="E86" s="103" t="n"/>
      <c r="F86" s="104" t="n"/>
      <c r="G86" s="102" t="n"/>
      <c r="H86" s="103" t="n"/>
      <c r="I86" s="103" t="n"/>
      <c r="J86" s="104" t="n"/>
      <c r="K86" s="102" t="n"/>
      <c r="L86" s="103" t="n"/>
      <c r="M86" s="103" t="n"/>
      <c r="N86" s="104" t="n"/>
      <c r="O86" s="102" t="n"/>
      <c r="P86" s="103" t="n"/>
      <c r="Q86" s="103" t="n"/>
      <c r="R86" s="104" t="n"/>
      <c r="S86" s="102" t="n"/>
      <c r="T86" s="103" t="n"/>
      <c r="U86" s="103" t="n"/>
      <c r="V86" s="104" t="n"/>
      <c r="W86" s="102" t="n"/>
      <c r="X86" s="104" t="n"/>
      <c r="Y86" s="102" t="n"/>
      <c r="Z86" s="104" t="n"/>
      <c r="AB86" s="105">
        <f>IF($B86="","",(COUNTIF(C58:E75,$B86)+COUNTIF(C58:E75,$B86&amp;" ~*")&gt;0)+(COUNTIF(G58:I75,$B86)+COUNTIF(G58:I75,$B86&amp;" ~*")&gt;0)+(COUNTIF(K58:M75,$B86)+COUNTIF(K58:M75,$B86&amp;" ~*")&gt;0)+(COUNTIF(O58:Q75,$B86)+COUNTIF(O58:Q75,$B86&amp;" ~*")&gt;0)+(COUNTIF(S58:U75,$B86)+COUNTIF(S58:U75,$B86&amp;" ~*")&gt;0)+(COUNTIF(W58:W75,$B86)+COUNTIF(W58:W75,$B86&amp;" ~*")&gt;0)+(COUNTIF(Y58:Y75,$B86)+COUNTIF(Y58:Y75,$B86&amp;" ~*")&gt;0))</f>
        <v/>
      </c>
      <c r="AC86" s="38">
        <f>IF($B86="","",(IFERROR(INDEX(Setup!$G$33:$G$40,MATCH(C86,Setup!$B$33:$B$40,0)),0)=1)*(COUNTIF(C58:E75,$B86)+COUNTIF(C58:E75,$B86&amp;" ~*")&gt;0)+(IFERROR(INDEX(Setup!$G$33:$G$40,MATCH(G86,Setup!$B$33:$B$40,0)),0)=1)*(COUNTIF(G58:I75,$B86)+COUNTIF(G58:I75,$B86&amp;" ~*")&gt;0)+(IFERROR(INDEX(Setup!$G$33:$G$40,MATCH(K86,Setup!$B$33:$B$40,0)),0)=1)*(COUNTIF(K58:M75,$B86)+COUNTIF(K58:M75,$B86&amp;" ~*")&gt;0)+(IFERROR(INDEX(Setup!$G$33:$G$40,MATCH(O86,Setup!$B$33:$B$40,0)),0)=1)*(COUNTIF(O58:Q75,$B86)+COUNTIF(O58:Q75,$B86&amp;" ~*")&gt;0)+(IFERROR(INDEX(Setup!$G$33:$G$40,MATCH(S86,Setup!$B$33:$B$40,0)),0)=1)*(COUNTIF(S58:U75,$B86)+COUNTIF(S58:U75,$B86&amp;" ~*")&gt;0)+(IFERROR(INDEX(Setup!$G$33:$G$40,MATCH(W86,Setup!$B$33:$B$40,0)),0)=1)*(COUNTIF(W58:W75,$B86)+COUNTIF(W58:W75,$B86&amp;" ~*")&gt;0)+(IFERROR(INDEX(Setup!$G$33:$G$40,MATCH(Y86,Setup!$B$33:$B$40,0)),0)=1)*(COUNTIF(Y58:Y75,$B86)+COUNTIF(Y58:Y75,$B86&amp;" ~*")&gt;0))</f>
        <v/>
      </c>
    </row>
    <row r="87" ht="15" customHeight="1">
      <c r="A87" t="n">
        <v>2</v>
      </c>
      <c r="B87" s="35">
        <f>IF(Setup!$B$16="","",Setup!$B$16)</f>
        <v/>
      </c>
      <c r="C87" s="98" t="n"/>
      <c r="D87" s="99" t="n"/>
      <c r="E87" s="99" t="n"/>
      <c r="F87" s="100" t="n"/>
      <c r="G87" s="98" t="n"/>
      <c r="H87" s="99" t="n"/>
      <c r="I87" s="99" t="n"/>
      <c r="J87" s="100" t="n"/>
      <c r="K87" s="98" t="n"/>
      <c r="L87" s="99" t="n"/>
      <c r="M87" s="99" t="n"/>
      <c r="N87" s="100" t="n"/>
      <c r="O87" s="98" t="n"/>
      <c r="P87" s="99" t="n"/>
      <c r="Q87" s="99" t="n"/>
      <c r="R87" s="100" t="n"/>
      <c r="S87" s="98" t="n"/>
      <c r="T87" s="99" t="n"/>
      <c r="U87" s="99" t="n"/>
      <c r="V87" s="100" t="n"/>
      <c r="W87" s="98" t="n"/>
      <c r="X87" s="100" t="n"/>
      <c r="Y87" s="98" t="n"/>
      <c r="Z87" s="100" t="n"/>
      <c r="AB87" s="101">
        <f>IF($B87="","",(COUNTIF(C58:E75,$B87)+COUNTIF(C58:E75,$B87&amp;" ~*")&gt;0)+(COUNTIF(G58:I75,$B87)+COUNTIF(G58:I75,$B87&amp;" ~*")&gt;0)+(COUNTIF(K58:M75,$B87)+COUNTIF(K58:M75,$B87&amp;" ~*")&gt;0)+(COUNTIF(O58:Q75,$B87)+COUNTIF(O58:Q75,$B87&amp;" ~*")&gt;0)+(COUNTIF(S58:U75,$B87)+COUNTIF(S58:U75,$B87&amp;" ~*")&gt;0)+(COUNTIF(W58:W75,$B87)+COUNTIF(W58:W75,$B87&amp;" ~*")&gt;0)+(COUNTIF(Y58:Y75,$B87)+COUNTIF(Y58:Y75,$B87&amp;" ~*")&gt;0))</f>
        <v/>
      </c>
      <c r="AC87" s="36">
        <f>IF($B87="","",(IFERROR(INDEX(Setup!$G$33:$G$40,MATCH(C87,Setup!$B$33:$B$40,0)),0)=1)*(COUNTIF(C58:E75,$B87)+COUNTIF(C58:E75,$B87&amp;" ~*")&gt;0)+(IFERROR(INDEX(Setup!$G$33:$G$40,MATCH(G87,Setup!$B$33:$B$40,0)),0)=1)*(COUNTIF(G58:I75,$B87)+COUNTIF(G58:I75,$B87&amp;" ~*")&gt;0)+(IFERROR(INDEX(Setup!$G$33:$G$40,MATCH(K87,Setup!$B$33:$B$40,0)),0)=1)*(COUNTIF(K58:M75,$B87)+COUNTIF(K58:M75,$B87&amp;" ~*")&gt;0)+(IFERROR(INDEX(Setup!$G$33:$G$40,MATCH(O87,Setup!$B$33:$B$40,0)),0)=1)*(COUNTIF(O58:Q75,$B87)+COUNTIF(O58:Q75,$B87&amp;" ~*")&gt;0)+(IFERROR(INDEX(Setup!$G$33:$G$40,MATCH(S87,Setup!$B$33:$B$40,0)),0)=1)*(COUNTIF(S58:U75,$B87)+COUNTIF(S58:U75,$B87&amp;" ~*")&gt;0)+(IFERROR(INDEX(Setup!$G$33:$G$40,MATCH(W87,Setup!$B$33:$B$40,0)),0)=1)*(COUNTIF(W58:W75,$B87)+COUNTIF(W58:W75,$B87&amp;" ~*")&gt;0)+(IFERROR(INDEX(Setup!$G$33:$G$40,MATCH(Y87,Setup!$B$33:$B$40,0)),0)=1)*(COUNTIF(Y58:Y75,$B87)+COUNTIF(Y58:Y75,$B87&amp;" ~*")&gt;0))</f>
        <v/>
      </c>
    </row>
    <row r="88" ht="15" customHeight="1">
      <c r="A88" t="n">
        <v>2</v>
      </c>
      <c r="B88" s="37">
        <f>IF(Setup!$B$17="","",Setup!$B$17)</f>
        <v/>
      </c>
      <c r="C88" s="102" t="n"/>
      <c r="D88" s="103" t="n"/>
      <c r="E88" s="103" t="n"/>
      <c r="F88" s="104" t="n"/>
      <c r="G88" s="102" t="n"/>
      <c r="H88" s="103" t="n"/>
      <c r="I88" s="103" t="n"/>
      <c r="J88" s="104" t="n"/>
      <c r="K88" s="102" t="n"/>
      <c r="L88" s="103" t="n"/>
      <c r="M88" s="103" t="n"/>
      <c r="N88" s="104" t="n"/>
      <c r="O88" s="102" t="n"/>
      <c r="P88" s="103" t="n"/>
      <c r="Q88" s="103" t="n"/>
      <c r="R88" s="104" t="n"/>
      <c r="S88" s="102" t="n"/>
      <c r="T88" s="103" t="n"/>
      <c r="U88" s="103" t="n"/>
      <c r="V88" s="104" t="n"/>
      <c r="W88" s="102" t="n"/>
      <c r="X88" s="104" t="n"/>
      <c r="Y88" s="102" t="n"/>
      <c r="Z88" s="104" t="n"/>
      <c r="AB88" s="105">
        <f>IF($B88="","",(COUNTIF(C58:E75,$B88)+COUNTIF(C58:E75,$B88&amp;" ~*")&gt;0)+(COUNTIF(G58:I75,$B88)+COUNTIF(G58:I75,$B88&amp;" ~*")&gt;0)+(COUNTIF(K58:M75,$B88)+COUNTIF(K58:M75,$B88&amp;" ~*")&gt;0)+(COUNTIF(O58:Q75,$B88)+COUNTIF(O58:Q75,$B88&amp;" ~*")&gt;0)+(COUNTIF(S58:U75,$B88)+COUNTIF(S58:U75,$B88&amp;" ~*")&gt;0)+(COUNTIF(W58:W75,$B88)+COUNTIF(W58:W75,$B88&amp;" ~*")&gt;0)+(COUNTIF(Y58:Y75,$B88)+COUNTIF(Y58:Y75,$B88&amp;" ~*")&gt;0))</f>
        <v/>
      </c>
      <c r="AC88" s="38">
        <f>IF($B88="","",(IFERROR(INDEX(Setup!$G$33:$G$40,MATCH(C88,Setup!$B$33:$B$40,0)),0)=1)*(COUNTIF(C58:E75,$B88)+COUNTIF(C58:E75,$B88&amp;" ~*")&gt;0)+(IFERROR(INDEX(Setup!$G$33:$G$40,MATCH(G88,Setup!$B$33:$B$40,0)),0)=1)*(COUNTIF(G58:I75,$B88)+COUNTIF(G58:I75,$B88&amp;" ~*")&gt;0)+(IFERROR(INDEX(Setup!$G$33:$G$40,MATCH(K88,Setup!$B$33:$B$40,0)),0)=1)*(COUNTIF(K58:M75,$B88)+COUNTIF(K58:M75,$B88&amp;" ~*")&gt;0)+(IFERROR(INDEX(Setup!$G$33:$G$40,MATCH(O88,Setup!$B$33:$B$40,0)),0)=1)*(COUNTIF(O58:Q75,$B88)+COUNTIF(O58:Q75,$B88&amp;" ~*")&gt;0)+(IFERROR(INDEX(Setup!$G$33:$G$40,MATCH(S88,Setup!$B$33:$B$40,0)),0)=1)*(COUNTIF(S58:U75,$B88)+COUNTIF(S58:U75,$B88&amp;" ~*")&gt;0)+(IFERROR(INDEX(Setup!$G$33:$G$40,MATCH(W88,Setup!$B$33:$B$40,0)),0)=1)*(COUNTIF(W58:W75,$B88)+COUNTIF(W58:W75,$B88&amp;" ~*")&gt;0)+(IFERROR(INDEX(Setup!$G$33:$G$40,MATCH(Y88,Setup!$B$33:$B$40,0)),0)=1)*(COUNTIF(Y58:Y75,$B88)+COUNTIF(Y58:Y75,$B88&amp;" ~*")&gt;0))</f>
        <v/>
      </c>
    </row>
    <row r="89" ht="15" customHeight="1">
      <c r="A89" t="n">
        <v>2</v>
      </c>
      <c r="B89" s="35">
        <f>IF(Setup!$B$18="","",Setup!$B$18)</f>
        <v/>
      </c>
      <c r="C89" s="98" t="n"/>
      <c r="D89" s="99" t="n"/>
      <c r="E89" s="99" t="n"/>
      <c r="F89" s="100" t="n"/>
      <c r="G89" s="98" t="n"/>
      <c r="H89" s="99" t="n"/>
      <c r="I89" s="99" t="n"/>
      <c r="J89" s="100" t="n"/>
      <c r="K89" s="98" t="n"/>
      <c r="L89" s="99" t="n"/>
      <c r="M89" s="99" t="n"/>
      <c r="N89" s="100" t="n"/>
      <c r="O89" s="98" t="n"/>
      <c r="P89" s="99" t="n"/>
      <c r="Q89" s="99" t="n"/>
      <c r="R89" s="100" t="n"/>
      <c r="S89" s="98" t="n"/>
      <c r="T89" s="99" t="n"/>
      <c r="U89" s="99" t="n"/>
      <c r="V89" s="100" t="n"/>
      <c r="W89" s="98" t="n"/>
      <c r="X89" s="100" t="n"/>
      <c r="Y89" s="98" t="n"/>
      <c r="Z89" s="100" t="n"/>
      <c r="AB89" s="101">
        <f>IF($B89="","",(COUNTIF(C58:E75,$B89)+COUNTIF(C58:E75,$B89&amp;" ~*")&gt;0)+(COUNTIF(G58:I75,$B89)+COUNTIF(G58:I75,$B89&amp;" ~*")&gt;0)+(COUNTIF(K58:M75,$B89)+COUNTIF(K58:M75,$B89&amp;" ~*")&gt;0)+(COUNTIF(O58:Q75,$B89)+COUNTIF(O58:Q75,$B89&amp;" ~*")&gt;0)+(COUNTIF(S58:U75,$B89)+COUNTIF(S58:U75,$B89&amp;" ~*")&gt;0)+(COUNTIF(W58:W75,$B89)+COUNTIF(W58:W75,$B89&amp;" ~*")&gt;0)+(COUNTIF(Y58:Y75,$B89)+COUNTIF(Y58:Y75,$B89&amp;" ~*")&gt;0))</f>
        <v/>
      </c>
      <c r="AC89" s="36">
        <f>IF($B89="","",(IFERROR(INDEX(Setup!$G$33:$G$40,MATCH(C89,Setup!$B$33:$B$40,0)),0)=1)*(COUNTIF(C58:E75,$B89)+COUNTIF(C58:E75,$B89&amp;" ~*")&gt;0)+(IFERROR(INDEX(Setup!$G$33:$G$40,MATCH(G89,Setup!$B$33:$B$40,0)),0)=1)*(COUNTIF(G58:I75,$B89)+COUNTIF(G58:I75,$B89&amp;" ~*")&gt;0)+(IFERROR(INDEX(Setup!$G$33:$G$40,MATCH(K89,Setup!$B$33:$B$40,0)),0)=1)*(COUNTIF(K58:M75,$B89)+COUNTIF(K58:M75,$B89&amp;" ~*")&gt;0)+(IFERROR(INDEX(Setup!$G$33:$G$40,MATCH(O89,Setup!$B$33:$B$40,0)),0)=1)*(COUNTIF(O58:Q75,$B89)+COUNTIF(O58:Q75,$B89&amp;" ~*")&gt;0)+(IFERROR(INDEX(Setup!$G$33:$G$40,MATCH(S89,Setup!$B$33:$B$40,0)),0)=1)*(COUNTIF(S58:U75,$B89)+COUNTIF(S58:U75,$B89&amp;" ~*")&gt;0)+(IFERROR(INDEX(Setup!$G$33:$G$40,MATCH(W89,Setup!$B$33:$B$40,0)),0)=1)*(COUNTIF(W58:W75,$B89)+COUNTIF(W58:W75,$B89&amp;" ~*")&gt;0)+(IFERROR(INDEX(Setup!$G$33:$G$40,MATCH(Y89,Setup!$B$33:$B$40,0)),0)=1)*(COUNTIF(Y58:Y75,$B89)+COUNTIF(Y58:Y75,$B89&amp;" ~*")&gt;0))</f>
        <v/>
      </c>
    </row>
    <row r="90" ht="15" customHeight="1">
      <c r="A90" t="n">
        <v>2</v>
      </c>
      <c r="B90" s="37">
        <f>IF(Setup!$B$19="","",Setup!$B$19)</f>
        <v/>
      </c>
      <c r="C90" s="102" t="n"/>
      <c r="D90" s="103" t="n"/>
      <c r="E90" s="103" t="n"/>
      <c r="F90" s="104" t="n"/>
      <c r="G90" s="102" t="n"/>
      <c r="H90" s="103" t="n"/>
      <c r="I90" s="103" t="n"/>
      <c r="J90" s="104" t="n"/>
      <c r="K90" s="102" t="n"/>
      <c r="L90" s="103" t="n"/>
      <c r="M90" s="103" t="n"/>
      <c r="N90" s="104" t="n"/>
      <c r="O90" s="102" t="n"/>
      <c r="P90" s="103" t="n"/>
      <c r="Q90" s="103" t="n"/>
      <c r="R90" s="104" t="n"/>
      <c r="S90" s="102" t="n"/>
      <c r="T90" s="103" t="n"/>
      <c r="U90" s="103" t="n"/>
      <c r="V90" s="104" t="n"/>
      <c r="W90" s="102" t="n"/>
      <c r="X90" s="104" t="n"/>
      <c r="Y90" s="102" t="n"/>
      <c r="Z90" s="104" t="n"/>
      <c r="AB90" s="105">
        <f>IF($B90="","",(COUNTIF(C58:E75,$B90)+COUNTIF(C58:E75,$B90&amp;" ~*")&gt;0)+(COUNTIF(G58:I75,$B90)+COUNTIF(G58:I75,$B90&amp;" ~*")&gt;0)+(COUNTIF(K58:M75,$B90)+COUNTIF(K58:M75,$B90&amp;" ~*")&gt;0)+(COUNTIF(O58:Q75,$B90)+COUNTIF(O58:Q75,$B90&amp;" ~*")&gt;0)+(COUNTIF(S58:U75,$B90)+COUNTIF(S58:U75,$B90&amp;" ~*")&gt;0)+(COUNTIF(W58:W75,$B90)+COUNTIF(W58:W75,$B90&amp;" ~*")&gt;0)+(COUNTIF(Y58:Y75,$B90)+COUNTIF(Y58:Y75,$B90&amp;" ~*")&gt;0))</f>
        <v/>
      </c>
      <c r="AC90" s="38">
        <f>IF($B90="","",(IFERROR(INDEX(Setup!$G$33:$G$40,MATCH(C90,Setup!$B$33:$B$40,0)),0)=1)*(COUNTIF(C58:E75,$B90)+COUNTIF(C58:E75,$B90&amp;" ~*")&gt;0)+(IFERROR(INDEX(Setup!$G$33:$G$40,MATCH(G90,Setup!$B$33:$B$40,0)),0)=1)*(COUNTIF(G58:I75,$B90)+COUNTIF(G58:I75,$B90&amp;" ~*")&gt;0)+(IFERROR(INDEX(Setup!$G$33:$G$40,MATCH(K90,Setup!$B$33:$B$40,0)),0)=1)*(COUNTIF(K58:M75,$B90)+COUNTIF(K58:M75,$B90&amp;" ~*")&gt;0)+(IFERROR(INDEX(Setup!$G$33:$G$40,MATCH(O90,Setup!$B$33:$B$40,0)),0)=1)*(COUNTIF(O58:Q75,$B90)+COUNTIF(O58:Q75,$B90&amp;" ~*")&gt;0)+(IFERROR(INDEX(Setup!$G$33:$G$40,MATCH(S90,Setup!$B$33:$B$40,0)),0)=1)*(COUNTIF(S58:U75,$B90)+COUNTIF(S58:U75,$B90&amp;" ~*")&gt;0)+(IFERROR(INDEX(Setup!$G$33:$G$40,MATCH(W90,Setup!$B$33:$B$40,0)),0)=1)*(COUNTIF(W58:W75,$B90)+COUNTIF(W58:W75,$B90&amp;" ~*")&gt;0)+(IFERROR(INDEX(Setup!$G$33:$G$40,MATCH(Y90,Setup!$B$33:$B$40,0)),0)=1)*(COUNTIF(Y58:Y75,$B90)+COUNTIF(Y58:Y75,$B90&amp;" ~*")&gt;0))</f>
        <v/>
      </c>
    </row>
    <row r="91" ht="15" customHeight="1">
      <c r="A91" t="n">
        <v>2</v>
      </c>
      <c r="B91" s="35">
        <f>IF(Setup!$B$20="","",Setup!$B$20)</f>
        <v/>
      </c>
      <c r="C91" s="98" t="n"/>
      <c r="D91" s="99" t="n"/>
      <c r="E91" s="99" t="n"/>
      <c r="F91" s="100" t="n"/>
      <c r="G91" s="98" t="n"/>
      <c r="H91" s="99" t="n"/>
      <c r="I91" s="99" t="n"/>
      <c r="J91" s="100" t="n"/>
      <c r="K91" s="98" t="n"/>
      <c r="L91" s="99" t="n"/>
      <c r="M91" s="99" t="n"/>
      <c r="N91" s="100" t="n"/>
      <c r="O91" s="98" t="n"/>
      <c r="P91" s="99" t="n"/>
      <c r="Q91" s="99" t="n"/>
      <c r="R91" s="100" t="n"/>
      <c r="S91" s="98" t="n"/>
      <c r="T91" s="99" t="n"/>
      <c r="U91" s="99" t="n"/>
      <c r="V91" s="100" t="n"/>
      <c r="W91" s="98" t="n"/>
      <c r="X91" s="100" t="n"/>
      <c r="Y91" s="98" t="n"/>
      <c r="Z91" s="100" t="n"/>
      <c r="AB91" s="101">
        <f>IF($B91="","",(COUNTIF(C58:E75,$B91)+COUNTIF(C58:E75,$B91&amp;" ~*")&gt;0)+(COUNTIF(G58:I75,$B91)+COUNTIF(G58:I75,$B91&amp;" ~*")&gt;0)+(COUNTIF(K58:M75,$B91)+COUNTIF(K58:M75,$B91&amp;" ~*")&gt;0)+(COUNTIF(O58:Q75,$B91)+COUNTIF(O58:Q75,$B91&amp;" ~*")&gt;0)+(COUNTIF(S58:U75,$B91)+COUNTIF(S58:U75,$B91&amp;" ~*")&gt;0)+(COUNTIF(W58:W75,$B91)+COUNTIF(W58:W75,$B91&amp;" ~*")&gt;0)+(COUNTIF(Y58:Y75,$B91)+COUNTIF(Y58:Y75,$B91&amp;" ~*")&gt;0))</f>
        <v/>
      </c>
      <c r="AC91" s="36">
        <f>IF($B91="","",(IFERROR(INDEX(Setup!$G$33:$G$40,MATCH(C91,Setup!$B$33:$B$40,0)),0)=1)*(COUNTIF(C58:E75,$B91)+COUNTIF(C58:E75,$B91&amp;" ~*")&gt;0)+(IFERROR(INDEX(Setup!$G$33:$G$40,MATCH(G91,Setup!$B$33:$B$40,0)),0)=1)*(COUNTIF(G58:I75,$B91)+COUNTIF(G58:I75,$B91&amp;" ~*")&gt;0)+(IFERROR(INDEX(Setup!$G$33:$G$40,MATCH(K91,Setup!$B$33:$B$40,0)),0)=1)*(COUNTIF(K58:M75,$B91)+COUNTIF(K58:M75,$B91&amp;" ~*")&gt;0)+(IFERROR(INDEX(Setup!$G$33:$G$40,MATCH(O91,Setup!$B$33:$B$40,0)),0)=1)*(COUNTIF(O58:Q75,$B91)+COUNTIF(O58:Q75,$B91&amp;" ~*")&gt;0)+(IFERROR(INDEX(Setup!$G$33:$G$40,MATCH(S91,Setup!$B$33:$B$40,0)),0)=1)*(COUNTIF(S58:U75,$B91)+COUNTIF(S58:U75,$B91&amp;" ~*")&gt;0)+(IFERROR(INDEX(Setup!$G$33:$G$40,MATCH(W91,Setup!$B$33:$B$40,0)),0)=1)*(COUNTIF(W58:W75,$B91)+COUNTIF(W58:W75,$B91&amp;" ~*")&gt;0)+(IFERROR(INDEX(Setup!$G$33:$G$40,MATCH(Y91,Setup!$B$33:$B$40,0)),0)=1)*(COUNTIF(Y58:Y75,$B91)+COUNTIF(Y58:Y75,$B91&amp;" ~*")&gt;0))</f>
        <v/>
      </c>
    </row>
    <row r="92" ht="15" customHeight="1">
      <c r="A92" t="n">
        <v>2</v>
      </c>
      <c r="B92" s="37">
        <f>IF(Setup!$B$21="","",Setup!$B$21)</f>
        <v/>
      </c>
      <c r="C92" s="102" t="n"/>
      <c r="D92" s="103" t="n"/>
      <c r="E92" s="103" t="n"/>
      <c r="F92" s="104" t="n"/>
      <c r="G92" s="102" t="n"/>
      <c r="H92" s="103" t="n"/>
      <c r="I92" s="103" t="n"/>
      <c r="J92" s="104" t="n"/>
      <c r="K92" s="102" t="n"/>
      <c r="L92" s="103" t="n"/>
      <c r="M92" s="103" t="n"/>
      <c r="N92" s="104" t="n"/>
      <c r="O92" s="102" t="n"/>
      <c r="P92" s="103" t="n"/>
      <c r="Q92" s="103" t="n"/>
      <c r="R92" s="104" t="n"/>
      <c r="S92" s="102" t="n"/>
      <c r="T92" s="103" t="n"/>
      <c r="U92" s="103" t="n"/>
      <c r="V92" s="104" t="n"/>
      <c r="W92" s="102" t="n"/>
      <c r="X92" s="104" t="n"/>
      <c r="Y92" s="102" t="n"/>
      <c r="Z92" s="104" t="n"/>
      <c r="AB92" s="105">
        <f>IF($B92="","",(COUNTIF(C58:E75,$B92)+COUNTIF(C58:E75,$B92&amp;" ~*")&gt;0)+(COUNTIF(G58:I75,$B92)+COUNTIF(G58:I75,$B92&amp;" ~*")&gt;0)+(COUNTIF(K58:M75,$B92)+COUNTIF(K58:M75,$B92&amp;" ~*")&gt;0)+(COUNTIF(O58:Q75,$B92)+COUNTIF(O58:Q75,$B92&amp;" ~*")&gt;0)+(COUNTIF(S58:U75,$B92)+COUNTIF(S58:U75,$B92&amp;" ~*")&gt;0)+(COUNTIF(W58:W75,$B92)+COUNTIF(W58:W75,$B92&amp;" ~*")&gt;0)+(COUNTIF(Y58:Y75,$B92)+COUNTIF(Y58:Y75,$B92&amp;" ~*")&gt;0))</f>
        <v/>
      </c>
      <c r="AC92" s="38">
        <f>IF($B92="","",(IFERROR(INDEX(Setup!$G$33:$G$40,MATCH(C92,Setup!$B$33:$B$40,0)),0)=1)*(COUNTIF(C58:E75,$B92)+COUNTIF(C58:E75,$B92&amp;" ~*")&gt;0)+(IFERROR(INDEX(Setup!$G$33:$G$40,MATCH(G92,Setup!$B$33:$B$40,0)),0)=1)*(COUNTIF(G58:I75,$B92)+COUNTIF(G58:I75,$B92&amp;" ~*")&gt;0)+(IFERROR(INDEX(Setup!$G$33:$G$40,MATCH(K92,Setup!$B$33:$B$40,0)),0)=1)*(COUNTIF(K58:M75,$B92)+COUNTIF(K58:M75,$B92&amp;" ~*")&gt;0)+(IFERROR(INDEX(Setup!$G$33:$G$40,MATCH(O92,Setup!$B$33:$B$40,0)),0)=1)*(COUNTIF(O58:Q75,$B92)+COUNTIF(O58:Q75,$B92&amp;" ~*")&gt;0)+(IFERROR(INDEX(Setup!$G$33:$G$40,MATCH(S92,Setup!$B$33:$B$40,0)),0)=1)*(COUNTIF(S58:U75,$B92)+COUNTIF(S58:U75,$B92&amp;" ~*")&gt;0)+(IFERROR(INDEX(Setup!$G$33:$G$40,MATCH(W92,Setup!$B$33:$B$40,0)),0)=1)*(COUNTIF(W58:W75,$B92)+COUNTIF(W58:W75,$B92&amp;" ~*")&gt;0)+(IFERROR(INDEX(Setup!$G$33:$G$40,MATCH(Y92,Setup!$B$33:$B$40,0)),0)=1)*(COUNTIF(Y58:Y75,$B92)+COUNTIF(Y58:Y75,$B92&amp;" ~*")&gt;0))</f>
        <v/>
      </c>
    </row>
    <row r="93" ht="15" customHeight="1">
      <c r="A93" t="n">
        <v>2</v>
      </c>
      <c r="B93" s="35">
        <f>IF(Setup!$B$22="","",Setup!$B$22)</f>
        <v/>
      </c>
      <c r="C93" s="98" t="n"/>
      <c r="D93" s="99" t="n"/>
      <c r="E93" s="99" t="n"/>
      <c r="F93" s="100" t="n"/>
      <c r="G93" s="98" t="n"/>
      <c r="H93" s="99" t="n"/>
      <c r="I93" s="99" t="n"/>
      <c r="J93" s="100" t="n"/>
      <c r="K93" s="98" t="n"/>
      <c r="L93" s="99" t="n"/>
      <c r="M93" s="99" t="n"/>
      <c r="N93" s="100" t="n"/>
      <c r="O93" s="98" t="n"/>
      <c r="P93" s="99" t="n"/>
      <c r="Q93" s="99" t="n"/>
      <c r="R93" s="100" t="n"/>
      <c r="S93" s="98" t="n"/>
      <c r="T93" s="99" t="n"/>
      <c r="U93" s="99" t="n"/>
      <c r="V93" s="100" t="n"/>
      <c r="W93" s="98" t="n"/>
      <c r="X93" s="100" t="n"/>
      <c r="Y93" s="98" t="n"/>
      <c r="Z93" s="100" t="n"/>
      <c r="AB93" s="101">
        <f>IF($B93="","",(COUNTIF(C58:E75,$B93)+COUNTIF(C58:E75,$B93&amp;" ~*")&gt;0)+(COUNTIF(G58:I75,$B93)+COUNTIF(G58:I75,$B93&amp;" ~*")&gt;0)+(COUNTIF(K58:M75,$B93)+COUNTIF(K58:M75,$B93&amp;" ~*")&gt;0)+(COUNTIF(O58:Q75,$B93)+COUNTIF(O58:Q75,$B93&amp;" ~*")&gt;0)+(COUNTIF(S58:U75,$B93)+COUNTIF(S58:U75,$B93&amp;" ~*")&gt;0)+(COUNTIF(W58:W75,$B93)+COUNTIF(W58:W75,$B93&amp;" ~*")&gt;0)+(COUNTIF(Y58:Y75,$B93)+COUNTIF(Y58:Y75,$B93&amp;" ~*")&gt;0))</f>
        <v/>
      </c>
      <c r="AC93" s="36">
        <f>IF($B93="","",(IFERROR(INDEX(Setup!$G$33:$G$40,MATCH(C93,Setup!$B$33:$B$40,0)),0)=1)*(COUNTIF(C58:E75,$B93)+COUNTIF(C58:E75,$B93&amp;" ~*")&gt;0)+(IFERROR(INDEX(Setup!$G$33:$G$40,MATCH(G93,Setup!$B$33:$B$40,0)),0)=1)*(COUNTIF(G58:I75,$B93)+COUNTIF(G58:I75,$B93&amp;" ~*")&gt;0)+(IFERROR(INDEX(Setup!$G$33:$G$40,MATCH(K93,Setup!$B$33:$B$40,0)),0)=1)*(COUNTIF(K58:M75,$B93)+COUNTIF(K58:M75,$B93&amp;" ~*")&gt;0)+(IFERROR(INDEX(Setup!$G$33:$G$40,MATCH(O93,Setup!$B$33:$B$40,0)),0)=1)*(COUNTIF(O58:Q75,$B93)+COUNTIF(O58:Q75,$B93&amp;" ~*")&gt;0)+(IFERROR(INDEX(Setup!$G$33:$G$40,MATCH(S93,Setup!$B$33:$B$40,0)),0)=1)*(COUNTIF(S58:U75,$B93)+COUNTIF(S58:U75,$B93&amp;" ~*")&gt;0)+(IFERROR(INDEX(Setup!$G$33:$G$40,MATCH(W93,Setup!$B$33:$B$40,0)),0)=1)*(COUNTIF(W58:W75,$B93)+COUNTIF(W58:W75,$B93&amp;" ~*")&gt;0)+(IFERROR(INDEX(Setup!$G$33:$G$40,MATCH(Y93,Setup!$B$33:$B$40,0)),0)=1)*(COUNTIF(Y58:Y75,$B93)+COUNTIF(Y58:Y75,$B93&amp;" ~*")&gt;0))</f>
        <v/>
      </c>
    </row>
    <row r="94" ht="15" customHeight="1">
      <c r="A94" t="n">
        <v>2</v>
      </c>
      <c r="B94" s="37">
        <f>IF(Setup!$B$23="","",Setup!$B$23)</f>
        <v/>
      </c>
      <c r="C94" s="102" t="n"/>
      <c r="D94" s="103" t="n"/>
      <c r="E94" s="103" t="n"/>
      <c r="F94" s="104" t="n"/>
      <c r="G94" s="102" t="n"/>
      <c r="H94" s="103" t="n"/>
      <c r="I94" s="103" t="n"/>
      <c r="J94" s="104" t="n"/>
      <c r="K94" s="102" t="n"/>
      <c r="L94" s="103" t="n"/>
      <c r="M94" s="103" t="n"/>
      <c r="N94" s="104" t="n"/>
      <c r="O94" s="102" t="n"/>
      <c r="P94" s="103" t="n"/>
      <c r="Q94" s="103" t="n"/>
      <c r="R94" s="104" t="n"/>
      <c r="S94" s="102" t="n"/>
      <c r="T94" s="103" t="n"/>
      <c r="U94" s="103" t="n"/>
      <c r="V94" s="104" t="n"/>
      <c r="W94" s="102" t="n"/>
      <c r="X94" s="104" t="n"/>
      <c r="Y94" s="102" t="n"/>
      <c r="Z94" s="104" t="n"/>
      <c r="AB94" s="105">
        <f>IF($B94="","",(COUNTIF(C58:E75,$B94)+COUNTIF(C58:E75,$B94&amp;" ~*")&gt;0)+(COUNTIF(G58:I75,$B94)+COUNTIF(G58:I75,$B94&amp;" ~*")&gt;0)+(COUNTIF(K58:M75,$B94)+COUNTIF(K58:M75,$B94&amp;" ~*")&gt;0)+(COUNTIF(O58:Q75,$B94)+COUNTIF(O58:Q75,$B94&amp;" ~*")&gt;0)+(COUNTIF(S58:U75,$B94)+COUNTIF(S58:U75,$B94&amp;" ~*")&gt;0)+(COUNTIF(W58:W75,$B94)+COUNTIF(W58:W75,$B94&amp;" ~*")&gt;0)+(COUNTIF(Y58:Y75,$B94)+COUNTIF(Y58:Y75,$B94&amp;" ~*")&gt;0))</f>
        <v/>
      </c>
      <c r="AC94" s="38">
        <f>IF($B94="","",(IFERROR(INDEX(Setup!$G$33:$G$40,MATCH(C94,Setup!$B$33:$B$40,0)),0)=1)*(COUNTIF(C58:E75,$B94)+COUNTIF(C58:E75,$B94&amp;" ~*")&gt;0)+(IFERROR(INDEX(Setup!$G$33:$G$40,MATCH(G94,Setup!$B$33:$B$40,0)),0)=1)*(COUNTIF(G58:I75,$B94)+COUNTIF(G58:I75,$B94&amp;" ~*")&gt;0)+(IFERROR(INDEX(Setup!$G$33:$G$40,MATCH(K94,Setup!$B$33:$B$40,0)),0)=1)*(COUNTIF(K58:M75,$B94)+COUNTIF(K58:M75,$B94&amp;" ~*")&gt;0)+(IFERROR(INDEX(Setup!$G$33:$G$40,MATCH(O94,Setup!$B$33:$B$40,0)),0)=1)*(COUNTIF(O58:Q75,$B94)+COUNTIF(O58:Q75,$B94&amp;" ~*")&gt;0)+(IFERROR(INDEX(Setup!$G$33:$G$40,MATCH(S94,Setup!$B$33:$B$40,0)),0)=1)*(COUNTIF(S58:U75,$B94)+COUNTIF(S58:U75,$B94&amp;" ~*")&gt;0)+(IFERROR(INDEX(Setup!$G$33:$G$40,MATCH(W94,Setup!$B$33:$B$40,0)),0)=1)*(COUNTIF(W58:W75,$B94)+COUNTIF(W58:W75,$B94&amp;" ~*")&gt;0)+(IFERROR(INDEX(Setup!$G$33:$G$40,MATCH(Y94,Setup!$B$33:$B$40,0)),0)=1)*(COUNTIF(Y58:Y75,$B94)+COUNTIF(Y58:Y75,$B94&amp;" ~*")&gt;0))</f>
        <v/>
      </c>
    </row>
    <row r="95" ht="15" customHeight="1">
      <c r="A95" t="n">
        <v>2</v>
      </c>
      <c r="B95" s="35">
        <f>IF(Setup!$B$24="","",Setup!$B$24)</f>
        <v/>
      </c>
      <c r="C95" s="98" t="n"/>
      <c r="D95" s="99" t="n"/>
      <c r="E95" s="99" t="n"/>
      <c r="F95" s="100" t="n"/>
      <c r="G95" s="98" t="n"/>
      <c r="H95" s="99" t="n"/>
      <c r="I95" s="99" t="n"/>
      <c r="J95" s="100" t="n"/>
      <c r="K95" s="98" t="n"/>
      <c r="L95" s="99" t="n"/>
      <c r="M95" s="99" t="n"/>
      <c r="N95" s="100" t="n"/>
      <c r="O95" s="98" t="n"/>
      <c r="P95" s="99" t="n"/>
      <c r="Q95" s="99" t="n"/>
      <c r="R95" s="100" t="n"/>
      <c r="S95" s="98" t="n"/>
      <c r="T95" s="99" t="n"/>
      <c r="U95" s="99" t="n"/>
      <c r="V95" s="100" t="n"/>
      <c r="W95" s="98" t="n"/>
      <c r="X95" s="100" t="n"/>
      <c r="Y95" s="98" t="n"/>
      <c r="Z95" s="100" t="n"/>
      <c r="AB95" s="101">
        <f>IF($B95="","",(COUNTIF(C58:E75,$B95)+COUNTIF(C58:E75,$B95&amp;" ~*")&gt;0)+(COUNTIF(G58:I75,$B95)+COUNTIF(G58:I75,$B95&amp;" ~*")&gt;0)+(COUNTIF(K58:M75,$B95)+COUNTIF(K58:M75,$B95&amp;" ~*")&gt;0)+(COUNTIF(O58:Q75,$B95)+COUNTIF(O58:Q75,$B95&amp;" ~*")&gt;0)+(COUNTIF(S58:U75,$B95)+COUNTIF(S58:U75,$B95&amp;" ~*")&gt;0)+(COUNTIF(W58:W75,$B95)+COUNTIF(W58:W75,$B95&amp;" ~*")&gt;0)+(COUNTIF(Y58:Y75,$B95)+COUNTIF(Y58:Y75,$B95&amp;" ~*")&gt;0))</f>
        <v/>
      </c>
      <c r="AC95" s="36">
        <f>IF($B95="","",(IFERROR(INDEX(Setup!$G$33:$G$40,MATCH(C95,Setup!$B$33:$B$40,0)),0)=1)*(COUNTIF(C58:E75,$B95)+COUNTIF(C58:E75,$B95&amp;" ~*")&gt;0)+(IFERROR(INDEX(Setup!$G$33:$G$40,MATCH(G95,Setup!$B$33:$B$40,0)),0)=1)*(COUNTIF(G58:I75,$B95)+COUNTIF(G58:I75,$B95&amp;" ~*")&gt;0)+(IFERROR(INDEX(Setup!$G$33:$G$40,MATCH(K95,Setup!$B$33:$B$40,0)),0)=1)*(COUNTIF(K58:M75,$B95)+COUNTIF(K58:M75,$B95&amp;" ~*")&gt;0)+(IFERROR(INDEX(Setup!$G$33:$G$40,MATCH(O95,Setup!$B$33:$B$40,0)),0)=1)*(COUNTIF(O58:Q75,$B95)+COUNTIF(O58:Q75,$B95&amp;" ~*")&gt;0)+(IFERROR(INDEX(Setup!$G$33:$G$40,MATCH(S95,Setup!$B$33:$B$40,0)),0)=1)*(COUNTIF(S58:U75,$B95)+COUNTIF(S58:U75,$B95&amp;" ~*")&gt;0)+(IFERROR(INDEX(Setup!$G$33:$G$40,MATCH(W95,Setup!$B$33:$B$40,0)),0)=1)*(COUNTIF(W58:W75,$B95)+COUNTIF(W58:W75,$B95&amp;" ~*")&gt;0)+(IFERROR(INDEX(Setup!$G$33:$G$40,MATCH(Y95,Setup!$B$33:$B$40,0)),0)=1)*(COUNTIF(Y58:Y75,$B95)+COUNTIF(Y58:Y75,$B95&amp;" ~*")&gt;0))</f>
        <v/>
      </c>
    </row>
    <row r="96" ht="15" customHeight="1">
      <c r="A96" t="n">
        <v>2</v>
      </c>
      <c r="B96" s="37">
        <f>IF(Setup!$B$25="","",Setup!$B$25)</f>
        <v/>
      </c>
      <c r="C96" s="102" t="n"/>
      <c r="D96" s="103" t="n"/>
      <c r="E96" s="103" t="n"/>
      <c r="F96" s="104" t="n"/>
      <c r="G96" s="102" t="n"/>
      <c r="H96" s="103" t="n"/>
      <c r="I96" s="103" t="n"/>
      <c r="J96" s="104" t="n"/>
      <c r="K96" s="102" t="n"/>
      <c r="L96" s="103" t="n"/>
      <c r="M96" s="103" t="n"/>
      <c r="N96" s="104" t="n"/>
      <c r="O96" s="102" t="n"/>
      <c r="P96" s="103" t="n"/>
      <c r="Q96" s="103" t="n"/>
      <c r="R96" s="104" t="n"/>
      <c r="S96" s="102" t="n"/>
      <c r="T96" s="103" t="n"/>
      <c r="U96" s="103" t="n"/>
      <c r="V96" s="104" t="n"/>
      <c r="W96" s="102" t="n"/>
      <c r="X96" s="104" t="n"/>
      <c r="Y96" s="102" t="n"/>
      <c r="Z96" s="104" t="n"/>
      <c r="AB96" s="105">
        <f>IF($B96="","",(COUNTIF(C58:E75,$B96)+COUNTIF(C58:E75,$B96&amp;" ~*")&gt;0)+(COUNTIF(G58:I75,$B96)+COUNTIF(G58:I75,$B96&amp;" ~*")&gt;0)+(COUNTIF(K58:M75,$B96)+COUNTIF(K58:M75,$B96&amp;" ~*")&gt;0)+(COUNTIF(O58:Q75,$B96)+COUNTIF(O58:Q75,$B96&amp;" ~*")&gt;0)+(COUNTIF(S58:U75,$B96)+COUNTIF(S58:U75,$B96&amp;" ~*")&gt;0)+(COUNTIF(W58:W75,$B96)+COUNTIF(W58:W75,$B96&amp;" ~*")&gt;0)+(COUNTIF(Y58:Y75,$B96)+COUNTIF(Y58:Y75,$B96&amp;" ~*")&gt;0))</f>
        <v/>
      </c>
      <c r="AC96" s="38">
        <f>IF($B96="","",(IFERROR(INDEX(Setup!$G$33:$G$40,MATCH(C96,Setup!$B$33:$B$40,0)),0)=1)*(COUNTIF(C58:E75,$B96)+COUNTIF(C58:E75,$B96&amp;" ~*")&gt;0)+(IFERROR(INDEX(Setup!$G$33:$G$40,MATCH(G96,Setup!$B$33:$B$40,0)),0)=1)*(COUNTIF(G58:I75,$B96)+COUNTIF(G58:I75,$B96&amp;" ~*")&gt;0)+(IFERROR(INDEX(Setup!$G$33:$G$40,MATCH(K96,Setup!$B$33:$B$40,0)),0)=1)*(COUNTIF(K58:M75,$B96)+COUNTIF(K58:M75,$B96&amp;" ~*")&gt;0)+(IFERROR(INDEX(Setup!$G$33:$G$40,MATCH(O96,Setup!$B$33:$B$40,0)),0)=1)*(COUNTIF(O58:Q75,$B96)+COUNTIF(O58:Q75,$B96&amp;" ~*")&gt;0)+(IFERROR(INDEX(Setup!$G$33:$G$40,MATCH(S96,Setup!$B$33:$B$40,0)),0)=1)*(COUNTIF(S58:U75,$B96)+COUNTIF(S58:U75,$B96&amp;" ~*")&gt;0)+(IFERROR(INDEX(Setup!$G$33:$G$40,MATCH(W96,Setup!$B$33:$B$40,0)),0)=1)*(COUNTIF(W58:W75,$B96)+COUNTIF(W58:W75,$B96&amp;" ~*")&gt;0)+(IFERROR(INDEX(Setup!$G$33:$G$40,MATCH(Y96,Setup!$B$33:$B$40,0)),0)=1)*(COUNTIF(Y58:Y75,$B96)+COUNTIF(Y58:Y75,$B96&amp;" ~*")&gt;0))</f>
        <v/>
      </c>
    </row>
    <row r="97" ht="15" customHeight="1">
      <c r="A97" t="n">
        <v>2</v>
      </c>
      <c r="B97" s="35">
        <f>IF(Setup!$B$26="","",Setup!$B$26)</f>
        <v/>
      </c>
      <c r="C97" s="98" t="n"/>
      <c r="D97" s="99" t="n"/>
      <c r="E97" s="99" t="n"/>
      <c r="F97" s="100" t="n"/>
      <c r="G97" s="98" t="n"/>
      <c r="H97" s="99" t="n"/>
      <c r="I97" s="99" t="n"/>
      <c r="J97" s="100" t="n"/>
      <c r="K97" s="98" t="n"/>
      <c r="L97" s="99" t="n"/>
      <c r="M97" s="99" t="n"/>
      <c r="N97" s="100" t="n"/>
      <c r="O97" s="98" t="n"/>
      <c r="P97" s="99" t="n"/>
      <c r="Q97" s="99" t="n"/>
      <c r="R97" s="100" t="n"/>
      <c r="S97" s="98" t="n"/>
      <c r="T97" s="99" t="n"/>
      <c r="U97" s="99" t="n"/>
      <c r="V97" s="100" t="n"/>
      <c r="W97" s="98" t="n"/>
      <c r="X97" s="100" t="n"/>
      <c r="Y97" s="98" t="n"/>
      <c r="Z97" s="100" t="n"/>
      <c r="AB97" s="101">
        <f>IF($B97="","",(COUNTIF(C58:E75,$B97)+COUNTIF(C58:E75,$B97&amp;" ~*")&gt;0)+(COUNTIF(G58:I75,$B97)+COUNTIF(G58:I75,$B97&amp;" ~*")&gt;0)+(COUNTIF(K58:M75,$B97)+COUNTIF(K58:M75,$B97&amp;" ~*")&gt;0)+(COUNTIF(O58:Q75,$B97)+COUNTIF(O58:Q75,$B97&amp;" ~*")&gt;0)+(COUNTIF(S58:U75,$B97)+COUNTIF(S58:U75,$B97&amp;" ~*")&gt;0)+(COUNTIF(W58:W75,$B97)+COUNTIF(W58:W75,$B97&amp;" ~*")&gt;0)+(COUNTIF(Y58:Y75,$B97)+COUNTIF(Y58:Y75,$B97&amp;" ~*")&gt;0))</f>
        <v/>
      </c>
      <c r="AC97" s="36">
        <f>IF($B97="","",(IFERROR(INDEX(Setup!$G$33:$G$40,MATCH(C97,Setup!$B$33:$B$40,0)),0)=1)*(COUNTIF(C58:E75,$B97)+COUNTIF(C58:E75,$B97&amp;" ~*")&gt;0)+(IFERROR(INDEX(Setup!$G$33:$G$40,MATCH(G97,Setup!$B$33:$B$40,0)),0)=1)*(COUNTIF(G58:I75,$B97)+COUNTIF(G58:I75,$B97&amp;" ~*")&gt;0)+(IFERROR(INDEX(Setup!$G$33:$G$40,MATCH(K97,Setup!$B$33:$B$40,0)),0)=1)*(COUNTIF(K58:M75,$B97)+COUNTIF(K58:M75,$B97&amp;" ~*")&gt;0)+(IFERROR(INDEX(Setup!$G$33:$G$40,MATCH(O97,Setup!$B$33:$B$40,0)),0)=1)*(COUNTIF(O58:Q75,$B97)+COUNTIF(O58:Q75,$B97&amp;" ~*")&gt;0)+(IFERROR(INDEX(Setup!$G$33:$G$40,MATCH(S97,Setup!$B$33:$B$40,0)),0)=1)*(COUNTIF(S58:U75,$B97)+COUNTIF(S58:U75,$B97&amp;" ~*")&gt;0)+(IFERROR(INDEX(Setup!$G$33:$G$40,MATCH(W97,Setup!$B$33:$B$40,0)),0)=1)*(COUNTIF(W58:W75,$B97)+COUNTIF(W58:W75,$B97&amp;" ~*")&gt;0)+(IFERROR(INDEX(Setup!$G$33:$G$40,MATCH(Y97,Setup!$B$33:$B$40,0)),0)=1)*(COUNTIF(Y58:Y75,$B97)+COUNTIF(Y58:Y75,$B97&amp;" ~*")&gt;0))</f>
        <v/>
      </c>
    </row>
    <row r="98" ht="15" customHeight="1">
      <c r="A98" t="n">
        <v>2</v>
      </c>
      <c r="B98" s="37">
        <f>IF(Setup!$B$27="","",Setup!$B$27)</f>
        <v/>
      </c>
      <c r="C98" s="102" t="n"/>
      <c r="D98" s="103" t="n"/>
      <c r="E98" s="103" t="n"/>
      <c r="F98" s="104" t="n"/>
      <c r="G98" s="102" t="n"/>
      <c r="H98" s="103" t="n"/>
      <c r="I98" s="103" t="n"/>
      <c r="J98" s="104" t="n"/>
      <c r="K98" s="102" t="n"/>
      <c r="L98" s="103" t="n"/>
      <c r="M98" s="103" t="n"/>
      <c r="N98" s="104" t="n"/>
      <c r="O98" s="102" t="n"/>
      <c r="P98" s="103" t="n"/>
      <c r="Q98" s="103" t="n"/>
      <c r="R98" s="104" t="n"/>
      <c r="S98" s="102" t="n"/>
      <c r="T98" s="103" t="n"/>
      <c r="U98" s="103" t="n"/>
      <c r="V98" s="104" t="n"/>
      <c r="W98" s="102" t="n"/>
      <c r="X98" s="104" t="n"/>
      <c r="Y98" s="102" t="n"/>
      <c r="Z98" s="104" t="n"/>
      <c r="AB98" s="105">
        <f>IF($B98="","",(COUNTIF(C58:E75,$B98)+COUNTIF(C58:E75,$B98&amp;" ~*")&gt;0)+(COUNTIF(G58:I75,$B98)+COUNTIF(G58:I75,$B98&amp;" ~*")&gt;0)+(COUNTIF(K58:M75,$B98)+COUNTIF(K58:M75,$B98&amp;" ~*")&gt;0)+(COUNTIF(O58:Q75,$B98)+COUNTIF(O58:Q75,$B98&amp;" ~*")&gt;0)+(COUNTIF(S58:U75,$B98)+COUNTIF(S58:U75,$B98&amp;" ~*")&gt;0)+(COUNTIF(W58:W75,$B98)+COUNTIF(W58:W75,$B98&amp;" ~*")&gt;0)+(COUNTIF(Y58:Y75,$B98)+COUNTIF(Y58:Y75,$B98&amp;" ~*")&gt;0))</f>
        <v/>
      </c>
      <c r="AC98" s="38">
        <f>IF($B98="","",(IFERROR(INDEX(Setup!$G$33:$G$40,MATCH(C98,Setup!$B$33:$B$40,0)),0)=1)*(COUNTIF(C58:E75,$B98)+COUNTIF(C58:E75,$B98&amp;" ~*")&gt;0)+(IFERROR(INDEX(Setup!$G$33:$G$40,MATCH(G98,Setup!$B$33:$B$40,0)),0)=1)*(COUNTIF(G58:I75,$B98)+COUNTIF(G58:I75,$B98&amp;" ~*")&gt;0)+(IFERROR(INDEX(Setup!$G$33:$G$40,MATCH(K98,Setup!$B$33:$B$40,0)),0)=1)*(COUNTIF(K58:M75,$B98)+COUNTIF(K58:M75,$B98&amp;" ~*")&gt;0)+(IFERROR(INDEX(Setup!$G$33:$G$40,MATCH(O98,Setup!$B$33:$B$40,0)),0)=1)*(COUNTIF(O58:Q75,$B98)+COUNTIF(O58:Q75,$B98&amp;" ~*")&gt;0)+(IFERROR(INDEX(Setup!$G$33:$G$40,MATCH(S98,Setup!$B$33:$B$40,0)),0)=1)*(COUNTIF(S58:U75,$B98)+COUNTIF(S58:U75,$B98&amp;" ~*")&gt;0)+(IFERROR(INDEX(Setup!$G$33:$G$40,MATCH(W98,Setup!$B$33:$B$40,0)),0)=1)*(COUNTIF(W58:W75,$B98)+COUNTIF(W58:W75,$B98&amp;" ~*")&gt;0)+(IFERROR(INDEX(Setup!$G$33:$G$40,MATCH(Y98,Setup!$B$33:$B$40,0)),0)=1)*(COUNTIF(Y58:Y75,$B98)+COUNTIF(Y58:Y75,$B98&amp;" ~*")&gt;0))</f>
        <v/>
      </c>
    </row>
    <row r="99" ht="15" customHeight="1">
      <c r="A99" t="n">
        <v>2</v>
      </c>
      <c r="B99" s="35">
        <f>IF(Setup!$B$28="","",Setup!$B$28)</f>
        <v/>
      </c>
      <c r="C99" s="98" t="n"/>
      <c r="D99" s="99" t="n"/>
      <c r="E99" s="99" t="n"/>
      <c r="F99" s="100" t="n"/>
      <c r="G99" s="98" t="n"/>
      <c r="H99" s="99" t="n"/>
      <c r="I99" s="99" t="n"/>
      <c r="J99" s="100" t="n"/>
      <c r="K99" s="98" t="n"/>
      <c r="L99" s="99" t="n"/>
      <c r="M99" s="99" t="n"/>
      <c r="N99" s="100" t="n"/>
      <c r="O99" s="98" t="n"/>
      <c r="P99" s="99" t="n"/>
      <c r="Q99" s="99" t="n"/>
      <c r="R99" s="100" t="n"/>
      <c r="S99" s="98" t="n"/>
      <c r="T99" s="99" t="n"/>
      <c r="U99" s="99" t="n"/>
      <c r="V99" s="100" t="n"/>
      <c r="W99" s="98" t="n"/>
      <c r="X99" s="100" t="n"/>
      <c r="Y99" s="98" t="n"/>
      <c r="Z99" s="100" t="n"/>
      <c r="AB99" s="101">
        <f>IF($B99="","",(COUNTIF(C58:E75,$B99)+COUNTIF(C58:E75,$B99&amp;" ~*")&gt;0)+(COUNTIF(G58:I75,$B99)+COUNTIF(G58:I75,$B99&amp;" ~*")&gt;0)+(COUNTIF(K58:M75,$B99)+COUNTIF(K58:M75,$B99&amp;" ~*")&gt;0)+(COUNTIF(O58:Q75,$B99)+COUNTIF(O58:Q75,$B99&amp;" ~*")&gt;0)+(COUNTIF(S58:U75,$B99)+COUNTIF(S58:U75,$B99&amp;" ~*")&gt;0)+(COUNTIF(W58:W75,$B99)+COUNTIF(W58:W75,$B99&amp;" ~*")&gt;0)+(COUNTIF(Y58:Y75,$B99)+COUNTIF(Y58:Y75,$B99&amp;" ~*")&gt;0))</f>
        <v/>
      </c>
      <c r="AC99" s="36">
        <f>IF($B99="","",(IFERROR(INDEX(Setup!$G$33:$G$40,MATCH(C99,Setup!$B$33:$B$40,0)),0)=1)*(COUNTIF(C58:E75,$B99)+COUNTIF(C58:E75,$B99&amp;" ~*")&gt;0)+(IFERROR(INDEX(Setup!$G$33:$G$40,MATCH(G99,Setup!$B$33:$B$40,0)),0)=1)*(COUNTIF(G58:I75,$B99)+COUNTIF(G58:I75,$B99&amp;" ~*")&gt;0)+(IFERROR(INDEX(Setup!$G$33:$G$40,MATCH(K99,Setup!$B$33:$B$40,0)),0)=1)*(COUNTIF(K58:M75,$B99)+COUNTIF(K58:M75,$B99&amp;" ~*")&gt;0)+(IFERROR(INDEX(Setup!$G$33:$G$40,MATCH(O99,Setup!$B$33:$B$40,0)),0)=1)*(COUNTIF(O58:Q75,$B99)+COUNTIF(O58:Q75,$B99&amp;" ~*")&gt;0)+(IFERROR(INDEX(Setup!$G$33:$G$40,MATCH(S99,Setup!$B$33:$B$40,0)),0)=1)*(COUNTIF(S58:U75,$B99)+COUNTIF(S58:U75,$B99&amp;" ~*")&gt;0)+(IFERROR(INDEX(Setup!$G$33:$G$40,MATCH(W99,Setup!$B$33:$B$40,0)),0)=1)*(COUNTIF(W58:W75,$B99)+COUNTIF(W58:W75,$B99&amp;" ~*")&gt;0)+(IFERROR(INDEX(Setup!$G$33:$G$40,MATCH(Y99,Setup!$B$33:$B$40,0)),0)=1)*(COUNTIF(Y58:Y75,$B99)+COUNTIF(Y58:Y75,$B99&amp;" ~*")&gt;0))</f>
        <v/>
      </c>
    </row>
    <row r="100" ht="15" customHeight="1">
      <c r="A100" t="n">
        <v>2</v>
      </c>
      <c r="B100" s="37">
        <f>IF(Setup!$B$29="","",Setup!$B$29)</f>
        <v/>
      </c>
      <c r="C100" s="102" t="n"/>
      <c r="D100" s="103" t="n"/>
      <c r="E100" s="103" t="n"/>
      <c r="F100" s="104" t="n"/>
      <c r="G100" s="102" t="n"/>
      <c r="H100" s="103" t="n"/>
      <c r="I100" s="103" t="n"/>
      <c r="J100" s="104" t="n"/>
      <c r="K100" s="102" t="n"/>
      <c r="L100" s="103" t="n"/>
      <c r="M100" s="103" t="n"/>
      <c r="N100" s="104" t="n"/>
      <c r="O100" s="102" t="n"/>
      <c r="P100" s="103" t="n"/>
      <c r="Q100" s="103" t="n"/>
      <c r="R100" s="104" t="n"/>
      <c r="S100" s="102" t="n"/>
      <c r="T100" s="103" t="n"/>
      <c r="U100" s="103" t="n"/>
      <c r="V100" s="104" t="n"/>
      <c r="W100" s="102" t="n"/>
      <c r="X100" s="104" t="n"/>
      <c r="Y100" s="102" t="n"/>
      <c r="Z100" s="104" t="n"/>
      <c r="AB100" s="105">
        <f>IF($B100="","",(COUNTIF(C58:E75,$B100)+COUNTIF(C58:E75,$B100&amp;" ~*")&gt;0)+(COUNTIF(G58:I75,$B100)+COUNTIF(G58:I75,$B100&amp;" ~*")&gt;0)+(COUNTIF(K58:M75,$B100)+COUNTIF(K58:M75,$B100&amp;" ~*")&gt;0)+(COUNTIF(O58:Q75,$B100)+COUNTIF(O58:Q75,$B100&amp;" ~*")&gt;0)+(COUNTIF(S58:U75,$B100)+COUNTIF(S58:U75,$B100&amp;" ~*")&gt;0)+(COUNTIF(W58:W75,$B100)+COUNTIF(W58:W75,$B100&amp;" ~*")&gt;0)+(COUNTIF(Y58:Y75,$B100)+COUNTIF(Y58:Y75,$B100&amp;" ~*")&gt;0))</f>
        <v/>
      </c>
      <c r="AC100" s="38">
        <f>IF($B100="","",(IFERROR(INDEX(Setup!$G$33:$G$40,MATCH(C100,Setup!$B$33:$B$40,0)),0)=1)*(COUNTIF(C58:E75,$B100)+COUNTIF(C58:E75,$B100&amp;" ~*")&gt;0)+(IFERROR(INDEX(Setup!$G$33:$G$40,MATCH(G100,Setup!$B$33:$B$40,0)),0)=1)*(COUNTIF(G58:I75,$B100)+COUNTIF(G58:I75,$B100&amp;" ~*")&gt;0)+(IFERROR(INDEX(Setup!$G$33:$G$40,MATCH(K100,Setup!$B$33:$B$40,0)),0)=1)*(COUNTIF(K58:M75,$B100)+COUNTIF(K58:M75,$B100&amp;" ~*")&gt;0)+(IFERROR(INDEX(Setup!$G$33:$G$40,MATCH(O100,Setup!$B$33:$B$40,0)),0)=1)*(COUNTIF(O58:Q75,$B100)+COUNTIF(O58:Q75,$B100&amp;" ~*")&gt;0)+(IFERROR(INDEX(Setup!$G$33:$G$40,MATCH(S100,Setup!$B$33:$B$40,0)),0)=1)*(COUNTIF(S58:U75,$B100)+COUNTIF(S58:U75,$B100&amp;" ~*")&gt;0)+(IFERROR(INDEX(Setup!$G$33:$G$40,MATCH(W100,Setup!$B$33:$B$40,0)),0)=1)*(COUNTIF(W58:W75,$B100)+COUNTIF(W58:W75,$B100&amp;" ~*")&gt;0)+(IFERROR(INDEX(Setup!$G$33:$G$40,MATCH(Y100,Setup!$B$33:$B$40,0)),0)=1)*(COUNTIF(Y58:Y75,$B100)+COUNTIF(Y58:Y75,$B100&amp;" ~*")&gt;0))</f>
        <v/>
      </c>
    </row>
    <row r="101" ht="16" customHeight="1">
      <c r="A101" t="n">
        <v>2</v>
      </c>
      <c r="B101" s="106" t="inlineStr">
        <is>
          <t>Available people</t>
        </is>
      </c>
      <c r="C101" s="107">
        <f>COUNTIFS(Setup!$E$6:$E$29,"Y",Setup!$B$6:$B$29,"?*")-SUMPRODUCT(COUNTIF(C77:C100,Setup!$F$33:$F$40))</f>
        <v/>
      </c>
      <c r="D101" s="107" t="n"/>
      <c r="E101" s="107" t="n"/>
      <c r="F101" s="107" t="n"/>
      <c r="G101" s="107">
        <f>COUNTIFS(Setup!$E$6:$E$29,"Y",Setup!$B$6:$B$29,"?*")-SUMPRODUCT(COUNTIF(G77:G100,Setup!$F$33:$F$40))</f>
        <v/>
      </c>
      <c r="H101" s="107" t="n"/>
      <c r="I101" s="107" t="n"/>
      <c r="J101" s="107" t="n"/>
      <c r="K101" s="107">
        <f>COUNTIFS(Setup!$E$6:$E$29,"Y",Setup!$B$6:$B$29,"?*")-SUMPRODUCT(COUNTIF(K77:K100,Setup!$F$33:$F$40))</f>
        <v/>
      </c>
      <c r="L101" s="107" t="n"/>
      <c r="M101" s="107" t="n"/>
      <c r="N101" s="107" t="n"/>
      <c r="O101" s="107">
        <f>COUNTIFS(Setup!$E$6:$E$29,"Y",Setup!$B$6:$B$29,"?*")-SUMPRODUCT(COUNTIF(O77:O100,Setup!$F$33:$F$40))</f>
        <v/>
      </c>
      <c r="P101" s="107" t="n"/>
      <c r="Q101" s="107" t="n"/>
      <c r="R101" s="107" t="n"/>
      <c r="S101" s="107">
        <f>COUNTIFS(Setup!$E$6:$E$29,"Y",Setup!$B$6:$B$29,"?*")-SUMPRODUCT(COUNTIF(S77:S100,Setup!$F$33:$F$40))</f>
        <v/>
      </c>
      <c r="T101" s="107" t="n"/>
      <c r="U101" s="107" t="n"/>
      <c r="V101" s="107" t="n"/>
      <c r="W101" s="107">
        <f>COUNTIFS(Setup!$E$6:$E$29,"Y",Setup!$B$6:$B$29,"?*")-SUMPRODUCT(COUNTIF(W77:W100,Setup!$F$33:$F$40))</f>
        <v/>
      </c>
      <c r="X101" s="107" t="n"/>
      <c r="Y101" s="107">
        <f>COUNTIFS(Setup!$E$6:$E$29,"Y",Setup!$B$6:$B$29,"?*")-SUMPRODUCT(COUNTIF(Y77:Y100,Setup!$F$33:$F$40))</f>
        <v/>
      </c>
      <c r="Z101" s="107" t="n"/>
      <c r="AB101" s="108">
        <f>SUM(AB77:AB100)</f>
        <v/>
      </c>
      <c r="AC101" s="109">
        <f>SUM(AC77:AC100)</f>
        <v/>
      </c>
    </row>
    <row r="102" ht="30" customHeight="1">
      <c r="A102" t="n">
        <v>2</v>
      </c>
      <c r="B102" s="110" t="inlineStr">
        <is>
          <t>Week notes</t>
        </is>
      </c>
      <c r="C102" s="111" t="n"/>
      <c r="D102" s="112" t="n"/>
      <c r="E102" s="112" t="n"/>
      <c r="F102" s="112" t="n"/>
      <c r="G102" s="112" t="n"/>
      <c r="H102" s="112" t="n"/>
      <c r="I102" s="112" t="n"/>
      <c r="J102" s="112" t="n"/>
      <c r="K102" s="112" t="n"/>
      <c r="L102" s="112" t="n"/>
      <c r="M102" s="112" t="n"/>
      <c r="N102" s="112" t="n"/>
      <c r="O102" s="112" t="n"/>
      <c r="P102" s="112" t="n"/>
      <c r="Q102" s="112" t="n"/>
      <c r="R102" s="112" t="n"/>
      <c r="S102" s="112" t="n"/>
      <c r="T102" s="112" t="n"/>
      <c r="U102" s="112" t="n"/>
      <c r="V102" s="112" t="n"/>
      <c r="W102" s="112" t="n"/>
      <c r="X102" s="112" t="n"/>
      <c r="Y102" s="112" t="n"/>
      <c r="Z102" s="113" t="n"/>
    </row>
    <row r="103" ht="8" customHeight="1">
      <c r="A103" t="n">
        <v>2</v>
      </c>
    </row>
    <row r="104" ht="8" customHeight="1">
      <c r="A104" t="n">
        <v>2</v>
      </c>
    </row>
    <row r="105" ht="24" customHeight="1">
      <c r="A105" t="n">
        <v>3</v>
      </c>
      <c r="B105" s="73">
        <f>"WEEK 3     "&amp;TEXT(C106,"ddd d mmm")&amp;"  –  "&amp;TEXT(C106+6,"ddd d mmm yyyy")</f>
        <v/>
      </c>
      <c r="S105" s="74">
        <f>IF(TODAY()&lt;C106,"FUTURE",IF(TODAY()&gt;C106+6,"PAST","THIS WEEK"))</f>
        <v/>
      </c>
      <c r="W105" s="75">
        <f>IF(AND(Engine!$B$8=$AC$3,Engine!$B$9=$A105),"◀ ACTIVE WEEK","")</f>
        <v/>
      </c>
      <c r="AA105" s="76" t="n"/>
      <c r="AB105" s="77" t="inlineStr">
        <is>
          <t>◀ Prev</t>
        </is>
      </c>
      <c r="AC105" s="77" t="inlineStr">
        <is>
          <t>Next ▶</t>
        </is>
      </c>
    </row>
    <row r="106" ht="18" customHeight="1">
      <c r="A106" t="n">
        <v>3</v>
      </c>
      <c r="B106" s="78" t="inlineStr">
        <is>
          <t>DUTY</t>
        </is>
      </c>
      <c r="C106" s="79">
        <f>$AC$2+7*($A106-1)</f>
        <v/>
      </c>
      <c r="D106" s="80" t="n"/>
      <c r="E106" s="80" t="n"/>
      <c r="F106" s="81" t="n"/>
      <c r="G106" s="79">
        <f>C106+1</f>
        <v/>
      </c>
      <c r="H106" s="80" t="n"/>
      <c r="I106" s="80" t="n"/>
      <c r="J106" s="81" t="n"/>
      <c r="K106" s="79">
        <f>C106+2</f>
        <v/>
      </c>
      <c r="L106" s="80" t="n"/>
      <c r="M106" s="80" t="n"/>
      <c r="N106" s="81" t="n"/>
      <c r="O106" s="79">
        <f>C106+3</f>
        <v/>
      </c>
      <c r="P106" s="80" t="n"/>
      <c r="Q106" s="80" t="n"/>
      <c r="R106" s="81" t="n"/>
      <c r="S106" s="79">
        <f>C106+4</f>
        <v/>
      </c>
      <c r="T106" s="80" t="n"/>
      <c r="U106" s="80" t="n"/>
      <c r="V106" s="81" t="n"/>
      <c r="W106" s="82">
        <f>C106+5</f>
        <v/>
      </c>
      <c r="X106" s="83" t="n"/>
      <c r="Y106" s="82">
        <f>C106+6</f>
        <v/>
      </c>
      <c r="Z106" s="83" t="n"/>
      <c r="AB106" s="72" t="inlineStr">
        <is>
          <t>Gaps</t>
        </is>
      </c>
      <c r="AC106" s="72" t="inlineStr">
        <is>
          <t>Cover</t>
        </is>
      </c>
    </row>
    <row r="107" ht="14" customHeight="1">
      <c r="A107" t="n">
        <v>3</v>
      </c>
      <c r="B107" s="84" t="inlineStr">
        <is>
          <t>(from Setup)</t>
        </is>
      </c>
      <c r="C107" s="85" t="inlineStr">
        <is>
          <t>1</t>
        </is>
      </c>
      <c r="D107" s="85" t="inlineStr">
        <is>
          <t>2</t>
        </is>
      </c>
      <c r="E107" s="85" t="inlineStr">
        <is>
          <t>3</t>
        </is>
      </c>
      <c r="F107" s="85" t="inlineStr">
        <is>
          <t>Notes</t>
        </is>
      </c>
      <c r="G107" s="85" t="inlineStr">
        <is>
          <t>1</t>
        </is>
      </c>
      <c r="H107" s="85" t="inlineStr">
        <is>
          <t>2</t>
        </is>
      </c>
      <c r="I107" s="85" t="inlineStr">
        <is>
          <t>3</t>
        </is>
      </c>
      <c r="J107" s="85" t="inlineStr">
        <is>
          <t>Notes</t>
        </is>
      </c>
      <c r="K107" s="85" t="inlineStr">
        <is>
          <t>1</t>
        </is>
      </c>
      <c r="L107" s="85" t="inlineStr">
        <is>
          <t>2</t>
        </is>
      </c>
      <c r="M107" s="85" t="inlineStr">
        <is>
          <t>3</t>
        </is>
      </c>
      <c r="N107" s="85" t="inlineStr">
        <is>
          <t>Notes</t>
        </is>
      </c>
      <c r="O107" s="85" t="inlineStr">
        <is>
          <t>1</t>
        </is>
      </c>
      <c r="P107" s="85" t="inlineStr">
        <is>
          <t>2</t>
        </is>
      </c>
      <c r="Q107" s="85" t="inlineStr">
        <is>
          <t>3</t>
        </is>
      </c>
      <c r="R107" s="85" t="inlineStr">
        <is>
          <t>Notes</t>
        </is>
      </c>
      <c r="S107" s="85" t="inlineStr">
        <is>
          <t>1</t>
        </is>
      </c>
      <c r="T107" s="85" t="inlineStr">
        <is>
          <t>2</t>
        </is>
      </c>
      <c r="U107" s="85" t="inlineStr">
        <is>
          <t>3</t>
        </is>
      </c>
      <c r="V107" s="85" t="inlineStr">
        <is>
          <t>Notes</t>
        </is>
      </c>
      <c r="W107" s="85" t="inlineStr">
        <is>
          <t>Cover</t>
        </is>
      </c>
      <c r="X107" s="85" t="inlineStr">
        <is>
          <t>Notes</t>
        </is>
      </c>
      <c r="Y107" s="85" t="inlineStr">
        <is>
          <t>Cover</t>
        </is>
      </c>
      <c r="Z107" s="85" t="inlineStr">
        <is>
          <t>Notes</t>
        </is>
      </c>
      <c r="AB107" s="86" t="inlineStr">
        <is>
          <t>weekdays short</t>
        </is>
      </c>
      <c r="AC107" s="87" t="inlineStr"/>
    </row>
    <row r="108" ht="17" customHeight="1">
      <c r="A108" t="n">
        <v>3</v>
      </c>
      <c r="B108" s="24">
        <f>IF(Setup!$K$6="","",Setup!$K$6)</f>
        <v/>
      </c>
      <c r="C108" s="88" t="n"/>
      <c r="D108" s="88" t="n"/>
      <c r="E108" s="88" t="n"/>
      <c r="F108" s="89" t="n"/>
      <c r="G108" s="88" t="n"/>
      <c r="H108" s="88" t="n"/>
      <c r="I108" s="88" t="n"/>
      <c r="J108" s="89" t="n"/>
      <c r="K108" s="88" t="n"/>
      <c r="L108" s="88" t="n"/>
      <c r="M108" s="88" t="n"/>
      <c r="N108" s="89" t="n"/>
      <c r="O108" s="88" t="n"/>
      <c r="P108" s="88" t="n"/>
      <c r="Q108" s="88" t="n"/>
      <c r="R108" s="89" t="n"/>
      <c r="S108" s="88" t="n"/>
      <c r="T108" s="88" t="n"/>
      <c r="U108" s="88" t="n"/>
      <c r="V108" s="89" t="n"/>
      <c r="W108" s="88" t="n"/>
      <c r="X108" s="89" t="n"/>
      <c r="Y108" s="88" t="n"/>
      <c r="Z108" s="89" t="n"/>
      <c r="AB108" s="25">
        <f>IF($B108="","",(COUNTIF(C108:E108,"?*")&lt;N(INDEX(Setup!$L$6:$L$23,1)))+(COUNTIF(G108:I108,"?*")&lt;N(INDEX(Setup!$L$6:$L$23,1)))+(COUNTIF(K108:M108,"?*")&lt;N(INDEX(Setup!$L$6:$L$23,1)))+(COUNTIF(O108:Q108,"?*")&lt;N(INDEX(Setup!$L$6:$L$23,1)))+(COUNTIF(S108:U108,"?*")&lt;N(INDEX(Setup!$L$6:$L$23,1)))+((W108="")*(INDEX(Setup!$M$6:$M$23,1)="Y"))+((Y108="")*(INDEX(Setup!$M$6:$M$23,1)="Y")))</f>
        <v/>
      </c>
      <c r="AC108" s="90">
        <f>IF($B108="","",IF(AB108=0,"✓ covered","⚠ "&amp;AB108&amp;IF(AB108=1," gap"," gaps")))</f>
        <v/>
      </c>
    </row>
    <row r="109" ht="17" customHeight="1">
      <c r="A109" t="n">
        <v>3</v>
      </c>
      <c r="B109" s="29">
        <f>IF(Setup!$K$7="","",Setup!$K$7)</f>
        <v/>
      </c>
      <c r="C109" s="88" t="n"/>
      <c r="D109" s="88" t="n"/>
      <c r="E109" s="88" t="n"/>
      <c r="F109" s="89" t="n"/>
      <c r="G109" s="88" t="n"/>
      <c r="H109" s="88" t="n"/>
      <c r="I109" s="88" t="n"/>
      <c r="J109" s="89" t="n"/>
      <c r="K109" s="88" t="n"/>
      <c r="L109" s="88" t="n"/>
      <c r="M109" s="88" t="n"/>
      <c r="N109" s="89" t="n"/>
      <c r="O109" s="88" t="n"/>
      <c r="P109" s="88" t="n"/>
      <c r="Q109" s="88" t="n"/>
      <c r="R109" s="89" t="n"/>
      <c r="S109" s="88" t="n"/>
      <c r="T109" s="88" t="n"/>
      <c r="U109" s="88" t="n"/>
      <c r="V109" s="89" t="n"/>
      <c r="W109" s="88" t="n"/>
      <c r="X109" s="89" t="n"/>
      <c r="Y109" s="88" t="n"/>
      <c r="Z109" s="89" t="n"/>
      <c r="AB109" s="30">
        <f>IF($B109="","",(COUNTIF(C109:E109,"?*")&lt;N(INDEX(Setup!$L$6:$L$23,2)))+(COUNTIF(G109:I109,"?*")&lt;N(INDEX(Setup!$L$6:$L$23,2)))+(COUNTIF(K109:M109,"?*")&lt;N(INDEX(Setup!$L$6:$L$23,2)))+(COUNTIF(O109:Q109,"?*")&lt;N(INDEX(Setup!$L$6:$L$23,2)))+(COUNTIF(S109:U109,"?*")&lt;N(INDEX(Setup!$L$6:$L$23,2)))+((W109="")*(INDEX(Setup!$M$6:$M$23,2)="Y"))+((Y109="")*(INDEX(Setup!$M$6:$M$23,2)="Y")))</f>
        <v/>
      </c>
      <c r="AC109" s="91">
        <f>IF($B109="","",IF(AB109=0,"✓ covered","⚠ "&amp;AB109&amp;IF(AB109=1," gap"," gaps")))</f>
        <v/>
      </c>
    </row>
    <row r="110" ht="17" customHeight="1">
      <c r="A110" t="n">
        <v>3</v>
      </c>
      <c r="B110" s="24">
        <f>IF(Setup!$K$8="","",Setup!$K$8)</f>
        <v/>
      </c>
      <c r="C110" s="88" t="n"/>
      <c r="D110" s="88" t="n"/>
      <c r="E110" s="88" t="n"/>
      <c r="F110" s="89" t="n"/>
      <c r="G110" s="88" t="n"/>
      <c r="H110" s="88" t="n"/>
      <c r="I110" s="88" t="n"/>
      <c r="J110" s="89" t="n"/>
      <c r="K110" s="88" t="n"/>
      <c r="L110" s="88" t="n"/>
      <c r="M110" s="88" t="n"/>
      <c r="N110" s="89" t="n"/>
      <c r="O110" s="88" t="n"/>
      <c r="P110" s="88" t="n"/>
      <c r="Q110" s="88" t="n"/>
      <c r="R110" s="89" t="n"/>
      <c r="S110" s="88" t="n"/>
      <c r="T110" s="88" t="n"/>
      <c r="U110" s="88" t="n"/>
      <c r="V110" s="89" t="n"/>
      <c r="W110" s="88" t="n"/>
      <c r="X110" s="89" t="n"/>
      <c r="Y110" s="88" t="n"/>
      <c r="Z110" s="89" t="n"/>
      <c r="AB110" s="25">
        <f>IF($B110="","",(COUNTIF(C110:E110,"?*")&lt;N(INDEX(Setup!$L$6:$L$23,3)))+(COUNTIF(G110:I110,"?*")&lt;N(INDEX(Setup!$L$6:$L$23,3)))+(COUNTIF(K110:M110,"?*")&lt;N(INDEX(Setup!$L$6:$L$23,3)))+(COUNTIF(O110:Q110,"?*")&lt;N(INDEX(Setup!$L$6:$L$23,3)))+(COUNTIF(S110:U110,"?*")&lt;N(INDEX(Setup!$L$6:$L$23,3)))+((W110="")*(INDEX(Setup!$M$6:$M$23,3)="Y"))+((Y110="")*(INDEX(Setup!$M$6:$M$23,3)="Y")))</f>
        <v/>
      </c>
      <c r="AC110" s="90">
        <f>IF($B110="","",IF(AB110=0,"✓ covered","⚠ "&amp;AB110&amp;IF(AB110=1," gap"," gaps")))</f>
        <v/>
      </c>
    </row>
    <row r="111" ht="17" customHeight="1">
      <c r="A111" t="n">
        <v>3</v>
      </c>
      <c r="B111" s="29">
        <f>IF(Setup!$K$9="","",Setup!$K$9)</f>
        <v/>
      </c>
      <c r="C111" s="88" t="n"/>
      <c r="D111" s="88" t="n"/>
      <c r="E111" s="88" t="n"/>
      <c r="F111" s="89" t="n"/>
      <c r="G111" s="88" t="n"/>
      <c r="H111" s="88" t="n"/>
      <c r="I111" s="88" t="n"/>
      <c r="J111" s="89" t="n"/>
      <c r="K111" s="88" t="n"/>
      <c r="L111" s="88" t="n"/>
      <c r="M111" s="88" t="n"/>
      <c r="N111" s="89" t="n"/>
      <c r="O111" s="88" t="n"/>
      <c r="P111" s="88" t="n"/>
      <c r="Q111" s="88" t="n"/>
      <c r="R111" s="89" t="n"/>
      <c r="S111" s="88" t="n"/>
      <c r="T111" s="88" t="n"/>
      <c r="U111" s="88" t="n"/>
      <c r="V111" s="89" t="n"/>
      <c r="W111" s="88" t="n"/>
      <c r="X111" s="89" t="n"/>
      <c r="Y111" s="88" t="n"/>
      <c r="Z111" s="89" t="n"/>
      <c r="AB111" s="30">
        <f>IF($B111="","",(COUNTIF(C111:E111,"?*")&lt;N(INDEX(Setup!$L$6:$L$23,4)))+(COUNTIF(G111:I111,"?*")&lt;N(INDEX(Setup!$L$6:$L$23,4)))+(COUNTIF(K111:M111,"?*")&lt;N(INDEX(Setup!$L$6:$L$23,4)))+(COUNTIF(O111:Q111,"?*")&lt;N(INDEX(Setup!$L$6:$L$23,4)))+(COUNTIF(S111:U111,"?*")&lt;N(INDEX(Setup!$L$6:$L$23,4)))+((W111="")*(INDEX(Setup!$M$6:$M$23,4)="Y"))+((Y111="")*(INDEX(Setup!$M$6:$M$23,4)="Y")))</f>
        <v/>
      </c>
      <c r="AC111" s="91">
        <f>IF($B111="","",IF(AB111=0,"✓ covered","⚠ "&amp;AB111&amp;IF(AB111=1," gap"," gaps")))</f>
        <v/>
      </c>
    </row>
    <row r="112" ht="17" customHeight="1">
      <c r="A112" t="n">
        <v>3</v>
      </c>
      <c r="B112" s="24">
        <f>IF(Setup!$K$10="","",Setup!$K$10)</f>
        <v/>
      </c>
      <c r="C112" s="88" t="n"/>
      <c r="D112" s="88" t="n"/>
      <c r="E112" s="88" t="n"/>
      <c r="F112" s="89" t="n"/>
      <c r="G112" s="88" t="n"/>
      <c r="H112" s="88" t="n"/>
      <c r="I112" s="88" t="n"/>
      <c r="J112" s="89" t="n"/>
      <c r="K112" s="88" t="n"/>
      <c r="L112" s="88" t="n"/>
      <c r="M112" s="88" t="n"/>
      <c r="N112" s="89" t="n"/>
      <c r="O112" s="88" t="n"/>
      <c r="P112" s="88" t="n"/>
      <c r="Q112" s="88" t="n"/>
      <c r="R112" s="89" t="n"/>
      <c r="S112" s="88" t="n"/>
      <c r="T112" s="88" t="n"/>
      <c r="U112" s="88" t="n"/>
      <c r="V112" s="89" t="n"/>
      <c r="W112" s="88" t="n"/>
      <c r="X112" s="89" t="n"/>
      <c r="Y112" s="88" t="n"/>
      <c r="Z112" s="89" t="n"/>
      <c r="AB112" s="25">
        <f>IF($B112="","",(COUNTIF(C112:E112,"?*")&lt;N(INDEX(Setup!$L$6:$L$23,5)))+(COUNTIF(G112:I112,"?*")&lt;N(INDEX(Setup!$L$6:$L$23,5)))+(COUNTIF(K112:M112,"?*")&lt;N(INDEX(Setup!$L$6:$L$23,5)))+(COUNTIF(O112:Q112,"?*")&lt;N(INDEX(Setup!$L$6:$L$23,5)))+(COUNTIF(S112:U112,"?*")&lt;N(INDEX(Setup!$L$6:$L$23,5)))+((W112="")*(INDEX(Setup!$M$6:$M$23,5)="Y"))+((Y112="")*(INDEX(Setup!$M$6:$M$23,5)="Y")))</f>
        <v/>
      </c>
      <c r="AC112" s="90">
        <f>IF($B112="","",IF(AB112=0,"✓ covered","⚠ "&amp;AB112&amp;IF(AB112=1," gap"," gaps")))</f>
        <v/>
      </c>
    </row>
    <row r="113" ht="17" customHeight="1">
      <c r="A113" t="n">
        <v>3</v>
      </c>
      <c r="B113" s="29">
        <f>IF(Setup!$K$11="","",Setup!$K$11)</f>
        <v/>
      </c>
      <c r="C113" s="88" t="n"/>
      <c r="D113" s="88" t="n"/>
      <c r="E113" s="88" t="n"/>
      <c r="F113" s="89" t="n"/>
      <c r="G113" s="88" t="n"/>
      <c r="H113" s="88" t="n"/>
      <c r="I113" s="88" t="n"/>
      <c r="J113" s="89" t="n"/>
      <c r="K113" s="88" t="n"/>
      <c r="L113" s="88" t="n"/>
      <c r="M113" s="88" t="n"/>
      <c r="N113" s="89" t="n"/>
      <c r="O113" s="88" t="n"/>
      <c r="P113" s="88" t="n"/>
      <c r="Q113" s="88" t="n"/>
      <c r="R113" s="89" t="n"/>
      <c r="S113" s="88" t="n"/>
      <c r="T113" s="88" t="n"/>
      <c r="U113" s="88" t="n"/>
      <c r="V113" s="89" t="n"/>
      <c r="W113" s="88" t="n"/>
      <c r="X113" s="89" t="n"/>
      <c r="Y113" s="88" t="n"/>
      <c r="Z113" s="89" t="n"/>
      <c r="AB113" s="30">
        <f>IF($B113="","",(COUNTIF(C113:E113,"?*")&lt;N(INDEX(Setup!$L$6:$L$23,6)))+(COUNTIF(G113:I113,"?*")&lt;N(INDEX(Setup!$L$6:$L$23,6)))+(COUNTIF(K113:M113,"?*")&lt;N(INDEX(Setup!$L$6:$L$23,6)))+(COUNTIF(O113:Q113,"?*")&lt;N(INDEX(Setup!$L$6:$L$23,6)))+(COUNTIF(S113:U113,"?*")&lt;N(INDEX(Setup!$L$6:$L$23,6)))+((W113="")*(INDEX(Setup!$M$6:$M$23,6)="Y"))+((Y113="")*(INDEX(Setup!$M$6:$M$23,6)="Y")))</f>
        <v/>
      </c>
      <c r="AC113" s="91">
        <f>IF($B113="","",IF(AB113=0,"✓ covered","⚠ "&amp;AB113&amp;IF(AB113=1," gap"," gaps")))</f>
        <v/>
      </c>
    </row>
    <row r="114" ht="17" customHeight="1">
      <c r="A114" t="n">
        <v>3</v>
      </c>
      <c r="B114" s="24">
        <f>IF(Setup!$K$12="","",Setup!$K$12)</f>
        <v/>
      </c>
      <c r="C114" s="88" t="n"/>
      <c r="D114" s="88" t="n"/>
      <c r="E114" s="88" t="n"/>
      <c r="F114" s="89" t="n"/>
      <c r="G114" s="88" t="n"/>
      <c r="H114" s="88" t="n"/>
      <c r="I114" s="88" t="n"/>
      <c r="J114" s="89" t="n"/>
      <c r="K114" s="88" t="n"/>
      <c r="L114" s="88" t="n"/>
      <c r="M114" s="88" t="n"/>
      <c r="N114" s="89" t="n"/>
      <c r="O114" s="88" t="n"/>
      <c r="P114" s="88" t="n"/>
      <c r="Q114" s="88" t="n"/>
      <c r="R114" s="89" t="n"/>
      <c r="S114" s="88" t="n"/>
      <c r="T114" s="88" t="n"/>
      <c r="U114" s="88" t="n"/>
      <c r="V114" s="89" t="n"/>
      <c r="W114" s="88" t="n"/>
      <c r="X114" s="89" t="n"/>
      <c r="Y114" s="88" t="n"/>
      <c r="Z114" s="89" t="n"/>
      <c r="AB114" s="25">
        <f>IF($B114="","",(COUNTIF(C114:E114,"?*")&lt;N(INDEX(Setup!$L$6:$L$23,7)))+(COUNTIF(G114:I114,"?*")&lt;N(INDEX(Setup!$L$6:$L$23,7)))+(COUNTIF(K114:M114,"?*")&lt;N(INDEX(Setup!$L$6:$L$23,7)))+(COUNTIF(O114:Q114,"?*")&lt;N(INDEX(Setup!$L$6:$L$23,7)))+(COUNTIF(S114:U114,"?*")&lt;N(INDEX(Setup!$L$6:$L$23,7)))+((W114="")*(INDEX(Setup!$M$6:$M$23,7)="Y"))+((Y114="")*(INDEX(Setup!$M$6:$M$23,7)="Y")))</f>
        <v/>
      </c>
      <c r="AC114" s="90">
        <f>IF($B114="","",IF(AB114=0,"✓ covered","⚠ "&amp;AB114&amp;IF(AB114=1," gap"," gaps")))</f>
        <v/>
      </c>
    </row>
    <row r="115" ht="17" customHeight="1">
      <c r="A115" t="n">
        <v>3</v>
      </c>
      <c r="B115" s="29">
        <f>IF(Setup!$K$13="","",Setup!$K$13)</f>
        <v/>
      </c>
      <c r="C115" s="88" t="n"/>
      <c r="D115" s="88" t="n"/>
      <c r="E115" s="88" t="n"/>
      <c r="F115" s="89" t="n"/>
      <c r="G115" s="88" t="n"/>
      <c r="H115" s="88" t="n"/>
      <c r="I115" s="88" t="n"/>
      <c r="J115" s="89" t="n"/>
      <c r="K115" s="88" t="n"/>
      <c r="L115" s="88" t="n"/>
      <c r="M115" s="88" t="n"/>
      <c r="N115" s="89" t="n"/>
      <c r="O115" s="88" t="n"/>
      <c r="P115" s="88" t="n"/>
      <c r="Q115" s="88" t="n"/>
      <c r="R115" s="89" t="n"/>
      <c r="S115" s="88" t="n"/>
      <c r="T115" s="88" t="n"/>
      <c r="U115" s="88" t="n"/>
      <c r="V115" s="89" t="n"/>
      <c r="W115" s="88" t="n"/>
      <c r="X115" s="89" t="n"/>
      <c r="Y115" s="88" t="n"/>
      <c r="Z115" s="89" t="n"/>
      <c r="AB115" s="30">
        <f>IF($B115="","",(COUNTIF(C115:E115,"?*")&lt;N(INDEX(Setup!$L$6:$L$23,8)))+(COUNTIF(G115:I115,"?*")&lt;N(INDEX(Setup!$L$6:$L$23,8)))+(COUNTIF(K115:M115,"?*")&lt;N(INDEX(Setup!$L$6:$L$23,8)))+(COUNTIF(O115:Q115,"?*")&lt;N(INDEX(Setup!$L$6:$L$23,8)))+(COUNTIF(S115:U115,"?*")&lt;N(INDEX(Setup!$L$6:$L$23,8)))+((W115="")*(INDEX(Setup!$M$6:$M$23,8)="Y"))+((Y115="")*(INDEX(Setup!$M$6:$M$23,8)="Y")))</f>
        <v/>
      </c>
      <c r="AC115" s="91">
        <f>IF($B115="","",IF(AB115=0,"✓ covered","⚠ "&amp;AB115&amp;IF(AB115=1," gap"," gaps")))</f>
        <v/>
      </c>
    </row>
    <row r="116" ht="17" customHeight="1">
      <c r="A116" t="n">
        <v>3</v>
      </c>
      <c r="B116" s="24">
        <f>IF(Setup!$K$14="","",Setup!$K$14)</f>
        <v/>
      </c>
      <c r="C116" s="88" t="n"/>
      <c r="D116" s="88" t="n"/>
      <c r="E116" s="88" t="n"/>
      <c r="F116" s="89" t="n"/>
      <c r="G116" s="88" t="n"/>
      <c r="H116" s="88" t="n"/>
      <c r="I116" s="88" t="n"/>
      <c r="J116" s="89" t="n"/>
      <c r="K116" s="88" t="n"/>
      <c r="L116" s="88" t="n"/>
      <c r="M116" s="88" t="n"/>
      <c r="N116" s="89" t="n"/>
      <c r="O116" s="88" t="n"/>
      <c r="P116" s="88" t="n"/>
      <c r="Q116" s="88" t="n"/>
      <c r="R116" s="89" t="n"/>
      <c r="S116" s="88" t="n"/>
      <c r="T116" s="88" t="n"/>
      <c r="U116" s="88" t="n"/>
      <c r="V116" s="89" t="n"/>
      <c r="W116" s="88" t="n"/>
      <c r="X116" s="89" t="n"/>
      <c r="Y116" s="88" t="n"/>
      <c r="Z116" s="89" t="n"/>
      <c r="AB116" s="25">
        <f>IF($B116="","",(COUNTIF(C116:E116,"?*")&lt;N(INDEX(Setup!$L$6:$L$23,9)))+(COUNTIF(G116:I116,"?*")&lt;N(INDEX(Setup!$L$6:$L$23,9)))+(COUNTIF(K116:M116,"?*")&lt;N(INDEX(Setup!$L$6:$L$23,9)))+(COUNTIF(O116:Q116,"?*")&lt;N(INDEX(Setup!$L$6:$L$23,9)))+(COUNTIF(S116:U116,"?*")&lt;N(INDEX(Setup!$L$6:$L$23,9)))+((W116="")*(INDEX(Setup!$M$6:$M$23,9)="Y"))+((Y116="")*(INDEX(Setup!$M$6:$M$23,9)="Y")))</f>
        <v/>
      </c>
      <c r="AC116" s="90">
        <f>IF($B116="","",IF(AB116=0,"✓ covered","⚠ "&amp;AB116&amp;IF(AB116=1," gap"," gaps")))</f>
        <v/>
      </c>
    </row>
    <row r="117" ht="17" customHeight="1">
      <c r="A117" t="n">
        <v>3</v>
      </c>
      <c r="B117" s="29">
        <f>IF(Setup!$K$15="","",Setup!$K$15)</f>
        <v/>
      </c>
      <c r="C117" s="88" t="n"/>
      <c r="D117" s="88" t="n"/>
      <c r="E117" s="88" t="n"/>
      <c r="F117" s="89" t="n"/>
      <c r="G117" s="88" t="n"/>
      <c r="H117" s="88" t="n"/>
      <c r="I117" s="88" t="n"/>
      <c r="J117" s="89" t="n"/>
      <c r="K117" s="88" t="n"/>
      <c r="L117" s="88" t="n"/>
      <c r="M117" s="88" t="n"/>
      <c r="N117" s="89" t="n"/>
      <c r="O117" s="88" t="n"/>
      <c r="P117" s="88" t="n"/>
      <c r="Q117" s="88" t="n"/>
      <c r="R117" s="89" t="n"/>
      <c r="S117" s="88" t="n"/>
      <c r="T117" s="88" t="n"/>
      <c r="U117" s="88" t="n"/>
      <c r="V117" s="89" t="n"/>
      <c r="W117" s="88" t="n"/>
      <c r="X117" s="89" t="n"/>
      <c r="Y117" s="88" t="n"/>
      <c r="Z117" s="89" t="n"/>
      <c r="AB117" s="30">
        <f>IF($B117="","",(COUNTIF(C117:E117,"?*")&lt;N(INDEX(Setup!$L$6:$L$23,10)))+(COUNTIF(G117:I117,"?*")&lt;N(INDEX(Setup!$L$6:$L$23,10)))+(COUNTIF(K117:M117,"?*")&lt;N(INDEX(Setup!$L$6:$L$23,10)))+(COUNTIF(O117:Q117,"?*")&lt;N(INDEX(Setup!$L$6:$L$23,10)))+(COUNTIF(S117:U117,"?*")&lt;N(INDEX(Setup!$L$6:$L$23,10)))+((W117="")*(INDEX(Setup!$M$6:$M$23,10)="Y"))+((Y117="")*(INDEX(Setup!$M$6:$M$23,10)="Y")))</f>
        <v/>
      </c>
      <c r="AC117" s="91">
        <f>IF($B117="","",IF(AB117=0,"✓ covered","⚠ "&amp;AB117&amp;IF(AB117=1," gap"," gaps")))</f>
        <v/>
      </c>
    </row>
    <row r="118" ht="17" customHeight="1">
      <c r="A118" t="n">
        <v>3</v>
      </c>
      <c r="B118" s="24">
        <f>IF(Setup!$K$16="","",Setup!$K$16)</f>
        <v/>
      </c>
      <c r="C118" s="88" t="n"/>
      <c r="D118" s="88" t="n"/>
      <c r="E118" s="88" t="n"/>
      <c r="F118" s="89" t="n"/>
      <c r="G118" s="88" t="n"/>
      <c r="H118" s="88" t="n"/>
      <c r="I118" s="88" t="n"/>
      <c r="J118" s="89" t="n"/>
      <c r="K118" s="88" t="n"/>
      <c r="L118" s="88" t="n"/>
      <c r="M118" s="88" t="n"/>
      <c r="N118" s="89" t="n"/>
      <c r="O118" s="88" t="n"/>
      <c r="P118" s="88" t="n"/>
      <c r="Q118" s="88" t="n"/>
      <c r="R118" s="89" t="n"/>
      <c r="S118" s="88" t="n"/>
      <c r="T118" s="88" t="n"/>
      <c r="U118" s="88" t="n"/>
      <c r="V118" s="89" t="n"/>
      <c r="W118" s="88" t="n"/>
      <c r="X118" s="89" t="n"/>
      <c r="Y118" s="88" t="n"/>
      <c r="Z118" s="89" t="n"/>
      <c r="AB118" s="25">
        <f>IF($B118="","",(COUNTIF(C118:E118,"?*")&lt;N(INDEX(Setup!$L$6:$L$23,11)))+(COUNTIF(G118:I118,"?*")&lt;N(INDEX(Setup!$L$6:$L$23,11)))+(COUNTIF(K118:M118,"?*")&lt;N(INDEX(Setup!$L$6:$L$23,11)))+(COUNTIF(O118:Q118,"?*")&lt;N(INDEX(Setup!$L$6:$L$23,11)))+(COUNTIF(S118:U118,"?*")&lt;N(INDEX(Setup!$L$6:$L$23,11)))+((W118="")*(INDEX(Setup!$M$6:$M$23,11)="Y"))+((Y118="")*(INDEX(Setup!$M$6:$M$23,11)="Y")))</f>
        <v/>
      </c>
      <c r="AC118" s="90">
        <f>IF($B118="","",IF(AB118=0,"✓ covered","⚠ "&amp;AB118&amp;IF(AB118=1," gap"," gaps")))</f>
        <v/>
      </c>
    </row>
    <row r="119" ht="17" customHeight="1">
      <c r="A119" t="n">
        <v>3</v>
      </c>
      <c r="B119" s="29">
        <f>IF(Setup!$K$17="","",Setup!$K$17)</f>
        <v/>
      </c>
      <c r="C119" s="88" t="n"/>
      <c r="D119" s="88" t="n"/>
      <c r="E119" s="88" t="n"/>
      <c r="F119" s="89" t="n"/>
      <c r="G119" s="88" t="n"/>
      <c r="H119" s="88" t="n"/>
      <c r="I119" s="88" t="n"/>
      <c r="J119" s="89" t="n"/>
      <c r="K119" s="88" t="n"/>
      <c r="L119" s="88" t="n"/>
      <c r="M119" s="88" t="n"/>
      <c r="N119" s="89" t="n"/>
      <c r="O119" s="88" t="n"/>
      <c r="P119" s="88" t="n"/>
      <c r="Q119" s="88" t="n"/>
      <c r="R119" s="89" t="n"/>
      <c r="S119" s="88" t="n"/>
      <c r="T119" s="88" t="n"/>
      <c r="U119" s="88" t="n"/>
      <c r="V119" s="89" t="n"/>
      <c r="W119" s="88" t="n"/>
      <c r="X119" s="89" t="n"/>
      <c r="Y119" s="88" t="n"/>
      <c r="Z119" s="89" t="n"/>
      <c r="AB119" s="30">
        <f>IF($B119="","",(COUNTIF(C119:E119,"?*")&lt;N(INDEX(Setup!$L$6:$L$23,12)))+(COUNTIF(G119:I119,"?*")&lt;N(INDEX(Setup!$L$6:$L$23,12)))+(COUNTIF(K119:M119,"?*")&lt;N(INDEX(Setup!$L$6:$L$23,12)))+(COUNTIF(O119:Q119,"?*")&lt;N(INDEX(Setup!$L$6:$L$23,12)))+(COUNTIF(S119:U119,"?*")&lt;N(INDEX(Setup!$L$6:$L$23,12)))+((W119="")*(INDEX(Setup!$M$6:$M$23,12)="Y"))+((Y119="")*(INDEX(Setup!$M$6:$M$23,12)="Y")))</f>
        <v/>
      </c>
      <c r="AC119" s="91">
        <f>IF($B119="","",IF(AB119=0,"✓ covered","⚠ "&amp;AB119&amp;IF(AB119=1," gap"," gaps")))</f>
        <v/>
      </c>
    </row>
    <row r="120" ht="17" customHeight="1">
      <c r="A120" t="n">
        <v>3</v>
      </c>
      <c r="B120" s="24">
        <f>IF(Setup!$K$18="","",Setup!$K$18)</f>
        <v/>
      </c>
      <c r="C120" s="88" t="n"/>
      <c r="D120" s="88" t="n"/>
      <c r="E120" s="88" t="n"/>
      <c r="F120" s="89" t="n"/>
      <c r="G120" s="88" t="n"/>
      <c r="H120" s="88" t="n"/>
      <c r="I120" s="88" t="n"/>
      <c r="J120" s="89" t="n"/>
      <c r="K120" s="88" t="n"/>
      <c r="L120" s="88" t="n"/>
      <c r="M120" s="88" t="n"/>
      <c r="N120" s="89" t="n"/>
      <c r="O120" s="88" t="n"/>
      <c r="P120" s="88" t="n"/>
      <c r="Q120" s="88" t="n"/>
      <c r="R120" s="89" t="n"/>
      <c r="S120" s="88" t="n"/>
      <c r="T120" s="88" t="n"/>
      <c r="U120" s="88" t="n"/>
      <c r="V120" s="89" t="n"/>
      <c r="W120" s="88" t="n"/>
      <c r="X120" s="89" t="n"/>
      <c r="Y120" s="88" t="n"/>
      <c r="Z120" s="89" t="n"/>
      <c r="AB120" s="25">
        <f>IF($B120="","",(COUNTIF(C120:E120,"?*")&lt;N(INDEX(Setup!$L$6:$L$23,13)))+(COUNTIF(G120:I120,"?*")&lt;N(INDEX(Setup!$L$6:$L$23,13)))+(COUNTIF(K120:M120,"?*")&lt;N(INDEX(Setup!$L$6:$L$23,13)))+(COUNTIF(O120:Q120,"?*")&lt;N(INDEX(Setup!$L$6:$L$23,13)))+(COUNTIF(S120:U120,"?*")&lt;N(INDEX(Setup!$L$6:$L$23,13)))+((W120="")*(INDEX(Setup!$M$6:$M$23,13)="Y"))+((Y120="")*(INDEX(Setup!$M$6:$M$23,13)="Y")))</f>
        <v/>
      </c>
      <c r="AC120" s="90">
        <f>IF($B120="","",IF(AB120=0,"✓ covered","⚠ "&amp;AB120&amp;IF(AB120=1," gap"," gaps")))</f>
        <v/>
      </c>
    </row>
    <row r="121" ht="17" customHeight="1">
      <c r="A121" t="n">
        <v>3</v>
      </c>
      <c r="B121" s="29">
        <f>IF(Setup!$K$19="","",Setup!$K$19)</f>
        <v/>
      </c>
      <c r="C121" s="88" t="n"/>
      <c r="D121" s="88" t="n"/>
      <c r="E121" s="88" t="n"/>
      <c r="F121" s="89" t="n"/>
      <c r="G121" s="88" t="n"/>
      <c r="H121" s="88" t="n"/>
      <c r="I121" s="88" t="n"/>
      <c r="J121" s="89" t="n"/>
      <c r="K121" s="88" t="n"/>
      <c r="L121" s="88" t="n"/>
      <c r="M121" s="88" t="n"/>
      <c r="N121" s="89" t="n"/>
      <c r="O121" s="88" t="n"/>
      <c r="P121" s="88" t="n"/>
      <c r="Q121" s="88" t="n"/>
      <c r="R121" s="89" t="n"/>
      <c r="S121" s="88" t="n"/>
      <c r="T121" s="88" t="n"/>
      <c r="U121" s="88" t="n"/>
      <c r="V121" s="89" t="n"/>
      <c r="W121" s="88" t="n"/>
      <c r="X121" s="89" t="n"/>
      <c r="Y121" s="88" t="n"/>
      <c r="Z121" s="89" t="n"/>
      <c r="AB121" s="30">
        <f>IF($B121="","",(COUNTIF(C121:E121,"?*")&lt;N(INDEX(Setup!$L$6:$L$23,14)))+(COUNTIF(G121:I121,"?*")&lt;N(INDEX(Setup!$L$6:$L$23,14)))+(COUNTIF(K121:M121,"?*")&lt;N(INDEX(Setup!$L$6:$L$23,14)))+(COUNTIF(O121:Q121,"?*")&lt;N(INDEX(Setup!$L$6:$L$23,14)))+(COUNTIF(S121:U121,"?*")&lt;N(INDEX(Setup!$L$6:$L$23,14)))+((W121="")*(INDEX(Setup!$M$6:$M$23,14)="Y"))+((Y121="")*(INDEX(Setup!$M$6:$M$23,14)="Y")))</f>
        <v/>
      </c>
      <c r="AC121" s="91">
        <f>IF($B121="","",IF(AB121=0,"✓ covered","⚠ "&amp;AB121&amp;IF(AB121=1," gap"," gaps")))</f>
        <v/>
      </c>
    </row>
    <row r="122" ht="17" customHeight="1">
      <c r="A122" t="n">
        <v>3</v>
      </c>
      <c r="B122" s="24">
        <f>IF(Setup!$K$20="","",Setup!$K$20)</f>
        <v/>
      </c>
      <c r="C122" s="88" t="n"/>
      <c r="D122" s="88" t="n"/>
      <c r="E122" s="88" t="n"/>
      <c r="F122" s="89" t="n"/>
      <c r="G122" s="88" t="n"/>
      <c r="H122" s="88" t="n"/>
      <c r="I122" s="88" t="n"/>
      <c r="J122" s="89" t="n"/>
      <c r="K122" s="88" t="n"/>
      <c r="L122" s="88" t="n"/>
      <c r="M122" s="88" t="n"/>
      <c r="N122" s="89" t="n"/>
      <c r="O122" s="88" t="n"/>
      <c r="P122" s="88" t="n"/>
      <c r="Q122" s="88" t="n"/>
      <c r="R122" s="89" t="n"/>
      <c r="S122" s="88" t="n"/>
      <c r="T122" s="88" t="n"/>
      <c r="U122" s="88" t="n"/>
      <c r="V122" s="89" t="n"/>
      <c r="W122" s="88" t="n"/>
      <c r="X122" s="89" t="n"/>
      <c r="Y122" s="88" t="n"/>
      <c r="Z122" s="89" t="n"/>
      <c r="AB122" s="25">
        <f>IF($B122="","",(COUNTIF(C122:E122,"?*")&lt;N(INDEX(Setup!$L$6:$L$23,15)))+(COUNTIF(G122:I122,"?*")&lt;N(INDEX(Setup!$L$6:$L$23,15)))+(COUNTIF(K122:M122,"?*")&lt;N(INDEX(Setup!$L$6:$L$23,15)))+(COUNTIF(O122:Q122,"?*")&lt;N(INDEX(Setup!$L$6:$L$23,15)))+(COUNTIF(S122:U122,"?*")&lt;N(INDEX(Setup!$L$6:$L$23,15)))+((W122="")*(INDEX(Setup!$M$6:$M$23,15)="Y"))+((Y122="")*(INDEX(Setup!$M$6:$M$23,15)="Y")))</f>
        <v/>
      </c>
      <c r="AC122" s="90">
        <f>IF($B122="","",IF(AB122=0,"✓ covered","⚠ "&amp;AB122&amp;IF(AB122=1," gap"," gaps")))</f>
        <v/>
      </c>
    </row>
    <row r="123" ht="17" customHeight="1">
      <c r="A123" t="n">
        <v>3</v>
      </c>
      <c r="B123" s="29">
        <f>IF(Setup!$K$21="","",Setup!$K$21)</f>
        <v/>
      </c>
      <c r="C123" s="88" t="n"/>
      <c r="D123" s="88" t="n"/>
      <c r="E123" s="88" t="n"/>
      <c r="F123" s="89" t="n"/>
      <c r="G123" s="88" t="n"/>
      <c r="H123" s="88" t="n"/>
      <c r="I123" s="88" t="n"/>
      <c r="J123" s="89" t="n"/>
      <c r="K123" s="88" t="n"/>
      <c r="L123" s="88" t="n"/>
      <c r="M123" s="88" t="n"/>
      <c r="N123" s="89" t="n"/>
      <c r="O123" s="88" t="n"/>
      <c r="P123" s="88" t="n"/>
      <c r="Q123" s="88" t="n"/>
      <c r="R123" s="89" t="n"/>
      <c r="S123" s="88" t="n"/>
      <c r="T123" s="88" t="n"/>
      <c r="U123" s="88" t="n"/>
      <c r="V123" s="89" t="n"/>
      <c r="W123" s="88" t="n"/>
      <c r="X123" s="89" t="n"/>
      <c r="Y123" s="88" t="n"/>
      <c r="Z123" s="89" t="n"/>
      <c r="AB123" s="30">
        <f>IF($B123="","",(COUNTIF(C123:E123,"?*")&lt;N(INDEX(Setup!$L$6:$L$23,16)))+(COUNTIF(G123:I123,"?*")&lt;N(INDEX(Setup!$L$6:$L$23,16)))+(COUNTIF(K123:M123,"?*")&lt;N(INDEX(Setup!$L$6:$L$23,16)))+(COUNTIF(O123:Q123,"?*")&lt;N(INDEX(Setup!$L$6:$L$23,16)))+(COUNTIF(S123:U123,"?*")&lt;N(INDEX(Setup!$L$6:$L$23,16)))+((W123="")*(INDEX(Setup!$M$6:$M$23,16)="Y"))+((Y123="")*(INDEX(Setup!$M$6:$M$23,16)="Y")))</f>
        <v/>
      </c>
      <c r="AC123" s="91">
        <f>IF($B123="","",IF(AB123=0,"✓ covered","⚠ "&amp;AB123&amp;IF(AB123=1," gap"," gaps")))</f>
        <v/>
      </c>
    </row>
    <row r="124" ht="17" customHeight="1">
      <c r="A124" t="n">
        <v>3</v>
      </c>
      <c r="B124" s="24">
        <f>IF(Setup!$K$22="","",Setup!$K$22)</f>
        <v/>
      </c>
      <c r="C124" s="88" t="n"/>
      <c r="D124" s="88" t="n"/>
      <c r="E124" s="88" t="n"/>
      <c r="F124" s="89" t="n"/>
      <c r="G124" s="88" t="n"/>
      <c r="H124" s="88" t="n"/>
      <c r="I124" s="88" t="n"/>
      <c r="J124" s="89" t="n"/>
      <c r="K124" s="88" t="n"/>
      <c r="L124" s="88" t="n"/>
      <c r="M124" s="88" t="n"/>
      <c r="N124" s="89" t="n"/>
      <c r="O124" s="88" t="n"/>
      <c r="P124" s="88" t="n"/>
      <c r="Q124" s="88" t="n"/>
      <c r="R124" s="89" t="n"/>
      <c r="S124" s="88" t="n"/>
      <c r="T124" s="88" t="n"/>
      <c r="U124" s="88" t="n"/>
      <c r="V124" s="89" t="n"/>
      <c r="W124" s="88" t="n"/>
      <c r="X124" s="89" t="n"/>
      <c r="Y124" s="88" t="n"/>
      <c r="Z124" s="89" t="n"/>
      <c r="AB124" s="25">
        <f>IF($B124="","",(COUNTIF(C124:E124,"?*")&lt;N(INDEX(Setup!$L$6:$L$23,17)))+(COUNTIF(G124:I124,"?*")&lt;N(INDEX(Setup!$L$6:$L$23,17)))+(COUNTIF(K124:M124,"?*")&lt;N(INDEX(Setup!$L$6:$L$23,17)))+(COUNTIF(O124:Q124,"?*")&lt;N(INDEX(Setup!$L$6:$L$23,17)))+(COUNTIF(S124:U124,"?*")&lt;N(INDEX(Setup!$L$6:$L$23,17)))+((W124="")*(INDEX(Setup!$M$6:$M$23,17)="Y"))+((Y124="")*(INDEX(Setup!$M$6:$M$23,17)="Y")))</f>
        <v/>
      </c>
      <c r="AC124" s="90">
        <f>IF($B124="","",IF(AB124=0,"✓ covered","⚠ "&amp;AB124&amp;IF(AB124=1," gap"," gaps")))</f>
        <v/>
      </c>
    </row>
    <row r="125" ht="17" customHeight="1">
      <c r="A125" t="n">
        <v>3</v>
      </c>
      <c r="B125" s="29">
        <f>IF(Setup!$K$23="","",Setup!$K$23)</f>
        <v/>
      </c>
      <c r="C125" s="88" t="n"/>
      <c r="D125" s="88" t="n"/>
      <c r="E125" s="88" t="n"/>
      <c r="F125" s="89" t="n"/>
      <c r="G125" s="88" t="n"/>
      <c r="H125" s="88" t="n"/>
      <c r="I125" s="88" t="n"/>
      <c r="J125" s="89" t="n"/>
      <c r="K125" s="88" t="n"/>
      <c r="L125" s="88" t="n"/>
      <c r="M125" s="88" t="n"/>
      <c r="N125" s="89" t="n"/>
      <c r="O125" s="88" t="n"/>
      <c r="P125" s="88" t="n"/>
      <c r="Q125" s="88" t="n"/>
      <c r="R125" s="89" t="n"/>
      <c r="S125" s="88" t="n"/>
      <c r="T125" s="88" t="n"/>
      <c r="U125" s="88" t="n"/>
      <c r="V125" s="89" t="n"/>
      <c r="W125" s="88" t="n"/>
      <c r="X125" s="89" t="n"/>
      <c r="Y125" s="88" t="n"/>
      <c r="Z125" s="89" t="n"/>
      <c r="AB125" s="30">
        <f>IF($B125="","",(COUNTIF(C125:E125,"?*")&lt;N(INDEX(Setup!$L$6:$L$23,18)))+(COUNTIF(G125:I125,"?*")&lt;N(INDEX(Setup!$L$6:$L$23,18)))+(COUNTIF(K125:M125,"?*")&lt;N(INDEX(Setup!$L$6:$L$23,18)))+(COUNTIF(O125:Q125,"?*")&lt;N(INDEX(Setup!$L$6:$L$23,18)))+(COUNTIF(S125:U125,"?*")&lt;N(INDEX(Setup!$L$6:$L$23,18)))+((W125="")*(INDEX(Setup!$M$6:$M$23,18)="Y"))+((Y125="")*(INDEX(Setup!$M$6:$M$23,18)="Y")))</f>
        <v/>
      </c>
      <c r="AC125" s="91">
        <f>IF($B125="","",IF(AB125=0,"✓ covered","⚠ "&amp;AB125&amp;IF(AB125=1," gap"," gaps")))</f>
        <v/>
      </c>
    </row>
    <row r="126" ht="18" customHeight="1">
      <c r="A126" t="n">
        <v>3</v>
      </c>
      <c r="B126" s="78" t="inlineStr">
        <is>
          <t>TEAM AVAILABILITY</t>
        </is>
      </c>
      <c r="C126" s="92" t="inlineStr">
        <is>
          <t>Mon</t>
        </is>
      </c>
      <c r="D126" s="93" t="n"/>
      <c r="E126" s="93" t="n"/>
      <c r="F126" s="94" t="n"/>
      <c r="G126" s="92" t="inlineStr">
        <is>
          <t>Tue</t>
        </is>
      </c>
      <c r="H126" s="93" t="n"/>
      <c r="I126" s="93" t="n"/>
      <c r="J126" s="94" t="n"/>
      <c r="K126" s="92" t="inlineStr">
        <is>
          <t>Wed</t>
        </is>
      </c>
      <c r="L126" s="93" t="n"/>
      <c r="M126" s="93" t="n"/>
      <c r="N126" s="94" t="n"/>
      <c r="O126" s="92" t="inlineStr">
        <is>
          <t>Thu</t>
        </is>
      </c>
      <c r="P126" s="93" t="n"/>
      <c r="Q126" s="93" t="n"/>
      <c r="R126" s="94" t="n"/>
      <c r="S126" s="92" t="inlineStr">
        <is>
          <t>Fri</t>
        </is>
      </c>
      <c r="T126" s="93" t="n"/>
      <c r="U126" s="93" t="n"/>
      <c r="V126" s="94" t="n"/>
      <c r="W126" s="95" t="inlineStr">
        <is>
          <t>Sat</t>
        </is>
      </c>
      <c r="X126" s="96" t="n"/>
      <c r="Y126" s="95" t="inlineStr">
        <is>
          <t>Sun</t>
        </is>
      </c>
      <c r="Z126" s="96" t="n"/>
      <c r="AB126" s="97" t="inlineStr">
        <is>
          <t>Days rostered</t>
        </is>
      </c>
      <c r="AC126" s="97" t="inlineStr">
        <is>
          <t>Conflicts</t>
        </is>
      </c>
    </row>
    <row r="127" ht="15" customHeight="1">
      <c r="A127" t="n">
        <v>3</v>
      </c>
      <c r="B127" s="35">
        <f>IF(Setup!$B$6="","",Setup!$B$6)</f>
        <v/>
      </c>
      <c r="C127" s="98" t="n"/>
      <c r="D127" s="99" t="n"/>
      <c r="E127" s="99" t="n"/>
      <c r="F127" s="100" t="n"/>
      <c r="G127" s="98" t="n"/>
      <c r="H127" s="99" t="n"/>
      <c r="I127" s="99" t="n"/>
      <c r="J127" s="100" t="n"/>
      <c r="K127" s="98" t="n"/>
      <c r="L127" s="99" t="n"/>
      <c r="M127" s="99" t="n"/>
      <c r="N127" s="100" t="n"/>
      <c r="O127" s="98" t="n"/>
      <c r="P127" s="99" t="n"/>
      <c r="Q127" s="99" t="n"/>
      <c r="R127" s="100" t="n"/>
      <c r="S127" s="98" t="n"/>
      <c r="T127" s="99" t="n"/>
      <c r="U127" s="99" t="n"/>
      <c r="V127" s="100" t="n"/>
      <c r="W127" s="98" t="n"/>
      <c r="X127" s="100" t="n"/>
      <c r="Y127" s="98" t="n"/>
      <c r="Z127" s="100" t="n"/>
      <c r="AB127" s="101">
        <f>IF($B127="","",(COUNTIF(C108:E125,$B127)+COUNTIF(C108:E125,$B127&amp;" ~*")&gt;0)+(COUNTIF(G108:I125,$B127)+COUNTIF(G108:I125,$B127&amp;" ~*")&gt;0)+(COUNTIF(K108:M125,$B127)+COUNTIF(K108:M125,$B127&amp;" ~*")&gt;0)+(COUNTIF(O108:Q125,$B127)+COUNTIF(O108:Q125,$B127&amp;" ~*")&gt;0)+(COUNTIF(S108:U125,$B127)+COUNTIF(S108:U125,$B127&amp;" ~*")&gt;0)+(COUNTIF(W108:W125,$B127)+COUNTIF(W108:W125,$B127&amp;" ~*")&gt;0)+(COUNTIF(Y108:Y125,$B127)+COUNTIF(Y108:Y125,$B127&amp;" ~*")&gt;0))</f>
        <v/>
      </c>
      <c r="AC127" s="36">
        <f>IF($B127="","",(IFERROR(INDEX(Setup!$G$33:$G$40,MATCH(C127,Setup!$B$33:$B$40,0)),0)=1)*(COUNTIF(C108:E125,$B127)+COUNTIF(C108:E125,$B127&amp;" ~*")&gt;0)+(IFERROR(INDEX(Setup!$G$33:$G$40,MATCH(G127,Setup!$B$33:$B$40,0)),0)=1)*(COUNTIF(G108:I125,$B127)+COUNTIF(G108:I125,$B127&amp;" ~*")&gt;0)+(IFERROR(INDEX(Setup!$G$33:$G$40,MATCH(K127,Setup!$B$33:$B$40,0)),0)=1)*(COUNTIF(K108:M125,$B127)+COUNTIF(K108:M125,$B127&amp;" ~*")&gt;0)+(IFERROR(INDEX(Setup!$G$33:$G$40,MATCH(O127,Setup!$B$33:$B$40,0)),0)=1)*(COUNTIF(O108:Q125,$B127)+COUNTIF(O108:Q125,$B127&amp;" ~*")&gt;0)+(IFERROR(INDEX(Setup!$G$33:$G$40,MATCH(S127,Setup!$B$33:$B$40,0)),0)=1)*(COUNTIF(S108:U125,$B127)+COUNTIF(S108:U125,$B127&amp;" ~*")&gt;0)+(IFERROR(INDEX(Setup!$G$33:$G$40,MATCH(W127,Setup!$B$33:$B$40,0)),0)=1)*(COUNTIF(W108:W125,$B127)+COUNTIF(W108:W125,$B127&amp;" ~*")&gt;0)+(IFERROR(INDEX(Setup!$G$33:$G$40,MATCH(Y127,Setup!$B$33:$B$40,0)),0)=1)*(COUNTIF(Y108:Y125,$B127)+COUNTIF(Y108:Y125,$B127&amp;" ~*")&gt;0))</f>
        <v/>
      </c>
    </row>
    <row r="128" ht="15" customHeight="1">
      <c r="A128" t="n">
        <v>3</v>
      </c>
      <c r="B128" s="37">
        <f>IF(Setup!$B$7="","",Setup!$B$7)</f>
        <v/>
      </c>
      <c r="C128" s="102" t="n"/>
      <c r="D128" s="103" t="n"/>
      <c r="E128" s="103" t="n"/>
      <c r="F128" s="104" t="n"/>
      <c r="G128" s="102" t="n"/>
      <c r="H128" s="103" t="n"/>
      <c r="I128" s="103" t="n"/>
      <c r="J128" s="104" t="n"/>
      <c r="K128" s="102" t="n"/>
      <c r="L128" s="103" t="n"/>
      <c r="M128" s="103" t="n"/>
      <c r="N128" s="104" t="n"/>
      <c r="O128" s="102" t="n"/>
      <c r="P128" s="103" t="n"/>
      <c r="Q128" s="103" t="n"/>
      <c r="R128" s="104" t="n"/>
      <c r="S128" s="102" t="n"/>
      <c r="T128" s="103" t="n"/>
      <c r="U128" s="103" t="n"/>
      <c r="V128" s="104" t="n"/>
      <c r="W128" s="102" t="n"/>
      <c r="X128" s="104" t="n"/>
      <c r="Y128" s="102" t="n"/>
      <c r="Z128" s="104" t="n"/>
      <c r="AB128" s="105">
        <f>IF($B128="","",(COUNTIF(C108:E125,$B128)+COUNTIF(C108:E125,$B128&amp;" ~*")&gt;0)+(COUNTIF(G108:I125,$B128)+COUNTIF(G108:I125,$B128&amp;" ~*")&gt;0)+(COUNTIF(K108:M125,$B128)+COUNTIF(K108:M125,$B128&amp;" ~*")&gt;0)+(COUNTIF(O108:Q125,$B128)+COUNTIF(O108:Q125,$B128&amp;" ~*")&gt;0)+(COUNTIF(S108:U125,$B128)+COUNTIF(S108:U125,$B128&amp;" ~*")&gt;0)+(COUNTIF(W108:W125,$B128)+COUNTIF(W108:W125,$B128&amp;" ~*")&gt;0)+(COUNTIF(Y108:Y125,$B128)+COUNTIF(Y108:Y125,$B128&amp;" ~*")&gt;0))</f>
        <v/>
      </c>
      <c r="AC128" s="38">
        <f>IF($B128="","",(IFERROR(INDEX(Setup!$G$33:$G$40,MATCH(C128,Setup!$B$33:$B$40,0)),0)=1)*(COUNTIF(C108:E125,$B128)+COUNTIF(C108:E125,$B128&amp;" ~*")&gt;0)+(IFERROR(INDEX(Setup!$G$33:$G$40,MATCH(G128,Setup!$B$33:$B$40,0)),0)=1)*(COUNTIF(G108:I125,$B128)+COUNTIF(G108:I125,$B128&amp;" ~*")&gt;0)+(IFERROR(INDEX(Setup!$G$33:$G$40,MATCH(K128,Setup!$B$33:$B$40,0)),0)=1)*(COUNTIF(K108:M125,$B128)+COUNTIF(K108:M125,$B128&amp;" ~*")&gt;0)+(IFERROR(INDEX(Setup!$G$33:$G$40,MATCH(O128,Setup!$B$33:$B$40,0)),0)=1)*(COUNTIF(O108:Q125,$B128)+COUNTIF(O108:Q125,$B128&amp;" ~*")&gt;0)+(IFERROR(INDEX(Setup!$G$33:$G$40,MATCH(S128,Setup!$B$33:$B$40,0)),0)=1)*(COUNTIF(S108:U125,$B128)+COUNTIF(S108:U125,$B128&amp;" ~*")&gt;0)+(IFERROR(INDEX(Setup!$G$33:$G$40,MATCH(W128,Setup!$B$33:$B$40,0)),0)=1)*(COUNTIF(W108:W125,$B128)+COUNTIF(W108:W125,$B128&amp;" ~*")&gt;0)+(IFERROR(INDEX(Setup!$G$33:$G$40,MATCH(Y128,Setup!$B$33:$B$40,0)),0)=1)*(COUNTIF(Y108:Y125,$B128)+COUNTIF(Y108:Y125,$B128&amp;" ~*")&gt;0))</f>
        <v/>
      </c>
    </row>
    <row r="129" ht="15" customHeight="1">
      <c r="A129" t="n">
        <v>3</v>
      </c>
      <c r="B129" s="35">
        <f>IF(Setup!$B$8="","",Setup!$B$8)</f>
        <v/>
      </c>
      <c r="C129" s="98" t="n"/>
      <c r="D129" s="99" t="n"/>
      <c r="E129" s="99" t="n"/>
      <c r="F129" s="100" t="n"/>
      <c r="G129" s="98" t="n"/>
      <c r="H129" s="99" t="n"/>
      <c r="I129" s="99" t="n"/>
      <c r="J129" s="100" t="n"/>
      <c r="K129" s="98" t="n"/>
      <c r="L129" s="99" t="n"/>
      <c r="M129" s="99" t="n"/>
      <c r="N129" s="100" t="n"/>
      <c r="O129" s="98" t="n"/>
      <c r="P129" s="99" t="n"/>
      <c r="Q129" s="99" t="n"/>
      <c r="R129" s="100" t="n"/>
      <c r="S129" s="98" t="n"/>
      <c r="T129" s="99" t="n"/>
      <c r="U129" s="99" t="n"/>
      <c r="V129" s="100" t="n"/>
      <c r="W129" s="98" t="n"/>
      <c r="X129" s="100" t="n"/>
      <c r="Y129" s="98" t="n"/>
      <c r="Z129" s="100" t="n"/>
      <c r="AB129" s="101">
        <f>IF($B129="","",(COUNTIF(C108:E125,$B129)+COUNTIF(C108:E125,$B129&amp;" ~*")&gt;0)+(COUNTIF(G108:I125,$B129)+COUNTIF(G108:I125,$B129&amp;" ~*")&gt;0)+(COUNTIF(K108:M125,$B129)+COUNTIF(K108:M125,$B129&amp;" ~*")&gt;0)+(COUNTIF(O108:Q125,$B129)+COUNTIF(O108:Q125,$B129&amp;" ~*")&gt;0)+(COUNTIF(S108:U125,$B129)+COUNTIF(S108:U125,$B129&amp;" ~*")&gt;0)+(COUNTIF(W108:W125,$B129)+COUNTIF(W108:W125,$B129&amp;" ~*")&gt;0)+(COUNTIF(Y108:Y125,$B129)+COUNTIF(Y108:Y125,$B129&amp;" ~*")&gt;0))</f>
        <v/>
      </c>
      <c r="AC129" s="36">
        <f>IF($B129="","",(IFERROR(INDEX(Setup!$G$33:$G$40,MATCH(C129,Setup!$B$33:$B$40,0)),0)=1)*(COUNTIF(C108:E125,$B129)+COUNTIF(C108:E125,$B129&amp;" ~*")&gt;0)+(IFERROR(INDEX(Setup!$G$33:$G$40,MATCH(G129,Setup!$B$33:$B$40,0)),0)=1)*(COUNTIF(G108:I125,$B129)+COUNTIF(G108:I125,$B129&amp;" ~*")&gt;0)+(IFERROR(INDEX(Setup!$G$33:$G$40,MATCH(K129,Setup!$B$33:$B$40,0)),0)=1)*(COUNTIF(K108:M125,$B129)+COUNTIF(K108:M125,$B129&amp;" ~*")&gt;0)+(IFERROR(INDEX(Setup!$G$33:$G$40,MATCH(O129,Setup!$B$33:$B$40,0)),0)=1)*(COUNTIF(O108:Q125,$B129)+COUNTIF(O108:Q125,$B129&amp;" ~*")&gt;0)+(IFERROR(INDEX(Setup!$G$33:$G$40,MATCH(S129,Setup!$B$33:$B$40,0)),0)=1)*(COUNTIF(S108:U125,$B129)+COUNTIF(S108:U125,$B129&amp;" ~*")&gt;0)+(IFERROR(INDEX(Setup!$G$33:$G$40,MATCH(W129,Setup!$B$33:$B$40,0)),0)=1)*(COUNTIF(W108:W125,$B129)+COUNTIF(W108:W125,$B129&amp;" ~*")&gt;0)+(IFERROR(INDEX(Setup!$G$33:$G$40,MATCH(Y129,Setup!$B$33:$B$40,0)),0)=1)*(COUNTIF(Y108:Y125,$B129)+COUNTIF(Y108:Y125,$B129&amp;" ~*")&gt;0))</f>
        <v/>
      </c>
    </row>
    <row r="130" ht="15" customHeight="1">
      <c r="A130" t="n">
        <v>3</v>
      </c>
      <c r="B130" s="37">
        <f>IF(Setup!$B$9="","",Setup!$B$9)</f>
        <v/>
      </c>
      <c r="C130" s="102" t="n"/>
      <c r="D130" s="103" t="n"/>
      <c r="E130" s="103" t="n"/>
      <c r="F130" s="104" t="n"/>
      <c r="G130" s="102" t="n"/>
      <c r="H130" s="103" t="n"/>
      <c r="I130" s="103" t="n"/>
      <c r="J130" s="104" t="n"/>
      <c r="K130" s="102" t="n"/>
      <c r="L130" s="103" t="n"/>
      <c r="M130" s="103" t="n"/>
      <c r="N130" s="104" t="n"/>
      <c r="O130" s="102" t="n"/>
      <c r="P130" s="103" t="n"/>
      <c r="Q130" s="103" t="n"/>
      <c r="R130" s="104" t="n"/>
      <c r="S130" s="102" t="n"/>
      <c r="T130" s="103" t="n"/>
      <c r="U130" s="103" t="n"/>
      <c r="V130" s="104" t="n"/>
      <c r="W130" s="102" t="n"/>
      <c r="X130" s="104" t="n"/>
      <c r="Y130" s="102" t="n"/>
      <c r="Z130" s="104" t="n"/>
      <c r="AB130" s="105">
        <f>IF($B130="","",(COUNTIF(C108:E125,$B130)+COUNTIF(C108:E125,$B130&amp;" ~*")&gt;0)+(COUNTIF(G108:I125,$B130)+COUNTIF(G108:I125,$B130&amp;" ~*")&gt;0)+(COUNTIF(K108:M125,$B130)+COUNTIF(K108:M125,$B130&amp;" ~*")&gt;0)+(COUNTIF(O108:Q125,$B130)+COUNTIF(O108:Q125,$B130&amp;" ~*")&gt;0)+(COUNTIF(S108:U125,$B130)+COUNTIF(S108:U125,$B130&amp;" ~*")&gt;0)+(COUNTIF(W108:W125,$B130)+COUNTIF(W108:W125,$B130&amp;" ~*")&gt;0)+(COUNTIF(Y108:Y125,$B130)+COUNTIF(Y108:Y125,$B130&amp;" ~*")&gt;0))</f>
        <v/>
      </c>
      <c r="AC130" s="38">
        <f>IF($B130="","",(IFERROR(INDEX(Setup!$G$33:$G$40,MATCH(C130,Setup!$B$33:$B$40,0)),0)=1)*(COUNTIF(C108:E125,$B130)+COUNTIF(C108:E125,$B130&amp;" ~*")&gt;0)+(IFERROR(INDEX(Setup!$G$33:$G$40,MATCH(G130,Setup!$B$33:$B$40,0)),0)=1)*(COUNTIF(G108:I125,$B130)+COUNTIF(G108:I125,$B130&amp;" ~*")&gt;0)+(IFERROR(INDEX(Setup!$G$33:$G$40,MATCH(K130,Setup!$B$33:$B$40,0)),0)=1)*(COUNTIF(K108:M125,$B130)+COUNTIF(K108:M125,$B130&amp;" ~*")&gt;0)+(IFERROR(INDEX(Setup!$G$33:$G$40,MATCH(O130,Setup!$B$33:$B$40,0)),0)=1)*(COUNTIF(O108:Q125,$B130)+COUNTIF(O108:Q125,$B130&amp;" ~*")&gt;0)+(IFERROR(INDEX(Setup!$G$33:$G$40,MATCH(S130,Setup!$B$33:$B$40,0)),0)=1)*(COUNTIF(S108:U125,$B130)+COUNTIF(S108:U125,$B130&amp;" ~*")&gt;0)+(IFERROR(INDEX(Setup!$G$33:$G$40,MATCH(W130,Setup!$B$33:$B$40,0)),0)=1)*(COUNTIF(W108:W125,$B130)+COUNTIF(W108:W125,$B130&amp;" ~*")&gt;0)+(IFERROR(INDEX(Setup!$G$33:$G$40,MATCH(Y130,Setup!$B$33:$B$40,0)),0)=1)*(COUNTIF(Y108:Y125,$B130)+COUNTIF(Y108:Y125,$B130&amp;" ~*")&gt;0))</f>
        <v/>
      </c>
    </row>
    <row r="131" ht="15" customHeight="1">
      <c r="A131" t="n">
        <v>3</v>
      </c>
      <c r="B131" s="35">
        <f>IF(Setup!$B$10="","",Setup!$B$10)</f>
        <v/>
      </c>
      <c r="C131" s="98" t="n"/>
      <c r="D131" s="99" t="n"/>
      <c r="E131" s="99" t="n"/>
      <c r="F131" s="100" t="n"/>
      <c r="G131" s="98" t="n"/>
      <c r="H131" s="99" t="n"/>
      <c r="I131" s="99" t="n"/>
      <c r="J131" s="100" t="n"/>
      <c r="K131" s="98" t="n"/>
      <c r="L131" s="99" t="n"/>
      <c r="M131" s="99" t="n"/>
      <c r="N131" s="100" t="n"/>
      <c r="O131" s="98" t="n"/>
      <c r="P131" s="99" t="n"/>
      <c r="Q131" s="99" t="n"/>
      <c r="R131" s="100" t="n"/>
      <c r="S131" s="98" t="n"/>
      <c r="T131" s="99" t="n"/>
      <c r="U131" s="99" t="n"/>
      <c r="V131" s="100" t="n"/>
      <c r="W131" s="98" t="n"/>
      <c r="X131" s="100" t="n"/>
      <c r="Y131" s="98" t="n"/>
      <c r="Z131" s="100" t="n"/>
      <c r="AB131" s="101">
        <f>IF($B131="","",(COUNTIF(C108:E125,$B131)+COUNTIF(C108:E125,$B131&amp;" ~*")&gt;0)+(COUNTIF(G108:I125,$B131)+COUNTIF(G108:I125,$B131&amp;" ~*")&gt;0)+(COUNTIF(K108:M125,$B131)+COUNTIF(K108:M125,$B131&amp;" ~*")&gt;0)+(COUNTIF(O108:Q125,$B131)+COUNTIF(O108:Q125,$B131&amp;" ~*")&gt;0)+(COUNTIF(S108:U125,$B131)+COUNTIF(S108:U125,$B131&amp;" ~*")&gt;0)+(COUNTIF(W108:W125,$B131)+COUNTIF(W108:W125,$B131&amp;" ~*")&gt;0)+(COUNTIF(Y108:Y125,$B131)+COUNTIF(Y108:Y125,$B131&amp;" ~*")&gt;0))</f>
        <v/>
      </c>
      <c r="AC131" s="36">
        <f>IF($B131="","",(IFERROR(INDEX(Setup!$G$33:$G$40,MATCH(C131,Setup!$B$33:$B$40,0)),0)=1)*(COUNTIF(C108:E125,$B131)+COUNTIF(C108:E125,$B131&amp;" ~*")&gt;0)+(IFERROR(INDEX(Setup!$G$33:$G$40,MATCH(G131,Setup!$B$33:$B$40,0)),0)=1)*(COUNTIF(G108:I125,$B131)+COUNTIF(G108:I125,$B131&amp;" ~*")&gt;0)+(IFERROR(INDEX(Setup!$G$33:$G$40,MATCH(K131,Setup!$B$33:$B$40,0)),0)=1)*(COUNTIF(K108:M125,$B131)+COUNTIF(K108:M125,$B131&amp;" ~*")&gt;0)+(IFERROR(INDEX(Setup!$G$33:$G$40,MATCH(O131,Setup!$B$33:$B$40,0)),0)=1)*(COUNTIF(O108:Q125,$B131)+COUNTIF(O108:Q125,$B131&amp;" ~*")&gt;0)+(IFERROR(INDEX(Setup!$G$33:$G$40,MATCH(S131,Setup!$B$33:$B$40,0)),0)=1)*(COUNTIF(S108:U125,$B131)+COUNTIF(S108:U125,$B131&amp;" ~*")&gt;0)+(IFERROR(INDEX(Setup!$G$33:$G$40,MATCH(W131,Setup!$B$33:$B$40,0)),0)=1)*(COUNTIF(W108:W125,$B131)+COUNTIF(W108:W125,$B131&amp;" ~*")&gt;0)+(IFERROR(INDEX(Setup!$G$33:$G$40,MATCH(Y131,Setup!$B$33:$B$40,0)),0)=1)*(COUNTIF(Y108:Y125,$B131)+COUNTIF(Y108:Y125,$B131&amp;" ~*")&gt;0))</f>
        <v/>
      </c>
    </row>
    <row r="132" ht="15" customHeight="1">
      <c r="A132" t="n">
        <v>3</v>
      </c>
      <c r="B132" s="37">
        <f>IF(Setup!$B$11="","",Setup!$B$11)</f>
        <v/>
      </c>
      <c r="C132" s="102" t="n"/>
      <c r="D132" s="103" t="n"/>
      <c r="E132" s="103" t="n"/>
      <c r="F132" s="104" t="n"/>
      <c r="G132" s="102" t="n"/>
      <c r="H132" s="103" t="n"/>
      <c r="I132" s="103" t="n"/>
      <c r="J132" s="104" t="n"/>
      <c r="K132" s="102" t="n"/>
      <c r="L132" s="103" t="n"/>
      <c r="M132" s="103" t="n"/>
      <c r="N132" s="104" t="n"/>
      <c r="O132" s="102" t="n"/>
      <c r="P132" s="103" t="n"/>
      <c r="Q132" s="103" t="n"/>
      <c r="R132" s="104" t="n"/>
      <c r="S132" s="102" t="n"/>
      <c r="T132" s="103" t="n"/>
      <c r="U132" s="103" t="n"/>
      <c r="V132" s="104" t="n"/>
      <c r="W132" s="102" t="n"/>
      <c r="X132" s="104" t="n"/>
      <c r="Y132" s="102" t="n"/>
      <c r="Z132" s="104" t="n"/>
      <c r="AB132" s="105">
        <f>IF($B132="","",(COUNTIF(C108:E125,$B132)+COUNTIF(C108:E125,$B132&amp;" ~*")&gt;0)+(COUNTIF(G108:I125,$B132)+COUNTIF(G108:I125,$B132&amp;" ~*")&gt;0)+(COUNTIF(K108:M125,$B132)+COUNTIF(K108:M125,$B132&amp;" ~*")&gt;0)+(COUNTIF(O108:Q125,$B132)+COUNTIF(O108:Q125,$B132&amp;" ~*")&gt;0)+(COUNTIF(S108:U125,$B132)+COUNTIF(S108:U125,$B132&amp;" ~*")&gt;0)+(COUNTIF(W108:W125,$B132)+COUNTIF(W108:W125,$B132&amp;" ~*")&gt;0)+(COUNTIF(Y108:Y125,$B132)+COUNTIF(Y108:Y125,$B132&amp;" ~*")&gt;0))</f>
        <v/>
      </c>
      <c r="AC132" s="38">
        <f>IF($B132="","",(IFERROR(INDEX(Setup!$G$33:$G$40,MATCH(C132,Setup!$B$33:$B$40,0)),0)=1)*(COUNTIF(C108:E125,$B132)+COUNTIF(C108:E125,$B132&amp;" ~*")&gt;0)+(IFERROR(INDEX(Setup!$G$33:$G$40,MATCH(G132,Setup!$B$33:$B$40,0)),0)=1)*(COUNTIF(G108:I125,$B132)+COUNTIF(G108:I125,$B132&amp;" ~*")&gt;0)+(IFERROR(INDEX(Setup!$G$33:$G$40,MATCH(K132,Setup!$B$33:$B$40,0)),0)=1)*(COUNTIF(K108:M125,$B132)+COUNTIF(K108:M125,$B132&amp;" ~*")&gt;0)+(IFERROR(INDEX(Setup!$G$33:$G$40,MATCH(O132,Setup!$B$33:$B$40,0)),0)=1)*(COUNTIF(O108:Q125,$B132)+COUNTIF(O108:Q125,$B132&amp;" ~*")&gt;0)+(IFERROR(INDEX(Setup!$G$33:$G$40,MATCH(S132,Setup!$B$33:$B$40,0)),0)=1)*(COUNTIF(S108:U125,$B132)+COUNTIF(S108:U125,$B132&amp;" ~*")&gt;0)+(IFERROR(INDEX(Setup!$G$33:$G$40,MATCH(W132,Setup!$B$33:$B$40,0)),0)=1)*(COUNTIF(W108:W125,$B132)+COUNTIF(W108:W125,$B132&amp;" ~*")&gt;0)+(IFERROR(INDEX(Setup!$G$33:$G$40,MATCH(Y132,Setup!$B$33:$B$40,0)),0)=1)*(COUNTIF(Y108:Y125,$B132)+COUNTIF(Y108:Y125,$B132&amp;" ~*")&gt;0))</f>
        <v/>
      </c>
    </row>
    <row r="133" ht="15" customHeight="1">
      <c r="A133" t="n">
        <v>3</v>
      </c>
      <c r="B133" s="35">
        <f>IF(Setup!$B$12="","",Setup!$B$12)</f>
        <v/>
      </c>
      <c r="C133" s="98" t="inlineStr">
        <is>
          <t>AL</t>
        </is>
      </c>
      <c r="D133" s="99" t="n"/>
      <c r="E133" s="99" t="n"/>
      <c r="F133" s="100" t="n"/>
      <c r="G133" s="98" t="n"/>
      <c r="H133" s="99" t="n"/>
      <c r="I133" s="99" t="n"/>
      <c r="J133" s="100" t="n"/>
      <c r="K133" s="98" t="n"/>
      <c r="L133" s="99" t="n"/>
      <c r="M133" s="99" t="n"/>
      <c r="N133" s="100" t="n"/>
      <c r="O133" s="98" t="n"/>
      <c r="P133" s="99" t="n"/>
      <c r="Q133" s="99" t="n"/>
      <c r="R133" s="100" t="n"/>
      <c r="S133" s="98" t="n"/>
      <c r="T133" s="99" t="n"/>
      <c r="U133" s="99" t="n"/>
      <c r="V133" s="100" t="n"/>
      <c r="W133" s="98" t="n"/>
      <c r="X133" s="100" t="n"/>
      <c r="Y133" s="98" t="n"/>
      <c r="Z133" s="100" t="n"/>
      <c r="AB133" s="101">
        <f>IF($B133="","",(COUNTIF(C108:E125,$B133)+COUNTIF(C108:E125,$B133&amp;" ~*")&gt;0)+(COUNTIF(G108:I125,$B133)+COUNTIF(G108:I125,$B133&amp;" ~*")&gt;0)+(COUNTIF(K108:M125,$B133)+COUNTIF(K108:M125,$B133&amp;" ~*")&gt;0)+(COUNTIF(O108:Q125,$B133)+COUNTIF(O108:Q125,$B133&amp;" ~*")&gt;0)+(COUNTIF(S108:U125,$B133)+COUNTIF(S108:U125,$B133&amp;" ~*")&gt;0)+(COUNTIF(W108:W125,$B133)+COUNTIF(W108:W125,$B133&amp;" ~*")&gt;0)+(COUNTIF(Y108:Y125,$B133)+COUNTIF(Y108:Y125,$B133&amp;" ~*")&gt;0))</f>
        <v/>
      </c>
      <c r="AC133" s="36">
        <f>IF($B133="","",(IFERROR(INDEX(Setup!$G$33:$G$40,MATCH(C133,Setup!$B$33:$B$40,0)),0)=1)*(COUNTIF(C108:E125,$B133)+COUNTIF(C108:E125,$B133&amp;" ~*")&gt;0)+(IFERROR(INDEX(Setup!$G$33:$G$40,MATCH(G133,Setup!$B$33:$B$40,0)),0)=1)*(COUNTIF(G108:I125,$B133)+COUNTIF(G108:I125,$B133&amp;" ~*")&gt;0)+(IFERROR(INDEX(Setup!$G$33:$G$40,MATCH(K133,Setup!$B$33:$B$40,0)),0)=1)*(COUNTIF(K108:M125,$B133)+COUNTIF(K108:M125,$B133&amp;" ~*")&gt;0)+(IFERROR(INDEX(Setup!$G$33:$G$40,MATCH(O133,Setup!$B$33:$B$40,0)),0)=1)*(COUNTIF(O108:Q125,$B133)+COUNTIF(O108:Q125,$B133&amp;" ~*")&gt;0)+(IFERROR(INDEX(Setup!$G$33:$G$40,MATCH(S133,Setup!$B$33:$B$40,0)),0)=1)*(COUNTIF(S108:U125,$B133)+COUNTIF(S108:U125,$B133&amp;" ~*")&gt;0)+(IFERROR(INDEX(Setup!$G$33:$G$40,MATCH(W133,Setup!$B$33:$B$40,0)),0)=1)*(COUNTIF(W108:W125,$B133)+COUNTIF(W108:W125,$B133&amp;" ~*")&gt;0)+(IFERROR(INDEX(Setup!$G$33:$G$40,MATCH(Y133,Setup!$B$33:$B$40,0)),0)=1)*(COUNTIF(Y108:Y125,$B133)+COUNTIF(Y108:Y125,$B133&amp;" ~*")&gt;0))</f>
        <v/>
      </c>
    </row>
    <row r="134" ht="15" customHeight="1">
      <c r="A134" t="n">
        <v>3</v>
      </c>
      <c r="B134" s="37">
        <f>IF(Setup!$B$13="","",Setup!$B$13)</f>
        <v/>
      </c>
      <c r="C134" s="102" t="n"/>
      <c r="D134" s="103" t="n"/>
      <c r="E134" s="103" t="n"/>
      <c r="F134" s="104" t="n"/>
      <c r="G134" s="102" t="n"/>
      <c r="H134" s="103" t="n"/>
      <c r="I134" s="103" t="n"/>
      <c r="J134" s="104" t="n"/>
      <c r="K134" s="102" t="n"/>
      <c r="L134" s="103" t="n"/>
      <c r="M134" s="103" t="n"/>
      <c r="N134" s="104" t="n"/>
      <c r="O134" s="102" t="n"/>
      <c r="P134" s="103" t="n"/>
      <c r="Q134" s="103" t="n"/>
      <c r="R134" s="104" t="n"/>
      <c r="S134" s="102" t="n"/>
      <c r="T134" s="103" t="n"/>
      <c r="U134" s="103" t="n"/>
      <c r="V134" s="104" t="n"/>
      <c r="W134" s="102" t="n"/>
      <c r="X134" s="104" t="n"/>
      <c r="Y134" s="102" t="n"/>
      <c r="Z134" s="104" t="n"/>
      <c r="AB134" s="105">
        <f>IF($B134="","",(COUNTIF(C108:E125,$B134)+COUNTIF(C108:E125,$B134&amp;" ~*")&gt;0)+(COUNTIF(G108:I125,$B134)+COUNTIF(G108:I125,$B134&amp;" ~*")&gt;0)+(COUNTIF(K108:M125,$B134)+COUNTIF(K108:M125,$B134&amp;" ~*")&gt;0)+(COUNTIF(O108:Q125,$B134)+COUNTIF(O108:Q125,$B134&amp;" ~*")&gt;0)+(COUNTIF(S108:U125,$B134)+COUNTIF(S108:U125,$B134&amp;" ~*")&gt;0)+(COUNTIF(W108:W125,$B134)+COUNTIF(W108:W125,$B134&amp;" ~*")&gt;0)+(COUNTIF(Y108:Y125,$B134)+COUNTIF(Y108:Y125,$B134&amp;" ~*")&gt;0))</f>
        <v/>
      </c>
      <c r="AC134" s="38">
        <f>IF($B134="","",(IFERROR(INDEX(Setup!$G$33:$G$40,MATCH(C134,Setup!$B$33:$B$40,0)),0)=1)*(COUNTIF(C108:E125,$B134)+COUNTIF(C108:E125,$B134&amp;" ~*")&gt;0)+(IFERROR(INDEX(Setup!$G$33:$G$40,MATCH(G134,Setup!$B$33:$B$40,0)),0)=1)*(COUNTIF(G108:I125,$B134)+COUNTIF(G108:I125,$B134&amp;" ~*")&gt;0)+(IFERROR(INDEX(Setup!$G$33:$G$40,MATCH(K134,Setup!$B$33:$B$40,0)),0)=1)*(COUNTIF(K108:M125,$B134)+COUNTIF(K108:M125,$B134&amp;" ~*")&gt;0)+(IFERROR(INDEX(Setup!$G$33:$G$40,MATCH(O134,Setup!$B$33:$B$40,0)),0)=1)*(COUNTIF(O108:Q125,$B134)+COUNTIF(O108:Q125,$B134&amp;" ~*")&gt;0)+(IFERROR(INDEX(Setup!$G$33:$G$40,MATCH(S134,Setup!$B$33:$B$40,0)),0)=1)*(COUNTIF(S108:U125,$B134)+COUNTIF(S108:U125,$B134&amp;" ~*")&gt;0)+(IFERROR(INDEX(Setup!$G$33:$G$40,MATCH(W134,Setup!$B$33:$B$40,0)),0)=1)*(COUNTIF(W108:W125,$B134)+COUNTIF(W108:W125,$B134&amp;" ~*")&gt;0)+(IFERROR(INDEX(Setup!$G$33:$G$40,MATCH(Y134,Setup!$B$33:$B$40,0)),0)=1)*(COUNTIF(Y108:Y125,$B134)+COUNTIF(Y108:Y125,$B134&amp;" ~*")&gt;0))</f>
        <v/>
      </c>
    </row>
    <row r="135" ht="15" customHeight="1">
      <c r="A135" t="n">
        <v>3</v>
      </c>
      <c r="B135" s="35">
        <f>IF(Setup!$B$14="","",Setup!$B$14)</f>
        <v/>
      </c>
      <c r="C135" s="98" t="inlineStr">
        <is>
          <t>AL</t>
        </is>
      </c>
      <c r="D135" s="99" t="n"/>
      <c r="E135" s="99" t="n"/>
      <c r="F135" s="100" t="n"/>
      <c r="G135" s="98" t="inlineStr">
        <is>
          <t>AL</t>
        </is>
      </c>
      <c r="H135" s="99" t="n"/>
      <c r="I135" s="99" t="n"/>
      <c r="J135" s="100" t="n"/>
      <c r="K135" s="98" t="inlineStr">
        <is>
          <t>AL</t>
        </is>
      </c>
      <c r="L135" s="99" t="n"/>
      <c r="M135" s="99" t="n"/>
      <c r="N135" s="100" t="n"/>
      <c r="O135" s="98" t="inlineStr">
        <is>
          <t>AL</t>
        </is>
      </c>
      <c r="P135" s="99" t="n"/>
      <c r="Q135" s="99" t="n"/>
      <c r="R135" s="100" t="n"/>
      <c r="S135" s="98" t="inlineStr">
        <is>
          <t>AL</t>
        </is>
      </c>
      <c r="T135" s="99" t="n"/>
      <c r="U135" s="99" t="n"/>
      <c r="V135" s="100" t="n"/>
      <c r="W135" s="98" t="n"/>
      <c r="X135" s="100" t="n"/>
      <c r="Y135" s="98" t="n"/>
      <c r="Z135" s="100" t="n"/>
      <c r="AB135" s="101">
        <f>IF($B135="","",(COUNTIF(C108:E125,$B135)+COUNTIF(C108:E125,$B135&amp;" ~*")&gt;0)+(COUNTIF(G108:I125,$B135)+COUNTIF(G108:I125,$B135&amp;" ~*")&gt;0)+(COUNTIF(K108:M125,$B135)+COUNTIF(K108:M125,$B135&amp;" ~*")&gt;0)+(COUNTIF(O108:Q125,$B135)+COUNTIF(O108:Q125,$B135&amp;" ~*")&gt;0)+(COUNTIF(S108:U125,$B135)+COUNTIF(S108:U125,$B135&amp;" ~*")&gt;0)+(COUNTIF(W108:W125,$B135)+COUNTIF(W108:W125,$B135&amp;" ~*")&gt;0)+(COUNTIF(Y108:Y125,$B135)+COUNTIF(Y108:Y125,$B135&amp;" ~*")&gt;0))</f>
        <v/>
      </c>
      <c r="AC135" s="36">
        <f>IF($B135="","",(IFERROR(INDEX(Setup!$G$33:$G$40,MATCH(C135,Setup!$B$33:$B$40,0)),0)=1)*(COUNTIF(C108:E125,$B135)+COUNTIF(C108:E125,$B135&amp;" ~*")&gt;0)+(IFERROR(INDEX(Setup!$G$33:$G$40,MATCH(G135,Setup!$B$33:$B$40,0)),0)=1)*(COUNTIF(G108:I125,$B135)+COUNTIF(G108:I125,$B135&amp;" ~*")&gt;0)+(IFERROR(INDEX(Setup!$G$33:$G$40,MATCH(K135,Setup!$B$33:$B$40,0)),0)=1)*(COUNTIF(K108:M125,$B135)+COUNTIF(K108:M125,$B135&amp;" ~*")&gt;0)+(IFERROR(INDEX(Setup!$G$33:$G$40,MATCH(O135,Setup!$B$33:$B$40,0)),0)=1)*(COUNTIF(O108:Q125,$B135)+COUNTIF(O108:Q125,$B135&amp;" ~*")&gt;0)+(IFERROR(INDEX(Setup!$G$33:$G$40,MATCH(S135,Setup!$B$33:$B$40,0)),0)=1)*(COUNTIF(S108:U125,$B135)+COUNTIF(S108:U125,$B135&amp;" ~*")&gt;0)+(IFERROR(INDEX(Setup!$G$33:$G$40,MATCH(W135,Setup!$B$33:$B$40,0)),0)=1)*(COUNTIF(W108:W125,$B135)+COUNTIF(W108:W125,$B135&amp;" ~*")&gt;0)+(IFERROR(INDEX(Setup!$G$33:$G$40,MATCH(Y135,Setup!$B$33:$B$40,0)),0)=1)*(COUNTIF(Y108:Y125,$B135)+COUNTIF(Y108:Y125,$B135&amp;" ~*")&gt;0))</f>
        <v/>
      </c>
    </row>
    <row r="136" ht="15" customHeight="1">
      <c r="A136" t="n">
        <v>3</v>
      </c>
      <c r="B136" s="37">
        <f>IF(Setup!$B$15="","",Setup!$B$15)</f>
        <v/>
      </c>
      <c r="C136" s="102" t="n"/>
      <c r="D136" s="103" t="n"/>
      <c r="E136" s="103" t="n"/>
      <c r="F136" s="104" t="n"/>
      <c r="G136" s="102" t="n"/>
      <c r="H136" s="103" t="n"/>
      <c r="I136" s="103" t="n"/>
      <c r="J136" s="104" t="n"/>
      <c r="K136" s="102" t="n"/>
      <c r="L136" s="103" t="n"/>
      <c r="M136" s="103" t="n"/>
      <c r="N136" s="104" t="n"/>
      <c r="O136" s="102" t="n"/>
      <c r="P136" s="103" t="n"/>
      <c r="Q136" s="103" t="n"/>
      <c r="R136" s="104" t="n"/>
      <c r="S136" s="102" t="n"/>
      <c r="T136" s="103" t="n"/>
      <c r="U136" s="103" t="n"/>
      <c r="V136" s="104" t="n"/>
      <c r="W136" s="102" t="n"/>
      <c r="X136" s="104" t="n"/>
      <c r="Y136" s="102" t="n"/>
      <c r="Z136" s="104" t="n"/>
      <c r="AB136" s="105">
        <f>IF($B136="","",(COUNTIF(C108:E125,$B136)+COUNTIF(C108:E125,$B136&amp;" ~*")&gt;0)+(COUNTIF(G108:I125,$B136)+COUNTIF(G108:I125,$B136&amp;" ~*")&gt;0)+(COUNTIF(K108:M125,$B136)+COUNTIF(K108:M125,$B136&amp;" ~*")&gt;0)+(COUNTIF(O108:Q125,$B136)+COUNTIF(O108:Q125,$B136&amp;" ~*")&gt;0)+(COUNTIF(S108:U125,$B136)+COUNTIF(S108:U125,$B136&amp;" ~*")&gt;0)+(COUNTIF(W108:W125,$B136)+COUNTIF(W108:W125,$B136&amp;" ~*")&gt;0)+(COUNTIF(Y108:Y125,$B136)+COUNTIF(Y108:Y125,$B136&amp;" ~*")&gt;0))</f>
        <v/>
      </c>
      <c r="AC136" s="38">
        <f>IF($B136="","",(IFERROR(INDEX(Setup!$G$33:$G$40,MATCH(C136,Setup!$B$33:$B$40,0)),0)=1)*(COUNTIF(C108:E125,$B136)+COUNTIF(C108:E125,$B136&amp;" ~*")&gt;0)+(IFERROR(INDEX(Setup!$G$33:$G$40,MATCH(G136,Setup!$B$33:$B$40,0)),0)=1)*(COUNTIF(G108:I125,$B136)+COUNTIF(G108:I125,$B136&amp;" ~*")&gt;0)+(IFERROR(INDEX(Setup!$G$33:$G$40,MATCH(K136,Setup!$B$33:$B$40,0)),0)=1)*(COUNTIF(K108:M125,$B136)+COUNTIF(K108:M125,$B136&amp;" ~*")&gt;0)+(IFERROR(INDEX(Setup!$G$33:$G$40,MATCH(O136,Setup!$B$33:$B$40,0)),0)=1)*(COUNTIF(O108:Q125,$B136)+COUNTIF(O108:Q125,$B136&amp;" ~*")&gt;0)+(IFERROR(INDEX(Setup!$G$33:$G$40,MATCH(S136,Setup!$B$33:$B$40,0)),0)=1)*(COUNTIF(S108:U125,$B136)+COUNTIF(S108:U125,$B136&amp;" ~*")&gt;0)+(IFERROR(INDEX(Setup!$G$33:$G$40,MATCH(W136,Setup!$B$33:$B$40,0)),0)=1)*(COUNTIF(W108:W125,$B136)+COUNTIF(W108:W125,$B136&amp;" ~*")&gt;0)+(IFERROR(INDEX(Setup!$G$33:$G$40,MATCH(Y136,Setup!$B$33:$B$40,0)),0)=1)*(COUNTIF(Y108:Y125,$B136)+COUNTIF(Y108:Y125,$B136&amp;" ~*")&gt;0))</f>
        <v/>
      </c>
    </row>
    <row r="137" ht="15" customHeight="1">
      <c r="A137" t="n">
        <v>3</v>
      </c>
      <c r="B137" s="35">
        <f>IF(Setup!$B$16="","",Setup!$B$16)</f>
        <v/>
      </c>
      <c r="C137" s="98" t="n"/>
      <c r="D137" s="99" t="n"/>
      <c r="E137" s="99" t="n"/>
      <c r="F137" s="100" t="n"/>
      <c r="G137" s="98" t="n"/>
      <c r="H137" s="99" t="n"/>
      <c r="I137" s="99" t="n"/>
      <c r="J137" s="100" t="n"/>
      <c r="K137" s="98" t="n"/>
      <c r="L137" s="99" t="n"/>
      <c r="M137" s="99" t="n"/>
      <c r="N137" s="100" t="n"/>
      <c r="O137" s="98" t="n"/>
      <c r="P137" s="99" t="n"/>
      <c r="Q137" s="99" t="n"/>
      <c r="R137" s="100" t="n"/>
      <c r="S137" s="98" t="n"/>
      <c r="T137" s="99" t="n"/>
      <c r="U137" s="99" t="n"/>
      <c r="V137" s="100" t="n"/>
      <c r="W137" s="98" t="n"/>
      <c r="X137" s="100" t="n"/>
      <c r="Y137" s="98" t="n"/>
      <c r="Z137" s="100" t="n"/>
      <c r="AB137" s="101">
        <f>IF($B137="","",(COUNTIF(C108:E125,$B137)+COUNTIF(C108:E125,$B137&amp;" ~*")&gt;0)+(COUNTIF(G108:I125,$B137)+COUNTIF(G108:I125,$B137&amp;" ~*")&gt;0)+(COUNTIF(K108:M125,$B137)+COUNTIF(K108:M125,$B137&amp;" ~*")&gt;0)+(COUNTIF(O108:Q125,$B137)+COUNTIF(O108:Q125,$B137&amp;" ~*")&gt;0)+(COUNTIF(S108:U125,$B137)+COUNTIF(S108:U125,$B137&amp;" ~*")&gt;0)+(COUNTIF(W108:W125,$B137)+COUNTIF(W108:W125,$B137&amp;" ~*")&gt;0)+(COUNTIF(Y108:Y125,$B137)+COUNTIF(Y108:Y125,$B137&amp;" ~*")&gt;0))</f>
        <v/>
      </c>
      <c r="AC137" s="36">
        <f>IF($B137="","",(IFERROR(INDEX(Setup!$G$33:$G$40,MATCH(C137,Setup!$B$33:$B$40,0)),0)=1)*(COUNTIF(C108:E125,$B137)+COUNTIF(C108:E125,$B137&amp;" ~*")&gt;0)+(IFERROR(INDEX(Setup!$G$33:$G$40,MATCH(G137,Setup!$B$33:$B$40,0)),0)=1)*(COUNTIF(G108:I125,$B137)+COUNTIF(G108:I125,$B137&amp;" ~*")&gt;0)+(IFERROR(INDEX(Setup!$G$33:$G$40,MATCH(K137,Setup!$B$33:$B$40,0)),0)=1)*(COUNTIF(K108:M125,$B137)+COUNTIF(K108:M125,$B137&amp;" ~*")&gt;0)+(IFERROR(INDEX(Setup!$G$33:$G$40,MATCH(O137,Setup!$B$33:$B$40,0)),0)=1)*(COUNTIF(O108:Q125,$B137)+COUNTIF(O108:Q125,$B137&amp;" ~*")&gt;0)+(IFERROR(INDEX(Setup!$G$33:$G$40,MATCH(S137,Setup!$B$33:$B$40,0)),0)=1)*(COUNTIF(S108:U125,$B137)+COUNTIF(S108:U125,$B137&amp;" ~*")&gt;0)+(IFERROR(INDEX(Setup!$G$33:$G$40,MATCH(W137,Setup!$B$33:$B$40,0)),0)=1)*(COUNTIF(W108:W125,$B137)+COUNTIF(W108:W125,$B137&amp;" ~*")&gt;0)+(IFERROR(INDEX(Setup!$G$33:$G$40,MATCH(Y137,Setup!$B$33:$B$40,0)),0)=1)*(COUNTIF(Y108:Y125,$B137)+COUNTIF(Y108:Y125,$B137&amp;" ~*")&gt;0))</f>
        <v/>
      </c>
    </row>
    <row r="138" ht="15" customHeight="1">
      <c r="A138" t="n">
        <v>3</v>
      </c>
      <c r="B138" s="37">
        <f>IF(Setup!$B$17="","",Setup!$B$17)</f>
        <v/>
      </c>
      <c r="C138" s="102" t="n"/>
      <c r="D138" s="103" t="n"/>
      <c r="E138" s="103" t="n"/>
      <c r="F138" s="104" t="n"/>
      <c r="G138" s="102" t="n"/>
      <c r="H138" s="103" t="n"/>
      <c r="I138" s="103" t="n"/>
      <c r="J138" s="104" t="n"/>
      <c r="K138" s="102" t="n"/>
      <c r="L138" s="103" t="n"/>
      <c r="M138" s="103" t="n"/>
      <c r="N138" s="104" t="n"/>
      <c r="O138" s="102" t="n"/>
      <c r="P138" s="103" t="n"/>
      <c r="Q138" s="103" t="n"/>
      <c r="R138" s="104" t="n"/>
      <c r="S138" s="102" t="n"/>
      <c r="T138" s="103" t="n"/>
      <c r="U138" s="103" t="n"/>
      <c r="V138" s="104" t="n"/>
      <c r="W138" s="102" t="n"/>
      <c r="X138" s="104" t="n"/>
      <c r="Y138" s="102" t="n"/>
      <c r="Z138" s="104" t="n"/>
      <c r="AB138" s="105">
        <f>IF($B138="","",(COUNTIF(C108:E125,$B138)+COUNTIF(C108:E125,$B138&amp;" ~*")&gt;0)+(COUNTIF(G108:I125,$B138)+COUNTIF(G108:I125,$B138&amp;" ~*")&gt;0)+(COUNTIF(K108:M125,$B138)+COUNTIF(K108:M125,$B138&amp;" ~*")&gt;0)+(COUNTIF(O108:Q125,$B138)+COUNTIF(O108:Q125,$B138&amp;" ~*")&gt;0)+(COUNTIF(S108:U125,$B138)+COUNTIF(S108:U125,$B138&amp;" ~*")&gt;0)+(COUNTIF(W108:W125,$B138)+COUNTIF(W108:W125,$B138&amp;" ~*")&gt;0)+(COUNTIF(Y108:Y125,$B138)+COUNTIF(Y108:Y125,$B138&amp;" ~*")&gt;0))</f>
        <v/>
      </c>
      <c r="AC138" s="38">
        <f>IF($B138="","",(IFERROR(INDEX(Setup!$G$33:$G$40,MATCH(C138,Setup!$B$33:$B$40,0)),0)=1)*(COUNTIF(C108:E125,$B138)+COUNTIF(C108:E125,$B138&amp;" ~*")&gt;0)+(IFERROR(INDEX(Setup!$G$33:$G$40,MATCH(G138,Setup!$B$33:$B$40,0)),0)=1)*(COUNTIF(G108:I125,$B138)+COUNTIF(G108:I125,$B138&amp;" ~*")&gt;0)+(IFERROR(INDEX(Setup!$G$33:$G$40,MATCH(K138,Setup!$B$33:$B$40,0)),0)=1)*(COUNTIF(K108:M125,$B138)+COUNTIF(K108:M125,$B138&amp;" ~*")&gt;0)+(IFERROR(INDEX(Setup!$G$33:$G$40,MATCH(O138,Setup!$B$33:$B$40,0)),0)=1)*(COUNTIF(O108:Q125,$B138)+COUNTIF(O108:Q125,$B138&amp;" ~*")&gt;0)+(IFERROR(INDEX(Setup!$G$33:$G$40,MATCH(S138,Setup!$B$33:$B$40,0)),0)=1)*(COUNTIF(S108:U125,$B138)+COUNTIF(S108:U125,$B138&amp;" ~*")&gt;0)+(IFERROR(INDEX(Setup!$G$33:$G$40,MATCH(W138,Setup!$B$33:$B$40,0)),0)=1)*(COUNTIF(W108:W125,$B138)+COUNTIF(W108:W125,$B138&amp;" ~*")&gt;0)+(IFERROR(INDEX(Setup!$G$33:$G$40,MATCH(Y138,Setup!$B$33:$B$40,0)),0)=1)*(COUNTIF(Y108:Y125,$B138)+COUNTIF(Y108:Y125,$B138&amp;" ~*")&gt;0))</f>
        <v/>
      </c>
    </row>
    <row r="139" ht="15" customHeight="1">
      <c r="A139" t="n">
        <v>3</v>
      </c>
      <c r="B139" s="35">
        <f>IF(Setup!$B$18="","",Setup!$B$18)</f>
        <v/>
      </c>
      <c r="C139" s="98" t="n"/>
      <c r="D139" s="99" t="n"/>
      <c r="E139" s="99" t="n"/>
      <c r="F139" s="100" t="n"/>
      <c r="G139" s="98" t="n"/>
      <c r="H139" s="99" t="n"/>
      <c r="I139" s="99" t="n"/>
      <c r="J139" s="100" t="n"/>
      <c r="K139" s="98" t="n"/>
      <c r="L139" s="99" t="n"/>
      <c r="M139" s="99" t="n"/>
      <c r="N139" s="100" t="n"/>
      <c r="O139" s="98" t="n"/>
      <c r="P139" s="99" t="n"/>
      <c r="Q139" s="99" t="n"/>
      <c r="R139" s="100" t="n"/>
      <c r="S139" s="98" t="n"/>
      <c r="T139" s="99" t="n"/>
      <c r="U139" s="99" t="n"/>
      <c r="V139" s="100" t="n"/>
      <c r="W139" s="98" t="n"/>
      <c r="X139" s="100" t="n"/>
      <c r="Y139" s="98" t="n"/>
      <c r="Z139" s="100" t="n"/>
      <c r="AB139" s="101">
        <f>IF($B139="","",(COUNTIF(C108:E125,$B139)+COUNTIF(C108:E125,$B139&amp;" ~*")&gt;0)+(COUNTIF(G108:I125,$B139)+COUNTIF(G108:I125,$B139&amp;" ~*")&gt;0)+(COUNTIF(K108:M125,$B139)+COUNTIF(K108:M125,$B139&amp;" ~*")&gt;0)+(COUNTIF(O108:Q125,$B139)+COUNTIF(O108:Q125,$B139&amp;" ~*")&gt;0)+(COUNTIF(S108:U125,$B139)+COUNTIF(S108:U125,$B139&amp;" ~*")&gt;0)+(COUNTIF(W108:W125,$B139)+COUNTIF(W108:W125,$B139&amp;" ~*")&gt;0)+(COUNTIF(Y108:Y125,$B139)+COUNTIF(Y108:Y125,$B139&amp;" ~*")&gt;0))</f>
        <v/>
      </c>
      <c r="AC139" s="36">
        <f>IF($B139="","",(IFERROR(INDEX(Setup!$G$33:$G$40,MATCH(C139,Setup!$B$33:$B$40,0)),0)=1)*(COUNTIF(C108:E125,$B139)+COUNTIF(C108:E125,$B139&amp;" ~*")&gt;0)+(IFERROR(INDEX(Setup!$G$33:$G$40,MATCH(G139,Setup!$B$33:$B$40,0)),0)=1)*(COUNTIF(G108:I125,$B139)+COUNTIF(G108:I125,$B139&amp;" ~*")&gt;0)+(IFERROR(INDEX(Setup!$G$33:$G$40,MATCH(K139,Setup!$B$33:$B$40,0)),0)=1)*(COUNTIF(K108:M125,$B139)+COUNTIF(K108:M125,$B139&amp;" ~*")&gt;0)+(IFERROR(INDEX(Setup!$G$33:$G$40,MATCH(O139,Setup!$B$33:$B$40,0)),0)=1)*(COUNTIF(O108:Q125,$B139)+COUNTIF(O108:Q125,$B139&amp;" ~*")&gt;0)+(IFERROR(INDEX(Setup!$G$33:$G$40,MATCH(S139,Setup!$B$33:$B$40,0)),0)=1)*(COUNTIF(S108:U125,$B139)+COUNTIF(S108:U125,$B139&amp;" ~*")&gt;0)+(IFERROR(INDEX(Setup!$G$33:$G$40,MATCH(W139,Setup!$B$33:$B$40,0)),0)=1)*(COUNTIF(W108:W125,$B139)+COUNTIF(W108:W125,$B139&amp;" ~*")&gt;0)+(IFERROR(INDEX(Setup!$G$33:$G$40,MATCH(Y139,Setup!$B$33:$B$40,0)),0)=1)*(COUNTIF(Y108:Y125,$B139)+COUNTIF(Y108:Y125,$B139&amp;" ~*")&gt;0))</f>
        <v/>
      </c>
    </row>
    <row r="140" ht="15" customHeight="1">
      <c r="A140" t="n">
        <v>3</v>
      </c>
      <c r="B140" s="37">
        <f>IF(Setup!$B$19="","",Setup!$B$19)</f>
        <v/>
      </c>
      <c r="C140" s="102" t="n"/>
      <c r="D140" s="103" t="n"/>
      <c r="E140" s="103" t="n"/>
      <c r="F140" s="104" t="n"/>
      <c r="G140" s="102" t="n"/>
      <c r="H140" s="103" t="n"/>
      <c r="I140" s="103" t="n"/>
      <c r="J140" s="104" t="n"/>
      <c r="K140" s="102" t="n"/>
      <c r="L140" s="103" t="n"/>
      <c r="M140" s="103" t="n"/>
      <c r="N140" s="104" t="n"/>
      <c r="O140" s="102" t="n"/>
      <c r="P140" s="103" t="n"/>
      <c r="Q140" s="103" t="n"/>
      <c r="R140" s="104" t="n"/>
      <c r="S140" s="102" t="n"/>
      <c r="T140" s="103" t="n"/>
      <c r="U140" s="103" t="n"/>
      <c r="V140" s="104" t="n"/>
      <c r="W140" s="102" t="n"/>
      <c r="X140" s="104" t="n"/>
      <c r="Y140" s="102" t="n"/>
      <c r="Z140" s="104" t="n"/>
      <c r="AB140" s="105">
        <f>IF($B140="","",(COUNTIF(C108:E125,$B140)+COUNTIF(C108:E125,$B140&amp;" ~*")&gt;0)+(COUNTIF(G108:I125,$B140)+COUNTIF(G108:I125,$B140&amp;" ~*")&gt;0)+(COUNTIF(K108:M125,$B140)+COUNTIF(K108:M125,$B140&amp;" ~*")&gt;0)+(COUNTIF(O108:Q125,$B140)+COUNTIF(O108:Q125,$B140&amp;" ~*")&gt;0)+(COUNTIF(S108:U125,$B140)+COUNTIF(S108:U125,$B140&amp;" ~*")&gt;0)+(COUNTIF(W108:W125,$B140)+COUNTIF(W108:W125,$B140&amp;" ~*")&gt;0)+(COUNTIF(Y108:Y125,$B140)+COUNTIF(Y108:Y125,$B140&amp;" ~*")&gt;0))</f>
        <v/>
      </c>
      <c r="AC140" s="38">
        <f>IF($B140="","",(IFERROR(INDEX(Setup!$G$33:$G$40,MATCH(C140,Setup!$B$33:$B$40,0)),0)=1)*(COUNTIF(C108:E125,$B140)+COUNTIF(C108:E125,$B140&amp;" ~*")&gt;0)+(IFERROR(INDEX(Setup!$G$33:$G$40,MATCH(G140,Setup!$B$33:$B$40,0)),0)=1)*(COUNTIF(G108:I125,$B140)+COUNTIF(G108:I125,$B140&amp;" ~*")&gt;0)+(IFERROR(INDEX(Setup!$G$33:$G$40,MATCH(K140,Setup!$B$33:$B$40,0)),0)=1)*(COUNTIF(K108:M125,$B140)+COUNTIF(K108:M125,$B140&amp;" ~*")&gt;0)+(IFERROR(INDEX(Setup!$G$33:$G$40,MATCH(O140,Setup!$B$33:$B$40,0)),0)=1)*(COUNTIF(O108:Q125,$B140)+COUNTIF(O108:Q125,$B140&amp;" ~*")&gt;0)+(IFERROR(INDEX(Setup!$G$33:$G$40,MATCH(S140,Setup!$B$33:$B$40,0)),0)=1)*(COUNTIF(S108:U125,$B140)+COUNTIF(S108:U125,$B140&amp;" ~*")&gt;0)+(IFERROR(INDEX(Setup!$G$33:$G$40,MATCH(W140,Setup!$B$33:$B$40,0)),0)=1)*(COUNTIF(W108:W125,$B140)+COUNTIF(W108:W125,$B140&amp;" ~*")&gt;0)+(IFERROR(INDEX(Setup!$G$33:$G$40,MATCH(Y140,Setup!$B$33:$B$40,0)),0)=1)*(COUNTIF(Y108:Y125,$B140)+COUNTIF(Y108:Y125,$B140&amp;" ~*")&gt;0))</f>
        <v/>
      </c>
    </row>
    <row r="141" ht="15" customHeight="1">
      <c r="A141" t="n">
        <v>3</v>
      </c>
      <c r="B141" s="35">
        <f>IF(Setup!$B$20="","",Setup!$B$20)</f>
        <v/>
      </c>
      <c r="C141" s="98" t="n"/>
      <c r="D141" s="99" t="n"/>
      <c r="E141" s="99" t="n"/>
      <c r="F141" s="100" t="n"/>
      <c r="G141" s="98" t="n"/>
      <c r="H141" s="99" t="n"/>
      <c r="I141" s="99" t="n"/>
      <c r="J141" s="100" t="n"/>
      <c r="K141" s="98" t="n"/>
      <c r="L141" s="99" t="n"/>
      <c r="M141" s="99" t="n"/>
      <c r="N141" s="100" t="n"/>
      <c r="O141" s="98" t="n"/>
      <c r="P141" s="99" t="n"/>
      <c r="Q141" s="99" t="n"/>
      <c r="R141" s="100" t="n"/>
      <c r="S141" s="98" t="n"/>
      <c r="T141" s="99" t="n"/>
      <c r="U141" s="99" t="n"/>
      <c r="V141" s="100" t="n"/>
      <c r="W141" s="98" t="n"/>
      <c r="X141" s="100" t="n"/>
      <c r="Y141" s="98" t="n"/>
      <c r="Z141" s="100" t="n"/>
      <c r="AB141" s="101">
        <f>IF($B141="","",(COUNTIF(C108:E125,$B141)+COUNTIF(C108:E125,$B141&amp;" ~*")&gt;0)+(COUNTIF(G108:I125,$B141)+COUNTIF(G108:I125,$B141&amp;" ~*")&gt;0)+(COUNTIF(K108:M125,$B141)+COUNTIF(K108:M125,$B141&amp;" ~*")&gt;0)+(COUNTIF(O108:Q125,$B141)+COUNTIF(O108:Q125,$B141&amp;" ~*")&gt;0)+(COUNTIF(S108:U125,$B141)+COUNTIF(S108:U125,$B141&amp;" ~*")&gt;0)+(COUNTIF(W108:W125,$B141)+COUNTIF(W108:W125,$B141&amp;" ~*")&gt;0)+(COUNTIF(Y108:Y125,$B141)+COUNTIF(Y108:Y125,$B141&amp;" ~*")&gt;0))</f>
        <v/>
      </c>
      <c r="AC141" s="36">
        <f>IF($B141="","",(IFERROR(INDEX(Setup!$G$33:$G$40,MATCH(C141,Setup!$B$33:$B$40,0)),0)=1)*(COUNTIF(C108:E125,$B141)+COUNTIF(C108:E125,$B141&amp;" ~*")&gt;0)+(IFERROR(INDEX(Setup!$G$33:$G$40,MATCH(G141,Setup!$B$33:$B$40,0)),0)=1)*(COUNTIF(G108:I125,$B141)+COUNTIF(G108:I125,$B141&amp;" ~*")&gt;0)+(IFERROR(INDEX(Setup!$G$33:$G$40,MATCH(K141,Setup!$B$33:$B$40,0)),0)=1)*(COUNTIF(K108:M125,$B141)+COUNTIF(K108:M125,$B141&amp;" ~*")&gt;0)+(IFERROR(INDEX(Setup!$G$33:$G$40,MATCH(O141,Setup!$B$33:$B$40,0)),0)=1)*(COUNTIF(O108:Q125,$B141)+COUNTIF(O108:Q125,$B141&amp;" ~*")&gt;0)+(IFERROR(INDEX(Setup!$G$33:$G$40,MATCH(S141,Setup!$B$33:$B$40,0)),0)=1)*(COUNTIF(S108:U125,$B141)+COUNTIF(S108:U125,$B141&amp;" ~*")&gt;0)+(IFERROR(INDEX(Setup!$G$33:$G$40,MATCH(W141,Setup!$B$33:$B$40,0)),0)=1)*(COUNTIF(W108:W125,$B141)+COUNTIF(W108:W125,$B141&amp;" ~*")&gt;0)+(IFERROR(INDEX(Setup!$G$33:$G$40,MATCH(Y141,Setup!$B$33:$B$40,0)),0)=1)*(COUNTIF(Y108:Y125,$B141)+COUNTIF(Y108:Y125,$B141&amp;" ~*")&gt;0))</f>
        <v/>
      </c>
    </row>
    <row r="142" ht="15" customHeight="1">
      <c r="A142" t="n">
        <v>3</v>
      </c>
      <c r="B142" s="37">
        <f>IF(Setup!$B$21="","",Setup!$B$21)</f>
        <v/>
      </c>
      <c r="C142" s="102" t="n"/>
      <c r="D142" s="103" t="n"/>
      <c r="E142" s="103" t="n"/>
      <c r="F142" s="104" t="n"/>
      <c r="G142" s="102" t="n"/>
      <c r="H142" s="103" t="n"/>
      <c r="I142" s="103" t="n"/>
      <c r="J142" s="104" t="n"/>
      <c r="K142" s="102" t="n"/>
      <c r="L142" s="103" t="n"/>
      <c r="M142" s="103" t="n"/>
      <c r="N142" s="104" t="n"/>
      <c r="O142" s="102" t="n"/>
      <c r="P142" s="103" t="n"/>
      <c r="Q142" s="103" t="n"/>
      <c r="R142" s="104" t="n"/>
      <c r="S142" s="102" t="n"/>
      <c r="T142" s="103" t="n"/>
      <c r="U142" s="103" t="n"/>
      <c r="V142" s="104" t="n"/>
      <c r="W142" s="102" t="n"/>
      <c r="X142" s="104" t="n"/>
      <c r="Y142" s="102" t="n"/>
      <c r="Z142" s="104" t="n"/>
      <c r="AB142" s="105">
        <f>IF($B142="","",(COUNTIF(C108:E125,$B142)+COUNTIF(C108:E125,$B142&amp;" ~*")&gt;0)+(COUNTIF(G108:I125,$B142)+COUNTIF(G108:I125,$B142&amp;" ~*")&gt;0)+(COUNTIF(K108:M125,$B142)+COUNTIF(K108:M125,$B142&amp;" ~*")&gt;0)+(COUNTIF(O108:Q125,$B142)+COUNTIF(O108:Q125,$B142&amp;" ~*")&gt;0)+(COUNTIF(S108:U125,$B142)+COUNTIF(S108:U125,$B142&amp;" ~*")&gt;0)+(COUNTIF(W108:W125,$B142)+COUNTIF(W108:W125,$B142&amp;" ~*")&gt;0)+(COUNTIF(Y108:Y125,$B142)+COUNTIF(Y108:Y125,$B142&amp;" ~*")&gt;0))</f>
        <v/>
      </c>
      <c r="AC142" s="38">
        <f>IF($B142="","",(IFERROR(INDEX(Setup!$G$33:$G$40,MATCH(C142,Setup!$B$33:$B$40,0)),0)=1)*(COUNTIF(C108:E125,$B142)+COUNTIF(C108:E125,$B142&amp;" ~*")&gt;0)+(IFERROR(INDEX(Setup!$G$33:$G$40,MATCH(G142,Setup!$B$33:$B$40,0)),0)=1)*(COUNTIF(G108:I125,$B142)+COUNTIF(G108:I125,$B142&amp;" ~*")&gt;0)+(IFERROR(INDEX(Setup!$G$33:$G$40,MATCH(K142,Setup!$B$33:$B$40,0)),0)=1)*(COUNTIF(K108:M125,$B142)+COUNTIF(K108:M125,$B142&amp;" ~*")&gt;0)+(IFERROR(INDEX(Setup!$G$33:$G$40,MATCH(O142,Setup!$B$33:$B$40,0)),0)=1)*(COUNTIF(O108:Q125,$B142)+COUNTIF(O108:Q125,$B142&amp;" ~*")&gt;0)+(IFERROR(INDEX(Setup!$G$33:$G$40,MATCH(S142,Setup!$B$33:$B$40,0)),0)=1)*(COUNTIF(S108:U125,$B142)+COUNTIF(S108:U125,$B142&amp;" ~*")&gt;0)+(IFERROR(INDEX(Setup!$G$33:$G$40,MATCH(W142,Setup!$B$33:$B$40,0)),0)=1)*(COUNTIF(W108:W125,$B142)+COUNTIF(W108:W125,$B142&amp;" ~*")&gt;0)+(IFERROR(INDEX(Setup!$G$33:$G$40,MATCH(Y142,Setup!$B$33:$B$40,0)),0)=1)*(COUNTIF(Y108:Y125,$B142)+COUNTIF(Y108:Y125,$B142&amp;" ~*")&gt;0))</f>
        <v/>
      </c>
    </row>
    <row r="143" ht="15" customHeight="1">
      <c r="A143" t="n">
        <v>3</v>
      </c>
      <c r="B143" s="35">
        <f>IF(Setup!$B$22="","",Setup!$B$22)</f>
        <v/>
      </c>
      <c r="C143" s="98" t="n"/>
      <c r="D143" s="99" t="n"/>
      <c r="E143" s="99" t="n"/>
      <c r="F143" s="100" t="n"/>
      <c r="G143" s="98" t="n"/>
      <c r="H143" s="99" t="n"/>
      <c r="I143" s="99" t="n"/>
      <c r="J143" s="100" t="n"/>
      <c r="K143" s="98" t="n"/>
      <c r="L143" s="99" t="n"/>
      <c r="M143" s="99" t="n"/>
      <c r="N143" s="100" t="n"/>
      <c r="O143" s="98" t="n"/>
      <c r="P143" s="99" t="n"/>
      <c r="Q143" s="99" t="n"/>
      <c r="R143" s="100" t="n"/>
      <c r="S143" s="98" t="n"/>
      <c r="T143" s="99" t="n"/>
      <c r="U143" s="99" t="n"/>
      <c r="V143" s="100" t="n"/>
      <c r="W143" s="98" t="n"/>
      <c r="X143" s="100" t="n"/>
      <c r="Y143" s="98" t="n"/>
      <c r="Z143" s="100" t="n"/>
      <c r="AB143" s="101">
        <f>IF($B143="","",(COUNTIF(C108:E125,$B143)+COUNTIF(C108:E125,$B143&amp;" ~*")&gt;0)+(COUNTIF(G108:I125,$B143)+COUNTIF(G108:I125,$B143&amp;" ~*")&gt;0)+(COUNTIF(K108:M125,$B143)+COUNTIF(K108:M125,$B143&amp;" ~*")&gt;0)+(COUNTIF(O108:Q125,$B143)+COUNTIF(O108:Q125,$B143&amp;" ~*")&gt;0)+(COUNTIF(S108:U125,$B143)+COUNTIF(S108:U125,$B143&amp;" ~*")&gt;0)+(COUNTIF(W108:W125,$B143)+COUNTIF(W108:W125,$B143&amp;" ~*")&gt;0)+(COUNTIF(Y108:Y125,$B143)+COUNTIF(Y108:Y125,$B143&amp;" ~*")&gt;0))</f>
        <v/>
      </c>
      <c r="AC143" s="36">
        <f>IF($B143="","",(IFERROR(INDEX(Setup!$G$33:$G$40,MATCH(C143,Setup!$B$33:$B$40,0)),0)=1)*(COUNTIF(C108:E125,$B143)+COUNTIF(C108:E125,$B143&amp;" ~*")&gt;0)+(IFERROR(INDEX(Setup!$G$33:$G$40,MATCH(G143,Setup!$B$33:$B$40,0)),0)=1)*(COUNTIF(G108:I125,$B143)+COUNTIF(G108:I125,$B143&amp;" ~*")&gt;0)+(IFERROR(INDEX(Setup!$G$33:$G$40,MATCH(K143,Setup!$B$33:$B$40,0)),0)=1)*(COUNTIF(K108:M125,$B143)+COUNTIF(K108:M125,$B143&amp;" ~*")&gt;0)+(IFERROR(INDEX(Setup!$G$33:$G$40,MATCH(O143,Setup!$B$33:$B$40,0)),0)=1)*(COUNTIF(O108:Q125,$B143)+COUNTIF(O108:Q125,$B143&amp;" ~*")&gt;0)+(IFERROR(INDEX(Setup!$G$33:$G$40,MATCH(S143,Setup!$B$33:$B$40,0)),0)=1)*(COUNTIF(S108:U125,$B143)+COUNTIF(S108:U125,$B143&amp;" ~*")&gt;0)+(IFERROR(INDEX(Setup!$G$33:$G$40,MATCH(W143,Setup!$B$33:$B$40,0)),0)=1)*(COUNTIF(W108:W125,$B143)+COUNTIF(W108:W125,$B143&amp;" ~*")&gt;0)+(IFERROR(INDEX(Setup!$G$33:$G$40,MATCH(Y143,Setup!$B$33:$B$40,0)),0)=1)*(COUNTIF(Y108:Y125,$B143)+COUNTIF(Y108:Y125,$B143&amp;" ~*")&gt;0))</f>
        <v/>
      </c>
    </row>
    <row r="144" ht="15" customHeight="1">
      <c r="A144" t="n">
        <v>3</v>
      </c>
      <c r="B144" s="37">
        <f>IF(Setup!$B$23="","",Setup!$B$23)</f>
        <v/>
      </c>
      <c r="C144" s="102" t="n"/>
      <c r="D144" s="103" t="n"/>
      <c r="E144" s="103" t="n"/>
      <c r="F144" s="104" t="n"/>
      <c r="G144" s="102" t="n"/>
      <c r="H144" s="103" t="n"/>
      <c r="I144" s="103" t="n"/>
      <c r="J144" s="104" t="n"/>
      <c r="K144" s="102" t="n"/>
      <c r="L144" s="103" t="n"/>
      <c r="M144" s="103" t="n"/>
      <c r="N144" s="104" t="n"/>
      <c r="O144" s="102" t="n"/>
      <c r="P144" s="103" t="n"/>
      <c r="Q144" s="103" t="n"/>
      <c r="R144" s="104" t="n"/>
      <c r="S144" s="102" t="n"/>
      <c r="T144" s="103" t="n"/>
      <c r="U144" s="103" t="n"/>
      <c r="V144" s="104" t="n"/>
      <c r="W144" s="102" t="n"/>
      <c r="X144" s="104" t="n"/>
      <c r="Y144" s="102" t="n"/>
      <c r="Z144" s="104" t="n"/>
      <c r="AB144" s="105">
        <f>IF($B144="","",(COUNTIF(C108:E125,$B144)+COUNTIF(C108:E125,$B144&amp;" ~*")&gt;0)+(COUNTIF(G108:I125,$B144)+COUNTIF(G108:I125,$B144&amp;" ~*")&gt;0)+(COUNTIF(K108:M125,$B144)+COUNTIF(K108:M125,$B144&amp;" ~*")&gt;0)+(COUNTIF(O108:Q125,$B144)+COUNTIF(O108:Q125,$B144&amp;" ~*")&gt;0)+(COUNTIF(S108:U125,$B144)+COUNTIF(S108:U125,$B144&amp;" ~*")&gt;0)+(COUNTIF(W108:W125,$B144)+COUNTIF(W108:W125,$B144&amp;" ~*")&gt;0)+(COUNTIF(Y108:Y125,$B144)+COUNTIF(Y108:Y125,$B144&amp;" ~*")&gt;0))</f>
        <v/>
      </c>
      <c r="AC144" s="38">
        <f>IF($B144="","",(IFERROR(INDEX(Setup!$G$33:$G$40,MATCH(C144,Setup!$B$33:$B$40,0)),0)=1)*(COUNTIF(C108:E125,$B144)+COUNTIF(C108:E125,$B144&amp;" ~*")&gt;0)+(IFERROR(INDEX(Setup!$G$33:$G$40,MATCH(G144,Setup!$B$33:$B$40,0)),0)=1)*(COUNTIF(G108:I125,$B144)+COUNTIF(G108:I125,$B144&amp;" ~*")&gt;0)+(IFERROR(INDEX(Setup!$G$33:$G$40,MATCH(K144,Setup!$B$33:$B$40,0)),0)=1)*(COUNTIF(K108:M125,$B144)+COUNTIF(K108:M125,$B144&amp;" ~*")&gt;0)+(IFERROR(INDEX(Setup!$G$33:$G$40,MATCH(O144,Setup!$B$33:$B$40,0)),0)=1)*(COUNTIF(O108:Q125,$B144)+COUNTIF(O108:Q125,$B144&amp;" ~*")&gt;0)+(IFERROR(INDEX(Setup!$G$33:$G$40,MATCH(S144,Setup!$B$33:$B$40,0)),0)=1)*(COUNTIF(S108:U125,$B144)+COUNTIF(S108:U125,$B144&amp;" ~*")&gt;0)+(IFERROR(INDEX(Setup!$G$33:$G$40,MATCH(W144,Setup!$B$33:$B$40,0)),0)=1)*(COUNTIF(W108:W125,$B144)+COUNTIF(W108:W125,$B144&amp;" ~*")&gt;0)+(IFERROR(INDEX(Setup!$G$33:$G$40,MATCH(Y144,Setup!$B$33:$B$40,0)),0)=1)*(COUNTIF(Y108:Y125,$B144)+COUNTIF(Y108:Y125,$B144&amp;" ~*")&gt;0))</f>
        <v/>
      </c>
    </row>
    <row r="145" ht="15" customHeight="1">
      <c r="A145" t="n">
        <v>3</v>
      </c>
      <c r="B145" s="35">
        <f>IF(Setup!$B$24="","",Setup!$B$24)</f>
        <v/>
      </c>
      <c r="C145" s="98" t="n"/>
      <c r="D145" s="99" t="n"/>
      <c r="E145" s="99" t="n"/>
      <c r="F145" s="100" t="n"/>
      <c r="G145" s="98" t="n"/>
      <c r="H145" s="99" t="n"/>
      <c r="I145" s="99" t="n"/>
      <c r="J145" s="100" t="n"/>
      <c r="K145" s="98" t="n"/>
      <c r="L145" s="99" t="n"/>
      <c r="M145" s="99" t="n"/>
      <c r="N145" s="100" t="n"/>
      <c r="O145" s="98" t="n"/>
      <c r="P145" s="99" t="n"/>
      <c r="Q145" s="99" t="n"/>
      <c r="R145" s="100" t="n"/>
      <c r="S145" s="98" t="n"/>
      <c r="T145" s="99" t="n"/>
      <c r="U145" s="99" t="n"/>
      <c r="V145" s="100" t="n"/>
      <c r="W145" s="98" t="n"/>
      <c r="X145" s="100" t="n"/>
      <c r="Y145" s="98" t="n"/>
      <c r="Z145" s="100" t="n"/>
      <c r="AB145" s="101">
        <f>IF($B145="","",(COUNTIF(C108:E125,$B145)+COUNTIF(C108:E125,$B145&amp;" ~*")&gt;0)+(COUNTIF(G108:I125,$B145)+COUNTIF(G108:I125,$B145&amp;" ~*")&gt;0)+(COUNTIF(K108:M125,$B145)+COUNTIF(K108:M125,$B145&amp;" ~*")&gt;0)+(COUNTIF(O108:Q125,$B145)+COUNTIF(O108:Q125,$B145&amp;" ~*")&gt;0)+(COUNTIF(S108:U125,$B145)+COUNTIF(S108:U125,$B145&amp;" ~*")&gt;0)+(COUNTIF(W108:W125,$B145)+COUNTIF(W108:W125,$B145&amp;" ~*")&gt;0)+(COUNTIF(Y108:Y125,$B145)+COUNTIF(Y108:Y125,$B145&amp;" ~*")&gt;0))</f>
        <v/>
      </c>
      <c r="AC145" s="36">
        <f>IF($B145="","",(IFERROR(INDEX(Setup!$G$33:$G$40,MATCH(C145,Setup!$B$33:$B$40,0)),0)=1)*(COUNTIF(C108:E125,$B145)+COUNTIF(C108:E125,$B145&amp;" ~*")&gt;0)+(IFERROR(INDEX(Setup!$G$33:$G$40,MATCH(G145,Setup!$B$33:$B$40,0)),0)=1)*(COUNTIF(G108:I125,$B145)+COUNTIF(G108:I125,$B145&amp;" ~*")&gt;0)+(IFERROR(INDEX(Setup!$G$33:$G$40,MATCH(K145,Setup!$B$33:$B$40,0)),0)=1)*(COUNTIF(K108:M125,$B145)+COUNTIF(K108:M125,$B145&amp;" ~*")&gt;0)+(IFERROR(INDEX(Setup!$G$33:$G$40,MATCH(O145,Setup!$B$33:$B$40,0)),0)=1)*(COUNTIF(O108:Q125,$B145)+COUNTIF(O108:Q125,$B145&amp;" ~*")&gt;0)+(IFERROR(INDEX(Setup!$G$33:$G$40,MATCH(S145,Setup!$B$33:$B$40,0)),0)=1)*(COUNTIF(S108:U125,$B145)+COUNTIF(S108:U125,$B145&amp;" ~*")&gt;0)+(IFERROR(INDEX(Setup!$G$33:$G$40,MATCH(W145,Setup!$B$33:$B$40,0)),0)=1)*(COUNTIF(W108:W125,$B145)+COUNTIF(W108:W125,$B145&amp;" ~*")&gt;0)+(IFERROR(INDEX(Setup!$G$33:$G$40,MATCH(Y145,Setup!$B$33:$B$40,0)),0)=1)*(COUNTIF(Y108:Y125,$B145)+COUNTIF(Y108:Y125,$B145&amp;" ~*")&gt;0))</f>
        <v/>
      </c>
    </row>
    <row r="146" ht="15" customHeight="1">
      <c r="A146" t="n">
        <v>3</v>
      </c>
      <c r="B146" s="37">
        <f>IF(Setup!$B$25="","",Setup!$B$25)</f>
        <v/>
      </c>
      <c r="C146" s="102" t="n"/>
      <c r="D146" s="103" t="n"/>
      <c r="E146" s="103" t="n"/>
      <c r="F146" s="104" t="n"/>
      <c r="G146" s="102" t="n"/>
      <c r="H146" s="103" t="n"/>
      <c r="I146" s="103" t="n"/>
      <c r="J146" s="104" t="n"/>
      <c r="K146" s="102" t="n"/>
      <c r="L146" s="103" t="n"/>
      <c r="M146" s="103" t="n"/>
      <c r="N146" s="104" t="n"/>
      <c r="O146" s="102" t="n"/>
      <c r="P146" s="103" t="n"/>
      <c r="Q146" s="103" t="n"/>
      <c r="R146" s="104" t="n"/>
      <c r="S146" s="102" t="n"/>
      <c r="T146" s="103" t="n"/>
      <c r="U146" s="103" t="n"/>
      <c r="V146" s="104" t="n"/>
      <c r="W146" s="102" t="n"/>
      <c r="X146" s="104" t="n"/>
      <c r="Y146" s="102" t="n"/>
      <c r="Z146" s="104" t="n"/>
      <c r="AB146" s="105">
        <f>IF($B146="","",(COUNTIF(C108:E125,$B146)+COUNTIF(C108:E125,$B146&amp;" ~*")&gt;0)+(COUNTIF(G108:I125,$B146)+COUNTIF(G108:I125,$B146&amp;" ~*")&gt;0)+(COUNTIF(K108:M125,$B146)+COUNTIF(K108:M125,$B146&amp;" ~*")&gt;0)+(COUNTIF(O108:Q125,$B146)+COUNTIF(O108:Q125,$B146&amp;" ~*")&gt;0)+(COUNTIF(S108:U125,$B146)+COUNTIF(S108:U125,$B146&amp;" ~*")&gt;0)+(COUNTIF(W108:W125,$B146)+COUNTIF(W108:W125,$B146&amp;" ~*")&gt;0)+(COUNTIF(Y108:Y125,$B146)+COUNTIF(Y108:Y125,$B146&amp;" ~*")&gt;0))</f>
        <v/>
      </c>
      <c r="AC146" s="38">
        <f>IF($B146="","",(IFERROR(INDEX(Setup!$G$33:$G$40,MATCH(C146,Setup!$B$33:$B$40,0)),0)=1)*(COUNTIF(C108:E125,$B146)+COUNTIF(C108:E125,$B146&amp;" ~*")&gt;0)+(IFERROR(INDEX(Setup!$G$33:$G$40,MATCH(G146,Setup!$B$33:$B$40,0)),0)=1)*(COUNTIF(G108:I125,$B146)+COUNTIF(G108:I125,$B146&amp;" ~*")&gt;0)+(IFERROR(INDEX(Setup!$G$33:$G$40,MATCH(K146,Setup!$B$33:$B$40,0)),0)=1)*(COUNTIF(K108:M125,$B146)+COUNTIF(K108:M125,$B146&amp;" ~*")&gt;0)+(IFERROR(INDEX(Setup!$G$33:$G$40,MATCH(O146,Setup!$B$33:$B$40,0)),0)=1)*(COUNTIF(O108:Q125,$B146)+COUNTIF(O108:Q125,$B146&amp;" ~*")&gt;0)+(IFERROR(INDEX(Setup!$G$33:$G$40,MATCH(S146,Setup!$B$33:$B$40,0)),0)=1)*(COUNTIF(S108:U125,$B146)+COUNTIF(S108:U125,$B146&amp;" ~*")&gt;0)+(IFERROR(INDEX(Setup!$G$33:$G$40,MATCH(W146,Setup!$B$33:$B$40,0)),0)=1)*(COUNTIF(W108:W125,$B146)+COUNTIF(W108:W125,$B146&amp;" ~*")&gt;0)+(IFERROR(INDEX(Setup!$G$33:$G$40,MATCH(Y146,Setup!$B$33:$B$40,0)),0)=1)*(COUNTIF(Y108:Y125,$B146)+COUNTIF(Y108:Y125,$B146&amp;" ~*")&gt;0))</f>
        <v/>
      </c>
    </row>
    <row r="147" ht="15" customHeight="1">
      <c r="A147" t="n">
        <v>3</v>
      </c>
      <c r="B147" s="35">
        <f>IF(Setup!$B$26="","",Setup!$B$26)</f>
        <v/>
      </c>
      <c r="C147" s="98" t="n"/>
      <c r="D147" s="99" t="n"/>
      <c r="E147" s="99" t="n"/>
      <c r="F147" s="100" t="n"/>
      <c r="G147" s="98" t="n"/>
      <c r="H147" s="99" t="n"/>
      <c r="I147" s="99" t="n"/>
      <c r="J147" s="100" t="n"/>
      <c r="K147" s="98" t="n"/>
      <c r="L147" s="99" t="n"/>
      <c r="M147" s="99" t="n"/>
      <c r="N147" s="100" t="n"/>
      <c r="O147" s="98" t="n"/>
      <c r="P147" s="99" t="n"/>
      <c r="Q147" s="99" t="n"/>
      <c r="R147" s="100" t="n"/>
      <c r="S147" s="98" t="n"/>
      <c r="T147" s="99" t="n"/>
      <c r="U147" s="99" t="n"/>
      <c r="V147" s="100" t="n"/>
      <c r="W147" s="98" t="n"/>
      <c r="X147" s="100" t="n"/>
      <c r="Y147" s="98" t="n"/>
      <c r="Z147" s="100" t="n"/>
      <c r="AB147" s="101">
        <f>IF($B147="","",(COUNTIF(C108:E125,$B147)+COUNTIF(C108:E125,$B147&amp;" ~*")&gt;0)+(COUNTIF(G108:I125,$B147)+COUNTIF(G108:I125,$B147&amp;" ~*")&gt;0)+(COUNTIF(K108:M125,$B147)+COUNTIF(K108:M125,$B147&amp;" ~*")&gt;0)+(COUNTIF(O108:Q125,$B147)+COUNTIF(O108:Q125,$B147&amp;" ~*")&gt;0)+(COUNTIF(S108:U125,$B147)+COUNTIF(S108:U125,$B147&amp;" ~*")&gt;0)+(COUNTIF(W108:W125,$B147)+COUNTIF(W108:W125,$B147&amp;" ~*")&gt;0)+(COUNTIF(Y108:Y125,$B147)+COUNTIF(Y108:Y125,$B147&amp;" ~*")&gt;0))</f>
        <v/>
      </c>
      <c r="AC147" s="36">
        <f>IF($B147="","",(IFERROR(INDEX(Setup!$G$33:$G$40,MATCH(C147,Setup!$B$33:$B$40,0)),0)=1)*(COUNTIF(C108:E125,$B147)+COUNTIF(C108:E125,$B147&amp;" ~*")&gt;0)+(IFERROR(INDEX(Setup!$G$33:$G$40,MATCH(G147,Setup!$B$33:$B$40,0)),0)=1)*(COUNTIF(G108:I125,$B147)+COUNTIF(G108:I125,$B147&amp;" ~*")&gt;0)+(IFERROR(INDEX(Setup!$G$33:$G$40,MATCH(K147,Setup!$B$33:$B$40,0)),0)=1)*(COUNTIF(K108:M125,$B147)+COUNTIF(K108:M125,$B147&amp;" ~*")&gt;0)+(IFERROR(INDEX(Setup!$G$33:$G$40,MATCH(O147,Setup!$B$33:$B$40,0)),0)=1)*(COUNTIF(O108:Q125,$B147)+COUNTIF(O108:Q125,$B147&amp;" ~*")&gt;0)+(IFERROR(INDEX(Setup!$G$33:$G$40,MATCH(S147,Setup!$B$33:$B$40,0)),0)=1)*(COUNTIF(S108:U125,$B147)+COUNTIF(S108:U125,$B147&amp;" ~*")&gt;0)+(IFERROR(INDEX(Setup!$G$33:$G$40,MATCH(W147,Setup!$B$33:$B$40,0)),0)=1)*(COUNTIF(W108:W125,$B147)+COUNTIF(W108:W125,$B147&amp;" ~*")&gt;0)+(IFERROR(INDEX(Setup!$G$33:$G$40,MATCH(Y147,Setup!$B$33:$B$40,0)),0)=1)*(COUNTIF(Y108:Y125,$B147)+COUNTIF(Y108:Y125,$B147&amp;" ~*")&gt;0))</f>
        <v/>
      </c>
    </row>
    <row r="148" ht="15" customHeight="1">
      <c r="A148" t="n">
        <v>3</v>
      </c>
      <c r="B148" s="37">
        <f>IF(Setup!$B$27="","",Setup!$B$27)</f>
        <v/>
      </c>
      <c r="C148" s="102" t="n"/>
      <c r="D148" s="103" t="n"/>
      <c r="E148" s="103" t="n"/>
      <c r="F148" s="104" t="n"/>
      <c r="G148" s="102" t="n"/>
      <c r="H148" s="103" t="n"/>
      <c r="I148" s="103" t="n"/>
      <c r="J148" s="104" t="n"/>
      <c r="K148" s="102" t="n"/>
      <c r="L148" s="103" t="n"/>
      <c r="M148" s="103" t="n"/>
      <c r="N148" s="104" t="n"/>
      <c r="O148" s="102" t="n"/>
      <c r="P148" s="103" t="n"/>
      <c r="Q148" s="103" t="n"/>
      <c r="R148" s="104" t="n"/>
      <c r="S148" s="102" t="n"/>
      <c r="T148" s="103" t="n"/>
      <c r="U148" s="103" t="n"/>
      <c r="V148" s="104" t="n"/>
      <c r="W148" s="102" t="n"/>
      <c r="X148" s="104" t="n"/>
      <c r="Y148" s="102" t="n"/>
      <c r="Z148" s="104" t="n"/>
      <c r="AB148" s="105">
        <f>IF($B148="","",(COUNTIF(C108:E125,$B148)+COUNTIF(C108:E125,$B148&amp;" ~*")&gt;0)+(COUNTIF(G108:I125,$B148)+COUNTIF(G108:I125,$B148&amp;" ~*")&gt;0)+(COUNTIF(K108:M125,$B148)+COUNTIF(K108:M125,$B148&amp;" ~*")&gt;0)+(COUNTIF(O108:Q125,$B148)+COUNTIF(O108:Q125,$B148&amp;" ~*")&gt;0)+(COUNTIF(S108:U125,$B148)+COUNTIF(S108:U125,$B148&amp;" ~*")&gt;0)+(COUNTIF(W108:W125,$B148)+COUNTIF(W108:W125,$B148&amp;" ~*")&gt;0)+(COUNTIF(Y108:Y125,$B148)+COUNTIF(Y108:Y125,$B148&amp;" ~*")&gt;0))</f>
        <v/>
      </c>
      <c r="AC148" s="38">
        <f>IF($B148="","",(IFERROR(INDEX(Setup!$G$33:$G$40,MATCH(C148,Setup!$B$33:$B$40,0)),0)=1)*(COUNTIF(C108:E125,$B148)+COUNTIF(C108:E125,$B148&amp;" ~*")&gt;0)+(IFERROR(INDEX(Setup!$G$33:$G$40,MATCH(G148,Setup!$B$33:$B$40,0)),0)=1)*(COUNTIF(G108:I125,$B148)+COUNTIF(G108:I125,$B148&amp;" ~*")&gt;0)+(IFERROR(INDEX(Setup!$G$33:$G$40,MATCH(K148,Setup!$B$33:$B$40,0)),0)=1)*(COUNTIF(K108:M125,$B148)+COUNTIF(K108:M125,$B148&amp;" ~*")&gt;0)+(IFERROR(INDEX(Setup!$G$33:$G$40,MATCH(O148,Setup!$B$33:$B$40,0)),0)=1)*(COUNTIF(O108:Q125,$B148)+COUNTIF(O108:Q125,$B148&amp;" ~*")&gt;0)+(IFERROR(INDEX(Setup!$G$33:$G$40,MATCH(S148,Setup!$B$33:$B$40,0)),0)=1)*(COUNTIF(S108:U125,$B148)+COUNTIF(S108:U125,$B148&amp;" ~*")&gt;0)+(IFERROR(INDEX(Setup!$G$33:$G$40,MATCH(W148,Setup!$B$33:$B$40,0)),0)=1)*(COUNTIF(W108:W125,$B148)+COUNTIF(W108:W125,$B148&amp;" ~*")&gt;0)+(IFERROR(INDEX(Setup!$G$33:$G$40,MATCH(Y148,Setup!$B$33:$B$40,0)),0)=1)*(COUNTIF(Y108:Y125,$B148)+COUNTIF(Y108:Y125,$B148&amp;" ~*")&gt;0))</f>
        <v/>
      </c>
    </row>
    <row r="149" ht="15" customHeight="1">
      <c r="A149" t="n">
        <v>3</v>
      </c>
      <c r="B149" s="35">
        <f>IF(Setup!$B$28="","",Setup!$B$28)</f>
        <v/>
      </c>
      <c r="C149" s="98" t="n"/>
      <c r="D149" s="99" t="n"/>
      <c r="E149" s="99" t="n"/>
      <c r="F149" s="100" t="n"/>
      <c r="G149" s="98" t="n"/>
      <c r="H149" s="99" t="n"/>
      <c r="I149" s="99" t="n"/>
      <c r="J149" s="100" t="n"/>
      <c r="K149" s="98" t="n"/>
      <c r="L149" s="99" t="n"/>
      <c r="M149" s="99" t="n"/>
      <c r="N149" s="100" t="n"/>
      <c r="O149" s="98" t="n"/>
      <c r="P149" s="99" t="n"/>
      <c r="Q149" s="99" t="n"/>
      <c r="R149" s="100" t="n"/>
      <c r="S149" s="98" t="n"/>
      <c r="T149" s="99" t="n"/>
      <c r="U149" s="99" t="n"/>
      <c r="V149" s="100" t="n"/>
      <c r="W149" s="98" t="n"/>
      <c r="X149" s="100" t="n"/>
      <c r="Y149" s="98" t="n"/>
      <c r="Z149" s="100" t="n"/>
      <c r="AB149" s="101">
        <f>IF($B149="","",(COUNTIF(C108:E125,$B149)+COUNTIF(C108:E125,$B149&amp;" ~*")&gt;0)+(COUNTIF(G108:I125,$B149)+COUNTIF(G108:I125,$B149&amp;" ~*")&gt;0)+(COUNTIF(K108:M125,$B149)+COUNTIF(K108:M125,$B149&amp;" ~*")&gt;0)+(COUNTIF(O108:Q125,$B149)+COUNTIF(O108:Q125,$B149&amp;" ~*")&gt;0)+(COUNTIF(S108:U125,$B149)+COUNTIF(S108:U125,$B149&amp;" ~*")&gt;0)+(COUNTIF(W108:W125,$B149)+COUNTIF(W108:W125,$B149&amp;" ~*")&gt;0)+(COUNTIF(Y108:Y125,$B149)+COUNTIF(Y108:Y125,$B149&amp;" ~*")&gt;0))</f>
        <v/>
      </c>
      <c r="AC149" s="36">
        <f>IF($B149="","",(IFERROR(INDEX(Setup!$G$33:$G$40,MATCH(C149,Setup!$B$33:$B$40,0)),0)=1)*(COUNTIF(C108:E125,$B149)+COUNTIF(C108:E125,$B149&amp;" ~*")&gt;0)+(IFERROR(INDEX(Setup!$G$33:$G$40,MATCH(G149,Setup!$B$33:$B$40,0)),0)=1)*(COUNTIF(G108:I125,$B149)+COUNTIF(G108:I125,$B149&amp;" ~*")&gt;0)+(IFERROR(INDEX(Setup!$G$33:$G$40,MATCH(K149,Setup!$B$33:$B$40,0)),0)=1)*(COUNTIF(K108:M125,$B149)+COUNTIF(K108:M125,$B149&amp;" ~*")&gt;0)+(IFERROR(INDEX(Setup!$G$33:$G$40,MATCH(O149,Setup!$B$33:$B$40,0)),0)=1)*(COUNTIF(O108:Q125,$B149)+COUNTIF(O108:Q125,$B149&amp;" ~*")&gt;0)+(IFERROR(INDEX(Setup!$G$33:$G$40,MATCH(S149,Setup!$B$33:$B$40,0)),0)=1)*(COUNTIF(S108:U125,$B149)+COUNTIF(S108:U125,$B149&amp;" ~*")&gt;0)+(IFERROR(INDEX(Setup!$G$33:$G$40,MATCH(W149,Setup!$B$33:$B$40,0)),0)=1)*(COUNTIF(W108:W125,$B149)+COUNTIF(W108:W125,$B149&amp;" ~*")&gt;0)+(IFERROR(INDEX(Setup!$G$33:$G$40,MATCH(Y149,Setup!$B$33:$B$40,0)),0)=1)*(COUNTIF(Y108:Y125,$B149)+COUNTIF(Y108:Y125,$B149&amp;" ~*")&gt;0))</f>
        <v/>
      </c>
    </row>
    <row r="150" ht="15" customHeight="1">
      <c r="A150" t="n">
        <v>3</v>
      </c>
      <c r="B150" s="37">
        <f>IF(Setup!$B$29="","",Setup!$B$29)</f>
        <v/>
      </c>
      <c r="C150" s="102" t="n"/>
      <c r="D150" s="103" t="n"/>
      <c r="E150" s="103" t="n"/>
      <c r="F150" s="104" t="n"/>
      <c r="G150" s="102" t="n"/>
      <c r="H150" s="103" t="n"/>
      <c r="I150" s="103" t="n"/>
      <c r="J150" s="104" t="n"/>
      <c r="K150" s="102" t="n"/>
      <c r="L150" s="103" t="n"/>
      <c r="M150" s="103" t="n"/>
      <c r="N150" s="104" t="n"/>
      <c r="O150" s="102" t="n"/>
      <c r="P150" s="103" t="n"/>
      <c r="Q150" s="103" t="n"/>
      <c r="R150" s="104" t="n"/>
      <c r="S150" s="102" t="n"/>
      <c r="T150" s="103" t="n"/>
      <c r="U150" s="103" t="n"/>
      <c r="V150" s="104" t="n"/>
      <c r="W150" s="102" t="n"/>
      <c r="X150" s="104" t="n"/>
      <c r="Y150" s="102" t="n"/>
      <c r="Z150" s="104" t="n"/>
      <c r="AB150" s="105">
        <f>IF($B150="","",(COUNTIF(C108:E125,$B150)+COUNTIF(C108:E125,$B150&amp;" ~*")&gt;0)+(COUNTIF(G108:I125,$B150)+COUNTIF(G108:I125,$B150&amp;" ~*")&gt;0)+(COUNTIF(K108:M125,$B150)+COUNTIF(K108:M125,$B150&amp;" ~*")&gt;0)+(COUNTIF(O108:Q125,$B150)+COUNTIF(O108:Q125,$B150&amp;" ~*")&gt;0)+(COUNTIF(S108:U125,$B150)+COUNTIF(S108:U125,$B150&amp;" ~*")&gt;0)+(COUNTIF(W108:W125,$B150)+COUNTIF(W108:W125,$B150&amp;" ~*")&gt;0)+(COUNTIF(Y108:Y125,$B150)+COUNTIF(Y108:Y125,$B150&amp;" ~*")&gt;0))</f>
        <v/>
      </c>
      <c r="AC150" s="38">
        <f>IF($B150="","",(IFERROR(INDEX(Setup!$G$33:$G$40,MATCH(C150,Setup!$B$33:$B$40,0)),0)=1)*(COUNTIF(C108:E125,$B150)+COUNTIF(C108:E125,$B150&amp;" ~*")&gt;0)+(IFERROR(INDEX(Setup!$G$33:$G$40,MATCH(G150,Setup!$B$33:$B$40,0)),0)=1)*(COUNTIF(G108:I125,$B150)+COUNTIF(G108:I125,$B150&amp;" ~*")&gt;0)+(IFERROR(INDEX(Setup!$G$33:$G$40,MATCH(K150,Setup!$B$33:$B$40,0)),0)=1)*(COUNTIF(K108:M125,$B150)+COUNTIF(K108:M125,$B150&amp;" ~*")&gt;0)+(IFERROR(INDEX(Setup!$G$33:$G$40,MATCH(O150,Setup!$B$33:$B$40,0)),0)=1)*(COUNTIF(O108:Q125,$B150)+COUNTIF(O108:Q125,$B150&amp;" ~*")&gt;0)+(IFERROR(INDEX(Setup!$G$33:$G$40,MATCH(S150,Setup!$B$33:$B$40,0)),0)=1)*(COUNTIF(S108:U125,$B150)+COUNTIF(S108:U125,$B150&amp;" ~*")&gt;0)+(IFERROR(INDEX(Setup!$G$33:$G$40,MATCH(W150,Setup!$B$33:$B$40,0)),0)=1)*(COUNTIF(W108:W125,$B150)+COUNTIF(W108:W125,$B150&amp;" ~*")&gt;0)+(IFERROR(INDEX(Setup!$G$33:$G$40,MATCH(Y150,Setup!$B$33:$B$40,0)),0)=1)*(COUNTIF(Y108:Y125,$B150)+COUNTIF(Y108:Y125,$B150&amp;" ~*")&gt;0))</f>
        <v/>
      </c>
    </row>
    <row r="151" ht="16" customHeight="1">
      <c r="A151" t="n">
        <v>3</v>
      </c>
      <c r="B151" s="106" t="inlineStr">
        <is>
          <t>Available people</t>
        </is>
      </c>
      <c r="C151" s="107">
        <f>COUNTIFS(Setup!$E$6:$E$29,"Y",Setup!$B$6:$B$29,"?*")-SUMPRODUCT(COUNTIF(C127:C150,Setup!$F$33:$F$40))</f>
        <v/>
      </c>
      <c r="D151" s="107" t="n"/>
      <c r="E151" s="107" t="n"/>
      <c r="F151" s="107" t="n"/>
      <c r="G151" s="107">
        <f>COUNTIFS(Setup!$E$6:$E$29,"Y",Setup!$B$6:$B$29,"?*")-SUMPRODUCT(COUNTIF(G127:G150,Setup!$F$33:$F$40))</f>
        <v/>
      </c>
      <c r="H151" s="107" t="n"/>
      <c r="I151" s="107" t="n"/>
      <c r="J151" s="107" t="n"/>
      <c r="K151" s="107">
        <f>COUNTIFS(Setup!$E$6:$E$29,"Y",Setup!$B$6:$B$29,"?*")-SUMPRODUCT(COUNTIF(K127:K150,Setup!$F$33:$F$40))</f>
        <v/>
      </c>
      <c r="L151" s="107" t="n"/>
      <c r="M151" s="107" t="n"/>
      <c r="N151" s="107" t="n"/>
      <c r="O151" s="107">
        <f>COUNTIFS(Setup!$E$6:$E$29,"Y",Setup!$B$6:$B$29,"?*")-SUMPRODUCT(COUNTIF(O127:O150,Setup!$F$33:$F$40))</f>
        <v/>
      </c>
      <c r="P151" s="107" t="n"/>
      <c r="Q151" s="107" t="n"/>
      <c r="R151" s="107" t="n"/>
      <c r="S151" s="107">
        <f>COUNTIFS(Setup!$E$6:$E$29,"Y",Setup!$B$6:$B$29,"?*")-SUMPRODUCT(COUNTIF(S127:S150,Setup!$F$33:$F$40))</f>
        <v/>
      </c>
      <c r="T151" s="107" t="n"/>
      <c r="U151" s="107" t="n"/>
      <c r="V151" s="107" t="n"/>
      <c r="W151" s="107">
        <f>COUNTIFS(Setup!$E$6:$E$29,"Y",Setup!$B$6:$B$29,"?*")-SUMPRODUCT(COUNTIF(W127:W150,Setup!$F$33:$F$40))</f>
        <v/>
      </c>
      <c r="X151" s="107" t="n"/>
      <c r="Y151" s="107">
        <f>COUNTIFS(Setup!$E$6:$E$29,"Y",Setup!$B$6:$B$29,"?*")-SUMPRODUCT(COUNTIF(Y127:Y150,Setup!$F$33:$F$40))</f>
        <v/>
      </c>
      <c r="Z151" s="107" t="n"/>
      <c r="AB151" s="108">
        <f>SUM(AB127:AB150)</f>
        <v/>
      </c>
      <c r="AC151" s="109">
        <f>SUM(AC127:AC150)</f>
        <v/>
      </c>
    </row>
    <row r="152" ht="30" customHeight="1">
      <c r="A152" t="n">
        <v>3</v>
      </c>
      <c r="B152" s="110" t="inlineStr">
        <is>
          <t>Week notes</t>
        </is>
      </c>
      <c r="C152" s="111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112" t="n"/>
      <c r="R152" s="112" t="n"/>
      <c r="S152" s="112" t="n"/>
      <c r="T152" s="112" t="n"/>
      <c r="U152" s="112" t="n"/>
      <c r="V152" s="112" t="n"/>
      <c r="W152" s="112" t="n"/>
      <c r="X152" s="112" t="n"/>
      <c r="Y152" s="112" t="n"/>
      <c r="Z152" s="113" t="n"/>
    </row>
    <row r="153" ht="8" customHeight="1">
      <c r="A153" t="n">
        <v>3</v>
      </c>
    </row>
    <row r="154" ht="8" customHeight="1">
      <c r="A154" t="n">
        <v>3</v>
      </c>
    </row>
    <row r="155" ht="24" customHeight="1">
      <c r="A155" t="n">
        <v>4</v>
      </c>
      <c r="B155" s="73">
        <f>"WEEK 4     "&amp;TEXT(C156,"ddd d mmm")&amp;"  –  "&amp;TEXT(C156+6,"ddd d mmm yyyy")</f>
        <v/>
      </c>
      <c r="S155" s="74">
        <f>IF(TODAY()&lt;C156,"FUTURE",IF(TODAY()&gt;C156+6,"PAST","THIS WEEK"))</f>
        <v/>
      </c>
      <c r="W155" s="75">
        <f>IF(AND(Engine!$B$8=$AC$3,Engine!$B$9=$A155),"◀ ACTIVE WEEK","")</f>
        <v/>
      </c>
      <c r="AA155" s="76" t="n"/>
      <c r="AB155" s="77" t="inlineStr">
        <is>
          <t>◀ Prev</t>
        </is>
      </c>
      <c r="AC155" s="77" t="inlineStr">
        <is>
          <t>Next ▶</t>
        </is>
      </c>
    </row>
    <row r="156" ht="18" customHeight="1">
      <c r="A156" t="n">
        <v>4</v>
      </c>
      <c r="B156" s="78" t="inlineStr">
        <is>
          <t>DUTY</t>
        </is>
      </c>
      <c r="C156" s="79">
        <f>$AC$2+7*($A156-1)</f>
        <v/>
      </c>
      <c r="D156" s="80" t="n"/>
      <c r="E156" s="80" t="n"/>
      <c r="F156" s="81" t="n"/>
      <c r="G156" s="79">
        <f>C156+1</f>
        <v/>
      </c>
      <c r="H156" s="80" t="n"/>
      <c r="I156" s="80" t="n"/>
      <c r="J156" s="81" t="n"/>
      <c r="K156" s="79">
        <f>C156+2</f>
        <v/>
      </c>
      <c r="L156" s="80" t="n"/>
      <c r="M156" s="80" t="n"/>
      <c r="N156" s="81" t="n"/>
      <c r="O156" s="79">
        <f>C156+3</f>
        <v/>
      </c>
      <c r="P156" s="80" t="n"/>
      <c r="Q156" s="80" t="n"/>
      <c r="R156" s="81" t="n"/>
      <c r="S156" s="79">
        <f>C156+4</f>
        <v/>
      </c>
      <c r="T156" s="80" t="n"/>
      <c r="U156" s="80" t="n"/>
      <c r="V156" s="81" t="n"/>
      <c r="W156" s="82">
        <f>C156+5</f>
        <v/>
      </c>
      <c r="X156" s="83" t="n"/>
      <c r="Y156" s="82">
        <f>C156+6</f>
        <v/>
      </c>
      <c r="Z156" s="83" t="n"/>
      <c r="AB156" s="72" t="inlineStr">
        <is>
          <t>Gaps</t>
        </is>
      </c>
      <c r="AC156" s="72" t="inlineStr">
        <is>
          <t>Cover</t>
        </is>
      </c>
    </row>
    <row r="157" ht="14" customHeight="1">
      <c r="A157" t="n">
        <v>4</v>
      </c>
      <c r="B157" s="84" t="inlineStr">
        <is>
          <t>(from Setup)</t>
        </is>
      </c>
      <c r="C157" s="85" t="inlineStr">
        <is>
          <t>1</t>
        </is>
      </c>
      <c r="D157" s="85" t="inlineStr">
        <is>
          <t>2</t>
        </is>
      </c>
      <c r="E157" s="85" t="inlineStr">
        <is>
          <t>3</t>
        </is>
      </c>
      <c r="F157" s="85" t="inlineStr">
        <is>
          <t>Notes</t>
        </is>
      </c>
      <c r="G157" s="85" t="inlineStr">
        <is>
          <t>1</t>
        </is>
      </c>
      <c r="H157" s="85" t="inlineStr">
        <is>
          <t>2</t>
        </is>
      </c>
      <c r="I157" s="85" t="inlineStr">
        <is>
          <t>3</t>
        </is>
      </c>
      <c r="J157" s="85" t="inlineStr">
        <is>
          <t>Notes</t>
        </is>
      </c>
      <c r="K157" s="85" t="inlineStr">
        <is>
          <t>1</t>
        </is>
      </c>
      <c r="L157" s="85" t="inlineStr">
        <is>
          <t>2</t>
        </is>
      </c>
      <c r="M157" s="85" t="inlineStr">
        <is>
          <t>3</t>
        </is>
      </c>
      <c r="N157" s="85" t="inlineStr">
        <is>
          <t>Notes</t>
        </is>
      </c>
      <c r="O157" s="85" t="inlineStr">
        <is>
          <t>1</t>
        </is>
      </c>
      <c r="P157" s="85" t="inlineStr">
        <is>
          <t>2</t>
        </is>
      </c>
      <c r="Q157" s="85" t="inlineStr">
        <is>
          <t>3</t>
        </is>
      </c>
      <c r="R157" s="85" t="inlineStr">
        <is>
          <t>Notes</t>
        </is>
      </c>
      <c r="S157" s="85" t="inlineStr">
        <is>
          <t>1</t>
        </is>
      </c>
      <c r="T157" s="85" t="inlineStr">
        <is>
          <t>2</t>
        </is>
      </c>
      <c r="U157" s="85" t="inlineStr">
        <is>
          <t>3</t>
        </is>
      </c>
      <c r="V157" s="85" t="inlineStr">
        <is>
          <t>Notes</t>
        </is>
      </c>
      <c r="W157" s="85" t="inlineStr">
        <is>
          <t>Cover</t>
        </is>
      </c>
      <c r="X157" s="85" t="inlineStr">
        <is>
          <t>Notes</t>
        </is>
      </c>
      <c r="Y157" s="85" t="inlineStr">
        <is>
          <t>Cover</t>
        </is>
      </c>
      <c r="Z157" s="85" t="inlineStr">
        <is>
          <t>Notes</t>
        </is>
      </c>
      <c r="AB157" s="86" t="inlineStr">
        <is>
          <t>weekdays short</t>
        </is>
      </c>
      <c r="AC157" s="87" t="inlineStr"/>
    </row>
    <row r="158" ht="17" customHeight="1">
      <c r="A158" t="n">
        <v>4</v>
      </c>
      <c r="B158" s="24">
        <f>IF(Setup!$K$6="","",Setup!$K$6)</f>
        <v/>
      </c>
      <c r="C158" s="88" t="n"/>
      <c r="D158" s="88" t="n"/>
      <c r="E158" s="88" t="n"/>
      <c r="F158" s="89" t="n"/>
      <c r="G158" s="88" t="n"/>
      <c r="H158" s="88" t="n"/>
      <c r="I158" s="88" t="n"/>
      <c r="J158" s="89" t="n"/>
      <c r="K158" s="88" t="n"/>
      <c r="L158" s="88" t="n"/>
      <c r="M158" s="88" t="n"/>
      <c r="N158" s="89" t="n"/>
      <c r="O158" s="88" t="n"/>
      <c r="P158" s="88" t="n"/>
      <c r="Q158" s="88" t="n"/>
      <c r="R158" s="89" t="n"/>
      <c r="S158" s="88" t="n"/>
      <c r="T158" s="88" t="n"/>
      <c r="U158" s="88" t="n"/>
      <c r="V158" s="89" t="n"/>
      <c r="W158" s="88" t="n"/>
      <c r="X158" s="89" t="n"/>
      <c r="Y158" s="88" t="n"/>
      <c r="Z158" s="89" t="n"/>
      <c r="AB158" s="25">
        <f>IF($B158="","",(COUNTIF(C158:E158,"?*")&lt;N(INDEX(Setup!$L$6:$L$23,1)))+(COUNTIF(G158:I158,"?*")&lt;N(INDEX(Setup!$L$6:$L$23,1)))+(COUNTIF(K158:M158,"?*")&lt;N(INDEX(Setup!$L$6:$L$23,1)))+(COUNTIF(O158:Q158,"?*")&lt;N(INDEX(Setup!$L$6:$L$23,1)))+(COUNTIF(S158:U158,"?*")&lt;N(INDEX(Setup!$L$6:$L$23,1)))+((W158="")*(INDEX(Setup!$M$6:$M$23,1)="Y"))+((Y158="")*(INDEX(Setup!$M$6:$M$23,1)="Y")))</f>
        <v/>
      </c>
      <c r="AC158" s="90">
        <f>IF($B158="","",IF(AB158=0,"✓ covered","⚠ "&amp;AB158&amp;IF(AB158=1," gap"," gaps")))</f>
        <v/>
      </c>
    </row>
    <row r="159" ht="17" customHeight="1">
      <c r="A159" t="n">
        <v>4</v>
      </c>
      <c r="B159" s="29">
        <f>IF(Setup!$K$7="","",Setup!$K$7)</f>
        <v/>
      </c>
      <c r="C159" s="88" t="n"/>
      <c r="D159" s="88" t="n"/>
      <c r="E159" s="88" t="n"/>
      <c r="F159" s="89" t="n"/>
      <c r="G159" s="88" t="n"/>
      <c r="H159" s="88" t="n"/>
      <c r="I159" s="88" t="n"/>
      <c r="J159" s="89" t="n"/>
      <c r="K159" s="88" t="n"/>
      <c r="L159" s="88" t="n"/>
      <c r="M159" s="88" t="n"/>
      <c r="N159" s="89" t="n"/>
      <c r="O159" s="88" t="n"/>
      <c r="P159" s="88" t="n"/>
      <c r="Q159" s="88" t="n"/>
      <c r="R159" s="89" t="n"/>
      <c r="S159" s="88" t="n"/>
      <c r="T159" s="88" t="n"/>
      <c r="U159" s="88" t="n"/>
      <c r="V159" s="89" t="n"/>
      <c r="W159" s="88" t="n"/>
      <c r="X159" s="89" t="n"/>
      <c r="Y159" s="88" t="n"/>
      <c r="Z159" s="89" t="n"/>
      <c r="AB159" s="30">
        <f>IF($B159="","",(COUNTIF(C159:E159,"?*")&lt;N(INDEX(Setup!$L$6:$L$23,2)))+(COUNTIF(G159:I159,"?*")&lt;N(INDEX(Setup!$L$6:$L$23,2)))+(COUNTIF(K159:M159,"?*")&lt;N(INDEX(Setup!$L$6:$L$23,2)))+(COUNTIF(O159:Q159,"?*")&lt;N(INDEX(Setup!$L$6:$L$23,2)))+(COUNTIF(S159:U159,"?*")&lt;N(INDEX(Setup!$L$6:$L$23,2)))+((W159="")*(INDEX(Setup!$M$6:$M$23,2)="Y"))+((Y159="")*(INDEX(Setup!$M$6:$M$23,2)="Y")))</f>
        <v/>
      </c>
      <c r="AC159" s="91">
        <f>IF($B159="","",IF(AB159=0,"✓ covered","⚠ "&amp;AB159&amp;IF(AB159=1," gap"," gaps")))</f>
        <v/>
      </c>
    </row>
    <row r="160" ht="17" customHeight="1">
      <c r="A160" t="n">
        <v>4</v>
      </c>
      <c r="B160" s="24">
        <f>IF(Setup!$K$8="","",Setup!$K$8)</f>
        <v/>
      </c>
      <c r="C160" s="88" t="n"/>
      <c r="D160" s="88" t="n"/>
      <c r="E160" s="88" t="n"/>
      <c r="F160" s="89" t="n"/>
      <c r="G160" s="88" t="n"/>
      <c r="H160" s="88" t="n"/>
      <c r="I160" s="88" t="n"/>
      <c r="J160" s="89" t="n"/>
      <c r="K160" s="88" t="n"/>
      <c r="L160" s="88" t="n"/>
      <c r="M160" s="88" t="n"/>
      <c r="N160" s="89" t="n"/>
      <c r="O160" s="88" t="n"/>
      <c r="P160" s="88" t="n"/>
      <c r="Q160" s="88" t="n"/>
      <c r="R160" s="89" t="n"/>
      <c r="S160" s="88" t="n"/>
      <c r="T160" s="88" t="n"/>
      <c r="U160" s="88" t="n"/>
      <c r="V160" s="89" t="n"/>
      <c r="W160" s="88" t="n"/>
      <c r="X160" s="89" t="n"/>
      <c r="Y160" s="88" t="n"/>
      <c r="Z160" s="89" t="n"/>
      <c r="AB160" s="25">
        <f>IF($B160="","",(COUNTIF(C160:E160,"?*")&lt;N(INDEX(Setup!$L$6:$L$23,3)))+(COUNTIF(G160:I160,"?*")&lt;N(INDEX(Setup!$L$6:$L$23,3)))+(COUNTIF(K160:M160,"?*")&lt;N(INDEX(Setup!$L$6:$L$23,3)))+(COUNTIF(O160:Q160,"?*")&lt;N(INDEX(Setup!$L$6:$L$23,3)))+(COUNTIF(S160:U160,"?*")&lt;N(INDEX(Setup!$L$6:$L$23,3)))+((W160="")*(INDEX(Setup!$M$6:$M$23,3)="Y"))+((Y160="")*(INDEX(Setup!$M$6:$M$23,3)="Y")))</f>
        <v/>
      </c>
      <c r="AC160" s="90">
        <f>IF($B160="","",IF(AB160=0,"✓ covered","⚠ "&amp;AB160&amp;IF(AB160=1," gap"," gaps")))</f>
        <v/>
      </c>
    </row>
    <row r="161" ht="17" customHeight="1">
      <c r="A161" t="n">
        <v>4</v>
      </c>
      <c r="B161" s="29">
        <f>IF(Setup!$K$9="","",Setup!$K$9)</f>
        <v/>
      </c>
      <c r="C161" s="88" t="n"/>
      <c r="D161" s="88" t="n"/>
      <c r="E161" s="88" t="n"/>
      <c r="F161" s="89" t="n"/>
      <c r="G161" s="88" t="n"/>
      <c r="H161" s="88" t="n"/>
      <c r="I161" s="88" t="n"/>
      <c r="J161" s="89" t="n"/>
      <c r="K161" s="88" t="n"/>
      <c r="L161" s="88" t="n"/>
      <c r="M161" s="88" t="n"/>
      <c r="N161" s="89" t="n"/>
      <c r="O161" s="88" t="n"/>
      <c r="P161" s="88" t="n"/>
      <c r="Q161" s="88" t="n"/>
      <c r="R161" s="89" t="n"/>
      <c r="S161" s="88" t="n"/>
      <c r="T161" s="88" t="n"/>
      <c r="U161" s="88" t="n"/>
      <c r="V161" s="89" t="n"/>
      <c r="W161" s="88" t="n"/>
      <c r="X161" s="89" t="n"/>
      <c r="Y161" s="88" t="n"/>
      <c r="Z161" s="89" t="n"/>
      <c r="AB161" s="30">
        <f>IF($B161="","",(COUNTIF(C161:E161,"?*")&lt;N(INDEX(Setup!$L$6:$L$23,4)))+(COUNTIF(G161:I161,"?*")&lt;N(INDEX(Setup!$L$6:$L$23,4)))+(COUNTIF(K161:M161,"?*")&lt;N(INDEX(Setup!$L$6:$L$23,4)))+(COUNTIF(O161:Q161,"?*")&lt;N(INDEX(Setup!$L$6:$L$23,4)))+(COUNTIF(S161:U161,"?*")&lt;N(INDEX(Setup!$L$6:$L$23,4)))+((W161="")*(INDEX(Setup!$M$6:$M$23,4)="Y"))+((Y161="")*(INDEX(Setup!$M$6:$M$23,4)="Y")))</f>
        <v/>
      </c>
      <c r="AC161" s="91">
        <f>IF($B161="","",IF(AB161=0,"✓ covered","⚠ "&amp;AB161&amp;IF(AB161=1," gap"," gaps")))</f>
        <v/>
      </c>
    </row>
    <row r="162" ht="17" customHeight="1">
      <c r="A162" t="n">
        <v>4</v>
      </c>
      <c r="B162" s="24">
        <f>IF(Setup!$K$10="","",Setup!$K$10)</f>
        <v/>
      </c>
      <c r="C162" s="88" t="n"/>
      <c r="D162" s="88" t="n"/>
      <c r="E162" s="88" t="n"/>
      <c r="F162" s="89" t="n"/>
      <c r="G162" s="88" t="n"/>
      <c r="H162" s="88" t="n"/>
      <c r="I162" s="88" t="n"/>
      <c r="J162" s="89" t="n"/>
      <c r="K162" s="88" t="n"/>
      <c r="L162" s="88" t="n"/>
      <c r="M162" s="88" t="n"/>
      <c r="N162" s="89" t="n"/>
      <c r="O162" s="88" t="n"/>
      <c r="P162" s="88" t="n"/>
      <c r="Q162" s="88" t="n"/>
      <c r="R162" s="89" t="n"/>
      <c r="S162" s="88" t="n"/>
      <c r="T162" s="88" t="n"/>
      <c r="U162" s="88" t="n"/>
      <c r="V162" s="89" t="n"/>
      <c r="W162" s="88" t="n"/>
      <c r="X162" s="89" t="n"/>
      <c r="Y162" s="88" t="n"/>
      <c r="Z162" s="89" t="n"/>
      <c r="AB162" s="25">
        <f>IF($B162="","",(COUNTIF(C162:E162,"?*")&lt;N(INDEX(Setup!$L$6:$L$23,5)))+(COUNTIF(G162:I162,"?*")&lt;N(INDEX(Setup!$L$6:$L$23,5)))+(COUNTIF(K162:M162,"?*")&lt;N(INDEX(Setup!$L$6:$L$23,5)))+(COUNTIF(O162:Q162,"?*")&lt;N(INDEX(Setup!$L$6:$L$23,5)))+(COUNTIF(S162:U162,"?*")&lt;N(INDEX(Setup!$L$6:$L$23,5)))+((W162="")*(INDEX(Setup!$M$6:$M$23,5)="Y"))+((Y162="")*(INDEX(Setup!$M$6:$M$23,5)="Y")))</f>
        <v/>
      </c>
      <c r="AC162" s="90">
        <f>IF($B162="","",IF(AB162=0,"✓ covered","⚠ "&amp;AB162&amp;IF(AB162=1," gap"," gaps")))</f>
        <v/>
      </c>
    </row>
    <row r="163" ht="17" customHeight="1">
      <c r="A163" t="n">
        <v>4</v>
      </c>
      <c r="B163" s="29">
        <f>IF(Setup!$K$11="","",Setup!$K$11)</f>
        <v/>
      </c>
      <c r="C163" s="88" t="n"/>
      <c r="D163" s="88" t="n"/>
      <c r="E163" s="88" t="n"/>
      <c r="F163" s="89" t="n"/>
      <c r="G163" s="88" t="n"/>
      <c r="H163" s="88" t="n"/>
      <c r="I163" s="88" t="n"/>
      <c r="J163" s="89" t="n"/>
      <c r="K163" s="88" t="n"/>
      <c r="L163" s="88" t="n"/>
      <c r="M163" s="88" t="n"/>
      <c r="N163" s="89" t="n"/>
      <c r="O163" s="88" t="n"/>
      <c r="P163" s="88" t="n"/>
      <c r="Q163" s="88" t="n"/>
      <c r="R163" s="89" t="n"/>
      <c r="S163" s="88" t="n"/>
      <c r="T163" s="88" t="n"/>
      <c r="U163" s="88" t="n"/>
      <c r="V163" s="89" t="n"/>
      <c r="W163" s="88" t="n"/>
      <c r="X163" s="89" t="n"/>
      <c r="Y163" s="88" t="n"/>
      <c r="Z163" s="89" t="n"/>
      <c r="AB163" s="30">
        <f>IF($B163="","",(COUNTIF(C163:E163,"?*")&lt;N(INDEX(Setup!$L$6:$L$23,6)))+(COUNTIF(G163:I163,"?*")&lt;N(INDEX(Setup!$L$6:$L$23,6)))+(COUNTIF(K163:M163,"?*")&lt;N(INDEX(Setup!$L$6:$L$23,6)))+(COUNTIF(O163:Q163,"?*")&lt;N(INDEX(Setup!$L$6:$L$23,6)))+(COUNTIF(S163:U163,"?*")&lt;N(INDEX(Setup!$L$6:$L$23,6)))+((W163="")*(INDEX(Setup!$M$6:$M$23,6)="Y"))+((Y163="")*(INDEX(Setup!$M$6:$M$23,6)="Y")))</f>
        <v/>
      </c>
      <c r="AC163" s="91">
        <f>IF($B163="","",IF(AB163=0,"✓ covered","⚠ "&amp;AB163&amp;IF(AB163=1," gap"," gaps")))</f>
        <v/>
      </c>
    </row>
    <row r="164" ht="17" customHeight="1">
      <c r="A164" t="n">
        <v>4</v>
      </c>
      <c r="B164" s="24">
        <f>IF(Setup!$K$12="","",Setup!$K$12)</f>
        <v/>
      </c>
      <c r="C164" s="88" t="n"/>
      <c r="D164" s="88" t="n"/>
      <c r="E164" s="88" t="n"/>
      <c r="F164" s="89" t="n"/>
      <c r="G164" s="88" t="n"/>
      <c r="H164" s="88" t="n"/>
      <c r="I164" s="88" t="n"/>
      <c r="J164" s="89" t="n"/>
      <c r="K164" s="88" t="n"/>
      <c r="L164" s="88" t="n"/>
      <c r="M164" s="88" t="n"/>
      <c r="N164" s="89" t="n"/>
      <c r="O164" s="88" t="n"/>
      <c r="P164" s="88" t="n"/>
      <c r="Q164" s="88" t="n"/>
      <c r="R164" s="89" t="n"/>
      <c r="S164" s="88" t="n"/>
      <c r="T164" s="88" t="n"/>
      <c r="U164" s="88" t="n"/>
      <c r="V164" s="89" t="n"/>
      <c r="W164" s="88" t="n"/>
      <c r="X164" s="89" t="n"/>
      <c r="Y164" s="88" t="n"/>
      <c r="Z164" s="89" t="n"/>
      <c r="AB164" s="25">
        <f>IF($B164="","",(COUNTIF(C164:E164,"?*")&lt;N(INDEX(Setup!$L$6:$L$23,7)))+(COUNTIF(G164:I164,"?*")&lt;N(INDEX(Setup!$L$6:$L$23,7)))+(COUNTIF(K164:M164,"?*")&lt;N(INDEX(Setup!$L$6:$L$23,7)))+(COUNTIF(O164:Q164,"?*")&lt;N(INDEX(Setup!$L$6:$L$23,7)))+(COUNTIF(S164:U164,"?*")&lt;N(INDEX(Setup!$L$6:$L$23,7)))+((W164="")*(INDEX(Setup!$M$6:$M$23,7)="Y"))+((Y164="")*(INDEX(Setup!$M$6:$M$23,7)="Y")))</f>
        <v/>
      </c>
      <c r="AC164" s="90">
        <f>IF($B164="","",IF(AB164=0,"✓ covered","⚠ "&amp;AB164&amp;IF(AB164=1," gap"," gaps")))</f>
        <v/>
      </c>
    </row>
    <row r="165" ht="17" customHeight="1">
      <c r="A165" t="n">
        <v>4</v>
      </c>
      <c r="B165" s="29">
        <f>IF(Setup!$K$13="","",Setup!$K$13)</f>
        <v/>
      </c>
      <c r="C165" s="88" t="n"/>
      <c r="D165" s="88" t="n"/>
      <c r="E165" s="88" t="n"/>
      <c r="F165" s="89" t="n"/>
      <c r="G165" s="88" t="n"/>
      <c r="H165" s="88" t="n"/>
      <c r="I165" s="88" t="n"/>
      <c r="J165" s="89" t="n"/>
      <c r="K165" s="88" t="n"/>
      <c r="L165" s="88" t="n"/>
      <c r="M165" s="88" t="n"/>
      <c r="N165" s="89" t="n"/>
      <c r="O165" s="88" t="n"/>
      <c r="P165" s="88" t="n"/>
      <c r="Q165" s="88" t="n"/>
      <c r="R165" s="89" t="n"/>
      <c r="S165" s="88" t="n"/>
      <c r="T165" s="88" t="n"/>
      <c r="U165" s="88" t="n"/>
      <c r="V165" s="89" t="n"/>
      <c r="W165" s="88" t="n"/>
      <c r="X165" s="89" t="n"/>
      <c r="Y165" s="88" t="n"/>
      <c r="Z165" s="89" t="n"/>
      <c r="AB165" s="30">
        <f>IF($B165="","",(COUNTIF(C165:E165,"?*")&lt;N(INDEX(Setup!$L$6:$L$23,8)))+(COUNTIF(G165:I165,"?*")&lt;N(INDEX(Setup!$L$6:$L$23,8)))+(COUNTIF(K165:M165,"?*")&lt;N(INDEX(Setup!$L$6:$L$23,8)))+(COUNTIF(O165:Q165,"?*")&lt;N(INDEX(Setup!$L$6:$L$23,8)))+(COUNTIF(S165:U165,"?*")&lt;N(INDEX(Setup!$L$6:$L$23,8)))+((W165="")*(INDEX(Setup!$M$6:$M$23,8)="Y"))+((Y165="")*(INDEX(Setup!$M$6:$M$23,8)="Y")))</f>
        <v/>
      </c>
      <c r="AC165" s="91">
        <f>IF($B165="","",IF(AB165=0,"✓ covered","⚠ "&amp;AB165&amp;IF(AB165=1," gap"," gaps")))</f>
        <v/>
      </c>
    </row>
    <row r="166" ht="17" customHeight="1">
      <c r="A166" t="n">
        <v>4</v>
      </c>
      <c r="B166" s="24">
        <f>IF(Setup!$K$14="","",Setup!$K$14)</f>
        <v/>
      </c>
      <c r="C166" s="88" t="n"/>
      <c r="D166" s="88" t="n"/>
      <c r="E166" s="88" t="n"/>
      <c r="F166" s="89" t="n"/>
      <c r="G166" s="88" t="n"/>
      <c r="H166" s="88" t="n"/>
      <c r="I166" s="88" t="n"/>
      <c r="J166" s="89" t="n"/>
      <c r="K166" s="88" t="n"/>
      <c r="L166" s="88" t="n"/>
      <c r="M166" s="88" t="n"/>
      <c r="N166" s="89" t="n"/>
      <c r="O166" s="88" t="n"/>
      <c r="P166" s="88" t="n"/>
      <c r="Q166" s="88" t="n"/>
      <c r="R166" s="89" t="n"/>
      <c r="S166" s="88" t="n"/>
      <c r="T166" s="88" t="n"/>
      <c r="U166" s="88" t="n"/>
      <c r="V166" s="89" t="n"/>
      <c r="W166" s="88" t="n"/>
      <c r="X166" s="89" t="n"/>
      <c r="Y166" s="88" t="n"/>
      <c r="Z166" s="89" t="n"/>
      <c r="AB166" s="25">
        <f>IF($B166="","",(COUNTIF(C166:E166,"?*")&lt;N(INDEX(Setup!$L$6:$L$23,9)))+(COUNTIF(G166:I166,"?*")&lt;N(INDEX(Setup!$L$6:$L$23,9)))+(COUNTIF(K166:M166,"?*")&lt;N(INDEX(Setup!$L$6:$L$23,9)))+(COUNTIF(O166:Q166,"?*")&lt;N(INDEX(Setup!$L$6:$L$23,9)))+(COUNTIF(S166:U166,"?*")&lt;N(INDEX(Setup!$L$6:$L$23,9)))+((W166="")*(INDEX(Setup!$M$6:$M$23,9)="Y"))+((Y166="")*(INDEX(Setup!$M$6:$M$23,9)="Y")))</f>
        <v/>
      </c>
      <c r="AC166" s="90">
        <f>IF($B166="","",IF(AB166=0,"✓ covered","⚠ "&amp;AB166&amp;IF(AB166=1," gap"," gaps")))</f>
        <v/>
      </c>
    </row>
    <row r="167" ht="17" customHeight="1">
      <c r="A167" t="n">
        <v>4</v>
      </c>
      <c r="B167" s="29">
        <f>IF(Setup!$K$15="","",Setup!$K$15)</f>
        <v/>
      </c>
      <c r="C167" s="88" t="n"/>
      <c r="D167" s="88" t="n"/>
      <c r="E167" s="88" t="n"/>
      <c r="F167" s="89" t="n"/>
      <c r="G167" s="88" t="n"/>
      <c r="H167" s="88" t="n"/>
      <c r="I167" s="88" t="n"/>
      <c r="J167" s="89" t="n"/>
      <c r="K167" s="88" t="n"/>
      <c r="L167" s="88" t="n"/>
      <c r="M167" s="88" t="n"/>
      <c r="N167" s="89" t="n"/>
      <c r="O167" s="88" t="n"/>
      <c r="P167" s="88" t="n"/>
      <c r="Q167" s="88" t="n"/>
      <c r="R167" s="89" t="n"/>
      <c r="S167" s="88" t="n"/>
      <c r="T167" s="88" t="n"/>
      <c r="U167" s="88" t="n"/>
      <c r="V167" s="89" t="n"/>
      <c r="W167" s="88" t="n"/>
      <c r="X167" s="89" t="n"/>
      <c r="Y167" s="88" t="n"/>
      <c r="Z167" s="89" t="n"/>
      <c r="AB167" s="30">
        <f>IF($B167="","",(COUNTIF(C167:E167,"?*")&lt;N(INDEX(Setup!$L$6:$L$23,10)))+(COUNTIF(G167:I167,"?*")&lt;N(INDEX(Setup!$L$6:$L$23,10)))+(COUNTIF(K167:M167,"?*")&lt;N(INDEX(Setup!$L$6:$L$23,10)))+(COUNTIF(O167:Q167,"?*")&lt;N(INDEX(Setup!$L$6:$L$23,10)))+(COUNTIF(S167:U167,"?*")&lt;N(INDEX(Setup!$L$6:$L$23,10)))+((W167="")*(INDEX(Setup!$M$6:$M$23,10)="Y"))+((Y167="")*(INDEX(Setup!$M$6:$M$23,10)="Y")))</f>
        <v/>
      </c>
      <c r="AC167" s="91">
        <f>IF($B167="","",IF(AB167=0,"✓ covered","⚠ "&amp;AB167&amp;IF(AB167=1," gap"," gaps")))</f>
        <v/>
      </c>
    </row>
    <row r="168" ht="17" customHeight="1">
      <c r="A168" t="n">
        <v>4</v>
      </c>
      <c r="B168" s="24">
        <f>IF(Setup!$K$16="","",Setup!$K$16)</f>
        <v/>
      </c>
      <c r="C168" s="88" t="n"/>
      <c r="D168" s="88" t="n"/>
      <c r="E168" s="88" t="n"/>
      <c r="F168" s="89" t="n"/>
      <c r="G168" s="88" t="n"/>
      <c r="H168" s="88" t="n"/>
      <c r="I168" s="88" t="n"/>
      <c r="J168" s="89" t="n"/>
      <c r="K168" s="88" t="n"/>
      <c r="L168" s="88" t="n"/>
      <c r="M168" s="88" t="n"/>
      <c r="N168" s="89" t="n"/>
      <c r="O168" s="88" t="n"/>
      <c r="P168" s="88" t="n"/>
      <c r="Q168" s="88" t="n"/>
      <c r="R168" s="89" t="n"/>
      <c r="S168" s="88" t="n"/>
      <c r="T168" s="88" t="n"/>
      <c r="U168" s="88" t="n"/>
      <c r="V168" s="89" t="n"/>
      <c r="W168" s="88" t="n"/>
      <c r="X168" s="89" t="n"/>
      <c r="Y168" s="88" t="n"/>
      <c r="Z168" s="89" t="n"/>
      <c r="AB168" s="25">
        <f>IF($B168="","",(COUNTIF(C168:E168,"?*")&lt;N(INDEX(Setup!$L$6:$L$23,11)))+(COUNTIF(G168:I168,"?*")&lt;N(INDEX(Setup!$L$6:$L$23,11)))+(COUNTIF(K168:M168,"?*")&lt;N(INDEX(Setup!$L$6:$L$23,11)))+(COUNTIF(O168:Q168,"?*")&lt;N(INDEX(Setup!$L$6:$L$23,11)))+(COUNTIF(S168:U168,"?*")&lt;N(INDEX(Setup!$L$6:$L$23,11)))+((W168="")*(INDEX(Setup!$M$6:$M$23,11)="Y"))+((Y168="")*(INDEX(Setup!$M$6:$M$23,11)="Y")))</f>
        <v/>
      </c>
      <c r="AC168" s="90">
        <f>IF($B168="","",IF(AB168=0,"✓ covered","⚠ "&amp;AB168&amp;IF(AB168=1," gap"," gaps")))</f>
        <v/>
      </c>
    </row>
    <row r="169" ht="17" customHeight="1">
      <c r="A169" t="n">
        <v>4</v>
      </c>
      <c r="B169" s="29">
        <f>IF(Setup!$K$17="","",Setup!$K$17)</f>
        <v/>
      </c>
      <c r="C169" s="88" t="n"/>
      <c r="D169" s="88" t="n"/>
      <c r="E169" s="88" t="n"/>
      <c r="F169" s="89" t="n"/>
      <c r="G169" s="88" t="n"/>
      <c r="H169" s="88" t="n"/>
      <c r="I169" s="88" t="n"/>
      <c r="J169" s="89" t="n"/>
      <c r="K169" s="88" t="n"/>
      <c r="L169" s="88" t="n"/>
      <c r="M169" s="88" t="n"/>
      <c r="N169" s="89" t="n"/>
      <c r="O169" s="88" t="n"/>
      <c r="P169" s="88" t="n"/>
      <c r="Q169" s="88" t="n"/>
      <c r="R169" s="89" t="n"/>
      <c r="S169" s="88" t="n"/>
      <c r="T169" s="88" t="n"/>
      <c r="U169" s="88" t="n"/>
      <c r="V169" s="89" t="n"/>
      <c r="W169" s="88" t="n"/>
      <c r="X169" s="89" t="n"/>
      <c r="Y169" s="88" t="n"/>
      <c r="Z169" s="89" t="n"/>
      <c r="AB169" s="30">
        <f>IF($B169="","",(COUNTIF(C169:E169,"?*")&lt;N(INDEX(Setup!$L$6:$L$23,12)))+(COUNTIF(G169:I169,"?*")&lt;N(INDEX(Setup!$L$6:$L$23,12)))+(COUNTIF(K169:M169,"?*")&lt;N(INDEX(Setup!$L$6:$L$23,12)))+(COUNTIF(O169:Q169,"?*")&lt;N(INDEX(Setup!$L$6:$L$23,12)))+(COUNTIF(S169:U169,"?*")&lt;N(INDEX(Setup!$L$6:$L$23,12)))+((W169="")*(INDEX(Setup!$M$6:$M$23,12)="Y"))+((Y169="")*(INDEX(Setup!$M$6:$M$23,12)="Y")))</f>
        <v/>
      </c>
      <c r="AC169" s="91">
        <f>IF($B169="","",IF(AB169=0,"✓ covered","⚠ "&amp;AB169&amp;IF(AB169=1," gap"," gaps")))</f>
        <v/>
      </c>
    </row>
    <row r="170" ht="17" customHeight="1">
      <c r="A170" t="n">
        <v>4</v>
      </c>
      <c r="B170" s="24">
        <f>IF(Setup!$K$18="","",Setup!$K$18)</f>
        <v/>
      </c>
      <c r="C170" s="88" t="n"/>
      <c r="D170" s="88" t="n"/>
      <c r="E170" s="88" t="n"/>
      <c r="F170" s="89" t="n"/>
      <c r="G170" s="88" t="n"/>
      <c r="H170" s="88" t="n"/>
      <c r="I170" s="88" t="n"/>
      <c r="J170" s="89" t="n"/>
      <c r="K170" s="88" t="n"/>
      <c r="L170" s="88" t="n"/>
      <c r="M170" s="88" t="n"/>
      <c r="N170" s="89" t="n"/>
      <c r="O170" s="88" t="n"/>
      <c r="P170" s="88" t="n"/>
      <c r="Q170" s="88" t="n"/>
      <c r="R170" s="89" t="n"/>
      <c r="S170" s="88" t="n"/>
      <c r="T170" s="88" t="n"/>
      <c r="U170" s="88" t="n"/>
      <c r="V170" s="89" t="n"/>
      <c r="W170" s="88" t="n"/>
      <c r="X170" s="89" t="n"/>
      <c r="Y170" s="88" t="n"/>
      <c r="Z170" s="89" t="n"/>
      <c r="AB170" s="25">
        <f>IF($B170="","",(COUNTIF(C170:E170,"?*")&lt;N(INDEX(Setup!$L$6:$L$23,13)))+(COUNTIF(G170:I170,"?*")&lt;N(INDEX(Setup!$L$6:$L$23,13)))+(COUNTIF(K170:M170,"?*")&lt;N(INDEX(Setup!$L$6:$L$23,13)))+(COUNTIF(O170:Q170,"?*")&lt;N(INDEX(Setup!$L$6:$L$23,13)))+(COUNTIF(S170:U170,"?*")&lt;N(INDEX(Setup!$L$6:$L$23,13)))+((W170="")*(INDEX(Setup!$M$6:$M$23,13)="Y"))+((Y170="")*(INDEX(Setup!$M$6:$M$23,13)="Y")))</f>
        <v/>
      </c>
      <c r="AC170" s="90">
        <f>IF($B170="","",IF(AB170=0,"✓ covered","⚠ "&amp;AB170&amp;IF(AB170=1," gap"," gaps")))</f>
        <v/>
      </c>
    </row>
    <row r="171" ht="17" customHeight="1">
      <c r="A171" t="n">
        <v>4</v>
      </c>
      <c r="B171" s="29">
        <f>IF(Setup!$K$19="","",Setup!$K$19)</f>
        <v/>
      </c>
      <c r="C171" s="88" t="n"/>
      <c r="D171" s="88" t="n"/>
      <c r="E171" s="88" t="n"/>
      <c r="F171" s="89" t="n"/>
      <c r="G171" s="88" t="n"/>
      <c r="H171" s="88" t="n"/>
      <c r="I171" s="88" t="n"/>
      <c r="J171" s="89" t="n"/>
      <c r="K171" s="88" t="n"/>
      <c r="L171" s="88" t="n"/>
      <c r="M171" s="88" t="n"/>
      <c r="N171" s="89" t="n"/>
      <c r="O171" s="88" t="n"/>
      <c r="P171" s="88" t="n"/>
      <c r="Q171" s="88" t="n"/>
      <c r="R171" s="89" t="n"/>
      <c r="S171" s="88" t="n"/>
      <c r="T171" s="88" t="n"/>
      <c r="U171" s="88" t="n"/>
      <c r="V171" s="89" t="n"/>
      <c r="W171" s="88" t="n"/>
      <c r="X171" s="89" t="n"/>
      <c r="Y171" s="88" t="n"/>
      <c r="Z171" s="89" t="n"/>
      <c r="AB171" s="30">
        <f>IF($B171="","",(COUNTIF(C171:E171,"?*")&lt;N(INDEX(Setup!$L$6:$L$23,14)))+(COUNTIF(G171:I171,"?*")&lt;N(INDEX(Setup!$L$6:$L$23,14)))+(COUNTIF(K171:M171,"?*")&lt;N(INDEX(Setup!$L$6:$L$23,14)))+(COUNTIF(O171:Q171,"?*")&lt;N(INDEX(Setup!$L$6:$L$23,14)))+(COUNTIF(S171:U171,"?*")&lt;N(INDEX(Setup!$L$6:$L$23,14)))+((W171="")*(INDEX(Setup!$M$6:$M$23,14)="Y"))+((Y171="")*(INDEX(Setup!$M$6:$M$23,14)="Y")))</f>
        <v/>
      </c>
      <c r="AC171" s="91">
        <f>IF($B171="","",IF(AB171=0,"✓ covered","⚠ "&amp;AB171&amp;IF(AB171=1," gap"," gaps")))</f>
        <v/>
      </c>
    </row>
    <row r="172" ht="17" customHeight="1">
      <c r="A172" t="n">
        <v>4</v>
      </c>
      <c r="B172" s="24">
        <f>IF(Setup!$K$20="","",Setup!$K$20)</f>
        <v/>
      </c>
      <c r="C172" s="88" t="n"/>
      <c r="D172" s="88" t="n"/>
      <c r="E172" s="88" t="n"/>
      <c r="F172" s="89" t="n"/>
      <c r="G172" s="88" t="n"/>
      <c r="H172" s="88" t="n"/>
      <c r="I172" s="88" t="n"/>
      <c r="J172" s="89" t="n"/>
      <c r="K172" s="88" t="n"/>
      <c r="L172" s="88" t="n"/>
      <c r="M172" s="88" t="n"/>
      <c r="N172" s="89" t="n"/>
      <c r="O172" s="88" t="n"/>
      <c r="P172" s="88" t="n"/>
      <c r="Q172" s="88" t="n"/>
      <c r="R172" s="89" t="n"/>
      <c r="S172" s="88" t="n"/>
      <c r="T172" s="88" t="n"/>
      <c r="U172" s="88" t="n"/>
      <c r="V172" s="89" t="n"/>
      <c r="W172" s="88" t="n"/>
      <c r="X172" s="89" t="n"/>
      <c r="Y172" s="88" t="n"/>
      <c r="Z172" s="89" t="n"/>
      <c r="AB172" s="25">
        <f>IF($B172="","",(COUNTIF(C172:E172,"?*")&lt;N(INDEX(Setup!$L$6:$L$23,15)))+(COUNTIF(G172:I172,"?*")&lt;N(INDEX(Setup!$L$6:$L$23,15)))+(COUNTIF(K172:M172,"?*")&lt;N(INDEX(Setup!$L$6:$L$23,15)))+(COUNTIF(O172:Q172,"?*")&lt;N(INDEX(Setup!$L$6:$L$23,15)))+(COUNTIF(S172:U172,"?*")&lt;N(INDEX(Setup!$L$6:$L$23,15)))+((W172="")*(INDEX(Setup!$M$6:$M$23,15)="Y"))+((Y172="")*(INDEX(Setup!$M$6:$M$23,15)="Y")))</f>
        <v/>
      </c>
      <c r="AC172" s="90">
        <f>IF($B172="","",IF(AB172=0,"✓ covered","⚠ "&amp;AB172&amp;IF(AB172=1," gap"," gaps")))</f>
        <v/>
      </c>
    </row>
    <row r="173" ht="17" customHeight="1">
      <c r="A173" t="n">
        <v>4</v>
      </c>
      <c r="B173" s="29">
        <f>IF(Setup!$K$21="","",Setup!$K$21)</f>
        <v/>
      </c>
      <c r="C173" s="88" t="n"/>
      <c r="D173" s="88" t="n"/>
      <c r="E173" s="88" t="n"/>
      <c r="F173" s="89" t="n"/>
      <c r="G173" s="88" t="n"/>
      <c r="H173" s="88" t="n"/>
      <c r="I173" s="88" t="n"/>
      <c r="J173" s="89" t="n"/>
      <c r="K173" s="88" t="n"/>
      <c r="L173" s="88" t="n"/>
      <c r="M173" s="88" t="n"/>
      <c r="N173" s="89" t="n"/>
      <c r="O173" s="88" t="n"/>
      <c r="P173" s="88" t="n"/>
      <c r="Q173" s="88" t="n"/>
      <c r="R173" s="89" t="n"/>
      <c r="S173" s="88" t="n"/>
      <c r="T173" s="88" t="n"/>
      <c r="U173" s="88" t="n"/>
      <c r="V173" s="89" t="n"/>
      <c r="W173" s="88" t="n"/>
      <c r="X173" s="89" t="n"/>
      <c r="Y173" s="88" t="n"/>
      <c r="Z173" s="89" t="n"/>
      <c r="AB173" s="30">
        <f>IF($B173="","",(COUNTIF(C173:E173,"?*")&lt;N(INDEX(Setup!$L$6:$L$23,16)))+(COUNTIF(G173:I173,"?*")&lt;N(INDEX(Setup!$L$6:$L$23,16)))+(COUNTIF(K173:M173,"?*")&lt;N(INDEX(Setup!$L$6:$L$23,16)))+(COUNTIF(O173:Q173,"?*")&lt;N(INDEX(Setup!$L$6:$L$23,16)))+(COUNTIF(S173:U173,"?*")&lt;N(INDEX(Setup!$L$6:$L$23,16)))+((W173="")*(INDEX(Setup!$M$6:$M$23,16)="Y"))+((Y173="")*(INDEX(Setup!$M$6:$M$23,16)="Y")))</f>
        <v/>
      </c>
      <c r="AC173" s="91">
        <f>IF($B173="","",IF(AB173=0,"✓ covered","⚠ "&amp;AB173&amp;IF(AB173=1," gap"," gaps")))</f>
        <v/>
      </c>
    </row>
    <row r="174" ht="17" customHeight="1">
      <c r="A174" t="n">
        <v>4</v>
      </c>
      <c r="B174" s="24">
        <f>IF(Setup!$K$22="","",Setup!$K$22)</f>
        <v/>
      </c>
      <c r="C174" s="88" t="n"/>
      <c r="D174" s="88" t="n"/>
      <c r="E174" s="88" t="n"/>
      <c r="F174" s="89" t="n"/>
      <c r="G174" s="88" t="n"/>
      <c r="H174" s="88" t="n"/>
      <c r="I174" s="88" t="n"/>
      <c r="J174" s="89" t="n"/>
      <c r="K174" s="88" t="n"/>
      <c r="L174" s="88" t="n"/>
      <c r="M174" s="88" t="n"/>
      <c r="N174" s="89" t="n"/>
      <c r="O174" s="88" t="n"/>
      <c r="P174" s="88" t="n"/>
      <c r="Q174" s="88" t="n"/>
      <c r="R174" s="89" t="n"/>
      <c r="S174" s="88" t="n"/>
      <c r="T174" s="88" t="n"/>
      <c r="U174" s="88" t="n"/>
      <c r="V174" s="89" t="n"/>
      <c r="W174" s="88" t="n"/>
      <c r="X174" s="89" t="n"/>
      <c r="Y174" s="88" t="n"/>
      <c r="Z174" s="89" t="n"/>
      <c r="AB174" s="25">
        <f>IF($B174="","",(COUNTIF(C174:E174,"?*")&lt;N(INDEX(Setup!$L$6:$L$23,17)))+(COUNTIF(G174:I174,"?*")&lt;N(INDEX(Setup!$L$6:$L$23,17)))+(COUNTIF(K174:M174,"?*")&lt;N(INDEX(Setup!$L$6:$L$23,17)))+(COUNTIF(O174:Q174,"?*")&lt;N(INDEX(Setup!$L$6:$L$23,17)))+(COUNTIF(S174:U174,"?*")&lt;N(INDEX(Setup!$L$6:$L$23,17)))+((W174="")*(INDEX(Setup!$M$6:$M$23,17)="Y"))+((Y174="")*(INDEX(Setup!$M$6:$M$23,17)="Y")))</f>
        <v/>
      </c>
      <c r="AC174" s="90">
        <f>IF($B174="","",IF(AB174=0,"✓ covered","⚠ "&amp;AB174&amp;IF(AB174=1," gap"," gaps")))</f>
        <v/>
      </c>
    </row>
    <row r="175" ht="17" customHeight="1">
      <c r="A175" t="n">
        <v>4</v>
      </c>
      <c r="B175" s="29">
        <f>IF(Setup!$K$23="","",Setup!$K$23)</f>
        <v/>
      </c>
      <c r="C175" s="88" t="n"/>
      <c r="D175" s="88" t="n"/>
      <c r="E175" s="88" t="n"/>
      <c r="F175" s="89" t="n"/>
      <c r="G175" s="88" t="n"/>
      <c r="H175" s="88" t="n"/>
      <c r="I175" s="88" t="n"/>
      <c r="J175" s="89" t="n"/>
      <c r="K175" s="88" t="n"/>
      <c r="L175" s="88" t="n"/>
      <c r="M175" s="88" t="n"/>
      <c r="N175" s="89" t="n"/>
      <c r="O175" s="88" t="n"/>
      <c r="P175" s="88" t="n"/>
      <c r="Q175" s="88" t="n"/>
      <c r="R175" s="89" t="n"/>
      <c r="S175" s="88" t="n"/>
      <c r="T175" s="88" t="n"/>
      <c r="U175" s="88" t="n"/>
      <c r="V175" s="89" t="n"/>
      <c r="W175" s="88" t="n"/>
      <c r="X175" s="89" t="n"/>
      <c r="Y175" s="88" t="n"/>
      <c r="Z175" s="89" t="n"/>
      <c r="AB175" s="30">
        <f>IF($B175="","",(COUNTIF(C175:E175,"?*")&lt;N(INDEX(Setup!$L$6:$L$23,18)))+(COUNTIF(G175:I175,"?*")&lt;N(INDEX(Setup!$L$6:$L$23,18)))+(COUNTIF(K175:M175,"?*")&lt;N(INDEX(Setup!$L$6:$L$23,18)))+(COUNTIF(O175:Q175,"?*")&lt;N(INDEX(Setup!$L$6:$L$23,18)))+(COUNTIF(S175:U175,"?*")&lt;N(INDEX(Setup!$L$6:$L$23,18)))+((W175="")*(INDEX(Setup!$M$6:$M$23,18)="Y"))+((Y175="")*(INDEX(Setup!$M$6:$M$23,18)="Y")))</f>
        <v/>
      </c>
      <c r="AC175" s="91">
        <f>IF($B175="","",IF(AB175=0,"✓ covered","⚠ "&amp;AB175&amp;IF(AB175=1," gap"," gaps")))</f>
        <v/>
      </c>
    </row>
    <row r="176" ht="18" customHeight="1">
      <c r="A176" t="n">
        <v>4</v>
      </c>
      <c r="B176" s="78" t="inlineStr">
        <is>
          <t>TEAM AVAILABILITY</t>
        </is>
      </c>
      <c r="C176" s="92" t="inlineStr">
        <is>
          <t>Mon</t>
        </is>
      </c>
      <c r="D176" s="93" t="n"/>
      <c r="E176" s="93" t="n"/>
      <c r="F176" s="94" t="n"/>
      <c r="G176" s="92" t="inlineStr">
        <is>
          <t>Tue</t>
        </is>
      </c>
      <c r="H176" s="93" t="n"/>
      <c r="I176" s="93" t="n"/>
      <c r="J176" s="94" t="n"/>
      <c r="K176" s="92" t="inlineStr">
        <is>
          <t>Wed</t>
        </is>
      </c>
      <c r="L176" s="93" t="n"/>
      <c r="M176" s="93" t="n"/>
      <c r="N176" s="94" t="n"/>
      <c r="O176" s="92" t="inlineStr">
        <is>
          <t>Thu</t>
        </is>
      </c>
      <c r="P176" s="93" t="n"/>
      <c r="Q176" s="93" t="n"/>
      <c r="R176" s="94" t="n"/>
      <c r="S176" s="92" t="inlineStr">
        <is>
          <t>Fri</t>
        </is>
      </c>
      <c r="T176" s="93" t="n"/>
      <c r="U176" s="93" t="n"/>
      <c r="V176" s="94" t="n"/>
      <c r="W176" s="95" t="inlineStr">
        <is>
          <t>Sat</t>
        </is>
      </c>
      <c r="X176" s="96" t="n"/>
      <c r="Y176" s="95" t="inlineStr">
        <is>
          <t>Sun</t>
        </is>
      </c>
      <c r="Z176" s="96" t="n"/>
      <c r="AB176" s="97" t="inlineStr">
        <is>
          <t>Days rostered</t>
        </is>
      </c>
      <c r="AC176" s="97" t="inlineStr">
        <is>
          <t>Conflicts</t>
        </is>
      </c>
    </row>
    <row r="177" ht="15" customHeight="1">
      <c r="A177" t="n">
        <v>4</v>
      </c>
      <c r="B177" s="35">
        <f>IF(Setup!$B$6="","",Setup!$B$6)</f>
        <v/>
      </c>
      <c r="C177" s="98" t="n"/>
      <c r="D177" s="99" t="n"/>
      <c r="E177" s="99" t="n"/>
      <c r="F177" s="100" t="n"/>
      <c r="G177" s="98" t="n"/>
      <c r="H177" s="99" t="n"/>
      <c r="I177" s="99" t="n"/>
      <c r="J177" s="100" t="n"/>
      <c r="K177" s="98" t="n"/>
      <c r="L177" s="99" t="n"/>
      <c r="M177" s="99" t="n"/>
      <c r="N177" s="100" t="n"/>
      <c r="O177" s="98" t="n"/>
      <c r="P177" s="99" t="n"/>
      <c r="Q177" s="99" t="n"/>
      <c r="R177" s="100" t="n"/>
      <c r="S177" s="98" t="n"/>
      <c r="T177" s="99" t="n"/>
      <c r="U177" s="99" t="n"/>
      <c r="V177" s="100" t="n"/>
      <c r="W177" s="98" t="n"/>
      <c r="X177" s="100" t="n"/>
      <c r="Y177" s="98" t="n"/>
      <c r="Z177" s="100" t="n"/>
      <c r="AB177" s="101">
        <f>IF($B177="","",(COUNTIF(C158:E175,$B177)+COUNTIF(C158:E175,$B177&amp;" ~*")&gt;0)+(COUNTIF(G158:I175,$B177)+COUNTIF(G158:I175,$B177&amp;" ~*")&gt;0)+(COUNTIF(K158:M175,$B177)+COUNTIF(K158:M175,$B177&amp;" ~*")&gt;0)+(COUNTIF(O158:Q175,$B177)+COUNTIF(O158:Q175,$B177&amp;" ~*")&gt;0)+(COUNTIF(S158:U175,$B177)+COUNTIF(S158:U175,$B177&amp;" ~*")&gt;0)+(COUNTIF(W158:W175,$B177)+COUNTIF(W158:W175,$B177&amp;" ~*")&gt;0)+(COUNTIF(Y158:Y175,$B177)+COUNTIF(Y158:Y175,$B177&amp;" ~*")&gt;0))</f>
        <v/>
      </c>
      <c r="AC177" s="36">
        <f>IF($B177="","",(IFERROR(INDEX(Setup!$G$33:$G$40,MATCH(C177,Setup!$B$33:$B$40,0)),0)=1)*(COUNTIF(C158:E175,$B177)+COUNTIF(C158:E175,$B177&amp;" ~*")&gt;0)+(IFERROR(INDEX(Setup!$G$33:$G$40,MATCH(G177,Setup!$B$33:$B$40,0)),0)=1)*(COUNTIF(G158:I175,$B177)+COUNTIF(G158:I175,$B177&amp;" ~*")&gt;0)+(IFERROR(INDEX(Setup!$G$33:$G$40,MATCH(K177,Setup!$B$33:$B$40,0)),0)=1)*(COUNTIF(K158:M175,$B177)+COUNTIF(K158:M175,$B177&amp;" ~*")&gt;0)+(IFERROR(INDEX(Setup!$G$33:$G$40,MATCH(O177,Setup!$B$33:$B$40,0)),0)=1)*(COUNTIF(O158:Q175,$B177)+COUNTIF(O158:Q175,$B177&amp;" ~*")&gt;0)+(IFERROR(INDEX(Setup!$G$33:$G$40,MATCH(S177,Setup!$B$33:$B$40,0)),0)=1)*(COUNTIF(S158:U175,$B177)+COUNTIF(S158:U175,$B177&amp;" ~*")&gt;0)+(IFERROR(INDEX(Setup!$G$33:$G$40,MATCH(W177,Setup!$B$33:$B$40,0)),0)=1)*(COUNTIF(W158:W175,$B177)+COUNTIF(W158:W175,$B177&amp;" ~*")&gt;0)+(IFERROR(INDEX(Setup!$G$33:$G$40,MATCH(Y177,Setup!$B$33:$B$40,0)),0)=1)*(COUNTIF(Y158:Y175,$B177)+COUNTIF(Y158:Y175,$B177&amp;" ~*")&gt;0))</f>
        <v/>
      </c>
    </row>
    <row r="178" ht="15" customHeight="1">
      <c r="A178" t="n">
        <v>4</v>
      </c>
      <c r="B178" s="37">
        <f>IF(Setup!$B$7="","",Setup!$B$7)</f>
        <v/>
      </c>
      <c r="C178" s="102" t="n"/>
      <c r="D178" s="103" t="n"/>
      <c r="E178" s="103" t="n"/>
      <c r="F178" s="104" t="n"/>
      <c r="G178" s="102" t="n"/>
      <c r="H178" s="103" t="n"/>
      <c r="I178" s="103" t="n"/>
      <c r="J178" s="104" t="n"/>
      <c r="K178" s="102" t="n"/>
      <c r="L178" s="103" t="n"/>
      <c r="M178" s="103" t="n"/>
      <c r="N178" s="104" t="n"/>
      <c r="O178" s="102" t="n"/>
      <c r="P178" s="103" t="n"/>
      <c r="Q178" s="103" t="n"/>
      <c r="R178" s="104" t="n"/>
      <c r="S178" s="102" t="n"/>
      <c r="T178" s="103" t="n"/>
      <c r="U178" s="103" t="n"/>
      <c r="V178" s="104" t="n"/>
      <c r="W178" s="102" t="n"/>
      <c r="X178" s="104" t="n"/>
      <c r="Y178" s="102" t="n"/>
      <c r="Z178" s="104" t="n"/>
      <c r="AB178" s="105">
        <f>IF($B178="","",(COUNTIF(C158:E175,$B178)+COUNTIF(C158:E175,$B178&amp;" ~*")&gt;0)+(COUNTIF(G158:I175,$B178)+COUNTIF(G158:I175,$B178&amp;" ~*")&gt;0)+(COUNTIF(K158:M175,$B178)+COUNTIF(K158:M175,$B178&amp;" ~*")&gt;0)+(COUNTIF(O158:Q175,$B178)+COUNTIF(O158:Q175,$B178&amp;" ~*")&gt;0)+(COUNTIF(S158:U175,$B178)+COUNTIF(S158:U175,$B178&amp;" ~*")&gt;0)+(COUNTIF(W158:W175,$B178)+COUNTIF(W158:W175,$B178&amp;" ~*")&gt;0)+(COUNTIF(Y158:Y175,$B178)+COUNTIF(Y158:Y175,$B178&amp;" ~*")&gt;0))</f>
        <v/>
      </c>
      <c r="AC178" s="38">
        <f>IF($B178="","",(IFERROR(INDEX(Setup!$G$33:$G$40,MATCH(C178,Setup!$B$33:$B$40,0)),0)=1)*(COUNTIF(C158:E175,$B178)+COUNTIF(C158:E175,$B178&amp;" ~*")&gt;0)+(IFERROR(INDEX(Setup!$G$33:$G$40,MATCH(G178,Setup!$B$33:$B$40,0)),0)=1)*(COUNTIF(G158:I175,$B178)+COUNTIF(G158:I175,$B178&amp;" ~*")&gt;0)+(IFERROR(INDEX(Setup!$G$33:$G$40,MATCH(K178,Setup!$B$33:$B$40,0)),0)=1)*(COUNTIF(K158:M175,$B178)+COUNTIF(K158:M175,$B178&amp;" ~*")&gt;0)+(IFERROR(INDEX(Setup!$G$33:$G$40,MATCH(O178,Setup!$B$33:$B$40,0)),0)=1)*(COUNTIF(O158:Q175,$B178)+COUNTIF(O158:Q175,$B178&amp;" ~*")&gt;0)+(IFERROR(INDEX(Setup!$G$33:$G$40,MATCH(S178,Setup!$B$33:$B$40,0)),0)=1)*(COUNTIF(S158:U175,$B178)+COUNTIF(S158:U175,$B178&amp;" ~*")&gt;0)+(IFERROR(INDEX(Setup!$G$33:$G$40,MATCH(W178,Setup!$B$33:$B$40,0)),0)=1)*(COUNTIF(W158:W175,$B178)+COUNTIF(W158:W175,$B178&amp;" ~*")&gt;0)+(IFERROR(INDEX(Setup!$G$33:$G$40,MATCH(Y178,Setup!$B$33:$B$40,0)),0)=1)*(COUNTIF(Y158:Y175,$B178)+COUNTIF(Y158:Y175,$B178&amp;" ~*")&gt;0))</f>
        <v/>
      </c>
    </row>
    <row r="179" ht="15" customHeight="1">
      <c r="A179" t="n">
        <v>4</v>
      </c>
      <c r="B179" s="35">
        <f>IF(Setup!$B$8="","",Setup!$B$8)</f>
        <v/>
      </c>
      <c r="C179" s="98" t="n"/>
      <c r="D179" s="99" t="n"/>
      <c r="E179" s="99" t="n"/>
      <c r="F179" s="100" t="n"/>
      <c r="G179" s="98" t="n"/>
      <c r="H179" s="99" t="n"/>
      <c r="I179" s="99" t="n"/>
      <c r="J179" s="100" t="n"/>
      <c r="K179" s="98" t="n"/>
      <c r="L179" s="99" t="n"/>
      <c r="M179" s="99" t="n"/>
      <c r="N179" s="100" t="n"/>
      <c r="O179" s="98" t="n"/>
      <c r="P179" s="99" t="n"/>
      <c r="Q179" s="99" t="n"/>
      <c r="R179" s="100" t="n"/>
      <c r="S179" s="98" t="n"/>
      <c r="T179" s="99" t="n"/>
      <c r="U179" s="99" t="n"/>
      <c r="V179" s="100" t="n"/>
      <c r="W179" s="98" t="n"/>
      <c r="X179" s="100" t="n"/>
      <c r="Y179" s="98" t="n"/>
      <c r="Z179" s="100" t="n"/>
      <c r="AB179" s="101">
        <f>IF($B179="","",(COUNTIF(C158:E175,$B179)+COUNTIF(C158:E175,$B179&amp;" ~*")&gt;0)+(COUNTIF(G158:I175,$B179)+COUNTIF(G158:I175,$B179&amp;" ~*")&gt;0)+(COUNTIF(K158:M175,$B179)+COUNTIF(K158:M175,$B179&amp;" ~*")&gt;0)+(COUNTIF(O158:Q175,$B179)+COUNTIF(O158:Q175,$B179&amp;" ~*")&gt;0)+(COUNTIF(S158:U175,$B179)+COUNTIF(S158:U175,$B179&amp;" ~*")&gt;0)+(COUNTIF(W158:W175,$B179)+COUNTIF(W158:W175,$B179&amp;" ~*")&gt;0)+(COUNTIF(Y158:Y175,$B179)+COUNTIF(Y158:Y175,$B179&amp;" ~*")&gt;0))</f>
        <v/>
      </c>
      <c r="AC179" s="36">
        <f>IF($B179="","",(IFERROR(INDEX(Setup!$G$33:$G$40,MATCH(C179,Setup!$B$33:$B$40,0)),0)=1)*(COUNTIF(C158:E175,$B179)+COUNTIF(C158:E175,$B179&amp;" ~*")&gt;0)+(IFERROR(INDEX(Setup!$G$33:$G$40,MATCH(G179,Setup!$B$33:$B$40,0)),0)=1)*(COUNTIF(G158:I175,$B179)+COUNTIF(G158:I175,$B179&amp;" ~*")&gt;0)+(IFERROR(INDEX(Setup!$G$33:$G$40,MATCH(K179,Setup!$B$33:$B$40,0)),0)=1)*(COUNTIF(K158:M175,$B179)+COUNTIF(K158:M175,$B179&amp;" ~*")&gt;0)+(IFERROR(INDEX(Setup!$G$33:$G$40,MATCH(O179,Setup!$B$33:$B$40,0)),0)=1)*(COUNTIF(O158:Q175,$B179)+COUNTIF(O158:Q175,$B179&amp;" ~*")&gt;0)+(IFERROR(INDEX(Setup!$G$33:$G$40,MATCH(S179,Setup!$B$33:$B$40,0)),0)=1)*(COUNTIF(S158:U175,$B179)+COUNTIF(S158:U175,$B179&amp;" ~*")&gt;0)+(IFERROR(INDEX(Setup!$G$33:$G$40,MATCH(W179,Setup!$B$33:$B$40,0)),0)=1)*(COUNTIF(W158:W175,$B179)+COUNTIF(W158:W175,$B179&amp;" ~*")&gt;0)+(IFERROR(INDEX(Setup!$G$33:$G$40,MATCH(Y179,Setup!$B$33:$B$40,0)),0)=1)*(COUNTIF(Y158:Y175,$B179)+COUNTIF(Y158:Y175,$B179&amp;" ~*")&gt;0))</f>
        <v/>
      </c>
    </row>
    <row r="180" ht="15" customHeight="1">
      <c r="A180" t="n">
        <v>4</v>
      </c>
      <c r="B180" s="37">
        <f>IF(Setup!$B$9="","",Setup!$B$9)</f>
        <v/>
      </c>
      <c r="C180" s="102" t="n"/>
      <c r="D180" s="103" t="n"/>
      <c r="E180" s="103" t="n"/>
      <c r="F180" s="104" t="n"/>
      <c r="G180" s="102" t="n"/>
      <c r="H180" s="103" t="n"/>
      <c r="I180" s="103" t="n"/>
      <c r="J180" s="104" t="n"/>
      <c r="K180" s="102" t="n"/>
      <c r="L180" s="103" t="n"/>
      <c r="M180" s="103" t="n"/>
      <c r="N180" s="104" t="n"/>
      <c r="O180" s="102" t="n"/>
      <c r="P180" s="103" t="n"/>
      <c r="Q180" s="103" t="n"/>
      <c r="R180" s="104" t="n"/>
      <c r="S180" s="102" t="n"/>
      <c r="T180" s="103" t="n"/>
      <c r="U180" s="103" t="n"/>
      <c r="V180" s="104" t="n"/>
      <c r="W180" s="102" t="n"/>
      <c r="X180" s="104" t="n"/>
      <c r="Y180" s="102" t="n"/>
      <c r="Z180" s="104" t="n"/>
      <c r="AB180" s="105">
        <f>IF($B180="","",(COUNTIF(C158:E175,$B180)+COUNTIF(C158:E175,$B180&amp;" ~*")&gt;0)+(COUNTIF(G158:I175,$B180)+COUNTIF(G158:I175,$B180&amp;" ~*")&gt;0)+(COUNTIF(K158:M175,$B180)+COUNTIF(K158:M175,$B180&amp;" ~*")&gt;0)+(COUNTIF(O158:Q175,$B180)+COUNTIF(O158:Q175,$B180&amp;" ~*")&gt;0)+(COUNTIF(S158:U175,$B180)+COUNTIF(S158:U175,$B180&amp;" ~*")&gt;0)+(COUNTIF(W158:W175,$B180)+COUNTIF(W158:W175,$B180&amp;" ~*")&gt;0)+(COUNTIF(Y158:Y175,$B180)+COUNTIF(Y158:Y175,$B180&amp;" ~*")&gt;0))</f>
        <v/>
      </c>
      <c r="AC180" s="38">
        <f>IF($B180="","",(IFERROR(INDEX(Setup!$G$33:$G$40,MATCH(C180,Setup!$B$33:$B$40,0)),0)=1)*(COUNTIF(C158:E175,$B180)+COUNTIF(C158:E175,$B180&amp;" ~*")&gt;0)+(IFERROR(INDEX(Setup!$G$33:$G$40,MATCH(G180,Setup!$B$33:$B$40,0)),0)=1)*(COUNTIF(G158:I175,$B180)+COUNTIF(G158:I175,$B180&amp;" ~*")&gt;0)+(IFERROR(INDEX(Setup!$G$33:$G$40,MATCH(K180,Setup!$B$33:$B$40,0)),0)=1)*(COUNTIF(K158:M175,$B180)+COUNTIF(K158:M175,$B180&amp;" ~*")&gt;0)+(IFERROR(INDEX(Setup!$G$33:$G$40,MATCH(O180,Setup!$B$33:$B$40,0)),0)=1)*(COUNTIF(O158:Q175,$B180)+COUNTIF(O158:Q175,$B180&amp;" ~*")&gt;0)+(IFERROR(INDEX(Setup!$G$33:$G$40,MATCH(S180,Setup!$B$33:$B$40,0)),0)=1)*(COUNTIF(S158:U175,$B180)+COUNTIF(S158:U175,$B180&amp;" ~*")&gt;0)+(IFERROR(INDEX(Setup!$G$33:$G$40,MATCH(W180,Setup!$B$33:$B$40,0)),0)=1)*(COUNTIF(W158:W175,$B180)+COUNTIF(W158:W175,$B180&amp;" ~*")&gt;0)+(IFERROR(INDEX(Setup!$G$33:$G$40,MATCH(Y180,Setup!$B$33:$B$40,0)),0)=1)*(COUNTIF(Y158:Y175,$B180)+COUNTIF(Y158:Y175,$B180&amp;" ~*")&gt;0))</f>
        <v/>
      </c>
    </row>
    <row r="181" ht="15" customHeight="1">
      <c r="A181" t="n">
        <v>4</v>
      </c>
      <c r="B181" s="35">
        <f>IF(Setup!$B$10="","",Setup!$B$10)</f>
        <v/>
      </c>
      <c r="C181" s="98" t="n"/>
      <c r="D181" s="99" t="n"/>
      <c r="E181" s="99" t="n"/>
      <c r="F181" s="100" t="n"/>
      <c r="G181" s="98" t="n"/>
      <c r="H181" s="99" t="n"/>
      <c r="I181" s="99" t="n"/>
      <c r="J181" s="100" t="n"/>
      <c r="K181" s="98" t="n"/>
      <c r="L181" s="99" t="n"/>
      <c r="M181" s="99" t="n"/>
      <c r="N181" s="100" t="n"/>
      <c r="O181" s="98" t="n"/>
      <c r="P181" s="99" t="n"/>
      <c r="Q181" s="99" t="n"/>
      <c r="R181" s="100" t="n"/>
      <c r="S181" s="98" t="n"/>
      <c r="T181" s="99" t="n"/>
      <c r="U181" s="99" t="n"/>
      <c r="V181" s="100" t="n"/>
      <c r="W181" s="98" t="n"/>
      <c r="X181" s="100" t="n"/>
      <c r="Y181" s="98" t="n"/>
      <c r="Z181" s="100" t="n"/>
      <c r="AB181" s="101">
        <f>IF($B181="","",(COUNTIF(C158:E175,$B181)+COUNTIF(C158:E175,$B181&amp;" ~*")&gt;0)+(COUNTIF(G158:I175,$B181)+COUNTIF(G158:I175,$B181&amp;" ~*")&gt;0)+(COUNTIF(K158:M175,$B181)+COUNTIF(K158:M175,$B181&amp;" ~*")&gt;0)+(COUNTIF(O158:Q175,$B181)+COUNTIF(O158:Q175,$B181&amp;" ~*")&gt;0)+(COUNTIF(S158:U175,$B181)+COUNTIF(S158:U175,$B181&amp;" ~*")&gt;0)+(COUNTIF(W158:W175,$B181)+COUNTIF(W158:W175,$B181&amp;" ~*")&gt;0)+(COUNTIF(Y158:Y175,$B181)+COUNTIF(Y158:Y175,$B181&amp;" ~*")&gt;0))</f>
        <v/>
      </c>
      <c r="AC181" s="36">
        <f>IF($B181="","",(IFERROR(INDEX(Setup!$G$33:$G$40,MATCH(C181,Setup!$B$33:$B$40,0)),0)=1)*(COUNTIF(C158:E175,$B181)+COUNTIF(C158:E175,$B181&amp;" ~*")&gt;0)+(IFERROR(INDEX(Setup!$G$33:$G$40,MATCH(G181,Setup!$B$33:$B$40,0)),0)=1)*(COUNTIF(G158:I175,$B181)+COUNTIF(G158:I175,$B181&amp;" ~*")&gt;0)+(IFERROR(INDEX(Setup!$G$33:$G$40,MATCH(K181,Setup!$B$33:$B$40,0)),0)=1)*(COUNTIF(K158:M175,$B181)+COUNTIF(K158:M175,$B181&amp;" ~*")&gt;0)+(IFERROR(INDEX(Setup!$G$33:$G$40,MATCH(O181,Setup!$B$33:$B$40,0)),0)=1)*(COUNTIF(O158:Q175,$B181)+COUNTIF(O158:Q175,$B181&amp;" ~*")&gt;0)+(IFERROR(INDEX(Setup!$G$33:$G$40,MATCH(S181,Setup!$B$33:$B$40,0)),0)=1)*(COUNTIF(S158:U175,$B181)+COUNTIF(S158:U175,$B181&amp;" ~*")&gt;0)+(IFERROR(INDEX(Setup!$G$33:$G$40,MATCH(W181,Setup!$B$33:$B$40,0)),0)=1)*(COUNTIF(W158:W175,$B181)+COUNTIF(W158:W175,$B181&amp;" ~*")&gt;0)+(IFERROR(INDEX(Setup!$G$33:$G$40,MATCH(Y181,Setup!$B$33:$B$40,0)),0)=1)*(COUNTIF(Y158:Y175,$B181)+COUNTIF(Y158:Y175,$B181&amp;" ~*")&gt;0))</f>
        <v/>
      </c>
    </row>
    <row r="182" ht="15" customHeight="1">
      <c r="A182" t="n">
        <v>4</v>
      </c>
      <c r="B182" s="37">
        <f>IF(Setup!$B$11="","",Setup!$B$11)</f>
        <v/>
      </c>
      <c r="C182" s="102" t="n"/>
      <c r="D182" s="103" t="n"/>
      <c r="E182" s="103" t="n"/>
      <c r="F182" s="104" t="n"/>
      <c r="G182" s="102" t="n"/>
      <c r="H182" s="103" t="n"/>
      <c r="I182" s="103" t="n"/>
      <c r="J182" s="104" t="n"/>
      <c r="K182" s="102" t="n"/>
      <c r="L182" s="103" t="n"/>
      <c r="M182" s="103" t="n"/>
      <c r="N182" s="104" t="n"/>
      <c r="O182" s="102" t="n"/>
      <c r="P182" s="103" t="n"/>
      <c r="Q182" s="103" t="n"/>
      <c r="R182" s="104" t="n"/>
      <c r="S182" s="102" t="n"/>
      <c r="T182" s="103" t="n"/>
      <c r="U182" s="103" t="n"/>
      <c r="V182" s="104" t="n"/>
      <c r="W182" s="102" t="n"/>
      <c r="X182" s="104" t="n"/>
      <c r="Y182" s="102" t="n"/>
      <c r="Z182" s="104" t="n"/>
      <c r="AB182" s="105">
        <f>IF($B182="","",(COUNTIF(C158:E175,$B182)+COUNTIF(C158:E175,$B182&amp;" ~*")&gt;0)+(COUNTIF(G158:I175,$B182)+COUNTIF(G158:I175,$B182&amp;" ~*")&gt;0)+(COUNTIF(K158:M175,$B182)+COUNTIF(K158:M175,$B182&amp;" ~*")&gt;0)+(COUNTIF(O158:Q175,$B182)+COUNTIF(O158:Q175,$B182&amp;" ~*")&gt;0)+(COUNTIF(S158:U175,$B182)+COUNTIF(S158:U175,$B182&amp;" ~*")&gt;0)+(COUNTIF(W158:W175,$B182)+COUNTIF(W158:W175,$B182&amp;" ~*")&gt;0)+(COUNTIF(Y158:Y175,$B182)+COUNTIF(Y158:Y175,$B182&amp;" ~*")&gt;0))</f>
        <v/>
      </c>
      <c r="AC182" s="38">
        <f>IF($B182="","",(IFERROR(INDEX(Setup!$G$33:$G$40,MATCH(C182,Setup!$B$33:$B$40,0)),0)=1)*(COUNTIF(C158:E175,$B182)+COUNTIF(C158:E175,$B182&amp;" ~*")&gt;0)+(IFERROR(INDEX(Setup!$G$33:$G$40,MATCH(G182,Setup!$B$33:$B$40,0)),0)=1)*(COUNTIF(G158:I175,$B182)+COUNTIF(G158:I175,$B182&amp;" ~*")&gt;0)+(IFERROR(INDEX(Setup!$G$33:$G$40,MATCH(K182,Setup!$B$33:$B$40,0)),0)=1)*(COUNTIF(K158:M175,$B182)+COUNTIF(K158:M175,$B182&amp;" ~*")&gt;0)+(IFERROR(INDEX(Setup!$G$33:$G$40,MATCH(O182,Setup!$B$33:$B$40,0)),0)=1)*(COUNTIF(O158:Q175,$B182)+COUNTIF(O158:Q175,$B182&amp;" ~*")&gt;0)+(IFERROR(INDEX(Setup!$G$33:$G$40,MATCH(S182,Setup!$B$33:$B$40,0)),0)=1)*(COUNTIF(S158:U175,$B182)+COUNTIF(S158:U175,$B182&amp;" ~*")&gt;0)+(IFERROR(INDEX(Setup!$G$33:$G$40,MATCH(W182,Setup!$B$33:$B$40,0)),0)=1)*(COUNTIF(W158:W175,$B182)+COUNTIF(W158:W175,$B182&amp;" ~*")&gt;0)+(IFERROR(INDEX(Setup!$G$33:$G$40,MATCH(Y182,Setup!$B$33:$B$40,0)),0)=1)*(COUNTIF(Y158:Y175,$B182)+COUNTIF(Y158:Y175,$B182&amp;" ~*")&gt;0))</f>
        <v/>
      </c>
    </row>
    <row r="183" ht="15" customHeight="1">
      <c r="A183" t="n">
        <v>4</v>
      </c>
      <c r="B183" s="35">
        <f>IF(Setup!$B$12="","",Setup!$B$12)</f>
        <v/>
      </c>
      <c r="C183" s="98" t="n"/>
      <c r="D183" s="99" t="n"/>
      <c r="E183" s="99" t="n"/>
      <c r="F183" s="100" t="n"/>
      <c r="G183" s="98" t="n"/>
      <c r="H183" s="99" t="n"/>
      <c r="I183" s="99" t="n"/>
      <c r="J183" s="100" t="n"/>
      <c r="K183" s="98" t="n"/>
      <c r="L183" s="99" t="n"/>
      <c r="M183" s="99" t="n"/>
      <c r="N183" s="100" t="n"/>
      <c r="O183" s="98" t="n"/>
      <c r="P183" s="99" t="n"/>
      <c r="Q183" s="99" t="n"/>
      <c r="R183" s="100" t="n"/>
      <c r="S183" s="98" t="n"/>
      <c r="T183" s="99" t="n"/>
      <c r="U183" s="99" t="n"/>
      <c r="V183" s="100" t="n"/>
      <c r="W183" s="98" t="n"/>
      <c r="X183" s="100" t="n"/>
      <c r="Y183" s="98" t="n"/>
      <c r="Z183" s="100" t="n"/>
      <c r="AB183" s="101">
        <f>IF($B183="","",(COUNTIF(C158:E175,$B183)+COUNTIF(C158:E175,$B183&amp;" ~*")&gt;0)+(COUNTIF(G158:I175,$B183)+COUNTIF(G158:I175,$B183&amp;" ~*")&gt;0)+(COUNTIF(K158:M175,$B183)+COUNTIF(K158:M175,$B183&amp;" ~*")&gt;0)+(COUNTIF(O158:Q175,$B183)+COUNTIF(O158:Q175,$B183&amp;" ~*")&gt;0)+(COUNTIF(S158:U175,$B183)+COUNTIF(S158:U175,$B183&amp;" ~*")&gt;0)+(COUNTIF(W158:W175,$B183)+COUNTIF(W158:W175,$B183&amp;" ~*")&gt;0)+(COUNTIF(Y158:Y175,$B183)+COUNTIF(Y158:Y175,$B183&amp;" ~*")&gt;0))</f>
        <v/>
      </c>
      <c r="AC183" s="36">
        <f>IF($B183="","",(IFERROR(INDEX(Setup!$G$33:$G$40,MATCH(C183,Setup!$B$33:$B$40,0)),0)=1)*(COUNTIF(C158:E175,$B183)+COUNTIF(C158:E175,$B183&amp;" ~*")&gt;0)+(IFERROR(INDEX(Setup!$G$33:$G$40,MATCH(G183,Setup!$B$33:$B$40,0)),0)=1)*(COUNTIF(G158:I175,$B183)+COUNTIF(G158:I175,$B183&amp;" ~*")&gt;0)+(IFERROR(INDEX(Setup!$G$33:$G$40,MATCH(K183,Setup!$B$33:$B$40,0)),0)=1)*(COUNTIF(K158:M175,$B183)+COUNTIF(K158:M175,$B183&amp;" ~*")&gt;0)+(IFERROR(INDEX(Setup!$G$33:$G$40,MATCH(O183,Setup!$B$33:$B$40,0)),0)=1)*(COUNTIF(O158:Q175,$B183)+COUNTIF(O158:Q175,$B183&amp;" ~*")&gt;0)+(IFERROR(INDEX(Setup!$G$33:$G$40,MATCH(S183,Setup!$B$33:$B$40,0)),0)=1)*(COUNTIF(S158:U175,$B183)+COUNTIF(S158:U175,$B183&amp;" ~*")&gt;0)+(IFERROR(INDEX(Setup!$G$33:$G$40,MATCH(W183,Setup!$B$33:$B$40,0)),0)=1)*(COUNTIF(W158:W175,$B183)+COUNTIF(W158:W175,$B183&amp;" ~*")&gt;0)+(IFERROR(INDEX(Setup!$G$33:$G$40,MATCH(Y183,Setup!$B$33:$B$40,0)),0)=1)*(COUNTIF(Y158:Y175,$B183)+COUNTIF(Y158:Y175,$B183&amp;" ~*")&gt;0))</f>
        <v/>
      </c>
    </row>
    <row r="184" ht="15" customHeight="1">
      <c r="A184" t="n">
        <v>4</v>
      </c>
      <c r="B184" s="37">
        <f>IF(Setup!$B$13="","",Setup!$B$13)</f>
        <v/>
      </c>
      <c r="C184" s="102" t="n"/>
      <c r="D184" s="103" t="n"/>
      <c r="E184" s="103" t="n"/>
      <c r="F184" s="104" t="n"/>
      <c r="G184" s="102" t="n"/>
      <c r="H184" s="103" t="n"/>
      <c r="I184" s="103" t="n"/>
      <c r="J184" s="104" t="n"/>
      <c r="K184" s="102" t="n"/>
      <c r="L184" s="103" t="n"/>
      <c r="M184" s="103" t="n"/>
      <c r="N184" s="104" t="n"/>
      <c r="O184" s="102" t="n"/>
      <c r="P184" s="103" t="n"/>
      <c r="Q184" s="103" t="n"/>
      <c r="R184" s="104" t="n"/>
      <c r="S184" s="102" t="n"/>
      <c r="T184" s="103" t="n"/>
      <c r="U184" s="103" t="n"/>
      <c r="V184" s="104" t="n"/>
      <c r="W184" s="102" t="n"/>
      <c r="X184" s="104" t="n"/>
      <c r="Y184" s="102" t="n"/>
      <c r="Z184" s="104" t="n"/>
      <c r="AB184" s="105">
        <f>IF($B184="","",(COUNTIF(C158:E175,$B184)+COUNTIF(C158:E175,$B184&amp;" ~*")&gt;0)+(COUNTIF(G158:I175,$B184)+COUNTIF(G158:I175,$B184&amp;" ~*")&gt;0)+(COUNTIF(K158:M175,$B184)+COUNTIF(K158:M175,$B184&amp;" ~*")&gt;0)+(COUNTIF(O158:Q175,$B184)+COUNTIF(O158:Q175,$B184&amp;" ~*")&gt;0)+(COUNTIF(S158:U175,$B184)+COUNTIF(S158:U175,$B184&amp;" ~*")&gt;0)+(COUNTIF(W158:W175,$B184)+COUNTIF(W158:W175,$B184&amp;" ~*")&gt;0)+(COUNTIF(Y158:Y175,$B184)+COUNTIF(Y158:Y175,$B184&amp;" ~*")&gt;0))</f>
        <v/>
      </c>
      <c r="AC184" s="38">
        <f>IF($B184="","",(IFERROR(INDEX(Setup!$G$33:$G$40,MATCH(C184,Setup!$B$33:$B$40,0)),0)=1)*(COUNTIF(C158:E175,$B184)+COUNTIF(C158:E175,$B184&amp;" ~*")&gt;0)+(IFERROR(INDEX(Setup!$G$33:$G$40,MATCH(G184,Setup!$B$33:$B$40,0)),0)=1)*(COUNTIF(G158:I175,$B184)+COUNTIF(G158:I175,$B184&amp;" ~*")&gt;0)+(IFERROR(INDEX(Setup!$G$33:$G$40,MATCH(K184,Setup!$B$33:$B$40,0)),0)=1)*(COUNTIF(K158:M175,$B184)+COUNTIF(K158:M175,$B184&amp;" ~*")&gt;0)+(IFERROR(INDEX(Setup!$G$33:$G$40,MATCH(O184,Setup!$B$33:$B$40,0)),0)=1)*(COUNTIF(O158:Q175,$B184)+COUNTIF(O158:Q175,$B184&amp;" ~*")&gt;0)+(IFERROR(INDEX(Setup!$G$33:$G$40,MATCH(S184,Setup!$B$33:$B$40,0)),0)=1)*(COUNTIF(S158:U175,$B184)+COUNTIF(S158:U175,$B184&amp;" ~*")&gt;0)+(IFERROR(INDEX(Setup!$G$33:$G$40,MATCH(W184,Setup!$B$33:$B$40,0)),0)=1)*(COUNTIF(W158:W175,$B184)+COUNTIF(W158:W175,$B184&amp;" ~*")&gt;0)+(IFERROR(INDEX(Setup!$G$33:$G$40,MATCH(Y184,Setup!$B$33:$B$40,0)),0)=1)*(COUNTIF(Y158:Y175,$B184)+COUNTIF(Y158:Y175,$B184&amp;" ~*")&gt;0))</f>
        <v/>
      </c>
    </row>
    <row r="185" ht="15" customHeight="1">
      <c r="A185" t="n">
        <v>4</v>
      </c>
      <c r="B185" s="35">
        <f>IF(Setup!$B$14="","",Setup!$B$14)</f>
        <v/>
      </c>
      <c r="C185" s="98" t="n"/>
      <c r="D185" s="99" t="n"/>
      <c r="E185" s="99" t="n"/>
      <c r="F185" s="100" t="n"/>
      <c r="G185" s="98" t="n"/>
      <c r="H185" s="99" t="n"/>
      <c r="I185" s="99" t="n"/>
      <c r="J185" s="100" t="n"/>
      <c r="K185" s="98" t="n"/>
      <c r="L185" s="99" t="n"/>
      <c r="M185" s="99" t="n"/>
      <c r="N185" s="100" t="n"/>
      <c r="O185" s="98" t="n"/>
      <c r="P185" s="99" t="n"/>
      <c r="Q185" s="99" t="n"/>
      <c r="R185" s="100" t="n"/>
      <c r="S185" s="98" t="n"/>
      <c r="T185" s="99" t="n"/>
      <c r="U185" s="99" t="n"/>
      <c r="V185" s="100" t="n"/>
      <c r="W185" s="98" t="n"/>
      <c r="X185" s="100" t="n"/>
      <c r="Y185" s="98" t="n"/>
      <c r="Z185" s="100" t="n"/>
      <c r="AB185" s="101">
        <f>IF($B185="","",(COUNTIF(C158:E175,$B185)+COUNTIF(C158:E175,$B185&amp;" ~*")&gt;0)+(COUNTIF(G158:I175,$B185)+COUNTIF(G158:I175,$B185&amp;" ~*")&gt;0)+(COUNTIF(K158:M175,$B185)+COUNTIF(K158:M175,$B185&amp;" ~*")&gt;0)+(COUNTIF(O158:Q175,$B185)+COUNTIF(O158:Q175,$B185&amp;" ~*")&gt;0)+(COUNTIF(S158:U175,$B185)+COUNTIF(S158:U175,$B185&amp;" ~*")&gt;0)+(COUNTIF(W158:W175,$B185)+COUNTIF(W158:W175,$B185&amp;" ~*")&gt;0)+(COUNTIF(Y158:Y175,$B185)+COUNTIF(Y158:Y175,$B185&amp;" ~*")&gt;0))</f>
        <v/>
      </c>
      <c r="AC185" s="36">
        <f>IF($B185="","",(IFERROR(INDEX(Setup!$G$33:$G$40,MATCH(C185,Setup!$B$33:$B$40,0)),0)=1)*(COUNTIF(C158:E175,$B185)+COUNTIF(C158:E175,$B185&amp;" ~*")&gt;0)+(IFERROR(INDEX(Setup!$G$33:$G$40,MATCH(G185,Setup!$B$33:$B$40,0)),0)=1)*(COUNTIF(G158:I175,$B185)+COUNTIF(G158:I175,$B185&amp;" ~*")&gt;0)+(IFERROR(INDEX(Setup!$G$33:$G$40,MATCH(K185,Setup!$B$33:$B$40,0)),0)=1)*(COUNTIF(K158:M175,$B185)+COUNTIF(K158:M175,$B185&amp;" ~*")&gt;0)+(IFERROR(INDEX(Setup!$G$33:$G$40,MATCH(O185,Setup!$B$33:$B$40,0)),0)=1)*(COUNTIF(O158:Q175,$B185)+COUNTIF(O158:Q175,$B185&amp;" ~*")&gt;0)+(IFERROR(INDEX(Setup!$G$33:$G$40,MATCH(S185,Setup!$B$33:$B$40,0)),0)=1)*(COUNTIF(S158:U175,$B185)+COUNTIF(S158:U175,$B185&amp;" ~*")&gt;0)+(IFERROR(INDEX(Setup!$G$33:$G$40,MATCH(W185,Setup!$B$33:$B$40,0)),0)=1)*(COUNTIF(W158:W175,$B185)+COUNTIF(W158:W175,$B185&amp;" ~*")&gt;0)+(IFERROR(INDEX(Setup!$G$33:$G$40,MATCH(Y185,Setup!$B$33:$B$40,0)),0)=1)*(COUNTIF(Y158:Y175,$B185)+COUNTIF(Y158:Y175,$B185&amp;" ~*")&gt;0))</f>
        <v/>
      </c>
    </row>
    <row r="186" ht="15" customHeight="1">
      <c r="A186" t="n">
        <v>4</v>
      </c>
      <c r="B186" s="37">
        <f>IF(Setup!$B$15="","",Setup!$B$15)</f>
        <v/>
      </c>
      <c r="C186" s="102" t="n"/>
      <c r="D186" s="103" t="n"/>
      <c r="E186" s="103" t="n"/>
      <c r="F186" s="104" t="n"/>
      <c r="G186" s="102" t="n"/>
      <c r="H186" s="103" t="n"/>
      <c r="I186" s="103" t="n"/>
      <c r="J186" s="104" t="n"/>
      <c r="K186" s="102" t="n"/>
      <c r="L186" s="103" t="n"/>
      <c r="M186" s="103" t="n"/>
      <c r="N186" s="104" t="n"/>
      <c r="O186" s="102" t="n"/>
      <c r="P186" s="103" t="n"/>
      <c r="Q186" s="103" t="n"/>
      <c r="R186" s="104" t="n"/>
      <c r="S186" s="102" t="n"/>
      <c r="T186" s="103" t="n"/>
      <c r="U186" s="103" t="n"/>
      <c r="V186" s="104" t="n"/>
      <c r="W186" s="102" t="n"/>
      <c r="X186" s="104" t="n"/>
      <c r="Y186" s="102" t="n"/>
      <c r="Z186" s="104" t="n"/>
      <c r="AB186" s="105">
        <f>IF($B186="","",(COUNTIF(C158:E175,$B186)+COUNTIF(C158:E175,$B186&amp;" ~*")&gt;0)+(COUNTIF(G158:I175,$B186)+COUNTIF(G158:I175,$B186&amp;" ~*")&gt;0)+(COUNTIF(K158:M175,$B186)+COUNTIF(K158:M175,$B186&amp;" ~*")&gt;0)+(COUNTIF(O158:Q175,$B186)+COUNTIF(O158:Q175,$B186&amp;" ~*")&gt;0)+(COUNTIF(S158:U175,$B186)+COUNTIF(S158:U175,$B186&amp;" ~*")&gt;0)+(COUNTIF(W158:W175,$B186)+COUNTIF(W158:W175,$B186&amp;" ~*")&gt;0)+(COUNTIF(Y158:Y175,$B186)+COUNTIF(Y158:Y175,$B186&amp;" ~*")&gt;0))</f>
        <v/>
      </c>
      <c r="AC186" s="38">
        <f>IF($B186="","",(IFERROR(INDEX(Setup!$G$33:$G$40,MATCH(C186,Setup!$B$33:$B$40,0)),0)=1)*(COUNTIF(C158:E175,$B186)+COUNTIF(C158:E175,$B186&amp;" ~*")&gt;0)+(IFERROR(INDEX(Setup!$G$33:$G$40,MATCH(G186,Setup!$B$33:$B$40,0)),0)=1)*(COUNTIF(G158:I175,$B186)+COUNTIF(G158:I175,$B186&amp;" ~*")&gt;0)+(IFERROR(INDEX(Setup!$G$33:$G$40,MATCH(K186,Setup!$B$33:$B$40,0)),0)=1)*(COUNTIF(K158:M175,$B186)+COUNTIF(K158:M175,$B186&amp;" ~*")&gt;0)+(IFERROR(INDEX(Setup!$G$33:$G$40,MATCH(O186,Setup!$B$33:$B$40,0)),0)=1)*(COUNTIF(O158:Q175,$B186)+COUNTIF(O158:Q175,$B186&amp;" ~*")&gt;0)+(IFERROR(INDEX(Setup!$G$33:$G$40,MATCH(S186,Setup!$B$33:$B$40,0)),0)=1)*(COUNTIF(S158:U175,$B186)+COUNTIF(S158:U175,$B186&amp;" ~*")&gt;0)+(IFERROR(INDEX(Setup!$G$33:$G$40,MATCH(W186,Setup!$B$33:$B$40,0)),0)=1)*(COUNTIF(W158:W175,$B186)+COUNTIF(W158:W175,$B186&amp;" ~*")&gt;0)+(IFERROR(INDEX(Setup!$G$33:$G$40,MATCH(Y186,Setup!$B$33:$B$40,0)),0)=1)*(COUNTIF(Y158:Y175,$B186)+COUNTIF(Y158:Y175,$B186&amp;" ~*")&gt;0))</f>
        <v/>
      </c>
    </row>
    <row r="187" ht="15" customHeight="1">
      <c r="A187" t="n">
        <v>4</v>
      </c>
      <c r="B187" s="35">
        <f>IF(Setup!$B$16="","",Setup!$B$16)</f>
        <v/>
      </c>
      <c r="C187" s="98" t="n"/>
      <c r="D187" s="99" t="n"/>
      <c r="E187" s="99" t="n"/>
      <c r="F187" s="100" t="n"/>
      <c r="G187" s="98" t="n"/>
      <c r="H187" s="99" t="n"/>
      <c r="I187" s="99" t="n"/>
      <c r="J187" s="100" t="n"/>
      <c r="K187" s="98" t="n"/>
      <c r="L187" s="99" t="n"/>
      <c r="M187" s="99" t="n"/>
      <c r="N187" s="100" t="n"/>
      <c r="O187" s="98" t="n"/>
      <c r="P187" s="99" t="n"/>
      <c r="Q187" s="99" t="n"/>
      <c r="R187" s="100" t="n"/>
      <c r="S187" s="98" t="n"/>
      <c r="T187" s="99" t="n"/>
      <c r="U187" s="99" t="n"/>
      <c r="V187" s="100" t="n"/>
      <c r="W187" s="98" t="n"/>
      <c r="X187" s="100" t="n"/>
      <c r="Y187" s="98" t="n"/>
      <c r="Z187" s="100" t="n"/>
      <c r="AB187" s="101">
        <f>IF($B187="","",(COUNTIF(C158:E175,$B187)+COUNTIF(C158:E175,$B187&amp;" ~*")&gt;0)+(COUNTIF(G158:I175,$B187)+COUNTIF(G158:I175,$B187&amp;" ~*")&gt;0)+(COUNTIF(K158:M175,$B187)+COUNTIF(K158:M175,$B187&amp;" ~*")&gt;0)+(COUNTIF(O158:Q175,$B187)+COUNTIF(O158:Q175,$B187&amp;" ~*")&gt;0)+(COUNTIF(S158:U175,$B187)+COUNTIF(S158:U175,$B187&amp;" ~*")&gt;0)+(COUNTIF(W158:W175,$B187)+COUNTIF(W158:W175,$B187&amp;" ~*")&gt;0)+(COUNTIF(Y158:Y175,$B187)+COUNTIF(Y158:Y175,$B187&amp;" ~*")&gt;0))</f>
        <v/>
      </c>
      <c r="AC187" s="36">
        <f>IF($B187="","",(IFERROR(INDEX(Setup!$G$33:$G$40,MATCH(C187,Setup!$B$33:$B$40,0)),0)=1)*(COUNTIF(C158:E175,$B187)+COUNTIF(C158:E175,$B187&amp;" ~*")&gt;0)+(IFERROR(INDEX(Setup!$G$33:$G$40,MATCH(G187,Setup!$B$33:$B$40,0)),0)=1)*(COUNTIF(G158:I175,$B187)+COUNTIF(G158:I175,$B187&amp;" ~*")&gt;0)+(IFERROR(INDEX(Setup!$G$33:$G$40,MATCH(K187,Setup!$B$33:$B$40,0)),0)=1)*(COUNTIF(K158:M175,$B187)+COUNTIF(K158:M175,$B187&amp;" ~*")&gt;0)+(IFERROR(INDEX(Setup!$G$33:$G$40,MATCH(O187,Setup!$B$33:$B$40,0)),0)=1)*(COUNTIF(O158:Q175,$B187)+COUNTIF(O158:Q175,$B187&amp;" ~*")&gt;0)+(IFERROR(INDEX(Setup!$G$33:$G$40,MATCH(S187,Setup!$B$33:$B$40,0)),0)=1)*(COUNTIF(S158:U175,$B187)+COUNTIF(S158:U175,$B187&amp;" ~*")&gt;0)+(IFERROR(INDEX(Setup!$G$33:$G$40,MATCH(W187,Setup!$B$33:$B$40,0)),0)=1)*(COUNTIF(W158:W175,$B187)+COUNTIF(W158:W175,$B187&amp;" ~*")&gt;0)+(IFERROR(INDEX(Setup!$G$33:$G$40,MATCH(Y187,Setup!$B$33:$B$40,0)),0)=1)*(COUNTIF(Y158:Y175,$B187)+COUNTIF(Y158:Y175,$B187&amp;" ~*")&gt;0))</f>
        <v/>
      </c>
    </row>
    <row r="188" ht="15" customHeight="1">
      <c r="A188" t="n">
        <v>4</v>
      </c>
      <c r="B188" s="37">
        <f>IF(Setup!$B$17="","",Setup!$B$17)</f>
        <v/>
      </c>
      <c r="C188" s="102" t="n"/>
      <c r="D188" s="103" t="n"/>
      <c r="E188" s="103" t="n"/>
      <c r="F188" s="104" t="n"/>
      <c r="G188" s="102" t="n"/>
      <c r="H188" s="103" t="n"/>
      <c r="I188" s="103" t="n"/>
      <c r="J188" s="104" t="n"/>
      <c r="K188" s="102" t="n"/>
      <c r="L188" s="103" t="n"/>
      <c r="M188" s="103" t="n"/>
      <c r="N188" s="104" t="n"/>
      <c r="O188" s="102" t="n"/>
      <c r="P188" s="103" t="n"/>
      <c r="Q188" s="103" t="n"/>
      <c r="R188" s="104" t="n"/>
      <c r="S188" s="102" t="n"/>
      <c r="T188" s="103" t="n"/>
      <c r="U188" s="103" t="n"/>
      <c r="V188" s="104" t="n"/>
      <c r="W188" s="102" t="n"/>
      <c r="X188" s="104" t="n"/>
      <c r="Y188" s="102" t="n"/>
      <c r="Z188" s="104" t="n"/>
      <c r="AB188" s="105">
        <f>IF($B188="","",(COUNTIF(C158:E175,$B188)+COUNTIF(C158:E175,$B188&amp;" ~*")&gt;0)+(COUNTIF(G158:I175,$B188)+COUNTIF(G158:I175,$B188&amp;" ~*")&gt;0)+(COUNTIF(K158:M175,$B188)+COUNTIF(K158:M175,$B188&amp;" ~*")&gt;0)+(COUNTIF(O158:Q175,$B188)+COUNTIF(O158:Q175,$B188&amp;" ~*")&gt;0)+(COUNTIF(S158:U175,$B188)+COUNTIF(S158:U175,$B188&amp;" ~*")&gt;0)+(COUNTIF(W158:W175,$B188)+COUNTIF(W158:W175,$B188&amp;" ~*")&gt;0)+(COUNTIF(Y158:Y175,$B188)+COUNTIF(Y158:Y175,$B188&amp;" ~*")&gt;0))</f>
        <v/>
      </c>
      <c r="AC188" s="38">
        <f>IF($B188="","",(IFERROR(INDEX(Setup!$G$33:$G$40,MATCH(C188,Setup!$B$33:$B$40,0)),0)=1)*(COUNTIF(C158:E175,$B188)+COUNTIF(C158:E175,$B188&amp;" ~*")&gt;0)+(IFERROR(INDEX(Setup!$G$33:$G$40,MATCH(G188,Setup!$B$33:$B$40,0)),0)=1)*(COUNTIF(G158:I175,$B188)+COUNTIF(G158:I175,$B188&amp;" ~*")&gt;0)+(IFERROR(INDEX(Setup!$G$33:$G$40,MATCH(K188,Setup!$B$33:$B$40,0)),0)=1)*(COUNTIF(K158:M175,$B188)+COUNTIF(K158:M175,$B188&amp;" ~*")&gt;0)+(IFERROR(INDEX(Setup!$G$33:$G$40,MATCH(O188,Setup!$B$33:$B$40,0)),0)=1)*(COUNTIF(O158:Q175,$B188)+COUNTIF(O158:Q175,$B188&amp;" ~*")&gt;0)+(IFERROR(INDEX(Setup!$G$33:$G$40,MATCH(S188,Setup!$B$33:$B$40,0)),0)=1)*(COUNTIF(S158:U175,$B188)+COUNTIF(S158:U175,$B188&amp;" ~*")&gt;0)+(IFERROR(INDEX(Setup!$G$33:$G$40,MATCH(W188,Setup!$B$33:$B$40,0)),0)=1)*(COUNTIF(W158:W175,$B188)+COUNTIF(W158:W175,$B188&amp;" ~*")&gt;0)+(IFERROR(INDEX(Setup!$G$33:$G$40,MATCH(Y188,Setup!$B$33:$B$40,0)),0)=1)*(COUNTIF(Y158:Y175,$B188)+COUNTIF(Y158:Y175,$B188&amp;" ~*")&gt;0))</f>
        <v/>
      </c>
    </row>
    <row r="189" ht="15" customHeight="1">
      <c r="A189" t="n">
        <v>4</v>
      </c>
      <c r="B189" s="35">
        <f>IF(Setup!$B$18="","",Setup!$B$18)</f>
        <v/>
      </c>
      <c r="C189" s="98" t="n"/>
      <c r="D189" s="99" t="n"/>
      <c r="E189" s="99" t="n"/>
      <c r="F189" s="100" t="n"/>
      <c r="G189" s="98" t="n"/>
      <c r="H189" s="99" t="n"/>
      <c r="I189" s="99" t="n"/>
      <c r="J189" s="100" t="n"/>
      <c r="K189" s="98" t="n"/>
      <c r="L189" s="99" t="n"/>
      <c r="M189" s="99" t="n"/>
      <c r="N189" s="100" t="n"/>
      <c r="O189" s="98" t="n"/>
      <c r="P189" s="99" t="n"/>
      <c r="Q189" s="99" t="n"/>
      <c r="R189" s="100" t="n"/>
      <c r="S189" s="98" t="n"/>
      <c r="T189" s="99" t="n"/>
      <c r="U189" s="99" t="n"/>
      <c r="V189" s="100" t="n"/>
      <c r="W189" s="98" t="n"/>
      <c r="X189" s="100" t="n"/>
      <c r="Y189" s="98" t="n"/>
      <c r="Z189" s="100" t="n"/>
      <c r="AB189" s="101">
        <f>IF($B189="","",(COUNTIF(C158:E175,$B189)+COUNTIF(C158:E175,$B189&amp;" ~*")&gt;0)+(COUNTIF(G158:I175,$B189)+COUNTIF(G158:I175,$B189&amp;" ~*")&gt;0)+(COUNTIF(K158:M175,$B189)+COUNTIF(K158:M175,$B189&amp;" ~*")&gt;0)+(COUNTIF(O158:Q175,$B189)+COUNTIF(O158:Q175,$B189&amp;" ~*")&gt;0)+(COUNTIF(S158:U175,$B189)+COUNTIF(S158:U175,$B189&amp;" ~*")&gt;0)+(COUNTIF(W158:W175,$B189)+COUNTIF(W158:W175,$B189&amp;" ~*")&gt;0)+(COUNTIF(Y158:Y175,$B189)+COUNTIF(Y158:Y175,$B189&amp;" ~*")&gt;0))</f>
        <v/>
      </c>
      <c r="AC189" s="36">
        <f>IF($B189="","",(IFERROR(INDEX(Setup!$G$33:$G$40,MATCH(C189,Setup!$B$33:$B$40,0)),0)=1)*(COUNTIF(C158:E175,$B189)+COUNTIF(C158:E175,$B189&amp;" ~*")&gt;0)+(IFERROR(INDEX(Setup!$G$33:$G$40,MATCH(G189,Setup!$B$33:$B$40,0)),0)=1)*(COUNTIF(G158:I175,$B189)+COUNTIF(G158:I175,$B189&amp;" ~*")&gt;0)+(IFERROR(INDEX(Setup!$G$33:$G$40,MATCH(K189,Setup!$B$33:$B$40,0)),0)=1)*(COUNTIF(K158:M175,$B189)+COUNTIF(K158:M175,$B189&amp;" ~*")&gt;0)+(IFERROR(INDEX(Setup!$G$33:$G$40,MATCH(O189,Setup!$B$33:$B$40,0)),0)=1)*(COUNTIF(O158:Q175,$B189)+COUNTIF(O158:Q175,$B189&amp;" ~*")&gt;0)+(IFERROR(INDEX(Setup!$G$33:$G$40,MATCH(S189,Setup!$B$33:$B$40,0)),0)=1)*(COUNTIF(S158:U175,$B189)+COUNTIF(S158:U175,$B189&amp;" ~*")&gt;0)+(IFERROR(INDEX(Setup!$G$33:$G$40,MATCH(W189,Setup!$B$33:$B$40,0)),0)=1)*(COUNTIF(W158:W175,$B189)+COUNTIF(W158:W175,$B189&amp;" ~*")&gt;0)+(IFERROR(INDEX(Setup!$G$33:$G$40,MATCH(Y189,Setup!$B$33:$B$40,0)),0)=1)*(COUNTIF(Y158:Y175,$B189)+COUNTIF(Y158:Y175,$B189&amp;" ~*")&gt;0))</f>
        <v/>
      </c>
    </row>
    <row r="190" ht="15" customHeight="1">
      <c r="A190" t="n">
        <v>4</v>
      </c>
      <c r="B190" s="37">
        <f>IF(Setup!$B$19="","",Setup!$B$19)</f>
        <v/>
      </c>
      <c r="C190" s="102" t="n"/>
      <c r="D190" s="103" t="n"/>
      <c r="E190" s="103" t="n"/>
      <c r="F190" s="104" t="n"/>
      <c r="G190" s="102" t="n"/>
      <c r="H190" s="103" t="n"/>
      <c r="I190" s="103" t="n"/>
      <c r="J190" s="104" t="n"/>
      <c r="K190" s="102" t="n"/>
      <c r="L190" s="103" t="n"/>
      <c r="M190" s="103" t="n"/>
      <c r="N190" s="104" t="n"/>
      <c r="O190" s="102" t="n"/>
      <c r="P190" s="103" t="n"/>
      <c r="Q190" s="103" t="n"/>
      <c r="R190" s="104" t="n"/>
      <c r="S190" s="102" t="n"/>
      <c r="T190" s="103" t="n"/>
      <c r="U190" s="103" t="n"/>
      <c r="V190" s="104" t="n"/>
      <c r="W190" s="102" t="n"/>
      <c r="X190" s="104" t="n"/>
      <c r="Y190" s="102" t="n"/>
      <c r="Z190" s="104" t="n"/>
      <c r="AB190" s="105">
        <f>IF($B190="","",(COUNTIF(C158:E175,$B190)+COUNTIF(C158:E175,$B190&amp;" ~*")&gt;0)+(COUNTIF(G158:I175,$B190)+COUNTIF(G158:I175,$B190&amp;" ~*")&gt;0)+(COUNTIF(K158:M175,$B190)+COUNTIF(K158:M175,$B190&amp;" ~*")&gt;0)+(COUNTIF(O158:Q175,$B190)+COUNTIF(O158:Q175,$B190&amp;" ~*")&gt;0)+(COUNTIF(S158:U175,$B190)+COUNTIF(S158:U175,$B190&amp;" ~*")&gt;0)+(COUNTIF(W158:W175,$B190)+COUNTIF(W158:W175,$B190&amp;" ~*")&gt;0)+(COUNTIF(Y158:Y175,$B190)+COUNTIF(Y158:Y175,$B190&amp;" ~*")&gt;0))</f>
        <v/>
      </c>
      <c r="AC190" s="38">
        <f>IF($B190="","",(IFERROR(INDEX(Setup!$G$33:$G$40,MATCH(C190,Setup!$B$33:$B$40,0)),0)=1)*(COUNTIF(C158:E175,$B190)+COUNTIF(C158:E175,$B190&amp;" ~*")&gt;0)+(IFERROR(INDEX(Setup!$G$33:$G$40,MATCH(G190,Setup!$B$33:$B$40,0)),0)=1)*(COUNTIF(G158:I175,$B190)+COUNTIF(G158:I175,$B190&amp;" ~*")&gt;0)+(IFERROR(INDEX(Setup!$G$33:$G$40,MATCH(K190,Setup!$B$33:$B$40,0)),0)=1)*(COUNTIF(K158:M175,$B190)+COUNTIF(K158:M175,$B190&amp;" ~*")&gt;0)+(IFERROR(INDEX(Setup!$G$33:$G$40,MATCH(O190,Setup!$B$33:$B$40,0)),0)=1)*(COUNTIF(O158:Q175,$B190)+COUNTIF(O158:Q175,$B190&amp;" ~*")&gt;0)+(IFERROR(INDEX(Setup!$G$33:$G$40,MATCH(S190,Setup!$B$33:$B$40,0)),0)=1)*(COUNTIF(S158:U175,$B190)+COUNTIF(S158:U175,$B190&amp;" ~*")&gt;0)+(IFERROR(INDEX(Setup!$G$33:$G$40,MATCH(W190,Setup!$B$33:$B$40,0)),0)=1)*(COUNTIF(W158:W175,$B190)+COUNTIF(W158:W175,$B190&amp;" ~*")&gt;0)+(IFERROR(INDEX(Setup!$G$33:$G$40,MATCH(Y190,Setup!$B$33:$B$40,0)),0)=1)*(COUNTIF(Y158:Y175,$B190)+COUNTIF(Y158:Y175,$B190&amp;" ~*")&gt;0))</f>
        <v/>
      </c>
    </row>
    <row r="191" ht="15" customHeight="1">
      <c r="A191" t="n">
        <v>4</v>
      </c>
      <c r="B191" s="35">
        <f>IF(Setup!$B$20="","",Setup!$B$20)</f>
        <v/>
      </c>
      <c r="C191" s="98" t="n"/>
      <c r="D191" s="99" t="n"/>
      <c r="E191" s="99" t="n"/>
      <c r="F191" s="100" t="n"/>
      <c r="G191" s="98" t="n"/>
      <c r="H191" s="99" t="n"/>
      <c r="I191" s="99" t="n"/>
      <c r="J191" s="100" t="n"/>
      <c r="K191" s="98" t="n"/>
      <c r="L191" s="99" t="n"/>
      <c r="M191" s="99" t="n"/>
      <c r="N191" s="100" t="n"/>
      <c r="O191" s="98" t="n"/>
      <c r="P191" s="99" t="n"/>
      <c r="Q191" s="99" t="n"/>
      <c r="R191" s="100" t="n"/>
      <c r="S191" s="98" t="n"/>
      <c r="T191" s="99" t="n"/>
      <c r="U191" s="99" t="n"/>
      <c r="V191" s="100" t="n"/>
      <c r="W191" s="98" t="n"/>
      <c r="X191" s="100" t="n"/>
      <c r="Y191" s="98" t="n"/>
      <c r="Z191" s="100" t="n"/>
      <c r="AB191" s="101">
        <f>IF($B191="","",(COUNTIF(C158:E175,$B191)+COUNTIF(C158:E175,$B191&amp;" ~*")&gt;0)+(COUNTIF(G158:I175,$B191)+COUNTIF(G158:I175,$B191&amp;" ~*")&gt;0)+(COUNTIF(K158:M175,$B191)+COUNTIF(K158:M175,$B191&amp;" ~*")&gt;0)+(COUNTIF(O158:Q175,$B191)+COUNTIF(O158:Q175,$B191&amp;" ~*")&gt;0)+(COUNTIF(S158:U175,$B191)+COUNTIF(S158:U175,$B191&amp;" ~*")&gt;0)+(COUNTIF(W158:W175,$B191)+COUNTIF(W158:W175,$B191&amp;" ~*")&gt;0)+(COUNTIF(Y158:Y175,$B191)+COUNTIF(Y158:Y175,$B191&amp;" ~*")&gt;0))</f>
        <v/>
      </c>
      <c r="AC191" s="36">
        <f>IF($B191="","",(IFERROR(INDEX(Setup!$G$33:$G$40,MATCH(C191,Setup!$B$33:$B$40,0)),0)=1)*(COUNTIF(C158:E175,$B191)+COUNTIF(C158:E175,$B191&amp;" ~*")&gt;0)+(IFERROR(INDEX(Setup!$G$33:$G$40,MATCH(G191,Setup!$B$33:$B$40,0)),0)=1)*(COUNTIF(G158:I175,$B191)+COUNTIF(G158:I175,$B191&amp;" ~*")&gt;0)+(IFERROR(INDEX(Setup!$G$33:$G$40,MATCH(K191,Setup!$B$33:$B$40,0)),0)=1)*(COUNTIF(K158:M175,$B191)+COUNTIF(K158:M175,$B191&amp;" ~*")&gt;0)+(IFERROR(INDEX(Setup!$G$33:$G$40,MATCH(O191,Setup!$B$33:$B$40,0)),0)=1)*(COUNTIF(O158:Q175,$B191)+COUNTIF(O158:Q175,$B191&amp;" ~*")&gt;0)+(IFERROR(INDEX(Setup!$G$33:$G$40,MATCH(S191,Setup!$B$33:$B$40,0)),0)=1)*(COUNTIF(S158:U175,$B191)+COUNTIF(S158:U175,$B191&amp;" ~*")&gt;0)+(IFERROR(INDEX(Setup!$G$33:$G$40,MATCH(W191,Setup!$B$33:$B$40,0)),0)=1)*(COUNTIF(W158:W175,$B191)+COUNTIF(W158:W175,$B191&amp;" ~*")&gt;0)+(IFERROR(INDEX(Setup!$G$33:$G$40,MATCH(Y191,Setup!$B$33:$B$40,0)),0)=1)*(COUNTIF(Y158:Y175,$B191)+COUNTIF(Y158:Y175,$B191&amp;" ~*")&gt;0))</f>
        <v/>
      </c>
    </row>
    <row r="192" ht="15" customHeight="1">
      <c r="A192" t="n">
        <v>4</v>
      </c>
      <c r="B192" s="37">
        <f>IF(Setup!$B$21="","",Setup!$B$21)</f>
        <v/>
      </c>
      <c r="C192" s="102" t="n"/>
      <c r="D192" s="103" t="n"/>
      <c r="E192" s="103" t="n"/>
      <c r="F192" s="104" t="n"/>
      <c r="G192" s="102" t="n"/>
      <c r="H192" s="103" t="n"/>
      <c r="I192" s="103" t="n"/>
      <c r="J192" s="104" t="n"/>
      <c r="K192" s="102" t="n"/>
      <c r="L192" s="103" t="n"/>
      <c r="M192" s="103" t="n"/>
      <c r="N192" s="104" t="n"/>
      <c r="O192" s="102" t="n"/>
      <c r="P192" s="103" t="n"/>
      <c r="Q192" s="103" t="n"/>
      <c r="R192" s="104" t="n"/>
      <c r="S192" s="102" t="n"/>
      <c r="T192" s="103" t="n"/>
      <c r="U192" s="103" t="n"/>
      <c r="V192" s="104" t="n"/>
      <c r="W192" s="102" t="n"/>
      <c r="X192" s="104" t="n"/>
      <c r="Y192" s="102" t="n"/>
      <c r="Z192" s="104" t="n"/>
      <c r="AB192" s="105">
        <f>IF($B192="","",(COUNTIF(C158:E175,$B192)+COUNTIF(C158:E175,$B192&amp;" ~*")&gt;0)+(COUNTIF(G158:I175,$B192)+COUNTIF(G158:I175,$B192&amp;" ~*")&gt;0)+(COUNTIF(K158:M175,$B192)+COUNTIF(K158:M175,$B192&amp;" ~*")&gt;0)+(COUNTIF(O158:Q175,$B192)+COUNTIF(O158:Q175,$B192&amp;" ~*")&gt;0)+(COUNTIF(S158:U175,$B192)+COUNTIF(S158:U175,$B192&amp;" ~*")&gt;0)+(COUNTIF(W158:W175,$B192)+COUNTIF(W158:W175,$B192&amp;" ~*")&gt;0)+(COUNTIF(Y158:Y175,$B192)+COUNTIF(Y158:Y175,$B192&amp;" ~*")&gt;0))</f>
        <v/>
      </c>
      <c r="AC192" s="38">
        <f>IF($B192="","",(IFERROR(INDEX(Setup!$G$33:$G$40,MATCH(C192,Setup!$B$33:$B$40,0)),0)=1)*(COUNTIF(C158:E175,$B192)+COUNTIF(C158:E175,$B192&amp;" ~*")&gt;0)+(IFERROR(INDEX(Setup!$G$33:$G$40,MATCH(G192,Setup!$B$33:$B$40,0)),0)=1)*(COUNTIF(G158:I175,$B192)+COUNTIF(G158:I175,$B192&amp;" ~*")&gt;0)+(IFERROR(INDEX(Setup!$G$33:$G$40,MATCH(K192,Setup!$B$33:$B$40,0)),0)=1)*(COUNTIF(K158:M175,$B192)+COUNTIF(K158:M175,$B192&amp;" ~*")&gt;0)+(IFERROR(INDEX(Setup!$G$33:$G$40,MATCH(O192,Setup!$B$33:$B$40,0)),0)=1)*(COUNTIF(O158:Q175,$B192)+COUNTIF(O158:Q175,$B192&amp;" ~*")&gt;0)+(IFERROR(INDEX(Setup!$G$33:$G$40,MATCH(S192,Setup!$B$33:$B$40,0)),0)=1)*(COUNTIF(S158:U175,$B192)+COUNTIF(S158:U175,$B192&amp;" ~*")&gt;0)+(IFERROR(INDEX(Setup!$G$33:$G$40,MATCH(W192,Setup!$B$33:$B$40,0)),0)=1)*(COUNTIF(W158:W175,$B192)+COUNTIF(W158:W175,$B192&amp;" ~*")&gt;0)+(IFERROR(INDEX(Setup!$G$33:$G$40,MATCH(Y192,Setup!$B$33:$B$40,0)),0)=1)*(COUNTIF(Y158:Y175,$B192)+COUNTIF(Y158:Y175,$B192&amp;" ~*")&gt;0))</f>
        <v/>
      </c>
    </row>
    <row r="193" ht="15" customHeight="1">
      <c r="A193" t="n">
        <v>4</v>
      </c>
      <c r="B193" s="35">
        <f>IF(Setup!$B$22="","",Setup!$B$22)</f>
        <v/>
      </c>
      <c r="C193" s="98" t="n"/>
      <c r="D193" s="99" t="n"/>
      <c r="E193" s="99" t="n"/>
      <c r="F193" s="100" t="n"/>
      <c r="G193" s="98" t="n"/>
      <c r="H193" s="99" t="n"/>
      <c r="I193" s="99" t="n"/>
      <c r="J193" s="100" t="n"/>
      <c r="K193" s="98" t="n"/>
      <c r="L193" s="99" t="n"/>
      <c r="M193" s="99" t="n"/>
      <c r="N193" s="100" t="n"/>
      <c r="O193" s="98" t="n"/>
      <c r="P193" s="99" t="n"/>
      <c r="Q193" s="99" t="n"/>
      <c r="R193" s="100" t="n"/>
      <c r="S193" s="98" t="n"/>
      <c r="T193" s="99" t="n"/>
      <c r="U193" s="99" t="n"/>
      <c r="V193" s="100" t="n"/>
      <c r="W193" s="98" t="n"/>
      <c r="X193" s="100" t="n"/>
      <c r="Y193" s="98" t="n"/>
      <c r="Z193" s="100" t="n"/>
      <c r="AB193" s="101">
        <f>IF($B193="","",(COUNTIF(C158:E175,$B193)+COUNTIF(C158:E175,$B193&amp;" ~*")&gt;0)+(COUNTIF(G158:I175,$B193)+COUNTIF(G158:I175,$B193&amp;" ~*")&gt;0)+(COUNTIF(K158:M175,$B193)+COUNTIF(K158:M175,$B193&amp;" ~*")&gt;0)+(COUNTIF(O158:Q175,$B193)+COUNTIF(O158:Q175,$B193&amp;" ~*")&gt;0)+(COUNTIF(S158:U175,$B193)+COUNTIF(S158:U175,$B193&amp;" ~*")&gt;0)+(COUNTIF(W158:W175,$B193)+COUNTIF(W158:W175,$B193&amp;" ~*")&gt;0)+(COUNTIF(Y158:Y175,$B193)+COUNTIF(Y158:Y175,$B193&amp;" ~*")&gt;0))</f>
        <v/>
      </c>
      <c r="AC193" s="36">
        <f>IF($B193="","",(IFERROR(INDEX(Setup!$G$33:$G$40,MATCH(C193,Setup!$B$33:$B$40,0)),0)=1)*(COUNTIF(C158:E175,$B193)+COUNTIF(C158:E175,$B193&amp;" ~*")&gt;0)+(IFERROR(INDEX(Setup!$G$33:$G$40,MATCH(G193,Setup!$B$33:$B$40,0)),0)=1)*(COUNTIF(G158:I175,$B193)+COUNTIF(G158:I175,$B193&amp;" ~*")&gt;0)+(IFERROR(INDEX(Setup!$G$33:$G$40,MATCH(K193,Setup!$B$33:$B$40,0)),0)=1)*(COUNTIF(K158:M175,$B193)+COUNTIF(K158:M175,$B193&amp;" ~*")&gt;0)+(IFERROR(INDEX(Setup!$G$33:$G$40,MATCH(O193,Setup!$B$33:$B$40,0)),0)=1)*(COUNTIF(O158:Q175,$B193)+COUNTIF(O158:Q175,$B193&amp;" ~*")&gt;0)+(IFERROR(INDEX(Setup!$G$33:$G$40,MATCH(S193,Setup!$B$33:$B$40,0)),0)=1)*(COUNTIF(S158:U175,$B193)+COUNTIF(S158:U175,$B193&amp;" ~*")&gt;0)+(IFERROR(INDEX(Setup!$G$33:$G$40,MATCH(W193,Setup!$B$33:$B$40,0)),0)=1)*(COUNTIF(W158:W175,$B193)+COUNTIF(W158:W175,$B193&amp;" ~*")&gt;0)+(IFERROR(INDEX(Setup!$G$33:$G$40,MATCH(Y193,Setup!$B$33:$B$40,0)),0)=1)*(COUNTIF(Y158:Y175,$B193)+COUNTIF(Y158:Y175,$B193&amp;" ~*")&gt;0))</f>
        <v/>
      </c>
    </row>
    <row r="194" ht="15" customHeight="1">
      <c r="A194" t="n">
        <v>4</v>
      </c>
      <c r="B194" s="37">
        <f>IF(Setup!$B$23="","",Setup!$B$23)</f>
        <v/>
      </c>
      <c r="C194" s="102" t="n"/>
      <c r="D194" s="103" t="n"/>
      <c r="E194" s="103" t="n"/>
      <c r="F194" s="104" t="n"/>
      <c r="G194" s="102" t="n"/>
      <c r="H194" s="103" t="n"/>
      <c r="I194" s="103" t="n"/>
      <c r="J194" s="104" t="n"/>
      <c r="K194" s="102" t="n"/>
      <c r="L194" s="103" t="n"/>
      <c r="M194" s="103" t="n"/>
      <c r="N194" s="104" t="n"/>
      <c r="O194" s="102" t="n"/>
      <c r="P194" s="103" t="n"/>
      <c r="Q194" s="103" t="n"/>
      <c r="R194" s="104" t="n"/>
      <c r="S194" s="102" t="n"/>
      <c r="T194" s="103" t="n"/>
      <c r="U194" s="103" t="n"/>
      <c r="V194" s="104" t="n"/>
      <c r="W194" s="102" t="n"/>
      <c r="X194" s="104" t="n"/>
      <c r="Y194" s="102" t="n"/>
      <c r="Z194" s="104" t="n"/>
      <c r="AB194" s="105">
        <f>IF($B194="","",(COUNTIF(C158:E175,$B194)+COUNTIF(C158:E175,$B194&amp;" ~*")&gt;0)+(COUNTIF(G158:I175,$B194)+COUNTIF(G158:I175,$B194&amp;" ~*")&gt;0)+(COUNTIF(K158:M175,$B194)+COUNTIF(K158:M175,$B194&amp;" ~*")&gt;0)+(COUNTIF(O158:Q175,$B194)+COUNTIF(O158:Q175,$B194&amp;" ~*")&gt;0)+(COUNTIF(S158:U175,$B194)+COUNTIF(S158:U175,$B194&amp;" ~*")&gt;0)+(COUNTIF(W158:W175,$B194)+COUNTIF(W158:W175,$B194&amp;" ~*")&gt;0)+(COUNTIF(Y158:Y175,$B194)+COUNTIF(Y158:Y175,$B194&amp;" ~*")&gt;0))</f>
        <v/>
      </c>
      <c r="AC194" s="38">
        <f>IF($B194="","",(IFERROR(INDEX(Setup!$G$33:$G$40,MATCH(C194,Setup!$B$33:$B$40,0)),0)=1)*(COUNTIF(C158:E175,$B194)+COUNTIF(C158:E175,$B194&amp;" ~*")&gt;0)+(IFERROR(INDEX(Setup!$G$33:$G$40,MATCH(G194,Setup!$B$33:$B$40,0)),0)=1)*(COUNTIF(G158:I175,$B194)+COUNTIF(G158:I175,$B194&amp;" ~*")&gt;0)+(IFERROR(INDEX(Setup!$G$33:$G$40,MATCH(K194,Setup!$B$33:$B$40,0)),0)=1)*(COUNTIF(K158:M175,$B194)+COUNTIF(K158:M175,$B194&amp;" ~*")&gt;0)+(IFERROR(INDEX(Setup!$G$33:$G$40,MATCH(O194,Setup!$B$33:$B$40,0)),0)=1)*(COUNTIF(O158:Q175,$B194)+COUNTIF(O158:Q175,$B194&amp;" ~*")&gt;0)+(IFERROR(INDEX(Setup!$G$33:$G$40,MATCH(S194,Setup!$B$33:$B$40,0)),0)=1)*(COUNTIF(S158:U175,$B194)+COUNTIF(S158:U175,$B194&amp;" ~*")&gt;0)+(IFERROR(INDEX(Setup!$G$33:$G$40,MATCH(W194,Setup!$B$33:$B$40,0)),0)=1)*(COUNTIF(W158:W175,$B194)+COUNTIF(W158:W175,$B194&amp;" ~*")&gt;0)+(IFERROR(INDEX(Setup!$G$33:$G$40,MATCH(Y194,Setup!$B$33:$B$40,0)),0)=1)*(COUNTIF(Y158:Y175,$B194)+COUNTIF(Y158:Y175,$B194&amp;" ~*")&gt;0))</f>
        <v/>
      </c>
    </row>
    <row r="195" ht="15" customHeight="1">
      <c r="A195" t="n">
        <v>4</v>
      </c>
      <c r="B195" s="35">
        <f>IF(Setup!$B$24="","",Setup!$B$24)</f>
        <v/>
      </c>
      <c r="C195" s="98" t="n"/>
      <c r="D195" s="99" t="n"/>
      <c r="E195" s="99" t="n"/>
      <c r="F195" s="100" t="n"/>
      <c r="G195" s="98" t="n"/>
      <c r="H195" s="99" t="n"/>
      <c r="I195" s="99" t="n"/>
      <c r="J195" s="100" t="n"/>
      <c r="K195" s="98" t="n"/>
      <c r="L195" s="99" t="n"/>
      <c r="M195" s="99" t="n"/>
      <c r="N195" s="100" t="n"/>
      <c r="O195" s="98" t="n"/>
      <c r="P195" s="99" t="n"/>
      <c r="Q195" s="99" t="n"/>
      <c r="R195" s="100" t="n"/>
      <c r="S195" s="98" t="n"/>
      <c r="T195" s="99" t="n"/>
      <c r="U195" s="99" t="n"/>
      <c r="V195" s="100" t="n"/>
      <c r="W195" s="98" t="n"/>
      <c r="X195" s="100" t="n"/>
      <c r="Y195" s="98" t="n"/>
      <c r="Z195" s="100" t="n"/>
      <c r="AB195" s="101">
        <f>IF($B195="","",(COUNTIF(C158:E175,$B195)+COUNTIF(C158:E175,$B195&amp;" ~*")&gt;0)+(COUNTIF(G158:I175,$B195)+COUNTIF(G158:I175,$B195&amp;" ~*")&gt;0)+(COUNTIF(K158:M175,$B195)+COUNTIF(K158:M175,$B195&amp;" ~*")&gt;0)+(COUNTIF(O158:Q175,$B195)+COUNTIF(O158:Q175,$B195&amp;" ~*")&gt;0)+(COUNTIF(S158:U175,$B195)+COUNTIF(S158:U175,$B195&amp;" ~*")&gt;0)+(COUNTIF(W158:W175,$B195)+COUNTIF(W158:W175,$B195&amp;" ~*")&gt;0)+(COUNTIF(Y158:Y175,$B195)+COUNTIF(Y158:Y175,$B195&amp;" ~*")&gt;0))</f>
        <v/>
      </c>
      <c r="AC195" s="36">
        <f>IF($B195="","",(IFERROR(INDEX(Setup!$G$33:$G$40,MATCH(C195,Setup!$B$33:$B$40,0)),0)=1)*(COUNTIF(C158:E175,$B195)+COUNTIF(C158:E175,$B195&amp;" ~*")&gt;0)+(IFERROR(INDEX(Setup!$G$33:$G$40,MATCH(G195,Setup!$B$33:$B$40,0)),0)=1)*(COUNTIF(G158:I175,$B195)+COUNTIF(G158:I175,$B195&amp;" ~*")&gt;0)+(IFERROR(INDEX(Setup!$G$33:$G$40,MATCH(K195,Setup!$B$33:$B$40,0)),0)=1)*(COUNTIF(K158:M175,$B195)+COUNTIF(K158:M175,$B195&amp;" ~*")&gt;0)+(IFERROR(INDEX(Setup!$G$33:$G$40,MATCH(O195,Setup!$B$33:$B$40,0)),0)=1)*(COUNTIF(O158:Q175,$B195)+COUNTIF(O158:Q175,$B195&amp;" ~*")&gt;0)+(IFERROR(INDEX(Setup!$G$33:$G$40,MATCH(S195,Setup!$B$33:$B$40,0)),0)=1)*(COUNTIF(S158:U175,$B195)+COUNTIF(S158:U175,$B195&amp;" ~*")&gt;0)+(IFERROR(INDEX(Setup!$G$33:$G$40,MATCH(W195,Setup!$B$33:$B$40,0)),0)=1)*(COUNTIF(W158:W175,$B195)+COUNTIF(W158:W175,$B195&amp;" ~*")&gt;0)+(IFERROR(INDEX(Setup!$G$33:$G$40,MATCH(Y195,Setup!$B$33:$B$40,0)),0)=1)*(COUNTIF(Y158:Y175,$B195)+COUNTIF(Y158:Y175,$B195&amp;" ~*")&gt;0))</f>
        <v/>
      </c>
    </row>
    <row r="196" ht="15" customHeight="1">
      <c r="A196" t="n">
        <v>4</v>
      </c>
      <c r="B196" s="37">
        <f>IF(Setup!$B$25="","",Setup!$B$25)</f>
        <v/>
      </c>
      <c r="C196" s="102" t="n"/>
      <c r="D196" s="103" t="n"/>
      <c r="E196" s="103" t="n"/>
      <c r="F196" s="104" t="n"/>
      <c r="G196" s="102" t="n"/>
      <c r="H196" s="103" t="n"/>
      <c r="I196" s="103" t="n"/>
      <c r="J196" s="104" t="n"/>
      <c r="K196" s="102" t="n"/>
      <c r="L196" s="103" t="n"/>
      <c r="M196" s="103" t="n"/>
      <c r="N196" s="104" t="n"/>
      <c r="O196" s="102" t="n"/>
      <c r="P196" s="103" t="n"/>
      <c r="Q196" s="103" t="n"/>
      <c r="R196" s="104" t="n"/>
      <c r="S196" s="102" t="n"/>
      <c r="T196" s="103" t="n"/>
      <c r="U196" s="103" t="n"/>
      <c r="V196" s="104" t="n"/>
      <c r="W196" s="102" t="n"/>
      <c r="X196" s="104" t="n"/>
      <c r="Y196" s="102" t="n"/>
      <c r="Z196" s="104" t="n"/>
      <c r="AB196" s="105">
        <f>IF($B196="","",(COUNTIF(C158:E175,$B196)+COUNTIF(C158:E175,$B196&amp;" ~*")&gt;0)+(COUNTIF(G158:I175,$B196)+COUNTIF(G158:I175,$B196&amp;" ~*")&gt;0)+(COUNTIF(K158:M175,$B196)+COUNTIF(K158:M175,$B196&amp;" ~*")&gt;0)+(COUNTIF(O158:Q175,$B196)+COUNTIF(O158:Q175,$B196&amp;" ~*")&gt;0)+(COUNTIF(S158:U175,$B196)+COUNTIF(S158:U175,$B196&amp;" ~*")&gt;0)+(COUNTIF(W158:W175,$B196)+COUNTIF(W158:W175,$B196&amp;" ~*")&gt;0)+(COUNTIF(Y158:Y175,$B196)+COUNTIF(Y158:Y175,$B196&amp;" ~*")&gt;0))</f>
        <v/>
      </c>
      <c r="AC196" s="38">
        <f>IF($B196="","",(IFERROR(INDEX(Setup!$G$33:$G$40,MATCH(C196,Setup!$B$33:$B$40,0)),0)=1)*(COUNTIF(C158:E175,$B196)+COUNTIF(C158:E175,$B196&amp;" ~*")&gt;0)+(IFERROR(INDEX(Setup!$G$33:$G$40,MATCH(G196,Setup!$B$33:$B$40,0)),0)=1)*(COUNTIF(G158:I175,$B196)+COUNTIF(G158:I175,$B196&amp;" ~*")&gt;0)+(IFERROR(INDEX(Setup!$G$33:$G$40,MATCH(K196,Setup!$B$33:$B$40,0)),0)=1)*(COUNTIF(K158:M175,$B196)+COUNTIF(K158:M175,$B196&amp;" ~*")&gt;0)+(IFERROR(INDEX(Setup!$G$33:$G$40,MATCH(O196,Setup!$B$33:$B$40,0)),0)=1)*(COUNTIF(O158:Q175,$B196)+COUNTIF(O158:Q175,$B196&amp;" ~*")&gt;0)+(IFERROR(INDEX(Setup!$G$33:$G$40,MATCH(S196,Setup!$B$33:$B$40,0)),0)=1)*(COUNTIF(S158:U175,$B196)+COUNTIF(S158:U175,$B196&amp;" ~*")&gt;0)+(IFERROR(INDEX(Setup!$G$33:$G$40,MATCH(W196,Setup!$B$33:$B$40,0)),0)=1)*(COUNTIF(W158:W175,$B196)+COUNTIF(W158:W175,$B196&amp;" ~*")&gt;0)+(IFERROR(INDEX(Setup!$G$33:$G$40,MATCH(Y196,Setup!$B$33:$B$40,0)),0)=1)*(COUNTIF(Y158:Y175,$B196)+COUNTIF(Y158:Y175,$B196&amp;" ~*")&gt;0))</f>
        <v/>
      </c>
    </row>
    <row r="197" ht="15" customHeight="1">
      <c r="A197" t="n">
        <v>4</v>
      </c>
      <c r="B197" s="35">
        <f>IF(Setup!$B$26="","",Setup!$B$26)</f>
        <v/>
      </c>
      <c r="C197" s="98" t="n"/>
      <c r="D197" s="99" t="n"/>
      <c r="E197" s="99" t="n"/>
      <c r="F197" s="100" t="n"/>
      <c r="G197" s="98" t="n"/>
      <c r="H197" s="99" t="n"/>
      <c r="I197" s="99" t="n"/>
      <c r="J197" s="100" t="n"/>
      <c r="K197" s="98" t="n"/>
      <c r="L197" s="99" t="n"/>
      <c r="M197" s="99" t="n"/>
      <c r="N197" s="100" t="n"/>
      <c r="O197" s="98" t="n"/>
      <c r="P197" s="99" t="n"/>
      <c r="Q197" s="99" t="n"/>
      <c r="R197" s="100" t="n"/>
      <c r="S197" s="98" t="n"/>
      <c r="T197" s="99" t="n"/>
      <c r="U197" s="99" t="n"/>
      <c r="V197" s="100" t="n"/>
      <c r="W197" s="98" t="n"/>
      <c r="X197" s="100" t="n"/>
      <c r="Y197" s="98" t="n"/>
      <c r="Z197" s="100" t="n"/>
      <c r="AB197" s="101">
        <f>IF($B197="","",(COUNTIF(C158:E175,$B197)+COUNTIF(C158:E175,$B197&amp;" ~*")&gt;0)+(COUNTIF(G158:I175,$B197)+COUNTIF(G158:I175,$B197&amp;" ~*")&gt;0)+(COUNTIF(K158:M175,$B197)+COUNTIF(K158:M175,$B197&amp;" ~*")&gt;0)+(COUNTIF(O158:Q175,$B197)+COUNTIF(O158:Q175,$B197&amp;" ~*")&gt;0)+(COUNTIF(S158:U175,$B197)+COUNTIF(S158:U175,$B197&amp;" ~*")&gt;0)+(COUNTIF(W158:W175,$B197)+COUNTIF(W158:W175,$B197&amp;" ~*")&gt;0)+(COUNTIF(Y158:Y175,$B197)+COUNTIF(Y158:Y175,$B197&amp;" ~*")&gt;0))</f>
        <v/>
      </c>
      <c r="AC197" s="36">
        <f>IF($B197="","",(IFERROR(INDEX(Setup!$G$33:$G$40,MATCH(C197,Setup!$B$33:$B$40,0)),0)=1)*(COUNTIF(C158:E175,$B197)+COUNTIF(C158:E175,$B197&amp;" ~*")&gt;0)+(IFERROR(INDEX(Setup!$G$33:$G$40,MATCH(G197,Setup!$B$33:$B$40,0)),0)=1)*(COUNTIF(G158:I175,$B197)+COUNTIF(G158:I175,$B197&amp;" ~*")&gt;0)+(IFERROR(INDEX(Setup!$G$33:$G$40,MATCH(K197,Setup!$B$33:$B$40,0)),0)=1)*(COUNTIF(K158:M175,$B197)+COUNTIF(K158:M175,$B197&amp;" ~*")&gt;0)+(IFERROR(INDEX(Setup!$G$33:$G$40,MATCH(O197,Setup!$B$33:$B$40,0)),0)=1)*(COUNTIF(O158:Q175,$B197)+COUNTIF(O158:Q175,$B197&amp;" ~*")&gt;0)+(IFERROR(INDEX(Setup!$G$33:$G$40,MATCH(S197,Setup!$B$33:$B$40,0)),0)=1)*(COUNTIF(S158:U175,$B197)+COUNTIF(S158:U175,$B197&amp;" ~*")&gt;0)+(IFERROR(INDEX(Setup!$G$33:$G$40,MATCH(W197,Setup!$B$33:$B$40,0)),0)=1)*(COUNTIF(W158:W175,$B197)+COUNTIF(W158:W175,$B197&amp;" ~*")&gt;0)+(IFERROR(INDEX(Setup!$G$33:$G$40,MATCH(Y197,Setup!$B$33:$B$40,0)),0)=1)*(COUNTIF(Y158:Y175,$B197)+COUNTIF(Y158:Y175,$B197&amp;" ~*")&gt;0))</f>
        <v/>
      </c>
    </row>
    <row r="198" ht="15" customHeight="1">
      <c r="A198" t="n">
        <v>4</v>
      </c>
      <c r="B198" s="37">
        <f>IF(Setup!$B$27="","",Setup!$B$27)</f>
        <v/>
      </c>
      <c r="C198" s="102" t="n"/>
      <c r="D198" s="103" t="n"/>
      <c r="E198" s="103" t="n"/>
      <c r="F198" s="104" t="n"/>
      <c r="G198" s="102" t="n"/>
      <c r="H198" s="103" t="n"/>
      <c r="I198" s="103" t="n"/>
      <c r="J198" s="104" t="n"/>
      <c r="K198" s="102" t="n"/>
      <c r="L198" s="103" t="n"/>
      <c r="M198" s="103" t="n"/>
      <c r="N198" s="104" t="n"/>
      <c r="O198" s="102" t="n"/>
      <c r="P198" s="103" t="n"/>
      <c r="Q198" s="103" t="n"/>
      <c r="R198" s="104" t="n"/>
      <c r="S198" s="102" t="n"/>
      <c r="T198" s="103" t="n"/>
      <c r="U198" s="103" t="n"/>
      <c r="V198" s="104" t="n"/>
      <c r="W198" s="102" t="n"/>
      <c r="X198" s="104" t="n"/>
      <c r="Y198" s="102" t="n"/>
      <c r="Z198" s="104" t="n"/>
      <c r="AB198" s="105">
        <f>IF($B198="","",(COUNTIF(C158:E175,$B198)+COUNTIF(C158:E175,$B198&amp;" ~*")&gt;0)+(COUNTIF(G158:I175,$B198)+COUNTIF(G158:I175,$B198&amp;" ~*")&gt;0)+(COUNTIF(K158:M175,$B198)+COUNTIF(K158:M175,$B198&amp;" ~*")&gt;0)+(COUNTIF(O158:Q175,$B198)+COUNTIF(O158:Q175,$B198&amp;" ~*")&gt;0)+(COUNTIF(S158:U175,$B198)+COUNTIF(S158:U175,$B198&amp;" ~*")&gt;0)+(COUNTIF(W158:W175,$B198)+COUNTIF(W158:W175,$B198&amp;" ~*")&gt;0)+(COUNTIF(Y158:Y175,$B198)+COUNTIF(Y158:Y175,$B198&amp;" ~*")&gt;0))</f>
        <v/>
      </c>
      <c r="AC198" s="38">
        <f>IF($B198="","",(IFERROR(INDEX(Setup!$G$33:$G$40,MATCH(C198,Setup!$B$33:$B$40,0)),0)=1)*(COUNTIF(C158:E175,$B198)+COUNTIF(C158:E175,$B198&amp;" ~*")&gt;0)+(IFERROR(INDEX(Setup!$G$33:$G$40,MATCH(G198,Setup!$B$33:$B$40,0)),0)=1)*(COUNTIF(G158:I175,$B198)+COUNTIF(G158:I175,$B198&amp;" ~*")&gt;0)+(IFERROR(INDEX(Setup!$G$33:$G$40,MATCH(K198,Setup!$B$33:$B$40,0)),0)=1)*(COUNTIF(K158:M175,$B198)+COUNTIF(K158:M175,$B198&amp;" ~*")&gt;0)+(IFERROR(INDEX(Setup!$G$33:$G$40,MATCH(O198,Setup!$B$33:$B$40,0)),0)=1)*(COUNTIF(O158:Q175,$B198)+COUNTIF(O158:Q175,$B198&amp;" ~*")&gt;0)+(IFERROR(INDEX(Setup!$G$33:$G$40,MATCH(S198,Setup!$B$33:$B$40,0)),0)=1)*(COUNTIF(S158:U175,$B198)+COUNTIF(S158:U175,$B198&amp;" ~*")&gt;0)+(IFERROR(INDEX(Setup!$G$33:$G$40,MATCH(W198,Setup!$B$33:$B$40,0)),0)=1)*(COUNTIF(W158:W175,$B198)+COUNTIF(W158:W175,$B198&amp;" ~*")&gt;0)+(IFERROR(INDEX(Setup!$G$33:$G$40,MATCH(Y198,Setup!$B$33:$B$40,0)),0)=1)*(COUNTIF(Y158:Y175,$B198)+COUNTIF(Y158:Y175,$B198&amp;" ~*")&gt;0))</f>
        <v/>
      </c>
    </row>
    <row r="199" ht="15" customHeight="1">
      <c r="A199" t="n">
        <v>4</v>
      </c>
      <c r="B199" s="35">
        <f>IF(Setup!$B$28="","",Setup!$B$28)</f>
        <v/>
      </c>
      <c r="C199" s="98" t="n"/>
      <c r="D199" s="99" t="n"/>
      <c r="E199" s="99" t="n"/>
      <c r="F199" s="100" t="n"/>
      <c r="G199" s="98" t="n"/>
      <c r="H199" s="99" t="n"/>
      <c r="I199" s="99" t="n"/>
      <c r="J199" s="100" t="n"/>
      <c r="K199" s="98" t="n"/>
      <c r="L199" s="99" t="n"/>
      <c r="M199" s="99" t="n"/>
      <c r="N199" s="100" t="n"/>
      <c r="O199" s="98" t="n"/>
      <c r="P199" s="99" t="n"/>
      <c r="Q199" s="99" t="n"/>
      <c r="R199" s="100" t="n"/>
      <c r="S199" s="98" t="n"/>
      <c r="T199" s="99" t="n"/>
      <c r="U199" s="99" t="n"/>
      <c r="V199" s="100" t="n"/>
      <c r="W199" s="98" t="n"/>
      <c r="X199" s="100" t="n"/>
      <c r="Y199" s="98" t="n"/>
      <c r="Z199" s="100" t="n"/>
      <c r="AB199" s="101">
        <f>IF($B199="","",(COUNTIF(C158:E175,$B199)+COUNTIF(C158:E175,$B199&amp;" ~*")&gt;0)+(COUNTIF(G158:I175,$B199)+COUNTIF(G158:I175,$B199&amp;" ~*")&gt;0)+(COUNTIF(K158:M175,$B199)+COUNTIF(K158:M175,$B199&amp;" ~*")&gt;0)+(COUNTIF(O158:Q175,$B199)+COUNTIF(O158:Q175,$B199&amp;" ~*")&gt;0)+(COUNTIF(S158:U175,$B199)+COUNTIF(S158:U175,$B199&amp;" ~*")&gt;0)+(COUNTIF(W158:W175,$B199)+COUNTIF(W158:W175,$B199&amp;" ~*")&gt;0)+(COUNTIF(Y158:Y175,$B199)+COUNTIF(Y158:Y175,$B199&amp;" ~*")&gt;0))</f>
        <v/>
      </c>
      <c r="AC199" s="36">
        <f>IF($B199="","",(IFERROR(INDEX(Setup!$G$33:$G$40,MATCH(C199,Setup!$B$33:$B$40,0)),0)=1)*(COUNTIF(C158:E175,$B199)+COUNTIF(C158:E175,$B199&amp;" ~*")&gt;0)+(IFERROR(INDEX(Setup!$G$33:$G$40,MATCH(G199,Setup!$B$33:$B$40,0)),0)=1)*(COUNTIF(G158:I175,$B199)+COUNTIF(G158:I175,$B199&amp;" ~*")&gt;0)+(IFERROR(INDEX(Setup!$G$33:$G$40,MATCH(K199,Setup!$B$33:$B$40,0)),0)=1)*(COUNTIF(K158:M175,$B199)+COUNTIF(K158:M175,$B199&amp;" ~*")&gt;0)+(IFERROR(INDEX(Setup!$G$33:$G$40,MATCH(O199,Setup!$B$33:$B$40,0)),0)=1)*(COUNTIF(O158:Q175,$B199)+COUNTIF(O158:Q175,$B199&amp;" ~*")&gt;0)+(IFERROR(INDEX(Setup!$G$33:$G$40,MATCH(S199,Setup!$B$33:$B$40,0)),0)=1)*(COUNTIF(S158:U175,$B199)+COUNTIF(S158:U175,$B199&amp;" ~*")&gt;0)+(IFERROR(INDEX(Setup!$G$33:$G$40,MATCH(W199,Setup!$B$33:$B$40,0)),0)=1)*(COUNTIF(W158:W175,$B199)+COUNTIF(W158:W175,$B199&amp;" ~*")&gt;0)+(IFERROR(INDEX(Setup!$G$33:$G$40,MATCH(Y199,Setup!$B$33:$B$40,0)),0)=1)*(COUNTIF(Y158:Y175,$B199)+COUNTIF(Y158:Y175,$B199&amp;" ~*")&gt;0))</f>
        <v/>
      </c>
    </row>
    <row r="200" ht="15" customHeight="1">
      <c r="A200" t="n">
        <v>4</v>
      </c>
      <c r="B200" s="37">
        <f>IF(Setup!$B$29="","",Setup!$B$29)</f>
        <v/>
      </c>
      <c r="C200" s="102" t="n"/>
      <c r="D200" s="103" t="n"/>
      <c r="E200" s="103" t="n"/>
      <c r="F200" s="104" t="n"/>
      <c r="G200" s="102" t="n"/>
      <c r="H200" s="103" t="n"/>
      <c r="I200" s="103" t="n"/>
      <c r="J200" s="104" t="n"/>
      <c r="K200" s="102" t="n"/>
      <c r="L200" s="103" t="n"/>
      <c r="M200" s="103" t="n"/>
      <c r="N200" s="104" t="n"/>
      <c r="O200" s="102" t="n"/>
      <c r="P200" s="103" t="n"/>
      <c r="Q200" s="103" t="n"/>
      <c r="R200" s="104" t="n"/>
      <c r="S200" s="102" t="n"/>
      <c r="T200" s="103" t="n"/>
      <c r="U200" s="103" t="n"/>
      <c r="V200" s="104" t="n"/>
      <c r="W200" s="102" t="n"/>
      <c r="X200" s="104" t="n"/>
      <c r="Y200" s="102" t="n"/>
      <c r="Z200" s="104" t="n"/>
      <c r="AB200" s="105">
        <f>IF($B200="","",(COUNTIF(C158:E175,$B200)+COUNTIF(C158:E175,$B200&amp;" ~*")&gt;0)+(COUNTIF(G158:I175,$B200)+COUNTIF(G158:I175,$B200&amp;" ~*")&gt;0)+(COUNTIF(K158:M175,$B200)+COUNTIF(K158:M175,$B200&amp;" ~*")&gt;0)+(COUNTIF(O158:Q175,$B200)+COUNTIF(O158:Q175,$B200&amp;" ~*")&gt;0)+(COUNTIF(S158:U175,$B200)+COUNTIF(S158:U175,$B200&amp;" ~*")&gt;0)+(COUNTIF(W158:W175,$B200)+COUNTIF(W158:W175,$B200&amp;" ~*")&gt;0)+(COUNTIF(Y158:Y175,$B200)+COUNTIF(Y158:Y175,$B200&amp;" ~*")&gt;0))</f>
        <v/>
      </c>
      <c r="AC200" s="38">
        <f>IF($B200="","",(IFERROR(INDEX(Setup!$G$33:$G$40,MATCH(C200,Setup!$B$33:$B$40,0)),0)=1)*(COUNTIF(C158:E175,$B200)+COUNTIF(C158:E175,$B200&amp;" ~*")&gt;0)+(IFERROR(INDEX(Setup!$G$33:$G$40,MATCH(G200,Setup!$B$33:$B$40,0)),0)=1)*(COUNTIF(G158:I175,$B200)+COUNTIF(G158:I175,$B200&amp;" ~*")&gt;0)+(IFERROR(INDEX(Setup!$G$33:$G$40,MATCH(K200,Setup!$B$33:$B$40,0)),0)=1)*(COUNTIF(K158:M175,$B200)+COUNTIF(K158:M175,$B200&amp;" ~*")&gt;0)+(IFERROR(INDEX(Setup!$G$33:$G$40,MATCH(O200,Setup!$B$33:$B$40,0)),0)=1)*(COUNTIF(O158:Q175,$B200)+COUNTIF(O158:Q175,$B200&amp;" ~*")&gt;0)+(IFERROR(INDEX(Setup!$G$33:$G$40,MATCH(S200,Setup!$B$33:$B$40,0)),0)=1)*(COUNTIF(S158:U175,$B200)+COUNTIF(S158:U175,$B200&amp;" ~*")&gt;0)+(IFERROR(INDEX(Setup!$G$33:$G$40,MATCH(W200,Setup!$B$33:$B$40,0)),0)=1)*(COUNTIF(W158:W175,$B200)+COUNTIF(W158:W175,$B200&amp;" ~*")&gt;0)+(IFERROR(INDEX(Setup!$G$33:$G$40,MATCH(Y200,Setup!$B$33:$B$40,0)),0)=1)*(COUNTIF(Y158:Y175,$B200)+COUNTIF(Y158:Y175,$B200&amp;" ~*")&gt;0))</f>
        <v/>
      </c>
    </row>
    <row r="201" ht="16" customHeight="1">
      <c r="A201" t="n">
        <v>4</v>
      </c>
      <c r="B201" s="106" t="inlineStr">
        <is>
          <t>Available people</t>
        </is>
      </c>
      <c r="C201" s="107">
        <f>COUNTIFS(Setup!$E$6:$E$29,"Y",Setup!$B$6:$B$29,"?*")-SUMPRODUCT(COUNTIF(C177:C200,Setup!$F$33:$F$40))</f>
        <v/>
      </c>
      <c r="D201" s="107" t="n"/>
      <c r="E201" s="107" t="n"/>
      <c r="F201" s="107" t="n"/>
      <c r="G201" s="107">
        <f>COUNTIFS(Setup!$E$6:$E$29,"Y",Setup!$B$6:$B$29,"?*")-SUMPRODUCT(COUNTIF(G177:G200,Setup!$F$33:$F$40))</f>
        <v/>
      </c>
      <c r="H201" s="107" t="n"/>
      <c r="I201" s="107" t="n"/>
      <c r="J201" s="107" t="n"/>
      <c r="K201" s="107">
        <f>COUNTIFS(Setup!$E$6:$E$29,"Y",Setup!$B$6:$B$29,"?*")-SUMPRODUCT(COUNTIF(K177:K200,Setup!$F$33:$F$40))</f>
        <v/>
      </c>
      <c r="L201" s="107" t="n"/>
      <c r="M201" s="107" t="n"/>
      <c r="N201" s="107" t="n"/>
      <c r="O201" s="107">
        <f>COUNTIFS(Setup!$E$6:$E$29,"Y",Setup!$B$6:$B$29,"?*")-SUMPRODUCT(COUNTIF(O177:O200,Setup!$F$33:$F$40))</f>
        <v/>
      </c>
      <c r="P201" s="107" t="n"/>
      <c r="Q201" s="107" t="n"/>
      <c r="R201" s="107" t="n"/>
      <c r="S201" s="107">
        <f>COUNTIFS(Setup!$E$6:$E$29,"Y",Setup!$B$6:$B$29,"?*")-SUMPRODUCT(COUNTIF(S177:S200,Setup!$F$33:$F$40))</f>
        <v/>
      </c>
      <c r="T201" s="107" t="n"/>
      <c r="U201" s="107" t="n"/>
      <c r="V201" s="107" t="n"/>
      <c r="W201" s="107">
        <f>COUNTIFS(Setup!$E$6:$E$29,"Y",Setup!$B$6:$B$29,"?*")-SUMPRODUCT(COUNTIF(W177:W200,Setup!$F$33:$F$40))</f>
        <v/>
      </c>
      <c r="X201" s="107" t="n"/>
      <c r="Y201" s="107">
        <f>COUNTIFS(Setup!$E$6:$E$29,"Y",Setup!$B$6:$B$29,"?*")-SUMPRODUCT(COUNTIF(Y177:Y200,Setup!$F$33:$F$40))</f>
        <v/>
      </c>
      <c r="Z201" s="107" t="n"/>
      <c r="AB201" s="108">
        <f>SUM(AB177:AB200)</f>
        <v/>
      </c>
      <c r="AC201" s="109">
        <f>SUM(AC177:AC200)</f>
        <v/>
      </c>
    </row>
    <row r="202" ht="30" customHeight="1">
      <c r="A202" t="n">
        <v>4</v>
      </c>
      <c r="B202" s="110" t="inlineStr">
        <is>
          <t>Week notes</t>
        </is>
      </c>
      <c r="C202" s="111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112" t="n"/>
      <c r="R202" s="112" t="n"/>
      <c r="S202" s="112" t="n"/>
      <c r="T202" s="112" t="n"/>
      <c r="U202" s="112" t="n"/>
      <c r="V202" s="112" t="n"/>
      <c r="W202" s="112" t="n"/>
      <c r="X202" s="112" t="n"/>
      <c r="Y202" s="112" t="n"/>
      <c r="Z202" s="113" t="n"/>
    </row>
    <row r="203" ht="8" customHeight="1">
      <c r="A203" t="n">
        <v>4</v>
      </c>
    </row>
    <row r="204" ht="8" customHeight="1">
      <c r="A204" t="n">
        <v>4</v>
      </c>
    </row>
    <row r="205" ht="24" customHeight="1">
      <c r="A205" t="n">
        <v>5</v>
      </c>
      <c r="B205" s="73">
        <f>"WEEK 5     "&amp;TEXT(C206,"ddd d mmm")&amp;"  –  "&amp;TEXT(C206+6,"ddd d mmm yyyy")</f>
        <v/>
      </c>
      <c r="S205" s="74">
        <f>IF(TODAY()&lt;C206,"FUTURE",IF(TODAY()&gt;C206+6,"PAST","THIS WEEK"))</f>
        <v/>
      </c>
      <c r="W205" s="75">
        <f>IF(AND(Engine!$B$8=$AC$3,Engine!$B$9=$A205),"◀ ACTIVE WEEK","")</f>
        <v/>
      </c>
      <c r="AA205" s="76" t="n"/>
      <c r="AB205" s="77" t="inlineStr">
        <is>
          <t>◀ Prev</t>
        </is>
      </c>
      <c r="AC205" s="77" t="inlineStr">
        <is>
          <t>Next ▶</t>
        </is>
      </c>
    </row>
    <row r="206" ht="18" customHeight="1">
      <c r="A206" t="n">
        <v>5</v>
      </c>
      <c r="B206" s="78" t="inlineStr">
        <is>
          <t>DUTY</t>
        </is>
      </c>
      <c r="C206" s="79">
        <f>$AC$2+7*($A206-1)</f>
        <v/>
      </c>
      <c r="D206" s="80" t="n"/>
      <c r="E206" s="80" t="n"/>
      <c r="F206" s="81" t="n"/>
      <c r="G206" s="79">
        <f>C206+1</f>
        <v/>
      </c>
      <c r="H206" s="80" t="n"/>
      <c r="I206" s="80" t="n"/>
      <c r="J206" s="81" t="n"/>
      <c r="K206" s="79">
        <f>C206+2</f>
        <v/>
      </c>
      <c r="L206" s="80" t="n"/>
      <c r="M206" s="80" t="n"/>
      <c r="N206" s="81" t="n"/>
      <c r="O206" s="79">
        <f>C206+3</f>
        <v/>
      </c>
      <c r="P206" s="80" t="n"/>
      <c r="Q206" s="80" t="n"/>
      <c r="R206" s="81" t="n"/>
      <c r="S206" s="79">
        <f>C206+4</f>
        <v/>
      </c>
      <c r="T206" s="80" t="n"/>
      <c r="U206" s="80" t="n"/>
      <c r="V206" s="81" t="n"/>
      <c r="W206" s="82">
        <f>C206+5</f>
        <v/>
      </c>
      <c r="X206" s="83" t="n"/>
      <c r="Y206" s="82">
        <f>C206+6</f>
        <v/>
      </c>
      <c r="Z206" s="83" t="n"/>
      <c r="AB206" s="72" t="inlineStr">
        <is>
          <t>Gaps</t>
        </is>
      </c>
      <c r="AC206" s="72" t="inlineStr">
        <is>
          <t>Cover</t>
        </is>
      </c>
    </row>
    <row r="207" ht="14" customHeight="1">
      <c r="A207" t="n">
        <v>5</v>
      </c>
      <c r="B207" s="84" t="inlineStr">
        <is>
          <t>(from Setup)</t>
        </is>
      </c>
      <c r="C207" s="85" t="inlineStr">
        <is>
          <t>1</t>
        </is>
      </c>
      <c r="D207" s="85" t="inlineStr">
        <is>
          <t>2</t>
        </is>
      </c>
      <c r="E207" s="85" t="inlineStr">
        <is>
          <t>3</t>
        </is>
      </c>
      <c r="F207" s="85" t="inlineStr">
        <is>
          <t>Notes</t>
        </is>
      </c>
      <c r="G207" s="85" t="inlineStr">
        <is>
          <t>1</t>
        </is>
      </c>
      <c r="H207" s="85" t="inlineStr">
        <is>
          <t>2</t>
        </is>
      </c>
      <c r="I207" s="85" t="inlineStr">
        <is>
          <t>3</t>
        </is>
      </c>
      <c r="J207" s="85" t="inlineStr">
        <is>
          <t>Notes</t>
        </is>
      </c>
      <c r="K207" s="85" t="inlineStr">
        <is>
          <t>1</t>
        </is>
      </c>
      <c r="L207" s="85" t="inlineStr">
        <is>
          <t>2</t>
        </is>
      </c>
      <c r="M207" s="85" t="inlineStr">
        <is>
          <t>3</t>
        </is>
      </c>
      <c r="N207" s="85" t="inlineStr">
        <is>
          <t>Notes</t>
        </is>
      </c>
      <c r="O207" s="85" t="inlineStr">
        <is>
          <t>1</t>
        </is>
      </c>
      <c r="P207" s="85" t="inlineStr">
        <is>
          <t>2</t>
        </is>
      </c>
      <c r="Q207" s="85" t="inlineStr">
        <is>
          <t>3</t>
        </is>
      </c>
      <c r="R207" s="85" t="inlineStr">
        <is>
          <t>Notes</t>
        </is>
      </c>
      <c r="S207" s="85" t="inlineStr">
        <is>
          <t>1</t>
        </is>
      </c>
      <c r="T207" s="85" t="inlineStr">
        <is>
          <t>2</t>
        </is>
      </c>
      <c r="U207" s="85" t="inlineStr">
        <is>
          <t>3</t>
        </is>
      </c>
      <c r="V207" s="85" t="inlineStr">
        <is>
          <t>Notes</t>
        </is>
      </c>
      <c r="W207" s="85" t="inlineStr">
        <is>
          <t>Cover</t>
        </is>
      </c>
      <c r="X207" s="85" t="inlineStr">
        <is>
          <t>Notes</t>
        </is>
      </c>
      <c r="Y207" s="85" t="inlineStr">
        <is>
          <t>Cover</t>
        </is>
      </c>
      <c r="Z207" s="85" t="inlineStr">
        <is>
          <t>Notes</t>
        </is>
      </c>
      <c r="AB207" s="86" t="inlineStr">
        <is>
          <t>weekdays short</t>
        </is>
      </c>
      <c r="AC207" s="87" t="inlineStr"/>
    </row>
    <row r="208" ht="17" customHeight="1">
      <c r="A208" t="n">
        <v>5</v>
      </c>
      <c r="B208" s="24">
        <f>IF(Setup!$K$6="","",Setup!$K$6)</f>
        <v/>
      </c>
      <c r="C208" s="88" t="n"/>
      <c r="D208" s="88" t="n"/>
      <c r="E208" s="88" t="n"/>
      <c r="F208" s="89" t="n"/>
      <c r="G208" s="88" t="n"/>
      <c r="H208" s="88" t="n"/>
      <c r="I208" s="88" t="n"/>
      <c r="J208" s="89" t="n"/>
      <c r="K208" s="88" t="n"/>
      <c r="L208" s="88" t="n"/>
      <c r="M208" s="88" t="n"/>
      <c r="N208" s="89" t="n"/>
      <c r="O208" s="88" t="n"/>
      <c r="P208" s="88" t="n"/>
      <c r="Q208" s="88" t="n"/>
      <c r="R208" s="89" t="n"/>
      <c r="S208" s="88" t="n"/>
      <c r="T208" s="88" t="n"/>
      <c r="U208" s="88" t="n"/>
      <c r="V208" s="89" t="n"/>
      <c r="W208" s="88" t="n"/>
      <c r="X208" s="89" t="n"/>
      <c r="Y208" s="88" t="n"/>
      <c r="Z208" s="89" t="n"/>
      <c r="AB208" s="25">
        <f>IF($B208="","",(COUNTIF(C208:E208,"?*")&lt;N(INDEX(Setup!$L$6:$L$23,1)))+(COUNTIF(G208:I208,"?*")&lt;N(INDEX(Setup!$L$6:$L$23,1)))+(COUNTIF(K208:M208,"?*")&lt;N(INDEX(Setup!$L$6:$L$23,1)))+(COUNTIF(O208:Q208,"?*")&lt;N(INDEX(Setup!$L$6:$L$23,1)))+(COUNTIF(S208:U208,"?*")&lt;N(INDEX(Setup!$L$6:$L$23,1)))+((W208="")*(INDEX(Setup!$M$6:$M$23,1)="Y"))+((Y208="")*(INDEX(Setup!$M$6:$M$23,1)="Y")))</f>
        <v/>
      </c>
      <c r="AC208" s="90">
        <f>IF($B208="","",IF(AB208=0,"✓ covered","⚠ "&amp;AB208&amp;IF(AB208=1," gap"," gaps")))</f>
        <v/>
      </c>
    </row>
    <row r="209" ht="17" customHeight="1">
      <c r="A209" t="n">
        <v>5</v>
      </c>
      <c r="B209" s="29">
        <f>IF(Setup!$K$7="","",Setup!$K$7)</f>
        <v/>
      </c>
      <c r="C209" s="88" t="n"/>
      <c r="D209" s="88" t="n"/>
      <c r="E209" s="88" t="n"/>
      <c r="F209" s="89" t="n"/>
      <c r="G209" s="88" t="n"/>
      <c r="H209" s="88" t="n"/>
      <c r="I209" s="88" t="n"/>
      <c r="J209" s="89" t="n"/>
      <c r="K209" s="88" t="n"/>
      <c r="L209" s="88" t="n"/>
      <c r="M209" s="88" t="n"/>
      <c r="N209" s="89" t="n"/>
      <c r="O209" s="88" t="n"/>
      <c r="P209" s="88" t="n"/>
      <c r="Q209" s="88" t="n"/>
      <c r="R209" s="89" t="n"/>
      <c r="S209" s="88" t="n"/>
      <c r="T209" s="88" t="n"/>
      <c r="U209" s="88" t="n"/>
      <c r="V209" s="89" t="n"/>
      <c r="W209" s="88" t="n"/>
      <c r="X209" s="89" t="n"/>
      <c r="Y209" s="88" t="n"/>
      <c r="Z209" s="89" t="n"/>
      <c r="AB209" s="30">
        <f>IF($B209="","",(COUNTIF(C209:E209,"?*")&lt;N(INDEX(Setup!$L$6:$L$23,2)))+(COUNTIF(G209:I209,"?*")&lt;N(INDEX(Setup!$L$6:$L$23,2)))+(COUNTIF(K209:M209,"?*")&lt;N(INDEX(Setup!$L$6:$L$23,2)))+(COUNTIF(O209:Q209,"?*")&lt;N(INDEX(Setup!$L$6:$L$23,2)))+(COUNTIF(S209:U209,"?*")&lt;N(INDEX(Setup!$L$6:$L$23,2)))+((W209="")*(INDEX(Setup!$M$6:$M$23,2)="Y"))+((Y209="")*(INDEX(Setup!$M$6:$M$23,2)="Y")))</f>
        <v/>
      </c>
      <c r="AC209" s="91">
        <f>IF($B209="","",IF(AB209=0,"✓ covered","⚠ "&amp;AB209&amp;IF(AB209=1," gap"," gaps")))</f>
        <v/>
      </c>
    </row>
    <row r="210" ht="17" customHeight="1">
      <c r="A210" t="n">
        <v>5</v>
      </c>
      <c r="B210" s="24">
        <f>IF(Setup!$K$8="","",Setup!$K$8)</f>
        <v/>
      </c>
      <c r="C210" s="88" t="n"/>
      <c r="D210" s="88" t="n"/>
      <c r="E210" s="88" t="n"/>
      <c r="F210" s="89" t="n"/>
      <c r="G210" s="88" t="n"/>
      <c r="H210" s="88" t="n"/>
      <c r="I210" s="88" t="n"/>
      <c r="J210" s="89" t="n"/>
      <c r="K210" s="88" t="n"/>
      <c r="L210" s="88" t="n"/>
      <c r="M210" s="88" t="n"/>
      <c r="N210" s="89" t="n"/>
      <c r="O210" s="88" t="n"/>
      <c r="P210" s="88" t="n"/>
      <c r="Q210" s="88" t="n"/>
      <c r="R210" s="89" t="n"/>
      <c r="S210" s="88" t="n"/>
      <c r="T210" s="88" t="n"/>
      <c r="U210" s="88" t="n"/>
      <c r="V210" s="89" t="n"/>
      <c r="W210" s="88" t="n"/>
      <c r="X210" s="89" t="n"/>
      <c r="Y210" s="88" t="n"/>
      <c r="Z210" s="89" t="n"/>
      <c r="AB210" s="25">
        <f>IF($B210="","",(COUNTIF(C210:E210,"?*")&lt;N(INDEX(Setup!$L$6:$L$23,3)))+(COUNTIF(G210:I210,"?*")&lt;N(INDEX(Setup!$L$6:$L$23,3)))+(COUNTIF(K210:M210,"?*")&lt;N(INDEX(Setup!$L$6:$L$23,3)))+(COUNTIF(O210:Q210,"?*")&lt;N(INDEX(Setup!$L$6:$L$23,3)))+(COUNTIF(S210:U210,"?*")&lt;N(INDEX(Setup!$L$6:$L$23,3)))+((W210="")*(INDEX(Setup!$M$6:$M$23,3)="Y"))+((Y210="")*(INDEX(Setup!$M$6:$M$23,3)="Y")))</f>
        <v/>
      </c>
      <c r="AC210" s="90">
        <f>IF($B210="","",IF(AB210=0,"✓ covered","⚠ "&amp;AB210&amp;IF(AB210=1," gap"," gaps")))</f>
        <v/>
      </c>
    </row>
    <row r="211" ht="17" customHeight="1">
      <c r="A211" t="n">
        <v>5</v>
      </c>
      <c r="B211" s="29">
        <f>IF(Setup!$K$9="","",Setup!$K$9)</f>
        <v/>
      </c>
      <c r="C211" s="88" t="n"/>
      <c r="D211" s="88" t="n"/>
      <c r="E211" s="88" t="n"/>
      <c r="F211" s="89" t="n"/>
      <c r="G211" s="88" t="n"/>
      <c r="H211" s="88" t="n"/>
      <c r="I211" s="88" t="n"/>
      <c r="J211" s="89" t="n"/>
      <c r="K211" s="88" t="n"/>
      <c r="L211" s="88" t="n"/>
      <c r="M211" s="88" t="n"/>
      <c r="N211" s="89" t="n"/>
      <c r="O211" s="88" t="n"/>
      <c r="P211" s="88" t="n"/>
      <c r="Q211" s="88" t="n"/>
      <c r="R211" s="89" t="n"/>
      <c r="S211" s="88" t="n"/>
      <c r="T211" s="88" t="n"/>
      <c r="U211" s="88" t="n"/>
      <c r="V211" s="89" t="n"/>
      <c r="W211" s="88" t="n"/>
      <c r="X211" s="89" t="n"/>
      <c r="Y211" s="88" t="n"/>
      <c r="Z211" s="89" t="n"/>
      <c r="AB211" s="30">
        <f>IF($B211="","",(COUNTIF(C211:E211,"?*")&lt;N(INDEX(Setup!$L$6:$L$23,4)))+(COUNTIF(G211:I211,"?*")&lt;N(INDEX(Setup!$L$6:$L$23,4)))+(COUNTIF(K211:M211,"?*")&lt;N(INDEX(Setup!$L$6:$L$23,4)))+(COUNTIF(O211:Q211,"?*")&lt;N(INDEX(Setup!$L$6:$L$23,4)))+(COUNTIF(S211:U211,"?*")&lt;N(INDEX(Setup!$L$6:$L$23,4)))+((W211="")*(INDEX(Setup!$M$6:$M$23,4)="Y"))+((Y211="")*(INDEX(Setup!$M$6:$M$23,4)="Y")))</f>
        <v/>
      </c>
      <c r="AC211" s="91">
        <f>IF($B211="","",IF(AB211=0,"✓ covered","⚠ "&amp;AB211&amp;IF(AB211=1," gap"," gaps")))</f>
        <v/>
      </c>
    </row>
    <row r="212" ht="17" customHeight="1">
      <c r="A212" t="n">
        <v>5</v>
      </c>
      <c r="B212" s="24">
        <f>IF(Setup!$K$10="","",Setup!$K$10)</f>
        <v/>
      </c>
      <c r="C212" s="88" t="n"/>
      <c r="D212" s="88" t="n"/>
      <c r="E212" s="88" t="n"/>
      <c r="F212" s="89" t="n"/>
      <c r="G212" s="88" t="n"/>
      <c r="H212" s="88" t="n"/>
      <c r="I212" s="88" t="n"/>
      <c r="J212" s="89" t="n"/>
      <c r="K212" s="88" t="n"/>
      <c r="L212" s="88" t="n"/>
      <c r="M212" s="88" t="n"/>
      <c r="N212" s="89" t="n"/>
      <c r="O212" s="88" t="n"/>
      <c r="P212" s="88" t="n"/>
      <c r="Q212" s="88" t="n"/>
      <c r="R212" s="89" t="n"/>
      <c r="S212" s="88" t="n"/>
      <c r="T212" s="88" t="n"/>
      <c r="U212" s="88" t="n"/>
      <c r="V212" s="89" t="n"/>
      <c r="W212" s="88" t="n"/>
      <c r="X212" s="89" t="n"/>
      <c r="Y212" s="88" t="n"/>
      <c r="Z212" s="89" t="n"/>
      <c r="AB212" s="25">
        <f>IF($B212="","",(COUNTIF(C212:E212,"?*")&lt;N(INDEX(Setup!$L$6:$L$23,5)))+(COUNTIF(G212:I212,"?*")&lt;N(INDEX(Setup!$L$6:$L$23,5)))+(COUNTIF(K212:M212,"?*")&lt;N(INDEX(Setup!$L$6:$L$23,5)))+(COUNTIF(O212:Q212,"?*")&lt;N(INDEX(Setup!$L$6:$L$23,5)))+(COUNTIF(S212:U212,"?*")&lt;N(INDEX(Setup!$L$6:$L$23,5)))+((W212="")*(INDEX(Setup!$M$6:$M$23,5)="Y"))+((Y212="")*(INDEX(Setup!$M$6:$M$23,5)="Y")))</f>
        <v/>
      </c>
      <c r="AC212" s="90">
        <f>IF($B212="","",IF(AB212=0,"✓ covered","⚠ "&amp;AB212&amp;IF(AB212=1," gap"," gaps")))</f>
        <v/>
      </c>
    </row>
    <row r="213" ht="17" customHeight="1">
      <c r="A213" t="n">
        <v>5</v>
      </c>
      <c r="B213" s="29">
        <f>IF(Setup!$K$11="","",Setup!$K$11)</f>
        <v/>
      </c>
      <c r="C213" s="88" t="n"/>
      <c r="D213" s="88" t="n"/>
      <c r="E213" s="88" t="n"/>
      <c r="F213" s="89" t="n"/>
      <c r="G213" s="88" t="n"/>
      <c r="H213" s="88" t="n"/>
      <c r="I213" s="88" t="n"/>
      <c r="J213" s="89" t="n"/>
      <c r="K213" s="88" t="n"/>
      <c r="L213" s="88" t="n"/>
      <c r="M213" s="88" t="n"/>
      <c r="N213" s="89" t="n"/>
      <c r="O213" s="88" t="n"/>
      <c r="P213" s="88" t="n"/>
      <c r="Q213" s="88" t="n"/>
      <c r="R213" s="89" t="n"/>
      <c r="S213" s="88" t="n"/>
      <c r="T213" s="88" t="n"/>
      <c r="U213" s="88" t="n"/>
      <c r="V213" s="89" t="n"/>
      <c r="W213" s="88" t="n"/>
      <c r="X213" s="89" t="n"/>
      <c r="Y213" s="88" t="n"/>
      <c r="Z213" s="89" t="n"/>
      <c r="AB213" s="30">
        <f>IF($B213="","",(COUNTIF(C213:E213,"?*")&lt;N(INDEX(Setup!$L$6:$L$23,6)))+(COUNTIF(G213:I213,"?*")&lt;N(INDEX(Setup!$L$6:$L$23,6)))+(COUNTIF(K213:M213,"?*")&lt;N(INDEX(Setup!$L$6:$L$23,6)))+(COUNTIF(O213:Q213,"?*")&lt;N(INDEX(Setup!$L$6:$L$23,6)))+(COUNTIF(S213:U213,"?*")&lt;N(INDEX(Setup!$L$6:$L$23,6)))+((W213="")*(INDEX(Setup!$M$6:$M$23,6)="Y"))+((Y213="")*(INDEX(Setup!$M$6:$M$23,6)="Y")))</f>
        <v/>
      </c>
      <c r="AC213" s="91">
        <f>IF($B213="","",IF(AB213=0,"✓ covered","⚠ "&amp;AB213&amp;IF(AB213=1," gap"," gaps")))</f>
        <v/>
      </c>
    </row>
    <row r="214" ht="17" customHeight="1">
      <c r="A214" t="n">
        <v>5</v>
      </c>
      <c r="B214" s="24">
        <f>IF(Setup!$K$12="","",Setup!$K$12)</f>
        <v/>
      </c>
      <c r="C214" s="88" t="n"/>
      <c r="D214" s="88" t="n"/>
      <c r="E214" s="88" t="n"/>
      <c r="F214" s="89" t="n"/>
      <c r="G214" s="88" t="n"/>
      <c r="H214" s="88" t="n"/>
      <c r="I214" s="88" t="n"/>
      <c r="J214" s="89" t="n"/>
      <c r="K214" s="88" t="n"/>
      <c r="L214" s="88" t="n"/>
      <c r="M214" s="88" t="n"/>
      <c r="N214" s="89" t="n"/>
      <c r="O214" s="88" t="n"/>
      <c r="P214" s="88" t="n"/>
      <c r="Q214" s="88" t="n"/>
      <c r="R214" s="89" t="n"/>
      <c r="S214" s="88" t="n"/>
      <c r="T214" s="88" t="n"/>
      <c r="U214" s="88" t="n"/>
      <c r="V214" s="89" t="n"/>
      <c r="W214" s="88" t="n"/>
      <c r="X214" s="89" t="n"/>
      <c r="Y214" s="88" t="n"/>
      <c r="Z214" s="89" t="n"/>
      <c r="AB214" s="25">
        <f>IF($B214="","",(COUNTIF(C214:E214,"?*")&lt;N(INDEX(Setup!$L$6:$L$23,7)))+(COUNTIF(G214:I214,"?*")&lt;N(INDEX(Setup!$L$6:$L$23,7)))+(COUNTIF(K214:M214,"?*")&lt;N(INDEX(Setup!$L$6:$L$23,7)))+(COUNTIF(O214:Q214,"?*")&lt;N(INDEX(Setup!$L$6:$L$23,7)))+(COUNTIF(S214:U214,"?*")&lt;N(INDEX(Setup!$L$6:$L$23,7)))+((W214="")*(INDEX(Setup!$M$6:$M$23,7)="Y"))+((Y214="")*(INDEX(Setup!$M$6:$M$23,7)="Y")))</f>
        <v/>
      </c>
      <c r="AC214" s="90">
        <f>IF($B214="","",IF(AB214=0,"✓ covered","⚠ "&amp;AB214&amp;IF(AB214=1," gap"," gaps")))</f>
        <v/>
      </c>
    </row>
    <row r="215" ht="17" customHeight="1">
      <c r="A215" t="n">
        <v>5</v>
      </c>
      <c r="B215" s="29">
        <f>IF(Setup!$K$13="","",Setup!$K$13)</f>
        <v/>
      </c>
      <c r="C215" s="88" t="n"/>
      <c r="D215" s="88" t="n"/>
      <c r="E215" s="88" t="n"/>
      <c r="F215" s="89" t="n"/>
      <c r="G215" s="88" t="n"/>
      <c r="H215" s="88" t="n"/>
      <c r="I215" s="88" t="n"/>
      <c r="J215" s="89" t="n"/>
      <c r="K215" s="88" t="n"/>
      <c r="L215" s="88" t="n"/>
      <c r="M215" s="88" t="n"/>
      <c r="N215" s="89" t="n"/>
      <c r="O215" s="88" t="n"/>
      <c r="P215" s="88" t="n"/>
      <c r="Q215" s="88" t="n"/>
      <c r="R215" s="89" t="n"/>
      <c r="S215" s="88" t="n"/>
      <c r="T215" s="88" t="n"/>
      <c r="U215" s="88" t="n"/>
      <c r="V215" s="89" t="n"/>
      <c r="W215" s="88" t="n"/>
      <c r="X215" s="89" t="n"/>
      <c r="Y215" s="88" t="n"/>
      <c r="Z215" s="89" t="n"/>
      <c r="AB215" s="30">
        <f>IF($B215="","",(COUNTIF(C215:E215,"?*")&lt;N(INDEX(Setup!$L$6:$L$23,8)))+(COUNTIF(G215:I215,"?*")&lt;N(INDEX(Setup!$L$6:$L$23,8)))+(COUNTIF(K215:M215,"?*")&lt;N(INDEX(Setup!$L$6:$L$23,8)))+(COUNTIF(O215:Q215,"?*")&lt;N(INDEX(Setup!$L$6:$L$23,8)))+(COUNTIF(S215:U215,"?*")&lt;N(INDEX(Setup!$L$6:$L$23,8)))+((W215="")*(INDEX(Setup!$M$6:$M$23,8)="Y"))+((Y215="")*(INDEX(Setup!$M$6:$M$23,8)="Y")))</f>
        <v/>
      </c>
      <c r="AC215" s="91">
        <f>IF($B215="","",IF(AB215=0,"✓ covered","⚠ "&amp;AB215&amp;IF(AB215=1," gap"," gaps")))</f>
        <v/>
      </c>
    </row>
    <row r="216" ht="17" customHeight="1">
      <c r="A216" t="n">
        <v>5</v>
      </c>
      <c r="B216" s="24">
        <f>IF(Setup!$K$14="","",Setup!$K$14)</f>
        <v/>
      </c>
      <c r="C216" s="88" t="n"/>
      <c r="D216" s="88" t="n"/>
      <c r="E216" s="88" t="n"/>
      <c r="F216" s="89" t="n"/>
      <c r="G216" s="88" t="n"/>
      <c r="H216" s="88" t="n"/>
      <c r="I216" s="88" t="n"/>
      <c r="J216" s="89" t="n"/>
      <c r="K216" s="88" t="n"/>
      <c r="L216" s="88" t="n"/>
      <c r="M216" s="88" t="n"/>
      <c r="N216" s="89" t="n"/>
      <c r="O216" s="88" t="n"/>
      <c r="P216" s="88" t="n"/>
      <c r="Q216" s="88" t="n"/>
      <c r="R216" s="89" t="n"/>
      <c r="S216" s="88" t="n"/>
      <c r="T216" s="88" t="n"/>
      <c r="U216" s="88" t="n"/>
      <c r="V216" s="89" t="n"/>
      <c r="W216" s="88" t="n"/>
      <c r="X216" s="89" t="n"/>
      <c r="Y216" s="88" t="n"/>
      <c r="Z216" s="89" t="n"/>
      <c r="AB216" s="25">
        <f>IF($B216="","",(COUNTIF(C216:E216,"?*")&lt;N(INDEX(Setup!$L$6:$L$23,9)))+(COUNTIF(G216:I216,"?*")&lt;N(INDEX(Setup!$L$6:$L$23,9)))+(COUNTIF(K216:M216,"?*")&lt;N(INDEX(Setup!$L$6:$L$23,9)))+(COUNTIF(O216:Q216,"?*")&lt;N(INDEX(Setup!$L$6:$L$23,9)))+(COUNTIF(S216:U216,"?*")&lt;N(INDEX(Setup!$L$6:$L$23,9)))+((W216="")*(INDEX(Setup!$M$6:$M$23,9)="Y"))+((Y216="")*(INDEX(Setup!$M$6:$M$23,9)="Y")))</f>
        <v/>
      </c>
      <c r="AC216" s="90">
        <f>IF($B216="","",IF(AB216=0,"✓ covered","⚠ "&amp;AB216&amp;IF(AB216=1," gap"," gaps")))</f>
        <v/>
      </c>
    </row>
    <row r="217" ht="17" customHeight="1">
      <c r="A217" t="n">
        <v>5</v>
      </c>
      <c r="B217" s="29">
        <f>IF(Setup!$K$15="","",Setup!$K$15)</f>
        <v/>
      </c>
      <c r="C217" s="88" t="n"/>
      <c r="D217" s="88" t="n"/>
      <c r="E217" s="88" t="n"/>
      <c r="F217" s="89" t="n"/>
      <c r="G217" s="88" t="n"/>
      <c r="H217" s="88" t="n"/>
      <c r="I217" s="88" t="n"/>
      <c r="J217" s="89" t="n"/>
      <c r="K217" s="88" t="n"/>
      <c r="L217" s="88" t="n"/>
      <c r="M217" s="88" t="n"/>
      <c r="N217" s="89" t="n"/>
      <c r="O217" s="88" t="n"/>
      <c r="P217" s="88" t="n"/>
      <c r="Q217" s="88" t="n"/>
      <c r="R217" s="89" t="n"/>
      <c r="S217" s="88" t="n"/>
      <c r="T217" s="88" t="n"/>
      <c r="U217" s="88" t="n"/>
      <c r="V217" s="89" t="n"/>
      <c r="W217" s="88" t="n"/>
      <c r="X217" s="89" t="n"/>
      <c r="Y217" s="88" t="n"/>
      <c r="Z217" s="89" t="n"/>
      <c r="AB217" s="30">
        <f>IF($B217="","",(COUNTIF(C217:E217,"?*")&lt;N(INDEX(Setup!$L$6:$L$23,10)))+(COUNTIF(G217:I217,"?*")&lt;N(INDEX(Setup!$L$6:$L$23,10)))+(COUNTIF(K217:M217,"?*")&lt;N(INDEX(Setup!$L$6:$L$23,10)))+(COUNTIF(O217:Q217,"?*")&lt;N(INDEX(Setup!$L$6:$L$23,10)))+(COUNTIF(S217:U217,"?*")&lt;N(INDEX(Setup!$L$6:$L$23,10)))+((W217="")*(INDEX(Setup!$M$6:$M$23,10)="Y"))+((Y217="")*(INDEX(Setup!$M$6:$M$23,10)="Y")))</f>
        <v/>
      </c>
      <c r="AC217" s="91">
        <f>IF($B217="","",IF(AB217=0,"✓ covered","⚠ "&amp;AB217&amp;IF(AB217=1," gap"," gaps")))</f>
        <v/>
      </c>
    </row>
    <row r="218" ht="17" customHeight="1">
      <c r="A218" t="n">
        <v>5</v>
      </c>
      <c r="B218" s="24">
        <f>IF(Setup!$K$16="","",Setup!$K$16)</f>
        <v/>
      </c>
      <c r="C218" s="88" t="n"/>
      <c r="D218" s="88" t="n"/>
      <c r="E218" s="88" t="n"/>
      <c r="F218" s="89" t="n"/>
      <c r="G218" s="88" t="n"/>
      <c r="H218" s="88" t="n"/>
      <c r="I218" s="88" t="n"/>
      <c r="J218" s="89" t="n"/>
      <c r="K218" s="88" t="n"/>
      <c r="L218" s="88" t="n"/>
      <c r="M218" s="88" t="n"/>
      <c r="N218" s="89" t="n"/>
      <c r="O218" s="88" t="n"/>
      <c r="P218" s="88" t="n"/>
      <c r="Q218" s="88" t="n"/>
      <c r="R218" s="89" t="n"/>
      <c r="S218" s="88" t="n"/>
      <c r="T218" s="88" t="n"/>
      <c r="U218" s="88" t="n"/>
      <c r="V218" s="89" t="n"/>
      <c r="W218" s="88" t="n"/>
      <c r="X218" s="89" t="n"/>
      <c r="Y218" s="88" t="n"/>
      <c r="Z218" s="89" t="n"/>
      <c r="AB218" s="25">
        <f>IF($B218="","",(COUNTIF(C218:E218,"?*")&lt;N(INDEX(Setup!$L$6:$L$23,11)))+(COUNTIF(G218:I218,"?*")&lt;N(INDEX(Setup!$L$6:$L$23,11)))+(COUNTIF(K218:M218,"?*")&lt;N(INDEX(Setup!$L$6:$L$23,11)))+(COUNTIF(O218:Q218,"?*")&lt;N(INDEX(Setup!$L$6:$L$23,11)))+(COUNTIF(S218:U218,"?*")&lt;N(INDEX(Setup!$L$6:$L$23,11)))+((W218="")*(INDEX(Setup!$M$6:$M$23,11)="Y"))+((Y218="")*(INDEX(Setup!$M$6:$M$23,11)="Y")))</f>
        <v/>
      </c>
      <c r="AC218" s="90">
        <f>IF($B218="","",IF(AB218=0,"✓ covered","⚠ "&amp;AB218&amp;IF(AB218=1," gap"," gaps")))</f>
        <v/>
      </c>
    </row>
    <row r="219" ht="17" customHeight="1">
      <c r="A219" t="n">
        <v>5</v>
      </c>
      <c r="B219" s="29">
        <f>IF(Setup!$K$17="","",Setup!$K$17)</f>
        <v/>
      </c>
      <c r="C219" s="88" t="n"/>
      <c r="D219" s="88" t="n"/>
      <c r="E219" s="88" t="n"/>
      <c r="F219" s="89" t="n"/>
      <c r="G219" s="88" t="n"/>
      <c r="H219" s="88" t="n"/>
      <c r="I219" s="88" t="n"/>
      <c r="J219" s="89" t="n"/>
      <c r="K219" s="88" t="n"/>
      <c r="L219" s="88" t="n"/>
      <c r="M219" s="88" t="n"/>
      <c r="N219" s="89" t="n"/>
      <c r="O219" s="88" t="n"/>
      <c r="P219" s="88" t="n"/>
      <c r="Q219" s="88" t="n"/>
      <c r="R219" s="89" t="n"/>
      <c r="S219" s="88" t="n"/>
      <c r="T219" s="88" t="n"/>
      <c r="U219" s="88" t="n"/>
      <c r="V219" s="89" t="n"/>
      <c r="W219" s="88" t="n"/>
      <c r="X219" s="89" t="n"/>
      <c r="Y219" s="88" t="n"/>
      <c r="Z219" s="89" t="n"/>
      <c r="AB219" s="30">
        <f>IF($B219="","",(COUNTIF(C219:E219,"?*")&lt;N(INDEX(Setup!$L$6:$L$23,12)))+(COUNTIF(G219:I219,"?*")&lt;N(INDEX(Setup!$L$6:$L$23,12)))+(COUNTIF(K219:M219,"?*")&lt;N(INDEX(Setup!$L$6:$L$23,12)))+(COUNTIF(O219:Q219,"?*")&lt;N(INDEX(Setup!$L$6:$L$23,12)))+(COUNTIF(S219:U219,"?*")&lt;N(INDEX(Setup!$L$6:$L$23,12)))+((W219="")*(INDEX(Setup!$M$6:$M$23,12)="Y"))+((Y219="")*(INDEX(Setup!$M$6:$M$23,12)="Y")))</f>
        <v/>
      </c>
      <c r="AC219" s="91">
        <f>IF($B219="","",IF(AB219=0,"✓ covered","⚠ "&amp;AB219&amp;IF(AB219=1," gap"," gaps")))</f>
        <v/>
      </c>
    </row>
    <row r="220" ht="17" customHeight="1">
      <c r="A220" t="n">
        <v>5</v>
      </c>
      <c r="B220" s="24">
        <f>IF(Setup!$K$18="","",Setup!$K$18)</f>
        <v/>
      </c>
      <c r="C220" s="88" t="n"/>
      <c r="D220" s="88" t="n"/>
      <c r="E220" s="88" t="n"/>
      <c r="F220" s="89" t="n"/>
      <c r="G220" s="88" t="n"/>
      <c r="H220" s="88" t="n"/>
      <c r="I220" s="88" t="n"/>
      <c r="J220" s="89" t="n"/>
      <c r="K220" s="88" t="n"/>
      <c r="L220" s="88" t="n"/>
      <c r="M220" s="88" t="n"/>
      <c r="N220" s="89" t="n"/>
      <c r="O220" s="88" t="n"/>
      <c r="P220" s="88" t="n"/>
      <c r="Q220" s="88" t="n"/>
      <c r="R220" s="89" t="n"/>
      <c r="S220" s="88" t="n"/>
      <c r="T220" s="88" t="n"/>
      <c r="U220" s="88" t="n"/>
      <c r="V220" s="89" t="n"/>
      <c r="W220" s="88" t="n"/>
      <c r="X220" s="89" t="n"/>
      <c r="Y220" s="88" t="n"/>
      <c r="Z220" s="89" t="n"/>
      <c r="AB220" s="25">
        <f>IF($B220="","",(COUNTIF(C220:E220,"?*")&lt;N(INDEX(Setup!$L$6:$L$23,13)))+(COUNTIF(G220:I220,"?*")&lt;N(INDEX(Setup!$L$6:$L$23,13)))+(COUNTIF(K220:M220,"?*")&lt;N(INDEX(Setup!$L$6:$L$23,13)))+(COUNTIF(O220:Q220,"?*")&lt;N(INDEX(Setup!$L$6:$L$23,13)))+(COUNTIF(S220:U220,"?*")&lt;N(INDEX(Setup!$L$6:$L$23,13)))+((W220="")*(INDEX(Setup!$M$6:$M$23,13)="Y"))+((Y220="")*(INDEX(Setup!$M$6:$M$23,13)="Y")))</f>
        <v/>
      </c>
      <c r="AC220" s="90">
        <f>IF($B220="","",IF(AB220=0,"✓ covered","⚠ "&amp;AB220&amp;IF(AB220=1," gap"," gaps")))</f>
        <v/>
      </c>
    </row>
    <row r="221" ht="17" customHeight="1">
      <c r="A221" t="n">
        <v>5</v>
      </c>
      <c r="B221" s="29">
        <f>IF(Setup!$K$19="","",Setup!$K$19)</f>
        <v/>
      </c>
      <c r="C221" s="88" t="n"/>
      <c r="D221" s="88" t="n"/>
      <c r="E221" s="88" t="n"/>
      <c r="F221" s="89" t="n"/>
      <c r="G221" s="88" t="n"/>
      <c r="H221" s="88" t="n"/>
      <c r="I221" s="88" t="n"/>
      <c r="J221" s="89" t="n"/>
      <c r="K221" s="88" t="n"/>
      <c r="L221" s="88" t="n"/>
      <c r="M221" s="88" t="n"/>
      <c r="N221" s="89" t="n"/>
      <c r="O221" s="88" t="n"/>
      <c r="P221" s="88" t="n"/>
      <c r="Q221" s="88" t="n"/>
      <c r="R221" s="89" t="n"/>
      <c r="S221" s="88" t="n"/>
      <c r="T221" s="88" t="n"/>
      <c r="U221" s="88" t="n"/>
      <c r="V221" s="89" t="n"/>
      <c r="W221" s="88" t="n"/>
      <c r="X221" s="89" t="n"/>
      <c r="Y221" s="88" t="n"/>
      <c r="Z221" s="89" t="n"/>
      <c r="AB221" s="30">
        <f>IF($B221="","",(COUNTIF(C221:E221,"?*")&lt;N(INDEX(Setup!$L$6:$L$23,14)))+(COUNTIF(G221:I221,"?*")&lt;N(INDEX(Setup!$L$6:$L$23,14)))+(COUNTIF(K221:M221,"?*")&lt;N(INDEX(Setup!$L$6:$L$23,14)))+(COUNTIF(O221:Q221,"?*")&lt;N(INDEX(Setup!$L$6:$L$23,14)))+(COUNTIF(S221:U221,"?*")&lt;N(INDEX(Setup!$L$6:$L$23,14)))+((W221="")*(INDEX(Setup!$M$6:$M$23,14)="Y"))+((Y221="")*(INDEX(Setup!$M$6:$M$23,14)="Y")))</f>
        <v/>
      </c>
      <c r="AC221" s="91">
        <f>IF($B221="","",IF(AB221=0,"✓ covered","⚠ "&amp;AB221&amp;IF(AB221=1," gap"," gaps")))</f>
        <v/>
      </c>
    </row>
    <row r="222" ht="17" customHeight="1">
      <c r="A222" t="n">
        <v>5</v>
      </c>
      <c r="B222" s="24">
        <f>IF(Setup!$K$20="","",Setup!$K$20)</f>
        <v/>
      </c>
      <c r="C222" s="88" t="n"/>
      <c r="D222" s="88" t="n"/>
      <c r="E222" s="88" t="n"/>
      <c r="F222" s="89" t="n"/>
      <c r="G222" s="88" t="n"/>
      <c r="H222" s="88" t="n"/>
      <c r="I222" s="88" t="n"/>
      <c r="J222" s="89" t="n"/>
      <c r="K222" s="88" t="n"/>
      <c r="L222" s="88" t="n"/>
      <c r="M222" s="88" t="n"/>
      <c r="N222" s="89" t="n"/>
      <c r="O222" s="88" t="n"/>
      <c r="P222" s="88" t="n"/>
      <c r="Q222" s="88" t="n"/>
      <c r="R222" s="89" t="n"/>
      <c r="S222" s="88" t="n"/>
      <c r="T222" s="88" t="n"/>
      <c r="U222" s="88" t="n"/>
      <c r="V222" s="89" t="n"/>
      <c r="W222" s="88" t="n"/>
      <c r="X222" s="89" t="n"/>
      <c r="Y222" s="88" t="n"/>
      <c r="Z222" s="89" t="n"/>
      <c r="AB222" s="25">
        <f>IF($B222="","",(COUNTIF(C222:E222,"?*")&lt;N(INDEX(Setup!$L$6:$L$23,15)))+(COUNTIF(G222:I222,"?*")&lt;N(INDEX(Setup!$L$6:$L$23,15)))+(COUNTIF(K222:M222,"?*")&lt;N(INDEX(Setup!$L$6:$L$23,15)))+(COUNTIF(O222:Q222,"?*")&lt;N(INDEX(Setup!$L$6:$L$23,15)))+(COUNTIF(S222:U222,"?*")&lt;N(INDEX(Setup!$L$6:$L$23,15)))+((W222="")*(INDEX(Setup!$M$6:$M$23,15)="Y"))+((Y222="")*(INDEX(Setup!$M$6:$M$23,15)="Y")))</f>
        <v/>
      </c>
      <c r="AC222" s="90">
        <f>IF($B222="","",IF(AB222=0,"✓ covered","⚠ "&amp;AB222&amp;IF(AB222=1," gap"," gaps")))</f>
        <v/>
      </c>
    </row>
    <row r="223" ht="17" customHeight="1">
      <c r="A223" t="n">
        <v>5</v>
      </c>
      <c r="B223" s="29">
        <f>IF(Setup!$K$21="","",Setup!$K$21)</f>
        <v/>
      </c>
      <c r="C223" s="88" t="n"/>
      <c r="D223" s="88" t="n"/>
      <c r="E223" s="88" t="n"/>
      <c r="F223" s="89" t="n"/>
      <c r="G223" s="88" t="n"/>
      <c r="H223" s="88" t="n"/>
      <c r="I223" s="88" t="n"/>
      <c r="J223" s="89" t="n"/>
      <c r="K223" s="88" t="n"/>
      <c r="L223" s="88" t="n"/>
      <c r="M223" s="88" t="n"/>
      <c r="N223" s="89" t="n"/>
      <c r="O223" s="88" t="n"/>
      <c r="P223" s="88" t="n"/>
      <c r="Q223" s="88" t="n"/>
      <c r="R223" s="89" t="n"/>
      <c r="S223" s="88" t="n"/>
      <c r="T223" s="88" t="n"/>
      <c r="U223" s="88" t="n"/>
      <c r="V223" s="89" t="n"/>
      <c r="W223" s="88" t="n"/>
      <c r="X223" s="89" t="n"/>
      <c r="Y223" s="88" t="n"/>
      <c r="Z223" s="89" t="n"/>
      <c r="AB223" s="30">
        <f>IF($B223="","",(COUNTIF(C223:E223,"?*")&lt;N(INDEX(Setup!$L$6:$L$23,16)))+(COUNTIF(G223:I223,"?*")&lt;N(INDEX(Setup!$L$6:$L$23,16)))+(COUNTIF(K223:M223,"?*")&lt;N(INDEX(Setup!$L$6:$L$23,16)))+(COUNTIF(O223:Q223,"?*")&lt;N(INDEX(Setup!$L$6:$L$23,16)))+(COUNTIF(S223:U223,"?*")&lt;N(INDEX(Setup!$L$6:$L$23,16)))+((W223="")*(INDEX(Setup!$M$6:$M$23,16)="Y"))+((Y223="")*(INDEX(Setup!$M$6:$M$23,16)="Y")))</f>
        <v/>
      </c>
      <c r="AC223" s="91">
        <f>IF($B223="","",IF(AB223=0,"✓ covered","⚠ "&amp;AB223&amp;IF(AB223=1," gap"," gaps")))</f>
        <v/>
      </c>
    </row>
    <row r="224" ht="17" customHeight="1">
      <c r="A224" t="n">
        <v>5</v>
      </c>
      <c r="B224" s="24">
        <f>IF(Setup!$K$22="","",Setup!$K$22)</f>
        <v/>
      </c>
      <c r="C224" s="88" t="n"/>
      <c r="D224" s="88" t="n"/>
      <c r="E224" s="88" t="n"/>
      <c r="F224" s="89" t="n"/>
      <c r="G224" s="88" t="n"/>
      <c r="H224" s="88" t="n"/>
      <c r="I224" s="88" t="n"/>
      <c r="J224" s="89" t="n"/>
      <c r="K224" s="88" t="n"/>
      <c r="L224" s="88" t="n"/>
      <c r="M224" s="88" t="n"/>
      <c r="N224" s="89" t="n"/>
      <c r="O224" s="88" t="n"/>
      <c r="P224" s="88" t="n"/>
      <c r="Q224" s="88" t="n"/>
      <c r="R224" s="89" t="n"/>
      <c r="S224" s="88" t="n"/>
      <c r="T224" s="88" t="n"/>
      <c r="U224" s="88" t="n"/>
      <c r="V224" s="89" t="n"/>
      <c r="W224" s="88" t="n"/>
      <c r="X224" s="89" t="n"/>
      <c r="Y224" s="88" t="n"/>
      <c r="Z224" s="89" t="n"/>
      <c r="AB224" s="25">
        <f>IF($B224="","",(COUNTIF(C224:E224,"?*")&lt;N(INDEX(Setup!$L$6:$L$23,17)))+(COUNTIF(G224:I224,"?*")&lt;N(INDEX(Setup!$L$6:$L$23,17)))+(COUNTIF(K224:M224,"?*")&lt;N(INDEX(Setup!$L$6:$L$23,17)))+(COUNTIF(O224:Q224,"?*")&lt;N(INDEX(Setup!$L$6:$L$23,17)))+(COUNTIF(S224:U224,"?*")&lt;N(INDEX(Setup!$L$6:$L$23,17)))+((W224="")*(INDEX(Setup!$M$6:$M$23,17)="Y"))+((Y224="")*(INDEX(Setup!$M$6:$M$23,17)="Y")))</f>
        <v/>
      </c>
      <c r="AC224" s="90">
        <f>IF($B224="","",IF(AB224=0,"✓ covered","⚠ "&amp;AB224&amp;IF(AB224=1," gap"," gaps")))</f>
        <v/>
      </c>
    </row>
    <row r="225" ht="17" customHeight="1">
      <c r="A225" t="n">
        <v>5</v>
      </c>
      <c r="B225" s="29">
        <f>IF(Setup!$K$23="","",Setup!$K$23)</f>
        <v/>
      </c>
      <c r="C225" s="88" t="n"/>
      <c r="D225" s="88" t="n"/>
      <c r="E225" s="88" t="n"/>
      <c r="F225" s="89" t="n"/>
      <c r="G225" s="88" t="n"/>
      <c r="H225" s="88" t="n"/>
      <c r="I225" s="88" t="n"/>
      <c r="J225" s="89" t="n"/>
      <c r="K225" s="88" t="n"/>
      <c r="L225" s="88" t="n"/>
      <c r="M225" s="88" t="n"/>
      <c r="N225" s="89" t="n"/>
      <c r="O225" s="88" t="n"/>
      <c r="P225" s="88" t="n"/>
      <c r="Q225" s="88" t="n"/>
      <c r="R225" s="89" t="n"/>
      <c r="S225" s="88" t="n"/>
      <c r="T225" s="88" t="n"/>
      <c r="U225" s="88" t="n"/>
      <c r="V225" s="89" t="n"/>
      <c r="W225" s="88" t="n"/>
      <c r="X225" s="89" t="n"/>
      <c r="Y225" s="88" t="n"/>
      <c r="Z225" s="89" t="n"/>
      <c r="AB225" s="30">
        <f>IF($B225="","",(COUNTIF(C225:E225,"?*")&lt;N(INDEX(Setup!$L$6:$L$23,18)))+(COUNTIF(G225:I225,"?*")&lt;N(INDEX(Setup!$L$6:$L$23,18)))+(COUNTIF(K225:M225,"?*")&lt;N(INDEX(Setup!$L$6:$L$23,18)))+(COUNTIF(O225:Q225,"?*")&lt;N(INDEX(Setup!$L$6:$L$23,18)))+(COUNTIF(S225:U225,"?*")&lt;N(INDEX(Setup!$L$6:$L$23,18)))+((W225="")*(INDEX(Setup!$M$6:$M$23,18)="Y"))+((Y225="")*(INDEX(Setup!$M$6:$M$23,18)="Y")))</f>
        <v/>
      </c>
      <c r="AC225" s="91">
        <f>IF($B225="","",IF(AB225=0,"✓ covered","⚠ "&amp;AB225&amp;IF(AB225=1," gap"," gaps")))</f>
        <v/>
      </c>
    </row>
    <row r="226" ht="18" customHeight="1">
      <c r="A226" t="n">
        <v>5</v>
      </c>
      <c r="B226" s="78" t="inlineStr">
        <is>
          <t>TEAM AVAILABILITY</t>
        </is>
      </c>
      <c r="C226" s="92" t="inlineStr">
        <is>
          <t>Mon</t>
        </is>
      </c>
      <c r="D226" s="93" t="n"/>
      <c r="E226" s="93" t="n"/>
      <c r="F226" s="94" t="n"/>
      <c r="G226" s="92" t="inlineStr">
        <is>
          <t>Tue</t>
        </is>
      </c>
      <c r="H226" s="93" t="n"/>
      <c r="I226" s="93" t="n"/>
      <c r="J226" s="94" t="n"/>
      <c r="K226" s="92" t="inlineStr">
        <is>
          <t>Wed</t>
        </is>
      </c>
      <c r="L226" s="93" t="n"/>
      <c r="M226" s="93" t="n"/>
      <c r="N226" s="94" t="n"/>
      <c r="O226" s="92" t="inlineStr">
        <is>
          <t>Thu</t>
        </is>
      </c>
      <c r="P226" s="93" t="n"/>
      <c r="Q226" s="93" t="n"/>
      <c r="R226" s="94" t="n"/>
      <c r="S226" s="92" t="inlineStr">
        <is>
          <t>Fri</t>
        </is>
      </c>
      <c r="T226" s="93" t="n"/>
      <c r="U226" s="93" t="n"/>
      <c r="V226" s="94" t="n"/>
      <c r="W226" s="95" t="inlineStr">
        <is>
          <t>Sat</t>
        </is>
      </c>
      <c r="X226" s="96" t="n"/>
      <c r="Y226" s="95" t="inlineStr">
        <is>
          <t>Sun</t>
        </is>
      </c>
      <c r="Z226" s="96" t="n"/>
      <c r="AB226" s="97" t="inlineStr">
        <is>
          <t>Days rostered</t>
        </is>
      </c>
      <c r="AC226" s="97" t="inlineStr">
        <is>
          <t>Conflicts</t>
        </is>
      </c>
    </row>
    <row r="227" ht="15" customHeight="1">
      <c r="A227" t="n">
        <v>5</v>
      </c>
      <c r="B227" s="35">
        <f>IF(Setup!$B$6="","",Setup!$B$6)</f>
        <v/>
      </c>
      <c r="C227" s="98" t="n"/>
      <c r="D227" s="99" t="n"/>
      <c r="E227" s="99" t="n"/>
      <c r="F227" s="100" t="n"/>
      <c r="G227" s="98" t="n"/>
      <c r="H227" s="99" t="n"/>
      <c r="I227" s="99" t="n"/>
      <c r="J227" s="100" t="n"/>
      <c r="K227" s="98" t="n"/>
      <c r="L227" s="99" t="n"/>
      <c r="M227" s="99" t="n"/>
      <c r="N227" s="100" t="n"/>
      <c r="O227" s="98" t="n"/>
      <c r="P227" s="99" t="n"/>
      <c r="Q227" s="99" t="n"/>
      <c r="R227" s="100" t="n"/>
      <c r="S227" s="98" t="n"/>
      <c r="T227" s="99" t="n"/>
      <c r="U227" s="99" t="n"/>
      <c r="V227" s="100" t="n"/>
      <c r="W227" s="98" t="n"/>
      <c r="X227" s="100" t="n"/>
      <c r="Y227" s="98" t="n"/>
      <c r="Z227" s="100" t="n"/>
      <c r="AB227" s="101">
        <f>IF($B227="","",(COUNTIF(C208:E225,$B227)+COUNTIF(C208:E225,$B227&amp;" ~*")&gt;0)+(COUNTIF(G208:I225,$B227)+COUNTIF(G208:I225,$B227&amp;" ~*")&gt;0)+(COUNTIF(K208:M225,$B227)+COUNTIF(K208:M225,$B227&amp;" ~*")&gt;0)+(COUNTIF(O208:Q225,$B227)+COUNTIF(O208:Q225,$B227&amp;" ~*")&gt;0)+(COUNTIF(S208:U225,$B227)+COUNTIF(S208:U225,$B227&amp;" ~*")&gt;0)+(COUNTIF(W208:W225,$B227)+COUNTIF(W208:W225,$B227&amp;" ~*")&gt;0)+(COUNTIF(Y208:Y225,$B227)+COUNTIF(Y208:Y225,$B227&amp;" ~*")&gt;0))</f>
        <v/>
      </c>
      <c r="AC227" s="36">
        <f>IF($B227="","",(IFERROR(INDEX(Setup!$G$33:$G$40,MATCH(C227,Setup!$B$33:$B$40,0)),0)=1)*(COUNTIF(C208:E225,$B227)+COUNTIF(C208:E225,$B227&amp;" ~*")&gt;0)+(IFERROR(INDEX(Setup!$G$33:$G$40,MATCH(G227,Setup!$B$33:$B$40,0)),0)=1)*(COUNTIF(G208:I225,$B227)+COUNTIF(G208:I225,$B227&amp;" ~*")&gt;0)+(IFERROR(INDEX(Setup!$G$33:$G$40,MATCH(K227,Setup!$B$33:$B$40,0)),0)=1)*(COUNTIF(K208:M225,$B227)+COUNTIF(K208:M225,$B227&amp;" ~*")&gt;0)+(IFERROR(INDEX(Setup!$G$33:$G$40,MATCH(O227,Setup!$B$33:$B$40,0)),0)=1)*(COUNTIF(O208:Q225,$B227)+COUNTIF(O208:Q225,$B227&amp;" ~*")&gt;0)+(IFERROR(INDEX(Setup!$G$33:$G$40,MATCH(S227,Setup!$B$33:$B$40,0)),0)=1)*(COUNTIF(S208:U225,$B227)+COUNTIF(S208:U225,$B227&amp;" ~*")&gt;0)+(IFERROR(INDEX(Setup!$G$33:$G$40,MATCH(W227,Setup!$B$33:$B$40,0)),0)=1)*(COUNTIF(W208:W225,$B227)+COUNTIF(W208:W225,$B227&amp;" ~*")&gt;0)+(IFERROR(INDEX(Setup!$G$33:$G$40,MATCH(Y227,Setup!$B$33:$B$40,0)),0)=1)*(COUNTIF(Y208:Y225,$B227)+COUNTIF(Y208:Y225,$B227&amp;" ~*")&gt;0))</f>
        <v/>
      </c>
    </row>
    <row r="228" ht="15" customHeight="1">
      <c r="A228" t="n">
        <v>5</v>
      </c>
      <c r="B228" s="37">
        <f>IF(Setup!$B$7="","",Setup!$B$7)</f>
        <v/>
      </c>
      <c r="C228" s="102" t="n"/>
      <c r="D228" s="103" t="n"/>
      <c r="E228" s="103" t="n"/>
      <c r="F228" s="104" t="n"/>
      <c r="G228" s="102" t="n"/>
      <c r="H228" s="103" t="n"/>
      <c r="I228" s="103" t="n"/>
      <c r="J228" s="104" t="n"/>
      <c r="K228" s="102" t="n"/>
      <c r="L228" s="103" t="n"/>
      <c r="M228" s="103" t="n"/>
      <c r="N228" s="104" t="n"/>
      <c r="O228" s="102" t="n"/>
      <c r="P228" s="103" t="n"/>
      <c r="Q228" s="103" t="n"/>
      <c r="R228" s="104" t="n"/>
      <c r="S228" s="102" t="n"/>
      <c r="T228" s="103" t="n"/>
      <c r="U228" s="103" t="n"/>
      <c r="V228" s="104" t="n"/>
      <c r="W228" s="102" t="n"/>
      <c r="X228" s="104" t="n"/>
      <c r="Y228" s="102" t="n"/>
      <c r="Z228" s="104" t="n"/>
      <c r="AB228" s="105">
        <f>IF($B228="","",(COUNTIF(C208:E225,$B228)+COUNTIF(C208:E225,$B228&amp;" ~*")&gt;0)+(COUNTIF(G208:I225,$B228)+COUNTIF(G208:I225,$B228&amp;" ~*")&gt;0)+(COUNTIF(K208:M225,$B228)+COUNTIF(K208:M225,$B228&amp;" ~*")&gt;0)+(COUNTIF(O208:Q225,$B228)+COUNTIF(O208:Q225,$B228&amp;" ~*")&gt;0)+(COUNTIF(S208:U225,$B228)+COUNTIF(S208:U225,$B228&amp;" ~*")&gt;0)+(COUNTIF(W208:W225,$B228)+COUNTIF(W208:W225,$B228&amp;" ~*")&gt;0)+(COUNTIF(Y208:Y225,$B228)+COUNTIF(Y208:Y225,$B228&amp;" ~*")&gt;0))</f>
        <v/>
      </c>
      <c r="AC228" s="38">
        <f>IF($B228="","",(IFERROR(INDEX(Setup!$G$33:$G$40,MATCH(C228,Setup!$B$33:$B$40,0)),0)=1)*(COUNTIF(C208:E225,$B228)+COUNTIF(C208:E225,$B228&amp;" ~*")&gt;0)+(IFERROR(INDEX(Setup!$G$33:$G$40,MATCH(G228,Setup!$B$33:$B$40,0)),0)=1)*(COUNTIF(G208:I225,$B228)+COUNTIF(G208:I225,$B228&amp;" ~*")&gt;0)+(IFERROR(INDEX(Setup!$G$33:$G$40,MATCH(K228,Setup!$B$33:$B$40,0)),0)=1)*(COUNTIF(K208:M225,$B228)+COUNTIF(K208:M225,$B228&amp;" ~*")&gt;0)+(IFERROR(INDEX(Setup!$G$33:$G$40,MATCH(O228,Setup!$B$33:$B$40,0)),0)=1)*(COUNTIF(O208:Q225,$B228)+COUNTIF(O208:Q225,$B228&amp;" ~*")&gt;0)+(IFERROR(INDEX(Setup!$G$33:$G$40,MATCH(S228,Setup!$B$33:$B$40,0)),0)=1)*(COUNTIF(S208:U225,$B228)+COUNTIF(S208:U225,$B228&amp;" ~*")&gt;0)+(IFERROR(INDEX(Setup!$G$33:$G$40,MATCH(W228,Setup!$B$33:$B$40,0)),0)=1)*(COUNTIF(W208:W225,$B228)+COUNTIF(W208:W225,$B228&amp;" ~*")&gt;0)+(IFERROR(INDEX(Setup!$G$33:$G$40,MATCH(Y228,Setup!$B$33:$B$40,0)),0)=1)*(COUNTIF(Y208:Y225,$B228)+COUNTIF(Y208:Y225,$B228&amp;" ~*")&gt;0))</f>
        <v/>
      </c>
    </row>
    <row r="229" ht="15" customHeight="1">
      <c r="A229" t="n">
        <v>5</v>
      </c>
      <c r="B229" s="35">
        <f>IF(Setup!$B$8="","",Setup!$B$8)</f>
        <v/>
      </c>
      <c r="C229" s="98" t="n"/>
      <c r="D229" s="99" t="n"/>
      <c r="E229" s="99" t="n"/>
      <c r="F229" s="100" t="n"/>
      <c r="G229" s="98" t="n"/>
      <c r="H229" s="99" t="n"/>
      <c r="I229" s="99" t="n"/>
      <c r="J229" s="100" t="n"/>
      <c r="K229" s="98" t="n"/>
      <c r="L229" s="99" t="n"/>
      <c r="M229" s="99" t="n"/>
      <c r="N229" s="100" t="n"/>
      <c r="O229" s="98" t="n"/>
      <c r="P229" s="99" t="n"/>
      <c r="Q229" s="99" t="n"/>
      <c r="R229" s="100" t="n"/>
      <c r="S229" s="98" t="n"/>
      <c r="T229" s="99" t="n"/>
      <c r="U229" s="99" t="n"/>
      <c r="V229" s="100" t="n"/>
      <c r="W229" s="98" t="n"/>
      <c r="X229" s="100" t="n"/>
      <c r="Y229" s="98" t="n"/>
      <c r="Z229" s="100" t="n"/>
      <c r="AB229" s="101">
        <f>IF($B229="","",(COUNTIF(C208:E225,$B229)+COUNTIF(C208:E225,$B229&amp;" ~*")&gt;0)+(COUNTIF(G208:I225,$B229)+COUNTIF(G208:I225,$B229&amp;" ~*")&gt;0)+(COUNTIF(K208:M225,$B229)+COUNTIF(K208:M225,$B229&amp;" ~*")&gt;0)+(COUNTIF(O208:Q225,$B229)+COUNTIF(O208:Q225,$B229&amp;" ~*")&gt;0)+(COUNTIF(S208:U225,$B229)+COUNTIF(S208:U225,$B229&amp;" ~*")&gt;0)+(COUNTIF(W208:W225,$B229)+COUNTIF(W208:W225,$B229&amp;" ~*")&gt;0)+(COUNTIF(Y208:Y225,$B229)+COUNTIF(Y208:Y225,$B229&amp;" ~*")&gt;0))</f>
        <v/>
      </c>
      <c r="AC229" s="36">
        <f>IF($B229="","",(IFERROR(INDEX(Setup!$G$33:$G$40,MATCH(C229,Setup!$B$33:$B$40,0)),0)=1)*(COUNTIF(C208:E225,$B229)+COUNTIF(C208:E225,$B229&amp;" ~*")&gt;0)+(IFERROR(INDEX(Setup!$G$33:$G$40,MATCH(G229,Setup!$B$33:$B$40,0)),0)=1)*(COUNTIF(G208:I225,$B229)+COUNTIF(G208:I225,$B229&amp;" ~*")&gt;0)+(IFERROR(INDEX(Setup!$G$33:$G$40,MATCH(K229,Setup!$B$33:$B$40,0)),0)=1)*(COUNTIF(K208:M225,$B229)+COUNTIF(K208:M225,$B229&amp;" ~*")&gt;0)+(IFERROR(INDEX(Setup!$G$33:$G$40,MATCH(O229,Setup!$B$33:$B$40,0)),0)=1)*(COUNTIF(O208:Q225,$B229)+COUNTIF(O208:Q225,$B229&amp;" ~*")&gt;0)+(IFERROR(INDEX(Setup!$G$33:$G$40,MATCH(S229,Setup!$B$33:$B$40,0)),0)=1)*(COUNTIF(S208:U225,$B229)+COUNTIF(S208:U225,$B229&amp;" ~*")&gt;0)+(IFERROR(INDEX(Setup!$G$33:$G$40,MATCH(W229,Setup!$B$33:$B$40,0)),0)=1)*(COUNTIF(W208:W225,$B229)+COUNTIF(W208:W225,$B229&amp;" ~*")&gt;0)+(IFERROR(INDEX(Setup!$G$33:$G$40,MATCH(Y229,Setup!$B$33:$B$40,0)),0)=1)*(COUNTIF(Y208:Y225,$B229)+COUNTIF(Y208:Y225,$B229&amp;" ~*")&gt;0))</f>
        <v/>
      </c>
    </row>
    <row r="230" ht="15" customHeight="1">
      <c r="A230" t="n">
        <v>5</v>
      </c>
      <c r="B230" s="37">
        <f>IF(Setup!$B$9="","",Setup!$B$9)</f>
        <v/>
      </c>
      <c r="C230" s="102" t="n"/>
      <c r="D230" s="103" t="n"/>
      <c r="E230" s="103" t="n"/>
      <c r="F230" s="104" t="n"/>
      <c r="G230" s="102" t="n"/>
      <c r="H230" s="103" t="n"/>
      <c r="I230" s="103" t="n"/>
      <c r="J230" s="104" t="n"/>
      <c r="K230" s="102" t="n"/>
      <c r="L230" s="103" t="n"/>
      <c r="M230" s="103" t="n"/>
      <c r="N230" s="104" t="n"/>
      <c r="O230" s="102" t="n"/>
      <c r="P230" s="103" t="n"/>
      <c r="Q230" s="103" t="n"/>
      <c r="R230" s="104" t="n"/>
      <c r="S230" s="102" t="n"/>
      <c r="T230" s="103" t="n"/>
      <c r="U230" s="103" t="n"/>
      <c r="V230" s="104" t="n"/>
      <c r="W230" s="102" t="n"/>
      <c r="X230" s="104" t="n"/>
      <c r="Y230" s="102" t="n"/>
      <c r="Z230" s="104" t="n"/>
      <c r="AB230" s="105">
        <f>IF($B230="","",(COUNTIF(C208:E225,$B230)+COUNTIF(C208:E225,$B230&amp;" ~*")&gt;0)+(COUNTIF(G208:I225,$B230)+COUNTIF(G208:I225,$B230&amp;" ~*")&gt;0)+(COUNTIF(K208:M225,$B230)+COUNTIF(K208:M225,$B230&amp;" ~*")&gt;0)+(COUNTIF(O208:Q225,$B230)+COUNTIF(O208:Q225,$B230&amp;" ~*")&gt;0)+(COUNTIF(S208:U225,$B230)+COUNTIF(S208:U225,$B230&amp;" ~*")&gt;0)+(COUNTIF(W208:W225,$B230)+COUNTIF(W208:W225,$B230&amp;" ~*")&gt;0)+(COUNTIF(Y208:Y225,$B230)+COUNTIF(Y208:Y225,$B230&amp;" ~*")&gt;0))</f>
        <v/>
      </c>
      <c r="AC230" s="38">
        <f>IF($B230="","",(IFERROR(INDEX(Setup!$G$33:$G$40,MATCH(C230,Setup!$B$33:$B$40,0)),0)=1)*(COUNTIF(C208:E225,$B230)+COUNTIF(C208:E225,$B230&amp;" ~*")&gt;0)+(IFERROR(INDEX(Setup!$G$33:$G$40,MATCH(G230,Setup!$B$33:$B$40,0)),0)=1)*(COUNTIF(G208:I225,$B230)+COUNTIF(G208:I225,$B230&amp;" ~*")&gt;0)+(IFERROR(INDEX(Setup!$G$33:$G$40,MATCH(K230,Setup!$B$33:$B$40,0)),0)=1)*(COUNTIF(K208:M225,$B230)+COUNTIF(K208:M225,$B230&amp;" ~*")&gt;0)+(IFERROR(INDEX(Setup!$G$33:$G$40,MATCH(O230,Setup!$B$33:$B$40,0)),0)=1)*(COUNTIF(O208:Q225,$B230)+COUNTIF(O208:Q225,$B230&amp;" ~*")&gt;0)+(IFERROR(INDEX(Setup!$G$33:$G$40,MATCH(S230,Setup!$B$33:$B$40,0)),0)=1)*(COUNTIF(S208:U225,$B230)+COUNTIF(S208:U225,$B230&amp;" ~*")&gt;0)+(IFERROR(INDEX(Setup!$G$33:$G$40,MATCH(W230,Setup!$B$33:$B$40,0)),0)=1)*(COUNTIF(W208:W225,$B230)+COUNTIF(W208:W225,$B230&amp;" ~*")&gt;0)+(IFERROR(INDEX(Setup!$G$33:$G$40,MATCH(Y230,Setup!$B$33:$B$40,0)),0)=1)*(COUNTIF(Y208:Y225,$B230)+COUNTIF(Y208:Y225,$B230&amp;" ~*")&gt;0))</f>
        <v/>
      </c>
    </row>
    <row r="231" ht="15" customHeight="1">
      <c r="A231" t="n">
        <v>5</v>
      </c>
      <c r="B231" s="35">
        <f>IF(Setup!$B$10="","",Setup!$B$10)</f>
        <v/>
      </c>
      <c r="C231" s="98" t="n"/>
      <c r="D231" s="99" t="n"/>
      <c r="E231" s="99" t="n"/>
      <c r="F231" s="100" t="n"/>
      <c r="G231" s="98" t="n"/>
      <c r="H231" s="99" t="n"/>
      <c r="I231" s="99" t="n"/>
      <c r="J231" s="100" t="n"/>
      <c r="K231" s="98" t="n"/>
      <c r="L231" s="99" t="n"/>
      <c r="M231" s="99" t="n"/>
      <c r="N231" s="100" t="n"/>
      <c r="O231" s="98" t="n"/>
      <c r="P231" s="99" t="n"/>
      <c r="Q231" s="99" t="n"/>
      <c r="R231" s="100" t="n"/>
      <c r="S231" s="98" t="n"/>
      <c r="T231" s="99" t="n"/>
      <c r="U231" s="99" t="n"/>
      <c r="V231" s="100" t="n"/>
      <c r="W231" s="98" t="n"/>
      <c r="X231" s="100" t="n"/>
      <c r="Y231" s="98" t="n"/>
      <c r="Z231" s="100" t="n"/>
      <c r="AB231" s="101">
        <f>IF($B231="","",(COUNTIF(C208:E225,$B231)+COUNTIF(C208:E225,$B231&amp;" ~*")&gt;0)+(COUNTIF(G208:I225,$B231)+COUNTIF(G208:I225,$B231&amp;" ~*")&gt;0)+(COUNTIF(K208:M225,$B231)+COUNTIF(K208:M225,$B231&amp;" ~*")&gt;0)+(COUNTIF(O208:Q225,$B231)+COUNTIF(O208:Q225,$B231&amp;" ~*")&gt;0)+(COUNTIF(S208:U225,$B231)+COUNTIF(S208:U225,$B231&amp;" ~*")&gt;0)+(COUNTIF(W208:W225,$B231)+COUNTIF(W208:W225,$B231&amp;" ~*")&gt;0)+(COUNTIF(Y208:Y225,$B231)+COUNTIF(Y208:Y225,$B231&amp;" ~*")&gt;0))</f>
        <v/>
      </c>
      <c r="AC231" s="36">
        <f>IF($B231="","",(IFERROR(INDEX(Setup!$G$33:$G$40,MATCH(C231,Setup!$B$33:$B$40,0)),0)=1)*(COUNTIF(C208:E225,$B231)+COUNTIF(C208:E225,$B231&amp;" ~*")&gt;0)+(IFERROR(INDEX(Setup!$G$33:$G$40,MATCH(G231,Setup!$B$33:$B$40,0)),0)=1)*(COUNTIF(G208:I225,$B231)+COUNTIF(G208:I225,$B231&amp;" ~*")&gt;0)+(IFERROR(INDEX(Setup!$G$33:$G$40,MATCH(K231,Setup!$B$33:$B$40,0)),0)=1)*(COUNTIF(K208:M225,$B231)+COUNTIF(K208:M225,$B231&amp;" ~*")&gt;0)+(IFERROR(INDEX(Setup!$G$33:$G$40,MATCH(O231,Setup!$B$33:$B$40,0)),0)=1)*(COUNTIF(O208:Q225,$B231)+COUNTIF(O208:Q225,$B231&amp;" ~*")&gt;0)+(IFERROR(INDEX(Setup!$G$33:$G$40,MATCH(S231,Setup!$B$33:$B$40,0)),0)=1)*(COUNTIF(S208:U225,$B231)+COUNTIF(S208:U225,$B231&amp;" ~*")&gt;0)+(IFERROR(INDEX(Setup!$G$33:$G$40,MATCH(W231,Setup!$B$33:$B$40,0)),0)=1)*(COUNTIF(W208:W225,$B231)+COUNTIF(W208:W225,$B231&amp;" ~*")&gt;0)+(IFERROR(INDEX(Setup!$G$33:$G$40,MATCH(Y231,Setup!$B$33:$B$40,0)),0)=1)*(COUNTIF(Y208:Y225,$B231)+COUNTIF(Y208:Y225,$B231&amp;" ~*")&gt;0))</f>
        <v/>
      </c>
    </row>
    <row r="232" ht="15" customHeight="1">
      <c r="A232" t="n">
        <v>5</v>
      </c>
      <c r="B232" s="37">
        <f>IF(Setup!$B$11="","",Setup!$B$11)</f>
        <v/>
      </c>
      <c r="C232" s="102" t="n"/>
      <c r="D232" s="103" t="n"/>
      <c r="E232" s="103" t="n"/>
      <c r="F232" s="104" t="n"/>
      <c r="G232" s="102" t="n"/>
      <c r="H232" s="103" t="n"/>
      <c r="I232" s="103" t="n"/>
      <c r="J232" s="104" t="n"/>
      <c r="K232" s="102" t="n"/>
      <c r="L232" s="103" t="n"/>
      <c r="M232" s="103" t="n"/>
      <c r="N232" s="104" t="n"/>
      <c r="O232" s="102" t="n"/>
      <c r="P232" s="103" t="n"/>
      <c r="Q232" s="103" t="n"/>
      <c r="R232" s="104" t="n"/>
      <c r="S232" s="102" t="n"/>
      <c r="T232" s="103" t="n"/>
      <c r="U232" s="103" t="n"/>
      <c r="V232" s="104" t="n"/>
      <c r="W232" s="102" t="n"/>
      <c r="X232" s="104" t="n"/>
      <c r="Y232" s="102" t="n"/>
      <c r="Z232" s="104" t="n"/>
      <c r="AB232" s="105">
        <f>IF($B232="","",(COUNTIF(C208:E225,$B232)+COUNTIF(C208:E225,$B232&amp;" ~*")&gt;0)+(COUNTIF(G208:I225,$B232)+COUNTIF(G208:I225,$B232&amp;" ~*")&gt;0)+(COUNTIF(K208:M225,$B232)+COUNTIF(K208:M225,$B232&amp;" ~*")&gt;0)+(COUNTIF(O208:Q225,$B232)+COUNTIF(O208:Q225,$B232&amp;" ~*")&gt;0)+(COUNTIF(S208:U225,$B232)+COUNTIF(S208:U225,$B232&amp;" ~*")&gt;0)+(COUNTIF(W208:W225,$B232)+COUNTIF(W208:W225,$B232&amp;" ~*")&gt;0)+(COUNTIF(Y208:Y225,$B232)+COUNTIF(Y208:Y225,$B232&amp;" ~*")&gt;0))</f>
        <v/>
      </c>
      <c r="AC232" s="38">
        <f>IF($B232="","",(IFERROR(INDEX(Setup!$G$33:$G$40,MATCH(C232,Setup!$B$33:$B$40,0)),0)=1)*(COUNTIF(C208:E225,$B232)+COUNTIF(C208:E225,$B232&amp;" ~*")&gt;0)+(IFERROR(INDEX(Setup!$G$33:$G$40,MATCH(G232,Setup!$B$33:$B$40,0)),0)=1)*(COUNTIF(G208:I225,$B232)+COUNTIF(G208:I225,$B232&amp;" ~*")&gt;0)+(IFERROR(INDEX(Setup!$G$33:$G$40,MATCH(K232,Setup!$B$33:$B$40,0)),0)=1)*(COUNTIF(K208:M225,$B232)+COUNTIF(K208:M225,$B232&amp;" ~*")&gt;0)+(IFERROR(INDEX(Setup!$G$33:$G$40,MATCH(O232,Setup!$B$33:$B$40,0)),0)=1)*(COUNTIF(O208:Q225,$B232)+COUNTIF(O208:Q225,$B232&amp;" ~*")&gt;0)+(IFERROR(INDEX(Setup!$G$33:$G$40,MATCH(S232,Setup!$B$33:$B$40,0)),0)=1)*(COUNTIF(S208:U225,$B232)+COUNTIF(S208:U225,$B232&amp;" ~*")&gt;0)+(IFERROR(INDEX(Setup!$G$33:$G$40,MATCH(W232,Setup!$B$33:$B$40,0)),0)=1)*(COUNTIF(W208:W225,$B232)+COUNTIF(W208:W225,$B232&amp;" ~*")&gt;0)+(IFERROR(INDEX(Setup!$G$33:$G$40,MATCH(Y232,Setup!$B$33:$B$40,0)),0)=1)*(COUNTIF(Y208:Y225,$B232)+COUNTIF(Y208:Y225,$B232&amp;" ~*")&gt;0))</f>
        <v/>
      </c>
    </row>
    <row r="233" ht="15" customHeight="1">
      <c r="A233" t="n">
        <v>5</v>
      </c>
      <c r="B233" s="35">
        <f>IF(Setup!$B$12="","",Setup!$B$12)</f>
        <v/>
      </c>
      <c r="C233" s="98" t="n"/>
      <c r="D233" s="99" t="n"/>
      <c r="E233" s="99" t="n"/>
      <c r="F233" s="100" t="n"/>
      <c r="G233" s="98" t="n"/>
      <c r="H233" s="99" t="n"/>
      <c r="I233" s="99" t="n"/>
      <c r="J233" s="100" t="n"/>
      <c r="K233" s="98" t="n"/>
      <c r="L233" s="99" t="n"/>
      <c r="M233" s="99" t="n"/>
      <c r="N233" s="100" t="n"/>
      <c r="O233" s="98" t="n"/>
      <c r="P233" s="99" t="n"/>
      <c r="Q233" s="99" t="n"/>
      <c r="R233" s="100" t="n"/>
      <c r="S233" s="98" t="n"/>
      <c r="T233" s="99" t="n"/>
      <c r="U233" s="99" t="n"/>
      <c r="V233" s="100" t="n"/>
      <c r="W233" s="98" t="n"/>
      <c r="X233" s="100" t="n"/>
      <c r="Y233" s="98" t="n"/>
      <c r="Z233" s="100" t="n"/>
      <c r="AB233" s="101">
        <f>IF($B233="","",(COUNTIF(C208:E225,$B233)+COUNTIF(C208:E225,$B233&amp;" ~*")&gt;0)+(COUNTIF(G208:I225,$B233)+COUNTIF(G208:I225,$B233&amp;" ~*")&gt;0)+(COUNTIF(K208:M225,$B233)+COUNTIF(K208:M225,$B233&amp;" ~*")&gt;0)+(COUNTIF(O208:Q225,$B233)+COUNTIF(O208:Q225,$B233&amp;" ~*")&gt;0)+(COUNTIF(S208:U225,$B233)+COUNTIF(S208:U225,$B233&amp;" ~*")&gt;0)+(COUNTIF(W208:W225,$B233)+COUNTIF(W208:W225,$B233&amp;" ~*")&gt;0)+(COUNTIF(Y208:Y225,$B233)+COUNTIF(Y208:Y225,$B233&amp;" ~*")&gt;0))</f>
        <v/>
      </c>
      <c r="AC233" s="36">
        <f>IF($B233="","",(IFERROR(INDEX(Setup!$G$33:$G$40,MATCH(C233,Setup!$B$33:$B$40,0)),0)=1)*(COUNTIF(C208:E225,$B233)+COUNTIF(C208:E225,$B233&amp;" ~*")&gt;0)+(IFERROR(INDEX(Setup!$G$33:$G$40,MATCH(G233,Setup!$B$33:$B$40,0)),0)=1)*(COUNTIF(G208:I225,$B233)+COUNTIF(G208:I225,$B233&amp;" ~*")&gt;0)+(IFERROR(INDEX(Setup!$G$33:$G$40,MATCH(K233,Setup!$B$33:$B$40,0)),0)=1)*(COUNTIF(K208:M225,$B233)+COUNTIF(K208:M225,$B233&amp;" ~*")&gt;0)+(IFERROR(INDEX(Setup!$G$33:$G$40,MATCH(O233,Setup!$B$33:$B$40,0)),0)=1)*(COUNTIF(O208:Q225,$B233)+COUNTIF(O208:Q225,$B233&amp;" ~*")&gt;0)+(IFERROR(INDEX(Setup!$G$33:$G$40,MATCH(S233,Setup!$B$33:$B$40,0)),0)=1)*(COUNTIF(S208:U225,$B233)+COUNTIF(S208:U225,$B233&amp;" ~*")&gt;0)+(IFERROR(INDEX(Setup!$G$33:$G$40,MATCH(W233,Setup!$B$33:$B$40,0)),0)=1)*(COUNTIF(W208:W225,$B233)+COUNTIF(W208:W225,$B233&amp;" ~*")&gt;0)+(IFERROR(INDEX(Setup!$G$33:$G$40,MATCH(Y233,Setup!$B$33:$B$40,0)),0)=1)*(COUNTIF(Y208:Y225,$B233)+COUNTIF(Y208:Y225,$B233&amp;" ~*")&gt;0))</f>
        <v/>
      </c>
    </row>
    <row r="234" ht="15" customHeight="1">
      <c r="A234" t="n">
        <v>5</v>
      </c>
      <c r="B234" s="37">
        <f>IF(Setup!$B$13="","",Setup!$B$13)</f>
        <v/>
      </c>
      <c r="C234" s="102" t="n"/>
      <c r="D234" s="103" t="n"/>
      <c r="E234" s="103" t="n"/>
      <c r="F234" s="104" t="n"/>
      <c r="G234" s="102" t="n"/>
      <c r="H234" s="103" t="n"/>
      <c r="I234" s="103" t="n"/>
      <c r="J234" s="104" t="n"/>
      <c r="K234" s="102" t="n"/>
      <c r="L234" s="103" t="n"/>
      <c r="M234" s="103" t="n"/>
      <c r="N234" s="104" t="n"/>
      <c r="O234" s="102" t="n"/>
      <c r="P234" s="103" t="n"/>
      <c r="Q234" s="103" t="n"/>
      <c r="R234" s="104" t="n"/>
      <c r="S234" s="102" t="n"/>
      <c r="T234" s="103" t="n"/>
      <c r="U234" s="103" t="n"/>
      <c r="V234" s="104" t="n"/>
      <c r="W234" s="102" t="n"/>
      <c r="X234" s="104" t="n"/>
      <c r="Y234" s="102" t="n"/>
      <c r="Z234" s="104" t="n"/>
      <c r="AB234" s="105">
        <f>IF($B234="","",(COUNTIF(C208:E225,$B234)+COUNTIF(C208:E225,$B234&amp;" ~*")&gt;0)+(COUNTIF(G208:I225,$B234)+COUNTIF(G208:I225,$B234&amp;" ~*")&gt;0)+(COUNTIF(K208:M225,$B234)+COUNTIF(K208:M225,$B234&amp;" ~*")&gt;0)+(COUNTIF(O208:Q225,$B234)+COUNTIF(O208:Q225,$B234&amp;" ~*")&gt;0)+(COUNTIF(S208:U225,$B234)+COUNTIF(S208:U225,$B234&amp;" ~*")&gt;0)+(COUNTIF(W208:W225,$B234)+COUNTIF(W208:W225,$B234&amp;" ~*")&gt;0)+(COUNTIF(Y208:Y225,$B234)+COUNTIF(Y208:Y225,$B234&amp;" ~*")&gt;0))</f>
        <v/>
      </c>
      <c r="AC234" s="38">
        <f>IF($B234="","",(IFERROR(INDEX(Setup!$G$33:$G$40,MATCH(C234,Setup!$B$33:$B$40,0)),0)=1)*(COUNTIF(C208:E225,$B234)+COUNTIF(C208:E225,$B234&amp;" ~*")&gt;0)+(IFERROR(INDEX(Setup!$G$33:$G$40,MATCH(G234,Setup!$B$33:$B$40,0)),0)=1)*(COUNTIF(G208:I225,$B234)+COUNTIF(G208:I225,$B234&amp;" ~*")&gt;0)+(IFERROR(INDEX(Setup!$G$33:$G$40,MATCH(K234,Setup!$B$33:$B$40,0)),0)=1)*(COUNTIF(K208:M225,$B234)+COUNTIF(K208:M225,$B234&amp;" ~*")&gt;0)+(IFERROR(INDEX(Setup!$G$33:$G$40,MATCH(O234,Setup!$B$33:$B$40,0)),0)=1)*(COUNTIF(O208:Q225,$B234)+COUNTIF(O208:Q225,$B234&amp;" ~*")&gt;0)+(IFERROR(INDEX(Setup!$G$33:$G$40,MATCH(S234,Setup!$B$33:$B$40,0)),0)=1)*(COUNTIF(S208:U225,$B234)+COUNTIF(S208:U225,$B234&amp;" ~*")&gt;0)+(IFERROR(INDEX(Setup!$G$33:$G$40,MATCH(W234,Setup!$B$33:$B$40,0)),0)=1)*(COUNTIF(W208:W225,$B234)+COUNTIF(W208:W225,$B234&amp;" ~*")&gt;0)+(IFERROR(INDEX(Setup!$G$33:$G$40,MATCH(Y234,Setup!$B$33:$B$40,0)),0)=1)*(COUNTIF(Y208:Y225,$B234)+COUNTIF(Y208:Y225,$B234&amp;" ~*")&gt;0))</f>
        <v/>
      </c>
    </row>
    <row r="235" ht="15" customHeight="1">
      <c r="A235" t="n">
        <v>5</v>
      </c>
      <c r="B235" s="35">
        <f>IF(Setup!$B$14="","",Setup!$B$14)</f>
        <v/>
      </c>
      <c r="C235" s="98" t="n"/>
      <c r="D235" s="99" t="n"/>
      <c r="E235" s="99" t="n"/>
      <c r="F235" s="100" t="n"/>
      <c r="G235" s="98" t="n"/>
      <c r="H235" s="99" t="n"/>
      <c r="I235" s="99" t="n"/>
      <c r="J235" s="100" t="n"/>
      <c r="K235" s="98" t="n"/>
      <c r="L235" s="99" t="n"/>
      <c r="M235" s="99" t="n"/>
      <c r="N235" s="100" t="n"/>
      <c r="O235" s="98" t="n"/>
      <c r="P235" s="99" t="n"/>
      <c r="Q235" s="99" t="n"/>
      <c r="R235" s="100" t="n"/>
      <c r="S235" s="98" t="n"/>
      <c r="T235" s="99" t="n"/>
      <c r="U235" s="99" t="n"/>
      <c r="V235" s="100" t="n"/>
      <c r="W235" s="98" t="n"/>
      <c r="X235" s="100" t="n"/>
      <c r="Y235" s="98" t="n"/>
      <c r="Z235" s="100" t="n"/>
      <c r="AB235" s="101">
        <f>IF($B235="","",(COUNTIF(C208:E225,$B235)+COUNTIF(C208:E225,$B235&amp;" ~*")&gt;0)+(COUNTIF(G208:I225,$B235)+COUNTIF(G208:I225,$B235&amp;" ~*")&gt;0)+(COUNTIF(K208:M225,$B235)+COUNTIF(K208:M225,$B235&amp;" ~*")&gt;0)+(COUNTIF(O208:Q225,$B235)+COUNTIF(O208:Q225,$B235&amp;" ~*")&gt;0)+(COUNTIF(S208:U225,$B235)+COUNTIF(S208:U225,$B235&amp;" ~*")&gt;0)+(COUNTIF(W208:W225,$B235)+COUNTIF(W208:W225,$B235&amp;" ~*")&gt;0)+(COUNTIF(Y208:Y225,$B235)+COUNTIF(Y208:Y225,$B235&amp;" ~*")&gt;0))</f>
        <v/>
      </c>
      <c r="AC235" s="36">
        <f>IF($B235="","",(IFERROR(INDEX(Setup!$G$33:$G$40,MATCH(C235,Setup!$B$33:$B$40,0)),0)=1)*(COUNTIF(C208:E225,$B235)+COUNTIF(C208:E225,$B235&amp;" ~*")&gt;0)+(IFERROR(INDEX(Setup!$G$33:$G$40,MATCH(G235,Setup!$B$33:$B$40,0)),0)=1)*(COUNTIF(G208:I225,$B235)+COUNTIF(G208:I225,$B235&amp;" ~*")&gt;0)+(IFERROR(INDEX(Setup!$G$33:$G$40,MATCH(K235,Setup!$B$33:$B$40,0)),0)=1)*(COUNTIF(K208:M225,$B235)+COUNTIF(K208:M225,$B235&amp;" ~*")&gt;0)+(IFERROR(INDEX(Setup!$G$33:$G$40,MATCH(O235,Setup!$B$33:$B$40,0)),0)=1)*(COUNTIF(O208:Q225,$B235)+COUNTIF(O208:Q225,$B235&amp;" ~*")&gt;0)+(IFERROR(INDEX(Setup!$G$33:$G$40,MATCH(S235,Setup!$B$33:$B$40,0)),0)=1)*(COUNTIF(S208:U225,$B235)+COUNTIF(S208:U225,$B235&amp;" ~*")&gt;0)+(IFERROR(INDEX(Setup!$G$33:$G$40,MATCH(W235,Setup!$B$33:$B$40,0)),0)=1)*(COUNTIF(W208:W225,$B235)+COUNTIF(W208:W225,$B235&amp;" ~*")&gt;0)+(IFERROR(INDEX(Setup!$G$33:$G$40,MATCH(Y235,Setup!$B$33:$B$40,0)),0)=1)*(COUNTIF(Y208:Y225,$B235)+COUNTIF(Y208:Y225,$B235&amp;" ~*")&gt;0))</f>
        <v/>
      </c>
    </row>
    <row r="236" ht="15" customHeight="1">
      <c r="A236" t="n">
        <v>5</v>
      </c>
      <c r="B236" s="37">
        <f>IF(Setup!$B$15="","",Setup!$B$15)</f>
        <v/>
      </c>
      <c r="C236" s="102" t="n"/>
      <c r="D236" s="103" t="n"/>
      <c r="E236" s="103" t="n"/>
      <c r="F236" s="104" t="n"/>
      <c r="G236" s="102" t="n"/>
      <c r="H236" s="103" t="n"/>
      <c r="I236" s="103" t="n"/>
      <c r="J236" s="104" t="n"/>
      <c r="K236" s="102" t="n"/>
      <c r="L236" s="103" t="n"/>
      <c r="M236" s="103" t="n"/>
      <c r="N236" s="104" t="n"/>
      <c r="O236" s="102" t="n"/>
      <c r="P236" s="103" t="n"/>
      <c r="Q236" s="103" t="n"/>
      <c r="R236" s="104" t="n"/>
      <c r="S236" s="102" t="n"/>
      <c r="T236" s="103" t="n"/>
      <c r="U236" s="103" t="n"/>
      <c r="V236" s="104" t="n"/>
      <c r="W236" s="102" t="n"/>
      <c r="X236" s="104" t="n"/>
      <c r="Y236" s="102" t="n"/>
      <c r="Z236" s="104" t="n"/>
      <c r="AB236" s="105">
        <f>IF($B236="","",(COUNTIF(C208:E225,$B236)+COUNTIF(C208:E225,$B236&amp;" ~*")&gt;0)+(COUNTIF(G208:I225,$B236)+COUNTIF(G208:I225,$B236&amp;" ~*")&gt;0)+(COUNTIF(K208:M225,$B236)+COUNTIF(K208:M225,$B236&amp;" ~*")&gt;0)+(COUNTIF(O208:Q225,$B236)+COUNTIF(O208:Q225,$B236&amp;" ~*")&gt;0)+(COUNTIF(S208:U225,$B236)+COUNTIF(S208:U225,$B236&amp;" ~*")&gt;0)+(COUNTIF(W208:W225,$B236)+COUNTIF(W208:W225,$B236&amp;" ~*")&gt;0)+(COUNTIF(Y208:Y225,$B236)+COUNTIF(Y208:Y225,$B236&amp;" ~*")&gt;0))</f>
        <v/>
      </c>
      <c r="AC236" s="38">
        <f>IF($B236="","",(IFERROR(INDEX(Setup!$G$33:$G$40,MATCH(C236,Setup!$B$33:$B$40,0)),0)=1)*(COUNTIF(C208:E225,$B236)+COUNTIF(C208:E225,$B236&amp;" ~*")&gt;0)+(IFERROR(INDEX(Setup!$G$33:$G$40,MATCH(G236,Setup!$B$33:$B$40,0)),0)=1)*(COUNTIF(G208:I225,$B236)+COUNTIF(G208:I225,$B236&amp;" ~*")&gt;0)+(IFERROR(INDEX(Setup!$G$33:$G$40,MATCH(K236,Setup!$B$33:$B$40,0)),0)=1)*(COUNTIF(K208:M225,$B236)+COUNTIF(K208:M225,$B236&amp;" ~*")&gt;0)+(IFERROR(INDEX(Setup!$G$33:$G$40,MATCH(O236,Setup!$B$33:$B$40,0)),0)=1)*(COUNTIF(O208:Q225,$B236)+COUNTIF(O208:Q225,$B236&amp;" ~*")&gt;0)+(IFERROR(INDEX(Setup!$G$33:$G$40,MATCH(S236,Setup!$B$33:$B$40,0)),0)=1)*(COUNTIF(S208:U225,$B236)+COUNTIF(S208:U225,$B236&amp;" ~*")&gt;0)+(IFERROR(INDEX(Setup!$G$33:$G$40,MATCH(W236,Setup!$B$33:$B$40,0)),0)=1)*(COUNTIF(W208:W225,$B236)+COUNTIF(W208:W225,$B236&amp;" ~*")&gt;0)+(IFERROR(INDEX(Setup!$G$33:$G$40,MATCH(Y236,Setup!$B$33:$B$40,0)),0)=1)*(COUNTIF(Y208:Y225,$B236)+COUNTIF(Y208:Y225,$B236&amp;" ~*")&gt;0))</f>
        <v/>
      </c>
    </row>
    <row r="237" ht="15" customHeight="1">
      <c r="A237" t="n">
        <v>5</v>
      </c>
      <c r="B237" s="35">
        <f>IF(Setup!$B$16="","",Setup!$B$16)</f>
        <v/>
      </c>
      <c r="C237" s="98" t="n"/>
      <c r="D237" s="99" t="n"/>
      <c r="E237" s="99" t="n"/>
      <c r="F237" s="100" t="n"/>
      <c r="G237" s="98" t="n"/>
      <c r="H237" s="99" t="n"/>
      <c r="I237" s="99" t="n"/>
      <c r="J237" s="100" t="n"/>
      <c r="K237" s="98" t="n"/>
      <c r="L237" s="99" t="n"/>
      <c r="M237" s="99" t="n"/>
      <c r="N237" s="100" t="n"/>
      <c r="O237" s="98" t="n"/>
      <c r="P237" s="99" t="n"/>
      <c r="Q237" s="99" t="n"/>
      <c r="R237" s="100" t="n"/>
      <c r="S237" s="98" t="n"/>
      <c r="T237" s="99" t="n"/>
      <c r="U237" s="99" t="n"/>
      <c r="V237" s="100" t="n"/>
      <c r="W237" s="98" t="n"/>
      <c r="X237" s="100" t="n"/>
      <c r="Y237" s="98" t="n"/>
      <c r="Z237" s="100" t="n"/>
      <c r="AB237" s="101">
        <f>IF($B237="","",(COUNTIF(C208:E225,$B237)+COUNTIF(C208:E225,$B237&amp;" ~*")&gt;0)+(COUNTIF(G208:I225,$B237)+COUNTIF(G208:I225,$B237&amp;" ~*")&gt;0)+(COUNTIF(K208:M225,$B237)+COUNTIF(K208:M225,$B237&amp;" ~*")&gt;0)+(COUNTIF(O208:Q225,$B237)+COUNTIF(O208:Q225,$B237&amp;" ~*")&gt;0)+(COUNTIF(S208:U225,$B237)+COUNTIF(S208:U225,$B237&amp;" ~*")&gt;0)+(COUNTIF(W208:W225,$B237)+COUNTIF(W208:W225,$B237&amp;" ~*")&gt;0)+(COUNTIF(Y208:Y225,$B237)+COUNTIF(Y208:Y225,$B237&amp;" ~*")&gt;0))</f>
        <v/>
      </c>
      <c r="AC237" s="36">
        <f>IF($B237="","",(IFERROR(INDEX(Setup!$G$33:$G$40,MATCH(C237,Setup!$B$33:$B$40,0)),0)=1)*(COUNTIF(C208:E225,$B237)+COUNTIF(C208:E225,$B237&amp;" ~*")&gt;0)+(IFERROR(INDEX(Setup!$G$33:$G$40,MATCH(G237,Setup!$B$33:$B$40,0)),0)=1)*(COUNTIF(G208:I225,$B237)+COUNTIF(G208:I225,$B237&amp;" ~*")&gt;0)+(IFERROR(INDEX(Setup!$G$33:$G$40,MATCH(K237,Setup!$B$33:$B$40,0)),0)=1)*(COUNTIF(K208:M225,$B237)+COUNTIF(K208:M225,$B237&amp;" ~*")&gt;0)+(IFERROR(INDEX(Setup!$G$33:$G$40,MATCH(O237,Setup!$B$33:$B$40,0)),0)=1)*(COUNTIF(O208:Q225,$B237)+COUNTIF(O208:Q225,$B237&amp;" ~*")&gt;0)+(IFERROR(INDEX(Setup!$G$33:$G$40,MATCH(S237,Setup!$B$33:$B$40,0)),0)=1)*(COUNTIF(S208:U225,$B237)+COUNTIF(S208:U225,$B237&amp;" ~*")&gt;0)+(IFERROR(INDEX(Setup!$G$33:$G$40,MATCH(W237,Setup!$B$33:$B$40,0)),0)=1)*(COUNTIF(W208:W225,$B237)+COUNTIF(W208:W225,$B237&amp;" ~*")&gt;0)+(IFERROR(INDEX(Setup!$G$33:$G$40,MATCH(Y237,Setup!$B$33:$B$40,0)),0)=1)*(COUNTIF(Y208:Y225,$B237)+COUNTIF(Y208:Y225,$B237&amp;" ~*")&gt;0))</f>
        <v/>
      </c>
    </row>
    <row r="238" ht="15" customHeight="1">
      <c r="A238" t="n">
        <v>5</v>
      </c>
      <c r="B238" s="37">
        <f>IF(Setup!$B$17="","",Setup!$B$17)</f>
        <v/>
      </c>
      <c r="C238" s="102" t="n"/>
      <c r="D238" s="103" t="n"/>
      <c r="E238" s="103" t="n"/>
      <c r="F238" s="104" t="n"/>
      <c r="G238" s="102" t="n"/>
      <c r="H238" s="103" t="n"/>
      <c r="I238" s="103" t="n"/>
      <c r="J238" s="104" t="n"/>
      <c r="K238" s="102" t="n"/>
      <c r="L238" s="103" t="n"/>
      <c r="M238" s="103" t="n"/>
      <c r="N238" s="104" t="n"/>
      <c r="O238" s="102" t="n"/>
      <c r="P238" s="103" t="n"/>
      <c r="Q238" s="103" t="n"/>
      <c r="R238" s="104" t="n"/>
      <c r="S238" s="102" t="n"/>
      <c r="T238" s="103" t="n"/>
      <c r="U238" s="103" t="n"/>
      <c r="V238" s="104" t="n"/>
      <c r="W238" s="102" t="n"/>
      <c r="X238" s="104" t="n"/>
      <c r="Y238" s="102" t="n"/>
      <c r="Z238" s="104" t="n"/>
      <c r="AB238" s="105">
        <f>IF($B238="","",(COUNTIF(C208:E225,$B238)+COUNTIF(C208:E225,$B238&amp;" ~*")&gt;0)+(COUNTIF(G208:I225,$B238)+COUNTIF(G208:I225,$B238&amp;" ~*")&gt;0)+(COUNTIF(K208:M225,$B238)+COUNTIF(K208:M225,$B238&amp;" ~*")&gt;0)+(COUNTIF(O208:Q225,$B238)+COUNTIF(O208:Q225,$B238&amp;" ~*")&gt;0)+(COUNTIF(S208:U225,$B238)+COUNTIF(S208:U225,$B238&amp;" ~*")&gt;0)+(COUNTIF(W208:W225,$B238)+COUNTIF(W208:W225,$B238&amp;" ~*")&gt;0)+(COUNTIF(Y208:Y225,$B238)+COUNTIF(Y208:Y225,$B238&amp;" ~*")&gt;0))</f>
        <v/>
      </c>
      <c r="AC238" s="38">
        <f>IF($B238="","",(IFERROR(INDEX(Setup!$G$33:$G$40,MATCH(C238,Setup!$B$33:$B$40,0)),0)=1)*(COUNTIF(C208:E225,$B238)+COUNTIF(C208:E225,$B238&amp;" ~*")&gt;0)+(IFERROR(INDEX(Setup!$G$33:$G$40,MATCH(G238,Setup!$B$33:$B$40,0)),0)=1)*(COUNTIF(G208:I225,$B238)+COUNTIF(G208:I225,$B238&amp;" ~*")&gt;0)+(IFERROR(INDEX(Setup!$G$33:$G$40,MATCH(K238,Setup!$B$33:$B$40,0)),0)=1)*(COUNTIF(K208:M225,$B238)+COUNTIF(K208:M225,$B238&amp;" ~*")&gt;0)+(IFERROR(INDEX(Setup!$G$33:$G$40,MATCH(O238,Setup!$B$33:$B$40,0)),0)=1)*(COUNTIF(O208:Q225,$B238)+COUNTIF(O208:Q225,$B238&amp;" ~*")&gt;0)+(IFERROR(INDEX(Setup!$G$33:$G$40,MATCH(S238,Setup!$B$33:$B$40,0)),0)=1)*(COUNTIF(S208:U225,$B238)+COUNTIF(S208:U225,$B238&amp;" ~*")&gt;0)+(IFERROR(INDEX(Setup!$G$33:$G$40,MATCH(W238,Setup!$B$33:$B$40,0)),0)=1)*(COUNTIF(W208:W225,$B238)+COUNTIF(W208:W225,$B238&amp;" ~*")&gt;0)+(IFERROR(INDEX(Setup!$G$33:$G$40,MATCH(Y238,Setup!$B$33:$B$40,0)),0)=1)*(COUNTIF(Y208:Y225,$B238)+COUNTIF(Y208:Y225,$B238&amp;" ~*")&gt;0))</f>
        <v/>
      </c>
    </row>
    <row r="239" ht="15" customHeight="1">
      <c r="A239" t="n">
        <v>5</v>
      </c>
      <c r="B239" s="35">
        <f>IF(Setup!$B$18="","",Setup!$B$18)</f>
        <v/>
      </c>
      <c r="C239" s="98" t="n"/>
      <c r="D239" s="99" t="n"/>
      <c r="E239" s="99" t="n"/>
      <c r="F239" s="100" t="n"/>
      <c r="G239" s="98" t="n"/>
      <c r="H239" s="99" t="n"/>
      <c r="I239" s="99" t="n"/>
      <c r="J239" s="100" t="n"/>
      <c r="K239" s="98" t="n"/>
      <c r="L239" s="99" t="n"/>
      <c r="M239" s="99" t="n"/>
      <c r="N239" s="100" t="n"/>
      <c r="O239" s="98" t="n"/>
      <c r="P239" s="99" t="n"/>
      <c r="Q239" s="99" t="n"/>
      <c r="R239" s="100" t="n"/>
      <c r="S239" s="98" t="n"/>
      <c r="T239" s="99" t="n"/>
      <c r="U239" s="99" t="n"/>
      <c r="V239" s="100" t="n"/>
      <c r="W239" s="98" t="n"/>
      <c r="X239" s="100" t="n"/>
      <c r="Y239" s="98" t="n"/>
      <c r="Z239" s="100" t="n"/>
      <c r="AB239" s="101">
        <f>IF($B239="","",(COUNTIF(C208:E225,$B239)+COUNTIF(C208:E225,$B239&amp;" ~*")&gt;0)+(COUNTIF(G208:I225,$B239)+COUNTIF(G208:I225,$B239&amp;" ~*")&gt;0)+(COUNTIF(K208:M225,$B239)+COUNTIF(K208:M225,$B239&amp;" ~*")&gt;0)+(COUNTIF(O208:Q225,$B239)+COUNTIF(O208:Q225,$B239&amp;" ~*")&gt;0)+(COUNTIF(S208:U225,$B239)+COUNTIF(S208:U225,$B239&amp;" ~*")&gt;0)+(COUNTIF(W208:W225,$B239)+COUNTIF(W208:W225,$B239&amp;" ~*")&gt;0)+(COUNTIF(Y208:Y225,$B239)+COUNTIF(Y208:Y225,$B239&amp;" ~*")&gt;0))</f>
        <v/>
      </c>
      <c r="AC239" s="36">
        <f>IF($B239="","",(IFERROR(INDEX(Setup!$G$33:$G$40,MATCH(C239,Setup!$B$33:$B$40,0)),0)=1)*(COUNTIF(C208:E225,$B239)+COUNTIF(C208:E225,$B239&amp;" ~*")&gt;0)+(IFERROR(INDEX(Setup!$G$33:$G$40,MATCH(G239,Setup!$B$33:$B$40,0)),0)=1)*(COUNTIF(G208:I225,$B239)+COUNTIF(G208:I225,$B239&amp;" ~*")&gt;0)+(IFERROR(INDEX(Setup!$G$33:$G$40,MATCH(K239,Setup!$B$33:$B$40,0)),0)=1)*(COUNTIF(K208:M225,$B239)+COUNTIF(K208:M225,$B239&amp;" ~*")&gt;0)+(IFERROR(INDEX(Setup!$G$33:$G$40,MATCH(O239,Setup!$B$33:$B$40,0)),0)=1)*(COUNTIF(O208:Q225,$B239)+COUNTIF(O208:Q225,$B239&amp;" ~*")&gt;0)+(IFERROR(INDEX(Setup!$G$33:$G$40,MATCH(S239,Setup!$B$33:$B$40,0)),0)=1)*(COUNTIF(S208:U225,$B239)+COUNTIF(S208:U225,$B239&amp;" ~*")&gt;0)+(IFERROR(INDEX(Setup!$G$33:$G$40,MATCH(W239,Setup!$B$33:$B$40,0)),0)=1)*(COUNTIF(W208:W225,$B239)+COUNTIF(W208:W225,$B239&amp;" ~*")&gt;0)+(IFERROR(INDEX(Setup!$G$33:$G$40,MATCH(Y239,Setup!$B$33:$B$40,0)),0)=1)*(COUNTIF(Y208:Y225,$B239)+COUNTIF(Y208:Y225,$B239&amp;" ~*")&gt;0))</f>
        <v/>
      </c>
    </row>
    <row r="240" ht="15" customHeight="1">
      <c r="A240" t="n">
        <v>5</v>
      </c>
      <c r="B240" s="37">
        <f>IF(Setup!$B$19="","",Setup!$B$19)</f>
        <v/>
      </c>
      <c r="C240" s="102" t="n"/>
      <c r="D240" s="103" t="n"/>
      <c r="E240" s="103" t="n"/>
      <c r="F240" s="104" t="n"/>
      <c r="G240" s="102" t="n"/>
      <c r="H240" s="103" t="n"/>
      <c r="I240" s="103" t="n"/>
      <c r="J240" s="104" t="n"/>
      <c r="K240" s="102" t="n"/>
      <c r="L240" s="103" t="n"/>
      <c r="M240" s="103" t="n"/>
      <c r="N240" s="104" t="n"/>
      <c r="O240" s="102" t="n"/>
      <c r="P240" s="103" t="n"/>
      <c r="Q240" s="103" t="n"/>
      <c r="R240" s="104" t="n"/>
      <c r="S240" s="102" t="n"/>
      <c r="T240" s="103" t="n"/>
      <c r="U240" s="103" t="n"/>
      <c r="V240" s="104" t="n"/>
      <c r="W240" s="102" t="n"/>
      <c r="X240" s="104" t="n"/>
      <c r="Y240" s="102" t="n"/>
      <c r="Z240" s="104" t="n"/>
      <c r="AB240" s="105">
        <f>IF($B240="","",(COUNTIF(C208:E225,$B240)+COUNTIF(C208:E225,$B240&amp;" ~*")&gt;0)+(COUNTIF(G208:I225,$B240)+COUNTIF(G208:I225,$B240&amp;" ~*")&gt;0)+(COUNTIF(K208:M225,$B240)+COUNTIF(K208:M225,$B240&amp;" ~*")&gt;0)+(COUNTIF(O208:Q225,$B240)+COUNTIF(O208:Q225,$B240&amp;" ~*")&gt;0)+(COUNTIF(S208:U225,$B240)+COUNTIF(S208:U225,$B240&amp;" ~*")&gt;0)+(COUNTIF(W208:W225,$B240)+COUNTIF(W208:W225,$B240&amp;" ~*")&gt;0)+(COUNTIF(Y208:Y225,$B240)+COUNTIF(Y208:Y225,$B240&amp;" ~*")&gt;0))</f>
        <v/>
      </c>
      <c r="AC240" s="38">
        <f>IF($B240="","",(IFERROR(INDEX(Setup!$G$33:$G$40,MATCH(C240,Setup!$B$33:$B$40,0)),0)=1)*(COUNTIF(C208:E225,$B240)+COUNTIF(C208:E225,$B240&amp;" ~*")&gt;0)+(IFERROR(INDEX(Setup!$G$33:$G$40,MATCH(G240,Setup!$B$33:$B$40,0)),0)=1)*(COUNTIF(G208:I225,$B240)+COUNTIF(G208:I225,$B240&amp;" ~*")&gt;0)+(IFERROR(INDEX(Setup!$G$33:$G$40,MATCH(K240,Setup!$B$33:$B$40,0)),0)=1)*(COUNTIF(K208:M225,$B240)+COUNTIF(K208:M225,$B240&amp;" ~*")&gt;0)+(IFERROR(INDEX(Setup!$G$33:$G$40,MATCH(O240,Setup!$B$33:$B$40,0)),0)=1)*(COUNTIF(O208:Q225,$B240)+COUNTIF(O208:Q225,$B240&amp;" ~*")&gt;0)+(IFERROR(INDEX(Setup!$G$33:$G$40,MATCH(S240,Setup!$B$33:$B$40,0)),0)=1)*(COUNTIF(S208:U225,$B240)+COUNTIF(S208:U225,$B240&amp;" ~*")&gt;0)+(IFERROR(INDEX(Setup!$G$33:$G$40,MATCH(W240,Setup!$B$33:$B$40,0)),0)=1)*(COUNTIF(W208:W225,$B240)+COUNTIF(W208:W225,$B240&amp;" ~*")&gt;0)+(IFERROR(INDEX(Setup!$G$33:$G$40,MATCH(Y240,Setup!$B$33:$B$40,0)),0)=1)*(COUNTIF(Y208:Y225,$B240)+COUNTIF(Y208:Y225,$B240&amp;" ~*")&gt;0))</f>
        <v/>
      </c>
    </row>
    <row r="241" ht="15" customHeight="1">
      <c r="A241" t="n">
        <v>5</v>
      </c>
      <c r="B241" s="35">
        <f>IF(Setup!$B$20="","",Setup!$B$20)</f>
        <v/>
      </c>
      <c r="C241" s="98" t="n"/>
      <c r="D241" s="99" t="n"/>
      <c r="E241" s="99" t="n"/>
      <c r="F241" s="100" t="n"/>
      <c r="G241" s="98" t="n"/>
      <c r="H241" s="99" t="n"/>
      <c r="I241" s="99" t="n"/>
      <c r="J241" s="100" t="n"/>
      <c r="K241" s="98" t="n"/>
      <c r="L241" s="99" t="n"/>
      <c r="M241" s="99" t="n"/>
      <c r="N241" s="100" t="n"/>
      <c r="O241" s="98" t="n"/>
      <c r="P241" s="99" t="n"/>
      <c r="Q241" s="99" t="n"/>
      <c r="R241" s="100" t="n"/>
      <c r="S241" s="98" t="n"/>
      <c r="T241" s="99" t="n"/>
      <c r="U241" s="99" t="n"/>
      <c r="V241" s="100" t="n"/>
      <c r="W241" s="98" t="n"/>
      <c r="X241" s="100" t="n"/>
      <c r="Y241" s="98" t="n"/>
      <c r="Z241" s="100" t="n"/>
      <c r="AB241" s="101">
        <f>IF($B241="","",(COUNTIF(C208:E225,$B241)+COUNTIF(C208:E225,$B241&amp;" ~*")&gt;0)+(COUNTIF(G208:I225,$B241)+COUNTIF(G208:I225,$B241&amp;" ~*")&gt;0)+(COUNTIF(K208:M225,$B241)+COUNTIF(K208:M225,$B241&amp;" ~*")&gt;0)+(COUNTIF(O208:Q225,$B241)+COUNTIF(O208:Q225,$B241&amp;" ~*")&gt;0)+(COUNTIF(S208:U225,$B241)+COUNTIF(S208:U225,$B241&amp;" ~*")&gt;0)+(COUNTIF(W208:W225,$B241)+COUNTIF(W208:W225,$B241&amp;" ~*")&gt;0)+(COUNTIF(Y208:Y225,$B241)+COUNTIF(Y208:Y225,$B241&amp;" ~*")&gt;0))</f>
        <v/>
      </c>
      <c r="AC241" s="36">
        <f>IF($B241="","",(IFERROR(INDEX(Setup!$G$33:$G$40,MATCH(C241,Setup!$B$33:$B$40,0)),0)=1)*(COUNTIF(C208:E225,$B241)+COUNTIF(C208:E225,$B241&amp;" ~*")&gt;0)+(IFERROR(INDEX(Setup!$G$33:$G$40,MATCH(G241,Setup!$B$33:$B$40,0)),0)=1)*(COUNTIF(G208:I225,$B241)+COUNTIF(G208:I225,$B241&amp;" ~*")&gt;0)+(IFERROR(INDEX(Setup!$G$33:$G$40,MATCH(K241,Setup!$B$33:$B$40,0)),0)=1)*(COUNTIF(K208:M225,$B241)+COUNTIF(K208:M225,$B241&amp;" ~*")&gt;0)+(IFERROR(INDEX(Setup!$G$33:$G$40,MATCH(O241,Setup!$B$33:$B$40,0)),0)=1)*(COUNTIF(O208:Q225,$B241)+COUNTIF(O208:Q225,$B241&amp;" ~*")&gt;0)+(IFERROR(INDEX(Setup!$G$33:$G$40,MATCH(S241,Setup!$B$33:$B$40,0)),0)=1)*(COUNTIF(S208:U225,$B241)+COUNTIF(S208:U225,$B241&amp;" ~*")&gt;0)+(IFERROR(INDEX(Setup!$G$33:$G$40,MATCH(W241,Setup!$B$33:$B$40,0)),0)=1)*(COUNTIF(W208:W225,$B241)+COUNTIF(W208:W225,$B241&amp;" ~*")&gt;0)+(IFERROR(INDEX(Setup!$G$33:$G$40,MATCH(Y241,Setup!$B$33:$B$40,0)),0)=1)*(COUNTIF(Y208:Y225,$B241)+COUNTIF(Y208:Y225,$B241&amp;" ~*")&gt;0))</f>
        <v/>
      </c>
    </row>
    <row r="242" ht="15" customHeight="1">
      <c r="A242" t="n">
        <v>5</v>
      </c>
      <c r="B242" s="37">
        <f>IF(Setup!$B$21="","",Setup!$B$21)</f>
        <v/>
      </c>
      <c r="C242" s="102" t="n"/>
      <c r="D242" s="103" t="n"/>
      <c r="E242" s="103" t="n"/>
      <c r="F242" s="104" t="n"/>
      <c r="G242" s="102" t="n"/>
      <c r="H242" s="103" t="n"/>
      <c r="I242" s="103" t="n"/>
      <c r="J242" s="104" t="n"/>
      <c r="K242" s="102" t="n"/>
      <c r="L242" s="103" t="n"/>
      <c r="M242" s="103" t="n"/>
      <c r="N242" s="104" t="n"/>
      <c r="O242" s="102" t="n"/>
      <c r="P242" s="103" t="n"/>
      <c r="Q242" s="103" t="n"/>
      <c r="R242" s="104" t="n"/>
      <c r="S242" s="102" t="n"/>
      <c r="T242" s="103" t="n"/>
      <c r="U242" s="103" t="n"/>
      <c r="V242" s="104" t="n"/>
      <c r="W242" s="102" t="n"/>
      <c r="X242" s="104" t="n"/>
      <c r="Y242" s="102" t="n"/>
      <c r="Z242" s="104" t="n"/>
      <c r="AB242" s="105">
        <f>IF($B242="","",(COUNTIF(C208:E225,$B242)+COUNTIF(C208:E225,$B242&amp;" ~*")&gt;0)+(COUNTIF(G208:I225,$B242)+COUNTIF(G208:I225,$B242&amp;" ~*")&gt;0)+(COUNTIF(K208:M225,$B242)+COUNTIF(K208:M225,$B242&amp;" ~*")&gt;0)+(COUNTIF(O208:Q225,$B242)+COUNTIF(O208:Q225,$B242&amp;" ~*")&gt;0)+(COUNTIF(S208:U225,$B242)+COUNTIF(S208:U225,$B242&amp;" ~*")&gt;0)+(COUNTIF(W208:W225,$B242)+COUNTIF(W208:W225,$B242&amp;" ~*")&gt;0)+(COUNTIF(Y208:Y225,$B242)+COUNTIF(Y208:Y225,$B242&amp;" ~*")&gt;0))</f>
        <v/>
      </c>
      <c r="AC242" s="38">
        <f>IF($B242="","",(IFERROR(INDEX(Setup!$G$33:$G$40,MATCH(C242,Setup!$B$33:$B$40,0)),0)=1)*(COUNTIF(C208:E225,$B242)+COUNTIF(C208:E225,$B242&amp;" ~*")&gt;0)+(IFERROR(INDEX(Setup!$G$33:$G$40,MATCH(G242,Setup!$B$33:$B$40,0)),0)=1)*(COUNTIF(G208:I225,$B242)+COUNTIF(G208:I225,$B242&amp;" ~*")&gt;0)+(IFERROR(INDEX(Setup!$G$33:$G$40,MATCH(K242,Setup!$B$33:$B$40,0)),0)=1)*(COUNTIF(K208:M225,$B242)+COUNTIF(K208:M225,$B242&amp;" ~*")&gt;0)+(IFERROR(INDEX(Setup!$G$33:$G$40,MATCH(O242,Setup!$B$33:$B$40,0)),0)=1)*(COUNTIF(O208:Q225,$B242)+COUNTIF(O208:Q225,$B242&amp;" ~*")&gt;0)+(IFERROR(INDEX(Setup!$G$33:$G$40,MATCH(S242,Setup!$B$33:$B$40,0)),0)=1)*(COUNTIF(S208:U225,$B242)+COUNTIF(S208:U225,$B242&amp;" ~*")&gt;0)+(IFERROR(INDEX(Setup!$G$33:$G$40,MATCH(W242,Setup!$B$33:$B$40,0)),0)=1)*(COUNTIF(W208:W225,$B242)+COUNTIF(W208:W225,$B242&amp;" ~*")&gt;0)+(IFERROR(INDEX(Setup!$G$33:$G$40,MATCH(Y242,Setup!$B$33:$B$40,0)),0)=1)*(COUNTIF(Y208:Y225,$B242)+COUNTIF(Y208:Y225,$B242&amp;" ~*")&gt;0))</f>
        <v/>
      </c>
    </row>
    <row r="243" ht="15" customHeight="1">
      <c r="A243" t="n">
        <v>5</v>
      </c>
      <c r="B243" s="35">
        <f>IF(Setup!$B$22="","",Setup!$B$22)</f>
        <v/>
      </c>
      <c r="C243" s="98" t="n"/>
      <c r="D243" s="99" t="n"/>
      <c r="E243" s="99" t="n"/>
      <c r="F243" s="100" t="n"/>
      <c r="G243" s="98" t="n"/>
      <c r="H243" s="99" t="n"/>
      <c r="I243" s="99" t="n"/>
      <c r="J243" s="100" t="n"/>
      <c r="K243" s="98" t="n"/>
      <c r="L243" s="99" t="n"/>
      <c r="M243" s="99" t="n"/>
      <c r="N243" s="100" t="n"/>
      <c r="O243" s="98" t="n"/>
      <c r="P243" s="99" t="n"/>
      <c r="Q243" s="99" t="n"/>
      <c r="R243" s="100" t="n"/>
      <c r="S243" s="98" t="n"/>
      <c r="T243" s="99" t="n"/>
      <c r="U243" s="99" t="n"/>
      <c r="V243" s="100" t="n"/>
      <c r="W243" s="98" t="n"/>
      <c r="X243" s="100" t="n"/>
      <c r="Y243" s="98" t="n"/>
      <c r="Z243" s="100" t="n"/>
      <c r="AB243" s="101">
        <f>IF($B243="","",(COUNTIF(C208:E225,$B243)+COUNTIF(C208:E225,$B243&amp;" ~*")&gt;0)+(COUNTIF(G208:I225,$B243)+COUNTIF(G208:I225,$B243&amp;" ~*")&gt;0)+(COUNTIF(K208:M225,$B243)+COUNTIF(K208:M225,$B243&amp;" ~*")&gt;0)+(COUNTIF(O208:Q225,$B243)+COUNTIF(O208:Q225,$B243&amp;" ~*")&gt;0)+(COUNTIF(S208:U225,$B243)+COUNTIF(S208:U225,$B243&amp;" ~*")&gt;0)+(COUNTIF(W208:W225,$B243)+COUNTIF(W208:W225,$B243&amp;" ~*")&gt;0)+(COUNTIF(Y208:Y225,$B243)+COUNTIF(Y208:Y225,$B243&amp;" ~*")&gt;0))</f>
        <v/>
      </c>
      <c r="AC243" s="36">
        <f>IF($B243="","",(IFERROR(INDEX(Setup!$G$33:$G$40,MATCH(C243,Setup!$B$33:$B$40,0)),0)=1)*(COUNTIF(C208:E225,$B243)+COUNTIF(C208:E225,$B243&amp;" ~*")&gt;0)+(IFERROR(INDEX(Setup!$G$33:$G$40,MATCH(G243,Setup!$B$33:$B$40,0)),0)=1)*(COUNTIF(G208:I225,$B243)+COUNTIF(G208:I225,$B243&amp;" ~*")&gt;0)+(IFERROR(INDEX(Setup!$G$33:$G$40,MATCH(K243,Setup!$B$33:$B$40,0)),0)=1)*(COUNTIF(K208:M225,$B243)+COUNTIF(K208:M225,$B243&amp;" ~*")&gt;0)+(IFERROR(INDEX(Setup!$G$33:$G$40,MATCH(O243,Setup!$B$33:$B$40,0)),0)=1)*(COUNTIF(O208:Q225,$B243)+COUNTIF(O208:Q225,$B243&amp;" ~*")&gt;0)+(IFERROR(INDEX(Setup!$G$33:$G$40,MATCH(S243,Setup!$B$33:$B$40,0)),0)=1)*(COUNTIF(S208:U225,$B243)+COUNTIF(S208:U225,$B243&amp;" ~*")&gt;0)+(IFERROR(INDEX(Setup!$G$33:$G$40,MATCH(W243,Setup!$B$33:$B$40,0)),0)=1)*(COUNTIF(W208:W225,$B243)+COUNTIF(W208:W225,$B243&amp;" ~*")&gt;0)+(IFERROR(INDEX(Setup!$G$33:$G$40,MATCH(Y243,Setup!$B$33:$B$40,0)),0)=1)*(COUNTIF(Y208:Y225,$B243)+COUNTIF(Y208:Y225,$B243&amp;" ~*")&gt;0))</f>
        <v/>
      </c>
    </row>
    <row r="244" ht="15" customHeight="1">
      <c r="A244" t="n">
        <v>5</v>
      </c>
      <c r="B244" s="37">
        <f>IF(Setup!$B$23="","",Setup!$B$23)</f>
        <v/>
      </c>
      <c r="C244" s="102" t="n"/>
      <c r="D244" s="103" t="n"/>
      <c r="E244" s="103" t="n"/>
      <c r="F244" s="104" t="n"/>
      <c r="G244" s="102" t="n"/>
      <c r="H244" s="103" t="n"/>
      <c r="I244" s="103" t="n"/>
      <c r="J244" s="104" t="n"/>
      <c r="K244" s="102" t="n"/>
      <c r="L244" s="103" t="n"/>
      <c r="M244" s="103" t="n"/>
      <c r="N244" s="104" t="n"/>
      <c r="O244" s="102" t="n"/>
      <c r="P244" s="103" t="n"/>
      <c r="Q244" s="103" t="n"/>
      <c r="R244" s="104" t="n"/>
      <c r="S244" s="102" t="n"/>
      <c r="T244" s="103" t="n"/>
      <c r="U244" s="103" t="n"/>
      <c r="V244" s="104" t="n"/>
      <c r="W244" s="102" t="n"/>
      <c r="X244" s="104" t="n"/>
      <c r="Y244" s="102" t="n"/>
      <c r="Z244" s="104" t="n"/>
      <c r="AB244" s="105">
        <f>IF($B244="","",(COUNTIF(C208:E225,$B244)+COUNTIF(C208:E225,$B244&amp;" ~*")&gt;0)+(COUNTIF(G208:I225,$B244)+COUNTIF(G208:I225,$B244&amp;" ~*")&gt;0)+(COUNTIF(K208:M225,$B244)+COUNTIF(K208:M225,$B244&amp;" ~*")&gt;0)+(COUNTIF(O208:Q225,$B244)+COUNTIF(O208:Q225,$B244&amp;" ~*")&gt;0)+(COUNTIF(S208:U225,$B244)+COUNTIF(S208:U225,$B244&amp;" ~*")&gt;0)+(COUNTIF(W208:W225,$B244)+COUNTIF(W208:W225,$B244&amp;" ~*")&gt;0)+(COUNTIF(Y208:Y225,$B244)+COUNTIF(Y208:Y225,$B244&amp;" ~*")&gt;0))</f>
        <v/>
      </c>
      <c r="AC244" s="38">
        <f>IF($B244="","",(IFERROR(INDEX(Setup!$G$33:$G$40,MATCH(C244,Setup!$B$33:$B$40,0)),0)=1)*(COUNTIF(C208:E225,$B244)+COUNTIF(C208:E225,$B244&amp;" ~*")&gt;0)+(IFERROR(INDEX(Setup!$G$33:$G$40,MATCH(G244,Setup!$B$33:$B$40,0)),0)=1)*(COUNTIF(G208:I225,$B244)+COUNTIF(G208:I225,$B244&amp;" ~*")&gt;0)+(IFERROR(INDEX(Setup!$G$33:$G$40,MATCH(K244,Setup!$B$33:$B$40,0)),0)=1)*(COUNTIF(K208:M225,$B244)+COUNTIF(K208:M225,$B244&amp;" ~*")&gt;0)+(IFERROR(INDEX(Setup!$G$33:$G$40,MATCH(O244,Setup!$B$33:$B$40,0)),0)=1)*(COUNTIF(O208:Q225,$B244)+COUNTIF(O208:Q225,$B244&amp;" ~*")&gt;0)+(IFERROR(INDEX(Setup!$G$33:$G$40,MATCH(S244,Setup!$B$33:$B$40,0)),0)=1)*(COUNTIF(S208:U225,$B244)+COUNTIF(S208:U225,$B244&amp;" ~*")&gt;0)+(IFERROR(INDEX(Setup!$G$33:$G$40,MATCH(W244,Setup!$B$33:$B$40,0)),0)=1)*(COUNTIF(W208:W225,$B244)+COUNTIF(W208:W225,$B244&amp;" ~*")&gt;0)+(IFERROR(INDEX(Setup!$G$33:$G$40,MATCH(Y244,Setup!$B$33:$B$40,0)),0)=1)*(COUNTIF(Y208:Y225,$B244)+COUNTIF(Y208:Y225,$B244&amp;" ~*")&gt;0))</f>
        <v/>
      </c>
    </row>
    <row r="245" ht="15" customHeight="1">
      <c r="A245" t="n">
        <v>5</v>
      </c>
      <c r="B245" s="35">
        <f>IF(Setup!$B$24="","",Setup!$B$24)</f>
        <v/>
      </c>
      <c r="C245" s="98" t="n"/>
      <c r="D245" s="99" t="n"/>
      <c r="E245" s="99" t="n"/>
      <c r="F245" s="100" t="n"/>
      <c r="G245" s="98" t="n"/>
      <c r="H245" s="99" t="n"/>
      <c r="I245" s="99" t="n"/>
      <c r="J245" s="100" t="n"/>
      <c r="K245" s="98" t="n"/>
      <c r="L245" s="99" t="n"/>
      <c r="M245" s="99" t="n"/>
      <c r="N245" s="100" t="n"/>
      <c r="O245" s="98" t="n"/>
      <c r="P245" s="99" t="n"/>
      <c r="Q245" s="99" t="n"/>
      <c r="R245" s="100" t="n"/>
      <c r="S245" s="98" t="n"/>
      <c r="T245" s="99" t="n"/>
      <c r="U245" s="99" t="n"/>
      <c r="V245" s="100" t="n"/>
      <c r="W245" s="98" t="n"/>
      <c r="X245" s="100" t="n"/>
      <c r="Y245" s="98" t="n"/>
      <c r="Z245" s="100" t="n"/>
      <c r="AB245" s="101">
        <f>IF($B245="","",(COUNTIF(C208:E225,$B245)+COUNTIF(C208:E225,$B245&amp;" ~*")&gt;0)+(COUNTIF(G208:I225,$B245)+COUNTIF(G208:I225,$B245&amp;" ~*")&gt;0)+(COUNTIF(K208:M225,$B245)+COUNTIF(K208:M225,$B245&amp;" ~*")&gt;0)+(COUNTIF(O208:Q225,$B245)+COUNTIF(O208:Q225,$B245&amp;" ~*")&gt;0)+(COUNTIF(S208:U225,$B245)+COUNTIF(S208:U225,$B245&amp;" ~*")&gt;0)+(COUNTIF(W208:W225,$B245)+COUNTIF(W208:W225,$B245&amp;" ~*")&gt;0)+(COUNTIF(Y208:Y225,$B245)+COUNTIF(Y208:Y225,$B245&amp;" ~*")&gt;0))</f>
        <v/>
      </c>
      <c r="AC245" s="36">
        <f>IF($B245="","",(IFERROR(INDEX(Setup!$G$33:$G$40,MATCH(C245,Setup!$B$33:$B$40,0)),0)=1)*(COUNTIF(C208:E225,$B245)+COUNTIF(C208:E225,$B245&amp;" ~*")&gt;0)+(IFERROR(INDEX(Setup!$G$33:$G$40,MATCH(G245,Setup!$B$33:$B$40,0)),0)=1)*(COUNTIF(G208:I225,$B245)+COUNTIF(G208:I225,$B245&amp;" ~*")&gt;0)+(IFERROR(INDEX(Setup!$G$33:$G$40,MATCH(K245,Setup!$B$33:$B$40,0)),0)=1)*(COUNTIF(K208:M225,$B245)+COUNTIF(K208:M225,$B245&amp;" ~*")&gt;0)+(IFERROR(INDEX(Setup!$G$33:$G$40,MATCH(O245,Setup!$B$33:$B$40,0)),0)=1)*(COUNTIF(O208:Q225,$B245)+COUNTIF(O208:Q225,$B245&amp;" ~*")&gt;0)+(IFERROR(INDEX(Setup!$G$33:$G$40,MATCH(S245,Setup!$B$33:$B$40,0)),0)=1)*(COUNTIF(S208:U225,$B245)+COUNTIF(S208:U225,$B245&amp;" ~*")&gt;0)+(IFERROR(INDEX(Setup!$G$33:$G$40,MATCH(W245,Setup!$B$33:$B$40,0)),0)=1)*(COUNTIF(W208:W225,$B245)+COUNTIF(W208:W225,$B245&amp;" ~*")&gt;0)+(IFERROR(INDEX(Setup!$G$33:$G$40,MATCH(Y245,Setup!$B$33:$B$40,0)),0)=1)*(COUNTIF(Y208:Y225,$B245)+COUNTIF(Y208:Y225,$B245&amp;" ~*")&gt;0))</f>
        <v/>
      </c>
    </row>
    <row r="246" ht="15" customHeight="1">
      <c r="A246" t="n">
        <v>5</v>
      </c>
      <c r="B246" s="37">
        <f>IF(Setup!$B$25="","",Setup!$B$25)</f>
        <v/>
      </c>
      <c r="C246" s="102" t="n"/>
      <c r="D246" s="103" t="n"/>
      <c r="E246" s="103" t="n"/>
      <c r="F246" s="104" t="n"/>
      <c r="G246" s="102" t="n"/>
      <c r="H246" s="103" t="n"/>
      <c r="I246" s="103" t="n"/>
      <c r="J246" s="104" t="n"/>
      <c r="K246" s="102" t="n"/>
      <c r="L246" s="103" t="n"/>
      <c r="M246" s="103" t="n"/>
      <c r="N246" s="104" t="n"/>
      <c r="O246" s="102" t="n"/>
      <c r="P246" s="103" t="n"/>
      <c r="Q246" s="103" t="n"/>
      <c r="R246" s="104" t="n"/>
      <c r="S246" s="102" t="n"/>
      <c r="T246" s="103" t="n"/>
      <c r="U246" s="103" t="n"/>
      <c r="V246" s="104" t="n"/>
      <c r="W246" s="102" t="n"/>
      <c r="X246" s="104" t="n"/>
      <c r="Y246" s="102" t="n"/>
      <c r="Z246" s="104" t="n"/>
      <c r="AB246" s="105">
        <f>IF($B246="","",(COUNTIF(C208:E225,$B246)+COUNTIF(C208:E225,$B246&amp;" ~*")&gt;0)+(COUNTIF(G208:I225,$B246)+COUNTIF(G208:I225,$B246&amp;" ~*")&gt;0)+(COUNTIF(K208:M225,$B246)+COUNTIF(K208:M225,$B246&amp;" ~*")&gt;0)+(COUNTIF(O208:Q225,$B246)+COUNTIF(O208:Q225,$B246&amp;" ~*")&gt;0)+(COUNTIF(S208:U225,$B246)+COUNTIF(S208:U225,$B246&amp;" ~*")&gt;0)+(COUNTIF(W208:W225,$B246)+COUNTIF(W208:W225,$B246&amp;" ~*")&gt;0)+(COUNTIF(Y208:Y225,$B246)+COUNTIF(Y208:Y225,$B246&amp;" ~*")&gt;0))</f>
        <v/>
      </c>
      <c r="AC246" s="38">
        <f>IF($B246="","",(IFERROR(INDEX(Setup!$G$33:$G$40,MATCH(C246,Setup!$B$33:$B$40,0)),0)=1)*(COUNTIF(C208:E225,$B246)+COUNTIF(C208:E225,$B246&amp;" ~*")&gt;0)+(IFERROR(INDEX(Setup!$G$33:$G$40,MATCH(G246,Setup!$B$33:$B$40,0)),0)=1)*(COUNTIF(G208:I225,$B246)+COUNTIF(G208:I225,$B246&amp;" ~*")&gt;0)+(IFERROR(INDEX(Setup!$G$33:$G$40,MATCH(K246,Setup!$B$33:$B$40,0)),0)=1)*(COUNTIF(K208:M225,$B246)+COUNTIF(K208:M225,$B246&amp;" ~*")&gt;0)+(IFERROR(INDEX(Setup!$G$33:$G$40,MATCH(O246,Setup!$B$33:$B$40,0)),0)=1)*(COUNTIF(O208:Q225,$B246)+COUNTIF(O208:Q225,$B246&amp;" ~*")&gt;0)+(IFERROR(INDEX(Setup!$G$33:$G$40,MATCH(S246,Setup!$B$33:$B$40,0)),0)=1)*(COUNTIF(S208:U225,$B246)+COUNTIF(S208:U225,$B246&amp;" ~*")&gt;0)+(IFERROR(INDEX(Setup!$G$33:$G$40,MATCH(W246,Setup!$B$33:$B$40,0)),0)=1)*(COUNTIF(W208:W225,$B246)+COUNTIF(W208:W225,$B246&amp;" ~*")&gt;0)+(IFERROR(INDEX(Setup!$G$33:$G$40,MATCH(Y246,Setup!$B$33:$B$40,0)),0)=1)*(COUNTIF(Y208:Y225,$B246)+COUNTIF(Y208:Y225,$B246&amp;" ~*")&gt;0))</f>
        <v/>
      </c>
    </row>
    <row r="247" ht="15" customHeight="1">
      <c r="A247" t="n">
        <v>5</v>
      </c>
      <c r="B247" s="35">
        <f>IF(Setup!$B$26="","",Setup!$B$26)</f>
        <v/>
      </c>
      <c r="C247" s="98" t="n"/>
      <c r="D247" s="99" t="n"/>
      <c r="E247" s="99" t="n"/>
      <c r="F247" s="100" t="n"/>
      <c r="G247" s="98" t="n"/>
      <c r="H247" s="99" t="n"/>
      <c r="I247" s="99" t="n"/>
      <c r="J247" s="100" t="n"/>
      <c r="K247" s="98" t="n"/>
      <c r="L247" s="99" t="n"/>
      <c r="M247" s="99" t="n"/>
      <c r="N247" s="100" t="n"/>
      <c r="O247" s="98" t="n"/>
      <c r="P247" s="99" t="n"/>
      <c r="Q247" s="99" t="n"/>
      <c r="R247" s="100" t="n"/>
      <c r="S247" s="98" t="n"/>
      <c r="T247" s="99" t="n"/>
      <c r="U247" s="99" t="n"/>
      <c r="V247" s="100" t="n"/>
      <c r="W247" s="98" t="n"/>
      <c r="X247" s="100" t="n"/>
      <c r="Y247" s="98" t="n"/>
      <c r="Z247" s="100" t="n"/>
      <c r="AB247" s="101">
        <f>IF($B247="","",(COUNTIF(C208:E225,$B247)+COUNTIF(C208:E225,$B247&amp;" ~*")&gt;0)+(COUNTIF(G208:I225,$B247)+COUNTIF(G208:I225,$B247&amp;" ~*")&gt;0)+(COUNTIF(K208:M225,$B247)+COUNTIF(K208:M225,$B247&amp;" ~*")&gt;0)+(COUNTIF(O208:Q225,$B247)+COUNTIF(O208:Q225,$B247&amp;" ~*")&gt;0)+(COUNTIF(S208:U225,$B247)+COUNTIF(S208:U225,$B247&amp;" ~*")&gt;0)+(COUNTIF(W208:W225,$B247)+COUNTIF(W208:W225,$B247&amp;" ~*")&gt;0)+(COUNTIF(Y208:Y225,$B247)+COUNTIF(Y208:Y225,$B247&amp;" ~*")&gt;0))</f>
        <v/>
      </c>
      <c r="AC247" s="36">
        <f>IF($B247="","",(IFERROR(INDEX(Setup!$G$33:$G$40,MATCH(C247,Setup!$B$33:$B$40,0)),0)=1)*(COUNTIF(C208:E225,$B247)+COUNTIF(C208:E225,$B247&amp;" ~*")&gt;0)+(IFERROR(INDEX(Setup!$G$33:$G$40,MATCH(G247,Setup!$B$33:$B$40,0)),0)=1)*(COUNTIF(G208:I225,$B247)+COUNTIF(G208:I225,$B247&amp;" ~*")&gt;0)+(IFERROR(INDEX(Setup!$G$33:$G$40,MATCH(K247,Setup!$B$33:$B$40,0)),0)=1)*(COUNTIF(K208:M225,$B247)+COUNTIF(K208:M225,$B247&amp;" ~*")&gt;0)+(IFERROR(INDEX(Setup!$G$33:$G$40,MATCH(O247,Setup!$B$33:$B$40,0)),0)=1)*(COUNTIF(O208:Q225,$B247)+COUNTIF(O208:Q225,$B247&amp;" ~*")&gt;0)+(IFERROR(INDEX(Setup!$G$33:$G$40,MATCH(S247,Setup!$B$33:$B$40,0)),0)=1)*(COUNTIF(S208:U225,$B247)+COUNTIF(S208:U225,$B247&amp;" ~*")&gt;0)+(IFERROR(INDEX(Setup!$G$33:$G$40,MATCH(W247,Setup!$B$33:$B$40,0)),0)=1)*(COUNTIF(W208:W225,$B247)+COUNTIF(W208:W225,$B247&amp;" ~*")&gt;0)+(IFERROR(INDEX(Setup!$G$33:$G$40,MATCH(Y247,Setup!$B$33:$B$40,0)),0)=1)*(COUNTIF(Y208:Y225,$B247)+COUNTIF(Y208:Y225,$B247&amp;" ~*")&gt;0))</f>
        <v/>
      </c>
    </row>
    <row r="248" ht="15" customHeight="1">
      <c r="A248" t="n">
        <v>5</v>
      </c>
      <c r="B248" s="37">
        <f>IF(Setup!$B$27="","",Setup!$B$27)</f>
        <v/>
      </c>
      <c r="C248" s="102" t="n"/>
      <c r="D248" s="103" t="n"/>
      <c r="E248" s="103" t="n"/>
      <c r="F248" s="104" t="n"/>
      <c r="G248" s="102" t="n"/>
      <c r="H248" s="103" t="n"/>
      <c r="I248" s="103" t="n"/>
      <c r="J248" s="104" t="n"/>
      <c r="K248" s="102" t="n"/>
      <c r="L248" s="103" t="n"/>
      <c r="M248" s="103" t="n"/>
      <c r="N248" s="104" t="n"/>
      <c r="O248" s="102" t="n"/>
      <c r="P248" s="103" t="n"/>
      <c r="Q248" s="103" t="n"/>
      <c r="R248" s="104" t="n"/>
      <c r="S248" s="102" t="n"/>
      <c r="T248" s="103" t="n"/>
      <c r="U248" s="103" t="n"/>
      <c r="V248" s="104" t="n"/>
      <c r="W248" s="102" t="n"/>
      <c r="X248" s="104" t="n"/>
      <c r="Y248" s="102" t="n"/>
      <c r="Z248" s="104" t="n"/>
      <c r="AB248" s="105">
        <f>IF($B248="","",(COUNTIF(C208:E225,$B248)+COUNTIF(C208:E225,$B248&amp;" ~*")&gt;0)+(COUNTIF(G208:I225,$B248)+COUNTIF(G208:I225,$B248&amp;" ~*")&gt;0)+(COUNTIF(K208:M225,$B248)+COUNTIF(K208:M225,$B248&amp;" ~*")&gt;0)+(COUNTIF(O208:Q225,$B248)+COUNTIF(O208:Q225,$B248&amp;" ~*")&gt;0)+(COUNTIF(S208:U225,$B248)+COUNTIF(S208:U225,$B248&amp;" ~*")&gt;0)+(COUNTIF(W208:W225,$B248)+COUNTIF(W208:W225,$B248&amp;" ~*")&gt;0)+(COUNTIF(Y208:Y225,$B248)+COUNTIF(Y208:Y225,$B248&amp;" ~*")&gt;0))</f>
        <v/>
      </c>
      <c r="AC248" s="38">
        <f>IF($B248="","",(IFERROR(INDEX(Setup!$G$33:$G$40,MATCH(C248,Setup!$B$33:$B$40,0)),0)=1)*(COUNTIF(C208:E225,$B248)+COUNTIF(C208:E225,$B248&amp;" ~*")&gt;0)+(IFERROR(INDEX(Setup!$G$33:$G$40,MATCH(G248,Setup!$B$33:$B$40,0)),0)=1)*(COUNTIF(G208:I225,$B248)+COUNTIF(G208:I225,$B248&amp;" ~*")&gt;0)+(IFERROR(INDEX(Setup!$G$33:$G$40,MATCH(K248,Setup!$B$33:$B$40,0)),0)=1)*(COUNTIF(K208:M225,$B248)+COUNTIF(K208:M225,$B248&amp;" ~*")&gt;0)+(IFERROR(INDEX(Setup!$G$33:$G$40,MATCH(O248,Setup!$B$33:$B$40,0)),0)=1)*(COUNTIF(O208:Q225,$B248)+COUNTIF(O208:Q225,$B248&amp;" ~*")&gt;0)+(IFERROR(INDEX(Setup!$G$33:$G$40,MATCH(S248,Setup!$B$33:$B$40,0)),0)=1)*(COUNTIF(S208:U225,$B248)+COUNTIF(S208:U225,$B248&amp;" ~*")&gt;0)+(IFERROR(INDEX(Setup!$G$33:$G$40,MATCH(W248,Setup!$B$33:$B$40,0)),0)=1)*(COUNTIF(W208:W225,$B248)+COUNTIF(W208:W225,$B248&amp;" ~*")&gt;0)+(IFERROR(INDEX(Setup!$G$33:$G$40,MATCH(Y248,Setup!$B$33:$B$40,0)),0)=1)*(COUNTIF(Y208:Y225,$B248)+COUNTIF(Y208:Y225,$B248&amp;" ~*")&gt;0))</f>
        <v/>
      </c>
    </row>
    <row r="249" ht="15" customHeight="1">
      <c r="A249" t="n">
        <v>5</v>
      </c>
      <c r="B249" s="35">
        <f>IF(Setup!$B$28="","",Setup!$B$28)</f>
        <v/>
      </c>
      <c r="C249" s="98" t="n"/>
      <c r="D249" s="99" t="n"/>
      <c r="E249" s="99" t="n"/>
      <c r="F249" s="100" t="n"/>
      <c r="G249" s="98" t="n"/>
      <c r="H249" s="99" t="n"/>
      <c r="I249" s="99" t="n"/>
      <c r="J249" s="100" t="n"/>
      <c r="K249" s="98" t="n"/>
      <c r="L249" s="99" t="n"/>
      <c r="M249" s="99" t="n"/>
      <c r="N249" s="100" t="n"/>
      <c r="O249" s="98" t="n"/>
      <c r="P249" s="99" t="n"/>
      <c r="Q249" s="99" t="n"/>
      <c r="R249" s="100" t="n"/>
      <c r="S249" s="98" t="n"/>
      <c r="T249" s="99" t="n"/>
      <c r="U249" s="99" t="n"/>
      <c r="V249" s="100" t="n"/>
      <c r="W249" s="98" t="n"/>
      <c r="X249" s="100" t="n"/>
      <c r="Y249" s="98" t="n"/>
      <c r="Z249" s="100" t="n"/>
      <c r="AB249" s="101">
        <f>IF($B249="","",(COUNTIF(C208:E225,$B249)+COUNTIF(C208:E225,$B249&amp;" ~*")&gt;0)+(COUNTIF(G208:I225,$B249)+COUNTIF(G208:I225,$B249&amp;" ~*")&gt;0)+(COUNTIF(K208:M225,$B249)+COUNTIF(K208:M225,$B249&amp;" ~*")&gt;0)+(COUNTIF(O208:Q225,$B249)+COUNTIF(O208:Q225,$B249&amp;" ~*")&gt;0)+(COUNTIF(S208:U225,$B249)+COUNTIF(S208:U225,$B249&amp;" ~*")&gt;0)+(COUNTIF(W208:W225,$B249)+COUNTIF(W208:W225,$B249&amp;" ~*")&gt;0)+(COUNTIF(Y208:Y225,$B249)+COUNTIF(Y208:Y225,$B249&amp;" ~*")&gt;0))</f>
        <v/>
      </c>
      <c r="AC249" s="36">
        <f>IF($B249="","",(IFERROR(INDEX(Setup!$G$33:$G$40,MATCH(C249,Setup!$B$33:$B$40,0)),0)=1)*(COUNTIF(C208:E225,$B249)+COUNTIF(C208:E225,$B249&amp;" ~*")&gt;0)+(IFERROR(INDEX(Setup!$G$33:$G$40,MATCH(G249,Setup!$B$33:$B$40,0)),0)=1)*(COUNTIF(G208:I225,$B249)+COUNTIF(G208:I225,$B249&amp;" ~*")&gt;0)+(IFERROR(INDEX(Setup!$G$33:$G$40,MATCH(K249,Setup!$B$33:$B$40,0)),0)=1)*(COUNTIF(K208:M225,$B249)+COUNTIF(K208:M225,$B249&amp;" ~*")&gt;0)+(IFERROR(INDEX(Setup!$G$33:$G$40,MATCH(O249,Setup!$B$33:$B$40,0)),0)=1)*(COUNTIF(O208:Q225,$B249)+COUNTIF(O208:Q225,$B249&amp;" ~*")&gt;0)+(IFERROR(INDEX(Setup!$G$33:$G$40,MATCH(S249,Setup!$B$33:$B$40,0)),0)=1)*(COUNTIF(S208:U225,$B249)+COUNTIF(S208:U225,$B249&amp;" ~*")&gt;0)+(IFERROR(INDEX(Setup!$G$33:$G$40,MATCH(W249,Setup!$B$33:$B$40,0)),0)=1)*(COUNTIF(W208:W225,$B249)+COUNTIF(W208:W225,$B249&amp;" ~*")&gt;0)+(IFERROR(INDEX(Setup!$G$33:$G$40,MATCH(Y249,Setup!$B$33:$B$40,0)),0)=1)*(COUNTIF(Y208:Y225,$B249)+COUNTIF(Y208:Y225,$B249&amp;" ~*")&gt;0))</f>
        <v/>
      </c>
    </row>
    <row r="250" ht="15" customHeight="1">
      <c r="A250" t="n">
        <v>5</v>
      </c>
      <c r="B250" s="37">
        <f>IF(Setup!$B$29="","",Setup!$B$29)</f>
        <v/>
      </c>
      <c r="C250" s="102" t="n"/>
      <c r="D250" s="103" t="n"/>
      <c r="E250" s="103" t="n"/>
      <c r="F250" s="104" t="n"/>
      <c r="G250" s="102" t="n"/>
      <c r="H250" s="103" t="n"/>
      <c r="I250" s="103" t="n"/>
      <c r="J250" s="104" t="n"/>
      <c r="K250" s="102" t="n"/>
      <c r="L250" s="103" t="n"/>
      <c r="M250" s="103" t="n"/>
      <c r="N250" s="104" t="n"/>
      <c r="O250" s="102" t="n"/>
      <c r="P250" s="103" t="n"/>
      <c r="Q250" s="103" t="n"/>
      <c r="R250" s="104" t="n"/>
      <c r="S250" s="102" t="n"/>
      <c r="T250" s="103" t="n"/>
      <c r="U250" s="103" t="n"/>
      <c r="V250" s="104" t="n"/>
      <c r="W250" s="102" t="n"/>
      <c r="X250" s="104" t="n"/>
      <c r="Y250" s="102" t="n"/>
      <c r="Z250" s="104" t="n"/>
      <c r="AB250" s="105">
        <f>IF($B250="","",(COUNTIF(C208:E225,$B250)+COUNTIF(C208:E225,$B250&amp;" ~*")&gt;0)+(COUNTIF(G208:I225,$B250)+COUNTIF(G208:I225,$B250&amp;" ~*")&gt;0)+(COUNTIF(K208:M225,$B250)+COUNTIF(K208:M225,$B250&amp;" ~*")&gt;0)+(COUNTIF(O208:Q225,$B250)+COUNTIF(O208:Q225,$B250&amp;" ~*")&gt;0)+(COUNTIF(S208:U225,$B250)+COUNTIF(S208:U225,$B250&amp;" ~*")&gt;0)+(COUNTIF(W208:W225,$B250)+COUNTIF(W208:W225,$B250&amp;" ~*")&gt;0)+(COUNTIF(Y208:Y225,$B250)+COUNTIF(Y208:Y225,$B250&amp;" ~*")&gt;0))</f>
        <v/>
      </c>
      <c r="AC250" s="38">
        <f>IF($B250="","",(IFERROR(INDEX(Setup!$G$33:$G$40,MATCH(C250,Setup!$B$33:$B$40,0)),0)=1)*(COUNTIF(C208:E225,$B250)+COUNTIF(C208:E225,$B250&amp;" ~*")&gt;0)+(IFERROR(INDEX(Setup!$G$33:$G$40,MATCH(G250,Setup!$B$33:$B$40,0)),0)=1)*(COUNTIF(G208:I225,$B250)+COUNTIF(G208:I225,$B250&amp;" ~*")&gt;0)+(IFERROR(INDEX(Setup!$G$33:$G$40,MATCH(K250,Setup!$B$33:$B$40,0)),0)=1)*(COUNTIF(K208:M225,$B250)+COUNTIF(K208:M225,$B250&amp;" ~*")&gt;0)+(IFERROR(INDEX(Setup!$G$33:$G$40,MATCH(O250,Setup!$B$33:$B$40,0)),0)=1)*(COUNTIF(O208:Q225,$B250)+COUNTIF(O208:Q225,$B250&amp;" ~*")&gt;0)+(IFERROR(INDEX(Setup!$G$33:$G$40,MATCH(S250,Setup!$B$33:$B$40,0)),0)=1)*(COUNTIF(S208:U225,$B250)+COUNTIF(S208:U225,$B250&amp;" ~*")&gt;0)+(IFERROR(INDEX(Setup!$G$33:$G$40,MATCH(W250,Setup!$B$33:$B$40,0)),0)=1)*(COUNTIF(W208:W225,$B250)+COUNTIF(W208:W225,$B250&amp;" ~*")&gt;0)+(IFERROR(INDEX(Setup!$G$33:$G$40,MATCH(Y250,Setup!$B$33:$B$40,0)),0)=1)*(COUNTIF(Y208:Y225,$B250)+COUNTIF(Y208:Y225,$B250&amp;" ~*")&gt;0))</f>
        <v/>
      </c>
    </row>
    <row r="251" ht="16" customHeight="1">
      <c r="A251" t="n">
        <v>5</v>
      </c>
      <c r="B251" s="106" t="inlineStr">
        <is>
          <t>Available people</t>
        </is>
      </c>
      <c r="C251" s="107">
        <f>COUNTIFS(Setup!$E$6:$E$29,"Y",Setup!$B$6:$B$29,"?*")-SUMPRODUCT(COUNTIF(C227:C250,Setup!$F$33:$F$40))</f>
        <v/>
      </c>
      <c r="D251" s="107" t="n"/>
      <c r="E251" s="107" t="n"/>
      <c r="F251" s="107" t="n"/>
      <c r="G251" s="107">
        <f>COUNTIFS(Setup!$E$6:$E$29,"Y",Setup!$B$6:$B$29,"?*")-SUMPRODUCT(COUNTIF(G227:G250,Setup!$F$33:$F$40))</f>
        <v/>
      </c>
      <c r="H251" s="107" t="n"/>
      <c r="I251" s="107" t="n"/>
      <c r="J251" s="107" t="n"/>
      <c r="K251" s="107">
        <f>COUNTIFS(Setup!$E$6:$E$29,"Y",Setup!$B$6:$B$29,"?*")-SUMPRODUCT(COUNTIF(K227:K250,Setup!$F$33:$F$40))</f>
        <v/>
      </c>
      <c r="L251" s="107" t="n"/>
      <c r="M251" s="107" t="n"/>
      <c r="N251" s="107" t="n"/>
      <c r="O251" s="107">
        <f>COUNTIFS(Setup!$E$6:$E$29,"Y",Setup!$B$6:$B$29,"?*")-SUMPRODUCT(COUNTIF(O227:O250,Setup!$F$33:$F$40))</f>
        <v/>
      </c>
      <c r="P251" s="107" t="n"/>
      <c r="Q251" s="107" t="n"/>
      <c r="R251" s="107" t="n"/>
      <c r="S251" s="107">
        <f>COUNTIFS(Setup!$E$6:$E$29,"Y",Setup!$B$6:$B$29,"?*")-SUMPRODUCT(COUNTIF(S227:S250,Setup!$F$33:$F$40))</f>
        <v/>
      </c>
      <c r="T251" s="107" t="n"/>
      <c r="U251" s="107" t="n"/>
      <c r="V251" s="107" t="n"/>
      <c r="W251" s="107">
        <f>COUNTIFS(Setup!$E$6:$E$29,"Y",Setup!$B$6:$B$29,"?*")-SUMPRODUCT(COUNTIF(W227:W250,Setup!$F$33:$F$40))</f>
        <v/>
      </c>
      <c r="X251" s="107" t="n"/>
      <c r="Y251" s="107">
        <f>COUNTIFS(Setup!$E$6:$E$29,"Y",Setup!$B$6:$B$29,"?*")-SUMPRODUCT(COUNTIF(Y227:Y250,Setup!$F$33:$F$40))</f>
        <v/>
      </c>
      <c r="Z251" s="107" t="n"/>
      <c r="AB251" s="108">
        <f>SUM(AB227:AB250)</f>
        <v/>
      </c>
      <c r="AC251" s="109">
        <f>SUM(AC227:AC250)</f>
        <v/>
      </c>
    </row>
    <row r="252" ht="30" customHeight="1">
      <c r="A252" t="n">
        <v>5</v>
      </c>
      <c r="B252" s="110" t="inlineStr">
        <is>
          <t>Week notes</t>
        </is>
      </c>
      <c r="C252" s="111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112" t="n"/>
      <c r="R252" s="112" t="n"/>
      <c r="S252" s="112" t="n"/>
      <c r="T252" s="112" t="n"/>
      <c r="U252" s="112" t="n"/>
      <c r="V252" s="112" t="n"/>
      <c r="W252" s="112" t="n"/>
      <c r="X252" s="112" t="n"/>
      <c r="Y252" s="112" t="n"/>
      <c r="Z252" s="113" t="n"/>
    </row>
    <row r="253" ht="8" customHeight="1">
      <c r="A253" t="n">
        <v>5</v>
      </c>
    </row>
    <row r="254" ht="8" customHeight="1">
      <c r="A254" t="n">
        <v>5</v>
      </c>
    </row>
    <row r="255" ht="24" customHeight="1">
      <c r="A255" t="n">
        <v>6</v>
      </c>
      <c r="B255" s="73">
        <f>"WEEK 6     "&amp;TEXT(C256,"ddd d mmm")&amp;"  –  "&amp;TEXT(C256+6,"ddd d mmm yyyy")</f>
        <v/>
      </c>
      <c r="S255" s="74">
        <f>IF(TODAY()&lt;C256,"FUTURE",IF(TODAY()&gt;C256+6,"PAST","THIS WEEK"))</f>
        <v/>
      </c>
      <c r="W255" s="75">
        <f>IF(AND(Engine!$B$8=$AC$3,Engine!$B$9=$A255),"◀ ACTIVE WEEK","")</f>
        <v/>
      </c>
      <c r="AA255" s="76" t="n"/>
      <c r="AB255" s="77" t="inlineStr">
        <is>
          <t>◀ Prev</t>
        </is>
      </c>
      <c r="AC255" s="77" t="inlineStr">
        <is>
          <t>Next ▶</t>
        </is>
      </c>
    </row>
    <row r="256" ht="18" customHeight="1">
      <c r="A256" t="n">
        <v>6</v>
      </c>
      <c r="B256" s="78" t="inlineStr">
        <is>
          <t>DUTY</t>
        </is>
      </c>
      <c r="C256" s="79">
        <f>$AC$2+7*($A256-1)</f>
        <v/>
      </c>
      <c r="D256" s="80" t="n"/>
      <c r="E256" s="80" t="n"/>
      <c r="F256" s="81" t="n"/>
      <c r="G256" s="79">
        <f>C256+1</f>
        <v/>
      </c>
      <c r="H256" s="80" t="n"/>
      <c r="I256" s="80" t="n"/>
      <c r="J256" s="81" t="n"/>
      <c r="K256" s="79">
        <f>C256+2</f>
        <v/>
      </c>
      <c r="L256" s="80" t="n"/>
      <c r="M256" s="80" t="n"/>
      <c r="N256" s="81" t="n"/>
      <c r="O256" s="79">
        <f>C256+3</f>
        <v/>
      </c>
      <c r="P256" s="80" t="n"/>
      <c r="Q256" s="80" t="n"/>
      <c r="R256" s="81" t="n"/>
      <c r="S256" s="79">
        <f>C256+4</f>
        <v/>
      </c>
      <c r="T256" s="80" t="n"/>
      <c r="U256" s="80" t="n"/>
      <c r="V256" s="81" t="n"/>
      <c r="W256" s="82">
        <f>C256+5</f>
        <v/>
      </c>
      <c r="X256" s="83" t="n"/>
      <c r="Y256" s="82">
        <f>C256+6</f>
        <v/>
      </c>
      <c r="Z256" s="83" t="n"/>
      <c r="AB256" s="72" t="inlineStr">
        <is>
          <t>Gaps</t>
        </is>
      </c>
      <c r="AC256" s="72" t="inlineStr">
        <is>
          <t>Cover</t>
        </is>
      </c>
    </row>
    <row r="257" ht="14" customHeight="1">
      <c r="A257" t="n">
        <v>6</v>
      </c>
      <c r="B257" s="84" t="inlineStr">
        <is>
          <t>(from Setup)</t>
        </is>
      </c>
      <c r="C257" s="85" t="inlineStr">
        <is>
          <t>1</t>
        </is>
      </c>
      <c r="D257" s="85" t="inlineStr">
        <is>
          <t>2</t>
        </is>
      </c>
      <c r="E257" s="85" t="inlineStr">
        <is>
          <t>3</t>
        </is>
      </c>
      <c r="F257" s="85" t="inlineStr">
        <is>
          <t>Notes</t>
        </is>
      </c>
      <c r="G257" s="85" t="inlineStr">
        <is>
          <t>1</t>
        </is>
      </c>
      <c r="H257" s="85" t="inlineStr">
        <is>
          <t>2</t>
        </is>
      </c>
      <c r="I257" s="85" t="inlineStr">
        <is>
          <t>3</t>
        </is>
      </c>
      <c r="J257" s="85" t="inlineStr">
        <is>
          <t>Notes</t>
        </is>
      </c>
      <c r="K257" s="85" t="inlineStr">
        <is>
          <t>1</t>
        </is>
      </c>
      <c r="L257" s="85" t="inlineStr">
        <is>
          <t>2</t>
        </is>
      </c>
      <c r="M257" s="85" t="inlineStr">
        <is>
          <t>3</t>
        </is>
      </c>
      <c r="N257" s="85" t="inlineStr">
        <is>
          <t>Notes</t>
        </is>
      </c>
      <c r="O257" s="85" t="inlineStr">
        <is>
          <t>1</t>
        </is>
      </c>
      <c r="P257" s="85" t="inlineStr">
        <is>
          <t>2</t>
        </is>
      </c>
      <c r="Q257" s="85" t="inlineStr">
        <is>
          <t>3</t>
        </is>
      </c>
      <c r="R257" s="85" t="inlineStr">
        <is>
          <t>Notes</t>
        </is>
      </c>
      <c r="S257" s="85" t="inlineStr">
        <is>
          <t>1</t>
        </is>
      </c>
      <c r="T257" s="85" t="inlineStr">
        <is>
          <t>2</t>
        </is>
      </c>
      <c r="U257" s="85" t="inlineStr">
        <is>
          <t>3</t>
        </is>
      </c>
      <c r="V257" s="85" t="inlineStr">
        <is>
          <t>Notes</t>
        </is>
      </c>
      <c r="W257" s="85" t="inlineStr">
        <is>
          <t>Cover</t>
        </is>
      </c>
      <c r="X257" s="85" t="inlineStr">
        <is>
          <t>Notes</t>
        </is>
      </c>
      <c r="Y257" s="85" t="inlineStr">
        <is>
          <t>Cover</t>
        </is>
      </c>
      <c r="Z257" s="85" t="inlineStr">
        <is>
          <t>Notes</t>
        </is>
      </c>
      <c r="AB257" s="86" t="inlineStr">
        <is>
          <t>weekdays short</t>
        </is>
      </c>
      <c r="AC257" s="87" t="inlineStr"/>
    </row>
    <row r="258" ht="17" customHeight="1">
      <c r="A258" t="n">
        <v>6</v>
      </c>
      <c r="B258" s="24">
        <f>IF(Setup!$K$6="","",Setup!$K$6)</f>
        <v/>
      </c>
      <c r="C258" s="88" t="n"/>
      <c r="D258" s="88" t="n"/>
      <c r="E258" s="88" t="n"/>
      <c r="F258" s="89" t="n"/>
      <c r="G258" s="88" t="n"/>
      <c r="H258" s="88" t="n"/>
      <c r="I258" s="88" t="n"/>
      <c r="J258" s="89" t="n"/>
      <c r="K258" s="88" t="n"/>
      <c r="L258" s="88" t="n"/>
      <c r="M258" s="88" t="n"/>
      <c r="N258" s="89" t="n"/>
      <c r="O258" s="88" t="n"/>
      <c r="P258" s="88" t="n"/>
      <c r="Q258" s="88" t="n"/>
      <c r="R258" s="89" t="n"/>
      <c r="S258" s="88" t="n"/>
      <c r="T258" s="88" t="n"/>
      <c r="U258" s="88" t="n"/>
      <c r="V258" s="89" t="n"/>
      <c r="W258" s="88" t="n"/>
      <c r="X258" s="89" t="n"/>
      <c r="Y258" s="88" t="n"/>
      <c r="Z258" s="89" t="n"/>
      <c r="AB258" s="25">
        <f>IF($B258="","",(COUNTIF(C258:E258,"?*")&lt;N(INDEX(Setup!$L$6:$L$23,1)))+(COUNTIF(G258:I258,"?*")&lt;N(INDEX(Setup!$L$6:$L$23,1)))+(COUNTIF(K258:M258,"?*")&lt;N(INDEX(Setup!$L$6:$L$23,1)))+(COUNTIF(O258:Q258,"?*")&lt;N(INDEX(Setup!$L$6:$L$23,1)))+(COUNTIF(S258:U258,"?*")&lt;N(INDEX(Setup!$L$6:$L$23,1)))+((W258="")*(INDEX(Setup!$M$6:$M$23,1)="Y"))+((Y258="")*(INDEX(Setup!$M$6:$M$23,1)="Y")))</f>
        <v/>
      </c>
      <c r="AC258" s="90">
        <f>IF($B258="","",IF(AB258=0,"✓ covered","⚠ "&amp;AB258&amp;IF(AB258=1," gap"," gaps")))</f>
        <v/>
      </c>
    </row>
    <row r="259" ht="17" customHeight="1">
      <c r="A259" t="n">
        <v>6</v>
      </c>
      <c r="B259" s="29">
        <f>IF(Setup!$K$7="","",Setup!$K$7)</f>
        <v/>
      </c>
      <c r="C259" s="88" t="n"/>
      <c r="D259" s="88" t="n"/>
      <c r="E259" s="88" t="n"/>
      <c r="F259" s="89" t="n"/>
      <c r="G259" s="88" t="n"/>
      <c r="H259" s="88" t="n"/>
      <c r="I259" s="88" t="n"/>
      <c r="J259" s="89" t="n"/>
      <c r="K259" s="88" t="n"/>
      <c r="L259" s="88" t="n"/>
      <c r="M259" s="88" t="n"/>
      <c r="N259" s="89" t="n"/>
      <c r="O259" s="88" t="n"/>
      <c r="P259" s="88" t="n"/>
      <c r="Q259" s="88" t="n"/>
      <c r="R259" s="89" t="n"/>
      <c r="S259" s="88" t="n"/>
      <c r="T259" s="88" t="n"/>
      <c r="U259" s="88" t="n"/>
      <c r="V259" s="89" t="n"/>
      <c r="W259" s="88" t="n"/>
      <c r="X259" s="89" t="n"/>
      <c r="Y259" s="88" t="n"/>
      <c r="Z259" s="89" t="n"/>
      <c r="AB259" s="30">
        <f>IF($B259="","",(COUNTIF(C259:E259,"?*")&lt;N(INDEX(Setup!$L$6:$L$23,2)))+(COUNTIF(G259:I259,"?*")&lt;N(INDEX(Setup!$L$6:$L$23,2)))+(COUNTIF(K259:M259,"?*")&lt;N(INDEX(Setup!$L$6:$L$23,2)))+(COUNTIF(O259:Q259,"?*")&lt;N(INDEX(Setup!$L$6:$L$23,2)))+(COUNTIF(S259:U259,"?*")&lt;N(INDEX(Setup!$L$6:$L$23,2)))+((W259="")*(INDEX(Setup!$M$6:$M$23,2)="Y"))+((Y259="")*(INDEX(Setup!$M$6:$M$23,2)="Y")))</f>
        <v/>
      </c>
      <c r="AC259" s="91">
        <f>IF($B259="","",IF(AB259=0,"✓ covered","⚠ "&amp;AB259&amp;IF(AB259=1," gap"," gaps")))</f>
        <v/>
      </c>
    </row>
    <row r="260" ht="17" customHeight="1">
      <c r="A260" t="n">
        <v>6</v>
      </c>
      <c r="B260" s="24">
        <f>IF(Setup!$K$8="","",Setup!$K$8)</f>
        <v/>
      </c>
      <c r="C260" s="88" t="n"/>
      <c r="D260" s="88" t="n"/>
      <c r="E260" s="88" t="n"/>
      <c r="F260" s="89" t="n"/>
      <c r="G260" s="88" t="n"/>
      <c r="H260" s="88" t="n"/>
      <c r="I260" s="88" t="n"/>
      <c r="J260" s="89" t="n"/>
      <c r="K260" s="88" t="n"/>
      <c r="L260" s="88" t="n"/>
      <c r="M260" s="88" t="n"/>
      <c r="N260" s="89" t="n"/>
      <c r="O260" s="88" t="n"/>
      <c r="P260" s="88" t="n"/>
      <c r="Q260" s="88" t="n"/>
      <c r="R260" s="89" t="n"/>
      <c r="S260" s="88" t="n"/>
      <c r="T260" s="88" t="n"/>
      <c r="U260" s="88" t="n"/>
      <c r="V260" s="89" t="n"/>
      <c r="W260" s="88" t="n"/>
      <c r="X260" s="89" t="n"/>
      <c r="Y260" s="88" t="n"/>
      <c r="Z260" s="89" t="n"/>
      <c r="AB260" s="25">
        <f>IF($B260="","",(COUNTIF(C260:E260,"?*")&lt;N(INDEX(Setup!$L$6:$L$23,3)))+(COUNTIF(G260:I260,"?*")&lt;N(INDEX(Setup!$L$6:$L$23,3)))+(COUNTIF(K260:M260,"?*")&lt;N(INDEX(Setup!$L$6:$L$23,3)))+(COUNTIF(O260:Q260,"?*")&lt;N(INDEX(Setup!$L$6:$L$23,3)))+(COUNTIF(S260:U260,"?*")&lt;N(INDEX(Setup!$L$6:$L$23,3)))+((W260="")*(INDEX(Setup!$M$6:$M$23,3)="Y"))+((Y260="")*(INDEX(Setup!$M$6:$M$23,3)="Y")))</f>
        <v/>
      </c>
      <c r="AC260" s="90">
        <f>IF($B260="","",IF(AB260=0,"✓ covered","⚠ "&amp;AB260&amp;IF(AB260=1," gap"," gaps")))</f>
        <v/>
      </c>
    </row>
    <row r="261" ht="17" customHeight="1">
      <c r="A261" t="n">
        <v>6</v>
      </c>
      <c r="B261" s="29">
        <f>IF(Setup!$K$9="","",Setup!$K$9)</f>
        <v/>
      </c>
      <c r="C261" s="88" t="n"/>
      <c r="D261" s="88" t="n"/>
      <c r="E261" s="88" t="n"/>
      <c r="F261" s="89" t="n"/>
      <c r="G261" s="88" t="n"/>
      <c r="H261" s="88" t="n"/>
      <c r="I261" s="88" t="n"/>
      <c r="J261" s="89" t="n"/>
      <c r="K261" s="88" t="n"/>
      <c r="L261" s="88" t="n"/>
      <c r="M261" s="88" t="n"/>
      <c r="N261" s="89" t="n"/>
      <c r="O261" s="88" t="n"/>
      <c r="P261" s="88" t="n"/>
      <c r="Q261" s="88" t="n"/>
      <c r="R261" s="89" t="n"/>
      <c r="S261" s="88" t="n"/>
      <c r="T261" s="88" t="n"/>
      <c r="U261" s="88" t="n"/>
      <c r="V261" s="89" t="n"/>
      <c r="W261" s="88" t="n"/>
      <c r="X261" s="89" t="n"/>
      <c r="Y261" s="88" t="n"/>
      <c r="Z261" s="89" t="n"/>
      <c r="AB261" s="30">
        <f>IF($B261="","",(COUNTIF(C261:E261,"?*")&lt;N(INDEX(Setup!$L$6:$L$23,4)))+(COUNTIF(G261:I261,"?*")&lt;N(INDEX(Setup!$L$6:$L$23,4)))+(COUNTIF(K261:M261,"?*")&lt;N(INDEX(Setup!$L$6:$L$23,4)))+(COUNTIF(O261:Q261,"?*")&lt;N(INDEX(Setup!$L$6:$L$23,4)))+(COUNTIF(S261:U261,"?*")&lt;N(INDEX(Setup!$L$6:$L$23,4)))+((W261="")*(INDEX(Setup!$M$6:$M$23,4)="Y"))+((Y261="")*(INDEX(Setup!$M$6:$M$23,4)="Y")))</f>
        <v/>
      </c>
      <c r="AC261" s="91">
        <f>IF($B261="","",IF(AB261=0,"✓ covered","⚠ "&amp;AB261&amp;IF(AB261=1," gap"," gaps")))</f>
        <v/>
      </c>
    </row>
    <row r="262" ht="17" customHeight="1">
      <c r="A262" t="n">
        <v>6</v>
      </c>
      <c r="B262" s="24">
        <f>IF(Setup!$K$10="","",Setup!$K$10)</f>
        <v/>
      </c>
      <c r="C262" s="88" t="n"/>
      <c r="D262" s="88" t="n"/>
      <c r="E262" s="88" t="n"/>
      <c r="F262" s="89" t="n"/>
      <c r="G262" s="88" t="n"/>
      <c r="H262" s="88" t="n"/>
      <c r="I262" s="88" t="n"/>
      <c r="J262" s="89" t="n"/>
      <c r="K262" s="88" t="n"/>
      <c r="L262" s="88" t="n"/>
      <c r="M262" s="88" t="n"/>
      <c r="N262" s="89" t="n"/>
      <c r="O262" s="88" t="n"/>
      <c r="P262" s="88" t="n"/>
      <c r="Q262" s="88" t="n"/>
      <c r="R262" s="89" t="n"/>
      <c r="S262" s="88" t="n"/>
      <c r="T262" s="88" t="n"/>
      <c r="U262" s="88" t="n"/>
      <c r="V262" s="89" t="n"/>
      <c r="W262" s="88" t="n"/>
      <c r="X262" s="89" t="n"/>
      <c r="Y262" s="88" t="n"/>
      <c r="Z262" s="89" t="n"/>
      <c r="AB262" s="25">
        <f>IF($B262="","",(COUNTIF(C262:E262,"?*")&lt;N(INDEX(Setup!$L$6:$L$23,5)))+(COUNTIF(G262:I262,"?*")&lt;N(INDEX(Setup!$L$6:$L$23,5)))+(COUNTIF(K262:M262,"?*")&lt;N(INDEX(Setup!$L$6:$L$23,5)))+(COUNTIF(O262:Q262,"?*")&lt;N(INDEX(Setup!$L$6:$L$23,5)))+(COUNTIF(S262:U262,"?*")&lt;N(INDEX(Setup!$L$6:$L$23,5)))+((W262="")*(INDEX(Setup!$M$6:$M$23,5)="Y"))+((Y262="")*(INDEX(Setup!$M$6:$M$23,5)="Y")))</f>
        <v/>
      </c>
      <c r="AC262" s="90">
        <f>IF($B262="","",IF(AB262=0,"✓ covered","⚠ "&amp;AB262&amp;IF(AB262=1," gap"," gaps")))</f>
        <v/>
      </c>
    </row>
    <row r="263" ht="17" customHeight="1">
      <c r="A263" t="n">
        <v>6</v>
      </c>
      <c r="B263" s="29">
        <f>IF(Setup!$K$11="","",Setup!$K$11)</f>
        <v/>
      </c>
      <c r="C263" s="88" t="n"/>
      <c r="D263" s="88" t="n"/>
      <c r="E263" s="88" t="n"/>
      <c r="F263" s="89" t="n"/>
      <c r="G263" s="88" t="n"/>
      <c r="H263" s="88" t="n"/>
      <c r="I263" s="88" t="n"/>
      <c r="J263" s="89" t="n"/>
      <c r="K263" s="88" t="n"/>
      <c r="L263" s="88" t="n"/>
      <c r="M263" s="88" t="n"/>
      <c r="N263" s="89" t="n"/>
      <c r="O263" s="88" t="n"/>
      <c r="P263" s="88" t="n"/>
      <c r="Q263" s="88" t="n"/>
      <c r="R263" s="89" t="n"/>
      <c r="S263" s="88" t="n"/>
      <c r="T263" s="88" t="n"/>
      <c r="U263" s="88" t="n"/>
      <c r="V263" s="89" t="n"/>
      <c r="W263" s="88" t="n"/>
      <c r="X263" s="89" t="n"/>
      <c r="Y263" s="88" t="n"/>
      <c r="Z263" s="89" t="n"/>
      <c r="AB263" s="30">
        <f>IF($B263="","",(COUNTIF(C263:E263,"?*")&lt;N(INDEX(Setup!$L$6:$L$23,6)))+(COUNTIF(G263:I263,"?*")&lt;N(INDEX(Setup!$L$6:$L$23,6)))+(COUNTIF(K263:M263,"?*")&lt;N(INDEX(Setup!$L$6:$L$23,6)))+(COUNTIF(O263:Q263,"?*")&lt;N(INDEX(Setup!$L$6:$L$23,6)))+(COUNTIF(S263:U263,"?*")&lt;N(INDEX(Setup!$L$6:$L$23,6)))+((W263="")*(INDEX(Setup!$M$6:$M$23,6)="Y"))+((Y263="")*(INDEX(Setup!$M$6:$M$23,6)="Y")))</f>
        <v/>
      </c>
      <c r="AC263" s="91">
        <f>IF($B263="","",IF(AB263=0,"✓ covered","⚠ "&amp;AB263&amp;IF(AB263=1," gap"," gaps")))</f>
        <v/>
      </c>
    </row>
    <row r="264" ht="17" customHeight="1">
      <c r="A264" t="n">
        <v>6</v>
      </c>
      <c r="B264" s="24">
        <f>IF(Setup!$K$12="","",Setup!$K$12)</f>
        <v/>
      </c>
      <c r="C264" s="88" t="n"/>
      <c r="D264" s="88" t="n"/>
      <c r="E264" s="88" t="n"/>
      <c r="F264" s="89" t="n"/>
      <c r="G264" s="88" t="n"/>
      <c r="H264" s="88" t="n"/>
      <c r="I264" s="88" t="n"/>
      <c r="J264" s="89" t="n"/>
      <c r="K264" s="88" t="n"/>
      <c r="L264" s="88" t="n"/>
      <c r="M264" s="88" t="n"/>
      <c r="N264" s="89" t="n"/>
      <c r="O264" s="88" t="n"/>
      <c r="P264" s="88" t="n"/>
      <c r="Q264" s="88" t="n"/>
      <c r="R264" s="89" t="n"/>
      <c r="S264" s="88" t="n"/>
      <c r="T264" s="88" t="n"/>
      <c r="U264" s="88" t="n"/>
      <c r="V264" s="89" t="n"/>
      <c r="W264" s="88" t="n"/>
      <c r="X264" s="89" t="n"/>
      <c r="Y264" s="88" t="n"/>
      <c r="Z264" s="89" t="n"/>
      <c r="AB264" s="25">
        <f>IF($B264="","",(COUNTIF(C264:E264,"?*")&lt;N(INDEX(Setup!$L$6:$L$23,7)))+(COUNTIF(G264:I264,"?*")&lt;N(INDEX(Setup!$L$6:$L$23,7)))+(COUNTIF(K264:M264,"?*")&lt;N(INDEX(Setup!$L$6:$L$23,7)))+(COUNTIF(O264:Q264,"?*")&lt;N(INDEX(Setup!$L$6:$L$23,7)))+(COUNTIF(S264:U264,"?*")&lt;N(INDEX(Setup!$L$6:$L$23,7)))+((W264="")*(INDEX(Setup!$M$6:$M$23,7)="Y"))+((Y264="")*(INDEX(Setup!$M$6:$M$23,7)="Y")))</f>
        <v/>
      </c>
      <c r="AC264" s="90">
        <f>IF($B264="","",IF(AB264=0,"✓ covered","⚠ "&amp;AB264&amp;IF(AB264=1," gap"," gaps")))</f>
        <v/>
      </c>
    </row>
    <row r="265" ht="17" customHeight="1">
      <c r="A265" t="n">
        <v>6</v>
      </c>
      <c r="B265" s="29">
        <f>IF(Setup!$K$13="","",Setup!$K$13)</f>
        <v/>
      </c>
      <c r="C265" s="88" t="n"/>
      <c r="D265" s="88" t="n"/>
      <c r="E265" s="88" t="n"/>
      <c r="F265" s="89" t="n"/>
      <c r="G265" s="88" t="n"/>
      <c r="H265" s="88" t="n"/>
      <c r="I265" s="88" t="n"/>
      <c r="J265" s="89" t="n"/>
      <c r="K265" s="88" t="n"/>
      <c r="L265" s="88" t="n"/>
      <c r="M265" s="88" t="n"/>
      <c r="N265" s="89" t="n"/>
      <c r="O265" s="88" t="n"/>
      <c r="P265" s="88" t="n"/>
      <c r="Q265" s="88" t="n"/>
      <c r="R265" s="89" t="n"/>
      <c r="S265" s="88" t="n"/>
      <c r="T265" s="88" t="n"/>
      <c r="U265" s="88" t="n"/>
      <c r="V265" s="89" t="n"/>
      <c r="W265" s="88" t="n"/>
      <c r="X265" s="89" t="n"/>
      <c r="Y265" s="88" t="n"/>
      <c r="Z265" s="89" t="n"/>
      <c r="AB265" s="30">
        <f>IF($B265="","",(COUNTIF(C265:E265,"?*")&lt;N(INDEX(Setup!$L$6:$L$23,8)))+(COUNTIF(G265:I265,"?*")&lt;N(INDEX(Setup!$L$6:$L$23,8)))+(COUNTIF(K265:M265,"?*")&lt;N(INDEX(Setup!$L$6:$L$23,8)))+(COUNTIF(O265:Q265,"?*")&lt;N(INDEX(Setup!$L$6:$L$23,8)))+(COUNTIF(S265:U265,"?*")&lt;N(INDEX(Setup!$L$6:$L$23,8)))+((W265="")*(INDEX(Setup!$M$6:$M$23,8)="Y"))+((Y265="")*(INDEX(Setup!$M$6:$M$23,8)="Y")))</f>
        <v/>
      </c>
      <c r="AC265" s="91">
        <f>IF($B265="","",IF(AB265=0,"✓ covered","⚠ "&amp;AB265&amp;IF(AB265=1," gap"," gaps")))</f>
        <v/>
      </c>
    </row>
    <row r="266" ht="17" customHeight="1">
      <c r="A266" t="n">
        <v>6</v>
      </c>
      <c r="B266" s="24">
        <f>IF(Setup!$K$14="","",Setup!$K$14)</f>
        <v/>
      </c>
      <c r="C266" s="88" t="n"/>
      <c r="D266" s="88" t="n"/>
      <c r="E266" s="88" t="n"/>
      <c r="F266" s="89" t="n"/>
      <c r="G266" s="88" t="n"/>
      <c r="H266" s="88" t="n"/>
      <c r="I266" s="88" t="n"/>
      <c r="J266" s="89" t="n"/>
      <c r="K266" s="88" t="n"/>
      <c r="L266" s="88" t="n"/>
      <c r="M266" s="88" t="n"/>
      <c r="N266" s="89" t="n"/>
      <c r="O266" s="88" t="n"/>
      <c r="P266" s="88" t="n"/>
      <c r="Q266" s="88" t="n"/>
      <c r="R266" s="89" t="n"/>
      <c r="S266" s="88" t="n"/>
      <c r="T266" s="88" t="n"/>
      <c r="U266" s="88" t="n"/>
      <c r="V266" s="89" t="n"/>
      <c r="W266" s="88" t="n"/>
      <c r="X266" s="89" t="n"/>
      <c r="Y266" s="88" t="n"/>
      <c r="Z266" s="89" t="n"/>
      <c r="AB266" s="25">
        <f>IF($B266="","",(COUNTIF(C266:E266,"?*")&lt;N(INDEX(Setup!$L$6:$L$23,9)))+(COUNTIF(G266:I266,"?*")&lt;N(INDEX(Setup!$L$6:$L$23,9)))+(COUNTIF(K266:M266,"?*")&lt;N(INDEX(Setup!$L$6:$L$23,9)))+(COUNTIF(O266:Q266,"?*")&lt;N(INDEX(Setup!$L$6:$L$23,9)))+(COUNTIF(S266:U266,"?*")&lt;N(INDEX(Setup!$L$6:$L$23,9)))+((W266="")*(INDEX(Setup!$M$6:$M$23,9)="Y"))+((Y266="")*(INDEX(Setup!$M$6:$M$23,9)="Y")))</f>
        <v/>
      </c>
      <c r="AC266" s="90">
        <f>IF($B266="","",IF(AB266=0,"✓ covered","⚠ "&amp;AB266&amp;IF(AB266=1," gap"," gaps")))</f>
        <v/>
      </c>
    </row>
    <row r="267" ht="17" customHeight="1">
      <c r="A267" t="n">
        <v>6</v>
      </c>
      <c r="B267" s="29">
        <f>IF(Setup!$K$15="","",Setup!$K$15)</f>
        <v/>
      </c>
      <c r="C267" s="88" t="n"/>
      <c r="D267" s="88" t="n"/>
      <c r="E267" s="88" t="n"/>
      <c r="F267" s="89" t="n"/>
      <c r="G267" s="88" t="n"/>
      <c r="H267" s="88" t="n"/>
      <c r="I267" s="88" t="n"/>
      <c r="J267" s="89" t="n"/>
      <c r="K267" s="88" t="n"/>
      <c r="L267" s="88" t="n"/>
      <c r="M267" s="88" t="n"/>
      <c r="N267" s="89" t="n"/>
      <c r="O267" s="88" t="n"/>
      <c r="P267" s="88" t="n"/>
      <c r="Q267" s="88" t="n"/>
      <c r="R267" s="89" t="n"/>
      <c r="S267" s="88" t="n"/>
      <c r="T267" s="88" t="n"/>
      <c r="U267" s="88" t="n"/>
      <c r="V267" s="89" t="n"/>
      <c r="W267" s="88" t="n"/>
      <c r="X267" s="89" t="n"/>
      <c r="Y267" s="88" t="n"/>
      <c r="Z267" s="89" t="n"/>
      <c r="AB267" s="30">
        <f>IF($B267="","",(COUNTIF(C267:E267,"?*")&lt;N(INDEX(Setup!$L$6:$L$23,10)))+(COUNTIF(G267:I267,"?*")&lt;N(INDEX(Setup!$L$6:$L$23,10)))+(COUNTIF(K267:M267,"?*")&lt;N(INDEX(Setup!$L$6:$L$23,10)))+(COUNTIF(O267:Q267,"?*")&lt;N(INDEX(Setup!$L$6:$L$23,10)))+(COUNTIF(S267:U267,"?*")&lt;N(INDEX(Setup!$L$6:$L$23,10)))+((W267="")*(INDEX(Setup!$M$6:$M$23,10)="Y"))+((Y267="")*(INDEX(Setup!$M$6:$M$23,10)="Y")))</f>
        <v/>
      </c>
      <c r="AC267" s="91">
        <f>IF($B267="","",IF(AB267=0,"✓ covered","⚠ "&amp;AB267&amp;IF(AB267=1," gap"," gaps")))</f>
        <v/>
      </c>
    </row>
    <row r="268" ht="17" customHeight="1">
      <c r="A268" t="n">
        <v>6</v>
      </c>
      <c r="B268" s="24">
        <f>IF(Setup!$K$16="","",Setup!$K$16)</f>
        <v/>
      </c>
      <c r="C268" s="88" t="n"/>
      <c r="D268" s="88" t="n"/>
      <c r="E268" s="88" t="n"/>
      <c r="F268" s="89" t="n"/>
      <c r="G268" s="88" t="n"/>
      <c r="H268" s="88" t="n"/>
      <c r="I268" s="88" t="n"/>
      <c r="J268" s="89" t="n"/>
      <c r="K268" s="88" t="n"/>
      <c r="L268" s="88" t="n"/>
      <c r="M268" s="88" t="n"/>
      <c r="N268" s="89" t="n"/>
      <c r="O268" s="88" t="n"/>
      <c r="P268" s="88" t="n"/>
      <c r="Q268" s="88" t="n"/>
      <c r="R268" s="89" t="n"/>
      <c r="S268" s="88" t="n"/>
      <c r="T268" s="88" t="n"/>
      <c r="U268" s="88" t="n"/>
      <c r="V268" s="89" t="n"/>
      <c r="W268" s="88" t="n"/>
      <c r="X268" s="89" t="n"/>
      <c r="Y268" s="88" t="n"/>
      <c r="Z268" s="89" t="n"/>
      <c r="AB268" s="25">
        <f>IF($B268="","",(COUNTIF(C268:E268,"?*")&lt;N(INDEX(Setup!$L$6:$L$23,11)))+(COUNTIF(G268:I268,"?*")&lt;N(INDEX(Setup!$L$6:$L$23,11)))+(COUNTIF(K268:M268,"?*")&lt;N(INDEX(Setup!$L$6:$L$23,11)))+(COUNTIF(O268:Q268,"?*")&lt;N(INDEX(Setup!$L$6:$L$23,11)))+(COUNTIF(S268:U268,"?*")&lt;N(INDEX(Setup!$L$6:$L$23,11)))+((W268="")*(INDEX(Setup!$M$6:$M$23,11)="Y"))+((Y268="")*(INDEX(Setup!$M$6:$M$23,11)="Y")))</f>
        <v/>
      </c>
      <c r="AC268" s="90">
        <f>IF($B268="","",IF(AB268=0,"✓ covered","⚠ "&amp;AB268&amp;IF(AB268=1," gap"," gaps")))</f>
        <v/>
      </c>
    </row>
    <row r="269" ht="17" customHeight="1">
      <c r="A269" t="n">
        <v>6</v>
      </c>
      <c r="B269" s="29">
        <f>IF(Setup!$K$17="","",Setup!$K$17)</f>
        <v/>
      </c>
      <c r="C269" s="88" t="n"/>
      <c r="D269" s="88" t="n"/>
      <c r="E269" s="88" t="n"/>
      <c r="F269" s="89" t="n"/>
      <c r="G269" s="88" t="n"/>
      <c r="H269" s="88" t="n"/>
      <c r="I269" s="88" t="n"/>
      <c r="J269" s="89" t="n"/>
      <c r="K269" s="88" t="n"/>
      <c r="L269" s="88" t="n"/>
      <c r="M269" s="88" t="n"/>
      <c r="N269" s="89" t="n"/>
      <c r="O269" s="88" t="n"/>
      <c r="P269" s="88" t="n"/>
      <c r="Q269" s="88" t="n"/>
      <c r="R269" s="89" t="n"/>
      <c r="S269" s="88" t="n"/>
      <c r="T269" s="88" t="n"/>
      <c r="U269" s="88" t="n"/>
      <c r="V269" s="89" t="n"/>
      <c r="W269" s="88" t="n"/>
      <c r="X269" s="89" t="n"/>
      <c r="Y269" s="88" t="n"/>
      <c r="Z269" s="89" t="n"/>
      <c r="AB269" s="30">
        <f>IF($B269="","",(COUNTIF(C269:E269,"?*")&lt;N(INDEX(Setup!$L$6:$L$23,12)))+(COUNTIF(G269:I269,"?*")&lt;N(INDEX(Setup!$L$6:$L$23,12)))+(COUNTIF(K269:M269,"?*")&lt;N(INDEX(Setup!$L$6:$L$23,12)))+(COUNTIF(O269:Q269,"?*")&lt;N(INDEX(Setup!$L$6:$L$23,12)))+(COUNTIF(S269:U269,"?*")&lt;N(INDEX(Setup!$L$6:$L$23,12)))+((W269="")*(INDEX(Setup!$M$6:$M$23,12)="Y"))+((Y269="")*(INDEX(Setup!$M$6:$M$23,12)="Y")))</f>
        <v/>
      </c>
      <c r="AC269" s="91">
        <f>IF($B269="","",IF(AB269=0,"✓ covered","⚠ "&amp;AB269&amp;IF(AB269=1," gap"," gaps")))</f>
        <v/>
      </c>
    </row>
    <row r="270" ht="17" customHeight="1">
      <c r="A270" t="n">
        <v>6</v>
      </c>
      <c r="B270" s="24">
        <f>IF(Setup!$K$18="","",Setup!$K$18)</f>
        <v/>
      </c>
      <c r="C270" s="88" t="n"/>
      <c r="D270" s="88" t="n"/>
      <c r="E270" s="88" t="n"/>
      <c r="F270" s="89" t="n"/>
      <c r="G270" s="88" t="n"/>
      <c r="H270" s="88" t="n"/>
      <c r="I270" s="88" t="n"/>
      <c r="J270" s="89" t="n"/>
      <c r="K270" s="88" t="n"/>
      <c r="L270" s="88" t="n"/>
      <c r="M270" s="88" t="n"/>
      <c r="N270" s="89" t="n"/>
      <c r="O270" s="88" t="n"/>
      <c r="P270" s="88" t="n"/>
      <c r="Q270" s="88" t="n"/>
      <c r="R270" s="89" t="n"/>
      <c r="S270" s="88" t="n"/>
      <c r="T270" s="88" t="n"/>
      <c r="U270" s="88" t="n"/>
      <c r="V270" s="89" t="n"/>
      <c r="W270" s="88" t="n"/>
      <c r="X270" s="89" t="n"/>
      <c r="Y270" s="88" t="n"/>
      <c r="Z270" s="89" t="n"/>
      <c r="AB270" s="25">
        <f>IF($B270="","",(COUNTIF(C270:E270,"?*")&lt;N(INDEX(Setup!$L$6:$L$23,13)))+(COUNTIF(G270:I270,"?*")&lt;N(INDEX(Setup!$L$6:$L$23,13)))+(COUNTIF(K270:M270,"?*")&lt;N(INDEX(Setup!$L$6:$L$23,13)))+(COUNTIF(O270:Q270,"?*")&lt;N(INDEX(Setup!$L$6:$L$23,13)))+(COUNTIF(S270:U270,"?*")&lt;N(INDEX(Setup!$L$6:$L$23,13)))+((W270="")*(INDEX(Setup!$M$6:$M$23,13)="Y"))+((Y270="")*(INDEX(Setup!$M$6:$M$23,13)="Y")))</f>
        <v/>
      </c>
      <c r="AC270" s="90">
        <f>IF($B270="","",IF(AB270=0,"✓ covered","⚠ "&amp;AB270&amp;IF(AB270=1," gap"," gaps")))</f>
        <v/>
      </c>
    </row>
    <row r="271" ht="17" customHeight="1">
      <c r="A271" t="n">
        <v>6</v>
      </c>
      <c r="B271" s="29">
        <f>IF(Setup!$K$19="","",Setup!$K$19)</f>
        <v/>
      </c>
      <c r="C271" s="88" t="n"/>
      <c r="D271" s="88" t="n"/>
      <c r="E271" s="88" t="n"/>
      <c r="F271" s="89" t="n"/>
      <c r="G271" s="88" t="n"/>
      <c r="H271" s="88" t="n"/>
      <c r="I271" s="88" t="n"/>
      <c r="J271" s="89" t="n"/>
      <c r="K271" s="88" t="n"/>
      <c r="L271" s="88" t="n"/>
      <c r="M271" s="88" t="n"/>
      <c r="N271" s="89" t="n"/>
      <c r="O271" s="88" t="n"/>
      <c r="P271" s="88" t="n"/>
      <c r="Q271" s="88" t="n"/>
      <c r="R271" s="89" t="n"/>
      <c r="S271" s="88" t="n"/>
      <c r="T271" s="88" t="n"/>
      <c r="U271" s="88" t="n"/>
      <c r="V271" s="89" t="n"/>
      <c r="W271" s="88" t="n"/>
      <c r="X271" s="89" t="n"/>
      <c r="Y271" s="88" t="n"/>
      <c r="Z271" s="89" t="n"/>
      <c r="AB271" s="30">
        <f>IF($B271="","",(COUNTIF(C271:E271,"?*")&lt;N(INDEX(Setup!$L$6:$L$23,14)))+(COUNTIF(G271:I271,"?*")&lt;N(INDEX(Setup!$L$6:$L$23,14)))+(COUNTIF(K271:M271,"?*")&lt;N(INDEX(Setup!$L$6:$L$23,14)))+(COUNTIF(O271:Q271,"?*")&lt;N(INDEX(Setup!$L$6:$L$23,14)))+(COUNTIF(S271:U271,"?*")&lt;N(INDEX(Setup!$L$6:$L$23,14)))+((W271="")*(INDEX(Setup!$M$6:$M$23,14)="Y"))+((Y271="")*(INDEX(Setup!$M$6:$M$23,14)="Y")))</f>
        <v/>
      </c>
      <c r="AC271" s="91">
        <f>IF($B271="","",IF(AB271=0,"✓ covered","⚠ "&amp;AB271&amp;IF(AB271=1," gap"," gaps")))</f>
        <v/>
      </c>
    </row>
    <row r="272" ht="17" customHeight="1">
      <c r="A272" t="n">
        <v>6</v>
      </c>
      <c r="B272" s="24">
        <f>IF(Setup!$K$20="","",Setup!$K$20)</f>
        <v/>
      </c>
      <c r="C272" s="88" t="n"/>
      <c r="D272" s="88" t="n"/>
      <c r="E272" s="88" t="n"/>
      <c r="F272" s="89" t="n"/>
      <c r="G272" s="88" t="n"/>
      <c r="H272" s="88" t="n"/>
      <c r="I272" s="88" t="n"/>
      <c r="J272" s="89" t="n"/>
      <c r="K272" s="88" t="n"/>
      <c r="L272" s="88" t="n"/>
      <c r="M272" s="88" t="n"/>
      <c r="N272" s="89" t="n"/>
      <c r="O272" s="88" t="n"/>
      <c r="P272" s="88" t="n"/>
      <c r="Q272" s="88" t="n"/>
      <c r="R272" s="89" t="n"/>
      <c r="S272" s="88" t="n"/>
      <c r="T272" s="88" t="n"/>
      <c r="U272" s="88" t="n"/>
      <c r="V272" s="89" t="n"/>
      <c r="W272" s="88" t="n"/>
      <c r="X272" s="89" t="n"/>
      <c r="Y272" s="88" t="n"/>
      <c r="Z272" s="89" t="n"/>
      <c r="AB272" s="25">
        <f>IF($B272="","",(COUNTIF(C272:E272,"?*")&lt;N(INDEX(Setup!$L$6:$L$23,15)))+(COUNTIF(G272:I272,"?*")&lt;N(INDEX(Setup!$L$6:$L$23,15)))+(COUNTIF(K272:M272,"?*")&lt;N(INDEX(Setup!$L$6:$L$23,15)))+(COUNTIF(O272:Q272,"?*")&lt;N(INDEX(Setup!$L$6:$L$23,15)))+(COUNTIF(S272:U272,"?*")&lt;N(INDEX(Setup!$L$6:$L$23,15)))+((W272="")*(INDEX(Setup!$M$6:$M$23,15)="Y"))+((Y272="")*(INDEX(Setup!$M$6:$M$23,15)="Y")))</f>
        <v/>
      </c>
      <c r="AC272" s="90">
        <f>IF($B272="","",IF(AB272=0,"✓ covered","⚠ "&amp;AB272&amp;IF(AB272=1," gap"," gaps")))</f>
        <v/>
      </c>
    </row>
    <row r="273" ht="17" customHeight="1">
      <c r="A273" t="n">
        <v>6</v>
      </c>
      <c r="B273" s="29">
        <f>IF(Setup!$K$21="","",Setup!$K$21)</f>
        <v/>
      </c>
      <c r="C273" s="88" t="n"/>
      <c r="D273" s="88" t="n"/>
      <c r="E273" s="88" t="n"/>
      <c r="F273" s="89" t="n"/>
      <c r="G273" s="88" t="n"/>
      <c r="H273" s="88" t="n"/>
      <c r="I273" s="88" t="n"/>
      <c r="J273" s="89" t="n"/>
      <c r="K273" s="88" t="n"/>
      <c r="L273" s="88" t="n"/>
      <c r="M273" s="88" t="n"/>
      <c r="N273" s="89" t="n"/>
      <c r="O273" s="88" t="n"/>
      <c r="P273" s="88" t="n"/>
      <c r="Q273" s="88" t="n"/>
      <c r="R273" s="89" t="n"/>
      <c r="S273" s="88" t="n"/>
      <c r="T273" s="88" t="n"/>
      <c r="U273" s="88" t="n"/>
      <c r="V273" s="89" t="n"/>
      <c r="W273" s="88" t="n"/>
      <c r="X273" s="89" t="n"/>
      <c r="Y273" s="88" t="n"/>
      <c r="Z273" s="89" t="n"/>
      <c r="AB273" s="30">
        <f>IF($B273="","",(COUNTIF(C273:E273,"?*")&lt;N(INDEX(Setup!$L$6:$L$23,16)))+(COUNTIF(G273:I273,"?*")&lt;N(INDEX(Setup!$L$6:$L$23,16)))+(COUNTIF(K273:M273,"?*")&lt;N(INDEX(Setup!$L$6:$L$23,16)))+(COUNTIF(O273:Q273,"?*")&lt;N(INDEX(Setup!$L$6:$L$23,16)))+(COUNTIF(S273:U273,"?*")&lt;N(INDEX(Setup!$L$6:$L$23,16)))+((W273="")*(INDEX(Setup!$M$6:$M$23,16)="Y"))+((Y273="")*(INDEX(Setup!$M$6:$M$23,16)="Y")))</f>
        <v/>
      </c>
      <c r="AC273" s="91">
        <f>IF($B273="","",IF(AB273=0,"✓ covered","⚠ "&amp;AB273&amp;IF(AB273=1," gap"," gaps")))</f>
        <v/>
      </c>
    </row>
    <row r="274" ht="17" customHeight="1">
      <c r="A274" t="n">
        <v>6</v>
      </c>
      <c r="B274" s="24">
        <f>IF(Setup!$K$22="","",Setup!$K$22)</f>
        <v/>
      </c>
      <c r="C274" s="88" t="n"/>
      <c r="D274" s="88" t="n"/>
      <c r="E274" s="88" t="n"/>
      <c r="F274" s="89" t="n"/>
      <c r="G274" s="88" t="n"/>
      <c r="H274" s="88" t="n"/>
      <c r="I274" s="88" t="n"/>
      <c r="J274" s="89" t="n"/>
      <c r="K274" s="88" t="n"/>
      <c r="L274" s="88" t="n"/>
      <c r="M274" s="88" t="n"/>
      <c r="N274" s="89" t="n"/>
      <c r="O274" s="88" t="n"/>
      <c r="P274" s="88" t="n"/>
      <c r="Q274" s="88" t="n"/>
      <c r="R274" s="89" t="n"/>
      <c r="S274" s="88" t="n"/>
      <c r="T274" s="88" t="n"/>
      <c r="U274" s="88" t="n"/>
      <c r="V274" s="89" t="n"/>
      <c r="W274" s="88" t="n"/>
      <c r="X274" s="89" t="n"/>
      <c r="Y274" s="88" t="n"/>
      <c r="Z274" s="89" t="n"/>
      <c r="AB274" s="25">
        <f>IF($B274="","",(COUNTIF(C274:E274,"?*")&lt;N(INDEX(Setup!$L$6:$L$23,17)))+(COUNTIF(G274:I274,"?*")&lt;N(INDEX(Setup!$L$6:$L$23,17)))+(COUNTIF(K274:M274,"?*")&lt;N(INDEX(Setup!$L$6:$L$23,17)))+(COUNTIF(O274:Q274,"?*")&lt;N(INDEX(Setup!$L$6:$L$23,17)))+(COUNTIF(S274:U274,"?*")&lt;N(INDEX(Setup!$L$6:$L$23,17)))+((W274="")*(INDEX(Setup!$M$6:$M$23,17)="Y"))+((Y274="")*(INDEX(Setup!$M$6:$M$23,17)="Y")))</f>
        <v/>
      </c>
      <c r="AC274" s="90">
        <f>IF($B274="","",IF(AB274=0,"✓ covered","⚠ "&amp;AB274&amp;IF(AB274=1," gap"," gaps")))</f>
        <v/>
      </c>
    </row>
    <row r="275" ht="17" customHeight="1">
      <c r="A275" t="n">
        <v>6</v>
      </c>
      <c r="B275" s="29">
        <f>IF(Setup!$K$23="","",Setup!$K$23)</f>
        <v/>
      </c>
      <c r="C275" s="88" t="n"/>
      <c r="D275" s="88" t="n"/>
      <c r="E275" s="88" t="n"/>
      <c r="F275" s="89" t="n"/>
      <c r="G275" s="88" t="n"/>
      <c r="H275" s="88" t="n"/>
      <c r="I275" s="88" t="n"/>
      <c r="J275" s="89" t="n"/>
      <c r="K275" s="88" t="n"/>
      <c r="L275" s="88" t="n"/>
      <c r="M275" s="88" t="n"/>
      <c r="N275" s="89" t="n"/>
      <c r="O275" s="88" t="n"/>
      <c r="P275" s="88" t="n"/>
      <c r="Q275" s="88" t="n"/>
      <c r="R275" s="89" t="n"/>
      <c r="S275" s="88" t="n"/>
      <c r="T275" s="88" t="n"/>
      <c r="U275" s="88" t="n"/>
      <c r="V275" s="89" t="n"/>
      <c r="W275" s="88" t="n"/>
      <c r="X275" s="89" t="n"/>
      <c r="Y275" s="88" t="n"/>
      <c r="Z275" s="89" t="n"/>
      <c r="AB275" s="30">
        <f>IF($B275="","",(COUNTIF(C275:E275,"?*")&lt;N(INDEX(Setup!$L$6:$L$23,18)))+(COUNTIF(G275:I275,"?*")&lt;N(INDEX(Setup!$L$6:$L$23,18)))+(COUNTIF(K275:M275,"?*")&lt;N(INDEX(Setup!$L$6:$L$23,18)))+(COUNTIF(O275:Q275,"?*")&lt;N(INDEX(Setup!$L$6:$L$23,18)))+(COUNTIF(S275:U275,"?*")&lt;N(INDEX(Setup!$L$6:$L$23,18)))+((W275="")*(INDEX(Setup!$M$6:$M$23,18)="Y"))+((Y275="")*(INDEX(Setup!$M$6:$M$23,18)="Y")))</f>
        <v/>
      </c>
      <c r="AC275" s="91">
        <f>IF($B275="","",IF(AB275=0,"✓ covered","⚠ "&amp;AB275&amp;IF(AB275=1," gap"," gaps")))</f>
        <v/>
      </c>
    </row>
    <row r="276" ht="18" customHeight="1">
      <c r="A276" t="n">
        <v>6</v>
      </c>
      <c r="B276" s="78" t="inlineStr">
        <is>
          <t>TEAM AVAILABILITY</t>
        </is>
      </c>
      <c r="C276" s="92" t="inlineStr">
        <is>
          <t>Mon</t>
        </is>
      </c>
      <c r="D276" s="93" t="n"/>
      <c r="E276" s="93" t="n"/>
      <c r="F276" s="94" t="n"/>
      <c r="G276" s="92" t="inlineStr">
        <is>
          <t>Tue</t>
        </is>
      </c>
      <c r="H276" s="93" t="n"/>
      <c r="I276" s="93" t="n"/>
      <c r="J276" s="94" t="n"/>
      <c r="K276" s="92" t="inlineStr">
        <is>
          <t>Wed</t>
        </is>
      </c>
      <c r="L276" s="93" t="n"/>
      <c r="M276" s="93" t="n"/>
      <c r="N276" s="94" t="n"/>
      <c r="O276" s="92" t="inlineStr">
        <is>
          <t>Thu</t>
        </is>
      </c>
      <c r="P276" s="93" t="n"/>
      <c r="Q276" s="93" t="n"/>
      <c r="R276" s="94" t="n"/>
      <c r="S276" s="92" t="inlineStr">
        <is>
          <t>Fri</t>
        </is>
      </c>
      <c r="T276" s="93" t="n"/>
      <c r="U276" s="93" t="n"/>
      <c r="V276" s="94" t="n"/>
      <c r="W276" s="95" t="inlineStr">
        <is>
          <t>Sat</t>
        </is>
      </c>
      <c r="X276" s="96" t="n"/>
      <c r="Y276" s="95" t="inlineStr">
        <is>
          <t>Sun</t>
        </is>
      </c>
      <c r="Z276" s="96" t="n"/>
      <c r="AB276" s="97" t="inlineStr">
        <is>
          <t>Days rostered</t>
        </is>
      </c>
      <c r="AC276" s="97" t="inlineStr">
        <is>
          <t>Conflicts</t>
        </is>
      </c>
    </row>
    <row r="277" ht="15" customHeight="1">
      <c r="A277" t="n">
        <v>6</v>
      </c>
      <c r="B277" s="35">
        <f>IF(Setup!$B$6="","",Setup!$B$6)</f>
        <v/>
      </c>
      <c r="C277" s="98" t="n"/>
      <c r="D277" s="99" t="n"/>
      <c r="E277" s="99" t="n"/>
      <c r="F277" s="100" t="n"/>
      <c r="G277" s="98" t="n"/>
      <c r="H277" s="99" t="n"/>
      <c r="I277" s="99" t="n"/>
      <c r="J277" s="100" t="n"/>
      <c r="K277" s="98" t="n"/>
      <c r="L277" s="99" t="n"/>
      <c r="M277" s="99" t="n"/>
      <c r="N277" s="100" t="n"/>
      <c r="O277" s="98" t="n"/>
      <c r="P277" s="99" t="n"/>
      <c r="Q277" s="99" t="n"/>
      <c r="R277" s="100" t="n"/>
      <c r="S277" s="98" t="n"/>
      <c r="T277" s="99" t="n"/>
      <c r="U277" s="99" t="n"/>
      <c r="V277" s="100" t="n"/>
      <c r="W277" s="98" t="n"/>
      <c r="X277" s="100" t="n"/>
      <c r="Y277" s="98" t="n"/>
      <c r="Z277" s="100" t="n"/>
      <c r="AB277" s="101">
        <f>IF($B277="","",(COUNTIF(C258:E275,$B277)+COUNTIF(C258:E275,$B277&amp;" ~*")&gt;0)+(COUNTIF(G258:I275,$B277)+COUNTIF(G258:I275,$B277&amp;" ~*")&gt;0)+(COUNTIF(K258:M275,$B277)+COUNTIF(K258:M275,$B277&amp;" ~*")&gt;0)+(COUNTIF(O258:Q275,$B277)+COUNTIF(O258:Q275,$B277&amp;" ~*")&gt;0)+(COUNTIF(S258:U275,$B277)+COUNTIF(S258:U275,$B277&amp;" ~*")&gt;0)+(COUNTIF(W258:W275,$B277)+COUNTIF(W258:W275,$B277&amp;" ~*")&gt;0)+(COUNTIF(Y258:Y275,$B277)+COUNTIF(Y258:Y275,$B277&amp;" ~*")&gt;0))</f>
        <v/>
      </c>
      <c r="AC277" s="36">
        <f>IF($B277="","",(IFERROR(INDEX(Setup!$G$33:$G$40,MATCH(C277,Setup!$B$33:$B$40,0)),0)=1)*(COUNTIF(C258:E275,$B277)+COUNTIF(C258:E275,$B277&amp;" ~*")&gt;0)+(IFERROR(INDEX(Setup!$G$33:$G$40,MATCH(G277,Setup!$B$33:$B$40,0)),0)=1)*(COUNTIF(G258:I275,$B277)+COUNTIF(G258:I275,$B277&amp;" ~*")&gt;0)+(IFERROR(INDEX(Setup!$G$33:$G$40,MATCH(K277,Setup!$B$33:$B$40,0)),0)=1)*(COUNTIF(K258:M275,$B277)+COUNTIF(K258:M275,$B277&amp;" ~*")&gt;0)+(IFERROR(INDEX(Setup!$G$33:$G$40,MATCH(O277,Setup!$B$33:$B$40,0)),0)=1)*(COUNTIF(O258:Q275,$B277)+COUNTIF(O258:Q275,$B277&amp;" ~*")&gt;0)+(IFERROR(INDEX(Setup!$G$33:$G$40,MATCH(S277,Setup!$B$33:$B$40,0)),0)=1)*(COUNTIF(S258:U275,$B277)+COUNTIF(S258:U275,$B277&amp;" ~*")&gt;0)+(IFERROR(INDEX(Setup!$G$33:$G$40,MATCH(W277,Setup!$B$33:$B$40,0)),0)=1)*(COUNTIF(W258:W275,$B277)+COUNTIF(W258:W275,$B277&amp;" ~*")&gt;0)+(IFERROR(INDEX(Setup!$G$33:$G$40,MATCH(Y277,Setup!$B$33:$B$40,0)),0)=1)*(COUNTIF(Y258:Y275,$B277)+COUNTIF(Y258:Y275,$B277&amp;" ~*")&gt;0))</f>
        <v/>
      </c>
    </row>
    <row r="278" ht="15" customHeight="1">
      <c r="A278" t="n">
        <v>6</v>
      </c>
      <c r="B278" s="37">
        <f>IF(Setup!$B$7="","",Setup!$B$7)</f>
        <v/>
      </c>
      <c r="C278" s="102" t="n"/>
      <c r="D278" s="103" t="n"/>
      <c r="E278" s="103" t="n"/>
      <c r="F278" s="104" t="n"/>
      <c r="G278" s="102" t="n"/>
      <c r="H278" s="103" t="n"/>
      <c r="I278" s="103" t="n"/>
      <c r="J278" s="104" t="n"/>
      <c r="K278" s="102" t="n"/>
      <c r="L278" s="103" t="n"/>
      <c r="M278" s="103" t="n"/>
      <c r="N278" s="104" t="n"/>
      <c r="O278" s="102" t="n"/>
      <c r="P278" s="103" t="n"/>
      <c r="Q278" s="103" t="n"/>
      <c r="R278" s="104" t="n"/>
      <c r="S278" s="102" t="n"/>
      <c r="T278" s="103" t="n"/>
      <c r="U278" s="103" t="n"/>
      <c r="V278" s="104" t="n"/>
      <c r="W278" s="102" t="n"/>
      <c r="X278" s="104" t="n"/>
      <c r="Y278" s="102" t="n"/>
      <c r="Z278" s="104" t="n"/>
      <c r="AB278" s="105">
        <f>IF($B278="","",(COUNTIF(C258:E275,$B278)+COUNTIF(C258:E275,$B278&amp;" ~*")&gt;0)+(COUNTIF(G258:I275,$B278)+COUNTIF(G258:I275,$B278&amp;" ~*")&gt;0)+(COUNTIF(K258:M275,$B278)+COUNTIF(K258:M275,$B278&amp;" ~*")&gt;0)+(COUNTIF(O258:Q275,$B278)+COUNTIF(O258:Q275,$B278&amp;" ~*")&gt;0)+(COUNTIF(S258:U275,$B278)+COUNTIF(S258:U275,$B278&amp;" ~*")&gt;0)+(COUNTIF(W258:W275,$B278)+COUNTIF(W258:W275,$B278&amp;" ~*")&gt;0)+(COUNTIF(Y258:Y275,$B278)+COUNTIF(Y258:Y275,$B278&amp;" ~*")&gt;0))</f>
        <v/>
      </c>
      <c r="AC278" s="38">
        <f>IF($B278="","",(IFERROR(INDEX(Setup!$G$33:$G$40,MATCH(C278,Setup!$B$33:$B$40,0)),0)=1)*(COUNTIF(C258:E275,$B278)+COUNTIF(C258:E275,$B278&amp;" ~*")&gt;0)+(IFERROR(INDEX(Setup!$G$33:$G$40,MATCH(G278,Setup!$B$33:$B$40,0)),0)=1)*(COUNTIF(G258:I275,$B278)+COUNTIF(G258:I275,$B278&amp;" ~*")&gt;0)+(IFERROR(INDEX(Setup!$G$33:$G$40,MATCH(K278,Setup!$B$33:$B$40,0)),0)=1)*(COUNTIF(K258:M275,$B278)+COUNTIF(K258:M275,$B278&amp;" ~*")&gt;0)+(IFERROR(INDEX(Setup!$G$33:$G$40,MATCH(O278,Setup!$B$33:$B$40,0)),0)=1)*(COUNTIF(O258:Q275,$B278)+COUNTIF(O258:Q275,$B278&amp;" ~*")&gt;0)+(IFERROR(INDEX(Setup!$G$33:$G$40,MATCH(S278,Setup!$B$33:$B$40,0)),0)=1)*(COUNTIF(S258:U275,$B278)+COUNTIF(S258:U275,$B278&amp;" ~*")&gt;0)+(IFERROR(INDEX(Setup!$G$33:$G$40,MATCH(W278,Setup!$B$33:$B$40,0)),0)=1)*(COUNTIF(W258:W275,$B278)+COUNTIF(W258:W275,$B278&amp;" ~*")&gt;0)+(IFERROR(INDEX(Setup!$G$33:$G$40,MATCH(Y278,Setup!$B$33:$B$40,0)),0)=1)*(COUNTIF(Y258:Y275,$B278)+COUNTIF(Y258:Y275,$B278&amp;" ~*")&gt;0))</f>
        <v/>
      </c>
    </row>
    <row r="279" ht="15" customHeight="1">
      <c r="A279" t="n">
        <v>6</v>
      </c>
      <c r="B279" s="35">
        <f>IF(Setup!$B$8="","",Setup!$B$8)</f>
        <v/>
      </c>
      <c r="C279" s="98" t="n"/>
      <c r="D279" s="99" t="n"/>
      <c r="E279" s="99" t="n"/>
      <c r="F279" s="100" t="n"/>
      <c r="G279" s="98" t="n"/>
      <c r="H279" s="99" t="n"/>
      <c r="I279" s="99" t="n"/>
      <c r="J279" s="100" t="n"/>
      <c r="K279" s="98" t="n"/>
      <c r="L279" s="99" t="n"/>
      <c r="M279" s="99" t="n"/>
      <c r="N279" s="100" t="n"/>
      <c r="O279" s="98" t="n"/>
      <c r="P279" s="99" t="n"/>
      <c r="Q279" s="99" t="n"/>
      <c r="R279" s="100" t="n"/>
      <c r="S279" s="98" t="n"/>
      <c r="T279" s="99" t="n"/>
      <c r="U279" s="99" t="n"/>
      <c r="V279" s="100" t="n"/>
      <c r="W279" s="98" t="n"/>
      <c r="X279" s="100" t="n"/>
      <c r="Y279" s="98" t="n"/>
      <c r="Z279" s="100" t="n"/>
      <c r="AB279" s="101">
        <f>IF($B279="","",(COUNTIF(C258:E275,$B279)+COUNTIF(C258:E275,$B279&amp;" ~*")&gt;0)+(COUNTIF(G258:I275,$B279)+COUNTIF(G258:I275,$B279&amp;" ~*")&gt;0)+(COUNTIF(K258:M275,$B279)+COUNTIF(K258:M275,$B279&amp;" ~*")&gt;0)+(COUNTIF(O258:Q275,$B279)+COUNTIF(O258:Q275,$B279&amp;" ~*")&gt;0)+(COUNTIF(S258:U275,$B279)+COUNTIF(S258:U275,$B279&amp;" ~*")&gt;0)+(COUNTIF(W258:W275,$B279)+COUNTIF(W258:W275,$B279&amp;" ~*")&gt;0)+(COUNTIF(Y258:Y275,$B279)+COUNTIF(Y258:Y275,$B279&amp;" ~*")&gt;0))</f>
        <v/>
      </c>
      <c r="AC279" s="36">
        <f>IF($B279="","",(IFERROR(INDEX(Setup!$G$33:$G$40,MATCH(C279,Setup!$B$33:$B$40,0)),0)=1)*(COUNTIF(C258:E275,$B279)+COUNTIF(C258:E275,$B279&amp;" ~*")&gt;0)+(IFERROR(INDEX(Setup!$G$33:$G$40,MATCH(G279,Setup!$B$33:$B$40,0)),0)=1)*(COUNTIF(G258:I275,$B279)+COUNTIF(G258:I275,$B279&amp;" ~*")&gt;0)+(IFERROR(INDEX(Setup!$G$33:$G$40,MATCH(K279,Setup!$B$33:$B$40,0)),0)=1)*(COUNTIF(K258:M275,$B279)+COUNTIF(K258:M275,$B279&amp;" ~*")&gt;0)+(IFERROR(INDEX(Setup!$G$33:$G$40,MATCH(O279,Setup!$B$33:$B$40,0)),0)=1)*(COUNTIF(O258:Q275,$B279)+COUNTIF(O258:Q275,$B279&amp;" ~*")&gt;0)+(IFERROR(INDEX(Setup!$G$33:$G$40,MATCH(S279,Setup!$B$33:$B$40,0)),0)=1)*(COUNTIF(S258:U275,$B279)+COUNTIF(S258:U275,$B279&amp;" ~*")&gt;0)+(IFERROR(INDEX(Setup!$G$33:$G$40,MATCH(W279,Setup!$B$33:$B$40,0)),0)=1)*(COUNTIF(W258:W275,$B279)+COUNTIF(W258:W275,$B279&amp;" ~*")&gt;0)+(IFERROR(INDEX(Setup!$G$33:$G$40,MATCH(Y279,Setup!$B$33:$B$40,0)),0)=1)*(COUNTIF(Y258:Y275,$B279)+COUNTIF(Y258:Y275,$B279&amp;" ~*")&gt;0))</f>
        <v/>
      </c>
    </row>
    <row r="280" ht="15" customHeight="1">
      <c r="A280" t="n">
        <v>6</v>
      </c>
      <c r="B280" s="37">
        <f>IF(Setup!$B$9="","",Setup!$B$9)</f>
        <v/>
      </c>
      <c r="C280" s="102" t="n"/>
      <c r="D280" s="103" t="n"/>
      <c r="E280" s="103" t="n"/>
      <c r="F280" s="104" t="n"/>
      <c r="G280" s="102" t="n"/>
      <c r="H280" s="103" t="n"/>
      <c r="I280" s="103" t="n"/>
      <c r="J280" s="104" t="n"/>
      <c r="K280" s="102" t="n"/>
      <c r="L280" s="103" t="n"/>
      <c r="M280" s="103" t="n"/>
      <c r="N280" s="104" t="n"/>
      <c r="O280" s="102" t="n"/>
      <c r="P280" s="103" t="n"/>
      <c r="Q280" s="103" t="n"/>
      <c r="R280" s="104" t="n"/>
      <c r="S280" s="102" t="n"/>
      <c r="T280" s="103" t="n"/>
      <c r="U280" s="103" t="n"/>
      <c r="V280" s="104" t="n"/>
      <c r="W280" s="102" t="n"/>
      <c r="X280" s="104" t="n"/>
      <c r="Y280" s="102" t="n"/>
      <c r="Z280" s="104" t="n"/>
      <c r="AB280" s="105">
        <f>IF($B280="","",(COUNTIF(C258:E275,$B280)+COUNTIF(C258:E275,$B280&amp;" ~*")&gt;0)+(COUNTIF(G258:I275,$B280)+COUNTIF(G258:I275,$B280&amp;" ~*")&gt;0)+(COUNTIF(K258:M275,$B280)+COUNTIF(K258:M275,$B280&amp;" ~*")&gt;0)+(COUNTIF(O258:Q275,$B280)+COUNTIF(O258:Q275,$B280&amp;" ~*")&gt;0)+(COUNTIF(S258:U275,$B280)+COUNTIF(S258:U275,$B280&amp;" ~*")&gt;0)+(COUNTIF(W258:W275,$B280)+COUNTIF(W258:W275,$B280&amp;" ~*")&gt;0)+(COUNTIF(Y258:Y275,$B280)+COUNTIF(Y258:Y275,$B280&amp;" ~*")&gt;0))</f>
        <v/>
      </c>
      <c r="AC280" s="38">
        <f>IF($B280="","",(IFERROR(INDEX(Setup!$G$33:$G$40,MATCH(C280,Setup!$B$33:$B$40,0)),0)=1)*(COUNTIF(C258:E275,$B280)+COUNTIF(C258:E275,$B280&amp;" ~*")&gt;0)+(IFERROR(INDEX(Setup!$G$33:$G$40,MATCH(G280,Setup!$B$33:$B$40,0)),0)=1)*(COUNTIF(G258:I275,$B280)+COUNTIF(G258:I275,$B280&amp;" ~*")&gt;0)+(IFERROR(INDEX(Setup!$G$33:$G$40,MATCH(K280,Setup!$B$33:$B$40,0)),0)=1)*(COUNTIF(K258:M275,$B280)+COUNTIF(K258:M275,$B280&amp;" ~*")&gt;0)+(IFERROR(INDEX(Setup!$G$33:$G$40,MATCH(O280,Setup!$B$33:$B$40,0)),0)=1)*(COUNTIF(O258:Q275,$B280)+COUNTIF(O258:Q275,$B280&amp;" ~*")&gt;0)+(IFERROR(INDEX(Setup!$G$33:$G$40,MATCH(S280,Setup!$B$33:$B$40,0)),0)=1)*(COUNTIF(S258:U275,$B280)+COUNTIF(S258:U275,$B280&amp;" ~*")&gt;0)+(IFERROR(INDEX(Setup!$G$33:$G$40,MATCH(W280,Setup!$B$33:$B$40,0)),0)=1)*(COUNTIF(W258:W275,$B280)+COUNTIF(W258:W275,$B280&amp;" ~*")&gt;0)+(IFERROR(INDEX(Setup!$G$33:$G$40,MATCH(Y280,Setup!$B$33:$B$40,0)),0)=1)*(COUNTIF(Y258:Y275,$B280)+COUNTIF(Y258:Y275,$B280&amp;" ~*")&gt;0))</f>
        <v/>
      </c>
    </row>
    <row r="281" ht="15" customHeight="1">
      <c r="A281" t="n">
        <v>6</v>
      </c>
      <c r="B281" s="35">
        <f>IF(Setup!$B$10="","",Setup!$B$10)</f>
        <v/>
      </c>
      <c r="C281" s="98" t="n"/>
      <c r="D281" s="99" t="n"/>
      <c r="E281" s="99" t="n"/>
      <c r="F281" s="100" t="n"/>
      <c r="G281" s="98" t="n"/>
      <c r="H281" s="99" t="n"/>
      <c r="I281" s="99" t="n"/>
      <c r="J281" s="100" t="n"/>
      <c r="K281" s="98" t="n"/>
      <c r="L281" s="99" t="n"/>
      <c r="M281" s="99" t="n"/>
      <c r="N281" s="100" t="n"/>
      <c r="O281" s="98" t="n"/>
      <c r="P281" s="99" t="n"/>
      <c r="Q281" s="99" t="n"/>
      <c r="R281" s="100" t="n"/>
      <c r="S281" s="98" t="n"/>
      <c r="T281" s="99" t="n"/>
      <c r="U281" s="99" t="n"/>
      <c r="V281" s="100" t="n"/>
      <c r="W281" s="98" t="n"/>
      <c r="X281" s="100" t="n"/>
      <c r="Y281" s="98" t="n"/>
      <c r="Z281" s="100" t="n"/>
      <c r="AB281" s="101">
        <f>IF($B281="","",(COUNTIF(C258:E275,$B281)+COUNTIF(C258:E275,$B281&amp;" ~*")&gt;0)+(COUNTIF(G258:I275,$B281)+COUNTIF(G258:I275,$B281&amp;" ~*")&gt;0)+(COUNTIF(K258:M275,$B281)+COUNTIF(K258:M275,$B281&amp;" ~*")&gt;0)+(COUNTIF(O258:Q275,$B281)+COUNTIF(O258:Q275,$B281&amp;" ~*")&gt;0)+(COUNTIF(S258:U275,$B281)+COUNTIF(S258:U275,$B281&amp;" ~*")&gt;0)+(COUNTIF(W258:W275,$B281)+COUNTIF(W258:W275,$B281&amp;" ~*")&gt;0)+(COUNTIF(Y258:Y275,$B281)+COUNTIF(Y258:Y275,$B281&amp;" ~*")&gt;0))</f>
        <v/>
      </c>
      <c r="AC281" s="36">
        <f>IF($B281="","",(IFERROR(INDEX(Setup!$G$33:$G$40,MATCH(C281,Setup!$B$33:$B$40,0)),0)=1)*(COUNTIF(C258:E275,$B281)+COUNTIF(C258:E275,$B281&amp;" ~*")&gt;0)+(IFERROR(INDEX(Setup!$G$33:$G$40,MATCH(G281,Setup!$B$33:$B$40,0)),0)=1)*(COUNTIF(G258:I275,$B281)+COUNTIF(G258:I275,$B281&amp;" ~*")&gt;0)+(IFERROR(INDEX(Setup!$G$33:$G$40,MATCH(K281,Setup!$B$33:$B$40,0)),0)=1)*(COUNTIF(K258:M275,$B281)+COUNTIF(K258:M275,$B281&amp;" ~*")&gt;0)+(IFERROR(INDEX(Setup!$G$33:$G$40,MATCH(O281,Setup!$B$33:$B$40,0)),0)=1)*(COUNTIF(O258:Q275,$B281)+COUNTIF(O258:Q275,$B281&amp;" ~*")&gt;0)+(IFERROR(INDEX(Setup!$G$33:$G$40,MATCH(S281,Setup!$B$33:$B$40,0)),0)=1)*(COUNTIF(S258:U275,$B281)+COUNTIF(S258:U275,$B281&amp;" ~*")&gt;0)+(IFERROR(INDEX(Setup!$G$33:$G$40,MATCH(W281,Setup!$B$33:$B$40,0)),0)=1)*(COUNTIF(W258:W275,$B281)+COUNTIF(W258:W275,$B281&amp;" ~*")&gt;0)+(IFERROR(INDEX(Setup!$G$33:$G$40,MATCH(Y281,Setup!$B$33:$B$40,0)),0)=1)*(COUNTIF(Y258:Y275,$B281)+COUNTIF(Y258:Y275,$B281&amp;" ~*")&gt;0))</f>
        <v/>
      </c>
    </row>
    <row r="282" ht="15" customHeight="1">
      <c r="A282" t="n">
        <v>6</v>
      </c>
      <c r="B282" s="37">
        <f>IF(Setup!$B$11="","",Setup!$B$11)</f>
        <v/>
      </c>
      <c r="C282" s="102" t="n"/>
      <c r="D282" s="103" t="n"/>
      <c r="E282" s="103" t="n"/>
      <c r="F282" s="104" t="n"/>
      <c r="G282" s="102" t="n"/>
      <c r="H282" s="103" t="n"/>
      <c r="I282" s="103" t="n"/>
      <c r="J282" s="104" t="n"/>
      <c r="K282" s="102" t="n"/>
      <c r="L282" s="103" t="n"/>
      <c r="M282" s="103" t="n"/>
      <c r="N282" s="104" t="n"/>
      <c r="O282" s="102" t="n"/>
      <c r="P282" s="103" t="n"/>
      <c r="Q282" s="103" t="n"/>
      <c r="R282" s="104" t="n"/>
      <c r="S282" s="102" t="n"/>
      <c r="T282" s="103" t="n"/>
      <c r="U282" s="103" t="n"/>
      <c r="V282" s="104" t="n"/>
      <c r="W282" s="102" t="n"/>
      <c r="X282" s="104" t="n"/>
      <c r="Y282" s="102" t="n"/>
      <c r="Z282" s="104" t="n"/>
      <c r="AB282" s="105">
        <f>IF($B282="","",(COUNTIF(C258:E275,$B282)+COUNTIF(C258:E275,$B282&amp;" ~*")&gt;0)+(COUNTIF(G258:I275,$B282)+COUNTIF(G258:I275,$B282&amp;" ~*")&gt;0)+(COUNTIF(K258:M275,$B282)+COUNTIF(K258:M275,$B282&amp;" ~*")&gt;0)+(COUNTIF(O258:Q275,$B282)+COUNTIF(O258:Q275,$B282&amp;" ~*")&gt;0)+(COUNTIF(S258:U275,$B282)+COUNTIF(S258:U275,$B282&amp;" ~*")&gt;0)+(COUNTIF(W258:W275,$B282)+COUNTIF(W258:W275,$B282&amp;" ~*")&gt;0)+(COUNTIF(Y258:Y275,$B282)+COUNTIF(Y258:Y275,$B282&amp;" ~*")&gt;0))</f>
        <v/>
      </c>
      <c r="AC282" s="38">
        <f>IF($B282="","",(IFERROR(INDEX(Setup!$G$33:$G$40,MATCH(C282,Setup!$B$33:$B$40,0)),0)=1)*(COUNTIF(C258:E275,$B282)+COUNTIF(C258:E275,$B282&amp;" ~*")&gt;0)+(IFERROR(INDEX(Setup!$G$33:$G$40,MATCH(G282,Setup!$B$33:$B$40,0)),0)=1)*(COUNTIF(G258:I275,$B282)+COUNTIF(G258:I275,$B282&amp;" ~*")&gt;0)+(IFERROR(INDEX(Setup!$G$33:$G$40,MATCH(K282,Setup!$B$33:$B$40,0)),0)=1)*(COUNTIF(K258:M275,$B282)+COUNTIF(K258:M275,$B282&amp;" ~*")&gt;0)+(IFERROR(INDEX(Setup!$G$33:$G$40,MATCH(O282,Setup!$B$33:$B$40,0)),0)=1)*(COUNTIF(O258:Q275,$B282)+COUNTIF(O258:Q275,$B282&amp;" ~*")&gt;0)+(IFERROR(INDEX(Setup!$G$33:$G$40,MATCH(S282,Setup!$B$33:$B$40,0)),0)=1)*(COUNTIF(S258:U275,$B282)+COUNTIF(S258:U275,$B282&amp;" ~*")&gt;0)+(IFERROR(INDEX(Setup!$G$33:$G$40,MATCH(W282,Setup!$B$33:$B$40,0)),0)=1)*(COUNTIF(W258:W275,$B282)+COUNTIF(W258:W275,$B282&amp;" ~*")&gt;0)+(IFERROR(INDEX(Setup!$G$33:$G$40,MATCH(Y282,Setup!$B$33:$B$40,0)),0)=1)*(COUNTIF(Y258:Y275,$B282)+COUNTIF(Y258:Y275,$B282&amp;" ~*")&gt;0))</f>
        <v/>
      </c>
    </row>
    <row r="283" ht="15" customHeight="1">
      <c r="A283" t="n">
        <v>6</v>
      </c>
      <c r="B283" s="35">
        <f>IF(Setup!$B$12="","",Setup!$B$12)</f>
        <v/>
      </c>
      <c r="C283" s="98" t="n"/>
      <c r="D283" s="99" t="n"/>
      <c r="E283" s="99" t="n"/>
      <c r="F283" s="100" t="n"/>
      <c r="G283" s="98" t="n"/>
      <c r="H283" s="99" t="n"/>
      <c r="I283" s="99" t="n"/>
      <c r="J283" s="100" t="n"/>
      <c r="K283" s="98" t="n"/>
      <c r="L283" s="99" t="n"/>
      <c r="M283" s="99" t="n"/>
      <c r="N283" s="100" t="n"/>
      <c r="O283" s="98" t="n"/>
      <c r="P283" s="99" t="n"/>
      <c r="Q283" s="99" t="n"/>
      <c r="R283" s="100" t="n"/>
      <c r="S283" s="98" t="n"/>
      <c r="T283" s="99" t="n"/>
      <c r="U283" s="99" t="n"/>
      <c r="V283" s="100" t="n"/>
      <c r="W283" s="98" t="n"/>
      <c r="X283" s="100" t="n"/>
      <c r="Y283" s="98" t="n"/>
      <c r="Z283" s="100" t="n"/>
      <c r="AB283" s="101">
        <f>IF($B283="","",(COUNTIF(C258:E275,$B283)+COUNTIF(C258:E275,$B283&amp;" ~*")&gt;0)+(COUNTIF(G258:I275,$B283)+COUNTIF(G258:I275,$B283&amp;" ~*")&gt;0)+(COUNTIF(K258:M275,$B283)+COUNTIF(K258:M275,$B283&amp;" ~*")&gt;0)+(COUNTIF(O258:Q275,$B283)+COUNTIF(O258:Q275,$B283&amp;" ~*")&gt;0)+(COUNTIF(S258:U275,$B283)+COUNTIF(S258:U275,$B283&amp;" ~*")&gt;0)+(COUNTIF(W258:W275,$B283)+COUNTIF(W258:W275,$B283&amp;" ~*")&gt;0)+(COUNTIF(Y258:Y275,$B283)+COUNTIF(Y258:Y275,$B283&amp;" ~*")&gt;0))</f>
        <v/>
      </c>
      <c r="AC283" s="36">
        <f>IF($B283="","",(IFERROR(INDEX(Setup!$G$33:$G$40,MATCH(C283,Setup!$B$33:$B$40,0)),0)=1)*(COUNTIF(C258:E275,$B283)+COUNTIF(C258:E275,$B283&amp;" ~*")&gt;0)+(IFERROR(INDEX(Setup!$G$33:$G$40,MATCH(G283,Setup!$B$33:$B$40,0)),0)=1)*(COUNTIF(G258:I275,$B283)+COUNTIF(G258:I275,$B283&amp;" ~*")&gt;0)+(IFERROR(INDEX(Setup!$G$33:$G$40,MATCH(K283,Setup!$B$33:$B$40,0)),0)=1)*(COUNTIF(K258:M275,$B283)+COUNTIF(K258:M275,$B283&amp;" ~*")&gt;0)+(IFERROR(INDEX(Setup!$G$33:$G$40,MATCH(O283,Setup!$B$33:$B$40,0)),0)=1)*(COUNTIF(O258:Q275,$B283)+COUNTIF(O258:Q275,$B283&amp;" ~*")&gt;0)+(IFERROR(INDEX(Setup!$G$33:$G$40,MATCH(S283,Setup!$B$33:$B$40,0)),0)=1)*(COUNTIF(S258:U275,$B283)+COUNTIF(S258:U275,$B283&amp;" ~*")&gt;0)+(IFERROR(INDEX(Setup!$G$33:$G$40,MATCH(W283,Setup!$B$33:$B$40,0)),0)=1)*(COUNTIF(W258:W275,$B283)+COUNTIF(W258:W275,$B283&amp;" ~*")&gt;0)+(IFERROR(INDEX(Setup!$G$33:$G$40,MATCH(Y283,Setup!$B$33:$B$40,0)),0)=1)*(COUNTIF(Y258:Y275,$B283)+COUNTIF(Y258:Y275,$B283&amp;" ~*")&gt;0))</f>
        <v/>
      </c>
    </row>
    <row r="284" ht="15" customHeight="1">
      <c r="A284" t="n">
        <v>6</v>
      </c>
      <c r="B284" s="37">
        <f>IF(Setup!$B$13="","",Setup!$B$13)</f>
        <v/>
      </c>
      <c r="C284" s="102" t="n"/>
      <c r="D284" s="103" t="n"/>
      <c r="E284" s="103" t="n"/>
      <c r="F284" s="104" t="n"/>
      <c r="G284" s="102" t="n"/>
      <c r="H284" s="103" t="n"/>
      <c r="I284" s="103" t="n"/>
      <c r="J284" s="104" t="n"/>
      <c r="K284" s="102" t="n"/>
      <c r="L284" s="103" t="n"/>
      <c r="M284" s="103" t="n"/>
      <c r="N284" s="104" t="n"/>
      <c r="O284" s="102" t="n"/>
      <c r="P284" s="103" t="n"/>
      <c r="Q284" s="103" t="n"/>
      <c r="R284" s="104" t="n"/>
      <c r="S284" s="102" t="n"/>
      <c r="T284" s="103" t="n"/>
      <c r="U284" s="103" t="n"/>
      <c r="V284" s="104" t="n"/>
      <c r="W284" s="102" t="n"/>
      <c r="X284" s="104" t="n"/>
      <c r="Y284" s="102" t="n"/>
      <c r="Z284" s="104" t="n"/>
      <c r="AB284" s="105">
        <f>IF($B284="","",(COUNTIF(C258:E275,$B284)+COUNTIF(C258:E275,$B284&amp;" ~*")&gt;0)+(COUNTIF(G258:I275,$B284)+COUNTIF(G258:I275,$B284&amp;" ~*")&gt;0)+(COUNTIF(K258:M275,$B284)+COUNTIF(K258:M275,$B284&amp;" ~*")&gt;0)+(COUNTIF(O258:Q275,$B284)+COUNTIF(O258:Q275,$B284&amp;" ~*")&gt;0)+(COUNTIF(S258:U275,$B284)+COUNTIF(S258:U275,$B284&amp;" ~*")&gt;0)+(COUNTIF(W258:W275,$B284)+COUNTIF(W258:W275,$B284&amp;" ~*")&gt;0)+(COUNTIF(Y258:Y275,$B284)+COUNTIF(Y258:Y275,$B284&amp;" ~*")&gt;0))</f>
        <v/>
      </c>
      <c r="AC284" s="38">
        <f>IF($B284="","",(IFERROR(INDEX(Setup!$G$33:$G$40,MATCH(C284,Setup!$B$33:$B$40,0)),0)=1)*(COUNTIF(C258:E275,$B284)+COUNTIF(C258:E275,$B284&amp;" ~*")&gt;0)+(IFERROR(INDEX(Setup!$G$33:$G$40,MATCH(G284,Setup!$B$33:$B$40,0)),0)=1)*(COUNTIF(G258:I275,$B284)+COUNTIF(G258:I275,$B284&amp;" ~*")&gt;0)+(IFERROR(INDEX(Setup!$G$33:$G$40,MATCH(K284,Setup!$B$33:$B$40,0)),0)=1)*(COUNTIF(K258:M275,$B284)+COUNTIF(K258:M275,$B284&amp;" ~*")&gt;0)+(IFERROR(INDEX(Setup!$G$33:$G$40,MATCH(O284,Setup!$B$33:$B$40,0)),0)=1)*(COUNTIF(O258:Q275,$B284)+COUNTIF(O258:Q275,$B284&amp;" ~*")&gt;0)+(IFERROR(INDEX(Setup!$G$33:$G$40,MATCH(S284,Setup!$B$33:$B$40,0)),0)=1)*(COUNTIF(S258:U275,$B284)+COUNTIF(S258:U275,$B284&amp;" ~*")&gt;0)+(IFERROR(INDEX(Setup!$G$33:$G$40,MATCH(W284,Setup!$B$33:$B$40,0)),0)=1)*(COUNTIF(W258:W275,$B284)+COUNTIF(W258:W275,$B284&amp;" ~*")&gt;0)+(IFERROR(INDEX(Setup!$G$33:$G$40,MATCH(Y284,Setup!$B$33:$B$40,0)),0)=1)*(COUNTIF(Y258:Y275,$B284)+COUNTIF(Y258:Y275,$B284&amp;" ~*")&gt;0))</f>
        <v/>
      </c>
    </row>
    <row r="285" ht="15" customHeight="1">
      <c r="A285" t="n">
        <v>6</v>
      </c>
      <c r="B285" s="35">
        <f>IF(Setup!$B$14="","",Setup!$B$14)</f>
        <v/>
      </c>
      <c r="C285" s="98" t="n"/>
      <c r="D285" s="99" t="n"/>
      <c r="E285" s="99" t="n"/>
      <c r="F285" s="100" t="n"/>
      <c r="G285" s="98" t="n"/>
      <c r="H285" s="99" t="n"/>
      <c r="I285" s="99" t="n"/>
      <c r="J285" s="100" t="n"/>
      <c r="K285" s="98" t="n"/>
      <c r="L285" s="99" t="n"/>
      <c r="M285" s="99" t="n"/>
      <c r="N285" s="100" t="n"/>
      <c r="O285" s="98" t="n"/>
      <c r="P285" s="99" t="n"/>
      <c r="Q285" s="99" t="n"/>
      <c r="R285" s="100" t="n"/>
      <c r="S285" s="98" t="n"/>
      <c r="T285" s="99" t="n"/>
      <c r="U285" s="99" t="n"/>
      <c r="V285" s="100" t="n"/>
      <c r="W285" s="98" t="n"/>
      <c r="X285" s="100" t="n"/>
      <c r="Y285" s="98" t="n"/>
      <c r="Z285" s="100" t="n"/>
      <c r="AB285" s="101">
        <f>IF($B285="","",(COUNTIF(C258:E275,$B285)+COUNTIF(C258:E275,$B285&amp;" ~*")&gt;0)+(COUNTIF(G258:I275,$B285)+COUNTIF(G258:I275,$B285&amp;" ~*")&gt;0)+(COUNTIF(K258:M275,$B285)+COUNTIF(K258:M275,$B285&amp;" ~*")&gt;0)+(COUNTIF(O258:Q275,$B285)+COUNTIF(O258:Q275,$B285&amp;" ~*")&gt;0)+(COUNTIF(S258:U275,$B285)+COUNTIF(S258:U275,$B285&amp;" ~*")&gt;0)+(COUNTIF(W258:W275,$B285)+COUNTIF(W258:W275,$B285&amp;" ~*")&gt;0)+(COUNTIF(Y258:Y275,$B285)+COUNTIF(Y258:Y275,$B285&amp;" ~*")&gt;0))</f>
        <v/>
      </c>
      <c r="AC285" s="36">
        <f>IF($B285="","",(IFERROR(INDEX(Setup!$G$33:$G$40,MATCH(C285,Setup!$B$33:$B$40,0)),0)=1)*(COUNTIF(C258:E275,$B285)+COUNTIF(C258:E275,$B285&amp;" ~*")&gt;0)+(IFERROR(INDEX(Setup!$G$33:$G$40,MATCH(G285,Setup!$B$33:$B$40,0)),0)=1)*(COUNTIF(G258:I275,$B285)+COUNTIF(G258:I275,$B285&amp;" ~*")&gt;0)+(IFERROR(INDEX(Setup!$G$33:$G$40,MATCH(K285,Setup!$B$33:$B$40,0)),0)=1)*(COUNTIF(K258:M275,$B285)+COUNTIF(K258:M275,$B285&amp;" ~*")&gt;0)+(IFERROR(INDEX(Setup!$G$33:$G$40,MATCH(O285,Setup!$B$33:$B$40,0)),0)=1)*(COUNTIF(O258:Q275,$B285)+COUNTIF(O258:Q275,$B285&amp;" ~*")&gt;0)+(IFERROR(INDEX(Setup!$G$33:$G$40,MATCH(S285,Setup!$B$33:$B$40,0)),0)=1)*(COUNTIF(S258:U275,$B285)+COUNTIF(S258:U275,$B285&amp;" ~*")&gt;0)+(IFERROR(INDEX(Setup!$G$33:$G$40,MATCH(W285,Setup!$B$33:$B$40,0)),0)=1)*(COUNTIF(W258:W275,$B285)+COUNTIF(W258:W275,$B285&amp;" ~*")&gt;0)+(IFERROR(INDEX(Setup!$G$33:$G$40,MATCH(Y285,Setup!$B$33:$B$40,0)),0)=1)*(COUNTIF(Y258:Y275,$B285)+COUNTIF(Y258:Y275,$B285&amp;" ~*")&gt;0))</f>
        <v/>
      </c>
    </row>
    <row r="286" ht="15" customHeight="1">
      <c r="A286" t="n">
        <v>6</v>
      </c>
      <c r="B286" s="37">
        <f>IF(Setup!$B$15="","",Setup!$B$15)</f>
        <v/>
      </c>
      <c r="C286" s="102" t="n"/>
      <c r="D286" s="103" t="n"/>
      <c r="E286" s="103" t="n"/>
      <c r="F286" s="104" t="n"/>
      <c r="G286" s="102" t="n"/>
      <c r="H286" s="103" t="n"/>
      <c r="I286" s="103" t="n"/>
      <c r="J286" s="104" t="n"/>
      <c r="K286" s="102" t="n"/>
      <c r="L286" s="103" t="n"/>
      <c r="M286" s="103" t="n"/>
      <c r="N286" s="104" t="n"/>
      <c r="O286" s="102" t="n"/>
      <c r="P286" s="103" t="n"/>
      <c r="Q286" s="103" t="n"/>
      <c r="R286" s="104" t="n"/>
      <c r="S286" s="102" t="n"/>
      <c r="T286" s="103" t="n"/>
      <c r="U286" s="103" t="n"/>
      <c r="V286" s="104" t="n"/>
      <c r="W286" s="102" t="n"/>
      <c r="X286" s="104" t="n"/>
      <c r="Y286" s="102" t="n"/>
      <c r="Z286" s="104" t="n"/>
      <c r="AB286" s="105">
        <f>IF($B286="","",(COUNTIF(C258:E275,$B286)+COUNTIF(C258:E275,$B286&amp;" ~*")&gt;0)+(COUNTIF(G258:I275,$B286)+COUNTIF(G258:I275,$B286&amp;" ~*")&gt;0)+(COUNTIF(K258:M275,$B286)+COUNTIF(K258:M275,$B286&amp;" ~*")&gt;0)+(COUNTIF(O258:Q275,$B286)+COUNTIF(O258:Q275,$B286&amp;" ~*")&gt;0)+(COUNTIF(S258:U275,$B286)+COUNTIF(S258:U275,$B286&amp;" ~*")&gt;0)+(COUNTIF(W258:W275,$B286)+COUNTIF(W258:W275,$B286&amp;" ~*")&gt;0)+(COUNTIF(Y258:Y275,$B286)+COUNTIF(Y258:Y275,$B286&amp;" ~*")&gt;0))</f>
        <v/>
      </c>
      <c r="AC286" s="38">
        <f>IF($B286="","",(IFERROR(INDEX(Setup!$G$33:$G$40,MATCH(C286,Setup!$B$33:$B$40,0)),0)=1)*(COUNTIF(C258:E275,$B286)+COUNTIF(C258:E275,$B286&amp;" ~*")&gt;0)+(IFERROR(INDEX(Setup!$G$33:$G$40,MATCH(G286,Setup!$B$33:$B$40,0)),0)=1)*(COUNTIF(G258:I275,$B286)+COUNTIF(G258:I275,$B286&amp;" ~*")&gt;0)+(IFERROR(INDEX(Setup!$G$33:$G$40,MATCH(K286,Setup!$B$33:$B$40,0)),0)=1)*(COUNTIF(K258:M275,$B286)+COUNTIF(K258:M275,$B286&amp;" ~*")&gt;0)+(IFERROR(INDEX(Setup!$G$33:$G$40,MATCH(O286,Setup!$B$33:$B$40,0)),0)=1)*(COUNTIF(O258:Q275,$B286)+COUNTIF(O258:Q275,$B286&amp;" ~*")&gt;0)+(IFERROR(INDEX(Setup!$G$33:$G$40,MATCH(S286,Setup!$B$33:$B$40,0)),0)=1)*(COUNTIF(S258:U275,$B286)+COUNTIF(S258:U275,$B286&amp;" ~*")&gt;0)+(IFERROR(INDEX(Setup!$G$33:$G$40,MATCH(W286,Setup!$B$33:$B$40,0)),0)=1)*(COUNTIF(W258:W275,$B286)+COUNTIF(W258:W275,$B286&amp;" ~*")&gt;0)+(IFERROR(INDEX(Setup!$G$33:$G$40,MATCH(Y286,Setup!$B$33:$B$40,0)),0)=1)*(COUNTIF(Y258:Y275,$B286)+COUNTIF(Y258:Y275,$B286&amp;" ~*")&gt;0))</f>
        <v/>
      </c>
    </row>
    <row r="287" ht="15" customHeight="1">
      <c r="A287" t="n">
        <v>6</v>
      </c>
      <c r="B287" s="35">
        <f>IF(Setup!$B$16="","",Setup!$B$16)</f>
        <v/>
      </c>
      <c r="C287" s="98" t="n"/>
      <c r="D287" s="99" t="n"/>
      <c r="E287" s="99" t="n"/>
      <c r="F287" s="100" t="n"/>
      <c r="G287" s="98" t="n"/>
      <c r="H287" s="99" t="n"/>
      <c r="I287" s="99" t="n"/>
      <c r="J287" s="100" t="n"/>
      <c r="K287" s="98" t="n"/>
      <c r="L287" s="99" t="n"/>
      <c r="M287" s="99" t="n"/>
      <c r="N287" s="100" t="n"/>
      <c r="O287" s="98" t="n"/>
      <c r="P287" s="99" t="n"/>
      <c r="Q287" s="99" t="n"/>
      <c r="R287" s="100" t="n"/>
      <c r="S287" s="98" t="n"/>
      <c r="T287" s="99" t="n"/>
      <c r="U287" s="99" t="n"/>
      <c r="V287" s="100" t="n"/>
      <c r="W287" s="98" t="n"/>
      <c r="X287" s="100" t="n"/>
      <c r="Y287" s="98" t="n"/>
      <c r="Z287" s="100" t="n"/>
      <c r="AB287" s="101">
        <f>IF($B287="","",(COUNTIF(C258:E275,$B287)+COUNTIF(C258:E275,$B287&amp;" ~*")&gt;0)+(COUNTIF(G258:I275,$B287)+COUNTIF(G258:I275,$B287&amp;" ~*")&gt;0)+(COUNTIF(K258:M275,$B287)+COUNTIF(K258:M275,$B287&amp;" ~*")&gt;0)+(COUNTIF(O258:Q275,$B287)+COUNTIF(O258:Q275,$B287&amp;" ~*")&gt;0)+(COUNTIF(S258:U275,$B287)+COUNTIF(S258:U275,$B287&amp;" ~*")&gt;0)+(COUNTIF(W258:W275,$B287)+COUNTIF(W258:W275,$B287&amp;" ~*")&gt;0)+(COUNTIF(Y258:Y275,$B287)+COUNTIF(Y258:Y275,$B287&amp;" ~*")&gt;0))</f>
        <v/>
      </c>
      <c r="AC287" s="36">
        <f>IF($B287="","",(IFERROR(INDEX(Setup!$G$33:$G$40,MATCH(C287,Setup!$B$33:$B$40,0)),0)=1)*(COUNTIF(C258:E275,$B287)+COUNTIF(C258:E275,$B287&amp;" ~*")&gt;0)+(IFERROR(INDEX(Setup!$G$33:$G$40,MATCH(G287,Setup!$B$33:$B$40,0)),0)=1)*(COUNTIF(G258:I275,$B287)+COUNTIF(G258:I275,$B287&amp;" ~*")&gt;0)+(IFERROR(INDEX(Setup!$G$33:$G$40,MATCH(K287,Setup!$B$33:$B$40,0)),0)=1)*(COUNTIF(K258:M275,$B287)+COUNTIF(K258:M275,$B287&amp;" ~*")&gt;0)+(IFERROR(INDEX(Setup!$G$33:$G$40,MATCH(O287,Setup!$B$33:$B$40,0)),0)=1)*(COUNTIF(O258:Q275,$B287)+COUNTIF(O258:Q275,$B287&amp;" ~*")&gt;0)+(IFERROR(INDEX(Setup!$G$33:$G$40,MATCH(S287,Setup!$B$33:$B$40,0)),0)=1)*(COUNTIF(S258:U275,$B287)+COUNTIF(S258:U275,$B287&amp;" ~*")&gt;0)+(IFERROR(INDEX(Setup!$G$33:$G$40,MATCH(W287,Setup!$B$33:$B$40,0)),0)=1)*(COUNTIF(W258:W275,$B287)+COUNTIF(W258:W275,$B287&amp;" ~*")&gt;0)+(IFERROR(INDEX(Setup!$G$33:$G$40,MATCH(Y287,Setup!$B$33:$B$40,0)),0)=1)*(COUNTIF(Y258:Y275,$B287)+COUNTIF(Y258:Y275,$B287&amp;" ~*")&gt;0))</f>
        <v/>
      </c>
    </row>
    <row r="288" ht="15" customHeight="1">
      <c r="A288" t="n">
        <v>6</v>
      </c>
      <c r="B288" s="37">
        <f>IF(Setup!$B$17="","",Setup!$B$17)</f>
        <v/>
      </c>
      <c r="C288" s="102" t="n"/>
      <c r="D288" s="103" t="n"/>
      <c r="E288" s="103" t="n"/>
      <c r="F288" s="104" t="n"/>
      <c r="G288" s="102" t="n"/>
      <c r="H288" s="103" t="n"/>
      <c r="I288" s="103" t="n"/>
      <c r="J288" s="104" t="n"/>
      <c r="K288" s="102" t="n"/>
      <c r="L288" s="103" t="n"/>
      <c r="M288" s="103" t="n"/>
      <c r="N288" s="104" t="n"/>
      <c r="O288" s="102" t="n"/>
      <c r="P288" s="103" t="n"/>
      <c r="Q288" s="103" t="n"/>
      <c r="R288" s="104" t="n"/>
      <c r="S288" s="102" t="n"/>
      <c r="T288" s="103" t="n"/>
      <c r="U288" s="103" t="n"/>
      <c r="V288" s="104" t="n"/>
      <c r="W288" s="102" t="n"/>
      <c r="X288" s="104" t="n"/>
      <c r="Y288" s="102" t="n"/>
      <c r="Z288" s="104" t="n"/>
      <c r="AB288" s="105">
        <f>IF($B288="","",(COUNTIF(C258:E275,$B288)+COUNTIF(C258:E275,$B288&amp;" ~*")&gt;0)+(COUNTIF(G258:I275,$B288)+COUNTIF(G258:I275,$B288&amp;" ~*")&gt;0)+(COUNTIF(K258:M275,$B288)+COUNTIF(K258:M275,$B288&amp;" ~*")&gt;0)+(COUNTIF(O258:Q275,$B288)+COUNTIF(O258:Q275,$B288&amp;" ~*")&gt;0)+(COUNTIF(S258:U275,$B288)+COUNTIF(S258:U275,$B288&amp;" ~*")&gt;0)+(COUNTIF(W258:W275,$B288)+COUNTIF(W258:W275,$B288&amp;" ~*")&gt;0)+(COUNTIF(Y258:Y275,$B288)+COUNTIF(Y258:Y275,$B288&amp;" ~*")&gt;0))</f>
        <v/>
      </c>
      <c r="AC288" s="38">
        <f>IF($B288="","",(IFERROR(INDEX(Setup!$G$33:$G$40,MATCH(C288,Setup!$B$33:$B$40,0)),0)=1)*(COUNTIF(C258:E275,$B288)+COUNTIF(C258:E275,$B288&amp;" ~*")&gt;0)+(IFERROR(INDEX(Setup!$G$33:$G$40,MATCH(G288,Setup!$B$33:$B$40,0)),0)=1)*(COUNTIF(G258:I275,$B288)+COUNTIF(G258:I275,$B288&amp;" ~*")&gt;0)+(IFERROR(INDEX(Setup!$G$33:$G$40,MATCH(K288,Setup!$B$33:$B$40,0)),0)=1)*(COUNTIF(K258:M275,$B288)+COUNTIF(K258:M275,$B288&amp;" ~*")&gt;0)+(IFERROR(INDEX(Setup!$G$33:$G$40,MATCH(O288,Setup!$B$33:$B$40,0)),0)=1)*(COUNTIF(O258:Q275,$B288)+COUNTIF(O258:Q275,$B288&amp;" ~*")&gt;0)+(IFERROR(INDEX(Setup!$G$33:$G$40,MATCH(S288,Setup!$B$33:$B$40,0)),0)=1)*(COUNTIF(S258:U275,$B288)+COUNTIF(S258:U275,$B288&amp;" ~*")&gt;0)+(IFERROR(INDEX(Setup!$G$33:$G$40,MATCH(W288,Setup!$B$33:$B$40,0)),0)=1)*(COUNTIF(W258:W275,$B288)+COUNTIF(W258:W275,$B288&amp;" ~*")&gt;0)+(IFERROR(INDEX(Setup!$G$33:$G$40,MATCH(Y288,Setup!$B$33:$B$40,0)),0)=1)*(COUNTIF(Y258:Y275,$B288)+COUNTIF(Y258:Y275,$B288&amp;" ~*")&gt;0))</f>
        <v/>
      </c>
    </row>
    <row r="289" ht="15" customHeight="1">
      <c r="A289" t="n">
        <v>6</v>
      </c>
      <c r="B289" s="35">
        <f>IF(Setup!$B$18="","",Setup!$B$18)</f>
        <v/>
      </c>
      <c r="C289" s="98" t="n"/>
      <c r="D289" s="99" t="n"/>
      <c r="E289" s="99" t="n"/>
      <c r="F289" s="100" t="n"/>
      <c r="G289" s="98" t="n"/>
      <c r="H289" s="99" t="n"/>
      <c r="I289" s="99" t="n"/>
      <c r="J289" s="100" t="n"/>
      <c r="K289" s="98" t="n"/>
      <c r="L289" s="99" t="n"/>
      <c r="M289" s="99" t="n"/>
      <c r="N289" s="100" t="n"/>
      <c r="O289" s="98" t="n"/>
      <c r="P289" s="99" t="n"/>
      <c r="Q289" s="99" t="n"/>
      <c r="R289" s="100" t="n"/>
      <c r="S289" s="98" t="n"/>
      <c r="T289" s="99" t="n"/>
      <c r="U289" s="99" t="n"/>
      <c r="V289" s="100" t="n"/>
      <c r="W289" s="98" t="n"/>
      <c r="X289" s="100" t="n"/>
      <c r="Y289" s="98" t="n"/>
      <c r="Z289" s="100" t="n"/>
      <c r="AB289" s="101">
        <f>IF($B289="","",(COUNTIF(C258:E275,$B289)+COUNTIF(C258:E275,$B289&amp;" ~*")&gt;0)+(COUNTIF(G258:I275,$B289)+COUNTIF(G258:I275,$B289&amp;" ~*")&gt;0)+(COUNTIF(K258:M275,$B289)+COUNTIF(K258:M275,$B289&amp;" ~*")&gt;0)+(COUNTIF(O258:Q275,$B289)+COUNTIF(O258:Q275,$B289&amp;" ~*")&gt;0)+(COUNTIF(S258:U275,$B289)+COUNTIF(S258:U275,$B289&amp;" ~*")&gt;0)+(COUNTIF(W258:W275,$B289)+COUNTIF(W258:W275,$B289&amp;" ~*")&gt;0)+(COUNTIF(Y258:Y275,$B289)+COUNTIF(Y258:Y275,$B289&amp;" ~*")&gt;0))</f>
        <v/>
      </c>
      <c r="AC289" s="36">
        <f>IF($B289="","",(IFERROR(INDEX(Setup!$G$33:$G$40,MATCH(C289,Setup!$B$33:$B$40,0)),0)=1)*(COUNTIF(C258:E275,$B289)+COUNTIF(C258:E275,$B289&amp;" ~*")&gt;0)+(IFERROR(INDEX(Setup!$G$33:$G$40,MATCH(G289,Setup!$B$33:$B$40,0)),0)=1)*(COUNTIF(G258:I275,$B289)+COUNTIF(G258:I275,$B289&amp;" ~*")&gt;0)+(IFERROR(INDEX(Setup!$G$33:$G$40,MATCH(K289,Setup!$B$33:$B$40,0)),0)=1)*(COUNTIF(K258:M275,$B289)+COUNTIF(K258:M275,$B289&amp;" ~*")&gt;0)+(IFERROR(INDEX(Setup!$G$33:$G$40,MATCH(O289,Setup!$B$33:$B$40,0)),0)=1)*(COUNTIF(O258:Q275,$B289)+COUNTIF(O258:Q275,$B289&amp;" ~*")&gt;0)+(IFERROR(INDEX(Setup!$G$33:$G$40,MATCH(S289,Setup!$B$33:$B$40,0)),0)=1)*(COUNTIF(S258:U275,$B289)+COUNTIF(S258:U275,$B289&amp;" ~*")&gt;0)+(IFERROR(INDEX(Setup!$G$33:$G$40,MATCH(W289,Setup!$B$33:$B$40,0)),0)=1)*(COUNTIF(W258:W275,$B289)+COUNTIF(W258:W275,$B289&amp;" ~*")&gt;0)+(IFERROR(INDEX(Setup!$G$33:$G$40,MATCH(Y289,Setup!$B$33:$B$40,0)),0)=1)*(COUNTIF(Y258:Y275,$B289)+COUNTIF(Y258:Y275,$B289&amp;" ~*")&gt;0))</f>
        <v/>
      </c>
    </row>
    <row r="290" ht="15" customHeight="1">
      <c r="A290" t="n">
        <v>6</v>
      </c>
      <c r="B290" s="37">
        <f>IF(Setup!$B$19="","",Setup!$B$19)</f>
        <v/>
      </c>
      <c r="C290" s="102" t="n"/>
      <c r="D290" s="103" t="n"/>
      <c r="E290" s="103" t="n"/>
      <c r="F290" s="104" t="n"/>
      <c r="G290" s="102" t="n"/>
      <c r="H290" s="103" t="n"/>
      <c r="I290" s="103" t="n"/>
      <c r="J290" s="104" t="n"/>
      <c r="K290" s="102" t="n"/>
      <c r="L290" s="103" t="n"/>
      <c r="M290" s="103" t="n"/>
      <c r="N290" s="104" t="n"/>
      <c r="O290" s="102" t="n"/>
      <c r="P290" s="103" t="n"/>
      <c r="Q290" s="103" t="n"/>
      <c r="R290" s="104" t="n"/>
      <c r="S290" s="102" t="n"/>
      <c r="T290" s="103" t="n"/>
      <c r="U290" s="103" t="n"/>
      <c r="V290" s="104" t="n"/>
      <c r="W290" s="102" t="n"/>
      <c r="X290" s="104" t="n"/>
      <c r="Y290" s="102" t="n"/>
      <c r="Z290" s="104" t="n"/>
      <c r="AB290" s="105">
        <f>IF($B290="","",(COUNTIF(C258:E275,$B290)+COUNTIF(C258:E275,$B290&amp;" ~*")&gt;0)+(COUNTIF(G258:I275,$B290)+COUNTIF(G258:I275,$B290&amp;" ~*")&gt;0)+(COUNTIF(K258:M275,$B290)+COUNTIF(K258:M275,$B290&amp;" ~*")&gt;0)+(COUNTIF(O258:Q275,$B290)+COUNTIF(O258:Q275,$B290&amp;" ~*")&gt;0)+(COUNTIF(S258:U275,$B290)+COUNTIF(S258:U275,$B290&amp;" ~*")&gt;0)+(COUNTIF(W258:W275,$B290)+COUNTIF(W258:W275,$B290&amp;" ~*")&gt;0)+(COUNTIF(Y258:Y275,$B290)+COUNTIF(Y258:Y275,$B290&amp;" ~*")&gt;0))</f>
        <v/>
      </c>
      <c r="AC290" s="38">
        <f>IF($B290="","",(IFERROR(INDEX(Setup!$G$33:$G$40,MATCH(C290,Setup!$B$33:$B$40,0)),0)=1)*(COUNTIF(C258:E275,$B290)+COUNTIF(C258:E275,$B290&amp;" ~*")&gt;0)+(IFERROR(INDEX(Setup!$G$33:$G$40,MATCH(G290,Setup!$B$33:$B$40,0)),0)=1)*(COUNTIF(G258:I275,$B290)+COUNTIF(G258:I275,$B290&amp;" ~*")&gt;0)+(IFERROR(INDEX(Setup!$G$33:$G$40,MATCH(K290,Setup!$B$33:$B$40,0)),0)=1)*(COUNTIF(K258:M275,$B290)+COUNTIF(K258:M275,$B290&amp;" ~*")&gt;0)+(IFERROR(INDEX(Setup!$G$33:$G$40,MATCH(O290,Setup!$B$33:$B$40,0)),0)=1)*(COUNTIF(O258:Q275,$B290)+COUNTIF(O258:Q275,$B290&amp;" ~*")&gt;0)+(IFERROR(INDEX(Setup!$G$33:$G$40,MATCH(S290,Setup!$B$33:$B$40,0)),0)=1)*(COUNTIF(S258:U275,$B290)+COUNTIF(S258:U275,$B290&amp;" ~*")&gt;0)+(IFERROR(INDEX(Setup!$G$33:$G$40,MATCH(W290,Setup!$B$33:$B$40,0)),0)=1)*(COUNTIF(W258:W275,$B290)+COUNTIF(W258:W275,$B290&amp;" ~*")&gt;0)+(IFERROR(INDEX(Setup!$G$33:$G$40,MATCH(Y290,Setup!$B$33:$B$40,0)),0)=1)*(COUNTIF(Y258:Y275,$B290)+COUNTIF(Y258:Y275,$B290&amp;" ~*")&gt;0))</f>
        <v/>
      </c>
    </row>
    <row r="291" ht="15" customHeight="1">
      <c r="A291" t="n">
        <v>6</v>
      </c>
      <c r="B291" s="35">
        <f>IF(Setup!$B$20="","",Setup!$B$20)</f>
        <v/>
      </c>
      <c r="C291" s="98" t="n"/>
      <c r="D291" s="99" t="n"/>
      <c r="E291" s="99" t="n"/>
      <c r="F291" s="100" t="n"/>
      <c r="G291" s="98" t="n"/>
      <c r="H291" s="99" t="n"/>
      <c r="I291" s="99" t="n"/>
      <c r="J291" s="100" t="n"/>
      <c r="K291" s="98" t="n"/>
      <c r="L291" s="99" t="n"/>
      <c r="M291" s="99" t="n"/>
      <c r="N291" s="100" t="n"/>
      <c r="O291" s="98" t="n"/>
      <c r="P291" s="99" t="n"/>
      <c r="Q291" s="99" t="n"/>
      <c r="R291" s="100" t="n"/>
      <c r="S291" s="98" t="n"/>
      <c r="T291" s="99" t="n"/>
      <c r="U291" s="99" t="n"/>
      <c r="V291" s="100" t="n"/>
      <c r="W291" s="98" t="n"/>
      <c r="X291" s="100" t="n"/>
      <c r="Y291" s="98" t="n"/>
      <c r="Z291" s="100" t="n"/>
      <c r="AB291" s="101">
        <f>IF($B291="","",(COUNTIF(C258:E275,$B291)+COUNTIF(C258:E275,$B291&amp;" ~*")&gt;0)+(COUNTIF(G258:I275,$B291)+COUNTIF(G258:I275,$B291&amp;" ~*")&gt;0)+(COUNTIF(K258:M275,$B291)+COUNTIF(K258:M275,$B291&amp;" ~*")&gt;0)+(COUNTIF(O258:Q275,$B291)+COUNTIF(O258:Q275,$B291&amp;" ~*")&gt;0)+(COUNTIF(S258:U275,$B291)+COUNTIF(S258:U275,$B291&amp;" ~*")&gt;0)+(COUNTIF(W258:W275,$B291)+COUNTIF(W258:W275,$B291&amp;" ~*")&gt;0)+(COUNTIF(Y258:Y275,$B291)+COUNTIF(Y258:Y275,$B291&amp;" ~*")&gt;0))</f>
        <v/>
      </c>
      <c r="AC291" s="36">
        <f>IF($B291="","",(IFERROR(INDEX(Setup!$G$33:$G$40,MATCH(C291,Setup!$B$33:$B$40,0)),0)=1)*(COUNTIF(C258:E275,$B291)+COUNTIF(C258:E275,$B291&amp;" ~*")&gt;0)+(IFERROR(INDEX(Setup!$G$33:$G$40,MATCH(G291,Setup!$B$33:$B$40,0)),0)=1)*(COUNTIF(G258:I275,$B291)+COUNTIF(G258:I275,$B291&amp;" ~*")&gt;0)+(IFERROR(INDEX(Setup!$G$33:$G$40,MATCH(K291,Setup!$B$33:$B$40,0)),0)=1)*(COUNTIF(K258:M275,$B291)+COUNTIF(K258:M275,$B291&amp;" ~*")&gt;0)+(IFERROR(INDEX(Setup!$G$33:$G$40,MATCH(O291,Setup!$B$33:$B$40,0)),0)=1)*(COUNTIF(O258:Q275,$B291)+COUNTIF(O258:Q275,$B291&amp;" ~*")&gt;0)+(IFERROR(INDEX(Setup!$G$33:$G$40,MATCH(S291,Setup!$B$33:$B$40,0)),0)=1)*(COUNTIF(S258:U275,$B291)+COUNTIF(S258:U275,$B291&amp;" ~*")&gt;0)+(IFERROR(INDEX(Setup!$G$33:$G$40,MATCH(W291,Setup!$B$33:$B$40,0)),0)=1)*(COUNTIF(W258:W275,$B291)+COUNTIF(W258:W275,$B291&amp;" ~*")&gt;0)+(IFERROR(INDEX(Setup!$G$33:$G$40,MATCH(Y291,Setup!$B$33:$B$40,0)),0)=1)*(COUNTIF(Y258:Y275,$B291)+COUNTIF(Y258:Y275,$B291&amp;" ~*")&gt;0))</f>
        <v/>
      </c>
    </row>
    <row r="292" ht="15" customHeight="1">
      <c r="A292" t="n">
        <v>6</v>
      </c>
      <c r="B292" s="37">
        <f>IF(Setup!$B$21="","",Setup!$B$21)</f>
        <v/>
      </c>
      <c r="C292" s="102" t="n"/>
      <c r="D292" s="103" t="n"/>
      <c r="E292" s="103" t="n"/>
      <c r="F292" s="104" t="n"/>
      <c r="G292" s="102" t="n"/>
      <c r="H292" s="103" t="n"/>
      <c r="I292" s="103" t="n"/>
      <c r="J292" s="104" t="n"/>
      <c r="K292" s="102" t="n"/>
      <c r="L292" s="103" t="n"/>
      <c r="M292" s="103" t="n"/>
      <c r="N292" s="104" t="n"/>
      <c r="O292" s="102" t="n"/>
      <c r="P292" s="103" t="n"/>
      <c r="Q292" s="103" t="n"/>
      <c r="R292" s="104" t="n"/>
      <c r="S292" s="102" t="n"/>
      <c r="T292" s="103" t="n"/>
      <c r="U292" s="103" t="n"/>
      <c r="V292" s="104" t="n"/>
      <c r="W292" s="102" t="n"/>
      <c r="X292" s="104" t="n"/>
      <c r="Y292" s="102" t="n"/>
      <c r="Z292" s="104" t="n"/>
      <c r="AB292" s="105">
        <f>IF($B292="","",(COUNTIF(C258:E275,$B292)+COUNTIF(C258:E275,$B292&amp;" ~*")&gt;0)+(COUNTIF(G258:I275,$B292)+COUNTIF(G258:I275,$B292&amp;" ~*")&gt;0)+(COUNTIF(K258:M275,$B292)+COUNTIF(K258:M275,$B292&amp;" ~*")&gt;0)+(COUNTIF(O258:Q275,$B292)+COUNTIF(O258:Q275,$B292&amp;" ~*")&gt;0)+(COUNTIF(S258:U275,$B292)+COUNTIF(S258:U275,$B292&amp;" ~*")&gt;0)+(COUNTIF(W258:W275,$B292)+COUNTIF(W258:W275,$B292&amp;" ~*")&gt;0)+(COUNTIF(Y258:Y275,$B292)+COUNTIF(Y258:Y275,$B292&amp;" ~*")&gt;0))</f>
        <v/>
      </c>
      <c r="AC292" s="38">
        <f>IF($B292="","",(IFERROR(INDEX(Setup!$G$33:$G$40,MATCH(C292,Setup!$B$33:$B$40,0)),0)=1)*(COUNTIF(C258:E275,$B292)+COUNTIF(C258:E275,$B292&amp;" ~*")&gt;0)+(IFERROR(INDEX(Setup!$G$33:$G$40,MATCH(G292,Setup!$B$33:$B$40,0)),0)=1)*(COUNTIF(G258:I275,$B292)+COUNTIF(G258:I275,$B292&amp;" ~*")&gt;0)+(IFERROR(INDEX(Setup!$G$33:$G$40,MATCH(K292,Setup!$B$33:$B$40,0)),0)=1)*(COUNTIF(K258:M275,$B292)+COUNTIF(K258:M275,$B292&amp;" ~*")&gt;0)+(IFERROR(INDEX(Setup!$G$33:$G$40,MATCH(O292,Setup!$B$33:$B$40,0)),0)=1)*(COUNTIF(O258:Q275,$B292)+COUNTIF(O258:Q275,$B292&amp;" ~*")&gt;0)+(IFERROR(INDEX(Setup!$G$33:$G$40,MATCH(S292,Setup!$B$33:$B$40,0)),0)=1)*(COUNTIF(S258:U275,$B292)+COUNTIF(S258:U275,$B292&amp;" ~*")&gt;0)+(IFERROR(INDEX(Setup!$G$33:$G$40,MATCH(W292,Setup!$B$33:$B$40,0)),0)=1)*(COUNTIF(W258:W275,$B292)+COUNTIF(W258:W275,$B292&amp;" ~*")&gt;0)+(IFERROR(INDEX(Setup!$G$33:$G$40,MATCH(Y292,Setup!$B$33:$B$40,0)),0)=1)*(COUNTIF(Y258:Y275,$B292)+COUNTIF(Y258:Y275,$B292&amp;" ~*")&gt;0))</f>
        <v/>
      </c>
    </row>
    <row r="293" ht="15" customHeight="1">
      <c r="A293" t="n">
        <v>6</v>
      </c>
      <c r="B293" s="35">
        <f>IF(Setup!$B$22="","",Setup!$B$22)</f>
        <v/>
      </c>
      <c r="C293" s="98" t="n"/>
      <c r="D293" s="99" t="n"/>
      <c r="E293" s="99" t="n"/>
      <c r="F293" s="100" t="n"/>
      <c r="G293" s="98" t="n"/>
      <c r="H293" s="99" t="n"/>
      <c r="I293" s="99" t="n"/>
      <c r="J293" s="100" t="n"/>
      <c r="K293" s="98" t="n"/>
      <c r="L293" s="99" t="n"/>
      <c r="M293" s="99" t="n"/>
      <c r="N293" s="100" t="n"/>
      <c r="O293" s="98" t="n"/>
      <c r="P293" s="99" t="n"/>
      <c r="Q293" s="99" t="n"/>
      <c r="R293" s="100" t="n"/>
      <c r="S293" s="98" t="n"/>
      <c r="T293" s="99" t="n"/>
      <c r="U293" s="99" t="n"/>
      <c r="V293" s="100" t="n"/>
      <c r="W293" s="98" t="n"/>
      <c r="X293" s="100" t="n"/>
      <c r="Y293" s="98" t="n"/>
      <c r="Z293" s="100" t="n"/>
      <c r="AB293" s="101">
        <f>IF($B293="","",(COUNTIF(C258:E275,$B293)+COUNTIF(C258:E275,$B293&amp;" ~*")&gt;0)+(COUNTIF(G258:I275,$B293)+COUNTIF(G258:I275,$B293&amp;" ~*")&gt;0)+(COUNTIF(K258:M275,$B293)+COUNTIF(K258:M275,$B293&amp;" ~*")&gt;0)+(COUNTIF(O258:Q275,$B293)+COUNTIF(O258:Q275,$B293&amp;" ~*")&gt;0)+(COUNTIF(S258:U275,$B293)+COUNTIF(S258:U275,$B293&amp;" ~*")&gt;0)+(COUNTIF(W258:W275,$B293)+COUNTIF(W258:W275,$B293&amp;" ~*")&gt;0)+(COUNTIF(Y258:Y275,$B293)+COUNTIF(Y258:Y275,$B293&amp;" ~*")&gt;0))</f>
        <v/>
      </c>
      <c r="AC293" s="36">
        <f>IF($B293="","",(IFERROR(INDEX(Setup!$G$33:$G$40,MATCH(C293,Setup!$B$33:$B$40,0)),0)=1)*(COUNTIF(C258:E275,$B293)+COUNTIF(C258:E275,$B293&amp;" ~*")&gt;0)+(IFERROR(INDEX(Setup!$G$33:$G$40,MATCH(G293,Setup!$B$33:$B$40,0)),0)=1)*(COUNTIF(G258:I275,$B293)+COUNTIF(G258:I275,$B293&amp;" ~*")&gt;0)+(IFERROR(INDEX(Setup!$G$33:$G$40,MATCH(K293,Setup!$B$33:$B$40,0)),0)=1)*(COUNTIF(K258:M275,$B293)+COUNTIF(K258:M275,$B293&amp;" ~*")&gt;0)+(IFERROR(INDEX(Setup!$G$33:$G$40,MATCH(O293,Setup!$B$33:$B$40,0)),0)=1)*(COUNTIF(O258:Q275,$B293)+COUNTIF(O258:Q275,$B293&amp;" ~*")&gt;0)+(IFERROR(INDEX(Setup!$G$33:$G$40,MATCH(S293,Setup!$B$33:$B$40,0)),0)=1)*(COUNTIF(S258:U275,$B293)+COUNTIF(S258:U275,$B293&amp;" ~*")&gt;0)+(IFERROR(INDEX(Setup!$G$33:$G$40,MATCH(W293,Setup!$B$33:$B$40,0)),0)=1)*(COUNTIF(W258:W275,$B293)+COUNTIF(W258:W275,$B293&amp;" ~*")&gt;0)+(IFERROR(INDEX(Setup!$G$33:$G$40,MATCH(Y293,Setup!$B$33:$B$40,0)),0)=1)*(COUNTIF(Y258:Y275,$B293)+COUNTIF(Y258:Y275,$B293&amp;" ~*")&gt;0))</f>
        <v/>
      </c>
    </row>
    <row r="294" ht="15" customHeight="1">
      <c r="A294" t="n">
        <v>6</v>
      </c>
      <c r="B294" s="37">
        <f>IF(Setup!$B$23="","",Setup!$B$23)</f>
        <v/>
      </c>
      <c r="C294" s="102" t="n"/>
      <c r="D294" s="103" t="n"/>
      <c r="E294" s="103" t="n"/>
      <c r="F294" s="104" t="n"/>
      <c r="G294" s="102" t="n"/>
      <c r="H294" s="103" t="n"/>
      <c r="I294" s="103" t="n"/>
      <c r="J294" s="104" t="n"/>
      <c r="K294" s="102" t="n"/>
      <c r="L294" s="103" t="n"/>
      <c r="M294" s="103" t="n"/>
      <c r="N294" s="104" t="n"/>
      <c r="O294" s="102" t="n"/>
      <c r="P294" s="103" t="n"/>
      <c r="Q294" s="103" t="n"/>
      <c r="R294" s="104" t="n"/>
      <c r="S294" s="102" t="n"/>
      <c r="T294" s="103" t="n"/>
      <c r="U294" s="103" t="n"/>
      <c r="V294" s="104" t="n"/>
      <c r="W294" s="102" t="n"/>
      <c r="X294" s="104" t="n"/>
      <c r="Y294" s="102" t="n"/>
      <c r="Z294" s="104" t="n"/>
      <c r="AB294" s="105">
        <f>IF($B294="","",(COUNTIF(C258:E275,$B294)+COUNTIF(C258:E275,$B294&amp;" ~*")&gt;0)+(COUNTIF(G258:I275,$B294)+COUNTIF(G258:I275,$B294&amp;" ~*")&gt;0)+(COUNTIF(K258:M275,$B294)+COUNTIF(K258:M275,$B294&amp;" ~*")&gt;0)+(COUNTIF(O258:Q275,$B294)+COUNTIF(O258:Q275,$B294&amp;" ~*")&gt;0)+(COUNTIF(S258:U275,$B294)+COUNTIF(S258:U275,$B294&amp;" ~*")&gt;0)+(COUNTIF(W258:W275,$B294)+COUNTIF(W258:W275,$B294&amp;" ~*")&gt;0)+(COUNTIF(Y258:Y275,$B294)+COUNTIF(Y258:Y275,$B294&amp;" ~*")&gt;0))</f>
        <v/>
      </c>
      <c r="AC294" s="38">
        <f>IF($B294="","",(IFERROR(INDEX(Setup!$G$33:$G$40,MATCH(C294,Setup!$B$33:$B$40,0)),0)=1)*(COUNTIF(C258:E275,$B294)+COUNTIF(C258:E275,$B294&amp;" ~*")&gt;0)+(IFERROR(INDEX(Setup!$G$33:$G$40,MATCH(G294,Setup!$B$33:$B$40,0)),0)=1)*(COUNTIF(G258:I275,$B294)+COUNTIF(G258:I275,$B294&amp;" ~*")&gt;0)+(IFERROR(INDEX(Setup!$G$33:$G$40,MATCH(K294,Setup!$B$33:$B$40,0)),0)=1)*(COUNTIF(K258:M275,$B294)+COUNTIF(K258:M275,$B294&amp;" ~*")&gt;0)+(IFERROR(INDEX(Setup!$G$33:$G$40,MATCH(O294,Setup!$B$33:$B$40,0)),0)=1)*(COUNTIF(O258:Q275,$B294)+COUNTIF(O258:Q275,$B294&amp;" ~*")&gt;0)+(IFERROR(INDEX(Setup!$G$33:$G$40,MATCH(S294,Setup!$B$33:$B$40,0)),0)=1)*(COUNTIF(S258:U275,$B294)+COUNTIF(S258:U275,$B294&amp;" ~*")&gt;0)+(IFERROR(INDEX(Setup!$G$33:$G$40,MATCH(W294,Setup!$B$33:$B$40,0)),0)=1)*(COUNTIF(W258:W275,$B294)+COUNTIF(W258:W275,$B294&amp;" ~*")&gt;0)+(IFERROR(INDEX(Setup!$G$33:$G$40,MATCH(Y294,Setup!$B$33:$B$40,0)),0)=1)*(COUNTIF(Y258:Y275,$B294)+COUNTIF(Y258:Y275,$B294&amp;" ~*")&gt;0))</f>
        <v/>
      </c>
    </row>
    <row r="295" ht="15" customHeight="1">
      <c r="A295" t="n">
        <v>6</v>
      </c>
      <c r="B295" s="35">
        <f>IF(Setup!$B$24="","",Setup!$B$24)</f>
        <v/>
      </c>
      <c r="C295" s="98" t="n"/>
      <c r="D295" s="99" t="n"/>
      <c r="E295" s="99" t="n"/>
      <c r="F295" s="100" t="n"/>
      <c r="G295" s="98" t="n"/>
      <c r="H295" s="99" t="n"/>
      <c r="I295" s="99" t="n"/>
      <c r="J295" s="100" t="n"/>
      <c r="K295" s="98" t="n"/>
      <c r="L295" s="99" t="n"/>
      <c r="M295" s="99" t="n"/>
      <c r="N295" s="100" t="n"/>
      <c r="O295" s="98" t="n"/>
      <c r="P295" s="99" t="n"/>
      <c r="Q295" s="99" t="n"/>
      <c r="R295" s="100" t="n"/>
      <c r="S295" s="98" t="n"/>
      <c r="T295" s="99" t="n"/>
      <c r="U295" s="99" t="n"/>
      <c r="V295" s="100" t="n"/>
      <c r="W295" s="98" t="n"/>
      <c r="X295" s="100" t="n"/>
      <c r="Y295" s="98" t="n"/>
      <c r="Z295" s="100" t="n"/>
      <c r="AB295" s="101">
        <f>IF($B295="","",(COUNTIF(C258:E275,$B295)+COUNTIF(C258:E275,$B295&amp;" ~*")&gt;0)+(COUNTIF(G258:I275,$B295)+COUNTIF(G258:I275,$B295&amp;" ~*")&gt;0)+(COUNTIF(K258:M275,$B295)+COUNTIF(K258:M275,$B295&amp;" ~*")&gt;0)+(COUNTIF(O258:Q275,$B295)+COUNTIF(O258:Q275,$B295&amp;" ~*")&gt;0)+(COUNTIF(S258:U275,$B295)+COUNTIF(S258:U275,$B295&amp;" ~*")&gt;0)+(COUNTIF(W258:W275,$B295)+COUNTIF(W258:W275,$B295&amp;" ~*")&gt;0)+(COUNTIF(Y258:Y275,$B295)+COUNTIF(Y258:Y275,$B295&amp;" ~*")&gt;0))</f>
        <v/>
      </c>
      <c r="AC295" s="36">
        <f>IF($B295="","",(IFERROR(INDEX(Setup!$G$33:$G$40,MATCH(C295,Setup!$B$33:$B$40,0)),0)=1)*(COUNTIF(C258:E275,$B295)+COUNTIF(C258:E275,$B295&amp;" ~*")&gt;0)+(IFERROR(INDEX(Setup!$G$33:$G$40,MATCH(G295,Setup!$B$33:$B$40,0)),0)=1)*(COUNTIF(G258:I275,$B295)+COUNTIF(G258:I275,$B295&amp;" ~*")&gt;0)+(IFERROR(INDEX(Setup!$G$33:$G$40,MATCH(K295,Setup!$B$33:$B$40,0)),0)=1)*(COUNTIF(K258:M275,$B295)+COUNTIF(K258:M275,$B295&amp;" ~*")&gt;0)+(IFERROR(INDEX(Setup!$G$33:$G$40,MATCH(O295,Setup!$B$33:$B$40,0)),0)=1)*(COUNTIF(O258:Q275,$B295)+COUNTIF(O258:Q275,$B295&amp;" ~*")&gt;0)+(IFERROR(INDEX(Setup!$G$33:$G$40,MATCH(S295,Setup!$B$33:$B$40,0)),0)=1)*(COUNTIF(S258:U275,$B295)+COUNTIF(S258:U275,$B295&amp;" ~*")&gt;0)+(IFERROR(INDEX(Setup!$G$33:$G$40,MATCH(W295,Setup!$B$33:$B$40,0)),0)=1)*(COUNTIF(W258:W275,$B295)+COUNTIF(W258:W275,$B295&amp;" ~*")&gt;0)+(IFERROR(INDEX(Setup!$G$33:$G$40,MATCH(Y295,Setup!$B$33:$B$40,0)),0)=1)*(COUNTIF(Y258:Y275,$B295)+COUNTIF(Y258:Y275,$B295&amp;" ~*")&gt;0))</f>
        <v/>
      </c>
    </row>
    <row r="296" ht="15" customHeight="1">
      <c r="A296" t="n">
        <v>6</v>
      </c>
      <c r="B296" s="37">
        <f>IF(Setup!$B$25="","",Setup!$B$25)</f>
        <v/>
      </c>
      <c r="C296" s="102" t="n"/>
      <c r="D296" s="103" t="n"/>
      <c r="E296" s="103" t="n"/>
      <c r="F296" s="104" t="n"/>
      <c r="G296" s="102" t="n"/>
      <c r="H296" s="103" t="n"/>
      <c r="I296" s="103" t="n"/>
      <c r="J296" s="104" t="n"/>
      <c r="K296" s="102" t="n"/>
      <c r="L296" s="103" t="n"/>
      <c r="M296" s="103" t="n"/>
      <c r="N296" s="104" t="n"/>
      <c r="O296" s="102" t="n"/>
      <c r="P296" s="103" t="n"/>
      <c r="Q296" s="103" t="n"/>
      <c r="R296" s="104" t="n"/>
      <c r="S296" s="102" t="n"/>
      <c r="T296" s="103" t="n"/>
      <c r="U296" s="103" t="n"/>
      <c r="V296" s="104" t="n"/>
      <c r="W296" s="102" t="n"/>
      <c r="X296" s="104" t="n"/>
      <c r="Y296" s="102" t="n"/>
      <c r="Z296" s="104" t="n"/>
      <c r="AB296" s="105">
        <f>IF($B296="","",(COUNTIF(C258:E275,$B296)+COUNTIF(C258:E275,$B296&amp;" ~*")&gt;0)+(COUNTIF(G258:I275,$B296)+COUNTIF(G258:I275,$B296&amp;" ~*")&gt;0)+(COUNTIF(K258:M275,$B296)+COUNTIF(K258:M275,$B296&amp;" ~*")&gt;0)+(COUNTIF(O258:Q275,$B296)+COUNTIF(O258:Q275,$B296&amp;" ~*")&gt;0)+(COUNTIF(S258:U275,$B296)+COUNTIF(S258:U275,$B296&amp;" ~*")&gt;0)+(COUNTIF(W258:W275,$B296)+COUNTIF(W258:W275,$B296&amp;" ~*")&gt;0)+(COUNTIF(Y258:Y275,$B296)+COUNTIF(Y258:Y275,$B296&amp;" ~*")&gt;0))</f>
        <v/>
      </c>
      <c r="AC296" s="38">
        <f>IF($B296="","",(IFERROR(INDEX(Setup!$G$33:$G$40,MATCH(C296,Setup!$B$33:$B$40,0)),0)=1)*(COUNTIF(C258:E275,$B296)+COUNTIF(C258:E275,$B296&amp;" ~*")&gt;0)+(IFERROR(INDEX(Setup!$G$33:$G$40,MATCH(G296,Setup!$B$33:$B$40,0)),0)=1)*(COUNTIF(G258:I275,$B296)+COUNTIF(G258:I275,$B296&amp;" ~*")&gt;0)+(IFERROR(INDEX(Setup!$G$33:$G$40,MATCH(K296,Setup!$B$33:$B$40,0)),0)=1)*(COUNTIF(K258:M275,$B296)+COUNTIF(K258:M275,$B296&amp;" ~*")&gt;0)+(IFERROR(INDEX(Setup!$G$33:$G$40,MATCH(O296,Setup!$B$33:$B$40,0)),0)=1)*(COUNTIF(O258:Q275,$B296)+COUNTIF(O258:Q275,$B296&amp;" ~*")&gt;0)+(IFERROR(INDEX(Setup!$G$33:$G$40,MATCH(S296,Setup!$B$33:$B$40,0)),0)=1)*(COUNTIF(S258:U275,$B296)+COUNTIF(S258:U275,$B296&amp;" ~*")&gt;0)+(IFERROR(INDEX(Setup!$G$33:$G$40,MATCH(W296,Setup!$B$33:$B$40,0)),0)=1)*(COUNTIF(W258:W275,$B296)+COUNTIF(W258:W275,$B296&amp;" ~*")&gt;0)+(IFERROR(INDEX(Setup!$G$33:$G$40,MATCH(Y296,Setup!$B$33:$B$40,0)),0)=1)*(COUNTIF(Y258:Y275,$B296)+COUNTIF(Y258:Y275,$B296&amp;" ~*")&gt;0))</f>
        <v/>
      </c>
    </row>
    <row r="297" ht="15" customHeight="1">
      <c r="A297" t="n">
        <v>6</v>
      </c>
      <c r="B297" s="35">
        <f>IF(Setup!$B$26="","",Setup!$B$26)</f>
        <v/>
      </c>
      <c r="C297" s="98" t="n"/>
      <c r="D297" s="99" t="n"/>
      <c r="E297" s="99" t="n"/>
      <c r="F297" s="100" t="n"/>
      <c r="G297" s="98" t="n"/>
      <c r="H297" s="99" t="n"/>
      <c r="I297" s="99" t="n"/>
      <c r="J297" s="100" t="n"/>
      <c r="K297" s="98" t="n"/>
      <c r="L297" s="99" t="n"/>
      <c r="M297" s="99" t="n"/>
      <c r="N297" s="100" t="n"/>
      <c r="O297" s="98" t="n"/>
      <c r="P297" s="99" t="n"/>
      <c r="Q297" s="99" t="n"/>
      <c r="R297" s="100" t="n"/>
      <c r="S297" s="98" t="n"/>
      <c r="T297" s="99" t="n"/>
      <c r="U297" s="99" t="n"/>
      <c r="V297" s="100" t="n"/>
      <c r="W297" s="98" t="n"/>
      <c r="X297" s="100" t="n"/>
      <c r="Y297" s="98" t="n"/>
      <c r="Z297" s="100" t="n"/>
      <c r="AB297" s="101">
        <f>IF($B297="","",(COUNTIF(C258:E275,$B297)+COUNTIF(C258:E275,$B297&amp;" ~*")&gt;0)+(COUNTIF(G258:I275,$B297)+COUNTIF(G258:I275,$B297&amp;" ~*")&gt;0)+(COUNTIF(K258:M275,$B297)+COUNTIF(K258:M275,$B297&amp;" ~*")&gt;0)+(COUNTIF(O258:Q275,$B297)+COUNTIF(O258:Q275,$B297&amp;" ~*")&gt;0)+(COUNTIF(S258:U275,$B297)+COUNTIF(S258:U275,$B297&amp;" ~*")&gt;0)+(COUNTIF(W258:W275,$B297)+COUNTIF(W258:W275,$B297&amp;" ~*")&gt;0)+(COUNTIF(Y258:Y275,$B297)+COUNTIF(Y258:Y275,$B297&amp;" ~*")&gt;0))</f>
        <v/>
      </c>
      <c r="AC297" s="36">
        <f>IF($B297="","",(IFERROR(INDEX(Setup!$G$33:$G$40,MATCH(C297,Setup!$B$33:$B$40,0)),0)=1)*(COUNTIF(C258:E275,$B297)+COUNTIF(C258:E275,$B297&amp;" ~*")&gt;0)+(IFERROR(INDEX(Setup!$G$33:$G$40,MATCH(G297,Setup!$B$33:$B$40,0)),0)=1)*(COUNTIF(G258:I275,$B297)+COUNTIF(G258:I275,$B297&amp;" ~*")&gt;0)+(IFERROR(INDEX(Setup!$G$33:$G$40,MATCH(K297,Setup!$B$33:$B$40,0)),0)=1)*(COUNTIF(K258:M275,$B297)+COUNTIF(K258:M275,$B297&amp;" ~*")&gt;0)+(IFERROR(INDEX(Setup!$G$33:$G$40,MATCH(O297,Setup!$B$33:$B$40,0)),0)=1)*(COUNTIF(O258:Q275,$B297)+COUNTIF(O258:Q275,$B297&amp;" ~*")&gt;0)+(IFERROR(INDEX(Setup!$G$33:$G$40,MATCH(S297,Setup!$B$33:$B$40,0)),0)=1)*(COUNTIF(S258:U275,$B297)+COUNTIF(S258:U275,$B297&amp;" ~*")&gt;0)+(IFERROR(INDEX(Setup!$G$33:$G$40,MATCH(W297,Setup!$B$33:$B$40,0)),0)=1)*(COUNTIF(W258:W275,$B297)+COUNTIF(W258:W275,$B297&amp;" ~*")&gt;0)+(IFERROR(INDEX(Setup!$G$33:$G$40,MATCH(Y297,Setup!$B$33:$B$40,0)),0)=1)*(COUNTIF(Y258:Y275,$B297)+COUNTIF(Y258:Y275,$B297&amp;" ~*")&gt;0))</f>
        <v/>
      </c>
    </row>
    <row r="298" ht="15" customHeight="1">
      <c r="A298" t="n">
        <v>6</v>
      </c>
      <c r="B298" s="37">
        <f>IF(Setup!$B$27="","",Setup!$B$27)</f>
        <v/>
      </c>
      <c r="C298" s="102" t="n"/>
      <c r="D298" s="103" t="n"/>
      <c r="E298" s="103" t="n"/>
      <c r="F298" s="104" t="n"/>
      <c r="G298" s="102" t="n"/>
      <c r="H298" s="103" t="n"/>
      <c r="I298" s="103" t="n"/>
      <c r="J298" s="104" t="n"/>
      <c r="K298" s="102" t="n"/>
      <c r="L298" s="103" t="n"/>
      <c r="M298" s="103" t="n"/>
      <c r="N298" s="104" t="n"/>
      <c r="O298" s="102" t="n"/>
      <c r="P298" s="103" t="n"/>
      <c r="Q298" s="103" t="n"/>
      <c r="R298" s="104" t="n"/>
      <c r="S298" s="102" t="n"/>
      <c r="T298" s="103" t="n"/>
      <c r="U298" s="103" t="n"/>
      <c r="V298" s="104" t="n"/>
      <c r="W298" s="102" t="n"/>
      <c r="X298" s="104" t="n"/>
      <c r="Y298" s="102" t="n"/>
      <c r="Z298" s="104" t="n"/>
      <c r="AB298" s="105">
        <f>IF($B298="","",(COUNTIF(C258:E275,$B298)+COUNTIF(C258:E275,$B298&amp;" ~*")&gt;0)+(COUNTIF(G258:I275,$B298)+COUNTIF(G258:I275,$B298&amp;" ~*")&gt;0)+(COUNTIF(K258:M275,$B298)+COUNTIF(K258:M275,$B298&amp;" ~*")&gt;0)+(COUNTIF(O258:Q275,$B298)+COUNTIF(O258:Q275,$B298&amp;" ~*")&gt;0)+(COUNTIF(S258:U275,$B298)+COUNTIF(S258:U275,$B298&amp;" ~*")&gt;0)+(COUNTIF(W258:W275,$B298)+COUNTIF(W258:W275,$B298&amp;" ~*")&gt;0)+(COUNTIF(Y258:Y275,$B298)+COUNTIF(Y258:Y275,$B298&amp;" ~*")&gt;0))</f>
        <v/>
      </c>
      <c r="AC298" s="38">
        <f>IF($B298="","",(IFERROR(INDEX(Setup!$G$33:$G$40,MATCH(C298,Setup!$B$33:$B$40,0)),0)=1)*(COUNTIF(C258:E275,$B298)+COUNTIF(C258:E275,$B298&amp;" ~*")&gt;0)+(IFERROR(INDEX(Setup!$G$33:$G$40,MATCH(G298,Setup!$B$33:$B$40,0)),0)=1)*(COUNTIF(G258:I275,$B298)+COUNTIF(G258:I275,$B298&amp;" ~*")&gt;0)+(IFERROR(INDEX(Setup!$G$33:$G$40,MATCH(K298,Setup!$B$33:$B$40,0)),0)=1)*(COUNTIF(K258:M275,$B298)+COUNTIF(K258:M275,$B298&amp;" ~*")&gt;0)+(IFERROR(INDEX(Setup!$G$33:$G$40,MATCH(O298,Setup!$B$33:$B$40,0)),0)=1)*(COUNTIF(O258:Q275,$B298)+COUNTIF(O258:Q275,$B298&amp;" ~*")&gt;0)+(IFERROR(INDEX(Setup!$G$33:$G$40,MATCH(S298,Setup!$B$33:$B$40,0)),0)=1)*(COUNTIF(S258:U275,$B298)+COUNTIF(S258:U275,$B298&amp;" ~*")&gt;0)+(IFERROR(INDEX(Setup!$G$33:$G$40,MATCH(W298,Setup!$B$33:$B$40,0)),0)=1)*(COUNTIF(W258:W275,$B298)+COUNTIF(W258:W275,$B298&amp;" ~*")&gt;0)+(IFERROR(INDEX(Setup!$G$33:$G$40,MATCH(Y298,Setup!$B$33:$B$40,0)),0)=1)*(COUNTIF(Y258:Y275,$B298)+COUNTIF(Y258:Y275,$B298&amp;" ~*")&gt;0))</f>
        <v/>
      </c>
    </row>
    <row r="299" ht="15" customHeight="1">
      <c r="A299" t="n">
        <v>6</v>
      </c>
      <c r="B299" s="35">
        <f>IF(Setup!$B$28="","",Setup!$B$28)</f>
        <v/>
      </c>
      <c r="C299" s="98" t="n"/>
      <c r="D299" s="99" t="n"/>
      <c r="E299" s="99" t="n"/>
      <c r="F299" s="100" t="n"/>
      <c r="G299" s="98" t="n"/>
      <c r="H299" s="99" t="n"/>
      <c r="I299" s="99" t="n"/>
      <c r="J299" s="100" t="n"/>
      <c r="K299" s="98" t="n"/>
      <c r="L299" s="99" t="n"/>
      <c r="M299" s="99" t="n"/>
      <c r="N299" s="100" t="n"/>
      <c r="O299" s="98" t="n"/>
      <c r="P299" s="99" t="n"/>
      <c r="Q299" s="99" t="n"/>
      <c r="R299" s="100" t="n"/>
      <c r="S299" s="98" t="n"/>
      <c r="T299" s="99" t="n"/>
      <c r="U299" s="99" t="n"/>
      <c r="V299" s="100" t="n"/>
      <c r="W299" s="98" t="n"/>
      <c r="X299" s="100" t="n"/>
      <c r="Y299" s="98" t="n"/>
      <c r="Z299" s="100" t="n"/>
      <c r="AB299" s="101">
        <f>IF($B299="","",(COUNTIF(C258:E275,$B299)+COUNTIF(C258:E275,$B299&amp;" ~*")&gt;0)+(COUNTIF(G258:I275,$B299)+COUNTIF(G258:I275,$B299&amp;" ~*")&gt;0)+(COUNTIF(K258:M275,$B299)+COUNTIF(K258:M275,$B299&amp;" ~*")&gt;0)+(COUNTIF(O258:Q275,$B299)+COUNTIF(O258:Q275,$B299&amp;" ~*")&gt;0)+(COUNTIF(S258:U275,$B299)+COUNTIF(S258:U275,$B299&amp;" ~*")&gt;0)+(COUNTIF(W258:W275,$B299)+COUNTIF(W258:W275,$B299&amp;" ~*")&gt;0)+(COUNTIF(Y258:Y275,$B299)+COUNTIF(Y258:Y275,$B299&amp;" ~*")&gt;0))</f>
        <v/>
      </c>
      <c r="AC299" s="36">
        <f>IF($B299="","",(IFERROR(INDEX(Setup!$G$33:$G$40,MATCH(C299,Setup!$B$33:$B$40,0)),0)=1)*(COUNTIF(C258:E275,$B299)+COUNTIF(C258:E275,$B299&amp;" ~*")&gt;0)+(IFERROR(INDEX(Setup!$G$33:$G$40,MATCH(G299,Setup!$B$33:$B$40,0)),0)=1)*(COUNTIF(G258:I275,$B299)+COUNTIF(G258:I275,$B299&amp;" ~*")&gt;0)+(IFERROR(INDEX(Setup!$G$33:$G$40,MATCH(K299,Setup!$B$33:$B$40,0)),0)=1)*(COUNTIF(K258:M275,$B299)+COUNTIF(K258:M275,$B299&amp;" ~*")&gt;0)+(IFERROR(INDEX(Setup!$G$33:$G$40,MATCH(O299,Setup!$B$33:$B$40,0)),0)=1)*(COUNTIF(O258:Q275,$B299)+COUNTIF(O258:Q275,$B299&amp;" ~*")&gt;0)+(IFERROR(INDEX(Setup!$G$33:$G$40,MATCH(S299,Setup!$B$33:$B$40,0)),0)=1)*(COUNTIF(S258:U275,$B299)+COUNTIF(S258:U275,$B299&amp;" ~*")&gt;0)+(IFERROR(INDEX(Setup!$G$33:$G$40,MATCH(W299,Setup!$B$33:$B$40,0)),0)=1)*(COUNTIF(W258:W275,$B299)+COUNTIF(W258:W275,$B299&amp;" ~*")&gt;0)+(IFERROR(INDEX(Setup!$G$33:$G$40,MATCH(Y299,Setup!$B$33:$B$40,0)),0)=1)*(COUNTIF(Y258:Y275,$B299)+COUNTIF(Y258:Y275,$B299&amp;" ~*")&gt;0))</f>
        <v/>
      </c>
    </row>
    <row r="300" ht="15" customHeight="1">
      <c r="A300" t="n">
        <v>6</v>
      </c>
      <c r="B300" s="37">
        <f>IF(Setup!$B$29="","",Setup!$B$29)</f>
        <v/>
      </c>
      <c r="C300" s="102" t="n"/>
      <c r="D300" s="103" t="n"/>
      <c r="E300" s="103" t="n"/>
      <c r="F300" s="104" t="n"/>
      <c r="G300" s="102" t="n"/>
      <c r="H300" s="103" t="n"/>
      <c r="I300" s="103" t="n"/>
      <c r="J300" s="104" t="n"/>
      <c r="K300" s="102" t="n"/>
      <c r="L300" s="103" t="n"/>
      <c r="M300" s="103" t="n"/>
      <c r="N300" s="104" t="n"/>
      <c r="O300" s="102" t="n"/>
      <c r="P300" s="103" t="n"/>
      <c r="Q300" s="103" t="n"/>
      <c r="R300" s="104" t="n"/>
      <c r="S300" s="102" t="n"/>
      <c r="T300" s="103" t="n"/>
      <c r="U300" s="103" t="n"/>
      <c r="V300" s="104" t="n"/>
      <c r="W300" s="102" t="n"/>
      <c r="X300" s="104" t="n"/>
      <c r="Y300" s="102" t="n"/>
      <c r="Z300" s="104" t="n"/>
      <c r="AB300" s="105">
        <f>IF($B300="","",(COUNTIF(C258:E275,$B300)+COUNTIF(C258:E275,$B300&amp;" ~*")&gt;0)+(COUNTIF(G258:I275,$B300)+COUNTIF(G258:I275,$B300&amp;" ~*")&gt;0)+(COUNTIF(K258:M275,$B300)+COUNTIF(K258:M275,$B300&amp;" ~*")&gt;0)+(COUNTIF(O258:Q275,$B300)+COUNTIF(O258:Q275,$B300&amp;" ~*")&gt;0)+(COUNTIF(S258:U275,$B300)+COUNTIF(S258:U275,$B300&amp;" ~*")&gt;0)+(COUNTIF(W258:W275,$B300)+COUNTIF(W258:W275,$B300&amp;" ~*")&gt;0)+(COUNTIF(Y258:Y275,$B300)+COUNTIF(Y258:Y275,$B300&amp;" ~*")&gt;0))</f>
        <v/>
      </c>
      <c r="AC300" s="38">
        <f>IF($B300="","",(IFERROR(INDEX(Setup!$G$33:$G$40,MATCH(C300,Setup!$B$33:$B$40,0)),0)=1)*(COUNTIF(C258:E275,$B300)+COUNTIF(C258:E275,$B300&amp;" ~*")&gt;0)+(IFERROR(INDEX(Setup!$G$33:$G$40,MATCH(G300,Setup!$B$33:$B$40,0)),0)=1)*(COUNTIF(G258:I275,$B300)+COUNTIF(G258:I275,$B300&amp;" ~*")&gt;0)+(IFERROR(INDEX(Setup!$G$33:$G$40,MATCH(K300,Setup!$B$33:$B$40,0)),0)=1)*(COUNTIF(K258:M275,$B300)+COUNTIF(K258:M275,$B300&amp;" ~*")&gt;0)+(IFERROR(INDEX(Setup!$G$33:$G$40,MATCH(O300,Setup!$B$33:$B$40,0)),0)=1)*(COUNTIF(O258:Q275,$B300)+COUNTIF(O258:Q275,$B300&amp;" ~*")&gt;0)+(IFERROR(INDEX(Setup!$G$33:$G$40,MATCH(S300,Setup!$B$33:$B$40,0)),0)=1)*(COUNTIF(S258:U275,$B300)+COUNTIF(S258:U275,$B300&amp;" ~*")&gt;0)+(IFERROR(INDEX(Setup!$G$33:$G$40,MATCH(W300,Setup!$B$33:$B$40,0)),0)=1)*(COUNTIF(W258:W275,$B300)+COUNTIF(W258:W275,$B300&amp;" ~*")&gt;0)+(IFERROR(INDEX(Setup!$G$33:$G$40,MATCH(Y300,Setup!$B$33:$B$40,0)),0)=1)*(COUNTIF(Y258:Y275,$B300)+COUNTIF(Y258:Y275,$B300&amp;" ~*")&gt;0))</f>
        <v/>
      </c>
    </row>
    <row r="301" ht="16" customHeight="1">
      <c r="A301" t="n">
        <v>6</v>
      </c>
      <c r="B301" s="106" t="inlineStr">
        <is>
          <t>Available people</t>
        </is>
      </c>
      <c r="C301" s="107">
        <f>COUNTIFS(Setup!$E$6:$E$29,"Y",Setup!$B$6:$B$29,"?*")-SUMPRODUCT(COUNTIF(C277:C300,Setup!$F$33:$F$40))</f>
        <v/>
      </c>
      <c r="D301" s="107" t="n"/>
      <c r="E301" s="107" t="n"/>
      <c r="F301" s="107" t="n"/>
      <c r="G301" s="107">
        <f>COUNTIFS(Setup!$E$6:$E$29,"Y",Setup!$B$6:$B$29,"?*")-SUMPRODUCT(COUNTIF(G277:G300,Setup!$F$33:$F$40))</f>
        <v/>
      </c>
      <c r="H301" s="107" t="n"/>
      <c r="I301" s="107" t="n"/>
      <c r="J301" s="107" t="n"/>
      <c r="K301" s="107">
        <f>COUNTIFS(Setup!$E$6:$E$29,"Y",Setup!$B$6:$B$29,"?*")-SUMPRODUCT(COUNTIF(K277:K300,Setup!$F$33:$F$40))</f>
        <v/>
      </c>
      <c r="L301" s="107" t="n"/>
      <c r="M301" s="107" t="n"/>
      <c r="N301" s="107" t="n"/>
      <c r="O301" s="107">
        <f>COUNTIFS(Setup!$E$6:$E$29,"Y",Setup!$B$6:$B$29,"?*")-SUMPRODUCT(COUNTIF(O277:O300,Setup!$F$33:$F$40))</f>
        <v/>
      </c>
      <c r="P301" s="107" t="n"/>
      <c r="Q301" s="107" t="n"/>
      <c r="R301" s="107" t="n"/>
      <c r="S301" s="107">
        <f>COUNTIFS(Setup!$E$6:$E$29,"Y",Setup!$B$6:$B$29,"?*")-SUMPRODUCT(COUNTIF(S277:S300,Setup!$F$33:$F$40))</f>
        <v/>
      </c>
      <c r="T301" s="107" t="n"/>
      <c r="U301" s="107" t="n"/>
      <c r="V301" s="107" t="n"/>
      <c r="W301" s="107">
        <f>COUNTIFS(Setup!$E$6:$E$29,"Y",Setup!$B$6:$B$29,"?*")-SUMPRODUCT(COUNTIF(W277:W300,Setup!$F$33:$F$40))</f>
        <v/>
      </c>
      <c r="X301" s="107" t="n"/>
      <c r="Y301" s="107">
        <f>COUNTIFS(Setup!$E$6:$E$29,"Y",Setup!$B$6:$B$29,"?*")-SUMPRODUCT(COUNTIF(Y277:Y300,Setup!$F$33:$F$40))</f>
        <v/>
      </c>
      <c r="Z301" s="107" t="n"/>
      <c r="AB301" s="108">
        <f>SUM(AB277:AB300)</f>
        <v/>
      </c>
      <c r="AC301" s="109">
        <f>SUM(AC277:AC300)</f>
        <v/>
      </c>
    </row>
    <row r="302" ht="30" customHeight="1">
      <c r="A302" t="n">
        <v>6</v>
      </c>
      <c r="B302" s="110" t="inlineStr">
        <is>
          <t>Week notes</t>
        </is>
      </c>
      <c r="C302" s="111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112" t="n"/>
      <c r="R302" s="112" t="n"/>
      <c r="S302" s="112" t="n"/>
      <c r="T302" s="112" t="n"/>
      <c r="U302" s="112" t="n"/>
      <c r="V302" s="112" t="n"/>
      <c r="W302" s="112" t="n"/>
      <c r="X302" s="112" t="n"/>
      <c r="Y302" s="112" t="n"/>
      <c r="Z302" s="113" t="n"/>
    </row>
    <row r="303" ht="8" customHeight="1">
      <c r="A303" t="n">
        <v>6</v>
      </c>
    </row>
    <row r="304" ht="8" customHeight="1">
      <c r="A304" t="n">
        <v>6</v>
      </c>
    </row>
    <row r="305" ht="24" customHeight="1">
      <c r="A305" t="n">
        <v>7</v>
      </c>
      <c r="B305" s="73">
        <f>"WEEK 7     "&amp;TEXT(C306,"ddd d mmm")&amp;"  –  "&amp;TEXT(C306+6,"ddd d mmm yyyy")</f>
        <v/>
      </c>
      <c r="S305" s="74">
        <f>IF(TODAY()&lt;C306,"FUTURE",IF(TODAY()&gt;C306+6,"PAST","THIS WEEK"))</f>
        <v/>
      </c>
      <c r="W305" s="75">
        <f>IF(AND(Engine!$B$8=$AC$3,Engine!$B$9=$A305),"◀ ACTIVE WEEK","")</f>
        <v/>
      </c>
      <c r="AA305" s="76" t="n"/>
      <c r="AB305" s="77" t="inlineStr">
        <is>
          <t>◀ Prev</t>
        </is>
      </c>
      <c r="AC305" s="77" t="inlineStr">
        <is>
          <t>Next ▶</t>
        </is>
      </c>
    </row>
    <row r="306" ht="18" customHeight="1">
      <c r="A306" t="n">
        <v>7</v>
      </c>
      <c r="B306" s="78" t="inlineStr">
        <is>
          <t>DUTY</t>
        </is>
      </c>
      <c r="C306" s="79">
        <f>$AC$2+7*($A306-1)</f>
        <v/>
      </c>
      <c r="D306" s="80" t="n"/>
      <c r="E306" s="80" t="n"/>
      <c r="F306" s="81" t="n"/>
      <c r="G306" s="79">
        <f>C306+1</f>
        <v/>
      </c>
      <c r="H306" s="80" t="n"/>
      <c r="I306" s="80" t="n"/>
      <c r="J306" s="81" t="n"/>
      <c r="K306" s="79">
        <f>C306+2</f>
        <v/>
      </c>
      <c r="L306" s="80" t="n"/>
      <c r="M306" s="80" t="n"/>
      <c r="N306" s="81" t="n"/>
      <c r="O306" s="79">
        <f>C306+3</f>
        <v/>
      </c>
      <c r="P306" s="80" t="n"/>
      <c r="Q306" s="80" t="n"/>
      <c r="R306" s="81" t="n"/>
      <c r="S306" s="79">
        <f>C306+4</f>
        <v/>
      </c>
      <c r="T306" s="80" t="n"/>
      <c r="U306" s="80" t="n"/>
      <c r="V306" s="81" t="n"/>
      <c r="W306" s="82">
        <f>C306+5</f>
        <v/>
      </c>
      <c r="X306" s="83" t="n"/>
      <c r="Y306" s="82">
        <f>C306+6</f>
        <v/>
      </c>
      <c r="Z306" s="83" t="n"/>
      <c r="AB306" s="72" t="inlineStr">
        <is>
          <t>Gaps</t>
        </is>
      </c>
      <c r="AC306" s="72" t="inlineStr">
        <is>
          <t>Cover</t>
        </is>
      </c>
    </row>
    <row r="307" ht="14" customHeight="1">
      <c r="A307" t="n">
        <v>7</v>
      </c>
      <c r="B307" s="84" t="inlineStr">
        <is>
          <t>(from Setup)</t>
        </is>
      </c>
      <c r="C307" s="85" t="inlineStr">
        <is>
          <t>1</t>
        </is>
      </c>
      <c r="D307" s="85" t="inlineStr">
        <is>
          <t>2</t>
        </is>
      </c>
      <c r="E307" s="85" t="inlineStr">
        <is>
          <t>3</t>
        </is>
      </c>
      <c r="F307" s="85" t="inlineStr">
        <is>
          <t>Notes</t>
        </is>
      </c>
      <c r="G307" s="85" t="inlineStr">
        <is>
          <t>1</t>
        </is>
      </c>
      <c r="H307" s="85" t="inlineStr">
        <is>
          <t>2</t>
        </is>
      </c>
      <c r="I307" s="85" t="inlineStr">
        <is>
          <t>3</t>
        </is>
      </c>
      <c r="J307" s="85" t="inlineStr">
        <is>
          <t>Notes</t>
        </is>
      </c>
      <c r="K307" s="85" t="inlineStr">
        <is>
          <t>1</t>
        </is>
      </c>
      <c r="L307" s="85" t="inlineStr">
        <is>
          <t>2</t>
        </is>
      </c>
      <c r="M307" s="85" t="inlineStr">
        <is>
          <t>3</t>
        </is>
      </c>
      <c r="N307" s="85" t="inlineStr">
        <is>
          <t>Notes</t>
        </is>
      </c>
      <c r="O307" s="85" t="inlineStr">
        <is>
          <t>1</t>
        </is>
      </c>
      <c r="P307" s="85" t="inlineStr">
        <is>
          <t>2</t>
        </is>
      </c>
      <c r="Q307" s="85" t="inlineStr">
        <is>
          <t>3</t>
        </is>
      </c>
      <c r="R307" s="85" t="inlineStr">
        <is>
          <t>Notes</t>
        </is>
      </c>
      <c r="S307" s="85" t="inlineStr">
        <is>
          <t>1</t>
        </is>
      </c>
      <c r="T307" s="85" t="inlineStr">
        <is>
          <t>2</t>
        </is>
      </c>
      <c r="U307" s="85" t="inlineStr">
        <is>
          <t>3</t>
        </is>
      </c>
      <c r="V307" s="85" t="inlineStr">
        <is>
          <t>Notes</t>
        </is>
      </c>
      <c r="W307" s="85" t="inlineStr">
        <is>
          <t>Cover</t>
        </is>
      </c>
      <c r="X307" s="85" t="inlineStr">
        <is>
          <t>Notes</t>
        </is>
      </c>
      <c r="Y307" s="85" t="inlineStr">
        <is>
          <t>Cover</t>
        </is>
      </c>
      <c r="Z307" s="85" t="inlineStr">
        <is>
          <t>Notes</t>
        </is>
      </c>
      <c r="AB307" s="86" t="inlineStr">
        <is>
          <t>weekdays short</t>
        </is>
      </c>
      <c r="AC307" s="87" t="inlineStr"/>
    </row>
    <row r="308" ht="17" customHeight="1">
      <c r="A308" t="n">
        <v>7</v>
      </c>
      <c r="B308" s="24">
        <f>IF(Setup!$K$6="","",Setup!$K$6)</f>
        <v/>
      </c>
      <c r="C308" s="88" t="n"/>
      <c r="D308" s="88" t="n"/>
      <c r="E308" s="88" t="n"/>
      <c r="F308" s="89" t="n"/>
      <c r="G308" s="88" t="n"/>
      <c r="H308" s="88" t="n"/>
      <c r="I308" s="88" t="n"/>
      <c r="J308" s="89" t="n"/>
      <c r="K308" s="88" t="n"/>
      <c r="L308" s="88" t="n"/>
      <c r="M308" s="88" t="n"/>
      <c r="N308" s="89" t="n"/>
      <c r="O308" s="88" t="n"/>
      <c r="P308" s="88" t="n"/>
      <c r="Q308" s="88" t="n"/>
      <c r="R308" s="89" t="n"/>
      <c r="S308" s="88" t="n"/>
      <c r="T308" s="88" t="n"/>
      <c r="U308" s="88" t="n"/>
      <c r="V308" s="89" t="n"/>
      <c r="W308" s="88" t="n"/>
      <c r="X308" s="89" t="n"/>
      <c r="Y308" s="88" t="n"/>
      <c r="Z308" s="89" t="n"/>
      <c r="AB308" s="25">
        <f>IF($B308="","",(COUNTIF(C308:E308,"?*")&lt;N(INDEX(Setup!$L$6:$L$23,1)))+(COUNTIF(G308:I308,"?*")&lt;N(INDEX(Setup!$L$6:$L$23,1)))+(COUNTIF(K308:M308,"?*")&lt;N(INDEX(Setup!$L$6:$L$23,1)))+(COUNTIF(O308:Q308,"?*")&lt;N(INDEX(Setup!$L$6:$L$23,1)))+(COUNTIF(S308:U308,"?*")&lt;N(INDEX(Setup!$L$6:$L$23,1)))+((W308="")*(INDEX(Setup!$M$6:$M$23,1)="Y"))+((Y308="")*(INDEX(Setup!$M$6:$M$23,1)="Y")))</f>
        <v/>
      </c>
      <c r="AC308" s="90">
        <f>IF($B308="","",IF(AB308=0,"✓ covered","⚠ "&amp;AB308&amp;IF(AB308=1," gap"," gaps")))</f>
        <v/>
      </c>
    </row>
    <row r="309" ht="17" customHeight="1">
      <c r="A309" t="n">
        <v>7</v>
      </c>
      <c r="B309" s="29">
        <f>IF(Setup!$K$7="","",Setup!$K$7)</f>
        <v/>
      </c>
      <c r="C309" s="88" t="n"/>
      <c r="D309" s="88" t="n"/>
      <c r="E309" s="88" t="n"/>
      <c r="F309" s="89" t="n"/>
      <c r="G309" s="88" t="n"/>
      <c r="H309" s="88" t="n"/>
      <c r="I309" s="88" t="n"/>
      <c r="J309" s="89" t="n"/>
      <c r="K309" s="88" t="n"/>
      <c r="L309" s="88" t="n"/>
      <c r="M309" s="88" t="n"/>
      <c r="N309" s="89" t="n"/>
      <c r="O309" s="88" t="n"/>
      <c r="P309" s="88" t="n"/>
      <c r="Q309" s="88" t="n"/>
      <c r="R309" s="89" t="n"/>
      <c r="S309" s="88" t="n"/>
      <c r="T309" s="88" t="n"/>
      <c r="U309" s="88" t="n"/>
      <c r="V309" s="89" t="n"/>
      <c r="W309" s="88" t="n"/>
      <c r="X309" s="89" t="n"/>
      <c r="Y309" s="88" t="n"/>
      <c r="Z309" s="89" t="n"/>
      <c r="AB309" s="30">
        <f>IF($B309="","",(COUNTIF(C309:E309,"?*")&lt;N(INDEX(Setup!$L$6:$L$23,2)))+(COUNTIF(G309:I309,"?*")&lt;N(INDEX(Setup!$L$6:$L$23,2)))+(COUNTIF(K309:M309,"?*")&lt;N(INDEX(Setup!$L$6:$L$23,2)))+(COUNTIF(O309:Q309,"?*")&lt;N(INDEX(Setup!$L$6:$L$23,2)))+(COUNTIF(S309:U309,"?*")&lt;N(INDEX(Setup!$L$6:$L$23,2)))+((W309="")*(INDEX(Setup!$M$6:$M$23,2)="Y"))+((Y309="")*(INDEX(Setup!$M$6:$M$23,2)="Y")))</f>
        <v/>
      </c>
      <c r="AC309" s="91">
        <f>IF($B309="","",IF(AB309=0,"✓ covered","⚠ "&amp;AB309&amp;IF(AB309=1," gap"," gaps")))</f>
        <v/>
      </c>
    </row>
    <row r="310" ht="17" customHeight="1">
      <c r="A310" t="n">
        <v>7</v>
      </c>
      <c r="B310" s="24">
        <f>IF(Setup!$K$8="","",Setup!$K$8)</f>
        <v/>
      </c>
      <c r="C310" s="88" t="n"/>
      <c r="D310" s="88" t="n"/>
      <c r="E310" s="88" t="n"/>
      <c r="F310" s="89" t="n"/>
      <c r="G310" s="88" t="n"/>
      <c r="H310" s="88" t="n"/>
      <c r="I310" s="88" t="n"/>
      <c r="J310" s="89" t="n"/>
      <c r="K310" s="88" t="n"/>
      <c r="L310" s="88" t="n"/>
      <c r="M310" s="88" t="n"/>
      <c r="N310" s="89" t="n"/>
      <c r="O310" s="88" t="n"/>
      <c r="P310" s="88" t="n"/>
      <c r="Q310" s="88" t="n"/>
      <c r="R310" s="89" t="n"/>
      <c r="S310" s="88" t="n"/>
      <c r="T310" s="88" t="n"/>
      <c r="U310" s="88" t="n"/>
      <c r="V310" s="89" t="n"/>
      <c r="W310" s="88" t="n"/>
      <c r="X310" s="89" t="n"/>
      <c r="Y310" s="88" t="n"/>
      <c r="Z310" s="89" t="n"/>
      <c r="AB310" s="25">
        <f>IF($B310="","",(COUNTIF(C310:E310,"?*")&lt;N(INDEX(Setup!$L$6:$L$23,3)))+(COUNTIF(G310:I310,"?*")&lt;N(INDEX(Setup!$L$6:$L$23,3)))+(COUNTIF(K310:M310,"?*")&lt;N(INDEX(Setup!$L$6:$L$23,3)))+(COUNTIF(O310:Q310,"?*")&lt;N(INDEX(Setup!$L$6:$L$23,3)))+(COUNTIF(S310:U310,"?*")&lt;N(INDEX(Setup!$L$6:$L$23,3)))+((W310="")*(INDEX(Setup!$M$6:$M$23,3)="Y"))+((Y310="")*(INDEX(Setup!$M$6:$M$23,3)="Y")))</f>
        <v/>
      </c>
      <c r="AC310" s="90">
        <f>IF($B310="","",IF(AB310=0,"✓ covered","⚠ "&amp;AB310&amp;IF(AB310=1," gap"," gaps")))</f>
        <v/>
      </c>
    </row>
    <row r="311" ht="17" customHeight="1">
      <c r="A311" t="n">
        <v>7</v>
      </c>
      <c r="B311" s="29">
        <f>IF(Setup!$K$9="","",Setup!$K$9)</f>
        <v/>
      </c>
      <c r="C311" s="88" t="n"/>
      <c r="D311" s="88" t="n"/>
      <c r="E311" s="88" t="n"/>
      <c r="F311" s="89" t="n"/>
      <c r="G311" s="88" t="n"/>
      <c r="H311" s="88" t="n"/>
      <c r="I311" s="88" t="n"/>
      <c r="J311" s="89" t="n"/>
      <c r="K311" s="88" t="n"/>
      <c r="L311" s="88" t="n"/>
      <c r="M311" s="88" t="n"/>
      <c r="N311" s="89" t="n"/>
      <c r="O311" s="88" t="n"/>
      <c r="P311" s="88" t="n"/>
      <c r="Q311" s="88" t="n"/>
      <c r="R311" s="89" t="n"/>
      <c r="S311" s="88" t="n"/>
      <c r="T311" s="88" t="n"/>
      <c r="U311" s="88" t="n"/>
      <c r="V311" s="89" t="n"/>
      <c r="W311" s="88" t="n"/>
      <c r="X311" s="89" t="n"/>
      <c r="Y311" s="88" t="n"/>
      <c r="Z311" s="89" t="n"/>
      <c r="AB311" s="30">
        <f>IF($B311="","",(COUNTIF(C311:E311,"?*")&lt;N(INDEX(Setup!$L$6:$L$23,4)))+(COUNTIF(G311:I311,"?*")&lt;N(INDEX(Setup!$L$6:$L$23,4)))+(COUNTIF(K311:M311,"?*")&lt;N(INDEX(Setup!$L$6:$L$23,4)))+(COUNTIF(O311:Q311,"?*")&lt;N(INDEX(Setup!$L$6:$L$23,4)))+(COUNTIF(S311:U311,"?*")&lt;N(INDEX(Setup!$L$6:$L$23,4)))+((W311="")*(INDEX(Setup!$M$6:$M$23,4)="Y"))+((Y311="")*(INDEX(Setup!$M$6:$M$23,4)="Y")))</f>
        <v/>
      </c>
      <c r="AC311" s="91">
        <f>IF($B311="","",IF(AB311=0,"✓ covered","⚠ "&amp;AB311&amp;IF(AB311=1," gap"," gaps")))</f>
        <v/>
      </c>
    </row>
    <row r="312" ht="17" customHeight="1">
      <c r="A312" t="n">
        <v>7</v>
      </c>
      <c r="B312" s="24">
        <f>IF(Setup!$K$10="","",Setup!$K$10)</f>
        <v/>
      </c>
      <c r="C312" s="88" t="n"/>
      <c r="D312" s="88" t="n"/>
      <c r="E312" s="88" t="n"/>
      <c r="F312" s="89" t="n"/>
      <c r="G312" s="88" t="n"/>
      <c r="H312" s="88" t="n"/>
      <c r="I312" s="88" t="n"/>
      <c r="J312" s="89" t="n"/>
      <c r="K312" s="88" t="n"/>
      <c r="L312" s="88" t="n"/>
      <c r="M312" s="88" t="n"/>
      <c r="N312" s="89" t="n"/>
      <c r="O312" s="88" t="n"/>
      <c r="P312" s="88" t="n"/>
      <c r="Q312" s="88" t="n"/>
      <c r="R312" s="89" t="n"/>
      <c r="S312" s="88" t="n"/>
      <c r="T312" s="88" t="n"/>
      <c r="U312" s="88" t="n"/>
      <c r="V312" s="89" t="n"/>
      <c r="W312" s="88" t="n"/>
      <c r="X312" s="89" t="n"/>
      <c r="Y312" s="88" t="n"/>
      <c r="Z312" s="89" t="n"/>
      <c r="AB312" s="25">
        <f>IF($B312="","",(COUNTIF(C312:E312,"?*")&lt;N(INDEX(Setup!$L$6:$L$23,5)))+(COUNTIF(G312:I312,"?*")&lt;N(INDEX(Setup!$L$6:$L$23,5)))+(COUNTIF(K312:M312,"?*")&lt;N(INDEX(Setup!$L$6:$L$23,5)))+(COUNTIF(O312:Q312,"?*")&lt;N(INDEX(Setup!$L$6:$L$23,5)))+(COUNTIF(S312:U312,"?*")&lt;N(INDEX(Setup!$L$6:$L$23,5)))+((W312="")*(INDEX(Setup!$M$6:$M$23,5)="Y"))+((Y312="")*(INDEX(Setup!$M$6:$M$23,5)="Y")))</f>
        <v/>
      </c>
      <c r="AC312" s="90">
        <f>IF($B312="","",IF(AB312=0,"✓ covered","⚠ "&amp;AB312&amp;IF(AB312=1," gap"," gaps")))</f>
        <v/>
      </c>
    </row>
    <row r="313" ht="17" customHeight="1">
      <c r="A313" t="n">
        <v>7</v>
      </c>
      <c r="B313" s="29">
        <f>IF(Setup!$K$11="","",Setup!$K$11)</f>
        <v/>
      </c>
      <c r="C313" s="88" t="n"/>
      <c r="D313" s="88" t="n"/>
      <c r="E313" s="88" t="n"/>
      <c r="F313" s="89" t="n"/>
      <c r="G313" s="88" t="n"/>
      <c r="H313" s="88" t="n"/>
      <c r="I313" s="88" t="n"/>
      <c r="J313" s="89" t="n"/>
      <c r="K313" s="88" t="n"/>
      <c r="L313" s="88" t="n"/>
      <c r="M313" s="88" t="n"/>
      <c r="N313" s="89" t="n"/>
      <c r="O313" s="88" t="n"/>
      <c r="P313" s="88" t="n"/>
      <c r="Q313" s="88" t="n"/>
      <c r="R313" s="89" t="n"/>
      <c r="S313" s="88" t="n"/>
      <c r="T313" s="88" t="n"/>
      <c r="U313" s="88" t="n"/>
      <c r="V313" s="89" t="n"/>
      <c r="W313" s="88" t="n"/>
      <c r="X313" s="89" t="n"/>
      <c r="Y313" s="88" t="n"/>
      <c r="Z313" s="89" t="n"/>
      <c r="AB313" s="30">
        <f>IF($B313="","",(COUNTIF(C313:E313,"?*")&lt;N(INDEX(Setup!$L$6:$L$23,6)))+(COUNTIF(G313:I313,"?*")&lt;N(INDEX(Setup!$L$6:$L$23,6)))+(COUNTIF(K313:M313,"?*")&lt;N(INDEX(Setup!$L$6:$L$23,6)))+(COUNTIF(O313:Q313,"?*")&lt;N(INDEX(Setup!$L$6:$L$23,6)))+(COUNTIF(S313:U313,"?*")&lt;N(INDEX(Setup!$L$6:$L$23,6)))+((W313="")*(INDEX(Setup!$M$6:$M$23,6)="Y"))+((Y313="")*(INDEX(Setup!$M$6:$M$23,6)="Y")))</f>
        <v/>
      </c>
      <c r="AC313" s="91">
        <f>IF($B313="","",IF(AB313=0,"✓ covered","⚠ "&amp;AB313&amp;IF(AB313=1," gap"," gaps")))</f>
        <v/>
      </c>
    </row>
    <row r="314" ht="17" customHeight="1">
      <c r="A314" t="n">
        <v>7</v>
      </c>
      <c r="B314" s="24">
        <f>IF(Setup!$K$12="","",Setup!$K$12)</f>
        <v/>
      </c>
      <c r="C314" s="88" t="n"/>
      <c r="D314" s="88" t="n"/>
      <c r="E314" s="88" t="n"/>
      <c r="F314" s="89" t="n"/>
      <c r="G314" s="88" t="n"/>
      <c r="H314" s="88" t="n"/>
      <c r="I314" s="88" t="n"/>
      <c r="J314" s="89" t="n"/>
      <c r="K314" s="88" t="n"/>
      <c r="L314" s="88" t="n"/>
      <c r="M314" s="88" t="n"/>
      <c r="N314" s="89" t="n"/>
      <c r="O314" s="88" t="n"/>
      <c r="P314" s="88" t="n"/>
      <c r="Q314" s="88" t="n"/>
      <c r="R314" s="89" t="n"/>
      <c r="S314" s="88" t="n"/>
      <c r="T314" s="88" t="n"/>
      <c r="U314" s="88" t="n"/>
      <c r="V314" s="89" t="n"/>
      <c r="W314" s="88" t="n"/>
      <c r="X314" s="89" t="n"/>
      <c r="Y314" s="88" t="n"/>
      <c r="Z314" s="89" t="n"/>
      <c r="AB314" s="25">
        <f>IF($B314="","",(COUNTIF(C314:E314,"?*")&lt;N(INDEX(Setup!$L$6:$L$23,7)))+(COUNTIF(G314:I314,"?*")&lt;N(INDEX(Setup!$L$6:$L$23,7)))+(COUNTIF(K314:M314,"?*")&lt;N(INDEX(Setup!$L$6:$L$23,7)))+(COUNTIF(O314:Q314,"?*")&lt;N(INDEX(Setup!$L$6:$L$23,7)))+(COUNTIF(S314:U314,"?*")&lt;N(INDEX(Setup!$L$6:$L$23,7)))+((W314="")*(INDEX(Setup!$M$6:$M$23,7)="Y"))+((Y314="")*(INDEX(Setup!$M$6:$M$23,7)="Y")))</f>
        <v/>
      </c>
      <c r="AC314" s="90">
        <f>IF($B314="","",IF(AB314=0,"✓ covered","⚠ "&amp;AB314&amp;IF(AB314=1," gap"," gaps")))</f>
        <v/>
      </c>
    </row>
    <row r="315" ht="17" customHeight="1">
      <c r="A315" t="n">
        <v>7</v>
      </c>
      <c r="B315" s="29">
        <f>IF(Setup!$K$13="","",Setup!$K$13)</f>
        <v/>
      </c>
      <c r="C315" s="88" t="n"/>
      <c r="D315" s="88" t="n"/>
      <c r="E315" s="88" t="n"/>
      <c r="F315" s="89" t="n"/>
      <c r="G315" s="88" t="n"/>
      <c r="H315" s="88" t="n"/>
      <c r="I315" s="88" t="n"/>
      <c r="J315" s="89" t="n"/>
      <c r="K315" s="88" t="n"/>
      <c r="L315" s="88" t="n"/>
      <c r="M315" s="88" t="n"/>
      <c r="N315" s="89" t="n"/>
      <c r="O315" s="88" t="n"/>
      <c r="P315" s="88" t="n"/>
      <c r="Q315" s="88" t="n"/>
      <c r="R315" s="89" t="n"/>
      <c r="S315" s="88" t="n"/>
      <c r="T315" s="88" t="n"/>
      <c r="U315" s="88" t="n"/>
      <c r="V315" s="89" t="n"/>
      <c r="W315" s="88" t="n"/>
      <c r="X315" s="89" t="n"/>
      <c r="Y315" s="88" t="n"/>
      <c r="Z315" s="89" t="n"/>
      <c r="AB315" s="30">
        <f>IF($B315="","",(COUNTIF(C315:E315,"?*")&lt;N(INDEX(Setup!$L$6:$L$23,8)))+(COUNTIF(G315:I315,"?*")&lt;N(INDEX(Setup!$L$6:$L$23,8)))+(COUNTIF(K315:M315,"?*")&lt;N(INDEX(Setup!$L$6:$L$23,8)))+(COUNTIF(O315:Q315,"?*")&lt;N(INDEX(Setup!$L$6:$L$23,8)))+(COUNTIF(S315:U315,"?*")&lt;N(INDEX(Setup!$L$6:$L$23,8)))+((W315="")*(INDEX(Setup!$M$6:$M$23,8)="Y"))+((Y315="")*(INDEX(Setup!$M$6:$M$23,8)="Y")))</f>
        <v/>
      </c>
      <c r="AC315" s="91">
        <f>IF($B315="","",IF(AB315=0,"✓ covered","⚠ "&amp;AB315&amp;IF(AB315=1," gap"," gaps")))</f>
        <v/>
      </c>
    </row>
    <row r="316" ht="17" customHeight="1">
      <c r="A316" t="n">
        <v>7</v>
      </c>
      <c r="B316" s="24">
        <f>IF(Setup!$K$14="","",Setup!$K$14)</f>
        <v/>
      </c>
      <c r="C316" s="88" t="n"/>
      <c r="D316" s="88" t="n"/>
      <c r="E316" s="88" t="n"/>
      <c r="F316" s="89" t="n"/>
      <c r="G316" s="88" t="n"/>
      <c r="H316" s="88" t="n"/>
      <c r="I316" s="88" t="n"/>
      <c r="J316" s="89" t="n"/>
      <c r="K316" s="88" t="n"/>
      <c r="L316" s="88" t="n"/>
      <c r="M316" s="88" t="n"/>
      <c r="N316" s="89" t="n"/>
      <c r="O316" s="88" t="n"/>
      <c r="P316" s="88" t="n"/>
      <c r="Q316" s="88" t="n"/>
      <c r="R316" s="89" t="n"/>
      <c r="S316" s="88" t="n"/>
      <c r="T316" s="88" t="n"/>
      <c r="U316" s="88" t="n"/>
      <c r="V316" s="89" t="n"/>
      <c r="W316" s="88" t="n"/>
      <c r="X316" s="89" t="n"/>
      <c r="Y316" s="88" t="n"/>
      <c r="Z316" s="89" t="n"/>
      <c r="AB316" s="25">
        <f>IF($B316="","",(COUNTIF(C316:E316,"?*")&lt;N(INDEX(Setup!$L$6:$L$23,9)))+(COUNTIF(G316:I316,"?*")&lt;N(INDEX(Setup!$L$6:$L$23,9)))+(COUNTIF(K316:M316,"?*")&lt;N(INDEX(Setup!$L$6:$L$23,9)))+(COUNTIF(O316:Q316,"?*")&lt;N(INDEX(Setup!$L$6:$L$23,9)))+(COUNTIF(S316:U316,"?*")&lt;N(INDEX(Setup!$L$6:$L$23,9)))+((W316="")*(INDEX(Setup!$M$6:$M$23,9)="Y"))+((Y316="")*(INDEX(Setup!$M$6:$M$23,9)="Y")))</f>
        <v/>
      </c>
      <c r="AC316" s="90">
        <f>IF($B316="","",IF(AB316=0,"✓ covered","⚠ "&amp;AB316&amp;IF(AB316=1," gap"," gaps")))</f>
        <v/>
      </c>
    </row>
    <row r="317" ht="17" customHeight="1">
      <c r="A317" t="n">
        <v>7</v>
      </c>
      <c r="B317" s="29">
        <f>IF(Setup!$K$15="","",Setup!$K$15)</f>
        <v/>
      </c>
      <c r="C317" s="88" t="n"/>
      <c r="D317" s="88" t="n"/>
      <c r="E317" s="88" t="n"/>
      <c r="F317" s="89" t="n"/>
      <c r="G317" s="88" t="n"/>
      <c r="H317" s="88" t="n"/>
      <c r="I317" s="88" t="n"/>
      <c r="J317" s="89" t="n"/>
      <c r="K317" s="88" t="n"/>
      <c r="L317" s="88" t="n"/>
      <c r="M317" s="88" t="n"/>
      <c r="N317" s="89" t="n"/>
      <c r="O317" s="88" t="n"/>
      <c r="P317" s="88" t="n"/>
      <c r="Q317" s="88" t="n"/>
      <c r="R317" s="89" t="n"/>
      <c r="S317" s="88" t="n"/>
      <c r="T317" s="88" t="n"/>
      <c r="U317" s="88" t="n"/>
      <c r="V317" s="89" t="n"/>
      <c r="W317" s="88" t="n"/>
      <c r="X317" s="89" t="n"/>
      <c r="Y317" s="88" t="n"/>
      <c r="Z317" s="89" t="n"/>
      <c r="AB317" s="30">
        <f>IF($B317="","",(COUNTIF(C317:E317,"?*")&lt;N(INDEX(Setup!$L$6:$L$23,10)))+(COUNTIF(G317:I317,"?*")&lt;N(INDEX(Setup!$L$6:$L$23,10)))+(COUNTIF(K317:M317,"?*")&lt;N(INDEX(Setup!$L$6:$L$23,10)))+(COUNTIF(O317:Q317,"?*")&lt;N(INDEX(Setup!$L$6:$L$23,10)))+(COUNTIF(S317:U317,"?*")&lt;N(INDEX(Setup!$L$6:$L$23,10)))+((W317="")*(INDEX(Setup!$M$6:$M$23,10)="Y"))+((Y317="")*(INDEX(Setup!$M$6:$M$23,10)="Y")))</f>
        <v/>
      </c>
      <c r="AC317" s="91">
        <f>IF($B317="","",IF(AB317=0,"✓ covered","⚠ "&amp;AB317&amp;IF(AB317=1," gap"," gaps")))</f>
        <v/>
      </c>
    </row>
    <row r="318" ht="17" customHeight="1">
      <c r="A318" t="n">
        <v>7</v>
      </c>
      <c r="B318" s="24">
        <f>IF(Setup!$K$16="","",Setup!$K$16)</f>
        <v/>
      </c>
      <c r="C318" s="88" t="n"/>
      <c r="D318" s="88" t="n"/>
      <c r="E318" s="88" t="n"/>
      <c r="F318" s="89" t="n"/>
      <c r="G318" s="88" t="n"/>
      <c r="H318" s="88" t="n"/>
      <c r="I318" s="88" t="n"/>
      <c r="J318" s="89" t="n"/>
      <c r="K318" s="88" t="n"/>
      <c r="L318" s="88" t="n"/>
      <c r="M318" s="88" t="n"/>
      <c r="N318" s="89" t="n"/>
      <c r="O318" s="88" t="n"/>
      <c r="P318" s="88" t="n"/>
      <c r="Q318" s="88" t="n"/>
      <c r="R318" s="89" t="n"/>
      <c r="S318" s="88" t="n"/>
      <c r="T318" s="88" t="n"/>
      <c r="U318" s="88" t="n"/>
      <c r="V318" s="89" t="n"/>
      <c r="W318" s="88" t="n"/>
      <c r="X318" s="89" t="n"/>
      <c r="Y318" s="88" t="n"/>
      <c r="Z318" s="89" t="n"/>
      <c r="AB318" s="25">
        <f>IF($B318="","",(COUNTIF(C318:E318,"?*")&lt;N(INDEX(Setup!$L$6:$L$23,11)))+(COUNTIF(G318:I318,"?*")&lt;N(INDEX(Setup!$L$6:$L$23,11)))+(COUNTIF(K318:M318,"?*")&lt;N(INDEX(Setup!$L$6:$L$23,11)))+(COUNTIF(O318:Q318,"?*")&lt;N(INDEX(Setup!$L$6:$L$23,11)))+(COUNTIF(S318:U318,"?*")&lt;N(INDEX(Setup!$L$6:$L$23,11)))+((W318="")*(INDEX(Setup!$M$6:$M$23,11)="Y"))+((Y318="")*(INDEX(Setup!$M$6:$M$23,11)="Y")))</f>
        <v/>
      </c>
      <c r="AC318" s="90">
        <f>IF($B318="","",IF(AB318=0,"✓ covered","⚠ "&amp;AB318&amp;IF(AB318=1," gap"," gaps")))</f>
        <v/>
      </c>
    </row>
    <row r="319" ht="17" customHeight="1">
      <c r="A319" t="n">
        <v>7</v>
      </c>
      <c r="B319" s="29">
        <f>IF(Setup!$K$17="","",Setup!$K$17)</f>
        <v/>
      </c>
      <c r="C319" s="88" t="n"/>
      <c r="D319" s="88" t="n"/>
      <c r="E319" s="88" t="n"/>
      <c r="F319" s="89" t="n"/>
      <c r="G319" s="88" t="n"/>
      <c r="H319" s="88" t="n"/>
      <c r="I319" s="88" t="n"/>
      <c r="J319" s="89" t="n"/>
      <c r="K319" s="88" t="n"/>
      <c r="L319" s="88" t="n"/>
      <c r="M319" s="88" t="n"/>
      <c r="N319" s="89" t="n"/>
      <c r="O319" s="88" t="n"/>
      <c r="P319" s="88" t="n"/>
      <c r="Q319" s="88" t="n"/>
      <c r="R319" s="89" t="n"/>
      <c r="S319" s="88" t="n"/>
      <c r="T319" s="88" t="n"/>
      <c r="U319" s="88" t="n"/>
      <c r="V319" s="89" t="n"/>
      <c r="W319" s="88" t="n"/>
      <c r="X319" s="89" t="n"/>
      <c r="Y319" s="88" t="n"/>
      <c r="Z319" s="89" t="n"/>
      <c r="AB319" s="30">
        <f>IF($B319="","",(COUNTIF(C319:E319,"?*")&lt;N(INDEX(Setup!$L$6:$L$23,12)))+(COUNTIF(G319:I319,"?*")&lt;N(INDEX(Setup!$L$6:$L$23,12)))+(COUNTIF(K319:M319,"?*")&lt;N(INDEX(Setup!$L$6:$L$23,12)))+(COUNTIF(O319:Q319,"?*")&lt;N(INDEX(Setup!$L$6:$L$23,12)))+(COUNTIF(S319:U319,"?*")&lt;N(INDEX(Setup!$L$6:$L$23,12)))+((W319="")*(INDEX(Setup!$M$6:$M$23,12)="Y"))+((Y319="")*(INDEX(Setup!$M$6:$M$23,12)="Y")))</f>
        <v/>
      </c>
      <c r="AC319" s="91">
        <f>IF($B319="","",IF(AB319=0,"✓ covered","⚠ "&amp;AB319&amp;IF(AB319=1," gap"," gaps")))</f>
        <v/>
      </c>
    </row>
    <row r="320" ht="17" customHeight="1">
      <c r="A320" t="n">
        <v>7</v>
      </c>
      <c r="B320" s="24">
        <f>IF(Setup!$K$18="","",Setup!$K$18)</f>
        <v/>
      </c>
      <c r="C320" s="88" t="n"/>
      <c r="D320" s="88" t="n"/>
      <c r="E320" s="88" t="n"/>
      <c r="F320" s="89" t="n"/>
      <c r="G320" s="88" t="n"/>
      <c r="H320" s="88" t="n"/>
      <c r="I320" s="88" t="n"/>
      <c r="J320" s="89" t="n"/>
      <c r="K320" s="88" t="n"/>
      <c r="L320" s="88" t="n"/>
      <c r="M320" s="88" t="n"/>
      <c r="N320" s="89" t="n"/>
      <c r="O320" s="88" t="n"/>
      <c r="P320" s="88" t="n"/>
      <c r="Q320" s="88" t="n"/>
      <c r="R320" s="89" t="n"/>
      <c r="S320" s="88" t="n"/>
      <c r="T320" s="88" t="n"/>
      <c r="U320" s="88" t="n"/>
      <c r="V320" s="89" t="n"/>
      <c r="W320" s="88" t="n"/>
      <c r="X320" s="89" t="n"/>
      <c r="Y320" s="88" t="n"/>
      <c r="Z320" s="89" t="n"/>
      <c r="AB320" s="25">
        <f>IF($B320="","",(COUNTIF(C320:E320,"?*")&lt;N(INDEX(Setup!$L$6:$L$23,13)))+(COUNTIF(G320:I320,"?*")&lt;N(INDEX(Setup!$L$6:$L$23,13)))+(COUNTIF(K320:M320,"?*")&lt;N(INDEX(Setup!$L$6:$L$23,13)))+(COUNTIF(O320:Q320,"?*")&lt;N(INDEX(Setup!$L$6:$L$23,13)))+(COUNTIF(S320:U320,"?*")&lt;N(INDEX(Setup!$L$6:$L$23,13)))+((W320="")*(INDEX(Setup!$M$6:$M$23,13)="Y"))+((Y320="")*(INDEX(Setup!$M$6:$M$23,13)="Y")))</f>
        <v/>
      </c>
      <c r="AC320" s="90">
        <f>IF($B320="","",IF(AB320=0,"✓ covered","⚠ "&amp;AB320&amp;IF(AB320=1," gap"," gaps")))</f>
        <v/>
      </c>
    </row>
    <row r="321" ht="17" customHeight="1">
      <c r="A321" t="n">
        <v>7</v>
      </c>
      <c r="B321" s="29">
        <f>IF(Setup!$K$19="","",Setup!$K$19)</f>
        <v/>
      </c>
      <c r="C321" s="88" t="n"/>
      <c r="D321" s="88" t="n"/>
      <c r="E321" s="88" t="n"/>
      <c r="F321" s="89" t="n"/>
      <c r="G321" s="88" t="n"/>
      <c r="H321" s="88" t="n"/>
      <c r="I321" s="88" t="n"/>
      <c r="J321" s="89" t="n"/>
      <c r="K321" s="88" t="n"/>
      <c r="L321" s="88" t="n"/>
      <c r="M321" s="88" t="n"/>
      <c r="N321" s="89" t="n"/>
      <c r="O321" s="88" t="n"/>
      <c r="P321" s="88" t="n"/>
      <c r="Q321" s="88" t="n"/>
      <c r="R321" s="89" t="n"/>
      <c r="S321" s="88" t="n"/>
      <c r="T321" s="88" t="n"/>
      <c r="U321" s="88" t="n"/>
      <c r="V321" s="89" t="n"/>
      <c r="W321" s="88" t="n"/>
      <c r="X321" s="89" t="n"/>
      <c r="Y321" s="88" t="n"/>
      <c r="Z321" s="89" t="n"/>
      <c r="AB321" s="30">
        <f>IF($B321="","",(COUNTIF(C321:E321,"?*")&lt;N(INDEX(Setup!$L$6:$L$23,14)))+(COUNTIF(G321:I321,"?*")&lt;N(INDEX(Setup!$L$6:$L$23,14)))+(COUNTIF(K321:M321,"?*")&lt;N(INDEX(Setup!$L$6:$L$23,14)))+(COUNTIF(O321:Q321,"?*")&lt;N(INDEX(Setup!$L$6:$L$23,14)))+(COUNTIF(S321:U321,"?*")&lt;N(INDEX(Setup!$L$6:$L$23,14)))+((W321="")*(INDEX(Setup!$M$6:$M$23,14)="Y"))+((Y321="")*(INDEX(Setup!$M$6:$M$23,14)="Y")))</f>
        <v/>
      </c>
      <c r="AC321" s="91">
        <f>IF($B321="","",IF(AB321=0,"✓ covered","⚠ "&amp;AB321&amp;IF(AB321=1," gap"," gaps")))</f>
        <v/>
      </c>
    </row>
    <row r="322" ht="17" customHeight="1">
      <c r="A322" t="n">
        <v>7</v>
      </c>
      <c r="B322" s="24">
        <f>IF(Setup!$K$20="","",Setup!$K$20)</f>
        <v/>
      </c>
      <c r="C322" s="88" t="n"/>
      <c r="D322" s="88" t="n"/>
      <c r="E322" s="88" t="n"/>
      <c r="F322" s="89" t="n"/>
      <c r="G322" s="88" t="n"/>
      <c r="H322" s="88" t="n"/>
      <c r="I322" s="88" t="n"/>
      <c r="J322" s="89" t="n"/>
      <c r="K322" s="88" t="n"/>
      <c r="L322" s="88" t="n"/>
      <c r="M322" s="88" t="n"/>
      <c r="N322" s="89" t="n"/>
      <c r="O322" s="88" t="n"/>
      <c r="P322" s="88" t="n"/>
      <c r="Q322" s="88" t="n"/>
      <c r="R322" s="89" t="n"/>
      <c r="S322" s="88" t="n"/>
      <c r="T322" s="88" t="n"/>
      <c r="U322" s="88" t="n"/>
      <c r="V322" s="89" t="n"/>
      <c r="W322" s="88" t="n"/>
      <c r="X322" s="89" t="n"/>
      <c r="Y322" s="88" t="n"/>
      <c r="Z322" s="89" t="n"/>
      <c r="AB322" s="25">
        <f>IF($B322="","",(COUNTIF(C322:E322,"?*")&lt;N(INDEX(Setup!$L$6:$L$23,15)))+(COUNTIF(G322:I322,"?*")&lt;N(INDEX(Setup!$L$6:$L$23,15)))+(COUNTIF(K322:M322,"?*")&lt;N(INDEX(Setup!$L$6:$L$23,15)))+(COUNTIF(O322:Q322,"?*")&lt;N(INDEX(Setup!$L$6:$L$23,15)))+(COUNTIF(S322:U322,"?*")&lt;N(INDEX(Setup!$L$6:$L$23,15)))+((W322="")*(INDEX(Setup!$M$6:$M$23,15)="Y"))+((Y322="")*(INDEX(Setup!$M$6:$M$23,15)="Y")))</f>
        <v/>
      </c>
      <c r="AC322" s="90">
        <f>IF($B322="","",IF(AB322=0,"✓ covered","⚠ "&amp;AB322&amp;IF(AB322=1," gap"," gaps")))</f>
        <v/>
      </c>
    </row>
    <row r="323" ht="17" customHeight="1">
      <c r="A323" t="n">
        <v>7</v>
      </c>
      <c r="B323" s="29">
        <f>IF(Setup!$K$21="","",Setup!$K$21)</f>
        <v/>
      </c>
      <c r="C323" s="88" t="n"/>
      <c r="D323" s="88" t="n"/>
      <c r="E323" s="88" t="n"/>
      <c r="F323" s="89" t="n"/>
      <c r="G323" s="88" t="n"/>
      <c r="H323" s="88" t="n"/>
      <c r="I323" s="88" t="n"/>
      <c r="J323" s="89" t="n"/>
      <c r="K323" s="88" t="n"/>
      <c r="L323" s="88" t="n"/>
      <c r="M323" s="88" t="n"/>
      <c r="N323" s="89" t="n"/>
      <c r="O323" s="88" t="n"/>
      <c r="P323" s="88" t="n"/>
      <c r="Q323" s="88" t="n"/>
      <c r="R323" s="89" t="n"/>
      <c r="S323" s="88" t="n"/>
      <c r="T323" s="88" t="n"/>
      <c r="U323" s="88" t="n"/>
      <c r="V323" s="89" t="n"/>
      <c r="W323" s="88" t="n"/>
      <c r="X323" s="89" t="n"/>
      <c r="Y323" s="88" t="n"/>
      <c r="Z323" s="89" t="n"/>
      <c r="AB323" s="30">
        <f>IF($B323="","",(COUNTIF(C323:E323,"?*")&lt;N(INDEX(Setup!$L$6:$L$23,16)))+(COUNTIF(G323:I323,"?*")&lt;N(INDEX(Setup!$L$6:$L$23,16)))+(COUNTIF(K323:M323,"?*")&lt;N(INDEX(Setup!$L$6:$L$23,16)))+(COUNTIF(O323:Q323,"?*")&lt;N(INDEX(Setup!$L$6:$L$23,16)))+(COUNTIF(S323:U323,"?*")&lt;N(INDEX(Setup!$L$6:$L$23,16)))+((W323="")*(INDEX(Setup!$M$6:$M$23,16)="Y"))+((Y323="")*(INDEX(Setup!$M$6:$M$23,16)="Y")))</f>
        <v/>
      </c>
      <c r="AC323" s="91">
        <f>IF($B323="","",IF(AB323=0,"✓ covered","⚠ "&amp;AB323&amp;IF(AB323=1," gap"," gaps")))</f>
        <v/>
      </c>
    </row>
    <row r="324" ht="17" customHeight="1">
      <c r="A324" t="n">
        <v>7</v>
      </c>
      <c r="B324" s="24">
        <f>IF(Setup!$K$22="","",Setup!$K$22)</f>
        <v/>
      </c>
      <c r="C324" s="88" t="n"/>
      <c r="D324" s="88" t="n"/>
      <c r="E324" s="88" t="n"/>
      <c r="F324" s="89" t="n"/>
      <c r="G324" s="88" t="n"/>
      <c r="H324" s="88" t="n"/>
      <c r="I324" s="88" t="n"/>
      <c r="J324" s="89" t="n"/>
      <c r="K324" s="88" t="n"/>
      <c r="L324" s="88" t="n"/>
      <c r="M324" s="88" t="n"/>
      <c r="N324" s="89" t="n"/>
      <c r="O324" s="88" t="n"/>
      <c r="P324" s="88" t="n"/>
      <c r="Q324" s="88" t="n"/>
      <c r="R324" s="89" t="n"/>
      <c r="S324" s="88" t="n"/>
      <c r="T324" s="88" t="n"/>
      <c r="U324" s="88" t="n"/>
      <c r="V324" s="89" t="n"/>
      <c r="W324" s="88" t="n"/>
      <c r="X324" s="89" t="n"/>
      <c r="Y324" s="88" t="n"/>
      <c r="Z324" s="89" t="n"/>
      <c r="AB324" s="25">
        <f>IF($B324="","",(COUNTIF(C324:E324,"?*")&lt;N(INDEX(Setup!$L$6:$L$23,17)))+(COUNTIF(G324:I324,"?*")&lt;N(INDEX(Setup!$L$6:$L$23,17)))+(COUNTIF(K324:M324,"?*")&lt;N(INDEX(Setup!$L$6:$L$23,17)))+(COUNTIF(O324:Q324,"?*")&lt;N(INDEX(Setup!$L$6:$L$23,17)))+(COUNTIF(S324:U324,"?*")&lt;N(INDEX(Setup!$L$6:$L$23,17)))+((W324="")*(INDEX(Setup!$M$6:$M$23,17)="Y"))+((Y324="")*(INDEX(Setup!$M$6:$M$23,17)="Y")))</f>
        <v/>
      </c>
      <c r="AC324" s="90">
        <f>IF($B324="","",IF(AB324=0,"✓ covered","⚠ "&amp;AB324&amp;IF(AB324=1," gap"," gaps")))</f>
        <v/>
      </c>
    </row>
    <row r="325" ht="17" customHeight="1">
      <c r="A325" t="n">
        <v>7</v>
      </c>
      <c r="B325" s="29">
        <f>IF(Setup!$K$23="","",Setup!$K$23)</f>
        <v/>
      </c>
      <c r="C325" s="88" t="n"/>
      <c r="D325" s="88" t="n"/>
      <c r="E325" s="88" t="n"/>
      <c r="F325" s="89" t="n"/>
      <c r="G325" s="88" t="n"/>
      <c r="H325" s="88" t="n"/>
      <c r="I325" s="88" t="n"/>
      <c r="J325" s="89" t="n"/>
      <c r="K325" s="88" t="n"/>
      <c r="L325" s="88" t="n"/>
      <c r="M325" s="88" t="n"/>
      <c r="N325" s="89" t="n"/>
      <c r="O325" s="88" t="n"/>
      <c r="P325" s="88" t="n"/>
      <c r="Q325" s="88" t="n"/>
      <c r="R325" s="89" t="n"/>
      <c r="S325" s="88" t="n"/>
      <c r="T325" s="88" t="n"/>
      <c r="U325" s="88" t="n"/>
      <c r="V325" s="89" t="n"/>
      <c r="W325" s="88" t="n"/>
      <c r="X325" s="89" t="n"/>
      <c r="Y325" s="88" t="n"/>
      <c r="Z325" s="89" t="n"/>
      <c r="AB325" s="30">
        <f>IF($B325="","",(COUNTIF(C325:E325,"?*")&lt;N(INDEX(Setup!$L$6:$L$23,18)))+(COUNTIF(G325:I325,"?*")&lt;N(INDEX(Setup!$L$6:$L$23,18)))+(COUNTIF(K325:M325,"?*")&lt;N(INDEX(Setup!$L$6:$L$23,18)))+(COUNTIF(O325:Q325,"?*")&lt;N(INDEX(Setup!$L$6:$L$23,18)))+(COUNTIF(S325:U325,"?*")&lt;N(INDEX(Setup!$L$6:$L$23,18)))+((W325="")*(INDEX(Setup!$M$6:$M$23,18)="Y"))+((Y325="")*(INDEX(Setup!$M$6:$M$23,18)="Y")))</f>
        <v/>
      </c>
      <c r="AC325" s="91">
        <f>IF($B325="","",IF(AB325=0,"✓ covered","⚠ "&amp;AB325&amp;IF(AB325=1," gap"," gaps")))</f>
        <v/>
      </c>
    </row>
    <row r="326" ht="18" customHeight="1">
      <c r="A326" t="n">
        <v>7</v>
      </c>
      <c r="B326" s="78" t="inlineStr">
        <is>
          <t>TEAM AVAILABILITY</t>
        </is>
      </c>
      <c r="C326" s="92" t="inlineStr">
        <is>
          <t>Mon</t>
        </is>
      </c>
      <c r="D326" s="93" t="n"/>
      <c r="E326" s="93" t="n"/>
      <c r="F326" s="94" t="n"/>
      <c r="G326" s="92" t="inlineStr">
        <is>
          <t>Tue</t>
        </is>
      </c>
      <c r="H326" s="93" t="n"/>
      <c r="I326" s="93" t="n"/>
      <c r="J326" s="94" t="n"/>
      <c r="K326" s="92" t="inlineStr">
        <is>
          <t>Wed</t>
        </is>
      </c>
      <c r="L326" s="93" t="n"/>
      <c r="M326" s="93" t="n"/>
      <c r="N326" s="94" t="n"/>
      <c r="O326" s="92" t="inlineStr">
        <is>
          <t>Thu</t>
        </is>
      </c>
      <c r="P326" s="93" t="n"/>
      <c r="Q326" s="93" t="n"/>
      <c r="R326" s="94" t="n"/>
      <c r="S326" s="92" t="inlineStr">
        <is>
          <t>Fri</t>
        </is>
      </c>
      <c r="T326" s="93" t="n"/>
      <c r="U326" s="93" t="n"/>
      <c r="V326" s="94" t="n"/>
      <c r="W326" s="95" t="inlineStr">
        <is>
          <t>Sat</t>
        </is>
      </c>
      <c r="X326" s="96" t="n"/>
      <c r="Y326" s="95" t="inlineStr">
        <is>
          <t>Sun</t>
        </is>
      </c>
      <c r="Z326" s="96" t="n"/>
      <c r="AB326" s="97" t="inlineStr">
        <is>
          <t>Days rostered</t>
        </is>
      </c>
      <c r="AC326" s="97" t="inlineStr">
        <is>
          <t>Conflicts</t>
        </is>
      </c>
    </row>
    <row r="327" ht="15" customHeight="1">
      <c r="A327" t="n">
        <v>7</v>
      </c>
      <c r="B327" s="35">
        <f>IF(Setup!$B$6="","",Setup!$B$6)</f>
        <v/>
      </c>
      <c r="C327" s="98" t="n"/>
      <c r="D327" s="99" t="n"/>
      <c r="E327" s="99" t="n"/>
      <c r="F327" s="100" t="n"/>
      <c r="G327" s="98" t="n"/>
      <c r="H327" s="99" t="n"/>
      <c r="I327" s="99" t="n"/>
      <c r="J327" s="100" t="n"/>
      <c r="K327" s="98" t="n"/>
      <c r="L327" s="99" t="n"/>
      <c r="M327" s="99" t="n"/>
      <c r="N327" s="100" t="n"/>
      <c r="O327" s="98" t="n"/>
      <c r="P327" s="99" t="n"/>
      <c r="Q327" s="99" t="n"/>
      <c r="R327" s="100" t="n"/>
      <c r="S327" s="98" t="n"/>
      <c r="T327" s="99" t="n"/>
      <c r="U327" s="99" t="n"/>
      <c r="V327" s="100" t="n"/>
      <c r="W327" s="98" t="n"/>
      <c r="X327" s="100" t="n"/>
      <c r="Y327" s="98" t="n"/>
      <c r="Z327" s="100" t="n"/>
      <c r="AB327" s="101">
        <f>IF($B327="","",(COUNTIF(C308:E325,$B327)+COUNTIF(C308:E325,$B327&amp;" ~*")&gt;0)+(COUNTIF(G308:I325,$B327)+COUNTIF(G308:I325,$B327&amp;" ~*")&gt;0)+(COUNTIF(K308:M325,$B327)+COUNTIF(K308:M325,$B327&amp;" ~*")&gt;0)+(COUNTIF(O308:Q325,$B327)+COUNTIF(O308:Q325,$B327&amp;" ~*")&gt;0)+(COUNTIF(S308:U325,$B327)+COUNTIF(S308:U325,$B327&amp;" ~*")&gt;0)+(COUNTIF(W308:W325,$B327)+COUNTIF(W308:W325,$B327&amp;" ~*")&gt;0)+(COUNTIF(Y308:Y325,$B327)+COUNTIF(Y308:Y325,$B327&amp;" ~*")&gt;0))</f>
        <v/>
      </c>
      <c r="AC327" s="36">
        <f>IF($B327="","",(IFERROR(INDEX(Setup!$G$33:$G$40,MATCH(C327,Setup!$B$33:$B$40,0)),0)=1)*(COUNTIF(C308:E325,$B327)+COUNTIF(C308:E325,$B327&amp;" ~*")&gt;0)+(IFERROR(INDEX(Setup!$G$33:$G$40,MATCH(G327,Setup!$B$33:$B$40,0)),0)=1)*(COUNTIF(G308:I325,$B327)+COUNTIF(G308:I325,$B327&amp;" ~*")&gt;0)+(IFERROR(INDEX(Setup!$G$33:$G$40,MATCH(K327,Setup!$B$33:$B$40,0)),0)=1)*(COUNTIF(K308:M325,$B327)+COUNTIF(K308:M325,$B327&amp;" ~*")&gt;0)+(IFERROR(INDEX(Setup!$G$33:$G$40,MATCH(O327,Setup!$B$33:$B$40,0)),0)=1)*(COUNTIF(O308:Q325,$B327)+COUNTIF(O308:Q325,$B327&amp;" ~*")&gt;0)+(IFERROR(INDEX(Setup!$G$33:$G$40,MATCH(S327,Setup!$B$33:$B$40,0)),0)=1)*(COUNTIF(S308:U325,$B327)+COUNTIF(S308:U325,$B327&amp;" ~*")&gt;0)+(IFERROR(INDEX(Setup!$G$33:$G$40,MATCH(W327,Setup!$B$33:$B$40,0)),0)=1)*(COUNTIF(W308:W325,$B327)+COUNTIF(W308:W325,$B327&amp;" ~*")&gt;0)+(IFERROR(INDEX(Setup!$G$33:$G$40,MATCH(Y327,Setup!$B$33:$B$40,0)),0)=1)*(COUNTIF(Y308:Y325,$B327)+COUNTIF(Y308:Y325,$B327&amp;" ~*")&gt;0))</f>
        <v/>
      </c>
    </row>
    <row r="328" ht="15" customHeight="1">
      <c r="A328" t="n">
        <v>7</v>
      </c>
      <c r="B328" s="37">
        <f>IF(Setup!$B$7="","",Setup!$B$7)</f>
        <v/>
      </c>
      <c r="C328" s="102" t="n"/>
      <c r="D328" s="103" t="n"/>
      <c r="E328" s="103" t="n"/>
      <c r="F328" s="104" t="n"/>
      <c r="G328" s="102" t="n"/>
      <c r="H328" s="103" t="n"/>
      <c r="I328" s="103" t="n"/>
      <c r="J328" s="104" t="n"/>
      <c r="K328" s="102" t="n"/>
      <c r="L328" s="103" t="n"/>
      <c r="M328" s="103" t="n"/>
      <c r="N328" s="104" t="n"/>
      <c r="O328" s="102" t="n"/>
      <c r="P328" s="103" t="n"/>
      <c r="Q328" s="103" t="n"/>
      <c r="R328" s="104" t="n"/>
      <c r="S328" s="102" t="n"/>
      <c r="T328" s="103" t="n"/>
      <c r="U328" s="103" t="n"/>
      <c r="V328" s="104" t="n"/>
      <c r="W328" s="102" t="n"/>
      <c r="X328" s="104" t="n"/>
      <c r="Y328" s="102" t="n"/>
      <c r="Z328" s="104" t="n"/>
      <c r="AB328" s="105">
        <f>IF($B328="","",(COUNTIF(C308:E325,$B328)+COUNTIF(C308:E325,$B328&amp;" ~*")&gt;0)+(COUNTIF(G308:I325,$B328)+COUNTIF(G308:I325,$B328&amp;" ~*")&gt;0)+(COUNTIF(K308:M325,$B328)+COUNTIF(K308:M325,$B328&amp;" ~*")&gt;0)+(COUNTIF(O308:Q325,$B328)+COUNTIF(O308:Q325,$B328&amp;" ~*")&gt;0)+(COUNTIF(S308:U325,$B328)+COUNTIF(S308:U325,$B328&amp;" ~*")&gt;0)+(COUNTIF(W308:W325,$B328)+COUNTIF(W308:W325,$B328&amp;" ~*")&gt;0)+(COUNTIF(Y308:Y325,$B328)+COUNTIF(Y308:Y325,$B328&amp;" ~*")&gt;0))</f>
        <v/>
      </c>
      <c r="AC328" s="38">
        <f>IF($B328="","",(IFERROR(INDEX(Setup!$G$33:$G$40,MATCH(C328,Setup!$B$33:$B$40,0)),0)=1)*(COUNTIF(C308:E325,$B328)+COUNTIF(C308:E325,$B328&amp;" ~*")&gt;0)+(IFERROR(INDEX(Setup!$G$33:$G$40,MATCH(G328,Setup!$B$33:$B$40,0)),0)=1)*(COUNTIF(G308:I325,$B328)+COUNTIF(G308:I325,$B328&amp;" ~*")&gt;0)+(IFERROR(INDEX(Setup!$G$33:$G$40,MATCH(K328,Setup!$B$33:$B$40,0)),0)=1)*(COUNTIF(K308:M325,$B328)+COUNTIF(K308:M325,$B328&amp;" ~*")&gt;0)+(IFERROR(INDEX(Setup!$G$33:$G$40,MATCH(O328,Setup!$B$33:$B$40,0)),0)=1)*(COUNTIF(O308:Q325,$B328)+COUNTIF(O308:Q325,$B328&amp;" ~*")&gt;0)+(IFERROR(INDEX(Setup!$G$33:$G$40,MATCH(S328,Setup!$B$33:$B$40,0)),0)=1)*(COUNTIF(S308:U325,$B328)+COUNTIF(S308:U325,$B328&amp;" ~*")&gt;0)+(IFERROR(INDEX(Setup!$G$33:$G$40,MATCH(W328,Setup!$B$33:$B$40,0)),0)=1)*(COUNTIF(W308:W325,$B328)+COUNTIF(W308:W325,$B328&amp;" ~*")&gt;0)+(IFERROR(INDEX(Setup!$G$33:$G$40,MATCH(Y328,Setup!$B$33:$B$40,0)),0)=1)*(COUNTIF(Y308:Y325,$B328)+COUNTIF(Y308:Y325,$B328&amp;" ~*")&gt;0))</f>
        <v/>
      </c>
    </row>
    <row r="329" ht="15" customHeight="1">
      <c r="A329" t="n">
        <v>7</v>
      </c>
      <c r="B329" s="35">
        <f>IF(Setup!$B$8="","",Setup!$B$8)</f>
        <v/>
      </c>
      <c r="C329" s="98" t="n"/>
      <c r="D329" s="99" t="n"/>
      <c r="E329" s="99" t="n"/>
      <c r="F329" s="100" t="n"/>
      <c r="G329" s="98" t="n"/>
      <c r="H329" s="99" t="n"/>
      <c r="I329" s="99" t="n"/>
      <c r="J329" s="100" t="n"/>
      <c r="K329" s="98" t="n"/>
      <c r="L329" s="99" t="n"/>
      <c r="M329" s="99" t="n"/>
      <c r="N329" s="100" t="n"/>
      <c r="O329" s="98" t="n"/>
      <c r="P329" s="99" t="n"/>
      <c r="Q329" s="99" t="n"/>
      <c r="R329" s="100" t="n"/>
      <c r="S329" s="98" t="n"/>
      <c r="T329" s="99" t="n"/>
      <c r="U329" s="99" t="n"/>
      <c r="V329" s="100" t="n"/>
      <c r="W329" s="98" t="n"/>
      <c r="X329" s="100" t="n"/>
      <c r="Y329" s="98" t="n"/>
      <c r="Z329" s="100" t="n"/>
      <c r="AB329" s="101">
        <f>IF($B329="","",(COUNTIF(C308:E325,$B329)+COUNTIF(C308:E325,$B329&amp;" ~*")&gt;0)+(COUNTIF(G308:I325,$B329)+COUNTIF(G308:I325,$B329&amp;" ~*")&gt;0)+(COUNTIF(K308:M325,$B329)+COUNTIF(K308:M325,$B329&amp;" ~*")&gt;0)+(COUNTIF(O308:Q325,$B329)+COUNTIF(O308:Q325,$B329&amp;" ~*")&gt;0)+(COUNTIF(S308:U325,$B329)+COUNTIF(S308:U325,$B329&amp;" ~*")&gt;0)+(COUNTIF(W308:W325,$B329)+COUNTIF(W308:W325,$B329&amp;" ~*")&gt;0)+(COUNTIF(Y308:Y325,$B329)+COUNTIF(Y308:Y325,$B329&amp;" ~*")&gt;0))</f>
        <v/>
      </c>
      <c r="AC329" s="36">
        <f>IF($B329="","",(IFERROR(INDEX(Setup!$G$33:$G$40,MATCH(C329,Setup!$B$33:$B$40,0)),0)=1)*(COUNTIF(C308:E325,$B329)+COUNTIF(C308:E325,$B329&amp;" ~*")&gt;0)+(IFERROR(INDEX(Setup!$G$33:$G$40,MATCH(G329,Setup!$B$33:$B$40,0)),0)=1)*(COUNTIF(G308:I325,$B329)+COUNTIF(G308:I325,$B329&amp;" ~*")&gt;0)+(IFERROR(INDEX(Setup!$G$33:$G$40,MATCH(K329,Setup!$B$33:$B$40,0)),0)=1)*(COUNTIF(K308:M325,$B329)+COUNTIF(K308:M325,$B329&amp;" ~*")&gt;0)+(IFERROR(INDEX(Setup!$G$33:$G$40,MATCH(O329,Setup!$B$33:$B$40,0)),0)=1)*(COUNTIF(O308:Q325,$B329)+COUNTIF(O308:Q325,$B329&amp;" ~*")&gt;0)+(IFERROR(INDEX(Setup!$G$33:$G$40,MATCH(S329,Setup!$B$33:$B$40,0)),0)=1)*(COUNTIF(S308:U325,$B329)+COUNTIF(S308:U325,$B329&amp;" ~*")&gt;0)+(IFERROR(INDEX(Setup!$G$33:$G$40,MATCH(W329,Setup!$B$33:$B$40,0)),0)=1)*(COUNTIF(W308:W325,$B329)+COUNTIF(W308:W325,$B329&amp;" ~*")&gt;0)+(IFERROR(INDEX(Setup!$G$33:$G$40,MATCH(Y329,Setup!$B$33:$B$40,0)),0)=1)*(COUNTIF(Y308:Y325,$B329)+COUNTIF(Y308:Y325,$B329&amp;" ~*")&gt;0))</f>
        <v/>
      </c>
    </row>
    <row r="330" ht="15" customHeight="1">
      <c r="A330" t="n">
        <v>7</v>
      </c>
      <c r="B330" s="37">
        <f>IF(Setup!$B$9="","",Setup!$B$9)</f>
        <v/>
      </c>
      <c r="C330" s="102" t="n"/>
      <c r="D330" s="103" t="n"/>
      <c r="E330" s="103" t="n"/>
      <c r="F330" s="104" t="n"/>
      <c r="G330" s="102" t="n"/>
      <c r="H330" s="103" t="n"/>
      <c r="I330" s="103" t="n"/>
      <c r="J330" s="104" t="n"/>
      <c r="K330" s="102" t="n"/>
      <c r="L330" s="103" t="n"/>
      <c r="M330" s="103" t="n"/>
      <c r="N330" s="104" t="n"/>
      <c r="O330" s="102" t="n"/>
      <c r="P330" s="103" t="n"/>
      <c r="Q330" s="103" t="n"/>
      <c r="R330" s="104" t="n"/>
      <c r="S330" s="102" t="n"/>
      <c r="T330" s="103" t="n"/>
      <c r="U330" s="103" t="n"/>
      <c r="V330" s="104" t="n"/>
      <c r="W330" s="102" t="n"/>
      <c r="X330" s="104" t="n"/>
      <c r="Y330" s="102" t="n"/>
      <c r="Z330" s="104" t="n"/>
      <c r="AB330" s="105">
        <f>IF($B330="","",(COUNTIF(C308:E325,$B330)+COUNTIF(C308:E325,$B330&amp;" ~*")&gt;0)+(COUNTIF(G308:I325,$B330)+COUNTIF(G308:I325,$B330&amp;" ~*")&gt;0)+(COUNTIF(K308:M325,$B330)+COUNTIF(K308:M325,$B330&amp;" ~*")&gt;0)+(COUNTIF(O308:Q325,$B330)+COUNTIF(O308:Q325,$B330&amp;" ~*")&gt;0)+(COUNTIF(S308:U325,$B330)+COUNTIF(S308:U325,$B330&amp;" ~*")&gt;0)+(COUNTIF(W308:W325,$B330)+COUNTIF(W308:W325,$B330&amp;" ~*")&gt;0)+(COUNTIF(Y308:Y325,$B330)+COUNTIF(Y308:Y325,$B330&amp;" ~*")&gt;0))</f>
        <v/>
      </c>
      <c r="AC330" s="38">
        <f>IF($B330="","",(IFERROR(INDEX(Setup!$G$33:$G$40,MATCH(C330,Setup!$B$33:$B$40,0)),0)=1)*(COUNTIF(C308:E325,$B330)+COUNTIF(C308:E325,$B330&amp;" ~*")&gt;0)+(IFERROR(INDEX(Setup!$G$33:$G$40,MATCH(G330,Setup!$B$33:$B$40,0)),0)=1)*(COUNTIF(G308:I325,$B330)+COUNTIF(G308:I325,$B330&amp;" ~*")&gt;0)+(IFERROR(INDEX(Setup!$G$33:$G$40,MATCH(K330,Setup!$B$33:$B$40,0)),0)=1)*(COUNTIF(K308:M325,$B330)+COUNTIF(K308:M325,$B330&amp;" ~*")&gt;0)+(IFERROR(INDEX(Setup!$G$33:$G$40,MATCH(O330,Setup!$B$33:$B$40,0)),0)=1)*(COUNTIF(O308:Q325,$B330)+COUNTIF(O308:Q325,$B330&amp;" ~*")&gt;0)+(IFERROR(INDEX(Setup!$G$33:$G$40,MATCH(S330,Setup!$B$33:$B$40,0)),0)=1)*(COUNTIF(S308:U325,$B330)+COUNTIF(S308:U325,$B330&amp;" ~*")&gt;0)+(IFERROR(INDEX(Setup!$G$33:$G$40,MATCH(W330,Setup!$B$33:$B$40,0)),0)=1)*(COUNTIF(W308:W325,$B330)+COUNTIF(W308:W325,$B330&amp;" ~*")&gt;0)+(IFERROR(INDEX(Setup!$G$33:$G$40,MATCH(Y330,Setup!$B$33:$B$40,0)),0)=1)*(COUNTIF(Y308:Y325,$B330)+COUNTIF(Y308:Y325,$B330&amp;" ~*")&gt;0))</f>
        <v/>
      </c>
    </row>
    <row r="331" ht="15" customHeight="1">
      <c r="A331" t="n">
        <v>7</v>
      </c>
      <c r="B331" s="35">
        <f>IF(Setup!$B$10="","",Setup!$B$10)</f>
        <v/>
      </c>
      <c r="C331" s="98" t="n"/>
      <c r="D331" s="99" t="n"/>
      <c r="E331" s="99" t="n"/>
      <c r="F331" s="100" t="n"/>
      <c r="G331" s="98" t="n"/>
      <c r="H331" s="99" t="n"/>
      <c r="I331" s="99" t="n"/>
      <c r="J331" s="100" t="n"/>
      <c r="K331" s="98" t="n"/>
      <c r="L331" s="99" t="n"/>
      <c r="M331" s="99" t="n"/>
      <c r="N331" s="100" t="n"/>
      <c r="O331" s="98" t="n"/>
      <c r="P331" s="99" t="n"/>
      <c r="Q331" s="99" t="n"/>
      <c r="R331" s="100" t="n"/>
      <c r="S331" s="98" t="n"/>
      <c r="T331" s="99" t="n"/>
      <c r="U331" s="99" t="n"/>
      <c r="V331" s="100" t="n"/>
      <c r="W331" s="98" t="n"/>
      <c r="X331" s="100" t="n"/>
      <c r="Y331" s="98" t="n"/>
      <c r="Z331" s="100" t="n"/>
      <c r="AB331" s="101">
        <f>IF($B331="","",(COUNTIF(C308:E325,$B331)+COUNTIF(C308:E325,$B331&amp;" ~*")&gt;0)+(COUNTIF(G308:I325,$B331)+COUNTIF(G308:I325,$B331&amp;" ~*")&gt;0)+(COUNTIF(K308:M325,$B331)+COUNTIF(K308:M325,$B331&amp;" ~*")&gt;0)+(COUNTIF(O308:Q325,$B331)+COUNTIF(O308:Q325,$B331&amp;" ~*")&gt;0)+(COUNTIF(S308:U325,$B331)+COUNTIF(S308:U325,$B331&amp;" ~*")&gt;0)+(COUNTIF(W308:W325,$B331)+COUNTIF(W308:W325,$B331&amp;" ~*")&gt;0)+(COUNTIF(Y308:Y325,$B331)+COUNTIF(Y308:Y325,$B331&amp;" ~*")&gt;0))</f>
        <v/>
      </c>
      <c r="AC331" s="36">
        <f>IF($B331="","",(IFERROR(INDEX(Setup!$G$33:$G$40,MATCH(C331,Setup!$B$33:$B$40,0)),0)=1)*(COUNTIF(C308:E325,$B331)+COUNTIF(C308:E325,$B331&amp;" ~*")&gt;0)+(IFERROR(INDEX(Setup!$G$33:$G$40,MATCH(G331,Setup!$B$33:$B$40,0)),0)=1)*(COUNTIF(G308:I325,$B331)+COUNTIF(G308:I325,$B331&amp;" ~*")&gt;0)+(IFERROR(INDEX(Setup!$G$33:$G$40,MATCH(K331,Setup!$B$33:$B$40,0)),0)=1)*(COUNTIF(K308:M325,$B331)+COUNTIF(K308:M325,$B331&amp;" ~*")&gt;0)+(IFERROR(INDEX(Setup!$G$33:$G$40,MATCH(O331,Setup!$B$33:$B$40,0)),0)=1)*(COUNTIF(O308:Q325,$B331)+COUNTIF(O308:Q325,$B331&amp;" ~*")&gt;0)+(IFERROR(INDEX(Setup!$G$33:$G$40,MATCH(S331,Setup!$B$33:$B$40,0)),0)=1)*(COUNTIF(S308:U325,$B331)+COUNTIF(S308:U325,$B331&amp;" ~*")&gt;0)+(IFERROR(INDEX(Setup!$G$33:$G$40,MATCH(W331,Setup!$B$33:$B$40,0)),0)=1)*(COUNTIF(W308:W325,$B331)+COUNTIF(W308:W325,$B331&amp;" ~*")&gt;0)+(IFERROR(INDEX(Setup!$G$33:$G$40,MATCH(Y331,Setup!$B$33:$B$40,0)),0)=1)*(COUNTIF(Y308:Y325,$B331)+COUNTIF(Y308:Y325,$B331&amp;" ~*")&gt;0))</f>
        <v/>
      </c>
    </row>
    <row r="332" ht="15" customHeight="1">
      <c r="A332" t="n">
        <v>7</v>
      </c>
      <c r="B332" s="37">
        <f>IF(Setup!$B$11="","",Setup!$B$11)</f>
        <v/>
      </c>
      <c r="C332" s="102" t="n"/>
      <c r="D332" s="103" t="n"/>
      <c r="E332" s="103" t="n"/>
      <c r="F332" s="104" t="n"/>
      <c r="G332" s="102" t="n"/>
      <c r="H332" s="103" t="n"/>
      <c r="I332" s="103" t="n"/>
      <c r="J332" s="104" t="n"/>
      <c r="K332" s="102" t="n"/>
      <c r="L332" s="103" t="n"/>
      <c r="M332" s="103" t="n"/>
      <c r="N332" s="104" t="n"/>
      <c r="O332" s="102" t="n"/>
      <c r="P332" s="103" t="n"/>
      <c r="Q332" s="103" t="n"/>
      <c r="R332" s="104" t="n"/>
      <c r="S332" s="102" t="n"/>
      <c r="T332" s="103" t="n"/>
      <c r="U332" s="103" t="n"/>
      <c r="V332" s="104" t="n"/>
      <c r="W332" s="102" t="n"/>
      <c r="X332" s="104" t="n"/>
      <c r="Y332" s="102" t="n"/>
      <c r="Z332" s="104" t="n"/>
      <c r="AB332" s="105">
        <f>IF($B332="","",(COUNTIF(C308:E325,$B332)+COUNTIF(C308:E325,$B332&amp;" ~*")&gt;0)+(COUNTIF(G308:I325,$B332)+COUNTIF(G308:I325,$B332&amp;" ~*")&gt;0)+(COUNTIF(K308:M325,$B332)+COUNTIF(K308:M325,$B332&amp;" ~*")&gt;0)+(COUNTIF(O308:Q325,$B332)+COUNTIF(O308:Q325,$B332&amp;" ~*")&gt;0)+(COUNTIF(S308:U325,$B332)+COUNTIF(S308:U325,$B332&amp;" ~*")&gt;0)+(COUNTIF(W308:W325,$B332)+COUNTIF(W308:W325,$B332&amp;" ~*")&gt;0)+(COUNTIF(Y308:Y325,$B332)+COUNTIF(Y308:Y325,$B332&amp;" ~*")&gt;0))</f>
        <v/>
      </c>
      <c r="AC332" s="38">
        <f>IF($B332="","",(IFERROR(INDEX(Setup!$G$33:$G$40,MATCH(C332,Setup!$B$33:$B$40,0)),0)=1)*(COUNTIF(C308:E325,$B332)+COUNTIF(C308:E325,$B332&amp;" ~*")&gt;0)+(IFERROR(INDEX(Setup!$G$33:$G$40,MATCH(G332,Setup!$B$33:$B$40,0)),0)=1)*(COUNTIF(G308:I325,$B332)+COUNTIF(G308:I325,$B332&amp;" ~*")&gt;0)+(IFERROR(INDEX(Setup!$G$33:$G$40,MATCH(K332,Setup!$B$33:$B$40,0)),0)=1)*(COUNTIF(K308:M325,$B332)+COUNTIF(K308:M325,$B332&amp;" ~*")&gt;0)+(IFERROR(INDEX(Setup!$G$33:$G$40,MATCH(O332,Setup!$B$33:$B$40,0)),0)=1)*(COUNTIF(O308:Q325,$B332)+COUNTIF(O308:Q325,$B332&amp;" ~*")&gt;0)+(IFERROR(INDEX(Setup!$G$33:$G$40,MATCH(S332,Setup!$B$33:$B$40,0)),0)=1)*(COUNTIF(S308:U325,$B332)+COUNTIF(S308:U325,$B332&amp;" ~*")&gt;0)+(IFERROR(INDEX(Setup!$G$33:$G$40,MATCH(W332,Setup!$B$33:$B$40,0)),0)=1)*(COUNTIF(W308:W325,$B332)+COUNTIF(W308:W325,$B332&amp;" ~*")&gt;0)+(IFERROR(INDEX(Setup!$G$33:$G$40,MATCH(Y332,Setup!$B$33:$B$40,0)),0)=1)*(COUNTIF(Y308:Y325,$B332)+COUNTIF(Y308:Y325,$B332&amp;" ~*")&gt;0))</f>
        <v/>
      </c>
    </row>
    <row r="333" ht="15" customHeight="1">
      <c r="A333" t="n">
        <v>7</v>
      </c>
      <c r="B333" s="35">
        <f>IF(Setup!$B$12="","",Setup!$B$12)</f>
        <v/>
      </c>
      <c r="C333" s="98" t="inlineStr">
        <is>
          <t>AL</t>
        </is>
      </c>
      <c r="D333" s="99" t="n"/>
      <c r="E333" s="99" t="n"/>
      <c r="F333" s="100" t="n"/>
      <c r="G333" s="98" t="n"/>
      <c r="H333" s="99" t="n"/>
      <c r="I333" s="99" t="n"/>
      <c r="J333" s="100" t="n"/>
      <c r="K333" s="98" t="n"/>
      <c r="L333" s="99" t="n"/>
      <c r="M333" s="99" t="n"/>
      <c r="N333" s="100" t="n"/>
      <c r="O333" s="98" t="inlineStr">
        <is>
          <t>AL</t>
        </is>
      </c>
      <c r="P333" s="99" t="n"/>
      <c r="Q333" s="99" t="n"/>
      <c r="R333" s="100" t="n"/>
      <c r="S333" s="98" t="n"/>
      <c r="T333" s="99" t="n"/>
      <c r="U333" s="99" t="n"/>
      <c r="V333" s="100" t="n"/>
      <c r="W333" s="98" t="n"/>
      <c r="X333" s="100" t="n"/>
      <c r="Y333" s="98" t="n"/>
      <c r="Z333" s="100" t="n"/>
      <c r="AB333" s="101">
        <f>IF($B333="","",(COUNTIF(C308:E325,$B333)+COUNTIF(C308:E325,$B333&amp;" ~*")&gt;0)+(COUNTIF(G308:I325,$B333)+COUNTIF(G308:I325,$B333&amp;" ~*")&gt;0)+(COUNTIF(K308:M325,$B333)+COUNTIF(K308:M325,$B333&amp;" ~*")&gt;0)+(COUNTIF(O308:Q325,$B333)+COUNTIF(O308:Q325,$B333&amp;" ~*")&gt;0)+(COUNTIF(S308:U325,$B333)+COUNTIF(S308:U325,$B333&amp;" ~*")&gt;0)+(COUNTIF(W308:W325,$B333)+COUNTIF(W308:W325,$B333&amp;" ~*")&gt;0)+(COUNTIF(Y308:Y325,$B333)+COUNTIF(Y308:Y325,$B333&amp;" ~*")&gt;0))</f>
        <v/>
      </c>
      <c r="AC333" s="36">
        <f>IF($B333="","",(IFERROR(INDEX(Setup!$G$33:$G$40,MATCH(C333,Setup!$B$33:$B$40,0)),0)=1)*(COUNTIF(C308:E325,$B333)+COUNTIF(C308:E325,$B333&amp;" ~*")&gt;0)+(IFERROR(INDEX(Setup!$G$33:$G$40,MATCH(G333,Setup!$B$33:$B$40,0)),0)=1)*(COUNTIF(G308:I325,$B333)+COUNTIF(G308:I325,$B333&amp;" ~*")&gt;0)+(IFERROR(INDEX(Setup!$G$33:$G$40,MATCH(K333,Setup!$B$33:$B$40,0)),0)=1)*(COUNTIF(K308:M325,$B333)+COUNTIF(K308:M325,$B333&amp;" ~*")&gt;0)+(IFERROR(INDEX(Setup!$G$33:$G$40,MATCH(O333,Setup!$B$33:$B$40,0)),0)=1)*(COUNTIF(O308:Q325,$B333)+COUNTIF(O308:Q325,$B333&amp;" ~*")&gt;0)+(IFERROR(INDEX(Setup!$G$33:$G$40,MATCH(S333,Setup!$B$33:$B$40,0)),0)=1)*(COUNTIF(S308:U325,$B333)+COUNTIF(S308:U325,$B333&amp;" ~*")&gt;0)+(IFERROR(INDEX(Setup!$G$33:$G$40,MATCH(W333,Setup!$B$33:$B$40,0)),0)=1)*(COUNTIF(W308:W325,$B333)+COUNTIF(W308:W325,$B333&amp;" ~*")&gt;0)+(IFERROR(INDEX(Setup!$G$33:$G$40,MATCH(Y333,Setup!$B$33:$B$40,0)),0)=1)*(COUNTIF(Y308:Y325,$B333)+COUNTIF(Y308:Y325,$B333&amp;" ~*")&gt;0))</f>
        <v/>
      </c>
    </row>
    <row r="334" ht="15" customHeight="1">
      <c r="A334" t="n">
        <v>7</v>
      </c>
      <c r="B334" s="37">
        <f>IF(Setup!$B$13="","",Setup!$B$13)</f>
        <v/>
      </c>
      <c r="C334" s="102" t="n"/>
      <c r="D334" s="103" t="n"/>
      <c r="E334" s="103" t="n"/>
      <c r="F334" s="104" t="n"/>
      <c r="G334" s="102" t="n"/>
      <c r="H334" s="103" t="n"/>
      <c r="I334" s="103" t="n"/>
      <c r="J334" s="104" t="n"/>
      <c r="K334" s="102" t="n"/>
      <c r="L334" s="103" t="n"/>
      <c r="M334" s="103" t="n"/>
      <c r="N334" s="104" t="n"/>
      <c r="O334" s="102" t="n"/>
      <c r="P334" s="103" t="n"/>
      <c r="Q334" s="103" t="n"/>
      <c r="R334" s="104" t="n"/>
      <c r="S334" s="102" t="n"/>
      <c r="T334" s="103" t="n"/>
      <c r="U334" s="103" t="n"/>
      <c r="V334" s="104" t="n"/>
      <c r="W334" s="102" t="n"/>
      <c r="X334" s="104" t="n"/>
      <c r="Y334" s="102" t="n"/>
      <c r="Z334" s="104" t="n"/>
      <c r="AB334" s="105">
        <f>IF($B334="","",(COUNTIF(C308:E325,$B334)+COUNTIF(C308:E325,$B334&amp;" ~*")&gt;0)+(COUNTIF(G308:I325,$B334)+COUNTIF(G308:I325,$B334&amp;" ~*")&gt;0)+(COUNTIF(K308:M325,$B334)+COUNTIF(K308:M325,$B334&amp;" ~*")&gt;0)+(COUNTIF(O308:Q325,$B334)+COUNTIF(O308:Q325,$B334&amp;" ~*")&gt;0)+(COUNTIF(S308:U325,$B334)+COUNTIF(S308:U325,$B334&amp;" ~*")&gt;0)+(COUNTIF(W308:W325,$B334)+COUNTIF(W308:W325,$B334&amp;" ~*")&gt;0)+(COUNTIF(Y308:Y325,$B334)+COUNTIF(Y308:Y325,$B334&amp;" ~*")&gt;0))</f>
        <v/>
      </c>
      <c r="AC334" s="38">
        <f>IF($B334="","",(IFERROR(INDEX(Setup!$G$33:$G$40,MATCH(C334,Setup!$B$33:$B$40,0)),0)=1)*(COUNTIF(C308:E325,$B334)+COUNTIF(C308:E325,$B334&amp;" ~*")&gt;0)+(IFERROR(INDEX(Setup!$G$33:$G$40,MATCH(G334,Setup!$B$33:$B$40,0)),0)=1)*(COUNTIF(G308:I325,$B334)+COUNTIF(G308:I325,$B334&amp;" ~*")&gt;0)+(IFERROR(INDEX(Setup!$G$33:$G$40,MATCH(K334,Setup!$B$33:$B$40,0)),0)=1)*(COUNTIF(K308:M325,$B334)+COUNTIF(K308:M325,$B334&amp;" ~*")&gt;0)+(IFERROR(INDEX(Setup!$G$33:$G$40,MATCH(O334,Setup!$B$33:$B$40,0)),0)=1)*(COUNTIF(O308:Q325,$B334)+COUNTIF(O308:Q325,$B334&amp;" ~*")&gt;0)+(IFERROR(INDEX(Setup!$G$33:$G$40,MATCH(S334,Setup!$B$33:$B$40,0)),0)=1)*(COUNTIF(S308:U325,$B334)+COUNTIF(S308:U325,$B334&amp;" ~*")&gt;0)+(IFERROR(INDEX(Setup!$G$33:$G$40,MATCH(W334,Setup!$B$33:$B$40,0)),0)=1)*(COUNTIF(W308:W325,$B334)+COUNTIF(W308:W325,$B334&amp;" ~*")&gt;0)+(IFERROR(INDEX(Setup!$G$33:$G$40,MATCH(Y334,Setup!$B$33:$B$40,0)),0)=1)*(COUNTIF(Y308:Y325,$B334)+COUNTIF(Y308:Y325,$B334&amp;" ~*")&gt;0))</f>
        <v/>
      </c>
    </row>
    <row r="335" ht="15" customHeight="1">
      <c r="A335" t="n">
        <v>7</v>
      </c>
      <c r="B335" s="35">
        <f>IF(Setup!$B$14="","",Setup!$B$14)</f>
        <v/>
      </c>
      <c r="C335" s="98" t="n"/>
      <c r="D335" s="99" t="n"/>
      <c r="E335" s="99" t="n"/>
      <c r="F335" s="100" t="n"/>
      <c r="G335" s="98" t="n"/>
      <c r="H335" s="99" t="n"/>
      <c r="I335" s="99" t="n"/>
      <c r="J335" s="100" t="n"/>
      <c r="K335" s="98" t="n"/>
      <c r="L335" s="99" t="n"/>
      <c r="M335" s="99" t="n"/>
      <c r="N335" s="100" t="n"/>
      <c r="O335" s="98" t="n"/>
      <c r="P335" s="99" t="n"/>
      <c r="Q335" s="99" t="n"/>
      <c r="R335" s="100" t="n"/>
      <c r="S335" s="98" t="n"/>
      <c r="T335" s="99" t="n"/>
      <c r="U335" s="99" t="n"/>
      <c r="V335" s="100" t="n"/>
      <c r="W335" s="98" t="n"/>
      <c r="X335" s="100" t="n"/>
      <c r="Y335" s="98" t="n"/>
      <c r="Z335" s="100" t="n"/>
      <c r="AB335" s="101">
        <f>IF($B335="","",(COUNTIF(C308:E325,$B335)+COUNTIF(C308:E325,$B335&amp;" ~*")&gt;0)+(COUNTIF(G308:I325,$B335)+COUNTIF(G308:I325,$B335&amp;" ~*")&gt;0)+(COUNTIF(K308:M325,$B335)+COUNTIF(K308:M325,$B335&amp;" ~*")&gt;0)+(COUNTIF(O308:Q325,$B335)+COUNTIF(O308:Q325,$B335&amp;" ~*")&gt;0)+(COUNTIF(S308:U325,$B335)+COUNTIF(S308:U325,$B335&amp;" ~*")&gt;0)+(COUNTIF(W308:W325,$B335)+COUNTIF(W308:W325,$B335&amp;" ~*")&gt;0)+(COUNTIF(Y308:Y325,$B335)+COUNTIF(Y308:Y325,$B335&amp;" ~*")&gt;0))</f>
        <v/>
      </c>
      <c r="AC335" s="36">
        <f>IF($B335="","",(IFERROR(INDEX(Setup!$G$33:$G$40,MATCH(C335,Setup!$B$33:$B$40,0)),0)=1)*(COUNTIF(C308:E325,$B335)+COUNTIF(C308:E325,$B335&amp;" ~*")&gt;0)+(IFERROR(INDEX(Setup!$G$33:$G$40,MATCH(G335,Setup!$B$33:$B$40,0)),0)=1)*(COUNTIF(G308:I325,$B335)+COUNTIF(G308:I325,$B335&amp;" ~*")&gt;0)+(IFERROR(INDEX(Setup!$G$33:$G$40,MATCH(K335,Setup!$B$33:$B$40,0)),0)=1)*(COUNTIF(K308:M325,$B335)+COUNTIF(K308:M325,$B335&amp;" ~*")&gt;0)+(IFERROR(INDEX(Setup!$G$33:$G$40,MATCH(O335,Setup!$B$33:$B$40,0)),0)=1)*(COUNTIF(O308:Q325,$B335)+COUNTIF(O308:Q325,$B335&amp;" ~*")&gt;0)+(IFERROR(INDEX(Setup!$G$33:$G$40,MATCH(S335,Setup!$B$33:$B$40,0)),0)=1)*(COUNTIF(S308:U325,$B335)+COUNTIF(S308:U325,$B335&amp;" ~*")&gt;0)+(IFERROR(INDEX(Setup!$G$33:$G$40,MATCH(W335,Setup!$B$33:$B$40,0)),0)=1)*(COUNTIF(W308:W325,$B335)+COUNTIF(W308:W325,$B335&amp;" ~*")&gt;0)+(IFERROR(INDEX(Setup!$G$33:$G$40,MATCH(Y335,Setup!$B$33:$B$40,0)),0)=1)*(COUNTIF(Y308:Y325,$B335)+COUNTIF(Y308:Y325,$B335&amp;" ~*")&gt;0))</f>
        <v/>
      </c>
    </row>
    <row r="336" ht="15" customHeight="1">
      <c r="A336" t="n">
        <v>7</v>
      </c>
      <c r="B336" s="37">
        <f>IF(Setup!$B$15="","",Setup!$B$15)</f>
        <v/>
      </c>
      <c r="C336" s="102" t="inlineStr">
        <is>
          <t>AL</t>
        </is>
      </c>
      <c r="D336" s="103" t="n"/>
      <c r="E336" s="103" t="n"/>
      <c r="F336" s="104" t="n"/>
      <c r="G336" s="102" t="inlineStr">
        <is>
          <t>AL</t>
        </is>
      </c>
      <c r="H336" s="103" t="n"/>
      <c r="I336" s="103" t="n"/>
      <c r="J336" s="104" t="n"/>
      <c r="K336" s="102" t="inlineStr">
        <is>
          <t>AL</t>
        </is>
      </c>
      <c r="L336" s="103" t="n"/>
      <c r="M336" s="103" t="n"/>
      <c r="N336" s="104" t="n"/>
      <c r="O336" s="102" t="n"/>
      <c r="P336" s="103" t="n"/>
      <c r="Q336" s="103" t="n"/>
      <c r="R336" s="104" t="n"/>
      <c r="S336" s="102" t="n"/>
      <c r="T336" s="103" t="n"/>
      <c r="U336" s="103" t="n"/>
      <c r="V336" s="104" t="n"/>
      <c r="W336" s="102" t="n"/>
      <c r="X336" s="104" t="n"/>
      <c r="Y336" s="102" t="n"/>
      <c r="Z336" s="104" t="n"/>
      <c r="AB336" s="105">
        <f>IF($B336="","",(COUNTIF(C308:E325,$B336)+COUNTIF(C308:E325,$B336&amp;" ~*")&gt;0)+(COUNTIF(G308:I325,$B336)+COUNTIF(G308:I325,$B336&amp;" ~*")&gt;0)+(COUNTIF(K308:M325,$B336)+COUNTIF(K308:M325,$B336&amp;" ~*")&gt;0)+(COUNTIF(O308:Q325,$B336)+COUNTIF(O308:Q325,$B336&amp;" ~*")&gt;0)+(COUNTIF(S308:U325,$B336)+COUNTIF(S308:U325,$B336&amp;" ~*")&gt;0)+(COUNTIF(W308:W325,$B336)+COUNTIF(W308:W325,$B336&amp;" ~*")&gt;0)+(COUNTIF(Y308:Y325,$B336)+COUNTIF(Y308:Y325,$B336&amp;" ~*")&gt;0))</f>
        <v/>
      </c>
      <c r="AC336" s="38">
        <f>IF($B336="","",(IFERROR(INDEX(Setup!$G$33:$G$40,MATCH(C336,Setup!$B$33:$B$40,0)),0)=1)*(COUNTIF(C308:E325,$B336)+COUNTIF(C308:E325,$B336&amp;" ~*")&gt;0)+(IFERROR(INDEX(Setup!$G$33:$G$40,MATCH(G336,Setup!$B$33:$B$40,0)),0)=1)*(COUNTIF(G308:I325,$B336)+COUNTIF(G308:I325,$B336&amp;" ~*")&gt;0)+(IFERROR(INDEX(Setup!$G$33:$G$40,MATCH(K336,Setup!$B$33:$B$40,0)),0)=1)*(COUNTIF(K308:M325,$B336)+COUNTIF(K308:M325,$B336&amp;" ~*")&gt;0)+(IFERROR(INDEX(Setup!$G$33:$G$40,MATCH(O336,Setup!$B$33:$B$40,0)),0)=1)*(COUNTIF(O308:Q325,$B336)+COUNTIF(O308:Q325,$B336&amp;" ~*")&gt;0)+(IFERROR(INDEX(Setup!$G$33:$G$40,MATCH(S336,Setup!$B$33:$B$40,0)),0)=1)*(COUNTIF(S308:U325,$B336)+COUNTIF(S308:U325,$B336&amp;" ~*")&gt;0)+(IFERROR(INDEX(Setup!$G$33:$G$40,MATCH(W336,Setup!$B$33:$B$40,0)),0)=1)*(COUNTIF(W308:W325,$B336)+COUNTIF(W308:W325,$B336&amp;" ~*")&gt;0)+(IFERROR(INDEX(Setup!$G$33:$G$40,MATCH(Y336,Setup!$B$33:$B$40,0)),0)=1)*(COUNTIF(Y308:Y325,$B336)+COUNTIF(Y308:Y325,$B336&amp;" ~*")&gt;0))</f>
        <v/>
      </c>
    </row>
    <row r="337" ht="15" customHeight="1">
      <c r="A337" t="n">
        <v>7</v>
      </c>
      <c r="B337" s="35">
        <f>IF(Setup!$B$16="","",Setup!$B$16)</f>
        <v/>
      </c>
      <c r="C337" s="98" t="n"/>
      <c r="D337" s="99" t="n"/>
      <c r="E337" s="99" t="n"/>
      <c r="F337" s="100" t="n"/>
      <c r="G337" s="98" t="n"/>
      <c r="H337" s="99" t="n"/>
      <c r="I337" s="99" t="n"/>
      <c r="J337" s="100" t="n"/>
      <c r="K337" s="98" t="n"/>
      <c r="L337" s="99" t="n"/>
      <c r="M337" s="99" t="n"/>
      <c r="N337" s="100" t="n"/>
      <c r="O337" s="98" t="n"/>
      <c r="P337" s="99" t="n"/>
      <c r="Q337" s="99" t="n"/>
      <c r="R337" s="100" t="n"/>
      <c r="S337" s="98" t="n"/>
      <c r="T337" s="99" t="n"/>
      <c r="U337" s="99" t="n"/>
      <c r="V337" s="100" t="n"/>
      <c r="W337" s="98" t="n"/>
      <c r="X337" s="100" t="n"/>
      <c r="Y337" s="98" t="n"/>
      <c r="Z337" s="100" t="n"/>
      <c r="AB337" s="101">
        <f>IF($B337="","",(COUNTIF(C308:E325,$B337)+COUNTIF(C308:E325,$B337&amp;" ~*")&gt;0)+(COUNTIF(G308:I325,$B337)+COUNTIF(G308:I325,$B337&amp;" ~*")&gt;0)+(COUNTIF(K308:M325,$B337)+COUNTIF(K308:M325,$B337&amp;" ~*")&gt;0)+(COUNTIF(O308:Q325,$B337)+COUNTIF(O308:Q325,$B337&amp;" ~*")&gt;0)+(COUNTIF(S308:U325,$B337)+COUNTIF(S308:U325,$B337&amp;" ~*")&gt;0)+(COUNTIF(W308:W325,$B337)+COUNTIF(W308:W325,$B337&amp;" ~*")&gt;0)+(COUNTIF(Y308:Y325,$B337)+COUNTIF(Y308:Y325,$B337&amp;" ~*")&gt;0))</f>
        <v/>
      </c>
      <c r="AC337" s="36">
        <f>IF($B337="","",(IFERROR(INDEX(Setup!$G$33:$G$40,MATCH(C337,Setup!$B$33:$B$40,0)),0)=1)*(COUNTIF(C308:E325,$B337)+COUNTIF(C308:E325,$B337&amp;" ~*")&gt;0)+(IFERROR(INDEX(Setup!$G$33:$G$40,MATCH(G337,Setup!$B$33:$B$40,0)),0)=1)*(COUNTIF(G308:I325,$B337)+COUNTIF(G308:I325,$B337&amp;" ~*")&gt;0)+(IFERROR(INDEX(Setup!$G$33:$G$40,MATCH(K337,Setup!$B$33:$B$40,0)),0)=1)*(COUNTIF(K308:M325,$B337)+COUNTIF(K308:M325,$B337&amp;" ~*")&gt;0)+(IFERROR(INDEX(Setup!$G$33:$G$40,MATCH(O337,Setup!$B$33:$B$40,0)),0)=1)*(COUNTIF(O308:Q325,$B337)+COUNTIF(O308:Q325,$B337&amp;" ~*")&gt;0)+(IFERROR(INDEX(Setup!$G$33:$G$40,MATCH(S337,Setup!$B$33:$B$40,0)),0)=1)*(COUNTIF(S308:U325,$B337)+COUNTIF(S308:U325,$B337&amp;" ~*")&gt;0)+(IFERROR(INDEX(Setup!$G$33:$G$40,MATCH(W337,Setup!$B$33:$B$40,0)),0)=1)*(COUNTIF(W308:W325,$B337)+COUNTIF(W308:W325,$B337&amp;" ~*")&gt;0)+(IFERROR(INDEX(Setup!$G$33:$G$40,MATCH(Y337,Setup!$B$33:$B$40,0)),0)=1)*(COUNTIF(Y308:Y325,$B337)+COUNTIF(Y308:Y325,$B337&amp;" ~*")&gt;0))</f>
        <v/>
      </c>
    </row>
    <row r="338" ht="15" customHeight="1">
      <c r="A338" t="n">
        <v>7</v>
      </c>
      <c r="B338" s="37">
        <f>IF(Setup!$B$17="","",Setup!$B$17)</f>
        <v/>
      </c>
      <c r="C338" s="102" t="n"/>
      <c r="D338" s="103" t="n"/>
      <c r="E338" s="103" t="n"/>
      <c r="F338" s="104" t="n"/>
      <c r="G338" s="102" t="n"/>
      <c r="H338" s="103" t="n"/>
      <c r="I338" s="103" t="n"/>
      <c r="J338" s="104" t="n"/>
      <c r="K338" s="102" t="n"/>
      <c r="L338" s="103" t="n"/>
      <c r="M338" s="103" t="n"/>
      <c r="N338" s="104" t="n"/>
      <c r="O338" s="102" t="n"/>
      <c r="P338" s="103" t="n"/>
      <c r="Q338" s="103" t="n"/>
      <c r="R338" s="104" t="n"/>
      <c r="S338" s="102" t="n"/>
      <c r="T338" s="103" t="n"/>
      <c r="U338" s="103" t="n"/>
      <c r="V338" s="104" t="n"/>
      <c r="W338" s="102" t="n"/>
      <c r="X338" s="104" t="n"/>
      <c r="Y338" s="102" t="n"/>
      <c r="Z338" s="104" t="n"/>
      <c r="AB338" s="105">
        <f>IF($B338="","",(COUNTIF(C308:E325,$B338)+COUNTIF(C308:E325,$B338&amp;" ~*")&gt;0)+(COUNTIF(G308:I325,$B338)+COUNTIF(G308:I325,$B338&amp;" ~*")&gt;0)+(COUNTIF(K308:M325,$B338)+COUNTIF(K308:M325,$B338&amp;" ~*")&gt;0)+(COUNTIF(O308:Q325,$B338)+COUNTIF(O308:Q325,$B338&amp;" ~*")&gt;0)+(COUNTIF(S308:U325,$B338)+COUNTIF(S308:U325,$B338&amp;" ~*")&gt;0)+(COUNTIF(W308:W325,$B338)+COUNTIF(W308:W325,$B338&amp;" ~*")&gt;0)+(COUNTIF(Y308:Y325,$B338)+COUNTIF(Y308:Y325,$B338&amp;" ~*")&gt;0))</f>
        <v/>
      </c>
      <c r="AC338" s="38">
        <f>IF($B338="","",(IFERROR(INDEX(Setup!$G$33:$G$40,MATCH(C338,Setup!$B$33:$B$40,0)),0)=1)*(COUNTIF(C308:E325,$B338)+COUNTIF(C308:E325,$B338&amp;" ~*")&gt;0)+(IFERROR(INDEX(Setup!$G$33:$G$40,MATCH(G338,Setup!$B$33:$B$40,0)),0)=1)*(COUNTIF(G308:I325,$B338)+COUNTIF(G308:I325,$B338&amp;" ~*")&gt;0)+(IFERROR(INDEX(Setup!$G$33:$G$40,MATCH(K338,Setup!$B$33:$B$40,0)),0)=1)*(COUNTIF(K308:M325,$B338)+COUNTIF(K308:M325,$B338&amp;" ~*")&gt;0)+(IFERROR(INDEX(Setup!$G$33:$G$40,MATCH(O338,Setup!$B$33:$B$40,0)),0)=1)*(COUNTIF(O308:Q325,$B338)+COUNTIF(O308:Q325,$B338&amp;" ~*")&gt;0)+(IFERROR(INDEX(Setup!$G$33:$G$40,MATCH(S338,Setup!$B$33:$B$40,0)),0)=1)*(COUNTIF(S308:U325,$B338)+COUNTIF(S308:U325,$B338&amp;" ~*")&gt;0)+(IFERROR(INDEX(Setup!$G$33:$G$40,MATCH(W338,Setup!$B$33:$B$40,0)),0)=1)*(COUNTIF(W308:W325,$B338)+COUNTIF(W308:W325,$B338&amp;" ~*")&gt;0)+(IFERROR(INDEX(Setup!$G$33:$G$40,MATCH(Y338,Setup!$B$33:$B$40,0)),0)=1)*(COUNTIF(Y308:Y325,$B338)+COUNTIF(Y308:Y325,$B338&amp;" ~*")&gt;0))</f>
        <v/>
      </c>
    </row>
    <row r="339" ht="15" customHeight="1">
      <c r="A339" t="n">
        <v>7</v>
      </c>
      <c r="B339" s="35">
        <f>IF(Setup!$B$18="","",Setup!$B$18)</f>
        <v/>
      </c>
      <c r="C339" s="98" t="n"/>
      <c r="D339" s="99" t="n"/>
      <c r="E339" s="99" t="n"/>
      <c r="F339" s="100" t="n"/>
      <c r="G339" s="98" t="n"/>
      <c r="H339" s="99" t="n"/>
      <c r="I339" s="99" t="n"/>
      <c r="J339" s="100" t="n"/>
      <c r="K339" s="98" t="n"/>
      <c r="L339" s="99" t="n"/>
      <c r="M339" s="99" t="n"/>
      <c r="N339" s="100" t="n"/>
      <c r="O339" s="98" t="n"/>
      <c r="P339" s="99" t="n"/>
      <c r="Q339" s="99" t="n"/>
      <c r="R339" s="100" t="n"/>
      <c r="S339" s="98" t="n"/>
      <c r="T339" s="99" t="n"/>
      <c r="U339" s="99" t="n"/>
      <c r="V339" s="100" t="n"/>
      <c r="W339" s="98" t="n"/>
      <c r="X339" s="100" t="n"/>
      <c r="Y339" s="98" t="n"/>
      <c r="Z339" s="100" t="n"/>
      <c r="AB339" s="101">
        <f>IF($B339="","",(COUNTIF(C308:E325,$B339)+COUNTIF(C308:E325,$B339&amp;" ~*")&gt;0)+(COUNTIF(G308:I325,$B339)+COUNTIF(G308:I325,$B339&amp;" ~*")&gt;0)+(COUNTIF(K308:M325,$B339)+COUNTIF(K308:M325,$B339&amp;" ~*")&gt;0)+(COUNTIF(O308:Q325,$B339)+COUNTIF(O308:Q325,$B339&amp;" ~*")&gt;0)+(COUNTIF(S308:U325,$B339)+COUNTIF(S308:U325,$B339&amp;" ~*")&gt;0)+(COUNTIF(W308:W325,$B339)+COUNTIF(W308:W325,$B339&amp;" ~*")&gt;0)+(COUNTIF(Y308:Y325,$B339)+COUNTIF(Y308:Y325,$B339&amp;" ~*")&gt;0))</f>
        <v/>
      </c>
      <c r="AC339" s="36">
        <f>IF($B339="","",(IFERROR(INDEX(Setup!$G$33:$G$40,MATCH(C339,Setup!$B$33:$B$40,0)),0)=1)*(COUNTIF(C308:E325,$B339)+COUNTIF(C308:E325,$B339&amp;" ~*")&gt;0)+(IFERROR(INDEX(Setup!$G$33:$G$40,MATCH(G339,Setup!$B$33:$B$40,0)),0)=1)*(COUNTIF(G308:I325,$B339)+COUNTIF(G308:I325,$B339&amp;" ~*")&gt;0)+(IFERROR(INDEX(Setup!$G$33:$G$40,MATCH(K339,Setup!$B$33:$B$40,0)),0)=1)*(COUNTIF(K308:M325,$B339)+COUNTIF(K308:M325,$B339&amp;" ~*")&gt;0)+(IFERROR(INDEX(Setup!$G$33:$G$40,MATCH(O339,Setup!$B$33:$B$40,0)),0)=1)*(COUNTIF(O308:Q325,$B339)+COUNTIF(O308:Q325,$B339&amp;" ~*")&gt;0)+(IFERROR(INDEX(Setup!$G$33:$G$40,MATCH(S339,Setup!$B$33:$B$40,0)),0)=1)*(COUNTIF(S308:U325,$B339)+COUNTIF(S308:U325,$B339&amp;" ~*")&gt;0)+(IFERROR(INDEX(Setup!$G$33:$G$40,MATCH(W339,Setup!$B$33:$B$40,0)),0)=1)*(COUNTIF(W308:W325,$B339)+COUNTIF(W308:W325,$B339&amp;" ~*")&gt;0)+(IFERROR(INDEX(Setup!$G$33:$G$40,MATCH(Y339,Setup!$B$33:$B$40,0)),0)=1)*(COUNTIF(Y308:Y325,$B339)+COUNTIF(Y308:Y325,$B339&amp;" ~*")&gt;0))</f>
        <v/>
      </c>
    </row>
    <row r="340" ht="15" customHeight="1">
      <c r="A340" t="n">
        <v>7</v>
      </c>
      <c r="B340" s="37">
        <f>IF(Setup!$B$19="","",Setup!$B$19)</f>
        <v/>
      </c>
      <c r="C340" s="102" t="inlineStr">
        <is>
          <t>AL</t>
        </is>
      </c>
      <c r="D340" s="103" t="n"/>
      <c r="E340" s="103" t="n"/>
      <c r="F340" s="104" t="n"/>
      <c r="G340" s="102" t="inlineStr">
        <is>
          <t>AL</t>
        </is>
      </c>
      <c r="H340" s="103" t="n"/>
      <c r="I340" s="103" t="n"/>
      <c r="J340" s="104" t="n"/>
      <c r="K340" s="102" t="inlineStr">
        <is>
          <t>AL</t>
        </is>
      </c>
      <c r="L340" s="103" t="n"/>
      <c r="M340" s="103" t="n"/>
      <c r="N340" s="104" t="n"/>
      <c r="O340" s="102" t="inlineStr">
        <is>
          <t>AL</t>
        </is>
      </c>
      <c r="P340" s="103" t="n"/>
      <c r="Q340" s="103" t="n"/>
      <c r="R340" s="104" t="n"/>
      <c r="S340" s="102" t="inlineStr">
        <is>
          <t>AL</t>
        </is>
      </c>
      <c r="T340" s="103" t="n"/>
      <c r="U340" s="103" t="n"/>
      <c r="V340" s="104" t="n"/>
      <c r="W340" s="102" t="n"/>
      <c r="X340" s="104" t="n"/>
      <c r="Y340" s="102" t="n"/>
      <c r="Z340" s="104" t="n"/>
      <c r="AB340" s="105">
        <f>IF($B340="","",(COUNTIF(C308:E325,$B340)+COUNTIF(C308:E325,$B340&amp;" ~*")&gt;0)+(COUNTIF(G308:I325,$B340)+COUNTIF(G308:I325,$B340&amp;" ~*")&gt;0)+(COUNTIF(K308:M325,$B340)+COUNTIF(K308:M325,$B340&amp;" ~*")&gt;0)+(COUNTIF(O308:Q325,$B340)+COUNTIF(O308:Q325,$B340&amp;" ~*")&gt;0)+(COUNTIF(S308:U325,$B340)+COUNTIF(S308:U325,$B340&amp;" ~*")&gt;0)+(COUNTIF(W308:W325,$B340)+COUNTIF(W308:W325,$B340&amp;" ~*")&gt;0)+(COUNTIF(Y308:Y325,$B340)+COUNTIF(Y308:Y325,$B340&amp;" ~*")&gt;0))</f>
        <v/>
      </c>
      <c r="AC340" s="38">
        <f>IF($B340="","",(IFERROR(INDEX(Setup!$G$33:$G$40,MATCH(C340,Setup!$B$33:$B$40,0)),0)=1)*(COUNTIF(C308:E325,$B340)+COUNTIF(C308:E325,$B340&amp;" ~*")&gt;0)+(IFERROR(INDEX(Setup!$G$33:$G$40,MATCH(G340,Setup!$B$33:$B$40,0)),0)=1)*(COUNTIF(G308:I325,$B340)+COUNTIF(G308:I325,$B340&amp;" ~*")&gt;0)+(IFERROR(INDEX(Setup!$G$33:$G$40,MATCH(K340,Setup!$B$33:$B$40,0)),0)=1)*(COUNTIF(K308:M325,$B340)+COUNTIF(K308:M325,$B340&amp;" ~*")&gt;0)+(IFERROR(INDEX(Setup!$G$33:$G$40,MATCH(O340,Setup!$B$33:$B$40,0)),0)=1)*(COUNTIF(O308:Q325,$B340)+COUNTIF(O308:Q325,$B340&amp;" ~*")&gt;0)+(IFERROR(INDEX(Setup!$G$33:$G$40,MATCH(S340,Setup!$B$33:$B$40,0)),0)=1)*(COUNTIF(S308:U325,$B340)+COUNTIF(S308:U325,$B340&amp;" ~*")&gt;0)+(IFERROR(INDEX(Setup!$G$33:$G$40,MATCH(W340,Setup!$B$33:$B$40,0)),0)=1)*(COUNTIF(W308:W325,$B340)+COUNTIF(W308:W325,$B340&amp;" ~*")&gt;0)+(IFERROR(INDEX(Setup!$G$33:$G$40,MATCH(Y340,Setup!$B$33:$B$40,0)),0)=1)*(COUNTIF(Y308:Y325,$B340)+COUNTIF(Y308:Y325,$B340&amp;" ~*")&gt;0))</f>
        <v/>
      </c>
    </row>
    <row r="341" ht="15" customHeight="1">
      <c r="A341" t="n">
        <v>7</v>
      </c>
      <c r="B341" s="35">
        <f>IF(Setup!$B$20="","",Setup!$B$20)</f>
        <v/>
      </c>
      <c r="C341" s="98" t="n"/>
      <c r="D341" s="99" t="n"/>
      <c r="E341" s="99" t="n"/>
      <c r="F341" s="100" t="n"/>
      <c r="G341" s="98" t="n"/>
      <c r="H341" s="99" t="n"/>
      <c r="I341" s="99" t="n"/>
      <c r="J341" s="100" t="n"/>
      <c r="K341" s="98" t="n"/>
      <c r="L341" s="99" t="n"/>
      <c r="M341" s="99" t="n"/>
      <c r="N341" s="100" t="n"/>
      <c r="O341" s="98" t="n"/>
      <c r="P341" s="99" t="n"/>
      <c r="Q341" s="99" t="n"/>
      <c r="R341" s="100" t="n"/>
      <c r="S341" s="98" t="n"/>
      <c r="T341" s="99" t="n"/>
      <c r="U341" s="99" t="n"/>
      <c r="V341" s="100" t="n"/>
      <c r="W341" s="98" t="n"/>
      <c r="X341" s="100" t="n"/>
      <c r="Y341" s="98" t="n"/>
      <c r="Z341" s="100" t="n"/>
      <c r="AB341" s="101">
        <f>IF($B341="","",(COUNTIF(C308:E325,$B341)+COUNTIF(C308:E325,$B341&amp;" ~*")&gt;0)+(COUNTIF(G308:I325,$B341)+COUNTIF(G308:I325,$B341&amp;" ~*")&gt;0)+(COUNTIF(K308:M325,$B341)+COUNTIF(K308:M325,$B341&amp;" ~*")&gt;0)+(COUNTIF(O308:Q325,$B341)+COUNTIF(O308:Q325,$B341&amp;" ~*")&gt;0)+(COUNTIF(S308:U325,$B341)+COUNTIF(S308:U325,$B341&amp;" ~*")&gt;0)+(COUNTIF(W308:W325,$B341)+COUNTIF(W308:W325,$B341&amp;" ~*")&gt;0)+(COUNTIF(Y308:Y325,$B341)+COUNTIF(Y308:Y325,$B341&amp;" ~*")&gt;0))</f>
        <v/>
      </c>
      <c r="AC341" s="36">
        <f>IF($B341="","",(IFERROR(INDEX(Setup!$G$33:$G$40,MATCH(C341,Setup!$B$33:$B$40,0)),0)=1)*(COUNTIF(C308:E325,$B341)+COUNTIF(C308:E325,$B341&amp;" ~*")&gt;0)+(IFERROR(INDEX(Setup!$G$33:$G$40,MATCH(G341,Setup!$B$33:$B$40,0)),0)=1)*(COUNTIF(G308:I325,$B341)+COUNTIF(G308:I325,$B341&amp;" ~*")&gt;0)+(IFERROR(INDEX(Setup!$G$33:$G$40,MATCH(K341,Setup!$B$33:$B$40,0)),0)=1)*(COUNTIF(K308:M325,$B341)+COUNTIF(K308:M325,$B341&amp;" ~*")&gt;0)+(IFERROR(INDEX(Setup!$G$33:$G$40,MATCH(O341,Setup!$B$33:$B$40,0)),0)=1)*(COUNTIF(O308:Q325,$B341)+COUNTIF(O308:Q325,$B341&amp;" ~*")&gt;0)+(IFERROR(INDEX(Setup!$G$33:$G$40,MATCH(S341,Setup!$B$33:$B$40,0)),0)=1)*(COUNTIF(S308:U325,$B341)+COUNTIF(S308:U325,$B341&amp;" ~*")&gt;0)+(IFERROR(INDEX(Setup!$G$33:$G$40,MATCH(W341,Setup!$B$33:$B$40,0)),0)=1)*(COUNTIF(W308:W325,$B341)+COUNTIF(W308:W325,$B341&amp;" ~*")&gt;0)+(IFERROR(INDEX(Setup!$G$33:$G$40,MATCH(Y341,Setup!$B$33:$B$40,0)),0)=1)*(COUNTIF(Y308:Y325,$B341)+COUNTIF(Y308:Y325,$B341&amp;" ~*")&gt;0))</f>
        <v/>
      </c>
    </row>
    <row r="342" ht="15" customHeight="1">
      <c r="A342" t="n">
        <v>7</v>
      </c>
      <c r="B342" s="37">
        <f>IF(Setup!$B$21="","",Setup!$B$21)</f>
        <v/>
      </c>
      <c r="C342" s="102" t="inlineStr">
        <is>
          <t>AL</t>
        </is>
      </c>
      <c r="D342" s="103" t="n"/>
      <c r="E342" s="103" t="n"/>
      <c r="F342" s="104" t="n"/>
      <c r="G342" s="102" t="inlineStr">
        <is>
          <t>AL</t>
        </is>
      </c>
      <c r="H342" s="103" t="n"/>
      <c r="I342" s="103" t="n"/>
      <c r="J342" s="104" t="n"/>
      <c r="K342" s="102" t="inlineStr">
        <is>
          <t>AL</t>
        </is>
      </c>
      <c r="L342" s="103" t="n"/>
      <c r="M342" s="103" t="n"/>
      <c r="N342" s="104" t="n"/>
      <c r="O342" s="102" t="inlineStr">
        <is>
          <t>AL</t>
        </is>
      </c>
      <c r="P342" s="103" t="n"/>
      <c r="Q342" s="103" t="n"/>
      <c r="R342" s="104" t="n"/>
      <c r="S342" s="102" t="inlineStr">
        <is>
          <t>AL</t>
        </is>
      </c>
      <c r="T342" s="103" t="n"/>
      <c r="U342" s="103" t="n"/>
      <c r="V342" s="104" t="n"/>
      <c r="W342" s="102" t="n"/>
      <c r="X342" s="104" t="n"/>
      <c r="Y342" s="102" t="n"/>
      <c r="Z342" s="104" t="n"/>
      <c r="AB342" s="105">
        <f>IF($B342="","",(COUNTIF(C308:E325,$B342)+COUNTIF(C308:E325,$B342&amp;" ~*")&gt;0)+(COUNTIF(G308:I325,$B342)+COUNTIF(G308:I325,$B342&amp;" ~*")&gt;0)+(COUNTIF(K308:M325,$B342)+COUNTIF(K308:M325,$B342&amp;" ~*")&gt;0)+(COUNTIF(O308:Q325,$B342)+COUNTIF(O308:Q325,$B342&amp;" ~*")&gt;0)+(COUNTIF(S308:U325,$B342)+COUNTIF(S308:U325,$B342&amp;" ~*")&gt;0)+(COUNTIF(W308:W325,$B342)+COUNTIF(W308:W325,$B342&amp;" ~*")&gt;0)+(COUNTIF(Y308:Y325,$B342)+COUNTIF(Y308:Y325,$B342&amp;" ~*")&gt;0))</f>
        <v/>
      </c>
      <c r="AC342" s="38">
        <f>IF($B342="","",(IFERROR(INDEX(Setup!$G$33:$G$40,MATCH(C342,Setup!$B$33:$B$40,0)),0)=1)*(COUNTIF(C308:E325,$B342)+COUNTIF(C308:E325,$B342&amp;" ~*")&gt;0)+(IFERROR(INDEX(Setup!$G$33:$G$40,MATCH(G342,Setup!$B$33:$B$40,0)),0)=1)*(COUNTIF(G308:I325,$B342)+COUNTIF(G308:I325,$B342&amp;" ~*")&gt;0)+(IFERROR(INDEX(Setup!$G$33:$G$40,MATCH(K342,Setup!$B$33:$B$40,0)),0)=1)*(COUNTIF(K308:M325,$B342)+COUNTIF(K308:M325,$B342&amp;" ~*")&gt;0)+(IFERROR(INDEX(Setup!$G$33:$G$40,MATCH(O342,Setup!$B$33:$B$40,0)),0)=1)*(COUNTIF(O308:Q325,$B342)+COUNTIF(O308:Q325,$B342&amp;" ~*")&gt;0)+(IFERROR(INDEX(Setup!$G$33:$G$40,MATCH(S342,Setup!$B$33:$B$40,0)),0)=1)*(COUNTIF(S308:U325,$B342)+COUNTIF(S308:U325,$B342&amp;" ~*")&gt;0)+(IFERROR(INDEX(Setup!$G$33:$G$40,MATCH(W342,Setup!$B$33:$B$40,0)),0)=1)*(COUNTIF(W308:W325,$B342)+COUNTIF(W308:W325,$B342&amp;" ~*")&gt;0)+(IFERROR(INDEX(Setup!$G$33:$G$40,MATCH(Y342,Setup!$B$33:$B$40,0)),0)=1)*(COUNTIF(Y308:Y325,$B342)+COUNTIF(Y308:Y325,$B342&amp;" ~*")&gt;0))</f>
        <v/>
      </c>
    </row>
    <row r="343" ht="15" customHeight="1">
      <c r="A343" t="n">
        <v>7</v>
      </c>
      <c r="B343" s="35">
        <f>IF(Setup!$B$22="","",Setup!$B$22)</f>
        <v/>
      </c>
      <c r="C343" s="98" t="n"/>
      <c r="D343" s="99" t="n"/>
      <c r="E343" s="99" t="n"/>
      <c r="F343" s="100" t="n"/>
      <c r="G343" s="98" t="n"/>
      <c r="H343" s="99" t="n"/>
      <c r="I343" s="99" t="n"/>
      <c r="J343" s="100" t="n"/>
      <c r="K343" s="98" t="n"/>
      <c r="L343" s="99" t="n"/>
      <c r="M343" s="99" t="n"/>
      <c r="N343" s="100" t="n"/>
      <c r="O343" s="98" t="n"/>
      <c r="P343" s="99" t="n"/>
      <c r="Q343" s="99" t="n"/>
      <c r="R343" s="100" t="n"/>
      <c r="S343" s="98" t="n"/>
      <c r="T343" s="99" t="n"/>
      <c r="U343" s="99" t="n"/>
      <c r="V343" s="100" t="n"/>
      <c r="W343" s="98" t="n"/>
      <c r="X343" s="100" t="n"/>
      <c r="Y343" s="98" t="n"/>
      <c r="Z343" s="100" t="n"/>
      <c r="AB343" s="101">
        <f>IF($B343="","",(COUNTIF(C308:E325,$B343)+COUNTIF(C308:E325,$B343&amp;" ~*")&gt;0)+(COUNTIF(G308:I325,$B343)+COUNTIF(G308:I325,$B343&amp;" ~*")&gt;0)+(COUNTIF(K308:M325,$B343)+COUNTIF(K308:M325,$B343&amp;" ~*")&gt;0)+(COUNTIF(O308:Q325,$B343)+COUNTIF(O308:Q325,$B343&amp;" ~*")&gt;0)+(COUNTIF(S308:U325,$B343)+COUNTIF(S308:U325,$B343&amp;" ~*")&gt;0)+(COUNTIF(W308:W325,$B343)+COUNTIF(W308:W325,$B343&amp;" ~*")&gt;0)+(COUNTIF(Y308:Y325,$B343)+COUNTIF(Y308:Y325,$B343&amp;" ~*")&gt;0))</f>
        <v/>
      </c>
      <c r="AC343" s="36">
        <f>IF($B343="","",(IFERROR(INDEX(Setup!$G$33:$G$40,MATCH(C343,Setup!$B$33:$B$40,0)),0)=1)*(COUNTIF(C308:E325,$B343)+COUNTIF(C308:E325,$B343&amp;" ~*")&gt;0)+(IFERROR(INDEX(Setup!$G$33:$G$40,MATCH(G343,Setup!$B$33:$B$40,0)),0)=1)*(COUNTIF(G308:I325,$B343)+COUNTIF(G308:I325,$B343&amp;" ~*")&gt;0)+(IFERROR(INDEX(Setup!$G$33:$G$40,MATCH(K343,Setup!$B$33:$B$40,0)),0)=1)*(COUNTIF(K308:M325,$B343)+COUNTIF(K308:M325,$B343&amp;" ~*")&gt;0)+(IFERROR(INDEX(Setup!$G$33:$G$40,MATCH(O343,Setup!$B$33:$B$40,0)),0)=1)*(COUNTIF(O308:Q325,$B343)+COUNTIF(O308:Q325,$B343&amp;" ~*")&gt;0)+(IFERROR(INDEX(Setup!$G$33:$G$40,MATCH(S343,Setup!$B$33:$B$40,0)),0)=1)*(COUNTIF(S308:U325,$B343)+COUNTIF(S308:U325,$B343&amp;" ~*")&gt;0)+(IFERROR(INDEX(Setup!$G$33:$G$40,MATCH(W343,Setup!$B$33:$B$40,0)),0)=1)*(COUNTIF(W308:W325,$B343)+COUNTIF(W308:W325,$B343&amp;" ~*")&gt;0)+(IFERROR(INDEX(Setup!$G$33:$G$40,MATCH(Y343,Setup!$B$33:$B$40,0)),0)=1)*(COUNTIF(Y308:Y325,$B343)+COUNTIF(Y308:Y325,$B343&amp;" ~*")&gt;0))</f>
        <v/>
      </c>
    </row>
    <row r="344" ht="15" customHeight="1">
      <c r="A344" t="n">
        <v>7</v>
      </c>
      <c r="B344" s="37">
        <f>IF(Setup!$B$23="","",Setup!$B$23)</f>
        <v/>
      </c>
      <c r="C344" s="102" t="n"/>
      <c r="D344" s="103" t="n"/>
      <c r="E344" s="103" t="n"/>
      <c r="F344" s="104" t="n"/>
      <c r="G344" s="102" t="n"/>
      <c r="H344" s="103" t="n"/>
      <c r="I344" s="103" t="n"/>
      <c r="J344" s="104" t="n"/>
      <c r="K344" s="102" t="n"/>
      <c r="L344" s="103" t="n"/>
      <c r="M344" s="103" t="n"/>
      <c r="N344" s="104" t="n"/>
      <c r="O344" s="102" t="n"/>
      <c r="P344" s="103" t="n"/>
      <c r="Q344" s="103" t="n"/>
      <c r="R344" s="104" t="n"/>
      <c r="S344" s="102" t="n"/>
      <c r="T344" s="103" t="n"/>
      <c r="U344" s="103" t="n"/>
      <c r="V344" s="104" t="n"/>
      <c r="W344" s="102" t="n"/>
      <c r="X344" s="104" t="n"/>
      <c r="Y344" s="102" t="n"/>
      <c r="Z344" s="104" t="n"/>
      <c r="AB344" s="105">
        <f>IF($B344="","",(COUNTIF(C308:E325,$B344)+COUNTIF(C308:E325,$B344&amp;" ~*")&gt;0)+(COUNTIF(G308:I325,$B344)+COUNTIF(G308:I325,$B344&amp;" ~*")&gt;0)+(COUNTIF(K308:M325,$B344)+COUNTIF(K308:M325,$B344&amp;" ~*")&gt;0)+(COUNTIF(O308:Q325,$B344)+COUNTIF(O308:Q325,$B344&amp;" ~*")&gt;0)+(COUNTIF(S308:U325,$B344)+COUNTIF(S308:U325,$B344&amp;" ~*")&gt;0)+(COUNTIF(W308:W325,$B344)+COUNTIF(W308:W325,$B344&amp;" ~*")&gt;0)+(COUNTIF(Y308:Y325,$B344)+COUNTIF(Y308:Y325,$B344&amp;" ~*")&gt;0))</f>
        <v/>
      </c>
      <c r="AC344" s="38">
        <f>IF($B344="","",(IFERROR(INDEX(Setup!$G$33:$G$40,MATCH(C344,Setup!$B$33:$B$40,0)),0)=1)*(COUNTIF(C308:E325,$B344)+COUNTIF(C308:E325,$B344&amp;" ~*")&gt;0)+(IFERROR(INDEX(Setup!$G$33:$G$40,MATCH(G344,Setup!$B$33:$B$40,0)),0)=1)*(COUNTIF(G308:I325,$B344)+COUNTIF(G308:I325,$B344&amp;" ~*")&gt;0)+(IFERROR(INDEX(Setup!$G$33:$G$40,MATCH(K344,Setup!$B$33:$B$40,0)),0)=1)*(COUNTIF(K308:M325,$B344)+COUNTIF(K308:M325,$B344&amp;" ~*")&gt;0)+(IFERROR(INDEX(Setup!$G$33:$G$40,MATCH(O344,Setup!$B$33:$B$40,0)),0)=1)*(COUNTIF(O308:Q325,$B344)+COUNTIF(O308:Q325,$B344&amp;" ~*")&gt;0)+(IFERROR(INDEX(Setup!$G$33:$G$40,MATCH(S344,Setup!$B$33:$B$40,0)),0)=1)*(COUNTIF(S308:U325,$B344)+COUNTIF(S308:U325,$B344&amp;" ~*")&gt;0)+(IFERROR(INDEX(Setup!$G$33:$G$40,MATCH(W344,Setup!$B$33:$B$40,0)),0)=1)*(COUNTIF(W308:W325,$B344)+COUNTIF(W308:W325,$B344&amp;" ~*")&gt;0)+(IFERROR(INDEX(Setup!$G$33:$G$40,MATCH(Y344,Setup!$B$33:$B$40,0)),0)=1)*(COUNTIF(Y308:Y325,$B344)+COUNTIF(Y308:Y325,$B344&amp;" ~*")&gt;0))</f>
        <v/>
      </c>
    </row>
    <row r="345" ht="15" customHeight="1">
      <c r="A345" t="n">
        <v>7</v>
      </c>
      <c r="B345" s="35">
        <f>IF(Setup!$B$24="","",Setup!$B$24)</f>
        <v/>
      </c>
      <c r="C345" s="98" t="n"/>
      <c r="D345" s="99" t="n"/>
      <c r="E345" s="99" t="n"/>
      <c r="F345" s="100" t="n"/>
      <c r="G345" s="98" t="n"/>
      <c r="H345" s="99" t="n"/>
      <c r="I345" s="99" t="n"/>
      <c r="J345" s="100" t="n"/>
      <c r="K345" s="98" t="n"/>
      <c r="L345" s="99" t="n"/>
      <c r="M345" s="99" t="n"/>
      <c r="N345" s="100" t="n"/>
      <c r="O345" s="98" t="n"/>
      <c r="P345" s="99" t="n"/>
      <c r="Q345" s="99" t="n"/>
      <c r="R345" s="100" t="n"/>
      <c r="S345" s="98" t="n"/>
      <c r="T345" s="99" t="n"/>
      <c r="U345" s="99" t="n"/>
      <c r="V345" s="100" t="n"/>
      <c r="W345" s="98" t="n"/>
      <c r="X345" s="100" t="n"/>
      <c r="Y345" s="98" t="n"/>
      <c r="Z345" s="100" t="n"/>
      <c r="AB345" s="101">
        <f>IF($B345="","",(COUNTIF(C308:E325,$B345)+COUNTIF(C308:E325,$B345&amp;" ~*")&gt;0)+(COUNTIF(G308:I325,$B345)+COUNTIF(G308:I325,$B345&amp;" ~*")&gt;0)+(COUNTIF(K308:M325,$B345)+COUNTIF(K308:M325,$B345&amp;" ~*")&gt;0)+(COUNTIF(O308:Q325,$B345)+COUNTIF(O308:Q325,$B345&amp;" ~*")&gt;0)+(COUNTIF(S308:U325,$B345)+COUNTIF(S308:U325,$B345&amp;" ~*")&gt;0)+(COUNTIF(W308:W325,$B345)+COUNTIF(W308:W325,$B345&amp;" ~*")&gt;0)+(COUNTIF(Y308:Y325,$B345)+COUNTIF(Y308:Y325,$B345&amp;" ~*")&gt;0))</f>
        <v/>
      </c>
      <c r="AC345" s="36">
        <f>IF($B345="","",(IFERROR(INDEX(Setup!$G$33:$G$40,MATCH(C345,Setup!$B$33:$B$40,0)),0)=1)*(COUNTIF(C308:E325,$B345)+COUNTIF(C308:E325,$B345&amp;" ~*")&gt;0)+(IFERROR(INDEX(Setup!$G$33:$G$40,MATCH(G345,Setup!$B$33:$B$40,0)),0)=1)*(COUNTIF(G308:I325,$B345)+COUNTIF(G308:I325,$B345&amp;" ~*")&gt;0)+(IFERROR(INDEX(Setup!$G$33:$G$40,MATCH(K345,Setup!$B$33:$B$40,0)),0)=1)*(COUNTIF(K308:M325,$B345)+COUNTIF(K308:M325,$B345&amp;" ~*")&gt;0)+(IFERROR(INDEX(Setup!$G$33:$G$40,MATCH(O345,Setup!$B$33:$B$40,0)),0)=1)*(COUNTIF(O308:Q325,$B345)+COUNTIF(O308:Q325,$B345&amp;" ~*")&gt;0)+(IFERROR(INDEX(Setup!$G$33:$G$40,MATCH(S345,Setup!$B$33:$B$40,0)),0)=1)*(COUNTIF(S308:U325,$B345)+COUNTIF(S308:U325,$B345&amp;" ~*")&gt;0)+(IFERROR(INDEX(Setup!$G$33:$G$40,MATCH(W345,Setup!$B$33:$B$40,0)),0)=1)*(COUNTIF(W308:W325,$B345)+COUNTIF(W308:W325,$B345&amp;" ~*")&gt;0)+(IFERROR(INDEX(Setup!$G$33:$G$40,MATCH(Y345,Setup!$B$33:$B$40,0)),0)=1)*(COUNTIF(Y308:Y325,$B345)+COUNTIF(Y308:Y325,$B345&amp;" ~*")&gt;0))</f>
        <v/>
      </c>
    </row>
    <row r="346" ht="15" customHeight="1">
      <c r="A346" t="n">
        <v>7</v>
      </c>
      <c r="B346" s="37">
        <f>IF(Setup!$B$25="","",Setup!$B$25)</f>
        <v/>
      </c>
      <c r="C346" s="102" t="n"/>
      <c r="D346" s="103" t="n"/>
      <c r="E346" s="103" t="n"/>
      <c r="F346" s="104" t="n"/>
      <c r="G346" s="102" t="n"/>
      <c r="H346" s="103" t="n"/>
      <c r="I346" s="103" t="n"/>
      <c r="J346" s="104" t="n"/>
      <c r="K346" s="102" t="n"/>
      <c r="L346" s="103" t="n"/>
      <c r="M346" s="103" t="n"/>
      <c r="N346" s="104" t="n"/>
      <c r="O346" s="102" t="n"/>
      <c r="P346" s="103" t="n"/>
      <c r="Q346" s="103" t="n"/>
      <c r="R346" s="104" t="n"/>
      <c r="S346" s="102" t="n"/>
      <c r="T346" s="103" t="n"/>
      <c r="U346" s="103" t="n"/>
      <c r="V346" s="104" t="n"/>
      <c r="W346" s="102" t="n"/>
      <c r="X346" s="104" t="n"/>
      <c r="Y346" s="102" t="n"/>
      <c r="Z346" s="104" t="n"/>
      <c r="AB346" s="105">
        <f>IF($B346="","",(COUNTIF(C308:E325,$B346)+COUNTIF(C308:E325,$B346&amp;" ~*")&gt;0)+(COUNTIF(G308:I325,$B346)+COUNTIF(G308:I325,$B346&amp;" ~*")&gt;0)+(COUNTIF(K308:M325,$B346)+COUNTIF(K308:M325,$B346&amp;" ~*")&gt;0)+(COUNTIF(O308:Q325,$B346)+COUNTIF(O308:Q325,$B346&amp;" ~*")&gt;0)+(COUNTIF(S308:U325,$B346)+COUNTIF(S308:U325,$B346&amp;" ~*")&gt;0)+(COUNTIF(W308:W325,$B346)+COUNTIF(W308:W325,$B346&amp;" ~*")&gt;0)+(COUNTIF(Y308:Y325,$B346)+COUNTIF(Y308:Y325,$B346&amp;" ~*")&gt;0))</f>
        <v/>
      </c>
      <c r="AC346" s="38">
        <f>IF($B346="","",(IFERROR(INDEX(Setup!$G$33:$G$40,MATCH(C346,Setup!$B$33:$B$40,0)),0)=1)*(COUNTIF(C308:E325,$B346)+COUNTIF(C308:E325,$B346&amp;" ~*")&gt;0)+(IFERROR(INDEX(Setup!$G$33:$G$40,MATCH(G346,Setup!$B$33:$B$40,0)),0)=1)*(COUNTIF(G308:I325,$B346)+COUNTIF(G308:I325,$B346&amp;" ~*")&gt;0)+(IFERROR(INDEX(Setup!$G$33:$G$40,MATCH(K346,Setup!$B$33:$B$40,0)),0)=1)*(COUNTIF(K308:M325,$B346)+COUNTIF(K308:M325,$B346&amp;" ~*")&gt;0)+(IFERROR(INDEX(Setup!$G$33:$G$40,MATCH(O346,Setup!$B$33:$B$40,0)),0)=1)*(COUNTIF(O308:Q325,$B346)+COUNTIF(O308:Q325,$B346&amp;" ~*")&gt;0)+(IFERROR(INDEX(Setup!$G$33:$G$40,MATCH(S346,Setup!$B$33:$B$40,0)),0)=1)*(COUNTIF(S308:U325,$B346)+COUNTIF(S308:U325,$B346&amp;" ~*")&gt;0)+(IFERROR(INDEX(Setup!$G$33:$G$40,MATCH(W346,Setup!$B$33:$B$40,0)),0)=1)*(COUNTIF(W308:W325,$B346)+COUNTIF(W308:W325,$B346&amp;" ~*")&gt;0)+(IFERROR(INDEX(Setup!$G$33:$G$40,MATCH(Y346,Setup!$B$33:$B$40,0)),0)=1)*(COUNTIF(Y308:Y325,$B346)+COUNTIF(Y308:Y325,$B346&amp;" ~*")&gt;0))</f>
        <v/>
      </c>
    </row>
    <row r="347" ht="15" customHeight="1">
      <c r="A347" t="n">
        <v>7</v>
      </c>
      <c r="B347" s="35">
        <f>IF(Setup!$B$26="","",Setup!$B$26)</f>
        <v/>
      </c>
      <c r="C347" s="98" t="n"/>
      <c r="D347" s="99" t="n"/>
      <c r="E347" s="99" t="n"/>
      <c r="F347" s="100" t="n"/>
      <c r="G347" s="98" t="n"/>
      <c r="H347" s="99" t="n"/>
      <c r="I347" s="99" t="n"/>
      <c r="J347" s="100" t="n"/>
      <c r="K347" s="98" t="n"/>
      <c r="L347" s="99" t="n"/>
      <c r="M347" s="99" t="n"/>
      <c r="N347" s="100" t="n"/>
      <c r="O347" s="98" t="n"/>
      <c r="P347" s="99" t="n"/>
      <c r="Q347" s="99" t="n"/>
      <c r="R347" s="100" t="n"/>
      <c r="S347" s="98" t="n"/>
      <c r="T347" s="99" t="n"/>
      <c r="U347" s="99" t="n"/>
      <c r="V347" s="100" t="n"/>
      <c r="W347" s="98" t="n"/>
      <c r="X347" s="100" t="n"/>
      <c r="Y347" s="98" t="n"/>
      <c r="Z347" s="100" t="n"/>
      <c r="AB347" s="101">
        <f>IF($B347="","",(COUNTIF(C308:E325,$B347)+COUNTIF(C308:E325,$B347&amp;" ~*")&gt;0)+(COUNTIF(G308:I325,$B347)+COUNTIF(G308:I325,$B347&amp;" ~*")&gt;0)+(COUNTIF(K308:M325,$B347)+COUNTIF(K308:M325,$B347&amp;" ~*")&gt;0)+(COUNTIF(O308:Q325,$B347)+COUNTIF(O308:Q325,$B347&amp;" ~*")&gt;0)+(COUNTIF(S308:U325,$B347)+COUNTIF(S308:U325,$B347&amp;" ~*")&gt;0)+(COUNTIF(W308:W325,$B347)+COUNTIF(W308:W325,$B347&amp;" ~*")&gt;0)+(COUNTIF(Y308:Y325,$B347)+COUNTIF(Y308:Y325,$B347&amp;" ~*")&gt;0))</f>
        <v/>
      </c>
      <c r="AC347" s="36">
        <f>IF($B347="","",(IFERROR(INDEX(Setup!$G$33:$G$40,MATCH(C347,Setup!$B$33:$B$40,0)),0)=1)*(COUNTIF(C308:E325,$B347)+COUNTIF(C308:E325,$B347&amp;" ~*")&gt;0)+(IFERROR(INDEX(Setup!$G$33:$G$40,MATCH(G347,Setup!$B$33:$B$40,0)),0)=1)*(COUNTIF(G308:I325,$B347)+COUNTIF(G308:I325,$B347&amp;" ~*")&gt;0)+(IFERROR(INDEX(Setup!$G$33:$G$40,MATCH(K347,Setup!$B$33:$B$40,0)),0)=1)*(COUNTIF(K308:M325,$B347)+COUNTIF(K308:M325,$B347&amp;" ~*")&gt;0)+(IFERROR(INDEX(Setup!$G$33:$G$40,MATCH(O347,Setup!$B$33:$B$40,0)),0)=1)*(COUNTIF(O308:Q325,$B347)+COUNTIF(O308:Q325,$B347&amp;" ~*")&gt;0)+(IFERROR(INDEX(Setup!$G$33:$G$40,MATCH(S347,Setup!$B$33:$B$40,0)),0)=1)*(COUNTIF(S308:U325,$B347)+COUNTIF(S308:U325,$B347&amp;" ~*")&gt;0)+(IFERROR(INDEX(Setup!$G$33:$G$40,MATCH(W347,Setup!$B$33:$B$40,0)),0)=1)*(COUNTIF(W308:W325,$B347)+COUNTIF(W308:W325,$B347&amp;" ~*")&gt;0)+(IFERROR(INDEX(Setup!$G$33:$G$40,MATCH(Y347,Setup!$B$33:$B$40,0)),0)=1)*(COUNTIF(Y308:Y325,$B347)+COUNTIF(Y308:Y325,$B347&amp;" ~*")&gt;0))</f>
        <v/>
      </c>
    </row>
    <row r="348" ht="15" customHeight="1">
      <c r="A348" t="n">
        <v>7</v>
      </c>
      <c r="B348" s="37">
        <f>IF(Setup!$B$27="","",Setup!$B$27)</f>
        <v/>
      </c>
      <c r="C348" s="102" t="n"/>
      <c r="D348" s="103" t="n"/>
      <c r="E348" s="103" t="n"/>
      <c r="F348" s="104" t="n"/>
      <c r="G348" s="102" t="n"/>
      <c r="H348" s="103" t="n"/>
      <c r="I348" s="103" t="n"/>
      <c r="J348" s="104" t="n"/>
      <c r="K348" s="102" t="n"/>
      <c r="L348" s="103" t="n"/>
      <c r="M348" s="103" t="n"/>
      <c r="N348" s="104" t="n"/>
      <c r="O348" s="102" t="n"/>
      <c r="P348" s="103" t="n"/>
      <c r="Q348" s="103" t="n"/>
      <c r="R348" s="104" t="n"/>
      <c r="S348" s="102" t="n"/>
      <c r="T348" s="103" t="n"/>
      <c r="U348" s="103" t="n"/>
      <c r="V348" s="104" t="n"/>
      <c r="W348" s="102" t="n"/>
      <c r="X348" s="104" t="n"/>
      <c r="Y348" s="102" t="n"/>
      <c r="Z348" s="104" t="n"/>
      <c r="AB348" s="105">
        <f>IF($B348="","",(COUNTIF(C308:E325,$B348)+COUNTIF(C308:E325,$B348&amp;" ~*")&gt;0)+(COUNTIF(G308:I325,$B348)+COUNTIF(G308:I325,$B348&amp;" ~*")&gt;0)+(COUNTIF(K308:M325,$B348)+COUNTIF(K308:M325,$B348&amp;" ~*")&gt;0)+(COUNTIF(O308:Q325,$B348)+COUNTIF(O308:Q325,$B348&amp;" ~*")&gt;0)+(COUNTIF(S308:U325,$B348)+COUNTIF(S308:U325,$B348&amp;" ~*")&gt;0)+(COUNTIF(W308:W325,$B348)+COUNTIF(W308:W325,$B348&amp;" ~*")&gt;0)+(COUNTIF(Y308:Y325,$B348)+COUNTIF(Y308:Y325,$B348&amp;" ~*")&gt;0))</f>
        <v/>
      </c>
      <c r="AC348" s="38">
        <f>IF($B348="","",(IFERROR(INDEX(Setup!$G$33:$G$40,MATCH(C348,Setup!$B$33:$B$40,0)),0)=1)*(COUNTIF(C308:E325,$B348)+COUNTIF(C308:E325,$B348&amp;" ~*")&gt;0)+(IFERROR(INDEX(Setup!$G$33:$G$40,MATCH(G348,Setup!$B$33:$B$40,0)),0)=1)*(COUNTIF(G308:I325,$B348)+COUNTIF(G308:I325,$B348&amp;" ~*")&gt;0)+(IFERROR(INDEX(Setup!$G$33:$G$40,MATCH(K348,Setup!$B$33:$B$40,0)),0)=1)*(COUNTIF(K308:M325,$B348)+COUNTIF(K308:M325,$B348&amp;" ~*")&gt;0)+(IFERROR(INDEX(Setup!$G$33:$G$40,MATCH(O348,Setup!$B$33:$B$40,0)),0)=1)*(COUNTIF(O308:Q325,$B348)+COUNTIF(O308:Q325,$B348&amp;" ~*")&gt;0)+(IFERROR(INDEX(Setup!$G$33:$G$40,MATCH(S348,Setup!$B$33:$B$40,0)),0)=1)*(COUNTIF(S308:U325,$B348)+COUNTIF(S308:U325,$B348&amp;" ~*")&gt;0)+(IFERROR(INDEX(Setup!$G$33:$G$40,MATCH(W348,Setup!$B$33:$B$40,0)),0)=1)*(COUNTIF(W308:W325,$B348)+COUNTIF(W308:W325,$B348&amp;" ~*")&gt;0)+(IFERROR(INDEX(Setup!$G$33:$G$40,MATCH(Y348,Setup!$B$33:$B$40,0)),0)=1)*(COUNTIF(Y308:Y325,$B348)+COUNTIF(Y308:Y325,$B348&amp;" ~*")&gt;0))</f>
        <v/>
      </c>
    </row>
    <row r="349" ht="15" customHeight="1">
      <c r="A349" t="n">
        <v>7</v>
      </c>
      <c r="B349" s="35">
        <f>IF(Setup!$B$28="","",Setup!$B$28)</f>
        <v/>
      </c>
      <c r="C349" s="98" t="n"/>
      <c r="D349" s="99" t="n"/>
      <c r="E349" s="99" t="n"/>
      <c r="F349" s="100" t="n"/>
      <c r="G349" s="98" t="n"/>
      <c r="H349" s="99" t="n"/>
      <c r="I349" s="99" t="n"/>
      <c r="J349" s="100" t="n"/>
      <c r="K349" s="98" t="n"/>
      <c r="L349" s="99" t="n"/>
      <c r="M349" s="99" t="n"/>
      <c r="N349" s="100" t="n"/>
      <c r="O349" s="98" t="n"/>
      <c r="P349" s="99" t="n"/>
      <c r="Q349" s="99" t="n"/>
      <c r="R349" s="100" t="n"/>
      <c r="S349" s="98" t="n"/>
      <c r="T349" s="99" t="n"/>
      <c r="U349" s="99" t="n"/>
      <c r="V349" s="100" t="n"/>
      <c r="W349" s="98" t="n"/>
      <c r="X349" s="100" t="n"/>
      <c r="Y349" s="98" t="n"/>
      <c r="Z349" s="100" t="n"/>
      <c r="AB349" s="101">
        <f>IF($B349="","",(COUNTIF(C308:E325,$B349)+COUNTIF(C308:E325,$B349&amp;" ~*")&gt;0)+(COUNTIF(G308:I325,$B349)+COUNTIF(G308:I325,$B349&amp;" ~*")&gt;0)+(COUNTIF(K308:M325,$B349)+COUNTIF(K308:M325,$B349&amp;" ~*")&gt;0)+(COUNTIF(O308:Q325,$B349)+COUNTIF(O308:Q325,$B349&amp;" ~*")&gt;0)+(COUNTIF(S308:U325,$B349)+COUNTIF(S308:U325,$B349&amp;" ~*")&gt;0)+(COUNTIF(W308:W325,$B349)+COUNTIF(W308:W325,$B349&amp;" ~*")&gt;0)+(COUNTIF(Y308:Y325,$B349)+COUNTIF(Y308:Y325,$B349&amp;" ~*")&gt;0))</f>
        <v/>
      </c>
      <c r="AC349" s="36">
        <f>IF($B349="","",(IFERROR(INDEX(Setup!$G$33:$G$40,MATCH(C349,Setup!$B$33:$B$40,0)),0)=1)*(COUNTIF(C308:E325,$B349)+COUNTIF(C308:E325,$B349&amp;" ~*")&gt;0)+(IFERROR(INDEX(Setup!$G$33:$G$40,MATCH(G349,Setup!$B$33:$B$40,0)),0)=1)*(COUNTIF(G308:I325,$B349)+COUNTIF(G308:I325,$B349&amp;" ~*")&gt;0)+(IFERROR(INDEX(Setup!$G$33:$G$40,MATCH(K349,Setup!$B$33:$B$40,0)),0)=1)*(COUNTIF(K308:M325,$B349)+COUNTIF(K308:M325,$B349&amp;" ~*")&gt;0)+(IFERROR(INDEX(Setup!$G$33:$G$40,MATCH(O349,Setup!$B$33:$B$40,0)),0)=1)*(COUNTIF(O308:Q325,$B349)+COUNTIF(O308:Q325,$B349&amp;" ~*")&gt;0)+(IFERROR(INDEX(Setup!$G$33:$G$40,MATCH(S349,Setup!$B$33:$B$40,0)),0)=1)*(COUNTIF(S308:U325,$B349)+COUNTIF(S308:U325,$B349&amp;" ~*")&gt;0)+(IFERROR(INDEX(Setup!$G$33:$G$40,MATCH(W349,Setup!$B$33:$B$40,0)),0)=1)*(COUNTIF(W308:W325,$B349)+COUNTIF(W308:W325,$B349&amp;" ~*")&gt;0)+(IFERROR(INDEX(Setup!$G$33:$G$40,MATCH(Y349,Setup!$B$33:$B$40,0)),0)=1)*(COUNTIF(Y308:Y325,$B349)+COUNTIF(Y308:Y325,$B349&amp;" ~*")&gt;0))</f>
        <v/>
      </c>
    </row>
    <row r="350" ht="15" customHeight="1">
      <c r="A350" t="n">
        <v>7</v>
      </c>
      <c r="B350" s="37">
        <f>IF(Setup!$B$29="","",Setup!$B$29)</f>
        <v/>
      </c>
      <c r="C350" s="102" t="n"/>
      <c r="D350" s="103" t="n"/>
      <c r="E350" s="103" t="n"/>
      <c r="F350" s="104" t="n"/>
      <c r="G350" s="102" t="n"/>
      <c r="H350" s="103" t="n"/>
      <c r="I350" s="103" t="n"/>
      <c r="J350" s="104" t="n"/>
      <c r="K350" s="102" t="n"/>
      <c r="L350" s="103" t="n"/>
      <c r="M350" s="103" t="n"/>
      <c r="N350" s="104" t="n"/>
      <c r="O350" s="102" t="n"/>
      <c r="P350" s="103" t="n"/>
      <c r="Q350" s="103" t="n"/>
      <c r="R350" s="104" t="n"/>
      <c r="S350" s="102" t="n"/>
      <c r="T350" s="103" t="n"/>
      <c r="U350" s="103" t="n"/>
      <c r="V350" s="104" t="n"/>
      <c r="W350" s="102" t="n"/>
      <c r="X350" s="104" t="n"/>
      <c r="Y350" s="102" t="n"/>
      <c r="Z350" s="104" t="n"/>
      <c r="AB350" s="105">
        <f>IF($B350="","",(COUNTIF(C308:E325,$B350)+COUNTIF(C308:E325,$B350&amp;" ~*")&gt;0)+(COUNTIF(G308:I325,$B350)+COUNTIF(G308:I325,$B350&amp;" ~*")&gt;0)+(COUNTIF(K308:M325,$B350)+COUNTIF(K308:M325,$B350&amp;" ~*")&gt;0)+(COUNTIF(O308:Q325,$B350)+COUNTIF(O308:Q325,$B350&amp;" ~*")&gt;0)+(COUNTIF(S308:U325,$B350)+COUNTIF(S308:U325,$B350&amp;" ~*")&gt;0)+(COUNTIF(W308:W325,$B350)+COUNTIF(W308:W325,$B350&amp;" ~*")&gt;0)+(COUNTIF(Y308:Y325,$B350)+COUNTIF(Y308:Y325,$B350&amp;" ~*")&gt;0))</f>
        <v/>
      </c>
      <c r="AC350" s="38">
        <f>IF($B350="","",(IFERROR(INDEX(Setup!$G$33:$G$40,MATCH(C350,Setup!$B$33:$B$40,0)),0)=1)*(COUNTIF(C308:E325,$B350)+COUNTIF(C308:E325,$B350&amp;" ~*")&gt;0)+(IFERROR(INDEX(Setup!$G$33:$G$40,MATCH(G350,Setup!$B$33:$B$40,0)),0)=1)*(COUNTIF(G308:I325,$B350)+COUNTIF(G308:I325,$B350&amp;" ~*")&gt;0)+(IFERROR(INDEX(Setup!$G$33:$G$40,MATCH(K350,Setup!$B$33:$B$40,0)),0)=1)*(COUNTIF(K308:M325,$B350)+COUNTIF(K308:M325,$B350&amp;" ~*")&gt;0)+(IFERROR(INDEX(Setup!$G$33:$G$40,MATCH(O350,Setup!$B$33:$B$40,0)),0)=1)*(COUNTIF(O308:Q325,$B350)+COUNTIF(O308:Q325,$B350&amp;" ~*")&gt;0)+(IFERROR(INDEX(Setup!$G$33:$G$40,MATCH(S350,Setup!$B$33:$B$40,0)),0)=1)*(COUNTIF(S308:U325,$B350)+COUNTIF(S308:U325,$B350&amp;" ~*")&gt;0)+(IFERROR(INDEX(Setup!$G$33:$G$40,MATCH(W350,Setup!$B$33:$B$40,0)),0)=1)*(COUNTIF(W308:W325,$B350)+COUNTIF(W308:W325,$B350&amp;" ~*")&gt;0)+(IFERROR(INDEX(Setup!$G$33:$G$40,MATCH(Y350,Setup!$B$33:$B$40,0)),0)=1)*(COUNTIF(Y308:Y325,$B350)+COUNTIF(Y308:Y325,$B350&amp;" ~*")&gt;0))</f>
        <v/>
      </c>
    </row>
    <row r="351" ht="16" customHeight="1">
      <c r="A351" t="n">
        <v>7</v>
      </c>
      <c r="B351" s="106" t="inlineStr">
        <is>
          <t>Available people</t>
        </is>
      </c>
      <c r="C351" s="107">
        <f>COUNTIFS(Setup!$E$6:$E$29,"Y",Setup!$B$6:$B$29,"?*")-SUMPRODUCT(COUNTIF(C327:C350,Setup!$F$33:$F$40))</f>
        <v/>
      </c>
      <c r="D351" s="107" t="n"/>
      <c r="E351" s="107" t="n"/>
      <c r="F351" s="107" t="n"/>
      <c r="G351" s="107">
        <f>COUNTIFS(Setup!$E$6:$E$29,"Y",Setup!$B$6:$B$29,"?*")-SUMPRODUCT(COUNTIF(G327:G350,Setup!$F$33:$F$40))</f>
        <v/>
      </c>
      <c r="H351" s="107" t="n"/>
      <c r="I351" s="107" t="n"/>
      <c r="J351" s="107" t="n"/>
      <c r="K351" s="107">
        <f>COUNTIFS(Setup!$E$6:$E$29,"Y",Setup!$B$6:$B$29,"?*")-SUMPRODUCT(COUNTIF(K327:K350,Setup!$F$33:$F$40))</f>
        <v/>
      </c>
      <c r="L351" s="107" t="n"/>
      <c r="M351" s="107" t="n"/>
      <c r="N351" s="107" t="n"/>
      <c r="O351" s="107">
        <f>COUNTIFS(Setup!$E$6:$E$29,"Y",Setup!$B$6:$B$29,"?*")-SUMPRODUCT(COUNTIF(O327:O350,Setup!$F$33:$F$40))</f>
        <v/>
      </c>
      <c r="P351" s="107" t="n"/>
      <c r="Q351" s="107" t="n"/>
      <c r="R351" s="107" t="n"/>
      <c r="S351" s="107">
        <f>COUNTIFS(Setup!$E$6:$E$29,"Y",Setup!$B$6:$B$29,"?*")-SUMPRODUCT(COUNTIF(S327:S350,Setup!$F$33:$F$40))</f>
        <v/>
      </c>
      <c r="T351" s="107" t="n"/>
      <c r="U351" s="107" t="n"/>
      <c r="V351" s="107" t="n"/>
      <c r="W351" s="107">
        <f>COUNTIFS(Setup!$E$6:$E$29,"Y",Setup!$B$6:$B$29,"?*")-SUMPRODUCT(COUNTIF(W327:W350,Setup!$F$33:$F$40))</f>
        <v/>
      </c>
      <c r="X351" s="107" t="n"/>
      <c r="Y351" s="107">
        <f>COUNTIFS(Setup!$E$6:$E$29,"Y",Setup!$B$6:$B$29,"?*")-SUMPRODUCT(COUNTIF(Y327:Y350,Setup!$F$33:$F$40))</f>
        <v/>
      </c>
      <c r="Z351" s="107" t="n"/>
      <c r="AB351" s="108">
        <f>SUM(AB327:AB350)</f>
        <v/>
      </c>
      <c r="AC351" s="109">
        <f>SUM(AC327:AC350)</f>
        <v/>
      </c>
    </row>
    <row r="352" ht="30" customHeight="1">
      <c r="A352" t="n">
        <v>7</v>
      </c>
      <c r="B352" s="110" t="inlineStr">
        <is>
          <t>Week notes</t>
        </is>
      </c>
      <c r="C352" s="111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112" t="n"/>
      <c r="R352" s="112" t="n"/>
      <c r="S352" s="112" t="n"/>
      <c r="T352" s="112" t="n"/>
      <c r="U352" s="112" t="n"/>
      <c r="V352" s="112" t="n"/>
      <c r="W352" s="112" t="n"/>
      <c r="X352" s="112" t="n"/>
      <c r="Y352" s="112" t="n"/>
      <c r="Z352" s="113" t="n"/>
    </row>
    <row r="353" ht="8" customHeight="1">
      <c r="A353" t="n">
        <v>7</v>
      </c>
    </row>
    <row r="354" ht="8" customHeight="1">
      <c r="A354" t="n">
        <v>7</v>
      </c>
    </row>
    <row r="355" ht="24" customHeight="1">
      <c r="A355" t="n">
        <v>8</v>
      </c>
      <c r="B355" s="73">
        <f>"WEEK 8     "&amp;TEXT(C356,"ddd d mmm")&amp;"  –  "&amp;TEXT(C356+6,"ddd d mmm yyyy")</f>
        <v/>
      </c>
      <c r="S355" s="74">
        <f>IF(TODAY()&lt;C356,"FUTURE",IF(TODAY()&gt;C356+6,"PAST","THIS WEEK"))</f>
        <v/>
      </c>
      <c r="W355" s="75">
        <f>IF(AND(Engine!$B$8=$AC$3,Engine!$B$9=$A355),"◀ ACTIVE WEEK","")</f>
        <v/>
      </c>
      <c r="AA355" s="76" t="n"/>
      <c r="AB355" s="77" t="inlineStr">
        <is>
          <t>◀ Prev</t>
        </is>
      </c>
      <c r="AC355" s="77" t="inlineStr">
        <is>
          <t>Next ▶</t>
        </is>
      </c>
    </row>
    <row r="356" ht="18" customHeight="1">
      <c r="A356" t="n">
        <v>8</v>
      </c>
      <c r="B356" s="78" t="inlineStr">
        <is>
          <t>DUTY</t>
        </is>
      </c>
      <c r="C356" s="79">
        <f>$AC$2+7*($A356-1)</f>
        <v/>
      </c>
      <c r="D356" s="80" t="n"/>
      <c r="E356" s="80" t="n"/>
      <c r="F356" s="81" t="n"/>
      <c r="G356" s="79">
        <f>C356+1</f>
        <v/>
      </c>
      <c r="H356" s="80" t="n"/>
      <c r="I356" s="80" t="n"/>
      <c r="J356" s="81" t="n"/>
      <c r="K356" s="79">
        <f>C356+2</f>
        <v/>
      </c>
      <c r="L356" s="80" t="n"/>
      <c r="M356" s="80" t="n"/>
      <c r="N356" s="81" t="n"/>
      <c r="O356" s="79">
        <f>C356+3</f>
        <v/>
      </c>
      <c r="P356" s="80" t="n"/>
      <c r="Q356" s="80" t="n"/>
      <c r="R356" s="81" t="n"/>
      <c r="S356" s="79">
        <f>C356+4</f>
        <v/>
      </c>
      <c r="T356" s="80" t="n"/>
      <c r="U356" s="80" t="n"/>
      <c r="V356" s="81" t="n"/>
      <c r="W356" s="82">
        <f>C356+5</f>
        <v/>
      </c>
      <c r="X356" s="83" t="n"/>
      <c r="Y356" s="82">
        <f>C356+6</f>
        <v/>
      </c>
      <c r="Z356" s="83" t="n"/>
      <c r="AB356" s="72" t="inlineStr">
        <is>
          <t>Gaps</t>
        </is>
      </c>
      <c r="AC356" s="72" t="inlineStr">
        <is>
          <t>Cover</t>
        </is>
      </c>
    </row>
    <row r="357" ht="14" customHeight="1">
      <c r="A357" t="n">
        <v>8</v>
      </c>
      <c r="B357" s="84" t="inlineStr">
        <is>
          <t>(from Setup)</t>
        </is>
      </c>
      <c r="C357" s="85" t="inlineStr">
        <is>
          <t>1</t>
        </is>
      </c>
      <c r="D357" s="85" t="inlineStr">
        <is>
          <t>2</t>
        </is>
      </c>
      <c r="E357" s="85" t="inlineStr">
        <is>
          <t>3</t>
        </is>
      </c>
      <c r="F357" s="85" t="inlineStr">
        <is>
          <t>Notes</t>
        </is>
      </c>
      <c r="G357" s="85" t="inlineStr">
        <is>
          <t>1</t>
        </is>
      </c>
      <c r="H357" s="85" t="inlineStr">
        <is>
          <t>2</t>
        </is>
      </c>
      <c r="I357" s="85" t="inlineStr">
        <is>
          <t>3</t>
        </is>
      </c>
      <c r="J357" s="85" t="inlineStr">
        <is>
          <t>Notes</t>
        </is>
      </c>
      <c r="K357" s="85" t="inlineStr">
        <is>
          <t>1</t>
        </is>
      </c>
      <c r="L357" s="85" t="inlineStr">
        <is>
          <t>2</t>
        </is>
      </c>
      <c r="M357" s="85" t="inlineStr">
        <is>
          <t>3</t>
        </is>
      </c>
      <c r="N357" s="85" t="inlineStr">
        <is>
          <t>Notes</t>
        </is>
      </c>
      <c r="O357" s="85" t="inlineStr">
        <is>
          <t>1</t>
        </is>
      </c>
      <c r="P357" s="85" t="inlineStr">
        <is>
          <t>2</t>
        </is>
      </c>
      <c r="Q357" s="85" t="inlineStr">
        <is>
          <t>3</t>
        </is>
      </c>
      <c r="R357" s="85" t="inlineStr">
        <is>
          <t>Notes</t>
        </is>
      </c>
      <c r="S357" s="85" t="inlineStr">
        <is>
          <t>1</t>
        </is>
      </c>
      <c r="T357" s="85" t="inlineStr">
        <is>
          <t>2</t>
        </is>
      </c>
      <c r="U357" s="85" t="inlineStr">
        <is>
          <t>3</t>
        </is>
      </c>
      <c r="V357" s="85" t="inlineStr">
        <is>
          <t>Notes</t>
        </is>
      </c>
      <c r="W357" s="85" t="inlineStr">
        <is>
          <t>Cover</t>
        </is>
      </c>
      <c r="X357" s="85" t="inlineStr">
        <is>
          <t>Notes</t>
        </is>
      </c>
      <c r="Y357" s="85" t="inlineStr">
        <is>
          <t>Cover</t>
        </is>
      </c>
      <c r="Z357" s="85" t="inlineStr">
        <is>
          <t>Notes</t>
        </is>
      </c>
      <c r="AB357" s="86" t="inlineStr">
        <is>
          <t>weekdays short</t>
        </is>
      </c>
      <c r="AC357" s="87" t="inlineStr"/>
    </row>
    <row r="358" ht="17" customHeight="1">
      <c r="A358" t="n">
        <v>8</v>
      </c>
      <c r="B358" s="24">
        <f>IF(Setup!$K$6="","",Setup!$K$6)</f>
        <v/>
      </c>
      <c r="C358" s="88" t="n"/>
      <c r="D358" s="88" t="n"/>
      <c r="E358" s="88" t="n"/>
      <c r="F358" s="89" t="n"/>
      <c r="G358" s="88" t="n"/>
      <c r="H358" s="88" t="n"/>
      <c r="I358" s="88" t="n"/>
      <c r="J358" s="89" t="n"/>
      <c r="K358" s="88" t="n"/>
      <c r="L358" s="88" t="n"/>
      <c r="M358" s="88" t="n"/>
      <c r="N358" s="89" t="n"/>
      <c r="O358" s="88" t="n"/>
      <c r="P358" s="88" t="n"/>
      <c r="Q358" s="88" t="n"/>
      <c r="R358" s="89" t="n"/>
      <c r="S358" s="88" t="n"/>
      <c r="T358" s="88" t="n"/>
      <c r="U358" s="88" t="n"/>
      <c r="V358" s="89" t="n"/>
      <c r="W358" s="88" t="n"/>
      <c r="X358" s="89" t="n"/>
      <c r="Y358" s="88" t="n"/>
      <c r="Z358" s="89" t="n"/>
      <c r="AB358" s="25">
        <f>IF($B358="","",(COUNTIF(C358:E358,"?*")&lt;N(INDEX(Setup!$L$6:$L$23,1)))+(COUNTIF(G358:I358,"?*")&lt;N(INDEX(Setup!$L$6:$L$23,1)))+(COUNTIF(K358:M358,"?*")&lt;N(INDEX(Setup!$L$6:$L$23,1)))+(COUNTIF(O358:Q358,"?*")&lt;N(INDEX(Setup!$L$6:$L$23,1)))+(COUNTIF(S358:U358,"?*")&lt;N(INDEX(Setup!$L$6:$L$23,1)))+((W358="")*(INDEX(Setup!$M$6:$M$23,1)="Y"))+((Y358="")*(INDEX(Setup!$M$6:$M$23,1)="Y")))</f>
        <v/>
      </c>
      <c r="AC358" s="90">
        <f>IF($B358="","",IF(AB358=0,"✓ covered","⚠ "&amp;AB358&amp;IF(AB358=1," gap"," gaps")))</f>
        <v/>
      </c>
    </row>
    <row r="359" ht="17" customHeight="1">
      <c r="A359" t="n">
        <v>8</v>
      </c>
      <c r="B359" s="29">
        <f>IF(Setup!$K$7="","",Setup!$K$7)</f>
        <v/>
      </c>
      <c r="C359" s="88" t="n"/>
      <c r="D359" s="88" t="n"/>
      <c r="E359" s="88" t="n"/>
      <c r="F359" s="89" t="n"/>
      <c r="G359" s="88" t="n"/>
      <c r="H359" s="88" t="n"/>
      <c r="I359" s="88" t="n"/>
      <c r="J359" s="89" t="n"/>
      <c r="K359" s="88" t="n"/>
      <c r="L359" s="88" t="n"/>
      <c r="M359" s="88" t="n"/>
      <c r="N359" s="89" t="n"/>
      <c r="O359" s="88" t="n"/>
      <c r="P359" s="88" t="n"/>
      <c r="Q359" s="88" t="n"/>
      <c r="R359" s="89" t="n"/>
      <c r="S359" s="88" t="n"/>
      <c r="T359" s="88" t="n"/>
      <c r="U359" s="88" t="n"/>
      <c r="V359" s="89" t="n"/>
      <c r="W359" s="88" t="n"/>
      <c r="X359" s="89" t="n"/>
      <c r="Y359" s="88" t="n"/>
      <c r="Z359" s="89" t="n"/>
      <c r="AB359" s="30">
        <f>IF($B359="","",(COUNTIF(C359:E359,"?*")&lt;N(INDEX(Setup!$L$6:$L$23,2)))+(COUNTIF(G359:I359,"?*")&lt;N(INDEX(Setup!$L$6:$L$23,2)))+(COUNTIF(K359:M359,"?*")&lt;N(INDEX(Setup!$L$6:$L$23,2)))+(COUNTIF(O359:Q359,"?*")&lt;N(INDEX(Setup!$L$6:$L$23,2)))+(COUNTIF(S359:U359,"?*")&lt;N(INDEX(Setup!$L$6:$L$23,2)))+((W359="")*(INDEX(Setup!$M$6:$M$23,2)="Y"))+((Y359="")*(INDEX(Setup!$M$6:$M$23,2)="Y")))</f>
        <v/>
      </c>
      <c r="AC359" s="91">
        <f>IF($B359="","",IF(AB359=0,"✓ covered","⚠ "&amp;AB359&amp;IF(AB359=1," gap"," gaps")))</f>
        <v/>
      </c>
    </row>
    <row r="360" ht="17" customHeight="1">
      <c r="A360" t="n">
        <v>8</v>
      </c>
      <c r="B360" s="24">
        <f>IF(Setup!$K$8="","",Setup!$K$8)</f>
        <v/>
      </c>
      <c r="C360" s="88" t="n"/>
      <c r="D360" s="88" t="n"/>
      <c r="E360" s="88" t="n"/>
      <c r="F360" s="89" t="n"/>
      <c r="G360" s="88" t="n"/>
      <c r="H360" s="88" t="n"/>
      <c r="I360" s="88" t="n"/>
      <c r="J360" s="89" t="n"/>
      <c r="K360" s="88" t="n"/>
      <c r="L360" s="88" t="n"/>
      <c r="M360" s="88" t="n"/>
      <c r="N360" s="89" t="n"/>
      <c r="O360" s="88" t="n"/>
      <c r="P360" s="88" t="n"/>
      <c r="Q360" s="88" t="n"/>
      <c r="R360" s="89" t="n"/>
      <c r="S360" s="88" t="n"/>
      <c r="T360" s="88" t="n"/>
      <c r="U360" s="88" t="n"/>
      <c r="V360" s="89" t="n"/>
      <c r="W360" s="88" t="n"/>
      <c r="X360" s="89" t="n"/>
      <c r="Y360" s="88" t="n"/>
      <c r="Z360" s="89" t="n"/>
      <c r="AB360" s="25">
        <f>IF($B360="","",(COUNTIF(C360:E360,"?*")&lt;N(INDEX(Setup!$L$6:$L$23,3)))+(COUNTIF(G360:I360,"?*")&lt;N(INDEX(Setup!$L$6:$L$23,3)))+(COUNTIF(K360:M360,"?*")&lt;N(INDEX(Setup!$L$6:$L$23,3)))+(COUNTIF(O360:Q360,"?*")&lt;N(INDEX(Setup!$L$6:$L$23,3)))+(COUNTIF(S360:U360,"?*")&lt;N(INDEX(Setup!$L$6:$L$23,3)))+((W360="")*(INDEX(Setup!$M$6:$M$23,3)="Y"))+((Y360="")*(INDEX(Setup!$M$6:$M$23,3)="Y")))</f>
        <v/>
      </c>
      <c r="AC360" s="90">
        <f>IF($B360="","",IF(AB360=0,"✓ covered","⚠ "&amp;AB360&amp;IF(AB360=1," gap"," gaps")))</f>
        <v/>
      </c>
    </row>
    <row r="361" ht="17" customHeight="1">
      <c r="A361" t="n">
        <v>8</v>
      </c>
      <c r="B361" s="29">
        <f>IF(Setup!$K$9="","",Setup!$K$9)</f>
        <v/>
      </c>
      <c r="C361" s="88" t="n"/>
      <c r="D361" s="88" t="n"/>
      <c r="E361" s="88" t="n"/>
      <c r="F361" s="89" t="n"/>
      <c r="G361" s="88" t="n"/>
      <c r="H361" s="88" t="n"/>
      <c r="I361" s="88" t="n"/>
      <c r="J361" s="89" t="n"/>
      <c r="K361" s="88" t="n"/>
      <c r="L361" s="88" t="n"/>
      <c r="M361" s="88" t="n"/>
      <c r="N361" s="89" t="n"/>
      <c r="O361" s="88" t="n"/>
      <c r="P361" s="88" t="n"/>
      <c r="Q361" s="88" t="n"/>
      <c r="R361" s="89" t="n"/>
      <c r="S361" s="88" t="n"/>
      <c r="T361" s="88" t="n"/>
      <c r="U361" s="88" t="n"/>
      <c r="V361" s="89" t="n"/>
      <c r="W361" s="88" t="n"/>
      <c r="X361" s="89" t="n"/>
      <c r="Y361" s="88" t="n"/>
      <c r="Z361" s="89" t="n"/>
      <c r="AB361" s="30">
        <f>IF($B361="","",(COUNTIF(C361:E361,"?*")&lt;N(INDEX(Setup!$L$6:$L$23,4)))+(COUNTIF(G361:I361,"?*")&lt;N(INDEX(Setup!$L$6:$L$23,4)))+(COUNTIF(K361:M361,"?*")&lt;N(INDEX(Setup!$L$6:$L$23,4)))+(COUNTIF(O361:Q361,"?*")&lt;N(INDEX(Setup!$L$6:$L$23,4)))+(COUNTIF(S361:U361,"?*")&lt;N(INDEX(Setup!$L$6:$L$23,4)))+((W361="")*(INDEX(Setup!$M$6:$M$23,4)="Y"))+((Y361="")*(INDEX(Setup!$M$6:$M$23,4)="Y")))</f>
        <v/>
      </c>
      <c r="AC361" s="91">
        <f>IF($B361="","",IF(AB361=0,"✓ covered","⚠ "&amp;AB361&amp;IF(AB361=1," gap"," gaps")))</f>
        <v/>
      </c>
    </row>
    <row r="362" ht="17" customHeight="1">
      <c r="A362" t="n">
        <v>8</v>
      </c>
      <c r="B362" s="24">
        <f>IF(Setup!$K$10="","",Setup!$K$10)</f>
        <v/>
      </c>
      <c r="C362" s="88" t="n"/>
      <c r="D362" s="88" t="n"/>
      <c r="E362" s="88" t="n"/>
      <c r="F362" s="89" t="n"/>
      <c r="G362" s="88" t="n"/>
      <c r="H362" s="88" t="n"/>
      <c r="I362" s="88" t="n"/>
      <c r="J362" s="89" t="n"/>
      <c r="K362" s="88" t="n"/>
      <c r="L362" s="88" t="n"/>
      <c r="M362" s="88" t="n"/>
      <c r="N362" s="89" t="n"/>
      <c r="O362" s="88" t="n"/>
      <c r="P362" s="88" t="n"/>
      <c r="Q362" s="88" t="n"/>
      <c r="R362" s="89" t="n"/>
      <c r="S362" s="88" t="n"/>
      <c r="T362" s="88" t="n"/>
      <c r="U362" s="88" t="n"/>
      <c r="V362" s="89" t="n"/>
      <c r="W362" s="88" t="n"/>
      <c r="X362" s="89" t="n"/>
      <c r="Y362" s="88" t="n"/>
      <c r="Z362" s="89" t="n"/>
      <c r="AB362" s="25">
        <f>IF($B362="","",(COUNTIF(C362:E362,"?*")&lt;N(INDEX(Setup!$L$6:$L$23,5)))+(COUNTIF(G362:I362,"?*")&lt;N(INDEX(Setup!$L$6:$L$23,5)))+(COUNTIF(K362:M362,"?*")&lt;N(INDEX(Setup!$L$6:$L$23,5)))+(COUNTIF(O362:Q362,"?*")&lt;N(INDEX(Setup!$L$6:$L$23,5)))+(COUNTIF(S362:U362,"?*")&lt;N(INDEX(Setup!$L$6:$L$23,5)))+((W362="")*(INDEX(Setup!$M$6:$M$23,5)="Y"))+((Y362="")*(INDEX(Setup!$M$6:$M$23,5)="Y")))</f>
        <v/>
      </c>
      <c r="AC362" s="90">
        <f>IF($B362="","",IF(AB362=0,"✓ covered","⚠ "&amp;AB362&amp;IF(AB362=1," gap"," gaps")))</f>
        <v/>
      </c>
    </row>
    <row r="363" ht="17" customHeight="1">
      <c r="A363" t="n">
        <v>8</v>
      </c>
      <c r="B363" s="29">
        <f>IF(Setup!$K$11="","",Setup!$K$11)</f>
        <v/>
      </c>
      <c r="C363" s="88" t="n"/>
      <c r="D363" s="88" t="n"/>
      <c r="E363" s="88" t="n"/>
      <c r="F363" s="89" t="n"/>
      <c r="G363" s="88" t="n"/>
      <c r="H363" s="88" t="n"/>
      <c r="I363" s="88" t="n"/>
      <c r="J363" s="89" t="n"/>
      <c r="K363" s="88" t="n"/>
      <c r="L363" s="88" t="n"/>
      <c r="M363" s="88" t="n"/>
      <c r="N363" s="89" t="n"/>
      <c r="O363" s="88" t="n"/>
      <c r="P363" s="88" t="n"/>
      <c r="Q363" s="88" t="n"/>
      <c r="R363" s="89" t="n"/>
      <c r="S363" s="88" t="n"/>
      <c r="T363" s="88" t="n"/>
      <c r="U363" s="88" t="n"/>
      <c r="V363" s="89" t="n"/>
      <c r="W363" s="88" t="n"/>
      <c r="X363" s="89" t="n"/>
      <c r="Y363" s="88" t="n"/>
      <c r="Z363" s="89" t="n"/>
      <c r="AB363" s="30">
        <f>IF($B363="","",(COUNTIF(C363:E363,"?*")&lt;N(INDEX(Setup!$L$6:$L$23,6)))+(COUNTIF(G363:I363,"?*")&lt;N(INDEX(Setup!$L$6:$L$23,6)))+(COUNTIF(K363:M363,"?*")&lt;N(INDEX(Setup!$L$6:$L$23,6)))+(COUNTIF(O363:Q363,"?*")&lt;N(INDEX(Setup!$L$6:$L$23,6)))+(COUNTIF(S363:U363,"?*")&lt;N(INDEX(Setup!$L$6:$L$23,6)))+((W363="")*(INDEX(Setup!$M$6:$M$23,6)="Y"))+((Y363="")*(INDEX(Setup!$M$6:$M$23,6)="Y")))</f>
        <v/>
      </c>
      <c r="AC363" s="91">
        <f>IF($B363="","",IF(AB363=0,"✓ covered","⚠ "&amp;AB363&amp;IF(AB363=1," gap"," gaps")))</f>
        <v/>
      </c>
    </row>
    <row r="364" ht="17" customHeight="1">
      <c r="A364" t="n">
        <v>8</v>
      </c>
      <c r="B364" s="24">
        <f>IF(Setup!$K$12="","",Setup!$K$12)</f>
        <v/>
      </c>
      <c r="C364" s="88" t="n"/>
      <c r="D364" s="88" t="n"/>
      <c r="E364" s="88" t="n"/>
      <c r="F364" s="89" t="n"/>
      <c r="G364" s="88" t="n"/>
      <c r="H364" s="88" t="n"/>
      <c r="I364" s="88" t="n"/>
      <c r="J364" s="89" t="n"/>
      <c r="K364" s="88" t="n"/>
      <c r="L364" s="88" t="n"/>
      <c r="M364" s="88" t="n"/>
      <c r="N364" s="89" t="n"/>
      <c r="O364" s="88" t="n"/>
      <c r="P364" s="88" t="n"/>
      <c r="Q364" s="88" t="n"/>
      <c r="R364" s="89" t="n"/>
      <c r="S364" s="88" t="n"/>
      <c r="T364" s="88" t="n"/>
      <c r="U364" s="88" t="n"/>
      <c r="V364" s="89" t="n"/>
      <c r="W364" s="88" t="n"/>
      <c r="X364" s="89" t="n"/>
      <c r="Y364" s="88" t="n"/>
      <c r="Z364" s="89" t="n"/>
      <c r="AB364" s="25">
        <f>IF($B364="","",(COUNTIF(C364:E364,"?*")&lt;N(INDEX(Setup!$L$6:$L$23,7)))+(COUNTIF(G364:I364,"?*")&lt;N(INDEX(Setup!$L$6:$L$23,7)))+(COUNTIF(K364:M364,"?*")&lt;N(INDEX(Setup!$L$6:$L$23,7)))+(COUNTIF(O364:Q364,"?*")&lt;N(INDEX(Setup!$L$6:$L$23,7)))+(COUNTIF(S364:U364,"?*")&lt;N(INDEX(Setup!$L$6:$L$23,7)))+((W364="")*(INDEX(Setup!$M$6:$M$23,7)="Y"))+((Y364="")*(INDEX(Setup!$M$6:$M$23,7)="Y")))</f>
        <v/>
      </c>
      <c r="AC364" s="90">
        <f>IF($B364="","",IF(AB364=0,"✓ covered","⚠ "&amp;AB364&amp;IF(AB364=1," gap"," gaps")))</f>
        <v/>
      </c>
    </row>
    <row r="365" ht="17" customHeight="1">
      <c r="A365" t="n">
        <v>8</v>
      </c>
      <c r="B365" s="29">
        <f>IF(Setup!$K$13="","",Setup!$K$13)</f>
        <v/>
      </c>
      <c r="C365" s="88" t="n"/>
      <c r="D365" s="88" t="n"/>
      <c r="E365" s="88" t="n"/>
      <c r="F365" s="89" t="n"/>
      <c r="G365" s="88" t="n"/>
      <c r="H365" s="88" t="n"/>
      <c r="I365" s="88" t="n"/>
      <c r="J365" s="89" t="n"/>
      <c r="K365" s="88" t="n"/>
      <c r="L365" s="88" t="n"/>
      <c r="M365" s="88" t="n"/>
      <c r="N365" s="89" t="n"/>
      <c r="O365" s="88" t="n"/>
      <c r="P365" s="88" t="n"/>
      <c r="Q365" s="88" t="n"/>
      <c r="R365" s="89" t="n"/>
      <c r="S365" s="88" t="n"/>
      <c r="T365" s="88" t="n"/>
      <c r="U365" s="88" t="n"/>
      <c r="V365" s="89" t="n"/>
      <c r="W365" s="88" t="n"/>
      <c r="X365" s="89" t="n"/>
      <c r="Y365" s="88" t="n"/>
      <c r="Z365" s="89" t="n"/>
      <c r="AB365" s="30">
        <f>IF($B365="","",(COUNTIF(C365:E365,"?*")&lt;N(INDEX(Setup!$L$6:$L$23,8)))+(COUNTIF(G365:I365,"?*")&lt;N(INDEX(Setup!$L$6:$L$23,8)))+(COUNTIF(K365:M365,"?*")&lt;N(INDEX(Setup!$L$6:$L$23,8)))+(COUNTIF(O365:Q365,"?*")&lt;N(INDEX(Setup!$L$6:$L$23,8)))+(COUNTIF(S365:U365,"?*")&lt;N(INDEX(Setup!$L$6:$L$23,8)))+((W365="")*(INDEX(Setup!$M$6:$M$23,8)="Y"))+((Y365="")*(INDEX(Setup!$M$6:$M$23,8)="Y")))</f>
        <v/>
      </c>
      <c r="AC365" s="91">
        <f>IF($B365="","",IF(AB365=0,"✓ covered","⚠ "&amp;AB365&amp;IF(AB365=1," gap"," gaps")))</f>
        <v/>
      </c>
    </row>
    <row r="366" ht="17" customHeight="1">
      <c r="A366" t="n">
        <v>8</v>
      </c>
      <c r="B366" s="24">
        <f>IF(Setup!$K$14="","",Setup!$K$14)</f>
        <v/>
      </c>
      <c r="C366" s="88" t="n"/>
      <c r="D366" s="88" t="n"/>
      <c r="E366" s="88" t="n"/>
      <c r="F366" s="89" t="n"/>
      <c r="G366" s="88" t="n"/>
      <c r="H366" s="88" t="n"/>
      <c r="I366" s="88" t="n"/>
      <c r="J366" s="89" t="n"/>
      <c r="K366" s="88" t="n"/>
      <c r="L366" s="88" t="n"/>
      <c r="M366" s="88" t="n"/>
      <c r="N366" s="89" t="n"/>
      <c r="O366" s="88" t="n"/>
      <c r="P366" s="88" t="n"/>
      <c r="Q366" s="88" t="n"/>
      <c r="R366" s="89" t="n"/>
      <c r="S366" s="88" t="n"/>
      <c r="T366" s="88" t="n"/>
      <c r="U366" s="88" t="n"/>
      <c r="V366" s="89" t="n"/>
      <c r="W366" s="88" t="n"/>
      <c r="X366" s="89" t="n"/>
      <c r="Y366" s="88" t="n"/>
      <c r="Z366" s="89" t="n"/>
      <c r="AB366" s="25">
        <f>IF($B366="","",(COUNTIF(C366:E366,"?*")&lt;N(INDEX(Setup!$L$6:$L$23,9)))+(COUNTIF(G366:I366,"?*")&lt;N(INDEX(Setup!$L$6:$L$23,9)))+(COUNTIF(K366:M366,"?*")&lt;N(INDEX(Setup!$L$6:$L$23,9)))+(COUNTIF(O366:Q366,"?*")&lt;N(INDEX(Setup!$L$6:$L$23,9)))+(COUNTIF(S366:U366,"?*")&lt;N(INDEX(Setup!$L$6:$L$23,9)))+((W366="")*(INDEX(Setup!$M$6:$M$23,9)="Y"))+((Y366="")*(INDEX(Setup!$M$6:$M$23,9)="Y")))</f>
        <v/>
      </c>
      <c r="AC366" s="90">
        <f>IF($B366="","",IF(AB366=0,"✓ covered","⚠ "&amp;AB366&amp;IF(AB366=1," gap"," gaps")))</f>
        <v/>
      </c>
    </row>
    <row r="367" ht="17" customHeight="1">
      <c r="A367" t="n">
        <v>8</v>
      </c>
      <c r="B367" s="29">
        <f>IF(Setup!$K$15="","",Setup!$K$15)</f>
        <v/>
      </c>
      <c r="C367" s="88" t="n"/>
      <c r="D367" s="88" t="n"/>
      <c r="E367" s="88" t="n"/>
      <c r="F367" s="89" t="n"/>
      <c r="G367" s="88" t="n"/>
      <c r="H367" s="88" t="n"/>
      <c r="I367" s="88" t="n"/>
      <c r="J367" s="89" t="n"/>
      <c r="K367" s="88" t="n"/>
      <c r="L367" s="88" t="n"/>
      <c r="M367" s="88" t="n"/>
      <c r="N367" s="89" t="n"/>
      <c r="O367" s="88" t="n"/>
      <c r="P367" s="88" t="n"/>
      <c r="Q367" s="88" t="n"/>
      <c r="R367" s="89" t="n"/>
      <c r="S367" s="88" t="n"/>
      <c r="T367" s="88" t="n"/>
      <c r="U367" s="88" t="n"/>
      <c r="V367" s="89" t="n"/>
      <c r="W367" s="88" t="n"/>
      <c r="X367" s="89" t="n"/>
      <c r="Y367" s="88" t="n"/>
      <c r="Z367" s="89" t="n"/>
      <c r="AB367" s="30">
        <f>IF($B367="","",(COUNTIF(C367:E367,"?*")&lt;N(INDEX(Setup!$L$6:$L$23,10)))+(COUNTIF(G367:I367,"?*")&lt;N(INDEX(Setup!$L$6:$L$23,10)))+(COUNTIF(K367:M367,"?*")&lt;N(INDEX(Setup!$L$6:$L$23,10)))+(COUNTIF(O367:Q367,"?*")&lt;N(INDEX(Setup!$L$6:$L$23,10)))+(COUNTIF(S367:U367,"?*")&lt;N(INDEX(Setup!$L$6:$L$23,10)))+((W367="")*(INDEX(Setup!$M$6:$M$23,10)="Y"))+((Y367="")*(INDEX(Setup!$M$6:$M$23,10)="Y")))</f>
        <v/>
      </c>
      <c r="AC367" s="91">
        <f>IF($B367="","",IF(AB367=0,"✓ covered","⚠ "&amp;AB367&amp;IF(AB367=1," gap"," gaps")))</f>
        <v/>
      </c>
    </row>
    <row r="368" ht="17" customHeight="1">
      <c r="A368" t="n">
        <v>8</v>
      </c>
      <c r="B368" s="24">
        <f>IF(Setup!$K$16="","",Setup!$K$16)</f>
        <v/>
      </c>
      <c r="C368" s="88" t="n"/>
      <c r="D368" s="88" t="n"/>
      <c r="E368" s="88" t="n"/>
      <c r="F368" s="89" t="n"/>
      <c r="G368" s="88" t="n"/>
      <c r="H368" s="88" t="n"/>
      <c r="I368" s="88" t="n"/>
      <c r="J368" s="89" t="n"/>
      <c r="K368" s="88" t="n"/>
      <c r="L368" s="88" t="n"/>
      <c r="M368" s="88" t="n"/>
      <c r="N368" s="89" t="n"/>
      <c r="O368" s="88" t="n"/>
      <c r="P368" s="88" t="n"/>
      <c r="Q368" s="88" t="n"/>
      <c r="R368" s="89" t="n"/>
      <c r="S368" s="88" t="n"/>
      <c r="T368" s="88" t="n"/>
      <c r="U368" s="88" t="n"/>
      <c r="V368" s="89" t="n"/>
      <c r="W368" s="88" t="n"/>
      <c r="X368" s="89" t="n"/>
      <c r="Y368" s="88" t="n"/>
      <c r="Z368" s="89" t="n"/>
      <c r="AB368" s="25">
        <f>IF($B368="","",(COUNTIF(C368:E368,"?*")&lt;N(INDEX(Setup!$L$6:$L$23,11)))+(COUNTIF(G368:I368,"?*")&lt;N(INDEX(Setup!$L$6:$L$23,11)))+(COUNTIF(K368:M368,"?*")&lt;N(INDEX(Setup!$L$6:$L$23,11)))+(COUNTIF(O368:Q368,"?*")&lt;N(INDEX(Setup!$L$6:$L$23,11)))+(COUNTIF(S368:U368,"?*")&lt;N(INDEX(Setup!$L$6:$L$23,11)))+((W368="")*(INDEX(Setup!$M$6:$M$23,11)="Y"))+((Y368="")*(INDEX(Setup!$M$6:$M$23,11)="Y")))</f>
        <v/>
      </c>
      <c r="AC368" s="90">
        <f>IF($B368="","",IF(AB368=0,"✓ covered","⚠ "&amp;AB368&amp;IF(AB368=1," gap"," gaps")))</f>
        <v/>
      </c>
    </row>
    <row r="369" ht="17" customHeight="1">
      <c r="A369" t="n">
        <v>8</v>
      </c>
      <c r="B369" s="29">
        <f>IF(Setup!$K$17="","",Setup!$K$17)</f>
        <v/>
      </c>
      <c r="C369" s="88" t="n"/>
      <c r="D369" s="88" t="n"/>
      <c r="E369" s="88" t="n"/>
      <c r="F369" s="89" t="n"/>
      <c r="G369" s="88" t="n"/>
      <c r="H369" s="88" t="n"/>
      <c r="I369" s="88" t="n"/>
      <c r="J369" s="89" t="n"/>
      <c r="K369" s="88" t="n"/>
      <c r="L369" s="88" t="n"/>
      <c r="M369" s="88" t="n"/>
      <c r="N369" s="89" t="n"/>
      <c r="O369" s="88" t="n"/>
      <c r="P369" s="88" t="n"/>
      <c r="Q369" s="88" t="n"/>
      <c r="R369" s="89" t="n"/>
      <c r="S369" s="88" t="n"/>
      <c r="T369" s="88" t="n"/>
      <c r="U369" s="88" t="n"/>
      <c r="V369" s="89" t="n"/>
      <c r="W369" s="88" t="n"/>
      <c r="X369" s="89" t="n"/>
      <c r="Y369" s="88" t="n"/>
      <c r="Z369" s="89" t="n"/>
      <c r="AB369" s="30">
        <f>IF($B369="","",(COUNTIF(C369:E369,"?*")&lt;N(INDEX(Setup!$L$6:$L$23,12)))+(COUNTIF(G369:I369,"?*")&lt;N(INDEX(Setup!$L$6:$L$23,12)))+(COUNTIF(K369:M369,"?*")&lt;N(INDEX(Setup!$L$6:$L$23,12)))+(COUNTIF(O369:Q369,"?*")&lt;N(INDEX(Setup!$L$6:$L$23,12)))+(COUNTIF(S369:U369,"?*")&lt;N(INDEX(Setup!$L$6:$L$23,12)))+((W369="")*(INDEX(Setup!$M$6:$M$23,12)="Y"))+((Y369="")*(INDEX(Setup!$M$6:$M$23,12)="Y")))</f>
        <v/>
      </c>
      <c r="AC369" s="91">
        <f>IF($B369="","",IF(AB369=0,"✓ covered","⚠ "&amp;AB369&amp;IF(AB369=1," gap"," gaps")))</f>
        <v/>
      </c>
    </row>
    <row r="370" ht="17" customHeight="1">
      <c r="A370" t="n">
        <v>8</v>
      </c>
      <c r="B370" s="24">
        <f>IF(Setup!$K$18="","",Setup!$K$18)</f>
        <v/>
      </c>
      <c r="C370" s="88" t="n"/>
      <c r="D370" s="88" t="n"/>
      <c r="E370" s="88" t="n"/>
      <c r="F370" s="89" t="n"/>
      <c r="G370" s="88" t="n"/>
      <c r="H370" s="88" t="n"/>
      <c r="I370" s="88" t="n"/>
      <c r="J370" s="89" t="n"/>
      <c r="K370" s="88" t="n"/>
      <c r="L370" s="88" t="n"/>
      <c r="M370" s="88" t="n"/>
      <c r="N370" s="89" t="n"/>
      <c r="O370" s="88" t="n"/>
      <c r="P370" s="88" t="n"/>
      <c r="Q370" s="88" t="n"/>
      <c r="R370" s="89" t="n"/>
      <c r="S370" s="88" t="n"/>
      <c r="T370" s="88" t="n"/>
      <c r="U370" s="88" t="n"/>
      <c r="V370" s="89" t="n"/>
      <c r="W370" s="88" t="n"/>
      <c r="X370" s="89" t="n"/>
      <c r="Y370" s="88" t="n"/>
      <c r="Z370" s="89" t="n"/>
      <c r="AB370" s="25">
        <f>IF($B370="","",(COUNTIF(C370:E370,"?*")&lt;N(INDEX(Setup!$L$6:$L$23,13)))+(COUNTIF(G370:I370,"?*")&lt;N(INDEX(Setup!$L$6:$L$23,13)))+(COUNTIF(K370:M370,"?*")&lt;N(INDEX(Setup!$L$6:$L$23,13)))+(COUNTIF(O370:Q370,"?*")&lt;N(INDEX(Setup!$L$6:$L$23,13)))+(COUNTIF(S370:U370,"?*")&lt;N(INDEX(Setup!$L$6:$L$23,13)))+((W370="")*(INDEX(Setup!$M$6:$M$23,13)="Y"))+((Y370="")*(INDEX(Setup!$M$6:$M$23,13)="Y")))</f>
        <v/>
      </c>
      <c r="AC370" s="90">
        <f>IF($B370="","",IF(AB370=0,"✓ covered","⚠ "&amp;AB370&amp;IF(AB370=1," gap"," gaps")))</f>
        <v/>
      </c>
    </row>
    <row r="371" ht="17" customHeight="1">
      <c r="A371" t="n">
        <v>8</v>
      </c>
      <c r="B371" s="29">
        <f>IF(Setup!$K$19="","",Setup!$K$19)</f>
        <v/>
      </c>
      <c r="C371" s="88" t="n"/>
      <c r="D371" s="88" t="n"/>
      <c r="E371" s="88" t="n"/>
      <c r="F371" s="89" t="n"/>
      <c r="G371" s="88" t="n"/>
      <c r="H371" s="88" t="n"/>
      <c r="I371" s="88" t="n"/>
      <c r="J371" s="89" t="n"/>
      <c r="K371" s="88" t="n"/>
      <c r="L371" s="88" t="n"/>
      <c r="M371" s="88" t="n"/>
      <c r="N371" s="89" t="n"/>
      <c r="O371" s="88" t="n"/>
      <c r="P371" s="88" t="n"/>
      <c r="Q371" s="88" t="n"/>
      <c r="R371" s="89" t="n"/>
      <c r="S371" s="88" t="n"/>
      <c r="T371" s="88" t="n"/>
      <c r="U371" s="88" t="n"/>
      <c r="V371" s="89" t="n"/>
      <c r="W371" s="88" t="n"/>
      <c r="X371" s="89" t="n"/>
      <c r="Y371" s="88" t="n"/>
      <c r="Z371" s="89" t="n"/>
      <c r="AB371" s="30">
        <f>IF($B371="","",(COUNTIF(C371:E371,"?*")&lt;N(INDEX(Setup!$L$6:$L$23,14)))+(COUNTIF(G371:I371,"?*")&lt;N(INDEX(Setup!$L$6:$L$23,14)))+(COUNTIF(K371:M371,"?*")&lt;N(INDEX(Setup!$L$6:$L$23,14)))+(COUNTIF(O371:Q371,"?*")&lt;N(INDEX(Setup!$L$6:$L$23,14)))+(COUNTIF(S371:U371,"?*")&lt;N(INDEX(Setup!$L$6:$L$23,14)))+((W371="")*(INDEX(Setup!$M$6:$M$23,14)="Y"))+((Y371="")*(INDEX(Setup!$M$6:$M$23,14)="Y")))</f>
        <v/>
      </c>
      <c r="AC371" s="91">
        <f>IF($B371="","",IF(AB371=0,"✓ covered","⚠ "&amp;AB371&amp;IF(AB371=1," gap"," gaps")))</f>
        <v/>
      </c>
    </row>
    <row r="372" ht="17" customHeight="1">
      <c r="A372" t="n">
        <v>8</v>
      </c>
      <c r="B372" s="24">
        <f>IF(Setup!$K$20="","",Setup!$K$20)</f>
        <v/>
      </c>
      <c r="C372" s="88" t="n"/>
      <c r="D372" s="88" t="n"/>
      <c r="E372" s="88" t="n"/>
      <c r="F372" s="89" t="n"/>
      <c r="G372" s="88" t="n"/>
      <c r="H372" s="88" t="n"/>
      <c r="I372" s="88" t="n"/>
      <c r="J372" s="89" t="n"/>
      <c r="K372" s="88" t="n"/>
      <c r="L372" s="88" t="n"/>
      <c r="M372" s="88" t="n"/>
      <c r="N372" s="89" t="n"/>
      <c r="O372" s="88" t="n"/>
      <c r="P372" s="88" t="n"/>
      <c r="Q372" s="88" t="n"/>
      <c r="R372" s="89" t="n"/>
      <c r="S372" s="88" t="n"/>
      <c r="T372" s="88" t="n"/>
      <c r="U372" s="88" t="n"/>
      <c r="V372" s="89" t="n"/>
      <c r="W372" s="88" t="n"/>
      <c r="X372" s="89" t="n"/>
      <c r="Y372" s="88" t="n"/>
      <c r="Z372" s="89" t="n"/>
      <c r="AB372" s="25">
        <f>IF($B372="","",(COUNTIF(C372:E372,"?*")&lt;N(INDEX(Setup!$L$6:$L$23,15)))+(COUNTIF(G372:I372,"?*")&lt;N(INDEX(Setup!$L$6:$L$23,15)))+(COUNTIF(K372:M372,"?*")&lt;N(INDEX(Setup!$L$6:$L$23,15)))+(COUNTIF(O372:Q372,"?*")&lt;N(INDEX(Setup!$L$6:$L$23,15)))+(COUNTIF(S372:U372,"?*")&lt;N(INDEX(Setup!$L$6:$L$23,15)))+((W372="")*(INDEX(Setup!$M$6:$M$23,15)="Y"))+((Y372="")*(INDEX(Setup!$M$6:$M$23,15)="Y")))</f>
        <v/>
      </c>
      <c r="AC372" s="90">
        <f>IF($B372="","",IF(AB372=0,"✓ covered","⚠ "&amp;AB372&amp;IF(AB372=1," gap"," gaps")))</f>
        <v/>
      </c>
    </row>
    <row r="373" ht="17" customHeight="1">
      <c r="A373" t="n">
        <v>8</v>
      </c>
      <c r="B373" s="29">
        <f>IF(Setup!$K$21="","",Setup!$K$21)</f>
        <v/>
      </c>
      <c r="C373" s="88" t="n"/>
      <c r="D373" s="88" t="n"/>
      <c r="E373" s="88" t="n"/>
      <c r="F373" s="89" t="n"/>
      <c r="G373" s="88" t="n"/>
      <c r="H373" s="88" t="n"/>
      <c r="I373" s="88" t="n"/>
      <c r="J373" s="89" t="n"/>
      <c r="K373" s="88" t="n"/>
      <c r="L373" s="88" t="n"/>
      <c r="M373" s="88" t="n"/>
      <c r="N373" s="89" t="n"/>
      <c r="O373" s="88" t="n"/>
      <c r="P373" s="88" t="n"/>
      <c r="Q373" s="88" t="n"/>
      <c r="R373" s="89" t="n"/>
      <c r="S373" s="88" t="n"/>
      <c r="T373" s="88" t="n"/>
      <c r="U373" s="88" t="n"/>
      <c r="V373" s="89" t="n"/>
      <c r="W373" s="88" t="n"/>
      <c r="X373" s="89" t="n"/>
      <c r="Y373" s="88" t="n"/>
      <c r="Z373" s="89" t="n"/>
      <c r="AB373" s="30">
        <f>IF($B373="","",(COUNTIF(C373:E373,"?*")&lt;N(INDEX(Setup!$L$6:$L$23,16)))+(COUNTIF(G373:I373,"?*")&lt;N(INDEX(Setup!$L$6:$L$23,16)))+(COUNTIF(K373:M373,"?*")&lt;N(INDEX(Setup!$L$6:$L$23,16)))+(COUNTIF(O373:Q373,"?*")&lt;N(INDEX(Setup!$L$6:$L$23,16)))+(COUNTIF(S373:U373,"?*")&lt;N(INDEX(Setup!$L$6:$L$23,16)))+((W373="")*(INDEX(Setup!$M$6:$M$23,16)="Y"))+((Y373="")*(INDEX(Setup!$M$6:$M$23,16)="Y")))</f>
        <v/>
      </c>
      <c r="AC373" s="91">
        <f>IF($B373="","",IF(AB373=0,"✓ covered","⚠ "&amp;AB373&amp;IF(AB373=1," gap"," gaps")))</f>
        <v/>
      </c>
    </row>
    <row r="374" ht="17" customHeight="1">
      <c r="A374" t="n">
        <v>8</v>
      </c>
      <c r="B374" s="24">
        <f>IF(Setup!$K$22="","",Setup!$K$22)</f>
        <v/>
      </c>
      <c r="C374" s="88" t="n"/>
      <c r="D374" s="88" t="n"/>
      <c r="E374" s="88" t="n"/>
      <c r="F374" s="89" t="n"/>
      <c r="G374" s="88" t="n"/>
      <c r="H374" s="88" t="n"/>
      <c r="I374" s="88" t="n"/>
      <c r="J374" s="89" t="n"/>
      <c r="K374" s="88" t="n"/>
      <c r="L374" s="88" t="n"/>
      <c r="M374" s="88" t="n"/>
      <c r="N374" s="89" t="n"/>
      <c r="O374" s="88" t="n"/>
      <c r="P374" s="88" t="n"/>
      <c r="Q374" s="88" t="n"/>
      <c r="R374" s="89" t="n"/>
      <c r="S374" s="88" t="n"/>
      <c r="T374" s="88" t="n"/>
      <c r="U374" s="88" t="n"/>
      <c r="V374" s="89" t="n"/>
      <c r="W374" s="88" t="n"/>
      <c r="X374" s="89" t="n"/>
      <c r="Y374" s="88" t="n"/>
      <c r="Z374" s="89" t="n"/>
      <c r="AB374" s="25">
        <f>IF($B374="","",(COUNTIF(C374:E374,"?*")&lt;N(INDEX(Setup!$L$6:$L$23,17)))+(COUNTIF(G374:I374,"?*")&lt;N(INDEX(Setup!$L$6:$L$23,17)))+(COUNTIF(K374:M374,"?*")&lt;N(INDEX(Setup!$L$6:$L$23,17)))+(COUNTIF(O374:Q374,"?*")&lt;N(INDEX(Setup!$L$6:$L$23,17)))+(COUNTIF(S374:U374,"?*")&lt;N(INDEX(Setup!$L$6:$L$23,17)))+((W374="")*(INDEX(Setup!$M$6:$M$23,17)="Y"))+((Y374="")*(INDEX(Setup!$M$6:$M$23,17)="Y")))</f>
        <v/>
      </c>
      <c r="AC374" s="90">
        <f>IF($B374="","",IF(AB374=0,"✓ covered","⚠ "&amp;AB374&amp;IF(AB374=1," gap"," gaps")))</f>
        <v/>
      </c>
    </row>
    <row r="375" ht="17" customHeight="1">
      <c r="A375" t="n">
        <v>8</v>
      </c>
      <c r="B375" s="29">
        <f>IF(Setup!$K$23="","",Setup!$K$23)</f>
        <v/>
      </c>
      <c r="C375" s="88" t="n"/>
      <c r="D375" s="88" t="n"/>
      <c r="E375" s="88" t="n"/>
      <c r="F375" s="89" t="n"/>
      <c r="G375" s="88" t="n"/>
      <c r="H375" s="88" t="n"/>
      <c r="I375" s="88" t="n"/>
      <c r="J375" s="89" t="n"/>
      <c r="K375" s="88" t="n"/>
      <c r="L375" s="88" t="n"/>
      <c r="M375" s="88" t="n"/>
      <c r="N375" s="89" t="n"/>
      <c r="O375" s="88" t="n"/>
      <c r="P375" s="88" t="n"/>
      <c r="Q375" s="88" t="n"/>
      <c r="R375" s="89" t="n"/>
      <c r="S375" s="88" t="n"/>
      <c r="T375" s="88" t="n"/>
      <c r="U375" s="88" t="n"/>
      <c r="V375" s="89" t="n"/>
      <c r="W375" s="88" t="n"/>
      <c r="X375" s="89" t="n"/>
      <c r="Y375" s="88" t="n"/>
      <c r="Z375" s="89" t="n"/>
      <c r="AB375" s="30">
        <f>IF($B375="","",(COUNTIF(C375:E375,"?*")&lt;N(INDEX(Setup!$L$6:$L$23,18)))+(COUNTIF(G375:I375,"?*")&lt;N(INDEX(Setup!$L$6:$L$23,18)))+(COUNTIF(K375:M375,"?*")&lt;N(INDEX(Setup!$L$6:$L$23,18)))+(COUNTIF(O375:Q375,"?*")&lt;N(INDEX(Setup!$L$6:$L$23,18)))+(COUNTIF(S375:U375,"?*")&lt;N(INDEX(Setup!$L$6:$L$23,18)))+((W375="")*(INDEX(Setup!$M$6:$M$23,18)="Y"))+((Y375="")*(INDEX(Setup!$M$6:$M$23,18)="Y")))</f>
        <v/>
      </c>
      <c r="AC375" s="91">
        <f>IF($B375="","",IF(AB375=0,"✓ covered","⚠ "&amp;AB375&amp;IF(AB375=1," gap"," gaps")))</f>
        <v/>
      </c>
    </row>
    <row r="376" ht="18" customHeight="1">
      <c r="A376" t="n">
        <v>8</v>
      </c>
      <c r="B376" s="78" t="inlineStr">
        <is>
          <t>TEAM AVAILABILITY</t>
        </is>
      </c>
      <c r="C376" s="92" t="inlineStr">
        <is>
          <t>Mon</t>
        </is>
      </c>
      <c r="D376" s="93" t="n"/>
      <c r="E376" s="93" t="n"/>
      <c r="F376" s="94" t="n"/>
      <c r="G376" s="92" t="inlineStr">
        <is>
          <t>Tue</t>
        </is>
      </c>
      <c r="H376" s="93" t="n"/>
      <c r="I376" s="93" t="n"/>
      <c r="J376" s="94" t="n"/>
      <c r="K376" s="92" t="inlineStr">
        <is>
          <t>Wed</t>
        </is>
      </c>
      <c r="L376" s="93" t="n"/>
      <c r="M376" s="93" t="n"/>
      <c r="N376" s="94" t="n"/>
      <c r="O376" s="92" t="inlineStr">
        <is>
          <t>Thu</t>
        </is>
      </c>
      <c r="P376" s="93" t="n"/>
      <c r="Q376" s="93" t="n"/>
      <c r="R376" s="94" t="n"/>
      <c r="S376" s="92" t="inlineStr">
        <is>
          <t>Fri</t>
        </is>
      </c>
      <c r="T376" s="93" t="n"/>
      <c r="U376" s="93" t="n"/>
      <c r="V376" s="94" t="n"/>
      <c r="W376" s="95" t="inlineStr">
        <is>
          <t>Sat</t>
        </is>
      </c>
      <c r="X376" s="96" t="n"/>
      <c r="Y376" s="95" t="inlineStr">
        <is>
          <t>Sun</t>
        </is>
      </c>
      <c r="Z376" s="96" t="n"/>
      <c r="AB376" s="97" t="inlineStr">
        <is>
          <t>Days rostered</t>
        </is>
      </c>
      <c r="AC376" s="97" t="inlineStr">
        <is>
          <t>Conflicts</t>
        </is>
      </c>
    </row>
    <row r="377" ht="15" customHeight="1">
      <c r="A377" t="n">
        <v>8</v>
      </c>
      <c r="B377" s="35">
        <f>IF(Setup!$B$6="","",Setup!$B$6)</f>
        <v/>
      </c>
      <c r="C377" s="98" t="n"/>
      <c r="D377" s="99" t="n"/>
      <c r="E377" s="99" t="n"/>
      <c r="F377" s="100" t="n"/>
      <c r="G377" s="98" t="n"/>
      <c r="H377" s="99" t="n"/>
      <c r="I377" s="99" t="n"/>
      <c r="J377" s="100" t="n"/>
      <c r="K377" s="98" t="n"/>
      <c r="L377" s="99" t="n"/>
      <c r="M377" s="99" t="n"/>
      <c r="N377" s="100" t="n"/>
      <c r="O377" s="98" t="n"/>
      <c r="P377" s="99" t="n"/>
      <c r="Q377" s="99" t="n"/>
      <c r="R377" s="100" t="n"/>
      <c r="S377" s="98" t="n"/>
      <c r="T377" s="99" t="n"/>
      <c r="U377" s="99" t="n"/>
      <c r="V377" s="100" t="n"/>
      <c r="W377" s="98" t="n"/>
      <c r="X377" s="100" t="n"/>
      <c r="Y377" s="98" t="n"/>
      <c r="Z377" s="100" t="n"/>
      <c r="AB377" s="101">
        <f>IF($B377="","",(COUNTIF(C358:E375,$B377)+COUNTIF(C358:E375,$B377&amp;" ~*")&gt;0)+(COUNTIF(G358:I375,$B377)+COUNTIF(G358:I375,$B377&amp;" ~*")&gt;0)+(COUNTIF(K358:M375,$B377)+COUNTIF(K358:M375,$B377&amp;" ~*")&gt;0)+(COUNTIF(O358:Q375,$B377)+COUNTIF(O358:Q375,$B377&amp;" ~*")&gt;0)+(COUNTIF(S358:U375,$B377)+COUNTIF(S358:U375,$B377&amp;" ~*")&gt;0)+(COUNTIF(W358:W375,$B377)+COUNTIF(W358:W375,$B377&amp;" ~*")&gt;0)+(COUNTIF(Y358:Y375,$B377)+COUNTIF(Y358:Y375,$B377&amp;" ~*")&gt;0))</f>
        <v/>
      </c>
      <c r="AC377" s="36">
        <f>IF($B377="","",(IFERROR(INDEX(Setup!$G$33:$G$40,MATCH(C377,Setup!$B$33:$B$40,0)),0)=1)*(COUNTIF(C358:E375,$B377)+COUNTIF(C358:E375,$B377&amp;" ~*")&gt;0)+(IFERROR(INDEX(Setup!$G$33:$G$40,MATCH(G377,Setup!$B$33:$B$40,0)),0)=1)*(COUNTIF(G358:I375,$B377)+COUNTIF(G358:I375,$B377&amp;" ~*")&gt;0)+(IFERROR(INDEX(Setup!$G$33:$G$40,MATCH(K377,Setup!$B$33:$B$40,0)),0)=1)*(COUNTIF(K358:M375,$B377)+COUNTIF(K358:M375,$B377&amp;" ~*")&gt;0)+(IFERROR(INDEX(Setup!$G$33:$G$40,MATCH(O377,Setup!$B$33:$B$40,0)),0)=1)*(COUNTIF(O358:Q375,$B377)+COUNTIF(O358:Q375,$B377&amp;" ~*")&gt;0)+(IFERROR(INDEX(Setup!$G$33:$G$40,MATCH(S377,Setup!$B$33:$B$40,0)),0)=1)*(COUNTIF(S358:U375,$B377)+COUNTIF(S358:U375,$B377&amp;" ~*")&gt;0)+(IFERROR(INDEX(Setup!$G$33:$G$40,MATCH(W377,Setup!$B$33:$B$40,0)),0)=1)*(COUNTIF(W358:W375,$B377)+COUNTIF(W358:W375,$B377&amp;" ~*")&gt;0)+(IFERROR(INDEX(Setup!$G$33:$G$40,MATCH(Y377,Setup!$B$33:$B$40,0)),0)=1)*(COUNTIF(Y358:Y375,$B377)+COUNTIF(Y358:Y375,$B377&amp;" ~*")&gt;0))</f>
        <v/>
      </c>
    </row>
    <row r="378" ht="15" customHeight="1">
      <c r="A378" t="n">
        <v>8</v>
      </c>
      <c r="B378" s="37">
        <f>IF(Setup!$B$7="","",Setup!$B$7)</f>
        <v/>
      </c>
      <c r="C378" s="102" t="n"/>
      <c r="D378" s="103" t="n"/>
      <c r="E378" s="103" t="n"/>
      <c r="F378" s="104" t="n"/>
      <c r="G378" s="102" t="n"/>
      <c r="H378" s="103" t="n"/>
      <c r="I378" s="103" t="n"/>
      <c r="J378" s="104" t="n"/>
      <c r="K378" s="102" t="n"/>
      <c r="L378" s="103" t="n"/>
      <c r="M378" s="103" t="n"/>
      <c r="N378" s="104" t="n"/>
      <c r="O378" s="102" t="n"/>
      <c r="P378" s="103" t="n"/>
      <c r="Q378" s="103" t="n"/>
      <c r="R378" s="104" t="n"/>
      <c r="S378" s="102" t="n"/>
      <c r="T378" s="103" t="n"/>
      <c r="U378" s="103" t="n"/>
      <c r="V378" s="104" t="n"/>
      <c r="W378" s="102" t="n"/>
      <c r="X378" s="104" t="n"/>
      <c r="Y378" s="102" t="n"/>
      <c r="Z378" s="104" t="n"/>
      <c r="AB378" s="105">
        <f>IF($B378="","",(COUNTIF(C358:E375,$B378)+COUNTIF(C358:E375,$B378&amp;" ~*")&gt;0)+(COUNTIF(G358:I375,$B378)+COUNTIF(G358:I375,$B378&amp;" ~*")&gt;0)+(COUNTIF(K358:M375,$B378)+COUNTIF(K358:M375,$B378&amp;" ~*")&gt;0)+(COUNTIF(O358:Q375,$B378)+COUNTIF(O358:Q375,$B378&amp;" ~*")&gt;0)+(COUNTIF(S358:U375,$B378)+COUNTIF(S358:U375,$B378&amp;" ~*")&gt;0)+(COUNTIF(W358:W375,$B378)+COUNTIF(W358:W375,$B378&amp;" ~*")&gt;0)+(COUNTIF(Y358:Y375,$B378)+COUNTIF(Y358:Y375,$B378&amp;" ~*")&gt;0))</f>
        <v/>
      </c>
      <c r="AC378" s="38">
        <f>IF($B378="","",(IFERROR(INDEX(Setup!$G$33:$G$40,MATCH(C378,Setup!$B$33:$B$40,0)),0)=1)*(COUNTIF(C358:E375,$B378)+COUNTIF(C358:E375,$B378&amp;" ~*")&gt;0)+(IFERROR(INDEX(Setup!$G$33:$G$40,MATCH(G378,Setup!$B$33:$B$40,0)),0)=1)*(COUNTIF(G358:I375,$B378)+COUNTIF(G358:I375,$B378&amp;" ~*")&gt;0)+(IFERROR(INDEX(Setup!$G$33:$G$40,MATCH(K378,Setup!$B$33:$B$40,0)),0)=1)*(COUNTIF(K358:M375,$B378)+COUNTIF(K358:M375,$B378&amp;" ~*")&gt;0)+(IFERROR(INDEX(Setup!$G$33:$G$40,MATCH(O378,Setup!$B$33:$B$40,0)),0)=1)*(COUNTIF(O358:Q375,$B378)+COUNTIF(O358:Q375,$B378&amp;" ~*")&gt;0)+(IFERROR(INDEX(Setup!$G$33:$G$40,MATCH(S378,Setup!$B$33:$B$40,0)),0)=1)*(COUNTIF(S358:U375,$B378)+COUNTIF(S358:U375,$B378&amp;" ~*")&gt;0)+(IFERROR(INDEX(Setup!$G$33:$G$40,MATCH(W378,Setup!$B$33:$B$40,0)),0)=1)*(COUNTIF(W358:W375,$B378)+COUNTIF(W358:W375,$B378&amp;" ~*")&gt;0)+(IFERROR(INDEX(Setup!$G$33:$G$40,MATCH(Y378,Setup!$B$33:$B$40,0)),0)=1)*(COUNTIF(Y358:Y375,$B378)+COUNTIF(Y358:Y375,$B378&amp;" ~*")&gt;0))</f>
        <v/>
      </c>
    </row>
    <row r="379" ht="15" customHeight="1">
      <c r="A379" t="n">
        <v>8</v>
      </c>
      <c r="B379" s="35">
        <f>IF(Setup!$B$8="","",Setup!$B$8)</f>
        <v/>
      </c>
      <c r="C379" s="98" t="n"/>
      <c r="D379" s="99" t="n"/>
      <c r="E379" s="99" t="n"/>
      <c r="F379" s="100" t="n"/>
      <c r="G379" s="98" t="n"/>
      <c r="H379" s="99" t="n"/>
      <c r="I379" s="99" t="n"/>
      <c r="J379" s="100" t="n"/>
      <c r="K379" s="98" t="n"/>
      <c r="L379" s="99" t="n"/>
      <c r="M379" s="99" t="n"/>
      <c r="N379" s="100" t="n"/>
      <c r="O379" s="98" t="n"/>
      <c r="P379" s="99" t="n"/>
      <c r="Q379" s="99" t="n"/>
      <c r="R379" s="100" t="n"/>
      <c r="S379" s="98" t="n"/>
      <c r="T379" s="99" t="n"/>
      <c r="U379" s="99" t="n"/>
      <c r="V379" s="100" t="n"/>
      <c r="W379" s="98" t="n"/>
      <c r="X379" s="100" t="n"/>
      <c r="Y379" s="98" t="n"/>
      <c r="Z379" s="100" t="n"/>
      <c r="AB379" s="101">
        <f>IF($B379="","",(COUNTIF(C358:E375,$B379)+COUNTIF(C358:E375,$B379&amp;" ~*")&gt;0)+(COUNTIF(G358:I375,$B379)+COUNTIF(G358:I375,$B379&amp;" ~*")&gt;0)+(COUNTIF(K358:M375,$B379)+COUNTIF(K358:M375,$B379&amp;" ~*")&gt;0)+(COUNTIF(O358:Q375,$B379)+COUNTIF(O358:Q375,$B379&amp;" ~*")&gt;0)+(COUNTIF(S358:U375,$B379)+COUNTIF(S358:U375,$B379&amp;" ~*")&gt;0)+(COUNTIF(W358:W375,$B379)+COUNTIF(W358:W375,$B379&amp;" ~*")&gt;0)+(COUNTIF(Y358:Y375,$B379)+COUNTIF(Y358:Y375,$B379&amp;" ~*")&gt;0))</f>
        <v/>
      </c>
      <c r="AC379" s="36">
        <f>IF($B379="","",(IFERROR(INDEX(Setup!$G$33:$G$40,MATCH(C379,Setup!$B$33:$B$40,0)),0)=1)*(COUNTIF(C358:E375,$B379)+COUNTIF(C358:E375,$B379&amp;" ~*")&gt;0)+(IFERROR(INDEX(Setup!$G$33:$G$40,MATCH(G379,Setup!$B$33:$B$40,0)),0)=1)*(COUNTIF(G358:I375,$B379)+COUNTIF(G358:I375,$B379&amp;" ~*")&gt;0)+(IFERROR(INDEX(Setup!$G$33:$G$40,MATCH(K379,Setup!$B$33:$B$40,0)),0)=1)*(COUNTIF(K358:M375,$B379)+COUNTIF(K358:M375,$B379&amp;" ~*")&gt;0)+(IFERROR(INDEX(Setup!$G$33:$G$40,MATCH(O379,Setup!$B$33:$B$40,0)),0)=1)*(COUNTIF(O358:Q375,$B379)+COUNTIF(O358:Q375,$B379&amp;" ~*")&gt;0)+(IFERROR(INDEX(Setup!$G$33:$G$40,MATCH(S379,Setup!$B$33:$B$40,0)),0)=1)*(COUNTIF(S358:U375,$B379)+COUNTIF(S358:U375,$B379&amp;" ~*")&gt;0)+(IFERROR(INDEX(Setup!$G$33:$G$40,MATCH(W379,Setup!$B$33:$B$40,0)),0)=1)*(COUNTIF(W358:W375,$B379)+COUNTIF(W358:W375,$B379&amp;" ~*")&gt;0)+(IFERROR(INDEX(Setup!$G$33:$G$40,MATCH(Y379,Setup!$B$33:$B$40,0)),0)=1)*(COUNTIF(Y358:Y375,$B379)+COUNTIF(Y358:Y375,$B379&amp;" ~*")&gt;0))</f>
        <v/>
      </c>
    </row>
    <row r="380" ht="15" customHeight="1">
      <c r="A380" t="n">
        <v>8</v>
      </c>
      <c r="B380" s="37">
        <f>IF(Setup!$B$9="","",Setup!$B$9)</f>
        <v/>
      </c>
      <c r="C380" s="102" t="n"/>
      <c r="D380" s="103" t="n"/>
      <c r="E380" s="103" t="n"/>
      <c r="F380" s="104" t="n"/>
      <c r="G380" s="102" t="n"/>
      <c r="H380" s="103" t="n"/>
      <c r="I380" s="103" t="n"/>
      <c r="J380" s="104" t="n"/>
      <c r="K380" s="102" t="n"/>
      <c r="L380" s="103" t="n"/>
      <c r="M380" s="103" t="n"/>
      <c r="N380" s="104" t="n"/>
      <c r="O380" s="102" t="n"/>
      <c r="P380" s="103" t="n"/>
      <c r="Q380" s="103" t="n"/>
      <c r="R380" s="104" t="n"/>
      <c r="S380" s="102" t="n"/>
      <c r="T380" s="103" t="n"/>
      <c r="U380" s="103" t="n"/>
      <c r="V380" s="104" t="n"/>
      <c r="W380" s="102" t="n"/>
      <c r="X380" s="104" t="n"/>
      <c r="Y380" s="102" t="n"/>
      <c r="Z380" s="104" t="n"/>
      <c r="AB380" s="105">
        <f>IF($B380="","",(COUNTIF(C358:E375,$B380)+COUNTIF(C358:E375,$B380&amp;" ~*")&gt;0)+(COUNTIF(G358:I375,$B380)+COUNTIF(G358:I375,$B380&amp;" ~*")&gt;0)+(COUNTIF(K358:M375,$B380)+COUNTIF(K358:M375,$B380&amp;" ~*")&gt;0)+(COUNTIF(O358:Q375,$B380)+COUNTIF(O358:Q375,$B380&amp;" ~*")&gt;0)+(COUNTIF(S358:U375,$B380)+COUNTIF(S358:U375,$B380&amp;" ~*")&gt;0)+(COUNTIF(W358:W375,$B380)+COUNTIF(W358:W375,$B380&amp;" ~*")&gt;0)+(COUNTIF(Y358:Y375,$B380)+COUNTIF(Y358:Y375,$B380&amp;" ~*")&gt;0))</f>
        <v/>
      </c>
      <c r="AC380" s="38">
        <f>IF($B380="","",(IFERROR(INDEX(Setup!$G$33:$G$40,MATCH(C380,Setup!$B$33:$B$40,0)),0)=1)*(COUNTIF(C358:E375,$B380)+COUNTIF(C358:E375,$B380&amp;" ~*")&gt;0)+(IFERROR(INDEX(Setup!$G$33:$G$40,MATCH(G380,Setup!$B$33:$B$40,0)),0)=1)*(COUNTIF(G358:I375,$B380)+COUNTIF(G358:I375,$B380&amp;" ~*")&gt;0)+(IFERROR(INDEX(Setup!$G$33:$G$40,MATCH(K380,Setup!$B$33:$B$40,0)),0)=1)*(COUNTIF(K358:M375,$B380)+COUNTIF(K358:M375,$B380&amp;" ~*")&gt;0)+(IFERROR(INDEX(Setup!$G$33:$G$40,MATCH(O380,Setup!$B$33:$B$40,0)),0)=1)*(COUNTIF(O358:Q375,$B380)+COUNTIF(O358:Q375,$B380&amp;" ~*")&gt;0)+(IFERROR(INDEX(Setup!$G$33:$G$40,MATCH(S380,Setup!$B$33:$B$40,0)),0)=1)*(COUNTIF(S358:U375,$B380)+COUNTIF(S358:U375,$B380&amp;" ~*")&gt;0)+(IFERROR(INDEX(Setup!$G$33:$G$40,MATCH(W380,Setup!$B$33:$B$40,0)),0)=1)*(COUNTIF(W358:W375,$B380)+COUNTIF(W358:W375,$B380&amp;" ~*")&gt;0)+(IFERROR(INDEX(Setup!$G$33:$G$40,MATCH(Y380,Setup!$B$33:$B$40,0)),0)=1)*(COUNTIF(Y358:Y375,$B380)+COUNTIF(Y358:Y375,$B380&amp;" ~*")&gt;0))</f>
        <v/>
      </c>
    </row>
    <row r="381" ht="15" customHeight="1">
      <c r="A381" t="n">
        <v>8</v>
      </c>
      <c r="B381" s="35">
        <f>IF(Setup!$B$10="","",Setup!$B$10)</f>
        <v/>
      </c>
      <c r="C381" s="98" t="n"/>
      <c r="D381" s="99" t="n"/>
      <c r="E381" s="99" t="n"/>
      <c r="F381" s="100" t="n"/>
      <c r="G381" s="98" t="n"/>
      <c r="H381" s="99" t="n"/>
      <c r="I381" s="99" t="n"/>
      <c r="J381" s="100" t="n"/>
      <c r="K381" s="98" t="n"/>
      <c r="L381" s="99" t="n"/>
      <c r="M381" s="99" t="n"/>
      <c r="N381" s="100" t="n"/>
      <c r="O381" s="98" t="n"/>
      <c r="P381" s="99" t="n"/>
      <c r="Q381" s="99" t="n"/>
      <c r="R381" s="100" t="n"/>
      <c r="S381" s="98" t="n"/>
      <c r="T381" s="99" t="n"/>
      <c r="U381" s="99" t="n"/>
      <c r="V381" s="100" t="n"/>
      <c r="W381" s="98" t="n"/>
      <c r="X381" s="100" t="n"/>
      <c r="Y381" s="98" t="n"/>
      <c r="Z381" s="100" t="n"/>
      <c r="AB381" s="101">
        <f>IF($B381="","",(COUNTIF(C358:E375,$B381)+COUNTIF(C358:E375,$B381&amp;" ~*")&gt;0)+(COUNTIF(G358:I375,$B381)+COUNTIF(G358:I375,$B381&amp;" ~*")&gt;0)+(COUNTIF(K358:M375,$B381)+COUNTIF(K358:M375,$B381&amp;" ~*")&gt;0)+(COUNTIF(O358:Q375,$B381)+COUNTIF(O358:Q375,$B381&amp;" ~*")&gt;0)+(COUNTIF(S358:U375,$B381)+COUNTIF(S358:U375,$B381&amp;" ~*")&gt;0)+(COUNTIF(W358:W375,$B381)+COUNTIF(W358:W375,$B381&amp;" ~*")&gt;0)+(COUNTIF(Y358:Y375,$B381)+COUNTIF(Y358:Y375,$B381&amp;" ~*")&gt;0))</f>
        <v/>
      </c>
      <c r="AC381" s="36">
        <f>IF($B381="","",(IFERROR(INDEX(Setup!$G$33:$G$40,MATCH(C381,Setup!$B$33:$B$40,0)),0)=1)*(COUNTIF(C358:E375,$B381)+COUNTIF(C358:E375,$B381&amp;" ~*")&gt;0)+(IFERROR(INDEX(Setup!$G$33:$G$40,MATCH(G381,Setup!$B$33:$B$40,0)),0)=1)*(COUNTIF(G358:I375,$B381)+COUNTIF(G358:I375,$B381&amp;" ~*")&gt;0)+(IFERROR(INDEX(Setup!$G$33:$G$40,MATCH(K381,Setup!$B$33:$B$40,0)),0)=1)*(COUNTIF(K358:M375,$B381)+COUNTIF(K358:M375,$B381&amp;" ~*")&gt;0)+(IFERROR(INDEX(Setup!$G$33:$G$40,MATCH(O381,Setup!$B$33:$B$40,0)),0)=1)*(COUNTIF(O358:Q375,$B381)+COUNTIF(O358:Q375,$B381&amp;" ~*")&gt;0)+(IFERROR(INDEX(Setup!$G$33:$G$40,MATCH(S381,Setup!$B$33:$B$40,0)),0)=1)*(COUNTIF(S358:U375,$B381)+COUNTIF(S358:U375,$B381&amp;" ~*")&gt;0)+(IFERROR(INDEX(Setup!$G$33:$G$40,MATCH(W381,Setup!$B$33:$B$40,0)),0)=1)*(COUNTIF(W358:W375,$B381)+COUNTIF(W358:W375,$B381&amp;" ~*")&gt;0)+(IFERROR(INDEX(Setup!$G$33:$G$40,MATCH(Y381,Setup!$B$33:$B$40,0)),0)=1)*(COUNTIF(Y358:Y375,$B381)+COUNTIF(Y358:Y375,$B381&amp;" ~*")&gt;0))</f>
        <v/>
      </c>
    </row>
    <row r="382" ht="15" customHeight="1">
      <c r="A382" t="n">
        <v>8</v>
      </c>
      <c r="B382" s="37">
        <f>IF(Setup!$B$11="","",Setup!$B$11)</f>
        <v/>
      </c>
      <c r="C382" s="102" t="n"/>
      <c r="D382" s="103" t="n"/>
      <c r="E382" s="103" t="n"/>
      <c r="F382" s="104" t="n"/>
      <c r="G382" s="102" t="n"/>
      <c r="H382" s="103" t="n"/>
      <c r="I382" s="103" t="n"/>
      <c r="J382" s="104" t="n"/>
      <c r="K382" s="102" t="n"/>
      <c r="L382" s="103" t="n"/>
      <c r="M382" s="103" t="n"/>
      <c r="N382" s="104" t="n"/>
      <c r="O382" s="102" t="n"/>
      <c r="P382" s="103" t="n"/>
      <c r="Q382" s="103" t="n"/>
      <c r="R382" s="104" t="n"/>
      <c r="S382" s="102" t="n"/>
      <c r="T382" s="103" t="n"/>
      <c r="U382" s="103" t="n"/>
      <c r="V382" s="104" t="n"/>
      <c r="W382" s="102" t="n"/>
      <c r="X382" s="104" t="n"/>
      <c r="Y382" s="102" t="n"/>
      <c r="Z382" s="104" t="n"/>
      <c r="AB382" s="105">
        <f>IF($B382="","",(COUNTIF(C358:E375,$B382)+COUNTIF(C358:E375,$B382&amp;" ~*")&gt;0)+(COUNTIF(G358:I375,$B382)+COUNTIF(G358:I375,$B382&amp;" ~*")&gt;0)+(COUNTIF(K358:M375,$B382)+COUNTIF(K358:M375,$B382&amp;" ~*")&gt;0)+(COUNTIF(O358:Q375,$B382)+COUNTIF(O358:Q375,$B382&amp;" ~*")&gt;0)+(COUNTIF(S358:U375,$B382)+COUNTIF(S358:U375,$B382&amp;" ~*")&gt;0)+(COUNTIF(W358:W375,$B382)+COUNTIF(W358:W375,$B382&amp;" ~*")&gt;0)+(COUNTIF(Y358:Y375,$B382)+COUNTIF(Y358:Y375,$B382&amp;" ~*")&gt;0))</f>
        <v/>
      </c>
      <c r="AC382" s="38">
        <f>IF($B382="","",(IFERROR(INDEX(Setup!$G$33:$G$40,MATCH(C382,Setup!$B$33:$B$40,0)),0)=1)*(COUNTIF(C358:E375,$B382)+COUNTIF(C358:E375,$B382&amp;" ~*")&gt;0)+(IFERROR(INDEX(Setup!$G$33:$G$40,MATCH(G382,Setup!$B$33:$B$40,0)),0)=1)*(COUNTIF(G358:I375,$B382)+COUNTIF(G358:I375,$B382&amp;" ~*")&gt;0)+(IFERROR(INDEX(Setup!$G$33:$G$40,MATCH(K382,Setup!$B$33:$B$40,0)),0)=1)*(COUNTIF(K358:M375,$B382)+COUNTIF(K358:M375,$B382&amp;" ~*")&gt;0)+(IFERROR(INDEX(Setup!$G$33:$G$40,MATCH(O382,Setup!$B$33:$B$40,0)),0)=1)*(COUNTIF(O358:Q375,$B382)+COUNTIF(O358:Q375,$B382&amp;" ~*")&gt;0)+(IFERROR(INDEX(Setup!$G$33:$G$40,MATCH(S382,Setup!$B$33:$B$40,0)),0)=1)*(COUNTIF(S358:U375,$B382)+COUNTIF(S358:U375,$B382&amp;" ~*")&gt;0)+(IFERROR(INDEX(Setup!$G$33:$G$40,MATCH(W382,Setup!$B$33:$B$40,0)),0)=1)*(COUNTIF(W358:W375,$B382)+COUNTIF(W358:W375,$B382&amp;" ~*")&gt;0)+(IFERROR(INDEX(Setup!$G$33:$G$40,MATCH(Y382,Setup!$B$33:$B$40,0)),0)=1)*(COUNTIF(Y358:Y375,$B382)+COUNTIF(Y358:Y375,$B382&amp;" ~*")&gt;0))</f>
        <v/>
      </c>
    </row>
    <row r="383" ht="15" customHeight="1">
      <c r="A383" t="n">
        <v>8</v>
      </c>
      <c r="B383" s="35">
        <f>IF(Setup!$B$12="","",Setup!$B$12)</f>
        <v/>
      </c>
      <c r="C383" s="98" t="n"/>
      <c r="D383" s="99" t="n"/>
      <c r="E383" s="99" t="n"/>
      <c r="F383" s="100" t="n"/>
      <c r="G383" s="98" t="n"/>
      <c r="H383" s="99" t="n"/>
      <c r="I383" s="99" t="n"/>
      <c r="J383" s="100" t="n"/>
      <c r="K383" s="98" t="n"/>
      <c r="L383" s="99" t="n"/>
      <c r="M383" s="99" t="n"/>
      <c r="N383" s="100" t="n"/>
      <c r="O383" s="98" t="n"/>
      <c r="P383" s="99" t="n"/>
      <c r="Q383" s="99" t="n"/>
      <c r="R383" s="100" t="n"/>
      <c r="S383" s="98" t="n"/>
      <c r="T383" s="99" t="n"/>
      <c r="U383" s="99" t="n"/>
      <c r="V383" s="100" t="n"/>
      <c r="W383" s="98" t="n"/>
      <c r="X383" s="100" t="n"/>
      <c r="Y383" s="98" t="n"/>
      <c r="Z383" s="100" t="n"/>
      <c r="AB383" s="101">
        <f>IF($B383="","",(COUNTIF(C358:E375,$B383)+COUNTIF(C358:E375,$B383&amp;" ~*")&gt;0)+(COUNTIF(G358:I375,$B383)+COUNTIF(G358:I375,$B383&amp;" ~*")&gt;0)+(COUNTIF(K358:M375,$B383)+COUNTIF(K358:M375,$B383&amp;" ~*")&gt;0)+(COUNTIF(O358:Q375,$B383)+COUNTIF(O358:Q375,$B383&amp;" ~*")&gt;0)+(COUNTIF(S358:U375,$B383)+COUNTIF(S358:U375,$B383&amp;" ~*")&gt;0)+(COUNTIF(W358:W375,$B383)+COUNTIF(W358:W375,$B383&amp;" ~*")&gt;0)+(COUNTIF(Y358:Y375,$B383)+COUNTIF(Y358:Y375,$B383&amp;" ~*")&gt;0))</f>
        <v/>
      </c>
      <c r="AC383" s="36">
        <f>IF($B383="","",(IFERROR(INDEX(Setup!$G$33:$G$40,MATCH(C383,Setup!$B$33:$B$40,0)),0)=1)*(COUNTIF(C358:E375,$B383)+COUNTIF(C358:E375,$B383&amp;" ~*")&gt;0)+(IFERROR(INDEX(Setup!$G$33:$G$40,MATCH(G383,Setup!$B$33:$B$40,0)),0)=1)*(COUNTIF(G358:I375,$B383)+COUNTIF(G358:I375,$B383&amp;" ~*")&gt;0)+(IFERROR(INDEX(Setup!$G$33:$G$40,MATCH(K383,Setup!$B$33:$B$40,0)),0)=1)*(COUNTIF(K358:M375,$B383)+COUNTIF(K358:M375,$B383&amp;" ~*")&gt;0)+(IFERROR(INDEX(Setup!$G$33:$G$40,MATCH(O383,Setup!$B$33:$B$40,0)),0)=1)*(COUNTIF(O358:Q375,$B383)+COUNTIF(O358:Q375,$B383&amp;" ~*")&gt;0)+(IFERROR(INDEX(Setup!$G$33:$G$40,MATCH(S383,Setup!$B$33:$B$40,0)),0)=1)*(COUNTIF(S358:U375,$B383)+COUNTIF(S358:U375,$B383&amp;" ~*")&gt;0)+(IFERROR(INDEX(Setup!$G$33:$G$40,MATCH(W383,Setup!$B$33:$B$40,0)),0)=1)*(COUNTIF(W358:W375,$B383)+COUNTIF(W358:W375,$B383&amp;" ~*")&gt;0)+(IFERROR(INDEX(Setup!$G$33:$G$40,MATCH(Y383,Setup!$B$33:$B$40,0)),0)=1)*(COUNTIF(Y358:Y375,$B383)+COUNTIF(Y358:Y375,$B383&amp;" ~*")&gt;0))</f>
        <v/>
      </c>
    </row>
    <row r="384" ht="15" customHeight="1">
      <c r="A384" t="n">
        <v>8</v>
      </c>
      <c r="B384" s="37">
        <f>IF(Setup!$B$13="","",Setup!$B$13)</f>
        <v/>
      </c>
      <c r="C384" s="102" t="n"/>
      <c r="D384" s="103" t="n"/>
      <c r="E384" s="103" t="n"/>
      <c r="F384" s="104" t="n"/>
      <c r="G384" s="102" t="n"/>
      <c r="H384" s="103" t="n"/>
      <c r="I384" s="103" t="n"/>
      <c r="J384" s="104" t="n"/>
      <c r="K384" s="102" t="n"/>
      <c r="L384" s="103" t="n"/>
      <c r="M384" s="103" t="n"/>
      <c r="N384" s="104" t="n"/>
      <c r="O384" s="102" t="n"/>
      <c r="P384" s="103" t="n"/>
      <c r="Q384" s="103" t="n"/>
      <c r="R384" s="104" t="n"/>
      <c r="S384" s="102" t="n"/>
      <c r="T384" s="103" t="n"/>
      <c r="U384" s="103" t="n"/>
      <c r="V384" s="104" t="n"/>
      <c r="W384" s="102" t="n"/>
      <c r="X384" s="104" t="n"/>
      <c r="Y384" s="102" t="n"/>
      <c r="Z384" s="104" t="n"/>
      <c r="AB384" s="105">
        <f>IF($B384="","",(COUNTIF(C358:E375,$B384)+COUNTIF(C358:E375,$B384&amp;" ~*")&gt;0)+(COUNTIF(G358:I375,$B384)+COUNTIF(G358:I375,$B384&amp;" ~*")&gt;0)+(COUNTIF(K358:M375,$B384)+COUNTIF(K358:M375,$B384&amp;" ~*")&gt;0)+(COUNTIF(O358:Q375,$B384)+COUNTIF(O358:Q375,$B384&amp;" ~*")&gt;0)+(COUNTIF(S358:U375,$B384)+COUNTIF(S358:U375,$B384&amp;" ~*")&gt;0)+(COUNTIF(W358:W375,$B384)+COUNTIF(W358:W375,$B384&amp;" ~*")&gt;0)+(COUNTIF(Y358:Y375,$B384)+COUNTIF(Y358:Y375,$B384&amp;" ~*")&gt;0))</f>
        <v/>
      </c>
      <c r="AC384" s="38">
        <f>IF($B384="","",(IFERROR(INDEX(Setup!$G$33:$G$40,MATCH(C384,Setup!$B$33:$B$40,0)),0)=1)*(COUNTIF(C358:E375,$B384)+COUNTIF(C358:E375,$B384&amp;" ~*")&gt;0)+(IFERROR(INDEX(Setup!$G$33:$G$40,MATCH(G384,Setup!$B$33:$B$40,0)),0)=1)*(COUNTIF(G358:I375,$B384)+COUNTIF(G358:I375,$B384&amp;" ~*")&gt;0)+(IFERROR(INDEX(Setup!$G$33:$G$40,MATCH(K384,Setup!$B$33:$B$40,0)),0)=1)*(COUNTIF(K358:M375,$B384)+COUNTIF(K358:M375,$B384&amp;" ~*")&gt;0)+(IFERROR(INDEX(Setup!$G$33:$G$40,MATCH(O384,Setup!$B$33:$B$40,0)),0)=1)*(COUNTIF(O358:Q375,$B384)+COUNTIF(O358:Q375,$B384&amp;" ~*")&gt;0)+(IFERROR(INDEX(Setup!$G$33:$G$40,MATCH(S384,Setup!$B$33:$B$40,0)),0)=1)*(COUNTIF(S358:U375,$B384)+COUNTIF(S358:U375,$B384&amp;" ~*")&gt;0)+(IFERROR(INDEX(Setup!$G$33:$G$40,MATCH(W384,Setup!$B$33:$B$40,0)),0)=1)*(COUNTIF(W358:W375,$B384)+COUNTIF(W358:W375,$B384&amp;" ~*")&gt;0)+(IFERROR(INDEX(Setup!$G$33:$G$40,MATCH(Y384,Setup!$B$33:$B$40,0)),0)=1)*(COUNTIF(Y358:Y375,$B384)+COUNTIF(Y358:Y375,$B384&amp;" ~*")&gt;0))</f>
        <v/>
      </c>
    </row>
    <row r="385" ht="15" customHeight="1">
      <c r="A385" t="n">
        <v>8</v>
      </c>
      <c r="B385" s="35">
        <f>IF(Setup!$B$14="","",Setup!$B$14)</f>
        <v/>
      </c>
      <c r="C385" s="98" t="n"/>
      <c r="D385" s="99" t="n"/>
      <c r="E385" s="99" t="n"/>
      <c r="F385" s="100" t="n"/>
      <c r="G385" s="98" t="n"/>
      <c r="H385" s="99" t="n"/>
      <c r="I385" s="99" t="n"/>
      <c r="J385" s="100" t="n"/>
      <c r="K385" s="98" t="n"/>
      <c r="L385" s="99" t="n"/>
      <c r="M385" s="99" t="n"/>
      <c r="N385" s="100" t="n"/>
      <c r="O385" s="98" t="n"/>
      <c r="P385" s="99" t="n"/>
      <c r="Q385" s="99" t="n"/>
      <c r="R385" s="100" t="n"/>
      <c r="S385" s="98" t="n"/>
      <c r="T385" s="99" t="n"/>
      <c r="U385" s="99" t="n"/>
      <c r="V385" s="100" t="n"/>
      <c r="W385" s="98" t="n"/>
      <c r="X385" s="100" t="n"/>
      <c r="Y385" s="98" t="n"/>
      <c r="Z385" s="100" t="n"/>
      <c r="AB385" s="101">
        <f>IF($B385="","",(COUNTIF(C358:E375,$B385)+COUNTIF(C358:E375,$B385&amp;" ~*")&gt;0)+(COUNTIF(G358:I375,$B385)+COUNTIF(G358:I375,$B385&amp;" ~*")&gt;0)+(COUNTIF(K358:M375,$B385)+COUNTIF(K358:M375,$B385&amp;" ~*")&gt;0)+(COUNTIF(O358:Q375,$B385)+COUNTIF(O358:Q375,$B385&amp;" ~*")&gt;0)+(COUNTIF(S358:U375,$B385)+COUNTIF(S358:U375,$B385&amp;" ~*")&gt;0)+(COUNTIF(W358:W375,$B385)+COUNTIF(W358:W375,$B385&amp;" ~*")&gt;0)+(COUNTIF(Y358:Y375,$B385)+COUNTIF(Y358:Y375,$B385&amp;" ~*")&gt;0))</f>
        <v/>
      </c>
      <c r="AC385" s="36">
        <f>IF($B385="","",(IFERROR(INDEX(Setup!$G$33:$G$40,MATCH(C385,Setup!$B$33:$B$40,0)),0)=1)*(COUNTIF(C358:E375,$B385)+COUNTIF(C358:E375,$B385&amp;" ~*")&gt;0)+(IFERROR(INDEX(Setup!$G$33:$G$40,MATCH(G385,Setup!$B$33:$B$40,0)),0)=1)*(COUNTIF(G358:I375,$B385)+COUNTIF(G358:I375,$B385&amp;" ~*")&gt;0)+(IFERROR(INDEX(Setup!$G$33:$G$40,MATCH(K385,Setup!$B$33:$B$40,0)),0)=1)*(COUNTIF(K358:M375,$B385)+COUNTIF(K358:M375,$B385&amp;" ~*")&gt;0)+(IFERROR(INDEX(Setup!$G$33:$G$40,MATCH(O385,Setup!$B$33:$B$40,0)),0)=1)*(COUNTIF(O358:Q375,$B385)+COUNTIF(O358:Q375,$B385&amp;" ~*")&gt;0)+(IFERROR(INDEX(Setup!$G$33:$G$40,MATCH(S385,Setup!$B$33:$B$40,0)),0)=1)*(COUNTIF(S358:U375,$B385)+COUNTIF(S358:U375,$B385&amp;" ~*")&gt;0)+(IFERROR(INDEX(Setup!$G$33:$G$40,MATCH(W385,Setup!$B$33:$B$40,0)),0)=1)*(COUNTIF(W358:W375,$B385)+COUNTIF(W358:W375,$B385&amp;" ~*")&gt;0)+(IFERROR(INDEX(Setup!$G$33:$G$40,MATCH(Y385,Setup!$B$33:$B$40,0)),0)=1)*(COUNTIF(Y358:Y375,$B385)+COUNTIF(Y358:Y375,$B385&amp;" ~*")&gt;0))</f>
        <v/>
      </c>
    </row>
    <row r="386" ht="15" customHeight="1">
      <c r="A386" t="n">
        <v>8</v>
      </c>
      <c r="B386" s="37">
        <f>IF(Setup!$B$15="","",Setup!$B$15)</f>
        <v/>
      </c>
      <c r="C386" s="102" t="n"/>
      <c r="D386" s="103" t="n"/>
      <c r="E386" s="103" t="n"/>
      <c r="F386" s="104" t="n"/>
      <c r="G386" s="102" t="n"/>
      <c r="H386" s="103" t="n"/>
      <c r="I386" s="103" t="n"/>
      <c r="J386" s="104" t="n"/>
      <c r="K386" s="102" t="n"/>
      <c r="L386" s="103" t="n"/>
      <c r="M386" s="103" t="n"/>
      <c r="N386" s="104" t="n"/>
      <c r="O386" s="102" t="n"/>
      <c r="P386" s="103" t="n"/>
      <c r="Q386" s="103" t="n"/>
      <c r="R386" s="104" t="n"/>
      <c r="S386" s="102" t="n"/>
      <c r="T386" s="103" t="n"/>
      <c r="U386" s="103" t="n"/>
      <c r="V386" s="104" t="n"/>
      <c r="W386" s="102" t="n"/>
      <c r="X386" s="104" t="n"/>
      <c r="Y386" s="102" t="n"/>
      <c r="Z386" s="104" t="n"/>
      <c r="AB386" s="105">
        <f>IF($B386="","",(COUNTIF(C358:E375,$B386)+COUNTIF(C358:E375,$B386&amp;" ~*")&gt;0)+(COUNTIF(G358:I375,$B386)+COUNTIF(G358:I375,$B386&amp;" ~*")&gt;0)+(COUNTIF(K358:M375,$B386)+COUNTIF(K358:M375,$B386&amp;" ~*")&gt;0)+(COUNTIF(O358:Q375,$B386)+COUNTIF(O358:Q375,$B386&amp;" ~*")&gt;0)+(COUNTIF(S358:U375,$B386)+COUNTIF(S358:U375,$B386&amp;" ~*")&gt;0)+(COUNTIF(W358:W375,$B386)+COUNTIF(W358:W375,$B386&amp;" ~*")&gt;0)+(COUNTIF(Y358:Y375,$B386)+COUNTIF(Y358:Y375,$B386&amp;" ~*")&gt;0))</f>
        <v/>
      </c>
      <c r="AC386" s="38">
        <f>IF($B386="","",(IFERROR(INDEX(Setup!$G$33:$G$40,MATCH(C386,Setup!$B$33:$B$40,0)),0)=1)*(COUNTIF(C358:E375,$B386)+COUNTIF(C358:E375,$B386&amp;" ~*")&gt;0)+(IFERROR(INDEX(Setup!$G$33:$G$40,MATCH(G386,Setup!$B$33:$B$40,0)),0)=1)*(COUNTIF(G358:I375,$B386)+COUNTIF(G358:I375,$B386&amp;" ~*")&gt;0)+(IFERROR(INDEX(Setup!$G$33:$G$40,MATCH(K386,Setup!$B$33:$B$40,0)),0)=1)*(COUNTIF(K358:M375,$B386)+COUNTIF(K358:M375,$B386&amp;" ~*")&gt;0)+(IFERROR(INDEX(Setup!$G$33:$G$40,MATCH(O386,Setup!$B$33:$B$40,0)),0)=1)*(COUNTIF(O358:Q375,$B386)+COUNTIF(O358:Q375,$B386&amp;" ~*")&gt;0)+(IFERROR(INDEX(Setup!$G$33:$G$40,MATCH(S386,Setup!$B$33:$B$40,0)),0)=1)*(COUNTIF(S358:U375,$B386)+COUNTIF(S358:U375,$B386&amp;" ~*")&gt;0)+(IFERROR(INDEX(Setup!$G$33:$G$40,MATCH(W386,Setup!$B$33:$B$40,0)),0)=1)*(COUNTIF(W358:W375,$B386)+COUNTIF(W358:W375,$B386&amp;" ~*")&gt;0)+(IFERROR(INDEX(Setup!$G$33:$G$40,MATCH(Y386,Setup!$B$33:$B$40,0)),0)=1)*(COUNTIF(Y358:Y375,$B386)+COUNTIF(Y358:Y375,$B386&amp;" ~*")&gt;0))</f>
        <v/>
      </c>
    </row>
    <row r="387" ht="15" customHeight="1">
      <c r="A387" t="n">
        <v>8</v>
      </c>
      <c r="B387" s="35">
        <f>IF(Setup!$B$16="","",Setup!$B$16)</f>
        <v/>
      </c>
      <c r="C387" s="98" t="n"/>
      <c r="D387" s="99" t="n"/>
      <c r="E387" s="99" t="n"/>
      <c r="F387" s="100" t="n"/>
      <c r="G387" s="98" t="n"/>
      <c r="H387" s="99" t="n"/>
      <c r="I387" s="99" t="n"/>
      <c r="J387" s="100" t="n"/>
      <c r="K387" s="98" t="n"/>
      <c r="L387" s="99" t="n"/>
      <c r="M387" s="99" t="n"/>
      <c r="N387" s="100" t="n"/>
      <c r="O387" s="98" t="n"/>
      <c r="P387" s="99" t="n"/>
      <c r="Q387" s="99" t="n"/>
      <c r="R387" s="100" t="n"/>
      <c r="S387" s="98" t="n"/>
      <c r="T387" s="99" t="n"/>
      <c r="U387" s="99" t="n"/>
      <c r="V387" s="100" t="n"/>
      <c r="W387" s="98" t="n"/>
      <c r="X387" s="100" t="n"/>
      <c r="Y387" s="98" t="n"/>
      <c r="Z387" s="100" t="n"/>
      <c r="AB387" s="101">
        <f>IF($B387="","",(COUNTIF(C358:E375,$B387)+COUNTIF(C358:E375,$B387&amp;" ~*")&gt;0)+(COUNTIF(G358:I375,$B387)+COUNTIF(G358:I375,$B387&amp;" ~*")&gt;0)+(COUNTIF(K358:M375,$B387)+COUNTIF(K358:M375,$B387&amp;" ~*")&gt;0)+(COUNTIF(O358:Q375,$B387)+COUNTIF(O358:Q375,$B387&amp;" ~*")&gt;0)+(COUNTIF(S358:U375,$B387)+COUNTIF(S358:U375,$B387&amp;" ~*")&gt;0)+(COUNTIF(W358:W375,$B387)+COUNTIF(W358:W375,$B387&amp;" ~*")&gt;0)+(COUNTIF(Y358:Y375,$B387)+COUNTIF(Y358:Y375,$B387&amp;" ~*")&gt;0))</f>
        <v/>
      </c>
      <c r="AC387" s="36">
        <f>IF($B387="","",(IFERROR(INDEX(Setup!$G$33:$G$40,MATCH(C387,Setup!$B$33:$B$40,0)),0)=1)*(COUNTIF(C358:E375,$B387)+COUNTIF(C358:E375,$B387&amp;" ~*")&gt;0)+(IFERROR(INDEX(Setup!$G$33:$G$40,MATCH(G387,Setup!$B$33:$B$40,0)),0)=1)*(COUNTIF(G358:I375,$B387)+COUNTIF(G358:I375,$B387&amp;" ~*")&gt;0)+(IFERROR(INDEX(Setup!$G$33:$G$40,MATCH(K387,Setup!$B$33:$B$40,0)),0)=1)*(COUNTIF(K358:M375,$B387)+COUNTIF(K358:M375,$B387&amp;" ~*")&gt;0)+(IFERROR(INDEX(Setup!$G$33:$G$40,MATCH(O387,Setup!$B$33:$B$40,0)),0)=1)*(COUNTIF(O358:Q375,$B387)+COUNTIF(O358:Q375,$B387&amp;" ~*")&gt;0)+(IFERROR(INDEX(Setup!$G$33:$G$40,MATCH(S387,Setup!$B$33:$B$40,0)),0)=1)*(COUNTIF(S358:U375,$B387)+COUNTIF(S358:U375,$B387&amp;" ~*")&gt;0)+(IFERROR(INDEX(Setup!$G$33:$G$40,MATCH(W387,Setup!$B$33:$B$40,0)),0)=1)*(COUNTIF(W358:W375,$B387)+COUNTIF(W358:W375,$B387&amp;" ~*")&gt;0)+(IFERROR(INDEX(Setup!$G$33:$G$40,MATCH(Y387,Setup!$B$33:$B$40,0)),0)=1)*(COUNTIF(Y358:Y375,$B387)+COUNTIF(Y358:Y375,$B387&amp;" ~*")&gt;0))</f>
        <v/>
      </c>
    </row>
    <row r="388" ht="15" customHeight="1">
      <c r="A388" t="n">
        <v>8</v>
      </c>
      <c r="B388" s="37">
        <f>IF(Setup!$B$17="","",Setup!$B$17)</f>
        <v/>
      </c>
      <c r="C388" s="102" t="n"/>
      <c r="D388" s="103" t="n"/>
      <c r="E388" s="103" t="n"/>
      <c r="F388" s="104" t="n"/>
      <c r="G388" s="102" t="n"/>
      <c r="H388" s="103" t="n"/>
      <c r="I388" s="103" t="n"/>
      <c r="J388" s="104" t="n"/>
      <c r="K388" s="102" t="n"/>
      <c r="L388" s="103" t="n"/>
      <c r="M388" s="103" t="n"/>
      <c r="N388" s="104" t="n"/>
      <c r="O388" s="102" t="n"/>
      <c r="P388" s="103" t="n"/>
      <c r="Q388" s="103" t="n"/>
      <c r="R388" s="104" t="n"/>
      <c r="S388" s="102" t="n"/>
      <c r="T388" s="103" t="n"/>
      <c r="U388" s="103" t="n"/>
      <c r="V388" s="104" t="n"/>
      <c r="W388" s="102" t="n"/>
      <c r="X388" s="104" t="n"/>
      <c r="Y388" s="102" t="n"/>
      <c r="Z388" s="104" t="n"/>
      <c r="AB388" s="105">
        <f>IF($B388="","",(COUNTIF(C358:E375,$B388)+COUNTIF(C358:E375,$B388&amp;" ~*")&gt;0)+(COUNTIF(G358:I375,$B388)+COUNTIF(G358:I375,$B388&amp;" ~*")&gt;0)+(COUNTIF(K358:M375,$B388)+COUNTIF(K358:M375,$B388&amp;" ~*")&gt;0)+(COUNTIF(O358:Q375,$B388)+COUNTIF(O358:Q375,$B388&amp;" ~*")&gt;0)+(COUNTIF(S358:U375,$B388)+COUNTIF(S358:U375,$B388&amp;" ~*")&gt;0)+(COUNTIF(W358:W375,$B388)+COUNTIF(W358:W375,$B388&amp;" ~*")&gt;0)+(COUNTIF(Y358:Y375,$B388)+COUNTIF(Y358:Y375,$B388&amp;" ~*")&gt;0))</f>
        <v/>
      </c>
      <c r="AC388" s="38">
        <f>IF($B388="","",(IFERROR(INDEX(Setup!$G$33:$G$40,MATCH(C388,Setup!$B$33:$B$40,0)),0)=1)*(COUNTIF(C358:E375,$B388)+COUNTIF(C358:E375,$B388&amp;" ~*")&gt;0)+(IFERROR(INDEX(Setup!$G$33:$G$40,MATCH(G388,Setup!$B$33:$B$40,0)),0)=1)*(COUNTIF(G358:I375,$B388)+COUNTIF(G358:I375,$B388&amp;" ~*")&gt;0)+(IFERROR(INDEX(Setup!$G$33:$G$40,MATCH(K388,Setup!$B$33:$B$40,0)),0)=1)*(COUNTIF(K358:M375,$B388)+COUNTIF(K358:M375,$B388&amp;" ~*")&gt;0)+(IFERROR(INDEX(Setup!$G$33:$G$40,MATCH(O388,Setup!$B$33:$B$40,0)),0)=1)*(COUNTIF(O358:Q375,$B388)+COUNTIF(O358:Q375,$B388&amp;" ~*")&gt;0)+(IFERROR(INDEX(Setup!$G$33:$G$40,MATCH(S388,Setup!$B$33:$B$40,0)),0)=1)*(COUNTIF(S358:U375,$B388)+COUNTIF(S358:U375,$B388&amp;" ~*")&gt;0)+(IFERROR(INDEX(Setup!$G$33:$G$40,MATCH(W388,Setup!$B$33:$B$40,0)),0)=1)*(COUNTIF(W358:W375,$B388)+COUNTIF(W358:W375,$B388&amp;" ~*")&gt;0)+(IFERROR(INDEX(Setup!$G$33:$G$40,MATCH(Y388,Setup!$B$33:$B$40,0)),0)=1)*(COUNTIF(Y358:Y375,$B388)+COUNTIF(Y358:Y375,$B388&amp;" ~*")&gt;0))</f>
        <v/>
      </c>
    </row>
    <row r="389" ht="15" customHeight="1">
      <c r="A389" t="n">
        <v>8</v>
      </c>
      <c r="B389" s="35">
        <f>IF(Setup!$B$18="","",Setup!$B$18)</f>
        <v/>
      </c>
      <c r="C389" s="98" t="n"/>
      <c r="D389" s="99" t="n"/>
      <c r="E389" s="99" t="n"/>
      <c r="F389" s="100" t="n"/>
      <c r="G389" s="98" t="n"/>
      <c r="H389" s="99" t="n"/>
      <c r="I389" s="99" t="n"/>
      <c r="J389" s="100" t="n"/>
      <c r="K389" s="98" t="n"/>
      <c r="L389" s="99" t="n"/>
      <c r="M389" s="99" t="n"/>
      <c r="N389" s="100" t="n"/>
      <c r="O389" s="98" t="n"/>
      <c r="P389" s="99" t="n"/>
      <c r="Q389" s="99" t="n"/>
      <c r="R389" s="100" t="n"/>
      <c r="S389" s="98" t="n"/>
      <c r="T389" s="99" t="n"/>
      <c r="U389" s="99" t="n"/>
      <c r="V389" s="100" t="n"/>
      <c r="W389" s="98" t="n"/>
      <c r="X389" s="100" t="n"/>
      <c r="Y389" s="98" t="n"/>
      <c r="Z389" s="100" t="n"/>
      <c r="AB389" s="101">
        <f>IF($B389="","",(COUNTIF(C358:E375,$B389)+COUNTIF(C358:E375,$B389&amp;" ~*")&gt;0)+(COUNTIF(G358:I375,$B389)+COUNTIF(G358:I375,$B389&amp;" ~*")&gt;0)+(COUNTIF(K358:M375,$B389)+COUNTIF(K358:M375,$B389&amp;" ~*")&gt;0)+(COUNTIF(O358:Q375,$B389)+COUNTIF(O358:Q375,$B389&amp;" ~*")&gt;0)+(COUNTIF(S358:U375,$B389)+COUNTIF(S358:U375,$B389&amp;" ~*")&gt;0)+(COUNTIF(W358:W375,$B389)+COUNTIF(W358:W375,$B389&amp;" ~*")&gt;0)+(COUNTIF(Y358:Y375,$B389)+COUNTIF(Y358:Y375,$B389&amp;" ~*")&gt;0))</f>
        <v/>
      </c>
      <c r="AC389" s="36">
        <f>IF($B389="","",(IFERROR(INDEX(Setup!$G$33:$G$40,MATCH(C389,Setup!$B$33:$B$40,0)),0)=1)*(COUNTIF(C358:E375,$B389)+COUNTIF(C358:E375,$B389&amp;" ~*")&gt;0)+(IFERROR(INDEX(Setup!$G$33:$G$40,MATCH(G389,Setup!$B$33:$B$40,0)),0)=1)*(COUNTIF(G358:I375,$B389)+COUNTIF(G358:I375,$B389&amp;" ~*")&gt;0)+(IFERROR(INDEX(Setup!$G$33:$G$40,MATCH(K389,Setup!$B$33:$B$40,0)),0)=1)*(COUNTIF(K358:M375,$B389)+COUNTIF(K358:M375,$B389&amp;" ~*")&gt;0)+(IFERROR(INDEX(Setup!$G$33:$G$40,MATCH(O389,Setup!$B$33:$B$40,0)),0)=1)*(COUNTIF(O358:Q375,$B389)+COUNTIF(O358:Q375,$B389&amp;" ~*")&gt;0)+(IFERROR(INDEX(Setup!$G$33:$G$40,MATCH(S389,Setup!$B$33:$B$40,0)),0)=1)*(COUNTIF(S358:U375,$B389)+COUNTIF(S358:U375,$B389&amp;" ~*")&gt;0)+(IFERROR(INDEX(Setup!$G$33:$G$40,MATCH(W389,Setup!$B$33:$B$40,0)),0)=1)*(COUNTIF(W358:W375,$B389)+COUNTIF(W358:W375,$B389&amp;" ~*")&gt;0)+(IFERROR(INDEX(Setup!$G$33:$G$40,MATCH(Y389,Setup!$B$33:$B$40,0)),0)=1)*(COUNTIF(Y358:Y375,$B389)+COUNTIF(Y358:Y375,$B389&amp;" ~*")&gt;0))</f>
        <v/>
      </c>
    </row>
    <row r="390" ht="15" customHeight="1">
      <c r="A390" t="n">
        <v>8</v>
      </c>
      <c r="B390" s="37">
        <f>IF(Setup!$B$19="","",Setup!$B$19)</f>
        <v/>
      </c>
      <c r="C390" s="102" t="n"/>
      <c r="D390" s="103" t="n"/>
      <c r="E390" s="103" t="n"/>
      <c r="F390" s="104" t="n"/>
      <c r="G390" s="102" t="n"/>
      <c r="H390" s="103" t="n"/>
      <c r="I390" s="103" t="n"/>
      <c r="J390" s="104" t="n"/>
      <c r="K390" s="102" t="n"/>
      <c r="L390" s="103" t="n"/>
      <c r="M390" s="103" t="n"/>
      <c r="N390" s="104" t="n"/>
      <c r="O390" s="102" t="n"/>
      <c r="P390" s="103" t="n"/>
      <c r="Q390" s="103" t="n"/>
      <c r="R390" s="104" t="n"/>
      <c r="S390" s="102" t="n"/>
      <c r="T390" s="103" t="n"/>
      <c r="U390" s="103" t="n"/>
      <c r="V390" s="104" t="n"/>
      <c r="W390" s="102" t="n"/>
      <c r="X390" s="104" t="n"/>
      <c r="Y390" s="102" t="n"/>
      <c r="Z390" s="104" t="n"/>
      <c r="AB390" s="105">
        <f>IF($B390="","",(COUNTIF(C358:E375,$B390)+COUNTIF(C358:E375,$B390&amp;" ~*")&gt;0)+(COUNTIF(G358:I375,$B390)+COUNTIF(G358:I375,$B390&amp;" ~*")&gt;0)+(COUNTIF(K358:M375,$B390)+COUNTIF(K358:M375,$B390&amp;" ~*")&gt;0)+(COUNTIF(O358:Q375,$B390)+COUNTIF(O358:Q375,$B390&amp;" ~*")&gt;0)+(COUNTIF(S358:U375,$B390)+COUNTIF(S358:U375,$B390&amp;" ~*")&gt;0)+(COUNTIF(W358:W375,$B390)+COUNTIF(W358:W375,$B390&amp;" ~*")&gt;0)+(COUNTIF(Y358:Y375,$B390)+COUNTIF(Y358:Y375,$B390&amp;" ~*")&gt;0))</f>
        <v/>
      </c>
      <c r="AC390" s="38">
        <f>IF($B390="","",(IFERROR(INDEX(Setup!$G$33:$G$40,MATCH(C390,Setup!$B$33:$B$40,0)),0)=1)*(COUNTIF(C358:E375,$B390)+COUNTIF(C358:E375,$B390&amp;" ~*")&gt;0)+(IFERROR(INDEX(Setup!$G$33:$G$40,MATCH(G390,Setup!$B$33:$B$40,0)),0)=1)*(COUNTIF(G358:I375,$B390)+COUNTIF(G358:I375,$B390&amp;" ~*")&gt;0)+(IFERROR(INDEX(Setup!$G$33:$G$40,MATCH(K390,Setup!$B$33:$B$40,0)),0)=1)*(COUNTIF(K358:M375,$B390)+COUNTIF(K358:M375,$B390&amp;" ~*")&gt;0)+(IFERROR(INDEX(Setup!$G$33:$G$40,MATCH(O390,Setup!$B$33:$B$40,0)),0)=1)*(COUNTIF(O358:Q375,$B390)+COUNTIF(O358:Q375,$B390&amp;" ~*")&gt;0)+(IFERROR(INDEX(Setup!$G$33:$G$40,MATCH(S390,Setup!$B$33:$B$40,0)),0)=1)*(COUNTIF(S358:U375,$B390)+COUNTIF(S358:U375,$B390&amp;" ~*")&gt;0)+(IFERROR(INDEX(Setup!$G$33:$G$40,MATCH(W390,Setup!$B$33:$B$40,0)),0)=1)*(COUNTIF(W358:W375,$B390)+COUNTIF(W358:W375,$B390&amp;" ~*")&gt;0)+(IFERROR(INDEX(Setup!$G$33:$G$40,MATCH(Y390,Setup!$B$33:$B$40,0)),0)=1)*(COUNTIF(Y358:Y375,$B390)+COUNTIF(Y358:Y375,$B390&amp;" ~*")&gt;0))</f>
        <v/>
      </c>
    </row>
    <row r="391" ht="15" customHeight="1">
      <c r="A391" t="n">
        <v>8</v>
      </c>
      <c r="B391" s="35">
        <f>IF(Setup!$B$20="","",Setup!$B$20)</f>
        <v/>
      </c>
      <c r="C391" s="98" t="n"/>
      <c r="D391" s="99" t="n"/>
      <c r="E391" s="99" t="n"/>
      <c r="F391" s="100" t="n"/>
      <c r="G391" s="98" t="n"/>
      <c r="H391" s="99" t="n"/>
      <c r="I391" s="99" t="n"/>
      <c r="J391" s="100" t="n"/>
      <c r="K391" s="98" t="n"/>
      <c r="L391" s="99" t="n"/>
      <c r="M391" s="99" t="n"/>
      <c r="N391" s="100" t="n"/>
      <c r="O391" s="98" t="n"/>
      <c r="P391" s="99" t="n"/>
      <c r="Q391" s="99" t="n"/>
      <c r="R391" s="100" t="n"/>
      <c r="S391" s="98" t="n"/>
      <c r="T391" s="99" t="n"/>
      <c r="U391" s="99" t="n"/>
      <c r="V391" s="100" t="n"/>
      <c r="W391" s="98" t="n"/>
      <c r="X391" s="100" t="n"/>
      <c r="Y391" s="98" t="n"/>
      <c r="Z391" s="100" t="n"/>
      <c r="AB391" s="101">
        <f>IF($B391="","",(COUNTIF(C358:E375,$B391)+COUNTIF(C358:E375,$B391&amp;" ~*")&gt;0)+(COUNTIF(G358:I375,$B391)+COUNTIF(G358:I375,$B391&amp;" ~*")&gt;0)+(COUNTIF(K358:M375,$B391)+COUNTIF(K358:M375,$B391&amp;" ~*")&gt;0)+(COUNTIF(O358:Q375,$B391)+COUNTIF(O358:Q375,$B391&amp;" ~*")&gt;0)+(COUNTIF(S358:U375,$B391)+COUNTIF(S358:U375,$B391&amp;" ~*")&gt;0)+(COUNTIF(W358:W375,$B391)+COUNTIF(W358:W375,$B391&amp;" ~*")&gt;0)+(COUNTIF(Y358:Y375,$B391)+COUNTIF(Y358:Y375,$B391&amp;" ~*")&gt;0))</f>
        <v/>
      </c>
      <c r="AC391" s="36">
        <f>IF($B391="","",(IFERROR(INDEX(Setup!$G$33:$G$40,MATCH(C391,Setup!$B$33:$B$40,0)),0)=1)*(COUNTIF(C358:E375,$B391)+COUNTIF(C358:E375,$B391&amp;" ~*")&gt;0)+(IFERROR(INDEX(Setup!$G$33:$G$40,MATCH(G391,Setup!$B$33:$B$40,0)),0)=1)*(COUNTIF(G358:I375,$B391)+COUNTIF(G358:I375,$B391&amp;" ~*")&gt;0)+(IFERROR(INDEX(Setup!$G$33:$G$40,MATCH(K391,Setup!$B$33:$B$40,0)),0)=1)*(COUNTIF(K358:M375,$B391)+COUNTIF(K358:M375,$B391&amp;" ~*")&gt;0)+(IFERROR(INDEX(Setup!$G$33:$G$40,MATCH(O391,Setup!$B$33:$B$40,0)),0)=1)*(COUNTIF(O358:Q375,$B391)+COUNTIF(O358:Q375,$B391&amp;" ~*")&gt;0)+(IFERROR(INDEX(Setup!$G$33:$G$40,MATCH(S391,Setup!$B$33:$B$40,0)),0)=1)*(COUNTIF(S358:U375,$B391)+COUNTIF(S358:U375,$B391&amp;" ~*")&gt;0)+(IFERROR(INDEX(Setup!$G$33:$G$40,MATCH(W391,Setup!$B$33:$B$40,0)),0)=1)*(COUNTIF(W358:W375,$B391)+COUNTIF(W358:W375,$B391&amp;" ~*")&gt;0)+(IFERROR(INDEX(Setup!$G$33:$G$40,MATCH(Y391,Setup!$B$33:$B$40,0)),0)=1)*(COUNTIF(Y358:Y375,$B391)+COUNTIF(Y358:Y375,$B391&amp;" ~*")&gt;0))</f>
        <v/>
      </c>
    </row>
    <row r="392" ht="15" customHeight="1">
      <c r="A392" t="n">
        <v>8</v>
      </c>
      <c r="B392" s="37">
        <f>IF(Setup!$B$21="","",Setup!$B$21)</f>
        <v/>
      </c>
      <c r="C392" s="102" t="n"/>
      <c r="D392" s="103" t="n"/>
      <c r="E392" s="103" t="n"/>
      <c r="F392" s="104" t="n"/>
      <c r="G392" s="102" t="n"/>
      <c r="H392" s="103" t="n"/>
      <c r="I392" s="103" t="n"/>
      <c r="J392" s="104" t="n"/>
      <c r="K392" s="102" t="n"/>
      <c r="L392" s="103" t="n"/>
      <c r="M392" s="103" t="n"/>
      <c r="N392" s="104" t="n"/>
      <c r="O392" s="102" t="n"/>
      <c r="P392" s="103" t="n"/>
      <c r="Q392" s="103" t="n"/>
      <c r="R392" s="104" t="n"/>
      <c r="S392" s="102" t="n"/>
      <c r="T392" s="103" t="n"/>
      <c r="U392" s="103" t="n"/>
      <c r="V392" s="104" t="n"/>
      <c r="W392" s="102" t="n"/>
      <c r="X392" s="104" t="n"/>
      <c r="Y392" s="102" t="n"/>
      <c r="Z392" s="104" t="n"/>
      <c r="AB392" s="105">
        <f>IF($B392="","",(COUNTIF(C358:E375,$B392)+COUNTIF(C358:E375,$B392&amp;" ~*")&gt;0)+(COUNTIF(G358:I375,$B392)+COUNTIF(G358:I375,$B392&amp;" ~*")&gt;0)+(COUNTIF(K358:M375,$B392)+COUNTIF(K358:M375,$B392&amp;" ~*")&gt;0)+(COUNTIF(O358:Q375,$B392)+COUNTIF(O358:Q375,$B392&amp;" ~*")&gt;0)+(COUNTIF(S358:U375,$B392)+COUNTIF(S358:U375,$B392&amp;" ~*")&gt;0)+(COUNTIF(W358:W375,$B392)+COUNTIF(W358:W375,$B392&amp;" ~*")&gt;0)+(COUNTIF(Y358:Y375,$B392)+COUNTIF(Y358:Y375,$B392&amp;" ~*")&gt;0))</f>
        <v/>
      </c>
      <c r="AC392" s="38">
        <f>IF($B392="","",(IFERROR(INDEX(Setup!$G$33:$G$40,MATCH(C392,Setup!$B$33:$B$40,0)),0)=1)*(COUNTIF(C358:E375,$B392)+COUNTIF(C358:E375,$B392&amp;" ~*")&gt;0)+(IFERROR(INDEX(Setup!$G$33:$G$40,MATCH(G392,Setup!$B$33:$B$40,0)),0)=1)*(COUNTIF(G358:I375,$B392)+COUNTIF(G358:I375,$B392&amp;" ~*")&gt;0)+(IFERROR(INDEX(Setup!$G$33:$G$40,MATCH(K392,Setup!$B$33:$B$40,0)),0)=1)*(COUNTIF(K358:M375,$B392)+COUNTIF(K358:M375,$B392&amp;" ~*")&gt;0)+(IFERROR(INDEX(Setup!$G$33:$G$40,MATCH(O392,Setup!$B$33:$B$40,0)),0)=1)*(COUNTIF(O358:Q375,$B392)+COUNTIF(O358:Q375,$B392&amp;" ~*")&gt;0)+(IFERROR(INDEX(Setup!$G$33:$G$40,MATCH(S392,Setup!$B$33:$B$40,0)),0)=1)*(COUNTIF(S358:U375,$B392)+COUNTIF(S358:U375,$B392&amp;" ~*")&gt;0)+(IFERROR(INDEX(Setup!$G$33:$G$40,MATCH(W392,Setup!$B$33:$B$40,0)),0)=1)*(COUNTIF(W358:W375,$B392)+COUNTIF(W358:W375,$B392&amp;" ~*")&gt;0)+(IFERROR(INDEX(Setup!$G$33:$G$40,MATCH(Y392,Setup!$B$33:$B$40,0)),0)=1)*(COUNTIF(Y358:Y375,$B392)+COUNTIF(Y358:Y375,$B392&amp;" ~*")&gt;0))</f>
        <v/>
      </c>
    </row>
    <row r="393" ht="15" customHeight="1">
      <c r="A393" t="n">
        <v>8</v>
      </c>
      <c r="B393" s="35">
        <f>IF(Setup!$B$22="","",Setup!$B$22)</f>
        <v/>
      </c>
      <c r="C393" s="98" t="n"/>
      <c r="D393" s="99" t="n"/>
      <c r="E393" s="99" t="n"/>
      <c r="F393" s="100" t="n"/>
      <c r="G393" s="98" t="n"/>
      <c r="H393" s="99" t="n"/>
      <c r="I393" s="99" t="n"/>
      <c r="J393" s="100" t="n"/>
      <c r="K393" s="98" t="n"/>
      <c r="L393" s="99" t="n"/>
      <c r="M393" s="99" t="n"/>
      <c r="N393" s="100" t="n"/>
      <c r="O393" s="98" t="n"/>
      <c r="P393" s="99" t="n"/>
      <c r="Q393" s="99" t="n"/>
      <c r="R393" s="100" t="n"/>
      <c r="S393" s="98" t="n"/>
      <c r="T393" s="99" t="n"/>
      <c r="U393" s="99" t="n"/>
      <c r="V393" s="100" t="n"/>
      <c r="W393" s="98" t="n"/>
      <c r="X393" s="100" t="n"/>
      <c r="Y393" s="98" t="n"/>
      <c r="Z393" s="100" t="n"/>
      <c r="AB393" s="101">
        <f>IF($B393="","",(COUNTIF(C358:E375,$B393)+COUNTIF(C358:E375,$B393&amp;" ~*")&gt;0)+(COUNTIF(G358:I375,$B393)+COUNTIF(G358:I375,$B393&amp;" ~*")&gt;0)+(COUNTIF(K358:M375,$B393)+COUNTIF(K358:M375,$B393&amp;" ~*")&gt;0)+(COUNTIF(O358:Q375,$B393)+COUNTIF(O358:Q375,$B393&amp;" ~*")&gt;0)+(COUNTIF(S358:U375,$B393)+COUNTIF(S358:U375,$B393&amp;" ~*")&gt;0)+(COUNTIF(W358:W375,$B393)+COUNTIF(W358:W375,$B393&amp;" ~*")&gt;0)+(COUNTIF(Y358:Y375,$B393)+COUNTIF(Y358:Y375,$B393&amp;" ~*")&gt;0))</f>
        <v/>
      </c>
      <c r="AC393" s="36">
        <f>IF($B393="","",(IFERROR(INDEX(Setup!$G$33:$G$40,MATCH(C393,Setup!$B$33:$B$40,0)),0)=1)*(COUNTIF(C358:E375,$B393)+COUNTIF(C358:E375,$B393&amp;" ~*")&gt;0)+(IFERROR(INDEX(Setup!$G$33:$G$40,MATCH(G393,Setup!$B$33:$B$40,0)),0)=1)*(COUNTIF(G358:I375,$B393)+COUNTIF(G358:I375,$B393&amp;" ~*")&gt;0)+(IFERROR(INDEX(Setup!$G$33:$G$40,MATCH(K393,Setup!$B$33:$B$40,0)),0)=1)*(COUNTIF(K358:M375,$B393)+COUNTIF(K358:M375,$B393&amp;" ~*")&gt;0)+(IFERROR(INDEX(Setup!$G$33:$G$40,MATCH(O393,Setup!$B$33:$B$40,0)),0)=1)*(COUNTIF(O358:Q375,$B393)+COUNTIF(O358:Q375,$B393&amp;" ~*")&gt;0)+(IFERROR(INDEX(Setup!$G$33:$G$40,MATCH(S393,Setup!$B$33:$B$40,0)),0)=1)*(COUNTIF(S358:U375,$B393)+COUNTIF(S358:U375,$B393&amp;" ~*")&gt;0)+(IFERROR(INDEX(Setup!$G$33:$G$40,MATCH(W393,Setup!$B$33:$B$40,0)),0)=1)*(COUNTIF(W358:W375,$B393)+COUNTIF(W358:W375,$B393&amp;" ~*")&gt;0)+(IFERROR(INDEX(Setup!$G$33:$G$40,MATCH(Y393,Setup!$B$33:$B$40,0)),0)=1)*(COUNTIF(Y358:Y375,$B393)+COUNTIF(Y358:Y375,$B393&amp;" ~*")&gt;0))</f>
        <v/>
      </c>
    </row>
    <row r="394" ht="15" customHeight="1">
      <c r="A394" t="n">
        <v>8</v>
      </c>
      <c r="B394" s="37">
        <f>IF(Setup!$B$23="","",Setup!$B$23)</f>
        <v/>
      </c>
      <c r="C394" s="102" t="n"/>
      <c r="D394" s="103" t="n"/>
      <c r="E394" s="103" t="n"/>
      <c r="F394" s="104" t="n"/>
      <c r="G394" s="102" t="n"/>
      <c r="H394" s="103" t="n"/>
      <c r="I394" s="103" t="n"/>
      <c r="J394" s="104" t="n"/>
      <c r="K394" s="102" t="n"/>
      <c r="L394" s="103" t="n"/>
      <c r="M394" s="103" t="n"/>
      <c r="N394" s="104" t="n"/>
      <c r="O394" s="102" t="n"/>
      <c r="P394" s="103" t="n"/>
      <c r="Q394" s="103" t="n"/>
      <c r="R394" s="104" t="n"/>
      <c r="S394" s="102" t="n"/>
      <c r="T394" s="103" t="n"/>
      <c r="U394" s="103" t="n"/>
      <c r="V394" s="104" t="n"/>
      <c r="W394" s="102" t="n"/>
      <c r="X394" s="104" t="n"/>
      <c r="Y394" s="102" t="n"/>
      <c r="Z394" s="104" t="n"/>
      <c r="AB394" s="105">
        <f>IF($B394="","",(COUNTIF(C358:E375,$B394)+COUNTIF(C358:E375,$B394&amp;" ~*")&gt;0)+(COUNTIF(G358:I375,$B394)+COUNTIF(G358:I375,$B394&amp;" ~*")&gt;0)+(COUNTIF(K358:M375,$B394)+COUNTIF(K358:M375,$B394&amp;" ~*")&gt;0)+(COUNTIF(O358:Q375,$B394)+COUNTIF(O358:Q375,$B394&amp;" ~*")&gt;0)+(COUNTIF(S358:U375,$B394)+COUNTIF(S358:U375,$B394&amp;" ~*")&gt;0)+(COUNTIF(W358:W375,$B394)+COUNTIF(W358:W375,$B394&amp;" ~*")&gt;0)+(COUNTIF(Y358:Y375,$B394)+COUNTIF(Y358:Y375,$B394&amp;" ~*")&gt;0))</f>
        <v/>
      </c>
      <c r="AC394" s="38">
        <f>IF($B394="","",(IFERROR(INDEX(Setup!$G$33:$G$40,MATCH(C394,Setup!$B$33:$B$40,0)),0)=1)*(COUNTIF(C358:E375,$B394)+COUNTIF(C358:E375,$B394&amp;" ~*")&gt;0)+(IFERROR(INDEX(Setup!$G$33:$G$40,MATCH(G394,Setup!$B$33:$B$40,0)),0)=1)*(COUNTIF(G358:I375,$B394)+COUNTIF(G358:I375,$B394&amp;" ~*")&gt;0)+(IFERROR(INDEX(Setup!$G$33:$G$40,MATCH(K394,Setup!$B$33:$B$40,0)),0)=1)*(COUNTIF(K358:M375,$B394)+COUNTIF(K358:M375,$B394&amp;" ~*")&gt;0)+(IFERROR(INDEX(Setup!$G$33:$G$40,MATCH(O394,Setup!$B$33:$B$40,0)),0)=1)*(COUNTIF(O358:Q375,$B394)+COUNTIF(O358:Q375,$B394&amp;" ~*")&gt;0)+(IFERROR(INDEX(Setup!$G$33:$G$40,MATCH(S394,Setup!$B$33:$B$40,0)),0)=1)*(COUNTIF(S358:U375,$B394)+COUNTIF(S358:U375,$B394&amp;" ~*")&gt;0)+(IFERROR(INDEX(Setup!$G$33:$G$40,MATCH(W394,Setup!$B$33:$B$40,0)),0)=1)*(COUNTIF(W358:W375,$B394)+COUNTIF(W358:W375,$B394&amp;" ~*")&gt;0)+(IFERROR(INDEX(Setup!$G$33:$G$40,MATCH(Y394,Setup!$B$33:$B$40,0)),0)=1)*(COUNTIF(Y358:Y375,$B394)+COUNTIF(Y358:Y375,$B394&amp;" ~*")&gt;0))</f>
        <v/>
      </c>
    </row>
    <row r="395" ht="15" customHeight="1">
      <c r="A395" t="n">
        <v>8</v>
      </c>
      <c r="B395" s="35">
        <f>IF(Setup!$B$24="","",Setup!$B$24)</f>
        <v/>
      </c>
      <c r="C395" s="98" t="n"/>
      <c r="D395" s="99" t="n"/>
      <c r="E395" s="99" t="n"/>
      <c r="F395" s="100" t="n"/>
      <c r="G395" s="98" t="n"/>
      <c r="H395" s="99" t="n"/>
      <c r="I395" s="99" t="n"/>
      <c r="J395" s="100" t="n"/>
      <c r="K395" s="98" t="n"/>
      <c r="L395" s="99" t="n"/>
      <c r="M395" s="99" t="n"/>
      <c r="N395" s="100" t="n"/>
      <c r="O395" s="98" t="n"/>
      <c r="P395" s="99" t="n"/>
      <c r="Q395" s="99" t="n"/>
      <c r="R395" s="100" t="n"/>
      <c r="S395" s="98" t="n"/>
      <c r="T395" s="99" t="n"/>
      <c r="U395" s="99" t="n"/>
      <c r="V395" s="100" t="n"/>
      <c r="W395" s="98" t="n"/>
      <c r="X395" s="100" t="n"/>
      <c r="Y395" s="98" t="n"/>
      <c r="Z395" s="100" t="n"/>
      <c r="AB395" s="101">
        <f>IF($B395="","",(COUNTIF(C358:E375,$B395)+COUNTIF(C358:E375,$B395&amp;" ~*")&gt;0)+(COUNTIF(G358:I375,$B395)+COUNTIF(G358:I375,$B395&amp;" ~*")&gt;0)+(COUNTIF(K358:M375,$B395)+COUNTIF(K358:M375,$B395&amp;" ~*")&gt;0)+(COUNTIF(O358:Q375,$B395)+COUNTIF(O358:Q375,$B395&amp;" ~*")&gt;0)+(COUNTIF(S358:U375,$B395)+COUNTIF(S358:U375,$B395&amp;" ~*")&gt;0)+(COUNTIF(W358:W375,$B395)+COUNTIF(W358:W375,$B395&amp;" ~*")&gt;0)+(COUNTIF(Y358:Y375,$B395)+COUNTIF(Y358:Y375,$B395&amp;" ~*")&gt;0))</f>
        <v/>
      </c>
      <c r="AC395" s="36">
        <f>IF($B395="","",(IFERROR(INDEX(Setup!$G$33:$G$40,MATCH(C395,Setup!$B$33:$B$40,0)),0)=1)*(COUNTIF(C358:E375,$B395)+COUNTIF(C358:E375,$B395&amp;" ~*")&gt;0)+(IFERROR(INDEX(Setup!$G$33:$G$40,MATCH(G395,Setup!$B$33:$B$40,0)),0)=1)*(COUNTIF(G358:I375,$B395)+COUNTIF(G358:I375,$B395&amp;" ~*")&gt;0)+(IFERROR(INDEX(Setup!$G$33:$G$40,MATCH(K395,Setup!$B$33:$B$40,0)),0)=1)*(COUNTIF(K358:M375,$B395)+COUNTIF(K358:M375,$B395&amp;" ~*")&gt;0)+(IFERROR(INDEX(Setup!$G$33:$G$40,MATCH(O395,Setup!$B$33:$B$40,0)),0)=1)*(COUNTIF(O358:Q375,$B395)+COUNTIF(O358:Q375,$B395&amp;" ~*")&gt;0)+(IFERROR(INDEX(Setup!$G$33:$G$40,MATCH(S395,Setup!$B$33:$B$40,0)),0)=1)*(COUNTIF(S358:U375,$B395)+COUNTIF(S358:U375,$B395&amp;" ~*")&gt;0)+(IFERROR(INDEX(Setup!$G$33:$G$40,MATCH(W395,Setup!$B$33:$B$40,0)),0)=1)*(COUNTIF(W358:W375,$B395)+COUNTIF(W358:W375,$B395&amp;" ~*")&gt;0)+(IFERROR(INDEX(Setup!$G$33:$G$40,MATCH(Y395,Setup!$B$33:$B$40,0)),0)=1)*(COUNTIF(Y358:Y375,$B395)+COUNTIF(Y358:Y375,$B395&amp;" ~*")&gt;0))</f>
        <v/>
      </c>
    </row>
    <row r="396" ht="15" customHeight="1">
      <c r="A396" t="n">
        <v>8</v>
      </c>
      <c r="B396" s="37">
        <f>IF(Setup!$B$25="","",Setup!$B$25)</f>
        <v/>
      </c>
      <c r="C396" s="102" t="n"/>
      <c r="D396" s="103" t="n"/>
      <c r="E396" s="103" t="n"/>
      <c r="F396" s="104" t="n"/>
      <c r="G396" s="102" t="n"/>
      <c r="H396" s="103" t="n"/>
      <c r="I396" s="103" t="n"/>
      <c r="J396" s="104" t="n"/>
      <c r="K396" s="102" t="n"/>
      <c r="L396" s="103" t="n"/>
      <c r="M396" s="103" t="n"/>
      <c r="N396" s="104" t="n"/>
      <c r="O396" s="102" t="n"/>
      <c r="P396" s="103" t="n"/>
      <c r="Q396" s="103" t="n"/>
      <c r="R396" s="104" t="n"/>
      <c r="S396" s="102" t="n"/>
      <c r="T396" s="103" t="n"/>
      <c r="U396" s="103" t="n"/>
      <c r="V396" s="104" t="n"/>
      <c r="W396" s="102" t="n"/>
      <c r="X396" s="104" t="n"/>
      <c r="Y396" s="102" t="n"/>
      <c r="Z396" s="104" t="n"/>
      <c r="AB396" s="105">
        <f>IF($B396="","",(COUNTIF(C358:E375,$B396)+COUNTIF(C358:E375,$B396&amp;" ~*")&gt;0)+(COUNTIF(G358:I375,$B396)+COUNTIF(G358:I375,$B396&amp;" ~*")&gt;0)+(COUNTIF(K358:M375,$B396)+COUNTIF(K358:M375,$B396&amp;" ~*")&gt;0)+(COUNTIF(O358:Q375,$B396)+COUNTIF(O358:Q375,$B396&amp;" ~*")&gt;0)+(COUNTIF(S358:U375,$B396)+COUNTIF(S358:U375,$B396&amp;" ~*")&gt;0)+(COUNTIF(W358:W375,$B396)+COUNTIF(W358:W375,$B396&amp;" ~*")&gt;0)+(COUNTIF(Y358:Y375,$B396)+COUNTIF(Y358:Y375,$B396&amp;" ~*")&gt;0))</f>
        <v/>
      </c>
      <c r="AC396" s="38">
        <f>IF($B396="","",(IFERROR(INDEX(Setup!$G$33:$G$40,MATCH(C396,Setup!$B$33:$B$40,0)),0)=1)*(COUNTIF(C358:E375,$B396)+COUNTIF(C358:E375,$B396&amp;" ~*")&gt;0)+(IFERROR(INDEX(Setup!$G$33:$G$40,MATCH(G396,Setup!$B$33:$B$40,0)),0)=1)*(COUNTIF(G358:I375,$B396)+COUNTIF(G358:I375,$B396&amp;" ~*")&gt;0)+(IFERROR(INDEX(Setup!$G$33:$G$40,MATCH(K396,Setup!$B$33:$B$40,0)),0)=1)*(COUNTIF(K358:M375,$B396)+COUNTIF(K358:M375,$B396&amp;" ~*")&gt;0)+(IFERROR(INDEX(Setup!$G$33:$G$40,MATCH(O396,Setup!$B$33:$B$40,0)),0)=1)*(COUNTIF(O358:Q375,$B396)+COUNTIF(O358:Q375,$B396&amp;" ~*")&gt;0)+(IFERROR(INDEX(Setup!$G$33:$G$40,MATCH(S396,Setup!$B$33:$B$40,0)),0)=1)*(COUNTIF(S358:U375,$B396)+COUNTIF(S358:U375,$B396&amp;" ~*")&gt;0)+(IFERROR(INDEX(Setup!$G$33:$G$40,MATCH(W396,Setup!$B$33:$B$40,0)),0)=1)*(COUNTIF(W358:W375,$B396)+COUNTIF(W358:W375,$B396&amp;" ~*")&gt;0)+(IFERROR(INDEX(Setup!$G$33:$G$40,MATCH(Y396,Setup!$B$33:$B$40,0)),0)=1)*(COUNTIF(Y358:Y375,$B396)+COUNTIF(Y358:Y375,$B396&amp;" ~*")&gt;0))</f>
        <v/>
      </c>
    </row>
    <row r="397" ht="15" customHeight="1">
      <c r="A397" t="n">
        <v>8</v>
      </c>
      <c r="B397" s="35">
        <f>IF(Setup!$B$26="","",Setup!$B$26)</f>
        <v/>
      </c>
      <c r="C397" s="98" t="n"/>
      <c r="D397" s="99" t="n"/>
      <c r="E397" s="99" t="n"/>
      <c r="F397" s="100" t="n"/>
      <c r="G397" s="98" t="n"/>
      <c r="H397" s="99" t="n"/>
      <c r="I397" s="99" t="n"/>
      <c r="J397" s="100" t="n"/>
      <c r="K397" s="98" t="n"/>
      <c r="L397" s="99" t="n"/>
      <c r="M397" s="99" t="n"/>
      <c r="N397" s="100" t="n"/>
      <c r="O397" s="98" t="n"/>
      <c r="P397" s="99" t="n"/>
      <c r="Q397" s="99" t="n"/>
      <c r="R397" s="100" t="n"/>
      <c r="S397" s="98" t="n"/>
      <c r="T397" s="99" t="n"/>
      <c r="U397" s="99" t="n"/>
      <c r="V397" s="100" t="n"/>
      <c r="W397" s="98" t="n"/>
      <c r="X397" s="100" t="n"/>
      <c r="Y397" s="98" t="n"/>
      <c r="Z397" s="100" t="n"/>
      <c r="AB397" s="101">
        <f>IF($B397="","",(COUNTIF(C358:E375,$B397)+COUNTIF(C358:E375,$B397&amp;" ~*")&gt;0)+(COUNTIF(G358:I375,$B397)+COUNTIF(G358:I375,$B397&amp;" ~*")&gt;0)+(COUNTIF(K358:M375,$B397)+COUNTIF(K358:M375,$B397&amp;" ~*")&gt;0)+(COUNTIF(O358:Q375,$B397)+COUNTIF(O358:Q375,$B397&amp;" ~*")&gt;0)+(COUNTIF(S358:U375,$B397)+COUNTIF(S358:U375,$B397&amp;" ~*")&gt;0)+(COUNTIF(W358:W375,$B397)+COUNTIF(W358:W375,$B397&amp;" ~*")&gt;0)+(COUNTIF(Y358:Y375,$B397)+COUNTIF(Y358:Y375,$B397&amp;" ~*")&gt;0))</f>
        <v/>
      </c>
      <c r="AC397" s="36">
        <f>IF($B397="","",(IFERROR(INDEX(Setup!$G$33:$G$40,MATCH(C397,Setup!$B$33:$B$40,0)),0)=1)*(COUNTIF(C358:E375,$B397)+COUNTIF(C358:E375,$B397&amp;" ~*")&gt;0)+(IFERROR(INDEX(Setup!$G$33:$G$40,MATCH(G397,Setup!$B$33:$B$40,0)),0)=1)*(COUNTIF(G358:I375,$B397)+COUNTIF(G358:I375,$B397&amp;" ~*")&gt;0)+(IFERROR(INDEX(Setup!$G$33:$G$40,MATCH(K397,Setup!$B$33:$B$40,0)),0)=1)*(COUNTIF(K358:M375,$B397)+COUNTIF(K358:M375,$B397&amp;" ~*")&gt;0)+(IFERROR(INDEX(Setup!$G$33:$G$40,MATCH(O397,Setup!$B$33:$B$40,0)),0)=1)*(COUNTIF(O358:Q375,$B397)+COUNTIF(O358:Q375,$B397&amp;" ~*")&gt;0)+(IFERROR(INDEX(Setup!$G$33:$G$40,MATCH(S397,Setup!$B$33:$B$40,0)),0)=1)*(COUNTIF(S358:U375,$B397)+COUNTIF(S358:U375,$B397&amp;" ~*")&gt;0)+(IFERROR(INDEX(Setup!$G$33:$G$40,MATCH(W397,Setup!$B$33:$B$40,0)),0)=1)*(COUNTIF(W358:W375,$B397)+COUNTIF(W358:W375,$B397&amp;" ~*")&gt;0)+(IFERROR(INDEX(Setup!$G$33:$G$40,MATCH(Y397,Setup!$B$33:$B$40,0)),0)=1)*(COUNTIF(Y358:Y375,$B397)+COUNTIF(Y358:Y375,$B397&amp;" ~*")&gt;0))</f>
        <v/>
      </c>
    </row>
    <row r="398" ht="15" customHeight="1">
      <c r="A398" t="n">
        <v>8</v>
      </c>
      <c r="B398" s="37">
        <f>IF(Setup!$B$27="","",Setup!$B$27)</f>
        <v/>
      </c>
      <c r="C398" s="102" t="n"/>
      <c r="D398" s="103" t="n"/>
      <c r="E398" s="103" t="n"/>
      <c r="F398" s="104" t="n"/>
      <c r="G398" s="102" t="n"/>
      <c r="H398" s="103" t="n"/>
      <c r="I398" s="103" t="n"/>
      <c r="J398" s="104" t="n"/>
      <c r="K398" s="102" t="n"/>
      <c r="L398" s="103" t="n"/>
      <c r="M398" s="103" t="n"/>
      <c r="N398" s="104" t="n"/>
      <c r="O398" s="102" t="n"/>
      <c r="P398" s="103" t="n"/>
      <c r="Q398" s="103" t="n"/>
      <c r="R398" s="104" t="n"/>
      <c r="S398" s="102" t="n"/>
      <c r="T398" s="103" t="n"/>
      <c r="U398" s="103" t="n"/>
      <c r="V398" s="104" t="n"/>
      <c r="W398" s="102" t="n"/>
      <c r="X398" s="104" t="n"/>
      <c r="Y398" s="102" t="n"/>
      <c r="Z398" s="104" t="n"/>
      <c r="AB398" s="105">
        <f>IF($B398="","",(COUNTIF(C358:E375,$B398)+COUNTIF(C358:E375,$B398&amp;" ~*")&gt;0)+(COUNTIF(G358:I375,$B398)+COUNTIF(G358:I375,$B398&amp;" ~*")&gt;0)+(COUNTIF(K358:M375,$B398)+COUNTIF(K358:M375,$B398&amp;" ~*")&gt;0)+(COUNTIF(O358:Q375,$B398)+COUNTIF(O358:Q375,$B398&amp;" ~*")&gt;0)+(COUNTIF(S358:U375,$B398)+COUNTIF(S358:U375,$B398&amp;" ~*")&gt;0)+(COUNTIF(W358:W375,$B398)+COUNTIF(W358:W375,$B398&amp;" ~*")&gt;0)+(COUNTIF(Y358:Y375,$B398)+COUNTIF(Y358:Y375,$B398&amp;" ~*")&gt;0))</f>
        <v/>
      </c>
      <c r="AC398" s="38">
        <f>IF($B398="","",(IFERROR(INDEX(Setup!$G$33:$G$40,MATCH(C398,Setup!$B$33:$B$40,0)),0)=1)*(COUNTIF(C358:E375,$B398)+COUNTIF(C358:E375,$B398&amp;" ~*")&gt;0)+(IFERROR(INDEX(Setup!$G$33:$G$40,MATCH(G398,Setup!$B$33:$B$40,0)),0)=1)*(COUNTIF(G358:I375,$B398)+COUNTIF(G358:I375,$B398&amp;" ~*")&gt;0)+(IFERROR(INDEX(Setup!$G$33:$G$40,MATCH(K398,Setup!$B$33:$B$40,0)),0)=1)*(COUNTIF(K358:M375,$B398)+COUNTIF(K358:M375,$B398&amp;" ~*")&gt;0)+(IFERROR(INDEX(Setup!$G$33:$G$40,MATCH(O398,Setup!$B$33:$B$40,0)),0)=1)*(COUNTIF(O358:Q375,$B398)+COUNTIF(O358:Q375,$B398&amp;" ~*")&gt;0)+(IFERROR(INDEX(Setup!$G$33:$G$40,MATCH(S398,Setup!$B$33:$B$40,0)),0)=1)*(COUNTIF(S358:U375,$B398)+COUNTIF(S358:U375,$B398&amp;" ~*")&gt;0)+(IFERROR(INDEX(Setup!$G$33:$G$40,MATCH(W398,Setup!$B$33:$B$40,0)),0)=1)*(COUNTIF(W358:W375,$B398)+COUNTIF(W358:W375,$B398&amp;" ~*")&gt;0)+(IFERROR(INDEX(Setup!$G$33:$G$40,MATCH(Y398,Setup!$B$33:$B$40,0)),0)=1)*(COUNTIF(Y358:Y375,$B398)+COUNTIF(Y358:Y375,$B398&amp;" ~*")&gt;0))</f>
        <v/>
      </c>
    </row>
    <row r="399" ht="15" customHeight="1">
      <c r="A399" t="n">
        <v>8</v>
      </c>
      <c r="B399" s="35">
        <f>IF(Setup!$B$28="","",Setup!$B$28)</f>
        <v/>
      </c>
      <c r="C399" s="98" t="n"/>
      <c r="D399" s="99" t="n"/>
      <c r="E399" s="99" t="n"/>
      <c r="F399" s="100" t="n"/>
      <c r="G399" s="98" t="n"/>
      <c r="H399" s="99" t="n"/>
      <c r="I399" s="99" t="n"/>
      <c r="J399" s="100" t="n"/>
      <c r="K399" s="98" t="n"/>
      <c r="L399" s="99" t="n"/>
      <c r="M399" s="99" t="n"/>
      <c r="N399" s="100" t="n"/>
      <c r="O399" s="98" t="n"/>
      <c r="P399" s="99" t="n"/>
      <c r="Q399" s="99" t="n"/>
      <c r="R399" s="100" t="n"/>
      <c r="S399" s="98" t="n"/>
      <c r="T399" s="99" t="n"/>
      <c r="U399" s="99" t="n"/>
      <c r="V399" s="100" t="n"/>
      <c r="W399" s="98" t="n"/>
      <c r="X399" s="100" t="n"/>
      <c r="Y399" s="98" t="n"/>
      <c r="Z399" s="100" t="n"/>
      <c r="AB399" s="101">
        <f>IF($B399="","",(COUNTIF(C358:E375,$B399)+COUNTIF(C358:E375,$B399&amp;" ~*")&gt;0)+(COUNTIF(G358:I375,$B399)+COUNTIF(G358:I375,$B399&amp;" ~*")&gt;0)+(COUNTIF(K358:M375,$B399)+COUNTIF(K358:M375,$B399&amp;" ~*")&gt;0)+(COUNTIF(O358:Q375,$B399)+COUNTIF(O358:Q375,$B399&amp;" ~*")&gt;0)+(COUNTIF(S358:U375,$B399)+COUNTIF(S358:U375,$B399&amp;" ~*")&gt;0)+(COUNTIF(W358:W375,$B399)+COUNTIF(W358:W375,$B399&amp;" ~*")&gt;0)+(COUNTIF(Y358:Y375,$B399)+COUNTIF(Y358:Y375,$B399&amp;" ~*")&gt;0))</f>
        <v/>
      </c>
      <c r="AC399" s="36">
        <f>IF($B399="","",(IFERROR(INDEX(Setup!$G$33:$G$40,MATCH(C399,Setup!$B$33:$B$40,0)),0)=1)*(COUNTIF(C358:E375,$B399)+COUNTIF(C358:E375,$B399&amp;" ~*")&gt;0)+(IFERROR(INDEX(Setup!$G$33:$G$40,MATCH(G399,Setup!$B$33:$B$40,0)),0)=1)*(COUNTIF(G358:I375,$B399)+COUNTIF(G358:I375,$B399&amp;" ~*")&gt;0)+(IFERROR(INDEX(Setup!$G$33:$G$40,MATCH(K399,Setup!$B$33:$B$40,0)),0)=1)*(COUNTIF(K358:M375,$B399)+COUNTIF(K358:M375,$B399&amp;" ~*")&gt;0)+(IFERROR(INDEX(Setup!$G$33:$G$40,MATCH(O399,Setup!$B$33:$B$40,0)),0)=1)*(COUNTIF(O358:Q375,$B399)+COUNTIF(O358:Q375,$B399&amp;" ~*")&gt;0)+(IFERROR(INDEX(Setup!$G$33:$G$40,MATCH(S399,Setup!$B$33:$B$40,0)),0)=1)*(COUNTIF(S358:U375,$B399)+COUNTIF(S358:U375,$B399&amp;" ~*")&gt;0)+(IFERROR(INDEX(Setup!$G$33:$G$40,MATCH(W399,Setup!$B$33:$B$40,0)),0)=1)*(COUNTIF(W358:W375,$B399)+COUNTIF(W358:W375,$B399&amp;" ~*")&gt;0)+(IFERROR(INDEX(Setup!$G$33:$G$40,MATCH(Y399,Setup!$B$33:$B$40,0)),0)=1)*(COUNTIF(Y358:Y375,$B399)+COUNTIF(Y358:Y375,$B399&amp;" ~*")&gt;0))</f>
        <v/>
      </c>
    </row>
    <row r="400" ht="15" customHeight="1">
      <c r="A400" t="n">
        <v>8</v>
      </c>
      <c r="B400" s="37">
        <f>IF(Setup!$B$29="","",Setup!$B$29)</f>
        <v/>
      </c>
      <c r="C400" s="102" t="n"/>
      <c r="D400" s="103" t="n"/>
      <c r="E400" s="103" t="n"/>
      <c r="F400" s="104" t="n"/>
      <c r="G400" s="102" t="n"/>
      <c r="H400" s="103" t="n"/>
      <c r="I400" s="103" t="n"/>
      <c r="J400" s="104" t="n"/>
      <c r="K400" s="102" t="n"/>
      <c r="L400" s="103" t="n"/>
      <c r="M400" s="103" t="n"/>
      <c r="N400" s="104" t="n"/>
      <c r="O400" s="102" t="n"/>
      <c r="P400" s="103" t="n"/>
      <c r="Q400" s="103" t="n"/>
      <c r="R400" s="104" t="n"/>
      <c r="S400" s="102" t="n"/>
      <c r="T400" s="103" t="n"/>
      <c r="U400" s="103" t="n"/>
      <c r="V400" s="104" t="n"/>
      <c r="W400" s="102" t="n"/>
      <c r="X400" s="104" t="n"/>
      <c r="Y400" s="102" t="n"/>
      <c r="Z400" s="104" t="n"/>
      <c r="AB400" s="105">
        <f>IF($B400="","",(COUNTIF(C358:E375,$B400)+COUNTIF(C358:E375,$B400&amp;" ~*")&gt;0)+(COUNTIF(G358:I375,$B400)+COUNTIF(G358:I375,$B400&amp;" ~*")&gt;0)+(COUNTIF(K358:M375,$B400)+COUNTIF(K358:M375,$B400&amp;" ~*")&gt;0)+(COUNTIF(O358:Q375,$B400)+COUNTIF(O358:Q375,$B400&amp;" ~*")&gt;0)+(COUNTIF(S358:U375,$B400)+COUNTIF(S358:U375,$B400&amp;" ~*")&gt;0)+(COUNTIF(W358:W375,$B400)+COUNTIF(W358:W375,$B400&amp;" ~*")&gt;0)+(COUNTIF(Y358:Y375,$B400)+COUNTIF(Y358:Y375,$B400&amp;" ~*")&gt;0))</f>
        <v/>
      </c>
      <c r="AC400" s="38">
        <f>IF($B400="","",(IFERROR(INDEX(Setup!$G$33:$G$40,MATCH(C400,Setup!$B$33:$B$40,0)),0)=1)*(COUNTIF(C358:E375,$B400)+COUNTIF(C358:E375,$B400&amp;" ~*")&gt;0)+(IFERROR(INDEX(Setup!$G$33:$G$40,MATCH(G400,Setup!$B$33:$B$40,0)),0)=1)*(COUNTIF(G358:I375,$B400)+COUNTIF(G358:I375,$B400&amp;" ~*")&gt;0)+(IFERROR(INDEX(Setup!$G$33:$G$40,MATCH(K400,Setup!$B$33:$B$40,0)),0)=1)*(COUNTIF(K358:M375,$B400)+COUNTIF(K358:M375,$B400&amp;" ~*")&gt;0)+(IFERROR(INDEX(Setup!$G$33:$G$40,MATCH(O400,Setup!$B$33:$B$40,0)),0)=1)*(COUNTIF(O358:Q375,$B400)+COUNTIF(O358:Q375,$B400&amp;" ~*")&gt;0)+(IFERROR(INDEX(Setup!$G$33:$G$40,MATCH(S400,Setup!$B$33:$B$40,0)),0)=1)*(COUNTIF(S358:U375,$B400)+COUNTIF(S358:U375,$B400&amp;" ~*")&gt;0)+(IFERROR(INDEX(Setup!$G$33:$G$40,MATCH(W400,Setup!$B$33:$B$40,0)),0)=1)*(COUNTIF(W358:W375,$B400)+COUNTIF(W358:W375,$B400&amp;" ~*")&gt;0)+(IFERROR(INDEX(Setup!$G$33:$G$40,MATCH(Y400,Setup!$B$33:$B$40,0)),0)=1)*(COUNTIF(Y358:Y375,$B400)+COUNTIF(Y358:Y375,$B400&amp;" ~*")&gt;0))</f>
        <v/>
      </c>
    </row>
    <row r="401" ht="16" customHeight="1">
      <c r="A401" t="n">
        <v>8</v>
      </c>
      <c r="B401" s="106" t="inlineStr">
        <is>
          <t>Available people</t>
        </is>
      </c>
      <c r="C401" s="107">
        <f>COUNTIFS(Setup!$E$6:$E$29,"Y",Setup!$B$6:$B$29,"?*")-SUMPRODUCT(COUNTIF(C377:C400,Setup!$F$33:$F$40))</f>
        <v/>
      </c>
      <c r="D401" s="107" t="n"/>
      <c r="E401" s="107" t="n"/>
      <c r="F401" s="107" t="n"/>
      <c r="G401" s="107">
        <f>COUNTIFS(Setup!$E$6:$E$29,"Y",Setup!$B$6:$B$29,"?*")-SUMPRODUCT(COUNTIF(G377:G400,Setup!$F$33:$F$40))</f>
        <v/>
      </c>
      <c r="H401" s="107" t="n"/>
      <c r="I401" s="107" t="n"/>
      <c r="J401" s="107" t="n"/>
      <c r="K401" s="107">
        <f>COUNTIFS(Setup!$E$6:$E$29,"Y",Setup!$B$6:$B$29,"?*")-SUMPRODUCT(COUNTIF(K377:K400,Setup!$F$33:$F$40))</f>
        <v/>
      </c>
      <c r="L401" s="107" t="n"/>
      <c r="M401" s="107" t="n"/>
      <c r="N401" s="107" t="n"/>
      <c r="O401" s="107">
        <f>COUNTIFS(Setup!$E$6:$E$29,"Y",Setup!$B$6:$B$29,"?*")-SUMPRODUCT(COUNTIF(O377:O400,Setup!$F$33:$F$40))</f>
        <v/>
      </c>
      <c r="P401" s="107" t="n"/>
      <c r="Q401" s="107" t="n"/>
      <c r="R401" s="107" t="n"/>
      <c r="S401" s="107">
        <f>COUNTIFS(Setup!$E$6:$E$29,"Y",Setup!$B$6:$B$29,"?*")-SUMPRODUCT(COUNTIF(S377:S400,Setup!$F$33:$F$40))</f>
        <v/>
      </c>
      <c r="T401" s="107" t="n"/>
      <c r="U401" s="107" t="n"/>
      <c r="V401" s="107" t="n"/>
      <c r="W401" s="107">
        <f>COUNTIFS(Setup!$E$6:$E$29,"Y",Setup!$B$6:$B$29,"?*")-SUMPRODUCT(COUNTIF(W377:W400,Setup!$F$33:$F$40))</f>
        <v/>
      </c>
      <c r="X401" s="107" t="n"/>
      <c r="Y401" s="107">
        <f>COUNTIFS(Setup!$E$6:$E$29,"Y",Setup!$B$6:$B$29,"?*")-SUMPRODUCT(COUNTIF(Y377:Y400,Setup!$F$33:$F$40))</f>
        <v/>
      </c>
      <c r="Z401" s="107" t="n"/>
      <c r="AB401" s="108">
        <f>SUM(AB377:AB400)</f>
        <v/>
      </c>
      <c r="AC401" s="109">
        <f>SUM(AC377:AC400)</f>
        <v/>
      </c>
    </row>
    <row r="402" ht="30" customHeight="1">
      <c r="A402" t="n">
        <v>8</v>
      </c>
      <c r="B402" s="110" t="inlineStr">
        <is>
          <t>Week notes</t>
        </is>
      </c>
      <c r="C402" s="111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112" t="n"/>
      <c r="R402" s="112" t="n"/>
      <c r="S402" s="112" t="n"/>
      <c r="T402" s="112" t="n"/>
      <c r="U402" s="112" t="n"/>
      <c r="V402" s="112" t="n"/>
      <c r="W402" s="112" t="n"/>
      <c r="X402" s="112" t="n"/>
      <c r="Y402" s="112" t="n"/>
      <c r="Z402" s="113" t="n"/>
    </row>
    <row r="403" ht="8" customHeight="1">
      <c r="A403" t="n">
        <v>8</v>
      </c>
    </row>
    <row r="404" ht="8" customHeight="1">
      <c r="A404" t="n">
        <v>8</v>
      </c>
    </row>
    <row r="405" ht="24" customHeight="1">
      <c r="A405" t="n">
        <v>9</v>
      </c>
      <c r="B405" s="73">
        <f>"WEEK 9     "&amp;TEXT(C406,"ddd d mmm")&amp;"  –  "&amp;TEXT(C406+6,"ddd d mmm yyyy")</f>
        <v/>
      </c>
      <c r="S405" s="74">
        <f>IF(TODAY()&lt;C406,"FUTURE",IF(TODAY()&gt;C406+6,"PAST","THIS WEEK"))</f>
        <v/>
      </c>
      <c r="W405" s="75">
        <f>IF(AND(Engine!$B$8=$AC$3,Engine!$B$9=$A405),"◀ ACTIVE WEEK","")</f>
        <v/>
      </c>
      <c r="AA405" s="76" t="n"/>
      <c r="AB405" s="77" t="inlineStr">
        <is>
          <t>◀ Prev</t>
        </is>
      </c>
      <c r="AC405" s="77" t="inlineStr">
        <is>
          <t>Next ▶</t>
        </is>
      </c>
    </row>
    <row r="406" ht="18" customHeight="1">
      <c r="A406" t="n">
        <v>9</v>
      </c>
      <c r="B406" s="78" t="inlineStr">
        <is>
          <t>DUTY</t>
        </is>
      </c>
      <c r="C406" s="79">
        <f>$AC$2+7*($A406-1)</f>
        <v/>
      </c>
      <c r="D406" s="80" t="n"/>
      <c r="E406" s="80" t="n"/>
      <c r="F406" s="81" t="n"/>
      <c r="G406" s="79">
        <f>C406+1</f>
        <v/>
      </c>
      <c r="H406" s="80" t="n"/>
      <c r="I406" s="80" t="n"/>
      <c r="J406" s="81" t="n"/>
      <c r="K406" s="79">
        <f>C406+2</f>
        <v/>
      </c>
      <c r="L406" s="80" t="n"/>
      <c r="M406" s="80" t="n"/>
      <c r="N406" s="81" t="n"/>
      <c r="O406" s="79">
        <f>C406+3</f>
        <v/>
      </c>
      <c r="P406" s="80" t="n"/>
      <c r="Q406" s="80" t="n"/>
      <c r="R406" s="81" t="n"/>
      <c r="S406" s="79">
        <f>C406+4</f>
        <v/>
      </c>
      <c r="T406" s="80" t="n"/>
      <c r="U406" s="80" t="n"/>
      <c r="V406" s="81" t="n"/>
      <c r="W406" s="82">
        <f>C406+5</f>
        <v/>
      </c>
      <c r="X406" s="83" t="n"/>
      <c r="Y406" s="82">
        <f>C406+6</f>
        <v/>
      </c>
      <c r="Z406" s="83" t="n"/>
      <c r="AB406" s="72" t="inlineStr">
        <is>
          <t>Gaps</t>
        </is>
      </c>
      <c r="AC406" s="72" t="inlineStr">
        <is>
          <t>Cover</t>
        </is>
      </c>
    </row>
    <row r="407" ht="14" customHeight="1">
      <c r="A407" t="n">
        <v>9</v>
      </c>
      <c r="B407" s="84" t="inlineStr">
        <is>
          <t>(from Setup)</t>
        </is>
      </c>
      <c r="C407" s="85" t="inlineStr">
        <is>
          <t>1</t>
        </is>
      </c>
      <c r="D407" s="85" t="inlineStr">
        <is>
          <t>2</t>
        </is>
      </c>
      <c r="E407" s="85" t="inlineStr">
        <is>
          <t>3</t>
        </is>
      </c>
      <c r="F407" s="85" t="inlineStr">
        <is>
          <t>Notes</t>
        </is>
      </c>
      <c r="G407" s="85" t="inlineStr">
        <is>
          <t>1</t>
        </is>
      </c>
      <c r="H407" s="85" t="inlineStr">
        <is>
          <t>2</t>
        </is>
      </c>
      <c r="I407" s="85" t="inlineStr">
        <is>
          <t>3</t>
        </is>
      </c>
      <c r="J407" s="85" t="inlineStr">
        <is>
          <t>Notes</t>
        </is>
      </c>
      <c r="K407" s="85" t="inlineStr">
        <is>
          <t>1</t>
        </is>
      </c>
      <c r="L407" s="85" t="inlineStr">
        <is>
          <t>2</t>
        </is>
      </c>
      <c r="M407" s="85" t="inlineStr">
        <is>
          <t>3</t>
        </is>
      </c>
      <c r="N407" s="85" t="inlineStr">
        <is>
          <t>Notes</t>
        </is>
      </c>
      <c r="O407" s="85" t="inlineStr">
        <is>
          <t>1</t>
        </is>
      </c>
      <c r="P407" s="85" t="inlineStr">
        <is>
          <t>2</t>
        </is>
      </c>
      <c r="Q407" s="85" t="inlineStr">
        <is>
          <t>3</t>
        </is>
      </c>
      <c r="R407" s="85" t="inlineStr">
        <is>
          <t>Notes</t>
        </is>
      </c>
      <c r="S407" s="85" t="inlineStr">
        <is>
          <t>1</t>
        </is>
      </c>
      <c r="T407" s="85" t="inlineStr">
        <is>
          <t>2</t>
        </is>
      </c>
      <c r="U407" s="85" t="inlineStr">
        <is>
          <t>3</t>
        </is>
      </c>
      <c r="V407" s="85" t="inlineStr">
        <is>
          <t>Notes</t>
        </is>
      </c>
      <c r="W407" s="85" t="inlineStr">
        <is>
          <t>Cover</t>
        </is>
      </c>
      <c r="X407" s="85" t="inlineStr">
        <is>
          <t>Notes</t>
        </is>
      </c>
      <c r="Y407" s="85" t="inlineStr">
        <is>
          <t>Cover</t>
        </is>
      </c>
      <c r="Z407" s="85" t="inlineStr">
        <is>
          <t>Notes</t>
        </is>
      </c>
      <c r="AB407" s="86" t="inlineStr">
        <is>
          <t>weekdays short</t>
        </is>
      </c>
      <c r="AC407" s="87" t="inlineStr"/>
    </row>
    <row r="408" ht="17" customHeight="1">
      <c r="A408" t="n">
        <v>9</v>
      </c>
      <c r="B408" s="24">
        <f>IF(Setup!$K$6="","",Setup!$K$6)</f>
        <v/>
      </c>
      <c r="C408" s="88" t="n"/>
      <c r="D408" s="88" t="n"/>
      <c r="E408" s="88" t="n"/>
      <c r="F408" s="89" t="n"/>
      <c r="G408" s="88" t="n"/>
      <c r="H408" s="88" t="n"/>
      <c r="I408" s="88" t="n"/>
      <c r="J408" s="89" t="n"/>
      <c r="K408" s="88" t="n"/>
      <c r="L408" s="88" t="n"/>
      <c r="M408" s="88" t="n"/>
      <c r="N408" s="89" t="n"/>
      <c r="O408" s="88" t="n"/>
      <c r="P408" s="88" t="n"/>
      <c r="Q408" s="88" t="n"/>
      <c r="R408" s="89" t="n"/>
      <c r="S408" s="88" t="n"/>
      <c r="T408" s="88" t="n"/>
      <c r="U408" s="88" t="n"/>
      <c r="V408" s="89" t="n"/>
      <c r="W408" s="88" t="n"/>
      <c r="X408" s="89" t="n"/>
      <c r="Y408" s="88" t="n"/>
      <c r="Z408" s="89" t="n"/>
      <c r="AB408" s="25">
        <f>IF($B408="","",(COUNTIF(C408:E408,"?*")&lt;N(INDEX(Setup!$L$6:$L$23,1)))+(COUNTIF(G408:I408,"?*")&lt;N(INDEX(Setup!$L$6:$L$23,1)))+(COUNTIF(K408:M408,"?*")&lt;N(INDEX(Setup!$L$6:$L$23,1)))+(COUNTIF(O408:Q408,"?*")&lt;N(INDEX(Setup!$L$6:$L$23,1)))+(COUNTIF(S408:U408,"?*")&lt;N(INDEX(Setup!$L$6:$L$23,1)))+((W408="")*(INDEX(Setup!$M$6:$M$23,1)="Y"))+((Y408="")*(INDEX(Setup!$M$6:$M$23,1)="Y")))</f>
        <v/>
      </c>
      <c r="AC408" s="90">
        <f>IF($B408="","",IF(AB408=0,"✓ covered","⚠ "&amp;AB408&amp;IF(AB408=1," gap"," gaps")))</f>
        <v/>
      </c>
    </row>
    <row r="409" ht="17" customHeight="1">
      <c r="A409" t="n">
        <v>9</v>
      </c>
      <c r="B409" s="29">
        <f>IF(Setup!$K$7="","",Setup!$K$7)</f>
        <v/>
      </c>
      <c r="C409" s="88" t="n"/>
      <c r="D409" s="88" t="n"/>
      <c r="E409" s="88" t="n"/>
      <c r="F409" s="89" t="n"/>
      <c r="G409" s="88" t="n"/>
      <c r="H409" s="88" t="n"/>
      <c r="I409" s="88" t="n"/>
      <c r="J409" s="89" t="n"/>
      <c r="K409" s="88" t="n"/>
      <c r="L409" s="88" t="n"/>
      <c r="M409" s="88" t="n"/>
      <c r="N409" s="89" t="n"/>
      <c r="O409" s="88" t="n"/>
      <c r="P409" s="88" t="n"/>
      <c r="Q409" s="88" t="n"/>
      <c r="R409" s="89" t="n"/>
      <c r="S409" s="88" t="n"/>
      <c r="T409" s="88" t="n"/>
      <c r="U409" s="88" t="n"/>
      <c r="V409" s="89" t="n"/>
      <c r="W409" s="88" t="n"/>
      <c r="X409" s="89" t="n"/>
      <c r="Y409" s="88" t="n"/>
      <c r="Z409" s="89" t="n"/>
      <c r="AB409" s="30">
        <f>IF($B409="","",(COUNTIF(C409:E409,"?*")&lt;N(INDEX(Setup!$L$6:$L$23,2)))+(COUNTIF(G409:I409,"?*")&lt;N(INDEX(Setup!$L$6:$L$23,2)))+(COUNTIF(K409:M409,"?*")&lt;N(INDEX(Setup!$L$6:$L$23,2)))+(COUNTIF(O409:Q409,"?*")&lt;N(INDEX(Setup!$L$6:$L$23,2)))+(COUNTIF(S409:U409,"?*")&lt;N(INDEX(Setup!$L$6:$L$23,2)))+((W409="")*(INDEX(Setup!$M$6:$M$23,2)="Y"))+((Y409="")*(INDEX(Setup!$M$6:$M$23,2)="Y")))</f>
        <v/>
      </c>
      <c r="AC409" s="91">
        <f>IF($B409="","",IF(AB409=0,"✓ covered","⚠ "&amp;AB409&amp;IF(AB409=1," gap"," gaps")))</f>
        <v/>
      </c>
    </row>
    <row r="410" ht="17" customHeight="1">
      <c r="A410" t="n">
        <v>9</v>
      </c>
      <c r="B410" s="24">
        <f>IF(Setup!$K$8="","",Setup!$K$8)</f>
        <v/>
      </c>
      <c r="C410" s="88" t="n"/>
      <c r="D410" s="88" t="n"/>
      <c r="E410" s="88" t="n"/>
      <c r="F410" s="89" t="n"/>
      <c r="G410" s="88" t="n"/>
      <c r="H410" s="88" t="n"/>
      <c r="I410" s="88" t="n"/>
      <c r="J410" s="89" t="n"/>
      <c r="K410" s="88" t="n"/>
      <c r="L410" s="88" t="n"/>
      <c r="M410" s="88" t="n"/>
      <c r="N410" s="89" t="n"/>
      <c r="O410" s="88" t="n"/>
      <c r="P410" s="88" t="n"/>
      <c r="Q410" s="88" t="n"/>
      <c r="R410" s="89" t="n"/>
      <c r="S410" s="88" t="n"/>
      <c r="T410" s="88" t="n"/>
      <c r="U410" s="88" t="n"/>
      <c r="V410" s="89" t="n"/>
      <c r="W410" s="88" t="n"/>
      <c r="X410" s="89" t="n"/>
      <c r="Y410" s="88" t="n"/>
      <c r="Z410" s="89" t="n"/>
      <c r="AB410" s="25">
        <f>IF($B410="","",(COUNTIF(C410:E410,"?*")&lt;N(INDEX(Setup!$L$6:$L$23,3)))+(COUNTIF(G410:I410,"?*")&lt;N(INDEX(Setup!$L$6:$L$23,3)))+(COUNTIF(K410:M410,"?*")&lt;N(INDEX(Setup!$L$6:$L$23,3)))+(COUNTIF(O410:Q410,"?*")&lt;N(INDEX(Setup!$L$6:$L$23,3)))+(COUNTIF(S410:U410,"?*")&lt;N(INDEX(Setup!$L$6:$L$23,3)))+((W410="")*(INDEX(Setup!$M$6:$M$23,3)="Y"))+((Y410="")*(INDEX(Setup!$M$6:$M$23,3)="Y")))</f>
        <v/>
      </c>
      <c r="AC410" s="90">
        <f>IF($B410="","",IF(AB410=0,"✓ covered","⚠ "&amp;AB410&amp;IF(AB410=1," gap"," gaps")))</f>
        <v/>
      </c>
    </row>
    <row r="411" ht="17" customHeight="1">
      <c r="A411" t="n">
        <v>9</v>
      </c>
      <c r="B411" s="29">
        <f>IF(Setup!$K$9="","",Setup!$K$9)</f>
        <v/>
      </c>
      <c r="C411" s="88" t="n"/>
      <c r="D411" s="88" t="n"/>
      <c r="E411" s="88" t="n"/>
      <c r="F411" s="89" t="n"/>
      <c r="G411" s="88" t="n"/>
      <c r="H411" s="88" t="n"/>
      <c r="I411" s="88" t="n"/>
      <c r="J411" s="89" t="n"/>
      <c r="K411" s="88" t="n"/>
      <c r="L411" s="88" t="n"/>
      <c r="M411" s="88" t="n"/>
      <c r="N411" s="89" t="n"/>
      <c r="O411" s="88" t="n"/>
      <c r="P411" s="88" t="n"/>
      <c r="Q411" s="88" t="n"/>
      <c r="R411" s="89" t="n"/>
      <c r="S411" s="88" t="n"/>
      <c r="T411" s="88" t="n"/>
      <c r="U411" s="88" t="n"/>
      <c r="V411" s="89" t="n"/>
      <c r="W411" s="88" t="n"/>
      <c r="X411" s="89" t="n"/>
      <c r="Y411" s="88" t="n"/>
      <c r="Z411" s="89" t="n"/>
      <c r="AB411" s="30">
        <f>IF($B411="","",(COUNTIF(C411:E411,"?*")&lt;N(INDEX(Setup!$L$6:$L$23,4)))+(COUNTIF(G411:I411,"?*")&lt;N(INDEX(Setup!$L$6:$L$23,4)))+(COUNTIF(K411:M411,"?*")&lt;N(INDEX(Setup!$L$6:$L$23,4)))+(COUNTIF(O411:Q411,"?*")&lt;N(INDEX(Setup!$L$6:$L$23,4)))+(COUNTIF(S411:U411,"?*")&lt;N(INDEX(Setup!$L$6:$L$23,4)))+((W411="")*(INDEX(Setup!$M$6:$M$23,4)="Y"))+((Y411="")*(INDEX(Setup!$M$6:$M$23,4)="Y")))</f>
        <v/>
      </c>
      <c r="AC411" s="91">
        <f>IF($B411="","",IF(AB411=0,"✓ covered","⚠ "&amp;AB411&amp;IF(AB411=1," gap"," gaps")))</f>
        <v/>
      </c>
    </row>
    <row r="412" ht="17" customHeight="1">
      <c r="A412" t="n">
        <v>9</v>
      </c>
      <c r="B412" s="24">
        <f>IF(Setup!$K$10="","",Setup!$K$10)</f>
        <v/>
      </c>
      <c r="C412" s="88" t="n"/>
      <c r="D412" s="88" t="n"/>
      <c r="E412" s="88" t="n"/>
      <c r="F412" s="89" t="n"/>
      <c r="G412" s="88" t="n"/>
      <c r="H412" s="88" t="n"/>
      <c r="I412" s="88" t="n"/>
      <c r="J412" s="89" t="n"/>
      <c r="K412" s="88" t="n"/>
      <c r="L412" s="88" t="n"/>
      <c r="M412" s="88" t="n"/>
      <c r="N412" s="89" t="n"/>
      <c r="O412" s="88" t="n"/>
      <c r="P412" s="88" t="n"/>
      <c r="Q412" s="88" t="n"/>
      <c r="R412" s="89" t="n"/>
      <c r="S412" s="88" t="n"/>
      <c r="T412" s="88" t="n"/>
      <c r="U412" s="88" t="n"/>
      <c r="V412" s="89" t="n"/>
      <c r="W412" s="88" t="n"/>
      <c r="X412" s="89" t="n"/>
      <c r="Y412" s="88" t="n"/>
      <c r="Z412" s="89" t="n"/>
      <c r="AB412" s="25">
        <f>IF($B412="","",(COUNTIF(C412:E412,"?*")&lt;N(INDEX(Setup!$L$6:$L$23,5)))+(COUNTIF(G412:I412,"?*")&lt;N(INDEX(Setup!$L$6:$L$23,5)))+(COUNTIF(K412:M412,"?*")&lt;N(INDEX(Setup!$L$6:$L$23,5)))+(COUNTIF(O412:Q412,"?*")&lt;N(INDEX(Setup!$L$6:$L$23,5)))+(COUNTIF(S412:U412,"?*")&lt;N(INDEX(Setup!$L$6:$L$23,5)))+((W412="")*(INDEX(Setup!$M$6:$M$23,5)="Y"))+((Y412="")*(INDEX(Setup!$M$6:$M$23,5)="Y")))</f>
        <v/>
      </c>
      <c r="AC412" s="90">
        <f>IF($B412="","",IF(AB412=0,"✓ covered","⚠ "&amp;AB412&amp;IF(AB412=1," gap"," gaps")))</f>
        <v/>
      </c>
    </row>
    <row r="413" ht="17" customHeight="1">
      <c r="A413" t="n">
        <v>9</v>
      </c>
      <c r="B413" s="29">
        <f>IF(Setup!$K$11="","",Setup!$K$11)</f>
        <v/>
      </c>
      <c r="C413" s="88" t="n"/>
      <c r="D413" s="88" t="n"/>
      <c r="E413" s="88" t="n"/>
      <c r="F413" s="89" t="n"/>
      <c r="G413" s="88" t="n"/>
      <c r="H413" s="88" t="n"/>
      <c r="I413" s="88" t="n"/>
      <c r="J413" s="89" t="n"/>
      <c r="K413" s="88" t="n"/>
      <c r="L413" s="88" t="n"/>
      <c r="M413" s="88" t="n"/>
      <c r="N413" s="89" t="n"/>
      <c r="O413" s="88" t="n"/>
      <c r="P413" s="88" t="n"/>
      <c r="Q413" s="88" t="n"/>
      <c r="R413" s="89" t="n"/>
      <c r="S413" s="88" t="n"/>
      <c r="T413" s="88" t="n"/>
      <c r="U413" s="88" t="n"/>
      <c r="V413" s="89" t="n"/>
      <c r="W413" s="88" t="n"/>
      <c r="X413" s="89" t="n"/>
      <c r="Y413" s="88" t="n"/>
      <c r="Z413" s="89" t="n"/>
      <c r="AB413" s="30">
        <f>IF($B413="","",(COUNTIF(C413:E413,"?*")&lt;N(INDEX(Setup!$L$6:$L$23,6)))+(COUNTIF(G413:I413,"?*")&lt;N(INDEX(Setup!$L$6:$L$23,6)))+(COUNTIF(K413:M413,"?*")&lt;N(INDEX(Setup!$L$6:$L$23,6)))+(COUNTIF(O413:Q413,"?*")&lt;N(INDEX(Setup!$L$6:$L$23,6)))+(COUNTIF(S413:U413,"?*")&lt;N(INDEX(Setup!$L$6:$L$23,6)))+((W413="")*(INDEX(Setup!$M$6:$M$23,6)="Y"))+((Y413="")*(INDEX(Setup!$M$6:$M$23,6)="Y")))</f>
        <v/>
      </c>
      <c r="AC413" s="91">
        <f>IF($B413="","",IF(AB413=0,"✓ covered","⚠ "&amp;AB413&amp;IF(AB413=1," gap"," gaps")))</f>
        <v/>
      </c>
    </row>
    <row r="414" ht="17" customHeight="1">
      <c r="A414" t="n">
        <v>9</v>
      </c>
      <c r="B414" s="24">
        <f>IF(Setup!$K$12="","",Setup!$K$12)</f>
        <v/>
      </c>
      <c r="C414" s="88" t="n"/>
      <c r="D414" s="88" t="n"/>
      <c r="E414" s="88" t="n"/>
      <c r="F414" s="89" t="n"/>
      <c r="G414" s="88" t="n"/>
      <c r="H414" s="88" t="n"/>
      <c r="I414" s="88" t="n"/>
      <c r="J414" s="89" t="n"/>
      <c r="K414" s="88" t="n"/>
      <c r="L414" s="88" t="n"/>
      <c r="M414" s="88" t="n"/>
      <c r="N414" s="89" t="n"/>
      <c r="O414" s="88" t="n"/>
      <c r="P414" s="88" t="n"/>
      <c r="Q414" s="88" t="n"/>
      <c r="R414" s="89" t="n"/>
      <c r="S414" s="88" t="n"/>
      <c r="T414" s="88" t="n"/>
      <c r="U414" s="88" t="n"/>
      <c r="V414" s="89" t="n"/>
      <c r="W414" s="88" t="n"/>
      <c r="X414" s="89" t="n"/>
      <c r="Y414" s="88" t="n"/>
      <c r="Z414" s="89" t="n"/>
      <c r="AB414" s="25">
        <f>IF($B414="","",(COUNTIF(C414:E414,"?*")&lt;N(INDEX(Setup!$L$6:$L$23,7)))+(COUNTIF(G414:I414,"?*")&lt;N(INDEX(Setup!$L$6:$L$23,7)))+(COUNTIF(K414:M414,"?*")&lt;N(INDEX(Setup!$L$6:$L$23,7)))+(COUNTIF(O414:Q414,"?*")&lt;N(INDEX(Setup!$L$6:$L$23,7)))+(COUNTIF(S414:U414,"?*")&lt;N(INDEX(Setup!$L$6:$L$23,7)))+((W414="")*(INDEX(Setup!$M$6:$M$23,7)="Y"))+((Y414="")*(INDEX(Setup!$M$6:$M$23,7)="Y")))</f>
        <v/>
      </c>
      <c r="AC414" s="90">
        <f>IF($B414="","",IF(AB414=0,"✓ covered","⚠ "&amp;AB414&amp;IF(AB414=1," gap"," gaps")))</f>
        <v/>
      </c>
    </row>
    <row r="415" ht="17" customHeight="1">
      <c r="A415" t="n">
        <v>9</v>
      </c>
      <c r="B415" s="29">
        <f>IF(Setup!$K$13="","",Setup!$K$13)</f>
        <v/>
      </c>
      <c r="C415" s="88" t="n"/>
      <c r="D415" s="88" t="n"/>
      <c r="E415" s="88" t="n"/>
      <c r="F415" s="89" t="n"/>
      <c r="G415" s="88" t="n"/>
      <c r="H415" s="88" t="n"/>
      <c r="I415" s="88" t="n"/>
      <c r="J415" s="89" t="n"/>
      <c r="K415" s="88" t="n"/>
      <c r="L415" s="88" t="n"/>
      <c r="M415" s="88" t="n"/>
      <c r="N415" s="89" t="n"/>
      <c r="O415" s="88" t="n"/>
      <c r="P415" s="88" t="n"/>
      <c r="Q415" s="88" t="n"/>
      <c r="R415" s="89" t="n"/>
      <c r="S415" s="88" t="n"/>
      <c r="T415" s="88" t="n"/>
      <c r="U415" s="88" t="n"/>
      <c r="V415" s="89" t="n"/>
      <c r="W415" s="88" t="n"/>
      <c r="X415" s="89" t="n"/>
      <c r="Y415" s="88" t="n"/>
      <c r="Z415" s="89" t="n"/>
      <c r="AB415" s="30">
        <f>IF($B415="","",(COUNTIF(C415:E415,"?*")&lt;N(INDEX(Setup!$L$6:$L$23,8)))+(COUNTIF(G415:I415,"?*")&lt;N(INDEX(Setup!$L$6:$L$23,8)))+(COUNTIF(K415:M415,"?*")&lt;N(INDEX(Setup!$L$6:$L$23,8)))+(COUNTIF(O415:Q415,"?*")&lt;N(INDEX(Setup!$L$6:$L$23,8)))+(COUNTIF(S415:U415,"?*")&lt;N(INDEX(Setup!$L$6:$L$23,8)))+((W415="")*(INDEX(Setup!$M$6:$M$23,8)="Y"))+((Y415="")*(INDEX(Setup!$M$6:$M$23,8)="Y")))</f>
        <v/>
      </c>
      <c r="AC415" s="91">
        <f>IF($B415="","",IF(AB415=0,"✓ covered","⚠ "&amp;AB415&amp;IF(AB415=1," gap"," gaps")))</f>
        <v/>
      </c>
    </row>
    <row r="416" ht="17" customHeight="1">
      <c r="A416" t="n">
        <v>9</v>
      </c>
      <c r="B416" s="24">
        <f>IF(Setup!$K$14="","",Setup!$K$14)</f>
        <v/>
      </c>
      <c r="C416" s="88" t="n"/>
      <c r="D416" s="88" t="n"/>
      <c r="E416" s="88" t="n"/>
      <c r="F416" s="89" t="n"/>
      <c r="G416" s="88" t="n"/>
      <c r="H416" s="88" t="n"/>
      <c r="I416" s="88" t="n"/>
      <c r="J416" s="89" t="n"/>
      <c r="K416" s="88" t="n"/>
      <c r="L416" s="88" t="n"/>
      <c r="M416" s="88" t="n"/>
      <c r="N416" s="89" t="n"/>
      <c r="O416" s="88" t="n"/>
      <c r="P416" s="88" t="n"/>
      <c r="Q416" s="88" t="n"/>
      <c r="R416" s="89" t="n"/>
      <c r="S416" s="88" t="n"/>
      <c r="T416" s="88" t="n"/>
      <c r="U416" s="88" t="n"/>
      <c r="V416" s="89" t="n"/>
      <c r="W416" s="88" t="n"/>
      <c r="X416" s="89" t="n"/>
      <c r="Y416" s="88" t="n"/>
      <c r="Z416" s="89" t="n"/>
      <c r="AB416" s="25">
        <f>IF($B416="","",(COUNTIF(C416:E416,"?*")&lt;N(INDEX(Setup!$L$6:$L$23,9)))+(COUNTIF(G416:I416,"?*")&lt;N(INDEX(Setup!$L$6:$L$23,9)))+(COUNTIF(K416:M416,"?*")&lt;N(INDEX(Setup!$L$6:$L$23,9)))+(COUNTIF(O416:Q416,"?*")&lt;N(INDEX(Setup!$L$6:$L$23,9)))+(COUNTIF(S416:U416,"?*")&lt;N(INDEX(Setup!$L$6:$L$23,9)))+((W416="")*(INDEX(Setup!$M$6:$M$23,9)="Y"))+((Y416="")*(INDEX(Setup!$M$6:$M$23,9)="Y")))</f>
        <v/>
      </c>
      <c r="AC416" s="90">
        <f>IF($B416="","",IF(AB416=0,"✓ covered","⚠ "&amp;AB416&amp;IF(AB416=1," gap"," gaps")))</f>
        <v/>
      </c>
    </row>
    <row r="417" ht="17" customHeight="1">
      <c r="A417" t="n">
        <v>9</v>
      </c>
      <c r="B417" s="29">
        <f>IF(Setup!$K$15="","",Setup!$K$15)</f>
        <v/>
      </c>
      <c r="C417" s="88" t="n"/>
      <c r="D417" s="88" t="n"/>
      <c r="E417" s="88" t="n"/>
      <c r="F417" s="89" t="n"/>
      <c r="G417" s="88" t="n"/>
      <c r="H417" s="88" t="n"/>
      <c r="I417" s="88" t="n"/>
      <c r="J417" s="89" t="n"/>
      <c r="K417" s="88" t="n"/>
      <c r="L417" s="88" t="n"/>
      <c r="M417" s="88" t="n"/>
      <c r="N417" s="89" t="n"/>
      <c r="O417" s="88" t="n"/>
      <c r="P417" s="88" t="n"/>
      <c r="Q417" s="88" t="n"/>
      <c r="R417" s="89" t="n"/>
      <c r="S417" s="88" t="n"/>
      <c r="T417" s="88" t="n"/>
      <c r="U417" s="88" t="n"/>
      <c r="V417" s="89" t="n"/>
      <c r="W417" s="88" t="n"/>
      <c r="X417" s="89" t="n"/>
      <c r="Y417" s="88" t="n"/>
      <c r="Z417" s="89" t="n"/>
      <c r="AB417" s="30">
        <f>IF($B417="","",(COUNTIF(C417:E417,"?*")&lt;N(INDEX(Setup!$L$6:$L$23,10)))+(COUNTIF(G417:I417,"?*")&lt;N(INDEX(Setup!$L$6:$L$23,10)))+(COUNTIF(K417:M417,"?*")&lt;N(INDEX(Setup!$L$6:$L$23,10)))+(COUNTIF(O417:Q417,"?*")&lt;N(INDEX(Setup!$L$6:$L$23,10)))+(COUNTIF(S417:U417,"?*")&lt;N(INDEX(Setup!$L$6:$L$23,10)))+((W417="")*(INDEX(Setup!$M$6:$M$23,10)="Y"))+((Y417="")*(INDEX(Setup!$M$6:$M$23,10)="Y")))</f>
        <v/>
      </c>
      <c r="AC417" s="91">
        <f>IF($B417="","",IF(AB417=0,"✓ covered","⚠ "&amp;AB417&amp;IF(AB417=1," gap"," gaps")))</f>
        <v/>
      </c>
    </row>
    <row r="418" ht="17" customHeight="1">
      <c r="A418" t="n">
        <v>9</v>
      </c>
      <c r="B418" s="24">
        <f>IF(Setup!$K$16="","",Setup!$K$16)</f>
        <v/>
      </c>
      <c r="C418" s="88" t="n"/>
      <c r="D418" s="88" t="n"/>
      <c r="E418" s="88" t="n"/>
      <c r="F418" s="89" t="n"/>
      <c r="G418" s="88" t="n"/>
      <c r="H418" s="88" t="n"/>
      <c r="I418" s="88" t="n"/>
      <c r="J418" s="89" t="n"/>
      <c r="K418" s="88" t="n"/>
      <c r="L418" s="88" t="n"/>
      <c r="M418" s="88" t="n"/>
      <c r="N418" s="89" t="n"/>
      <c r="O418" s="88" t="n"/>
      <c r="P418" s="88" t="n"/>
      <c r="Q418" s="88" t="n"/>
      <c r="R418" s="89" t="n"/>
      <c r="S418" s="88" t="n"/>
      <c r="T418" s="88" t="n"/>
      <c r="U418" s="88" t="n"/>
      <c r="V418" s="89" t="n"/>
      <c r="W418" s="88" t="n"/>
      <c r="X418" s="89" t="n"/>
      <c r="Y418" s="88" t="n"/>
      <c r="Z418" s="89" t="n"/>
      <c r="AB418" s="25">
        <f>IF($B418="","",(COUNTIF(C418:E418,"?*")&lt;N(INDEX(Setup!$L$6:$L$23,11)))+(COUNTIF(G418:I418,"?*")&lt;N(INDEX(Setup!$L$6:$L$23,11)))+(COUNTIF(K418:M418,"?*")&lt;N(INDEX(Setup!$L$6:$L$23,11)))+(COUNTIF(O418:Q418,"?*")&lt;N(INDEX(Setup!$L$6:$L$23,11)))+(COUNTIF(S418:U418,"?*")&lt;N(INDEX(Setup!$L$6:$L$23,11)))+((W418="")*(INDEX(Setup!$M$6:$M$23,11)="Y"))+((Y418="")*(INDEX(Setup!$M$6:$M$23,11)="Y")))</f>
        <v/>
      </c>
      <c r="AC418" s="90">
        <f>IF($B418="","",IF(AB418=0,"✓ covered","⚠ "&amp;AB418&amp;IF(AB418=1," gap"," gaps")))</f>
        <v/>
      </c>
    </row>
    <row r="419" ht="17" customHeight="1">
      <c r="A419" t="n">
        <v>9</v>
      </c>
      <c r="B419" s="29">
        <f>IF(Setup!$K$17="","",Setup!$K$17)</f>
        <v/>
      </c>
      <c r="C419" s="88" t="n"/>
      <c r="D419" s="88" t="n"/>
      <c r="E419" s="88" t="n"/>
      <c r="F419" s="89" t="n"/>
      <c r="G419" s="88" t="n"/>
      <c r="H419" s="88" t="n"/>
      <c r="I419" s="88" t="n"/>
      <c r="J419" s="89" t="n"/>
      <c r="K419" s="88" t="n"/>
      <c r="L419" s="88" t="n"/>
      <c r="M419" s="88" t="n"/>
      <c r="N419" s="89" t="n"/>
      <c r="O419" s="88" t="n"/>
      <c r="P419" s="88" t="n"/>
      <c r="Q419" s="88" t="n"/>
      <c r="R419" s="89" t="n"/>
      <c r="S419" s="88" t="n"/>
      <c r="T419" s="88" t="n"/>
      <c r="U419" s="88" t="n"/>
      <c r="V419" s="89" t="n"/>
      <c r="W419" s="88" t="n"/>
      <c r="X419" s="89" t="n"/>
      <c r="Y419" s="88" t="n"/>
      <c r="Z419" s="89" t="n"/>
      <c r="AB419" s="30">
        <f>IF($B419="","",(COUNTIF(C419:E419,"?*")&lt;N(INDEX(Setup!$L$6:$L$23,12)))+(COUNTIF(G419:I419,"?*")&lt;N(INDEX(Setup!$L$6:$L$23,12)))+(COUNTIF(K419:M419,"?*")&lt;N(INDEX(Setup!$L$6:$L$23,12)))+(COUNTIF(O419:Q419,"?*")&lt;N(INDEX(Setup!$L$6:$L$23,12)))+(COUNTIF(S419:U419,"?*")&lt;N(INDEX(Setup!$L$6:$L$23,12)))+((W419="")*(INDEX(Setup!$M$6:$M$23,12)="Y"))+((Y419="")*(INDEX(Setup!$M$6:$M$23,12)="Y")))</f>
        <v/>
      </c>
      <c r="AC419" s="91">
        <f>IF($B419="","",IF(AB419=0,"✓ covered","⚠ "&amp;AB419&amp;IF(AB419=1," gap"," gaps")))</f>
        <v/>
      </c>
    </row>
    <row r="420" ht="17" customHeight="1">
      <c r="A420" t="n">
        <v>9</v>
      </c>
      <c r="B420" s="24">
        <f>IF(Setup!$K$18="","",Setup!$K$18)</f>
        <v/>
      </c>
      <c r="C420" s="88" t="n"/>
      <c r="D420" s="88" t="n"/>
      <c r="E420" s="88" t="n"/>
      <c r="F420" s="89" t="n"/>
      <c r="G420" s="88" t="n"/>
      <c r="H420" s="88" t="n"/>
      <c r="I420" s="88" t="n"/>
      <c r="J420" s="89" t="n"/>
      <c r="K420" s="88" t="n"/>
      <c r="L420" s="88" t="n"/>
      <c r="M420" s="88" t="n"/>
      <c r="N420" s="89" t="n"/>
      <c r="O420" s="88" t="n"/>
      <c r="P420" s="88" t="n"/>
      <c r="Q420" s="88" t="n"/>
      <c r="R420" s="89" t="n"/>
      <c r="S420" s="88" t="n"/>
      <c r="T420" s="88" t="n"/>
      <c r="U420" s="88" t="n"/>
      <c r="V420" s="89" t="n"/>
      <c r="W420" s="88" t="n"/>
      <c r="X420" s="89" t="n"/>
      <c r="Y420" s="88" t="n"/>
      <c r="Z420" s="89" t="n"/>
      <c r="AB420" s="25">
        <f>IF($B420="","",(COUNTIF(C420:E420,"?*")&lt;N(INDEX(Setup!$L$6:$L$23,13)))+(COUNTIF(G420:I420,"?*")&lt;N(INDEX(Setup!$L$6:$L$23,13)))+(COUNTIF(K420:M420,"?*")&lt;N(INDEX(Setup!$L$6:$L$23,13)))+(COUNTIF(O420:Q420,"?*")&lt;N(INDEX(Setup!$L$6:$L$23,13)))+(COUNTIF(S420:U420,"?*")&lt;N(INDEX(Setup!$L$6:$L$23,13)))+((W420="")*(INDEX(Setup!$M$6:$M$23,13)="Y"))+((Y420="")*(INDEX(Setup!$M$6:$M$23,13)="Y")))</f>
        <v/>
      </c>
      <c r="AC420" s="90">
        <f>IF($B420="","",IF(AB420=0,"✓ covered","⚠ "&amp;AB420&amp;IF(AB420=1," gap"," gaps")))</f>
        <v/>
      </c>
    </row>
    <row r="421" ht="17" customHeight="1">
      <c r="A421" t="n">
        <v>9</v>
      </c>
      <c r="B421" s="29">
        <f>IF(Setup!$K$19="","",Setup!$K$19)</f>
        <v/>
      </c>
      <c r="C421" s="88" t="n"/>
      <c r="D421" s="88" t="n"/>
      <c r="E421" s="88" t="n"/>
      <c r="F421" s="89" t="n"/>
      <c r="G421" s="88" t="n"/>
      <c r="H421" s="88" t="n"/>
      <c r="I421" s="88" t="n"/>
      <c r="J421" s="89" t="n"/>
      <c r="K421" s="88" t="n"/>
      <c r="L421" s="88" t="n"/>
      <c r="M421" s="88" t="n"/>
      <c r="N421" s="89" t="n"/>
      <c r="O421" s="88" t="n"/>
      <c r="P421" s="88" t="n"/>
      <c r="Q421" s="88" t="n"/>
      <c r="R421" s="89" t="n"/>
      <c r="S421" s="88" t="n"/>
      <c r="T421" s="88" t="n"/>
      <c r="U421" s="88" t="n"/>
      <c r="V421" s="89" t="n"/>
      <c r="W421" s="88" t="n"/>
      <c r="X421" s="89" t="n"/>
      <c r="Y421" s="88" t="n"/>
      <c r="Z421" s="89" t="n"/>
      <c r="AB421" s="30">
        <f>IF($B421="","",(COUNTIF(C421:E421,"?*")&lt;N(INDEX(Setup!$L$6:$L$23,14)))+(COUNTIF(G421:I421,"?*")&lt;N(INDEX(Setup!$L$6:$L$23,14)))+(COUNTIF(K421:M421,"?*")&lt;N(INDEX(Setup!$L$6:$L$23,14)))+(COUNTIF(O421:Q421,"?*")&lt;N(INDEX(Setup!$L$6:$L$23,14)))+(COUNTIF(S421:U421,"?*")&lt;N(INDEX(Setup!$L$6:$L$23,14)))+((W421="")*(INDEX(Setup!$M$6:$M$23,14)="Y"))+((Y421="")*(INDEX(Setup!$M$6:$M$23,14)="Y")))</f>
        <v/>
      </c>
      <c r="AC421" s="91">
        <f>IF($B421="","",IF(AB421=0,"✓ covered","⚠ "&amp;AB421&amp;IF(AB421=1," gap"," gaps")))</f>
        <v/>
      </c>
    </row>
    <row r="422" ht="17" customHeight="1">
      <c r="A422" t="n">
        <v>9</v>
      </c>
      <c r="B422" s="24">
        <f>IF(Setup!$K$20="","",Setup!$K$20)</f>
        <v/>
      </c>
      <c r="C422" s="88" t="n"/>
      <c r="D422" s="88" t="n"/>
      <c r="E422" s="88" t="n"/>
      <c r="F422" s="89" t="n"/>
      <c r="G422" s="88" t="n"/>
      <c r="H422" s="88" t="n"/>
      <c r="I422" s="88" t="n"/>
      <c r="J422" s="89" t="n"/>
      <c r="K422" s="88" t="n"/>
      <c r="L422" s="88" t="n"/>
      <c r="M422" s="88" t="n"/>
      <c r="N422" s="89" t="n"/>
      <c r="O422" s="88" t="n"/>
      <c r="P422" s="88" t="n"/>
      <c r="Q422" s="88" t="n"/>
      <c r="R422" s="89" t="n"/>
      <c r="S422" s="88" t="n"/>
      <c r="T422" s="88" t="n"/>
      <c r="U422" s="88" t="n"/>
      <c r="V422" s="89" t="n"/>
      <c r="W422" s="88" t="n"/>
      <c r="X422" s="89" t="n"/>
      <c r="Y422" s="88" t="n"/>
      <c r="Z422" s="89" t="n"/>
      <c r="AB422" s="25">
        <f>IF($B422="","",(COUNTIF(C422:E422,"?*")&lt;N(INDEX(Setup!$L$6:$L$23,15)))+(COUNTIF(G422:I422,"?*")&lt;N(INDEX(Setup!$L$6:$L$23,15)))+(COUNTIF(K422:M422,"?*")&lt;N(INDEX(Setup!$L$6:$L$23,15)))+(COUNTIF(O422:Q422,"?*")&lt;N(INDEX(Setup!$L$6:$L$23,15)))+(COUNTIF(S422:U422,"?*")&lt;N(INDEX(Setup!$L$6:$L$23,15)))+((W422="")*(INDEX(Setup!$M$6:$M$23,15)="Y"))+((Y422="")*(INDEX(Setup!$M$6:$M$23,15)="Y")))</f>
        <v/>
      </c>
      <c r="AC422" s="90">
        <f>IF($B422="","",IF(AB422=0,"✓ covered","⚠ "&amp;AB422&amp;IF(AB422=1," gap"," gaps")))</f>
        <v/>
      </c>
    </row>
    <row r="423" ht="17" customHeight="1">
      <c r="A423" t="n">
        <v>9</v>
      </c>
      <c r="B423" s="29">
        <f>IF(Setup!$K$21="","",Setup!$K$21)</f>
        <v/>
      </c>
      <c r="C423" s="88" t="n"/>
      <c r="D423" s="88" t="n"/>
      <c r="E423" s="88" t="n"/>
      <c r="F423" s="89" t="n"/>
      <c r="G423" s="88" t="n"/>
      <c r="H423" s="88" t="n"/>
      <c r="I423" s="88" t="n"/>
      <c r="J423" s="89" t="n"/>
      <c r="K423" s="88" t="n"/>
      <c r="L423" s="88" t="n"/>
      <c r="M423" s="88" t="n"/>
      <c r="N423" s="89" t="n"/>
      <c r="O423" s="88" t="n"/>
      <c r="P423" s="88" t="n"/>
      <c r="Q423" s="88" t="n"/>
      <c r="R423" s="89" t="n"/>
      <c r="S423" s="88" t="n"/>
      <c r="T423" s="88" t="n"/>
      <c r="U423" s="88" t="n"/>
      <c r="V423" s="89" t="n"/>
      <c r="W423" s="88" t="n"/>
      <c r="X423" s="89" t="n"/>
      <c r="Y423" s="88" t="n"/>
      <c r="Z423" s="89" t="n"/>
      <c r="AB423" s="30">
        <f>IF($B423="","",(COUNTIF(C423:E423,"?*")&lt;N(INDEX(Setup!$L$6:$L$23,16)))+(COUNTIF(G423:I423,"?*")&lt;N(INDEX(Setup!$L$6:$L$23,16)))+(COUNTIF(K423:M423,"?*")&lt;N(INDEX(Setup!$L$6:$L$23,16)))+(COUNTIF(O423:Q423,"?*")&lt;N(INDEX(Setup!$L$6:$L$23,16)))+(COUNTIF(S423:U423,"?*")&lt;N(INDEX(Setup!$L$6:$L$23,16)))+((W423="")*(INDEX(Setup!$M$6:$M$23,16)="Y"))+((Y423="")*(INDEX(Setup!$M$6:$M$23,16)="Y")))</f>
        <v/>
      </c>
      <c r="AC423" s="91">
        <f>IF($B423="","",IF(AB423=0,"✓ covered","⚠ "&amp;AB423&amp;IF(AB423=1," gap"," gaps")))</f>
        <v/>
      </c>
    </row>
    <row r="424" ht="17" customHeight="1">
      <c r="A424" t="n">
        <v>9</v>
      </c>
      <c r="B424" s="24">
        <f>IF(Setup!$K$22="","",Setup!$K$22)</f>
        <v/>
      </c>
      <c r="C424" s="88" t="n"/>
      <c r="D424" s="88" t="n"/>
      <c r="E424" s="88" t="n"/>
      <c r="F424" s="89" t="n"/>
      <c r="G424" s="88" t="n"/>
      <c r="H424" s="88" t="n"/>
      <c r="I424" s="88" t="n"/>
      <c r="J424" s="89" t="n"/>
      <c r="K424" s="88" t="n"/>
      <c r="L424" s="88" t="n"/>
      <c r="M424" s="88" t="n"/>
      <c r="N424" s="89" t="n"/>
      <c r="O424" s="88" t="n"/>
      <c r="P424" s="88" t="n"/>
      <c r="Q424" s="88" t="n"/>
      <c r="R424" s="89" t="n"/>
      <c r="S424" s="88" t="n"/>
      <c r="T424" s="88" t="n"/>
      <c r="U424" s="88" t="n"/>
      <c r="V424" s="89" t="n"/>
      <c r="W424" s="88" t="n"/>
      <c r="X424" s="89" t="n"/>
      <c r="Y424" s="88" t="n"/>
      <c r="Z424" s="89" t="n"/>
      <c r="AB424" s="25">
        <f>IF($B424="","",(COUNTIF(C424:E424,"?*")&lt;N(INDEX(Setup!$L$6:$L$23,17)))+(COUNTIF(G424:I424,"?*")&lt;N(INDEX(Setup!$L$6:$L$23,17)))+(COUNTIF(K424:M424,"?*")&lt;N(INDEX(Setup!$L$6:$L$23,17)))+(COUNTIF(O424:Q424,"?*")&lt;N(INDEX(Setup!$L$6:$L$23,17)))+(COUNTIF(S424:U424,"?*")&lt;N(INDEX(Setup!$L$6:$L$23,17)))+((W424="")*(INDEX(Setup!$M$6:$M$23,17)="Y"))+((Y424="")*(INDEX(Setup!$M$6:$M$23,17)="Y")))</f>
        <v/>
      </c>
      <c r="AC424" s="90">
        <f>IF($B424="","",IF(AB424=0,"✓ covered","⚠ "&amp;AB424&amp;IF(AB424=1," gap"," gaps")))</f>
        <v/>
      </c>
    </row>
    <row r="425" ht="17" customHeight="1">
      <c r="A425" t="n">
        <v>9</v>
      </c>
      <c r="B425" s="29">
        <f>IF(Setup!$K$23="","",Setup!$K$23)</f>
        <v/>
      </c>
      <c r="C425" s="88" t="n"/>
      <c r="D425" s="88" t="n"/>
      <c r="E425" s="88" t="n"/>
      <c r="F425" s="89" t="n"/>
      <c r="G425" s="88" t="n"/>
      <c r="H425" s="88" t="n"/>
      <c r="I425" s="88" t="n"/>
      <c r="J425" s="89" t="n"/>
      <c r="K425" s="88" t="n"/>
      <c r="L425" s="88" t="n"/>
      <c r="M425" s="88" t="n"/>
      <c r="N425" s="89" t="n"/>
      <c r="O425" s="88" t="n"/>
      <c r="P425" s="88" t="n"/>
      <c r="Q425" s="88" t="n"/>
      <c r="R425" s="89" t="n"/>
      <c r="S425" s="88" t="n"/>
      <c r="T425" s="88" t="n"/>
      <c r="U425" s="88" t="n"/>
      <c r="V425" s="89" t="n"/>
      <c r="W425" s="88" t="n"/>
      <c r="X425" s="89" t="n"/>
      <c r="Y425" s="88" t="n"/>
      <c r="Z425" s="89" t="n"/>
      <c r="AB425" s="30">
        <f>IF($B425="","",(COUNTIF(C425:E425,"?*")&lt;N(INDEX(Setup!$L$6:$L$23,18)))+(COUNTIF(G425:I425,"?*")&lt;N(INDEX(Setup!$L$6:$L$23,18)))+(COUNTIF(K425:M425,"?*")&lt;N(INDEX(Setup!$L$6:$L$23,18)))+(COUNTIF(O425:Q425,"?*")&lt;N(INDEX(Setup!$L$6:$L$23,18)))+(COUNTIF(S425:U425,"?*")&lt;N(INDEX(Setup!$L$6:$L$23,18)))+((W425="")*(INDEX(Setup!$M$6:$M$23,18)="Y"))+((Y425="")*(INDEX(Setup!$M$6:$M$23,18)="Y")))</f>
        <v/>
      </c>
      <c r="AC425" s="91">
        <f>IF($B425="","",IF(AB425=0,"✓ covered","⚠ "&amp;AB425&amp;IF(AB425=1," gap"," gaps")))</f>
        <v/>
      </c>
    </row>
    <row r="426" ht="18" customHeight="1">
      <c r="A426" t="n">
        <v>9</v>
      </c>
      <c r="B426" s="78" t="inlineStr">
        <is>
          <t>TEAM AVAILABILITY</t>
        </is>
      </c>
      <c r="C426" s="92" t="inlineStr">
        <is>
          <t>Mon</t>
        </is>
      </c>
      <c r="D426" s="93" t="n"/>
      <c r="E426" s="93" t="n"/>
      <c r="F426" s="94" t="n"/>
      <c r="G426" s="92" t="inlineStr">
        <is>
          <t>Tue</t>
        </is>
      </c>
      <c r="H426" s="93" t="n"/>
      <c r="I426" s="93" t="n"/>
      <c r="J426" s="94" t="n"/>
      <c r="K426" s="92" t="inlineStr">
        <is>
          <t>Wed</t>
        </is>
      </c>
      <c r="L426" s="93" t="n"/>
      <c r="M426" s="93" t="n"/>
      <c r="N426" s="94" t="n"/>
      <c r="O426" s="92" t="inlineStr">
        <is>
          <t>Thu</t>
        </is>
      </c>
      <c r="P426" s="93" t="n"/>
      <c r="Q426" s="93" t="n"/>
      <c r="R426" s="94" t="n"/>
      <c r="S426" s="92" t="inlineStr">
        <is>
          <t>Fri</t>
        </is>
      </c>
      <c r="T426" s="93" t="n"/>
      <c r="U426" s="93" t="n"/>
      <c r="V426" s="94" t="n"/>
      <c r="W426" s="95" t="inlineStr">
        <is>
          <t>Sat</t>
        </is>
      </c>
      <c r="X426" s="96" t="n"/>
      <c r="Y426" s="95" t="inlineStr">
        <is>
          <t>Sun</t>
        </is>
      </c>
      <c r="Z426" s="96" t="n"/>
      <c r="AB426" s="97" t="inlineStr">
        <is>
          <t>Days rostered</t>
        </is>
      </c>
      <c r="AC426" s="97" t="inlineStr">
        <is>
          <t>Conflicts</t>
        </is>
      </c>
    </row>
    <row r="427" ht="15" customHeight="1">
      <c r="A427" t="n">
        <v>9</v>
      </c>
      <c r="B427" s="35">
        <f>IF(Setup!$B$6="","",Setup!$B$6)</f>
        <v/>
      </c>
      <c r="C427" s="98" t="n"/>
      <c r="D427" s="99" t="n"/>
      <c r="E427" s="99" t="n"/>
      <c r="F427" s="100" t="n"/>
      <c r="G427" s="98" t="n"/>
      <c r="H427" s="99" t="n"/>
      <c r="I427" s="99" t="n"/>
      <c r="J427" s="100" t="n"/>
      <c r="K427" s="98" t="n"/>
      <c r="L427" s="99" t="n"/>
      <c r="M427" s="99" t="n"/>
      <c r="N427" s="100" t="n"/>
      <c r="O427" s="98" t="n"/>
      <c r="P427" s="99" t="n"/>
      <c r="Q427" s="99" t="n"/>
      <c r="R427" s="100" t="n"/>
      <c r="S427" s="98" t="n"/>
      <c r="T427" s="99" t="n"/>
      <c r="U427" s="99" t="n"/>
      <c r="V427" s="100" t="n"/>
      <c r="W427" s="98" t="n"/>
      <c r="X427" s="100" t="n"/>
      <c r="Y427" s="98" t="n"/>
      <c r="Z427" s="100" t="n"/>
      <c r="AB427" s="101">
        <f>IF($B427="","",(COUNTIF(C408:E425,$B427)+COUNTIF(C408:E425,$B427&amp;" ~*")&gt;0)+(COUNTIF(G408:I425,$B427)+COUNTIF(G408:I425,$B427&amp;" ~*")&gt;0)+(COUNTIF(K408:M425,$B427)+COUNTIF(K408:M425,$B427&amp;" ~*")&gt;0)+(COUNTIF(O408:Q425,$B427)+COUNTIF(O408:Q425,$B427&amp;" ~*")&gt;0)+(COUNTIF(S408:U425,$B427)+COUNTIF(S408:U425,$B427&amp;" ~*")&gt;0)+(COUNTIF(W408:W425,$B427)+COUNTIF(W408:W425,$B427&amp;" ~*")&gt;0)+(COUNTIF(Y408:Y425,$B427)+COUNTIF(Y408:Y425,$B427&amp;" ~*")&gt;0))</f>
        <v/>
      </c>
      <c r="AC427" s="36">
        <f>IF($B427="","",(IFERROR(INDEX(Setup!$G$33:$G$40,MATCH(C427,Setup!$B$33:$B$40,0)),0)=1)*(COUNTIF(C408:E425,$B427)+COUNTIF(C408:E425,$B427&amp;" ~*")&gt;0)+(IFERROR(INDEX(Setup!$G$33:$G$40,MATCH(G427,Setup!$B$33:$B$40,0)),0)=1)*(COUNTIF(G408:I425,$B427)+COUNTIF(G408:I425,$B427&amp;" ~*")&gt;0)+(IFERROR(INDEX(Setup!$G$33:$G$40,MATCH(K427,Setup!$B$33:$B$40,0)),0)=1)*(COUNTIF(K408:M425,$B427)+COUNTIF(K408:M425,$B427&amp;" ~*")&gt;0)+(IFERROR(INDEX(Setup!$G$33:$G$40,MATCH(O427,Setup!$B$33:$B$40,0)),0)=1)*(COUNTIF(O408:Q425,$B427)+COUNTIF(O408:Q425,$B427&amp;" ~*")&gt;0)+(IFERROR(INDEX(Setup!$G$33:$G$40,MATCH(S427,Setup!$B$33:$B$40,0)),0)=1)*(COUNTIF(S408:U425,$B427)+COUNTIF(S408:U425,$B427&amp;" ~*")&gt;0)+(IFERROR(INDEX(Setup!$G$33:$G$40,MATCH(W427,Setup!$B$33:$B$40,0)),0)=1)*(COUNTIF(W408:W425,$B427)+COUNTIF(W408:W425,$B427&amp;" ~*")&gt;0)+(IFERROR(INDEX(Setup!$G$33:$G$40,MATCH(Y427,Setup!$B$33:$B$40,0)),0)=1)*(COUNTIF(Y408:Y425,$B427)+COUNTIF(Y408:Y425,$B427&amp;" ~*")&gt;0))</f>
        <v/>
      </c>
    </row>
    <row r="428" ht="15" customHeight="1">
      <c r="A428" t="n">
        <v>9</v>
      </c>
      <c r="B428" s="37">
        <f>IF(Setup!$B$7="","",Setup!$B$7)</f>
        <v/>
      </c>
      <c r="C428" s="102" t="n"/>
      <c r="D428" s="103" t="n"/>
      <c r="E428" s="103" t="n"/>
      <c r="F428" s="104" t="n"/>
      <c r="G428" s="102" t="n"/>
      <c r="H428" s="103" t="n"/>
      <c r="I428" s="103" t="n"/>
      <c r="J428" s="104" t="n"/>
      <c r="K428" s="102" t="n"/>
      <c r="L428" s="103" t="n"/>
      <c r="M428" s="103" t="n"/>
      <c r="N428" s="104" t="n"/>
      <c r="O428" s="102" t="n"/>
      <c r="P428" s="103" t="n"/>
      <c r="Q428" s="103" t="n"/>
      <c r="R428" s="104" t="n"/>
      <c r="S428" s="102" t="n"/>
      <c r="T428" s="103" t="n"/>
      <c r="U428" s="103" t="n"/>
      <c r="V428" s="104" t="n"/>
      <c r="W428" s="102" t="n"/>
      <c r="X428" s="104" t="n"/>
      <c r="Y428" s="102" t="n"/>
      <c r="Z428" s="104" t="n"/>
      <c r="AB428" s="105">
        <f>IF($B428="","",(COUNTIF(C408:E425,$B428)+COUNTIF(C408:E425,$B428&amp;" ~*")&gt;0)+(COUNTIF(G408:I425,$B428)+COUNTIF(G408:I425,$B428&amp;" ~*")&gt;0)+(COUNTIF(K408:M425,$B428)+COUNTIF(K408:M425,$B428&amp;" ~*")&gt;0)+(COUNTIF(O408:Q425,$B428)+COUNTIF(O408:Q425,$B428&amp;" ~*")&gt;0)+(COUNTIF(S408:U425,$B428)+COUNTIF(S408:U425,$B428&amp;" ~*")&gt;0)+(COUNTIF(W408:W425,$B428)+COUNTIF(W408:W425,$B428&amp;" ~*")&gt;0)+(COUNTIF(Y408:Y425,$B428)+COUNTIF(Y408:Y425,$B428&amp;" ~*")&gt;0))</f>
        <v/>
      </c>
      <c r="AC428" s="38">
        <f>IF($B428="","",(IFERROR(INDEX(Setup!$G$33:$G$40,MATCH(C428,Setup!$B$33:$B$40,0)),0)=1)*(COUNTIF(C408:E425,$B428)+COUNTIF(C408:E425,$B428&amp;" ~*")&gt;0)+(IFERROR(INDEX(Setup!$G$33:$G$40,MATCH(G428,Setup!$B$33:$B$40,0)),0)=1)*(COUNTIF(G408:I425,$B428)+COUNTIF(G408:I425,$B428&amp;" ~*")&gt;0)+(IFERROR(INDEX(Setup!$G$33:$G$40,MATCH(K428,Setup!$B$33:$B$40,0)),0)=1)*(COUNTIF(K408:M425,$B428)+COUNTIF(K408:M425,$B428&amp;" ~*")&gt;0)+(IFERROR(INDEX(Setup!$G$33:$G$40,MATCH(O428,Setup!$B$33:$B$40,0)),0)=1)*(COUNTIF(O408:Q425,$B428)+COUNTIF(O408:Q425,$B428&amp;" ~*")&gt;0)+(IFERROR(INDEX(Setup!$G$33:$G$40,MATCH(S428,Setup!$B$33:$B$40,0)),0)=1)*(COUNTIF(S408:U425,$B428)+COUNTIF(S408:U425,$B428&amp;" ~*")&gt;0)+(IFERROR(INDEX(Setup!$G$33:$G$40,MATCH(W428,Setup!$B$33:$B$40,0)),0)=1)*(COUNTIF(W408:W425,$B428)+COUNTIF(W408:W425,$B428&amp;" ~*")&gt;0)+(IFERROR(INDEX(Setup!$G$33:$G$40,MATCH(Y428,Setup!$B$33:$B$40,0)),0)=1)*(COUNTIF(Y408:Y425,$B428)+COUNTIF(Y408:Y425,$B428&amp;" ~*")&gt;0))</f>
        <v/>
      </c>
    </row>
    <row r="429" ht="15" customHeight="1">
      <c r="A429" t="n">
        <v>9</v>
      </c>
      <c r="B429" s="35">
        <f>IF(Setup!$B$8="","",Setup!$B$8)</f>
        <v/>
      </c>
      <c r="C429" s="98" t="n"/>
      <c r="D429" s="99" t="n"/>
      <c r="E429" s="99" t="n"/>
      <c r="F429" s="100" t="n"/>
      <c r="G429" s="98" t="n"/>
      <c r="H429" s="99" t="n"/>
      <c r="I429" s="99" t="n"/>
      <c r="J429" s="100" t="n"/>
      <c r="K429" s="98" t="n"/>
      <c r="L429" s="99" t="n"/>
      <c r="M429" s="99" t="n"/>
      <c r="N429" s="100" t="n"/>
      <c r="O429" s="98" t="n"/>
      <c r="P429" s="99" t="n"/>
      <c r="Q429" s="99" t="n"/>
      <c r="R429" s="100" t="n"/>
      <c r="S429" s="98" t="n"/>
      <c r="T429" s="99" t="n"/>
      <c r="U429" s="99" t="n"/>
      <c r="V429" s="100" t="n"/>
      <c r="W429" s="98" t="n"/>
      <c r="X429" s="100" t="n"/>
      <c r="Y429" s="98" t="n"/>
      <c r="Z429" s="100" t="n"/>
      <c r="AB429" s="101">
        <f>IF($B429="","",(COUNTIF(C408:E425,$B429)+COUNTIF(C408:E425,$B429&amp;" ~*")&gt;0)+(COUNTIF(G408:I425,$B429)+COUNTIF(G408:I425,$B429&amp;" ~*")&gt;0)+(COUNTIF(K408:M425,$B429)+COUNTIF(K408:M425,$B429&amp;" ~*")&gt;0)+(COUNTIF(O408:Q425,$B429)+COUNTIF(O408:Q425,$B429&amp;" ~*")&gt;0)+(COUNTIF(S408:U425,$B429)+COUNTIF(S408:U425,$B429&amp;" ~*")&gt;0)+(COUNTIF(W408:W425,$B429)+COUNTIF(W408:W425,$B429&amp;" ~*")&gt;0)+(COUNTIF(Y408:Y425,$B429)+COUNTIF(Y408:Y425,$B429&amp;" ~*")&gt;0))</f>
        <v/>
      </c>
      <c r="AC429" s="36">
        <f>IF($B429="","",(IFERROR(INDEX(Setup!$G$33:$G$40,MATCH(C429,Setup!$B$33:$B$40,0)),0)=1)*(COUNTIF(C408:E425,$B429)+COUNTIF(C408:E425,$B429&amp;" ~*")&gt;0)+(IFERROR(INDEX(Setup!$G$33:$G$40,MATCH(G429,Setup!$B$33:$B$40,0)),0)=1)*(COUNTIF(G408:I425,$B429)+COUNTIF(G408:I425,$B429&amp;" ~*")&gt;0)+(IFERROR(INDEX(Setup!$G$33:$G$40,MATCH(K429,Setup!$B$33:$B$40,0)),0)=1)*(COUNTIF(K408:M425,$B429)+COUNTIF(K408:M425,$B429&amp;" ~*")&gt;0)+(IFERROR(INDEX(Setup!$G$33:$G$40,MATCH(O429,Setup!$B$33:$B$40,0)),0)=1)*(COUNTIF(O408:Q425,$B429)+COUNTIF(O408:Q425,$B429&amp;" ~*")&gt;0)+(IFERROR(INDEX(Setup!$G$33:$G$40,MATCH(S429,Setup!$B$33:$B$40,0)),0)=1)*(COUNTIF(S408:U425,$B429)+COUNTIF(S408:U425,$B429&amp;" ~*")&gt;0)+(IFERROR(INDEX(Setup!$G$33:$G$40,MATCH(W429,Setup!$B$33:$B$40,0)),0)=1)*(COUNTIF(W408:W425,$B429)+COUNTIF(W408:W425,$B429&amp;" ~*")&gt;0)+(IFERROR(INDEX(Setup!$G$33:$G$40,MATCH(Y429,Setup!$B$33:$B$40,0)),0)=1)*(COUNTIF(Y408:Y425,$B429)+COUNTIF(Y408:Y425,$B429&amp;" ~*")&gt;0))</f>
        <v/>
      </c>
    </row>
    <row r="430" ht="15" customHeight="1">
      <c r="A430" t="n">
        <v>9</v>
      </c>
      <c r="B430" s="37">
        <f>IF(Setup!$B$9="","",Setup!$B$9)</f>
        <v/>
      </c>
      <c r="C430" s="102" t="n"/>
      <c r="D430" s="103" t="n"/>
      <c r="E430" s="103" t="n"/>
      <c r="F430" s="104" t="n"/>
      <c r="G430" s="102" t="n"/>
      <c r="H430" s="103" t="n"/>
      <c r="I430" s="103" t="n"/>
      <c r="J430" s="104" t="n"/>
      <c r="K430" s="102" t="n"/>
      <c r="L430" s="103" t="n"/>
      <c r="M430" s="103" t="n"/>
      <c r="N430" s="104" t="n"/>
      <c r="O430" s="102" t="n"/>
      <c r="P430" s="103" t="n"/>
      <c r="Q430" s="103" t="n"/>
      <c r="R430" s="104" t="n"/>
      <c r="S430" s="102" t="n"/>
      <c r="T430" s="103" t="n"/>
      <c r="U430" s="103" t="n"/>
      <c r="V430" s="104" t="n"/>
      <c r="W430" s="102" t="n"/>
      <c r="X430" s="104" t="n"/>
      <c r="Y430" s="102" t="n"/>
      <c r="Z430" s="104" t="n"/>
      <c r="AB430" s="105">
        <f>IF($B430="","",(COUNTIF(C408:E425,$B430)+COUNTIF(C408:E425,$B430&amp;" ~*")&gt;0)+(COUNTIF(G408:I425,$B430)+COUNTIF(G408:I425,$B430&amp;" ~*")&gt;0)+(COUNTIF(K408:M425,$B430)+COUNTIF(K408:M425,$B430&amp;" ~*")&gt;0)+(COUNTIF(O408:Q425,$B430)+COUNTIF(O408:Q425,$B430&amp;" ~*")&gt;0)+(COUNTIF(S408:U425,$B430)+COUNTIF(S408:U425,$B430&amp;" ~*")&gt;0)+(COUNTIF(W408:W425,$B430)+COUNTIF(W408:W425,$B430&amp;" ~*")&gt;0)+(COUNTIF(Y408:Y425,$B430)+COUNTIF(Y408:Y425,$B430&amp;" ~*")&gt;0))</f>
        <v/>
      </c>
      <c r="AC430" s="38">
        <f>IF($B430="","",(IFERROR(INDEX(Setup!$G$33:$G$40,MATCH(C430,Setup!$B$33:$B$40,0)),0)=1)*(COUNTIF(C408:E425,$B430)+COUNTIF(C408:E425,$B430&amp;" ~*")&gt;0)+(IFERROR(INDEX(Setup!$G$33:$G$40,MATCH(G430,Setup!$B$33:$B$40,0)),0)=1)*(COUNTIF(G408:I425,$B430)+COUNTIF(G408:I425,$B430&amp;" ~*")&gt;0)+(IFERROR(INDEX(Setup!$G$33:$G$40,MATCH(K430,Setup!$B$33:$B$40,0)),0)=1)*(COUNTIF(K408:M425,$B430)+COUNTIF(K408:M425,$B430&amp;" ~*")&gt;0)+(IFERROR(INDEX(Setup!$G$33:$G$40,MATCH(O430,Setup!$B$33:$B$40,0)),0)=1)*(COUNTIF(O408:Q425,$B430)+COUNTIF(O408:Q425,$B430&amp;" ~*")&gt;0)+(IFERROR(INDEX(Setup!$G$33:$G$40,MATCH(S430,Setup!$B$33:$B$40,0)),0)=1)*(COUNTIF(S408:U425,$B430)+COUNTIF(S408:U425,$B430&amp;" ~*")&gt;0)+(IFERROR(INDEX(Setup!$G$33:$G$40,MATCH(W430,Setup!$B$33:$B$40,0)),0)=1)*(COUNTIF(W408:W425,$B430)+COUNTIF(W408:W425,$B430&amp;" ~*")&gt;0)+(IFERROR(INDEX(Setup!$G$33:$G$40,MATCH(Y430,Setup!$B$33:$B$40,0)),0)=1)*(COUNTIF(Y408:Y425,$B430)+COUNTIF(Y408:Y425,$B430&amp;" ~*")&gt;0))</f>
        <v/>
      </c>
    </row>
    <row r="431" ht="15" customHeight="1">
      <c r="A431" t="n">
        <v>9</v>
      </c>
      <c r="B431" s="35">
        <f>IF(Setup!$B$10="","",Setup!$B$10)</f>
        <v/>
      </c>
      <c r="C431" s="98" t="n"/>
      <c r="D431" s="99" t="n"/>
      <c r="E431" s="99" t="n"/>
      <c r="F431" s="100" t="n"/>
      <c r="G431" s="98" t="n"/>
      <c r="H431" s="99" t="n"/>
      <c r="I431" s="99" t="n"/>
      <c r="J431" s="100" t="n"/>
      <c r="K431" s="98" t="n"/>
      <c r="L431" s="99" t="n"/>
      <c r="M431" s="99" t="n"/>
      <c r="N431" s="100" t="n"/>
      <c r="O431" s="98" t="n"/>
      <c r="P431" s="99" t="n"/>
      <c r="Q431" s="99" t="n"/>
      <c r="R431" s="100" t="n"/>
      <c r="S431" s="98" t="n"/>
      <c r="T431" s="99" t="n"/>
      <c r="U431" s="99" t="n"/>
      <c r="V431" s="100" t="n"/>
      <c r="W431" s="98" t="n"/>
      <c r="X431" s="100" t="n"/>
      <c r="Y431" s="98" t="n"/>
      <c r="Z431" s="100" t="n"/>
      <c r="AB431" s="101">
        <f>IF($B431="","",(COUNTIF(C408:E425,$B431)+COUNTIF(C408:E425,$B431&amp;" ~*")&gt;0)+(COUNTIF(G408:I425,$B431)+COUNTIF(G408:I425,$B431&amp;" ~*")&gt;0)+(COUNTIF(K408:M425,$B431)+COUNTIF(K408:M425,$B431&amp;" ~*")&gt;0)+(COUNTIF(O408:Q425,$B431)+COUNTIF(O408:Q425,$B431&amp;" ~*")&gt;0)+(COUNTIF(S408:U425,$B431)+COUNTIF(S408:U425,$B431&amp;" ~*")&gt;0)+(COUNTIF(W408:W425,$B431)+COUNTIF(W408:W425,$B431&amp;" ~*")&gt;0)+(COUNTIF(Y408:Y425,$B431)+COUNTIF(Y408:Y425,$B431&amp;" ~*")&gt;0))</f>
        <v/>
      </c>
      <c r="AC431" s="36">
        <f>IF($B431="","",(IFERROR(INDEX(Setup!$G$33:$G$40,MATCH(C431,Setup!$B$33:$B$40,0)),0)=1)*(COUNTIF(C408:E425,$B431)+COUNTIF(C408:E425,$B431&amp;" ~*")&gt;0)+(IFERROR(INDEX(Setup!$G$33:$G$40,MATCH(G431,Setup!$B$33:$B$40,0)),0)=1)*(COUNTIF(G408:I425,$B431)+COUNTIF(G408:I425,$B431&amp;" ~*")&gt;0)+(IFERROR(INDEX(Setup!$G$33:$G$40,MATCH(K431,Setup!$B$33:$B$40,0)),0)=1)*(COUNTIF(K408:M425,$B431)+COUNTIF(K408:M425,$B431&amp;" ~*")&gt;0)+(IFERROR(INDEX(Setup!$G$33:$G$40,MATCH(O431,Setup!$B$33:$B$40,0)),0)=1)*(COUNTIF(O408:Q425,$B431)+COUNTIF(O408:Q425,$B431&amp;" ~*")&gt;0)+(IFERROR(INDEX(Setup!$G$33:$G$40,MATCH(S431,Setup!$B$33:$B$40,0)),0)=1)*(COUNTIF(S408:U425,$B431)+COUNTIF(S408:U425,$B431&amp;" ~*")&gt;0)+(IFERROR(INDEX(Setup!$G$33:$G$40,MATCH(W431,Setup!$B$33:$B$40,0)),0)=1)*(COUNTIF(W408:W425,$B431)+COUNTIF(W408:W425,$B431&amp;" ~*")&gt;0)+(IFERROR(INDEX(Setup!$G$33:$G$40,MATCH(Y431,Setup!$B$33:$B$40,0)),0)=1)*(COUNTIF(Y408:Y425,$B431)+COUNTIF(Y408:Y425,$B431&amp;" ~*")&gt;0))</f>
        <v/>
      </c>
    </row>
    <row r="432" ht="15" customHeight="1">
      <c r="A432" t="n">
        <v>9</v>
      </c>
      <c r="B432" s="37">
        <f>IF(Setup!$B$11="","",Setup!$B$11)</f>
        <v/>
      </c>
      <c r="C432" s="102" t="n"/>
      <c r="D432" s="103" t="n"/>
      <c r="E432" s="103" t="n"/>
      <c r="F432" s="104" t="n"/>
      <c r="G432" s="102" t="n"/>
      <c r="H432" s="103" t="n"/>
      <c r="I432" s="103" t="n"/>
      <c r="J432" s="104" t="n"/>
      <c r="K432" s="102" t="n"/>
      <c r="L432" s="103" t="n"/>
      <c r="M432" s="103" t="n"/>
      <c r="N432" s="104" t="n"/>
      <c r="O432" s="102" t="n"/>
      <c r="P432" s="103" t="n"/>
      <c r="Q432" s="103" t="n"/>
      <c r="R432" s="104" t="n"/>
      <c r="S432" s="102" t="n"/>
      <c r="T432" s="103" t="n"/>
      <c r="U432" s="103" t="n"/>
      <c r="V432" s="104" t="n"/>
      <c r="W432" s="102" t="n"/>
      <c r="X432" s="104" t="n"/>
      <c r="Y432" s="102" t="n"/>
      <c r="Z432" s="104" t="n"/>
      <c r="AB432" s="105">
        <f>IF($B432="","",(COUNTIF(C408:E425,$B432)+COUNTIF(C408:E425,$B432&amp;" ~*")&gt;0)+(COUNTIF(G408:I425,$B432)+COUNTIF(G408:I425,$B432&amp;" ~*")&gt;0)+(COUNTIF(K408:M425,$B432)+COUNTIF(K408:M425,$B432&amp;" ~*")&gt;0)+(COUNTIF(O408:Q425,$B432)+COUNTIF(O408:Q425,$B432&amp;" ~*")&gt;0)+(COUNTIF(S408:U425,$B432)+COUNTIF(S408:U425,$B432&amp;" ~*")&gt;0)+(COUNTIF(W408:W425,$B432)+COUNTIF(W408:W425,$B432&amp;" ~*")&gt;0)+(COUNTIF(Y408:Y425,$B432)+COUNTIF(Y408:Y425,$B432&amp;" ~*")&gt;0))</f>
        <v/>
      </c>
      <c r="AC432" s="38">
        <f>IF($B432="","",(IFERROR(INDEX(Setup!$G$33:$G$40,MATCH(C432,Setup!$B$33:$B$40,0)),0)=1)*(COUNTIF(C408:E425,$B432)+COUNTIF(C408:E425,$B432&amp;" ~*")&gt;0)+(IFERROR(INDEX(Setup!$G$33:$G$40,MATCH(G432,Setup!$B$33:$B$40,0)),0)=1)*(COUNTIF(G408:I425,$B432)+COUNTIF(G408:I425,$B432&amp;" ~*")&gt;0)+(IFERROR(INDEX(Setup!$G$33:$G$40,MATCH(K432,Setup!$B$33:$B$40,0)),0)=1)*(COUNTIF(K408:M425,$B432)+COUNTIF(K408:M425,$B432&amp;" ~*")&gt;0)+(IFERROR(INDEX(Setup!$G$33:$G$40,MATCH(O432,Setup!$B$33:$B$40,0)),0)=1)*(COUNTIF(O408:Q425,$B432)+COUNTIF(O408:Q425,$B432&amp;" ~*")&gt;0)+(IFERROR(INDEX(Setup!$G$33:$G$40,MATCH(S432,Setup!$B$33:$B$40,0)),0)=1)*(COUNTIF(S408:U425,$B432)+COUNTIF(S408:U425,$B432&amp;" ~*")&gt;0)+(IFERROR(INDEX(Setup!$G$33:$G$40,MATCH(W432,Setup!$B$33:$B$40,0)),0)=1)*(COUNTIF(W408:W425,$B432)+COUNTIF(W408:W425,$B432&amp;" ~*")&gt;0)+(IFERROR(INDEX(Setup!$G$33:$G$40,MATCH(Y432,Setup!$B$33:$B$40,0)),0)=1)*(COUNTIF(Y408:Y425,$B432)+COUNTIF(Y408:Y425,$B432&amp;" ~*")&gt;0))</f>
        <v/>
      </c>
    </row>
    <row r="433" ht="15" customHeight="1">
      <c r="A433" t="n">
        <v>9</v>
      </c>
      <c r="B433" s="35">
        <f>IF(Setup!$B$12="","",Setup!$B$12)</f>
        <v/>
      </c>
      <c r="C433" s="98" t="n"/>
      <c r="D433" s="99" t="n"/>
      <c r="E433" s="99" t="n"/>
      <c r="F433" s="100" t="n"/>
      <c r="G433" s="98" t="n"/>
      <c r="H433" s="99" t="n"/>
      <c r="I433" s="99" t="n"/>
      <c r="J433" s="100" t="n"/>
      <c r="K433" s="98" t="n"/>
      <c r="L433" s="99" t="n"/>
      <c r="M433" s="99" t="n"/>
      <c r="N433" s="100" t="n"/>
      <c r="O433" s="98" t="n"/>
      <c r="P433" s="99" t="n"/>
      <c r="Q433" s="99" t="n"/>
      <c r="R433" s="100" t="n"/>
      <c r="S433" s="98" t="n"/>
      <c r="T433" s="99" t="n"/>
      <c r="U433" s="99" t="n"/>
      <c r="V433" s="100" t="n"/>
      <c r="W433" s="98" t="n"/>
      <c r="X433" s="100" t="n"/>
      <c r="Y433" s="98" t="n"/>
      <c r="Z433" s="100" t="n"/>
      <c r="AB433" s="101">
        <f>IF($B433="","",(COUNTIF(C408:E425,$B433)+COUNTIF(C408:E425,$B433&amp;" ~*")&gt;0)+(COUNTIF(G408:I425,$B433)+COUNTIF(G408:I425,$B433&amp;" ~*")&gt;0)+(COUNTIF(K408:M425,$B433)+COUNTIF(K408:M425,$B433&amp;" ~*")&gt;0)+(COUNTIF(O408:Q425,$B433)+COUNTIF(O408:Q425,$B433&amp;" ~*")&gt;0)+(COUNTIF(S408:U425,$B433)+COUNTIF(S408:U425,$B433&amp;" ~*")&gt;0)+(COUNTIF(W408:W425,$B433)+COUNTIF(W408:W425,$B433&amp;" ~*")&gt;0)+(COUNTIF(Y408:Y425,$B433)+COUNTIF(Y408:Y425,$B433&amp;" ~*")&gt;0))</f>
        <v/>
      </c>
      <c r="AC433" s="36">
        <f>IF($B433="","",(IFERROR(INDEX(Setup!$G$33:$G$40,MATCH(C433,Setup!$B$33:$B$40,0)),0)=1)*(COUNTIF(C408:E425,$B433)+COUNTIF(C408:E425,$B433&amp;" ~*")&gt;0)+(IFERROR(INDEX(Setup!$G$33:$G$40,MATCH(G433,Setup!$B$33:$B$40,0)),0)=1)*(COUNTIF(G408:I425,$B433)+COUNTIF(G408:I425,$B433&amp;" ~*")&gt;0)+(IFERROR(INDEX(Setup!$G$33:$G$40,MATCH(K433,Setup!$B$33:$B$40,0)),0)=1)*(COUNTIF(K408:M425,$B433)+COUNTIF(K408:M425,$B433&amp;" ~*")&gt;0)+(IFERROR(INDEX(Setup!$G$33:$G$40,MATCH(O433,Setup!$B$33:$B$40,0)),0)=1)*(COUNTIF(O408:Q425,$B433)+COUNTIF(O408:Q425,$B433&amp;" ~*")&gt;0)+(IFERROR(INDEX(Setup!$G$33:$G$40,MATCH(S433,Setup!$B$33:$B$40,0)),0)=1)*(COUNTIF(S408:U425,$B433)+COUNTIF(S408:U425,$B433&amp;" ~*")&gt;0)+(IFERROR(INDEX(Setup!$G$33:$G$40,MATCH(W433,Setup!$B$33:$B$40,0)),0)=1)*(COUNTIF(W408:W425,$B433)+COUNTIF(W408:W425,$B433&amp;" ~*")&gt;0)+(IFERROR(INDEX(Setup!$G$33:$G$40,MATCH(Y433,Setup!$B$33:$B$40,0)),0)=1)*(COUNTIF(Y408:Y425,$B433)+COUNTIF(Y408:Y425,$B433&amp;" ~*")&gt;0))</f>
        <v/>
      </c>
    </row>
    <row r="434" ht="15" customHeight="1">
      <c r="A434" t="n">
        <v>9</v>
      </c>
      <c r="B434" s="37">
        <f>IF(Setup!$B$13="","",Setup!$B$13)</f>
        <v/>
      </c>
      <c r="C434" s="102" t="n"/>
      <c r="D434" s="103" t="n"/>
      <c r="E434" s="103" t="n"/>
      <c r="F434" s="104" t="n"/>
      <c r="G434" s="102" t="n"/>
      <c r="H434" s="103" t="n"/>
      <c r="I434" s="103" t="n"/>
      <c r="J434" s="104" t="n"/>
      <c r="K434" s="102" t="n"/>
      <c r="L434" s="103" t="n"/>
      <c r="M434" s="103" t="n"/>
      <c r="N434" s="104" t="n"/>
      <c r="O434" s="102" t="n"/>
      <c r="P434" s="103" t="n"/>
      <c r="Q434" s="103" t="n"/>
      <c r="R434" s="104" t="n"/>
      <c r="S434" s="102" t="n"/>
      <c r="T434" s="103" t="n"/>
      <c r="U434" s="103" t="n"/>
      <c r="V434" s="104" t="n"/>
      <c r="W434" s="102" t="n"/>
      <c r="X434" s="104" t="n"/>
      <c r="Y434" s="102" t="n"/>
      <c r="Z434" s="104" t="n"/>
      <c r="AB434" s="105">
        <f>IF($B434="","",(COUNTIF(C408:E425,$B434)+COUNTIF(C408:E425,$B434&amp;" ~*")&gt;0)+(COUNTIF(G408:I425,$B434)+COUNTIF(G408:I425,$B434&amp;" ~*")&gt;0)+(COUNTIF(K408:M425,$B434)+COUNTIF(K408:M425,$B434&amp;" ~*")&gt;0)+(COUNTIF(O408:Q425,$B434)+COUNTIF(O408:Q425,$B434&amp;" ~*")&gt;0)+(COUNTIF(S408:U425,$B434)+COUNTIF(S408:U425,$B434&amp;" ~*")&gt;0)+(COUNTIF(W408:W425,$B434)+COUNTIF(W408:W425,$B434&amp;" ~*")&gt;0)+(COUNTIF(Y408:Y425,$B434)+COUNTIF(Y408:Y425,$B434&amp;" ~*")&gt;0))</f>
        <v/>
      </c>
      <c r="AC434" s="38">
        <f>IF($B434="","",(IFERROR(INDEX(Setup!$G$33:$G$40,MATCH(C434,Setup!$B$33:$B$40,0)),0)=1)*(COUNTIF(C408:E425,$B434)+COUNTIF(C408:E425,$B434&amp;" ~*")&gt;0)+(IFERROR(INDEX(Setup!$G$33:$G$40,MATCH(G434,Setup!$B$33:$B$40,0)),0)=1)*(COUNTIF(G408:I425,$B434)+COUNTIF(G408:I425,$B434&amp;" ~*")&gt;0)+(IFERROR(INDEX(Setup!$G$33:$G$40,MATCH(K434,Setup!$B$33:$B$40,0)),0)=1)*(COUNTIF(K408:M425,$B434)+COUNTIF(K408:M425,$B434&amp;" ~*")&gt;0)+(IFERROR(INDEX(Setup!$G$33:$G$40,MATCH(O434,Setup!$B$33:$B$40,0)),0)=1)*(COUNTIF(O408:Q425,$B434)+COUNTIF(O408:Q425,$B434&amp;" ~*")&gt;0)+(IFERROR(INDEX(Setup!$G$33:$G$40,MATCH(S434,Setup!$B$33:$B$40,0)),0)=1)*(COUNTIF(S408:U425,$B434)+COUNTIF(S408:U425,$B434&amp;" ~*")&gt;0)+(IFERROR(INDEX(Setup!$G$33:$G$40,MATCH(W434,Setup!$B$33:$B$40,0)),0)=1)*(COUNTIF(W408:W425,$B434)+COUNTIF(W408:W425,$B434&amp;" ~*")&gt;0)+(IFERROR(INDEX(Setup!$G$33:$G$40,MATCH(Y434,Setup!$B$33:$B$40,0)),0)=1)*(COUNTIF(Y408:Y425,$B434)+COUNTIF(Y408:Y425,$B434&amp;" ~*")&gt;0))</f>
        <v/>
      </c>
    </row>
    <row r="435" ht="15" customHeight="1">
      <c r="A435" t="n">
        <v>9</v>
      </c>
      <c r="B435" s="35">
        <f>IF(Setup!$B$14="","",Setup!$B$14)</f>
        <v/>
      </c>
      <c r="C435" s="98" t="n"/>
      <c r="D435" s="99" t="n"/>
      <c r="E435" s="99" t="n"/>
      <c r="F435" s="100" t="n"/>
      <c r="G435" s="98" t="n"/>
      <c r="H435" s="99" t="n"/>
      <c r="I435" s="99" t="n"/>
      <c r="J435" s="100" t="n"/>
      <c r="K435" s="98" t="n"/>
      <c r="L435" s="99" t="n"/>
      <c r="M435" s="99" t="n"/>
      <c r="N435" s="100" t="n"/>
      <c r="O435" s="98" t="n"/>
      <c r="P435" s="99" t="n"/>
      <c r="Q435" s="99" t="n"/>
      <c r="R435" s="100" t="n"/>
      <c r="S435" s="98" t="n"/>
      <c r="T435" s="99" t="n"/>
      <c r="U435" s="99" t="n"/>
      <c r="V435" s="100" t="n"/>
      <c r="W435" s="98" t="n"/>
      <c r="X435" s="100" t="n"/>
      <c r="Y435" s="98" t="n"/>
      <c r="Z435" s="100" t="n"/>
      <c r="AB435" s="101">
        <f>IF($B435="","",(COUNTIF(C408:E425,$B435)+COUNTIF(C408:E425,$B435&amp;" ~*")&gt;0)+(COUNTIF(G408:I425,$B435)+COUNTIF(G408:I425,$B435&amp;" ~*")&gt;0)+(COUNTIF(K408:M425,$B435)+COUNTIF(K408:M425,$B435&amp;" ~*")&gt;0)+(COUNTIF(O408:Q425,$B435)+COUNTIF(O408:Q425,$B435&amp;" ~*")&gt;0)+(COUNTIF(S408:U425,$B435)+COUNTIF(S408:U425,$B435&amp;" ~*")&gt;0)+(COUNTIF(W408:W425,$B435)+COUNTIF(W408:W425,$B435&amp;" ~*")&gt;0)+(COUNTIF(Y408:Y425,$B435)+COUNTIF(Y408:Y425,$B435&amp;" ~*")&gt;0))</f>
        <v/>
      </c>
      <c r="AC435" s="36">
        <f>IF($B435="","",(IFERROR(INDEX(Setup!$G$33:$G$40,MATCH(C435,Setup!$B$33:$B$40,0)),0)=1)*(COUNTIF(C408:E425,$B435)+COUNTIF(C408:E425,$B435&amp;" ~*")&gt;0)+(IFERROR(INDEX(Setup!$G$33:$G$40,MATCH(G435,Setup!$B$33:$B$40,0)),0)=1)*(COUNTIF(G408:I425,$B435)+COUNTIF(G408:I425,$B435&amp;" ~*")&gt;0)+(IFERROR(INDEX(Setup!$G$33:$G$40,MATCH(K435,Setup!$B$33:$B$40,0)),0)=1)*(COUNTIF(K408:M425,$B435)+COUNTIF(K408:M425,$B435&amp;" ~*")&gt;0)+(IFERROR(INDEX(Setup!$G$33:$G$40,MATCH(O435,Setup!$B$33:$B$40,0)),0)=1)*(COUNTIF(O408:Q425,$B435)+COUNTIF(O408:Q425,$B435&amp;" ~*")&gt;0)+(IFERROR(INDEX(Setup!$G$33:$G$40,MATCH(S435,Setup!$B$33:$B$40,0)),0)=1)*(COUNTIF(S408:U425,$B435)+COUNTIF(S408:U425,$B435&amp;" ~*")&gt;0)+(IFERROR(INDEX(Setup!$G$33:$G$40,MATCH(W435,Setup!$B$33:$B$40,0)),0)=1)*(COUNTIF(W408:W425,$B435)+COUNTIF(W408:W425,$B435&amp;" ~*")&gt;0)+(IFERROR(INDEX(Setup!$G$33:$G$40,MATCH(Y435,Setup!$B$33:$B$40,0)),0)=1)*(COUNTIF(Y408:Y425,$B435)+COUNTIF(Y408:Y425,$B435&amp;" ~*")&gt;0))</f>
        <v/>
      </c>
    </row>
    <row r="436" ht="15" customHeight="1">
      <c r="A436" t="n">
        <v>9</v>
      </c>
      <c r="B436" s="37">
        <f>IF(Setup!$B$15="","",Setup!$B$15)</f>
        <v/>
      </c>
      <c r="C436" s="102" t="n"/>
      <c r="D436" s="103" t="n"/>
      <c r="E436" s="103" t="n"/>
      <c r="F436" s="104" t="n"/>
      <c r="G436" s="102" t="n"/>
      <c r="H436" s="103" t="n"/>
      <c r="I436" s="103" t="n"/>
      <c r="J436" s="104" t="n"/>
      <c r="K436" s="102" t="n"/>
      <c r="L436" s="103" t="n"/>
      <c r="M436" s="103" t="n"/>
      <c r="N436" s="104" t="n"/>
      <c r="O436" s="102" t="n"/>
      <c r="P436" s="103" t="n"/>
      <c r="Q436" s="103" t="n"/>
      <c r="R436" s="104" t="n"/>
      <c r="S436" s="102" t="n"/>
      <c r="T436" s="103" t="n"/>
      <c r="U436" s="103" t="n"/>
      <c r="V436" s="104" t="n"/>
      <c r="W436" s="102" t="n"/>
      <c r="X436" s="104" t="n"/>
      <c r="Y436" s="102" t="n"/>
      <c r="Z436" s="104" t="n"/>
      <c r="AB436" s="105">
        <f>IF($B436="","",(COUNTIF(C408:E425,$B436)+COUNTIF(C408:E425,$B436&amp;" ~*")&gt;0)+(COUNTIF(G408:I425,$B436)+COUNTIF(G408:I425,$B436&amp;" ~*")&gt;0)+(COUNTIF(K408:M425,$B436)+COUNTIF(K408:M425,$B436&amp;" ~*")&gt;0)+(COUNTIF(O408:Q425,$B436)+COUNTIF(O408:Q425,$B436&amp;" ~*")&gt;0)+(COUNTIF(S408:U425,$B436)+COUNTIF(S408:U425,$B436&amp;" ~*")&gt;0)+(COUNTIF(W408:W425,$B436)+COUNTIF(W408:W425,$B436&amp;" ~*")&gt;0)+(COUNTIF(Y408:Y425,$B436)+COUNTIF(Y408:Y425,$B436&amp;" ~*")&gt;0))</f>
        <v/>
      </c>
      <c r="AC436" s="38">
        <f>IF($B436="","",(IFERROR(INDEX(Setup!$G$33:$G$40,MATCH(C436,Setup!$B$33:$B$40,0)),0)=1)*(COUNTIF(C408:E425,$B436)+COUNTIF(C408:E425,$B436&amp;" ~*")&gt;0)+(IFERROR(INDEX(Setup!$G$33:$G$40,MATCH(G436,Setup!$B$33:$B$40,0)),0)=1)*(COUNTIF(G408:I425,$B436)+COUNTIF(G408:I425,$B436&amp;" ~*")&gt;0)+(IFERROR(INDEX(Setup!$G$33:$G$40,MATCH(K436,Setup!$B$33:$B$40,0)),0)=1)*(COUNTIF(K408:M425,$B436)+COUNTIF(K408:M425,$B436&amp;" ~*")&gt;0)+(IFERROR(INDEX(Setup!$G$33:$G$40,MATCH(O436,Setup!$B$33:$B$40,0)),0)=1)*(COUNTIF(O408:Q425,$B436)+COUNTIF(O408:Q425,$B436&amp;" ~*")&gt;0)+(IFERROR(INDEX(Setup!$G$33:$G$40,MATCH(S436,Setup!$B$33:$B$40,0)),0)=1)*(COUNTIF(S408:U425,$B436)+COUNTIF(S408:U425,$B436&amp;" ~*")&gt;0)+(IFERROR(INDEX(Setup!$G$33:$G$40,MATCH(W436,Setup!$B$33:$B$40,0)),0)=1)*(COUNTIF(W408:W425,$B436)+COUNTIF(W408:W425,$B436&amp;" ~*")&gt;0)+(IFERROR(INDEX(Setup!$G$33:$G$40,MATCH(Y436,Setup!$B$33:$B$40,0)),0)=1)*(COUNTIF(Y408:Y425,$B436)+COUNTIF(Y408:Y425,$B436&amp;" ~*")&gt;0))</f>
        <v/>
      </c>
    </row>
    <row r="437" ht="15" customHeight="1">
      <c r="A437" t="n">
        <v>9</v>
      </c>
      <c r="B437" s="35">
        <f>IF(Setup!$B$16="","",Setup!$B$16)</f>
        <v/>
      </c>
      <c r="C437" s="98" t="n"/>
      <c r="D437" s="99" t="n"/>
      <c r="E437" s="99" t="n"/>
      <c r="F437" s="100" t="n"/>
      <c r="G437" s="98" t="n"/>
      <c r="H437" s="99" t="n"/>
      <c r="I437" s="99" t="n"/>
      <c r="J437" s="100" t="n"/>
      <c r="K437" s="98" t="n"/>
      <c r="L437" s="99" t="n"/>
      <c r="M437" s="99" t="n"/>
      <c r="N437" s="100" t="n"/>
      <c r="O437" s="98" t="n"/>
      <c r="P437" s="99" t="n"/>
      <c r="Q437" s="99" t="n"/>
      <c r="R437" s="100" t="n"/>
      <c r="S437" s="98" t="n"/>
      <c r="T437" s="99" t="n"/>
      <c r="U437" s="99" t="n"/>
      <c r="V437" s="100" t="n"/>
      <c r="W437" s="98" t="n"/>
      <c r="X437" s="100" t="n"/>
      <c r="Y437" s="98" t="n"/>
      <c r="Z437" s="100" t="n"/>
      <c r="AB437" s="101">
        <f>IF($B437="","",(COUNTIF(C408:E425,$B437)+COUNTIF(C408:E425,$B437&amp;" ~*")&gt;0)+(COUNTIF(G408:I425,$B437)+COUNTIF(G408:I425,$B437&amp;" ~*")&gt;0)+(COUNTIF(K408:M425,$B437)+COUNTIF(K408:M425,$B437&amp;" ~*")&gt;0)+(COUNTIF(O408:Q425,$B437)+COUNTIF(O408:Q425,$B437&amp;" ~*")&gt;0)+(COUNTIF(S408:U425,$B437)+COUNTIF(S408:U425,$B437&amp;" ~*")&gt;0)+(COUNTIF(W408:W425,$B437)+COUNTIF(W408:W425,$B437&amp;" ~*")&gt;0)+(COUNTIF(Y408:Y425,$B437)+COUNTIF(Y408:Y425,$B437&amp;" ~*")&gt;0))</f>
        <v/>
      </c>
      <c r="AC437" s="36">
        <f>IF($B437="","",(IFERROR(INDEX(Setup!$G$33:$G$40,MATCH(C437,Setup!$B$33:$B$40,0)),0)=1)*(COUNTIF(C408:E425,$B437)+COUNTIF(C408:E425,$B437&amp;" ~*")&gt;0)+(IFERROR(INDEX(Setup!$G$33:$G$40,MATCH(G437,Setup!$B$33:$B$40,0)),0)=1)*(COUNTIF(G408:I425,$B437)+COUNTIF(G408:I425,$B437&amp;" ~*")&gt;0)+(IFERROR(INDEX(Setup!$G$33:$G$40,MATCH(K437,Setup!$B$33:$B$40,0)),0)=1)*(COUNTIF(K408:M425,$B437)+COUNTIF(K408:M425,$B437&amp;" ~*")&gt;0)+(IFERROR(INDEX(Setup!$G$33:$G$40,MATCH(O437,Setup!$B$33:$B$40,0)),0)=1)*(COUNTIF(O408:Q425,$B437)+COUNTIF(O408:Q425,$B437&amp;" ~*")&gt;0)+(IFERROR(INDEX(Setup!$G$33:$G$40,MATCH(S437,Setup!$B$33:$B$40,0)),0)=1)*(COUNTIF(S408:U425,$B437)+COUNTIF(S408:U425,$B437&amp;" ~*")&gt;0)+(IFERROR(INDEX(Setup!$G$33:$G$40,MATCH(W437,Setup!$B$33:$B$40,0)),0)=1)*(COUNTIF(W408:W425,$B437)+COUNTIF(W408:W425,$B437&amp;" ~*")&gt;0)+(IFERROR(INDEX(Setup!$G$33:$G$40,MATCH(Y437,Setup!$B$33:$B$40,0)),0)=1)*(COUNTIF(Y408:Y425,$B437)+COUNTIF(Y408:Y425,$B437&amp;" ~*")&gt;0))</f>
        <v/>
      </c>
    </row>
    <row r="438" ht="15" customHeight="1">
      <c r="A438" t="n">
        <v>9</v>
      </c>
      <c r="B438" s="37">
        <f>IF(Setup!$B$17="","",Setup!$B$17)</f>
        <v/>
      </c>
      <c r="C438" s="102" t="n"/>
      <c r="D438" s="103" t="n"/>
      <c r="E438" s="103" t="n"/>
      <c r="F438" s="104" t="n"/>
      <c r="G438" s="102" t="n"/>
      <c r="H438" s="103" t="n"/>
      <c r="I438" s="103" t="n"/>
      <c r="J438" s="104" t="n"/>
      <c r="K438" s="102" t="n"/>
      <c r="L438" s="103" t="n"/>
      <c r="M438" s="103" t="n"/>
      <c r="N438" s="104" t="n"/>
      <c r="O438" s="102" t="n"/>
      <c r="P438" s="103" t="n"/>
      <c r="Q438" s="103" t="n"/>
      <c r="R438" s="104" t="n"/>
      <c r="S438" s="102" t="n"/>
      <c r="T438" s="103" t="n"/>
      <c r="U438" s="103" t="n"/>
      <c r="V438" s="104" t="n"/>
      <c r="W438" s="102" t="n"/>
      <c r="X438" s="104" t="n"/>
      <c r="Y438" s="102" t="n"/>
      <c r="Z438" s="104" t="n"/>
      <c r="AB438" s="105">
        <f>IF($B438="","",(COUNTIF(C408:E425,$B438)+COUNTIF(C408:E425,$B438&amp;" ~*")&gt;0)+(COUNTIF(G408:I425,$B438)+COUNTIF(G408:I425,$B438&amp;" ~*")&gt;0)+(COUNTIF(K408:M425,$B438)+COUNTIF(K408:M425,$B438&amp;" ~*")&gt;0)+(COUNTIF(O408:Q425,$B438)+COUNTIF(O408:Q425,$B438&amp;" ~*")&gt;0)+(COUNTIF(S408:U425,$B438)+COUNTIF(S408:U425,$B438&amp;" ~*")&gt;0)+(COUNTIF(W408:W425,$B438)+COUNTIF(W408:W425,$B438&amp;" ~*")&gt;0)+(COUNTIF(Y408:Y425,$B438)+COUNTIF(Y408:Y425,$B438&amp;" ~*")&gt;0))</f>
        <v/>
      </c>
      <c r="AC438" s="38">
        <f>IF($B438="","",(IFERROR(INDEX(Setup!$G$33:$G$40,MATCH(C438,Setup!$B$33:$B$40,0)),0)=1)*(COUNTIF(C408:E425,$B438)+COUNTIF(C408:E425,$B438&amp;" ~*")&gt;0)+(IFERROR(INDEX(Setup!$G$33:$G$40,MATCH(G438,Setup!$B$33:$B$40,0)),0)=1)*(COUNTIF(G408:I425,$B438)+COUNTIF(G408:I425,$B438&amp;" ~*")&gt;0)+(IFERROR(INDEX(Setup!$G$33:$G$40,MATCH(K438,Setup!$B$33:$B$40,0)),0)=1)*(COUNTIF(K408:M425,$B438)+COUNTIF(K408:M425,$B438&amp;" ~*")&gt;0)+(IFERROR(INDEX(Setup!$G$33:$G$40,MATCH(O438,Setup!$B$33:$B$40,0)),0)=1)*(COUNTIF(O408:Q425,$B438)+COUNTIF(O408:Q425,$B438&amp;" ~*")&gt;0)+(IFERROR(INDEX(Setup!$G$33:$G$40,MATCH(S438,Setup!$B$33:$B$40,0)),0)=1)*(COUNTIF(S408:U425,$B438)+COUNTIF(S408:U425,$B438&amp;" ~*")&gt;0)+(IFERROR(INDEX(Setup!$G$33:$G$40,MATCH(W438,Setup!$B$33:$B$40,0)),0)=1)*(COUNTIF(W408:W425,$B438)+COUNTIF(W408:W425,$B438&amp;" ~*")&gt;0)+(IFERROR(INDEX(Setup!$G$33:$G$40,MATCH(Y438,Setup!$B$33:$B$40,0)),0)=1)*(COUNTIF(Y408:Y425,$B438)+COUNTIF(Y408:Y425,$B438&amp;" ~*")&gt;0))</f>
        <v/>
      </c>
    </row>
    <row r="439" ht="15" customHeight="1">
      <c r="A439" t="n">
        <v>9</v>
      </c>
      <c r="B439" s="35">
        <f>IF(Setup!$B$18="","",Setup!$B$18)</f>
        <v/>
      </c>
      <c r="C439" s="98" t="n"/>
      <c r="D439" s="99" t="n"/>
      <c r="E439" s="99" t="n"/>
      <c r="F439" s="100" t="n"/>
      <c r="G439" s="98" t="n"/>
      <c r="H439" s="99" t="n"/>
      <c r="I439" s="99" t="n"/>
      <c r="J439" s="100" t="n"/>
      <c r="K439" s="98" t="n"/>
      <c r="L439" s="99" t="n"/>
      <c r="M439" s="99" t="n"/>
      <c r="N439" s="100" t="n"/>
      <c r="O439" s="98" t="n"/>
      <c r="P439" s="99" t="n"/>
      <c r="Q439" s="99" t="n"/>
      <c r="R439" s="100" t="n"/>
      <c r="S439" s="98" t="n"/>
      <c r="T439" s="99" t="n"/>
      <c r="U439" s="99" t="n"/>
      <c r="V439" s="100" t="n"/>
      <c r="W439" s="98" t="n"/>
      <c r="X439" s="100" t="n"/>
      <c r="Y439" s="98" t="n"/>
      <c r="Z439" s="100" t="n"/>
      <c r="AB439" s="101">
        <f>IF($B439="","",(COUNTIF(C408:E425,$B439)+COUNTIF(C408:E425,$B439&amp;" ~*")&gt;0)+(COUNTIF(G408:I425,$B439)+COUNTIF(G408:I425,$B439&amp;" ~*")&gt;0)+(COUNTIF(K408:M425,$B439)+COUNTIF(K408:M425,$B439&amp;" ~*")&gt;0)+(COUNTIF(O408:Q425,$B439)+COUNTIF(O408:Q425,$B439&amp;" ~*")&gt;0)+(COUNTIF(S408:U425,$B439)+COUNTIF(S408:U425,$B439&amp;" ~*")&gt;0)+(COUNTIF(W408:W425,$B439)+COUNTIF(W408:W425,$B439&amp;" ~*")&gt;0)+(COUNTIF(Y408:Y425,$B439)+COUNTIF(Y408:Y425,$B439&amp;" ~*")&gt;0))</f>
        <v/>
      </c>
      <c r="AC439" s="36">
        <f>IF($B439="","",(IFERROR(INDEX(Setup!$G$33:$G$40,MATCH(C439,Setup!$B$33:$B$40,0)),0)=1)*(COUNTIF(C408:E425,$B439)+COUNTIF(C408:E425,$B439&amp;" ~*")&gt;0)+(IFERROR(INDEX(Setup!$G$33:$G$40,MATCH(G439,Setup!$B$33:$B$40,0)),0)=1)*(COUNTIF(G408:I425,$B439)+COUNTIF(G408:I425,$B439&amp;" ~*")&gt;0)+(IFERROR(INDEX(Setup!$G$33:$G$40,MATCH(K439,Setup!$B$33:$B$40,0)),0)=1)*(COUNTIF(K408:M425,$B439)+COUNTIF(K408:M425,$B439&amp;" ~*")&gt;0)+(IFERROR(INDEX(Setup!$G$33:$G$40,MATCH(O439,Setup!$B$33:$B$40,0)),0)=1)*(COUNTIF(O408:Q425,$B439)+COUNTIF(O408:Q425,$B439&amp;" ~*")&gt;0)+(IFERROR(INDEX(Setup!$G$33:$G$40,MATCH(S439,Setup!$B$33:$B$40,0)),0)=1)*(COUNTIF(S408:U425,$B439)+COUNTIF(S408:U425,$B439&amp;" ~*")&gt;0)+(IFERROR(INDEX(Setup!$G$33:$G$40,MATCH(W439,Setup!$B$33:$B$40,0)),0)=1)*(COUNTIF(W408:W425,$B439)+COUNTIF(W408:W425,$B439&amp;" ~*")&gt;0)+(IFERROR(INDEX(Setup!$G$33:$G$40,MATCH(Y439,Setup!$B$33:$B$40,0)),0)=1)*(COUNTIF(Y408:Y425,$B439)+COUNTIF(Y408:Y425,$B439&amp;" ~*")&gt;0))</f>
        <v/>
      </c>
    </row>
    <row r="440" ht="15" customHeight="1">
      <c r="A440" t="n">
        <v>9</v>
      </c>
      <c r="B440" s="37">
        <f>IF(Setup!$B$19="","",Setup!$B$19)</f>
        <v/>
      </c>
      <c r="C440" s="102" t="n"/>
      <c r="D440" s="103" t="n"/>
      <c r="E440" s="103" t="n"/>
      <c r="F440" s="104" t="n"/>
      <c r="G440" s="102" t="n"/>
      <c r="H440" s="103" t="n"/>
      <c r="I440" s="103" t="n"/>
      <c r="J440" s="104" t="n"/>
      <c r="K440" s="102" t="n"/>
      <c r="L440" s="103" t="n"/>
      <c r="M440" s="103" t="n"/>
      <c r="N440" s="104" t="n"/>
      <c r="O440" s="102" t="n"/>
      <c r="P440" s="103" t="n"/>
      <c r="Q440" s="103" t="n"/>
      <c r="R440" s="104" t="n"/>
      <c r="S440" s="102" t="n"/>
      <c r="T440" s="103" t="n"/>
      <c r="U440" s="103" t="n"/>
      <c r="V440" s="104" t="n"/>
      <c r="W440" s="102" t="n"/>
      <c r="X440" s="104" t="n"/>
      <c r="Y440" s="102" t="n"/>
      <c r="Z440" s="104" t="n"/>
      <c r="AB440" s="105">
        <f>IF($B440="","",(COUNTIF(C408:E425,$B440)+COUNTIF(C408:E425,$B440&amp;" ~*")&gt;0)+(COUNTIF(G408:I425,$B440)+COUNTIF(G408:I425,$B440&amp;" ~*")&gt;0)+(COUNTIF(K408:M425,$B440)+COUNTIF(K408:M425,$B440&amp;" ~*")&gt;0)+(COUNTIF(O408:Q425,$B440)+COUNTIF(O408:Q425,$B440&amp;" ~*")&gt;0)+(COUNTIF(S408:U425,$B440)+COUNTIF(S408:U425,$B440&amp;" ~*")&gt;0)+(COUNTIF(W408:W425,$B440)+COUNTIF(W408:W425,$B440&amp;" ~*")&gt;0)+(COUNTIF(Y408:Y425,$B440)+COUNTIF(Y408:Y425,$B440&amp;" ~*")&gt;0))</f>
        <v/>
      </c>
      <c r="AC440" s="38">
        <f>IF($B440="","",(IFERROR(INDEX(Setup!$G$33:$G$40,MATCH(C440,Setup!$B$33:$B$40,0)),0)=1)*(COUNTIF(C408:E425,$B440)+COUNTIF(C408:E425,$B440&amp;" ~*")&gt;0)+(IFERROR(INDEX(Setup!$G$33:$G$40,MATCH(G440,Setup!$B$33:$B$40,0)),0)=1)*(COUNTIF(G408:I425,$B440)+COUNTIF(G408:I425,$B440&amp;" ~*")&gt;0)+(IFERROR(INDEX(Setup!$G$33:$G$40,MATCH(K440,Setup!$B$33:$B$40,0)),0)=1)*(COUNTIF(K408:M425,$B440)+COUNTIF(K408:M425,$B440&amp;" ~*")&gt;0)+(IFERROR(INDEX(Setup!$G$33:$G$40,MATCH(O440,Setup!$B$33:$B$40,0)),0)=1)*(COUNTIF(O408:Q425,$B440)+COUNTIF(O408:Q425,$B440&amp;" ~*")&gt;0)+(IFERROR(INDEX(Setup!$G$33:$G$40,MATCH(S440,Setup!$B$33:$B$40,0)),0)=1)*(COUNTIF(S408:U425,$B440)+COUNTIF(S408:U425,$B440&amp;" ~*")&gt;0)+(IFERROR(INDEX(Setup!$G$33:$G$40,MATCH(W440,Setup!$B$33:$B$40,0)),0)=1)*(COUNTIF(W408:W425,$B440)+COUNTIF(W408:W425,$B440&amp;" ~*")&gt;0)+(IFERROR(INDEX(Setup!$G$33:$G$40,MATCH(Y440,Setup!$B$33:$B$40,0)),0)=1)*(COUNTIF(Y408:Y425,$B440)+COUNTIF(Y408:Y425,$B440&amp;" ~*")&gt;0))</f>
        <v/>
      </c>
    </row>
    <row r="441" ht="15" customHeight="1">
      <c r="A441" t="n">
        <v>9</v>
      </c>
      <c r="B441" s="35">
        <f>IF(Setup!$B$20="","",Setup!$B$20)</f>
        <v/>
      </c>
      <c r="C441" s="98" t="n"/>
      <c r="D441" s="99" t="n"/>
      <c r="E441" s="99" t="n"/>
      <c r="F441" s="100" t="n"/>
      <c r="G441" s="98" t="n"/>
      <c r="H441" s="99" t="n"/>
      <c r="I441" s="99" t="n"/>
      <c r="J441" s="100" t="n"/>
      <c r="K441" s="98" t="n"/>
      <c r="L441" s="99" t="n"/>
      <c r="M441" s="99" t="n"/>
      <c r="N441" s="100" t="n"/>
      <c r="O441" s="98" t="n"/>
      <c r="P441" s="99" t="n"/>
      <c r="Q441" s="99" t="n"/>
      <c r="R441" s="100" t="n"/>
      <c r="S441" s="98" t="n"/>
      <c r="T441" s="99" t="n"/>
      <c r="U441" s="99" t="n"/>
      <c r="V441" s="100" t="n"/>
      <c r="W441" s="98" t="n"/>
      <c r="X441" s="100" t="n"/>
      <c r="Y441" s="98" t="n"/>
      <c r="Z441" s="100" t="n"/>
      <c r="AB441" s="101">
        <f>IF($B441="","",(COUNTIF(C408:E425,$B441)+COUNTIF(C408:E425,$B441&amp;" ~*")&gt;0)+(COUNTIF(G408:I425,$B441)+COUNTIF(G408:I425,$B441&amp;" ~*")&gt;0)+(COUNTIF(K408:M425,$B441)+COUNTIF(K408:M425,$B441&amp;" ~*")&gt;0)+(COUNTIF(O408:Q425,$B441)+COUNTIF(O408:Q425,$B441&amp;" ~*")&gt;0)+(COUNTIF(S408:U425,$B441)+COUNTIF(S408:U425,$B441&amp;" ~*")&gt;0)+(COUNTIF(W408:W425,$B441)+COUNTIF(W408:W425,$B441&amp;" ~*")&gt;0)+(COUNTIF(Y408:Y425,$B441)+COUNTIF(Y408:Y425,$B441&amp;" ~*")&gt;0))</f>
        <v/>
      </c>
      <c r="AC441" s="36">
        <f>IF($B441="","",(IFERROR(INDEX(Setup!$G$33:$G$40,MATCH(C441,Setup!$B$33:$B$40,0)),0)=1)*(COUNTIF(C408:E425,$B441)+COUNTIF(C408:E425,$B441&amp;" ~*")&gt;0)+(IFERROR(INDEX(Setup!$G$33:$G$40,MATCH(G441,Setup!$B$33:$B$40,0)),0)=1)*(COUNTIF(G408:I425,$B441)+COUNTIF(G408:I425,$B441&amp;" ~*")&gt;0)+(IFERROR(INDEX(Setup!$G$33:$G$40,MATCH(K441,Setup!$B$33:$B$40,0)),0)=1)*(COUNTIF(K408:M425,$B441)+COUNTIF(K408:M425,$B441&amp;" ~*")&gt;0)+(IFERROR(INDEX(Setup!$G$33:$G$40,MATCH(O441,Setup!$B$33:$B$40,0)),0)=1)*(COUNTIF(O408:Q425,$B441)+COUNTIF(O408:Q425,$B441&amp;" ~*")&gt;0)+(IFERROR(INDEX(Setup!$G$33:$G$40,MATCH(S441,Setup!$B$33:$B$40,0)),0)=1)*(COUNTIF(S408:U425,$B441)+COUNTIF(S408:U425,$B441&amp;" ~*")&gt;0)+(IFERROR(INDEX(Setup!$G$33:$G$40,MATCH(W441,Setup!$B$33:$B$40,0)),0)=1)*(COUNTIF(W408:W425,$B441)+COUNTIF(W408:W425,$B441&amp;" ~*")&gt;0)+(IFERROR(INDEX(Setup!$G$33:$G$40,MATCH(Y441,Setup!$B$33:$B$40,0)),0)=1)*(COUNTIF(Y408:Y425,$B441)+COUNTIF(Y408:Y425,$B441&amp;" ~*")&gt;0))</f>
        <v/>
      </c>
    </row>
    <row r="442" ht="15" customHeight="1">
      <c r="A442" t="n">
        <v>9</v>
      </c>
      <c r="B442" s="37">
        <f>IF(Setup!$B$21="","",Setup!$B$21)</f>
        <v/>
      </c>
      <c r="C442" s="102" t="n"/>
      <c r="D442" s="103" t="n"/>
      <c r="E442" s="103" t="n"/>
      <c r="F442" s="104" t="n"/>
      <c r="G442" s="102" t="n"/>
      <c r="H442" s="103" t="n"/>
      <c r="I442" s="103" t="n"/>
      <c r="J442" s="104" t="n"/>
      <c r="K442" s="102" t="n"/>
      <c r="L442" s="103" t="n"/>
      <c r="M442" s="103" t="n"/>
      <c r="N442" s="104" t="n"/>
      <c r="O442" s="102" t="n"/>
      <c r="P442" s="103" t="n"/>
      <c r="Q442" s="103" t="n"/>
      <c r="R442" s="104" t="n"/>
      <c r="S442" s="102" t="n"/>
      <c r="T442" s="103" t="n"/>
      <c r="U442" s="103" t="n"/>
      <c r="V442" s="104" t="n"/>
      <c r="W442" s="102" t="n"/>
      <c r="X442" s="104" t="n"/>
      <c r="Y442" s="102" t="n"/>
      <c r="Z442" s="104" t="n"/>
      <c r="AB442" s="105">
        <f>IF($B442="","",(COUNTIF(C408:E425,$B442)+COUNTIF(C408:E425,$B442&amp;" ~*")&gt;0)+(COUNTIF(G408:I425,$B442)+COUNTIF(G408:I425,$B442&amp;" ~*")&gt;0)+(COUNTIF(K408:M425,$B442)+COUNTIF(K408:M425,$B442&amp;" ~*")&gt;0)+(COUNTIF(O408:Q425,$B442)+COUNTIF(O408:Q425,$B442&amp;" ~*")&gt;0)+(COUNTIF(S408:U425,$B442)+COUNTIF(S408:U425,$B442&amp;" ~*")&gt;0)+(COUNTIF(W408:W425,$B442)+COUNTIF(W408:W425,$B442&amp;" ~*")&gt;0)+(COUNTIF(Y408:Y425,$B442)+COUNTIF(Y408:Y425,$B442&amp;" ~*")&gt;0))</f>
        <v/>
      </c>
      <c r="AC442" s="38">
        <f>IF($B442="","",(IFERROR(INDEX(Setup!$G$33:$G$40,MATCH(C442,Setup!$B$33:$B$40,0)),0)=1)*(COUNTIF(C408:E425,$B442)+COUNTIF(C408:E425,$B442&amp;" ~*")&gt;0)+(IFERROR(INDEX(Setup!$G$33:$G$40,MATCH(G442,Setup!$B$33:$B$40,0)),0)=1)*(COUNTIF(G408:I425,$B442)+COUNTIF(G408:I425,$B442&amp;" ~*")&gt;0)+(IFERROR(INDEX(Setup!$G$33:$G$40,MATCH(K442,Setup!$B$33:$B$40,0)),0)=1)*(COUNTIF(K408:M425,$B442)+COUNTIF(K408:M425,$B442&amp;" ~*")&gt;0)+(IFERROR(INDEX(Setup!$G$33:$G$40,MATCH(O442,Setup!$B$33:$B$40,0)),0)=1)*(COUNTIF(O408:Q425,$B442)+COUNTIF(O408:Q425,$B442&amp;" ~*")&gt;0)+(IFERROR(INDEX(Setup!$G$33:$G$40,MATCH(S442,Setup!$B$33:$B$40,0)),0)=1)*(COUNTIF(S408:U425,$B442)+COUNTIF(S408:U425,$B442&amp;" ~*")&gt;0)+(IFERROR(INDEX(Setup!$G$33:$G$40,MATCH(W442,Setup!$B$33:$B$40,0)),0)=1)*(COUNTIF(W408:W425,$B442)+COUNTIF(W408:W425,$B442&amp;" ~*")&gt;0)+(IFERROR(INDEX(Setup!$G$33:$G$40,MATCH(Y442,Setup!$B$33:$B$40,0)),0)=1)*(COUNTIF(Y408:Y425,$B442)+COUNTIF(Y408:Y425,$B442&amp;" ~*")&gt;0))</f>
        <v/>
      </c>
    </row>
    <row r="443" ht="15" customHeight="1">
      <c r="A443" t="n">
        <v>9</v>
      </c>
      <c r="B443" s="35">
        <f>IF(Setup!$B$22="","",Setup!$B$22)</f>
        <v/>
      </c>
      <c r="C443" s="98" t="n"/>
      <c r="D443" s="99" t="n"/>
      <c r="E443" s="99" t="n"/>
      <c r="F443" s="100" t="n"/>
      <c r="G443" s="98" t="n"/>
      <c r="H443" s="99" t="n"/>
      <c r="I443" s="99" t="n"/>
      <c r="J443" s="100" t="n"/>
      <c r="K443" s="98" t="n"/>
      <c r="L443" s="99" t="n"/>
      <c r="M443" s="99" t="n"/>
      <c r="N443" s="100" t="n"/>
      <c r="O443" s="98" t="n"/>
      <c r="P443" s="99" t="n"/>
      <c r="Q443" s="99" t="n"/>
      <c r="R443" s="100" t="n"/>
      <c r="S443" s="98" t="n"/>
      <c r="T443" s="99" t="n"/>
      <c r="U443" s="99" t="n"/>
      <c r="V443" s="100" t="n"/>
      <c r="W443" s="98" t="n"/>
      <c r="X443" s="100" t="n"/>
      <c r="Y443" s="98" t="n"/>
      <c r="Z443" s="100" t="n"/>
      <c r="AB443" s="101">
        <f>IF($B443="","",(COUNTIF(C408:E425,$B443)+COUNTIF(C408:E425,$B443&amp;" ~*")&gt;0)+(COUNTIF(G408:I425,$B443)+COUNTIF(G408:I425,$B443&amp;" ~*")&gt;0)+(COUNTIF(K408:M425,$B443)+COUNTIF(K408:M425,$B443&amp;" ~*")&gt;0)+(COUNTIF(O408:Q425,$B443)+COUNTIF(O408:Q425,$B443&amp;" ~*")&gt;0)+(COUNTIF(S408:U425,$B443)+COUNTIF(S408:U425,$B443&amp;" ~*")&gt;0)+(COUNTIF(W408:W425,$B443)+COUNTIF(W408:W425,$B443&amp;" ~*")&gt;0)+(COUNTIF(Y408:Y425,$B443)+COUNTIF(Y408:Y425,$B443&amp;" ~*")&gt;0))</f>
        <v/>
      </c>
      <c r="AC443" s="36">
        <f>IF($B443="","",(IFERROR(INDEX(Setup!$G$33:$G$40,MATCH(C443,Setup!$B$33:$B$40,0)),0)=1)*(COUNTIF(C408:E425,$B443)+COUNTIF(C408:E425,$B443&amp;" ~*")&gt;0)+(IFERROR(INDEX(Setup!$G$33:$G$40,MATCH(G443,Setup!$B$33:$B$40,0)),0)=1)*(COUNTIF(G408:I425,$B443)+COUNTIF(G408:I425,$B443&amp;" ~*")&gt;0)+(IFERROR(INDEX(Setup!$G$33:$G$40,MATCH(K443,Setup!$B$33:$B$40,0)),0)=1)*(COUNTIF(K408:M425,$B443)+COUNTIF(K408:M425,$B443&amp;" ~*")&gt;0)+(IFERROR(INDEX(Setup!$G$33:$G$40,MATCH(O443,Setup!$B$33:$B$40,0)),0)=1)*(COUNTIF(O408:Q425,$B443)+COUNTIF(O408:Q425,$B443&amp;" ~*")&gt;0)+(IFERROR(INDEX(Setup!$G$33:$G$40,MATCH(S443,Setup!$B$33:$B$40,0)),0)=1)*(COUNTIF(S408:U425,$B443)+COUNTIF(S408:U425,$B443&amp;" ~*")&gt;0)+(IFERROR(INDEX(Setup!$G$33:$G$40,MATCH(W443,Setup!$B$33:$B$40,0)),0)=1)*(COUNTIF(W408:W425,$B443)+COUNTIF(W408:W425,$B443&amp;" ~*")&gt;0)+(IFERROR(INDEX(Setup!$G$33:$G$40,MATCH(Y443,Setup!$B$33:$B$40,0)),0)=1)*(COUNTIF(Y408:Y425,$B443)+COUNTIF(Y408:Y425,$B443&amp;" ~*")&gt;0))</f>
        <v/>
      </c>
    </row>
    <row r="444" ht="15" customHeight="1">
      <c r="A444" t="n">
        <v>9</v>
      </c>
      <c r="B444" s="37">
        <f>IF(Setup!$B$23="","",Setup!$B$23)</f>
        <v/>
      </c>
      <c r="C444" s="102" t="n"/>
      <c r="D444" s="103" t="n"/>
      <c r="E444" s="103" t="n"/>
      <c r="F444" s="104" t="n"/>
      <c r="G444" s="102" t="n"/>
      <c r="H444" s="103" t="n"/>
      <c r="I444" s="103" t="n"/>
      <c r="J444" s="104" t="n"/>
      <c r="K444" s="102" t="n"/>
      <c r="L444" s="103" t="n"/>
      <c r="M444" s="103" t="n"/>
      <c r="N444" s="104" t="n"/>
      <c r="O444" s="102" t="n"/>
      <c r="P444" s="103" t="n"/>
      <c r="Q444" s="103" t="n"/>
      <c r="R444" s="104" t="n"/>
      <c r="S444" s="102" t="n"/>
      <c r="T444" s="103" t="n"/>
      <c r="U444" s="103" t="n"/>
      <c r="V444" s="104" t="n"/>
      <c r="W444" s="102" t="n"/>
      <c r="X444" s="104" t="n"/>
      <c r="Y444" s="102" t="n"/>
      <c r="Z444" s="104" t="n"/>
      <c r="AB444" s="105">
        <f>IF($B444="","",(COUNTIF(C408:E425,$B444)+COUNTIF(C408:E425,$B444&amp;" ~*")&gt;0)+(COUNTIF(G408:I425,$B444)+COUNTIF(G408:I425,$B444&amp;" ~*")&gt;0)+(COUNTIF(K408:M425,$B444)+COUNTIF(K408:M425,$B444&amp;" ~*")&gt;0)+(COUNTIF(O408:Q425,$B444)+COUNTIF(O408:Q425,$B444&amp;" ~*")&gt;0)+(COUNTIF(S408:U425,$B444)+COUNTIF(S408:U425,$B444&amp;" ~*")&gt;0)+(COUNTIF(W408:W425,$B444)+COUNTIF(W408:W425,$B444&amp;" ~*")&gt;0)+(COUNTIF(Y408:Y425,$B444)+COUNTIF(Y408:Y425,$B444&amp;" ~*")&gt;0))</f>
        <v/>
      </c>
      <c r="AC444" s="38">
        <f>IF($B444="","",(IFERROR(INDEX(Setup!$G$33:$G$40,MATCH(C444,Setup!$B$33:$B$40,0)),0)=1)*(COUNTIF(C408:E425,$B444)+COUNTIF(C408:E425,$B444&amp;" ~*")&gt;0)+(IFERROR(INDEX(Setup!$G$33:$G$40,MATCH(G444,Setup!$B$33:$B$40,0)),0)=1)*(COUNTIF(G408:I425,$B444)+COUNTIF(G408:I425,$B444&amp;" ~*")&gt;0)+(IFERROR(INDEX(Setup!$G$33:$G$40,MATCH(K444,Setup!$B$33:$B$40,0)),0)=1)*(COUNTIF(K408:M425,$B444)+COUNTIF(K408:M425,$B444&amp;" ~*")&gt;0)+(IFERROR(INDEX(Setup!$G$33:$G$40,MATCH(O444,Setup!$B$33:$B$40,0)),0)=1)*(COUNTIF(O408:Q425,$B444)+COUNTIF(O408:Q425,$B444&amp;" ~*")&gt;0)+(IFERROR(INDEX(Setup!$G$33:$G$40,MATCH(S444,Setup!$B$33:$B$40,0)),0)=1)*(COUNTIF(S408:U425,$B444)+COUNTIF(S408:U425,$B444&amp;" ~*")&gt;0)+(IFERROR(INDEX(Setup!$G$33:$G$40,MATCH(W444,Setup!$B$33:$B$40,0)),0)=1)*(COUNTIF(W408:W425,$B444)+COUNTIF(W408:W425,$B444&amp;" ~*")&gt;0)+(IFERROR(INDEX(Setup!$G$33:$G$40,MATCH(Y444,Setup!$B$33:$B$40,0)),0)=1)*(COUNTIF(Y408:Y425,$B444)+COUNTIF(Y408:Y425,$B444&amp;" ~*")&gt;0))</f>
        <v/>
      </c>
    </row>
    <row r="445" ht="15" customHeight="1">
      <c r="A445" t="n">
        <v>9</v>
      </c>
      <c r="B445" s="35">
        <f>IF(Setup!$B$24="","",Setup!$B$24)</f>
        <v/>
      </c>
      <c r="C445" s="98" t="n"/>
      <c r="D445" s="99" t="n"/>
      <c r="E445" s="99" t="n"/>
      <c r="F445" s="100" t="n"/>
      <c r="G445" s="98" t="n"/>
      <c r="H445" s="99" t="n"/>
      <c r="I445" s="99" t="n"/>
      <c r="J445" s="100" t="n"/>
      <c r="K445" s="98" t="n"/>
      <c r="L445" s="99" t="n"/>
      <c r="M445" s="99" t="n"/>
      <c r="N445" s="100" t="n"/>
      <c r="O445" s="98" t="n"/>
      <c r="P445" s="99" t="n"/>
      <c r="Q445" s="99" t="n"/>
      <c r="R445" s="100" t="n"/>
      <c r="S445" s="98" t="n"/>
      <c r="T445" s="99" t="n"/>
      <c r="U445" s="99" t="n"/>
      <c r="V445" s="100" t="n"/>
      <c r="W445" s="98" t="n"/>
      <c r="X445" s="100" t="n"/>
      <c r="Y445" s="98" t="n"/>
      <c r="Z445" s="100" t="n"/>
      <c r="AB445" s="101">
        <f>IF($B445="","",(COUNTIF(C408:E425,$B445)+COUNTIF(C408:E425,$B445&amp;" ~*")&gt;0)+(COUNTIF(G408:I425,$B445)+COUNTIF(G408:I425,$B445&amp;" ~*")&gt;0)+(COUNTIF(K408:M425,$B445)+COUNTIF(K408:M425,$B445&amp;" ~*")&gt;0)+(COUNTIF(O408:Q425,$B445)+COUNTIF(O408:Q425,$B445&amp;" ~*")&gt;0)+(COUNTIF(S408:U425,$B445)+COUNTIF(S408:U425,$B445&amp;" ~*")&gt;0)+(COUNTIF(W408:W425,$B445)+COUNTIF(W408:W425,$B445&amp;" ~*")&gt;0)+(COUNTIF(Y408:Y425,$B445)+COUNTIF(Y408:Y425,$B445&amp;" ~*")&gt;0))</f>
        <v/>
      </c>
      <c r="AC445" s="36">
        <f>IF($B445="","",(IFERROR(INDEX(Setup!$G$33:$G$40,MATCH(C445,Setup!$B$33:$B$40,0)),0)=1)*(COUNTIF(C408:E425,$B445)+COUNTIF(C408:E425,$B445&amp;" ~*")&gt;0)+(IFERROR(INDEX(Setup!$G$33:$G$40,MATCH(G445,Setup!$B$33:$B$40,0)),0)=1)*(COUNTIF(G408:I425,$B445)+COUNTIF(G408:I425,$B445&amp;" ~*")&gt;0)+(IFERROR(INDEX(Setup!$G$33:$G$40,MATCH(K445,Setup!$B$33:$B$40,0)),0)=1)*(COUNTIF(K408:M425,$B445)+COUNTIF(K408:M425,$B445&amp;" ~*")&gt;0)+(IFERROR(INDEX(Setup!$G$33:$G$40,MATCH(O445,Setup!$B$33:$B$40,0)),0)=1)*(COUNTIF(O408:Q425,$B445)+COUNTIF(O408:Q425,$B445&amp;" ~*")&gt;0)+(IFERROR(INDEX(Setup!$G$33:$G$40,MATCH(S445,Setup!$B$33:$B$40,0)),0)=1)*(COUNTIF(S408:U425,$B445)+COUNTIF(S408:U425,$B445&amp;" ~*")&gt;0)+(IFERROR(INDEX(Setup!$G$33:$G$40,MATCH(W445,Setup!$B$33:$B$40,0)),0)=1)*(COUNTIF(W408:W425,$B445)+COUNTIF(W408:W425,$B445&amp;" ~*")&gt;0)+(IFERROR(INDEX(Setup!$G$33:$G$40,MATCH(Y445,Setup!$B$33:$B$40,0)),0)=1)*(COUNTIF(Y408:Y425,$B445)+COUNTIF(Y408:Y425,$B445&amp;" ~*")&gt;0))</f>
        <v/>
      </c>
    </row>
    <row r="446" ht="15" customHeight="1">
      <c r="A446" t="n">
        <v>9</v>
      </c>
      <c r="B446" s="37">
        <f>IF(Setup!$B$25="","",Setup!$B$25)</f>
        <v/>
      </c>
      <c r="C446" s="102" t="n"/>
      <c r="D446" s="103" t="n"/>
      <c r="E446" s="103" t="n"/>
      <c r="F446" s="104" t="n"/>
      <c r="G446" s="102" t="n"/>
      <c r="H446" s="103" t="n"/>
      <c r="I446" s="103" t="n"/>
      <c r="J446" s="104" t="n"/>
      <c r="K446" s="102" t="n"/>
      <c r="L446" s="103" t="n"/>
      <c r="M446" s="103" t="n"/>
      <c r="N446" s="104" t="n"/>
      <c r="O446" s="102" t="n"/>
      <c r="P446" s="103" t="n"/>
      <c r="Q446" s="103" t="n"/>
      <c r="R446" s="104" t="n"/>
      <c r="S446" s="102" t="n"/>
      <c r="T446" s="103" t="n"/>
      <c r="U446" s="103" t="n"/>
      <c r="V446" s="104" t="n"/>
      <c r="W446" s="102" t="n"/>
      <c r="X446" s="104" t="n"/>
      <c r="Y446" s="102" t="n"/>
      <c r="Z446" s="104" t="n"/>
      <c r="AB446" s="105">
        <f>IF($B446="","",(COUNTIF(C408:E425,$B446)+COUNTIF(C408:E425,$B446&amp;" ~*")&gt;0)+(COUNTIF(G408:I425,$B446)+COUNTIF(G408:I425,$B446&amp;" ~*")&gt;0)+(COUNTIF(K408:M425,$B446)+COUNTIF(K408:M425,$B446&amp;" ~*")&gt;0)+(COUNTIF(O408:Q425,$B446)+COUNTIF(O408:Q425,$B446&amp;" ~*")&gt;0)+(COUNTIF(S408:U425,$B446)+COUNTIF(S408:U425,$B446&amp;" ~*")&gt;0)+(COUNTIF(W408:W425,$B446)+COUNTIF(W408:W425,$B446&amp;" ~*")&gt;0)+(COUNTIF(Y408:Y425,$B446)+COUNTIF(Y408:Y425,$B446&amp;" ~*")&gt;0))</f>
        <v/>
      </c>
      <c r="AC446" s="38">
        <f>IF($B446="","",(IFERROR(INDEX(Setup!$G$33:$G$40,MATCH(C446,Setup!$B$33:$B$40,0)),0)=1)*(COUNTIF(C408:E425,$B446)+COUNTIF(C408:E425,$B446&amp;" ~*")&gt;0)+(IFERROR(INDEX(Setup!$G$33:$G$40,MATCH(G446,Setup!$B$33:$B$40,0)),0)=1)*(COUNTIF(G408:I425,$B446)+COUNTIF(G408:I425,$B446&amp;" ~*")&gt;0)+(IFERROR(INDEX(Setup!$G$33:$G$40,MATCH(K446,Setup!$B$33:$B$40,0)),0)=1)*(COUNTIF(K408:M425,$B446)+COUNTIF(K408:M425,$B446&amp;" ~*")&gt;0)+(IFERROR(INDEX(Setup!$G$33:$G$40,MATCH(O446,Setup!$B$33:$B$40,0)),0)=1)*(COUNTIF(O408:Q425,$B446)+COUNTIF(O408:Q425,$B446&amp;" ~*")&gt;0)+(IFERROR(INDEX(Setup!$G$33:$G$40,MATCH(S446,Setup!$B$33:$B$40,0)),0)=1)*(COUNTIF(S408:U425,$B446)+COUNTIF(S408:U425,$B446&amp;" ~*")&gt;0)+(IFERROR(INDEX(Setup!$G$33:$G$40,MATCH(W446,Setup!$B$33:$B$40,0)),0)=1)*(COUNTIF(W408:W425,$B446)+COUNTIF(W408:W425,$B446&amp;" ~*")&gt;0)+(IFERROR(INDEX(Setup!$G$33:$G$40,MATCH(Y446,Setup!$B$33:$B$40,0)),0)=1)*(COUNTIF(Y408:Y425,$B446)+COUNTIF(Y408:Y425,$B446&amp;" ~*")&gt;0))</f>
        <v/>
      </c>
    </row>
    <row r="447" ht="15" customHeight="1">
      <c r="A447" t="n">
        <v>9</v>
      </c>
      <c r="B447" s="35">
        <f>IF(Setup!$B$26="","",Setup!$B$26)</f>
        <v/>
      </c>
      <c r="C447" s="98" t="n"/>
      <c r="D447" s="99" t="n"/>
      <c r="E447" s="99" t="n"/>
      <c r="F447" s="100" t="n"/>
      <c r="G447" s="98" t="n"/>
      <c r="H447" s="99" t="n"/>
      <c r="I447" s="99" t="n"/>
      <c r="J447" s="100" t="n"/>
      <c r="K447" s="98" t="n"/>
      <c r="L447" s="99" t="n"/>
      <c r="M447" s="99" t="n"/>
      <c r="N447" s="100" t="n"/>
      <c r="O447" s="98" t="n"/>
      <c r="P447" s="99" t="n"/>
      <c r="Q447" s="99" t="n"/>
      <c r="R447" s="100" t="n"/>
      <c r="S447" s="98" t="n"/>
      <c r="T447" s="99" t="n"/>
      <c r="U447" s="99" t="n"/>
      <c r="V447" s="100" t="n"/>
      <c r="W447" s="98" t="n"/>
      <c r="X447" s="100" t="n"/>
      <c r="Y447" s="98" t="n"/>
      <c r="Z447" s="100" t="n"/>
      <c r="AB447" s="101">
        <f>IF($B447="","",(COUNTIF(C408:E425,$B447)+COUNTIF(C408:E425,$B447&amp;" ~*")&gt;0)+(COUNTIF(G408:I425,$B447)+COUNTIF(G408:I425,$B447&amp;" ~*")&gt;0)+(COUNTIF(K408:M425,$B447)+COUNTIF(K408:M425,$B447&amp;" ~*")&gt;0)+(COUNTIF(O408:Q425,$B447)+COUNTIF(O408:Q425,$B447&amp;" ~*")&gt;0)+(COUNTIF(S408:U425,$B447)+COUNTIF(S408:U425,$B447&amp;" ~*")&gt;0)+(COUNTIF(W408:W425,$B447)+COUNTIF(W408:W425,$B447&amp;" ~*")&gt;0)+(COUNTIF(Y408:Y425,$B447)+COUNTIF(Y408:Y425,$B447&amp;" ~*")&gt;0))</f>
        <v/>
      </c>
      <c r="AC447" s="36">
        <f>IF($B447="","",(IFERROR(INDEX(Setup!$G$33:$G$40,MATCH(C447,Setup!$B$33:$B$40,0)),0)=1)*(COUNTIF(C408:E425,$B447)+COUNTIF(C408:E425,$B447&amp;" ~*")&gt;0)+(IFERROR(INDEX(Setup!$G$33:$G$40,MATCH(G447,Setup!$B$33:$B$40,0)),0)=1)*(COUNTIF(G408:I425,$B447)+COUNTIF(G408:I425,$B447&amp;" ~*")&gt;0)+(IFERROR(INDEX(Setup!$G$33:$G$40,MATCH(K447,Setup!$B$33:$B$40,0)),0)=1)*(COUNTIF(K408:M425,$B447)+COUNTIF(K408:M425,$B447&amp;" ~*")&gt;0)+(IFERROR(INDEX(Setup!$G$33:$G$40,MATCH(O447,Setup!$B$33:$B$40,0)),0)=1)*(COUNTIF(O408:Q425,$B447)+COUNTIF(O408:Q425,$B447&amp;" ~*")&gt;0)+(IFERROR(INDEX(Setup!$G$33:$G$40,MATCH(S447,Setup!$B$33:$B$40,0)),0)=1)*(COUNTIF(S408:U425,$B447)+COUNTIF(S408:U425,$B447&amp;" ~*")&gt;0)+(IFERROR(INDEX(Setup!$G$33:$G$40,MATCH(W447,Setup!$B$33:$B$40,0)),0)=1)*(COUNTIF(W408:W425,$B447)+COUNTIF(W408:W425,$B447&amp;" ~*")&gt;0)+(IFERROR(INDEX(Setup!$G$33:$G$40,MATCH(Y447,Setup!$B$33:$B$40,0)),0)=1)*(COUNTIF(Y408:Y425,$B447)+COUNTIF(Y408:Y425,$B447&amp;" ~*")&gt;0))</f>
        <v/>
      </c>
    </row>
    <row r="448" ht="15" customHeight="1">
      <c r="A448" t="n">
        <v>9</v>
      </c>
      <c r="B448" s="37">
        <f>IF(Setup!$B$27="","",Setup!$B$27)</f>
        <v/>
      </c>
      <c r="C448" s="102" t="n"/>
      <c r="D448" s="103" t="n"/>
      <c r="E448" s="103" t="n"/>
      <c r="F448" s="104" t="n"/>
      <c r="G448" s="102" t="n"/>
      <c r="H448" s="103" t="n"/>
      <c r="I448" s="103" t="n"/>
      <c r="J448" s="104" t="n"/>
      <c r="K448" s="102" t="n"/>
      <c r="L448" s="103" t="n"/>
      <c r="M448" s="103" t="n"/>
      <c r="N448" s="104" t="n"/>
      <c r="O448" s="102" t="n"/>
      <c r="P448" s="103" t="n"/>
      <c r="Q448" s="103" t="n"/>
      <c r="R448" s="104" t="n"/>
      <c r="S448" s="102" t="n"/>
      <c r="T448" s="103" t="n"/>
      <c r="U448" s="103" t="n"/>
      <c r="V448" s="104" t="n"/>
      <c r="W448" s="102" t="n"/>
      <c r="X448" s="104" t="n"/>
      <c r="Y448" s="102" t="n"/>
      <c r="Z448" s="104" t="n"/>
      <c r="AB448" s="105">
        <f>IF($B448="","",(COUNTIF(C408:E425,$B448)+COUNTIF(C408:E425,$B448&amp;" ~*")&gt;0)+(COUNTIF(G408:I425,$B448)+COUNTIF(G408:I425,$B448&amp;" ~*")&gt;0)+(COUNTIF(K408:M425,$B448)+COUNTIF(K408:M425,$B448&amp;" ~*")&gt;0)+(COUNTIF(O408:Q425,$B448)+COUNTIF(O408:Q425,$B448&amp;" ~*")&gt;0)+(COUNTIF(S408:U425,$B448)+COUNTIF(S408:U425,$B448&amp;" ~*")&gt;0)+(COUNTIF(W408:W425,$B448)+COUNTIF(W408:W425,$B448&amp;" ~*")&gt;0)+(COUNTIF(Y408:Y425,$B448)+COUNTIF(Y408:Y425,$B448&amp;" ~*")&gt;0))</f>
        <v/>
      </c>
      <c r="AC448" s="38">
        <f>IF($B448="","",(IFERROR(INDEX(Setup!$G$33:$G$40,MATCH(C448,Setup!$B$33:$B$40,0)),0)=1)*(COUNTIF(C408:E425,$B448)+COUNTIF(C408:E425,$B448&amp;" ~*")&gt;0)+(IFERROR(INDEX(Setup!$G$33:$G$40,MATCH(G448,Setup!$B$33:$B$40,0)),0)=1)*(COUNTIF(G408:I425,$B448)+COUNTIF(G408:I425,$B448&amp;" ~*")&gt;0)+(IFERROR(INDEX(Setup!$G$33:$G$40,MATCH(K448,Setup!$B$33:$B$40,0)),0)=1)*(COUNTIF(K408:M425,$B448)+COUNTIF(K408:M425,$B448&amp;" ~*")&gt;0)+(IFERROR(INDEX(Setup!$G$33:$G$40,MATCH(O448,Setup!$B$33:$B$40,0)),0)=1)*(COUNTIF(O408:Q425,$B448)+COUNTIF(O408:Q425,$B448&amp;" ~*")&gt;0)+(IFERROR(INDEX(Setup!$G$33:$G$40,MATCH(S448,Setup!$B$33:$B$40,0)),0)=1)*(COUNTIF(S408:U425,$B448)+COUNTIF(S408:U425,$B448&amp;" ~*")&gt;0)+(IFERROR(INDEX(Setup!$G$33:$G$40,MATCH(W448,Setup!$B$33:$B$40,0)),0)=1)*(COUNTIF(W408:W425,$B448)+COUNTIF(W408:W425,$B448&amp;" ~*")&gt;0)+(IFERROR(INDEX(Setup!$G$33:$G$40,MATCH(Y448,Setup!$B$33:$B$40,0)),0)=1)*(COUNTIF(Y408:Y425,$B448)+COUNTIF(Y408:Y425,$B448&amp;" ~*")&gt;0))</f>
        <v/>
      </c>
    </row>
    <row r="449" ht="15" customHeight="1">
      <c r="A449" t="n">
        <v>9</v>
      </c>
      <c r="B449" s="35">
        <f>IF(Setup!$B$28="","",Setup!$B$28)</f>
        <v/>
      </c>
      <c r="C449" s="98" t="n"/>
      <c r="D449" s="99" t="n"/>
      <c r="E449" s="99" t="n"/>
      <c r="F449" s="100" t="n"/>
      <c r="G449" s="98" t="n"/>
      <c r="H449" s="99" t="n"/>
      <c r="I449" s="99" t="n"/>
      <c r="J449" s="100" t="n"/>
      <c r="K449" s="98" t="n"/>
      <c r="L449" s="99" t="n"/>
      <c r="M449" s="99" t="n"/>
      <c r="N449" s="100" t="n"/>
      <c r="O449" s="98" t="n"/>
      <c r="P449" s="99" t="n"/>
      <c r="Q449" s="99" t="n"/>
      <c r="R449" s="100" t="n"/>
      <c r="S449" s="98" t="n"/>
      <c r="T449" s="99" t="n"/>
      <c r="U449" s="99" t="n"/>
      <c r="V449" s="100" t="n"/>
      <c r="W449" s="98" t="n"/>
      <c r="X449" s="100" t="n"/>
      <c r="Y449" s="98" t="n"/>
      <c r="Z449" s="100" t="n"/>
      <c r="AB449" s="101">
        <f>IF($B449="","",(COUNTIF(C408:E425,$B449)+COUNTIF(C408:E425,$B449&amp;" ~*")&gt;0)+(COUNTIF(G408:I425,$B449)+COUNTIF(G408:I425,$B449&amp;" ~*")&gt;0)+(COUNTIF(K408:M425,$B449)+COUNTIF(K408:M425,$B449&amp;" ~*")&gt;0)+(COUNTIF(O408:Q425,$B449)+COUNTIF(O408:Q425,$B449&amp;" ~*")&gt;0)+(COUNTIF(S408:U425,$B449)+COUNTIF(S408:U425,$B449&amp;" ~*")&gt;0)+(COUNTIF(W408:W425,$B449)+COUNTIF(W408:W425,$B449&amp;" ~*")&gt;0)+(COUNTIF(Y408:Y425,$B449)+COUNTIF(Y408:Y425,$B449&amp;" ~*")&gt;0))</f>
        <v/>
      </c>
      <c r="AC449" s="36">
        <f>IF($B449="","",(IFERROR(INDEX(Setup!$G$33:$G$40,MATCH(C449,Setup!$B$33:$B$40,0)),0)=1)*(COUNTIF(C408:E425,$B449)+COUNTIF(C408:E425,$B449&amp;" ~*")&gt;0)+(IFERROR(INDEX(Setup!$G$33:$G$40,MATCH(G449,Setup!$B$33:$B$40,0)),0)=1)*(COUNTIF(G408:I425,$B449)+COUNTIF(G408:I425,$B449&amp;" ~*")&gt;0)+(IFERROR(INDEX(Setup!$G$33:$G$40,MATCH(K449,Setup!$B$33:$B$40,0)),0)=1)*(COUNTIF(K408:M425,$B449)+COUNTIF(K408:M425,$B449&amp;" ~*")&gt;0)+(IFERROR(INDEX(Setup!$G$33:$G$40,MATCH(O449,Setup!$B$33:$B$40,0)),0)=1)*(COUNTIF(O408:Q425,$B449)+COUNTIF(O408:Q425,$B449&amp;" ~*")&gt;0)+(IFERROR(INDEX(Setup!$G$33:$G$40,MATCH(S449,Setup!$B$33:$B$40,0)),0)=1)*(COUNTIF(S408:U425,$B449)+COUNTIF(S408:U425,$B449&amp;" ~*")&gt;0)+(IFERROR(INDEX(Setup!$G$33:$G$40,MATCH(W449,Setup!$B$33:$B$40,0)),0)=1)*(COUNTIF(W408:W425,$B449)+COUNTIF(W408:W425,$B449&amp;" ~*")&gt;0)+(IFERROR(INDEX(Setup!$G$33:$G$40,MATCH(Y449,Setup!$B$33:$B$40,0)),0)=1)*(COUNTIF(Y408:Y425,$B449)+COUNTIF(Y408:Y425,$B449&amp;" ~*")&gt;0))</f>
        <v/>
      </c>
    </row>
    <row r="450" ht="15" customHeight="1">
      <c r="A450" t="n">
        <v>9</v>
      </c>
      <c r="B450" s="37">
        <f>IF(Setup!$B$29="","",Setup!$B$29)</f>
        <v/>
      </c>
      <c r="C450" s="102" t="n"/>
      <c r="D450" s="103" t="n"/>
      <c r="E450" s="103" t="n"/>
      <c r="F450" s="104" t="n"/>
      <c r="G450" s="102" t="n"/>
      <c r="H450" s="103" t="n"/>
      <c r="I450" s="103" t="n"/>
      <c r="J450" s="104" t="n"/>
      <c r="K450" s="102" t="n"/>
      <c r="L450" s="103" t="n"/>
      <c r="M450" s="103" t="n"/>
      <c r="N450" s="104" t="n"/>
      <c r="O450" s="102" t="n"/>
      <c r="P450" s="103" t="n"/>
      <c r="Q450" s="103" t="n"/>
      <c r="R450" s="104" t="n"/>
      <c r="S450" s="102" t="n"/>
      <c r="T450" s="103" t="n"/>
      <c r="U450" s="103" t="n"/>
      <c r="V450" s="104" t="n"/>
      <c r="W450" s="102" t="n"/>
      <c r="X450" s="104" t="n"/>
      <c r="Y450" s="102" t="n"/>
      <c r="Z450" s="104" t="n"/>
      <c r="AB450" s="105">
        <f>IF($B450="","",(COUNTIF(C408:E425,$B450)+COUNTIF(C408:E425,$B450&amp;" ~*")&gt;0)+(COUNTIF(G408:I425,$B450)+COUNTIF(G408:I425,$B450&amp;" ~*")&gt;0)+(COUNTIF(K408:M425,$B450)+COUNTIF(K408:M425,$B450&amp;" ~*")&gt;0)+(COUNTIF(O408:Q425,$B450)+COUNTIF(O408:Q425,$B450&amp;" ~*")&gt;0)+(COUNTIF(S408:U425,$B450)+COUNTIF(S408:U425,$B450&amp;" ~*")&gt;0)+(COUNTIF(W408:W425,$B450)+COUNTIF(W408:W425,$B450&amp;" ~*")&gt;0)+(COUNTIF(Y408:Y425,$B450)+COUNTIF(Y408:Y425,$B450&amp;" ~*")&gt;0))</f>
        <v/>
      </c>
      <c r="AC450" s="38">
        <f>IF($B450="","",(IFERROR(INDEX(Setup!$G$33:$G$40,MATCH(C450,Setup!$B$33:$B$40,0)),0)=1)*(COUNTIF(C408:E425,$B450)+COUNTIF(C408:E425,$B450&amp;" ~*")&gt;0)+(IFERROR(INDEX(Setup!$G$33:$G$40,MATCH(G450,Setup!$B$33:$B$40,0)),0)=1)*(COUNTIF(G408:I425,$B450)+COUNTIF(G408:I425,$B450&amp;" ~*")&gt;0)+(IFERROR(INDEX(Setup!$G$33:$G$40,MATCH(K450,Setup!$B$33:$B$40,0)),0)=1)*(COUNTIF(K408:M425,$B450)+COUNTIF(K408:M425,$B450&amp;" ~*")&gt;0)+(IFERROR(INDEX(Setup!$G$33:$G$40,MATCH(O450,Setup!$B$33:$B$40,0)),0)=1)*(COUNTIF(O408:Q425,$B450)+COUNTIF(O408:Q425,$B450&amp;" ~*")&gt;0)+(IFERROR(INDEX(Setup!$G$33:$G$40,MATCH(S450,Setup!$B$33:$B$40,0)),0)=1)*(COUNTIF(S408:U425,$B450)+COUNTIF(S408:U425,$B450&amp;" ~*")&gt;0)+(IFERROR(INDEX(Setup!$G$33:$G$40,MATCH(W450,Setup!$B$33:$B$40,0)),0)=1)*(COUNTIF(W408:W425,$B450)+COUNTIF(W408:W425,$B450&amp;" ~*")&gt;0)+(IFERROR(INDEX(Setup!$G$33:$G$40,MATCH(Y450,Setup!$B$33:$B$40,0)),0)=1)*(COUNTIF(Y408:Y425,$B450)+COUNTIF(Y408:Y425,$B450&amp;" ~*")&gt;0))</f>
        <v/>
      </c>
    </row>
    <row r="451" ht="16" customHeight="1">
      <c r="A451" t="n">
        <v>9</v>
      </c>
      <c r="B451" s="106" t="inlineStr">
        <is>
          <t>Available people</t>
        </is>
      </c>
      <c r="C451" s="107">
        <f>COUNTIFS(Setup!$E$6:$E$29,"Y",Setup!$B$6:$B$29,"?*")-SUMPRODUCT(COUNTIF(C427:C450,Setup!$F$33:$F$40))</f>
        <v/>
      </c>
      <c r="D451" s="107" t="n"/>
      <c r="E451" s="107" t="n"/>
      <c r="F451" s="107" t="n"/>
      <c r="G451" s="107">
        <f>COUNTIFS(Setup!$E$6:$E$29,"Y",Setup!$B$6:$B$29,"?*")-SUMPRODUCT(COUNTIF(G427:G450,Setup!$F$33:$F$40))</f>
        <v/>
      </c>
      <c r="H451" s="107" t="n"/>
      <c r="I451" s="107" t="n"/>
      <c r="J451" s="107" t="n"/>
      <c r="K451" s="107">
        <f>COUNTIFS(Setup!$E$6:$E$29,"Y",Setup!$B$6:$B$29,"?*")-SUMPRODUCT(COUNTIF(K427:K450,Setup!$F$33:$F$40))</f>
        <v/>
      </c>
      <c r="L451" s="107" t="n"/>
      <c r="M451" s="107" t="n"/>
      <c r="N451" s="107" t="n"/>
      <c r="O451" s="107">
        <f>COUNTIFS(Setup!$E$6:$E$29,"Y",Setup!$B$6:$B$29,"?*")-SUMPRODUCT(COUNTIF(O427:O450,Setup!$F$33:$F$40))</f>
        <v/>
      </c>
      <c r="P451" s="107" t="n"/>
      <c r="Q451" s="107" t="n"/>
      <c r="R451" s="107" t="n"/>
      <c r="S451" s="107">
        <f>COUNTIFS(Setup!$E$6:$E$29,"Y",Setup!$B$6:$B$29,"?*")-SUMPRODUCT(COUNTIF(S427:S450,Setup!$F$33:$F$40))</f>
        <v/>
      </c>
      <c r="T451" s="107" t="n"/>
      <c r="U451" s="107" t="n"/>
      <c r="V451" s="107" t="n"/>
      <c r="W451" s="107">
        <f>COUNTIFS(Setup!$E$6:$E$29,"Y",Setup!$B$6:$B$29,"?*")-SUMPRODUCT(COUNTIF(W427:W450,Setup!$F$33:$F$40))</f>
        <v/>
      </c>
      <c r="X451" s="107" t="n"/>
      <c r="Y451" s="107">
        <f>COUNTIFS(Setup!$E$6:$E$29,"Y",Setup!$B$6:$B$29,"?*")-SUMPRODUCT(COUNTIF(Y427:Y450,Setup!$F$33:$F$40))</f>
        <v/>
      </c>
      <c r="Z451" s="107" t="n"/>
      <c r="AB451" s="108">
        <f>SUM(AB427:AB450)</f>
        <v/>
      </c>
      <c r="AC451" s="109">
        <f>SUM(AC427:AC450)</f>
        <v/>
      </c>
    </row>
    <row r="452" ht="30" customHeight="1">
      <c r="A452" t="n">
        <v>9</v>
      </c>
      <c r="B452" s="110" t="inlineStr">
        <is>
          <t>Week notes</t>
        </is>
      </c>
      <c r="C452" s="111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112" t="n"/>
      <c r="R452" s="112" t="n"/>
      <c r="S452" s="112" t="n"/>
      <c r="T452" s="112" t="n"/>
      <c r="U452" s="112" t="n"/>
      <c r="V452" s="112" t="n"/>
      <c r="W452" s="112" t="n"/>
      <c r="X452" s="112" t="n"/>
      <c r="Y452" s="112" t="n"/>
      <c r="Z452" s="113" t="n"/>
    </row>
    <row r="453" ht="8" customHeight="1">
      <c r="A453" t="n">
        <v>9</v>
      </c>
    </row>
    <row r="454" ht="8" customHeight="1">
      <c r="A454" t="n">
        <v>9</v>
      </c>
    </row>
    <row r="455" ht="24" customHeight="1">
      <c r="A455" t="n">
        <v>10</v>
      </c>
      <c r="B455" s="73">
        <f>"WEEK 10     "&amp;TEXT(C456,"ddd d mmm")&amp;"  –  "&amp;TEXT(C456+6,"ddd d mmm yyyy")</f>
        <v/>
      </c>
      <c r="S455" s="74">
        <f>IF(TODAY()&lt;C456,"FUTURE",IF(TODAY()&gt;C456+6,"PAST","THIS WEEK"))</f>
        <v/>
      </c>
      <c r="W455" s="75">
        <f>IF(AND(Engine!$B$8=$AC$3,Engine!$B$9=$A455),"◀ ACTIVE WEEK","")</f>
        <v/>
      </c>
      <c r="AA455" s="76" t="n"/>
      <c r="AB455" s="77" t="inlineStr">
        <is>
          <t>◀ Prev</t>
        </is>
      </c>
      <c r="AC455" s="77" t="inlineStr">
        <is>
          <t>Next ▶</t>
        </is>
      </c>
    </row>
    <row r="456" ht="18" customHeight="1">
      <c r="A456" t="n">
        <v>10</v>
      </c>
      <c r="B456" s="78" t="inlineStr">
        <is>
          <t>DUTY</t>
        </is>
      </c>
      <c r="C456" s="79">
        <f>$AC$2+7*($A456-1)</f>
        <v/>
      </c>
      <c r="D456" s="80" t="n"/>
      <c r="E456" s="80" t="n"/>
      <c r="F456" s="81" t="n"/>
      <c r="G456" s="79">
        <f>C456+1</f>
        <v/>
      </c>
      <c r="H456" s="80" t="n"/>
      <c r="I456" s="80" t="n"/>
      <c r="J456" s="81" t="n"/>
      <c r="K456" s="79">
        <f>C456+2</f>
        <v/>
      </c>
      <c r="L456" s="80" t="n"/>
      <c r="M456" s="80" t="n"/>
      <c r="N456" s="81" t="n"/>
      <c r="O456" s="79">
        <f>C456+3</f>
        <v/>
      </c>
      <c r="P456" s="80" t="n"/>
      <c r="Q456" s="80" t="n"/>
      <c r="R456" s="81" t="n"/>
      <c r="S456" s="79">
        <f>C456+4</f>
        <v/>
      </c>
      <c r="T456" s="80" t="n"/>
      <c r="U456" s="80" t="n"/>
      <c r="V456" s="81" t="n"/>
      <c r="W456" s="82">
        <f>C456+5</f>
        <v/>
      </c>
      <c r="X456" s="83" t="n"/>
      <c r="Y456" s="82">
        <f>C456+6</f>
        <v/>
      </c>
      <c r="Z456" s="83" t="n"/>
      <c r="AB456" s="72" t="inlineStr">
        <is>
          <t>Gaps</t>
        </is>
      </c>
      <c r="AC456" s="72" t="inlineStr">
        <is>
          <t>Cover</t>
        </is>
      </c>
    </row>
    <row r="457" ht="14" customHeight="1">
      <c r="A457" t="n">
        <v>10</v>
      </c>
      <c r="B457" s="84" t="inlineStr">
        <is>
          <t>(from Setup)</t>
        </is>
      </c>
      <c r="C457" s="85" t="inlineStr">
        <is>
          <t>1</t>
        </is>
      </c>
      <c r="D457" s="85" t="inlineStr">
        <is>
          <t>2</t>
        </is>
      </c>
      <c r="E457" s="85" t="inlineStr">
        <is>
          <t>3</t>
        </is>
      </c>
      <c r="F457" s="85" t="inlineStr">
        <is>
          <t>Notes</t>
        </is>
      </c>
      <c r="G457" s="85" t="inlineStr">
        <is>
          <t>1</t>
        </is>
      </c>
      <c r="H457" s="85" t="inlineStr">
        <is>
          <t>2</t>
        </is>
      </c>
      <c r="I457" s="85" t="inlineStr">
        <is>
          <t>3</t>
        </is>
      </c>
      <c r="J457" s="85" t="inlineStr">
        <is>
          <t>Notes</t>
        </is>
      </c>
      <c r="K457" s="85" t="inlineStr">
        <is>
          <t>1</t>
        </is>
      </c>
      <c r="L457" s="85" t="inlineStr">
        <is>
          <t>2</t>
        </is>
      </c>
      <c r="M457" s="85" t="inlineStr">
        <is>
          <t>3</t>
        </is>
      </c>
      <c r="N457" s="85" t="inlineStr">
        <is>
          <t>Notes</t>
        </is>
      </c>
      <c r="O457" s="85" t="inlineStr">
        <is>
          <t>1</t>
        </is>
      </c>
      <c r="P457" s="85" t="inlineStr">
        <is>
          <t>2</t>
        </is>
      </c>
      <c r="Q457" s="85" t="inlineStr">
        <is>
          <t>3</t>
        </is>
      </c>
      <c r="R457" s="85" t="inlineStr">
        <is>
          <t>Notes</t>
        </is>
      </c>
      <c r="S457" s="85" t="inlineStr">
        <is>
          <t>1</t>
        </is>
      </c>
      <c r="T457" s="85" t="inlineStr">
        <is>
          <t>2</t>
        </is>
      </c>
      <c r="U457" s="85" t="inlineStr">
        <is>
          <t>3</t>
        </is>
      </c>
      <c r="V457" s="85" t="inlineStr">
        <is>
          <t>Notes</t>
        </is>
      </c>
      <c r="W457" s="85" t="inlineStr">
        <is>
          <t>Cover</t>
        </is>
      </c>
      <c r="X457" s="85" t="inlineStr">
        <is>
          <t>Notes</t>
        </is>
      </c>
      <c r="Y457" s="85" t="inlineStr">
        <is>
          <t>Cover</t>
        </is>
      </c>
      <c r="Z457" s="85" t="inlineStr">
        <is>
          <t>Notes</t>
        </is>
      </c>
      <c r="AB457" s="86" t="inlineStr">
        <is>
          <t>weekdays short</t>
        </is>
      </c>
      <c r="AC457" s="87" t="inlineStr"/>
    </row>
    <row r="458" ht="17" customHeight="1">
      <c r="A458" t="n">
        <v>10</v>
      </c>
      <c r="B458" s="24">
        <f>IF(Setup!$K$6="","",Setup!$K$6)</f>
        <v/>
      </c>
      <c r="C458" s="88" t="n"/>
      <c r="D458" s="88" t="n"/>
      <c r="E458" s="88" t="n"/>
      <c r="F458" s="89" t="n"/>
      <c r="G458" s="88" t="n"/>
      <c r="H458" s="88" t="n"/>
      <c r="I458" s="88" t="n"/>
      <c r="J458" s="89" t="n"/>
      <c r="K458" s="88" t="n"/>
      <c r="L458" s="88" t="n"/>
      <c r="M458" s="88" t="n"/>
      <c r="N458" s="89" t="n"/>
      <c r="O458" s="88" t="n"/>
      <c r="P458" s="88" t="n"/>
      <c r="Q458" s="88" t="n"/>
      <c r="R458" s="89" t="n"/>
      <c r="S458" s="88" t="n"/>
      <c r="T458" s="88" t="n"/>
      <c r="U458" s="88" t="n"/>
      <c r="V458" s="89" t="n"/>
      <c r="W458" s="88" t="n"/>
      <c r="X458" s="89" t="n"/>
      <c r="Y458" s="88" t="n"/>
      <c r="Z458" s="89" t="n"/>
      <c r="AB458" s="25">
        <f>IF($B458="","",(COUNTIF(C458:E458,"?*")&lt;N(INDEX(Setup!$L$6:$L$23,1)))+(COUNTIF(G458:I458,"?*")&lt;N(INDEX(Setup!$L$6:$L$23,1)))+(COUNTIF(K458:M458,"?*")&lt;N(INDEX(Setup!$L$6:$L$23,1)))+(COUNTIF(O458:Q458,"?*")&lt;N(INDEX(Setup!$L$6:$L$23,1)))+(COUNTIF(S458:U458,"?*")&lt;N(INDEX(Setup!$L$6:$L$23,1)))+((W458="")*(INDEX(Setup!$M$6:$M$23,1)="Y"))+((Y458="")*(INDEX(Setup!$M$6:$M$23,1)="Y")))</f>
        <v/>
      </c>
      <c r="AC458" s="90">
        <f>IF($B458="","",IF(AB458=0,"✓ covered","⚠ "&amp;AB458&amp;IF(AB458=1," gap"," gaps")))</f>
        <v/>
      </c>
    </row>
    <row r="459" ht="17" customHeight="1">
      <c r="A459" t="n">
        <v>10</v>
      </c>
      <c r="B459" s="29">
        <f>IF(Setup!$K$7="","",Setup!$K$7)</f>
        <v/>
      </c>
      <c r="C459" s="88" t="n"/>
      <c r="D459" s="88" t="n"/>
      <c r="E459" s="88" t="n"/>
      <c r="F459" s="89" t="n"/>
      <c r="G459" s="88" t="n"/>
      <c r="H459" s="88" t="n"/>
      <c r="I459" s="88" t="n"/>
      <c r="J459" s="89" t="n"/>
      <c r="K459" s="88" t="n"/>
      <c r="L459" s="88" t="n"/>
      <c r="M459" s="88" t="n"/>
      <c r="N459" s="89" t="n"/>
      <c r="O459" s="88" t="n"/>
      <c r="P459" s="88" t="n"/>
      <c r="Q459" s="88" t="n"/>
      <c r="R459" s="89" t="n"/>
      <c r="S459" s="88" t="n"/>
      <c r="T459" s="88" t="n"/>
      <c r="U459" s="88" t="n"/>
      <c r="V459" s="89" t="n"/>
      <c r="W459" s="88" t="n"/>
      <c r="X459" s="89" t="n"/>
      <c r="Y459" s="88" t="n"/>
      <c r="Z459" s="89" t="n"/>
      <c r="AB459" s="30">
        <f>IF($B459="","",(COUNTIF(C459:E459,"?*")&lt;N(INDEX(Setup!$L$6:$L$23,2)))+(COUNTIF(G459:I459,"?*")&lt;N(INDEX(Setup!$L$6:$L$23,2)))+(COUNTIF(K459:M459,"?*")&lt;N(INDEX(Setup!$L$6:$L$23,2)))+(COUNTIF(O459:Q459,"?*")&lt;N(INDEX(Setup!$L$6:$L$23,2)))+(COUNTIF(S459:U459,"?*")&lt;N(INDEX(Setup!$L$6:$L$23,2)))+((W459="")*(INDEX(Setup!$M$6:$M$23,2)="Y"))+((Y459="")*(INDEX(Setup!$M$6:$M$23,2)="Y")))</f>
        <v/>
      </c>
      <c r="AC459" s="91">
        <f>IF($B459="","",IF(AB459=0,"✓ covered","⚠ "&amp;AB459&amp;IF(AB459=1," gap"," gaps")))</f>
        <v/>
      </c>
    </row>
    <row r="460" ht="17" customHeight="1">
      <c r="A460" t="n">
        <v>10</v>
      </c>
      <c r="B460" s="24">
        <f>IF(Setup!$K$8="","",Setup!$K$8)</f>
        <v/>
      </c>
      <c r="C460" s="88" t="n"/>
      <c r="D460" s="88" t="n"/>
      <c r="E460" s="88" t="n"/>
      <c r="F460" s="89" t="n"/>
      <c r="G460" s="88" t="n"/>
      <c r="H460" s="88" t="n"/>
      <c r="I460" s="88" t="n"/>
      <c r="J460" s="89" t="n"/>
      <c r="K460" s="88" t="n"/>
      <c r="L460" s="88" t="n"/>
      <c r="M460" s="88" t="n"/>
      <c r="N460" s="89" t="n"/>
      <c r="O460" s="88" t="n"/>
      <c r="P460" s="88" t="n"/>
      <c r="Q460" s="88" t="n"/>
      <c r="R460" s="89" t="n"/>
      <c r="S460" s="88" t="n"/>
      <c r="T460" s="88" t="n"/>
      <c r="U460" s="88" t="n"/>
      <c r="V460" s="89" t="n"/>
      <c r="W460" s="88" t="n"/>
      <c r="X460" s="89" t="n"/>
      <c r="Y460" s="88" t="n"/>
      <c r="Z460" s="89" t="n"/>
      <c r="AB460" s="25">
        <f>IF($B460="","",(COUNTIF(C460:E460,"?*")&lt;N(INDEX(Setup!$L$6:$L$23,3)))+(COUNTIF(G460:I460,"?*")&lt;N(INDEX(Setup!$L$6:$L$23,3)))+(COUNTIF(K460:M460,"?*")&lt;N(INDEX(Setup!$L$6:$L$23,3)))+(COUNTIF(O460:Q460,"?*")&lt;N(INDEX(Setup!$L$6:$L$23,3)))+(COUNTIF(S460:U460,"?*")&lt;N(INDEX(Setup!$L$6:$L$23,3)))+((W460="")*(INDEX(Setup!$M$6:$M$23,3)="Y"))+((Y460="")*(INDEX(Setup!$M$6:$M$23,3)="Y")))</f>
        <v/>
      </c>
      <c r="AC460" s="90">
        <f>IF($B460="","",IF(AB460=0,"✓ covered","⚠ "&amp;AB460&amp;IF(AB460=1," gap"," gaps")))</f>
        <v/>
      </c>
    </row>
    <row r="461" ht="17" customHeight="1">
      <c r="A461" t="n">
        <v>10</v>
      </c>
      <c r="B461" s="29">
        <f>IF(Setup!$K$9="","",Setup!$K$9)</f>
        <v/>
      </c>
      <c r="C461" s="88" t="n"/>
      <c r="D461" s="88" t="n"/>
      <c r="E461" s="88" t="n"/>
      <c r="F461" s="89" t="n"/>
      <c r="G461" s="88" t="n"/>
      <c r="H461" s="88" t="n"/>
      <c r="I461" s="88" t="n"/>
      <c r="J461" s="89" t="n"/>
      <c r="K461" s="88" t="n"/>
      <c r="L461" s="88" t="n"/>
      <c r="M461" s="88" t="n"/>
      <c r="N461" s="89" t="n"/>
      <c r="O461" s="88" t="n"/>
      <c r="P461" s="88" t="n"/>
      <c r="Q461" s="88" t="n"/>
      <c r="R461" s="89" t="n"/>
      <c r="S461" s="88" t="n"/>
      <c r="T461" s="88" t="n"/>
      <c r="U461" s="88" t="n"/>
      <c r="V461" s="89" t="n"/>
      <c r="W461" s="88" t="n"/>
      <c r="X461" s="89" t="n"/>
      <c r="Y461" s="88" t="n"/>
      <c r="Z461" s="89" t="n"/>
      <c r="AB461" s="30">
        <f>IF($B461="","",(COUNTIF(C461:E461,"?*")&lt;N(INDEX(Setup!$L$6:$L$23,4)))+(COUNTIF(G461:I461,"?*")&lt;N(INDEX(Setup!$L$6:$L$23,4)))+(COUNTIF(K461:M461,"?*")&lt;N(INDEX(Setup!$L$6:$L$23,4)))+(COUNTIF(O461:Q461,"?*")&lt;N(INDEX(Setup!$L$6:$L$23,4)))+(COUNTIF(S461:U461,"?*")&lt;N(INDEX(Setup!$L$6:$L$23,4)))+((W461="")*(INDEX(Setup!$M$6:$M$23,4)="Y"))+((Y461="")*(INDEX(Setup!$M$6:$M$23,4)="Y")))</f>
        <v/>
      </c>
      <c r="AC461" s="91">
        <f>IF($B461="","",IF(AB461=0,"✓ covered","⚠ "&amp;AB461&amp;IF(AB461=1," gap"," gaps")))</f>
        <v/>
      </c>
    </row>
    <row r="462" ht="17" customHeight="1">
      <c r="A462" t="n">
        <v>10</v>
      </c>
      <c r="B462" s="24">
        <f>IF(Setup!$K$10="","",Setup!$K$10)</f>
        <v/>
      </c>
      <c r="C462" s="88" t="n"/>
      <c r="D462" s="88" t="n"/>
      <c r="E462" s="88" t="n"/>
      <c r="F462" s="89" t="n"/>
      <c r="G462" s="88" t="n"/>
      <c r="H462" s="88" t="n"/>
      <c r="I462" s="88" t="n"/>
      <c r="J462" s="89" t="n"/>
      <c r="K462" s="88" t="n"/>
      <c r="L462" s="88" t="n"/>
      <c r="M462" s="88" t="n"/>
      <c r="N462" s="89" t="n"/>
      <c r="O462" s="88" t="n"/>
      <c r="P462" s="88" t="n"/>
      <c r="Q462" s="88" t="n"/>
      <c r="R462" s="89" t="n"/>
      <c r="S462" s="88" t="n"/>
      <c r="T462" s="88" t="n"/>
      <c r="U462" s="88" t="n"/>
      <c r="V462" s="89" t="n"/>
      <c r="W462" s="88" t="n"/>
      <c r="X462" s="89" t="n"/>
      <c r="Y462" s="88" t="n"/>
      <c r="Z462" s="89" t="n"/>
      <c r="AB462" s="25">
        <f>IF($B462="","",(COUNTIF(C462:E462,"?*")&lt;N(INDEX(Setup!$L$6:$L$23,5)))+(COUNTIF(G462:I462,"?*")&lt;N(INDEX(Setup!$L$6:$L$23,5)))+(COUNTIF(K462:M462,"?*")&lt;N(INDEX(Setup!$L$6:$L$23,5)))+(COUNTIF(O462:Q462,"?*")&lt;N(INDEX(Setup!$L$6:$L$23,5)))+(COUNTIF(S462:U462,"?*")&lt;N(INDEX(Setup!$L$6:$L$23,5)))+((W462="")*(INDEX(Setup!$M$6:$M$23,5)="Y"))+((Y462="")*(INDEX(Setup!$M$6:$M$23,5)="Y")))</f>
        <v/>
      </c>
      <c r="AC462" s="90">
        <f>IF($B462="","",IF(AB462=0,"✓ covered","⚠ "&amp;AB462&amp;IF(AB462=1," gap"," gaps")))</f>
        <v/>
      </c>
    </row>
    <row r="463" ht="17" customHeight="1">
      <c r="A463" t="n">
        <v>10</v>
      </c>
      <c r="B463" s="29">
        <f>IF(Setup!$K$11="","",Setup!$K$11)</f>
        <v/>
      </c>
      <c r="C463" s="88" t="n"/>
      <c r="D463" s="88" t="n"/>
      <c r="E463" s="88" t="n"/>
      <c r="F463" s="89" t="n"/>
      <c r="G463" s="88" t="n"/>
      <c r="H463" s="88" t="n"/>
      <c r="I463" s="88" t="n"/>
      <c r="J463" s="89" t="n"/>
      <c r="K463" s="88" t="n"/>
      <c r="L463" s="88" t="n"/>
      <c r="M463" s="88" t="n"/>
      <c r="N463" s="89" t="n"/>
      <c r="O463" s="88" t="n"/>
      <c r="P463" s="88" t="n"/>
      <c r="Q463" s="88" t="n"/>
      <c r="R463" s="89" t="n"/>
      <c r="S463" s="88" t="n"/>
      <c r="T463" s="88" t="n"/>
      <c r="U463" s="88" t="n"/>
      <c r="V463" s="89" t="n"/>
      <c r="W463" s="88" t="n"/>
      <c r="X463" s="89" t="n"/>
      <c r="Y463" s="88" t="n"/>
      <c r="Z463" s="89" t="n"/>
      <c r="AB463" s="30">
        <f>IF($B463="","",(COUNTIF(C463:E463,"?*")&lt;N(INDEX(Setup!$L$6:$L$23,6)))+(COUNTIF(G463:I463,"?*")&lt;N(INDEX(Setup!$L$6:$L$23,6)))+(COUNTIF(K463:M463,"?*")&lt;N(INDEX(Setup!$L$6:$L$23,6)))+(COUNTIF(O463:Q463,"?*")&lt;N(INDEX(Setup!$L$6:$L$23,6)))+(COUNTIF(S463:U463,"?*")&lt;N(INDEX(Setup!$L$6:$L$23,6)))+((W463="")*(INDEX(Setup!$M$6:$M$23,6)="Y"))+((Y463="")*(INDEX(Setup!$M$6:$M$23,6)="Y")))</f>
        <v/>
      </c>
      <c r="AC463" s="91">
        <f>IF($B463="","",IF(AB463=0,"✓ covered","⚠ "&amp;AB463&amp;IF(AB463=1," gap"," gaps")))</f>
        <v/>
      </c>
    </row>
    <row r="464" ht="17" customHeight="1">
      <c r="A464" t="n">
        <v>10</v>
      </c>
      <c r="B464" s="24">
        <f>IF(Setup!$K$12="","",Setup!$K$12)</f>
        <v/>
      </c>
      <c r="C464" s="88" t="n"/>
      <c r="D464" s="88" t="n"/>
      <c r="E464" s="88" t="n"/>
      <c r="F464" s="89" t="n"/>
      <c r="G464" s="88" t="n"/>
      <c r="H464" s="88" t="n"/>
      <c r="I464" s="88" t="n"/>
      <c r="J464" s="89" t="n"/>
      <c r="K464" s="88" t="n"/>
      <c r="L464" s="88" t="n"/>
      <c r="M464" s="88" t="n"/>
      <c r="N464" s="89" t="n"/>
      <c r="O464" s="88" t="n"/>
      <c r="P464" s="88" t="n"/>
      <c r="Q464" s="88" t="n"/>
      <c r="R464" s="89" t="n"/>
      <c r="S464" s="88" t="n"/>
      <c r="T464" s="88" t="n"/>
      <c r="U464" s="88" t="n"/>
      <c r="V464" s="89" t="n"/>
      <c r="W464" s="88" t="n"/>
      <c r="X464" s="89" t="n"/>
      <c r="Y464" s="88" t="n"/>
      <c r="Z464" s="89" t="n"/>
      <c r="AB464" s="25">
        <f>IF($B464="","",(COUNTIF(C464:E464,"?*")&lt;N(INDEX(Setup!$L$6:$L$23,7)))+(COUNTIF(G464:I464,"?*")&lt;N(INDEX(Setup!$L$6:$L$23,7)))+(COUNTIF(K464:M464,"?*")&lt;N(INDEX(Setup!$L$6:$L$23,7)))+(COUNTIF(O464:Q464,"?*")&lt;N(INDEX(Setup!$L$6:$L$23,7)))+(COUNTIF(S464:U464,"?*")&lt;N(INDEX(Setup!$L$6:$L$23,7)))+((W464="")*(INDEX(Setup!$M$6:$M$23,7)="Y"))+((Y464="")*(INDEX(Setup!$M$6:$M$23,7)="Y")))</f>
        <v/>
      </c>
      <c r="AC464" s="90">
        <f>IF($B464="","",IF(AB464=0,"✓ covered","⚠ "&amp;AB464&amp;IF(AB464=1," gap"," gaps")))</f>
        <v/>
      </c>
    </row>
    <row r="465" ht="17" customHeight="1">
      <c r="A465" t="n">
        <v>10</v>
      </c>
      <c r="B465" s="29">
        <f>IF(Setup!$K$13="","",Setup!$K$13)</f>
        <v/>
      </c>
      <c r="C465" s="88" t="n"/>
      <c r="D465" s="88" t="n"/>
      <c r="E465" s="88" t="n"/>
      <c r="F465" s="89" t="n"/>
      <c r="G465" s="88" t="n"/>
      <c r="H465" s="88" t="n"/>
      <c r="I465" s="88" t="n"/>
      <c r="J465" s="89" t="n"/>
      <c r="K465" s="88" t="n"/>
      <c r="L465" s="88" t="n"/>
      <c r="M465" s="88" t="n"/>
      <c r="N465" s="89" t="n"/>
      <c r="O465" s="88" t="n"/>
      <c r="P465" s="88" t="n"/>
      <c r="Q465" s="88" t="n"/>
      <c r="R465" s="89" t="n"/>
      <c r="S465" s="88" t="n"/>
      <c r="T465" s="88" t="n"/>
      <c r="U465" s="88" t="n"/>
      <c r="V465" s="89" t="n"/>
      <c r="W465" s="88" t="n"/>
      <c r="X465" s="89" t="n"/>
      <c r="Y465" s="88" t="n"/>
      <c r="Z465" s="89" t="n"/>
      <c r="AB465" s="30">
        <f>IF($B465="","",(COUNTIF(C465:E465,"?*")&lt;N(INDEX(Setup!$L$6:$L$23,8)))+(COUNTIF(G465:I465,"?*")&lt;N(INDEX(Setup!$L$6:$L$23,8)))+(COUNTIF(K465:M465,"?*")&lt;N(INDEX(Setup!$L$6:$L$23,8)))+(COUNTIF(O465:Q465,"?*")&lt;N(INDEX(Setup!$L$6:$L$23,8)))+(COUNTIF(S465:U465,"?*")&lt;N(INDEX(Setup!$L$6:$L$23,8)))+((W465="")*(INDEX(Setup!$M$6:$M$23,8)="Y"))+((Y465="")*(INDEX(Setup!$M$6:$M$23,8)="Y")))</f>
        <v/>
      </c>
      <c r="AC465" s="91">
        <f>IF($B465="","",IF(AB465=0,"✓ covered","⚠ "&amp;AB465&amp;IF(AB465=1," gap"," gaps")))</f>
        <v/>
      </c>
    </row>
    <row r="466" ht="17" customHeight="1">
      <c r="A466" t="n">
        <v>10</v>
      </c>
      <c r="B466" s="24">
        <f>IF(Setup!$K$14="","",Setup!$K$14)</f>
        <v/>
      </c>
      <c r="C466" s="88" t="n"/>
      <c r="D466" s="88" t="n"/>
      <c r="E466" s="88" t="n"/>
      <c r="F466" s="89" t="n"/>
      <c r="G466" s="88" t="n"/>
      <c r="H466" s="88" t="n"/>
      <c r="I466" s="88" t="n"/>
      <c r="J466" s="89" t="n"/>
      <c r="K466" s="88" t="n"/>
      <c r="L466" s="88" t="n"/>
      <c r="M466" s="88" t="n"/>
      <c r="N466" s="89" t="n"/>
      <c r="O466" s="88" t="n"/>
      <c r="P466" s="88" t="n"/>
      <c r="Q466" s="88" t="n"/>
      <c r="R466" s="89" t="n"/>
      <c r="S466" s="88" t="n"/>
      <c r="T466" s="88" t="n"/>
      <c r="U466" s="88" t="n"/>
      <c r="V466" s="89" t="n"/>
      <c r="W466" s="88" t="n"/>
      <c r="X466" s="89" t="n"/>
      <c r="Y466" s="88" t="n"/>
      <c r="Z466" s="89" t="n"/>
      <c r="AB466" s="25">
        <f>IF($B466="","",(COUNTIF(C466:E466,"?*")&lt;N(INDEX(Setup!$L$6:$L$23,9)))+(COUNTIF(G466:I466,"?*")&lt;N(INDEX(Setup!$L$6:$L$23,9)))+(COUNTIF(K466:M466,"?*")&lt;N(INDEX(Setup!$L$6:$L$23,9)))+(COUNTIF(O466:Q466,"?*")&lt;N(INDEX(Setup!$L$6:$L$23,9)))+(COUNTIF(S466:U466,"?*")&lt;N(INDEX(Setup!$L$6:$L$23,9)))+((W466="")*(INDEX(Setup!$M$6:$M$23,9)="Y"))+((Y466="")*(INDEX(Setup!$M$6:$M$23,9)="Y")))</f>
        <v/>
      </c>
      <c r="AC466" s="90">
        <f>IF($B466="","",IF(AB466=0,"✓ covered","⚠ "&amp;AB466&amp;IF(AB466=1," gap"," gaps")))</f>
        <v/>
      </c>
    </row>
    <row r="467" ht="17" customHeight="1">
      <c r="A467" t="n">
        <v>10</v>
      </c>
      <c r="B467" s="29">
        <f>IF(Setup!$K$15="","",Setup!$K$15)</f>
        <v/>
      </c>
      <c r="C467" s="88" t="n"/>
      <c r="D467" s="88" t="n"/>
      <c r="E467" s="88" t="n"/>
      <c r="F467" s="89" t="n"/>
      <c r="G467" s="88" t="n"/>
      <c r="H467" s="88" t="n"/>
      <c r="I467" s="88" t="n"/>
      <c r="J467" s="89" t="n"/>
      <c r="K467" s="88" t="n"/>
      <c r="L467" s="88" t="n"/>
      <c r="M467" s="88" t="n"/>
      <c r="N467" s="89" t="n"/>
      <c r="O467" s="88" t="n"/>
      <c r="P467" s="88" t="n"/>
      <c r="Q467" s="88" t="n"/>
      <c r="R467" s="89" t="n"/>
      <c r="S467" s="88" t="n"/>
      <c r="T467" s="88" t="n"/>
      <c r="U467" s="88" t="n"/>
      <c r="V467" s="89" t="n"/>
      <c r="W467" s="88" t="n"/>
      <c r="X467" s="89" t="n"/>
      <c r="Y467" s="88" t="n"/>
      <c r="Z467" s="89" t="n"/>
      <c r="AB467" s="30">
        <f>IF($B467="","",(COUNTIF(C467:E467,"?*")&lt;N(INDEX(Setup!$L$6:$L$23,10)))+(COUNTIF(G467:I467,"?*")&lt;N(INDEX(Setup!$L$6:$L$23,10)))+(COUNTIF(K467:M467,"?*")&lt;N(INDEX(Setup!$L$6:$L$23,10)))+(COUNTIF(O467:Q467,"?*")&lt;N(INDEX(Setup!$L$6:$L$23,10)))+(COUNTIF(S467:U467,"?*")&lt;N(INDEX(Setup!$L$6:$L$23,10)))+((W467="")*(INDEX(Setup!$M$6:$M$23,10)="Y"))+((Y467="")*(INDEX(Setup!$M$6:$M$23,10)="Y")))</f>
        <v/>
      </c>
      <c r="AC467" s="91">
        <f>IF($B467="","",IF(AB467=0,"✓ covered","⚠ "&amp;AB467&amp;IF(AB467=1," gap"," gaps")))</f>
        <v/>
      </c>
    </row>
    <row r="468" ht="17" customHeight="1">
      <c r="A468" t="n">
        <v>10</v>
      </c>
      <c r="B468" s="24">
        <f>IF(Setup!$K$16="","",Setup!$K$16)</f>
        <v/>
      </c>
      <c r="C468" s="88" t="n"/>
      <c r="D468" s="88" t="n"/>
      <c r="E468" s="88" t="n"/>
      <c r="F468" s="89" t="n"/>
      <c r="G468" s="88" t="n"/>
      <c r="H468" s="88" t="n"/>
      <c r="I468" s="88" t="n"/>
      <c r="J468" s="89" t="n"/>
      <c r="K468" s="88" t="n"/>
      <c r="L468" s="88" t="n"/>
      <c r="M468" s="88" t="n"/>
      <c r="N468" s="89" t="n"/>
      <c r="O468" s="88" t="n"/>
      <c r="P468" s="88" t="n"/>
      <c r="Q468" s="88" t="n"/>
      <c r="R468" s="89" t="n"/>
      <c r="S468" s="88" t="n"/>
      <c r="T468" s="88" t="n"/>
      <c r="U468" s="88" t="n"/>
      <c r="V468" s="89" t="n"/>
      <c r="W468" s="88" t="n"/>
      <c r="X468" s="89" t="n"/>
      <c r="Y468" s="88" t="n"/>
      <c r="Z468" s="89" t="n"/>
      <c r="AB468" s="25">
        <f>IF($B468="","",(COUNTIF(C468:E468,"?*")&lt;N(INDEX(Setup!$L$6:$L$23,11)))+(COUNTIF(G468:I468,"?*")&lt;N(INDEX(Setup!$L$6:$L$23,11)))+(COUNTIF(K468:M468,"?*")&lt;N(INDEX(Setup!$L$6:$L$23,11)))+(COUNTIF(O468:Q468,"?*")&lt;N(INDEX(Setup!$L$6:$L$23,11)))+(COUNTIF(S468:U468,"?*")&lt;N(INDEX(Setup!$L$6:$L$23,11)))+((W468="")*(INDEX(Setup!$M$6:$M$23,11)="Y"))+((Y468="")*(INDEX(Setup!$M$6:$M$23,11)="Y")))</f>
        <v/>
      </c>
      <c r="AC468" s="90">
        <f>IF($B468="","",IF(AB468=0,"✓ covered","⚠ "&amp;AB468&amp;IF(AB468=1," gap"," gaps")))</f>
        <v/>
      </c>
    </row>
    <row r="469" ht="17" customHeight="1">
      <c r="A469" t="n">
        <v>10</v>
      </c>
      <c r="B469" s="29">
        <f>IF(Setup!$K$17="","",Setup!$K$17)</f>
        <v/>
      </c>
      <c r="C469" s="88" t="n"/>
      <c r="D469" s="88" t="n"/>
      <c r="E469" s="88" t="n"/>
      <c r="F469" s="89" t="n"/>
      <c r="G469" s="88" t="n"/>
      <c r="H469" s="88" t="n"/>
      <c r="I469" s="88" t="n"/>
      <c r="J469" s="89" t="n"/>
      <c r="K469" s="88" t="n"/>
      <c r="L469" s="88" t="n"/>
      <c r="M469" s="88" t="n"/>
      <c r="N469" s="89" t="n"/>
      <c r="O469" s="88" t="n"/>
      <c r="P469" s="88" t="n"/>
      <c r="Q469" s="88" t="n"/>
      <c r="R469" s="89" t="n"/>
      <c r="S469" s="88" t="n"/>
      <c r="T469" s="88" t="n"/>
      <c r="U469" s="88" t="n"/>
      <c r="V469" s="89" t="n"/>
      <c r="W469" s="88" t="n"/>
      <c r="X469" s="89" t="n"/>
      <c r="Y469" s="88" t="n"/>
      <c r="Z469" s="89" t="n"/>
      <c r="AB469" s="30">
        <f>IF($B469="","",(COUNTIF(C469:E469,"?*")&lt;N(INDEX(Setup!$L$6:$L$23,12)))+(COUNTIF(G469:I469,"?*")&lt;N(INDEX(Setup!$L$6:$L$23,12)))+(COUNTIF(K469:M469,"?*")&lt;N(INDEX(Setup!$L$6:$L$23,12)))+(COUNTIF(O469:Q469,"?*")&lt;N(INDEX(Setup!$L$6:$L$23,12)))+(COUNTIF(S469:U469,"?*")&lt;N(INDEX(Setup!$L$6:$L$23,12)))+((W469="")*(INDEX(Setup!$M$6:$M$23,12)="Y"))+((Y469="")*(INDEX(Setup!$M$6:$M$23,12)="Y")))</f>
        <v/>
      </c>
      <c r="AC469" s="91">
        <f>IF($B469="","",IF(AB469=0,"✓ covered","⚠ "&amp;AB469&amp;IF(AB469=1," gap"," gaps")))</f>
        <v/>
      </c>
    </row>
    <row r="470" ht="17" customHeight="1">
      <c r="A470" t="n">
        <v>10</v>
      </c>
      <c r="B470" s="24">
        <f>IF(Setup!$K$18="","",Setup!$K$18)</f>
        <v/>
      </c>
      <c r="C470" s="88" t="n"/>
      <c r="D470" s="88" t="n"/>
      <c r="E470" s="88" t="n"/>
      <c r="F470" s="89" t="n"/>
      <c r="G470" s="88" t="n"/>
      <c r="H470" s="88" t="n"/>
      <c r="I470" s="88" t="n"/>
      <c r="J470" s="89" t="n"/>
      <c r="K470" s="88" t="n"/>
      <c r="L470" s="88" t="n"/>
      <c r="M470" s="88" t="n"/>
      <c r="N470" s="89" t="n"/>
      <c r="O470" s="88" t="n"/>
      <c r="P470" s="88" t="n"/>
      <c r="Q470" s="88" t="n"/>
      <c r="R470" s="89" t="n"/>
      <c r="S470" s="88" t="n"/>
      <c r="T470" s="88" t="n"/>
      <c r="U470" s="88" t="n"/>
      <c r="V470" s="89" t="n"/>
      <c r="W470" s="88" t="n"/>
      <c r="X470" s="89" t="n"/>
      <c r="Y470" s="88" t="n"/>
      <c r="Z470" s="89" t="n"/>
      <c r="AB470" s="25">
        <f>IF($B470="","",(COUNTIF(C470:E470,"?*")&lt;N(INDEX(Setup!$L$6:$L$23,13)))+(COUNTIF(G470:I470,"?*")&lt;N(INDEX(Setup!$L$6:$L$23,13)))+(COUNTIF(K470:M470,"?*")&lt;N(INDEX(Setup!$L$6:$L$23,13)))+(COUNTIF(O470:Q470,"?*")&lt;N(INDEX(Setup!$L$6:$L$23,13)))+(COUNTIF(S470:U470,"?*")&lt;N(INDEX(Setup!$L$6:$L$23,13)))+((W470="")*(INDEX(Setup!$M$6:$M$23,13)="Y"))+((Y470="")*(INDEX(Setup!$M$6:$M$23,13)="Y")))</f>
        <v/>
      </c>
      <c r="AC470" s="90">
        <f>IF($B470="","",IF(AB470=0,"✓ covered","⚠ "&amp;AB470&amp;IF(AB470=1," gap"," gaps")))</f>
        <v/>
      </c>
    </row>
    <row r="471" ht="17" customHeight="1">
      <c r="A471" t="n">
        <v>10</v>
      </c>
      <c r="B471" s="29">
        <f>IF(Setup!$K$19="","",Setup!$K$19)</f>
        <v/>
      </c>
      <c r="C471" s="88" t="n"/>
      <c r="D471" s="88" t="n"/>
      <c r="E471" s="88" t="n"/>
      <c r="F471" s="89" t="n"/>
      <c r="G471" s="88" t="n"/>
      <c r="H471" s="88" t="n"/>
      <c r="I471" s="88" t="n"/>
      <c r="J471" s="89" t="n"/>
      <c r="K471" s="88" t="n"/>
      <c r="L471" s="88" t="n"/>
      <c r="M471" s="88" t="n"/>
      <c r="N471" s="89" t="n"/>
      <c r="O471" s="88" t="n"/>
      <c r="P471" s="88" t="n"/>
      <c r="Q471" s="88" t="n"/>
      <c r="R471" s="89" t="n"/>
      <c r="S471" s="88" t="n"/>
      <c r="T471" s="88" t="n"/>
      <c r="U471" s="88" t="n"/>
      <c r="V471" s="89" t="n"/>
      <c r="W471" s="88" t="n"/>
      <c r="X471" s="89" t="n"/>
      <c r="Y471" s="88" t="n"/>
      <c r="Z471" s="89" t="n"/>
      <c r="AB471" s="30">
        <f>IF($B471="","",(COUNTIF(C471:E471,"?*")&lt;N(INDEX(Setup!$L$6:$L$23,14)))+(COUNTIF(G471:I471,"?*")&lt;N(INDEX(Setup!$L$6:$L$23,14)))+(COUNTIF(K471:M471,"?*")&lt;N(INDEX(Setup!$L$6:$L$23,14)))+(COUNTIF(O471:Q471,"?*")&lt;N(INDEX(Setup!$L$6:$L$23,14)))+(COUNTIF(S471:U471,"?*")&lt;N(INDEX(Setup!$L$6:$L$23,14)))+((W471="")*(INDEX(Setup!$M$6:$M$23,14)="Y"))+((Y471="")*(INDEX(Setup!$M$6:$M$23,14)="Y")))</f>
        <v/>
      </c>
      <c r="AC471" s="91">
        <f>IF($B471="","",IF(AB471=0,"✓ covered","⚠ "&amp;AB471&amp;IF(AB471=1," gap"," gaps")))</f>
        <v/>
      </c>
    </row>
    <row r="472" ht="17" customHeight="1">
      <c r="A472" t="n">
        <v>10</v>
      </c>
      <c r="B472" s="24">
        <f>IF(Setup!$K$20="","",Setup!$K$20)</f>
        <v/>
      </c>
      <c r="C472" s="88" t="n"/>
      <c r="D472" s="88" t="n"/>
      <c r="E472" s="88" t="n"/>
      <c r="F472" s="89" t="n"/>
      <c r="G472" s="88" t="n"/>
      <c r="H472" s="88" t="n"/>
      <c r="I472" s="88" t="n"/>
      <c r="J472" s="89" t="n"/>
      <c r="K472" s="88" t="n"/>
      <c r="L472" s="88" t="n"/>
      <c r="M472" s="88" t="n"/>
      <c r="N472" s="89" t="n"/>
      <c r="O472" s="88" t="n"/>
      <c r="P472" s="88" t="n"/>
      <c r="Q472" s="88" t="n"/>
      <c r="R472" s="89" t="n"/>
      <c r="S472" s="88" t="n"/>
      <c r="T472" s="88" t="n"/>
      <c r="U472" s="88" t="n"/>
      <c r="V472" s="89" t="n"/>
      <c r="W472" s="88" t="n"/>
      <c r="X472" s="89" t="n"/>
      <c r="Y472" s="88" t="n"/>
      <c r="Z472" s="89" t="n"/>
      <c r="AB472" s="25">
        <f>IF($B472="","",(COUNTIF(C472:E472,"?*")&lt;N(INDEX(Setup!$L$6:$L$23,15)))+(COUNTIF(G472:I472,"?*")&lt;N(INDEX(Setup!$L$6:$L$23,15)))+(COUNTIF(K472:M472,"?*")&lt;N(INDEX(Setup!$L$6:$L$23,15)))+(COUNTIF(O472:Q472,"?*")&lt;N(INDEX(Setup!$L$6:$L$23,15)))+(COUNTIF(S472:U472,"?*")&lt;N(INDEX(Setup!$L$6:$L$23,15)))+((W472="")*(INDEX(Setup!$M$6:$M$23,15)="Y"))+((Y472="")*(INDEX(Setup!$M$6:$M$23,15)="Y")))</f>
        <v/>
      </c>
      <c r="AC472" s="90">
        <f>IF($B472="","",IF(AB472=0,"✓ covered","⚠ "&amp;AB472&amp;IF(AB472=1," gap"," gaps")))</f>
        <v/>
      </c>
    </row>
    <row r="473" ht="17" customHeight="1">
      <c r="A473" t="n">
        <v>10</v>
      </c>
      <c r="B473" s="29">
        <f>IF(Setup!$K$21="","",Setup!$K$21)</f>
        <v/>
      </c>
      <c r="C473" s="88" t="n"/>
      <c r="D473" s="88" t="n"/>
      <c r="E473" s="88" t="n"/>
      <c r="F473" s="89" t="n"/>
      <c r="G473" s="88" t="n"/>
      <c r="H473" s="88" t="n"/>
      <c r="I473" s="88" t="n"/>
      <c r="J473" s="89" t="n"/>
      <c r="K473" s="88" t="n"/>
      <c r="L473" s="88" t="n"/>
      <c r="M473" s="88" t="n"/>
      <c r="N473" s="89" t="n"/>
      <c r="O473" s="88" t="n"/>
      <c r="P473" s="88" t="n"/>
      <c r="Q473" s="88" t="n"/>
      <c r="R473" s="89" t="n"/>
      <c r="S473" s="88" t="n"/>
      <c r="T473" s="88" t="n"/>
      <c r="U473" s="88" t="n"/>
      <c r="V473" s="89" t="n"/>
      <c r="W473" s="88" t="n"/>
      <c r="X473" s="89" t="n"/>
      <c r="Y473" s="88" t="n"/>
      <c r="Z473" s="89" t="n"/>
      <c r="AB473" s="30">
        <f>IF($B473="","",(COUNTIF(C473:E473,"?*")&lt;N(INDEX(Setup!$L$6:$L$23,16)))+(COUNTIF(G473:I473,"?*")&lt;N(INDEX(Setup!$L$6:$L$23,16)))+(COUNTIF(K473:M473,"?*")&lt;N(INDEX(Setup!$L$6:$L$23,16)))+(COUNTIF(O473:Q473,"?*")&lt;N(INDEX(Setup!$L$6:$L$23,16)))+(COUNTIF(S473:U473,"?*")&lt;N(INDEX(Setup!$L$6:$L$23,16)))+((W473="")*(INDEX(Setup!$M$6:$M$23,16)="Y"))+((Y473="")*(INDEX(Setup!$M$6:$M$23,16)="Y")))</f>
        <v/>
      </c>
      <c r="AC473" s="91">
        <f>IF($B473="","",IF(AB473=0,"✓ covered","⚠ "&amp;AB473&amp;IF(AB473=1," gap"," gaps")))</f>
        <v/>
      </c>
    </row>
    <row r="474" ht="17" customHeight="1">
      <c r="A474" t="n">
        <v>10</v>
      </c>
      <c r="B474" s="24">
        <f>IF(Setup!$K$22="","",Setup!$K$22)</f>
        <v/>
      </c>
      <c r="C474" s="88" t="n"/>
      <c r="D474" s="88" t="n"/>
      <c r="E474" s="88" t="n"/>
      <c r="F474" s="89" t="n"/>
      <c r="G474" s="88" t="n"/>
      <c r="H474" s="88" t="n"/>
      <c r="I474" s="88" t="n"/>
      <c r="J474" s="89" t="n"/>
      <c r="K474" s="88" t="n"/>
      <c r="L474" s="88" t="n"/>
      <c r="M474" s="88" t="n"/>
      <c r="N474" s="89" t="n"/>
      <c r="O474" s="88" t="n"/>
      <c r="P474" s="88" t="n"/>
      <c r="Q474" s="88" t="n"/>
      <c r="R474" s="89" t="n"/>
      <c r="S474" s="88" t="n"/>
      <c r="T474" s="88" t="n"/>
      <c r="U474" s="88" t="n"/>
      <c r="V474" s="89" t="n"/>
      <c r="W474" s="88" t="n"/>
      <c r="X474" s="89" t="n"/>
      <c r="Y474" s="88" t="n"/>
      <c r="Z474" s="89" t="n"/>
      <c r="AB474" s="25">
        <f>IF($B474="","",(COUNTIF(C474:E474,"?*")&lt;N(INDEX(Setup!$L$6:$L$23,17)))+(COUNTIF(G474:I474,"?*")&lt;N(INDEX(Setup!$L$6:$L$23,17)))+(COUNTIF(K474:M474,"?*")&lt;N(INDEX(Setup!$L$6:$L$23,17)))+(COUNTIF(O474:Q474,"?*")&lt;N(INDEX(Setup!$L$6:$L$23,17)))+(COUNTIF(S474:U474,"?*")&lt;N(INDEX(Setup!$L$6:$L$23,17)))+((W474="")*(INDEX(Setup!$M$6:$M$23,17)="Y"))+((Y474="")*(INDEX(Setup!$M$6:$M$23,17)="Y")))</f>
        <v/>
      </c>
      <c r="AC474" s="90">
        <f>IF($B474="","",IF(AB474=0,"✓ covered","⚠ "&amp;AB474&amp;IF(AB474=1," gap"," gaps")))</f>
        <v/>
      </c>
    </row>
    <row r="475" ht="17" customHeight="1">
      <c r="A475" t="n">
        <v>10</v>
      </c>
      <c r="B475" s="29">
        <f>IF(Setup!$K$23="","",Setup!$K$23)</f>
        <v/>
      </c>
      <c r="C475" s="88" t="n"/>
      <c r="D475" s="88" t="n"/>
      <c r="E475" s="88" t="n"/>
      <c r="F475" s="89" t="n"/>
      <c r="G475" s="88" t="n"/>
      <c r="H475" s="88" t="n"/>
      <c r="I475" s="88" t="n"/>
      <c r="J475" s="89" t="n"/>
      <c r="K475" s="88" t="n"/>
      <c r="L475" s="88" t="n"/>
      <c r="M475" s="88" t="n"/>
      <c r="N475" s="89" t="n"/>
      <c r="O475" s="88" t="n"/>
      <c r="P475" s="88" t="n"/>
      <c r="Q475" s="88" t="n"/>
      <c r="R475" s="89" t="n"/>
      <c r="S475" s="88" t="n"/>
      <c r="T475" s="88" t="n"/>
      <c r="U475" s="88" t="n"/>
      <c r="V475" s="89" t="n"/>
      <c r="W475" s="88" t="n"/>
      <c r="X475" s="89" t="n"/>
      <c r="Y475" s="88" t="n"/>
      <c r="Z475" s="89" t="n"/>
      <c r="AB475" s="30">
        <f>IF($B475="","",(COUNTIF(C475:E475,"?*")&lt;N(INDEX(Setup!$L$6:$L$23,18)))+(COUNTIF(G475:I475,"?*")&lt;N(INDEX(Setup!$L$6:$L$23,18)))+(COUNTIF(K475:M475,"?*")&lt;N(INDEX(Setup!$L$6:$L$23,18)))+(COUNTIF(O475:Q475,"?*")&lt;N(INDEX(Setup!$L$6:$L$23,18)))+(COUNTIF(S475:U475,"?*")&lt;N(INDEX(Setup!$L$6:$L$23,18)))+((W475="")*(INDEX(Setup!$M$6:$M$23,18)="Y"))+((Y475="")*(INDEX(Setup!$M$6:$M$23,18)="Y")))</f>
        <v/>
      </c>
      <c r="AC475" s="91">
        <f>IF($B475="","",IF(AB475=0,"✓ covered","⚠ "&amp;AB475&amp;IF(AB475=1," gap"," gaps")))</f>
        <v/>
      </c>
    </row>
    <row r="476" ht="18" customHeight="1">
      <c r="A476" t="n">
        <v>10</v>
      </c>
      <c r="B476" s="78" t="inlineStr">
        <is>
          <t>TEAM AVAILABILITY</t>
        </is>
      </c>
      <c r="C476" s="92" t="inlineStr">
        <is>
          <t>Mon</t>
        </is>
      </c>
      <c r="D476" s="93" t="n"/>
      <c r="E476" s="93" t="n"/>
      <c r="F476" s="94" t="n"/>
      <c r="G476" s="92" t="inlineStr">
        <is>
          <t>Tue</t>
        </is>
      </c>
      <c r="H476" s="93" t="n"/>
      <c r="I476" s="93" t="n"/>
      <c r="J476" s="94" t="n"/>
      <c r="K476" s="92" t="inlineStr">
        <is>
          <t>Wed</t>
        </is>
      </c>
      <c r="L476" s="93" t="n"/>
      <c r="M476" s="93" t="n"/>
      <c r="N476" s="94" t="n"/>
      <c r="O476" s="92" t="inlineStr">
        <is>
          <t>Thu</t>
        </is>
      </c>
      <c r="P476" s="93" t="n"/>
      <c r="Q476" s="93" t="n"/>
      <c r="R476" s="94" t="n"/>
      <c r="S476" s="92" t="inlineStr">
        <is>
          <t>Fri</t>
        </is>
      </c>
      <c r="T476" s="93" t="n"/>
      <c r="U476" s="93" t="n"/>
      <c r="V476" s="94" t="n"/>
      <c r="W476" s="95" t="inlineStr">
        <is>
          <t>Sat</t>
        </is>
      </c>
      <c r="X476" s="96" t="n"/>
      <c r="Y476" s="95" t="inlineStr">
        <is>
          <t>Sun</t>
        </is>
      </c>
      <c r="Z476" s="96" t="n"/>
      <c r="AB476" s="97" t="inlineStr">
        <is>
          <t>Days rostered</t>
        </is>
      </c>
      <c r="AC476" s="97" t="inlineStr">
        <is>
          <t>Conflicts</t>
        </is>
      </c>
    </row>
    <row r="477" ht="15" customHeight="1">
      <c r="A477" t="n">
        <v>10</v>
      </c>
      <c r="B477" s="35">
        <f>IF(Setup!$B$6="","",Setup!$B$6)</f>
        <v/>
      </c>
      <c r="C477" s="98" t="n"/>
      <c r="D477" s="99" t="n"/>
      <c r="E477" s="99" t="n"/>
      <c r="F477" s="100" t="n"/>
      <c r="G477" s="98" t="n"/>
      <c r="H477" s="99" t="n"/>
      <c r="I477" s="99" t="n"/>
      <c r="J477" s="100" t="n"/>
      <c r="K477" s="98" t="n"/>
      <c r="L477" s="99" t="n"/>
      <c r="M477" s="99" t="n"/>
      <c r="N477" s="100" t="n"/>
      <c r="O477" s="98" t="n"/>
      <c r="P477" s="99" t="n"/>
      <c r="Q477" s="99" t="n"/>
      <c r="R477" s="100" t="n"/>
      <c r="S477" s="98" t="n"/>
      <c r="T477" s="99" t="n"/>
      <c r="U477" s="99" t="n"/>
      <c r="V477" s="100" t="n"/>
      <c r="W477" s="98" t="n"/>
      <c r="X477" s="100" t="n"/>
      <c r="Y477" s="98" t="n"/>
      <c r="Z477" s="100" t="n"/>
      <c r="AB477" s="101">
        <f>IF($B477="","",(COUNTIF(C458:E475,$B477)+COUNTIF(C458:E475,$B477&amp;" ~*")&gt;0)+(COUNTIF(G458:I475,$B477)+COUNTIF(G458:I475,$B477&amp;" ~*")&gt;0)+(COUNTIF(K458:M475,$B477)+COUNTIF(K458:M475,$B477&amp;" ~*")&gt;0)+(COUNTIF(O458:Q475,$B477)+COUNTIF(O458:Q475,$B477&amp;" ~*")&gt;0)+(COUNTIF(S458:U475,$B477)+COUNTIF(S458:U475,$B477&amp;" ~*")&gt;0)+(COUNTIF(W458:W475,$B477)+COUNTIF(W458:W475,$B477&amp;" ~*")&gt;0)+(COUNTIF(Y458:Y475,$B477)+COUNTIF(Y458:Y475,$B477&amp;" ~*")&gt;0))</f>
        <v/>
      </c>
      <c r="AC477" s="36">
        <f>IF($B477="","",(IFERROR(INDEX(Setup!$G$33:$G$40,MATCH(C477,Setup!$B$33:$B$40,0)),0)=1)*(COUNTIF(C458:E475,$B477)+COUNTIF(C458:E475,$B477&amp;" ~*")&gt;0)+(IFERROR(INDEX(Setup!$G$33:$G$40,MATCH(G477,Setup!$B$33:$B$40,0)),0)=1)*(COUNTIF(G458:I475,$B477)+COUNTIF(G458:I475,$B477&amp;" ~*")&gt;0)+(IFERROR(INDEX(Setup!$G$33:$G$40,MATCH(K477,Setup!$B$33:$B$40,0)),0)=1)*(COUNTIF(K458:M475,$B477)+COUNTIF(K458:M475,$B477&amp;" ~*")&gt;0)+(IFERROR(INDEX(Setup!$G$33:$G$40,MATCH(O477,Setup!$B$33:$B$40,0)),0)=1)*(COUNTIF(O458:Q475,$B477)+COUNTIF(O458:Q475,$B477&amp;" ~*")&gt;0)+(IFERROR(INDEX(Setup!$G$33:$G$40,MATCH(S477,Setup!$B$33:$B$40,0)),0)=1)*(COUNTIF(S458:U475,$B477)+COUNTIF(S458:U475,$B477&amp;" ~*")&gt;0)+(IFERROR(INDEX(Setup!$G$33:$G$40,MATCH(W477,Setup!$B$33:$B$40,0)),0)=1)*(COUNTIF(W458:W475,$B477)+COUNTIF(W458:W475,$B477&amp;" ~*")&gt;0)+(IFERROR(INDEX(Setup!$G$33:$G$40,MATCH(Y477,Setup!$B$33:$B$40,0)),0)=1)*(COUNTIF(Y458:Y475,$B477)+COUNTIF(Y458:Y475,$B477&amp;" ~*")&gt;0))</f>
        <v/>
      </c>
    </row>
    <row r="478" ht="15" customHeight="1">
      <c r="A478" t="n">
        <v>10</v>
      </c>
      <c r="B478" s="37">
        <f>IF(Setup!$B$7="","",Setup!$B$7)</f>
        <v/>
      </c>
      <c r="C478" s="102" t="n"/>
      <c r="D478" s="103" t="n"/>
      <c r="E478" s="103" t="n"/>
      <c r="F478" s="104" t="n"/>
      <c r="G478" s="102" t="n"/>
      <c r="H478" s="103" t="n"/>
      <c r="I478" s="103" t="n"/>
      <c r="J478" s="104" t="n"/>
      <c r="K478" s="102" t="n"/>
      <c r="L478" s="103" t="n"/>
      <c r="M478" s="103" t="n"/>
      <c r="N478" s="104" t="n"/>
      <c r="O478" s="102" t="n"/>
      <c r="P478" s="103" t="n"/>
      <c r="Q478" s="103" t="n"/>
      <c r="R478" s="104" t="n"/>
      <c r="S478" s="102" t="n"/>
      <c r="T478" s="103" t="n"/>
      <c r="U478" s="103" t="n"/>
      <c r="V478" s="104" t="n"/>
      <c r="W478" s="102" t="n"/>
      <c r="X478" s="104" t="n"/>
      <c r="Y478" s="102" t="n"/>
      <c r="Z478" s="104" t="n"/>
      <c r="AB478" s="105">
        <f>IF($B478="","",(COUNTIF(C458:E475,$B478)+COUNTIF(C458:E475,$B478&amp;" ~*")&gt;0)+(COUNTIF(G458:I475,$B478)+COUNTIF(G458:I475,$B478&amp;" ~*")&gt;0)+(COUNTIF(K458:M475,$B478)+COUNTIF(K458:M475,$B478&amp;" ~*")&gt;0)+(COUNTIF(O458:Q475,$B478)+COUNTIF(O458:Q475,$B478&amp;" ~*")&gt;0)+(COUNTIF(S458:U475,$B478)+COUNTIF(S458:U475,$B478&amp;" ~*")&gt;0)+(COUNTIF(W458:W475,$B478)+COUNTIF(W458:W475,$B478&amp;" ~*")&gt;0)+(COUNTIF(Y458:Y475,$B478)+COUNTIF(Y458:Y475,$B478&amp;" ~*")&gt;0))</f>
        <v/>
      </c>
      <c r="AC478" s="38">
        <f>IF($B478="","",(IFERROR(INDEX(Setup!$G$33:$G$40,MATCH(C478,Setup!$B$33:$B$40,0)),0)=1)*(COUNTIF(C458:E475,$B478)+COUNTIF(C458:E475,$B478&amp;" ~*")&gt;0)+(IFERROR(INDEX(Setup!$G$33:$G$40,MATCH(G478,Setup!$B$33:$B$40,0)),0)=1)*(COUNTIF(G458:I475,$B478)+COUNTIF(G458:I475,$B478&amp;" ~*")&gt;0)+(IFERROR(INDEX(Setup!$G$33:$G$40,MATCH(K478,Setup!$B$33:$B$40,0)),0)=1)*(COUNTIF(K458:M475,$B478)+COUNTIF(K458:M475,$B478&amp;" ~*")&gt;0)+(IFERROR(INDEX(Setup!$G$33:$G$40,MATCH(O478,Setup!$B$33:$B$40,0)),0)=1)*(COUNTIF(O458:Q475,$B478)+COUNTIF(O458:Q475,$B478&amp;" ~*")&gt;0)+(IFERROR(INDEX(Setup!$G$33:$G$40,MATCH(S478,Setup!$B$33:$B$40,0)),0)=1)*(COUNTIF(S458:U475,$B478)+COUNTIF(S458:U475,$B478&amp;" ~*")&gt;0)+(IFERROR(INDEX(Setup!$G$33:$G$40,MATCH(W478,Setup!$B$33:$B$40,0)),0)=1)*(COUNTIF(W458:W475,$B478)+COUNTIF(W458:W475,$B478&amp;" ~*")&gt;0)+(IFERROR(INDEX(Setup!$G$33:$G$40,MATCH(Y478,Setup!$B$33:$B$40,0)),0)=1)*(COUNTIF(Y458:Y475,$B478)+COUNTIF(Y458:Y475,$B478&amp;" ~*")&gt;0))</f>
        <v/>
      </c>
    </row>
    <row r="479" ht="15" customHeight="1">
      <c r="A479" t="n">
        <v>10</v>
      </c>
      <c r="B479" s="35">
        <f>IF(Setup!$B$8="","",Setup!$B$8)</f>
        <v/>
      </c>
      <c r="C479" s="98" t="n"/>
      <c r="D479" s="99" t="n"/>
      <c r="E479" s="99" t="n"/>
      <c r="F479" s="100" t="n"/>
      <c r="G479" s="98" t="n"/>
      <c r="H479" s="99" t="n"/>
      <c r="I479" s="99" t="n"/>
      <c r="J479" s="100" t="n"/>
      <c r="K479" s="98" t="n"/>
      <c r="L479" s="99" t="n"/>
      <c r="M479" s="99" t="n"/>
      <c r="N479" s="100" t="n"/>
      <c r="O479" s="98" t="n"/>
      <c r="P479" s="99" t="n"/>
      <c r="Q479" s="99" t="n"/>
      <c r="R479" s="100" t="n"/>
      <c r="S479" s="98" t="n"/>
      <c r="T479" s="99" t="n"/>
      <c r="U479" s="99" t="n"/>
      <c r="V479" s="100" t="n"/>
      <c r="W479" s="98" t="n"/>
      <c r="X479" s="100" t="n"/>
      <c r="Y479" s="98" t="n"/>
      <c r="Z479" s="100" t="n"/>
      <c r="AB479" s="101">
        <f>IF($B479="","",(COUNTIF(C458:E475,$B479)+COUNTIF(C458:E475,$B479&amp;" ~*")&gt;0)+(COUNTIF(G458:I475,$B479)+COUNTIF(G458:I475,$B479&amp;" ~*")&gt;0)+(COUNTIF(K458:M475,$B479)+COUNTIF(K458:M475,$B479&amp;" ~*")&gt;0)+(COUNTIF(O458:Q475,$B479)+COUNTIF(O458:Q475,$B479&amp;" ~*")&gt;0)+(COUNTIF(S458:U475,$B479)+COUNTIF(S458:U475,$B479&amp;" ~*")&gt;0)+(COUNTIF(W458:W475,$B479)+COUNTIF(W458:W475,$B479&amp;" ~*")&gt;0)+(COUNTIF(Y458:Y475,$B479)+COUNTIF(Y458:Y475,$B479&amp;" ~*")&gt;0))</f>
        <v/>
      </c>
      <c r="AC479" s="36">
        <f>IF($B479="","",(IFERROR(INDEX(Setup!$G$33:$G$40,MATCH(C479,Setup!$B$33:$B$40,0)),0)=1)*(COUNTIF(C458:E475,$B479)+COUNTIF(C458:E475,$B479&amp;" ~*")&gt;0)+(IFERROR(INDEX(Setup!$G$33:$G$40,MATCH(G479,Setup!$B$33:$B$40,0)),0)=1)*(COUNTIF(G458:I475,$B479)+COUNTIF(G458:I475,$B479&amp;" ~*")&gt;0)+(IFERROR(INDEX(Setup!$G$33:$G$40,MATCH(K479,Setup!$B$33:$B$40,0)),0)=1)*(COUNTIF(K458:M475,$B479)+COUNTIF(K458:M475,$B479&amp;" ~*")&gt;0)+(IFERROR(INDEX(Setup!$G$33:$G$40,MATCH(O479,Setup!$B$33:$B$40,0)),0)=1)*(COUNTIF(O458:Q475,$B479)+COUNTIF(O458:Q475,$B479&amp;" ~*")&gt;0)+(IFERROR(INDEX(Setup!$G$33:$G$40,MATCH(S479,Setup!$B$33:$B$40,0)),0)=1)*(COUNTIF(S458:U475,$B479)+COUNTIF(S458:U475,$B479&amp;" ~*")&gt;0)+(IFERROR(INDEX(Setup!$G$33:$G$40,MATCH(W479,Setup!$B$33:$B$40,0)),0)=1)*(COUNTIF(W458:W475,$B479)+COUNTIF(W458:W475,$B479&amp;" ~*")&gt;0)+(IFERROR(INDEX(Setup!$G$33:$G$40,MATCH(Y479,Setup!$B$33:$B$40,0)),0)=1)*(COUNTIF(Y458:Y475,$B479)+COUNTIF(Y458:Y475,$B479&amp;" ~*")&gt;0))</f>
        <v/>
      </c>
    </row>
    <row r="480" ht="15" customHeight="1">
      <c r="A480" t="n">
        <v>10</v>
      </c>
      <c r="B480" s="37">
        <f>IF(Setup!$B$9="","",Setup!$B$9)</f>
        <v/>
      </c>
      <c r="C480" s="102" t="n"/>
      <c r="D480" s="103" t="n"/>
      <c r="E480" s="103" t="n"/>
      <c r="F480" s="104" t="n"/>
      <c r="G480" s="102" t="n"/>
      <c r="H480" s="103" t="n"/>
      <c r="I480" s="103" t="n"/>
      <c r="J480" s="104" t="n"/>
      <c r="K480" s="102" t="n"/>
      <c r="L480" s="103" t="n"/>
      <c r="M480" s="103" t="n"/>
      <c r="N480" s="104" t="n"/>
      <c r="O480" s="102" t="n"/>
      <c r="P480" s="103" t="n"/>
      <c r="Q480" s="103" t="n"/>
      <c r="R480" s="104" t="n"/>
      <c r="S480" s="102" t="n"/>
      <c r="T480" s="103" t="n"/>
      <c r="U480" s="103" t="n"/>
      <c r="V480" s="104" t="n"/>
      <c r="W480" s="102" t="n"/>
      <c r="X480" s="104" t="n"/>
      <c r="Y480" s="102" t="n"/>
      <c r="Z480" s="104" t="n"/>
      <c r="AB480" s="105">
        <f>IF($B480="","",(COUNTIF(C458:E475,$B480)+COUNTIF(C458:E475,$B480&amp;" ~*")&gt;0)+(COUNTIF(G458:I475,$B480)+COUNTIF(G458:I475,$B480&amp;" ~*")&gt;0)+(COUNTIF(K458:M475,$B480)+COUNTIF(K458:M475,$B480&amp;" ~*")&gt;0)+(COUNTIF(O458:Q475,$B480)+COUNTIF(O458:Q475,$B480&amp;" ~*")&gt;0)+(COUNTIF(S458:U475,$B480)+COUNTIF(S458:U475,$B480&amp;" ~*")&gt;0)+(COUNTIF(W458:W475,$B480)+COUNTIF(W458:W475,$B480&amp;" ~*")&gt;0)+(COUNTIF(Y458:Y475,$B480)+COUNTIF(Y458:Y475,$B480&amp;" ~*")&gt;0))</f>
        <v/>
      </c>
      <c r="AC480" s="38">
        <f>IF($B480="","",(IFERROR(INDEX(Setup!$G$33:$G$40,MATCH(C480,Setup!$B$33:$B$40,0)),0)=1)*(COUNTIF(C458:E475,$B480)+COUNTIF(C458:E475,$B480&amp;" ~*")&gt;0)+(IFERROR(INDEX(Setup!$G$33:$G$40,MATCH(G480,Setup!$B$33:$B$40,0)),0)=1)*(COUNTIF(G458:I475,$B480)+COUNTIF(G458:I475,$B480&amp;" ~*")&gt;0)+(IFERROR(INDEX(Setup!$G$33:$G$40,MATCH(K480,Setup!$B$33:$B$40,0)),0)=1)*(COUNTIF(K458:M475,$B480)+COUNTIF(K458:M475,$B480&amp;" ~*")&gt;0)+(IFERROR(INDEX(Setup!$G$33:$G$40,MATCH(O480,Setup!$B$33:$B$40,0)),0)=1)*(COUNTIF(O458:Q475,$B480)+COUNTIF(O458:Q475,$B480&amp;" ~*")&gt;0)+(IFERROR(INDEX(Setup!$G$33:$G$40,MATCH(S480,Setup!$B$33:$B$40,0)),0)=1)*(COUNTIF(S458:U475,$B480)+COUNTIF(S458:U475,$B480&amp;" ~*")&gt;0)+(IFERROR(INDEX(Setup!$G$33:$G$40,MATCH(W480,Setup!$B$33:$B$40,0)),0)=1)*(COUNTIF(W458:W475,$B480)+COUNTIF(W458:W475,$B480&amp;" ~*")&gt;0)+(IFERROR(INDEX(Setup!$G$33:$G$40,MATCH(Y480,Setup!$B$33:$B$40,0)),0)=1)*(COUNTIF(Y458:Y475,$B480)+COUNTIF(Y458:Y475,$B480&amp;" ~*")&gt;0))</f>
        <v/>
      </c>
    </row>
    <row r="481" ht="15" customHeight="1">
      <c r="A481" t="n">
        <v>10</v>
      </c>
      <c r="B481" s="35">
        <f>IF(Setup!$B$10="","",Setup!$B$10)</f>
        <v/>
      </c>
      <c r="C481" s="98" t="n"/>
      <c r="D481" s="99" t="n"/>
      <c r="E481" s="99" t="n"/>
      <c r="F481" s="100" t="n"/>
      <c r="G481" s="98" t="n"/>
      <c r="H481" s="99" t="n"/>
      <c r="I481" s="99" t="n"/>
      <c r="J481" s="100" t="n"/>
      <c r="K481" s="98" t="n"/>
      <c r="L481" s="99" t="n"/>
      <c r="M481" s="99" t="n"/>
      <c r="N481" s="100" t="n"/>
      <c r="O481" s="98" t="n"/>
      <c r="P481" s="99" t="n"/>
      <c r="Q481" s="99" t="n"/>
      <c r="R481" s="100" t="n"/>
      <c r="S481" s="98" t="n"/>
      <c r="T481" s="99" t="n"/>
      <c r="U481" s="99" t="n"/>
      <c r="V481" s="100" t="n"/>
      <c r="W481" s="98" t="n"/>
      <c r="X481" s="100" t="n"/>
      <c r="Y481" s="98" t="n"/>
      <c r="Z481" s="100" t="n"/>
      <c r="AB481" s="101">
        <f>IF($B481="","",(COUNTIF(C458:E475,$B481)+COUNTIF(C458:E475,$B481&amp;" ~*")&gt;0)+(COUNTIF(G458:I475,$B481)+COUNTIF(G458:I475,$B481&amp;" ~*")&gt;0)+(COUNTIF(K458:M475,$B481)+COUNTIF(K458:M475,$B481&amp;" ~*")&gt;0)+(COUNTIF(O458:Q475,$B481)+COUNTIF(O458:Q475,$B481&amp;" ~*")&gt;0)+(COUNTIF(S458:U475,$B481)+COUNTIF(S458:U475,$B481&amp;" ~*")&gt;0)+(COUNTIF(W458:W475,$B481)+COUNTIF(W458:W475,$B481&amp;" ~*")&gt;0)+(COUNTIF(Y458:Y475,$B481)+COUNTIF(Y458:Y475,$B481&amp;" ~*")&gt;0))</f>
        <v/>
      </c>
      <c r="AC481" s="36">
        <f>IF($B481="","",(IFERROR(INDEX(Setup!$G$33:$G$40,MATCH(C481,Setup!$B$33:$B$40,0)),0)=1)*(COUNTIF(C458:E475,$B481)+COUNTIF(C458:E475,$B481&amp;" ~*")&gt;0)+(IFERROR(INDEX(Setup!$G$33:$G$40,MATCH(G481,Setup!$B$33:$B$40,0)),0)=1)*(COUNTIF(G458:I475,$B481)+COUNTIF(G458:I475,$B481&amp;" ~*")&gt;0)+(IFERROR(INDEX(Setup!$G$33:$G$40,MATCH(K481,Setup!$B$33:$B$40,0)),0)=1)*(COUNTIF(K458:M475,$B481)+COUNTIF(K458:M475,$B481&amp;" ~*")&gt;0)+(IFERROR(INDEX(Setup!$G$33:$G$40,MATCH(O481,Setup!$B$33:$B$40,0)),0)=1)*(COUNTIF(O458:Q475,$B481)+COUNTIF(O458:Q475,$B481&amp;" ~*")&gt;0)+(IFERROR(INDEX(Setup!$G$33:$G$40,MATCH(S481,Setup!$B$33:$B$40,0)),0)=1)*(COUNTIF(S458:U475,$B481)+COUNTIF(S458:U475,$B481&amp;" ~*")&gt;0)+(IFERROR(INDEX(Setup!$G$33:$G$40,MATCH(W481,Setup!$B$33:$B$40,0)),0)=1)*(COUNTIF(W458:W475,$B481)+COUNTIF(W458:W475,$B481&amp;" ~*")&gt;0)+(IFERROR(INDEX(Setup!$G$33:$G$40,MATCH(Y481,Setup!$B$33:$B$40,0)),0)=1)*(COUNTIF(Y458:Y475,$B481)+COUNTIF(Y458:Y475,$B481&amp;" ~*")&gt;0))</f>
        <v/>
      </c>
    </row>
    <row r="482" ht="15" customHeight="1">
      <c r="A482" t="n">
        <v>10</v>
      </c>
      <c r="B482" s="37">
        <f>IF(Setup!$B$11="","",Setup!$B$11)</f>
        <v/>
      </c>
      <c r="C482" s="102" t="n"/>
      <c r="D482" s="103" t="n"/>
      <c r="E482" s="103" t="n"/>
      <c r="F482" s="104" t="n"/>
      <c r="G482" s="102" t="n"/>
      <c r="H482" s="103" t="n"/>
      <c r="I482" s="103" t="n"/>
      <c r="J482" s="104" t="n"/>
      <c r="K482" s="102" t="n"/>
      <c r="L482" s="103" t="n"/>
      <c r="M482" s="103" t="n"/>
      <c r="N482" s="104" t="n"/>
      <c r="O482" s="102" t="n"/>
      <c r="P482" s="103" t="n"/>
      <c r="Q482" s="103" t="n"/>
      <c r="R482" s="104" t="n"/>
      <c r="S482" s="102" t="n"/>
      <c r="T482" s="103" t="n"/>
      <c r="U482" s="103" t="n"/>
      <c r="V482" s="104" t="n"/>
      <c r="W482" s="102" t="n"/>
      <c r="X482" s="104" t="n"/>
      <c r="Y482" s="102" t="n"/>
      <c r="Z482" s="104" t="n"/>
      <c r="AB482" s="105">
        <f>IF($B482="","",(COUNTIF(C458:E475,$B482)+COUNTIF(C458:E475,$B482&amp;" ~*")&gt;0)+(COUNTIF(G458:I475,$B482)+COUNTIF(G458:I475,$B482&amp;" ~*")&gt;0)+(COUNTIF(K458:M475,$B482)+COUNTIF(K458:M475,$B482&amp;" ~*")&gt;0)+(COUNTIF(O458:Q475,$B482)+COUNTIF(O458:Q475,$B482&amp;" ~*")&gt;0)+(COUNTIF(S458:U475,$B482)+COUNTIF(S458:U475,$B482&amp;" ~*")&gt;0)+(COUNTIF(W458:W475,$B482)+COUNTIF(W458:W475,$B482&amp;" ~*")&gt;0)+(COUNTIF(Y458:Y475,$B482)+COUNTIF(Y458:Y475,$B482&amp;" ~*")&gt;0))</f>
        <v/>
      </c>
      <c r="AC482" s="38">
        <f>IF($B482="","",(IFERROR(INDEX(Setup!$G$33:$G$40,MATCH(C482,Setup!$B$33:$B$40,0)),0)=1)*(COUNTIF(C458:E475,$B482)+COUNTIF(C458:E475,$B482&amp;" ~*")&gt;0)+(IFERROR(INDEX(Setup!$G$33:$G$40,MATCH(G482,Setup!$B$33:$B$40,0)),0)=1)*(COUNTIF(G458:I475,$B482)+COUNTIF(G458:I475,$B482&amp;" ~*")&gt;0)+(IFERROR(INDEX(Setup!$G$33:$G$40,MATCH(K482,Setup!$B$33:$B$40,0)),0)=1)*(COUNTIF(K458:M475,$B482)+COUNTIF(K458:M475,$B482&amp;" ~*")&gt;0)+(IFERROR(INDEX(Setup!$G$33:$G$40,MATCH(O482,Setup!$B$33:$B$40,0)),0)=1)*(COUNTIF(O458:Q475,$B482)+COUNTIF(O458:Q475,$B482&amp;" ~*")&gt;0)+(IFERROR(INDEX(Setup!$G$33:$G$40,MATCH(S482,Setup!$B$33:$B$40,0)),0)=1)*(COUNTIF(S458:U475,$B482)+COUNTIF(S458:U475,$B482&amp;" ~*")&gt;0)+(IFERROR(INDEX(Setup!$G$33:$G$40,MATCH(W482,Setup!$B$33:$B$40,0)),0)=1)*(COUNTIF(W458:W475,$B482)+COUNTIF(W458:W475,$B482&amp;" ~*")&gt;0)+(IFERROR(INDEX(Setup!$G$33:$G$40,MATCH(Y482,Setup!$B$33:$B$40,0)),0)=1)*(COUNTIF(Y458:Y475,$B482)+COUNTIF(Y458:Y475,$B482&amp;" ~*")&gt;0))</f>
        <v/>
      </c>
    </row>
    <row r="483" ht="15" customHeight="1">
      <c r="A483" t="n">
        <v>10</v>
      </c>
      <c r="B483" s="35">
        <f>IF(Setup!$B$12="","",Setup!$B$12)</f>
        <v/>
      </c>
      <c r="C483" s="98" t="n"/>
      <c r="D483" s="99" t="n"/>
      <c r="E483" s="99" t="n"/>
      <c r="F483" s="100" t="n"/>
      <c r="G483" s="98" t="n"/>
      <c r="H483" s="99" t="n"/>
      <c r="I483" s="99" t="n"/>
      <c r="J483" s="100" t="n"/>
      <c r="K483" s="98" t="n"/>
      <c r="L483" s="99" t="n"/>
      <c r="M483" s="99" t="n"/>
      <c r="N483" s="100" t="n"/>
      <c r="O483" s="98" t="n"/>
      <c r="P483" s="99" t="n"/>
      <c r="Q483" s="99" t="n"/>
      <c r="R483" s="100" t="n"/>
      <c r="S483" s="98" t="n"/>
      <c r="T483" s="99" t="n"/>
      <c r="U483" s="99" t="n"/>
      <c r="V483" s="100" t="n"/>
      <c r="W483" s="98" t="n"/>
      <c r="X483" s="100" t="n"/>
      <c r="Y483" s="98" t="n"/>
      <c r="Z483" s="100" t="n"/>
      <c r="AB483" s="101">
        <f>IF($B483="","",(COUNTIF(C458:E475,$B483)+COUNTIF(C458:E475,$B483&amp;" ~*")&gt;0)+(COUNTIF(G458:I475,$B483)+COUNTIF(G458:I475,$B483&amp;" ~*")&gt;0)+(COUNTIF(K458:M475,$B483)+COUNTIF(K458:M475,$B483&amp;" ~*")&gt;0)+(COUNTIF(O458:Q475,$B483)+COUNTIF(O458:Q475,$B483&amp;" ~*")&gt;0)+(COUNTIF(S458:U475,$B483)+COUNTIF(S458:U475,$B483&amp;" ~*")&gt;0)+(COUNTIF(W458:W475,$B483)+COUNTIF(W458:W475,$B483&amp;" ~*")&gt;0)+(COUNTIF(Y458:Y475,$B483)+COUNTIF(Y458:Y475,$B483&amp;" ~*")&gt;0))</f>
        <v/>
      </c>
      <c r="AC483" s="36">
        <f>IF($B483="","",(IFERROR(INDEX(Setup!$G$33:$G$40,MATCH(C483,Setup!$B$33:$B$40,0)),0)=1)*(COUNTIF(C458:E475,$B483)+COUNTIF(C458:E475,$B483&amp;" ~*")&gt;0)+(IFERROR(INDEX(Setup!$G$33:$G$40,MATCH(G483,Setup!$B$33:$B$40,0)),0)=1)*(COUNTIF(G458:I475,$B483)+COUNTIF(G458:I475,$B483&amp;" ~*")&gt;0)+(IFERROR(INDEX(Setup!$G$33:$G$40,MATCH(K483,Setup!$B$33:$B$40,0)),0)=1)*(COUNTIF(K458:M475,$B483)+COUNTIF(K458:M475,$B483&amp;" ~*")&gt;0)+(IFERROR(INDEX(Setup!$G$33:$G$40,MATCH(O483,Setup!$B$33:$B$40,0)),0)=1)*(COUNTIF(O458:Q475,$B483)+COUNTIF(O458:Q475,$B483&amp;" ~*")&gt;0)+(IFERROR(INDEX(Setup!$G$33:$G$40,MATCH(S483,Setup!$B$33:$B$40,0)),0)=1)*(COUNTIF(S458:U475,$B483)+COUNTIF(S458:U475,$B483&amp;" ~*")&gt;0)+(IFERROR(INDEX(Setup!$G$33:$G$40,MATCH(W483,Setup!$B$33:$B$40,0)),0)=1)*(COUNTIF(W458:W475,$B483)+COUNTIF(W458:W475,$B483&amp;" ~*")&gt;0)+(IFERROR(INDEX(Setup!$G$33:$G$40,MATCH(Y483,Setup!$B$33:$B$40,0)),0)=1)*(COUNTIF(Y458:Y475,$B483)+COUNTIF(Y458:Y475,$B483&amp;" ~*")&gt;0))</f>
        <v/>
      </c>
    </row>
    <row r="484" ht="15" customHeight="1">
      <c r="A484" t="n">
        <v>10</v>
      </c>
      <c r="B484" s="37">
        <f>IF(Setup!$B$13="","",Setup!$B$13)</f>
        <v/>
      </c>
      <c r="C484" s="102" t="n"/>
      <c r="D484" s="103" t="n"/>
      <c r="E484" s="103" t="n"/>
      <c r="F484" s="104" t="n"/>
      <c r="G484" s="102" t="n"/>
      <c r="H484" s="103" t="n"/>
      <c r="I484" s="103" t="n"/>
      <c r="J484" s="104" t="n"/>
      <c r="K484" s="102" t="n"/>
      <c r="L484" s="103" t="n"/>
      <c r="M484" s="103" t="n"/>
      <c r="N484" s="104" t="n"/>
      <c r="O484" s="102" t="n"/>
      <c r="P484" s="103" t="n"/>
      <c r="Q484" s="103" t="n"/>
      <c r="R484" s="104" t="n"/>
      <c r="S484" s="102" t="n"/>
      <c r="T484" s="103" t="n"/>
      <c r="U484" s="103" t="n"/>
      <c r="V484" s="104" t="n"/>
      <c r="W484" s="102" t="n"/>
      <c r="X484" s="104" t="n"/>
      <c r="Y484" s="102" t="n"/>
      <c r="Z484" s="104" t="n"/>
      <c r="AB484" s="105">
        <f>IF($B484="","",(COUNTIF(C458:E475,$B484)+COUNTIF(C458:E475,$B484&amp;" ~*")&gt;0)+(COUNTIF(G458:I475,$B484)+COUNTIF(G458:I475,$B484&amp;" ~*")&gt;0)+(COUNTIF(K458:M475,$B484)+COUNTIF(K458:M475,$B484&amp;" ~*")&gt;0)+(COUNTIF(O458:Q475,$B484)+COUNTIF(O458:Q475,$B484&amp;" ~*")&gt;0)+(COUNTIF(S458:U475,$B484)+COUNTIF(S458:U475,$B484&amp;" ~*")&gt;0)+(COUNTIF(W458:W475,$B484)+COUNTIF(W458:W475,$B484&amp;" ~*")&gt;0)+(COUNTIF(Y458:Y475,$B484)+COUNTIF(Y458:Y475,$B484&amp;" ~*")&gt;0))</f>
        <v/>
      </c>
      <c r="AC484" s="38">
        <f>IF($B484="","",(IFERROR(INDEX(Setup!$G$33:$G$40,MATCH(C484,Setup!$B$33:$B$40,0)),0)=1)*(COUNTIF(C458:E475,$B484)+COUNTIF(C458:E475,$B484&amp;" ~*")&gt;0)+(IFERROR(INDEX(Setup!$G$33:$G$40,MATCH(G484,Setup!$B$33:$B$40,0)),0)=1)*(COUNTIF(G458:I475,$B484)+COUNTIF(G458:I475,$B484&amp;" ~*")&gt;0)+(IFERROR(INDEX(Setup!$G$33:$G$40,MATCH(K484,Setup!$B$33:$B$40,0)),0)=1)*(COUNTIF(K458:M475,$B484)+COUNTIF(K458:M475,$B484&amp;" ~*")&gt;0)+(IFERROR(INDEX(Setup!$G$33:$G$40,MATCH(O484,Setup!$B$33:$B$40,0)),0)=1)*(COUNTIF(O458:Q475,$B484)+COUNTIF(O458:Q475,$B484&amp;" ~*")&gt;0)+(IFERROR(INDEX(Setup!$G$33:$G$40,MATCH(S484,Setup!$B$33:$B$40,0)),0)=1)*(COUNTIF(S458:U475,$B484)+COUNTIF(S458:U475,$B484&amp;" ~*")&gt;0)+(IFERROR(INDEX(Setup!$G$33:$G$40,MATCH(W484,Setup!$B$33:$B$40,0)),0)=1)*(COUNTIF(W458:W475,$B484)+COUNTIF(W458:W475,$B484&amp;" ~*")&gt;0)+(IFERROR(INDEX(Setup!$G$33:$G$40,MATCH(Y484,Setup!$B$33:$B$40,0)),0)=1)*(COUNTIF(Y458:Y475,$B484)+COUNTIF(Y458:Y475,$B484&amp;" ~*")&gt;0))</f>
        <v/>
      </c>
    </row>
    <row r="485" ht="15" customHeight="1">
      <c r="A485" t="n">
        <v>10</v>
      </c>
      <c r="B485" s="35">
        <f>IF(Setup!$B$14="","",Setup!$B$14)</f>
        <v/>
      </c>
      <c r="C485" s="98" t="n"/>
      <c r="D485" s="99" t="n"/>
      <c r="E485" s="99" t="n"/>
      <c r="F485" s="100" t="n"/>
      <c r="G485" s="98" t="n"/>
      <c r="H485" s="99" t="n"/>
      <c r="I485" s="99" t="n"/>
      <c r="J485" s="100" t="n"/>
      <c r="K485" s="98" t="n"/>
      <c r="L485" s="99" t="n"/>
      <c r="M485" s="99" t="n"/>
      <c r="N485" s="100" t="n"/>
      <c r="O485" s="98" t="n"/>
      <c r="P485" s="99" t="n"/>
      <c r="Q485" s="99" t="n"/>
      <c r="R485" s="100" t="n"/>
      <c r="S485" s="98" t="n"/>
      <c r="T485" s="99" t="n"/>
      <c r="U485" s="99" t="n"/>
      <c r="V485" s="100" t="n"/>
      <c r="W485" s="98" t="n"/>
      <c r="X485" s="100" t="n"/>
      <c r="Y485" s="98" t="n"/>
      <c r="Z485" s="100" t="n"/>
      <c r="AB485" s="101">
        <f>IF($B485="","",(COUNTIF(C458:E475,$B485)+COUNTIF(C458:E475,$B485&amp;" ~*")&gt;0)+(COUNTIF(G458:I475,$B485)+COUNTIF(G458:I475,$B485&amp;" ~*")&gt;0)+(COUNTIF(K458:M475,$B485)+COUNTIF(K458:M475,$B485&amp;" ~*")&gt;0)+(COUNTIF(O458:Q475,$B485)+COUNTIF(O458:Q475,$B485&amp;" ~*")&gt;0)+(COUNTIF(S458:U475,$B485)+COUNTIF(S458:U475,$B485&amp;" ~*")&gt;0)+(COUNTIF(W458:W475,$B485)+COUNTIF(W458:W475,$B485&amp;" ~*")&gt;0)+(COUNTIF(Y458:Y475,$B485)+COUNTIF(Y458:Y475,$B485&amp;" ~*")&gt;0))</f>
        <v/>
      </c>
      <c r="AC485" s="36">
        <f>IF($B485="","",(IFERROR(INDEX(Setup!$G$33:$G$40,MATCH(C485,Setup!$B$33:$B$40,0)),0)=1)*(COUNTIF(C458:E475,$B485)+COUNTIF(C458:E475,$B485&amp;" ~*")&gt;0)+(IFERROR(INDEX(Setup!$G$33:$G$40,MATCH(G485,Setup!$B$33:$B$40,0)),0)=1)*(COUNTIF(G458:I475,$B485)+COUNTIF(G458:I475,$B485&amp;" ~*")&gt;0)+(IFERROR(INDEX(Setup!$G$33:$G$40,MATCH(K485,Setup!$B$33:$B$40,0)),0)=1)*(COUNTIF(K458:M475,$B485)+COUNTIF(K458:M475,$B485&amp;" ~*")&gt;0)+(IFERROR(INDEX(Setup!$G$33:$G$40,MATCH(O485,Setup!$B$33:$B$40,0)),0)=1)*(COUNTIF(O458:Q475,$B485)+COUNTIF(O458:Q475,$B485&amp;" ~*")&gt;0)+(IFERROR(INDEX(Setup!$G$33:$G$40,MATCH(S485,Setup!$B$33:$B$40,0)),0)=1)*(COUNTIF(S458:U475,$B485)+COUNTIF(S458:U475,$B485&amp;" ~*")&gt;0)+(IFERROR(INDEX(Setup!$G$33:$G$40,MATCH(W485,Setup!$B$33:$B$40,0)),0)=1)*(COUNTIF(W458:W475,$B485)+COUNTIF(W458:W475,$B485&amp;" ~*")&gt;0)+(IFERROR(INDEX(Setup!$G$33:$G$40,MATCH(Y485,Setup!$B$33:$B$40,0)),0)=1)*(COUNTIF(Y458:Y475,$B485)+COUNTIF(Y458:Y475,$B485&amp;" ~*")&gt;0))</f>
        <v/>
      </c>
    </row>
    <row r="486" ht="15" customHeight="1">
      <c r="A486" t="n">
        <v>10</v>
      </c>
      <c r="B486" s="37">
        <f>IF(Setup!$B$15="","",Setup!$B$15)</f>
        <v/>
      </c>
      <c r="C486" s="102" t="n"/>
      <c r="D486" s="103" t="n"/>
      <c r="E486" s="103" t="n"/>
      <c r="F486" s="104" t="n"/>
      <c r="G486" s="102" t="n"/>
      <c r="H486" s="103" t="n"/>
      <c r="I486" s="103" t="n"/>
      <c r="J486" s="104" t="n"/>
      <c r="K486" s="102" t="n"/>
      <c r="L486" s="103" t="n"/>
      <c r="M486" s="103" t="n"/>
      <c r="N486" s="104" t="n"/>
      <c r="O486" s="102" t="n"/>
      <c r="P486" s="103" t="n"/>
      <c r="Q486" s="103" t="n"/>
      <c r="R486" s="104" t="n"/>
      <c r="S486" s="102" t="n"/>
      <c r="T486" s="103" t="n"/>
      <c r="U486" s="103" t="n"/>
      <c r="V486" s="104" t="n"/>
      <c r="W486" s="102" t="n"/>
      <c r="X486" s="104" t="n"/>
      <c r="Y486" s="102" t="n"/>
      <c r="Z486" s="104" t="n"/>
      <c r="AB486" s="105">
        <f>IF($B486="","",(COUNTIF(C458:E475,$B486)+COUNTIF(C458:E475,$B486&amp;" ~*")&gt;0)+(COUNTIF(G458:I475,$B486)+COUNTIF(G458:I475,$B486&amp;" ~*")&gt;0)+(COUNTIF(K458:M475,$B486)+COUNTIF(K458:M475,$B486&amp;" ~*")&gt;0)+(COUNTIF(O458:Q475,$B486)+COUNTIF(O458:Q475,$B486&amp;" ~*")&gt;0)+(COUNTIF(S458:U475,$B486)+COUNTIF(S458:U475,$B486&amp;" ~*")&gt;0)+(COUNTIF(W458:W475,$B486)+COUNTIF(W458:W475,$B486&amp;" ~*")&gt;0)+(COUNTIF(Y458:Y475,$B486)+COUNTIF(Y458:Y475,$B486&amp;" ~*")&gt;0))</f>
        <v/>
      </c>
      <c r="AC486" s="38">
        <f>IF($B486="","",(IFERROR(INDEX(Setup!$G$33:$G$40,MATCH(C486,Setup!$B$33:$B$40,0)),0)=1)*(COUNTIF(C458:E475,$B486)+COUNTIF(C458:E475,$B486&amp;" ~*")&gt;0)+(IFERROR(INDEX(Setup!$G$33:$G$40,MATCH(G486,Setup!$B$33:$B$40,0)),0)=1)*(COUNTIF(G458:I475,$B486)+COUNTIF(G458:I475,$B486&amp;" ~*")&gt;0)+(IFERROR(INDEX(Setup!$G$33:$G$40,MATCH(K486,Setup!$B$33:$B$40,0)),0)=1)*(COUNTIF(K458:M475,$B486)+COUNTIF(K458:M475,$B486&amp;" ~*")&gt;0)+(IFERROR(INDEX(Setup!$G$33:$G$40,MATCH(O486,Setup!$B$33:$B$40,0)),0)=1)*(COUNTIF(O458:Q475,$B486)+COUNTIF(O458:Q475,$B486&amp;" ~*")&gt;0)+(IFERROR(INDEX(Setup!$G$33:$G$40,MATCH(S486,Setup!$B$33:$B$40,0)),0)=1)*(COUNTIF(S458:U475,$B486)+COUNTIF(S458:U475,$B486&amp;" ~*")&gt;0)+(IFERROR(INDEX(Setup!$G$33:$G$40,MATCH(W486,Setup!$B$33:$B$40,0)),0)=1)*(COUNTIF(W458:W475,$B486)+COUNTIF(W458:W475,$B486&amp;" ~*")&gt;0)+(IFERROR(INDEX(Setup!$G$33:$G$40,MATCH(Y486,Setup!$B$33:$B$40,0)),0)=1)*(COUNTIF(Y458:Y475,$B486)+COUNTIF(Y458:Y475,$B486&amp;" ~*")&gt;0))</f>
        <v/>
      </c>
    </row>
    <row r="487" ht="15" customHeight="1">
      <c r="A487" t="n">
        <v>10</v>
      </c>
      <c r="B487" s="35">
        <f>IF(Setup!$B$16="","",Setup!$B$16)</f>
        <v/>
      </c>
      <c r="C487" s="98" t="n"/>
      <c r="D487" s="99" t="n"/>
      <c r="E487" s="99" t="n"/>
      <c r="F487" s="100" t="n"/>
      <c r="G487" s="98" t="n"/>
      <c r="H487" s="99" t="n"/>
      <c r="I487" s="99" t="n"/>
      <c r="J487" s="100" t="n"/>
      <c r="K487" s="98" t="n"/>
      <c r="L487" s="99" t="n"/>
      <c r="M487" s="99" t="n"/>
      <c r="N487" s="100" t="n"/>
      <c r="O487" s="98" t="n"/>
      <c r="P487" s="99" t="n"/>
      <c r="Q487" s="99" t="n"/>
      <c r="R487" s="100" t="n"/>
      <c r="S487" s="98" t="n"/>
      <c r="T487" s="99" t="n"/>
      <c r="U487" s="99" t="n"/>
      <c r="V487" s="100" t="n"/>
      <c r="W487" s="98" t="n"/>
      <c r="X487" s="100" t="n"/>
      <c r="Y487" s="98" t="n"/>
      <c r="Z487" s="100" t="n"/>
      <c r="AB487" s="101">
        <f>IF($B487="","",(COUNTIF(C458:E475,$B487)+COUNTIF(C458:E475,$B487&amp;" ~*")&gt;0)+(COUNTIF(G458:I475,$B487)+COUNTIF(G458:I475,$B487&amp;" ~*")&gt;0)+(COUNTIF(K458:M475,$B487)+COUNTIF(K458:M475,$B487&amp;" ~*")&gt;0)+(COUNTIF(O458:Q475,$B487)+COUNTIF(O458:Q475,$B487&amp;" ~*")&gt;0)+(COUNTIF(S458:U475,$B487)+COUNTIF(S458:U475,$B487&amp;" ~*")&gt;0)+(COUNTIF(W458:W475,$B487)+COUNTIF(W458:W475,$B487&amp;" ~*")&gt;0)+(COUNTIF(Y458:Y475,$B487)+COUNTIF(Y458:Y475,$B487&amp;" ~*")&gt;0))</f>
        <v/>
      </c>
      <c r="AC487" s="36">
        <f>IF($B487="","",(IFERROR(INDEX(Setup!$G$33:$G$40,MATCH(C487,Setup!$B$33:$B$40,0)),0)=1)*(COUNTIF(C458:E475,$B487)+COUNTIF(C458:E475,$B487&amp;" ~*")&gt;0)+(IFERROR(INDEX(Setup!$G$33:$G$40,MATCH(G487,Setup!$B$33:$B$40,0)),0)=1)*(COUNTIF(G458:I475,$B487)+COUNTIF(G458:I475,$B487&amp;" ~*")&gt;0)+(IFERROR(INDEX(Setup!$G$33:$G$40,MATCH(K487,Setup!$B$33:$B$40,0)),0)=1)*(COUNTIF(K458:M475,$B487)+COUNTIF(K458:M475,$B487&amp;" ~*")&gt;0)+(IFERROR(INDEX(Setup!$G$33:$G$40,MATCH(O487,Setup!$B$33:$B$40,0)),0)=1)*(COUNTIF(O458:Q475,$B487)+COUNTIF(O458:Q475,$B487&amp;" ~*")&gt;0)+(IFERROR(INDEX(Setup!$G$33:$G$40,MATCH(S487,Setup!$B$33:$B$40,0)),0)=1)*(COUNTIF(S458:U475,$B487)+COUNTIF(S458:U475,$B487&amp;" ~*")&gt;0)+(IFERROR(INDEX(Setup!$G$33:$G$40,MATCH(W487,Setup!$B$33:$B$40,0)),0)=1)*(COUNTIF(W458:W475,$B487)+COUNTIF(W458:W475,$B487&amp;" ~*")&gt;0)+(IFERROR(INDEX(Setup!$G$33:$G$40,MATCH(Y487,Setup!$B$33:$B$40,0)),0)=1)*(COUNTIF(Y458:Y475,$B487)+COUNTIF(Y458:Y475,$B487&amp;" ~*")&gt;0))</f>
        <v/>
      </c>
    </row>
    <row r="488" ht="15" customHeight="1">
      <c r="A488" t="n">
        <v>10</v>
      </c>
      <c r="B488" s="37">
        <f>IF(Setup!$B$17="","",Setup!$B$17)</f>
        <v/>
      </c>
      <c r="C488" s="102" t="n"/>
      <c r="D488" s="103" t="n"/>
      <c r="E488" s="103" t="n"/>
      <c r="F488" s="104" t="n"/>
      <c r="G488" s="102" t="n"/>
      <c r="H488" s="103" t="n"/>
      <c r="I488" s="103" t="n"/>
      <c r="J488" s="104" t="n"/>
      <c r="K488" s="102" t="n"/>
      <c r="L488" s="103" t="n"/>
      <c r="M488" s="103" t="n"/>
      <c r="N488" s="104" t="n"/>
      <c r="O488" s="102" t="n"/>
      <c r="P488" s="103" t="n"/>
      <c r="Q488" s="103" t="n"/>
      <c r="R488" s="104" t="n"/>
      <c r="S488" s="102" t="n"/>
      <c r="T488" s="103" t="n"/>
      <c r="U488" s="103" t="n"/>
      <c r="V488" s="104" t="n"/>
      <c r="W488" s="102" t="n"/>
      <c r="X488" s="104" t="n"/>
      <c r="Y488" s="102" t="n"/>
      <c r="Z488" s="104" t="n"/>
      <c r="AB488" s="105">
        <f>IF($B488="","",(COUNTIF(C458:E475,$B488)+COUNTIF(C458:E475,$B488&amp;" ~*")&gt;0)+(COUNTIF(G458:I475,$B488)+COUNTIF(G458:I475,$B488&amp;" ~*")&gt;0)+(COUNTIF(K458:M475,$B488)+COUNTIF(K458:M475,$B488&amp;" ~*")&gt;0)+(COUNTIF(O458:Q475,$B488)+COUNTIF(O458:Q475,$B488&amp;" ~*")&gt;0)+(COUNTIF(S458:U475,$B488)+COUNTIF(S458:U475,$B488&amp;" ~*")&gt;0)+(COUNTIF(W458:W475,$B488)+COUNTIF(W458:W475,$B488&amp;" ~*")&gt;0)+(COUNTIF(Y458:Y475,$B488)+COUNTIF(Y458:Y475,$B488&amp;" ~*")&gt;0))</f>
        <v/>
      </c>
      <c r="AC488" s="38">
        <f>IF($B488="","",(IFERROR(INDEX(Setup!$G$33:$G$40,MATCH(C488,Setup!$B$33:$B$40,0)),0)=1)*(COUNTIF(C458:E475,$B488)+COUNTIF(C458:E475,$B488&amp;" ~*")&gt;0)+(IFERROR(INDEX(Setup!$G$33:$G$40,MATCH(G488,Setup!$B$33:$B$40,0)),0)=1)*(COUNTIF(G458:I475,$B488)+COUNTIF(G458:I475,$B488&amp;" ~*")&gt;0)+(IFERROR(INDEX(Setup!$G$33:$G$40,MATCH(K488,Setup!$B$33:$B$40,0)),0)=1)*(COUNTIF(K458:M475,$B488)+COUNTIF(K458:M475,$B488&amp;" ~*")&gt;0)+(IFERROR(INDEX(Setup!$G$33:$G$40,MATCH(O488,Setup!$B$33:$B$40,0)),0)=1)*(COUNTIF(O458:Q475,$B488)+COUNTIF(O458:Q475,$B488&amp;" ~*")&gt;0)+(IFERROR(INDEX(Setup!$G$33:$G$40,MATCH(S488,Setup!$B$33:$B$40,0)),0)=1)*(COUNTIF(S458:U475,$B488)+COUNTIF(S458:U475,$B488&amp;" ~*")&gt;0)+(IFERROR(INDEX(Setup!$G$33:$G$40,MATCH(W488,Setup!$B$33:$B$40,0)),0)=1)*(COUNTIF(W458:W475,$B488)+COUNTIF(W458:W475,$B488&amp;" ~*")&gt;0)+(IFERROR(INDEX(Setup!$G$33:$G$40,MATCH(Y488,Setup!$B$33:$B$40,0)),0)=1)*(COUNTIF(Y458:Y475,$B488)+COUNTIF(Y458:Y475,$B488&amp;" ~*")&gt;0))</f>
        <v/>
      </c>
    </row>
    <row r="489" ht="15" customHeight="1">
      <c r="A489" t="n">
        <v>10</v>
      </c>
      <c r="B489" s="35">
        <f>IF(Setup!$B$18="","",Setup!$B$18)</f>
        <v/>
      </c>
      <c r="C489" s="98" t="n"/>
      <c r="D489" s="99" t="n"/>
      <c r="E489" s="99" t="n"/>
      <c r="F489" s="100" t="n"/>
      <c r="G489" s="98" t="n"/>
      <c r="H489" s="99" t="n"/>
      <c r="I489" s="99" t="n"/>
      <c r="J489" s="100" t="n"/>
      <c r="K489" s="98" t="n"/>
      <c r="L489" s="99" t="n"/>
      <c r="M489" s="99" t="n"/>
      <c r="N489" s="100" t="n"/>
      <c r="O489" s="98" t="n"/>
      <c r="P489" s="99" t="n"/>
      <c r="Q489" s="99" t="n"/>
      <c r="R489" s="100" t="n"/>
      <c r="S489" s="98" t="n"/>
      <c r="T489" s="99" t="n"/>
      <c r="U489" s="99" t="n"/>
      <c r="V489" s="100" t="n"/>
      <c r="W489" s="98" t="n"/>
      <c r="X489" s="100" t="n"/>
      <c r="Y489" s="98" t="n"/>
      <c r="Z489" s="100" t="n"/>
      <c r="AB489" s="101">
        <f>IF($B489="","",(COUNTIF(C458:E475,$B489)+COUNTIF(C458:E475,$B489&amp;" ~*")&gt;0)+(COUNTIF(G458:I475,$B489)+COUNTIF(G458:I475,$B489&amp;" ~*")&gt;0)+(COUNTIF(K458:M475,$B489)+COUNTIF(K458:M475,$B489&amp;" ~*")&gt;0)+(COUNTIF(O458:Q475,$B489)+COUNTIF(O458:Q475,$B489&amp;" ~*")&gt;0)+(COUNTIF(S458:U475,$B489)+COUNTIF(S458:U475,$B489&amp;" ~*")&gt;0)+(COUNTIF(W458:W475,$B489)+COUNTIF(W458:W475,$B489&amp;" ~*")&gt;0)+(COUNTIF(Y458:Y475,$B489)+COUNTIF(Y458:Y475,$B489&amp;" ~*")&gt;0))</f>
        <v/>
      </c>
      <c r="AC489" s="36">
        <f>IF($B489="","",(IFERROR(INDEX(Setup!$G$33:$G$40,MATCH(C489,Setup!$B$33:$B$40,0)),0)=1)*(COUNTIF(C458:E475,$B489)+COUNTIF(C458:E475,$B489&amp;" ~*")&gt;0)+(IFERROR(INDEX(Setup!$G$33:$G$40,MATCH(G489,Setup!$B$33:$B$40,0)),0)=1)*(COUNTIF(G458:I475,$B489)+COUNTIF(G458:I475,$B489&amp;" ~*")&gt;0)+(IFERROR(INDEX(Setup!$G$33:$G$40,MATCH(K489,Setup!$B$33:$B$40,0)),0)=1)*(COUNTIF(K458:M475,$B489)+COUNTIF(K458:M475,$B489&amp;" ~*")&gt;0)+(IFERROR(INDEX(Setup!$G$33:$G$40,MATCH(O489,Setup!$B$33:$B$40,0)),0)=1)*(COUNTIF(O458:Q475,$B489)+COUNTIF(O458:Q475,$B489&amp;" ~*")&gt;0)+(IFERROR(INDEX(Setup!$G$33:$G$40,MATCH(S489,Setup!$B$33:$B$40,0)),0)=1)*(COUNTIF(S458:U475,$B489)+COUNTIF(S458:U475,$B489&amp;" ~*")&gt;0)+(IFERROR(INDEX(Setup!$G$33:$G$40,MATCH(W489,Setup!$B$33:$B$40,0)),0)=1)*(COUNTIF(W458:W475,$B489)+COUNTIF(W458:W475,$B489&amp;" ~*")&gt;0)+(IFERROR(INDEX(Setup!$G$33:$G$40,MATCH(Y489,Setup!$B$33:$B$40,0)),0)=1)*(COUNTIF(Y458:Y475,$B489)+COUNTIF(Y458:Y475,$B489&amp;" ~*")&gt;0))</f>
        <v/>
      </c>
    </row>
    <row r="490" ht="15" customHeight="1">
      <c r="A490" t="n">
        <v>10</v>
      </c>
      <c r="B490" s="37">
        <f>IF(Setup!$B$19="","",Setup!$B$19)</f>
        <v/>
      </c>
      <c r="C490" s="102" t="n"/>
      <c r="D490" s="103" t="n"/>
      <c r="E490" s="103" t="n"/>
      <c r="F490" s="104" t="n"/>
      <c r="G490" s="102" t="n"/>
      <c r="H490" s="103" t="n"/>
      <c r="I490" s="103" t="n"/>
      <c r="J490" s="104" t="n"/>
      <c r="K490" s="102" t="n"/>
      <c r="L490" s="103" t="n"/>
      <c r="M490" s="103" t="n"/>
      <c r="N490" s="104" t="n"/>
      <c r="O490" s="102" t="inlineStr">
        <is>
          <t>AL</t>
        </is>
      </c>
      <c r="P490" s="103" t="n"/>
      <c r="Q490" s="103" t="n"/>
      <c r="R490" s="104" t="n"/>
      <c r="S490" s="102" t="inlineStr">
        <is>
          <t>AL</t>
        </is>
      </c>
      <c r="T490" s="103" t="n"/>
      <c r="U490" s="103" t="n"/>
      <c r="V490" s="104" t="n"/>
      <c r="W490" s="102" t="n"/>
      <c r="X490" s="104" t="n"/>
      <c r="Y490" s="102" t="n"/>
      <c r="Z490" s="104" t="n"/>
      <c r="AB490" s="105">
        <f>IF($B490="","",(COUNTIF(C458:E475,$B490)+COUNTIF(C458:E475,$B490&amp;" ~*")&gt;0)+(COUNTIF(G458:I475,$B490)+COUNTIF(G458:I475,$B490&amp;" ~*")&gt;0)+(COUNTIF(K458:M475,$B490)+COUNTIF(K458:M475,$B490&amp;" ~*")&gt;0)+(COUNTIF(O458:Q475,$B490)+COUNTIF(O458:Q475,$B490&amp;" ~*")&gt;0)+(COUNTIF(S458:U475,$B490)+COUNTIF(S458:U475,$B490&amp;" ~*")&gt;0)+(COUNTIF(W458:W475,$B490)+COUNTIF(W458:W475,$B490&amp;" ~*")&gt;0)+(COUNTIF(Y458:Y475,$B490)+COUNTIF(Y458:Y475,$B490&amp;" ~*")&gt;0))</f>
        <v/>
      </c>
      <c r="AC490" s="38">
        <f>IF($B490="","",(IFERROR(INDEX(Setup!$G$33:$G$40,MATCH(C490,Setup!$B$33:$B$40,0)),0)=1)*(COUNTIF(C458:E475,$B490)+COUNTIF(C458:E475,$B490&amp;" ~*")&gt;0)+(IFERROR(INDEX(Setup!$G$33:$G$40,MATCH(G490,Setup!$B$33:$B$40,0)),0)=1)*(COUNTIF(G458:I475,$B490)+COUNTIF(G458:I475,$B490&amp;" ~*")&gt;0)+(IFERROR(INDEX(Setup!$G$33:$G$40,MATCH(K490,Setup!$B$33:$B$40,0)),0)=1)*(COUNTIF(K458:M475,$B490)+COUNTIF(K458:M475,$B490&amp;" ~*")&gt;0)+(IFERROR(INDEX(Setup!$G$33:$G$40,MATCH(O490,Setup!$B$33:$B$40,0)),0)=1)*(COUNTIF(O458:Q475,$B490)+COUNTIF(O458:Q475,$B490&amp;" ~*")&gt;0)+(IFERROR(INDEX(Setup!$G$33:$G$40,MATCH(S490,Setup!$B$33:$B$40,0)),0)=1)*(COUNTIF(S458:U475,$B490)+COUNTIF(S458:U475,$B490&amp;" ~*")&gt;0)+(IFERROR(INDEX(Setup!$G$33:$G$40,MATCH(W490,Setup!$B$33:$B$40,0)),0)=1)*(COUNTIF(W458:W475,$B490)+COUNTIF(W458:W475,$B490&amp;" ~*")&gt;0)+(IFERROR(INDEX(Setup!$G$33:$G$40,MATCH(Y490,Setup!$B$33:$B$40,0)),0)=1)*(COUNTIF(Y458:Y475,$B490)+COUNTIF(Y458:Y475,$B490&amp;" ~*")&gt;0))</f>
        <v/>
      </c>
    </row>
    <row r="491" ht="15" customHeight="1">
      <c r="A491" t="n">
        <v>10</v>
      </c>
      <c r="B491" s="35">
        <f>IF(Setup!$B$20="","",Setup!$B$20)</f>
        <v/>
      </c>
      <c r="C491" s="98" t="n"/>
      <c r="D491" s="99" t="n"/>
      <c r="E491" s="99" t="n"/>
      <c r="F491" s="100" t="n"/>
      <c r="G491" s="98" t="n"/>
      <c r="H491" s="99" t="n"/>
      <c r="I491" s="99" t="n"/>
      <c r="J491" s="100" t="n"/>
      <c r="K491" s="98" t="n"/>
      <c r="L491" s="99" t="n"/>
      <c r="M491" s="99" t="n"/>
      <c r="N491" s="100" t="n"/>
      <c r="O491" s="98" t="n"/>
      <c r="P491" s="99" t="n"/>
      <c r="Q491" s="99" t="n"/>
      <c r="R491" s="100" t="n"/>
      <c r="S491" s="98" t="n"/>
      <c r="T491" s="99" t="n"/>
      <c r="U491" s="99" t="n"/>
      <c r="V491" s="100" t="n"/>
      <c r="W491" s="98" t="n"/>
      <c r="X491" s="100" t="n"/>
      <c r="Y491" s="98" t="n"/>
      <c r="Z491" s="100" t="n"/>
      <c r="AB491" s="101">
        <f>IF($B491="","",(COUNTIF(C458:E475,$B491)+COUNTIF(C458:E475,$B491&amp;" ~*")&gt;0)+(COUNTIF(G458:I475,$B491)+COUNTIF(G458:I475,$B491&amp;" ~*")&gt;0)+(COUNTIF(K458:M475,$B491)+COUNTIF(K458:M475,$B491&amp;" ~*")&gt;0)+(COUNTIF(O458:Q475,$B491)+COUNTIF(O458:Q475,$B491&amp;" ~*")&gt;0)+(COUNTIF(S458:U475,$B491)+COUNTIF(S458:U475,$B491&amp;" ~*")&gt;0)+(COUNTIF(W458:W475,$B491)+COUNTIF(W458:W475,$B491&amp;" ~*")&gt;0)+(COUNTIF(Y458:Y475,$B491)+COUNTIF(Y458:Y475,$B491&amp;" ~*")&gt;0))</f>
        <v/>
      </c>
      <c r="AC491" s="36">
        <f>IF($B491="","",(IFERROR(INDEX(Setup!$G$33:$G$40,MATCH(C491,Setup!$B$33:$B$40,0)),0)=1)*(COUNTIF(C458:E475,$B491)+COUNTIF(C458:E475,$B491&amp;" ~*")&gt;0)+(IFERROR(INDEX(Setup!$G$33:$G$40,MATCH(G491,Setup!$B$33:$B$40,0)),0)=1)*(COUNTIF(G458:I475,$B491)+COUNTIF(G458:I475,$B491&amp;" ~*")&gt;0)+(IFERROR(INDEX(Setup!$G$33:$G$40,MATCH(K491,Setup!$B$33:$B$40,0)),0)=1)*(COUNTIF(K458:M475,$B491)+COUNTIF(K458:M475,$B491&amp;" ~*")&gt;0)+(IFERROR(INDEX(Setup!$G$33:$G$40,MATCH(O491,Setup!$B$33:$B$40,0)),0)=1)*(COUNTIF(O458:Q475,$B491)+COUNTIF(O458:Q475,$B491&amp;" ~*")&gt;0)+(IFERROR(INDEX(Setup!$G$33:$G$40,MATCH(S491,Setup!$B$33:$B$40,0)),0)=1)*(COUNTIF(S458:U475,$B491)+COUNTIF(S458:U475,$B491&amp;" ~*")&gt;0)+(IFERROR(INDEX(Setup!$G$33:$G$40,MATCH(W491,Setup!$B$33:$B$40,0)),0)=1)*(COUNTIF(W458:W475,$B491)+COUNTIF(W458:W475,$B491&amp;" ~*")&gt;0)+(IFERROR(INDEX(Setup!$G$33:$G$40,MATCH(Y491,Setup!$B$33:$B$40,0)),0)=1)*(COUNTIF(Y458:Y475,$B491)+COUNTIF(Y458:Y475,$B491&amp;" ~*")&gt;0))</f>
        <v/>
      </c>
    </row>
    <row r="492" ht="15" customHeight="1">
      <c r="A492" t="n">
        <v>10</v>
      </c>
      <c r="B492" s="37">
        <f>IF(Setup!$B$21="","",Setup!$B$21)</f>
        <v/>
      </c>
      <c r="C492" s="102" t="n"/>
      <c r="D492" s="103" t="n"/>
      <c r="E492" s="103" t="n"/>
      <c r="F492" s="104" t="n"/>
      <c r="G492" s="102" t="n"/>
      <c r="H492" s="103" t="n"/>
      <c r="I492" s="103" t="n"/>
      <c r="J492" s="104" t="n"/>
      <c r="K492" s="102" t="n"/>
      <c r="L492" s="103" t="n"/>
      <c r="M492" s="103" t="n"/>
      <c r="N492" s="104" t="n"/>
      <c r="O492" s="102" t="n"/>
      <c r="P492" s="103" t="n"/>
      <c r="Q492" s="103" t="n"/>
      <c r="R492" s="104" t="n"/>
      <c r="S492" s="102" t="n"/>
      <c r="T492" s="103" t="n"/>
      <c r="U492" s="103" t="n"/>
      <c r="V492" s="104" t="n"/>
      <c r="W492" s="102" t="n"/>
      <c r="X492" s="104" t="n"/>
      <c r="Y492" s="102" t="n"/>
      <c r="Z492" s="104" t="n"/>
      <c r="AB492" s="105">
        <f>IF($B492="","",(COUNTIF(C458:E475,$B492)+COUNTIF(C458:E475,$B492&amp;" ~*")&gt;0)+(COUNTIF(G458:I475,$B492)+COUNTIF(G458:I475,$B492&amp;" ~*")&gt;0)+(COUNTIF(K458:M475,$B492)+COUNTIF(K458:M475,$B492&amp;" ~*")&gt;0)+(COUNTIF(O458:Q475,$B492)+COUNTIF(O458:Q475,$B492&amp;" ~*")&gt;0)+(COUNTIF(S458:U475,$B492)+COUNTIF(S458:U475,$B492&amp;" ~*")&gt;0)+(COUNTIF(W458:W475,$B492)+COUNTIF(W458:W475,$B492&amp;" ~*")&gt;0)+(COUNTIF(Y458:Y475,$B492)+COUNTIF(Y458:Y475,$B492&amp;" ~*")&gt;0))</f>
        <v/>
      </c>
      <c r="AC492" s="38">
        <f>IF($B492="","",(IFERROR(INDEX(Setup!$G$33:$G$40,MATCH(C492,Setup!$B$33:$B$40,0)),0)=1)*(COUNTIF(C458:E475,$B492)+COUNTIF(C458:E475,$B492&amp;" ~*")&gt;0)+(IFERROR(INDEX(Setup!$G$33:$G$40,MATCH(G492,Setup!$B$33:$B$40,0)),0)=1)*(COUNTIF(G458:I475,$B492)+COUNTIF(G458:I475,$B492&amp;" ~*")&gt;0)+(IFERROR(INDEX(Setup!$G$33:$G$40,MATCH(K492,Setup!$B$33:$B$40,0)),0)=1)*(COUNTIF(K458:M475,$B492)+COUNTIF(K458:M475,$B492&amp;" ~*")&gt;0)+(IFERROR(INDEX(Setup!$G$33:$G$40,MATCH(O492,Setup!$B$33:$B$40,0)),0)=1)*(COUNTIF(O458:Q475,$B492)+COUNTIF(O458:Q475,$B492&amp;" ~*")&gt;0)+(IFERROR(INDEX(Setup!$G$33:$G$40,MATCH(S492,Setup!$B$33:$B$40,0)),0)=1)*(COUNTIF(S458:U475,$B492)+COUNTIF(S458:U475,$B492&amp;" ~*")&gt;0)+(IFERROR(INDEX(Setup!$G$33:$G$40,MATCH(W492,Setup!$B$33:$B$40,0)),0)=1)*(COUNTIF(W458:W475,$B492)+COUNTIF(W458:W475,$B492&amp;" ~*")&gt;0)+(IFERROR(INDEX(Setup!$G$33:$G$40,MATCH(Y492,Setup!$B$33:$B$40,0)),0)=1)*(COUNTIF(Y458:Y475,$B492)+COUNTIF(Y458:Y475,$B492&amp;" ~*")&gt;0))</f>
        <v/>
      </c>
    </row>
    <row r="493" ht="15" customHeight="1">
      <c r="A493" t="n">
        <v>10</v>
      </c>
      <c r="B493" s="35">
        <f>IF(Setup!$B$22="","",Setup!$B$22)</f>
        <v/>
      </c>
      <c r="C493" s="98" t="n"/>
      <c r="D493" s="99" t="n"/>
      <c r="E493" s="99" t="n"/>
      <c r="F493" s="100" t="n"/>
      <c r="G493" s="98" t="n"/>
      <c r="H493" s="99" t="n"/>
      <c r="I493" s="99" t="n"/>
      <c r="J493" s="100" t="n"/>
      <c r="K493" s="98" t="n"/>
      <c r="L493" s="99" t="n"/>
      <c r="M493" s="99" t="n"/>
      <c r="N493" s="100" t="n"/>
      <c r="O493" s="98" t="n"/>
      <c r="P493" s="99" t="n"/>
      <c r="Q493" s="99" t="n"/>
      <c r="R493" s="100" t="n"/>
      <c r="S493" s="98" t="n"/>
      <c r="T493" s="99" t="n"/>
      <c r="U493" s="99" t="n"/>
      <c r="V493" s="100" t="n"/>
      <c r="W493" s="98" t="n"/>
      <c r="X493" s="100" t="n"/>
      <c r="Y493" s="98" t="n"/>
      <c r="Z493" s="100" t="n"/>
      <c r="AB493" s="101">
        <f>IF($B493="","",(COUNTIF(C458:E475,$B493)+COUNTIF(C458:E475,$B493&amp;" ~*")&gt;0)+(COUNTIF(G458:I475,$B493)+COUNTIF(G458:I475,$B493&amp;" ~*")&gt;0)+(COUNTIF(K458:M475,$B493)+COUNTIF(K458:M475,$B493&amp;" ~*")&gt;0)+(COUNTIF(O458:Q475,$B493)+COUNTIF(O458:Q475,$B493&amp;" ~*")&gt;0)+(COUNTIF(S458:U475,$B493)+COUNTIF(S458:U475,$B493&amp;" ~*")&gt;0)+(COUNTIF(W458:W475,$B493)+COUNTIF(W458:W475,$B493&amp;" ~*")&gt;0)+(COUNTIF(Y458:Y475,$B493)+COUNTIF(Y458:Y475,$B493&amp;" ~*")&gt;0))</f>
        <v/>
      </c>
      <c r="AC493" s="36">
        <f>IF($B493="","",(IFERROR(INDEX(Setup!$G$33:$G$40,MATCH(C493,Setup!$B$33:$B$40,0)),0)=1)*(COUNTIF(C458:E475,$B493)+COUNTIF(C458:E475,$B493&amp;" ~*")&gt;0)+(IFERROR(INDEX(Setup!$G$33:$G$40,MATCH(G493,Setup!$B$33:$B$40,0)),0)=1)*(COUNTIF(G458:I475,$B493)+COUNTIF(G458:I475,$B493&amp;" ~*")&gt;0)+(IFERROR(INDEX(Setup!$G$33:$G$40,MATCH(K493,Setup!$B$33:$B$40,0)),0)=1)*(COUNTIF(K458:M475,$B493)+COUNTIF(K458:M475,$B493&amp;" ~*")&gt;0)+(IFERROR(INDEX(Setup!$G$33:$G$40,MATCH(O493,Setup!$B$33:$B$40,0)),0)=1)*(COUNTIF(O458:Q475,$B493)+COUNTIF(O458:Q475,$B493&amp;" ~*")&gt;0)+(IFERROR(INDEX(Setup!$G$33:$G$40,MATCH(S493,Setup!$B$33:$B$40,0)),0)=1)*(COUNTIF(S458:U475,$B493)+COUNTIF(S458:U475,$B493&amp;" ~*")&gt;0)+(IFERROR(INDEX(Setup!$G$33:$G$40,MATCH(W493,Setup!$B$33:$B$40,0)),0)=1)*(COUNTIF(W458:W475,$B493)+COUNTIF(W458:W475,$B493&amp;" ~*")&gt;0)+(IFERROR(INDEX(Setup!$G$33:$G$40,MATCH(Y493,Setup!$B$33:$B$40,0)),0)=1)*(COUNTIF(Y458:Y475,$B493)+COUNTIF(Y458:Y475,$B493&amp;" ~*")&gt;0))</f>
        <v/>
      </c>
    </row>
    <row r="494" ht="15" customHeight="1">
      <c r="A494" t="n">
        <v>10</v>
      </c>
      <c r="B494" s="37">
        <f>IF(Setup!$B$23="","",Setup!$B$23)</f>
        <v/>
      </c>
      <c r="C494" s="102" t="n"/>
      <c r="D494" s="103" t="n"/>
      <c r="E494" s="103" t="n"/>
      <c r="F494" s="104" t="n"/>
      <c r="G494" s="102" t="n"/>
      <c r="H494" s="103" t="n"/>
      <c r="I494" s="103" t="n"/>
      <c r="J494" s="104" t="n"/>
      <c r="K494" s="102" t="n"/>
      <c r="L494" s="103" t="n"/>
      <c r="M494" s="103" t="n"/>
      <c r="N494" s="104" t="n"/>
      <c r="O494" s="102" t="n"/>
      <c r="P494" s="103" t="n"/>
      <c r="Q494" s="103" t="n"/>
      <c r="R494" s="104" t="n"/>
      <c r="S494" s="102" t="n"/>
      <c r="T494" s="103" t="n"/>
      <c r="U494" s="103" t="n"/>
      <c r="V494" s="104" t="n"/>
      <c r="W494" s="102" t="n"/>
      <c r="X494" s="104" t="n"/>
      <c r="Y494" s="102" t="n"/>
      <c r="Z494" s="104" t="n"/>
      <c r="AB494" s="105">
        <f>IF($B494="","",(COUNTIF(C458:E475,$B494)+COUNTIF(C458:E475,$B494&amp;" ~*")&gt;0)+(COUNTIF(G458:I475,$B494)+COUNTIF(G458:I475,$B494&amp;" ~*")&gt;0)+(COUNTIF(K458:M475,$B494)+COUNTIF(K458:M475,$B494&amp;" ~*")&gt;0)+(COUNTIF(O458:Q475,$B494)+COUNTIF(O458:Q475,$B494&amp;" ~*")&gt;0)+(COUNTIF(S458:U475,$B494)+COUNTIF(S458:U475,$B494&amp;" ~*")&gt;0)+(COUNTIF(W458:W475,$B494)+COUNTIF(W458:W475,$B494&amp;" ~*")&gt;0)+(COUNTIF(Y458:Y475,$B494)+COUNTIF(Y458:Y475,$B494&amp;" ~*")&gt;0))</f>
        <v/>
      </c>
      <c r="AC494" s="38">
        <f>IF($B494="","",(IFERROR(INDEX(Setup!$G$33:$G$40,MATCH(C494,Setup!$B$33:$B$40,0)),0)=1)*(COUNTIF(C458:E475,$B494)+COUNTIF(C458:E475,$B494&amp;" ~*")&gt;0)+(IFERROR(INDEX(Setup!$G$33:$G$40,MATCH(G494,Setup!$B$33:$B$40,0)),0)=1)*(COUNTIF(G458:I475,$B494)+COUNTIF(G458:I475,$B494&amp;" ~*")&gt;0)+(IFERROR(INDEX(Setup!$G$33:$G$40,MATCH(K494,Setup!$B$33:$B$40,0)),0)=1)*(COUNTIF(K458:M475,$B494)+COUNTIF(K458:M475,$B494&amp;" ~*")&gt;0)+(IFERROR(INDEX(Setup!$G$33:$G$40,MATCH(O494,Setup!$B$33:$B$40,0)),0)=1)*(COUNTIF(O458:Q475,$B494)+COUNTIF(O458:Q475,$B494&amp;" ~*")&gt;0)+(IFERROR(INDEX(Setup!$G$33:$G$40,MATCH(S494,Setup!$B$33:$B$40,0)),0)=1)*(COUNTIF(S458:U475,$B494)+COUNTIF(S458:U475,$B494&amp;" ~*")&gt;0)+(IFERROR(INDEX(Setup!$G$33:$G$40,MATCH(W494,Setup!$B$33:$B$40,0)),0)=1)*(COUNTIF(W458:W475,$B494)+COUNTIF(W458:W475,$B494&amp;" ~*")&gt;0)+(IFERROR(INDEX(Setup!$G$33:$G$40,MATCH(Y494,Setup!$B$33:$B$40,0)),0)=1)*(COUNTIF(Y458:Y475,$B494)+COUNTIF(Y458:Y475,$B494&amp;" ~*")&gt;0))</f>
        <v/>
      </c>
    </row>
    <row r="495" ht="15" customHeight="1">
      <c r="A495" t="n">
        <v>10</v>
      </c>
      <c r="B495" s="35">
        <f>IF(Setup!$B$24="","",Setup!$B$24)</f>
        <v/>
      </c>
      <c r="C495" s="98" t="n"/>
      <c r="D495" s="99" t="n"/>
      <c r="E495" s="99" t="n"/>
      <c r="F495" s="100" t="n"/>
      <c r="G495" s="98" t="n"/>
      <c r="H495" s="99" t="n"/>
      <c r="I495" s="99" t="n"/>
      <c r="J495" s="100" t="n"/>
      <c r="K495" s="98" t="n"/>
      <c r="L495" s="99" t="n"/>
      <c r="M495" s="99" t="n"/>
      <c r="N495" s="100" t="n"/>
      <c r="O495" s="98" t="n"/>
      <c r="P495" s="99" t="n"/>
      <c r="Q495" s="99" t="n"/>
      <c r="R495" s="100" t="n"/>
      <c r="S495" s="98" t="n"/>
      <c r="T495" s="99" t="n"/>
      <c r="U495" s="99" t="n"/>
      <c r="V495" s="100" t="n"/>
      <c r="W495" s="98" t="n"/>
      <c r="X495" s="100" t="n"/>
      <c r="Y495" s="98" t="n"/>
      <c r="Z495" s="100" t="n"/>
      <c r="AB495" s="101">
        <f>IF($B495="","",(COUNTIF(C458:E475,$B495)+COUNTIF(C458:E475,$B495&amp;" ~*")&gt;0)+(COUNTIF(G458:I475,$B495)+COUNTIF(G458:I475,$B495&amp;" ~*")&gt;0)+(COUNTIF(K458:M475,$B495)+COUNTIF(K458:M475,$B495&amp;" ~*")&gt;0)+(COUNTIF(O458:Q475,$B495)+COUNTIF(O458:Q475,$B495&amp;" ~*")&gt;0)+(COUNTIF(S458:U475,$B495)+COUNTIF(S458:U475,$B495&amp;" ~*")&gt;0)+(COUNTIF(W458:W475,$B495)+COUNTIF(W458:W475,$B495&amp;" ~*")&gt;0)+(COUNTIF(Y458:Y475,$B495)+COUNTIF(Y458:Y475,$B495&amp;" ~*")&gt;0))</f>
        <v/>
      </c>
      <c r="AC495" s="36">
        <f>IF($B495="","",(IFERROR(INDEX(Setup!$G$33:$G$40,MATCH(C495,Setup!$B$33:$B$40,0)),0)=1)*(COUNTIF(C458:E475,$B495)+COUNTIF(C458:E475,$B495&amp;" ~*")&gt;0)+(IFERROR(INDEX(Setup!$G$33:$G$40,MATCH(G495,Setup!$B$33:$B$40,0)),0)=1)*(COUNTIF(G458:I475,$B495)+COUNTIF(G458:I475,$B495&amp;" ~*")&gt;0)+(IFERROR(INDEX(Setup!$G$33:$G$40,MATCH(K495,Setup!$B$33:$B$40,0)),0)=1)*(COUNTIF(K458:M475,$B495)+COUNTIF(K458:M475,$B495&amp;" ~*")&gt;0)+(IFERROR(INDEX(Setup!$G$33:$G$40,MATCH(O495,Setup!$B$33:$B$40,0)),0)=1)*(COUNTIF(O458:Q475,$B495)+COUNTIF(O458:Q475,$B495&amp;" ~*")&gt;0)+(IFERROR(INDEX(Setup!$G$33:$G$40,MATCH(S495,Setup!$B$33:$B$40,0)),0)=1)*(COUNTIF(S458:U475,$B495)+COUNTIF(S458:U475,$B495&amp;" ~*")&gt;0)+(IFERROR(INDEX(Setup!$G$33:$G$40,MATCH(W495,Setup!$B$33:$B$40,0)),0)=1)*(COUNTIF(W458:W475,$B495)+COUNTIF(W458:W475,$B495&amp;" ~*")&gt;0)+(IFERROR(INDEX(Setup!$G$33:$G$40,MATCH(Y495,Setup!$B$33:$B$40,0)),0)=1)*(COUNTIF(Y458:Y475,$B495)+COUNTIF(Y458:Y475,$B495&amp;" ~*")&gt;0))</f>
        <v/>
      </c>
    </row>
    <row r="496" ht="15" customHeight="1">
      <c r="A496" t="n">
        <v>10</v>
      </c>
      <c r="B496" s="37">
        <f>IF(Setup!$B$25="","",Setup!$B$25)</f>
        <v/>
      </c>
      <c r="C496" s="102" t="n"/>
      <c r="D496" s="103" t="n"/>
      <c r="E496" s="103" t="n"/>
      <c r="F496" s="104" t="n"/>
      <c r="G496" s="102" t="n"/>
      <c r="H496" s="103" t="n"/>
      <c r="I496" s="103" t="n"/>
      <c r="J496" s="104" t="n"/>
      <c r="K496" s="102" t="n"/>
      <c r="L496" s="103" t="n"/>
      <c r="M496" s="103" t="n"/>
      <c r="N496" s="104" t="n"/>
      <c r="O496" s="102" t="n"/>
      <c r="P496" s="103" t="n"/>
      <c r="Q496" s="103" t="n"/>
      <c r="R496" s="104" t="n"/>
      <c r="S496" s="102" t="n"/>
      <c r="T496" s="103" t="n"/>
      <c r="U496" s="103" t="n"/>
      <c r="V496" s="104" t="n"/>
      <c r="W496" s="102" t="n"/>
      <c r="X496" s="104" t="n"/>
      <c r="Y496" s="102" t="n"/>
      <c r="Z496" s="104" t="n"/>
      <c r="AB496" s="105">
        <f>IF($B496="","",(COUNTIF(C458:E475,$B496)+COUNTIF(C458:E475,$B496&amp;" ~*")&gt;0)+(COUNTIF(G458:I475,$B496)+COUNTIF(G458:I475,$B496&amp;" ~*")&gt;0)+(COUNTIF(K458:M475,$B496)+COUNTIF(K458:M475,$B496&amp;" ~*")&gt;0)+(COUNTIF(O458:Q475,$B496)+COUNTIF(O458:Q475,$B496&amp;" ~*")&gt;0)+(COUNTIF(S458:U475,$B496)+COUNTIF(S458:U475,$B496&amp;" ~*")&gt;0)+(COUNTIF(W458:W475,$B496)+COUNTIF(W458:W475,$B496&amp;" ~*")&gt;0)+(COUNTIF(Y458:Y475,$B496)+COUNTIF(Y458:Y475,$B496&amp;" ~*")&gt;0))</f>
        <v/>
      </c>
      <c r="AC496" s="38">
        <f>IF($B496="","",(IFERROR(INDEX(Setup!$G$33:$G$40,MATCH(C496,Setup!$B$33:$B$40,0)),0)=1)*(COUNTIF(C458:E475,$B496)+COUNTIF(C458:E475,$B496&amp;" ~*")&gt;0)+(IFERROR(INDEX(Setup!$G$33:$G$40,MATCH(G496,Setup!$B$33:$B$40,0)),0)=1)*(COUNTIF(G458:I475,$B496)+COUNTIF(G458:I475,$B496&amp;" ~*")&gt;0)+(IFERROR(INDEX(Setup!$G$33:$G$40,MATCH(K496,Setup!$B$33:$B$40,0)),0)=1)*(COUNTIF(K458:M475,$B496)+COUNTIF(K458:M475,$B496&amp;" ~*")&gt;0)+(IFERROR(INDEX(Setup!$G$33:$G$40,MATCH(O496,Setup!$B$33:$B$40,0)),0)=1)*(COUNTIF(O458:Q475,$B496)+COUNTIF(O458:Q475,$B496&amp;" ~*")&gt;0)+(IFERROR(INDEX(Setup!$G$33:$G$40,MATCH(S496,Setup!$B$33:$B$40,0)),0)=1)*(COUNTIF(S458:U475,$B496)+COUNTIF(S458:U475,$B496&amp;" ~*")&gt;0)+(IFERROR(INDEX(Setup!$G$33:$G$40,MATCH(W496,Setup!$B$33:$B$40,0)),0)=1)*(COUNTIF(W458:W475,$B496)+COUNTIF(W458:W475,$B496&amp;" ~*")&gt;0)+(IFERROR(INDEX(Setup!$G$33:$G$40,MATCH(Y496,Setup!$B$33:$B$40,0)),0)=1)*(COUNTIF(Y458:Y475,$B496)+COUNTIF(Y458:Y475,$B496&amp;" ~*")&gt;0))</f>
        <v/>
      </c>
    </row>
    <row r="497" ht="15" customHeight="1">
      <c r="A497" t="n">
        <v>10</v>
      </c>
      <c r="B497" s="35">
        <f>IF(Setup!$B$26="","",Setup!$B$26)</f>
        <v/>
      </c>
      <c r="C497" s="98" t="n"/>
      <c r="D497" s="99" t="n"/>
      <c r="E497" s="99" t="n"/>
      <c r="F497" s="100" t="n"/>
      <c r="G497" s="98" t="n"/>
      <c r="H497" s="99" t="n"/>
      <c r="I497" s="99" t="n"/>
      <c r="J497" s="100" t="n"/>
      <c r="K497" s="98" t="n"/>
      <c r="L497" s="99" t="n"/>
      <c r="M497" s="99" t="n"/>
      <c r="N497" s="100" t="n"/>
      <c r="O497" s="98" t="n"/>
      <c r="P497" s="99" t="n"/>
      <c r="Q497" s="99" t="n"/>
      <c r="R497" s="100" t="n"/>
      <c r="S497" s="98" t="n"/>
      <c r="T497" s="99" t="n"/>
      <c r="U497" s="99" t="n"/>
      <c r="V497" s="100" t="n"/>
      <c r="W497" s="98" t="n"/>
      <c r="X497" s="100" t="n"/>
      <c r="Y497" s="98" t="n"/>
      <c r="Z497" s="100" t="n"/>
      <c r="AB497" s="101">
        <f>IF($B497="","",(COUNTIF(C458:E475,$B497)+COUNTIF(C458:E475,$B497&amp;" ~*")&gt;0)+(COUNTIF(G458:I475,$B497)+COUNTIF(G458:I475,$B497&amp;" ~*")&gt;0)+(COUNTIF(K458:M475,$B497)+COUNTIF(K458:M475,$B497&amp;" ~*")&gt;0)+(COUNTIF(O458:Q475,$B497)+COUNTIF(O458:Q475,$B497&amp;" ~*")&gt;0)+(COUNTIF(S458:U475,$B497)+COUNTIF(S458:U475,$B497&amp;" ~*")&gt;0)+(COUNTIF(W458:W475,$B497)+COUNTIF(W458:W475,$B497&amp;" ~*")&gt;0)+(COUNTIF(Y458:Y475,$B497)+COUNTIF(Y458:Y475,$B497&amp;" ~*")&gt;0))</f>
        <v/>
      </c>
      <c r="AC497" s="36">
        <f>IF($B497="","",(IFERROR(INDEX(Setup!$G$33:$G$40,MATCH(C497,Setup!$B$33:$B$40,0)),0)=1)*(COUNTIF(C458:E475,$B497)+COUNTIF(C458:E475,$B497&amp;" ~*")&gt;0)+(IFERROR(INDEX(Setup!$G$33:$G$40,MATCH(G497,Setup!$B$33:$B$40,0)),0)=1)*(COUNTIF(G458:I475,$B497)+COUNTIF(G458:I475,$B497&amp;" ~*")&gt;0)+(IFERROR(INDEX(Setup!$G$33:$G$40,MATCH(K497,Setup!$B$33:$B$40,0)),0)=1)*(COUNTIF(K458:M475,$B497)+COUNTIF(K458:M475,$B497&amp;" ~*")&gt;0)+(IFERROR(INDEX(Setup!$G$33:$G$40,MATCH(O497,Setup!$B$33:$B$40,0)),0)=1)*(COUNTIF(O458:Q475,$B497)+COUNTIF(O458:Q475,$B497&amp;" ~*")&gt;0)+(IFERROR(INDEX(Setup!$G$33:$G$40,MATCH(S497,Setup!$B$33:$B$40,0)),0)=1)*(COUNTIF(S458:U475,$B497)+COUNTIF(S458:U475,$B497&amp;" ~*")&gt;0)+(IFERROR(INDEX(Setup!$G$33:$G$40,MATCH(W497,Setup!$B$33:$B$40,0)),0)=1)*(COUNTIF(W458:W475,$B497)+COUNTIF(W458:W475,$B497&amp;" ~*")&gt;0)+(IFERROR(INDEX(Setup!$G$33:$G$40,MATCH(Y497,Setup!$B$33:$B$40,0)),0)=1)*(COUNTIF(Y458:Y475,$B497)+COUNTIF(Y458:Y475,$B497&amp;" ~*")&gt;0))</f>
        <v/>
      </c>
    </row>
    <row r="498" ht="15" customHeight="1">
      <c r="A498" t="n">
        <v>10</v>
      </c>
      <c r="B498" s="37">
        <f>IF(Setup!$B$27="","",Setup!$B$27)</f>
        <v/>
      </c>
      <c r="C498" s="102" t="n"/>
      <c r="D498" s="103" t="n"/>
      <c r="E498" s="103" t="n"/>
      <c r="F498" s="104" t="n"/>
      <c r="G498" s="102" t="n"/>
      <c r="H498" s="103" t="n"/>
      <c r="I498" s="103" t="n"/>
      <c r="J498" s="104" t="n"/>
      <c r="K498" s="102" t="n"/>
      <c r="L498" s="103" t="n"/>
      <c r="M498" s="103" t="n"/>
      <c r="N498" s="104" t="n"/>
      <c r="O498" s="102" t="n"/>
      <c r="P498" s="103" t="n"/>
      <c r="Q498" s="103" t="n"/>
      <c r="R498" s="104" t="n"/>
      <c r="S498" s="102" t="n"/>
      <c r="T498" s="103" t="n"/>
      <c r="U498" s="103" t="n"/>
      <c r="V498" s="104" t="n"/>
      <c r="W498" s="102" t="n"/>
      <c r="X498" s="104" t="n"/>
      <c r="Y498" s="102" t="n"/>
      <c r="Z498" s="104" t="n"/>
      <c r="AB498" s="105">
        <f>IF($B498="","",(COUNTIF(C458:E475,$B498)+COUNTIF(C458:E475,$B498&amp;" ~*")&gt;0)+(COUNTIF(G458:I475,$B498)+COUNTIF(G458:I475,$B498&amp;" ~*")&gt;0)+(COUNTIF(K458:M475,$B498)+COUNTIF(K458:M475,$B498&amp;" ~*")&gt;0)+(COUNTIF(O458:Q475,$B498)+COUNTIF(O458:Q475,$B498&amp;" ~*")&gt;0)+(COUNTIF(S458:U475,$B498)+COUNTIF(S458:U475,$B498&amp;" ~*")&gt;0)+(COUNTIF(W458:W475,$B498)+COUNTIF(W458:W475,$B498&amp;" ~*")&gt;0)+(COUNTIF(Y458:Y475,$B498)+COUNTIF(Y458:Y475,$B498&amp;" ~*")&gt;0))</f>
        <v/>
      </c>
      <c r="AC498" s="38">
        <f>IF($B498="","",(IFERROR(INDEX(Setup!$G$33:$G$40,MATCH(C498,Setup!$B$33:$B$40,0)),0)=1)*(COUNTIF(C458:E475,$B498)+COUNTIF(C458:E475,$B498&amp;" ~*")&gt;0)+(IFERROR(INDEX(Setup!$G$33:$G$40,MATCH(G498,Setup!$B$33:$B$40,0)),0)=1)*(COUNTIF(G458:I475,$B498)+COUNTIF(G458:I475,$B498&amp;" ~*")&gt;0)+(IFERROR(INDEX(Setup!$G$33:$G$40,MATCH(K498,Setup!$B$33:$B$40,0)),0)=1)*(COUNTIF(K458:M475,$B498)+COUNTIF(K458:M475,$B498&amp;" ~*")&gt;0)+(IFERROR(INDEX(Setup!$G$33:$G$40,MATCH(O498,Setup!$B$33:$B$40,0)),0)=1)*(COUNTIF(O458:Q475,$B498)+COUNTIF(O458:Q475,$B498&amp;" ~*")&gt;0)+(IFERROR(INDEX(Setup!$G$33:$G$40,MATCH(S498,Setup!$B$33:$B$40,0)),0)=1)*(COUNTIF(S458:U475,$B498)+COUNTIF(S458:U475,$B498&amp;" ~*")&gt;0)+(IFERROR(INDEX(Setup!$G$33:$G$40,MATCH(W498,Setup!$B$33:$B$40,0)),0)=1)*(COUNTIF(W458:W475,$B498)+COUNTIF(W458:W475,$B498&amp;" ~*")&gt;0)+(IFERROR(INDEX(Setup!$G$33:$G$40,MATCH(Y498,Setup!$B$33:$B$40,0)),0)=1)*(COUNTIF(Y458:Y475,$B498)+COUNTIF(Y458:Y475,$B498&amp;" ~*")&gt;0))</f>
        <v/>
      </c>
    </row>
    <row r="499" ht="15" customHeight="1">
      <c r="A499" t="n">
        <v>10</v>
      </c>
      <c r="B499" s="35">
        <f>IF(Setup!$B$28="","",Setup!$B$28)</f>
        <v/>
      </c>
      <c r="C499" s="98" t="n"/>
      <c r="D499" s="99" t="n"/>
      <c r="E499" s="99" t="n"/>
      <c r="F499" s="100" t="n"/>
      <c r="G499" s="98" t="n"/>
      <c r="H499" s="99" t="n"/>
      <c r="I499" s="99" t="n"/>
      <c r="J499" s="100" t="n"/>
      <c r="K499" s="98" t="n"/>
      <c r="L499" s="99" t="n"/>
      <c r="M499" s="99" t="n"/>
      <c r="N499" s="100" t="n"/>
      <c r="O499" s="98" t="n"/>
      <c r="P499" s="99" t="n"/>
      <c r="Q499" s="99" t="n"/>
      <c r="R499" s="100" t="n"/>
      <c r="S499" s="98" t="n"/>
      <c r="T499" s="99" t="n"/>
      <c r="U499" s="99" t="n"/>
      <c r="V499" s="100" t="n"/>
      <c r="W499" s="98" t="n"/>
      <c r="X499" s="100" t="n"/>
      <c r="Y499" s="98" t="n"/>
      <c r="Z499" s="100" t="n"/>
      <c r="AB499" s="101">
        <f>IF($B499="","",(COUNTIF(C458:E475,$B499)+COUNTIF(C458:E475,$B499&amp;" ~*")&gt;0)+(COUNTIF(G458:I475,$B499)+COUNTIF(G458:I475,$B499&amp;" ~*")&gt;0)+(COUNTIF(K458:M475,$B499)+COUNTIF(K458:M475,$B499&amp;" ~*")&gt;0)+(COUNTIF(O458:Q475,$B499)+COUNTIF(O458:Q475,$B499&amp;" ~*")&gt;0)+(COUNTIF(S458:U475,$B499)+COUNTIF(S458:U475,$B499&amp;" ~*")&gt;0)+(COUNTIF(W458:W475,$B499)+COUNTIF(W458:W475,$B499&amp;" ~*")&gt;0)+(COUNTIF(Y458:Y475,$B499)+COUNTIF(Y458:Y475,$B499&amp;" ~*")&gt;0))</f>
        <v/>
      </c>
      <c r="AC499" s="36">
        <f>IF($B499="","",(IFERROR(INDEX(Setup!$G$33:$G$40,MATCH(C499,Setup!$B$33:$B$40,0)),0)=1)*(COUNTIF(C458:E475,$B499)+COUNTIF(C458:E475,$B499&amp;" ~*")&gt;0)+(IFERROR(INDEX(Setup!$G$33:$G$40,MATCH(G499,Setup!$B$33:$B$40,0)),0)=1)*(COUNTIF(G458:I475,$B499)+COUNTIF(G458:I475,$B499&amp;" ~*")&gt;0)+(IFERROR(INDEX(Setup!$G$33:$G$40,MATCH(K499,Setup!$B$33:$B$40,0)),0)=1)*(COUNTIF(K458:M475,$B499)+COUNTIF(K458:M475,$B499&amp;" ~*")&gt;0)+(IFERROR(INDEX(Setup!$G$33:$G$40,MATCH(O499,Setup!$B$33:$B$40,0)),0)=1)*(COUNTIF(O458:Q475,$B499)+COUNTIF(O458:Q475,$B499&amp;" ~*")&gt;0)+(IFERROR(INDEX(Setup!$G$33:$G$40,MATCH(S499,Setup!$B$33:$B$40,0)),0)=1)*(COUNTIF(S458:U475,$B499)+COUNTIF(S458:U475,$B499&amp;" ~*")&gt;0)+(IFERROR(INDEX(Setup!$G$33:$G$40,MATCH(W499,Setup!$B$33:$B$40,0)),0)=1)*(COUNTIF(W458:W475,$B499)+COUNTIF(W458:W475,$B499&amp;" ~*")&gt;0)+(IFERROR(INDEX(Setup!$G$33:$G$40,MATCH(Y499,Setup!$B$33:$B$40,0)),0)=1)*(COUNTIF(Y458:Y475,$B499)+COUNTIF(Y458:Y475,$B499&amp;" ~*")&gt;0))</f>
        <v/>
      </c>
    </row>
    <row r="500" ht="15" customHeight="1">
      <c r="A500" t="n">
        <v>10</v>
      </c>
      <c r="B500" s="37">
        <f>IF(Setup!$B$29="","",Setup!$B$29)</f>
        <v/>
      </c>
      <c r="C500" s="102" t="n"/>
      <c r="D500" s="103" t="n"/>
      <c r="E500" s="103" t="n"/>
      <c r="F500" s="104" t="n"/>
      <c r="G500" s="102" t="n"/>
      <c r="H500" s="103" t="n"/>
      <c r="I500" s="103" t="n"/>
      <c r="J500" s="104" t="n"/>
      <c r="K500" s="102" t="n"/>
      <c r="L500" s="103" t="n"/>
      <c r="M500" s="103" t="n"/>
      <c r="N500" s="104" t="n"/>
      <c r="O500" s="102" t="n"/>
      <c r="P500" s="103" t="n"/>
      <c r="Q500" s="103" t="n"/>
      <c r="R500" s="104" t="n"/>
      <c r="S500" s="102" t="n"/>
      <c r="T500" s="103" t="n"/>
      <c r="U500" s="103" t="n"/>
      <c r="V500" s="104" t="n"/>
      <c r="W500" s="102" t="n"/>
      <c r="X500" s="104" t="n"/>
      <c r="Y500" s="102" t="n"/>
      <c r="Z500" s="104" t="n"/>
      <c r="AB500" s="105">
        <f>IF($B500="","",(COUNTIF(C458:E475,$B500)+COUNTIF(C458:E475,$B500&amp;" ~*")&gt;0)+(COUNTIF(G458:I475,$B500)+COUNTIF(G458:I475,$B500&amp;" ~*")&gt;0)+(COUNTIF(K458:M475,$B500)+COUNTIF(K458:M475,$B500&amp;" ~*")&gt;0)+(COUNTIF(O458:Q475,$B500)+COUNTIF(O458:Q475,$B500&amp;" ~*")&gt;0)+(COUNTIF(S458:U475,$B500)+COUNTIF(S458:U475,$B500&amp;" ~*")&gt;0)+(COUNTIF(W458:W475,$B500)+COUNTIF(W458:W475,$B500&amp;" ~*")&gt;0)+(COUNTIF(Y458:Y475,$B500)+COUNTIF(Y458:Y475,$B500&amp;" ~*")&gt;0))</f>
        <v/>
      </c>
      <c r="AC500" s="38">
        <f>IF($B500="","",(IFERROR(INDEX(Setup!$G$33:$G$40,MATCH(C500,Setup!$B$33:$B$40,0)),0)=1)*(COUNTIF(C458:E475,$B500)+COUNTIF(C458:E475,$B500&amp;" ~*")&gt;0)+(IFERROR(INDEX(Setup!$G$33:$G$40,MATCH(G500,Setup!$B$33:$B$40,0)),0)=1)*(COUNTIF(G458:I475,$B500)+COUNTIF(G458:I475,$B500&amp;" ~*")&gt;0)+(IFERROR(INDEX(Setup!$G$33:$G$40,MATCH(K500,Setup!$B$33:$B$40,0)),0)=1)*(COUNTIF(K458:M475,$B500)+COUNTIF(K458:M475,$B500&amp;" ~*")&gt;0)+(IFERROR(INDEX(Setup!$G$33:$G$40,MATCH(O500,Setup!$B$33:$B$40,0)),0)=1)*(COUNTIF(O458:Q475,$B500)+COUNTIF(O458:Q475,$B500&amp;" ~*")&gt;0)+(IFERROR(INDEX(Setup!$G$33:$G$40,MATCH(S500,Setup!$B$33:$B$40,0)),0)=1)*(COUNTIF(S458:U475,$B500)+COUNTIF(S458:U475,$B500&amp;" ~*")&gt;0)+(IFERROR(INDEX(Setup!$G$33:$G$40,MATCH(W500,Setup!$B$33:$B$40,0)),0)=1)*(COUNTIF(W458:W475,$B500)+COUNTIF(W458:W475,$B500&amp;" ~*")&gt;0)+(IFERROR(INDEX(Setup!$G$33:$G$40,MATCH(Y500,Setup!$B$33:$B$40,0)),0)=1)*(COUNTIF(Y458:Y475,$B500)+COUNTIF(Y458:Y475,$B500&amp;" ~*")&gt;0))</f>
        <v/>
      </c>
    </row>
    <row r="501" ht="16" customHeight="1">
      <c r="A501" t="n">
        <v>10</v>
      </c>
      <c r="B501" s="106" t="inlineStr">
        <is>
          <t>Available people</t>
        </is>
      </c>
      <c r="C501" s="107">
        <f>COUNTIFS(Setup!$E$6:$E$29,"Y",Setup!$B$6:$B$29,"?*")-SUMPRODUCT(COUNTIF(C477:C500,Setup!$F$33:$F$40))</f>
        <v/>
      </c>
      <c r="D501" s="107" t="n"/>
      <c r="E501" s="107" t="n"/>
      <c r="F501" s="107" t="n"/>
      <c r="G501" s="107">
        <f>COUNTIFS(Setup!$E$6:$E$29,"Y",Setup!$B$6:$B$29,"?*")-SUMPRODUCT(COUNTIF(G477:G500,Setup!$F$33:$F$40))</f>
        <v/>
      </c>
      <c r="H501" s="107" t="n"/>
      <c r="I501" s="107" t="n"/>
      <c r="J501" s="107" t="n"/>
      <c r="K501" s="107">
        <f>COUNTIFS(Setup!$E$6:$E$29,"Y",Setup!$B$6:$B$29,"?*")-SUMPRODUCT(COUNTIF(K477:K500,Setup!$F$33:$F$40))</f>
        <v/>
      </c>
      <c r="L501" s="107" t="n"/>
      <c r="M501" s="107" t="n"/>
      <c r="N501" s="107" t="n"/>
      <c r="O501" s="107">
        <f>COUNTIFS(Setup!$E$6:$E$29,"Y",Setup!$B$6:$B$29,"?*")-SUMPRODUCT(COUNTIF(O477:O500,Setup!$F$33:$F$40))</f>
        <v/>
      </c>
      <c r="P501" s="107" t="n"/>
      <c r="Q501" s="107" t="n"/>
      <c r="R501" s="107" t="n"/>
      <c r="S501" s="107">
        <f>COUNTIFS(Setup!$E$6:$E$29,"Y",Setup!$B$6:$B$29,"?*")-SUMPRODUCT(COUNTIF(S477:S500,Setup!$F$33:$F$40))</f>
        <v/>
      </c>
      <c r="T501" s="107" t="n"/>
      <c r="U501" s="107" t="n"/>
      <c r="V501" s="107" t="n"/>
      <c r="W501" s="107">
        <f>COUNTIFS(Setup!$E$6:$E$29,"Y",Setup!$B$6:$B$29,"?*")-SUMPRODUCT(COUNTIF(W477:W500,Setup!$F$33:$F$40))</f>
        <v/>
      </c>
      <c r="X501" s="107" t="n"/>
      <c r="Y501" s="107">
        <f>COUNTIFS(Setup!$E$6:$E$29,"Y",Setup!$B$6:$B$29,"?*")-SUMPRODUCT(COUNTIF(Y477:Y500,Setup!$F$33:$F$40))</f>
        <v/>
      </c>
      <c r="Z501" s="107" t="n"/>
      <c r="AB501" s="108">
        <f>SUM(AB477:AB500)</f>
        <v/>
      </c>
      <c r="AC501" s="109">
        <f>SUM(AC477:AC500)</f>
        <v/>
      </c>
    </row>
    <row r="502" ht="30" customHeight="1">
      <c r="A502" t="n">
        <v>10</v>
      </c>
      <c r="B502" s="110" t="inlineStr">
        <is>
          <t>Week notes</t>
        </is>
      </c>
      <c r="C502" s="111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112" t="n"/>
      <c r="R502" s="112" t="n"/>
      <c r="S502" s="112" t="n"/>
      <c r="T502" s="112" t="n"/>
      <c r="U502" s="112" t="n"/>
      <c r="V502" s="112" t="n"/>
      <c r="W502" s="112" t="n"/>
      <c r="X502" s="112" t="n"/>
      <c r="Y502" s="112" t="n"/>
      <c r="Z502" s="113" t="n"/>
    </row>
    <row r="503" ht="8" customHeight="1">
      <c r="A503" t="n">
        <v>10</v>
      </c>
    </row>
    <row r="504" ht="8" customHeight="1">
      <c r="A504" t="n">
        <v>10</v>
      </c>
    </row>
    <row r="505" ht="24" customHeight="1">
      <c r="A505" t="n">
        <v>11</v>
      </c>
      <c r="B505" s="73">
        <f>"WEEK 11     "&amp;TEXT(C506,"ddd d mmm")&amp;"  –  "&amp;TEXT(C506+6,"ddd d mmm yyyy")</f>
        <v/>
      </c>
      <c r="S505" s="74">
        <f>IF(TODAY()&lt;C506,"FUTURE",IF(TODAY()&gt;C506+6,"PAST","THIS WEEK"))</f>
        <v/>
      </c>
      <c r="W505" s="75">
        <f>IF(AND(Engine!$B$8=$AC$3,Engine!$B$9=$A505),"◀ ACTIVE WEEK","")</f>
        <v/>
      </c>
      <c r="AA505" s="76" t="n"/>
      <c r="AB505" s="77" t="inlineStr">
        <is>
          <t>◀ Prev</t>
        </is>
      </c>
      <c r="AC505" s="77" t="inlineStr">
        <is>
          <t>Next ▶</t>
        </is>
      </c>
    </row>
    <row r="506" ht="18" customHeight="1">
      <c r="A506" t="n">
        <v>11</v>
      </c>
      <c r="B506" s="78" t="inlineStr">
        <is>
          <t>DUTY</t>
        </is>
      </c>
      <c r="C506" s="79">
        <f>$AC$2+7*($A506-1)</f>
        <v/>
      </c>
      <c r="D506" s="80" t="n"/>
      <c r="E506" s="80" t="n"/>
      <c r="F506" s="81" t="n"/>
      <c r="G506" s="79">
        <f>C506+1</f>
        <v/>
      </c>
      <c r="H506" s="80" t="n"/>
      <c r="I506" s="80" t="n"/>
      <c r="J506" s="81" t="n"/>
      <c r="K506" s="79">
        <f>C506+2</f>
        <v/>
      </c>
      <c r="L506" s="80" t="n"/>
      <c r="M506" s="80" t="n"/>
      <c r="N506" s="81" t="n"/>
      <c r="O506" s="79">
        <f>C506+3</f>
        <v/>
      </c>
      <c r="P506" s="80" t="n"/>
      <c r="Q506" s="80" t="n"/>
      <c r="R506" s="81" t="n"/>
      <c r="S506" s="79">
        <f>C506+4</f>
        <v/>
      </c>
      <c r="T506" s="80" t="n"/>
      <c r="U506" s="80" t="n"/>
      <c r="V506" s="81" t="n"/>
      <c r="W506" s="82">
        <f>C506+5</f>
        <v/>
      </c>
      <c r="X506" s="83" t="n"/>
      <c r="Y506" s="82">
        <f>C506+6</f>
        <v/>
      </c>
      <c r="Z506" s="83" t="n"/>
      <c r="AB506" s="72" t="inlineStr">
        <is>
          <t>Gaps</t>
        </is>
      </c>
      <c r="AC506" s="72" t="inlineStr">
        <is>
          <t>Cover</t>
        </is>
      </c>
    </row>
    <row r="507" ht="14" customHeight="1">
      <c r="A507" t="n">
        <v>11</v>
      </c>
      <c r="B507" s="84" t="inlineStr">
        <is>
          <t>(from Setup)</t>
        </is>
      </c>
      <c r="C507" s="85" t="inlineStr">
        <is>
          <t>1</t>
        </is>
      </c>
      <c r="D507" s="85" t="inlineStr">
        <is>
          <t>2</t>
        </is>
      </c>
      <c r="E507" s="85" t="inlineStr">
        <is>
          <t>3</t>
        </is>
      </c>
      <c r="F507" s="85" t="inlineStr">
        <is>
          <t>Notes</t>
        </is>
      </c>
      <c r="G507" s="85" t="inlineStr">
        <is>
          <t>1</t>
        </is>
      </c>
      <c r="H507" s="85" t="inlineStr">
        <is>
          <t>2</t>
        </is>
      </c>
      <c r="I507" s="85" t="inlineStr">
        <is>
          <t>3</t>
        </is>
      </c>
      <c r="J507" s="85" t="inlineStr">
        <is>
          <t>Notes</t>
        </is>
      </c>
      <c r="K507" s="85" t="inlineStr">
        <is>
          <t>1</t>
        </is>
      </c>
      <c r="L507" s="85" t="inlineStr">
        <is>
          <t>2</t>
        </is>
      </c>
      <c r="M507" s="85" t="inlineStr">
        <is>
          <t>3</t>
        </is>
      </c>
      <c r="N507" s="85" t="inlineStr">
        <is>
          <t>Notes</t>
        </is>
      </c>
      <c r="O507" s="85" t="inlineStr">
        <is>
          <t>1</t>
        </is>
      </c>
      <c r="P507" s="85" t="inlineStr">
        <is>
          <t>2</t>
        </is>
      </c>
      <c r="Q507" s="85" t="inlineStr">
        <is>
          <t>3</t>
        </is>
      </c>
      <c r="R507" s="85" t="inlineStr">
        <is>
          <t>Notes</t>
        </is>
      </c>
      <c r="S507" s="85" t="inlineStr">
        <is>
          <t>1</t>
        </is>
      </c>
      <c r="T507" s="85" t="inlineStr">
        <is>
          <t>2</t>
        </is>
      </c>
      <c r="U507" s="85" t="inlineStr">
        <is>
          <t>3</t>
        </is>
      </c>
      <c r="V507" s="85" t="inlineStr">
        <is>
          <t>Notes</t>
        </is>
      </c>
      <c r="W507" s="85" t="inlineStr">
        <is>
          <t>Cover</t>
        </is>
      </c>
      <c r="X507" s="85" t="inlineStr">
        <is>
          <t>Notes</t>
        </is>
      </c>
      <c r="Y507" s="85" t="inlineStr">
        <is>
          <t>Cover</t>
        </is>
      </c>
      <c r="Z507" s="85" t="inlineStr">
        <is>
          <t>Notes</t>
        </is>
      </c>
      <c r="AB507" s="86" t="inlineStr">
        <is>
          <t>weekdays short</t>
        </is>
      </c>
      <c r="AC507" s="87" t="inlineStr"/>
    </row>
    <row r="508" ht="17" customHeight="1">
      <c r="A508" t="n">
        <v>11</v>
      </c>
      <c r="B508" s="24">
        <f>IF(Setup!$K$6="","",Setup!$K$6)</f>
        <v/>
      </c>
      <c r="C508" s="88" t="n"/>
      <c r="D508" s="88" t="n"/>
      <c r="E508" s="88" t="n"/>
      <c r="F508" s="89" t="n"/>
      <c r="G508" s="88" t="n"/>
      <c r="H508" s="88" t="n"/>
      <c r="I508" s="88" t="n"/>
      <c r="J508" s="89" t="n"/>
      <c r="K508" s="88" t="n"/>
      <c r="L508" s="88" t="n"/>
      <c r="M508" s="88" t="n"/>
      <c r="N508" s="89" t="n"/>
      <c r="O508" s="88" t="n"/>
      <c r="P508" s="88" t="n"/>
      <c r="Q508" s="88" t="n"/>
      <c r="R508" s="89" t="n"/>
      <c r="S508" s="88" t="n"/>
      <c r="T508" s="88" t="n"/>
      <c r="U508" s="88" t="n"/>
      <c r="V508" s="89" t="n"/>
      <c r="W508" s="88" t="n"/>
      <c r="X508" s="89" t="n"/>
      <c r="Y508" s="88" t="n"/>
      <c r="Z508" s="89" t="n"/>
      <c r="AB508" s="25">
        <f>IF($B508="","",(COUNTIF(C508:E508,"?*")&lt;N(INDEX(Setup!$L$6:$L$23,1)))+(COUNTIF(G508:I508,"?*")&lt;N(INDEX(Setup!$L$6:$L$23,1)))+(COUNTIF(K508:M508,"?*")&lt;N(INDEX(Setup!$L$6:$L$23,1)))+(COUNTIF(O508:Q508,"?*")&lt;N(INDEX(Setup!$L$6:$L$23,1)))+(COUNTIF(S508:U508,"?*")&lt;N(INDEX(Setup!$L$6:$L$23,1)))+((W508="")*(INDEX(Setup!$M$6:$M$23,1)="Y"))+((Y508="")*(INDEX(Setup!$M$6:$M$23,1)="Y")))</f>
        <v/>
      </c>
      <c r="AC508" s="90">
        <f>IF($B508="","",IF(AB508=0,"✓ covered","⚠ "&amp;AB508&amp;IF(AB508=1," gap"," gaps")))</f>
        <v/>
      </c>
    </row>
    <row r="509" ht="17" customHeight="1">
      <c r="A509" t="n">
        <v>11</v>
      </c>
      <c r="B509" s="29">
        <f>IF(Setup!$K$7="","",Setup!$K$7)</f>
        <v/>
      </c>
      <c r="C509" s="88" t="n"/>
      <c r="D509" s="88" t="n"/>
      <c r="E509" s="88" t="n"/>
      <c r="F509" s="89" t="n"/>
      <c r="G509" s="88" t="n"/>
      <c r="H509" s="88" t="n"/>
      <c r="I509" s="88" t="n"/>
      <c r="J509" s="89" t="n"/>
      <c r="K509" s="88" t="n"/>
      <c r="L509" s="88" t="n"/>
      <c r="M509" s="88" t="n"/>
      <c r="N509" s="89" t="n"/>
      <c r="O509" s="88" t="n"/>
      <c r="P509" s="88" t="n"/>
      <c r="Q509" s="88" t="n"/>
      <c r="R509" s="89" t="n"/>
      <c r="S509" s="88" t="n"/>
      <c r="T509" s="88" t="n"/>
      <c r="U509" s="88" t="n"/>
      <c r="V509" s="89" t="n"/>
      <c r="W509" s="88" t="n"/>
      <c r="X509" s="89" t="n"/>
      <c r="Y509" s="88" t="n"/>
      <c r="Z509" s="89" t="n"/>
      <c r="AB509" s="30">
        <f>IF($B509="","",(COUNTIF(C509:E509,"?*")&lt;N(INDEX(Setup!$L$6:$L$23,2)))+(COUNTIF(G509:I509,"?*")&lt;N(INDEX(Setup!$L$6:$L$23,2)))+(COUNTIF(K509:M509,"?*")&lt;N(INDEX(Setup!$L$6:$L$23,2)))+(COUNTIF(O509:Q509,"?*")&lt;N(INDEX(Setup!$L$6:$L$23,2)))+(COUNTIF(S509:U509,"?*")&lt;N(INDEX(Setup!$L$6:$L$23,2)))+((W509="")*(INDEX(Setup!$M$6:$M$23,2)="Y"))+((Y509="")*(INDEX(Setup!$M$6:$M$23,2)="Y")))</f>
        <v/>
      </c>
      <c r="AC509" s="91">
        <f>IF($B509="","",IF(AB509=0,"✓ covered","⚠ "&amp;AB509&amp;IF(AB509=1," gap"," gaps")))</f>
        <v/>
      </c>
    </row>
    <row r="510" ht="17" customHeight="1">
      <c r="A510" t="n">
        <v>11</v>
      </c>
      <c r="B510" s="24">
        <f>IF(Setup!$K$8="","",Setup!$K$8)</f>
        <v/>
      </c>
      <c r="C510" s="88" t="n"/>
      <c r="D510" s="88" t="n"/>
      <c r="E510" s="88" t="n"/>
      <c r="F510" s="89" t="n"/>
      <c r="G510" s="88" t="n"/>
      <c r="H510" s="88" t="n"/>
      <c r="I510" s="88" t="n"/>
      <c r="J510" s="89" t="n"/>
      <c r="K510" s="88" t="n"/>
      <c r="L510" s="88" t="n"/>
      <c r="M510" s="88" t="n"/>
      <c r="N510" s="89" t="n"/>
      <c r="O510" s="88" t="n"/>
      <c r="P510" s="88" t="n"/>
      <c r="Q510" s="88" t="n"/>
      <c r="R510" s="89" t="n"/>
      <c r="S510" s="88" t="n"/>
      <c r="T510" s="88" t="n"/>
      <c r="U510" s="88" t="n"/>
      <c r="V510" s="89" t="n"/>
      <c r="W510" s="88" t="n"/>
      <c r="X510" s="89" t="n"/>
      <c r="Y510" s="88" t="n"/>
      <c r="Z510" s="89" t="n"/>
      <c r="AB510" s="25">
        <f>IF($B510="","",(COUNTIF(C510:E510,"?*")&lt;N(INDEX(Setup!$L$6:$L$23,3)))+(COUNTIF(G510:I510,"?*")&lt;N(INDEX(Setup!$L$6:$L$23,3)))+(COUNTIF(K510:M510,"?*")&lt;N(INDEX(Setup!$L$6:$L$23,3)))+(COUNTIF(O510:Q510,"?*")&lt;N(INDEX(Setup!$L$6:$L$23,3)))+(COUNTIF(S510:U510,"?*")&lt;N(INDEX(Setup!$L$6:$L$23,3)))+((W510="")*(INDEX(Setup!$M$6:$M$23,3)="Y"))+((Y510="")*(INDEX(Setup!$M$6:$M$23,3)="Y")))</f>
        <v/>
      </c>
      <c r="AC510" s="90">
        <f>IF($B510="","",IF(AB510=0,"✓ covered","⚠ "&amp;AB510&amp;IF(AB510=1," gap"," gaps")))</f>
        <v/>
      </c>
    </row>
    <row r="511" ht="17" customHeight="1">
      <c r="A511" t="n">
        <v>11</v>
      </c>
      <c r="B511" s="29">
        <f>IF(Setup!$K$9="","",Setup!$K$9)</f>
        <v/>
      </c>
      <c r="C511" s="88" t="n"/>
      <c r="D511" s="88" t="n"/>
      <c r="E511" s="88" t="n"/>
      <c r="F511" s="89" t="n"/>
      <c r="G511" s="88" t="n"/>
      <c r="H511" s="88" t="n"/>
      <c r="I511" s="88" t="n"/>
      <c r="J511" s="89" t="n"/>
      <c r="K511" s="88" t="n"/>
      <c r="L511" s="88" t="n"/>
      <c r="M511" s="88" t="n"/>
      <c r="N511" s="89" t="n"/>
      <c r="O511" s="88" t="n"/>
      <c r="P511" s="88" t="n"/>
      <c r="Q511" s="88" t="n"/>
      <c r="R511" s="89" t="n"/>
      <c r="S511" s="88" t="n"/>
      <c r="T511" s="88" t="n"/>
      <c r="U511" s="88" t="n"/>
      <c r="V511" s="89" t="n"/>
      <c r="W511" s="88" t="n"/>
      <c r="X511" s="89" t="n"/>
      <c r="Y511" s="88" t="n"/>
      <c r="Z511" s="89" t="n"/>
      <c r="AB511" s="30">
        <f>IF($B511="","",(COUNTIF(C511:E511,"?*")&lt;N(INDEX(Setup!$L$6:$L$23,4)))+(COUNTIF(G511:I511,"?*")&lt;N(INDEX(Setup!$L$6:$L$23,4)))+(COUNTIF(K511:M511,"?*")&lt;N(INDEX(Setup!$L$6:$L$23,4)))+(COUNTIF(O511:Q511,"?*")&lt;N(INDEX(Setup!$L$6:$L$23,4)))+(COUNTIF(S511:U511,"?*")&lt;N(INDEX(Setup!$L$6:$L$23,4)))+((W511="")*(INDEX(Setup!$M$6:$M$23,4)="Y"))+((Y511="")*(INDEX(Setup!$M$6:$M$23,4)="Y")))</f>
        <v/>
      </c>
      <c r="AC511" s="91">
        <f>IF($B511="","",IF(AB511=0,"✓ covered","⚠ "&amp;AB511&amp;IF(AB511=1," gap"," gaps")))</f>
        <v/>
      </c>
    </row>
    <row r="512" ht="17" customHeight="1">
      <c r="A512" t="n">
        <v>11</v>
      </c>
      <c r="B512" s="24">
        <f>IF(Setup!$K$10="","",Setup!$K$10)</f>
        <v/>
      </c>
      <c r="C512" s="88" t="n"/>
      <c r="D512" s="88" t="n"/>
      <c r="E512" s="88" t="n"/>
      <c r="F512" s="89" t="n"/>
      <c r="G512" s="88" t="n"/>
      <c r="H512" s="88" t="n"/>
      <c r="I512" s="88" t="n"/>
      <c r="J512" s="89" t="n"/>
      <c r="K512" s="88" t="n"/>
      <c r="L512" s="88" t="n"/>
      <c r="M512" s="88" t="n"/>
      <c r="N512" s="89" t="n"/>
      <c r="O512" s="88" t="n"/>
      <c r="P512" s="88" t="n"/>
      <c r="Q512" s="88" t="n"/>
      <c r="R512" s="89" t="n"/>
      <c r="S512" s="88" t="n"/>
      <c r="T512" s="88" t="n"/>
      <c r="U512" s="88" t="n"/>
      <c r="V512" s="89" t="n"/>
      <c r="W512" s="88" t="n"/>
      <c r="X512" s="89" t="n"/>
      <c r="Y512" s="88" t="n"/>
      <c r="Z512" s="89" t="n"/>
      <c r="AB512" s="25">
        <f>IF($B512="","",(COUNTIF(C512:E512,"?*")&lt;N(INDEX(Setup!$L$6:$L$23,5)))+(COUNTIF(G512:I512,"?*")&lt;N(INDEX(Setup!$L$6:$L$23,5)))+(COUNTIF(K512:M512,"?*")&lt;N(INDEX(Setup!$L$6:$L$23,5)))+(COUNTIF(O512:Q512,"?*")&lt;N(INDEX(Setup!$L$6:$L$23,5)))+(COUNTIF(S512:U512,"?*")&lt;N(INDEX(Setup!$L$6:$L$23,5)))+((W512="")*(INDEX(Setup!$M$6:$M$23,5)="Y"))+((Y512="")*(INDEX(Setup!$M$6:$M$23,5)="Y")))</f>
        <v/>
      </c>
      <c r="AC512" s="90">
        <f>IF($B512="","",IF(AB512=0,"✓ covered","⚠ "&amp;AB512&amp;IF(AB512=1," gap"," gaps")))</f>
        <v/>
      </c>
    </row>
    <row r="513" ht="17" customHeight="1">
      <c r="A513" t="n">
        <v>11</v>
      </c>
      <c r="B513" s="29">
        <f>IF(Setup!$K$11="","",Setup!$K$11)</f>
        <v/>
      </c>
      <c r="C513" s="88" t="n"/>
      <c r="D513" s="88" t="n"/>
      <c r="E513" s="88" t="n"/>
      <c r="F513" s="89" t="n"/>
      <c r="G513" s="88" t="n"/>
      <c r="H513" s="88" t="n"/>
      <c r="I513" s="88" t="n"/>
      <c r="J513" s="89" t="n"/>
      <c r="K513" s="88" t="n"/>
      <c r="L513" s="88" t="n"/>
      <c r="M513" s="88" t="n"/>
      <c r="N513" s="89" t="n"/>
      <c r="O513" s="88" t="n"/>
      <c r="P513" s="88" t="n"/>
      <c r="Q513" s="88" t="n"/>
      <c r="R513" s="89" t="n"/>
      <c r="S513" s="88" t="n"/>
      <c r="T513" s="88" t="n"/>
      <c r="U513" s="88" t="n"/>
      <c r="V513" s="89" t="n"/>
      <c r="W513" s="88" t="n"/>
      <c r="X513" s="89" t="n"/>
      <c r="Y513" s="88" t="n"/>
      <c r="Z513" s="89" t="n"/>
      <c r="AB513" s="30">
        <f>IF($B513="","",(COUNTIF(C513:E513,"?*")&lt;N(INDEX(Setup!$L$6:$L$23,6)))+(COUNTIF(G513:I513,"?*")&lt;N(INDEX(Setup!$L$6:$L$23,6)))+(COUNTIF(K513:M513,"?*")&lt;N(INDEX(Setup!$L$6:$L$23,6)))+(COUNTIF(O513:Q513,"?*")&lt;N(INDEX(Setup!$L$6:$L$23,6)))+(COUNTIF(S513:U513,"?*")&lt;N(INDEX(Setup!$L$6:$L$23,6)))+((W513="")*(INDEX(Setup!$M$6:$M$23,6)="Y"))+((Y513="")*(INDEX(Setup!$M$6:$M$23,6)="Y")))</f>
        <v/>
      </c>
      <c r="AC513" s="91">
        <f>IF($B513="","",IF(AB513=0,"✓ covered","⚠ "&amp;AB513&amp;IF(AB513=1," gap"," gaps")))</f>
        <v/>
      </c>
    </row>
    <row r="514" ht="17" customHeight="1">
      <c r="A514" t="n">
        <v>11</v>
      </c>
      <c r="B514" s="24">
        <f>IF(Setup!$K$12="","",Setup!$K$12)</f>
        <v/>
      </c>
      <c r="C514" s="88" t="n"/>
      <c r="D514" s="88" t="n"/>
      <c r="E514" s="88" t="n"/>
      <c r="F514" s="89" t="n"/>
      <c r="G514" s="88" t="n"/>
      <c r="H514" s="88" t="n"/>
      <c r="I514" s="88" t="n"/>
      <c r="J514" s="89" t="n"/>
      <c r="K514" s="88" t="n"/>
      <c r="L514" s="88" t="n"/>
      <c r="M514" s="88" t="n"/>
      <c r="N514" s="89" t="n"/>
      <c r="O514" s="88" t="n"/>
      <c r="P514" s="88" t="n"/>
      <c r="Q514" s="88" t="n"/>
      <c r="R514" s="89" t="n"/>
      <c r="S514" s="88" t="n"/>
      <c r="T514" s="88" t="n"/>
      <c r="U514" s="88" t="n"/>
      <c r="V514" s="89" t="n"/>
      <c r="W514" s="88" t="n"/>
      <c r="X514" s="89" t="n"/>
      <c r="Y514" s="88" t="n"/>
      <c r="Z514" s="89" t="n"/>
      <c r="AB514" s="25">
        <f>IF($B514="","",(COUNTIF(C514:E514,"?*")&lt;N(INDEX(Setup!$L$6:$L$23,7)))+(COUNTIF(G514:I514,"?*")&lt;N(INDEX(Setup!$L$6:$L$23,7)))+(COUNTIF(K514:M514,"?*")&lt;N(INDEX(Setup!$L$6:$L$23,7)))+(COUNTIF(O514:Q514,"?*")&lt;N(INDEX(Setup!$L$6:$L$23,7)))+(COUNTIF(S514:U514,"?*")&lt;N(INDEX(Setup!$L$6:$L$23,7)))+((W514="")*(INDEX(Setup!$M$6:$M$23,7)="Y"))+((Y514="")*(INDEX(Setup!$M$6:$M$23,7)="Y")))</f>
        <v/>
      </c>
      <c r="AC514" s="90">
        <f>IF($B514="","",IF(AB514=0,"✓ covered","⚠ "&amp;AB514&amp;IF(AB514=1," gap"," gaps")))</f>
        <v/>
      </c>
    </row>
    <row r="515" ht="17" customHeight="1">
      <c r="A515" t="n">
        <v>11</v>
      </c>
      <c r="B515" s="29">
        <f>IF(Setup!$K$13="","",Setup!$K$13)</f>
        <v/>
      </c>
      <c r="C515" s="88" t="n"/>
      <c r="D515" s="88" t="n"/>
      <c r="E515" s="88" t="n"/>
      <c r="F515" s="89" t="n"/>
      <c r="G515" s="88" t="n"/>
      <c r="H515" s="88" t="n"/>
      <c r="I515" s="88" t="n"/>
      <c r="J515" s="89" t="n"/>
      <c r="K515" s="88" t="n"/>
      <c r="L515" s="88" t="n"/>
      <c r="M515" s="88" t="n"/>
      <c r="N515" s="89" t="n"/>
      <c r="O515" s="88" t="n"/>
      <c r="P515" s="88" t="n"/>
      <c r="Q515" s="88" t="n"/>
      <c r="R515" s="89" t="n"/>
      <c r="S515" s="88" t="n"/>
      <c r="T515" s="88" t="n"/>
      <c r="U515" s="88" t="n"/>
      <c r="V515" s="89" t="n"/>
      <c r="W515" s="88" t="n"/>
      <c r="X515" s="89" t="n"/>
      <c r="Y515" s="88" t="n"/>
      <c r="Z515" s="89" t="n"/>
      <c r="AB515" s="30">
        <f>IF($B515="","",(COUNTIF(C515:E515,"?*")&lt;N(INDEX(Setup!$L$6:$L$23,8)))+(COUNTIF(G515:I515,"?*")&lt;N(INDEX(Setup!$L$6:$L$23,8)))+(COUNTIF(K515:M515,"?*")&lt;N(INDEX(Setup!$L$6:$L$23,8)))+(COUNTIF(O515:Q515,"?*")&lt;N(INDEX(Setup!$L$6:$L$23,8)))+(COUNTIF(S515:U515,"?*")&lt;N(INDEX(Setup!$L$6:$L$23,8)))+((W515="")*(INDEX(Setup!$M$6:$M$23,8)="Y"))+((Y515="")*(INDEX(Setup!$M$6:$M$23,8)="Y")))</f>
        <v/>
      </c>
      <c r="AC515" s="91">
        <f>IF($B515="","",IF(AB515=0,"✓ covered","⚠ "&amp;AB515&amp;IF(AB515=1," gap"," gaps")))</f>
        <v/>
      </c>
    </row>
    <row r="516" ht="17" customHeight="1">
      <c r="A516" t="n">
        <v>11</v>
      </c>
      <c r="B516" s="24">
        <f>IF(Setup!$K$14="","",Setup!$K$14)</f>
        <v/>
      </c>
      <c r="C516" s="88" t="n"/>
      <c r="D516" s="88" t="n"/>
      <c r="E516" s="88" t="n"/>
      <c r="F516" s="89" t="n"/>
      <c r="G516" s="88" t="n"/>
      <c r="H516" s="88" t="n"/>
      <c r="I516" s="88" t="n"/>
      <c r="J516" s="89" t="n"/>
      <c r="K516" s="88" t="n"/>
      <c r="L516" s="88" t="n"/>
      <c r="M516" s="88" t="n"/>
      <c r="N516" s="89" t="n"/>
      <c r="O516" s="88" t="n"/>
      <c r="P516" s="88" t="n"/>
      <c r="Q516" s="88" t="n"/>
      <c r="R516" s="89" t="n"/>
      <c r="S516" s="88" t="n"/>
      <c r="T516" s="88" t="n"/>
      <c r="U516" s="88" t="n"/>
      <c r="V516" s="89" t="n"/>
      <c r="W516" s="88" t="n"/>
      <c r="X516" s="89" t="n"/>
      <c r="Y516" s="88" t="n"/>
      <c r="Z516" s="89" t="n"/>
      <c r="AB516" s="25">
        <f>IF($B516="","",(COUNTIF(C516:E516,"?*")&lt;N(INDEX(Setup!$L$6:$L$23,9)))+(COUNTIF(G516:I516,"?*")&lt;N(INDEX(Setup!$L$6:$L$23,9)))+(COUNTIF(K516:M516,"?*")&lt;N(INDEX(Setup!$L$6:$L$23,9)))+(COUNTIF(O516:Q516,"?*")&lt;N(INDEX(Setup!$L$6:$L$23,9)))+(COUNTIF(S516:U516,"?*")&lt;N(INDEX(Setup!$L$6:$L$23,9)))+((W516="")*(INDEX(Setup!$M$6:$M$23,9)="Y"))+((Y516="")*(INDEX(Setup!$M$6:$M$23,9)="Y")))</f>
        <v/>
      </c>
      <c r="AC516" s="90">
        <f>IF($B516="","",IF(AB516=0,"✓ covered","⚠ "&amp;AB516&amp;IF(AB516=1," gap"," gaps")))</f>
        <v/>
      </c>
    </row>
    <row r="517" ht="17" customHeight="1">
      <c r="A517" t="n">
        <v>11</v>
      </c>
      <c r="B517" s="29">
        <f>IF(Setup!$K$15="","",Setup!$K$15)</f>
        <v/>
      </c>
      <c r="C517" s="88" t="n"/>
      <c r="D517" s="88" t="n"/>
      <c r="E517" s="88" t="n"/>
      <c r="F517" s="89" t="n"/>
      <c r="G517" s="88" t="n"/>
      <c r="H517" s="88" t="n"/>
      <c r="I517" s="88" t="n"/>
      <c r="J517" s="89" t="n"/>
      <c r="K517" s="88" t="n"/>
      <c r="L517" s="88" t="n"/>
      <c r="M517" s="88" t="n"/>
      <c r="N517" s="89" t="n"/>
      <c r="O517" s="88" t="n"/>
      <c r="P517" s="88" t="n"/>
      <c r="Q517" s="88" t="n"/>
      <c r="R517" s="89" t="n"/>
      <c r="S517" s="88" t="n"/>
      <c r="T517" s="88" t="n"/>
      <c r="U517" s="88" t="n"/>
      <c r="V517" s="89" t="n"/>
      <c r="W517" s="88" t="n"/>
      <c r="X517" s="89" t="n"/>
      <c r="Y517" s="88" t="n"/>
      <c r="Z517" s="89" t="n"/>
      <c r="AB517" s="30">
        <f>IF($B517="","",(COUNTIF(C517:E517,"?*")&lt;N(INDEX(Setup!$L$6:$L$23,10)))+(COUNTIF(G517:I517,"?*")&lt;N(INDEX(Setup!$L$6:$L$23,10)))+(COUNTIF(K517:M517,"?*")&lt;N(INDEX(Setup!$L$6:$L$23,10)))+(COUNTIF(O517:Q517,"?*")&lt;N(INDEX(Setup!$L$6:$L$23,10)))+(COUNTIF(S517:U517,"?*")&lt;N(INDEX(Setup!$L$6:$L$23,10)))+((W517="")*(INDEX(Setup!$M$6:$M$23,10)="Y"))+((Y517="")*(INDEX(Setup!$M$6:$M$23,10)="Y")))</f>
        <v/>
      </c>
      <c r="AC517" s="91">
        <f>IF($B517="","",IF(AB517=0,"✓ covered","⚠ "&amp;AB517&amp;IF(AB517=1," gap"," gaps")))</f>
        <v/>
      </c>
    </row>
    <row r="518" ht="17" customHeight="1">
      <c r="A518" t="n">
        <v>11</v>
      </c>
      <c r="B518" s="24">
        <f>IF(Setup!$K$16="","",Setup!$K$16)</f>
        <v/>
      </c>
      <c r="C518" s="88" t="n"/>
      <c r="D518" s="88" t="n"/>
      <c r="E518" s="88" t="n"/>
      <c r="F518" s="89" t="n"/>
      <c r="G518" s="88" t="n"/>
      <c r="H518" s="88" t="n"/>
      <c r="I518" s="88" t="n"/>
      <c r="J518" s="89" t="n"/>
      <c r="K518" s="88" t="n"/>
      <c r="L518" s="88" t="n"/>
      <c r="M518" s="88" t="n"/>
      <c r="N518" s="89" t="n"/>
      <c r="O518" s="88" t="n"/>
      <c r="P518" s="88" t="n"/>
      <c r="Q518" s="88" t="n"/>
      <c r="R518" s="89" t="n"/>
      <c r="S518" s="88" t="n"/>
      <c r="T518" s="88" t="n"/>
      <c r="U518" s="88" t="n"/>
      <c r="V518" s="89" t="n"/>
      <c r="W518" s="88" t="n"/>
      <c r="X518" s="89" t="n"/>
      <c r="Y518" s="88" t="n"/>
      <c r="Z518" s="89" t="n"/>
      <c r="AB518" s="25">
        <f>IF($B518="","",(COUNTIF(C518:E518,"?*")&lt;N(INDEX(Setup!$L$6:$L$23,11)))+(COUNTIF(G518:I518,"?*")&lt;N(INDEX(Setup!$L$6:$L$23,11)))+(COUNTIF(K518:M518,"?*")&lt;N(INDEX(Setup!$L$6:$L$23,11)))+(COUNTIF(O518:Q518,"?*")&lt;N(INDEX(Setup!$L$6:$L$23,11)))+(COUNTIF(S518:U518,"?*")&lt;N(INDEX(Setup!$L$6:$L$23,11)))+((W518="")*(INDEX(Setup!$M$6:$M$23,11)="Y"))+((Y518="")*(INDEX(Setup!$M$6:$M$23,11)="Y")))</f>
        <v/>
      </c>
      <c r="AC518" s="90">
        <f>IF($B518="","",IF(AB518=0,"✓ covered","⚠ "&amp;AB518&amp;IF(AB518=1," gap"," gaps")))</f>
        <v/>
      </c>
    </row>
    <row r="519" ht="17" customHeight="1">
      <c r="A519" t="n">
        <v>11</v>
      </c>
      <c r="B519" s="29">
        <f>IF(Setup!$K$17="","",Setup!$K$17)</f>
        <v/>
      </c>
      <c r="C519" s="88" t="n"/>
      <c r="D519" s="88" t="n"/>
      <c r="E519" s="88" t="n"/>
      <c r="F519" s="89" t="n"/>
      <c r="G519" s="88" t="n"/>
      <c r="H519" s="88" t="n"/>
      <c r="I519" s="88" t="n"/>
      <c r="J519" s="89" t="n"/>
      <c r="K519" s="88" t="n"/>
      <c r="L519" s="88" t="n"/>
      <c r="M519" s="88" t="n"/>
      <c r="N519" s="89" t="n"/>
      <c r="O519" s="88" t="n"/>
      <c r="P519" s="88" t="n"/>
      <c r="Q519" s="88" t="n"/>
      <c r="R519" s="89" t="n"/>
      <c r="S519" s="88" t="n"/>
      <c r="T519" s="88" t="n"/>
      <c r="U519" s="88" t="n"/>
      <c r="V519" s="89" t="n"/>
      <c r="W519" s="88" t="n"/>
      <c r="X519" s="89" t="n"/>
      <c r="Y519" s="88" t="n"/>
      <c r="Z519" s="89" t="n"/>
      <c r="AB519" s="30">
        <f>IF($B519="","",(COUNTIF(C519:E519,"?*")&lt;N(INDEX(Setup!$L$6:$L$23,12)))+(COUNTIF(G519:I519,"?*")&lt;N(INDEX(Setup!$L$6:$L$23,12)))+(COUNTIF(K519:M519,"?*")&lt;N(INDEX(Setup!$L$6:$L$23,12)))+(COUNTIF(O519:Q519,"?*")&lt;N(INDEX(Setup!$L$6:$L$23,12)))+(COUNTIF(S519:U519,"?*")&lt;N(INDEX(Setup!$L$6:$L$23,12)))+((W519="")*(INDEX(Setup!$M$6:$M$23,12)="Y"))+((Y519="")*(INDEX(Setup!$M$6:$M$23,12)="Y")))</f>
        <v/>
      </c>
      <c r="AC519" s="91">
        <f>IF($B519="","",IF(AB519=0,"✓ covered","⚠ "&amp;AB519&amp;IF(AB519=1," gap"," gaps")))</f>
        <v/>
      </c>
    </row>
    <row r="520" ht="17" customHeight="1">
      <c r="A520" t="n">
        <v>11</v>
      </c>
      <c r="B520" s="24">
        <f>IF(Setup!$K$18="","",Setup!$K$18)</f>
        <v/>
      </c>
      <c r="C520" s="88" t="n"/>
      <c r="D520" s="88" t="n"/>
      <c r="E520" s="88" t="n"/>
      <c r="F520" s="89" t="n"/>
      <c r="G520" s="88" t="n"/>
      <c r="H520" s="88" t="n"/>
      <c r="I520" s="88" t="n"/>
      <c r="J520" s="89" t="n"/>
      <c r="K520" s="88" t="n"/>
      <c r="L520" s="88" t="n"/>
      <c r="M520" s="88" t="n"/>
      <c r="N520" s="89" t="n"/>
      <c r="O520" s="88" t="n"/>
      <c r="P520" s="88" t="n"/>
      <c r="Q520" s="88" t="n"/>
      <c r="R520" s="89" t="n"/>
      <c r="S520" s="88" t="n"/>
      <c r="T520" s="88" t="n"/>
      <c r="U520" s="88" t="n"/>
      <c r="V520" s="89" t="n"/>
      <c r="W520" s="88" t="n"/>
      <c r="X520" s="89" t="n"/>
      <c r="Y520" s="88" t="n"/>
      <c r="Z520" s="89" t="n"/>
      <c r="AB520" s="25">
        <f>IF($B520="","",(COUNTIF(C520:E520,"?*")&lt;N(INDEX(Setup!$L$6:$L$23,13)))+(COUNTIF(G520:I520,"?*")&lt;N(INDEX(Setup!$L$6:$L$23,13)))+(COUNTIF(K520:M520,"?*")&lt;N(INDEX(Setup!$L$6:$L$23,13)))+(COUNTIF(O520:Q520,"?*")&lt;N(INDEX(Setup!$L$6:$L$23,13)))+(COUNTIF(S520:U520,"?*")&lt;N(INDEX(Setup!$L$6:$L$23,13)))+((W520="")*(INDEX(Setup!$M$6:$M$23,13)="Y"))+((Y520="")*(INDEX(Setup!$M$6:$M$23,13)="Y")))</f>
        <v/>
      </c>
      <c r="AC520" s="90">
        <f>IF($B520="","",IF(AB520=0,"✓ covered","⚠ "&amp;AB520&amp;IF(AB520=1," gap"," gaps")))</f>
        <v/>
      </c>
    </row>
    <row r="521" ht="17" customHeight="1">
      <c r="A521" t="n">
        <v>11</v>
      </c>
      <c r="B521" s="29">
        <f>IF(Setup!$K$19="","",Setup!$K$19)</f>
        <v/>
      </c>
      <c r="C521" s="88" t="n"/>
      <c r="D521" s="88" t="n"/>
      <c r="E521" s="88" t="n"/>
      <c r="F521" s="89" t="n"/>
      <c r="G521" s="88" t="n"/>
      <c r="H521" s="88" t="n"/>
      <c r="I521" s="88" t="n"/>
      <c r="J521" s="89" t="n"/>
      <c r="K521" s="88" t="n"/>
      <c r="L521" s="88" t="n"/>
      <c r="M521" s="88" t="n"/>
      <c r="N521" s="89" t="n"/>
      <c r="O521" s="88" t="n"/>
      <c r="P521" s="88" t="n"/>
      <c r="Q521" s="88" t="n"/>
      <c r="R521" s="89" t="n"/>
      <c r="S521" s="88" t="n"/>
      <c r="T521" s="88" t="n"/>
      <c r="U521" s="88" t="n"/>
      <c r="V521" s="89" t="n"/>
      <c r="W521" s="88" t="n"/>
      <c r="X521" s="89" t="n"/>
      <c r="Y521" s="88" t="n"/>
      <c r="Z521" s="89" t="n"/>
      <c r="AB521" s="30">
        <f>IF($B521="","",(COUNTIF(C521:E521,"?*")&lt;N(INDEX(Setup!$L$6:$L$23,14)))+(COUNTIF(G521:I521,"?*")&lt;N(INDEX(Setup!$L$6:$L$23,14)))+(COUNTIF(K521:M521,"?*")&lt;N(INDEX(Setup!$L$6:$L$23,14)))+(COUNTIF(O521:Q521,"?*")&lt;N(INDEX(Setup!$L$6:$L$23,14)))+(COUNTIF(S521:U521,"?*")&lt;N(INDEX(Setup!$L$6:$L$23,14)))+((W521="")*(INDEX(Setup!$M$6:$M$23,14)="Y"))+((Y521="")*(INDEX(Setup!$M$6:$M$23,14)="Y")))</f>
        <v/>
      </c>
      <c r="AC521" s="91">
        <f>IF($B521="","",IF(AB521=0,"✓ covered","⚠ "&amp;AB521&amp;IF(AB521=1," gap"," gaps")))</f>
        <v/>
      </c>
    </row>
    <row r="522" ht="17" customHeight="1">
      <c r="A522" t="n">
        <v>11</v>
      </c>
      <c r="B522" s="24">
        <f>IF(Setup!$K$20="","",Setup!$K$20)</f>
        <v/>
      </c>
      <c r="C522" s="88" t="n"/>
      <c r="D522" s="88" t="n"/>
      <c r="E522" s="88" t="n"/>
      <c r="F522" s="89" t="n"/>
      <c r="G522" s="88" t="n"/>
      <c r="H522" s="88" t="n"/>
      <c r="I522" s="88" t="n"/>
      <c r="J522" s="89" t="n"/>
      <c r="K522" s="88" t="n"/>
      <c r="L522" s="88" t="n"/>
      <c r="M522" s="88" t="n"/>
      <c r="N522" s="89" t="n"/>
      <c r="O522" s="88" t="n"/>
      <c r="P522" s="88" t="n"/>
      <c r="Q522" s="88" t="n"/>
      <c r="R522" s="89" t="n"/>
      <c r="S522" s="88" t="n"/>
      <c r="T522" s="88" t="n"/>
      <c r="U522" s="88" t="n"/>
      <c r="V522" s="89" t="n"/>
      <c r="W522" s="88" t="n"/>
      <c r="X522" s="89" t="n"/>
      <c r="Y522" s="88" t="n"/>
      <c r="Z522" s="89" t="n"/>
      <c r="AB522" s="25">
        <f>IF($B522="","",(COUNTIF(C522:E522,"?*")&lt;N(INDEX(Setup!$L$6:$L$23,15)))+(COUNTIF(G522:I522,"?*")&lt;N(INDEX(Setup!$L$6:$L$23,15)))+(COUNTIF(K522:M522,"?*")&lt;N(INDEX(Setup!$L$6:$L$23,15)))+(COUNTIF(O522:Q522,"?*")&lt;N(INDEX(Setup!$L$6:$L$23,15)))+(COUNTIF(S522:U522,"?*")&lt;N(INDEX(Setup!$L$6:$L$23,15)))+((W522="")*(INDEX(Setup!$M$6:$M$23,15)="Y"))+((Y522="")*(INDEX(Setup!$M$6:$M$23,15)="Y")))</f>
        <v/>
      </c>
      <c r="AC522" s="90">
        <f>IF($B522="","",IF(AB522=0,"✓ covered","⚠ "&amp;AB522&amp;IF(AB522=1," gap"," gaps")))</f>
        <v/>
      </c>
    </row>
    <row r="523" ht="17" customHeight="1">
      <c r="A523" t="n">
        <v>11</v>
      </c>
      <c r="B523" s="29">
        <f>IF(Setup!$K$21="","",Setup!$K$21)</f>
        <v/>
      </c>
      <c r="C523" s="88" t="n"/>
      <c r="D523" s="88" t="n"/>
      <c r="E523" s="88" t="n"/>
      <c r="F523" s="89" t="n"/>
      <c r="G523" s="88" t="n"/>
      <c r="H523" s="88" t="n"/>
      <c r="I523" s="88" t="n"/>
      <c r="J523" s="89" t="n"/>
      <c r="K523" s="88" t="n"/>
      <c r="L523" s="88" t="n"/>
      <c r="M523" s="88" t="n"/>
      <c r="N523" s="89" t="n"/>
      <c r="O523" s="88" t="n"/>
      <c r="P523" s="88" t="n"/>
      <c r="Q523" s="88" t="n"/>
      <c r="R523" s="89" t="n"/>
      <c r="S523" s="88" t="n"/>
      <c r="T523" s="88" t="n"/>
      <c r="U523" s="88" t="n"/>
      <c r="V523" s="89" t="n"/>
      <c r="W523" s="88" t="n"/>
      <c r="X523" s="89" t="n"/>
      <c r="Y523" s="88" t="n"/>
      <c r="Z523" s="89" t="n"/>
      <c r="AB523" s="30">
        <f>IF($B523="","",(COUNTIF(C523:E523,"?*")&lt;N(INDEX(Setup!$L$6:$L$23,16)))+(COUNTIF(G523:I523,"?*")&lt;N(INDEX(Setup!$L$6:$L$23,16)))+(COUNTIF(K523:M523,"?*")&lt;N(INDEX(Setup!$L$6:$L$23,16)))+(COUNTIF(O523:Q523,"?*")&lt;N(INDEX(Setup!$L$6:$L$23,16)))+(COUNTIF(S523:U523,"?*")&lt;N(INDEX(Setup!$L$6:$L$23,16)))+((W523="")*(INDEX(Setup!$M$6:$M$23,16)="Y"))+((Y523="")*(INDEX(Setup!$M$6:$M$23,16)="Y")))</f>
        <v/>
      </c>
      <c r="AC523" s="91">
        <f>IF($B523="","",IF(AB523=0,"✓ covered","⚠ "&amp;AB523&amp;IF(AB523=1," gap"," gaps")))</f>
        <v/>
      </c>
    </row>
    <row r="524" ht="17" customHeight="1">
      <c r="A524" t="n">
        <v>11</v>
      </c>
      <c r="B524" s="24">
        <f>IF(Setup!$K$22="","",Setup!$K$22)</f>
        <v/>
      </c>
      <c r="C524" s="88" t="n"/>
      <c r="D524" s="88" t="n"/>
      <c r="E524" s="88" t="n"/>
      <c r="F524" s="89" t="n"/>
      <c r="G524" s="88" t="n"/>
      <c r="H524" s="88" t="n"/>
      <c r="I524" s="88" t="n"/>
      <c r="J524" s="89" t="n"/>
      <c r="K524" s="88" t="n"/>
      <c r="L524" s="88" t="n"/>
      <c r="M524" s="88" t="n"/>
      <c r="N524" s="89" t="n"/>
      <c r="O524" s="88" t="n"/>
      <c r="P524" s="88" t="n"/>
      <c r="Q524" s="88" t="n"/>
      <c r="R524" s="89" t="n"/>
      <c r="S524" s="88" t="n"/>
      <c r="T524" s="88" t="n"/>
      <c r="U524" s="88" t="n"/>
      <c r="V524" s="89" t="n"/>
      <c r="W524" s="88" t="n"/>
      <c r="X524" s="89" t="n"/>
      <c r="Y524" s="88" t="n"/>
      <c r="Z524" s="89" t="n"/>
      <c r="AB524" s="25">
        <f>IF($B524="","",(COUNTIF(C524:E524,"?*")&lt;N(INDEX(Setup!$L$6:$L$23,17)))+(COUNTIF(G524:I524,"?*")&lt;N(INDEX(Setup!$L$6:$L$23,17)))+(COUNTIF(K524:M524,"?*")&lt;N(INDEX(Setup!$L$6:$L$23,17)))+(COUNTIF(O524:Q524,"?*")&lt;N(INDEX(Setup!$L$6:$L$23,17)))+(COUNTIF(S524:U524,"?*")&lt;N(INDEX(Setup!$L$6:$L$23,17)))+((W524="")*(INDEX(Setup!$M$6:$M$23,17)="Y"))+((Y524="")*(INDEX(Setup!$M$6:$M$23,17)="Y")))</f>
        <v/>
      </c>
      <c r="AC524" s="90">
        <f>IF($B524="","",IF(AB524=0,"✓ covered","⚠ "&amp;AB524&amp;IF(AB524=1," gap"," gaps")))</f>
        <v/>
      </c>
    </row>
    <row r="525" ht="17" customHeight="1">
      <c r="A525" t="n">
        <v>11</v>
      </c>
      <c r="B525" s="29">
        <f>IF(Setup!$K$23="","",Setup!$K$23)</f>
        <v/>
      </c>
      <c r="C525" s="88" t="n"/>
      <c r="D525" s="88" t="n"/>
      <c r="E525" s="88" t="n"/>
      <c r="F525" s="89" t="n"/>
      <c r="G525" s="88" t="n"/>
      <c r="H525" s="88" t="n"/>
      <c r="I525" s="88" t="n"/>
      <c r="J525" s="89" t="n"/>
      <c r="K525" s="88" t="n"/>
      <c r="L525" s="88" t="n"/>
      <c r="M525" s="88" t="n"/>
      <c r="N525" s="89" t="n"/>
      <c r="O525" s="88" t="n"/>
      <c r="P525" s="88" t="n"/>
      <c r="Q525" s="88" t="n"/>
      <c r="R525" s="89" t="n"/>
      <c r="S525" s="88" t="n"/>
      <c r="T525" s="88" t="n"/>
      <c r="U525" s="88" t="n"/>
      <c r="V525" s="89" t="n"/>
      <c r="W525" s="88" t="n"/>
      <c r="X525" s="89" t="n"/>
      <c r="Y525" s="88" t="n"/>
      <c r="Z525" s="89" t="n"/>
      <c r="AB525" s="30">
        <f>IF($B525="","",(COUNTIF(C525:E525,"?*")&lt;N(INDEX(Setup!$L$6:$L$23,18)))+(COUNTIF(G525:I525,"?*")&lt;N(INDEX(Setup!$L$6:$L$23,18)))+(COUNTIF(K525:M525,"?*")&lt;N(INDEX(Setup!$L$6:$L$23,18)))+(COUNTIF(O525:Q525,"?*")&lt;N(INDEX(Setup!$L$6:$L$23,18)))+(COUNTIF(S525:U525,"?*")&lt;N(INDEX(Setup!$L$6:$L$23,18)))+((W525="")*(INDEX(Setup!$M$6:$M$23,18)="Y"))+((Y525="")*(INDEX(Setup!$M$6:$M$23,18)="Y")))</f>
        <v/>
      </c>
      <c r="AC525" s="91">
        <f>IF($B525="","",IF(AB525=0,"✓ covered","⚠ "&amp;AB525&amp;IF(AB525=1," gap"," gaps")))</f>
        <v/>
      </c>
    </row>
    <row r="526" ht="18" customHeight="1">
      <c r="A526" t="n">
        <v>11</v>
      </c>
      <c r="B526" s="78" t="inlineStr">
        <is>
          <t>TEAM AVAILABILITY</t>
        </is>
      </c>
      <c r="C526" s="92" t="inlineStr">
        <is>
          <t>Mon</t>
        </is>
      </c>
      <c r="D526" s="93" t="n"/>
      <c r="E526" s="93" t="n"/>
      <c r="F526" s="94" t="n"/>
      <c r="G526" s="92" t="inlineStr">
        <is>
          <t>Tue</t>
        </is>
      </c>
      <c r="H526" s="93" t="n"/>
      <c r="I526" s="93" t="n"/>
      <c r="J526" s="94" t="n"/>
      <c r="K526" s="92" t="inlineStr">
        <is>
          <t>Wed</t>
        </is>
      </c>
      <c r="L526" s="93" t="n"/>
      <c r="M526" s="93" t="n"/>
      <c r="N526" s="94" t="n"/>
      <c r="O526" s="92" t="inlineStr">
        <is>
          <t>Thu</t>
        </is>
      </c>
      <c r="P526" s="93" t="n"/>
      <c r="Q526" s="93" t="n"/>
      <c r="R526" s="94" t="n"/>
      <c r="S526" s="92" t="inlineStr">
        <is>
          <t>Fri</t>
        </is>
      </c>
      <c r="T526" s="93" t="n"/>
      <c r="U526" s="93" t="n"/>
      <c r="V526" s="94" t="n"/>
      <c r="W526" s="95" t="inlineStr">
        <is>
          <t>Sat</t>
        </is>
      </c>
      <c r="X526" s="96" t="n"/>
      <c r="Y526" s="95" t="inlineStr">
        <is>
          <t>Sun</t>
        </is>
      </c>
      <c r="Z526" s="96" t="n"/>
      <c r="AB526" s="97" t="inlineStr">
        <is>
          <t>Days rostered</t>
        </is>
      </c>
      <c r="AC526" s="97" t="inlineStr">
        <is>
          <t>Conflicts</t>
        </is>
      </c>
    </row>
    <row r="527" ht="15" customHeight="1">
      <c r="A527" t="n">
        <v>11</v>
      </c>
      <c r="B527" s="35">
        <f>IF(Setup!$B$6="","",Setup!$B$6)</f>
        <v/>
      </c>
      <c r="C527" s="98" t="n"/>
      <c r="D527" s="99" t="n"/>
      <c r="E527" s="99" t="n"/>
      <c r="F527" s="100" t="n"/>
      <c r="G527" s="98" t="n"/>
      <c r="H527" s="99" t="n"/>
      <c r="I527" s="99" t="n"/>
      <c r="J527" s="100" t="n"/>
      <c r="K527" s="98" t="n"/>
      <c r="L527" s="99" t="n"/>
      <c r="M527" s="99" t="n"/>
      <c r="N527" s="100" t="n"/>
      <c r="O527" s="98" t="n"/>
      <c r="P527" s="99" t="n"/>
      <c r="Q527" s="99" t="n"/>
      <c r="R527" s="100" t="n"/>
      <c r="S527" s="98" t="n"/>
      <c r="T527" s="99" t="n"/>
      <c r="U527" s="99" t="n"/>
      <c r="V527" s="100" t="n"/>
      <c r="W527" s="98" t="n"/>
      <c r="X527" s="100" t="n"/>
      <c r="Y527" s="98" t="n"/>
      <c r="Z527" s="100" t="n"/>
      <c r="AB527" s="101">
        <f>IF($B527="","",(COUNTIF(C508:E525,$B527)+COUNTIF(C508:E525,$B527&amp;" ~*")&gt;0)+(COUNTIF(G508:I525,$B527)+COUNTIF(G508:I525,$B527&amp;" ~*")&gt;0)+(COUNTIF(K508:M525,$B527)+COUNTIF(K508:M525,$B527&amp;" ~*")&gt;0)+(COUNTIF(O508:Q525,$B527)+COUNTIF(O508:Q525,$B527&amp;" ~*")&gt;0)+(COUNTIF(S508:U525,$B527)+COUNTIF(S508:U525,$B527&amp;" ~*")&gt;0)+(COUNTIF(W508:W525,$B527)+COUNTIF(W508:W525,$B527&amp;" ~*")&gt;0)+(COUNTIF(Y508:Y525,$B527)+COUNTIF(Y508:Y525,$B527&amp;" ~*")&gt;0))</f>
        <v/>
      </c>
      <c r="AC527" s="36">
        <f>IF($B527="","",(IFERROR(INDEX(Setup!$G$33:$G$40,MATCH(C527,Setup!$B$33:$B$40,0)),0)=1)*(COUNTIF(C508:E525,$B527)+COUNTIF(C508:E525,$B527&amp;" ~*")&gt;0)+(IFERROR(INDEX(Setup!$G$33:$G$40,MATCH(G527,Setup!$B$33:$B$40,0)),0)=1)*(COUNTIF(G508:I525,$B527)+COUNTIF(G508:I525,$B527&amp;" ~*")&gt;0)+(IFERROR(INDEX(Setup!$G$33:$G$40,MATCH(K527,Setup!$B$33:$B$40,0)),0)=1)*(COUNTIF(K508:M525,$B527)+COUNTIF(K508:M525,$B527&amp;" ~*")&gt;0)+(IFERROR(INDEX(Setup!$G$33:$G$40,MATCH(O527,Setup!$B$33:$B$40,0)),0)=1)*(COUNTIF(O508:Q525,$B527)+COUNTIF(O508:Q525,$B527&amp;" ~*")&gt;0)+(IFERROR(INDEX(Setup!$G$33:$G$40,MATCH(S527,Setup!$B$33:$B$40,0)),0)=1)*(COUNTIF(S508:U525,$B527)+COUNTIF(S508:U525,$B527&amp;" ~*")&gt;0)+(IFERROR(INDEX(Setup!$G$33:$G$40,MATCH(W527,Setup!$B$33:$B$40,0)),0)=1)*(COUNTIF(W508:W525,$B527)+COUNTIF(W508:W525,$B527&amp;" ~*")&gt;0)+(IFERROR(INDEX(Setup!$G$33:$G$40,MATCH(Y527,Setup!$B$33:$B$40,0)),0)=1)*(COUNTIF(Y508:Y525,$B527)+COUNTIF(Y508:Y525,$B527&amp;" ~*")&gt;0))</f>
        <v/>
      </c>
    </row>
    <row r="528" ht="15" customHeight="1">
      <c r="A528" t="n">
        <v>11</v>
      </c>
      <c r="B528" s="37">
        <f>IF(Setup!$B$7="","",Setup!$B$7)</f>
        <v/>
      </c>
      <c r="C528" s="102" t="n"/>
      <c r="D528" s="103" t="n"/>
      <c r="E528" s="103" t="n"/>
      <c r="F528" s="104" t="n"/>
      <c r="G528" s="102" t="n"/>
      <c r="H528" s="103" t="n"/>
      <c r="I528" s="103" t="n"/>
      <c r="J528" s="104" t="n"/>
      <c r="K528" s="102" t="n"/>
      <c r="L528" s="103" t="n"/>
      <c r="M528" s="103" t="n"/>
      <c r="N528" s="104" t="n"/>
      <c r="O528" s="102" t="n"/>
      <c r="P528" s="103" t="n"/>
      <c r="Q528" s="103" t="n"/>
      <c r="R528" s="104" t="n"/>
      <c r="S528" s="102" t="n"/>
      <c r="T528" s="103" t="n"/>
      <c r="U528" s="103" t="n"/>
      <c r="V528" s="104" t="n"/>
      <c r="W528" s="102" t="n"/>
      <c r="X528" s="104" t="n"/>
      <c r="Y528" s="102" t="n"/>
      <c r="Z528" s="104" t="n"/>
      <c r="AB528" s="105">
        <f>IF($B528="","",(COUNTIF(C508:E525,$B528)+COUNTIF(C508:E525,$B528&amp;" ~*")&gt;0)+(COUNTIF(G508:I525,$B528)+COUNTIF(G508:I525,$B528&amp;" ~*")&gt;0)+(COUNTIF(K508:M525,$B528)+COUNTIF(K508:M525,$B528&amp;" ~*")&gt;0)+(COUNTIF(O508:Q525,$B528)+COUNTIF(O508:Q525,$B528&amp;" ~*")&gt;0)+(COUNTIF(S508:U525,$B528)+COUNTIF(S508:U525,$B528&amp;" ~*")&gt;0)+(COUNTIF(W508:W525,$B528)+COUNTIF(W508:W525,$B528&amp;" ~*")&gt;0)+(COUNTIF(Y508:Y525,$B528)+COUNTIF(Y508:Y525,$B528&amp;" ~*")&gt;0))</f>
        <v/>
      </c>
      <c r="AC528" s="38">
        <f>IF($B528="","",(IFERROR(INDEX(Setup!$G$33:$G$40,MATCH(C528,Setup!$B$33:$B$40,0)),0)=1)*(COUNTIF(C508:E525,$B528)+COUNTIF(C508:E525,$B528&amp;" ~*")&gt;0)+(IFERROR(INDEX(Setup!$G$33:$G$40,MATCH(G528,Setup!$B$33:$B$40,0)),0)=1)*(COUNTIF(G508:I525,$B528)+COUNTIF(G508:I525,$B528&amp;" ~*")&gt;0)+(IFERROR(INDEX(Setup!$G$33:$G$40,MATCH(K528,Setup!$B$33:$B$40,0)),0)=1)*(COUNTIF(K508:M525,$B528)+COUNTIF(K508:M525,$B528&amp;" ~*")&gt;0)+(IFERROR(INDEX(Setup!$G$33:$G$40,MATCH(O528,Setup!$B$33:$B$40,0)),0)=1)*(COUNTIF(O508:Q525,$B528)+COUNTIF(O508:Q525,$B528&amp;" ~*")&gt;0)+(IFERROR(INDEX(Setup!$G$33:$G$40,MATCH(S528,Setup!$B$33:$B$40,0)),0)=1)*(COUNTIF(S508:U525,$B528)+COUNTIF(S508:U525,$B528&amp;" ~*")&gt;0)+(IFERROR(INDEX(Setup!$G$33:$G$40,MATCH(W528,Setup!$B$33:$B$40,0)),0)=1)*(COUNTIF(W508:W525,$B528)+COUNTIF(W508:W525,$B528&amp;" ~*")&gt;0)+(IFERROR(INDEX(Setup!$G$33:$G$40,MATCH(Y528,Setup!$B$33:$B$40,0)),0)=1)*(COUNTIF(Y508:Y525,$B528)+COUNTIF(Y508:Y525,$B528&amp;" ~*")&gt;0))</f>
        <v/>
      </c>
    </row>
    <row r="529" ht="15" customHeight="1">
      <c r="A529" t="n">
        <v>11</v>
      </c>
      <c r="B529" s="35">
        <f>IF(Setup!$B$8="","",Setup!$B$8)</f>
        <v/>
      </c>
      <c r="C529" s="98" t="n"/>
      <c r="D529" s="99" t="n"/>
      <c r="E529" s="99" t="n"/>
      <c r="F529" s="100" t="n"/>
      <c r="G529" s="98" t="n"/>
      <c r="H529" s="99" t="n"/>
      <c r="I529" s="99" t="n"/>
      <c r="J529" s="100" t="n"/>
      <c r="K529" s="98" t="n"/>
      <c r="L529" s="99" t="n"/>
      <c r="M529" s="99" t="n"/>
      <c r="N529" s="100" t="n"/>
      <c r="O529" s="98" t="n"/>
      <c r="P529" s="99" t="n"/>
      <c r="Q529" s="99" t="n"/>
      <c r="R529" s="100" t="n"/>
      <c r="S529" s="98" t="n"/>
      <c r="T529" s="99" t="n"/>
      <c r="U529" s="99" t="n"/>
      <c r="V529" s="100" t="n"/>
      <c r="W529" s="98" t="n"/>
      <c r="X529" s="100" t="n"/>
      <c r="Y529" s="98" t="n"/>
      <c r="Z529" s="100" t="n"/>
      <c r="AB529" s="101">
        <f>IF($B529="","",(COUNTIF(C508:E525,$B529)+COUNTIF(C508:E525,$B529&amp;" ~*")&gt;0)+(COUNTIF(G508:I525,$B529)+COUNTIF(G508:I525,$B529&amp;" ~*")&gt;0)+(COUNTIF(K508:M525,$B529)+COUNTIF(K508:M525,$B529&amp;" ~*")&gt;0)+(COUNTIF(O508:Q525,$B529)+COUNTIF(O508:Q525,$B529&amp;" ~*")&gt;0)+(COUNTIF(S508:U525,$B529)+COUNTIF(S508:U525,$B529&amp;" ~*")&gt;0)+(COUNTIF(W508:W525,$B529)+COUNTIF(W508:W525,$B529&amp;" ~*")&gt;0)+(COUNTIF(Y508:Y525,$B529)+COUNTIF(Y508:Y525,$B529&amp;" ~*")&gt;0))</f>
        <v/>
      </c>
      <c r="AC529" s="36">
        <f>IF($B529="","",(IFERROR(INDEX(Setup!$G$33:$G$40,MATCH(C529,Setup!$B$33:$B$40,0)),0)=1)*(COUNTIF(C508:E525,$B529)+COUNTIF(C508:E525,$B529&amp;" ~*")&gt;0)+(IFERROR(INDEX(Setup!$G$33:$G$40,MATCH(G529,Setup!$B$33:$B$40,0)),0)=1)*(COUNTIF(G508:I525,$B529)+COUNTIF(G508:I525,$B529&amp;" ~*")&gt;0)+(IFERROR(INDEX(Setup!$G$33:$G$40,MATCH(K529,Setup!$B$33:$B$40,0)),0)=1)*(COUNTIF(K508:M525,$B529)+COUNTIF(K508:M525,$B529&amp;" ~*")&gt;0)+(IFERROR(INDEX(Setup!$G$33:$G$40,MATCH(O529,Setup!$B$33:$B$40,0)),0)=1)*(COUNTIF(O508:Q525,$B529)+COUNTIF(O508:Q525,$B529&amp;" ~*")&gt;0)+(IFERROR(INDEX(Setup!$G$33:$G$40,MATCH(S529,Setup!$B$33:$B$40,0)),0)=1)*(COUNTIF(S508:U525,$B529)+COUNTIF(S508:U525,$B529&amp;" ~*")&gt;0)+(IFERROR(INDEX(Setup!$G$33:$G$40,MATCH(W529,Setup!$B$33:$B$40,0)),0)=1)*(COUNTIF(W508:W525,$B529)+COUNTIF(W508:W525,$B529&amp;" ~*")&gt;0)+(IFERROR(INDEX(Setup!$G$33:$G$40,MATCH(Y529,Setup!$B$33:$B$40,0)),0)=1)*(COUNTIF(Y508:Y525,$B529)+COUNTIF(Y508:Y525,$B529&amp;" ~*")&gt;0))</f>
        <v/>
      </c>
    </row>
    <row r="530" ht="15" customHeight="1">
      <c r="A530" t="n">
        <v>11</v>
      </c>
      <c r="B530" s="37">
        <f>IF(Setup!$B$9="","",Setup!$B$9)</f>
        <v/>
      </c>
      <c r="C530" s="102" t="n"/>
      <c r="D530" s="103" t="n"/>
      <c r="E530" s="103" t="n"/>
      <c r="F530" s="104" t="n"/>
      <c r="G530" s="102" t="n"/>
      <c r="H530" s="103" t="n"/>
      <c r="I530" s="103" t="n"/>
      <c r="J530" s="104" t="n"/>
      <c r="K530" s="102" t="n"/>
      <c r="L530" s="103" t="n"/>
      <c r="M530" s="103" t="n"/>
      <c r="N530" s="104" t="n"/>
      <c r="O530" s="102" t="n"/>
      <c r="P530" s="103" t="n"/>
      <c r="Q530" s="103" t="n"/>
      <c r="R530" s="104" t="n"/>
      <c r="S530" s="102" t="n"/>
      <c r="T530" s="103" t="n"/>
      <c r="U530" s="103" t="n"/>
      <c r="V530" s="104" t="n"/>
      <c r="W530" s="102" t="n"/>
      <c r="X530" s="104" t="n"/>
      <c r="Y530" s="102" t="n"/>
      <c r="Z530" s="104" t="n"/>
      <c r="AB530" s="105">
        <f>IF($B530="","",(COUNTIF(C508:E525,$B530)+COUNTIF(C508:E525,$B530&amp;" ~*")&gt;0)+(COUNTIF(G508:I525,$B530)+COUNTIF(G508:I525,$B530&amp;" ~*")&gt;0)+(COUNTIF(K508:M525,$B530)+COUNTIF(K508:M525,$B530&amp;" ~*")&gt;0)+(COUNTIF(O508:Q525,$B530)+COUNTIF(O508:Q525,$B530&amp;" ~*")&gt;0)+(COUNTIF(S508:U525,$B530)+COUNTIF(S508:U525,$B530&amp;" ~*")&gt;0)+(COUNTIF(W508:W525,$B530)+COUNTIF(W508:W525,$B530&amp;" ~*")&gt;0)+(COUNTIF(Y508:Y525,$B530)+COUNTIF(Y508:Y525,$B530&amp;" ~*")&gt;0))</f>
        <v/>
      </c>
      <c r="AC530" s="38">
        <f>IF($B530="","",(IFERROR(INDEX(Setup!$G$33:$G$40,MATCH(C530,Setup!$B$33:$B$40,0)),0)=1)*(COUNTIF(C508:E525,$B530)+COUNTIF(C508:E525,$B530&amp;" ~*")&gt;0)+(IFERROR(INDEX(Setup!$G$33:$G$40,MATCH(G530,Setup!$B$33:$B$40,0)),0)=1)*(COUNTIF(G508:I525,$B530)+COUNTIF(G508:I525,$B530&amp;" ~*")&gt;0)+(IFERROR(INDEX(Setup!$G$33:$G$40,MATCH(K530,Setup!$B$33:$B$40,0)),0)=1)*(COUNTIF(K508:M525,$B530)+COUNTIF(K508:M525,$B530&amp;" ~*")&gt;0)+(IFERROR(INDEX(Setup!$G$33:$G$40,MATCH(O530,Setup!$B$33:$B$40,0)),0)=1)*(COUNTIF(O508:Q525,$B530)+COUNTIF(O508:Q525,$B530&amp;" ~*")&gt;0)+(IFERROR(INDEX(Setup!$G$33:$G$40,MATCH(S530,Setup!$B$33:$B$40,0)),0)=1)*(COUNTIF(S508:U525,$B530)+COUNTIF(S508:U525,$B530&amp;" ~*")&gt;0)+(IFERROR(INDEX(Setup!$G$33:$G$40,MATCH(W530,Setup!$B$33:$B$40,0)),0)=1)*(COUNTIF(W508:W525,$B530)+COUNTIF(W508:W525,$B530&amp;" ~*")&gt;0)+(IFERROR(INDEX(Setup!$G$33:$G$40,MATCH(Y530,Setup!$B$33:$B$40,0)),0)=1)*(COUNTIF(Y508:Y525,$B530)+COUNTIF(Y508:Y525,$B530&amp;" ~*")&gt;0))</f>
        <v/>
      </c>
    </row>
    <row r="531" ht="15" customHeight="1">
      <c r="A531" t="n">
        <v>11</v>
      </c>
      <c r="B531" s="35">
        <f>IF(Setup!$B$10="","",Setup!$B$10)</f>
        <v/>
      </c>
      <c r="C531" s="98" t="n"/>
      <c r="D531" s="99" t="n"/>
      <c r="E531" s="99" t="n"/>
      <c r="F531" s="100" t="n"/>
      <c r="G531" s="98" t="n"/>
      <c r="H531" s="99" t="n"/>
      <c r="I531" s="99" t="n"/>
      <c r="J531" s="100" t="n"/>
      <c r="K531" s="98" t="n"/>
      <c r="L531" s="99" t="n"/>
      <c r="M531" s="99" t="n"/>
      <c r="N531" s="100" t="n"/>
      <c r="O531" s="98" t="n"/>
      <c r="P531" s="99" t="n"/>
      <c r="Q531" s="99" t="n"/>
      <c r="R531" s="100" t="n"/>
      <c r="S531" s="98" t="n"/>
      <c r="T531" s="99" t="n"/>
      <c r="U531" s="99" t="n"/>
      <c r="V531" s="100" t="n"/>
      <c r="W531" s="98" t="n"/>
      <c r="X531" s="100" t="n"/>
      <c r="Y531" s="98" t="n"/>
      <c r="Z531" s="100" t="n"/>
      <c r="AB531" s="101">
        <f>IF($B531="","",(COUNTIF(C508:E525,$B531)+COUNTIF(C508:E525,$B531&amp;" ~*")&gt;0)+(COUNTIF(G508:I525,$B531)+COUNTIF(G508:I525,$B531&amp;" ~*")&gt;0)+(COUNTIF(K508:M525,$B531)+COUNTIF(K508:M525,$B531&amp;" ~*")&gt;0)+(COUNTIF(O508:Q525,$B531)+COUNTIF(O508:Q525,$B531&amp;" ~*")&gt;0)+(COUNTIF(S508:U525,$B531)+COUNTIF(S508:U525,$B531&amp;" ~*")&gt;0)+(COUNTIF(W508:W525,$B531)+COUNTIF(W508:W525,$B531&amp;" ~*")&gt;0)+(COUNTIF(Y508:Y525,$B531)+COUNTIF(Y508:Y525,$B531&amp;" ~*")&gt;0))</f>
        <v/>
      </c>
      <c r="AC531" s="36">
        <f>IF($B531="","",(IFERROR(INDEX(Setup!$G$33:$G$40,MATCH(C531,Setup!$B$33:$B$40,0)),0)=1)*(COUNTIF(C508:E525,$B531)+COUNTIF(C508:E525,$B531&amp;" ~*")&gt;0)+(IFERROR(INDEX(Setup!$G$33:$G$40,MATCH(G531,Setup!$B$33:$B$40,0)),0)=1)*(COUNTIF(G508:I525,$B531)+COUNTIF(G508:I525,$B531&amp;" ~*")&gt;0)+(IFERROR(INDEX(Setup!$G$33:$G$40,MATCH(K531,Setup!$B$33:$B$40,0)),0)=1)*(COUNTIF(K508:M525,$B531)+COUNTIF(K508:M525,$B531&amp;" ~*")&gt;0)+(IFERROR(INDEX(Setup!$G$33:$G$40,MATCH(O531,Setup!$B$33:$B$40,0)),0)=1)*(COUNTIF(O508:Q525,$B531)+COUNTIF(O508:Q525,$B531&amp;" ~*")&gt;0)+(IFERROR(INDEX(Setup!$G$33:$G$40,MATCH(S531,Setup!$B$33:$B$40,0)),0)=1)*(COUNTIF(S508:U525,$B531)+COUNTIF(S508:U525,$B531&amp;" ~*")&gt;0)+(IFERROR(INDEX(Setup!$G$33:$G$40,MATCH(W531,Setup!$B$33:$B$40,0)),0)=1)*(COUNTIF(W508:W525,$B531)+COUNTIF(W508:W525,$B531&amp;" ~*")&gt;0)+(IFERROR(INDEX(Setup!$G$33:$G$40,MATCH(Y531,Setup!$B$33:$B$40,0)),0)=1)*(COUNTIF(Y508:Y525,$B531)+COUNTIF(Y508:Y525,$B531&amp;" ~*")&gt;0))</f>
        <v/>
      </c>
    </row>
    <row r="532" ht="15" customHeight="1">
      <c r="A532" t="n">
        <v>11</v>
      </c>
      <c r="B532" s="37">
        <f>IF(Setup!$B$11="","",Setup!$B$11)</f>
        <v/>
      </c>
      <c r="C532" s="102" t="n"/>
      <c r="D532" s="103" t="n"/>
      <c r="E532" s="103" t="n"/>
      <c r="F532" s="104" t="n"/>
      <c r="G532" s="102" t="n"/>
      <c r="H532" s="103" t="n"/>
      <c r="I532" s="103" t="n"/>
      <c r="J532" s="104" t="n"/>
      <c r="K532" s="102" t="n"/>
      <c r="L532" s="103" t="n"/>
      <c r="M532" s="103" t="n"/>
      <c r="N532" s="104" t="n"/>
      <c r="O532" s="102" t="n"/>
      <c r="P532" s="103" t="n"/>
      <c r="Q532" s="103" t="n"/>
      <c r="R532" s="104" t="n"/>
      <c r="S532" s="102" t="n"/>
      <c r="T532" s="103" t="n"/>
      <c r="U532" s="103" t="n"/>
      <c r="V532" s="104" t="n"/>
      <c r="W532" s="102" t="n"/>
      <c r="X532" s="104" t="n"/>
      <c r="Y532" s="102" t="n"/>
      <c r="Z532" s="104" t="n"/>
      <c r="AB532" s="105">
        <f>IF($B532="","",(COUNTIF(C508:E525,$B532)+COUNTIF(C508:E525,$B532&amp;" ~*")&gt;0)+(COUNTIF(G508:I525,$B532)+COUNTIF(G508:I525,$B532&amp;" ~*")&gt;0)+(COUNTIF(K508:M525,$B532)+COUNTIF(K508:M525,$B532&amp;" ~*")&gt;0)+(COUNTIF(O508:Q525,$B532)+COUNTIF(O508:Q525,$B532&amp;" ~*")&gt;0)+(COUNTIF(S508:U525,$B532)+COUNTIF(S508:U525,$B532&amp;" ~*")&gt;0)+(COUNTIF(W508:W525,$B532)+COUNTIF(W508:W525,$B532&amp;" ~*")&gt;0)+(COUNTIF(Y508:Y525,$B532)+COUNTIF(Y508:Y525,$B532&amp;" ~*")&gt;0))</f>
        <v/>
      </c>
      <c r="AC532" s="38">
        <f>IF($B532="","",(IFERROR(INDEX(Setup!$G$33:$G$40,MATCH(C532,Setup!$B$33:$B$40,0)),0)=1)*(COUNTIF(C508:E525,$B532)+COUNTIF(C508:E525,$B532&amp;" ~*")&gt;0)+(IFERROR(INDEX(Setup!$G$33:$G$40,MATCH(G532,Setup!$B$33:$B$40,0)),0)=1)*(COUNTIF(G508:I525,$B532)+COUNTIF(G508:I525,$B532&amp;" ~*")&gt;0)+(IFERROR(INDEX(Setup!$G$33:$G$40,MATCH(K532,Setup!$B$33:$B$40,0)),0)=1)*(COUNTIF(K508:M525,$B532)+COUNTIF(K508:M525,$B532&amp;" ~*")&gt;0)+(IFERROR(INDEX(Setup!$G$33:$G$40,MATCH(O532,Setup!$B$33:$B$40,0)),0)=1)*(COUNTIF(O508:Q525,$B532)+COUNTIF(O508:Q525,$B532&amp;" ~*")&gt;0)+(IFERROR(INDEX(Setup!$G$33:$G$40,MATCH(S532,Setup!$B$33:$B$40,0)),0)=1)*(COUNTIF(S508:U525,$B532)+COUNTIF(S508:U525,$B532&amp;" ~*")&gt;0)+(IFERROR(INDEX(Setup!$G$33:$G$40,MATCH(W532,Setup!$B$33:$B$40,0)),0)=1)*(COUNTIF(W508:W525,$B532)+COUNTIF(W508:W525,$B532&amp;" ~*")&gt;0)+(IFERROR(INDEX(Setup!$G$33:$G$40,MATCH(Y532,Setup!$B$33:$B$40,0)),0)=1)*(COUNTIF(Y508:Y525,$B532)+COUNTIF(Y508:Y525,$B532&amp;" ~*")&gt;0))</f>
        <v/>
      </c>
    </row>
    <row r="533" ht="15" customHeight="1">
      <c r="A533" t="n">
        <v>11</v>
      </c>
      <c r="B533" s="35">
        <f>IF(Setup!$B$12="","",Setup!$B$12)</f>
        <v/>
      </c>
      <c r="C533" s="98" t="n"/>
      <c r="D533" s="99" t="n"/>
      <c r="E533" s="99" t="n"/>
      <c r="F533" s="100" t="n"/>
      <c r="G533" s="98" t="n"/>
      <c r="H533" s="99" t="n"/>
      <c r="I533" s="99" t="n"/>
      <c r="J533" s="100" t="n"/>
      <c r="K533" s="98" t="n"/>
      <c r="L533" s="99" t="n"/>
      <c r="M533" s="99" t="n"/>
      <c r="N533" s="100" t="n"/>
      <c r="O533" s="98" t="n"/>
      <c r="P533" s="99" t="n"/>
      <c r="Q533" s="99" t="n"/>
      <c r="R533" s="100" t="n"/>
      <c r="S533" s="98" t="n"/>
      <c r="T533" s="99" t="n"/>
      <c r="U533" s="99" t="n"/>
      <c r="V533" s="100" t="n"/>
      <c r="W533" s="98" t="n"/>
      <c r="X533" s="100" t="n"/>
      <c r="Y533" s="98" t="n"/>
      <c r="Z533" s="100" t="n"/>
      <c r="AB533" s="101">
        <f>IF($B533="","",(COUNTIF(C508:E525,$B533)+COUNTIF(C508:E525,$B533&amp;" ~*")&gt;0)+(COUNTIF(G508:I525,$B533)+COUNTIF(G508:I525,$B533&amp;" ~*")&gt;0)+(COUNTIF(K508:M525,$B533)+COUNTIF(K508:M525,$B533&amp;" ~*")&gt;0)+(COUNTIF(O508:Q525,$B533)+COUNTIF(O508:Q525,$B533&amp;" ~*")&gt;0)+(COUNTIF(S508:U525,$B533)+COUNTIF(S508:U525,$B533&amp;" ~*")&gt;0)+(COUNTIF(W508:W525,$B533)+COUNTIF(W508:W525,$B533&amp;" ~*")&gt;0)+(COUNTIF(Y508:Y525,$B533)+COUNTIF(Y508:Y525,$B533&amp;" ~*")&gt;0))</f>
        <v/>
      </c>
      <c r="AC533" s="36">
        <f>IF($B533="","",(IFERROR(INDEX(Setup!$G$33:$G$40,MATCH(C533,Setup!$B$33:$B$40,0)),0)=1)*(COUNTIF(C508:E525,$B533)+COUNTIF(C508:E525,$B533&amp;" ~*")&gt;0)+(IFERROR(INDEX(Setup!$G$33:$G$40,MATCH(G533,Setup!$B$33:$B$40,0)),0)=1)*(COUNTIF(G508:I525,$B533)+COUNTIF(G508:I525,$B533&amp;" ~*")&gt;0)+(IFERROR(INDEX(Setup!$G$33:$G$40,MATCH(K533,Setup!$B$33:$B$40,0)),0)=1)*(COUNTIF(K508:M525,$B533)+COUNTIF(K508:M525,$B533&amp;" ~*")&gt;0)+(IFERROR(INDEX(Setup!$G$33:$G$40,MATCH(O533,Setup!$B$33:$B$40,0)),0)=1)*(COUNTIF(O508:Q525,$B533)+COUNTIF(O508:Q525,$B533&amp;" ~*")&gt;0)+(IFERROR(INDEX(Setup!$G$33:$G$40,MATCH(S533,Setup!$B$33:$B$40,0)),0)=1)*(COUNTIF(S508:U525,$B533)+COUNTIF(S508:U525,$B533&amp;" ~*")&gt;0)+(IFERROR(INDEX(Setup!$G$33:$G$40,MATCH(W533,Setup!$B$33:$B$40,0)),0)=1)*(COUNTIF(W508:W525,$B533)+COUNTIF(W508:W525,$B533&amp;" ~*")&gt;0)+(IFERROR(INDEX(Setup!$G$33:$G$40,MATCH(Y533,Setup!$B$33:$B$40,0)),0)=1)*(COUNTIF(Y508:Y525,$B533)+COUNTIF(Y508:Y525,$B533&amp;" ~*")&gt;0))</f>
        <v/>
      </c>
    </row>
    <row r="534" ht="15" customHeight="1">
      <c r="A534" t="n">
        <v>11</v>
      </c>
      <c r="B534" s="37">
        <f>IF(Setup!$B$13="","",Setup!$B$13)</f>
        <v/>
      </c>
      <c r="C534" s="102" t="n"/>
      <c r="D534" s="103" t="n"/>
      <c r="E534" s="103" t="n"/>
      <c r="F534" s="104" t="n"/>
      <c r="G534" s="102" t="n"/>
      <c r="H534" s="103" t="n"/>
      <c r="I534" s="103" t="n"/>
      <c r="J534" s="104" t="n"/>
      <c r="K534" s="102" t="n"/>
      <c r="L534" s="103" t="n"/>
      <c r="M534" s="103" t="n"/>
      <c r="N534" s="104" t="n"/>
      <c r="O534" s="102" t="n"/>
      <c r="P534" s="103" t="n"/>
      <c r="Q534" s="103" t="n"/>
      <c r="R534" s="104" t="n"/>
      <c r="S534" s="102" t="n"/>
      <c r="T534" s="103" t="n"/>
      <c r="U534" s="103" t="n"/>
      <c r="V534" s="104" t="n"/>
      <c r="W534" s="102" t="n"/>
      <c r="X534" s="104" t="n"/>
      <c r="Y534" s="102" t="n"/>
      <c r="Z534" s="104" t="n"/>
      <c r="AB534" s="105">
        <f>IF($B534="","",(COUNTIF(C508:E525,$B534)+COUNTIF(C508:E525,$B534&amp;" ~*")&gt;0)+(COUNTIF(G508:I525,$B534)+COUNTIF(G508:I525,$B534&amp;" ~*")&gt;0)+(COUNTIF(K508:M525,$B534)+COUNTIF(K508:M525,$B534&amp;" ~*")&gt;0)+(COUNTIF(O508:Q525,$B534)+COUNTIF(O508:Q525,$B534&amp;" ~*")&gt;0)+(COUNTIF(S508:U525,$B534)+COUNTIF(S508:U525,$B534&amp;" ~*")&gt;0)+(COUNTIF(W508:W525,$B534)+COUNTIF(W508:W525,$B534&amp;" ~*")&gt;0)+(COUNTIF(Y508:Y525,$B534)+COUNTIF(Y508:Y525,$B534&amp;" ~*")&gt;0))</f>
        <v/>
      </c>
      <c r="AC534" s="38">
        <f>IF($B534="","",(IFERROR(INDEX(Setup!$G$33:$G$40,MATCH(C534,Setup!$B$33:$B$40,0)),0)=1)*(COUNTIF(C508:E525,$B534)+COUNTIF(C508:E525,$B534&amp;" ~*")&gt;0)+(IFERROR(INDEX(Setup!$G$33:$G$40,MATCH(G534,Setup!$B$33:$B$40,0)),0)=1)*(COUNTIF(G508:I525,$B534)+COUNTIF(G508:I525,$B534&amp;" ~*")&gt;0)+(IFERROR(INDEX(Setup!$G$33:$G$40,MATCH(K534,Setup!$B$33:$B$40,0)),0)=1)*(COUNTIF(K508:M525,$B534)+COUNTIF(K508:M525,$B534&amp;" ~*")&gt;0)+(IFERROR(INDEX(Setup!$G$33:$G$40,MATCH(O534,Setup!$B$33:$B$40,0)),0)=1)*(COUNTIF(O508:Q525,$B534)+COUNTIF(O508:Q525,$B534&amp;" ~*")&gt;0)+(IFERROR(INDEX(Setup!$G$33:$G$40,MATCH(S534,Setup!$B$33:$B$40,0)),0)=1)*(COUNTIF(S508:U525,$B534)+COUNTIF(S508:U525,$B534&amp;" ~*")&gt;0)+(IFERROR(INDEX(Setup!$G$33:$G$40,MATCH(W534,Setup!$B$33:$B$40,0)),0)=1)*(COUNTIF(W508:W525,$B534)+COUNTIF(W508:W525,$B534&amp;" ~*")&gt;0)+(IFERROR(INDEX(Setup!$G$33:$G$40,MATCH(Y534,Setup!$B$33:$B$40,0)),0)=1)*(COUNTIF(Y508:Y525,$B534)+COUNTIF(Y508:Y525,$B534&amp;" ~*")&gt;0))</f>
        <v/>
      </c>
    </row>
    <row r="535" ht="15" customHeight="1">
      <c r="A535" t="n">
        <v>11</v>
      </c>
      <c r="B535" s="35">
        <f>IF(Setup!$B$14="","",Setup!$B$14)</f>
        <v/>
      </c>
      <c r="C535" s="98" t="n"/>
      <c r="D535" s="99" t="n"/>
      <c r="E535" s="99" t="n"/>
      <c r="F535" s="100" t="n"/>
      <c r="G535" s="98" t="n"/>
      <c r="H535" s="99" t="n"/>
      <c r="I535" s="99" t="n"/>
      <c r="J535" s="100" t="n"/>
      <c r="K535" s="98" t="n"/>
      <c r="L535" s="99" t="n"/>
      <c r="M535" s="99" t="n"/>
      <c r="N535" s="100" t="n"/>
      <c r="O535" s="98" t="n"/>
      <c r="P535" s="99" t="n"/>
      <c r="Q535" s="99" t="n"/>
      <c r="R535" s="100" t="n"/>
      <c r="S535" s="98" t="n"/>
      <c r="T535" s="99" t="n"/>
      <c r="U535" s="99" t="n"/>
      <c r="V535" s="100" t="n"/>
      <c r="W535" s="98" t="n"/>
      <c r="X535" s="100" t="n"/>
      <c r="Y535" s="98" t="n"/>
      <c r="Z535" s="100" t="n"/>
      <c r="AB535" s="101">
        <f>IF($B535="","",(COUNTIF(C508:E525,$B535)+COUNTIF(C508:E525,$B535&amp;" ~*")&gt;0)+(COUNTIF(G508:I525,$B535)+COUNTIF(G508:I525,$B535&amp;" ~*")&gt;0)+(COUNTIF(K508:M525,$B535)+COUNTIF(K508:M525,$B535&amp;" ~*")&gt;0)+(COUNTIF(O508:Q525,$B535)+COUNTIF(O508:Q525,$B535&amp;" ~*")&gt;0)+(COUNTIF(S508:U525,$B535)+COUNTIF(S508:U525,$B535&amp;" ~*")&gt;0)+(COUNTIF(W508:W525,$B535)+COUNTIF(W508:W525,$B535&amp;" ~*")&gt;0)+(COUNTIF(Y508:Y525,$B535)+COUNTIF(Y508:Y525,$B535&amp;" ~*")&gt;0))</f>
        <v/>
      </c>
      <c r="AC535" s="36">
        <f>IF($B535="","",(IFERROR(INDEX(Setup!$G$33:$G$40,MATCH(C535,Setup!$B$33:$B$40,0)),0)=1)*(COUNTIF(C508:E525,$B535)+COUNTIF(C508:E525,$B535&amp;" ~*")&gt;0)+(IFERROR(INDEX(Setup!$G$33:$G$40,MATCH(G535,Setup!$B$33:$B$40,0)),0)=1)*(COUNTIF(G508:I525,$B535)+COUNTIF(G508:I525,$B535&amp;" ~*")&gt;0)+(IFERROR(INDEX(Setup!$G$33:$G$40,MATCH(K535,Setup!$B$33:$B$40,0)),0)=1)*(COUNTIF(K508:M525,$B535)+COUNTIF(K508:M525,$B535&amp;" ~*")&gt;0)+(IFERROR(INDEX(Setup!$G$33:$G$40,MATCH(O535,Setup!$B$33:$B$40,0)),0)=1)*(COUNTIF(O508:Q525,$B535)+COUNTIF(O508:Q525,$B535&amp;" ~*")&gt;0)+(IFERROR(INDEX(Setup!$G$33:$G$40,MATCH(S535,Setup!$B$33:$B$40,0)),0)=1)*(COUNTIF(S508:U525,$B535)+COUNTIF(S508:U525,$B535&amp;" ~*")&gt;0)+(IFERROR(INDEX(Setup!$G$33:$G$40,MATCH(W535,Setup!$B$33:$B$40,0)),0)=1)*(COUNTIF(W508:W525,$B535)+COUNTIF(W508:W525,$B535&amp;" ~*")&gt;0)+(IFERROR(INDEX(Setup!$G$33:$G$40,MATCH(Y535,Setup!$B$33:$B$40,0)),0)=1)*(COUNTIF(Y508:Y525,$B535)+COUNTIF(Y508:Y525,$B535&amp;" ~*")&gt;0))</f>
        <v/>
      </c>
    </row>
    <row r="536" ht="15" customHeight="1">
      <c r="A536" t="n">
        <v>11</v>
      </c>
      <c r="B536" s="37">
        <f>IF(Setup!$B$15="","",Setup!$B$15)</f>
        <v/>
      </c>
      <c r="C536" s="102" t="n"/>
      <c r="D536" s="103" t="n"/>
      <c r="E536" s="103" t="n"/>
      <c r="F536" s="104" t="n"/>
      <c r="G536" s="102" t="n"/>
      <c r="H536" s="103" t="n"/>
      <c r="I536" s="103" t="n"/>
      <c r="J536" s="104" t="n"/>
      <c r="K536" s="102" t="n"/>
      <c r="L536" s="103" t="n"/>
      <c r="M536" s="103" t="n"/>
      <c r="N536" s="104" t="n"/>
      <c r="O536" s="102" t="n"/>
      <c r="P536" s="103" t="n"/>
      <c r="Q536" s="103" t="n"/>
      <c r="R536" s="104" t="n"/>
      <c r="S536" s="102" t="n"/>
      <c r="T536" s="103" t="n"/>
      <c r="U536" s="103" t="n"/>
      <c r="V536" s="104" t="n"/>
      <c r="W536" s="102" t="n"/>
      <c r="X536" s="104" t="n"/>
      <c r="Y536" s="102" t="n"/>
      <c r="Z536" s="104" t="n"/>
      <c r="AB536" s="105">
        <f>IF($B536="","",(COUNTIF(C508:E525,$B536)+COUNTIF(C508:E525,$B536&amp;" ~*")&gt;0)+(COUNTIF(G508:I525,$B536)+COUNTIF(G508:I525,$B536&amp;" ~*")&gt;0)+(COUNTIF(K508:M525,$B536)+COUNTIF(K508:M525,$B536&amp;" ~*")&gt;0)+(COUNTIF(O508:Q525,$B536)+COUNTIF(O508:Q525,$B536&amp;" ~*")&gt;0)+(COUNTIF(S508:U525,$B536)+COUNTIF(S508:U525,$B536&amp;" ~*")&gt;0)+(COUNTIF(W508:W525,$B536)+COUNTIF(W508:W525,$B536&amp;" ~*")&gt;0)+(COUNTIF(Y508:Y525,$B536)+COUNTIF(Y508:Y525,$B536&amp;" ~*")&gt;0))</f>
        <v/>
      </c>
      <c r="AC536" s="38">
        <f>IF($B536="","",(IFERROR(INDEX(Setup!$G$33:$G$40,MATCH(C536,Setup!$B$33:$B$40,0)),0)=1)*(COUNTIF(C508:E525,$B536)+COUNTIF(C508:E525,$B536&amp;" ~*")&gt;0)+(IFERROR(INDEX(Setup!$G$33:$G$40,MATCH(G536,Setup!$B$33:$B$40,0)),0)=1)*(COUNTIF(G508:I525,$B536)+COUNTIF(G508:I525,$B536&amp;" ~*")&gt;0)+(IFERROR(INDEX(Setup!$G$33:$G$40,MATCH(K536,Setup!$B$33:$B$40,0)),0)=1)*(COUNTIF(K508:M525,$B536)+COUNTIF(K508:M525,$B536&amp;" ~*")&gt;0)+(IFERROR(INDEX(Setup!$G$33:$G$40,MATCH(O536,Setup!$B$33:$B$40,0)),0)=1)*(COUNTIF(O508:Q525,$B536)+COUNTIF(O508:Q525,$B536&amp;" ~*")&gt;0)+(IFERROR(INDEX(Setup!$G$33:$G$40,MATCH(S536,Setup!$B$33:$B$40,0)),0)=1)*(COUNTIF(S508:U525,$B536)+COUNTIF(S508:U525,$B536&amp;" ~*")&gt;0)+(IFERROR(INDEX(Setup!$G$33:$G$40,MATCH(W536,Setup!$B$33:$B$40,0)),0)=1)*(COUNTIF(W508:W525,$B536)+COUNTIF(W508:W525,$B536&amp;" ~*")&gt;0)+(IFERROR(INDEX(Setup!$G$33:$G$40,MATCH(Y536,Setup!$B$33:$B$40,0)),0)=1)*(COUNTIF(Y508:Y525,$B536)+COUNTIF(Y508:Y525,$B536&amp;" ~*")&gt;0))</f>
        <v/>
      </c>
    </row>
    <row r="537" ht="15" customHeight="1">
      <c r="A537" t="n">
        <v>11</v>
      </c>
      <c r="B537" s="35">
        <f>IF(Setup!$B$16="","",Setup!$B$16)</f>
        <v/>
      </c>
      <c r="C537" s="98" t="n"/>
      <c r="D537" s="99" t="n"/>
      <c r="E537" s="99" t="n"/>
      <c r="F537" s="100" t="n"/>
      <c r="G537" s="98" t="n"/>
      <c r="H537" s="99" t="n"/>
      <c r="I537" s="99" t="n"/>
      <c r="J537" s="100" t="n"/>
      <c r="K537" s="98" t="n"/>
      <c r="L537" s="99" t="n"/>
      <c r="M537" s="99" t="n"/>
      <c r="N537" s="100" t="n"/>
      <c r="O537" s="98" t="n"/>
      <c r="P537" s="99" t="n"/>
      <c r="Q537" s="99" t="n"/>
      <c r="R537" s="100" t="n"/>
      <c r="S537" s="98" t="n"/>
      <c r="T537" s="99" t="n"/>
      <c r="U537" s="99" t="n"/>
      <c r="V537" s="100" t="n"/>
      <c r="W537" s="98" t="n"/>
      <c r="X537" s="100" t="n"/>
      <c r="Y537" s="98" t="n"/>
      <c r="Z537" s="100" t="n"/>
      <c r="AB537" s="101">
        <f>IF($B537="","",(COUNTIF(C508:E525,$B537)+COUNTIF(C508:E525,$B537&amp;" ~*")&gt;0)+(COUNTIF(G508:I525,$B537)+COUNTIF(G508:I525,$B537&amp;" ~*")&gt;0)+(COUNTIF(K508:M525,$B537)+COUNTIF(K508:M525,$B537&amp;" ~*")&gt;0)+(COUNTIF(O508:Q525,$B537)+COUNTIF(O508:Q525,$B537&amp;" ~*")&gt;0)+(COUNTIF(S508:U525,$B537)+COUNTIF(S508:U525,$B537&amp;" ~*")&gt;0)+(COUNTIF(W508:W525,$B537)+COUNTIF(W508:W525,$B537&amp;" ~*")&gt;0)+(COUNTIF(Y508:Y525,$B537)+COUNTIF(Y508:Y525,$B537&amp;" ~*")&gt;0))</f>
        <v/>
      </c>
      <c r="AC537" s="36">
        <f>IF($B537="","",(IFERROR(INDEX(Setup!$G$33:$G$40,MATCH(C537,Setup!$B$33:$B$40,0)),0)=1)*(COUNTIF(C508:E525,$B537)+COUNTIF(C508:E525,$B537&amp;" ~*")&gt;0)+(IFERROR(INDEX(Setup!$G$33:$G$40,MATCH(G537,Setup!$B$33:$B$40,0)),0)=1)*(COUNTIF(G508:I525,$B537)+COUNTIF(G508:I525,$B537&amp;" ~*")&gt;0)+(IFERROR(INDEX(Setup!$G$33:$G$40,MATCH(K537,Setup!$B$33:$B$40,0)),0)=1)*(COUNTIF(K508:M525,$B537)+COUNTIF(K508:M525,$B537&amp;" ~*")&gt;0)+(IFERROR(INDEX(Setup!$G$33:$G$40,MATCH(O537,Setup!$B$33:$B$40,0)),0)=1)*(COUNTIF(O508:Q525,$B537)+COUNTIF(O508:Q525,$B537&amp;" ~*")&gt;0)+(IFERROR(INDEX(Setup!$G$33:$G$40,MATCH(S537,Setup!$B$33:$B$40,0)),0)=1)*(COUNTIF(S508:U525,$B537)+COUNTIF(S508:U525,$B537&amp;" ~*")&gt;0)+(IFERROR(INDEX(Setup!$G$33:$G$40,MATCH(W537,Setup!$B$33:$B$40,0)),0)=1)*(COUNTIF(W508:W525,$B537)+COUNTIF(W508:W525,$B537&amp;" ~*")&gt;0)+(IFERROR(INDEX(Setup!$G$33:$G$40,MATCH(Y537,Setup!$B$33:$B$40,0)),0)=1)*(COUNTIF(Y508:Y525,$B537)+COUNTIF(Y508:Y525,$B537&amp;" ~*")&gt;0))</f>
        <v/>
      </c>
    </row>
    <row r="538" ht="15" customHeight="1">
      <c r="A538" t="n">
        <v>11</v>
      </c>
      <c r="B538" s="37">
        <f>IF(Setup!$B$17="","",Setup!$B$17)</f>
        <v/>
      </c>
      <c r="C538" s="102" t="n"/>
      <c r="D538" s="103" t="n"/>
      <c r="E538" s="103" t="n"/>
      <c r="F538" s="104" t="n"/>
      <c r="G538" s="102" t="n"/>
      <c r="H538" s="103" t="n"/>
      <c r="I538" s="103" t="n"/>
      <c r="J538" s="104" t="n"/>
      <c r="K538" s="102" t="n"/>
      <c r="L538" s="103" t="n"/>
      <c r="M538" s="103" t="n"/>
      <c r="N538" s="104" t="n"/>
      <c r="O538" s="102" t="n"/>
      <c r="P538" s="103" t="n"/>
      <c r="Q538" s="103" t="n"/>
      <c r="R538" s="104" t="n"/>
      <c r="S538" s="102" t="n"/>
      <c r="T538" s="103" t="n"/>
      <c r="U538" s="103" t="n"/>
      <c r="V538" s="104" t="n"/>
      <c r="W538" s="102" t="n"/>
      <c r="X538" s="104" t="n"/>
      <c r="Y538" s="102" t="n"/>
      <c r="Z538" s="104" t="n"/>
      <c r="AB538" s="105">
        <f>IF($B538="","",(COUNTIF(C508:E525,$B538)+COUNTIF(C508:E525,$B538&amp;" ~*")&gt;0)+(COUNTIF(G508:I525,$B538)+COUNTIF(G508:I525,$B538&amp;" ~*")&gt;0)+(COUNTIF(K508:M525,$B538)+COUNTIF(K508:M525,$B538&amp;" ~*")&gt;0)+(COUNTIF(O508:Q525,$B538)+COUNTIF(O508:Q525,$B538&amp;" ~*")&gt;0)+(COUNTIF(S508:U525,$B538)+COUNTIF(S508:U525,$B538&amp;" ~*")&gt;0)+(COUNTIF(W508:W525,$B538)+COUNTIF(W508:W525,$B538&amp;" ~*")&gt;0)+(COUNTIF(Y508:Y525,$B538)+COUNTIF(Y508:Y525,$B538&amp;" ~*")&gt;0))</f>
        <v/>
      </c>
      <c r="AC538" s="38">
        <f>IF($B538="","",(IFERROR(INDEX(Setup!$G$33:$G$40,MATCH(C538,Setup!$B$33:$B$40,0)),0)=1)*(COUNTIF(C508:E525,$B538)+COUNTIF(C508:E525,$B538&amp;" ~*")&gt;0)+(IFERROR(INDEX(Setup!$G$33:$G$40,MATCH(G538,Setup!$B$33:$B$40,0)),0)=1)*(COUNTIF(G508:I525,$B538)+COUNTIF(G508:I525,$B538&amp;" ~*")&gt;0)+(IFERROR(INDEX(Setup!$G$33:$G$40,MATCH(K538,Setup!$B$33:$B$40,0)),0)=1)*(COUNTIF(K508:M525,$B538)+COUNTIF(K508:M525,$B538&amp;" ~*")&gt;0)+(IFERROR(INDEX(Setup!$G$33:$G$40,MATCH(O538,Setup!$B$33:$B$40,0)),0)=1)*(COUNTIF(O508:Q525,$B538)+COUNTIF(O508:Q525,$B538&amp;" ~*")&gt;0)+(IFERROR(INDEX(Setup!$G$33:$G$40,MATCH(S538,Setup!$B$33:$B$40,0)),0)=1)*(COUNTIF(S508:U525,$B538)+COUNTIF(S508:U525,$B538&amp;" ~*")&gt;0)+(IFERROR(INDEX(Setup!$G$33:$G$40,MATCH(W538,Setup!$B$33:$B$40,0)),0)=1)*(COUNTIF(W508:W525,$B538)+COUNTIF(W508:W525,$B538&amp;" ~*")&gt;0)+(IFERROR(INDEX(Setup!$G$33:$G$40,MATCH(Y538,Setup!$B$33:$B$40,0)),0)=1)*(COUNTIF(Y508:Y525,$B538)+COUNTIF(Y508:Y525,$B538&amp;" ~*")&gt;0))</f>
        <v/>
      </c>
    </row>
    <row r="539" ht="15" customHeight="1">
      <c r="A539" t="n">
        <v>11</v>
      </c>
      <c r="B539" s="35">
        <f>IF(Setup!$B$18="","",Setup!$B$18)</f>
        <v/>
      </c>
      <c r="C539" s="98" t="n"/>
      <c r="D539" s="99" t="n"/>
      <c r="E539" s="99" t="n"/>
      <c r="F539" s="100" t="n"/>
      <c r="G539" s="98" t="n"/>
      <c r="H539" s="99" t="n"/>
      <c r="I539" s="99" t="n"/>
      <c r="J539" s="100" t="n"/>
      <c r="K539" s="98" t="n"/>
      <c r="L539" s="99" t="n"/>
      <c r="M539" s="99" t="n"/>
      <c r="N539" s="100" t="n"/>
      <c r="O539" s="98" t="n"/>
      <c r="P539" s="99" t="n"/>
      <c r="Q539" s="99" t="n"/>
      <c r="R539" s="100" t="n"/>
      <c r="S539" s="98" t="n"/>
      <c r="T539" s="99" t="n"/>
      <c r="U539" s="99" t="n"/>
      <c r="V539" s="100" t="n"/>
      <c r="W539" s="98" t="n"/>
      <c r="X539" s="100" t="n"/>
      <c r="Y539" s="98" t="n"/>
      <c r="Z539" s="100" t="n"/>
      <c r="AB539" s="101">
        <f>IF($B539="","",(COUNTIF(C508:E525,$B539)+COUNTIF(C508:E525,$B539&amp;" ~*")&gt;0)+(COUNTIF(G508:I525,$B539)+COUNTIF(G508:I525,$B539&amp;" ~*")&gt;0)+(COUNTIF(K508:M525,$B539)+COUNTIF(K508:M525,$B539&amp;" ~*")&gt;0)+(COUNTIF(O508:Q525,$B539)+COUNTIF(O508:Q525,$B539&amp;" ~*")&gt;0)+(COUNTIF(S508:U525,$B539)+COUNTIF(S508:U525,$B539&amp;" ~*")&gt;0)+(COUNTIF(W508:W525,$B539)+COUNTIF(W508:W525,$B539&amp;" ~*")&gt;0)+(COUNTIF(Y508:Y525,$B539)+COUNTIF(Y508:Y525,$B539&amp;" ~*")&gt;0))</f>
        <v/>
      </c>
      <c r="AC539" s="36">
        <f>IF($B539="","",(IFERROR(INDEX(Setup!$G$33:$G$40,MATCH(C539,Setup!$B$33:$B$40,0)),0)=1)*(COUNTIF(C508:E525,$B539)+COUNTIF(C508:E525,$B539&amp;" ~*")&gt;0)+(IFERROR(INDEX(Setup!$G$33:$G$40,MATCH(G539,Setup!$B$33:$B$40,0)),0)=1)*(COUNTIF(G508:I525,$B539)+COUNTIF(G508:I525,$B539&amp;" ~*")&gt;0)+(IFERROR(INDEX(Setup!$G$33:$G$40,MATCH(K539,Setup!$B$33:$B$40,0)),0)=1)*(COUNTIF(K508:M525,$B539)+COUNTIF(K508:M525,$B539&amp;" ~*")&gt;0)+(IFERROR(INDEX(Setup!$G$33:$G$40,MATCH(O539,Setup!$B$33:$B$40,0)),0)=1)*(COUNTIF(O508:Q525,$B539)+COUNTIF(O508:Q525,$B539&amp;" ~*")&gt;0)+(IFERROR(INDEX(Setup!$G$33:$G$40,MATCH(S539,Setup!$B$33:$B$40,0)),0)=1)*(COUNTIF(S508:U525,$B539)+COUNTIF(S508:U525,$B539&amp;" ~*")&gt;0)+(IFERROR(INDEX(Setup!$G$33:$G$40,MATCH(W539,Setup!$B$33:$B$40,0)),0)=1)*(COUNTIF(W508:W525,$B539)+COUNTIF(W508:W525,$B539&amp;" ~*")&gt;0)+(IFERROR(INDEX(Setup!$G$33:$G$40,MATCH(Y539,Setup!$B$33:$B$40,0)),0)=1)*(COUNTIF(Y508:Y525,$B539)+COUNTIF(Y508:Y525,$B539&amp;" ~*")&gt;0))</f>
        <v/>
      </c>
    </row>
    <row r="540" ht="15" customHeight="1">
      <c r="A540" t="n">
        <v>11</v>
      </c>
      <c r="B540" s="37">
        <f>IF(Setup!$B$19="","",Setup!$B$19)</f>
        <v/>
      </c>
      <c r="C540" s="102" t="n"/>
      <c r="D540" s="103" t="n"/>
      <c r="E540" s="103" t="n"/>
      <c r="F540" s="104" t="n"/>
      <c r="G540" s="102" t="n"/>
      <c r="H540" s="103" t="n"/>
      <c r="I540" s="103" t="n"/>
      <c r="J540" s="104" t="n"/>
      <c r="K540" s="102" t="n"/>
      <c r="L540" s="103" t="n"/>
      <c r="M540" s="103" t="n"/>
      <c r="N540" s="104" t="n"/>
      <c r="O540" s="102" t="n"/>
      <c r="P540" s="103" t="n"/>
      <c r="Q540" s="103" t="n"/>
      <c r="R540" s="104" t="n"/>
      <c r="S540" s="102" t="n"/>
      <c r="T540" s="103" t="n"/>
      <c r="U540" s="103" t="n"/>
      <c r="V540" s="104" t="n"/>
      <c r="W540" s="102" t="n"/>
      <c r="X540" s="104" t="n"/>
      <c r="Y540" s="102" t="n"/>
      <c r="Z540" s="104" t="n"/>
      <c r="AB540" s="105">
        <f>IF($B540="","",(COUNTIF(C508:E525,$B540)+COUNTIF(C508:E525,$B540&amp;" ~*")&gt;0)+(COUNTIF(G508:I525,$B540)+COUNTIF(G508:I525,$B540&amp;" ~*")&gt;0)+(COUNTIF(K508:M525,$B540)+COUNTIF(K508:M525,$B540&amp;" ~*")&gt;0)+(COUNTIF(O508:Q525,$B540)+COUNTIF(O508:Q525,$B540&amp;" ~*")&gt;0)+(COUNTIF(S508:U525,$B540)+COUNTIF(S508:U525,$B540&amp;" ~*")&gt;0)+(COUNTIF(W508:W525,$B540)+COUNTIF(W508:W525,$B540&amp;" ~*")&gt;0)+(COUNTIF(Y508:Y525,$B540)+COUNTIF(Y508:Y525,$B540&amp;" ~*")&gt;0))</f>
        <v/>
      </c>
      <c r="AC540" s="38">
        <f>IF($B540="","",(IFERROR(INDEX(Setup!$G$33:$G$40,MATCH(C540,Setup!$B$33:$B$40,0)),0)=1)*(COUNTIF(C508:E525,$B540)+COUNTIF(C508:E525,$B540&amp;" ~*")&gt;0)+(IFERROR(INDEX(Setup!$G$33:$G$40,MATCH(G540,Setup!$B$33:$B$40,0)),0)=1)*(COUNTIF(G508:I525,$B540)+COUNTIF(G508:I525,$B540&amp;" ~*")&gt;0)+(IFERROR(INDEX(Setup!$G$33:$G$40,MATCH(K540,Setup!$B$33:$B$40,0)),0)=1)*(COUNTIF(K508:M525,$B540)+COUNTIF(K508:M525,$B540&amp;" ~*")&gt;0)+(IFERROR(INDEX(Setup!$G$33:$G$40,MATCH(O540,Setup!$B$33:$B$40,0)),0)=1)*(COUNTIF(O508:Q525,$B540)+COUNTIF(O508:Q525,$B540&amp;" ~*")&gt;0)+(IFERROR(INDEX(Setup!$G$33:$G$40,MATCH(S540,Setup!$B$33:$B$40,0)),0)=1)*(COUNTIF(S508:U525,$B540)+COUNTIF(S508:U525,$B540&amp;" ~*")&gt;0)+(IFERROR(INDEX(Setup!$G$33:$G$40,MATCH(W540,Setup!$B$33:$B$40,0)),0)=1)*(COUNTIF(W508:W525,$B540)+COUNTIF(W508:W525,$B540&amp;" ~*")&gt;0)+(IFERROR(INDEX(Setup!$G$33:$G$40,MATCH(Y540,Setup!$B$33:$B$40,0)),0)=1)*(COUNTIF(Y508:Y525,$B540)+COUNTIF(Y508:Y525,$B540&amp;" ~*")&gt;0))</f>
        <v/>
      </c>
    </row>
    <row r="541" ht="15" customHeight="1">
      <c r="A541" t="n">
        <v>11</v>
      </c>
      <c r="B541" s="35">
        <f>IF(Setup!$B$20="","",Setup!$B$20)</f>
        <v/>
      </c>
      <c r="C541" s="98" t="n"/>
      <c r="D541" s="99" t="n"/>
      <c r="E541" s="99" t="n"/>
      <c r="F541" s="100" t="n"/>
      <c r="G541" s="98" t="n"/>
      <c r="H541" s="99" t="n"/>
      <c r="I541" s="99" t="n"/>
      <c r="J541" s="100" t="n"/>
      <c r="K541" s="98" t="n"/>
      <c r="L541" s="99" t="n"/>
      <c r="M541" s="99" t="n"/>
      <c r="N541" s="100" t="n"/>
      <c r="O541" s="98" t="n"/>
      <c r="P541" s="99" t="n"/>
      <c r="Q541" s="99" t="n"/>
      <c r="R541" s="100" t="n"/>
      <c r="S541" s="98" t="n"/>
      <c r="T541" s="99" t="n"/>
      <c r="U541" s="99" t="n"/>
      <c r="V541" s="100" t="n"/>
      <c r="W541" s="98" t="n"/>
      <c r="X541" s="100" t="n"/>
      <c r="Y541" s="98" t="n"/>
      <c r="Z541" s="100" t="n"/>
      <c r="AB541" s="101">
        <f>IF($B541="","",(COUNTIF(C508:E525,$B541)+COUNTIF(C508:E525,$B541&amp;" ~*")&gt;0)+(COUNTIF(G508:I525,$B541)+COUNTIF(G508:I525,$B541&amp;" ~*")&gt;0)+(COUNTIF(K508:M525,$B541)+COUNTIF(K508:M525,$B541&amp;" ~*")&gt;0)+(COUNTIF(O508:Q525,$B541)+COUNTIF(O508:Q525,$B541&amp;" ~*")&gt;0)+(COUNTIF(S508:U525,$B541)+COUNTIF(S508:U525,$B541&amp;" ~*")&gt;0)+(COUNTIF(W508:W525,$B541)+COUNTIF(W508:W525,$B541&amp;" ~*")&gt;0)+(COUNTIF(Y508:Y525,$B541)+COUNTIF(Y508:Y525,$B541&amp;" ~*")&gt;0))</f>
        <v/>
      </c>
      <c r="AC541" s="36">
        <f>IF($B541="","",(IFERROR(INDEX(Setup!$G$33:$G$40,MATCH(C541,Setup!$B$33:$B$40,0)),0)=1)*(COUNTIF(C508:E525,$B541)+COUNTIF(C508:E525,$B541&amp;" ~*")&gt;0)+(IFERROR(INDEX(Setup!$G$33:$G$40,MATCH(G541,Setup!$B$33:$B$40,0)),0)=1)*(COUNTIF(G508:I525,$B541)+COUNTIF(G508:I525,$B541&amp;" ~*")&gt;0)+(IFERROR(INDEX(Setup!$G$33:$G$40,MATCH(K541,Setup!$B$33:$B$40,0)),0)=1)*(COUNTIF(K508:M525,$B541)+COUNTIF(K508:M525,$B541&amp;" ~*")&gt;0)+(IFERROR(INDEX(Setup!$G$33:$G$40,MATCH(O541,Setup!$B$33:$B$40,0)),0)=1)*(COUNTIF(O508:Q525,$B541)+COUNTIF(O508:Q525,$B541&amp;" ~*")&gt;0)+(IFERROR(INDEX(Setup!$G$33:$G$40,MATCH(S541,Setup!$B$33:$B$40,0)),0)=1)*(COUNTIF(S508:U525,$B541)+COUNTIF(S508:U525,$B541&amp;" ~*")&gt;0)+(IFERROR(INDEX(Setup!$G$33:$G$40,MATCH(W541,Setup!$B$33:$B$40,0)),0)=1)*(COUNTIF(W508:W525,$B541)+COUNTIF(W508:W525,$B541&amp;" ~*")&gt;0)+(IFERROR(INDEX(Setup!$G$33:$G$40,MATCH(Y541,Setup!$B$33:$B$40,0)),0)=1)*(COUNTIF(Y508:Y525,$B541)+COUNTIF(Y508:Y525,$B541&amp;" ~*")&gt;0))</f>
        <v/>
      </c>
    </row>
    <row r="542" ht="15" customHeight="1">
      <c r="A542" t="n">
        <v>11</v>
      </c>
      <c r="B542" s="37">
        <f>IF(Setup!$B$21="","",Setup!$B$21)</f>
        <v/>
      </c>
      <c r="C542" s="102" t="inlineStr">
        <is>
          <t>AL</t>
        </is>
      </c>
      <c r="D542" s="103" t="n"/>
      <c r="E542" s="103" t="n"/>
      <c r="F542" s="104" t="n"/>
      <c r="G542" s="102" t="inlineStr">
        <is>
          <t>AL</t>
        </is>
      </c>
      <c r="H542" s="103" t="n"/>
      <c r="I542" s="103" t="n"/>
      <c r="J542" s="104" t="n"/>
      <c r="K542" s="102" t="inlineStr">
        <is>
          <t>AL</t>
        </is>
      </c>
      <c r="L542" s="103" t="n"/>
      <c r="M542" s="103" t="n"/>
      <c r="N542" s="104" t="n"/>
      <c r="O542" s="102" t="inlineStr">
        <is>
          <t>AL</t>
        </is>
      </c>
      <c r="P542" s="103" t="n"/>
      <c r="Q542" s="103" t="n"/>
      <c r="R542" s="104" t="n"/>
      <c r="S542" s="102" t="n"/>
      <c r="T542" s="103" t="n"/>
      <c r="U542" s="103" t="n"/>
      <c r="V542" s="104" t="n"/>
      <c r="W542" s="102" t="n"/>
      <c r="X542" s="104" t="n"/>
      <c r="Y542" s="102" t="n"/>
      <c r="Z542" s="104" t="n"/>
      <c r="AB542" s="105">
        <f>IF($B542="","",(COUNTIF(C508:E525,$B542)+COUNTIF(C508:E525,$B542&amp;" ~*")&gt;0)+(COUNTIF(G508:I525,$B542)+COUNTIF(G508:I525,$B542&amp;" ~*")&gt;0)+(COUNTIF(K508:M525,$B542)+COUNTIF(K508:M525,$B542&amp;" ~*")&gt;0)+(COUNTIF(O508:Q525,$B542)+COUNTIF(O508:Q525,$B542&amp;" ~*")&gt;0)+(COUNTIF(S508:U525,$B542)+COUNTIF(S508:U525,$B542&amp;" ~*")&gt;0)+(COUNTIF(W508:W525,$B542)+COUNTIF(W508:W525,$B542&amp;" ~*")&gt;0)+(COUNTIF(Y508:Y525,$B542)+COUNTIF(Y508:Y525,$B542&amp;" ~*")&gt;0))</f>
        <v/>
      </c>
      <c r="AC542" s="38">
        <f>IF($B542="","",(IFERROR(INDEX(Setup!$G$33:$G$40,MATCH(C542,Setup!$B$33:$B$40,0)),0)=1)*(COUNTIF(C508:E525,$B542)+COUNTIF(C508:E525,$B542&amp;" ~*")&gt;0)+(IFERROR(INDEX(Setup!$G$33:$G$40,MATCH(G542,Setup!$B$33:$B$40,0)),0)=1)*(COUNTIF(G508:I525,$B542)+COUNTIF(G508:I525,$B542&amp;" ~*")&gt;0)+(IFERROR(INDEX(Setup!$G$33:$G$40,MATCH(K542,Setup!$B$33:$B$40,0)),0)=1)*(COUNTIF(K508:M525,$B542)+COUNTIF(K508:M525,$B542&amp;" ~*")&gt;0)+(IFERROR(INDEX(Setup!$G$33:$G$40,MATCH(O542,Setup!$B$33:$B$40,0)),0)=1)*(COUNTIF(O508:Q525,$B542)+COUNTIF(O508:Q525,$B542&amp;" ~*")&gt;0)+(IFERROR(INDEX(Setup!$G$33:$G$40,MATCH(S542,Setup!$B$33:$B$40,0)),0)=1)*(COUNTIF(S508:U525,$B542)+COUNTIF(S508:U525,$B542&amp;" ~*")&gt;0)+(IFERROR(INDEX(Setup!$G$33:$G$40,MATCH(W542,Setup!$B$33:$B$40,0)),0)=1)*(COUNTIF(W508:W525,$B542)+COUNTIF(W508:W525,$B542&amp;" ~*")&gt;0)+(IFERROR(INDEX(Setup!$G$33:$G$40,MATCH(Y542,Setup!$B$33:$B$40,0)),0)=1)*(COUNTIF(Y508:Y525,$B542)+COUNTIF(Y508:Y525,$B542&amp;" ~*")&gt;0))</f>
        <v/>
      </c>
    </row>
    <row r="543" ht="15" customHeight="1">
      <c r="A543" t="n">
        <v>11</v>
      </c>
      <c r="B543" s="35">
        <f>IF(Setup!$B$22="","",Setup!$B$22)</f>
        <v/>
      </c>
      <c r="C543" s="98" t="n"/>
      <c r="D543" s="99" t="n"/>
      <c r="E543" s="99" t="n"/>
      <c r="F543" s="100" t="n"/>
      <c r="G543" s="98" t="n"/>
      <c r="H543" s="99" t="n"/>
      <c r="I543" s="99" t="n"/>
      <c r="J543" s="100" t="n"/>
      <c r="K543" s="98" t="n"/>
      <c r="L543" s="99" t="n"/>
      <c r="M543" s="99" t="n"/>
      <c r="N543" s="100" t="n"/>
      <c r="O543" s="98" t="n"/>
      <c r="P543" s="99" t="n"/>
      <c r="Q543" s="99" t="n"/>
      <c r="R543" s="100" t="n"/>
      <c r="S543" s="98" t="n"/>
      <c r="T543" s="99" t="n"/>
      <c r="U543" s="99" t="n"/>
      <c r="V543" s="100" t="n"/>
      <c r="W543" s="98" t="n"/>
      <c r="X543" s="100" t="n"/>
      <c r="Y543" s="98" t="n"/>
      <c r="Z543" s="100" t="n"/>
      <c r="AB543" s="101">
        <f>IF($B543="","",(COUNTIF(C508:E525,$B543)+COUNTIF(C508:E525,$B543&amp;" ~*")&gt;0)+(COUNTIF(G508:I525,$B543)+COUNTIF(G508:I525,$B543&amp;" ~*")&gt;0)+(COUNTIF(K508:M525,$B543)+COUNTIF(K508:M525,$B543&amp;" ~*")&gt;0)+(COUNTIF(O508:Q525,$B543)+COUNTIF(O508:Q525,$B543&amp;" ~*")&gt;0)+(COUNTIF(S508:U525,$B543)+COUNTIF(S508:U525,$B543&amp;" ~*")&gt;0)+(COUNTIF(W508:W525,$B543)+COUNTIF(W508:W525,$B543&amp;" ~*")&gt;0)+(COUNTIF(Y508:Y525,$B543)+COUNTIF(Y508:Y525,$B543&amp;" ~*")&gt;0))</f>
        <v/>
      </c>
      <c r="AC543" s="36">
        <f>IF($B543="","",(IFERROR(INDEX(Setup!$G$33:$G$40,MATCH(C543,Setup!$B$33:$B$40,0)),0)=1)*(COUNTIF(C508:E525,$B543)+COUNTIF(C508:E525,$B543&amp;" ~*")&gt;0)+(IFERROR(INDEX(Setup!$G$33:$G$40,MATCH(G543,Setup!$B$33:$B$40,0)),0)=1)*(COUNTIF(G508:I525,$B543)+COUNTIF(G508:I525,$B543&amp;" ~*")&gt;0)+(IFERROR(INDEX(Setup!$G$33:$G$40,MATCH(K543,Setup!$B$33:$B$40,0)),0)=1)*(COUNTIF(K508:M525,$B543)+COUNTIF(K508:M525,$B543&amp;" ~*")&gt;0)+(IFERROR(INDEX(Setup!$G$33:$G$40,MATCH(O543,Setup!$B$33:$B$40,0)),0)=1)*(COUNTIF(O508:Q525,$B543)+COUNTIF(O508:Q525,$B543&amp;" ~*")&gt;0)+(IFERROR(INDEX(Setup!$G$33:$G$40,MATCH(S543,Setup!$B$33:$B$40,0)),0)=1)*(COUNTIF(S508:U525,$B543)+COUNTIF(S508:U525,$B543&amp;" ~*")&gt;0)+(IFERROR(INDEX(Setup!$G$33:$G$40,MATCH(W543,Setup!$B$33:$B$40,0)),0)=1)*(COUNTIF(W508:W525,$B543)+COUNTIF(W508:W525,$B543&amp;" ~*")&gt;0)+(IFERROR(INDEX(Setup!$G$33:$G$40,MATCH(Y543,Setup!$B$33:$B$40,0)),0)=1)*(COUNTIF(Y508:Y525,$B543)+COUNTIF(Y508:Y525,$B543&amp;" ~*")&gt;0))</f>
        <v/>
      </c>
    </row>
    <row r="544" ht="15" customHeight="1">
      <c r="A544" t="n">
        <v>11</v>
      </c>
      <c r="B544" s="37">
        <f>IF(Setup!$B$23="","",Setup!$B$23)</f>
        <v/>
      </c>
      <c r="C544" s="102" t="n"/>
      <c r="D544" s="103" t="n"/>
      <c r="E544" s="103" t="n"/>
      <c r="F544" s="104" t="n"/>
      <c r="G544" s="102" t="n"/>
      <c r="H544" s="103" t="n"/>
      <c r="I544" s="103" t="n"/>
      <c r="J544" s="104" t="n"/>
      <c r="K544" s="102" t="n"/>
      <c r="L544" s="103" t="n"/>
      <c r="M544" s="103" t="n"/>
      <c r="N544" s="104" t="n"/>
      <c r="O544" s="102" t="n"/>
      <c r="P544" s="103" t="n"/>
      <c r="Q544" s="103" t="n"/>
      <c r="R544" s="104" t="n"/>
      <c r="S544" s="102" t="n"/>
      <c r="T544" s="103" t="n"/>
      <c r="U544" s="103" t="n"/>
      <c r="V544" s="104" t="n"/>
      <c r="W544" s="102" t="n"/>
      <c r="X544" s="104" t="n"/>
      <c r="Y544" s="102" t="n"/>
      <c r="Z544" s="104" t="n"/>
      <c r="AB544" s="105">
        <f>IF($B544="","",(COUNTIF(C508:E525,$B544)+COUNTIF(C508:E525,$B544&amp;" ~*")&gt;0)+(COUNTIF(G508:I525,$B544)+COUNTIF(G508:I525,$B544&amp;" ~*")&gt;0)+(COUNTIF(K508:M525,$B544)+COUNTIF(K508:M525,$B544&amp;" ~*")&gt;0)+(COUNTIF(O508:Q525,$B544)+COUNTIF(O508:Q525,$B544&amp;" ~*")&gt;0)+(COUNTIF(S508:U525,$B544)+COUNTIF(S508:U525,$B544&amp;" ~*")&gt;0)+(COUNTIF(W508:W525,$B544)+COUNTIF(W508:W525,$B544&amp;" ~*")&gt;0)+(COUNTIF(Y508:Y525,$B544)+COUNTIF(Y508:Y525,$B544&amp;" ~*")&gt;0))</f>
        <v/>
      </c>
      <c r="AC544" s="38">
        <f>IF($B544="","",(IFERROR(INDEX(Setup!$G$33:$G$40,MATCH(C544,Setup!$B$33:$B$40,0)),0)=1)*(COUNTIF(C508:E525,$B544)+COUNTIF(C508:E525,$B544&amp;" ~*")&gt;0)+(IFERROR(INDEX(Setup!$G$33:$G$40,MATCH(G544,Setup!$B$33:$B$40,0)),0)=1)*(COUNTIF(G508:I525,$B544)+COUNTIF(G508:I525,$B544&amp;" ~*")&gt;0)+(IFERROR(INDEX(Setup!$G$33:$G$40,MATCH(K544,Setup!$B$33:$B$40,0)),0)=1)*(COUNTIF(K508:M525,$B544)+COUNTIF(K508:M525,$B544&amp;" ~*")&gt;0)+(IFERROR(INDEX(Setup!$G$33:$G$40,MATCH(O544,Setup!$B$33:$B$40,0)),0)=1)*(COUNTIF(O508:Q525,$B544)+COUNTIF(O508:Q525,$B544&amp;" ~*")&gt;0)+(IFERROR(INDEX(Setup!$G$33:$G$40,MATCH(S544,Setup!$B$33:$B$40,0)),0)=1)*(COUNTIF(S508:U525,$B544)+COUNTIF(S508:U525,$B544&amp;" ~*")&gt;0)+(IFERROR(INDEX(Setup!$G$33:$G$40,MATCH(W544,Setup!$B$33:$B$40,0)),0)=1)*(COUNTIF(W508:W525,$B544)+COUNTIF(W508:W525,$B544&amp;" ~*")&gt;0)+(IFERROR(INDEX(Setup!$G$33:$G$40,MATCH(Y544,Setup!$B$33:$B$40,0)),0)=1)*(COUNTIF(Y508:Y525,$B544)+COUNTIF(Y508:Y525,$B544&amp;" ~*")&gt;0))</f>
        <v/>
      </c>
    </row>
    <row r="545" ht="15" customHeight="1">
      <c r="A545" t="n">
        <v>11</v>
      </c>
      <c r="B545" s="35">
        <f>IF(Setup!$B$24="","",Setup!$B$24)</f>
        <v/>
      </c>
      <c r="C545" s="98" t="n"/>
      <c r="D545" s="99" t="n"/>
      <c r="E545" s="99" t="n"/>
      <c r="F545" s="100" t="n"/>
      <c r="G545" s="98" t="n"/>
      <c r="H545" s="99" t="n"/>
      <c r="I545" s="99" t="n"/>
      <c r="J545" s="100" t="n"/>
      <c r="K545" s="98" t="n"/>
      <c r="L545" s="99" t="n"/>
      <c r="M545" s="99" t="n"/>
      <c r="N545" s="100" t="n"/>
      <c r="O545" s="98" t="n"/>
      <c r="P545" s="99" t="n"/>
      <c r="Q545" s="99" t="n"/>
      <c r="R545" s="100" t="n"/>
      <c r="S545" s="98" t="n"/>
      <c r="T545" s="99" t="n"/>
      <c r="U545" s="99" t="n"/>
      <c r="V545" s="100" t="n"/>
      <c r="W545" s="98" t="n"/>
      <c r="X545" s="100" t="n"/>
      <c r="Y545" s="98" t="n"/>
      <c r="Z545" s="100" t="n"/>
      <c r="AB545" s="101">
        <f>IF($B545="","",(COUNTIF(C508:E525,$B545)+COUNTIF(C508:E525,$B545&amp;" ~*")&gt;0)+(COUNTIF(G508:I525,$B545)+COUNTIF(G508:I525,$B545&amp;" ~*")&gt;0)+(COUNTIF(K508:M525,$B545)+COUNTIF(K508:M525,$B545&amp;" ~*")&gt;0)+(COUNTIF(O508:Q525,$B545)+COUNTIF(O508:Q525,$B545&amp;" ~*")&gt;0)+(COUNTIF(S508:U525,$B545)+COUNTIF(S508:U525,$B545&amp;" ~*")&gt;0)+(COUNTIF(W508:W525,$B545)+COUNTIF(W508:W525,$B545&amp;" ~*")&gt;0)+(COUNTIF(Y508:Y525,$B545)+COUNTIF(Y508:Y525,$B545&amp;" ~*")&gt;0))</f>
        <v/>
      </c>
      <c r="AC545" s="36">
        <f>IF($B545="","",(IFERROR(INDEX(Setup!$G$33:$G$40,MATCH(C545,Setup!$B$33:$B$40,0)),0)=1)*(COUNTIF(C508:E525,$B545)+COUNTIF(C508:E525,$B545&amp;" ~*")&gt;0)+(IFERROR(INDEX(Setup!$G$33:$G$40,MATCH(G545,Setup!$B$33:$B$40,0)),0)=1)*(COUNTIF(G508:I525,$B545)+COUNTIF(G508:I525,$B545&amp;" ~*")&gt;0)+(IFERROR(INDEX(Setup!$G$33:$G$40,MATCH(K545,Setup!$B$33:$B$40,0)),0)=1)*(COUNTIF(K508:M525,$B545)+COUNTIF(K508:M525,$B545&amp;" ~*")&gt;0)+(IFERROR(INDEX(Setup!$G$33:$G$40,MATCH(O545,Setup!$B$33:$B$40,0)),0)=1)*(COUNTIF(O508:Q525,$B545)+COUNTIF(O508:Q525,$B545&amp;" ~*")&gt;0)+(IFERROR(INDEX(Setup!$G$33:$G$40,MATCH(S545,Setup!$B$33:$B$40,0)),0)=1)*(COUNTIF(S508:U525,$B545)+COUNTIF(S508:U525,$B545&amp;" ~*")&gt;0)+(IFERROR(INDEX(Setup!$G$33:$G$40,MATCH(W545,Setup!$B$33:$B$40,0)),0)=1)*(COUNTIF(W508:W525,$B545)+COUNTIF(W508:W525,$B545&amp;" ~*")&gt;0)+(IFERROR(INDEX(Setup!$G$33:$G$40,MATCH(Y545,Setup!$B$33:$B$40,0)),0)=1)*(COUNTIF(Y508:Y525,$B545)+COUNTIF(Y508:Y525,$B545&amp;" ~*")&gt;0))</f>
        <v/>
      </c>
    </row>
    <row r="546" ht="15" customHeight="1">
      <c r="A546" t="n">
        <v>11</v>
      </c>
      <c r="B546" s="37">
        <f>IF(Setup!$B$25="","",Setup!$B$25)</f>
        <v/>
      </c>
      <c r="C546" s="102" t="n"/>
      <c r="D546" s="103" t="n"/>
      <c r="E546" s="103" t="n"/>
      <c r="F546" s="104" t="n"/>
      <c r="G546" s="102" t="n"/>
      <c r="H546" s="103" t="n"/>
      <c r="I546" s="103" t="n"/>
      <c r="J546" s="104" t="n"/>
      <c r="K546" s="102" t="n"/>
      <c r="L546" s="103" t="n"/>
      <c r="M546" s="103" t="n"/>
      <c r="N546" s="104" t="n"/>
      <c r="O546" s="102" t="n"/>
      <c r="P546" s="103" t="n"/>
      <c r="Q546" s="103" t="n"/>
      <c r="R546" s="104" t="n"/>
      <c r="S546" s="102" t="n"/>
      <c r="T546" s="103" t="n"/>
      <c r="U546" s="103" t="n"/>
      <c r="V546" s="104" t="n"/>
      <c r="W546" s="102" t="n"/>
      <c r="X546" s="104" t="n"/>
      <c r="Y546" s="102" t="n"/>
      <c r="Z546" s="104" t="n"/>
      <c r="AB546" s="105">
        <f>IF($B546="","",(COUNTIF(C508:E525,$B546)+COUNTIF(C508:E525,$B546&amp;" ~*")&gt;0)+(COUNTIF(G508:I525,$B546)+COUNTIF(G508:I525,$B546&amp;" ~*")&gt;0)+(COUNTIF(K508:M525,$B546)+COUNTIF(K508:M525,$B546&amp;" ~*")&gt;0)+(COUNTIF(O508:Q525,$B546)+COUNTIF(O508:Q525,$B546&amp;" ~*")&gt;0)+(COUNTIF(S508:U525,$B546)+COUNTIF(S508:U525,$B546&amp;" ~*")&gt;0)+(COUNTIF(W508:W525,$B546)+COUNTIF(W508:W525,$B546&amp;" ~*")&gt;0)+(COUNTIF(Y508:Y525,$B546)+COUNTIF(Y508:Y525,$B546&amp;" ~*")&gt;0))</f>
        <v/>
      </c>
      <c r="AC546" s="38">
        <f>IF($B546="","",(IFERROR(INDEX(Setup!$G$33:$G$40,MATCH(C546,Setup!$B$33:$B$40,0)),0)=1)*(COUNTIF(C508:E525,$B546)+COUNTIF(C508:E525,$B546&amp;" ~*")&gt;0)+(IFERROR(INDEX(Setup!$G$33:$G$40,MATCH(G546,Setup!$B$33:$B$40,0)),0)=1)*(COUNTIF(G508:I525,$B546)+COUNTIF(G508:I525,$B546&amp;" ~*")&gt;0)+(IFERROR(INDEX(Setup!$G$33:$G$40,MATCH(K546,Setup!$B$33:$B$40,0)),0)=1)*(COUNTIF(K508:M525,$B546)+COUNTIF(K508:M525,$B546&amp;" ~*")&gt;0)+(IFERROR(INDEX(Setup!$G$33:$G$40,MATCH(O546,Setup!$B$33:$B$40,0)),0)=1)*(COUNTIF(O508:Q525,$B546)+COUNTIF(O508:Q525,$B546&amp;" ~*")&gt;0)+(IFERROR(INDEX(Setup!$G$33:$G$40,MATCH(S546,Setup!$B$33:$B$40,0)),0)=1)*(COUNTIF(S508:U525,$B546)+COUNTIF(S508:U525,$B546&amp;" ~*")&gt;0)+(IFERROR(INDEX(Setup!$G$33:$G$40,MATCH(W546,Setup!$B$33:$B$40,0)),0)=1)*(COUNTIF(W508:W525,$B546)+COUNTIF(W508:W525,$B546&amp;" ~*")&gt;0)+(IFERROR(INDEX(Setup!$G$33:$G$40,MATCH(Y546,Setup!$B$33:$B$40,0)),0)=1)*(COUNTIF(Y508:Y525,$B546)+COUNTIF(Y508:Y525,$B546&amp;" ~*")&gt;0))</f>
        <v/>
      </c>
    </row>
    <row r="547" ht="15" customHeight="1">
      <c r="A547" t="n">
        <v>11</v>
      </c>
      <c r="B547" s="35">
        <f>IF(Setup!$B$26="","",Setup!$B$26)</f>
        <v/>
      </c>
      <c r="C547" s="98" t="n"/>
      <c r="D547" s="99" t="n"/>
      <c r="E547" s="99" t="n"/>
      <c r="F547" s="100" t="n"/>
      <c r="G547" s="98" t="n"/>
      <c r="H547" s="99" t="n"/>
      <c r="I547" s="99" t="n"/>
      <c r="J547" s="100" t="n"/>
      <c r="K547" s="98" t="n"/>
      <c r="L547" s="99" t="n"/>
      <c r="M547" s="99" t="n"/>
      <c r="N547" s="100" t="n"/>
      <c r="O547" s="98" t="n"/>
      <c r="P547" s="99" t="n"/>
      <c r="Q547" s="99" t="n"/>
      <c r="R547" s="100" t="n"/>
      <c r="S547" s="98" t="n"/>
      <c r="T547" s="99" t="n"/>
      <c r="U547" s="99" t="n"/>
      <c r="V547" s="100" t="n"/>
      <c r="W547" s="98" t="n"/>
      <c r="X547" s="100" t="n"/>
      <c r="Y547" s="98" t="n"/>
      <c r="Z547" s="100" t="n"/>
      <c r="AB547" s="101">
        <f>IF($B547="","",(COUNTIF(C508:E525,$B547)+COUNTIF(C508:E525,$B547&amp;" ~*")&gt;0)+(COUNTIF(G508:I525,$B547)+COUNTIF(G508:I525,$B547&amp;" ~*")&gt;0)+(COUNTIF(K508:M525,$B547)+COUNTIF(K508:M525,$B547&amp;" ~*")&gt;0)+(COUNTIF(O508:Q525,$B547)+COUNTIF(O508:Q525,$B547&amp;" ~*")&gt;0)+(COUNTIF(S508:U525,$B547)+COUNTIF(S508:U525,$B547&amp;" ~*")&gt;0)+(COUNTIF(W508:W525,$B547)+COUNTIF(W508:W525,$B547&amp;" ~*")&gt;0)+(COUNTIF(Y508:Y525,$B547)+COUNTIF(Y508:Y525,$B547&amp;" ~*")&gt;0))</f>
        <v/>
      </c>
      <c r="AC547" s="36">
        <f>IF($B547="","",(IFERROR(INDEX(Setup!$G$33:$G$40,MATCH(C547,Setup!$B$33:$B$40,0)),0)=1)*(COUNTIF(C508:E525,$B547)+COUNTIF(C508:E525,$B547&amp;" ~*")&gt;0)+(IFERROR(INDEX(Setup!$G$33:$G$40,MATCH(G547,Setup!$B$33:$B$40,0)),0)=1)*(COUNTIF(G508:I525,$B547)+COUNTIF(G508:I525,$B547&amp;" ~*")&gt;0)+(IFERROR(INDEX(Setup!$G$33:$G$40,MATCH(K547,Setup!$B$33:$B$40,0)),0)=1)*(COUNTIF(K508:M525,$B547)+COUNTIF(K508:M525,$B547&amp;" ~*")&gt;0)+(IFERROR(INDEX(Setup!$G$33:$G$40,MATCH(O547,Setup!$B$33:$B$40,0)),0)=1)*(COUNTIF(O508:Q525,$B547)+COUNTIF(O508:Q525,$B547&amp;" ~*")&gt;0)+(IFERROR(INDEX(Setup!$G$33:$G$40,MATCH(S547,Setup!$B$33:$B$40,0)),0)=1)*(COUNTIF(S508:U525,$B547)+COUNTIF(S508:U525,$B547&amp;" ~*")&gt;0)+(IFERROR(INDEX(Setup!$G$33:$G$40,MATCH(W547,Setup!$B$33:$B$40,0)),0)=1)*(COUNTIF(W508:W525,$B547)+COUNTIF(W508:W525,$B547&amp;" ~*")&gt;0)+(IFERROR(INDEX(Setup!$G$33:$G$40,MATCH(Y547,Setup!$B$33:$B$40,0)),0)=1)*(COUNTIF(Y508:Y525,$B547)+COUNTIF(Y508:Y525,$B547&amp;" ~*")&gt;0))</f>
        <v/>
      </c>
    </row>
    <row r="548" ht="15" customHeight="1">
      <c r="A548" t="n">
        <v>11</v>
      </c>
      <c r="B548" s="37">
        <f>IF(Setup!$B$27="","",Setup!$B$27)</f>
        <v/>
      </c>
      <c r="C548" s="102" t="n"/>
      <c r="D548" s="103" t="n"/>
      <c r="E548" s="103" t="n"/>
      <c r="F548" s="104" t="n"/>
      <c r="G548" s="102" t="n"/>
      <c r="H548" s="103" t="n"/>
      <c r="I548" s="103" t="n"/>
      <c r="J548" s="104" t="n"/>
      <c r="K548" s="102" t="n"/>
      <c r="L548" s="103" t="n"/>
      <c r="M548" s="103" t="n"/>
      <c r="N548" s="104" t="n"/>
      <c r="O548" s="102" t="n"/>
      <c r="P548" s="103" t="n"/>
      <c r="Q548" s="103" t="n"/>
      <c r="R548" s="104" t="n"/>
      <c r="S548" s="102" t="n"/>
      <c r="T548" s="103" t="n"/>
      <c r="U548" s="103" t="n"/>
      <c r="V548" s="104" t="n"/>
      <c r="W548" s="102" t="n"/>
      <c r="X548" s="104" t="n"/>
      <c r="Y548" s="102" t="n"/>
      <c r="Z548" s="104" t="n"/>
      <c r="AB548" s="105">
        <f>IF($B548="","",(COUNTIF(C508:E525,$B548)+COUNTIF(C508:E525,$B548&amp;" ~*")&gt;0)+(COUNTIF(G508:I525,$B548)+COUNTIF(G508:I525,$B548&amp;" ~*")&gt;0)+(COUNTIF(K508:M525,$B548)+COUNTIF(K508:M525,$B548&amp;" ~*")&gt;0)+(COUNTIF(O508:Q525,$B548)+COUNTIF(O508:Q525,$B548&amp;" ~*")&gt;0)+(COUNTIF(S508:U525,$B548)+COUNTIF(S508:U525,$B548&amp;" ~*")&gt;0)+(COUNTIF(W508:W525,$B548)+COUNTIF(W508:W525,$B548&amp;" ~*")&gt;0)+(COUNTIF(Y508:Y525,$B548)+COUNTIF(Y508:Y525,$B548&amp;" ~*")&gt;0))</f>
        <v/>
      </c>
      <c r="AC548" s="38">
        <f>IF($B548="","",(IFERROR(INDEX(Setup!$G$33:$G$40,MATCH(C548,Setup!$B$33:$B$40,0)),0)=1)*(COUNTIF(C508:E525,$B548)+COUNTIF(C508:E525,$B548&amp;" ~*")&gt;0)+(IFERROR(INDEX(Setup!$G$33:$G$40,MATCH(G548,Setup!$B$33:$B$40,0)),0)=1)*(COUNTIF(G508:I525,$B548)+COUNTIF(G508:I525,$B548&amp;" ~*")&gt;0)+(IFERROR(INDEX(Setup!$G$33:$G$40,MATCH(K548,Setup!$B$33:$B$40,0)),0)=1)*(COUNTIF(K508:M525,$B548)+COUNTIF(K508:M525,$B548&amp;" ~*")&gt;0)+(IFERROR(INDEX(Setup!$G$33:$G$40,MATCH(O548,Setup!$B$33:$B$40,0)),0)=1)*(COUNTIF(O508:Q525,$B548)+COUNTIF(O508:Q525,$B548&amp;" ~*")&gt;0)+(IFERROR(INDEX(Setup!$G$33:$G$40,MATCH(S548,Setup!$B$33:$B$40,0)),0)=1)*(COUNTIF(S508:U525,$B548)+COUNTIF(S508:U525,$B548&amp;" ~*")&gt;0)+(IFERROR(INDEX(Setup!$G$33:$G$40,MATCH(W548,Setup!$B$33:$B$40,0)),0)=1)*(COUNTIF(W508:W525,$B548)+COUNTIF(W508:W525,$B548&amp;" ~*")&gt;0)+(IFERROR(INDEX(Setup!$G$33:$G$40,MATCH(Y548,Setup!$B$33:$B$40,0)),0)=1)*(COUNTIF(Y508:Y525,$B548)+COUNTIF(Y508:Y525,$B548&amp;" ~*")&gt;0))</f>
        <v/>
      </c>
    </row>
    <row r="549" ht="15" customHeight="1">
      <c r="A549" t="n">
        <v>11</v>
      </c>
      <c r="B549" s="35">
        <f>IF(Setup!$B$28="","",Setup!$B$28)</f>
        <v/>
      </c>
      <c r="C549" s="98" t="n"/>
      <c r="D549" s="99" t="n"/>
      <c r="E549" s="99" t="n"/>
      <c r="F549" s="100" t="n"/>
      <c r="G549" s="98" t="n"/>
      <c r="H549" s="99" t="n"/>
      <c r="I549" s="99" t="n"/>
      <c r="J549" s="100" t="n"/>
      <c r="K549" s="98" t="n"/>
      <c r="L549" s="99" t="n"/>
      <c r="M549" s="99" t="n"/>
      <c r="N549" s="100" t="n"/>
      <c r="O549" s="98" t="n"/>
      <c r="P549" s="99" t="n"/>
      <c r="Q549" s="99" t="n"/>
      <c r="R549" s="100" t="n"/>
      <c r="S549" s="98" t="n"/>
      <c r="T549" s="99" t="n"/>
      <c r="U549" s="99" t="n"/>
      <c r="V549" s="100" t="n"/>
      <c r="W549" s="98" t="n"/>
      <c r="X549" s="100" t="n"/>
      <c r="Y549" s="98" t="n"/>
      <c r="Z549" s="100" t="n"/>
      <c r="AB549" s="101">
        <f>IF($B549="","",(COUNTIF(C508:E525,$B549)+COUNTIF(C508:E525,$B549&amp;" ~*")&gt;0)+(COUNTIF(G508:I525,$B549)+COUNTIF(G508:I525,$B549&amp;" ~*")&gt;0)+(COUNTIF(K508:M525,$B549)+COUNTIF(K508:M525,$B549&amp;" ~*")&gt;0)+(COUNTIF(O508:Q525,$B549)+COUNTIF(O508:Q525,$B549&amp;" ~*")&gt;0)+(COUNTIF(S508:U525,$B549)+COUNTIF(S508:U525,$B549&amp;" ~*")&gt;0)+(COUNTIF(W508:W525,$B549)+COUNTIF(W508:W525,$B549&amp;" ~*")&gt;0)+(COUNTIF(Y508:Y525,$B549)+COUNTIF(Y508:Y525,$B549&amp;" ~*")&gt;0))</f>
        <v/>
      </c>
      <c r="AC549" s="36">
        <f>IF($B549="","",(IFERROR(INDEX(Setup!$G$33:$G$40,MATCH(C549,Setup!$B$33:$B$40,0)),0)=1)*(COUNTIF(C508:E525,$B549)+COUNTIF(C508:E525,$B549&amp;" ~*")&gt;0)+(IFERROR(INDEX(Setup!$G$33:$G$40,MATCH(G549,Setup!$B$33:$B$40,0)),0)=1)*(COUNTIF(G508:I525,$B549)+COUNTIF(G508:I525,$B549&amp;" ~*")&gt;0)+(IFERROR(INDEX(Setup!$G$33:$G$40,MATCH(K549,Setup!$B$33:$B$40,0)),0)=1)*(COUNTIF(K508:M525,$B549)+COUNTIF(K508:M525,$B549&amp;" ~*")&gt;0)+(IFERROR(INDEX(Setup!$G$33:$G$40,MATCH(O549,Setup!$B$33:$B$40,0)),0)=1)*(COUNTIF(O508:Q525,$B549)+COUNTIF(O508:Q525,$B549&amp;" ~*")&gt;0)+(IFERROR(INDEX(Setup!$G$33:$G$40,MATCH(S549,Setup!$B$33:$B$40,0)),0)=1)*(COUNTIF(S508:U525,$B549)+COUNTIF(S508:U525,$B549&amp;" ~*")&gt;0)+(IFERROR(INDEX(Setup!$G$33:$G$40,MATCH(W549,Setup!$B$33:$B$40,0)),0)=1)*(COUNTIF(W508:W525,$B549)+COUNTIF(W508:W525,$B549&amp;" ~*")&gt;0)+(IFERROR(INDEX(Setup!$G$33:$G$40,MATCH(Y549,Setup!$B$33:$B$40,0)),0)=1)*(COUNTIF(Y508:Y525,$B549)+COUNTIF(Y508:Y525,$B549&amp;" ~*")&gt;0))</f>
        <v/>
      </c>
    </row>
    <row r="550" ht="15" customHeight="1">
      <c r="A550" t="n">
        <v>11</v>
      </c>
      <c r="B550" s="37">
        <f>IF(Setup!$B$29="","",Setup!$B$29)</f>
        <v/>
      </c>
      <c r="C550" s="102" t="n"/>
      <c r="D550" s="103" t="n"/>
      <c r="E550" s="103" t="n"/>
      <c r="F550" s="104" t="n"/>
      <c r="G550" s="102" t="n"/>
      <c r="H550" s="103" t="n"/>
      <c r="I550" s="103" t="n"/>
      <c r="J550" s="104" t="n"/>
      <c r="K550" s="102" t="n"/>
      <c r="L550" s="103" t="n"/>
      <c r="M550" s="103" t="n"/>
      <c r="N550" s="104" t="n"/>
      <c r="O550" s="102" t="n"/>
      <c r="P550" s="103" t="n"/>
      <c r="Q550" s="103" t="n"/>
      <c r="R550" s="104" t="n"/>
      <c r="S550" s="102" t="n"/>
      <c r="T550" s="103" t="n"/>
      <c r="U550" s="103" t="n"/>
      <c r="V550" s="104" t="n"/>
      <c r="W550" s="102" t="n"/>
      <c r="X550" s="104" t="n"/>
      <c r="Y550" s="102" t="n"/>
      <c r="Z550" s="104" t="n"/>
      <c r="AB550" s="105">
        <f>IF($B550="","",(COUNTIF(C508:E525,$B550)+COUNTIF(C508:E525,$B550&amp;" ~*")&gt;0)+(COUNTIF(G508:I525,$B550)+COUNTIF(G508:I525,$B550&amp;" ~*")&gt;0)+(COUNTIF(K508:M525,$B550)+COUNTIF(K508:M525,$B550&amp;" ~*")&gt;0)+(COUNTIF(O508:Q525,$B550)+COUNTIF(O508:Q525,$B550&amp;" ~*")&gt;0)+(COUNTIF(S508:U525,$B550)+COUNTIF(S508:U525,$B550&amp;" ~*")&gt;0)+(COUNTIF(W508:W525,$B550)+COUNTIF(W508:W525,$B550&amp;" ~*")&gt;0)+(COUNTIF(Y508:Y525,$B550)+COUNTIF(Y508:Y525,$B550&amp;" ~*")&gt;0))</f>
        <v/>
      </c>
      <c r="AC550" s="38">
        <f>IF($B550="","",(IFERROR(INDEX(Setup!$G$33:$G$40,MATCH(C550,Setup!$B$33:$B$40,0)),0)=1)*(COUNTIF(C508:E525,$B550)+COUNTIF(C508:E525,$B550&amp;" ~*")&gt;0)+(IFERROR(INDEX(Setup!$G$33:$G$40,MATCH(G550,Setup!$B$33:$B$40,0)),0)=1)*(COUNTIF(G508:I525,$B550)+COUNTIF(G508:I525,$B550&amp;" ~*")&gt;0)+(IFERROR(INDEX(Setup!$G$33:$G$40,MATCH(K550,Setup!$B$33:$B$40,0)),0)=1)*(COUNTIF(K508:M525,$B550)+COUNTIF(K508:M525,$B550&amp;" ~*")&gt;0)+(IFERROR(INDEX(Setup!$G$33:$G$40,MATCH(O550,Setup!$B$33:$B$40,0)),0)=1)*(COUNTIF(O508:Q525,$B550)+COUNTIF(O508:Q525,$B550&amp;" ~*")&gt;0)+(IFERROR(INDEX(Setup!$G$33:$G$40,MATCH(S550,Setup!$B$33:$B$40,0)),0)=1)*(COUNTIF(S508:U525,$B550)+COUNTIF(S508:U525,$B550&amp;" ~*")&gt;0)+(IFERROR(INDEX(Setup!$G$33:$G$40,MATCH(W550,Setup!$B$33:$B$40,0)),0)=1)*(COUNTIF(W508:W525,$B550)+COUNTIF(W508:W525,$B550&amp;" ~*")&gt;0)+(IFERROR(INDEX(Setup!$G$33:$G$40,MATCH(Y550,Setup!$B$33:$B$40,0)),0)=1)*(COUNTIF(Y508:Y525,$B550)+COUNTIF(Y508:Y525,$B550&amp;" ~*")&gt;0))</f>
        <v/>
      </c>
    </row>
    <row r="551" ht="16" customHeight="1">
      <c r="A551" t="n">
        <v>11</v>
      </c>
      <c r="B551" s="106" t="inlineStr">
        <is>
          <t>Available people</t>
        </is>
      </c>
      <c r="C551" s="107">
        <f>COUNTIFS(Setup!$E$6:$E$29,"Y",Setup!$B$6:$B$29,"?*")-SUMPRODUCT(COUNTIF(C527:C550,Setup!$F$33:$F$40))</f>
        <v/>
      </c>
      <c r="D551" s="107" t="n"/>
      <c r="E551" s="107" t="n"/>
      <c r="F551" s="107" t="n"/>
      <c r="G551" s="107">
        <f>COUNTIFS(Setup!$E$6:$E$29,"Y",Setup!$B$6:$B$29,"?*")-SUMPRODUCT(COUNTIF(G527:G550,Setup!$F$33:$F$40))</f>
        <v/>
      </c>
      <c r="H551" s="107" t="n"/>
      <c r="I551" s="107" t="n"/>
      <c r="J551" s="107" t="n"/>
      <c r="K551" s="107">
        <f>COUNTIFS(Setup!$E$6:$E$29,"Y",Setup!$B$6:$B$29,"?*")-SUMPRODUCT(COUNTIF(K527:K550,Setup!$F$33:$F$40))</f>
        <v/>
      </c>
      <c r="L551" s="107" t="n"/>
      <c r="M551" s="107" t="n"/>
      <c r="N551" s="107" t="n"/>
      <c r="O551" s="107">
        <f>COUNTIFS(Setup!$E$6:$E$29,"Y",Setup!$B$6:$B$29,"?*")-SUMPRODUCT(COUNTIF(O527:O550,Setup!$F$33:$F$40))</f>
        <v/>
      </c>
      <c r="P551" s="107" t="n"/>
      <c r="Q551" s="107" t="n"/>
      <c r="R551" s="107" t="n"/>
      <c r="S551" s="107">
        <f>COUNTIFS(Setup!$E$6:$E$29,"Y",Setup!$B$6:$B$29,"?*")-SUMPRODUCT(COUNTIF(S527:S550,Setup!$F$33:$F$40))</f>
        <v/>
      </c>
      <c r="T551" s="107" t="n"/>
      <c r="U551" s="107" t="n"/>
      <c r="V551" s="107" t="n"/>
      <c r="W551" s="107">
        <f>COUNTIFS(Setup!$E$6:$E$29,"Y",Setup!$B$6:$B$29,"?*")-SUMPRODUCT(COUNTIF(W527:W550,Setup!$F$33:$F$40))</f>
        <v/>
      </c>
      <c r="X551" s="107" t="n"/>
      <c r="Y551" s="107">
        <f>COUNTIFS(Setup!$E$6:$E$29,"Y",Setup!$B$6:$B$29,"?*")-SUMPRODUCT(COUNTIF(Y527:Y550,Setup!$F$33:$F$40))</f>
        <v/>
      </c>
      <c r="Z551" s="107" t="n"/>
      <c r="AB551" s="108">
        <f>SUM(AB527:AB550)</f>
        <v/>
      </c>
      <c r="AC551" s="109">
        <f>SUM(AC527:AC550)</f>
        <v/>
      </c>
    </row>
    <row r="552" ht="30" customHeight="1">
      <c r="A552" t="n">
        <v>11</v>
      </c>
      <c r="B552" s="110" t="inlineStr">
        <is>
          <t>Week notes</t>
        </is>
      </c>
      <c r="C552" s="111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112" t="n"/>
      <c r="R552" s="112" t="n"/>
      <c r="S552" s="112" t="n"/>
      <c r="T552" s="112" t="n"/>
      <c r="U552" s="112" t="n"/>
      <c r="V552" s="112" t="n"/>
      <c r="W552" s="112" t="n"/>
      <c r="X552" s="112" t="n"/>
      <c r="Y552" s="112" t="n"/>
      <c r="Z552" s="113" t="n"/>
    </row>
    <row r="553" ht="8" customHeight="1">
      <c r="A553" t="n">
        <v>11</v>
      </c>
    </row>
    <row r="554" ht="8" customHeight="1">
      <c r="A554" t="n">
        <v>11</v>
      </c>
    </row>
    <row r="555" ht="24" customHeight="1">
      <c r="A555" t="n">
        <v>12</v>
      </c>
      <c r="B555" s="73">
        <f>"WEEK 12     "&amp;TEXT(C556,"ddd d mmm")&amp;"  –  "&amp;TEXT(C556+6,"ddd d mmm yyyy")</f>
        <v/>
      </c>
      <c r="S555" s="74">
        <f>IF(TODAY()&lt;C556,"FUTURE",IF(TODAY()&gt;C556+6,"PAST","THIS WEEK"))</f>
        <v/>
      </c>
      <c r="W555" s="75">
        <f>IF(AND(Engine!$B$8=$AC$3,Engine!$B$9=$A555),"◀ ACTIVE WEEK","")</f>
        <v/>
      </c>
      <c r="AA555" s="76" t="n"/>
      <c r="AB555" s="77" t="inlineStr">
        <is>
          <t>◀ Prev</t>
        </is>
      </c>
      <c r="AC555" s="77" t="inlineStr">
        <is>
          <t>Next ▶</t>
        </is>
      </c>
    </row>
    <row r="556" ht="18" customHeight="1">
      <c r="A556" t="n">
        <v>12</v>
      </c>
      <c r="B556" s="78" t="inlineStr">
        <is>
          <t>DUTY</t>
        </is>
      </c>
      <c r="C556" s="79">
        <f>$AC$2+7*($A556-1)</f>
        <v/>
      </c>
      <c r="D556" s="80" t="n"/>
      <c r="E556" s="80" t="n"/>
      <c r="F556" s="81" t="n"/>
      <c r="G556" s="79">
        <f>C556+1</f>
        <v/>
      </c>
      <c r="H556" s="80" t="n"/>
      <c r="I556" s="80" t="n"/>
      <c r="J556" s="81" t="n"/>
      <c r="K556" s="79">
        <f>C556+2</f>
        <v/>
      </c>
      <c r="L556" s="80" t="n"/>
      <c r="M556" s="80" t="n"/>
      <c r="N556" s="81" t="n"/>
      <c r="O556" s="79">
        <f>C556+3</f>
        <v/>
      </c>
      <c r="P556" s="80" t="n"/>
      <c r="Q556" s="80" t="n"/>
      <c r="R556" s="81" t="n"/>
      <c r="S556" s="79">
        <f>C556+4</f>
        <v/>
      </c>
      <c r="T556" s="80" t="n"/>
      <c r="U556" s="80" t="n"/>
      <c r="V556" s="81" t="n"/>
      <c r="W556" s="82">
        <f>C556+5</f>
        <v/>
      </c>
      <c r="X556" s="83" t="n"/>
      <c r="Y556" s="82">
        <f>C556+6</f>
        <v/>
      </c>
      <c r="Z556" s="83" t="n"/>
      <c r="AB556" s="72" t="inlineStr">
        <is>
          <t>Gaps</t>
        </is>
      </c>
      <c r="AC556" s="72" t="inlineStr">
        <is>
          <t>Cover</t>
        </is>
      </c>
    </row>
    <row r="557" ht="14" customHeight="1">
      <c r="A557" t="n">
        <v>12</v>
      </c>
      <c r="B557" s="84" t="inlineStr">
        <is>
          <t>(from Setup)</t>
        </is>
      </c>
      <c r="C557" s="85" t="inlineStr">
        <is>
          <t>1</t>
        </is>
      </c>
      <c r="D557" s="85" t="inlineStr">
        <is>
          <t>2</t>
        </is>
      </c>
      <c r="E557" s="85" t="inlineStr">
        <is>
          <t>3</t>
        </is>
      </c>
      <c r="F557" s="85" t="inlineStr">
        <is>
          <t>Notes</t>
        </is>
      </c>
      <c r="G557" s="85" t="inlineStr">
        <is>
          <t>1</t>
        </is>
      </c>
      <c r="H557" s="85" t="inlineStr">
        <is>
          <t>2</t>
        </is>
      </c>
      <c r="I557" s="85" t="inlineStr">
        <is>
          <t>3</t>
        </is>
      </c>
      <c r="J557" s="85" t="inlineStr">
        <is>
          <t>Notes</t>
        </is>
      </c>
      <c r="K557" s="85" t="inlineStr">
        <is>
          <t>1</t>
        </is>
      </c>
      <c r="L557" s="85" t="inlineStr">
        <is>
          <t>2</t>
        </is>
      </c>
      <c r="M557" s="85" t="inlineStr">
        <is>
          <t>3</t>
        </is>
      </c>
      <c r="N557" s="85" t="inlineStr">
        <is>
          <t>Notes</t>
        </is>
      </c>
      <c r="O557" s="85" t="inlineStr">
        <is>
          <t>1</t>
        </is>
      </c>
      <c r="P557" s="85" t="inlineStr">
        <is>
          <t>2</t>
        </is>
      </c>
      <c r="Q557" s="85" t="inlineStr">
        <is>
          <t>3</t>
        </is>
      </c>
      <c r="R557" s="85" t="inlineStr">
        <is>
          <t>Notes</t>
        </is>
      </c>
      <c r="S557" s="85" t="inlineStr">
        <is>
          <t>1</t>
        </is>
      </c>
      <c r="T557" s="85" t="inlineStr">
        <is>
          <t>2</t>
        </is>
      </c>
      <c r="U557" s="85" t="inlineStr">
        <is>
          <t>3</t>
        </is>
      </c>
      <c r="V557" s="85" t="inlineStr">
        <is>
          <t>Notes</t>
        </is>
      </c>
      <c r="W557" s="85" t="inlineStr">
        <is>
          <t>Cover</t>
        </is>
      </c>
      <c r="X557" s="85" t="inlineStr">
        <is>
          <t>Notes</t>
        </is>
      </c>
      <c r="Y557" s="85" t="inlineStr">
        <is>
          <t>Cover</t>
        </is>
      </c>
      <c r="Z557" s="85" t="inlineStr">
        <is>
          <t>Notes</t>
        </is>
      </c>
      <c r="AB557" s="86" t="inlineStr">
        <is>
          <t>weekdays short</t>
        </is>
      </c>
      <c r="AC557" s="87" t="inlineStr"/>
    </row>
    <row r="558" ht="17" customHeight="1">
      <c r="A558" t="n">
        <v>12</v>
      </c>
      <c r="B558" s="24">
        <f>IF(Setup!$K$6="","",Setup!$K$6)</f>
        <v/>
      </c>
      <c r="C558" s="88" t="n"/>
      <c r="D558" s="88" t="n"/>
      <c r="E558" s="88" t="n"/>
      <c r="F558" s="89" t="n"/>
      <c r="G558" s="88" t="n"/>
      <c r="H558" s="88" t="n"/>
      <c r="I558" s="88" t="n"/>
      <c r="J558" s="89" t="n"/>
      <c r="K558" s="88" t="n"/>
      <c r="L558" s="88" t="n"/>
      <c r="M558" s="88" t="n"/>
      <c r="N558" s="89" t="n"/>
      <c r="O558" s="88" t="n"/>
      <c r="P558" s="88" t="n"/>
      <c r="Q558" s="88" t="n"/>
      <c r="R558" s="89" t="n"/>
      <c r="S558" s="88" t="n"/>
      <c r="T558" s="88" t="n"/>
      <c r="U558" s="88" t="n"/>
      <c r="V558" s="89" t="n"/>
      <c r="W558" s="88" t="n"/>
      <c r="X558" s="89" t="n"/>
      <c r="Y558" s="88" t="n"/>
      <c r="Z558" s="89" t="n"/>
      <c r="AB558" s="25">
        <f>IF($B558="","",(COUNTIF(C558:E558,"?*")&lt;N(INDEX(Setup!$L$6:$L$23,1)))+(COUNTIF(G558:I558,"?*")&lt;N(INDEX(Setup!$L$6:$L$23,1)))+(COUNTIF(K558:M558,"?*")&lt;N(INDEX(Setup!$L$6:$L$23,1)))+(COUNTIF(O558:Q558,"?*")&lt;N(INDEX(Setup!$L$6:$L$23,1)))+(COUNTIF(S558:U558,"?*")&lt;N(INDEX(Setup!$L$6:$L$23,1)))+((W558="")*(INDEX(Setup!$M$6:$M$23,1)="Y"))+((Y558="")*(INDEX(Setup!$M$6:$M$23,1)="Y")))</f>
        <v/>
      </c>
      <c r="AC558" s="90">
        <f>IF($B558="","",IF(AB558=0,"✓ covered","⚠ "&amp;AB558&amp;IF(AB558=1," gap"," gaps")))</f>
        <v/>
      </c>
    </row>
    <row r="559" ht="17" customHeight="1">
      <c r="A559" t="n">
        <v>12</v>
      </c>
      <c r="B559" s="29">
        <f>IF(Setup!$K$7="","",Setup!$K$7)</f>
        <v/>
      </c>
      <c r="C559" s="88" t="n"/>
      <c r="D559" s="88" t="n"/>
      <c r="E559" s="88" t="n"/>
      <c r="F559" s="89" t="n"/>
      <c r="G559" s="88" t="n"/>
      <c r="H559" s="88" t="n"/>
      <c r="I559" s="88" t="n"/>
      <c r="J559" s="89" t="n"/>
      <c r="K559" s="88" t="n"/>
      <c r="L559" s="88" t="n"/>
      <c r="M559" s="88" t="n"/>
      <c r="N559" s="89" t="n"/>
      <c r="O559" s="88" t="n"/>
      <c r="P559" s="88" t="n"/>
      <c r="Q559" s="88" t="n"/>
      <c r="R559" s="89" t="n"/>
      <c r="S559" s="88" t="n"/>
      <c r="T559" s="88" t="n"/>
      <c r="U559" s="88" t="n"/>
      <c r="V559" s="89" t="n"/>
      <c r="W559" s="88" t="n"/>
      <c r="X559" s="89" t="n"/>
      <c r="Y559" s="88" t="n"/>
      <c r="Z559" s="89" t="n"/>
      <c r="AB559" s="30">
        <f>IF($B559="","",(COUNTIF(C559:E559,"?*")&lt;N(INDEX(Setup!$L$6:$L$23,2)))+(COUNTIF(G559:I559,"?*")&lt;N(INDEX(Setup!$L$6:$L$23,2)))+(COUNTIF(K559:M559,"?*")&lt;N(INDEX(Setup!$L$6:$L$23,2)))+(COUNTIF(O559:Q559,"?*")&lt;N(INDEX(Setup!$L$6:$L$23,2)))+(COUNTIF(S559:U559,"?*")&lt;N(INDEX(Setup!$L$6:$L$23,2)))+((W559="")*(INDEX(Setup!$M$6:$M$23,2)="Y"))+((Y559="")*(INDEX(Setup!$M$6:$M$23,2)="Y")))</f>
        <v/>
      </c>
      <c r="AC559" s="91">
        <f>IF($B559="","",IF(AB559=0,"✓ covered","⚠ "&amp;AB559&amp;IF(AB559=1," gap"," gaps")))</f>
        <v/>
      </c>
    </row>
    <row r="560" ht="17" customHeight="1">
      <c r="A560" t="n">
        <v>12</v>
      </c>
      <c r="B560" s="24">
        <f>IF(Setup!$K$8="","",Setup!$K$8)</f>
        <v/>
      </c>
      <c r="C560" s="88" t="n"/>
      <c r="D560" s="88" t="n"/>
      <c r="E560" s="88" t="n"/>
      <c r="F560" s="89" t="n"/>
      <c r="G560" s="88" t="n"/>
      <c r="H560" s="88" t="n"/>
      <c r="I560" s="88" t="n"/>
      <c r="J560" s="89" t="n"/>
      <c r="K560" s="88" t="n"/>
      <c r="L560" s="88" t="n"/>
      <c r="M560" s="88" t="n"/>
      <c r="N560" s="89" t="n"/>
      <c r="O560" s="88" t="n"/>
      <c r="P560" s="88" t="n"/>
      <c r="Q560" s="88" t="n"/>
      <c r="R560" s="89" t="n"/>
      <c r="S560" s="88" t="n"/>
      <c r="T560" s="88" t="n"/>
      <c r="U560" s="88" t="n"/>
      <c r="V560" s="89" t="n"/>
      <c r="W560" s="88" t="n"/>
      <c r="X560" s="89" t="n"/>
      <c r="Y560" s="88" t="n"/>
      <c r="Z560" s="89" t="n"/>
      <c r="AB560" s="25">
        <f>IF($B560="","",(COUNTIF(C560:E560,"?*")&lt;N(INDEX(Setup!$L$6:$L$23,3)))+(COUNTIF(G560:I560,"?*")&lt;N(INDEX(Setup!$L$6:$L$23,3)))+(COUNTIF(K560:M560,"?*")&lt;N(INDEX(Setup!$L$6:$L$23,3)))+(COUNTIF(O560:Q560,"?*")&lt;N(INDEX(Setup!$L$6:$L$23,3)))+(COUNTIF(S560:U560,"?*")&lt;N(INDEX(Setup!$L$6:$L$23,3)))+((W560="")*(INDEX(Setup!$M$6:$M$23,3)="Y"))+((Y560="")*(INDEX(Setup!$M$6:$M$23,3)="Y")))</f>
        <v/>
      </c>
      <c r="AC560" s="90">
        <f>IF($B560="","",IF(AB560=0,"✓ covered","⚠ "&amp;AB560&amp;IF(AB560=1," gap"," gaps")))</f>
        <v/>
      </c>
    </row>
    <row r="561" ht="17" customHeight="1">
      <c r="A561" t="n">
        <v>12</v>
      </c>
      <c r="B561" s="29">
        <f>IF(Setup!$K$9="","",Setup!$K$9)</f>
        <v/>
      </c>
      <c r="C561" s="88" t="n"/>
      <c r="D561" s="88" t="n"/>
      <c r="E561" s="88" t="n"/>
      <c r="F561" s="89" t="n"/>
      <c r="G561" s="88" t="n"/>
      <c r="H561" s="88" t="n"/>
      <c r="I561" s="88" t="n"/>
      <c r="J561" s="89" t="n"/>
      <c r="K561" s="88" t="n"/>
      <c r="L561" s="88" t="n"/>
      <c r="M561" s="88" t="n"/>
      <c r="N561" s="89" t="n"/>
      <c r="O561" s="88" t="n"/>
      <c r="P561" s="88" t="n"/>
      <c r="Q561" s="88" t="n"/>
      <c r="R561" s="89" t="n"/>
      <c r="S561" s="88" t="n"/>
      <c r="T561" s="88" t="n"/>
      <c r="U561" s="88" t="n"/>
      <c r="V561" s="89" t="n"/>
      <c r="W561" s="88" t="n"/>
      <c r="X561" s="89" t="n"/>
      <c r="Y561" s="88" t="n"/>
      <c r="Z561" s="89" t="n"/>
      <c r="AB561" s="30">
        <f>IF($B561="","",(COUNTIF(C561:E561,"?*")&lt;N(INDEX(Setup!$L$6:$L$23,4)))+(COUNTIF(G561:I561,"?*")&lt;N(INDEX(Setup!$L$6:$L$23,4)))+(COUNTIF(K561:M561,"?*")&lt;N(INDEX(Setup!$L$6:$L$23,4)))+(COUNTIF(O561:Q561,"?*")&lt;N(INDEX(Setup!$L$6:$L$23,4)))+(COUNTIF(S561:U561,"?*")&lt;N(INDEX(Setup!$L$6:$L$23,4)))+((W561="")*(INDEX(Setup!$M$6:$M$23,4)="Y"))+((Y561="")*(INDEX(Setup!$M$6:$M$23,4)="Y")))</f>
        <v/>
      </c>
      <c r="AC561" s="91">
        <f>IF($B561="","",IF(AB561=0,"✓ covered","⚠ "&amp;AB561&amp;IF(AB561=1," gap"," gaps")))</f>
        <v/>
      </c>
    </row>
    <row r="562" ht="17" customHeight="1">
      <c r="A562" t="n">
        <v>12</v>
      </c>
      <c r="B562" s="24">
        <f>IF(Setup!$K$10="","",Setup!$K$10)</f>
        <v/>
      </c>
      <c r="C562" s="88" t="n"/>
      <c r="D562" s="88" t="n"/>
      <c r="E562" s="88" t="n"/>
      <c r="F562" s="89" t="n"/>
      <c r="G562" s="88" t="n"/>
      <c r="H562" s="88" t="n"/>
      <c r="I562" s="88" t="n"/>
      <c r="J562" s="89" t="n"/>
      <c r="K562" s="88" t="n"/>
      <c r="L562" s="88" t="n"/>
      <c r="M562" s="88" t="n"/>
      <c r="N562" s="89" t="n"/>
      <c r="O562" s="88" t="n"/>
      <c r="P562" s="88" t="n"/>
      <c r="Q562" s="88" t="n"/>
      <c r="R562" s="89" t="n"/>
      <c r="S562" s="88" t="n"/>
      <c r="T562" s="88" t="n"/>
      <c r="U562" s="88" t="n"/>
      <c r="V562" s="89" t="n"/>
      <c r="W562" s="88" t="n"/>
      <c r="X562" s="89" t="n"/>
      <c r="Y562" s="88" t="n"/>
      <c r="Z562" s="89" t="n"/>
      <c r="AB562" s="25">
        <f>IF($B562="","",(COUNTIF(C562:E562,"?*")&lt;N(INDEX(Setup!$L$6:$L$23,5)))+(COUNTIF(G562:I562,"?*")&lt;N(INDEX(Setup!$L$6:$L$23,5)))+(COUNTIF(K562:M562,"?*")&lt;N(INDEX(Setup!$L$6:$L$23,5)))+(COUNTIF(O562:Q562,"?*")&lt;N(INDEX(Setup!$L$6:$L$23,5)))+(COUNTIF(S562:U562,"?*")&lt;N(INDEX(Setup!$L$6:$L$23,5)))+((W562="")*(INDEX(Setup!$M$6:$M$23,5)="Y"))+((Y562="")*(INDEX(Setup!$M$6:$M$23,5)="Y")))</f>
        <v/>
      </c>
      <c r="AC562" s="90">
        <f>IF($B562="","",IF(AB562=0,"✓ covered","⚠ "&amp;AB562&amp;IF(AB562=1," gap"," gaps")))</f>
        <v/>
      </c>
    </row>
    <row r="563" ht="17" customHeight="1">
      <c r="A563" t="n">
        <v>12</v>
      </c>
      <c r="B563" s="29">
        <f>IF(Setup!$K$11="","",Setup!$K$11)</f>
        <v/>
      </c>
      <c r="C563" s="88" t="n"/>
      <c r="D563" s="88" t="n"/>
      <c r="E563" s="88" t="n"/>
      <c r="F563" s="89" t="n"/>
      <c r="G563" s="88" t="n"/>
      <c r="H563" s="88" t="n"/>
      <c r="I563" s="88" t="n"/>
      <c r="J563" s="89" t="n"/>
      <c r="K563" s="88" t="n"/>
      <c r="L563" s="88" t="n"/>
      <c r="M563" s="88" t="n"/>
      <c r="N563" s="89" t="n"/>
      <c r="O563" s="88" t="n"/>
      <c r="P563" s="88" t="n"/>
      <c r="Q563" s="88" t="n"/>
      <c r="R563" s="89" t="n"/>
      <c r="S563" s="88" t="n"/>
      <c r="T563" s="88" t="n"/>
      <c r="U563" s="88" t="n"/>
      <c r="V563" s="89" t="n"/>
      <c r="W563" s="88" t="n"/>
      <c r="X563" s="89" t="n"/>
      <c r="Y563" s="88" t="n"/>
      <c r="Z563" s="89" t="n"/>
      <c r="AB563" s="30">
        <f>IF($B563="","",(COUNTIF(C563:E563,"?*")&lt;N(INDEX(Setup!$L$6:$L$23,6)))+(COUNTIF(G563:I563,"?*")&lt;N(INDEX(Setup!$L$6:$L$23,6)))+(COUNTIF(K563:M563,"?*")&lt;N(INDEX(Setup!$L$6:$L$23,6)))+(COUNTIF(O563:Q563,"?*")&lt;N(INDEX(Setup!$L$6:$L$23,6)))+(COUNTIF(S563:U563,"?*")&lt;N(INDEX(Setup!$L$6:$L$23,6)))+((W563="")*(INDEX(Setup!$M$6:$M$23,6)="Y"))+((Y563="")*(INDEX(Setup!$M$6:$M$23,6)="Y")))</f>
        <v/>
      </c>
      <c r="AC563" s="91">
        <f>IF($B563="","",IF(AB563=0,"✓ covered","⚠ "&amp;AB563&amp;IF(AB563=1," gap"," gaps")))</f>
        <v/>
      </c>
    </row>
    <row r="564" ht="17" customHeight="1">
      <c r="A564" t="n">
        <v>12</v>
      </c>
      <c r="B564" s="24">
        <f>IF(Setup!$K$12="","",Setup!$K$12)</f>
        <v/>
      </c>
      <c r="C564" s="88" t="n"/>
      <c r="D564" s="88" t="n"/>
      <c r="E564" s="88" t="n"/>
      <c r="F564" s="89" t="n"/>
      <c r="G564" s="88" t="n"/>
      <c r="H564" s="88" t="n"/>
      <c r="I564" s="88" t="n"/>
      <c r="J564" s="89" t="n"/>
      <c r="K564" s="88" t="n"/>
      <c r="L564" s="88" t="n"/>
      <c r="M564" s="88" t="n"/>
      <c r="N564" s="89" t="n"/>
      <c r="O564" s="88" t="n"/>
      <c r="P564" s="88" t="n"/>
      <c r="Q564" s="88" t="n"/>
      <c r="R564" s="89" t="n"/>
      <c r="S564" s="88" t="n"/>
      <c r="T564" s="88" t="n"/>
      <c r="U564" s="88" t="n"/>
      <c r="V564" s="89" t="n"/>
      <c r="W564" s="88" t="n"/>
      <c r="X564" s="89" t="n"/>
      <c r="Y564" s="88" t="n"/>
      <c r="Z564" s="89" t="n"/>
      <c r="AB564" s="25">
        <f>IF($B564="","",(COUNTIF(C564:E564,"?*")&lt;N(INDEX(Setup!$L$6:$L$23,7)))+(COUNTIF(G564:I564,"?*")&lt;N(INDEX(Setup!$L$6:$L$23,7)))+(COUNTIF(K564:M564,"?*")&lt;N(INDEX(Setup!$L$6:$L$23,7)))+(COUNTIF(O564:Q564,"?*")&lt;N(INDEX(Setup!$L$6:$L$23,7)))+(COUNTIF(S564:U564,"?*")&lt;N(INDEX(Setup!$L$6:$L$23,7)))+((W564="")*(INDEX(Setup!$M$6:$M$23,7)="Y"))+((Y564="")*(INDEX(Setup!$M$6:$M$23,7)="Y")))</f>
        <v/>
      </c>
      <c r="AC564" s="90">
        <f>IF($B564="","",IF(AB564=0,"✓ covered","⚠ "&amp;AB564&amp;IF(AB564=1," gap"," gaps")))</f>
        <v/>
      </c>
    </row>
    <row r="565" ht="17" customHeight="1">
      <c r="A565" t="n">
        <v>12</v>
      </c>
      <c r="B565" s="29">
        <f>IF(Setup!$K$13="","",Setup!$K$13)</f>
        <v/>
      </c>
      <c r="C565" s="88" t="n"/>
      <c r="D565" s="88" t="n"/>
      <c r="E565" s="88" t="n"/>
      <c r="F565" s="89" t="n"/>
      <c r="G565" s="88" t="n"/>
      <c r="H565" s="88" t="n"/>
      <c r="I565" s="88" t="n"/>
      <c r="J565" s="89" t="n"/>
      <c r="K565" s="88" t="n"/>
      <c r="L565" s="88" t="n"/>
      <c r="M565" s="88" t="n"/>
      <c r="N565" s="89" t="n"/>
      <c r="O565" s="88" t="n"/>
      <c r="P565" s="88" t="n"/>
      <c r="Q565" s="88" t="n"/>
      <c r="R565" s="89" t="n"/>
      <c r="S565" s="88" t="n"/>
      <c r="T565" s="88" t="n"/>
      <c r="U565" s="88" t="n"/>
      <c r="V565" s="89" t="n"/>
      <c r="W565" s="88" t="n"/>
      <c r="X565" s="89" t="n"/>
      <c r="Y565" s="88" t="n"/>
      <c r="Z565" s="89" t="n"/>
      <c r="AB565" s="30">
        <f>IF($B565="","",(COUNTIF(C565:E565,"?*")&lt;N(INDEX(Setup!$L$6:$L$23,8)))+(COUNTIF(G565:I565,"?*")&lt;N(INDEX(Setup!$L$6:$L$23,8)))+(COUNTIF(K565:M565,"?*")&lt;N(INDEX(Setup!$L$6:$L$23,8)))+(COUNTIF(O565:Q565,"?*")&lt;N(INDEX(Setup!$L$6:$L$23,8)))+(COUNTIF(S565:U565,"?*")&lt;N(INDEX(Setup!$L$6:$L$23,8)))+((W565="")*(INDEX(Setup!$M$6:$M$23,8)="Y"))+((Y565="")*(INDEX(Setup!$M$6:$M$23,8)="Y")))</f>
        <v/>
      </c>
      <c r="AC565" s="91">
        <f>IF($B565="","",IF(AB565=0,"✓ covered","⚠ "&amp;AB565&amp;IF(AB565=1," gap"," gaps")))</f>
        <v/>
      </c>
    </row>
    <row r="566" ht="17" customHeight="1">
      <c r="A566" t="n">
        <v>12</v>
      </c>
      <c r="B566" s="24">
        <f>IF(Setup!$K$14="","",Setup!$K$14)</f>
        <v/>
      </c>
      <c r="C566" s="88" t="n"/>
      <c r="D566" s="88" t="n"/>
      <c r="E566" s="88" t="n"/>
      <c r="F566" s="89" t="n"/>
      <c r="G566" s="88" t="n"/>
      <c r="H566" s="88" t="n"/>
      <c r="I566" s="88" t="n"/>
      <c r="J566" s="89" t="n"/>
      <c r="K566" s="88" t="n"/>
      <c r="L566" s="88" t="n"/>
      <c r="M566" s="88" t="n"/>
      <c r="N566" s="89" t="n"/>
      <c r="O566" s="88" t="n"/>
      <c r="P566" s="88" t="n"/>
      <c r="Q566" s="88" t="n"/>
      <c r="R566" s="89" t="n"/>
      <c r="S566" s="88" t="n"/>
      <c r="T566" s="88" t="n"/>
      <c r="U566" s="88" t="n"/>
      <c r="V566" s="89" t="n"/>
      <c r="W566" s="88" t="n"/>
      <c r="X566" s="89" t="n"/>
      <c r="Y566" s="88" t="n"/>
      <c r="Z566" s="89" t="n"/>
      <c r="AB566" s="25">
        <f>IF($B566="","",(COUNTIF(C566:E566,"?*")&lt;N(INDEX(Setup!$L$6:$L$23,9)))+(COUNTIF(G566:I566,"?*")&lt;N(INDEX(Setup!$L$6:$L$23,9)))+(COUNTIF(K566:M566,"?*")&lt;N(INDEX(Setup!$L$6:$L$23,9)))+(COUNTIF(O566:Q566,"?*")&lt;N(INDEX(Setup!$L$6:$L$23,9)))+(COUNTIF(S566:U566,"?*")&lt;N(INDEX(Setup!$L$6:$L$23,9)))+((W566="")*(INDEX(Setup!$M$6:$M$23,9)="Y"))+((Y566="")*(INDEX(Setup!$M$6:$M$23,9)="Y")))</f>
        <v/>
      </c>
      <c r="AC566" s="90">
        <f>IF($B566="","",IF(AB566=0,"✓ covered","⚠ "&amp;AB566&amp;IF(AB566=1," gap"," gaps")))</f>
        <v/>
      </c>
    </row>
    <row r="567" ht="17" customHeight="1">
      <c r="A567" t="n">
        <v>12</v>
      </c>
      <c r="B567" s="29">
        <f>IF(Setup!$K$15="","",Setup!$K$15)</f>
        <v/>
      </c>
      <c r="C567" s="88" t="n"/>
      <c r="D567" s="88" t="n"/>
      <c r="E567" s="88" t="n"/>
      <c r="F567" s="89" t="n"/>
      <c r="G567" s="88" t="n"/>
      <c r="H567" s="88" t="n"/>
      <c r="I567" s="88" t="n"/>
      <c r="J567" s="89" t="n"/>
      <c r="K567" s="88" t="n"/>
      <c r="L567" s="88" t="n"/>
      <c r="M567" s="88" t="n"/>
      <c r="N567" s="89" t="n"/>
      <c r="O567" s="88" t="n"/>
      <c r="P567" s="88" t="n"/>
      <c r="Q567" s="88" t="n"/>
      <c r="R567" s="89" t="n"/>
      <c r="S567" s="88" t="n"/>
      <c r="T567" s="88" t="n"/>
      <c r="U567" s="88" t="n"/>
      <c r="V567" s="89" t="n"/>
      <c r="W567" s="88" t="n"/>
      <c r="X567" s="89" t="n"/>
      <c r="Y567" s="88" t="n"/>
      <c r="Z567" s="89" t="n"/>
      <c r="AB567" s="30">
        <f>IF($B567="","",(COUNTIF(C567:E567,"?*")&lt;N(INDEX(Setup!$L$6:$L$23,10)))+(COUNTIF(G567:I567,"?*")&lt;N(INDEX(Setup!$L$6:$L$23,10)))+(COUNTIF(K567:M567,"?*")&lt;N(INDEX(Setup!$L$6:$L$23,10)))+(COUNTIF(O567:Q567,"?*")&lt;N(INDEX(Setup!$L$6:$L$23,10)))+(COUNTIF(S567:U567,"?*")&lt;N(INDEX(Setup!$L$6:$L$23,10)))+((W567="")*(INDEX(Setup!$M$6:$M$23,10)="Y"))+((Y567="")*(INDEX(Setup!$M$6:$M$23,10)="Y")))</f>
        <v/>
      </c>
      <c r="AC567" s="91">
        <f>IF($B567="","",IF(AB567=0,"✓ covered","⚠ "&amp;AB567&amp;IF(AB567=1," gap"," gaps")))</f>
        <v/>
      </c>
    </row>
    <row r="568" ht="17" customHeight="1">
      <c r="A568" t="n">
        <v>12</v>
      </c>
      <c r="B568" s="24">
        <f>IF(Setup!$K$16="","",Setup!$K$16)</f>
        <v/>
      </c>
      <c r="C568" s="88" t="n"/>
      <c r="D568" s="88" t="n"/>
      <c r="E568" s="88" t="n"/>
      <c r="F568" s="89" t="n"/>
      <c r="G568" s="88" t="n"/>
      <c r="H568" s="88" t="n"/>
      <c r="I568" s="88" t="n"/>
      <c r="J568" s="89" t="n"/>
      <c r="K568" s="88" t="n"/>
      <c r="L568" s="88" t="n"/>
      <c r="M568" s="88" t="n"/>
      <c r="N568" s="89" t="n"/>
      <c r="O568" s="88" t="n"/>
      <c r="P568" s="88" t="n"/>
      <c r="Q568" s="88" t="n"/>
      <c r="R568" s="89" t="n"/>
      <c r="S568" s="88" t="n"/>
      <c r="T568" s="88" t="n"/>
      <c r="U568" s="88" t="n"/>
      <c r="V568" s="89" t="n"/>
      <c r="W568" s="88" t="n"/>
      <c r="X568" s="89" t="n"/>
      <c r="Y568" s="88" t="n"/>
      <c r="Z568" s="89" t="n"/>
      <c r="AB568" s="25">
        <f>IF($B568="","",(COUNTIF(C568:E568,"?*")&lt;N(INDEX(Setup!$L$6:$L$23,11)))+(COUNTIF(G568:I568,"?*")&lt;N(INDEX(Setup!$L$6:$L$23,11)))+(COUNTIF(K568:M568,"?*")&lt;N(INDEX(Setup!$L$6:$L$23,11)))+(COUNTIF(O568:Q568,"?*")&lt;N(INDEX(Setup!$L$6:$L$23,11)))+(COUNTIF(S568:U568,"?*")&lt;N(INDEX(Setup!$L$6:$L$23,11)))+((W568="")*(INDEX(Setup!$M$6:$M$23,11)="Y"))+((Y568="")*(INDEX(Setup!$M$6:$M$23,11)="Y")))</f>
        <v/>
      </c>
      <c r="AC568" s="90">
        <f>IF($B568="","",IF(AB568=0,"✓ covered","⚠ "&amp;AB568&amp;IF(AB568=1," gap"," gaps")))</f>
        <v/>
      </c>
    </row>
    <row r="569" ht="17" customHeight="1">
      <c r="A569" t="n">
        <v>12</v>
      </c>
      <c r="B569" s="29">
        <f>IF(Setup!$K$17="","",Setup!$K$17)</f>
        <v/>
      </c>
      <c r="C569" s="88" t="n"/>
      <c r="D569" s="88" t="n"/>
      <c r="E569" s="88" t="n"/>
      <c r="F569" s="89" t="n"/>
      <c r="G569" s="88" t="n"/>
      <c r="H569" s="88" t="n"/>
      <c r="I569" s="88" t="n"/>
      <c r="J569" s="89" t="n"/>
      <c r="K569" s="88" t="n"/>
      <c r="L569" s="88" t="n"/>
      <c r="M569" s="88" t="n"/>
      <c r="N569" s="89" t="n"/>
      <c r="O569" s="88" t="n"/>
      <c r="P569" s="88" t="n"/>
      <c r="Q569" s="88" t="n"/>
      <c r="R569" s="89" t="n"/>
      <c r="S569" s="88" t="n"/>
      <c r="T569" s="88" t="n"/>
      <c r="U569" s="88" t="n"/>
      <c r="V569" s="89" t="n"/>
      <c r="W569" s="88" t="n"/>
      <c r="X569" s="89" t="n"/>
      <c r="Y569" s="88" t="n"/>
      <c r="Z569" s="89" t="n"/>
      <c r="AB569" s="30">
        <f>IF($B569="","",(COUNTIF(C569:E569,"?*")&lt;N(INDEX(Setup!$L$6:$L$23,12)))+(COUNTIF(G569:I569,"?*")&lt;N(INDEX(Setup!$L$6:$L$23,12)))+(COUNTIF(K569:M569,"?*")&lt;N(INDEX(Setup!$L$6:$L$23,12)))+(COUNTIF(O569:Q569,"?*")&lt;N(INDEX(Setup!$L$6:$L$23,12)))+(COUNTIF(S569:U569,"?*")&lt;N(INDEX(Setup!$L$6:$L$23,12)))+((W569="")*(INDEX(Setup!$M$6:$M$23,12)="Y"))+((Y569="")*(INDEX(Setup!$M$6:$M$23,12)="Y")))</f>
        <v/>
      </c>
      <c r="AC569" s="91">
        <f>IF($B569="","",IF(AB569=0,"✓ covered","⚠ "&amp;AB569&amp;IF(AB569=1," gap"," gaps")))</f>
        <v/>
      </c>
    </row>
    <row r="570" ht="17" customHeight="1">
      <c r="A570" t="n">
        <v>12</v>
      </c>
      <c r="B570" s="24">
        <f>IF(Setup!$K$18="","",Setup!$K$18)</f>
        <v/>
      </c>
      <c r="C570" s="88" t="n"/>
      <c r="D570" s="88" t="n"/>
      <c r="E570" s="88" t="n"/>
      <c r="F570" s="89" t="n"/>
      <c r="G570" s="88" t="n"/>
      <c r="H570" s="88" t="n"/>
      <c r="I570" s="88" t="n"/>
      <c r="J570" s="89" t="n"/>
      <c r="K570" s="88" t="n"/>
      <c r="L570" s="88" t="n"/>
      <c r="M570" s="88" t="n"/>
      <c r="N570" s="89" t="n"/>
      <c r="O570" s="88" t="n"/>
      <c r="P570" s="88" t="n"/>
      <c r="Q570" s="88" t="n"/>
      <c r="R570" s="89" t="n"/>
      <c r="S570" s="88" t="n"/>
      <c r="T570" s="88" t="n"/>
      <c r="U570" s="88" t="n"/>
      <c r="V570" s="89" t="n"/>
      <c r="W570" s="88" t="n"/>
      <c r="X570" s="89" t="n"/>
      <c r="Y570" s="88" t="n"/>
      <c r="Z570" s="89" t="n"/>
      <c r="AB570" s="25">
        <f>IF($B570="","",(COUNTIF(C570:E570,"?*")&lt;N(INDEX(Setup!$L$6:$L$23,13)))+(COUNTIF(G570:I570,"?*")&lt;N(INDEX(Setup!$L$6:$L$23,13)))+(COUNTIF(K570:M570,"?*")&lt;N(INDEX(Setup!$L$6:$L$23,13)))+(COUNTIF(O570:Q570,"?*")&lt;N(INDEX(Setup!$L$6:$L$23,13)))+(COUNTIF(S570:U570,"?*")&lt;N(INDEX(Setup!$L$6:$L$23,13)))+((W570="")*(INDEX(Setup!$M$6:$M$23,13)="Y"))+((Y570="")*(INDEX(Setup!$M$6:$M$23,13)="Y")))</f>
        <v/>
      </c>
      <c r="AC570" s="90">
        <f>IF($B570="","",IF(AB570=0,"✓ covered","⚠ "&amp;AB570&amp;IF(AB570=1," gap"," gaps")))</f>
        <v/>
      </c>
    </row>
    <row r="571" ht="17" customHeight="1">
      <c r="A571" t="n">
        <v>12</v>
      </c>
      <c r="B571" s="29">
        <f>IF(Setup!$K$19="","",Setup!$K$19)</f>
        <v/>
      </c>
      <c r="C571" s="88" t="n"/>
      <c r="D571" s="88" t="n"/>
      <c r="E571" s="88" t="n"/>
      <c r="F571" s="89" t="n"/>
      <c r="G571" s="88" t="n"/>
      <c r="H571" s="88" t="n"/>
      <c r="I571" s="88" t="n"/>
      <c r="J571" s="89" t="n"/>
      <c r="K571" s="88" t="n"/>
      <c r="L571" s="88" t="n"/>
      <c r="M571" s="88" t="n"/>
      <c r="N571" s="89" t="n"/>
      <c r="O571" s="88" t="n"/>
      <c r="P571" s="88" t="n"/>
      <c r="Q571" s="88" t="n"/>
      <c r="R571" s="89" t="n"/>
      <c r="S571" s="88" t="n"/>
      <c r="T571" s="88" t="n"/>
      <c r="U571" s="88" t="n"/>
      <c r="V571" s="89" t="n"/>
      <c r="W571" s="88" t="n"/>
      <c r="X571" s="89" t="n"/>
      <c r="Y571" s="88" t="n"/>
      <c r="Z571" s="89" t="n"/>
      <c r="AB571" s="30">
        <f>IF($B571="","",(COUNTIF(C571:E571,"?*")&lt;N(INDEX(Setup!$L$6:$L$23,14)))+(COUNTIF(G571:I571,"?*")&lt;N(INDEX(Setup!$L$6:$L$23,14)))+(COUNTIF(K571:M571,"?*")&lt;N(INDEX(Setup!$L$6:$L$23,14)))+(COUNTIF(O571:Q571,"?*")&lt;N(INDEX(Setup!$L$6:$L$23,14)))+(COUNTIF(S571:U571,"?*")&lt;N(INDEX(Setup!$L$6:$L$23,14)))+((W571="")*(INDEX(Setup!$M$6:$M$23,14)="Y"))+((Y571="")*(INDEX(Setup!$M$6:$M$23,14)="Y")))</f>
        <v/>
      </c>
      <c r="AC571" s="91">
        <f>IF($B571="","",IF(AB571=0,"✓ covered","⚠ "&amp;AB571&amp;IF(AB571=1," gap"," gaps")))</f>
        <v/>
      </c>
    </row>
    <row r="572" ht="17" customHeight="1">
      <c r="A572" t="n">
        <v>12</v>
      </c>
      <c r="B572" s="24">
        <f>IF(Setup!$K$20="","",Setup!$K$20)</f>
        <v/>
      </c>
      <c r="C572" s="88" t="n"/>
      <c r="D572" s="88" t="n"/>
      <c r="E572" s="88" t="n"/>
      <c r="F572" s="89" t="n"/>
      <c r="G572" s="88" t="n"/>
      <c r="H572" s="88" t="n"/>
      <c r="I572" s="88" t="n"/>
      <c r="J572" s="89" t="n"/>
      <c r="K572" s="88" t="n"/>
      <c r="L572" s="88" t="n"/>
      <c r="M572" s="88" t="n"/>
      <c r="N572" s="89" t="n"/>
      <c r="O572" s="88" t="n"/>
      <c r="P572" s="88" t="n"/>
      <c r="Q572" s="88" t="n"/>
      <c r="R572" s="89" t="n"/>
      <c r="S572" s="88" t="n"/>
      <c r="T572" s="88" t="n"/>
      <c r="U572" s="88" t="n"/>
      <c r="V572" s="89" t="n"/>
      <c r="W572" s="88" t="n"/>
      <c r="X572" s="89" t="n"/>
      <c r="Y572" s="88" t="n"/>
      <c r="Z572" s="89" t="n"/>
      <c r="AB572" s="25">
        <f>IF($B572="","",(COUNTIF(C572:E572,"?*")&lt;N(INDEX(Setup!$L$6:$L$23,15)))+(COUNTIF(G572:I572,"?*")&lt;N(INDEX(Setup!$L$6:$L$23,15)))+(COUNTIF(K572:M572,"?*")&lt;N(INDEX(Setup!$L$6:$L$23,15)))+(COUNTIF(O572:Q572,"?*")&lt;N(INDEX(Setup!$L$6:$L$23,15)))+(COUNTIF(S572:U572,"?*")&lt;N(INDEX(Setup!$L$6:$L$23,15)))+((W572="")*(INDEX(Setup!$M$6:$M$23,15)="Y"))+((Y572="")*(INDEX(Setup!$M$6:$M$23,15)="Y")))</f>
        <v/>
      </c>
      <c r="AC572" s="90">
        <f>IF($B572="","",IF(AB572=0,"✓ covered","⚠ "&amp;AB572&amp;IF(AB572=1," gap"," gaps")))</f>
        <v/>
      </c>
    </row>
    <row r="573" ht="17" customHeight="1">
      <c r="A573" t="n">
        <v>12</v>
      </c>
      <c r="B573" s="29">
        <f>IF(Setup!$K$21="","",Setup!$K$21)</f>
        <v/>
      </c>
      <c r="C573" s="88" t="n"/>
      <c r="D573" s="88" t="n"/>
      <c r="E573" s="88" t="n"/>
      <c r="F573" s="89" t="n"/>
      <c r="G573" s="88" t="n"/>
      <c r="H573" s="88" t="n"/>
      <c r="I573" s="88" t="n"/>
      <c r="J573" s="89" t="n"/>
      <c r="K573" s="88" t="n"/>
      <c r="L573" s="88" t="n"/>
      <c r="M573" s="88" t="n"/>
      <c r="N573" s="89" t="n"/>
      <c r="O573" s="88" t="n"/>
      <c r="P573" s="88" t="n"/>
      <c r="Q573" s="88" t="n"/>
      <c r="R573" s="89" t="n"/>
      <c r="S573" s="88" t="n"/>
      <c r="T573" s="88" t="n"/>
      <c r="U573" s="88" t="n"/>
      <c r="V573" s="89" t="n"/>
      <c r="W573" s="88" t="n"/>
      <c r="X573" s="89" t="n"/>
      <c r="Y573" s="88" t="n"/>
      <c r="Z573" s="89" t="n"/>
      <c r="AB573" s="30">
        <f>IF($B573="","",(COUNTIF(C573:E573,"?*")&lt;N(INDEX(Setup!$L$6:$L$23,16)))+(COUNTIF(G573:I573,"?*")&lt;N(INDEX(Setup!$L$6:$L$23,16)))+(COUNTIF(K573:M573,"?*")&lt;N(INDEX(Setup!$L$6:$L$23,16)))+(COUNTIF(O573:Q573,"?*")&lt;N(INDEX(Setup!$L$6:$L$23,16)))+(COUNTIF(S573:U573,"?*")&lt;N(INDEX(Setup!$L$6:$L$23,16)))+((W573="")*(INDEX(Setup!$M$6:$M$23,16)="Y"))+((Y573="")*(INDEX(Setup!$M$6:$M$23,16)="Y")))</f>
        <v/>
      </c>
      <c r="AC573" s="91">
        <f>IF($B573="","",IF(AB573=0,"✓ covered","⚠ "&amp;AB573&amp;IF(AB573=1," gap"," gaps")))</f>
        <v/>
      </c>
    </row>
    <row r="574" ht="17" customHeight="1">
      <c r="A574" t="n">
        <v>12</v>
      </c>
      <c r="B574" s="24">
        <f>IF(Setup!$K$22="","",Setup!$K$22)</f>
        <v/>
      </c>
      <c r="C574" s="88" t="n"/>
      <c r="D574" s="88" t="n"/>
      <c r="E574" s="88" t="n"/>
      <c r="F574" s="89" t="n"/>
      <c r="G574" s="88" t="n"/>
      <c r="H574" s="88" t="n"/>
      <c r="I574" s="88" t="n"/>
      <c r="J574" s="89" t="n"/>
      <c r="K574" s="88" t="n"/>
      <c r="L574" s="88" t="n"/>
      <c r="M574" s="88" t="n"/>
      <c r="N574" s="89" t="n"/>
      <c r="O574" s="88" t="n"/>
      <c r="P574" s="88" t="n"/>
      <c r="Q574" s="88" t="n"/>
      <c r="R574" s="89" t="n"/>
      <c r="S574" s="88" t="n"/>
      <c r="T574" s="88" t="n"/>
      <c r="U574" s="88" t="n"/>
      <c r="V574" s="89" t="n"/>
      <c r="W574" s="88" t="n"/>
      <c r="X574" s="89" t="n"/>
      <c r="Y574" s="88" t="n"/>
      <c r="Z574" s="89" t="n"/>
      <c r="AB574" s="25">
        <f>IF($B574="","",(COUNTIF(C574:E574,"?*")&lt;N(INDEX(Setup!$L$6:$L$23,17)))+(COUNTIF(G574:I574,"?*")&lt;N(INDEX(Setup!$L$6:$L$23,17)))+(COUNTIF(K574:M574,"?*")&lt;N(INDEX(Setup!$L$6:$L$23,17)))+(COUNTIF(O574:Q574,"?*")&lt;N(INDEX(Setup!$L$6:$L$23,17)))+(COUNTIF(S574:U574,"?*")&lt;N(INDEX(Setup!$L$6:$L$23,17)))+((W574="")*(INDEX(Setup!$M$6:$M$23,17)="Y"))+((Y574="")*(INDEX(Setup!$M$6:$M$23,17)="Y")))</f>
        <v/>
      </c>
      <c r="AC574" s="90">
        <f>IF($B574="","",IF(AB574=0,"✓ covered","⚠ "&amp;AB574&amp;IF(AB574=1," gap"," gaps")))</f>
        <v/>
      </c>
    </row>
    <row r="575" ht="17" customHeight="1">
      <c r="A575" t="n">
        <v>12</v>
      </c>
      <c r="B575" s="29">
        <f>IF(Setup!$K$23="","",Setup!$K$23)</f>
        <v/>
      </c>
      <c r="C575" s="88" t="n"/>
      <c r="D575" s="88" t="n"/>
      <c r="E575" s="88" t="n"/>
      <c r="F575" s="89" t="n"/>
      <c r="G575" s="88" t="n"/>
      <c r="H575" s="88" t="n"/>
      <c r="I575" s="88" t="n"/>
      <c r="J575" s="89" t="n"/>
      <c r="K575" s="88" t="n"/>
      <c r="L575" s="88" t="n"/>
      <c r="M575" s="88" t="n"/>
      <c r="N575" s="89" t="n"/>
      <c r="O575" s="88" t="n"/>
      <c r="P575" s="88" t="n"/>
      <c r="Q575" s="88" t="n"/>
      <c r="R575" s="89" t="n"/>
      <c r="S575" s="88" t="n"/>
      <c r="T575" s="88" t="n"/>
      <c r="U575" s="88" t="n"/>
      <c r="V575" s="89" t="n"/>
      <c r="W575" s="88" t="n"/>
      <c r="X575" s="89" t="n"/>
      <c r="Y575" s="88" t="n"/>
      <c r="Z575" s="89" t="n"/>
      <c r="AB575" s="30">
        <f>IF($B575="","",(COUNTIF(C575:E575,"?*")&lt;N(INDEX(Setup!$L$6:$L$23,18)))+(COUNTIF(G575:I575,"?*")&lt;N(INDEX(Setup!$L$6:$L$23,18)))+(COUNTIF(K575:M575,"?*")&lt;N(INDEX(Setup!$L$6:$L$23,18)))+(COUNTIF(O575:Q575,"?*")&lt;N(INDEX(Setup!$L$6:$L$23,18)))+(COUNTIF(S575:U575,"?*")&lt;N(INDEX(Setup!$L$6:$L$23,18)))+((W575="")*(INDEX(Setup!$M$6:$M$23,18)="Y"))+((Y575="")*(INDEX(Setup!$M$6:$M$23,18)="Y")))</f>
        <v/>
      </c>
      <c r="AC575" s="91">
        <f>IF($B575="","",IF(AB575=0,"✓ covered","⚠ "&amp;AB575&amp;IF(AB575=1," gap"," gaps")))</f>
        <v/>
      </c>
    </row>
    <row r="576" ht="18" customHeight="1">
      <c r="A576" t="n">
        <v>12</v>
      </c>
      <c r="B576" s="78" t="inlineStr">
        <is>
          <t>TEAM AVAILABILITY</t>
        </is>
      </c>
      <c r="C576" s="92" t="inlineStr">
        <is>
          <t>Mon</t>
        </is>
      </c>
      <c r="D576" s="93" t="n"/>
      <c r="E576" s="93" t="n"/>
      <c r="F576" s="94" t="n"/>
      <c r="G576" s="92" t="inlineStr">
        <is>
          <t>Tue</t>
        </is>
      </c>
      <c r="H576" s="93" t="n"/>
      <c r="I576" s="93" t="n"/>
      <c r="J576" s="94" t="n"/>
      <c r="K576" s="92" t="inlineStr">
        <is>
          <t>Wed</t>
        </is>
      </c>
      <c r="L576" s="93" t="n"/>
      <c r="M576" s="93" t="n"/>
      <c r="N576" s="94" t="n"/>
      <c r="O576" s="92" t="inlineStr">
        <is>
          <t>Thu</t>
        </is>
      </c>
      <c r="P576" s="93" t="n"/>
      <c r="Q576" s="93" t="n"/>
      <c r="R576" s="94" t="n"/>
      <c r="S576" s="92" t="inlineStr">
        <is>
          <t>Fri</t>
        </is>
      </c>
      <c r="T576" s="93" t="n"/>
      <c r="U576" s="93" t="n"/>
      <c r="V576" s="94" t="n"/>
      <c r="W576" s="95" t="inlineStr">
        <is>
          <t>Sat</t>
        </is>
      </c>
      <c r="X576" s="96" t="n"/>
      <c r="Y576" s="95" t="inlineStr">
        <is>
          <t>Sun</t>
        </is>
      </c>
      <c r="Z576" s="96" t="n"/>
      <c r="AB576" s="97" t="inlineStr">
        <is>
          <t>Days rostered</t>
        </is>
      </c>
      <c r="AC576" s="97" t="inlineStr">
        <is>
          <t>Conflicts</t>
        </is>
      </c>
    </row>
    <row r="577" ht="15" customHeight="1">
      <c r="A577" t="n">
        <v>12</v>
      </c>
      <c r="B577" s="35">
        <f>IF(Setup!$B$6="","",Setup!$B$6)</f>
        <v/>
      </c>
      <c r="C577" s="98" t="n"/>
      <c r="D577" s="99" t="n"/>
      <c r="E577" s="99" t="n"/>
      <c r="F577" s="100" t="n"/>
      <c r="G577" s="98" t="n"/>
      <c r="H577" s="99" t="n"/>
      <c r="I577" s="99" t="n"/>
      <c r="J577" s="100" t="n"/>
      <c r="K577" s="98" t="n"/>
      <c r="L577" s="99" t="n"/>
      <c r="M577" s="99" t="n"/>
      <c r="N577" s="100" t="n"/>
      <c r="O577" s="98" t="n"/>
      <c r="P577" s="99" t="n"/>
      <c r="Q577" s="99" t="n"/>
      <c r="R577" s="100" t="n"/>
      <c r="S577" s="98" t="n"/>
      <c r="T577" s="99" t="n"/>
      <c r="U577" s="99" t="n"/>
      <c r="V577" s="100" t="n"/>
      <c r="W577" s="98" t="n"/>
      <c r="X577" s="100" t="n"/>
      <c r="Y577" s="98" t="n"/>
      <c r="Z577" s="100" t="n"/>
      <c r="AB577" s="101">
        <f>IF($B577="","",(COUNTIF(C558:E575,$B577)+COUNTIF(C558:E575,$B577&amp;" ~*")&gt;0)+(COUNTIF(G558:I575,$B577)+COUNTIF(G558:I575,$B577&amp;" ~*")&gt;0)+(COUNTIF(K558:M575,$B577)+COUNTIF(K558:M575,$B577&amp;" ~*")&gt;0)+(COUNTIF(O558:Q575,$B577)+COUNTIF(O558:Q575,$B577&amp;" ~*")&gt;0)+(COUNTIF(S558:U575,$B577)+COUNTIF(S558:U575,$B577&amp;" ~*")&gt;0)+(COUNTIF(W558:W575,$B577)+COUNTIF(W558:W575,$B577&amp;" ~*")&gt;0)+(COUNTIF(Y558:Y575,$B577)+COUNTIF(Y558:Y575,$B577&amp;" ~*")&gt;0))</f>
        <v/>
      </c>
      <c r="AC577" s="36">
        <f>IF($B577="","",(IFERROR(INDEX(Setup!$G$33:$G$40,MATCH(C577,Setup!$B$33:$B$40,0)),0)=1)*(COUNTIF(C558:E575,$B577)+COUNTIF(C558:E575,$B577&amp;" ~*")&gt;0)+(IFERROR(INDEX(Setup!$G$33:$G$40,MATCH(G577,Setup!$B$33:$B$40,0)),0)=1)*(COUNTIF(G558:I575,$B577)+COUNTIF(G558:I575,$B577&amp;" ~*")&gt;0)+(IFERROR(INDEX(Setup!$G$33:$G$40,MATCH(K577,Setup!$B$33:$B$40,0)),0)=1)*(COUNTIF(K558:M575,$B577)+COUNTIF(K558:M575,$B577&amp;" ~*")&gt;0)+(IFERROR(INDEX(Setup!$G$33:$G$40,MATCH(O577,Setup!$B$33:$B$40,0)),0)=1)*(COUNTIF(O558:Q575,$B577)+COUNTIF(O558:Q575,$B577&amp;" ~*")&gt;0)+(IFERROR(INDEX(Setup!$G$33:$G$40,MATCH(S577,Setup!$B$33:$B$40,0)),0)=1)*(COUNTIF(S558:U575,$B577)+COUNTIF(S558:U575,$B577&amp;" ~*")&gt;0)+(IFERROR(INDEX(Setup!$G$33:$G$40,MATCH(W577,Setup!$B$33:$B$40,0)),0)=1)*(COUNTIF(W558:W575,$B577)+COUNTIF(W558:W575,$B577&amp;" ~*")&gt;0)+(IFERROR(INDEX(Setup!$G$33:$G$40,MATCH(Y577,Setup!$B$33:$B$40,0)),0)=1)*(COUNTIF(Y558:Y575,$B577)+COUNTIF(Y558:Y575,$B577&amp;" ~*")&gt;0))</f>
        <v/>
      </c>
    </row>
    <row r="578" ht="15" customHeight="1">
      <c r="A578" t="n">
        <v>12</v>
      </c>
      <c r="B578" s="37">
        <f>IF(Setup!$B$7="","",Setup!$B$7)</f>
        <v/>
      </c>
      <c r="C578" s="102" t="n"/>
      <c r="D578" s="103" t="n"/>
      <c r="E578" s="103" t="n"/>
      <c r="F578" s="104" t="n"/>
      <c r="G578" s="102" t="n"/>
      <c r="H578" s="103" t="n"/>
      <c r="I578" s="103" t="n"/>
      <c r="J578" s="104" t="n"/>
      <c r="K578" s="102" t="n"/>
      <c r="L578" s="103" t="n"/>
      <c r="M578" s="103" t="n"/>
      <c r="N578" s="104" t="n"/>
      <c r="O578" s="102" t="n"/>
      <c r="P578" s="103" t="n"/>
      <c r="Q578" s="103" t="n"/>
      <c r="R578" s="104" t="n"/>
      <c r="S578" s="102" t="n"/>
      <c r="T578" s="103" t="n"/>
      <c r="U578" s="103" t="n"/>
      <c r="V578" s="104" t="n"/>
      <c r="W578" s="102" t="n"/>
      <c r="X578" s="104" t="n"/>
      <c r="Y578" s="102" t="n"/>
      <c r="Z578" s="104" t="n"/>
      <c r="AB578" s="105">
        <f>IF($B578="","",(COUNTIF(C558:E575,$B578)+COUNTIF(C558:E575,$B578&amp;" ~*")&gt;0)+(COUNTIF(G558:I575,$B578)+COUNTIF(G558:I575,$B578&amp;" ~*")&gt;0)+(COUNTIF(K558:M575,$B578)+COUNTIF(K558:M575,$B578&amp;" ~*")&gt;0)+(COUNTIF(O558:Q575,$B578)+COUNTIF(O558:Q575,$B578&amp;" ~*")&gt;0)+(COUNTIF(S558:U575,$B578)+COUNTIF(S558:U575,$B578&amp;" ~*")&gt;0)+(COUNTIF(W558:W575,$B578)+COUNTIF(W558:W575,$B578&amp;" ~*")&gt;0)+(COUNTIF(Y558:Y575,$B578)+COUNTIF(Y558:Y575,$B578&amp;" ~*")&gt;0))</f>
        <v/>
      </c>
      <c r="AC578" s="38">
        <f>IF($B578="","",(IFERROR(INDEX(Setup!$G$33:$G$40,MATCH(C578,Setup!$B$33:$B$40,0)),0)=1)*(COUNTIF(C558:E575,$B578)+COUNTIF(C558:E575,$B578&amp;" ~*")&gt;0)+(IFERROR(INDEX(Setup!$G$33:$G$40,MATCH(G578,Setup!$B$33:$B$40,0)),0)=1)*(COUNTIF(G558:I575,$B578)+COUNTIF(G558:I575,$B578&amp;" ~*")&gt;0)+(IFERROR(INDEX(Setup!$G$33:$G$40,MATCH(K578,Setup!$B$33:$B$40,0)),0)=1)*(COUNTIF(K558:M575,$B578)+COUNTIF(K558:M575,$B578&amp;" ~*")&gt;0)+(IFERROR(INDEX(Setup!$G$33:$G$40,MATCH(O578,Setup!$B$33:$B$40,0)),0)=1)*(COUNTIF(O558:Q575,$B578)+COUNTIF(O558:Q575,$B578&amp;" ~*")&gt;0)+(IFERROR(INDEX(Setup!$G$33:$G$40,MATCH(S578,Setup!$B$33:$B$40,0)),0)=1)*(COUNTIF(S558:U575,$B578)+COUNTIF(S558:U575,$B578&amp;" ~*")&gt;0)+(IFERROR(INDEX(Setup!$G$33:$G$40,MATCH(W578,Setup!$B$33:$B$40,0)),0)=1)*(COUNTIF(W558:W575,$B578)+COUNTIF(W558:W575,$B578&amp;" ~*")&gt;0)+(IFERROR(INDEX(Setup!$G$33:$G$40,MATCH(Y578,Setup!$B$33:$B$40,0)),0)=1)*(COUNTIF(Y558:Y575,$B578)+COUNTIF(Y558:Y575,$B578&amp;" ~*")&gt;0))</f>
        <v/>
      </c>
    </row>
    <row r="579" ht="15" customHeight="1">
      <c r="A579" t="n">
        <v>12</v>
      </c>
      <c r="B579" s="35">
        <f>IF(Setup!$B$8="","",Setup!$B$8)</f>
        <v/>
      </c>
      <c r="C579" s="98" t="n"/>
      <c r="D579" s="99" t="n"/>
      <c r="E579" s="99" t="n"/>
      <c r="F579" s="100" t="n"/>
      <c r="G579" s="98" t="n"/>
      <c r="H579" s="99" t="n"/>
      <c r="I579" s="99" t="n"/>
      <c r="J579" s="100" t="n"/>
      <c r="K579" s="98" t="n"/>
      <c r="L579" s="99" t="n"/>
      <c r="M579" s="99" t="n"/>
      <c r="N579" s="100" t="n"/>
      <c r="O579" s="98" t="n"/>
      <c r="P579" s="99" t="n"/>
      <c r="Q579" s="99" t="n"/>
      <c r="R579" s="100" t="n"/>
      <c r="S579" s="98" t="n"/>
      <c r="T579" s="99" t="n"/>
      <c r="U579" s="99" t="n"/>
      <c r="V579" s="100" t="n"/>
      <c r="W579" s="98" t="n"/>
      <c r="X579" s="100" t="n"/>
      <c r="Y579" s="98" t="n"/>
      <c r="Z579" s="100" t="n"/>
      <c r="AB579" s="101">
        <f>IF($B579="","",(COUNTIF(C558:E575,$B579)+COUNTIF(C558:E575,$B579&amp;" ~*")&gt;0)+(COUNTIF(G558:I575,$B579)+COUNTIF(G558:I575,$B579&amp;" ~*")&gt;0)+(COUNTIF(K558:M575,$B579)+COUNTIF(K558:M575,$B579&amp;" ~*")&gt;0)+(COUNTIF(O558:Q575,$B579)+COUNTIF(O558:Q575,$B579&amp;" ~*")&gt;0)+(COUNTIF(S558:U575,$B579)+COUNTIF(S558:U575,$B579&amp;" ~*")&gt;0)+(COUNTIF(W558:W575,$B579)+COUNTIF(W558:W575,$B579&amp;" ~*")&gt;0)+(COUNTIF(Y558:Y575,$B579)+COUNTIF(Y558:Y575,$B579&amp;" ~*")&gt;0))</f>
        <v/>
      </c>
      <c r="AC579" s="36">
        <f>IF($B579="","",(IFERROR(INDEX(Setup!$G$33:$G$40,MATCH(C579,Setup!$B$33:$B$40,0)),0)=1)*(COUNTIF(C558:E575,$B579)+COUNTIF(C558:E575,$B579&amp;" ~*")&gt;0)+(IFERROR(INDEX(Setup!$G$33:$G$40,MATCH(G579,Setup!$B$33:$B$40,0)),0)=1)*(COUNTIF(G558:I575,$B579)+COUNTIF(G558:I575,$B579&amp;" ~*")&gt;0)+(IFERROR(INDEX(Setup!$G$33:$G$40,MATCH(K579,Setup!$B$33:$B$40,0)),0)=1)*(COUNTIF(K558:M575,$B579)+COUNTIF(K558:M575,$B579&amp;" ~*")&gt;0)+(IFERROR(INDEX(Setup!$G$33:$G$40,MATCH(O579,Setup!$B$33:$B$40,0)),0)=1)*(COUNTIF(O558:Q575,$B579)+COUNTIF(O558:Q575,$B579&amp;" ~*")&gt;0)+(IFERROR(INDEX(Setup!$G$33:$G$40,MATCH(S579,Setup!$B$33:$B$40,0)),0)=1)*(COUNTIF(S558:U575,$B579)+COUNTIF(S558:U575,$B579&amp;" ~*")&gt;0)+(IFERROR(INDEX(Setup!$G$33:$G$40,MATCH(W579,Setup!$B$33:$B$40,0)),0)=1)*(COUNTIF(W558:W575,$B579)+COUNTIF(W558:W575,$B579&amp;" ~*")&gt;0)+(IFERROR(INDEX(Setup!$G$33:$G$40,MATCH(Y579,Setup!$B$33:$B$40,0)),0)=1)*(COUNTIF(Y558:Y575,$B579)+COUNTIF(Y558:Y575,$B579&amp;" ~*")&gt;0))</f>
        <v/>
      </c>
    </row>
    <row r="580" ht="15" customHeight="1">
      <c r="A580" t="n">
        <v>12</v>
      </c>
      <c r="B580" s="37">
        <f>IF(Setup!$B$9="","",Setup!$B$9)</f>
        <v/>
      </c>
      <c r="C580" s="102" t="n"/>
      <c r="D580" s="103" t="n"/>
      <c r="E580" s="103" t="n"/>
      <c r="F580" s="104" t="n"/>
      <c r="G580" s="102" t="n"/>
      <c r="H580" s="103" t="n"/>
      <c r="I580" s="103" t="n"/>
      <c r="J580" s="104" t="n"/>
      <c r="K580" s="102" t="n"/>
      <c r="L580" s="103" t="n"/>
      <c r="M580" s="103" t="n"/>
      <c r="N580" s="104" t="n"/>
      <c r="O580" s="102" t="n"/>
      <c r="P580" s="103" t="n"/>
      <c r="Q580" s="103" t="n"/>
      <c r="R580" s="104" t="n"/>
      <c r="S580" s="102" t="n"/>
      <c r="T580" s="103" t="n"/>
      <c r="U580" s="103" t="n"/>
      <c r="V580" s="104" t="n"/>
      <c r="W580" s="102" t="n"/>
      <c r="X580" s="104" t="n"/>
      <c r="Y580" s="102" t="n"/>
      <c r="Z580" s="104" t="n"/>
      <c r="AB580" s="105">
        <f>IF($B580="","",(COUNTIF(C558:E575,$B580)+COUNTIF(C558:E575,$B580&amp;" ~*")&gt;0)+(COUNTIF(G558:I575,$B580)+COUNTIF(G558:I575,$B580&amp;" ~*")&gt;0)+(COUNTIF(K558:M575,$B580)+COUNTIF(K558:M575,$B580&amp;" ~*")&gt;0)+(COUNTIF(O558:Q575,$B580)+COUNTIF(O558:Q575,$B580&amp;" ~*")&gt;0)+(COUNTIF(S558:U575,$B580)+COUNTIF(S558:U575,$B580&amp;" ~*")&gt;0)+(COUNTIF(W558:W575,$B580)+COUNTIF(W558:W575,$B580&amp;" ~*")&gt;0)+(COUNTIF(Y558:Y575,$B580)+COUNTIF(Y558:Y575,$B580&amp;" ~*")&gt;0))</f>
        <v/>
      </c>
      <c r="AC580" s="38">
        <f>IF($B580="","",(IFERROR(INDEX(Setup!$G$33:$G$40,MATCH(C580,Setup!$B$33:$B$40,0)),0)=1)*(COUNTIF(C558:E575,$B580)+COUNTIF(C558:E575,$B580&amp;" ~*")&gt;0)+(IFERROR(INDEX(Setup!$G$33:$G$40,MATCH(G580,Setup!$B$33:$B$40,0)),0)=1)*(COUNTIF(G558:I575,$B580)+COUNTIF(G558:I575,$B580&amp;" ~*")&gt;0)+(IFERROR(INDEX(Setup!$G$33:$G$40,MATCH(K580,Setup!$B$33:$B$40,0)),0)=1)*(COUNTIF(K558:M575,$B580)+COUNTIF(K558:M575,$B580&amp;" ~*")&gt;0)+(IFERROR(INDEX(Setup!$G$33:$G$40,MATCH(O580,Setup!$B$33:$B$40,0)),0)=1)*(COUNTIF(O558:Q575,$B580)+COUNTIF(O558:Q575,$B580&amp;" ~*")&gt;0)+(IFERROR(INDEX(Setup!$G$33:$G$40,MATCH(S580,Setup!$B$33:$B$40,0)),0)=1)*(COUNTIF(S558:U575,$B580)+COUNTIF(S558:U575,$B580&amp;" ~*")&gt;0)+(IFERROR(INDEX(Setup!$G$33:$G$40,MATCH(W580,Setup!$B$33:$B$40,0)),0)=1)*(COUNTIF(W558:W575,$B580)+COUNTIF(W558:W575,$B580&amp;" ~*")&gt;0)+(IFERROR(INDEX(Setup!$G$33:$G$40,MATCH(Y580,Setup!$B$33:$B$40,0)),0)=1)*(COUNTIF(Y558:Y575,$B580)+COUNTIF(Y558:Y575,$B580&amp;" ~*")&gt;0))</f>
        <v/>
      </c>
    </row>
    <row r="581" ht="15" customHeight="1">
      <c r="A581" t="n">
        <v>12</v>
      </c>
      <c r="B581" s="35">
        <f>IF(Setup!$B$10="","",Setup!$B$10)</f>
        <v/>
      </c>
      <c r="C581" s="98" t="n"/>
      <c r="D581" s="99" t="n"/>
      <c r="E581" s="99" t="n"/>
      <c r="F581" s="100" t="n"/>
      <c r="G581" s="98" t="n"/>
      <c r="H581" s="99" t="n"/>
      <c r="I581" s="99" t="n"/>
      <c r="J581" s="100" t="n"/>
      <c r="K581" s="98" t="n"/>
      <c r="L581" s="99" t="n"/>
      <c r="M581" s="99" t="n"/>
      <c r="N581" s="100" t="n"/>
      <c r="O581" s="98" t="n"/>
      <c r="P581" s="99" t="n"/>
      <c r="Q581" s="99" t="n"/>
      <c r="R581" s="100" t="n"/>
      <c r="S581" s="98" t="n"/>
      <c r="T581" s="99" t="n"/>
      <c r="U581" s="99" t="n"/>
      <c r="V581" s="100" t="n"/>
      <c r="W581" s="98" t="n"/>
      <c r="X581" s="100" t="n"/>
      <c r="Y581" s="98" t="n"/>
      <c r="Z581" s="100" t="n"/>
      <c r="AB581" s="101">
        <f>IF($B581="","",(COUNTIF(C558:E575,$B581)+COUNTIF(C558:E575,$B581&amp;" ~*")&gt;0)+(COUNTIF(G558:I575,$B581)+COUNTIF(G558:I575,$B581&amp;" ~*")&gt;0)+(COUNTIF(K558:M575,$B581)+COUNTIF(K558:M575,$B581&amp;" ~*")&gt;0)+(COUNTIF(O558:Q575,$B581)+COUNTIF(O558:Q575,$B581&amp;" ~*")&gt;0)+(COUNTIF(S558:U575,$B581)+COUNTIF(S558:U575,$B581&amp;" ~*")&gt;0)+(COUNTIF(W558:W575,$B581)+COUNTIF(W558:W575,$B581&amp;" ~*")&gt;0)+(COUNTIF(Y558:Y575,$B581)+COUNTIF(Y558:Y575,$B581&amp;" ~*")&gt;0))</f>
        <v/>
      </c>
      <c r="AC581" s="36">
        <f>IF($B581="","",(IFERROR(INDEX(Setup!$G$33:$G$40,MATCH(C581,Setup!$B$33:$B$40,0)),0)=1)*(COUNTIF(C558:E575,$B581)+COUNTIF(C558:E575,$B581&amp;" ~*")&gt;0)+(IFERROR(INDEX(Setup!$G$33:$G$40,MATCH(G581,Setup!$B$33:$B$40,0)),0)=1)*(COUNTIF(G558:I575,$B581)+COUNTIF(G558:I575,$B581&amp;" ~*")&gt;0)+(IFERROR(INDEX(Setup!$G$33:$G$40,MATCH(K581,Setup!$B$33:$B$40,0)),0)=1)*(COUNTIF(K558:M575,$B581)+COUNTIF(K558:M575,$B581&amp;" ~*")&gt;0)+(IFERROR(INDEX(Setup!$G$33:$G$40,MATCH(O581,Setup!$B$33:$B$40,0)),0)=1)*(COUNTIF(O558:Q575,$B581)+COUNTIF(O558:Q575,$B581&amp;" ~*")&gt;0)+(IFERROR(INDEX(Setup!$G$33:$G$40,MATCH(S581,Setup!$B$33:$B$40,0)),0)=1)*(COUNTIF(S558:U575,$B581)+COUNTIF(S558:U575,$B581&amp;" ~*")&gt;0)+(IFERROR(INDEX(Setup!$G$33:$G$40,MATCH(W581,Setup!$B$33:$B$40,0)),0)=1)*(COUNTIF(W558:W575,$B581)+COUNTIF(W558:W575,$B581&amp;" ~*")&gt;0)+(IFERROR(INDEX(Setup!$G$33:$G$40,MATCH(Y581,Setup!$B$33:$B$40,0)),0)=1)*(COUNTIF(Y558:Y575,$B581)+COUNTIF(Y558:Y575,$B581&amp;" ~*")&gt;0))</f>
        <v/>
      </c>
    </row>
    <row r="582" ht="15" customHeight="1">
      <c r="A582" t="n">
        <v>12</v>
      </c>
      <c r="B582" s="37">
        <f>IF(Setup!$B$11="","",Setup!$B$11)</f>
        <v/>
      </c>
      <c r="C582" s="102" t="n"/>
      <c r="D582" s="103" t="n"/>
      <c r="E582" s="103" t="n"/>
      <c r="F582" s="104" t="n"/>
      <c r="G582" s="102" t="n"/>
      <c r="H582" s="103" t="n"/>
      <c r="I582" s="103" t="n"/>
      <c r="J582" s="104" t="n"/>
      <c r="K582" s="102" t="n"/>
      <c r="L582" s="103" t="n"/>
      <c r="M582" s="103" t="n"/>
      <c r="N582" s="104" t="n"/>
      <c r="O582" s="102" t="n"/>
      <c r="P582" s="103" t="n"/>
      <c r="Q582" s="103" t="n"/>
      <c r="R582" s="104" t="n"/>
      <c r="S582" s="102" t="n"/>
      <c r="T582" s="103" t="n"/>
      <c r="U582" s="103" t="n"/>
      <c r="V582" s="104" t="n"/>
      <c r="W582" s="102" t="n"/>
      <c r="X582" s="104" t="n"/>
      <c r="Y582" s="102" t="n"/>
      <c r="Z582" s="104" t="n"/>
      <c r="AB582" s="105">
        <f>IF($B582="","",(COUNTIF(C558:E575,$B582)+COUNTIF(C558:E575,$B582&amp;" ~*")&gt;0)+(COUNTIF(G558:I575,$B582)+COUNTIF(G558:I575,$B582&amp;" ~*")&gt;0)+(COUNTIF(K558:M575,$B582)+COUNTIF(K558:M575,$B582&amp;" ~*")&gt;0)+(COUNTIF(O558:Q575,$B582)+COUNTIF(O558:Q575,$B582&amp;" ~*")&gt;0)+(COUNTIF(S558:U575,$B582)+COUNTIF(S558:U575,$B582&amp;" ~*")&gt;0)+(COUNTIF(W558:W575,$B582)+COUNTIF(W558:W575,$B582&amp;" ~*")&gt;0)+(COUNTIF(Y558:Y575,$B582)+COUNTIF(Y558:Y575,$B582&amp;" ~*")&gt;0))</f>
        <v/>
      </c>
      <c r="AC582" s="38">
        <f>IF($B582="","",(IFERROR(INDEX(Setup!$G$33:$G$40,MATCH(C582,Setup!$B$33:$B$40,0)),0)=1)*(COUNTIF(C558:E575,$B582)+COUNTIF(C558:E575,$B582&amp;" ~*")&gt;0)+(IFERROR(INDEX(Setup!$G$33:$G$40,MATCH(G582,Setup!$B$33:$B$40,0)),0)=1)*(COUNTIF(G558:I575,$B582)+COUNTIF(G558:I575,$B582&amp;" ~*")&gt;0)+(IFERROR(INDEX(Setup!$G$33:$G$40,MATCH(K582,Setup!$B$33:$B$40,0)),0)=1)*(COUNTIF(K558:M575,$B582)+COUNTIF(K558:M575,$B582&amp;" ~*")&gt;0)+(IFERROR(INDEX(Setup!$G$33:$G$40,MATCH(O582,Setup!$B$33:$B$40,0)),0)=1)*(COUNTIF(O558:Q575,$B582)+COUNTIF(O558:Q575,$B582&amp;" ~*")&gt;0)+(IFERROR(INDEX(Setup!$G$33:$G$40,MATCH(S582,Setup!$B$33:$B$40,0)),0)=1)*(COUNTIF(S558:U575,$B582)+COUNTIF(S558:U575,$B582&amp;" ~*")&gt;0)+(IFERROR(INDEX(Setup!$G$33:$G$40,MATCH(W582,Setup!$B$33:$B$40,0)),0)=1)*(COUNTIF(W558:W575,$B582)+COUNTIF(W558:W575,$B582&amp;" ~*")&gt;0)+(IFERROR(INDEX(Setup!$G$33:$G$40,MATCH(Y582,Setup!$B$33:$B$40,0)),0)=1)*(COUNTIF(Y558:Y575,$B582)+COUNTIF(Y558:Y575,$B582&amp;" ~*")&gt;0))</f>
        <v/>
      </c>
    </row>
    <row r="583" ht="15" customHeight="1">
      <c r="A583" t="n">
        <v>12</v>
      </c>
      <c r="B583" s="35">
        <f>IF(Setup!$B$12="","",Setup!$B$12)</f>
        <v/>
      </c>
      <c r="C583" s="98" t="n"/>
      <c r="D583" s="99" t="n"/>
      <c r="E583" s="99" t="n"/>
      <c r="F583" s="100" t="n"/>
      <c r="G583" s="98" t="n"/>
      <c r="H583" s="99" t="n"/>
      <c r="I583" s="99" t="n"/>
      <c r="J583" s="100" t="n"/>
      <c r="K583" s="98" t="n"/>
      <c r="L583" s="99" t="n"/>
      <c r="M583" s="99" t="n"/>
      <c r="N583" s="100" t="n"/>
      <c r="O583" s="98" t="n"/>
      <c r="P583" s="99" t="n"/>
      <c r="Q583" s="99" t="n"/>
      <c r="R583" s="100" t="n"/>
      <c r="S583" s="98" t="n"/>
      <c r="T583" s="99" t="n"/>
      <c r="U583" s="99" t="n"/>
      <c r="V583" s="100" t="n"/>
      <c r="W583" s="98" t="n"/>
      <c r="X583" s="100" t="n"/>
      <c r="Y583" s="98" t="n"/>
      <c r="Z583" s="100" t="n"/>
      <c r="AB583" s="101">
        <f>IF($B583="","",(COUNTIF(C558:E575,$B583)+COUNTIF(C558:E575,$B583&amp;" ~*")&gt;0)+(COUNTIF(G558:I575,$B583)+COUNTIF(G558:I575,$B583&amp;" ~*")&gt;0)+(COUNTIF(K558:M575,$B583)+COUNTIF(K558:M575,$B583&amp;" ~*")&gt;0)+(COUNTIF(O558:Q575,$B583)+COUNTIF(O558:Q575,$B583&amp;" ~*")&gt;0)+(COUNTIF(S558:U575,$B583)+COUNTIF(S558:U575,$B583&amp;" ~*")&gt;0)+(COUNTIF(W558:W575,$B583)+COUNTIF(W558:W575,$B583&amp;" ~*")&gt;0)+(COUNTIF(Y558:Y575,$B583)+COUNTIF(Y558:Y575,$B583&amp;" ~*")&gt;0))</f>
        <v/>
      </c>
      <c r="AC583" s="36">
        <f>IF($B583="","",(IFERROR(INDEX(Setup!$G$33:$G$40,MATCH(C583,Setup!$B$33:$B$40,0)),0)=1)*(COUNTIF(C558:E575,$B583)+COUNTIF(C558:E575,$B583&amp;" ~*")&gt;0)+(IFERROR(INDEX(Setup!$G$33:$G$40,MATCH(G583,Setup!$B$33:$B$40,0)),0)=1)*(COUNTIF(G558:I575,$B583)+COUNTIF(G558:I575,$B583&amp;" ~*")&gt;0)+(IFERROR(INDEX(Setup!$G$33:$G$40,MATCH(K583,Setup!$B$33:$B$40,0)),0)=1)*(COUNTIF(K558:M575,$B583)+COUNTIF(K558:M575,$B583&amp;" ~*")&gt;0)+(IFERROR(INDEX(Setup!$G$33:$G$40,MATCH(O583,Setup!$B$33:$B$40,0)),0)=1)*(COUNTIF(O558:Q575,$B583)+COUNTIF(O558:Q575,$B583&amp;" ~*")&gt;0)+(IFERROR(INDEX(Setup!$G$33:$G$40,MATCH(S583,Setup!$B$33:$B$40,0)),0)=1)*(COUNTIF(S558:U575,$B583)+COUNTIF(S558:U575,$B583&amp;" ~*")&gt;0)+(IFERROR(INDEX(Setup!$G$33:$G$40,MATCH(W583,Setup!$B$33:$B$40,0)),0)=1)*(COUNTIF(W558:W575,$B583)+COUNTIF(W558:W575,$B583&amp;" ~*")&gt;0)+(IFERROR(INDEX(Setup!$G$33:$G$40,MATCH(Y583,Setup!$B$33:$B$40,0)),0)=1)*(COUNTIF(Y558:Y575,$B583)+COUNTIF(Y558:Y575,$B583&amp;" ~*")&gt;0))</f>
        <v/>
      </c>
    </row>
    <row r="584" ht="15" customHeight="1">
      <c r="A584" t="n">
        <v>12</v>
      </c>
      <c r="B584" s="37">
        <f>IF(Setup!$B$13="","",Setup!$B$13)</f>
        <v/>
      </c>
      <c r="C584" s="102" t="n"/>
      <c r="D584" s="103" t="n"/>
      <c r="E584" s="103" t="n"/>
      <c r="F584" s="104" t="n"/>
      <c r="G584" s="102" t="n"/>
      <c r="H584" s="103" t="n"/>
      <c r="I584" s="103" t="n"/>
      <c r="J584" s="104" t="n"/>
      <c r="K584" s="102" t="n"/>
      <c r="L584" s="103" t="n"/>
      <c r="M584" s="103" t="n"/>
      <c r="N584" s="104" t="n"/>
      <c r="O584" s="102" t="n"/>
      <c r="P584" s="103" t="n"/>
      <c r="Q584" s="103" t="n"/>
      <c r="R584" s="104" t="n"/>
      <c r="S584" s="102" t="n"/>
      <c r="T584" s="103" t="n"/>
      <c r="U584" s="103" t="n"/>
      <c r="V584" s="104" t="n"/>
      <c r="W584" s="102" t="n"/>
      <c r="X584" s="104" t="n"/>
      <c r="Y584" s="102" t="n"/>
      <c r="Z584" s="104" t="n"/>
      <c r="AB584" s="105">
        <f>IF($B584="","",(COUNTIF(C558:E575,$B584)+COUNTIF(C558:E575,$B584&amp;" ~*")&gt;0)+(COUNTIF(G558:I575,$B584)+COUNTIF(G558:I575,$B584&amp;" ~*")&gt;0)+(COUNTIF(K558:M575,$B584)+COUNTIF(K558:M575,$B584&amp;" ~*")&gt;0)+(COUNTIF(O558:Q575,$B584)+COUNTIF(O558:Q575,$B584&amp;" ~*")&gt;0)+(COUNTIF(S558:U575,$B584)+COUNTIF(S558:U575,$B584&amp;" ~*")&gt;0)+(COUNTIF(W558:W575,$B584)+COUNTIF(W558:W575,$B584&amp;" ~*")&gt;0)+(COUNTIF(Y558:Y575,$B584)+COUNTIF(Y558:Y575,$B584&amp;" ~*")&gt;0))</f>
        <v/>
      </c>
      <c r="AC584" s="38">
        <f>IF($B584="","",(IFERROR(INDEX(Setup!$G$33:$G$40,MATCH(C584,Setup!$B$33:$B$40,0)),0)=1)*(COUNTIF(C558:E575,$B584)+COUNTIF(C558:E575,$B584&amp;" ~*")&gt;0)+(IFERROR(INDEX(Setup!$G$33:$G$40,MATCH(G584,Setup!$B$33:$B$40,0)),0)=1)*(COUNTIF(G558:I575,$B584)+COUNTIF(G558:I575,$B584&amp;" ~*")&gt;0)+(IFERROR(INDEX(Setup!$G$33:$G$40,MATCH(K584,Setup!$B$33:$B$40,0)),0)=1)*(COUNTIF(K558:M575,$B584)+COUNTIF(K558:M575,$B584&amp;" ~*")&gt;0)+(IFERROR(INDEX(Setup!$G$33:$G$40,MATCH(O584,Setup!$B$33:$B$40,0)),0)=1)*(COUNTIF(O558:Q575,$B584)+COUNTIF(O558:Q575,$B584&amp;" ~*")&gt;0)+(IFERROR(INDEX(Setup!$G$33:$G$40,MATCH(S584,Setup!$B$33:$B$40,0)),0)=1)*(COUNTIF(S558:U575,$B584)+COUNTIF(S558:U575,$B584&amp;" ~*")&gt;0)+(IFERROR(INDEX(Setup!$G$33:$G$40,MATCH(W584,Setup!$B$33:$B$40,0)),0)=1)*(COUNTIF(W558:W575,$B584)+COUNTIF(W558:W575,$B584&amp;" ~*")&gt;0)+(IFERROR(INDEX(Setup!$G$33:$G$40,MATCH(Y584,Setup!$B$33:$B$40,0)),0)=1)*(COUNTIF(Y558:Y575,$B584)+COUNTIF(Y558:Y575,$B584&amp;" ~*")&gt;0))</f>
        <v/>
      </c>
    </row>
    <row r="585" ht="15" customHeight="1">
      <c r="A585" t="n">
        <v>12</v>
      </c>
      <c r="B585" s="35">
        <f>IF(Setup!$B$14="","",Setup!$B$14)</f>
        <v/>
      </c>
      <c r="C585" s="98" t="n"/>
      <c r="D585" s="99" t="n"/>
      <c r="E585" s="99" t="n"/>
      <c r="F585" s="100" t="n"/>
      <c r="G585" s="98" t="n"/>
      <c r="H585" s="99" t="n"/>
      <c r="I585" s="99" t="n"/>
      <c r="J585" s="100" t="n"/>
      <c r="K585" s="98" t="n"/>
      <c r="L585" s="99" t="n"/>
      <c r="M585" s="99" t="n"/>
      <c r="N585" s="100" t="n"/>
      <c r="O585" s="98" t="n"/>
      <c r="P585" s="99" t="n"/>
      <c r="Q585" s="99" t="n"/>
      <c r="R585" s="100" t="n"/>
      <c r="S585" s="98" t="n"/>
      <c r="T585" s="99" t="n"/>
      <c r="U585" s="99" t="n"/>
      <c r="V585" s="100" t="n"/>
      <c r="W585" s="98" t="n"/>
      <c r="X585" s="100" t="n"/>
      <c r="Y585" s="98" t="n"/>
      <c r="Z585" s="100" t="n"/>
      <c r="AB585" s="101">
        <f>IF($B585="","",(COUNTIF(C558:E575,$B585)+COUNTIF(C558:E575,$B585&amp;" ~*")&gt;0)+(COUNTIF(G558:I575,$B585)+COUNTIF(G558:I575,$B585&amp;" ~*")&gt;0)+(COUNTIF(K558:M575,$B585)+COUNTIF(K558:M575,$B585&amp;" ~*")&gt;0)+(COUNTIF(O558:Q575,$B585)+COUNTIF(O558:Q575,$B585&amp;" ~*")&gt;0)+(COUNTIF(S558:U575,$B585)+COUNTIF(S558:U575,$B585&amp;" ~*")&gt;0)+(COUNTIF(W558:W575,$B585)+COUNTIF(W558:W575,$B585&amp;" ~*")&gt;0)+(COUNTIF(Y558:Y575,$B585)+COUNTIF(Y558:Y575,$B585&amp;" ~*")&gt;0))</f>
        <v/>
      </c>
      <c r="AC585" s="36">
        <f>IF($B585="","",(IFERROR(INDEX(Setup!$G$33:$G$40,MATCH(C585,Setup!$B$33:$B$40,0)),0)=1)*(COUNTIF(C558:E575,$B585)+COUNTIF(C558:E575,$B585&amp;" ~*")&gt;0)+(IFERROR(INDEX(Setup!$G$33:$G$40,MATCH(G585,Setup!$B$33:$B$40,0)),0)=1)*(COUNTIF(G558:I575,$B585)+COUNTIF(G558:I575,$B585&amp;" ~*")&gt;0)+(IFERROR(INDEX(Setup!$G$33:$G$40,MATCH(K585,Setup!$B$33:$B$40,0)),0)=1)*(COUNTIF(K558:M575,$B585)+COUNTIF(K558:M575,$B585&amp;" ~*")&gt;0)+(IFERROR(INDEX(Setup!$G$33:$G$40,MATCH(O585,Setup!$B$33:$B$40,0)),0)=1)*(COUNTIF(O558:Q575,$B585)+COUNTIF(O558:Q575,$B585&amp;" ~*")&gt;0)+(IFERROR(INDEX(Setup!$G$33:$G$40,MATCH(S585,Setup!$B$33:$B$40,0)),0)=1)*(COUNTIF(S558:U575,$B585)+COUNTIF(S558:U575,$B585&amp;" ~*")&gt;0)+(IFERROR(INDEX(Setup!$G$33:$G$40,MATCH(W585,Setup!$B$33:$B$40,0)),0)=1)*(COUNTIF(W558:W575,$B585)+COUNTIF(W558:W575,$B585&amp;" ~*")&gt;0)+(IFERROR(INDEX(Setup!$G$33:$G$40,MATCH(Y585,Setup!$B$33:$B$40,0)),0)=1)*(COUNTIF(Y558:Y575,$B585)+COUNTIF(Y558:Y575,$B585&amp;" ~*")&gt;0))</f>
        <v/>
      </c>
    </row>
    <row r="586" ht="15" customHeight="1">
      <c r="A586" t="n">
        <v>12</v>
      </c>
      <c r="B586" s="37">
        <f>IF(Setup!$B$15="","",Setup!$B$15)</f>
        <v/>
      </c>
      <c r="C586" s="102" t="n"/>
      <c r="D586" s="103" t="n"/>
      <c r="E586" s="103" t="n"/>
      <c r="F586" s="104" t="n"/>
      <c r="G586" s="102" t="n"/>
      <c r="H586" s="103" t="n"/>
      <c r="I586" s="103" t="n"/>
      <c r="J586" s="104" t="n"/>
      <c r="K586" s="102" t="n"/>
      <c r="L586" s="103" t="n"/>
      <c r="M586" s="103" t="n"/>
      <c r="N586" s="104" t="n"/>
      <c r="O586" s="102" t="n"/>
      <c r="P586" s="103" t="n"/>
      <c r="Q586" s="103" t="n"/>
      <c r="R586" s="104" t="n"/>
      <c r="S586" s="102" t="n"/>
      <c r="T586" s="103" t="n"/>
      <c r="U586" s="103" t="n"/>
      <c r="V586" s="104" t="n"/>
      <c r="W586" s="102" t="n"/>
      <c r="X586" s="104" t="n"/>
      <c r="Y586" s="102" t="n"/>
      <c r="Z586" s="104" t="n"/>
      <c r="AB586" s="105">
        <f>IF($B586="","",(COUNTIF(C558:E575,$B586)+COUNTIF(C558:E575,$B586&amp;" ~*")&gt;0)+(COUNTIF(G558:I575,$B586)+COUNTIF(G558:I575,$B586&amp;" ~*")&gt;0)+(COUNTIF(K558:M575,$B586)+COUNTIF(K558:M575,$B586&amp;" ~*")&gt;0)+(COUNTIF(O558:Q575,$B586)+COUNTIF(O558:Q575,$B586&amp;" ~*")&gt;0)+(COUNTIF(S558:U575,$B586)+COUNTIF(S558:U575,$B586&amp;" ~*")&gt;0)+(COUNTIF(W558:W575,$B586)+COUNTIF(W558:W575,$B586&amp;" ~*")&gt;0)+(COUNTIF(Y558:Y575,$B586)+COUNTIF(Y558:Y575,$B586&amp;" ~*")&gt;0))</f>
        <v/>
      </c>
      <c r="AC586" s="38">
        <f>IF($B586="","",(IFERROR(INDEX(Setup!$G$33:$G$40,MATCH(C586,Setup!$B$33:$B$40,0)),0)=1)*(COUNTIF(C558:E575,$B586)+COUNTIF(C558:E575,$B586&amp;" ~*")&gt;0)+(IFERROR(INDEX(Setup!$G$33:$G$40,MATCH(G586,Setup!$B$33:$B$40,0)),0)=1)*(COUNTIF(G558:I575,$B586)+COUNTIF(G558:I575,$B586&amp;" ~*")&gt;0)+(IFERROR(INDEX(Setup!$G$33:$G$40,MATCH(K586,Setup!$B$33:$B$40,0)),0)=1)*(COUNTIF(K558:M575,$B586)+COUNTIF(K558:M575,$B586&amp;" ~*")&gt;0)+(IFERROR(INDEX(Setup!$G$33:$G$40,MATCH(O586,Setup!$B$33:$B$40,0)),0)=1)*(COUNTIF(O558:Q575,$B586)+COUNTIF(O558:Q575,$B586&amp;" ~*")&gt;0)+(IFERROR(INDEX(Setup!$G$33:$G$40,MATCH(S586,Setup!$B$33:$B$40,0)),0)=1)*(COUNTIF(S558:U575,$B586)+COUNTIF(S558:U575,$B586&amp;" ~*")&gt;0)+(IFERROR(INDEX(Setup!$G$33:$G$40,MATCH(W586,Setup!$B$33:$B$40,0)),0)=1)*(COUNTIF(W558:W575,$B586)+COUNTIF(W558:W575,$B586&amp;" ~*")&gt;0)+(IFERROR(INDEX(Setup!$G$33:$G$40,MATCH(Y586,Setup!$B$33:$B$40,0)),0)=1)*(COUNTIF(Y558:Y575,$B586)+COUNTIF(Y558:Y575,$B586&amp;" ~*")&gt;0))</f>
        <v/>
      </c>
    </row>
    <row r="587" ht="15" customHeight="1">
      <c r="A587" t="n">
        <v>12</v>
      </c>
      <c r="B587" s="35">
        <f>IF(Setup!$B$16="","",Setup!$B$16)</f>
        <v/>
      </c>
      <c r="C587" s="98" t="n"/>
      <c r="D587" s="99" t="n"/>
      <c r="E587" s="99" t="n"/>
      <c r="F587" s="100" t="n"/>
      <c r="G587" s="98" t="n"/>
      <c r="H587" s="99" t="n"/>
      <c r="I587" s="99" t="n"/>
      <c r="J587" s="100" t="n"/>
      <c r="K587" s="98" t="n"/>
      <c r="L587" s="99" t="n"/>
      <c r="M587" s="99" t="n"/>
      <c r="N587" s="100" t="n"/>
      <c r="O587" s="98" t="n"/>
      <c r="P587" s="99" t="n"/>
      <c r="Q587" s="99" t="n"/>
      <c r="R587" s="100" t="n"/>
      <c r="S587" s="98" t="n"/>
      <c r="T587" s="99" t="n"/>
      <c r="U587" s="99" t="n"/>
      <c r="V587" s="100" t="n"/>
      <c r="W587" s="98" t="n"/>
      <c r="X587" s="100" t="n"/>
      <c r="Y587" s="98" t="n"/>
      <c r="Z587" s="100" t="n"/>
      <c r="AB587" s="101">
        <f>IF($B587="","",(COUNTIF(C558:E575,$B587)+COUNTIF(C558:E575,$B587&amp;" ~*")&gt;0)+(COUNTIF(G558:I575,$B587)+COUNTIF(G558:I575,$B587&amp;" ~*")&gt;0)+(COUNTIF(K558:M575,$B587)+COUNTIF(K558:M575,$B587&amp;" ~*")&gt;0)+(COUNTIF(O558:Q575,$B587)+COUNTIF(O558:Q575,$B587&amp;" ~*")&gt;0)+(COUNTIF(S558:U575,$B587)+COUNTIF(S558:U575,$B587&amp;" ~*")&gt;0)+(COUNTIF(W558:W575,$B587)+COUNTIF(W558:W575,$B587&amp;" ~*")&gt;0)+(COUNTIF(Y558:Y575,$B587)+COUNTIF(Y558:Y575,$B587&amp;" ~*")&gt;0))</f>
        <v/>
      </c>
      <c r="AC587" s="36">
        <f>IF($B587="","",(IFERROR(INDEX(Setup!$G$33:$G$40,MATCH(C587,Setup!$B$33:$B$40,0)),0)=1)*(COUNTIF(C558:E575,$B587)+COUNTIF(C558:E575,$B587&amp;" ~*")&gt;0)+(IFERROR(INDEX(Setup!$G$33:$G$40,MATCH(G587,Setup!$B$33:$B$40,0)),0)=1)*(COUNTIF(G558:I575,$B587)+COUNTIF(G558:I575,$B587&amp;" ~*")&gt;0)+(IFERROR(INDEX(Setup!$G$33:$G$40,MATCH(K587,Setup!$B$33:$B$40,0)),0)=1)*(COUNTIF(K558:M575,$B587)+COUNTIF(K558:M575,$B587&amp;" ~*")&gt;0)+(IFERROR(INDEX(Setup!$G$33:$G$40,MATCH(O587,Setup!$B$33:$B$40,0)),0)=1)*(COUNTIF(O558:Q575,$B587)+COUNTIF(O558:Q575,$B587&amp;" ~*")&gt;0)+(IFERROR(INDEX(Setup!$G$33:$G$40,MATCH(S587,Setup!$B$33:$B$40,0)),0)=1)*(COUNTIF(S558:U575,$B587)+COUNTIF(S558:U575,$B587&amp;" ~*")&gt;0)+(IFERROR(INDEX(Setup!$G$33:$G$40,MATCH(W587,Setup!$B$33:$B$40,0)),0)=1)*(COUNTIF(W558:W575,$B587)+COUNTIF(W558:W575,$B587&amp;" ~*")&gt;0)+(IFERROR(INDEX(Setup!$G$33:$G$40,MATCH(Y587,Setup!$B$33:$B$40,0)),0)=1)*(COUNTIF(Y558:Y575,$B587)+COUNTIF(Y558:Y575,$B587&amp;" ~*")&gt;0))</f>
        <v/>
      </c>
    </row>
    <row r="588" ht="15" customHeight="1">
      <c r="A588" t="n">
        <v>12</v>
      </c>
      <c r="B588" s="37">
        <f>IF(Setup!$B$17="","",Setup!$B$17)</f>
        <v/>
      </c>
      <c r="C588" s="102" t="n"/>
      <c r="D588" s="103" t="n"/>
      <c r="E588" s="103" t="n"/>
      <c r="F588" s="104" t="n"/>
      <c r="G588" s="102" t="n"/>
      <c r="H588" s="103" t="n"/>
      <c r="I588" s="103" t="n"/>
      <c r="J588" s="104" t="n"/>
      <c r="K588" s="102" t="n"/>
      <c r="L588" s="103" t="n"/>
      <c r="M588" s="103" t="n"/>
      <c r="N588" s="104" t="n"/>
      <c r="O588" s="102" t="n"/>
      <c r="P588" s="103" t="n"/>
      <c r="Q588" s="103" t="n"/>
      <c r="R588" s="104" t="n"/>
      <c r="S588" s="102" t="n"/>
      <c r="T588" s="103" t="n"/>
      <c r="U588" s="103" t="n"/>
      <c r="V588" s="104" t="n"/>
      <c r="W588" s="102" t="n"/>
      <c r="X588" s="104" t="n"/>
      <c r="Y588" s="102" t="n"/>
      <c r="Z588" s="104" t="n"/>
      <c r="AB588" s="105">
        <f>IF($B588="","",(COUNTIF(C558:E575,$B588)+COUNTIF(C558:E575,$B588&amp;" ~*")&gt;0)+(COUNTIF(G558:I575,$B588)+COUNTIF(G558:I575,$B588&amp;" ~*")&gt;0)+(COUNTIF(K558:M575,$B588)+COUNTIF(K558:M575,$B588&amp;" ~*")&gt;0)+(COUNTIF(O558:Q575,$B588)+COUNTIF(O558:Q575,$B588&amp;" ~*")&gt;0)+(COUNTIF(S558:U575,$B588)+COUNTIF(S558:U575,$B588&amp;" ~*")&gt;0)+(COUNTIF(W558:W575,$B588)+COUNTIF(W558:W575,$B588&amp;" ~*")&gt;0)+(COUNTIF(Y558:Y575,$B588)+COUNTIF(Y558:Y575,$B588&amp;" ~*")&gt;0))</f>
        <v/>
      </c>
      <c r="AC588" s="38">
        <f>IF($B588="","",(IFERROR(INDEX(Setup!$G$33:$G$40,MATCH(C588,Setup!$B$33:$B$40,0)),0)=1)*(COUNTIF(C558:E575,$B588)+COUNTIF(C558:E575,$B588&amp;" ~*")&gt;0)+(IFERROR(INDEX(Setup!$G$33:$G$40,MATCH(G588,Setup!$B$33:$B$40,0)),0)=1)*(COUNTIF(G558:I575,$B588)+COUNTIF(G558:I575,$B588&amp;" ~*")&gt;0)+(IFERROR(INDEX(Setup!$G$33:$G$40,MATCH(K588,Setup!$B$33:$B$40,0)),0)=1)*(COUNTIF(K558:M575,$B588)+COUNTIF(K558:M575,$B588&amp;" ~*")&gt;0)+(IFERROR(INDEX(Setup!$G$33:$G$40,MATCH(O588,Setup!$B$33:$B$40,0)),0)=1)*(COUNTIF(O558:Q575,$B588)+COUNTIF(O558:Q575,$B588&amp;" ~*")&gt;0)+(IFERROR(INDEX(Setup!$G$33:$G$40,MATCH(S588,Setup!$B$33:$B$40,0)),0)=1)*(COUNTIF(S558:U575,$B588)+COUNTIF(S558:U575,$B588&amp;" ~*")&gt;0)+(IFERROR(INDEX(Setup!$G$33:$G$40,MATCH(W588,Setup!$B$33:$B$40,0)),0)=1)*(COUNTIF(W558:W575,$B588)+COUNTIF(W558:W575,$B588&amp;" ~*")&gt;0)+(IFERROR(INDEX(Setup!$G$33:$G$40,MATCH(Y588,Setup!$B$33:$B$40,0)),0)=1)*(COUNTIF(Y558:Y575,$B588)+COUNTIF(Y558:Y575,$B588&amp;" ~*")&gt;0))</f>
        <v/>
      </c>
    </row>
    <row r="589" ht="15" customHeight="1">
      <c r="A589" t="n">
        <v>12</v>
      </c>
      <c r="B589" s="35">
        <f>IF(Setup!$B$18="","",Setup!$B$18)</f>
        <v/>
      </c>
      <c r="C589" s="98" t="n"/>
      <c r="D589" s="99" t="n"/>
      <c r="E589" s="99" t="n"/>
      <c r="F589" s="100" t="n"/>
      <c r="G589" s="98" t="n"/>
      <c r="H589" s="99" t="n"/>
      <c r="I589" s="99" t="n"/>
      <c r="J589" s="100" t="n"/>
      <c r="K589" s="98" t="n"/>
      <c r="L589" s="99" t="n"/>
      <c r="M589" s="99" t="n"/>
      <c r="N589" s="100" t="n"/>
      <c r="O589" s="98" t="n"/>
      <c r="P589" s="99" t="n"/>
      <c r="Q589" s="99" t="n"/>
      <c r="R589" s="100" t="n"/>
      <c r="S589" s="98" t="n"/>
      <c r="T589" s="99" t="n"/>
      <c r="U589" s="99" t="n"/>
      <c r="V589" s="100" t="n"/>
      <c r="W589" s="98" t="n"/>
      <c r="X589" s="100" t="n"/>
      <c r="Y589" s="98" t="n"/>
      <c r="Z589" s="100" t="n"/>
      <c r="AB589" s="101">
        <f>IF($B589="","",(COUNTIF(C558:E575,$B589)+COUNTIF(C558:E575,$B589&amp;" ~*")&gt;0)+(COUNTIF(G558:I575,$B589)+COUNTIF(G558:I575,$B589&amp;" ~*")&gt;0)+(COUNTIF(K558:M575,$B589)+COUNTIF(K558:M575,$B589&amp;" ~*")&gt;0)+(COUNTIF(O558:Q575,$B589)+COUNTIF(O558:Q575,$B589&amp;" ~*")&gt;0)+(COUNTIF(S558:U575,$B589)+COUNTIF(S558:U575,$B589&amp;" ~*")&gt;0)+(COUNTIF(W558:W575,$B589)+COUNTIF(W558:W575,$B589&amp;" ~*")&gt;0)+(COUNTIF(Y558:Y575,$B589)+COUNTIF(Y558:Y575,$B589&amp;" ~*")&gt;0))</f>
        <v/>
      </c>
      <c r="AC589" s="36">
        <f>IF($B589="","",(IFERROR(INDEX(Setup!$G$33:$G$40,MATCH(C589,Setup!$B$33:$B$40,0)),0)=1)*(COUNTIF(C558:E575,$B589)+COUNTIF(C558:E575,$B589&amp;" ~*")&gt;0)+(IFERROR(INDEX(Setup!$G$33:$G$40,MATCH(G589,Setup!$B$33:$B$40,0)),0)=1)*(COUNTIF(G558:I575,$B589)+COUNTIF(G558:I575,$B589&amp;" ~*")&gt;0)+(IFERROR(INDEX(Setup!$G$33:$G$40,MATCH(K589,Setup!$B$33:$B$40,0)),0)=1)*(COUNTIF(K558:M575,$B589)+COUNTIF(K558:M575,$B589&amp;" ~*")&gt;0)+(IFERROR(INDEX(Setup!$G$33:$G$40,MATCH(O589,Setup!$B$33:$B$40,0)),0)=1)*(COUNTIF(O558:Q575,$B589)+COUNTIF(O558:Q575,$B589&amp;" ~*")&gt;0)+(IFERROR(INDEX(Setup!$G$33:$G$40,MATCH(S589,Setup!$B$33:$B$40,0)),0)=1)*(COUNTIF(S558:U575,$B589)+COUNTIF(S558:U575,$B589&amp;" ~*")&gt;0)+(IFERROR(INDEX(Setup!$G$33:$G$40,MATCH(W589,Setup!$B$33:$B$40,0)),0)=1)*(COUNTIF(W558:W575,$B589)+COUNTIF(W558:W575,$B589&amp;" ~*")&gt;0)+(IFERROR(INDEX(Setup!$G$33:$G$40,MATCH(Y589,Setup!$B$33:$B$40,0)),0)=1)*(COUNTIF(Y558:Y575,$B589)+COUNTIF(Y558:Y575,$B589&amp;" ~*")&gt;0))</f>
        <v/>
      </c>
    </row>
    <row r="590" ht="15" customHeight="1">
      <c r="A590" t="n">
        <v>12</v>
      </c>
      <c r="B590" s="37">
        <f>IF(Setup!$B$19="","",Setup!$B$19)</f>
        <v/>
      </c>
      <c r="C590" s="102" t="n"/>
      <c r="D590" s="103" t="n"/>
      <c r="E590" s="103" t="n"/>
      <c r="F590" s="104" t="n"/>
      <c r="G590" s="102" t="n"/>
      <c r="H590" s="103" t="n"/>
      <c r="I590" s="103" t="n"/>
      <c r="J590" s="104" t="n"/>
      <c r="K590" s="102" t="n"/>
      <c r="L590" s="103" t="n"/>
      <c r="M590" s="103" t="n"/>
      <c r="N590" s="104" t="n"/>
      <c r="O590" s="102" t="n"/>
      <c r="P590" s="103" t="n"/>
      <c r="Q590" s="103" t="n"/>
      <c r="R590" s="104" t="n"/>
      <c r="S590" s="102" t="n"/>
      <c r="T590" s="103" t="n"/>
      <c r="U590" s="103" t="n"/>
      <c r="V590" s="104" t="n"/>
      <c r="W590" s="102" t="n"/>
      <c r="X590" s="104" t="n"/>
      <c r="Y590" s="102" t="n"/>
      <c r="Z590" s="104" t="n"/>
      <c r="AB590" s="105">
        <f>IF($B590="","",(COUNTIF(C558:E575,$B590)+COUNTIF(C558:E575,$B590&amp;" ~*")&gt;0)+(COUNTIF(G558:I575,$B590)+COUNTIF(G558:I575,$B590&amp;" ~*")&gt;0)+(COUNTIF(K558:M575,$B590)+COUNTIF(K558:M575,$B590&amp;" ~*")&gt;0)+(COUNTIF(O558:Q575,$B590)+COUNTIF(O558:Q575,$B590&amp;" ~*")&gt;0)+(COUNTIF(S558:U575,$B590)+COUNTIF(S558:U575,$B590&amp;" ~*")&gt;0)+(COUNTIF(W558:W575,$B590)+COUNTIF(W558:W575,$B590&amp;" ~*")&gt;0)+(COUNTIF(Y558:Y575,$B590)+COUNTIF(Y558:Y575,$B590&amp;" ~*")&gt;0))</f>
        <v/>
      </c>
      <c r="AC590" s="38">
        <f>IF($B590="","",(IFERROR(INDEX(Setup!$G$33:$G$40,MATCH(C590,Setup!$B$33:$B$40,0)),0)=1)*(COUNTIF(C558:E575,$B590)+COUNTIF(C558:E575,$B590&amp;" ~*")&gt;0)+(IFERROR(INDEX(Setup!$G$33:$G$40,MATCH(G590,Setup!$B$33:$B$40,0)),0)=1)*(COUNTIF(G558:I575,$B590)+COUNTIF(G558:I575,$B590&amp;" ~*")&gt;0)+(IFERROR(INDEX(Setup!$G$33:$G$40,MATCH(K590,Setup!$B$33:$B$40,0)),0)=1)*(COUNTIF(K558:M575,$B590)+COUNTIF(K558:M575,$B590&amp;" ~*")&gt;0)+(IFERROR(INDEX(Setup!$G$33:$G$40,MATCH(O590,Setup!$B$33:$B$40,0)),0)=1)*(COUNTIF(O558:Q575,$B590)+COUNTIF(O558:Q575,$B590&amp;" ~*")&gt;0)+(IFERROR(INDEX(Setup!$G$33:$G$40,MATCH(S590,Setup!$B$33:$B$40,0)),0)=1)*(COUNTIF(S558:U575,$B590)+COUNTIF(S558:U575,$B590&amp;" ~*")&gt;0)+(IFERROR(INDEX(Setup!$G$33:$G$40,MATCH(W590,Setup!$B$33:$B$40,0)),0)=1)*(COUNTIF(W558:W575,$B590)+COUNTIF(W558:W575,$B590&amp;" ~*")&gt;0)+(IFERROR(INDEX(Setup!$G$33:$G$40,MATCH(Y590,Setup!$B$33:$B$40,0)),0)=1)*(COUNTIF(Y558:Y575,$B590)+COUNTIF(Y558:Y575,$B590&amp;" ~*")&gt;0))</f>
        <v/>
      </c>
    </row>
    <row r="591" ht="15" customHeight="1">
      <c r="A591" t="n">
        <v>12</v>
      </c>
      <c r="B591" s="35">
        <f>IF(Setup!$B$20="","",Setup!$B$20)</f>
        <v/>
      </c>
      <c r="C591" s="98" t="n"/>
      <c r="D591" s="99" t="n"/>
      <c r="E591" s="99" t="n"/>
      <c r="F591" s="100" t="n"/>
      <c r="G591" s="98" t="n"/>
      <c r="H591" s="99" t="n"/>
      <c r="I591" s="99" t="n"/>
      <c r="J591" s="100" t="n"/>
      <c r="K591" s="98" t="n"/>
      <c r="L591" s="99" t="n"/>
      <c r="M591" s="99" t="n"/>
      <c r="N591" s="100" t="n"/>
      <c r="O591" s="98" t="n"/>
      <c r="P591" s="99" t="n"/>
      <c r="Q591" s="99" t="n"/>
      <c r="R591" s="100" t="n"/>
      <c r="S591" s="98" t="n"/>
      <c r="T591" s="99" t="n"/>
      <c r="U591" s="99" t="n"/>
      <c r="V591" s="100" t="n"/>
      <c r="W591" s="98" t="n"/>
      <c r="X591" s="100" t="n"/>
      <c r="Y591" s="98" t="n"/>
      <c r="Z591" s="100" t="n"/>
      <c r="AB591" s="101">
        <f>IF($B591="","",(COUNTIF(C558:E575,$B591)+COUNTIF(C558:E575,$B591&amp;" ~*")&gt;0)+(COUNTIF(G558:I575,$B591)+COUNTIF(G558:I575,$B591&amp;" ~*")&gt;0)+(COUNTIF(K558:M575,$B591)+COUNTIF(K558:M575,$B591&amp;" ~*")&gt;0)+(COUNTIF(O558:Q575,$B591)+COUNTIF(O558:Q575,$B591&amp;" ~*")&gt;0)+(COUNTIF(S558:U575,$B591)+COUNTIF(S558:U575,$B591&amp;" ~*")&gt;0)+(COUNTIF(W558:W575,$B591)+COUNTIF(W558:W575,$B591&amp;" ~*")&gt;0)+(COUNTIF(Y558:Y575,$B591)+COUNTIF(Y558:Y575,$B591&amp;" ~*")&gt;0))</f>
        <v/>
      </c>
      <c r="AC591" s="36">
        <f>IF($B591="","",(IFERROR(INDEX(Setup!$G$33:$G$40,MATCH(C591,Setup!$B$33:$B$40,0)),0)=1)*(COUNTIF(C558:E575,$B591)+COUNTIF(C558:E575,$B591&amp;" ~*")&gt;0)+(IFERROR(INDEX(Setup!$G$33:$G$40,MATCH(G591,Setup!$B$33:$B$40,0)),0)=1)*(COUNTIF(G558:I575,$B591)+COUNTIF(G558:I575,$B591&amp;" ~*")&gt;0)+(IFERROR(INDEX(Setup!$G$33:$G$40,MATCH(K591,Setup!$B$33:$B$40,0)),0)=1)*(COUNTIF(K558:M575,$B591)+COUNTIF(K558:M575,$B591&amp;" ~*")&gt;0)+(IFERROR(INDEX(Setup!$G$33:$G$40,MATCH(O591,Setup!$B$33:$B$40,0)),0)=1)*(COUNTIF(O558:Q575,$B591)+COUNTIF(O558:Q575,$B591&amp;" ~*")&gt;0)+(IFERROR(INDEX(Setup!$G$33:$G$40,MATCH(S591,Setup!$B$33:$B$40,0)),0)=1)*(COUNTIF(S558:U575,$B591)+COUNTIF(S558:U575,$B591&amp;" ~*")&gt;0)+(IFERROR(INDEX(Setup!$G$33:$G$40,MATCH(W591,Setup!$B$33:$B$40,0)),0)=1)*(COUNTIF(W558:W575,$B591)+COUNTIF(W558:W575,$B591&amp;" ~*")&gt;0)+(IFERROR(INDEX(Setup!$G$33:$G$40,MATCH(Y591,Setup!$B$33:$B$40,0)),0)=1)*(COUNTIF(Y558:Y575,$B591)+COUNTIF(Y558:Y575,$B591&amp;" ~*")&gt;0))</f>
        <v/>
      </c>
    </row>
    <row r="592" ht="15" customHeight="1">
      <c r="A592" t="n">
        <v>12</v>
      </c>
      <c r="B592" s="37">
        <f>IF(Setup!$B$21="","",Setup!$B$21)</f>
        <v/>
      </c>
      <c r="C592" s="102" t="n"/>
      <c r="D592" s="103" t="n"/>
      <c r="E592" s="103" t="n"/>
      <c r="F592" s="104" t="n"/>
      <c r="G592" s="102" t="n"/>
      <c r="H592" s="103" t="n"/>
      <c r="I592" s="103" t="n"/>
      <c r="J592" s="104" t="n"/>
      <c r="K592" s="102" t="n"/>
      <c r="L592" s="103" t="n"/>
      <c r="M592" s="103" t="n"/>
      <c r="N592" s="104" t="n"/>
      <c r="O592" s="102" t="n"/>
      <c r="P592" s="103" t="n"/>
      <c r="Q592" s="103" t="n"/>
      <c r="R592" s="104" t="n"/>
      <c r="S592" s="102" t="n"/>
      <c r="T592" s="103" t="n"/>
      <c r="U592" s="103" t="n"/>
      <c r="V592" s="104" t="n"/>
      <c r="W592" s="102" t="n"/>
      <c r="X592" s="104" t="n"/>
      <c r="Y592" s="102" t="n"/>
      <c r="Z592" s="104" t="n"/>
      <c r="AB592" s="105">
        <f>IF($B592="","",(COUNTIF(C558:E575,$B592)+COUNTIF(C558:E575,$B592&amp;" ~*")&gt;0)+(COUNTIF(G558:I575,$B592)+COUNTIF(G558:I575,$B592&amp;" ~*")&gt;0)+(COUNTIF(K558:M575,$B592)+COUNTIF(K558:M575,$B592&amp;" ~*")&gt;0)+(COUNTIF(O558:Q575,$B592)+COUNTIF(O558:Q575,$B592&amp;" ~*")&gt;0)+(COUNTIF(S558:U575,$B592)+COUNTIF(S558:U575,$B592&amp;" ~*")&gt;0)+(COUNTIF(W558:W575,$B592)+COUNTIF(W558:W575,$B592&amp;" ~*")&gt;0)+(COUNTIF(Y558:Y575,$B592)+COUNTIF(Y558:Y575,$B592&amp;" ~*")&gt;0))</f>
        <v/>
      </c>
      <c r="AC592" s="38">
        <f>IF($B592="","",(IFERROR(INDEX(Setup!$G$33:$G$40,MATCH(C592,Setup!$B$33:$B$40,0)),0)=1)*(COUNTIF(C558:E575,$B592)+COUNTIF(C558:E575,$B592&amp;" ~*")&gt;0)+(IFERROR(INDEX(Setup!$G$33:$G$40,MATCH(G592,Setup!$B$33:$B$40,0)),0)=1)*(COUNTIF(G558:I575,$B592)+COUNTIF(G558:I575,$B592&amp;" ~*")&gt;0)+(IFERROR(INDEX(Setup!$G$33:$G$40,MATCH(K592,Setup!$B$33:$B$40,0)),0)=1)*(COUNTIF(K558:M575,$B592)+COUNTIF(K558:M575,$B592&amp;" ~*")&gt;0)+(IFERROR(INDEX(Setup!$G$33:$G$40,MATCH(O592,Setup!$B$33:$B$40,0)),0)=1)*(COUNTIF(O558:Q575,$B592)+COUNTIF(O558:Q575,$B592&amp;" ~*")&gt;0)+(IFERROR(INDEX(Setup!$G$33:$G$40,MATCH(S592,Setup!$B$33:$B$40,0)),0)=1)*(COUNTIF(S558:U575,$B592)+COUNTIF(S558:U575,$B592&amp;" ~*")&gt;0)+(IFERROR(INDEX(Setup!$G$33:$G$40,MATCH(W592,Setup!$B$33:$B$40,0)),0)=1)*(COUNTIF(W558:W575,$B592)+COUNTIF(W558:W575,$B592&amp;" ~*")&gt;0)+(IFERROR(INDEX(Setup!$G$33:$G$40,MATCH(Y592,Setup!$B$33:$B$40,0)),0)=1)*(COUNTIF(Y558:Y575,$B592)+COUNTIF(Y558:Y575,$B592&amp;" ~*")&gt;0))</f>
        <v/>
      </c>
    </row>
    <row r="593" ht="15" customHeight="1">
      <c r="A593" t="n">
        <v>12</v>
      </c>
      <c r="B593" s="35">
        <f>IF(Setup!$B$22="","",Setup!$B$22)</f>
        <v/>
      </c>
      <c r="C593" s="98" t="n"/>
      <c r="D593" s="99" t="n"/>
      <c r="E593" s="99" t="n"/>
      <c r="F593" s="100" t="n"/>
      <c r="G593" s="98" t="n"/>
      <c r="H593" s="99" t="n"/>
      <c r="I593" s="99" t="n"/>
      <c r="J593" s="100" t="n"/>
      <c r="K593" s="98" t="n"/>
      <c r="L593" s="99" t="n"/>
      <c r="M593" s="99" t="n"/>
      <c r="N593" s="100" t="n"/>
      <c r="O593" s="98" t="n"/>
      <c r="P593" s="99" t="n"/>
      <c r="Q593" s="99" t="n"/>
      <c r="R593" s="100" t="n"/>
      <c r="S593" s="98" t="n"/>
      <c r="T593" s="99" t="n"/>
      <c r="U593" s="99" t="n"/>
      <c r="V593" s="100" t="n"/>
      <c r="W593" s="98" t="n"/>
      <c r="X593" s="100" t="n"/>
      <c r="Y593" s="98" t="n"/>
      <c r="Z593" s="100" t="n"/>
      <c r="AB593" s="101">
        <f>IF($B593="","",(COUNTIF(C558:E575,$B593)+COUNTIF(C558:E575,$B593&amp;" ~*")&gt;0)+(COUNTIF(G558:I575,$B593)+COUNTIF(G558:I575,$B593&amp;" ~*")&gt;0)+(COUNTIF(K558:M575,$B593)+COUNTIF(K558:M575,$B593&amp;" ~*")&gt;0)+(COUNTIF(O558:Q575,$B593)+COUNTIF(O558:Q575,$B593&amp;" ~*")&gt;0)+(COUNTIF(S558:U575,$B593)+COUNTIF(S558:U575,$B593&amp;" ~*")&gt;0)+(COUNTIF(W558:W575,$B593)+COUNTIF(W558:W575,$B593&amp;" ~*")&gt;0)+(COUNTIF(Y558:Y575,$B593)+COUNTIF(Y558:Y575,$B593&amp;" ~*")&gt;0))</f>
        <v/>
      </c>
      <c r="AC593" s="36">
        <f>IF($B593="","",(IFERROR(INDEX(Setup!$G$33:$G$40,MATCH(C593,Setup!$B$33:$B$40,0)),0)=1)*(COUNTIF(C558:E575,$B593)+COUNTIF(C558:E575,$B593&amp;" ~*")&gt;0)+(IFERROR(INDEX(Setup!$G$33:$G$40,MATCH(G593,Setup!$B$33:$B$40,0)),0)=1)*(COUNTIF(G558:I575,$B593)+COUNTIF(G558:I575,$B593&amp;" ~*")&gt;0)+(IFERROR(INDEX(Setup!$G$33:$G$40,MATCH(K593,Setup!$B$33:$B$40,0)),0)=1)*(COUNTIF(K558:M575,$B593)+COUNTIF(K558:M575,$B593&amp;" ~*")&gt;0)+(IFERROR(INDEX(Setup!$G$33:$G$40,MATCH(O593,Setup!$B$33:$B$40,0)),0)=1)*(COUNTIF(O558:Q575,$B593)+COUNTIF(O558:Q575,$B593&amp;" ~*")&gt;0)+(IFERROR(INDEX(Setup!$G$33:$G$40,MATCH(S593,Setup!$B$33:$B$40,0)),0)=1)*(COUNTIF(S558:U575,$B593)+COUNTIF(S558:U575,$B593&amp;" ~*")&gt;0)+(IFERROR(INDEX(Setup!$G$33:$G$40,MATCH(W593,Setup!$B$33:$B$40,0)),0)=1)*(COUNTIF(W558:W575,$B593)+COUNTIF(W558:W575,$B593&amp;" ~*")&gt;0)+(IFERROR(INDEX(Setup!$G$33:$G$40,MATCH(Y593,Setup!$B$33:$B$40,0)),0)=1)*(COUNTIF(Y558:Y575,$B593)+COUNTIF(Y558:Y575,$B593&amp;" ~*")&gt;0))</f>
        <v/>
      </c>
    </row>
    <row r="594" ht="15" customHeight="1">
      <c r="A594" t="n">
        <v>12</v>
      </c>
      <c r="B594" s="37">
        <f>IF(Setup!$B$23="","",Setup!$B$23)</f>
        <v/>
      </c>
      <c r="C594" s="102" t="n"/>
      <c r="D594" s="103" t="n"/>
      <c r="E594" s="103" t="n"/>
      <c r="F594" s="104" t="n"/>
      <c r="G594" s="102" t="n"/>
      <c r="H594" s="103" t="n"/>
      <c r="I594" s="103" t="n"/>
      <c r="J594" s="104" t="n"/>
      <c r="K594" s="102" t="n"/>
      <c r="L594" s="103" t="n"/>
      <c r="M594" s="103" t="n"/>
      <c r="N594" s="104" t="n"/>
      <c r="O594" s="102" t="n"/>
      <c r="P594" s="103" t="n"/>
      <c r="Q594" s="103" t="n"/>
      <c r="R594" s="104" t="n"/>
      <c r="S594" s="102" t="n"/>
      <c r="T594" s="103" t="n"/>
      <c r="U594" s="103" t="n"/>
      <c r="V594" s="104" t="n"/>
      <c r="W594" s="102" t="n"/>
      <c r="X594" s="104" t="n"/>
      <c r="Y594" s="102" t="n"/>
      <c r="Z594" s="104" t="n"/>
      <c r="AB594" s="105">
        <f>IF($B594="","",(COUNTIF(C558:E575,$B594)+COUNTIF(C558:E575,$B594&amp;" ~*")&gt;0)+(COUNTIF(G558:I575,$B594)+COUNTIF(G558:I575,$B594&amp;" ~*")&gt;0)+(COUNTIF(K558:M575,$B594)+COUNTIF(K558:M575,$B594&amp;" ~*")&gt;0)+(COUNTIF(O558:Q575,$B594)+COUNTIF(O558:Q575,$B594&amp;" ~*")&gt;0)+(COUNTIF(S558:U575,$B594)+COUNTIF(S558:U575,$B594&amp;" ~*")&gt;0)+(COUNTIF(W558:W575,$B594)+COUNTIF(W558:W575,$B594&amp;" ~*")&gt;0)+(COUNTIF(Y558:Y575,$B594)+COUNTIF(Y558:Y575,$B594&amp;" ~*")&gt;0))</f>
        <v/>
      </c>
      <c r="AC594" s="38">
        <f>IF($B594="","",(IFERROR(INDEX(Setup!$G$33:$G$40,MATCH(C594,Setup!$B$33:$B$40,0)),0)=1)*(COUNTIF(C558:E575,$B594)+COUNTIF(C558:E575,$B594&amp;" ~*")&gt;0)+(IFERROR(INDEX(Setup!$G$33:$G$40,MATCH(G594,Setup!$B$33:$B$40,0)),0)=1)*(COUNTIF(G558:I575,$B594)+COUNTIF(G558:I575,$B594&amp;" ~*")&gt;0)+(IFERROR(INDEX(Setup!$G$33:$G$40,MATCH(K594,Setup!$B$33:$B$40,0)),0)=1)*(COUNTIF(K558:M575,$B594)+COUNTIF(K558:M575,$B594&amp;" ~*")&gt;0)+(IFERROR(INDEX(Setup!$G$33:$G$40,MATCH(O594,Setup!$B$33:$B$40,0)),0)=1)*(COUNTIF(O558:Q575,$B594)+COUNTIF(O558:Q575,$B594&amp;" ~*")&gt;0)+(IFERROR(INDEX(Setup!$G$33:$G$40,MATCH(S594,Setup!$B$33:$B$40,0)),0)=1)*(COUNTIF(S558:U575,$B594)+COUNTIF(S558:U575,$B594&amp;" ~*")&gt;0)+(IFERROR(INDEX(Setup!$G$33:$G$40,MATCH(W594,Setup!$B$33:$B$40,0)),0)=1)*(COUNTIF(W558:W575,$B594)+COUNTIF(W558:W575,$B594&amp;" ~*")&gt;0)+(IFERROR(INDEX(Setup!$G$33:$G$40,MATCH(Y594,Setup!$B$33:$B$40,0)),0)=1)*(COUNTIF(Y558:Y575,$B594)+COUNTIF(Y558:Y575,$B594&amp;" ~*")&gt;0))</f>
        <v/>
      </c>
    </row>
    <row r="595" ht="15" customHeight="1">
      <c r="A595" t="n">
        <v>12</v>
      </c>
      <c r="B595" s="35">
        <f>IF(Setup!$B$24="","",Setup!$B$24)</f>
        <v/>
      </c>
      <c r="C595" s="98" t="n"/>
      <c r="D595" s="99" t="n"/>
      <c r="E595" s="99" t="n"/>
      <c r="F595" s="100" t="n"/>
      <c r="G595" s="98" t="n"/>
      <c r="H595" s="99" t="n"/>
      <c r="I595" s="99" t="n"/>
      <c r="J595" s="100" t="n"/>
      <c r="K595" s="98" t="n"/>
      <c r="L595" s="99" t="n"/>
      <c r="M595" s="99" t="n"/>
      <c r="N595" s="100" t="n"/>
      <c r="O595" s="98" t="n"/>
      <c r="P595" s="99" t="n"/>
      <c r="Q595" s="99" t="n"/>
      <c r="R595" s="100" t="n"/>
      <c r="S595" s="98" t="n"/>
      <c r="T595" s="99" t="n"/>
      <c r="U595" s="99" t="n"/>
      <c r="V595" s="100" t="n"/>
      <c r="W595" s="98" t="n"/>
      <c r="X595" s="100" t="n"/>
      <c r="Y595" s="98" t="n"/>
      <c r="Z595" s="100" t="n"/>
      <c r="AB595" s="101">
        <f>IF($B595="","",(COUNTIF(C558:E575,$B595)+COUNTIF(C558:E575,$B595&amp;" ~*")&gt;0)+(COUNTIF(G558:I575,$B595)+COUNTIF(G558:I575,$B595&amp;" ~*")&gt;0)+(COUNTIF(K558:M575,$B595)+COUNTIF(K558:M575,$B595&amp;" ~*")&gt;0)+(COUNTIF(O558:Q575,$B595)+COUNTIF(O558:Q575,$B595&amp;" ~*")&gt;0)+(COUNTIF(S558:U575,$B595)+COUNTIF(S558:U575,$B595&amp;" ~*")&gt;0)+(COUNTIF(W558:W575,$B595)+COUNTIF(W558:W575,$B595&amp;" ~*")&gt;0)+(COUNTIF(Y558:Y575,$B595)+COUNTIF(Y558:Y575,$B595&amp;" ~*")&gt;0))</f>
        <v/>
      </c>
      <c r="AC595" s="36">
        <f>IF($B595="","",(IFERROR(INDEX(Setup!$G$33:$G$40,MATCH(C595,Setup!$B$33:$B$40,0)),0)=1)*(COUNTIF(C558:E575,$B595)+COUNTIF(C558:E575,$B595&amp;" ~*")&gt;0)+(IFERROR(INDEX(Setup!$G$33:$G$40,MATCH(G595,Setup!$B$33:$B$40,0)),0)=1)*(COUNTIF(G558:I575,$B595)+COUNTIF(G558:I575,$B595&amp;" ~*")&gt;0)+(IFERROR(INDEX(Setup!$G$33:$G$40,MATCH(K595,Setup!$B$33:$B$40,0)),0)=1)*(COUNTIF(K558:M575,$B595)+COUNTIF(K558:M575,$B595&amp;" ~*")&gt;0)+(IFERROR(INDEX(Setup!$G$33:$G$40,MATCH(O595,Setup!$B$33:$B$40,0)),0)=1)*(COUNTIF(O558:Q575,$B595)+COUNTIF(O558:Q575,$B595&amp;" ~*")&gt;0)+(IFERROR(INDEX(Setup!$G$33:$G$40,MATCH(S595,Setup!$B$33:$B$40,0)),0)=1)*(COUNTIF(S558:U575,$B595)+COUNTIF(S558:U575,$B595&amp;" ~*")&gt;0)+(IFERROR(INDEX(Setup!$G$33:$G$40,MATCH(W595,Setup!$B$33:$B$40,0)),0)=1)*(COUNTIF(W558:W575,$B595)+COUNTIF(W558:W575,$B595&amp;" ~*")&gt;0)+(IFERROR(INDEX(Setup!$G$33:$G$40,MATCH(Y595,Setup!$B$33:$B$40,0)),0)=1)*(COUNTIF(Y558:Y575,$B595)+COUNTIF(Y558:Y575,$B595&amp;" ~*")&gt;0))</f>
        <v/>
      </c>
    </row>
    <row r="596" ht="15" customHeight="1">
      <c r="A596" t="n">
        <v>12</v>
      </c>
      <c r="B596" s="37">
        <f>IF(Setup!$B$25="","",Setup!$B$25)</f>
        <v/>
      </c>
      <c r="C596" s="102" t="n"/>
      <c r="D596" s="103" t="n"/>
      <c r="E596" s="103" t="n"/>
      <c r="F596" s="104" t="n"/>
      <c r="G596" s="102" t="n"/>
      <c r="H596" s="103" t="n"/>
      <c r="I596" s="103" t="n"/>
      <c r="J596" s="104" t="n"/>
      <c r="K596" s="102" t="n"/>
      <c r="L596" s="103" t="n"/>
      <c r="M596" s="103" t="n"/>
      <c r="N596" s="104" t="n"/>
      <c r="O596" s="102" t="n"/>
      <c r="P596" s="103" t="n"/>
      <c r="Q596" s="103" t="n"/>
      <c r="R596" s="104" t="n"/>
      <c r="S596" s="102" t="n"/>
      <c r="T596" s="103" t="n"/>
      <c r="U596" s="103" t="n"/>
      <c r="V596" s="104" t="n"/>
      <c r="W596" s="102" t="n"/>
      <c r="X596" s="104" t="n"/>
      <c r="Y596" s="102" t="n"/>
      <c r="Z596" s="104" t="n"/>
      <c r="AB596" s="105">
        <f>IF($B596="","",(COUNTIF(C558:E575,$B596)+COUNTIF(C558:E575,$B596&amp;" ~*")&gt;0)+(COUNTIF(G558:I575,$B596)+COUNTIF(G558:I575,$B596&amp;" ~*")&gt;0)+(COUNTIF(K558:M575,$B596)+COUNTIF(K558:M575,$B596&amp;" ~*")&gt;0)+(COUNTIF(O558:Q575,$B596)+COUNTIF(O558:Q575,$B596&amp;" ~*")&gt;0)+(COUNTIF(S558:U575,$B596)+COUNTIF(S558:U575,$B596&amp;" ~*")&gt;0)+(COUNTIF(W558:W575,$B596)+COUNTIF(W558:W575,$B596&amp;" ~*")&gt;0)+(COUNTIF(Y558:Y575,$B596)+COUNTIF(Y558:Y575,$B596&amp;" ~*")&gt;0))</f>
        <v/>
      </c>
      <c r="AC596" s="38">
        <f>IF($B596="","",(IFERROR(INDEX(Setup!$G$33:$G$40,MATCH(C596,Setup!$B$33:$B$40,0)),0)=1)*(COUNTIF(C558:E575,$B596)+COUNTIF(C558:E575,$B596&amp;" ~*")&gt;0)+(IFERROR(INDEX(Setup!$G$33:$G$40,MATCH(G596,Setup!$B$33:$B$40,0)),0)=1)*(COUNTIF(G558:I575,$B596)+COUNTIF(G558:I575,$B596&amp;" ~*")&gt;0)+(IFERROR(INDEX(Setup!$G$33:$G$40,MATCH(K596,Setup!$B$33:$B$40,0)),0)=1)*(COUNTIF(K558:M575,$B596)+COUNTIF(K558:M575,$B596&amp;" ~*")&gt;0)+(IFERROR(INDEX(Setup!$G$33:$G$40,MATCH(O596,Setup!$B$33:$B$40,0)),0)=1)*(COUNTIF(O558:Q575,$B596)+COUNTIF(O558:Q575,$B596&amp;" ~*")&gt;0)+(IFERROR(INDEX(Setup!$G$33:$G$40,MATCH(S596,Setup!$B$33:$B$40,0)),0)=1)*(COUNTIF(S558:U575,$B596)+COUNTIF(S558:U575,$B596&amp;" ~*")&gt;0)+(IFERROR(INDEX(Setup!$G$33:$G$40,MATCH(W596,Setup!$B$33:$B$40,0)),0)=1)*(COUNTIF(W558:W575,$B596)+COUNTIF(W558:W575,$B596&amp;" ~*")&gt;0)+(IFERROR(INDEX(Setup!$G$33:$G$40,MATCH(Y596,Setup!$B$33:$B$40,0)),0)=1)*(COUNTIF(Y558:Y575,$B596)+COUNTIF(Y558:Y575,$B596&amp;" ~*")&gt;0))</f>
        <v/>
      </c>
    </row>
    <row r="597" ht="15" customHeight="1">
      <c r="A597" t="n">
        <v>12</v>
      </c>
      <c r="B597" s="35">
        <f>IF(Setup!$B$26="","",Setup!$B$26)</f>
        <v/>
      </c>
      <c r="C597" s="98" t="n"/>
      <c r="D597" s="99" t="n"/>
      <c r="E597" s="99" t="n"/>
      <c r="F597" s="100" t="n"/>
      <c r="G597" s="98" t="n"/>
      <c r="H597" s="99" t="n"/>
      <c r="I597" s="99" t="n"/>
      <c r="J597" s="100" t="n"/>
      <c r="K597" s="98" t="n"/>
      <c r="L597" s="99" t="n"/>
      <c r="M597" s="99" t="n"/>
      <c r="N597" s="100" t="n"/>
      <c r="O597" s="98" t="n"/>
      <c r="P597" s="99" t="n"/>
      <c r="Q597" s="99" t="n"/>
      <c r="R597" s="100" t="n"/>
      <c r="S597" s="98" t="n"/>
      <c r="T597" s="99" t="n"/>
      <c r="U597" s="99" t="n"/>
      <c r="V597" s="100" t="n"/>
      <c r="W597" s="98" t="n"/>
      <c r="X597" s="100" t="n"/>
      <c r="Y597" s="98" t="n"/>
      <c r="Z597" s="100" t="n"/>
      <c r="AB597" s="101">
        <f>IF($B597="","",(COUNTIF(C558:E575,$B597)+COUNTIF(C558:E575,$B597&amp;" ~*")&gt;0)+(COUNTIF(G558:I575,$B597)+COUNTIF(G558:I575,$B597&amp;" ~*")&gt;0)+(COUNTIF(K558:M575,$B597)+COUNTIF(K558:M575,$B597&amp;" ~*")&gt;0)+(COUNTIF(O558:Q575,$B597)+COUNTIF(O558:Q575,$B597&amp;" ~*")&gt;0)+(COUNTIF(S558:U575,$B597)+COUNTIF(S558:U575,$B597&amp;" ~*")&gt;0)+(COUNTIF(W558:W575,$B597)+COUNTIF(W558:W575,$B597&amp;" ~*")&gt;0)+(COUNTIF(Y558:Y575,$B597)+COUNTIF(Y558:Y575,$B597&amp;" ~*")&gt;0))</f>
        <v/>
      </c>
      <c r="AC597" s="36">
        <f>IF($B597="","",(IFERROR(INDEX(Setup!$G$33:$G$40,MATCH(C597,Setup!$B$33:$B$40,0)),0)=1)*(COUNTIF(C558:E575,$B597)+COUNTIF(C558:E575,$B597&amp;" ~*")&gt;0)+(IFERROR(INDEX(Setup!$G$33:$G$40,MATCH(G597,Setup!$B$33:$B$40,0)),0)=1)*(COUNTIF(G558:I575,$B597)+COUNTIF(G558:I575,$B597&amp;" ~*")&gt;0)+(IFERROR(INDEX(Setup!$G$33:$G$40,MATCH(K597,Setup!$B$33:$B$40,0)),0)=1)*(COUNTIF(K558:M575,$B597)+COUNTIF(K558:M575,$B597&amp;" ~*")&gt;0)+(IFERROR(INDEX(Setup!$G$33:$G$40,MATCH(O597,Setup!$B$33:$B$40,0)),0)=1)*(COUNTIF(O558:Q575,$B597)+COUNTIF(O558:Q575,$B597&amp;" ~*")&gt;0)+(IFERROR(INDEX(Setup!$G$33:$G$40,MATCH(S597,Setup!$B$33:$B$40,0)),0)=1)*(COUNTIF(S558:U575,$B597)+COUNTIF(S558:U575,$B597&amp;" ~*")&gt;0)+(IFERROR(INDEX(Setup!$G$33:$G$40,MATCH(W597,Setup!$B$33:$B$40,0)),0)=1)*(COUNTIF(W558:W575,$B597)+COUNTIF(W558:W575,$B597&amp;" ~*")&gt;0)+(IFERROR(INDEX(Setup!$G$33:$G$40,MATCH(Y597,Setup!$B$33:$B$40,0)),0)=1)*(COUNTIF(Y558:Y575,$B597)+COUNTIF(Y558:Y575,$B597&amp;" ~*")&gt;0))</f>
        <v/>
      </c>
    </row>
    <row r="598" ht="15" customHeight="1">
      <c r="A598" t="n">
        <v>12</v>
      </c>
      <c r="B598" s="37">
        <f>IF(Setup!$B$27="","",Setup!$B$27)</f>
        <v/>
      </c>
      <c r="C598" s="102" t="n"/>
      <c r="D598" s="103" t="n"/>
      <c r="E598" s="103" t="n"/>
      <c r="F598" s="104" t="n"/>
      <c r="G598" s="102" t="n"/>
      <c r="H598" s="103" t="n"/>
      <c r="I598" s="103" t="n"/>
      <c r="J598" s="104" t="n"/>
      <c r="K598" s="102" t="n"/>
      <c r="L598" s="103" t="n"/>
      <c r="M598" s="103" t="n"/>
      <c r="N598" s="104" t="n"/>
      <c r="O598" s="102" t="n"/>
      <c r="P598" s="103" t="n"/>
      <c r="Q598" s="103" t="n"/>
      <c r="R598" s="104" t="n"/>
      <c r="S598" s="102" t="n"/>
      <c r="T598" s="103" t="n"/>
      <c r="U598" s="103" t="n"/>
      <c r="V598" s="104" t="n"/>
      <c r="W598" s="102" t="n"/>
      <c r="X598" s="104" t="n"/>
      <c r="Y598" s="102" t="n"/>
      <c r="Z598" s="104" t="n"/>
      <c r="AB598" s="105">
        <f>IF($B598="","",(COUNTIF(C558:E575,$B598)+COUNTIF(C558:E575,$B598&amp;" ~*")&gt;0)+(COUNTIF(G558:I575,$B598)+COUNTIF(G558:I575,$B598&amp;" ~*")&gt;0)+(COUNTIF(K558:M575,$B598)+COUNTIF(K558:M575,$B598&amp;" ~*")&gt;0)+(COUNTIF(O558:Q575,$B598)+COUNTIF(O558:Q575,$B598&amp;" ~*")&gt;0)+(COUNTIF(S558:U575,$B598)+COUNTIF(S558:U575,$B598&amp;" ~*")&gt;0)+(COUNTIF(W558:W575,$B598)+COUNTIF(W558:W575,$B598&amp;" ~*")&gt;0)+(COUNTIF(Y558:Y575,$B598)+COUNTIF(Y558:Y575,$B598&amp;" ~*")&gt;0))</f>
        <v/>
      </c>
      <c r="AC598" s="38">
        <f>IF($B598="","",(IFERROR(INDEX(Setup!$G$33:$G$40,MATCH(C598,Setup!$B$33:$B$40,0)),0)=1)*(COUNTIF(C558:E575,$B598)+COUNTIF(C558:E575,$B598&amp;" ~*")&gt;0)+(IFERROR(INDEX(Setup!$G$33:$G$40,MATCH(G598,Setup!$B$33:$B$40,0)),0)=1)*(COUNTIF(G558:I575,$B598)+COUNTIF(G558:I575,$B598&amp;" ~*")&gt;0)+(IFERROR(INDEX(Setup!$G$33:$G$40,MATCH(K598,Setup!$B$33:$B$40,0)),0)=1)*(COUNTIF(K558:M575,$B598)+COUNTIF(K558:M575,$B598&amp;" ~*")&gt;0)+(IFERROR(INDEX(Setup!$G$33:$G$40,MATCH(O598,Setup!$B$33:$B$40,0)),0)=1)*(COUNTIF(O558:Q575,$B598)+COUNTIF(O558:Q575,$B598&amp;" ~*")&gt;0)+(IFERROR(INDEX(Setup!$G$33:$G$40,MATCH(S598,Setup!$B$33:$B$40,0)),0)=1)*(COUNTIF(S558:U575,$B598)+COUNTIF(S558:U575,$B598&amp;" ~*")&gt;0)+(IFERROR(INDEX(Setup!$G$33:$G$40,MATCH(W598,Setup!$B$33:$B$40,0)),0)=1)*(COUNTIF(W558:W575,$B598)+COUNTIF(W558:W575,$B598&amp;" ~*")&gt;0)+(IFERROR(INDEX(Setup!$G$33:$G$40,MATCH(Y598,Setup!$B$33:$B$40,0)),0)=1)*(COUNTIF(Y558:Y575,$B598)+COUNTIF(Y558:Y575,$B598&amp;" ~*")&gt;0))</f>
        <v/>
      </c>
    </row>
    <row r="599" ht="15" customHeight="1">
      <c r="A599" t="n">
        <v>12</v>
      </c>
      <c r="B599" s="35">
        <f>IF(Setup!$B$28="","",Setup!$B$28)</f>
        <v/>
      </c>
      <c r="C599" s="98" t="n"/>
      <c r="D599" s="99" t="n"/>
      <c r="E599" s="99" t="n"/>
      <c r="F599" s="100" t="n"/>
      <c r="G599" s="98" t="n"/>
      <c r="H599" s="99" t="n"/>
      <c r="I599" s="99" t="n"/>
      <c r="J599" s="100" t="n"/>
      <c r="K599" s="98" t="n"/>
      <c r="L599" s="99" t="n"/>
      <c r="M599" s="99" t="n"/>
      <c r="N599" s="100" t="n"/>
      <c r="O599" s="98" t="n"/>
      <c r="P599" s="99" t="n"/>
      <c r="Q599" s="99" t="n"/>
      <c r="R599" s="100" t="n"/>
      <c r="S599" s="98" t="n"/>
      <c r="T599" s="99" t="n"/>
      <c r="U599" s="99" t="n"/>
      <c r="V599" s="100" t="n"/>
      <c r="W599" s="98" t="n"/>
      <c r="X599" s="100" t="n"/>
      <c r="Y599" s="98" t="n"/>
      <c r="Z599" s="100" t="n"/>
      <c r="AB599" s="101">
        <f>IF($B599="","",(COUNTIF(C558:E575,$B599)+COUNTIF(C558:E575,$B599&amp;" ~*")&gt;0)+(COUNTIF(G558:I575,$B599)+COUNTIF(G558:I575,$B599&amp;" ~*")&gt;0)+(COUNTIF(K558:M575,$B599)+COUNTIF(K558:M575,$B599&amp;" ~*")&gt;0)+(COUNTIF(O558:Q575,$B599)+COUNTIF(O558:Q575,$B599&amp;" ~*")&gt;0)+(COUNTIF(S558:U575,$B599)+COUNTIF(S558:U575,$B599&amp;" ~*")&gt;0)+(COUNTIF(W558:W575,$B599)+COUNTIF(W558:W575,$B599&amp;" ~*")&gt;0)+(COUNTIF(Y558:Y575,$B599)+COUNTIF(Y558:Y575,$B599&amp;" ~*")&gt;0))</f>
        <v/>
      </c>
      <c r="AC599" s="36">
        <f>IF($B599="","",(IFERROR(INDEX(Setup!$G$33:$G$40,MATCH(C599,Setup!$B$33:$B$40,0)),0)=1)*(COUNTIF(C558:E575,$B599)+COUNTIF(C558:E575,$B599&amp;" ~*")&gt;0)+(IFERROR(INDEX(Setup!$G$33:$G$40,MATCH(G599,Setup!$B$33:$B$40,0)),0)=1)*(COUNTIF(G558:I575,$B599)+COUNTIF(G558:I575,$B599&amp;" ~*")&gt;0)+(IFERROR(INDEX(Setup!$G$33:$G$40,MATCH(K599,Setup!$B$33:$B$40,0)),0)=1)*(COUNTIF(K558:M575,$B599)+COUNTIF(K558:M575,$B599&amp;" ~*")&gt;0)+(IFERROR(INDEX(Setup!$G$33:$G$40,MATCH(O599,Setup!$B$33:$B$40,0)),0)=1)*(COUNTIF(O558:Q575,$B599)+COUNTIF(O558:Q575,$B599&amp;" ~*")&gt;0)+(IFERROR(INDEX(Setup!$G$33:$G$40,MATCH(S599,Setup!$B$33:$B$40,0)),0)=1)*(COUNTIF(S558:U575,$B599)+COUNTIF(S558:U575,$B599&amp;" ~*")&gt;0)+(IFERROR(INDEX(Setup!$G$33:$G$40,MATCH(W599,Setup!$B$33:$B$40,0)),0)=1)*(COUNTIF(W558:W575,$B599)+COUNTIF(W558:W575,$B599&amp;" ~*")&gt;0)+(IFERROR(INDEX(Setup!$G$33:$G$40,MATCH(Y599,Setup!$B$33:$B$40,0)),0)=1)*(COUNTIF(Y558:Y575,$B599)+COUNTIF(Y558:Y575,$B599&amp;" ~*")&gt;0))</f>
        <v/>
      </c>
    </row>
    <row r="600" ht="15" customHeight="1">
      <c r="A600" t="n">
        <v>12</v>
      </c>
      <c r="B600" s="37">
        <f>IF(Setup!$B$29="","",Setup!$B$29)</f>
        <v/>
      </c>
      <c r="C600" s="102" t="n"/>
      <c r="D600" s="103" t="n"/>
      <c r="E600" s="103" t="n"/>
      <c r="F600" s="104" t="n"/>
      <c r="G600" s="102" t="n"/>
      <c r="H600" s="103" t="n"/>
      <c r="I600" s="103" t="n"/>
      <c r="J600" s="104" t="n"/>
      <c r="K600" s="102" t="n"/>
      <c r="L600" s="103" t="n"/>
      <c r="M600" s="103" t="n"/>
      <c r="N600" s="104" t="n"/>
      <c r="O600" s="102" t="n"/>
      <c r="P600" s="103" t="n"/>
      <c r="Q600" s="103" t="n"/>
      <c r="R600" s="104" t="n"/>
      <c r="S600" s="102" t="n"/>
      <c r="T600" s="103" t="n"/>
      <c r="U600" s="103" t="n"/>
      <c r="V600" s="104" t="n"/>
      <c r="W600" s="102" t="n"/>
      <c r="X600" s="104" t="n"/>
      <c r="Y600" s="102" t="n"/>
      <c r="Z600" s="104" t="n"/>
      <c r="AB600" s="105">
        <f>IF($B600="","",(COUNTIF(C558:E575,$B600)+COUNTIF(C558:E575,$B600&amp;" ~*")&gt;0)+(COUNTIF(G558:I575,$B600)+COUNTIF(G558:I575,$B600&amp;" ~*")&gt;0)+(COUNTIF(K558:M575,$B600)+COUNTIF(K558:M575,$B600&amp;" ~*")&gt;0)+(COUNTIF(O558:Q575,$B600)+COUNTIF(O558:Q575,$B600&amp;" ~*")&gt;0)+(COUNTIF(S558:U575,$B600)+COUNTIF(S558:U575,$B600&amp;" ~*")&gt;0)+(COUNTIF(W558:W575,$B600)+COUNTIF(W558:W575,$B600&amp;" ~*")&gt;0)+(COUNTIF(Y558:Y575,$B600)+COUNTIF(Y558:Y575,$B600&amp;" ~*")&gt;0))</f>
        <v/>
      </c>
      <c r="AC600" s="38">
        <f>IF($B600="","",(IFERROR(INDEX(Setup!$G$33:$G$40,MATCH(C600,Setup!$B$33:$B$40,0)),0)=1)*(COUNTIF(C558:E575,$B600)+COUNTIF(C558:E575,$B600&amp;" ~*")&gt;0)+(IFERROR(INDEX(Setup!$G$33:$G$40,MATCH(G600,Setup!$B$33:$B$40,0)),0)=1)*(COUNTIF(G558:I575,$B600)+COUNTIF(G558:I575,$B600&amp;" ~*")&gt;0)+(IFERROR(INDEX(Setup!$G$33:$G$40,MATCH(K600,Setup!$B$33:$B$40,0)),0)=1)*(COUNTIF(K558:M575,$B600)+COUNTIF(K558:M575,$B600&amp;" ~*")&gt;0)+(IFERROR(INDEX(Setup!$G$33:$G$40,MATCH(O600,Setup!$B$33:$B$40,0)),0)=1)*(COUNTIF(O558:Q575,$B600)+COUNTIF(O558:Q575,$B600&amp;" ~*")&gt;0)+(IFERROR(INDEX(Setup!$G$33:$G$40,MATCH(S600,Setup!$B$33:$B$40,0)),0)=1)*(COUNTIF(S558:U575,$B600)+COUNTIF(S558:U575,$B600&amp;" ~*")&gt;0)+(IFERROR(INDEX(Setup!$G$33:$G$40,MATCH(W600,Setup!$B$33:$B$40,0)),0)=1)*(COUNTIF(W558:W575,$B600)+COUNTIF(W558:W575,$B600&amp;" ~*")&gt;0)+(IFERROR(INDEX(Setup!$G$33:$G$40,MATCH(Y600,Setup!$B$33:$B$40,0)),0)=1)*(COUNTIF(Y558:Y575,$B600)+COUNTIF(Y558:Y575,$B600&amp;" ~*")&gt;0))</f>
        <v/>
      </c>
    </row>
    <row r="601" ht="16" customHeight="1">
      <c r="A601" t="n">
        <v>12</v>
      </c>
      <c r="B601" s="106" t="inlineStr">
        <is>
          <t>Available people</t>
        </is>
      </c>
      <c r="C601" s="107">
        <f>COUNTIFS(Setup!$E$6:$E$29,"Y",Setup!$B$6:$B$29,"?*")-SUMPRODUCT(COUNTIF(C577:C600,Setup!$F$33:$F$40))</f>
        <v/>
      </c>
      <c r="D601" s="107" t="n"/>
      <c r="E601" s="107" t="n"/>
      <c r="F601" s="107" t="n"/>
      <c r="G601" s="107">
        <f>COUNTIFS(Setup!$E$6:$E$29,"Y",Setup!$B$6:$B$29,"?*")-SUMPRODUCT(COUNTIF(G577:G600,Setup!$F$33:$F$40))</f>
        <v/>
      </c>
      <c r="H601" s="107" t="n"/>
      <c r="I601" s="107" t="n"/>
      <c r="J601" s="107" t="n"/>
      <c r="K601" s="107">
        <f>COUNTIFS(Setup!$E$6:$E$29,"Y",Setup!$B$6:$B$29,"?*")-SUMPRODUCT(COUNTIF(K577:K600,Setup!$F$33:$F$40))</f>
        <v/>
      </c>
      <c r="L601" s="107" t="n"/>
      <c r="M601" s="107" t="n"/>
      <c r="N601" s="107" t="n"/>
      <c r="O601" s="107">
        <f>COUNTIFS(Setup!$E$6:$E$29,"Y",Setup!$B$6:$B$29,"?*")-SUMPRODUCT(COUNTIF(O577:O600,Setup!$F$33:$F$40))</f>
        <v/>
      </c>
      <c r="P601" s="107" t="n"/>
      <c r="Q601" s="107" t="n"/>
      <c r="R601" s="107" t="n"/>
      <c r="S601" s="107">
        <f>COUNTIFS(Setup!$E$6:$E$29,"Y",Setup!$B$6:$B$29,"?*")-SUMPRODUCT(COUNTIF(S577:S600,Setup!$F$33:$F$40))</f>
        <v/>
      </c>
      <c r="T601" s="107" t="n"/>
      <c r="U601" s="107" t="n"/>
      <c r="V601" s="107" t="n"/>
      <c r="W601" s="107">
        <f>COUNTIFS(Setup!$E$6:$E$29,"Y",Setup!$B$6:$B$29,"?*")-SUMPRODUCT(COUNTIF(W577:W600,Setup!$F$33:$F$40))</f>
        <v/>
      </c>
      <c r="X601" s="107" t="n"/>
      <c r="Y601" s="107">
        <f>COUNTIFS(Setup!$E$6:$E$29,"Y",Setup!$B$6:$B$29,"?*")-SUMPRODUCT(COUNTIF(Y577:Y600,Setup!$F$33:$F$40))</f>
        <v/>
      </c>
      <c r="Z601" s="107" t="n"/>
      <c r="AB601" s="108">
        <f>SUM(AB577:AB600)</f>
        <v/>
      </c>
      <c r="AC601" s="109">
        <f>SUM(AC577:AC600)</f>
        <v/>
      </c>
    </row>
    <row r="602" ht="30" customHeight="1">
      <c r="A602" t="n">
        <v>12</v>
      </c>
      <c r="B602" s="110" t="inlineStr">
        <is>
          <t>Week notes</t>
        </is>
      </c>
      <c r="C602" s="111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112" t="n"/>
      <c r="R602" s="112" t="n"/>
      <c r="S602" s="112" t="n"/>
      <c r="T602" s="112" t="n"/>
      <c r="U602" s="112" t="n"/>
      <c r="V602" s="112" t="n"/>
      <c r="W602" s="112" t="n"/>
      <c r="X602" s="112" t="n"/>
      <c r="Y602" s="112" t="n"/>
      <c r="Z602" s="113" t="n"/>
    </row>
    <row r="603" ht="8" customHeight="1">
      <c r="A603" t="n">
        <v>12</v>
      </c>
    </row>
    <row r="604" ht="8" customHeight="1">
      <c r="A604" t="n">
        <v>12</v>
      </c>
    </row>
    <row r="605" ht="24" customHeight="1">
      <c r="A605" t="n">
        <v>13</v>
      </c>
      <c r="B605" s="73">
        <f>"WEEK 13     "&amp;TEXT(C606,"ddd d mmm")&amp;"  –  "&amp;TEXT(C606+6,"ddd d mmm yyyy")</f>
        <v/>
      </c>
      <c r="S605" s="74">
        <f>IF(TODAY()&lt;C606,"FUTURE",IF(TODAY()&gt;C606+6,"PAST","THIS WEEK"))</f>
        <v/>
      </c>
      <c r="W605" s="75">
        <f>IF(AND(Engine!$B$8=$AC$3,Engine!$B$9=$A605),"◀ ACTIVE WEEK","")</f>
        <v/>
      </c>
      <c r="AA605" s="76" t="n"/>
      <c r="AB605" s="77" t="inlineStr">
        <is>
          <t>◀ Prev</t>
        </is>
      </c>
      <c r="AC605" s="77" t="inlineStr">
        <is>
          <t>Next ▶</t>
        </is>
      </c>
    </row>
    <row r="606" ht="18" customHeight="1">
      <c r="A606" t="n">
        <v>13</v>
      </c>
      <c r="B606" s="78" t="inlineStr">
        <is>
          <t>DUTY</t>
        </is>
      </c>
      <c r="C606" s="79">
        <f>$AC$2+7*($A606-1)</f>
        <v/>
      </c>
      <c r="D606" s="80" t="n"/>
      <c r="E606" s="80" t="n"/>
      <c r="F606" s="81" t="n"/>
      <c r="G606" s="79">
        <f>C606+1</f>
        <v/>
      </c>
      <c r="H606" s="80" t="n"/>
      <c r="I606" s="80" t="n"/>
      <c r="J606" s="81" t="n"/>
      <c r="K606" s="79">
        <f>C606+2</f>
        <v/>
      </c>
      <c r="L606" s="80" t="n"/>
      <c r="M606" s="80" t="n"/>
      <c r="N606" s="81" t="n"/>
      <c r="O606" s="79">
        <f>C606+3</f>
        <v/>
      </c>
      <c r="P606" s="80" t="n"/>
      <c r="Q606" s="80" t="n"/>
      <c r="R606" s="81" t="n"/>
      <c r="S606" s="79">
        <f>C606+4</f>
        <v/>
      </c>
      <c r="T606" s="80" t="n"/>
      <c r="U606" s="80" t="n"/>
      <c r="V606" s="81" t="n"/>
      <c r="W606" s="82">
        <f>C606+5</f>
        <v/>
      </c>
      <c r="X606" s="83" t="n"/>
      <c r="Y606" s="82">
        <f>C606+6</f>
        <v/>
      </c>
      <c r="Z606" s="83" t="n"/>
      <c r="AB606" s="72" t="inlineStr">
        <is>
          <t>Gaps</t>
        </is>
      </c>
      <c r="AC606" s="72" t="inlineStr">
        <is>
          <t>Cover</t>
        </is>
      </c>
    </row>
    <row r="607" ht="14" customHeight="1">
      <c r="A607" t="n">
        <v>13</v>
      </c>
      <c r="B607" s="84" t="inlineStr">
        <is>
          <t>(from Setup)</t>
        </is>
      </c>
      <c r="C607" s="85" t="inlineStr">
        <is>
          <t>1</t>
        </is>
      </c>
      <c r="D607" s="85" t="inlineStr">
        <is>
          <t>2</t>
        </is>
      </c>
      <c r="E607" s="85" t="inlineStr">
        <is>
          <t>3</t>
        </is>
      </c>
      <c r="F607" s="85" t="inlineStr">
        <is>
          <t>Notes</t>
        </is>
      </c>
      <c r="G607" s="85" t="inlineStr">
        <is>
          <t>1</t>
        </is>
      </c>
      <c r="H607" s="85" t="inlineStr">
        <is>
          <t>2</t>
        </is>
      </c>
      <c r="I607" s="85" t="inlineStr">
        <is>
          <t>3</t>
        </is>
      </c>
      <c r="J607" s="85" t="inlineStr">
        <is>
          <t>Notes</t>
        </is>
      </c>
      <c r="K607" s="85" t="inlineStr">
        <is>
          <t>1</t>
        </is>
      </c>
      <c r="L607" s="85" t="inlineStr">
        <is>
          <t>2</t>
        </is>
      </c>
      <c r="M607" s="85" t="inlineStr">
        <is>
          <t>3</t>
        </is>
      </c>
      <c r="N607" s="85" t="inlineStr">
        <is>
          <t>Notes</t>
        </is>
      </c>
      <c r="O607" s="85" t="inlineStr">
        <is>
          <t>1</t>
        </is>
      </c>
      <c r="P607" s="85" t="inlineStr">
        <is>
          <t>2</t>
        </is>
      </c>
      <c r="Q607" s="85" t="inlineStr">
        <is>
          <t>3</t>
        </is>
      </c>
      <c r="R607" s="85" t="inlineStr">
        <is>
          <t>Notes</t>
        </is>
      </c>
      <c r="S607" s="85" t="inlineStr">
        <is>
          <t>1</t>
        </is>
      </c>
      <c r="T607" s="85" t="inlineStr">
        <is>
          <t>2</t>
        </is>
      </c>
      <c r="U607" s="85" t="inlineStr">
        <is>
          <t>3</t>
        </is>
      </c>
      <c r="V607" s="85" t="inlineStr">
        <is>
          <t>Notes</t>
        </is>
      </c>
      <c r="W607" s="85" t="inlineStr">
        <is>
          <t>Cover</t>
        </is>
      </c>
      <c r="X607" s="85" t="inlineStr">
        <is>
          <t>Notes</t>
        </is>
      </c>
      <c r="Y607" s="85" t="inlineStr">
        <is>
          <t>Cover</t>
        </is>
      </c>
      <c r="Z607" s="85" t="inlineStr">
        <is>
          <t>Notes</t>
        </is>
      </c>
      <c r="AB607" s="86" t="inlineStr">
        <is>
          <t>weekdays short</t>
        </is>
      </c>
      <c r="AC607" s="87" t="inlineStr"/>
    </row>
    <row r="608" ht="17" customHeight="1">
      <c r="A608" t="n">
        <v>13</v>
      </c>
      <c r="B608" s="24">
        <f>IF(Setup!$K$6="","",Setup!$K$6)</f>
        <v/>
      </c>
      <c r="C608" s="88" t="n"/>
      <c r="D608" s="88" t="n"/>
      <c r="E608" s="88" t="n"/>
      <c r="F608" s="89" t="n"/>
      <c r="G608" s="88" t="n"/>
      <c r="H608" s="88" t="n"/>
      <c r="I608" s="88" t="n"/>
      <c r="J608" s="89" t="n"/>
      <c r="K608" s="88" t="n"/>
      <c r="L608" s="88" t="n"/>
      <c r="M608" s="88" t="n"/>
      <c r="N608" s="89" t="n"/>
      <c r="O608" s="88" t="n"/>
      <c r="P608" s="88" t="n"/>
      <c r="Q608" s="88" t="n"/>
      <c r="R608" s="89" t="n"/>
      <c r="S608" s="88" t="n"/>
      <c r="T608" s="88" t="n"/>
      <c r="U608" s="88" t="n"/>
      <c r="V608" s="89" t="n"/>
      <c r="W608" s="88" t="n"/>
      <c r="X608" s="89" t="n"/>
      <c r="Y608" s="88" t="n"/>
      <c r="Z608" s="89" t="n"/>
      <c r="AB608" s="25">
        <f>IF($B608="","",(COUNTIF(C608:E608,"?*")&lt;N(INDEX(Setup!$L$6:$L$23,1)))+(COUNTIF(G608:I608,"?*")&lt;N(INDEX(Setup!$L$6:$L$23,1)))+(COUNTIF(K608:M608,"?*")&lt;N(INDEX(Setup!$L$6:$L$23,1)))+(COUNTIF(O608:Q608,"?*")&lt;N(INDEX(Setup!$L$6:$L$23,1)))+(COUNTIF(S608:U608,"?*")&lt;N(INDEX(Setup!$L$6:$L$23,1)))+((W608="")*(INDEX(Setup!$M$6:$M$23,1)="Y"))+((Y608="")*(INDEX(Setup!$M$6:$M$23,1)="Y")))</f>
        <v/>
      </c>
      <c r="AC608" s="90">
        <f>IF($B608="","",IF(AB608=0,"✓ covered","⚠ "&amp;AB608&amp;IF(AB608=1," gap"," gaps")))</f>
        <v/>
      </c>
    </row>
    <row r="609" ht="17" customHeight="1">
      <c r="A609" t="n">
        <v>13</v>
      </c>
      <c r="B609" s="29">
        <f>IF(Setup!$K$7="","",Setup!$K$7)</f>
        <v/>
      </c>
      <c r="C609" s="88" t="n"/>
      <c r="D609" s="88" t="n"/>
      <c r="E609" s="88" t="n"/>
      <c r="F609" s="89" t="n"/>
      <c r="G609" s="88" t="n"/>
      <c r="H609" s="88" t="n"/>
      <c r="I609" s="88" t="n"/>
      <c r="J609" s="89" t="n"/>
      <c r="K609" s="88" t="n"/>
      <c r="L609" s="88" t="n"/>
      <c r="M609" s="88" t="n"/>
      <c r="N609" s="89" t="n"/>
      <c r="O609" s="88" t="n"/>
      <c r="P609" s="88" t="n"/>
      <c r="Q609" s="88" t="n"/>
      <c r="R609" s="89" t="n"/>
      <c r="S609" s="88" t="n"/>
      <c r="T609" s="88" t="n"/>
      <c r="U609" s="88" t="n"/>
      <c r="V609" s="89" t="n"/>
      <c r="W609" s="88" t="n"/>
      <c r="X609" s="89" t="n"/>
      <c r="Y609" s="88" t="n"/>
      <c r="Z609" s="89" t="n"/>
      <c r="AB609" s="30">
        <f>IF($B609="","",(COUNTIF(C609:E609,"?*")&lt;N(INDEX(Setup!$L$6:$L$23,2)))+(COUNTIF(G609:I609,"?*")&lt;N(INDEX(Setup!$L$6:$L$23,2)))+(COUNTIF(K609:M609,"?*")&lt;N(INDEX(Setup!$L$6:$L$23,2)))+(COUNTIF(O609:Q609,"?*")&lt;N(INDEX(Setup!$L$6:$L$23,2)))+(COUNTIF(S609:U609,"?*")&lt;N(INDEX(Setup!$L$6:$L$23,2)))+((W609="")*(INDEX(Setup!$M$6:$M$23,2)="Y"))+((Y609="")*(INDEX(Setup!$M$6:$M$23,2)="Y")))</f>
        <v/>
      </c>
      <c r="AC609" s="91">
        <f>IF($B609="","",IF(AB609=0,"✓ covered","⚠ "&amp;AB609&amp;IF(AB609=1," gap"," gaps")))</f>
        <v/>
      </c>
    </row>
    <row r="610" ht="17" customHeight="1">
      <c r="A610" t="n">
        <v>13</v>
      </c>
      <c r="B610" s="24">
        <f>IF(Setup!$K$8="","",Setup!$K$8)</f>
        <v/>
      </c>
      <c r="C610" s="88" t="n"/>
      <c r="D610" s="88" t="n"/>
      <c r="E610" s="88" t="n"/>
      <c r="F610" s="89" t="n"/>
      <c r="G610" s="88" t="n"/>
      <c r="H610" s="88" t="n"/>
      <c r="I610" s="88" t="n"/>
      <c r="J610" s="89" t="n"/>
      <c r="K610" s="88" t="n"/>
      <c r="L610" s="88" t="n"/>
      <c r="M610" s="88" t="n"/>
      <c r="N610" s="89" t="n"/>
      <c r="O610" s="88" t="n"/>
      <c r="P610" s="88" t="n"/>
      <c r="Q610" s="88" t="n"/>
      <c r="R610" s="89" t="n"/>
      <c r="S610" s="88" t="n"/>
      <c r="T610" s="88" t="n"/>
      <c r="U610" s="88" t="n"/>
      <c r="V610" s="89" t="n"/>
      <c r="W610" s="88" t="n"/>
      <c r="X610" s="89" t="n"/>
      <c r="Y610" s="88" t="n"/>
      <c r="Z610" s="89" t="n"/>
      <c r="AB610" s="25">
        <f>IF($B610="","",(COUNTIF(C610:E610,"?*")&lt;N(INDEX(Setup!$L$6:$L$23,3)))+(COUNTIF(G610:I610,"?*")&lt;N(INDEX(Setup!$L$6:$L$23,3)))+(COUNTIF(K610:M610,"?*")&lt;N(INDEX(Setup!$L$6:$L$23,3)))+(COUNTIF(O610:Q610,"?*")&lt;N(INDEX(Setup!$L$6:$L$23,3)))+(COUNTIF(S610:U610,"?*")&lt;N(INDEX(Setup!$L$6:$L$23,3)))+((W610="")*(INDEX(Setup!$M$6:$M$23,3)="Y"))+((Y610="")*(INDEX(Setup!$M$6:$M$23,3)="Y")))</f>
        <v/>
      </c>
      <c r="AC610" s="90">
        <f>IF($B610="","",IF(AB610=0,"✓ covered","⚠ "&amp;AB610&amp;IF(AB610=1," gap"," gaps")))</f>
        <v/>
      </c>
    </row>
    <row r="611" ht="17" customHeight="1">
      <c r="A611" t="n">
        <v>13</v>
      </c>
      <c r="B611" s="29">
        <f>IF(Setup!$K$9="","",Setup!$K$9)</f>
        <v/>
      </c>
      <c r="C611" s="88" t="n"/>
      <c r="D611" s="88" t="n"/>
      <c r="E611" s="88" t="n"/>
      <c r="F611" s="89" t="n"/>
      <c r="G611" s="88" t="n"/>
      <c r="H611" s="88" t="n"/>
      <c r="I611" s="88" t="n"/>
      <c r="J611" s="89" t="n"/>
      <c r="K611" s="88" t="n"/>
      <c r="L611" s="88" t="n"/>
      <c r="M611" s="88" t="n"/>
      <c r="N611" s="89" t="n"/>
      <c r="O611" s="88" t="n"/>
      <c r="P611" s="88" t="n"/>
      <c r="Q611" s="88" t="n"/>
      <c r="R611" s="89" t="n"/>
      <c r="S611" s="88" t="n"/>
      <c r="T611" s="88" t="n"/>
      <c r="U611" s="88" t="n"/>
      <c r="V611" s="89" t="n"/>
      <c r="W611" s="88" t="n"/>
      <c r="X611" s="89" t="n"/>
      <c r="Y611" s="88" t="n"/>
      <c r="Z611" s="89" t="n"/>
      <c r="AB611" s="30">
        <f>IF($B611="","",(COUNTIF(C611:E611,"?*")&lt;N(INDEX(Setup!$L$6:$L$23,4)))+(COUNTIF(G611:I611,"?*")&lt;N(INDEX(Setup!$L$6:$L$23,4)))+(COUNTIF(K611:M611,"?*")&lt;N(INDEX(Setup!$L$6:$L$23,4)))+(COUNTIF(O611:Q611,"?*")&lt;N(INDEX(Setup!$L$6:$L$23,4)))+(COUNTIF(S611:U611,"?*")&lt;N(INDEX(Setup!$L$6:$L$23,4)))+((W611="")*(INDEX(Setup!$M$6:$M$23,4)="Y"))+((Y611="")*(INDEX(Setup!$M$6:$M$23,4)="Y")))</f>
        <v/>
      </c>
      <c r="AC611" s="91">
        <f>IF($B611="","",IF(AB611=0,"✓ covered","⚠ "&amp;AB611&amp;IF(AB611=1," gap"," gaps")))</f>
        <v/>
      </c>
    </row>
    <row r="612" ht="17" customHeight="1">
      <c r="A612" t="n">
        <v>13</v>
      </c>
      <c r="B612" s="24">
        <f>IF(Setup!$K$10="","",Setup!$K$10)</f>
        <v/>
      </c>
      <c r="C612" s="88" t="n"/>
      <c r="D612" s="88" t="n"/>
      <c r="E612" s="88" t="n"/>
      <c r="F612" s="89" t="n"/>
      <c r="G612" s="88" t="n"/>
      <c r="H612" s="88" t="n"/>
      <c r="I612" s="88" t="n"/>
      <c r="J612" s="89" t="n"/>
      <c r="K612" s="88" t="n"/>
      <c r="L612" s="88" t="n"/>
      <c r="M612" s="88" t="n"/>
      <c r="N612" s="89" t="n"/>
      <c r="O612" s="88" t="n"/>
      <c r="P612" s="88" t="n"/>
      <c r="Q612" s="88" t="n"/>
      <c r="R612" s="89" t="n"/>
      <c r="S612" s="88" t="n"/>
      <c r="T612" s="88" t="n"/>
      <c r="U612" s="88" t="n"/>
      <c r="V612" s="89" t="n"/>
      <c r="W612" s="88" t="n"/>
      <c r="X612" s="89" t="n"/>
      <c r="Y612" s="88" t="n"/>
      <c r="Z612" s="89" t="n"/>
      <c r="AB612" s="25">
        <f>IF($B612="","",(COUNTIF(C612:E612,"?*")&lt;N(INDEX(Setup!$L$6:$L$23,5)))+(COUNTIF(G612:I612,"?*")&lt;N(INDEX(Setup!$L$6:$L$23,5)))+(COUNTIF(K612:M612,"?*")&lt;N(INDEX(Setup!$L$6:$L$23,5)))+(COUNTIF(O612:Q612,"?*")&lt;N(INDEX(Setup!$L$6:$L$23,5)))+(COUNTIF(S612:U612,"?*")&lt;N(INDEX(Setup!$L$6:$L$23,5)))+((W612="")*(INDEX(Setup!$M$6:$M$23,5)="Y"))+((Y612="")*(INDEX(Setup!$M$6:$M$23,5)="Y")))</f>
        <v/>
      </c>
      <c r="AC612" s="90">
        <f>IF($B612="","",IF(AB612=0,"✓ covered","⚠ "&amp;AB612&amp;IF(AB612=1," gap"," gaps")))</f>
        <v/>
      </c>
    </row>
    <row r="613" ht="17" customHeight="1">
      <c r="A613" t="n">
        <v>13</v>
      </c>
      <c r="B613" s="29">
        <f>IF(Setup!$K$11="","",Setup!$K$11)</f>
        <v/>
      </c>
      <c r="C613" s="88" t="n"/>
      <c r="D613" s="88" t="n"/>
      <c r="E613" s="88" t="n"/>
      <c r="F613" s="89" t="n"/>
      <c r="G613" s="88" t="n"/>
      <c r="H613" s="88" t="n"/>
      <c r="I613" s="88" t="n"/>
      <c r="J613" s="89" t="n"/>
      <c r="K613" s="88" t="n"/>
      <c r="L613" s="88" t="n"/>
      <c r="M613" s="88" t="n"/>
      <c r="N613" s="89" t="n"/>
      <c r="O613" s="88" t="n"/>
      <c r="P613" s="88" t="n"/>
      <c r="Q613" s="88" t="n"/>
      <c r="R613" s="89" t="n"/>
      <c r="S613" s="88" t="n"/>
      <c r="T613" s="88" t="n"/>
      <c r="U613" s="88" t="n"/>
      <c r="V613" s="89" t="n"/>
      <c r="W613" s="88" t="n"/>
      <c r="X613" s="89" t="n"/>
      <c r="Y613" s="88" t="n"/>
      <c r="Z613" s="89" t="n"/>
      <c r="AB613" s="30">
        <f>IF($B613="","",(COUNTIF(C613:E613,"?*")&lt;N(INDEX(Setup!$L$6:$L$23,6)))+(COUNTIF(G613:I613,"?*")&lt;N(INDEX(Setup!$L$6:$L$23,6)))+(COUNTIF(K613:M613,"?*")&lt;N(INDEX(Setup!$L$6:$L$23,6)))+(COUNTIF(O613:Q613,"?*")&lt;N(INDEX(Setup!$L$6:$L$23,6)))+(COUNTIF(S613:U613,"?*")&lt;N(INDEX(Setup!$L$6:$L$23,6)))+((W613="")*(INDEX(Setup!$M$6:$M$23,6)="Y"))+((Y613="")*(INDEX(Setup!$M$6:$M$23,6)="Y")))</f>
        <v/>
      </c>
      <c r="AC613" s="91">
        <f>IF($B613="","",IF(AB613=0,"✓ covered","⚠ "&amp;AB613&amp;IF(AB613=1," gap"," gaps")))</f>
        <v/>
      </c>
    </row>
    <row r="614" ht="17" customHeight="1">
      <c r="A614" t="n">
        <v>13</v>
      </c>
      <c r="B614" s="24">
        <f>IF(Setup!$K$12="","",Setup!$K$12)</f>
        <v/>
      </c>
      <c r="C614" s="88" t="n"/>
      <c r="D614" s="88" t="n"/>
      <c r="E614" s="88" t="n"/>
      <c r="F614" s="89" t="n"/>
      <c r="G614" s="88" t="n"/>
      <c r="H614" s="88" t="n"/>
      <c r="I614" s="88" t="n"/>
      <c r="J614" s="89" t="n"/>
      <c r="K614" s="88" t="n"/>
      <c r="L614" s="88" t="n"/>
      <c r="M614" s="88" t="n"/>
      <c r="N614" s="89" t="n"/>
      <c r="O614" s="88" t="n"/>
      <c r="P614" s="88" t="n"/>
      <c r="Q614" s="88" t="n"/>
      <c r="R614" s="89" t="n"/>
      <c r="S614" s="88" t="n"/>
      <c r="T614" s="88" t="n"/>
      <c r="U614" s="88" t="n"/>
      <c r="V614" s="89" t="n"/>
      <c r="W614" s="88" t="n"/>
      <c r="X614" s="89" t="n"/>
      <c r="Y614" s="88" t="n"/>
      <c r="Z614" s="89" t="n"/>
      <c r="AB614" s="25">
        <f>IF($B614="","",(COUNTIF(C614:E614,"?*")&lt;N(INDEX(Setup!$L$6:$L$23,7)))+(COUNTIF(G614:I614,"?*")&lt;N(INDEX(Setup!$L$6:$L$23,7)))+(COUNTIF(K614:M614,"?*")&lt;N(INDEX(Setup!$L$6:$L$23,7)))+(COUNTIF(O614:Q614,"?*")&lt;N(INDEX(Setup!$L$6:$L$23,7)))+(COUNTIF(S614:U614,"?*")&lt;N(INDEX(Setup!$L$6:$L$23,7)))+((W614="")*(INDEX(Setup!$M$6:$M$23,7)="Y"))+((Y614="")*(INDEX(Setup!$M$6:$M$23,7)="Y")))</f>
        <v/>
      </c>
      <c r="AC614" s="90">
        <f>IF($B614="","",IF(AB614=0,"✓ covered","⚠ "&amp;AB614&amp;IF(AB614=1," gap"," gaps")))</f>
        <v/>
      </c>
    </row>
    <row r="615" ht="17" customHeight="1">
      <c r="A615" t="n">
        <v>13</v>
      </c>
      <c r="B615" s="29">
        <f>IF(Setup!$K$13="","",Setup!$K$13)</f>
        <v/>
      </c>
      <c r="C615" s="88" t="n"/>
      <c r="D615" s="88" t="n"/>
      <c r="E615" s="88" t="n"/>
      <c r="F615" s="89" t="n"/>
      <c r="G615" s="88" t="n"/>
      <c r="H615" s="88" t="n"/>
      <c r="I615" s="88" t="n"/>
      <c r="J615" s="89" t="n"/>
      <c r="K615" s="88" t="n"/>
      <c r="L615" s="88" t="n"/>
      <c r="M615" s="88" t="n"/>
      <c r="N615" s="89" t="n"/>
      <c r="O615" s="88" t="n"/>
      <c r="P615" s="88" t="n"/>
      <c r="Q615" s="88" t="n"/>
      <c r="R615" s="89" t="n"/>
      <c r="S615" s="88" t="n"/>
      <c r="T615" s="88" t="n"/>
      <c r="U615" s="88" t="n"/>
      <c r="V615" s="89" t="n"/>
      <c r="W615" s="88" t="n"/>
      <c r="X615" s="89" t="n"/>
      <c r="Y615" s="88" t="n"/>
      <c r="Z615" s="89" t="n"/>
      <c r="AB615" s="30">
        <f>IF($B615="","",(COUNTIF(C615:E615,"?*")&lt;N(INDEX(Setup!$L$6:$L$23,8)))+(COUNTIF(G615:I615,"?*")&lt;N(INDEX(Setup!$L$6:$L$23,8)))+(COUNTIF(K615:M615,"?*")&lt;N(INDEX(Setup!$L$6:$L$23,8)))+(COUNTIF(O615:Q615,"?*")&lt;N(INDEX(Setup!$L$6:$L$23,8)))+(COUNTIF(S615:U615,"?*")&lt;N(INDEX(Setup!$L$6:$L$23,8)))+((W615="")*(INDEX(Setup!$M$6:$M$23,8)="Y"))+((Y615="")*(INDEX(Setup!$M$6:$M$23,8)="Y")))</f>
        <v/>
      </c>
      <c r="AC615" s="91">
        <f>IF($B615="","",IF(AB615=0,"✓ covered","⚠ "&amp;AB615&amp;IF(AB615=1," gap"," gaps")))</f>
        <v/>
      </c>
    </row>
    <row r="616" ht="17" customHeight="1">
      <c r="A616" t="n">
        <v>13</v>
      </c>
      <c r="B616" s="24">
        <f>IF(Setup!$K$14="","",Setup!$K$14)</f>
        <v/>
      </c>
      <c r="C616" s="88" t="n"/>
      <c r="D616" s="88" t="n"/>
      <c r="E616" s="88" t="n"/>
      <c r="F616" s="89" t="n"/>
      <c r="G616" s="88" t="n"/>
      <c r="H616" s="88" t="n"/>
      <c r="I616" s="88" t="n"/>
      <c r="J616" s="89" t="n"/>
      <c r="K616" s="88" t="n"/>
      <c r="L616" s="88" t="n"/>
      <c r="M616" s="88" t="n"/>
      <c r="N616" s="89" t="n"/>
      <c r="O616" s="88" t="n"/>
      <c r="P616" s="88" t="n"/>
      <c r="Q616" s="88" t="n"/>
      <c r="R616" s="89" t="n"/>
      <c r="S616" s="88" t="n"/>
      <c r="T616" s="88" t="n"/>
      <c r="U616" s="88" t="n"/>
      <c r="V616" s="89" t="n"/>
      <c r="W616" s="88" t="n"/>
      <c r="X616" s="89" t="n"/>
      <c r="Y616" s="88" t="n"/>
      <c r="Z616" s="89" t="n"/>
      <c r="AB616" s="25">
        <f>IF($B616="","",(COUNTIF(C616:E616,"?*")&lt;N(INDEX(Setup!$L$6:$L$23,9)))+(COUNTIF(G616:I616,"?*")&lt;N(INDEX(Setup!$L$6:$L$23,9)))+(COUNTIF(K616:M616,"?*")&lt;N(INDEX(Setup!$L$6:$L$23,9)))+(COUNTIF(O616:Q616,"?*")&lt;N(INDEX(Setup!$L$6:$L$23,9)))+(COUNTIF(S616:U616,"?*")&lt;N(INDEX(Setup!$L$6:$L$23,9)))+((W616="")*(INDEX(Setup!$M$6:$M$23,9)="Y"))+((Y616="")*(INDEX(Setup!$M$6:$M$23,9)="Y")))</f>
        <v/>
      </c>
      <c r="AC616" s="90">
        <f>IF($B616="","",IF(AB616=0,"✓ covered","⚠ "&amp;AB616&amp;IF(AB616=1," gap"," gaps")))</f>
        <v/>
      </c>
    </row>
    <row r="617" ht="17" customHeight="1">
      <c r="A617" t="n">
        <v>13</v>
      </c>
      <c r="B617" s="29">
        <f>IF(Setup!$K$15="","",Setup!$K$15)</f>
        <v/>
      </c>
      <c r="C617" s="88" t="n"/>
      <c r="D617" s="88" t="n"/>
      <c r="E617" s="88" t="n"/>
      <c r="F617" s="89" t="n"/>
      <c r="G617" s="88" t="n"/>
      <c r="H617" s="88" t="n"/>
      <c r="I617" s="88" t="n"/>
      <c r="J617" s="89" t="n"/>
      <c r="K617" s="88" t="n"/>
      <c r="L617" s="88" t="n"/>
      <c r="M617" s="88" t="n"/>
      <c r="N617" s="89" t="n"/>
      <c r="O617" s="88" t="n"/>
      <c r="P617" s="88" t="n"/>
      <c r="Q617" s="88" t="n"/>
      <c r="R617" s="89" t="n"/>
      <c r="S617" s="88" t="n"/>
      <c r="T617" s="88" t="n"/>
      <c r="U617" s="88" t="n"/>
      <c r="V617" s="89" t="n"/>
      <c r="W617" s="88" t="n"/>
      <c r="X617" s="89" t="n"/>
      <c r="Y617" s="88" t="n"/>
      <c r="Z617" s="89" t="n"/>
      <c r="AB617" s="30">
        <f>IF($B617="","",(COUNTIF(C617:E617,"?*")&lt;N(INDEX(Setup!$L$6:$L$23,10)))+(COUNTIF(G617:I617,"?*")&lt;N(INDEX(Setup!$L$6:$L$23,10)))+(COUNTIF(K617:M617,"?*")&lt;N(INDEX(Setup!$L$6:$L$23,10)))+(COUNTIF(O617:Q617,"?*")&lt;N(INDEX(Setup!$L$6:$L$23,10)))+(COUNTIF(S617:U617,"?*")&lt;N(INDEX(Setup!$L$6:$L$23,10)))+((W617="")*(INDEX(Setup!$M$6:$M$23,10)="Y"))+((Y617="")*(INDEX(Setup!$M$6:$M$23,10)="Y")))</f>
        <v/>
      </c>
      <c r="AC617" s="91">
        <f>IF($B617="","",IF(AB617=0,"✓ covered","⚠ "&amp;AB617&amp;IF(AB617=1," gap"," gaps")))</f>
        <v/>
      </c>
    </row>
    <row r="618" ht="17" customHeight="1">
      <c r="A618" t="n">
        <v>13</v>
      </c>
      <c r="B618" s="24">
        <f>IF(Setup!$K$16="","",Setup!$K$16)</f>
        <v/>
      </c>
      <c r="C618" s="88" t="n"/>
      <c r="D618" s="88" t="n"/>
      <c r="E618" s="88" t="n"/>
      <c r="F618" s="89" t="n"/>
      <c r="G618" s="88" t="n"/>
      <c r="H618" s="88" t="n"/>
      <c r="I618" s="88" t="n"/>
      <c r="J618" s="89" t="n"/>
      <c r="K618" s="88" t="n"/>
      <c r="L618" s="88" t="n"/>
      <c r="M618" s="88" t="n"/>
      <c r="N618" s="89" t="n"/>
      <c r="O618" s="88" t="n"/>
      <c r="P618" s="88" t="n"/>
      <c r="Q618" s="88" t="n"/>
      <c r="R618" s="89" t="n"/>
      <c r="S618" s="88" t="n"/>
      <c r="T618" s="88" t="n"/>
      <c r="U618" s="88" t="n"/>
      <c r="V618" s="89" t="n"/>
      <c r="W618" s="88" t="n"/>
      <c r="X618" s="89" t="n"/>
      <c r="Y618" s="88" t="n"/>
      <c r="Z618" s="89" t="n"/>
      <c r="AB618" s="25">
        <f>IF($B618="","",(COUNTIF(C618:E618,"?*")&lt;N(INDEX(Setup!$L$6:$L$23,11)))+(COUNTIF(G618:I618,"?*")&lt;N(INDEX(Setup!$L$6:$L$23,11)))+(COUNTIF(K618:M618,"?*")&lt;N(INDEX(Setup!$L$6:$L$23,11)))+(COUNTIF(O618:Q618,"?*")&lt;N(INDEX(Setup!$L$6:$L$23,11)))+(COUNTIF(S618:U618,"?*")&lt;N(INDEX(Setup!$L$6:$L$23,11)))+((W618="")*(INDEX(Setup!$M$6:$M$23,11)="Y"))+((Y618="")*(INDEX(Setup!$M$6:$M$23,11)="Y")))</f>
        <v/>
      </c>
      <c r="AC618" s="90">
        <f>IF($B618="","",IF(AB618=0,"✓ covered","⚠ "&amp;AB618&amp;IF(AB618=1," gap"," gaps")))</f>
        <v/>
      </c>
    </row>
    <row r="619" ht="17" customHeight="1">
      <c r="A619" t="n">
        <v>13</v>
      </c>
      <c r="B619" s="29">
        <f>IF(Setup!$K$17="","",Setup!$K$17)</f>
        <v/>
      </c>
      <c r="C619" s="88" t="n"/>
      <c r="D619" s="88" t="n"/>
      <c r="E619" s="88" t="n"/>
      <c r="F619" s="89" t="n"/>
      <c r="G619" s="88" t="n"/>
      <c r="H619" s="88" t="n"/>
      <c r="I619" s="88" t="n"/>
      <c r="J619" s="89" t="n"/>
      <c r="K619" s="88" t="n"/>
      <c r="L619" s="88" t="n"/>
      <c r="M619" s="88" t="n"/>
      <c r="N619" s="89" t="n"/>
      <c r="O619" s="88" t="n"/>
      <c r="P619" s="88" t="n"/>
      <c r="Q619" s="88" t="n"/>
      <c r="R619" s="89" t="n"/>
      <c r="S619" s="88" t="n"/>
      <c r="T619" s="88" t="n"/>
      <c r="U619" s="88" t="n"/>
      <c r="V619" s="89" t="n"/>
      <c r="W619" s="88" t="n"/>
      <c r="X619" s="89" t="n"/>
      <c r="Y619" s="88" t="n"/>
      <c r="Z619" s="89" t="n"/>
      <c r="AB619" s="30">
        <f>IF($B619="","",(COUNTIF(C619:E619,"?*")&lt;N(INDEX(Setup!$L$6:$L$23,12)))+(COUNTIF(G619:I619,"?*")&lt;N(INDEX(Setup!$L$6:$L$23,12)))+(COUNTIF(K619:M619,"?*")&lt;N(INDEX(Setup!$L$6:$L$23,12)))+(COUNTIF(O619:Q619,"?*")&lt;N(INDEX(Setup!$L$6:$L$23,12)))+(COUNTIF(S619:U619,"?*")&lt;N(INDEX(Setup!$L$6:$L$23,12)))+((W619="")*(INDEX(Setup!$M$6:$M$23,12)="Y"))+((Y619="")*(INDEX(Setup!$M$6:$M$23,12)="Y")))</f>
        <v/>
      </c>
      <c r="AC619" s="91">
        <f>IF($B619="","",IF(AB619=0,"✓ covered","⚠ "&amp;AB619&amp;IF(AB619=1," gap"," gaps")))</f>
        <v/>
      </c>
    </row>
    <row r="620" ht="17" customHeight="1">
      <c r="A620" t="n">
        <v>13</v>
      </c>
      <c r="B620" s="24">
        <f>IF(Setup!$K$18="","",Setup!$K$18)</f>
        <v/>
      </c>
      <c r="C620" s="88" t="n"/>
      <c r="D620" s="88" t="n"/>
      <c r="E620" s="88" t="n"/>
      <c r="F620" s="89" t="n"/>
      <c r="G620" s="88" t="n"/>
      <c r="H620" s="88" t="n"/>
      <c r="I620" s="88" t="n"/>
      <c r="J620" s="89" t="n"/>
      <c r="K620" s="88" t="n"/>
      <c r="L620" s="88" t="n"/>
      <c r="M620" s="88" t="n"/>
      <c r="N620" s="89" t="n"/>
      <c r="O620" s="88" t="n"/>
      <c r="P620" s="88" t="n"/>
      <c r="Q620" s="88" t="n"/>
      <c r="R620" s="89" t="n"/>
      <c r="S620" s="88" t="n"/>
      <c r="T620" s="88" t="n"/>
      <c r="U620" s="88" t="n"/>
      <c r="V620" s="89" t="n"/>
      <c r="W620" s="88" t="n"/>
      <c r="X620" s="89" t="n"/>
      <c r="Y620" s="88" t="n"/>
      <c r="Z620" s="89" t="n"/>
      <c r="AB620" s="25">
        <f>IF($B620="","",(COUNTIF(C620:E620,"?*")&lt;N(INDEX(Setup!$L$6:$L$23,13)))+(COUNTIF(G620:I620,"?*")&lt;N(INDEX(Setup!$L$6:$L$23,13)))+(COUNTIF(K620:M620,"?*")&lt;N(INDEX(Setup!$L$6:$L$23,13)))+(COUNTIF(O620:Q620,"?*")&lt;N(INDEX(Setup!$L$6:$L$23,13)))+(COUNTIF(S620:U620,"?*")&lt;N(INDEX(Setup!$L$6:$L$23,13)))+((W620="")*(INDEX(Setup!$M$6:$M$23,13)="Y"))+((Y620="")*(INDEX(Setup!$M$6:$M$23,13)="Y")))</f>
        <v/>
      </c>
      <c r="AC620" s="90">
        <f>IF($B620="","",IF(AB620=0,"✓ covered","⚠ "&amp;AB620&amp;IF(AB620=1," gap"," gaps")))</f>
        <v/>
      </c>
    </row>
    <row r="621" ht="17" customHeight="1">
      <c r="A621" t="n">
        <v>13</v>
      </c>
      <c r="B621" s="29">
        <f>IF(Setup!$K$19="","",Setup!$K$19)</f>
        <v/>
      </c>
      <c r="C621" s="88" t="n"/>
      <c r="D621" s="88" t="n"/>
      <c r="E621" s="88" t="n"/>
      <c r="F621" s="89" t="n"/>
      <c r="G621" s="88" t="n"/>
      <c r="H621" s="88" t="n"/>
      <c r="I621" s="88" t="n"/>
      <c r="J621" s="89" t="n"/>
      <c r="K621" s="88" t="n"/>
      <c r="L621" s="88" t="n"/>
      <c r="M621" s="88" t="n"/>
      <c r="N621" s="89" t="n"/>
      <c r="O621" s="88" t="n"/>
      <c r="P621" s="88" t="n"/>
      <c r="Q621" s="88" t="n"/>
      <c r="R621" s="89" t="n"/>
      <c r="S621" s="88" t="n"/>
      <c r="T621" s="88" t="n"/>
      <c r="U621" s="88" t="n"/>
      <c r="V621" s="89" t="n"/>
      <c r="W621" s="88" t="n"/>
      <c r="X621" s="89" t="n"/>
      <c r="Y621" s="88" t="n"/>
      <c r="Z621" s="89" t="n"/>
      <c r="AB621" s="30">
        <f>IF($B621="","",(COUNTIF(C621:E621,"?*")&lt;N(INDEX(Setup!$L$6:$L$23,14)))+(COUNTIF(G621:I621,"?*")&lt;N(INDEX(Setup!$L$6:$L$23,14)))+(COUNTIF(K621:M621,"?*")&lt;N(INDEX(Setup!$L$6:$L$23,14)))+(COUNTIF(O621:Q621,"?*")&lt;N(INDEX(Setup!$L$6:$L$23,14)))+(COUNTIF(S621:U621,"?*")&lt;N(INDEX(Setup!$L$6:$L$23,14)))+((W621="")*(INDEX(Setup!$M$6:$M$23,14)="Y"))+((Y621="")*(INDEX(Setup!$M$6:$M$23,14)="Y")))</f>
        <v/>
      </c>
      <c r="AC621" s="91">
        <f>IF($B621="","",IF(AB621=0,"✓ covered","⚠ "&amp;AB621&amp;IF(AB621=1," gap"," gaps")))</f>
        <v/>
      </c>
    </row>
    <row r="622" ht="17" customHeight="1">
      <c r="A622" t="n">
        <v>13</v>
      </c>
      <c r="B622" s="24">
        <f>IF(Setup!$K$20="","",Setup!$K$20)</f>
        <v/>
      </c>
      <c r="C622" s="88" t="n"/>
      <c r="D622" s="88" t="n"/>
      <c r="E622" s="88" t="n"/>
      <c r="F622" s="89" t="n"/>
      <c r="G622" s="88" t="n"/>
      <c r="H622" s="88" t="n"/>
      <c r="I622" s="88" t="n"/>
      <c r="J622" s="89" t="n"/>
      <c r="K622" s="88" t="n"/>
      <c r="L622" s="88" t="n"/>
      <c r="M622" s="88" t="n"/>
      <c r="N622" s="89" t="n"/>
      <c r="O622" s="88" t="n"/>
      <c r="P622" s="88" t="n"/>
      <c r="Q622" s="88" t="n"/>
      <c r="R622" s="89" t="n"/>
      <c r="S622" s="88" t="n"/>
      <c r="T622" s="88" t="n"/>
      <c r="U622" s="88" t="n"/>
      <c r="V622" s="89" t="n"/>
      <c r="W622" s="88" t="n"/>
      <c r="X622" s="89" t="n"/>
      <c r="Y622" s="88" t="n"/>
      <c r="Z622" s="89" t="n"/>
      <c r="AB622" s="25">
        <f>IF($B622="","",(COUNTIF(C622:E622,"?*")&lt;N(INDEX(Setup!$L$6:$L$23,15)))+(COUNTIF(G622:I622,"?*")&lt;N(INDEX(Setup!$L$6:$L$23,15)))+(COUNTIF(K622:M622,"?*")&lt;N(INDEX(Setup!$L$6:$L$23,15)))+(COUNTIF(O622:Q622,"?*")&lt;N(INDEX(Setup!$L$6:$L$23,15)))+(COUNTIF(S622:U622,"?*")&lt;N(INDEX(Setup!$L$6:$L$23,15)))+((W622="")*(INDEX(Setup!$M$6:$M$23,15)="Y"))+((Y622="")*(INDEX(Setup!$M$6:$M$23,15)="Y")))</f>
        <v/>
      </c>
      <c r="AC622" s="90">
        <f>IF($B622="","",IF(AB622=0,"✓ covered","⚠ "&amp;AB622&amp;IF(AB622=1," gap"," gaps")))</f>
        <v/>
      </c>
    </row>
    <row r="623" ht="17" customHeight="1">
      <c r="A623" t="n">
        <v>13</v>
      </c>
      <c r="B623" s="29">
        <f>IF(Setup!$K$21="","",Setup!$K$21)</f>
        <v/>
      </c>
      <c r="C623" s="88" t="n"/>
      <c r="D623" s="88" t="n"/>
      <c r="E623" s="88" t="n"/>
      <c r="F623" s="89" t="n"/>
      <c r="G623" s="88" t="n"/>
      <c r="H623" s="88" t="n"/>
      <c r="I623" s="88" t="n"/>
      <c r="J623" s="89" t="n"/>
      <c r="K623" s="88" t="n"/>
      <c r="L623" s="88" t="n"/>
      <c r="M623" s="88" t="n"/>
      <c r="N623" s="89" t="n"/>
      <c r="O623" s="88" t="n"/>
      <c r="P623" s="88" t="n"/>
      <c r="Q623" s="88" t="n"/>
      <c r="R623" s="89" t="n"/>
      <c r="S623" s="88" t="n"/>
      <c r="T623" s="88" t="n"/>
      <c r="U623" s="88" t="n"/>
      <c r="V623" s="89" t="n"/>
      <c r="W623" s="88" t="n"/>
      <c r="X623" s="89" t="n"/>
      <c r="Y623" s="88" t="n"/>
      <c r="Z623" s="89" t="n"/>
      <c r="AB623" s="30">
        <f>IF($B623="","",(COUNTIF(C623:E623,"?*")&lt;N(INDEX(Setup!$L$6:$L$23,16)))+(COUNTIF(G623:I623,"?*")&lt;N(INDEX(Setup!$L$6:$L$23,16)))+(COUNTIF(K623:M623,"?*")&lt;N(INDEX(Setup!$L$6:$L$23,16)))+(COUNTIF(O623:Q623,"?*")&lt;N(INDEX(Setup!$L$6:$L$23,16)))+(COUNTIF(S623:U623,"?*")&lt;N(INDEX(Setup!$L$6:$L$23,16)))+((W623="")*(INDEX(Setup!$M$6:$M$23,16)="Y"))+((Y623="")*(INDEX(Setup!$M$6:$M$23,16)="Y")))</f>
        <v/>
      </c>
      <c r="AC623" s="91">
        <f>IF($B623="","",IF(AB623=0,"✓ covered","⚠ "&amp;AB623&amp;IF(AB623=1," gap"," gaps")))</f>
        <v/>
      </c>
    </row>
    <row r="624" ht="17" customHeight="1">
      <c r="A624" t="n">
        <v>13</v>
      </c>
      <c r="B624" s="24">
        <f>IF(Setup!$K$22="","",Setup!$K$22)</f>
        <v/>
      </c>
      <c r="C624" s="88" t="n"/>
      <c r="D624" s="88" t="n"/>
      <c r="E624" s="88" t="n"/>
      <c r="F624" s="89" t="n"/>
      <c r="G624" s="88" t="n"/>
      <c r="H624" s="88" t="n"/>
      <c r="I624" s="88" t="n"/>
      <c r="J624" s="89" t="n"/>
      <c r="K624" s="88" t="n"/>
      <c r="L624" s="88" t="n"/>
      <c r="M624" s="88" t="n"/>
      <c r="N624" s="89" t="n"/>
      <c r="O624" s="88" t="n"/>
      <c r="P624" s="88" t="n"/>
      <c r="Q624" s="88" t="n"/>
      <c r="R624" s="89" t="n"/>
      <c r="S624" s="88" t="n"/>
      <c r="T624" s="88" t="n"/>
      <c r="U624" s="88" t="n"/>
      <c r="V624" s="89" t="n"/>
      <c r="W624" s="88" t="n"/>
      <c r="X624" s="89" t="n"/>
      <c r="Y624" s="88" t="n"/>
      <c r="Z624" s="89" t="n"/>
      <c r="AB624" s="25">
        <f>IF($B624="","",(COUNTIF(C624:E624,"?*")&lt;N(INDEX(Setup!$L$6:$L$23,17)))+(COUNTIF(G624:I624,"?*")&lt;N(INDEX(Setup!$L$6:$L$23,17)))+(COUNTIF(K624:M624,"?*")&lt;N(INDEX(Setup!$L$6:$L$23,17)))+(COUNTIF(O624:Q624,"?*")&lt;N(INDEX(Setup!$L$6:$L$23,17)))+(COUNTIF(S624:U624,"?*")&lt;N(INDEX(Setup!$L$6:$L$23,17)))+((W624="")*(INDEX(Setup!$M$6:$M$23,17)="Y"))+((Y624="")*(INDEX(Setup!$M$6:$M$23,17)="Y")))</f>
        <v/>
      </c>
      <c r="AC624" s="90">
        <f>IF($B624="","",IF(AB624=0,"✓ covered","⚠ "&amp;AB624&amp;IF(AB624=1," gap"," gaps")))</f>
        <v/>
      </c>
    </row>
    <row r="625" ht="17" customHeight="1">
      <c r="A625" t="n">
        <v>13</v>
      </c>
      <c r="B625" s="29">
        <f>IF(Setup!$K$23="","",Setup!$K$23)</f>
        <v/>
      </c>
      <c r="C625" s="88" t="n"/>
      <c r="D625" s="88" t="n"/>
      <c r="E625" s="88" t="n"/>
      <c r="F625" s="89" t="n"/>
      <c r="G625" s="88" t="n"/>
      <c r="H625" s="88" t="n"/>
      <c r="I625" s="88" t="n"/>
      <c r="J625" s="89" t="n"/>
      <c r="K625" s="88" t="n"/>
      <c r="L625" s="88" t="n"/>
      <c r="M625" s="88" t="n"/>
      <c r="N625" s="89" t="n"/>
      <c r="O625" s="88" t="n"/>
      <c r="P625" s="88" t="n"/>
      <c r="Q625" s="88" t="n"/>
      <c r="R625" s="89" t="n"/>
      <c r="S625" s="88" t="n"/>
      <c r="T625" s="88" t="n"/>
      <c r="U625" s="88" t="n"/>
      <c r="V625" s="89" t="n"/>
      <c r="W625" s="88" t="n"/>
      <c r="X625" s="89" t="n"/>
      <c r="Y625" s="88" t="n"/>
      <c r="Z625" s="89" t="n"/>
      <c r="AB625" s="30">
        <f>IF($B625="","",(COUNTIF(C625:E625,"?*")&lt;N(INDEX(Setup!$L$6:$L$23,18)))+(COUNTIF(G625:I625,"?*")&lt;N(INDEX(Setup!$L$6:$L$23,18)))+(COUNTIF(K625:M625,"?*")&lt;N(INDEX(Setup!$L$6:$L$23,18)))+(COUNTIF(O625:Q625,"?*")&lt;N(INDEX(Setup!$L$6:$L$23,18)))+(COUNTIF(S625:U625,"?*")&lt;N(INDEX(Setup!$L$6:$L$23,18)))+((W625="")*(INDEX(Setup!$M$6:$M$23,18)="Y"))+((Y625="")*(INDEX(Setup!$M$6:$M$23,18)="Y")))</f>
        <v/>
      </c>
      <c r="AC625" s="91">
        <f>IF($B625="","",IF(AB625=0,"✓ covered","⚠ "&amp;AB625&amp;IF(AB625=1," gap"," gaps")))</f>
        <v/>
      </c>
    </row>
    <row r="626" ht="18" customHeight="1">
      <c r="A626" t="n">
        <v>13</v>
      </c>
      <c r="B626" s="78" t="inlineStr">
        <is>
          <t>TEAM AVAILABILITY</t>
        </is>
      </c>
      <c r="C626" s="92" t="inlineStr">
        <is>
          <t>Mon</t>
        </is>
      </c>
      <c r="D626" s="93" t="n"/>
      <c r="E626" s="93" t="n"/>
      <c r="F626" s="94" t="n"/>
      <c r="G626" s="92" t="inlineStr">
        <is>
          <t>Tue</t>
        </is>
      </c>
      <c r="H626" s="93" t="n"/>
      <c r="I626" s="93" t="n"/>
      <c r="J626" s="94" t="n"/>
      <c r="K626" s="92" t="inlineStr">
        <is>
          <t>Wed</t>
        </is>
      </c>
      <c r="L626" s="93" t="n"/>
      <c r="M626" s="93" t="n"/>
      <c r="N626" s="94" t="n"/>
      <c r="O626" s="92" t="inlineStr">
        <is>
          <t>Thu</t>
        </is>
      </c>
      <c r="P626" s="93" t="n"/>
      <c r="Q626" s="93" t="n"/>
      <c r="R626" s="94" t="n"/>
      <c r="S626" s="92" t="inlineStr">
        <is>
          <t>Fri</t>
        </is>
      </c>
      <c r="T626" s="93" t="n"/>
      <c r="U626" s="93" t="n"/>
      <c r="V626" s="94" t="n"/>
      <c r="W626" s="95" t="inlineStr">
        <is>
          <t>Sat</t>
        </is>
      </c>
      <c r="X626" s="96" t="n"/>
      <c r="Y626" s="95" t="inlineStr">
        <is>
          <t>Sun</t>
        </is>
      </c>
      <c r="Z626" s="96" t="n"/>
      <c r="AB626" s="97" t="inlineStr">
        <is>
          <t>Days rostered</t>
        </is>
      </c>
      <c r="AC626" s="97" t="inlineStr">
        <is>
          <t>Conflicts</t>
        </is>
      </c>
    </row>
    <row r="627" ht="15" customHeight="1">
      <c r="A627" t="n">
        <v>13</v>
      </c>
      <c r="B627" s="35">
        <f>IF(Setup!$B$6="","",Setup!$B$6)</f>
        <v/>
      </c>
      <c r="C627" s="98" t="n"/>
      <c r="D627" s="99" t="n"/>
      <c r="E627" s="99" t="n"/>
      <c r="F627" s="100" t="n"/>
      <c r="G627" s="98" t="n"/>
      <c r="H627" s="99" t="n"/>
      <c r="I627" s="99" t="n"/>
      <c r="J627" s="100" t="n"/>
      <c r="K627" s="98" t="n"/>
      <c r="L627" s="99" t="n"/>
      <c r="M627" s="99" t="n"/>
      <c r="N627" s="100" t="n"/>
      <c r="O627" s="98" t="n"/>
      <c r="P627" s="99" t="n"/>
      <c r="Q627" s="99" t="n"/>
      <c r="R627" s="100" t="n"/>
      <c r="S627" s="98" t="n"/>
      <c r="T627" s="99" t="n"/>
      <c r="U627" s="99" t="n"/>
      <c r="V627" s="100" t="n"/>
      <c r="W627" s="98" t="n"/>
      <c r="X627" s="100" t="n"/>
      <c r="Y627" s="98" t="n"/>
      <c r="Z627" s="100" t="n"/>
      <c r="AB627" s="101">
        <f>IF($B627="","",(COUNTIF(C608:E625,$B627)+COUNTIF(C608:E625,$B627&amp;" ~*")&gt;0)+(COUNTIF(G608:I625,$B627)+COUNTIF(G608:I625,$B627&amp;" ~*")&gt;0)+(COUNTIF(K608:M625,$B627)+COUNTIF(K608:M625,$B627&amp;" ~*")&gt;0)+(COUNTIF(O608:Q625,$B627)+COUNTIF(O608:Q625,$B627&amp;" ~*")&gt;0)+(COUNTIF(S608:U625,$B627)+COUNTIF(S608:U625,$B627&amp;" ~*")&gt;0)+(COUNTIF(W608:W625,$B627)+COUNTIF(W608:W625,$B627&amp;" ~*")&gt;0)+(COUNTIF(Y608:Y625,$B627)+COUNTIF(Y608:Y625,$B627&amp;" ~*")&gt;0))</f>
        <v/>
      </c>
      <c r="AC627" s="36">
        <f>IF($B627="","",(IFERROR(INDEX(Setup!$G$33:$G$40,MATCH(C627,Setup!$B$33:$B$40,0)),0)=1)*(COUNTIF(C608:E625,$B627)+COUNTIF(C608:E625,$B627&amp;" ~*")&gt;0)+(IFERROR(INDEX(Setup!$G$33:$G$40,MATCH(G627,Setup!$B$33:$B$40,0)),0)=1)*(COUNTIF(G608:I625,$B627)+COUNTIF(G608:I625,$B627&amp;" ~*")&gt;0)+(IFERROR(INDEX(Setup!$G$33:$G$40,MATCH(K627,Setup!$B$33:$B$40,0)),0)=1)*(COUNTIF(K608:M625,$B627)+COUNTIF(K608:M625,$B627&amp;" ~*")&gt;0)+(IFERROR(INDEX(Setup!$G$33:$G$40,MATCH(O627,Setup!$B$33:$B$40,0)),0)=1)*(COUNTIF(O608:Q625,$B627)+COUNTIF(O608:Q625,$B627&amp;" ~*")&gt;0)+(IFERROR(INDEX(Setup!$G$33:$G$40,MATCH(S627,Setup!$B$33:$B$40,0)),0)=1)*(COUNTIF(S608:U625,$B627)+COUNTIF(S608:U625,$B627&amp;" ~*")&gt;0)+(IFERROR(INDEX(Setup!$G$33:$G$40,MATCH(W627,Setup!$B$33:$B$40,0)),0)=1)*(COUNTIF(W608:W625,$B627)+COUNTIF(W608:W625,$B627&amp;" ~*")&gt;0)+(IFERROR(INDEX(Setup!$G$33:$G$40,MATCH(Y627,Setup!$B$33:$B$40,0)),0)=1)*(COUNTIF(Y608:Y625,$B627)+COUNTIF(Y608:Y625,$B627&amp;" ~*")&gt;0))</f>
        <v/>
      </c>
    </row>
    <row r="628" ht="15" customHeight="1">
      <c r="A628" t="n">
        <v>13</v>
      </c>
      <c r="B628" s="37">
        <f>IF(Setup!$B$7="","",Setup!$B$7)</f>
        <v/>
      </c>
      <c r="C628" s="102" t="n"/>
      <c r="D628" s="103" t="n"/>
      <c r="E628" s="103" t="n"/>
      <c r="F628" s="104" t="n"/>
      <c r="G628" s="102" t="n"/>
      <c r="H628" s="103" t="n"/>
      <c r="I628" s="103" t="n"/>
      <c r="J628" s="104" t="n"/>
      <c r="K628" s="102" t="n"/>
      <c r="L628" s="103" t="n"/>
      <c r="M628" s="103" t="n"/>
      <c r="N628" s="104" t="n"/>
      <c r="O628" s="102" t="n"/>
      <c r="P628" s="103" t="n"/>
      <c r="Q628" s="103" t="n"/>
      <c r="R628" s="104" t="n"/>
      <c r="S628" s="102" t="n"/>
      <c r="T628" s="103" t="n"/>
      <c r="U628" s="103" t="n"/>
      <c r="V628" s="104" t="n"/>
      <c r="W628" s="102" t="n"/>
      <c r="X628" s="104" t="n"/>
      <c r="Y628" s="102" t="n"/>
      <c r="Z628" s="104" t="n"/>
      <c r="AB628" s="105">
        <f>IF($B628="","",(COUNTIF(C608:E625,$B628)+COUNTIF(C608:E625,$B628&amp;" ~*")&gt;0)+(COUNTIF(G608:I625,$B628)+COUNTIF(G608:I625,$B628&amp;" ~*")&gt;0)+(COUNTIF(K608:M625,$B628)+COUNTIF(K608:M625,$B628&amp;" ~*")&gt;0)+(COUNTIF(O608:Q625,$B628)+COUNTIF(O608:Q625,$B628&amp;" ~*")&gt;0)+(COUNTIF(S608:U625,$B628)+COUNTIF(S608:U625,$B628&amp;" ~*")&gt;0)+(COUNTIF(W608:W625,$B628)+COUNTIF(W608:W625,$B628&amp;" ~*")&gt;0)+(COUNTIF(Y608:Y625,$B628)+COUNTIF(Y608:Y625,$B628&amp;" ~*")&gt;0))</f>
        <v/>
      </c>
      <c r="AC628" s="38">
        <f>IF($B628="","",(IFERROR(INDEX(Setup!$G$33:$G$40,MATCH(C628,Setup!$B$33:$B$40,0)),0)=1)*(COUNTIF(C608:E625,$B628)+COUNTIF(C608:E625,$B628&amp;" ~*")&gt;0)+(IFERROR(INDEX(Setup!$G$33:$G$40,MATCH(G628,Setup!$B$33:$B$40,0)),0)=1)*(COUNTIF(G608:I625,$B628)+COUNTIF(G608:I625,$B628&amp;" ~*")&gt;0)+(IFERROR(INDEX(Setup!$G$33:$G$40,MATCH(K628,Setup!$B$33:$B$40,0)),0)=1)*(COUNTIF(K608:M625,$B628)+COUNTIF(K608:M625,$B628&amp;" ~*")&gt;0)+(IFERROR(INDEX(Setup!$G$33:$G$40,MATCH(O628,Setup!$B$33:$B$40,0)),0)=1)*(COUNTIF(O608:Q625,$B628)+COUNTIF(O608:Q625,$B628&amp;" ~*")&gt;0)+(IFERROR(INDEX(Setup!$G$33:$G$40,MATCH(S628,Setup!$B$33:$B$40,0)),0)=1)*(COUNTIF(S608:U625,$B628)+COUNTIF(S608:U625,$B628&amp;" ~*")&gt;0)+(IFERROR(INDEX(Setup!$G$33:$G$40,MATCH(W628,Setup!$B$33:$B$40,0)),0)=1)*(COUNTIF(W608:W625,$B628)+COUNTIF(W608:W625,$B628&amp;" ~*")&gt;0)+(IFERROR(INDEX(Setup!$G$33:$G$40,MATCH(Y628,Setup!$B$33:$B$40,0)),0)=1)*(COUNTIF(Y608:Y625,$B628)+COUNTIF(Y608:Y625,$B628&amp;" ~*")&gt;0))</f>
        <v/>
      </c>
    </row>
    <row r="629" ht="15" customHeight="1">
      <c r="A629" t="n">
        <v>13</v>
      </c>
      <c r="B629" s="35">
        <f>IF(Setup!$B$8="","",Setup!$B$8)</f>
        <v/>
      </c>
      <c r="C629" s="98" t="n"/>
      <c r="D629" s="99" t="n"/>
      <c r="E629" s="99" t="n"/>
      <c r="F629" s="100" t="n"/>
      <c r="G629" s="98" t="n"/>
      <c r="H629" s="99" t="n"/>
      <c r="I629" s="99" t="n"/>
      <c r="J629" s="100" t="n"/>
      <c r="K629" s="98" t="n"/>
      <c r="L629" s="99" t="n"/>
      <c r="M629" s="99" t="n"/>
      <c r="N629" s="100" t="n"/>
      <c r="O629" s="98" t="n"/>
      <c r="P629" s="99" t="n"/>
      <c r="Q629" s="99" t="n"/>
      <c r="R629" s="100" t="n"/>
      <c r="S629" s="98" t="n"/>
      <c r="T629" s="99" t="n"/>
      <c r="U629" s="99" t="n"/>
      <c r="V629" s="100" t="n"/>
      <c r="W629" s="98" t="n"/>
      <c r="X629" s="100" t="n"/>
      <c r="Y629" s="98" t="n"/>
      <c r="Z629" s="100" t="n"/>
      <c r="AB629" s="101">
        <f>IF($B629="","",(COUNTIF(C608:E625,$B629)+COUNTIF(C608:E625,$B629&amp;" ~*")&gt;0)+(COUNTIF(G608:I625,$B629)+COUNTIF(G608:I625,$B629&amp;" ~*")&gt;0)+(COUNTIF(K608:M625,$B629)+COUNTIF(K608:M625,$B629&amp;" ~*")&gt;0)+(COUNTIF(O608:Q625,$B629)+COUNTIF(O608:Q625,$B629&amp;" ~*")&gt;0)+(COUNTIF(S608:U625,$B629)+COUNTIF(S608:U625,$B629&amp;" ~*")&gt;0)+(COUNTIF(W608:W625,$B629)+COUNTIF(W608:W625,$B629&amp;" ~*")&gt;0)+(COUNTIF(Y608:Y625,$B629)+COUNTIF(Y608:Y625,$B629&amp;" ~*")&gt;0))</f>
        <v/>
      </c>
      <c r="AC629" s="36">
        <f>IF($B629="","",(IFERROR(INDEX(Setup!$G$33:$G$40,MATCH(C629,Setup!$B$33:$B$40,0)),0)=1)*(COUNTIF(C608:E625,$B629)+COUNTIF(C608:E625,$B629&amp;" ~*")&gt;0)+(IFERROR(INDEX(Setup!$G$33:$G$40,MATCH(G629,Setup!$B$33:$B$40,0)),0)=1)*(COUNTIF(G608:I625,$B629)+COUNTIF(G608:I625,$B629&amp;" ~*")&gt;0)+(IFERROR(INDEX(Setup!$G$33:$G$40,MATCH(K629,Setup!$B$33:$B$40,0)),0)=1)*(COUNTIF(K608:M625,$B629)+COUNTIF(K608:M625,$B629&amp;" ~*")&gt;0)+(IFERROR(INDEX(Setup!$G$33:$G$40,MATCH(O629,Setup!$B$33:$B$40,0)),0)=1)*(COUNTIF(O608:Q625,$B629)+COUNTIF(O608:Q625,$B629&amp;" ~*")&gt;0)+(IFERROR(INDEX(Setup!$G$33:$G$40,MATCH(S629,Setup!$B$33:$B$40,0)),0)=1)*(COUNTIF(S608:U625,$B629)+COUNTIF(S608:U625,$B629&amp;" ~*")&gt;0)+(IFERROR(INDEX(Setup!$G$33:$G$40,MATCH(W629,Setup!$B$33:$B$40,0)),0)=1)*(COUNTIF(W608:W625,$B629)+COUNTIF(W608:W625,$B629&amp;" ~*")&gt;0)+(IFERROR(INDEX(Setup!$G$33:$G$40,MATCH(Y629,Setup!$B$33:$B$40,0)),0)=1)*(COUNTIF(Y608:Y625,$B629)+COUNTIF(Y608:Y625,$B629&amp;" ~*")&gt;0))</f>
        <v/>
      </c>
    </row>
    <row r="630" ht="15" customHeight="1">
      <c r="A630" t="n">
        <v>13</v>
      </c>
      <c r="B630" s="37">
        <f>IF(Setup!$B$9="","",Setup!$B$9)</f>
        <v/>
      </c>
      <c r="C630" s="102" t="n"/>
      <c r="D630" s="103" t="n"/>
      <c r="E630" s="103" t="n"/>
      <c r="F630" s="104" t="n"/>
      <c r="G630" s="102" t="n"/>
      <c r="H630" s="103" t="n"/>
      <c r="I630" s="103" t="n"/>
      <c r="J630" s="104" t="n"/>
      <c r="K630" s="102" t="n"/>
      <c r="L630" s="103" t="n"/>
      <c r="M630" s="103" t="n"/>
      <c r="N630" s="104" t="n"/>
      <c r="O630" s="102" t="n"/>
      <c r="P630" s="103" t="n"/>
      <c r="Q630" s="103" t="n"/>
      <c r="R630" s="104" t="n"/>
      <c r="S630" s="102" t="n"/>
      <c r="T630" s="103" t="n"/>
      <c r="U630" s="103" t="n"/>
      <c r="V630" s="104" t="n"/>
      <c r="W630" s="102" t="n"/>
      <c r="X630" s="104" t="n"/>
      <c r="Y630" s="102" t="n"/>
      <c r="Z630" s="104" t="n"/>
      <c r="AB630" s="105">
        <f>IF($B630="","",(COUNTIF(C608:E625,$B630)+COUNTIF(C608:E625,$B630&amp;" ~*")&gt;0)+(COUNTIF(G608:I625,$B630)+COUNTIF(G608:I625,$B630&amp;" ~*")&gt;0)+(COUNTIF(K608:M625,$B630)+COUNTIF(K608:M625,$B630&amp;" ~*")&gt;0)+(COUNTIF(O608:Q625,$B630)+COUNTIF(O608:Q625,$B630&amp;" ~*")&gt;0)+(COUNTIF(S608:U625,$B630)+COUNTIF(S608:U625,$B630&amp;" ~*")&gt;0)+(COUNTIF(W608:W625,$B630)+COUNTIF(W608:W625,$B630&amp;" ~*")&gt;0)+(COUNTIF(Y608:Y625,$B630)+COUNTIF(Y608:Y625,$B630&amp;" ~*")&gt;0))</f>
        <v/>
      </c>
      <c r="AC630" s="38">
        <f>IF($B630="","",(IFERROR(INDEX(Setup!$G$33:$G$40,MATCH(C630,Setup!$B$33:$B$40,0)),0)=1)*(COUNTIF(C608:E625,$B630)+COUNTIF(C608:E625,$B630&amp;" ~*")&gt;0)+(IFERROR(INDEX(Setup!$G$33:$G$40,MATCH(G630,Setup!$B$33:$B$40,0)),0)=1)*(COUNTIF(G608:I625,$B630)+COUNTIF(G608:I625,$B630&amp;" ~*")&gt;0)+(IFERROR(INDEX(Setup!$G$33:$G$40,MATCH(K630,Setup!$B$33:$B$40,0)),0)=1)*(COUNTIF(K608:M625,$B630)+COUNTIF(K608:M625,$B630&amp;" ~*")&gt;0)+(IFERROR(INDEX(Setup!$G$33:$G$40,MATCH(O630,Setup!$B$33:$B$40,0)),0)=1)*(COUNTIF(O608:Q625,$B630)+COUNTIF(O608:Q625,$B630&amp;" ~*")&gt;0)+(IFERROR(INDEX(Setup!$G$33:$G$40,MATCH(S630,Setup!$B$33:$B$40,0)),0)=1)*(COUNTIF(S608:U625,$B630)+COUNTIF(S608:U625,$B630&amp;" ~*")&gt;0)+(IFERROR(INDEX(Setup!$G$33:$G$40,MATCH(W630,Setup!$B$33:$B$40,0)),0)=1)*(COUNTIF(W608:W625,$B630)+COUNTIF(W608:W625,$B630&amp;" ~*")&gt;0)+(IFERROR(INDEX(Setup!$G$33:$G$40,MATCH(Y630,Setup!$B$33:$B$40,0)),0)=1)*(COUNTIF(Y608:Y625,$B630)+COUNTIF(Y608:Y625,$B630&amp;" ~*")&gt;0))</f>
        <v/>
      </c>
    </row>
    <row r="631" ht="15" customHeight="1">
      <c r="A631" t="n">
        <v>13</v>
      </c>
      <c r="B631" s="35">
        <f>IF(Setup!$B$10="","",Setup!$B$10)</f>
        <v/>
      </c>
      <c r="C631" s="98" t="n"/>
      <c r="D631" s="99" t="n"/>
      <c r="E631" s="99" t="n"/>
      <c r="F631" s="100" t="n"/>
      <c r="G631" s="98" t="n"/>
      <c r="H631" s="99" t="n"/>
      <c r="I631" s="99" t="n"/>
      <c r="J631" s="100" t="n"/>
      <c r="K631" s="98" t="n"/>
      <c r="L631" s="99" t="n"/>
      <c r="M631" s="99" t="n"/>
      <c r="N631" s="100" t="n"/>
      <c r="O631" s="98" t="n"/>
      <c r="P631" s="99" t="n"/>
      <c r="Q631" s="99" t="n"/>
      <c r="R631" s="100" t="n"/>
      <c r="S631" s="98" t="n"/>
      <c r="T631" s="99" t="n"/>
      <c r="U631" s="99" t="n"/>
      <c r="V631" s="100" t="n"/>
      <c r="W631" s="98" t="n"/>
      <c r="X631" s="100" t="n"/>
      <c r="Y631" s="98" t="n"/>
      <c r="Z631" s="100" t="n"/>
      <c r="AB631" s="101">
        <f>IF($B631="","",(COUNTIF(C608:E625,$B631)+COUNTIF(C608:E625,$B631&amp;" ~*")&gt;0)+(COUNTIF(G608:I625,$B631)+COUNTIF(G608:I625,$B631&amp;" ~*")&gt;0)+(COUNTIF(K608:M625,$B631)+COUNTIF(K608:M625,$B631&amp;" ~*")&gt;0)+(COUNTIF(O608:Q625,$B631)+COUNTIF(O608:Q625,$B631&amp;" ~*")&gt;0)+(COUNTIF(S608:U625,$B631)+COUNTIF(S608:U625,$B631&amp;" ~*")&gt;0)+(COUNTIF(W608:W625,$B631)+COUNTIF(W608:W625,$B631&amp;" ~*")&gt;0)+(COUNTIF(Y608:Y625,$B631)+COUNTIF(Y608:Y625,$B631&amp;" ~*")&gt;0))</f>
        <v/>
      </c>
      <c r="AC631" s="36">
        <f>IF($B631="","",(IFERROR(INDEX(Setup!$G$33:$G$40,MATCH(C631,Setup!$B$33:$B$40,0)),0)=1)*(COUNTIF(C608:E625,$B631)+COUNTIF(C608:E625,$B631&amp;" ~*")&gt;0)+(IFERROR(INDEX(Setup!$G$33:$G$40,MATCH(G631,Setup!$B$33:$B$40,0)),0)=1)*(COUNTIF(G608:I625,$B631)+COUNTIF(G608:I625,$B631&amp;" ~*")&gt;0)+(IFERROR(INDEX(Setup!$G$33:$G$40,MATCH(K631,Setup!$B$33:$B$40,0)),0)=1)*(COUNTIF(K608:M625,$B631)+COUNTIF(K608:M625,$B631&amp;" ~*")&gt;0)+(IFERROR(INDEX(Setup!$G$33:$G$40,MATCH(O631,Setup!$B$33:$B$40,0)),0)=1)*(COUNTIF(O608:Q625,$B631)+COUNTIF(O608:Q625,$B631&amp;" ~*")&gt;0)+(IFERROR(INDEX(Setup!$G$33:$G$40,MATCH(S631,Setup!$B$33:$B$40,0)),0)=1)*(COUNTIF(S608:U625,$B631)+COUNTIF(S608:U625,$B631&amp;" ~*")&gt;0)+(IFERROR(INDEX(Setup!$G$33:$G$40,MATCH(W631,Setup!$B$33:$B$40,0)),0)=1)*(COUNTIF(W608:W625,$B631)+COUNTIF(W608:W625,$B631&amp;" ~*")&gt;0)+(IFERROR(INDEX(Setup!$G$33:$G$40,MATCH(Y631,Setup!$B$33:$B$40,0)),0)=1)*(COUNTIF(Y608:Y625,$B631)+COUNTIF(Y608:Y625,$B631&amp;" ~*")&gt;0))</f>
        <v/>
      </c>
    </row>
    <row r="632" ht="15" customHeight="1">
      <c r="A632" t="n">
        <v>13</v>
      </c>
      <c r="B632" s="37">
        <f>IF(Setup!$B$11="","",Setup!$B$11)</f>
        <v/>
      </c>
      <c r="C632" s="102" t="n"/>
      <c r="D632" s="103" t="n"/>
      <c r="E632" s="103" t="n"/>
      <c r="F632" s="104" t="n"/>
      <c r="G632" s="102" t="n"/>
      <c r="H632" s="103" t="n"/>
      <c r="I632" s="103" t="n"/>
      <c r="J632" s="104" t="n"/>
      <c r="K632" s="102" t="n"/>
      <c r="L632" s="103" t="n"/>
      <c r="M632" s="103" t="n"/>
      <c r="N632" s="104" t="n"/>
      <c r="O632" s="102" t="n"/>
      <c r="P632" s="103" t="n"/>
      <c r="Q632" s="103" t="n"/>
      <c r="R632" s="104" t="n"/>
      <c r="S632" s="102" t="n"/>
      <c r="T632" s="103" t="n"/>
      <c r="U632" s="103" t="n"/>
      <c r="V632" s="104" t="n"/>
      <c r="W632" s="102" t="n"/>
      <c r="X632" s="104" t="n"/>
      <c r="Y632" s="102" t="n"/>
      <c r="Z632" s="104" t="n"/>
      <c r="AB632" s="105">
        <f>IF($B632="","",(COUNTIF(C608:E625,$B632)+COUNTIF(C608:E625,$B632&amp;" ~*")&gt;0)+(COUNTIF(G608:I625,$B632)+COUNTIF(G608:I625,$B632&amp;" ~*")&gt;0)+(COUNTIF(K608:M625,$B632)+COUNTIF(K608:M625,$B632&amp;" ~*")&gt;0)+(COUNTIF(O608:Q625,$B632)+COUNTIF(O608:Q625,$B632&amp;" ~*")&gt;0)+(COUNTIF(S608:U625,$B632)+COUNTIF(S608:U625,$B632&amp;" ~*")&gt;0)+(COUNTIF(W608:W625,$B632)+COUNTIF(W608:W625,$B632&amp;" ~*")&gt;0)+(COUNTIF(Y608:Y625,$B632)+COUNTIF(Y608:Y625,$B632&amp;" ~*")&gt;0))</f>
        <v/>
      </c>
      <c r="AC632" s="38">
        <f>IF($B632="","",(IFERROR(INDEX(Setup!$G$33:$G$40,MATCH(C632,Setup!$B$33:$B$40,0)),0)=1)*(COUNTIF(C608:E625,$B632)+COUNTIF(C608:E625,$B632&amp;" ~*")&gt;0)+(IFERROR(INDEX(Setup!$G$33:$G$40,MATCH(G632,Setup!$B$33:$B$40,0)),0)=1)*(COUNTIF(G608:I625,$B632)+COUNTIF(G608:I625,$B632&amp;" ~*")&gt;0)+(IFERROR(INDEX(Setup!$G$33:$G$40,MATCH(K632,Setup!$B$33:$B$40,0)),0)=1)*(COUNTIF(K608:M625,$B632)+COUNTIF(K608:M625,$B632&amp;" ~*")&gt;0)+(IFERROR(INDEX(Setup!$G$33:$G$40,MATCH(O632,Setup!$B$33:$B$40,0)),0)=1)*(COUNTIF(O608:Q625,$B632)+COUNTIF(O608:Q625,$B632&amp;" ~*")&gt;0)+(IFERROR(INDEX(Setup!$G$33:$G$40,MATCH(S632,Setup!$B$33:$B$40,0)),0)=1)*(COUNTIF(S608:U625,$B632)+COUNTIF(S608:U625,$B632&amp;" ~*")&gt;0)+(IFERROR(INDEX(Setup!$G$33:$G$40,MATCH(W632,Setup!$B$33:$B$40,0)),0)=1)*(COUNTIF(W608:W625,$B632)+COUNTIF(W608:W625,$B632&amp;" ~*")&gt;0)+(IFERROR(INDEX(Setup!$G$33:$G$40,MATCH(Y632,Setup!$B$33:$B$40,0)),0)=1)*(COUNTIF(Y608:Y625,$B632)+COUNTIF(Y608:Y625,$B632&amp;" ~*")&gt;0))</f>
        <v/>
      </c>
    </row>
    <row r="633" ht="15" customHeight="1">
      <c r="A633" t="n">
        <v>13</v>
      </c>
      <c r="B633" s="35">
        <f>IF(Setup!$B$12="","",Setup!$B$12)</f>
        <v/>
      </c>
      <c r="C633" s="98" t="n"/>
      <c r="D633" s="99" t="n"/>
      <c r="E633" s="99" t="n"/>
      <c r="F633" s="100" t="n"/>
      <c r="G633" s="98" t="inlineStr">
        <is>
          <t>AL</t>
        </is>
      </c>
      <c r="H633" s="99" t="n"/>
      <c r="I633" s="99" t="n"/>
      <c r="J633" s="100" t="n"/>
      <c r="K633" s="98" t="inlineStr">
        <is>
          <t>AL</t>
        </is>
      </c>
      <c r="L633" s="99" t="n"/>
      <c r="M633" s="99" t="n"/>
      <c r="N633" s="100" t="n"/>
      <c r="O633" s="98" t="inlineStr">
        <is>
          <t>AL</t>
        </is>
      </c>
      <c r="P633" s="99" t="n"/>
      <c r="Q633" s="99" t="n"/>
      <c r="R633" s="100" t="n"/>
      <c r="S633" s="98" t="inlineStr">
        <is>
          <t>AL</t>
        </is>
      </c>
      <c r="T633" s="99" t="n"/>
      <c r="U633" s="99" t="n"/>
      <c r="V633" s="100" t="n"/>
      <c r="W633" s="98" t="n"/>
      <c r="X633" s="100" t="n"/>
      <c r="Y633" s="98" t="n"/>
      <c r="Z633" s="100" t="n"/>
      <c r="AB633" s="101">
        <f>IF($B633="","",(COUNTIF(C608:E625,$B633)+COUNTIF(C608:E625,$B633&amp;" ~*")&gt;0)+(COUNTIF(G608:I625,$B633)+COUNTIF(G608:I625,$B633&amp;" ~*")&gt;0)+(COUNTIF(K608:M625,$B633)+COUNTIF(K608:M625,$B633&amp;" ~*")&gt;0)+(COUNTIF(O608:Q625,$B633)+COUNTIF(O608:Q625,$B633&amp;" ~*")&gt;0)+(COUNTIF(S608:U625,$B633)+COUNTIF(S608:U625,$B633&amp;" ~*")&gt;0)+(COUNTIF(W608:W625,$B633)+COUNTIF(W608:W625,$B633&amp;" ~*")&gt;0)+(COUNTIF(Y608:Y625,$B633)+COUNTIF(Y608:Y625,$B633&amp;" ~*")&gt;0))</f>
        <v/>
      </c>
      <c r="AC633" s="36">
        <f>IF($B633="","",(IFERROR(INDEX(Setup!$G$33:$G$40,MATCH(C633,Setup!$B$33:$B$40,0)),0)=1)*(COUNTIF(C608:E625,$B633)+COUNTIF(C608:E625,$B633&amp;" ~*")&gt;0)+(IFERROR(INDEX(Setup!$G$33:$G$40,MATCH(G633,Setup!$B$33:$B$40,0)),0)=1)*(COUNTIF(G608:I625,$B633)+COUNTIF(G608:I625,$B633&amp;" ~*")&gt;0)+(IFERROR(INDEX(Setup!$G$33:$G$40,MATCH(K633,Setup!$B$33:$B$40,0)),0)=1)*(COUNTIF(K608:M625,$B633)+COUNTIF(K608:M625,$B633&amp;" ~*")&gt;0)+(IFERROR(INDEX(Setup!$G$33:$G$40,MATCH(O633,Setup!$B$33:$B$40,0)),0)=1)*(COUNTIF(O608:Q625,$B633)+COUNTIF(O608:Q625,$B633&amp;" ~*")&gt;0)+(IFERROR(INDEX(Setup!$G$33:$G$40,MATCH(S633,Setup!$B$33:$B$40,0)),0)=1)*(COUNTIF(S608:U625,$B633)+COUNTIF(S608:U625,$B633&amp;" ~*")&gt;0)+(IFERROR(INDEX(Setup!$G$33:$G$40,MATCH(W633,Setup!$B$33:$B$40,0)),0)=1)*(COUNTIF(W608:W625,$B633)+COUNTIF(W608:W625,$B633&amp;" ~*")&gt;0)+(IFERROR(INDEX(Setup!$G$33:$G$40,MATCH(Y633,Setup!$B$33:$B$40,0)),0)=1)*(COUNTIF(Y608:Y625,$B633)+COUNTIF(Y608:Y625,$B633&amp;" ~*")&gt;0))</f>
        <v/>
      </c>
    </row>
    <row r="634" ht="15" customHeight="1">
      <c r="A634" t="n">
        <v>13</v>
      </c>
      <c r="B634" s="37">
        <f>IF(Setup!$B$13="","",Setup!$B$13)</f>
        <v/>
      </c>
      <c r="C634" s="102" t="n"/>
      <c r="D634" s="103" t="n"/>
      <c r="E634" s="103" t="n"/>
      <c r="F634" s="104" t="n"/>
      <c r="G634" s="102" t="inlineStr">
        <is>
          <t>AL</t>
        </is>
      </c>
      <c r="H634" s="103" t="n"/>
      <c r="I634" s="103" t="n"/>
      <c r="J634" s="104" t="n"/>
      <c r="K634" s="102" t="inlineStr">
        <is>
          <t>AL</t>
        </is>
      </c>
      <c r="L634" s="103" t="n"/>
      <c r="M634" s="103" t="n"/>
      <c r="N634" s="104" t="n"/>
      <c r="O634" s="102" t="n"/>
      <c r="P634" s="103" t="n"/>
      <c r="Q634" s="103" t="n"/>
      <c r="R634" s="104" t="n"/>
      <c r="S634" s="102" t="inlineStr">
        <is>
          <t>AL</t>
        </is>
      </c>
      <c r="T634" s="103" t="n"/>
      <c r="U634" s="103" t="n"/>
      <c r="V634" s="104" t="n"/>
      <c r="W634" s="102" t="n"/>
      <c r="X634" s="104" t="n"/>
      <c r="Y634" s="102" t="n"/>
      <c r="Z634" s="104" t="n"/>
      <c r="AB634" s="105">
        <f>IF($B634="","",(COUNTIF(C608:E625,$B634)+COUNTIF(C608:E625,$B634&amp;" ~*")&gt;0)+(COUNTIF(G608:I625,$B634)+COUNTIF(G608:I625,$B634&amp;" ~*")&gt;0)+(COUNTIF(K608:M625,$B634)+COUNTIF(K608:M625,$B634&amp;" ~*")&gt;0)+(COUNTIF(O608:Q625,$B634)+COUNTIF(O608:Q625,$B634&amp;" ~*")&gt;0)+(COUNTIF(S608:U625,$B634)+COUNTIF(S608:U625,$B634&amp;" ~*")&gt;0)+(COUNTIF(W608:W625,$B634)+COUNTIF(W608:W625,$B634&amp;" ~*")&gt;0)+(COUNTIF(Y608:Y625,$B634)+COUNTIF(Y608:Y625,$B634&amp;" ~*")&gt;0))</f>
        <v/>
      </c>
      <c r="AC634" s="38">
        <f>IF($B634="","",(IFERROR(INDEX(Setup!$G$33:$G$40,MATCH(C634,Setup!$B$33:$B$40,0)),0)=1)*(COUNTIF(C608:E625,$B634)+COUNTIF(C608:E625,$B634&amp;" ~*")&gt;0)+(IFERROR(INDEX(Setup!$G$33:$G$40,MATCH(G634,Setup!$B$33:$B$40,0)),0)=1)*(COUNTIF(G608:I625,$B634)+COUNTIF(G608:I625,$B634&amp;" ~*")&gt;0)+(IFERROR(INDEX(Setup!$G$33:$G$40,MATCH(K634,Setup!$B$33:$B$40,0)),0)=1)*(COUNTIF(K608:M625,$B634)+COUNTIF(K608:M625,$B634&amp;" ~*")&gt;0)+(IFERROR(INDEX(Setup!$G$33:$G$40,MATCH(O634,Setup!$B$33:$B$40,0)),0)=1)*(COUNTIF(O608:Q625,$B634)+COUNTIF(O608:Q625,$B634&amp;" ~*")&gt;0)+(IFERROR(INDEX(Setup!$G$33:$G$40,MATCH(S634,Setup!$B$33:$B$40,0)),0)=1)*(COUNTIF(S608:U625,$B634)+COUNTIF(S608:U625,$B634&amp;" ~*")&gt;0)+(IFERROR(INDEX(Setup!$G$33:$G$40,MATCH(W634,Setup!$B$33:$B$40,0)),0)=1)*(COUNTIF(W608:W625,$B634)+COUNTIF(W608:W625,$B634&amp;" ~*")&gt;0)+(IFERROR(INDEX(Setup!$G$33:$G$40,MATCH(Y634,Setup!$B$33:$B$40,0)),0)=1)*(COUNTIF(Y608:Y625,$B634)+COUNTIF(Y608:Y625,$B634&amp;" ~*")&gt;0))</f>
        <v/>
      </c>
    </row>
    <row r="635" ht="15" customHeight="1">
      <c r="A635" t="n">
        <v>13</v>
      </c>
      <c r="B635" s="35">
        <f>IF(Setup!$B$14="","",Setup!$B$14)</f>
        <v/>
      </c>
      <c r="C635" s="98" t="n"/>
      <c r="D635" s="99" t="n"/>
      <c r="E635" s="99" t="n"/>
      <c r="F635" s="100" t="n"/>
      <c r="G635" s="98" t="n"/>
      <c r="H635" s="99" t="n"/>
      <c r="I635" s="99" t="n"/>
      <c r="J635" s="100" t="n"/>
      <c r="K635" s="98" t="n"/>
      <c r="L635" s="99" t="n"/>
      <c r="M635" s="99" t="n"/>
      <c r="N635" s="100" t="n"/>
      <c r="O635" s="98" t="n"/>
      <c r="P635" s="99" t="n"/>
      <c r="Q635" s="99" t="n"/>
      <c r="R635" s="100" t="n"/>
      <c r="S635" s="98" t="n"/>
      <c r="T635" s="99" t="n"/>
      <c r="U635" s="99" t="n"/>
      <c r="V635" s="100" t="n"/>
      <c r="W635" s="98" t="n"/>
      <c r="X635" s="100" t="n"/>
      <c r="Y635" s="98" t="n"/>
      <c r="Z635" s="100" t="n"/>
      <c r="AB635" s="101">
        <f>IF($B635="","",(COUNTIF(C608:E625,$B635)+COUNTIF(C608:E625,$B635&amp;" ~*")&gt;0)+(COUNTIF(G608:I625,$B635)+COUNTIF(G608:I625,$B635&amp;" ~*")&gt;0)+(COUNTIF(K608:M625,$B635)+COUNTIF(K608:M625,$B635&amp;" ~*")&gt;0)+(COUNTIF(O608:Q625,$B635)+COUNTIF(O608:Q625,$B635&amp;" ~*")&gt;0)+(COUNTIF(S608:U625,$B635)+COUNTIF(S608:U625,$B635&amp;" ~*")&gt;0)+(COUNTIF(W608:W625,$B635)+COUNTIF(W608:W625,$B635&amp;" ~*")&gt;0)+(COUNTIF(Y608:Y625,$B635)+COUNTIF(Y608:Y625,$B635&amp;" ~*")&gt;0))</f>
        <v/>
      </c>
      <c r="AC635" s="36">
        <f>IF($B635="","",(IFERROR(INDEX(Setup!$G$33:$G$40,MATCH(C635,Setup!$B$33:$B$40,0)),0)=1)*(COUNTIF(C608:E625,$B635)+COUNTIF(C608:E625,$B635&amp;" ~*")&gt;0)+(IFERROR(INDEX(Setup!$G$33:$G$40,MATCH(G635,Setup!$B$33:$B$40,0)),0)=1)*(COUNTIF(G608:I625,$B635)+COUNTIF(G608:I625,$B635&amp;" ~*")&gt;0)+(IFERROR(INDEX(Setup!$G$33:$G$40,MATCH(K635,Setup!$B$33:$B$40,0)),0)=1)*(COUNTIF(K608:M625,$B635)+COUNTIF(K608:M625,$B635&amp;" ~*")&gt;0)+(IFERROR(INDEX(Setup!$G$33:$G$40,MATCH(O635,Setup!$B$33:$B$40,0)),0)=1)*(COUNTIF(O608:Q625,$B635)+COUNTIF(O608:Q625,$B635&amp;" ~*")&gt;0)+(IFERROR(INDEX(Setup!$G$33:$G$40,MATCH(S635,Setup!$B$33:$B$40,0)),0)=1)*(COUNTIF(S608:U625,$B635)+COUNTIF(S608:U625,$B635&amp;" ~*")&gt;0)+(IFERROR(INDEX(Setup!$G$33:$G$40,MATCH(W635,Setup!$B$33:$B$40,0)),0)=1)*(COUNTIF(W608:W625,$B635)+COUNTIF(W608:W625,$B635&amp;" ~*")&gt;0)+(IFERROR(INDEX(Setup!$G$33:$G$40,MATCH(Y635,Setup!$B$33:$B$40,0)),0)=1)*(COUNTIF(Y608:Y625,$B635)+COUNTIF(Y608:Y625,$B635&amp;" ~*")&gt;0))</f>
        <v/>
      </c>
    </row>
    <row r="636" ht="15" customHeight="1">
      <c r="A636" t="n">
        <v>13</v>
      </c>
      <c r="B636" s="37">
        <f>IF(Setup!$B$15="","",Setup!$B$15)</f>
        <v/>
      </c>
      <c r="C636" s="102" t="n"/>
      <c r="D636" s="103" t="n"/>
      <c r="E636" s="103" t="n"/>
      <c r="F636" s="104" t="n"/>
      <c r="G636" s="102" t="n"/>
      <c r="H636" s="103" t="n"/>
      <c r="I636" s="103" t="n"/>
      <c r="J636" s="104" t="n"/>
      <c r="K636" s="102" t="n"/>
      <c r="L636" s="103" t="n"/>
      <c r="M636" s="103" t="n"/>
      <c r="N636" s="104" t="n"/>
      <c r="O636" s="102" t="n"/>
      <c r="P636" s="103" t="n"/>
      <c r="Q636" s="103" t="n"/>
      <c r="R636" s="104" t="n"/>
      <c r="S636" s="102" t="n"/>
      <c r="T636" s="103" t="n"/>
      <c r="U636" s="103" t="n"/>
      <c r="V636" s="104" t="n"/>
      <c r="W636" s="102" t="n"/>
      <c r="X636" s="104" t="n"/>
      <c r="Y636" s="102" t="n"/>
      <c r="Z636" s="104" t="n"/>
      <c r="AB636" s="105">
        <f>IF($B636="","",(COUNTIF(C608:E625,$B636)+COUNTIF(C608:E625,$B636&amp;" ~*")&gt;0)+(COUNTIF(G608:I625,$B636)+COUNTIF(G608:I625,$B636&amp;" ~*")&gt;0)+(COUNTIF(K608:M625,$B636)+COUNTIF(K608:M625,$B636&amp;" ~*")&gt;0)+(COUNTIF(O608:Q625,$B636)+COUNTIF(O608:Q625,$B636&amp;" ~*")&gt;0)+(COUNTIF(S608:U625,$B636)+COUNTIF(S608:U625,$B636&amp;" ~*")&gt;0)+(COUNTIF(W608:W625,$B636)+COUNTIF(W608:W625,$B636&amp;" ~*")&gt;0)+(COUNTIF(Y608:Y625,$B636)+COUNTIF(Y608:Y625,$B636&amp;" ~*")&gt;0))</f>
        <v/>
      </c>
      <c r="AC636" s="38">
        <f>IF($B636="","",(IFERROR(INDEX(Setup!$G$33:$G$40,MATCH(C636,Setup!$B$33:$B$40,0)),0)=1)*(COUNTIF(C608:E625,$B636)+COUNTIF(C608:E625,$B636&amp;" ~*")&gt;0)+(IFERROR(INDEX(Setup!$G$33:$G$40,MATCH(G636,Setup!$B$33:$B$40,0)),0)=1)*(COUNTIF(G608:I625,$B636)+COUNTIF(G608:I625,$B636&amp;" ~*")&gt;0)+(IFERROR(INDEX(Setup!$G$33:$G$40,MATCH(K636,Setup!$B$33:$B$40,0)),0)=1)*(COUNTIF(K608:M625,$B636)+COUNTIF(K608:M625,$B636&amp;" ~*")&gt;0)+(IFERROR(INDEX(Setup!$G$33:$G$40,MATCH(O636,Setup!$B$33:$B$40,0)),0)=1)*(COUNTIF(O608:Q625,$B636)+COUNTIF(O608:Q625,$B636&amp;" ~*")&gt;0)+(IFERROR(INDEX(Setup!$G$33:$G$40,MATCH(S636,Setup!$B$33:$B$40,0)),0)=1)*(COUNTIF(S608:U625,$B636)+COUNTIF(S608:U625,$B636&amp;" ~*")&gt;0)+(IFERROR(INDEX(Setup!$G$33:$G$40,MATCH(W636,Setup!$B$33:$B$40,0)),0)=1)*(COUNTIF(W608:W625,$B636)+COUNTIF(W608:W625,$B636&amp;" ~*")&gt;0)+(IFERROR(INDEX(Setup!$G$33:$G$40,MATCH(Y636,Setup!$B$33:$B$40,0)),0)=1)*(COUNTIF(Y608:Y625,$B636)+COUNTIF(Y608:Y625,$B636&amp;" ~*")&gt;0))</f>
        <v/>
      </c>
    </row>
    <row r="637" ht="15" customHeight="1">
      <c r="A637" t="n">
        <v>13</v>
      </c>
      <c r="B637" s="35">
        <f>IF(Setup!$B$16="","",Setup!$B$16)</f>
        <v/>
      </c>
      <c r="C637" s="98" t="n"/>
      <c r="D637" s="99" t="n"/>
      <c r="E637" s="99" t="n"/>
      <c r="F637" s="100" t="n"/>
      <c r="G637" s="98" t="n"/>
      <c r="H637" s="99" t="n"/>
      <c r="I637" s="99" t="n"/>
      <c r="J637" s="100" t="n"/>
      <c r="K637" s="98" t="n"/>
      <c r="L637" s="99" t="n"/>
      <c r="M637" s="99" t="n"/>
      <c r="N637" s="100" t="n"/>
      <c r="O637" s="98" t="n"/>
      <c r="P637" s="99" t="n"/>
      <c r="Q637" s="99" t="n"/>
      <c r="R637" s="100" t="n"/>
      <c r="S637" s="98" t="n"/>
      <c r="T637" s="99" t="n"/>
      <c r="U637" s="99" t="n"/>
      <c r="V637" s="100" t="n"/>
      <c r="W637" s="98" t="n"/>
      <c r="X637" s="100" t="n"/>
      <c r="Y637" s="98" t="n"/>
      <c r="Z637" s="100" t="n"/>
      <c r="AB637" s="101">
        <f>IF($B637="","",(COUNTIF(C608:E625,$B637)+COUNTIF(C608:E625,$B637&amp;" ~*")&gt;0)+(COUNTIF(G608:I625,$B637)+COUNTIF(G608:I625,$B637&amp;" ~*")&gt;0)+(COUNTIF(K608:M625,$B637)+COUNTIF(K608:M625,$B637&amp;" ~*")&gt;0)+(COUNTIF(O608:Q625,$B637)+COUNTIF(O608:Q625,$B637&amp;" ~*")&gt;0)+(COUNTIF(S608:U625,$B637)+COUNTIF(S608:U625,$B637&amp;" ~*")&gt;0)+(COUNTIF(W608:W625,$B637)+COUNTIF(W608:W625,$B637&amp;" ~*")&gt;0)+(COUNTIF(Y608:Y625,$B637)+COUNTIF(Y608:Y625,$B637&amp;" ~*")&gt;0))</f>
        <v/>
      </c>
      <c r="AC637" s="36">
        <f>IF($B637="","",(IFERROR(INDEX(Setup!$G$33:$G$40,MATCH(C637,Setup!$B$33:$B$40,0)),0)=1)*(COUNTIF(C608:E625,$B637)+COUNTIF(C608:E625,$B637&amp;" ~*")&gt;0)+(IFERROR(INDEX(Setup!$G$33:$G$40,MATCH(G637,Setup!$B$33:$B$40,0)),0)=1)*(COUNTIF(G608:I625,$B637)+COUNTIF(G608:I625,$B637&amp;" ~*")&gt;0)+(IFERROR(INDEX(Setup!$G$33:$G$40,MATCH(K637,Setup!$B$33:$B$40,0)),0)=1)*(COUNTIF(K608:M625,$B637)+COUNTIF(K608:M625,$B637&amp;" ~*")&gt;0)+(IFERROR(INDEX(Setup!$G$33:$G$40,MATCH(O637,Setup!$B$33:$B$40,0)),0)=1)*(COUNTIF(O608:Q625,$B637)+COUNTIF(O608:Q625,$B637&amp;" ~*")&gt;0)+(IFERROR(INDEX(Setup!$G$33:$G$40,MATCH(S637,Setup!$B$33:$B$40,0)),0)=1)*(COUNTIF(S608:U625,$B637)+COUNTIF(S608:U625,$B637&amp;" ~*")&gt;0)+(IFERROR(INDEX(Setup!$G$33:$G$40,MATCH(W637,Setup!$B$33:$B$40,0)),0)=1)*(COUNTIF(W608:W625,$B637)+COUNTIF(W608:W625,$B637&amp;" ~*")&gt;0)+(IFERROR(INDEX(Setup!$G$33:$G$40,MATCH(Y637,Setup!$B$33:$B$40,0)),0)=1)*(COUNTIF(Y608:Y625,$B637)+COUNTIF(Y608:Y625,$B637&amp;" ~*")&gt;0))</f>
        <v/>
      </c>
    </row>
    <row r="638" ht="15" customHeight="1">
      <c r="A638" t="n">
        <v>13</v>
      </c>
      <c r="B638" s="37">
        <f>IF(Setup!$B$17="","",Setup!$B$17)</f>
        <v/>
      </c>
      <c r="C638" s="102" t="n"/>
      <c r="D638" s="103" t="n"/>
      <c r="E638" s="103" t="n"/>
      <c r="F638" s="104" t="n"/>
      <c r="G638" s="102" t="n"/>
      <c r="H638" s="103" t="n"/>
      <c r="I638" s="103" t="n"/>
      <c r="J638" s="104" t="n"/>
      <c r="K638" s="102" t="n"/>
      <c r="L638" s="103" t="n"/>
      <c r="M638" s="103" t="n"/>
      <c r="N638" s="104" t="n"/>
      <c r="O638" s="102" t="n"/>
      <c r="P638" s="103" t="n"/>
      <c r="Q638" s="103" t="n"/>
      <c r="R638" s="104" t="n"/>
      <c r="S638" s="102" t="n"/>
      <c r="T638" s="103" t="n"/>
      <c r="U638" s="103" t="n"/>
      <c r="V638" s="104" t="n"/>
      <c r="W638" s="102" t="n"/>
      <c r="X638" s="104" t="n"/>
      <c r="Y638" s="102" t="n"/>
      <c r="Z638" s="104" t="n"/>
      <c r="AB638" s="105">
        <f>IF($B638="","",(COUNTIF(C608:E625,$B638)+COUNTIF(C608:E625,$B638&amp;" ~*")&gt;0)+(COUNTIF(G608:I625,$B638)+COUNTIF(G608:I625,$B638&amp;" ~*")&gt;0)+(COUNTIF(K608:M625,$B638)+COUNTIF(K608:M625,$B638&amp;" ~*")&gt;0)+(COUNTIF(O608:Q625,$B638)+COUNTIF(O608:Q625,$B638&amp;" ~*")&gt;0)+(COUNTIF(S608:U625,$B638)+COUNTIF(S608:U625,$B638&amp;" ~*")&gt;0)+(COUNTIF(W608:W625,$B638)+COUNTIF(W608:W625,$B638&amp;" ~*")&gt;0)+(COUNTIF(Y608:Y625,$B638)+COUNTIF(Y608:Y625,$B638&amp;" ~*")&gt;0))</f>
        <v/>
      </c>
      <c r="AC638" s="38">
        <f>IF($B638="","",(IFERROR(INDEX(Setup!$G$33:$G$40,MATCH(C638,Setup!$B$33:$B$40,0)),0)=1)*(COUNTIF(C608:E625,$B638)+COUNTIF(C608:E625,$B638&amp;" ~*")&gt;0)+(IFERROR(INDEX(Setup!$G$33:$G$40,MATCH(G638,Setup!$B$33:$B$40,0)),0)=1)*(COUNTIF(G608:I625,$B638)+COUNTIF(G608:I625,$B638&amp;" ~*")&gt;0)+(IFERROR(INDEX(Setup!$G$33:$G$40,MATCH(K638,Setup!$B$33:$B$40,0)),0)=1)*(COUNTIF(K608:M625,$B638)+COUNTIF(K608:M625,$B638&amp;" ~*")&gt;0)+(IFERROR(INDEX(Setup!$G$33:$G$40,MATCH(O638,Setup!$B$33:$B$40,0)),0)=1)*(COUNTIF(O608:Q625,$B638)+COUNTIF(O608:Q625,$B638&amp;" ~*")&gt;0)+(IFERROR(INDEX(Setup!$G$33:$G$40,MATCH(S638,Setup!$B$33:$B$40,0)),0)=1)*(COUNTIF(S608:U625,$B638)+COUNTIF(S608:U625,$B638&amp;" ~*")&gt;0)+(IFERROR(INDEX(Setup!$G$33:$G$40,MATCH(W638,Setup!$B$33:$B$40,0)),0)=1)*(COUNTIF(W608:W625,$B638)+COUNTIF(W608:W625,$B638&amp;" ~*")&gt;0)+(IFERROR(INDEX(Setup!$G$33:$G$40,MATCH(Y638,Setup!$B$33:$B$40,0)),0)=1)*(COUNTIF(Y608:Y625,$B638)+COUNTIF(Y608:Y625,$B638&amp;" ~*")&gt;0))</f>
        <v/>
      </c>
    </row>
    <row r="639" ht="15" customHeight="1">
      <c r="A639" t="n">
        <v>13</v>
      </c>
      <c r="B639" s="35">
        <f>IF(Setup!$B$18="","",Setup!$B$18)</f>
        <v/>
      </c>
      <c r="C639" s="98" t="n"/>
      <c r="D639" s="99" t="n"/>
      <c r="E639" s="99" t="n"/>
      <c r="F639" s="100" t="n"/>
      <c r="G639" s="98" t="n"/>
      <c r="H639" s="99" t="n"/>
      <c r="I639" s="99" t="n"/>
      <c r="J639" s="100" t="n"/>
      <c r="K639" s="98" t="n"/>
      <c r="L639" s="99" t="n"/>
      <c r="M639" s="99" t="n"/>
      <c r="N639" s="100" t="n"/>
      <c r="O639" s="98" t="n"/>
      <c r="P639" s="99" t="n"/>
      <c r="Q639" s="99" t="n"/>
      <c r="R639" s="100" t="n"/>
      <c r="S639" s="98" t="n"/>
      <c r="T639" s="99" t="n"/>
      <c r="U639" s="99" t="n"/>
      <c r="V639" s="100" t="n"/>
      <c r="W639" s="98" t="n"/>
      <c r="X639" s="100" t="n"/>
      <c r="Y639" s="98" t="n"/>
      <c r="Z639" s="100" t="n"/>
      <c r="AB639" s="101">
        <f>IF($B639="","",(COUNTIF(C608:E625,$B639)+COUNTIF(C608:E625,$B639&amp;" ~*")&gt;0)+(COUNTIF(G608:I625,$B639)+COUNTIF(G608:I625,$B639&amp;" ~*")&gt;0)+(COUNTIF(K608:M625,$B639)+COUNTIF(K608:M625,$B639&amp;" ~*")&gt;0)+(COUNTIF(O608:Q625,$B639)+COUNTIF(O608:Q625,$B639&amp;" ~*")&gt;0)+(COUNTIF(S608:U625,$B639)+COUNTIF(S608:U625,$B639&amp;" ~*")&gt;0)+(COUNTIF(W608:W625,$B639)+COUNTIF(W608:W625,$B639&amp;" ~*")&gt;0)+(COUNTIF(Y608:Y625,$B639)+COUNTIF(Y608:Y625,$B639&amp;" ~*")&gt;0))</f>
        <v/>
      </c>
      <c r="AC639" s="36">
        <f>IF($B639="","",(IFERROR(INDEX(Setup!$G$33:$G$40,MATCH(C639,Setup!$B$33:$B$40,0)),0)=1)*(COUNTIF(C608:E625,$B639)+COUNTIF(C608:E625,$B639&amp;" ~*")&gt;0)+(IFERROR(INDEX(Setup!$G$33:$G$40,MATCH(G639,Setup!$B$33:$B$40,0)),0)=1)*(COUNTIF(G608:I625,$B639)+COUNTIF(G608:I625,$B639&amp;" ~*")&gt;0)+(IFERROR(INDEX(Setup!$G$33:$G$40,MATCH(K639,Setup!$B$33:$B$40,0)),0)=1)*(COUNTIF(K608:M625,$B639)+COUNTIF(K608:M625,$B639&amp;" ~*")&gt;0)+(IFERROR(INDEX(Setup!$G$33:$G$40,MATCH(O639,Setup!$B$33:$B$40,0)),0)=1)*(COUNTIF(O608:Q625,$B639)+COUNTIF(O608:Q625,$B639&amp;" ~*")&gt;0)+(IFERROR(INDEX(Setup!$G$33:$G$40,MATCH(S639,Setup!$B$33:$B$40,0)),0)=1)*(COUNTIF(S608:U625,$B639)+COUNTIF(S608:U625,$B639&amp;" ~*")&gt;0)+(IFERROR(INDEX(Setup!$G$33:$G$40,MATCH(W639,Setup!$B$33:$B$40,0)),0)=1)*(COUNTIF(W608:W625,$B639)+COUNTIF(W608:W625,$B639&amp;" ~*")&gt;0)+(IFERROR(INDEX(Setup!$G$33:$G$40,MATCH(Y639,Setup!$B$33:$B$40,0)),0)=1)*(COUNTIF(Y608:Y625,$B639)+COUNTIF(Y608:Y625,$B639&amp;" ~*")&gt;0))</f>
        <v/>
      </c>
    </row>
    <row r="640" ht="15" customHeight="1">
      <c r="A640" t="n">
        <v>13</v>
      </c>
      <c r="B640" s="37">
        <f>IF(Setup!$B$19="","",Setup!$B$19)</f>
        <v/>
      </c>
      <c r="C640" s="102" t="n"/>
      <c r="D640" s="103" t="n"/>
      <c r="E640" s="103" t="n"/>
      <c r="F640" s="104" t="n"/>
      <c r="G640" s="102" t="n"/>
      <c r="H640" s="103" t="n"/>
      <c r="I640" s="103" t="n"/>
      <c r="J640" s="104" t="n"/>
      <c r="K640" s="102" t="n"/>
      <c r="L640" s="103" t="n"/>
      <c r="M640" s="103" t="n"/>
      <c r="N640" s="104" t="n"/>
      <c r="O640" s="102" t="n"/>
      <c r="P640" s="103" t="n"/>
      <c r="Q640" s="103" t="n"/>
      <c r="R640" s="104" t="n"/>
      <c r="S640" s="102" t="n"/>
      <c r="T640" s="103" t="n"/>
      <c r="U640" s="103" t="n"/>
      <c r="V640" s="104" t="n"/>
      <c r="W640" s="102" t="n"/>
      <c r="X640" s="104" t="n"/>
      <c r="Y640" s="102" t="n"/>
      <c r="Z640" s="104" t="n"/>
      <c r="AB640" s="105">
        <f>IF($B640="","",(COUNTIF(C608:E625,$B640)+COUNTIF(C608:E625,$B640&amp;" ~*")&gt;0)+(COUNTIF(G608:I625,$B640)+COUNTIF(G608:I625,$B640&amp;" ~*")&gt;0)+(COUNTIF(K608:M625,$B640)+COUNTIF(K608:M625,$B640&amp;" ~*")&gt;0)+(COUNTIF(O608:Q625,$B640)+COUNTIF(O608:Q625,$B640&amp;" ~*")&gt;0)+(COUNTIF(S608:U625,$B640)+COUNTIF(S608:U625,$B640&amp;" ~*")&gt;0)+(COUNTIF(W608:W625,$B640)+COUNTIF(W608:W625,$B640&amp;" ~*")&gt;0)+(COUNTIF(Y608:Y625,$B640)+COUNTIF(Y608:Y625,$B640&amp;" ~*")&gt;0))</f>
        <v/>
      </c>
      <c r="AC640" s="38">
        <f>IF($B640="","",(IFERROR(INDEX(Setup!$G$33:$G$40,MATCH(C640,Setup!$B$33:$B$40,0)),0)=1)*(COUNTIF(C608:E625,$B640)+COUNTIF(C608:E625,$B640&amp;" ~*")&gt;0)+(IFERROR(INDEX(Setup!$G$33:$G$40,MATCH(G640,Setup!$B$33:$B$40,0)),0)=1)*(COUNTIF(G608:I625,$B640)+COUNTIF(G608:I625,$B640&amp;" ~*")&gt;0)+(IFERROR(INDEX(Setup!$G$33:$G$40,MATCH(K640,Setup!$B$33:$B$40,0)),0)=1)*(COUNTIF(K608:M625,$B640)+COUNTIF(K608:M625,$B640&amp;" ~*")&gt;0)+(IFERROR(INDEX(Setup!$G$33:$G$40,MATCH(O640,Setup!$B$33:$B$40,0)),0)=1)*(COUNTIF(O608:Q625,$B640)+COUNTIF(O608:Q625,$B640&amp;" ~*")&gt;0)+(IFERROR(INDEX(Setup!$G$33:$G$40,MATCH(S640,Setup!$B$33:$B$40,0)),0)=1)*(COUNTIF(S608:U625,$B640)+COUNTIF(S608:U625,$B640&amp;" ~*")&gt;0)+(IFERROR(INDEX(Setup!$G$33:$G$40,MATCH(W640,Setup!$B$33:$B$40,0)),0)=1)*(COUNTIF(W608:W625,$B640)+COUNTIF(W608:W625,$B640&amp;" ~*")&gt;0)+(IFERROR(INDEX(Setup!$G$33:$G$40,MATCH(Y640,Setup!$B$33:$B$40,0)),0)=1)*(COUNTIF(Y608:Y625,$B640)+COUNTIF(Y608:Y625,$B640&amp;" ~*")&gt;0))</f>
        <v/>
      </c>
    </row>
    <row r="641" ht="15" customHeight="1">
      <c r="A641" t="n">
        <v>13</v>
      </c>
      <c r="B641" s="35">
        <f>IF(Setup!$B$20="","",Setup!$B$20)</f>
        <v/>
      </c>
      <c r="C641" s="98" t="n"/>
      <c r="D641" s="99" t="n"/>
      <c r="E641" s="99" t="n"/>
      <c r="F641" s="100" t="n"/>
      <c r="G641" s="98" t="n"/>
      <c r="H641" s="99" t="n"/>
      <c r="I641" s="99" t="n"/>
      <c r="J641" s="100" t="n"/>
      <c r="K641" s="98" t="n"/>
      <c r="L641" s="99" t="n"/>
      <c r="M641" s="99" t="n"/>
      <c r="N641" s="100" t="n"/>
      <c r="O641" s="98" t="n"/>
      <c r="P641" s="99" t="n"/>
      <c r="Q641" s="99" t="n"/>
      <c r="R641" s="100" t="n"/>
      <c r="S641" s="98" t="n"/>
      <c r="T641" s="99" t="n"/>
      <c r="U641" s="99" t="n"/>
      <c r="V641" s="100" t="n"/>
      <c r="W641" s="98" t="n"/>
      <c r="X641" s="100" t="n"/>
      <c r="Y641" s="98" t="n"/>
      <c r="Z641" s="100" t="n"/>
      <c r="AB641" s="101">
        <f>IF($B641="","",(COUNTIF(C608:E625,$B641)+COUNTIF(C608:E625,$B641&amp;" ~*")&gt;0)+(COUNTIF(G608:I625,$B641)+COUNTIF(G608:I625,$B641&amp;" ~*")&gt;0)+(COUNTIF(K608:M625,$B641)+COUNTIF(K608:M625,$B641&amp;" ~*")&gt;0)+(COUNTIF(O608:Q625,$B641)+COUNTIF(O608:Q625,$B641&amp;" ~*")&gt;0)+(COUNTIF(S608:U625,$B641)+COUNTIF(S608:U625,$B641&amp;" ~*")&gt;0)+(COUNTIF(W608:W625,$B641)+COUNTIF(W608:W625,$B641&amp;" ~*")&gt;0)+(COUNTIF(Y608:Y625,$B641)+COUNTIF(Y608:Y625,$B641&amp;" ~*")&gt;0))</f>
        <v/>
      </c>
      <c r="AC641" s="36">
        <f>IF($B641="","",(IFERROR(INDEX(Setup!$G$33:$G$40,MATCH(C641,Setup!$B$33:$B$40,0)),0)=1)*(COUNTIF(C608:E625,$B641)+COUNTIF(C608:E625,$B641&amp;" ~*")&gt;0)+(IFERROR(INDEX(Setup!$G$33:$G$40,MATCH(G641,Setup!$B$33:$B$40,0)),0)=1)*(COUNTIF(G608:I625,$B641)+COUNTIF(G608:I625,$B641&amp;" ~*")&gt;0)+(IFERROR(INDEX(Setup!$G$33:$G$40,MATCH(K641,Setup!$B$33:$B$40,0)),0)=1)*(COUNTIF(K608:M625,$B641)+COUNTIF(K608:M625,$B641&amp;" ~*")&gt;0)+(IFERROR(INDEX(Setup!$G$33:$G$40,MATCH(O641,Setup!$B$33:$B$40,0)),0)=1)*(COUNTIF(O608:Q625,$B641)+COUNTIF(O608:Q625,$B641&amp;" ~*")&gt;0)+(IFERROR(INDEX(Setup!$G$33:$G$40,MATCH(S641,Setup!$B$33:$B$40,0)),0)=1)*(COUNTIF(S608:U625,$B641)+COUNTIF(S608:U625,$B641&amp;" ~*")&gt;0)+(IFERROR(INDEX(Setup!$G$33:$G$40,MATCH(W641,Setup!$B$33:$B$40,0)),0)=1)*(COUNTIF(W608:W625,$B641)+COUNTIF(W608:W625,$B641&amp;" ~*")&gt;0)+(IFERROR(INDEX(Setup!$G$33:$G$40,MATCH(Y641,Setup!$B$33:$B$40,0)),0)=1)*(COUNTIF(Y608:Y625,$B641)+COUNTIF(Y608:Y625,$B641&amp;" ~*")&gt;0))</f>
        <v/>
      </c>
    </row>
    <row r="642" ht="15" customHeight="1">
      <c r="A642" t="n">
        <v>13</v>
      </c>
      <c r="B642" s="37">
        <f>IF(Setup!$B$21="","",Setup!$B$21)</f>
        <v/>
      </c>
      <c r="C642" s="102" t="n"/>
      <c r="D642" s="103" t="n"/>
      <c r="E642" s="103" t="n"/>
      <c r="F642" s="104" t="n"/>
      <c r="G642" s="102" t="inlineStr">
        <is>
          <t>AL</t>
        </is>
      </c>
      <c r="H642" s="103" t="n"/>
      <c r="I642" s="103" t="n"/>
      <c r="J642" s="104" t="n"/>
      <c r="K642" s="102" t="inlineStr">
        <is>
          <t>AL</t>
        </is>
      </c>
      <c r="L642" s="103" t="n"/>
      <c r="M642" s="103" t="n"/>
      <c r="N642" s="104" t="n"/>
      <c r="O642" s="102" t="n"/>
      <c r="P642" s="103" t="n"/>
      <c r="Q642" s="103" t="n"/>
      <c r="R642" s="104" t="n"/>
      <c r="S642" s="102" t="n"/>
      <c r="T642" s="103" t="n"/>
      <c r="U642" s="103" t="n"/>
      <c r="V642" s="104" t="n"/>
      <c r="W642" s="102" t="n"/>
      <c r="X642" s="104" t="n"/>
      <c r="Y642" s="102" t="n"/>
      <c r="Z642" s="104" t="n"/>
      <c r="AB642" s="105">
        <f>IF($B642="","",(COUNTIF(C608:E625,$B642)+COUNTIF(C608:E625,$B642&amp;" ~*")&gt;0)+(COUNTIF(G608:I625,$B642)+COUNTIF(G608:I625,$B642&amp;" ~*")&gt;0)+(COUNTIF(K608:M625,$B642)+COUNTIF(K608:M625,$B642&amp;" ~*")&gt;0)+(COUNTIF(O608:Q625,$B642)+COUNTIF(O608:Q625,$B642&amp;" ~*")&gt;0)+(COUNTIF(S608:U625,$B642)+COUNTIF(S608:U625,$B642&amp;" ~*")&gt;0)+(COUNTIF(W608:W625,$B642)+COUNTIF(W608:W625,$B642&amp;" ~*")&gt;0)+(COUNTIF(Y608:Y625,$B642)+COUNTIF(Y608:Y625,$B642&amp;" ~*")&gt;0))</f>
        <v/>
      </c>
      <c r="AC642" s="38">
        <f>IF($B642="","",(IFERROR(INDEX(Setup!$G$33:$G$40,MATCH(C642,Setup!$B$33:$B$40,0)),0)=1)*(COUNTIF(C608:E625,$B642)+COUNTIF(C608:E625,$B642&amp;" ~*")&gt;0)+(IFERROR(INDEX(Setup!$G$33:$G$40,MATCH(G642,Setup!$B$33:$B$40,0)),0)=1)*(COUNTIF(G608:I625,$B642)+COUNTIF(G608:I625,$B642&amp;" ~*")&gt;0)+(IFERROR(INDEX(Setup!$G$33:$G$40,MATCH(K642,Setup!$B$33:$B$40,0)),0)=1)*(COUNTIF(K608:M625,$B642)+COUNTIF(K608:M625,$B642&amp;" ~*")&gt;0)+(IFERROR(INDEX(Setup!$G$33:$G$40,MATCH(O642,Setup!$B$33:$B$40,0)),0)=1)*(COUNTIF(O608:Q625,$B642)+COUNTIF(O608:Q625,$B642&amp;" ~*")&gt;0)+(IFERROR(INDEX(Setup!$G$33:$G$40,MATCH(S642,Setup!$B$33:$B$40,0)),0)=1)*(COUNTIF(S608:U625,$B642)+COUNTIF(S608:U625,$B642&amp;" ~*")&gt;0)+(IFERROR(INDEX(Setup!$G$33:$G$40,MATCH(W642,Setup!$B$33:$B$40,0)),0)=1)*(COUNTIF(W608:W625,$B642)+COUNTIF(W608:W625,$B642&amp;" ~*")&gt;0)+(IFERROR(INDEX(Setup!$G$33:$G$40,MATCH(Y642,Setup!$B$33:$B$40,0)),0)=1)*(COUNTIF(Y608:Y625,$B642)+COUNTIF(Y608:Y625,$B642&amp;" ~*")&gt;0))</f>
        <v/>
      </c>
    </row>
    <row r="643" ht="15" customHeight="1">
      <c r="A643" t="n">
        <v>13</v>
      </c>
      <c r="B643" s="35">
        <f>IF(Setup!$B$22="","",Setup!$B$22)</f>
        <v/>
      </c>
      <c r="C643" s="98" t="n"/>
      <c r="D643" s="99" t="n"/>
      <c r="E643" s="99" t="n"/>
      <c r="F643" s="100" t="n"/>
      <c r="G643" s="98" t="inlineStr">
        <is>
          <t>AL</t>
        </is>
      </c>
      <c r="H643" s="99" t="n"/>
      <c r="I643" s="99" t="n"/>
      <c r="J643" s="100" t="n"/>
      <c r="K643" s="98" t="inlineStr">
        <is>
          <t>AL</t>
        </is>
      </c>
      <c r="L643" s="99" t="n"/>
      <c r="M643" s="99" t="n"/>
      <c r="N643" s="100" t="n"/>
      <c r="O643" s="98" t="inlineStr">
        <is>
          <t>AL</t>
        </is>
      </c>
      <c r="P643" s="99" t="n"/>
      <c r="Q643" s="99" t="n"/>
      <c r="R643" s="100" t="n"/>
      <c r="S643" s="98" t="inlineStr">
        <is>
          <t>AL</t>
        </is>
      </c>
      <c r="T643" s="99" t="n"/>
      <c r="U643" s="99" t="n"/>
      <c r="V643" s="100" t="n"/>
      <c r="W643" s="98" t="n"/>
      <c r="X643" s="100" t="n"/>
      <c r="Y643" s="98" t="n"/>
      <c r="Z643" s="100" t="n"/>
      <c r="AB643" s="101">
        <f>IF($B643="","",(COUNTIF(C608:E625,$B643)+COUNTIF(C608:E625,$B643&amp;" ~*")&gt;0)+(COUNTIF(G608:I625,$B643)+COUNTIF(G608:I625,$B643&amp;" ~*")&gt;0)+(COUNTIF(K608:M625,$B643)+COUNTIF(K608:M625,$B643&amp;" ~*")&gt;0)+(COUNTIF(O608:Q625,$B643)+COUNTIF(O608:Q625,$B643&amp;" ~*")&gt;0)+(COUNTIF(S608:U625,$B643)+COUNTIF(S608:U625,$B643&amp;" ~*")&gt;0)+(COUNTIF(W608:W625,$B643)+COUNTIF(W608:W625,$B643&amp;" ~*")&gt;0)+(COUNTIF(Y608:Y625,$B643)+COUNTIF(Y608:Y625,$B643&amp;" ~*")&gt;0))</f>
        <v/>
      </c>
      <c r="AC643" s="36">
        <f>IF($B643="","",(IFERROR(INDEX(Setup!$G$33:$G$40,MATCH(C643,Setup!$B$33:$B$40,0)),0)=1)*(COUNTIF(C608:E625,$B643)+COUNTIF(C608:E625,$B643&amp;" ~*")&gt;0)+(IFERROR(INDEX(Setup!$G$33:$G$40,MATCH(G643,Setup!$B$33:$B$40,0)),0)=1)*(COUNTIF(G608:I625,$B643)+COUNTIF(G608:I625,$B643&amp;" ~*")&gt;0)+(IFERROR(INDEX(Setup!$G$33:$G$40,MATCH(K643,Setup!$B$33:$B$40,0)),0)=1)*(COUNTIF(K608:M625,$B643)+COUNTIF(K608:M625,$B643&amp;" ~*")&gt;0)+(IFERROR(INDEX(Setup!$G$33:$G$40,MATCH(O643,Setup!$B$33:$B$40,0)),0)=1)*(COUNTIF(O608:Q625,$B643)+COUNTIF(O608:Q625,$B643&amp;" ~*")&gt;0)+(IFERROR(INDEX(Setup!$G$33:$G$40,MATCH(S643,Setup!$B$33:$B$40,0)),0)=1)*(COUNTIF(S608:U625,$B643)+COUNTIF(S608:U625,$B643&amp;" ~*")&gt;0)+(IFERROR(INDEX(Setup!$G$33:$G$40,MATCH(W643,Setup!$B$33:$B$40,0)),0)=1)*(COUNTIF(W608:W625,$B643)+COUNTIF(W608:W625,$B643&amp;" ~*")&gt;0)+(IFERROR(INDEX(Setup!$G$33:$G$40,MATCH(Y643,Setup!$B$33:$B$40,0)),0)=1)*(COUNTIF(Y608:Y625,$B643)+COUNTIF(Y608:Y625,$B643&amp;" ~*")&gt;0))</f>
        <v/>
      </c>
    </row>
    <row r="644" ht="15" customHeight="1">
      <c r="A644" t="n">
        <v>13</v>
      </c>
      <c r="B644" s="37">
        <f>IF(Setup!$B$23="","",Setup!$B$23)</f>
        <v/>
      </c>
      <c r="C644" s="102" t="n"/>
      <c r="D644" s="103" t="n"/>
      <c r="E644" s="103" t="n"/>
      <c r="F644" s="104" t="n"/>
      <c r="G644" s="102" t="n"/>
      <c r="H644" s="103" t="n"/>
      <c r="I644" s="103" t="n"/>
      <c r="J644" s="104" t="n"/>
      <c r="K644" s="102" t="n"/>
      <c r="L644" s="103" t="n"/>
      <c r="M644" s="103" t="n"/>
      <c r="N644" s="104" t="n"/>
      <c r="O644" s="102" t="n"/>
      <c r="P644" s="103" t="n"/>
      <c r="Q644" s="103" t="n"/>
      <c r="R644" s="104" t="n"/>
      <c r="S644" s="102" t="n"/>
      <c r="T644" s="103" t="n"/>
      <c r="U644" s="103" t="n"/>
      <c r="V644" s="104" t="n"/>
      <c r="W644" s="102" t="n"/>
      <c r="X644" s="104" t="n"/>
      <c r="Y644" s="102" t="n"/>
      <c r="Z644" s="104" t="n"/>
      <c r="AB644" s="105">
        <f>IF($B644="","",(COUNTIF(C608:E625,$B644)+COUNTIF(C608:E625,$B644&amp;" ~*")&gt;0)+(COUNTIF(G608:I625,$B644)+COUNTIF(G608:I625,$B644&amp;" ~*")&gt;0)+(COUNTIF(K608:M625,$B644)+COUNTIF(K608:M625,$B644&amp;" ~*")&gt;0)+(COUNTIF(O608:Q625,$B644)+COUNTIF(O608:Q625,$B644&amp;" ~*")&gt;0)+(COUNTIF(S608:U625,$B644)+COUNTIF(S608:U625,$B644&amp;" ~*")&gt;0)+(COUNTIF(W608:W625,$B644)+COUNTIF(W608:W625,$B644&amp;" ~*")&gt;0)+(COUNTIF(Y608:Y625,$B644)+COUNTIF(Y608:Y625,$B644&amp;" ~*")&gt;0))</f>
        <v/>
      </c>
      <c r="AC644" s="38">
        <f>IF($B644="","",(IFERROR(INDEX(Setup!$G$33:$G$40,MATCH(C644,Setup!$B$33:$B$40,0)),0)=1)*(COUNTIF(C608:E625,$B644)+COUNTIF(C608:E625,$B644&amp;" ~*")&gt;0)+(IFERROR(INDEX(Setup!$G$33:$G$40,MATCH(G644,Setup!$B$33:$B$40,0)),0)=1)*(COUNTIF(G608:I625,$B644)+COUNTIF(G608:I625,$B644&amp;" ~*")&gt;0)+(IFERROR(INDEX(Setup!$G$33:$G$40,MATCH(K644,Setup!$B$33:$B$40,0)),0)=1)*(COUNTIF(K608:M625,$B644)+COUNTIF(K608:M625,$B644&amp;" ~*")&gt;0)+(IFERROR(INDEX(Setup!$G$33:$G$40,MATCH(O644,Setup!$B$33:$B$40,0)),0)=1)*(COUNTIF(O608:Q625,$B644)+COUNTIF(O608:Q625,$B644&amp;" ~*")&gt;0)+(IFERROR(INDEX(Setup!$G$33:$G$40,MATCH(S644,Setup!$B$33:$B$40,0)),0)=1)*(COUNTIF(S608:U625,$B644)+COUNTIF(S608:U625,$B644&amp;" ~*")&gt;0)+(IFERROR(INDEX(Setup!$G$33:$G$40,MATCH(W644,Setup!$B$33:$B$40,0)),0)=1)*(COUNTIF(W608:W625,$B644)+COUNTIF(W608:W625,$B644&amp;" ~*")&gt;0)+(IFERROR(INDEX(Setup!$G$33:$G$40,MATCH(Y644,Setup!$B$33:$B$40,0)),0)=1)*(COUNTIF(Y608:Y625,$B644)+COUNTIF(Y608:Y625,$B644&amp;" ~*")&gt;0))</f>
        <v/>
      </c>
    </row>
    <row r="645" ht="15" customHeight="1">
      <c r="A645" t="n">
        <v>13</v>
      </c>
      <c r="B645" s="35">
        <f>IF(Setup!$B$24="","",Setup!$B$24)</f>
        <v/>
      </c>
      <c r="C645" s="98" t="n"/>
      <c r="D645" s="99" t="n"/>
      <c r="E645" s="99" t="n"/>
      <c r="F645" s="100" t="n"/>
      <c r="G645" s="98" t="n"/>
      <c r="H645" s="99" t="n"/>
      <c r="I645" s="99" t="n"/>
      <c r="J645" s="100" t="n"/>
      <c r="K645" s="98" t="n"/>
      <c r="L645" s="99" t="n"/>
      <c r="M645" s="99" t="n"/>
      <c r="N645" s="100" t="n"/>
      <c r="O645" s="98" t="n"/>
      <c r="P645" s="99" t="n"/>
      <c r="Q645" s="99" t="n"/>
      <c r="R645" s="100" t="n"/>
      <c r="S645" s="98" t="n"/>
      <c r="T645" s="99" t="n"/>
      <c r="U645" s="99" t="n"/>
      <c r="V645" s="100" t="n"/>
      <c r="W645" s="98" t="n"/>
      <c r="X645" s="100" t="n"/>
      <c r="Y645" s="98" t="n"/>
      <c r="Z645" s="100" t="n"/>
      <c r="AB645" s="101">
        <f>IF($B645="","",(COUNTIF(C608:E625,$B645)+COUNTIF(C608:E625,$B645&amp;" ~*")&gt;0)+(COUNTIF(G608:I625,$B645)+COUNTIF(G608:I625,$B645&amp;" ~*")&gt;0)+(COUNTIF(K608:M625,$B645)+COUNTIF(K608:M625,$B645&amp;" ~*")&gt;0)+(COUNTIF(O608:Q625,$B645)+COUNTIF(O608:Q625,$B645&amp;" ~*")&gt;0)+(COUNTIF(S608:U625,$B645)+COUNTIF(S608:U625,$B645&amp;" ~*")&gt;0)+(COUNTIF(W608:W625,$B645)+COUNTIF(W608:W625,$B645&amp;" ~*")&gt;0)+(COUNTIF(Y608:Y625,$B645)+COUNTIF(Y608:Y625,$B645&amp;" ~*")&gt;0))</f>
        <v/>
      </c>
      <c r="AC645" s="36">
        <f>IF($B645="","",(IFERROR(INDEX(Setup!$G$33:$G$40,MATCH(C645,Setup!$B$33:$B$40,0)),0)=1)*(COUNTIF(C608:E625,$B645)+COUNTIF(C608:E625,$B645&amp;" ~*")&gt;0)+(IFERROR(INDEX(Setup!$G$33:$G$40,MATCH(G645,Setup!$B$33:$B$40,0)),0)=1)*(COUNTIF(G608:I625,$B645)+COUNTIF(G608:I625,$B645&amp;" ~*")&gt;0)+(IFERROR(INDEX(Setup!$G$33:$G$40,MATCH(K645,Setup!$B$33:$B$40,0)),0)=1)*(COUNTIF(K608:M625,$B645)+COUNTIF(K608:M625,$B645&amp;" ~*")&gt;0)+(IFERROR(INDEX(Setup!$G$33:$G$40,MATCH(O645,Setup!$B$33:$B$40,0)),0)=1)*(COUNTIF(O608:Q625,$B645)+COUNTIF(O608:Q625,$B645&amp;" ~*")&gt;0)+(IFERROR(INDEX(Setup!$G$33:$G$40,MATCH(S645,Setup!$B$33:$B$40,0)),0)=1)*(COUNTIF(S608:U625,$B645)+COUNTIF(S608:U625,$B645&amp;" ~*")&gt;0)+(IFERROR(INDEX(Setup!$G$33:$G$40,MATCH(W645,Setup!$B$33:$B$40,0)),0)=1)*(COUNTIF(W608:W625,$B645)+COUNTIF(W608:W625,$B645&amp;" ~*")&gt;0)+(IFERROR(INDEX(Setup!$G$33:$G$40,MATCH(Y645,Setup!$B$33:$B$40,0)),0)=1)*(COUNTIF(Y608:Y625,$B645)+COUNTIF(Y608:Y625,$B645&amp;" ~*")&gt;0))</f>
        <v/>
      </c>
    </row>
    <row r="646" ht="15" customHeight="1">
      <c r="A646" t="n">
        <v>13</v>
      </c>
      <c r="B646" s="37">
        <f>IF(Setup!$B$25="","",Setup!$B$25)</f>
        <v/>
      </c>
      <c r="C646" s="102" t="n"/>
      <c r="D646" s="103" t="n"/>
      <c r="E646" s="103" t="n"/>
      <c r="F646" s="104" t="n"/>
      <c r="G646" s="102" t="n"/>
      <c r="H646" s="103" t="n"/>
      <c r="I646" s="103" t="n"/>
      <c r="J646" s="104" t="n"/>
      <c r="K646" s="102" t="n"/>
      <c r="L646" s="103" t="n"/>
      <c r="M646" s="103" t="n"/>
      <c r="N646" s="104" t="n"/>
      <c r="O646" s="102" t="n"/>
      <c r="P646" s="103" t="n"/>
      <c r="Q646" s="103" t="n"/>
      <c r="R646" s="104" t="n"/>
      <c r="S646" s="102" t="n"/>
      <c r="T646" s="103" t="n"/>
      <c r="U646" s="103" t="n"/>
      <c r="V646" s="104" t="n"/>
      <c r="W646" s="102" t="n"/>
      <c r="X646" s="104" t="n"/>
      <c r="Y646" s="102" t="n"/>
      <c r="Z646" s="104" t="n"/>
      <c r="AB646" s="105">
        <f>IF($B646="","",(COUNTIF(C608:E625,$B646)+COUNTIF(C608:E625,$B646&amp;" ~*")&gt;0)+(COUNTIF(G608:I625,$B646)+COUNTIF(G608:I625,$B646&amp;" ~*")&gt;0)+(COUNTIF(K608:M625,$B646)+COUNTIF(K608:M625,$B646&amp;" ~*")&gt;0)+(COUNTIF(O608:Q625,$B646)+COUNTIF(O608:Q625,$B646&amp;" ~*")&gt;0)+(COUNTIF(S608:U625,$B646)+COUNTIF(S608:U625,$B646&amp;" ~*")&gt;0)+(COUNTIF(W608:W625,$B646)+COUNTIF(W608:W625,$B646&amp;" ~*")&gt;0)+(COUNTIF(Y608:Y625,$B646)+COUNTIF(Y608:Y625,$B646&amp;" ~*")&gt;0))</f>
        <v/>
      </c>
      <c r="AC646" s="38">
        <f>IF($B646="","",(IFERROR(INDEX(Setup!$G$33:$G$40,MATCH(C646,Setup!$B$33:$B$40,0)),0)=1)*(COUNTIF(C608:E625,$B646)+COUNTIF(C608:E625,$B646&amp;" ~*")&gt;0)+(IFERROR(INDEX(Setup!$G$33:$G$40,MATCH(G646,Setup!$B$33:$B$40,0)),0)=1)*(COUNTIF(G608:I625,$B646)+COUNTIF(G608:I625,$B646&amp;" ~*")&gt;0)+(IFERROR(INDEX(Setup!$G$33:$G$40,MATCH(K646,Setup!$B$33:$B$40,0)),0)=1)*(COUNTIF(K608:M625,$B646)+COUNTIF(K608:M625,$B646&amp;" ~*")&gt;0)+(IFERROR(INDEX(Setup!$G$33:$G$40,MATCH(O646,Setup!$B$33:$B$40,0)),0)=1)*(COUNTIF(O608:Q625,$B646)+COUNTIF(O608:Q625,$B646&amp;" ~*")&gt;0)+(IFERROR(INDEX(Setup!$G$33:$G$40,MATCH(S646,Setup!$B$33:$B$40,0)),0)=1)*(COUNTIF(S608:U625,$B646)+COUNTIF(S608:U625,$B646&amp;" ~*")&gt;0)+(IFERROR(INDEX(Setup!$G$33:$G$40,MATCH(W646,Setup!$B$33:$B$40,0)),0)=1)*(COUNTIF(W608:W625,$B646)+COUNTIF(W608:W625,$B646&amp;" ~*")&gt;0)+(IFERROR(INDEX(Setup!$G$33:$G$40,MATCH(Y646,Setup!$B$33:$B$40,0)),0)=1)*(COUNTIF(Y608:Y625,$B646)+COUNTIF(Y608:Y625,$B646&amp;" ~*")&gt;0))</f>
        <v/>
      </c>
    </row>
    <row r="647" ht="15" customHeight="1">
      <c r="A647" t="n">
        <v>13</v>
      </c>
      <c r="B647" s="35">
        <f>IF(Setup!$B$26="","",Setup!$B$26)</f>
        <v/>
      </c>
      <c r="C647" s="98" t="n"/>
      <c r="D647" s="99" t="n"/>
      <c r="E647" s="99" t="n"/>
      <c r="F647" s="100" t="n"/>
      <c r="G647" s="98" t="n"/>
      <c r="H647" s="99" t="n"/>
      <c r="I647" s="99" t="n"/>
      <c r="J647" s="100" t="n"/>
      <c r="K647" s="98" t="n"/>
      <c r="L647" s="99" t="n"/>
      <c r="M647" s="99" t="n"/>
      <c r="N647" s="100" t="n"/>
      <c r="O647" s="98" t="n"/>
      <c r="P647" s="99" t="n"/>
      <c r="Q647" s="99" t="n"/>
      <c r="R647" s="100" t="n"/>
      <c r="S647" s="98" t="n"/>
      <c r="T647" s="99" t="n"/>
      <c r="U647" s="99" t="n"/>
      <c r="V647" s="100" t="n"/>
      <c r="W647" s="98" t="n"/>
      <c r="X647" s="100" t="n"/>
      <c r="Y647" s="98" t="n"/>
      <c r="Z647" s="100" t="n"/>
      <c r="AB647" s="101">
        <f>IF($B647="","",(COUNTIF(C608:E625,$B647)+COUNTIF(C608:E625,$B647&amp;" ~*")&gt;0)+(COUNTIF(G608:I625,$B647)+COUNTIF(G608:I625,$B647&amp;" ~*")&gt;0)+(COUNTIF(K608:M625,$B647)+COUNTIF(K608:M625,$B647&amp;" ~*")&gt;0)+(COUNTIF(O608:Q625,$B647)+COUNTIF(O608:Q625,$B647&amp;" ~*")&gt;0)+(COUNTIF(S608:U625,$B647)+COUNTIF(S608:U625,$B647&amp;" ~*")&gt;0)+(COUNTIF(W608:W625,$B647)+COUNTIF(W608:W625,$B647&amp;" ~*")&gt;0)+(COUNTIF(Y608:Y625,$B647)+COUNTIF(Y608:Y625,$B647&amp;" ~*")&gt;0))</f>
        <v/>
      </c>
      <c r="AC647" s="36">
        <f>IF($B647="","",(IFERROR(INDEX(Setup!$G$33:$G$40,MATCH(C647,Setup!$B$33:$B$40,0)),0)=1)*(COUNTIF(C608:E625,$B647)+COUNTIF(C608:E625,$B647&amp;" ~*")&gt;0)+(IFERROR(INDEX(Setup!$G$33:$G$40,MATCH(G647,Setup!$B$33:$B$40,0)),0)=1)*(COUNTIF(G608:I625,$B647)+COUNTIF(G608:I625,$B647&amp;" ~*")&gt;0)+(IFERROR(INDEX(Setup!$G$33:$G$40,MATCH(K647,Setup!$B$33:$B$40,0)),0)=1)*(COUNTIF(K608:M625,$B647)+COUNTIF(K608:M625,$B647&amp;" ~*")&gt;0)+(IFERROR(INDEX(Setup!$G$33:$G$40,MATCH(O647,Setup!$B$33:$B$40,0)),0)=1)*(COUNTIF(O608:Q625,$B647)+COUNTIF(O608:Q625,$B647&amp;" ~*")&gt;0)+(IFERROR(INDEX(Setup!$G$33:$G$40,MATCH(S647,Setup!$B$33:$B$40,0)),0)=1)*(COUNTIF(S608:U625,$B647)+COUNTIF(S608:U625,$B647&amp;" ~*")&gt;0)+(IFERROR(INDEX(Setup!$G$33:$G$40,MATCH(W647,Setup!$B$33:$B$40,0)),0)=1)*(COUNTIF(W608:W625,$B647)+COUNTIF(W608:W625,$B647&amp;" ~*")&gt;0)+(IFERROR(INDEX(Setup!$G$33:$G$40,MATCH(Y647,Setup!$B$33:$B$40,0)),0)=1)*(COUNTIF(Y608:Y625,$B647)+COUNTIF(Y608:Y625,$B647&amp;" ~*")&gt;0))</f>
        <v/>
      </c>
    </row>
    <row r="648" ht="15" customHeight="1">
      <c r="A648" t="n">
        <v>13</v>
      </c>
      <c r="B648" s="37">
        <f>IF(Setup!$B$27="","",Setup!$B$27)</f>
        <v/>
      </c>
      <c r="C648" s="102" t="n"/>
      <c r="D648" s="103" t="n"/>
      <c r="E648" s="103" t="n"/>
      <c r="F648" s="104" t="n"/>
      <c r="G648" s="102" t="n"/>
      <c r="H648" s="103" t="n"/>
      <c r="I648" s="103" t="n"/>
      <c r="J648" s="104" t="n"/>
      <c r="K648" s="102" t="n"/>
      <c r="L648" s="103" t="n"/>
      <c r="M648" s="103" t="n"/>
      <c r="N648" s="104" t="n"/>
      <c r="O648" s="102" t="n"/>
      <c r="P648" s="103" t="n"/>
      <c r="Q648" s="103" t="n"/>
      <c r="R648" s="104" t="n"/>
      <c r="S648" s="102" t="n"/>
      <c r="T648" s="103" t="n"/>
      <c r="U648" s="103" t="n"/>
      <c r="V648" s="104" t="n"/>
      <c r="W648" s="102" t="n"/>
      <c r="X648" s="104" t="n"/>
      <c r="Y648" s="102" t="n"/>
      <c r="Z648" s="104" t="n"/>
      <c r="AB648" s="105">
        <f>IF($B648="","",(COUNTIF(C608:E625,$B648)+COUNTIF(C608:E625,$B648&amp;" ~*")&gt;0)+(COUNTIF(G608:I625,$B648)+COUNTIF(G608:I625,$B648&amp;" ~*")&gt;0)+(COUNTIF(K608:M625,$B648)+COUNTIF(K608:M625,$B648&amp;" ~*")&gt;0)+(COUNTIF(O608:Q625,$B648)+COUNTIF(O608:Q625,$B648&amp;" ~*")&gt;0)+(COUNTIF(S608:U625,$B648)+COUNTIF(S608:U625,$B648&amp;" ~*")&gt;0)+(COUNTIF(W608:W625,$B648)+COUNTIF(W608:W625,$B648&amp;" ~*")&gt;0)+(COUNTIF(Y608:Y625,$B648)+COUNTIF(Y608:Y625,$B648&amp;" ~*")&gt;0))</f>
        <v/>
      </c>
      <c r="AC648" s="38">
        <f>IF($B648="","",(IFERROR(INDEX(Setup!$G$33:$G$40,MATCH(C648,Setup!$B$33:$B$40,0)),0)=1)*(COUNTIF(C608:E625,$B648)+COUNTIF(C608:E625,$B648&amp;" ~*")&gt;0)+(IFERROR(INDEX(Setup!$G$33:$G$40,MATCH(G648,Setup!$B$33:$B$40,0)),0)=1)*(COUNTIF(G608:I625,$B648)+COUNTIF(G608:I625,$B648&amp;" ~*")&gt;0)+(IFERROR(INDEX(Setup!$G$33:$G$40,MATCH(K648,Setup!$B$33:$B$40,0)),0)=1)*(COUNTIF(K608:M625,$B648)+COUNTIF(K608:M625,$B648&amp;" ~*")&gt;0)+(IFERROR(INDEX(Setup!$G$33:$G$40,MATCH(O648,Setup!$B$33:$B$40,0)),0)=1)*(COUNTIF(O608:Q625,$B648)+COUNTIF(O608:Q625,$B648&amp;" ~*")&gt;0)+(IFERROR(INDEX(Setup!$G$33:$G$40,MATCH(S648,Setup!$B$33:$B$40,0)),0)=1)*(COUNTIF(S608:U625,$B648)+COUNTIF(S608:U625,$B648&amp;" ~*")&gt;0)+(IFERROR(INDEX(Setup!$G$33:$G$40,MATCH(W648,Setup!$B$33:$B$40,0)),0)=1)*(COUNTIF(W608:W625,$B648)+COUNTIF(W608:W625,$B648&amp;" ~*")&gt;0)+(IFERROR(INDEX(Setup!$G$33:$G$40,MATCH(Y648,Setup!$B$33:$B$40,0)),0)=1)*(COUNTIF(Y608:Y625,$B648)+COUNTIF(Y608:Y625,$B648&amp;" ~*")&gt;0))</f>
        <v/>
      </c>
    </row>
    <row r="649" ht="15" customHeight="1">
      <c r="A649" t="n">
        <v>13</v>
      </c>
      <c r="B649" s="35">
        <f>IF(Setup!$B$28="","",Setup!$B$28)</f>
        <v/>
      </c>
      <c r="C649" s="98" t="n"/>
      <c r="D649" s="99" t="n"/>
      <c r="E649" s="99" t="n"/>
      <c r="F649" s="100" t="n"/>
      <c r="G649" s="98" t="n"/>
      <c r="H649" s="99" t="n"/>
      <c r="I649" s="99" t="n"/>
      <c r="J649" s="100" t="n"/>
      <c r="K649" s="98" t="n"/>
      <c r="L649" s="99" t="n"/>
      <c r="M649" s="99" t="n"/>
      <c r="N649" s="100" t="n"/>
      <c r="O649" s="98" t="n"/>
      <c r="P649" s="99" t="n"/>
      <c r="Q649" s="99" t="n"/>
      <c r="R649" s="100" t="n"/>
      <c r="S649" s="98" t="n"/>
      <c r="T649" s="99" t="n"/>
      <c r="U649" s="99" t="n"/>
      <c r="V649" s="100" t="n"/>
      <c r="W649" s="98" t="n"/>
      <c r="X649" s="100" t="n"/>
      <c r="Y649" s="98" t="n"/>
      <c r="Z649" s="100" t="n"/>
      <c r="AB649" s="101">
        <f>IF($B649="","",(COUNTIF(C608:E625,$B649)+COUNTIF(C608:E625,$B649&amp;" ~*")&gt;0)+(COUNTIF(G608:I625,$B649)+COUNTIF(G608:I625,$B649&amp;" ~*")&gt;0)+(COUNTIF(K608:M625,$B649)+COUNTIF(K608:M625,$B649&amp;" ~*")&gt;0)+(COUNTIF(O608:Q625,$B649)+COUNTIF(O608:Q625,$B649&amp;" ~*")&gt;0)+(COUNTIF(S608:U625,$B649)+COUNTIF(S608:U625,$B649&amp;" ~*")&gt;0)+(COUNTIF(W608:W625,$B649)+COUNTIF(W608:W625,$B649&amp;" ~*")&gt;0)+(COUNTIF(Y608:Y625,$B649)+COUNTIF(Y608:Y625,$B649&amp;" ~*")&gt;0))</f>
        <v/>
      </c>
      <c r="AC649" s="36">
        <f>IF($B649="","",(IFERROR(INDEX(Setup!$G$33:$G$40,MATCH(C649,Setup!$B$33:$B$40,0)),0)=1)*(COUNTIF(C608:E625,$B649)+COUNTIF(C608:E625,$B649&amp;" ~*")&gt;0)+(IFERROR(INDEX(Setup!$G$33:$G$40,MATCH(G649,Setup!$B$33:$B$40,0)),0)=1)*(COUNTIF(G608:I625,$B649)+COUNTIF(G608:I625,$B649&amp;" ~*")&gt;0)+(IFERROR(INDEX(Setup!$G$33:$G$40,MATCH(K649,Setup!$B$33:$B$40,0)),0)=1)*(COUNTIF(K608:M625,$B649)+COUNTIF(K608:M625,$B649&amp;" ~*")&gt;0)+(IFERROR(INDEX(Setup!$G$33:$G$40,MATCH(O649,Setup!$B$33:$B$40,0)),0)=1)*(COUNTIF(O608:Q625,$B649)+COUNTIF(O608:Q625,$B649&amp;" ~*")&gt;0)+(IFERROR(INDEX(Setup!$G$33:$G$40,MATCH(S649,Setup!$B$33:$B$40,0)),0)=1)*(COUNTIF(S608:U625,$B649)+COUNTIF(S608:U625,$B649&amp;" ~*")&gt;0)+(IFERROR(INDEX(Setup!$G$33:$G$40,MATCH(W649,Setup!$B$33:$B$40,0)),0)=1)*(COUNTIF(W608:W625,$B649)+COUNTIF(W608:W625,$B649&amp;" ~*")&gt;0)+(IFERROR(INDEX(Setup!$G$33:$G$40,MATCH(Y649,Setup!$B$33:$B$40,0)),0)=1)*(COUNTIF(Y608:Y625,$B649)+COUNTIF(Y608:Y625,$B649&amp;" ~*")&gt;0))</f>
        <v/>
      </c>
    </row>
    <row r="650" ht="15" customHeight="1">
      <c r="A650" t="n">
        <v>13</v>
      </c>
      <c r="B650" s="37">
        <f>IF(Setup!$B$29="","",Setup!$B$29)</f>
        <v/>
      </c>
      <c r="C650" s="102" t="n"/>
      <c r="D650" s="103" t="n"/>
      <c r="E650" s="103" t="n"/>
      <c r="F650" s="104" t="n"/>
      <c r="G650" s="102" t="n"/>
      <c r="H650" s="103" t="n"/>
      <c r="I650" s="103" t="n"/>
      <c r="J650" s="104" t="n"/>
      <c r="K650" s="102" t="n"/>
      <c r="L650" s="103" t="n"/>
      <c r="M650" s="103" t="n"/>
      <c r="N650" s="104" t="n"/>
      <c r="O650" s="102" t="n"/>
      <c r="P650" s="103" t="n"/>
      <c r="Q650" s="103" t="n"/>
      <c r="R650" s="104" t="n"/>
      <c r="S650" s="102" t="n"/>
      <c r="T650" s="103" t="n"/>
      <c r="U650" s="103" t="n"/>
      <c r="V650" s="104" t="n"/>
      <c r="W650" s="102" t="n"/>
      <c r="X650" s="104" t="n"/>
      <c r="Y650" s="102" t="n"/>
      <c r="Z650" s="104" t="n"/>
      <c r="AB650" s="105">
        <f>IF($B650="","",(COUNTIF(C608:E625,$B650)+COUNTIF(C608:E625,$B650&amp;" ~*")&gt;0)+(COUNTIF(G608:I625,$B650)+COUNTIF(G608:I625,$B650&amp;" ~*")&gt;0)+(COUNTIF(K608:M625,$B650)+COUNTIF(K608:M625,$B650&amp;" ~*")&gt;0)+(COUNTIF(O608:Q625,$B650)+COUNTIF(O608:Q625,$B650&amp;" ~*")&gt;0)+(COUNTIF(S608:U625,$B650)+COUNTIF(S608:U625,$B650&amp;" ~*")&gt;0)+(COUNTIF(W608:W625,$B650)+COUNTIF(W608:W625,$B650&amp;" ~*")&gt;0)+(COUNTIF(Y608:Y625,$B650)+COUNTIF(Y608:Y625,$B650&amp;" ~*")&gt;0))</f>
        <v/>
      </c>
      <c r="AC650" s="38">
        <f>IF($B650="","",(IFERROR(INDEX(Setup!$G$33:$G$40,MATCH(C650,Setup!$B$33:$B$40,0)),0)=1)*(COUNTIF(C608:E625,$B650)+COUNTIF(C608:E625,$B650&amp;" ~*")&gt;0)+(IFERROR(INDEX(Setup!$G$33:$G$40,MATCH(G650,Setup!$B$33:$B$40,0)),0)=1)*(COUNTIF(G608:I625,$B650)+COUNTIF(G608:I625,$B650&amp;" ~*")&gt;0)+(IFERROR(INDEX(Setup!$G$33:$G$40,MATCH(K650,Setup!$B$33:$B$40,0)),0)=1)*(COUNTIF(K608:M625,$B650)+COUNTIF(K608:M625,$B650&amp;" ~*")&gt;0)+(IFERROR(INDEX(Setup!$G$33:$G$40,MATCH(O650,Setup!$B$33:$B$40,0)),0)=1)*(COUNTIF(O608:Q625,$B650)+COUNTIF(O608:Q625,$B650&amp;" ~*")&gt;0)+(IFERROR(INDEX(Setup!$G$33:$G$40,MATCH(S650,Setup!$B$33:$B$40,0)),0)=1)*(COUNTIF(S608:U625,$B650)+COUNTIF(S608:U625,$B650&amp;" ~*")&gt;0)+(IFERROR(INDEX(Setup!$G$33:$G$40,MATCH(W650,Setup!$B$33:$B$40,0)),0)=1)*(COUNTIF(W608:W625,$B650)+COUNTIF(W608:W625,$B650&amp;" ~*")&gt;0)+(IFERROR(INDEX(Setup!$G$33:$G$40,MATCH(Y650,Setup!$B$33:$B$40,0)),0)=1)*(COUNTIF(Y608:Y625,$B650)+COUNTIF(Y608:Y625,$B650&amp;" ~*")&gt;0))</f>
        <v/>
      </c>
    </row>
    <row r="651" ht="16" customHeight="1">
      <c r="A651" t="n">
        <v>13</v>
      </c>
      <c r="B651" s="106" t="inlineStr">
        <is>
          <t>Available people</t>
        </is>
      </c>
      <c r="C651" s="107">
        <f>COUNTIFS(Setup!$E$6:$E$29,"Y",Setup!$B$6:$B$29,"?*")-SUMPRODUCT(COUNTIF(C627:C650,Setup!$F$33:$F$40))</f>
        <v/>
      </c>
      <c r="D651" s="107" t="n"/>
      <c r="E651" s="107" t="n"/>
      <c r="F651" s="107" t="n"/>
      <c r="G651" s="107">
        <f>COUNTIFS(Setup!$E$6:$E$29,"Y",Setup!$B$6:$B$29,"?*")-SUMPRODUCT(COUNTIF(G627:G650,Setup!$F$33:$F$40))</f>
        <v/>
      </c>
      <c r="H651" s="107" t="n"/>
      <c r="I651" s="107" t="n"/>
      <c r="J651" s="107" t="n"/>
      <c r="K651" s="107">
        <f>COUNTIFS(Setup!$E$6:$E$29,"Y",Setup!$B$6:$B$29,"?*")-SUMPRODUCT(COUNTIF(K627:K650,Setup!$F$33:$F$40))</f>
        <v/>
      </c>
      <c r="L651" s="107" t="n"/>
      <c r="M651" s="107" t="n"/>
      <c r="N651" s="107" t="n"/>
      <c r="O651" s="107">
        <f>COUNTIFS(Setup!$E$6:$E$29,"Y",Setup!$B$6:$B$29,"?*")-SUMPRODUCT(COUNTIF(O627:O650,Setup!$F$33:$F$40))</f>
        <v/>
      </c>
      <c r="P651" s="107" t="n"/>
      <c r="Q651" s="107" t="n"/>
      <c r="R651" s="107" t="n"/>
      <c r="S651" s="107">
        <f>COUNTIFS(Setup!$E$6:$E$29,"Y",Setup!$B$6:$B$29,"?*")-SUMPRODUCT(COUNTIF(S627:S650,Setup!$F$33:$F$40))</f>
        <v/>
      </c>
      <c r="T651" s="107" t="n"/>
      <c r="U651" s="107" t="n"/>
      <c r="V651" s="107" t="n"/>
      <c r="W651" s="107">
        <f>COUNTIFS(Setup!$E$6:$E$29,"Y",Setup!$B$6:$B$29,"?*")-SUMPRODUCT(COUNTIF(W627:W650,Setup!$F$33:$F$40))</f>
        <v/>
      </c>
      <c r="X651" s="107" t="n"/>
      <c r="Y651" s="107">
        <f>COUNTIFS(Setup!$E$6:$E$29,"Y",Setup!$B$6:$B$29,"?*")-SUMPRODUCT(COUNTIF(Y627:Y650,Setup!$F$33:$F$40))</f>
        <v/>
      </c>
      <c r="Z651" s="107" t="n"/>
      <c r="AB651" s="108">
        <f>SUM(AB627:AB650)</f>
        <v/>
      </c>
      <c r="AC651" s="109">
        <f>SUM(AC627:AC650)</f>
        <v/>
      </c>
    </row>
    <row r="652" ht="30" customHeight="1">
      <c r="A652" t="n">
        <v>13</v>
      </c>
      <c r="B652" s="110" t="inlineStr">
        <is>
          <t>Week notes</t>
        </is>
      </c>
      <c r="C652" s="111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112" t="n"/>
      <c r="R652" s="112" t="n"/>
      <c r="S652" s="112" t="n"/>
      <c r="T652" s="112" t="n"/>
      <c r="U652" s="112" t="n"/>
      <c r="V652" s="112" t="n"/>
      <c r="W652" s="112" t="n"/>
      <c r="X652" s="112" t="n"/>
      <c r="Y652" s="112" t="n"/>
      <c r="Z652" s="113" t="n"/>
    </row>
    <row r="653" ht="8" customHeight="1">
      <c r="A653" t="n">
        <v>13</v>
      </c>
    </row>
    <row r="654" ht="8" customHeight="1">
      <c r="A654" t="n">
        <v>13</v>
      </c>
    </row>
    <row r="655" ht="24" customHeight="1">
      <c r="A655" t="n">
        <v>14</v>
      </c>
      <c r="B655" s="73">
        <f>"WEEK 14     "&amp;TEXT(C656,"ddd d mmm")&amp;"  –  "&amp;TEXT(C656+6,"ddd d mmm yyyy")</f>
        <v/>
      </c>
      <c r="S655" s="74">
        <f>IF(TODAY()&lt;C656,"FUTURE",IF(TODAY()&gt;C656+6,"PAST","THIS WEEK"))</f>
        <v/>
      </c>
      <c r="W655" s="75">
        <f>IF(AND(Engine!$B$8=$AC$3,Engine!$B$9=$A655),"◀ ACTIVE WEEK","")</f>
        <v/>
      </c>
      <c r="AA655" s="76" t="n"/>
      <c r="AB655" s="77" t="inlineStr">
        <is>
          <t>◀ Prev</t>
        </is>
      </c>
      <c r="AC655" s="77" t="inlineStr">
        <is>
          <t>Next ▶</t>
        </is>
      </c>
    </row>
    <row r="656" ht="18" customHeight="1">
      <c r="A656" t="n">
        <v>14</v>
      </c>
      <c r="B656" s="78" t="inlineStr">
        <is>
          <t>DUTY</t>
        </is>
      </c>
      <c r="C656" s="79">
        <f>$AC$2+7*($A656-1)</f>
        <v/>
      </c>
      <c r="D656" s="80" t="n"/>
      <c r="E656" s="80" t="n"/>
      <c r="F656" s="81" t="n"/>
      <c r="G656" s="79">
        <f>C656+1</f>
        <v/>
      </c>
      <c r="H656" s="80" t="n"/>
      <c r="I656" s="80" t="n"/>
      <c r="J656" s="81" t="n"/>
      <c r="K656" s="79">
        <f>C656+2</f>
        <v/>
      </c>
      <c r="L656" s="80" t="n"/>
      <c r="M656" s="80" t="n"/>
      <c r="N656" s="81" t="n"/>
      <c r="O656" s="79">
        <f>C656+3</f>
        <v/>
      </c>
      <c r="P656" s="80" t="n"/>
      <c r="Q656" s="80" t="n"/>
      <c r="R656" s="81" t="n"/>
      <c r="S656" s="79">
        <f>C656+4</f>
        <v/>
      </c>
      <c r="T656" s="80" t="n"/>
      <c r="U656" s="80" t="n"/>
      <c r="V656" s="81" t="n"/>
      <c r="W656" s="82">
        <f>C656+5</f>
        <v/>
      </c>
      <c r="X656" s="83" t="n"/>
      <c r="Y656" s="82">
        <f>C656+6</f>
        <v/>
      </c>
      <c r="Z656" s="83" t="n"/>
      <c r="AB656" s="72" t="inlineStr">
        <is>
          <t>Gaps</t>
        </is>
      </c>
      <c r="AC656" s="72" t="inlineStr">
        <is>
          <t>Cover</t>
        </is>
      </c>
    </row>
    <row r="657" ht="14" customHeight="1">
      <c r="A657" t="n">
        <v>14</v>
      </c>
      <c r="B657" s="84" t="inlineStr">
        <is>
          <t>(from Setup)</t>
        </is>
      </c>
      <c r="C657" s="85" t="inlineStr">
        <is>
          <t>1</t>
        </is>
      </c>
      <c r="D657" s="85" t="inlineStr">
        <is>
          <t>2</t>
        </is>
      </c>
      <c r="E657" s="85" t="inlineStr">
        <is>
          <t>3</t>
        </is>
      </c>
      <c r="F657" s="85" t="inlineStr">
        <is>
          <t>Notes</t>
        </is>
      </c>
      <c r="G657" s="85" t="inlineStr">
        <is>
          <t>1</t>
        </is>
      </c>
      <c r="H657" s="85" t="inlineStr">
        <is>
          <t>2</t>
        </is>
      </c>
      <c r="I657" s="85" t="inlineStr">
        <is>
          <t>3</t>
        </is>
      </c>
      <c r="J657" s="85" t="inlineStr">
        <is>
          <t>Notes</t>
        </is>
      </c>
      <c r="K657" s="85" t="inlineStr">
        <is>
          <t>1</t>
        </is>
      </c>
      <c r="L657" s="85" t="inlineStr">
        <is>
          <t>2</t>
        </is>
      </c>
      <c r="M657" s="85" t="inlineStr">
        <is>
          <t>3</t>
        </is>
      </c>
      <c r="N657" s="85" t="inlineStr">
        <is>
          <t>Notes</t>
        </is>
      </c>
      <c r="O657" s="85" t="inlineStr">
        <is>
          <t>1</t>
        </is>
      </c>
      <c r="P657" s="85" t="inlineStr">
        <is>
          <t>2</t>
        </is>
      </c>
      <c r="Q657" s="85" t="inlineStr">
        <is>
          <t>3</t>
        </is>
      </c>
      <c r="R657" s="85" t="inlineStr">
        <is>
          <t>Notes</t>
        </is>
      </c>
      <c r="S657" s="85" t="inlineStr">
        <is>
          <t>1</t>
        </is>
      </c>
      <c r="T657" s="85" t="inlineStr">
        <is>
          <t>2</t>
        </is>
      </c>
      <c r="U657" s="85" t="inlineStr">
        <is>
          <t>3</t>
        </is>
      </c>
      <c r="V657" s="85" t="inlineStr">
        <is>
          <t>Notes</t>
        </is>
      </c>
      <c r="W657" s="85" t="inlineStr">
        <is>
          <t>Cover</t>
        </is>
      </c>
      <c r="X657" s="85" t="inlineStr">
        <is>
          <t>Notes</t>
        </is>
      </c>
      <c r="Y657" s="85" t="inlineStr">
        <is>
          <t>Cover</t>
        </is>
      </c>
      <c r="Z657" s="85" t="inlineStr">
        <is>
          <t>Notes</t>
        </is>
      </c>
      <c r="AB657" s="86" t="inlineStr">
        <is>
          <t>weekdays short</t>
        </is>
      </c>
      <c r="AC657" s="87" t="inlineStr"/>
    </row>
    <row r="658" ht="17" customHeight="1">
      <c r="A658" t="n">
        <v>14</v>
      </c>
      <c r="B658" s="24">
        <f>IF(Setup!$K$6="","",Setup!$K$6)</f>
        <v/>
      </c>
      <c r="C658" s="88" t="n"/>
      <c r="D658" s="88" t="n"/>
      <c r="E658" s="88" t="n"/>
      <c r="F658" s="89" t="n"/>
      <c r="G658" s="88" t="n"/>
      <c r="H658" s="88" t="n"/>
      <c r="I658" s="88" t="n"/>
      <c r="J658" s="89" t="n"/>
      <c r="K658" s="88" t="n"/>
      <c r="L658" s="88" t="n"/>
      <c r="M658" s="88" t="n"/>
      <c r="N658" s="89" t="n"/>
      <c r="O658" s="88" t="n"/>
      <c r="P658" s="88" t="n"/>
      <c r="Q658" s="88" t="n"/>
      <c r="R658" s="89" t="n"/>
      <c r="S658" s="88" t="n"/>
      <c r="T658" s="88" t="n"/>
      <c r="U658" s="88" t="n"/>
      <c r="V658" s="89" t="n"/>
      <c r="W658" s="88" t="n"/>
      <c r="X658" s="89" t="n"/>
      <c r="Y658" s="88" t="n"/>
      <c r="Z658" s="89" t="n"/>
      <c r="AB658" s="25">
        <f>IF($B658="","",(COUNTIF(C658:E658,"?*")&lt;N(INDEX(Setup!$L$6:$L$23,1)))+(COUNTIF(G658:I658,"?*")&lt;N(INDEX(Setup!$L$6:$L$23,1)))+(COUNTIF(K658:M658,"?*")&lt;N(INDEX(Setup!$L$6:$L$23,1)))+(COUNTIF(O658:Q658,"?*")&lt;N(INDEX(Setup!$L$6:$L$23,1)))+(COUNTIF(S658:U658,"?*")&lt;N(INDEX(Setup!$L$6:$L$23,1)))+((W658="")*(INDEX(Setup!$M$6:$M$23,1)="Y"))+((Y658="")*(INDEX(Setup!$M$6:$M$23,1)="Y")))</f>
        <v/>
      </c>
      <c r="AC658" s="90">
        <f>IF($B658="","",IF(AB658=0,"✓ covered","⚠ "&amp;AB658&amp;IF(AB658=1," gap"," gaps")))</f>
        <v/>
      </c>
    </row>
    <row r="659" ht="17" customHeight="1">
      <c r="A659" t="n">
        <v>14</v>
      </c>
      <c r="B659" s="29">
        <f>IF(Setup!$K$7="","",Setup!$K$7)</f>
        <v/>
      </c>
      <c r="C659" s="88" t="n"/>
      <c r="D659" s="88" t="n"/>
      <c r="E659" s="88" t="n"/>
      <c r="F659" s="89" t="n"/>
      <c r="G659" s="88" t="n"/>
      <c r="H659" s="88" t="n"/>
      <c r="I659" s="88" t="n"/>
      <c r="J659" s="89" t="n"/>
      <c r="K659" s="88" t="n"/>
      <c r="L659" s="88" t="n"/>
      <c r="M659" s="88" t="n"/>
      <c r="N659" s="89" t="n"/>
      <c r="O659" s="88" t="n"/>
      <c r="P659" s="88" t="n"/>
      <c r="Q659" s="88" t="n"/>
      <c r="R659" s="89" t="n"/>
      <c r="S659" s="88" t="n"/>
      <c r="T659" s="88" t="n"/>
      <c r="U659" s="88" t="n"/>
      <c r="V659" s="89" t="n"/>
      <c r="W659" s="88" t="n"/>
      <c r="X659" s="89" t="n"/>
      <c r="Y659" s="88" t="n"/>
      <c r="Z659" s="89" t="n"/>
      <c r="AB659" s="30">
        <f>IF($B659="","",(COUNTIF(C659:E659,"?*")&lt;N(INDEX(Setup!$L$6:$L$23,2)))+(COUNTIF(G659:I659,"?*")&lt;N(INDEX(Setup!$L$6:$L$23,2)))+(COUNTIF(K659:M659,"?*")&lt;N(INDEX(Setup!$L$6:$L$23,2)))+(COUNTIF(O659:Q659,"?*")&lt;N(INDEX(Setup!$L$6:$L$23,2)))+(COUNTIF(S659:U659,"?*")&lt;N(INDEX(Setup!$L$6:$L$23,2)))+((W659="")*(INDEX(Setup!$M$6:$M$23,2)="Y"))+((Y659="")*(INDEX(Setup!$M$6:$M$23,2)="Y")))</f>
        <v/>
      </c>
      <c r="AC659" s="91">
        <f>IF($B659="","",IF(AB659=0,"✓ covered","⚠ "&amp;AB659&amp;IF(AB659=1," gap"," gaps")))</f>
        <v/>
      </c>
    </row>
    <row r="660" ht="17" customHeight="1">
      <c r="A660" t="n">
        <v>14</v>
      </c>
      <c r="B660" s="24">
        <f>IF(Setup!$K$8="","",Setup!$K$8)</f>
        <v/>
      </c>
      <c r="C660" s="88" t="n"/>
      <c r="D660" s="88" t="n"/>
      <c r="E660" s="88" t="n"/>
      <c r="F660" s="89" t="n"/>
      <c r="G660" s="88" t="n"/>
      <c r="H660" s="88" t="n"/>
      <c r="I660" s="88" t="n"/>
      <c r="J660" s="89" t="n"/>
      <c r="K660" s="88" t="n"/>
      <c r="L660" s="88" t="n"/>
      <c r="M660" s="88" t="n"/>
      <c r="N660" s="89" t="n"/>
      <c r="O660" s="88" t="n"/>
      <c r="P660" s="88" t="n"/>
      <c r="Q660" s="88" t="n"/>
      <c r="R660" s="89" t="n"/>
      <c r="S660" s="88" t="n"/>
      <c r="T660" s="88" t="n"/>
      <c r="U660" s="88" t="n"/>
      <c r="V660" s="89" t="n"/>
      <c r="W660" s="88" t="n"/>
      <c r="X660" s="89" t="n"/>
      <c r="Y660" s="88" t="n"/>
      <c r="Z660" s="89" t="n"/>
      <c r="AB660" s="25">
        <f>IF($B660="","",(COUNTIF(C660:E660,"?*")&lt;N(INDEX(Setup!$L$6:$L$23,3)))+(COUNTIF(G660:I660,"?*")&lt;N(INDEX(Setup!$L$6:$L$23,3)))+(COUNTIF(K660:M660,"?*")&lt;N(INDEX(Setup!$L$6:$L$23,3)))+(COUNTIF(O660:Q660,"?*")&lt;N(INDEX(Setup!$L$6:$L$23,3)))+(COUNTIF(S660:U660,"?*")&lt;N(INDEX(Setup!$L$6:$L$23,3)))+((W660="")*(INDEX(Setup!$M$6:$M$23,3)="Y"))+((Y660="")*(INDEX(Setup!$M$6:$M$23,3)="Y")))</f>
        <v/>
      </c>
      <c r="AC660" s="90">
        <f>IF($B660="","",IF(AB660=0,"✓ covered","⚠ "&amp;AB660&amp;IF(AB660=1," gap"," gaps")))</f>
        <v/>
      </c>
    </row>
    <row r="661" ht="17" customHeight="1">
      <c r="A661" t="n">
        <v>14</v>
      </c>
      <c r="B661" s="29">
        <f>IF(Setup!$K$9="","",Setup!$K$9)</f>
        <v/>
      </c>
      <c r="C661" s="88" t="n"/>
      <c r="D661" s="88" t="n"/>
      <c r="E661" s="88" t="n"/>
      <c r="F661" s="89" t="n"/>
      <c r="G661" s="88" t="n"/>
      <c r="H661" s="88" t="n"/>
      <c r="I661" s="88" t="n"/>
      <c r="J661" s="89" t="n"/>
      <c r="K661" s="88" t="n"/>
      <c r="L661" s="88" t="n"/>
      <c r="M661" s="88" t="n"/>
      <c r="N661" s="89" t="n"/>
      <c r="O661" s="88" t="n"/>
      <c r="P661" s="88" t="n"/>
      <c r="Q661" s="88" t="n"/>
      <c r="R661" s="89" t="n"/>
      <c r="S661" s="88" t="n"/>
      <c r="T661" s="88" t="n"/>
      <c r="U661" s="88" t="n"/>
      <c r="V661" s="89" t="n"/>
      <c r="W661" s="88" t="n"/>
      <c r="X661" s="89" t="n"/>
      <c r="Y661" s="88" t="n"/>
      <c r="Z661" s="89" t="n"/>
      <c r="AB661" s="30">
        <f>IF($B661="","",(COUNTIF(C661:E661,"?*")&lt;N(INDEX(Setup!$L$6:$L$23,4)))+(COUNTIF(G661:I661,"?*")&lt;N(INDEX(Setup!$L$6:$L$23,4)))+(COUNTIF(K661:M661,"?*")&lt;N(INDEX(Setup!$L$6:$L$23,4)))+(COUNTIF(O661:Q661,"?*")&lt;N(INDEX(Setup!$L$6:$L$23,4)))+(COUNTIF(S661:U661,"?*")&lt;N(INDEX(Setup!$L$6:$L$23,4)))+((W661="")*(INDEX(Setup!$M$6:$M$23,4)="Y"))+((Y661="")*(INDEX(Setup!$M$6:$M$23,4)="Y")))</f>
        <v/>
      </c>
      <c r="AC661" s="91">
        <f>IF($B661="","",IF(AB661=0,"✓ covered","⚠ "&amp;AB661&amp;IF(AB661=1," gap"," gaps")))</f>
        <v/>
      </c>
    </row>
    <row r="662" ht="17" customHeight="1">
      <c r="A662" t="n">
        <v>14</v>
      </c>
      <c r="B662" s="24">
        <f>IF(Setup!$K$10="","",Setup!$K$10)</f>
        <v/>
      </c>
      <c r="C662" s="88" t="n"/>
      <c r="D662" s="88" t="n"/>
      <c r="E662" s="88" t="n"/>
      <c r="F662" s="89" t="n"/>
      <c r="G662" s="88" t="n"/>
      <c r="H662" s="88" t="n"/>
      <c r="I662" s="88" t="n"/>
      <c r="J662" s="89" t="n"/>
      <c r="K662" s="88" t="n"/>
      <c r="L662" s="88" t="n"/>
      <c r="M662" s="88" t="n"/>
      <c r="N662" s="89" t="n"/>
      <c r="O662" s="88" t="n"/>
      <c r="P662" s="88" t="n"/>
      <c r="Q662" s="88" t="n"/>
      <c r="R662" s="89" t="n"/>
      <c r="S662" s="88" t="n"/>
      <c r="T662" s="88" t="n"/>
      <c r="U662" s="88" t="n"/>
      <c r="V662" s="89" t="n"/>
      <c r="W662" s="88" t="n"/>
      <c r="X662" s="89" t="n"/>
      <c r="Y662" s="88" t="n"/>
      <c r="Z662" s="89" t="n"/>
      <c r="AB662" s="25">
        <f>IF($B662="","",(COUNTIF(C662:E662,"?*")&lt;N(INDEX(Setup!$L$6:$L$23,5)))+(COUNTIF(G662:I662,"?*")&lt;N(INDEX(Setup!$L$6:$L$23,5)))+(COUNTIF(K662:M662,"?*")&lt;N(INDEX(Setup!$L$6:$L$23,5)))+(COUNTIF(O662:Q662,"?*")&lt;N(INDEX(Setup!$L$6:$L$23,5)))+(COUNTIF(S662:U662,"?*")&lt;N(INDEX(Setup!$L$6:$L$23,5)))+((W662="")*(INDEX(Setup!$M$6:$M$23,5)="Y"))+((Y662="")*(INDEX(Setup!$M$6:$M$23,5)="Y")))</f>
        <v/>
      </c>
      <c r="AC662" s="90">
        <f>IF($B662="","",IF(AB662=0,"✓ covered","⚠ "&amp;AB662&amp;IF(AB662=1," gap"," gaps")))</f>
        <v/>
      </c>
    </row>
    <row r="663" ht="17" customHeight="1">
      <c r="A663" t="n">
        <v>14</v>
      </c>
      <c r="B663" s="29">
        <f>IF(Setup!$K$11="","",Setup!$K$11)</f>
        <v/>
      </c>
      <c r="C663" s="88" t="n"/>
      <c r="D663" s="88" t="n"/>
      <c r="E663" s="88" t="n"/>
      <c r="F663" s="89" t="n"/>
      <c r="G663" s="88" t="n"/>
      <c r="H663" s="88" t="n"/>
      <c r="I663" s="88" t="n"/>
      <c r="J663" s="89" t="n"/>
      <c r="K663" s="88" t="n"/>
      <c r="L663" s="88" t="n"/>
      <c r="M663" s="88" t="n"/>
      <c r="N663" s="89" t="n"/>
      <c r="O663" s="88" t="n"/>
      <c r="P663" s="88" t="n"/>
      <c r="Q663" s="88" t="n"/>
      <c r="R663" s="89" t="n"/>
      <c r="S663" s="88" t="n"/>
      <c r="T663" s="88" t="n"/>
      <c r="U663" s="88" t="n"/>
      <c r="V663" s="89" t="n"/>
      <c r="W663" s="88" t="n"/>
      <c r="X663" s="89" t="n"/>
      <c r="Y663" s="88" t="n"/>
      <c r="Z663" s="89" t="n"/>
      <c r="AB663" s="30">
        <f>IF($B663="","",(COUNTIF(C663:E663,"?*")&lt;N(INDEX(Setup!$L$6:$L$23,6)))+(COUNTIF(G663:I663,"?*")&lt;N(INDEX(Setup!$L$6:$L$23,6)))+(COUNTIF(K663:M663,"?*")&lt;N(INDEX(Setup!$L$6:$L$23,6)))+(COUNTIF(O663:Q663,"?*")&lt;N(INDEX(Setup!$L$6:$L$23,6)))+(COUNTIF(S663:U663,"?*")&lt;N(INDEX(Setup!$L$6:$L$23,6)))+((W663="")*(INDEX(Setup!$M$6:$M$23,6)="Y"))+((Y663="")*(INDEX(Setup!$M$6:$M$23,6)="Y")))</f>
        <v/>
      </c>
      <c r="AC663" s="91">
        <f>IF($B663="","",IF(AB663=0,"✓ covered","⚠ "&amp;AB663&amp;IF(AB663=1," gap"," gaps")))</f>
        <v/>
      </c>
    </row>
    <row r="664" ht="17" customHeight="1">
      <c r="A664" t="n">
        <v>14</v>
      </c>
      <c r="B664" s="24">
        <f>IF(Setup!$K$12="","",Setup!$K$12)</f>
        <v/>
      </c>
      <c r="C664" s="88" t="n"/>
      <c r="D664" s="88" t="n"/>
      <c r="E664" s="88" t="n"/>
      <c r="F664" s="89" t="n"/>
      <c r="G664" s="88" t="n"/>
      <c r="H664" s="88" t="n"/>
      <c r="I664" s="88" t="n"/>
      <c r="J664" s="89" t="n"/>
      <c r="K664" s="88" t="n"/>
      <c r="L664" s="88" t="n"/>
      <c r="M664" s="88" t="n"/>
      <c r="N664" s="89" t="n"/>
      <c r="O664" s="88" t="n"/>
      <c r="P664" s="88" t="n"/>
      <c r="Q664" s="88" t="n"/>
      <c r="R664" s="89" t="n"/>
      <c r="S664" s="88" t="n"/>
      <c r="T664" s="88" t="n"/>
      <c r="U664" s="88" t="n"/>
      <c r="V664" s="89" t="n"/>
      <c r="W664" s="88" t="n"/>
      <c r="X664" s="89" t="n"/>
      <c r="Y664" s="88" t="n"/>
      <c r="Z664" s="89" t="n"/>
      <c r="AB664" s="25">
        <f>IF($B664="","",(COUNTIF(C664:E664,"?*")&lt;N(INDEX(Setup!$L$6:$L$23,7)))+(COUNTIF(G664:I664,"?*")&lt;N(INDEX(Setup!$L$6:$L$23,7)))+(COUNTIF(K664:M664,"?*")&lt;N(INDEX(Setup!$L$6:$L$23,7)))+(COUNTIF(O664:Q664,"?*")&lt;N(INDEX(Setup!$L$6:$L$23,7)))+(COUNTIF(S664:U664,"?*")&lt;N(INDEX(Setup!$L$6:$L$23,7)))+((W664="")*(INDEX(Setup!$M$6:$M$23,7)="Y"))+((Y664="")*(INDEX(Setup!$M$6:$M$23,7)="Y")))</f>
        <v/>
      </c>
      <c r="AC664" s="90">
        <f>IF($B664="","",IF(AB664=0,"✓ covered","⚠ "&amp;AB664&amp;IF(AB664=1," gap"," gaps")))</f>
        <v/>
      </c>
    </row>
    <row r="665" ht="17" customHeight="1">
      <c r="A665" t="n">
        <v>14</v>
      </c>
      <c r="B665" s="29">
        <f>IF(Setup!$K$13="","",Setup!$K$13)</f>
        <v/>
      </c>
      <c r="C665" s="88" t="n"/>
      <c r="D665" s="88" t="n"/>
      <c r="E665" s="88" t="n"/>
      <c r="F665" s="89" t="n"/>
      <c r="G665" s="88" t="n"/>
      <c r="H665" s="88" t="n"/>
      <c r="I665" s="88" t="n"/>
      <c r="J665" s="89" t="n"/>
      <c r="K665" s="88" t="n"/>
      <c r="L665" s="88" t="n"/>
      <c r="M665" s="88" t="n"/>
      <c r="N665" s="89" t="n"/>
      <c r="O665" s="88" t="n"/>
      <c r="P665" s="88" t="n"/>
      <c r="Q665" s="88" t="n"/>
      <c r="R665" s="89" t="n"/>
      <c r="S665" s="88" t="n"/>
      <c r="T665" s="88" t="n"/>
      <c r="U665" s="88" t="n"/>
      <c r="V665" s="89" t="n"/>
      <c r="W665" s="88" t="n"/>
      <c r="X665" s="89" t="n"/>
      <c r="Y665" s="88" t="n"/>
      <c r="Z665" s="89" t="n"/>
      <c r="AB665" s="30">
        <f>IF($B665="","",(COUNTIF(C665:E665,"?*")&lt;N(INDEX(Setup!$L$6:$L$23,8)))+(COUNTIF(G665:I665,"?*")&lt;N(INDEX(Setup!$L$6:$L$23,8)))+(COUNTIF(K665:M665,"?*")&lt;N(INDEX(Setup!$L$6:$L$23,8)))+(COUNTIF(O665:Q665,"?*")&lt;N(INDEX(Setup!$L$6:$L$23,8)))+(COUNTIF(S665:U665,"?*")&lt;N(INDEX(Setup!$L$6:$L$23,8)))+((W665="")*(INDEX(Setup!$M$6:$M$23,8)="Y"))+((Y665="")*(INDEX(Setup!$M$6:$M$23,8)="Y")))</f>
        <v/>
      </c>
      <c r="AC665" s="91">
        <f>IF($B665="","",IF(AB665=0,"✓ covered","⚠ "&amp;AB665&amp;IF(AB665=1," gap"," gaps")))</f>
        <v/>
      </c>
    </row>
    <row r="666" ht="17" customHeight="1">
      <c r="A666" t="n">
        <v>14</v>
      </c>
      <c r="B666" s="24">
        <f>IF(Setup!$K$14="","",Setup!$K$14)</f>
        <v/>
      </c>
      <c r="C666" s="88" t="n"/>
      <c r="D666" s="88" t="n"/>
      <c r="E666" s="88" t="n"/>
      <c r="F666" s="89" t="n"/>
      <c r="G666" s="88" t="n"/>
      <c r="H666" s="88" t="n"/>
      <c r="I666" s="88" t="n"/>
      <c r="J666" s="89" t="n"/>
      <c r="K666" s="88" t="n"/>
      <c r="L666" s="88" t="n"/>
      <c r="M666" s="88" t="n"/>
      <c r="N666" s="89" t="n"/>
      <c r="O666" s="88" t="n"/>
      <c r="P666" s="88" t="n"/>
      <c r="Q666" s="88" t="n"/>
      <c r="R666" s="89" t="n"/>
      <c r="S666" s="88" t="n"/>
      <c r="T666" s="88" t="n"/>
      <c r="U666" s="88" t="n"/>
      <c r="V666" s="89" t="n"/>
      <c r="W666" s="88" t="n"/>
      <c r="X666" s="89" t="n"/>
      <c r="Y666" s="88" t="n"/>
      <c r="Z666" s="89" t="n"/>
      <c r="AB666" s="25">
        <f>IF($B666="","",(COUNTIF(C666:E666,"?*")&lt;N(INDEX(Setup!$L$6:$L$23,9)))+(COUNTIF(G666:I666,"?*")&lt;N(INDEX(Setup!$L$6:$L$23,9)))+(COUNTIF(K666:M666,"?*")&lt;N(INDEX(Setup!$L$6:$L$23,9)))+(COUNTIF(O666:Q666,"?*")&lt;N(INDEX(Setup!$L$6:$L$23,9)))+(COUNTIF(S666:U666,"?*")&lt;N(INDEX(Setup!$L$6:$L$23,9)))+((W666="")*(INDEX(Setup!$M$6:$M$23,9)="Y"))+((Y666="")*(INDEX(Setup!$M$6:$M$23,9)="Y")))</f>
        <v/>
      </c>
      <c r="AC666" s="90">
        <f>IF($B666="","",IF(AB666=0,"✓ covered","⚠ "&amp;AB666&amp;IF(AB666=1," gap"," gaps")))</f>
        <v/>
      </c>
    </row>
    <row r="667" ht="17" customHeight="1">
      <c r="A667" t="n">
        <v>14</v>
      </c>
      <c r="B667" s="29">
        <f>IF(Setup!$K$15="","",Setup!$K$15)</f>
        <v/>
      </c>
      <c r="C667" s="88" t="n"/>
      <c r="D667" s="88" t="n"/>
      <c r="E667" s="88" t="n"/>
      <c r="F667" s="89" t="n"/>
      <c r="G667" s="88" t="n"/>
      <c r="H667" s="88" t="n"/>
      <c r="I667" s="88" t="n"/>
      <c r="J667" s="89" t="n"/>
      <c r="K667" s="88" t="n"/>
      <c r="L667" s="88" t="n"/>
      <c r="M667" s="88" t="n"/>
      <c r="N667" s="89" t="n"/>
      <c r="O667" s="88" t="n"/>
      <c r="P667" s="88" t="n"/>
      <c r="Q667" s="88" t="n"/>
      <c r="R667" s="89" t="n"/>
      <c r="S667" s="88" t="n"/>
      <c r="T667" s="88" t="n"/>
      <c r="U667" s="88" t="n"/>
      <c r="V667" s="89" t="n"/>
      <c r="W667" s="88" t="n"/>
      <c r="X667" s="89" t="n"/>
      <c r="Y667" s="88" t="n"/>
      <c r="Z667" s="89" t="n"/>
      <c r="AB667" s="30">
        <f>IF($B667="","",(COUNTIF(C667:E667,"?*")&lt;N(INDEX(Setup!$L$6:$L$23,10)))+(COUNTIF(G667:I667,"?*")&lt;N(INDEX(Setup!$L$6:$L$23,10)))+(COUNTIF(K667:M667,"?*")&lt;N(INDEX(Setup!$L$6:$L$23,10)))+(COUNTIF(O667:Q667,"?*")&lt;N(INDEX(Setup!$L$6:$L$23,10)))+(COUNTIF(S667:U667,"?*")&lt;N(INDEX(Setup!$L$6:$L$23,10)))+((W667="")*(INDEX(Setup!$M$6:$M$23,10)="Y"))+((Y667="")*(INDEX(Setup!$M$6:$M$23,10)="Y")))</f>
        <v/>
      </c>
      <c r="AC667" s="91">
        <f>IF($B667="","",IF(AB667=0,"✓ covered","⚠ "&amp;AB667&amp;IF(AB667=1," gap"," gaps")))</f>
        <v/>
      </c>
    </row>
    <row r="668" ht="17" customHeight="1">
      <c r="A668" t="n">
        <v>14</v>
      </c>
      <c r="B668" s="24">
        <f>IF(Setup!$K$16="","",Setup!$K$16)</f>
        <v/>
      </c>
      <c r="C668" s="88" t="n"/>
      <c r="D668" s="88" t="n"/>
      <c r="E668" s="88" t="n"/>
      <c r="F668" s="89" t="n"/>
      <c r="G668" s="88" t="n"/>
      <c r="H668" s="88" t="n"/>
      <c r="I668" s="88" t="n"/>
      <c r="J668" s="89" t="n"/>
      <c r="K668" s="88" t="n"/>
      <c r="L668" s="88" t="n"/>
      <c r="M668" s="88" t="n"/>
      <c r="N668" s="89" t="n"/>
      <c r="O668" s="88" t="n"/>
      <c r="P668" s="88" t="n"/>
      <c r="Q668" s="88" t="n"/>
      <c r="R668" s="89" t="n"/>
      <c r="S668" s="88" t="n"/>
      <c r="T668" s="88" t="n"/>
      <c r="U668" s="88" t="n"/>
      <c r="V668" s="89" t="n"/>
      <c r="W668" s="88" t="n"/>
      <c r="X668" s="89" t="n"/>
      <c r="Y668" s="88" t="n"/>
      <c r="Z668" s="89" t="n"/>
      <c r="AB668" s="25">
        <f>IF($B668="","",(COUNTIF(C668:E668,"?*")&lt;N(INDEX(Setup!$L$6:$L$23,11)))+(COUNTIF(G668:I668,"?*")&lt;N(INDEX(Setup!$L$6:$L$23,11)))+(COUNTIF(K668:M668,"?*")&lt;N(INDEX(Setup!$L$6:$L$23,11)))+(COUNTIF(O668:Q668,"?*")&lt;N(INDEX(Setup!$L$6:$L$23,11)))+(COUNTIF(S668:U668,"?*")&lt;N(INDEX(Setup!$L$6:$L$23,11)))+((W668="")*(INDEX(Setup!$M$6:$M$23,11)="Y"))+((Y668="")*(INDEX(Setup!$M$6:$M$23,11)="Y")))</f>
        <v/>
      </c>
      <c r="AC668" s="90">
        <f>IF($B668="","",IF(AB668=0,"✓ covered","⚠ "&amp;AB668&amp;IF(AB668=1," gap"," gaps")))</f>
        <v/>
      </c>
    </row>
    <row r="669" ht="17" customHeight="1">
      <c r="A669" t="n">
        <v>14</v>
      </c>
      <c r="B669" s="29">
        <f>IF(Setup!$K$17="","",Setup!$K$17)</f>
        <v/>
      </c>
      <c r="C669" s="88" t="n"/>
      <c r="D669" s="88" t="n"/>
      <c r="E669" s="88" t="n"/>
      <c r="F669" s="89" t="n"/>
      <c r="G669" s="88" t="n"/>
      <c r="H669" s="88" t="n"/>
      <c r="I669" s="88" t="n"/>
      <c r="J669" s="89" t="n"/>
      <c r="K669" s="88" t="n"/>
      <c r="L669" s="88" t="n"/>
      <c r="M669" s="88" t="n"/>
      <c r="N669" s="89" t="n"/>
      <c r="O669" s="88" t="n"/>
      <c r="P669" s="88" t="n"/>
      <c r="Q669" s="88" t="n"/>
      <c r="R669" s="89" t="n"/>
      <c r="S669" s="88" t="n"/>
      <c r="T669" s="88" t="n"/>
      <c r="U669" s="88" t="n"/>
      <c r="V669" s="89" t="n"/>
      <c r="W669" s="88" t="n"/>
      <c r="X669" s="89" t="n"/>
      <c r="Y669" s="88" t="n"/>
      <c r="Z669" s="89" t="n"/>
      <c r="AB669" s="30">
        <f>IF($B669="","",(COUNTIF(C669:E669,"?*")&lt;N(INDEX(Setup!$L$6:$L$23,12)))+(COUNTIF(G669:I669,"?*")&lt;N(INDEX(Setup!$L$6:$L$23,12)))+(COUNTIF(K669:M669,"?*")&lt;N(INDEX(Setup!$L$6:$L$23,12)))+(COUNTIF(O669:Q669,"?*")&lt;N(INDEX(Setup!$L$6:$L$23,12)))+(COUNTIF(S669:U669,"?*")&lt;N(INDEX(Setup!$L$6:$L$23,12)))+((W669="")*(INDEX(Setup!$M$6:$M$23,12)="Y"))+((Y669="")*(INDEX(Setup!$M$6:$M$23,12)="Y")))</f>
        <v/>
      </c>
      <c r="AC669" s="91">
        <f>IF($B669="","",IF(AB669=0,"✓ covered","⚠ "&amp;AB669&amp;IF(AB669=1," gap"," gaps")))</f>
        <v/>
      </c>
    </row>
    <row r="670" ht="17" customHeight="1">
      <c r="A670" t="n">
        <v>14</v>
      </c>
      <c r="B670" s="24">
        <f>IF(Setup!$K$18="","",Setup!$K$18)</f>
        <v/>
      </c>
      <c r="C670" s="88" t="n"/>
      <c r="D670" s="88" t="n"/>
      <c r="E670" s="88" t="n"/>
      <c r="F670" s="89" t="n"/>
      <c r="G670" s="88" t="n"/>
      <c r="H670" s="88" t="n"/>
      <c r="I670" s="88" t="n"/>
      <c r="J670" s="89" t="n"/>
      <c r="K670" s="88" t="n"/>
      <c r="L670" s="88" t="n"/>
      <c r="M670" s="88" t="n"/>
      <c r="N670" s="89" t="n"/>
      <c r="O670" s="88" t="n"/>
      <c r="P670" s="88" t="n"/>
      <c r="Q670" s="88" t="n"/>
      <c r="R670" s="89" t="n"/>
      <c r="S670" s="88" t="n"/>
      <c r="T670" s="88" t="n"/>
      <c r="U670" s="88" t="n"/>
      <c r="V670" s="89" t="n"/>
      <c r="W670" s="88" t="n"/>
      <c r="X670" s="89" t="n"/>
      <c r="Y670" s="88" t="n"/>
      <c r="Z670" s="89" t="n"/>
      <c r="AB670" s="25">
        <f>IF($B670="","",(COUNTIF(C670:E670,"?*")&lt;N(INDEX(Setup!$L$6:$L$23,13)))+(COUNTIF(G670:I670,"?*")&lt;N(INDEX(Setup!$L$6:$L$23,13)))+(COUNTIF(K670:M670,"?*")&lt;N(INDEX(Setup!$L$6:$L$23,13)))+(COUNTIF(O670:Q670,"?*")&lt;N(INDEX(Setup!$L$6:$L$23,13)))+(COUNTIF(S670:U670,"?*")&lt;N(INDEX(Setup!$L$6:$L$23,13)))+((W670="")*(INDEX(Setup!$M$6:$M$23,13)="Y"))+((Y670="")*(INDEX(Setup!$M$6:$M$23,13)="Y")))</f>
        <v/>
      </c>
      <c r="AC670" s="90">
        <f>IF($B670="","",IF(AB670=0,"✓ covered","⚠ "&amp;AB670&amp;IF(AB670=1," gap"," gaps")))</f>
        <v/>
      </c>
    </row>
    <row r="671" ht="17" customHeight="1">
      <c r="A671" t="n">
        <v>14</v>
      </c>
      <c r="B671" s="29">
        <f>IF(Setup!$K$19="","",Setup!$K$19)</f>
        <v/>
      </c>
      <c r="C671" s="88" t="n"/>
      <c r="D671" s="88" t="n"/>
      <c r="E671" s="88" t="n"/>
      <c r="F671" s="89" t="n"/>
      <c r="G671" s="88" t="n"/>
      <c r="H671" s="88" t="n"/>
      <c r="I671" s="88" t="n"/>
      <c r="J671" s="89" t="n"/>
      <c r="K671" s="88" t="n"/>
      <c r="L671" s="88" t="n"/>
      <c r="M671" s="88" t="n"/>
      <c r="N671" s="89" t="n"/>
      <c r="O671" s="88" t="n"/>
      <c r="P671" s="88" t="n"/>
      <c r="Q671" s="88" t="n"/>
      <c r="R671" s="89" t="n"/>
      <c r="S671" s="88" t="n"/>
      <c r="T671" s="88" t="n"/>
      <c r="U671" s="88" t="n"/>
      <c r="V671" s="89" t="n"/>
      <c r="W671" s="88" t="n"/>
      <c r="X671" s="89" t="n"/>
      <c r="Y671" s="88" t="n"/>
      <c r="Z671" s="89" t="n"/>
      <c r="AB671" s="30">
        <f>IF($B671="","",(COUNTIF(C671:E671,"?*")&lt;N(INDEX(Setup!$L$6:$L$23,14)))+(COUNTIF(G671:I671,"?*")&lt;N(INDEX(Setup!$L$6:$L$23,14)))+(COUNTIF(K671:M671,"?*")&lt;N(INDEX(Setup!$L$6:$L$23,14)))+(COUNTIF(O671:Q671,"?*")&lt;N(INDEX(Setup!$L$6:$L$23,14)))+(COUNTIF(S671:U671,"?*")&lt;N(INDEX(Setup!$L$6:$L$23,14)))+((W671="")*(INDEX(Setup!$M$6:$M$23,14)="Y"))+((Y671="")*(INDEX(Setup!$M$6:$M$23,14)="Y")))</f>
        <v/>
      </c>
      <c r="AC671" s="91">
        <f>IF($B671="","",IF(AB671=0,"✓ covered","⚠ "&amp;AB671&amp;IF(AB671=1," gap"," gaps")))</f>
        <v/>
      </c>
    </row>
    <row r="672" ht="17" customHeight="1">
      <c r="A672" t="n">
        <v>14</v>
      </c>
      <c r="B672" s="24">
        <f>IF(Setup!$K$20="","",Setup!$K$20)</f>
        <v/>
      </c>
      <c r="C672" s="88" t="n"/>
      <c r="D672" s="88" t="n"/>
      <c r="E672" s="88" t="n"/>
      <c r="F672" s="89" t="n"/>
      <c r="G672" s="88" t="n"/>
      <c r="H672" s="88" t="n"/>
      <c r="I672" s="88" t="n"/>
      <c r="J672" s="89" t="n"/>
      <c r="K672" s="88" t="n"/>
      <c r="L672" s="88" t="n"/>
      <c r="M672" s="88" t="n"/>
      <c r="N672" s="89" t="n"/>
      <c r="O672" s="88" t="n"/>
      <c r="P672" s="88" t="n"/>
      <c r="Q672" s="88" t="n"/>
      <c r="R672" s="89" t="n"/>
      <c r="S672" s="88" t="n"/>
      <c r="T672" s="88" t="n"/>
      <c r="U672" s="88" t="n"/>
      <c r="V672" s="89" t="n"/>
      <c r="W672" s="88" t="n"/>
      <c r="X672" s="89" t="n"/>
      <c r="Y672" s="88" t="n"/>
      <c r="Z672" s="89" t="n"/>
      <c r="AB672" s="25">
        <f>IF($B672="","",(COUNTIF(C672:E672,"?*")&lt;N(INDEX(Setup!$L$6:$L$23,15)))+(COUNTIF(G672:I672,"?*")&lt;N(INDEX(Setup!$L$6:$L$23,15)))+(COUNTIF(K672:M672,"?*")&lt;N(INDEX(Setup!$L$6:$L$23,15)))+(COUNTIF(O672:Q672,"?*")&lt;N(INDEX(Setup!$L$6:$L$23,15)))+(COUNTIF(S672:U672,"?*")&lt;N(INDEX(Setup!$L$6:$L$23,15)))+((W672="")*(INDEX(Setup!$M$6:$M$23,15)="Y"))+((Y672="")*(INDEX(Setup!$M$6:$M$23,15)="Y")))</f>
        <v/>
      </c>
      <c r="AC672" s="90">
        <f>IF($B672="","",IF(AB672=0,"✓ covered","⚠ "&amp;AB672&amp;IF(AB672=1," gap"," gaps")))</f>
        <v/>
      </c>
    </row>
    <row r="673" ht="17" customHeight="1">
      <c r="A673" t="n">
        <v>14</v>
      </c>
      <c r="B673" s="29">
        <f>IF(Setup!$K$21="","",Setup!$K$21)</f>
        <v/>
      </c>
      <c r="C673" s="88" t="n"/>
      <c r="D673" s="88" t="n"/>
      <c r="E673" s="88" t="n"/>
      <c r="F673" s="89" t="n"/>
      <c r="G673" s="88" t="n"/>
      <c r="H673" s="88" t="n"/>
      <c r="I673" s="88" t="n"/>
      <c r="J673" s="89" t="n"/>
      <c r="K673" s="88" t="n"/>
      <c r="L673" s="88" t="n"/>
      <c r="M673" s="88" t="n"/>
      <c r="N673" s="89" t="n"/>
      <c r="O673" s="88" t="n"/>
      <c r="P673" s="88" t="n"/>
      <c r="Q673" s="88" t="n"/>
      <c r="R673" s="89" t="n"/>
      <c r="S673" s="88" t="n"/>
      <c r="T673" s="88" t="n"/>
      <c r="U673" s="88" t="n"/>
      <c r="V673" s="89" t="n"/>
      <c r="W673" s="88" t="n"/>
      <c r="X673" s="89" t="n"/>
      <c r="Y673" s="88" t="n"/>
      <c r="Z673" s="89" t="n"/>
      <c r="AB673" s="30">
        <f>IF($B673="","",(COUNTIF(C673:E673,"?*")&lt;N(INDEX(Setup!$L$6:$L$23,16)))+(COUNTIF(G673:I673,"?*")&lt;N(INDEX(Setup!$L$6:$L$23,16)))+(COUNTIF(K673:M673,"?*")&lt;N(INDEX(Setup!$L$6:$L$23,16)))+(COUNTIF(O673:Q673,"?*")&lt;N(INDEX(Setup!$L$6:$L$23,16)))+(COUNTIF(S673:U673,"?*")&lt;N(INDEX(Setup!$L$6:$L$23,16)))+((W673="")*(INDEX(Setup!$M$6:$M$23,16)="Y"))+((Y673="")*(INDEX(Setup!$M$6:$M$23,16)="Y")))</f>
        <v/>
      </c>
      <c r="AC673" s="91">
        <f>IF($B673="","",IF(AB673=0,"✓ covered","⚠ "&amp;AB673&amp;IF(AB673=1," gap"," gaps")))</f>
        <v/>
      </c>
    </row>
    <row r="674" ht="17" customHeight="1">
      <c r="A674" t="n">
        <v>14</v>
      </c>
      <c r="B674" s="24">
        <f>IF(Setup!$K$22="","",Setup!$K$22)</f>
        <v/>
      </c>
      <c r="C674" s="88" t="n"/>
      <c r="D674" s="88" t="n"/>
      <c r="E674" s="88" t="n"/>
      <c r="F674" s="89" t="n"/>
      <c r="G674" s="88" t="n"/>
      <c r="H674" s="88" t="n"/>
      <c r="I674" s="88" t="n"/>
      <c r="J674" s="89" t="n"/>
      <c r="K674" s="88" t="n"/>
      <c r="L674" s="88" t="n"/>
      <c r="M674" s="88" t="n"/>
      <c r="N674" s="89" t="n"/>
      <c r="O674" s="88" t="n"/>
      <c r="P674" s="88" t="n"/>
      <c r="Q674" s="88" t="n"/>
      <c r="R674" s="89" t="n"/>
      <c r="S674" s="88" t="n"/>
      <c r="T674" s="88" t="n"/>
      <c r="U674" s="88" t="n"/>
      <c r="V674" s="89" t="n"/>
      <c r="W674" s="88" t="n"/>
      <c r="X674" s="89" t="n"/>
      <c r="Y674" s="88" t="n"/>
      <c r="Z674" s="89" t="n"/>
      <c r="AB674" s="25">
        <f>IF($B674="","",(COUNTIF(C674:E674,"?*")&lt;N(INDEX(Setup!$L$6:$L$23,17)))+(COUNTIF(G674:I674,"?*")&lt;N(INDEX(Setup!$L$6:$L$23,17)))+(COUNTIF(K674:M674,"?*")&lt;N(INDEX(Setup!$L$6:$L$23,17)))+(COUNTIF(O674:Q674,"?*")&lt;N(INDEX(Setup!$L$6:$L$23,17)))+(COUNTIF(S674:U674,"?*")&lt;N(INDEX(Setup!$L$6:$L$23,17)))+((W674="")*(INDEX(Setup!$M$6:$M$23,17)="Y"))+((Y674="")*(INDEX(Setup!$M$6:$M$23,17)="Y")))</f>
        <v/>
      </c>
      <c r="AC674" s="90">
        <f>IF($B674="","",IF(AB674=0,"✓ covered","⚠ "&amp;AB674&amp;IF(AB674=1," gap"," gaps")))</f>
        <v/>
      </c>
    </row>
    <row r="675" ht="17" customHeight="1">
      <c r="A675" t="n">
        <v>14</v>
      </c>
      <c r="B675" s="29">
        <f>IF(Setup!$K$23="","",Setup!$K$23)</f>
        <v/>
      </c>
      <c r="C675" s="88" t="n"/>
      <c r="D675" s="88" t="n"/>
      <c r="E675" s="88" t="n"/>
      <c r="F675" s="89" t="n"/>
      <c r="G675" s="88" t="n"/>
      <c r="H675" s="88" t="n"/>
      <c r="I675" s="88" t="n"/>
      <c r="J675" s="89" t="n"/>
      <c r="K675" s="88" t="n"/>
      <c r="L675" s="88" t="n"/>
      <c r="M675" s="88" t="n"/>
      <c r="N675" s="89" t="n"/>
      <c r="O675" s="88" t="n"/>
      <c r="P675" s="88" t="n"/>
      <c r="Q675" s="88" t="n"/>
      <c r="R675" s="89" t="n"/>
      <c r="S675" s="88" t="n"/>
      <c r="T675" s="88" t="n"/>
      <c r="U675" s="88" t="n"/>
      <c r="V675" s="89" t="n"/>
      <c r="W675" s="88" t="n"/>
      <c r="X675" s="89" t="n"/>
      <c r="Y675" s="88" t="n"/>
      <c r="Z675" s="89" t="n"/>
      <c r="AB675" s="30">
        <f>IF($B675="","",(COUNTIF(C675:E675,"?*")&lt;N(INDEX(Setup!$L$6:$L$23,18)))+(COUNTIF(G675:I675,"?*")&lt;N(INDEX(Setup!$L$6:$L$23,18)))+(COUNTIF(K675:M675,"?*")&lt;N(INDEX(Setup!$L$6:$L$23,18)))+(COUNTIF(O675:Q675,"?*")&lt;N(INDEX(Setup!$L$6:$L$23,18)))+(COUNTIF(S675:U675,"?*")&lt;N(INDEX(Setup!$L$6:$L$23,18)))+((W675="")*(INDEX(Setup!$M$6:$M$23,18)="Y"))+((Y675="")*(INDEX(Setup!$M$6:$M$23,18)="Y")))</f>
        <v/>
      </c>
      <c r="AC675" s="91">
        <f>IF($B675="","",IF(AB675=0,"✓ covered","⚠ "&amp;AB675&amp;IF(AB675=1," gap"," gaps")))</f>
        <v/>
      </c>
    </row>
    <row r="676" ht="18" customHeight="1">
      <c r="A676" t="n">
        <v>14</v>
      </c>
      <c r="B676" s="78" t="inlineStr">
        <is>
          <t>TEAM AVAILABILITY</t>
        </is>
      </c>
      <c r="C676" s="92" t="inlineStr">
        <is>
          <t>Mon</t>
        </is>
      </c>
      <c r="D676" s="93" t="n"/>
      <c r="E676" s="93" t="n"/>
      <c r="F676" s="94" t="n"/>
      <c r="G676" s="92" t="inlineStr">
        <is>
          <t>Tue</t>
        </is>
      </c>
      <c r="H676" s="93" t="n"/>
      <c r="I676" s="93" t="n"/>
      <c r="J676" s="94" t="n"/>
      <c r="K676" s="92" t="inlineStr">
        <is>
          <t>Wed</t>
        </is>
      </c>
      <c r="L676" s="93" t="n"/>
      <c r="M676" s="93" t="n"/>
      <c r="N676" s="94" t="n"/>
      <c r="O676" s="92" t="inlineStr">
        <is>
          <t>Thu</t>
        </is>
      </c>
      <c r="P676" s="93" t="n"/>
      <c r="Q676" s="93" t="n"/>
      <c r="R676" s="94" t="n"/>
      <c r="S676" s="92" t="inlineStr">
        <is>
          <t>Fri</t>
        </is>
      </c>
      <c r="T676" s="93" t="n"/>
      <c r="U676" s="93" t="n"/>
      <c r="V676" s="94" t="n"/>
      <c r="W676" s="95" t="inlineStr">
        <is>
          <t>Sat</t>
        </is>
      </c>
      <c r="X676" s="96" t="n"/>
      <c r="Y676" s="95" t="inlineStr">
        <is>
          <t>Sun</t>
        </is>
      </c>
      <c r="Z676" s="96" t="n"/>
      <c r="AB676" s="97" t="inlineStr">
        <is>
          <t>Days rostered</t>
        </is>
      </c>
      <c r="AC676" s="97" t="inlineStr">
        <is>
          <t>Conflicts</t>
        </is>
      </c>
    </row>
    <row r="677" ht="15" customHeight="1">
      <c r="A677" t="n">
        <v>14</v>
      </c>
      <c r="B677" s="35">
        <f>IF(Setup!$B$6="","",Setup!$B$6)</f>
        <v/>
      </c>
      <c r="C677" s="98" t="n"/>
      <c r="D677" s="99" t="n"/>
      <c r="E677" s="99" t="n"/>
      <c r="F677" s="100" t="n"/>
      <c r="G677" s="98" t="n"/>
      <c r="H677" s="99" t="n"/>
      <c r="I677" s="99" t="n"/>
      <c r="J677" s="100" t="n"/>
      <c r="K677" s="98" t="n"/>
      <c r="L677" s="99" t="n"/>
      <c r="M677" s="99" t="n"/>
      <c r="N677" s="100" t="n"/>
      <c r="O677" s="98" t="n"/>
      <c r="P677" s="99" t="n"/>
      <c r="Q677" s="99" t="n"/>
      <c r="R677" s="100" t="n"/>
      <c r="S677" s="98" t="n"/>
      <c r="T677" s="99" t="n"/>
      <c r="U677" s="99" t="n"/>
      <c r="V677" s="100" t="n"/>
      <c r="W677" s="98" t="n"/>
      <c r="X677" s="100" t="n"/>
      <c r="Y677" s="98" t="n"/>
      <c r="Z677" s="100" t="n"/>
      <c r="AB677" s="101">
        <f>IF($B677="","",(COUNTIF(C658:E675,$B677)+COUNTIF(C658:E675,$B677&amp;" ~*")&gt;0)+(COUNTIF(G658:I675,$B677)+COUNTIF(G658:I675,$B677&amp;" ~*")&gt;0)+(COUNTIF(K658:M675,$B677)+COUNTIF(K658:M675,$B677&amp;" ~*")&gt;0)+(COUNTIF(O658:Q675,$B677)+COUNTIF(O658:Q675,$B677&amp;" ~*")&gt;0)+(COUNTIF(S658:U675,$B677)+COUNTIF(S658:U675,$B677&amp;" ~*")&gt;0)+(COUNTIF(W658:W675,$B677)+COUNTIF(W658:W675,$B677&amp;" ~*")&gt;0)+(COUNTIF(Y658:Y675,$B677)+COUNTIF(Y658:Y675,$B677&amp;" ~*")&gt;0))</f>
        <v/>
      </c>
      <c r="AC677" s="36">
        <f>IF($B677="","",(IFERROR(INDEX(Setup!$G$33:$G$40,MATCH(C677,Setup!$B$33:$B$40,0)),0)=1)*(COUNTIF(C658:E675,$B677)+COUNTIF(C658:E675,$B677&amp;" ~*")&gt;0)+(IFERROR(INDEX(Setup!$G$33:$G$40,MATCH(G677,Setup!$B$33:$B$40,0)),0)=1)*(COUNTIF(G658:I675,$B677)+COUNTIF(G658:I675,$B677&amp;" ~*")&gt;0)+(IFERROR(INDEX(Setup!$G$33:$G$40,MATCH(K677,Setup!$B$33:$B$40,0)),0)=1)*(COUNTIF(K658:M675,$B677)+COUNTIF(K658:M675,$B677&amp;" ~*")&gt;0)+(IFERROR(INDEX(Setup!$G$33:$G$40,MATCH(O677,Setup!$B$33:$B$40,0)),0)=1)*(COUNTIF(O658:Q675,$B677)+COUNTIF(O658:Q675,$B677&amp;" ~*")&gt;0)+(IFERROR(INDEX(Setup!$G$33:$G$40,MATCH(S677,Setup!$B$33:$B$40,0)),0)=1)*(COUNTIF(S658:U675,$B677)+COUNTIF(S658:U675,$B677&amp;" ~*")&gt;0)+(IFERROR(INDEX(Setup!$G$33:$G$40,MATCH(W677,Setup!$B$33:$B$40,0)),0)=1)*(COUNTIF(W658:W675,$B677)+COUNTIF(W658:W675,$B677&amp;" ~*")&gt;0)+(IFERROR(INDEX(Setup!$G$33:$G$40,MATCH(Y677,Setup!$B$33:$B$40,0)),0)=1)*(COUNTIF(Y658:Y675,$B677)+COUNTIF(Y658:Y675,$B677&amp;" ~*")&gt;0))</f>
        <v/>
      </c>
    </row>
    <row r="678" ht="15" customHeight="1">
      <c r="A678" t="n">
        <v>14</v>
      </c>
      <c r="B678" s="37">
        <f>IF(Setup!$B$7="","",Setup!$B$7)</f>
        <v/>
      </c>
      <c r="C678" s="102" t="n"/>
      <c r="D678" s="103" t="n"/>
      <c r="E678" s="103" t="n"/>
      <c r="F678" s="104" t="n"/>
      <c r="G678" s="102" t="n"/>
      <c r="H678" s="103" t="n"/>
      <c r="I678" s="103" t="n"/>
      <c r="J678" s="104" t="n"/>
      <c r="K678" s="102" t="n"/>
      <c r="L678" s="103" t="n"/>
      <c r="M678" s="103" t="n"/>
      <c r="N678" s="104" t="n"/>
      <c r="O678" s="102" t="n"/>
      <c r="P678" s="103" t="n"/>
      <c r="Q678" s="103" t="n"/>
      <c r="R678" s="104" t="n"/>
      <c r="S678" s="102" t="n"/>
      <c r="T678" s="103" t="n"/>
      <c r="U678" s="103" t="n"/>
      <c r="V678" s="104" t="n"/>
      <c r="W678" s="102" t="n"/>
      <c r="X678" s="104" t="n"/>
      <c r="Y678" s="102" t="n"/>
      <c r="Z678" s="104" t="n"/>
      <c r="AB678" s="105">
        <f>IF($B678="","",(COUNTIF(C658:E675,$B678)+COUNTIF(C658:E675,$B678&amp;" ~*")&gt;0)+(COUNTIF(G658:I675,$B678)+COUNTIF(G658:I675,$B678&amp;" ~*")&gt;0)+(COUNTIF(K658:M675,$B678)+COUNTIF(K658:M675,$B678&amp;" ~*")&gt;0)+(COUNTIF(O658:Q675,$B678)+COUNTIF(O658:Q675,$B678&amp;" ~*")&gt;0)+(COUNTIF(S658:U675,$B678)+COUNTIF(S658:U675,$B678&amp;" ~*")&gt;0)+(COUNTIF(W658:W675,$B678)+COUNTIF(W658:W675,$B678&amp;" ~*")&gt;0)+(COUNTIF(Y658:Y675,$B678)+COUNTIF(Y658:Y675,$B678&amp;" ~*")&gt;0))</f>
        <v/>
      </c>
      <c r="AC678" s="38">
        <f>IF($B678="","",(IFERROR(INDEX(Setup!$G$33:$G$40,MATCH(C678,Setup!$B$33:$B$40,0)),0)=1)*(COUNTIF(C658:E675,$B678)+COUNTIF(C658:E675,$B678&amp;" ~*")&gt;0)+(IFERROR(INDEX(Setup!$G$33:$G$40,MATCH(G678,Setup!$B$33:$B$40,0)),0)=1)*(COUNTIF(G658:I675,$B678)+COUNTIF(G658:I675,$B678&amp;" ~*")&gt;0)+(IFERROR(INDEX(Setup!$G$33:$G$40,MATCH(K678,Setup!$B$33:$B$40,0)),0)=1)*(COUNTIF(K658:M675,$B678)+COUNTIF(K658:M675,$B678&amp;" ~*")&gt;0)+(IFERROR(INDEX(Setup!$G$33:$G$40,MATCH(O678,Setup!$B$33:$B$40,0)),0)=1)*(COUNTIF(O658:Q675,$B678)+COUNTIF(O658:Q675,$B678&amp;" ~*")&gt;0)+(IFERROR(INDEX(Setup!$G$33:$G$40,MATCH(S678,Setup!$B$33:$B$40,0)),0)=1)*(COUNTIF(S658:U675,$B678)+COUNTIF(S658:U675,$B678&amp;" ~*")&gt;0)+(IFERROR(INDEX(Setup!$G$33:$G$40,MATCH(W678,Setup!$B$33:$B$40,0)),0)=1)*(COUNTIF(W658:W675,$B678)+COUNTIF(W658:W675,$B678&amp;" ~*")&gt;0)+(IFERROR(INDEX(Setup!$G$33:$G$40,MATCH(Y678,Setup!$B$33:$B$40,0)),0)=1)*(COUNTIF(Y658:Y675,$B678)+COUNTIF(Y658:Y675,$B678&amp;" ~*")&gt;0))</f>
        <v/>
      </c>
    </row>
    <row r="679" ht="15" customHeight="1">
      <c r="A679" t="n">
        <v>14</v>
      </c>
      <c r="B679" s="35">
        <f>IF(Setup!$B$8="","",Setup!$B$8)</f>
        <v/>
      </c>
      <c r="C679" s="98" t="n"/>
      <c r="D679" s="99" t="n"/>
      <c r="E679" s="99" t="n"/>
      <c r="F679" s="100" t="n"/>
      <c r="G679" s="98" t="n"/>
      <c r="H679" s="99" t="n"/>
      <c r="I679" s="99" t="n"/>
      <c r="J679" s="100" t="n"/>
      <c r="K679" s="98" t="n"/>
      <c r="L679" s="99" t="n"/>
      <c r="M679" s="99" t="n"/>
      <c r="N679" s="100" t="n"/>
      <c r="O679" s="98" t="n"/>
      <c r="P679" s="99" t="n"/>
      <c r="Q679" s="99" t="n"/>
      <c r="R679" s="100" t="n"/>
      <c r="S679" s="98" t="n"/>
      <c r="T679" s="99" t="n"/>
      <c r="U679" s="99" t="n"/>
      <c r="V679" s="100" t="n"/>
      <c r="W679" s="98" t="n"/>
      <c r="X679" s="100" t="n"/>
      <c r="Y679" s="98" t="n"/>
      <c r="Z679" s="100" t="n"/>
      <c r="AB679" s="101">
        <f>IF($B679="","",(COUNTIF(C658:E675,$B679)+COUNTIF(C658:E675,$B679&amp;" ~*")&gt;0)+(COUNTIF(G658:I675,$B679)+COUNTIF(G658:I675,$B679&amp;" ~*")&gt;0)+(COUNTIF(K658:M675,$B679)+COUNTIF(K658:M675,$B679&amp;" ~*")&gt;0)+(COUNTIF(O658:Q675,$B679)+COUNTIF(O658:Q675,$B679&amp;" ~*")&gt;0)+(COUNTIF(S658:U675,$B679)+COUNTIF(S658:U675,$B679&amp;" ~*")&gt;0)+(COUNTIF(W658:W675,$B679)+COUNTIF(W658:W675,$B679&amp;" ~*")&gt;0)+(COUNTIF(Y658:Y675,$B679)+COUNTIF(Y658:Y675,$B679&amp;" ~*")&gt;0))</f>
        <v/>
      </c>
      <c r="AC679" s="36">
        <f>IF($B679="","",(IFERROR(INDEX(Setup!$G$33:$G$40,MATCH(C679,Setup!$B$33:$B$40,0)),0)=1)*(COUNTIF(C658:E675,$B679)+COUNTIF(C658:E675,$B679&amp;" ~*")&gt;0)+(IFERROR(INDEX(Setup!$G$33:$G$40,MATCH(G679,Setup!$B$33:$B$40,0)),0)=1)*(COUNTIF(G658:I675,$B679)+COUNTIF(G658:I675,$B679&amp;" ~*")&gt;0)+(IFERROR(INDEX(Setup!$G$33:$G$40,MATCH(K679,Setup!$B$33:$B$40,0)),0)=1)*(COUNTIF(K658:M675,$B679)+COUNTIF(K658:M675,$B679&amp;" ~*")&gt;0)+(IFERROR(INDEX(Setup!$G$33:$G$40,MATCH(O679,Setup!$B$33:$B$40,0)),0)=1)*(COUNTIF(O658:Q675,$B679)+COUNTIF(O658:Q675,$B679&amp;" ~*")&gt;0)+(IFERROR(INDEX(Setup!$G$33:$G$40,MATCH(S679,Setup!$B$33:$B$40,0)),0)=1)*(COUNTIF(S658:U675,$B679)+COUNTIF(S658:U675,$B679&amp;" ~*")&gt;0)+(IFERROR(INDEX(Setup!$G$33:$G$40,MATCH(W679,Setup!$B$33:$B$40,0)),0)=1)*(COUNTIF(W658:W675,$B679)+COUNTIF(W658:W675,$B679&amp;" ~*")&gt;0)+(IFERROR(INDEX(Setup!$G$33:$G$40,MATCH(Y679,Setup!$B$33:$B$40,0)),0)=1)*(COUNTIF(Y658:Y675,$B679)+COUNTIF(Y658:Y675,$B679&amp;" ~*")&gt;0))</f>
        <v/>
      </c>
    </row>
    <row r="680" ht="15" customHeight="1">
      <c r="A680" t="n">
        <v>14</v>
      </c>
      <c r="B680" s="37">
        <f>IF(Setup!$B$9="","",Setup!$B$9)</f>
        <v/>
      </c>
      <c r="C680" s="102" t="inlineStr">
        <is>
          <t>AL</t>
        </is>
      </c>
      <c r="D680" s="103" t="n"/>
      <c r="E680" s="103" t="n"/>
      <c r="F680" s="104" t="n"/>
      <c r="G680" s="102" t="inlineStr">
        <is>
          <t>AL</t>
        </is>
      </c>
      <c r="H680" s="103" t="n"/>
      <c r="I680" s="103" t="n"/>
      <c r="J680" s="104" t="n"/>
      <c r="K680" s="102" t="inlineStr">
        <is>
          <t>AL</t>
        </is>
      </c>
      <c r="L680" s="103" t="n"/>
      <c r="M680" s="103" t="n"/>
      <c r="N680" s="104" t="n"/>
      <c r="O680" s="102" t="inlineStr">
        <is>
          <t>AL</t>
        </is>
      </c>
      <c r="P680" s="103" t="n"/>
      <c r="Q680" s="103" t="n"/>
      <c r="R680" s="104" t="n"/>
      <c r="S680" s="102" t="inlineStr">
        <is>
          <t>AL</t>
        </is>
      </c>
      <c r="T680" s="103" t="n"/>
      <c r="U680" s="103" t="n"/>
      <c r="V680" s="104" t="n"/>
      <c r="W680" s="102" t="n"/>
      <c r="X680" s="104" t="n"/>
      <c r="Y680" s="102" t="n"/>
      <c r="Z680" s="104" t="n"/>
      <c r="AB680" s="105">
        <f>IF($B680="","",(COUNTIF(C658:E675,$B680)+COUNTIF(C658:E675,$B680&amp;" ~*")&gt;0)+(COUNTIF(G658:I675,$B680)+COUNTIF(G658:I675,$B680&amp;" ~*")&gt;0)+(COUNTIF(K658:M675,$B680)+COUNTIF(K658:M675,$B680&amp;" ~*")&gt;0)+(COUNTIF(O658:Q675,$B680)+COUNTIF(O658:Q675,$B680&amp;" ~*")&gt;0)+(COUNTIF(S658:U675,$B680)+COUNTIF(S658:U675,$B680&amp;" ~*")&gt;0)+(COUNTIF(W658:W675,$B680)+COUNTIF(W658:W675,$B680&amp;" ~*")&gt;0)+(COUNTIF(Y658:Y675,$B680)+COUNTIF(Y658:Y675,$B680&amp;" ~*")&gt;0))</f>
        <v/>
      </c>
      <c r="AC680" s="38">
        <f>IF($B680="","",(IFERROR(INDEX(Setup!$G$33:$G$40,MATCH(C680,Setup!$B$33:$B$40,0)),0)=1)*(COUNTIF(C658:E675,$B680)+COUNTIF(C658:E675,$B680&amp;" ~*")&gt;0)+(IFERROR(INDEX(Setup!$G$33:$G$40,MATCH(G680,Setup!$B$33:$B$40,0)),0)=1)*(COUNTIF(G658:I675,$B680)+COUNTIF(G658:I675,$B680&amp;" ~*")&gt;0)+(IFERROR(INDEX(Setup!$G$33:$G$40,MATCH(K680,Setup!$B$33:$B$40,0)),0)=1)*(COUNTIF(K658:M675,$B680)+COUNTIF(K658:M675,$B680&amp;" ~*")&gt;0)+(IFERROR(INDEX(Setup!$G$33:$G$40,MATCH(O680,Setup!$B$33:$B$40,0)),0)=1)*(COUNTIF(O658:Q675,$B680)+COUNTIF(O658:Q675,$B680&amp;" ~*")&gt;0)+(IFERROR(INDEX(Setup!$G$33:$G$40,MATCH(S680,Setup!$B$33:$B$40,0)),0)=1)*(COUNTIF(S658:U675,$B680)+COUNTIF(S658:U675,$B680&amp;" ~*")&gt;0)+(IFERROR(INDEX(Setup!$G$33:$G$40,MATCH(W680,Setup!$B$33:$B$40,0)),0)=1)*(COUNTIF(W658:W675,$B680)+COUNTIF(W658:W675,$B680&amp;" ~*")&gt;0)+(IFERROR(INDEX(Setup!$G$33:$G$40,MATCH(Y680,Setup!$B$33:$B$40,0)),0)=1)*(COUNTIF(Y658:Y675,$B680)+COUNTIF(Y658:Y675,$B680&amp;" ~*")&gt;0))</f>
        <v/>
      </c>
    </row>
    <row r="681" ht="15" customHeight="1">
      <c r="A681" t="n">
        <v>14</v>
      </c>
      <c r="B681" s="35">
        <f>IF(Setup!$B$10="","",Setup!$B$10)</f>
        <v/>
      </c>
      <c r="C681" s="98" t="n"/>
      <c r="D681" s="99" t="n"/>
      <c r="E681" s="99" t="n"/>
      <c r="F681" s="100" t="n"/>
      <c r="G681" s="98" t="n"/>
      <c r="H681" s="99" t="n"/>
      <c r="I681" s="99" t="n"/>
      <c r="J681" s="100" t="n"/>
      <c r="K681" s="98" t="n"/>
      <c r="L681" s="99" t="n"/>
      <c r="M681" s="99" t="n"/>
      <c r="N681" s="100" t="n"/>
      <c r="O681" s="98" t="n"/>
      <c r="P681" s="99" t="n"/>
      <c r="Q681" s="99" t="n"/>
      <c r="R681" s="100" t="n"/>
      <c r="S681" s="98" t="n"/>
      <c r="T681" s="99" t="n"/>
      <c r="U681" s="99" t="n"/>
      <c r="V681" s="100" t="n"/>
      <c r="W681" s="98" t="n"/>
      <c r="X681" s="100" t="n"/>
      <c r="Y681" s="98" t="n"/>
      <c r="Z681" s="100" t="n"/>
      <c r="AB681" s="101">
        <f>IF($B681="","",(COUNTIF(C658:E675,$B681)+COUNTIF(C658:E675,$B681&amp;" ~*")&gt;0)+(COUNTIF(G658:I675,$B681)+COUNTIF(G658:I675,$B681&amp;" ~*")&gt;0)+(COUNTIF(K658:M675,$B681)+COUNTIF(K658:M675,$B681&amp;" ~*")&gt;0)+(COUNTIF(O658:Q675,$B681)+COUNTIF(O658:Q675,$B681&amp;" ~*")&gt;0)+(COUNTIF(S658:U675,$B681)+COUNTIF(S658:U675,$B681&amp;" ~*")&gt;0)+(COUNTIF(W658:W675,$B681)+COUNTIF(W658:W675,$B681&amp;" ~*")&gt;0)+(COUNTIF(Y658:Y675,$B681)+COUNTIF(Y658:Y675,$B681&amp;" ~*")&gt;0))</f>
        <v/>
      </c>
      <c r="AC681" s="36">
        <f>IF($B681="","",(IFERROR(INDEX(Setup!$G$33:$G$40,MATCH(C681,Setup!$B$33:$B$40,0)),0)=1)*(COUNTIF(C658:E675,$B681)+COUNTIF(C658:E675,$B681&amp;" ~*")&gt;0)+(IFERROR(INDEX(Setup!$G$33:$G$40,MATCH(G681,Setup!$B$33:$B$40,0)),0)=1)*(COUNTIF(G658:I675,$B681)+COUNTIF(G658:I675,$B681&amp;" ~*")&gt;0)+(IFERROR(INDEX(Setup!$G$33:$G$40,MATCH(K681,Setup!$B$33:$B$40,0)),0)=1)*(COUNTIF(K658:M675,$B681)+COUNTIF(K658:M675,$B681&amp;" ~*")&gt;0)+(IFERROR(INDEX(Setup!$G$33:$G$40,MATCH(O681,Setup!$B$33:$B$40,0)),0)=1)*(COUNTIF(O658:Q675,$B681)+COUNTIF(O658:Q675,$B681&amp;" ~*")&gt;0)+(IFERROR(INDEX(Setup!$G$33:$G$40,MATCH(S681,Setup!$B$33:$B$40,0)),0)=1)*(COUNTIF(S658:U675,$B681)+COUNTIF(S658:U675,$B681&amp;" ~*")&gt;0)+(IFERROR(INDEX(Setup!$G$33:$G$40,MATCH(W681,Setup!$B$33:$B$40,0)),0)=1)*(COUNTIF(W658:W675,$B681)+COUNTIF(W658:W675,$B681&amp;" ~*")&gt;0)+(IFERROR(INDEX(Setup!$G$33:$G$40,MATCH(Y681,Setup!$B$33:$B$40,0)),0)=1)*(COUNTIF(Y658:Y675,$B681)+COUNTIF(Y658:Y675,$B681&amp;" ~*")&gt;0))</f>
        <v/>
      </c>
    </row>
    <row r="682" ht="15" customHeight="1">
      <c r="A682" t="n">
        <v>14</v>
      </c>
      <c r="B682" s="37">
        <f>IF(Setup!$B$11="","",Setup!$B$11)</f>
        <v/>
      </c>
      <c r="C682" s="102" t="n"/>
      <c r="D682" s="103" t="n"/>
      <c r="E682" s="103" t="n"/>
      <c r="F682" s="104" t="n"/>
      <c r="G682" s="102" t="n"/>
      <c r="H682" s="103" t="n"/>
      <c r="I682" s="103" t="n"/>
      <c r="J682" s="104" t="n"/>
      <c r="K682" s="102" t="n"/>
      <c r="L682" s="103" t="n"/>
      <c r="M682" s="103" t="n"/>
      <c r="N682" s="104" t="n"/>
      <c r="O682" s="102" t="n"/>
      <c r="P682" s="103" t="n"/>
      <c r="Q682" s="103" t="n"/>
      <c r="R682" s="104" t="n"/>
      <c r="S682" s="102" t="n"/>
      <c r="T682" s="103" t="n"/>
      <c r="U682" s="103" t="n"/>
      <c r="V682" s="104" t="n"/>
      <c r="W682" s="102" t="n"/>
      <c r="X682" s="104" t="n"/>
      <c r="Y682" s="102" t="n"/>
      <c r="Z682" s="104" t="n"/>
      <c r="AB682" s="105">
        <f>IF($B682="","",(COUNTIF(C658:E675,$B682)+COUNTIF(C658:E675,$B682&amp;" ~*")&gt;0)+(COUNTIF(G658:I675,$B682)+COUNTIF(G658:I675,$B682&amp;" ~*")&gt;0)+(COUNTIF(K658:M675,$B682)+COUNTIF(K658:M675,$B682&amp;" ~*")&gt;0)+(COUNTIF(O658:Q675,$B682)+COUNTIF(O658:Q675,$B682&amp;" ~*")&gt;0)+(COUNTIF(S658:U675,$B682)+COUNTIF(S658:U675,$B682&amp;" ~*")&gt;0)+(COUNTIF(W658:W675,$B682)+COUNTIF(W658:W675,$B682&amp;" ~*")&gt;0)+(COUNTIF(Y658:Y675,$B682)+COUNTIF(Y658:Y675,$B682&amp;" ~*")&gt;0))</f>
        <v/>
      </c>
      <c r="AC682" s="38">
        <f>IF($B682="","",(IFERROR(INDEX(Setup!$G$33:$G$40,MATCH(C682,Setup!$B$33:$B$40,0)),0)=1)*(COUNTIF(C658:E675,$B682)+COUNTIF(C658:E675,$B682&amp;" ~*")&gt;0)+(IFERROR(INDEX(Setup!$G$33:$G$40,MATCH(G682,Setup!$B$33:$B$40,0)),0)=1)*(COUNTIF(G658:I675,$B682)+COUNTIF(G658:I675,$B682&amp;" ~*")&gt;0)+(IFERROR(INDEX(Setup!$G$33:$G$40,MATCH(K682,Setup!$B$33:$B$40,0)),0)=1)*(COUNTIF(K658:M675,$B682)+COUNTIF(K658:M675,$B682&amp;" ~*")&gt;0)+(IFERROR(INDEX(Setup!$G$33:$G$40,MATCH(O682,Setup!$B$33:$B$40,0)),0)=1)*(COUNTIF(O658:Q675,$B682)+COUNTIF(O658:Q675,$B682&amp;" ~*")&gt;0)+(IFERROR(INDEX(Setup!$G$33:$G$40,MATCH(S682,Setup!$B$33:$B$40,0)),0)=1)*(COUNTIF(S658:U675,$B682)+COUNTIF(S658:U675,$B682&amp;" ~*")&gt;0)+(IFERROR(INDEX(Setup!$G$33:$G$40,MATCH(W682,Setup!$B$33:$B$40,0)),0)=1)*(COUNTIF(W658:W675,$B682)+COUNTIF(W658:W675,$B682&amp;" ~*")&gt;0)+(IFERROR(INDEX(Setup!$G$33:$G$40,MATCH(Y682,Setup!$B$33:$B$40,0)),0)=1)*(COUNTIF(Y658:Y675,$B682)+COUNTIF(Y658:Y675,$B682&amp;" ~*")&gt;0))</f>
        <v/>
      </c>
    </row>
    <row r="683" ht="15" customHeight="1">
      <c r="A683" t="n">
        <v>14</v>
      </c>
      <c r="B683" s="35">
        <f>IF(Setup!$B$12="","",Setup!$B$12)</f>
        <v/>
      </c>
      <c r="C683" s="98" t="inlineStr">
        <is>
          <t>AL</t>
        </is>
      </c>
      <c r="D683" s="99" t="n"/>
      <c r="E683" s="99" t="n"/>
      <c r="F683" s="100" t="n"/>
      <c r="G683" s="98" t="n"/>
      <c r="H683" s="99" t="n"/>
      <c r="I683" s="99" t="n"/>
      <c r="J683" s="100" t="n"/>
      <c r="K683" s="98" t="n"/>
      <c r="L683" s="99" t="n"/>
      <c r="M683" s="99" t="n"/>
      <c r="N683" s="100" t="n"/>
      <c r="O683" s="98" t="inlineStr">
        <is>
          <t>AL</t>
        </is>
      </c>
      <c r="P683" s="99" t="n"/>
      <c r="Q683" s="99" t="n"/>
      <c r="R683" s="100" t="n"/>
      <c r="S683" s="98" t="n"/>
      <c r="T683" s="99" t="n"/>
      <c r="U683" s="99" t="n"/>
      <c r="V683" s="100" t="n"/>
      <c r="W683" s="98" t="n"/>
      <c r="X683" s="100" t="n"/>
      <c r="Y683" s="98" t="n"/>
      <c r="Z683" s="100" t="n"/>
      <c r="AB683" s="101">
        <f>IF($B683="","",(COUNTIF(C658:E675,$B683)+COUNTIF(C658:E675,$B683&amp;" ~*")&gt;0)+(COUNTIF(G658:I675,$B683)+COUNTIF(G658:I675,$B683&amp;" ~*")&gt;0)+(COUNTIF(K658:M675,$B683)+COUNTIF(K658:M675,$B683&amp;" ~*")&gt;0)+(COUNTIF(O658:Q675,$B683)+COUNTIF(O658:Q675,$B683&amp;" ~*")&gt;0)+(COUNTIF(S658:U675,$B683)+COUNTIF(S658:U675,$B683&amp;" ~*")&gt;0)+(COUNTIF(W658:W675,$B683)+COUNTIF(W658:W675,$B683&amp;" ~*")&gt;0)+(COUNTIF(Y658:Y675,$B683)+COUNTIF(Y658:Y675,$B683&amp;" ~*")&gt;0))</f>
        <v/>
      </c>
      <c r="AC683" s="36">
        <f>IF($B683="","",(IFERROR(INDEX(Setup!$G$33:$G$40,MATCH(C683,Setup!$B$33:$B$40,0)),0)=1)*(COUNTIF(C658:E675,$B683)+COUNTIF(C658:E675,$B683&amp;" ~*")&gt;0)+(IFERROR(INDEX(Setup!$G$33:$G$40,MATCH(G683,Setup!$B$33:$B$40,0)),0)=1)*(COUNTIF(G658:I675,$B683)+COUNTIF(G658:I675,$B683&amp;" ~*")&gt;0)+(IFERROR(INDEX(Setup!$G$33:$G$40,MATCH(K683,Setup!$B$33:$B$40,0)),0)=1)*(COUNTIF(K658:M675,$B683)+COUNTIF(K658:M675,$B683&amp;" ~*")&gt;0)+(IFERROR(INDEX(Setup!$G$33:$G$40,MATCH(O683,Setup!$B$33:$B$40,0)),0)=1)*(COUNTIF(O658:Q675,$B683)+COUNTIF(O658:Q675,$B683&amp;" ~*")&gt;0)+(IFERROR(INDEX(Setup!$G$33:$G$40,MATCH(S683,Setup!$B$33:$B$40,0)),0)=1)*(COUNTIF(S658:U675,$B683)+COUNTIF(S658:U675,$B683&amp;" ~*")&gt;0)+(IFERROR(INDEX(Setup!$G$33:$G$40,MATCH(W683,Setup!$B$33:$B$40,0)),0)=1)*(COUNTIF(W658:W675,$B683)+COUNTIF(W658:W675,$B683&amp;" ~*")&gt;0)+(IFERROR(INDEX(Setup!$G$33:$G$40,MATCH(Y683,Setup!$B$33:$B$40,0)),0)=1)*(COUNTIF(Y658:Y675,$B683)+COUNTIF(Y658:Y675,$B683&amp;" ~*")&gt;0))</f>
        <v/>
      </c>
    </row>
    <row r="684" ht="15" customHeight="1">
      <c r="A684" t="n">
        <v>14</v>
      </c>
      <c r="B684" s="37">
        <f>IF(Setup!$B$13="","",Setup!$B$13)</f>
        <v/>
      </c>
      <c r="C684" s="102" t="n"/>
      <c r="D684" s="103" t="n"/>
      <c r="E684" s="103" t="n"/>
      <c r="F684" s="104" t="n"/>
      <c r="G684" s="102" t="n"/>
      <c r="H684" s="103" t="n"/>
      <c r="I684" s="103" t="n"/>
      <c r="J684" s="104" t="n"/>
      <c r="K684" s="102" t="n"/>
      <c r="L684" s="103" t="n"/>
      <c r="M684" s="103" t="n"/>
      <c r="N684" s="104" t="n"/>
      <c r="O684" s="102" t="n"/>
      <c r="P684" s="103" t="n"/>
      <c r="Q684" s="103" t="n"/>
      <c r="R684" s="104" t="n"/>
      <c r="S684" s="102" t="n"/>
      <c r="T684" s="103" t="n"/>
      <c r="U684" s="103" t="n"/>
      <c r="V684" s="104" t="n"/>
      <c r="W684" s="102" t="n"/>
      <c r="X684" s="104" t="n"/>
      <c r="Y684" s="102" t="n"/>
      <c r="Z684" s="104" t="n"/>
      <c r="AB684" s="105">
        <f>IF($B684="","",(COUNTIF(C658:E675,$B684)+COUNTIF(C658:E675,$B684&amp;" ~*")&gt;0)+(COUNTIF(G658:I675,$B684)+COUNTIF(G658:I675,$B684&amp;" ~*")&gt;0)+(COUNTIF(K658:M675,$B684)+COUNTIF(K658:M675,$B684&amp;" ~*")&gt;0)+(COUNTIF(O658:Q675,$B684)+COUNTIF(O658:Q675,$B684&amp;" ~*")&gt;0)+(COUNTIF(S658:U675,$B684)+COUNTIF(S658:U675,$B684&amp;" ~*")&gt;0)+(COUNTIF(W658:W675,$B684)+COUNTIF(W658:W675,$B684&amp;" ~*")&gt;0)+(COUNTIF(Y658:Y675,$B684)+COUNTIF(Y658:Y675,$B684&amp;" ~*")&gt;0))</f>
        <v/>
      </c>
      <c r="AC684" s="38">
        <f>IF($B684="","",(IFERROR(INDEX(Setup!$G$33:$G$40,MATCH(C684,Setup!$B$33:$B$40,0)),0)=1)*(COUNTIF(C658:E675,$B684)+COUNTIF(C658:E675,$B684&amp;" ~*")&gt;0)+(IFERROR(INDEX(Setup!$G$33:$G$40,MATCH(G684,Setup!$B$33:$B$40,0)),0)=1)*(COUNTIF(G658:I675,$B684)+COUNTIF(G658:I675,$B684&amp;" ~*")&gt;0)+(IFERROR(INDEX(Setup!$G$33:$G$40,MATCH(K684,Setup!$B$33:$B$40,0)),0)=1)*(COUNTIF(K658:M675,$B684)+COUNTIF(K658:M675,$B684&amp;" ~*")&gt;0)+(IFERROR(INDEX(Setup!$G$33:$G$40,MATCH(O684,Setup!$B$33:$B$40,0)),0)=1)*(COUNTIF(O658:Q675,$B684)+COUNTIF(O658:Q675,$B684&amp;" ~*")&gt;0)+(IFERROR(INDEX(Setup!$G$33:$G$40,MATCH(S684,Setup!$B$33:$B$40,0)),0)=1)*(COUNTIF(S658:U675,$B684)+COUNTIF(S658:U675,$B684&amp;" ~*")&gt;0)+(IFERROR(INDEX(Setup!$G$33:$G$40,MATCH(W684,Setup!$B$33:$B$40,0)),0)=1)*(COUNTIF(W658:W675,$B684)+COUNTIF(W658:W675,$B684&amp;" ~*")&gt;0)+(IFERROR(INDEX(Setup!$G$33:$G$40,MATCH(Y684,Setup!$B$33:$B$40,0)),0)=1)*(COUNTIF(Y658:Y675,$B684)+COUNTIF(Y658:Y675,$B684&amp;" ~*")&gt;0))</f>
        <v/>
      </c>
    </row>
    <row r="685" ht="15" customHeight="1">
      <c r="A685" t="n">
        <v>14</v>
      </c>
      <c r="B685" s="35">
        <f>IF(Setup!$B$14="","",Setup!$B$14)</f>
        <v/>
      </c>
      <c r="C685" s="98" t="n"/>
      <c r="D685" s="99" t="n"/>
      <c r="E685" s="99" t="n"/>
      <c r="F685" s="100" t="n"/>
      <c r="G685" s="98" t="n"/>
      <c r="H685" s="99" t="n"/>
      <c r="I685" s="99" t="n"/>
      <c r="J685" s="100" t="n"/>
      <c r="K685" s="98" t="n"/>
      <c r="L685" s="99" t="n"/>
      <c r="M685" s="99" t="n"/>
      <c r="N685" s="100" t="n"/>
      <c r="O685" s="98" t="n"/>
      <c r="P685" s="99" t="n"/>
      <c r="Q685" s="99" t="n"/>
      <c r="R685" s="100" t="n"/>
      <c r="S685" s="98" t="n"/>
      <c r="T685" s="99" t="n"/>
      <c r="U685" s="99" t="n"/>
      <c r="V685" s="100" t="n"/>
      <c r="W685" s="98" t="n"/>
      <c r="X685" s="100" t="n"/>
      <c r="Y685" s="98" t="n"/>
      <c r="Z685" s="100" t="n"/>
      <c r="AB685" s="101">
        <f>IF($B685="","",(COUNTIF(C658:E675,$B685)+COUNTIF(C658:E675,$B685&amp;" ~*")&gt;0)+(COUNTIF(G658:I675,$B685)+COUNTIF(G658:I675,$B685&amp;" ~*")&gt;0)+(COUNTIF(K658:M675,$B685)+COUNTIF(K658:M675,$B685&amp;" ~*")&gt;0)+(COUNTIF(O658:Q675,$B685)+COUNTIF(O658:Q675,$B685&amp;" ~*")&gt;0)+(COUNTIF(S658:U675,$B685)+COUNTIF(S658:U675,$B685&amp;" ~*")&gt;0)+(COUNTIF(W658:W675,$B685)+COUNTIF(W658:W675,$B685&amp;" ~*")&gt;0)+(COUNTIF(Y658:Y675,$B685)+COUNTIF(Y658:Y675,$B685&amp;" ~*")&gt;0))</f>
        <v/>
      </c>
      <c r="AC685" s="36">
        <f>IF($B685="","",(IFERROR(INDEX(Setup!$G$33:$G$40,MATCH(C685,Setup!$B$33:$B$40,0)),0)=1)*(COUNTIF(C658:E675,$B685)+COUNTIF(C658:E675,$B685&amp;" ~*")&gt;0)+(IFERROR(INDEX(Setup!$G$33:$G$40,MATCH(G685,Setup!$B$33:$B$40,0)),0)=1)*(COUNTIF(G658:I675,$B685)+COUNTIF(G658:I675,$B685&amp;" ~*")&gt;0)+(IFERROR(INDEX(Setup!$G$33:$G$40,MATCH(K685,Setup!$B$33:$B$40,0)),0)=1)*(COUNTIF(K658:M675,$B685)+COUNTIF(K658:M675,$B685&amp;" ~*")&gt;0)+(IFERROR(INDEX(Setup!$G$33:$G$40,MATCH(O685,Setup!$B$33:$B$40,0)),0)=1)*(COUNTIF(O658:Q675,$B685)+COUNTIF(O658:Q675,$B685&amp;" ~*")&gt;0)+(IFERROR(INDEX(Setup!$G$33:$G$40,MATCH(S685,Setup!$B$33:$B$40,0)),0)=1)*(COUNTIF(S658:U675,$B685)+COUNTIF(S658:U675,$B685&amp;" ~*")&gt;0)+(IFERROR(INDEX(Setup!$G$33:$G$40,MATCH(W685,Setup!$B$33:$B$40,0)),0)=1)*(COUNTIF(W658:W675,$B685)+COUNTIF(W658:W675,$B685&amp;" ~*")&gt;0)+(IFERROR(INDEX(Setup!$G$33:$G$40,MATCH(Y685,Setup!$B$33:$B$40,0)),0)=1)*(COUNTIF(Y658:Y675,$B685)+COUNTIF(Y658:Y675,$B685&amp;" ~*")&gt;0))</f>
        <v/>
      </c>
    </row>
    <row r="686" ht="15" customHeight="1">
      <c r="A686" t="n">
        <v>14</v>
      </c>
      <c r="B686" s="37">
        <f>IF(Setup!$B$15="","",Setup!$B$15)</f>
        <v/>
      </c>
      <c r="C686" s="102" t="n"/>
      <c r="D686" s="103" t="n"/>
      <c r="E686" s="103" t="n"/>
      <c r="F686" s="104" t="n"/>
      <c r="G686" s="102" t="n"/>
      <c r="H686" s="103" t="n"/>
      <c r="I686" s="103" t="n"/>
      <c r="J686" s="104" t="n"/>
      <c r="K686" s="102" t="n"/>
      <c r="L686" s="103" t="n"/>
      <c r="M686" s="103" t="n"/>
      <c r="N686" s="104" t="n"/>
      <c r="O686" s="102" t="n"/>
      <c r="P686" s="103" t="n"/>
      <c r="Q686" s="103" t="n"/>
      <c r="R686" s="104" t="n"/>
      <c r="S686" s="102" t="n"/>
      <c r="T686" s="103" t="n"/>
      <c r="U686" s="103" t="n"/>
      <c r="V686" s="104" t="n"/>
      <c r="W686" s="102" t="n"/>
      <c r="X686" s="104" t="n"/>
      <c r="Y686" s="102" t="n"/>
      <c r="Z686" s="104" t="n"/>
      <c r="AB686" s="105">
        <f>IF($B686="","",(COUNTIF(C658:E675,$B686)+COUNTIF(C658:E675,$B686&amp;" ~*")&gt;0)+(COUNTIF(G658:I675,$B686)+COUNTIF(G658:I675,$B686&amp;" ~*")&gt;0)+(COUNTIF(K658:M675,$B686)+COUNTIF(K658:M675,$B686&amp;" ~*")&gt;0)+(COUNTIF(O658:Q675,$B686)+COUNTIF(O658:Q675,$B686&amp;" ~*")&gt;0)+(COUNTIF(S658:U675,$B686)+COUNTIF(S658:U675,$B686&amp;" ~*")&gt;0)+(COUNTIF(W658:W675,$B686)+COUNTIF(W658:W675,$B686&amp;" ~*")&gt;0)+(COUNTIF(Y658:Y675,$B686)+COUNTIF(Y658:Y675,$B686&amp;" ~*")&gt;0))</f>
        <v/>
      </c>
      <c r="AC686" s="38">
        <f>IF($B686="","",(IFERROR(INDEX(Setup!$G$33:$G$40,MATCH(C686,Setup!$B$33:$B$40,0)),0)=1)*(COUNTIF(C658:E675,$B686)+COUNTIF(C658:E675,$B686&amp;" ~*")&gt;0)+(IFERROR(INDEX(Setup!$G$33:$G$40,MATCH(G686,Setup!$B$33:$B$40,0)),0)=1)*(COUNTIF(G658:I675,$B686)+COUNTIF(G658:I675,$B686&amp;" ~*")&gt;0)+(IFERROR(INDEX(Setup!$G$33:$G$40,MATCH(K686,Setup!$B$33:$B$40,0)),0)=1)*(COUNTIF(K658:M675,$B686)+COUNTIF(K658:M675,$B686&amp;" ~*")&gt;0)+(IFERROR(INDEX(Setup!$G$33:$G$40,MATCH(O686,Setup!$B$33:$B$40,0)),0)=1)*(COUNTIF(O658:Q675,$B686)+COUNTIF(O658:Q675,$B686&amp;" ~*")&gt;0)+(IFERROR(INDEX(Setup!$G$33:$G$40,MATCH(S686,Setup!$B$33:$B$40,0)),0)=1)*(COUNTIF(S658:U675,$B686)+COUNTIF(S658:U675,$B686&amp;" ~*")&gt;0)+(IFERROR(INDEX(Setup!$G$33:$G$40,MATCH(W686,Setup!$B$33:$B$40,0)),0)=1)*(COUNTIF(W658:W675,$B686)+COUNTIF(W658:W675,$B686&amp;" ~*")&gt;0)+(IFERROR(INDEX(Setup!$G$33:$G$40,MATCH(Y686,Setup!$B$33:$B$40,0)),0)=1)*(COUNTIF(Y658:Y675,$B686)+COUNTIF(Y658:Y675,$B686&amp;" ~*")&gt;0))</f>
        <v/>
      </c>
    </row>
    <row r="687" ht="15" customHeight="1">
      <c r="A687" t="n">
        <v>14</v>
      </c>
      <c r="B687" s="35">
        <f>IF(Setup!$B$16="","",Setup!$B$16)</f>
        <v/>
      </c>
      <c r="C687" s="98" t="n"/>
      <c r="D687" s="99" t="n"/>
      <c r="E687" s="99" t="n"/>
      <c r="F687" s="100" t="n"/>
      <c r="G687" s="98" t="n"/>
      <c r="H687" s="99" t="n"/>
      <c r="I687" s="99" t="n"/>
      <c r="J687" s="100" t="n"/>
      <c r="K687" s="98" t="n"/>
      <c r="L687" s="99" t="n"/>
      <c r="M687" s="99" t="n"/>
      <c r="N687" s="100" t="n"/>
      <c r="O687" s="98" t="n"/>
      <c r="P687" s="99" t="n"/>
      <c r="Q687" s="99" t="n"/>
      <c r="R687" s="100" t="n"/>
      <c r="S687" s="98" t="n"/>
      <c r="T687" s="99" t="n"/>
      <c r="U687" s="99" t="n"/>
      <c r="V687" s="100" t="n"/>
      <c r="W687" s="98" t="n"/>
      <c r="X687" s="100" t="n"/>
      <c r="Y687" s="98" t="n"/>
      <c r="Z687" s="100" t="n"/>
      <c r="AB687" s="101">
        <f>IF($B687="","",(COUNTIF(C658:E675,$B687)+COUNTIF(C658:E675,$B687&amp;" ~*")&gt;0)+(COUNTIF(G658:I675,$B687)+COUNTIF(G658:I675,$B687&amp;" ~*")&gt;0)+(COUNTIF(K658:M675,$B687)+COUNTIF(K658:M675,$B687&amp;" ~*")&gt;0)+(COUNTIF(O658:Q675,$B687)+COUNTIF(O658:Q675,$B687&amp;" ~*")&gt;0)+(COUNTIF(S658:U675,$B687)+COUNTIF(S658:U675,$B687&amp;" ~*")&gt;0)+(COUNTIF(W658:W675,$B687)+COUNTIF(W658:W675,$B687&amp;" ~*")&gt;0)+(COUNTIF(Y658:Y675,$B687)+COUNTIF(Y658:Y675,$B687&amp;" ~*")&gt;0))</f>
        <v/>
      </c>
      <c r="AC687" s="36">
        <f>IF($B687="","",(IFERROR(INDEX(Setup!$G$33:$G$40,MATCH(C687,Setup!$B$33:$B$40,0)),0)=1)*(COUNTIF(C658:E675,$B687)+COUNTIF(C658:E675,$B687&amp;" ~*")&gt;0)+(IFERROR(INDEX(Setup!$G$33:$G$40,MATCH(G687,Setup!$B$33:$B$40,0)),0)=1)*(COUNTIF(G658:I675,$B687)+COUNTIF(G658:I675,$B687&amp;" ~*")&gt;0)+(IFERROR(INDEX(Setup!$G$33:$G$40,MATCH(K687,Setup!$B$33:$B$40,0)),0)=1)*(COUNTIF(K658:M675,$B687)+COUNTIF(K658:M675,$B687&amp;" ~*")&gt;0)+(IFERROR(INDEX(Setup!$G$33:$G$40,MATCH(O687,Setup!$B$33:$B$40,0)),0)=1)*(COUNTIF(O658:Q675,$B687)+COUNTIF(O658:Q675,$B687&amp;" ~*")&gt;0)+(IFERROR(INDEX(Setup!$G$33:$G$40,MATCH(S687,Setup!$B$33:$B$40,0)),0)=1)*(COUNTIF(S658:U675,$B687)+COUNTIF(S658:U675,$B687&amp;" ~*")&gt;0)+(IFERROR(INDEX(Setup!$G$33:$G$40,MATCH(W687,Setup!$B$33:$B$40,0)),0)=1)*(COUNTIF(W658:W675,$B687)+COUNTIF(W658:W675,$B687&amp;" ~*")&gt;0)+(IFERROR(INDEX(Setup!$G$33:$G$40,MATCH(Y687,Setup!$B$33:$B$40,0)),0)=1)*(COUNTIF(Y658:Y675,$B687)+COUNTIF(Y658:Y675,$B687&amp;" ~*")&gt;0))</f>
        <v/>
      </c>
    </row>
    <row r="688" ht="15" customHeight="1">
      <c r="A688" t="n">
        <v>14</v>
      </c>
      <c r="B688" s="37">
        <f>IF(Setup!$B$17="","",Setup!$B$17)</f>
        <v/>
      </c>
      <c r="C688" s="102" t="n"/>
      <c r="D688" s="103" t="n"/>
      <c r="E688" s="103" t="n"/>
      <c r="F688" s="104" t="n"/>
      <c r="G688" s="102" t="n"/>
      <c r="H688" s="103" t="n"/>
      <c r="I688" s="103" t="n"/>
      <c r="J688" s="104" t="n"/>
      <c r="K688" s="102" t="n"/>
      <c r="L688" s="103" t="n"/>
      <c r="M688" s="103" t="n"/>
      <c r="N688" s="104" t="n"/>
      <c r="O688" s="102" t="n"/>
      <c r="P688" s="103" t="n"/>
      <c r="Q688" s="103" t="n"/>
      <c r="R688" s="104" t="n"/>
      <c r="S688" s="102" t="n"/>
      <c r="T688" s="103" t="n"/>
      <c r="U688" s="103" t="n"/>
      <c r="V688" s="104" t="n"/>
      <c r="W688" s="102" t="n"/>
      <c r="X688" s="104" t="n"/>
      <c r="Y688" s="102" t="n"/>
      <c r="Z688" s="104" t="n"/>
      <c r="AB688" s="105">
        <f>IF($B688="","",(COUNTIF(C658:E675,$B688)+COUNTIF(C658:E675,$B688&amp;" ~*")&gt;0)+(COUNTIF(G658:I675,$B688)+COUNTIF(G658:I675,$B688&amp;" ~*")&gt;0)+(COUNTIF(K658:M675,$B688)+COUNTIF(K658:M675,$B688&amp;" ~*")&gt;0)+(COUNTIF(O658:Q675,$B688)+COUNTIF(O658:Q675,$B688&amp;" ~*")&gt;0)+(COUNTIF(S658:U675,$B688)+COUNTIF(S658:U675,$B688&amp;" ~*")&gt;0)+(COUNTIF(W658:W675,$B688)+COUNTIF(W658:W675,$B688&amp;" ~*")&gt;0)+(COUNTIF(Y658:Y675,$B688)+COUNTIF(Y658:Y675,$B688&amp;" ~*")&gt;0))</f>
        <v/>
      </c>
      <c r="AC688" s="38">
        <f>IF($B688="","",(IFERROR(INDEX(Setup!$G$33:$G$40,MATCH(C688,Setup!$B$33:$B$40,0)),0)=1)*(COUNTIF(C658:E675,$B688)+COUNTIF(C658:E675,$B688&amp;" ~*")&gt;0)+(IFERROR(INDEX(Setup!$G$33:$G$40,MATCH(G688,Setup!$B$33:$B$40,0)),0)=1)*(COUNTIF(G658:I675,$B688)+COUNTIF(G658:I675,$B688&amp;" ~*")&gt;0)+(IFERROR(INDEX(Setup!$G$33:$G$40,MATCH(K688,Setup!$B$33:$B$40,0)),0)=1)*(COUNTIF(K658:M675,$B688)+COUNTIF(K658:M675,$B688&amp;" ~*")&gt;0)+(IFERROR(INDEX(Setup!$G$33:$G$40,MATCH(O688,Setup!$B$33:$B$40,0)),0)=1)*(COUNTIF(O658:Q675,$B688)+COUNTIF(O658:Q675,$B688&amp;" ~*")&gt;0)+(IFERROR(INDEX(Setup!$G$33:$G$40,MATCH(S688,Setup!$B$33:$B$40,0)),0)=1)*(COUNTIF(S658:U675,$B688)+COUNTIF(S658:U675,$B688&amp;" ~*")&gt;0)+(IFERROR(INDEX(Setup!$G$33:$G$40,MATCH(W688,Setup!$B$33:$B$40,0)),0)=1)*(COUNTIF(W658:W675,$B688)+COUNTIF(W658:W675,$B688&amp;" ~*")&gt;0)+(IFERROR(INDEX(Setup!$G$33:$G$40,MATCH(Y688,Setup!$B$33:$B$40,0)),0)=1)*(COUNTIF(Y658:Y675,$B688)+COUNTIF(Y658:Y675,$B688&amp;" ~*")&gt;0))</f>
        <v/>
      </c>
    </row>
    <row r="689" ht="15" customHeight="1">
      <c r="A689" t="n">
        <v>14</v>
      </c>
      <c r="B689" s="35">
        <f>IF(Setup!$B$18="","",Setup!$B$18)</f>
        <v/>
      </c>
      <c r="C689" s="98" t="n"/>
      <c r="D689" s="99" t="n"/>
      <c r="E689" s="99" t="n"/>
      <c r="F689" s="100" t="n"/>
      <c r="G689" s="98" t="n"/>
      <c r="H689" s="99" t="n"/>
      <c r="I689" s="99" t="n"/>
      <c r="J689" s="100" t="n"/>
      <c r="K689" s="98" t="n"/>
      <c r="L689" s="99" t="n"/>
      <c r="M689" s="99" t="n"/>
      <c r="N689" s="100" t="n"/>
      <c r="O689" s="98" t="n"/>
      <c r="P689" s="99" t="n"/>
      <c r="Q689" s="99" t="n"/>
      <c r="R689" s="100" t="n"/>
      <c r="S689" s="98" t="n"/>
      <c r="T689" s="99" t="n"/>
      <c r="U689" s="99" t="n"/>
      <c r="V689" s="100" t="n"/>
      <c r="W689" s="98" t="n"/>
      <c r="X689" s="100" t="n"/>
      <c r="Y689" s="98" t="n"/>
      <c r="Z689" s="100" t="n"/>
      <c r="AB689" s="101">
        <f>IF($B689="","",(COUNTIF(C658:E675,$B689)+COUNTIF(C658:E675,$B689&amp;" ~*")&gt;0)+(COUNTIF(G658:I675,$B689)+COUNTIF(G658:I675,$B689&amp;" ~*")&gt;0)+(COUNTIF(K658:M675,$B689)+COUNTIF(K658:M675,$B689&amp;" ~*")&gt;0)+(COUNTIF(O658:Q675,$B689)+COUNTIF(O658:Q675,$B689&amp;" ~*")&gt;0)+(COUNTIF(S658:U675,$B689)+COUNTIF(S658:U675,$B689&amp;" ~*")&gt;0)+(COUNTIF(W658:W675,$B689)+COUNTIF(W658:W675,$B689&amp;" ~*")&gt;0)+(COUNTIF(Y658:Y675,$B689)+COUNTIF(Y658:Y675,$B689&amp;" ~*")&gt;0))</f>
        <v/>
      </c>
      <c r="AC689" s="36">
        <f>IF($B689="","",(IFERROR(INDEX(Setup!$G$33:$G$40,MATCH(C689,Setup!$B$33:$B$40,0)),0)=1)*(COUNTIF(C658:E675,$B689)+COUNTIF(C658:E675,$B689&amp;" ~*")&gt;0)+(IFERROR(INDEX(Setup!$G$33:$G$40,MATCH(G689,Setup!$B$33:$B$40,0)),0)=1)*(COUNTIF(G658:I675,$B689)+COUNTIF(G658:I675,$B689&amp;" ~*")&gt;0)+(IFERROR(INDEX(Setup!$G$33:$G$40,MATCH(K689,Setup!$B$33:$B$40,0)),0)=1)*(COUNTIF(K658:M675,$B689)+COUNTIF(K658:M675,$B689&amp;" ~*")&gt;0)+(IFERROR(INDEX(Setup!$G$33:$G$40,MATCH(O689,Setup!$B$33:$B$40,0)),0)=1)*(COUNTIF(O658:Q675,$B689)+COUNTIF(O658:Q675,$B689&amp;" ~*")&gt;0)+(IFERROR(INDEX(Setup!$G$33:$G$40,MATCH(S689,Setup!$B$33:$B$40,0)),0)=1)*(COUNTIF(S658:U675,$B689)+COUNTIF(S658:U675,$B689&amp;" ~*")&gt;0)+(IFERROR(INDEX(Setup!$G$33:$G$40,MATCH(W689,Setup!$B$33:$B$40,0)),0)=1)*(COUNTIF(W658:W675,$B689)+COUNTIF(W658:W675,$B689&amp;" ~*")&gt;0)+(IFERROR(INDEX(Setup!$G$33:$G$40,MATCH(Y689,Setup!$B$33:$B$40,0)),0)=1)*(COUNTIF(Y658:Y675,$B689)+COUNTIF(Y658:Y675,$B689&amp;" ~*")&gt;0))</f>
        <v/>
      </c>
    </row>
    <row r="690" ht="15" customHeight="1">
      <c r="A690" t="n">
        <v>14</v>
      </c>
      <c r="B690" s="37">
        <f>IF(Setup!$B$19="","",Setup!$B$19)</f>
        <v/>
      </c>
      <c r="C690" s="102" t="n"/>
      <c r="D690" s="103" t="n"/>
      <c r="E690" s="103" t="n"/>
      <c r="F690" s="104" t="n"/>
      <c r="G690" s="102" t="n"/>
      <c r="H690" s="103" t="n"/>
      <c r="I690" s="103" t="n"/>
      <c r="J690" s="104" t="n"/>
      <c r="K690" s="102" t="n"/>
      <c r="L690" s="103" t="n"/>
      <c r="M690" s="103" t="n"/>
      <c r="N690" s="104" t="n"/>
      <c r="O690" s="102" t="n"/>
      <c r="P690" s="103" t="n"/>
      <c r="Q690" s="103" t="n"/>
      <c r="R690" s="104" t="n"/>
      <c r="S690" s="102" t="n"/>
      <c r="T690" s="103" t="n"/>
      <c r="U690" s="103" t="n"/>
      <c r="V690" s="104" t="n"/>
      <c r="W690" s="102" t="n"/>
      <c r="X690" s="104" t="n"/>
      <c r="Y690" s="102" t="n"/>
      <c r="Z690" s="104" t="n"/>
      <c r="AB690" s="105">
        <f>IF($B690="","",(COUNTIF(C658:E675,$B690)+COUNTIF(C658:E675,$B690&amp;" ~*")&gt;0)+(COUNTIF(G658:I675,$B690)+COUNTIF(G658:I675,$B690&amp;" ~*")&gt;0)+(COUNTIF(K658:M675,$B690)+COUNTIF(K658:M675,$B690&amp;" ~*")&gt;0)+(COUNTIF(O658:Q675,$B690)+COUNTIF(O658:Q675,$B690&amp;" ~*")&gt;0)+(COUNTIF(S658:U675,$B690)+COUNTIF(S658:U675,$B690&amp;" ~*")&gt;0)+(COUNTIF(W658:W675,$B690)+COUNTIF(W658:W675,$B690&amp;" ~*")&gt;0)+(COUNTIF(Y658:Y675,$B690)+COUNTIF(Y658:Y675,$B690&amp;" ~*")&gt;0))</f>
        <v/>
      </c>
      <c r="AC690" s="38">
        <f>IF($B690="","",(IFERROR(INDEX(Setup!$G$33:$G$40,MATCH(C690,Setup!$B$33:$B$40,0)),0)=1)*(COUNTIF(C658:E675,$B690)+COUNTIF(C658:E675,$B690&amp;" ~*")&gt;0)+(IFERROR(INDEX(Setup!$G$33:$G$40,MATCH(G690,Setup!$B$33:$B$40,0)),0)=1)*(COUNTIF(G658:I675,$B690)+COUNTIF(G658:I675,$B690&amp;" ~*")&gt;0)+(IFERROR(INDEX(Setup!$G$33:$G$40,MATCH(K690,Setup!$B$33:$B$40,0)),0)=1)*(COUNTIF(K658:M675,$B690)+COUNTIF(K658:M675,$B690&amp;" ~*")&gt;0)+(IFERROR(INDEX(Setup!$G$33:$G$40,MATCH(O690,Setup!$B$33:$B$40,0)),0)=1)*(COUNTIF(O658:Q675,$B690)+COUNTIF(O658:Q675,$B690&amp;" ~*")&gt;0)+(IFERROR(INDEX(Setup!$G$33:$G$40,MATCH(S690,Setup!$B$33:$B$40,0)),0)=1)*(COUNTIF(S658:U675,$B690)+COUNTIF(S658:U675,$B690&amp;" ~*")&gt;0)+(IFERROR(INDEX(Setup!$G$33:$G$40,MATCH(W690,Setup!$B$33:$B$40,0)),0)=1)*(COUNTIF(W658:W675,$B690)+COUNTIF(W658:W675,$B690&amp;" ~*")&gt;0)+(IFERROR(INDEX(Setup!$G$33:$G$40,MATCH(Y690,Setup!$B$33:$B$40,0)),0)=1)*(COUNTIF(Y658:Y675,$B690)+COUNTIF(Y658:Y675,$B690&amp;" ~*")&gt;0))</f>
        <v/>
      </c>
    </row>
    <row r="691" ht="15" customHeight="1">
      <c r="A691" t="n">
        <v>14</v>
      </c>
      <c r="B691" s="35">
        <f>IF(Setup!$B$20="","",Setup!$B$20)</f>
        <v/>
      </c>
      <c r="C691" s="98" t="n"/>
      <c r="D691" s="99" t="n"/>
      <c r="E691" s="99" t="n"/>
      <c r="F691" s="100" t="n"/>
      <c r="G691" s="98" t="n"/>
      <c r="H691" s="99" t="n"/>
      <c r="I691" s="99" t="n"/>
      <c r="J691" s="100" t="n"/>
      <c r="K691" s="98" t="n"/>
      <c r="L691" s="99" t="n"/>
      <c r="M691" s="99" t="n"/>
      <c r="N691" s="100" t="n"/>
      <c r="O691" s="98" t="n"/>
      <c r="P691" s="99" t="n"/>
      <c r="Q691" s="99" t="n"/>
      <c r="R691" s="100" t="n"/>
      <c r="S691" s="98" t="n"/>
      <c r="T691" s="99" t="n"/>
      <c r="U691" s="99" t="n"/>
      <c r="V691" s="100" t="n"/>
      <c r="W691" s="98" t="n"/>
      <c r="X691" s="100" t="n"/>
      <c r="Y691" s="98" t="n"/>
      <c r="Z691" s="100" t="n"/>
      <c r="AB691" s="101">
        <f>IF($B691="","",(COUNTIF(C658:E675,$B691)+COUNTIF(C658:E675,$B691&amp;" ~*")&gt;0)+(COUNTIF(G658:I675,$B691)+COUNTIF(G658:I675,$B691&amp;" ~*")&gt;0)+(COUNTIF(K658:M675,$B691)+COUNTIF(K658:M675,$B691&amp;" ~*")&gt;0)+(COUNTIF(O658:Q675,$B691)+COUNTIF(O658:Q675,$B691&amp;" ~*")&gt;0)+(COUNTIF(S658:U675,$B691)+COUNTIF(S658:U675,$B691&amp;" ~*")&gt;0)+(COUNTIF(W658:W675,$B691)+COUNTIF(W658:W675,$B691&amp;" ~*")&gt;0)+(COUNTIF(Y658:Y675,$B691)+COUNTIF(Y658:Y675,$B691&amp;" ~*")&gt;0))</f>
        <v/>
      </c>
      <c r="AC691" s="36">
        <f>IF($B691="","",(IFERROR(INDEX(Setup!$G$33:$G$40,MATCH(C691,Setup!$B$33:$B$40,0)),0)=1)*(COUNTIF(C658:E675,$B691)+COUNTIF(C658:E675,$B691&amp;" ~*")&gt;0)+(IFERROR(INDEX(Setup!$G$33:$G$40,MATCH(G691,Setup!$B$33:$B$40,0)),0)=1)*(COUNTIF(G658:I675,$B691)+COUNTIF(G658:I675,$B691&amp;" ~*")&gt;0)+(IFERROR(INDEX(Setup!$G$33:$G$40,MATCH(K691,Setup!$B$33:$B$40,0)),0)=1)*(COUNTIF(K658:M675,$B691)+COUNTIF(K658:M675,$B691&amp;" ~*")&gt;0)+(IFERROR(INDEX(Setup!$G$33:$G$40,MATCH(O691,Setup!$B$33:$B$40,0)),0)=1)*(COUNTIF(O658:Q675,$B691)+COUNTIF(O658:Q675,$B691&amp;" ~*")&gt;0)+(IFERROR(INDEX(Setup!$G$33:$G$40,MATCH(S691,Setup!$B$33:$B$40,0)),0)=1)*(COUNTIF(S658:U675,$B691)+COUNTIF(S658:U675,$B691&amp;" ~*")&gt;0)+(IFERROR(INDEX(Setup!$G$33:$G$40,MATCH(W691,Setup!$B$33:$B$40,0)),0)=1)*(COUNTIF(W658:W675,$B691)+COUNTIF(W658:W675,$B691&amp;" ~*")&gt;0)+(IFERROR(INDEX(Setup!$G$33:$G$40,MATCH(Y691,Setup!$B$33:$B$40,0)),0)=1)*(COUNTIF(Y658:Y675,$B691)+COUNTIF(Y658:Y675,$B691&amp;" ~*")&gt;0))</f>
        <v/>
      </c>
    </row>
    <row r="692" ht="15" customHeight="1">
      <c r="A692" t="n">
        <v>14</v>
      </c>
      <c r="B692" s="37">
        <f>IF(Setup!$B$21="","",Setup!$B$21)</f>
        <v/>
      </c>
      <c r="C692" s="102" t="inlineStr">
        <is>
          <t>AL</t>
        </is>
      </c>
      <c r="D692" s="103" t="n"/>
      <c r="E692" s="103" t="n"/>
      <c r="F692" s="104" t="n"/>
      <c r="G692" s="102" t="inlineStr">
        <is>
          <t>AL</t>
        </is>
      </c>
      <c r="H692" s="103" t="n"/>
      <c r="I692" s="103" t="n"/>
      <c r="J692" s="104" t="n"/>
      <c r="K692" s="102" t="inlineStr">
        <is>
          <t>AL</t>
        </is>
      </c>
      <c r="L692" s="103" t="n"/>
      <c r="M692" s="103" t="n"/>
      <c r="N692" s="104" t="n"/>
      <c r="O692" s="102" t="inlineStr">
        <is>
          <t>AL</t>
        </is>
      </c>
      <c r="P692" s="103" t="n"/>
      <c r="Q692" s="103" t="n"/>
      <c r="R692" s="104" t="n"/>
      <c r="S692" s="102" t="inlineStr">
        <is>
          <t>AL</t>
        </is>
      </c>
      <c r="T692" s="103" t="n"/>
      <c r="U692" s="103" t="n"/>
      <c r="V692" s="104" t="n"/>
      <c r="W692" s="102" t="n"/>
      <c r="X692" s="104" t="n"/>
      <c r="Y692" s="102" t="n"/>
      <c r="Z692" s="104" t="n"/>
      <c r="AB692" s="105">
        <f>IF($B692="","",(COUNTIF(C658:E675,$B692)+COUNTIF(C658:E675,$B692&amp;" ~*")&gt;0)+(COUNTIF(G658:I675,$B692)+COUNTIF(G658:I675,$B692&amp;" ~*")&gt;0)+(COUNTIF(K658:M675,$B692)+COUNTIF(K658:M675,$B692&amp;" ~*")&gt;0)+(COUNTIF(O658:Q675,$B692)+COUNTIF(O658:Q675,$B692&amp;" ~*")&gt;0)+(COUNTIF(S658:U675,$B692)+COUNTIF(S658:U675,$B692&amp;" ~*")&gt;0)+(COUNTIF(W658:W675,$B692)+COUNTIF(W658:W675,$B692&amp;" ~*")&gt;0)+(COUNTIF(Y658:Y675,$B692)+COUNTIF(Y658:Y675,$B692&amp;" ~*")&gt;0))</f>
        <v/>
      </c>
      <c r="AC692" s="38">
        <f>IF($B692="","",(IFERROR(INDEX(Setup!$G$33:$G$40,MATCH(C692,Setup!$B$33:$B$40,0)),0)=1)*(COUNTIF(C658:E675,$B692)+COUNTIF(C658:E675,$B692&amp;" ~*")&gt;0)+(IFERROR(INDEX(Setup!$G$33:$G$40,MATCH(G692,Setup!$B$33:$B$40,0)),0)=1)*(COUNTIF(G658:I675,$B692)+COUNTIF(G658:I675,$B692&amp;" ~*")&gt;0)+(IFERROR(INDEX(Setup!$G$33:$G$40,MATCH(K692,Setup!$B$33:$B$40,0)),0)=1)*(COUNTIF(K658:M675,$B692)+COUNTIF(K658:M675,$B692&amp;" ~*")&gt;0)+(IFERROR(INDEX(Setup!$G$33:$G$40,MATCH(O692,Setup!$B$33:$B$40,0)),0)=1)*(COUNTIF(O658:Q675,$B692)+COUNTIF(O658:Q675,$B692&amp;" ~*")&gt;0)+(IFERROR(INDEX(Setup!$G$33:$G$40,MATCH(S692,Setup!$B$33:$B$40,0)),0)=1)*(COUNTIF(S658:U675,$B692)+COUNTIF(S658:U675,$B692&amp;" ~*")&gt;0)+(IFERROR(INDEX(Setup!$G$33:$G$40,MATCH(W692,Setup!$B$33:$B$40,0)),0)=1)*(COUNTIF(W658:W675,$B692)+COUNTIF(W658:W675,$B692&amp;" ~*")&gt;0)+(IFERROR(INDEX(Setup!$G$33:$G$40,MATCH(Y692,Setup!$B$33:$B$40,0)),0)=1)*(COUNTIF(Y658:Y675,$B692)+COUNTIF(Y658:Y675,$B692&amp;" ~*")&gt;0))</f>
        <v/>
      </c>
    </row>
    <row r="693" ht="15" customHeight="1">
      <c r="A693" t="n">
        <v>14</v>
      </c>
      <c r="B693" s="35">
        <f>IF(Setup!$B$22="","",Setup!$B$22)</f>
        <v/>
      </c>
      <c r="C693" s="98" t="inlineStr">
        <is>
          <t>AL</t>
        </is>
      </c>
      <c r="D693" s="99" t="n"/>
      <c r="E693" s="99" t="n"/>
      <c r="F693" s="100" t="n"/>
      <c r="G693" s="98" t="inlineStr">
        <is>
          <t>AL</t>
        </is>
      </c>
      <c r="H693" s="99" t="n"/>
      <c r="I693" s="99" t="n"/>
      <c r="J693" s="100" t="n"/>
      <c r="K693" s="98" t="inlineStr">
        <is>
          <t>AL</t>
        </is>
      </c>
      <c r="L693" s="99" t="n"/>
      <c r="M693" s="99" t="n"/>
      <c r="N693" s="100" t="n"/>
      <c r="O693" s="98" t="inlineStr">
        <is>
          <t>AL</t>
        </is>
      </c>
      <c r="P693" s="99" t="n"/>
      <c r="Q693" s="99" t="n"/>
      <c r="R693" s="100" t="n"/>
      <c r="S693" s="98" t="inlineStr">
        <is>
          <t>AL</t>
        </is>
      </c>
      <c r="T693" s="99" t="n"/>
      <c r="U693" s="99" t="n"/>
      <c r="V693" s="100" t="n"/>
      <c r="W693" s="98" t="n"/>
      <c r="X693" s="100" t="n"/>
      <c r="Y693" s="98" t="n"/>
      <c r="Z693" s="100" t="n"/>
      <c r="AB693" s="101">
        <f>IF($B693="","",(COUNTIF(C658:E675,$B693)+COUNTIF(C658:E675,$B693&amp;" ~*")&gt;0)+(COUNTIF(G658:I675,$B693)+COUNTIF(G658:I675,$B693&amp;" ~*")&gt;0)+(COUNTIF(K658:M675,$B693)+COUNTIF(K658:M675,$B693&amp;" ~*")&gt;0)+(COUNTIF(O658:Q675,$B693)+COUNTIF(O658:Q675,$B693&amp;" ~*")&gt;0)+(COUNTIF(S658:U675,$B693)+COUNTIF(S658:U675,$B693&amp;" ~*")&gt;0)+(COUNTIF(W658:W675,$B693)+COUNTIF(W658:W675,$B693&amp;" ~*")&gt;0)+(COUNTIF(Y658:Y675,$B693)+COUNTIF(Y658:Y675,$B693&amp;" ~*")&gt;0))</f>
        <v/>
      </c>
      <c r="AC693" s="36">
        <f>IF($B693="","",(IFERROR(INDEX(Setup!$G$33:$G$40,MATCH(C693,Setup!$B$33:$B$40,0)),0)=1)*(COUNTIF(C658:E675,$B693)+COUNTIF(C658:E675,$B693&amp;" ~*")&gt;0)+(IFERROR(INDEX(Setup!$G$33:$G$40,MATCH(G693,Setup!$B$33:$B$40,0)),0)=1)*(COUNTIF(G658:I675,$B693)+COUNTIF(G658:I675,$B693&amp;" ~*")&gt;0)+(IFERROR(INDEX(Setup!$G$33:$G$40,MATCH(K693,Setup!$B$33:$B$40,0)),0)=1)*(COUNTIF(K658:M675,$B693)+COUNTIF(K658:M675,$B693&amp;" ~*")&gt;0)+(IFERROR(INDEX(Setup!$G$33:$G$40,MATCH(O693,Setup!$B$33:$B$40,0)),0)=1)*(COUNTIF(O658:Q675,$B693)+COUNTIF(O658:Q675,$B693&amp;" ~*")&gt;0)+(IFERROR(INDEX(Setup!$G$33:$G$40,MATCH(S693,Setup!$B$33:$B$40,0)),0)=1)*(COUNTIF(S658:U675,$B693)+COUNTIF(S658:U675,$B693&amp;" ~*")&gt;0)+(IFERROR(INDEX(Setup!$G$33:$G$40,MATCH(W693,Setup!$B$33:$B$40,0)),0)=1)*(COUNTIF(W658:W675,$B693)+COUNTIF(W658:W675,$B693&amp;" ~*")&gt;0)+(IFERROR(INDEX(Setup!$G$33:$G$40,MATCH(Y693,Setup!$B$33:$B$40,0)),0)=1)*(COUNTIF(Y658:Y675,$B693)+COUNTIF(Y658:Y675,$B693&amp;" ~*")&gt;0))</f>
        <v/>
      </c>
    </row>
    <row r="694" ht="15" customHeight="1">
      <c r="A694" t="n">
        <v>14</v>
      </c>
      <c r="B694" s="37">
        <f>IF(Setup!$B$23="","",Setup!$B$23)</f>
        <v/>
      </c>
      <c r="C694" s="102" t="n"/>
      <c r="D694" s="103" t="n"/>
      <c r="E694" s="103" t="n"/>
      <c r="F694" s="104" t="n"/>
      <c r="G694" s="102" t="n"/>
      <c r="H694" s="103" t="n"/>
      <c r="I694" s="103" t="n"/>
      <c r="J694" s="104" t="n"/>
      <c r="K694" s="102" t="n"/>
      <c r="L694" s="103" t="n"/>
      <c r="M694" s="103" t="n"/>
      <c r="N694" s="104" t="n"/>
      <c r="O694" s="102" t="n"/>
      <c r="P694" s="103" t="n"/>
      <c r="Q694" s="103" t="n"/>
      <c r="R694" s="104" t="n"/>
      <c r="S694" s="102" t="n"/>
      <c r="T694" s="103" t="n"/>
      <c r="U694" s="103" t="n"/>
      <c r="V694" s="104" t="n"/>
      <c r="W694" s="102" t="n"/>
      <c r="X694" s="104" t="n"/>
      <c r="Y694" s="102" t="n"/>
      <c r="Z694" s="104" t="n"/>
      <c r="AB694" s="105">
        <f>IF($B694="","",(COUNTIF(C658:E675,$B694)+COUNTIF(C658:E675,$B694&amp;" ~*")&gt;0)+(COUNTIF(G658:I675,$B694)+COUNTIF(G658:I675,$B694&amp;" ~*")&gt;0)+(COUNTIF(K658:M675,$B694)+COUNTIF(K658:M675,$B694&amp;" ~*")&gt;0)+(COUNTIF(O658:Q675,$B694)+COUNTIF(O658:Q675,$B694&amp;" ~*")&gt;0)+(COUNTIF(S658:U675,$B694)+COUNTIF(S658:U675,$B694&amp;" ~*")&gt;0)+(COUNTIF(W658:W675,$B694)+COUNTIF(W658:W675,$B694&amp;" ~*")&gt;0)+(COUNTIF(Y658:Y675,$B694)+COUNTIF(Y658:Y675,$B694&amp;" ~*")&gt;0))</f>
        <v/>
      </c>
      <c r="AC694" s="38">
        <f>IF($B694="","",(IFERROR(INDEX(Setup!$G$33:$G$40,MATCH(C694,Setup!$B$33:$B$40,0)),0)=1)*(COUNTIF(C658:E675,$B694)+COUNTIF(C658:E675,$B694&amp;" ~*")&gt;0)+(IFERROR(INDEX(Setup!$G$33:$G$40,MATCH(G694,Setup!$B$33:$B$40,0)),0)=1)*(COUNTIF(G658:I675,$B694)+COUNTIF(G658:I675,$B694&amp;" ~*")&gt;0)+(IFERROR(INDEX(Setup!$G$33:$G$40,MATCH(K694,Setup!$B$33:$B$40,0)),0)=1)*(COUNTIF(K658:M675,$B694)+COUNTIF(K658:M675,$B694&amp;" ~*")&gt;0)+(IFERROR(INDEX(Setup!$G$33:$G$40,MATCH(O694,Setup!$B$33:$B$40,0)),0)=1)*(COUNTIF(O658:Q675,$B694)+COUNTIF(O658:Q675,$B694&amp;" ~*")&gt;0)+(IFERROR(INDEX(Setup!$G$33:$G$40,MATCH(S694,Setup!$B$33:$B$40,0)),0)=1)*(COUNTIF(S658:U675,$B694)+COUNTIF(S658:U675,$B694&amp;" ~*")&gt;0)+(IFERROR(INDEX(Setup!$G$33:$G$40,MATCH(W694,Setup!$B$33:$B$40,0)),0)=1)*(COUNTIF(W658:W675,$B694)+COUNTIF(W658:W675,$B694&amp;" ~*")&gt;0)+(IFERROR(INDEX(Setup!$G$33:$G$40,MATCH(Y694,Setup!$B$33:$B$40,0)),0)=1)*(COUNTIF(Y658:Y675,$B694)+COUNTIF(Y658:Y675,$B694&amp;" ~*")&gt;0))</f>
        <v/>
      </c>
    </row>
    <row r="695" ht="15" customHeight="1">
      <c r="A695" t="n">
        <v>14</v>
      </c>
      <c r="B695" s="35">
        <f>IF(Setup!$B$24="","",Setup!$B$24)</f>
        <v/>
      </c>
      <c r="C695" s="98" t="n"/>
      <c r="D695" s="99" t="n"/>
      <c r="E695" s="99" t="n"/>
      <c r="F695" s="100" t="n"/>
      <c r="G695" s="98" t="n"/>
      <c r="H695" s="99" t="n"/>
      <c r="I695" s="99" t="n"/>
      <c r="J695" s="100" t="n"/>
      <c r="K695" s="98" t="n"/>
      <c r="L695" s="99" t="n"/>
      <c r="M695" s="99" t="n"/>
      <c r="N695" s="100" t="n"/>
      <c r="O695" s="98" t="n"/>
      <c r="P695" s="99" t="n"/>
      <c r="Q695" s="99" t="n"/>
      <c r="R695" s="100" t="n"/>
      <c r="S695" s="98" t="n"/>
      <c r="T695" s="99" t="n"/>
      <c r="U695" s="99" t="n"/>
      <c r="V695" s="100" t="n"/>
      <c r="W695" s="98" t="n"/>
      <c r="X695" s="100" t="n"/>
      <c r="Y695" s="98" t="n"/>
      <c r="Z695" s="100" t="n"/>
      <c r="AB695" s="101">
        <f>IF($B695="","",(COUNTIF(C658:E675,$B695)+COUNTIF(C658:E675,$B695&amp;" ~*")&gt;0)+(COUNTIF(G658:I675,$B695)+COUNTIF(G658:I675,$B695&amp;" ~*")&gt;0)+(COUNTIF(K658:M675,$B695)+COUNTIF(K658:M675,$B695&amp;" ~*")&gt;0)+(COUNTIF(O658:Q675,$B695)+COUNTIF(O658:Q675,$B695&amp;" ~*")&gt;0)+(COUNTIF(S658:U675,$B695)+COUNTIF(S658:U675,$B695&amp;" ~*")&gt;0)+(COUNTIF(W658:W675,$B695)+COUNTIF(W658:W675,$B695&amp;" ~*")&gt;0)+(COUNTIF(Y658:Y675,$B695)+COUNTIF(Y658:Y675,$B695&amp;" ~*")&gt;0))</f>
        <v/>
      </c>
      <c r="AC695" s="36">
        <f>IF($B695="","",(IFERROR(INDEX(Setup!$G$33:$G$40,MATCH(C695,Setup!$B$33:$B$40,0)),0)=1)*(COUNTIF(C658:E675,$B695)+COUNTIF(C658:E675,$B695&amp;" ~*")&gt;0)+(IFERROR(INDEX(Setup!$G$33:$G$40,MATCH(G695,Setup!$B$33:$B$40,0)),0)=1)*(COUNTIF(G658:I675,$B695)+COUNTIF(G658:I675,$B695&amp;" ~*")&gt;0)+(IFERROR(INDEX(Setup!$G$33:$G$40,MATCH(K695,Setup!$B$33:$B$40,0)),0)=1)*(COUNTIF(K658:M675,$B695)+COUNTIF(K658:M675,$B695&amp;" ~*")&gt;0)+(IFERROR(INDEX(Setup!$G$33:$G$40,MATCH(O695,Setup!$B$33:$B$40,0)),0)=1)*(COUNTIF(O658:Q675,$B695)+COUNTIF(O658:Q675,$B695&amp;" ~*")&gt;0)+(IFERROR(INDEX(Setup!$G$33:$G$40,MATCH(S695,Setup!$B$33:$B$40,0)),0)=1)*(COUNTIF(S658:U675,$B695)+COUNTIF(S658:U675,$B695&amp;" ~*")&gt;0)+(IFERROR(INDEX(Setup!$G$33:$G$40,MATCH(W695,Setup!$B$33:$B$40,0)),0)=1)*(COUNTIF(W658:W675,$B695)+COUNTIF(W658:W675,$B695&amp;" ~*")&gt;0)+(IFERROR(INDEX(Setup!$G$33:$G$40,MATCH(Y695,Setup!$B$33:$B$40,0)),0)=1)*(COUNTIF(Y658:Y675,$B695)+COUNTIF(Y658:Y675,$B695&amp;" ~*")&gt;0))</f>
        <v/>
      </c>
    </row>
    <row r="696" ht="15" customHeight="1">
      <c r="A696" t="n">
        <v>14</v>
      </c>
      <c r="B696" s="37">
        <f>IF(Setup!$B$25="","",Setup!$B$25)</f>
        <v/>
      </c>
      <c r="C696" s="102" t="n"/>
      <c r="D696" s="103" t="n"/>
      <c r="E696" s="103" t="n"/>
      <c r="F696" s="104" t="n"/>
      <c r="G696" s="102" t="n"/>
      <c r="H696" s="103" t="n"/>
      <c r="I696" s="103" t="n"/>
      <c r="J696" s="104" t="n"/>
      <c r="K696" s="102" t="n"/>
      <c r="L696" s="103" t="n"/>
      <c r="M696" s="103" t="n"/>
      <c r="N696" s="104" t="n"/>
      <c r="O696" s="102" t="n"/>
      <c r="P696" s="103" t="n"/>
      <c r="Q696" s="103" t="n"/>
      <c r="R696" s="104" t="n"/>
      <c r="S696" s="102" t="n"/>
      <c r="T696" s="103" t="n"/>
      <c r="U696" s="103" t="n"/>
      <c r="V696" s="104" t="n"/>
      <c r="W696" s="102" t="n"/>
      <c r="X696" s="104" t="n"/>
      <c r="Y696" s="102" t="n"/>
      <c r="Z696" s="104" t="n"/>
      <c r="AB696" s="105">
        <f>IF($B696="","",(COUNTIF(C658:E675,$B696)+COUNTIF(C658:E675,$B696&amp;" ~*")&gt;0)+(COUNTIF(G658:I675,$B696)+COUNTIF(G658:I675,$B696&amp;" ~*")&gt;0)+(COUNTIF(K658:M675,$B696)+COUNTIF(K658:M675,$B696&amp;" ~*")&gt;0)+(COUNTIF(O658:Q675,$B696)+COUNTIF(O658:Q675,$B696&amp;" ~*")&gt;0)+(COUNTIF(S658:U675,$B696)+COUNTIF(S658:U675,$B696&amp;" ~*")&gt;0)+(COUNTIF(W658:W675,$B696)+COUNTIF(W658:W675,$B696&amp;" ~*")&gt;0)+(COUNTIF(Y658:Y675,$B696)+COUNTIF(Y658:Y675,$B696&amp;" ~*")&gt;0))</f>
        <v/>
      </c>
      <c r="AC696" s="38">
        <f>IF($B696="","",(IFERROR(INDEX(Setup!$G$33:$G$40,MATCH(C696,Setup!$B$33:$B$40,0)),0)=1)*(COUNTIF(C658:E675,$B696)+COUNTIF(C658:E675,$B696&amp;" ~*")&gt;0)+(IFERROR(INDEX(Setup!$G$33:$G$40,MATCH(G696,Setup!$B$33:$B$40,0)),0)=1)*(COUNTIF(G658:I675,$B696)+COUNTIF(G658:I675,$B696&amp;" ~*")&gt;0)+(IFERROR(INDEX(Setup!$G$33:$G$40,MATCH(K696,Setup!$B$33:$B$40,0)),0)=1)*(COUNTIF(K658:M675,$B696)+COUNTIF(K658:M675,$B696&amp;" ~*")&gt;0)+(IFERROR(INDEX(Setup!$G$33:$G$40,MATCH(O696,Setup!$B$33:$B$40,0)),0)=1)*(COUNTIF(O658:Q675,$B696)+COUNTIF(O658:Q675,$B696&amp;" ~*")&gt;0)+(IFERROR(INDEX(Setup!$G$33:$G$40,MATCH(S696,Setup!$B$33:$B$40,0)),0)=1)*(COUNTIF(S658:U675,$B696)+COUNTIF(S658:U675,$B696&amp;" ~*")&gt;0)+(IFERROR(INDEX(Setup!$G$33:$G$40,MATCH(W696,Setup!$B$33:$B$40,0)),0)=1)*(COUNTIF(W658:W675,$B696)+COUNTIF(W658:W675,$B696&amp;" ~*")&gt;0)+(IFERROR(INDEX(Setup!$G$33:$G$40,MATCH(Y696,Setup!$B$33:$B$40,0)),0)=1)*(COUNTIF(Y658:Y675,$B696)+COUNTIF(Y658:Y675,$B696&amp;" ~*")&gt;0))</f>
        <v/>
      </c>
    </row>
    <row r="697" ht="15" customHeight="1">
      <c r="A697" t="n">
        <v>14</v>
      </c>
      <c r="B697" s="35">
        <f>IF(Setup!$B$26="","",Setup!$B$26)</f>
        <v/>
      </c>
      <c r="C697" s="98" t="n"/>
      <c r="D697" s="99" t="n"/>
      <c r="E697" s="99" t="n"/>
      <c r="F697" s="100" t="n"/>
      <c r="G697" s="98" t="n"/>
      <c r="H697" s="99" t="n"/>
      <c r="I697" s="99" t="n"/>
      <c r="J697" s="100" t="n"/>
      <c r="K697" s="98" t="n"/>
      <c r="L697" s="99" t="n"/>
      <c r="M697" s="99" t="n"/>
      <c r="N697" s="100" t="n"/>
      <c r="O697" s="98" t="n"/>
      <c r="P697" s="99" t="n"/>
      <c r="Q697" s="99" t="n"/>
      <c r="R697" s="100" t="n"/>
      <c r="S697" s="98" t="n"/>
      <c r="T697" s="99" t="n"/>
      <c r="U697" s="99" t="n"/>
      <c r="V697" s="100" t="n"/>
      <c r="W697" s="98" t="n"/>
      <c r="X697" s="100" t="n"/>
      <c r="Y697" s="98" t="n"/>
      <c r="Z697" s="100" t="n"/>
      <c r="AB697" s="101">
        <f>IF($B697="","",(COUNTIF(C658:E675,$B697)+COUNTIF(C658:E675,$B697&amp;" ~*")&gt;0)+(COUNTIF(G658:I675,$B697)+COUNTIF(G658:I675,$B697&amp;" ~*")&gt;0)+(COUNTIF(K658:M675,$B697)+COUNTIF(K658:M675,$B697&amp;" ~*")&gt;0)+(COUNTIF(O658:Q675,$B697)+COUNTIF(O658:Q675,$B697&amp;" ~*")&gt;0)+(COUNTIF(S658:U675,$B697)+COUNTIF(S658:U675,$B697&amp;" ~*")&gt;0)+(COUNTIF(W658:W675,$B697)+COUNTIF(W658:W675,$B697&amp;" ~*")&gt;0)+(COUNTIF(Y658:Y675,$B697)+COUNTIF(Y658:Y675,$B697&amp;" ~*")&gt;0))</f>
        <v/>
      </c>
      <c r="AC697" s="36">
        <f>IF($B697="","",(IFERROR(INDEX(Setup!$G$33:$G$40,MATCH(C697,Setup!$B$33:$B$40,0)),0)=1)*(COUNTIF(C658:E675,$B697)+COUNTIF(C658:E675,$B697&amp;" ~*")&gt;0)+(IFERROR(INDEX(Setup!$G$33:$G$40,MATCH(G697,Setup!$B$33:$B$40,0)),0)=1)*(COUNTIF(G658:I675,$B697)+COUNTIF(G658:I675,$B697&amp;" ~*")&gt;0)+(IFERROR(INDEX(Setup!$G$33:$G$40,MATCH(K697,Setup!$B$33:$B$40,0)),0)=1)*(COUNTIF(K658:M675,$B697)+COUNTIF(K658:M675,$B697&amp;" ~*")&gt;0)+(IFERROR(INDEX(Setup!$G$33:$G$40,MATCH(O697,Setup!$B$33:$B$40,0)),0)=1)*(COUNTIF(O658:Q675,$B697)+COUNTIF(O658:Q675,$B697&amp;" ~*")&gt;0)+(IFERROR(INDEX(Setup!$G$33:$G$40,MATCH(S697,Setup!$B$33:$B$40,0)),0)=1)*(COUNTIF(S658:U675,$B697)+COUNTIF(S658:U675,$B697&amp;" ~*")&gt;0)+(IFERROR(INDEX(Setup!$G$33:$G$40,MATCH(W697,Setup!$B$33:$B$40,0)),0)=1)*(COUNTIF(W658:W675,$B697)+COUNTIF(W658:W675,$B697&amp;" ~*")&gt;0)+(IFERROR(INDEX(Setup!$G$33:$G$40,MATCH(Y697,Setup!$B$33:$B$40,0)),0)=1)*(COUNTIF(Y658:Y675,$B697)+COUNTIF(Y658:Y675,$B697&amp;" ~*")&gt;0))</f>
        <v/>
      </c>
    </row>
    <row r="698" ht="15" customHeight="1">
      <c r="A698" t="n">
        <v>14</v>
      </c>
      <c r="B698" s="37">
        <f>IF(Setup!$B$27="","",Setup!$B$27)</f>
        <v/>
      </c>
      <c r="C698" s="102" t="n"/>
      <c r="D698" s="103" t="n"/>
      <c r="E698" s="103" t="n"/>
      <c r="F698" s="104" t="n"/>
      <c r="G698" s="102" t="n"/>
      <c r="H698" s="103" t="n"/>
      <c r="I698" s="103" t="n"/>
      <c r="J698" s="104" t="n"/>
      <c r="K698" s="102" t="n"/>
      <c r="L698" s="103" t="n"/>
      <c r="M698" s="103" t="n"/>
      <c r="N698" s="104" t="n"/>
      <c r="O698" s="102" t="n"/>
      <c r="P698" s="103" t="n"/>
      <c r="Q698" s="103" t="n"/>
      <c r="R698" s="104" t="n"/>
      <c r="S698" s="102" t="n"/>
      <c r="T698" s="103" t="n"/>
      <c r="U698" s="103" t="n"/>
      <c r="V698" s="104" t="n"/>
      <c r="W698" s="102" t="n"/>
      <c r="X698" s="104" t="n"/>
      <c r="Y698" s="102" t="n"/>
      <c r="Z698" s="104" t="n"/>
      <c r="AB698" s="105">
        <f>IF($B698="","",(COUNTIF(C658:E675,$B698)+COUNTIF(C658:E675,$B698&amp;" ~*")&gt;0)+(COUNTIF(G658:I675,$B698)+COUNTIF(G658:I675,$B698&amp;" ~*")&gt;0)+(COUNTIF(K658:M675,$B698)+COUNTIF(K658:M675,$B698&amp;" ~*")&gt;0)+(COUNTIF(O658:Q675,$B698)+COUNTIF(O658:Q675,$B698&amp;" ~*")&gt;0)+(COUNTIF(S658:U675,$B698)+COUNTIF(S658:U675,$B698&amp;" ~*")&gt;0)+(COUNTIF(W658:W675,$B698)+COUNTIF(W658:W675,$B698&amp;" ~*")&gt;0)+(COUNTIF(Y658:Y675,$B698)+COUNTIF(Y658:Y675,$B698&amp;" ~*")&gt;0))</f>
        <v/>
      </c>
      <c r="AC698" s="38">
        <f>IF($B698="","",(IFERROR(INDEX(Setup!$G$33:$G$40,MATCH(C698,Setup!$B$33:$B$40,0)),0)=1)*(COUNTIF(C658:E675,$B698)+COUNTIF(C658:E675,$B698&amp;" ~*")&gt;0)+(IFERROR(INDEX(Setup!$G$33:$G$40,MATCH(G698,Setup!$B$33:$B$40,0)),0)=1)*(COUNTIF(G658:I675,$B698)+COUNTIF(G658:I675,$B698&amp;" ~*")&gt;0)+(IFERROR(INDEX(Setup!$G$33:$G$40,MATCH(K698,Setup!$B$33:$B$40,0)),0)=1)*(COUNTIF(K658:M675,$B698)+COUNTIF(K658:M675,$B698&amp;" ~*")&gt;0)+(IFERROR(INDEX(Setup!$G$33:$G$40,MATCH(O698,Setup!$B$33:$B$40,0)),0)=1)*(COUNTIF(O658:Q675,$B698)+COUNTIF(O658:Q675,$B698&amp;" ~*")&gt;0)+(IFERROR(INDEX(Setup!$G$33:$G$40,MATCH(S698,Setup!$B$33:$B$40,0)),0)=1)*(COUNTIF(S658:U675,$B698)+COUNTIF(S658:U675,$B698&amp;" ~*")&gt;0)+(IFERROR(INDEX(Setup!$G$33:$G$40,MATCH(W698,Setup!$B$33:$B$40,0)),0)=1)*(COUNTIF(W658:W675,$B698)+COUNTIF(W658:W675,$B698&amp;" ~*")&gt;0)+(IFERROR(INDEX(Setup!$G$33:$G$40,MATCH(Y698,Setup!$B$33:$B$40,0)),0)=1)*(COUNTIF(Y658:Y675,$B698)+COUNTIF(Y658:Y675,$B698&amp;" ~*")&gt;0))</f>
        <v/>
      </c>
    </row>
    <row r="699" ht="15" customHeight="1">
      <c r="A699" t="n">
        <v>14</v>
      </c>
      <c r="B699" s="35">
        <f>IF(Setup!$B$28="","",Setup!$B$28)</f>
        <v/>
      </c>
      <c r="C699" s="98" t="n"/>
      <c r="D699" s="99" t="n"/>
      <c r="E699" s="99" t="n"/>
      <c r="F699" s="100" t="n"/>
      <c r="G699" s="98" t="n"/>
      <c r="H699" s="99" t="n"/>
      <c r="I699" s="99" t="n"/>
      <c r="J699" s="100" t="n"/>
      <c r="K699" s="98" t="n"/>
      <c r="L699" s="99" t="n"/>
      <c r="M699" s="99" t="n"/>
      <c r="N699" s="100" t="n"/>
      <c r="O699" s="98" t="n"/>
      <c r="P699" s="99" t="n"/>
      <c r="Q699" s="99" t="n"/>
      <c r="R699" s="100" t="n"/>
      <c r="S699" s="98" t="n"/>
      <c r="T699" s="99" t="n"/>
      <c r="U699" s="99" t="n"/>
      <c r="V699" s="100" t="n"/>
      <c r="W699" s="98" t="n"/>
      <c r="X699" s="100" t="n"/>
      <c r="Y699" s="98" t="n"/>
      <c r="Z699" s="100" t="n"/>
      <c r="AB699" s="101">
        <f>IF($B699="","",(COUNTIF(C658:E675,$B699)+COUNTIF(C658:E675,$B699&amp;" ~*")&gt;0)+(COUNTIF(G658:I675,$B699)+COUNTIF(G658:I675,$B699&amp;" ~*")&gt;0)+(COUNTIF(K658:M675,$B699)+COUNTIF(K658:M675,$B699&amp;" ~*")&gt;0)+(COUNTIF(O658:Q675,$B699)+COUNTIF(O658:Q675,$B699&amp;" ~*")&gt;0)+(COUNTIF(S658:U675,$B699)+COUNTIF(S658:U675,$B699&amp;" ~*")&gt;0)+(COUNTIF(W658:W675,$B699)+COUNTIF(W658:W675,$B699&amp;" ~*")&gt;0)+(COUNTIF(Y658:Y675,$B699)+COUNTIF(Y658:Y675,$B699&amp;" ~*")&gt;0))</f>
        <v/>
      </c>
      <c r="AC699" s="36">
        <f>IF($B699="","",(IFERROR(INDEX(Setup!$G$33:$G$40,MATCH(C699,Setup!$B$33:$B$40,0)),0)=1)*(COUNTIF(C658:E675,$B699)+COUNTIF(C658:E675,$B699&amp;" ~*")&gt;0)+(IFERROR(INDEX(Setup!$G$33:$G$40,MATCH(G699,Setup!$B$33:$B$40,0)),0)=1)*(COUNTIF(G658:I675,$B699)+COUNTIF(G658:I675,$B699&amp;" ~*")&gt;0)+(IFERROR(INDEX(Setup!$G$33:$G$40,MATCH(K699,Setup!$B$33:$B$40,0)),0)=1)*(COUNTIF(K658:M675,$B699)+COUNTIF(K658:M675,$B699&amp;" ~*")&gt;0)+(IFERROR(INDEX(Setup!$G$33:$G$40,MATCH(O699,Setup!$B$33:$B$40,0)),0)=1)*(COUNTIF(O658:Q675,$B699)+COUNTIF(O658:Q675,$B699&amp;" ~*")&gt;0)+(IFERROR(INDEX(Setup!$G$33:$G$40,MATCH(S699,Setup!$B$33:$B$40,0)),0)=1)*(COUNTIF(S658:U675,$B699)+COUNTIF(S658:U675,$B699&amp;" ~*")&gt;0)+(IFERROR(INDEX(Setup!$G$33:$G$40,MATCH(W699,Setup!$B$33:$B$40,0)),0)=1)*(COUNTIF(W658:W675,$B699)+COUNTIF(W658:W675,$B699&amp;" ~*")&gt;0)+(IFERROR(INDEX(Setup!$G$33:$G$40,MATCH(Y699,Setup!$B$33:$B$40,0)),0)=1)*(COUNTIF(Y658:Y675,$B699)+COUNTIF(Y658:Y675,$B699&amp;" ~*")&gt;0))</f>
        <v/>
      </c>
    </row>
    <row r="700" ht="15" customHeight="1">
      <c r="A700" t="n">
        <v>14</v>
      </c>
      <c r="B700" s="37">
        <f>IF(Setup!$B$29="","",Setup!$B$29)</f>
        <v/>
      </c>
      <c r="C700" s="102" t="n"/>
      <c r="D700" s="103" t="n"/>
      <c r="E700" s="103" t="n"/>
      <c r="F700" s="104" t="n"/>
      <c r="G700" s="102" t="n"/>
      <c r="H700" s="103" t="n"/>
      <c r="I700" s="103" t="n"/>
      <c r="J700" s="104" t="n"/>
      <c r="K700" s="102" t="n"/>
      <c r="L700" s="103" t="n"/>
      <c r="M700" s="103" t="n"/>
      <c r="N700" s="104" t="n"/>
      <c r="O700" s="102" t="n"/>
      <c r="P700" s="103" t="n"/>
      <c r="Q700" s="103" t="n"/>
      <c r="R700" s="104" t="n"/>
      <c r="S700" s="102" t="n"/>
      <c r="T700" s="103" t="n"/>
      <c r="U700" s="103" t="n"/>
      <c r="V700" s="104" t="n"/>
      <c r="W700" s="102" t="n"/>
      <c r="X700" s="104" t="n"/>
      <c r="Y700" s="102" t="n"/>
      <c r="Z700" s="104" t="n"/>
      <c r="AB700" s="105">
        <f>IF($B700="","",(COUNTIF(C658:E675,$B700)+COUNTIF(C658:E675,$B700&amp;" ~*")&gt;0)+(COUNTIF(G658:I675,$B700)+COUNTIF(G658:I675,$B700&amp;" ~*")&gt;0)+(COUNTIF(K658:M675,$B700)+COUNTIF(K658:M675,$B700&amp;" ~*")&gt;0)+(COUNTIF(O658:Q675,$B700)+COUNTIF(O658:Q675,$B700&amp;" ~*")&gt;0)+(COUNTIF(S658:U675,$B700)+COUNTIF(S658:U675,$B700&amp;" ~*")&gt;0)+(COUNTIF(W658:W675,$B700)+COUNTIF(W658:W675,$B700&amp;" ~*")&gt;0)+(COUNTIF(Y658:Y675,$B700)+COUNTIF(Y658:Y675,$B700&amp;" ~*")&gt;0))</f>
        <v/>
      </c>
      <c r="AC700" s="38">
        <f>IF($B700="","",(IFERROR(INDEX(Setup!$G$33:$G$40,MATCH(C700,Setup!$B$33:$B$40,0)),0)=1)*(COUNTIF(C658:E675,$B700)+COUNTIF(C658:E675,$B700&amp;" ~*")&gt;0)+(IFERROR(INDEX(Setup!$G$33:$G$40,MATCH(G700,Setup!$B$33:$B$40,0)),0)=1)*(COUNTIF(G658:I675,$B700)+COUNTIF(G658:I675,$B700&amp;" ~*")&gt;0)+(IFERROR(INDEX(Setup!$G$33:$G$40,MATCH(K700,Setup!$B$33:$B$40,0)),0)=1)*(COUNTIF(K658:M675,$B700)+COUNTIF(K658:M675,$B700&amp;" ~*")&gt;0)+(IFERROR(INDEX(Setup!$G$33:$G$40,MATCH(O700,Setup!$B$33:$B$40,0)),0)=1)*(COUNTIF(O658:Q675,$B700)+COUNTIF(O658:Q675,$B700&amp;" ~*")&gt;0)+(IFERROR(INDEX(Setup!$G$33:$G$40,MATCH(S700,Setup!$B$33:$B$40,0)),0)=1)*(COUNTIF(S658:U675,$B700)+COUNTIF(S658:U675,$B700&amp;" ~*")&gt;0)+(IFERROR(INDEX(Setup!$G$33:$G$40,MATCH(W700,Setup!$B$33:$B$40,0)),0)=1)*(COUNTIF(W658:W675,$B700)+COUNTIF(W658:W675,$B700&amp;" ~*")&gt;0)+(IFERROR(INDEX(Setup!$G$33:$G$40,MATCH(Y700,Setup!$B$33:$B$40,0)),0)=1)*(COUNTIF(Y658:Y675,$B700)+COUNTIF(Y658:Y675,$B700&amp;" ~*")&gt;0))</f>
        <v/>
      </c>
    </row>
    <row r="701" ht="16" customHeight="1">
      <c r="A701" t="n">
        <v>14</v>
      </c>
      <c r="B701" s="106" t="inlineStr">
        <is>
          <t>Available people</t>
        </is>
      </c>
      <c r="C701" s="107">
        <f>COUNTIFS(Setup!$E$6:$E$29,"Y",Setup!$B$6:$B$29,"?*")-SUMPRODUCT(COUNTIF(C677:C700,Setup!$F$33:$F$40))</f>
        <v/>
      </c>
      <c r="D701" s="107" t="n"/>
      <c r="E701" s="107" t="n"/>
      <c r="F701" s="107" t="n"/>
      <c r="G701" s="107">
        <f>COUNTIFS(Setup!$E$6:$E$29,"Y",Setup!$B$6:$B$29,"?*")-SUMPRODUCT(COUNTIF(G677:G700,Setup!$F$33:$F$40))</f>
        <v/>
      </c>
      <c r="H701" s="107" t="n"/>
      <c r="I701" s="107" t="n"/>
      <c r="J701" s="107" t="n"/>
      <c r="K701" s="107">
        <f>COUNTIFS(Setup!$E$6:$E$29,"Y",Setup!$B$6:$B$29,"?*")-SUMPRODUCT(COUNTIF(K677:K700,Setup!$F$33:$F$40))</f>
        <v/>
      </c>
      <c r="L701" s="107" t="n"/>
      <c r="M701" s="107" t="n"/>
      <c r="N701" s="107" t="n"/>
      <c r="O701" s="107">
        <f>COUNTIFS(Setup!$E$6:$E$29,"Y",Setup!$B$6:$B$29,"?*")-SUMPRODUCT(COUNTIF(O677:O700,Setup!$F$33:$F$40))</f>
        <v/>
      </c>
      <c r="P701" s="107" t="n"/>
      <c r="Q701" s="107" t="n"/>
      <c r="R701" s="107" t="n"/>
      <c r="S701" s="107">
        <f>COUNTIFS(Setup!$E$6:$E$29,"Y",Setup!$B$6:$B$29,"?*")-SUMPRODUCT(COUNTIF(S677:S700,Setup!$F$33:$F$40))</f>
        <v/>
      </c>
      <c r="T701" s="107" t="n"/>
      <c r="U701" s="107" t="n"/>
      <c r="V701" s="107" t="n"/>
      <c r="W701" s="107">
        <f>COUNTIFS(Setup!$E$6:$E$29,"Y",Setup!$B$6:$B$29,"?*")-SUMPRODUCT(COUNTIF(W677:W700,Setup!$F$33:$F$40))</f>
        <v/>
      </c>
      <c r="X701" s="107" t="n"/>
      <c r="Y701" s="107">
        <f>COUNTIFS(Setup!$E$6:$E$29,"Y",Setup!$B$6:$B$29,"?*")-SUMPRODUCT(COUNTIF(Y677:Y700,Setup!$F$33:$F$40))</f>
        <v/>
      </c>
      <c r="Z701" s="107" t="n"/>
      <c r="AB701" s="108">
        <f>SUM(AB677:AB700)</f>
        <v/>
      </c>
      <c r="AC701" s="109">
        <f>SUM(AC677:AC700)</f>
        <v/>
      </c>
    </row>
    <row r="702" ht="30" customHeight="1">
      <c r="A702" t="n">
        <v>14</v>
      </c>
      <c r="B702" s="110" t="inlineStr">
        <is>
          <t>Week notes</t>
        </is>
      </c>
      <c r="C702" s="111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112" t="n"/>
      <c r="R702" s="112" t="n"/>
      <c r="S702" s="112" t="n"/>
      <c r="T702" s="112" t="n"/>
      <c r="U702" s="112" t="n"/>
      <c r="V702" s="112" t="n"/>
      <c r="W702" s="112" t="n"/>
      <c r="X702" s="112" t="n"/>
      <c r="Y702" s="112" t="n"/>
      <c r="Z702" s="113" t="n"/>
    </row>
    <row r="703" ht="8" customHeight="1">
      <c r="A703" t="n">
        <v>14</v>
      </c>
    </row>
    <row r="704" ht="8" customHeight="1">
      <c r="A704" t="n">
        <v>14</v>
      </c>
    </row>
    <row r="705" ht="24" customHeight="1">
      <c r="A705" t="n">
        <v>15</v>
      </c>
      <c r="B705" s="73">
        <f>"WEEK 15     "&amp;TEXT(C706,"ddd d mmm")&amp;"  –  "&amp;TEXT(C706+6,"ddd d mmm yyyy")</f>
        <v/>
      </c>
      <c r="S705" s="74">
        <f>IF(TODAY()&lt;C706,"FUTURE",IF(TODAY()&gt;C706+6,"PAST","THIS WEEK"))</f>
        <v/>
      </c>
      <c r="W705" s="75">
        <f>IF(AND(Engine!$B$8=$AC$3,Engine!$B$9=$A705),"◀ ACTIVE WEEK","")</f>
        <v/>
      </c>
      <c r="AA705" s="76" t="n"/>
      <c r="AB705" s="77" t="inlineStr">
        <is>
          <t>◀ Prev</t>
        </is>
      </c>
      <c r="AC705" s="77" t="inlineStr">
        <is>
          <t>Next ▶</t>
        </is>
      </c>
    </row>
    <row r="706" ht="18" customHeight="1">
      <c r="A706" t="n">
        <v>15</v>
      </c>
      <c r="B706" s="78" t="inlineStr">
        <is>
          <t>DUTY</t>
        </is>
      </c>
      <c r="C706" s="79">
        <f>$AC$2+7*($A706-1)</f>
        <v/>
      </c>
      <c r="D706" s="80" t="n"/>
      <c r="E706" s="80" t="n"/>
      <c r="F706" s="81" t="n"/>
      <c r="G706" s="79">
        <f>C706+1</f>
        <v/>
      </c>
      <c r="H706" s="80" t="n"/>
      <c r="I706" s="80" t="n"/>
      <c r="J706" s="81" t="n"/>
      <c r="K706" s="79">
        <f>C706+2</f>
        <v/>
      </c>
      <c r="L706" s="80" t="n"/>
      <c r="M706" s="80" t="n"/>
      <c r="N706" s="81" t="n"/>
      <c r="O706" s="79">
        <f>C706+3</f>
        <v/>
      </c>
      <c r="P706" s="80" t="n"/>
      <c r="Q706" s="80" t="n"/>
      <c r="R706" s="81" t="n"/>
      <c r="S706" s="79">
        <f>C706+4</f>
        <v/>
      </c>
      <c r="T706" s="80" t="n"/>
      <c r="U706" s="80" t="n"/>
      <c r="V706" s="81" t="n"/>
      <c r="W706" s="82">
        <f>C706+5</f>
        <v/>
      </c>
      <c r="X706" s="83" t="n"/>
      <c r="Y706" s="82">
        <f>C706+6</f>
        <v/>
      </c>
      <c r="Z706" s="83" t="n"/>
      <c r="AB706" s="72" t="inlineStr">
        <is>
          <t>Gaps</t>
        </is>
      </c>
      <c r="AC706" s="72" t="inlineStr">
        <is>
          <t>Cover</t>
        </is>
      </c>
    </row>
    <row r="707" ht="14" customHeight="1">
      <c r="A707" t="n">
        <v>15</v>
      </c>
      <c r="B707" s="84" t="inlineStr">
        <is>
          <t>(from Setup)</t>
        </is>
      </c>
      <c r="C707" s="85" t="inlineStr">
        <is>
          <t>1</t>
        </is>
      </c>
      <c r="D707" s="85" t="inlineStr">
        <is>
          <t>2</t>
        </is>
      </c>
      <c r="E707" s="85" t="inlineStr">
        <is>
          <t>3</t>
        </is>
      </c>
      <c r="F707" s="85" t="inlineStr">
        <is>
          <t>Notes</t>
        </is>
      </c>
      <c r="G707" s="85" t="inlineStr">
        <is>
          <t>1</t>
        </is>
      </c>
      <c r="H707" s="85" t="inlineStr">
        <is>
          <t>2</t>
        </is>
      </c>
      <c r="I707" s="85" t="inlineStr">
        <is>
          <t>3</t>
        </is>
      </c>
      <c r="J707" s="85" t="inlineStr">
        <is>
          <t>Notes</t>
        </is>
      </c>
      <c r="K707" s="85" t="inlineStr">
        <is>
          <t>1</t>
        </is>
      </c>
      <c r="L707" s="85" t="inlineStr">
        <is>
          <t>2</t>
        </is>
      </c>
      <c r="M707" s="85" t="inlineStr">
        <is>
          <t>3</t>
        </is>
      </c>
      <c r="N707" s="85" t="inlineStr">
        <is>
          <t>Notes</t>
        </is>
      </c>
      <c r="O707" s="85" t="inlineStr">
        <is>
          <t>1</t>
        </is>
      </c>
      <c r="P707" s="85" t="inlineStr">
        <is>
          <t>2</t>
        </is>
      </c>
      <c r="Q707" s="85" t="inlineStr">
        <is>
          <t>3</t>
        </is>
      </c>
      <c r="R707" s="85" t="inlineStr">
        <is>
          <t>Notes</t>
        </is>
      </c>
      <c r="S707" s="85" t="inlineStr">
        <is>
          <t>1</t>
        </is>
      </c>
      <c r="T707" s="85" t="inlineStr">
        <is>
          <t>2</t>
        </is>
      </c>
      <c r="U707" s="85" t="inlineStr">
        <is>
          <t>3</t>
        </is>
      </c>
      <c r="V707" s="85" t="inlineStr">
        <is>
          <t>Notes</t>
        </is>
      </c>
      <c r="W707" s="85" t="inlineStr">
        <is>
          <t>Cover</t>
        </is>
      </c>
      <c r="X707" s="85" t="inlineStr">
        <is>
          <t>Notes</t>
        </is>
      </c>
      <c r="Y707" s="85" t="inlineStr">
        <is>
          <t>Cover</t>
        </is>
      </c>
      <c r="Z707" s="85" t="inlineStr">
        <is>
          <t>Notes</t>
        </is>
      </c>
      <c r="AB707" s="86" t="inlineStr">
        <is>
          <t>weekdays short</t>
        </is>
      </c>
      <c r="AC707" s="87" t="inlineStr"/>
    </row>
    <row r="708" ht="17" customHeight="1">
      <c r="A708" t="n">
        <v>15</v>
      </c>
      <c r="B708" s="24">
        <f>IF(Setup!$K$6="","",Setup!$K$6)</f>
        <v/>
      </c>
      <c r="C708" s="88" t="n"/>
      <c r="D708" s="88" t="n"/>
      <c r="E708" s="88" t="n"/>
      <c r="F708" s="89" t="n"/>
      <c r="G708" s="88" t="n"/>
      <c r="H708" s="88" t="n"/>
      <c r="I708" s="88" t="n"/>
      <c r="J708" s="89" t="n"/>
      <c r="K708" s="88" t="n"/>
      <c r="L708" s="88" t="n"/>
      <c r="M708" s="88" t="n"/>
      <c r="N708" s="89" t="n"/>
      <c r="O708" s="88" t="n"/>
      <c r="P708" s="88" t="n"/>
      <c r="Q708" s="88" t="n"/>
      <c r="R708" s="89" t="n"/>
      <c r="S708" s="88" t="n"/>
      <c r="T708" s="88" t="n"/>
      <c r="U708" s="88" t="n"/>
      <c r="V708" s="89" t="n"/>
      <c r="W708" s="88" t="n"/>
      <c r="X708" s="89" t="n"/>
      <c r="Y708" s="88" t="n"/>
      <c r="Z708" s="89" t="n"/>
      <c r="AB708" s="25">
        <f>IF($B708="","",(COUNTIF(C708:E708,"?*")&lt;N(INDEX(Setup!$L$6:$L$23,1)))+(COUNTIF(G708:I708,"?*")&lt;N(INDEX(Setup!$L$6:$L$23,1)))+(COUNTIF(K708:M708,"?*")&lt;N(INDEX(Setup!$L$6:$L$23,1)))+(COUNTIF(O708:Q708,"?*")&lt;N(INDEX(Setup!$L$6:$L$23,1)))+(COUNTIF(S708:U708,"?*")&lt;N(INDEX(Setup!$L$6:$L$23,1)))+((W708="")*(INDEX(Setup!$M$6:$M$23,1)="Y"))+((Y708="")*(INDEX(Setup!$M$6:$M$23,1)="Y")))</f>
        <v/>
      </c>
      <c r="AC708" s="90">
        <f>IF($B708="","",IF(AB708=0,"✓ covered","⚠ "&amp;AB708&amp;IF(AB708=1," gap"," gaps")))</f>
        <v/>
      </c>
    </row>
    <row r="709" ht="17" customHeight="1">
      <c r="A709" t="n">
        <v>15</v>
      </c>
      <c r="B709" s="29">
        <f>IF(Setup!$K$7="","",Setup!$K$7)</f>
        <v/>
      </c>
      <c r="C709" s="88" t="n"/>
      <c r="D709" s="88" t="n"/>
      <c r="E709" s="88" t="n"/>
      <c r="F709" s="89" t="n"/>
      <c r="G709" s="88" t="n"/>
      <c r="H709" s="88" t="n"/>
      <c r="I709" s="88" t="n"/>
      <c r="J709" s="89" t="n"/>
      <c r="K709" s="88" t="n"/>
      <c r="L709" s="88" t="n"/>
      <c r="M709" s="88" t="n"/>
      <c r="N709" s="89" t="n"/>
      <c r="O709" s="88" t="n"/>
      <c r="P709" s="88" t="n"/>
      <c r="Q709" s="88" t="n"/>
      <c r="R709" s="89" t="n"/>
      <c r="S709" s="88" t="n"/>
      <c r="T709" s="88" t="n"/>
      <c r="U709" s="88" t="n"/>
      <c r="V709" s="89" t="n"/>
      <c r="W709" s="88" t="n"/>
      <c r="X709" s="89" t="n"/>
      <c r="Y709" s="88" t="n"/>
      <c r="Z709" s="89" t="n"/>
      <c r="AB709" s="30">
        <f>IF($B709="","",(COUNTIF(C709:E709,"?*")&lt;N(INDEX(Setup!$L$6:$L$23,2)))+(COUNTIF(G709:I709,"?*")&lt;N(INDEX(Setup!$L$6:$L$23,2)))+(COUNTIF(K709:M709,"?*")&lt;N(INDEX(Setup!$L$6:$L$23,2)))+(COUNTIF(O709:Q709,"?*")&lt;N(INDEX(Setup!$L$6:$L$23,2)))+(COUNTIF(S709:U709,"?*")&lt;N(INDEX(Setup!$L$6:$L$23,2)))+((W709="")*(INDEX(Setup!$M$6:$M$23,2)="Y"))+((Y709="")*(INDEX(Setup!$M$6:$M$23,2)="Y")))</f>
        <v/>
      </c>
      <c r="AC709" s="91">
        <f>IF($B709="","",IF(AB709=0,"✓ covered","⚠ "&amp;AB709&amp;IF(AB709=1," gap"," gaps")))</f>
        <v/>
      </c>
    </row>
    <row r="710" ht="17" customHeight="1">
      <c r="A710" t="n">
        <v>15</v>
      </c>
      <c r="B710" s="24">
        <f>IF(Setup!$K$8="","",Setup!$K$8)</f>
        <v/>
      </c>
      <c r="C710" s="88" t="n"/>
      <c r="D710" s="88" t="n"/>
      <c r="E710" s="88" t="n"/>
      <c r="F710" s="89" t="n"/>
      <c r="G710" s="88" t="n"/>
      <c r="H710" s="88" t="n"/>
      <c r="I710" s="88" t="n"/>
      <c r="J710" s="89" t="n"/>
      <c r="K710" s="88" t="n"/>
      <c r="L710" s="88" t="n"/>
      <c r="M710" s="88" t="n"/>
      <c r="N710" s="89" t="n"/>
      <c r="O710" s="88" t="n"/>
      <c r="P710" s="88" t="n"/>
      <c r="Q710" s="88" t="n"/>
      <c r="R710" s="89" t="n"/>
      <c r="S710" s="88" t="n"/>
      <c r="T710" s="88" t="n"/>
      <c r="U710" s="88" t="n"/>
      <c r="V710" s="89" t="n"/>
      <c r="W710" s="88" t="n"/>
      <c r="X710" s="89" t="n"/>
      <c r="Y710" s="88" t="n"/>
      <c r="Z710" s="89" t="n"/>
      <c r="AB710" s="25">
        <f>IF($B710="","",(COUNTIF(C710:E710,"?*")&lt;N(INDEX(Setup!$L$6:$L$23,3)))+(COUNTIF(G710:I710,"?*")&lt;N(INDEX(Setup!$L$6:$L$23,3)))+(COUNTIF(K710:M710,"?*")&lt;N(INDEX(Setup!$L$6:$L$23,3)))+(COUNTIF(O710:Q710,"?*")&lt;N(INDEX(Setup!$L$6:$L$23,3)))+(COUNTIF(S710:U710,"?*")&lt;N(INDEX(Setup!$L$6:$L$23,3)))+((W710="")*(INDEX(Setup!$M$6:$M$23,3)="Y"))+((Y710="")*(INDEX(Setup!$M$6:$M$23,3)="Y")))</f>
        <v/>
      </c>
      <c r="AC710" s="90">
        <f>IF($B710="","",IF(AB710=0,"✓ covered","⚠ "&amp;AB710&amp;IF(AB710=1," gap"," gaps")))</f>
        <v/>
      </c>
    </row>
    <row r="711" ht="17" customHeight="1">
      <c r="A711" t="n">
        <v>15</v>
      </c>
      <c r="B711" s="29">
        <f>IF(Setup!$K$9="","",Setup!$K$9)</f>
        <v/>
      </c>
      <c r="C711" s="88" t="n"/>
      <c r="D711" s="88" t="n"/>
      <c r="E711" s="88" t="n"/>
      <c r="F711" s="89" t="n"/>
      <c r="G711" s="88" t="n"/>
      <c r="H711" s="88" t="n"/>
      <c r="I711" s="88" t="n"/>
      <c r="J711" s="89" t="n"/>
      <c r="K711" s="88" t="n"/>
      <c r="L711" s="88" t="n"/>
      <c r="M711" s="88" t="n"/>
      <c r="N711" s="89" t="n"/>
      <c r="O711" s="88" t="n"/>
      <c r="P711" s="88" t="n"/>
      <c r="Q711" s="88" t="n"/>
      <c r="R711" s="89" t="n"/>
      <c r="S711" s="88" t="n"/>
      <c r="T711" s="88" t="n"/>
      <c r="U711" s="88" t="n"/>
      <c r="V711" s="89" t="n"/>
      <c r="W711" s="88" t="n"/>
      <c r="X711" s="89" t="n"/>
      <c r="Y711" s="88" t="n"/>
      <c r="Z711" s="89" t="n"/>
      <c r="AB711" s="30">
        <f>IF($B711="","",(COUNTIF(C711:E711,"?*")&lt;N(INDEX(Setup!$L$6:$L$23,4)))+(COUNTIF(G711:I711,"?*")&lt;N(INDEX(Setup!$L$6:$L$23,4)))+(COUNTIF(K711:M711,"?*")&lt;N(INDEX(Setup!$L$6:$L$23,4)))+(COUNTIF(O711:Q711,"?*")&lt;N(INDEX(Setup!$L$6:$L$23,4)))+(COUNTIF(S711:U711,"?*")&lt;N(INDEX(Setup!$L$6:$L$23,4)))+((W711="")*(INDEX(Setup!$M$6:$M$23,4)="Y"))+((Y711="")*(INDEX(Setup!$M$6:$M$23,4)="Y")))</f>
        <v/>
      </c>
      <c r="AC711" s="91">
        <f>IF($B711="","",IF(AB711=0,"✓ covered","⚠ "&amp;AB711&amp;IF(AB711=1," gap"," gaps")))</f>
        <v/>
      </c>
    </row>
    <row r="712" ht="17" customHeight="1">
      <c r="A712" t="n">
        <v>15</v>
      </c>
      <c r="B712" s="24">
        <f>IF(Setup!$K$10="","",Setup!$K$10)</f>
        <v/>
      </c>
      <c r="C712" s="88" t="n"/>
      <c r="D712" s="88" t="n"/>
      <c r="E712" s="88" t="n"/>
      <c r="F712" s="89" t="n"/>
      <c r="G712" s="88" t="n"/>
      <c r="H712" s="88" t="n"/>
      <c r="I712" s="88" t="n"/>
      <c r="J712" s="89" t="n"/>
      <c r="K712" s="88" t="n"/>
      <c r="L712" s="88" t="n"/>
      <c r="M712" s="88" t="n"/>
      <c r="N712" s="89" t="n"/>
      <c r="O712" s="88" t="n"/>
      <c r="P712" s="88" t="n"/>
      <c r="Q712" s="88" t="n"/>
      <c r="R712" s="89" t="n"/>
      <c r="S712" s="88" t="n"/>
      <c r="T712" s="88" t="n"/>
      <c r="U712" s="88" t="n"/>
      <c r="V712" s="89" t="n"/>
      <c r="W712" s="88" t="n"/>
      <c r="X712" s="89" t="n"/>
      <c r="Y712" s="88" t="n"/>
      <c r="Z712" s="89" t="n"/>
      <c r="AB712" s="25">
        <f>IF($B712="","",(COUNTIF(C712:E712,"?*")&lt;N(INDEX(Setup!$L$6:$L$23,5)))+(COUNTIF(G712:I712,"?*")&lt;N(INDEX(Setup!$L$6:$L$23,5)))+(COUNTIF(K712:M712,"?*")&lt;N(INDEX(Setup!$L$6:$L$23,5)))+(COUNTIF(O712:Q712,"?*")&lt;N(INDEX(Setup!$L$6:$L$23,5)))+(COUNTIF(S712:U712,"?*")&lt;N(INDEX(Setup!$L$6:$L$23,5)))+((W712="")*(INDEX(Setup!$M$6:$M$23,5)="Y"))+((Y712="")*(INDEX(Setup!$M$6:$M$23,5)="Y")))</f>
        <v/>
      </c>
      <c r="AC712" s="90">
        <f>IF($B712="","",IF(AB712=0,"✓ covered","⚠ "&amp;AB712&amp;IF(AB712=1," gap"," gaps")))</f>
        <v/>
      </c>
    </row>
    <row r="713" ht="17" customHeight="1">
      <c r="A713" t="n">
        <v>15</v>
      </c>
      <c r="B713" s="29">
        <f>IF(Setup!$K$11="","",Setup!$K$11)</f>
        <v/>
      </c>
      <c r="C713" s="88" t="n"/>
      <c r="D713" s="88" t="n"/>
      <c r="E713" s="88" t="n"/>
      <c r="F713" s="89" t="n"/>
      <c r="G713" s="88" t="n"/>
      <c r="H713" s="88" t="n"/>
      <c r="I713" s="88" t="n"/>
      <c r="J713" s="89" t="n"/>
      <c r="K713" s="88" t="n"/>
      <c r="L713" s="88" t="n"/>
      <c r="M713" s="88" t="n"/>
      <c r="N713" s="89" t="n"/>
      <c r="O713" s="88" t="n"/>
      <c r="P713" s="88" t="n"/>
      <c r="Q713" s="88" t="n"/>
      <c r="R713" s="89" t="n"/>
      <c r="S713" s="88" t="n"/>
      <c r="T713" s="88" t="n"/>
      <c r="U713" s="88" t="n"/>
      <c r="V713" s="89" t="n"/>
      <c r="W713" s="88" t="n"/>
      <c r="X713" s="89" t="n"/>
      <c r="Y713" s="88" t="n"/>
      <c r="Z713" s="89" t="n"/>
      <c r="AB713" s="30">
        <f>IF($B713="","",(COUNTIF(C713:E713,"?*")&lt;N(INDEX(Setup!$L$6:$L$23,6)))+(COUNTIF(G713:I713,"?*")&lt;N(INDEX(Setup!$L$6:$L$23,6)))+(COUNTIF(K713:M713,"?*")&lt;N(INDEX(Setup!$L$6:$L$23,6)))+(COUNTIF(O713:Q713,"?*")&lt;N(INDEX(Setup!$L$6:$L$23,6)))+(COUNTIF(S713:U713,"?*")&lt;N(INDEX(Setup!$L$6:$L$23,6)))+((W713="")*(INDEX(Setup!$M$6:$M$23,6)="Y"))+((Y713="")*(INDEX(Setup!$M$6:$M$23,6)="Y")))</f>
        <v/>
      </c>
      <c r="AC713" s="91">
        <f>IF($B713="","",IF(AB713=0,"✓ covered","⚠ "&amp;AB713&amp;IF(AB713=1," gap"," gaps")))</f>
        <v/>
      </c>
    </row>
    <row r="714" ht="17" customHeight="1">
      <c r="A714" t="n">
        <v>15</v>
      </c>
      <c r="B714" s="24">
        <f>IF(Setup!$K$12="","",Setup!$K$12)</f>
        <v/>
      </c>
      <c r="C714" s="88" t="n"/>
      <c r="D714" s="88" t="n"/>
      <c r="E714" s="88" t="n"/>
      <c r="F714" s="89" t="n"/>
      <c r="G714" s="88" t="n"/>
      <c r="H714" s="88" t="n"/>
      <c r="I714" s="88" t="n"/>
      <c r="J714" s="89" t="n"/>
      <c r="K714" s="88" t="n"/>
      <c r="L714" s="88" t="n"/>
      <c r="M714" s="88" t="n"/>
      <c r="N714" s="89" t="n"/>
      <c r="O714" s="88" t="n"/>
      <c r="P714" s="88" t="n"/>
      <c r="Q714" s="88" t="n"/>
      <c r="R714" s="89" t="n"/>
      <c r="S714" s="88" t="n"/>
      <c r="T714" s="88" t="n"/>
      <c r="U714" s="88" t="n"/>
      <c r="V714" s="89" t="n"/>
      <c r="W714" s="88" t="n"/>
      <c r="X714" s="89" t="n"/>
      <c r="Y714" s="88" t="n"/>
      <c r="Z714" s="89" t="n"/>
      <c r="AB714" s="25">
        <f>IF($B714="","",(COUNTIF(C714:E714,"?*")&lt;N(INDEX(Setup!$L$6:$L$23,7)))+(COUNTIF(G714:I714,"?*")&lt;N(INDEX(Setup!$L$6:$L$23,7)))+(COUNTIF(K714:M714,"?*")&lt;N(INDEX(Setup!$L$6:$L$23,7)))+(COUNTIF(O714:Q714,"?*")&lt;N(INDEX(Setup!$L$6:$L$23,7)))+(COUNTIF(S714:U714,"?*")&lt;N(INDEX(Setup!$L$6:$L$23,7)))+((W714="")*(INDEX(Setup!$M$6:$M$23,7)="Y"))+((Y714="")*(INDEX(Setup!$M$6:$M$23,7)="Y")))</f>
        <v/>
      </c>
      <c r="AC714" s="90">
        <f>IF($B714="","",IF(AB714=0,"✓ covered","⚠ "&amp;AB714&amp;IF(AB714=1," gap"," gaps")))</f>
        <v/>
      </c>
    </row>
    <row r="715" ht="17" customHeight="1">
      <c r="A715" t="n">
        <v>15</v>
      </c>
      <c r="B715" s="29">
        <f>IF(Setup!$K$13="","",Setup!$K$13)</f>
        <v/>
      </c>
      <c r="C715" s="88" t="n"/>
      <c r="D715" s="88" t="n"/>
      <c r="E715" s="88" t="n"/>
      <c r="F715" s="89" t="n"/>
      <c r="G715" s="88" t="n"/>
      <c r="H715" s="88" t="n"/>
      <c r="I715" s="88" t="n"/>
      <c r="J715" s="89" t="n"/>
      <c r="K715" s="88" t="n"/>
      <c r="L715" s="88" t="n"/>
      <c r="M715" s="88" t="n"/>
      <c r="N715" s="89" t="n"/>
      <c r="O715" s="88" t="n"/>
      <c r="P715" s="88" t="n"/>
      <c r="Q715" s="88" t="n"/>
      <c r="R715" s="89" t="n"/>
      <c r="S715" s="88" t="n"/>
      <c r="T715" s="88" t="n"/>
      <c r="U715" s="88" t="n"/>
      <c r="V715" s="89" t="n"/>
      <c r="W715" s="88" t="n"/>
      <c r="X715" s="89" t="n"/>
      <c r="Y715" s="88" t="n"/>
      <c r="Z715" s="89" t="n"/>
      <c r="AB715" s="30">
        <f>IF($B715="","",(COUNTIF(C715:E715,"?*")&lt;N(INDEX(Setup!$L$6:$L$23,8)))+(COUNTIF(G715:I715,"?*")&lt;N(INDEX(Setup!$L$6:$L$23,8)))+(COUNTIF(K715:M715,"?*")&lt;N(INDEX(Setup!$L$6:$L$23,8)))+(COUNTIF(O715:Q715,"?*")&lt;N(INDEX(Setup!$L$6:$L$23,8)))+(COUNTIF(S715:U715,"?*")&lt;N(INDEX(Setup!$L$6:$L$23,8)))+((W715="")*(INDEX(Setup!$M$6:$M$23,8)="Y"))+((Y715="")*(INDEX(Setup!$M$6:$M$23,8)="Y")))</f>
        <v/>
      </c>
      <c r="AC715" s="91">
        <f>IF($B715="","",IF(AB715=0,"✓ covered","⚠ "&amp;AB715&amp;IF(AB715=1," gap"," gaps")))</f>
        <v/>
      </c>
    </row>
    <row r="716" ht="17" customHeight="1">
      <c r="A716" t="n">
        <v>15</v>
      </c>
      <c r="B716" s="24">
        <f>IF(Setup!$K$14="","",Setup!$K$14)</f>
        <v/>
      </c>
      <c r="C716" s="88" t="n"/>
      <c r="D716" s="88" t="n"/>
      <c r="E716" s="88" t="n"/>
      <c r="F716" s="89" t="n"/>
      <c r="G716" s="88" t="n"/>
      <c r="H716" s="88" t="n"/>
      <c r="I716" s="88" t="n"/>
      <c r="J716" s="89" t="n"/>
      <c r="K716" s="88" t="n"/>
      <c r="L716" s="88" t="n"/>
      <c r="M716" s="88" t="n"/>
      <c r="N716" s="89" t="n"/>
      <c r="O716" s="88" t="n"/>
      <c r="P716" s="88" t="n"/>
      <c r="Q716" s="88" t="n"/>
      <c r="R716" s="89" t="n"/>
      <c r="S716" s="88" t="n"/>
      <c r="T716" s="88" t="n"/>
      <c r="U716" s="88" t="n"/>
      <c r="V716" s="89" t="n"/>
      <c r="W716" s="88" t="n"/>
      <c r="X716" s="89" t="n"/>
      <c r="Y716" s="88" t="n"/>
      <c r="Z716" s="89" t="n"/>
      <c r="AB716" s="25">
        <f>IF($B716="","",(COUNTIF(C716:E716,"?*")&lt;N(INDEX(Setup!$L$6:$L$23,9)))+(COUNTIF(G716:I716,"?*")&lt;N(INDEX(Setup!$L$6:$L$23,9)))+(COUNTIF(K716:M716,"?*")&lt;N(INDEX(Setup!$L$6:$L$23,9)))+(COUNTIF(O716:Q716,"?*")&lt;N(INDEX(Setup!$L$6:$L$23,9)))+(COUNTIF(S716:U716,"?*")&lt;N(INDEX(Setup!$L$6:$L$23,9)))+((W716="")*(INDEX(Setup!$M$6:$M$23,9)="Y"))+((Y716="")*(INDEX(Setup!$M$6:$M$23,9)="Y")))</f>
        <v/>
      </c>
      <c r="AC716" s="90">
        <f>IF($B716="","",IF(AB716=0,"✓ covered","⚠ "&amp;AB716&amp;IF(AB716=1," gap"," gaps")))</f>
        <v/>
      </c>
    </row>
    <row r="717" ht="17" customHeight="1">
      <c r="A717" t="n">
        <v>15</v>
      </c>
      <c r="B717" s="29">
        <f>IF(Setup!$K$15="","",Setup!$K$15)</f>
        <v/>
      </c>
      <c r="C717" s="88" t="n"/>
      <c r="D717" s="88" t="n"/>
      <c r="E717" s="88" t="n"/>
      <c r="F717" s="89" t="n"/>
      <c r="G717" s="88" t="n"/>
      <c r="H717" s="88" t="n"/>
      <c r="I717" s="88" t="n"/>
      <c r="J717" s="89" t="n"/>
      <c r="K717" s="88" t="n"/>
      <c r="L717" s="88" t="n"/>
      <c r="M717" s="88" t="n"/>
      <c r="N717" s="89" t="n"/>
      <c r="O717" s="88" t="n"/>
      <c r="P717" s="88" t="n"/>
      <c r="Q717" s="88" t="n"/>
      <c r="R717" s="89" t="n"/>
      <c r="S717" s="88" t="n"/>
      <c r="T717" s="88" t="n"/>
      <c r="U717" s="88" t="n"/>
      <c r="V717" s="89" t="n"/>
      <c r="W717" s="88" t="n"/>
      <c r="X717" s="89" t="n"/>
      <c r="Y717" s="88" t="n"/>
      <c r="Z717" s="89" t="n"/>
      <c r="AB717" s="30">
        <f>IF($B717="","",(COUNTIF(C717:E717,"?*")&lt;N(INDEX(Setup!$L$6:$L$23,10)))+(COUNTIF(G717:I717,"?*")&lt;N(INDEX(Setup!$L$6:$L$23,10)))+(COUNTIF(K717:M717,"?*")&lt;N(INDEX(Setup!$L$6:$L$23,10)))+(COUNTIF(O717:Q717,"?*")&lt;N(INDEX(Setup!$L$6:$L$23,10)))+(COUNTIF(S717:U717,"?*")&lt;N(INDEX(Setup!$L$6:$L$23,10)))+((W717="")*(INDEX(Setup!$M$6:$M$23,10)="Y"))+((Y717="")*(INDEX(Setup!$M$6:$M$23,10)="Y")))</f>
        <v/>
      </c>
      <c r="AC717" s="91">
        <f>IF($B717="","",IF(AB717=0,"✓ covered","⚠ "&amp;AB717&amp;IF(AB717=1," gap"," gaps")))</f>
        <v/>
      </c>
    </row>
    <row r="718" ht="17" customHeight="1">
      <c r="A718" t="n">
        <v>15</v>
      </c>
      <c r="B718" s="24">
        <f>IF(Setup!$K$16="","",Setup!$K$16)</f>
        <v/>
      </c>
      <c r="C718" s="88" t="n"/>
      <c r="D718" s="88" t="n"/>
      <c r="E718" s="88" t="n"/>
      <c r="F718" s="89" t="n"/>
      <c r="G718" s="88" t="n"/>
      <c r="H718" s="88" t="n"/>
      <c r="I718" s="88" t="n"/>
      <c r="J718" s="89" t="n"/>
      <c r="K718" s="88" t="n"/>
      <c r="L718" s="88" t="n"/>
      <c r="M718" s="88" t="n"/>
      <c r="N718" s="89" t="n"/>
      <c r="O718" s="88" t="n"/>
      <c r="P718" s="88" t="n"/>
      <c r="Q718" s="88" t="n"/>
      <c r="R718" s="89" t="n"/>
      <c r="S718" s="88" t="n"/>
      <c r="T718" s="88" t="n"/>
      <c r="U718" s="88" t="n"/>
      <c r="V718" s="89" t="n"/>
      <c r="W718" s="88" t="n"/>
      <c r="X718" s="89" t="n"/>
      <c r="Y718" s="88" t="n"/>
      <c r="Z718" s="89" t="n"/>
      <c r="AB718" s="25">
        <f>IF($B718="","",(COUNTIF(C718:E718,"?*")&lt;N(INDEX(Setup!$L$6:$L$23,11)))+(COUNTIF(G718:I718,"?*")&lt;N(INDEX(Setup!$L$6:$L$23,11)))+(COUNTIF(K718:M718,"?*")&lt;N(INDEX(Setup!$L$6:$L$23,11)))+(COUNTIF(O718:Q718,"?*")&lt;N(INDEX(Setup!$L$6:$L$23,11)))+(COUNTIF(S718:U718,"?*")&lt;N(INDEX(Setup!$L$6:$L$23,11)))+((W718="")*(INDEX(Setup!$M$6:$M$23,11)="Y"))+((Y718="")*(INDEX(Setup!$M$6:$M$23,11)="Y")))</f>
        <v/>
      </c>
      <c r="AC718" s="90">
        <f>IF($B718="","",IF(AB718=0,"✓ covered","⚠ "&amp;AB718&amp;IF(AB718=1," gap"," gaps")))</f>
        <v/>
      </c>
    </row>
    <row r="719" ht="17" customHeight="1">
      <c r="A719" t="n">
        <v>15</v>
      </c>
      <c r="B719" s="29">
        <f>IF(Setup!$K$17="","",Setup!$K$17)</f>
        <v/>
      </c>
      <c r="C719" s="88" t="n"/>
      <c r="D719" s="88" t="n"/>
      <c r="E719" s="88" t="n"/>
      <c r="F719" s="89" t="n"/>
      <c r="G719" s="88" t="n"/>
      <c r="H719" s="88" t="n"/>
      <c r="I719" s="88" t="n"/>
      <c r="J719" s="89" t="n"/>
      <c r="K719" s="88" t="n"/>
      <c r="L719" s="88" t="n"/>
      <c r="M719" s="88" t="n"/>
      <c r="N719" s="89" t="n"/>
      <c r="O719" s="88" t="n"/>
      <c r="P719" s="88" t="n"/>
      <c r="Q719" s="88" t="n"/>
      <c r="R719" s="89" t="n"/>
      <c r="S719" s="88" t="n"/>
      <c r="T719" s="88" t="n"/>
      <c r="U719" s="88" t="n"/>
      <c r="V719" s="89" t="n"/>
      <c r="W719" s="88" t="n"/>
      <c r="X719" s="89" t="n"/>
      <c r="Y719" s="88" t="n"/>
      <c r="Z719" s="89" t="n"/>
      <c r="AB719" s="30">
        <f>IF($B719="","",(COUNTIF(C719:E719,"?*")&lt;N(INDEX(Setup!$L$6:$L$23,12)))+(COUNTIF(G719:I719,"?*")&lt;N(INDEX(Setup!$L$6:$L$23,12)))+(COUNTIF(K719:M719,"?*")&lt;N(INDEX(Setup!$L$6:$L$23,12)))+(COUNTIF(O719:Q719,"?*")&lt;N(INDEX(Setup!$L$6:$L$23,12)))+(COUNTIF(S719:U719,"?*")&lt;N(INDEX(Setup!$L$6:$L$23,12)))+((W719="")*(INDEX(Setup!$M$6:$M$23,12)="Y"))+((Y719="")*(INDEX(Setup!$M$6:$M$23,12)="Y")))</f>
        <v/>
      </c>
      <c r="AC719" s="91">
        <f>IF($B719="","",IF(AB719=0,"✓ covered","⚠ "&amp;AB719&amp;IF(AB719=1," gap"," gaps")))</f>
        <v/>
      </c>
    </row>
    <row r="720" ht="17" customHeight="1">
      <c r="A720" t="n">
        <v>15</v>
      </c>
      <c r="B720" s="24">
        <f>IF(Setup!$K$18="","",Setup!$K$18)</f>
        <v/>
      </c>
      <c r="C720" s="88" t="n"/>
      <c r="D720" s="88" t="n"/>
      <c r="E720" s="88" t="n"/>
      <c r="F720" s="89" t="n"/>
      <c r="G720" s="88" t="n"/>
      <c r="H720" s="88" t="n"/>
      <c r="I720" s="88" t="n"/>
      <c r="J720" s="89" t="n"/>
      <c r="K720" s="88" t="n"/>
      <c r="L720" s="88" t="n"/>
      <c r="M720" s="88" t="n"/>
      <c r="N720" s="89" t="n"/>
      <c r="O720" s="88" t="n"/>
      <c r="P720" s="88" t="n"/>
      <c r="Q720" s="88" t="n"/>
      <c r="R720" s="89" t="n"/>
      <c r="S720" s="88" t="n"/>
      <c r="T720" s="88" t="n"/>
      <c r="U720" s="88" t="n"/>
      <c r="V720" s="89" t="n"/>
      <c r="W720" s="88" t="n"/>
      <c r="X720" s="89" t="n"/>
      <c r="Y720" s="88" t="n"/>
      <c r="Z720" s="89" t="n"/>
      <c r="AB720" s="25">
        <f>IF($B720="","",(COUNTIF(C720:E720,"?*")&lt;N(INDEX(Setup!$L$6:$L$23,13)))+(COUNTIF(G720:I720,"?*")&lt;N(INDEX(Setup!$L$6:$L$23,13)))+(COUNTIF(K720:M720,"?*")&lt;N(INDEX(Setup!$L$6:$L$23,13)))+(COUNTIF(O720:Q720,"?*")&lt;N(INDEX(Setup!$L$6:$L$23,13)))+(COUNTIF(S720:U720,"?*")&lt;N(INDEX(Setup!$L$6:$L$23,13)))+((W720="")*(INDEX(Setup!$M$6:$M$23,13)="Y"))+((Y720="")*(INDEX(Setup!$M$6:$M$23,13)="Y")))</f>
        <v/>
      </c>
      <c r="AC720" s="90">
        <f>IF($B720="","",IF(AB720=0,"✓ covered","⚠ "&amp;AB720&amp;IF(AB720=1," gap"," gaps")))</f>
        <v/>
      </c>
    </row>
    <row r="721" ht="17" customHeight="1">
      <c r="A721" t="n">
        <v>15</v>
      </c>
      <c r="B721" s="29">
        <f>IF(Setup!$K$19="","",Setup!$K$19)</f>
        <v/>
      </c>
      <c r="C721" s="88" t="n"/>
      <c r="D721" s="88" t="n"/>
      <c r="E721" s="88" t="n"/>
      <c r="F721" s="89" t="n"/>
      <c r="G721" s="88" t="n"/>
      <c r="H721" s="88" t="n"/>
      <c r="I721" s="88" t="n"/>
      <c r="J721" s="89" t="n"/>
      <c r="K721" s="88" t="n"/>
      <c r="L721" s="88" t="n"/>
      <c r="M721" s="88" t="n"/>
      <c r="N721" s="89" t="n"/>
      <c r="O721" s="88" t="n"/>
      <c r="P721" s="88" t="n"/>
      <c r="Q721" s="88" t="n"/>
      <c r="R721" s="89" t="n"/>
      <c r="S721" s="88" t="n"/>
      <c r="T721" s="88" t="n"/>
      <c r="U721" s="88" t="n"/>
      <c r="V721" s="89" t="n"/>
      <c r="W721" s="88" t="n"/>
      <c r="X721" s="89" t="n"/>
      <c r="Y721" s="88" t="n"/>
      <c r="Z721" s="89" t="n"/>
      <c r="AB721" s="30">
        <f>IF($B721="","",(COUNTIF(C721:E721,"?*")&lt;N(INDEX(Setup!$L$6:$L$23,14)))+(COUNTIF(G721:I721,"?*")&lt;N(INDEX(Setup!$L$6:$L$23,14)))+(COUNTIF(K721:M721,"?*")&lt;N(INDEX(Setup!$L$6:$L$23,14)))+(COUNTIF(O721:Q721,"?*")&lt;N(INDEX(Setup!$L$6:$L$23,14)))+(COUNTIF(S721:U721,"?*")&lt;N(INDEX(Setup!$L$6:$L$23,14)))+((W721="")*(INDEX(Setup!$M$6:$M$23,14)="Y"))+((Y721="")*(INDEX(Setup!$M$6:$M$23,14)="Y")))</f>
        <v/>
      </c>
      <c r="AC721" s="91">
        <f>IF($B721="","",IF(AB721=0,"✓ covered","⚠ "&amp;AB721&amp;IF(AB721=1," gap"," gaps")))</f>
        <v/>
      </c>
    </row>
    <row r="722" ht="17" customHeight="1">
      <c r="A722" t="n">
        <v>15</v>
      </c>
      <c r="B722" s="24">
        <f>IF(Setup!$K$20="","",Setup!$K$20)</f>
        <v/>
      </c>
      <c r="C722" s="88" t="n"/>
      <c r="D722" s="88" t="n"/>
      <c r="E722" s="88" t="n"/>
      <c r="F722" s="89" t="n"/>
      <c r="G722" s="88" t="n"/>
      <c r="H722" s="88" t="n"/>
      <c r="I722" s="88" t="n"/>
      <c r="J722" s="89" t="n"/>
      <c r="K722" s="88" t="n"/>
      <c r="L722" s="88" t="n"/>
      <c r="M722" s="88" t="n"/>
      <c r="N722" s="89" t="n"/>
      <c r="O722" s="88" t="n"/>
      <c r="P722" s="88" t="n"/>
      <c r="Q722" s="88" t="n"/>
      <c r="R722" s="89" t="n"/>
      <c r="S722" s="88" t="n"/>
      <c r="T722" s="88" t="n"/>
      <c r="U722" s="88" t="n"/>
      <c r="V722" s="89" t="n"/>
      <c r="W722" s="88" t="n"/>
      <c r="X722" s="89" t="n"/>
      <c r="Y722" s="88" t="n"/>
      <c r="Z722" s="89" t="n"/>
      <c r="AB722" s="25">
        <f>IF($B722="","",(COUNTIF(C722:E722,"?*")&lt;N(INDEX(Setup!$L$6:$L$23,15)))+(COUNTIF(G722:I722,"?*")&lt;N(INDEX(Setup!$L$6:$L$23,15)))+(COUNTIF(K722:M722,"?*")&lt;N(INDEX(Setup!$L$6:$L$23,15)))+(COUNTIF(O722:Q722,"?*")&lt;N(INDEX(Setup!$L$6:$L$23,15)))+(COUNTIF(S722:U722,"?*")&lt;N(INDEX(Setup!$L$6:$L$23,15)))+((W722="")*(INDEX(Setup!$M$6:$M$23,15)="Y"))+((Y722="")*(INDEX(Setup!$M$6:$M$23,15)="Y")))</f>
        <v/>
      </c>
      <c r="AC722" s="90">
        <f>IF($B722="","",IF(AB722=0,"✓ covered","⚠ "&amp;AB722&amp;IF(AB722=1," gap"," gaps")))</f>
        <v/>
      </c>
    </row>
    <row r="723" ht="17" customHeight="1">
      <c r="A723" t="n">
        <v>15</v>
      </c>
      <c r="B723" s="29">
        <f>IF(Setup!$K$21="","",Setup!$K$21)</f>
        <v/>
      </c>
      <c r="C723" s="88" t="n"/>
      <c r="D723" s="88" t="n"/>
      <c r="E723" s="88" t="n"/>
      <c r="F723" s="89" t="n"/>
      <c r="G723" s="88" t="n"/>
      <c r="H723" s="88" t="n"/>
      <c r="I723" s="88" t="n"/>
      <c r="J723" s="89" t="n"/>
      <c r="K723" s="88" t="n"/>
      <c r="L723" s="88" t="n"/>
      <c r="M723" s="88" t="n"/>
      <c r="N723" s="89" t="n"/>
      <c r="O723" s="88" t="n"/>
      <c r="P723" s="88" t="n"/>
      <c r="Q723" s="88" t="n"/>
      <c r="R723" s="89" t="n"/>
      <c r="S723" s="88" t="n"/>
      <c r="T723" s="88" t="n"/>
      <c r="U723" s="88" t="n"/>
      <c r="V723" s="89" t="n"/>
      <c r="W723" s="88" t="n"/>
      <c r="X723" s="89" t="n"/>
      <c r="Y723" s="88" t="n"/>
      <c r="Z723" s="89" t="n"/>
      <c r="AB723" s="30">
        <f>IF($B723="","",(COUNTIF(C723:E723,"?*")&lt;N(INDEX(Setup!$L$6:$L$23,16)))+(COUNTIF(G723:I723,"?*")&lt;N(INDEX(Setup!$L$6:$L$23,16)))+(COUNTIF(K723:M723,"?*")&lt;N(INDEX(Setup!$L$6:$L$23,16)))+(COUNTIF(O723:Q723,"?*")&lt;N(INDEX(Setup!$L$6:$L$23,16)))+(COUNTIF(S723:U723,"?*")&lt;N(INDEX(Setup!$L$6:$L$23,16)))+((W723="")*(INDEX(Setup!$M$6:$M$23,16)="Y"))+((Y723="")*(INDEX(Setup!$M$6:$M$23,16)="Y")))</f>
        <v/>
      </c>
      <c r="AC723" s="91">
        <f>IF($B723="","",IF(AB723=0,"✓ covered","⚠ "&amp;AB723&amp;IF(AB723=1," gap"," gaps")))</f>
        <v/>
      </c>
    </row>
    <row r="724" ht="17" customHeight="1">
      <c r="A724" t="n">
        <v>15</v>
      </c>
      <c r="B724" s="24">
        <f>IF(Setup!$K$22="","",Setup!$K$22)</f>
        <v/>
      </c>
      <c r="C724" s="88" t="n"/>
      <c r="D724" s="88" t="n"/>
      <c r="E724" s="88" t="n"/>
      <c r="F724" s="89" t="n"/>
      <c r="G724" s="88" t="n"/>
      <c r="H724" s="88" t="n"/>
      <c r="I724" s="88" t="n"/>
      <c r="J724" s="89" t="n"/>
      <c r="K724" s="88" t="n"/>
      <c r="L724" s="88" t="n"/>
      <c r="M724" s="88" t="n"/>
      <c r="N724" s="89" t="n"/>
      <c r="O724" s="88" t="n"/>
      <c r="P724" s="88" t="n"/>
      <c r="Q724" s="88" t="n"/>
      <c r="R724" s="89" t="n"/>
      <c r="S724" s="88" t="n"/>
      <c r="T724" s="88" t="n"/>
      <c r="U724" s="88" t="n"/>
      <c r="V724" s="89" t="n"/>
      <c r="W724" s="88" t="n"/>
      <c r="X724" s="89" t="n"/>
      <c r="Y724" s="88" t="n"/>
      <c r="Z724" s="89" t="n"/>
      <c r="AB724" s="25">
        <f>IF($B724="","",(COUNTIF(C724:E724,"?*")&lt;N(INDEX(Setup!$L$6:$L$23,17)))+(COUNTIF(G724:I724,"?*")&lt;N(INDEX(Setup!$L$6:$L$23,17)))+(COUNTIF(K724:M724,"?*")&lt;N(INDEX(Setup!$L$6:$L$23,17)))+(COUNTIF(O724:Q724,"?*")&lt;N(INDEX(Setup!$L$6:$L$23,17)))+(COUNTIF(S724:U724,"?*")&lt;N(INDEX(Setup!$L$6:$L$23,17)))+((W724="")*(INDEX(Setup!$M$6:$M$23,17)="Y"))+((Y724="")*(INDEX(Setup!$M$6:$M$23,17)="Y")))</f>
        <v/>
      </c>
      <c r="AC724" s="90">
        <f>IF($B724="","",IF(AB724=0,"✓ covered","⚠ "&amp;AB724&amp;IF(AB724=1," gap"," gaps")))</f>
        <v/>
      </c>
    </row>
    <row r="725" ht="17" customHeight="1">
      <c r="A725" t="n">
        <v>15</v>
      </c>
      <c r="B725" s="29">
        <f>IF(Setup!$K$23="","",Setup!$K$23)</f>
        <v/>
      </c>
      <c r="C725" s="88" t="n"/>
      <c r="D725" s="88" t="n"/>
      <c r="E725" s="88" t="n"/>
      <c r="F725" s="89" t="n"/>
      <c r="G725" s="88" t="n"/>
      <c r="H725" s="88" t="n"/>
      <c r="I725" s="88" t="n"/>
      <c r="J725" s="89" t="n"/>
      <c r="K725" s="88" t="n"/>
      <c r="L725" s="88" t="n"/>
      <c r="M725" s="88" t="n"/>
      <c r="N725" s="89" t="n"/>
      <c r="O725" s="88" t="n"/>
      <c r="P725" s="88" t="n"/>
      <c r="Q725" s="88" t="n"/>
      <c r="R725" s="89" t="n"/>
      <c r="S725" s="88" t="n"/>
      <c r="T725" s="88" t="n"/>
      <c r="U725" s="88" t="n"/>
      <c r="V725" s="89" t="n"/>
      <c r="W725" s="88" t="n"/>
      <c r="X725" s="89" t="n"/>
      <c r="Y725" s="88" t="n"/>
      <c r="Z725" s="89" t="n"/>
      <c r="AB725" s="30">
        <f>IF($B725="","",(COUNTIF(C725:E725,"?*")&lt;N(INDEX(Setup!$L$6:$L$23,18)))+(COUNTIF(G725:I725,"?*")&lt;N(INDEX(Setup!$L$6:$L$23,18)))+(COUNTIF(K725:M725,"?*")&lt;N(INDEX(Setup!$L$6:$L$23,18)))+(COUNTIF(O725:Q725,"?*")&lt;N(INDEX(Setup!$L$6:$L$23,18)))+(COUNTIF(S725:U725,"?*")&lt;N(INDEX(Setup!$L$6:$L$23,18)))+((W725="")*(INDEX(Setup!$M$6:$M$23,18)="Y"))+((Y725="")*(INDEX(Setup!$M$6:$M$23,18)="Y")))</f>
        <v/>
      </c>
      <c r="AC725" s="91">
        <f>IF($B725="","",IF(AB725=0,"✓ covered","⚠ "&amp;AB725&amp;IF(AB725=1," gap"," gaps")))</f>
        <v/>
      </c>
    </row>
    <row r="726" ht="18" customHeight="1">
      <c r="A726" t="n">
        <v>15</v>
      </c>
      <c r="B726" s="78" t="inlineStr">
        <is>
          <t>TEAM AVAILABILITY</t>
        </is>
      </c>
      <c r="C726" s="92" t="inlineStr">
        <is>
          <t>Mon</t>
        </is>
      </c>
      <c r="D726" s="93" t="n"/>
      <c r="E726" s="93" t="n"/>
      <c r="F726" s="94" t="n"/>
      <c r="G726" s="92" t="inlineStr">
        <is>
          <t>Tue</t>
        </is>
      </c>
      <c r="H726" s="93" t="n"/>
      <c r="I726" s="93" t="n"/>
      <c r="J726" s="94" t="n"/>
      <c r="K726" s="92" t="inlineStr">
        <is>
          <t>Wed</t>
        </is>
      </c>
      <c r="L726" s="93" t="n"/>
      <c r="M726" s="93" t="n"/>
      <c r="N726" s="94" t="n"/>
      <c r="O726" s="92" t="inlineStr">
        <is>
          <t>Thu</t>
        </is>
      </c>
      <c r="P726" s="93" t="n"/>
      <c r="Q726" s="93" t="n"/>
      <c r="R726" s="94" t="n"/>
      <c r="S726" s="92" t="inlineStr">
        <is>
          <t>Fri</t>
        </is>
      </c>
      <c r="T726" s="93" t="n"/>
      <c r="U726" s="93" t="n"/>
      <c r="V726" s="94" t="n"/>
      <c r="W726" s="95" t="inlineStr">
        <is>
          <t>Sat</t>
        </is>
      </c>
      <c r="X726" s="96" t="n"/>
      <c r="Y726" s="95" t="inlineStr">
        <is>
          <t>Sun</t>
        </is>
      </c>
      <c r="Z726" s="96" t="n"/>
      <c r="AB726" s="97" t="inlineStr">
        <is>
          <t>Days rostered</t>
        </is>
      </c>
      <c r="AC726" s="97" t="inlineStr">
        <is>
          <t>Conflicts</t>
        </is>
      </c>
    </row>
    <row r="727" ht="15" customHeight="1">
      <c r="A727" t="n">
        <v>15</v>
      </c>
      <c r="B727" s="35">
        <f>IF(Setup!$B$6="","",Setup!$B$6)</f>
        <v/>
      </c>
      <c r="C727" s="98" t="n"/>
      <c r="D727" s="99" t="n"/>
      <c r="E727" s="99" t="n"/>
      <c r="F727" s="100" t="n"/>
      <c r="G727" s="98" t="n"/>
      <c r="H727" s="99" t="n"/>
      <c r="I727" s="99" t="n"/>
      <c r="J727" s="100" t="n"/>
      <c r="K727" s="98" t="n"/>
      <c r="L727" s="99" t="n"/>
      <c r="M727" s="99" t="n"/>
      <c r="N727" s="100" t="n"/>
      <c r="O727" s="98" t="n"/>
      <c r="P727" s="99" t="n"/>
      <c r="Q727" s="99" t="n"/>
      <c r="R727" s="100" t="n"/>
      <c r="S727" s="98" t="n"/>
      <c r="T727" s="99" t="n"/>
      <c r="U727" s="99" t="n"/>
      <c r="V727" s="100" t="n"/>
      <c r="W727" s="98" t="n"/>
      <c r="X727" s="100" t="n"/>
      <c r="Y727" s="98" t="n"/>
      <c r="Z727" s="100" t="n"/>
      <c r="AB727" s="101">
        <f>IF($B727="","",(COUNTIF(C708:E725,$B727)+COUNTIF(C708:E725,$B727&amp;" ~*")&gt;0)+(COUNTIF(G708:I725,$B727)+COUNTIF(G708:I725,$B727&amp;" ~*")&gt;0)+(COUNTIF(K708:M725,$B727)+COUNTIF(K708:M725,$B727&amp;" ~*")&gt;0)+(COUNTIF(O708:Q725,$B727)+COUNTIF(O708:Q725,$B727&amp;" ~*")&gt;0)+(COUNTIF(S708:U725,$B727)+COUNTIF(S708:U725,$B727&amp;" ~*")&gt;0)+(COUNTIF(W708:W725,$B727)+COUNTIF(W708:W725,$B727&amp;" ~*")&gt;0)+(COUNTIF(Y708:Y725,$B727)+COUNTIF(Y708:Y725,$B727&amp;" ~*")&gt;0))</f>
        <v/>
      </c>
      <c r="AC727" s="36">
        <f>IF($B727="","",(IFERROR(INDEX(Setup!$G$33:$G$40,MATCH(C727,Setup!$B$33:$B$40,0)),0)=1)*(COUNTIF(C708:E725,$B727)+COUNTIF(C708:E725,$B727&amp;" ~*")&gt;0)+(IFERROR(INDEX(Setup!$G$33:$G$40,MATCH(G727,Setup!$B$33:$B$40,0)),0)=1)*(COUNTIF(G708:I725,$B727)+COUNTIF(G708:I725,$B727&amp;" ~*")&gt;0)+(IFERROR(INDEX(Setup!$G$33:$G$40,MATCH(K727,Setup!$B$33:$B$40,0)),0)=1)*(COUNTIF(K708:M725,$B727)+COUNTIF(K708:M725,$B727&amp;" ~*")&gt;0)+(IFERROR(INDEX(Setup!$G$33:$G$40,MATCH(O727,Setup!$B$33:$B$40,0)),0)=1)*(COUNTIF(O708:Q725,$B727)+COUNTIF(O708:Q725,$B727&amp;" ~*")&gt;0)+(IFERROR(INDEX(Setup!$G$33:$G$40,MATCH(S727,Setup!$B$33:$B$40,0)),0)=1)*(COUNTIF(S708:U725,$B727)+COUNTIF(S708:U725,$B727&amp;" ~*")&gt;0)+(IFERROR(INDEX(Setup!$G$33:$G$40,MATCH(W727,Setup!$B$33:$B$40,0)),0)=1)*(COUNTIF(W708:W725,$B727)+COUNTIF(W708:W725,$B727&amp;" ~*")&gt;0)+(IFERROR(INDEX(Setup!$G$33:$G$40,MATCH(Y727,Setup!$B$33:$B$40,0)),0)=1)*(COUNTIF(Y708:Y725,$B727)+COUNTIF(Y708:Y725,$B727&amp;" ~*")&gt;0))</f>
        <v/>
      </c>
    </row>
    <row r="728" ht="15" customHeight="1">
      <c r="A728" t="n">
        <v>15</v>
      </c>
      <c r="B728" s="37">
        <f>IF(Setup!$B$7="","",Setup!$B$7)</f>
        <v/>
      </c>
      <c r="C728" s="102" t="n"/>
      <c r="D728" s="103" t="n"/>
      <c r="E728" s="103" t="n"/>
      <c r="F728" s="104" t="n"/>
      <c r="G728" s="102" t="n"/>
      <c r="H728" s="103" t="n"/>
      <c r="I728" s="103" t="n"/>
      <c r="J728" s="104" t="n"/>
      <c r="K728" s="102" t="n"/>
      <c r="L728" s="103" t="n"/>
      <c r="M728" s="103" t="n"/>
      <c r="N728" s="104" t="n"/>
      <c r="O728" s="102" t="n"/>
      <c r="P728" s="103" t="n"/>
      <c r="Q728" s="103" t="n"/>
      <c r="R728" s="104" t="n"/>
      <c r="S728" s="102" t="n"/>
      <c r="T728" s="103" t="n"/>
      <c r="U728" s="103" t="n"/>
      <c r="V728" s="104" t="n"/>
      <c r="W728" s="102" t="n"/>
      <c r="X728" s="104" t="n"/>
      <c r="Y728" s="102" t="n"/>
      <c r="Z728" s="104" t="n"/>
      <c r="AB728" s="105">
        <f>IF($B728="","",(COUNTIF(C708:E725,$B728)+COUNTIF(C708:E725,$B728&amp;" ~*")&gt;0)+(COUNTIF(G708:I725,$B728)+COUNTIF(G708:I725,$B728&amp;" ~*")&gt;0)+(COUNTIF(K708:M725,$B728)+COUNTIF(K708:M725,$B728&amp;" ~*")&gt;0)+(COUNTIF(O708:Q725,$B728)+COUNTIF(O708:Q725,$B728&amp;" ~*")&gt;0)+(COUNTIF(S708:U725,$B728)+COUNTIF(S708:U725,$B728&amp;" ~*")&gt;0)+(COUNTIF(W708:W725,$B728)+COUNTIF(W708:W725,$B728&amp;" ~*")&gt;0)+(COUNTIF(Y708:Y725,$B728)+COUNTIF(Y708:Y725,$B728&amp;" ~*")&gt;0))</f>
        <v/>
      </c>
      <c r="AC728" s="38">
        <f>IF($B728="","",(IFERROR(INDEX(Setup!$G$33:$G$40,MATCH(C728,Setup!$B$33:$B$40,0)),0)=1)*(COUNTIF(C708:E725,$B728)+COUNTIF(C708:E725,$B728&amp;" ~*")&gt;0)+(IFERROR(INDEX(Setup!$G$33:$G$40,MATCH(G728,Setup!$B$33:$B$40,0)),0)=1)*(COUNTIF(G708:I725,$B728)+COUNTIF(G708:I725,$B728&amp;" ~*")&gt;0)+(IFERROR(INDEX(Setup!$G$33:$G$40,MATCH(K728,Setup!$B$33:$B$40,0)),0)=1)*(COUNTIF(K708:M725,$B728)+COUNTIF(K708:M725,$B728&amp;" ~*")&gt;0)+(IFERROR(INDEX(Setup!$G$33:$G$40,MATCH(O728,Setup!$B$33:$B$40,0)),0)=1)*(COUNTIF(O708:Q725,$B728)+COUNTIF(O708:Q725,$B728&amp;" ~*")&gt;0)+(IFERROR(INDEX(Setup!$G$33:$G$40,MATCH(S728,Setup!$B$33:$B$40,0)),0)=1)*(COUNTIF(S708:U725,$B728)+COUNTIF(S708:U725,$B728&amp;" ~*")&gt;0)+(IFERROR(INDEX(Setup!$G$33:$G$40,MATCH(W728,Setup!$B$33:$B$40,0)),0)=1)*(COUNTIF(W708:W725,$B728)+COUNTIF(W708:W725,$B728&amp;" ~*")&gt;0)+(IFERROR(INDEX(Setup!$G$33:$G$40,MATCH(Y728,Setup!$B$33:$B$40,0)),0)=1)*(COUNTIF(Y708:Y725,$B728)+COUNTIF(Y708:Y725,$B728&amp;" ~*")&gt;0))</f>
        <v/>
      </c>
    </row>
    <row r="729" ht="15" customHeight="1">
      <c r="A729" t="n">
        <v>15</v>
      </c>
      <c r="B729" s="35">
        <f>IF(Setup!$B$8="","",Setup!$B$8)</f>
        <v/>
      </c>
      <c r="C729" s="98" t="n"/>
      <c r="D729" s="99" t="n"/>
      <c r="E729" s="99" t="n"/>
      <c r="F729" s="100" t="n"/>
      <c r="G729" s="98" t="n"/>
      <c r="H729" s="99" t="n"/>
      <c r="I729" s="99" t="n"/>
      <c r="J729" s="100" t="n"/>
      <c r="K729" s="98" t="n"/>
      <c r="L729" s="99" t="n"/>
      <c r="M729" s="99" t="n"/>
      <c r="N729" s="100" t="n"/>
      <c r="O729" s="98" t="n"/>
      <c r="P729" s="99" t="n"/>
      <c r="Q729" s="99" t="n"/>
      <c r="R729" s="100" t="n"/>
      <c r="S729" s="98" t="n"/>
      <c r="T729" s="99" t="n"/>
      <c r="U729" s="99" t="n"/>
      <c r="V729" s="100" t="n"/>
      <c r="W729" s="98" t="n"/>
      <c r="X729" s="100" t="n"/>
      <c r="Y729" s="98" t="n"/>
      <c r="Z729" s="100" t="n"/>
      <c r="AB729" s="101">
        <f>IF($B729="","",(COUNTIF(C708:E725,$B729)+COUNTIF(C708:E725,$B729&amp;" ~*")&gt;0)+(COUNTIF(G708:I725,$B729)+COUNTIF(G708:I725,$B729&amp;" ~*")&gt;0)+(COUNTIF(K708:M725,$B729)+COUNTIF(K708:M725,$B729&amp;" ~*")&gt;0)+(COUNTIF(O708:Q725,$B729)+COUNTIF(O708:Q725,$B729&amp;" ~*")&gt;0)+(COUNTIF(S708:U725,$B729)+COUNTIF(S708:U725,$B729&amp;" ~*")&gt;0)+(COUNTIF(W708:W725,$B729)+COUNTIF(W708:W725,$B729&amp;" ~*")&gt;0)+(COUNTIF(Y708:Y725,$B729)+COUNTIF(Y708:Y725,$B729&amp;" ~*")&gt;0))</f>
        <v/>
      </c>
      <c r="AC729" s="36">
        <f>IF($B729="","",(IFERROR(INDEX(Setup!$G$33:$G$40,MATCH(C729,Setup!$B$33:$B$40,0)),0)=1)*(COUNTIF(C708:E725,$B729)+COUNTIF(C708:E725,$B729&amp;" ~*")&gt;0)+(IFERROR(INDEX(Setup!$G$33:$G$40,MATCH(G729,Setup!$B$33:$B$40,0)),0)=1)*(COUNTIF(G708:I725,$B729)+COUNTIF(G708:I725,$B729&amp;" ~*")&gt;0)+(IFERROR(INDEX(Setup!$G$33:$G$40,MATCH(K729,Setup!$B$33:$B$40,0)),0)=1)*(COUNTIF(K708:M725,$B729)+COUNTIF(K708:M725,$B729&amp;" ~*")&gt;0)+(IFERROR(INDEX(Setup!$G$33:$G$40,MATCH(O729,Setup!$B$33:$B$40,0)),0)=1)*(COUNTIF(O708:Q725,$B729)+COUNTIF(O708:Q725,$B729&amp;" ~*")&gt;0)+(IFERROR(INDEX(Setup!$G$33:$G$40,MATCH(S729,Setup!$B$33:$B$40,0)),0)=1)*(COUNTIF(S708:U725,$B729)+COUNTIF(S708:U725,$B729&amp;" ~*")&gt;0)+(IFERROR(INDEX(Setup!$G$33:$G$40,MATCH(W729,Setup!$B$33:$B$40,0)),0)=1)*(COUNTIF(W708:W725,$B729)+COUNTIF(W708:W725,$B729&amp;" ~*")&gt;0)+(IFERROR(INDEX(Setup!$G$33:$G$40,MATCH(Y729,Setup!$B$33:$B$40,0)),0)=1)*(COUNTIF(Y708:Y725,$B729)+COUNTIF(Y708:Y725,$B729&amp;" ~*")&gt;0))</f>
        <v/>
      </c>
    </row>
    <row r="730" ht="15" customHeight="1">
      <c r="A730" t="n">
        <v>15</v>
      </c>
      <c r="B730" s="37">
        <f>IF(Setup!$B$9="","",Setup!$B$9)</f>
        <v/>
      </c>
      <c r="C730" s="102" t="n"/>
      <c r="D730" s="103" t="n"/>
      <c r="E730" s="103" t="n"/>
      <c r="F730" s="104" t="n"/>
      <c r="G730" s="102" t="n"/>
      <c r="H730" s="103" t="n"/>
      <c r="I730" s="103" t="n"/>
      <c r="J730" s="104" t="n"/>
      <c r="K730" s="102" t="n"/>
      <c r="L730" s="103" t="n"/>
      <c r="M730" s="103" t="n"/>
      <c r="N730" s="104" t="n"/>
      <c r="O730" s="102" t="n"/>
      <c r="P730" s="103" t="n"/>
      <c r="Q730" s="103" t="n"/>
      <c r="R730" s="104" t="n"/>
      <c r="S730" s="102" t="n"/>
      <c r="T730" s="103" t="n"/>
      <c r="U730" s="103" t="n"/>
      <c r="V730" s="104" t="n"/>
      <c r="W730" s="102" t="n"/>
      <c r="X730" s="104" t="n"/>
      <c r="Y730" s="102" t="n"/>
      <c r="Z730" s="104" t="n"/>
      <c r="AB730" s="105">
        <f>IF($B730="","",(COUNTIF(C708:E725,$B730)+COUNTIF(C708:E725,$B730&amp;" ~*")&gt;0)+(COUNTIF(G708:I725,$B730)+COUNTIF(G708:I725,$B730&amp;" ~*")&gt;0)+(COUNTIF(K708:M725,$B730)+COUNTIF(K708:M725,$B730&amp;" ~*")&gt;0)+(COUNTIF(O708:Q725,$B730)+COUNTIF(O708:Q725,$B730&amp;" ~*")&gt;0)+(COUNTIF(S708:U725,$B730)+COUNTIF(S708:U725,$B730&amp;" ~*")&gt;0)+(COUNTIF(W708:W725,$B730)+COUNTIF(W708:W725,$B730&amp;" ~*")&gt;0)+(COUNTIF(Y708:Y725,$B730)+COUNTIF(Y708:Y725,$B730&amp;" ~*")&gt;0))</f>
        <v/>
      </c>
      <c r="AC730" s="38">
        <f>IF($B730="","",(IFERROR(INDEX(Setup!$G$33:$G$40,MATCH(C730,Setup!$B$33:$B$40,0)),0)=1)*(COUNTIF(C708:E725,$B730)+COUNTIF(C708:E725,$B730&amp;" ~*")&gt;0)+(IFERROR(INDEX(Setup!$G$33:$G$40,MATCH(G730,Setup!$B$33:$B$40,0)),0)=1)*(COUNTIF(G708:I725,$B730)+COUNTIF(G708:I725,$B730&amp;" ~*")&gt;0)+(IFERROR(INDEX(Setup!$G$33:$G$40,MATCH(K730,Setup!$B$33:$B$40,0)),0)=1)*(COUNTIF(K708:M725,$B730)+COUNTIF(K708:M725,$B730&amp;" ~*")&gt;0)+(IFERROR(INDEX(Setup!$G$33:$G$40,MATCH(O730,Setup!$B$33:$B$40,0)),0)=1)*(COUNTIF(O708:Q725,$B730)+COUNTIF(O708:Q725,$B730&amp;" ~*")&gt;0)+(IFERROR(INDEX(Setup!$G$33:$G$40,MATCH(S730,Setup!$B$33:$B$40,0)),0)=1)*(COUNTIF(S708:U725,$B730)+COUNTIF(S708:U725,$B730&amp;" ~*")&gt;0)+(IFERROR(INDEX(Setup!$G$33:$G$40,MATCH(W730,Setup!$B$33:$B$40,0)),0)=1)*(COUNTIF(W708:W725,$B730)+COUNTIF(W708:W725,$B730&amp;" ~*")&gt;0)+(IFERROR(INDEX(Setup!$G$33:$G$40,MATCH(Y730,Setup!$B$33:$B$40,0)),0)=1)*(COUNTIF(Y708:Y725,$B730)+COUNTIF(Y708:Y725,$B730&amp;" ~*")&gt;0))</f>
        <v/>
      </c>
    </row>
    <row r="731" ht="15" customHeight="1">
      <c r="A731" t="n">
        <v>15</v>
      </c>
      <c r="B731" s="35">
        <f>IF(Setup!$B$10="","",Setup!$B$10)</f>
        <v/>
      </c>
      <c r="C731" s="98" t="n"/>
      <c r="D731" s="99" t="n"/>
      <c r="E731" s="99" t="n"/>
      <c r="F731" s="100" t="n"/>
      <c r="G731" s="98" t="n"/>
      <c r="H731" s="99" t="n"/>
      <c r="I731" s="99" t="n"/>
      <c r="J731" s="100" t="n"/>
      <c r="K731" s="98" t="n"/>
      <c r="L731" s="99" t="n"/>
      <c r="M731" s="99" t="n"/>
      <c r="N731" s="100" t="n"/>
      <c r="O731" s="98" t="n"/>
      <c r="P731" s="99" t="n"/>
      <c r="Q731" s="99" t="n"/>
      <c r="R731" s="100" t="n"/>
      <c r="S731" s="98" t="n"/>
      <c r="T731" s="99" t="n"/>
      <c r="U731" s="99" t="n"/>
      <c r="V731" s="100" t="n"/>
      <c r="W731" s="98" t="n"/>
      <c r="X731" s="100" t="n"/>
      <c r="Y731" s="98" t="n"/>
      <c r="Z731" s="100" t="n"/>
      <c r="AB731" s="101">
        <f>IF($B731="","",(COUNTIF(C708:E725,$B731)+COUNTIF(C708:E725,$B731&amp;" ~*")&gt;0)+(COUNTIF(G708:I725,$B731)+COUNTIF(G708:I725,$B731&amp;" ~*")&gt;0)+(COUNTIF(K708:M725,$B731)+COUNTIF(K708:M725,$B731&amp;" ~*")&gt;0)+(COUNTIF(O708:Q725,$B731)+COUNTIF(O708:Q725,$B731&amp;" ~*")&gt;0)+(COUNTIF(S708:U725,$B731)+COUNTIF(S708:U725,$B731&amp;" ~*")&gt;0)+(COUNTIF(W708:W725,$B731)+COUNTIF(W708:W725,$B731&amp;" ~*")&gt;0)+(COUNTIF(Y708:Y725,$B731)+COUNTIF(Y708:Y725,$B731&amp;" ~*")&gt;0))</f>
        <v/>
      </c>
      <c r="AC731" s="36">
        <f>IF($B731="","",(IFERROR(INDEX(Setup!$G$33:$G$40,MATCH(C731,Setup!$B$33:$B$40,0)),0)=1)*(COUNTIF(C708:E725,$B731)+COUNTIF(C708:E725,$B731&amp;" ~*")&gt;0)+(IFERROR(INDEX(Setup!$G$33:$G$40,MATCH(G731,Setup!$B$33:$B$40,0)),0)=1)*(COUNTIF(G708:I725,$B731)+COUNTIF(G708:I725,$B731&amp;" ~*")&gt;0)+(IFERROR(INDEX(Setup!$G$33:$G$40,MATCH(K731,Setup!$B$33:$B$40,0)),0)=1)*(COUNTIF(K708:M725,$B731)+COUNTIF(K708:M725,$B731&amp;" ~*")&gt;0)+(IFERROR(INDEX(Setup!$G$33:$G$40,MATCH(O731,Setup!$B$33:$B$40,0)),0)=1)*(COUNTIF(O708:Q725,$B731)+COUNTIF(O708:Q725,$B731&amp;" ~*")&gt;0)+(IFERROR(INDEX(Setup!$G$33:$G$40,MATCH(S731,Setup!$B$33:$B$40,0)),0)=1)*(COUNTIF(S708:U725,$B731)+COUNTIF(S708:U725,$B731&amp;" ~*")&gt;0)+(IFERROR(INDEX(Setup!$G$33:$G$40,MATCH(W731,Setup!$B$33:$B$40,0)),0)=1)*(COUNTIF(W708:W725,$B731)+COUNTIF(W708:W725,$B731&amp;" ~*")&gt;0)+(IFERROR(INDEX(Setup!$G$33:$G$40,MATCH(Y731,Setup!$B$33:$B$40,0)),0)=1)*(COUNTIF(Y708:Y725,$B731)+COUNTIF(Y708:Y725,$B731&amp;" ~*")&gt;0))</f>
        <v/>
      </c>
    </row>
    <row r="732" ht="15" customHeight="1">
      <c r="A732" t="n">
        <v>15</v>
      </c>
      <c r="B732" s="37">
        <f>IF(Setup!$B$11="","",Setup!$B$11)</f>
        <v/>
      </c>
      <c r="C732" s="102" t="n"/>
      <c r="D732" s="103" t="n"/>
      <c r="E732" s="103" t="n"/>
      <c r="F732" s="104" t="n"/>
      <c r="G732" s="102" t="n"/>
      <c r="H732" s="103" t="n"/>
      <c r="I732" s="103" t="n"/>
      <c r="J732" s="104" t="n"/>
      <c r="K732" s="102" t="n"/>
      <c r="L732" s="103" t="n"/>
      <c r="M732" s="103" t="n"/>
      <c r="N732" s="104" t="n"/>
      <c r="O732" s="102" t="n"/>
      <c r="P732" s="103" t="n"/>
      <c r="Q732" s="103" t="n"/>
      <c r="R732" s="104" t="n"/>
      <c r="S732" s="102" t="n"/>
      <c r="T732" s="103" t="n"/>
      <c r="U732" s="103" t="n"/>
      <c r="V732" s="104" t="n"/>
      <c r="W732" s="102" t="n"/>
      <c r="X732" s="104" t="n"/>
      <c r="Y732" s="102" t="n"/>
      <c r="Z732" s="104" t="n"/>
      <c r="AB732" s="105">
        <f>IF($B732="","",(COUNTIF(C708:E725,$B732)+COUNTIF(C708:E725,$B732&amp;" ~*")&gt;0)+(COUNTIF(G708:I725,$B732)+COUNTIF(G708:I725,$B732&amp;" ~*")&gt;0)+(COUNTIF(K708:M725,$B732)+COUNTIF(K708:M725,$B732&amp;" ~*")&gt;0)+(COUNTIF(O708:Q725,$B732)+COUNTIF(O708:Q725,$B732&amp;" ~*")&gt;0)+(COUNTIF(S708:U725,$B732)+COUNTIF(S708:U725,$B732&amp;" ~*")&gt;0)+(COUNTIF(W708:W725,$B732)+COUNTIF(W708:W725,$B732&amp;" ~*")&gt;0)+(COUNTIF(Y708:Y725,$B732)+COUNTIF(Y708:Y725,$B732&amp;" ~*")&gt;0))</f>
        <v/>
      </c>
      <c r="AC732" s="38">
        <f>IF($B732="","",(IFERROR(INDEX(Setup!$G$33:$G$40,MATCH(C732,Setup!$B$33:$B$40,0)),0)=1)*(COUNTIF(C708:E725,$B732)+COUNTIF(C708:E725,$B732&amp;" ~*")&gt;0)+(IFERROR(INDEX(Setup!$G$33:$G$40,MATCH(G732,Setup!$B$33:$B$40,0)),0)=1)*(COUNTIF(G708:I725,$B732)+COUNTIF(G708:I725,$B732&amp;" ~*")&gt;0)+(IFERROR(INDEX(Setup!$G$33:$G$40,MATCH(K732,Setup!$B$33:$B$40,0)),0)=1)*(COUNTIF(K708:M725,$B732)+COUNTIF(K708:M725,$B732&amp;" ~*")&gt;0)+(IFERROR(INDEX(Setup!$G$33:$G$40,MATCH(O732,Setup!$B$33:$B$40,0)),0)=1)*(COUNTIF(O708:Q725,$B732)+COUNTIF(O708:Q725,$B732&amp;" ~*")&gt;0)+(IFERROR(INDEX(Setup!$G$33:$G$40,MATCH(S732,Setup!$B$33:$B$40,0)),0)=1)*(COUNTIF(S708:U725,$B732)+COUNTIF(S708:U725,$B732&amp;" ~*")&gt;0)+(IFERROR(INDEX(Setup!$G$33:$G$40,MATCH(W732,Setup!$B$33:$B$40,0)),0)=1)*(COUNTIF(W708:W725,$B732)+COUNTIF(W708:W725,$B732&amp;" ~*")&gt;0)+(IFERROR(INDEX(Setup!$G$33:$G$40,MATCH(Y732,Setup!$B$33:$B$40,0)),0)=1)*(COUNTIF(Y708:Y725,$B732)+COUNTIF(Y708:Y725,$B732&amp;" ~*")&gt;0))</f>
        <v/>
      </c>
    </row>
    <row r="733" ht="15" customHeight="1">
      <c r="A733" t="n">
        <v>15</v>
      </c>
      <c r="B733" s="35">
        <f>IF(Setup!$B$12="","",Setup!$B$12)</f>
        <v/>
      </c>
      <c r="C733" s="98" t="n"/>
      <c r="D733" s="99" t="n"/>
      <c r="E733" s="99" t="n"/>
      <c r="F733" s="100" t="n"/>
      <c r="G733" s="98" t="n"/>
      <c r="H733" s="99" t="n"/>
      <c r="I733" s="99" t="n"/>
      <c r="J733" s="100" t="n"/>
      <c r="K733" s="98" t="n"/>
      <c r="L733" s="99" t="n"/>
      <c r="M733" s="99" t="n"/>
      <c r="N733" s="100" t="n"/>
      <c r="O733" s="98" t="n"/>
      <c r="P733" s="99" t="n"/>
      <c r="Q733" s="99" t="n"/>
      <c r="R733" s="100" t="n"/>
      <c r="S733" s="98" t="n"/>
      <c r="T733" s="99" t="n"/>
      <c r="U733" s="99" t="n"/>
      <c r="V733" s="100" t="n"/>
      <c r="W733" s="98" t="n"/>
      <c r="X733" s="100" t="n"/>
      <c r="Y733" s="98" t="n"/>
      <c r="Z733" s="100" t="n"/>
      <c r="AB733" s="101">
        <f>IF($B733="","",(COUNTIF(C708:E725,$B733)+COUNTIF(C708:E725,$B733&amp;" ~*")&gt;0)+(COUNTIF(G708:I725,$B733)+COUNTIF(G708:I725,$B733&amp;" ~*")&gt;0)+(COUNTIF(K708:M725,$B733)+COUNTIF(K708:M725,$B733&amp;" ~*")&gt;0)+(COUNTIF(O708:Q725,$B733)+COUNTIF(O708:Q725,$B733&amp;" ~*")&gt;0)+(COUNTIF(S708:U725,$B733)+COUNTIF(S708:U725,$B733&amp;" ~*")&gt;0)+(COUNTIF(W708:W725,$B733)+COUNTIF(W708:W725,$B733&amp;" ~*")&gt;0)+(COUNTIF(Y708:Y725,$B733)+COUNTIF(Y708:Y725,$B733&amp;" ~*")&gt;0))</f>
        <v/>
      </c>
      <c r="AC733" s="36">
        <f>IF($B733="","",(IFERROR(INDEX(Setup!$G$33:$G$40,MATCH(C733,Setup!$B$33:$B$40,0)),0)=1)*(COUNTIF(C708:E725,$B733)+COUNTIF(C708:E725,$B733&amp;" ~*")&gt;0)+(IFERROR(INDEX(Setup!$G$33:$G$40,MATCH(G733,Setup!$B$33:$B$40,0)),0)=1)*(COUNTIF(G708:I725,$B733)+COUNTIF(G708:I725,$B733&amp;" ~*")&gt;0)+(IFERROR(INDEX(Setup!$G$33:$G$40,MATCH(K733,Setup!$B$33:$B$40,0)),0)=1)*(COUNTIF(K708:M725,$B733)+COUNTIF(K708:M725,$B733&amp;" ~*")&gt;0)+(IFERROR(INDEX(Setup!$G$33:$G$40,MATCH(O733,Setup!$B$33:$B$40,0)),0)=1)*(COUNTIF(O708:Q725,$B733)+COUNTIF(O708:Q725,$B733&amp;" ~*")&gt;0)+(IFERROR(INDEX(Setup!$G$33:$G$40,MATCH(S733,Setup!$B$33:$B$40,0)),0)=1)*(COUNTIF(S708:U725,$B733)+COUNTIF(S708:U725,$B733&amp;" ~*")&gt;0)+(IFERROR(INDEX(Setup!$G$33:$G$40,MATCH(W733,Setup!$B$33:$B$40,0)),0)=1)*(COUNTIF(W708:W725,$B733)+COUNTIF(W708:W725,$B733&amp;" ~*")&gt;0)+(IFERROR(INDEX(Setup!$G$33:$G$40,MATCH(Y733,Setup!$B$33:$B$40,0)),0)=1)*(COUNTIF(Y708:Y725,$B733)+COUNTIF(Y708:Y725,$B733&amp;" ~*")&gt;0))</f>
        <v/>
      </c>
    </row>
    <row r="734" ht="15" customHeight="1">
      <c r="A734" t="n">
        <v>15</v>
      </c>
      <c r="B734" s="37">
        <f>IF(Setup!$B$13="","",Setup!$B$13)</f>
        <v/>
      </c>
      <c r="C734" s="102" t="n"/>
      <c r="D734" s="103" t="n"/>
      <c r="E734" s="103" t="n"/>
      <c r="F734" s="104" t="n"/>
      <c r="G734" s="102" t="n"/>
      <c r="H734" s="103" t="n"/>
      <c r="I734" s="103" t="n"/>
      <c r="J734" s="104" t="n"/>
      <c r="K734" s="102" t="n"/>
      <c r="L734" s="103" t="n"/>
      <c r="M734" s="103" t="n"/>
      <c r="N734" s="104" t="n"/>
      <c r="O734" s="102" t="n"/>
      <c r="P734" s="103" t="n"/>
      <c r="Q734" s="103" t="n"/>
      <c r="R734" s="104" t="n"/>
      <c r="S734" s="102" t="n"/>
      <c r="T734" s="103" t="n"/>
      <c r="U734" s="103" t="n"/>
      <c r="V734" s="104" t="n"/>
      <c r="W734" s="102" t="n"/>
      <c r="X734" s="104" t="n"/>
      <c r="Y734" s="102" t="n"/>
      <c r="Z734" s="104" t="n"/>
      <c r="AB734" s="105">
        <f>IF($B734="","",(COUNTIF(C708:E725,$B734)+COUNTIF(C708:E725,$B734&amp;" ~*")&gt;0)+(COUNTIF(G708:I725,$B734)+COUNTIF(G708:I725,$B734&amp;" ~*")&gt;0)+(COUNTIF(K708:M725,$B734)+COUNTIF(K708:M725,$B734&amp;" ~*")&gt;0)+(COUNTIF(O708:Q725,$B734)+COUNTIF(O708:Q725,$B734&amp;" ~*")&gt;0)+(COUNTIF(S708:U725,$B734)+COUNTIF(S708:U725,$B734&amp;" ~*")&gt;0)+(COUNTIF(W708:W725,$B734)+COUNTIF(W708:W725,$B734&amp;" ~*")&gt;0)+(COUNTIF(Y708:Y725,$B734)+COUNTIF(Y708:Y725,$B734&amp;" ~*")&gt;0))</f>
        <v/>
      </c>
      <c r="AC734" s="38">
        <f>IF($B734="","",(IFERROR(INDEX(Setup!$G$33:$G$40,MATCH(C734,Setup!$B$33:$B$40,0)),0)=1)*(COUNTIF(C708:E725,$B734)+COUNTIF(C708:E725,$B734&amp;" ~*")&gt;0)+(IFERROR(INDEX(Setup!$G$33:$G$40,MATCH(G734,Setup!$B$33:$B$40,0)),0)=1)*(COUNTIF(G708:I725,$B734)+COUNTIF(G708:I725,$B734&amp;" ~*")&gt;0)+(IFERROR(INDEX(Setup!$G$33:$G$40,MATCH(K734,Setup!$B$33:$B$40,0)),0)=1)*(COUNTIF(K708:M725,$B734)+COUNTIF(K708:M725,$B734&amp;" ~*")&gt;0)+(IFERROR(INDEX(Setup!$G$33:$G$40,MATCH(O734,Setup!$B$33:$B$40,0)),0)=1)*(COUNTIF(O708:Q725,$B734)+COUNTIF(O708:Q725,$B734&amp;" ~*")&gt;0)+(IFERROR(INDEX(Setup!$G$33:$G$40,MATCH(S734,Setup!$B$33:$B$40,0)),0)=1)*(COUNTIF(S708:U725,$B734)+COUNTIF(S708:U725,$B734&amp;" ~*")&gt;0)+(IFERROR(INDEX(Setup!$G$33:$G$40,MATCH(W734,Setup!$B$33:$B$40,0)),0)=1)*(COUNTIF(W708:W725,$B734)+COUNTIF(W708:W725,$B734&amp;" ~*")&gt;0)+(IFERROR(INDEX(Setup!$G$33:$G$40,MATCH(Y734,Setup!$B$33:$B$40,0)),0)=1)*(COUNTIF(Y708:Y725,$B734)+COUNTIF(Y708:Y725,$B734&amp;" ~*")&gt;0))</f>
        <v/>
      </c>
    </row>
    <row r="735" ht="15" customHeight="1">
      <c r="A735" t="n">
        <v>15</v>
      </c>
      <c r="B735" s="35">
        <f>IF(Setup!$B$14="","",Setup!$B$14)</f>
        <v/>
      </c>
      <c r="C735" s="98" t="n"/>
      <c r="D735" s="99" t="n"/>
      <c r="E735" s="99" t="n"/>
      <c r="F735" s="100" t="n"/>
      <c r="G735" s="98" t="n"/>
      <c r="H735" s="99" t="n"/>
      <c r="I735" s="99" t="n"/>
      <c r="J735" s="100" t="n"/>
      <c r="K735" s="98" t="n"/>
      <c r="L735" s="99" t="n"/>
      <c r="M735" s="99" t="n"/>
      <c r="N735" s="100" t="n"/>
      <c r="O735" s="98" t="n"/>
      <c r="P735" s="99" t="n"/>
      <c r="Q735" s="99" t="n"/>
      <c r="R735" s="100" t="n"/>
      <c r="S735" s="98" t="n"/>
      <c r="T735" s="99" t="n"/>
      <c r="U735" s="99" t="n"/>
      <c r="V735" s="100" t="n"/>
      <c r="W735" s="98" t="n"/>
      <c r="X735" s="100" t="n"/>
      <c r="Y735" s="98" t="n"/>
      <c r="Z735" s="100" t="n"/>
      <c r="AB735" s="101">
        <f>IF($B735="","",(COUNTIF(C708:E725,$B735)+COUNTIF(C708:E725,$B735&amp;" ~*")&gt;0)+(COUNTIF(G708:I725,$B735)+COUNTIF(G708:I725,$B735&amp;" ~*")&gt;0)+(COUNTIF(K708:M725,$B735)+COUNTIF(K708:M725,$B735&amp;" ~*")&gt;0)+(COUNTIF(O708:Q725,$B735)+COUNTIF(O708:Q725,$B735&amp;" ~*")&gt;0)+(COUNTIF(S708:U725,$B735)+COUNTIF(S708:U725,$B735&amp;" ~*")&gt;0)+(COUNTIF(W708:W725,$B735)+COUNTIF(W708:W725,$B735&amp;" ~*")&gt;0)+(COUNTIF(Y708:Y725,$B735)+COUNTIF(Y708:Y725,$B735&amp;" ~*")&gt;0))</f>
        <v/>
      </c>
      <c r="AC735" s="36">
        <f>IF($B735="","",(IFERROR(INDEX(Setup!$G$33:$G$40,MATCH(C735,Setup!$B$33:$B$40,0)),0)=1)*(COUNTIF(C708:E725,$B735)+COUNTIF(C708:E725,$B735&amp;" ~*")&gt;0)+(IFERROR(INDEX(Setup!$G$33:$G$40,MATCH(G735,Setup!$B$33:$B$40,0)),0)=1)*(COUNTIF(G708:I725,$B735)+COUNTIF(G708:I725,$B735&amp;" ~*")&gt;0)+(IFERROR(INDEX(Setup!$G$33:$G$40,MATCH(K735,Setup!$B$33:$B$40,0)),0)=1)*(COUNTIF(K708:M725,$B735)+COUNTIF(K708:M725,$B735&amp;" ~*")&gt;0)+(IFERROR(INDEX(Setup!$G$33:$G$40,MATCH(O735,Setup!$B$33:$B$40,0)),0)=1)*(COUNTIF(O708:Q725,$B735)+COUNTIF(O708:Q725,$B735&amp;" ~*")&gt;0)+(IFERROR(INDEX(Setup!$G$33:$G$40,MATCH(S735,Setup!$B$33:$B$40,0)),0)=1)*(COUNTIF(S708:U725,$B735)+COUNTIF(S708:U725,$B735&amp;" ~*")&gt;0)+(IFERROR(INDEX(Setup!$G$33:$G$40,MATCH(W735,Setup!$B$33:$B$40,0)),0)=1)*(COUNTIF(W708:W725,$B735)+COUNTIF(W708:W725,$B735&amp;" ~*")&gt;0)+(IFERROR(INDEX(Setup!$G$33:$G$40,MATCH(Y735,Setup!$B$33:$B$40,0)),0)=1)*(COUNTIF(Y708:Y725,$B735)+COUNTIF(Y708:Y725,$B735&amp;" ~*")&gt;0))</f>
        <v/>
      </c>
    </row>
    <row r="736" ht="15" customHeight="1">
      <c r="A736" t="n">
        <v>15</v>
      </c>
      <c r="B736" s="37">
        <f>IF(Setup!$B$15="","",Setup!$B$15)</f>
        <v/>
      </c>
      <c r="C736" s="102" t="n"/>
      <c r="D736" s="103" t="n"/>
      <c r="E736" s="103" t="n"/>
      <c r="F736" s="104" t="n"/>
      <c r="G736" s="102" t="n"/>
      <c r="H736" s="103" t="n"/>
      <c r="I736" s="103" t="n"/>
      <c r="J736" s="104" t="n"/>
      <c r="K736" s="102" t="n"/>
      <c r="L736" s="103" t="n"/>
      <c r="M736" s="103" t="n"/>
      <c r="N736" s="104" t="n"/>
      <c r="O736" s="102" t="n"/>
      <c r="P736" s="103" t="n"/>
      <c r="Q736" s="103" t="n"/>
      <c r="R736" s="104" t="n"/>
      <c r="S736" s="102" t="n"/>
      <c r="T736" s="103" t="n"/>
      <c r="U736" s="103" t="n"/>
      <c r="V736" s="104" t="n"/>
      <c r="W736" s="102" t="n"/>
      <c r="X736" s="104" t="n"/>
      <c r="Y736" s="102" t="n"/>
      <c r="Z736" s="104" t="n"/>
      <c r="AB736" s="105">
        <f>IF($B736="","",(COUNTIF(C708:E725,$B736)+COUNTIF(C708:E725,$B736&amp;" ~*")&gt;0)+(COUNTIF(G708:I725,$B736)+COUNTIF(G708:I725,$B736&amp;" ~*")&gt;0)+(COUNTIF(K708:M725,$B736)+COUNTIF(K708:M725,$B736&amp;" ~*")&gt;0)+(COUNTIF(O708:Q725,$B736)+COUNTIF(O708:Q725,$B736&amp;" ~*")&gt;0)+(COUNTIF(S708:U725,$B736)+COUNTIF(S708:U725,$B736&amp;" ~*")&gt;0)+(COUNTIF(W708:W725,$B736)+COUNTIF(W708:W725,$B736&amp;" ~*")&gt;0)+(COUNTIF(Y708:Y725,$B736)+COUNTIF(Y708:Y725,$B736&amp;" ~*")&gt;0))</f>
        <v/>
      </c>
      <c r="AC736" s="38">
        <f>IF($B736="","",(IFERROR(INDEX(Setup!$G$33:$G$40,MATCH(C736,Setup!$B$33:$B$40,0)),0)=1)*(COUNTIF(C708:E725,$B736)+COUNTIF(C708:E725,$B736&amp;" ~*")&gt;0)+(IFERROR(INDEX(Setup!$G$33:$G$40,MATCH(G736,Setup!$B$33:$B$40,0)),0)=1)*(COUNTIF(G708:I725,$B736)+COUNTIF(G708:I725,$B736&amp;" ~*")&gt;0)+(IFERROR(INDEX(Setup!$G$33:$G$40,MATCH(K736,Setup!$B$33:$B$40,0)),0)=1)*(COUNTIF(K708:M725,$B736)+COUNTIF(K708:M725,$B736&amp;" ~*")&gt;0)+(IFERROR(INDEX(Setup!$G$33:$G$40,MATCH(O736,Setup!$B$33:$B$40,0)),0)=1)*(COUNTIF(O708:Q725,$B736)+COUNTIF(O708:Q725,$B736&amp;" ~*")&gt;0)+(IFERROR(INDEX(Setup!$G$33:$G$40,MATCH(S736,Setup!$B$33:$B$40,0)),0)=1)*(COUNTIF(S708:U725,$B736)+COUNTIF(S708:U725,$B736&amp;" ~*")&gt;0)+(IFERROR(INDEX(Setup!$G$33:$G$40,MATCH(W736,Setup!$B$33:$B$40,0)),0)=1)*(COUNTIF(W708:W725,$B736)+COUNTIF(W708:W725,$B736&amp;" ~*")&gt;0)+(IFERROR(INDEX(Setup!$G$33:$G$40,MATCH(Y736,Setup!$B$33:$B$40,0)),0)=1)*(COUNTIF(Y708:Y725,$B736)+COUNTIF(Y708:Y725,$B736&amp;" ~*")&gt;0))</f>
        <v/>
      </c>
    </row>
    <row r="737" ht="15" customHeight="1">
      <c r="A737" t="n">
        <v>15</v>
      </c>
      <c r="B737" s="35">
        <f>IF(Setup!$B$16="","",Setup!$B$16)</f>
        <v/>
      </c>
      <c r="C737" s="98" t="n"/>
      <c r="D737" s="99" t="n"/>
      <c r="E737" s="99" t="n"/>
      <c r="F737" s="100" t="n"/>
      <c r="G737" s="98" t="n"/>
      <c r="H737" s="99" t="n"/>
      <c r="I737" s="99" t="n"/>
      <c r="J737" s="100" t="n"/>
      <c r="K737" s="98" t="n"/>
      <c r="L737" s="99" t="n"/>
      <c r="M737" s="99" t="n"/>
      <c r="N737" s="100" t="n"/>
      <c r="O737" s="98" t="n"/>
      <c r="P737" s="99" t="n"/>
      <c r="Q737" s="99" t="n"/>
      <c r="R737" s="100" t="n"/>
      <c r="S737" s="98" t="n"/>
      <c r="T737" s="99" t="n"/>
      <c r="U737" s="99" t="n"/>
      <c r="V737" s="100" t="n"/>
      <c r="W737" s="98" t="n"/>
      <c r="X737" s="100" t="n"/>
      <c r="Y737" s="98" t="n"/>
      <c r="Z737" s="100" t="n"/>
      <c r="AB737" s="101">
        <f>IF($B737="","",(COUNTIF(C708:E725,$B737)+COUNTIF(C708:E725,$B737&amp;" ~*")&gt;0)+(COUNTIF(G708:I725,$B737)+COUNTIF(G708:I725,$B737&amp;" ~*")&gt;0)+(COUNTIF(K708:M725,$B737)+COUNTIF(K708:M725,$B737&amp;" ~*")&gt;0)+(COUNTIF(O708:Q725,$B737)+COUNTIF(O708:Q725,$B737&amp;" ~*")&gt;0)+(COUNTIF(S708:U725,$B737)+COUNTIF(S708:U725,$B737&amp;" ~*")&gt;0)+(COUNTIF(W708:W725,$B737)+COUNTIF(W708:W725,$B737&amp;" ~*")&gt;0)+(COUNTIF(Y708:Y725,$B737)+COUNTIF(Y708:Y725,$B737&amp;" ~*")&gt;0))</f>
        <v/>
      </c>
      <c r="AC737" s="36">
        <f>IF($B737="","",(IFERROR(INDEX(Setup!$G$33:$G$40,MATCH(C737,Setup!$B$33:$B$40,0)),0)=1)*(COUNTIF(C708:E725,$B737)+COUNTIF(C708:E725,$B737&amp;" ~*")&gt;0)+(IFERROR(INDEX(Setup!$G$33:$G$40,MATCH(G737,Setup!$B$33:$B$40,0)),0)=1)*(COUNTIF(G708:I725,$B737)+COUNTIF(G708:I725,$B737&amp;" ~*")&gt;0)+(IFERROR(INDEX(Setup!$G$33:$G$40,MATCH(K737,Setup!$B$33:$B$40,0)),0)=1)*(COUNTIF(K708:M725,$B737)+COUNTIF(K708:M725,$B737&amp;" ~*")&gt;0)+(IFERROR(INDEX(Setup!$G$33:$G$40,MATCH(O737,Setup!$B$33:$B$40,0)),0)=1)*(COUNTIF(O708:Q725,$B737)+COUNTIF(O708:Q725,$B737&amp;" ~*")&gt;0)+(IFERROR(INDEX(Setup!$G$33:$G$40,MATCH(S737,Setup!$B$33:$B$40,0)),0)=1)*(COUNTIF(S708:U725,$B737)+COUNTIF(S708:U725,$B737&amp;" ~*")&gt;0)+(IFERROR(INDEX(Setup!$G$33:$G$40,MATCH(W737,Setup!$B$33:$B$40,0)),0)=1)*(COUNTIF(W708:W725,$B737)+COUNTIF(W708:W725,$B737&amp;" ~*")&gt;0)+(IFERROR(INDEX(Setup!$G$33:$G$40,MATCH(Y737,Setup!$B$33:$B$40,0)),0)=1)*(COUNTIF(Y708:Y725,$B737)+COUNTIF(Y708:Y725,$B737&amp;" ~*")&gt;0))</f>
        <v/>
      </c>
    </row>
    <row r="738" ht="15" customHeight="1">
      <c r="A738" t="n">
        <v>15</v>
      </c>
      <c r="B738" s="37">
        <f>IF(Setup!$B$17="","",Setup!$B$17)</f>
        <v/>
      </c>
      <c r="C738" s="102" t="n"/>
      <c r="D738" s="103" t="n"/>
      <c r="E738" s="103" t="n"/>
      <c r="F738" s="104" t="n"/>
      <c r="G738" s="102" t="n"/>
      <c r="H738" s="103" t="n"/>
      <c r="I738" s="103" t="n"/>
      <c r="J738" s="104" t="n"/>
      <c r="K738" s="102" t="n"/>
      <c r="L738" s="103" t="n"/>
      <c r="M738" s="103" t="n"/>
      <c r="N738" s="104" t="n"/>
      <c r="O738" s="102" t="n"/>
      <c r="P738" s="103" t="n"/>
      <c r="Q738" s="103" t="n"/>
      <c r="R738" s="104" t="n"/>
      <c r="S738" s="102" t="n"/>
      <c r="T738" s="103" t="n"/>
      <c r="U738" s="103" t="n"/>
      <c r="V738" s="104" t="n"/>
      <c r="W738" s="102" t="n"/>
      <c r="X738" s="104" t="n"/>
      <c r="Y738" s="102" t="n"/>
      <c r="Z738" s="104" t="n"/>
      <c r="AB738" s="105">
        <f>IF($B738="","",(COUNTIF(C708:E725,$B738)+COUNTIF(C708:E725,$B738&amp;" ~*")&gt;0)+(COUNTIF(G708:I725,$B738)+COUNTIF(G708:I725,$B738&amp;" ~*")&gt;0)+(COUNTIF(K708:M725,$B738)+COUNTIF(K708:M725,$B738&amp;" ~*")&gt;0)+(COUNTIF(O708:Q725,$B738)+COUNTIF(O708:Q725,$B738&amp;" ~*")&gt;0)+(COUNTIF(S708:U725,$B738)+COUNTIF(S708:U725,$B738&amp;" ~*")&gt;0)+(COUNTIF(W708:W725,$B738)+COUNTIF(W708:W725,$B738&amp;" ~*")&gt;0)+(COUNTIF(Y708:Y725,$B738)+COUNTIF(Y708:Y725,$B738&amp;" ~*")&gt;0))</f>
        <v/>
      </c>
      <c r="AC738" s="38">
        <f>IF($B738="","",(IFERROR(INDEX(Setup!$G$33:$G$40,MATCH(C738,Setup!$B$33:$B$40,0)),0)=1)*(COUNTIF(C708:E725,$B738)+COUNTIF(C708:E725,$B738&amp;" ~*")&gt;0)+(IFERROR(INDEX(Setup!$G$33:$G$40,MATCH(G738,Setup!$B$33:$B$40,0)),0)=1)*(COUNTIF(G708:I725,$B738)+COUNTIF(G708:I725,$B738&amp;" ~*")&gt;0)+(IFERROR(INDEX(Setup!$G$33:$G$40,MATCH(K738,Setup!$B$33:$B$40,0)),0)=1)*(COUNTIF(K708:M725,$B738)+COUNTIF(K708:M725,$B738&amp;" ~*")&gt;0)+(IFERROR(INDEX(Setup!$G$33:$G$40,MATCH(O738,Setup!$B$33:$B$40,0)),0)=1)*(COUNTIF(O708:Q725,$B738)+COUNTIF(O708:Q725,$B738&amp;" ~*")&gt;0)+(IFERROR(INDEX(Setup!$G$33:$G$40,MATCH(S738,Setup!$B$33:$B$40,0)),0)=1)*(COUNTIF(S708:U725,$B738)+COUNTIF(S708:U725,$B738&amp;" ~*")&gt;0)+(IFERROR(INDEX(Setup!$G$33:$G$40,MATCH(W738,Setup!$B$33:$B$40,0)),0)=1)*(COUNTIF(W708:W725,$B738)+COUNTIF(W708:W725,$B738&amp;" ~*")&gt;0)+(IFERROR(INDEX(Setup!$G$33:$G$40,MATCH(Y738,Setup!$B$33:$B$40,0)),0)=1)*(COUNTIF(Y708:Y725,$B738)+COUNTIF(Y708:Y725,$B738&amp;" ~*")&gt;0))</f>
        <v/>
      </c>
    </row>
    <row r="739" ht="15" customHeight="1">
      <c r="A739" t="n">
        <v>15</v>
      </c>
      <c r="B739" s="35">
        <f>IF(Setup!$B$18="","",Setup!$B$18)</f>
        <v/>
      </c>
      <c r="C739" s="98" t="n"/>
      <c r="D739" s="99" t="n"/>
      <c r="E739" s="99" t="n"/>
      <c r="F739" s="100" t="n"/>
      <c r="G739" s="98" t="n"/>
      <c r="H739" s="99" t="n"/>
      <c r="I739" s="99" t="n"/>
      <c r="J739" s="100" t="n"/>
      <c r="K739" s="98" t="n"/>
      <c r="L739" s="99" t="n"/>
      <c r="M739" s="99" t="n"/>
      <c r="N739" s="100" t="n"/>
      <c r="O739" s="98" t="n"/>
      <c r="P739" s="99" t="n"/>
      <c r="Q739" s="99" t="n"/>
      <c r="R739" s="100" t="n"/>
      <c r="S739" s="98" t="n"/>
      <c r="T739" s="99" t="n"/>
      <c r="U739" s="99" t="n"/>
      <c r="V739" s="100" t="n"/>
      <c r="W739" s="98" t="n"/>
      <c r="X739" s="100" t="n"/>
      <c r="Y739" s="98" t="n"/>
      <c r="Z739" s="100" t="n"/>
      <c r="AB739" s="101">
        <f>IF($B739="","",(COUNTIF(C708:E725,$B739)+COUNTIF(C708:E725,$B739&amp;" ~*")&gt;0)+(COUNTIF(G708:I725,$B739)+COUNTIF(G708:I725,$B739&amp;" ~*")&gt;0)+(COUNTIF(K708:M725,$B739)+COUNTIF(K708:M725,$B739&amp;" ~*")&gt;0)+(COUNTIF(O708:Q725,$B739)+COUNTIF(O708:Q725,$B739&amp;" ~*")&gt;0)+(COUNTIF(S708:U725,$B739)+COUNTIF(S708:U725,$B739&amp;" ~*")&gt;0)+(COUNTIF(W708:W725,$B739)+COUNTIF(W708:W725,$B739&amp;" ~*")&gt;0)+(COUNTIF(Y708:Y725,$B739)+COUNTIF(Y708:Y725,$B739&amp;" ~*")&gt;0))</f>
        <v/>
      </c>
      <c r="AC739" s="36">
        <f>IF($B739="","",(IFERROR(INDEX(Setup!$G$33:$G$40,MATCH(C739,Setup!$B$33:$B$40,0)),0)=1)*(COUNTIF(C708:E725,$B739)+COUNTIF(C708:E725,$B739&amp;" ~*")&gt;0)+(IFERROR(INDEX(Setup!$G$33:$G$40,MATCH(G739,Setup!$B$33:$B$40,0)),0)=1)*(COUNTIF(G708:I725,$B739)+COUNTIF(G708:I725,$B739&amp;" ~*")&gt;0)+(IFERROR(INDEX(Setup!$G$33:$G$40,MATCH(K739,Setup!$B$33:$B$40,0)),0)=1)*(COUNTIF(K708:M725,$B739)+COUNTIF(K708:M725,$B739&amp;" ~*")&gt;0)+(IFERROR(INDEX(Setup!$G$33:$G$40,MATCH(O739,Setup!$B$33:$B$40,0)),0)=1)*(COUNTIF(O708:Q725,$B739)+COUNTIF(O708:Q725,$B739&amp;" ~*")&gt;0)+(IFERROR(INDEX(Setup!$G$33:$G$40,MATCH(S739,Setup!$B$33:$B$40,0)),0)=1)*(COUNTIF(S708:U725,$B739)+COUNTIF(S708:U725,$B739&amp;" ~*")&gt;0)+(IFERROR(INDEX(Setup!$G$33:$G$40,MATCH(W739,Setup!$B$33:$B$40,0)),0)=1)*(COUNTIF(W708:W725,$B739)+COUNTIF(W708:W725,$B739&amp;" ~*")&gt;0)+(IFERROR(INDEX(Setup!$G$33:$G$40,MATCH(Y739,Setup!$B$33:$B$40,0)),0)=1)*(COUNTIF(Y708:Y725,$B739)+COUNTIF(Y708:Y725,$B739&amp;" ~*")&gt;0))</f>
        <v/>
      </c>
    </row>
    <row r="740" ht="15" customHeight="1">
      <c r="A740" t="n">
        <v>15</v>
      </c>
      <c r="B740" s="37">
        <f>IF(Setup!$B$19="","",Setup!$B$19)</f>
        <v/>
      </c>
      <c r="C740" s="102" t="n"/>
      <c r="D740" s="103" t="n"/>
      <c r="E740" s="103" t="n"/>
      <c r="F740" s="104" t="n"/>
      <c r="G740" s="102" t="n"/>
      <c r="H740" s="103" t="n"/>
      <c r="I740" s="103" t="n"/>
      <c r="J740" s="104" t="n"/>
      <c r="K740" s="102" t="n"/>
      <c r="L740" s="103" t="n"/>
      <c r="M740" s="103" t="n"/>
      <c r="N740" s="104" t="n"/>
      <c r="O740" s="102" t="n"/>
      <c r="P740" s="103" t="n"/>
      <c r="Q740" s="103" t="n"/>
      <c r="R740" s="104" t="n"/>
      <c r="S740" s="102" t="n"/>
      <c r="T740" s="103" t="n"/>
      <c r="U740" s="103" t="n"/>
      <c r="V740" s="104" t="n"/>
      <c r="W740" s="102" t="n"/>
      <c r="X740" s="104" t="n"/>
      <c r="Y740" s="102" t="n"/>
      <c r="Z740" s="104" t="n"/>
      <c r="AB740" s="105">
        <f>IF($B740="","",(COUNTIF(C708:E725,$B740)+COUNTIF(C708:E725,$B740&amp;" ~*")&gt;0)+(COUNTIF(G708:I725,$B740)+COUNTIF(G708:I725,$B740&amp;" ~*")&gt;0)+(COUNTIF(K708:M725,$B740)+COUNTIF(K708:M725,$B740&amp;" ~*")&gt;0)+(COUNTIF(O708:Q725,$B740)+COUNTIF(O708:Q725,$B740&amp;" ~*")&gt;0)+(COUNTIF(S708:U725,$B740)+COUNTIF(S708:U725,$B740&amp;" ~*")&gt;0)+(COUNTIF(W708:W725,$B740)+COUNTIF(W708:W725,$B740&amp;" ~*")&gt;0)+(COUNTIF(Y708:Y725,$B740)+COUNTIF(Y708:Y725,$B740&amp;" ~*")&gt;0))</f>
        <v/>
      </c>
      <c r="AC740" s="38">
        <f>IF($B740="","",(IFERROR(INDEX(Setup!$G$33:$G$40,MATCH(C740,Setup!$B$33:$B$40,0)),0)=1)*(COUNTIF(C708:E725,$B740)+COUNTIF(C708:E725,$B740&amp;" ~*")&gt;0)+(IFERROR(INDEX(Setup!$G$33:$G$40,MATCH(G740,Setup!$B$33:$B$40,0)),0)=1)*(COUNTIF(G708:I725,$B740)+COUNTIF(G708:I725,$B740&amp;" ~*")&gt;0)+(IFERROR(INDEX(Setup!$G$33:$G$40,MATCH(K740,Setup!$B$33:$B$40,0)),0)=1)*(COUNTIF(K708:M725,$B740)+COUNTIF(K708:M725,$B740&amp;" ~*")&gt;0)+(IFERROR(INDEX(Setup!$G$33:$G$40,MATCH(O740,Setup!$B$33:$B$40,0)),0)=1)*(COUNTIF(O708:Q725,$B740)+COUNTIF(O708:Q725,$B740&amp;" ~*")&gt;0)+(IFERROR(INDEX(Setup!$G$33:$G$40,MATCH(S740,Setup!$B$33:$B$40,0)),0)=1)*(COUNTIF(S708:U725,$B740)+COUNTIF(S708:U725,$B740&amp;" ~*")&gt;0)+(IFERROR(INDEX(Setup!$G$33:$G$40,MATCH(W740,Setup!$B$33:$B$40,0)),0)=1)*(COUNTIF(W708:W725,$B740)+COUNTIF(W708:W725,$B740&amp;" ~*")&gt;0)+(IFERROR(INDEX(Setup!$G$33:$G$40,MATCH(Y740,Setup!$B$33:$B$40,0)),0)=1)*(COUNTIF(Y708:Y725,$B740)+COUNTIF(Y708:Y725,$B740&amp;" ~*")&gt;0))</f>
        <v/>
      </c>
    </row>
    <row r="741" ht="15" customHeight="1">
      <c r="A741" t="n">
        <v>15</v>
      </c>
      <c r="B741" s="35">
        <f>IF(Setup!$B$20="","",Setup!$B$20)</f>
        <v/>
      </c>
      <c r="C741" s="98" t="n"/>
      <c r="D741" s="99" t="n"/>
      <c r="E741" s="99" t="n"/>
      <c r="F741" s="100" t="n"/>
      <c r="G741" s="98" t="n"/>
      <c r="H741" s="99" t="n"/>
      <c r="I741" s="99" t="n"/>
      <c r="J741" s="100" t="n"/>
      <c r="K741" s="98" t="n"/>
      <c r="L741" s="99" t="n"/>
      <c r="M741" s="99" t="n"/>
      <c r="N741" s="100" t="n"/>
      <c r="O741" s="98" t="n"/>
      <c r="P741" s="99" t="n"/>
      <c r="Q741" s="99" t="n"/>
      <c r="R741" s="100" t="n"/>
      <c r="S741" s="98" t="n"/>
      <c r="T741" s="99" t="n"/>
      <c r="U741" s="99" t="n"/>
      <c r="V741" s="100" t="n"/>
      <c r="W741" s="98" t="n"/>
      <c r="X741" s="100" t="n"/>
      <c r="Y741" s="98" t="n"/>
      <c r="Z741" s="100" t="n"/>
      <c r="AB741" s="101">
        <f>IF($B741="","",(COUNTIF(C708:E725,$B741)+COUNTIF(C708:E725,$B741&amp;" ~*")&gt;0)+(COUNTIF(G708:I725,$B741)+COUNTIF(G708:I725,$B741&amp;" ~*")&gt;0)+(COUNTIF(K708:M725,$B741)+COUNTIF(K708:M725,$B741&amp;" ~*")&gt;0)+(COUNTIF(O708:Q725,$B741)+COUNTIF(O708:Q725,$B741&amp;" ~*")&gt;0)+(COUNTIF(S708:U725,$B741)+COUNTIF(S708:U725,$B741&amp;" ~*")&gt;0)+(COUNTIF(W708:W725,$B741)+COUNTIF(W708:W725,$B741&amp;" ~*")&gt;0)+(COUNTIF(Y708:Y725,$B741)+COUNTIF(Y708:Y725,$B741&amp;" ~*")&gt;0))</f>
        <v/>
      </c>
      <c r="AC741" s="36">
        <f>IF($B741="","",(IFERROR(INDEX(Setup!$G$33:$G$40,MATCH(C741,Setup!$B$33:$B$40,0)),0)=1)*(COUNTIF(C708:E725,$B741)+COUNTIF(C708:E725,$B741&amp;" ~*")&gt;0)+(IFERROR(INDEX(Setup!$G$33:$G$40,MATCH(G741,Setup!$B$33:$B$40,0)),0)=1)*(COUNTIF(G708:I725,$B741)+COUNTIF(G708:I725,$B741&amp;" ~*")&gt;0)+(IFERROR(INDEX(Setup!$G$33:$G$40,MATCH(K741,Setup!$B$33:$B$40,0)),0)=1)*(COUNTIF(K708:M725,$B741)+COUNTIF(K708:M725,$B741&amp;" ~*")&gt;0)+(IFERROR(INDEX(Setup!$G$33:$G$40,MATCH(O741,Setup!$B$33:$B$40,0)),0)=1)*(COUNTIF(O708:Q725,$B741)+COUNTIF(O708:Q725,$B741&amp;" ~*")&gt;0)+(IFERROR(INDEX(Setup!$G$33:$G$40,MATCH(S741,Setup!$B$33:$B$40,0)),0)=1)*(COUNTIF(S708:U725,$B741)+COUNTIF(S708:U725,$B741&amp;" ~*")&gt;0)+(IFERROR(INDEX(Setup!$G$33:$G$40,MATCH(W741,Setup!$B$33:$B$40,0)),0)=1)*(COUNTIF(W708:W725,$B741)+COUNTIF(W708:W725,$B741&amp;" ~*")&gt;0)+(IFERROR(INDEX(Setup!$G$33:$G$40,MATCH(Y741,Setup!$B$33:$B$40,0)),0)=1)*(COUNTIF(Y708:Y725,$B741)+COUNTIF(Y708:Y725,$B741&amp;" ~*")&gt;0))</f>
        <v/>
      </c>
    </row>
    <row r="742" ht="15" customHeight="1">
      <c r="A742" t="n">
        <v>15</v>
      </c>
      <c r="B742" s="37">
        <f>IF(Setup!$B$21="","",Setup!$B$21)</f>
        <v/>
      </c>
      <c r="C742" s="102" t="n"/>
      <c r="D742" s="103" t="n"/>
      <c r="E742" s="103" t="n"/>
      <c r="F742" s="104" t="n"/>
      <c r="G742" s="102" t="n"/>
      <c r="H742" s="103" t="n"/>
      <c r="I742" s="103" t="n"/>
      <c r="J742" s="104" t="n"/>
      <c r="K742" s="102" t="n"/>
      <c r="L742" s="103" t="n"/>
      <c r="M742" s="103" t="n"/>
      <c r="N742" s="104" t="n"/>
      <c r="O742" s="102" t="n"/>
      <c r="P742" s="103" t="n"/>
      <c r="Q742" s="103" t="n"/>
      <c r="R742" s="104" t="n"/>
      <c r="S742" s="102" t="n"/>
      <c r="T742" s="103" t="n"/>
      <c r="U742" s="103" t="n"/>
      <c r="V742" s="104" t="n"/>
      <c r="W742" s="102" t="n"/>
      <c r="X742" s="104" t="n"/>
      <c r="Y742" s="102" t="n"/>
      <c r="Z742" s="104" t="n"/>
      <c r="AB742" s="105">
        <f>IF($B742="","",(COUNTIF(C708:E725,$B742)+COUNTIF(C708:E725,$B742&amp;" ~*")&gt;0)+(COUNTIF(G708:I725,$B742)+COUNTIF(G708:I725,$B742&amp;" ~*")&gt;0)+(COUNTIF(K708:M725,$B742)+COUNTIF(K708:M725,$B742&amp;" ~*")&gt;0)+(COUNTIF(O708:Q725,$B742)+COUNTIF(O708:Q725,$B742&amp;" ~*")&gt;0)+(COUNTIF(S708:U725,$B742)+COUNTIF(S708:U725,$B742&amp;" ~*")&gt;0)+(COUNTIF(W708:W725,$B742)+COUNTIF(W708:W725,$B742&amp;" ~*")&gt;0)+(COUNTIF(Y708:Y725,$B742)+COUNTIF(Y708:Y725,$B742&amp;" ~*")&gt;0))</f>
        <v/>
      </c>
      <c r="AC742" s="38">
        <f>IF($B742="","",(IFERROR(INDEX(Setup!$G$33:$G$40,MATCH(C742,Setup!$B$33:$B$40,0)),0)=1)*(COUNTIF(C708:E725,$B742)+COUNTIF(C708:E725,$B742&amp;" ~*")&gt;0)+(IFERROR(INDEX(Setup!$G$33:$G$40,MATCH(G742,Setup!$B$33:$B$40,0)),0)=1)*(COUNTIF(G708:I725,$B742)+COUNTIF(G708:I725,$B742&amp;" ~*")&gt;0)+(IFERROR(INDEX(Setup!$G$33:$G$40,MATCH(K742,Setup!$B$33:$B$40,0)),0)=1)*(COUNTIF(K708:M725,$B742)+COUNTIF(K708:M725,$B742&amp;" ~*")&gt;0)+(IFERROR(INDEX(Setup!$G$33:$G$40,MATCH(O742,Setup!$B$33:$B$40,0)),0)=1)*(COUNTIF(O708:Q725,$B742)+COUNTIF(O708:Q725,$B742&amp;" ~*")&gt;0)+(IFERROR(INDEX(Setup!$G$33:$G$40,MATCH(S742,Setup!$B$33:$B$40,0)),0)=1)*(COUNTIF(S708:U725,$B742)+COUNTIF(S708:U725,$B742&amp;" ~*")&gt;0)+(IFERROR(INDEX(Setup!$G$33:$G$40,MATCH(W742,Setup!$B$33:$B$40,0)),0)=1)*(COUNTIF(W708:W725,$B742)+COUNTIF(W708:W725,$B742&amp;" ~*")&gt;0)+(IFERROR(INDEX(Setup!$G$33:$G$40,MATCH(Y742,Setup!$B$33:$B$40,0)),0)=1)*(COUNTIF(Y708:Y725,$B742)+COUNTIF(Y708:Y725,$B742&amp;" ~*")&gt;0))</f>
        <v/>
      </c>
    </row>
    <row r="743" ht="15" customHeight="1">
      <c r="A743" t="n">
        <v>15</v>
      </c>
      <c r="B743" s="35">
        <f>IF(Setup!$B$22="","",Setup!$B$22)</f>
        <v/>
      </c>
      <c r="C743" s="98" t="n"/>
      <c r="D743" s="99" t="n"/>
      <c r="E743" s="99" t="n"/>
      <c r="F743" s="100" t="n"/>
      <c r="G743" s="98" t="n"/>
      <c r="H743" s="99" t="n"/>
      <c r="I743" s="99" t="n"/>
      <c r="J743" s="100" t="n"/>
      <c r="K743" s="98" t="n"/>
      <c r="L743" s="99" t="n"/>
      <c r="M743" s="99" t="n"/>
      <c r="N743" s="100" t="n"/>
      <c r="O743" s="98" t="n"/>
      <c r="P743" s="99" t="n"/>
      <c r="Q743" s="99" t="n"/>
      <c r="R743" s="100" t="n"/>
      <c r="S743" s="98" t="n"/>
      <c r="T743" s="99" t="n"/>
      <c r="U743" s="99" t="n"/>
      <c r="V743" s="100" t="n"/>
      <c r="W743" s="98" t="n"/>
      <c r="X743" s="100" t="n"/>
      <c r="Y743" s="98" t="n"/>
      <c r="Z743" s="100" t="n"/>
      <c r="AB743" s="101">
        <f>IF($B743="","",(COUNTIF(C708:E725,$B743)+COUNTIF(C708:E725,$B743&amp;" ~*")&gt;0)+(COUNTIF(G708:I725,$B743)+COUNTIF(G708:I725,$B743&amp;" ~*")&gt;0)+(COUNTIF(K708:M725,$B743)+COUNTIF(K708:M725,$B743&amp;" ~*")&gt;0)+(COUNTIF(O708:Q725,$B743)+COUNTIF(O708:Q725,$B743&amp;" ~*")&gt;0)+(COUNTIF(S708:U725,$B743)+COUNTIF(S708:U725,$B743&amp;" ~*")&gt;0)+(COUNTIF(W708:W725,$B743)+COUNTIF(W708:W725,$B743&amp;" ~*")&gt;0)+(COUNTIF(Y708:Y725,$B743)+COUNTIF(Y708:Y725,$B743&amp;" ~*")&gt;0))</f>
        <v/>
      </c>
      <c r="AC743" s="36">
        <f>IF($B743="","",(IFERROR(INDEX(Setup!$G$33:$G$40,MATCH(C743,Setup!$B$33:$B$40,0)),0)=1)*(COUNTIF(C708:E725,$B743)+COUNTIF(C708:E725,$B743&amp;" ~*")&gt;0)+(IFERROR(INDEX(Setup!$G$33:$G$40,MATCH(G743,Setup!$B$33:$B$40,0)),0)=1)*(COUNTIF(G708:I725,$B743)+COUNTIF(G708:I725,$B743&amp;" ~*")&gt;0)+(IFERROR(INDEX(Setup!$G$33:$G$40,MATCH(K743,Setup!$B$33:$B$40,0)),0)=1)*(COUNTIF(K708:M725,$B743)+COUNTIF(K708:M725,$B743&amp;" ~*")&gt;0)+(IFERROR(INDEX(Setup!$G$33:$G$40,MATCH(O743,Setup!$B$33:$B$40,0)),0)=1)*(COUNTIF(O708:Q725,$B743)+COUNTIF(O708:Q725,$B743&amp;" ~*")&gt;0)+(IFERROR(INDEX(Setup!$G$33:$G$40,MATCH(S743,Setup!$B$33:$B$40,0)),0)=1)*(COUNTIF(S708:U725,$B743)+COUNTIF(S708:U725,$B743&amp;" ~*")&gt;0)+(IFERROR(INDEX(Setup!$G$33:$G$40,MATCH(W743,Setup!$B$33:$B$40,0)),0)=1)*(COUNTIF(W708:W725,$B743)+COUNTIF(W708:W725,$B743&amp;" ~*")&gt;0)+(IFERROR(INDEX(Setup!$G$33:$G$40,MATCH(Y743,Setup!$B$33:$B$40,0)),0)=1)*(COUNTIF(Y708:Y725,$B743)+COUNTIF(Y708:Y725,$B743&amp;" ~*")&gt;0))</f>
        <v/>
      </c>
    </row>
    <row r="744" ht="15" customHeight="1">
      <c r="A744" t="n">
        <v>15</v>
      </c>
      <c r="B744" s="37">
        <f>IF(Setup!$B$23="","",Setup!$B$23)</f>
        <v/>
      </c>
      <c r="C744" s="102" t="n"/>
      <c r="D744" s="103" t="n"/>
      <c r="E744" s="103" t="n"/>
      <c r="F744" s="104" t="n"/>
      <c r="G744" s="102" t="n"/>
      <c r="H744" s="103" t="n"/>
      <c r="I744" s="103" t="n"/>
      <c r="J744" s="104" t="n"/>
      <c r="K744" s="102" t="n"/>
      <c r="L744" s="103" t="n"/>
      <c r="M744" s="103" t="n"/>
      <c r="N744" s="104" t="n"/>
      <c r="O744" s="102" t="n"/>
      <c r="P744" s="103" t="n"/>
      <c r="Q744" s="103" t="n"/>
      <c r="R744" s="104" t="n"/>
      <c r="S744" s="102" t="n"/>
      <c r="T744" s="103" t="n"/>
      <c r="U744" s="103" t="n"/>
      <c r="V744" s="104" t="n"/>
      <c r="W744" s="102" t="n"/>
      <c r="X744" s="104" t="n"/>
      <c r="Y744" s="102" t="n"/>
      <c r="Z744" s="104" t="n"/>
      <c r="AB744" s="105">
        <f>IF($B744="","",(COUNTIF(C708:E725,$B744)+COUNTIF(C708:E725,$B744&amp;" ~*")&gt;0)+(COUNTIF(G708:I725,$B744)+COUNTIF(G708:I725,$B744&amp;" ~*")&gt;0)+(COUNTIF(K708:M725,$B744)+COUNTIF(K708:M725,$B744&amp;" ~*")&gt;0)+(COUNTIF(O708:Q725,$B744)+COUNTIF(O708:Q725,$B744&amp;" ~*")&gt;0)+(COUNTIF(S708:U725,$B744)+COUNTIF(S708:U725,$B744&amp;" ~*")&gt;0)+(COUNTIF(W708:W725,$B744)+COUNTIF(W708:W725,$B744&amp;" ~*")&gt;0)+(COUNTIF(Y708:Y725,$B744)+COUNTIF(Y708:Y725,$B744&amp;" ~*")&gt;0))</f>
        <v/>
      </c>
      <c r="AC744" s="38">
        <f>IF($B744="","",(IFERROR(INDEX(Setup!$G$33:$G$40,MATCH(C744,Setup!$B$33:$B$40,0)),0)=1)*(COUNTIF(C708:E725,$B744)+COUNTIF(C708:E725,$B744&amp;" ~*")&gt;0)+(IFERROR(INDEX(Setup!$G$33:$G$40,MATCH(G744,Setup!$B$33:$B$40,0)),0)=1)*(COUNTIF(G708:I725,$B744)+COUNTIF(G708:I725,$B744&amp;" ~*")&gt;0)+(IFERROR(INDEX(Setup!$G$33:$G$40,MATCH(K744,Setup!$B$33:$B$40,0)),0)=1)*(COUNTIF(K708:M725,$B744)+COUNTIF(K708:M725,$B744&amp;" ~*")&gt;0)+(IFERROR(INDEX(Setup!$G$33:$G$40,MATCH(O744,Setup!$B$33:$B$40,0)),0)=1)*(COUNTIF(O708:Q725,$B744)+COUNTIF(O708:Q725,$B744&amp;" ~*")&gt;0)+(IFERROR(INDEX(Setup!$G$33:$G$40,MATCH(S744,Setup!$B$33:$B$40,0)),0)=1)*(COUNTIF(S708:U725,$B744)+COUNTIF(S708:U725,$B744&amp;" ~*")&gt;0)+(IFERROR(INDEX(Setup!$G$33:$G$40,MATCH(W744,Setup!$B$33:$B$40,0)),0)=1)*(COUNTIF(W708:W725,$B744)+COUNTIF(W708:W725,$B744&amp;" ~*")&gt;0)+(IFERROR(INDEX(Setup!$G$33:$G$40,MATCH(Y744,Setup!$B$33:$B$40,0)),0)=1)*(COUNTIF(Y708:Y725,$B744)+COUNTIF(Y708:Y725,$B744&amp;" ~*")&gt;0))</f>
        <v/>
      </c>
    </row>
    <row r="745" ht="15" customHeight="1">
      <c r="A745" t="n">
        <v>15</v>
      </c>
      <c r="B745" s="35">
        <f>IF(Setup!$B$24="","",Setup!$B$24)</f>
        <v/>
      </c>
      <c r="C745" s="98" t="n"/>
      <c r="D745" s="99" t="n"/>
      <c r="E745" s="99" t="n"/>
      <c r="F745" s="100" t="n"/>
      <c r="G745" s="98" t="n"/>
      <c r="H745" s="99" t="n"/>
      <c r="I745" s="99" t="n"/>
      <c r="J745" s="100" t="n"/>
      <c r="K745" s="98" t="n"/>
      <c r="L745" s="99" t="n"/>
      <c r="M745" s="99" t="n"/>
      <c r="N745" s="100" t="n"/>
      <c r="O745" s="98" t="n"/>
      <c r="P745" s="99" t="n"/>
      <c r="Q745" s="99" t="n"/>
      <c r="R745" s="100" t="n"/>
      <c r="S745" s="98" t="n"/>
      <c r="T745" s="99" t="n"/>
      <c r="U745" s="99" t="n"/>
      <c r="V745" s="100" t="n"/>
      <c r="W745" s="98" t="n"/>
      <c r="X745" s="100" t="n"/>
      <c r="Y745" s="98" t="n"/>
      <c r="Z745" s="100" t="n"/>
      <c r="AB745" s="101">
        <f>IF($B745="","",(COUNTIF(C708:E725,$B745)+COUNTIF(C708:E725,$B745&amp;" ~*")&gt;0)+(COUNTIF(G708:I725,$B745)+COUNTIF(G708:I725,$B745&amp;" ~*")&gt;0)+(COUNTIF(K708:M725,$B745)+COUNTIF(K708:M725,$B745&amp;" ~*")&gt;0)+(COUNTIF(O708:Q725,$B745)+COUNTIF(O708:Q725,$B745&amp;" ~*")&gt;0)+(COUNTIF(S708:U725,$B745)+COUNTIF(S708:U725,$B745&amp;" ~*")&gt;0)+(COUNTIF(W708:W725,$B745)+COUNTIF(W708:W725,$B745&amp;" ~*")&gt;0)+(COUNTIF(Y708:Y725,$B745)+COUNTIF(Y708:Y725,$B745&amp;" ~*")&gt;0))</f>
        <v/>
      </c>
      <c r="AC745" s="36">
        <f>IF($B745="","",(IFERROR(INDEX(Setup!$G$33:$G$40,MATCH(C745,Setup!$B$33:$B$40,0)),0)=1)*(COUNTIF(C708:E725,$B745)+COUNTIF(C708:E725,$B745&amp;" ~*")&gt;0)+(IFERROR(INDEX(Setup!$G$33:$G$40,MATCH(G745,Setup!$B$33:$B$40,0)),0)=1)*(COUNTIF(G708:I725,$B745)+COUNTIF(G708:I725,$B745&amp;" ~*")&gt;0)+(IFERROR(INDEX(Setup!$G$33:$G$40,MATCH(K745,Setup!$B$33:$B$40,0)),0)=1)*(COUNTIF(K708:M725,$B745)+COUNTIF(K708:M725,$B745&amp;" ~*")&gt;0)+(IFERROR(INDEX(Setup!$G$33:$G$40,MATCH(O745,Setup!$B$33:$B$40,0)),0)=1)*(COUNTIF(O708:Q725,$B745)+COUNTIF(O708:Q725,$B745&amp;" ~*")&gt;0)+(IFERROR(INDEX(Setup!$G$33:$G$40,MATCH(S745,Setup!$B$33:$B$40,0)),0)=1)*(COUNTIF(S708:U725,$B745)+COUNTIF(S708:U725,$B745&amp;" ~*")&gt;0)+(IFERROR(INDEX(Setup!$G$33:$G$40,MATCH(W745,Setup!$B$33:$B$40,0)),0)=1)*(COUNTIF(W708:W725,$B745)+COUNTIF(W708:W725,$B745&amp;" ~*")&gt;0)+(IFERROR(INDEX(Setup!$G$33:$G$40,MATCH(Y745,Setup!$B$33:$B$40,0)),0)=1)*(COUNTIF(Y708:Y725,$B745)+COUNTIF(Y708:Y725,$B745&amp;" ~*")&gt;0))</f>
        <v/>
      </c>
    </row>
    <row r="746" ht="15" customHeight="1">
      <c r="A746" t="n">
        <v>15</v>
      </c>
      <c r="B746" s="37">
        <f>IF(Setup!$B$25="","",Setup!$B$25)</f>
        <v/>
      </c>
      <c r="C746" s="102" t="n"/>
      <c r="D746" s="103" t="n"/>
      <c r="E746" s="103" t="n"/>
      <c r="F746" s="104" t="n"/>
      <c r="G746" s="102" t="n"/>
      <c r="H746" s="103" t="n"/>
      <c r="I746" s="103" t="n"/>
      <c r="J746" s="104" t="n"/>
      <c r="K746" s="102" t="n"/>
      <c r="L746" s="103" t="n"/>
      <c r="M746" s="103" t="n"/>
      <c r="N746" s="104" t="n"/>
      <c r="O746" s="102" t="n"/>
      <c r="P746" s="103" t="n"/>
      <c r="Q746" s="103" t="n"/>
      <c r="R746" s="104" t="n"/>
      <c r="S746" s="102" t="n"/>
      <c r="T746" s="103" t="n"/>
      <c r="U746" s="103" t="n"/>
      <c r="V746" s="104" t="n"/>
      <c r="W746" s="102" t="n"/>
      <c r="X746" s="104" t="n"/>
      <c r="Y746" s="102" t="n"/>
      <c r="Z746" s="104" t="n"/>
      <c r="AB746" s="105">
        <f>IF($B746="","",(COUNTIF(C708:E725,$B746)+COUNTIF(C708:E725,$B746&amp;" ~*")&gt;0)+(COUNTIF(G708:I725,$B746)+COUNTIF(G708:I725,$B746&amp;" ~*")&gt;0)+(COUNTIF(K708:M725,$B746)+COUNTIF(K708:M725,$B746&amp;" ~*")&gt;0)+(COUNTIF(O708:Q725,$B746)+COUNTIF(O708:Q725,$B746&amp;" ~*")&gt;0)+(COUNTIF(S708:U725,$B746)+COUNTIF(S708:U725,$B746&amp;" ~*")&gt;0)+(COUNTIF(W708:W725,$B746)+COUNTIF(W708:W725,$B746&amp;" ~*")&gt;0)+(COUNTIF(Y708:Y725,$B746)+COUNTIF(Y708:Y725,$B746&amp;" ~*")&gt;0))</f>
        <v/>
      </c>
      <c r="AC746" s="38">
        <f>IF($B746="","",(IFERROR(INDEX(Setup!$G$33:$G$40,MATCH(C746,Setup!$B$33:$B$40,0)),0)=1)*(COUNTIF(C708:E725,$B746)+COUNTIF(C708:E725,$B746&amp;" ~*")&gt;0)+(IFERROR(INDEX(Setup!$G$33:$G$40,MATCH(G746,Setup!$B$33:$B$40,0)),0)=1)*(COUNTIF(G708:I725,$B746)+COUNTIF(G708:I725,$B746&amp;" ~*")&gt;0)+(IFERROR(INDEX(Setup!$G$33:$G$40,MATCH(K746,Setup!$B$33:$B$40,0)),0)=1)*(COUNTIF(K708:M725,$B746)+COUNTIF(K708:M725,$B746&amp;" ~*")&gt;0)+(IFERROR(INDEX(Setup!$G$33:$G$40,MATCH(O746,Setup!$B$33:$B$40,0)),0)=1)*(COUNTIF(O708:Q725,$B746)+COUNTIF(O708:Q725,$B746&amp;" ~*")&gt;0)+(IFERROR(INDEX(Setup!$G$33:$G$40,MATCH(S746,Setup!$B$33:$B$40,0)),0)=1)*(COUNTIF(S708:U725,$B746)+COUNTIF(S708:U725,$B746&amp;" ~*")&gt;0)+(IFERROR(INDEX(Setup!$G$33:$G$40,MATCH(W746,Setup!$B$33:$B$40,0)),0)=1)*(COUNTIF(W708:W725,$B746)+COUNTIF(W708:W725,$B746&amp;" ~*")&gt;0)+(IFERROR(INDEX(Setup!$G$33:$G$40,MATCH(Y746,Setup!$B$33:$B$40,0)),0)=1)*(COUNTIF(Y708:Y725,$B746)+COUNTIF(Y708:Y725,$B746&amp;" ~*")&gt;0))</f>
        <v/>
      </c>
    </row>
    <row r="747" ht="15" customHeight="1">
      <c r="A747" t="n">
        <v>15</v>
      </c>
      <c r="B747" s="35">
        <f>IF(Setup!$B$26="","",Setup!$B$26)</f>
        <v/>
      </c>
      <c r="C747" s="98" t="n"/>
      <c r="D747" s="99" t="n"/>
      <c r="E747" s="99" t="n"/>
      <c r="F747" s="100" t="n"/>
      <c r="G747" s="98" t="n"/>
      <c r="H747" s="99" t="n"/>
      <c r="I747" s="99" t="n"/>
      <c r="J747" s="100" t="n"/>
      <c r="K747" s="98" t="n"/>
      <c r="L747" s="99" t="n"/>
      <c r="M747" s="99" t="n"/>
      <c r="N747" s="100" t="n"/>
      <c r="O747" s="98" t="n"/>
      <c r="P747" s="99" t="n"/>
      <c r="Q747" s="99" t="n"/>
      <c r="R747" s="100" t="n"/>
      <c r="S747" s="98" t="n"/>
      <c r="T747" s="99" t="n"/>
      <c r="U747" s="99" t="n"/>
      <c r="V747" s="100" t="n"/>
      <c r="W747" s="98" t="n"/>
      <c r="X747" s="100" t="n"/>
      <c r="Y747" s="98" t="n"/>
      <c r="Z747" s="100" t="n"/>
      <c r="AB747" s="101">
        <f>IF($B747="","",(COUNTIF(C708:E725,$B747)+COUNTIF(C708:E725,$B747&amp;" ~*")&gt;0)+(COUNTIF(G708:I725,$B747)+COUNTIF(G708:I725,$B747&amp;" ~*")&gt;0)+(COUNTIF(K708:M725,$B747)+COUNTIF(K708:M725,$B747&amp;" ~*")&gt;0)+(COUNTIF(O708:Q725,$B747)+COUNTIF(O708:Q725,$B747&amp;" ~*")&gt;0)+(COUNTIF(S708:U725,$B747)+COUNTIF(S708:U725,$B747&amp;" ~*")&gt;0)+(COUNTIF(W708:W725,$B747)+COUNTIF(W708:W725,$B747&amp;" ~*")&gt;0)+(COUNTIF(Y708:Y725,$B747)+COUNTIF(Y708:Y725,$B747&amp;" ~*")&gt;0))</f>
        <v/>
      </c>
      <c r="AC747" s="36">
        <f>IF($B747="","",(IFERROR(INDEX(Setup!$G$33:$G$40,MATCH(C747,Setup!$B$33:$B$40,0)),0)=1)*(COUNTIF(C708:E725,$B747)+COUNTIF(C708:E725,$B747&amp;" ~*")&gt;0)+(IFERROR(INDEX(Setup!$G$33:$G$40,MATCH(G747,Setup!$B$33:$B$40,0)),0)=1)*(COUNTIF(G708:I725,$B747)+COUNTIF(G708:I725,$B747&amp;" ~*")&gt;0)+(IFERROR(INDEX(Setup!$G$33:$G$40,MATCH(K747,Setup!$B$33:$B$40,0)),0)=1)*(COUNTIF(K708:M725,$B747)+COUNTIF(K708:M725,$B747&amp;" ~*")&gt;0)+(IFERROR(INDEX(Setup!$G$33:$G$40,MATCH(O747,Setup!$B$33:$B$40,0)),0)=1)*(COUNTIF(O708:Q725,$B747)+COUNTIF(O708:Q725,$B747&amp;" ~*")&gt;0)+(IFERROR(INDEX(Setup!$G$33:$G$40,MATCH(S747,Setup!$B$33:$B$40,0)),0)=1)*(COUNTIF(S708:U725,$B747)+COUNTIF(S708:U725,$B747&amp;" ~*")&gt;0)+(IFERROR(INDEX(Setup!$G$33:$G$40,MATCH(W747,Setup!$B$33:$B$40,0)),0)=1)*(COUNTIF(W708:W725,$B747)+COUNTIF(W708:W725,$B747&amp;" ~*")&gt;0)+(IFERROR(INDEX(Setup!$G$33:$G$40,MATCH(Y747,Setup!$B$33:$B$40,0)),0)=1)*(COUNTIF(Y708:Y725,$B747)+COUNTIF(Y708:Y725,$B747&amp;" ~*")&gt;0))</f>
        <v/>
      </c>
    </row>
    <row r="748" ht="15" customHeight="1">
      <c r="A748" t="n">
        <v>15</v>
      </c>
      <c r="B748" s="37">
        <f>IF(Setup!$B$27="","",Setup!$B$27)</f>
        <v/>
      </c>
      <c r="C748" s="102" t="n"/>
      <c r="D748" s="103" t="n"/>
      <c r="E748" s="103" t="n"/>
      <c r="F748" s="104" t="n"/>
      <c r="G748" s="102" t="n"/>
      <c r="H748" s="103" t="n"/>
      <c r="I748" s="103" t="n"/>
      <c r="J748" s="104" t="n"/>
      <c r="K748" s="102" t="n"/>
      <c r="L748" s="103" t="n"/>
      <c r="M748" s="103" t="n"/>
      <c r="N748" s="104" t="n"/>
      <c r="O748" s="102" t="n"/>
      <c r="P748" s="103" t="n"/>
      <c r="Q748" s="103" t="n"/>
      <c r="R748" s="104" t="n"/>
      <c r="S748" s="102" t="n"/>
      <c r="T748" s="103" t="n"/>
      <c r="U748" s="103" t="n"/>
      <c r="V748" s="104" t="n"/>
      <c r="W748" s="102" t="n"/>
      <c r="X748" s="104" t="n"/>
      <c r="Y748" s="102" t="n"/>
      <c r="Z748" s="104" t="n"/>
      <c r="AB748" s="105">
        <f>IF($B748="","",(COUNTIF(C708:E725,$B748)+COUNTIF(C708:E725,$B748&amp;" ~*")&gt;0)+(COUNTIF(G708:I725,$B748)+COUNTIF(G708:I725,$B748&amp;" ~*")&gt;0)+(COUNTIF(K708:M725,$B748)+COUNTIF(K708:M725,$B748&amp;" ~*")&gt;0)+(COUNTIF(O708:Q725,$B748)+COUNTIF(O708:Q725,$B748&amp;" ~*")&gt;0)+(COUNTIF(S708:U725,$B748)+COUNTIF(S708:U725,$B748&amp;" ~*")&gt;0)+(COUNTIF(W708:W725,$B748)+COUNTIF(W708:W725,$B748&amp;" ~*")&gt;0)+(COUNTIF(Y708:Y725,$B748)+COUNTIF(Y708:Y725,$B748&amp;" ~*")&gt;0))</f>
        <v/>
      </c>
      <c r="AC748" s="38">
        <f>IF($B748="","",(IFERROR(INDEX(Setup!$G$33:$G$40,MATCH(C748,Setup!$B$33:$B$40,0)),0)=1)*(COUNTIF(C708:E725,$B748)+COUNTIF(C708:E725,$B748&amp;" ~*")&gt;0)+(IFERROR(INDEX(Setup!$G$33:$G$40,MATCH(G748,Setup!$B$33:$B$40,0)),0)=1)*(COUNTIF(G708:I725,$B748)+COUNTIF(G708:I725,$B748&amp;" ~*")&gt;0)+(IFERROR(INDEX(Setup!$G$33:$G$40,MATCH(K748,Setup!$B$33:$B$40,0)),0)=1)*(COUNTIF(K708:M725,$B748)+COUNTIF(K708:M725,$B748&amp;" ~*")&gt;0)+(IFERROR(INDEX(Setup!$G$33:$G$40,MATCH(O748,Setup!$B$33:$B$40,0)),0)=1)*(COUNTIF(O708:Q725,$B748)+COUNTIF(O708:Q725,$B748&amp;" ~*")&gt;0)+(IFERROR(INDEX(Setup!$G$33:$G$40,MATCH(S748,Setup!$B$33:$B$40,0)),0)=1)*(COUNTIF(S708:U725,$B748)+COUNTIF(S708:U725,$B748&amp;" ~*")&gt;0)+(IFERROR(INDEX(Setup!$G$33:$G$40,MATCH(W748,Setup!$B$33:$B$40,0)),0)=1)*(COUNTIF(W708:W725,$B748)+COUNTIF(W708:W725,$B748&amp;" ~*")&gt;0)+(IFERROR(INDEX(Setup!$G$33:$G$40,MATCH(Y748,Setup!$B$33:$B$40,0)),0)=1)*(COUNTIF(Y708:Y725,$B748)+COUNTIF(Y708:Y725,$B748&amp;" ~*")&gt;0))</f>
        <v/>
      </c>
    </row>
    <row r="749" ht="15" customHeight="1">
      <c r="A749" t="n">
        <v>15</v>
      </c>
      <c r="B749" s="35">
        <f>IF(Setup!$B$28="","",Setup!$B$28)</f>
        <v/>
      </c>
      <c r="C749" s="98" t="n"/>
      <c r="D749" s="99" t="n"/>
      <c r="E749" s="99" t="n"/>
      <c r="F749" s="100" t="n"/>
      <c r="G749" s="98" t="n"/>
      <c r="H749" s="99" t="n"/>
      <c r="I749" s="99" t="n"/>
      <c r="J749" s="100" t="n"/>
      <c r="K749" s="98" t="n"/>
      <c r="L749" s="99" t="n"/>
      <c r="M749" s="99" t="n"/>
      <c r="N749" s="100" t="n"/>
      <c r="O749" s="98" t="n"/>
      <c r="P749" s="99" t="n"/>
      <c r="Q749" s="99" t="n"/>
      <c r="R749" s="100" t="n"/>
      <c r="S749" s="98" t="n"/>
      <c r="T749" s="99" t="n"/>
      <c r="U749" s="99" t="n"/>
      <c r="V749" s="100" t="n"/>
      <c r="W749" s="98" t="n"/>
      <c r="X749" s="100" t="n"/>
      <c r="Y749" s="98" t="n"/>
      <c r="Z749" s="100" t="n"/>
      <c r="AB749" s="101">
        <f>IF($B749="","",(COUNTIF(C708:E725,$B749)+COUNTIF(C708:E725,$B749&amp;" ~*")&gt;0)+(COUNTIF(G708:I725,$B749)+COUNTIF(G708:I725,$B749&amp;" ~*")&gt;0)+(COUNTIF(K708:M725,$B749)+COUNTIF(K708:M725,$B749&amp;" ~*")&gt;0)+(COUNTIF(O708:Q725,$B749)+COUNTIF(O708:Q725,$B749&amp;" ~*")&gt;0)+(COUNTIF(S708:U725,$B749)+COUNTIF(S708:U725,$B749&amp;" ~*")&gt;0)+(COUNTIF(W708:W725,$B749)+COUNTIF(W708:W725,$B749&amp;" ~*")&gt;0)+(COUNTIF(Y708:Y725,$B749)+COUNTIF(Y708:Y725,$B749&amp;" ~*")&gt;0))</f>
        <v/>
      </c>
      <c r="AC749" s="36">
        <f>IF($B749="","",(IFERROR(INDEX(Setup!$G$33:$G$40,MATCH(C749,Setup!$B$33:$B$40,0)),0)=1)*(COUNTIF(C708:E725,$B749)+COUNTIF(C708:E725,$B749&amp;" ~*")&gt;0)+(IFERROR(INDEX(Setup!$G$33:$G$40,MATCH(G749,Setup!$B$33:$B$40,0)),0)=1)*(COUNTIF(G708:I725,$B749)+COUNTIF(G708:I725,$B749&amp;" ~*")&gt;0)+(IFERROR(INDEX(Setup!$G$33:$G$40,MATCH(K749,Setup!$B$33:$B$40,0)),0)=1)*(COUNTIF(K708:M725,$B749)+COUNTIF(K708:M725,$B749&amp;" ~*")&gt;0)+(IFERROR(INDEX(Setup!$G$33:$G$40,MATCH(O749,Setup!$B$33:$B$40,0)),0)=1)*(COUNTIF(O708:Q725,$B749)+COUNTIF(O708:Q725,$B749&amp;" ~*")&gt;0)+(IFERROR(INDEX(Setup!$G$33:$G$40,MATCH(S749,Setup!$B$33:$B$40,0)),0)=1)*(COUNTIF(S708:U725,$B749)+COUNTIF(S708:U725,$B749&amp;" ~*")&gt;0)+(IFERROR(INDEX(Setup!$G$33:$G$40,MATCH(W749,Setup!$B$33:$B$40,0)),0)=1)*(COUNTIF(W708:W725,$B749)+COUNTIF(W708:W725,$B749&amp;" ~*")&gt;0)+(IFERROR(INDEX(Setup!$G$33:$G$40,MATCH(Y749,Setup!$B$33:$B$40,0)),0)=1)*(COUNTIF(Y708:Y725,$B749)+COUNTIF(Y708:Y725,$B749&amp;" ~*")&gt;0))</f>
        <v/>
      </c>
    </row>
    <row r="750" ht="15" customHeight="1">
      <c r="A750" t="n">
        <v>15</v>
      </c>
      <c r="B750" s="37">
        <f>IF(Setup!$B$29="","",Setup!$B$29)</f>
        <v/>
      </c>
      <c r="C750" s="102" t="n"/>
      <c r="D750" s="103" t="n"/>
      <c r="E750" s="103" t="n"/>
      <c r="F750" s="104" t="n"/>
      <c r="G750" s="102" t="n"/>
      <c r="H750" s="103" t="n"/>
      <c r="I750" s="103" t="n"/>
      <c r="J750" s="104" t="n"/>
      <c r="K750" s="102" t="n"/>
      <c r="L750" s="103" t="n"/>
      <c r="M750" s="103" t="n"/>
      <c r="N750" s="104" t="n"/>
      <c r="O750" s="102" t="n"/>
      <c r="P750" s="103" t="n"/>
      <c r="Q750" s="103" t="n"/>
      <c r="R750" s="104" t="n"/>
      <c r="S750" s="102" t="n"/>
      <c r="T750" s="103" t="n"/>
      <c r="U750" s="103" t="n"/>
      <c r="V750" s="104" t="n"/>
      <c r="W750" s="102" t="n"/>
      <c r="X750" s="104" t="n"/>
      <c r="Y750" s="102" t="n"/>
      <c r="Z750" s="104" t="n"/>
      <c r="AB750" s="105">
        <f>IF($B750="","",(COUNTIF(C708:E725,$B750)+COUNTIF(C708:E725,$B750&amp;" ~*")&gt;0)+(COUNTIF(G708:I725,$B750)+COUNTIF(G708:I725,$B750&amp;" ~*")&gt;0)+(COUNTIF(K708:M725,$B750)+COUNTIF(K708:M725,$B750&amp;" ~*")&gt;0)+(COUNTIF(O708:Q725,$B750)+COUNTIF(O708:Q725,$B750&amp;" ~*")&gt;0)+(COUNTIF(S708:U725,$B750)+COUNTIF(S708:U725,$B750&amp;" ~*")&gt;0)+(COUNTIF(W708:W725,$B750)+COUNTIF(W708:W725,$B750&amp;" ~*")&gt;0)+(COUNTIF(Y708:Y725,$B750)+COUNTIF(Y708:Y725,$B750&amp;" ~*")&gt;0))</f>
        <v/>
      </c>
      <c r="AC750" s="38">
        <f>IF($B750="","",(IFERROR(INDEX(Setup!$G$33:$G$40,MATCH(C750,Setup!$B$33:$B$40,0)),0)=1)*(COUNTIF(C708:E725,$B750)+COUNTIF(C708:E725,$B750&amp;" ~*")&gt;0)+(IFERROR(INDEX(Setup!$G$33:$G$40,MATCH(G750,Setup!$B$33:$B$40,0)),0)=1)*(COUNTIF(G708:I725,$B750)+COUNTIF(G708:I725,$B750&amp;" ~*")&gt;0)+(IFERROR(INDEX(Setup!$G$33:$G$40,MATCH(K750,Setup!$B$33:$B$40,0)),0)=1)*(COUNTIF(K708:M725,$B750)+COUNTIF(K708:M725,$B750&amp;" ~*")&gt;0)+(IFERROR(INDEX(Setup!$G$33:$G$40,MATCH(O750,Setup!$B$33:$B$40,0)),0)=1)*(COUNTIF(O708:Q725,$B750)+COUNTIF(O708:Q725,$B750&amp;" ~*")&gt;0)+(IFERROR(INDEX(Setup!$G$33:$G$40,MATCH(S750,Setup!$B$33:$B$40,0)),0)=1)*(COUNTIF(S708:U725,$B750)+COUNTIF(S708:U725,$B750&amp;" ~*")&gt;0)+(IFERROR(INDEX(Setup!$G$33:$G$40,MATCH(W750,Setup!$B$33:$B$40,0)),0)=1)*(COUNTIF(W708:W725,$B750)+COUNTIF(W708:W725,$B750&amp;" ~*")&gt;0)+(IFERROR(INDEX(Setup!$G$33:$G$40,MATCH(Y750,Setup!$B$33:$B$40,0)),0)=1)*(COUNTIF(Y708:Y725,$B750)+COUNTIF(Y708:Y725,$B750&amp;" ~*")&gt;0))</f>
        <v/>
      </c>
    </row>
    <row r="751" ht="16" customHeight="1">
      <c r="A751" t="n">
        <v>15</v>
      </c>
      <c r="B751" s="106" t="inlineStr">
        <is>
          <t>Available people</t>
        </is>
      </c>
      <c r="C751" s="107">
        <f>COUNTIFS(Setup!$E$6:$E$29,"Y",Setup!$B$6:$B$29,"?*")-SUMPRODUCT(COUNTIF(C727:C750,Setup!$F$33:$F$40))</f>
        <v/>
      </c>
      <c r="D751" s="107" t="n"/>
      <c r="E751" s="107" t="n"/>
      <c r="F751" s="107" t="n"/>
      <c r="G751" s="107">
        <f>COUNTIFS(Setup!$E$6:$E$29,"Y",Setup!$B$6:$B$29,"?*")-SUMPRODUCT(COUNTIF(G727:G750,Setup!$F$33:$F$40))</f>
        <v/>
      </c>
      <c r="H751" s="107" t="n"/>
      <c r="I751" s="107" t="n"/>
      <c r="J751" s="107" t="n"/>
      <c r="K751" s="107">
        <f>COUNTIFS(Setup!$E$6:$E$29,"Y",Setup!$B$6:$B$29,"?*")-SUMPRODUCT(COUNTIF(K727:K750,Setup!$F$33:$F$40))</f>
        <v/>
      </c>
      <c r="L751" s="107" t="n"/>
      <c r="M751" s="107" t="n"/>
      <c r="N751" s="107" t="n"/>
      <c r="O751" s="107">
        <f>COUNTIFS(Setup!$E$6:$E$29,"Y",Setup!$B$6:$B$29,"?*")-SUMPRODUCT(COUNTIF(O727:O750,Setup!$F$33:$F$40))</f>
        <v/>
      </c>
      <c r="P751" s="107" t="n"/>
      <c r="Q751" s="107" t="n"/>
      <c r="R751" s="107" t="n"/>
      <c r="S751" s="107">
        <f>COUNTIFS(Setup!$E$6:$E$29,"Y",Setup!$B$6:$B$29,"?*")-SUMPRODUCT(COUNTIF(S727:S750,Setup!$F$33:$F$40))</f>
        <v/>
      </c>
      <c r="T751" s="107" t="n"/>
      <c r="U751" s="107" t="n"/>
      <c r="V751" s="107" t="n"/>
      <c r="W751" s="107">
        <f>COUNTIFS(Setup!$E$6:$E$29,"Y",Setup!$B$6:$B$29,"?*")-SUMPRODUCT(COUNTIF(W727:W750,Setup!$F$33:$F$40))</f>
        <v/>
      </c>
      <c r="X751" s="107" t="n"/>
      <c r="Y751" s="107">
        <f>COUNTIFS(Setup!$E$6:$E$29,"Y",Setup!$B$6:$B$29,"?*")-SUMPRODUCT(COUNTIF(Y727:Y750,Setup!$F$33:$F$40))</f>
        <v/>
      </c>
      <c r="Z751" s="107" t="n"/>
      <c r="AB751" s="108">
        <f>SUM(AB727:AB750)</f>
        <v/>
      </c>
      <c r="AC751" s="109">
        <f>SUM(AC727:AC750)</f>
        <v/>
      </c>
    </row>
    <row r="752" ht="30" customHeight="1">
      <c r="A752" t="n">
        <v>15</v>
      </c>
      <c r="B752" s="110" t="inlineStr">
        <is>
          <t>Week notes</t>
        </is>
      </c>
      <c r="C752" s="111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112" t="n"/>
      <c r="R752" s="112" t="n"/>
      <c r="S752" s="112" t="n"/>
      <c r="T752" s="112" t="n"/>
      <c r="U752" s="112" t="n"/>
      <c r="V752" s="112" t="n"/>
      <c r="W752" s="112" t="n"/>
      <c r="X752" s="112" t="n"/>
      <c r="Y752" s="112" t="n"/>
      <c r="Z752" s="113" t="n"/>
    </row>
    <row r="753" ht="8" customHeight="1">
      <c r="A753" t="n">
        <v>15</v>
      </c>
    </row>
    <row r="754" ht="8" customHeight="1">
      <c r="A754" t="n">
        <v>15</v>
      </c>
    </row>
    <row r="755" ht="24" customHeight="1">
      <c r="A755" t="n">
        <v>16</v>
      </c>
      <c r="B755" s="73">
        <f>"WEEK 16     "&amp;TEXT(C756,"ddd d mmm")&amp;"  –  "&amp;TEXT(C756+6,"ddd d mmm yyyy")</f>
        <v/>
      </c>
      <c r="S755" s="74">
        <f>IF(TODAY()&lt;C756,"FUTURE",IF(TODAY()&gt;C756+6,"PAST","THIS WEEK"))</f>
        <v/>
      </c>
      <c r="W755" s="75">
        <f>IF(AND(Engine!$B$8=$AC$3,Engine!$B$9=$A755),"◀ ACTIVE WEEK","")</f>
        <v/>
      </c>
      <c r="AA755" s="76" t="n"/>
      <c r="AB755" s="77" t="inlineStr">
        <is>
          <t>◀ Prev</t>
        </is>
      </c>
      <c r="AC755" s="77" t="inlineStr">
        <is>
          <t>Next ▶</t>
        </is>
      </c>
    </row>
    <row r="756" ht="18" customHeight="1">
      <c r="A756" t="n">
        <v>16</v>
      </c>
      <c r="B756" s="78" t="inlineStr">
        <is>
          <t>DUTY</t>
        </is>
      </c>
      <c r="C756" s="79">
        <f>$AC$2+7*($A756-1)</f>
        <v/>
      </c>
      <c r="D756" s="80" t="n"/>
      <c r="E756" s="80" t="n"/>
      <c r="F756" s="81" t="n"/>
      <c r="G756" s="79">
        <f>C756+1</f>
        <v/>
      </c>
      <c r="H756" s="80" t="n"/>
      <c r="I756" s="80" t="n"/>
      <c r="J756" s="81" t="n"/>
      <c r="K756" s="79">
        <f>C756+2</f>
        <v/>
      </c>
      <c r="L756" s="80" t="n"/>
      <c r="M756" s="80" t="n"/>
      <c r="N756" s="81" t="n"/>
      <c r="O756" s="79">
        <f>C756+3</f>
        <v/>
      </c>
      <c r="P756" s="80" t="n"/>
      <c r="Q756" s="80" t="n"/>
      <c r="R756" s="81" t="n"/>
      <c r="S756" s="79">
        <f>C756+4</f>
        <v/>
      </c>
      <c r="T756" s="80" t="n"/>
      <c r="U756" s="80" t="n"/>
      <c r="V756" s="81" t="n"/>
      <c r="W756" s="82">
        <f>C756+5</f>
        <v/>
      </c>
      <c r="X756" s="83" t="n"/>
      <c r="Y756" s="82">
        <f>C756+6</f>
        <v/>
      </c>
      <c r="Z756" s="83" t="n"/>
      <c r="AB756" s="72" t="inlineStr">
        <is>
          <t>Gaps</t>
        </is>
      </c>
      <c r="AC756" s="72" t="inlineStr">
        <is>
          <t>Cover</t>
        </is>
      </c>
    </row>
    <row r="757" ht="14" customHeight="1">
      <c r="A757" t="n">
        <v>16</v>
      </c>
      <c r="B757" s="84" t="inlineStr">
        <is>
          <t>(from Setup)</t>
        </is>
      </c>
      <c r="C757" s="85" t="inlineStr">
        <is>
          <t>1</t>
        </is>
      </c>
      <c r="D757" s="85" t="inlineStr">
        <is>
          <t>2</t>
        </is>
      </c>
      <c r="E757" s="85" t="inlineStr">
        <is>
          <t>3</t>
        </is>
      </c>
      <c r="F757" s="85" t="inlineStr">
        <is>
          <t>Notes</t>
        </is>
      </c>
      <c r="G757" s="85" t="inlineStr">
        <is>
          <t>1</t>
        </is>
      </c>
      <c r="H757" s="85" t="inlineStr">
        <is>
          <t>2</t>
        </is>
      </c>
      <c r="I757" s="85" t="inlineStr">
        <is>
          <t>3</t>
        </is>
      </c>
      <c r="J757" s="85" t="inlineStr">
        <is>
          <t>Notes</t>
        </is>
      </c>
      <c r="K757" s="85" t="inlineStr">
        <is>
          <t>1</t>
        </is>
      </c>
      <c r="L757" s="85" t="inlineStr">
        <is>
          <t>2</t>
        </is>
      </c>
      <c r="M757" s="85" t="inlineStr">
        <is>
          <t>3</t>
        </is>
      </c>
      <c r="N757" s="85" t="inlineStr">
        <is>
          <t>Notes</t>
        </is>
      </c>
      <c r="O757" s="85" t="inlineStr">
        <is>
          <t>1</t>
        </is>
      </c>
      <c r="P757" s="85" t="inlineStr">
        <is>
          <t>2</t>
        </is>
      </c>
      <c r="Q757" s="85" t="inlineStr">
        <is>
          <t>3</t>
        </is>
      </c>
      <c r="R757" s="85" t="inlineStr">
        <is>
          <t>Notes</t>
        </is>
      </c>
      <c r="S757" s="85" t="inlineStr">
        <is>
          <t>1</t>
        </is>
      </c>
      <c r="T757" s="85" t="inlineStr">
        <is>
          <t>2</t>
        </is>
      </c>
      <c r="U757" s="85" t="inlineStr">
        <is>
          <t>3</t>
        </is>
      </c>
      <c r="V757" s="85" t="inlineStr">
        <is>
          <t>Notes</t>
        </is>
      </c>
      <c r="W757" s="85" t="inlineStr">
        <is>
          <t>Cover</t>
        </is>
      </c>
      <c r="X757" s="85" t="inlineStr">
        <is>
          <t>Notes</t>
        </is>
      </c>
      <c r="Y757" s="85" t="inlineStr">
        <is>
          <t>Cover</t>
        </is>
      </c>
      <c r="Z757" s="85" t="inlineStr">
        <is>
          <t>Notes</t>
        </is>
      </c>
      <c r="AB757" s="86" t="inlineStr">
        <is>
          <t>weekdays short</t>
        </is>
      </c>
      <c r="AC757" s="87" t="inlineStr"/>
    </row>
    <row r="758" ht="17" customHeight="1">
      <c r="A758" t="n">
        <v>16</v>
      </c>
      <c r="B758" s="24">
        <f>IF(Setup!$K$6="","",Setup!$K$6)</f>
        <v/>
      </c>
      <c r="C758" s="88" t="n"/>
      <c r="D758" s="88" t="n"/>
      <c r="E758" s="88" t="n"/>
      <c r="F758" s="89" t="n"/>
      <c r="G758" s="88" t="n"/>
      <c r="H758" s="88" t="n"/>
      <c r="I758" s="88" t="n"/>
      <c r="J758" s="89" t="n"/>
      <c r="K758" s="88" t="n"/>
      <c r="L758" s="88" t="n"/>
      <c r="M758" s="88" t="n"/>
      <c r="N758" s="89" t="n"/>
      <c r="O758" s="88" t="n"/>
      <c r="P758" s="88" t="n"/>
      <c r="Q758" s="88" t="n"/>
      <c r="R758" s="89" t="n"/>
      <c r="S758" s="88" t="n"/>
      <c r="T758" s="88" t="n"/>
      <c r="U758" s="88" t="n"/>
      <c r="V758" s="89" t="n"/>
      <c r="W758" s="88" t="n"/>
      <c r="X758" s="89" t="n"/>
      <c r="Y758" s="88" t="n"/>
      <c r="Z758" s="89" t="n"/>
      <c r="AB758" s="25">
        <f>IF($B758="","",(COUNTIF(C758:E758,"?*")&lt;N(INDEX(Setup!$L$6:$L$23,1)))+(COUNTIF(G758:I758,"?*")&lt;N(INDEX(Setup!$L$6:$L$23,1)))+(COUNTIF(K758:M758,"?*")&lt;N(INDEX(Setup!$L$6:$L$23,1)))+(COUNTIF(O758:Q758,"?*")&lt;N(INDEX(Setup!$L$6:$L$23,1)))+(COUNTIF(S758:U758,"?*")&lt;N(INDEX(Setup!$L$6:$L$23,1)))+((W758="")*(INDEX(Setup!$M$6:$M$23,1)="Y"))+((Y758="")*(INDEX(Setup!$M$6:$M$23,1)="Y")))</f>
        <v/>
      </c>
      <c r="AC758" s="90">
        <f>IF($B758="","",IF(AB758=0,"✓ covered","⚠ "&amp;AB758&amp;IF(AB758=1," gap"," gaps")))</f>
        <v/>
      </c>
    </row>
    <row r="759" ht="17" customHeight="1">
      <c r="A759" t="n">
        <v>16</v>
      </c>
      <c r="B759" s="29">
        <f>IF(Setup!$K$7="","",Setup!$K$7)</f>
        <v/>
      </c>
      <c r="C759" s="88" t="n"/>
      <c r="D759" s="88" t="n"/>
      <c r="E759" s="88" t="n"/>
      <c r="F759" s="89" t="n"/>
      <c r="G759" s="88" t="n"/>
      <c r="H759" s="88" t="n"/>
      <c r="I759" s="88" t="n"/>
      <c r="J759" s="89" t="n"/>
      <c r="K759" s="88" t="n"/>
      <c r="L759" s="88" t="n"/>
      <c r="M759" s="88" t="n"/>
      <c r="N759" s="89" t="n"/>
      <c r="O759" s="88" t="n"/>
      <c r="P759" s="88" t="n"/>
      <c r="Q759" s="88" t="n"/>
      <c r="R759" s="89" t="n"/>
      <c r="S759" s="88" t="n"/>
      <c r="T759" s="88" t="n"/>
      <c r="U759" s="88" t="n"/>
      <c r="V759" s="89" t="n"/>
      <c r="W759" s="88" t="n"/>
      <c r="X759" s="89" t="n"/>
      <c r="Y759" s="88" t="n"/>
      <c r="Z759" s="89" t="n"/>
      <c r="AB759" s="30">
        <f>IF($B759="","",(COUNTIF(C759:E759,"?*")&lt;N(INDEX(Setup!$L$6:$L$23,2)))+(COUNTIF(G759:I759,"?*")&lt;N(INDEX(Setup!$L$6:$L$23,2)))+(COUNTIF(K759:M759,"?*")&lt;N(INDEX(Setup!$L$6:$L$23,2)))+(COUNTIF(O759:Q759,"?*")&lt;N(INDEX(Setup!$L$6:$L$23,2)))+(COUNTIF(S759:U759,"?*")&lt;N(INDEX(Setup!$L$6:$L$23,2)))+((W759="")*(INDEX(Setup!$M$6:$M$23,2)="Y"))+((Y759="")*(INDEX(Setup!$M$6:$M$23,2)="Y")))</f>
        <v/>
      </c>
      <c r="AC759" s="91">
        <f>IF($B759="","",IF(AB759=0,"✓ covered","⚠ "&amp;AB759&amp;IF(AB759=1," gap"," gaps")))</f>
        <v/>
      </c>
    </row>
    <row r="760" ht="17" customHeight="1">
      <c r="A760" t="n">
        <v>16</v>
      </c>
      <c r="B760" s="24">
        <f>IF(Setup!$K$8="","",Setup!$K$8)</f>
        <v/>
      </c>
      <c r="C760" s="88" t="n"/>
      <c r="D760" s="88" t="n"/>
      <c r="E760" s="88" t="n"/>
      <c r="F760" s="89" t="n"/>
      <c r="G760" s="88" t="n"/>
      <c r="H760" s="88" t="n"/>
      <c r="I760" s="88" t="n"/>
      <c r="J760" s="89" t="n"/>
      <c r="K760" s="88" t="n"/>
      <c r="L760" s="88" t="n"/>
      <c r="M760" s="88" t="n"/>
      <c r="N760" s="89" t="n"/>
      <c r="O760" s="88" t="n"/>
      <c r="P760" s="88" t="n"/>
      <c r="Q760" s="88" t="n"/>
      <c r="R760" s="89" t="n"/>
      <c r="S760" s="88" t="n"/>
      <c r="T760" s="88" t="n"/>
      <c r="U760" s="88" t="n"/>
      <c r="V760" s="89" t="n"/>
      <c r="W760" s="88" t="n"/>
      <c r="X760" s="89" t="n"/>
      <c r="Y760" s="88" t="n"/>
      <c r="Z760" s="89" t="n"/>
      <c r="AB760" s="25">
        <f>IF($B760="","",(COUNTIF(C760:E760,"?*")&lt;N(INDEX(Setup!$L$6:$L$23,3)))+(COUNTIF(G760:I760,"?*")&lt;N(INDEX(Setup!$L$6:$L$23,3)))+(COUNTIF(K760:M760,"?*")&lt;N(INDEX(Setup!$L$6:$L$23,3)))+(COUNTIF(O760:Q760,"?*")&lt;N(INDEX(Setup!$L$6:$L$23,3)))+(COUNTIF(S760:U760,"?*")&lt;N(INDEX(Setup!$L$6:$L$23,3)))+((W760="")*(INDEX(Setup!$M$6:$M$23,3)="Y"))+((Y760="")*(INDEX(Setup!$M$6:$M$23,3)="Y")))</f>
        <v/>
      </c>
      <c r="AC760" s="90">
        <f>IF($B760="","",IF(AB760=0,"✓ covered","⚠ "&amp;AB760&amp;IF(AB760=1," gap"," gaps")))</f>
        <v/>
      </c>
    </row>
    <row r="761" ht="17" customHeight="1">
      <c r="A761" t="n">
        <v>16</v>
      </c>
      <c r="B761" s="29">
        <f>IF(Setup!$K$9="","",Setup!$K$9)</f>
        <v/>
      </c>
      <c r="C761" s="88" t="n"/>
      <c r="D761" s="88" t="n"/>
      <c r="E761" s="88" t="n"/>
      <c r="F761" s="89" t="n"/>
      <c r="G761" s="88" t="n"/>
      <c r="H761" s="88" t="n"/>
      <c r="I761" s="88" t="n"/>
      <c r="J761" s="89" t="n"/>
      <c r="K761" s="88" t="n"/>
      <c r="L761" s="88" t="n"/>
      <c r="M761" s="88" t="n"/>
      <c r="N761" s="89" t="n"/>
      <c r="O761" s="88" t="n"/>
      <c r="P761" s="88" t="n"/>
      <c r="Q761" s="88" t="n"/>
      <c r="R761" s="89" t="n"/>
      <c r="S761" s="88" t="n"/>
      <c r="T761" s="88" t="n"/>
      <c r="U761" s="88" t="n"/>
      <c r="V761" s="89" t="n"/>
      <c r="W761" s="88" t="n"/>
      <c r="X761" s="89" t="n"/>
      <c r="Y761" s="88" t="n"/>
      <c r="Z761" s="89" t="n"/>
      <c r="AB761" s="30">
        <f>IF($B761="","",(COUNTIF(C761:E761,"?*")&lt;N(INDEX(Setup!$L$6:$L$23,4)))+(COUNTIF(G761:I761,"?*")&lt;N(INDEX(Setup!$L$6:$L$23,4)))+(COUNTIF(K761:M761,"?*")&lt;N(INDEX(Setup!$L$6:$L$23,4)))+(COUNTIF(O761:Q761,"?*")&lt;N(INDEX(Setup!$L$6:$L$23,4)))+(COUNTIF(S761:U761,"?*")&lt;N(INDEX(Setup!$L$6:$L$23,4)))+((W761="")*(INDEX(Setup!$M$6:$M$23,4)="Y"))+((Y761="")*(INDEX(Setup!$M$6:$M$23,4)="Y")))</f>
        <v/>
      </c>
      <c r="AC761" s="91">
        <f>IF($B761="","",IF(AB761=0,"✓ covered","⚠ "&amp;AB761&amp;IF(AB761=1," gap"," gaps")))</f>
        <v/>
      </c>
    </row>
    <row r="762" ht="17" customHeight="1">
      <c r="A762" t="n">
        <v>16</v>
      </c>
      <c r="B762" s="24">
        <f>IF(Setup!$K$10="","",Setup!$K$10)</f>
        <v/>
      </c>
      <c r="C762" s="88" t="n"/>
      <c r="D762" s="88" t="n"/>
      <c r="E762" s="88" t="n"/>
      <c r="F762" s="89" t="n"/>
      <c r="G762" s="88" t="n"/>
      <c r="H762" s="88" t="n"/>
      <c r="I762" s="88" t="n"/>
      <c r="J762" s="89" t="n"/>
      <c r="K762" s="88" t="n"/>
      <c r="L762" s="88" t="n"/>
      <c r="M762" s="88" t="n"/>
      <c r="N762" s="89" t="n"/>
      <c r="O762" s="88" t="n"/>
      <c r="P762" s="88" t="n"/>
      <c r="Q762" s="88" t="n"/>
      <c r="R762" s="89" t="n"/>
      <c r="S762" s="88" t="n"/>
      <c r="T762" s="88" t="n"/>
      <c r="U762" s="88" t="n"/>
      <c r="V762" s="89" t="n"/>
      <c r="W762" s="88" t="n"/>
      <c r="X762" s="89" t="n"/>
      <c r="Y762" s="88" t="n"/>
      <c r="Z762" s="89" t="n"/>
      <c r="AB762" s="25">
        <f>IF($B762="","",(COUNTIF(C762:E762,"?*")&lt;N(INDEX(Setup!$L$6:$L$23,5)))+(COUNTIF(G762:I762,"?*")&lt;N(INDEX(Setup!$L$6:$L$23,5)))+(COUNTIF(K762:M762,"?*")&lt;N(INDEX(Setup!$L$6:$L$23,5)))+(COUNTIF(O762:Q762,"?*")&lt;N(INDEX(Setup!$L$6:$L$23,5)))+(COUNTIF(S762:U762,"?*")&lt;N(INDEX(Setup!$L$6:$L$23,5)))+((W762="")*(INDEX(Setup!$M$6:$M$23,5)="Y"))+((Y762="")*(INDEX(Setup!$M$6:$M$23,5)="Y")))</f>
        <v/>
      </c>
      <c r="AC762" s="90">
        <f>IF($B762="","",IF(AB762=0,"✓ covered","⚠ "&amp;AB762&amp;IF(AB762=1," gap"," gaps")))</f>
        <v/>
      </c>
    </row>
    <row r="763" ht="17" customHeight="1">
      <c r="A763" t="n">
        <v>16</v>
      </c>
      <c r="B763" s="29">
        <f>IF(Setup!$K$11="","",Setup!$K$11)</f>
        <v/>
      </c>
      <c r="C763" s="88" t="n"/>
      <c r="D763" s="88" t="n"/>
      <c r="E763" s="88" t="n"/>
      <c r="F763" s="89" t="n"/>
      <c r="G763" s="88" t="n"/>
      <c r="H763" s="88" t="n"/>
      <c r="I763" s="88" t="n"/>
      <c r="J763" s="89" t="n"/>
      <c r="K763" s="88" t="n"/>
      <c r="L763" s="88" t="n"/>
      <c r="M763" s="88" t="n"/>
      <c r="N763" s="89" t="n"/>
      <c r="O763" s="88" t="n"/>
      <c r="P763" s="88" t="n"/>
      <c r="Q763" s="88" t="n"/>
      <c r="R763" s="89" t="n"/>
      <c r="S763" s="88" t="n"/>
      <c r="T763" s="88" t="n"/>
      <c r="U763" s="88" t="n"/>
      <c r="V763" s="89" t="n"/>
      <c r="W763" s="88" t="n"/>
      <c r="X763" s="89" t="n"/>
      <c r="Y763" s="88" t="n"/>
      <c r="Z763" s="89" t="n"/>
      <c r="AB763" s="30">
        <f>IF($B763="","",(COUNTIF(C763:E763,"?*")&lt;N(INDEX(Setup!$L$6:$L$23,6)))+(COUNTIF(G763:I763,"?*")&lt;N(INDEX(Setup!$L$6:$L$23,6)))+(COUNTIF(K763:M763,"?*")&lt;N(INDEX(Setup!$L$6:$L$23,6)))+(COUNTIF(O763:Q763,"?*")&lt;N(INDEX(Setup!$L$6:$L$23,6)))+(COUNTIF(S763:U763,"?*")&lt;N(INDEX(Setup!$L$6:$L$23,6)))+((W763="")*(INDEX(Setup!$M$6:$M$23,6)="Y"))+((Y763="")*(INDEX(Setup!$M$6:$M$23,6)="Y")))</f>
        <v/>
      </c>
      <c r="AC763" s="91">
        <f>IF($B763="","",IF(AB763=0,"✓ covered","⚠ "&amp;AB763&amp;IF(AB763=1," gap"," gaps")))</f>
        <v/>
      </c>
    </row>
    <row r="764" ht="17" customHeight="1">
      <c r="A764" t="n">
        <v>16</v>
      </c>
      <c r="B764" s="24">
        <f>IF(Setup!$K$12="","",Setup!$K$12)</f>
        <v/>
      </c>
      <c r="C764" s="88" t="n"/>
      <c r="D764" s="88" t="n"/>
      <c r="E764" s="88" t="n"/>
      <c r="F764" s="89" t="n"/>
      <c r="G764" s="88" t="n"/>
      <c r="H764" s="88" t="n"/>
      <c r="I764" s="88" t="n"/>
      <c r="J764" s="89" t="n"/>
      <c r="K764" s="88" t="n"/>
      <c r="L764" s="88" t="n"/>
      <c r="M764" s="88" t="n"/>
      <c r="N764" s="89" t="n"/>
      <c r="O764" s="88" t="n"/>
      <c r="P764" s="88" t="n"/>
      <c r="Q764" s="88" t="n"/>
      <c r="R764" s="89" t="n"/>
      <c r="S764" s="88" t="n"/>
      <c r="T764" s="88" t="n"/>
      <c r="U764" s="88" t="n"/>
      <c r="V764" s="89" t="n"/>
      <c r="W764" s="88" t="n"/>
      <c r="X764" s="89" t="n"/>
      <c r="Y764" s="88" t="n"/>
      <c r="Z764" s="89" t="n"/>
      <c r="AB764" s="25">
        <f>IF($B764="","",(COUNTIF(C764:E764,"?*")&lt;N(INDEX(Setup!$L$6:$L$23,7)))+(COUNTIF(G764:I764,"?*")&lt;N(INDEX(Setup!$L$6:$L$23,7)))+(COUNTIF(K764:M764,"?*")&lt;N(INDEX(Setup!$L$6:$L$23,7)))+(COUNTIF(O764:Q764,"?*")&lt;N(INDEX(Setup!$L$6:$L$23,7)))+(COUNTIF(S764:U764,"?*")&lt;N(INDEX(Setup!$L$6:$L$23,7)))+((W764="")*(INDEX(Setup!$M$6:$M$23,7)="Y"))+((Y764="")*(INDEX(Setup!$M$6:$M$23,7)="Y")))</f>
        <v/>
      </c>
      <c r="AC764" s="90">
        <f>IF($B764="","",IF(AB764=0,"✓ covered","⚠ "&amp;AB764&amp;IF(AB764=1," gap"," gaps")))</f>
        <v/>
      </c>
    </row>
    <row r="765" ht="17" customHeight="1">
      <c r="A765" t="n">
        <v>16</v>
      </c>
      <c r="B765" s="29">
        <f>IF(Setup!$K$13="","",Setup!$K$13)</f>
        <v/>
      </c>
      <c r="C765" s="88" t="n"/>
      <c r="D765" s="88" t="n"/>
      <c r="E765" s="88" t="n"/>
      <c r="F765" s="89" t="n"/>
      <c r="G765" s="88" t="n"/>
      <c r="H765" s="88" t="n"/>
      <c r="I765" s="88" t="n"/>
      <c r="J765" s="89" t="n"/>
      <c r="K765" s="88" t="n"/>
      <c r="L765" s="88" t="n"/>
      <c r="M765" s="88" t="n"/>
      <c r="N765" s="89" t="n"/>
      <c r="O765" s="88" t="n"/>
      <c r="P765" s="88" t="n"/>
      <c r="Q765" s="88" t="n"/>
      <c r="R765" s="89" t="n"/>
      <c r="S765" s="88" t="n"/>
      <c r="T765" s="88" t="n"/>
      <c r="U765" s="88" t="n"/>
      <c r="V765" s="89" t="n"/>
      <c r="W765" s="88" t="n"/>
      <c r="X765" s="89" t="n"/>
      <c r="Y765" s="88" t="n"/>
      <c r="Z765" s="89" t="n"/>
      <c r="AB765" s="30">
        <f>IF($B765="","",(COUNTIF(C765:E765,"?*")&lt;N(INDEX(Setup!$L$6:$L$23,8)))+(COUNTIF(G765:I765,"?*")&lt;N(INDEX(Setup!$L$6:$L$23,8)))+(COUNTIF(K765:M765,"?*")&lt;N(INDEX(Setup!$L$6:$L$23,8)))+(COUNTIF(O765:Q765,"?*")&lt;N(INDEX(Setup!$L$6:$L$23,8)))+(COUNTIF(S765:U765,"?*")&lt;N(INDEX(Setup!$L$6:$L$23,8)))+((W765="")*(INDEX(Setup!$M$6:$M$23,8)="Y"))+((Y765="")*(INDEX(Setup!$M$6:$M$23,8)="Y")))</f>
        <v/>
      </c>
      <c r="AC765" s="91">
        <f>IF($B765="","",IF(AB765=0,"✓ covered","⚠ "&amp;AB765&amp;IF(AB765=1," gap"," gaps")))</f>
        <v/>
      </c>
    </row>
    <row r="766" ht="17" customHeight="1">
      <c r="A766" t="n">
        <v>16</v>
      </c>
      <c r="B766" s="24">
        <f>IF(Setup!$K$14="","",Setup!$K$14)</f>
        <v/>
      </c>
      <c r="C766" s="88" t="n"/>
      <c r="D766" s="88" t="n"/>
      <c r="E766" s="88" t="n"/>
      <c r="F766" s="89" t="n"/>
      <c r="G766" s="88" t="n"/>
      <c r="H766" s="88" t="n"/>
      <c r="I766" s="88" t="n"/>
      <c r="J766" s="89" t="n"/>
      <c r="K766" s="88" t="n"/>
      <c r="L766" s="88" t="n"/>
      <c r="M766" s="88" t="n"/>
      <c r="N766" s="89" t="n"/>
      <c r="O766" s="88" t="n"/>
      <c r="P766" s="88" t="n"/>
      <c r="Q766" s="88" t="n"/>
      <c r="R766" s="89" t="n"/>
      <c r="S766" s="88" t="n"/>
      <c r="T766" s="88" t="n"/>
      <c r="U766" s="88" t="n"/>
      <c r="V766" s="89" t="n"/>
      <c r="W766" s="88" t="n"/>
      <c r="X766" s="89" t="n"/>
      <c r="Y766" s="88" t="n"/>
      <c r="Z766" s="89" t="n"/>
      <c r="AB766" s="25">
        <f>IF($B766="","",(COUNTIF(C766:E766,"?*")&lt;N(INDEX(Setup!$L$6:$L$23,9)))+(COUNTIF(G766:I766,"?*")&lt;N(INDEX(Setup!$L$6:$L$23,9)))+(COUNTIF(K766:M766,"?*")&lt;N(INDEX(Setup!$L$6:$L$23,9)))+(COUNTIF(O766:Q766,"?*")&lt;N(INDEX(Setup!$L$6:$L$23,9)))+(COUNTIF(S766:U766,"?*")&lt;N(INDEX(Setup!$L$6:$L$23,9)))+((W766="")*(INDEX(Setup!$M$6:$M$23,9)="Y"))+((Y766="")*(INDEX(Setup!$M$6:$M$23,9)="Y")))</f>
        <v/>
      </c>
      <c r="AC766" s="90">
        <f>IF($B766="","",IF(AB766=0,"✓ covered","⚠ "&amp;AB766&amp;IF(AB766=1," gap"," gaps")))</f>
        <v/>
      </c>
    </row>
    <row r="767" ht="17" customHeight="1">
      <c r="A767" t="n">
        <v>16</v>
      </c>
      <c r="B767" s="29">
        <f>IF(Setup!$K$15="","",Setup!$K$15)</f>
        <v/>
      </c>
      <c r="C767" s="88" t="n"/>
      <c r="D767" s="88" t="n"/>
      <c r="E767" s="88" t="n"/>
      <c r="F767" s="89" t="n"/>
      <c r="G767" s="88" t="n"/>
      <c r="H767" s="88" t="n"/>
      <c r="I767" s="88" t="n"/>
      <c r="J767" s="89" t="n"/>
      <c r="K767" s="88" t="n"/>
      <c r="L767" s="88" t="n"/>
      <c r="M767" s="88" t="n"/>
      <c r="N767" s="89" t="n"/>
      <c r="O767" s="88" t="n"/>
      <c r="P767" s="88" t="n"/>
      <c r="Q767" s="88" t="n"/>
      <c r="R767" s="89" t="n"/>
      <c r="S767" s="88" t="n"/>
      <c r="T767" s="88" t="n"/>
      <c r="U767" s="88" t="n"/>
      <c r="V767" s="89" t="n"/>
      <c r="W767" s="88" t="n"/>
      <c r="X767" s="89" t="n"/>
      <c r="Y767" s="88" t="n"/>
      <c r="Z767" s="89" t="n"/>
      <c r="AB767" s="30">
        <f>IF($B767="","",(COUNTIF(C767:E767,"?*")&lt;N(INDEX(Setup!$L$6:$L$23,10)))+(COUNTIF(G767:I767,"?*")&lt;N(INDEX(Setup!$L$6:$L$23,10)))+(COUNTIF(K767:M767,"?*")&lt;N(INDEX(Setup!$L$6:$L$23,10)))+(COUNTIF(O767:Q767,"?*")&lt;N(INDEX(Setup!$L$6:$L$23,10)))+(COUNTIF(S767:U767,"?*")&lt;N(INDEX(Setup!$L$6:$L$23,10)))+((W767="")*(INDEX(Setup!$M$6:$M$23,10)="Y"))+((Y767="")*(INDEX(Setup!$M$6:$M$23,10)="Y")))</f>
        <v/>
      </c>
      <c r="AC767" s="91">
        <f>IF($B767="","",IF(AB767=0,"✓ covered","⚠ "&amp;AB767&amp;IF(AB767=1," gap"," gaps")))</f>
        <v/>
      </c>
    </row>
    <row r="768" ht="17" customHeight="1">
      <c r="A768" t="n">
        <v>16</v>
      </c>
      <c r="B768" s="24">
        <f>IF(Setup!$K$16="","",Setup!$K$16)</f>
        <v/>
      </c>
      <c r="C768" s="88" t="n"/>
      <c r="D768" s="88" t="n"/>
      <c r="E768" s="88" t="n"/>
      <c r="F768" s="89" t="n"/>
      <c r="G768" s="88" t="n"/>
      <c r="H768" s="88" t="n"/>
      <c r="I768" s="88" t="n"/>
      <c r="J768" s="89" t="n"/>
      <c r="K768" s="88" t="n"/>
      <c r="L768" s="88" t="n"/>
      <c r="M768" s="88" t="n"/>
      <c r="N768" s="89" t="n"/>
      <c r="O768" s="88" t="n"/>
      <c r="P768" s="88" t="n"/>
      <c r="Q768" s="88" t="n"/>
      <c r="R768" s="89" t="n"/>
      <c r="S768" s="88" t="n"/>
      <c r="T768" s="88" t="n"/>
      <c r="U768" s="88" t="n"/>
      <c r="V768" s="89" t="n"/>
      <c r="W768" s="88" t="n"/>
      <c r="X768" s="89" t="n"/>
      <c r="Y768" s="88" t="n"/>
      <c r="Z768" s="89" t="n"/>
      <c r="AB768" s="25">
        <f>IF($B768="","",(COUNTIF(C768:E768,"?*")&lt;N(INDEX(Setup!$L$6:$L$23,11)))+(COUNTIF(G768:I768,"?*")&lt;N(INDEX(Setup!$L$6:$L$23,11)))+(COUNTIF(K768:M768,"?*")&lt;N(INDEX(Setup!$L$6:$L$23,11)))+(COUNTIF(O768:Q768,"?*")&lt;N(INDEX(Setup!$L$6:$L$23,11)))+(COUNTIF(S768:U768,"?*")&lt;N(INDEX(Setup!$L$6:$L$23,11)))+((W768="")*(INDEX(Setup!$M$6:$M$23,11)="Y"))+((Y768="")*(INDEX(Setup!$M$6:$M$23,11)="Y")))</f>
        <v/>
      </c>
      <c r="AC768" s="90">
        <f>IF($B768="","",IF(AB768=0,"✓ covered","⚠ "&amp;AB768&amp;IF(AB768=1," gap"," gaps")))</f>
        <v/>
      </c>
    </row>
    <row r="769" ht="17" customHeight="1">
      <c r="A769" t="n">
        <v>16</v>
      </c>
      <c r="B769" s="29">
        <f>IF(Setup!$K$17="","",Setup!$K$17)</f>
        <v/>
      </c>
      <c r="C769" s="88" t="n"/>
      <c r="D769" s="88" t="n"/>
      <c r="E769" s="88" t="n"/>
      <c r="F769" s="89" t="n"/>
      <c r="G769" s="88" t="n"/>
      <c r="H769" s="88" t="n"/>
      <c r="I769" s="88" t="n"/>
      <c r="J769" s="89" t="n"/>
      <c r="K769" s="88" t="n"/>
      <c r="L769" s="88" t="n"/>
      <c r="M769" s="88" t="n"/>
      <c r="N769" s="89" t="n"/>
      <c r="O769" s="88" t="n"/>
      <c r="P769" s="88" t="n"/>
      <c r="Q769" s="88" t="n"/>
      <c r="R769" s="89" t="n"/>
      <c r="S769" s="88" t="n"/>
      <c r="T769" s="88" t="n"/>
      <c r="U769" s="88" t="n"/>
      <c r="V769" s="89" t="n"/>
      <c r="W769" s="88" t="n"/>
      <c r="X769" s="89" t="n"/>
      <c r="Y769" s="88" t="n"/>
      <c r="Z769" s="89" t="n"/>
      <c r="AB769" s="30">
        <f>IF($B769="","",(COUNTIF(C769:E769,"?*")&lt;N(INDEX(Setup!$L$6:$L$23,12)))+(COUNTIF(G769:I769,"?*")&lt;N(INDEX(Setup!$L$6:$L$23,12)))+(COUNTIF(K769:M769,"?*")&lt;N(INDEX(Setup!$L$6:$L$23,12)))+(COUNTIF(O769:Q769,"?*")&lt;N(INDEX(Setup!$L$6:$L$23,12)))+(COUNTIF(S769:U769,"?*")&lt;N(INDEX(Setup!$L$6:$L$23,12)))+((W769="")*(INDEX(Setup!$M$6:$M$23,12)="Y"))+((Y769="")*(INDEX(Setup!$M$6:$M$23,12)="Y")))</f>
        <v/>
      </c>
      <c r="AC769" s="91">
        <f>IF($B769="","",IF(AB769=0,"✓ covered","⚠ "&amp;AB769&amp;IF(AB769=1," gap"," gaps")))</f>
        <v/>
      </c>
    </row>
    <row r="770" ht="17" customHeight="1">
      <c r="A770" t="n">
        <v>16</v>
      </c>
      <c r="B770" s="24">
        <f>IF(Setup!$K$18="","",Setup!$K$18)</f>
        <v/>
      </c>
      <c r="C770" s="88" t="n"/>
      <c r="D770" s="88" t="n"/>
      <c r="E770" s="88" t="n"/>
      <c r="F770" s="89" t="n"/>
      <c r="G770" s="88" t="n"/>
      <c r="H770" s="88" t="n"/>
      <c r="I770" s="88" t="n"/>
      <c r="J770" s="89" t="n"/>
      <c r="K770" s="88" t="n"/>
      <c r="L770" s="88" t="n"/>
      <c r="M770" s="88" t="n"/>
      <c r="N770" s="89" t="n"/>
      <c r="O770" s="88" t="n"/>
      <c r="P770" s="88" t="n"/>
      <c r="Q770" s="88" t="n"/>
      <c r="R770" s="89" t="n"/>
      <c r="S770" s="88" t="n"/>
      <c r="T770" s="88" t="n"/>
      <c r="U770" s="88" t="n"/>
      <c r="V770" s="89" t="n"/>
      <c r="W770" s="88" t="n"/>
      <c r="X770" s="89" t="n"/>
      <c r="Y770" s="88" t="n"/>
      <c r="Z770" s="89" t="n"/>
      <c r="AB770" s="25">
        <f>IF($B770="","",(COUNTIF(C770:E770,"?*")&lt;N(INDEX(Setup!$L$6:$L$23,13)))+(COUNTIF(G770:I770,"?*")&lt;N(INDEX(Setup!$L$6:$L$23,13)))+(COUNTIF(K770:M770,"?*")&lt;N(INDEX(Setup!$L$6:$L$23,13)))+(COUNTIF(O770:Q770,"?*")&lt;N(INDEX(Setup!$L$6:$L$23,13)))+(COUNTIF(S770:U770,"?*")&lt;N(INDEX(Setup!$L$6:$L$23,13)))+((W770="")*(INDEX(Setup!$M$6:$M$23,13)="Y"))+((Y770="")*(INDEX(Setup!$M$6:$M$23,13)="Y")))</f>
        <v/>
      </c>
      <c r="AC770" s="90">
        <f>IF($B770="","",IF(AB770=0,"✓ covered","⚠ "&amp;AB770&amp;IF(AB770=1," gap"," gaps")))</f>
        <v/>
      </c>
    </row>
    <row r="771" ht="17" customHeight="1">
      <c r="A771" t="n">
        <v>16</v>
      </c>
      <c r="B771" s="29">
        <f>IF(Setup!$K$19="","",Setup!$K$19)</f>
        <v/>
      </c>
      <c r="C771" s="88" t="n"/>
      <c r="D771" s="88" t="n"/>
      <c r="E771" s="88" t="n"/>
      <c r="F771" s="89" t="n"/>
      <c r="G771" s="88" t="n"/>
      <c r="H771" s="88" t="n"/>
      <c r="I771" s="88" t="n"/>
      <c r="J771" s="89" t="n"/>
      <c r="K771" s="88" t="n"/>
      <c r="L771" s="88" t="n"/>
      <c r="M771" s="88" t="n"/>
      <c r="N771" s="89" t="n"/>
      <c r="O771" s="88" t="n"/>
      <c r="P771" s="88" t="n"/>
      <c r="Q771" s="88" t="n"/>
      <c r="R771" s="89" t="n"/>
      <c r="S771" s="88" t="n"/>
      <c r="T771" s="88" t="n"/>
      <c r="U771" s="88" t="n"/>
      <c r="V771" s="89" t="n"/>
      <c r="W771" s="88" t="n"/>
      <c r="X771" s="89" t="n"/>
      <c r="Y771" s="88" t="n"/>
      <c r="Z771" s="89" t="n"/>
      <c r="AB771" s="30">
        <f>IF($B771="","",(COUNTIF(C771:E771,"?*")&lt;N(INDEX(Setup!$L$6:$L$23,14)))+(COUNTIF(G771:I771,"?*")&lt;N(INDEX(Setup!$L$6:$L$23,14)))+(COUNTIF(K771:M771,"?*")&lt;N(INDEX(Setup!$L$6:$L$23,14)))+(COUNTIF(O771:Q771,"?*")&lt;N(INDEX(Setup!$L$6:$L$23,14)))+(COUNTIF(S771:U771,"?*")&lt;N(INDEX(Setup!$L$6:$L$23,14)))+((W771="")*(INDEX(Setup!$M$6:$M$23,14)="Y"))+((Y771="")*(INDEX(Setup!$M$6:$M$23,14)="Y")))</f>
        <v/>
      </c>
      <c r="AC771" s="91">
        <f>IF($B771="","",IF(AB771=0,"✓ covered","⚠ "&amp;AB771&amp;IF(AB771=1," gap"," gaps")))</f>
        <v/>
      </c>
    </row>
    <row r="772" ht="17" customHeight="1">
      <c r="A772" t="n">
        <v>16</v>
      </c>
      <c r="B772" s="24">
        <f>IF(Setup!$K$20="","",Setup!$K$20)</f>
        <v/>
      </c>
      <c r="C772" s="88" t="n"/>
      <c r="D772" s="88" t="n"/>
      <c r="E772" s="88" t="n"/>
      <c r="F772" s="89" t="n"/>
      <c r="G772" s="88" t="n"/>
      <c r="H772" s="88" t="n"/>
      <c r="I772" s="88" t="n"/>
      <c r="J772" s="89" t="n"/>
      <c r="K772" s="88" t="n"/>
      <c r="L772" s="88" t="n"/>
      <c r="M772" s="88" t="n"/>
      <c r="N772" s="89" t="n"/>
      <c r="O772" s="88" t="n"/>
      <c r="P772" s="88" t="n"/>
      <c r="Q772" s="88" t="n"/>
      <c r="R772" s="89" t="n"/>
      <c r="S772" s="88" t="n"/>
      <c r="T772" s="88" t="n"/>
      <c r="U772" s="88" t="n"/>
      <c r="V772" s="89" t="n"/>
      <c r="W772" s="88" t="n"/>
      <c r="X772" s="89" t="n"/>
      <c r="Y772" s="88" t="n"/>
      <c r="Z772" s="89" t="n"/>
      <c r="AB772" s="25">
        <f>IF($B772="","",(COUNTIF(C772:E772,"?*")&lt;N(INDEX(Setup!$L$6:$L$23,15)))+(COUNTIF(G772:I772,"?*")&lt;N(INDEX(Setup!$L$6:$L$23,15)))+(COUNTIF(K772:M772,"?*")&lt;N(INDEX(Setup!$L$6:$L$23,15)))+(COUNTIF(O772:Q772,"?*")&lt;N(INDEX(Setup!$L$6:$L$23,15)))+(COUNTIF(S772:U772,"?*")&lt;N(INDEX(Setup!$L$6:$L$23,15)))+((W772="")*(INDEX(Setup!$M$6:$M$23,15)="Y"))+((Y772="")*(INDEX(Setup!$M$6:$M$23,15)="Y")))</f>
        <v/>
      </c>
      <c r="AC772" s="90">
        <f>IF($B772="","",IF(AB772=0,"✓ covered","⚠ "&amp;AB772&amp;IF(AB772=1," gap"," gaps")))</f>
        <v/>
      </c>
    </row>
    <row r="773" ht="17" customHeight="1">
      <c r="A773" t="n">
        <v>16</v>
      </c>
      <c r="B773" s="29">
        <f>IF(Setup!$K$21="","",Setup!$K$21)</f>
        <v/>
      </c>
      <c r="C773" s="88" t="n"/>
      <c r="D773" s="88" t="n"/>
      <c r="E773" s="88" t="n"/>
      <c r="F773" s="89" t="n"/>
      <c r="G773" s="88" t="n"/>
      <c r="H773" s="88" t="n"/>
      <c r="I773" s="88" t="n"/>
      <c r="J773" s="89" t="n"/>
      <c r="K773" s="88" t="n"/>
      <c r="L773" s="88" t="n"/>
      <c r="M773" s="88" t="n"/>
      <c r="N773" s="89" t="n"/>
      <c r="O773" s="88" t="n"/>
      <c r="P773" s="88" t="n"/>
      <c r="Q773" s="88" t="n"/>
      <c r="R773" s="89" t="n"/>
      <c r="S773" s="88" t="n"/>
      <c r="T773" s="88" t="n"/>
      <c r="U773" s="88" t="n"/>
      <c r="V773" s="89" t="n"/>
      <c r="W773" s="88" t="n"/>
      <c r="X773" s="89" t="n"/>
      <c r="Y773" s="88" t="n"/>
      <c r="Z773" s="89" t="n"/>
      <c r="AB773" s="30">
        <f>IF($B773="","",(COUNTIF(C773:E773,"?*")&lt;N(INDEX(Setup!$L$6:$L$23,16)))+(COUNTIF(G773:I773,"?*")&lt;N(INDEX(Setup!$L$6:$L$23,16)))+(COUNTIF(K773:M773,"?*")&lt;N(INDEX(Setup!$L$6:$L$23,16)))+(COUNTIF(O773:Q773,"?*")&lt;N(INDEX(Setup!$L$6:$L$23,16)))+(COUNTIF(S773:U773,"?*")&lt;N(INDEX(Setup!$L$6:$L$23,16)))+((W773="")*(INDEX(Setup!$M$6:$M$23,16)="Y"))+((Y773="")*(INDEX(Setup!$M$6:$M$23,16)="Y")))</f>
        <v/>
      </c>
      <c r="AC773" s="91">
        <f>IF($B773="","",IF(AB773=0,"✓ covered","⚠ "&amp;AB773&amp;IF(AB773=1," gap"," gaps")))</f>
        <v/>
      </c>
    </row>
    <row r="774" ht="17" customHeight="1">
      <c r="A774" t="n">
        <v>16</v>
      </c>
      <c r="B774" s="24">
        <f>IF(Setup!$K$22="","",Setup!$K$22)</f>
        <v/>
      </c>
      <c r="C774" s="88" t="n"/>
      <c r="D774" s="88" t="n"/>
      <c r="E774" s="88" t="n"/>
      <c r="F774" s="89" t="n"/>
      <c r="G774" s="88" t="n"/>
      <c r="H774" s="88" t="n"/>
      <c r="I774" s="88" t="n"/>
      <c r="J774" s="89" t="n"/>
      <c r="K774" s="88" t="n"/>
      <c r="L774" s="88" t="n"/>
      <c r="M774" s="88" t="n"/>
      <c r="N774" s="89" t="n"/>
      <c r="O774" s="88" t="n"/>
      <c r="P774" s="88" t="n"/>
      <c r="Q774" s="88" t="n"/>
      <c r="R774" s="89" t="n"/>
      <c r="S774" s="88" t="n"/>
      <c r="T774" s="88" t="n"/>
      <c r="U774" s="88" t="n"/>
      <c r="V774" s="89" t="n"/>
      <c r="W774" s="88" t="n"/>
      <c r="X774" s="89" t="n"/>
      <c r="Y774" s="88" t="n"/>
      <c r="Z774" s="89" t="n"/>
      <c r="AB774" s="25">
        <f>IF($B774="","",(COUNTIF(C774:E774,"?*")&lt;N(INDEX(Setup!$L$6:$L$23,17)))+(COUNTIF(G774:I774,"?*")&lt;N(INDEX(Setup!$L$6:$L$23,17)))+(COUNTIF(K774:M774,"?*")&lt;N(INDEX(Setup!$L$6:$L$23,17)))+(COUNTIF(O774:Q774,"?*")&lt;N(INDEX(Setup!$L$6:$L$23,17)))+(COUNTIF(S774:U774,"?*")&lt;N(INDEX(Setup!$L$6:$L$23,17)))+((W774="")*(INDEX(Setup!$M$6:$M$23,17)="Y"))+((Y774="")*(INDEX(Setup!$M$6:$M$23,17)="Y")))</f>
        <v/>
      </c>
      <c r="AC774" s="90">
        <f>IF($B774="","",IF(AB774=0,"✓ covered","⚠ "&amp;AB774&amp;IF(AB774=1," gap"," gaps")))</f>
        <v/>
      </c>
    </row>
    <row r="775" ht="17" customHeight="1">
      <c r="A775" t="n">
        <v>16</v>
      </c>
      <c r="B775" s="29">
        <f>IF(Setup!$K$23="","",Setup!$K$23)</f>
        <v/>
      </c>
      <c r="C775" s="88" t="n"/>
      <c r="D775" s="88" t="n"/>
      <c r="E775" s="88" t="n"/>
      <c r="F775" s="89" t="n"/>
      <c r="G775" s="88" t="n"/>
      <c r="H775" s="88" t="n"/>
      <c r="I775" s="88" t="n"/>
      <c r="J775" s="89" t="n"/>
      <c r="K775" s="88" t="n"/>
      <c r="L775" s="88" t="n"/>
      <c r="M775" s="88" t="n"/>
      <c r="N775" s="89" t="n"/>
      <c r="O775" s="88" t="n"/>
      <c r="P775" s="88" t="n"/>
      <c r="Q775" s="88" t="n"/>
      <c r="R775" s="89" t="n"/>
      <c r="S775" s="88" t="n"/>
      <c r="T775" s="88" t="n"/>
      <c r="U775" s="88" t="n"/>
      <c r="V775" s="89" t="n"/>
      <c r="W775" s="88" t="n"/>
      <c r="X775" s="89" t="n"/>
      <c r="Y775" s="88" t="n"/>
      <c r="Z775" s="89" t="n"/>
      <c r="AB775" s="30">
        <f>IF($B775="","",(COUNTIF(C775:E775,"?*")&lt;N(INDEX(Setup!$L$6:$L$23,18)))+(COUNTIF(G775:I775,"?*")&lt;N(INDEX(Setup!$L$6:$L$23,18)))+(COUNTIF(K775:M775,"?*")&lt;N(INDEX(Setup!$L$6:$L$23,18)))+(COUNTIF(O775:Q775,"?*")&lt;N(INDEX(Setup!$L$6:$L$23,18)))+(COUNTIF(S775:U775,"?*")&lt;N(INDEX(Setup!$L$6:$L$23,18)))+((W775="")*(INDEX(Setup!$M$6:$M$23,18)="Y"))+((Y775="")*(INDEX(Setup!$M$6:$M$23,18)="Y")))</f>
        <v/>
      </c>
      <c r="AC775" s="91">
        <f>IF($B775="","",IF(AB775=0,"✓ covered","⚠ "&amp;AB775&amp;IF(AB775=1," gap"," gaps")))</f>
        <v/>
      </c>
    </row>
    <row r="776" ht="18" customHeight="1">
      <c r="A776" t="n">
        <v>16</v>
      </c>
      <c r="B776" s="78" t="inlineStr">
        <is>
          <t>TEAM AVAILABILITY</t>
        </is>
      </c>
      <c r="C776" s="92" t="inlineStr">
        <is>
          <t>Mon</t>
        </is>
      </c>
      <c r="D776" s="93" t="n"/>
      <c r="E776" s="93" t="n"/>
      <c r="F776" s="94" t="n"/>
      <c r="G776" s="92" t="inlineStr">
        <is>
          <t>Tue</t>
        </is>
      </c>
      <c r="H776" s="93" t="n"/>
      <c r="I776" s="93" t="n"/>
      <c r="J776" s="94" t="n"/>
      <c r="K776" s="92" t="inlineStr">
        <is>
          <t>Wed</t>
        </is>
      </c>
      <c r="L776" s="93" t="n"/>
      <c r="M776" s="93" t="n"/>
      <c r="N776" s="94" t="n"/>
      <c r="O776" s="92" t="inlineStr">
        <is>
          <t>Thu</t>
        </is>
      </c>
      <c r="P776" s="93" t="n"/>
      <c r="Q776" s="93" t="n"/>
      <c r="R776" s="94" t="n"/>
      <c r="S776" s="92" t="inlineStr">
        <is>
          <t>Fri</t>
        </is>
      </c>
      <c r="T776" s="93" t="n"/>
      <c r="U776" s="93" t="n"/>
      <c r="V776" s="94" t="n"/>
      <c r="W776" s="95" t="inlineStr">
        <is>
          <t>Sat</t>
        </is>
      </c>
      <c r="X776" s="96" t="n"/>
      <c r="Y776" s="95" t="inlineStr">
        <is>
          <t>Sun</t>
        </is>
      </c>
      <c r="Z776" s="96" t="n"/>
      <c r="AB776" s="97" t="inlineStr">
        <is>
          <t>Days rostered</t>
        </is>
      </c>
      <c r="AC776" s="97" t="inlineStr">
        <is>
          <t>Conflicts</t>
        </is>
      </c>
    </row>
    <row r="777" ht="15" customHeight="1">
      <c r="A777" t="n">
        <v>16</v>
      </c>
      <c r="B777" s="35">
        <f>IF(Setup!$B$6="","",Setup!$B$6)</f>
        <v/>
      </c>
      <c r="C777" s="98" t="n"/>
      <c r="D777" s="99" t="n"/>
      <c r="E777" s="99" t="n"/>
      <c r="F777" s="100" t="n"/>
      <c r="G777" s="98" t="n"/>
      <c r="H777" s="99" t="n"/>
      <c r="I777" s="99" t="n"/>
      <c r="J777" s="100" t="n"/>
      <c r="K777" s="98" t="n"/>
      <c r="L777" s="99" t="n"/>
      <c r="M777" s="99" t="n"/>
      <c r="N777" s="100" t="n"/>
      <c r="O777" s="98" t="n"/>
      <c r="P777" s="99" t="n"/>
      <c r="Q777" s="99" t="n"/>
      <c r="R777" s="100" t="n"/>
      <c r="S777" s="98" t="n"/>
      <c r="T777" s="99" t="n"/>
      <c r="U777" s="99" t="n"/>
      <c r="V777" s="100" t="n"/>
      <c r="W777" s="98" t="n"/>
      <c r="X777" s="100" t="n"/>
      <c r="Y777" s="98" t="n"/>
      <c r="Z777" s="100" t="n"/>
      <c r="AB777" s="101">
        <f>IF($B777="","",(COUNTIF(C758:E775,$B777)+COUNTIF(C758:E775,$B777&amp;" ~*")&gt;0)+(COUNTIF(G758:I775,$B777)+COUNTIF(G758:I775,$B777&amp;" ~*")&gt;0)+(COUNTIF(K758:M775,$B777)+COUNTIF(K758:M775,$B777&amp;" ~*")&gt;0)+(COUNTIF(O758:Q775,$B777)+COUNTIF(O758:Q775,$B777&amp;" ~*")&gt;0)+(COUNTIF(S758:U775,$B777)+COUNTIF(S758:U775,$B777&amp;" ~*")&gt;0)+(COUNTIF(W758:W775,$B777)+COUNTIF(W758:W775,$B777&amp;" ~*")&gt;0)+(COUNTIF(Y758:Y775,$B777)+COUNTIF(Y758:Y775,$B777&amp;" ~*")&gt;0))</f>
        <v/>
      </c>
      <c r="AC777" s="36">
        <f>IF($B777="","",(IFERROR(INDEX(Setup!$G$33:$G$40,MATCH(C777,Setup!$B$33:$B$40,0)),0)=1)*(COUNTIF(C758:E775,$B777)+COUNTIF(C758:E775,$B777&amp;" ~*")&gt;0)+(IFERROR(INDEX(Setup!$G$33:$G$40,MATCH(G777,Setup!$B$33:$B$40,0)),0)=1)*(COUNTIF(G758:I775,$B777)+COUNTIF(G758:I775,$B777&amp;" ~*")&gt;0)+(IFERROR(INDEX(Setup!$G$33:$G$40,MATCH(K777,Setup!$B$33:$B$40,0)),0)=1)*(COUNTIF(K758:M775,$B777)+COUNTIF(K758:M775,$B777&amp;" ~*")&gt;0)+(IFERROR(INDEX(Setup!$G$33:$G$40,MATCH(O777,Setup!$B$33:$B$40,0)),0)=1)*(COUNTIF(O758:Q775,$B777)+COUNTIF(O758:Q775,$B777&amp;" ~*")&gt;0)+(IFERROR(INDEX(Setup!$G$33:$G$40,MATCH(S777,Setup!$B$33:$B$40,0)),0)=1)*(COUNTIF(S758:U775,$B777)+COUNTIF(S758:U775,$B777&amp;" ~*")&gt;0)+(IFERROR(INDEX(Setup!$G$33:$G$40,MATCH(W777,Setup!$B$33:$B$40,0)),0)=1)*(COUNTIF(W758:W775,$B777)+COUNTIF(W758:W775,$B777&amp;" ~*")&gt;0)+(IFERROR(INDEX(Setup!$G$33:$G$40,MATCH(Y777,Setup!$B$33:$B$40,0)),0)=1)*(COUNTIF(Y758:Y775,$B777)+COUNTIF(Y758:Y775,$B777&amp;" ~*")&gt;0))</f>
        <v/>
      </c>
    </row>
    <row r="778" ht="15" customHeight="1">
      <c r="A778" t="n">
        <v>16</v>
      </c>
      <c r="B778" s="37">
        <f>IF(Setup!$B$7="","",Setup!$B$7)</f>
        <v/>
      </c>
      <c r="C778" s="102" t="n"/>
      <c r="D778" s="103" t="n"/>
      <c r="E778" s="103" t="n"/>
      <c r="F778" s="104" t="n"/>
      <c r="G778" s="102" t="n"/>
      <c r="H778" s="103" t="n"/>
      <c r="I778" s="103" t="n"/>
      <c r="J778" s="104" t="n"/>
      <c r="K778" s="102" t="n"/>
      <c r="L778" s="103" t="n"/>
      <c r="M778" s="103" t="n"/>
      <c r="N778" s="104" t="n"/>
      <c r="O778" s="102" t="n"/>
      <c r="P778" s="103" t="n"/>
      <c r="Q778" s="103" t="n"/>
      <c r="R778" s="104" t="n"/>
      <c r="S778" s="102" t="n"/>
      <c r="T778" s="103" t="n"/>
      <c r="U778" s="103" t="n"/>
      <c r="V778" s="104" t="n"/>
      <c r="W778" s="102" t="n"/>
      <c r="X778" s="104" t="n"/>
      <c r="Y778" s="102" t="n"/>
      <c r="Z778" s="104" t="n"/>
      <c r="AB778" s="105">
        <f>IF($B778="","",(COUNTIF(C758:E775,$B778)+COUNTIF(C758:E775,$B778&amp;" ~*")&gt;0)+(COUNTIF(G758:I775,$B778)+COUNTIF(G758:I775,$B778&amp;" ~*")&gt;0)+(COUNTIF(K758:M775,$B778)+COUNTIF(K758:M775,$B778&amp;" ~*")&gt;0)+(COUNTIF(O758:Q775,$B778)+COUNTIF(O758:Q775,$B778&amp;" ~*")&gt;0)+(COUNTIF(S758:U775,$B778)+COUNTIF(S758:U775,$B778&amp;" ~*")&gt;0)+(COUNTIF(W758:W775,$B778)+COUNTIF(W758:W775,$B778&amp;" ~*")&gt;0)+(COUNTIF(Y758:Y775,$B778)+COUNTIF(Y758:Y775,$B778&amp;" ~*")&gt;0))</f>
        <v/>
      </c>
      <c r="AC778" s="38">
        <f>IF($B778="","",(IFERROR(INDEX(Setup!$G$33:$G$40,MATCH(C778,Setup!$B$33:$B$40,0)),0)=1)*(COUNTIF(C758:E775,$B778)+COUNTIF(C758:E775,$B778&amp;" ~*")&gt;0)+(IFERROR(INDEX(Setup!$G$33:$G$40,MATCH(G778,Setup!$B$33:$B$40,0)),0)=1)*(COUNTIF(G758:I775,$B778)+COUNTIF(G758:I775,$B778&amp;" ~*")&gt;0)+(IFERROR(INDEX(Setup!$G$33:$G$40,MATCH(K778,Setup!$B$33:$B$40,0)),0)=1)*(COUNTIF(K758:M775,$B778)+COUNTIF(K758:M775,$B778&amp;" ~*")&gt;0)+(IFERROR(INDEX(Setup!$G$33:$G$40,MATCH(O778,Setup!$B$33:$B$40,0)),0)=1)*(COUNTIF(O758:Q775,$B778)+COUNTIF(O758:Q775,$B778&amp;" ~*")&gt;0)+(IFERROR(INDEX(Setup!$G$33:$G$40,MATCH(S778,Setup!$B$33:$B$40,0)),0)=1)*(COUNTIF(S758:U775,$B778)+COUNTIF(S758:U775,$B778&amp;" ~*")&gt;0)+(IFERROR(INDEX(Setup!$G$33:$G$40,MATCH(W778,Setup!$B$33:$B$40,0)),0)=1)*(COUNTIF(W758:W775,$B778)+COUNTIF(W758:W775,$B778&amp;" ~*")&gt;0)+(IFERROR(INDEX(Setup!$G$33:$G$40,MATCH(Y778,Setup!$B$33:$B$40,0)),0)=1)*(COUNTIF(Y758:Y775,$B778)+COUNTIF(Y758:Y775,$B778&amp;" ~*")&gt;0))</f>
        <v/>
      </c>
    </row>
    <row r="779" ht="15" customHeight="1">
      <c r="A779" t="n">
        <v>16</v>
      </c>
      <c r="B779" s="35">
        <f>IF(Setup!$B$8="","",Setup!$B$8)</f>
        <v/>
      </c>
      <c r="C779" s="98" t="n"/>
      <c r="D779" s="99" t="n"/>
      <c r="E779" s="99" t="n"/>
      <c r="F779" s="100" t="n"/>
      <c r="G779" s="98" t="n"/>
      <c r="H779" s="99" t="n"/>
      <c r="I779" s="99" t="n"/>
      <c r="J779" s="100" t="n"/>
      <c r="K779" s="98" t="n"/>
      <c r="L779" s="99" t="n"/>
      <c r="M779" s="99" t="n"/>
      <c r="N779" s="100" t="n"/>
      <c r="O779" s="98" t="n"/>
      <c r="P779" s="99" t="n"/>
      <c r="Q779" s="99" t="n"/>
      <c r="R779" s="100" t="n"/>
      <c r="S779" s="98" t="n"/>
      <c r="T779" s="99" t="n"/>
      <c r="U779" s="99" t="n"/>
      <c r="V779" s="100" t="n"/>
      <c r="W779" s="98" t="n"/>
      <c r="X779" s="100" t="n"/>
      <c r="Y779" s="98" t="n"/>
      <c r="Z779" s="100" t="n"/>
      <c r="AB779" s="101">
        <f>IF($B779="","",(COUNTIF(C758:E775,$B779)+COUNTIF(C758:E775,$B779&amp;" ~*")&gt;0)+(COUNTIF(G758:I775,$B779)+COUNTIF(G758:I775,$B779&amp;" ~*")&gt;0)+(COUNTIF(K758:M775,$B779)+COUNTIF(K758:M775,$B779&amp;" ~*")&gt;0)+(COUNTIF(O758:Q775,$B779)+COUNTIF(O758:Q775,$B779&amp;" ~*")&gt;0)+(COUNTIF(S758:U775,$B779)+COUNTIF(S758:U775,$B779&amp;" ~*")&gt;0)+(COUNTIF(W758:W775,$B779)+COUNTIF(W758:W775,$B779&amp;" ~*")&gt;0)+(COUNTIF(Y758:Y775,$B779)+COUNTIF(Y758:Y775,$B779&amp;" ~*")&gt;0))</f>
        <v/>
      </c>
      <c r="AC779" s="36">
        <f>IF($B779="","",(IFERROR(INDEX(Setup!$G$33:$G$40,MATCH(C779,Setup!$B$33:$B$40,0)),0)=1)*(COUNTIF(C758:E775,$B779)+COUNTIF(C758:E775,$B779&amp;" ~*")&gt;0)+(IFERROR(INDEX(Setup!$G$33:$G$40,MATCH(G779,Setup!$B$33:$B$40,0)),0)=1)*(COUNTIF(G758:I775,$B779)+COUNTIF(G758:I775,$B779&amp;" ~*")&gt;0)+(IFERROR(INDEX(Setup!$G$33:$G$40,MATCH(K779,Setup!$B$33:$B$40,0)),0)=1)*(COUNTIF(K758:M775,$B779)+COUNTIF(K758:M775,$B779&amp;" ~*")&gt;0)+(IFERROR(INDEX(Setup!$G$33:$G$40,MATCH(O779,Setup!$B$33:$B$40,0)),0)=1)*(COUNTIF(O758:Q775,$B779)+COUNTIF(O758:Q775,$B779&amp;" ~*")&gt;0)+(IFERROR(INDEX(Setup!$G$33:$G$40,MATCH(S779,Setup!$B$33:$B$40,0)),0)=1)*(COUNTIF(S758:U775,$B779)+COUNTIF(S758:U775,$B779&amp;" ~*")&gt;0)+(IFERROR(INDEX(Setup!$G$33:$G$40,MATCH(W779,Setup!$B$33:$B$40,0)),0)=1)*(COUNTIF(W758:W775,$B779)+COUNTIF(W758:W775,$B779&amp;" ~*")&gt;0)+(IFERROR(INDEX(Setup!$G$33:$G$40,MATCH(Y779,Setup!$B$33:$B$40,0)),0)=1)*(COUNTIF(Y758:Y775,$B779)+COUNTIF(Y758:Y775,$B779&amp;" ~*")&gt;0))</f>
        <v/>
      </c>
    </row>
    <row r="780" ht="15" customHeight="1">
      <c r="A780" t="n">
        <v>16</v>
      </c>
      <c r="B780" s="37">
        <f>IF(Setup!$B$9="","",Setup!$B$9)</f>
        <v/>
      </c>
      <c r="C780" s="102" t="n"/>
      <c r="D780" s="103" t="n"/>
      <c r="E780" s="103" t="n"/>
      <c r="F780" s="104" t="n"/>
      <c r="G780" s="102" t="n"/>
      <c r="H780" s="103" t="n"/>
      <c r="I780" s="103" t="n"/>
      <c r="J780" s="104" t="n"/>
      <c r="K780" s="102" t="n"/>
      <c r="L780" s="103" t="n"/>
      <c r="M780" s="103" t="n"/>
      <c r="N780" s="104" t="n"/>
      <c r="O780" s="102" t="n"/>
      <c r="P780" s="103" t="n"/>
      <c r="Q780" s="103" t="n"/>
      <c r="R780" s="104" t="n"/>
      <c r="S780" s="102" t="n"/>
      <c r="T780" s="103" t="n"/>
      <c r="U780" s="103" t="n"/>
      <c r="V780" s="104" t="n"/>
      <c r="W780" s="102" t="n"/>
      <c r="X780" s="104" t="n"/>
      <c r="Y780" s="102" t="n"/>
      <c r="Z780" s="104" t="n"/>
      <c r="AB780" s="105">
        <f>IF($B780="","",(COUNTIF(C758:E775,$B780)+COUNTIF(C758:E775,$B780&amp;" ~*")&gt;0)+(COUNTIF(G758:I775,$B780)+COUNTIF(G758:I775,$B780&amp;" ~*")&gt;0)+(COUNTIF(K758:M775,$B780)+COUNTIF(K758:M775,$B780&amp;" ~*")&gt;0)+(COUNTIF(O758:Q775,$B780)+COUNTIF(O758:Q775,$B780&amp;" ~*")&gt;0)+(COUNTIF(S758:U775,$B780)+COUNTIF(S758:U775,$B780&amp;" ~*")&gt;0)+(COUNTIF(W758:W775,$B780)+COUNTIF(W758:W775,$B780&amp;" ~*")&gt;0)+(COUNTIF(Y758:Y775,$B780)+COUNTIF(Y758:Y775,$B780&amp;" ~*")&gt;0))</f>
        <v/>
      </c>
      <c r="AC780" s="38">
        <f>IF($B780="","",(IFERROR(INDEX(Setup!$G$33:$G$40,MATCH(C780,Setup!$B$33:$B$40,0)),0)=1)*(COUNTIF(C758:E775,$B780)+COUNTIF(C758:E775,$B780&amp;" ~*")&gt;0)+(IFERROR(INDEX(Setup!$G$33:$G$40,MATCH(G780,Setup!$B$33:$B$40,0)),0)=1)*(COUNTIF(G758:I775,$B780)+COUNTIF(G758:I775,$B780&amp;" ~*")&gt;0)+(IFERROR(INDEX(Setup!$G$33:$G$40,MATCH(K780,Setup!$B$33:$B$40,0)),0)=1)*(COUNTIF(K758:M775,$B780)+COUNTIF(K758:M775,$B780&amp;" ~*")&gt;0)+(IFERROR(INDEX(Setup!$G$33:$G$40,MATCH(O780,Setup!$B$33:$B$40,0)),0)=1)*(COUNTIF(O758:Q775,$B780)+COUNTIF(O758:Q775,$B780&amp;" ~*")&gt;0)+(IFERROR(INDEX(Setup!$G$33:$G$40,MATCH(S780,Setup!$B$33:$B$40,0)),0)=1)*(COUNTIF(S758:U775,$B780)+COUNTIF(S758:U775,$B780&amp;" ~*")&gt;0)+(IFERROR(INDEX(Setup!$G$33:$G$40,MATCH(W780,Setup!$B$33:$B$40,0)),0)=1)*(COUNTIF(W758:W775,$B780)+COUNTIF(W758:W775,$B780&amp;" ~*")&gt;0)+(IFERROR(INDEX(Setup!$G$33:$G$40,MATCH(Y780,Setup!$B$33:$B$40,0)),0)=1)*(COUNTIF(Y758:Y775,$B780)+COUNTIF(Y758:Y775,$B780&amp;" ~*")&gt;0))</f>
        <v/>
      </c>
    </row>
    <row r="781" ht="15" customHeight="1">
      <c r="A781" t="n">
        <v>16</v>
      </c>
      <c r="B781" s="35">
        <f>IF(Setup!$B$10="","",Setup!$B$10)</f>
        <v/>
      </c>
      <c r="C781" s="98" t="n"/>
      <c r="D781" s="99" t="n"/>
      <c r="E781" s="99" t="n"/>
      <c r="F781" s="100" t="n"/>
      <c r="G781" s="98" t="n"/>
      <c r="H781" s="99" t="n"/>
      <c r="I781" s="99" t="n"/>
      <c r="J781" s="100" t="n"/>
      <c r="K781" s="98" t="n"/>
      <c r="L781" s="99" t="n"/>
      <c r="M781" s="99" t="n"/>
      <c r="N781" s="100" t="n"/>
      <c r="O781" s="98" t="n"/>
      <c r="P781" s="99" t="n"/>
      <c r="Q781" s="99" t="n"/>
      <c r="R781" s="100" t="n"/>
      <c r="S781" s="98" t="n"/>
      <c r="T781" s="99" t="n"/>
      <c r="U781" s="99" t="n"/>
      <c r="V781" s="100" t="n"/>
      <c r="W781" s="98" t="n"/>
      <c r="X781" s="100" t="n"/>
      <c r="Y781" s="98" t="n"/>
      <c r="Z781" s="100" t="n"/>
      <c r="AB781" s="101">
        <f>IF($B781="","",(COUNTIF(C758:E775,$B781)+COUNTIF(C758:E775,$B781&amp;" ~*")&gt;0)+(COUNTIF(G758:I775,$B781)+COUNTIF(G758:I775,$B781&amp;" ~*")&gt;0)+(COUNTIF(K758:M775,$B781)+COUNTIF(K758:M775,$B781&amp;" ~*")&gt;0)+(COUNTIF(O758:Q775,$B781)+COUNTIF(O758:Q775,$B781&amp;" ~*")&gt;0)+(COUNTIF(S758:U775,$B781)+COUNTIF(S758:U775,$B781&amp;" ~*")&gt;0)+(COUNTIF(W758:W775,$B781)+COUNTIF(W758:W775,$B781&amp;" ~*")&gt;0)+(COUNTIF(Y758:Y775,$B781)+COUNTIF(Y758:Y775,$B781&amp;" ~*")&gt;0))</f>
        <v/>
      </c>
      <c r="AC781" s="36">
        <f>IF($B781="","",(IFERROR(INDEX(Setup!$G$33:$G$40,MATCH(C781,Setup!$B$33:$B$40,0)),0)=1)*(COUNTIF(C758:E775,$B781)+COUNTIF(C758:E775,$B781&amp;" ~*")&gt;0)+(IFERROR(INDEX(Setup!$G$33:$G$40,MATCH(G781,Setup!$B$33:$B$40,0)),0)=1)*(COUNTIF(G758:I775,$B781)+COUNTIF(G758:I775,$B781&amp;" ~*")&gt;0)+(IFERROR(INDEX(Setup!$G$33:$G$40,MATCH(K781,Setup!$B$33:$B$40,0)),0)=1)*(COUNTIF(K758:M775,$B781)+COUNTIF(K758:M775,$B781&amp;" ~*")&gt;0)+(IFERROR(INDEX(Setup!$G$33:$G$40,MATCH(O781,Setup!$B$33:$B$40,0)),0)=1)*(COUNTIF(O758:Q775,$B781)+COUNTIF(O758:Q775,$B781&amp;" ~*")&gt;0)+(IFERROR(INDEX(Setup!$G$33:$G$40,MATCH(S781,Setup!$B$33:$B$40,0)),0)=1)*(COUNTIF(S758:U775,$B781)+COUNTIF(S758:U775,$B781&amp;" ~*")&gt;0)+(IFERROR(INDEX(Setup!$G$33:$G$40,MATCH(W781,Setup!$B$33:$B$40,0)),0)=1)*(COUNTIF(W758:W775,$B781)+COUNTIF(W758:W775,$B781&amp;" ~*")&gt;0)+(IFERROR(INDEX(Setup!$G$33:$G$40,MATCH(Y781,Setup!$B$33:$B$40,0)),0)=1)*(COUNTIF(Y758:Y775,$B781)+COUNTIF(Y758:Y775,$B781&amp;" ~*")&gt;0))</f>
        <v/>
      </c>
    </row>
    <row r="782" ht="15" customHeight="1">
      <c r="A782" t="n">
        <v>16</v>
      </c>
      <c r="B782" s="37">
        <f>IF(Setup!$B$11="","",Setup!$B$11)</f>
        <v/>
      </c>
      <c r="C782" s="102" t="n"/>
      <c r="D782" s="103" t="n"/>
      <c r="E782" s="103" t="n"/>
      <c r="F782" s="104" t="n"/>
      <c r="G782" s="102" t="n"/>
      <c r="H782" s="103" t="n"/>
      <c r="I782" s="103" t="n"/>
      <c r="J782" s="104" t="n"/>
      <c r="K782" s="102" t="n"/>
      <c r="L782" s="103" t="n"/>
      <c r="M782" s="103" t="n"/>
      <c r="N782" s="104" t="n"/>
      <c r="O782" s="102" t="n"/>
      <c r="P782" s="103" t="n"/>
      <c r="Q782" s="103" t="n"/>
      <c r="R782" s="104" t="n"/>
      <c r="S782" s="102" t="n"/>
      <c r="T782" s="103" t="n"/>
      <c r="U782" s="103" t="n"/>
      <c r="V782" s="104" t="n"/>
      <c r="W782" s="102" t="n"/>
      <c r="X782" s="104" t="n"/>
      <c r="Y782" s="102" t="n"/>
      <c r="Z782" s="104" t="n"/>
      <c r="AB782" s="105">
        <f>IF($B782="","",(COUNTIF(C758:E775,$B782)+COUNTIF(C758:E775,$B782&amp;" ~*")&gt;0)+(COUNTIF(G758:I775,$B782)+COUNTIF(G758:I775,$B782&amp;" ~*")&gt;0)+(COUNTIF(K758:M775,$B782)+COUNTIF(K758:M775,$B782&amp;" ~*")&gt;0)+(COUNTIF(O758:Q775,$B782)+COUNTIF(O758:Q775,$B782&amp;" ~*")&gt;0)+(COUNTIF(S758:U775,$B782)+COUNTIF(S758:U775,$B782&amp;" ~*")&gt;0)+(COUNTIF(W758:W775,$B782)+COUNTIF(W758:W775,$B782&amp;" ~*")&gt;0)+(COUNTIF(Y758:Y775,$B782)+COUNTIF(Y758:Y775,$B782&amp;" ~*")&gt;0))</f>
        <v/>
      </c>
      <c r="AC782" s="38">
        <f>IF($B782="","",(IFERROR(INDEX(Setup!$G$33:$G$40,MATCH(C782,Setup!$B$33:$B$40,0)),0)=1)*(COUNTIF(C758:E775,$B782)+COUNTIF(C758:E775,$B782&amp;" ~*")&gt;0)+(IFERROR(INDEX(Setup!$G$33:$G$40,MATCH(G782,Setup!$B$33:$B$40,0)),0)=1)*(COUNTIF(G758:I775,$B782)+COUNTIF(G758:I775,$B782&amp;" ~*")&gt;0)+(IFERROR(INDEX(Setup!$G$33:$G$40,MATCH(K782,Setup!$B$33:$B$40,0)),0)=1)*(COUNTIF(K758:M775,$B782)+COUNTIF(K758:M775,$B782&amp;" ~*")&gt;0)+(IFERROR(INDEX(Setup!$G$33:$G$40,MATCH(O782,Setup!$B$33:$B$40,0)),0)=1)*(COUNTIF(O758:Q775,$B782)+COUNTIF(O758:Q775,$B782&amp;" ~*")&gt;0)+(IFERROR(INDEX(Setup!$G$33:$G$40,MATCH(S782,Setup!$B$33:$B$40,0)),0)=1)*(COUNTIF(S758:U775,$B782)+COUNTIF(S758:U775,$B782&amp;" ~*")&gt;0)+(IFERROR(INDEX(Setup!$G$33:$G$40,MATCH(W782,Setup!$B$33:$B$40,0)),0)=1)*(COUNTIF(W758:W775,$B782)+COUNTIF(W758:W775,$B782&amp;" ~*")&gt;0)+(IFERROR(INDEX(Setup!$G$33:$G$40,MATCH(Y782,Setup!$B$33:$B$40,0)),0)=1)*(COUNTIF(Y758:Y775,$B782)+COUNTIF(Y758:Y775,$B782&amp;" ~*")&gt;0))</f>
        <v/>
      </c>
    </row>
    <row r="783" ht="15" customHeight="1">
      <c r="A783" t="n">
        <v>16</v>
      </c>
      <c r="B783" s="35">
        <f>IF(Setup!$B$12="","",Setup!$B$12)</f>
        <v/>
      </c>
      <c r="C783" s="98" t="n"/>
      <c r="D783" s="99" t="n"/>
      <c r="E783" s="99" t="n"/>
      <c r="F783" s="100" t="n"/>
      <c r="G783" s="98" t="n"/>
      <c r="H783" s="99" t="n"/>
      <c r="I783" s="99" t="n"/>
      <c r="J783" s="100" t="n"/>
      <c r="K783" s="98" t="n"/>
      <c r="L783" s="99" t="n"/>
      <c r="M783" s="99" t="n"/>
      <c r="N783" s="100" t="n"/>
      <c r="O783" s="98" t="n"/>
      <c r="P783" s="99" t="n"/>
      <c r="Q783" s="99" t="n"/>
      <c r="R783" s="100" t="n"/>
      <c r="S783" s="98" t="n"/>
      <c r="T783" s="99" t="n"/>
      <c r="U783" s="99" t="n"/>
      <c r="V783" s="100" t="n"/>
      <c r="W783" s="98" t="n"/>
      <c r="X783" s="100" t="n"/>
      <c r="Y783" s="98" t="n"/>
      <c r="Z783" s="100" t="n"/>
      <c r="AB783" s="101">
        <f>IF($B783="","",(COUNTIF(C758:E775,$B783)+COUNTIF(C758:E775,$B783&amp;" ~*")&gt;0)+(COUNTIF(G758:I775,$B783)+COUNTIF(G758:I775,$B783&amp;" ~*")&gt;0)+(COUNTIF(K758:M775,$B783)+COUNTIF(K758:M775,$B783&amp;" ~*")&gt;0)+(COUNTIF(O758:Q775,$B783)+COUNTIF(O758:Q775,$B783&amp;" ~*")&gt;0)+(COUNTIF(S758:U775,$B783)+COUNTIF(S758:U775,$B783&amp;" ~*")&gt;0)+(COUNTIF(W758:W775,$B783)+COUNTIF(W758:W775,$B783&amp;" ~*")&gt;0)+(COUNTIF(Y758:Y775,$B783)+COUNTIF(Y758:Y775,$B783&amp;" ~*")&gt;0))</f>
        <v/>
      </c>
      <c r="AC783" s="36">
        <f>IF($B783="","",(IFERROR(INDEX(Setup!$G$33:$G$40,MATCH(C783,Setup!$B$33:$B$40,0)),0)=1)*(COUNTIF(C758:E775,$B783)+COUNTIF(C758:E775,$B783&amp;" ~*")&gt;0)+(IFERROR(INDEX(Setup!$G$33:$G$40,MATCH(G783,Setup!$B$33:$B$40,0)),0)=1)*(COUNTIF(G758:I775,$B783)+COUNTIF(G758:I775,$B783&amp;" ~*")&gt;0)+(IFERROR(INDEX(Setup!$G$33:$G$40,MATCH(K783,Setup!$B$33:$B$40,0)),0)=1)*(COUNTIF(K758:M775,$B783)+COUNTIF(K758:M775,$B783&amp;" ~*")&gt;0)+(IFERROR(INDEX(Setup!$G$33:$G$40,MATCH(O783,Setup!$B$33:$B$40,0)),0)=1)*(COUNTIF(O758:Q775,$B783)+COUNTIF(O758:Q775,$B783&amp;" ~*")&gt;0)+(IFERROR(INDEX(Setup!$G$33:$G$40,MATCH(S783,Setup!$B$33:$B$40,0)),0)=1)*(COUNTIF(S758:U775,$B783)+COUNTIF(S758:U775,$B783&amp;" ~*")&gt;0)+(IFERROR(INDEX(Setup!$G$33:$G$40,MATCH(W783,Setup!$B$33:$B$40,0)),0)=1)*(COUNTIF(W758:W775,$B783)+COUNTIF(W758:W775,$B783&amp;" ~*")&gt;0)+(IFERROR(INDEX(Setup!$G$33:$G$40,MATCH(Y783,Setup!$B$33:$B$40,0)),0)=1)*(COUNTIF(Y758:Y775,$B783)+COUNTIF(Y758:Y775,$B783&amp;" ~*")&gt;0))</f>
        <v/>
      </c>
    </row>
    <row r="784" ht="15" customHeight="1">
      <c r="A784" t="n">
        <v>16</v>
      </c>
      <c r="B784" s="37">
        <f>IF(Setup!$B$13="","",Setup!$B$13)</f>
        <v/>
      </c>
      <c r="C784" s="102" t="n"/>
      <c r="D784" s="103" t="n"/>
      <c r="E784" s="103" t="n"/>
      <c r="F784" s="104" t="n"/>
      <c r="G784" s="102" t="n"/>
      <c r="H784" s="103" t="n"/>
      <c r="I784" s="103" t="n"/>
      <c r="J784" s="104" t="n"/>
      <c r="K784" s="102" t="n"/>
      <c r="L784" s="103" t="n"/>
      <c r="M784" s="103" t="n"/>
      <c r="N784" s="104" t="n"/>
      <c r="O784" s="102" t="n"/>
      <c r="P784" s="103" t="n"/>
      <c r="Q784" s="103" t="n"/>
      <c r="R784" s="104" t="n"/>
      <c r="S784" s="102" t="n"/>
      <c r="T784" s="103" t="n"/>
      <c r="U784" s="103" t="n"/>
      <c r="V784" s="104" t="n"/>
      <c r="W784" s="102" t="n"/>
      <c r="X784" s="104" t="n"/>
      <c r="Y784" s="102" t="n"/>
      <c r="Z784" s="104" t="n"/>
      <c r="AB784" s="105">
        <f>IF($B784="","",(COUNTIF(C758:E775,$B784)+COUNTIF(C758:E775,$B784&amp;" ~*")&gt;0)+(COUNTIF(G758:I775,$B784)+COUNTIF(G758:I775,$B784&amp;" ~*")&gt;0)+(COUNTIF(K758:M775,$B784)+COUNTIF(K758:M775,$B784&amp;" ~*")&gt;0)+(COUNTIF(O758:Q775,$B784)+COUNTIF(O758:Q775,$B784&amp;" ~*")&gt;0)+(COUNTIF(S758:U775,$B784)+COUNTIF(S758:U775,$B784&amp;" ~*")&gt;0)+(COUNTIF(W758:W775,$B784)+COUNTIF(W758:W775,$B784&amp;" ~*")&gt;0)+(COUNTIF(Y758:Y775,$B784)+COUNTIF(Y758:Y775,$B784&amp;" ~*")&gt;0))</f>
        <v/>
      </c>
      <c r="AC784" s="38">
        <f>IF($B784="","",(IFERROR(INDEX(Setup!$G$33:$G$40,MATCH(C784,Setup!$B$33:$B$40,0)),0)=1)*(COUNTIF(C758:E775,$B784)+COUNTIF(C758:E775,$B784&amp;" ~*")&gt;0)+(IFERROR(INDEX(Setup!$G$33:$G$40,MATCH(G784,Setup!$B$33:$B$40,0)),0)=1)*(COUNTIF(G758:I775,$B784)+COUNTIF(G758:I775,$B784&amp;" ~*")&gt;0)+(IFERROR(INDEX(Setup!$G$33:$G$40,MATCH(K784,Setup!$B$33:$B$40,0)),0)=1)*(COUNTIF(K758:M775,$B784)+COUNTIF(K758:M775,$B784&amp;" ~*")&gt;0)+(IFERROR(INDEX(Setup!$G$33:$G$40,MATCH(O784,Setup!$B$33:$B$40,0)),0)=1)*(COUNTIF(O758:Q775,$B784)+COUNTIF(O758:Q775,$B784&amp;" ~*")&gt;0)+(IFERROR(INDEX(Setup!$G$33:$G$40,MATCH(S784,Setup!$B$33:$B$40,0)),0)=1)*(COUNTIF(S758:U775,$B784)+COUNTIF(S758:U775,$B784&amp;" ~*")&gt;0)+(IFERROR(INDEX(Setup!$G$33:$G$40,MATCH(W784,Setup!$B$33:$B$40,0)),0)=1)*(COUNTIF(W758:W775,$B784)+COUNTIF(W758:W775,$B784&amp;" ~*")&gt;0)+(IFERROR(INDEX(Setup!$G$33:$G$40,MATCH(Y784,Setup!$B$33:$B$40,0)),0)=1)*(COUNTIF(Y758:Y775,$B784)+COUNTIF(Y758:Y775,$B784&amp;" ~*")&gt;0))</f>
        <v/>
      </c>
    </row>
    <row r="785" ht="15" customHeight="1">
      <c r="A785" t="n">
        <v>16</v>
      </c>
      <c r="B785" s="35">
        <f>IF(Setup!$B$14="","",Setup!$B$14)</f>
        <v/>
      </c>
      <c r="C785" s="98" t="n"/>
      <c r="D785" s="99" t="n"/>
      <c r="E785" s="99" t="n"/>
      <c r="F785" s="100" t="n"/>
      <c r="G785" s="98" t="n"/>
      <c r="H785" s="99" t="n"/>
      <c r="I785" s="99" t="n"/>
      <c r="J785" s="100" t="n"/>
      <c r="K785" s="98" t="n"/>
      <c r="L785" s="99" t="n"/>
      <c r="M785" s="99" t="n"/>
      <c r="N785" s="100" t="n"/>
      <c r="O785" s="98" t="n"/>
      <c r="P785" s="99" t="n"/>
      <c r="Q785" s="99" t="n"/>
      <c r="R785" s="100" t="n"/>
      <c r="S785" s="98" t="n"/>
      <c r="T785" s="99" t="n"/>
      <c r="U785" s="99" t="n"/>
      <c r="V785" s="100" t="n"/>
      <c r="W785" s="98" t="n"/>
      <c r="X785" s="100" t="n"/>
      <c r="Y785" s="98" t="n"/>
      <c r="Z785" s="100" t="n"/>
      <c r="AB785" s="101">
        <f>IF($B785="","",(COUNTIF(C758:E775,$B785)+COUNTIF(C758:E775,$B785&amp;" ~*")&gt;0)+(COUNTIF(G758:I775,$B785)+COUNTIF(G758:I775,$B785&amp;" ~*")&gt;0)+(COUNTIF(K758:M775,$B785)+COUNTIF(K758:M775,$B785&amp;" ~*")&gt;0)+(COUNTIF(O758:Q775,$B785)+COUNTIF(O758:Q775,$B785&amp;" ~*")&gt;0)+(COUNTIF(S758:U775,$B785)+COUNTIF(S758:U775,$B785&amp;" ~*")&gt;0)+(COUNTIF(W758:W775,$B785)+COUNTIF(W758:W775,$B785&amp;" ~*")&gt;0)+(COUNTIF(Y758:Y775,$B785)+COUNTIF(Y758:Y775,$B785&amp;" ~*")&gt;0))</f>
        <v/>
      </c>
      <c r="AC785" s="36">
        <f>IF($B785="","",(IFERROR(INDEX(Setup!$G$33:$G$40,MATCH(C785,Setup!$B$33:$B$40,0)),0)=1)*(COUNTIF(C758:E775,$B785)+COUNTIF(C758:E775,$B785&amp;" ~*")&gt;0)+(IFERROR(INDEX(Setup!$G$33:$G$40,MATCH(G785,Setup!$B$33:$B$40,0)),0)=1)*(COUNTIF(G758:I775,$B785)+COUNTIF(G758:I775,$B785&amp;" ~*")&gt;0)+(IFERROR(INDEX(Setup!$G$33:$G$40,MATCH(K785,Setup!$B$33:$B$40,0)),0)=1)*(COUNTIF(K758:M775,$B785)+COUNTIF(K758:M775,$B785&amp;" ~*")&gt;0)+(IFERROR(INDEX(Setup!$G$33:$G$40,MATCH(O785,Setup!$B$33:$B$40,0)),0)=1)*(COUNTIF(O758:Q775,$B785)+COUNTIF(O758:Q775,$B785&amp;" ~*")&gt;0)+(IFERROR(INDEX(Setup!$G$33:$G$40,MATCH(S785,Setup!$B$33:$B$40,0)),0)=1)*(COUNTIF(S758:U775,$B785)+COUNTIF(S758:U775,$B785&amp;" ~*")&gt;0)+(IFERROR(INDEX(Setup!$G$33:$G$40,MATCH(W785,Setup!$B$33:$B$40,0)),0)=1)*(COUNTIF(W758:W775,$B785)+COUNTIF(W758:W775,$B785&amp;" ~*")&gt;0)+(IFERROR(INDEX(Setup!$G$33:$G$40,MATCH(Y785,Setup!$B$33:$B$40,0)),0)=1)*(COUNTIF(Y758:Y775,$B785)+COUNTIF(Y758:Y775,$B785&amp;" ~*")&gt;0))</f>
        <v/>
      </c>
    </row>
    <row r="786" ht="15" customHeight="1">
      <c r="A786" t="n">
        <v>16</v>
      </c>
      <c r="B786" s="37">
        <f>IF(Setup!$B$15="","",Setup!$B$15)</f>
        <v/>
      </c>
      <c r="C786" s="102" t="n"/>
      <c r="D786" s="103" t="n"/>
      <c r="E786" s="103" t="n"/>
      <c r="F786" s="104" t="n"/>
      <c r="G786" s="102" t="n"/>
      <c r="H786" s="103" t="n"/>
      <c r="I786" s="103" t="n"/>
      <c r="J786" s="104" t="n"/>
      <c r="K786" s="102" t="n"/>
      <c r="L786" s="103" t="n"/>
      <c r="M786" s="103" t="n"/>
      <c r="N786" s="104" t="n"/>
      <c r="O786" s="102" t="n"/>
      <c r="P786" s="103" t="n"/>
      <c r="Q786" s="103" t="n"/>
      <c r="R786" s="104" t="n"/>
      <c r="S786" s="102" t="n"/>
      <c r="T786" s="103" t="n"/>
      <c r="U786" s="103" t="n"/>
      <c r="V786" s="104" t="n"/>
      <c r="W786" s="102" t="n"/>
      <c r="X786" s="104" t="n"/>
      <c r="Y786" s="102" t="n"/>
      <c r="Z786" s="104" t="n"/>
      <c r="AB786" s="105">
        <f>IF($B786="","",(COUNTIF(C758:E775,$B786)+COUNTIF(C758:E775,$B786&amp;" ~*")&gt;0)+(COUNTIF(G758:I775,$B786)+COUNTIF(G758:I775,$B786&amp;" ~*")&gt;0)+(COUNTIF(K758:M775,$B786)+COUNTIF(K758:M775,$B786&amp;" ~*")&gt;0)+(COUNTIF(O758:Q775,$B786)+COUNTIF(O758:Q775,$B786&amp;" ~*")&gt;0)+(COUNTIF(S758:U775,$B786)+COUNTIF(S758:U775,$B786&amp;" ~*")&gt;0)+(COUNTIF(W758:W775,$B786)+COUNTIF(W758:W775,$B786&amp;" ~*")&gt;0)+(COUNTIF(Y758:Y775,$B786)+COUNTIF(Y758:Y775,$B786&amp;" ~*")&gt;0))</f>
        <v/>
      </c>
      <c r="AC786" s="38">
        <f>IF($B786="","",(IFERROR(INDEX(Setup!$G$33:$G$40,MATCH(C786,Setup!$B$33:$B$40,0)),0)=1)*(COUNTIF(C758:E775,$B786)+COUNTIF(C758:E775,$B786&amp;" ~*")&gt;0)+(IFERROR(INDEX(Setup!$G$33:$G$40,MATCH(G786,Setup!$B$33:$B$40,0)),0)=1)*(COUNTIF(G758:I775,$B786)+COUNTIF(G758:I775,$B786&amp;" ~*")&gt;0)+(IFERROR(INDEX(Setup!$G$33:$G$40,MATCH(K786,Setup!$B$33:$B$40,0)),0)=1)*(COUNTIF(K758:M775,$B786)+COUNTIF(K758:M775,$B786&amp;" ~*")&gt;0)+(IFERROR(INDEX(Setup!$G$33:$G$40,MATCH(O786,Setup!$B$33:$B$40,0)),0)=1)*(COUNTIF(O758:Q775,$B786)+COUNTIF(O758:Q775,$B786&amp;" ~*")&gt;0)+(IFERROR(INDEX(Setup!$G$33:$G$40,MATCH(S786,Setup!$B$33:$B$40,0)),0)=1)*(COUNTIF(S758:U775,$B786)+COUNTIF(S758:U775,$B786&amp;" ~*")&gt;0)+(IFERROR(INDEX(Setup!$G$33:$G$40,MATCH(W786,Setup!$B$33:$B$40,0)),0)=1)*(COUNTIF(W758:W775,$B786)+COUNTIF(W758:W775,$B786&amp;" ~*")&gt;0)+(IFERROR(INDEX(Setup!$G$33:$G$40,MATCH(Y786,Setup!$B$33:$B$40,0)),0)=1)*(COUNTIF(Y758:Y775,$B786)+COUNTIF(Y758:Y775,$B786&amp;" ~*")&gt;0))</f>
        <v/>
      </c>
    </row>
    <row r="787" ht="15" customHeight="1">
      <c r="A787" t="n">
        <v>16</v>
      </c>
      <c r="B787" s="35">
        <f>IF(Setup!$B$16="","",Setup!$B$16)</f>
        <v/>
      </c>
      <c r="C787" s="98" t="n"/>
      <c r="D787" s="99" t="n"/>
      <c r="E787" s="99" t="n"/>
      <c r="F787" s="100" t="n"/>
      <c r="G787" s="98" t="n"/>
      <c r="H787" s="99" t="n"/>
      <c r="I787" s="99" t="n"/>
      <c r="J787" s="100" t="n"/>
      <c r="K787" s="98" t="n"/>
      <c r="L787" s="99" t="n"/>
      <c r="M787" s="99" t="n"/>
      <c r="N787" s="100" t="n"/>
      <c r="O787" s="98" t="n"/>
      <c r="P787" s="99" t="n"/>
      <c r="Q787" s="99" t="n"/>
      <c r="R787" s="100" t="n"/>
      <c r="S787" s="98" t="n"/>
      <c r="T787" s="99" t="n"/>
      <c r="U787" s="99" t="n"/>
      <c r="V787" s="100" t="n"/>
      <c r="W787" s="98" t="n"/>
      <c r="X787" s="100" t="n"/>
      <c r="Y787" s="98" t="n"/>
      <c r="Z787" s="100" t="n"/>
      <c r="AB787" s="101">
        <f>IF($B787="","",(COUNTIF(C758:E775,$B787)+COUNTIF(C758:E775,$B787&amp;" ~*")&gt;0)+(COUNTIF(G758:I775,$B787)+COUNTIF(G758:I775,$B787&amp;" ~*")&gt;0)+(COUNTIF(K758:M775,$B787)+COUNTIF(K758:M775,$B787&amp;" ~*")&gt;0)+(COUNTIF(O758:Q775,$B787)+COUNTIF(O758:Q775,$B787&amp;" ~*")&gt;0)+(COUNTIF(S758:U775,$B787)+COUNTIF(S758:U775,$B787&amp;" ~*")&gt;0)+(COUNTIF(W758:W775,$B787)+COUNTIF(W758:W775,$B787&amp;" ~*")&gt;0)+(COUNTIF(Y758:Y775,$B787)+COUNTIF(Y758:Y775,$B787&amp;" ~*")&gt;0))</f>
        <v/>
      </c>
      <c r="AC787" s="36">
        <f>IF($B787="","",(IFERROR(INDEX(Setup!$G$33:$G$40,MATCH(C787,Setup!$B$33:$B$40,0)),0)=1)*(COUNTIF(C758:E775,$B787)+COUNTIF(C758:E775,$B787&amp;" ~*")&gt;0)+(IFERROR(INDEX(Setup!$G$33:$G$40,MATCH(G787,Setup!$B$33:$B$40,0)),0)=1)*(COUNTIF(G758:I775,$B787)+COUNTIF(G758:I775,$B787&amp;" ~*")&gt;0)+(IFERROR(INDEX(Setup!$G$33:$G$40,MATCH(K787,Setup!$B$33:$B$40,0)),0)=1)*(COUNTIF(K758:M775,$B787)+COUNTIF(K758:M775,$B787&amp;" ~*")&gt;0)+(IFERROR(INDEX(Setup!$G$33:$G$40,MATCH(O787,Setup!$B$33:$B$40,0)),0)=1)*(COUNTIF(O758:Q775,$B787)+COUNTIF(O758:Q775,$B787&amp;" ~*")&gt;0)+(IFERROR(INDEX(Setup!$G$33:$G$40,MATCH(S787,Setup!$B$33:$B$40,0)),0)=1)*(COUNTIF(S758:U775,$B787)+COUNTIF(S758:U775,$B787&amp;" ~*")&gt;0)+(IFERROR(INDEX(Setup!$G$33:$G$40,MATCH(W787,Setup!$B$33:$B$40,0)),0)=1)*(COUNTIF(W758:W775,$B787)+COUNTIF(W758:W775,$B787&amp;" ~*")&gt;0)+(IFERROR(INDEX(Setup!$G$33:$G$40,MATCH(Y787,Setup!$B$33:$B$40,0)),0)=1)*(COUNTIF(Y758:Y775,$B787)+COUNTIF(Y758:Y775,$B787&amp;" ~*")&gt;0))</f>
        <v/>
      </c>
    </row>
    <row r="788" ht="15" customHeight="1">
      <c r="A788" t="n">
        <v>16</v>
      </c>
      <c r="B788" s="37">
        <f>IF(Setup!$B$17="","",Setup!$B$17)</f>
        <v/>
      </c>
      <c r="C788" s="102" t="n"/>
      <c r="D788" s="103" t="n"/>
      <c r="E788" s="103" t="n"/>
      <c r="F788" s="104" t="n"/>
      <c r="G788" s="102" t="n"/>
      <c r="H788" s="103" t="n"/>
      <c r="I788" s="103" t="n"/>
      <c r="J788" s="104" t="n"/>
      <c r="K788" s="102" t="n"/>
      <c r="L788" s="103" t="n"/>
      <c r="M788" s="103" t="n"/>
      <c r="N788" s="104" t="n"/>
      <c r="O788" s="102" t="n"/>
      <c r="P788" s="103" t="n"/>
      <c r="Q788" s="103" t="n"/>
      <c r="R788" s="104" t="n"/>
      <c r="S788" s="102" t="n"/>
      <c r="T788" s="103" t="n"/>
      <c r="U788" s="103" t="n"/>
      <c r="V788" s="104" t="n"/>
      <c r="W788" s="102" t="n"/>
      <c r="X788" s="104" t="n"/>
      <c r="Y788" s="102" t="n"/>
      <c r="Z788" s="104" t="n"/>
      <c r="AB788" s="105">
        <f>IF($B788="","",(COUNTIF(C758:E775,$B788)+COUNTIF(C758:E775,$B788&amp;" ~*")&gt;0)+(COUNTIF(G758:I775,$B788)+COUNTIF(G758:I775,$B788&amp;" ~*")&gt;0)+(COUNTIF(K758:M775,$B788)+COUNTIF(K758:M775,$B788&amp;" ~*")&gt;0)+(COUNTIF(O758:Q775,$B788)+COUNTIF(O758:Q775,$B788&amp;" ~*")&gt;0)+(COUNTIF(S758:U775,$B788)+COUNTIF(S758:U775,$B788&amp;" ~*")&gt;0)+(COUNTIF(W758:W775,$B788)+COUNTIF(W758:W775,$B788&amp;" ~*")&gt;0)+(COUNTIF(Y758:Y775,$B788)+COUNTIF(Y758:Y775,$B788&amp;" ~*")&gt;0))</f>
        <v/>
      </c>
      <c r="AC788" s="38">
        <f>IF($B788="","",(IFERROR(INDEX(Setup!$G$33:$G$40,MATCH(C788,Setup!$B$33:$B$40,0)),0)=1)*(COUNTIF(C758:E775,$B788)+COUNTIF(C758:E775,$B788&amp;" ~*")&gt;0)+(IFERROR(INDEX(Setup!$G$33:$G$40,MATCH(G788,Setup!$B$33:$B$40,0)),0)=1)*(COUNTIF(G758:I775,$B788)+COUNTIF(G758:I775,$B788&amp;" ~*")&gt;0)+(IFERROR(INDEX(Setup!$G$33:$G$40,MATCH(K788,Setup!$B$33:$B$40,0)),0)=1)*(COUNTIF(K758:M775,$B788)+COUNTIF(K758:M775,$B788&amp;" ~*")&gt;0)+(IFERROR(INDEX(Setup!$G$33:$G$40,MATCH(O788,Setup!$B$33:$B$40,0)),0)=1)*(COUNTIF(O758:Q775,$B788)+COUNTIF(O758:Q775,$B788&amp;" ~*")&gt;0)+(IFERROR(INDEX(Setup!$G$33:$G$40,MATCH(S788,Setup!$B$33:$B$40,0)),0)=1)*(COUNTIF(S758:U775,$B788)+COUNTIF(S758:U775,$B788&amp;" ~*")&gt;0)+(IFERROR(INDEX(Setup!$G$33:$G$40,MATCH(W788,Setup!$B$33:$B$40,0)),0)=1)*(COUNTIF(W758:W775,$B788)+COUNTIF(W758:W775,$B788&amp;" ~*")&gt;0)+(IFERROR(INDEX(Setup!$G$33:$G$40,MATCH(Y788,Setup!$B$33:$B$40,0)),0)=1)*(COUNTIF(Y758:Y775,$B788)+COUNTIF(Y758:Y775,$B788&amp;" ~*")&gt;0))</f>
        <v/>
      </c>
    </row>
    <row r="789" ht="15" customHeight="1">
      <c r="A789" t="n">
        <v>16</v>
      </c>
      <c r="B789" s="35">
        <f>IF(Setup!$B$18="","",Setup!$B$18)</f>
        <v/>
      </c>
      <c r="C789" s="98" t="n"/>
      <c r="D789" s="99" t="n"/>
      <c r="E789" s="99" t="n"/>
      <c r="F789" s="100" t="n"/>
      <c r="G789" s="98" t="n"/>
      <c r="H789" s="99" t="n"/>
      <c r="I789" s="99" t="n"/>
      <c r="J789" s="100" t="n"/>
      <c r="K789" s="98" t="n"/>
      <c r="L789" s="99" t="n"/>
      <c r="M789" s="99" t="n"/>
      <c r="N789" s="100" t="n"/>
      <c r="O789" s="98" t="n"/>
      <c r="P789" s="99" t="n"/>
      <c r="Q789" s="99" t="n"/>
      <c r="R789" s="100" t="n"/>
      <c r="S789" s="98" t="n"/>
      <c r="T789" s="99" t="n"/>
      <c r="U789" s="99" t="n"/>
      <c r="V789" s="100" t="n"/>
      <c r="W789" s="98" t="n"/>
      <c r="X789" s="100" t="n"/>
      <c r="Y789" s="98" t="n"/>
      <c r="Z789" s="100" t="n"/>
      <c r="AB789" s="101">
        <f>IF($B789="","",(COUNTIF(C758:E775,$B789)+COUNTIF(C758:E775,$B789&amp;" ~*")&gt;0)+(COUNTIF(G758:I775,$B789)+COUNTIF(G758:I775,$B789&amp;" ~*")&gt;0)+(COUNTIF(K758:M775,$B789)+COUNTIF(K758:M775,$B789&amp;" ~*")&gt;0)+(COUNTIF(O758:Q775,$B789)+COUNTIF(O758:Q775,$B789&amp;" ~*")&gt;0)+(COUNTIF(S758:U775,$B789)+COUNTIF(S758:U775,$B789&amp;" ~*")&gt;0)+(COUNTIF(W758:W775,$B789)+COUNTIF(W758:W775,$B789&amp;" ~*")&gt;0)+(COUNTIF(Y758:Y775,$B789)+COUNTIF(Y758:Y775,$B789&amp;" ~*")&gt;0))</f>
        <v/>
      </c>
      <c r="AC789" s="36">
        <f>IF($B789="","",(IFERROR(INDEX(Setup!$G$33:$G$40,MATCH(C789,Setup!$B$33:$B$40,0)),0)=1)*(COUNTIF(C758:E775,$B789)+COUNTIF(C758:E775,$B789&amp;" ~*")&gt;0)+(IFERROR(INDEX(Setup!$G$33:$G$40,MATCH(G789,Setup!$B$33:$B$40,0)),0)=1)*(COUNTIF(G758:I775,$B789)+COUNTIF(G758:I775,$B789&amp;" ~*")&gt;0)+(IFERROR(INDEX(Setup!$G$33:$G$40,MATCH(K789,Setup!$B$33:$B$40,0)),0)=1)*(COUNTIF(K758:M775,$B789)+COUNTIF(K758:M775,$B789&amp;" ~*")&gt;0)+(IFERROR(INDEX(Setup!$G$33:$G$40,MATCH(O789,Setup!$B$33:$B$40,0)),0)=1)*(COUNTIF(O758:Q775,$B789)+COUNTIF(O758:Q775,$B789&amp;" ~*")&gt;0)+(IFERROR(INDEX(Setup!$G$33:$G$40,MATCH(S789,Setup!$B$33:$B$40,0)),0)=1)*(COUNTIF(S758:U775,$B789)+COUNTIF(S758:U775,$B789&amp;" ~*")&gt;0)+(IFERROR(INDEX(Setup!$G$33:$G$40,MATCH(W789,Setup!$B$33:$B$40,0)),0)=1)*(COUNTIF(W758:W775,$B789)+COUNTIF(W758:W775,$B789&amp;" ~*")&gt;0)+(IFERROR(INDEX(Setup!$G$33:$G$40,MATCH(Y789,Setup!$B$33:$B$40,0)),0)=1)*(COUNTIF(Y758:Y775,$B789)+COUNTIF(Y758:Y775,$B789&amp;" ~*")&gt;0))</f>
        <v/>
      </c>
    </row>
    <row r="790" ht="15" customHeight="1">
      <c r="A790" t="n">
        <v>16</v>
      </c>
      <c r="B790" s="37">
        <f>IF(Setup!$B$19="","",Setup!$B$19)</f>
        <v/>
      </c>
      <c r="C790" s="102" t="n"/>
      <c r="D790" s="103" t="n"/>
      <c r="E790" s="103" t="n"/>
      <c r="F790" s="104" t="n"/>
      <c r="G790" s="102" t="n"/>
      <c r="H790" s="103" t="n"/>
      <c r="I790" s="103" t="n"/>
      <c r="J790" s="104" t="n"/>
      <c r="K790" s="102" t="n"/>
      <c r="L790" s="103" t="n"/>
      <c r="M790" s="103" t="n"/>
      <c r="N790" s="104" t="n"/>
      <c r="O790" s="102" t="n"/>
      <c r="P790" s="103" t="n"/>
      <c r="Q790" s="103" t="n"/>
      <c r="R790" s="104" t="n"/>
      <c r="S790" s="102" t="n"/>
      <c r="T790" s="103" t="n"/>
      <c r="U790" s="103" t="n"/>
      <c r="V790" s="104" t="n"/>
      <c r="W790" s="102" t="n"/>
      <c r="X790" s="104" t="n"/>
      <c r="Y790" s="102" t="n"/>
      <c r="Z790" s="104" t="n"/>
      <c r="AB790" s="105">
        <f>IF($B790="","",(COUNTIF(C758:E775,$B790)+COUNTIF(C758:E775,$B790&amp;" ~*")&gt;0)+(COUNTIF(G758:I775,$B790)+COUNTIF(G758:I775,$B790&amp;" ~*")&gt;0)+(COUNTIF(K758:M775,$B790)+COUNTIF(K758:M775,$B790&amp;" ~*")&gt;0)+(COUNTIF(O758:Q775,$B790)+COUNTIF(O758:Q775,$B790&amp;" ~*")&gt;0)+(COUNTIF(S758:U775,$B790)+COUNTIF(S758:U775,$B790&amp;" ~*")&gt;0)+(COUNTIF(W758:W775,$B790)+COUNTIF(W758:W775,$B790&amp;" ~*")&gt;0)+(COUNTIF(Y758:Y775,$B790)+COUNTIF(Y758:Y775,$B790&amp;" ~*")&gt;0))</f>
        <v/>
      </c>
      <c r="AC790" s="38">
        <f>IF($B790="","",(IFERROR(INDEX(Setup!$G$33:$G$40,MATCH(C790,Setup!$B$33:$B$40,0)),0)=1)*(COUNTIF(C758:E775,$B790)+COUNTIF(C758:E775,$B790&amp;" ~*")&gt;0)+(IFERROR(INDEX(Setup!$G$33:$G$40,MATCH(G790,Setup!$B$33:$B$40,0)),0)=1)*(COUNTIF(G758:I775,$B790)+COUNTIF(G758:I775,$B790&amp;" ~*")&gt;0)+(IFERROR(INDEX(Setup!$G$33:$G$40,MATCH(K790,Setup!$B$33:$B$40,0)),0)=1)*(COUNTIF(K758:M775,$B790)+COUNTIF(K758:M775,$B790&amp;" ~*")&gt;0)+(IFERROR(INDEX(Setup!$G$33:$G$40,MATCH(O790,Setup!$B$33:$B$40,0)),0)=1)*(COUNTIF(O758:Q775,$B790)+COUNTIF(O758:Q775,$B790&amp;" ~*")&gt;0)+(IFERROR(INDEX(Setup!$G$33:$G$40,MATCH(S790,Setup!$B$33:$B$40,0)),0)=1)*(COUNTIF(S758:U775,$B790)+COUNTIF(S758:U775,$B790&amp;" ~*")&gt;0)+(IFERROR(INDEX(Setup!$G$33:$G$40,MATCH(W790,Setup!$B$33:$B$40,0)),0)=1)*(COUNTIF(W758:W775,$B790)+COUNTIF(W758:W775,$B790&amp;" ~*")&gt;0)+(IFERROR(INDEX(Setup!$G$33:$G$40,MATCH(Y790,Setup!$B$33:$B$40,0)),0)=1)*(COUNTIF(Y758:Y775,$B790)+COUNTIF(Y758:Y775,$B790&amp;" ~*")&gt;0))</f>
        <v/>
      </c>
    </row>
    <row r="791" ht="15" customHeight="1">
      <c r="A791" t="n">
        <v>16</v>
      </c>
      <c r="B791" s="35">
        <f>IF(Setup!$B$20="","",Setup!$B$20)</f>
        <v/>
      </c>
      <c r="C791" s="98" t="n"/>
      <c r="D791" s="99" t="n"/>
      <c r="E791" s="99" t="n"/>
      <c r="F791" s="100" t="n"/>
      <c r="G791" s="98" t="n"/>
      <c r="H791" s="99" t="n"/>
      <c r="I791" s="99" t="n"/>
      <c r="J791" s="100" t="n"/>
      <c r="K791" s="98" t="n"/>
      <c r="L791" s="99" t="n"/>
      <c r="M791" s="99" t="n"/>
      <c r="N791" s="100" t="n"/>
      <c r="O791" s="98" t="n"/>
      <c r="P791" s="99" t="n"/>
      <c r="Q791" s="99" t="n"/>
      <c r="R791" s="100" t="n"/>
      <c r="S791" s="98" t="n"/>
      <c r="T791" s="99" t="n"/>
      <c r="U791" s="99" t="n"/>
      <c r="V791" s="100" t="n"/>
      <c r="W791" s="98" t="n"/>
      <c r="X791" s="100" t="n"/>
      <c r="Y791" s="98" t="n"/>
      <c r="Z791" s="100" t="n"/>
      <c r="AB791" s="101">
        <f>IF($B791="","",(COUNTIF(C758:E775,$B791)+COUNTIF(C758:E775,$B791&amp;" ~*")&gt;0)+(COUNTIF(G758:I775,$B791)+COUNTIF(G758:I775,$B791&amp;" ~*")&gt;0)+(COUNTIF(K758:M775,$B791)+COUNTIF(K758:M775,$B791&amp;" ~*")&gt;0)+(COUNTIF(O758:Q775,$B791)+COUNTIF(O758:Q775,$B791&amp;" ~*")&gt;0)+(COUNTIF(S758:U775,$B791)+COUNTIF(S758:U775,$B791&amp;" ~*")&gt;0)+(COUNTIF(W758:W775,$B791)+COUNTIF(W758:W775,$B791&amp;" ~*")&gt;0)+(COUNTIF(Y758:Y775,$B791)+COUNTIF(Y758:Y775,$B791&amp;" ~*")&gt;0))</f>
        <v/>
      </c>
      <c r="AC791" s="36">
        <f>IF($B791="","",(IFERROR(INDEX(Setup!$G$33:$G$40,MATCH(C791,Setup!$B$33:$B$40,0)),0)=1)*(COUNTIF(C758:E775,$B791)+COUNTIF(C758:E775,$B791&amp;" ~*")&gt;0)+(IFERROR(INDEX(Setup!$G$33:$G$40,MATCH(G791,Setup!$B$33:$B$40,0)),0)=1)*(COUNTIF(G758:I775,$B791)+COUNTIF(G758:I775,$B791&amp;" ~*")&gt;0)+(IFERROR(INDEX(Setup!$G$33:$G$40,MATCH(K791,Setup!$B$33:$B$40,0)),0)=1)*(COUNTIF(K758:M775,$B791)+COUNTIF(K758:M775,$B791&amp;" ~*")&gt;0)+(IFERROR(INDEX(Setup!$G$33:$G$40,MATCH(O791,Setup!$B$33:$B$40,0)),0)=1)*(COUNTIF(O758:Q775,$B791)+COUNTIF(O758:Q775,$B791&amp;" ~*")&gt;0)+(IFERROR(INDEX(Setup!$G$33:$G$40,MATCH(S791,Setup!$B$33:$B$40,0)),0)=1)*(COUNTIF(S758:U775,$B791)+COUNTIF(S758:U775,$B791&amp;" ~*")&gt;0)+(IFERROR(INDEX(Setup!$G$33:$G$40,MATCH(W791,Setup!$B$33:$B$40,0)),0)=1)*(COUNTIF(W758:W775,$B791)+COUNTIF(W758:W775,$B791&amp;" ~*")&gt;0)+(IFERROR(INDEX(Setup!$G$33:$G$40,MATCH(Y791,Setup!$B$33:$B$40,0)),0)=1)*(COUNTIF(Y758:Y775,$B791)+COUNTIF(Y758:Y775,$B791&amp;" ~*")&gt;0))</f>
        <v/>
      </c>
    </row>
    <row r="792" ht="15" customHeight="1">
      <c r="A792" t="n">
        <v>16</v>
      </c>
      <c r="B792" s="37">
        <f>IF(Setup!$B$21="","",Setup!$B$21)</f>
        <v/>
      </c>
      <c r="C792" s="102" t="n"/>
      <c r="D792" s="103" t="n"/>
      <c r="E792" s="103" t="n"/>
      <c r="F792" s="104" t="n"/>
      <c r="G792" s="102" t="n"/>
      <c r="H792" s="103" t="n"/>
      <c r="I792" s="103" t="n"/>
      <c r="J792" s="104" t="n"/>
      <c r="K792" s="102" t="n"/>
      <c r="L792" s="103" t="n"/>
      <c r="M792" s="103" t="n"/>
      <c r="N792" s="104" t="n"/>
      <c r="O792" s="102" t="n"/>
      <c r="P792" s="103" t="n"/>
      <c r="Q792" s="103" t="n"/>
      <c r="R792" s="104" t="n"/>
      <c r="S792" s="102" t="n"/>
      <c r="T792" s="103" t="n"/>
      <c r="U792" s="103" t="n"/>
      <c r="V792" s="104" t="n"/>
      <c r="W792" s="102" t="n"/>
      <c r="X792" s="104" t="n"/>
      <c r="Y792" s="102" t="n"/>
      <c r="Z792" s="104" t="n"/>
      <c r="AB792" s="105">
        <f>IF($B792="","",(COUNTIF(C758:E775,$B792)+COUNTIF(C758:E775,$B792&amp;" ~*")&gt;0)+(COUNTIF(G758:I775,$B792)+COUNTIF(G758:I775,$B792&amp;" ~*")&gt;0)+(COUNTIF(K758:M775,$B792)+COUNTIF(K758:M775,$B792&amp;" ~*")&gt;0)+(COUNTIF(O758:Q775,$B792)+COUNTIF(O758:Q775,$B792&amp;" ~*")&gt;0)+(COUNTIF(S758:U775,$B792)+COUNTIF(S758:U775,$B792&amp;" ~*")&gt;0)+(COUNTIF(W758:W775,$B792)+COUNTIF(W758:W775,$B792&amp;" ~*")&gt;0)+(COUNTIF(Y758:Y775,$B792)+COUNTIF(Y758:Y775,$B792&amp;" ~*")&gt;0))</f>
        <v/>
      </c>
      <c r="AC792" s="38">
        <f>IF($B792="","",(IFERROR(INDEX(Setup!$G$33:$G$40,MATCH(C792,Setup!$B$33:$B$40,0)),0)=1)*(COUNTIF(C758:E775,$B792)+COUNTIF(C758:E775,$B792&amp;" ~*")&gt;0)+(IFERROR(INDEX(Setup!$G$33:$G$40,MATCH(G792,Setup!$B$33:$B$40,0)),0)=1)*(COUNTIF(G758:I775,$B792)+COUNTIF(G758:I775,$B792&amp;" ~*")&gt;0)+(IFERROR(INDEX(Setup!$G$33:$G$40,MATCH(K792,Setup!$B$33:$B$40,0)),0)=1)*(COUNTIF(K758:M775,$B792)+COUNTIF(K758:M775,$B792&amp;" ~*")&gt;0)+(IFERROR(INDEX(Setup!$G$33:$G$40,MATCH(O792,Setup!$B$33:$B$40,0)),0)=1)*(COUNTIF(O758:Q775,$B792)+COUNTIF(O758:Q775,$B792&amp;" ~*")&gt;0)+(IFERROR(INDEX(Setup!$G$33:$G$40,MATCH(S792,Setup!$B$33:$B$40,0)),0)=1)*(COUNTIF(S758:U775,$B792)+COUNTIF(S758:U775,$B792&amp;" ~*")&gt;0)+(IFERROR(INDEX(Setup!$G$33:$G$40,MATCH(W792,Setup!$B$33:$B$40,0)),0)=1)*(COUNTIF(W758:W775,$B792)+COUNTIF(W758:W775,$B792&amp;" ~*")&gt;0)+(IFERROR(INDEX(Setup!$G$33:$G$40,MATCH(Y792,Setup!$B$33:$B$40,0)),0)=1)*(COUNTIF(Y758:Y775,$B792)+COUNTIF(Y758:Y775,$B792&amp;" ~*")&gt;0))</f>
        <v/>
      </c>
    </row>
    <row r="793" ht="15" customHeight="1">
      <c r="A793" t="n">
        <v>16</v>
      </c>
      <c r="B793" s="35">
        <f>IF(Setup!$B$22="","",Setup!$B$22)</f>
        <v/>
      </c>
      <c r="C793" s="98" t="n"/>
      <c r="D793" s="99" t="n"/>
      <c r="E793" s="99" t="n"/>
      <c r="F793" s="100" t="n"/>
      <c r="G793" s="98" t="n"/>
      <c r="H793" s="99" t="n"/>
      <c r="I793" s="99" t="n"/>
      <c r="J793" s="100" t="n"/>
      <c r="K793" s="98" t="n"/>
      <c r="L793" s="99" t="n"/>
      <c r="M793" s="99" t="n"/>
      <c r="N793" s="100" t="n"/>
      <c r="O793" s="98" t="n"/>
      <c r="P793" s="99" t="n"/>
      <c r="Q793" s="99" t="n"/>
      <c r="R793" s="100" t="n"/>
      <c r="S793" s="98" t="n"/>
      <c r="T793" s="99" t="n"/>
      <c r="U793" s="99" t="n"/>
      <c r="V793" s="100" t="n"/>
      <c r="W793" s="98" t="n"/>
      <c r="X793" s="100" t="n"/>
      <c r="Y793" s="98" t="n"/>
      <c r="Z793" s="100" t="n"/>
      <c r="AB793" s="101">
        <f>IF($B793="","",(COUNTIF(C758:E775,$B793)+COUNTIF(C758:E775,$B793&amp;" ~*")&gt;0)+(COUNTIF(G758:I775,$B793)+COUNTIF(G758:I775,$B793&amp;" ~*")&gt;0)+(COUNTIF(K758:M775,$B793)+COUNTIF(K758:M775,$B793&amp;" ~*")&gt;0)+(COUNTIF(O758:Q775,$B793)+COUNTIF(O758:Q775,$B793&amp;" ~*")&gt;0)+(COUNTIF(S758:U775,$B793)+COUNTIF(S758:U775,$B793&amp;" ~*")&gt;0)+(COUNTIF(W758:W775,$B793)+COUNTIF(W758:W775,$B793&amp;" ~*")&gt;0)+(COUNTIF(Y758:Y775,$B793)+COUNTIF(Y758:Y775,$B793&amp;" ~*")&gt;0))</f>
        <v/>
      </c>
      <c r="AC793" s="36">
        <f>IF($B793="","",(IFERROR(INDEX(Setup!$G$33:$G$40,MATCH(C793,Setup!$B$33:$B$40,0)),0)=1)*(COUNTIF(C758:E775,$B793)+COUNTIF(C758:E775,$B793&amp;" ~*")&gt;0)+(IFERROR(INDEX(Setup!$G$33:$G$40,MATCH(G793,Setup!$B$33:$B$40,0)),0)=1)*(COUNTIF(G758:I775,$B793)+COUNTIF(G758:I775,$B793&amp;" ~*")&gt;0)+(IFERROR(INDEX(Setup!$G$33:$G$40,MATCH(K793,Setup!$B$33:$B$40,0)),0)=1)*(COUNTIF(K758:M775,$B793)+COUNTIF(K758:M775,$B793&amp;" ~*")&gt;0)+(IFERROR(INDEX(Setup!$G$33:$G$40,MATCH(O793,Setup!$B$33:$B$40,0)),0)=1)*(COUNTIF(O758:Q775,$B793)+COUNTIF(O758:Q775,$B793&amp;" ~*")&gt;0)+(IFERROR(INDEX(Setup!$G$33:$G$40,MATCH(S793,Setup!$B$33:$B$40,0)),0)=1)*(COUNTIF(S758:U775,$B793)+COUNTIF(S758:U775,$B793&amp;" ~*")&gt;0)+(IFERROR(INDEX(Setup!$G$33:$G$40,MATCH(W793,Setup!$B$33:$B$40,0)),0)=1)*(COUNTIF(W758:W775,$B793)+COUNTIF(W758:W775,$B793&amp;" ~*")&gt;0)+(IFERROR(INDEX(Setup!$G$33:$G$40,MATCH(Y793,Setup!$B$33:$B$40,0)),0)=1)*(COUNTIF(Y758:Y775,$B793)+COUNTIF(Y758:Y775,$B793&amp;" ~*")&gt;0))</f>
        <v/>
      </c>
    </row>
    <row r="794" ht="15" customHeight="1">
      <c r="A794" t="n">
        <v>16</v>
      </c>
      <c r="B794" s="37">
        <f>IF(Setup!$B$23="","",Setup!$B$23)</f>
        <v/>
      </c>
      <c r="C794" s="102" t="n"/>
      <c r="D794" s="103" t="n"/>
      <c r="E794" s="103" t="n"/>
      <c r="F794" s="104" t="n"/>
      <c r="G794" s="102" t="n"/>
      <c r="H794" s="103" t="n"/>
      <c r="I794" s="103" t="n"/>
      <c r="J794" s="104" t="n"/>
      <c r="K794" s="102" t="n"/>
      <c r="L794" s="103" t="n"/>
      <c r="M794" s="103" t="n"/>
      <c r="N794" s="104" t="n"/>
      <c r="O794" s="102" t="n"/>
      <c r="P794" s="103" t="n"/>
      <c r="Q794" s="103" t="n"/>
      <c r="R794" s="104" t="n"/>
      <c r="S794" s="102" t="n"/>
      <c r="T794" s="103" t="n"/>
      <c r="U794" s="103" t="n"/>
      <c r="V794" s="104" t="n"/>
      <c r="W794" s="102" t="n"/>
      <c r="X794" s="104" t="n"/>
      <c r="Y794" s="102" t="n"/>
      <c r="Z794" s="104" t="n"/>
      <c r="AB794" s="105">
        <f>IF($B794="","",(COUNTIF(C758:E775,$B794)+COUNTIF(C758:E775,$B794&amp;" ~*")&gt;0)+(COUNTIF(G758:I775,$B794)+COUNTIF(G758:I775,$B794&amp;" ~*")&gt;0)+(COUNTIF(K758:M775,$B794)+COUNTIF(K758:M775,$B794&amp;" ~*")&gt;0)+(COUNTIF(O758:Q775,$B794)+COUNTIF(O758:Q775,$B794&amp;" ~*")&gt;0)+(COUNTIF(S758:U775,$B794)+COUNTIF(S758:U775,$B794&amp;" ~*")&gt;0)+(COUNTIF(W758:W775,$B794)+COUNTIF(W758:W775,$B794&amp;" ~*")&gt;0)+(COUNTIF(Y758:Y775,$B794)+COUNTIF(Y758:Y775,$B794&amp;" ~*")&gt;0))</f>
        <v/>
      </c>
      <c r="AC794" s="38">
        <f>IF($B794="","",(IFERROR(INDEX(Setup!$G$33:$G$40,MATCH(C794,Setup!$B$33:$B$40,0)),0)=1)*(COUNTIF(C758:E775,$B794)+COUNTIF(C758:E775,$B794&amp;" ~*")&gt;0)+(IFERROR(INDEX(Setup!$G$33:$G$40,MATCH(G794,Setup!$B$33:$B$40,0)),0)=1)*(COUNTIF(G758:I775,$B794)+COUNTIF(G758:I775,$B794&amp;" ~*")&gt;0)+(IFERROR(INDEX(Setup!$G$33:$G$40,MATCH(K794,Setup!$B$33:$B$40,0)),0)=1)*(COUNTIF(K758:M775,$B794)+COUNTIF(K758:M775,$B794&amp;" ~*")&gt;0)+(IFERROR(INDEX(Setup!$G$33:$G$40,MATCH(O794,Setup!$B$33:$B$40,0)),0)=1)*(COUNTIF(O758:Q775,$B794)+COUNTIF(O758:Q775,$B794&amp;" ~*")&gt;0)+(IFERROR(INDEX(Setup!$G$33:$G$40,MATCH(S794,Setup!$B$33:$B$40,0)),0)=1)*(COUNTIF(S758:U775,$B794)+COUNTIF(S758:U775,$B794&amp;" ~*")&gt;0)+(IFERROR(INDEX(Setup!$G$33:$G$40,MATCH(W794,Setup!$B$33:$B$40,0)),0)=1)*(COUNTIF(W758:W775,$B794)+COUNTIF(W758:W775,$B794&amp;" ~*")&gt;0)+(IFERROR(INDEX(Setup!$G$33:$G$40,MATCH(Y794,Setup!$B$33:$B$40,0)),0)=1)*(COUNTIF(Y758:Y775,$B794)+COUNTIF(Y758:Y775,$B794&amp;" ~*")&gt;0))</f>
        <v/>
      </c>
    </row>
    <row r="795" ht="15" customHeight="1">
      <c r="A795" t="n">
        <v>16</v>
      </c>
      <c r="B795" s="35">
        <f>IF(Setup!$B$24="","",Setup!$B$24)</f>
        <v/>
      </c>
      <c r="C795" s="98" t="n"/>
      <c r="D795" s="99" t="n"/>
      <c r="E795" s="99" t="n"/>
      <c r="F795" s="100" t="n"/>
      <c r="G795" s="98" t="n"/>
      <c r="H795" s="99" t="n"/>
      <c r="I795" s="99" t="n"/>
      <c r="J795" s="100" t="n"/>
      <c r="K795" s="98" t="n"/>
      <c r="L795" s="99" t="n"/>
      <c r="M795" s="99" t="n"/>
      <c r="N795" s="100" t="n"/>
      <c r="O795" s="98" t="n"/>
      <c r="P795" s="99" t="n"/>
      <c r="Q795" s="99" t="n"/>
      <c r="R795" s="100" t="n"/>
      <c r="S795" s="98" t="n"/>
      <c r="T795" s="99" t="n"/>
      <c r="U795" s="99" t="n"/>
      <c r="V795" s="100" t="n"/>
      <c r="W795" s="98" t="n"/>
      <c r="X795" s="100" t="n"/>
      <c r="Y795" s="98" t="n"/>
      <c r="Z795" s="100" t="n"/>
      <c r="AB795" s="101">
        <f>IF($B795="","",(COUNTIF(C758:E775,$B795)+COUNTIF(C758:E775,$B795&amp;" ~*")&gt;0)+(COUNTIF(G758:I775,$B795)+COUNTIF(G758:I775,$B795&amp;" ~*")&gt;0)+(COUNTIF(K758:M775,$B795)+COUNTIF(K758:M775,$B795&amp;" ~*")&gt;0)+(COUNTIF(O758:Q775,$B795)+COUNTIF(O758:Q775,$B795&amp;" ~*")&gt;0)+(COUNTIF(S758:U775,$B795)+COUNTIF(S758:U775,$B795&amp;" ~*")&gt;0)+(COUNTIF(W758:W775,$B795)+COUNTIF(W758:W775,$B795&amp;" ~*")&gt;0)+(COUNTIF(Y758:Y775,$B795)+COUNTIF(Y758:Y775,$B795&amp;" ~*")&gt;0))</f>
        <v/>
      </c>
      <c r="AC795" s="36">
        <f>IF($B795="","",(IFERROR(INDEX(Setup!$G$33:$G$40,MATCH(C795,Setup!$B$33:$B$40,0)),0)=1)*(COUNTIF(C758:E775,$B795)+COUNTIF(C758:E775,$B795&amp;" ~*")&gt;0)+(IFERROR(INDEX(Setup!$G$33:$G$40,MATCH(G795,Setup!$B$33:$B$40,0)),0)=1)*(COUNTIF(G758:I775,$B795)+COUNTIF(G758:I775,$B795&amp;" ~*")&gt;0)+(IFERROR(INDEX(Setup!$G$33:$G$40,MATCH(K795,Setup!$B$33:$B$40,0)),0)=1)*(COUNTIF(K758:M775,$B795)+COUNTIF(K758:M775,$B795&amp;" ~*")&gt;0)+(IFERROR(INDEX(Setup!$G$33:$G$40,MATCH(O795,Setup!$B$33:$B$40,0)),0)=1)*(COUNTIF(O758:Q775,$B795)+COUNTIF(O758:Q775,$B795&amp;" ~*")&gt;0)+(IFERROR(INDEX(Setup!$G$33:$G$40,MATCH(S795,Setup!$B$33:$B$40,0)),0)=1)*(COUNTIF(S758:U775,$B795)+COUNTIF(S758:U775,$B795&amp;" ~*")&gt;0)+(IFERROR(INDEX(Setup!$G$33:$G$40,MATCH(W795,Setup!$B$33:$B$40,0)),0)=1)*(COUNTIF(W758:W775,$B795)+COUNTIF(W758:W775,$B795&amp;" ~*")&gt;0)+(IFERROR(INDEX(Setup!$G$33:$G$40,MATCH(Y795,Setup!$B$33:$B$40,0)),0)=1)*(COUNTIF(Y758:Y775,$B795)+COUNTIF(Y758:Y775,$B795&amp;" ~*")&gt;0))</f>
        <v/>
      </c>
    </row>
    <row r="796" ht="15" customHeight="1">
      <c r="A796" t="n">
        <v>16</v>
      </c>
      <c r="B796" s="37">
        <f>IF(Setup!$B$25="","",Setup!$B$25)</f>
        <v/>
      </c>
      <c r="C796" s="102" t="n"/>
      <c r="D796" s="103" t="n"/>
      <c r="E796" s="103" t="n"/>
      <c r="F796" s="104" t="n"/>
      <c r="G796" s="102" t="n"/>
      <c r="H796" s="103" t="n"/>
      <c r="I796" s="103" t="n"/>
      <c r="J796" s="104" t="n"/>
      <c r="K796" s="102" t="n"/>
      <c r="L796" s="103" t="n"/>
      <c r="M796" s="103" t="n"/>
      <c r="N796" s="104" t="n"/>
      <c r="O796" s="102" t="n"/>
      <c r="P796" s="103" t="n"/>
      <c r="Q796" s="103" t="n"/>
      <c r="R796" s="104" t="n"/>
      <c r="S796" s="102" t="n"/>
      <c r="T796" s="103" t="n"/>
      <c r="U796" s="103" t="n"/>
      <c r="V796" s="104" t="n"/>
      <c r="W796" s="102" t="n"/>
      <c r="X796" s="104" t="n"/>
      <c r="Y796" s="102" t="n"/>
      <c r="Z796" s="104" t="n"/>
      <c r="AB796" s="105">
        <f>IF($B796="","",(COUNTIF(C758:E775,$B796)+COUNTIF(C758:E775,$B796&amp;" ~*")&gt;0)+(COUNTIF(G758:I775,$B796)+COUNTIF(G758:I775,$B796&amp;" ~*")&gt;0)+(COUNTIF(K758:M775,$B796)+COUNTIF(K758:M775,$B796&amp;" ~*")&gt;0)+(COUNTIF(O758:Q775,$B796)+COUNTIF(O758:Q775,$B796&amp;" ~*")&gt;0)+(COUNTIF(S758:U775,$B796)+COUNTIF(S758:U775,$B796&amp;" ~*")&gt;0)+(COUNTIF(W758:W775,$B796)+COUNTIF(W758:W775,$B796&amp;" ~*")&gt;0)+(COUNTIF(Y758:Y775,$B796)+COUNTIF(Y758:Y775,$B796&amp;" ~*")&gt;0))</f>
        <v/>
      </c>
      <c r="AC796" s="38">
        <f>IF($B796="","",(IFERROR(INDEX(Setup!$G$33:$G$40,MATCH(C796,Setup!$B$33:$B$40,0)),0)=1)*(COUNTIF(C758:E775,$B796)+COUNTIF(C758:E775,$B796&amp;" ~*")&gt;0)+(IFERROR(INDEX(Setup!$G$33:$G$40,MATCH(G796,Setup!$B$33:$B$40,0)),0)=1)*(COUNTIF(G758:I775,$B796)+COUNTIF(G758:I775,$B796&amp;" ~*")&gt;0)+(IFERROR(INDEX(Setup!$G$33:$G$40,MATCH(K796,Setup!$B$33:$B$40,0)),0)=1)*(COUNTIF(K758:M775,$B796)+COUNTIF(K758:M775,$B796&amp;" ~*")&gt;0)+(IFERROR(INDEX(Setup!$G$33:$G$40,MATCH(O796,Setup!$B$33:$B$40,0)),0)=1)*(COUNTIF(O758:Q775,$B796)+COUNTIF(O758:Q775,$B796&amp;" ~*")&gt;0)+(IFERROR(INDEX(Setup!$G$33:$G$40,MATCH(S796,Setup!$B$33:$B$40,0)),0)=1)*(COUNTIF(S758:U775,$B796)+COUNTIF(S758:U775,$B796&amp;" ~*")&gt;0)+(IFERROR(INDEX(Setup!$G$33:$G$40,MATCH(W796,Setup!$B$33:$B$40,0)),0)=1)*(COUNTIF(W758:W775,$B796)+COUNTIF(W758:W775,$B796&amp;" ~*")&gt;0)+(IFERROR(INDEX(Setup!$G$33:$G$40,MATCH(Y796,Setup!$B$33:$B$40,0)),0)=1)*(COUNTIF(Y758:Y775,$B796)+COUNTIF(Y758:Y775,$B796&amp;" ~*")&gt;0))</f>
        <v/>
      </c>
    </row>
    <row r="797" ht="15" customHeight="1">
      <c r="A797" t="n">
        <v>16</v>
      </c>
      <c r="B797" s="35">
        <f>IF(Setup!$B$26="","",Setup!$B$26)</f>
        <v/>
      </c>
      <c r="C797" s="98" t="n"/>
      <c r="D797" s="99" t="n"/>
      <c r="E797" s="99" t="n"/>
      <c r="F797" s="100" t="n"/>
      <c r="G797" s="98" t="n"/>
      <c r="H797" s="99" t="n"/>
      <c r="I797" s="99" t="n"/>
      <c r="J797" s="100" t="n"/>
      <c r="K797" s="98" t="n"/>
      <c r="L797" s="99" t="n"/>
      <c r="M797" s="99" t="n"/>
      <c r="N797" s="100" t="n"/>
      <c r="O797" s="98" t="n"/>
      <c r="P797" s="99" t="n"/>
      <c r="Q797" s="99" t="n"/>
      <c r="R797" s="100" t="n"/>
      <c r="S797" s="98" t="n"/>
      <c r="T797" s="99" t="n"/>
      <c r="U797" s="99" t="n"/>
      <c r="V797" s="100" t="n"/>
      <c r="W797" s="98" t="n"/>
      <c r="X797" s="100" t="n"/>
      <c r="Y797" s="98" t="n"/>
      <c r="Z797" s="100" t="n"/>
      <c r="AB797" s="101">
        <f>IF($B797="","",(COUNTIF(C758:E775,$B797)+COUNTIF(C758:E775,$B797&amp;" ~*")&gt;0)+(COUNTIF(G758:I775,$B797)+COUNTIF(G758:I775,$B797&amp;" ~*")&gt;0)+(COUNTIF(K758:M775,$B797)+COUNTIF(K758:M775,$B797&amp;" ~*")&gt;0)+(COUNTIF(O758:Q775,$B797)+COUNTIF(O758:Q775,$B797&amp;" ~*")&gt;0)+(COUNTIF(S758:U775,$B797)+COUNTIF(S758:U775,$B797&amp;" ~*")&gt;0)+(COUNTIF(W758:W775,$B797)+COUNTIF(W758:W775,$B797&amp;" ~*")&gt;0)+(COUNTIF(Y758:Y775,$B797)+COUNTIF(Y758:Y775,$B797&amp;" ~*")&gt;0))</f>
        <v/>
      </c>
      <c r="AC797" s="36">
        <f>IF($B797="","",(IFERROR(INDEX(Setup!$G$33:$G$40,MATCH(C797,Setup!$B$33:$B$40,0)),0)=1)*(COUNTIF(C758:E775,$B797)+COUNTIF(C758:E775,$B797&amp;" ~*")&gt;0)+(IFERROR(INDEX(Setup!$G$33:$G$40,MATCH(G797,Setup!$B$33:$B$40,0)),0)=1)*(COUNTIF(G758:I775,$B797)+COUNTIF(G758:I775,$B797&amp;" ~*")&gt;0)+(IFERROR(INDEX(Setup!$G$33:$G$40,MATCH(K797,Setup!$B$33:$B$40,0)),0)=1)*(COUNTIF(K758:M775,$B797)+COUNTIF(K758:M775,$B797&amp;" ~*")&gt;0)+(IFERROR(INDEX(Setup!$G$33:$G$40,MATCH(O797,Setup!$B$33:$B$40,0)),0)=1)*(COUNTIF(O758:Q775,$B797)+COUNTIF(O758:Q775,$B797&amp;" ~*")&gt;0)+(IFERROR(INDEX(Setup!$G$33:$G$40,MATCH(S797,Setup!$B$33:$B$40,0)),0)=1)*(COUNTIF(S758:U775,$B797)+COUNTIF(S758:U775,$B797&amp;" ~*")&gt;0)+(IFERROR(INDEX(Setup!$G$33:$G$40,MATCH(W797,Setup!$B$33:$B$40,0)),0)=1)*(COUNTIF(W758:W775,$B797)+COUNTIF(W758:W775,$B797&amp;" ~*")&gt;0)+(IFERROR(INDEX(Setup!$G$33:$G$40,MATCH(Y797,Setup!$B$33:$B$40,0)),0)=1)*(COUNTIF(Y758:Y775,$B797)+COUNTIF(Y758:Y775,$B797&amp;" ~*")&gt;0))</f>
        <v/>
      </c>
    </row>
    <row r="798" ht="15" customHeight="1">
      <c r="A798" t="n">
        <v>16</v>
      </c>
      <c r="B798" s="37">
        <f>IF(Setup!$B$27="","",Setup!$B$27)</f>
        <v/>
      </c>
      <c r="C798" s="102" t="n"/>
      <c r="D798" s="103" t="n"/>
      <c r="E798" s="103" t="n"/>
      <c r="F798" s="104" t="n"/>
      <c r="G798" s="102" t="n"/>
      <c r="H798" s="103" t="n"/>
      <c r="I798" s="103" t="n"/>
      <c r="J798" s="104" t="n"/>
      <c r="K798" s="102" t="n"/>
      <c r="L798" s="103" t="n"/>
      <c r="M798" s="103" t="n"/>
      <c r="N798" s="104" t="n"/>
      <c r="O798" s="102" t="n"/>
      <c r="P798" s="103" t="n"/>
      <c r="Q798" s="103" t="n"/>
      <c r="R798" s="104" t="n"/>
      <c r="S798" s="102" t="n"/>
      <c r="T798" s="103" t="n"/>
      <c r="U798" s="103" t="n"/>
      <c r="V798" s="104" t="n"/>
      <c r="W798" s="102" t="n"/>
      <c r="X798" s="104" t="n"/>
      <c r="Y798" s="102" t="n"/>
      <c r="Z798" s="104" t="n"/>
      <c r="AB798" s="105">
        <f>IF($B798="","",(COUNTIF(C758:E775,$B798)+COUNTIF(C758:E775,$B798&amp;" ~*")&gt;0)+(COUNTIF(G758:I775,$B798)+COUNTIF(G758:I775,$B798&amp;" ~*")&gt;0)+(COUNTIF(K758:M775,$B798)+COUNTIF(K758:M775,$B798&amp;" ~*")&gt;0)+(COUNTIF(O758:Q775,$B798)+COUNTIF(O758:Q775,$B798&amp;" ~*")&gt;0)+(COUNTIF(S758:U775,$B798)+COUNTIF(S758:U775,$B798&amp;" ~*")&gt;0)+(COUNTIF(W758:W775,$B798)+COUNTIF(W758:W775,$B798&amp;" ~*")&gt;0)+(COUNTIF(Y758:Y775,$B798)+COUNTIF(Y758:Y775,$B798&amp;" ~*")&gt;0))</f>
        <v/>
      </c>
      <c r="AC798" s="38">
        <f>IF($B798="","",(IFERROR(INDEX(Setup!$G$33:$G$40,MATCH(C798,Setup!$B$33:$B$40,0)),0)=1)*(COUNTIF(C758:E775,$B798)+COUNTIF(C758:E775,$B798&amp;" ~*")&gt;0)+(IFERROR(INDEX(Setup!$G$33:$G$40,MATCH(G798,Setup!$B$33:$B$40,0)),0)=1)*(COUNTIF(G758:I775,$B798)+COUNTIF(G758:I775,$B798&amp;" ~*")&gt;0)+(IFERROR(INDEX(Setup!$G$33:$G$40,MATCH(K798,Setup!$B$33:$B$40,0)),0)=1)*(COUNTIF(K758:M775,$B798)+COUNTIF(K758:M775,$B798&amp;" ~*")&gt;0)+(IFERROR(INDEX(Setup!$G$33:$G$40,MATCH(O798,Setup!$B$33:$B$40,0)),0)=1)*(COUNTIF(O758:Q775,$B798)+COUNTIF(O758:Q775,$B798&amp;" ~*")&gt;0)+(IFERROR(INDEX(Setup!$G$33:$G$40,MATCH(S798,Setup!$B$33:$B$40,0)),0)=1)*(COUNTIF(S758:U775,$B798)+COUNTIF(S758:U775,$B798&amp;" ~*")&gt;0)+(IFERROR(INDEX(Setup!$G$33:$G$40,MATCH(W798,Setup!$B$33:$B$40,0)),0)=1)*(COUNTIF(W758:W775,$B798)+COUNTIF(W758:W775,$B798&amp;" ~*")&gt;0)+(IFERROR(INDEX(Setup!$G$33:$G$40,MATCH(Y798,Setup!$B$33:$B$40,0)),0)=1)*(COUNTIF(Y758:Y775,$B798)+COUNTIF(Y758:Y775,$B798&amp;" ~*")&gt;0))</f>
        <v/>
      </c>
    </row>
    <row r="799" ht="15" customHeight="1">
      <c r="A799" t="n">
        <v>16</v>
      </c>
      <c r="B799" s="35">
        <f>IF(Setup!$B$28="","",Setup!$B$28)</f>
        <v/>
      </c>
      <c r="C799" s="98" t="n"/>
      <c r="D799" s="99" t="n"/>
      <c r="E799" s="99" t="n"/>
      <c r="F799" s="100" t="n"/>
      <c r="G799" s="98" t="n"/>
      <c r="H799" s="99" t="n"/>
      <c r="I799" s="99" t="n"/>
      <c r="J799" s="100" t="n"/>
      <c r="K799" s="98" t="n"/>
      <c r="L799" s="99" t="n"/>
      <c r="M799" s="99" t="n"/>
      <c r="N799" s="100" t="n"/>
      <c r="O799" s="98" t="n"/>
      <c r="P799" s="99" t="n"/>
      <c r="Q799" s="99" t="n"/>
      <c r="R799" s="100" t="n"/>
      <c r="S799" s="98" t="n"/>
      <c r="T799" s="99" t="n"/>
      <c r="U799" s="99" t="n"/>
      <c r="V799" s="100" t="n"/>
      <c r="W799" s="98" t="n"/>
      <c r="X799" s="100" t="n"/>
      <c r="Y799" s="98" t="n"/>
      <c r="Z799" s="100" t="n"/>
      <c r="AB799" s="101">
        <f>IF($B799="","",(COUNTIF(C758:E775,$B799)+COUNTIF(C758:E775,$B799&amp;" ~*")&gt;0)+(COUNTIF(G758:I775,$B799)+COUNTIF(G758:I775,$B799&amp;" ~*")&gt;0)+(COUNTIF(K758:M775,$B799)+COUNTIF(K758:M775,$B799&amp;" ~*")&gt;0)+(COUNTIF(O758:Q775,$B799)+COUNTIF(O758:Q775,$B799&amp;" ~*")&gt;0)+(COUNTIF(S758:U775,$B799)+COUNTIF(S758:U775,$B799&amp;" ~*")&gt;0)+(COUNTIF(W758:W775,$B799)+COUNTIF(W758:W775,$B799&amp;" ~*")&gt;0)+(COUNTIF(Y758:Y775,$B799)+COUNTIF(Y758:Y775,$B799&amp;" ~*")&gt;0))</f>
        <v/>
      </c>
      <c r="AC799" s="36">
        <f>IF($B799="","",(IFERROR(INDEX(Setup!$G$33:$G$40,MATCH(C799,Setup!$B$33:$B$40,0)),0)=1)*(COUNTIF(C758:E775,$B799)+COUNTIF(C758:E775,$B799&amp;" ~*")&gt;0)+(IFERROR(INDEX(Setup!$G$33:$G$40,MATCH(G799,Setup!$B$33:$B$40,0)),0)=1)*(COUNTIF(G758:I775,$B799)+COUNTIF(G758:I775,$B799&amp;" ~*")&gt;0)+(IFERROR(INDEX(Setup!$G$33:$G$40,MATCH(K799,Setup!$B$33:$B$40,0)),0)=1)*(COUNTIF(K758:M775,$B799)+COUNTIF(K758:M775,$B799&amp;" ~*")&gt;0)+(IFERROR(INDEX(Setup!$G$33:$G$40,MATCH(O799,Setup!$B$33:$B$40,0)),0)=1)*(COUNTIF(O758:Q775,$B799)+COUNTIF(O758:Q775,$B799&amp;" ~*")&gt;0)+(IFERROR(INDEX(Setup!$G$33:$G$40,MATCH(S799,Setup!$B$33:$B$40,0)),0)=1)*(COUNTIF(S758:U775,$B799)+COUNTIF(S758:U775,$B799&amp;" ~*")&gt;0)+(IFERROR(INDEX(Setup!$G$33:$G$40,MATCH(W799,Setup!$B$33:$B$40,0)),0)=1)*(COUNTIF(W758:W775,$B799)+COUNTIF(W758:W775,$B799&amp;" ~*")&gt;0)+(IFERROR(INDEX(Setup!$G$33:$G$40,MATCH(Y799,Setup!$B$33:$B$40,0)),0)=1)*(COUNTIF(Y758:Y775,$B799)+COUNTIF(Y758:Y775,$B799&amp;" ~*")&gt;0))</f>
        <v/>
      </c>
    </row>
    <row r="800" ht="15" customHeight="1">
      <c r="A800" t="n">
        <v>16</v>
      </c>
      <c r="B800" s="37">
        <f>IF(Setup!$B$29="","",Setup!$B$29)</f>
        <v/>
      </c>
      <c r="C800" s="102" t="n"/>
      <c r="D800" s="103" t="n"/>
      <c r="E800" s="103" t="n"/>
      <c r="F800" s="104" t="n"/>
      <c r="G800" s="102" t="n"/>
      <c r="H800" s="103" t="n"/>
      <c r="I800" s="103" t="n"/>
      <c r="J800" s="104" t="n"/>
      <c r="K800" s="102" t="n"/>
      <c r="L800" s="103" t="n"/>
      <c r="M800" s="103" t="n"/>
      <c r="N800" s="104" t="n"/>
      <c r="O800" s="102" t="n"/>
      <c r="P800" s="103" t="n"/>
      <c r="Q800" s="103" t="n"/>
      <c r="R800" s="104" t="n"/>
      <c r="S800" s="102" t="n"/>
      <c r="T800" s="103" t="n"/>
      <c r="U800" s="103" t="n"/>
      <c r="V800" s="104" t="n"/>
      <c r="W800" s="102" t="n"/>
      <c r="X800" s="104" t="n"/>
      <c r="Y800" s="102" t="n"/>
      <c r="Z800" s="104" t="n"/>
      <c r="AB800" s="105">
        <f>IF($B800="","",(COUNTIF(C758:E775,$B800)+COUNTIF(C758:E775,$B800&amp;" ~*")&gt;0)+(COUNTIF(G758:I775,$B800)+COUNTIF(G758:I775,$B800&amp;" ~*")&gt;0)+(COUNTIF(K758:M775,$B800)+COUNTIF(K758:M775,$B800&amp;" ~*")&gt;0)+(COUNTIF(O758:Q775,$B800)+COUNTIF(O758:Q775,$B800&amp;" ~*")&gt;0)+(COUNTIF(S758:U775,$B800)+COUNTIF(S758:U775,$B800&amp;" ~*")&gt;0)+(COUNTIF(W758:W775,$B800)+COUNTIF(W758:W775,$B800&amp;" ~*")&gt;0)+(COUNTIF(Y758:Y775,$B800)+COUNTIF(Y758:Y775,$B800&amp;" ~*")&gt;0))</f>
        <v/>
      </c>
      <c r="AC800" s="38">
        <f>IF($B800="","",(IFERROR(INDEX(Setup!$G$33:$G$40,MATCH(C800,Setup!$B$33:$B$40,0)),0)=1)*(COUNTIF(C758:E775,$B800)+COUNTIF(C758:E775,$B800&amp;" ~*")&gt;0)+(IFERROR(INDEX(Setup!$G$33:$G$40,MATCH(G800,Setup!$B$33:$B$40,0)),0)=1)*(COUNTIF(G758:I775,$B800)+COUNTIF(G758:I775,$B800&amp;" ~*")&gt;0)+(IFERROR(INDEX(Setup!$G$33:$G$40,MATCH(K800,Setup!$B$33:$B$40,0)),0)=1)*(COUNTIF(K758:M775,$B800)+COUNTIF(K758:M775,$B800&amp;" ~*")&gt;0)+(IFERROR(INDEX(Setup!$G$33:$G$40,MATCH(O800,Setup!$B$33:$B$40,0)),0)=1)*(COUNTIF(O758:Q775,$B800)+COUNTIF(O758:Q775,$B800&amp;" ~*")&gt;0)+(IFERROR(INDEX(Setup!$G$33:$G$40,MATCH(S800,Setup!$B$33:$B$40,0)),0)=1)*(COUNTIF(S758:U775,$B800)+COUNTIF(S758:U775,$B800&amp;" ~*")&gt;0)+(IFERROR(INDEX(Setup!$G$33:$G$40,MATCH(W800,Setup!$B$33:$B$40,0)),0)=1)*(COUNTIF(W758:W775,$B800)+COUNTIF(W758:W775,$B800&amp;" ~*")&gt;0)+(IFERROR(INDEX(Setup!$G$33:$G$40,MATCH(Y800,Setup!$B$33:$B$40,0)),0)=1)*(COUNTIF(Y758:Y775,$B800)+COUNTIF(Y758:Y775,$B800&amp;" ~*")&gt;0))</f>
        <v/>
      </c>
    </row>
    <row r="801" ht="16" customHeight="1">
      <c r="A801" t="n">
        <v>16</v>
      </c>
      <c r="B801" s="106" t="inlineStr">
        <is>
          <t>Available people</t>
        </is>
      </c>
      <c r="C801" s="107">
        <f>COUNTIFS(Setup!$E$6:$E$29,"Y",Setup!$B$6:$B$29,"?*")-SUMPRODUCT(COUNTIF(C777:C800,Setup!$F$33:$F$40))</f>
        <v/>
      </c>
      <c r="D801" s="107" t="n"/>
      <c r="E801" s="107" t="n"/>
      <c r="F801" s="107" t="n"/>
      <c r="G801" s="107">
        <f>COUNTIFS(Setup!$E$6:$E$29,"Y",Setup!$B$6:$B$29,"?*")-SUMPRODUCT(COUNTIF(G777:G800,Setup!$F$33:$F$40))</f>
        <v/>
      </c>
      <c r="H801" s="107" t="n"/>
      <c r="I801" s="107" t="n"/>
      <c r="J801" s="107" t="n"/>
      <c r="K801" s="107">
        <f>COUNTIFS(Setup!$E$6:$E$29,"Y",Setup!$B$6:$B$29,"?*")-SUMPRODUCT(COUNTIF(K777:K800,Setup!$F$33:$F$40))</f>
        <v/>
      </c>
      <c r="L801" s="107" t="n"/>
      <c r="M801" s="107" t="n"/>
      <c r="N801" s="107" t="n"/>
      <c r="O801" s="107">
        <f>COUNTIFS(Setup!$E$6:$E$29,"Y",Setup!$B$6:$B$29,"?*")-SUMPRODUCT(COUNTIF(O777:O800,Setup!$F$33:$F$40))</f>
        <v/>
      </c>
      <c r="P801" s="107" t="n"/>
      <c r="Q801" s="107" t="n"/>
      <c r="R801" s="107" t="n"/>
      <c r="S801" s="107">
        <f>COUNTIFS(Setup!$E$6:$E$29,"Y",Setup!$B$6:$B$29,"?*")-SUMPRODUCT(COUNTIF(S777:S800,Setup!$F$33:$F$40))</f>
        <v/>
      </c>
      <c r="T801" s="107" t="n"/>
      <c r="U801" s="107" t="n"/>
      <c r="V801" s="107" t="n"/>
      <c r="W801" s="107">
        <f>COUNTIFS(Setup!$E$6:$E$29,"Y",Setup!$B$6:$B$29,"?*")-SUMPRODUCT(COUNTIF(W777:W800,Setup!$F$33:$F$40))</f>
        <v/>
      </c>
      <c r="X801" s="107" t="n"/>
      <c r="Y801" s="107">
        <f>COUNTIFS(Setup!$E$6:$E$29,"Y",Setup!$B$6:$B$29,"?*")-SUMPRODUCT(COUNTIF(Y777:Y800,Setup!$F$33:$F$40))</f>
        <v/>
      </c>
      <c r="Z801" s="107" t="n"/>
      <c r="AB801" s="108">
        <f>SUM(AB777:AB800)</f>
        <v/>
      </c>
      <c r="AC801" s="109">
        <f>SUM(AC777:AC800)</f>
        <v/>
      </c>
    </row>
    <row r="802" ht="30" customHeight="1">
      <c r="A802" t="n">
        <v>16</v>
      </c>
      <c r="B802" s="110" t="inlineStr">
        <is>
          <t>Week notes</t>
        </is>
      </c>
      <c r="C802" s="111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112" t="n"/>
      <c r="R802" s="112" t="n"/>
      <c r="S802" s="112" t="n"/>
      <c r="T802" s="112" t="n"/>
      <c r="U802" s="112" t="n"/>
      <c r="V802" s="112" t="n"/>
      <c r="W802" s="112" t="n"/>
      <c r="X802" s="112" t="n"/>
      <c r="Y802" s="112" t="n"/>
      <c r="Z802" s="113" t="n"/>
    </row>
    <row r="803" ht="8" customHeight="1">
      <c r="A803" t="n">
        <v>16</v>
      </c>
    </row>
    <row r="804" ht="8" customHeight="1">
      <c r="A804" t="n">
        <v>16</v>
      </c>
    </row>
    <row r="805" ht="24" customHeight="1">
      <c r="A805" t="n">
        <v>17</v>
      </c>
      <c r="B805" s="73">
        <f>"WEEK 17     "&amp;TEXT(C806,"ddd d mmm")&amp;"  –  "&amp;TEXT(C806+6,"ddd d mmm yyyy")</f>
        <v/>
      </c>
      <c r="S805" s="74">
        <f>IF(TODAY()&lt;C806,"FUTURE",IF(TODAY()&gt;C806+6,"PAST","THIS WEEK"))</f>
        <v/>
      </c>
      <c r="W805" s="75">
        <f>IF(AND(Engine!$B$8=$AC$3,Engine!$B$9=$A805),"◀ ACTIVE WEEK","")</f>
        <v/>
      </c>
      <c r="AA805" s="76" t="n"/>
      <c r="AB805" s="77" t="inlineStr">
        <is>
          <t>◀ Prev</t>
        </is>
      </c>
      <c r="AC805" s="77" t="inlineStr">
        <is>
          <t>Next ▶</t>
        </is>
      </c>
    </row>
    <row r="806" ht="18" customHeight="1">
      <c r="A806" t="n">
        <v>17</v>
      </c>
      <c r="B806" s="78" t="inlineStr">
        <is>
          <t>DUTY</t>
        </is>
      </c>
      <c r="C806" s="79">
        <f>$AC$2+7*($A806-1)</f>
        <v/>
      </c>
      <c r="D806" s="80" t="n"/>
      <c r="E806" s="80" t="n"/>
      <c r="F806" s="81" t="n"/>
      <c r="G806" s="79">
        <f>C806+1</f>
        <v/>
      </c>
      <c r="H806" s="80" t="n"/>
      <c r="I806" s="80" t="n"/>
      <c r="J806" s="81" t="n"/>
      <c r="K806" s="79">
        <f>C806+2</f>
        <v/>
      </c>
      <c r="L806" s="80" t="n"/>
      <c r="M806" s="80" t="n"/>
      <c r="N806" s="81" t="n"/>
      <c r="O806" s="79">
        <f>C806+3</f>
        <v/>
      </c>
      <c r="P806" s="80" t="n"/>
      <c r="Q806" s="80" t="n"/>
      <c r="R806" s="81" t="n"/>
      <c r="S806" s="79">
        <f>C806+4</f>
        <v/>
      </c>
      <c r="T806" s="80" t="n"/>
      <c r="U806" s="80" t="n"/>
      <c r="V806" s="81" t="n"/>
      <c r="W806" s="82">
        <f>C806+5</f>
        <v/>
      </c>
      <c r="X806" s="83" t="n"/>
      <c r="Y806" s="82">
        <f>C806+6</f>
        <v/>
      </c>
      <c r="Z806" s="83" t="n"/>
      <c r="AB806" s="72" t="inlineStr">
        <is>
          <t>Gaps</t>
        </is>
      </c>
      <c r="AC806" s="72" t="inlineStr">
        <is>
          <t>Cover</t>
        </is>
      </c>
    </row>
    <row r="807" ht="14" customHeight="1">
      <c r="A807" t="n">
        <v>17</v>
      </c>
      <c r="B807" s="84" t="inlineStr">
        <is>
          <t>(from Setup)</t>
        </is>
      </c>
      <c r="C807" s="85" t="inlineStr">
        <is>
          <t>1</t>
        </is>
      </c>
      <c r="D807" s="85" t="inlineStr">
        <is>
          <t>2</t>
        </is>
      </c>
      <c r="E807" s="85" t="inlineStr">
        <is>
          <t>3</t>
        </is>
      </c>
      <c r="F807" s="85" t="inlineStr">
        <is>
          <t>Notes</t>
        </is>
      </c>
      <c r="G807" s="85" t="inlineStr">
        <is>
          <t>1</t>
        </is>
      </c>
      <c r="H807" s="85" t="inlineStr">
        <is>
          <t>2</t>
        </is>
      </c>
      <c r="I807" s="85" t="inlineStr">
        <is>
          <t>3</t>
        </is>
      </c>
      <c r="J807" s="85" t="inlineStr">
        <is>
          <t>Notes</t>
        </is>
      </c>
      <c r="K807" s="85" t="inlineStr">
        <is>
          <t>1</t>
        </is>
      </c>
      <c r="L807" s="85" t="inlineStr">
        <is>
          <t>2</t>
        </is>
      </c>
      <c r="M807" s="85" t="inlineStr">
        <is>
          <t>3</t>
        </is>
      </c>
      <c r="N807" s="85" t="inlineStr">
        <is>
          <t>Notes</t>
        </is>
      </c>
      <c r="O807" s="85" t="inlineStr">
        <is>
          <t>1</t>
        </is>
      </c>
      <c r="P807" s="85" t="inlineStr">
        <is>
          <t>2</t>
        </is>
      </c>
      <c r="Q807" s="85" t="inlineStr">
        <is>
          <t>3</t>
        </is>
      </c>
      <c r="R807" s="85" t="inlineStr">
        <is>
          <t>Notes</t>
        </is>
      </c>
      <c r="S807" s="85" t="inlineStr">
        <is>
          <t>1</t>
        </is>
      </c>
      <c r="T807" s="85" t="inlineStr">
        <is>
          <t>2</t>
        </is>
      </c>
      <c r="U807" s="85" t="inlineStr">
        <is>
          <t>3</t>
        </is>
      </c>
      <c r="V807" s="85" t="inlineStr">
        <is>
          <t>Notes</t>
        </is>
      </c>
      <c r="W807" s="85" t="inlineStr">
        <is>
          <t>Cover</t>
        </is>
      </c>
      <c r="X807" s="85" t="inlineStr">
        <is>
          <t>Notes</t>
        </is>
      </c>
      <c r="Y807" s="85" t="inlineStr">
        <is>
          <t>Cover</t>
        </is>
      </c>
      <c r="Z807" s="85" t="inlineStr">
        <is>
          <t>Notes</t>
        </is>
      </c>
      <c r="AB807" s="86" t="inlineStr">
        <is>
          <t>weekdays short</t>
        </is>
      </c>
      <c r="AC807" s="87" t="inlineStr"/>
    </row>
    <row r="808" ht="17" customHeight="1">
      <c r="A808" t="n">
        <v>17</v>
      </c>
      <c r="B808" s="24">
        <f>IF(Setup!$K$6="","",Setup!$K$6)</f>
        <v/>
      </c>
      <c r="C808" s="88" t="n"/>
      <c r="D808" s="88" t="n"/>
      <c r="E808" s="88" t="n"/>
      <c r="F808" s="89" t="n"/>
      <c r="G808" s="88" t="n"/>
      <c r="H808" s="88" t="n"/>
      <c r="I808" s="88" t="n"/>
      <c r="J808" s="89" t="n"/>
      <c r="K808" s="88" t="n"/>
      <c r="L808" s="88" t="n"/>
      <c r="M808" s="88" t="n"/>
      <c r="N808" s="89" t="n"/>
      <c r="O808" s="88" t="n"/>
      <c r="P808" s="88" t="n"/>
      <c r="Q808" s="88" t="n"/>
      <c r="R808" s="89" t="n"/>
      <c r="S808" s="88" t="n"/>
      <c r="T808" s="88" t="n"/>
      <c r="U808" s="88" t="n"/>
      <c r="V808" s="89" t="n"/>
      <c r="W808" s="88" t="n"/>
      <c r="X808" s="89" t="n"/>
      <c r="Y808" s="88" t="n"/>
      <c r="Z808" s="89" t="n"/>
      <c r="AB808" s="25">
        <f>IF($B808="","",(COUNTIF(C808:E808,"?*")&lt;N(INDEX(Setup!$L$6:$L$23,1)))+(COUNTIF(G808:I808,"?*")&lt;N(INDEX(Setup!$L$6:$L$23,1)))+(COUNTIF(K808:M808,"?*")&lt;N(INDEX(Setup!$L$6:$L$23,1)))+(COUNTIF(O808:Q808,"?*")&lt;N(INDEX(Setup!$L$6:$L$23,1)))+(COUNTIF(S808:U808,"?*")&lt;N(INDEX(Setup!$L$6:$L$23,1)))+((W808="")*(INDEX(Setup!$M$6:$M$23,1)="Y"))+((Y808="")*(INDEX(Setup!$M$6:$M$23,1)="Y")))</f>
        <v/>
      </c>
      <c r="AC808" s="90">
        <f>IF($B808="","",IF(AB808=0,"✓ covered","⚠ "&amp;AB808&amp;IF(AB808=1," gap"," gaps")))</f>
        <v/>
      </c>
    </row>
    <row r="809" ht="17" customHeight="1">
      <c r="A809" t="n">
        <v>17</v>
      </c>
      <c r="B809" s="29">
        <f>IF(Setup!$K$7="","",Setup!$K$7)</f>
        <v/>
      </c>
      <c r="C809" s="88" t="n"/>
      <c r="D809" s="88" t="n"/>
      <c r="E809" s="88" t="n"/>
      <c r="F809" s="89" t="n"/>
      <c r="G809" s="88" t="n"/>
      <c r="H809" s="88" t="n"/>
      <c r="I809" s="88" t="n"/>
      <c r="J809" s="89" t="n"/>
      <c r="K809" s="88" t="n"/>
      <c r="L809" s="88" t="n"/>
      <c r="M809" s="88" t="n"/>
      <c r="N809" s="89" t="n"/>
      <c r="O809" s="88" t="n"/>
      <c r="P809" s="88" t="n"/>
      <c r="Q809" s="88" t="n"/>
      <c r="R809" s="89" t="n"/>
      <c r="S809" s="88" t="n"/>
      <c r="T809" s="88" t="n"/>
      <c r="U809" s="88" t="n"/>
      <c r="V809" s="89" t="n"/>
      <c r="W809" s="88" t="n"/>
      <c r="X809" s="89" t="n"/>
      <c r="Y809" s="88" t="n"/>
      <c r="Z809" s="89" t="n"/>
      <c r="AB809" s="30">
        <f>IF($B809="","",(COUNTIF(C809:E809,"?*")&lt;N(INDEX(Setup!$L$6:$L$23,2)))+(COUNTIF(G809:I809,"?*")&lt;N(INDEX(Setup!$L$6:$L$23,2)))+(COUNTIF(K809:M809,"?*")&lt;N(INDEX(Setup!$L$6:$L$23,2)))+(COUNTIF(O809:Q809,"?*")&lt;N(INDEX(Setup!$L$6:$L$23,2)))+(COUNTIF(S809:U809,"?*")&lt;N(INDEX(Setup!$L$6:$L$23,2)))+((W809="")*(INDEX(Setup!$M$6:$M$23,2)="Y"))+((Y809="")*(INDEX(Setup!$M$6:$M$23,2)="Y")))</f>
        <v/>
      </c>
      <c r="AC809" s="91">
        <f>IF($B809="","",IF(AB809=0,"✓ covered","⚠ "&amp;AB809&amp;IF(AB809=1," gap"," gaps")))</f>
        <v/>
      </c>
    </row>
    <row r="810" ht="17" customHeight="1">
      <c r="A810" t="n">
        <v>17</v>
      </c>
      <c r="B810" s="24">
        <f>IF(Setup!$K$8="","",Setup!$K$8)</f>
        <v/>
      </c>
      <c r="C810" s="88" t="n"/>
      <c r="D810" s="88" t="n"/>
      <c r="E810" s="88" t="n"/>
      <c r="F810" s="89" t="n"/>
      <c r="G810" s="88" t="n"/>
      <c r="H810" s="88" t="n"/>
      <c r="I810" s="88" t="n"/>
      <c r="J810" s="89" t="n"/>
      <c r="K810" s="88" t="n"/>
      <c r="L810" s="88" t="n"/>
      <c r="M810" s="88" t="n"/>
      <c r="N810" s="89" t="n"/>
      <c r="O810" s="88" t="n"/>
      <c r="P810" s="88" t="n"/>
      <c r="Q810" s="88" t="n"/>
      <c r="R810" s="89" t="n"/>
      <c r="S810" s="88" t="n"/>
      <c r="T810" s="88" t="n"/>
      <c r="U810" s="88" t="n"/>
      <c r="V810" s="89" t="n"/>
      <c r="W810" s="88" t="n"/>
      <c r="X810" s="89" t="n"/>
      <c r="Y810" s="88" t="n"/>
      <c r="Z810" s="89" t="n"/>
      <c r="AB810" s="25">
        <f>IF($B810="","",(COUNTIF(C810:E810,"?*")&lt;N(INDEX(Setup!$L$6:$L$23,3)))+(COUNTIF(G810:I810,"?*")&lt;N(INDEX(Setup!$L$6:$L$23,3)))+(COUNTIF(K810:M810,"?*")&lt;N(INDEX(Setup!$L$6:$L$23,3)))+(COUNTIF(O810:Q810,"?*")&lt;N(INDEX(Setup!$L$6:$L$23,3)))+(COUNTIF(S810:U810,"?*")&lt;N(INDEX(Setup!$L$6:$L$23,3)))+((W810="")*(INDEX(Setup!$M$6:$M$23,3)="Y"))+((Y810="")*(INDEX(Setup!$M$6:$M$23,3)="Y")))</f>
        <v/>
      </c>
      <c r="AC810" s="90">
        <f>IF($B810="","",IF(AB810=0,"✓ covered","⚠ "&amp;AB810&amp;IF(AB810=1," gap"," gaps")))</f>
        <v/>
      </c>
    </row>
    <row r="811" ht="17" customHeight="1">
      <c r="A811" t="n">
        <v>17</v>
      </c>
      <c r="B811" s="29">
        <f>IF(Setup!$K$9="","",Setup!$K$9)</f>
        <v/>
      </c>
      <c r="C811" s="88" t="n"/>
      <c r="D811" s="88" t="n"/>
      <c r="E811" s="88" t="n"/>
      <c r="F811" s="89" t="n"/>
      <c r="G811" s="88" t="n"/>
      <c r="H811" s="88" t="n"/>
      <c r="I811" s="88" t="n"/>
      <c r="J811" s="89" t="n"/>
      <c r="K811" s="88" t="n"/>
      <c r="L811" s="88" t="n"/>
      <c r="M811" s="88" t="n"/>
      <c r="N811" s="89" t="n"/>
      <c r="O811" s="88" t="n"/>
      <c r="P811" s="88" t="n"/>
      <c r="Q811" s="88" t="n"/>
      <c r="R811" s="89" t="n"/>
      <c r="S811" s="88" t="n"/>
      <c r="T811" s="88" t="n"/>
      <c r="U811" s="88" t="n"/>
      <c r="V811" s="89" t="n"/>
      <c r="W811" s="88" t="n"/>
      <c r="X811" s="89" t="n"/>
      <c r="Y811" s="88" t="n"/>
      <c r="Z811" s="89" t="n"/>
      <c r="AB811" s="30">
        <f>IF($B811="","",(COUNTIF(C811:E811,"?*")&lt;N(INDEX(Setup!$L$6:$L$23,4)))+(COUNTIF(G811:I811,"?*")&lt;N(INDEX(Setup!$L$6:$L$23,4)))+(COUNTIF(K811:M811,"?*")&lt;N(INDEX(Setup!$L$6:$L$23,4)))+(COUNTIF(O811:Q811,"?*")&lt;N(INDEX(Setup!$L$6:$L$23,4)))+(COUNTIF(S811:U811,"?*")&lt;N(INDEX(Setup!$L$6:$L$23,4)))+((W811="")*(INDEX(Setup!$M$6:$M$23,4)="Y"))+((Y811="")*(INDEX(Setup!$M$6:$M$23,4)="Y")))</f>
        <v/>
      </c>
      <c r="AC811" s="91">
        <f>IF($B811="","",IF(AB811=0,"✓ covered","⚠ "&amp;AB811&amp;IF(AB811=1," gap"," gaps")))</f>
        <v/>
      </c>
    </row>
    <row r="812" ht="17" customHeight="1">
      <c r="A812" t="n">
        <v>17</v>
      </c>
      <c r="B812" s="24">
        <f>IF(Setup!$K$10="","",Setup!$K$10)</f>
        <v/>
      </c>
      <c r="C812" s="88" t="n"/>
      <c r="D812" s="88" t="n"/>
      <c r="E812" s="88" t="n"/>
      <c r="F812" s="89" t="n"/>
      <c r="G812" s="88" t="n"/>
      <c r="H812" s="88" t="n"/>
      <c r="I812" s="88" t="n"/>
      <c r="J812" s="89" t="n"/>
      <c r="K812" s="88" t="n"/>
      <c r="L812" s="88" t="n"/>
      <c r="M812" s="88" t="n"/>
      <c r="N812" s="89" t="n"/>
      <c r="O812" s="88" t="n"/>
      <c r="P812" s="88" t="n"/>
      <c r="Q812" s="88" t="n"/>
      <c r="R812" s="89" t="n"/>
      <c r="S812" s="88" t="n"/>
      <c r="T812" s="88" t="n"/>
      <c r="U812" s="88" t="n"/>
      <c r="V812" s="89" t="n"/>
      <c r="W812" s="88" t="n"/>
      <c r="X812" s="89" t="n"/>
      <c r="Y812" s="88" t="n"/>
      <c r="Z812" s="89" t="n"/>
      <c r="AB812" s="25">
        <f>IF($B812="","",(COUNTIF(C812:E812,"?*")&lt;N(INDEX(Setup!$L$6:$L$23,5)))+(COUNTIF(G812:I812,"?*")&lt;N(INDEX(Setup!$L$6:$L$23,5)))+(COUNTIF(K812:M812,"?*")&lt;N(INDEX(Setup!$L$6:$L$23,5)))+(COUNTIF(O812:Q812,"?*")&lt;N(INDEX(Setup!$L$6:$L$23,5)))+(COUNTIF(S812:U812,"?*")&lt;N(INDEX(Setup!$L$6:$L$23,5)))+((W812="")*(INDEX(Setup!$M$6:$M$23,5)="Y"))+((Y812="")*(INDEX(Setup!$M$6:$M$23,5)="Y")))</f>
        <v/>
      </c>
      <c r="AC812" s="90">
        <f>IF($B812="","",IF(AB812=0,"✓ covered","⚠ "&amp;AB812&amp;IF(AB812=1," gap"," gaps")))</f>
        <v/>
      </c>
    </row>
    <row r="813" ht="17" customHeight="1">
      <c r="A813" t="n">
        <v>17</v>
      </c>
      <c r="B813" s="29">
        <f>IF(Setup!$K$11="","",Setup!$K$11)</f>
        <v/>
      </c>
      <c r="C813" s="88" t="n"/>
      <c r="D813" s="88" t="n"/>
      <c r="E813" s="88" t="n"/>
      <c r="F813" s="89" t="n"/>
      <c r="G813" s="88" t="n"/>
      <c r="H813" s="88" t="n"/>
      <c r="I813" s="88" t="n"/>
      <c r="J813" s="89" t="n"/>
      <c r="K813" s="88" t="n"/>
      <c r="L813" s="88" t="n"/>
      <c r="M813" s="88" t="n"/>
      <c r="N813" s="89" t="n"/>
      <c r="O813" s="88" t="n"/>
      <c r="P813" s="88" t="n"/>
      <c r="Q813" s="88" t="n"/>
      <c r="R813" s="89" t="n"/>
      <c r="S813" s="88" t="n"/>
      <c r="T813" s="88" t="n"/>
      <c r="U813" s="88" t="n"/>
      <c r="V813" s="89" t="n"/>
      <c r="W813" s="88" t="n"/>
      <c r="X813" s="89" t="n"/>
      <c r="Y813" s="88" t="n"/>
      <c r="Z813" s="89" t="n"/>
      <c r="AB813" s="30">
        <f>IF($B813="","",(COUNTIF(C813:E813,"?*")&lt;N(INDEX(Setup!$L$6:$L$23,6)))+(COUNTIF(G813:I813,"?*")&lt;N(INDEX(Setup!$L$6:$L$23,6)))+(COUNTIF(K813:M813,"?*")&lt;N(INDEX(Setup!$L$6:$L$23,6)))+(COUNTIF(O813:Q813,"?*")&lt;N(INDEX(Setup!$L$6:$L$23,6)))+(COUNTIF(S813:U813,"?*")&lt;N(INDEX(Setup!$L$6:$L$23,6)))+((W813="")*(INDEX(Setup!$M$6:$M$23,6)="Y"))+((Y813="")*(INDEX(Setup!$M$6:$M$23,6)="Y")))</f>
        <v/>
      </c>
      <c r="AC813" s="91">
        <f>IF($B813="","",IF(AB813=0,"✓ covered","⚠ "&amp;AB813&amp;IF(AB813=1," gap"," gaps")))</f>
        <v/>
      </c>
    </row>
    <row r="814" ht="17" customHeight="1">
      <c r="A814" t="n">
        <v>17</v>
      </c>
      <c r="B814" s="24">
        <f>IF(Setup!$K$12="","",Setup!$K$12)</f>
        <v/>
      </c>
      <c r="C814" s="88" t="n"/>
      <c r="D814" s="88" t="n"/>
      <c r="E814" s="88" t="n"/>
      <c r="F814" s="89" t="n"/>
      <c r="G814" s="88" t="n"/>
      <c r="H814" s="88" t="n"/>
      <c r="I814" s="88" t="n"/>
      <c r="J814" s="89" t="n"/>
      <c r="K814" s="88" t="n"/>
      <c r="L814" s="88" t="n"/>
      <c r="M814" s="88" t="n"/>
      <c r="N814" s="89" t="n"/>
      <c r="O814" s="88" t="n"/>
      <c r="P814" s="88" t="n"/>
      <c r="Q814" s="88" t="n"/>
      <c r="R814" s="89" t="n"/>
      <c r="S814" s="88" t="n"/>
      <c r="T814" s="88" t="n"/>
      <c r="U814" s="88" t="n"/>
      <c r="V814" s="89" t="n"/>
      <c r="W814" s="88" t="n"/>
      <c r="X814" s="89" t="n"/>
      <c r="Y814" s="88" t="n"/>
      <c r="Z814" s="89" t="n"/>
      <c r="AB814" s="25">
        <f>IF($B814="","",(COUNTIF(C814:E814,"?*")&lt;N(INDEX(Setup!$L$6:$L$23,7)))+(COUNTIF(G814:I814,"?*")&lt;N(INDEX(Setup!$L$6:$L$23,7)))+(COUNTIF(K814:M814,"?*")&lt;N(INDEX(Setup!$L$6:$L$23,7)))+(COUNTIF(O814:Q814,"?*")&lt;N(INDEX(Setup!$L$6:$L$23,7)))+(COUNTIF(S814:U814,"?*")&lt;N(INDEX(Setup!$L$6:$L$23,7)))+((W814="")*(INDEX(Setup!$M$6:$M$23,7)="Y"))+((Y814="")*(INDEX(Setup!$M$6:$M$23,7)="Y")))</f>
        <v/>
      </c>
      <c r="AC814" s="90">
        <f>IF($B814="","",IF(AB814=0,"✓ covered","⚠ "&amp;AB814&amp;IF(AB814=1," gap"," gaps")))</f>
        <v/>
      </c>
    </row>
    <row r="815" ht="17" customHeight="1">
      <c r="A815" t="n">
        <v>17</v>
      </c>
      <c r="B815" s="29">
        <f>IF(Setup!$K$13="","",Setup!$K$13)</f>
        <v/>
      </c>
      <c r="C815" s="88" t="n"/>
      <c r="D815" s="88" t="n"/>
      <c r="E815" s="88" t="n"/>
      <c r="F815" s="89" t="n"/>
      <c r="G815" s="88" t="n"/>
      <c r="H815" s="88" t="n"/>
      <c r="I815" s="88" t="n"/>
      <c r="J815" s="89" t="n"/>
      <c r="K815" s="88" t="n"/>
      <c r="L815" s="88" t="n"/>
      <c r="M815" s="88" t="n"/>
      <c r="N815" s="89" t="n"/>
      <c r="O815" s="88" t="n"/>
      <c r="P815" s="88" t="n"/>
      <c r="Q815" s="88" t="n"/>
      <c r="R815" s="89" t="n"/>
      <c r="S815" s="88" t="n"/>
      <c r="T815" s="88" t="n"/>
      <c r="U815" s="88" t="n"/>
      <c r="V815" s="89" t="n"/>
      <c r="W815" s="88" t="n"/>
      <c r="X815" s="89" t="n"/>
      <c r="Y815" s="88" t="n"/>
      <c r="Z815" s="89" t="n"/>
      <c r="AB815" s="30">
        <f>IF($B815="","",(COUNTIF(C815:E815,"?*")&lt;N(INDEX(Setup!$L$6:$L$23,8)))+(COUNTIF(G815:I815,"?*")&lt;N(INDEX(Setup!$L$6:$L$23,8)))+(COUNTIF(K815:M815,"?*")&lt;N(INDEX(Setup!$L$6:$L$23,8)))+(COUNTIF(O815:Q815,"?*")&lt;N(INDEX(Setup!$L$6:$L$23,8)))+(COUNTIF(S815:U815,"?*")&lt;N(INDEX(Setup!$L$6:$L$23,8)))+((W815="")*(INDEX(Setup!$M$6:$M$23,8)="Y"))+((Y815="")*(INDEX(Setup!$M$6:$M$23,8)="Y")))</f>
        <v/>
      </c>
      <c r="AC815" s="91">
        <f>IF($B815="","",IF(AB815=0,"✓ covered","⚠ "&amp;AB815&amp;IF(AB815=1," gap"," gaps")))</f>
        <v/>
      </c>
    </row>
    <row r="816" ht="17" customHeight="1">
      <c r="A816" t="n">
        <v>17</v>
      </c>
      <c r="B816" s="24">
        <f>IF(Setup!$K$14="","",Setup!$K$14)</f>
        <v/>
      </c>
      <c r="C816" s="88" t="n"/>
      <c r="D816" s="88" t="n"/>
      <c r="E816" s="88" t="n"/>
      <c r="F816" s="89" t="n"/>
      <c r="G816" s="88" t="n"/>
      <c r="H816" s="88" t="n"/>
      <c r="I816" s="88" t="n"/>
      <c r="J816" s="89" t="n"/>
      <c r="K816" s="88" t="n"/>
      <c r="L816" s="88" t="n"/>
      <c r="M816" s="88" t="n"/>
      <c r="N816" s="89" t="n"/>
      <c r="O816" s="88" t="n"/>
      <c r="P816" s="88" t="n"/>
      <c r="Q816" s="88" t="n"/>
      <c r="R816" s="89" t="n"/>
      <c r="S816" s="88" t="n"/>
      <c r="T816" s="88" t="n"/>
      <c r="U816" s="88" t="n"/>
      <c r="V816" s="89" t="n"/>
      <c r="W816" s="88" t="n"/>
      <c r="X816" s="89" t="n"/>
      <c r="Y816" s="88" t="n"/>
      <c r="Z816" s="89" t="n"/>
      <c r="AB816" s="25">
        <f>IF($B816="","",(COUNTIF(C816:E816,"?*")&lt;N(INDEX(Setup!$L$6:$L$23,9)))+(COUNTIF(G816:I816,"?*")&lt;N(INDEX(Setup!$L$6:$L$23,9)))+(COUNTIF(K816:M816,"?*")&lt;N(INDEX(Setup!$L$6:$L$23,9)))+(COUNTIF(O816:Q816,"?*")&lt;N(INDEX(Setup!$L$6:$L$23,9)))+(COUNTIF(S816:U816,"?*")&lt;N(INDEX(Setup!$L$6:$L$23,9)))+((W816="")*(INDEX(Setup!$M$6:$M$23,9)="Y"))+((Y816="")*(INDEX(Setup!$M$6:$M$23,9)="Y")))</f>
        <v/>
      </c>
      <c r="AC816" s="90">
        <f>IF($B816="","",IF(AB816=0,"✓ covered","⚠ "&amp;AB816&amp;IF(AB816=1," gap"," gaps")))</f>
        <v/>
      </c>
    </row>
    <row r="817" ht="17" customHeight="1">
      <c r="A817" t="n">
        <v>17</v>
      </c>
      <c r="B817" s="29">
        <f>IF(Setup!$K$15="","",Setup!$K$15)</f>
        <v/>
      </c>
      <c r="C817" s="88" t="n"/>
      <c r="D817" s="88" t="n"/>
      <c r="E817" s="88" t="n"/>
      <c r="F817" s="89" t="n"/>
      <c r="G817" s="88" t="n"/>
      <c r="H817" s="88" t="n"/>
      <c r="I817" s="88" t="n"/>
      <c r="J817" s="89" t="n"/>
      <c r="K817" s="88" t="n"/>
      <c r="L817" s="88" t="n"/>
      <c r="M817" s="88" t="n"/>
      <c r="N817" s="89" t="n"/>
      <c r="O817" s="88" t="n"/>
      <c r="P817" s="88" t="n"/>
      <c r="Q817" s="88" t="n"/>
      <c r="R817" s="89" t="n"/>
      <c r="S817" s="88" t="n"/>
      <c r="T817" s="88" t="n"/>
      <c r="U817" s="88" t="n"/>
      <c r="V817" s="89" t="n"/>
      <c r="W817" s="88" t="n"/>
      <c r="X817" s="89" t="n"/>
      <c r="Y817" s="88" t="n"/>
      <c r="Z817" s="89" t="n"/>
      <c r="AB817" s="30">
        <f>IF($B817="","",(COUNTIF(C817:E817,"?*")&lt;N(INDEX(Setup!$L$6:$L$23,10)))+(COUNTIF(G817:I817,"?*")&lt;N(INDEX(Setup!$L$6:$L$23,10)))+(COUNTIF(K817:M817,"?*")&lt;N(INDEX(Setup!$L$6:$L$23,10)))+(COUNTIF(O817:Q817,"?*")&lt;N(INDEX(Setup!$L$6:$L$23,10)))+(COUNTIF(S817:U817,"?*")&lt;N(INDEX(Setup!$L$6:$L$23,10)))+((W817="")*(INDEX(Setup!$M$6:$M$23,10)="Y"))+((Y817="")*(INDEX(Setup!$M$6:$M$23,10)="Y")))</f>
        <v/>
      </c>
      <c r="AC817" s="91">
        <f>IF($B817="","",IF(AB817=0,"✓ covered","⚠ "&amp;AB817&amp;IF(AB817=1," gap"," gaps")))</f>
        <v/>
      </c>
    </row>
    <row r="818" ht="17" customHeight="1">
      <c r="A818" t="n">
        <v>17</v>
      </c>
      <c r="B818" s="24">
        <f>IF(Setup!$K$16="","",Setup!$K$16)</f>
        <v/>
      </c>
      <c r="C818" s="88" t="n"/>
      <c r="D818" s="88" t="n"/>
      <c r="E818" s="88" t="n"/>
      <c r="F818" s="89" t="n"/>
      <c r="G818" s="88" t="n"/>
      <c r="H818" s="88" t="n"/>
      <c r="I818" s="88" t="n"/>
      <c r="J818" s="89" t="n"/>
      <c r="K818" s="88" t="n"/>
      <c r="L818" s="88" t="n"/>
      <c r="M818" s="88" t="n"/>
      <c r="N818" s="89" t="n"/>
      <c r="O818" s="88" t="n"/>
      <c r="P818" s="88" t="n"/>
      <c r="Q818" s="88" t="n"/>
      <c r="R818" s="89" t="n"/>
      <c r="S818" s="88" t="n"/>
      <c r="T818" s="88" t="n"/>
      <c r="U818" s="88" t="n"/>
      <c r="V818" s="89" t="n"/>
      <c r="W818" s="88" t="n"/>
      <c r="X818" s="89" t="n"/>
      <c r="Y818" s="88" t="n"/>
      <c r="Z818" s="89" t="n"/>
      <c r="AB818" s="25">
        <f>IF($B818="","",(COUNTIF(C818:E818,"?*")&lt;N(INDEX(Setup!$L$6:$L$23,11)))+(COUNTIF(G818:I818,"?*")&lt;N(INDEX(Setup!$L$6:$L$23,11)))+(COUNTIF(K818:M818,"?*")&lt;N(INDEX(Setup!$L$6:$L$23,11)))+(COUNTIF(O818:Q818,"?*")&lt;N(INDEX(Setup!$L$6:$L$23,11)))+(COUNTIF(S818:U818,"?*")&lt;N(INDEX(Setup!$L$6:$L$23,11)))+((W818="")*(INDEX(Setup!$M$6:$M$23,11)="Y"))+((Y818="")*(INDEX(Setup!$M$6:$M$23,11)="Y")))</f>
        <v/>
      </c>
      <c r="AC818" s="90">
        <f>IF($B818="","",IF(AB818=0,"✓ covered","⚠ "&amp;AB818&amp;IF(AB818=1," gap"," gaps")))</f>
        <v/>
      </c>
    </row>
    <row r="819" ht="17" customHeight="1">
      <c r="A819" t="n">
        <v>17</v>
      </c>
      <c r="B819" s="29">
        <f>IF(Setup!$K$17="","",Setup!$K$17)</f>
        <v/>
      </c>
      <c r="C819" s="88" t="n"/>
      <c r="D819" s="88" t="n"/>
      <c r="E819" s="88" t="n"/>
      <c r="F819" s="89" t="n"/>
      <c r="G819" s="88" t="n"/>
      <c r="H819" s="88" t="n"/>
      <c r="I819" s="88" t="n"/>
      <c r="J819" s="89" t="n"/>
      <c r="K819" s="88" t="n"/>
      <c r="L819" s="88" t="n"/>
      <c r="M819" s="88" t="n"/>
      <c r="N819" s="89" t="n"/>
      <c r="O819" s="88" t="n"/>
      <c r="P819" s="88" t="n"/>
      <c r="Q819" s="88" t="n"/>
      <c r="R819" s="89" t="n"/>
      <c r="S819" s="88" t="n"/>
      <c r="T819" s="88" t="n"/>
      <c r="U819" s="88" t="n"/>
      <c r="V819" s="89" t="n"/>
      <c r="W819" s="88" t="n"/>
      <c r="X819" s="89" t="n"/>
      <c r="Y819" s="88" t="n"/>
      <c r="Z819" s="89" t="n"/>
      <c r="AB819" s="30">
        <f>IF($B819="","",(COUNTIF(C819:E819,"?*")&lt;N(INDEX(Setup!$L$6:$L$23,12)))+(COUNTIF(G819:I819,"?*")&lt;N(INDEX(Setup!$L$6:$L$23,12)))+(COUNTIF(K819:M819,"?*")&lt;N(INDEX(Setup!$L$6:$L$23,12)))+(COUNTIF(O819:Q819,"?*")&lt;N(INDEX(Setup!$L$6:$L$23,12)))+(COUNTIF(S819:U819,"?*")&lt;N(INDEX(Setup!$L$6:$L$23,12)))+((W819="")*(INDEX(Setup!$M$6:$M$23,12)="Y"))+((Y819="")*(INDEX(Setup!$M$6:$M$23,12)="Y")))</f>
        <v/>
      </c>
      <c r="AC819" s="91">
        <f>IF($B819="","",IF(AB819=0,"✓ covered","⚠ "&amp;AB819&amp;IF(AB819=1," gap"," gaps")))</f>
        <v/>
      </c>
    </row>
    <row r="820" ht="17" customHeight="1">
      <c r="A820" t="n">
        <v>17</v>
      </c>
      <c r="B820" s="24">
        <f>IF(Setup!$K$18="","",Setup!$K$18)</f>
        <v/>
      </c>
      <c r="C820" s="88" t="n"/>
      <c r="D820" s="88" t="n"/>
      <c r="E820" s="88" t="n"/>
      <c r="F820" s="89" t="n"/>
      <c r="G820" s="88" t="n"/>
      <c r="H820" s="88" t="n"/>
      <c r="I820" s="88" t="n"/>
      <c r="J820" s="89" t="n"/>
      <c r="K820" s="88" t="n"/>
      <c r="L820" s="88" t="n"/>
      <c r="M820" s="88" t="n"/>
      <c r="N820" s="89" t="n"/>
      <c r="O820" s="88" t="n"/>
      <c r="P820" s="88" t="n"/>
      <c r="Q820" s="88" t="n"/>
      <c r="R820" s="89" t="n"/>
      <c r="S820" s="88" t="n"/>
      <c r="T820" s="88" t="n"/>
      <c r="U820" s="88" t="n"/>
      <c r="V820" s="89" t="n"/>
      <c r="W820" s="88" t="n"/>
      <c r="X820" s="89" t="n"/>
      <c r="Y820" s="88" t="n"/>
      <c r="Z820" s="89" t="n"/>
      <c r="AB820" s="25">
        <f>IF($B820="","",(COUNTIF(C820:E820,"?*")&lt;N(INDEX(Setup!$L$6:$L$23,13)))+(COUNTIF(G820:I820,"?*")&lt;N(INDEX(Setup!$L$6:$L$23,13)))+(COUNTIF(K820:M820,"?*")&lt;N(INDEX(Setup!$L$6:$L$23,13)))+(COUNTIF(O820:Q820,"?*")&lt;N(INDEX(Setup!$L$6:$L$23,13)))+(COUNTIF(S820:U820,"?*")&lt;N(INDEX(Setup!$L$6:$L$23,13)))+((W820="")*(INDEX(Setup!$M$6:$M$23,13)="Y"))+((Y820="")*(INDEX(Setup!$M$6:$M$23,13)="Y")))</f>
        <v/>
      </c>
      <c r="AC820" s="90">
        <f>IF($B820="","",IF(AB820=0,"✓ covered","⚠ "&amp;AB820&amp;IF(AB820=1," gap"," gaps")))</f>
        <v/>
      </c>
    </row>
    <row r="821" ht="17" customHeight="1">
      <c r="A821" t="n">
        <v>17</v>
      </c>
      <c r="B821" s="29">
        <f>IF(Setup!$K$19="","",Setup!$K$19)</f>
        <v/>
      </c>
      <c r="C821" s="88" t="n"/>
      <c r="D821" s="88" t="n"/>
      <c r="E821" s="88" t="n"/>
      <c r="F821" s="89" t="n"/>
      <c r="G821" s="88" t="n"/>
      <c r="H821" s="88" t="n"/>
      <c r="I821" s="88" t="n"/>
      <c r="J821" s="89" t="n"/>
      <c r="K821" s="88" t="n"/>
      <c r="L821" s="88" t="n"/>
      <c r="M821" s="88" t="n"/>
      <c r="N821" s="89" t="n"/>
      <c r="O821" s="88" t="n"/>
      <c r="P821" s="88" t="n"/>
      <c r="Q821" s="88" t="n"/>
      <c r="R821" s="89" t="n"/>
      <c r="S821" s="88" t="n"/>
      <c r="T821" s="88" t="n"/>
      <c r="U821" s="88" t="n"/>
      <c r="V821" s="89" t="n"/>
      <c r="W821" s="88" t="n"/>
      <c r="X821" s="89" t="n"/>
      <c r="Y821" s="88" t="n"/>
      <c r="Z821" s="89" t="n"/>
      <c r="AB821" s="30">
        <f>IF($B821="","",(COUNTIF(C821:E821,"?*")&lt;N(INDEX(Setup!$L$6:$L$23,14)))+(COUNTIF(G821:I821,"?*")&lt;N(INDEX(Setup!$L$6:$L$23,14)))+(COUNTIF(K821:M821,"?*")&lt;N(INDEX(Setup!$L$6:$L$23,14)))+(COUNTIF(O821:Q821,"?*")&lt;N(INDEX(Setup!$L$6:$L$23,14)))+(COUNTIF(S821:U821,"?*")&lt;N(INDEX(Setup!$L$6:$L$23,14)))+((W821="")*(INDEX(Setup!$M$6:$M$23,14)="Y"))+((Y821="")*(INDEX(Setup!$M$6:$M$23,14)="Y")))</f>
        <v/>
      </c>
      <c r="AC821" s="91">
        <f>IF($B821="","",IF(AB821=0,"✓ covered","⚠ "&amp;AB821&amp;IF(AB821=1," gap"," gaps")))</f>
        <v/>
      </c>
    </row>
    <row r="822" ht="17" customHeight="1">
      <c r="A822" t="n">
        <v>17</v>
      </c>
      <c r="B822" s="24">
        <f>IF(Setup!$K$20="","",Setup!$K$20)</f>
        <v/>
      </c>
      <c r="C822" s="88" t="n"/>
      <c r="D822" s="88" t="n"/>
      <c r="E822" s="88" t="n"/>
      <c r="F822" s="89" t="n"/>
      <c r="G822" s="88" t="n"/>
      <c r="H822" s="88" t="n"/>
      <c r="I822" s="88" t="n"/>
      <c r="J822" s="89" t="n"/>
      <c r="K822" s="88" t="n"/>
      <c r="L822" s="88" t="n"/>
      <c r="M822" s="88" t="n"/>
      <c r="N822" s="89" t="n"/>
      <c r="O822" s="88" t="n"/>
      <c r="P822" s="88" t="n"/>
      <c r="Q822" s="88" t="n"/>
      <c r="R822" s="89" t="n"/>
      <c r="S822" s="88" t="n"/>
      <c r="T822" s="88" t="n"/>
      <c r="U822" s="88" t="n"/>
      <c r="V822" s="89" t="n"/>
      <c r="W822" s="88" t="n"/>
      <c r="X822" s="89" t="n"/>
      <c r="Y822" s="88" t="n"/>
      <c r="Z822" s="89" t="n"/>
      <c r="AB822" s="25">
        <f>IF($B822="","",(COUNTIF(C822:E822,"?*")&lt;N(INDEX(Setup!$L$6:$L$23,15)))+(COUNTIF(G822:I822,"?*")&lt;N(INDEX(Setup!$L$6:$L$23,15)))+(COUNTIF(K822:M822,"?*")&lt;N(INDEX(Setup!$L$6:$L$23,15)))+(COUNTIF(O822:Q822,"?*")&lt;N(INDEX(Setup!$L$6:$L$23,15)))+(COUNTIF(S822:U822,"?*")&lt;N(INDEX(Setup!$L$6:$L$23,15)))+((W822="")*(INDEX(Setup!$M$6:$M$23,15)="Y"))+((Y822="")*(INDEX(Setup!$M$6:$M$23,15)="Y")))</f>
        <v/>
      </c>
      <c r="AC822" s="90">
        <f>IF($B822="","",IF(AB822=0,"✓ covered","⚠ "&amp;AB822&amp;IF(AB822=1," gap"," gaps")))</f>
        <v/>
      </c>
    </row>
    <row r="823" ht="17" customHeight="1">
      <c r="A823" t="n">
        <v>17</v>
      </c>
      <c r="B823" s="29">
        <f>IF(Setup!$K$21="","",Setup!$K$21)</f>
        <v/>
      </c>
      <c r="C823" s="88" t="n"/>
      <c r="D823" s="88" t="n"/>
      <c r="E823" s="88" t="n"/>
      <c r="F823" s="89" t="n"/>
      <c r="G823" s="88" t="n"/>
      <c r="H823" s="88" t="n"/>
      <c r="I823" s="88" t="n"/>
      <c r="J823" s="89" t="n"/>
      <c r="K823" s="88" t="n"/>
      <c r="L823" s="88" t="n"/>
      <c r="M823" s="88" t="n"/>
      <c r="N823" s="89" t="n"/>
      <c r="O823" s="88" t="n"/>
      <c r="P823" s="88" t="n"/>
      <c r="Q823" s="88" t="n"/>
      <c r="R823" s="89" t="n"/>
      <c r="S823" s="88" t="n"/>
      <c r="T823" s="88" t="n"/>
      <c r="U823" s="88" t="n"/>
      <c r="V823" s="89" t="n"/>
      <c r="W823" s="88" t="n"/>
      <c r="X823" s="89" t="n"/>
      <c r="Y823" s="88" t="n"/>
      <c r="Z823" s="89" t="n"/>
      <c r="AB823" s="30">
        <f>IF($B823="","",(COUNTIF(C823:E823,"?*")&lt;N(INDEX(Setup!$L$6:$L$23,16)))+(COUNTIF(G823:I823,"?*")&lt;N(INDEX(Setup!$L$6:$L$23,16)))+(COUNTIF(K823:M823,"?*")&lt;N(INDEX(Setup!$L$6:$L$23,16)))+(COUNTIF(O823:Q823,"?*")&lt;N(INDEX(Setup!$L$6:$L$23,16)))+(COUNTIF(S823:U823,"?*")&lt;N(INDEX(Setup!$L$6:$L$23,16)))+((W823="")*(INDEX(Setup!$M$6:$M$23,16)="Y"))+((Y823="")*(INDEX(Setup!$M$6:$M$23,16)="Y")))</f>
        <v/>
      </c>
      <c r="AC823" s="91">
        <f>IF($B823="","",IF(AB823=0,"✓ covered","⚠ "&amp;AB823&amp;IF(AB823=1," gap"," gaps")))</f>
        <v/>
      </c>
    </row>
    <row r="824" ht="17" customHeight="1">
      <c r="A824" t="n">
        <v>17</v>
      </c>
      <c r="B824" s="24">
        <f>IF(Setup!$K$22="","",Setup!$K$22)</f>
        <v/>
      </c>
      <c r="C824" s="88" t="n"/>
      <c r="D824" s="88" t="n"/>
      <c r="E824" s="88" t="n"/>
      <c r="F824" s="89" t="n"/>
      <c r="G824" s="88" t="n"/>
      <c r="H824" s="88" t="n"/>
      <c r="I824" s="88" t="n"/>
      <c r="J824" s="89" t="n"/>
      <c r="K824" s="88" t="n"/>
      <c r="L824" s="88" t="n"/>
      <c r="M824" s="88" t="n"/>
      <c r="N824" s="89" t="n"/>
      <c r="O824" s="88" t="n"/>
      <c r="P824" s="88" t="n"/>
      <c r="Q824" s="88" t="n"/>
      <c r="R824" s="89" t="n"/>
      <c r="S824" s="88" t="n"/>
      <c r="T824" s="88" t="n"/>
      <c r="U824" s="88" t="n"/>
      <c r="V824" s="89" t="n"/>
      <c r="W824" s="88" t="n"/>
      <c r="X824" s="89" t="n"/>
      <c r="Y824" s="88" t="n"/>
      <c r="Z824" s="89" t="n"/>
      <c r="AB824" s="25">
        <f>IF($B824="","",(COUNTIF(C824:E824,"?*")&lt;N(INDEX(Setup!$L$6:$L$23,17)))+(COUNTIF(G824:I824,"?*")&lt;N(INDEX(Setup!$L$6:$L$23,17)))+(COUNTIF(K824:M824,"?*")&lt;N(INDEX(Setup!$L$6:$L$23,17)))+(COUNTIF(O824:Q824,"?*")&lt;N(INDEX(Setup!$L$6:$L$23,17)))+(COUNTIF(S824:U824,"?*")&lt;N(INDEX(Setup!$L$6:$L$23,17)))+((W824="")*(INDEX(Setup!$M$6:$M$23,17)="Y"))+((Y824="")*(INDEX(Setup!$M$6:$M$23,17)="Y")))</f>
        <v/>
      </c>
      <c r="AC824" s="90">
        <f>IF($B824="","",IF(AB824=0,"✓ covered","⚠ "&amp;AB824&amp;IF(AB824=1," gap"," gaps")))</f>
        <v/>
      </c>
    </row>
    <row r="825" ht="17" customHeight="1">
      <c r="A825" t="n">
        <v>17</v>
      </c>
      <c r="B825" s="29">
        <f>IF(Setup!$K$23="","",Setup!$K$23)</f>
        <v/>
      </c>
      <c r="C825" s="88" t="n"/>
      <c r="D825" s="88" t="n"/>
      <c r="E825" s="88" t="n"/>
      <c r="F825" s="89" t="n"/>
      <c r="G825" s="88" t="n"/>
      <c r="H825" s="88" t="n"/>
      <c r="I825" s="88" t="n"/>
      <c r="J825" s="89" t="n"/>
      <c r="K825" s="88" t="n"/>
      <c r="L825" s="88" t="n"/>
      <c r="M825" s="88" t="n"/>
      <c r="N825" s="89" t="n"/>
      <c r="O825" s="88" t="n"/>
      <c r="P825" s="88" t="n"/>
      <c r="Q825" s="88" t="n"/>
      <c r="R825" s="89" t="n"/>
      <c r="S825" s="88" t="n"/>
      <c r="T825" s="88" t="n"/>
      <c r="U825" s="88" t="n"/>
      <c r="V825" s="89" t="n"/>
      <c r="W825" s="88" t="n"/>
      <c r="X825" s="89" t="n"/>
      <c r="Y825" s="88" t="n"/>
      <c r="Z825" s="89" t="n"/>
      <c r="AB825" s="30">
        <f>IF($B825="","",(COUNTIF(C825:E825,"?*")&lt;N(INDEX(Setup!$L$6:$L$23,18)))+(COUNTIF(G825:I825,"?*")&lt;N(INDEX(Setup!$L$6:$L$23,18)))+(COUNTIF(K825:M825,"?*")&lt;N(INDEX(Setup!$L$6:$L$23,18)))+(COUNTIF(O825:Q825,"?*")&lt;N(INDEX(Setup!$L$6:$L$23,18)))+(COUNTIF(S825:U825,"?*")&lt;N(INDEX(Setup!$L$6:$L$23,18)))+((W825="")*(INDEX(Setup!$M$6:$M$23,18)="Y"))+((Y825="")*(INDEX(Setup!$M$6:$M$23,18)="Y")))</f>
        <v/>
      </c>
      <c r="AC825" s="91">
        <f>IF($B825="","",IF(AB825=0,"✓ covered","⚠ "&amp;AB825&amp;IF(AB825=1," gap"," gaps")))</f>
        <v/>
      </c>
    </row>
    <row r="826" ht="18" customHeight="1">
      <c r="A826" t="n">
        <v>17</v>
      </c>
      <c r="B826" s="78" t="inlineStr">
        <is>
          <t>TEAM AVAILABILITY</t>
        </is>
      </c>
      <c r="C826" s="92" t="inlineStr">
        <is>
          <t>Mon</t>
        </is>
      </c>
      <c r="D826" s="93" t="n"/>
      <c r="E826" s="93" t="n"/>
      <c r="F826" s="94" t="n"/>
      <c r="G826" s="92" t="inlineStr">
        <is>
          <t>Tue</t>
        </is>
      </c>
      <c r="H826" s="93" t="n"/>
      <c r="I826" s="93" t="n"/>
      <c r="J826" s="94" t="n"/>
      <c r="K826" s="92" t="inlineStr">
        <is>
          <t>Wed</t>
        </is>
      </c>
      <c r="L826" s="93" t="n"/>
      <c r="M826" s="93" t="n"/>
      <c r="N826" s="94" t="n"/>
      <c r="O826" s="92" t="inlineStr">
        <is>
          <t>Thu</t>
        </is>
      </c>
      <c r="P826" s="93" t="n"/>
      <c r="Q826" s="93" t="n"/>
      <c r="R826" s="94" t="n"/>
      <c r="S826" s="92" t="inlineStr">
        <is>
          <t>Fri</t>
        </is>
      </c>
      <c r="T826" s="93" t="n"/>
      <c r="U826" s="93" t="n"/>
      <c r="V826" s="94" t="n"/>
      <c r="W826" s="95" t="inlineStr">
        <is>
          <t>Sat</t>
        </is>
      </c>
      <c r="X826" s="96" t="n"/>
      <c r="Y826" s="95" t="inlineStr">
        <is>
          <t>Sun</t>
        </is>
      </c>
      <c r="Z826" s="96" t="n"/>
      <c r="AB826" s="97" t="inlineStr">
        <is>
          <t>Days rostered</t>
        </is>
      </c>
      <c r="AC826" s="97" t="inlineStr">
        <is>
          <t>Conflicts</t>
        </is>
      </c>
    </row>
    <row r="827" ht="15" customHeight="1">
      <c r="A827" t="n">
        <v>17</v>
      </c>
      <c r="B827" s="35">
        <f>IF(Setup!$B$6="","",Setup!$B$6)</f>
        <v/>
      </c>
      <c r="C827" s="98" t="n"/>
      <c r="D827" s="99" t="n"/>
      <c r="E827" s="99" t="n"/>
      <c r="F827" s="100" t="n"/>
      <c r="G827" s="98" t="n"/>
      <c r="H827" s="99" t="n"/>
      <c r="I827" s="99" t="n"/>
      <c r="J827" s="100" t="n"/>
      <c r="K827" s="98" t="n"/>
      <c r="L827" s="99" t="n"/>
      <c r="M827" s="99" t="n"/>
      <c r="N827" s="100" t="n"/>
      <c r="O827" s="98" t="n"/>
      <c r="P827" s="99" t="n"/>
      <c r="Q827" s="99" t="n"/>
      <c r="R827" s="100" t="n"/>
      <c r="S827" s="98" t="n"/>
      <c r="T827" s="99" t="n"/>
      <c r="U827" s="99" t="n"/>
      <c r="V827" s="100" t="n"/>
      <c r="W827" s="98" t="n"/>
      <c r="X827" s="100" t="n"/>
      <c r="Y827" s="98" t="n"/>
      <c r="Z827" s="100" t="n"/>
      <c r="AB827" s="101">
        <f>IF($B827="","",(COUNTIF(C808:E825,$B827)+COUNTIF(C808:E825,$B827&amp;" ~*")&gt;0)+(COUNTIF(G808:I825,$B827)+COUNTIF(G808:I825,$B827&amp;" ~*")&gt;0)+(COUNTIF(K808:M825,$B827)+COUNTIF(K808:M825,$B827&amp;" ~*")&gt;0)+(COUNTIF(O808:Q825,$B827)+COUNTIF(O808:Q825,$B827&amp;" ~*")&gt;0)+(COUNTIF(S808:U825,$B827)+COUNTIF(S808:U825,$B827&amp;" ~*")&gt;0)+(COUNTIF(W808:W825,$B827)+COUNTIF(W808:W825,$B827&amp;" ~*")&gt;0)+(COUNTIF(Y808:Y825,$B827)+COUNTIF(Y808:Y825,$B827&amp;" ~*")&gt;0))</f>
        <v/>
      </c>
      <c r="AC827" s="36">
        <f>IF($B827="","",(IFERROR(INDEX(Setup!$G$33:$G$40,MATCH(C827,Setup!$B$33:$B$40,0)),0)=1)*(COUNTIF(C808:E825,$B827)+COUNTIF(C808:E825,$B827&amp;" ~*")&gt;0)+(IFERROR(INDEX(Setup!$G$33:$G$40,MATCH(G827,Setup!$B$33:$B$40,0)),0)=1)*(COUNTIF(G808:I825,$B827)+COUNTIF(G808:I825,$B827&amp;" ~*")&gt;0)+(IFERROR(INDEX(Setup!$G$33:$G$40,MATCH(K827,Setup!$B$33:$B$40,0)),0)=1)*(COUNTIF(K808:M825,$B827)+COUNTIF(K808:M825,$B827&amp;" ~*")&gt;0)+(IFERROR(INDEX(Setup!$G$33:$G$40,MATCH(O827,Setup!$B$33:$B$40,0)),0)=1)*(COUNTIF(O808:Q825,$B827)+COUNTIF(O808:Q825,$B827&amp;" ~*")&gt;0)+(IFERROR(INDEX(Setup!$G$33:$G$40,MATCH(S827,Setup!$B$33:$B$40,0)),0)=1)*(COUNTIF(S808:U825,$B827)+COUNTIF(S808:U825,$B827&amp;" ~*")&gt;0)+(IFERROR(INDEX(Setup!$G$33:$G$40,MATCH(W827,Setup!$B$33:$B$40,0)),0)=1)*(COUNTIF(W808:W825,$B827)+COUNTIF(W808:W825,$B827&amp;" ~*")&gt;0)+(IFERROR(INDEX(Setup!$G$33:$G$40,MATCH(Y827,Setup!$B$33:$B$40,0)),0)=1)*(COUNTIF(Y808:Y825,$B827)+COUNTIF(Y808:Y825,$B827&amp;" ~*")&gt;0))</f>
        <v/>
      </c>
    </row>
    <row r="828" ht="15" customHeight="1">
      <c r="A828" t="n">
        <v>17</v>
      </c>
      <c r="B828" s="37">
        <f>IF(Setup!$B$7="","",Setup!$B$7)</f>
        <v/>
      </c>
      <c r="C828" s="102" t="n"/>
      <c r="D828" s="103" t="n"/>
      <c r="E828" s="103" t="n"/>
      <c r="F828" s="104" t="n"/>
      <c r="G828" s="102" t="n"/>
      <c r="H828" s="103" t="n"/>
      <c r="I828" s="103" t="n"/>
      <c r="J828" s="104" t="n"/>
      <c r="K828" s="102" t="n"/>
      <c r="L828" s="103" t="n"/>
      <c r="M828" s="103" t="n"/>
      <c r="N828" s="104" t="n"/>
      <c r="O828" s="102" t="n"/>
      <c r="P828" s="103" t="n"/>
      <c r="Q828" s="103" t="n"/>
      <c r="R828" s="104" t="n"/>
      <c r="S828" s="102" t="n"/>
      <c r="T828" s="103" t="n"/>
      <c r="U828" s="103" t="n"/>
      <c r="V828" s="104" t="n"/>
      <c r="W828" s="102" t="n"/>
      <c r="X828" s="104" t="n"/>
      <c r="Y828" s="102" t="n"/>
      <c r="Z828" s="104" t="n"/>
      <c r="AB828" s="105">
        <f>IF($B828="","",(COUNTIF(C808:E825,$B828)+COUNTIF(C808:E825,$B828&amp;" ~*")&gt;0)+(COUNTIF(G808:I825,$B828)+COUNTIF(G808:I825,$B828&amp;" ~*")&gt;0)+(COUNTIF(K808:M825,$B828)+COUNTIF(K808:M825,$B828&amp;" ~*")&gt;0)+(COUNTIF(O808:Q825,$B828)+COUNTIF(O808:Q825,$B828&amp;" ~*")&gt;0)+(COUNTIF(S808:U825,$B828)+COUNTIF(S808:U825,$B828&amp;" ~*")&gt;0)+(COUNTIF(W808:W825,$B828)+COUNTIF(W808:W825,$B828&amp;" ~*")&gt;0)+(COUNTIF(Y808:Y825,$B828)+COUNTIF(Y808:Y825,$B828&amp;" ~*")&gt;0))</f>
        <v/>
      </c>
      <c r="AC828" s="38">
        <f>IF($B828="","",(IFERROR(INDEX(Setup!$G$33:$G$40,MATCH(C828,Setup!$B$33:$B$40,0)),0)=1)*(COUNTIF(C808:E825,$B828)+COUNTIF(C808:E825,$B828&amp;" ~*")&gt;0)+(IFERROR(INDEX(Setup!$G$33:$G$40,MATCH(G828,Setup!$B$33:$B$40,0)),0)=1)*(COUNTIF(G808:I825,$B828)+COUNTIF(G808:I825,$B828&amp;" ~*")&gt;0)+(IFERROR(INDEX(Setup!$G$33:$G$40,MATCH(K828,Setup!$B$33:$B$40,0)),0)=1)*(COUNTIF(K808:M825,$B828)+COUNTIF(K808:M825,$B828&amp;" ~*")&gt;0)+(IFERROR(INDEX(Setup!$G$33:$G$40,MATCH(O828,Setup!$B$33:$B$40,0)),0)=1)*(COUNTIF(O808:Q825,$B828)+COUNTIF(O808:Q825,$B828&amp;" ~*")&gt;0)+(IFERROR(INDEX(Setup!$G$33:$G$40,MATCH(S828,Setup!$B$33:$B$40,0)),0)=1)*(COUNTIF(S808:U825,$B828)+COUNTIF(S808:U825,$B828&amp;" ~*")&gt;0)+(IFERROR(INDEX(Setup!$G$33:$G$40,MATCH(W828,Setup!$B$33:$B$40,0)),0)=1)*(COUNTIF(W808:W825,$B828)+COUNTIF(W808:W825,$B828&amp;" ~*")&gt;0)+(IFERROR(INDEX(Setup!$G$33:$G$40,MATCH(Y828,Setup!$B$33:$B$40,0)),0)=1)*(COUNTIF(Y808:Y825,$B828)+COUNTIF(Y808:Y825,$B828&amp;" ~*")&gt;0))</f>
        <v/>
      </c>
    </row>
    <row r="829" ht="15" customHeight="1">
      <c r="A829" t="n">
        <v>17</v>
      </c>
      <c r="B829" s="35">
        <f>IF(Setup!$B$8="","",Setup!$B$8)</f>
        <v/>
      </c>
      <c r="C829" s="98" t="n"/>
      <c r="D829" s="99" t="n"/>
      <c r="E829" s="99" t="n"/>
      <c r="F829" s="100" t="n"/>
      <c r="G829" s="98" t="n"/>
      <c r="H829" s="99" t="n"/>
      <c r="I829" s="99" t="n"/>
      <c r="J829" s="100" t="n"/>
      <c r="K829" s="98" t="n"/>
      <c r="L829" s="99" t="n"/>
      <c r="M829" s="99" t="n"/>
      <c r="N829" s="100" t="n"/>
      <c r="O829" s="98" t="n"/>
      <c r="P829" s="99" t="n"/>
      <c r="Q829" s="99" t="n"/>
      <c r="R829" s="100" t="n"/>
      <c r="S829" s="98" t="n"/>
      <c r="T829" s="99" t="n"/>
      <c r="U829" s="99" t="n"/>
      <c r="V829" s="100" t="n"/>
      <c r="W829" s="98" t="n"/>
      <c r="X829" s="100" t="n"/>
      <c r="Y829" s="98" t="n"/>
      <c r="Z829" s="100" t="n"/>
      <c r="AB829" s="101">
        <f>IF($B829="","",(COUNTIF(C808:E825,$B829)+COUNTIF(C808:E825,$B829&amp;" ~*")&gt;0)+(COUNTIF(G808:I825,$B829)+COUNTIF(G808:I825,$B829&amp;" ~*")&gt;0)+(COUNTIF(K808:M825,$B829)+COUNTIF(K808:M825,$B829&amp;" ~*")&gt;0)+(COUNTIF(O808:Q825,$B829)+COUNTIF(O808:Q825,$B829&amp;" ~*")&gt;0)+(COUNTIF(S808:U825,$B829)+COUNTIF(S808:U825,$B829&amp;" ~*")&gt;0)+(COUNTIF(W808:W825,$B829)+COUNTIF(W808:W825,$B829&amp;" ~*")&gt;0)+(COUNTIF(Y808:Y825,$B829)+COUNTIF(Y808:Y825,$B829&amp;" ~*")&gt;0))</f>
        <v/>
      </c>
      <c r="AC829" s="36">
        <f>IF($B829="","",(IFERROR(INDEX(Setup!$G$33:$G$40,MATCH(C829,Setup!$B$33:$B$40,0)),0)=1)*(COUNTIF(C808:E825,$B829)+COUNTIF(C808:E825,$B829&amp;" ~*")&gt;0)+(IFERROR(INDEX(Setup!$G$33:$G$40,MATCH(G829,Setup!$B$33:$B$40,0)),0)=1)*(COUNTIF(G808:I825,$B829)+COUNTIF(G808:I825,$B829&amp;" ~*")&gt;0)+(IFERROR(INDEX(Setup!$G$33:$G$40,MATCH(K829,Setup!$B$33:$B$40,0)),0)=1)*(COUNTIF(K808:M825,$B829)+COUNTIF(K808:M825,$B829&amp;" ~*")&gt;0)+(IFERROR(INDEX(Setup!$G$33:$G$40,MATCH(O829,Setup!$B$33:$B$40,0)),0)=1)*(COUNTIF(O808:Q825,$B829)+COUNTIF(O808:Q825,$B829&amp;" ~*")&gt;0)+(IFERROR(INDEX(Setup!$G$33:$G$40,MATCH(S829,Setup!$B$33:$B$40,0)),0)=1)*(COUNTIF(S808:U825,$B829)+COUNTIF(S808:U825,$B829&amp;" ~*")&gt;0)+(IFERROR(INDEX(Setup!$G$33:$G$40,MATCH(W829,Setup!$B$33:$B$40,0)),0)=1)*(COUNTIF(W808:W825,$B829)+COUNTIF(W808:W825,$B829&amp;" ~*")&gt;0)+(IFERROR(INDEX(Setup!$G$33:$G$40,MATCH(Y829,Setup!$B$33:$B$40,0)),0)=1)*(COUNTIF(Y808:Y825,$B829)+COUNTIF(Y808:Y825,$B829&amp;" ~*")&gt;0))</f>
        <v/>
      </c>
    </row>
    <row r="830" ht="15" customHeight="1">
      <c r="A830" t="n">
        <v>17</v>
      </c>
      <c r="B830" s="37">
        <f>IF(Setup!$B$9="","",Setup!$B$9)</f>
        <v/>
      </c>
      <c r="C830" s="102" t="n"/>
      <c r="D830" s="103" t="n"/>
      <c r="E830" s="103" t="n"/>
      <c r="F830" s="104" t="n"/>
      <c r="G830" s="102" t="n"/>
      <c r="H830" s="103" t="n"/>
      <c r="I830" s="103" t="n"/>
      <c r="J830" s="104" t="n"/>
      <c r="K830" s="102" t="n"/>
      <c r="L830" s="103" t="n"/>
      <c r="M830" s="103" t="n"/>
      <c r="N830" s="104" t="n"/>
      <c r="O830" s="102" t="n"/>
      <c r="P830" s="103" t="n"/>
      <c r="Q830" s="103" t="n"/>
      <c r="R830" s="104" t="n"/>
      <c r="S830" s="102" t="n"/>
      <c r="T830" s="103" t="n"/>
      <c r="U830" s="103" t="n"/>
      <c r="V830" s="104" t="n"/>
      <c r="W830" s="102" t="n"/>
      <c r="X830" s="104" t="n"/>
      <c r="Y830" s="102" t="n"/>
      <c r="Z830" s="104" t="n"/>
      <c r="AB830" s="105">
        <f>IF($B830="","",(COUNTIF(C808:E825,$B830)+COUNTIF(C808:E825,$B830&amp;" ~*")&gt;0)+(COUNTIF(G808:I825,$B830)+COUNTIF(G808:I825,$B830&amp;" ~*")&gt;0)+(COUNTIF(K808:M825,$B830)+COUNTIF(K808:M825,$B830&amp;" ~*")&gt;0)+(COUNTIF(O808:Q825,$B830)+COUNTIF(O808:Q825,$B830&amp;" ~*")&gt;0)+(COUNTIF(S808:U825,$B830)+COUNTIF(S808:U825,$B830&amp;" ~*")&gt;0)+(COUNTIF(W808:W825,$B830)+COUNTIF(W808:W825,$B830&amp;" ~*")&gt;0)+(COUNTIF(Y808:Y825,$B830)+COUNTIF(Y808:Y825,$B830&amp;" ~*")&gt;0))</f>
        <v/>
      </c>
      <c r="AC830" s="38">
        <f>IF($B830="","",(IFERROR(INDEX(Setup!$G$33:$G$40,MATCH(C830,Setup!$B$33:$B$40,0)),0)=1)*(COUNTIF(C808:E825,$B830)+COUNTIF(C808:E825,$B830&amp;" ~*")&gt;0)+(IFERROR(INDEX(Setup!$G$33:$G$40,MATCH(G830,Setup!$B$33:$B$40,0)),0)=1)*(COUNTIF(G808:I825,$B830)+COUNTIF(G808:I825,$B830&amp;" ~*")&gt;0)+(IFERROR(INDEX(Setup!$G$33:$G$40,MATCH(K830,Setup!$B$33:$B$40,0)),0)=1)*(COUNTIF(K808:M825,$B830)+COUNTIF(K808:M825,$B830&amp;" ~*")&gt;0)+(IFERROR(INDEX(Setup!$G$33:$G$40,MATCH(O830,Setup!$B$33:$B$40,0)),0)=1)*(COUNTIF(O808:Q825,$B830)+COUNTIF(O808:Q825,$B830&amp;" ~*")&gt;0)+(IFERROR(INDEX(Setup!$G$33:$G$40,MATCH(S830,Setup!$B$33:$B$40,0)),0)=1)*(COUNTIF(S808:U825,$B830)+COUNTIF(S808:U825,$B830&amp;" ~*")&gt;0)+(IFERROR(INDEX(Setup!$G$33:$G$40,MATCH(W830,Setup!$B$33:$B$40,0)),0)=1)*(COUNTIF(W808:W825,$B830)+COUNTIF(W808:W825,$B830&amp;" ~*")&gt;0)+(IFERROR(INDEX(Setup!$G$33:$G$40,MATCH(Y830,Setup!$B$33:$B$40,0)),0)=1)*(COUNTIF(Y808:Y825,$B830)+COUNTIF(Y808:Y825,$B830&amp;" ~*")&gt;0))</f>
        <v/>
      </c>
    </row>
    <row r="831" ht="15" customHeight="1">
      <c r="A831" t="n">
        <v>17</v>
      </c>
      <c r="B831" s="35">
        <f>IF(Setup!$B$10="","",Setup!$B$10)</f>
        <v/>
      </c>
      <c r="C831" s="98" t="n"/>
      <c r="D831" s="99" t="n"/>
      <c r="E831" s="99" t="n"/>
      <c r="F831" s="100" t="n"/>
      <c r="G831" s="98" t="n"/>
      <c r="H831" s="99" t="n"/>
      <c r="I831" s="99" t="n"/>
      <c r="J831" s="100" t="n"/>
      <c r="K831" s="98" t="n"/>
      <c r="L831" s="99" t="n"/>
      <c r="M831" s="99" t="n"/>
      <c r="N831" s="100" t="n"/>
      <c r="O831" s="98" t="n"/>
      <c r="P831" s="99" t="n"/>
      <c r="Q831" s="99" t="n"/>
      <c r="R831" s="100" t="n"/>
      <c r="S831" s="98" t="n"/>
      <c r="T831" s="99" t="n"/>
      <c r="U831" s="99" t="n"/>
      <c r="V831" s="100" t="n"/>
      <c r="W831" s="98" t="n"/>
      <c r="X831" s="100" t="n"/>
      <c r="Y831" s="98" t="n"/>
      <c r="Z831" s="100" t="n"/>
      <c r="AB831" s="101">
        <f>IF($B831="","",(COUNTIF(C808:E825,$B831)+COUNTIF(C808:E825,$B831&amp;" ~*")&gt;0)+(COUNTIF(G808:I825,$B831)+COUNTIF(G808:I825,$B831&amp;" ~*")&gt;0)+(COUNTIF(K808:M825,$B831)+COUNTIF(K808:M825,$B831&amp;" ~*")&gt;0)+(COUNTIF(O808:Q825,$B831)+COUNTIF(O808:Q825,$B831&amp;" ~*")&gt;0)+(COUNTIF(S808:U825,$B831)+COUNTIF(S808:U825,$B831&amp;" ~*")&gt;0)+(COUNTIF(W808:W825,$B831)+COUNTIF(W808:W825,$B831&amp;" ~*")&gt;0)+(COUNTIF(Y808:Y825,$B831)+COUNTIF(Y808:Y825,$B831&amp;" ~*")&gt;0))</f>
        <v/>
      </c>
      <c r="AC831" s="36">
        <f>IF($B831="","",(IFERROR(INDEX(Setup!$G$33:$G$40,MATCH(C831,Setup!$B$33:$B$40,0)),0)=1)*(COUNTIF(C808:E825,$B831)+COUNTIF(C808:E825,$B831&amp;" ~*")&gt;0)+(IFERROR(INDEX(Setup!$G$33:$G$40,MATCH(G831,Setup!$B$33:$B$40,0)),0)=1)*(COUNTIF(G808:I825,$B831)+COUNTIF(G808:I825,$B831&amp;" ~*")&gt;0)+(IFERROR(INDEX(Setup!$G$33:$G$40,MATCH(K831,Setup!$B$33:$B$40,0)),0)=1)*(COUNTIF(K808:M825,$B831)+COUNTIF(K808:M825,$B831&amp;" ~*")&gt;0)+(IFERROR(INDEX(Setup!$G$33:$G$40,MATCH(O831,Setup!$B$33:$B$40,0)),0)=1)*(COUNTIF(O808:Q825,$B831)+COUNTIF(O808:Q825,$B831&amp;" ~*")&gt;0)+(IFERROR(INDEX(Setup!$G$33:$G$40,MATCH(S831,Setup!$B$33:$B$40,0)),0)=1)*(COUNTIF(S808:U825,$B831)+COUNTIF(S808:U825,$B831&amp;" ~*")&gt;0)+(IFERROR(INDEX(Setup!$G$33:$G$40,MATCH(W831,Setup!$B$33:$B$40,0)),0)=1)*(COUNTIF(W808:W825,$B831)+COUNTIF(W808:W825,$B831&amp;" ~*")&gt;0)+(IFERROR(INDEX(Setup!$G$33:$G$40,MATCH(Y831,Setup!$B$33:$B$40,0)),0)=1)*(COUNTIF(Y808:Y825,$B831)+COUNTIF(Y808:Y825,$B831&amp;" ~*")&gt;0))</f>
        <v/>
      </c>
    </row>
    <row r="832" ht="15" customHeight="1">
      <c r="A832" t="n">
        <v>17</v>
      </c>
      <c r="B832" s="37">
        <f>IF(Setup!$B$11="","",Setup!$B$11)</f>
        <v/>
      </c>
      <c r="C832" s="102" t="n"/>
      <c r="D832" s="103" t="n"/>
      <c r="E832" s="103" t="n"/>
      <c r="F832" s="104" t="n"/>
      <c r="G832" s="102" t="n"/>
      <c r="H832" s="103" t="n"/>
      <c r="I832" s="103" t="n"/>
      <c r="J832" s="104" t="n"/>
      <c r="K832" s="102" t="n"/>
      <c r="L832" s="103" t="n"/>
      <c r="M832" s="103" t="n"/>
      <c r="N832" s="104" t="n"/>
      <c r="O832" s="102" t="n"/>
      <c r="P832" s="103" t="n"/>
      <c r="Q832" s="103" t="n"/>
      <c r="R832" s="104" t="n"/>
      <c r="S832" s="102" t="n"/>
      <c r="T832" s="103" t="n"/>
      <c r="U832" s="103" t="n"/>
      <c r="V832" s="104" t="n"/>
      <c r="W832" s="102" t="n"/>
      <c r="X832" s="104" t="n"/>
      <c r="Y832" s="102" t="n"/>
      <c r="Z832" s="104" t="n"/>
      <c r="AB832" s="105">
        <f>IF($B832="","",(COUNTIF(C808:E825,$B832)+COUNTIF(C808:E825,$B832&amp;" ~*")&gt;0)+(COUNTIF(G808:I825,$B832)+COUNTIF(G808:I825,$B832&amp;" ~*")&gt;0)+(COUNTIF(K808:M825,$B832)+COUNTIF(K808:M825,$B832&amp;" ~*")&gt;0)+(COUNTIF(O808:Q825,$B832)+COUNTIF(O808:Q825,$B832&amp;" ~*")&gt;0)+(COUNTIF(S808:U825,$B832)+COUNTIF(S808:U825,$B832&amp;" ~*")&gt;0)+(COUNTIF(W808:W825,$B832)+COUNTIF(W808:W825,$B832&amp;" ~*")&gt;0)+(COUNTIF(Y808:Y825,$B832)+COUNTIF(Y808:Y825,$B832&amp;" ~*")&gt;0))</f>
        <v/>
      </c>
      <c r="AC832" s="38">
        <f>IF($B832="","",(IFERROR(INDEX(Setup!$G$33:$G$40,MATCH(C832,Setup!$B$33:$B$40,0)),0)=1)*(COUNTIF(C808:E825,$B832)+COUNTIF(C808:E825,$B832&amp;" ~*")&gt;0)+(IFERROR(INDEX(Setup!$G$33:$G$40,MATCH(G832,Setup!$B$33:$B$40,0)),0)=1)*(COUNTIF(G808:I825,$B832)+COUNTIF(G808:I825,$B832&amp;" ~*")&gt;0)+(IFERROR(INDEX(Setup!$G$33:$G$40,MATCH(K832,Setup!$B$33:$B$40,0)),0)=1)*(COUNTIF(K808:M825,$B832)+COUNTIF(K808:M825,$B832&amp;" ~*")&gt;0)+(IFERROR(INDEX(Setup!$G$33:$G$40,MATCH(O832,Setup!$B$33:$B$40,0)),0)=1)*(COUNTIF(O808:Q825,$B832)+COUNTIF(O808:Q825,$B832&amp;" ~*")&gt;0)+(IFERROR(INDEX(Setup!$G$33:$G$40,MATCH(S832,Setup!$B$33:$B$40,0)),0)=1)*(COUNTIF(S808:U825,$B832)+COUNTIF(S808:U825,$B832&amp;" ~*")&gt;0)+(IFERROR(INDEX(Setup!$G$33:$G$40,MATCH(W832,Setup!$B$33:$B$40,0)),0)=1)*(COUNTIF(W808:W825,$B832)+COUNTIF(W808:W825,$B832&amp;" ~*")&gt;0)+(IFERROR(INDEX(Setup!$G$33:$G$40,MATCH(Y832,Setup!$B$33:$B$40,0)),0)=1)*(COUNTIF(Y808:Y825,$B832)+COUNTIF(Y808:Y825,$B832&amp;" ~*")&gt;0))</f>
        <v/>
      </c>
    </row>
    <row r="833" ht="15" customHeight="1">
      <c r="A833" t="n">
        <v>17</v>
      </c>
      <c r="B833" s="35">
        <f>IF(Setup!$B$12="","",Setup!$B$12)</f>
        <v/>
      </c>
      <c r="C833" s="98" t="n"/>
      <c r="D833" s="99" t="n"/>
      <c r="E833" s="99" t="n"/>
      <c r="F833" s="100" t="n"/>
      <c r="G833" s="98" t="n"/>
      <c r="H833" s="99" t="n"/>
      <c r="I833" s="99" t="n"/>
      <c r="J833" s="100" t="n"/>
      <c r="K833" s="98" t="n"/>
      <c r="L833" s="99" t="n"/>
      <c r="M833" s="99" t="n"/>
      <c r="N833" s="100" t="n"/>
      <c r="O833" s="98" t="n"/>
      <c r="P833" s="99" t="n"/>
      <c r="Q833" s="99" t="n"/>
      <c r="R833" s="100" t="n"/>
      <c r="S833" s="98" t="inlineStr">
        <is>
          <t>AL</t>
        </is>
      </c>
      <c r="T833" s="99" t="n"/>
      <c r="U833" s="99" t="n"/>
      <c r="V833" s="100" t="n"/>
      <c r="W833" s="98" t="n"/>
      <c r="X833" s="100" t="n"/>
      <c r="Y833" s="98" t="n"/>
      <c r="Z833" s="100" t="n"/>
      <c r="AB833" s="101">
        <f>IF($B833="","",(COUNTIF(C808:E825,$B833)+COUNTIF(C808:E825,$B833&amp;" ~*")&gt;0)+(COUNTIF(G808:I825,$B833)+COUNTIF(G808:I825,$B833&amp;" ~*")&gt;0)+(COUNTIF(K808:M825,$B833)+COUNTIF(K808:M825,$B833&amp;" ~*")&gt;0)+(COUNTIF(O808:Q825,$B833)+COUNTIF(O808:Q825,$B833&amp;" ~*")&gt;0)+(COUNTIF(S808:U825,$B833)+COUNTIF(S808:U825,$B833&amp;" ~*")&gt;0)+(COUNTIF(W808:W825,$B833)+COUNTIF(W808:W825,$B833&amp;" ~*")&gt;0)+(COUNTIF(Y808:Y825,$B833)+COUNTIF(Y808:Y825,$B833&amp;" ~*")&gt;0))</f>
        <v/>
      </c>
      <c r="AC833" s="36">
        <f>IF($B833="","",(IFERROR(INDEX(Setup!$G$33:$G$40,MATCH(C833,Setup!$B$33:$B$40,0)),0)=1)*(COUNTIF(C808:E825,$B833)+COUNTIF(C808:E825,$B833&amp;" ~*")&gt;0)+(IFERROR(INDEX(Setup!$G$33:$G$40,MATCH(G833,Setup!$B$33:$B$40,0)),0)=1)*(COUNTIF(G808:I825,$B833)+COUNTIF(G808:I825,$B833&amp;" ~*")&gt;0)+(IFERROR(INDEX(Setup!$G$33:$G$40,MATCH(K833,Setup!$B$33:$B$40,0)),0)=1)*(COUNTIF(K808:M825,$B833)+COUNTIF(K808:M825,$B833&amp;" ~*")&gt;0)+(IFERROR(INDEX(Setup!$G$33:$G$40,MATCH(O833,Setup!$B$33:$B$40,0)),0)=1)*(COUNTIF(O808:Q825,$B833)+COUNTIF(O808:Q825,$B833&amp;" ~*")&gt;0)+(IFERROR(INDEX(Setup!$G$33:$G$40,MATCH(S833,Setup!$B$33:$B$40,0)),0)=1)*(COUNTIF(S808:U825,$B833)+COUNTIF(S808:U825,$B833&amp;" ~*")&gt;0)+(IFERROR(INDEX(Setup!$G$33:$G$40,MATCH(W833,Setup!$B$33:$B$40,0)),0)=1)*(COUNTIF(W808:W825,$B833)+COUNTIF(W808:W825,$B833&amp;" ~*")&gt;0)+(IFERROR(INDEX(Setup!$G$33:$G$40,MATCH(Y833,Setup!$B$33:$B$40,0)),0)=1)*(COUNTIF(Y808:Y825,$B833)+COUNTIF(Y808:Y825,$B833&amp;" ~*")&gt;0))</f>
        <v/>
      </c>
    </row>
    <row r="834" ht="15" customHeight="1">
      <c r="A834" t="n">
        <v>17</v>
      </c>
      <c r="B834" s="37">
        <f>IF(Setup!$B$13="","",Setup!$B$13)</f>
        <v/>
      </c>
      <c r="C834" s="102" t="n"/>
      <c r="D834" s="103" t="n"/>
      <c r="E834" s="103" t="n"/>
      <c r="F834" s="104" t="n"/>
      <c r="G834" s="102" t="n"/>
      <c r="H834" s="103" t="n"/>
      <c r="I834" s="103" t="n"/>
      <c r="J834" s="104" t="n"/>
      <c r="K834" s="102" t="n"/>
      <c r="L834" s="103" t="n"/>
      <c r="M834" s="103" t="n"/>
      <c r="N834" s="104" t="n"/>
      <c r="O834" s="102" t="n"/>
      <c r="P834" s="103" t="n"/>
      <c r="Q834" s="103" t="n"/>
      <c r="R834" s="104" t="n"/>
      <c r="S834" s="102" t="n"/>
      <c r="T834" s="103" t="n"/>
      <c r="U834" s="103" t="n"/>
      <c r="V834" s="104" t="n"/>
      <c r="W834" s="102" t="n"/>
      <c r="X834" s="104" t="n"/>
      <c r="Y834" s="102" t="n"/>
      <c r="Z834" s="104" t="n"/>
      <c r="AB834" s="105">
        <f>IF($B834="","",(COUNTIF(C808:E825,$B834)+COUNTIF(C808:E825,$B834&amp;" ~*")&gt;0)+(COUNTIF(G808:I825,$B834)+COUNTIF(G808:I825,$B834&amp;" ~*")&gt;0)+(COUNTIF(K808:M825,$B834)+COUNTIF(K808:M825,$B834&amp;" ~*")&gt;0)+(COUNTIF(O808:Q825,$B834)+COUNTIF(O808:Q825,$B834&amp;" ~*")&gt;0)+(COUNTIF(S808:U825,$B834)+COUNTIF(S808:U825,$B834&amp;" ~*")&gt;0)+(COUNTIF(W808:W825,$B834)+COUNTIF(W808:W825,$B834&amp;" ~*")&gt;0)+(COUNTIF(Y808:Y825,$B834)+COUNTIF(Y808:Y825,$B834&amp;" ~*")&gt;0))</f>
        <v/>
      </c>
      <c r="AC834" s="38">
        <f>IF($B834="","",(IFERROR(INDEX(Setup!$G$33:$G$40,MATCH(C834,Setup!$B$33:$B$40,0)),0)=1)*(COUNTIF(C808:E825,$B834)+COUNTIF(C808:E825,$B834&amp;" ~*")&gt;0)+(IFERROR(INDEX(Setup!$G$33:$G$40,MATCH(G834,Setup!$B$33:$B$40,0)),0)=1)*(COUNTIF(G808:I825,$B834)+COUNTIF(G808:I825,$B834&amp;" ~*")&gt;0)+(IFERROR(INDEX(Setup!$G$33:$G$40,MATCH(K834,Setup!$B$33:$B$40,0)),0)=1)*(COUNTIF(K808:M825,$B834)+COUNTIF(K808:M825,$B834&amp;" ~*")&gt;0)+(IFERROR(INDEX(Setup!$G$33:$G$40,MATCH(O834,Setup!$B$33:$B$40,0)),0)=1)*(COUNTIF(O808:Q825,$B834)+COUNTIF(O808:Q825,$B834&amp;" ~*")&gt;0)+(IFERROR(INDEX(Setup!$G$33:$G$40,MATCH(S834,Setup!$B$33:$B$40,0)),0)=1)*(COUNTIF(S808:U825,$B834)+COUNTIF(S808:U825,$B834&amp;" ~*")&gt;0)+(IFERROR(INDEX(Setup!$G$33:$G$40,MATCH(W834,Setup!$B$33:$B$40,0)),0)=1)*(COUNTIF(W808:W825,$B834)+COUNTIF(W808:W825,$B834&amp;" ~*")&gt;0)+(IFERROR(INDEX(Setup!$G$33:$G$40,MATCH(Y834,Setup!$B$33:$B$40,0)),0)=1)*(COUNTIF(Y808:Y825,$B834)+COUNTIF(Y808:Y825,$B834&amp;" ~*")&gt;0))</f>
        <v/>
      </c>
    </row>
    <row r="835" ht="15" customHeight="1">
      <c r="A835" t="n">
        <v>17</v>
      </c>
      <c r="B835" s="35">
        <f>IF(Setup!$B$14="","",Setup!$B$14)</f>
        <v/>
      </c>
      <c r="C835" s="98" t="n"/>
      <c r="D835" s="99" t="n"/>
      <c r="E835" s="99" t="n"/>
      <c r="F835" s="100" t="n"/>
      <c r="G835" s="98" t="n"/>
      <c r="H835" s="99" t="n"/>
      <c r="I835" s="99" t="n"/>
      <c r="J835" s="100" t="n"/>
      <c r="K835" s="98" t="n"/>
      <c r="L835" s="99" t="n"/>
      <c r="M835" s="99" t="n"/>
      <c r="N835" s="100" t="n"/>
      <c r="O835" s="98" t="n"/>
      <c r="P835" s="99" t="n"/>
      <c r="Q835" s="99" t="n"/>
      <c r="R835" s="100" t="n"/>
      <c r="S835" s="98" t="n"/>
      <c r="T835" s="99" t="n"/>
      <c r="U835" s="99" t="n"/>
      <c r="V835" s="100" t="n"/>
      <c r="W835" s="98" t="n"/>
      <c r="X835" s="100" t="n"/>
      <c r="Y835" s="98" t="n"/>
      <c r="Z835" s="100" t="n"/>
      <c r="AB835" s="101">
        <f>IF($B835="","",(COUNTIF(C808:E825,$B835)+COUNTIF(C808:E825,$B835&amp;" ~*")&gt;0)+(COUNTIF(G808:I825,$B835)+COUNTIF(G808:I825,$B835&amp;" ~*")&gt;0)+(COUNTIF(K808:M825,$B835)+COUNTIF(K808:M825,$B835&amp;" ~*")&gt;0)+(COUNTIF(O808:Q825,$B835)+COUNTIF(O808:Q825,$B835&amp;" ~*")&gt;0)+(COUNTIF(S808:U825,$B835)+COUNTIF(S808:U825,$B835&amp;" ~*")&gt;0)+(COUNTIF(W808:W825,$B835)+COUNTIF(W808:W825,$B835&amp;" ~*")&gt;0)+(COUNTIF(Y808:Y825,$B835)+COUNTIF(Y808:Y825,$B835&amp;" ~*")&gt;0))</f>
        <v/>
      </c>
      <c r="AC835" s="36">
        <f>IF($B835="","",(IFERROR(INDEX(Setup!$G$33:$G$40,MATCH(C835,Setup!$B$33:$B$40,0)),0)=1)*(COUNTIF(C808:E825,$B835)+COUNTIF(C808:E825,$B835&amp;" ~*")&gt;0)+(IFERROR(INDEX(Setup!$G$33:$G$40,MATCH(G835,Setup!$B$33:$B$40,0)),0)=1)*(COUNTIF(G808:I825,$B835)+COUNTIF(G808:I825,$B835&amp;" ~*")&gt;0)+(IFERROR(INDEX(Setup!$G$33:$G$40,MATCH(K835,Setup!$B$33:$B$40,0)),0)=1)*(COUNTIF(K808:M825,$B835)+COUNTIF(K808:M825,$B835&amp;" ~*")&gt;0)+(IFERROR(INDEX(Setup!$G$33:$G$40,MATCH(O835,Setup!$B$33:$B$40,0)),0)=1)*(COUNTIF(O808:Q825,$B835)+COUNTIF(O808:Q825,$B835&amp;" ~*")&gt;0)+(IFERROR(INDEX(Setup!$G$33:$G$40,MATCH(S835,Setup!$B$33:$B$40,0)),0)=1)*(COUNTIF(S808:U825,$B835)+COUNTIF(S808:U825,$B835&amp;" ~*")&gt;0)+(IFERROR(INDEX(Setup!$G$33:$G$40,MATCH(W835,Setup!$B$33:$B$40,0)),0)=1)*(COUNTIF(W808:W825,$B835)+COUNTIF(W808:W825,$B835&amp;" ~*")&gt;0)+(IFERROR(INDEX(Setup!$G$33:$G$40,MATCH(Y835,Setup!$B$33:$B$40,0)),0)=1)*(COUNTIF(Y808:Y825,$B835)+COUNTIF(Y808:Y825,$B835&amp;" ~*")&gt;0))</f>
        <v/>
      </c>
    </row>
    <row r="836" ht="15" customHeight="1">
      <c r="A836" t="n">
        <v>17</v>
      </c>
      <c r="B836" s="37">
        <f>IF(Setup!$B$15="","",Setup!$B$15)</f>
        <v/>
      </c>
      <c r="C836" s="102" t="n"/>
      <c r="D836" s="103" t="n"/>
      <c r="E836" s="103" t="n"/>
      <c r="F836" s="104" t="n"/>
      <c r="G836" s="102" t="n"/>
      <c r="H836" s="103" t="n"/>
      <c r="I836" s="103" t="n"/>
      <c r="J836" s="104" t="n"/>
      <c r="K836" s="102" t="n"/>
      <c r="L836" s="103" t="n"/>
      <c r="M836" s="103" t="n"/>
      <c r="N836" s="104" t="n"/>
      <c r="O836" s="102" t="n"/>
      <c r="P836" s="103" t="n"/>
      <c r="Q836" s="103" t="n"/>
      <c r="R836" s="104" t="n"/>
      <c r="S836" s="102" t="n"/>
      <c r="T836" s="103" t="n"/>
      <c r="U836" s="103" t="n"/>
      <c r="V836" s="104" t="n"/>
      <c r="W836" s="102" t="n"/>
      <c r="X836" s="104" t="n"/>
      <c r="Y836" s="102" t="n"/>
      <c r="Z836" s="104" t="n"/>
      <c r="AB836" s="105">
        <f>IF($B836="","",(COUNTIF(C808:E825,$B836)+COUNTIF(C808:E825,$B836&amp;" ~*")&gt;0)+(COUNTIF(G808:I825,$B836)+COUNTIF(G808:I825,$B836&amp;" ~*")&gt;0)+(COUNTIF(K808:M825,$B836)+COUNTIF(K808:M825,$B836&amp;" ~*")&gt;0)+(COUNTIF(O808:Q825,$B836)+COUNTIF(O808:Q825,$B836&amp;" ~*")&gt;0)+(COUNTIF(S808:U825,$B836)+COUNTIF(S808:U825,$B836&amp;" ~*")&gt;0)+(COUNTIF(W808:W825,$B836)+COUNTIF(W808:W825,$B836&amp;" ~*")&gt;0)+(COUNTIF(Y808:Y825,$B836)+COUNTIF(Y808:Y825,$B836&amp;" ~*")&gt;0))</f>
        <v/>
      </c>
      <c r="AC836" s="38">
        <f>IF($B836="","",(IFERROR(INDEX(Setup!$G$33:$G$40,MATCH(C836,Setup!$B$33:$B$40,0)),0)=1)*(COUNTIF(C808:E825,$B836)+COUNTIF(C808:E825,$B836&amp;" ~*")&gt;0)+(IFERROR(INDEX(Setup!$G$33:$G$40,MATCH(G836,Setup!$B$33:$B$40,0)),0)=1)*(COUNTIF(G808:I825,$B836)+COUNTIF(G808:I825,$B836&amp;" ~*")&gt;0)+(IFERROR(INDEX(Setup!$G$33:$G$40,MATCH(K836,Setup!$B$33:$B$40,0)),0)=1)*(COUNTIF(K808:M825,$B836)+COUNTIF(K808:M825,$B836&amp;" ~*")&gt;0)+(IFERROR(INDEX(Setup!$G$33:$G$40,MATCH(O836,Setup!$B$33:$B$40,0)),0)=1)*(COUNTIF(O808:Q825,$B836)+COUNTIF(O808:Q825,$B836&amp;" ~*")&gt;0)+(IFERROR(INDEX(Setup!$G$33:$G$40,MATCH(S836,Setup!$B$33:$B$40,0)),0)=1)*(COUNTIF(S808:U825,$B836)+COUNTIF(S808:U825,$B836&amp;" ~*")&gt;0)+(IFERROR(INDEX(Setup!$G$33:$G$40,MATCH(W836,Setup!$B$33:$B$40,0)),0)=1)*(COUNTIF(W808:W825,$B836)+COUNTIF(W808:W825,$B836&amp;" ~*")&gt;0)+(IFERROR(INDEX(Setup!$G$33:$G$40,MATCH(Y836,Setup!$B$33:$B$40,0)),0)=1)*(COUNTIF(Y808:Y825,$B836)+COUNTIF(Y808:Y825,$B836&amp;" ~*")&gt;0))</f>
        <v/>
      </c>
    </row>
    <row r="837" ht="15" customHeight="1">
      <c r="A837" t="n">
        <v>17</v>
      </c>
      <c r="B837" s="35">
        <f>IF(Setup!$B$16="","",Setup!$B$16)</f>
        <v/>
      </c>
      <c r="C837" s="98" t="n"/>
      <c r="D837" s="99" t="n"/>
      <c r="E837" s="99" t="n"/>
      <c r="F837" s="100" t="n"/>
      <c r="G837" s="98" t="n"/>
      <c r="H837" s="99" t="n"/>
      <c r="I837" s="99" t="n"/>
      <c r="J837" s="100" t="n"/>
      <c r="K837" s="98" t="n"/>
      <c r="L837" s="99" t="n"/>
      <c r="M837" s="99" t="n"/>
      <c r="N837" s="100" t="n"/>
      <c r="O837" s="98" t="n"/>
      <c r="P837" s="99" t="n"/>
      <c r="Q837" s="99" t="n"/>
      <c r="R837" s="100" t="n"/>
      <c r="S837" s="98" t="n"/>
      <c r="T837" s="99" t="n"/>
      <c r="U837" s="99" t="n"/>
      <c r="V837" s="100" t="n"/>
      <c r="W837" s="98" t="n"/>
      <c r="X837" s="100" t="n"/>
      <c r="Y837" s="98" t="n"/>
      <c r="Z837" s="100" t="n"/>
      <c r="AB837" s="101">
        <f>IF($B837="","",(COUNTIF(C808:E825,$B837)+COUNTIF(C808:E825,$B837&amp;" ~*")&gt;0)+(COUNTIF(G808:I825,$B837)+COUNTIF(G808:I825,$B837&amp;" ~*")&gt;0)+(COUNTIF(K808:M825,$B837)+COUNTIF(K808:M825,$B837&amp;" ~*")&gt;0)+(COUNTIF(O808:Q825,$B837)+COUNTIF(O808:Q825,$B837&amp;" ~*")&gt;0)+(COUNTIF(S808:U825,$B837)+COUNTIF(S808:U825,$B837&amp;" ~*")&gt;0)+(COUNTIF(W808:W825,$B837)+COUNTIF(W808:W825,$B837&amp;" ~*")&gt;0)+(COUNTIF(Y808:Y825,$B837)+COUNTIF(Y808:Y825,$B837&amp;" ~*")&gt;0))</f>
        <v/>
      </c>
      <c r="AC837" s="36">
        <f>IF($B837="","",(IFERROR(INDEX(Setup!$G$33:$G$40,MATCH(C837,Setup!$B$33:$B$40,0)),0)=1)*(COUNTIF(C808:E825,$B837)+COUNTIF(C808:E825,$B837&amp;" ~*")&gt;0)+(IFERROR(INDEX(Setup!$G$33:$G$40,MATCH(G837,Setup!$B$33:$B$40,0)),0)=1)*(COUNTIF(G808:I825,$B837)+COUNTIF(G808:I825,$B837&amp;" ~*")&gt;0)+(IFERROR(INDEX(Setup!$G$33:$G$40,MATCH(K837,Setup!$B$33:$B$40,0)),0)=1)*(COUNTIF(K808:M825,$B837)+COUNTIF(K808:M825,$B837&amp;" ~*")&gt;0)+(IFERROR(INDEX(Setup!$G$33:$G$40,MATCH(O837,Setup!$B$33:$B$40,0)),0)=1)*(COUNTIF(O808:Q825,$B837)+COUNTIF(O808:Q825,$B837&amp;" ~*")&gt;0)+(IFERROR(INDEX(Setup!$G$33:$G$40,MATCH(S837,Setup!$B$33:$B$40,0)),0)=1)*(COUNTIF(S808:U825,$B837)+COUNTIF(S808:U825,$B837&amp;" ~*")&gt;0)+(IFERROR(INDEX(Setup!$G$33:$G$40,MATCH(W837,Setup!$B$33:$B$40,0)),0)=1)*(COUNTIF(W808:W825,$B837)+COUNTIF(W808:W825,$B837&amp;" ~*")&gt;0)+(IFERROR(INDEX(Setup!$G$33:$G$40,MATCH(Y837,Setup!$B$33:$B$40,0)),0)=1)*(COUNTIF(Y808:Y825,$B837)+COUNTIF(Y808:Y825,$B837&amp;" ~*")&gt;0))</f>
        <v/>
      </c>
    </row>
    <row r="838" ht="15" customHeight="1">
      <c r="A838" t="n">
        <v>17</v>
      </c>
      <c r="B838" s="37">
        <f>IF(Setup!$B$17="","",Setup!$B$17)</f>
        <v/>
      </c>
      <c r="C838" s="102" t="n"/>
      <c r="D838" s="103" t="n"/>
      <c r="E838" s="103" t="n"/>
      <c r="F838" s="104" t="n"/>
      <c r="G838" s="102" t="n"/>
      <c r="H838" s="103" t="n"/>
      <c r="I838" s="103" t="n"/>
      <c r="J838" s="104" t="n"/>
      <c r="K838" s="102" t="n"/>
      <c r="L838" s="103" t="n"/>
      <c r="M838" s="103" t="n"/>
      <c r="N838" s="104" t="n"/>
      <c r="O838" s="102" t="n"/>
      <c r="P838" s="103" t="n"/>
      <c r="Q838" s="103" t="n"/>
      <c r="R838" s="104" t="n"/>
      <c r="S838" s="102" t="n"/>
      <c r="T838" s="103" t="n"/>
      <c r="U838" s="103" t="n"/>
      <c r="V838" s="104" t="n"/>
      <c r="W838" s="102" t="n"/>
      <c r="X838" s="104" t="n"/>
      <c r="Y838" s="102" t="n"/>
      <c r="Z838" s="104" t="n"/>
      <c r="AB838" s="105">
        <f>IF($B838="","",(COUNTIF(C808:E825,$B838)+COUNTIF(C808:E825,$B838&amp;" ~*")&gt;0)+(COUNTIF(G808:I825,$B838)+COUNTIF(G808:I825,$B838&amp;" ~*")&gt;0)+(COUNTIF(K808:M825,$B838)+COUNTIF(K808:M825,$B838&amp;" ~*")&gt;0)+(COUNTIF(O808:Q825,$B838)+COUNTIF(O808:Q825,$B838&amp;" ~*")&gt;0)+(COUNTIF(S808:U825,$B838)+COUNTIF(S808:U825,$B838&amp;" ~*")&gt;0)+(COUNTIF(W808:W825,$B838)+COUNTIF(W808:W825,$B838&amp;" ~*")&gt;0)+(COUNTIF(Y808:Y825,$B838)+COUNTIF(Y808:Y825,$B838&amp;" ~*")&gt;0))</f>
        <v/>
      </c>
      <c r="AC838" s="38">
        <f>IF($B838="","",(IFERROR(INDEX(Setup!$G$33:$G$40,MATCH(C838,Setup!$B$33:$B$40,0)),0)=1)*(COUNTIF(C808:E825,$B838)+COUNTIF(C808:E825,$B838&amp;" ~*")&gt;0)+(IFERROR(INDEX(Setup!$G$33:$G$40,MATCH(G838,Setup!$B$33:$B$40,0)),0)=1)*(COUNTIF(G808:I825,$B838)+COUNTIF(G808:I825,$B838&amp;" ~*")&gt;0)+(IFERROR(INDEX(Setup!$G$33:$G$40,MATCH(K838,Setup!$B$33:$B$40,0)),0)=1)*(COUNTIF(K808:M825,$B838)+COUNTIF(K808:M825,$B838&amp;" ~*")&gt;0)+(IFERROR(INDEX(Setup!$G$33:$G$40,MATCH(O838,Setup!$B$33:$B$40,0)),0)=1)*(COUNTIF(O808:Q825,$B838)+COUNTIF(O808:Q825,$B838&amp;" ~*")&gt;0)+(IFERROR(INDEX(Setup!$G$33:$G$40,MATCH(S838,Setup!$B$33:$B$40,0)),0)=1)*(COUNTIF(S808:U825,$B838)+COUNTIF(S808:U825,$B838&amp;" ~*")&gt;0)+(IFERROR(INDEX(Setup!$G$33:$G$40,MATCH(W838,Setup!$B$33:$B$40,0)),0)=1)*(COUNTIF(W808:W825,$B838)+COUNTIF(W808:W825,$B838&amp;" ~*")&gt;0)+(IFERROR(INDEX(Setup!$G$33:$G$40,MATCH(Y838,Setup!$B$33:$B$40,0)),0)=1)*(COUNTIF(Y808:Y825,$B838)+COUNTIF(Y808:Y825,$B838&amp;" ~*")&gt;0))</f>
        <v/>
      </c>
    </row>
    <row r="839" ht="15" customHeight="1">
      <c r="A839" t="n">
        <v>17</v>
      </c>
      <c r="B839" s="35">
        <f>IF(Setup!$B$18="","",Setup!$B$18)</f>
        <v/>
      </c>
      <c r="C839" s="98" t="n"/>
      <c r="D839" s="99" t="n"/>
      <c r="E839" s="99" t="n"/>
      <c r="F839" s="100" t="n"/>
      <c r="G839" s="98" t="n"/>
      <c r="H839" s="99" t="n"/>
      <c r="I839" s="99" t="n"/>
      <c r="J839" s="100" t="n"/>
      <c r="K839" s="98" t="n"/>
      <c r="L839" s="99" t="n"/>
      <c r="M839" s="99" t="n"/>
      <c r="N839" s="100" t="n"/>
      <c r="O839" s="98" t="n"/>
      <c r="P839" s="99" t="n"/>
      <c r="Q839" s="99" t="n"/>
      <c r="R839" s="100" t="n"/>
      <c r="S839" s="98" t="n"/>
      <c r="T839" s="99" t="n"/>
      <c r="U839" s="99" t="n"/>
      <c r="V839" s="100" t="n"/>
      <c r="W839" s="98" t="n"/>
      <c r="X839" s="100" t="n"/>
      <c r="Y839" s="98" t="n"/>
      <c r="Z839" s="100" t="n"/>
      <c r="AB839" s="101">
        <f>IF($B839="","",(COUNTIF(C808:E825,$B839)+COUNTIF(C808:E825,$B839&amp;" ~*")&gt;0)+(COUNTIF(G808:I825,$B839)+COUNTIF(G808:I825,$B839&amp;" ~*")&gt;0)+(COUNTIF(K808:M825,$B839)+COUNTIF(K808:M825,$B839&amp;" ~*")&gt;0)+(COUNTIF(O808:Q825,$B839)+COUNTIF(O808:Q825,$B839&amp;" ~*")&gt;0)+(COUNTIF(S808:U825,$B839)+COUNTIF(S808:U825,$B839&amp;" ~*")&gt;0)+(COUNTIF(W808:W825,$B839)+COUNTIF(W808:W825,$B839&amp;" ~*")&gt;0)+(COUNTIF(Y808:Y825,$B839)+COUNTIF(Y808:Y825,$B839&amp;" ~*")&gt;0))</f>
        <v/>
      </c>
      <c r="AC839" s="36">
        <f>IF($B839="","",(IFERROR(INDEX(Setup!$G$33:$G$40,MATCH(C839,Setup!$B$33:$B$40,0)),0)=1)*(COUNTIF(C808:E825,$B839)+COUNTIF(C808:E825,$B839&amp;" ~*")&gt;0)+(IFERROR(INDEX(Setup!$G$33:$G$40,MATCH(G839,Setup!$B$33:$B$40,0)),0)=1)*(COUNTIF(G808:I825,$B839)+COUNTIF(G808:I825,$B839&amp;" ~*")&gt;0)+(IFERROR(INDEX(Setup!$G$33:$G$40,MATCH(K839,Setup!$B$33:$B$40,0)),0)=1)*(COUNTIF(K808:M825,$B839)+COUNTIF(K808:M825,$B839&amp;" ~*")&gt;0)+(IFERROR(INDEX(Setup!$G$33:$G$40,MATCH(O839,Setup!$B$33:$B$40,0)),0)=1)*(COUNTIF(O808:Q825,$B839)+COUNTIF(O808:Q825,$B839&amp;" ~*")&gt;0)+(IFERROR(INDEX(Setup!$G$33:$G$40,MATCH(S839,Setup!$B$33:$B$40,0)),0)=1)*(COUNTIF(S808:U825,$B839)+COUNTIF(S808:U825,$B839&amp;" ~*")&gt;0)+(IFERROR(INDEX(Setup!$G$33:$G$40,MATCH(W839,Setup!$B$33:$B$40,0)),0)=1)*(COUNTIF(W808:W825,$B839)+COUNTIF(W808:W825,$B839&amp;" ~*")&gt;0)+(IFERROR(INDEX(Setup!$G$33:$G$40,MATCH(Y839,Setup!$B$33:$B$40,0)),0)=1)*(COUNTIF(Y808:Y825,$B839)+COUNTIF(Y808:Y825,$B839&amp;" ~*")&gt;0))</f>
        <v/>
      </c>
    </row>
    <row r="840" ht="15" customHeight="1">
      <c r="A840" t="n">
        <v>17</v>
      </c>
      <c r="B840" s="37">
        <f>IF(Setup!$B$19="","",Setup!$B$19)</f>
        <v/>
      </c>
      <c r="C840" s="102" t="n"/>
      <c r="D840" s="103" t="n"/>
      <c r="E840" s="103" t="n"/>
      <c r="F840" s="104" t="n"/>
      <c r="G840" s="102" t="n"/>
      <c r="H840" s="103" t="n"/>
      <c r="I840" s="103" t="n"/>
      <c r="J840" s="104" t="n"/>
      <c r="K840" s="102" t="n"/>
      <c r="L840" s="103" t="n"/>
      <c r="M840" s="103" t="n"/>
      <c r="N840" s="104" t="n"/>
      <c r="O840" s="102" t="n"/>
      <c r="P840" s="103" t="n"/>
      <c r="Q840" s="103" t="n"/>
      <c r="R840" s="104" t="n"/>
      <c r="S840" s="102" t="n"/>
      <c r="T840" s="103" t="n"/>
      <c r="U840" s="103" t="n"/>
      <c r="V840" s="104" t="n"/>
      <c r="W840" s="102" t="n"/>
      <c r="X840" s="104" t="n"/>
      <c r="Y840" s="102" t="n"/>
      <c r="Z840" s="104" t="n"/>
      <c r="AB840" s="105">
        <f>IF($B840="","",(COUNTIF(C808:E825,$B840)+COUNTIF(C808:E825,$B840&amp;" ~*")&gt;0)+(COUNTIF(G808:I825,$B840)+COUNTIF(G808:I825,$B840&amp;" ~*")&gt;0)+(COUNTIF(K808:M825,$B840)+COUNTIF(K808:M825,$B840&amp;" ~*")&gt;0)+(COUNTIF(O808:Q825,$B840)+COUNTIF(O808:Q825,$B840&amp;" ~*")&gt;0)+(COUNTIF(S808:U825,$B840)+COUNTIF(S808:U825,$B840&amp;" ~*")&gt;0)+(COUNTIF(W808:W825,$B840)+COUNTIF(W808:W825,$B840&amp;" ~*")&gt;0)+(COUNTIF(Y808:Y825,$B840)+COUNTIF(Y808:Y825,$B840&amp;" ~*")&gt;0))</f>
        <v/>
      </c>
      <c r="AC840" s="38">
        <f>IF($B840="","",(IFERROR(INDEX(Setup!$G$33:$G$40,MATCH(C840,Setup!$B$33:$B$40,0)),0)=1)*(COUNTIF(C808:E825,$B840)+COUNTIF(C808:E825,$B840&amp;" ~*")&gt;0)+(IFERROR(INDEX(Setup!$G$33:$G$40,MATCH(G840,Setup!$B$33:$B$40,0)),0)=1)*(COUNTIF(G808:I825,$B840)+COUNTIF(G808:I825,$B840&amp;" ~*")&gt;0)+(IFERROR(INDEX(Setup!$G$33:$G$40,MATCH(K840,Setup!$B$33:$B$40,0)),0)=1)*(COUNTIF(K808:M825,$B840)+COUNTIF(K808:M825,$B840&amp;" ~*")&gt;0)+(IFERROR(INDEX(Setup!$G$33:$G$40,MATCH(O840,Setup!$B$33:$B$40,0)),0)=1)*(COUNTIF(O808:Q825,$B840)+COUNTIF(O808:Q825,$B840&amp;" ~*")&gt;0)+(IFERROR(INDEX(Setup!$G$33:$G$40,MATCH(S840,Setup!$B$33:$B$40,0)),0)=1)*(COUNTIF(S808:U825,$B840)+COUNTIF(S808:U825,$B840&amp;" ~*")&gt;0)+(IFERROR(INDEX(Setup!$G$33:$G$40,MATCH(W840,Setup!$B$33:$B$40,0)),0)=1)*(COUNTIF(W808:W825,$B840)+COUNTIF(W808:W825,$B840&amp;" ~*")&gt;0)+(IFERROR(INDEX(Setup!$G$33:$G$40,MATCH(Y840,Setup!$B$33:$B$40,0)),0)=1)*(COUNTIF(Y808:Y825,$B840)+COUNTIF(Y808:Y825,$B840&amp;" ~*")&gt;0))</f>
        <v/>
      </c>
    </row>
    <row r="841" ht="15" customHeight="1">
      <c r="A841" t="n">
        <v>17</v>
      </c>
      <c r="B841" s="35">
        <f>IF(Setup!$B$20="","",Setup!$B$20)</f>
        <v/>
      </c>
      <c r="C841" s="98" t="n"/>
      <c r="D841" s="99" t="n"/>
      <c r="E841" s="99" t="n"/>
      <c r="F841" s="100" t="n"/>
      <c r="G841" s="98" t="n"/>
      <c r="H841" s="99" t="n"/>
      <c r="I841" s="99" t="n"/>
      <c r="J841" s="100" t="n"/>
      <c r="K841" s="98" t="n"/>
      <c r="L841" s="99" t="n"/>
      <c r="M841" s="99" t="n"/>
      <c r="N841" s="100" t="n"/>
      <c r="O841" s="98" t="n"/>
      <c r="P841" s="99" t="n"/>
      <c r="Q841" s="99" t="n"/>
      <c r="R841" s="100" t="n"/>
      <c r="S841" s="98" t="n"/>
      <c r="T841" s="99" t="n"/>
      <c r="U841" s="99" t="n"/>
      <c r="V841" s="100" t="n"/>
      <c r="W841" s="98" t="n"/>
      <c r="X841" s="100" t="n"/>
      <c r="Y841" s="98" t="n"/>
      <c r="Z841" s="100" t="n"/>
      <c r="AB841" s="101">
        <f>IF($B841="","",(COUNTIF(C808:E825,$B841)+COUNTIF(C808:E825,$B841&amp;" ~*")&gt;0)+(COUNTIF(G808:I825,$B841)+COUNTIF(G808:I825,$B841&amp;" ~*")&gt;0)+(COUNTIF(K808:M825,$B841)+COUNTIF(K808:M825,$B841&amp;" ~*")&gt;0)+(COUNTIF(O808:Q825,$B841)+COUNTIF(O808:Q825,$B841&amp;" ~*")&gt;0)+(COUNTIF(S808:U825,$B841)+COUNTIF(S808:U825,$B841&amp;" ~*")&gt;0)+(COUNTIF(W808:W825,$B841)+COUNTIF(W808:W825,$B841&amp;" ~*")&gt;0)+(COUNTIF(Y808:Y825,$B841)+COUNTIF(Y808:Y825,$B841&amp;" ~*")&gt;0))</f>
        <v/>
      </c>
      <c r="AC841" s="36">
        <f>IF($B841="","",(IFERROR(INDEX(Setup!$G$33:$G$40,MATCH(C841,Setup!$B$33:$B$40,0)),0)=1)*(COUNTIF(C808:E825,$B841)+COUNTIF(C808:E825,$B841&amp;" ~*")&gt;0)+(IFERROR(INDEX(Setup!$G$33:$G$40,MATCH(G841,Setup!$B$33:$B$40,0)),0)=1)*(COUNTIF(G808:I825,$B841)+COUNTIF(G808:I825,$B841&amp;" ~*")&gt;0)+(IFERROR(INDEX(Setup!$G$33:$G$40,MATCH(K841,Setup!$B$33:$B$40,0)),0)=1)*(COUNTIF(K808:M825,$B841)+COUNTIF(K808:M825,$B841&amp;" ~*")&gt;0)+(IFERROR(INDEX(Setup!$G$33:$G$40,MATCH(O841,Setup!$B$33:$B$40,0)),0)=1)*(COUNTIF(O808:Q825,$B841)+COUNTIF(O808:Q825,$B841&amp;" ~*")&gt;0)+(IFERROR(INDEX(Setup!$G$33:$G$40,MATCH(S841,Setup!$B$33:$B$40,0)),0)=1)*(COUNTIF(S808:U825,$B841)+COUNTIF(S808:U825,$B841&amp;" ~*")&gt;0)+(IFERROR(INDEX(Setup!$G$33:$G$40,MATCH(W841,Setup!$B$33:$B$40,0)),0)=1)*(COUNTIF(W808:W825,$B841)+COUNTIF(W808:W825,$B841&amp;" ~*")&gt;0)+(IFERROR(INDEX(Setup!$G$33:$G$40,MATCH(Y841,Setup!$B$33:$B$40,0)),0)=1)*(COUNTIF(Y808:Y825,$B841)+COUNTIF(Y808:Y825,$B841&amp;" ~*")&gt;0))</f>
        <v/>
      </c>
    </row>
    <row r="842" ht="15" customHeight="1">
      <c r="A842" t="n">
        <v>17</v>
      </c>
      <c r="B842" s="37">
        <f>IF(Setup!$B$21="","",Setup!$B$21)</f>
        <v/>
      </c>
      <c r="C842" s="102" t="n"/>
      <c r="D842" s="103" t="n"/>
      <c r="E842" s="103" t="n"/>
      <c r="F842" s="104" t="n"/>
      <c r="G842" s="102" t="n"/>
      <c r="H842" s="103" t="n"/>
      <c r="I842" s="103" t="n"/>
      <c r="J842" s="104" t="n"/>
      <c r="K842" s="102" t="n"/>
      <c r="L842" s="103" t="n"/>
      <c r="M842" s="103" t="n"/>
      <c r="N842" s="104" t="n"/>
      <c r="O842" s="102" t="n"/>
      <c r="P842" s="103" t="n"/>
      <c r="Q842" s="103" t="n"/>
      <c r="R842" s="104" t="n"/>
      <c r="S842" s="102" t="n"/>
      <c r="T842" s="103" t="n"/>
      <c r="U842" s="103" t="n"/>
      <c r="V842" s="104" t="n"/>
      <c r="W842" s="102" t="n"/>
      <c r="X842" s="104" t="n"/>
      <c r="Y842" s="102" t="n"/>
      <c r="Z842" s="104" t="n"/>
      <c r="AB842" s="105">
        <f>IF($B842="","",(COUNTIF(C808:E825,$B842)+COUNTIF(C808:E825,$B842&amp;" ~*")&gt;0)+(COUNTIF(G808:I825,$B842)+COUNTIF(G808:I825,$B842&amp;" ~*")&gt;0)+(COUNTIF(K808:M825,$B842)+COUNTIF(K808:M825,$B842&amp;" ~*")&gt;0)+(COUNTIF(O808:Q825,$B842)+COUNTIF(O808:Q825,$B842&amp;" ~*")&gt;0)+(COUNTIF(S808:U825,$B842)+COUNTIF(S808:U825,$B842&amp;" ~*")&gt;0)+(COUNTIF(W808:W825,$B842)+COUNTIF(W808:W825,$B842&amp;" ~*")&gt;0)+(COUNTIF(Y808:Y825,$B842)+COUNTIF(Y808:Y825,$B842&amp;" ~*")&gt;0))</f>
        <v/>
      </c>
      <c r="AC842" s="38">
        <f>IF($B842="","",(IFERROR(INDEX(Setup!$G$33:$G$40,MATCH(C842,Setup!$B$33:$B$40,0)),0)=1)*(COUNTIF(C808:E825,$B842)+COUNTIF(C808:E825,$B842&amp;" ~*")&gt;0)+(IFERROR(INDEX(Setup!$G$33:$G$40,MATCH(G842,Setup!$B$33:$B$40,0)),0)=1)*(COUNTIF(G808:I825,$B842)+COUNTIF(G808:I825,$B842&amp;" ~*")&gt;0)+(IFERROR(INDEX(Setup!$G$33:$G$40,MATCH(K842,Setup!$B$33:$B$40,0)),0)=1)*(COUNTIF(K808:M825,$B842)+COUNTIF(K808:M825,$B842&amp;" ~*")&gt;0)+(IFERROR(INDEX(Setup!$G$33:$G$40,MATCH(O842,Setup!$B$33:$B$40,0)),0)=1)*(COUNTIF(O808:Q825,$B842)+COUNTIF(O808:Q825,$B842&amp;" ~*")&gt;0)+(IFERROR(INDEX(Setup!$G$33:$G$40,MATCH(S842,Setup!$B$33:$B$40,0)),0)=1)*(COUNTIF(S808:U825,$B842)+COUNTIF(S808:U825,$B842&amp;" ~*")&gt;0)+(IFERROR(INDEX(Setup!$G$33:$G$40,MATCH(W842,Setup!$B$33:$B$40,0)),0)=1)*(COUNTIF(W808:W825,$B842)+COUNTIF(W808:W825,$B842&amp;" ~*")&gt;0)+(IFERROR(INDEX(Setup!$G$33:$G$40,MATCH(Y842,Setup!$B$33:$B$40,0)),0)=1)*(COUNTIF(Y808:Y825,$B842)+COUNTIF(Y808:Y825,$B842&amp;" ~*")&gt;0))</f>
        <v/>
      </c>
    </row>
    <row r="843" ht="15" customHeight="1">
      <c r="A843" t="n">
        <v>17</v>
      </c>
      <c r="B843" s="35">
        <f>IF(Setup!$B$22="","",Setup!$B$22)</f>
        <v/>
      </c>
      <c r="C843" s="98" t="n"/>
      <c r="D843" s="99" t="n"/>
      <c r="E843" s="99" t="n"/>
      <c r="F843" s="100" t="n"/>
      <c r="G843" s="98" t="n"/>
      <c r="H843" s="99" t="n"/>
      <c r="I843" s="99" t="n"/>
      <c r="J843" s="100" t="n"/>
      <c r="K843" s="98" t="n"/>
      <c r="L843" s="99" t="n"/>
      <c r="M843" s="99" t="n"/>
      <c r="N843" s="100" t="n"/>
      <c r="O843" s="98" t="n"/>
      <c r="P843" s="99" t="n"/>
      <c r="Q843" s="99" t="n"/>
      <c r="R843" s="100" t="n"/>
      <c r="S843" s="98" t="n"/>
      <c r="T843" s="99" t="n"/>
      <c r="U843" s="99" t="n"/>
      <c r="V843" s="100" t="n"/>
      <c r="W843" s="98" t="n"/>
      <c r="X843" s="100" t="n"/>
      <c r="Y843" s="98" t="n"/>
      <c r="Z843" s="100" t="n"/>
      <c r="AB843" s="101">
        <f>IF($B843="","",(COUNTIF(C808:E825,$B843)+COUNTIF(C808:E825,$B843&amp;" ~*")&gt;0)+(COUNTIF(G808:I825,$B843)+COUNTIF(G808:I825,$B843&amp;" ~*")&gt;0)+(COUNTIF(K808:M825,$B843)+COUNTIF(K808:M825,$B843&amp;" ~*")&gt;0)+(COUNTIF(O808:Q825,$B843)+COUNTIF(O808:Q825,$B843&amp;" ~*")&gt;0)+(COUNTIF(S808:U825,$B843)+COUNTIF(S808:U825,$B843&amp;" ~*")&gt;0)+(COUNTIF(W808:W825,$B843)+COUNTIF(W808:W825,$B843&amp;" ~*")&gt;0)+(COUNTIF(Y808:Y825,$B843)+COUNTIF(Y808:Y825,$B843&amp;" ~*")&gt;0))</f>
        <v/>
      </c>
      <c r="AC843" s="36">
        <f>IF($B843="","",(IFERROR(INDEX(Setup!$G$33:$G$40,MATCH(C843,Setup!$B$33:$B$40,0)),0)=1)*(COUNTIF(C808:E825,$B843)+COUNTIF(C808:E825,$B843&amp;" ~*")&gt;0)+(IFERROR(INDEX(Setup!$G$33:$G$40,MATCH(G843,Setup!$B$33:$B$40,0)),0)=1)*(COUNTIF(G808:I825,$B843)+COUNTIF(G808:I825,$B843&amp;" ~*")&gt;0)+(IFERROR(INDEX(Setup!$G$33:$G$40,MATCH(K843,Setup!$B$33:$B$40,0)),0)=1)*(COUNTIF(K808:M825,$B843)+COUNTIF(K808:M825,$B843&amp;" ~*")&gt;0)+(IFERROR(INDEX(Setup!$G$33:$G$40,MATCH(O843,Setup!$B$33:$B$40,0)),0)=1)*(COUNTIF(O808:Q825,$B843)+COUNTIF(O808:Q825,$B843&amp;" ~*")&gt;0)+(IFERROR(INDEX(Setup!$G$33:$G$40,MATCH(S843,Setup!$B$33:$B$40,0)),0)=1)*(COUNTIF(S808:U825,$B843)+COUNTIF(S808:U825,$B843&amp;" ~*")&gt;0)+(IFERROR(INDEX(Setup!$G$33:$G$40,MATCH(W843,Setup!$B$33:$B$40,0)),0)=1)*(COUNTIF(W808:W825,$B843)+COUNTIF(W808:W825,$B843&amp;" ~*")&gt;0)+(IFERROR(INDEX(Setup!$G$33:$G$40,MATCH(Y843,Setup!$B$33:$B$40,0)),0)=1)*(COUNTIF(Y808:Y825,$B843)+COUNTIF(Y808:Y825,$B843&amp;" ~*")&gt;0))</f>
        <v/>
      </c>
    </row>
    <row r="844" ht="15" customHeight="1">
      <c r="A844" t="n">
        <v>17</v>
      </c>
      <c r="B844" s="37">
        <f>IF(Setup!$B$23="","",Setup!$B$23)</f>
        <v/>
      </c>
      <c r="C844" s="102" t="n"/>
      <c r="D844" s="103" t="n"/>
      <c r="E844" s="103" t="n"/>
      <c r="F844" s="104" t="n"/>
      <c r="G844" s="102" t="n"/>
      <c r="H844" s="103" t="n"/>
      <c r="I844" s="103" t="n"/>
      <c r="J844" s="104" t="n"/>
      <c r="K844" s="102" t="n"/>
      <c r="L844" s="103" t="n"/>
      <c r="M844" s="103" t="n"/>
      <c r="N844" s="104" t="n"/>
      <c r="O844" s="102" t="n"/>
      <c r="P844" s="103" t="n"/>
      <c r="Q844" s="103" t="n"/>
      <c r="R844" s="104" t="n"/>
      <c r="S844" s="102" t="n"/>
      <c r="T844" s="103" t="n"/>
      <c r="U844" s="103" t="n"/>
      <c r="V844" s="104" t="n"/>
      <c r="W844" s="102" t="n"/>
      <c r="X844" s="104" t="n"/>
      <c r="Y844" s="102" t="n"/>
      <c r="Z844" s="104" t="n"/>
      <c r="AB844" s="105">
        <f>IF($B844="","",(COUNTIF(C808:E825,$B844)+COUNTIF(C808:E825,$B844&amp;" ~*")&gt;0)+(COUNTIF(G808:I825,$B844)+COUNTIF(G808:I825,$B844&amp;" ~*")&gt;0)+(COUNTIF(K808:M825,$B844)+COUNTIF(K808:M825,$B844&amp;" ~*")&gt;0)+(COUNTIF(O808:Q825,$B844)+COUNTIF(O808:Q825,$B844&amp;" ~*")&gt;0)+(COUNTIF(S808:U825,$B844)+COUNTIF(S808:U825,$B844&amp;" ~*")&gt;0)+(COUNTIF(W808:W825,$B844)+COUNTIF(W808:W825,$B844&amp;" ~*")&gt;0)+(COUNTIF(Y808:Y825,$B844)+COUNTIF(Y808:Y825,$B844&amp;" ~*")&gt;0))</f>
        <v/>
      </c>
      <c r="AC844" s="38">
        <f>IF($B844="","",(IFERROR(INDEX(Setup!$G$33:$G$40,MATCH(C844,Setup!$B$33:$B$40,0)),0)=1)*(COUNTIF(C808:E825,$B844)+COUNTIF(C808:E825,$B844&amp;" ~*")&gt;0)+(IFERROR(INDEX(Setup!$G$33:$G$40,MATCH(G844,Setup!$B$33:$B$40,0)),0)=1)*(COUNTIF(G808:I825,$B844)+COUNTIF(G808:I825,$B844&amp;" ~*")&gt;0)+(IFERROR(INDEX(Setup!$G$33:$G$40,MATCH(K844,Setup!$B$33:$B$40,0)),0)=1)*(COUNTIF(K808:M825,$B844)+COUNTIF(K808:M825,$B844&amp;" ~*")&gt;0)+(IFERROR(INDEX(Setup!$G$33:$G$40,MATCH(O844,Setup!$B$33:$B$40,0)),0)=1)*(COUNTIF(O808:Q825,$B844)+COUNTIF(O808:Q825,$B844&amp;" ~*")&gt;0)+(IFERROR(INDEX(Setup!$G$33:$G$40,MATCH(S844,Setup!$B$33:$B$40,0)),0)=1)*(COUNTIF(S808:U825,$B844)+COUNTIF(S808:U825,$B844&amp;" ~*")&gt;0)+(IFERROR(INDEX(Setup!$G$33:$G$40,MATCH(W844,Setup!$B$33:$B$40,0)),0)=1)*(COUNTIF(W808:W825,$B844)+COUNTIF(W808:W825,$B844&amp;" ~*")&gt;0)+(IFERROR(INDEX(Setup!$G$33:$G$40,MATCH(Y844,Setup!$B$33:$B$40,0)),0)=1)*(COUNTIF(Y808:Y825,$B844)+COUNTIF(Y808:Y825,$B844&amp;" ~*")&gt;0))</f>
        <v/>
      </c>
    </row>
    <row r="845" ht="15" customHeight="1">
      <c r="A845" t="n">
        <v>17</v>
      </c>
      <c r="B845" s="35">
        <f>IF(Setup!$B$24="","",Setup!$B$24)</f>
        <v/>
      </c>
      <c r="C845" s="98" t="n"/>
      <c r="D845" s="99" t="n"/>
      <c r="E845" s="99" t="n"/>
      <c r="F845" s="100" t="n"/>
      <c r="G845" s="98" t="n"/>
      <c r="H845" s="99" t="n"/>
      <c r="I845" s="99" t="n"/>
      <c r="J845" s="100" t="n"/>
      <c r="K845" s="98" t="n"/>
      <c r="L845" s="99" t="n"/>
      <c r="M845" s="99" t="n"/>
      <c r="N845" s="100" t="n"/>
      <c r="O845" s="98" t="n"/>
      <c r="P845" s="99" t="n"/>
      <c r="Q845" s="99" t="n"/>
      <c r="R845" s="100" t="n"/>
      <c r="S845" s="98" t="n"/>
      <c r="T845" s="99" t="n"/>
      <c r="U845" s="99" t="n"/>
      <c r="V845" s="100" t="n"/>
      <c r="W845" s="98" t="n"/>
      <c r="X845" s="100" t="n"/>
      <c r="Y845" s="98" t="n"/>
      <c r="Z845" s="100" t="n"/>
      <c r="AB845" s="101">
        <f>IF($B845="","",(COUNTIF(C808:E825,$B845)+COUNTIF(C808:E825,$B845&amp;" ~*")&gt;0)+(COUNTIF(G808:I825,$B845)+COUNTIF(G808:I825,$B845&amp;" ~*")&gt;0)+(COUNTIF(K808:M825,$B845)+COUNTIF(K808:M825,$B845&amp;" ~*")&gt;0)+(COUNTIF(O808:Q825,$B845)+COUNTIF(O808:Q825,$B845&amp;" ~*")&gt;0)+(COUNTIF(S808:U825,$B845)+COUNTIF(S808:U825,$B845&amp;" ~*")&gt;0)+(COUNTIF(W808:W825,$B845)+COUNTIF(W808:W825,$B845&amp;" ~*")&gt;0)+(COUNTIF(Y808:Y825,$B845)+COUNTIF(Y808:Y825,$B845&amp;" ~*")&gt;0))</f>
        <v/>
      </c>
      <c r="AC845" s="36">
        <f>IF($B845="","",(IFERROR(INDEX(Setup!$G$33:$G$40,MATCH(C845,Setup!$B$33:$B$40,0)),0)=1)*(COUNTIF(C808:E825,$B845)+COUNTIF(C808:E825,$B845&amp;" ~*")&gt;0)+(IFERROR(INDEX(Setup!$G$33:$G$40,MATCH(G845,Setup!$B$33:$B$40,0)),0)=1)*(COUNTIF(G808:I825,$B845)+COUNTIF(G808:I825,$B845&amp;" ~*")&gt;0)+(IFERROR(INDEX(Setup!$G$33:$G$40,MATCH(K845,Setup!$B$33:$B$40,0)),0)=1)*(COUNTIF(K808:M825,$B845)+COUNTIF(K808:M825,$B845&amp;" ~*")&gt;0)+(IFERROR(INDEX(Setup!$G$33:$G$40,MATCH(O845,Setup!$B$33:$B$40,0)),0)=1)*(COUNTIF(O808:Q825,$B845)+COUNTIF(O808:Q825,$B845&amp;" ~*")&gt;0)+(IFERROR(INDEX(Setup!$G$33:$G$40,MATCH(S845,Setup!$B$33:$B$40,0)),0)=1)*(COUNTIF(S808:U825,$B845)+COUNTIF(S808:U825,$B845&amp;" ~*")&gt;0)+(IFERROR(INDEX(Setup!$G$33:$G$40,MATCH(W845,Setup!$B$33:$B$40,0)),0)=1)*(COUNTIF(W808:W825,$B845)+COUNTIF(W808:W825,$B845&amp;" ~*")&gt;0)+(IFERROR(INDEX(Setup!$G$33:$G$40,MATCH(Y845,Setup!$B$33:$B$40,0)),0)=1)*(COUNTIF(Y808:Y825,$B845)+COUNTIF(Y808:Y825,$B845&amp;" ~*")&gt;0))</f>
        <v/>
      </c>
    </row>
    <row r="846" ht="15" customHeight="1">
      <c r="A846" t="n">
        <v>17</v>
      </c>
      <c r="B846" s="37">
        <f>IF(Setup!$B$25="","",Setup!$B$25)</f>
        <v/>
      </c>
      <c r="C846" s="102" t="n"/>
      <c r="D846" s="103" t="n"/>
      <c r="E846" s="103" t="n"/>
      <c r="F846" s="104" t="n"/>
      <c r="G846" s="102" t="n"/>
      <c r="H846" s="103" t="n"/>
      <c r="I846" s="103" t="n"/>
      <c r="J846" s="104" t="n"/>
      <c r="K846" s="102" t="n"/>
      <c r="L846" s="103" t="n"/>
      <c r="M846" s="103" t="n"/>
      <c r="N846" s="104" t="n"/>
      <c r="O846" s="102" t="n"/>
      <c r="P846" s="103" t="n"/>
      <c r="Q846" s="103" t="n"/>
      <c r="R846" s="104" t="n"/>
      <c r="S846" s="102" t="n"/>
      <c r="T846" s="103" t="n"/>
      <c r="U846" s="103" t="n"/>
      <c r="V846" s="104" t="n"/>
      <c r="W846" s="102" t="n"/>
      <c r="X846" s="104" t="n"/>
      <c r="Y846" s="102" t="n"/>
      <c r="Z846" s="104" t="n"/>
      <c r="AB846" s="105">
        <f>IF($B846="","",(COUNTIF(C808:E825,$B846)+COUNTIF(C808:E825,$B846&amp;" ~*")&gt;0)+(COUNTIF(G808:I825,$B846)+COUNTIF(G808:I825,$B846&amp;" ~*")&gt;0)+(COUNTIF(K808:M825,$B846)+COUNTIF(K808:M825,$B846&amp;" ~*")&gt;0)+(COUNTIF(O808:Q825,$B846)+COUNTIF(O808:Q825,$B846&amp;" ~*")&gt;0)+(COUNTIF(S808:U825,$B846)+COUNTIF(S808:U825,$B846&amp;" ~*")&gt;0)+(COUNTIF(W808:W825,$B846)+COUNTIF(W808:W825,$B846&amp;" ~*")&gt;0)+(COUNTIF(Y808:Y825,$B846)+COUNTIF(Y808:Y825,$B846&amp;" ~*")&gt;0))</f>
        <v/>
      </c>
      <c r="AC846" s="38">
        <f>IF($B846="","",(IFERROR(INDEX(Setup!$G$33:$G$40,MATCH(C846,Setup!$B$33:$B$40,0)),0)=1)*(COUNTIF(C808:E825,$B846)+COUNTIF(C808:E825,$B846&amp;" ~*")&gt;0)+(IFERROR(INDEX(Setup!$G$33:$G$40,MATCH(G846,Setup!$B$33:$B$40,0)),0)=1)*(COUNTIF(G808:I825,$B846)+COUNTIF(G808:I825,$B846&amp;" ~*")&gt;0)+(IFERROR(INDEX(Setup!$G$33:$G$40,MATCH(K846,Setup!$B$33:$B$40,0)),0)=1)*(COUNTIF(K808:M825,$B846)+COUNTIF(K808:M825,$B846&amp;" ~*")&gt;0)+(IFERROR(INDEX(Setup!$G$33:$G$40,MATCH(O846,Setup!$B$33:$B$40,0)),0)=1)*(COUNTIF(O808:Q825,$B846)+COUNTIF(O808:Q825,$B846&amp;" ~*")&gt;0)+(IFERROR(INDEX(Setup!$G$33:$G$40,MATCH(S846,Setup!$B$33:$B$40,0)),0)=1)*(COUNTIF(S808:U825,$B846)+COUNTIF(S808:U825,$B846&amp;" ~*")&gt;0)+(IFERROR(INDEX(Setup!$G$33:$G$40,MATCH(W846,Setup!$B$33:$B$40,0)),0)=1)*(COUNTIF(W808:W825,$B846)+COUNTIF(W808:W825,$B846&amp;" ~*")&gt;0)+(IFERROR(INDEX(Setup!$G$33:$G$40,MATCH(Y846,Setup!$B$33:$B$40,0)),0)=1)*(COUNTIF(Y808:Y825,$B846)+COUNTIF(Y808:Y825,$B846&amp;" ~*")&gt;0))</f>
        <v/>
      </c>
    </row>
    <row r="847" ht="15" customHeight="1">
      <c r="A847" t="n">
        <v>17</v>
      </c>
      <c r="B847" s="35">
        <f>IF(Setup!$B$26="","",Setup!$B$26)</f>
        <v/>
      </c>
      <c r="C847" s="98" t="n"/>
      <c r="D847" s="99" t="n"/>
      <c r="E847" s="99" t="n"/>
      <c r="F847" s="100" t="n"/>
      <c r="G847" s="98" t="n"/>
      <c r="H847" s="99" t="n"/>
      <c r="I847" s="99" t="n"/>
      <c r="J847" s="100" t="n"/>
      <c r="K847" s="98" t="n"/>
      <c r="L847" s="99" t="n"/>
      <c r="M847" s="99" t="n"/>
      <c r="N847" s="100" t="n"/>
      <c r="O847" s="98" t="n"/>
      <c r="P847" s="99" t="n"/>
      <c r="Q847" s="99" t="n"/>
      <c r="R847" s="100" t="n"/>
      <c r="S847" s="98" t="n"/>
      <c r="T847" s="99" t="n"/>
      <c r="U847" s="99" t="n"/>
      <c r="V847" s="100" t="n"/>
      <c r="W847" s="98" t="n"/>
      <c r="X847" s="100" t="n"/>
      <c r="Y847" s="98" t="n"/>
      <c r="Z847" s="100" t="n"/>
      <c r="AB847" s="101">
        <f>IF($B847="","",(COUNTIF(C808:E825,$B847)+COUNTIF(C808:E825,$B847&amp;" ~*")&gt;0)+(COUNTIF(G808:I825,$B847)+COUNTIF(G808:I825,$B847&amp;" ~*")&gt;0)+(COUNTIF(K808:M825,$B847)+COUNTIF(K808:M825,$B847&amp;" ~*")&gt;0)+(COUNTIF(O808:Q825,$B847)+COUNTIF(O808:Q825,$B847&amp;" ~*")&gt;0)+(COUNTIF(S808:U825,$B847)+COUNTIF(S808:U825,$B847&amp;" ~*")&gt;0)+(COUNTIF(W808:W825,$B847)+COUNTIF(W808:W825,$B847&amp;" ~*")&gt;0)+(COUNTIF(Y808:Y825,$B847)+COUNTIF(Y808:Y825,$B847&amp;" ~*")&gt;0))</f>
        <v/>
      </c>
      <c r="AC847" s="36">
        <f>IF($B847="","",(IFERROR(INDEX(Setup!$G$33:$G$40,MATCH(C847,Setup!$B$33:$B$40,0)),0)=1)*(COUNTIF(C808:E825,$B847)+COUNTIF(C808:E825,$B847&amp;" ~*")&gt;0)+(IFERROR(INDEX(Setup!$G$33:$G$40,MATCH(G847,Setup!$B$33:$B$40,0)),0)=1)*(COUNTIF(G808:I825,$B847)+COUNTIF(G808:I825,$B847&amp;" ~*")&gt;0)+(IFERROR(INDEX(Setup!$G$33:$G$40,MATCH(K847,Setup!$B$33:$B$40,0)),0)=1)*(COUNTIF(K808:M825,$B847)+COUNTIF(K808:M825,$B847&amp;" ~*")&gt;0)+(IFERROR(INDEX(Setup!$G$33:$G$40,MATCH(O847,Setup!$B$33:$B$40,0)),0)=1)*(COUNTIF(O808:Q825,$B847)+COUNTIF(O808:Q825,$B847&amp;" ~*")&gt;0)+(IFERROR(INDEX(Setup!$G$33:$G$40,MATCH(S847,Setup!$B$33:$B$40,0)),0)=1)*(COUNTIF(S808:U825,$B847)+COUNTIF(S808:U825,$B847&amp;" ~*")&gt;0)+(IFERROR(INDEX(Setup!$G$33:$G$40,MATCH(W847,Setup!$B$33:$B$40,0)),0)=1)*(COUNTIF(W808:W825,$B847)+COUNTIF(W808:W825,$B847&amp;" ~*")&gt;0)+(IFERROR(INDEX(Setup!$G$33:$G$40,MATCH(Y847,Setup!$B$33:$B$40,0)),0)=1)*(COUNTIF(Y808:Y825,$B847)+COUNTIF(Y808:Y825,$B847&amp;" ~*")&gt;0))</f>
        <v/>
      </c>
    </row>
    <row r="848" ht="15" customHeight="1">
      <c r="A848" t="n">
        <v>17</v>
      </c>
      <c r="B848" s="37">
        <f>IF(Setup!$B$27="","",Setup!$B$27)</f>
        <v/>
      </c>
      <c r="C848" s="102" t="n"/>
      <c r="D848" s="103" t="n"/>
      <c r="E848" s="103" t="n"/>
      <c r="F848" s="104" t="n"/>
      <c r="G848" s="102" t="n"/>
      <c r="H848" s="103" t="n"/>
      <c r="I848" s="103" t="n"/>
      <c r="J848" s="104" t="n"/>
      <c r="K848" s="102" t="n"/>
      <c r="L848" s="103" t="n"/>
      <c r="M848" s="103" t="n"/>
      <c r="N848" s="104" t="n"/>
      <c r="O848" s="102" t="n"/>
      <c r="P848" s="103" t="n"/>
      <c r="Q848" s="103" t="n"/>
      <c r="R848" s="104" t="n"/>
      <c r="S848" s="102" t="n"/>
      <c r="T848" s="103" t="n"/>
      <c r="U848" s="103" t="n"/>
      <c r="V848" s="104" t="n"/>
      <c r="W848" s="102" t="n"/>
      <c r="X848" s="104" t="n"/>
      <c r="Y848" s="102" t="n"/>
      <c r="Z848" s="104" t="n"/>
      <c r="AB848" s="105">
        <f>IF($B848="","",(COUNTIF(C808:E825,$B848)+COUNTIF(C808:E825,$B848&amp;" ~*")&gt;0)+(COUNTIF(G808:I825,$B848)+COUNTIF(G808:I825,$B848&amp;" ~*")&gt;0)+(COUNTIF(K808:M825,$B848)+COUNTIF(K808:M825,$B848&amp;" ~*")&gt;0)+(COUNTIF(O808:Q825,$B848)+COUNTIF(O808:Q825,$B848&amp;" ~*")&gt;0)+(COUNTIF(S808:U825,$B848)+COUNTIF(S808:U825,$B848&amp;" ~*")&gt;0)+(COUNTIF(W808:W825,$B848)+COUNTIF(W808:W825,$B848&amp;" ~*")&gt;0)+(COUNTIF(Y808:Y825,$B848)+COUNTIF(Y808:Y825,$B848&amp;" ~*")&gt;0))</f>
        <v/>
      </c>
      <c r="AC848" s="38">
        <f>IF($B848="","",(IFERROR(INDEX(Setup!$G$33:$G$40,MATCH(C848,Setup!$B$33:$B$40,0)),0)=1)*(COUNTIF(C808:E825,$B848)+COUNTIF(C808:E825,$B848&amp;" ~*")&gt;0)+(IFERROR(INDEX(Setup!$G$33:$G$40,MATCH(G848,Setup!$B$33:$B$40,0)),0)=1)*(COUNTIF(G808:I825,$B848)+COUNTIF(G808:I825,$B848&amp;" ~*")&gt;0)+(IFERROR(INDEX(Setup!$G$33:$G$40,MATCH(K848,Setup!$B$33:$B$40,0)),0)=1)*(COUNTIF(K808:M825,$B848)+COUNTIF(K808:M825,$B848&amp;" ~*")&gt;0)+(IFERROR(INDEX(Setup!$G$33:$G$40,MATCH(O848,Setup!$B$33:$B$40,0)),0)=1)*(COUNTIF(O808:Q825,$B848)+COUNTIF(O808:Q825,$B848&amp;" ~*")&gt;0)+(IFERROR(INDEX(Setup!$G$33:$G$40,MATCH(S848,Setup!$B$33:$B$40,0)),0)=1)*(COUNTIF(S808:U825,$B848)+COUNTIF(S808:U825,$B848&amp;" ~*")&gt;0)+(IFERROR(INDEX(Setup!$G$33:$G$40,MATCH(W848,Setup!$B$33:$B$40,0)),0)=1)*(COUNTIF(W808:W825,$B848)+COUNTIF(W808:W825,$B848&amp;" ~*")&gt;0)+(IFERROR(INDEX(Setup!$G$33:$G$40,MATCH(Y848,Setup!$B$33:$B$40,0)),0)=1)*(COUNTIF(Y808:Y825,$B848)+COUNTIF(Y808:Y825,$B848&amp;" ~*")&gt;0))</f>
        <v/>
      </c>
    </row>
    <row r="849" ht="15" customHeight="1">
      <c r="A849" t="n">
        <v>17</v>
      </c>
      <c r="B849" s="35">
        <f>IF(Setup!$B$28="","",Setup!$B$28)</f>
        <v/>
      </c>
      <c r="C849" s="98" t="n"/>
      <c r="D849" s="99" t="n"/>
      <c r="E849" s="99" t="n"/>
      <c r="F849" s="100" t="n"/>
      <c r="G849" s="98" t="n"/>
      <c r="H849" s="99" t="n"/>
      <c r="I849" s="99" t="n"/>
      <c r="J849" s="100" t="n"/>
      <c r="K849" s="98" t="n"/>
      <c r="L849" s="99" t="n"/>
      <c r="M849" s="99" t="n"/>
      <c r="N849" s="100" t="n"/>
      <c r="O849" s="98" t="n"/>
      <c r="P849" s="99" t="n"/>
      <c r="Q849" s="99" t="n"/>
      <c r="R849" s="100" t="n"/>
      <c r="S849" s="98" t="n"/>
      <c r="T849" s="99" t="n"/>
      <c r="U849" s="99" t="n"/>
      <c r="V849" s="100" t="n"/>
      <c r="W849" s="98" t="n"/>
      <c r="X849" s="100" t="n"/>
      <c r="Y849" s="98" t="n"/>
      <c r="Z849" s="100" t="n"/>
      <c r="AB849" s="101">
        <f>IF($B849="","",(COUNTIF(C808:E825,$B849)+COUNTIF(C808:E825,$B849&amp;" ~*")&gt;0)+(COUNTIF(G808:I825,$B849)+COUNTIF(G808:I825,$B849&amp;" ~*")&gt;0)+(COUNTIF(K808:M825,$B849)+COUNTIF(K808:M825,$B849&amp;" ~*")&gt;0)+(COUNTIF(O808:Q825,$B849)+COUNTIF(O808:Q825,$B849&amp;" ~*")&gt;0)+(COUNTIF(S808:U825,$B849)+COUNTIF(S808:U825,$B849&amp;" ~*")&gt;0)+(COUNTIF(W808:W825,$B849)+COUNTIF(W808:W825,$B849&amp;" ~*")&gt;0)+(COUNTIF(Y808:Y825,$B849)+COUNTIF(Y808:Y825,$B849&amp;" ~*")&gt;0))</f>
        <v/>
      </c>
      <c r="AC849" s="36">
        <f>IF($B849="","",(IFERROR(INDEX(Setup!$G$33:$G$40,MATCH(C849,Setup!$B$33:$B$40,0)),0)=1)*(COUNTIF(C808:E825,$B849)+COUNTIF(C808:E825,$B849&amp;" ~*")&gt;0)+(IFERROR(INDEX(Setup!$G$33:$G$40,MATCH(G849,Setup!$B$33:$B$40,0)),0)=1)*(COUNTIF(G808:I825,$B849)+COUNTIF(G808:I825,$B849&amp;" ~*")&gt;0)+(IFERROR(INDEX(Setup!$G$33:$G$40,MATCH(K849,Setup!$B$33:$B$40,0)),0)=1)*(COUNTIF(K808:M825,$B849)+COUNTIF(K808:M825,$B849&amp;" ~*")&gt;0)+(IFERROR(INDEX(Setup!$G$33:$G$40,MATCH(O849,Setup!$B$33:$B$40,0)),0)=1)*(COUNTIF(O808:Q825,$B849)+COUNTIF(O808:Q825,$B849&amp;" ~*")&gt;0)+(IFERROR(INDEX(Setup!$G$33:$G$40,MATCH(S849,Setup!$B$33:$B$40,0)),0)=1)*(COUNTIF(S808:U825,$B849)+COUNTIF(S808:U825,$B849&amp;" ~*")&gt;0)+(IFERROR(INDEX(Setup!$G$33:$G$40,MATCH(W849,Setup!$B$33:$B$40,0)),0)=1)*(COUNTIF(W808:W825,$B849)+COUNTIF(W808:W825,$B849&amp;" ~*")&gt;0)+(IFERROR(INDEX(Setup!$G$33:$G$40,MATCH(Y849,Setup!$B$33:$B$40,0)),0)=1)*(COUNTIF(Y808:Y825,$B849)+COUNTIF(Y808:Y825,$B849&amp;" ~*")&gt;0))</f>
        <v/>
      </c>
    </row>
    <row r="850" ht="15" customHeight="1">
      <c r="A850" t="n">
        <v>17</v>
      </c>
      <c r="B850" s="37">
        <f>IF(Setup!$B$29="","",Setup!$B$29)</f>
        <v/>
      </c>
      <c r="C850" s="102" t="n"/>
      <c r="D850" s="103" t="n"/>
      <c r="E850" s="103" t="n"/>
      <c r="F850" s="104" t="n"/>
      <c r="G850" s="102" t="n"/>
      <c r="H850" s="103" t="n"/>
      <c r="I850" s="103" t="n"/>
      <c r="J850" s="104" t="n"/>
      <c r="K850" s="102" t="n"/>
      <c r="L850" s="103" t="n"/>
      <c r="M850" s="103" t="n"/>
      <c r="N850" s="104" t="n"/>
      <c r="O850" s="102" t="n"/>
      <c r="P850" s="103" t="n"/>
      <c r="Q850" s="103" t="n"/>
      <c r="R850" s="104" t="n"/>
      <c r="S850" s="102" t="n"/>
      <c r="T850" s="103" t="n"/>
      <c r="U850" s="103" t="n"/>
      <c r="V850" s="104" t="n"/>
      <c r="W850" s="102" t="n"/>
      <c r="X850" s="104" t="n"/>
      <c r="Y850" s="102" t="n"/>
      <c r="Z850" s="104" t="n"/>
      <c r="AB850" s="105">
        <f>IF($B850="","",(COUNTIF(C808:E825,$B850)+COUNTIF(C808:E825,$B850&amp;" ~*")&gt;0)+(COUNTIF(G808:I825,$B850)+COUNTIF(G808:I825,$B850&amp;" ~*")&gt;0)+(COUNTIF(K808:M825,$B850)+COUNTIF(K808:M825,$B850&amp;" ~*")&gt;0)+(COUNTIF(O808:Q825,$B850)+COUNTIF(O808:Q825,$B850&amp;" ~*")&gt;0)+(COUNTIF(S808:U825,$B850)+COUNTIF(S808:U825,$B850&amp;" ~*")&gt;0)+(COUNTIF(W808:W825,$B850)+COUNTIF(W808:W825,$B850&amp;" ~*")&gt;0)+(COUNTIF(Y808:Y825,$B850)+COUNTIF(Y808:Y825,$B850&amp;" ~*")&gt;0))</f>
        <v/>
      </c>
      <c r="AC850" s="38">
        <f>IF($B850="","",(IFERROR(INDEX(Setup!$G$33:$G$40,MATCH(C850,Setup!$B$33:$B$40,0)),0)=1)*(COUNTIF(C808:E825,$B850)+COUNTIF(C808:E825,$B850&amp;" ~*")&gt;0)+(IFERROR(INDEX(Setup!$G$33:$G$40,MATCH(G850,Setup!$B$33:$B$40,0)),0)=1)*(COUNTIF(G808:I825,$B850)+COUNTIF(G808:I825,$B850&amp;" ~*")&gt;0)+(IFERROR(INDEX(Setup!$G$33:$G$40,MATCH(K850,Setup!$B$33:$B$40,0)),0)=1)*(COUNTIF(K808:M825,$B850)+COUNTIF(K808:M825,$B850&amp;" ~*")&gt;0)+(IFERROR(INDEX(Setup!$G$33:$G$40,MATCH(O850,Setup!$B$33:$B$40,0)),0)=1)*(COUNTIF(O808:Q825,$B850)+COUNTIF(O808:Q825,$B850&amp;" ~*")&gt;0)+(IFERROR(INDEX(Setup!$G$33:$G$40,MATCH(S850,Setup!$B$33:$B$40,0)),0)=1)*(COUNTIF(S808:U825,$B850)+COUNTIF(S808:U825,$B850&amp;" ~*")&gt;0)+(IFERROR(INDEX(Setup!$G$33:$G$40,MATCH(W850,Setup!$B$33:$B$40,0)),0)=1)*(COUNTIF(W808:W825,$B850)+COUNTIF(W808:W825,$B850&amp;" ~*")&gt;0)+(IFERROR(INDEX(Setup!$G$33:$G$40,MATCH(Y850,Setup!$B$33:$B$40,0)),0)=1)*(COUNTIF(Y808:Y825,$B850)+COUNTIF(Y808:Y825,$B850&amp;" ~*")&gt;0))</f>
        <v/>
      </c>
    </row>
    <row r="851" ht="16" customHeight="1">
      <c r="A851" t="n">
        <v>17</v>
      </c>
      <c r="B851" s="106" t="inlineStr">
        <is>
          <t>Available people</t>
        </is>
      </c>
      <c r="C851" s="107">
        <f>COUNTIFS(Setup!$E$6:$E$29,"Y",Setup!$B$6:$B$29,"?*")-SUMPRODUCT(COUNTIF(C827:C850,Setup!$F$33:$F$40))</f>
        <v/>
      </c>
      <c r="D851" s="107" t="n"/>
      <c r="E851" s="107" t="n"/>
      <c r="F851" s="107" t="n"/>
      <c r="G851" s="107">
        <f>COUNTIFS(Setup!$E$6:$E$29,"Y",Setup!$B$6:$B$29,"?*")-SUMPRODUCT(COUNTIF(G827:G850,Setup!$F$33:$F$40))</f>
        <v/>
      </c>
      <c r="H851" s="107" t="n"/>
      <c r="I851" s="107" t="n"/>
      <c r="J851" s="107" t="n"/>
      <c r="K851" s="107">
        <f>COUNTIFS(Setup!$E$6:$E$29,"Y",Setup!$B$6:$B$29,"?*")-SUMPRODUCT(COUNTIF(K827:K850,Setup!$F$33:$F$40))</f>
        <v/>
      </c>
      <c r="L851" s="107" t="n"/>
      <c r="M851" s="107" t="n"/>
      <c r="N851" s="107" t="n"/>
      <c r="O851" s="107">
        <f>COUNTIFS(Setup!$E$6:$E$29,"Y",Setup!$B$6:$B$29,"?*")-SUMPRODUCT(COUNTIF(O827:O850,Setup!$F$33:$F$40))</f>
        <v/>
      </c>
      <c r="P851" s="107" t="n"/>
      <c r="Q851" s="107" t="n"/>
      <c r="R851" s="107" t="n"/>
      <c r="S851" s="107">
        <f>COUNTIFS(Setup!$E$6:$E$29,"Y",Setup!$B$6:$B$29,"?*")-SUMPRODUCT(COUNTIF(S827:S850,Setup!$F$33:$F$40))</f>
        <v/>
      </c>
      <c r="T851" s="107" t="n"/>
      <c r="U851" s="107" t="n"/>
      <c r="V851" s="107" t="n"/>
      <c r="W851" s="107">
        <f>COUNTIFS(Setup!$E$6:$E$29,"Y",Setup!$B$6:$B$29,"?*")-SUMPRODUCT(COUNTIF(W827:W850,Setup!$F$33:$F$40))</f>
        <v/>
      </c>
      <c r="X851" s="107" t="n"/>
      <c r="Y851" s="107">
        <f>COUNTIFS(Setup!$E$6:$E$29,"Y",Setup!$B$6:$B$29,"?*")-SUMPRODUCT(COUNTIF(Y827:Y850,Setup!$F$33:$F$40))</f>
        <v/>
      </c>
      <c r="Z851" s="107" t="n"/>
      <c r="AB851" s="108">
        <f>SUM(AB827:AB850)</f>
        <v/>
      </c>
      <c r="AC851" s="109">
        <f>SUM(AC827:AC850)</f>
        <v/>
      </c>
    </row>
    <row r="852" ht="30" customHeight="1">
      <c r="A852" t="n">
        <v>17</v>
      </c>
      <c r="B852" s="110" t="inlineStr">
        <is>
          <t>Week notes</t>
        </is>
      </c>
      <c r="C852" s="111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112" t="n"/>
      <c r="R852" s="112" t="n"/>
      <c r="S852" s="112" t="n"/>
      <c r="T852" s="112" t="n"/>
      <c r="U852" s="112" t="n"/>
      <c r="V852" s="112" t="n"/>
      <c r="W852" s="112" t="n"/>
      <c r="X852" s="112" t="n"/>
      <c r="Y852" s="112" t="n"/>
      <c r="Z852" s="113" t="n"/>
    </row>
    <row r="853" ht="8" customHeight="1">
      <c r="A853" t="n">
        <v>17</v>
      </c>
    </row>
    <row r="854" ht="8" customHeight="1">
      <c r="A854" t="n">
        <v>17</v>
      </c>
    </row>
    <row r="855" ht="24" customHeight="1">
      <c r="A855" t="n">
        <v>18</v>
      </c>
      <c r="B855" s="73">
        <f>"WEEK 18     "&amp;TEXT(C856,"ddd d mmm")&amp;"  –  "&amp;TEXT(C856+6,"ddd d mmm yyyy")</f>
        <v/>
      </c>
      <c r="S855" s="74">
        <f>IF(TODAY()&lt;C856,"FUTURE",IF(TODAY()&gt;C856+6,"PAST","THIS WEEK"))</f>
        <v/>
      </c>
      <c r="W855" s="75">
        <f>IF(AND(Engine!$B$8=$AC$3,Engine!$B$9=$A855),"◀ ACTIVE WEEK","")</f>
        <v/>
      </c>
      <c r="AA855" s="76" t="n"/>
      <c r="AB855" s="77" t="inlineStr">
        <is>
          <t>◀ Prev</t>
        </is>
      </c>
      <c r="AC855" s="77" t="inlineStr">
        <is>
          <t>Next ▶</t>
        </is>
      </c>
    </row>
    <row r="856" ht="18" customHeight="1">
      <c r="A856" t="n">
        <v>18</v>
      </c>
      <c r="B856" s="78" t="inlineStr">
        <is>
          <t>DUTY</t>
        </is>
      </c>
      <c r="C856" s="79">
        <f>$AC$2+7*($A856-1)</f>
        <v/>
      </c>
      <c r="D856" s="80" t="n"/>
      <c r="E856" s="80" t="n"/>
      <c r="F856" s="81" t="n"/>
      <c r="G856" s="79">
        <f>C856+1</f>
        <v/>
      </c>
      <c r="H856" s="80" t="n"/>
      <c r="I856" s="80" t="n"/>
      <c r="J856" s="81" t="n"/>
      <c r="K856" s="79">
        <f>C856+2</f>
        <v/>
      </c>
      <c r="L856" s="80" t="n"/>
      <c r="M856" s="80" t="n"/>
      <c r="N856" s="81" t="n"/>
      <c r="O856" s="79">
        <f>C856+3</f>
        <v/>
      </c>
      <c r="P856" s="80" t="n"/>
      <c r="Q856" s="80" t="n"/>
      <c r="R856" s="81" t="n"/>
      <c r="S856" s="79">
        <f>C856+4</f>
        <v/>
      </c>
      <c r="T856" s="80" t="n"/>
      <c r="U856" s="80" t="n"/>
      <c r="V856" s="81" t="n"/>
      <c r="W856" s="82">
        <f>C856+5</f>
        <v/>
      </c>
      <c r="X856" s="83" t="n"/>
      <c r="Y856" s="82">
        <f>C856+6</f>
        <v/>
      </c>
      <c r="Z856" s="83" t="n"/>
      <c r="AB856" s="72" t="inlineStr">
        <is>
          <t>Gaps</t>
        </is>
      </c>
      <c r="AC856" s="72" t="inlineStr">
        <is>
          <t>Cover</t>
        </is>
      </c>
    </row>
    <row r="857" ht="14" customHeight="1">
      <c r="A857" t="n">
        <v>18</v>
      </c>
      <c r="B857" s="84" t="inlineStr">
        <is>
          <t>(from Setup)</t>
        </is>
      </c>
      <c r="C857" s="85" t="inlineStr">
        <is>
          <t>1</t>
        </is>
      </c>
      <c r="D857" s="85" t="inlineStr">
        <is>
          <t>2</t>
        </is>
      </c>
      <c r="E857" s="85" t="inlineStr">
        <is>
          <t>3</t>
        </is>
      </c>
      <c r="F857" s="85" t="inlineStr">
        <is>
          <t>Notes</t>
        </is>
      </c>
      <c r="G857" s="85" t="inlineStr">
        <is>
          <t>1</t>
        </is>
      </c>
      <c r="H857" s="85" t="inlineStr">
        <is>
          <t>2</t>
        </is>
      </c>
      <c r="I857" s="85" t="inlineStr">
        <is>
          <t>3</t>
        </is>
      </c>
      <c r="J857" s="85" t="inlineStr">
        <is>
          <t>Notes</t>
        </is>
      </c>
      <c r="K857" s="85" t="inlineStr">
        <is>
          <t>1</t>
        </is>
      </c>
      <c r="L857" s="85" t="inlineStr">
        <is>
          <t>2</t>
        </is>
      </c>
      <c r="M857" s="85" t="inlineStr">
        <is>
          <t>3</t>
        </is>
      </c>
      <c r="N857" s="85" t="inlineStr">
        <is>
          <t>Notes</t>
        </is>
      </c>
      <c r="O857" s="85" t="inlineStr">
        <is>
          <t>1</t>
        </is>
      </c>
      <c r="P857" s="85" t="inlineStr">
        <is>
          <t>2</t>
        </is>
      </c>
      <c r="Q857" s="85" t="inlineStr">
        <is>
          <t>3</t>
        </is>
      </c>
      <c r="R857" s="85" t="inlineStr">
        <is>
          <t>Notes</t>
        </is>
      </c>
      <c r="S857" s="85" t="inlineStr">
        <is>
          <t>1</t>
        </is>
      </c>
      <c r="T857" s="85" t="inlineStr">
        <is>
          <t>2</t>
        </is>
      </c>
      <c r="U857" s="85" t="inlineStr">
        <is>
          <t>3</t>
        </is>
      </c>
      <c r="V857" s="85" t="inlineStr">
        <is>
          <t>Notes</t>
        </is>
      </c>
      <c r="W857" s="85" t="inlineStr">
        <is>
          <t>Cover</t>
        </is>
      </c>
      <c r="X857" s="85" t="inlineStr">
        <is>
          <t>Notes</t>
        </is>
      </c>
      <c r="Y857" s="85" t="inlineStr">
        <is>
          <t>Cover</t>
        </is>
      </c>
      <c r="Z857" s="85" t="inlineStr">
        <is>
          <t>Notes</t>
        </is>
      </c>
      <c r="AB857" s="86" t="inlineStr">
        <is>
          <t>weekdays short</t>
        </is>
      </c>
      <c r="AC857" s="87" t="inlineStr"/>
    </row>
    <row r="858" ht="17" customHeight="1">
      <c r="A858" t="n">
        <v>18</v>
      </c>
      <c r="B858" s="24">
        <f>IF(Setup!$K$6="","",Setup!$K$6)</f>
        <v/>
      </c>
      <c r="C858" s="88" t="n"/>
      <c r="D858" s="88" t="n"/>
      <c r="E858" s="88" t="n"/>
      <c r="F858" s="89" t="n"/>
      <c r="G858" s="88" t="n"/>
      <c r="H858" s="88" t="n"/>
      <c r="I858" s="88" t="n"/>
      <c r="J858" s="89" t="n"/>
      <c r="K858" s="88" t="n"/>
      <c r="L858" s="88" t="n"/>
      <c r="M858" s="88" t="n"/>
      <c r="N858" s="89" t="n"/>
      <c r="O858" s="88" t="n"/>
      <c r="P858" s="88" t="n"/>
      <c r="Q858" s="88" t="n"/>
      <c r="R858" s="89" t="n"/>
      <c r="S858" s="88" t="n"/>
      <c r="T858" s="88" t="n"/>
      <c r="U858" s="88" t="n"/>
      <c r="V858" s="89" t="n"/>
      <c r="W858" s="88" t="n"/>
      <c r="X858" s="89" t="n"/>
      <c r="Y858" s="88" t="n"/>
      <c r="Z858" s="89" t="n"/>
      <c r="AB858" s="25">
        <f>IF($B858="","",(COUNTIF(C858:E858,"?*")&lt;N(INDEX(Setup!$L$6:$L$23,1)))+(COUNTIF(G858:I858,"?*")&lt;N(INDEX(Setup!$L$6:$L$23,1)))+(COUNTIF(K858:M858,"?*")&lt;N(INDEX(Setup!$L$6:$L$23,1)))+(COUNTIF(O858:Q858,"?*")&lt;N(INDEX(Setup!$L$6:$L$23,1)))+(COUNTIF(S858:U858,"?*")&lt;N(INDEX(Setup!$L$6:$L$23,1)))+((W858="")*(INDEX(Setup!$M$6:$M$23,1)="Y"))+((Y858="")*(INDEX(Setup!$M$6:$M$23,1)="Y")))</f>
        <v/>
      </c>
      <c r="AC858" s="90">
        <f>IF($B858="","",IF(AB858=0,"✓ covered","⚠ "&amp;AB858&amp;IF(AB858=1," gap"," gaps")))</f>
        <v/>
      </c>
    </row>
    <row r="859" ht="17" customHeight="1">
      <c r="A859" t="n">
        <v>18</v>
      </c>
      <c r="B859" s="29">
        <f>IF(Setup!$K$7="","",Setup!$K$7)</f>
        <v/>
      </c>
      <c r="C859" s="88" t="n"/>
      <c r="D859" s="88" t="n"/>
      <c r="E859" s="88" t="n"/>
      <c r="F859" s="89" t="n"/>
      <c r="G859" s="88" t="n"/>
      <c r="H859" s="88" t="n"/>
      <c r="I859" s="88" t="n"/>
      <c r="J859" s="89" t="n"/>
      <c r="K859" s="88" t="n"/>
      <c r="L859" s="88" t="n"/>
      <c r="M859" s="88" t="n"/>
      <c r="N859" s="89" t="n"/>
      <c r="O859" s="88" t="n"/>
      <c r="P859" s="88" t="n"/>
      <c r="Q859" s="88" t="n"/>
      <c r="R859" s="89" t="n"/>
      <c r="S859" s="88" t="n"/>
      <c r="T859" s="88" t="n"/>
      <c r="U859" s="88" t="n"/>
      <c r="V859" s="89" t="n"/>
      <c r="W859" s="88" t="n"/>
      <c r="X859" s="89" t="n"/>
      <c r="Y859" s="88" t="n"/>
      <c r="Z859" s="89" t="n"/>
      <c r="AB859" s="30">
        <f>IF($B859="","",(COUNTIF(C859:E859,"?*")&lt;N(INDEX(Setup!$L$6:$L$23,2)))+(COUNTIF(G859:I859,"?*")&lt;N(INDEX(Setup!$L$6:$L$23,2)))+(COUNTIF(K859:M859,"?*")&lt;N(INDEX(Setup!$L$6:$L$23,2)))+(COUNTIF(O859:Q859,"?*")&lt;N(INDEX(Setup!$L$6:$L$23,2)))+(COUNTIF(S859:U859,"?*")&lt;N(INDEX(Setup!$L$6:$L$23,2)))+((W859="")*(INDEX(Setup!$M$6:$M$23,2)="Y"))+((Y859="")*(INDEX(Setup!$M$6:$M$23,2)="Y")))</f>
        <v/>
      </c>
      <c r="AC859" s="91">
        <f>IF($B859="","",IF(AB859=0,"✓ covered","⚠ "&amp;AB859&amp;IF(AB859=1," gap"," gaps")))</f>
        <v/>
      </c>
    </row>
    <row r="860" ht="17" customHeight="1">
      <c r="A860" t="n">
        <v>18</v>
      </c>
      <c r="B860" s="24">
        <f>IF(Setup!$K$8="","",Setup!$K$8)</f>
        <v/>
      </c>
      <c r="C860" s="88" t="n"/>
      <c r="D860" s="88" t="n"/>
      <c r="E860" s="88" t="n"/>
      <c r="F860" s="89" t="n"/>
      <c r="G860" s="88" t="n"/>
      <c r="H860" s="88" t="n"/>
      <c r="I860" s="88" t="n"/>
      <c r="J860" s="89" t="n"/>
      <c r="K860" s="88" t="n"/>
      <c r="L860" s="88" t="n"/>
      <c r="M860" s="88" t="n"/>
      <c r="N860" s="89" t="n"/>
      <c r="O860" s="88" t="n"/>
      <c r="P860" s="88" t="n"/>
      <c r="Q860" s="88" t="n"/>
      <c r="R860" s="89" t="n"/>
      <c r="S860" s="88" t="n"/>
      <c r="T860" s="88" t="n"/>
      <c r="U860" s="88" t="n"/>
      <c r="V860" s="89" t="n"/>
      <c r="W860" s="88" t="n"/>
      <c r="X860" s="89" t="n"/>
      <c r="Y860" s="88" t="n"/>
      <c r="Z860" s="89" t="n"/>
      <c r="AB860" s="25">
        <f>IF($B860="","",(COUNTIF(C860:E860,"?*")&lt;N(INDEX(Setup!$L$6:$L$23,3)))+(COUNTIF(G860:I860,"?*")&lt;N(INDEX(Setup!$L$6:$L$23,3)))+(COUNTIF(K860:M860,"?*")&lt;N(INDEX(Setup!$L$6:$L$23,3)))+(COUNTIF(O860:Q860,"?*")&lt;N(INDEX(Setup!$L$6:$L$23,3)))+(COUNTIF(S860:U860,"?*")&lt;N(INDEX(Setup!$L$6:$L$23,3)))+((W860="")*(INDEX(Setup!$M$6:$M$23,3)="Y"))+((Y860="")*(INDEX(Setup!$M$6:$M$23,3)="Y")))</f>
        <v/>
      </c>
      <c r="AC860" s="90">
        <f>IF($B860="","",IF(AB860=0,"✓ covered","⚠ "&amp;AB860&amp;IF(AB860=1," gap"," gaps")))</f>
        <v/>
      </c>
    </row>
    <row r="861" ht="17" customHeight="1">
      <c r="A861" t="n">
        <v>18</v>
      </c>
      <c r="B861" s="29">
        <f>IF(Setup!$K$9="","",Setup!$K$9)</f>
        <v/>
      </c>
      <c r="C861" s="88" t="n"/>
      <c r="D861" s="88" t="n"/>
      <c r="E861" s="88" t="n"/>
      <c r="F861" s="89" t="n"/>
      <c r="G861" s="88" t="n"/>
      <c r="H861" s="88" t="n"/>
      <c r="I861" s="88" t="n"/>
      <c r="J861" s="89" t="n"/>
      <c r="K861" s="88" t="n"/>
      <c r="L861" s="88" t="n"/>
      <c r="M861" s="88" t="n"/>
      <c r="N861" s="89" t="n"/>
      <c r="O861" s="88" t="n"/>
      <c r="P861" s="88" t="n"/>
      <c r="Q861" s="88" t="n"/>
      <c r="R861" s="89" t="n"/>
      <c r="S861" s="88" t="n"/>
      <c r="T861" s="88" t="n"/>
      <c r="U861" s="88" t="n"/>
      <c r="V861" s="89" t="n"/>
      <c r="W861" s="88" t="n"/>
      <c r="X861" s="89" t="n"/>
      <c r="Y861" s="88" t="n"/>
      <c r="Z861" s="89" t="n"/>
      <c r="AB861" s="30">
        <f>IF($B861="","",(COUNTIF(C861:E861,"?*")&lt;N(INDEX(Setup!$L$6:$L$23,4)))+(COUNTIF(G861:I861,"?*")&lt;N(INDEX(Setup!$L$6:$L$23,4)))+(COUNTIF(K861:M861,"?*")&lt;N(INDEX(Setup!$L$6:$L$23,4)))+(COUNTIF(O861:Q861,"?*")&lt;N(INDEX(Setup!$L$6:$L$23,4)))+(COUNTIF(S861:U861,"?*")&lt;N(INDEX(Setup!$L$6:$L$23,4)))+((W861="")*(INDEX(Setup!$M$6:$M$23,4)="Y"))+((Y861="")*(INDEX(Setup!$M$6:$M$23,4)="Y")))</f>
        <v/>
      </c>
      <c r="AC861" s="91">
        <f>IF($B861="","",IF(AB861=0,"✓ covered","⚠ "&amp;AB861&amp;IF(AB861=1," gap"," gaps")))</f>
        <v/>
      </c>
    </row>
    <row r="862" ht="17" customHeight="1">
      <c r="A862" t="n">
        <v>18</v>
      </c>
      <c r="B862" s="24">
        <f>IF(Setup!$K$10="","",Setup!$K$10)</f>
        <v/>
      </c>
      <c r="C862" s="88" t="n"/>
      <c r="D862" s="88" t="n"/>
      <c r="E862" s="88" t="n"/>
      <c r="F862" s="89" t="n"/>
      <c r="G862" s="88" t="n"/>
      <c r="H862" s="88" t="n"/>
      <c r="I862" s="88" t="n"/>
      <c r="J862" s="89" t="n"/>
      <c r="K862" s="88" t="n"/>
      <c r="L862" s="88" t="n"/>
      <c r="M862" s="88" t="n"/>
      <c r="N862" s="89" t="n"/>
      <c r="O862" s="88" t="n"/>
      <c r="P862" s="88" t="n"/>
      <c r="Q862" s="88" t="n"/>
      <c r="R862" s="89" t="n"/>
      <c r="S862" s="88" t="n"/>
      <c r="T862" s="88" t="n"/>
      <c r="U862" s="88" t="n"/>
      <c r="V862" s="89" t="n"/>
      <c r="W862" s="88" t="n"/>
      <c r="X862" s="89" t="n"/>
      <c r="Y862" s="88" t="n"/>
      <c r="Z862" s="89" t="n"/>
      <c r="AB862" s="25">
        <f>IF($B862="","",(COUNTIF(C862:E862,"?*")&lt;N(INDEX(Setup!$L$6:$L$23,5)))+(COUNTIF(G862:I862,"?*")&lt;N(INDEX(Setup!$L$6:$L$23,5)))+(COUNTIF(K862:M862,"?*")&lt;N(INDEX(Setup!$L$6:$L$23,5)))+(COUNTIF(O862:Q862,"?*")&lt;N(INDEX(Setup!$L$6:$L$23,5)))+(COUNTIF(S862:U862,"?*")&lt;N(INDEX(Setup!$L$6:$L$23,5)))+((W862="")*(INDEX(Setup!$M$6:$M$23,5)="Y"))+((Y862="")*(INDEX(Setup!$M$6:$M$23,5)="Y")))</f>
        <v/>
      </c>
      <c r="AC862" s="90">
        <f>IF($B862="","",IF(AB862=0,"✓ covered","⚠ "&amp;AB862&amp;IF(AB862=1," gap"," gaps")))</f>
        <v/>
      </c>
    </row>
    <row r="863" ht="17" customHeight="1">
      <c r="A863" t="n">
        <v>18</v>
      </c>
      <c r="B863" s="29">
        <f>IF(Setup!$K$11="","",Setup!$K$11)</f>
        <v/>
      </c>
      <c r="C863" s="88" t="n"/>
      <c r="D863" s="88" t="n"/>
      <c r="E863" s="88" t="n"/>
      <c r="F863" s="89" t="n"/>
      <c r="G863" s="88" t="n"/>
      <c r="H863" s="88" t="n"/>
      <c r="I863" s="88" t="n"/>
      <c r="J863" s="89" t="n"/>
      <c r="K863" s="88" t="n"/>
      <c r="L863" s="88" t="n"/>
      <c r="M863" s="88" t="n"/>
      <c r="N863" s="89" t="n"/>
      <c r="O863" s="88" t="n"/>
      <c r="P863" s="88" t="n"/>
      <c r="Q863" s="88" t="n"/>
      <c r="R863" s="89" t="n"/>
      <c r="S863" s="88" t="n"/>
      <c r="T863" s="88" t="n"/>
      <c r="U863" s="88" t="n"/>
      <c r="V863" s="89" t="n"/>
      <c r="W863" s="88" t="n"/>
      <c r="X863" s="89" t="n"/>
      <c r="Y863" s="88" t="n"/>
      <c r="Z863" s="89" t="n"/>
      <c r="AB863" s="30">
        <f>IF($B863="","",(COUNTIF(C863:E863,"?*")&lt;N(INDEX(Setup!$L$6:$L$23,6)))+(COUNTIF(G863:I863,"?*")&lt;N(INDEX(Setup!$L$6:$L$23,6)))+(COUNTIF(K863:M863,"?*")&lt;N(INDEX(Setup!$L$6:$L$23,6)))+(COUNTIF(O863:Q863,"?*")&lt;N(INDEX(Setup!$L$6:$L$23,6)))+(COUNTIF(S863:U863,"?*")&lt;N(INDEX(Setup!$L$6:$L$23,6)))+((W863="")*(INDEX(Setup!$M$6:$M$23,6)="Y"))+((Y863="")*(INDEX(Setup!$M$6:$M$23,6)="Y")))</f>
        <v/>
      </c>
      <c r="AC863" s="91">
        <f>IF($B863="","",IF(AB863=0,"✓ covered","⚠ "&amp;AB863&amp;IF(AB863=1," gap"," gaps")))</f>
        <v/>
      </c>
    </row>
    <row r="864" ht="17" customHeight="1">
      <c r="A864" t="n">
        <v>18</v>
      </c>
      <c r="B864" s="24">
        <f>IF(Setup!$K$12="","",Setup!$K$12)</f>
        <v/>
      </c>
      <c r="C864" s="88" t="n"/>
      <c r="D864" s="88" t="n"/>
      <c r="E864" s="88" t="n"/>
      <c r="F864" s="89" t="n"/>
      <c r="G864" s="88" t="n"/>
      <c r="H864" s="88" t="n"/>
      <c r="I864" s="88" t="n"/>
      <c r="J864" s="89" t="n"/>
      <c r="K864" s="88" t="n"/>
      <c r="L864" s="88" t="n"/>
      <c r="M864" s="88" t="n"/>
      <c r="N864" s="89" t="n"/>
      <c r="O864" s="88" t="n"/>
      <c r="P864" s="88" t="n"/>
      <c r="Q864" s="88" t="n"/>
      <c r="R864" s="89" t="n"/>
      <c r="S864" s="88" t="n"/>
      <c r="T864" s="88" t="n"/>
      <c r="U864" s="88" t="n"/>
      <c r="V864" s="89" t="n"/>
      <c r="W864" s="88" t="n"/>
      <c r="X864" s="89" t="n"/>
      <c r="Y864" s="88" t="n"/>
      <c r="Z864" s="89" t="n"/>
      <c r="AB864" s="25">
        <f>IF($B864="","",(COUNTIF(C864:E864,"?*")&lt;N(INDEX(Setup!$L$6:$L$23,7)))+(COUNTIF(G864:I864,"?*")&lt;N(INDEX(Setup!$L$6:$L$23,7)))+(COUNTIF(K864:M864,"?*")&lt;N(INDEX(Setup!$L$6:$L$23,7)))+(COUNTIF(O864:Q864,"?*")&lt;N(INDEX(Setup!$L$6:$L$23,7)))+(COUNTIF(S864:U864,"?*")&lt;N(INDEX(Setup!$L$6:$L$23,7)))+((W864="")*(INDEX(Setup!$M$6:$M$23,7)="Y"))+((Y864="")*(INDEX(Setup!$M$6:$M$23,7)="Y")))</f>
        <v/>
      </c>
      <c r="AC864" s="90">
        <f>IF($B864="","",IF(AB864=0,"✓ covered","⚠ "&amp;AB864&amp;IF(AB864=1," gap"," gaps")))</f>
        <v/>
      </c>
    </row>
    <row r="865" ht="17" customHeight="1">
      <c r="A865" t="n">
        <v>18</v>
      </c>
      <c r="B865" s="29">
        <f>IF(Setup!$K$13="","",Setup!$K$13)</f>
        <v/>
      </c>
      <c r="C865" s="88" t="n"/>
      <c r="D865" s="88" t="n"/>
      <c r="E865" s="88" t="n"/>
      <c r="F865" s="89" t="n"/>
      <c r="G865" s="88" t="n"/>
      <c r="H865" s="88" t="n"/>
      <c r="I865" s="88" t="n"/>
      <c r="J865" s="89" t="n"/>
      <c r="K865" s="88" t="n"/>
      <c r="L865" s="88" t="n"/>
      <c r="M865" s="88" t="n"/>
      <c r="N865" s="89" t="n"/>
      <c r="O865" s="88" t="n"/>
      <c r="P865" s="88" t="n"/>
      <c r="Q865" s="88" t="n"/>
      <c r="R865" s="89" t="n"/>
      <c r="S865" s="88" t="n"/>
      <c r="T865" s="88" t="n"/>
      <c r="U865" s="88" t="n"/>
      <c r="V865" s="89" t="n"/>
      <c r="W865" s="88" t="n"/>
      <c r="X865" s="89" t="n"/>
      <c r="Y865" s="88" t="n"/>
      <c r="Z865" s="89" t="n"/>
      <c r="AB865" s="30">
        <f>IF($B865="","",(COUNTIF(C865:E865,"?*")&lt;N(INDEX(Setup!$L$6:$L$23,8)))+(COUNTIF(G865:I865,"?*")&lt;N(INDEX(Setup!$L$6:$L$23,8)))+(COUNTIF(K865:M865,"?*")&lt;N(INDEX(Setup!$L$6:$L$23,8)))+(COUNTIF(O865:Q865,"?*")&lt;N(INDEX(Setup!$L$6:$L$23,8)))+(COUNTIF(S865:U865,"?*")&lt;N(INDEX(Setup!$L$6:$L$23,8)))+((W865="")*(INDEX(Setup!$M$6:$M$23,8)="Y"))+((Y865="")*(INDEX(Setup!$M$6:$M$23,8)="Y")))</f>
        <v/>
      </c>
      <c r="AC865" s="91">
        <f>IF($B865="","",IF(AB865=0,"✓ covered","⚠ "&amp;AB865&amp;IF(AB865=1," gap"," gaps")))</f>
        <v/>
      </c>
    </row>
    <row r="866" ht="17" customHeight="1">
      <c r="A866" t="n">
        <v>18</v>
      </c>
      <c r="B866" s="24">
        <f>IF(Setup!$K$14="","",Setup!$K$14)</f>
        <v/>
      </c>
      <c r="C866" s="88" t="n"/>
      <c r="D866" s="88" t="n"/>
      <c r="E866" s="88" t="n"/>
      <c r="F866" s="89" t="n"/>
      <c r="G866" s="88" t="n"/>
      <c r="H866" s="88" t="n"/>
      <c r="I866" s="88" t="n"/>
      <c r="J866" s="89" t="n"/>
      <c r="K866" s="88" t="n"/>
      <c r="L866" s="88" t="n"/>
      <c r="M866" s="88" t="n"/>
      <c r="N866" s="89" t="n"/>
      <c r="O866" s="88" t="n"/>
      <c r="P866" s="88" t="n"/>
      <c r="Q866" s="88" t="n"/>
      <c r="R866" s="89" t="n"/>
      <c r="S866" s="88" t="n"/>
      <c r="T866" s="88" t="n"/>
      <c r="U866" s="88" t="n"/>
      <c r="V866" s="89" t="n"/>
      <c r="W866" s="88" t="n"/>
      <c r="X866" s="89" t="n"/>
      <c r="Y866" s="88" t="n"/>
      <c r="Z866" s="89" t="n"/>
      <c r="AB866" s="25">
        <f>IF($B866="","",(COUNTIF(C866:E866,"?*")&lt;N(INDEX(Setup!$L$6:$L$23,9)))+(COUNTIF(G866:I866,"?*")&lt;N(INDEX(Setup!$L$6:$L$23,9)))+(COUNTIF(K866:M866,"?*")&lt;N(INDEX(Setup!$L$6:$L$23,9)))+(COUNTIF(O866:Q866,"?*")&lt;N(INDEX(Setup!$L$6:$L$23,9)))+(COUNTIF(S866:U866,"?*")&lt;N(INDEX(Setup!$L$6:$L$23,9)))+((W866="")*(INDEX(Setup!$M$6:$M$23,9)="Y"))+((Y866="")*(INDEX(Setup!$M$6:$M$23,9)="Y")))</f>
        <v/>
      </c>
      <c r="AC866" s="90">
        <f>IF($B866="","",IF(AB866=0,"✓ covered","⚠ "&amp;AB866&amp;IF(AB866=1," gap"," gaps")))</f>
        <v/>
      </c>
    </row>
    <row r="867" ht="17" customHeight="1">
      <c r="A867" t="n">
        <v>18</v>
      </c>
      <c r="B867" s="29">
        <f>IF(Setup!$K$15="","",Setup!$K$15)</f>
        <v/>
      </c>
      <c r="C867" s="88" t="n"/>
      <c r="D867" s="88" t="n"/>
      <c r="E867" s="88" t="n"/>
      <c r="F867" s="89" t="n"/>
      <c r="G867" s="88" t="n"/>
      <c r="H867" s="88" t="n"/>
      <c r="I867" s="88" t="n"/>
      <c r="J867" s="89" t="n"/>
      <c r="K867" s="88" t="n"/>
      <c r="L867" s="88" t="n"/>
      <c r="M867" s="88" t="n"/>
      <c r="N867" s="89" t="n"/>
      <c r="O867" s="88" t="n"/>
      <c r="P867" s="88" t="n"/>
      <c r="Q867" s="88" t="n"/>
      <c r="R867" s="89" t="n"/>
      <c r="S867" s="88" t="n"/>
      <c r="T867" s="88" t="n"/>
      <c r="U867" s="88" t="n"/>
      <c r="V867" s="89" t="n"/>
      <c r="W867" s="88" t="n"/>
      <c r="X867" s="89" t="n"/>
      <c r="Y867" s="88" t="n"/>
      <c r="Z867" s="89" t="n"/>
      <c r="AB867" s="30">
        <f>IF($B867="","",(COUNTIF(C867:E867,"?*")&lt;N(INDEX(Setup!$L$6:$L$23,10)))+(COUNTIF(G867:I867,"?*")&lt;N(INDEX(Setup!$L$6:$L$23,10)))+(COUNTIF(K867:M867,"?*")&lt;N(INDEX(Setup!$L$6:$L$23,10)))+(COUNTIF(O867:Q867,"?*")&lt;N(INDEX(Setup!$L$6:$L$23,10)))+(COUNTIF(S867:U867,"?*")&lt;N(INDEX(Setup!$L$6:$L$23,10)))+((W867="")*(INDEX(Setup!$M$6:$M$23,10)="Y"))+((Y867="")*(INDEX(Setup!$M$6:$M$23,10)="Y")))</f>
        <v/>
      </c>
      <c r="AC867" s="91">
        <f>IF($B867="","",IF(AB867=0,"✓ covered","⚠ "&amp;AB867&amp;IF(AB867=1," gap"," gaps")))</f>
        <v/>
      </c>
    </row>
    <row r="868" ht="17" customHeight="1">
      <c r="A868" t="n">
        <v>18</v>
      </c>
      <c r="B868" s="24">
        <f>IF(Setup!$K$16="","",Setup!$K$16)</f>
        <v/>
      </c>
      <c r="C868" s="88" t="n"/>
      <c r="D868" s="88" t="n"/>
      <c r="E868" s="88" t="n"/>
      <c r="F868" s="89" t="n"/>
      <c r="G868" s="88" t="n"/>
      <c r="H868" s="88" t="n"/>
      <c r="I868" s="88" t="n"/>
      <c r="J868" s="89" t="n"/>
      <c r="K868" s="88" t="n"/>
      <c r="L868" s="88" t="n"/>
      <c r="M868" s="88" t="n"/>
      <c r="N868" s="89" t="n"/>
      <c r="O868" s="88" t="n"/>
      <c r="P868" s="88" t="n"/>
      <c r="Q868" s="88" t="n"/>
      <c r="R868" s="89" t="n"/>
      <c r="S868" s="88" t="n"/>
      <c r="T868" s="88" t="n"/>
      <c r="U868" s="88" t="n"/>
      <c r="V868" s="89" t="n"/>
      <c r="W868" s="88" t="n"/>
      <c r="X868" s="89" t="n"/>
      <c r="Y868" s="88" t="n"/>
      <c r="Z868" s="89" t="n"/>
      <c r="AB868" s="25">
        <f>IF($B868="","",(COUNTIF(C868:E868,"?*")&lt;N(INDEX(Setup!$L$6:$L$23,11)))+(COUNTIF(G868:I868,"?*")&lt;N(INDEX(Setup!$L$6:$L$23,11)))+(COUNTIF(K868:M868,"?*")&lt;N(INDEX(Setup!$L$6:$L$23,11)))+(COUNTIF(O868:Q868,"?*")&lt;N(INDEX(Setup!$L$6:$L$23,11)))+(COUNTIF(S868:U868,"?*")&lt;N(INDEX(Setup!$L$6:$L$23,11)))+((W868="")*(INDEX(Setup!$M$6:$M$23,11)="Y"))+((Y868="")*(INDEX(Setup!$M$6:$M$23,11)="Y")))</f>
        <v/>
      </c>
      <c r="AC868" s="90">
        <f>IF($B868="","",IF(AB868=0,"✓ covered","⚠ "&amp;AB868&amp;IF(AB868=1," gap"," gaps")))</f>
        <v/>
      </c>
    </row>
    <row r="869" ht="17" customHeight="1">
      <c r="A869" t="n">
        <v>18</v>
      </c>
      <c r="B869" s="29">
        <f>IF(Setup!$K$17="","",Setup!$K$17)</f>
        <v/>
      </c>
      <c r="C869" s="88" t="n"/>
      <c r="D869" s="88" t="n"/>
      <c r="E869" s="88" t="n"/>
      <c r="F869" s="89" t="n"/>
      <c r="G869" s="88" t="n"/>
      <c r="H869" s="88" t="n"/>
      <c r="I869" s="88" t="n"/>
      <c r="J869" s="89" t="n"/>
      <c r="K869" s="88" t="n"/>
      <c r="L869" s="88" t="n"/>
      <c r="M869" s="88" t="n"/>
      <c r="N869" s="89" t="n"/>
      <c r="O869" s="88" t="n"/>
      <c r="P869" s="88" t="n"/>
      <c r="Q869" s="88" t="n"/>
      <c r="R869" s="89" t="n"/>
      <c r="S869" s="88" t="n"/>
      <c r="T869" s="88" t="n"/>
      <c r="U869" s="88" t="n"/>
      <c r="V869" s="89" t="n"/>
      <c r="W869" s="88" t="n"/>
      <c r="X869" s="89" t="n"/>
      <c r="Y869" s="88" t="n"/>
      <c r="Z869" s="89" t="n"/>
      <c r="AB869" s="30">
        <f>IF($B869="","",(COUNTIF(C869:E869,"?*")&lt;N(INDEX(Setup!$L$6:$L$23,12)))+(COUNTIF(G869:I869,"?*")&lt;N(INDEX(Setup!$L$6:$L$23,12)))+(COUNTIF(K869:M869,"?*")&lt;N(INDEX(Setup!$L$6:$L$23,12)))+(COUNTIF(O869:Q869,"?*")&lt;N(INDEX(Setup!$L$6:$L$23,12)))+(COUNTIF(S869:U869,"?*")&lt;N(INDEX(Setup!$L$6:$L$23,12)))+((W869="")*(INDEX(Setup!$M$6:$M$23,12)="Y"))+((Y869="")*(INDEX(Setup!$M$6:$M$23,12)="Y")))</f>
        <v/>
      </c>
      <c r="AC869" s="91">
        <f>IF($B869="","",IF(AB869=0,"✓ covered","⚠ "&amp;AB869&amp;IF(AB869=1," gap"," gaps")))</f>
        <v/>
      </c>
    </row>
    <row r="870" ht="17" customHeight="1">
      <c r="A870" t="n">
        <v>18</v>
      </c>
      <c r="B870" s="24">
        <f>IF(Setup!$K$18="","",Setup!$K$18)</f>
        <v/>
      </c>
      <c r="C870" s="88" t="n"/>
      <c r="D870" s="88" t="n"/>
      <c r="E870" s="88" t="n"/>
      <c r="F870" s="89" t="n"/>
      <c r="G870" s="88" t="n"/>
      <c r="H870" s="88" t="n"/>
      <c r="I870" s="88" t="n"/>
      <c r="J870" s="89" t="n"/>
      <c r="K870" s="88" t="n"/>
      <c r="L870" s="88" t="n"/>
      <c r="M870" s="88" t="n"/>
      <c r="N870" s="89" t="n"/>
      <c r="O870" s="88" t="n"/>
      <c r="P870" s="88" t="n"/>
      <c r="Q870" s="88" t="n"/>
      <c r="R870" s="89" t="n"/>
      <c r="S870" s="88" t="n"/>
      <c r="T870" s="88" t="n"/>
      <c r="U870" s="88" t="n"/>
      <c r="V870" s="89" t="n"/>
      <c r="W870" s="88" t="n"/>
      <c r="X870" s="89" t="n"/>
      <c r="Y870" s="88" t="n"/>
      <c r="Z870" s="89" t="n"/>
      <c r="AB870" s="25">
        <f>IF($B870="","",(COUNTIF(C870:E870,"?*")&lt;N(INDEX(Setup!$L$6:$L$23,13)))+(COUNTIF(G870:I870,"?*")&lt;N(INDEX(Setup!$L$6:$L$23,13)))+(COUNTIF(K870:M870,"?*")&lt;N(INDEX(Setup!$L$6:$L$23,13)))+(COUNTIF(O870:Q870,"?*")&lt;N(INDEX(Setup!$L$6:$L$23,13)))+(COUNTIF(S870:U870,"?*")&lt;N(INDEX(Setup!$L$6:$L$23,13)))+((W870="")*(INDEX(Setup!$M$6:$M$23,13)="Y"))+((Y870="")*(INDEX(Setup!$M$6:$M$23,13)="Y")))</f>
        <v/>
      </c>
      <c r="AC870" s="90">
        <f>IF($B870="","",IF(AB870=0,"✓ covered","⚠ "&amp;AB870&amp;IF(AB870=1," gap"," gaps")))</f>
        <v/>
      </c>
    </row>
    <row r="871" ht="17" customHeight="1">
      <c r="A871" t="n">
        <v>18</v>
      </c>
      <c r="B871" s="29">
        <f>IF(Setup!$K$19="","",Setup!$K$19)</f>
        <v/>
      </c>
      <c r="C871" s="88" t="n"/>
      <c r="D871" s="88" t="n"/>
      <c r="E871" s="88" t="n"/>
      <c r="F871" s="89" t="n"/>
      <c r="G871" s="88" t="n"/>
      <c r="H871" s="88" t="n"/>
      <c r="I871" s="88" t="n"/>
      <c r="J871" s="89" t="n"/>
      <c r="K871" s="88" t="n"/>
      <c r="L871" s="88" t="n"/>
      <c r="M871" s="88" t="n"/>
      <c r="N871" s="89" t="n"/>
      <c r="O871" s="88" t="n"/>
      <c r="P871" s="88" t="n"/>
      <c r="Q871" s="88" t="n"/>
      <c r="R871" s="89" t="n"/>
      <c r="S871" s="88" t="n"/>
      <c r="T871" s="88" t="n"/>
      <c r="U871" s="88" t="n"/>
      <c r="V871" s="89" t="n"/>
      <c r="W871" s="88" t="n"/>
      <c r="X871" s="89" t="n"/>
      <c r="Y871" s="88" t="n"/>
      <c r="Z871" s="89" t="n"/>
      <c r="AB871" s="30">
        <f>IF($B871="","",(COUNTIF(C871:E871,"?*")&lt;N(INDEX(Setup!$L$6:$L$23,14)))+(COUNTIF(G871:I871,"?*")&lt;N(INDEX(Setup!$L$6:$L$23,14)))+(COUNTIF(K871:M871,"?*")&lt;N(INDEX(Setup!$L$6:$L$23,14)))+(COUNTIF(O871:Q871,"?*")&lt;N(INDEX(Setup!$L$6:$L$23,14)))+(COUNTIF(S871:U871,"?*")&lt;N(INDEX(Setup!$L$6:$L$23,14)))+((W871="")*(INDEX(Setup!$M$6:$M$23,14)="Y"))+((Y871="")*(INDEX(Setup!$M$6:$M$23,14)="Y")))</f>
        <v/>
      </c>
      <c r="AC871" s="91">
        <f>IF($B871="","",IF(AB871=0,"✓ covered","⚠ "&amp;AB871&amp;IF(AB871=1," gap"," gaps")))</f>
        <v/>
      </c>
    </row>
    <row r="872" ht="17" customHeight="1">
      <c r="A872" t="n">
        <v>18</v>
      </c>
      <c r="B872" s="24">
        <f>IF(Setup!$K$20="","",Setup!$K$20)</f>
        <v/>
      </c>
      <c r="C872" s="88" t="n"/>
      <c r="D872" s="88" t="n"/>
      <c r="E872" s="88" t="n"/>
      <c r="F872" s="89" t="n"/>
      <c r="G872" s="88" t="n"/>
      <c r="H872" s="88" t="n"/>
      <c r="I872" s="88" t="n"/>
      <c r="J872" s="89" t="n"/>
      <c r="K872" s="88" t="n"/>
      <c r="L872" s="88" t="n"/>
      <c r="M872" s="88" t="n"/>
      <c r="N872" s="89" t="n"/>
      <c r="O872" s="88" t="n"/>
      <c r="P872" s="88" t="n"/>
      <c r="Q872" s="88" t="n"/>
      <c r="R872" s="89" t="n"/>
      <c r="S872" s="88" t="n"/>
      <c r="T872" s="88" t="n"/>
      <c r="U872" s="88" t="n"/>
      <c r="V872" s="89" t="n"/>
      <c r="W872" s="88" t="n"/>
      <c r="X872" s="89" t="n"/>
      <c r="Y872" s="88" t="n"/>
      <c r="Z872" s="89" t="n"/>
      <c r="AB872" s="25">
        <f>IF($B872="","",(COUNTIF(C872:E872,"?*")&lt;N(INDEX(Setup!$L$6:$L$23,15)))+(COUNTIF(G872:I872,"?*")&lt;N(INDEX(Setup!$L$6:$L$23,15)))+(COUNTIF(K872:M872,"?*")&lt;N(INDEX(Setup!$L$6:$L$23,15)))+(COUNTIF(O872:Q872,"?*")&lt;N(INDEX(Setup!$L$6:$L$23,15)))+(COUNTIF(S872:U872,"?*")&lt;N(INDEX(Setup!$L$6:$L$23,15)))+((W872="")*(INDEX(Setup!$M$6:$M$23,15)="Y"))+((Y872="")*(INDEX(Setup!$M$6:$M$23,15)="Y")))</f>
        <v/>
      </c>
      <c r="AC872" s="90">
        <f>IF($B872="","",IF(AB872=0,"✓ covered","⚠ "&amp;AB872&amp;IF(AB872=1," gap"," gaps")))</f>
        <v/>
      </c>
    </row>
    <row r="873" ht="17" customHeight="1">
      <c r="A873" t="n">
        <v>18</v>
      </c>
      <c r="B873" s="29">
        <f>IF(Setup!$K$21="","",Setup!$K$21)</f>
        <v/>
      </c>
      <c r="C873" s="88" t="n"/>
      <c r="D873" s="88" t="n"/>
      <c r="E873" s="88" t="n"/>
      <c r="F873" s="89" t="n"/>
      <c r="G873" s="88" t="n"/>
      <c r="H873" s="88" t="n"/>
      <c r="I873" s="88" t="n"/>
      <c r="J873" s="89" t="n"/>
      <c r="K873" s="88" t="n"/>
      <c r="L873" s="88" t="n"/>
      <c r="M873" s="88" t="n"/>
      <c r="N873" s="89" t="n"/>
      <c r="O873" s="88" t="n"/>
      <c r="P873" s="88" t="n"/>
      <c r="Q873" s="88" t="n"/>
      <c r="R873" s="89" t="n"/>
      <c r="S873" s="88" t="n"/>
      <c r="T873" s="88" t="n"/>
      <c r="U873" s="88" t="n"/>
      <c r="V873" s="89" t="n"/>
      <c r="W873" s="88" t="n"/>
      <c r="X873" s="89" t="n"/>
      <c r="Y873" s="88" t="n"/>
      <c r="Z873" s="89" t="n"/>
      <c r="AB873" s="30">
        <f>IF($B873="","",(COUNTIF(C873:E873,"?*")&lt;N(INDEX(Setup!$L$6:$L$23,16)))+(COUNTIF(G873:I873,"?*")&lt;N(INDEX(Setup!$L$6:$L$23,16)))+(COUNTIF(K873:M873,"?*")&lt;N(INDEX(Setup!$L$6:$L$23,16)))+(COUNTIF(O873:Q873,"?*")&lt;N(INDEX(Setup!$L$6:$L$23,16)))+(COUNTIF(S873:U873,"?*")&lt;N(INDEX(Setup!$L$6:$L$23,16)))+((W873="")*(INDEX(Setup!$M$6:$M$23,16)="Y"))+((Y873="")*(INDEX(Setup!$M$6:$M$23,16)="Y")))</f>
        <v/>
      </c>
      <c r="AC873" s="91">
        <f>IF($B873="","",IF(AB873=0,"✓ covered","⚠ "&amp;AB873&amp;IF(AB873=1," gap"," gaps")))</f>
        <v/>
      </c>
    </row>
    <row r="874" ht="17" customHeight="1">
      <c r="A874" t="n">
        <v>18</v>
      </c>
      <c r="B874" s="24">
        <f>IF(Setup!$K$22="","",Setup!$K$22)</f>
        <v/>
      </c>
      <c r="C874" s="88" t="n"/>
      <c r="D874" s="88" t="n"/>
      <c r="E874" s="88" t="n"/>
      <c r="F874" s="89" t="n"/>
      <c r="G874" s="88" t="n"/>
      <c r="H874" s="88" t="n"/>
      <c r="I874" s="88" t="n"/>
      <c r="J874" s="89" t="n"/>
      <c r="K874" s="88" t="n"/>
      <c r="L874" s="88" t="n"/>
      <c r="M874" s="88" t="n"/>
      <c r="N874" s="89" t="n"/>
      <c r="O874" s="88" t="n"/>
      <c r="P874" s="88" t="n"/>
      <c r="Q874" s="88" t="n"/>
      <c r="R874" s="89" t="n"/>
      <c r="S874" s="88" t="n"/>
      <c r="T874" s="88" t="n"/>
      <c r="U874" s="88" t="n"/>
      <c r="V874" s="89" t="n"/>
      <c r="W874" s="88" t="n"/>
      <c r="X874" s="89" t="n"/>
      <c r="Y874" s="88" t="n"/>
      <c r="Z874" s="89" t="n"/>
      <c r="AB874" s="25">
        <f>IF($B874="","",(COUNTIF(C874:E874,"?*")&lt;N(INDEX(Setup!$L$6:$L$23,17)))+(COUNTIF(G874:I874,"?*")&lt;N(INDEX(Setup!$L$6:$L$23,17)))+(COUNTIF(K874:M874,"?*")&lt;N(INDEX(Setup!$L$6:$L$23,17)))+(COUNTIF(O874:Q874,"?*")&lt;N(INDEX(Setup!$L$6:$L$23,17)))+(COUNTIF(S874:U874,"?*")&lt;N(INDEX(Setup!$L$6:$L$23,17)))+((W874="")*(INDEX(Setup!$M$6:$M$23,17)="Y"))+((Y874="")*(INDEX(Setup!$M$6:$M$23,17)="Y")))</f>
        <v/>
      </c>
      <c r="AC874" s="90">
        <f>IF($B874="","",IF(AB874=0,"✓ covered","⚠ "&amp;AB874&amp;IF(AB874=1," gap"," gaps")))</f>
        <v/>
      </c>
    </row>
    <row r="875" ht="17" customHeight="1">
      <c r="A875" t="n">
        <v>18</v>
      </c>
      <c r="B875" s="29">
        <f>IF(Setup!$K$23="","",Setup!$K$23)</f>
        <v/>
      </c>
      <c r="C875" s="88" t="n"/>
      <c r="D875" s="88" t="n"/>
      <c r="E875" s="88" t="n"/>
      <c r="F875" s="89" t="n"/>
      <c r="G875" s="88" t="n"/>
      <c r="H875" s="88" t="n"/>
      <c r="I875" s="88" t="n"/>
      <c r="J875" s="89" t="n"/>
      <c r="K875" s="88" t="n"/>
      <c r="L875" s="88" t="n"/>
      <c r="M875" s="88" t="n"/>
      <c r="N875" s="89" t="n"/>
      <c r="O875" s="88" t="n"/>
      <c r="P875" s="88" t="n"/>
      <c r="Q875" s="88" t="n"/>
      <c r="R875" s="89" t="n"/>
      <c r="S875" s="88" t="n"/>
      <c r="T875" s="88" t="n"/>
      <c r="U875" s="88" t="n"/>
      <c r="V875" s="89" t="n"/>
      <c r="W875" s="88" t="n"/>
      <c r="X875" s="89" t="n"/>
      <c r="Y875" s="88" t="n"/>
      <c r="Z875" s="89" t="n"/>
      <c r="AB875" s="30">
        <f>IF($B875="","",(COUNTIF(C875:E875,"?*")&lt;N(INDEX(Setup!$L$6:$L$23,18)))+(COUNTIF(G875:I875,"?*")&lt;N(INDEX(Setup!$L$6:$L$23,18)))+(COUNTIF(K875:M875,"?*")&lt;N(INDEX(Setup!$L$6:$L$23,18)))+(COUNTIF(O875:Q875,"?*")&lt;N(INDEX(Setup!$L$6:$L$23,18)))+(COUNTIF(S875:U875,"?*")&lt;N(INDEX(Setup!$L$6:$L$23,18)))+((W875="")*(INDEX(Setup!$M$6:$M$23,18)="Y"))+((Y875="")*(INDEX(Setup!$M$6:$M$23,18)="Y")))</f>
        <v/>
      </c>
      <c r="AC875" s="91">
        <f>IF($B875="","",IF(AB875=0,"✓ covered","⚠ "&amp;AB875&amp;IF(AB875=1," gap"," gaps")))</f>
        <v/>
      </c>
    </row>
    <row r="876" ht="18" customHeight="1">
      <c r="A876" t="n">
        <v>18</v>
      </c>
      <c r="B876" s="78" t="inlineStr">
        <is>
          <t>TEAM AVAILABILITY</t>
        </is>
      </c>
      <c r="C876" s="92" t="inlineStr">
        <is>
          <t>Mon</t>
        </is>
      </c>
      <c r="D876" s="93" t="n"/>
      <c r="E876" s="93" t="n"/>
      <c r="F876" s="94" t="n"/>
      <c r="G876" s="92" t="inlineStr">
        <is>
          <t>Tue</t>
        </is>
      </c>
      <c r="H876" s="93" t="n"/>
      <c r="I876" s="93" t="n"/>
      <c r="J876" s="94" t="n"/>
      <c r="K876" s="92" t="inlineStr">
        <is>
          <t>Wed</t>
        </is>
      </c>
      <c r="L876" s="93" t="n"/>
      <c r="M876" s="93" t="n"/>
      <c r="N876" s="94" t="n"/>
      <c r="O876" s="92" t="inlineStr">
        <is>
          <t>Thu</t>
        </is>
      </c>
      <c r="P876" s="93" t="n"/>
      <c r="Q876" s="93" t="n"/>
      <c r="R876" s="94" t="n"/>
      <c r="S876" s="92" t="inlineStr">
        <is>
          <t>Fri</t>
        </is>
      </c>
      <c r="T876" s="93" t="n"/>
      <c r="U876" s="93" t="n"/>
      <c r="V876" s="94" t="n"/>
      <c r="W876" s="95" t="inlineStr">
        <is>
          <t>Sat</t>
        </is>
      </c>
      <c r="X876" s="96" t="n"/>
      <c r="Y876" s="95" t="inlineStr">
        <is>
          <t>Sun</t>
        </is>
      </c>
      <c r="Z876" s="96" t="n"/>
      <c r="AB876" s="97" t="inlineStr">
        <is>
          <t>Days rostered</t>
        </is>
      </c>
      <c r="AC876" s="97" t="inlineStr">
        <is>
          <t>Conflicts</t>
        </is>
      </c>
    </row>
    <row r="877" ht="15" customHeight="1">
      <c r="A877" t="n">
        <v>18</v>
      </c>
      <c r="B877" s="35">
        <f>IF(Setup!$B$6="","",Setup!$B$6)</f>
        <v/>
      </c>
      <c r="C877" s="98" t="n"/>
      <c r="D877" s="99" t="n"/>
      <c r="E877" s="99" t="n"/>
      <c r="F877" s="100" t="n"/>
      <c r="G877" s="98" t="n"/>
      <c r="H877" s="99" t="n"/>
      <c r="I877" s="99" t="n"/>
      <c r="J877" s="100" t="n"/>
      <c r="K877" s="98" t="n"/>
      <c r="L877" s="99" t="n"/>
      <c r="M877" s="99" t="n"/>
      <c r="N877" s="100" t="n"/>
      <c r="O877" s="98" t="n"/>
      <c r="P877" s="99" t="n"/>
      <c r="Q877" s="99" t="n"/>
      <c r="R877" s="100" t="n"/>
      <c r="S877" s="98" t="n"/>
      <c r="T877" s="99" t="n"/>
      <c r="U877" s="99" t="n"/>
      <c r="V877" s="100" t="n"/>
      <c r="W877" s="98" t="n"/>
      <c r="X877" s="100" t="n"/>
      <c r="Y877" s="98" t="n"/>
      <c r="Z877" s="100" t="n"/>
      <c r="AB877" s="101">
        <f>IF($B877="","",(COUNTIF(C858:E875,$B877)+COUNTIF(C858:E875,$B877&amp;" ~*")&gt;0)+(COUNTIF(G858:I875,$B877)+COUNTIF(G858:I875,$B877&amp;" ~*")&gt;0)+(COUNTIF(K858:M875,$B877)+COUNTIF(K858:M875,$B877&amp;" ~*")&gt;0)+(COUNTIF(O858:Q875,$B877)+COUNTIF(O858:Q875,$B877&amp;" ~*")&gt;0)+(COUNTIF(S858:U875,$B877)+COUNTIF(S858:U875,$B877&amp;" ~*")&gt;0)+(COUNTIF(W858:W875,$B877)+COUNTIF(W858:W875,$B877&amp;" ~*")&gt;0)+(COUNTIF(Y858:Y875,$B877)+COUNTIF(Y858:Y875,$B877&amp;" ~*")&gt;0))</f>
        <v/>
      </c>
      <c r="AC877" s="36">
        <f>IF($B877="","",(IFERROR(INDEX(Setup!$G$33:$G$40,MATCH(C877,Setup!$B$33:$B$40,0)),0)=1)*(COUNTIF(C858:E875,$B877)+COUNTIF(C858:E875,$B877&amp;" ~*")&gt;0)+(IFERROR(INDEX(Setup!$G$33:$G$40,MATCH(G877,Setup!$B$33:$B$40,0)),0)=1)*(COUNTIF(G858:I875,$B877)+COUNTIF(G858:I875,$B877&amp;" ~*")&gt;0)+(IFERROR(INDEX(Setup!$G$33:$G$40,MATCH(K877,Setup!$B$33:$B$40,0)),0)=1)*(COUNTIF(K858:M875,$B877)+COUNTIF(K858:M875,$B877&amp;" ~*")&gt;0)+(IFERROR(INDEX(Setup!$G$33:$G$40,MATCH(O877,Setup!$B$33:$B$40,0)),0)=1)*(COUNTIF(O858:Q875,$B877)+COUNTIF(O858:Q875,$B877&amp;" ~*")&gt;0)+(IFERROR(INDEX(Setup!$G$33:$G$40,MATCH(S877,Setup!$B$33:$B$40,0)),0)=1)*(COUNTIF(S858:U875,$B877)+COUNTIF(S858:U875,$B877&amp;" ~*")&gt;0)+(IFERROR(INDEX(Setup!$G$33:$G$40,MATCH(W877,Setup!$B$33:$B$40,0)),0)=1)*(COUNTIF(W858:W875,$B877)+COUNTIF(W858:W875,$B877&amp;" ~*")&gt;0)+(IFERROR(INDEX(Setup!$G$33:$G$40,MATCH(Y877,Setup!$B$33:$B$40,0)),0)=1)*(COUNTIF(Y858:Y875,$B877)+COUNTIF(Y858:Y875,$B877&amp;" ~*")&gt;0))</f>
        <v/>
      </c>
    </row>
    <row r="878" ht="15" customHeight="1">
      <c r="A878" t="n">
        <v>18</v>
      </c>
      <c r="B878" s="37">
        <f>IF(Setup!$B$7="","",Setup!$B$7)</f>
        <v/>
      </c>
      <c r="C878" s="102" t="n"/>
      <c r="D878" s="103" t="n"/>
      <c r="E878" s="103" t="n"/>
      <c r="F878" s="104" t="n"/>
      <c r="G878" s="102" t="n"/>
      <c r="H878" s="103" t="n"/>
      <c r="I878" s="103" t="n"/>
      <c r="J878" s="104" t="n"/>
      <c r="K878" s="102" t="n"/>
      <c r="L878" s="103" t="n"/>
      <c r="M878" s="103" t="n"/>
      <c r="N878" s="104" t="n"/>
      <c r="O878" s="102" t="n"/>
      <c r="P878" s="103" t="n"/>
      <c r="Q878" s="103" t="n"/>
      <c r="R878" s="104" t="n"/>
      <c r="S878" s="102" t="n"/>
      <c r="T878" s="103" t="n"/>
      <c r="U878" s="103" t="n"/>
      <c r="V878" s="104" t="n"/>
      <c r="W878" s="102" t="n"/>
      <c r="X878" s="104" t="n"/>
      <c r="Y878" s="102" t="n"/>
      <c r="Z878" s="104" t="n"/>
      <c r="AB878" s="105">
        <f>IF($B878="","",(COUNTIF(C858:E875,$B878)+COUNTIF(C858:E875,$B878&amp;" ~*")&gt;0)+(COUNTIF(G858:I875,$B878)+COUNTIF(G858:I875,$B878&amp;" ~*")&gt;0)+(COUNTIF(K858:M875,$B878)+COUNTIF(K858:M875,$B878&amp;" ~*")&gt;0)+(COUNTIF(O858:Q875,$B878)+COUNTIF(O858:Q875,$B878&amp;" ~*")&gt;0)+(COUNTIF(S858:U875,$B878)+COUNTIF(S858:U875,$B878&amp;" ~*")&gt;0)+(COUNTIF(W858:W875,$B878)+COUNTIF(W858:W875,$B878&amp;" ~*")&gt;0)+(COUNTIF(Y858:Y875,$B878)+COUNTIF(Y858:Y875,$B878&amp;" ~*")&gt;0))</f>
        <v/>
      </c>
      <c r="AC878" s="38">
        <f>IF($B878="","",(IFERROR(INDEX(Setup!$G$33:$G$40,MATCH(C878,Setup!$B$33:$B$40,0)),0)=1)*(COUNTIF(C858:E875,$B878)+COUNTIF(C858:E875,$B878&amp;" ~*")&gt;0)+(IFERROR(INDEX(Setup!$G$33:$G$40,MATCH(G878,Setup!$B$33:$B$40,0)),0)=1)*(COUNTIF(G858:I875,$B878)+COUNTIF(G858:I875,$B878&amp;" ~*")&gt;0)+(IFERROR(INDEX(Setup!$G$33:$G$40,MATCH(K878,Setup!$B$33:$B$40,0)),0)=1)*(COUNTIF(K858:M875,$B878)+COUNTIF(K858:M875,$B878&amp;" ~*")&gt;0)+(IFERROR(INDEX(Setup!$G$33:$G$40,MATCH(O878,Setup!$B$33:$B$40,0)),0)=1)*(COUNTIF(O858:Q875,$B878)+COUNTIF(O858:Q875,$B878&amp;" ~*")&gt;0)+(IFERROR(INDEX(Setup!$G$33:$G$40,MATCH(S878,Setup!$B$33:$B$40,0)),0)=1)*(COUNTIF(S858:U875,$B878)+COUNTIF(S858:U875,$B878&amp;" ~*")&gt;0)+(IFERROR(INDEX(Setup!$G$33:$G$40,MATCH(W878,Setup!$B$33:$B$40,0)),0)=1)*(COUNTIF(W858:W875,$B878)+COUNTIF(W858:W875,$B878&amp;" ~*")&gt;0)+(IFERROR(INDEX(Setup!$G$33:$G$40,MATCH(Y878,Setup!$B$33:$B$40,0)),0)=1)*(COUNTIF(Y858:Y875,$B878)+COUNTIF(Y858:Y875,$B878&amp;" ~*")&gt;0))</f>
        <v/>
      </c>
    </row>
    <row r="879" ht="15" customHeight="1">
      <c r="A879" t="n">
        <v>18</v>
      </c>
      <c r="B879" s="35">
        <f>IF(Setup!$B$8="","",Setup!$B$8)</f>
        <v/>
      </c>
      <c r="C879" s="98" t="n"/>
      <c r="D879" s="99" t="n"/>
      <c r="E879" s="99" t="n"/>
      <c r="F879" s="100" t="n"/>
      <c r="G879" s="98" t="n"/>
      <c r="H879" s="99" t="n"/>
      <c r="I879" s="99" t="n"/>
      <c r="J879" s="100" t="n"/>
      <c r="K879" s="98" t="n"/>
      <c r="L879" s="99" t="n"/>
      <c r="M879" s="99" t="n"/>
      <c r="N879" s="100" t="n"/>
      <c r="O879" s="98" t="n"/>
      <c r="P879" s="99" t="n"/>
      <c r="Q879" s="99" t="n"/>
      <c r="R879" s="100" t="n"/>
      <c r="S879" s="98" t="n"/>
      <c r="T879" s="99" t="n"/>
      <c r="U879" s="99" t="n"/>
      <c r="V879" s="100" t="n"/>
      <c r="W879" s="98" t="n"/>
      <c r="X879" s="100" t="n"/>
      <c r="Y879" s="98" t="n"/>
      <c r="Z879" s="100" t="n"/>
      <c r="AB879" s="101">
        <f>IF($B879="","",(COUNTIF(C858:E875,$B879)+COUNTIF(C858:E875,$B879&amp;" ~*")&gt;0)+(COUNTIF(G858:I875,$B879)+COUNTIF(G858:I875,$B879&amp;" ~*")&gt;0)+(COUNTIF(K858:M875,$B879)+COUNTIF(K858:M875,$B879&amp;" ~*")&gt;0)+(COUNTIF(O858:Q875,$B879)+COUNTIF(O858:Q875,$B879&amp;" ~*")&gt;0)+(COUNTIF(S858:U875,$B879)+COUNTIF(S858:U875,$B879&amp;" ~*")&gt;0)+(COUNTIF(W858:W875,$B879)+COUNTIF(W858:W875,$B879&amp;" ~*")&gt;0)+(COUNTIF(Y858:Y875,$B879)+COUNTIF(Y858:Y875,$B879&amp;" ~*")&gt;0))</f>
        <v/>
      </c>
      <c r="AC879" s="36">
        <f>IF($B879="","",(IFERROR(INDEX(Setup!$G$33:$G$40,MATCH(C879,Setup!$B$33:$B$40,0)),0)=1)*(COUNTIF(C858:E875,$B879)+COUNTIF(C858:E875,$B879&amp;" ~*")&gt;0)+(IFERROR(INDEX(Setup!$G$33:$G$40,MATCH(G879,Setup!$B$33:$B$40,0)),0)=1)*(COUNTIF(G858:I875,$B879)+COUNTIF(G858:I875,$B879&amp;" ~*")&gt;0)+(IFERROR(INDEX(Setup!$G$33:$G$40,MATCH(K879,Setup!$B$33:$B$40,0)),0)=1)*(COUNTIF(K858:M875,$B879)+COUNTIF(K858:M875,$B879&amp;" ~*")&gt;0)+(IFERROR(INDEX(Setup!$G$33:$G$40,MATCH(O879,Setup!$B$33:$B$40,0)),0)=1)*(COUNTIF(O858:Q875,$B879)+COUNTIF(O858:Q875,$B879&amp;" ~*")&gt;0)+(IFERROR(INDEX(Setup!$G$33:$G$40,MATCH(S879,Setup!$B$33:$B$40,0)),0)=1)*(COUNTIF(S858:U875,$B879)+COUNTIF(S858:U875,$B879&amp;" ~*")&gt;0)+(IFERROR(INDEX(Setup!$G$33:$G$40,MATCH(W879,Setup!$B$33:$B$40,0)),0)=1)*(COUNTIF(W858:W875,$B879)+COUNTIF(W858:W875,$B879&amp;" ~*")&gt;0)+(IFERROR(INDEX(Setup!$G$33:$G$40,MATCH(Y879,Setup!$B$33:$B$40,0)),0)=1)*(COUNTIF(Y858:Y875,$B879)+COUNTIF(Y858:Y875,$B879&amp;" ~*")&gt;0))</f>
        <v/>
      </c>
    </row>
    <row r="880" ht="15" customHeight="1">
      <c r="A880" t="n">
        <v>18</v>
      </c>
      <c r="B880" s="37">
        <f>IF(Setup!$B$9="","",Setup!$B$9)</f>
        <v/>
      </c>
      <c r="C880" s="102" t="n"/>
      <c r="D880" s="103" t="n"/>
      <c r="E880" s="103" t="n"/>
      <c r="F880" s="104" t="n"/>
      <c r="G880" s="102" t="n"/>
      <c r="H880" s="103" t="n"/>
      <c r="I880" s="103" t="n"/>
      <c r="J880" s="104" t="n"/>
      <c r="K880" s="102" t="n"/>
      <c r="L880" s="103" t="n"/>
      <c r="M880" s="103" t="n"/>
      <c r="N880" s="104" t="n"/>
      <c r="O880" s="102" t="n"/>
      <c r="P880" s="103" t="n"/>
      <c r="Q880" s="103" t="n"/>
      <c r="R880" s="104" t="n"/>
      <c r="S880" s="102" t="n"/>
      <c r="T880" s="103" t="n"/>
      <c r="U880" s="103" t="n"/>
      <c r="V880" s="104" t="n"/>
      <c r="W880" s="102" t="n"/>
      <c r="X880" s="104" t="n"/>
      <c r="Y880" s="102" t="n"/>
      <c r="Z880" s="104" t="n"/>
      <c r="AB880" s="105">
        <f>IF($B880="","",(COUNTIF(C858:E875,$B880)+COUNTIF(C858:E875,$B880&amp;" ~*")&gt;0)+(COUNTIF(G858:I875,$B880)+COUNTIF(G858:I875,$B880&amp;" ~*")&gt;0)+(COUNTIF(K858:M875,$B880)+COUNTIF(K858:M875,$B880&amp;" ~*")&gt;0)+(COUNTIF(O858:Q875,$B880)+COUNTIF(O858:Q875,$B880&amp;" ~*")&gt;0)+(COUNTIF(S858:U875,$B880)+COUNTIF(S858:U875,$B880&amp;" ~*")&gt;0)+(COUNTIF(W858:W875,$B880)+COUNTIF(W858:W875,$B880&amp;" ~*")&gt;0)+(COUNTIF(Y858:Y875,$B880)+COUNTIF(Y858:Y875,$B880&amp;" ~*")&gt;0))</f>
        <v/>
      </c>
      <c r="AC880" s="38">
        <f>IF($B880="","",(IFERROR(INDEX(Setup!$G$33:$G$40,MATCH(C880,Setup!$B$33:$B$40,0)),0)=1)*(COUNTIF(C858:E875,$B880)+COUNTIF(C858:E875,$B880&amp;" ~*")&gt;0)+(IFERROR(INDEX(Setup!$G$33:$G$40,MATCH(G880,Setup!$B$33:$B$40,0)),0)=1)*(COUNTIF(G858:I875,$B880)+COUNTIF(G858:I875,$B880&amp;" ~*")&gt;0)+(IFERROR(INDEX(Setup!$G$33:$G$40,MATCH(K880,Setup!$B$33:$B$40,0)),0)=1)*(COUNTIF(K858:M875,$B880)+COUNTIF(K858:M875,$B880&amp;" ~*")&gt;0)+(IFERROR(INDEX(Setup!$G$33:$G$40,MATCH(O880,Setup!$B$33:$B$40,0)),0)=1)*(COUNTIF(O858:Q875,$B880)+COUNTIF(O858:Q875,$B880&amp;" ~*")&gt;0)+(IFERROR(INDEX(Setup!$G$33:$G$40,MATCH(S880,Setup!$B$33:$B$40,0)),0)=1)*(COUNTIF(S858:U875,$B880)+COUNTIF(S858:U875,$B880&amp;" ~*")&gt;0)+(IFERROR(INDEX(Setup!$G$33:$G$40,MATCH(W880,Setup!$B$33:$B$40,0)),0)=1)*(COUNTIF(W858:W875,$B880)+COUNTIF(W858:W875,$B880&amp;" ~*")&gt;0)+(IFERROR(INDEX(Setup!$G$33:$G$40,MATCH(Y880,Setup!$B$33:$B$40,0)),0)=1)*(COUNTIF(Y858:Y875,$B880)+COUNTIF(Y858:Y875,$B880&amp;" ~*")&gt;0))</f>
        <v/>
      </c>
    </row>
    <row r="881" ht="15" customHeight="1">
      <c r="A881" t="n">
        <v>18</v>
      </c>
      <c r="B881" s="35">
        <f>IF(Setup!$B$10="","",Setup!$B$10)</f>
        <v/>
      </c>
      <c r="C881" s="98" t="n"/>
      <c r="D881" s="99" t="n"/>
      <c r="E881" s="99" t="n"/>
      <c r="F881" s="100" t="n"/>
      <c r="G881" s="98" t="n"/>
      <c r="H881" s="99" t="n"/>
      <c r="I881" s="99" t="n"/>
      <c r="J881" s="100" t="n"/>
      <c r="K881" s="98" t="n"/>
      <c r="L881" s="99" t="n"/>
      <c r="M881" s="99" t="n"/>
      <c r="N881" s="100" t="n"/>
      <c r="O881" s="98" t="n"/>
      <c r="P881" s="99" t="n"/>
      <c r="Q881" s="99" t="n"/>
      <c r="R881" s="100" t="n"/>
      <c r="S881" s="98" t="n"/>
      <c r="T881" s="99" t="n"/>
      <c r="U881" s="99" t="n"/>
      <c r="V881" s="100" t="n"/>
      <c r="W881" s="98" t="n"/>
      <c r="X881" s="100" t="n"/>
      <c r="Y881" s="98" t="n"/>
      <c r="Z881" s="100" t="n"/>
      <c r="AB881" s="101">
        <f>IF($B881="","",(COUNTIF(C858:E875,$B881)+COUNTIF(C858:E875,$B881&amp;" ~*")&gt;0)+(COUNTIF(G858:I875,$B881)+COUNTIF(G858:I875,$B881&amp;" ~*")&gt;0)+(COUNTIF(K858:M875,$B881)+COUNTIF(K858:M875,$B881&amp;" ~*")&gt;0)+(COUNTIF(O858:Q875,$B881)+COUNTIF(O858:Q875,$B881&amp;" ~*")&gt;0)+(COUNTIF(S858:U875,$B881)+COUNTIF(S858:U875,$B881&amp;" ~*")&gt;0)+(COUNTIF(W858:W875,$B881)+COUNTIF(W858:W875,$B881&amp;" ~*")&gt;0)+(COUNTIF(Y858:Y875,$B881)+COUNTIF(Y858:Y875,$B881&amp;" ~*")&gt;0))</f>
        <v/>
      </c>
      <c r="AC881" s="36">
        <f>IF($B881="","",(IFERROR(INDEX(Setup!$G$33:$G$40,MATCH(C881,Setup!$B$33:$B$40,0)),0)=1)*(COUNTIF(C858:E875,$B881)+COUNTIF(C858:E875,$B881&amp;" ~*")&gt;0)+(IFERROR(INDEX(Setup!$G$33:$G$40,MATCH(G881,Setup!$B$33:$B$40,0)),0)=1)*(COUNTIF(G858:I875,$B881)+COUNTIF(G858:I875,$B881&amp;" ~*")&gt;0)+(IFERROR(INDEX(Setup!$G$33:$G$40,MATCH(K881,Setup!$B$33:$B$40,0)),0)=1)*(COUNTIF(K858:M875,$B881)+COUNTIF(K858:M875,$B881&amp;" ~*")&gt;0)+(IFERROR(INDEX(Setup!$G$33:$G$40,MATCH(O881,Setup!$B$33:$B$40,0)),0)=1)*(COUNTIF(O858:Q875,$B881)+COUNTIF(O858:Q875,$B881&amp;" ~*")&gt;0)+(IFERROR(INDEX(Setup!$G$33:$G$40,MATCH(S881,Setup!$B$33:$B$40,0)),0)=1)*(COUNTIF(S858:U875,$B881)+COUNTIF(S858:U875,$B881&amp;" ~*")&gt;0)+(IFERROR(INDEX(Setup!$G$33:$G$40,MATCH(W881,Setup!$B$33:$B$40,0)),0)=1)*(COUNTIF(W858:W875,$B881)+COUNTIF(W858:W875,$B881&amp;" ~*")&gt;0)+(IFERROR(INDEX(Setup!$G$33:$G$40,MATCH(Y881,Setup!$B$33:$B$40,0)),0)=1)*(COUNTIF(Y858:Y875,$B881)+COUNTIF(Y858:Y875,$B881&amp;" ~*")&gt;0))</f>
        <v/>
      </c>
    </row>
    <row r="882" ht="15" customHeight="1">
      <c r="A882" t="n">
        <v>18</v>
      </c>
      <c r="B882" s="37">
        <f>IF(Setup!$B$11="","",Setup!$B$11)</f>
        <v/>
      </c>
      <c r="C882" s="102" t="n"/>
      <c r="D882" s="103" t="n"/>
      <c r="E882" s="103" t="n"/>
      <c r="F882" s="104" t="n"/>
      <c r="G882" s="102" t="n"/>
      <c r="H882" s="103" t="n"/>
      <c r="I882" s="103" t="n"/>
      <c r="J882" s="104" t="n"/>
      <c r="K882" s="102" t="n"/>
      <c r="L882" s="103" t="n"/>
      <c r="M882" s="103" t="n"/>
      <c r="N882" s="104" t="n"/>
      <c r="O882" s="102" t="n"/>
      <c r="P882" s="103" t="n"/>
      <c r="Q882" s="103" t="n"/>
      <c r="R882" s="104" t="n"/>
      <c r="S882" s="102" t="n"/>
      <c r="T882" s="103" t="n"/>
      <c r="U882" s="103" t="n"/>
      <c r="V882" s="104" t="n"/>
      <c r="W882" s="102" t="n"/>
      <c r="X882" s="104" t="n"/>
      <c r="Y882" s="102" t="n"/>
      <c r="Z882" s="104" t="n"/>
      <c r="AB882" s="105">
        <f>IF($B882="","",(COUNTIF(C858:E875,$B882)+COUNTIF(C858:E875,$B882&amp;" ~*")&gt;0)+(COUNTIF(G858:I875,$B882)+COUNTIF(G858:I875,$B882&amp;" ~*")&gt;0)+(COUNTIF(K858:M875,$B882)+COUNTIF(K858:M875,$B882&amp;" ~*")&gt;0)+(COUNTIF(O858:Q875,$B882)+COUNTIF(O858:Q875,$B882&amp;" ~*")&gt;0)+(COUNTIF(S858:U875,$B882)+COUNTIF(S858:U875,$B882&amp;" ~*")&gt;0)+(COUNTIF(W858:W875,$B882)+COUNTIF(W858:W875,$B882&amp;" ~*")&gt;0)+(COUNTIF(Y858:Y875,$B882)+COUNTIF(Y858:Y875,$B882&amp;" ~*")&gt;0))</f>
        <v/>
      </c>
      <c r="AC882" s="38">
        <f>IF($B882="","",(IFERROR(INDEX(Setup!$G$33:$G$40,MATCH(C882,Setup!$B$33:$B$40,0)),0)=1)*(COUNTIF(C858:E875,$B882)+COUNTIF(C858:E875,$B882&amp;" ~*")&gt;0)+(IFERROR(INDEX(Setup!$G$33:$G$40,MATCH(G882,Setup!$B$33:$B$40,0)),0)=1)*(COUNTIF(G858:I875,$B882)+COUNTIF(G858:I875,$B882&amp;" ~*")&gt;0)+(IFERROR(INDEX(Setup!$G$33:$G$40,MATCH(K882,Setup!$B$33:$B$40,0)),0)=1)*(COUNTIF(K858:M875,$B882)+COUNTIF(K858:M875,$B882&amp;" ~*")&gt;0)+(IFERROR(INDEX(Setup!$G$33:$G$40,MATCH(O882,Setup!$B$33:$B$40,0)),0)=1)*(COUNTIF(O858:Q875,$B882)+COUNTIF(O858:Q875,$B882&amp;" ~*")&gt;0)+(IFERROR(INDEX(Setup!$G$33:$G$40,MATCH(S882,Setup!$B$33:$B$40,0)),0)=1)*(COUNTIF(S858:U875,$B882)+COUNTIF(S858:U875,$B882&amp;" ~*")&gt;0)+(IFERROR(INDEX(Setup!$G$33:$G$40,MATCH(W882,Setup!$B$33:$B$40,0)),0)=1)*(COUNTIF(W858:W875,$B882)+COUNTIF(W858:W875,$B882&amp;" ~*")&gt;0)+(IFERROR(INDEX(Setup!$G$33:$G$40,MATCH(Y882,Setup!$B$33:$B$40,0)),0)=1)*(COUNTIF(Y858:Y875,$B882)+COUNTIF(Y858:Y875,$B882&amp;" ~*")&gt;0))</f>
        <v/>
      </c>
    </row>
    <row r="883" ht="15" customHeight="1">
      <c r="A883" t="n">
        <v>18</v>
      </c>
      <c r="B883" s="35">
        <f>IF(Setup!$B$12="","",Setup!$B$12)</f>
        <v/>
      </c>
      <c r="C883" s="98" t="n"/>
      <c r="D883" s="99" t="n"/>
      <c r="E883" s="99" t="n"/>
      <c r="F883" s="100" t="n"/>
      <c r="G883" s="98" t="n"/>
      <c r="H883" s="99" t="n"/>
      <c r="I883" s="99" t="n"/>
      <c r="J883" s="100" t="n"/>
      <c r="K883" s="98" t="n"/>
      <c r="L883" s="99" t="n"/>
      <c r="M883" s="99" t="n"/>
      <c r="N883" s="100" t="n"/>
      <c r="O883" s="98" t="n"/>
      <c r="P883" s="99" t="n"/>
      <c r="Q883" s="99" t="n"/>
      <c r="R883" s="100" t="n"/>
      <c r="S883" s="98" t="n"/>
      <c r="T883" s="99" t="n"/>
      <c r="U883" s="99" t="n"/>
      <c r="V883" s="100" t="n"/>
      <c r="W883" s="98" t="n"/>
      <c r="X883" s="100" t="n"/>
      <c r="Y883" s="98" t="n"/>
      <c r="Z883" s="100" t="n"/>
      <c r="AB883" s="101">
        <f>IF($B883="","",(COUNTIF(C858:E875,$B883)+COUNTIF(C858:E875,$B883&amp;" ~*")&gt;0)+(COUNTIF(G858:I875,$B883)+COUNTIF(G858:I875,$B883&amp;" ~*")&gt;0)+(COUNTIF(K858:M875,$B883)+COUNTIF(K858:M875,$B883&amp;" ~*")&gt;0)+(COUNTIF(O858:Q875,$B883)+COUNTIF(O858:Q875,$B883&amp;" ~*")&gt;0)+(COUNTIF(S858:U875,$B883)+COUNTIF(S858:U875,$B883&amp;" ~*")&gt;0)+(COUNTIF(W858:W875,$B883)+COUNTIF(W858:W875,$B883&amp;" ~*")&gt;0)+(COUNTIF(Y858:Y875,$B883)+COUNTIF(Y858:Y875,$B883&amp;" ~*")&gt;0))</f>
        <v/>
      </c>
      <c r="AC883" s="36">
        <f>IF($B883="","",(IFERROR(INDEX(Setup!$G$33:$G$40,MATCH(C883,Setup!$B$33:$B$40,0)),0)=1)*(COUNTIF(C858:E875,$B883)+COUNTIF(C858:E875,$B883&amp;" ~*")&gt;0)+(IFERROR(INDEX(Setup!$G$33:$G$40,MATCH(G883,Setup!$B$33:$B$40,0)),0)=1)*(COUNTIF(G858:I875,$B883)+COUNTIF(G858:I875,$B883&amp;" ~*")&gt;0)+(IFERROR(INDEX(Setup!$G$33:$G$40,MATCH(K883,Setup!$B$33:$B$40,0)),0)=1)*(COUNTIF(K858:M875,$B883)+COUNTIF(K858:M875,$B883&amp;" ~*")&gt;0)+(IFERROR(INDEX(Setup!$G$33:$G$40,MATCH(O883,Setup!$B$33:$B$40,0)),0)=1)*(COUNTIF(O858:Q875,$B883)+COUNTIF(O858:Q875,$B883&amp;" ~*")&gt;0)+(IFERROR(INDEX(Setup!$G$33:$G$40,MATCH(S883,Setup!$B$33:$B$40,0)),0)=1)*(COUNTIF(S858:U875,$B883)+COUNTIF(S858:U875,$B883&amp;" ~*")&gt;0)+(IFERROR(INDEX(Setup!$G$33:$G$40,MATCH(W883,Setup!$B$33:$B$40,0)),0)=1)*(COUNTIF(W858:W875,$B883)+COUNTIF(W858:W875,$B883&amp;" ~*")&gt;0)+(IFERROR(INDEX(Setup!$G$33:$G$40,MATCH(Y883,Setup!$B$33:$B$40,0)),0)=1)*(COUNTIF(Y858:Y875,$B883)+COUNTIF(Y858:Y875,$B883&amp;" ~*")&gt;0))</f>
        <v/>
      </c>
    </row>
    <row r="884" ht="15" customHeight="1">
      <c r="A884" t="n">
        <v>18</v>
      </c>
      <c r="B884" s="37">
        <f>IF(Setup!$B$13="","",Setup!$B$13)</f>
        <v/>
      </c>
      <c r="C884" s="102" t="n"/>
      <c r="D884" s="103" t="n"/>
      <c r="E884" s="103" t="n"/>
      <c r="F884" s="104" t="n"/>
      <c r="G884" s="102" t="n"/>
      <c r="H884" s="103" t="n"/>
      <c r="I884" s="103" t="n"/>
      <c r="J884" s="104" t="n"/>
      <c r="K884" s="102" t="n"/>
      <c r="L884" s="103" t="n"/>
      <c r="M884" s="103" t="n"/>
      <c r="N884" s="104" t="n"/>
      <c r="O884" s="102" t="n"/>
      <c r="P884" s="103" t="n"/>
      <c r="Q884" s="103" t="n"/>
      <c r="R884" s="104" t="n"/>
      <c r="S884" s="102" t="n"/>
      <c r="T884" s="103" t="n"/>
      <c r="U884" s="103" t="n"/>
      <c r="V884" s="104" t="n"/>
      <c r="W884" s="102" t="n"/>
      <c r="X884" s="104" t="n"/>
      <c r="Y884" s="102" t="n"/>
      <c r="Z884" s="104" t="n"/>
      <c r="AB884" s="105">
        <f>IF($B884="","",(COUNTIF(C858:E875,$B884)+COUNTIF(C858:E875,$B884&amp;" ~*")&gt;0)+(COUNTIF(G858:I875,$B884)+COUNTIF(G858:I875,$B884&amp;" ~*")&gt;0)+(COUNTIF(K858:M875,$B884)+COUNTIF(K858:M875,$B884&amp;" ~*")&gt;0)+(COUNTIF(O858:Q875,$B884)+COUNTIF(O858:Q875,$B884&amp;" ~*")&gt;0)+(COUNTIF(S858:U875,$B884)+COUNTIF(S858:U875,$B884&amp;" ~*")&gt;0)+(COUNTIF(W858:W875,$B884)+COUNTIF(W858:W875,$B884&amp;" ~*")&gt;0)+(COUNTIF(Y858:Y875,$B884)+COUNTIF(Y858:Y875,$B884&amp;" ~*")&gt;0))</f>
        <v/>
      </c>
      <c r="AC884" s="38">
        <f>IF($B884="","",(IFERROR(INDEX(Setup!$G$33:$G$40,MATCH(C884,Setup!$B$33:$B$40,0)),0)=1)*(COUNTIF(C858:E875,$B884)+COUNTIF(C858:E875,$B884&amp;" ~*")&gt;0)+(IFERROR(INDEX(Setup!$G$33:$G$40,MATCH(G884,Setup!$B$33:$B$40,0)),0)=1)*(COUNTIF(G858:I875,$B884)+COUNTIF(G858:I875,$B884&amp;" ~*")&gt;0)+(IFERROR(INDEX(Setup!$G$33:$G$40,MATCH(K884,Setup!$B$33:$B$40,0)),0)=1)*(COUNTIF(K858:M875,$B884)+COUNTIF(K858:M875,$B884&amp;" ~*")&gt;0)+(IFERROR(INDEX(Setup!$G$33:$G$40,MATCH(O884,Setup!$B$33:$B$40,0)),0)=1)*(COUNTIF(O858:Q875,$B884)+COUNTIF(O858:Q875,$B884&amp;" ~*")&gt;0)+(IFERROR(INDEX(Setup!$G$33:$G$40,MATCH(S884,Setup!$B$33:$B$40,0)),0)=1)*(COUNTIF(S858:U875,$B884)+COUNTIF(S858:U875,$B884&amp;" ~*")&gt;0)+(IFERROR(INDEX(Setup!$G$33:$G$40,MATCH(W884,Setup!$B$33:$B$40,0)),0)=1)*(COUNTIF(W858:W875,$B884)+COUNTIF(W858:W875,$B884&amp;" ~*")&gt;0)+(IFERROR(INDEX(Setup!$G$33:$G$40,MATCH(Y884,Setup!$B$33:$B$40,0)),0)=1)*(COUNTIF(Y858:Y875,$B884)+COUNTIF(Y858:Y875,$B884&amp;" ~*")&gt;0))</f>
        <v/>
      </c>
    </row>
    <row r="885" ht="15" customHeight="1">
      <c r="A885" t="n">
        <v>18</v>
      </c>
      <c r="B885" s="35">
        <f>IF(Setup!$B$14="","",Setup!$B$14)</f>
        <v/>
      </c>
      <c r="C885" s="98" t="n"/>
      <c r="D885" s="99" t="n"/>
      <c r="E885" s="99" t="n"/>
      <c r="F885" s="100" t="n"/>
      <c r="G885" s="98" t="n"/>
      <c r="H885" s="99" t="n"/>
      <c r="I885" s="99" t="n"/>
      <c r="J885" s="100" t="n"/>
      <c r="K885" s="98" t="n"/>
      <c r="L885" s="99" t="n"/>
      <c r="M885" s="99" t="n"/>
      <c r="N885" s="100" t="n"/>
      <c r="O885" s="98" t="n"/>
      <c r="P885" s="99" t="n"/>
      <c r="Q885" s="99" t="n"/>
      <c r="R885" s="100" t="n"/>
      <c r="S885" s="98" t="n"/>
      <c r="T885" s="99" t="n"/>
      <c r="U885" s="99" t="n"/>
      <c r="V885" s="100" t="n"/>
      <c r="W885" s="98" t="n"/>
      <c r="X885" s="100" t="n"/>
      <c r="Y885" s="98" t="n"/>
      <c r="Z885" s="100" t="n"/>
      <c r="AB885" s="101">
        <f>IF($B885="","",(COUNTIF(C858:E875,$B885)+COUNTIF(C858:E875,$B885&amp;" ~*")&gt;0)+(COUNTIF(G858:I875,$B885)+COUNTIF(G858:I875,$B885&amp;" ~*")&gt;0)+(COUNTIF(K858:M875,$B885)+COUNTIF(K858:M875,$B885&amp;" ~*")&gt;0)+(COUNTIF(O858:Q875,$B885)+COUNTIF(O858:Q875,$B885&amp;" ~*")&gt;0)+(COUNTIF(S858:U875,$B885)+COUNTIF(S858:U875,$B885&amp;" ~*")&gt;0)+(COUNTIF(W858:W875,$B885)+COUNTIF(W858:W875,$B885&amp;" ~*")&gt;0)+(COUNTIF(Y858:Y875,$B885)+COUNTIF(Y858:Y875,$B885&amp;" ~*")&gt;0))</f>
        <v/>
      </c>
      <c r="AC885" s="36">
        <f>IF($B885="","",(IFERROR(INDEX(Setup!$G$33:$G$40,MATCH(C885,Setup!$B$33:$B$40,0)),0)=1)*(COUNTIF(C858:E875,$B885)+COUNTIF(C858:E875,$B885&amp;" ~*")&gt;0)+(IFERROR(INDEX(Setup!$G$33:$G$40,MATCH(G885,Setup!$B$33:$B$40,0)),0)=1)*(COUNTIF(G858:I875,$B885)+COUNTIF(G858:I875,$B885&amp;" ~*")&gt;0)+(IFERROR(INDEX(Setup!$G$33:$G$40,MATCH(K885,Setup!$B$33:$B$40,0)),0)=1)*(COUNTIF(K858:M875,$B885)+COUNTIF(K858:M875,$B885&amp;" ~*")&gt;0)+(IFERROR(INDEX(Setup!$G$33:$G$40,MATCH(O885,Setup!$B$33:$B$40,0)),0)=1)*(COUNTIF(O858:Q875,$B885)+COUNTIF(O858:Q875,$B885&amp;" ~*")&gt;0)+(IFERROR(INDEX(Setup!$G$33:$G$40,MATCH(S885,Setup!$B$33:$B$40,0)),0)=1)*(COUNTIF(S858:U875,$B885)+COUNTIF(S858:U875,$B885&amp;" ~*")&gt;0)+(IFERROR(INDEX(Setup!$G$33:$G$40,MATCH(W885,Setup!$B$33:$B$40,0)),0)=1)*(COUNTIF(W858:W875,$B885)+COUNTIF(W858:W875,$B885&amp;" ~*")&gt;0)+(IFERROR(INDEX(Setup!$G$33:$G$40,MATCH(Y885,Setup!$B$33:$B$40,0)),0)=1)*(COUNTIF(Y858:Y875,$B885)+COUNTIF(Y858:Y875,$B885&amp;" ~*")&gt;0))</f>
        <v/>
      </c>
    </row>
    <row r="886" ht="15" customHeight="1">
      <c r="A886" t="n">
        <v>18</v>
      </c>
      <c r="B886" s="37">
        <f>IF(Setup!$B$15="","",Setup!$B$15)</f>
        <v/>
      </c>
      <c r="C886" s="102" t="n"/>
      <c r="D886" s="103" t="n"/>
      <c r="E886" s="103" t="n"/>
      <c r="F886" s="104" t="n"/>
      <c r="G886" s="102" t="n"/>
      <c r="H886" s="103" t="n"/>
      <c r="I886" s="103" t="n"/>
      <c r="J886" s="104" t="n"/>
      <c r="K886" s="102" t="n"/>
      <c r="L886" s="103" t="n"/>
      <c r="M886" s="103" t="n"/>
      <c r="N886" s="104" t="n"/>
      <c r="O886" s="102" t="n"/>
      <c r="P886" s="103" t="n"/>
      <c r="Q886" s="103" t="n"/>
      <c r="R886" s="104" t="n"/>
      <c r="S886" s="102" t="n"/>
      <c r="T886" s="103" t="n"/>
      <c r="U886" s="103" t="n"/>
      <c r="V886" s="104" t="n"/>
      <c r="W886" s="102" t="n"/>
      <c r="X886" s="104" t="n"/>
      <c r="Y886" s="102" t="n"/>
      <c r="Z886" s="104" t="n"/>
      <c r="AB886" s="105">
        <f>IF($B886="","",(COUNTIF(C858:E875,$B886)+COUNTIF(C858:E875,$B886&amp;" ~*")&gt;0)+(COUNTIF(G858:I875,$B886)+COUNTIF(G858:I875,$B886&amp;" ~*")&gt;0)+(COUNTIF(K858:M875,$B886)+COUNTIF(K858:M875,$B886&amp;" ~*")&gt;0)+(COUNTIF(O858:Q875,$B886)+COUNTIF(O858:Q875,$B886&amp;" ~*")&gt;0)+(COUNTIF(S858:U875,$B886)+COUNTIF(S858:U875,$B886&amp;" ~*")&gt;0)+(COUNTIF(W858:W875,$B886)+COUNTIF(W858:W875,$B886&amp;" ~*")&gt;0)+(COUNTIF(Y858:Y875,$B886)+COUNTIF(Y858:Y875,$B886&amp;" ~*")&gt;0))</f>
        <v/>
      </c>
      <c r="AC886" s="38">
        <f>IF($B886="","",(IFERROR(INDEX(Setup!$G$33:$G$40,MATCH(C886,Setup!$B$33:$B$40,0)),0)=1)*(COUNTIF(C858:E875,$B886)+COUNTIF(C858:E875,$B886&amp;" ~*")&gt;0)+(IFERROR(INDEX(Setup!$G$33:$G$40,MATCH(G886,Setup!$B$33:$B$40,0)),0)=1)*(COUNTIF(G858:I875,$B886)+COUNTIF(G858:I875,$B886&amp;" ~*")&gt;0)+(IFERROR(INDEX(Setup!$G$33:$G$40,MATCH(K886,Setup!$B$33:$B$40,0)),0)=1)*(COUNTIF(K858:M875,$B886)+COUNTIF(K858:M875,$B886&amp;" ~*")&gt;0)+(IFERROR(INDEX(Setup!$G$33:$G$40,MATCH(O886,Setup!$B$33:$B$40,0)),0)=1)*(COUNTIF(O858:Q875,$B886)+COUNTIF(O858:Q875,$B886&amp;" ~*")&gt;0)+(IFERROR(INDEX(Setup!$G$33:$G$40,MATCH(S886,Setup!$B$33:$B$40,0)),0)=1)*(COUNTIF(S858:U875,$B886)+COUNTIF(S858:U875,$B886&amp;" ~*")&gt;0)+(IFERROR(INDEX(Setup!$G$33:$G$40,MATCH(W886,Setup!$B$33:$B$40,0)),0)=1)*(COUNTIF(W858:W875,$B886)+COUNTIF(W858:W875,$B886&amp;" ~*")&gt;0)+(IFERROR(INDEX(Setup!$G$33:$G$40,MATCH(Y886,Setup!$B$33:$B$40,0)),0)=1)*(COUNTIF(Y858:Y875,$B886)+COUNTIF(Y858:Y875,$B886&amp;" ~*")&gt;0))</f>
        <v/>
      </c>
    </row>
    <row r="887" ht="15" customHeight="1">
      <c r="A887" t="n">
        <v>18</v>
      </c>
      <c r="B887" s="35">
        <f>IF(Setup!$B$16="","",Setup!$B$16)</f>
        <v/>
      </c>
      <c r="C887" s="98" t="n"/>
      <c r="D887" s="99" t="n"/>
      <c r="E887" s="99" t="n"/>
      <c r="F887" s="100" t="n"/>
      <c r="G887" s="98" t="n"/>
      <c r="H887" s="99" t="n"/>
      <c r="I887" s="99" t="n"/>
      <c r="J887" s="100" t="n"/>
      <c r="K887" s="98" t="n"/>
      <c r="L887" s="99" t="n"/>
      <c r="M887" s="99" t="n"/>
      <c r="N887" s="100" t="n"/>
      <c r="O887" s="98" t="n"/>
      <c r="P887" s="99" t="n"/>
      <c r="Q887" s="99" t="n"/>
      <c r="R887" s="100" t="n"/>
      <c r="S887" s="98" t="n"/>
      <c r="T887" s="99" t="n"/>
      <c r="U887" s="99" t="n"/>
      <c r="V887" s="100" t="n"/>
      <c r="W887" s="98" t="n"/>
      <c r="X887" s="100" t="n"/>
      <c r="Y887" s="98" t="n"/>
      <c r="Z887" s="100" t="n"/>
      <c r="AB887" s="101">
        <f>IF($B887="","",(COUNTIF(C858:E875,$B887)+COUNTIF(C858:E875,$B887&amp;" ~*")&gt;0)+(COUNTIF(G858:I875,$B887)+COUNTIF(G858:I875,$B887&amp;" ~*")&gt;0)+(COUNTIF(K858:M875,$B887)+COUNTIF(K858:M875,$B887&amp;" ~*")&gt;0)+(COUNTIF(O858:Q875,$B887)+COUNTIF(O858:Q875,$B887&amp;" ~*")&gt;0)+(COUNTIF(S858:U875,$B887)+COUNTIF(S858:U875,$B887&amp;" ~*")&gt;0)+(COUNTIF(W858:W875,$B887)+COUNTIF(W858:W875,$B887&amp;" ~*")&gt;0)+(COUNTIF(Y858:Y875,$B887)+COUNTIF(Y858:Y875,$B887&amp;" ~*")&gt;0))</f>
        <v/>
      </c>
      <c r="AC887" s="36">
        <f>IF($B887="","",(IFERROR(INDEX(Setup!$G$33:$G$40,MATCH(C887,Setup!$B$33:$B$40,0)),0)=1)*(COUNTIF(C858:E875,$B887)+COUNTIF(C858:E875,$B887&amp;" ~*")&gt;0)+(IFERROR(INDEX(Setup!$G$33:$G$40,MATCH(G887,Setup!$B$33:$B$40,0)),0)=1)*(COUNTIF(G858:I875,$B887)+COUNTIF(G858:I875,$B887&amp;" ~*")&gt;0)+(IFERROR(INDEX(Setup!$G$33:$G$40,MATCH(K887,Setup!$B$33:$B$40,0)),0)=1)*(COUNTIF(K858:M875,$B887)+COUNTIF(K858:M875,$B887&amp;" ~*")&gt;0)+(IFERROR(INDEX(Setup!$G$33:$G$40,MATCH(O887,Setup!$B$33:$B$40,0)),0)=1)*(COUNTIF(O858:Q875,$B887)+COUNTIF(O858:Q875,$B887&amp;" ~*")&gt;0)+(IFERROR(INDEX(Setup!$G$33:$G$40,MATCH(S887,Setup!$B$33:$B$40,0)),0)=1)*(COUNTIF(S858:U875,$B887)+COUNTIF(S858:U875,$B887&amp;" ~*")&gt;0)+(IFERROR(INDEX(Setup!$G$33:$G$40,MATCH(W887,Setup!$B$33:$B$40,0)),0)=1)*(COUNTIF(W858:W875,$B887)+COUNTIF(W858:W875,$B887&amp;" ~*")&gt;0)+(IFERROR(INDEX(Setup!$G$33:$G$40,MATCH(Y887,Setup!$B$33:$B$40,0)),0)=1)*(COUNTIF(Y858:Y875,$B887)+COUNTIF(Y858:Y875,$B887&amp;" ~*")&gt;0))</f>
        <v/>
      </c>
    </row>
    <row r="888" ht="15" customHeight="1">
      <c r="A888" t="n">
        <v>18</v>
      </c>
      <c r="B888" s="37">
        <f>IF(Setup!$B$17="","",Setup!$B$17)</f>
        <v/>
      </c>
      <c r="C888" s="102" t="n"/>
      <c r="D888" s="103" t="n"/>
      <c r="E888" s="103" t="n"/>
      <c r="F888" s="104" t="n"/>
      <c r="G888" s="102" t="n"/>
      <c r="H888" s="103" t="n"/>
      <c r="I888" s="103" t="n"/>
      <c r="J888" s="104" t="n"/>
      <c r="K888" s="102" t="n"/>
      <c r="L888" s="103" t="n"/>
      <c r="M888" s="103" t="n"/>
      <c r="N888" s="104" t="n"/>
      <c r="O888" s="102" t="n"/>
      <c r="P888" s="103" t="n"/>
      <c r="Q888" s="103" t="n"/>
      <c r="R888" s="104" t="n"/>
      <c r="S888" s="102" t="n"/>
      <c r="T888" s="103" t="n"/>
      <c r="U888" s="103" t="n"/>
      <c r="V888" s="104" t="n"/>
      <c r="W888" s="102" t="n"/>
      <c r="X888" s="104" t="n"/>
      <c r="Y888" s="102" t="n"/>
      <c r="Z888" s="104" t="n"/>
      <c r="AB888" s="105">
        <f>IF($B888="","",(COUNTIF(C858:E875,$B888)+COUNTIF(C858:E875,$B888&amp;" ~*")&gt;0)+(COUNTIF(G858:I875,$B888)+COUNTIF(G858:I875,$B888&amp;" ~*")&gt;0)+(COUNTIF(K858:M875,$B888)+COUNTIF(K858:M875,$B888&amp;" ~*")&gt;0)+(COUNTIF(O858:Q875,$B888)+COUNTIF(O858:Q875,$B888&amp;" ~*")&gt;0)+(COUNTIF(S858:U875,$B888)+COUNTIF(S858:U875,$B888&amp;" ~*")&gt;0)+(COUNTIF(W858:W875,$B888)+COUNTIF(W858:W875,$B888&amp;" ~*")&gt;0)+(COUNTIF(Y858:Y875,$B888)+COUNTIF(Y858:Y875,$B888&amp;" ~*")&gt;0))</f>
        <v/>
      </c>
      <c r="AC888" s="38">
        <f>IF($B888="","",(IFERROR(INDEX(Setup!$G$33:$G$40,MATCH(C888,Setup!$B$33:$B$40,0)),0)=1)*(COUNTIF(C858:E875,$B888)+COUNTIF(C858:E875,$B888&amp;" ~*")&gt;0)+(IFERROR(INDEX(Setup!$G$33:$G$40,MATCH(G888,Setup!$B$33:$B$40,0)),0)=1)*(COUNTIF(G858:I875,$B888)+COUNTIF(G858:I875,$B888&amp;" ~*")&gt;0)+(IFERROR(INDEX(Setup!$G$33:$G$40,MATCH(K888,Setup!$B$33:$B$40,0)),0)=1)*(COUNTIF(K858:M875,$B888)+COUNTIF(K858:M875,$B888&amp;" ~*")&gt;0)+(IFERROR(INDEX(Setup!$G$33:$G$40,MATCH(O888,Setup!$B$33:$B$40,0)),0)=1)*(COUNTIF(O858:Q875,$B888)+COUNTIF(O858:Q875,$B888&amp;" ~*")&gt;0)+(IFERROR(INDEX(Setup!$G$33:$G$40,MATCH(S888,Setup!$B$33:$B$40,0)),0)=1)*(COUNTIF(S858:U875,$B888)+COUNTIF(S858:U875,$B888&amp;" ~*")&gt;0)+(IFERROR(INDEX(Setup!$G$33:$G$40,MATCH(W888,Setup!$B$33:$B$40,0)),0)=1)*(COUNTIF(W858:W875,$B888)+COUNTIF(W858:W875,$B888&amp;" ~*")&gt;0)+(IFERROR(INDEX(Setup!$G$33:$G$40,MATCH(Y888,Setup!$B$33:$B$40,0)),0)=1)*(COUNTIF(Y858:Y875,$B888)+COUNTIF(Y858:Y875,$B888&amp;" ~*")&gt;0))</f>
        <v/>
      </c>
    </row>
    <row r="889" ht="15" customHeight="1">
      <c r="A889" t="n">
        <v>18</v>
      </c>
      <c r="B889" s="35">
        <f>IF(Setup!$B$18="","",Setup!$B$18)</f>
        <v/>
      </c>
      <c r="C889" s="98" t="n"/>
      <c r="D889" s="99" t="n"/>
      <c r="E889" s="99" t="n"/>
      <c r="F889" s="100" t="n"/>
      <c r="G889" s="98" t="n"/>
      <c r="H889" s="99" t="n"/>
      <c r="I889" s="99" t="n"/>
      <c r="J889" s="100" t="n"/>
      <c r="K889" s="98" t="n"/>
      <c r="L889" s="99" t="n"/>
      <c r="M889" s="99" t="n"/>
      <c r="N889" s="100" t="n"/>
      <c r="O889" s="98" t="n"/>
      <c r="P889" s="99" t="n"/>
      <c r="Q889" s="99" t="n"/>
      <c r="R889" s="100" t="n"/>
      <c r="S889" s="98" t="n"/>
      <c r="T889" s="99" t="n"/>
      <c r="U889" s="99" t="n"/>
      <c r="V889" s="100" t="n"/>
      <c r="W889" s="98" t="n"/>
      <c r="X889" s="100" t="n"/>
      <c r="Y889" s="98" t="n"/>
      <c r="Z889" s="100" t="n"/>
      <c r="AB889" s="101">
        <f>IF($B889="","",(COUNTIF(C858:E875,$B889)+COUNTIF(C858:E875,$B889&amp;" ~*")&gt;0)+(COUNTIF(G858:I875,$B889)+COUNTIF(G858:I875,$B889&amp;" ~*")&gt;0)+(COUNTIF(K858:M875,$B889)+COUNTIF(K858:M875,$B889&amp;" ~*")&gt;0)+(COUNTIF(O858:Q875,$B889)+COUNTIF(O858:Q875,$B889&amp;" ~*")&gt;0)+(COUNTIF(S858:U875,$B889)+COUNTIF(S858:U875,$B889&amp;" ~*")&gt;0)+(COUNTIF(W858:W875,$B889)+COUNTIF(W858:W875,$B889&amp;" ~*")&gt;0)+(COUNTIF(Y858:Y875,$B889)+COUNTIF(Y858:Y875,$B889&amp;" ~*")&gt;0))</f>
        <v/>
      </c>
      <c r="AC889" s="36">
        <f>IF($B889="","",(IFERROR(INDEX(Setup!$G$33:$G$40,MATCH(C889,Setup!$B$33:$B$40,0)),0)=1)*(COUNTIF(C858:E875,$B889)+COUNTIF(C858:E875,$B889&amp;" ~*")&gt;0)+(IFERROR(INDEX(Setup!$G$33:$G$40,MATCH(G889,Setup!$B$33:$B$40,0)),0)=1)*(COUNTIF(G858:I875,$B889)+COUNTIF(G858:I875,$B889&amp;" ~*")&gt;0)+(IFERROR(INDEX(Setup!$G$33:$G$40,MATCH(K889,Setup!$B$33:$B$40,0)),0)=1)*(COUNTIF(K858:M875,$B889)+COUNTIF(K858:M875,$B889&amp;" ~*")&gt;0)+(IFERROR(INDEX(Setup!$G$33:$G$40,MATCH(O889,Setup!$B$33:$B$40,0)),0)=1)*(COUNTIF(O858:Q875,$B889)+COUNTIF(O858:Q875,$B889&amp;" ~*")&gt;0)+(IFERROR(INDEX(Setup!$G$33:$G$40,MATCH(S889,Setup!$B$33:$B$40,0)),0)=1)*(COUNTIF(S858:U875,$B889)+COUNTIF(S858:U875,$B889&amp;" ~*")&gt;0)+(IFERROR(INDEX(Setup!$G$33:$G$40,MATCH(W889,Setup!$B$33:$B$40,0)),0)=1)*(COUNTIF(W858:W875,$B889)+COUNTIF(W858:W875,$B889&amp;" ~*")&gt;0)+(IFERROR(INDEX(Setup!$G$33:$G$40,MATCH(Y889,Setup!$B$33:$B$40,0)),0)=1)*(COUNTIF(Y858:Y875,$B889)+COUNTIF(Y858:Y875,$B889&amp;" ~*")&gt;0))</f>
        <v/>
      </c>
    </row>
    <row r="890" ht="15" customHeight="1">
      <c r="A890" t="n">
        <v>18</v>
      </c>
      <c r="B890" s="37">
        <f>IF(Setup!$B$19="","",Setup!$B$19)</f>
        <v/>
      </c>
      <c r="C890" s="102" t="n"/>
      <c r="D890" s="103" t="n"/>
      <c r="E890" s="103" t="n"/>
      <c r="F890" s="104" t="n"/>
      <c r="G890" s="102" t="n"/>
      <c r="H890" s="103" t="n"/>
      <c r="I890" s="103" t="n"/>
      <c r="J890" s="104" t="n"/>
      <c r="K890" s="102" t="n"/>
      <c r="L890" s="103" t="n"/>
      <c r="M890" s="103" t="n"/>
      <c r="N890" s="104" t="n"/>
      <c r="O890" s="102" t="n"/>
      <c r="P890" s="103" t="n"/>
      <c r="Q890" s="103" t="n"/>
      <c r="R890" s="104" t="n"/>
      <c r="S890" s="102" t="n"/>
      <c r="T890" s="103" t="n"/>
      <c r="U890" s="103" t="n"/>
      <c r="V890" s="104" t="n"/>
      <c r="W890" s="102" t="n"/>
      <c r="X890" s="104" t="n"/>
      <c r="Y890" s="102" t="n"/>
      <c r="Z890" s="104" t="n"/>
      <c r="AB890" s="105">
        <f>IF($B890="","",(COUNTIF(C858:E875,$B890)+COUNTIF(C858:E875,$B890&amp;" ~*")&gt;0)+(COUNTIF(G858:I875,$B890)+COUNTIF(G858:I875,$B890&amp;" ~*")&gt;0)+(COUNTIF(K858:M875,$B890)+COUNTIF(K858:M875,$B890&amp;" ~*")&gt;0)+(COUNTIF(O858:Q875,$B890)+COUNTIF(O858:Q875,$B890&amp;" ~*")&gt;0)+(COUNTIF(S858:U875,$B890)+COUNTIF(S858:U875,$B890&amp;" ~*")&gt;0)+(COUNTIF(W858:W875,$B890)+COUNTIF(W858:W875,$B890&amp;" ~*")&gt;0)+(COUNTIF(Y858:Y875,$B890)+COUNTIF(Y858:Y875,$B890&amp;" ~*")&gt;0))</f>
        <v/>
      </c>
      <c r="AC890" s="38">
        <f>IF($B890="","",(IFERROR(INDEX(Setup!$G$33:$G$40,MATCH(C890,Setup!$B$33:$B$40,0)),0)=1)*(COUNTIF(C858:E875,$B890)+COUNTIF(C858:E875,$B890&amp;" ~*")&gt;0)+(IFERROR(INDEX(Setup!$G$33:$G$40,MATCH(G890,Setup!$B$33:$B$40,0)),0)=1)*(COUNTIF(G858:I875,$B890)+COUNTIF(G858:I875,$B890&amp;" ~*")&gt;0)+(IFERROR(INDEX(Setup!$G$33:$G$40,MATCH(K890,Setup!$B$33:$B$40,0)),0)=1)*(COUNTIF(K858:M875,$B890)+COUNTIF(K858:M875,$B890&amp;" ~*")&gt;0)+(IFERROR(INDEX(Setup!$G$33:$G$40,MATCH(O890,Setup!$B$33:$B$40,0)),0)=1)*(COUNTIF(O858:Q875,$B890)+COUNTIF(O858:Q875,$B890&amp;" ~*")&gt;0)+(IFERROR(INDEX(Setup!$G$33:$G$40,MATCH(S890,Setup!$B$33:$B$40,0)),0)=1)*(COUNTIF(S858:U875,$B890)+COUNTIF(S858:U875,$B890&amp;" ~*")&gt;0)+(IFERROR(INDEX(Setup!$G$33:$G$40,MATCH(W890,Setup!$B$33:$B$40,0)),0)=1)*(COUNTIF(W858:W875,$B890)+COUNTIF(W858:W875,$B890&amp;" ~*")&gt;0)+(IFERROR(INDEX(Setup!$G$33:$G$40,MATCH(Y890,Setup!$B$33:$B$40,0)),0)=1)*(COUNTIF(Y858:Y875,$B890)+COUNTIF(Y858:Y875,$B890&amp;" ~*")&gt;0))</f>
        <v/>
      </c>
    </row>
    <row r="891" ht="15" customHeight="1">
      <c r="A891" t="n">
        <v>18</v>
      </c>
      <c r="B891" s="35">
        <f>IF(Setup!$B$20="","",Setup!$B$20)</f>
        <v/>
      </c>
      <c r="C891" s="98" t="n"/>
      <c r="D891" s="99" t="n"/>
      <c r="E891" s="99" t="n"/>
      <c r="F891" s="100" t="n"/>
      <c r="G891" s="98" t="n"/>
      <c r="H891" s="99" t="n"/>
      <c r="I891" s="99" t="n"/>
      <c r="J891" s="100" t="n"/>
      <c r="K891" s="98" t="n"/>
      <c r="L891" s="99" t="n"/>
      <c r="M891" s="99" t="n"/>
      <c r="N891" s="100" t="n"/>
      <c r="O891" s="98" t="n"/>
      <c r="P891" s="99" t="n"/>
      <c r="Q891" s="99" t="n"/>
      <c r="R891" s="100" t="n"/>
      <c r="S891" s="98" t="n"/>
      <c r="T891" s="99" t="n"/>
      <c r="U891" s="99" t="n"/>
      <c r="V891" s="100" t="n"/>
      <c r="W891" s="98" t="n"/>
      <c r="X891" s="100" t="n"/>
      <c r="Y891" s="98" t="n"/>
      <c r="Z891" s="100" t="n"/>
      <c r="AB891" s="101">
        <f>IF($B891="","",(COUNTIF(C858:E875,$B891)+COUNTIF(C858:E875,$B891&amp;" ~*")&gt;0)+(COUNTIF(G858:I875,$B891)+COUNTIF(G858:I875,$B891&amp;" ~*")&gt;0)+(COUNTIF(K858:M875,$B891)+COUNTIF(K858:M875,$B891&amp;" ~*")&gt;0)+(COUNTIF(O858:Q875,$B891)+COUNTIF(O858:Q875,$B891&amp;" ~*")&gt;0)+(COUNTIF(S858:U875,$B891)+COUNTIF(S858:U875,$B891&amp;" ~*")&gt;0)+(COUNTIF(W858:W875,$B891)+COUNTIF(W858:W875,$B891&amp;" ~*")&gt;0)+(COUNTIF(Y858:Y875,$B891)+COUNTIF(Y858:Y875,$B891&amp;" ~*")&gt;0))</f>
        <v/>
      </c>
      <c r="AC891" s="36">
        <f>IF($B891="","",(IFERROR(INDEX(Setup!$G$33:$G$40,MATCH(C891,Setup!$B$33:$B$40,0)),0)=1)*(COUNTIF(C858:E875,$B891)+COUNTIF(C858:E875,$B891&amp;" ~*")&gt;0)+(IFERROR(INDEX(Setup!$G$33:$G$40,MATCH(G891,Setup!$B$33:$B$40,0)),0)=1)*(COUNTIF(G858:I875,$B891)+COUNTIF(G858:I875,$B891&amp;" ~*")&gt;0)+(IFERROR(INDEX(Setup!$G$33:$G$40,MATCH(K891,Setup!$B$33:$B$40,0)),0)=1)*(COUNTIF(K858:M875,$B891)+COUNTIF(K858:M875,$B891&amp;" ~*")&gt;0)+(IFERROR(INDEX(Setup!$G$33:$G$40,MATCH(O891,Setup!$B$33:$B$40,0)),0)=1)*(COUNTIF(O858:Q875,$B891)+COUNTIF(O858:Q875,$B891&amp;" ~*")&gt;0)+(IFERROR(INDEX(Setup!$G$33:$G$40,MATCH(S891,Setup!$B$33:$B$40,0)),0)=1)*(COUNTIF(S858:U875,$B891)+COUNTIF(S858:U875,$B891&amp;" ~*")&gt;0)+(IFERROR(INDEX(Setup!$G$33:$G$40,MATCH(W891,Setup!$B$33:$B$40,0)),0)=1)*(COUNTIF(W858:W875,$B891)+COUNTIF(W858:W875,$B891&amp;" ~*")&gt;0)+(IFERROR(INDEX(Setup!$G$33:$G$40,MATCH(Y891,Setup!$B$33:$B$40,0)),0)=1)*(COUNTIF(Y858:Y875,$B891)+COUNTIF(Y858:Y875,$B891&amp;" ~*")&gt;0))</f>
        <v/>
      </c>
    </row>
    <row r="892" ht="15" customHeight="1">
      <c r="A892" t="n">
        <v>18</v>
      </c>
      <c r="B892" s="37">
        <f>IF(Setup!$B$21="","",Setup!$B$21)</f>
        <v/>
      </c>
      <c r="C892" s="102" t="n"/>
      <c r="D892" s="103" t="n"/>
      <c r="E892" s="103" t="n"/>
      <c r="F892" s="104" t="n"/>
      <c r="G892" s="102" t="n"/>
      <c r="H892" s="103" t="n"/>
      <c r="I892" s="103" t="n"/>
      <c r="J892" s="104" t="n"/>
      <c r="K892" s="102" t="n"/>
      <c r="L892" s="103" t="n"/>
      <c r="M892" s="103" t="n"/>
      <c r="N892" s="104" t="n"/>
      <c r="O892" s="102" t="n"/>
      <c r="P892" s="103" t="n"/>
      <c r="Q892" s="103" t="n"/>
      <c r="R892" s="104" t="n"/>
      <c r="S892" s="102" t="n"/>
      <c r="T892" s="103" t="n"/>
      <c r="U892" s="103" t="n"/>
      <c r="V892" s="104" t="n"/>
      <c r="W892" s="102" t="n"/>
      <c r="X892" s="104" t="n"/>
      <c r="Y892" s="102" t="n"/>
      <c r="Z892" s="104" t="n"/>
      <c r="AB892" s="105">
        <f>IF($B892="","",(COUNTIF(C858:E875,$B892)+COUNTIF(C858:E875,$B892&amp;" ~*")&gt;0)+(COUNTIF(G858:I875,$B892)+COUNTIF(G858:I875,$B892&amp;" ~*")&gt;0)+(COUNTIF(K858:M875,$B892)+COUNTIF(K858:M875,$B892&amp;" ~*")&gt;0)+(COUNTIF(O858:Q875,$B892)+COUNTIF(O858:Q875,$B892&amp;" ~*")&gt;0)+(COUNTIF(S858:U875,$B892)+COUNTIF(S858:U875,$B892&amp;" ~*")&gt;0)+(COUNTIF(W858:W875,$B892)+COUNTIF(W858:W875,$B892&amp;" ~*")&gt;0)+(COUNTIF(Y858:Y875,$B892)+COUNTIF(Y858:Y875,$B892&amp;" ~*")&gt;0))</f>
        <v/>
      </c>
      <c r="AC892" s="38">
        <f>IF($B892="","",(IFERROR(INDEX(Setup!$G$33:$G$40,MATCH(C892,Setup!$B$33:$B$40,0)),0)=1)*(COUNTIF(C858:E875,$B892)+COUNTIF(C858:E875,$B892&amp;" ~*")&gt;0)+(IFERROR(INDEX(Setup!$G$33:$G$40,MATCH(G892,Setup!$B$33:$B$40,0)),0)=1)*(COUNTIF(G858:I875,$B892)+COUNTIF(G858:I875,$B892&amp;" ~*")&gt;0)+(IFERROR(INDEX(Setup!$G$33:$G$40,MATCH(K892,Setup!$B$33:$B$40,0)),0)=1)*(COUNTIF(K858:M875,$B892)+COUNTIF(K858:M875,$B892&amp;" ~*")&gt;0)+(IFERROR(INDEX(Setup!$G$33:$G$40,MATCH(O892,Setup!$B$33:$B$40,0)),0)=1)*(COUNTIF(O858:Q875,$B892)+COUNTIF(O858:Q875,$B892&amp;" ~*")&gt;0)+(IFERROR(INDEX(Setup!$G$33:$G$40,MATCH(S892,Setup!$B$33:$B$40,0)),0)=1)*(COUNTIF(S858:U875,$B892)+COUNTIF(S858:U875,$B892&amp;" ~*")&gt;0)+(IFERROR(INDEX(Setup!$G$33:$G$40,MATCH(W892,Setup!$B$33:$B$40,0)),0)=1)*(COUNTIF(W858:W875,$B892)+COUNTIF(W858:W875,$B892&amp;" ~*")&gt;0)+(IFERROR(INDEX(Setup!$G$33:$G$40,MATCH(Y892,Setup!$B$33:$B$40,0)),0)=1)*(COUNTIF(Y858:Y875,$B892)+COUNTIF(Y858:Y875,$B892&amp;" ~*")&gt;0))</f>
        <v/>
      </c>
    </row>
    <row r="893" ht="15" customHeight="1">
      <c r="A893" t="n">
        <v>18</v>
      </c>
      <c r="B893" s="35">
        <f>IF(Setup!$B$22="","",Setup!$B$22)</f>
        <v/>
      </c>
      <c r="C893" s="98" t="n"/>
      <c r="D893" s="99" t="n"/>
      <c r="E893" s="99" t="n"/>
      <c r="F893" s="100" t="n"/>
      <c r="G893" s="98" t="n"/>
      <c r="H893" s="99" t="n"/>
      <c r="I893" s="99" t="n"/>
      <c r="J893" s="100" t="n"/>
      <c r="K893" s="98" t="n"/>
      <c r="L893" s="99" t="n"/>
      <c r="M893" s="99" t="n"/>
      <c r="N893" s="100" t="n"/>
      <c r="O893" s="98" t="n"/>
      <c r="P893" s="99" t="n"/>
      <c r="Q893" s="99" t="n"/>
      <c r="R893" s="100" t="n"/>
      <c r="S893" s="98" t="n"/>
      <c r="T893" s="99" t="n"/>
      <c r="U893" s="99" t="n"/>
      <c r="V893" s="100" t="n"/>
      <c r="W893" s="98" t="n"/>
      <c r="X893" s="100" t="n"/>
      <c r="Y893" s="98" t="n"/>
      <c r="Z893" s="100" t="n"/>
      <c r="AB893" s="101">
        <f>IF($B893="","",(COUNTIF(C858:E875,$B893)+COUNTIF(C858:E875,$B893&amp;" ~*")&gt;0)+(COUNTIF(G858:I875,$B893)+COUNTIF(G858:I875,$B893&amp;" ~*")&gt;0)+(COUNTIF(K858:M875,$B893)+COUNTIF(K858:M875,$B893&amp;" ~*")&gt;0)+(COUNTIF(O858:Q875,$B893)+COUNTIF(O858:Q875,$B893&amp;" ~*")&gt;0)+(COUNTIF(S858:U875,$B893)+COUNTIF(S858:U875,$B893&amp;" ~*")&gt;0)+(COUNTIF(W858:W875,$B893)+COUNTIF(W858:W875,$B893&amp;" ~*")&gt;0)+(COUNTIF(Y858:Y875,$B893)+COUNTIF(Y858:Y875,$B893&amp;" ~*")&gt;0))</f>
        <v/>
      </c>
      <c r="AC893" s="36">
        <f>IF($B893="","",(IFERROR(INDEX(Setup!$G$33:$G$40,MATCH(C893,Setup!$B$33:$B$40,0)),0)=1)*(COUNTIF(C858:E875,$B893)+COUNTIF(C858:E875,$B893&amp;" ~*")&gt;0)+(IFERROR(INDEX(Setup!$G$33:$G$40,MATCH(G893,Setup!$B$33:$B$40,0)),0)=1)*(COUNTIF(G858:I875,$B893)+COUNTIF(G858:I875,$B893&amp;" ~*")&gt;0)+(IFERROR(INDEX(Setup!$G$33:$G$40,MATCH(K893,Setup!$B$33:$B$40,0)),0)=1)*(COUNTIF(K858:M875,$B893)+COUNTIF(K858:M875,$B893&amp;" ~*")&gt;0)+(IFERROR(INDEX(Setup!$G$33:$G$40,MATCH(O893,Setup!$B$33:$B$40,0)),0)=1)*(COUNTIF(O858:Q875,$B893)+COUNTIF(O858:Q875,$B893&amp;" ~*")&gt;0)+(IFERROR(INDEX(Setup!$G$33:$G$40,MATCH(S893,Setup!$B$33:$B$40,0)),0)=1)*(COUNTIF(S858:U875,$B893)+COUNTIF(S858:U875,$B893&amp;" ~*")&gt;0)+(IFERROR(INDEX(Setup!$G$33:$G$40,MATCH(W893,Setup!$B$33:$B$40,0)),0)=1)*(COUNTIF(W858:W875,$B893)+COUNTIF(W858:W875,$B893&amp;" ~*")&gt;0)+(IFERROR(INDEX(Setup!$G$33:$G$40,MATCH(Y893,Setup!$B$33:$B$40,0)),0)=1)*(COUNTIF(Y858:Y875,$B893)+COUNTIF(Y858:Y875,$B893&amp;" ~*")&gt;0))</f>
        <v/>
      </c>
    </row>
    <row r="894" ht="15" customHeight="1">
      <c r="A894" t="n">
        <v>18</v>
      </c>
      <c r="B894" s="37">
        <f>IF(Setup!$B$23="","",Setup!$B$23)</f>
        <v/>
      </c>
      <c r="C894" s="102" t="n"/>
      <c r="D894" s="103" t="n"/>
      <c r="E894" s="103" t="n"/>
      <c r="F894" s="104" t="n"/>
      <c r="G894" s="102" t="n"/>
      <c r="H894" s="103" t="n"/>
      <c r="I894" s="103" t="n"/>
      <c r="J894" s="104" t="n"/>
      <c r="K894" s="102" t="n"/>
      <c r="L894" s="103" t="n"/>
      <c r="M894" s="103" t="n"/>
      <c r="N894" s="104" t="n"/>
      <c r="O894" s="102" t="n"/>
      <c r="P894" s="103" t="n"/>
      <c r="Q894" s="103" t="n"/>
      <c r="R894" s="104" t="n"/>
      <c r="S894" s="102" t="n"/>
      <c r="T894" s="103" t="n"/>
      <c r="U894" s="103" t="n"/>
      <c r="V894" s="104" t="n"/>
      <c r="W894" s="102" t="n"/>
      <c r="X894" s="104" t="n"/>
      <c r="Y894" s="102" t="n"/>
      <c r="Z894" s="104" t="n"/>
      <c r="AB894" s="105">
        <f>IF($B894="","",(COUNTIF(C858:E875,$B894)+COUNTIF(C858:E875,$B894&amp;" ~*")&gt;0)+(COUNTIF(G858:I875,$B894)+COUNTIF(G858:I875,$B894&amp;" ~*")&gt;0)+(COUNTIF(K858:M875,$B894)+COUNTIF(K858:M875,$B894&amp;" ~*")&gt;0)+(COUNTIF(O858:Q875,$B894)+COUNTIF(O858:Q875,$B894&amp;" ~*")&gt;0)+(COUNTIF(S858:U875,$B894)+COUNTIF(S858:U875,$B894&amp;" ~*")&gt;0)+(COUNTIF(W858:W875,$B894)+COUNTIF(W858:W875,$B894&amp;" ~*")&gt;0)+(COUNTIF(Y858:Y875,$B894)+COUNTIF(Y858:Y875,$B894&amp;" ~*")&gt;0))</f>
        <v/>
      </c>
      <c r="AC894" s="38">
        <f>IF($B894="","",(IFERROR(INDEX(Setup!$G$33:$G$40,MATCH(C894,Setup!$B$33:$B$40,0)),0)=1)*(COUNTIF(C858:E875,$B894)+COUNTIF(C858:E875,$B894&amp;" ~*")&gt;0)+(IFERROR(INDEX(Setup!$G$33:$G$40,MATCH(G894,Setup!$B$33:$B$40,0)),0)=1)*(COUNTIF(G858:I875,$B894)+COUNTIF(G858:I875,$B894&amp;" ~*")&gt;0)+(IFERROR(INDEX(Setup!$G$33:$G$40,MATCH(K894,Setup!$B$33:$B$40,0)),0)=1)*(COUNTIF(K858:M875,$B894)+COUNTIF(K858:M875,$B894&amp;" ~*")&gt;0)+(IFERROR(INDEX(Setup!$G$33:$G$40,MATCH(O894,Setup!$B$33:$B$40,0)),0)=1)*(COUNTIF(O858:Q875,$B894)+COUNTIF(O858:Q875,$B894&amp;" ~*")&gt;0)+(IFERROR(INDEX(Setup!$G$33:$G$40,MATCH(S894,Setup!$B$33:$B$40,0)),0)=1)*(COUNTIF(S858:U875,$B894)+COUNTIF(S858:U875,$B894&amp;" ~*")&gt;0)+(IFERROR(INDEX(Setup!$G$33:$G$40,MATCH(W894,Setup!$B$33:$B$40,0)),0)=1)*(COUNTIF(W858:W875,$B894)+COUNTIF(W858:W875,$B894&amp;" ~*")&gt;0)+(IFERROR(INDEX(Setup!$G$33:$G$40,MATCH(Y894,Setup!$B$33:$B$40,0)),0)=1)*(COUNTIF(Y858:Y875,$B894)+COUNTIF(Y858:Y875,$B894&amp;" ~*")&gt;0))</f>
        <v/>
      </c>
    </row>
    <row r="895" ht="15" customHeight="1">
      <c r="A895" t="n">
        <v>18</v>
      </c>
      <c r="B895" s="35">
        <f>IF(Setup!$B$24="","",Setup!$B$24)</f>
        <v/>
      </c>
      <c r="C895" s="98" t="n"/>
      <c r="D895" s="99" t="n"/>
      <c r="E895" s="99" t="n"/>
      <c r="F895" s="100" t="n"/>
      <c r="G895" s="98" t="n"/>
      <c r="H895" s="99" t="n"/>
      <c r="I895" s="99" t="n"/>
      <c r="J895" s="100" t="n"/>
      <c r="K895" s="98" t="n"/>
      <c r="L895" s="99" t="n"/>
      <c r="M895" s="99" t="n"/>
      <c r="N895" s="100" t="n"/>
      <c r="O895" s="98" t="n"/>
      <c r="P895" s="99" t="n"/>
      <c r="Q895" s="99" t="n"/>
      <c r="R895" s="100" t="n"/>
      <c r="S895" s="98" t="n"/>
      <c r="T895" s="99" t="n"/>
      <c r="U895" s="99" t="n"/>
      <c r="V895" s="100" t="n"/>
      <c r="W895" s="98" t="n"/>
      <c r="X895" s="100" t="n"/>
      <c r="Y895" s="98" t="n"/>
      <c r="Z895" s="100" t="n"/>
      <c r="AB895" s="101">
        <f>IF($B895="","",(COUNTIF(C858:E875,$B895)+COUNTIF(C858:E875,$B895&amp;" ~*")&gt;0)+(COUNTIF(G858:I875,$B895)+COUNTIF(G858:I875,$B895&amp;" ~*")&gt;0)+(COUNTIF(K858:M875,$B895)+COUNTIF(K858:M875,$B895&amp;" ~*")&gt;0)+(COUNTIF(O858:Q875,$B895)+COUNTIF(O858:Q875,$B895&amp;" ~*")&gt;0)+(COUNTIF(S858:U875,$B895)+COUNTIF(S858:U875,$B895&amp;" ~*")&gt;0)+(COUNTIF(W858:W875,$B895)+COUNTIF(W858:W875,$B895&amp;" ~*")&gt;0)+(COUNTIF(Y858:Y875,$B895)+COUNTIF(Y858:Y875,$B895&amp;" ~*")&gt;0))</f>
        <v/>
      </c>
      <c r="AC895" s="36">
        <f>IF($B895="","",(IFERROR(INDEX(Setup!$G$33:$G$40,MATCH(C895,Setup!$B$33:$B$40,0)),0)=1)*(COUNTIF(C858:E875,$B895)+COUNTIF(C858:E875,$B895&amp;" ~*")&gt;0)+(IFERROR(INDEX(Setup!$G$33:$G$40,MATCH(G895,Setup!$B$33:$B$40,0)),0)=1)*(COUNTIF(G858:I875,$B895)+COUNTIF(G858:I875,$B895&amp;" ~*")&gt;0)+(IFERROR(INDEX(Setup!$G$33:$G$40,MATCH(K895,Setup!$B$33:$B$40,0)),0)=1)*(COUNTIF(K858:M875,$B895)+COUNTIF(K858:M875,$B895&amp;" ~*")&gt;0)+(IFERROR(INDEX(Setup!$G$33:$G$40,MATCH(O895,Setup!$B$33:$B$40,0)),0)=1)*(COUNTIF(O858:Q875,$B895)+COUNTIF(O858:Q875,$B895&amp;" ~*")&gt;0)+(IFERROR(INDEX(Setup!$G$33:$G$40,MATCH(S895,Setup!$B$33:$B$40,0)),0)=1)*(COUNTIF(S858:U875,$B895)+COUNTIF(S858:U875,$B895&amp;" ~*")&gt;0)+(IFERROR(INDEX(Setup!$G$33:$G$40,MATCH(W895,Setup!$B$33:$B$40,0)),0)=1)*(COUNTIF(W858:W875,$B895)+COUNTIF(W858:W875,$B895&amp;" ~*")&gt;0)+(IFERROR(INDEX(Setup!$G$33:$G$40,MATCH(Y895,Setup!$B$33:$B$40,0)),0)=1)*(COUNTIF(Y858:Y875,$B895)+COUNTIF(Y858:Y875,$B895&amp;" ~*")&gt;0))</f>
        <v/>
      </c>
    </row>
    <row r="896" ht="15" customHeight="1">
      <c r="A896" t="n">
        <v>18</v>
      </c>
      <c r="B896" s="37">
        <f>IF(Setup!$B$25="","",Setup!$B$25)</f>
        <v/>
      </c>
      <c r="C896" s="102" t="n"/>
      <c r="D896" s="103" t="n"/>
      <c r="E896" s="103" t="n"/>
      <c r="F896" s="104" t="n"/>
      <c r="G896" s="102" t="n"/>
      <c r="H896" s="103" t="n"/>
      <c r="I896" s="103" t="n"/>
      <c r="J896" s="104" t="n"/>
      <c r="K896" s="102" t="n"/>
      <c r="L896" s="103" t="n"/>
      <c r="M896" s="103" t="n"/>
      <c r="N896" s="104" t="n"/>
      <c r="O896" s="102" t="n"/>
      <c r="P896" s="103" t="n"/>
      <c r="Q896" s="103" t="n"/>
      <c r="R896" s="104" t="n"/>
      <c r="S896" s="102" t="n"/>
      <c r="T896" s="103" t="n"/>
      <c r="U896" s="103" t="n"/>
      <c r="V896" s="104" t="n"/>
      <c r="W896" s="102" t="n"/>
      <c r="X896" s="104" t="n"/>
      <c r="Y896" s="102" t="n"/>
      <c r="Z896" s="104" t="n"/>
      <c r="AB896" s="105">
        <f>IF($B896="","",(COUNTIF(C858:E875,$B896)+COUNTIF(C858:E875,$B896&amp;" ~*")&gt;0)+(COUNTIF(G858:I875,$B896)+COUNTIF(G858:I875,$B896&amp;" ~*")&gt;0)+(COUNTIF(K858:M875,$B896)+COUNTIF(K858:M875,$B896&amp;" ~*")&gt;0)+(COUNTIF(O858:Q875,$B896)+COUNTIF(O858:Q875,$B896&amp;" ~*")&gt;0)+(COUNTIF(S858:U875,$B896)+COUNTIF(S858:U875,$B896&amp;" ~*")&gt;0)+(COUNTIF(W858:W875,$B896)+COUNTIF(W858:W875,$B896&amp;" ~*")&gt;0)+(COUNTIF(Y858:Y875,$B896)+COUNTIF(Y858:Y875,$B896&amp;" ~*")&gt;0))</f>
        <v/>
      </c>
      <c r="AC896" s="38">
        <f>IF($B896="","",(IFERROR(INDEX(Setup!$G$33:$G$40,MATCH(C896,Setup!$B$33:$B$40,0)),0)=1)*(COUNTIF(C858:E875,$B896)+COUNTIF(C858:E875,$B896&amp;" ~*")&gt;0)+(IFERROR(INDEX(Setup!$G$33:$G$40,MATCH(G896,Setup!$B$33:$B$40,0)),0)=1)*(COUNTIF(G858:I875,$B896)+COUNTIF(G858:I875,$B896&amp;" ~*")&gt;0)+(IFERROR(INDEX(Setup!$G$33:$G$40,MATCH(K896,Setup!$B$33:$B$40,0)),0)=1)*(COUNTIF(K858:M875,$B896)+COUNTIF(K858:M875,$B896&amp;" ~*")&gt;0)+(IFERROR(INDEX(Setup!$G$33:$G$40,MATCH(O896,Setup!$B$33:$B$40,0)),0)=1)*(COUNTIF(O858:Q875,$B896)+COUNTIF(O858:Q875,$B896&amp;" ~*")&gt;0)+(IFERROR(INDEX(Setup!$G$33:$G$40,MATCH(S896,Setup!$B$33:$B$40,0)),0)=1)*(COUNTIF(S858:U875,$B896)+COUNTIF(S858:U875,$B896&amp;" ~*")&gt;0)+(IFERROR(INDEX(Setup!$G$33:$G$40,MATCH(W896,Setup!$B$33:$B$40,0)),0)=1)*(COUNTIF(W858:W875,$B896)+COUNTIF(W858:W875,$B896&amp;" ~*")&gt;0)+(IFERROR(INDEX(Setup!$G$33:$G$40,MATCH(Y896,Setup!$B$33:$B$40,0)),0)=1)*(COUNTIF(Y858:Y875,$B896)+COUNTIF(Y858:Y875,$B896&amp;" ~*")&gt;0))</f>
        <v/>
      </c>
    </row>
    <row r="897" ht="15" customHeight="1">
      <c r="A897" t="n">
        <v>18</v>
      </c>
      <c r="B897" s="35">
        <f>IF(Setup!$B$26="","",Setup!$B$26)</f>
        <v/>
      </c>
      <c r="C897" s="98" t="n"/>
      <c r="D897" s="99" t="n"/>
      <c r="E897" s="99" t="n"/>
      <c r="F897" s="100" t="n"/>
      <c r="G897" s="98" t="n"/>
      <c r="H897" s="99" t="n"/>
      <c r="I897" s="99" t="n"/>
      <c r="J897" s="100" t="n"/>
      <c r="K897" s="98" t="n"/>
      <c r="L897" s="99" t="n"/>
      <c r="M897" s="99" t="n"/>
      <c r="N897" s="100" t="n"/>
      <c r="O897" s="98" t="n"/>
      <c r="P897" s="99" t="n"/>
      <c r="Q897" s="99" t="n"/>
      <c r="R897" s="100" t="n"/>
      <c r="S897" s="98" t="n"/>
      <c r="T897" s="99" t="n"/>
      <c r="U897" s="99" t="n"/>
      <c r="V897" s="100" t="n"/>
      <c r="W897" s="98" t="n"/>
      <c r="X897" s="100" t="n"/>
      <c r="Y897" s="98" t="n"/>
      <c r="Z897" s="100" t="n"/>
      <c r="AB897" s="101">
        <f>IF($B897="","",(COUNTIF(C858:E875,$B897)+COUNTIF(C858:E875,$B897&amp;" ~*")&gt;0)+(COUNTIF(G858:I875,$B897)+COUNTIF(G858:I875,$B897&amp;" ~*")&gt;0)+(COUNTIF(K858:M875,$B897)+COUNTIF(K858:M875,$B897&amp;" ~*")&gt;0)+(COUNTIF(O858:Q875,$B897)+COUNTIF(O858:Q875,$B897&amp;" ~*")&gt;0)+(COUNTIF(S858:U875,$B897)+COUNTIF(S858:U875,$B897&amp;" ~*")&gt;0)+(COUNTIF(W858:W875,$B897)+COUNTIF(W858:W875,$B897&amp;" ~*")&gt;0)+(COUNTIF(Y858:Y875,$B897)+COUNTIF(Y858:Y875,$B897&amp;" ~*")&gt;0))</f>
        <v/>
      </c>
      <c r="AC897" s="36">
        <f>IF($B897="","",(IFERROR(INDEX(Setup!$G$33:$G$40,MATCH(C897,Setup!$B$33:$B$40,0)),0)=1)*(COUNTIF(C858:E875,$B897)+COUNTIF(C858:E875,$B897&amp;" ~*")&gt;0)+(IFERROR(INDEX(Setup!$G$33:$G$40,MATCH(G897,Setup!$B$33:$B$40,0)),0)=1)*(COUNTIF(G858:I875,$B897)+COUNTIF(G858:I875,$B897&amp;" ~*")&gt;0)+(IFERROR(INDEX(Setup!$G$33:$G$40,MATCH(K897,Setup!$B$33:$B$40,0)),0)=1)*(COUNTIF(K858:M875,$B897)+COUNTIF(K858:M875,$B897&amp;" ~*")&gt;0)+(IFERROR(INDEX(Setup!$G$33:$G$40,MATCH(O897,Setup!$B$33:$B$40,0)),0)=1)*(COUNTIF(O858:Q875,$B897)+COUNTIF(O858:Q875,$B897&amp;" ~*")&gt;0)+(IFERROR(INDEX(Setup!$G$33:$G$40,MATCH(S897,Setup!$B$33:$B$40,0)),0)=1)*(COUNTIF(S858:U875,$B897)+COUNTIF(S858:U875,$B897&amp;" ~*")&gt;0)+(IFERROR(INDEX(Setup!$G$33:$G$40,MATCH(W897,Setup!$B$33:$B$40,0)),0)=1)*(COUNTIF(W858:W875,$B897)+COUNTIF(W858:W875,$B897&amp;" ~*")&gt;0)+(IFERROR(INDEX(Setup!$G$33:$G$40,MATCH(Y897,Setup!$B$33:$B$40,0)),0)=1)*(COUNTIF(Y858:Y875,$B897)+COUNTIF(Y858:Y875,$B897&amp;" ~*")&gt;0))</f>
        <v/>
      </c>
    </row>
    <row r="898" ht="15" customHeight="1">
      <c r="A898" t="n">
        <v>18</v>
      </c>
      <c r="B898" s="37">
        <f>IF(Setup!$B$27="","",Setup!$B$27)</f>
        <v/>
      </c>
      <c r="C898" s="102" t="n"/>
      <c r="D898" s="103" t="n"/>
      <c r="E898" s="103" t="n"/>
      <c r="F898" s="104" t="n"/>
      <c r="G898" s="102" t="n"/>
      <c r="H898" s="103" t="n"/>
      <c r="I898" s="103" t="n"/>
      <c r="J898" s="104" t="n"/>
      <c r="K898" s="102" t="n"/>
      <c r="L898" s="103" t="n"/>
      <c r="M898" s="103" t="n"/>
      <c r="N898" s="104" t="n"/>
      <c r="O898" s="102" t="n"/>
      <c r="P898" s="103" t="n"/>
      <c r="Q898" s="103" t="n"/>
      <c r="R898" s="104" t="n"/>
      <c r="S898" s="102" t="n"/>
      <c r="T898" s="103" t="n"/>
      <c r="U898" s="103" t="n"/>
      <c r="V898" s="104" t="n"/>
      <c r="W898" s="102" t="n"/>
      <c r="X898" s="104" t="n"/>
      <c r="Y898" s="102" t="n"/>
      <c r="Z898" s="104" t="n"/>
      <c r="AB898" s="105">
        <f>IF($B898="","",(COUNTIF(C858:E875,$B898)+COUNTIF(C858:E875,$B898&amp;" ~*")&gt;0)+(COUNTIF(G858:I875,$B898)+COUNTIF(G858:I875,$B898&amp;" ~*")&gt;0)+(COUNTIF(K858:M875,$B898)+COUNTIF(K858:M875,$B898&amp;" ~*")&gt;0)+(COUNTIF(O858:Q875,$B898)+COUNTIF(O858:Q875,$B898&amp;" ~*")&gt;0)+(COUNTIF(S858:U875,$B898)+COUNTIF(S858:U875,$B898&amp;" ~*")&gt;0)+(COUNTIF(W858:W875,$B898)+COUNTIF(W858:W875,$B898&amp;" ~*")&gt;0)+(COUNTIF(Y858:Y875,$B898)+COUNTIF(Y858:Y875,$B898&amp;" ~*")&gt;0))</f>
        <v/>
      </c>
      <c r="AC898" s="38">
        <f>IF($B898="","",(IFERROR(INDEX(Setup!$G$33:$G$40,MATCH(C898,Setup!$B$33:$B$40,0)),0)=1)*(COUNTIF(C858:E875,$B898)+COUNTIF(C858:E875,$B898&amp;" ~*")&gt;0)+(IFERROR(INDEX(Setup!$G$33:$G$40,MATCH(G898,Setup!$B$33:$B$40,0)),0)=1)*(COUNTIF(G858:I875,$B898)+COUNTIF(G858:I875,$B898&amp;" ~*")&gt;0)+(IFERROR(INDEX(Setup!$G$33:$G$40,MATCH(K898,Setup!$B$33:$B$40,0)),0)=1)*(COUNTIF(K858:M875,$B898)+COUNTIF(K858:M875,$B898&amp;" ~*")&gt;0)+(IFERROR(INDEX(Setup!$G$33:$G$40,MATCH(O898,Setup!$B$33:$B$40,0)),0)=1)*(COUNTIF(O858:Q875,$B898)+COUNTIF(O858:Q875,$B898&amp;" ~*")&gt;0)+(IFERROR(INDEX(Setup!$G$33:$G$40,MATCH(S898,Setup!$B$33:$B$40,0)),0)=1)*(COUNTIF(S858:U875,$B898)+COUNTIF(S858:U875,$B898&amp;" ~*")&gt;0)+(IFERROR(INDEX(Setup!$G$33:$G$40,MATCH(W898,Setup!$B$33:$B$40,0)),0)=1)*(COUNTIF(W858:W875,$B898)+COUNTIF(W858:W875,$B898&amp;" ~*")&gt;0)+(IFERROR(INDEX(Setup!$G$33:$G$40,MATCH(Y898,Setup!$B$33:$B$40,0)),0)=1)*(COUNTIF(Y858:Y875,$B898)+COUNTIF(Y858:Y875,$B898&amp;" ~*")&gt;0))</f>
        <v/>
      </c>
    </row>
    <row r="899" ht="15" customHeight="1">
      <c r="A899" t="n">
        <v>18</v>
      </c>
      <c r="B899" s="35">
        <f>IF(Setup!$B$28="","",Setup!$B$28)</f>
        <v/>
      </c>
      <c r="C899" s="98" t="n"/>
      <c r="D899" s="99" t="n"/>
      <c r="E899" s="99" t="n"/>
      <c r="F899" s="100" t="n"/>
      <c r="G899" s="98" t="n"/>
      <c r="H899" s="99" t="n"/>
      <c r="I899" s="99" t="n"/>
      <c r="J899" s="100" t="n"/>
      <c r="K899" s="98" t="n"/>
      <c r="L899" s="99" t="n"/>
      <c r="M899" s="99" t="n"/>
      <c r="N899" s="100" t="n"/>
      <c r="O899" s="98" t="n"/>
      <c r="P899" s="99" t="n"/>
      <c r="Q899" s="99" t="n"/>
      <c r="R899" s="100" t="n"/>
      <c r="S899" s="98" t="n"/>
      <c r="T899" s="99" t="n"/>
      <c r="U899" s="99" t="n"/>
      <c r="V899" s="100" t="n"/>
      <c r="W899" s="98" t="n"/>
      <c r="X899" s="100" t="n"/>
      <c r="Y899" s="98" t="n"/>
      <c r="Z899" s="100" t="n"/>
      <c r="AB899" s="101">
        <f>IF($B899="","",(COUNTIF(C858:E875,$B899)+COUNTIF(C858:E875,$B899&amp;" ~*")&gt;0)+(COUNTIF(G858:I875,$B899)+COUNTIF(G858:I875,$B899&amp;" ~*")&gt;0)+(COUNTIF(K858:M875,$B899)+COUNTIF(K858:M875,$B899&amp;" ~*")&gt;0)+(COUNTIF(O858:Q875,$B899)+COUNTIF(O858:Q875,$B899&amp;" ~*")&gt;0)+(COUNTIF(S858:U875,$B899)+COUNTIF(S858:U875,$B899&amp;" ~*")&gt;0)+(COUNTIF(W858:W875,$B899)+COUNTIF(W858:W875,$B899&amp;" ~*")&gt;0)+(COUNTIF(Y858:Y875,$B899)+COUNTIF(Y858:Y875,$B899&amp;" ~*")&gt;0))</f>
        <v/>
      </c>
      <c r="AC899" s="36">
        <f>IF($B899="","",(IFERROR(INDEX(Setup!$G$33:$G$40,MATCH(C899,Setup!$B$33:$B$40,0)),0)=1)*(COUNTIF(C858:E875,$B899)+COUNTIF(C858:E875,$B899&amp;" ~*")&gt;0)+(IFERROR(INDEX(Setup!$G$33:$G$40,MATCH(G899,Setup!$B$33:$B$40,0)),0)=1)*(COUNTIF(G858:I875,$B899)+COUNTIF(G858:I875,$B899&amp;" ~*")&gt;0)+(IFERROR(INDEX(Setup!$G$33:$G$40,MATCH(K899,Setup!$B$33:$B$40,0)),0)=1)*(COUNTIF(K858:M875,$B899)+COUNTIF(K858:M875,$B899&amp;" ~*")&gt;0)+(IFERROR(INDEX(Setup!$G$33:$G$40,MATCH(O899,Setup!$B$33:$B$40,0)),0)=1)*(COUNTIF(O858:Q875,$B899)+COUNTIF(O858:Q875,$B899&amp;" ~*")&gt;0)+(IFERROR(INDEX(Setup!$G$33:$G$40,MATCH(S899,Setup!$B$33:$B$40,0)),0)=1)*(COUNTIF(S858:U875,$B899)+COUNTIF(S858:U875,$B899&amp;" ~*")&gt;0)+(IFERROR(INDEX(Setup!$G$33:$G$40,MATCH(W899,Setup!$B$33:$B$40,0)),0)=1)*(COUNTIF(W858:W875,$B899)+COUNTIF(W858:W875,$B899&amp;" ~*")&gt;0)+(IFERROR(INDEX(Setup!$G$33:$G$40,MATCH(Y899,Setup!$B$33:$B$40,0)),0)=1)*(COUNTIF(Y858:Y875,$B899)+COUNTIF(Y858:Y875,$B899&amp;" ~*")&gt;0))</f>
        <v/>
      </c>
    </row>
    <row r="900" ht="15" customHeight="1">
      <c r="A900" t="n">
        <v>18</v>
      </c>
      <c r="B900" s="37">
        <f>IF(Setup!$B$29="","",Setup!$B$29)</f>
        <v/>
      </c>
      <c r="C900" s="102" t="n"/>
      <c r="D900" s="103" t="n"/>
      <c r="E900" s="103" t="n"/>
      <c r="F900" s="104" t="n"/>
      <c r="G900" s="102" t="n"/>
      <c r="H900" s="103" t="n"/>
      <c r="I900" s="103" t="n"/>
      <c r="J900" s="104" t="n"/>
      <c r="K900" s="102" t="n"/>
      <c r="L900" s="103" t="n"/>
      <c r="M900" s="103" t="n"/>
      <c r="N900" s="104" t="n"/>
      <c r="O900" s="102" t="n"/>
      <c r="P900" s="103" t="n"/>
      <c r="Q900" s="103" t="n"/>
      <c r="R900" s="104" t="n"/>
      <c r="S900" s="102" t="n"/>
      <c r="T900" s="103" t="n"/>
      <c r="U900" s="103" t="n"/>
      <c r="V900" s="104" t="n"/>
      <c r="W900" s="102" t="n"/>
      <c r="X900" s="104" t="n"/>
      <c r="Y900" s="102" t="n"/>
      <c r="Z900" s="104" t="n"/>
      <c r="AB900" s="105">
        <f>IF($B900="","",(COUNTIF(C858:E875,$B900)+COUNTIF(C858:E875,$B900&amp;" ~*")&gt;0)+(COUNTIF(G858:I875,$B900)+COUNTIF(G858:I875,$B900&amp;" ~*")&gt;0)+(COUNTIF(K858:M875,$B900)+COUNTIF(K858:M875,$B900&amp;" ~*")&gt;0)+(COUNTIF(O858:Q875,$B900)+COUNTIF(O858:Q875,$B900&amp;" ~*")&gt;0)+(COUNTIF(S858:U875,$B900)+COUNTIF(S858:U875,$B900&amp;" ~*")&gt;0)+(COUNTIF(W858:W875,$B900)+COUNTIF(W858:W875,$B900&amp;" ~*")&gt;0)+(COUNTIF(Y858:Y875,$B900)+COUNTIF(Y858:Y875,$B900&amp;" ~*")&gt;0))</f>
        <v/>
      </c>
      <c r="AC900" s="38">
        <f>IF($B900="","",(IFERROR(INDEX(Setup!$G$33:$G$40,MATCH(C900,Setup!$B$33:$B$40,0)),0)=1)*(COUNTIF(C858:E875,$B900)+COUNTIF(C858:E875,$B900&amp;" ~*")&gt;0)+(IFERROR(INDEX(Setup!$G$33:$G$40,MATCH(G900,Setup!$B$33:$B$40,0)),0)=1)*(COUNTIF(G858:I875,$B900)+COUNTIF(G858:I875,$B900&amp;" ~*")&gt;0)+(IFERROR(INDEX(Setup!$G$33:$G$40,MATCH(K900,Setup!$B$33:$B$40,0)),0)=1)*(COUNTIF(K858:M875,$B900)+COUNTIF(K858:M875,$B900&amp;" ~*")&gt;0)+(IFERROR(INDEX(Setup!$G$33:$G$40,MATCH(O900,Setup!$B$33:$B$40,0)),0)=1)*(COUNTIF(O858:Q875,$B900)+COUNTIF(O858:Q875,$B900&amp;" ~*")&gt;0)+(IFERROR(INDEX(Setup!$G$33:$G$40,MATCH(S900,Setup!$B$33:$B$40,0)),0)=1)*(COUNTIF(S858:U875,$B900)+COUNTIF(S858:U875,$B900&amp;" ~*")&gt;0)+(IFERROR(INDEX(Setup!$G$33:$G$40,MATCH(W900,Setup!$B$33:$B$40,0)),0)=1)*(COUNTIF(W858:W875,$B900)+COUNTIF(W858:W875,$B900&amp;" ~*")&gt;0)+(IFERROR(INDEX(Setup!$G$33:$G$40,MATCH(Y900,Setup!$B$33:$B$40,0)),0)=1)*(COUNTIF(Y858:Y875,$B900)+COUNTIF(Y858:Y875,$B900&amp;" ~*")&gt;0))</f>
        <v/>
      </c>
    </row>
    <row r="901" ht="16" customHeight="1">
      <c r="A901" t="n">
        <v>18</v>
      </c>
      <c r="B901" s="106" t="inlineStr">
        <is>
          <t>Available people</t>
        </is>
      </c>
      <c r="C901" s="107">
        <f>COUNTIFS(Setup!$E$6:$E$29,"Y",Setup!$B$6:$B$29,"?*")-SUMPRODUCT(COUNTIF(C877:C900,Setup!$F$33:$F$40))</f>
        <v/>
      </c>
      <c r="D901" s="107" t="n"/>
      <c r="E901" s="107" t="n"/>
      <c r="F901" s="107" t="n"/>
      <c r="G901" s="107">
        <f>COUNTIFS(Setup!$E$6:$E$29,"Y",Setup!$B$6:$B$29,"?*")-SUMPRODUCT(COUNTIF(G877:G900,Setup!$F$33:$F$40))</f>
        <v/>
      </c>
      <c r="H901" s="107" t="n"/>
      <c r="I901" s="107" t="n"/>
      <c r="J901" s="107" t="n"/>
      <c r="K901" s="107">
        <f>COUNTIFS(Setup!$E$6:$E$29,"Y",Setup!$B$6:$B$29,"?*")-SUMPRODUCT(COUNTIF(K877:K900,Setup!$F$33:$F$40))</f>
        <v/>
      </c>
      <c r="L901" s="107" t="n"/>
      <c r="M901" s="107" t="n"/>
      <c r="N901" s="107" t="n"/>
      <c r="O901" s="107">
        <f>COUNTIFS(Setup!$E$6:$E$29,"Y",Setup!$B$6:$B$29,"?*")-SUMPRODUCT(COUNTIF(O877:O900,Setup!$F$33:$F$40))</f>
        <v/>
      </c>
      <c r="P901" s="107" t="n"/>
      <c r="Q901" s="107" t="n"/>
      <c r="R901" s="107" t="n"/>
      <c r="S901" s="107">
        <f>COUNTIFS(Setup!$E$6:$E$29,"Y",Setup!$B$6:$B$29,"?*")-SUMPRODUCT(COUNTIF(S877:S900,Setup!$F$33:$F$40))</f>
        <v/>
      </c>
      <c r="T901" s="107" t="n"/>
      <c r="U901" s="107" t="n"/>
      <c r="V901" s="107" t="n"/>
      <c r="W901" s="107">
        <f>COUNTIFS(Setup!$E$6:$E$29,"Y",Setup!$B$6:$B$29,"?*")-SUMPRODUCT(COUNTIF(W877:W900,Setup!$F$33:$F$40))</f>
        <v/>
      </c>
      <c r="X901" s="107" t="n"/>
      <c r="Y901" s="107">
        <f>COUNTIFS(Setup!$E$6:$E$29,"Y",Setup!$B$6:$B$29,"?*")-SUMPRODUCT(COUNTIF(Y877:Y900,Setup!$F$33:$F$40))</f>
        <v/>
      </c>
      <c r="Z901" s="107" t="n"/>
      <c r="AB901" s="108">
        <f>SUM(AB877:AB900)</f>
        <v/>
      </c>
      <c r="AC901" s="109">
        <f>SUM(AC877:AC900)</f>
        <v/>
      </c>
    </row>
    <row r="902" ht="30" customHeight="1">
      <c r="A902" t="n">
        <v>18</v>
      </c>
      <c r="B902" s="110" t="inlineStr">
        <is>
          <t>Week notes</t>
        </is>
      </c>
      <c r="C902" s="111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112" t="n"/>
      <c r="R902" s="112" t="n"/>
      <c r="S902" s="112" t="n"/>
      <c r="T902" s="112" t="n"/>
      <c r="U902" s="112" t="n"/>
      <c r="V902" s="112" t="n"/>
      <c r="W902" s="112" t="n"/>
      <c r="X902" s="112" t="n"/>
      <c r="Y902" s="112" t="n"/>
      <c r="Z902" s="113" t="n"/>
    </row>
    <row r="903" ht="8" customHeight="1">
      <c r="A903" t="n">
        <v>18</v>
      </c>
    </row>
    <row r="904" ht="8" customHeight="1">
      <c r="A904" t="n">
        <v>18</v>
      </c>
    </row>
    <row r="905" ht="24" customHeight="1">
      <c r="A905" t="n">
        <v>19</v>
      </c>
      <c r="B905" s="73">
        <f>"WEEK 19     "&amp;TEXT(C906,"ddd d mmm")&amp;"  –  "&amp;TEXT(C906+6,"ddd d mmm yyyy")</f>
        <v/>
      </c>
      <c r="S905" s="74">
        <f>IF(TODAY()&lt;C906,"FUTURE",IF(TODAY()&gt;C906+6,"PAST","THIS WEEK"))</f>
        <v/>
      </c>
      <c r="W905" s="75">
        <f>IF(AND(Engine!$B$8=$AC$3,Engine!$B$9=$A905),"◀ ACTIVE WEEK","")</f>
        <v/>
      </c>
      <c r="AA905" s="76" t="n"/>
      <c r="AB905" s="77" t="inlineStr">
        <is>
          <t>◀ Prev</t>
        </is>
      </c>
      <c r="AC905" s="77" t="inlineStr">
        <is>
          <t>Next ▶</t>
        </is>
      </c>
    </row>
    <row r="906" ht="18" customHeight="1">
      <c r="A906" t="n">
        <v>19</v>
      </c>
      <c r="B906" s="78" t="inlineStr">
        <is>
          <t>DUTY</t>
        </is>
      </c>
      <c r="C906" s="79">
        <f>$AC$2+7*($A906-1)</f>
        <v/>
      </c>
      <c r="D906" s="80" t="n"/>
      <c r="E906" s="80" t="n"/>
      <c r="F906" s="81" t="n"/>
      <c r="G906" s="79">
        <f>C906+1</f>
        <v/>
      </c>
      <c r="H906" s="80" t="n"/>
      <c r="I906" s="80" t="n"/>
      <c r="J906" s="81" t="n"/>
      <c r="K906" s="79">
        <f>C906+2</f>
        <v/>
      </c>
      <c r="L906" s="80" t="n"/>
      <c r="M906" s="80" t="n"/>
      <c r="N906" s="81" t="n"/>
      <c r="O906" s="79">
        <f>C906+3</f>
        <v/>
      </c>
      <c r="P906" s="80" t="n"/>
      <c r="Q906" s="80" t="n"/>
      <c r="R906" s="81" t="n"/>
      <c r="S906" s="79">
        <f>C906+4</f>
        <v/>
      </c>
      <c r="T906" s="80" t="n"/>
      <c r="U906" s="80" t="n"/>
      <c r="V906" s="81" t="n"/>
      <c r="W906" s="82">
        <f>C906+5</f>
        <v/>
      </c>
      <c r="X906" s="83" t="n"/>
      <c r="Y906" s="82">
        <f>C906+6</f>
        <v/>
      </c>
      <c r="Z906" s="83" t="n"/>
      <c r="AB906" s="72" t="inlineStr">
        <is>
          <t>Gaps</t>
        </is>
      </c>
      <c r="AC906" s="72" t="inlineStr">
        <is>
          <t>Cover</t>
        </is>
      </c>
    </row>
    <row r="907" ht="14" customHeight="1">
      <c r="A907" t="n">
        <v>19</v>
      </c>
      <c r="B907" s="84" t="inlineStr">
        <is>
          <t>(from Setup)</t>
        </is>
      </c>
      <c r="C907" s="85" t="inlineStr">
        <is>
          <t>1</t>
        </is>
      </c>
      <c r="D907" s="85" t="inlineStr">
        <is>
          <t>2</t>
        </is>
      </c>
      <c r="E907" s="85" t="inlineStr">
        <is>
          <t>3</t>
        </is>
      </c>
      <c r="F907" s="85" t="inlineStr">
        <is>
          <t>Notes</t>
        </is>
      </c>
      <c r="G907" s="85" t="inlineStr">
        <is>
          <t>1</t>
        </is>
      </c>
      <c r="H907" s="85" t="inlineStr">
        <is>
          <t>2</t>
        </is>
      </c>
      <c r="I907" s="85" t="inlineStr">
        <is>
          <t>3</t>
        </is>
      </c>
      <c r="J907" s="85" t="inlineStr">
        <is>
          <t>Notes</t>
        </is>
      </c>
      <c r="K907" s="85" t="inlineStr">
        <is>
          <t>1</t>
        </is>
      </c>
      <c r="L907" s="85" t="inlineStr">
        <is>
          <t>2</t>
        </is>
      </c>
      <c r="M907" s="85" t="inlineStr">
        <is>
          <t>3</t>
        </is>
      </c>
      <c r="N907" s="85" t="inlineStr">
        <is>
          <t>Notes</t>
        </is>
      </c>
      <c r="O907" s="85" t="inlineStr">
        <is>
          <t>1</t>
        </is>
      </c>
      <c r="P907" s="85" t="inlineStr">
        <is>
          <t>2</t>
        </is>
      </c>
      <c r="Q907" s="85" t="inlineStr">
        <is>
          <t>3</t>
        </is>
      </c>
      <c r="R907" s="85" t="inlineStr">
        <is>
          <t>Notes</t>
        </is>
      </c>
      <c r="S907" s="85" t="inlineStr">
        <is>
          <t>1</t>
        </is>
      </c>
      <c r="T907" s="85" t="inlineStr">
        <is>
          <t>2</t>
        </is>
      </c>
      <c r="U907" s="85" t="inlineStr">
        <is>
          <t>3</t>
        </is>
      </c>
      <c r="V907" s="85" t="inlineStr">
        <is>
          <t>Notes</t>
        </is>
      </c>
      <c r="W907" s="85" t="inlineStr">
        <is>
          <t>Cover</t>
        </is>
      </c>
      <c r="X907" s="85" t="inlineStr">
        <is>
          <t>Notes</t>
        </is>
      </c>
      <c r="Y907" s="85" t="inlineStr">
        <is>
          <t>Cover</t>
        </is>
      </c>
      <c r="Z907" s="85" t="inlineStr">
        <is>
          <t>Notes</t>
        </is>
      </c>
      <c r="AB907" s="86" t="inlineStr">
        <is>
          <t>weekdays short</t>
        </is>
      </c>
      <c r="AC907" s="87" t="inlineStr"/>
    </row>
    <row r="908" ht="17" customHeight="1">
      <c r="A908" t="n">
        <v>19</v>
      </c>
      <c r="B908" s="24">
        <f>IF(Setup!$K$6="","",Setup!$K$6)</f>
        <v/>
      </c>
      <c r="C908" s="88" t="n"/>
      <c r="D908" s="88" t="n"/>
      <c r="E908" s="88" t="n"/>
      <c r="F908" s="89" t="n"/>
      <c r="G908" s="88" t="n"/>
      <c r="H908" s="88" t="n"/>
      <c r="I908" s="88" t="n"/>
      <c r="J908" s="89" t="n"/>
      <c r="K908" s="88" t="n"/>
      <c r="L908" s="88" t="n"/>
      <c r="M908" s="88" t="n"/>
      <c r="N908" s="89" t="n"/>
      <c r="O908" s="88" t="n"/>
      <c r="P908" s="88" t="n"/>
      <c r="Q908" s="88" t="n"/>
      <c r="R908" s="89" t="n"/>
      <c r="S908" s="88" t="n"/>
      <c r="T908" s="88" t="n"/>
      <c r="U908" s="88" t="n"/>
      <c r="V908" s="89" t="n"/>
      <c r="W908" s="88" t="n"/>
      <c r="X908" s="89" t="n"/>
      <c r="Y908" s="88" t="n"/>
      <c r="Z908" s="89" t="n"/>
      <c r="AB908" s="25">
        <f>IF($B908="","",(COUNTIF(C908:E908,"?*")&lt;N(INDEX(Setup!$L$6:$L$23,1)))+(COUNTIF(G908:I908,"?*")&lt;N(INDEX(Setup!$L$6:$L$23,1)))+(COUNTIF(K908:M908,"?*")&lt;N(INDEX(Setup!$L$6:$L$23,1)))+(COUNTIF(O908:Q908,"?*")&lt;N(INDEX(Setup!$L$6:$L$23,1)))+(COUNTIF(S908:U908,"?*")&lt;N(INDEX(Setup!$L$6:$L$23,1)))+((W908="")*(INDEX(Setup!$M$6:$M$23,1)="Y"))+((Y908="")*(INDEX(Setup!$M$6:$M$23,1)="Y")))</f>
        <v/>
      </c>
      <c r="AC908" s="90">
        <f>IF($B908="","",IF(AB908=0,"✓ covered","⚠ "&amp;AB908&amp;IF(AB908=1," gap"," gaps")))</f>
        <v/>
      </c>
    </row>
    <row r="909" ht="17" customHeight="1">
      <c r="A909" t="n">
        <v>19</v>
      </c>
      <c r="B909" s="29">
        <f>IF(Setup!$K$7="","",Setup!$K$7)</f>
        <v/>
      </c>
      <c r="C909" s="88" t="n"/>
      <c r="D909" s="88" t="n"/>
      <c r="E909" s="88" t="n"/>
      <c r="F909" s="89" t="n"/>
      <c r="G909" s="88" t="n"/>
      <c r="H909" s="88" t="n"/>
      <c r="I909" s="88" t="n"/>
      <c r="J909" s="89" t="n"/>
      <c r="K909" s="88" t="n"/>
      <c r="L909" s="88" t="n"/>
      <c r="M909" s="88" t="n"/>
      <c r="N909" s="89" t="n"/>
      <c r="O909" s="88" t="n"/>
      <c r="P909" s="88" t="n"/>
      <c r="Q909" s="88" t="n"/>
      <c r="R909" s="89" t="n"/>
      <c r="S909" s="88" t="n"/>
      <c r="T909" s="88" t="n"/>
      <c r="U909" s="88" t="n"/>
      <c r="V909" s="89" t="n"/>
      <c r="W909" s="88" t="n"/>
      <c r="X909" s="89" t="n"/>
      <c r="Y909" s="88" t="n"/>
      <c r="Z909" s="89" t="n"/>
      <c r="AB909" s="30">
        <f>IF($B909="","",(COUNTIF(C909:E909,"?*")&lt;N(INDEX(Setup!$L$6:$L$23,2)))+(COUNTIF(G909:I909,"?*")&lt;N(INDEX(Setup!$L$6:$L$23,2)))+(COUNTIF(K909:M909,"?*")&lt;N(INDEX(Setup!$L$6:$L$23,2)))+(COUNTIF(O909:Q909,"?*")&lt;N(INDEX(Setup!$L$6:$L$23,2)))+(COUNTIF(S909:U909,"?*")&lt;N(INDEX(Setup!$L$6:$L$23,2)))+((W909="")*(INDEX(Setup!$M$6:$M$23,2)="Y"))+((Y909="")*(INDEX(Setup!$M$6:$M$23,2)="Y")))</f>
        <v/>
      </c>
      <c r="AC909" s="91">
        <f>IF($B909="","",IF(AB909=0,"✓ covered","⚠ "&amp;AB909&amp;IF(AB909=1," gap"," gaps")))</f>
        <v/>
      </c>
    </row>
    <row r="910" ht="17" customHeight="1">
      <c r="A910" t="n">
        <v>19</v>
      </c>
      <c r="B910" s="24">
        <f>IF(Setup!$K$8="","",Setup!$K$8)</f>
        <v/>
      </c>
      <c r="C910" s="88" t="n"/>
      <c r="D910" s="88" t="n"/>
      <c r="E910" s="88" t="n"/>
      <c r="F910" s="89" t="n"/>
      <c r="G910" s="88" t="n"/>
      <c r="H910" s="88" t="n"/>
      <c r="I910" s="88" t="n"/>
      <c r="J910" s="89" t="n"/>
      <c r="K910" s="88" t="n"/>
      <c r="L910" s="88" t="n"/>
      <c r="M910" s="88" t="n"/>
      <c r="N910" s="89" t="n"/>
      <c r="O910" s="88" t="n"/>
      <c r="P910" s="88" t="n"/>
      <c r="Q910" s="88" t="n"/>
      <c r="R910" s="89" t="n"/>
      <c r="S910" s="88" t="n"/>
      <c r="T910" s="88" t="n"/>
      <c r="U910" s="88" t="n"/>
      <c r="V910" s="89" t="n"/>
      <c r="W910" s="88" t="n"/>
      <c r="X910" s="89" t="n"/>
      <c r="Y910" s="88" t="n"/>
      <c r="Z910" s="89" t="n"/>
      <c r="AB910" s="25">
        <f>IF($B910="","",(COUNTIF(C910:E910,"?*")&lt;N(INDEX(Setup!$L$6:$L$23,3)))+(COUNTIF(G910:I910,"?*")&lt;N(INDEX(Setup!$L$6:$L$23,3)))+(COUNTIF(K910:M910,"?*")&lt;N(INDEX(Setup!$L$6:$L$23,3)))+(COUNTIF(O910:Q910,"?*")&lt;N(INDEX(Setup!$L$6:$L$23,3)))+(COUNTIF(S910:U910,"?*")&lt;N(INDEX(Setup!$L$6:$L$23,3)))+((W910="")*(INDEX(Setup!$M$6:$M$23,3)="Y"))+((Y910="")*(INDEX(Setup!$M$6:$M$23,3)="Y")))</f>
        <v/>
      </c>
      <c r="AC910" s="90">
        <f>IF($B910="","",IF(AB910=0,"✓ covered","⚠ "&amp;AB910&amp;IF(AB910=1," gap"," gaps")))</f>
        <v/>
      </c>
    </row>
    <row r="911" ht="17" customHeight="1">
      <c r="A911" t="n">
        <v>19</v>
      </c>
      <c r="B911" s="29">
        <f>IF(Setup!$K$9="","",Setup!$K$9)</f>
        <v/>
      </c>
      <c r="C911" s="88" t="n"/>
      <c r="D911" s="88" t="n"/>
      <c r="E911" s="88" t="n"/>
      <c r="F911" s="89" t="n"/>
      <c r="G911" s="88" t="n"/>
      <c r="H911" s="88" t="n"/>
      <c r="I911" s="88" t="n"/>
      <c r="J911" s="89" t="n"/>
      <c r="K911" s="88" t="n"/>
      <c r="L911" s="88" t="n"/>
      <c r="M911" s="88" t="n"/>
      <c r="N911" s="89" t="n"/>
      <c r="O911" s="88" t="n"/>
      <c r="P911" s="88" t="n"/>
      <c r="Q911" s="88" t="n"/>
      <c r="R911" s="89" t="n"/>
      <c r="S911" s="88" t="n"/>
      <c r="T911" s="88" t="n"/>
      <c r="U911" s="88" t="n"/>
      <c r="V911" s="89" t="n"/>
      <c r="W911" s="88" t="n"/>
      <c r="X911" s="89" t="n"/>
      <c r="Y911" s="88" t="n"/>
      <c r="Z911" s="89" t="n"/>
      <c r="AB911" s="30">
        <f>IF($B911="","",(COUNTIF(C911:E911,"?*")&lt;N(INDEX(Setup!$L$6:$L$23,4)))+(COUNTIF(G911:I911,"?*")&lt;N(INDEX(Setup!$L$6:$L$23,4)))+(COUNTIF(K911:M911,"?*")&lt;N(INDEX(Setup!$L$6:$L$23,4)))+(COUNTIF(O911:Q911,"?*")&lt;N(INDEX(Setup!$L$6:$L$23,4)))+(COUNTIF(S911:U911,"?*")&lt;N(INDEX(Setup!$L$6:$L$23,4)))+((W911="")*(INDEX(Setup!$M$6:$M$23,4)="Y"))+((Y911="")*(INDEX(Setup!$M$6:$M$23,4)="Y")))</f>
        <v/>
      </c>
      <c r="AC911" s="91">
        <f>IF($B911="","",IF(AB911=0,"✓ covered","⚠ "&amp;AB911&amp;IF(AB911=1," gap"," gaps")))</f>
        <v/>
      </c>
    </row>
    <row r="912" ht="17" customHeight="1">
      <c r="A912" t="n">
        <v>19</v>
      </c>
      <c r="B912" s="24">
        <f>IF(Setup!$K$10="","",Setup!$K$10)</f>
        <v/>
      </c>
      <c r="C912" s="88" t="n"/>
      <c r="D912" s="88" t="n"/>
      <c r="E912" s="88" t="n"/>
      <c r="F912" s="89" t="n"/>
      <c r="G912" s="88" t="n"/>
      <c r="H912" s="88" t="n"/>
      <c r="I912" s="88" t="n"/>
      <c r="J912" s="89" t="n"/>
      <c r="K912" s="88" t="n"/>
      <c r="L912" s="88" t="n"/>
      <c r="M912" s="88" t="n"/>
      <c r="N912" s="89" t="n"/>
      <c r="O912" s="88" t="n"/>
      <c r="P912" s="88" t="n"/>
      <c r="Q912" s="88" t="n"/>
      <c r="R912" s="89" t="n"/>
      <c r="S912" s="88" t="n"/>
      <c r="T912" s="88" t="n"/>
      <c r="U912" s="88" t="n"/>
      <c r="V912" s="89" t="n"/>
      <c r="W912" s="88" t="n"/>
      <c r="X912" s="89" t="n"/>
      <c r="Y912" s="88" t="n"/>
      <c r="Z912" s="89" t="n"/>
      <c r="AB912" s="25">
        <f>IF($B912="","",(COUNTIF(C912:E912,"?*")&lt;N(INDEX(Setup!$L$6:$L$23,5)))+(COUNTIF(G912:I912,"?*")&lt;N(INDEX(Setup!$L$6:$L$23,5)))+(COUNTIF(K912:M912,"?*")&lt;N(INDEX(Setup!$L$6:$L$23,5)))+(COUNTIF(O912:Q912,"?*")&lt;N(INDEX(Setup!$L$6:$L$23,5)))+(COUNTIF(S912:U912,"?*")&lt;N(INDEX(Setup!$L$6:$L$23,5)))+((W912="")*(INDEX(Setup!$M$6:$M$23,5)="Y"))+((Y912="")*(INDEX(Setup!$M$6:$M$23,5)="Y")))</f>
        <v/>
      </c>
      <c r="AC912" s="90">
        <f>IF($B912="","",IF(AB912=0,"✓ covered","⚠ "&amp;AB912&amp;IF(AB912=1," gap"," gaps")))</f>
        <v/>
      </c>
    </row>
    <row r="913" ht="17" customHeight="1">
      <c r="A913" t="n">
        <v>19</v>
      </c>
      <c r="B913" s="29">
        <f>IF(Setup!$K$11="","",Setup!$K$11)</f>
        <v/>
      </c>
      <c r="C913" s="88" t="n"/>
      <c r="D913" s="88" t="n"/>
      <c r="E913" s="88" t="n"/>
      <c r="F913" s="89" t="n"/>
      <c r="G913" s="88" t="n"/>
      <c r="H913" s="88" t="n"/>
      <c r="I913" s="88" t="n"/>
      <c r="J913" s="89" t="n"/>
      <c r="K913" s="88" t="n"/>
      <c r="L913" s="88" t="n"/>
      <c r="M913" s="88" t="n"/>
      <c r="N913" s="89" t="n"/>
      <c r="O913" s="88" t="n"/>
      <c r="P913" s="88" t="n"/>
      <c r="Q913" s="88" t="n"/>
      <c r="R913" s="89" t="n"/>
      <c r="S913" s="88" t="n"/>
      <c r="T913" s="88" t="n"/>
      <c r="U913" s="88" t="n"/>
      <c r="V913" s="89" t="n"/>
      <c r="W913" s="88" t="n"/>
      <c r="X913" s="89" t="n"/>
      <c r="Y913" s="88" t="n"/>
      <c r="Z913" s="89" t="n"/>
      <c r="AB913" s="30">
        <f>IF($B913="","",(COUNTIF(C913:E913,"?*")&lt;N(INDEX(Setup!$L$6:$L$23,6)))+(COUNTIF(G913:I913,"?*")&lt;N(INDEX(Setup!$L$6:$L$23,6)))+(COUNTIF(K913:M913,"?*")&lt;N(INDEX(Setup!$L$6:$L$23,6)))+(COUNTIF(O913:Q913,"?*")&lt;N(INDEX(Setup!$L$6:$L$23,6)))+(COUNTIF(S913:U913,"?*")&lt;N(INDEX(Setup!$L$6:$L$23,6)))+((W913="")*(INDEX(Setup!$M$6:$M$23,6)="Y"))+((Y913="")*(INDEX(Setup!$M$6:$M$23,6)="Y")))</f>
        <v/>
      </c>
      <c r="AC913" s="91">
        <f>IF($B913="","",IF(AB913=0,"✓ covered","⚠ "&amp;AB913&amp;IF(AB913=1," gap"," gaps")))</f>
        <v/>
      </c>
    </row>
    <row r="914" ht="17" customHeight="1">
      <c r="A914" t="n">
        <v>19</v>
      </c>
      <c r="B914" s="24">
        <f>IF(Setup!$K$12="","",Setup!$K$12)</f>
        <v/>
      </c>
      <c r="C914" s="88" t="n"/>
      <c r="D914" s="88" t="n"/>
      <c r="E914" s="88" t="n"/>
      <c r="F914" s="89" t="n"/>
      <c r="G914" s="88" t="n"/>
      <c r="H914" s="88" t="n"/>
      <c r="I914" s="88" t="n"/>
      <c r="J914" s="89" t="n"/>
      <c r="K914" s="88" t="n"/>
      <c r="L914" s="88" t="n"/>
      <c r="M914" s="88" t="n"/>
      <c r="N914" s="89" t="n"/>
      <c r="O914" s="88" t="n"/>
      <c r="P914" s="88" t="n"/>
      <c r="Q914" s="88" t="n"/>
      <c r="R914" s="89" t="n"/>
      <c r="S914" s="88" t="n"/>
      <c r="T914" s="88" t="n"/>
      <c r="U914" s="88" t="n"/>
      <c r="V914" s="89" t="n"/>
      <c r="W914" s="88" t="n"/>
      <c r="X914" s="89" t="n"/>
      <c r="Y914" s="88" t="n"/>
      <c r="Z914" s="89" t="n"/>
      <c r="AB914" s="25">
        <f>IF($B914="","",(COUNTIF(C914:E914,"?*")&lt;N(INDEX(Setup!$L$6:$L$23,7)))+(COUNTIF(G914:I914,"?*")&lt;N(INDEX(Setup!$L$6:$L$23,7)))+(COUNTIF(K914:M914,"?*")&lt;N(INDEX(Setup!$L$6:$L$23,7)))+(COUNTIF(O914:Q914,"?*")&lt;N(INDEX(Setup!$L$6:$L$23,7)))+(COUNTIF(S914:U914,"?*")&lt;N(INDEX(Setup!$L$6:$L$23,7)))+((W914="")*(INDEX(Setup!$M$6:$M$23,7)="Y"))+((Y914="")*(INDEX(Setup!$M$6:$M$23,7)="Y")))</f>
        <v/>
      </c>
      <c r="AC914" s="90">
        <f>IF($B914="","",IF(AB914=0,"✓ covered","⚠ "&amp;AB914&amp;IF(AB914=1," gap"," gaps")))</f>
        <v/>
      </c>
    </row>
    <row r="915" ht="17" customHeight="1">
      <c r="A915" t="n">
        <v>19</v>
      </c>
      <c r="B915" s="29">
        <f>IF(Setup!$K$13="","",Setup!$K$13)</f>
        <v/>
      </c>
      <c r="C915" s="88" t="n"/>
      <c r="D915" s="88" t="n"/>
      <c r="E915" s="88" t="n"/>
      <c r="F915" s="89" t="n"/>
      <c r="G915" s="88" t="n"/>
      <c r="H915" s="88" t="n"/>
      <c r="I915" s="88" t="n"/>
      <c r="J915" s="89" t="n"/>
      <c r="K915" s="88" t="n"/>
      <c r="L915" s="88" t="n"/>
      <c r="M915" s="88" t="n"/>
      <c r="N915" s="89" t="n"/>
      <c r="O915" s="88" t="n"/>
      <c r="P915" s="88" t="n"/>
      <c r="Q915" s="88" t="n"/>
      <c r="R915" s="89" t="n"/>
      <c r="S915" s="88" t="n"/>
      <c r="T915" s="88" t="n"/>
      <c r="U915" s="88" t="n"/>
      <c r="V915" s="89" t="n"/>
      <c r="W915" s="88" t="n"/>
      <c r="X915" s="89" t="n"/>
      <c r="Y915" s="88" t="n"/>
      <c r="Z915" s="89" t="n"/>
      <c r="AB915" s="30">
        <f>IF($B915="","",(COUNTIF(C915:E915,"?*")&lt;N(INDEX(Setup!$L$6:$L$23,8)))+(COUNTIF(G915:I915,"?*")&lt;N(INDEX(Setup!$L$6:$L$23,8)))+(COUNTIF(K915:M915,"?*")&lt;N(INDEX(Setup!$L$6:$L$23,8)))+(COUNTIF(O915:Q915,"?*")&lt;N(INDEX(Setup!$L$6:$L$23,8)))+(COUNTIF(S915:U915,"?*")&lt;N(INDEX(Setup!$L$6:$L$23,8)))+((W915="")*(INDEX(Setup!$M$6:$M$23,8)="Y"))+((Y915="")*(INDEX(Setup!$M$6:$M$23,8)="Y")))</f>
        <v/>
      </c>
      <c r="AC915" s="91">
        <f>IF($B915="","",IF(AB915=0,"✓ covered","⚠ "&amp;AB915&amp;IF(AB915=1," gap"," gaps")))</f>
        <v/>
      </c>
    </row>
    <row r="916" ht="17" customHeight="1">
      <c r="A916" t="n">
        <v>19</v>
      </c>
      <c r="B916" s="24">
        <f>IF(Setup!$K$14="","",Setup!$K$14)</f>
        <v/>
      </c>
      <c r="C916" s="88" t="n"/>
      <c r="D916" s="88" t="n"/>
      <c r="E916" s="88" t="n"/>
      <c r="F916" s="89" t="n"/>
      <c r="G916" s="88" t="n"/>
      <c r="H916" s="88" t="n"/>
      <c r="I916" s="88" t="n"/>
      <c r="J916" s="89" t="n"/>
      <c r="K916" s="88" t="n"/>
      <c r="L916" s="88" t="n"/>
      <c r="M916" s="88" t="n"/>
      <c r="N916" s="89" t="n"/>
      <c r="O916" s="88" t="n"/>
      <c r="P916" s="88" t="n"/>
      <c r="Q916" s="88" t="n"/>
      <c r="R916" s="89" t="n"/>
      <c r="S916" s="88" t="n"/>
      <c r="T916" s="88" t="n"/>
      <c r="U916" s="88" t="n"/>
      <c r="V916" s="89" t="n"/>
      <c r="W916" s="88" t="n"/>
      <c r="X916" s="89" t="n"/>
      <c r="Y916" s="88" t="n"/>
      <c r="Z916" s="89" t="n"/>
      <c r="AB916" s="25">
        <f>IF($B916="","",(COUNTIF(C916:E916,"?*")&lt;N(INDEX(Setup!$L$6:$L$23,9)))+(COUNTIF(G916:I916,"?*")&lt;N(INDEX(Setup!$L$6:$L$23,9)))+(COUNTIF(K916:M916,"?*")&lt;N(INDEX(Setup!$L$6:$L$23,9)))+(COUNTIF(O916:Q916,"?*")&lt;N(INDEX(Setup!$L$6:$L$23,9)))+(COUNTIF(S916:U916,"?*")&lt;N(INDEX(Setup!$L$6:$L$23,9)))+((W916="")*(INDEX(Setup!$M$6:$M$23,9)="Y"))+((Y916="")*(INDEX(Setup!$M$6:$M$23,9)="Y")))</f>
        <v/>
      </c>
      <c r="AC916" s="90">
        <f>IF($B916="","",IF(AB916=0,"✓ covered","⚠ "&amp;AB916&amp;IF(AB916=1," gap"," gaps")))</f>
        <v/>
      </c>
    </row>
    <row r="917" ht="17" customHeight="1">
      <c r="A917" t="n">
        <v>19</v>
      </c>
      <c r="B917" s="29">
        <f>IF(Setup!$K$15="","",Setup!$K$15)</f>
        <v/>
      </c>
      <c r="C917" s="88" t="n"/>
      <c r="D917" s="88" t="n"/>
      <c r="E917" s="88" t="n"/>
      <c r="F917" s="89" t="n"/>
      <c r="G917" s="88" t="n"/>
      <c r="H917" s="88" t="n"/>
      <c r="I917" s="88" t="n"/>
      <c r="J917" s="89" t="n"/>
      <c r="K917" s="88" t="n"/>
      <c r="L917" s="88" t="n"/>
      <c r="M917" s="88" t="n"/>
      <c r="N917" s="89" t="n"/>
      <c r="O917" s="88" t="n"/>
      <c r="P917" s="88" t="n"/>
      <c r="Q917" s="88" t="n"/>
      <c r="R917" s="89" t="n"/>
      <c r="S917" s="88" t="n"/>
      <c r="T917" s="88" t="n"/>
      <c r="U917" s="88" t="n"/>
      <c r="V917" s="89" t="n"/>
      <c r="W917" s="88" t="n"/>
      <c r="X917" s="89" t="n"/>
      <c r="Y917" s="88" t="n"/>
      <c r="Z917" s="89" t="n"/>
      <c r="AB917" s="30">
        <f>IF($B917="","",(COUNTIF(C917:E917,"?*")&lt;N(INDEX(Setup!$L$6:$L$23,10)))+(COUNTIF(G917:I917,"?*")&lt;N(INDEX(Setup!$L$6:$L$23,10)))+(COUNTIF(K917:M917,"?*")&lt;N(INDEX(Setup!$L$6:$L$23,10)))+(COUNTIF(O917:Q917,"?*")&lt;N(INDEX(Setup!$L$6:$L$23,10)))+(COUNTIF(S917:U917,"?*")&lt;N(INDEX(Setup!$L$6:$L$23,10)))+((W917="")*(INDEX(Setup!$M$6:$M$23,10)="Y"))+((Y917="")*(INDEX(Setup!$M$6:$M$23,10)="Y")))</f>
        <v/>
      </c>
      <c r="AC917" s="91">
        <f>IF($B917="","",IF(AB917=0,"✓ covered","⚠ "&amp;AB917&amp;IF(AB917=1," gap"," gaps")))</f>
        <v/>
      </c>
    </row>
    <row r="918" ht="17" customHeight="1">
      <c r="A918" t="n">
        <v>19</v>
      </c>
      <c r="B918" s="24">
        <f>IF(Setup!$K$16="","",Setup!$K$16)</f>
        <v/>
      </c>
      <c r="C918" s="88" t="n"/>
      <c r="D918" s="88" t="n"/>
      <c r="E918" s="88" t="n"/>
      <c r="F918" s="89" t="n"/>
      <c r="G918" s="88" t="n"/>
      <c r="H918" s="88" t="n"/>
      <c r="I918" s="88" t="n"/>
      <c r="J918" s="89" t="n"/>
      <c r="K918" s="88" t="n"/>
      <c r="L918" s="88" t="n"/>
      <c r="M918" s="88" t="n"/>
      <c r="N918" s="89" t="n"/>
      <c r="O918" s="88" t="n"/>
      <c r="P918" s="88" t="n"/>
      <c r="Q918" s="88" t="n"/>
      <c r="R918" s="89" t="n"/>
      <c r="S918" s="88" t="n"/>
      <c r="T918" s="88" t="n"/>
      <c r="U918" s="88" t="n"/>
      <c r="V918" s="89" t="n"/>
      <c r="W918" s="88" t="n"/>
      <c r="X918" s="89" t="n"/>
      <c r="Y918" s="88" t="n"/>
      <c r="Z918" s="89" t="n"/>
      <c r="AB918" s="25">
        <f>IF($B918="","",(COUNTIF(C918:E918,"?*")&lt;N(INDEX(Setup!$L$6:$L$23,11)))+(COUNTIF(G918:I918,"?*")&lt;N(INDEX(Setup!$L$6:$L$23,11)))+(COUNTIF(K918:M918,"?*")&lt;N(INDEX(Setup!$L$6:$L$23,11)))+(COUNTIF(O918:Q918,"?*")&lt;N(INDEX(Setup!$L$6:$L$23,11)))+(COUNTIF(S918:U918,"?*")&lt;N(INDEX(Setup!$L$6:$L$23,11)))+((W918="")*(INDEX(Setup!$M$6:$M$23,11)="Y"))+((Y918="")*(INDEX(Setup!$M$6:$M$23,11)="Y")))</f>
        <v/>
      </c>
      <c r="AC918" s="90">
        <f>IF($B918="","",IF(AB918=0,"✓ covered","⚠ "&amp;AB918&amp;IF(AB918=1," gap"," gaps")))</f>
        <v/>
      </c>
    </row>
    <row r="919" ht="17" customHeight="1">
      <c r="A919" t="n">
        <v>19</v>
      </c>
      <c r="B919" s="29">
        <f>IF(Setup!$K$17="","",Setup!$K$17)</f>
        <v/>
      </c>
      <c r="C919" s="88" t="n"/>
      <c r="D919" s="88" t="n"/>
      <c r="E919" s="88" t="n"/>
      <c r="F919" s="89" t="n"/>
      <c r="G919" s="88" t="n"/>
      <c r="H919" s="88" t="n"/>
      <c r="I919" s="88" t="n"/>
      <c r="J919" s="89" t="n"/>
      <c r="K919" s="88" t="n"/>
      <c r="L919" s="88" t="n"/>
      <c r="M919" s="88" t="n"/>
      <c r="N919" s="89" t="n"/>
      <c r="O919" s="88" t="n"/>
      <c r="P919" s="88" t="n"/>
      <c r="Q919" s="88" t="n"/>
      <c r="R919" s="89" t="n"/>
      <c r="S919" s="88" t="n"/>
      <c r="T919" s="88" t="n"/>
      <c r="U919" s="88" t="n"/>
      <c r="V919" s="89" t="n"/>
      <c r="W919" s="88" t="n"/>
      <c r="X919" s="89" t="n"/>
      <c r="Y919" s="88" t="n"/>
      <c r="Z919" s="89" t="n"/>
      <c r="AB919" s="30">
        <f>IF($B919="","",(COUNTIF(C919:E919,"?*")&lt;N(INDEX(Setup!$L$6:$L$23,12)))+(COUNTIF(G919:I919,"?*")&lt;N(INDEX(Setup!$L$6:$L$23,12)))+(COUNTIF(K919:M919,"?*")&lt;N(INDEX(Setup!$L$6:$L$23,12)))+(COUNTIF(O919:Q919,"?*")&lt;N(INDEX(Setup!$L$6:$L$23,12)))+(COUNTIF(S919:U919,"?*")&lt;N(INDEX(Setup!$L$6:$L$23,12)))+((W919="")*(INDEX(Setup!$M$6:$M$23,12)="Y"))+((Y919="")*(INDEX(Setup!$M$6:$M$23,12)="Y")))</f>
        <v/>
      </c>
      <c r="AC919" s="91">
        <f>IF($B919="","",IF(AB919=0,"✓ covered","⚠ "&amp;AB919&amp;IF(AB919=1," gap"," gaps")))</f>
        <v/>
      </c>
    </row>
    <row r="920" ht="17" customHeight="1">
      <c r="A920" t="n">
        <v>19</v>
      </c>
      <c r="B920" s="24">
        <f>IF(Setup!$K$18="","",Setup!$K$18)</f>
        <v/>
      </c>
      <c r="C920" s="88" t="n"/>
      <c r="D920" s="88" t="n"/>
      <c r="E920" s="88" t="n"/>
      <c r="F920" s="89" t="n"/>
      <c r="G920" s="88" t="n"/>
      <c r="H920" s="88" t="n"/>
      <c r="I920" s="88" t="n"/>
      <c r="J920" s="89" t="n"/>
      <c r="K920" s="88" t="n"/>
      <c r="L920" s="88" t="n"/>
      <c r="M920" s="88" t="n"/>
      <c r="N920" s="89" t="n"/>
      <c r="O920" s="88" t="n"/>
      <c r="P920" s="88" t="n"/>
      <c r="Q920" s="88" t="n"/>
      <c r="R920" s="89" t="n"/>
      <c r="S920" s="88" t="n"/>
      <c r="T920" s="88" t="n"/>
      <c r="U920" s="88" t="n"/>
      <c r="V920" s="89" t="n"/>
      <c r="W920" s="88" t="n"/>
      <c r="X920" s="89" t="n"/>
      <c r="Y920" s="88" t="n"/>
      <c r="Z920" s="89" t="n"/>
      <c r="AB920" s="25">
        <f>IF($B920="","",(COUNTIF(C920:E920,"?*")&lt;N(INDEX(Setup!$L$6:$L$23,13)))+(COUNTIF(G920:I920,"?*")&lt;N(INDEX(Setup!$L$6:$L$23,13)))+(COUNTIF(K920:M920,"?*")&lt;N(INDEX(Setup!$L$6:$L$23,13)))+(COUNTIF(O920:Q920,"?*")&lt;N(INDEX(Setup!$L$6:$L$23,13)))+(COUNTIF(S920:U920,"?*")&lt;N(INDEX(Setup!$L$6:$L$23,13)))+((W920="")*(INDEX(Setup!$M$6:$M$23,13)="Y"))+((Y920="")*(INDEX(Setup!$M$6:$M$23,13)="Y")))</f>
        <v/>
      </c>
      <c r="AC920" s="90">
        <f>IF($B920="","",IF(AB920=0,"✓ covered","⚠ "&amp;AB920&amp;IF(AB920=1," gap"," gaps")))</f>
        <v/>
      </c>
    </row>
    <row r="921" ht="17" customHeight="1">
      <c r="A921" t="n">
        <v>19</v>
      </c>
      <c r="B921" s="29">
        <f>IF(Setup!$K$19="","",Setup!$K$19)</f>
        <v/>
      </c>
      <c r="C921" s="88" t="n"/>
      <c r="D921" s="88" t="n"/>
      <c r="E921" s="88" t="n"/>
      <c r="F921" s="89" t="n"/>
      <c r="G921" s="88" t="n"/>
      <c r="H921" s="88" t="n"/>
      <c r="I921" s="88" t="n"/>
      <c r="J921" s="89" t="n"/>
      <c r="K921" s="88" t="n"/>
      <c r="L921" s="88" t="n"/>
      <c r="M921" s="88" t="n"/>
      <c r="N921" s="89" t="n"/>
      <c r="O921" s="88" t="n"/>
      <c r="P921" s="88" t="n"/>
      <c r="Q921" s="88" t="n"/>
      <c r="R921" s="89" t="n"/>
      <c r="S921" s="88" t="n"/>
      <c r="T921" s="88" t="n"/>
      <c r="U921" s="88" t="n"/>
      <c r="V921" s="89" t="n"/>
      <c r="W921" s="88" t="n"/>
      <c r="X921" s="89" t="n"/>
      <c r="Y921" s="88" t="n"/>
      <c r="Z921" s="89" t="n"/>
      <c r="AB921" s="30">
        <f>IF($B921="","",(COUNTIF(C921:E921,"?*")&lt;N(INDEX(Setup!$L$6:$L$23,14)))+(COUNTIF(G921:I921,"?*")&lt;N(INDEX(Setup!$L$6:$L$23,14)))+(COUNTIF(K921:M921,"?*")&lt;N(INDEX(Setup!$L$6:$L$23,14)))+(COUNTIF(O921:Q921,"?*")&lt;N(INDEX(Setup!$L$6:$L$23,14)))+(COUNTIF(S921:U921,"?*")&lt;N(INDEX(Setup!$L$6:$L$23,14)))+((W921="")*(INDEX(Setup!$M$6:$M$23,14)="Y"))+((Y921="")*(INDEX(Setup!$M$6:$M$23,14)="Y")))</f>
        <v/>
      </c>
      <c r="AC921" s="91">
        <f>IF($B921="","",IF(AB921=0,"✓ covered","⚠ "&amp;AB921&amp;IF(AB921=1," gap"," gaps")))</f>
        <v/>
      </c>
    </row>
    <row r="922" ht="17" customHeight="1">
      <c r="A922" t="n">
        <v>19</v>
      </c>
      <c r="B922" s="24">
        <f>IF(Setup!$K$20="","",Setup!$K$20)</f>
        <v/>
      </c>
      <c r="C922" s="88" t="n"/>
      <c r="D922" s="88" t="n"/>
      <c r="E922" s="88" t="n"/>
      <c r="F922" s="89" t="n"/>
      <c r="G922" s="88" t="n"/>
      <c r="H922" s="88" t="n"/>
      <c r="I922" s="88" t="n"/>
      <c r="J922" s="89" t="n"/>
      <c r="K922" s="88" t="n"/>
      <c r="L922" s="88" t="n"/>
      <c r="M922" s="88" t="n"/>
      <c r="N922" s="89" t="n"/>
      <c r="O922" s="88" t="n"/>
      <c r="P922" s="88" t="n"/>
      <c r="Q922" s="88" t="n"/>
      <c r="R922" s="89" t="n"/>
      <c r="S922" s="88" t="n"/>
      <c r="T922" s="88" t="n"/>
      <c r="U922" s="88" t="n"/>
      <c r="V922" s="89" t="n"/>
      <c r="W922" s="88" t="n"/>
      <c r="X922" s="89" t="n"/>
      <c r="Y922" s="88" t="n"/>
      <c r="Z922" s="89" t="n"/>
      <c r="AB922" s="25">
        <f>IF($B922="","",(COUNTIF(C922:E922,"?*")&lt;N(INDEX(Setup!$L$6:$L$23,15)))+(COUNTIF(G922:I922,"?*")&lt;N(INDEX(Setup!$L$6:$L$23,15)))+(COUNTIF(K922:M922,"?*")&lt;N(INDEX(Setup!$L$6:$L$23,15)))+(COUNTIF(O922:Q922,"?*")&lt;N(INDEX(Setup!$L$6:$L$23,15)))+(COUNTIF(S922:U922,"?*")&lt;N(INDEX(Setup!$L$6:$L$23,15)))+((W922="")*(INDEX(Setup!$M$6:$M$23,15)="Y"))+((Y922="")*(INDEX(Setup!$M$6:$M$23,15)="Y")))</f>
        <v/>
      </c>
      <c r="AC922" s="90">
        <f>IF($B922="","",IF(AB922=0,"✓ covered","⚠ "&amp;AB922&amp;IF(AB922=1," gap"," gaps")))</f>
        <v/>
      </c>
    </row>
    <row r="923" ht="17" customHeight="1">
      <c r="A923" t="n">
        <v>19</v>
      </c>
      <c r="B923" s="29">
        <f>IF(Setup!$K$21="","",Setup!$K$21)</f>
        <v/>
      </c>
      <c r="C923" s="88" t="n"/>
      <c r="D923" s="88" t="n"/>
      <c r="E923" s="88" t="n"/>
      <c r="F923" s="89" t="n"/>
      <c r="G923" s="88" t="n"/>
      <c r="H923" s="88" t="n"/>
      <c r="I923" s="88" t="n"/>
      <c r="J923" s="89" t="n"/>
      <c r="K923" s="88" t="n"/>
      <c r="L923" s="88" t="n"/>
      <c r="M923" s="88" t="n"/>
      <c r="N923" s="89" t="n"/>
      <c r="O923" s="88" t="n"/>
      <c r="P923" s="88" t="n"/>
      <c r="Q923" s="88" t="n"/>
      <c r="R923" s="89" t="n"/>
      <c r="S923" s="88" t="n"/>
      <c r="T923" s="88" t="n"/>
      <c r="U923" s="88" t="n"/>
      <c r="V923" s="89" t="n"/>
      <c r="W923" s="88" t="n"/>
      <c r="X923" s="89" t="n"/>
      <c r="Y923" s="88" t="n"/>
      <c r="Z923" s="89" t="n"/>
      <c r="AB923" s="30">
        <f>IF($B923="","",(COUNTIF(C923:E923,"?*")&lt;N(INDEX(Setup!$L$6:$L$23,16)))+(COUNTIF(G923:I923,"?*")&lt;N(INDEX(Setup!$L$6:$L$23,16)))+(COUNTIF(K923:M923,"?*")&lt;N(INDEX(Setup!$L$6:$L$23,16)))+(COUNTIF(O923:Q923,"?*")&lt;N(INDEX(Setup!$L$6:$L$23,16)))+(COUNTIF(S923:U923,"?*")&lt;N(INDEX(Setup!$L$6:$L$23,16)))+((W923="")*(INDEX(Setup!$M$6:$M$23,16)="Y"))+((Y923="")*(INDEX(Setup!$M$6:$M$23,16)="Y")))</f>
        <v/>
      </c>
      <c r="AC923" s="91">
        <f>IF($B923="","",IF(AB923=0,"✓ covered","⚠ "&amp;AB923&amp;IF(AB923=1," gap"," gaps")))</f>
        <v/>
      </c>
    </row>
    <row r="924" ht="17" customHeight="1">
      <c r="A924" t="n">
        <v>19</v>
      </c>
      <c r="B924" s="24">
        <f>IF(Setup!$K$22="","",Setup!$K$22)</f>
        <v/>
      </c>
      <c r="C924" s="88" t="n"/>
      <c r="D924" s="88" t="n"/>
      <c r="E924" s="88" t="n"/>
      <c r="F924" s="89" t="n"/>
      <c r="G924" s="88" t="n"/>
      <c r="H924" s="88" t="n"/>
      <c r="I924" s="88" t="n"/>
      <c r="J924" s="89" t="n"/>
      <c r="K924" s="88" t="n"/>
      <c r="L924" s="88" t="n"/>
      <c r="M924" s="88" t="n"/>
      <c r="N924" s="89" t="n"/>
      <c r="O924" s="88" t="n"/>
      <c r="P924" s="88" t="n"/>
      <c r="Q924" s="88" t="n"/>
      <c r="R924" s="89" t="n"/>
      <c r="S924" s="88" t="n"/>
      <c r="T924" s="88" t="n"/>
      <c r="U924" s="88" t="n"/>
      <c r="V924" s="89" t="n"/>
      <c r="W924" s="88" t="n"/>
      <c r="X924" s="89" t="n"/>
      <c r="Y924" s="88" t="n"/>
      <c r="Z924" s="89" t="n"/>
      <c r="AB924" s="25">
        <f>IF($B924="","",(COUNTIF(C924:E924,"?*")&lt;N(INDEX(Setup!$L$6:$L$23,17)))+(COUNTIF(G924:I924,"?*")&lt;N(INDEX(Setup!$L$6:$L$23,17)))+(COUNTIF(K924:M924,"?*")&lt;N(INDEX(Setup!$L$6:$L$23,17)))+(COUNTIF(O924:Q924,"?*")&lt;N(INDEX(Setup!$L$6:$L$23,17)))+(COUNTIF(S924:U924,"?*")&lt;N(INDEX(Setup!$L$6:$L$23,17)))+((W924="")*(INDEX(Setup!$M$6:$M$23,17)="Y"))+((Y924="")*(INDEX(Setup!$M$6:$M$23,17)="Y")))</f>
        <v/>
      </c>
      <c r="AC924" s="90">
        <f>IF($B924="","",IF(AB924=0,"✓ covered","⚠ "&amp;AB924&amp;IF(AB924=1," gap"," gaps")))</f>
        <v/>
      </c>
    </row>
    <row r="925" ht="17" customHeight="1">
      <c r="A925" t="n">
        <v>19</v>
      </c>
      <c r="B925" s="29">
        <f>IF(Setup!$K$23="","",Setup!$K$23)</f>
        <v/>
      </c>
      <c r="C925" s="88" t="n"/>
      <c r="D925" s="88" t="n"/>
      <c r="E925" s="88" t="n"/>
      <c r="F925" s="89" t="n"/>
      <c r="G925" s="88" t="n"/>
      <c r="H925" s="88" t="n"/>
      <c r="I925" s="88" t="n"/>
      <c r="J925" s="89" t="n"/>
      <c r="K925" s="88" t="n"/>
      <c r="L925" s="88" t="n"/>
      <c r="M925" s="88" t="n"/>
      <c r="N925" s="89" t="n"/>
      <c r="O925" s="88" t="n"/>
      <c r="P925" s="88" t="n"/>
      <c r="Q925" s="88" t="n"/>
      <c r="R925" s="89" t="n"/>
      <c r="S925" s="88" t="n"/>
      <c r="T925" s="88" t="n"/>
      <c r="U925" s="88" t="n"/>
      <c r="V925" s="89" t="n"/>
      <c r="W925" s="88" t="n"/>
      <c r="X925" s="89" t="n"/>
      <c r="Y925" s="88" t="n"/>
      <c r="Z925" s="89" t="n"/>
      <c r="AB925" s="30">
        <f>IF($B925="","",(COUNTIF(C925:E925,"?*")&lt;N(INDEX(Setup!$L$6:$L$23,18)))+(COUNTIF(G925:I925,"?*")&lt;N(INDEX(Setup!$L$6:$L$23,18)))+(COUNTIF(K925:M925,"?*")&lt;N(INDEX(Setup!$L$6:$L$23,18)))+(COUNTIF(O925:Q925,"?*")&lt;N(INDEX(Setup!$L$6:$L$23,18)))+(COUNTIF(S925:U925,"?*")&lt;N(INDEX(Setup!$L$6:$L$23,18)))+((W925="")*(INDEX(Setup!$M$6:$M$23,18)="Y"))+((Y925="")*(INDEX(Setup!$M$6:$M$23,18)="Y")))</f>
        <v/>
      </c>
      <c r="AC925" s="91">
        <f>IF($B925="","",IF(AB925=0,"✓ covered","⚠ "&amp;AB925&amp;IF(AB925=1," gap"," gaps")))</f>
        <v/>
      </c>
    </row>
    <row r="926" ht="18" customHeight="1">
      <c r="A926" t="n">
        <v>19</v>
      </c>
      <c r="B926" s="78" t="inlineStr">
        <is>
          <t>TEAM AVAILABILITY</t>
        </is>
      </c>
      <c r="C926" s="92" t="inlineStr">
        <is>
          <t>Mon</t>
        </is>
      </c>
      <c r="D926" s="93" t="n"/>
      <c r="E926" s="93" t="n"/>
      <c r="F926" s="94" t="n"/>
      <c r="G926" s="92" t="inlineStr">
        <is>
          <t>Tue</t>
        </is>
      </c>
      <c r="H926" s="93" t="n"/>
      <c r="I926" s="93" t="n"/>
      <c r="J926" s="94" t="n"/>
      <c r="K926" s="92" t="inlineStr">
        <is>
          <t>Wed</t>
        </is>
      </c>
      <c r="L926" s="93" t="n"/>
      <c r="M926" s="93" t="n"/>
      <c r="N926" s="94" t="n"/>
      <c r="O926" s="92" t="inlineStr">
        <is>
          <t>Thu</t>
        </is>
      </c>
      <c r="P926" s="93" t="n"/>
      <c r="Q926" s="93" t="n"/>
      <c r="R926" s="94" t="n"/>
      <c r="S926" s="92" t="inlineStr">
        <is>
          <t>Fri</t>
        </is>
      </c>
      <c r="T926" s="93" t="n"/>
      <c r="U926" s="93" t="n"/>
      <c r="V926" s="94" t="n"/>
      <c r="W926" s="95" t="inlineStr">
        <is>
          <t>Sat</t>
        </is>
      </c>
      <c r="X926" s="96" t="n"/>
      <c r="Y926" s="95" t="inlineStr">
        <is>
          <t>Sun</t>
        </is>
      </c>
      <c r="Z926" s="96" t="n"/>
      <c r="AB926" s="97" t="inlineStr">
        <is>
          <t>Days rostered</t>
        </is>
      </c>
      <c r="AC926" s="97" t="inlineStr">
        <is>
          <t>Conflicts</t>
        </is>
      </c>
    </row>
    <row r="927" ht="15" customHeight="1">
      <c r="A927" t="n">
        <v>19</v>
      </c>
      <c r="B927" s="35">
        <f>IF(Setup!$B$6="","",Setup!$B$6)</f>
        <v/>
      </c>
      <c r="C927" s="98" t="n"/>
      <c r="D927" s="99" t="n"/>
      <c r="E927" s="99" t="n"/>
      <c r="F927" s="100" t="n"/>
      <c r="G927" s="98" t="n"/>
      <c r="H927" s="99" t="n"/>
      <c r="I927" s="99" t="n"/>
      <c r="J927" s="100" t="n"/>
      <c r="K927" s="98" t="n"/>
      <c r="L927" s="99" t="n"/>
      <c r="M927" s="99" t="n"/>
      <c r="N927" s="100" t="n"/>
      <c r="O927" s="98" t="n"/>
      <c r="P927" s="99" t="n"/>
      <c r="Q927" s="99" t="n"/>
      <c r="R927" s="100" t="n"/>
      <c r="S927" s="98" t="n"/>
      <c r="T927" s="99" t="n"/>
      <c r="U927" s="99" t="n"/>
      <c r="V927" s="100" t="n"/>
      <c r="W927" s="98" t="n"/>
      <c r="X927" s="100" t="n"/>
      <c r="Y927" s="98" t="n"/>
      <c r="Z927" s="100" t="n"/>
      <c r="AB927" s="101">
        <f>IF($B927="","",(COUNTIF(C908:E925,$B927)+COUNTIF(C908:E925,$B927&amp;" ~*")&gt;0)+(COUNTIF(G908:I925,$B927)+COUNTIF(G908:I925,$B927&amp;" ~*")&gt;0)+(COUNTIF(K908:M925,$B927)+COUNTIF(K908:M925,$B927&amp;" ~*")&gt;0)+(COUNTIF(O908:Q925,$B927)+COUNTIF(O908:Q925,$B927&amp;" ~*")&gt;0)+(COUNTIF(S908:U925,$B927)+COUNTIF(S908:U925,$B927&amp;" ~*")&gt;0)+(COUNTIF(W908:W925,$B927)+COUNTIF(W908:W925,$B927&amp;" ~*")&gt;0)+(COUNTIF(Y908:Y925,$B927)+COUNTIF(Y908:Y925,$B927&amp;" ~*")&gt;0))</f>
        <v/>
      </c>
      <c r="AC927" s="36">
        <f>IF($B927="","",(IFERROR(INDEX(Setup!$G$33:$G$40,MATCH(C927,Setup!$B$33:$B$40,0)),0)=1)*(COUNTIF(C908:E925,$B927)+COUNTIF(C908:E925,$B927&amp;" ~*")&gt;0)+(IFERROR(INDEX(Setup!$G$33:$G$40,MATCH(G927,Setup!$B$33:$B$40,0)),0)=1)*(COUNTIF(G908:I925,$B927)+COUNTIF(G908:I925,$B927&amp;" ~*")&gt;0)+(IFERROR(INDEX(Setup!$G$33:$G$40,MATCH(K927,Setup!$B$33:$B$40,0)),0)=1)*(COUNTIF(K908:M925,$B927)+COUNTIF(K908:M925,$B927&amp;" ~*")&gt;0)+(IFERROR(INDEX(Setup!$G$33:$G$40,MATCH(O927,Setup!$B$33:$B$40,0)),0)=1)*(COUNTIF(O908:Q925,$B927)+COUNTIF(O908:Q925,$B927&amp;" ~*")&gt;0)+(IFERROR(INDEX(Setup!$G$33:$G$40,MATCH(S927,Setup!$B$33:$B$40,0)),0)=1)*(COUNTIF(S908:U925,$B927)+COUNTIF(S908:U925,$B927&amp;" ~*")&gt;0)+(IFERROR(INDEX(Setup!$G$33:$G$40,MATCH(W927,Setup!$B$33:$B$40,0)),0)=1)*(COUNTIF(W908:W925,$B927)+COUNTIF(W908:W925,$B927&amp;" ~*")&gt;0)+(IFERROR(INDEX(Setup!$G$33:$G$40,MATCH(Y927,Setup!$B$33:$B$40,0)),0)=1)*(COUNTIF(Y908:Y925,$B927)+COUNTIF(Y908:Y925,$B927&amp;" ~*")&gt;0))</f>
        <v/>
      </c>
    </row>
    <row r="928" ht="15" customHeight="1">
      <c r="A928" t="n">
        <v>19</v>
      </c>
      <c r="B928" s="37">
        <f>IF(Setup!$B$7="","",Setup!$B$7)</f>
        <v/>
      </c>
      <c r="C928" s="102" t="n"/>
      <c r="D928" s="103" t="n"/>
      <c r="E928" s="103" t="n"/>
      <c r="F928" s="104" t="n"/>
      <c r="G928" s="102" t="n"/>
      <c r="H928" s="103" t="n"/>
      <c r="I928" s="103" t="n"/>
      <c r="J928" s="104" t="n"/>
      <c r="K928" s="102" t="n"/>
      <c r="L928" s="103" t="n"/>
      <c r="M928" s="103" t="n"/>
      <c r="N928" s="104" t="n"/>
      <c r="O928" s="102" t="n"/>
      <c r="P928" s="103" t="n"/>
      <c r="Q928" s="103" t="n"/>
      <c r="R928" s="104" t="n"/>
      <c r="S928" s="102" t="n"/>
      <c r="T928" s="103" t="n"/>
      <c r="U928" s="103" t="n"/>
      <c r="V928" s="104" t="n"/>
      <c r="W928" s="102" t="n"/>
      <c r="X928" s="104" t="n"/>
      <c r="Y928" s="102" t="n"/>
      <c r="Z928" s="104" t="n"/>
      <c r="AB928" s="105">
        <f>IF($B928="","",(COUNTIF(C908:E925,$B928)+COUNTIF(C908:E925,$B928&amp;" ~*")&gt;0)+(COUNTIF(G908:I925,$B928)+COUNTIF(G908:I925,$B928&amp;" ~*")&gt;0)+(COUNTIF(K908:M925,$B928)+COUNTIF(K908:M925,$B928&amp;" ~*")&gt;0)+(COUNTIF(O908:Q925,$B928)+COUNTIF(O908:Q925,$B928&amp;" ~*")&gt;0)+(COUNTIF(S908:U925,$B928)+COUNTIF(S908:U925,$B928&amp;" ~*")&gt;0)+(COUNTIF(W908:W925,$B928)+COUNTIF(W908:W925,$B928&amp;" ~*")&gt;0)+(COUNTIF(Y908:Y925,$B928)+COUNTIF(Y908:Y925,$B928&amp;" ~*")&gt;0))</f>
        <v/>
      </c>
      <c r="AC928" s="38">
        <f>IF($B928="","",(IFERROR(INDEX(Setup!$G$33:$G$40,MATCH(C928,Setup!$B$33:$B$40,0)),0)=1)*(COUNTIF(C908:E925,$B928)+COUNTIF(C908:E925,$B928&amp;" ~*")&gt;0)+(IFERROR(INDEX(Setup!$G$33:$G$40,MATCH(G928,Setup!$B$33:$B$40,0)),0)=1)*(COUNTIF(G908:I925,$B928)+COUNTIF(G908:I925,$B928&amp;" ~*")&gt;0)+(IFERROR(INDEX(Setup!$G$33:$G$40,MATCH(K928,Setup!$B$33:$B$40,0)),0)=1)*(COUNTIF(K908:M925,$B928)+COUNTIF(K908:M925,$B928&amp;" ~*")&gt;0)+(IFERROR(INDEX(Setup!$G$33:$G$40,MATCH(O928,Setup!$B$33:$B$40,0)),0)=1)*(COUNTIF(O908:Q925,$B928)+COUNTIF(O908:Q925,$B928&amp;" ~*")&gt;0)+(IFERROR(INDEX(Setup!$G$33:$G$40,MATCH(S928,Setup!$B$33:$B$40,0)),0)=1)*(COUNTIF(S908:U925,$B928)+COUNTIF(S908:U925,$B928&amp;" ~*")&gt;0)+(IFERROR(INDEX(Setup!$G$33:$G$40,MATCH(W928,Setup!$B$33:$B$40,0)),0)=1)*(COUNTIF(W908:W925,$B928)+COUNTIF(W908:W925,$B928&amp;" ~*")&gt;0)+(IFERROR(INDEX(Setup!$G$33:$G$40,MATCH(Y928,Setup!$B$33:$B$40,0)),0)=1)*(COUNTIF(Y908:Y925,$B928)+COUNTIF(Y908:Y925,$B928&amp;" ~*")&gt;0))</f>
        <v/>
      </c>
    </row>
    <row r="929" ht="15" customHeight="1">
      <c r="A929" t="n">
        <v>19</v>
      </c>
      <c r="B929" s="35">
        <f>IF(Setup!$B$8="","",Setup!$B$8)</f>
        <v/>
      </c>
      <c r="C929" s="98" t="n"/>
      <c r="D929" s="99" t="n"/>
      <c r="E929" s="99" t="n"/>
      <c r="F929" s="100" t="n"/>
      <c r="G929" s="98" t="n"/>
      <c r="H929" s="99" t="n"/>
      <c r="I929" s="99" t="n"/>
      <c r="J929" s="100" t="n"/>
      <c r="K929" s="98" t="n"/>
      <c r="L929" s="99" t="n"/>
      <c r="M929" s="99" t="n"/>
      <c r="N929" s="100" t="n"/>
      <c r="O929" s="98" t="n"/>
      <c r="P929" s="99" t="n"/>
      <c r="Q929" s="99" t="n"/>
      <c r="R929" s="100" t="n"/>
      <c r="S929" s="98" t="n"/>
      <c r="T929" s="99" t="n"/>
      <c r="U929" s="99" t="n"/>
      <c r="V929" s="100" t="n"/>
      <c r="W929" s="98" t="n"/>
      <c r="X929" s="100" t="n"/>
      <c r="Y929" s="98" t="n"/>
      <c r="Z929" s="100" t="n"/>
      <c r="AB929" s="101">
        <f>IF($B929="","",(COUNTIF(C908:E925,$B929)+COUNTIF(C908:E925,$B929&amp;" ~*")&gt;0)+(COUNTIF(G908:I925,$B929)+COUNTIF(G908:I925,$B929&amp;" ~*")&gt;0)+(COUNTIF(K908:M925,$B929)+COUNTIF(K908:M925,$B929&amp;" ~*")&gt;0)+(COUNTIF(O908:Q925,$B929)+COUNTIF(O908:Q925,$B929&amp;" ~*")&gt;0)+(COUNTIF(S908:U925,$B929)+COUNTIF(S908:U925,$B929&amp;" ~*")&gt;0)+(COUNTIF(W908:W925,$B929)+COUNTIF(W908:W925,$B929&amp;" ~*")&gt;0)+(COUNTIF(Y908:Y925,$B929)+COUNTIF(Y908:Y925,$B929&amp;" ~*")&gt;0))</f>
        <v/>
      </c>
      <c r="AC929" s="36">
        <f>IF($B929="","",(IFERROR(INDEX(Setup!$G$33:$G$40,MATCH(C929,Setup!$B$33:$B$40,0)),0)=1)*(COUNTIF(C908:E925,$B929)+COUNTIF(C908:E925,$B929&amp;" ~*")&gt;0)+(IFERROR(INDEX(Setup!$G$33:$G$40,MATCH(G929,Setup!$B$33:$B$40,0)),0)=1)*(COUNTIF(G908:I925,$B929)+COUNTIF(G908:I925,$B929&amp;" ~*")&gt;0)+(IFERROR(INDEX(Setup!$G$33:$G$40,MATCH(K929,Setup!$B$33:$B$40,0)),0)=1)*(COUNTIF(K908:M925,$B929)+COUNTIF(K908:M925,$B929&amp;" ~*")&gt;0)+(IFERROR(INDEX(Setup!$G$33:$G$40,MATCH(O929,Setup!$B$33:$B$40,0)),0)=1)*(COUNTIF(O908:Q925,$B929)+COUNTIF(O908:Q925,$B929&amp;" ~*")&gt;0)+(IFERROR(INDEX(Setup!$G$33:$G$40,MATCH(S929,Setup!$B$33:$B$40,0)),0)=1)*(COUNTIF(S908:U925,$B929)+COUNTIF(S908:U925,$B929&amp;" ~*")&gt;0)+(IFERROR(INDEX(Setup!$G$33:$G$40,MATCH(W929,Setup!$B$33:$B$40,0)),0)=1)*(COUNTIF(W908:W925,$B929)+COUNTIF(W908:W925,$B929&amp;" ~*")&gt;0)+(IFERROR(INDEX(Setup!$G$33:$G$40,MATCH(Y929,Setup!$B$33:$B$40,0)),0)=1)*(COUNTIF(Y908:Y925,$B929)+COUNTIF(Y908:Y925,$B929&amp;" ~*")&gt;0))</f>
        <v/>
      </c>
    </row>
    <row r="930" ht="15" customHeight="1">
      <c r="A930" t="n">
        <v>19</v>
      </c>
      <c r="B930" s="37">
        <f>IF(Setup!$B$9="","",Setup!$B$9)</f>
        <v/>
      </c>
      <c r="C930" s="102" t="n"/>
      <c r="D930" s="103" t="n"/>
      <c r="E930" s="103" t="n"/>
      <c r="F930" s="104" t="n"/>
      <c r="G930" s="102" t="n"/>
      <c r="H930" s="103" t="n"/>
      <c r="I930" s="103" t="n"/>
      <c r="J930" s="104" t="n"/>
      <c r="K930" s="102" t="n"/>
      <c r="L930" s="103" t="n"/>
      <c r="M930" s="103" t="n"/>
      <c r="N930" s="104" t="n"/>
      <c r="O930" s="102" t="n"/>
      <c r="P930" s="103" t="n"/>
      <c r="Q930" s="103" t="n"/>
      <c r="R930" s="104" t="n"/>
      <c r="S930" s="102" t="n"/>
      <c r="T930" s="103" t="n"/>
      <c r="U930" s="103" t="n"/>
      <c r="V930" s="104" t="n"/>
      <c r="W930" s="102" t="n"/>
      <c r="X930" s="104" t="n"/>
      <c r="Y930" s="102" t="n"/>
      <c r="Z930" s="104" t="n"/>
      <c r="AB930" s="105">
        <f>IF($B930="","",(COUNTIF(C908:E925,$B930)+COUNTIF(C908:E925,$B930&amp;" ~*")&gt;0)+(COUNTIF(G908:I925,$B930)+COUNTIF(G908:I925,$B930&amp;" ~*")&gt;0)+(COUNTIF(K908:M925,$B930)+COUNTIF(K908:M925,$B930&amp;" ~*")&gt;0)+(COUNTIF(O908:Q925,$B930)+COUNTIF(O908:Q925,$B930&amp;" ~*")&gt;0)+(COUNTIF(S908:U925,$B930)+COUNTIF(S908:U925,$B930&amp;" ~*")&gt;0)+(COUNTIF(W908:W925,$B930)+COUNTIF(W908:W925,$B930&amp;" ~*")&gt;0)+(COUNTIF(Y908:Y925,$B930)+COUNTIF(Y908:Y925,$B930&amp;" ~*")&gt;0))</f>
        <v/>
      </c>
      <c r="AC930" s="38">
        <f>IF($B930="","",(IFERROR(INDEX(Setup!$G$33:$G$40,MATCH(C930,Setup!$B$33:$B$40,0)),0)=1)*(COUNTIF(C908:E925,$B930)+COUNTIF(C908:E925,$B930&amp;" ~*")&gt;0)+(IFERROR(INDEX(Setup!$G$33:$G$40,MATCH(G930,Setup!$B$33:$B$40,0)),0)=1)*(COUNTIF(G908:I925,$B930)+COUNTIF(G908:I925,$B930&amp;" ~*")&gt;0)+(IFERROR(INDEX(Setup!$G$33:$G$40,MATCH(K930,Setup!$B$33:$B$40,0)),0)=1)*(COUNTIF(K908:M925,$B930)+COUNTIF(K908:M925,$B930&amp;" ~*")&gt;0)+(IFERROR(INDEX(Setup!$G$33:$G$40,MATCH(O930,Setup!$B$33:$B$40,0)),0)=1)*(COUNTIF(O908:Q925,$B930)+COUNTIF(O908:Q925,$B930&amp;" ~*")&gt;0)+(IFERROR(INDEX(Setup!$G$33:$G$40,MATCH(S930,Setup!$B$33:$B$40,0)),0)=1)*(COUNTIF(S908:U925,$B930)+COUNTIF(S908:U925,$B930&amp;" ~*")&gt;0)+(IFERROR(INDEX(Setup!$G$33:$G$40,MATCH(W930,Setup!$B$33:$B$40,0)),0)=1)*(COUNTIF(W908:W925,$B930)+COUNTIF(W908:W925,$B930&amp;" ~*")&gt;0)+(IFERROR(INDEX(Setup!$G$33:$G$40,MATCH(Y930,Setup!$B$33:$B$40,0)),0)=1)*(COUNTIF(Y908:Y925,$B930)+COUNTIF(Y908:Y925,$B930&amp;" ~*")&gt;0))</f>
        <v/>
      </c>
    </row>
    <row r="931" ht="15" customHeight="1">
      <c r="A931" t="n">
        <v>19</v>
      </c>
      <c r="B931" s="35">
        <f>IF(Setup!$B$10="","",Setup!$B$10)</f>
        <v/>
      </c>
      <c r="C931" s="98" t="n"/>
      <c r="D931" s="99" t="n"/>
      <c r="E931" s="99" t="n"/>
      <c r="F931" s="100" t="n"/>
      <c r="G931" s="98" t="n"/>
      <c r="H931" s="99" t="n"/>
      <c r="I931" s="99" t="n"/>
      <c r="J931" s="100" t="n"/>
      <c r="K931" s="98" t="n"/>
      <c r="L931" s="99" t="n"/>
      <c r="M931" s="99" t="n"/>
      <c r="N931" s="100" t="n"/>
      <c r="O931" s="98" t="n"/>
      <c r="P931" s="99" t="n"/>
      <c r="Q931" s="99" t="n"/>
      <c r="R931" s="100" t="n"/>
      <c r="S931" s="98" t="n"/>
      <c r="T931" s="99" t="n"/>
      <c r="U931" s="99" t="n"/>
      <c r="V931" s="100" t="n"/>
      <c r="W931" s="98" t="n"/>
      <c r="X931" s="100" t="n"/>
      <c r="Y931" s="98" t="n"/>
      <c r="Z931" s="100" t="n"/>
      <c r="AB931" s="101">
        <f>IF($B931="","",(COUNTIF(C908:E925,$B931)+COUNTIF(C908:E925,$B931&amp;" ~*")&gt;0)+(COUNTIF(G908:I925,$B931)+COUNTIF(G908:I925,$B931&amp;" ~*")&gt;0)+(COUNTIF(K908:M925,$B931)+COUNTIF(K908:M925,$B931&amp;" ~*")&gt;0)+(COUNTIF(O908:Q925,$B931)+COUNTIF(O908:Q925,$B931&amp;" ~*")&gt;0)+(COUNTIF(S908:U925,$B931)+COUNTIF(S908:U925,$B931&amp;" ~*")&gt;0)+(COUNTIF(W908:W925,$B931)+COUNTIF(W908:W925,$B931&amp;" ~*")&gt;0)+(COUNTIF(Y908:Y925,$B931)+COUNTIF(Y908:Y925,$B931&amp;" ~*")&gt;0))</f>
        <v/>
      </c>
      <c r="AC931" s="36">
        <f>IF($B931="","",(IFERROR(INDEX(Setup!$G$33:$G$40,MATCH(C931,Setup!$B$33:$B$40,0)),0)=1)*(COUNTIF(C908:E925,$B931)+COUNTIF(C908:E925,$B931&amp;" ~*")&gt;0)+(IFERROR(INDEX(Setup!$G$33:$G$40,MATCH(G931,Setup!$B$33:$B$40,0)),0)=1)*(COUNTIF(G908:I925,$B931)+COUNTIF(G908:I925,$B931&amp;" ~*")&gt;0)+(IFERROR(INDEX(Setup!$G$33:$G$40,MATCH(K931,Setup!$B$33:$B$40,0)),0)=1)*(COUNTIF(K908:M925,$B931)+COUNTIF(K908:M925,$B931&amp;" ~*")&gt;0)+(IFERROR(INDEX(Setup!$G$33:$G$40,MATCH(O931,Setup!$B$33:$B$40,0)),0)=1)*(COUNTIF(O908:Q925,$B931)+COUNTIF(O908:Q925,$B931&amp;" ~*")&gt;0)+(IFERROR(INDEX(Setup!$G$33:$G$40,MATCH(S931,Setup!$B$33:$B$40,0)),0)=1)*(COUNTIF(S908:U925,$B931)+COUNTIF(S908:U925,$B931&amp;" ~*")&gt;0)+(IFERROR(INDEX(Setup!$G$33:$G$40,MATCH(W931,Setup!$B$33:$B$40,0)),0)=1)*(COUNTIF(W908:W925,$B931)+COUNTIF(W908:W925,$B931&amp;" ~*")&gt;0)+(IFERROR(INDEX(Setup!$G$33:$G$40,MATCH(Y931,Setup!$B$33:$B$40,0)),0)=1)*(COUNTIF(Y908:Y925,$B931)+COUNTIF(Y908:Y925,$B931&amp;" ~*")&gt;0))</f>
        <v/>
      </c>
    </row>
    <row r="932" ht="15" customHeight="1">
      <c r="A932" t="n">
        <v>19</v>
      </c>
      <c r="B932" s="37">
        <f>IF(Setup!$B$11="","",Setup!$B$11)</f>
        <v/>
      </c>
      <c r="C932" s="102" t="n"/>
      <c r="D932" s="103" t="n"/>
      <c r="E932" s="103" t="n"/>
      <c r="F932" s="104" t="n"/>
      <c r="G932" s="102" t="n"/>
      <c r="H932" s="103" t="n"/>
      <c r="I932" s="103" t="n"/>
      <c r="J932" s="104" t="n"/>
      <c r="K932" s="102" t="n"/>
      <c r="L932" s="103" t="n"/>
      <c r="M932" s="103" t="n"/>
      <c r="N932" s="104" t="n"/>
      <c r="O932" s="102" t="n"/>
      <c r="P932" s="103" t="n"/>
      <c r="Q932" s="103" t="n"/>
      <c r="R932" s="104" t="n"/>
      <c r="S932" s="102" t="n"/>
      <c r="T932" s="103" t="n"/>
      <c r="U932" s="103" t="n"/>
      <c r="V932" s="104" t="n"/>
      <c r="W932" s="102" t="n"/>
      <c r="X932" s="104" t="n"/>
      <c r="Y932" s="102" t="n"/>
      <c r="Z932" s="104" t="n"/>
      <c r="AB932" s="105">
        <f>IF($B932="","",(COUNTIF(C908:E925,$B932)+COUNTIF(C908:E925,$B932&amp;" ~*")&gt;0)+(COUNTIF(G908:I925,$B932)+COUNTIF(G908:I925,$B932&amp;" ~*")&gt;0)+(COUNTIF(K908:M925,$B932)+COUNTIF(K908:M925,$B932&amp;" ~*")&gt;0)+(COUNTIF(O908:Q925,$B932)+COUNTIF(O908:Q925,$B932&amp;" ~*")&gt;0)+(COUNTIF(S908:U925,$B932)+COUNTIF(S908:U925,$B932&amp;" ~*")&gt;0)+(COUNTIF(W908:W925,$B932)+COUNTIF(W908:W925,$B932&amp;" ~*")&gt;0)+(COUNTIF(Y908:Y925,$B932)+COUNTIF(Y908:Y925,$B932&amp;" ~*")&gt;0))</f>
        <v/>
      </c>
      <c r="AC932" s="38">
        <f>IF($B932="","",(IFERROR(INDEX(Setup!$G$33:$G$40,MATCH(C932,Setup!$B$33:$B$40,0)),0)=1)*(COUNTIF(C908:E925,$B932)+COUNTIF(C908:E925,$B932&amp;" ~*")&gt;0)+(IFERROR(INDEX(Setup!$G$33:$G$40,MATCH(G932,Setup!$B$33:$B$40,0)),0)=1)*(COUNTIF(G908:I925,$B932)+COUNTIF(G908:I925,$B932&amp;" ~*")&gt;0)+(IFERROR(INDEX(Setup!$G$33:$G$40,MATCH(K932,Setup!$B$33:$B$40,0)),0)=1)*(COUNTIF(K908:M925,$B932)+COUNTIF(K908:M925,$B932&amp;" ~*")&gt;0)+(IFERROR(INDEX(Setup!$G$33:$G$40,MATCH(O932,Setup!$B$33:$B$40,0)),0)=1)*(COUNTIF(O908:Q925,$B932)+COUNTIF(O908:Q925,$B932&amp;" ~*")&gt;0)+(IFERROR(INDEX(Setup!$G$33:$G$40,MATCH(S932,Setup!$B$33:$B$40,0)),0)=1)*(COUNTIF(S908:U925,$B932)+COUNTIF(S908:U925,$B932&amp;" ~*")&gt;0)+(IFERROR(INDEX(Setup!$G$33:$G$40,MATCH(W932,Setup!$B$33:$B$40,0)),0)=1)*(COUNTIF(W908:W925,$B932)+COUNTIF(W908:W925,$B932&amp;" ~*")&gt;0)+(IFERROR(INDEX(Setup!$G$33:$G$40,MATCH(Y932,Setup!$B$33:$B$40,0)),0)=1)*(COUNTIF(Y908:Y925,$B932)+COUNTIF(Y908:Y925,$B932&amp;" ~*")&gt;0))</f>
        <v/>
      </c>
    </row>
    <row r="933" ht="15" customHeight="1">
      <c r="A933" t="n">
        <v>19</v>
      </c>
      <c r="B933" s="35">
        <f>IF(Setup!$B$12="","",Setup!$B$12)</f>
        <v/>
      </c>
      <c r="C933" s="98" t="n"/>
      <c r="D933" s="99" t="n"/>
      <c r="E933" s="99" t="n"/>
      <c r="F933" s="100" t="n"/>
      <c r="G933" s="98" t="n"/>
      <c r="H933" s="99" t="n"/>
      <c r="I933" s="99" t="n"/>
      <c r="J933" s="100" t="n"/>
      <c r="K933" s="98" t="n"/>
      <c r="L933" s="99" t="n"/>
      <c r="M933" s="99" t="n"/>
      <c r="N933" s="100" t="n"/>
      <c r="O933" s="98" t="n"/>
      <c r="P933" s="99" t="n"/>
      <c r="Q933" s="99" t="n"/>
      <c r="R933" s="100" t="n"/>
      <c r="S933" s="98" t="n"/>
      <c r="T933" s="99" t="n"/>
      <c r="U933" s="99" t="n"/>
      <c r="V933" s="100" t="n"/>
      <c r="W933" s="98" t="n"/>
      <c r="X933" s="100" t="n"/>
      <c r="Y933" s="98" t="n"/>
      <c r="Z933" s="100" t="n"/>
      <c r="AB933" s="101">
        <f>IF($B933="","",(COUNTIF(C908:E925,$B933)+COUNTIF(C908:E925,$B933&amp;" ~*")&gt;0)+(COUNTIF(G908:I925,$B933)+COUNTIF(G908:I925,$B933&amp;" ~*")&gt;0)+(COUNTIF(K908:M925,$B933)+COUNTIF(K908:M925,$B933&amp;" ~*")&gt;0)+(COUNTIF(O908:Q925,$B933)+COUNTIF(O908:Q925,$B933&amp;" ~*")&gt;0)+(COUNTIF(S908:U925,$B933)+COUNTIF(S908:U925,$B933&amp;" ~*")&gt;0)+(COUNTIF(W908:W925,$B933)+COUNTIF(W908:W925,$B933&amp;" ~*")&gt;0)+(COUNTIF(Y908:Y925,$B933)+COUNTIF(Y908:Y925,$B933&amp;" ~*")&gt;0))</f>
        <v/>
      </c>
      <c r="AC933" s="36">
        <f>IF($B933="","",(IFERROR(INDEX(Setup!$G$33:$G$40,MATCH(C933,Setup!$B$33:$B$40,0)),0)=1)*(COUNTIF(C908:E925,$B933)+COUNTIF(C908:E925,$B933&amp;" ~*")&gt;0)+(IFERROR(INDEX(Setup!$G$33:$G$40,MATCH(G933,Setup!$B$33:$B$40,0)),0)=1)*(COUNTIF(G908:I925,$B933)+COUNTIF(G908:I925,$B933&amp;" ~*")&gt;0)+(IFERROR(INDEX(Setup!$G$33:$G$40,MATCH(K933,Setup!$B$33:$B$40,0)),0)=1)*(COUNTIF(K908:M925,$B933)+COUNTIF(K908:M925,$B933&amp;" ~*")&gt;0)+(IFERROR(INDEX(Setup!$G$33:$G$40,MATCH(O933,Setup!$B$33:$B$40,0)),0)=1)*(COUNTIF(O908:Q925,$B933)+COUNTIF(O908:Q925,$B933&amp;" ~*")&gt;0)+(IFERROR(INDEX(Setup!$G$33:$G$40,MATCH(S933,Setup!$B$33:$B$40,0)),0)=1)*(COUNTIF(S908:U925,$B933)+COUNTIF(S908:U925,$B933&amp;" ~*")&gt;0)+(IFERROR(INDEX(Setup!$G$33:$G$40,MATCH(W933,Setup!$B$33:$B$40,0)),0)=1)*(COUNTIF(W908:W925,$B933)+COUNTIF(W908:W925,$B933&amp;" ~*")&gt;0)+(IFERROR(INDEX(Setup!$G$33:$G$40,MATCH(Y933,Setup!$B$33:$B$40,0)),0)=1)*(COUNTIF(Y908:Y925,$B933)+COUNTIF(Y908:Y925,$B933&amp;" ~*")&gt;0))</f>
        <v/>
      </c>
    </row>
    <row r="934" ht="15" customHeight="1">
      <c r="A934" t="n">
        <v>19</v>
      </c>
      <c r="B934" s="37">
        <f>IF(Setup!$B$13="","",Setup!$B$13)</f>
        <v/>
      </c>
      <c r="C934" s="102" t="n"/>
      <c r="D934" s="103" t="n"/>
      <c r="E934" s="103" t="n"/>
      <c r="F934" s="104" t="n"/>
      <c r="G934" s="102" t="n"/>
      <c r="H934" s="103" t="n"/>
      <c r="I934" s="103" t="n"/>
      <c r="J934" s="104" t="n"/>
      <c r="K934" s="102" t="n"/>
      <c r="L934" s="103" t="n"/>
      <c r="M934" s="103" t="n"/>
      <c r="N934" s="104" t="n"/>
      <c r="O934" s="102" t="n"/>
      <c r="P934" s="103" t="n"/>
      <c r="Q934" s="103" t="n"/>
      <c r="R934" s="104" t="n"/>
      <c r="S934" s="102" t="n"/>
      <c r="T934" s="103" t="n"/>
      <c r="U934" s="103" t="n"/>
      <c r="V934" s="104" t="n"/>
      <c r="W934" s="102" t="n"/>
      <c r="X934" s="104" t="n"/>
      <c r="Y934" s="102" t="n"/>
      <c r="Z934" s="104" t="n"/>
      <c r="AB934" s="105">
        <f>IF($B934="","",(COUNTIF(C908:E925,$B934)+COUNTIF(C908:E925,$B934&amp;" ~*")&gt;0)+(COUNTIF(G908:I925,$B934)+COUNTIF(G908:I925,$B934&amp;" ~*")&gt;0)+(COUNTIF(K908:M925,$B934)+COUNTIF(K908:M925,$B934&amp;" ~*")&gt;0)+(COUNTIF(O908:Q925,$B934)+COUNTIF(O908:Q925,$B934&amp;" ~*")&gt;0)+(COUNTIF(S908:U925,$B934)+COUNTIF(S908:U925,$B934&amp;" ~*")&gt;0)+(COUNTIF(W908:W925,$B934)+COUNTIF(W908:W925,$B934&amp;" ~*")&gt;0)+(COUNTIF(Y908:Y925,$B934)+COUNTIF(Y908:Y925,$B934&amp;" ~*")&gt;0))</f>
        <v/>
      </c>
      <c r="AC934" s="38">
        <f>IF($B934="","",(IFERROR(INDEX(Setup!$G$33:$G$40,MATCH(C934,Setup!$B$33:$B$40,0)),0)=1)*(COUNTIF(C908:E925,$B934)+COUNTIF(C908:E925,$B934&amp;" ~*")&gt;0)+(IFERROR(INDEX(Setup!$G$33:$G$40,MATCH(G934,Setup!$B$33:$B$40,0)),0)=1)*(COUNTIF(G908:I925,$B934)+COUNTIF(G908:I925,$B934&amp;" ~*")&gt;0)+(IFERROR(INDEX(Setup!$G$33:$G$40,MATCH(K934,Setup!$B$33:$B$40,0)),0)=1)*(COUNTIF(K908:M925,$B934)+COUNTIF(K908:M925,$B934&amp;" ~*")&gt;0)+(IFERROR(INDEX(Setup!$G$33:$G$40,MATCH(O934,Setup!$B$33:$B$40,0)),0)=1)*(COUNTIF(O908:Q925,$B934)+COUNTIF(O908:Q925,$B934&amp;" ~*")&gt;0)+(IFERROR(INDEX(Setup!$G$33:$G$40,MATCH(S934,Setup!$B$33:$B$40,0)),0)=1)*(COUNTIF(S908:U925,$B934)+COUNTIF(S908:U925,$B934&amp;" ~*")&gt;0)+(IFERROR(INDEX(Setup!$G$33:$G$40,MATCH(W934,Setup!$B$33:$B$40,0)),0)=1)*(COUNTIF(W908:W925,$B934)+COUNTIF(W908:W925,$B934&amp;" ~*")&gt;0)+(IFERROR(INDEX(Setup!$G$33:$G$40,MATCH(Y934,Setup!$B$33:$B$40,0)),0)=1)*(COUNTIF(Y908:Y925,$B934)+COUNTIF(Y908:Y925,$B934&amp;" ~*")&gt;0))</f>
        <v/>
      </c>
    </row>
    <row r="935" ht="15" customHeight="1">
      <c r="A935" t="n">
        <v>19</v>
      </c>
      <c r="B935" s="35">
        <f>IF(Setup!$B$14="","",Setup!$B$14)</f>
        <v/>
      </c>
      <c r="C935" s="98" t="n"/>
      <c r="D935" s="99" t="n"/>
      <c r="E935" s="99" t="n"/>
      <c r="F935" s="100" t="n"/>
      <c r="G935" s="98" t="n"/>
      <c r="H935" s="99" t="n"/>
      <c r="I935" s="99" t="n"/>
      <c r="J935" s="100" t="n"/>
      <c r="K935" s="98" t="n"/>
      <c r="L935" s="99" t="n"/>
      <c r="M935" s="99" t="n"/>
      <c r="N935" s="100" t="n"/>
      <c r="O935" s="98" t="n"/>
      <c r="P935" s="99" t="n"/>
      <c r="Q935" s="99" t="n"/>
      <c r="R935" s="100" t="n"/>
      <c r="S935" s="98" t="n"/>
      <c r="T935" s="99" t="n"/>
      <c r="U935" s="99" t="n"/>
      <c r="V935" s="100" t="n"/>
      <c r="W935" s="98" t="n"/>
      <c r="X935" s="100" t="n"/>
      <c r="Y935" s="98" t="n"/>
      <c r="Z935" s="100" t="n"/>
      <c r="AB935" s="101">
        <f>IF($B935="","",(COUNTIF(C908:E925,$B935)+COUNTIF(C908:E925,$B935&amp;" ~*")&gt;0)+(COUNTIF(G908:I925,$B935)+COUNTIF(G908:I925,$B935&amp;" ~*")&gt;0)+(COUNTIF(K908:M925,$B935)+COUNTIF(K908:M925,$B935&amp;" ~*")&gt;0)+(COUNTIF(O908:Q925,$B935)+COUNTIF(O908:Q925,$B935&amp;" ~*")&gt;0)+(COUNTIF(S908:U925,$B935)+COUNTIF(S908:U925,$B935&amp;" ~*")&gt;0)+(COUNTIF(W908:W925,$B935)+COUNTIF(W908:W925,$B935&amp;" ~*")&gt;0)+(COUNTIF(Y908:Y925,$B935)+COUNTIF(Y908:Y925,$B935&amp;" ~*")&gt;0))</f>
        <v/>
      </c>
      <c r="AC935" s="36">
        <f>IF($B935="","",(IFERROR(INDEX(Setup!$G$33:$G$40,MATCH(C935,Setup!$B$33:$B$40,0)),0)=1)*(COUNTIF(C908:E925,$B935)+COUNTIF(C908:E925,$B935&amp;" ~*")&gt;0)+(IFERROR(INDEX(Setup!$G$33:$G$40,MATCH(G935,Setup!$B$33:$B$40,0)),0)=1)*(COUNTIF(G908:I925,$B935)+COUNTIF(G908:I925,$B935&amp;" ~*")&gt;0)+(IFERROR(INDEX(Setup!$G$33:$G$40,MATCH(K935,Setup!$B$33:$B$40,0)),0)=1)*(COUNTIF(K908:M925,$B935)+COUNTIF(K908:M925,$B935&amp;" ~*")&gt;0)+(IFERROR(INDEX(Setup!$G$33:$G$40,MATCH(O935,Setup!$B$33:$B$40,0)),0)=1)*(COUNTIF(O908:Q925,$B935)+COUNTIF(O908:Q925,$B935&amp;" ~*")&gt;0)+(IFERROR(INDEX(Setup!$G$33:$G$40,MATCH(S935,Setup!$B$33:$B$40,0)),0)=1)*(COUNTIF(S908:U925,$B935)+COUNTIF(S908:U925,$B935&amp;" ~*")&gt;0)+(IFERROR(INDEX(Setup!$G$33:$G$40,MATCH(W935,Setup!$B$33:$B$40,0)),0)=1)*(COUNTIF(W908:W925,$B935)+COUNTIF(W908:W925,$B935&amp;" ~*")&gt;0)+(IFERROR(INDEX(Setup!$G$33:$G$40,MATCH(Y935,Setup!$B$33:$B$40,0)),0)=1)*(COUNTIF(Y908:Y925,$B935)+COUNTIF(Y908:Y925,$B935&amp;" ~*")&gt;0))</f>
        <v/>
      </c>
    </row>
    <row r="936" ht="15" customHeight="1">
      <c r="A936" t="n">
        <v>19</v>
      </c>
      <c r="B936" s="37">
        <f>IF(Setup!$B$15="","",Setup!$B$15)</f>
        <v/>
      </c>
      <c r="C936" s="102" t="n"/>
      <c r="D936" s="103" t="n"/>
      <c r="E936" s="103" t="n"/>
      <c r="F936" s="104" t="n"/>
      <c r="G936" s="102" t="n"/>
      <c r="H936" s="103" t="n"/>
      <c r="I936" s="103" t="n"/>
      <c r="J936" s="104" t="n"/>
      <c r="K936" s="102" t="n"/>
      <c r="L936" s="103" t="n"/>
      <c r="M936" s="103" t="n"/>
      <c r="N936" s="104" t="n"/>
      <c r="O936" s="102" t="n"/>
      <c r="P936" s="103" t="n"/>
      <c r="Q936" s="103" t="n"/>
      <c r="R936" s="104" t="n"/>
      <c r="S936" s="102" t="n"/>
      <c r="T936" s="103" t="n"/>
      <c r="U936" s="103" t="n"/>
      <c r="V936" s="104" t="n"/>
      <c r="W936" s="102" t="n"/>
      <c r="X936" s="104" t="n"/>
      <c r="Y936" s="102" t="n"/>
      <c r="Z936" s="104" t="n"/>
      <c r="AB936" s="105">
        <f>IF($B936="","",(COUNTIF(C908:E925,$B936)+COUNTIF(C908:E925,$B936&amp;" ~*")&gt;0)+(COUNTIF(G908:I925,$B936)+COUNTIF(G908:I925,$B936&amp;" ~*")&gt;0)+(COUNTIF(K908:M925,$B936)+COUNTIF(K908:M925,$B936&amp;" ~*")&gt;0)+(COUNTIF(O908:Q925,$B936)+COUNTIF(O908:Q925,$B936&amp;" ~*")&gt;0)+(COUNTIF(S908:U925,$B936)+COUNTIF(S908:U925,$B936&amp;" ~*")&gt;0)+(COUNTIF(W908:W925,$B936)+COUNTIF(W908:W925,$B936&amp;" ~*")&gt;0)+(COUNTIF(Y908:Y925,$B936)+COUNTIF(Y908:Y925,$B936&amp;" ~*")&gt;0))</f>
        <v/>
      </c>
      <c r="AC936" s="38">
        <f>IF($B936="","",(IFERROR(INDEX(Setup!$G$33:$G$40,MATCH(C936,Setup!$B$33:$B$40,0)),0)=1)*(COUNTIF(C908:E925,$B936)+COUNTIF(C908:E925,$B936&amp;" ~*")&gt;0)+(IFERROR(INDEX(Setup!$G$33:$G$40,MATCH(G936,Setup!$B$33:$B$40,0)),0)=1)*(COUNTIF(G908:I925,$B936)+COUNTIF(G908:I925,$B936&amp;" ~*")&gt;0)+(IFERROR(INDEX(Setup!$G$33:$G$40,MATCH(K936,Setup!$B$33:$B$40,0)),0)=1)*(COUNTIF(K908:M925,$B936)+COUNTIF(K908:M925,$B936&amp;" ~*")&gt;0)+(IFERROR(INDEX(Setup!$G$33:$G$40,MATCH(O936,Setup!$B$33:$B$40,0)),0)=1)*(COUNTIF(O908:Q925,$B936)+COUNTIF(O908:Q925,$B936&amp;" ~*")&gt;0)+(IFERROR(INDEX(Setup!$G$33:$G$40,MATCH(S936,Setup!$B$33:$B$40,0)),0)=1)*(COUNTIF(S908:U925,$B936)+COUNTIF(S908:U925,$B936&amp;" ~*")&gt;0)+(IFERROR(INDEX(Setup!$G$33:$G$40,MATCH(W936,Setup!$B$33:$B$40,0)),0)=1)*(COUNTIF(W908:W925,$B936)+COUNTIF(W908:W925,$B936&amp;" ~*")&gt;0)+(IFERROR(INDEX(Setup!$G$33:$G$40,MATCH(Y936,Setup!$B$33:$B$40,0)),0)=1)*(COUNTIF(Y908:Y925,$B936)+COUNTIF(Y908:Y925,$B936&amp;" ~*")&gt;0))</f>
        <v/>
      </c>
    </row>
    <row r="937" ht="15" customHeight="1">
      <c r="A937" t="n">
        <v>19</v>
      </c>
      <c r="B937" s="35">
        <f>IF(Setup!$B$16="","",Setup!$B$16)</f>
        <v/>
      </c>
      <c r="C937" s="98" t="n"/>
      <c r="D937" s="99" t="n"/>
      <c r="E937" s="99" t="n"/>
      <c r="F937" s="100" t="n"/>
      <c r="G937" s="98" t="n"/>
      <c r="H937" s="99" t="n"/>
      <c r="I937" s="99" t="n"/>
      <c r="J937" s="100" t="n"/>
      <c r="K937" s="98" t="n"/>
      <c r="L937" s="99" t="n"/>
      <c r="M937" s="99" t="n"/>
      <c r="N937" s="100" t="n"/>
      <c r="O937" s="98" t="n"/>
      <c r="P937" s="99" t="n"/>
      <c r="Q937" s="99" t="n"/>
      <c r="R937" s="100" t="n"/>
      <c r="S937" s="98" t="n"/>
      <c r="T937" s="99" t="n"/>
      <c r="U937" s="99" t="n"/>
      <c r="V937" s="100" t="n"/>
      <c r="W937" s="98" t="n"/>
      <c r="X937" s="100" t="n"/>
      <c r="Y937" s="98" t="n"/>
      <c r="Z937" s="100" t="n"/>
      <c r="AB937" s="101">
        <f>IF($B937="","",(COUNTIF(C908:E925,$B937)+COUNTIF(C908:E925,$B937&amp;" ~*")&gt;0)+(COUNTIF(G908:I925,$B937)+COUNTIF(G908:I925,$B937&amp;" ~*")&gt;0)+(COUNTIF(K908:M925,$B937)+COUNTIF(K908:M925,$B937&amp;" ~*")&gt;0)+(COUNTIF(O908:Q925,$B937)+COUNTIF(O908:Q925,$B937&amp;" ~*")&gt;0)+(COUNTIF(S908:U925,$B937)+COUNTIF(S908:U925,$B937&amp;" ~*")&gt;0)+(COUNTIF(W908:W925,$B937)+COUNTIF(W908:W925,$B937&amp;" ~*")&gt;0)+(COUNTIF(Y908:Y925,$B937)+COUNTIF(Y908:Y925,$B937&amp;" ~*")&gt;0))</f>
        <v/>
      </c>
      <c r="AC937" s="36">
        <f>IF($B937="","",(IFERROR(INDEX(Setup!$G$33:$G$40,MATCH(C937,Setup!$B$33:$B$40,0)),0)=1)*(COUNTIF(C908:E925,$B937)+COUNTIF(C908:E925,$B937&amp;" ~*")&gt;0)+(IFERROR(INDEX(Setup!$G$33:$G$40,MATCH(G937,Setup!$B$33:$B$40,0)),0)=1)*(COUNTIF(G908:I925,$B937)+COUNTIF(G908:I925,$B937&amp;" ~*")&gt;0)+(IFERROR(INDEX(Setup!$G$33:$G$40,MATCH(K937,Setup!$B$33:$B$40,0)),0)=1)*(COUNTIF(K908:M925,$B937)+COUNTIF(K908:M925,$B937&amp;" ~*")&gt;0)+(IFERROR(INDEX(Setup!$G$33:$G$40,MATCH(O937,Setup!$B$33:$B$40,0)),0)=1)*(COUNTIF(O908:Q925,$B937)+COUNTIF(O908:Q925,$B937&amp;" ~*")&gt;0)+(IFERROR(INDEX(Setup!$G$33:$G$40,MATCH(S937,Setup!$B$33:$B$40,0)),0)=1)*(COUNTIF(S908:U925,$B937)+COUNTIF(S908:U925,$B937&amp;" ~*")&gt;0)+(IFERROR(INDEX(Setup!$G$33:$G$40,MATCH(W937,Setup!$B$33:$B$40,0)),0)=1)*(COUNTIF(W908:W925,$B937)+COUNTIF(W908:W925,$B937&amp;" ~*")&gt;0)+(IFERROR(INDEX(Setup!$G$33:$G$40,MATCH(Y937,Setup!$B$33:$B$40,0)),0)=1)*(COUNTIF(Y908:Y925,$B937)+COUNTIF(Y908:Y925,$B937&amp;" ~*")&gt;0))</f>
        <v/>
      </c>
    </row>
    <row r="938" ht="15" customHeight="1">
      <c r="A938" t="n">
        <v>19</v>
      </c>
      <c r="B938" s="37">
        <f>IF(Setup!$B$17="","",Setup!$B$17)</f>
        <v/>
      </c>
      <c r="C938" s="102" t="n"/>
      <c r="D938" s="103" t="n"/>
      <c r="E938" s="103" t="n"/>
      <c r="F938" s="104" t="n"/>
      <c r="G938" s="102" t="n"/>
      <c r="H938" s="103" t="n"/>
      <c r="I938" s="103" t="n"/>
      <c r="J938" s="104" t="n"/>
      <c r="K938" s="102" t="n"/>
      <c r="L938" s="103" t="n"/>
      <c r="M938" s="103" t="n"/>
      <c r="N938" s="104" t="n"/>
      <c r="O938" s="102" t="n"/>
      <c r="P938" s="103" t="n"/>
      <c r="Q938" s="103" t="n"/>
      <c r="R938" s="104" t="n"/>
      <c r="S938" s="102" t="n"/>
      <c r="T938" s="103" t="n"/>
      <c r="U938" s="103" t="n"/>
      <c r="V938" s="104" t="n"/>
      <c r="W938" s="102" t="n"/>
      <c r="X938" s="104" t="n"/>
      <c r="Y938" s="102" t="n"/>
      <c r="Z938" s="104" t="n"/>
      <c r="AB938" s="105">
        <f>IF($B938="","",(COUNTIF(C908:E925,$B938)+COUNTIF(C908:E925,$B938&amp;" ~*")&gt;0)+(COUNTIF(G908:I925,$B938)+COUNTIF(G908:I925,$B938&amp;" ~*")&gt;0)+(COUNTIF(K908:M925,$B938)+COUNTIF(K908:M925,$B938&amp;" ~*")&gt;0)+(COUNTIF(O908:Q925,$B938)+COUNTIF(O908:Q925,$B938&amp;" ~*")&gt;0)+(COUNTIF(S908:U925,$B938)+COUNTIF(S908:U925,$B938&amp;" ~*")&gt;0)+(COUNTIF(W908:W925,$B938)+COUNTIF(W908:W925,$B938&amp;" ~*")&gt;0)+(COUNTIF(Y908:Y925,$B938)+COUNTIF(Y908:Y925,$B938&amp;" ~*")&gt;0))</f>
        <v/>
      </c>
      <c r="AC938" s="38">
        <f>IF($B938="","",(IFERROR(INDEX(Setup!$G$33:$G$40,MATCH(C938,Setup!$B$33:$B$40,0)),0)=1)*(COUNTIF(C908:E925,$B938)+COUNTIF(C908:E925,$B938&amp;" ~*")&gt;0)+(IFERROR(INDEX(Setup!$G$33:$G$40,MATCH(G938,Setup!$B$33:$B$40,0)),0)=1)*(COUNTIF(G908:I925,$B938)+COUNTIF(G908:I925,$B938&amp;" ~*")&gt;0)+(IFERROR(INDEX(Setup!$G$33:$G$40,MATCH(K938,Setup!$B$33:$B$40,0)),0)=1)*(COUNTIF(K908:M925,$B938)+COUNTIF(K908:M925,$B938&amp;" ~*")&gt;0)+(IFERROR(INDEX(Setup!$G$33:$G$40,MATCH(O938,Setup!$B$33:$B$40,0)),0)=1)*(COUNTIF(O908:Q925,$B938)+COUNTIF(O908:Q925,$B938&amp;" ~*")&gt;0)+(IFERROR(INDEX(Setup!$G$33:$G$40,MATCH(S938,Setup!$B$33:$B$40,0)),0)=1)*(COUNTIF(S908:U925,$B938)+COUNTIF(S908:U925,$B938&amp;" ~*")&gt;0)+(IFERROR(INDEX(Setup!$G$33:$G$40,MATCH(W938,Setup!$B$33:$B$40,0)),0)=1)*(COUNTIF(W908:W925,$B938)+COUNTIF(W908:W925,$B938&amp;" ~*")&gt;0)+(IFERROR(INDEX(Setup!$G$33:$G$40,MATCH(Y938,Setup!$B$33:$B$40,0)),0)=1)*(COUNTIF(Y908:Y925,$B938)+COUNTIF(Y908:Y925,$B938&amp;" ~*")&gt;0))</f>
        <v/>
      </c>
    </row>
    <row r="939" ht="15" customHeight="1">
      <c r="A939" t="n">
        <v>19</v>
      </c>
      <c r="B939" s="35">
        <f>IF(Setup!$B$18="","",Setup!$B$18)</f>
        <v/>
      </c>
      <c r="C939" s="98" t="n"/>
      <c r="D939" s="99" t="n"/>
      <c r="E939" s="99" t="n"/>
      <c r="F939" s="100" t="n"/>
      <c r="G939" s="98" t="n"/>
      <c r="H939" s="99" t="n"/>
      <c r="I939" s="99" t="n"/>
      <c r="J939" s="100" t="n"/>
      <c r="K939" s="98" t="n"/>
      <c r="L939" s="99" t="n"/>
      <c r="M939" s="99" t="n"/>
      <c r="N939" s="100" t="n"/>
      <c r="O939" s="98" t="n"/>
      <c r="P939" s="99" t="n"/>
      <c r="Q939" s="99" t="n"/>
      <c r="R939" s="100" t="n"/>
      <c r="S939" s="98" t="n"/>
      <c r="T939" s="99" t="n"/>
      <c r="U939" s="99" t="n"/>
      <c r="V939" s="100" t="n"/>
      <c r="W939" s="98" t="n"/>
      <c r="X939" s="100" t="n"/>
      <c r="Y939" s="98" t="n"/>
      <c r="Z939" s="100" t="n"/>
      <c r="AB939" s="101">
        <f>IF($B939="","",(COUNTIF(C908:E925,$B939)+COUNTIF(C908:E925,$B939&amp;" ~*")&gt;0)+(COUNTIF(G908:I925,$B939)+COUNTIF(G908:I925,$B939&amp;" ~*")&gt;0)+(COUNTIF(K908:M925,$B939)+COUNTIF(K908:M925,$B939&amp;" ~*")&gt;0)+(COUNTIF(O908:Q925,$B939)+COUNTIF(O908:Q925,$B939&amp;" ~*")&gt;0)+(COUNTIF(S908:U925,$B939)+COUNTIF(S908:U925,$B939&amp;" ~*")&gt;0)+(COUNTIF(W908:W925,$B939)+COUNTIF(W908:W925,$B939&amp;" ~*")&gt;0)+(COUNTIF(Y908:Y925,$B939)+COUNTIF(Y908:Y925,$B939&amp;" ~*")&gt;0))</f>
        <v/>
      </c>
      <c r="AC939" s="36">
        <f>IF($B939="","",(IFERROR(INDEX(Setup!$G$33:$G$40,MATCH(C939,Setup!$B$33:$B$40,0)),0)=1)*(COUNTIF(C908:E925,$B939)+COUNTIF(C908:E925,$B939&amp;" ~*")&gt;0)+(IFERROR(INDEX(Setup!$G$33:$G$40,MATCH(G939,Setup!$B$33:$B$40,0)),0)=1)*(COUNTIF(G908:I925,$B939)+COUNTIF(G908:I925,$B939&amp;" ~*")&gt;0)+(IFERROR(INDEX(Setup!$G$33:$G$40,MATCH(K939,Setup!$B$33:$B$40,0)),0)=1)*(COUNTIF(K908:M925,$B939)+COUNTIF(K908:M925,$B939&amp;" ~*")&gt;0)+(IFERROR(INDEX(Setup!$G$33:$G$40,MATCH(O939,Setup!$B$33:$B$40,0)),0)=1)*(COUNTIF(O908:Q925,$B939)+COUNTIF(O908:Q925,$B939&amp;" ~*")&gt;0)+(IFERROR(INDEX(Setup!$G$33:$G$40,MATCH(S939,Setup!$B$33:$B$40,0)),0)=1)*(COUNTIF(S908:U925,$B939)+COUNTIF(S908:U925,$B939&amp;" ~*")&gt;0)+(IFERROR(INDEX(Setup!$G$33:$G$40,MATCH(W939,Setup!$B$33:$B$40,0)),0)=1)*(COUNTIF(W908:W925,$B939)+COUNTIF(W908:W925,$B939&amp;" ~*")&gt;0)+(IFERROR(INDEX(Setup!$G$33:$G$40,MATCH(Y939,Setup!$B$33:$B$40,0)),0)=1)*(COUNTIF(Y908:Y925,$B939)+COUNTIF(Y908:Y925,$B939&amp;" ~*")&gt;0))</f>
        <v/>
      </c>
    </row>
    <row r="940" ht="15" customHeight="1">
      <c r="A940" t="n">
        <v>19</v>
      </c>
      <c r="B940" s="37">
        <f>IF(Setup!$B$19="","",Setup!$B$19)</f>
        <v/>
      </c>
      <c r="C940" s="102" t="n"/>
      <c r="D940" s="103" t="n"/>
      <c r="E940" s="103" t="n"/>
      <c r="F940" s="104" t="n"/>
      <c r="G940" s="102" t="n"/>
      <c r="H940" s="103" t="n"/>
      <c r="I940" s="103" t="n"/>
      <c r="J940" s="104" t="n"/>
      <c r="K940" s="102" t="n"/>
      <c r="L940" s="103" t="n"/>
      <c r="M940" s="103" t="n"/>
      <c r="N940" s="104" t="n"/>
      <c r="O940" s="102" t="n"/>
      <c r="P940" s="103" t="n"/>
      <c r="Q940" s="103" t="n"/>
      <c r="R940" s="104" t="n"/>
      <c r="S940" s="102" t="n"/>
      <c r="T940" s="103" t="n"/>
      <c r="U940" s="103" t="n"/>
      <c r="V940" s="104" t="n"/>
      <c r="W940" s="102" t="n"/>
      <c r="X940" s="104" t="n"/>
      <c r="Y940" s="102" t="n"/>
      <c r="Z940" s="104" t="n"/>
      <c r="AB940" s="105">
        <f>IF($B940="","",(COUNTIF(C908:E925,$B940)+COUNTIF(C908:E925,$B940&amp;" ~*")&gt;0)+(COUNTIF(G908:I925,$B940)+COUNTIF(G908:I925,$B940&amp;" ~*")&gt;0)+(COUNTIF(K908:M925,$B940)+COUNTIF(K908:M925,$B940&amp;" ~*")&gt;0)+(COUNTIF(O908:Q925,$B940)+COUNTIF(O908:Q925,$B940&amp;" ~*")&gt;0)+(COUNTIF(S908:U925,$B940)+COUNTIF(S908:U925,$B940&amp;" ~*")&gt;0)+(COUNTIF(W908:W925,$B940)+COUNTIF(W908:W925,$B940&amp;" ~*")&gt;0)+(COUNTIF(Y908:Y925,$B940)+COUNTIF(Y908:Y925,$B940&amp;" ~*")&gt;0))</f>
        <v/>
      </c>
      <c r="AC940" s="38">
        <f>IF($B940="","",(IFERROR(INDEX(Setup!$G$33:$G$40,MATCH(C940,Setup!$B$33:$B$40,0)),0)=1)*(COUNTIF(C908:E925,$B940)+COUNTIF(C908:E925,$B940&amp;" ~*")&gt;0)+(IFERROR(INDEX(Setup!$G$33:$G$40,MATCH(G940,Setup!$B$33:$B$40,0)),0)=1)*(COUNTIF(G908:I925,$B940)+COUNTIF(G908:I925,$B940&amp;" ~*")&gt;0)+(IFERROR(INDEX(Setup!$G$33:$G$40,MATCH(K940,Setup!$B$33:$B$40,0)),0)=1)*(COUNTIF(K908:M925,$B940)+COUNTIF(K908:M925,$B940&amp;" ~*")&gt;0)+(IFERROR(INDEX(Setup!$G$33:$G$40,MATCH(O940,Setup!$B$33:$B$40,0)),0)=1)*(COUNTIF(O908:Q925,$B940)+COUNTIF(O908:Q925,$B940&amp;" ~*")&gt;0)+(IFERROR(INDEX(Setup!$G$33:$G$40,MATCH(S940,Setup!$B$33:$B$40,0)),0)=1)*(COUNTIF(S908:U925,$B940)+COUNTIF(S908:U925,$B940&amp;" ~*")&gt;0)+(IFERROR(INDEX(Setup!$G$33:$G$40,MATCH(W940,Setup!$B$33:$B$40,0)),0)=1)*(COUNTIF(W908:W925,$B940)+COUNTIF(W908:W925,$B940&amp;" ~*")&gt;0)+(IFERROR(INDEX(Setup!$G$33:$G$40,MATCH(Y940,Setup!$B$33:$B$40,0)),0)=1)*(COUNTIF(Y908:Y925,$B940)+COUNTIF(Y908:Y925,$B940&amp;" ~*")&gt;0))</f>
        <v/>
      </c>
    </row>
    <row r="941" ht="15" customHeight="1">
      <c r="A941" t="n">
        <v>19</v>
      </c>
      <c r="B941" s="35">
        <f>IF(Setup!$B$20="","",Setup!$B$20)</f>
        <v/>
      </c>
      <c r="C941" s="98" t="n"/>
      <c r="D941" s="99" t="n"/>
      <c r="E941" s="99" t="n"/>
      <c r="F941" s="100" t="n"/>
      <c r="G941" s="98" t="n"/>
      <c r="H941" s="99" t="n"/>
      <c r="I941" s="99" t="n"/>
      <c r="J941" s="100" t="n"/>
      <c r="K941" s="98" t="n"/>
      <c r="L941" s="99" t="n"/>
      <c r="M941" s="99" t="n"/>
      <c r="N941" s="100" t="n"/>
      <c r="O941" s="98" t="n"/>
      <c r="P941" s="99" t="n"/>
      <c r="Q941" s="99" t="n"/>
      <c r="R941" s="100" t="n"/>
      <c r="S941" s="98" t="n"/>
      <c r="T941" s="99" t="n"/>
      <c r="U941" s="99" t="n"/>
      <c r="V941" s="100" t="n"/>
      <c r="W941" s="98" t="n"/>
      <c r="X941" s="100" t="n"/>
      <c r="Y941" s="98" t="n"/>
      <c r="Z941" s="100" t="n"/>
      <c r="AB941" s="101">
        <f>IF($B941="","",(COUNTIF(C908:E925,$B941)+COUNTIF(C908:E925,$B941&amp;" ~*")&gt;0)+(COUNTIF(G908:I925,$B941)+COUNTIF(G908:I925,$B941&amp;" ~*")&gt;0)+(COUNTIF(K908:M925,$B941)+COUNTIF(K908:M925,$B941&amp;" ~*")&gt;0)+(COUNTIF(O908:Q925,$B941)+COUNTIF(O908:Q925,$B941&amp;" ~*")&gt;0)+(COUNTIF(S908:U925,$B941)+COUNTIF(S908:U925,$B941&amp;" ~*")&gt;0)+(COUNTIF(W908:W925,$B941)+COUNTIF(W908:W925,$B941&amp;" ~*")&gt;0)+(COUNTIF(Y908:Y925,$B941)+COUNTIF(Y908:Y925,$B941&amp;" ~*")&gt;0))</f>
        <v/>
      </c>
      <c r="AC941" s="36">
        <f>IF($B941="","",(IFERROR(INDEX(Setup!$G$33:$G$40,MATCH(C941,Setup!$B$33:$B$40,0)),0)=1)*(COUNTIF(C908:E925,$B941)+COUNTIF(C908:E925,$B941&amp;" ~*")&gt;0)+(IFERROR(INDEX(Setup!$G$33:$G$40,MATCH(G941,Setup!$B$33:$B$40,0)),0)=1)*(COUNTIF(G908:I925,$B941)+COUNTIF(G908:I925,$B941&amp;" ~*")&gt;0)+(IFERROR(INDEX(Setup!$G$33:$G$40,MATCH(K941,Setup!$B$33:$B$40,0)),0)=1)*(COUNTIF(K908:M925,$B941)+COUNTIF(K908:M925,$B941&amp;" ~*")&gt;0)+(IFERROR(INDEX(Setup!$G$33:$G$40,MATCH(O941,Setup!$B$33:$B$40,0)),0)=1)*(COUNTIF(O908:Q925,$B941)+COUNTIF(O908:Q925,$B941&amp;" ~*")&gt;0)+(IFERROR(INDEX(Setup!$G$33:$G$40,MATCH(S941,Setup!$B$33:$B$40,0)),0)=1)*(COUNTIF(S908:U925,$B941)+COUNTIF(S908:U925,$B941&amp;" ~*")&gt;0)+(IFERROR(INDEX(Setup!$G$33:$G$40,MATCH(W941,Setup!$B$33:$B$40,0)),0)=1)*(COUNTIF(W908:W925,$B941)+COUNTIF(W908:W925,$B941&amp;" ~*")&gt;0)+(IFERROR(INDEX(Setup!$G$33:$G$40,MATCH(Y941,Setup!$B$33:$B$40,0)),0)=1)*(COUNTIF(Y908:Y925,$B941)+COUNTIF(Y908:Y925,$B941&amp;" ~*")&gt;0))</f>
        <v/>
      </c>
    </row>
    <row r="942" ht="15" customHeight="1">
      <c r="A942" t="n">
        <v>19</v>
      </c>
      <c r="B942" s="37">
        <f>IF(Setup!$B$21="","",Setup!$B$21)</f>
        <v/>
      </c>
      <c r="C942" s="102" t="n"/>
      <c r="D942" s="103" t="n"/>
      <c r="E942" s="103" t="n"/>
      <c r="F942" s="104" t="n"/>
      <c r="G942" s="102" t="n"/>
      <c r="H942" s="103" t="n"/>
      <c r="I942" s="103" t="n"/>
      <c r="J942" s="104" t="n"/>
      <c r="K942" s="102" t="n"/>
      <c r="L942" s="103" t="n"/>
      <c r="M942" s="103" t="n"/>
      <c r="N942" s="104" t="n"/>
      <c r="O942" s="102" t="n"/>
      <c r="P942" s="103" t="n"/>
      <c r="Q942" s="103" t="n"/>
      <c r="R942" s="104" t="n"/>
      <c r="S942" s="102" t="n"/>
      <c r="T942" s="103" t="n"/>
      <c r="U942" s="103" t="n"/>
      <c r="V942" s="104" t="n"/>
      <c r="W942" s="102" t="n"/>
      <c r="X942" s="104" t="n"/>
      <c r="Y942" s="102" t="n"/>
      <c r="Z942" s="104" t="n"/>
      <c r="AB942" s="105">
        <f>IF($B942="","",(COUNTIF(C908:E925,$B942)+COUNTIF(C908:E925,$B942&amp;" ~*")&gt;0)+(COUNTIF(G908:I925,$B942)+COUNTIF(G908:I925,$B942&amp;" ~*")&gt;0)+(COUNTIF(K908:M925,$B942)+COUNTIF(K908:M925,$B942&amp;" ~*")&gt;0)+(COUNTIF(O908:Q925,$B942)+COUNTIF(O908:Q925,$B942&amp;" ~*")&gt;0)+(COUNTIF(S908:U925,$B942)+COUNTIF(S908:U925,$B942&amp;" ~*")&gt;0)+(COUNTIF(W908:W925,$B942)+COUNTIF(W908:W925,$B942&amp;" ~*")&gt;0)+(COUNTIF(Y908:Y925,$B942)+COUNTIF(Y908:Y925,$B942&amp;" ~*")&gt;0))</f>
        <v/>
      </c>
      <c r="AC942" s="38">
        <f>IF($B942="","",(IFERROR(INDEX(Setup!$G$33:$G$40,MATCH(C942,Setup!$B$33:$B$40,0)),0)=1)*(COUNTIF(C908:E925,$B942)+COUNTIF(C908:E925,$B942&amp;" ~*")&gt;0)+(IFERROR(INDEX(Setup!$G$33:$G$40,MATCH(G942,Setup!$B$33:$B$40,0)),0)=1)*(COUNTIF(G908:I925,$B942)+COUNTIF(G908:I925,$B942&amp;" ~*")&gt;0)+(IFERROR(INDEX(Setup!$G$33:$G$40,MATCH(K942,Setup!$B$33:$B$40,0)),0)=1)*(COUNTIF(K908:M925,$B942)+COUNTIF(K908:M925,$B942&amp;" ~*")&gt;0)+(IFERROR(INDEX(Setup!$G$33:$G$40,MATCH(O942,Setup!$B$33:$B$40,0)),0)=1)*(COUNTIF(O908:Q925,$B942)+COUNTIF(O908:Q925,$B942&amp;" ~*")&gt;0)+(IFERROR(INDEX(Setup!$G$33:$G$40,MATCH(S942,Setup!$B$33:$B$40,0)),0)=1)*(COUNTIF(S908:U925,$B942)+COUNTIF(S908:U925,$B942&amp;" ~*")&gt;0)+(IFERROR(INDEX(Setup!$G$33:$G$40,MATCH(W942,Setup!$B$33:$B$40,0)),0)=1)*(COUNTIF(W908:W925,$B942)+COUNTIF(W908:W925,$B942&amp;" ~*")&gt;0)+(IFERROR(INDEX(Setup!$G$33:$G$40,MATCH(Y942,Setup!$B$33:$B$40,0)),0)=1)*(COUNTIF(Y908:Y925,$B942)+COUNTIF(Y908:Y925,$B942&amp;" ~*")&gt;0))</f>
        <v/>
      </c>
    </row>
    <row r="943" ht="15" customHeight="1">
      <c r="A943" t="n">
        <v>19</v>
      </c>
      <c r="B943" s="35">
        <f>IF(Setup!$B$22="","",Setup!$B$22)</f>
        <v/>
      </c>
      <c r="C943" s="98" t="n"/>
      <c r="D943" s="99" t="n"/>
      <c r="E943" s="99" t="n"/>
      <c r="F943" s="100" t="n"/>
      <c r="G943" s="98" t="n"/>
      <c r="H943" s="99" t="n"/>
      <c r="I943" s="99" t="n"/>
      <c r="J943" s="100" t="n"/>
      <c r="K943" s="98" t="n"/>
      <c r="L943" s="99" t="n"/>
      <c r="M943" s="99" t="n"/>
      <c r="N943" s="100" t="n"/>
      <c r="O943" s="98" t="n"/>
      <c r="P943" s="99" t="n"/>
      <c r="Q943" s="99" t="n"/>
      <c r="R943" s="100" t="n"/>
      <c r="S943" s="98" t="n"/>
      <c r="T943" s="99" t="n"/>
      <c r="U943" s="99" t="n"/>
      <c r="V943" s="100" t="n"/>
      <c r="W943" s="98" t="n"/>
      <c r="X943" s="100" t="n"/>
      <c r="Y943" s="98" t="n"/>
      <c r="Z943" s="100" t="n"/>
      <c r="AB943" s="101">
        <f>IF($B943="","",(COUNTIF(C908:E925,$B943)+COUNTIF(C908:E925,$B943&amp;" ~*")&gt;0)+(COUNTIF(G908:I925,$B943)+COUNTIF(G908:I925,$B943&amp;" ~*")&gt;0)+(COUNTIF(K908:M925,$B943)+COUNTIF(K908:M925,$B943&amp;" ~*")&gt;0)+(COUNTIF(O908:Q925,$B943)+COUNTIF(O908:Q925,$B943&amp;" ~*")&gt;0)+(COUNTIF(S908:U925,$B943)+COUNTIF(S908:U925,$B943&amp;" ~*")&gt;0)+(COUNTIF(W908:W925,$B943)+COUNTIF(W908:W925,$B943&amp;" ~*")&gt;0)+(COUNTIF(Y908:Y925,$B943)+COUNTIF(Y908:Y925,$B943&amp;" ~*")&gt;0))</f>
        <v/>
      </c>
      <c r="AC943" s="36">
        <f>IF($B943="","",(IFERROR(INDEX(Setup!$G$33:$G$40,MATCH(C943,Setup!$B$33:$B$40,0)),0)=1)*(COUNTIF(C908:E925,$B943)+COUNTIF(C908:E925,$B943&amp;" ~*")&gt;0)+(IFERROR(INDEX(Setup!$G$33:$G$40,MATCH(G943,Setup!$B$33:$B$40,0)),0)=1)*(COUNTIF(G908:I925,$B943)+COUNTIF(G908:I925,$B943&amp;" ~*")&gt;0)+(IFERROR(INDEX(Setup!$G$33:$G$40,MATCH(K943,Setup!$B$33:$B$40,0)),0)=1)*(COUNTIF(K908:M925,$B943)+COUNTIF(K908:M925,$B943&amp;" ~*")&gt;0)+(IFERROR(INDEX(Setup!$G$33:$G$40,MATCH(O943,Setup!$B$33:$B$40,0)),0)=1)*(COUNTIF(O908:Q925,$B943)+COUNTIF(O908:Q925,$B943&amp;" ~*")&gt;0)+(IFERROR(INDEX(Setup!$G$33:$G$40,MATCH(S943,Setup!$B$33:$B$40,0)),0)=1)*(COUNTIF(S908:U925,$B943)+COUNTIF(S908:U925,$B943&amp;" ~*")&gt;0)+(IFERROR(INDEX(Setup!$G$33:$G$40,MATCH(W943,Setup!$B$33:$B$40,0)),0)=1)*(COUNTIF(W908:W925,$B943)+COUNTIF(W908:W925,$B943&amp;" ~*")&gt;0)+(IFERROR(INDEX(Setup!$G$33:$G$40,MATCH(Y943,Setup!$B$33:$B$40,0)),0)=1)*(COUNTIF(Y908:Y925,$B943)+COUNTIF(Y908:Y925,$B943&amp;" ~*")&gt;0))</f>
        <v/>
      </c>
    </row>
    <row r="944" ht="15" customHeight="1">
      <c r="A944" t="n">
        <v>19</v>
      </c>
      <c r="B944" s="37">
        <f>IF(Setup!$B$23="","",Setup!$B$23)</f>
        <v/>
      </c>
      <c r="C944" s="102" t="n"/>
      <c r="D944" s="103" t="n"/>
      <c r="E944" s="103" t="n"/>
      <c r="F944" s="104" t="n"/>
      <c r="G944" s="102" t="n"/>
      <c r="H944" s="103" t="n"/>
      <c r="I944" s="103" t="n"/>
      <c r="J944" s="104" t="n"/>
      <c r="K944" s="102" t="n"/>
      <c r="L944" s="103" t="n"/>
      <c r="M944" s="103" t="n"/>
      <c r="N944" s="104" t="n"/>
      <c r="O944" s="102" t="n"/>
      <c r="P944" s="103" t="n"/>
      <c r="Q944" s="103" t="n"/>
      <c r="R944" s="104" t="n"/>
      <c r="S944" s="102" t="n"/>
      <c r="T944" s="103" t="n"/>
      <c r="U944" s="103" t="n"/>
      <c r="V944" s="104" t="n"/>
      <c r="W944" s="102" t="n"/>
      <c r="X944" s="104" t="n"/>
      <c r="Y944" s="102" t="n"/>
      <c r="Z944" s="104" t="n"/>
      <c r="AB944" s="105">
        <f>IF($B944="","",(COUNTIF(C908:E925,$B944)+COUNTIF(C908:E925,$B944&amp;" ~*")&gt;0)+(COUNTIF(G908:I925,$B944)+COUNTIF(G908:I925,$B944&amp;" ~*")&gt;0)+(COUNTIF(K908:M925,$B944)+COUNTIF(K908:M925,$B944&amp;" ~*")&gt;0)+(COUNTIF(O908:Q925,$B944)+COUNTIF(O908:Q925,$B944&amp;" ~*")&gt;0)+(COUNTIF(S908:U925,$B944)+COUNTIF(S908:U925,$B944&amp;" ~*")&gt;0)+(COUNTIF(W908:W925,$B944)+COUNTIF(W908:W925,$B944&amp;" ~*")&gt;0)+(COUNTIF(Y908:Y925,$B944)+COUNTIF(Y908:Y925,$B944&amp;" ~*")&gt;0))</f>
        <v/>
      </c>
      <c r="AC944" s="38">
        <f>IF($B944="","",(IFERROR(INDEX(Setup!$G$33:$G$40,MATCH(C944,Setup!$B$33:$B$40,0)),0)=1)*(COUNTIF(C908:E925,$B944)+COUNTIF(C908:E925,$B944&amp;" ~*")&gt;0)+(IFERROR(INDEX(Setup!$G$33:$G$40,MATCH(G944,Setup!$B$33:$B$40,0)),0)=1)*(COUNTIF(G908:I925,$B944)+COUNTIF(G908:I925,$B944&amp;" ~*")&gt;0)+(IFERROR(INDEX(Setup!$G$33:$G$40,MATCH(K944,Setup!$B$33:$B$40,0)),0)=1)*(COUNTIF(K908:M925,$B944)+COUNTIF(K908:M925,$B944&amp;" ~*")&gt;0)+(IFERROR(INDEX(Setup!$G$33:$G$40,MATCH(O944,Setup!$B$33:$B$40,0)),0)=1)*(COUNTIF(O908:Q925,$B944)+COUNTIF(O908:Q925,$B944&amp;" ~*")&gt;0)+(IFERROR(INDEX(Setup!$G$33:$G$40,MATCH(S944,Setup!$B$33:$B$40,0)),0)=1)*(COUNTIF(S908:U925,$B944)+COUNTIF(S908:U925,$B944&amp;" ~*")&gt;0)+(IFERROR(INDEX(Setup!$G$33:$G$40,MATCH(W944,Setup!$B$33:$B$40,0)),0)=1)*(COUNTIF(W908:W925,$B944)+COUNTIF(W908:W925,$B944&amp;" ~*")&gt;0)+(IFERROR(INDEX(Setup!$G$33:$G$40,MATCH(Y944,Setup!$B$33:$B$40,0)),0)=1)*(COUNTIF(Y908:Y925,$B944)+COUNTIF(Y908:Y925,$B944&amp;" ~*")&gt;0))</f>
        <v/>
      </c>
    </row>
    <row r="945" ht="15" customHeight="1">
      <c r="A945" t="n">
        <v>19</v>
      </c>
      <c r="B945" s="35">
        <f>IF(Setup!$B$24="","",Setup!$B$24)</f>
        <v/>
      </c>
      <c r="C945" s="98" t="n"/>
      <c r="D945" s="99" t="n"/>
      <c r="E945" s="99" t="n"/>
      <c r="F945" s="100" t="n"/>
      <c r="G945" s="98" t="n"/>
      <c r="H945" s="99" t="n"/>
      <c r="I945" s="99" t="n"/>
      <c r="J945" s="100" t="n"/>
      <c r="K945" s="98" t="n"/>
      <c r="L945" s="99" t="n"/>
      <c r="M945" s="99" t="n"/>
      <c r="N945" s="100" t="n"/>
      <c r="O945" s="98" t="n"/>
      <c r="P945" s="99" t="n"/>
      <c r="Q945" s="99" t="n"/>
      <c r="R945" s="100" t="n"/>
      <c r="S945" s="98" t="n"/>
      <c r="T945" s="99" t="n"/>
      <c r="U945" s="99" t="n"/>
      <c r="V945" s="100" t="n"/>
      <c r="W945" s="98" t="n"/>
      <c r="X945" s="100" t="n"/>
      <c r="Y945" s="98" t="n"/>
      <c r="Z945" s="100" t="n"/>
      <c r="AB945" s="101">
        <f>IF($B945="","",(COUNTIF(C908:E925,$B945)+COUNTIF(C908:E925,$B945&amp;" ~*")&gt;0)+(COUNTIF(G908:I925,$B945)+COUNTIF(G908:I925,$B945&amp;" ~*")&gt;0)+(COUNTIF(K908:M925,$B945)+COUNTIF(K908:M925,$B945&amp;" ~*")&gt;0)+(COUNTIF(O908:Q925,$B945)+COUNTIF(O908:Q925,$B945&amp;" ~*")&gt;0)+(COUNTIF(S908:U925,$B945)+COUNTIF(S908:U925,$B945&amp;" ~*")&gt;0)+(COUNTIF(W908:W925,$B945)+COUNTIF(W908:W925,$B945&amp;" ~*")&gt;0)+(COUNTIF(Y908:Y925,$B945)+COUNTIF(Y908:Y925,$B945&amp;" ~*")&gt;0))</f>
        <v/>
      </c>
      <c r="AC945" s="36">
        <f>IF($B945="","",(IFERROR(INDEX(Setup!$G$33:$G$40,MATCH(C945,Setup!$B$33:$B$40,0)),0)=1)*(COUNTIF(C908:E925,$B945)+COUNTIF(C908:E925,$B945&amp;" ~*")&gt;0)+(IFERROR(INDEX(Setup!$G$33:$G$40,MATCH(G945,Setup!$B$33:$B$40,0)),0)=1)*(COUNTIF(G908:I925,$B945)+COUNTIF(G908:I925,$B945&amp;" ~*")&gt;0)+(IFERROR(INDEX(Setup!$G$33:$G$40,MATCH(K945,Setup!$B$33:$B$40,0)),0)=1)*(COUNTIF(K908:M925,$B945)+COUNTIF(K908:M925,$B945&amp;" ~*")&gt;0)+(IFERROR(INDEX(Setup!$G$33:$G$40,MATCH(O945,Setup!$B$33:$B$40,0)),0)=1)*(COUNTIF(O908:Q925,$B945)+COUNTIF(O908:Q925,$B945&amp;" ~*")&gt;0)+(IFERROR(INDEX(Setup!$G$33:$G$40,MATCH(S945,Setup!$B$33:$B$40,0)),0)=1)*(COUNTIF(S908:U925,$B945)+COUNTIF(S908:U925,$B945&amp;" ~*")&gt;0)+(IFERROR(INDEX(Setup!$G$33:$G$40,MATCH(W945,Setup!$B$33:$B$40,0)),0)=1)*(COUNTIF(W908:W925,$B945)+COUNTIF(W908:W925,$B945&amp;" ~*")&gt;0)+(IFERROR(INDEX(Setup!$G$33:$G$40,MATCH(Y945,Setup!$B$33:$B$40,0)),0)=1)*(COUNTIF(Y908:Y925,$B945)+COUNTIF(Y908:Y925,$B945&amp;" ~*")&gt;0))</f>
        <v/>
      </c>
    </row>
    <row r="946" ht="15" customHeight="1">
      <c r="A946" t="n">
        <v>19</v>
      </c>
      <c r="B946" s="37">
        <f>IF(Setup!$B$25="","",Setup!$B$25)</f>
        <v/>
      </c>
      <c r="C946" s="102" t="n"/>
      <c r="D946" s="103" t="n"/>
      <c r="E946" s="103" t="n"/>
      <c r="F946" s="104" t="n"/>
      <c r="G946" s="102" t="n"/>
      <c r="H946" s="103" t="n"/>
      <c r="I946" s="103" t="n"/>
      <c r="J946" s="104" t="n"/>
      <c r="K946" s="102" t="n"/>
      <c r="L946" s="103" t="n"/>
      <c r="M946" s="103" t="n"/>
      <c r="N946" s="104" t="n"/>
      <c r="O946" s="102" t="n"/>
      <c r="P946" s="103" t="n"/>
      <c r="Q946" s="103" t="n"/>
      <c r="R946" s="104" t="n"/>
      <c r="S946" s="102" t="n"/>
      <c r="T946" s="103" t="n"/>
      <c r="U946" s="103" t="n"/>
      <c r="V946" s="104" t="n"/>
      <c r="W946" s="102" t="n"/>
      <c r="X946" s="104" t="n"/>
      <c r="Y946" s="102" t="n"/>
      <c r="Z946" s="104" t="n"/>
      <c r="AB946" s="105">
        <f>IF($B946="","",(COUNTIF(C908:E925,$B946)+COUNTIF(C908:E925,$B946&amp;" ~*")&gt;0)+(COUNTIF(G908:I925,$B946)+COUNTIF(G908:I925,$B946&amp;" ~*")&gt;0)+(COUNTIF(K908:M925,$B946)+COUNTIF(K908:M925,$B946&amp;" ~*")&gt;0)+(COUNTIF(O908:Q925,$B946)+COUNTIF(O908:Q925,$B946&amp;" ~*")&gt;0)+(COUNTIF(S908:U925,$B946)+COUNTIF(S908:U925,$B946&amp;" ~*")&gt;0)+(COUNTIF(W908:W925,$B946)+COUNTIF(W908:W925,$B946&amp;" ~*")&gt;0)+(COUNTIF(Y908:Y925,$B946)+COUNTIF(Y908:Y925,$B946&amp;" ~*")&gt;0))</f>
        <v/>
      </c>
      <c r="AC946" s="38">
        <f>IF($B946="","",(IFERROR(INDEX(Setup!$G$33:$G$40,MATCH(C946,Setup!$B$33:$B$40,0)),0)=1)*(COUNTIF(C908:E925,$B946)+COUNTIF(C908:E925,$B946&amp;" ~*")&gt;0)+(IFERROR(INDEX(Setup!$G$33:$G$40,MATCH(G946,Setup!$B$33:$B$40,0)),0)=1)*(COUNTIF(G908:I925,$B946)+COUNTIF(G908:I925,$B946&amp;" ~*")&gt;0)+(IFERROR(INDEX(Setup!$G$33:$G$40,MATCH(K946,Setup!$B$33:$B$40,0)),0)=1)*(COUNTIF(K908:M925,$B946)+COUNTIF(K908:M925,$B946&amp;" ~*")&gt;0)+(IFERROR(INDEX(Setup!$G$33:$G$40,MATCH(O946,Setup!$B$33:$B$40,0)),0)=1)*(COUNTIF(O908:Q925,$B946)+COUNTIF(O908:Q925,$B946&amp;" ~*")&gt;0)+(IFERROR(INDEX(Setup!$G$33:$G$40,MATCH(S946,Setup!$B$33:$B$40,0)),0)=1)*(COUNTIF(S908:U925,$B946)+COUNTIF(S908:U925,$B946&amp;" ~*")&gt;0)+(IFERROR(INDEX(Setup!$G$33:$G$40,MATCH(W946,Setup!$B$33:$B$40,0)),0)=1)*(COUNTIF(W908:W925,$B946)+COUNTIF(W908:W925,$B946&amp;" ~*")&gt;0)+(IFERROR(INDEX(Setup!$G$33:$G$40,MATCH(Y946,Setup!$B$33:$B$40,0)),0)=1)*(COUNTIF(Y908:Y925,$B946)+COUNTIF(Y908:Y925,$B946&amp;" ~*")&gt;0))</f>
        <v/>
      </c>
    </row>
    <row r="947" ht="15" customHeight="1">
      <c r="A947" t="n">
        <v>19</v>
      </c>
      <c r="B947" s="35">
        <f>IF(Setup!$B$26="","",Setup!$B$26)</f>
        <v/>
      </c>
      <c r="C947" s="98" t="n"/>
      <c r="D947" s="99" t="n"/>
      <c r="E947" s="99" t="n"/>
      <c r="F947" s="100" t="n"/>
      <c r="G947" s="98" t="n"/>
      <c r="H947" s="99" t="n"/>
      <c r="I947" s="99" t="n"/>
      <c r="J947" s="100" t="n"/>
      <c r="K947" s="98" t="n"/>
      <c r="L947" s="99" t="n"/>
      <c r="M947" s="99" t="n"/>
      <c r="N947" s="100" t="n"/>
      <c r="O947" s="98" t="n"/>
      <c r="P947" s="99" t="n"/>
      <c r="Q947" s="99" t="n"/>
      <c r="R947" s="100" t="n"/>
      <c r="S947" s="98" t="n"/>
      <c r="T947" s="99" t="n"/>
      <c r="U947" s="99" t="n"/>
      <c r="V947" s="100" t="n"/>
      <c r="W947" s="98" t="n"/>
      <c r="X947" s="100" t="n"/>
      <c r="Y947" s="98" t="n"/>
      <c r="Z947" s="100" t="n"/>
      <c r="AB947" s="101">
        <f>IF($B947="","",(COUNTIF(C908:E925,$B947)+COUNTIF(C908:E925,$B947&amp;" ~*")&gt;0)+(COUNTIF(G908:I925,$B947)+COUNTIF(G908:I925,$B947&amp;" ~*")&gt;0)+(COUNTIF(K908:M925,$B947)+COUNTIF(K908:M925,$B947&amp;" ~*")&gt;0)+(COUNTIF(O908:Q925,$B947)+COUNTIF(O908:Q925,$B947&amp;" ~*")&gt;0)+(COUNTIF(S908:U925,$B947)+COUNTIF(S908:U925,$B947&amp;" ~*")&gt;0)+(COUNTIF(W908:W925,$B947)+COUNTIF(W908:W925,$B947&amp;" ~*")&gt;0)+(COUNTIF(Y908:Y925,$B947)+COUNTIF(Y908:Y925,$B947&amp;" ~*")&gt;0))</f>
        <v/>
      </c>
      <c r="AC947" s="36">
        <f>IF($B947="","",(IFERROR(INDEX(Setup!$G$33:$G$40,MATCH(C947,Setup!$B$33:$B$40,0)),0)=1)*(COUNTIF(C908:E925,$B947)+COUNTIF(C908:E925,$B947&amp;" ~*")&gt;0)+(IFERROR(INDEX(Setup!$G$33:$G$40,MATCH(G947,Setup!$B$33:$B$40,0)),0)=1)*(COUNTIF(G908:I925,$B947)+COUNTIF(G908:I925,$B947&amp;" ~*")&gt;0)+(IFERROR(INDEX(Setup!$G$33:$G$40,MATCH(K947,Setup!$B$33:$B$40,0)),0)=1)*(COUNTIF(K908:M925,$B947)+COUNTIF(K908:M925,$B947&amp;" ~*")&gt;0)+(IFERROR(INDEX(Setup!$G$33:$G$40,MATCH(O947,Setup!$B$33:$B$40,0)),0)=1)*(COUNTIF(O908:Q925,$B947)+COUNTIF(O908:Q925,$B947&amp;" ~*")&gt;0)+(IFERROR(INDEX(Setup!$G$33:$G$40,MATCH(S947,Setup!$B$33:$B$40,0)),0)=1)*(COUNTIF(S908:U925,$B947)+COUNTIF(S908:U925,$B947&amp;" ~*")&gt;0)+(IFERROR(INDEX(Setup!$G$33:$G$40,MATCH(W947,Setup!$B$33:$B$40,0)),0)=1)*(COUNTIF(W908:W925,$B947)+COUNTIF(W908:W925,$B947&amp;" ~*")&gt;0)+(IFERROR(INDEX(Setup!$G$33:$G$40,MATCH(Y947,Setup!$B$33:$B$40,0)),0)=1)*(COUNTIF(Y908:Y925,$B947)+COUNTIF(Y908:Y925,$B947&amp;" ~*")&gt;0))</f>
        <v/>
      </c>
    </row>
    <row r="948" ht="15" customHeight="1">
      <c r="A948" t="n">
        <v>19</v>
      </c>
      <c r="B948" s="37">
        <f>IF(Setup!$B$27="","",Setup!$B$27)</f>
        <v/>
      </c>
      <c r="C948" s="102" t="n"/>
      <c r="D948" s="103" t="n"/>
      <c r="E948" s="103" t="n"/>
      <c r="F948" s="104" t="n"/>
      <c r="G948" s="102" t="n"/>
      <c r="H948" s="103" t="n"/>
      <c r="I948" s="103" t="n"/>
      <c r="J948" s="104" t="n"/>
      <c r="K948" s="102" t="n"/>
      <c r="L948" s="103" t="n"/>
      <c r="M948" s="103" t="n"/>
      <c r="N948" s="104" t="n"/>
      <c r="O948" s="102" t="n"/>
      <c r="P948" s="103" t="n"/>
      <c r="Q948" s="103" t="n"/>
      <c r="R948" s="104" t="n"/>
      <c r="S948" s="102" t="n"/>
      <c r="T948" s="103" t="n"/>
      <c r="U948" s="103" t="n"/>
      <c r="V948" s="104" t="n"/>
      <c r="W948" s="102" t="n"/>
      <c r="X948" s="104" t="n"/>
      <c r="Y948" s="102" t="n"/>
      <c r="Z948" s="104" t="n"/>
      <c r="AB948" s="105">
        <f>IF($B948="","",(COUNTIF(C908:E925,$B948)+COUNTIF(C908:E925,$B948&amp;" ~*")&gt;0)+(COUNTIF(G908:I925,$B948)+COUNTIF(G908:I925,$B948&amp;" ~*")&gt;0)+(COUNTIF(K908:M925,$B948)+COUNTIF(K908:M925,$B948&amp;" ~*")&gt;0)+(COUNTIF(O908:Q925,$B948)+COUNTIF(O908:Q925,$B948&amp;" ~*")&gt;0)+(COUNTIF(S908:U925,$B948)+COUNTIF(S908:U925,$B948&amp;" ~*")&gt;0)+(COUNTIF(W908:W925,$B948)+COUNTIF(W908:W925,$B948&amp;" ~*")&gt;0)+(COUNTIF(Y908:Y925,$B948)+COUNTIF(Y908:Y925,$B948&amp;" ~*")&gt;0))</f>
        <v/>
      </c>
      <c r="AC948" s="38">
        <f>IF($B948="","",(IFERROR(INDEX(Setup!$G$33:$G$40,MATCH(C948,Setup!$B$33:$B$40,0)),0)=1)*(COUNTIF(C908:E925,$B948)+COUNTIF(C908:E925,$B948&amp;" ~*")&gt;0)+(IFERROR(INDEX(Setup!$G$33:$G$40,MATCH(G948,Setup!$B$33:$B$40,0)),0)=1)*(COUNTIF(G908:I925,$B948)+COUNTIF(G908:I925,$B948&amp;" ~*")&gt;0)+(IFERROR(INDEX(Setup!$G$33:$G$40,MATCH(K948,Setup!$B$33:$B$40,0)),0)=1)*(COUNTIF(K908:M925,$B948)+COUNTIF(K908:M925,$B948&amp;" ~*")&gt;0)+(IFERROR(INDEX(Setup!$G$33:$G$40,MATCH(O948,Setup!$B$33:$B$40,0)),0)=1)*(COUNTIF(O908:Q925,$B948)+COUNTIF(O908:Q925,$B948&amp;" ~*")&gt;0)+(IFERROR(INDEX(Setup!$G$33:$G$40,MATCH(S948,Setup!$B$33:$B$40,0)),0)=1)*(COUNTIF(S908:U925,$B948)+COUNTIF(S908:U925,$B948&amp;" ~*")&gt;0)+(IFERROR(INDEX(Setup!$G$33:$G$40,MATCH(W948,Setup!$B$33:$B$40,0)),0)=1)*(COUNTIF(W908:W925,$B948)+COUNTIF(W908:W925,$B948&amp;" ~*")&gt;0)+(IFERROR(INDEX(Setup!$G$33:$G$40,MATCH(Y948,Setup!$B$33:$B$40,0)),0)=1)*(COUNTIF(Y908:Y925,$B948)+COUNTIF(Y908:Y925,$B948&amp;" ~*")&gt;0))</f>
        <v/>
      </c>
    </row>
    <row r="949" ht="15" customHeight="1">
      <c r="A949" t="n">
        <v>19</v>
      </c>
      <c r="B949" s="35">
        <f>IF(Setup!$B$28="","",Setup!$B$28)</f>
        <v/>
      </c>
      <c r="C949" s="98" t="n"/>
      <c r="D949" s="99" t="n"/>
      <c r="E949" s="99" t="n"/>
      <c r="F949" s="100" t="n"/>
      <c r="G949" s="98" t="n"/>
      <c r="H949" s="99" t="n"/>
      <c r="I949" s="99" t="n"/>
      <c r="J949" s="100" t="n"/>
      <c r="K949" s="98" t="n"/>
      <c r="L949" s="99" t="n"/>
      <c r="M949" s="99" t="n"/>
      <c r="N949" s="100" t="n"/>
      <c r="O949" s="98" t="n"/>
      <c r="P949" s="99" t="n"/>
      <c r="Q949" s="99" t="n"/>
      <c r="R949" s="100" t="n"/>
      <c r="S949" s="98" t="n"/>
      <c r="T949" s="99" t="n"/>
      <c r="U949" s="99" t="n"/>
      <c r="V949" s="100" t="n"/>
      <c r="W949" s="98" t="n"/>
      <c r="X949" s="100" t="n"/>
      <c r="Y949" s="98" t="n"/>
      <c r="Z949" s="100" t="n"/>
      <c r="AB949" s="101">
        <f>IF($B949="","",(COUNTIF(C908:E925,$B949)+COUNTIF(C908:E925,$B949&amp;" ~*")&gt;0)+(COUNTIF(G908:I925,$B949)+COUNTIF(G908:I925,$B949&amp;" ~*")&gt;0)+(COUNTIF(K908:M925,$B949)+COUNTIF(K908:M925,$B949&amp;" ~*")&gt;0)+(COUNTIF(O908:Q925,$B949)+COUNTIF(O908:Q925,$B949&amp;" ~*")&gt;0)+(COUNTIF(S908:U925,$B949)+COUNTIF(S908:U925,$B949&amp;" ~*")&gt;0)+(COUNTIF(W908:W925,$B949)+COUNTIF(W908:W925,$B949&amp;" ~*")&gt;0)+(COUNTIF(Y908:Y925,$B949)+COUNTIF(Y908:Y925,$B949&amp;" ~*")&gt;0))</f>
        <v/>
      </c>
      <c r="AC949" s="36">
        <f>IF($B949="","",(IFERROR(INDEX(Setup!$G$33:$G$40,MATCH(C949,Setup!$B$33:$B$40,0)),0)=1)*(COUNTIF(C908:E925,$B949)+COUNTIF(C908:E925,$B949&amp;" ~*")&gt;0)+(IFERROR(INDEX(Setup!$G$33:$G$40,MATCH(G949,Setup!$B$33:$B$40,0)),0)=1)*(COUNTIF(G908:I925,$B949)+COUNTIF(G908:I925,$B949&amp;" ~*")&gt;0)+(IFERROR(INDEX(Setup!$G$33:$G$40,MATCH(K949,Setup!$B$33:$B$40,0)),0)=1)*(COUNTIF(K908:M925,$B949)+COUNTIF(K908:M925,$B949&amp;" ~*")&gt;0)+(IFERROR(INDEX(Setup!$G$33:$G$40,MATCH(O949,Setup!$B$33:$B$40,0)),0)=1)*(COUNTIF(O908:Q925,$B949)+COUNTIF(O908:Q925,$B949&amp;" ~*")&gt;0)+(IFERROR(INDEX(Setup!$G$33:$G$40,MATCH(S949,Setup!$B$33:$B$40,0)),0)=1)*(COUNTIF(S908:U925,$B949)+COUNTIF(S908:U925,$B949&amp;" ~*")&gt;0)+(IFERROR(INDEX(Setup!$G$33:$G$40,MATCH(W949,Setup!$B$33:$B$40,0)),0)=1)*(COUNTIF(W908:W925,$B949)+COUNTIF(W908:W925,$B949&amp;" ~*")&gt;0)+(IFERROR(INDEX(Setup!$G$33:$G$40,MATCH(Y949,Setup!$B$33:$B$40,0)),0)=1)*(COUNTIF(Y908:Y925,$B949)+COUNTIF(Y908:Y925,$B949&amp;" ~*")&gt;0))</f>
        <v/>
      </c>
    </row>
    <row r="950" ht="15" customHeight="1">
      <c r="A950" t="n">
        <v>19</v>
      </c>
      <c r="B950" s="37">
        <f>IF(Setup!$B$29="","",Setup!$B$29)</f>
        <v/>
      </c>
      <c r="C950" s="102" t="n"/>
      <c r="D950" s="103" t="n"/>
      <c r="E950" s="103" t="n"/>
      <c r="F950" s="104" t="n"/>
      <c r="G950" s="102" t="n"/>
      <c r="H950" s="103" t="n"/>
      <c r="I950" s="103" t="n"/>
      <c r="J950" s="104" t="n"/>
      <c r="K950" s="102" t="n"/>
      <c r="L950" s="103" t="n"/>
      <c r="M950" s="103" t="n"/>
      <c r="N950" s="104" t="n"/>
      <c r="O950" s="102" t="n"/>
      <c r="P950" s="103" t="n"/>
      <c r="Q950" s="103" t="n"/>
      <c r="R950" s="104" t="n"/>
      <c r="S950" s="102" t="n"/>
      <c r="T950" s="103" t="n"/>
      <c r="U950" s="103" t="n"/>
      <c r="V950" s="104" t="n"/>
      <c r="W950" s="102" t="n"/>
      <c r="X950" s="104" t="n"/>
      <c r="Y950" s="102" t="n"/>
      <c r="Z950" s="104" t="n"/>
      <c r="AB950" s="105">
        <f>IF($B950="","",(COUNTIF(C908:E925,$B950)+COUNTIF(C908:E925,$B950&amp;" ~*")&gt;0)+(COUNTIF(G908:I925,$B950)+COUNTIF(G908:I925,$B950&amp;" ~*")&gt;0)+(COUNTIF(K908:M925,$B950)+COUNTIF(K908:M925,$B950&amp;" ~*")&gt;0)+(COUNTIF(O908:Q925,$B950)+COUNTIF(O908:Q925,$B950&amp;" ~*")&gt;0)+(COUNTIF(S908:U925,$B950)+COUNTIF(S908:U925,$B950&amp;" ~*")&gt;0)+(COUNTIF(W908:W925,$B950)+COUNTIF(W908:W925,$B950&amp;" ~*")&gt;0)+(COUNTIF(Y908:Y925,$B950)+COUNTIF(Y908:Y925,$B950&amp;" ~*")&gt;0))</f>
        <v/>
      </c>
      <c r="AC950" s="38">
        <f>IF($B950="","",(IFERROR(INDEX(Setup!$G$33:$G$40,MATCH(C950,Setup!$B$33:$B$40,0)),0)=1)*(COUNTIF(C908:E925,$B950)+COUNTIF(C908:E925,$B950&amp;" ~*")&gt;0)+(IFERROR(INDEX(Setup!$G$33:$G$40,MATCH(G950,Setup!$B$33:$B$40,0)),0)=1)*(COUNTIF(G908:I925,$B950)+COUNTIF(G908:I925,$B950&amp;" ~*")&gt;0)+(IFERROR(INDEX(Setup!$G$33:$G$40,MATCH(K950,Setup!$B$33:$B$40,0)),0)=1)*(COUNTIF(K908:M925,$B950)+COUNTIF(K908:M925,$B950&amp;" ~*")&gt;0)+(IFERROR(INDEX(Setup!$G$33:$G$40,MATCH(O950,Setup!$B$33:$B$40,0)),0)=1)*(COUNTIF(O908:Q925,$B950)+COUNTIF(O908:Q925,$B950&amp;" ~*")&gt;0)+(IFERROR(INDEX(Setup!$G$33:$G$40,MATCH(S950,Setup!$B$33:$B$40,0)),0)=1)*(COUNTIF(S908:U925,$B950)+COUNTIF(S908:U925,$B950&amp;" ~*")&gt;0)+(IFERROR(INDEX(Setup!$G$33:$G$40,MATCH(W950,Setup!$B$33:$B$40,0)),0)=1)*(COUNTIF(W908:W925,$B950)+COUNTIF(W908:W925,$B950&amp;" ~*")&gt;0)+(IFERROR(INDEX(Setup!$G$33:$G$40,MATCH(Y950,Setup!$B$33:$B$40,0)),0)=1)*(COUNTIF(Y908:Y925,$B950)+COUNTIF(Y908:Y925,$B950&amp;" ~*")&gt;0))</f>
        <v/>
      </c>
    </row>
    <row r="951" ht="16" customHeight="1">
      <c r="A951" t="n">
        <v>19</v>
      </c>
      <c r="B951" s="106" t="inlineStr">
        <is>
          <t>Available people</t>
        </is>
      </c>
      <c r="C951" s="107">
        <f>COUNTIFS(Setup!$E$6:$E$29,"Y",Setup!$B$6:$B$29,"?*")-SUMPRODUCT(COUNTIF(C927:C950,Setup!$F$33:$F$40))</f>
        <v/>
      </c>
      <c r="D951" s="107" t="n"/>
      <c r="E951" s="107" t="n"/>
      <c r="F951" s="107" t="n"/>
      <c r="G951" s="107">
        <f>COUNTIFS(Setup!$E$6:$E$29,"Y",Setup!$B$6:$B$29,"?*")-SUMPRODUCT(COUNTIF(G927:G950,Setup!$F$33:$F$40))</f>
        <v/>
      </c>
      <c r="H951" s="107" t="n"/>
      <c r="I951" s="107" t="n"/>
      <c r="J951" s="107" t="n"/>
      <c r="K951" s="107">
        <f>COUNTIFS(Setup!$E$6:$E$29,"Y",Setup!$B$6:$B$29,"?*")-SUMPRODUCT(COUNTIF(K927:K950,Setup!$F$33:$F$40))</f>
        <v/>
      </c>
      <c r="L951" s="107" t="n"/>
      <c r="M951" s="107" t="n"/>
      <c r="N951" s="107" t="n"/>
      <c r="O951" s="107">
        <f>COUNTIFS(Setup!$E$6:$E$29,"Y",Setup!$B$6:$B$29,"?*")-SUMPRODUCT(COUNTIF(O927:O950,Setup!$F$33:$F$40))</f>
        <v/>
      </c>
      <c r="P951" s="107" t="n"/>
      <c r="Q951" s="107" t="n"/>
      <c r="R951" s="107" t="n"/>
      <c r="S951" s="107">
        <f>COUNTIFS(Setup!$E$6:$E$29,"Y",Setup!$B$6:$B$29,"?*")-SUMPRODUCT(COUNTIF(S927:S950,Setup!$F$33:$F$40))</f>
        <v/>
      </c>
      <c r="T951" s="107" t="n"/>
      <c r="U951" s="107" t="n"/>
      <c r="V951" s="107" t="n"/>
      <c r="W951" s="107">
        <f>COUNTIFS(Setup!$E$6:$E$29,"Y",Setup!$B$6:$B$29,"?*")-SUMPRODUCT(COUNTIF(W927:W950,Setup!$F$33:$F$40))</f>
        <v/>
      </c>
      <c r="X951" s="107" t="n"/>
      <c r="Y951" s="107">
        <f>COUNTIFS(Setup!$E$6:$E$29,"Y",Setup!$B$6:$B$29,"?*")-SUMPRODUCT(COUNTIF(Y927:Y950,Setup!$F$33:$F$40))</f>
        <v/>
      </c>
      <c r="Z951" s="107" t="n"/>
      <c r="AB951" s="108">
        <f>SUM(AB927:AB950)</f>
        <v/>
      </c>
      <c r="AC951" s="109">
        <f>SUM(AC927:AC950)</f>
        <v/>
      </c>
    </row>
    <row r="952" ht="30" customHeight="1">
      <c r="A952" t="n">
        <v>19</v>
      </c>
      <c r="B952" s="110" t="inlineStr">
        <is>
          <t>Week notes</t>
        </is>
      </c>
      <c r="C952" s="111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112" t="n"/>
      <c r="R952" s="112" t="n"/>
      <c r="S952" s="112" t="n"/>
      <c r="T952" s="112" t="n"/>
      <c r="U952" s="112" t="n"/>
      <c r="V952" s="112" t="n"/>
      <c r="W952" s="112" t="n"/>
      <c r="X952" s="112" t="n"/>
      <c r="Y952" s="112" t="n"/>
      <c r="Z952" s="113" t="n"/>
    </row>
    <row r="953" ht="8" customHeight="1">
      <c r="A953" t="n">
        <v>19</v>
      </c>
    </row>
    <row r="954" ht="8" customHeight="1">
      <c r="A954" t="n">
        <v>19</v>
      </c>
    </row>
    <row r="955" ht="24" customHeight="1">
      <c r="A955" t="n">
        <v>20</v>
      </c>
      <c r="B955" s="73">
        <f>"WEEK 20     "&amp;TEXT(C956,"ddd d mmm")&amp;"  –  "&amp;TEXT(C956+6,"ddd d mmm yyyy")</f>
        <v/>
      </c>
      <c r="S955" s="74">
        <f>IF(TODAY()&lt;C956,"FUTURE",IF(TODAY()&gt;C956+6,"PAST","THIS WEEK"))</f>
        <v/>
      </c>
      <c r="W955" s="75">
        <f>IF(AND(Engine!$B$8=$AC$3,Engine!$B$9=$A955),"◀ ACTIVE WEEK","")</f>
        <v/>
      </c>
      <c r="AA955" s="76" t="n"/>
      <c r="AB955" s="77" t="inlineStr">
        <is>
          <t>◀ Prev</t>
        </is>
      </c>
      <c r="AC955" s="77" t="inlineStr">
        <is>
          <t>Next ▶</t>
        </is>
      </c>
    </row>
    <row r="956" ht="18" customHeight="1">
      <c r="A956" t="n">
        <v>20</v>
      </c>
      <c r="B956" s="78" t="inlineStr">
        <is>
          <t>DUTY</t>
        </is>
      </c>
      <c r="C956" s="79">
        <f>$AC$2+7*($A956-1)</f>
        <v/>
      </c>
      <c r="D956" s="80" t="n"/>
      <c r="E956" s="80" t="n"/>
      <c r="F956" s="81" t="n"/>
      <c r="G956" s="79">
        <f>C956+1</f>
        <v/>
      </c>
      <c r="H956" s="80" t="n"/>
      <c r="I956" s="80" t="n"/>
      <c r="J956" s="81" t="n"/>
      <c r="K956" s="79">
        <f>C956+2</f>
        <v/>
      </c>
      <c r="L956" s="80" t="n"/>
      <c r="M956" s="80" t="n"/>
      <c r="N956" s="81" t="n"/>
      <c r="O956" s="79">
        <f>C956+3</f>
        <v/>
      </c>
      <c r="P956" s="80" t="n"/>
      <c r="Q956" s="80" t="n"/>
      <c r="R956" s="81" t="n"/>
      <c r="S956" s="79">
        <f>C956+4</f>
        <v/>
      </c>
      <c r="T956" s="80" t="n"/>
      <c r="U956" s="80" t="n"/>
      <c r="V956" s="81" t="n"/>
      <c r="W956" s="82">
        <f>C956+5</f>
        <v/>
      </c>
      <c r="X956" s="83" t="n"/>
      <c r="Y956" s="82">
        <f>C956+6</f>
        <v/>
      </c>
      <c r="Z956" s="83" t="n"/>
      <c r="AB956" s="72" t="inlineStr">
        <is>
          <t>Gaps</t>
        </is>
      </c>
      <c r="AC956" s="72" t="inlineStr">
        <is>
          <t>Cover</t>
        </is>
      </c>
    </row>
    <row r="957" ht="14" customHeight="1">
      <c r="A957" t="n">
        <v>20</v>
      </c>
      <c r="B957" s="84" t="inlineStr">
        <is>
          <t>(from Setup)</t>
        </is>
      </c>
      <c r="C957" s="85" t="inlineStr">
        <is>
          <t>1</t>
        </is>
      </c>
      <c r="D957" s="85" t="inlineStr">
        <is>
          <t>2</t>
        </is>
      </c>
      <c r="E957" s="85" t="inlineStr">
        <is>
          <t>3</t>
        </is>
      </c>
      <c r="F957" s="85" t="inlineStr">
        <is>
          <t>Notes</t>
        </is>
      </c>
      <c r="G957" s="85" t="inlineStr">
        <is>
          <t>1</t>
        </is>
      </c>
      <c r="H957" s="85" t="inlineStr">
        <is>
          <t>2</t>
        </is>
      </c>
      <c r="I957" s="85" t="inlineStr">
        <is>
          <t>3</t>
        </is>
      </c>
      <c r="J957" s="85" t="inlineStr">
        <is>
          <t>Notes</t>
        </is>
      </c>
      <c r="K957" s="85" t="inlineStr">
        <is>
          <t>1</t>
        </is>
      </c>
      <c r="L957" s="85" t="inlineStr">
        <is>
          <t>2</t>
        </is>
      </c>
      <c r="M957" s="85" t="inlineStr">
        <is>
          <t>3</t>
        </is>
      </c>
      <c r="N957" s="85" t="inlineStr">
        <is>
          <t>Notes</t>
        </is>
      </c>
      <c r="O957" s="85" t="inlineStr">
        <is>
          <t>1</t>
        </is>
      </c>
      <c r="P957" s="85" t="inlineStr">
        <is>
          <t>2</t>
        </is>
      </c>
      <c r="Q957" s="85" t="inlineStr">
        <is>
          <t>3</t>
        </is>
      </c>
      <c r="R957" s="85" t="inlineStr">
        <is>
          <t>Notes</t>
        </is>
      </c>
      <c r="S957" s="85" t="inlineStr">
        <is>
          <t>1</t>
        </is>
      </c>
      <c r="T957" s="85" t="inlineStr">
        <is>
          <t>2</t>
        </is>
      </c>
      <c r="U957" s="85" t="inlineStr">
        <is>
          <t>3</t>
        </is>
      </c>
      <c r="V957" s="85" t="inlineStr">
        <is>
          <t>Notes</t>
        </is>
      </c>
      <c r="W957" s="85" t="inlineStr">
        <is>
          <t>Cover</t>
        </is>
      </c>
      <c r="X957" s="85" t="inlineStr">
        <is>
          <t>Notes</t>
        </is>
      </c>
      <c r="Y957" s="85" t="inlineStr">
        <is>
          <t>Cover</t>
        </is>
      </c>
      <c r="Z957" s="85" t="inlineStr">
        <is>
          <t>Notes</t>
        </is>
      </c>
      <c r="AB957" s="86" t="inlineStr">
        <is>
          <t>weekdays short</t>
        </is>
      </c>
      <c r="AC957" s="87" t="inlineStr"/>
    </row>
    <row r="958" ht="17" customHeight="1">
      <c r="A958" t="n">
        <v>20</v>
      </c>
      <c r="B958" s="24">
        <f>IF(Setup!$K$6="","",Setup!$K$6)</f>
        <v/>
      </c>
      <c r="C958" s="88" t="n"/>
      <c r="D958" s="88" t="n"/>
      <c r="E958" s="88" t="n"/>
      <c r="F958" s="89" t="n"/>
      <c r="G958" s="88" t="n"/>
      <c r="H958" s="88" t="n"/>
      <c r="I958" s="88" t="n"/>
      <c r="J958" s="89" t="n"/>
      <c r="K958" s="88" t="n"/>
      <c r="L958" s="88" t="n"/>
      <c r="M958" s="88" t="n"/>
      <c r="N958" s="89" t="n"/>
      <c r="O958" s="88" t="n"/>
      <c r="P958" s="88" t="n"/>
      <c r="Q958" s="88" t="n"/>
      <c r="R958" s="89" t="n"/>
      <c r="S958" s="88" t="n"/>
      <c r="T958" s="88" t="n"/>
      <c r="U958" s="88" t="n"/>
      <c r="V958" s="89" t="n"/>
      <c r="W958" s="88" t="n"/>
      <c r="X958" s="89" t="n"/>
      <c r="Y958" s="88" t="n"/>
      <c r="Z958" s="89" t="n"/>
      <c r="AB958" s="25">
        <f>IF($B958="","",(COUNTIF(C958:E958,"?*")&lt;N(INDEX(Setup!$L$6:$L$23,1)))+(COUNTIF(G958:I958,"?*")&lt;N(INDEX(Setup!$L$6:$L$23,1)))+(COUNTIF(K958:M958,"?*")&lt;N(INDEX(Setup!$L$6:$L$23,1)))+(COUNTIF(O958:Q958,"?*")&lt;N(INDEX(Setup!$L$6:$L$23,1)))+(COUNTIF(S958:U958,"?*")&lt;N(INDEX(Setup!$L$6:$L$23,1)))+((W958="")*(INDEX(Setup!$M$6:$M$23,1)="Y"))+((Y958="")*(INDEX(Setup!$M$6:$M$23,1)="Y")))</f>
        <v/>
      </c>
      <c r="AC958" s="90">
        <f>IF($B958="","",IF(AB958=0,"✓ covered","⚠ "&amp;AB958&amp;IF(AB958=1," gap"," gaps")))</f>
        <v/>
      </c>
    </row>
    <row r="959" ht="17" customHeight="1">
      <c r="A959" t="n">
        <v>20</v>
      </c>
      <c r="B959" s="29">
        <f>IF(Setup!$K$7="","",Setup!$K$7)</f>
        <v/>
      </c>
      <c r="C959" s="88" t="n"/>
      <c r="D959" s="88" t="n"/>
      <c r="E959" s="88" t="n"/>
      <c r="F959" s="89" t="n"/>
      <c r="G959" s="88" t="n"/>
      <c r="H959" s="88" t="n"/>
      <c r="I959" s="88" t="n"/>
      <c r="J959" s="89" t="n"/>
      <c r="K959" s="88" t="n"/>
      <c r="L959" s="88" t="n"/>
      <c r="M959" s="88" t="n"/>
      <c r="N959" s="89" t="n"/>
      <c r="O959" s="88" t="n"/>
      <c r="P959" s="88" t="n"/>
      <c r="Q959" s="88" t="n"/>
      <c r="R959" s="89" t="n"/>
      <c r="S959" s="88" t="n"/>
      <c r="T959" s="88" t="n"/>
      <c r="U959" s="88" t="n"/>
      <c r="V959" s="89" t="n"/>
      <c r="W959" s="88" t="n"/>
      <c r="X959" s="89" t="n"/>
      <c r="Y959" s="88" t="n"/>
      <c r="Z959" s="89" t="n"/>
      <c r="AB959" s="30">
        <f>IF($B959="","",(COUNTIF(C959:E959,"?*")&lt;N(INDEX(Setup!$L$6:$L$23,2)))+(COUNTIF(G959:I959,"?*")&lt;N(INDEX(Setup!$L$6:$L$23,2)))+(COUNTIF(K959:M959,"?*")&lt;N(INDEX(Setup!$L$6:$L$23,2)))+(COUNTIF(O959:Q959,"?*")&lt;N(INDEX(Setup!$L$6:$L$23,2)))+(COUNTIF(S959:U959,"?*")&lt;N(INDEX(Setup!$L$6:$L$23,2)))+((W959="")*(INDEX(Setup!$M$6:$M$23,2)="Y"))+((Y959="")*(INDEX(Setup!$M$6:$M$23,2)="Y")))</f>
        <v/>
      </c>
      <c r="AC959" s="91">
        <f>IF($B959="","",IF(AB959=0,"✓ covered","⚠ "&amp;AB959&amp;IF(AB959=1," gap"," gaps")))</f>
        <v/>
      </c>
    </row>
    <row r="960" ht="17" customHeight="1">
      <c r="A960" t="n">
        <v>20</v>
      </c>
      <c r="B960" s="24">
        <f>IF(Setup!$K$8="","",Setup!$K$8)</f>
        <v/>
      </c>
      <c r="C960" s="88" t="n"/>
      <c r="D960" s="88" t="n"/>
      <c r="E960" s="88" t="n"/>
      <c r="F960" s="89" t="n"/>
      <c r="G960" s="88" t="n"/>
      <c r="H960" s="88" t="n"/>
      <c r="I960" s="88" t="n"/>
      <c r="J960" s="89" t="n"/>
      <c r="K960" s="88" t="n"/>
      <c r="L960" s="88" t="n"/>
      <c r="M960" s="88" t="n"/>
      <c r="N960" s="89" t="n"/>
      <c r="O960" s="88" t="n"/>
      <c r="P960" s="88" t="n"/>
      <c r="Q960" s="88" t="n"/>
      <c r="R960" s="89" t="n"/>
      <c r="S960" s="88" t="n"/>
      <c r="T960" s="88" t="n"/>
      <c r="U960" s="88" t="n"/>
      <c r="V960" s="89" t="n"/>
      <c r="W960" s="88" t="n"/>
      <c r="X960" s="89" t="n"/>
      <c r="Y960" s="88" t="n"/>
      <c r="Z960" s="89" t="n"/>
      <c r="AB960" s="25">
        <f>IF($B960="","",(COUNTIF(C960:E960,"?*")&lt;N(INDEX(Setup!$L$6:$L$23,3)))+(COUNTIF(G960:I960,"?*")&lt;N(INDEX(Setup!$L$6:$L$23,3)))+(COUNTIF(K960:M960,"?*")&lt;N(INDEX(Setup!$L$6:$L$23,3)))+(COUNTIF(O960:Q960,"?*")&lt;N(INDEX(Setup!$L$6:$L$23,3)))+(COUNTIF(S960:U960,"?*")&lt;N(INDEX(Setup!$L$6:$L$23,3)))+((W960="")*(INDEX(Setup!$M$6:$M$23,3)="Y"))+((Y960="")*(INDEX(Setup!$M$6:$M$23,3)="Y")))</f>
        <v/>
      </c>
      <c r="AC960" s="90">
        <f>IF($B960="","",IF(AB960=0,"✓ covered","⚠ "&amp;AB960&amp;IF(AB960=1," gap"," gaps")))</f>
        <v/>
      </c>
    </row>
    <row r="961" ht="17" customHeight="1">
      <c r="A961" t="n">
        <v>20</v>
      </c>
      <c r="B961" s="29">
        <f>IF(Setup!$K$9="","",Setup!$K$9)</f>
        <v/>
      </c>
      <c r="C961" s="88" t="n"/>
      <c r="D961" s="88" t="n"/>
      <c r="E961" s="88" t="n"/>
      <c r="F961" s="89" t="n"/>
      <c r="G961" s="88" t="n"/>
      <c r="H961" s="88" t="n"/>
      <c r="I961" s="88" t="n"/>
      <c r="J961" s="89" t="n"/>
      <c r="K961" s="88" t="n"/>
      <c r="L961" s="88" t="n"/>
      <c r="M961" s="88" t="n"/>
      <c r="N961" s="89" t="n"/>
      <c r="O961" s="88" t="n"/>
      <c r="P961" s="88" t="n"/>
      <c r="Q961" s="88" t="n"/>
      <c r="R961" s="89" t="n"/>
      <c r="S961" s="88" t="n"/>
      <c r="T961" s="88" t="n"/>
      <c r="U961" s="88" t="n"/>
      <c r="V961" s="89" t="n"/>
      <c r="W961" s="88" t="n"/>
      <c r="X961" s="89" t="n"/>
      <c r="Y961" s="88" t="n"/>
      <c r="Z961" s="89" t="n"/>
      <c r="AB961" s="30">
        <f>IF($B961="","",(COUNTIF(C961:E961,"?*")&lt;N(INDEX(Setup!$L$6:$L$23,4)))+(COUNTIF(G961:I961,"?*")&lt;N(INDEX(Setup!$L$6:$L$23,4)))+(COUNTIF(K961:M961,"?*")&lt;N(INDEX(Setup!$L$6:$L$23,4)))+(COUNTIF(O961:Q961,"?*")&lt;N(INDEX(Setup!$L$6:$L$23,4)))+(COUNTIF(S961:U961,"?*")&lt;N(INDEX(Setup!$L$6:$L$23,4)))+((W961="")*(INDEX(Setup!$M$6:$M$23,4)="Y"))+((Y961="")*(INDEX(Setup!$M$6:$M$23,4)="Y")))</f>
        <v/>
      </c>
      <c r="AC961" s="91">
        <f>IF($B961="","",IF(AB961=0,"✓ covered","⚠ "&amp;AB961&amp;IF(AB961=1," gap"," gaps")))</f>
        <v/>
      </c>
    </row>
    <row r="962" ht="17" customHeight="1">
      <c r="A962" t="n">
        <v>20</v>
      </c>
      <c r="B962" s="24">
        <f>IF(Setup!$K$10="","",Setup!$K$10)</f>
        <v/>
      </c>
      <c r="C962" s="88" t="n"/>
      <c r="D962" s="88" t="n"/>
      <c r="E962" s="88" t="n"/>
      <c r="F962" s="89" t="n"/>
      <c r="G962" s="88" t="n"/>
      <c r="H962" s="88" t="n"/>
      <c r="I962" s="88" t="n"/>
      <c r="J962" s="89" t="n"/>
      <c r="K962" s="88" t="n"/>
      <c r="L962" s="88" t="n"/>
      <c r="M962" s="88" t="n"/>
      <c r="N962" s="89" t="n"/>
      <c r="O962" s="88" t="n"/>
      <c r="P962" s="88" t="n"/>
      <c r="Q962" s="88" t="n"/>
      <c r="R962" s="89" t="n"/>
      <c r="S962" s="88" t="n"/>
      <c r="T962" s="88" t="n"/>
      <c r="U962" s="88" t="n"/>
      <c r="V962" s="89" t="n"/>
      <c r="W962" s="88" t="n"/>
      <c r="X962" s="89" t="n"/>
      <c r="Y962" s="88" t="n"/>
      <c r="Z962" s="89" t="n"/>
      <c r="AB962" s="25">
        <f>IF($B962="","",(COUNTIF(C962:E962,"?*")&lt;N(INDEX(Setup!$L$6:$L$23,5)))+(COUNTIF(G962:I962,"?*")&lt;N(INDEX(Setup!$L$6:$L$23,5)))+(COUNTIF(K962:M962,"?*")&lt;N(INDEX(Setup!$L$6:$L$23,5)))+(COUNTIF(O962:Q962,"?*")&lt;N(INDEX(Setup!$L$6:$L$23,5)))+(COUNTIF(S962:U962,"?*")&lt;N(INDEX(Setup!$L$6:$L$23,5)))+((W962="")*(INDEX(Setup!$M$6:$M$23,5)="Y"))+((Y962="")*(INDEX(Setup!$M$6:$M$23,5)="Y")))</f>
        <v/>
      </c>
      <c r="AC962" s="90">
        <f>IF($B962="","",IF(AB962=0,"✓ covered","⚠ "&amp;AB962&amp;IF(AB962=1," gap"," gaps")))</f>
        <v/>
      </c>
    </row>
    <row r="963" ht="17" customHeight="1">
      <c r="A963" t="n">
        <v>20</v>
      </c>
      <c r="B963" s="29">
        <f>IF(Setup!$K$11="","",Setup!$K$11)</f>
        <v/>
      </c>
      <c r="C963" s="88" t="n"/>
      <c r="D963" s="88" t="n"/>
      <c r="E963" s="88" t="n"/>
      <c r="F963" s="89" t="n"/>
      <c r="G963" s="88" t="n"/>
      <c r="H963" s="88" t="n"/>
      <c r="I963" s="88" t="n"/>
      <c r="J963" s="89" t="n"/>
      <c r="K963" s="88" t="n"/>
      <c r="L963" s="88" t="n"/>
      <c r="M963" s="88" t="n"/>
      <c r="N963" s="89" t="n"/>
      <c r="O963" s="88" t="n"/>
      <c r="P963" s="88" t="n"/>
      <c r="Q963" s="88" t="n"/>
      <c r="R963" s="89" t="n"/>
      <c r="S963" s="88" t="n"/>
      <c r="T963" s="88" t="n"/>
      <c r="U963" s="88" t="n"/>
      <c r="V963" s="89" t="n"/>
      <c r="W963" s="88" t="n"/>
      <c r="X963" s="89" t="n"/>
      <c r="Y963" s="88" t="n"/>
      <c r="Z963" s="89" t="n"/>
      <c r="AB963" s="30">
        <f>IF($B963="","",(COUNTIF(C963:E963,"?*")&lt;N(INDEX(Setup!$L$6:$L$23,6)))+(COUNTIF(G963:I963,"?*")&lt;N(INDEX(Setup!$L$6:$L$23,6)))+(COUNTIF(K963:M963,"?*")&lt;N(INDEX(Setup!$L$6:$L$23,6)))+(COUNTIF(O963:Q963,"?*")&lt;N(INDEX(Setup!$L$6:$L$23,6)))+(COUNTIF(S963:U963,"?*")&lt;N(INDEX(Setup!$L$6:$L$23,6)))+((W963="")*(INDEX(Setup!$M$6:$M$23,6)="Y"))+((Y963="")*(INDEX(Setup!$M$6:$M$23,6)="Y")))</f>
        <v/>
      </c>
      <c r="AC963" s="91">
        <f>IF($B963="","",IF(AB963=0,"✓ covered","⚠ "&amp;AB963&amp;IF(AB963=1," gap"," gaps")))</f>
        <v/>
      </c>
    </row>
    <row r="964" ht="17" customHeight="1">
      <c r="A964" t="n">
        <v>20</v>
      </c>
      <c r="B964" s="24">
        <f>IF(Setup!$K$12="","",Setup!$K$12)</f>
        <v/>
      </c>
      <c r="C964" s="88" t="n"/>
      <c r="D964" s="88" t="n"/>
      <c r="E964" s="88" t="n"/>
      <c r="F964" s="89" t="n"/>
      <c r="G964" s="88" t="n"/>
      <c r="H964" s="88" t="n"/>
      <c r="I964" s="88" t="n"/>
      <c r="J964" s="89" t="n"/>
      <c r="K964" s="88" t="n"/>
      <c r="L964" s="88" t="n"/>
      <c r="M964" s="88" t="n"/>
      <c r="N964" s="89" t="n"/>
      <c r="O964" s="88" t="n"/>
      <c r="P964" s="88" t="n"/>
      <c r="Q964" s="88" t="n"/>
      <c r="R964" s="89" t="n"/>
      <c r="S964" s="88" t="n"/>
      <c r="T964" s="88" t="n"/>
      <c r="U964" s="88" t="n"/>
      <c r="V964" s="89" t="n"/>
      <c r="W964" s="88" t="n"/>
      <c r="X964" s="89" t="n"/>
      <c r="Y964" s="88" t="n"/>
      <c r="Z964" s="89" t="n"/>
      <c r="AB964" s="25">
        <f>IF($B964="","",(COUNTIF(C964:E964,"?*")&lt;N(INDEX(Setup!$L$6:$L$23,7)))+(COUNTIF(G964:I964,"?*")&lt;N(INDEX(Setup!$L$6:$L$23,7)))+(COUNTIF(K964:M964,"?*")&lt;N(INDEX(Setup!$L$6:$L$23,7)))+(COUNTIF(O964:Q964,"?*")&lt;N(INDEX(Setup!$L$6:$L$23,7)))+(COUNTIF(S964:U964,"?*")&lt;N(INDEX(Setup!$L$6:$L$23,7)))+((W964="")*(INDEX(Setup!$M$6:$M$23,7)="Y"))+((Y964="")*(INDEX(Setup!$M$6:$M$23,7)="Y")))</f>
        <v/>
      </c>
      <c r="AC964" s="90">
        <f>IF($B964="","",IF(AB964=0,"✓ covered","⚠ "&amp;AB964&amp;IF(AB964=1," gap"," gaps")))</f>
        <v/>
      </c>
    </row>
    <row r="965" ht="17" customHeight="1">
      <c r="A965" t="n">
        <v>20</v>
      </c>
      <c r="B965" s="29">
        <f>IF(Setup!$K$13="","",Setup!$K$13)</f>
        <v/>
      </c>
      <c r="C965" s="88" t="n"/>
      <c r="D965" s="88" t="n"/>
      <c r="E965" s="88" t="n"/>
      <c r="F965" s="89" t="n"/>
      <c r="G965" s="88" t="n"/>
      <c r="H965" s="88" t="n"/>
      <c r="I965" s="88" t="n"/>
      <c r="J965" s="89" t="n"/>
      <c r="K965" s="88" t="n"/>
      <c r="L965" s="88" t="n"/>
      <c r="M965" s="88" t="n"/>
      <c r="N965" s="89" t="n"/>
      <c r="O965" s="88" t="n"/>
      <c r="P965" s="88" t="n"/>
      <c r="Q965" s="88" t="n"/>
      <c r="R965" s="89" t="n"/>
      <c r="S965" s="88" t="n"/>
      <c r="T965" s="88" t="n"/>
      <c r="U965" s="88" t="n"/>
      <c r="V965" s="89" t="n"/>
      <c r="W965" s="88" t="n"/>
      <c r="X965" s="89" t="n"/>
      <c r="Y965" s="88" t="n"/>
      <c r="Z965" s="89" t="n"/>
      <c r="AB965" s="30">
        <f>IF($B965="","",(COUNTIF(C965:E965,"?*")&lt;N(INDEX(Setup!$L$6:$L$23,8)))+(COUNTIF(G965:I965,"?*")&lt;N(INDEX(Setup!$L$6:$L$23,8)))+(COUNTIF(K965:M965,"?*")&lt;N(INDEX(Setup!$L$6:$L$23,8)))+(COUNTIF(O965:Q965,"?*")&lt;N(INDEX(Setup!$L$6:$L$23,8)))+(COUNTIF(S965:U965,"?*")&lt;N(INDEX(Setup!$L$6:$L$23,8)))+((W965="")*(INDEX(Setup!$M$6:$M$23,8)="Y"))+((Y965="")*(INDEX(Setup!$M$6:$M$23,8)="Y")))</f>
        <v/>
      </c>
      <c r="AC965" s="91">
        <f>IF($B965="","",IF(AB965=0,"✓ covered","⚠ "&amp;AB965&amp;IF(AB965=1," gap"," gaps")))</f>
        <v/>
      </c>
    </row>
    <row r="966" ht="17" customHeight="1">
      <c r="A966" t="n">
        <v>20</v>
      </c>
      <c r="B966" s="24">
        <f>IF(Setup!$K$14="","",Setup!$K$14)</f>
        <v/>
      </c>
      <c r="C966" s="88" t="n"/>
      <c r="D966" s="88" t="n"/>
      <c r="E966" s="88" t="n"/>
      <c r="F966" s="89" t="n"/>
      <c r="G966" s="88" t="n"/>
      <c r="H966" s="88" t="n"/>
      <c r="I966" s="88" t="n"/>
      <c r="J966" s="89" t="n"/>
      <c r="K966" s="88" t="n"/>
      <c r="L966" s="88" t="n"/>
      <c r="M966" s="88" t="n"/>
      <c r="N966" s="89" t="n"/>
      <c r="O966" s="88" t="n"/>
      <c r="P966" s="88" t="n"/>
      <c r="Q966" s="88" t="n"/>
      <c r="R966" s="89" t="n"/>
      <c r="S966" s="88" t="n"/>
      <c r="T966" s="88" t="n"/>
      <c r="U966" s="88" t="n"/>
      <c r="V966" s="89" t="n"/>
      <c r="W966" s="88" t="n"/>
      <c r="X966" s="89" t="n"/>
      <c r="Y966" s="88" t="n"/>
      <c r="Z966" s="89" t="n"/>
      <c r="AB966" s="25">
        <f>IF($B966="","",(COUNTIF(C966:E966,"?*")&lt;N(INDEX(Setup!$L$6:$L$23,9)))+(COUNTIF(G966:I966,"?*")&lt;N(INDEX(Setup!$L$6:$L$23,9)))+(COUNTIF(K966:M966,"?*")&lt;N(INDEX(Setup!$L$6:$L$23,9)))+(COUNTIF(O966:Q966,"?*")&lt;N(INDEX(Setup!$L$6:$L$23,9)))+(COUNTIF(S966:U966,"?*")&lt;N(INDEX(Setup!$L$6:$L$23,9)))+((W966="")*(INDEX(Setup!$M$6:$M$23,9)="Y"))+((Y966="")*(INDEX(Setup!$M$6:$M$23,9)="Y")))</f>
        <v/>
      </c>
      <c r="AC966" s="90">
        <f>IF($B966="","",IF(AB966=0,"✓ covered","⚠ "&amp;AB966&amp;IF(AB966=1," gap"," gaps")))</f>
        <v/>
      </c>
    </row>
    <row r="967" ht="17" customHeight="1">
      <c r="A967" t="n">
        <v>20</v>
      </c>
      <c r="B967" s="29">
        <f>IF(Setup!$K$15="","",Setup!$K$15)</f>
        <v/>
      </c>
      <c r="C967" s="88" t="n"/>
      <c r="D967" s="88" t="n"/>
      <c r="E967" s="88" t="n"/>
      <c r="F967" s="89" t="n"/>
      <c r="G967" s="88" t="n"/>
      <c r="H967" s="88" t="n"/>
      <c r="I967" s="88" t="n"/>
      <c r="J967" s="89" t="n"/>
      <c r="K967" s="88" t="n"/>
      <c r="L967" s="88" t="n"/>
      <c r="M967" s="88" t="n"/>
      <c r="N967" s="89" t="n"/>
      <c r="O967" s="88" t="n"/>
      <c r="P967" s="88" t="n"/>
      <c r="Q967" s="88" t="n"/>
      <c r="R967" s="89" t="n"/>
      <c r="S967" s="88" t="n"/>
      <c r="T967" s="88" t="n"/>
      <c r="U967" s="88" t="n"/>
      <c r="V967" s="89" t="n"/>
      <c r="W967" s="88" t="n"/>
      <c r="X967" s="89" t="n"/>
      <c r="Y967" s="88" t="n"/>
      <c r="Z967" s="89" t="n"/>
      <c r="AB967" s="30">
        <f>IF($B967="","",(COUNTIF(C967:E967,"?*")&lt;N(INDEX(Setup!$L$6:$L$23,10)))+(COUNTIF(G967:I967,"?*")&lt;N(INDEX(Setup!$L$6:$L$23,10)))+(COUNTIF(K967:M967,"?*")&lt;N(INDEX(Setup!$L$6:$L$23,10)))+(COUNTIF(O967:Q967,"?*")&lt;N(INDEX(Setup!$L$6:$L$23,10)))+(COUNTIF(S967:U967,"?*")&lt;N(INDEX(Setup!$L$6:$L$23,10)))+((W967="")*(INDEX(Setup!$M$6:$M$23,10)="Y"))+((Y967="")*(INDEX(Setup!$M$6:$M$23,10)="Y")))</f>
        <v/>
      </c>
      <c r="AC967" s="91">
        <f>IF($B967="","",IF(AB967=0,"✓ covered","⚠ "&amp;AB967&amp;IF(AB967=1," gap"," gaps")))</f>
        <v/>
      </c>
    </row>
    <row r="968" ht="17" customHeight="1">
      <c r="A968" t="n">
        <v>20</v>
      </c>
      <c r="B968" s="24">
        <f>IF(Setup!$K$16="","",Setup!$K$16)</f>
        <v/>
      </c>
      <c r="C968" s="88" t="n"/>
      <c r="D968" s="88" t="n"/>
      <c r="E968" s="88" t="n"/>
      <c r="F968" s="89" t="n"/>
      <c r="G968" s="88" t="n"/>
      <c r="H968" s="88" t="n"/>
      <c r="I968" s="88" t="n"/>
      <c r="J968" s="89" t="n"/>
      <c r="K968" s="88" t="n"/>
      <c r="L968" s="88" t="n"/>
      <c r="M968" s="88" t="n"/>
      <c r="N968" s="89" t="n"/>
      <c r="O968" s="88" t="n"/>
      <c r="P968" s="88" t="n"/>
      <c r="Q968" s="88" t="n"/>
      <c r="R968" s="89" t="n"/>
      <c r="S968" s="88" t="n"/>
      <c r="T968" s="88" t="n"/>
      <c r="U968" s="88" t="n"/>
      <c r="V968" s="89" t="n"/>
      <c r="W968" s="88" t="n"/>
      <c r="X968" s="89" t="n"/>
      <c r="Y968" s="88" t="n"/>
      <c r="Z968" s="89" t="n"/>
      <c r="AB968" s="25">
        <f>IF($B968="","",(COUNTIF(C968:E968,"?*")&lt;N(INDEX(Setup!$L$6:$L$23,11)))+(COUNTIF(G968:I968,"?*")&lt;N(INDEX(Setup!$L$6:$L$23,11)))+(COUNTIF(K968:M968,"?*")&lt;N(INDEX(Setup!$L$6:$L$23,11)))+(COUNTIF(O968:Q968,"?*")&lt;N(INDEX(Setup!$L$6:$L$23,11)))+(COUNTIF(S968:U968,"?*")&lt;N(INDEX(Setup!$L$6:$L$23,11)))+((W968="")*(INDEX(Setup!$M$6:$M$23,11)="Y"))+((Y968="")*(INDEX(Setup!$M$6:$M$23,11)="Y")))</f>
        <v/>
      </c>
      <c r="AC968" s="90">
        <f>IF($B968="","",IF(AB968=0,"✓ covered","⚠ "&amp;AB968&amp;IF(AB968=1," gap"," gaps")))</f>
        <v/>
      </c>
    </row>
    <row r="969" ht="17" customHeight="1">
      <c r="A969" t="n">
        <v>20</v>
      </c>
      <c r="B969" s="29">
        <f>IF(Setup!$K$17="","",Setup!$K$17)</f>
        <v/>
      </c>
      <c r="C969" s="88" t="n"/>
      <c r="D969" s="88" t="n"/>
      <c r="E969" s="88" t="n"/>
      <c r="F969" s="89" t="n"/>
      <c r="G969" s="88" t="n"/>
      <c r="H969" s="88" t="n"/>
      <c r="I969" s="88" t="n"/>
      <c r="J969" s="89" t="n"/>
      <c r="K969" s="88" t="n"/>
      <c r="L969" s="88" t="n"/>
      <c r="M969" s="88" t="n"/>
      <c r="N969" s="89" t="n"/>
      <c r="O969" s="88" t="n"/>
      <c r="P969" s="88" t="n"/>
      <c r="Q969" s="88" t="n"/>
      <c r="R969" s="89" t="n"/>
      <c r="S969" s="88" t="n"/>
      <c r="T969" s="88" t="n"/>
      <c r="U969" s="88" t="n"/>
      <c r="V969" s="89" t="n"/>
      <c r="W969" s="88" t="n"/>
      <c r="X969" s="89" t="n"/>
      <c r="Y969" s="88" t="n"/>
      <c r="Z969" s="89" t="n"/>
      <c r="AB969" s="30">
        <f>IF($B969="","",(COUNTIF(C969:E969,"?*")&lt;N(INDEX(Setup!$L$6:$L$23,12)))+(COUNTIF(G969:I969,"?*")&lt;N(INDEX(Setup!$L$6:$L$23,12)))+(COUNTIF(K969:M969,"?*")&lt;N(INDEX(Setup!$L$6:$L$23,12)))+(COUNTIF(O969:Q969,"?*")&lt;N(INDEX(Setup!$L$6:$L$23,12)))+(COUNTIF(S969:U969,"?*")&lt;N(INDEX(Setup!$L$6:$L$23,12)))+((W969="")*(INDEX(Setup!$M$6:$M$23,12)="Y"))+((Y969="")*(INDEX(Setup!$M$6:$M$23,12)="Y")))</f>
        <v/>
      </c>
      <c r="AC969" s="91">
        <f>IF($B969="","",IF(AB969=0,"✓ covered","⚠ "&amp;AB969&amp;IF(AB969=1," gap"," gaps")))</f>
        <v/>
      </c>
    </row>
    <row r="970" ht="17" customHeight="1">
      <c r="A970" t="n">
        <v>20</v>
      </c>
      <c r="B970" s="24">
        <f>IF(Setup!$K$18="","",Setup!$K$18)</f>
        <v/>
      </c>
      <c r="C970" s="88" t="n"/>
      <c r="D970" s="88" t="n"/>
      <c r="E970" s="88" t="n"/>
      <c r="F970" s="89" t="n"/>
      <c r="G970" s="88" t="n"/>
      <c r="H970" s="88" t="n"/>
      <c r="I970" s="88" t="n"/>
      <c r="J970" s="89" t="n"/>
      <c r="K970" s="88" t="n"/>
      <c r="L970" s="88" t="n"/>
      <c r="M970" s="88" t="n"/>
      <c r="N970" s="89" t="n"/>
      <c r="O970" s="88" t="n"/>
      <c r="P970" s="88" t="n"/>
      <c r="Q970" s="88" t="n"/>
      <c r="R970" s="89" t="n"/>
      <c r="S970" s="88" t="n"/>
      <c r="T970" s="88" t="n"/>
      <c r="U970" s="88" t="n"/>
      <c r="V970" s="89" t="n"/>
      <c r="W970" s="88" t="n"/>
      <c r="X970" s="89" t="n"/>
      <c r="Y970" s="88" t="n"/>
      <c r="Z970" s="89" t="n"/>
      <c r="AB970" s="25">
        <f>IF($B970="","",(COUNTIF(C970:E970,"?*")&lt;N(INDEX(Setup!$L$6:$L$23,13)))+(COUNTIF(G970:I970,"?*")&lt;N(INDEX(Setup!$L$6:$L$23,13)))+(COUNTIF(K970:M970,"?*")&lt;N(INDEX(Setup!$L$6:$L$23,13)))+(COUNTIF(O970:Q970,"?*")&lt;N(INDEX(Setup!$L$6:$L$23,13)))+(COUNTIF(S970:U970,"?*")&lt;N(INDEX(Setup!$L$6:$L$23,13)))+((W970="")*(INDEX(Setup!$M$6:$M$23,13)="Y"))+((Y970="")*(INDEX(Setup!$M$6:$M$23,13)="Y")))</f>
        <v/>
      </c>
      <c r="AC970" s="90">
        <f>IF($B970="","",IF(AB970=0,"✓ covered","⚠ "&amp;AB970&amp;IF(AB970=1," gap"," gaps")))</f>
        <v/>
      </c>
    </row>
    <row r="971" ht="17" customHeight="1">
      <c r="A971" t="n">
        <v>20</v>
      </c>
      <c r="B971" s="29">
        <f>IF(Setup!$K$19="","",Setup!$K$19)</f>
        <v/>
      </c>
      <c r="C971" s="88" t="n"/>
      <c r="D971" s="88" t="n"/>
      <c r="E971" s="88" t="n"/>
      <c r="F971" s="89" t="n"/>
      <c r="G971" s="88" t="n"/>
      <c r="H971" s="88" t="n"/>
      <c r="I971" s="88" t="n"/>
      <c r="J971" s="89" t="n"/>
      <c r="K971" s="88" t="n"/>
      <c r="L971" s="88" t="n"/>
      <c r="M971" s="88" t="n"/>
      <c r="N971" s="89" t="n"/>
      <c r="O971" s="88" t="n"/>
      <c r="P971" s="88" t="n"/>
      <c r="Q971" s="88" t="n"/>
      <c r="R971" s="89" t="n"/>
      <c r="S971" s="88" t="n"/>
      <c r="T971" s="88" t="n"/>
      <c r="U971" s="88" t="n"/>
      <c r="V971" s="89" t="n"/>
      <c r="W971" s="88" t="n"/>
      <c r="X971" s="89" t="n"/>
      <c r="Y971" s="88" t="n"/>
      <c r="Z971" s="89" t="n"/>
      <c r="AB971" s="30">
        <f>IF($B971="","",(COUNTIF(C971:E971,"?*")&lt;N(INDEX(Setup!$L$6:$L$23,14)))+(COUNTIF(G971:I971,"?*")&lt;N(INDEX(Setup!$L$6:$L$23,14)))+(COUNTIF(K971:M971,"?*")&lt;N(INDEX(Setup!$L$6:$L$23,14)))+(COUNTIF(O971:Q971,"?*")&lt;N(INDEX(Setup!$L$6:$L$23,14)))+(COUNTIF(S971:U971,"?*")&lt;N(INDEX(Setup!$L$6:$L$23,14)))+((W971="")*(INDEX(Setup!$M$6:$M$23,14)="Y"))+((Y971="")*(INDEX(Setup!$M$6:$M$23,14)="Y")))</f>
        <v/>
      </c>
      <c r="AC971" s="91">
        <f>IF($B971="","",IF(AB971=0,"✓ covered","⚠ "&amp;AB971&amp;IF(AB971=1," gap"," gaps")))</f>
        <v/>
      </c>
    </row>
    <row r="972" ht="17" customHeight="1">
      <c r="A972" t="n">
        <v>20</v>
      </c>
      <c r="B972" s="24">
        <f>IF(Setup!$K$20="","",Setup!$K$20)</f>
        <v/>
      </c>
      <c r="C972" s="88" t="n"/>
      <c r="D972" s="88" t="n"/>
      <c r="E972" s="88" t="n"/>
      <c r="F972" s="89" t="n"/>
      <c r="G972" s="88" t="n"/>
      <c r="H972" s="88" t="n"/>
      <c r="I972" s="88" t="n"/>
      <c r="J972" s="89" t="n"/>
      <c r="K972" s="88" t="n"/>
      <c r="L972" s="88" t="n"/>
      <c r="M972" s="88" t="n"/>
      <c r="N972" s="89" t="n"/>
      <c r="O972" s="88" t="n"/>
      <c r="P972" s="88" t="n"/>
      <c r="Q972" s="88" t="n"/>
      <c r="R972" s="89" t="n"/>
      <c r="S972" s="88" t="n"/>
      <c r="T972" s="88" t="n"/>
      <c r="U972" s="88" t="n"/>
      <c r="V972" s="89" t="n"/>
      <c r="W972" s="88" t="n"/>
      <c r="X972" s="89" t="n"/>
      <c r="Y972" s="88" t="n"/>
      <c r="Z972" s="89" t="n"/>
      <c r="AB972" s="25">
        <f>IF($B972="","",(COUNTIF(C972:E972,"?*")&lt;N(INDEX(Setup!$L$6:$L$23,15)))+(COUNTIF(G972:I972,"?*")&lt;N(INDEX(Setup!$L$6:$L$23,15)))+(COUNTIF(K972:M972,"?*")&lt;N(INDEX(Setup!$L$6:$L$23,15)))+(COUNTIF(O972:Q972,"?*")&lt;N(INDEX(Setup!$L$6:$L$23,15)))+(COUNTIF(S972:U972,"?*")&lt;N(INDEX(Setup!$L$6:$L$23,15)))+((W972="")*(INDEX(Setup!$M$6:$M$23,15)="Y"))+((Y972="")*(INDEX(Setup!$M$6:$M$23,15)="Y")))</f>
        <v/>
      </c>
      <c r="AC972" s="90">
        <f>IF($B972="","",IF(AB972=0,"✓ covered","⚠ "&amp;AB972&amp;IF(AB972=1," gap"," gaps")))</f>
        <v/>
      </c>
    </row>
    <row r="973" ht="17" customHeight="1">
      <c r="A973" t="n">
        <v>20</v>
      </c>
      <c r="B973" s="29">
        <f>IF(Setup!$K$21="","",Setup!$K$21)</f>
        <v/>
      </c>
      <c r="C973" s="88" t="n"/>
      <c r="D973" s="88" t="n"/>
      <c r="E973" s="88" t="n"/>
      <c r="F973" s="89" t="n"/>
      <c r="G973" s="88" t="n"/>
      <c r="H973" s="88" t="n"/>
      <c r="I973" s="88" t="n"/>
      <c r="J973" s="89" t="n"/>
      <c r="K973" s="88" t="n"/>
      <c r="L973" s="88" t="n"/>
      <c r="M973" s="88" t="n"/>
      <c r="N973" s="89" t="n"/>
      <c r="O973" s="88" t="n"/>
      <c r="P973" s="88" t="n"/>
      <c r="Q973" s="88" t="n"/>
      <c r="R973" s="89" t="n"/>
      <c r="S973" s="88" t="n"/>
      <c r="T973" s="88" t="n"/>
      <c r="U973" s="88" t="n"/>
      <c r="V973" s="89" t="n"/>
      <c r="W973" s="88" t="n"/>
      <c r="X973" s="89" t="n"/>
      <c r="Y973" s="88" t="n"/>
      <c r="Z973" s="89" t="n"/>
      <c r="AB973" s="30">
        <f>IF($B973="","",(COUNTIF(C973:E973,"?*")&lt;N(INDEX(Setup!$L$6:$L$23,16)))+(COUNTIF(G973:I973,"?*")&lt;N(INDEX(Setup!$L$6:$L$23,16)))+(COUNTIF(K973:M973,"?*")&lt;N(INDEX(Setup!$L$6:$L$23,16)))+(COUNTIF(O973:Q973,"?*")&lt;N(INDEX(Setup!$L$6:$L$23,16)))+(COUNTIF(S973:U973,"?*")&lt;N(INDEX(Setup!$L$6:$L$23,16)))+((W973="")*(INDEX(Setup!$M$6:$M$23,16)="Y"))+((Y973="")*(INDEX(Setup!$M$6:$M$23,16)="Y")))</f>
        <v/>
      </c>
      <c r="AC973" s="91">
        <f>IF($B973="","",IF(AB973=0,"✓ covered","⚠ "&amp;AB973&amp;IF(AB973=1," gap"," gaps")))</f>
        <v/>
      </c>
    </row>
    <row r="974" ht="17" customHeight="1">
      <c r="A974" t="n">
        <v>20</v>
      </c>
      <c r="B974" s="24">
        <f>IF(Setup!$K$22="","",Setup!$K$22)</f>
        <v/>
      </c>
      <c r="C974" s="88" t="n"/>
      <c r="D974" s="88" t="n"/>
      <c r="E974" s="88" t="n"/>
      <c r="F974" s="89" t="n"/>
      <c r="G974" s="88" t="n"/>
      <c r="H974" s="88" t="n"/>
      <c r="I974" s="88" t="n"/>
      <c r="J974" s="89" t="n"/>
      <c r="K974" s="88" t="n"/>
      <c r="L974" s="88" t="n"/>
      <c r="M974" s="88" t="n"/>
      <c r="N974" s="89" t="n"/>
      <c r="O974" s="88" t="n"/>
      <c r="P974" s="88" t="n"/>
      <c r="Q974" s="88" t="n"/>
      <c r="R974" s="89" t="n"/>
      <c r="S974" s="88" t="n"/>
      <c r="T974" s="88" t="n"/>
      <c r="U974" s="88" t="n"/>
      <c r="V974" s="89" t="n"/>
      <c r="W974" s="88" t="n"/>
      <c r="X974" s="89" t="n"/>
      <c r="Y974" s="88" t="n"/>
      <c r="Z974" s="89" t="n"/>
      <c r="AB974" s="25">
        <f>IF($B974="","",(COUNTIF(C974:E974,"?*")&lt;N(INDEX(Setup!$L$6:$L$23,17)))+(COUNTIF(G974:I974,"?*")&lt;N(INDEX(Setup!$L$6:$L$23,17)))+(COUNTIF(K974:M974,"?*")&lt;N(INDEX(Setup!$L$6:$L$23,17)))+(COUNTIF(O974:Q974,"?*")&lt;N(INDEX(Setup!$L$6:$L$23,17)))+(COUNTIF(S974:U974,"?*")&lt;N(INDEX(Setup!$L$6:$L$23,17)))+((W974="")*(INDEX(Setup!$M$6:$M$23,17)="Y"))+((Y974="")*(INDEX(Setup!$M$6:$M$23,17)="Y")))</f>
        <v/>
      </c>
      <c r="AC974" s="90">
        <f>IF($B974="","",IF(AB974=0,"✓ covered","⚠ "&amp;AB974&amp;IF(AB974=1," gap"," gaps")))</f>
        <v/>
      </c>
    </row>
    <row r="975" ht="17" customHeight="1">
      <c r="A975" t="n">
        <v>20</v>
      </c>
      <c r="B975" s="29">
        <f>IF(Setup!$K$23="","",Setup!$K$23)</f>
        <v/>
      </c>
      <c r="C975" s="88" t="n"/>
      <c r="D975" s="88" t="n"/>
      <c r="E975" s="88" t="n"/>
      <c r="F975" s="89" t="n"/>
      <c r="G975" s="88" t="n"/>
      <c r="H975" s="88" t="n"/>
      <c r="I975" s="88" t="n"/>
      <c r="J975" s="89" t="n"/>
      <c r="K975" s="88" t="n"/>
      <c r="L975" s="88" t="n"/>
      <c r="M975" s="88" t="n"/>
      <c r="N975" s="89" t="n"/>
      <c r="O975" s="88" t="n"/>
      <c r="P975" s="88" t="n"/>
      <c r="Q975" s="88" t="n"/>
      <c r="R975" s="89" t="n"/>
      <c r="S975" s="88" t="n"/>
      <c r="T975" s="88" t="n"/>
      <c r="U975" s="88" t="n"/>
      <c r="V975" s="89" t="n"/>
      <c r="W975" s="88" t="n"/>
      <c r="X975" s="89" t="n"/>
      <c r="Y975" s="88" t="n"/>
      <c r="Z975" s="89" t="n"/>
      <c r="AB975" s="30">
        <f>IF($B975="","",(COUNTIF(C975:E975,"?*")&lt;N(INDEX(Setup!$L$6:$L$23,18)))+(COUNTIF(G975:I975,"?*")&lt;N(INDEX(Setup!$L$6:$L$23,18)))+(COUNTIF(K975:M975,"?*")&lt;N(INDEX(Setup!$L$6:$L$23,18)))+(COUNTIF(O975:Q975,"?*")&lt;N(INDEX(Setup!$L$6:$L$23,18)))+(COUNTIF(S975:U975,"?*")&lt;N(INDEX(Setup!$L$6:$L$23,18)))+((W975="")*(INDEX(Setup!$M$6:$M$23,18)="Y"))+((Y975="")*(INDEX(Setup!$M$6:$M$23,18)="Y")))</f>
        <v/>
      </c>
      <c r="AC975" s="91">
        <f>IF($B975="","",IF(AB975=0,"✓ covered","⚠ "&amp;AB975&amp;IF(AB975=1," gap"," gaps")))</f>
        <v/>
      </c>
    </row>
    <row r="976" ht="18" customHeight="1">
      <c r="A976" t="n">
        <v>20</v>
      </c>
      <c r="B976" s="78" t="inlineStr">
        <is>
          <t>TEAM AVAILABILITY</t>
        </is>
      </c>
      <c r="C976" s="92" t="inlineStr">
        <is>
          <t>Mon</t>
        </is>
      </c>
      <c r="D976" s="93" t="n"/>
      <c r="E976" s="93" t="n"/>
      <c r="F976" s="94" t="n"/>
      <c r="G976" s="92" t="inlineStr">
        <is>
          <t>Tue</t>
        </is>
      </c>
      <c r="H976" s="93" t="n"/>
      <c r="I976" s="93" t="n"/>
      <c r="J976" s="94" t="n"/>
      <c r="K976" s="92" t="inlineStr">
        <is>
          <t>Wed</t>
        </is>
      </c>
      <c r="L976" s="93" t="n"/>
      <c r="M976" s="93" t="n"/>
      <c r="N976" s="94" t="n"/>
      <c r="O976" s="92" t="inlineStr">
        <is>
          <t>Thu</t>
        </is>
      </c>
      <c r="P976" s="93" t="n"/>
      <c r="Q976" s="93" t="n"/>
      <c r="R976" s="94" t="n"/>
      <c r="S976" s="92" t="inlineStr">
        <is>
          <t>Fri</t>
        </is>
      </c>
      <c r="T976" s="93" t="n"/>
      <c r="U976" s="93" t="n"/>
      <c r="V976" s="94" t="n"/>
      <c r="W976" s="95" t="inlineStr">
        <is>
          <t>Sat</t>
        </is>
      </c>
      <c r="X976" s="96" t="n"/>
      <c r="Y976" s="95" t="inlineStr">
        <is>
          <t>Sun</t>
        </is>
      </c>
      <c r="Z976" s="96" t="n"/>
      <c r="AB976" s="97" t="inlineStr">
        <is>
          <t>Days rostered</t>
        </is>
      </c>
      <c r="AC976" s="97" t="inlineStr">
        <is>
          <t>Conflicts</t>
        </is>
      </c>
    </row>
    <row r="977" ht="15" customHeight="1">
      <c r="A977" t="n">
        <v>20</v>
      </c>
      <c r="B977" s="35">
        <f>IF(Setup!$B$6="","",Setup!$B$6)</f>
        <v/>
      </c>
      <c r="C977" s="98" t="n"/>
      <c r="D977" s="99" t="n"/>
      <c r="E977" s="99" t="n"/>
      <c r="F977" s="100" t="n"/>
      <c r="G977" s="98" t="n"/>
      <c r="H977" s="99" t="n"/>
      <c r="I977" s="99" t="n"/>
      <c r="J977" s="100" t="n"/>
      <c r="K977" s="98" t="n"/>
      <c r="L977" s="99" t="n"/>
      <c r="M977" s="99" t="n"/>
      <c r="N977" s="100" t="n"/>
      <c r="O977" s="98" t="n"/>
      <c r="P977" s="99" t="n"/>
      <c r="Q977" s="99" t="n"/>
      <c r="R977" s="100" t="n"/>
      <c r="S977" s="98" t="n"/>
      <c r="T977" s="99" t="n"/>
      <c r="U977" s="99" t="n"/>
      <c r="V977" s="100" t="n"/>
      <c r="W977" s="98" t="n"/>
      <c r="X977" s="100" t="n"/>
      <c r="Y977" s="98" t="n"/>
      <c r="Z977" s="100" t="n"/>
      <c r="AB977" s="101">
        <f>IF($B977="","",(COUNTIF(C958:E975,$B977)+COUNTIF(C958:E975,$B977&amp;" ~*")&gt;0)+(COUNTIF(G958:I975,$B977)+COUNTIF(G958:I975,$B977&amp;" ~*")&gt;0)+(COUNTIF(K958:M975,$B977)+COUNTIF(K958:M975,$B977&amp;" ~*")&gt;0)+(COUNTIF(O958:Q975,$B977)+COUNTIF(O958:Q975,$B977&amp;" ~*")&gt;0)+(COUNTIF(S958:U975,$B977)+COUNTIF(S958:U975,$B977&amp;" ~*")&gt;0)+(COUNTIF(W958:W975,$B977)+COUNTIF(W958:W975,$B977&amp;" ~*")&gt;0)+(COUNTIF(Y958:Y975,$B977)+COUNTIF(Y958:Y975,$B977&amp;" ~*")&gt;0))</f>
        <v/>
      </c>
      <c r="AC977" s="36">
        <f>IF($B977="","",(IFERROR(INDEX(Setup!$G$33:$G$40,MATCH(C977,Setup!$B$33:$B$40,0)),0)=1)*(COUNTIF(C958:E975,$B977)+COUNTIF(C958:E975,$B977&amp;" ~*")&gt;0)+(IFERROR(INDEX(Setup!$G$33:$G$40,MATCH(G977,Setup!$B$33:$B$40,0)),0)=1)*(COUNTIF(G958:I975,$B977)+COUNTIF(G958:I975,$B977&amp;" ~*")&gt;0)+(IFERROR(INDEX(Setup!$G$33:$G$40,MATCH(K977,Setup!$B$33:$B$40,0)),0)=1)*(COUNTIF(K958:M975,$B977)+COUNTIF(K958:M975,$B977&amp;" ~*")&gt;0)+(IFERROR(INDEX(Setup!$G$33:$G$40,MATCH(O977,Setup!$B$33:$B$40,0)),0)=1)*(COUNTIF(O958:Q975,$B977)+COUNTIF(O958:Q975,$B977&amp;" ~*")&gt;0)+(IFERROR(INDEX(Setup!$G$33:$G$40,MATCH(S977,Setup!$B$33:$B$40,0)),0)=1)*(COUNTIF(S958:U975,$B977)+COUNTIF(S958:U975,$B977&amp;" ~*")&gt;0)+(IFERROR(INDEX(Setup!$G$33:$G$40,MATCH(W977,Setup!$B$33:$B$40,0)),0)=1)*(COUNTIF(W958:W975,$B977)+COUNTIF(W958:W975,$B977&amp;" ~*")&gt;0)+(IFERROR(INDEX(Setup!$G$33:$G$40,MATCH(Y977,Setup!$B$33:$B$40,0)),0)=1)*(COUNTIF(Y958:Y975,$B977)+COUNTIF(Y958:Y975,$B977&amp;" ~*")&gt;0))</f>
        <v/>
      </c>
    </row>
    <row r="978" ht="15" customHeight="1">
      <c r="A978" t="n">
        <v>20</v>
      </c>
      <c r="B978" s="37">
        <f>IF(Setup!$B$7="","",Setup!$B$7)</f>
        <v/>
      </c>
      <c r="C978" s="102" t="n"/>
      <c r="D978" s="103" t="n"/>
      <c r="E978" s="103" t="n"/>
      <c r="F978" s="104" t="n"/>
      <c r="G978" s="102" t="n"/>
      <c r="H978" s="103" t="n"/>
      <c r="I978" s="103" t="n"/>
      <c r="J978" s="104" t="n"/>
      <c r="K978" s="102" t="n"/>
      <c r="L978" s="103" t="n"/>
      <c r="M978" s="103" t="n"/>
      <c r="N978" s="104" t="n"/>
      <c r="O978" s="102" t="n"/>
      <c r="P978" s="103" t="n"/>
      <c r="Q978" s="103" t="n"/>
      <c r="R978" s="104" t="n"/>
      <c r="S978" s="102" t="n"/>
      <c r="T978" s="103" t="n"/>
      <c r="U978" s="103" t="n"/>
      <c r="V978" s="104" t="n"/>
      <c r="W978" s="102" t="n"/>
      <c r="X978" s="104" t="n"/>
      <c r="Y978" s="102" t="n"/>
      <c r="Z978" s="104" t="n"/>
      <c r="AB978" s="105">
        <f>IF($B978="","",(COUNTIF(C958:E975,$B978)+COUNTIF(C958:E975,$B978&amp;" ~*")&gt;0)+(COUNTIF(G958:I975,$B978)+COUNTIF(G958:I975,$B978&amp;" ~*")&gt;0)+(COUNTIF(K958:M975,$B978)+COUNTIF(K958:M975,$B978&amp;" ~*")&gt;0)+(COUNTIF(O958:Q975,$B978)+COUNTIF(O958:Q975,$B978&amp;" ~*")&gt;0)+(COUNTIF(S958:U975,$B978)+COUNTIF(S958:U975,$B978&amp;" ~*")&gt;0)+(COUNTIF(W958:W975,$B978)+COUNTIF(W958:W975,$B978&amp;" ~*")&gt;0)+(COUNTIF(Y958:Y975,$B978)+COUNTIF(Y958:Y975,$B978&amp;" ~*")&gt;0))</f>
        <v/>
      </c>
      <c r="AC978" s="38">
        <f>IF($B978="","",(IFERROR(INDEX(Setup!$G$33:$G$40,MATCH(C978,Setup!$B$33:$B$40,0)),0)=1)*(COUNTIF(C958:E975,$B978)+COUNTIF(C958:E975,$B978&amp;" ~*")&gt;0)+(IFERROR(INDEX(Setup!$G$33:$G$40,MATCH(G978,Setup!$B$33:$B$40,0)),0)=1)*(COUNTIF(G958:I975,$B978)+COUNTIF(G958:I975,$B978&amp;" ~*")&gt;0)+(IFERROR(INDEX(Setup!$G$33:$G$40,MATCH(K978,Setup!$B$33:$B$40,0)),0)=1)*(COUNTIF(K958:M975,$B978)+COUNTIF(K958:M975,$B978&amp;" ~*")&gt;0)+(IFERROR(INDEX(Setup!$G$33:$G$40,MATCH(O978,Setup!$B$33:$B$40,0)),0)=1)*(COUNTIF(O958:Q975,$B978)+COUNTIF(O958:Q975,$B978&amp;" ~*")&gt;0)+(IFERROR(INDEX(Setup!$G$33:$G$40,MATCH(S978,Setup!$B$33:$B$40,0)),0)=1)*(COUNTIF(S958:U975,$B978)+COUNTIF(S958:U975,$B978&amp;" ~*")&gt;0)+(IFERROR(INDEX(Setup!$G$33:$G$40,MATCH(W978,Setup!$B$33:$B$40,0)),0)=1)*(COUNTIF(W958:W975,$B978)+COUNTIF(W958:W975,$B978&amp;" ~*")&gt;0)+(IFERROR(INDEX(Setup!$G$33:$G$40,MATCH(Y978,Setup!$B$33:$B$40,0)),0)=1)*(COUNTIF(Y958:Y975,$B978)+COUNTIF(Y958:Y975,$B978&amp;" ~*")&gt;0))</f>
        <v/>
      </c>
    </row>
    <row r="979" ht="15" customHeight="1">
      <c r="A979" t="n">
        <v>20</v>
      </c>
      <c r="B979" s="35">
        <f>IF(Setup!$B$8="","",Setup!$B$8)</f>
        <v/>
      </c>
      <c r="C979" s="98" t="n"/>
      <c r="D979" s="99" t="n"/>
      <c r="E979" s="99" t="n"/>
      <c r="F979" s="100" t="n"/>
      <c r="G979" s="98" t="n"/>
      <c r="H979" s="99" t="n"/>
      <c r="I979" s="99" t="n"/>
      <c r="J979" s="100" t="n"/>
      <c r="K979" s="98" t="n"/>
      <c r="L979" s="99" t="n"/>
      <c r="M979" s="99" t="n"/>
      <c r="N979" s="100" t="n"/>
      <c r="O979" s="98" t="n"/>
      <c r="P979" s="99" t="n"/>
      <c r="Q979" s="99" t="n"/>
      <c r="R979" s="100" t="n"/>
      <c r="S979" s="98" t="n"/>
      <c r="T979" s="99" t="n"/>
      <c r="U979" s="99" t="n"/>
      <c r="V979" s="100" t="n"/>
      <c r="W979" s="98" t="n"/>
      <c r="X979" s="100" t="n"/>
      <c r="Y979" s="98" t="n"/>
      <c r="Z979" s="100" t="n"/>
      <c r="AB979" s="101">
        <f>IF($B979="","",(COUNTIF(C958:E975,$B979)+COUNTIF(C958:E975,$B979&amp;" ~*")&gt;0)+(COUNTIF(G958:I975,$B979)+COUNTIF(G958:I975,$B979&amp;" ~*")&gt;0)+(COUNTIF(K958:M975,$B979)+COUNTIF(K958:M975,$B979&amp;" ~*")&gt;0)+(COUNTIF(O958:Q975,$B979)+COUNTIF(O958:Q975,$B979&amp;" ~*")&gt;0)+(COUNTIF(S958:U975,$B979)+COUNTIF(S958:U975,$B979&amp;" ~*")&gt;0)+(COUNTIF(W958:W975,$B979)+COUNTIF(W958:W975,$B979&amp;" ~*")&gt;0)+(COUNTIF(Y958:Y975,$B979)+COUNTIF(Y958:Y975,$B979&amp;" ~*")&gt;0))</f>
        <v/>
      </c>
      <c r="AC979" s="36">
        <f>IF($B979="","",(IFERROR(INDEX(Setup!$G$33:$G$40,MATCH(C979,Setup!$B$33:$B$40,0)),0)=1)*(COUNTIF(C958:E975,$B979)+COUNTIF(C958:E975,$B979&amp;" ~*")&gt;0)+(IFERROR(INDEX(Setup!$G$33:$G$40,MATCH(G979,Setup!$B$33:$B$40,0)),0)=1)*(COUNTIF(G958:I975,$B979)+COUNTIF(G958:I975,$B979&amp;" ~*")&gt;0)+(IFERROR(INDEX(Setup!$G$33:$G$40,MATCH(K979,Setup!$B$33:$B$40,0)),0)=1)*(COUNTIF(K958:M975,$B979)+COUNTIF(K958:M975,$B979&amp;" ~*")&gt;0)+(IFERROR(INDEX(Setup!$G$33:$G$40,MATCH(O979,Setup!$B$33:$B$40,0)),0)=1)*(COUNTIF(O958:Q975,$B979)+COUNTIF(O958:Q975,$B979&amp;" ~*")&gt;0)+(IFERROR(INDEX(Setup!$G$33:$G$40,MATCH(S979,Setup!$B$33:$B$40,0)),0)=1)*(COUNTIF(S958:U975,$B979)+COUNTIF(S958:U975,$B979&amp;" ~*")&gt;0)+(IFERROR(INDEX(Setup!$G$33:$G$40,MATCH(W979,Setup!$B$33:$B$40,0)),0)=1)*(COUNTIF(W958:W975,$B979)+COUNTIF(W958:W975,$B979&amp;" ~*")&gt;0)+(IFERROR(INDEX(Setup!$G$33:$G$40,MATCH(Y979,Setup!$B$33:$B$40,0)),0)=1)*(COUNTIF(Y958:Y975,$B979)+COUNTIF(Y958:Y975,$B979&amp;" ~*")&gt;0))</f>
        <v/>
      </c>
    </row>
    <row r="980" ht="15" customHeight="1">
      <c r="A980" t="n">
        <v>20</v>
      </c>
      <c r="B980" s="37">
        <f>IF(Setup!$B$9="","",Setup!$B$9)</f>
        <v/>
      </c>
      <c r="C980" s="102" t="n"/>
      <c r="D980" s="103" t="n"/>
      <c r="E980" s="103" t="n"/>
      <c r="F980" s="104" t="n"/>
      <c r="G980" s="102" t="n"/>
      <c r="H980" s="103" t="n"/>
      <c r="I980" s="103" t="n"/>
      <c r="J980" s="104" t="n"/>
      <c r="K980" s="102" t="n"/>
      <c r="L980" s="103" t="n"/>
      <c r="M980" s="103" t="n"/>
      <c r="N980" s="104" t="n"/>
      <c r="O980" s="102" t="n"/>
      <c r="P980" s="103" t="n"/>
      <c r="Q980" s="103" t="n"/>
      <c r="R980" s="104" t="n"/>
      <c r="S980" s="102" t="n"/>
      <c r="T980" s="103" t="n"/>
      <c r="U980" s="103" t="n"/>
      <c r="V980" s="104" t="n"/>
      <c r="W980" s="102" t="n"/>
      <c r="X980" s="104" t="n"/>
      <c r="Y980" s="102" t="n"/>
      <c r="Z980" s="104" t="n"/>
      <c r="AB980" s="105">
        <f>IF($B980="","",(COUNTIF(C958:E975,$B980)+COUNTIF(C958:E975,$B980&amp;" ~*")&gt;0)+(COUNTIF(G958:I975,$B980)+COUNTIF(G958:I975,$B980&amp;" ~*")&gt;0)+(COUNTIF(K958:M975,$B980)+COUNTIF(K958:M975,$B980&amp;" ~*")&gt;0)+(COUNTIF(O958:Q975,$B980)+COUNTIF(O958:Q975,$B980&amp;" ~*")&gt;0)+(COUNTIF(S958:U975,$B980)+COUNTIF(S958:U975,$B980&amp;" ~*")&gt;0)+(COUNTIF(W958:W975,$B980)+COUNTIF(W958:W975,$B980&amp;" ~*")&gt;0)+(COUNTIF(Y958:Y975,$B980)+COUNTIF(Y958:Y975,$B980&amp;" ~*")&gt;0))</f>
        <v/>
      </c>
      <c r="AC980" s="38">
        <f>IF($B980="","",(IFERROR(INDEX(Setup!$G$33:$G$40,MATCH(C980,Setup!$B$33:$B$40,0)),0)=1)*(COUNTIF(C958:E975,$B980)+COUNTIF(C958:E975,$B980&amp;" ~*")&gt;0)+(IFERROR(INDEX(Setup!$G$33:$G$40,MATCH(G980,Setup!$B$33:$B$40,0)),0)=1)*(COUNTIF(G958:I975,$B980)+COUNTIF(G958:I975,$B980&amp;" ~*")&gt;0)+(IFERROR(INDEX(Setup!$G$33:$G$40,MATCH(K980,Setup!$B$33:$B$40,0)),0)=1)*(COUNTIF(K958:M975,$B980)+COUNTIF(K958:M975,$B980&amp;" ~*")&gt;0)+(IFERROR(INDEX(Setup!$G$33:$G$40,MATCH(O980,Setup!$B$33:$B$40,0)),0)=1)*(COUNTIF(O958:Q975,$B980)+COUNTIF(O958:Q975,$B980&amp;" ~*")&gt;0)+(IFERROR(INDEX(Setup!$G$33:$G$40,MATCH(S980,Setup!$B$33:$B$40,0)),0)=1)*(COUNTIF(S958:U975,$B980)+COUNTIF(S958:U975,$B980&amp;" ~*")&gt;0)+(IFERROR(INDEX(Setup!$G$33:$G$40,MATCH(W980,Setup!$B$33:$B$40,0)),0)=1)*(COUNTIF(W958:W975,$B980)+COUNTIF(W958:W975,$B980&amp;" ~*")&gt;0)+(IFERROR(INDEX(Setup!$G$33:$G$40,MATCH(Y980,Setup!$B$33:$B$40,0)),0)=1)*(COUNTIF(Y958:Y975,$B980)+COUNTIF(Y958:Y975,$B980&amp;" ~*")&gt;0))</f>
        <v/>
      </c>
    </row>
    <row r="981" ht="15" customHeight="1">
      <c r="A981" t="n">
        <v>20</v>
      </c>
      <c r="B981" s="35">
        <f>IF(Setup!$B$10="","",Setup!$B$10)</f>
        <v/>
      </c>
      <c r="C981" s="98" t="n"/>
      <c r="D981" s="99" t="n"/>
      <c r="E981" s="99" t="n"/>
      <c r="F981" s="100" t="n"/>
      <c r="G981" s="98" t="n"/>
      <c r="H981" s="99" t="n"/>
      <c r="I981" s="99" t="n"/>
      <c r="J981" s="100" t="n"/>
      <c r="K981" s="98" t="n"/>
      <c r="L981" s="99" t="n"/>
      <c r="M981" s="99" t="n"/>
      <c r="N981" s="100" t="n"/>
      <c r="O981" s="98" t="n"/>
      <c r="P981" s="99" t="n"/>
      <c r="Q981" s="99" t="n"/>
      <c r="R981" s="100" t="n"/>
      <c r="S981" s="98" t="n"/>
      <c r="T981" s="99" t="n"/>
      <c r="U981" s="99" t="n"/>
      <c r="V981" s="100" t="n"/>
      <c r="W981" s="98" t="n"/>
      <c r="X981" s="100" t="n"/>
      <c r="Y981" s="98" t="n"/>
      <c r="Z981" s="100" t="n"/>
      <c r="AB981" s="101">
        <f>IF($B981="","",(COUNTIF(C958:E975,$B981)+COUNTIF(C958:E975,$B981&amp;" ~*")&gt;0)+(COUNTIF(G958:I975,$B981)+COUNTIF(G958:I975,$B981&amp;" ~*")&gt;0)+(COUNTIF(K958:M975,$B981)+COUNTIF(K958:M975,$B981&amp;" ~*")&gt;0)+(COUNTIF(O958:Q975,$B981)+COUNTIF(O958:Q975,$B981&amp;" ~*")&gt;0)+(COUNTIF(S958:U975,$B981)+COUNTIF(S958:U975,$B981&amp;" ~*")&gt;0)+(COUNTIF(W958:W975,$B981)+COUNTIF(W958:W975,$B981&amp;" ~*")&gt;0)+(COUNTIF(Y958:Y975,$B981)+COUNTIF(Y958:Y975,$B981&amp;" ~*")&gt;0))</f>
        <v/>
      </c>
      <c r="AC981" s="36">
        <f>IF($B981="","",(IFERROR(INDEX(Setup!$G$33:$G$40,MATCH(C981,Setup!$B$33:$B$40,0)),0)=1)*(COUNTIF(C958:E975,$B981)+COUNTIF(C958:E975,$B981&amp;" ~*")&gt;0)+(IFERROR(INDEX(Setup!$G$33:$G$40,MATCH(G981,Setup!$B$33:$B$40,0)),0)=1)*(COUNTIF(G958:I975,$B981)+COUNTIF(G958:I975,$B981&amp;" ~*")&gt;0)+(IFERROR(INDEX(Setup!$G$33:$G$40,MATCH(K981,Setup!$B$33:$B$40,0)),0)=1)*(COUNTIF(K958:M975,$B981)+COUNTIF(K958:M975,$B981&amp;" ~*")&gt;0)+(IFERROR(INDEX(Setup!$G$33:$G$40,MATCH(O981,Setup!$B$33:$B$40,0)),0)=1)*(COUNTIF(O958:Q975,$B981)+COUNTIF(O958:Q975,$B981&amp;" ~*")&gt;0)+(IFERROR(INDEX(Setup!$G$33:$G$40,MATCH(S981,Setup!$B$33:$B$40,0)),0)=1)*(COUNTIF(S958:U975,$B981)+COUNTIF(S958:U975,$B981&amp;" ~*")&gt;0)+(IFERROR(INDEX(Setup!$G$33:$G$40,MATCH(W981,Setup!$B$33:$B$40,0)),0)=1)*(COUNTIF(W958:W975,$B981)+COUNTIF(W958:W975,$B981&amp;" ~*")&gt;0)+(IFERROR(INDEX(Setup!$G$33:$G$40,MATCH(Y981,Setup!$B$33:$B$40,0)),0)=1)*(COUNTIF(Y958:Y975,$B981)+COUNTIF(Y958:Y975,$B981&amp;" ~*")&gt;0))</f>
        <v/>
      </c>
    </row>
    <row r="982" ht="15" customHeight="1">
      <c r="A982" t="n">
        <v>20</v>
      </c>
      <c r="B982" s="37">
        <f>IF(Setup!$B$11="","",Setup!$B$11)</f>
        <v/>
      </c>
      <c r="C982" s="102" t="n"/>
      <c r="D982" s="103" t="n"/>
      <c r="E982" s="103" t="n"/>
      <c r="F982" s="104" t="n"/>
      <c r="G982" s="102" t="n"/>
      <c r="H982" s="103" t="n"/>
      <c r="I982" s="103" t="n"/>
      <c r="J982" s="104" t="n"/>
      <c r="K982" s="102" t="n"/>
      <c r="L982" s="103" t="n"/>
      <c r="M982" s="103" t="n"/>
      <c r="N982" s="104" t="n"/>
      <c r="O982" s="102" t="n"/>
      <c r="P982" s="103" t="n"/>
      <c r="Q982" s="103" t="n"/>
      <c r="R982" s="104" t="n"/>
      <c r="S982" s="102" t="n"/>
      <c r="T982" s="103" t="n"/>
      <c r="U982" s="103" t="n"/>
      <c r="V982" s="104" t="n"/>
      <c r="W982" s="102" t="n"/>
      <c r="X982" s="104" t="n"/>
      <c r="Y982" s="102" t="n"/>
      <c r="Z982" s="104" t="n"/>
      <c r="AB982" s="105">
        <f>IF($B982="","",(COUNTIF(C958:E975,$B982)+COUNTIF(C958:E975,$B982&amp;" ~*")&gt;0)+(COUNTIF(G958:I975,$B982)+COUNTIF(G958:I975,$B982&amp;" ~*")&gt;0)+(COUNTIF(K958:M975,$B982)+COUNTIF(K958:M975,$B982&amp;" ~*")&gt;0)+(COUNTIF(O958:Q975,$B982)+COUNTIF(O958:Q975,$B982&amp;" ~*")&gt;0)+(COUNTIF(S958:U975,$B982)+COUNTIF(S958:U975,$B982&amp;" ~*")&gt;0)+(COUNTIF(W958:W975,$B982)+COUNTIF(W958:W975,$B982&amp;" ~*")&gt;0)+(COUNTIF(Y958:Y975,$B982)+COUNTIF(Y958:Y975,$B982&amp;" ~*")&gt;0))</f>
        <v/>
      </c>
      <c r="AC982" s="38">
        <f>IF($B982="","",(IFERROR(INDEX(Setup!$G$33:$G$40,MATCH(C982,Setup!$B$33:$B$40,0)),0)=1)*(COUNTIF(C958:E975,$B982)+COUNTIF(C958:E975,$B982&amp;" ~*")&gt;0)+(IFERROR(INDEX(Setup!$G$33:$G$40,MATCH(G982,Setup!$B$33:$B$40,0)),0)=1)*(COUNTIF(G958:I975,$B982)+COUNTIF(G958:I975,$B982&amp;" ~*")&gt;0)+(IFERROR(INDEX(Setup!$G$33:$G$40,MATCH(K982,Setup!$B$33:$B$40,0)),0)=1)*(COUNTIF(K958:M975,$B982)+COUNTIF(K958:M975,$B982&amp;" ~*")&gt;0)+(IFERROR(INDEX(Setup!$G$33:$G$40,MATCH(O982,Setup!$B$33:$B$40,0)),0)=1)*(COUNTIF(O958:Q975,$B982)+COUNTIF(O958:Q975,$B982&amp;" ~*")&gt;0)+(IFERROR(INDEX(Setup!$G$33:$G$40,MATCH(S982,Setup!$B$33:$B$40,0)),0)=1)*(COUNTIF(S958:U975,$B982)+COUNTIF(S958:U975,$B982&amp;" ~*")&gt;0)+(IFERROR(INDEX(Setup!$G$33:$G$40,MATCH(W982,Setup!$B$33:$B$40,0)),0)=1)*(COUNTIF(W958:W975,$B982)+COUNTIF(W958:W975,$B982&amp;" ~*")&gt;0)+(IFERROR(INDEX(Setup!$G$33:$G$40,MATCH(Y982,Setup!$B$33:$B$40,0)),0)=1)*(COUNTIF(Y958:Y975,$B982)+COUNTIF(Y958:Y975,$B982&amp;" ~*")&gt;0))</f>
        <v/>
      </c>
    </row>
    <row r="983" ht="15" customHeight="1">
      <c r="A983" t="n">
        <v>20</v>
      </c>
      <c r="B983" s="35">
        <f>IF(Setup!$B$12="","",Setup!$B$12)</f>
        <v/>
      </c>
      <c r="C983" s="98" t="n"/>
      <c r="D983" s="99" t="n"/>
      <c r="E983" s="99" t="n"/>
      <c r="F983" s="100" t="n"/>
      <c r="G983" s="98" t="n"/>
      <c r="H983" s="99" t="n"/>
      <c r="I983" s="99" t="n"/>
      <c r="J983" s="100" t="n"/>
      <c r="K983" s="98" t="n"/>
      <c r="L983" s="99" t="n"/>
      <c r="M983" s="99" t="n"/>
      <c r="N983" s="100" t="n"/>
      <c r="O983" s="98" t="n"/>
      <c r="P983" s="99" t="n"/>
      <c r="Q983" s="99" t="n"/>
      <c r="R983" s="100" t="n"/>
      <c r="S983" s="98" t="n"/>
      <c r="T983" s="99" t="n"/>
      <c r="U983" s="99" t="n"/>
      <c r="V983" s="100" t="n"/>
      <c r="W983" s="98" t="n"/>
      <c r="X983" s="100" t="n"/>
      <c r="Y983" s="98" t="n"/>
      <c r="Z983" s="100" t="n"/>
      <c r="AB983" s="101">
        <f>IF($B983="","",(COUNTIF(C958:E975,$B983)+COUNTIF(C958:E975,$B983&amp;" ~*")&gt;0)+(COUNTIF(G958:I975,$B983)+COUNTIF(G958:I975,$B983&amp;" ~*")&gt;0)+(COUNTIF(K958:M975,$B983)+COUNTIF(K958:M975,$B983&amp;" ~*")&gt;0)+(COUNTIF(O958:Q975,$B983)+COUNTIF(O958:Q975,$B983&amp;" ~*")&gt;0)+(COUNTIF(S958:U975,$B983)+COUNTIF(S958:U975,$B983&amp;" ~*")&gt;0)+(COUNTIF(W958:W975,$B983)+COUNTIF(W958:W975,$B983&amp;" ~*")&gt;0)+(COUNTIF(Y958:Y975,$B983)+COUNTIF(Y958:Y975,$B983&amp;" ~*")&gt;0))</f>
        <v/>
      </c>
      <c r="AC983" s="36">
        <f>IF($B983="","",(IFERROR(INDEX(Setup!$G$33:$G$40,MATCH(C983,Setup!$B$33:$B$40,0)),0)=1)*(COUNTIF(C958:E975,$B983)+COUNTIF(C958:E975,$B983&amp;" ~*")&gt;0)+(IFERROR(INDEX(Setup!$G$33:$G$40,MATCH(G983,Setup!$B$33:$B$40,0)),0)=1)*(COUNTIF(G958:I975,$B983)+COUNTIF(G958:I975,$B983&amp;" ~*")&gt;0)+(IFERROR(INDEX(Setup!$G$33:$G$40,MATCH(K983,Setup!$B$33:$B$40,0)),0)=1)*(COUNTIF(K958:M975,$B983)+COUNTIF(K958:M975,$B983&amp;" ~*")&gt;0)+(IFERROR(INDEX(Setup!$G$33:$G$40,MATCH(O983,Setup!$B$33:$B$40,0)),0)=1)*(COUNTIF(O958:Q975,$B983)+COUNTIF(O958:Q975,$B983&amp;" ~*")&gt;0)+(IFERROR(INDEX(Setup!$G$33:$G$40,MATCH(S983,Setup!$B$33:$B$40,0)),0)=1)*(COUNTIF(S958:U975,$B983)+COUNTIF(S958:U975,$B983&amp;" ~*")&gt;0)+(IFERROR(INDEX(Setup!$G$33:$G$40,MATCH(W983,Setup!$B$33:$B$40,0)),0)=1)*(COUNTIF(W958:W975,$B983)+COUNTIF(W958:W975,$B983&amp;" ~*")&gt;0)+(IFERROR(INDEX(Setup!$G$33:$G$40,MATCH(Y983,Setup!$B$33:$B$40,0)),0)=1)*(COUNTIF(Y958:Y975,$B983)+COUNTIF(Y958:Y975,$B983&amp;" ~*")&gt;0))</f>
        <v/>
      </c>
    </row>
    <row r="984" ht="15" customHeight="1">
      <c r="A984" t="n">
        <v>20</v>
      </c>
      <c r="B984" s="37">
        <f>IF(Setup!$B$13="","",Setup!$B$13)</f>
        <v/>
      </c>
      <c r="C984" s="102" t="n"/>
      <c r="D984" s="103" t="n"/>
      <c r="E984" s="103" t="n"/>
      <c r="F984" s="104" t="n"/>
      <c r="G984" s="102" t="n"/>
      <c r="H984" s="103" t="n"/>
      <c r="I984" s="103" t="n"/>
      <c r="J984" s="104" t="n"/>
      <c r="K984" s="102" t="n"/>
      <c r="L984" s="103" t="n"/>
      <c r="M984" s="103" t="n"/>
      <c r="N984" s="104" t="n"/>
      <c r="O984" s="102" t="n"/>
      <c r="P984" s="103" t="n"/>
      <c r="Q984" s="103" t="n"/>
      <c r="R984" s="104" t="n"/>
      <c r="S984" s="102" t="n"/>
      <c r="T984" s="103" t="n"/>
      <c r="U984" s="103" t="n"/>
      <c r="V984" s="104" t="n"/>
      <c r="W984" s="102" t="n"/>
      <c r="X984" s="104" t="n"/>
      <c r="Y984" s="102" t="n"/>
      <c r="Z984" s="104" t="n"/>
      <c r="AB984" s="105">
        <f>IF($B984="","",(COUNTIF(C958:E975,$B984)+COUNTIF(C958:E975,$B984&amp;" ~*")&gt;0)+(COUNTIF(G958:I975,$B984)+COUNTIF(G958:I975,$B984&amp;" ~*")&gt;0)+(COUNTIF(K958:M975,$B984)+COUNTIF(K958:M975,$B984&amp;" ~*")&gt;0)+(COUNTIF(O958:Q975,$B984)+COUNTIF(O958:Q975,$B984&amp;" ~*")&gt;0)+(COUNTIF(S958:U975,$B984)+COUNTIF(S958:U975,$B984&amp;" ~*")&gt;0)+(COUNTIF(W958:W975,$B984)+COUNTIF(W958:W975,$B984&amp;" ~*")&gt;0)+(COUNTIF(Y958:Y975,$B984)+COUNTIF(Y958:Y975,$B984&amp;" ~*")&gt;0))</f>
        <v/>
      </c>
      <c r="AC984" s="38">
        <f>IF($B984="","",(IFERROR(INDEX(Setup!$G$33:$G$40,MATCH(C984,Setup!$B$33:$B$40,0)),0)=1)*(COUNTIF(C958:E975,$B984)+COUNTIF(C958:E975,$B984&amp;" ~*")&gt;0)+(IFERROR(INDEX(Setup!$G$33:$G$40,MATCH(G984,Setup!$B$33:$B$40,0)),0)=1)*(COUNTIF(G958:I975,$B984)+COUNTIF(G958:I975,$B984&amp;" ~*")&gt;0)+(IFERROR(INDEX(Setup!$G$33:$G$40,MATCH(K984,Setup!$B$33:$B$40,0)),0)=1)*(COUNTIF(K958:M975,$B984)+COUNTIF(K958:M975,$B984&amp;" ~*")&gt;0)+(IFERROR(INDEX(Setup!$G$33:$G$40,MATCH(O984,Setup!$B$33:$B$40,0)),0)=1)*(COUNTIF(O958:Q975,$B984)+COUNTIF(O958:Q975,$B984&amp;" ~*")&gt;0)+(IFERROR(INDEX(Setup!$G$33:$G$40,MATCH(S984,Setup!$B$33:$B$40,0)),0)=1)*(COUNTIF(S958:U975,$B984)+COUNTIF(S958:U975,$B984&amp;" ~*")&gt;0)+(IFERROR(INDEX(Setup!$G$33:$G$40,MATCH(W984,Setup!$B$33:$B$40,0)),0)=1)*(COUNTIF(W958:W975,$B984)+COUNTIF(W958:W975,$B984&amp;" ~*")&gt;0)+(IFERROR(INDEX(Setup!$G$33:$G$40,MATCH(Y984,Setup!$B$33:$B$40,0)),0)=1)*(COUNTIF(Y958:Y975,$B984)+COUNTIF(Y958:Y975,$B984&amp;" ~*")&gt;0))</f>
        <v/>
      </c>
    </row>
    <row r="985" ht="15" customHeight="1">
      <c r="A985" t="n">
        <v>20</v>
      </c>
      <c r="B985" s="35">
        <f>IF(Setup!$B$14="","",Setup!$B$14)</f>
        <v/>
      </c>
      <c r="C985" s="98" t="n"/>
      <c r="D985" s="99" t="n"/>
      <c r="E985" s="99" t="n"/>
      <c r="F985" s="100" t="n"/>
      <c r="G985" s="98" t="n"/>
      <c r="H985" s="99" t="n"/>
      <c r="I985" s="99" t="n"/>
      <c r="J985" s="100" t="n"/>
      <c r="K985" s="98" t="n"/>
      <c r="L985" s="99" t="n"/>
      <c r="M985" s="99" t="n"/>
      <c r="N985" s="100" t="n"/>
      <c r="O985" s="98" t="n"/>
      <c r="P985" s="99" t="n"/>
      <c r="Q985" s="99" t="n"/>
      <c r="R985" s="100" t="n"/>
      <c r="S985" s="98" t="n"/>
      <c r="T985" s="99" t="n"/>
      <c r="U985" s="99" t="n"/>
      <c r="V985" s="100" t="n"/>
      <c r="W985" s="98" t="n"/>
      <c r="X985" s="100" t="n"/>
      <c r="Y985" s="98" t="n"/>
      <c r="Z985" s="100" t="n"/>
      <c r="AB985" s="101">
        <f>IF($B985="","",(COUNTIF(C958:E975,$B985)+COUNTIF(C958:E975,$B985&amp;" ~*")&gt;0)+(COUNTIF(G958:I975,$B985)+COUNTIF(G958:I975,$B985&amp;" ~*")&gt;0)+(COUNTIF(K958:M975,$B985)+COUNTIF(K958:M975,$B985&amp;" ~*")&gt;0)+(COUNTIF(O958:Q975,$B985)+COUNTIF(O958:Q975,$B985&amp;" ~*")&gt;0)+(COUNTIF(S958:U975,$B985)+COUNTIF(S958:U975,$B985&amp;" ~*")&gt;0)+(COUNTIF(W958:W975,$B985)+COUNTIF(W958:W975,$B985&amp;" ~*")&gt;0)+(COUNTIF(Y958:Y975,$B985)+COUNTIF(Y958:Y975,$B985&amp;" ~*")&gt;0))</f>
        <v/>
      </c>
      <c r="AC985" s="36">
        <f>IF($B985="","",(IFERROR(INDEX(Setup!$G$33:$G$40,MATCH(C985,Setup!$B$33:$B$40,0)),0)=1)*(COUNTIF(C958:E975,$B985)+COUNTIF(C958:E975,$B985&amp;" ~*")&gt;0)+(IFERROR(INDEX(Setup!$G$33:$G$40,MATCH(G985,Setup!$B$33:$B$40,0)),0)=1)*(COUNTIF(G958:I975,$B985)+COUNTIF(G958:I975,$B985&amp;" ~*")&gt;0)+(IFERROR(INDEX(Setup!$G$33:$G$40,MATCH(K985,Setup!$B$33:$B$40,0)),0)=1)*(COUNTIF(K958:M975,$B985)+COUNTIF(K958:M975,$B985&amp;" ~*")&gt;0)+(IFERROR(INDEX(Setup!$G$33:$G$40,MATCH(O985,Setup!$B$33:$B$40,0)),0)=1)*(COUNTIF(O958:Q975,$B985)+COUNTIF(O958:Q975,$B985&amp;" ~*")&gt;0)+(IFERROR(INDEX(Setup!$G$33:$G$40,MATCH(S985,Setup!$B$33:$B$40,0)),0)=1)*(COUNTIF(S958:U975,$B985)+COUNTIF(S958:U975,$B985&amp;" ~*")&gt;0)+(IFERROR(INDEX(Setup!$G$33:$G$40,MATCH(W985,Setup!$B$33:$B$40,0)),0)=1)*(COUNTIF(W958:W975,$B985)+COUNTIF(W958:W975,$B985&amp;" ~*")&gt;0)+(IFERROR(INDEX(Setup!$G$33:$G$40,MATCH(Y985,Setup!$B$33:$B$40,0)),0)=1)*(COUNTIF(Y958:Y975,$B985)+COUNTIF(Y958:Y975,$B985&amp;" ~*")&gt;0))</f>
        <v/>
      </c>
    </row>
    <row r="986" ht="15" customHeight="1">
      <c r="A986" t="n">
        <v>20</v>
      </c>
      <c r="B986" s="37">
        <f>IF(Setup!$B$15="","",Setup!$B$15)</f>
        <v/>
      </c>
      <c r="C986" s="102" t="n"/>
      <c r="D986" s="103" t="n"/>
      <c r="E986" s="103" t="n"/>
      <c r="F986" s="104" t="n"/>
      <c r="G986" s="102" t="n"/>
      <c r="H986" s="103" t="n"/>
      <c r="I986" s="103" t="n"/>
      <c r="J986" s="104" t="n"/>
      <c r="K986" s="102" t="n"/>
      <c r="L986" s="103" t="n"/>
      <c r="M986" s="103" t="n"/>
      <c r="N986" s="104" t="n"/>
      <c r="O986" s="102" t="n"/>
      <c r="P986" s="103" t="n"/>
      <c r="Q986" s="103" t="n"/>
      <c r="R986" s="104" t="n"/>
      <c r="S986" s="102" t="n"/>
      <c r="T986" s="103" t="n"/>
      <c r="U986" s="103" t="n"/>
      <c r="V986" s="104" t="n"/>
      <c r="W986" s="102" t="n"/>
      <c r="X986" s="104" t="n"/>
      <c r="Y986" s="102" t="n"/>
      <c r="Z986" s="104" t="n"/>
      <c r="AB986" s="105">
        <f>IF($B986="","",(COUNTIF(C958:E975,$B986)+COUNTIF(C958:E975,$B986&amp;" ~*")&gt;0)+(COUNTIF(G958:I975,$B986)+COUNTIF(G958:I975,$B986&amp;" ~*")&gt;0)+(COUNTIF(K958:M975,$B986)+COUNTIF(K958:M975,$B986&amp;" ~*")&gt;0)+(COUNTIF(O958:Q975,$B986)+COUNTIF(O958:Q975,$B986&amp;" ~*")&gt;0)+(COUNTIF(S958:U975,$B986)+COUNTIF(S958:U975,$B986&amp;" ~*")&gt;0)+(COUNTIF(W958:W975,$B986)+COUNTIF(W958:W975,$B986&amp;" ~*")&gt;0)+(COUNTIF(Y958:Y975,$B986)+COUNTIF(Y958:Y975,$B986&amp;" ~*")&gt;0))</f>
        <v/>
      </c>
      <c r="AC986" s="38">
        <f>IF($B986="","",(IFERROR(INDEX(Setup!$G$33:$G$40,MATCH(C986,Setup!$B$33:$B$40,0)),0)=1)*(COUNTIF(C958:E975,$B986)+COUNTIF(C958:E975,$B986&amp;" ~*")&gt;0)+(IFERROR(INDEX(Setup!$G$33:$G$40,MATCH(G986,Setup!$B$33:$B$40,0)),0)=1)*(COUNTIF(G958:I975,$B986)+COUNTIF(G958:I975,$B986&amp;" ~*")&gt;0)+(IFERROR(INDEX(Setup!$G$33:$G$40,MATCH(K986,Setup!$B$33:$B$40,0)),0)=1)*(COUNTIF(K958:M975,$B986)+COUNTIF(K958:M975,$B986&amp;" ~*")&gt;0)+(IFERROR(INDEX(Setup!$G$33:$G$40,MATCH(O986,Setup!$B$33:$B$40,0)),0)=1)*(COUNTIF(O958:Q975,$B986)+COUNTIF(O958:Q975,$B986&amp;" ~*")&gt;0)+(IFERROR(INDEX(Setup!$G$33:$G$40,MATCH(S986,Setup!$B$33:$B$40,0)),0)=1)*(COUNTIF(S958:U975,$B986)+COUNTIF(S958:U975,$B986&amp;" ~*")&gt;0)+(IFERROR(INDEX(Setup!$G$33:$G$40,MATCH(W986,Setup!$B$33:$B$40,0)),0)=1)*(COUNTIF(W958:W975,$B986)+COUNTIF(W958:W975,$B986&amp;" ~*")&gt;0)+(IFERROR(INDEX(Setup!$G$33:$G$40,MATCH(Y986,Setup!$B$33:$B$40,0)),0)=1)*(COUNTIF(Y958:Y975,$B986)+COUNTIF(Y958:Y975,$B986&amp;" ~*")&gt;0))</f>
        <v/>
      </c>
    </row>
    <row r="987" ht="15" customHeight="1">
      <c r="A987" t="n">
        <v>20</v>
      </c>
      <c r="B987" s="35">
        <f>IF(Setup!$B$16="","",Setup!$B$16)</f>
        <v/>
      </c>
      <c r="C987" s="98" t="n"/>
      <c r="D987" s="99" t="n"/>
      <c r="E987" s="99" t="n"/>
      <c r="F987" s="100" t="n"/>
      <c r="G987" s="98" t="n"/>
      <c r="H987" s="99" t="n"/>
      <c r="I987" s="99" t="n"/>
      <c r="J987" s="100" t="n"/>
      <c r="K987" s="98" t="n"/>
      <c r="L987" s="99" t="n"/>
      <c r="M987" s="99" t="n"/>
      <c r="N987" s="100" t="n"/>
      <c r="O987" s="98" t="n"/>
      <c r="P987" s="99" t="n"/>
      <c r="Q987" s="99" t="n"/>
      <c r="R987" s="100" t="n"/>
      <c r="S987" s="98" t="n"/>
      <c r="T987" s="99" t="n"/>
      <c r="U987" s="99" t="n"/>
      <c r="V987" s="100" t="n"/>
      <c r="W987" s="98" t="n"/>
      <c r="X987" s="100" t="n"/>
      <c r="Y987" s="98" t="n"/>
      <c r="Z987" s="100" t="n"/>
      <c r="AB987" s="101">
        <f>IF($B987="","",(COUNTIF(C958:E975,$B987)+COUNTIF(C958:E975,$B987&amp;" ~*")&gt;0)+(COUNTIF(G958:I975,$B987)+COUNTIF(G958:I975,$B987&amp;" ~*")&gt;0)+(COUNTIF(K958:M975,$B987)+COUNTIF(K958:M975,$B987&amp;" ~*")&gt;0)+(COUNTIF(O958:Q975,$B987)+COUNTIF(O958:Q975,$B987&amp;" ~*")&gt;0)+(COUNTIF(S958:U975,$B987)+COUNTIF(S958:U975,$B987&amp;" ~*")&gt;0)+(COUNTIF(W958:W975,$B987)+COUNTIF(W958:W975,$B987&amp;" ~*")&gt;0)+(COUNTIF(Y958:Y975,$B987)+COUNTIF(Y958:Y975,$B987&amp;" ~*")&gt;0))</f>
        <v/>
      </c>
      <c r="AC987" s="36">
        <f>IF($B987="","",(IFERROR(INDEX(Setup!$G$33:$G$40,MATCH(C987,Setup!$B$33:$B$40,0)),0)=1)*(COUNTIF(C958:E975,$B987)+COUNTIF(C958:E975,$B987&amp;" ~*")&gt;0)+(IFERROR(INDEX(Setup!$G$33:$G$40,MATCH(G987,Setup!$B$33:$B$40,0)),0)=1)*(COUNTIF(G958:I975,$B987)+COUNTIF(G958:I975,$B987&amp;" ~*")&gt;0)+(IFERROR(INDEX(Setup!$G$33:$G$40,MATCH(K987,Setup!$B$33:$B$40,0)),0)=1)*(COUNTIF(K958:M975,$B987)+COUNTIF(K958:M975,$B987&amp;" ~*")&gt;0)+(IFERROR(INDEX(Setup!$G$33:$G$40,MATCH(O987,Setup!$B$33:$B$40,0)),0)=1)*(COUNTIF(O958:Q975,$B987)+COUNTIF(O958:Q975,$B987&amp;" ~*")&gt;0)+(IFERROR(INDEX(Setup!$G$33:$G$40,MATCH(S987,Setup!$B$33:$B$40,0)),0)=1)*(COUNTIF(S958:U975,$B987)+COUNTIF(S958:U975,$B987&amp;" ~*")&gt;0)+(IFERROR(INDEX(Setup!$G$33:$G$40,MATCH(W987,Setup!$B$33:$B$40,0)),0)=1)*(COUNTIF(W958:W975,$B987)+COUNTIF(W958:W975,$B987&amp;" ~*")&gt;0)+(IFERROR(INDEX(Setup!$G$33:$G$40,MATCH(Y987,Setup!$B$33:$B$40,0)),0)=1)*(COUNTIF(Y958:Y975,$B987)+COUNTIF(Y958:Y975,$B987&amp;" ~*")&gt;0))</f>
        <v/>
      </c>
    </row>
    <row r="988" ht="15" customHeight="1">
      <c r="A988" t="n">
        <v>20</v>
      </c>
      <c r="B988" s="37">
        <f>IF(Setup!$B$17="","",Setup!$B$17)</f>
        <v/>
      </c>
      <c r="C988" s="102" t="n"/>
      <c r="D988" s="103" t="n"/>
      <c r="E988" s="103" t="n"/>
      <c r="F988" s="104" t="n"/>
      <c r="G988" s="102" t="n"/>
      <c r="H988" s="103" t="n"/>
      <c r="I988" s="103" t="n"/>
      <c r="J988" s="104" t="n"/>
      <c r="K988" s="102" t="n"/>
      <c r="L988" s="103" t="n"/>
      <c r="M988" s="103" t="n"/>
      <c r="N988" s="104" t="n"/>
      <c r="O988" s="102" t="n"/>
      <c r="P988" s="103" t="n"/>
      <c r="Q988" s="103" t="n"/>
      <c r="R988" s="104" t="n"/>
      <c r="S988" s="102" t="n"/>
      <c r="T988" s="103" t="n"/>
      <c r="U988" s="103" t="n"/>
      <c r="V988" s="104" t="n"/>
      <c r="W988" s="102" t="n"/>
      <c r="X988" s="104" t="n"/>
      <c r="Y988" s="102" t="n"/>
      <c r="Z988" s="104" t="n"/>
      <c r="AB988" s="105">
        <f>IF($B988="","",(COUNTIF(C958:E975,$B988)+COUNTIF(C958:E975,$B988&amp;" ~*")&gt;0)+(COUNTIF(G958:I975,$B988)+COUNTIF(G958:I975,$B988&amp;" ~*")&gt;0)+(COUNTIF(K958:M975,$B988)+COUNTIF(K958:M975,$B988&amp;" ~*")&gt;0)+(COUNTIF(O958:Q975,$B988)+COUNTIF(O958:Q975,$B988&amp;" ~*")&gt;0)+(COUNTIF(S958:U975,$B988)+COUNTIF(S958:U975,$B988&amp;" ~*")&gt;0)+(COUNTIF(W958:W975,$B988)+COUNTIF(W958:W975,$B988&amp;" ~*")&gt;0)+(COUNTIF(Y958:Y975,$B988)+COUNTIF(Y958:Y975,$B988&amp;" ~*")&gt;0))</f>
        <v/>
      </c>
      <c r="AC988" s="38">
        <f>IF($B988="","",(IFERROR(INDEX(Setup!$G$33:$G$40,MATCH(C988,Setup!$B$33:$B$40,0)),0)=1)*(COUNTIF(C958:E975,$B988)+COUNTIF(C958:E975,$B988&amp;" ~*")&gt;0)+(IFERROR(INDEX(Setup!$G$33:$G$40,MATCH(G988,Setup!$B$33:$B$40,0)),0)=1)*(COUNTIF(G958:I975,$B988)+COUNTIF(G958:I975,$B988&amp;" ~*")&gt;0)+(IFERROR(INDEX(Setup!$G$33:$G$40,MATCH(K988,Setup!$B$33:$B$40,0)),0)=1)*(COUNTIF(K958:M975,$B988)+COUNTIF(K958:M975,$B988&amp;" ~*")&gt;0)+(IFERROR(INDEX(Setup!$G$33:$G$40,MATCH(O988,Setup!$B$33:$B$40,0)),0)=1)*(COUNTIF(O958:Q975,$B988)+COUNTIF(O958:Q975,$B988&amp;" ~*")&gt;0)+(IFERROR(INDEX(Setup!$G$33:$G$40,MATCH(S988,Setup!$B$33:$B$40,0)),0)=1)*(COUNTIF(S958:U975,$B988)+COUNTIF(S958:U975,$B988&amp;" ~*")&gt;0)+(IFERROR(INDEX(Setup!$G$33:$G$40,MATCH(W988,Setup!$B$33:$B$40,0)),0)=1)*(COUNTIF(W958:W975,$B988)+COUNTIF(W958:W975,$B988&amp;" ~*")&gt;0)+(IFERROR(INDEX(Setup!$G$33:$G$40,MATCH(Y988,Setup!$B$33:$B$40,0)),0)=1)*(COUNTIF(Y958:Y975,$B988)+COUNTIF(Y958:Y975,$B988&amp;" ~*")&gt;0))</f>
        <v/>
      </c>
    </row>
    <row r="989" ht="15" customHeight="1">
      <c r="A989" t="n">
        <v>20</v>
      </c>
      <c r="B989" s="35">
        <f>IF(Setup!$B$18="","",Setup!$B$18)</f>
        <v/>
      </c>
      <c r="C989" s="98" t="n"/>
      <c r="D989" s="99" t="n"/>
      <c r="E989" s="99" t="n"/>
      <c r="F989" s="100" t="n"/>
      <c r="G989" s="98" t="n"/>
      <c r="H989" s="99" t="n"/>
      <c r="I989" s="99" t="n"/>
      <c r="J989" s="100" t="n"/>
      <c r="K989" s="98" t="n"/>
      <c r="L989" s="99" t="n"/>
      <c r="M989" s="99" t="n"/>
      <c r="N989" s="100" t="n"/>
      <c r="O989" s="98" t="n"/>
      <c r="P989" s="99" t="n"/>
      <c r="Q989" s="99" t="n"/>
      <c r="R989" s="100" t="n"/>
      <c r="S989" s="98" t="n"/>
      <c r="T989" s="99" t="n"/>
      <c r="U989" s="99" t="n"/>
      <c r="V989" s="100" t="n"/>
      <c r="W989" s="98" t="n"/>
      <c r="X989" s="100" t="n"/>
      <c r="Y989" s="98" t="n"/>
      <c r="Z989" s="100" t="n"/>
      <c r="AB989" s="101">
        <f>IF($B989="","",(COUNTIF(C958:E975,$B989)+COUNTIF(C958:E975,$B989&amp;" ~*")&gt;0)+(COUNTIF(G958:I975,$B989)+COUNTIF(G958:I975,$B989&amp;" ~*")&gt;0)+(COUNTIF(K958:M975,$B989)+COUNTIF(K958:M975,$B989&amp;" ~*")&gt;0)+(COUNTIF(O958:Q975,$B989)+COUNTIF(O958:Q975,$B989&amp;" ~*")&gt;0)+(COUNTIF(S958:U975,$B989)+COUNTIF(S958:U975,$B989&amp;" ~*")&gt;0)+(COUNTIF(W958:W975,$B989)+COUNTIF(W958:W975,$B989&amp;" ~*")&gt;0)+(COUNTIF(Y958:Y975,$B989)+COUNTIF(Y958:Y975,$B989&amp;" ~*")&gt;0))</f>
        <v/>
      </c>
      <c r="AC989" s="36">
        <f>IF($B989="","",(IFERROR(INDEX(Setup!$G$33:$G$40,MATCH(C989,Setup!$B$33:$B$40,0)),0)=1)*(COUNTIF(C958:E975,$B989)+COUNTIF(C958:E975,$B989&amp;" ~*")&gt;0)+(IFERROR(INDEX(Setup!$G$33:$G$40,MATCH(G989,Setup!$B$33:$B$40,0)),0)=1)*(COUNTIF(G958:I975,$B989)+COUNTIF(G958:I975,$B989&amp;" ~*")&gt;0)+(IFERROR(INDEX(Setup!$G$33:$G$40,MATCH(K989,Setup!$B$33:$B$40,0)),0)=1)*(COUNTIF(K958:M975,$B989)+COUNTIF(K958:M975,$B989&amp;" ~*")&gt;0)+(IFERROR(INDEX(Setup!$G$33:$G$40,MATCH(O989,Setup!$B$33:$B$40,0)),0)=1)*(COUNTIF(O958:Q975,$B989)+COUNTIF(O958:Q975,$B989&amp;" ~*")&gt;0)+(IFERROR(INDEX(Setup!$G$33:$G$40,MATCH(S989,Setup!$B$33:$B$40,0)),0)=1)*(COUNTIF(S958:U975,$B989)+COUNTIF(S958:U975,$B989&amp;" ~*")&gt;0)+(IFERROR(INDEX(Setup!$G$33:$G$40,MATCH(W989,Setup!$B$33:$B$40,0)),0)=1)*(COUNTIF(W958:W975,$B989)+COUNTIF(W958:W975,$B989&amp;" ~*")&gt;0)+(IFERROR(INDEX(Setup!$G$33:$G$40,MATCH(Y989,Setup!$B$33:$B$40,0)),0)=1)*(COUNTIF(Y958:Y975,$B989)+COUNTIF(Y958:Y975,$B989&amp;" ~*")&gt;0))</f>
        <v/>
      </c>
    </row>
    <row r="990" ht="15" customHeight="1">
      <c r="A990" t="n">
        <v>20</v>
      </c>
      <c r="B990" s="37">
        <f>IF(Setup!$B$19="","",Setup!$B$19)</f>
        <v/>
      </c>
      <c r="C990" s="102" t="n"/>
      <c r="D990" s="103" t="n"/>
      <c r="E990" s="103" t="n"/>
      <c r="F990" s="104" t="n"/>
      <c r="G990" s="102" t="n"/>
      <c r="H990" s="103" t="n"/>
      <c r="I990" s="103" t="n"/>
      <c r="J990" s="104" t="n"/>
      <c r="K990" s="102" t="n"/>
      <c r="L990" s="103" t="n"/>
      <c r="M990" s="103" t="n"/>
      <c r="N990" s="104" t="n"/>
      <c r="O990" s="102" t="n"/>
      <c r="P990" s="103" t="n"/>
      <c r="Q990" s="103" t="n"/>
      <c r="R990" s="104" t="n"/>
      <c r="S990" s="102" t="n"/>
      <c r="T990" s="103" t="n"/>
      <c r="U990" s="103" t="n"/>
      <c r="V990" s="104" t="n"/>
      <c r="W990" s="102" t="n"/>
      <c r="X990" s="104" t="n"/>
      <c r="Y990" s="102" t="n"/>
      <c r="Z990" s="104" t="n"/>
      <c r="AB990" s="105">
        <f>IF($B990="","",(COUNTIF(C958:E975,$B990)+COUNTIF(C958:E975,$B990&amp;" ~*")&gt;0)+(COUNTIF(G958:I975,$B990)+COUNTIF(G958:I975,$B990&amp;" ~*")&gt;0)+(COUNTIF(K958:M975,$B990)+COUNTIF(K958:M975,$B990&amp;" ~*")&gt;0)+(COUNTIF(O958:Q975,$B990)+COUNTIF(O958:Q975,$B990&amp;" ~*")&gt;0)+(COUNTIF(S958:U975,$B990)+COUNTIF(S958:U975,$B990&amp;" ~*")&gt;0)+(COUNTIF(W958:W975,$B990)+COUNTIF(W958:W975,$B990&amp;" ~*")&gt;0)+(COUNTIF(Y958:Y975,$B990)+COUNTIF(Y958:Y975,$B990&amp;" ~*")&gt;0))</f>
        <v/>
      </c>
      <c r="AC990" s="38">
        <f>IF($B990="","",(IFERROR(INDEX(Setup!$G$33:$G$40,MATCH(C990,Setup!$B$33:$B$40,0)),0)=1)*(COUNTIF(C958:E975,$B990)+COUNTIF(C958:E975,$B990&amp;" ~*")&gt;0)+(IFERROR(INDEX(Setup!$G$33:$G$40,MATCH(G990,Setup!$B$33:$B$40,0)),0)=1)*(COUNTIF(G958:I975,$B990)+COUNTIF(G958:I975,$B990&amp;" ~*")&gt;0)+(IFERROR(INDEX(Setup!$G$33:$G$40,MATCH(K990,Setup!$B$33:$B$40,0)),0)=1)*(COUNTIF(K958:M975,$B990)+COUNTIF(K958:M975,$B990&amp;" ~*")&gt;0)+(IFERROR(INDEX(Setup!$G$33:$G$40,MATCH(O990,Setup!$B$33:$B$40,0)),0)=1)*(COUNTIF(O958:Q975,$B990)+COUNTIF(O958:Q975,$B990&amp;" ~*")&gt;0)+(IFERROR(INDEX(Setup!$G$33:$G$40,MATCH(S990,Setup!$B$33:$B$40,0)),0)=1)*(COUNTIF(S958:U975,$B990)+COUNTIF(S958:U975,$B990&amp;" ~*")&gt;0)+(IFERROR(INDEX(Setup!$G$33:$G$40,MATCH(W990,Setup!$B$33:$B$40,0)),0)=1)*(COUNTIF(W958:W975,$B990)+COUNTIF(W958:W975,$B990&amp;" ~*")&gt;0)+(IFERROR(INDEX(Setup!$G$33:$G$40,MATCH(Y990,Setup!$B$33:$B$40,0)),0)=1)*(COUNTIF(Y958:Y975,$B990)+COUNTIF(Y958:Y975,$B990&amp;" ~*")&gt;0))</f>
        <v/>
      </c>
    </row>
    <row r="991" ht="15" customHeight="1">
      <c r="A991" t="n">
        <v>20</v>
      </c>
      <c r="B991" s="35">
        <f>IF(Setup!$B$20="","",Setup!$B$20)</f>
        <v/>
      </c>
      <c r="C991" s="98" t="n"/>
      <c r="D991" s="99" t="n"/>
      <c r="E991" s="99" t="n"/>
      <c r="F991" s="100" t="n"/>
      <c r="G991" s="98" t="n"/>
      <c r="H991" s="99" t="n"/>
      <c r="I991" s="99" t="n"/>
      <c r="J991" s="100" t="n"/>
      <c r="K991" s="98" t="n"/>
      <c r="L991" s="99" t="n"/>
      <c r="M991" s="99" t="n"/>
      <c r="N991" s="100" t="n"/>
      <c r="O991" s="98" t="n"/>
      <c r="P991" s="99" t="n"/>
      <c r="Q991" s="99" t="n"/>
      <c r="R991" s="100" t="n"/>
      <c r="S991" s="98" t="n"/>
      <c r="T991" s="99" t="n"/>
      <c r="U991" s="99" t="n"/>
      <c r="V991" s="100" t="n"/>
      <c r="W991" s="98" t="n"/>
      <c r="X991" s="100" t="n"/>
      <c r="Y991" s="98" t="n"/>
      <c r="Z991" s="100" t="n"/>
      <c r="AB991" s="101">
        <f>IF($B991="","",(COUNTIF(C958:E975,$B991)+COUNTIF(C958:E975,$B991&amp;" ~*")&gt;0)+(COUNTIF(G958:I975,$B991)+COUNTIF(G958:I975,$B991&amp;" ~*")&gt;0)+(COUNTIF(K958:M975,$B991)+COUNTIF(K958:M975,$B991&amp;" ~*")&gt;0)+(COUNTIF(O958:Q975,$B991)+COUNTIF(O958:Q975,$B991&amp;" ~*")&gt;0)+(COUNTIF(S958:U975,$B991)+COUNTIF(S958:U975,$B991&amp;" ~*")&gt;0)+(COUNTIF(W958:W975,$B991)+COUNTIF(W958:W975,$B991&amp;" ~*")&gt;0)+(COUNTIF(Y958:Y975,$B991)+COUNTIF(Y958:Y975,$B991&amp;" ~*")&gt;0))</f>
        <v/>
      </c>
      <c r="AC991" s="36">
        <f>IF($B991="","",(IFERROR(INDEX(Setup!$G$33:$G$40,MATCH(C991,Setup!$B$33:$B$40,0)),0)=1)*(COUNTIF(C958:E975,$B991)+COUNTIF(C958:E975,$B991&amp;" ~*")&gt;0)+(IFERROR(INDEX(Setup!$G$33:$G$40,MATCH(G991,Setup!$B$33:$B$40,0)),0)=1)*(COUNTIF(G958:I975,$B991)+COUNTIF(G958:I975,$B991&amp;" ~*")&gt;0)+(IFERROR(INDEX(Setup!$G$33:$G$40,MATCH(K991,Setup!$B$33:$B$40,0)),0)=1)*(COUNTIF(K958:M975,$B991)+COUNTIF(K958:M975,$B991&amp;" ~*")&gt;0)+(IFERROR(INDEX(Setup!$G$33:$G$40,MATCH(O991,Setup!$B$33:$B$40,0)),0)=1)*(COUNTIF(O958:Q975,$B991)+COUNTIF(O958:Q975,$B991&amp;" ~*")&gt;0)+(IFERROR(INDEX(Setup!$G$33:$G$40,MATCH(S991,Setup!$B$33:$B$40,0)),0)=1)*(COUNTIF(S958:U975,$B991)+COUNTIF(S958:U975,$B991&amp;" ~*")&gt;0)+(IFERROR(INDEX(Setup!$G$33:$G$40,MATCH(W991,Setup!$B$33:$B$40,0)),0)=1)*(COUNTIF(W958:W975,$B991)+COUNTIF(W958:W975,$B991&amp;" ~*")&gt;0)+(IFERROR(INDEX(Setup!$G$33:$G$40,MATCH(Y991,Setup!$B$33:$B$40,0)),0)=1)*(COUNTIF(Y958:Y975,$B991)+COUNTIF(Y958:Y975,$B991&amp;" ~*")&gt;0))</f>
        <v/>
      </c>
    </row>
    <row r="992" ht="15" customHeight="1">
      <c r="A992" t="n">
        <v>20</v>
      </c>
      <c r="B992" s="37">
        <f>IF(Setup!$B$21="","",Setup!$B$21)</f>
        <v/>
      </c>
      <c r="C992" s="102" t="n"/>
      <c r="D992" s="103" t="n"/>
      <c r="E992" s="103" t="n"/>
      <c r="F992" s="104" t="n"/>
      <c r="G992" s="102" t="n"/>
      <c r="H992" s="103" t="n"/>
      <c r="I992" s="103" t="n"/>
      <c r="J992" s="104" t="n"/>
      <c r="K992" s="102" t="n"/>
      <c r="L992" s="103" t="n"/>
      <c r="M992" s="103" t="n"/>
      <c r="N992" s="104" t="n"/>
      <c r="O992" s="102" t="n"/>
      <c r="P992" s="103" t="n"/>
      <c r="Q992" s="103" t="n"/>
      <c r="R992" s="104" t="n"/>
      <c r="S992" s="102" t="n"/>
      <c r="T992" s="103" t="n"/>
      <c r="U992" s="103" t="n"/>
      <c r="V992" s="104" t="n"/>
      <c r="W992" s="102" t="n"/>
      <c r="X992" s="104" t="n"/>
      <c r="Y992" s="102" t="n"/>
      <c r="Z992" s="104" t="n"/>
      <c r="AB992" s="105">
        <f>IF($B992="","",(COUNTIF(C958:E975,$B992)+COUNTIF(C958:E975,$B992&amp;" ~*")&gt;0)+(COUNTIF(G958:I975,$B992)+COUNTIF(G958:I975,$B992&amp;" ~*")&gt;0)+(COUNTIF(K958:M975,$B992)+COUNTIF(K958:M975,$B992&amp;" ~*")&gt;0)+(COUNTIF(O958:Q975,$B992)+COUNTIF(O958:Q975,$B992&amp;" ~*")&gt;0)+(COUNTIF(S958:U975,$B992)+COUNTIF(S958:U975,$B992&amp;" ~*")&gt;0)+(COUNTIF(W958:W975,$B992)+COUNTIF(W958:W975,$B992&amp;" ~*")&gt;0)+(COUNTIF(Y958:Y975,$B992)+COUNTIF(Y958:Y975,$B992&amp;" ~*")&gt;0))</f>
        <v/>
      </c>
      <c r="AC992" s="38">
        <f>IF($B992="","",(IFERROR(INDEX(Setup!$G$33:$G$40,MATCH(C992,Setup!$B$33:$B$40,0)),0)=1)*(COUNTIF(C958:E975,$B992)+COUNTIF(C958:E975,$B992&amp;" ~*")&gt;0)+(IFERROR(INDEX(Setup!$G$33:$G$40,MATCH(G992,Setup!$B$33:$B$40,0)),0)=1)*(COUNTIF(G958:I975,$B992)+COUNTIF(G958:I975,$B992&amp;" ~*")&gt;0)+(IFERROR(INDEX(Setup!$G$33:$G$40,MATCH(K992,Setup!$B$33:$B$40,0)),0)=1)*(COUNTIF(K958:M975,$B992)+COUNTIF(K958:M975,$B992&amp;" ~*")&gt;0)+(IFERROR(INDEX(Setup!$G$33:$G$40,MATCH(O992,Setup!$B$33:$B$40,0)),0)=1)*(COUNTIF(O958:Q975,$B992)+COUNTIF(O958:Q975,$B992&amp;" ~*")&gt;0)+(IFERROR(INDEX(Setup!$G$33:$G$40,MATCH(S992,Setup!$B$33:$B$40,0)),0)=1)*(COUNTIF(S958:U975,$B992)+COUNTIF(S958:U975,$B992&amp;" ~*")&gt;0)+(IFERROR(INDEX(Setup!$G$33:$G$40,MATCH(W992,Setup!$B$33:$B$40,0)),0)=1)*(COUNTIF(W958:W975,$B992)+COUNTIF(W958:W975,$B992&amp;" ~*")&gt;0)+(IFERROR(INDEX(Setup!$G$33:$G$40,MATCH(Y992,Setup!$B$33:$B$40,0)),0)=1)*(COUNTIF(Y958:Y975,$B992)+COUNTIF(Y958:Y975,$B992&amp;" ~*")&gt;0))</f>
        <v/>
      </c>
    </row>
    <row r="993" ht="15" customHeight="1">
      <c r="A993" t="n">
        <v>20</v>
      </c>
      <c r="B993" s="35">
        <f>IF(Setup!$B$22="","",Setup!$B$22)</f>
        <v/>
      </c>
      <c r="C993" s="98" t="n"/>
      <c r="D993" s="99" t="n"/>
      <c r="E993" s="99" t="n"/>
      <c r="F993" s="100" t="n"/>
      <c r="G993" s="98" t="n"/>
      <c r="H993" s="99" t="n"/>
      <c r="I993" s="99" t="n"/>
      <c r="J993" s="100" t="n"/>
      <c r="K993" s="98" t="n"/>
      <c r="L993" s="99" t="n"/>
      <c r="M993" s="99" t="n"/>
      <c r="N993" s="100" t="n"/>
      <c r="O993" s="98" t="n"/>
      <c r="P993" s="99" t="n"/>
      <c r="Q993" s="99" t="n"/>
      <c r="R993" s="100" t="n"/>
      <c r="S993" s="98" t="n"/>
      <c r="T993" s="99" t="n"/>
      <c r="U993" s="99" t="n"/>
      <c r="V993" s="100" t="n"/>
      <c r="W993" s="98" t="n"/>
      <c r="X993" s="100" t="n"/>
      <c r="Y993" s="98" t="n"/>
      <c r="Z993" s="100" t="n"/>
      <c r="AB993" s="101">
        <f>IF($B993="","",(COUNTIF(C958:E975,$B993)+COUNTIF(C958:E975,$B993&amp;" ~*")&gt;0)+(COUNTIF(G958:I975,$B993)+COUNTIF(G958:I975,$B993&amp;" ~*")&gt;0)+(COUNTIF(K958:M975,$B993)+COUNTIF(K958:M975,$B993&amp;" ~*")&gt;0)+(COUNTIF(O958:Q975,$B993)+COUNTIF(O958:Q975,$B993&amp;" ~*")&gt;0)+(COUNTIF(S958:U975,$B993)+COUNTIF(S958:U975,$B993&amp;" ~*")&gt;0)+(COUNTIF(W958:W975,$B993)+COUNTIF(W958:W975,$B993&amp;" ~*")&gt;0)+(COUNTIF(Y958:Y975,$B993)+COUNTIF(Y958:Y975,$B993&amp;" ~*")&gt;0))</f>
        <v/>
      </c>
      <c r="AC993" s="36">
        <f>IF($B993="","",(IFERROR(INDEX(Setup!$G$33:$G$40,MATCH(C993,Setup!$B$33:$B$40,0)),0)=1)*(COUNTIF(C958:E975,$B993)+COUNTIF(C958:E975,$B993&amp;" ~*")&gt;0)+(IFERROR(INDEX(Setup!$G$33:$G$40,MATCH(G993,Setup!$B$33:$B$40,0)),0)=1)*(COUNTIF(G958:I975,$B993)+COUNTIF(G958:I975,$B993&amp;" ~*")&gt;0)+(IFERROR(INDEX(Setup!$G$33:$G$40,MATCH(K993,Setup!$B$33:$B$40,0)),0)=1)*(COUNTIF(K958:M975,$B993)+COUNTIF(K958:M975,$B993&amp;" ~*")&gt;0)+(IFERROR(INDEX(Setup!$G$33:$G$40,MATCH(O993,Setup!$B$33:$B$40,0)),0)=1)*(COUNTIF(O958:Q975,$B993)+COUNTIF(O958:Q975,$B993&amp;" ~*")&gt;0)+(IFERROR(INDEX(Setup!$G$33:$G$40,MATCH(S993,Setup!$B$33:$B$40,0)),0)=1)*(COUNTIF(S958:U975,$B993)+COUNTIF(S958:U975,$B993&amp;" ~*")&gt;0)+(IFERROR(INDEX(Setup!$G$33:$G$40,MATCH(W993,Setup!$B$33:$B$40,0)),0)=1)*(COUNTIF(W958:W975,$B993)+COUNTIF(W958:W975,$B993&amp;" ~*")&gt;0)+(IFERROR(INDEX(Setup!$G$33:$G$40,MATCH(Y993,Setup!$B$33:$B$40,0)),0)=1)*(COUNTIF(Y958:Y975,$B993)+COUNTIF(Y958:Y975,$B993&amp;" ~*")&gt;0))</f>
        <v/>
      </c>
    </row>
    <row r="994" ht="15" customHeight="1">
      <c r="A994" t="n">
        <v>20</v>
      </c>
      <c r="B994" s="37">
        <f>IF(Setup!$B$23="","",Setup!$B$23)</f>
        <v/>
      </c>
      <c r="C994" s="102" t="n"/>
      <c r="D994" s="103" t="n"/>
      <c r="E994" s="103" t="n"/>
      <c r="F994" s="104" t="n"/>
      <c r="G994" s="102" t="n"/>
      <c r="H994" s="103" t="n"/>
      <c r="I994" s="103" t="n"/>
      <c r="J994" s="104" t="n"/>
      <c r="K994" s="102" t="n"/>
      <c r="L994" s="103" t="n"/>
      <c r="M994" s="103" t="n"/>
      <c r="N994" s="104" t="n"/>
      <c r="O994" s="102" t="n"/>
      <c r="P994" s="103" t="n"/>
      <c r="Q994" s="103" t="n"/>
      <c r="R994" s="104" t="n"/>
      <c r="S994" s="102" t="n"/>
      <c r="T994" s="103" t="n"/>
      <c r="U994" s="103" t="n"/>
      <c r="V994" s="104" t="n"/>
      <c r="W994" s="102" t="n"/>
      <c r="X994" s="104" t="n"/>
      <c r="Y994" s="102" t="n"/>
      <c r="Z994" s="104" t="n"/>
      <c r="AB994" s="105">
        <f>IF($B994="","",(COUNTIF(C958:E975,$B994)+COUNTIF(C958:E975,$B994&amp;" ~*")&gt;0)+(COUNTIF(G958:I975,$B994)+COUNTIF(G958:I975,$B994&amp;" ~*")&gt;0)+(COUNTIF(K958:M975,$B994)+COUNTIF(K958:M975,$B994&amp;" ~*")&gt;0)+(COUNTIF(O958:Q975,$B994)+COUNTIF(O958:Q975,$B994&amp;" ~*")&gt;0)+(COUNTIF(S958:U975,$B994)+COUNTIF(S958:U975,$B994&amp;" ~*")&gt;0)+(COUNTIF(W958:W975,$B994)+COUNTIF(W958:W975,$B994&amp;" ~*")&gt;0)+(COUNTIF(Y958:Y975,$B994)+COUNTIF(Y958:Y975,$B994&amp;" ~*")&gt;0))</f>
        <v/>
      </c>
      <c r="AC994" s="38">
        <f>IF($B994="","",(IFERROR(INDEX(Setup!$G$33:$G$40,MATCH(C994,Setup!$B$33:$B$40,0)),0)=1)*(COUNTIF(C958:E975,$B994)+COUNTIF(C958:E975,$B994&amp;" ~*")&gt;0)+(IFERROR(INDEX(Setup!$G$33:$G$40,MATCH(G994,Setup!$B$33:$B$40,0)),0)=1)*(COUNTIF(G958:I975,$B994)+COUNTIF(G958:I975,$B994&amp;" ~*")&gt;0)+(IFERROR(INDEX(Setup!$G$33:$G$40,MATCH(K994,Setup!$B$33:$B$40,0)),0)=1)*(COUNTIF(K958:M975,$B994)+COUNTIF(K958:M975,$B994&amp;" ~*")&gt;0)+(IFERROR(INDEX(Setup!$G$33:$G$40,MATCH(O994,Setup!$B$33:$B$40,0)),0)=1)*(COUNTIF(O958:Q975,$B994)+COUNTIF(O958:Q975,$B994&amp;" ~*")&gt;0)+(IFERROR(INDEX(Setup!$G$33:$G$40,MATCH(S994,Setup!$B$33:$B$40,0)),0)=1)*(COUNTIF(S958:U975,$B994)+COUNTIF(S958:U975,$B994&amp;" ~*")&gt;0)+(IFERROR(INDEX(Setup!$G$33:$G$40,MATCH(W994,Setup!$B$33:$B$40,0)),0)=1)*(COUNTIF(W958:W975,$B994)+COUNTIF(W958:W975,$B994&amp;" ~*")&gt;0)+(IFERROR(INDEX(Setup!$G$33:$G$40,MATCH(Y994,Setup!$B$33:$B$40,0)),0)=1)*(COUNTIF(Y958:Y975,$B994)+COUNTIF(Y958:Y975,$B994&amp;" ~*")&gt;0))</f>
        <v/>
      </c>
    </row>
    <row r="995" ht="15" customHeight="1">
      <c r="A995" t="n">
        <v>20</v>
      </c>
      <c r="B995" s="35">
        <f>IF(Setup!$B$24="","",Setup!$B$24)</f>
        <v/>
      </c>
      <c r="C995" s="98" t="n"/>
      <c r="D995" s="99" t="n"/>
      <c r="E995" s="99" t="n"/>
      <c r="F995" s="100" t="n"/>
      <c r="G995" s="98" t="n"/>
      <c r="H995" s="99" t="n"/>
      <c r="I995" s="99" t="n"/>
      <c r="J995" s="100" t="n"/>
      <c r="K995" s="98" t="n"/>
      <c r="L995" s="99" t="n"/>
      <c r="M995" s="99" t="n"/>
      <c r="N995" s="100" t="n"/>
      <c r="O995" s="98" t="n"/>
      <c r="P995" s="99" t="n"/>
      <c r="Q995" s="99" t="n"/>
      <c r="R995" s="100" t="n"/>
      <c r="S995" s="98" t="n"/>
      <c r="T995" s="99" t="n"/>
      <c r="U995" s="99" t="n"/>
      <c r="V995" s="100" t="n"/>
      <c r="W995" s="98" t="n"/>
      <c r="X995" s="100" t="n"/>
      <c r="Y995" s="98" t="n"/>
      <c r="Z995" s="100" t="n"/>
      <c r="AB995" s="101">
        <f>IF($B995="","",(COUNTIF(C958:E975,$B995)+COUNTIF(C958:E975,$B995&amp;" ~*")&gt;0)+(COUNTIF(G958:I975,$B995)+COUNTIF(G958:I975,$B995&amp;" ~*")&gt;0)+(COUNTIF(K958:M975,$B995)+COUNTIF(K958:M975,$B995&amp;" ~*")&gt;0)+(COUNTIF(O958:Q975,$B995)+COUNTIF(O958:Q975,$B995&amp;" ~*")&gt;0)+(COUNTIF(S958:U975,$B995)+COUNTIF(S958:U975,$B995&amp;" ~*")&gt;0)+(COUNTIF(W958:W975,$B995)+COUNTIF(W958:W975,$B995&amp;" ~*")&gt;0)+(COUNTIF(Y958:Y975,$B995)+COUNTIF(Y958:Y975,$B995&amp;" ~*")&gt;0))</f>
        <v/>
      </c>
      <c r="AC995" s="36">
        <f>IF($B995="","",(IFERROR(INDEX(Setup!$G$33:$G$40,MATCH(C995,Setup!$B$33:$B$40,0)),0)=1)*(COUNTIF(C958:E975,$B995)+COUNTIF(C958:E975,$B995&amp;" ~*")&gt;0)+(IFERROR(INDEX(Setup!$G$33:$G$40,MATCH(G995,Setup!$B$33:$B$40,0)),0)=1)*(COUNTIF(G958:I975,$B995)+COUNTIF(G958:I975,$B995&amp;" ~*")&gt;0)+(IFERROR(INDEX(Setup!$G$33:$G$40,MATCH(K995,Setup!$B$33:$B$40,0)),0)=1)*(COUNTIF(K958:M975,$B995)+COUNTIF(K958:M975,$B995&amp;" ~*")&gt;0)+(IFERROR(INDEX(Setup!$G$33:$G$40,MATCH(O995,Setup!$B$33:$B$40,0)),0)=1)*(COUNTIF(O958:Q975,$B995)+COUNTIF(O958:Q975,$B995&amp;" ~*")&gt;0)+(IFERROR(INDEX(Setup!$G$33:$G$40,MATCH(S995,Setup!$B$33:$B$40,0)),0)=1)*(COUNTIF(S958:U975,$B995)+COUNTIF(S958:U975,$B995&amp;" ~*")&gt;0)+(IFERROR(INDEX(Setup!$G$33:$G$40,MATCH(W995,Setup!$B$33:$B$40,0)),0)=1)*(COUNTIF(W958:W975,$B995)+COUNTIF(W958:W975,$B995&amp;" ~*")&gt;0)+(IFERROR(INDEX(Setup!$G$33:$G$40,MATCH(Y995,Setup!$B$33:$B$40,0)),0)=1)*(COUNTIF(Y958:Y975,$B995)+COUNTIF(Y958:Y975,$B995&amp;" ~*")&gt;0))</f>
        <v/>
      </c>
    </row>
    <row r="996" ht="15" customHeight="1">
      <c r="A996" t="n">
        <v>20</v>
      </c>
      <c r="B996" s="37">
        <f>IF(Setup!$B$25="","",Setup!$B$25)</f>
        <v/>
      </c>
      <c r="C996" s="102" t="n"/>
      <c r="D996" s="103" t="n"/>
      <c r="E996" s="103" t="n"/>
      <c r="F996" s="104" t="n"/>
      <c r="G996" s="102" t="n"/>
      <c r="H996" s="103" t="n"/>
      <c r="I996" s="103" t="n"/>
      <c r="J996" s="104" t="n"/>
      <c r="K996" s="102" t="n"/>
      <c r="L996" s="103" t="n"/>
      <c r="M996" s="103" t="n"/>
      <c r="N996" s="104" t="n"/>
      <c r="O996" s="102" t="n"/>
      <c r="P996" s="103" t="n"/>
      <c r="Q996" s="103" t="n"/>
      <c r="R996" s="104" t="n"/>
      <c r="S996" s="102" t="n"/>
      <c r="T996" s="103" t="n"/>
      <c r="U996" s="103" t="n"/>
      <c r="V996" s="104" t="n"/>
      <c r="W996" s="102" t="n"/>
      <c r="X996" s="104" t="n"/>
      <c r="Y996" s="102" t="n"/>
      <c r="Z996" s="104" t="n"/>
      <c r="AB996" s="105">
        <f>IF($B996="","",(COUNTIF(C958:E975,$B996)+COUNTIF(C958:E975,$B996&amp;" ~*")&gt;0)+(COUNTIF(G958:I975,$B996)+COUNTIF(G958:I975,$B996&amp;" ~*")&gt;0)+(COUNTIF(K958:M975,$B996)+COUNTIF(K958:M975,$B996&amp;" ~*")&gt;0)+(COUNTIF(O958:Q975,$B996)+COUNTIF(O958:Q975,$B996&amp;" ~*")&gt;0)+(COUNTIF(S958:U975,$B996)+COUNTIF(S958:U975,$B996&amp;" ~*")&gt;0)+(COUNTIF(W958:W975,$B996)+COUNTIF(W958:W975,$B996&amp;" ~*")&gt;0)+(COUNTIF(Y958:Y975,$B996)+COUNTIF(Y958:Y975,$B996&amp;" ~*")&gt;0))</f>
        <v/>
      </c>
      <c r="AC996" s="38">
        <f>IF($B996="","",(IFERROR(INDEX(Setup!$G$33:$G$40,MATCH(C996,Setup!$B$33:$B$40,0)),0)=1)*(COUNTIF(C958:E975,$B996)+COUNTIF(C958:E975,$B996&amp;" ~*")&gt;0)+(IFERROR(INDEX(Setup!$G$33:$G$40,MATCH(G996,Setup!$B$33:$B$40,0)),0)=1)*(COUNTIF(G958:I975,$B996)+COUNTIF(G958:I975,$B996&amp;" ~*")&gt;0)+(IFERROR(INDEX(Setup!$G$33:$G$40,MATCH(K996,Setup!$B$33:$B$40,0)),0)=1)*(COUNTIF(K958:M975,$B996)+COUNTIF(K958:M975,$B996&amp;" ~*")&gt;0)+(IFERROR(INDEX(Setup!$G$33:$G$40,MATCH(O996,Setup!$B$33:$B$40,0)),0)=1)*(COUNTIF(O958:Q975,$B996)+COUNTIF(O958:Q975,$B996&amp;" ~*")&gt;0)+(IFERROR(INDEX(Setup!$G$33:$G$40,MATCH(S996,Setup!$B$33:$B$40,0)),0)=1)*(COUNTIF(S958:U975,$B996)+COUNTIF(S958:U975,$B996&amp;" ~*")&gt;0)+(IFERROR(INDEX(Setup!$G$33:$G$40,MATCH(W996,Setup!$B$33:$B$40,0)),0)=1)*(COUNTIF(W958:W975,$B996)+COUNTIF(W958:W975,$B996&amp;" ~*")&gt;0)+(IFERROR(INDEX(Setup!$G$33:$G$40,MATCH(Y996,Setup!$B$33:$B$40,0)),0)=1)*(COUNTIF(Y958:Y975,$B996)+COUNTIF(Y958:Y975,$B996&amp;" ~*")&gt;0))</f>
        <v/>
      </c>
    </row>
    <row r="997" ht="15" customHeight="1">
      <c r="A997" t="n">
        <v>20</v>
      </c>
      <c r="B997" s="35">
        <f>IF(Setup!$B$26="","",Setup!$B$26)</f>
        <v/>
      </c>
      <c r="C997" s="98" t="n"/>
      <c r="D997" s="99" t="n"/>
      <c r="E997" s="99" t="n"/>
      <c r="F997" s="100" t="n"/>
      <c r="G997" s="98" t="n"/>
      <c r="H997" s="99" t="n"/>
      <c r="I997" s="99" t="n"/>
      <c r="J997" s="100" t="n"/>
      <c r="K997" s="98" t="n"/>
      <c r="L997" s="99" t="n"/>
      <c r="M997" s="99" t="n"/>
      <c r="N997" s="100" t="n"/>
      <c r="O997" s="98" t="n"/>
      <c r="P997" s="99" t="n"/>
      <c r="Q997" s="99" t="n"/>
      <c r="R997" s="100" t="n"/>
      <c r="S997" s="98" t="n"/>
      <c r="T997" s="99" t="n"/>
      <c r="U997" s="99" t="n"/>
      <c r="V997" s="100" t="n"/>
      <c r="W997" s="98" t="n"/>
      <c r="X997" s="100" t="n"/>
      <c r="Y997" s="98" t="n"/>
      <c r="Z997" s="100" t="n"/>
      <c r="AB997" s="101">
        <f>IF($B997="","",(COUNTIF(C958:E975,$B997)+COUNTIF(C958:E975,$B997&amp;" ~*")&gt;0)+(COUNTIF(G958:I975,$B997)+COUNTIF(G958:I975,$B997&amp;" ~*")&gt;0)+(COUNTIF(K958:M975,$B997)+COUNTIF(K958:M975,$B997&amp;" ~*")&gt;0)+(COUNTIF(O958:Q975,$B997)+COUNTIF(O958:Q975,$B997&amp;" ~*")&gt;0)+(COUNTIF(S958:U975,$B997)+COUNTIF(S958:U975,$B997&amp;" ~*")&gt;0)+(COUNTIF(W958:W975,$B997)+COUNTIF(W958:W975,$B997&amp;" ~*")&gt;0)+(COUNTIF(Y958:Y975,$B997)+COUNTIF(Y958:Y975,$B997&amp;" ~*")&gt;0))</f>
        <v/>
      </c>
      <c r="AC997" s="36">
        <f>IF($B997="","",(IFERROR(INDEX(Setup!$G$33:$G$40,MATCH(C997,Setup!$B$33:$B$40,0)),0)=1)*(COUNTIF(C958:E975,$B997)+COUNTIF(C958:E975,$B997&amp;" ~*")&gt;0)+(IFERROR(INDEX(Setup!$G$33:$G$40,MATCH(G997,Setup!$B$33:$B$40,0)),0)=1)*(COUNTIF(G958:I975,$B997)+COUNTIF(G958:I975,$B997&amp;" ~*")&gt;0)+(IFERROR(INDEX(Setup!$G$33:$G$40,MATCH(K997,Setup!$B$33:$B$40,0)),0)=1)*(COUNTIF(K958:M975,$B997)+COUNTIF(K958:M975,$B997&amp;" ~*")&gt;0)+(IFERROR(INDEX(Setup!$G$33:$G$40,MATCH(O997,Setup!$B$33:$B$40,0)),0)=1)*(COUNTIF(O958:Q975,$B997)+COUNTIF(O958:Q975,$B997&amp;" ~*")&gt;0)+(IFERROR(INDEX(Setup!$G$33:$G$40,MATCH(S997,Setup!$B$33:$B$40,0)),0)=1)*(COUNTIF(S958:U975,$B997)+COUNTIF(S958:U975,$B997&amp;" ~*")&gt;0)+(IFERROR(INDEX(Setup!$G$33:$G$40,MATCH(W997,Setup!$B$33:$B$40,0)),0)=1)*(COUNTIF(W958:W975,$B997)+COUNTIF(W958:W975,$B997&amp;" ~*")&gt;0)+(IFERROR(INDEX(Setup!$G$33:$G$40,MATCH(Y997,Setup!$B$33:$B$40,0)),0)=1)*(COUNTIF(Y958:Y975,$B997)+COUNTIF(Y958:Y975,$B997&amp;" ~*")&gt;0))</f>
        <v/>
      </c>
    </row>
    <row r="998" ht="15" customHeight="1">
      <c r="A998" t="n">
        <v>20</v>
      </c>
      <c r="B998" s="37">
        <f>IF(Setup!$B$27="","",Setup!$B$27)</f>
        <v/>
      </c>
      <c r="C998" s="102" t="n"/>
      <c r="D998" s="103" t="n"/>
      <c r="E998" s="103" t="n"/>
      <c r="F998" s="104" t="n"/>
      <c r="G998" s="102" t="n"/>
      <c r="H998" s="103" t="n"/>
      <c r="I998" s="103" t="n"/>
      <c r="J998" s="104" t="n"/>
      <c r="K998" s="102" t="n"/>
      <c r="L998" s="103" t="n"/>
      <c r="M998" s="103" t="n"/>
      <c r="N998" s="104" t="n"/>
      <c r="O998" s="102" t="n"/>
      <c r="P998" s="103" t="n"/>
      <c r="Q998" s="103" t="n"/>
      <c r="R998" s="104" t="n"/>
      <c r="S998" s="102" t="n"/>
      <c r="T998" s="103" t="n"/>
      <c r="U998" s="103" t="n"/>
      <c r="V998" s="104" t="n"/>
      <c r="W998" s="102" t="n"/>
      <c r="X998" s="104" t="n"/>
      <c r="Y998" s="102" t="n"/>
      <c r="Z998" s="104" t="n"/>
      <c r="AB998" s="105">
        <f>IF($B998="","",(COUNTIF(C958:E975,$B998)+COUNTIF(C958:E975,$B998&amp;" ~*")&gt;0)+(COUNTIF(G958:I975,$B998)+COUNTIF(G958:I975,$B998&amp;" ~*")&gt;0)+(COUNTIF(K958:M975,$B998)+COUNTIF(K958:M975,$B998&amp;" ~*")&gt;0)+(COUNTIF(O958:Q975,$B998)+COUNTIF(O958:Q975,$B998&amp;" ~*")&gt;0)+(COUNTIF(S958:U975,$B998)+COUNTIF(S958:U975,$B998&amp;" ~*")&gt;0)+(COUNTIF(W958:W975,$B998)+COUNTIF(W958:W975,$B998&amp;" ~*")&gt;0)+(COUNTIF(Y958:Y975,$B998)+COUNTIF(Y958:Y975,$B998&amp;" ~*")&gt;0))</f>
        <v/>
      </c>
      <c r="AC998" s="38">
        <f>IF($B998="","",(IFERROR(INDEX(Setup!$G$33:$G$40,MATCH(C998,Setup!$B$33:$B$40,0)),0)=1)*(COUNTIF(C958:E975,$B998)+COUNTIF(C958:E975,$B998&amp;" ~*")&gt;0)+(IFERROR(INDEX(Setup!$G$33:$G$40,MATCH(G998,Setup!$B$33:$B$40,0)),0)=1)*(COUNTIF(G958:I975,$B998)+COUNTIF(G958:I975,$B998&amp;" ~*")&gt;0)+(IFERROR(INDEX(Setup!$G$33:$G$40,MATCH(K998,Setup!$B$33:$B$40,0)),0)=1)*(COUNTIF(K958:M975,$B998)+COUNTIF(K958:M975,$B998&amp;" ~*")&gt;0)+(IFERROR(INDEX(Setup!$G$33:$G$40,MATCH(O998,Setup!$B$33:$B$40,0)),0)=1)*(COUNTIF(O958:Q975,$B998)+COUNTIF(O958:Q975,$B998&amp;" ~*")&gt;0)+(IFERROR(INDEX(Setup!$G$33:$G$40,MATCH(S998,Setup!$B$33:$B$40,0)),0)=1)*(COUNTIF(S958:U975,$B998)+COUNTIF(S958:U975,$B998&amp;" ~*")&gt;0)+(IFERROR(INDEX(Setup!$G$33:$G$40,MATCH(W998,Setup!$B$33:$B$40,0)),0)=1)*(COUNTIF(W958:W975,$B998)+COUNTIF(W958:W975,$B998&amp;" ~*")&gt;0)+(IFERROR(INDEX(Setup!$G$33:$G$40,MATCH(Y998,Setup!$B$33:$B$40,0)),0)=1)*(COUNTIF(Y958:Y975,$B998)+COUNTIF(Y958:Y975,$B998&amp;" ~*")&gt;0))</f>
        <v/>
      </c>
    </row>
    <row r="999" ht="15" customHeight="1">
      <c r="A999" t="n">
        <v>20</v>
      </c>
      <c r="B999" s="35">
        <f>IF(Setup!$B$28="","",Setup!$B$28)</f>
        <v/>
      </c>
      <c r="C999" s="98" t="n"/>
      <c r="D999" s="99" t="n"/>
      <c r="E999" s="99" t="n"/>
      <c r="F999" s="100" t="n"/>
      <c r="G999" s="98" t="n"/>
      <c r="H999" s="99" t="n"/>
      <c r="I999" s="99" t="n"/>
      <c r="J999" s="100" t="n"/>
      <c r="K999" s="98" t="n"/>
      <c r="L999" s="99" t="n"/>
      <c r="M999" s="99" t="n"/>
      <c r="N999" s="100" t="n"/>
      <c r="O999" s="98" t="n"/>
      <c r="P999" s="99" t="n"/>
      <c r="Q999" s="99" t="n"/>
      <c r="R999" s="100" t="n"/>
      <c r="S999" s="98" t="n"/>
      <c r="T999" s="99" t="n"/>
      <c r="U999" s="99" t="n"/>
      <c r="V999" s="100" t="n"/>
      <c r="W999" s="98" t="n"/>
      <c r="X999" s="100" t="n"/>
      <c r="Y999" s="98" t="n"/>
      <c r="Z999" s="100" t="n"/>
      <c r="AB999" s="101">
        <f>IF($B999="","",(COUNTIF(C958:E975,$B999)+COUNTIF(C958:E975,$B999&amp;" ~*")&gt;0)+(COUNTIF(G958:I975,$B999)+COUNTIF(G958:I975,$B999&amp;" ~*")&gt;0)+(COUNTIF(K958:M975,$B999)+COUNTIF(K958:M975,$B999&amp;" ~*")&gt;0)+(COUNTIF(O958:Q975,$B999)+COUNTIF(O958:Q975,$B999&amp;" ~*")&gt;0)+(COUNTIF(S958:U975,$B999)+COUNTIF(S958:U975,$B999&amp;" ~*")&gt;0)+(COUNTIF(W958:W975,$B999)+COUNTIF(W958:W975,$B999&amp;" ~*")&gt;0)+(COUNTIF(Y958:Y975,$B999)+COUNTIF(Y958:Y975,$B999&amp;" ~*")&gt;0))</f>
        <v/>
      </c>
      <c r="AC999" s="36">
        <f>IF($B999="","",(IFERROR(INDEX(Setup!$G$33:$G$40,MATCH(C999,Setup!$B$33:$B$40,0)),0)=1)*(COUNTIF(C958:E975,$B999)+COUNTIF(C958:E975,$B999&amp;" ~*")&gt;0)+(IFERROR(INDEX(Setup!$G$33:$G$40,MATCH(G999,Setup!$B$33:$B$40,0)),0)=1)*(COUNTIF(G958:I975,$B999)+COUNTIF(G958:I975,$B999&amp;" ~*")&gt;0)+(IFERROR(INDEX(Setup!$G$33:$G$40,MATCH(K999,Setup!$B$33:$B$40,0)),0)=1)*(COUNTIF(K958:M975,$B999)+COUNTIF(K958:M975,$B999&amp;" ~*")&gt;0)+(IFERROR(INDEX(Setup!$G$33:$G$40,MATCH(O999,Setup!$B$33:$B$40,0)),0)=1)*(COUNTIF(O958:Q975,$B999)+COUNTIF(O958:Q975,$B999&amp;" ~*")&gt;0)+(IFERROR(INDEX(Setup!$G$33:$G$40,MATCH(S999,Setup!$B$33:$B$40,0)),0)=1)*(COUNTIF(S958:U975,$B999)+COUNTIF(S958:U975,$B999&amp;" ~*")&gt;0)+(IFERROR(INDEX(Setup!$G$33:$G$40,MATCH(W999,Setup!$B$33:$B$40,0)),0)=1)*(COUNTIF(W958:W975,$B999)+COUNTIF(W958:W975,$B999&amp;" ~*")&gt;0)+(IFERROR(INDEX(Setup!$G$33:$G$40,MATCH(Y999,Setup!$B$33:$B$40,0)),0)=1)*(COUNTIF(Y958:Y975,$B999)+COUNTIF(Y958:Y975,$B999&amp;" ~*")&gt;0))</f>
        <v/>
      </c>
    </row>
    <row r="1000" ht="15" customHeight="1">
      <c r="A1000" t="n">
        <v>20</v>
      </c>
      <c r="B1000" s="37">
        <f>IF(Setup!$B$29="","",Setup!$B$29)</f>
        <v/>
      </c>
      <c r="C1000" s="102" t="n"/>
      <c r="D1000" s="103" t="n"/>
      <c r="E1000" s="103" t="n"/>
      <c r="F1000" s="104" t="n"/>
      <c r="G1000" s="102" t="n"/>
      <c r="H1000" s="103" t="n"/>
      <c r="I1000" s="103" t="n"/>
      <c r="J1000" s="104" t="n"/>
      <c r="K1000" s="102" t="n"/>
      <c r="L1000" s="103" t="n"/>
      <c r="M1000" s="103" t="n"/>
      <c r="N1000" s="104" t="n"/>
      <c r="O1000" s="102" t="n"/>
      <c r="P1000" s="103" t="n"/>
      <c r="Q1000" s="103" t="n"/>
      <c r="R1000" s="104" t="n"/>
      <c r="S1000" s="102" t="n"/>
      <c r="T1000" s="103" t="n"/>
      <c r="U1000" s="103" t="n"/>
      <c r="V1000" s="104" t="n"/>
      <c r="W1000" s="102" t="n"/>
      <c r="X1000" s="104" t="n"/>
      <c r="Y1000" s="102" t="n"/>
      <c r="Z1000" s="104" t="n"/>
      <c r="AB1000" s="105">
        <f>IF($B1000="","",(COUNTIF(C958:E975,$B1000)+COUNTIF(C958:E975,$B1000&amp;" ~*")&gt;0)+(COUNTIF(G958:I975,$B1000)+COUNTIF(G958:I975,$B1000&amp;" ~*")&gt;0)+(COUNTIF(K958:M975,$B1000)+COUNTIF(K958:M975,$B1000&amp;" ~*")&gt;0)+(COUNTIF(O958:Q975,$B1000)+COUNTIF(O958:Q975,$B1000&amp;" ~*")&gt;0)+(COUNTIF(S958:U975,$B1000)+COUNTIF(S958:U975,$B1000&amp;" ~*")&gt;0)+(COUNTIF(W958:W975,$B1000)+COUNTIF(W958:W975,$B1000&amp;" ~*")&gt;0)+(COUNTIF(Y958:Y975,$B1000)+COUNTIF(Y958:Y975,$B1000&amp;" ~*")&gt;0))</f>
        <v/>
      </c>
      <c r="AC1000" s="38">
        <f>IF($B1000="","",(IFERROR(INDEX(Setup!$G$33:$G$40,MATCH(C1000,Setup!$B$33:$B$40,0)),0)=1)*(COUNTIF(C958:E975,$B1000)+COUNTIF(C958:E975,$B1000&amp;" ~*")&gt;0)+(IFERROR(INDEX(Setup!$G$33:$G$40,MATCH(G1000,Setup!$B$33:$B$40,0)),0)=1)*(COUNTIF(G958:I975,$B1000)+COUNTIF(G958:I975,$B1000&amp;" ~*")&gt;0)+(IFERROR(INDEX(Setup!$G$33:$G$40,MATCH(K1000,Setup!$B$33:$B$40,0)),0)=1)*(COUNTIF(K958:M975,$B1000)+COUNTIF(K958:M975,$B1000&amp;" ~*")&gt;0)+(IFERROR(INDEX(Setup!$G$33:$G$40,MATCH(O1000,Setup!$B$33:$B$40,0)),0)=1)*(COUNTIF(O958:Q975,$B1000)+COUNTIF(O958:Q975,$B1000&amp;" ~*")&gt;0)+(IFERROR(INDEX(Setup!$G$33:$G$40,MATCH(S1000,Setup!$B$33:$B$40,0)),0)=1)*(COUNTIF(S958:U975,$B1000)+COUNTIF(S958:U975,$B1000&amp;" ~*")&gt;0)+(IFERROR(INDEX(Setup!$G$33:$G$40,MATCH(W1000,Setup!$B$33:$B$40,0)),0)=1)*(COUNTIF(W958:W975,$B1000)+COUNTIF(W958:W975,$B1000&amp;" ~*")&gt;0)+(IFERROR(INDEX(Setup!$G$33:$G$40,MATCH(Y1000,Setup!$B$33:$B$40,0)),0)=1)*(COUNTIF(Y958:Y975,$B1000)+COUNTIF(Y958:Y975,$B1000&amp;" ~*")&gt;0))</f>
        <v/>
      </c>
    </row>
    <row r="1001" ht="16" customHeight="1">
      <c r="A1001" t="n">
        <v>20</v>
      </c>
      <c r="B1001" s="106" t="inlineStr">
        <is>
          <t>Available people</t>
        </is>
      </c>
      <c r="C1001" s="107">
        <f>COUNTIFS(Setup!$E$6:$E$29,"Y",Setup!$B$6:$B$29,"?*")-SUMPRODUCT(COUNTIF(C977:C1000,Setup!$F$33:$F$40))</f>
        <v/>
      </c>
      <c r="D1001" s="107" t="n"/>
      <c r="E1001" s="107" t="n"/>
      <c r="F1001" s="107" t="n"/>
      <c r="G1001" s="107">
        <f>COUNTIFS(Setup!$E$6:$E$29,"Y",Setup!$B$6:$B$29,"?*")-SUMPRODUCT(COUNTIF(G977:G1000,Setup!$F$33:$F$40))</f>
        <v/>
      </c>
      <c r="H1001" s="107" t="n"/>
      <c r="I1001" s="107" t="n"/>
      <c r="J1001" s="107" t="n"/>
      <c r="K1001" s="107">
        <f>COUNTIFS(Setup!$E$6:$E$29,"Y",Setup!$B$6:$B$29,"?*")-SUMPRODUCT(COUNTIF(K977:K1000,Setup!$F$33:$F$40))</f>
        <v/>
      </c>
      <c r="L1001" s="107" t="n"/>
      <c r="M1001" s="107" t="n"/>
      <c r="N1001" s="107" t="n"/>
      <c r="O1001" s="107">
        <f>COUNTIFS(Setup!$E$6:$E$29,"Y",Setup!$B$6:$B$29,"?*")-SUMPRODUCT(COUNTIF(O977:O1000,Setup!$F$33:$F$40))</f>
        <v/>
      </c>
      <c r="P1001" s="107" t="n"/>
      <c r="Q1001" s="107" t="n"/>
      <c r="R1001" s="107" t="n"/>
      <c r="S1001" s="107">
        <f>COUNTIFS(Setup!$E$6:$E$29,"Y",Setup!$B$6:$B$29,"?*")-SUMPRODUCT(COUNTIF(S977:S1000,Setup!$F$33:$F$40))</f>
        <v/>
      </c>
      <c r="T1001" s="107" t="n"/>
      <c r="U1001" s="107" t="n"/>
      <c r="V1001" s="107" t="n"/>
      <c r="W1001" s="107">
        <f>COUNTIFS(Setup!$E$6:$E$29,"Y",Setup!$B$6:$B$29,"?*")-SUMPRODUCT(COUNTIF(W977:W1000,Setup!$F$33:$F$40))</f>
        <v/>
      </c>
      <c r="X1001" s="107" t="n"/>
      <c r="Y1001" s="107">
        <f>COUNTIFS(Setup!$E$6:$E$29,"Y",Setup!$B$6:$B$29,"?*")-SUMPRODUCT(COUNTIF(Y977:Y1000,Setup!$F$33:$F$40))</f>
        <v/>
      </c>
      <c r="Z1001" s="107" t="n"/>
      <c r="AB1001" s="108">
        <f>SUM(AB977:AB1000)</f>
        <v/>
      </c>
      <c r="AC1001" s="109">
        <f>SUM(AC977:AC1000)</f>
        <v/>
      </c>
    </row>
    <row r="1002" ht="30" customHeight="1">
      <c r="A1002" t="n">
        <v>20</v>
      </c>
      <c r="B1002" s="110" t="inlineStr">
        <is>
          <t>Week notes</t>
        </is>
      </c>
      <c r="C1002" s="111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112" t="n"/>
      <c r="R1002" s="112" t="n"/>
      <c r="S1002" s="112" t="n"/>
      <c r="T1002" s="112" t="n"/>
      <c r="U1002" s="112" t="n"/>
      <c r="V1002" s="112" t="n"/>
      <c r="W1002" s="112" t="n"/>
      <c r="X1002" s="112" t="n"/>
      <c r="Y1002" s="112" t="n"/>
      <c r="Z1002" s="113" t="n"/>
    </row>
    <row r="1003" ht="8" customHeight="1">
      <c r="A1003" t="n">
        <v>20</v>
      </c>
    </row>
    <row r="1004" ht="8" customHeight="1">
      <c r="A1004" t="n">
        <v>20</v>
      </c>
    </row>
    <row r="1005" ht="24" customHeight="1">
      <c r="A1005" t="n">
        <v>21</v>
      </c>
      <c r="B1005" s="73">
        <f>"WEEK 21     "&amp;TEXT(C1006,"ddd d mmm")&amp;"  –  "&amp;TEXT(C1006+6,"ddd d mmm yyyy")</f>
        <v/>
      </c>
      <c r="S1005" s="74">
        <f>IF(TODAY()&lt;C1006,"FUTURE",IF(TODAY()&gt;C1006+6,"PAST","THIS WEEK"))</f>
        <v/>
      </c>
      <c r="W1005" s="75">
        <f>IF(AND(Engine!$B$8=$AC$3,Engine!$B$9=$A1005),"◀ ACTIVE WEEK","")</f>
        <v/>
      </c>
      <c r="AA1005" s="76" t="n"/>
      <c r="AB1005" s="77" t="inlineStr">
        <is>
          <t>◀ Prev</t>
        </is>
      </c>
      <c r="AC1005" s="77" t="inlineStr">
        <is>
          <t>Next ▶</t>
        </is>
      </c>
    </row>
    <row r="1006" ht="18" customHeight="1">
      <c r="A1006" t="n">
        <v>21</v>
      </c>
      <c r="B1006" s="78" t="inlineStr">
        <is>
          <t>DUTY</t>
        </is>
      </c>
      <c r="C1006" s="79">
        <f>$AC$2+7*($A1006-1)</f>
        <v/>
      </c>
      <c r="D1006" s="80" t="n"/>
      <c r="E1006" s="80" t="n"/>
      <c r="F1006" s="81" t="n"/>
      <c r="G1006" s="79">
        <f>C1006+1</f>
        <v/>
      </c>
      <c r="H1006" s="80" t="n"/>
      <c r="I1006" s="80" t="n"/>
      <c r="J1006" s="81" t="n"/>
      <c r="K1006" s="79">
        <f>C1006+2</f>
        <v/>
      </c>
      <c r="L1006" s="80" t="n"/>
      <c r="M1006" s="80" t="n"/>
      <c r="N1006" s="81" t="n"/>
      <c r="O1006" s="79">
        <f>C1006+3</f>
        <v/>
      </c>
      <c r="P1006" s="80" t="n"/>
      <c r="Q1006" s="80" t="n"/>
      <c r="R1006" s="81" t="n"/>
      <c r="S1006" s="79">
        <f>C1006+4</f>
        <v/>
      </c>
      <c r="T1006" s="80" t="n"/>
      <c r="U1006" s="80" t="n"/>
      <c r="V1006" s="81" t="n"/>
      <c r="W1006" s="82">
        <f>C1006+5</f>
        <v/>
      </c>
      <c r="X1006" s="83" t="n"/>
      <c r="Y1006" s="82">
        <f>C1006+6</f>
        <v/>
      </c>
      <c r="Z1006" s="83" t="n"/>
      <c r="AB1006" s="72" t="inlineStr">
        <is>
          <t>Gaps</t>
        </is>
      </c>
      <c r="AC1006" s="72" t="inlineStr">
        <is>
          <t>Cover</t>
        </is>
      </c>
    </row>
    <row r="1007" ht="14" customHeight="1">
      <c r="A1007" t="n">
        <v>21</v>
      </c>
      <c r="B1007" s="84" t="inlineStr">
        <is>
          <t>(from Setup)</t>
        </is>
      </c>
      <c r="C1007" s="85" t="inlineStr">
        <is>
          <t>1</t>
        </is>
      </c>
      <c r="D1007" s="85" t="inlineStr">
        <is>
          <t>2</t>
        </is>
      </c>
      <c r="E1007" s="85" t="inlineStr">
        <is>
          <t>3</t>
        </is>
      </c>
      <c r="F1007" s="85" t="inlineStr">
        <is>
          <t>Notes</t>
        </is>
      </c>
      <c r="G1007" s="85" t="inlineStr">
        <is>
          <t>1</t>
        </is>
      </c>
      <c r="H1007" s="85" t="inlineStr">
        <is>
          <t>2</t>
        </is>
      </c>
      <c r="I1007" s="85" t="inlineStr">
        <is>
          <t>3</t>
        </is>
      </c>
      <c r="J1007" s="85" t="inlineStr">
        <is>
          <t>Notes</t>
        </is>
      </c>
      <c r="K1007" s="85" t="inlineStr">
        <is>
          <t>1</t>
        </is>
      </c>
      <c r="L1007" s="85" t="inlineStr">
        <is>
          <t>2</t>
        </is>
      </c>
      <c r="M1007" s="85" t="inlineStr">
        <is>
          <t>3</t>
        </is>
      </c>
      <c r="N1007" s="85" t="inlineStr">
        <is>
          <t>Notes</t>
        </is>
      </c>
      <c r="O1007" s="85" t="inlineStr">
        <is>
          <t>1</t>
        </is>
      </c>
      <c r="P1007" s="85" t="inlineStr">
        <is>
          <t>2</t>
        </is>
      </c>
      <c r="Q1007" s="85" t="inlineStr">
        <is>
          <t>3</t>
        </is>
      </c>
      <c r="R1007" s="85" t="inlineStr">
        <is>
          <t>Notes</t>
        </is>
      </c>
      <c r="S1007" s="85" t="inlineStr">
        <is>
          <t>1</t>
        </is>
      </c>
      <c r="T1007" s="85" t="inlineStr">
        <is>
          <t>2</t>
        </is>
      </c>
      <c r="U1007" s="85" t="inlineStr">
        <is>
          <t>3</t>
        </is>
      </c>
      <c r="V1007" s="85" t="inlineStr">
        <is>
          <t>Notes</t>
        </is>
      </c>
      <c r="W1007" s="85" t="inlineStr">
        <is>
          <t>Cover</t>
        </is>
      </c>
      <c r="X1007" s="85" t="inlineStr">
        <is>
          <t>Notes</t>
        </is>
      </c>
      <c r="Y1007" s="85" t="inlineStr">
        <is>
          <t>Cover</t>
        </is>
      </c>
      <c r="Z1007" s="85" t="inlineStr">
        <is>
          <t>Notes</t>
        </is>
      </c>
      <c r="AB1007" s="86" t="inlineStr">
        <is>
          <t>weekdays short</t>
        </is>
      </c>
      <c r="AC1007" s="87" t="inlineStr"/>
    </row>
    <row r="1008" ht="17" customHeight="1">
      <c r="A1008" t="n">
        <v>21</v>
      </c>
      <c r="B1008" s="24">
        <f>IF(Setup!$K$6="","",Setup!$K$6)</f>
        <v/>
      </c>
      <c r="C1008" s="88" t="n"/>
      <c r="D1008" s="88" t="n"/>
      <c r="E1008" s="88" t="n"/>
      <c r="F1008" s="89" t="n"/>
      <c r="G1008" s="88" t="n"/>
      <c r="H1008" s="88" t="n"/>
      <c r="I1008" s="88" t="n"/>
      <c r="J1008" s="89" t="n"/>
      <c r="K1008" s="88" t="n"/>
      <c r="L1008" s="88" t="n"/>
      <c r="M1008" s="88" t="n"/>
      <c r="N1008" s="89" t="n"/>
      <c r="O1008" s="88" t="n"/>
      <c r="P1008" s="88" t="n"/>
      <c r="Q1008" s="88" t="n"/>
      <c r="R1008" s="89" t="n"/>
      <c r="S1008" s="88" t="n"/>
      <c r="T1008" s="88" t="n"/>
      <c r="U1008" s="88" t="n"/>
      <c r="V1008" s="89" t="n"/>
      <c r="W1008" s="88" t="n"/>
      <c r="X1008" s="89" t="n"/>
      <c r="Y1008" s="88" t="n"/>
      <c r="Z1008" s="89" t="n"/>
      <c r="AB1008" s="25">
        <f>IF($B1008="","",(COUNTIF(C1008:E1008,"?*")&lt;N(INDEX(Setup!$L$6:$L$23,1)))+(COUNTIF(G1008:I1008,"?*")&lt;N(INDEX(Setup!$L$6:$L$23,1)))+(COUNTIF(K1008:M1008,"?*")&lt;N(INDEX(Setup!$L$6:$L$23,1)))+(COUNTIF(O1008:Q1008,"?*")&lt;N(INDEX(Setup!$L$6:$L$23,1)))+(COUNTIF(S1008:U1008,"?*")&lt;N(INDEX(Setup!$L$6:$L$23,1)))+((W1008="")*(INDEX(Setup!$M$6:$M$23,1)="Y"))+((Y1008="")*(INDEX(Setup!$M$6:$M$23,1)="Y")))</f>
        <v/>
      </c>
      <c r="AC1008" s="90">
        <f>IF($B1008="","",IF(AB1008=0,"✓ covered","⚠ "&amp;AB1008&amp;IF(AB1008=1," gap"," gaps")))</f>
        <v/>
      </c>
    </row>
    <row r="1009" ht="17" customHeight="1">
      <c r="A1009" t="n">
        <v>21</v>
      </c>
      <c r="B1009" s="29">
        <f>IF(Setup!$K$7="","",Setup!$K$7)</f>
        <v/>
      </c>
      <c r="C1009" s="88" t="n"/>
      <c r="D1009" s="88" t="n"/>
      <c r="E1009" s="88" t="n"/>
      <c r="F1009" s="89" t="n"/>
      <c r="G1009" s="88" t="n"/>
      <c r="H1009" s="88" t="n"/>
      <c r="I1009" s="88" t="n"/>
      <c r="J1009" s="89" t="n"/>
      <c r="K1009" s="88" t="n"/>
      <c r="L1009" s="88" t="n"/>
      <c r="M1009" s="88" t="n"/>
      <c r="N1009" s="89" t="n"/>
      <c r="O1009" s="88" t="n"/>
      <c r="P1009" s="88" t="n"/>
      <c r="Q1009" s="88" t="n"/>
      <c r="R1009" s="89" t="n"/>
      <c r="S1009" s="88" t="n"/>
      <c r="T1009" s="88" t="n"/>
      <c r="U1009" s="88" t="n"/>
      <c r="V1009" s="89" t="n"/>
      <c r="W1009" s="88" t="n"/>
      <c r="X1009" s="89" t="n"/>
      <c r="Y1009" s="88" t="n"/>
      <c r="Z1009" s="89" t="n"/>
      <c r="AB1009" s="30">
        <f>IF($B1009="","",(COUNTIF(C1009:E1009,"?*")&lt;N(INDEX(Setup!$L$6:$L$23,2)))+(COUNTIF(G1009:I1009,"?*")&lt;N(INDEX(Setup!$L$6:$L$23,2)))+(COUNTIF(K1009:M1009,"?*")&lt;N(INDEX(Setup!$L$6:$L$23,2)))+(COUNTIF(O1009:Q1009,"?*")&lt;N(INDEX(Setup!$L$6:$L$23,2)))+(COUNTIF(S1009:U1009,"?*")&lt;N(INDEX(Setup!$L$6:$L$23,2)))+((W1009="")*(INDEX(Setup!$M$6:$M$23,2)="Y"))+((Y1009="")*(INDEX(Setup!$M$6:$M$23,2)="Y")))</f>
        <v/>
      </c>
      <c r="AC1009" s="91">
        <f>IF($B1009="","",IF(AB1009=0,"✓ covered","⚠ "&amp;AB1009&amp;IF(AB1009=1," gap"," gaps")))</f>
        <v/>
      </c>
    </row>
    <row r="1010" ht="17" customHeight="1">
      <c r="A1010" t="n">
        <v>21</v>
      </c>
      <c r="B1010" s="24">
        <f>IF(Setup!$K$8="","",Setup!$K$8)</f>
        <v/>
      </c>
      <c r="C1010" s="88" t="n"/>
      <c r="D1010" s="88" t="n"/>
      <c r="E1010" s="88" t="n"/>
      <c r="F1010" s="89" t="n"/>
      <c r="G1010" s="88" t="n"/>
      <c r="H1010" s="88" t="n"/>
      <c r="I1010" s="88" t="n"/>
      <c r="J1010" s="89" t="n"/>
      <c r="K1010" s="88" t="n"/>
      <c r="L1010" s="88" t="n"/>
      <c r="M1010" s="88" t="n"/>
      <c r="N1010" s="89" t="n"/>
      <c r="O1010" s="88" t="n"/>
      <c r="P1010" s="88" t="n"/>
      <c r="Q1010" s="88" t="n"/>
      <c r="R1010" s="89" t="n"/>
      <c r="S1010" s="88" t="n"/>
      <c r="T1010" s="88" t="n"/>
      <c r="U1010" s="88" t="n"/>
      <c r="V1010" s="89" t="n"/>
      <c r="W1010" s="88" t="n"/>
      <c r="X1010" s="89" t="n"/>
      <c r="Y1010" s="88" t="n"/>
      <c r="Z1010" s="89" t="n"/>
      <c r="AB1010" s="25">
        <f>IF($B1010="","",(COUNTIF(C1010:E1010,"?*")&lt;N(INDEX(Setup!$L$6:$L$23,3)))+(COUNTIF(G1010:I1010,"?*")&lt;N(INDEX(Setup!$L$6:$L$23,3)))+(COUNTIF(K1010:M1010,"?*")&lt;N(INDEX(Setup!$L$6:$L$23,3)))+(COUNTIF(O1010:Q1010,"?*")&lt;N(INDEX(Setup!$L$6:$L$23,3)))+(COUNTIF(S1010:U1010,"?*")&lt;N(INDEX(Setup!$L$6:$L$23,3)))+((W1010="")*(INDEX(Setup!$M$6:$M$23,3)="Y"))+((Y1010="")*(INDEX(Setup!$M$6:$M$23,3)="Y")))</f>
        <v/>
      </c>
      <c r="AC1010" s="90">
        <f>IF($B1010="","",IF(AB1010=0,"✓ covered","⚠ "&amp;AB1010&amp;IF(AB1010=1," gap"," gaps")))</f>
        <v/>
      </c>
    </row>
    <row r="1011" ht="17" customHeight="1">
      <c r="A1011" t="n">
        <v>21</v>
      </c>
      <c r="B1011" s="29">
        <f>IF(Setup!$K$9="","",Setup!$K$9)</f>
        <v/>
      </c>
      <c r="C1011" s="88" t="n"/>
      <c r="D1011" s="88" t="n"/>
      <c r="E1011" s="88" t="n"/>
      <c r="F1011" s="89" t="n"/>
      <c r="G1011" s="88" t="n"/>
      <c r="H1011" s="88" t="n"/>
      <c r="I1011" s="88" t="n"/>
      <c r="J1011" s="89" t="n"/>
      <c r="K1011" s="88" t="n"/>
      <c r="L1011" s="88" t="n"/>
      <c r="M1011" s="88" t="n"/>
      <c r="N1011" s="89" t="n"/>
      <c r="O1011" s="88" t="n"/>
      <c r="P1011" s="88" t="n"/>
      <c r="Q1011" s="88" t="n"/>
      <c r="R1011" s="89" t="n"/>
      <c r="S1011" s="88" t="n"/>
      <c r="T1011" s="88" t="n"/>
      <c r="U1011" s="88" t="n"/>
      <c r="V1011" s="89" t="n"/>
      <c r="W1011" s="88" t="n"/>
      <c r="X1011" s="89" t="n"/>
      <c r="Y1011" s="88" t="n"/>
      <c r="Z1011" s="89" t="n"/>
      <c r="AB1011" s="30">
        <f>IF($B1011="","",(COUNTIF(C1011:E1011,"?*")&lt;N(INDEX(Setup!$L$6:$L$23,4)))+(COUNTIF(G1011:I1011,"?*")&lt;N(INDEX(Setup!$L$6:$L$23,4)))+(COUNTIF(K1011:M1011,"?*")&lt;N(INDEX(Setup!$L$6:$L$23,4)))+(COUNTIF(O1011:Q1011,"?*")&lt;N(INDEX(Setup!$L$6:$L$23,4)))+(COUNTIF(S1011:U1011,"?*")&lt;N(INDEX(Setup!$L$6:$L$23,4)))+((W1011="")*(INDEX(Setup!$M$6:$M$23,4)="Y"))+((Y1011="")*(INDEX(Setup!$M$6:$M$23,4)="Y")))</f>
        <v/>
      </c>
      <c r="AC1011" s="91">
        <f>IF($B1011="","",IF(AB1011=0,"✓ covered","⚠ "&amp;AB1011&amp;IF(AB1011=1," gap"," gaps")))</f>
        <v/>
      </c>
    </row>
    <row r="1012" ht="17" customHeight="1">
      <c r="A1012" t="n">
        <v>21</v>
      </c>
      <c r="B1012" s="24">
        <f>IF(Setup!$K$10="","",Setup!$K$10)</f>
        <v/>
      </c>
      <c r="C1012" s="88" t="n"/>
      <c r="D1012" s="88" t="n"/>
      <c r="E1012" s="88" t="n"/>
      <c r="F1012" s="89" t="n"/>
      <c r="G1012" s="88" t="n"/>
      <c r="H1012" s="88" t="n"/>
      <c r="I1012" s="88" t="n"/>
      <c r="J1012" s="89" t="n"/>
      <c r="K1012" s="88" t="n"/>
      <c r="L1012" s="88" t="n"/>
      <c r="M1012" s="88" t="n"/>
      <c r="N1012" s="89" t="n"/>
      <c r="O1012" s="88" t="n"/>
      <c r="P1012" s="88" t="n"/>
      <c r="Q1012" s="88" t="n"/>
      <c r="R1012" s="89" t="n"/>
      <c r="S1012" s="88" t="n"/>
      <c r="T1012" s="88" t="n"/>
      <c r="U1012" s="88" t="n"/>
      <c r="V1012" s="89" t="n"/>
      <c r="W1012" s="88" t="n"/>
      <c r="X1012" s="89" t="n"/>
      <c r="Y1012" s="88" t="n"/>
      <c r="Z1012" s="89" t="n"/>
      <c r="AB1012" s="25">
        <f>IF($B1012="","",(COUNTIF(C1012:E1012,"?*")&lt;N(INDEX(Setup!$L$6:$L$23,5)))+(COUNTIF(G1012:I1012,"?*")&lt;N(INDEX(Setup!$L$6:$L$23,5)))+(COUNTIF(K1012:M1012,"?*")&lt;N(INDEX(Setup!$L$6:$L$23,5)))+(COUNTIF(O1012:Q1012,"?*")&lt;N(INDEX(Setup!$L$6:$L$23,5)))+(COUNTIF(S1012:U1012,"?*")&lt;N(INDEX(Setup!$L$6:$L$23,5)))+((W1012="")*(INDEX(Setup!$M$6:$M$23,5)="Y"))+((Y1012="")*(INDEX(Setup!$M$6:$M$23,5)="Y")))</f>
        <v/>
      </c>
      <c r="AC1012" s="90">
        <f>IF($B1012="","",IF(AB1012=0,"✓ covered","⚠ "&amp;AB1012&amp;IF(AB1012=1," gap"," gaps")))</f>
        <v/>
      </c>
    </row>
    <row r="1013" ht="17" customHeight="1">
      <c r="A1013" t="n">
        <v>21</v>
      </c>
      <c r="B1013" s="29">
        <f>IF(Setup!$K$11="","",Setup!$K$11)</f>
        <v/>
      </c>
      <c r="C1013" s="88" t="n"/>
      <c r="D1013" s="88" t="n"/>
      <c r="E1013" s="88" t="n"/>
      <c r="F1013" s="89" t="n"/>
      <c r="G1013" s="88" t="n"/>
      <c r="H1013" s="88" t="n"/>
      <c r="I1013" s="88" t="n"/>
      <c r="J1013" s="89" t="n"/>
      <c r="K1013" s="88" t="n"/>
      <c r="L1013" s="88" t="n"/>
      <c r="M1013" s="88" t="n"/>
      <c r="N1013" s="89" t="n"/>
      <c r="O1013" s="88" t="n"/>
      <c r="P1013" s="88" t="n"/>
      <c r="Q1013" s="88" t="n"/>
      <c r="R1013" s="89" t="n"/>
      <c r="S1013" s="88" t="n"/>
      <c r="T1013" s="88" t="n"/>
      <c r="U1013" s="88" t="n"/>
      <c r="V1013" s="89" t="n"/>
      <c r="W1013" s="88" t="n"/>
      <c r="X1013" s="89" t="n"/>
      <c r="Y1013" s="88" t="n"/>
      <c r="Z1013" s="89" t="n"/>
      <c r="AB1013" s="30">
        <f>IF($B1013="","",(COUNTIF(C1013:E1013,"?*")&lt;N(INDEX(Setup!$L$6:$L$23,6)))+(COUNTIF(G1013:I1013,"?*")&lt;N(INDEX(Setup!$L$6:$L$23,6)))+(COUNTIF(K1013:M1013,"?*")&lt;N(INDEX(Setup!$L$6:$L$23,6)))+(COUNTIF(O1013:Q1013,"?*")&lt;N(INDEX(Setup!$L$6:$L$23,6)))+(COUNTIF(S1013:U1013,"?*")&lt;N(INDEX(Setup!$L$6:$L$23,6)))+((W1013="")*(INDEX(Setup!$M$6:$M$23,6)="Y"))+((Y1013="")*(INDEX(Setup!$M$6:$M$23,6)="Y")))</f>
        <v/>
      </c>
      <c r="AC1013" s="91">
        <f>IF($B1013="","",IF(AB1013=0,"✓ covered","⚠ "&amp;AB1013&amp;IF(AB1013=1," gap"," gaps")))</f>
        <v/>
      </c>
    </row>
    <row r="1014" ht="17" customHeight="1">
      <c r="A1014" t="n">
        <v>21</v>
      </c>
      <c r="B1014" s="24">
        <f>IF(Setup!$K$12="","",Setup!$K$12)</f>
        <v/>
      </c>
      <c r="C1014" s="88" t="n"/>
      <c r="D1014" s="88" t="n"/>
      <c r="E1014" s="88" t="n"/>
      <c r="F1014" s="89" t="n"/>
      <c r="G1014" s="88" t="n"/>
      <c r="H1014" s="88" t="n"/>
      <c r="I1014" s="88" t="n"/>
      <c r="J1014" s="89" t="n"/>
      <c r="K1014" s="88" t="n"/>
      <c r="L1014" s="88" t="n"/>
      <c r="M1014" s="88" t="n"/>
      <c r="N1014" s="89" t="n"/>
      <c r="O1014" s="88" t="n"/>
      <c r="P1014" s="88" t="n"/>
      <c r="Q1014" s="88" t="n"/>
      <c r="R1014" s="89" t="n"/>
      <c r="S1014" s="88" t="n"/>
      <c r="T1014" s="88" t="n"/>
      <c r="U1014" s="88" t="n"/>
      <c r="V1014" s="89" t="n"/>
      <c r="W1014" s="88" t="n"/>
      <c r="X1014" s="89" t="n"/>
      <c r="Y1014" s="88" t="n"/>
      <c r="Z1014" s="89" t="n"/>
      <c r="AB1014" s="25">
        <f>IF($B1014="","",(COUNTIF(C1014:E1014,"?*")&lt;N(INDEX(Setup!$L$6:$L$23,7)))+(COUNTIF(G1014:I1014,"?*")&lt;N(INDEX(Setup!$L$6:$L$23,7)))+(COUNTIF(K1014:M1014,"?*")&lt;N(INDEX(Setup!$L$6:$L$23,7)))+(COUNTIF(O1014:Q1014,"?*")&lt;N(INDEX(Setup!$L$6:$L$23,7)))+(COUNTIF(S1014:U1014,"?*")&lt;N(INDEX(Setup!$L$6:$L$23,7)))+((W1014="")*(INDEX(Setup!$M$6:$M$23,7)="Y"))+((Y1014="")*(INDEX(Setup!$M$6:$M$23,7)="Y")))</f>
        <v/>
      </c>
      <c r="AC1014" s="90">
        <f>IF($B1014="","",IF(AB1014=0,"✓ covered","⚠ "&amp;AB1014&amp;IF(AB1014=1," gap"," gaps")))</f>
        <v/>
      </c>
    </row>
    <row r="1015" ht="17" customHeight="1">
      <c r="A1015" t="n">
        <v>21</v>
      </c>
      <c r="B1015" s="29">
        <f>IF(Setup!$K$13="","",Setup!$K$13)</f>
        <v/>
      </c>
      <c r="C1015" s="88" t="n"/>
      <c r="D1015" s="88" t="n"/>
      <c r="E1015" s="88" t="n"/>
      <c r="F1015" s="89" t="n"/>
      <c r="G1015" s="88" t="n"/>
      <c r="H1015" s="88" t="n"/>
      <c r="I1015" s="88" t="n"/>
      <c r="J1015" s="89" t="n"/>
      <c r="K1015" s="88" t="n"/>
      <c r="L1015" s="88" t="n"/>
      <c r="M1015" s="88" t="n"/>
      <c r="N1015" s="89" t="n"/>
      <c r="O1015" s="88" t="n"/>
      <c r="P1015" s="88" t="n"/>
      <c r="Q1015" s="88" t="n"/>
      <c r="R1015" s="89" t="n"/>
      <c r="S1015" s="88" t="n"/>
      <c r="T1015" s="88" t="n"/>
      <c r="U1015" s="88" t="n"/>
      <c r="V1015" s="89" t="n"/>
      <c r="W1015" s="88" t="n"/>
      <c r="X1015" s="89" t="n"/>
      <c r="Y1015" s="88" t="n"/>
      <c r="Z1015" s="89" t="n"/>
      <c r="AB1015" s="30">
        <f>IF($B1015="","",(COUNTIF(C1015:E1015,"?*")&lt;N(INDEX(Setup!$L$6:$L$23,8)))+(COUNTIF(G1015:I1015,"?*")&lt;N(INDEX(Setup!$L$6:$L$23,8)))+(COUNTIF(K1015:M1015,"?*")&lt;N(INDEX(Setup!$L$6:$L$23,8)))+(COUNTIF(O1015:Q1015,"?*")&lt;N(INDEX(Setup!$L$6:$L$23,8)))+(COUNTIF(S1015:U1015,"?*")&lt;N(INDEX(Setup!$L$6:$L$23,8)))+((W1015="")*(INDEX(Setup!$M$6:$M$23,8)="Y"))+((Y1015="")*(INDEX(Setup!$M$6:$M$23,8)="Y")))</f>
        <v/>
      </c>
      <c r="AC1015" s="91">
        <f>IF($B1015="","",IF(AB1015=0,"✓ covered","⚠ "&amp;AB1015&amp;IF(AB1015=1," gap"," gaps")))</f>
        <v/>
      </c>
    </row>
    <row r="1016" ht="17" customHeight="1">
      <c r="A1016" t="n">
        <v>21</v>
      </c>
      <c r="B1016" s="24">
        <f>IF(Setup!$K$14="","",Setup!$K$14)</f>
        <v/>
      </c>
      <c r="C1016" s="88" t="n"/>
      <c r="D1016" s="88" t="n"/>
      <c r="E1016" s="88" t="n"/>
      <c r="F1016" s="89" t="n"/>
      <c r="G1016" s="88" t="n"/>
      <c r="H1016" s="88" t="n"/>
      <c r="I1016" s="88" t="n"/>
      <c r="J1016" s="89" t="n"/>
      <c r="K1016" s="88" t="n"/>
      <c r="L1016" s="88" t="n"/>
      <c r="M1016" s="88" t="n"/>
      <c r="N1016" s="89" t="n"/>
      <c r="O1016" s="88" t="n"/>
      <c r="P1016" s="88" t="n"/>
      <c r="Q1016" s="88" t="n"/>
      <c r="R1016" s="89" t="n"/>
      <c r="S1016" s="88" t="n"/>
      <c r="T1016" s="88" t="n"/>
      <c r="U1016" s="88" t="n"/>
      <c r="V1016" s="89" t="n"/>
      <c r="W1016" s="88" t="n"/>
      <c r="X1016" s="89" t="n"/>
      <c r="Y1016" s="88" t="n"/>
      <c r="Z1016" s="89" t="n"/>
      <c r="AB1016" s="25">
        <f>IF($B1016="","",(COUNTIF(C1016:E1016,"?*")&lt;N(INDEX(Setup!$L$6:$L$23,9)))+(COUNTIF(G1016:I1016,"?*")&lt;N(INDEX(Setup!$L$6:$L$23,9)))+(COUNTIF(K1016:M1016,"?*")&lt;N(INDEX(Setup!$L$6:$L$23,9)))+(COUNTIF(O1016:Q1016,"?*")&lt;N(INDEX(Setup!$L$6:$L$23,9)))+(COUNTIF(S1016:U1016,"?*")&lt;N(INDEX(Setup!$L$6:$L$23,9)))+((W1016="")*(INDEX(Setup!$M$6:$M$23,9)="Y"))+((Y1016="")*(INDEX(Setup!$M$6:$M$23,9)="Y")))</f>
        <v/>
      </c>
      <c r="AC1016" s="90">
        <f>IF($B1016="","",IF(AB1016=0,"✓ covered","⚠ "&amp;AB1016&amp;IF(AB1016=1," gap"," gaps")))</f>
        <v/>
      </c>
    </row>
    <row r="1017" ht="17" customHeight="1">
      <c r="A1017" t="n">
        <v>21</v>
      </c>
      <c r="B1017" s="29">
        <f>IF(Setup!$K$15="","",Setup!$K$15)</f>
        <v/>
      </c>
      <c r="C1017" s="88" t="n"/>
      <c r="D1017" s="88" t="n"/>
      <c r="E1017" s="88" t="n"/>
      <c r="F1017" s="89" t="n"/>
      <c r="G1017" s="88" t="n"/>
      <c r="H1017" s="88" t="n"/>
      <c r="I1017" s="88" t="n"/>
      <c r="J1017" s="89" t="n"/>
      <c r="K1017" s="88" t="n"/>
      <c r="L1017" s="88" t="n"/>
      <c r="M1017" s="88" t="n"/>
      <c r="N1017" s="89" t="n"/>
      <c r="O1017" s="88" t="n"/>
      <c r="P1017" s="88" t="n"/>
      <c r="Q1017" s="88" t="n"/>
      <c r="R1017" s="89" t="n"/>
      <c r="S1017" s="88" t="n"/>
      <c r="T1017" s="88" t="n"/>
      <c r="U1017" s="88" t="n"/>
      <c r="V1017" s="89" t="n"/>
      <c r="W1017" s="88" t="n"/>
      <c r="X1017" s="89" t="n"/>
      <c r="Y1017" s="88" t="n"/>
      <c r="Z1017" s="89" t="n"/>
      <c r="AB1017" s="30">
        <f>IF($B1017="","",(COUNTIF(C1017:E1017,"?*")&lt;N(INDEX(Setup!$L$6:$L$23,10)))+(COUNTIF(G1017:I1017,"?*")&lt;N(INDEX(Setup!$L$6:$L$23,10)))+(COUNTIF(K1017:M1017,"?*")&lt;N(INDEX(Setup!$L$6:$L$23,10)))+(COUNTIF(O1017:Q1017,"?*")&lt;N(INDEX(Setup!$L$6:$L$23,10)))+(COUNTIF(S1017:U1017,"?*")&lt;N(INDEX(Setup!$L$6:$L$23,10)))+((W1017="")*(INDEX(Setup!$M$6:$M$23,10)="Y"))+((Y1017="")*(INDEX(Setup!$M$6:$M$23,10)="Y")))</f>
        <v/>
      </c>
      <c r="AC1017" s="91">
        <f>IF($B1017="","",IF(AB1017=0,"✓ covered","⚠ "&amp;AB1017&amp;IF(AB1017=1," gap"," gaps")))</f>
        <v/>
      </c>
    </row>
    <row r="1018" ht="17" customHeight="1">
      <c r="A1018" t="n">
        <v>21</v>
      </c>
      <c r="B1018" s="24">
        <f>IF(Setup!$K$16="","",Setup!$K$16)</f>
        <v/>
      </c>
      <c r="C1018" s="88" t="n"/>
      <c r="D1018" s="88" t="n"/>
      <c r="E1018" s="88" t="n"/>
      <c r="F1018" s="89" t="n"/>
      <c r="G1018" s="88" t="n"/>
      <c r="H1018" s="88" t="n"/>
      <c r="I1018" s="88" t="n"/>
      <c r="J1018" s="89" t="n"/>
      <c r="K1018" s="88" t="n"/>
      <c r="L1018" s="88" t="n"/>
      <c r="M1018" s="88" t="n"/>
      <c r="N1018" s="89" t="n"/>
      <c r="O1018" s="88" t="n"/>
      <c r="P1018" s="88" t="n"/>
      <c r="Q1018" s="88" t="n"/>
      <c r="R1018" s="89" t="n"/>
      <c r="S1018" s="88" t="n"/>
      <c r="T1018" s="88" t="n"/>
      <c r="U1018" s="88" t="n"/>
      <c r="V1018" s="89" t="n"/>
      <c r="W1018" s="88" t="n"/>
      <c r="X1018" s="89" t="n"/>
      <c r="Y1018" s="88" t="n"/>
      <c r="Z1018" s="89" t="n"/>
      <c r="AB1018" s="25">
        <f>IF($B1018="","",(COUNTIF(C1018:E1018,"?*")&lt;N(INDEX(Setup!$L$6:$L$23,11)))+(COUNTIF(G1018:I1018,"?*")&lt;N(INDEX(Setup!$L$6:$L$23,11)))+(COUNTIF(K1018:M1018,"?*")&lt;N(INDEX(Setup!$L$6:$L$23,11)))+(COUNTIF(O1018:Q1018,"?*")&lt;N(INDEX(Setup!$L$6:$L$23,11)))+(COUNTIF(S1018:U1018,"?*")&lt;N(INDEX(Setup!$L$6:$L$23,11)))+((W1018="")*(INDEX(Setup!$M$6:$M$23,11)="Y"))+((Y1018="")*(INDEX(Setup!$M$6:$M$23,11)="Y")))</f>
        <v/>
      </c>
      <c r="AC1018" s="90">
        <f>IF($B1018="","",IF(AB1018=0,"✓ covered","⚠ "&amp;AB1018&amp;IF(AB1018=1," gap"," gaps")))</f>
        <v/>
      </c>
    </row>
    <row r="1019" ht="17" customHeight="1">
      <c r="A1019" t="n">
        <v>21</v>
      </c>
      <c r="B1019" s="29">
        <f>IF(Setup!$K$17="","",Setup!$K$17)</f>
        <v/>
      </c>
      <c r="C1019" s="88" t="n"/>
      <c r="D1019" s="88" t="n"/>
      <c r="E1019" s="88" t="n"/>
      <c r="F1019" s="89" t="n"/>
      <c r="G1019" s="88" t="n"/>
      <c r="H1019" s="88" t="n"/>
      <c r="I1019" s="88" t="n"/>
      <c r="J1019" s="89" t="n"/>
      <c r="K1019" s="88" t="n"/>
      <c r="L1019" s="88" t="n"/>
      <c r="M1019" s="88" t="n"/>
      <c r="N1019" s="89" t="n"/>
      <c r="O1019" s="88" t="n"/>
      <c r="P1019" s="88" t="n"/>
      <c r="Q1019" s="88" t="n"/>
      <c r="R1019" s="89" t="n"/>
      <c r="S1019" s="88" t="n"/>
      <c r="T1019" s="88" t="n"/>
      <c r="U1019" s="88" t="n"/>
      <c r="V1019" s="89" t="n"/>
      <c r="W1019" s="88" t="n"/>
      <c r="X1019" s="89" t="n"/>
      <c r="Y1019" s="88" t="n"/>
      <c r="Z1019" s="89" t="n"/>
      <c r="AB1019" s="30">
        <f>IF($B1019="","",(COUNTIF(C1019:E1019,"?*")&lt;N(INDEX(Setup!$L$6:$L$23,12)))+(COUNTIF(G1019:I1019,"?*")&lt;N(INDEX(Setup!$L$6:$L$23,12)))+(COUNTIF(K1019:M1019,"?*")&lt;N(INDEX(Setup!$L$6:$L$23,12)))+(COUNTIF(O1019:Q1019,"?*")&lt;N(INDEX(Setup!$L$6:$L$23,12)))+(COUNTIF(S1019:U1019,"?*")&lt;N(INDEX(Setup!$L$6:$L$23,12)))+((W1019="")*(INDEX(Setup!$M$6:$M$23,12)="Y"))+((Y1019="")*(INDEX(Setup!$M$6:$M$23,12)="Y")))</f>
        <v/>
      </c>
      <c r="AC1019" s="91">
        <f>IF($B1019="","",IF(AB1019=0,"✓ covered","⚠ "&amp;AB1019&amp;IF(AB1019=1," gap"," gaps")))</f>
        <v/>
      </c>
    </row>
    <row r="1020" ht="17" customHeight="1">
      <c r="A1020" t="n">
        <v>21</v>
      </c>
      <c r="B1020" s="24">
        <f>IF(Setup!$K$18="","",Setup!$K$18)</f>
        <v/>
      </c>
      <c r="C1020" s="88" t="n"/>
      <c r="D1020" s="88" t="n"/>
      <c r="E1020" s="88" t="n"/>
      <c r="F1020" s="89" t="n"/>
      <c r="G1020" s="88" t="n"/>
      <c r="H1020" s="88" t="n"/>
      <c r="I1020" s="88" t="n"/>
      <c r="J1020" s="89" t="n"/>
      <c r="K1020" s="88" t="n"/>
      <c r="L1020" s="88" t="n"/>
      <c r="M1020" s="88" t="n"/>
      <c r="N1020" s="89" t="n"/>
      <c r="O1020" s="88" t="n"/>
      <c r="P1020" s="88" t="n"/>
      <c r="Q1020" s="88" t="n"/>
      <c r="R1020" s="89" t="n"/>
      <c r="S1020" s="88" t="n"/>
      <c r="T1020" s="88" t="n"/>
      <c r="U1020" s="88" t="n"/>
      <c r="V1020" s="89" t="n"/>
      <c r="W1020" s="88" t="n"/>
      <c r="X1020" s="89" t="n"/>
      <c r="Y1020" s="88" t="n"/>
      <c r="Z1020" s="89" t="n"/>
      <c r="AB1020" s="25">
        <f>IF($B1020="","",(COUNTIF(C1020:E1020,"?*")&lt;N(INDEX(Setup!$L$6:$L$23,13)))+(COUNTIF(G1020:I1020,"?*")&lt;N(INDEX(Setup!$L$6:$L$23,13)))+(COUNTIF(K1020:M1020,"?*")&lt;N(INDEX(Setup!$L$6:$L$23,13)))+(COUNTIF(O1020:Q1020,"?*")&lt;N(INDEX(Setup!$L$6:$L$23,13)))+(COUNTIF(S1020:U1020,"?*")&lt;N(INDEX(Setup!$L$6:$L$23,13)))+((W1020="")*(INDEX(Setup!$M$6:$M$23,13)="Y"))+((Y1020="")*(INDEX(Setup!$M$6:$M$23,13)="Y")))</f>
        <v/>
      </c>
      <c r="AC1020" s="90">
        <f>IF($B1020="","",IF(AB1020=0,"✓ covered","⚠ "&amp;AB1020&amp;IF(AB1020=1," gap"," gaps")))</f>
        <v/>
      </c>
    </row>
    <row r="1021" ht="17" customHeight="1">
      <c r="A1021" t="n">
        <v>21</v>
      </c>
      <c r="B1021" s="29">
        <f>IF(Setup!$K$19="","",Setup!$K$19)</f>
        <v/>
      </c>
      <c r="C1021" s="88" t="n"/>
      <c r="D1021" s="88" t="n"/>
      <c r="E1021" s="88" t="n"/>
      <c r="F1021" s="89" t="n"/>
      <c r="G1021" s="88" t="n"/>
      <c r="H1021" s="88" t="n"/>
      <c r="I1021" s="88" t="n"/>
      <c r="J1021" s="89" t="n"/>
      <c r="K1021" s="88" t="n"/>
      <c r="L1021" s="88" t="n"/>
      <c r="M1021" s="88" t="n"/>
      <c r="N1021" s="89" t="n"/>
      <c r="O1021" s="88" t="n"/>
      <c r="P1021" s="88" t="n"/>
      <c r="Q1021" s="88" t="n"/>
      <c r="R1021" s="89" t="n"/>
      <c r="S1021" s="88" t="n"/>
      <c r="T1021" s="88" t="n"/>
      <c r="U1021" s="88" t="n"/>
      <c r="V1021" s="89" t="n"/>
      <c r="W1021" s="88" t="n"/>
      <c r="X1021" s="89" t="n"/>
      <c r="Y1021" s="88" t="n"/>
      <c r="Z1021" s="89" t="n"/>
      <c r="AB1021" s="30">
        <f>IF($B1021="","",(COUNTIF(C1021:E1021,"?*")&lt;N(INDEX(Setup!$L$6:$L$23,14)))+(COUNTIF(G1021:I1021,"?*")&lt;N(INDEX(Setup!$L$6:$L$23,14)))+(COUNTIF(K1021:M1021,"?*")&lt;N(INDEX(Setup!$L$6:$L$23,14)))+(COUNTIF(O1021:Q1021,"?*")&lt;N(INDEX(Setup!$L$6:$L$23,14)))+(COUNTIF(S1021:U1021,"?*")&lt;N(INDEX(Setup!$L$6:$L$23,14)))+((W1021="")*(INDEX(Setup!$M$6:$M$23,14)="Y"))+((Y1021="")*(INDEX(Setup!$M$6:$M$23,14)="Y")))</f>
        <v/>
      </c>
      <c r="AC1021" s="91">
        <f>IF($B1021="","",IF(AB1021=0,"✓ covered","⚠ "&amp;AB1021&amp;IF(AB1021=1," gap"," gaps")))</f>
        <v/>
      </c>
    </row>
    <row r="1022" ht="17" customHeight="1">
      <c r="A1022" t="n">
        <v>21</v>
      </c>
      <c r="B1022" s="24">
        <f>IF(Setup!$K$20="","",Setup!$K$20)</f>
        <v/>
      </c>
      <c r="C1022" s="88" t="n"/>
      <c r="D1022" s="88" t="n"/>
      <c r="E1022" s="88" t="n"/>
      <c r="F1022" s="89" t="n"/>
      <c r="G1022" s="88" t="n"/>
      <c r="H1022" s="88" t="n"/>
      <c r="I1022" s="88" t="n"/>
      <c r="J1022" s="89" t="n"/>
      <c r="K1022" s="88" t="n"/>
      <c r="L1022" s="88" t="n"/>
      <c r="M1022" s="88" t="n"/>
      <c r="N1022" s="89" t="n"/>
      <c r="O1022" s="88" t="n"/>
      <c r="P1022" s="88" t="n"/>
      <c r="Q1022" s="88" t="n"/>
      <c r="R1022" s="89" t="n"/>
      <c r="S1022" s="88" t="n"/>
      <c r="T1022" s="88" t="n"/>
      <c r="U1022" s="88" t="n"/>
      <c r="V1022" s="89" t="n"/>
      <c r="W1022" s="88" t="n"/>
      <c r="X1022" s="89" t="n"/>
      <c r="Y1022" s="88" t="n"/>
      <c r="Z1022" s="89" t="n"/>
      <c r="AB1022" s="25">
        <f>IF($B1022="","",(COUNTIF(C1022:E1022,"?*")&lt;N(INDEX(Setup!$L$6:$L$23,15)))+(COUNTIF(G1022:I1022,"?*")&lt;N(INDEX(Setup!$L$6:$L$23,15)))+(COUNTIF(K1022:M1022,"?*")&lt;N(INDEX(Setup!$L$6:$L$23,15)))+(COUNTIF(O1022:Q1022,"?*")&lt;N(INDEX(Setup!$L$6:$L$23,15)))+(COUNTIF(S1022:U1022,"?*")&lt;N(INDEX(Setup!$L$6:$L$23,15)))+((W1022="")*(INDEX(Setup!$M$6:$M$23,15)="Y"))+((Y1022="")*(INDEX(Setup!$M$6:$M$23,15)="Y")))</f>
        <v/>
      </c>
      <c r="AC1022" s="90">
        <f>IF($B1022="","",IF(AB1022=0,"✓ covered","⚠ "&amp;AB1022&amp;IF(AB1022=1," gap"," gaps")))</f>
        <v/>
      </c>
    </row>
    <row r="1023" ht="17" customHeight="1">
      <c r="A1023" t="n">
        <v>21</v>
      </c>
      <c r="B1023" s="29">
        <f>IF(Setup!$K$21="","",Setup!$K$21)</f>
        <v/>
      </c>
      <c r="C1023" s="88" t="n"/>
      <c r="D1023" s="88" t="n"/>
      <c r="E1023" s="88" t="n"/>
      <c r="F1023" s="89" t="n"/>
      <c r="G1023" s="88" t="n"/>
      <c r="H1023" s="88" t="n"/>
      <c r="I1023" s="88" t="n"/>
      <c r="J1023" s="89" t="n"/>
      <c r="K1023" s="88" t="n"/>
      <c r="L1023" s="88" t="n"/>
      <c r="M1023" s="88" t="n"/>
      <c r="N1023" s="89" t="n"/>
      <c r="O1023" s="88" t="n"/>
      <c r="P1023" s="88" t="n"/>
      <c r="Q1023" s="88" t="n"/>
      <c r="R1023" s="89" t="n"/>
      <c r="S1023" s="88" t="n"/>
      <c r="T1023" s="88" t="n"/>
      <c r="U1023" s="88" t="n"/>
      <c r="V1023" s="89" t="n"/>
      <c r="W1023" s="88" t="n"/>
      <c r="X1023" s="89" t="n"/>
      <c r="Y1023" s="88" t="n"/>
      <c r="Z1023" s="89" t="n"/>
      <c r="AB1023" s="30">
        <f>IF($B1023="","",(COUNTIF(C1023:E1023,"?*")&lt;N(INDEX(Setup!$L$6:$L$23,16)))+(COUNTIF(G1023:I1023,"?*")&lt;N(INDEX(Setup!$L$6:$L$23,16)))+(COUNTIF(K1023:M1023,"?*")&lt;N(INDEX(Setup!$L$6:$L$23,16)))+(COUNTIF(O1023:Q1023,"?*")&lt;N(INDEX(Setup!$L$6:$L$23,16)))+(COUNTIF(S1023:U1023,"?*")&lt;N(INDEX(Setup!$L$6:$L$23,16)))+((W1023="")*(INDEX(Setup!$M$6:$M$23,16)="Y"))+((Y1023="")*(INDEX(Setup!$M$6:$M$23,16)="Y")))</f>
        <v/>
      </c>
      <c r="AC1023" s="91">
        <f>IF($B1023="","",IF(AB1023=0,"✓ covered","⚠ "&amp;AB1023&amp;IF(AB1023=1," gap"," gaps")))</f>
        <v/>
      </c>
    </row>
    <row r="1024" ht="17" customHeight="1">
      <c r="A1024" t="n">
        <v>21</v>
      </c>
      <c r="B1024" s="24">
        <f>IF(Setup!$K$22="","",Setup!$K$22)</f>
        <v/>
      </c>
      <c r="C1024" s="88" t="n"/>
      <c r="D1024" s="88" t="n"/>
      <c r="E1024" s="88" t="n"/>
      <c r="F1024" s="89" t="n"/>
      <c r="G1024" s="88" t="n"/>
      <c r="H1024" s="88" t="n"/>
      <c r="I1024" s="88" t="n"/>
      <c r="J1024" s="89" t="n"/>
      <c r="K1024" s="88" t="n"/>
      <c r="L1024" s="88" t="n"/>
      <c r="M1024" s="88" t="n"/>
      <c r="N1024" s="89" t="n"/>
      <c r="O1024" s="88" t="n"/>
      <c r="P1024" s="88" t="n"/>
      <c r="Q1024" s="88" t="n"/>
      <c r="R1024" s="89" t="n"/>
      <c r="S1024" s="88" t="n"/>
      <c r="T1024" s="88" t="n"/>
      <c r="U1024" s="88" t="n"/>
      <c r="V1024" s="89" t="n"/>
      <c r="W1024" s="88" t="n"/>
      <c r="X1024" s="89" t="n"/>
      <c r="Y1024" s="88" t="n"/>
      <c r="Z1024" s="89" t="n"/>
      <c r="AB1024" s="25">
        <f>IF($B1024="","",(COUNTIF(C1024:E1024,"?*")&lt;N(INDEX(Setup!$L$6:$L$23,17)))+(COUNTIF(G1024:I1024,"?*")&lt;N(INDEX(Setup!$L$6:$L$23,17)))+(COUNTIF(K1024:M1024,"?*")&lt;N(INDEX(Setup!$L$6:$L$23,17)))+(COUNTIF(O1024:Q1024,"?*")&lt;N(INDEX(Setup!$L$6:$L$23,17)))+(COUNTIF(S1024:U1024,"?*")&lt;N(INDEX(Setup!$L$6:$L$23,17)))+((W1024="")*(INDEX(Setup!$M$6:$M$23,17)="Y"))+((Y1024="")*(INDEX(Setup!$M$6:$M$23,17)="Y")))</f>
        <v/>
      </c>
      <c r="AC1024" s="90">
        <f>IF($B1024="","",IF(AB1024=0,"✓ covered","⚠ "&amp;AB1024&amp;IF(AB1024=1," gap"," gaps")))</f>
        <v/>
      </c>
    </row>
    <row r="1025" ht="17" customHeight="1">
      <c r="A1025" t="n">
        <v>21</v>
      </c>
      <c r="B1025" s="29">
        <f>IF(Setup!$K$23="","",Setup!$K$23)</f>
        <v/>
      </c>
      <c r="C1025" s="88" t="n"/>
      <c r="D1025" s="88" t="n"/>
      <c r="E1025" s="88" t="n"/>
      <c r="F1025" s="89" t="n"/>
      <c r="G1025" s="88" t="n"/>
      <c r="H1025" s="88" t="n"/>
      <c r="I1025" s="88" t="n"/>
      <c r="J1025" s="89" t="n"/>
      <c r="K1025" s="88" t="n"/>
      <c r="L1025" s="88" t="n"/>
      <c r="M1025" s="88" t="n"/>
      <c r="N1025" s="89" t="n"/>
      <c r="O1025" s="88" t="n"/>
      <c r="P1025" s="88" t="n"/>
      <c r="Q1025" s="88" t="n"/>
      <c r="R1025" s="89" t="n"/>
      <c r="S1025" s="88" t="n"/>
      <c r="T1025" s="88" t="n"/>
      <c r="U1025" s="88" t="n"/>
      <c r="V1025" s="89" t="n"/>
      <c r="W1025" s="88" t="n"/>
      <c r="X1025" s="89" t="n"/>
      <c r="Y1025" s="88" t="n"/>
      <c r="Z1025" s="89" t="n"/>
      <c r="AB1025" s="30">
        <f>IF($B1025="","",(COUNTIF(C1025:E1025,"?*")&lt;N(INDEX(Setup!$L$6:$L$23,18)))+(COUNTIF(G1025:I1025,"?*")&lt;N(INDEX(Setup!$L$6:$L$23,18)))+(COUNTIF(K1025:M1025,"?*")&lt;N(INDEX(Setup!$L$6:$L$23,18)))+(COUNTIF(O1025:Q1025,"?*")&lt;N(INDEX(Setup!$L$6:$L$23,18)))+(COUNTIF(S1025:U1025,"?*")&lt;N(INDEX(Setup!$L$6:$L$23,18)))+((W1025="")*(INDEX(Setup!$M$6:$M$23,18)="Y"))+((Y1025="")*(INDEX(Setup!$M$6:$M$23,18)="Y")))</f>
        <v/>
      </c>
      <c r="AC1025" s="91">
        <f>IF($B1025="","",IF(AB1025=0,"✓ covered","⚠ "&amp;AB1025&amp;IF(AB1025=1," gap"," gaps")))</f>
        <v/>
      </c>
    </row>
    <row r="1026" ht="18" customHeight="1">
      <c r="A1026" t="n">
        <v>21</v>
      </c>
      <c r="B1026" s="78" t="inlineStr">
        <is>
          <t>TEAM AVAILABILITY</t>
        </is>
      </c>
      <c r="C1026" s="92" t="inlineStr">
        <is>
          <t>Mon</t>
        </is>
      </c>
      <c r="D1026" s="93" t="n"/>
      <c r="E1026" s="93" t="n"/>
      <c r="F1026" s="94" t="n"/>
      <c r="G1026" s="92" t="inlineStr">
        <is>
          <t>Tue</t>
        </is>
      </c>
      <c r="H1026" s="93" t="n"/>
      <c r="I1026" s="93" t="n"/>
      <c r="J1026" s="94" t="n"/>
      <c r="K1026" s="92" t="inlineStr">
        <is>
          <t>Wed</t>
        </is>
      </c>
      <c r="L1026" s="93" t="n"/>
      <c r="M1026" s="93" t="n"/>
      <c r="N1026" s="94" t="n"/>
      <c r="O1026" s="92" t="inlineStr">
        <is>
          <t>Thu</t>
        </is>
      </c>
      <c r="P1026" s="93" t="n"/>
      <c r="Q1026" s="93" t="n"/>
      <c r="R1026" s="94" t="n"/>
      <c r="S1026" s="92" t="inlineStr">
        <is>
          <t>Fri</t>
        </is>
      </c>
      <c r="T1026" s="93" t="n"/>
      <c r="U1026" s="93" t="n"/>
      <c r="V1026" s="94" t="n"/>
      <c r="W1026" s="95" t="inlineStr">
        <is>
          <t>Sat</t>
        </is>
      </c>
      <c r="X1026" s="96" t="n"/>
      <c r="Y1026" s="95" t="inlineStr">
        <is>
          <t>Sun</t>
        </is>
      </c>
      <c r="Z1026" s="96" t="n"/>
      <c r="AB1026" s="97" t="inlineStr">
        <is>
          <t>Days rostered</t>
        </is>
      </c>
      <c r="AC1026" s="97" t="inlineStr">
        <is>
          <t>Conflicts</t>
        </is>
      </c>
    </row>
    <row r="1027" ht="15" customHeight="1">
      <c r="A1027" t="n">
        <v>21</v>
      </c>
      <c r="B1027" s="35">
        <f>IF(Setup!$B$6="","",Setup!$B$6)</f>
        <v/>
      </c>
      <c r="C1027" s="98" t="n"/>
      <c r="D1027" s="99" t="n"/>
      <c r="E1027" s="99" t="n"/>
      <c r="F1027" s="100" t="n"/>
      <c r="G1027" s="98" t="n"/>
      <c r="H1027" s="99" t="n"/>
      <c r="I1027" s="99" t="n"/>
      <c r="J1027" s="100" t="n"/>
      <c r="K1027" s="98" t="n"/>
      <c r="L1027" s="99" t="n"/>
      <c r="M1027" s="99" t="n"/>
      <c r="N1027" s="100" t="n"/>
      <c r="O1027" s="98" t="n"/>
      <c r="P1027" s="99" t="n"/>
      <c r="Q1027" s="99" t="n"/>
      <c r="R1027" s="100" t="n"/>
      <c r="S1027" s="98" t="n"/>
      <c r="T1027" s="99" t="n"/>
      <c r="U1027" s="99" t="n"/>
      <c r="V1027" s="100" t="n"/>
      <c r="W1027" s="98" t="n"/>
      <c r="X1027" s="100" t="n"/>
      <c r="Y1027" s="98" t="n"/>
      <c r="Z1027" s="100" t="n"/>
      <c r="AB1027" s="101">
        <f>IF($B1027="","",(COUNTIF(C1008:E1025,$B1027)+COUNTIF(C1008:E1025,$B1027&amp;" ~*")&gt;0)+(COUNTIF(G1008:I1025,$B1027)+COUNTIF(G1008:I1025,$B1027&amp;" ~*")&gt;0)+(COUNTIF(K1008:M1025,$B1027)+COUNTIF(K1008:M1025,$B1027&amp;" ~*")&gt;0)+(COUNTIF(O1008:Q1025,$B1027)+COUNTIF(O1008:Q1025,$B1027&amp;" ~*")&gt;0)+(COUNTIF(S1008:U1025,$B1027)+COUNTIF(S1008:U1025,$B1027&amp;" ~*")&gt;0)+(COUNTIF(W1008:W1025,$B1027)+COUNTIF(W1008:W1025,$B1027&amp;" ~*")&gt;0)+(COUNTIF(Y1008:Y1025,$B1027)+COUNTIF(Y1008:Y1025,$B1027&amp;" ~*")&gt;0))</f>
        <v/>
      </c>
      <c r="AC1027" s="36">
        <f>IF($B1027="","",(IFERROR(INDEX(Setup!$G$33:$G$40,MATCH(C1027,Setup!$B$33:$B$40,0)),0)=1)*(COUNTIF(C1008:E1025,$B1027)+COUNTIF(C1008:E1025,$B1027&amp;" ~*")&gt;0)+(IFERROR(INDEX(Setup!$G$33:$G$40,MATCH(G1027,Setup!$B$33:$B$40,0)),0)=1)*(COUNTIF(G1008:I1025,$B1027)+COUNTIF(G1008:I1025,$B1027&amp;" ~*")&gt;0)+(IFERROR(INDEX(Setup!$G$33:$G$40,MATCH(K1027,Setup!$B$33:$B$40,0)),0)=1)*(COUNTIF(K1008:M1025,$B1027)+COUNTIF(K1008:M1025,$B1027&amp;" ~*")&gt;0)+(IFERROR(INDEX(Setup!$G$33:$G$40,MATCH(O1027,Setup!$B$33:$B$40,0)),0)=1)*(COUNTIF(O1008:Q1025,$B1027)+COUNTIF(O1008:Q1025,$B1027&amp;" ~*")&gt;0)+(IFERROR(INDEX(Setup!$G$33:$G$40,MATCH(S1027,Setup!$B$33:$B$40,0)),0)=1)*(COUNTIF(S1008:U1025,$B1027)+COUNTIF(S1008:U1025,$B1027&amp;" ~*")&gt;0)+(IFERROR(INDEX(Setup!$G$33:$G$40,MATCH(W1027,Setup!$B$33:$B$40,0)),0)=1)*(COUNTIF(W1008:W1025,$B1027)+COUNTIF(W1008:W1025,$B1027&amp;" ~*")&gt;0)+(IFERROR(INDEX(Setup!$G$33:$G$40,MATCH(Y1027,Setup!$B$33:$B$40,0)),0)=1)*(COUNTIF(Y1008:Y1025,$B1027)+COUNTIF(Y1008:Y1025,$B1027&amp;" ~*")&gt;0))</f>
        <v/>
      </c>
    </row>
    <row r="1028" ht="15" customHeight="1">
      <c r="A1028" t="n">
        <v>21</v>
      </c>
      <c r="B1028" s="37">
        <f>IF(Setup!$B$7="","",Setup!$B$7)</f>
        <v/>
      </c>
      <c r="C1028" s="102" t="n"/>
      <c r="D1028" s="103" t="n"/>
      <c r="E1028" s="103" t="n"/>
      <c r="F1028" s="104" t="n"/>
      <c r="G1028" s="102" t="n"/>
      <c r="H1028" s="103" t="n"/>
      <c r="I1028" s="103" t="n"/>
      <c r="J1028" s="104" t="n"/>
      <c r="K1028" s="102" t="n"/>
      <c r="L1028" s="103" t="n"/>
      <c r="M1028" s="103" t="n"/>
      <c r="N1028" s="104" t="n"/>
      <c r="O1028" s="102" t="n"/>
      <c r="P1028" s="103" t="n"/>
      <c r="Q1028" s="103" t="n"/>
      <c r="R1028" s="104" t="n"/>
      <c r="S1028" s="102" t="n"/>
      <c r="T1028" s="103" t="n"/>
      <c r="U1028" s="103" t="n"/>
      <c r="V1028" s="104" t="n"/>
      <c r="W1028" s="102" t="n"/>
      <c r="X1028" s="104" t="n"/>
      <c r="Y1028" s="102" t="n"/>
      <c r="Z1028" s="104" t="n"/>
      <c r="AB1028" s="105">
        <f>IF($B1028="","",(COUNTIF(C1008:E1025,$B1028)+COUNTIF(C1008:E1025,$B1028&amp;" ~*")&gt;0)+(COUNTIF(G1008:I1025,$B1028)+COUNTIF(G1008:I1025,$B1028&amp;" ~*")&gt;0)+(COUNTIF(K1008:M1025,$B1028)+COUNTIF(K1008:M1025,$B1028&amp;" ~*")&gt;0)+(COUNTIF(O1008:Q1025,$B1028)+COUNTIF(O1008:Q1025,$B1028&amp;" ~*")&gt;0)+(COUNTIF(S1008:U1025,$B1028)+COUNTIF(S1008:U1025,$B1028&amp;" ~*")&gt;0)+(COUNTIF(W1008:W1025,$B1028)+COUNTIF(W1008:W1025,$B1028&amp;" ~*")&gt;0)+(COUNTIF(Y1008:Y1025,$B1028)+COUNTIF(Y1008:Y1025,$B1028&amp;" ~*")&gt;0))</f>
        <v/>
      </c>
      <c r="AC1028" s="38">
        <f>IF($B1028="","",(IFERROR(INDEX(Setup!$G$33:$G$40,MATCH(C1028,Setup!$B$33:$B$40,0)),0)=1)*(COUNTIF(C1008:E1025,$B1028)+COUNTIF(C1008:E1025,$B1028&amp;" ~*")&gt;0)+(IFERROR(INDEX(Setup!$G$33:$G$40,MATCH(G1028,Setup!$B$33:$B$40,0)),0)=1)*(COUNTIF(G1008:I1025,$B1028)+COUNTIF(G1008:I1025,$B1028&amp;" ~*")&gt;0)+(IFERROR(INDEX(Setup!$G$33:$G$40,MATCH(K1028,Setup!$B$33:$B$40,0)),0)=1)*(COUNTIF(K1008:M1025,$B1028)+COUNTIF(K1008:M1025,$B1028&amp;" ~*")&gt;0)+(IFERROR(INDEX(Setup!$G$33:$G$40,MATCH(O1028,Setup!$B$33:$B$40,0)),0)=1)*(COUNTIF(O1008:Q1025,$B1028)+COUNTIF(O1008:Q1025,$B1028&amp;" ~*")&gt;0)+(IFERROR(INDEX(Setup!$G$33:$G$40,MATCH(S1028,Setup!$B$33:$B$40,0)),0)=1)*(COUNTIF(S1008:U1025,$B1028)+COUNTIF(S1008:U1025,$B1028&amp;" ~*")&gt;0)+(IFERROR(INDEX(Setup!$G$33:$G$40,MATCH(W1028,Setup!$B$33:$B$40,0)),0)=1)*(COUNTIF(W1008:W1025,$B1028)+COUNTIF(W1008:W1025,$B1028&amp;" ~*")&gt;0)+(IFERROR(INDEX(Setup!$G$33:$G$40,MATCH(Y1028,Setup!$B$33:$B$40,0)),0)=1)*(COUNTIF(Y1008:Y1025,$B1028)+COUNTIF(Y1008:Y1025,$B1028&amp;" ~*")&gt;0))</f>
        <v/>
      </c>
    </row>
    <row r="1029" ht="15" customHeight="1">
      <c r="A1029" t="n">
        <v>21</v>
      </c>
      <c r="B1029" s="35">
        <f>IF(Setup!$B$8="","",Setup!$B$8)</f>
        <v/>
      </c>
      <c r="C1029" s="98" t="n"/>
      <c r="D1029" s="99" t="n"/>
      <c r="E1029" s="99" t="n"/>
      <c r="F1029" s="100" t="n"/>
      <c r="G1029" s="98" t="n"/>
      <c r="H1029" s="99" t="n"/>
      <c r="I1029" s="99" t="n"/>
      <c r="J1029" s="100" t="n"/>
      <c r="K1029" s="98" t="n"/>
      <c r="L1029" s="99" t="n"/>
      <c r="M1029" s="99" t="n"/>
      <c r="N1029" s="100" t="n"/>
      <c r="O1029" s="98" t="n"/>
      <c r="P1029" s="99" t="n"/>
      <c r="Q1029" s="99" t="n"/>
      <c r="R1029" s="100" t="n"/>
      <c r="S1029" s="98" t="n"/>
      <c r="T1029" s="99" t="n"/>
      <c r="U1029" s="99" t="n"/>
      <c r="V1029" s="100" t="n"/>
      <c r="W1029" s="98" t="n"/>
      <c r="X1029" s="100" t="n"/>
      <c r="Y1029" s="98" t="n"/>
      <c r="Z1029" s="100" t="n"/>
      <c r="AB1029" s="101">
        <f>IF($B1029="","",(COUNTIF(C1008:E1025,$B1029)+COUNTIF(C1008:E1025,$B1029&amp;" ~*")&gt;0)+(COUNTIF(G1008:I1025,$B1029)+COUNTIF(G1008:I1025,$B1029&amp;" ~*")&gt;0)+(COUNTIF(K1008:M1025,$B1029)+COUNTIF(K1008:M1025,$B1029&amp;" ~*")&gt;0)+(COUNTIF(O1008:Q1025,$B1029)+COUNTIF(O1008:Q1025,$B1029&amp;" ~*")&gt;0)+(COUNTIF(S1008:U1025,$B1029)+COUNTIF(S1008:U1025,$B1029&amp;" ~*")&gt;0)+(COUNTIF(W1008:W1025,$B1029)+COUNTIF(W1008:W1025,$B1029&amp;" ~*")&gt;0)+(COUNTIF(Y1008:Y1025,$B1029)+COUNTIF(Y1008:Y1025,$B1029&amp;" ~*")&gt;0))</f>
        <v/>
      </c>
      <c r="AC1029" s="36">
        <f>IF($B1029="","",(IFERROR(INDEX(Setup!$G$33:$G$40,MATCH(C1029,Setup!$B$33:$B$40,0)),0)=1)*(COUNTIF(C1008:E1025,$B1029)+COUNTIF(C1008:E1025,$B1029&amp;" ~*")&gt;0)+(IFERROR(INDEX(Setup!$G$33:$G$40,MATCH(G1029,Setup!$B$33:$B$40,0)),0)=1)*(COUNTIF(G1008:I1025,$B1029)+COUNTIF(G1008:I1025,$B1029&amp;" ~*")&gt;0)+(IFERROR(INDEX(Setup!$G$33:$G$40,MATCH(K1029,Setup!$B$33:$B$40,0)),0)=1)*(COUNTIF(K1008:M1025,$B1029)+COUNTIF(K1008:M1025,$B1029&amp;" ~*")&gt;0)+(IFERROR(INDEX(Setup!$G$33:$G$40,MATCH(O1029,Setup!$B$33:$B$40,0)),0)=1)*(COUNTIF(O1008:Q1025,$B1029)+COUNTIF(O1008:Q1025,$B1029&amp;" ~*")&gt;0)+(IFERROR(INDEX(Setup!$G$33:$G$40,MATCH(S1029,Setup!$B$33:$B$40,0)),0)=1)*(COUNTIF(S1008:U1025,$B1029)+COUNTIF(S1008:U1025,$B1029&amp;" ~*")&gt;0)+(IFERROR(INDEX(Setup!$G$33:$G$40,MATCH(W1029,Setup!$B$33:$B$40,0)),0)=1)*(COUNTIF(W1008:W1025,$B1029)+COUNTIF(W1008:W1025,$B1029&amp;" ~*")&gt;0)+(IFERROR(INDEX(Setup!$G$33:$G$40,MATCH(Y1029,Setup!$B$33:$B$40,0)),0)=1)*(COUNTIF(Y1008:Y1025,$B1029)+COUNTIF(Y1008:Y1025,$B1029&amp;" ~*")&gt;0))</f>
        <v/>
      </c>
    </row>
    <row r="1030" ht="15" customHeight="1">
      <c r="A1030" t="n">
        <v>21</v>
      </c>
      <c r="B1030" s="37">
        <f>IF(Setup!$B$9="","",Setup!$B$9)</f>
        <v/>
      </c>
      <c r="C1030" s="102" t="n"/>
      <c r="D1030" s="103" t="n"/>
      <c r="E1030" s="103" t="n"/>
      <c r="F1030" s="104" t="n"/>
      <c r="G1030" s="102" t="n"/>
      <c r="H1030" s="103" t="n"/>
      <c r="I1030" s="103" t="n"/>
      <c r="J1030" s="104" t="n"/>
      <c r="K1030" s="102" t="n"/>
      <c r="L1030" s="103" t="n"/>
      <c r="M1030" s="103" t="n"/>
      <c r="N1030" s="104" t="n"/>
      <c r="O1030" s="102" t="n"/>
      <c r="P1030" s="103" t="n"/>
      <c r="Q1030" s="103" t="n"/>
      <c r="R1030" s="104" t="n"/>
      <c r="S1030" s="102" t="n"/>
      <c r="T1030" s="103" t="n"/>
      <c r="U1030" s="103" t="n"/>
      <c r="V1030" s="104" t="n"/>
      <c r="W1030" s="102" t="n"/>
      <c r="X1030" s="104" t="n"/>
      <c r="Y1030" s="102" t="n"/>
      <c r="Z1030" s="104" t="n"/>
      <c r="AB1030" s="105">
        <f>IF($B1030="","",(COUNTIF(C1008:E1025,$B1030)+COUNTIF(C1008:E1025,$B1030&amp;" ~*")&gt;0)+(COUNTIF(G1008:I1025,$B1030)+COUNTIF(G1008:I1025,$B1030&amp;" ~*")&gt;0)+(COUNTIF(K1008:M1025,$B1030)+COUNTIF(K1008:M1025,$B1030&amp;" ~*")&gt;0)+(COUNTIF(O1008:Q1025,$B1030)+COUNTIF(O1008:Q1025,$B1030&amp;" ~*")&gt;0)+(COUNTIF(S1008:U1025,$B1030)+COUNTIF(S1008:U1025,$B1030&amp;" ~*")&gt;0)+(COUNTIF(W1008:W1025,$B1030)+COUNTIF(W1008:W1025,$B1030&amp;" ~*")&gt;0)+(COUNTIF(Y1008:Y1025,$B1030)+COUNTIF(Y1008:Y1025,$B1030&amp;" ~*")&gt;0))</f>
        <v/>
      </c>
      <c r="AC1030" s="38">
        <f>IF($B1030="","",(IFERROR(INDEX(Setup!$G$33:$G$40,MATCH(C1030,Setup!$B$33:$B$40,0)),0)=1)*(COUNTIF(C1008:E1025,$B1030)+COUNTIF(C1008:E1025,$B1030&amp;" ~*")&gt;0)+(IFERROR(INDEX(Setup!$G$33:$G$40,MATCH(G1030,Setup!$B$33:$B$40,0)),0)=1)*(COUNTIF(G1008:I1025,$B1030)+COUNTIF(G1008:I1025,$B1030&amp;" ~*")&gt;0)+(IFERROR(INDEX(Setup!$G$33:$G$40,MATCH(K1030,Setup!$B$33:$B$40,0)),0)=1)*(COUNTIF(K1008:M1025,$B1030)+COUNTIF(K1008:M1025,$B1030&amp;" ~*")&gt;0)+(IFERROR(INDEX(Setup!$G$33:$G$40,MATCH(O1030,Setup!$B$33:$B$40,0)),0)=1)*(COUNTIF(O1008:Q1025,$B1030)+COUNTIF(O1008:Q1025,$B1030&amp;" ~*")&gt;0)+(IFERROR(INDEX(Setup!$G$33:$G$40,MATCH(S1030,Setup!$B$33:$B$40,0)),0)=1)*(COUNTIF(S1008:U1025,$B1030)+COUNTIF(S1008:U1025,$B1030&amp;" ~*")&gt;0)+(IFERROR(INDEX(Setup!$G$33:$G$40,MATCH(W1030,Setup!$B$33:$B$40,0)),0)=1)*(COUNTIF(W1008:W1025,$B1030)+COUNTIF(W1008:W1025,$B1030&amp;" ~*")&gt;0)+(IFERROR(INDEX(Setup!$G$33:$G$40,MATCH(Y1030,Setup!$B$33:$B$40,0)),0)=1)*(COUNTIF(Y1008:Y1025,$B1030)+COUNTIF(Y1008:Y1025,$B1030&amp;" ~*")&gt;0))</f>
        <v/>
      </c>
    </row>
    <row r="1031" ht="15" customHeight="1">
      <c r="A1031" t="n">
        <v>21</v>
      </c>
      <c r="B1031" s="35">
        <f>IF(Setup!$B$10="","",Setup!$B$10)</f>
        <v/>
      </c>
      <c r="C1031" s="98" t="n"/>
      <c r="D1031" s="99" t="n"/>
      <c r="E1031" s="99" t="n"/>
      <c r="F1031" s="100" t="n"/>
      <c r="G1031" s="98" t="n"/>
      <c r="H1031" s="99" t="n"/>
      <c r="I1031" s="99" t="n"/>
      <c r="J1031" s="100" t="n"/>
      <c r="K1031" s="98" t="n"/>
      <c r="L1031" s="99" t="n"/>
      <c r="M1031" s="99" t="n"/>
      <c r="N1031" s="100" t="n"/>
      <c r="O1031" s="98" t="n"/>
      <c r="P1031" s="99" t="n"/>
      <c r="Q1031" s="99" t="n"/>
      <c r="R1031" s="100" t="n"/>
      <c r="S1031" s="98" t="n"/>
      <c r="T1031" s="99" t="n"/>
      <c r="U1031" s="99" t="n"/>
      <c r="V1031" s="100" t="n"/>
      <c r="W1031" s="98" t="n"/>
      <c r="X1031" s="100" t="n"/>
      <c r="Y1031" s="98" t="n"/>
      <c r="Z1031" s="100" t="n"/>
      <c r="AB1031" s="101">
        <f>IF($B1031="","",(COUNTIF(C1008:E1025,$B1031)+COUNTIF(C1008:E1025,$B1031&amp;" ~*")&gt;0)+(COUNTIF(G1008:I1025,$B1031)+COUNTIF(G1008:I1025,$B1031&amp;" ~*")&gt;0)+(COUNTIF(K1008:M1025,$B1031)+COUNTIF(K1008:M1025,$B1031&amp;" ~*")&gt;0)+(COUNTIF(O1008:Q1025,$B1031)+COUNTIF(O1008:Q1025,$B1031&amp;" ~*")&gt;0)+(COUNTIF(S1008:U1025,$B1031)+COUNTIF(S1008:U1025,$B1031&amp;" ~*")&gt;0)+(COUNTIF(W1008:W1025,$B1031)+COUNTIF(W1008:W1025,$B1031&amp;" ~*")&gt;0)+(COUNTIF(Y1008:Y1025,$B1031)+COUNTIF(Y1008:Y1025,$B1031&amp;" ~*")&gt;0))</f>
        <v/>
      </c>
      <c r="AC1031" s="36">
        <f>IF($B1031="","",(IFERROR(INDEX(Setup!$G$33:$G$40,MATCH(C1031,Setup!$B$33:$B$40,0)),0)=1)*(COUNTIF(C1008:E1025,$B1031)+COUNTIF(C1008:E1025,$B1031&amp;" ~*")&gt;0)+(IFERROR(INDEX(Setup!$G$33:$G$40,MATCH(G1031,Setup!$B$33:$B$40,0)),0)=1)*(COUNTIF(G1008:I1025,$B1031)+COUNTIF(G1008:I1025,$B1031&amp;" ~*")&gt;0)+(IFERROR(INDEX(Setup!$G$33:$G$40,MATCH(K1031,Setup!$B$33:$B$40,0)),0)=1)*(COUNTIF(K1008:M1025,$B1031)+COUNTIF(K1008:M1025,$B1031&amp;" ~*")&gt;0)+(IFERROR(INDEX(Setup!$G$33:$G$40,MATCH(O1031,Setup!$B$33:$B$40,0)),0)=1)*(COUNTIF(O1008:Q1025,$B1031)+COUNTIF(O1008:Q1025,$B1031&amp;" ~*")&gt;0)+(IFERROR(INDEX(Setup!$G$33:$G$40,MATCH(S1031,Setup!$B$33:$B$40,0)),0)=1)*(COUNTIF(S1008:U1025,$B1031)+COUNTIF(S1008:U1025,$B1031&amp;" ~*")&gt;0)+(IFERROR(INDEX(Setup!$G$33:$G$40,MATCH(W1031,Setup!$B$33:$B$40,0)),0)=1)*(COUNTIF(W1008:W1025,$B1031)+COUNTIF(W1008:W1025,$B1031&amp;" ~*")&gt;0)+(IFERROR(INDEX(Setup!$G$33:$G$40,MATCH(Y1031,Setup!$B$33:$B$40,0)),0)=1)*(COUNTIF(Y1008:Y1025,$B1031)+COUNTIF(Y1008:Y1025,$B1031&amp;" ~*")&gt;0))</f>
        <v/>
      </c>
    </row>
    <row r="1032" ht="15" customHeight="1">
      <c r="A1032" t="n">
        <v>21</v>
      </c>
      <c r="B1032" s="37">
        <f>IF(Setup!$B$11="","",Setup!$B$11)</f>
        <v/>
      </c>
      <c r="C1032" s="102" t="n"/>
      <c r="D1032" s="103" t="n"/>
      <c r="E1032" s="103" t="n"/>
      <c r="F1032" s="104" t="n"/>
      <c r="G1032" s="102" t="n"/>
      <c r="H1032" s="103" t="n"/>
      <c r="I1032" s="103" t="n"/>
      <c r="J1032" s="104" t="n"/>
      <c r="K1032" s="102" t="n"/>
      <c r="L1032" s="103" t="n"/>
      <c r="M1032" s="103" t="n"/>
      <c r="N1032" s="104" t="n"/>
      <c r="O1032" s="102" t="n"/>
      <c r="P1032" s="103" t="n"/>
      <c r="Q1032" s="103" t="n"/>
      <c r="R1032" s="104" t="n"/>
      <c r="S1032" s="102" t="n"/>
      <c r="T1032" s="103" t="n"/>
      <c r="U1032" s="103" t="n"/>
      <c r="V1032" s="104" t="n"/>
      <c r="W1032" s="102" t="n"/>
      <c r="X1032" s="104" t="n"/>
      <c r="Y1032" s="102" t="n"/>
      <c r="Z1032" s="104" t="n"/>
      <c r="AB1032" s="105">
        <f>IF($B1032="","",(COUNTIF(C1008:E1025,$B1032)+COUNTIF(C1008:E1025,$B1032&amp;" ~*")&gt;0)+(COUNTIF(G1008:I1025,$B1032)+COUNTIF(G1008:I1025,$B1032&amp;" ~*")&gt;0)+(COUNTIF(K1008:M1025,$B1032)+COUNTIF(K1008:M1025,$B1032&amp;" ~*")&gt;0)+(COUNTIF(O1008:Q1025,$B1032)+COUNTIF(O1008:Q1025,$B1032&amp;" ~*")&gt;0)+(COUNTIF(S1008:U1025,$B1032)+COUNTIF(S1008:U1025,$B1032&amp;" ~*")&gt;0)+(COUNTIF(W1008:W1025,$B1032)+COUNTIF(W1008:W1025,$B1032&amp;" ~*")&gt;0)+(COUNTIF(Y1008:Y1025,$B1032)+COUNTIF(Y1008:Y1025,$B1032&amp;" ~*")&gt;0))</f>
        <v/>
      </c>
      <c r="AC1032" s="38">
        <f>IF($B1032="","",(IFERROR(INDEX(Setup!$G$33:$G$40,MATCH(C1032,Setup!$B$33:$B$40,0)),0)=1)*(COUNTIF(C1008:E1025,$B1032)+COUNTIF(C1008:E1025,$B1032&amp;" ~*")&gt;0)+(IFERROR(INDEX(Setup!$G$33:$G$40,MATCH(G1032,Setup!$B$33:$B$40,0)),0)=1)*(COUNTIF(G1008:I1025,$B1032)+COUNTIF(G1008:I1025,$B1032&amp;" ~*")&gt;0)+(IFERROR(INDEX(Setup!$G$33:$G$40,MATCH(K1032,Setup!$B$33:$B$40,0)),0)=1)*(COUNTIF(K1008:M1025,$B1032)+COUNTIF(K1008:M1025,$B1032&amp;" ~*")&gt;0)+(IFERROR(INDEX(Setup!$G$33:$G$40,MATCH(O1032,Setup!$B$33:$B$40,0)),0)=1)*(COUNTIF(O1008:Q1025,$B1032)+COUNTIF(O1008:Q1025,$B1032&amp;" ~*")&gt;0)+(IFERROR(INDEX(Setup!$G$33:$G$40,MATCH(S1032,Setup!$B$33:$B$40,0)),0)=1)*(COUNTIF(S1008:U1025,$B1032)+COUNTIF(S1008:U1025,$B1032&amp;" ~*")&gt;0)+(IFERROR(INDEX(Setup!$G$33:$G$40,MATCH(W1032,Setup!$B$33:$B$40,0)),0)=1)*(COUNTIF(W1008:W1025,$B1032)+COUNTIF(W1008:W1025,$B1032&amp;" ~*")&gt;0)+(IFERROR(INDEX(Setup!$G$33:$G$40,MATCH(Y1032,Setup!$B$33:$B$40,0)),0)=1)*(COUNTIF(Y1008:Y1025,$B1032)+COUNTIF(Y1008:Y1025,$B1032&amp;" ~*")&gt;0))</f>
        <v/>
      </c>
    </row>
    <row r="1033" ht="15" customHeight="1">
      <c r="A1033" t="n">
        <v>21</v>
      </c>
      <c r="B1033" s="35">
        <f>IF(Setup!$B$12="","",Setup!$B$12)</f>
        <v/>
      </c>
      <c r="C1033" s="98" t="n"/>
      <c r="D1033" s="99" t="n"/>
      <c r="E1033" s="99" t="n"/>
      <c r="F1033" s="100" t="n"/>
      <c r="G1033" s="98" t="n"/>
      <c r="H1033" s="99" t="n"/>
      <c r="I1033" s="99" t="n"/>
      <c r="J1033" s="100" t="n"/>
      <c r="K1033" s="98" t="n"/>
      <c r="L1033" s="99" t="n"/>
      <c r="M1033" s="99" t="n"/>
      <c r="N1033" s="100" t="n"/>
      <c r="O1033" s="98" t="n"/>
      <c r="P1033" s="99" t="n"/>
      <c r="Q1033" s="99" t="n"/>
      <c r="R1033" s="100" t="n"/>
      <c r="S1033" s="98" t="inlineStr">
        <is>
          <t>AL</t>
        </is>
      </c>
      <c r="T1033" s="99" t="n"/>
      <c r="U1033" s="99" t="n"/>
      <c r="V1033" s="100" t="n"/>
      <c r="W1033" s="98" t="n"/>
      <c r="X1033" s="100" t="n"/>
      <c r="Y1033" s="98" t="n"/>
      <c r="Z1033" s="100" t="n"/>
      <c r="AB1033" s="101">
        <f>IF($B1033="","",(COUNTIF(C1008:E1025,$B1033)+COUNTIF(C1008:E1025,$B1033&amp;" ~*")&gt;0)+(COUNTIF(G1008:I1025,$B1033)+COUNTIF(G1008:I1025,$B1033&amp;" ~*")&gt;0)+(COUNTIF(K1008:M1025,$B1033)+COUNTIF(K1008:M1025,$B1033&amp;" ~*")&gt;0)+(COUNTIF(O1008:Q1025,$B1033)+COUNTIF(O1008:Q1025,$B1033&amp;" ~*")&gt;0)+(COUNTIF(S1008:U1025,$B1033)+COUNTIF(S1008:U1025,$B1033&amp;" ~*")&gt;0)+(COUNTIF(W1008:W1025,$B1033)+COUNTIF(W1008:W1025,$B1033&amp;" ~*")&gt;0)+(COUNTIF(Y1008:Y1025,$B1033)+COUNTIF(Y1008:Y1025,$B1033&amp;" ~*")&gt;0))</f>
        <v/>
      </c>
      <c r="AC1033" s="36">
        <f>IF($B1033="","",(IFERROR(INDEX(Setup!$G$33:$G$40,MATCH(C1033,Setup!$B$33:$B$40,0)),0)=1)*(COUNTIF(C1008:E1025,$B1033)+COUNTIF(C1008:E1025,$B1033&amp;" ~*")&gt;0)+(IFERROR(INDEX(Setup!$G$33:$G$40,MATCH(G1033,Setup!$B$33:$B$40,0)),0)=1)*(COUNTIF(G1008:I1025,$B1033)+COUNTIF(G1008:I1025,$B1033&amp;" ~*")&gt;0)+(IFERROR(INDEX(Setup!$G$33:$G$40,MATCH(K1033,Setup!$B$33:$B$40,0)),0)=1)*(COUNTIF(K1008:M1025,$B1033)+COUNTIF(K1008:M1025,$B1033&amp;" ~*")&gt;0)+(IFERROR(INDEX(Setup!$G$33:$G$40,MATCH(O1033,Setup!$B$33:$B$40,0)),0)=1)*(COUNTIF(O1008:Q1025,$B1033)+COUNTIF(O1008:Q1025,$B1033&amp;" ~*")&gt;0)+(IFERROR(INDEX(Setup!$G$33:$G$40,MATCH(S1033,Setup!$B$33:$B$40,0)),0)=1)*(COUNTIF(S1008:U1025,$B1033)+COUNTIF(S1008:U1025,$B1033&amp;" ~*")&gt;0)+(IFERROR(INDEX(Setup!$G$33:$G$40,MATCH(W1033,Setup!$B$33:$B$40,0)),0)=1)*(COUNTIF(W1008:W1025,$B1033)+COUNTIF(W1008:W1025,$B1033&amp;" ~*")&gt;0)+(IFERROR(INDEX(Setup!$G$33:$G$40,MATCH(Y1033,Setup!$B$33:$B$40,0)),0)=1)*(COUNTIF(Y1008:Y1025,$B1033)+COUNTIF(Y1008:Y1025,$B1033&amp;" ~*")&gt;0))</f>
        <v/>
      </c>
    </row>
    <row r="1034" ht="15" customHeight="1">
      <c r="A1034" t="n">
        <v>21</v>
      </c>
      <c r="B1034" s="37">
        <f>IF(Setup!$B$13="","",Setup!$B$13)</f>
        <v/>
      </c>
      <c r="C1034" s="102" t="n"/>
      <c r="D1034" s="103" t="n"/>
      <c r="E1034" s="103" t="n"/>
      <c r="F1034" s="104" t="n"/>
      <c r="G1034" s="102" t="n"/>
      <c r="H1034" s="103" t="n"/>
      <c r="I1034" s="103" t="n"/>
      <c r="J1034" s="104" t="n"/>
      <c r="K1034" s="102" t="n"/>
      <c r="L1034" s="103" t="n"/>
      <c r="M1034" s="103" t="n"/>
      <c r="N1034" s="104" t="n"/>
      <c r="O1034" s="102" t="n"/>
      <c r="P1034" s="103" t="n"/>
      <c r="Q1034" s="103" t="n"/>
      <c r="R1034" s="104" t="n"/>
      <c r="S1034" s="102" t="n"/>
      <c r="T1034" s="103" t="n"/>
      <c r="U1034" s="103" t="n"/>
      <c r="V1034" s="104" t="n"/>
      <c r="W1034" s="102" t="n"/>
      <c r="X1034" s="104" t="n"/>
      <c r="Y1034" s="102" t="n"/>
      <c r="Z1034" s="104" t="n"/>
      <c r="AB1034" s="105">
        <f>IF($B1034="","",(COUNTIF(C1008:E1025,$B1034)+COUNTIF(C1008:E1025,$B1034&amp;" ~*")&gt;0)+(COUNTIF(G1008:I1025,$B1034)+COUNTIF(G1008:I1025,$B1034&amp;" ~*")&gt;0)+(COUNTIF(K1008:M1025,$B1034)+COUNTIF(K1008:M1025,$B1034&amp;" ~*")&gt;0)+(COUNTIF(O1008:Q1025,$B1034)+COUNTIF(O1008:Q1025,$B1034&amp;" ~*")&gt;0)+(COUNTIF(S1008:U1025,$B1034)+COUNTIF(S1008:U1025,$B1034&amp;" ~*")&gt;0)+(COUNTIF(W1008:W1025,$B1034)+COUNTIF(W1008:W1025,$B1034&amp;" ~*")&gt;0)+(COUNTIF(Y1008:Y1025,$B1034)+COUNTIF(Y1008:Y1025,$B1034&amp;" ~*")&gt;0))</f>
        <v/>
      </c>
      <c r="AC1034" s="38">
        <f>IF($B1034="","",(IFERROR(INDEX(Setup!$G$33:$G$40,MATCH(C1034,Setup!$B$33:$B$40,0)),0)=1)*(COUNTIF(C1008:E1025,$B1034)+COUNTIF(C1008:E1025,$B1034&amp;" ~*")&gt;0)+(IFERROR(INDEX(Setup!$G$33:$G$40,MATCH(G1034,Setup!$B$33:$B$40,0)),0)=1)*(COUNTIF(G1008:I1025,$B1034)+COUNTIF(G1008:I1025,$B1034&amp;" ~*")&gt;0)+(IFERROR(INDEX(Setup!$G$33:$G$40,MATCH(K1034,Setup!$B$33:$B$40,0)),0)=1)*(COUNTIF(K1008:M1025,$B1034)+COUNTIF(K1008:M1025,$B1034&amp;" ~*")&gt;0)+(IFERROR(INDEX(Setup!$G$33:$G$40,MATCH(O1034,Setup!$B$33:$B$40,0)),0)=1)*(COUNTIF(O1008:Q1025,$B1034)+COUNTIF(O1008:Q1025,$B1034&amp;" ~*")&gt;0)+(IFERROR(INDEX(Setup!$G$33:$G$40,MATCH(S1034,Setup!$B$33:$B$40,0)),0)=1)*(COUNTIF(S1008:U1025,$B1034)+COUNTIF(S1008:U1025,$B1034&amp;" ~*")&gt;0)+(IFERROR(INDEX(Setup!$G$33:$G$40,MATCH(W1034,Setup!$B$33:$B$40,0)),0)=1)*(COUNTIF(W1008:W1025,$B1034)+COUNTIF(W1008:W1025,$B1034&amp;" ~*")&gt;0)+(IFERROR(INDEX(Setup!$G$33:$G$40,MATCH(Y1034,Setup!$B$33:$B$40,0)),0)=1)*(COUNTIF(Y1008:Y1025,$B1034)+COUNTIF(Y1008:Y1025,$B1034&amp;" ~*")&gt;0))</f>
        <v/>
      </c>
    </row>
    <row r="1035" ht="15" customHeight="1">
      <c r="A1035" t="n">
        <v>21</v>
      </c>
      <c r="B1035" s="35">
        <f>IF(Setup!$B$14="","",Setup!$B$14)</f>
        <v/>
      </c>
      <c r="C1035" s="98" t="n"/>
      <c r="D1035" s="99" t="n"/>
      <c r="E1035" s="99" t="n"/>
      <c r="F1035" s="100" t="n"/>
      <c r="G1035" s="98" t="n"/>
      <c r="H1035" s="99" t="n"/>
      <c r="I1035" s="99" t="n"/>
      <c r="J1035" s="100" t="n"/>
      <c r="K1035" s="98" t="n"/>
      <c r="L1035" s="99" t="n"/>
      <c r="M1035" s="99" t="n"/>
      <c r="N1035" s="100" t="n"/>
      <c r="O1035" s="98" t="n"/>
      <c r="P1035" s="99" t="n"/>
      <c r="Q1035" s="99" t="n"/>
      <c r="R1035" s="100" t="n"/>
      <c r="S1035" s="98" t="n"/>
      <c r="T1035" s="99" t="n"/>
      <c r="U1035" s="99" t="n"/>
      <c r="V1035" s="100" t="n"/>
      <c r="W1035" s="98" t="n"/>
      <c r="X1035" s="100" t="n"/>
      <c r="Y1035" s="98" t="n"/>
      <c r="Z1035" s="100" t="n"/>
      <c r="AB1035" s="101">
        <f>IF($B1035="","",(COUNTIF(C1008:E1025,$B1035)+COUNTIF(C1008:E1025,$B1035&amp;" ~*")&gt;0)+(COUNTIF(G1008:I1025,$B1035)+COUNTIF(G1008:I1025,$B1035&amp;" ~*")&gt;0)+(COUNTIF(K1008:M1025,$B1035)+COUNTIF(K1008:M1025,$B1035&amp;" ~*")&gt;0)+(COUNTIF(O1008:Q1025,$B1035)+COUNTIF(O1008:Q1025,$B1035&amp;" ~*")&gt;0)+(COUNTIF(S1008:U1025,$B1035)+COUNTIF(S1008:U1025,$B1035&amp;" ~*")&gt;0)+(COUNTIF(W1008:W1025,$B1035)+COUNTIF(W1008:W1025,$B1035&amp;" ~*")&gt;0)+(COUNTIF(Y1008:Y1025,$B1035)+COUNTIF(Y1008:Y1025,$B1035&amp;" ~*")&gt;0))</f>
        <v/>
      </c>
      <c r="AC1035" s="36">
        <f>IF($B1035="","",(IFERROR(INDEX(Setup!$G$33:$G$40,MATCH(C1035,Setup!$B$33:$B$40,0)),0)=1)*(COUNTIF(C1008:E1025,$B1035)+COUNTIF(C1008:E1025,$B1035&amp;" ~*")&gt;0)+(IFERROR(INDEX(Setup!$G$33:$G$40,MATCH(G1035,Setup!$B$33:$B$40,0)),0)=1)*(COUNTIF(G1008:I1025,$B1035)+COUNTIF(G1008:I1025,$B1035&amp;" ~*")&gt;0)+(IFERROR(INDEX(Setup!$G$33:$G$40,MATCH(K1035,Setup!$B$33:$B$40,0)),0)=1)*(COUNTIF(K1008:M1025,$B1035)+COUNTIF(K1008:M1025,$B1035&amp;" ~*")&gt;0)+(IFERROR(INDEX(Setup!$G$33:$G$40,MATCH(O1035,Setup!$B$33:$B$40,0)),0)=1)*(COUNTIF(O1008:Q1025,$B1035)+COUNTIF(O1008:Q1025,$B1035&amp;" ~*")&gt;0)+(IFERROR(INDEX(Setup!$G$33:$G$40,MATCH(S1035,Setup!$B$33:$B$40,0)),0)=1)*(COUNTIF(S1008:U1025,$B1035)+COUNTIF(S1008:U1025,$B1035&amp;" ~*")&gt;0)+(IFERROR(INDEX(Setup!$G$33:$G$40,MATCH(W1035,Setup!$B$33:$B$40,0)),0)=1)*(COUNTIF(W1008:W1025,$B1035)+COUNTIF(W1008:W1025,$B1035&amp;" ~*")&gt;0)+(IFERROR(INDEX(Setup!$G$33:$G$40,MATCH(Y1035,Setup!$B$33:$B$40,0)),0)=1)*(COUNTIF(Y1008:Y1025,$B1035)+COUNTIF(Y1008:Y1025,$B1035&amp;" ~*")&gt;0))</f>
        <v/>
      </c>
    </row>
    <row r="1036" ht="15" customHeight="1">
      <c r="A1036" t="n">
        <v>21</v>
      </c>
      <c r="B1036" s="37">
        <f>IF(Setup!$B$15="","",Setup!$B$15)</f>
        <v/>
      </c>
      <c r="C1036" s="102" t="n"/>
      <c r="D1036" s="103" t="n"/>
      <c r="E1036" s="103" t="n"/>
      <c r="F1036" s="104" t="n"/>
      <c r="G1036" s="102" t="n"/>
      <c r="H1036" s="103" t="n"/>
      <c r="I1036" s="103" t="n"/>
      <c r="J1036" s="104" t="n"/>
      <c r="K1036" s="102" t="n"/>
      <c r="L1036" s="103" t="n"/>
      <c r="M1036" s="103" t="n"/>
      <c r="N1036" s="104" t="n"/>
      <c r="O1036" s="102" t="inlineStr">
        <is>
          <t>AL</t>
        </is>
      </c>
      <c r="P1036" s="103" t="n"/>
      <c r="Q1036" s="103" t="n"/>
      <c r="R1036" s="104" t="n"/>
      <c r="S1036" s="102" t="inlineStr">
        <is>
          <t>AL</t>
        </is>
      </c>
      <c r="T1036" s="103" t="n"/>
      <c r="U1036" s="103" t="n"/>
      <c r="V1036" s="104" t="n"/>
      <c r="W1036" s="102" t="n"/>
      <c r="X1036" s="104" t="n"/>
      <c r="Y1036" s="102" t="n"/>
      <c r="Z1036" s="104" t="n"/>
      <c r="AB1036" s="105">
        <f>IF($B1036="","",(COUNTIF(C1008:E1025,$B1036)+COUNTIF(C1008:E1025,$B1036&amp;" ~*")&gt;0)+(COUNTIF(G1008:I1025,$B1036)+COUNTIF(G1008:I1025,$B1036&amp;" ~*")&gt;0)+(COUNTIF(K1008:M1025,$B1036)+COUNTIF(K1008:M1025,$B1036&amp;" ~*")&gt;0)+(COUNTIF(O1008:Q1025,$B1036)+COUNTIF(O1008:Q1025,$B1036&amp;" ~*")&gt;0)+(COUNTIF(S1008:U1025,$B1036)+COUNTIF(S1008:U1025,$B1036&amp;" ~*")&gt;0)+(COUNTIF(W1008:W1025,$B1036)+COUNTIF(W1008:W1025,$B1036&amp;" ~*")&gt;0)+(COUNTIF(Y1008:Y1025,$B1036)+COUNTIF(Y1008:Y1025,$B1036&amp;" ~*")&gt;0))</f>
        <v/>
      </c>
      <c r="AC1036" s="38">
        <f>IF($B1036="","",(IFERROR(INDEX(Setup!$G$33:$G$40,MATCH(C1036,Setup!$B$33:$B$40,0)),0)=1)*(COUNTIF(C1008:E1025,$B1036)+COUNTIF(C1008:E1025,$B1036&amp;" ~*")&gt;0)+(IFERROR(INDEX(Setup!$G$33:$G$40,MATCH(G1036,Setup!$B$33:$B$40,0)),0)=1)*(COUNTIF(G1008:I1025,$B1036)+COUNTIF(G1008:I1025,$B1036&amp;" ~*")&gt;0)+(IFERROR(INDEX(Setup!$G$33:$G$40,MATCH(K1036,Setup!$B$33:$B$40,0)),0)=1)*(COUNTIF(K1008:M1025,$B1036)+COUNTIF(K1008:M1025,$B1036&amp;" ~*")&gt;0)+(IFERROR(INDEX(Setup!$G$33:$G$40,MATCH(O1036,Setup!$B$33:$B$40,0)),0)=1)*(COUNTIF(O1008:Q1025,$B1036)+COUNTIF(O1008:Q1025,$B1036&amp;" ~*")&gt;0)+(IFERROR(INDEX(Setup!$G$33:$G$40,MATCH(S1036,Setup!$B$33:$B$40,0)),0)=1)*(COUNTIF(S1008:U1025,$B1036)+COUNTIF(S1008:U1025,$B1036&amp;" ~*")&gt;0)+(IFERROR(INDEX(Setup!$G$33:$G$40,MATCH(W1036,Setup!$B$33:$B$40,0)),0)=1)*(COUNTIF(W1008:W1025,$B1036)+COUNTIF(W1008:W1025,$B1036&amp;" ~*")&gt;0)+(IFERROR(INDEX(Setup!$G$33:$G$40,MATCH(Y1036,Setup!$B$33:$B$40,0)),0)=1)*(COUNTIF(Y1008:Y1025,$B1036)+COUNTIF(Y1008:Y1025,$B1036&amp;" ~*")&gt;0))</f>
        <v/>
      </c>
    </row>
    <row r="1037" ht="15" customHeight="1">
      <c r="A1037" t="n">
        <v>21</v>
      </c>
      <c r="B1037" s="35">
        <f>IF(Setup!$B$16="","",Setup!$B$16)</f>
        <v/>
      </c>
      <c r="C1037" s="98" t="n"/>
      <c r="D1037" s="99" t="n"/>
      <c r="E1037" s="99" t="n"/>
      <c r="F1037" s="100" t="n"/>
      <c r="G1037" s="98" t="n"/>
      <c r="H1037" s="99" t="n"/>
      <c r="I1037" s="99" t="n"/>
      <c r="J1037" s="100" t="n"/>
      <c r="K1037" s="98" t="n"/>
      <c r="L1037" s="99" t="n"/>
      <c r="M1037" s="99" t="n"/>
      <c r="N1037" s="100" t="n"/>
      <c r="O1037" s="98" t="n"/>
      <c r="P1037" s="99" t="n"/>
      <c r="Q1037" s="99" t="n"/>
      <c r="R1037" s="100" t="n"/>
      <c r="S1037" s="98" t="n"/>
      <c r="T1037" s="99" t="n"/>
      <c r="U1037" s="99" t="n"/>
      <c r="V1037" s="100" t="n"/>
      <c r="W1037" s="98" t="n"/>
      <c r="X1037" s="100" t="n"/>
      <c r="Y1037" s="98" t="n"/>
      <c r="Z1037" s="100" t="n"/>
      <c r="AB1037" s="101">
        <f>IF($B1037="","",(COUNTIF(C1008:E1025,$B1037)+COUNTIF(C1008:E1025,$B1037&amp;" ~*")&gt;0)+(COUNTIF(G1008:I1025,$B1037)+COUNTIF(G1008:I1025,$B1037&amp;" ~*")&gt;0)+(COUNTIF(K1008:M1025,$B1037)+COUNTIF(K1008:M1025,$B1037&amp;" ~*")&gt;0)+(COUNTIF(O1008:Q1025,$B1037)+COUNTIF(O1008:Q1025,$B1037&amp;" ~*")&gt;0)+(COUNTIF(S1008:U1025,$B1037)+COUNTIF(S1008:U1025,$B1037&amp;" ~*")&gt;0)+(COUNTIF(W1008:W1025,$B1037)+COUNTIF(W1008:W1025,$B1037&amp;" ~*")&gt;0)+(COUNTIF(Y1008:Y1025,$B1037)+COUNTIF(Y1008:Y1025,$B1037&amp;" ~*")&gt;0))</f>
        <v/>
      </c>
      <c r="AC1037" s="36">
        <f>IF($B1037="","",(IFERROR(INDEX(Setup!$G$33:$G$40,MATCH(C1037,Setup!$B$33:$B$40,0)),0)=1)*(COUNTIF(C1008:E1025,$B1037)+COUNTIF(C1008:E1025,$B1037&amp;" ~*")&gt;0)+(IFERROR(INDEX(Setup!$G$33:$G$40,MATCH(G1037,Setup!$B$33:$B$40,0)),0)=1)*(COUNTIF(G1008:I1025,$B1037)+COUNTIF(G1008:I1025,$B1037&amp;" ~*")&gt;0)+(IFERROR(INDEX(Setup!$G$33:$G$40,MATCH(K1037,Setup!$B$33:$B$40,0)),0)=1)*(COUNTIF(K1008:M1025,$B1037)+COUNTIF(K1008:M1025,$B1037&amp;" ~*")&gt;0)+(IFERROR(INDEX(Setup!$G$33:$G$40,MATCH(O1037,Setup!$B$33:$B$40,0)),0)=1)*(COUNTIF(O1008:Q1025,$B1037)+COUNTIF(O1008:Q1025,$B1037&amp;" ~*")&gt;0)+(IFERROR(INDEX(Setup!$G$33:$G$40,MATCH(S1037,Setup!$B$33:$B$40,0)),0)=1)*(COUNTIF(S1008:U1025,$B1037)+COUNTIF(S1008:U1025,$B1037&amp;" ~*")&gt;0)+(IFERROR(INDEX(Setup!$G$33:$G$40,MATCH(W1037,Setup!$B$33:$B$40,0)),0)=1)*(COUNTIF(W1008:W1025,$B1037)+COUNTIF(W1008:W1025,$B1037&amp;" ~*")&gt;0)+(IFERROR(INDEX(Setup!$G$33:$G$40,MATCH(Y1037,Setup!$B$33:$B$40,0)),0)=1)*(COUNTIF(Y1008:Y1025,$B1037)+COUNTIF(Y1008:Y1025,$B1037&amp;" ~*")&gt;0))</f>
        <v/>
      </c>
    </row>
    <row r="1038" ht="15" customHeight="1">
      <c r="A1038" t="n">
        <v>21</v>
      </c>
      <c r="B1038" s="37">
        <f>IF(Setup!$B$17="","",Setup!$B$17)</f>
        <v/>
      </c>
      <c r="C1038" s="102" t="n"/>
      <c r="D1038" s="103" t="n"/>
      <c r="E1038" s="103" t="n"/>
      <c r="F1038" s="104" t="n"/>
      <c r="G1038" s="102" t="n"/>
      <c r="H1038" s="103" t="n"/>
      <c r="I1038" s="103" t="n"/>
      <c r="J1038" s="104" t="n"/>
      <c r="K1038" s="102" t="n"/>
      <c r="L1038" s="103" t="n"/>
      <c r="M1038" s="103" t="n"/>
      <c r="N1038" s="104" t="n"/>
      <c r="O1038" s="102" t="n"/>
      <c r="P1038" s="103" t="n"/>
      <c r="Q1038" s="103" t="n"/>
      <c r="R1038" s="104" t="n"/>
      <c r="S1038" s="102" t="n"/>
      <c r="T1038" s="103" t="n"/>
      <c r="U1038" s="103" t="n"/>
      <c r="V1038" s="104" t="n"/>
      <c r="W1038" s="102" t="n"/>
      <c r="X1038" s="104" t="n"/>
      <c r="Y1038" s="102" t="n"/>
      <c r="Z1038" s="104" t="n"/>
      <c r="AB1038" s="105">
        <f>IF($B1038="","",(COUNTIF(C1008:E1025,$B1038)+COUNTIF(C1008:E1025,$B1038&amp;" ~*")&gt;0)+(COUNTIF(G1008:I1025,$B1038)+COUNTIF(G1008:I1025,$B1038&amp;" ~*")&gt;0)+(COUNTIF(K1008:M1025,$B1038)+COUNTIF(K1008:M1025,$B1038&amp;" ~*")&gt;0)+(COUNTIF(O1008:Q1025,$B1038)+COUNTIF(O1008:Q1025,$B1038&amp;" ~*")&gt;0)+(COUNTIF(S1008:U1025,$B1038)+COUNTIF(S1008:U1025,$B1038&amp;" ~*")&gt;0)+(COUNTIF(W1008:W1025,$B1038)+COUNTIF(W1008:W1025,$B1038&amp;" ~*")&gt;0)+(COUNTIF(Y1008:Y1025,$B1038)+COUNTIF(Y1008:Y1025,$B1038&amp;" ~*")&gt;0))</f>
        <v/>
      </c>
      <c r="AC1038" s="38">
        <f>IF($B1038="","",(IFERROR(INDEX(Setup!$G$33:$G$40,MATCH(C1038,Setup!$B$33:$B$40,0)),0)=1)*(COUNTIF(C1008:E1025,$B1038)+COUNTIF(C1008:E1025,$B1038&amp;" ~*")&gt;0)+(IFERROR(INDEX(Setup!$G$33:$G$40,MATCH(G1038,Setup!$B$33:$B$40,0)),0)=1)*(COUNTIF(G1008:I1025,$B1038)+COUNTIF(G1008:I1025,$B1038&amp;" ~*")&gt;0)+(IFERROR(INDEX(Setup!$G$33:$G$40,MATCH(K1038,Setup!$B$33:$B$40,0)),0)=1)*(COUNTIF(K1008:M1025,$B1038)+COUNTIF(K1008:M1025,$B1038&amp;" ~*")&gt;0)+(IFERROR(INDEX(Setup!$G$33:$G$40,MATCH(O1038,Setup!$B$33:$B$40,0)),0)=1)*(COUNTIF(O1008:Q1025,$B1038)+COUNTIF(O1008:Q1025,$B1038&amp;" ~*")&gt;0)+(IFERROR(INDEX(Setup!$G$33:$G$40,MATCH(S1038,Setup!$B$33:$B$40,0)),0)=1)*(COUNTIF(S1008:U1025,$B1038)+COUNTIF(S1008:U1025,$B1038&amp;" ~*")&gt;0)+(IFERROR(INDEX(Setup!$G$33:$G$40,MATCH(W1038,Setup!$B$33:$B$40,0)),0)=1)*(COUNTIF(W1008:W1025,$B1038)+COUNTIF(W1008:W1025,$B1038&amp;" ~*")&gt;0)+(IFERROR(INDEX(Setup!$G$33:$G$40,MATCH(Y1038,Setup!$B$33:$B$40,0)),0)=1)*(COUNTIF(Y1008:Y1025,$B1038)+COUNTIF(Y1008:Y1025,$B1038&amp;" ~*")&gt;0))</f>
        <v/>
      </c>
    </row>
    <row r="1039" ht="15" customHeight="1">
      <c r="A1039" t="n">
        <v>21</v>
      </c>
      <c r="B1039" s="35">
        <f>IF(Setup!$B$18="","",Setup!$B$18)</f>
        <v/>
      </c>
      <c r="C1039" s="98" t="n"/>
      <c r="D1039" s="99" t="n"/>
      <c r="E1039" s="99" t="n"/>
      <c r="F1039" s="100" t="n"/>
      <c r="G1039" s="98" t="n"/>
      <c r="H1039" s="99" t="n"/>
      <c r="I1039" s="99" t="n"/>
      <c r="J1039" s="100" t="n"/>
      <c r="K1039" s="98" t="n"/>
      <c r="L1039" s="99" t="n"/>
      <c r="M1039" s="99" t="n"/>
      <c r="N1039" s="100" t="n"/>
      <c r="O1039" s="98" t="n"/>
      <c r="P1039" s="99" t="n"/>
      <c r="Q1039" s="99" t="n"/>
      <c r="R1039" s="100" t="n"/>
      <c r="S1039" s="98" t="n"/>
      <c r="T1039" s="99" t="n"/>
      <c r="U1039" s="99" t="n"/>
      <c r="V1039" s="100" t="n"/>
      <c r="W1039" s="98" t="n"/>
      <c r="X1039" s="100" t="n"/>
      <c r="Y1039" s="98" t="n"/>
      <c r="Z1039" s="100" t="n"/>
      <c r="AB1039" s="101">
        <f>IF($B1039="","",(COUNTIF(C1008:E1025,$B1039)+COUNTIF(C1008:E1025,$B1039&amp;" ~*")&gt;0)+(COUNTIF(G1008:I1025,$B1039)+COUNTIF(G1008:I1025,$B1039&amp;" ~*")&gt;0)+(COUNTIF(K1008:M1025,$B1039)+COUNTIF(K1008:M1025,$B1039&amp;" ~*")&gt;0)+(COUNTIF(O1008:Q1025,$B1039)+COUNTIF(O1008:Q1025,$B1039&amp;" ~*")&gt;0)+(COUNTIF(S1008:U1025,$B1039)+COUNTIF(S1008:U1025,$B1039&amp;" ~*")&gt;0)+(COUNTIF(W1008:W1025,$B1039)+COUNTIF(W1008:W1025,$B1039&amp;" ~*")&gt;0)+(COUNTIF(Y1008:Y1025,$B1039)+COUNTIF(Y1008:Y1025,$B1039&amp;" ~*")&gt;0))</f>
        <v/>
      </c>
      <c r="AC1039" s="36">
        <f>IF($B1039="","",(IFERROR(INDEX(Setup!$G$33:$G$40,MATCH(C1039,Setup!$B$33:$B$40,0)),0)=1)*(COUNTIF(C1008:E1025,$B1039)+COUNTIF(C1008:E1025,$B1039&amp;" ~*")&gt;0)+(IFERROR(INDEX(Setup!$G$33:$G$40,MATCH(G1039,Setup!$B$33:$B$40,0)),0)=1)*(COUNTIF(G1008:I1025,$B1039)+COUNTIF(G1008:I1025,$B1039&amp;" ~*")&gt;0)+(IFERROR(INDEX(Setup!$G$33:$G$40,MATCH(K1039,Setup!$B$33:$B$40,0)),0)=1)*(COUNTIF(K1008:M1025,$B1039)+COUNTIF(K1008:M1025,$B1039&amp;" ~*")&gt;0)+(IFERROR(INDEX(Setup!$G$33:$G$40,MATCH(O1039,Setup!$B$33:$B$40,0)),0)=1)*(COUNTIF(O1008:Q1025,$B1039)+COUNTIF(O1008:Q1025,$B1039&amp;" ~*")&gt;0)+(IFERROR(INDEX(Setup!$G$33:$G$40,MATCH(S1039,Setup!$B$33:$B$40,0)),0)=1)*(COUNTIF(S1008:U1025,$B1039)+COUNTIF(S1008:U1025,$B1039&amp;" ~*")&gt;0)+(IFERROR(INDEX(Setup!$G$33:$G$40,MATCH(W1039,Setup!$B$33:$B$40,0)),0)=1)*(COUNTIF(W1008:W1025,$B1039)+COUNTIF(W1008:W1025,$B1039&amp;" ~*")&gt;0)+(IFERROR(INDEX(Setup!$G$33:$G$40,MATCH(Y1039,Setup!$B$33:$B$40,0)),0)=1)*(COUNTIF(Y1008:Y1025,$B1039)+COUNTIF(Y1008:Y1025,$B1039&amp;" ~*")&gt;0))</f>
        <v/>
      </c>
    </row>
    <row r="1040" ht="15" customHeight="1">
      <c r="A1040" t="n">
        <v>21</v>
      </c>
      <c r="B1040" s="37">
        <f>IF(Setup!$B$19="","",Setup!$B$19)</f>
        <v/>
      </c>
      <c r="C1040" s="102" t="n"/>
      <c r="D1040" s="103" t="n"/>
      <c r="E1040" s="103" t="n"/>
      <c r="F1040" s="104" t="n"/>
      <c r="G1040" s="102" t="n"/>
      <c r="H1040" s="103" t="n"/>
      <c r="I1040" s="103" t="n"/>
      <c r="J1040" s="104" t="n"/>
      <c r="K1040" s="102" t="n"/>
      <c r="L1040" s="103" t="n"/>
      <c r="M1040" s="103" t="n"/>
      <c r="N1040" s="104" t="n"/>
      <c r="O1040" s="102" t="n"/>
      <c r="P1040" s="103" t="n"/>
      <c r="Q1040" s="103" t="n"/>
      <c r="R1040" s="104" t="n"/>
      <c r="S1040" s="102" t="inlineStr">
        <is>
          <t>AL</t>
        </is>
      </c>
      <c r="T1040" s="103" t="n"/>
      <c r="U1040" s="103" t="n"/>
      <c r="V1040" s="104" t="n"/>
      <c r="W1040" s="102" t="n"/>
      <c r="X1040" s="104" t="n"/>
      <c r="Y1040" s="102" t="n"/>
      <c r="Z1040" s="104" t="n"/>
      <c r="AB1040" s="105">
        <f>IF($B1040="","",(COUNTIF(C1008:E1025,$B1040)+COUNTIF(C1008:E1025,$B1040&amp;" ~*")&gt;0)+(COUNTIF(G1008:I1025,$B1040)+COUNTIF(G1008:I1025,$B1040&amp;" ~*")&gt;0)+(COUNTIF(K1008:M1025,$B1040)+COUNTIF(K1008:M1025,$B1040&amp;" ~*")&gt;0)+(COUNTIF(O1008:Q1025,$B1040)+COUNTIF(O1008:Q1025,$B1040&amp;" ~*")&gt;0)+(COUNTIF(S1008:U1025,$B1040)+COUNTIF(S1008:U1025,$B1040&amp;" ~*")&gt;0)+(COUNTIF(W1008:W1025,$B1040)+COUNTIF(W1008:W1025,$B1040&amp;" ~*")&gt;0)+(COUNTIF(Y1008:Y1025,$B1040)+COUNTIF(Y1008:Y1025,$B1040&amp;" ~*")&gt;0))</f>
        <v/>
      </c>
      <c r="AC1040" s="38">
        <f>IF($B1040="","",(IFERROR(INDEX(Setup!$G$33:$G$40,MATCH(C1040,Setup!$B$33:$B$40,0)),0)=1)*(COUNTIF(C1008:E1025,$B1040)+COUNTIF(C1008:E1025,$B1040&amp;" ~*")&gt;0)+(IFERROR(INDEX(Setup!$G$33:$G$40,MATCH(G1040,Setup!$B$33:$B$40,0)),0)=1)*(COUNTIF(G1008:I1025,$B1040)+COUNTIF(G1008:I1025,$B1040&amp;" ~*")&gt;0)+(IFERROR(INDEX(Setup!$G$33:$G$40,MATCH(K1040,Setup!$B$33:$B$40,0)),0)=1)*(COUNTIF(K1008:M1025,$B1040)+COUNTIF(K1008:M1025,$B1040&amp;" ~*")&gt;0)+(IFERROR(INDEX(Setup!$G$33:$G$40,MATCH(O1040,Setup!$B$33:$B$40,0)),0)=1)*(COUNTIF(O1008:Q1025,$B1040)+COUNTIF(O1008:Q1025,$B1040&amp;" ~*")&gt;0)+(IFERROR(INDEX(Setup!$G$33:$G$40,MATCH(S1040,Setup!$B$33:$B$40,0)),0)=1)*(COUNTIF(S1008:U1025,$B1040)+COUNTIF(S1008:U1025,$B1040&amp;" ~*")&gt;0)+(IFERROR(INDEX(Setup!$G$33:$G$40,MATCH(W1040,Setup!$B$33:$B$40,0)),0)=1)*(COUNTIF(W1008:W1025,$B1040)+COUNTIF(W1008:W1025,$B1040&amp;" ~*")&gt;0)+(IFERROR(INDEX(Setup!$G$33:$G$40,MATCH(Y1040,Setup!$B$33:$B$40,0)),0)=1)*(COUNTIF(Y1008:Y1025,$B1040)+COUNTIF(Y1008:Y1025,$B1040&amp;" ~*")&gt;0))</f>
        <v/>
      </c>
    </row>
    <row r="1041" ht="15" customHeight="1">
      <c r="A1041" t="n">
        <v>21</v>
      </c>
      <c r="B1041" s="35">
        <f>IF(Setup!$B$20="","",Setup!$B$20)</f>
        <v/>
      </c>
      <c r="C1041" s="98" t="n"/>
      <c r="D1041" s="99" t="n"/>
      <c r="E1041" s="99" t="n"/>
      <c r="F1041" s="100" t="n"/>
      <c r="G1041" s="98" t="n"/>
      <c r="H1041" s="99" t="n"/>
      <c r="I1041" s="99" t="n"/>
      <c r="J1041" s="100" t="n"/>
      <c r="K1041" s="98" t="n"/>
      <c r="L1041" s="99" t="n"/>
      <c r="M1041" s="99" t="n"/>
      <c r="N1041" s="100" t="n"/>
      <c r="O1041" s="98" t="n"/>
      <c r="P1041" s="99" t="n"/>
      <c r="Q1041" s="99" t="n"/>
      <c r="R1041" s="100" t="n"/>
      <c r="S1041" s="98" t="n"/>
      <c r="T1041" s="99" t="n"/>
      <c r="U1041" s="99" t="n"/>
      <c r="V1041" s="100" t="n"/>
      <c r="W1041" s="98" t="n"/>
      <c r="X1041" s="100" t="n"/>
      <c r="Y1041" s="98" t="n"/>
      <c r="Z1041" s="100" t="n"/>
      <c r="AB1041" s="101">
        <f>IF($B1041="","",(COUNTIF(C1008:E1025,$B1041)+COUNTIF(C1008:E1025,$B1041&amp;" ~*")&gt;0)+(COUNTIF(G1008:I1025,$B1041)+COUNTIF(G1008:I1025,$B1041&amp;" ~*")&gt;0)+(COUNTIF(K1008:M1025,$B1041)+COUNTIF(K1008:M1025,$B1041&amp;" ~*")&gt;0)+(COUNTIF(O1008:Q1025,$B1041)+COUNTIF(O1008:Q1025,$B1041&amp;" ~*")&gt;0)+(COUNTIF(S1008:U1025,$B1041)+COUNTIF(S1008:U1025,$B1041&amp;" ~*")&gt;0)+(COUNTIF(W1008:W1025,$B1041)+COUNTIF(W1008:W1025,$B1041&amp;" ~*")&gt;0)+(COUNTIF(Y1008:Y1025,$B1041)+COUNTIF(Y1008:Y1025,$B1041&amp;" ~*")&gt;0))</f>
        <v/>
      </c>
      <c r="AC1041" s="36">
        <f>IF($B1041="","",(IFERROR(INDEX(Setup!$G$33:$G$40,MATCH(C1041,Setup!$B$33:$B$40,0)),0)=1)*(COUNTIF(C1008:E1025,$B1041)+COUNTIF(C1008:E1025,$B1041&amp;" ~*")&gt;0)+(IFERROR(INDEX(Setup!$G$33:$G$40,MATCH(G1041,Setup!$B$33:$B$40,0)),0)=1)*(COUNTIF(G1008:I1025,$B1041)+COUNTIF(G1008:I1025,$B1041&amp;" ~*")&gt;0)+(IFERROR(INDEX(Setup!$G$33:$G$40,MATCH(K1041,Setup!$B$33:$B$40,0)),0)=1)*(COUNTIF(K1008:M1025,$B1041)+COUNTIF(K1008:M1025,$B1041&amp;" ~*")&gt;0)+(IFERROR(INDEX(Setup!$G$33:$G$40,MATCH(O1041,Setup!$B$33:$B$40,0)),0)=1)*(COUNTIF(O1008:Q1025,$B1041)+COUNTIF(O1008:Q1025,$B1041&amp;" ~*")&gt;0)+(IFERROR(INDEX(Setup!$G$33:$G$40,MATCH(S1041,Setup!$B$33:$B$40,0)),0)=1)*(COUNTIF(S1008:U1025,$B1041)+COUNTIF(S1008:U1025,$B1041&amp;" ~*")&gt;0)+(IFERROR(INDEX(Setup!$G$33:$G$40,MATCH(W1041,Setup!$B$33:$B$40,0)),0)=1)*(COUNTIF(W1008:W1025,$B1041)+COUNTIF(W1008:W1025,$B1041&amp;" ~*")&gt;0)+(IFERROR(INDEX(Setup!$G$33:$G$40,MATCH(Y1041,Setup!$B$33:$B$40,0)),0)=1)*(COUNTIF(Y1008:Y1025,$B1041)+COUNTIF(Y1008:Y1025,$B1041&amp;" ~*")&gt;0))</f>
        <v/>
      </c>
    </row>
    <row r="1042" ht="15" customHeight="1">
      <c r="A1042" t="n">
        <v>21</v>
      </c>
      <c r="B1042" s="37">
        <f>IF(Setup!$B$21="","",Setup!$B$21)</f>
        <v/>
      </c>
      <c r="C1042" s="102" t="n"/>
      <c r="D1042" s="103" t="n"/>
      <c r="E1042" s="103" t="n"/>
      <c r="F1042" s="104" t="n"/>
      <c r="G1042" s="102" t="n"/>
      <c r="H1042" s="103" t="n"/>
      <c r="I1042" s="103" t="n"/>
      <c r="J1042" s="104" t="n"/>
      <c r="K1042" s="102" t="n"/>
      <c r="L1042" s="103" t="n"/>
      <c r="M1042" s="103" t="n"/>
      <c r="N1042" s="104" t="n"/>
      <c r="O1042" s="102" t="n"/>
      <c r="P1042" s="103" t="n"/>
      <c r="Q1042" s="103" t="n"/>
      <c r="R1042" s="104" t="n"/>
      <c r="S1042" s="102" t="inlineStr">
        <is>
          <t>AL</t>
        </is>
      </c>
      <c r="T1042" s="103" t="n"/>
      <c r="U1042" s="103" t="n"/>
      <c r="V1042" s="104" t="n"/>
      <c r="W1042" s="102" t="n"/>
      <c r="X1042" s="104" t="n"/>
      <c r="Y1042" s="102" t="n"/>
      <c r="Z1042" s="104" t="n"/>
      <c r="AB1042" s="105">
        <f>IF($B1042="","",(COUNTIF(C1008:E1025,$B1042)+COUNTIF(C1008:E1025,$B1042&amp;" ~*")&gt;0)+(COUNTIF(G1008:I1025,$B1042)+COUNTIF(G1008:I1025,$B1042&amp;" ~*")&gt;0)+(COUNTIF(K1008:M1025,$B1042)+COUNTIF(K1008:M1025,$B1042&amp;" ~*")&gt;0)+(COUNTIF(O1008:Q1025,$B1042)+COUNTIF(O1008:Q1025,$B1042&amp;" ~*")&gt;0)+(COUNTIF(S1008:U1025,$B1042)+COUNTIF(S1008:U1025,$B1042&amp;" ~*")&gt;0)+(COUNTIF(W1008:W1025,$B1042)+COUNTIF(W1008:W1025,$B1042&amp;" ~*")&gt;0)+(COUNTIF(Y1008:Y1025,$B1042)+COUNTIF(Y1008:Y1025,$B1042&amp;" ~*")&gt;0))</f>
        <v/>
      </c>
      <c r="AC1042" s="38">
        <f>IF($B1042="","",(IFERROR(INDEX(Setup!$G$33:$G$40,MATCH(C1042,Setup!$B$33:$B$40,0)),0)=1)*(COUNTIF(C1008:E1025,$B1042)+COUNTIF(C1008:E1025,$B1042&amp;" ~*")&gt;0)+(IFERROR(INDEX(Setup!$G$33:$G$40,MATCH(G1042,Setup!$B$33:$B$40,0)),0)=1)*(COUNTIF(G1008:I1025,$B1042)+COUNTIF(G1008:I1025,$B1042&amp;" ~*")&gt;0)+(IFERROR(INDEX(Setup!$G$33:$G$40,MATCH(K1042,Setup!$B$33:$B$40,0)),0)=1)*(COUNTIF(K1008:M1025,$B1042)+COUNTIF(K1008:M1025,$B1042&amp;" ~*")&gt;0)+(IFERROR(INDEX(Setup!$G$33:$G$40,MATCH(O1042,Setup!$B$33:$B$40,0)),0)=1)*(COUNTIF(O1008:Q1025,$B1042)+COUNTIF(O1008:Q1025,$B1042&amp;" ~*")&gt;0)+(IFERROR(INDEX(Setup!$G$33:$G$40,MATCH(S1042,Setup!$B$33:$B$40,0)),0)=1)*(COUNTIF(S1008:U1025,$B1042)+COUNTIF(S1008:U1025,$B1042&amp;" ~*")&gt;0)+(IFERROR(INDEX(Setup!$G$33:$G$40,MATCH(W1042,Setup!$B$33:$B$40,0)),0)=1)*(COUNTIF(W1008:W1025,$B1042)+COUNTIF(W1008:W1025,$B1042&amp;" ~*")&gt;0)+(IFERROR(INDEX(Setup!$G$33:$G$40,MATCH(Y1042,Setup!$B$33:$B$40,0)),0)=1)*(COUNTIF(Y1008:Y1025,$B1042)+COUNTIF(Y1008:Y1025,$B1042&amp;" ~*")&gt;0))</f>
        <v/>
      </c>
    </row>
    <row r="1043" ht="15" customHeight="1">
      <c r="A1043" t="n">
        <v>21</v>
      </c>
      <c r="B1043" s="35">
        <f>IF(Setup!$B$22="","",Setup!$B$22)</f>
        <v/>
      </c>
      <c r="C1043" s="98" t="n"/>
      <c r="D1043" s="99" t="n"/>
      <c r="E1043" s="99" t="n"/>
      <c r="F1043" s="100" t="n"/>
      <c r="G1043" s="98" t="n"/>
      <c r="H1043" s="99" t="n"/>
      <c r="I1043" s="99" t="n"/>
      <c r="J1043" s="100" t="n"/>
      <c r="K1043" s="98" t="n"/>
      <c r="L1043" s="99" t="n"/>
      <c r="M1043" s="99" t="n"/>
      <c r="N1043" s="100" t="n"/>
      <c r="O1043" s="98" t="n"/>
      <c r="P1043" s="99" t="n"/>
      <c r="Q1043" s="99" t="n"/>
      <c r="R1043" s="100" t="n"/>
      <c r="S1043" s="98" t="n"/>
      <c r="T1043" s="99" t="n"/>
      <c r="U1043" s="99" t="n"/>
      <c r="V1043" s="100" t="n"/>
      <c r="W1043" s="98" t="n"/>
      <c r="X1043" s="100" t="n"/>
      <c r="Y1043" s="98" t="n"/>
      <c r="Z1043" s="100" t="n"/>
      <c r="AB1043" s="101">
        <f>IF($B1043="","",(COUNTIF(C1008:E1025,$B1043)+COUNTIF(C1008:E1025,$B1043&amp;" ~*")&gt;0)+(COUNTIF(G1008:I1025,$B1043)+COUNTIF(G1008:I1025,$B1043&amp;" ~*")&gt;0)+(COUNTIF(K1008:M1025,$B1043)+COUNTIF(K1008:M1025,$B1043&amp;" ~*")&gt;0)+(COUNTIF(O1008:Q1025,$B1043)+COUNTIF(O1008:Q1025,$B1043&amp;" ~*")&gt;0)+(COUNTIF(S1008:U1025,$B1043)+COUNTIF(S1008:U1025,$B1043&amp;" ~*")&gt;0)+(COUNTIF(W1008:W1025,$B1043)+COUNTIF(W1008:W1025,$B1043&amp;" ~*")&gt;0)+(COUNTIF(Y1008:Y1025,$B1043)+COUNTIF(Y1008:Y1025,$B1043&amp;" ~*")&gt;0))</f>
        <v/>
      </c>
      <c r="AC1043" s="36">
        <f>IF($B1043="","",(IFERROR(INDEX(Setup!$G$33:$G$40,MATCH(C1043,Setup!$B$33:$B$40,0)),0)=1)*(COUNTIF(C1008:E1025,$B1043)+COUNTIF(C1008:E1025,$B1043&amp;" ~*")&gt;0)+(IFERROR(INDEX(Setup!$G$33:$G$40,MATCH(G1043,Setup!$B$33:$B$40,0)),0)=1)*(COUNTIF(G1008:I1025,$B1043)+COUNTIF(G1008:I1025,$B1043&amp;" ~*")&gt;0)+(IFERROR(INDEX(Setup!$G$33:$G$40,MATCH(K1043,Setup!$B$33:$B$40,0)),0)=1)*(COUNTIF(K1008:M1025,$B1043)+COUNTIF(K1008:M1025,$B1043&amp;" ~*")&gt;0)+(IFERROR(INDEX(Setup!$G$33:$G$40,MATCH(O1043,Setup!$B$33:$B$40,0)),0)=1)*(COUNTIF(O1008:Q1025,$B1043)+COUNTIF(O1008:Q1025,$B1043&amp;" ~*")&gt;0)+(IFERROR(INDEX(Setup!$G$33:$G$40,MATCH(S1043,Setup!$B$33:$B$40,0)),0)=1)*(COUNTIF(S1008:U1025,$B1043)+COUNTIF(S1008:U1025,$B1043&amp;" ~*")&gt;0)+(IFERROR(INDEX(Setup!$G$33:$G$40,MATCH(W1043,Setup!$B$33:$B$40,0)),0)=1)*(COUNTIF(W1008:W1025,$B1043)+COUNTIF(W1008:W1025,$B1043&amp;" ~*")&gt;0)+(IFERROR(INDEX(Setup!$G$33:$G$40,MATCH(Y1043,Setup!$B$33:$B$40,0)),0)=1)*(COUNTIF(Y1008:Y1025,$B1043)+COUNTIF(Y1008:Y1025,$B1043&amp;" ~*")&gt;0))</f>
        <v/>
      </c>
    </row>
    <row r="1044" ht="15" customHeight="1">
      <c r="A1044" t="n">
        <v>21</v>
      </c>
      <c r="B1044" s="37">
        <f>IF(Setup!$B$23="","",Setup!$B$23)</f>
        <v/>
      </c>
      <c r="C1044" s="102" t="n"/>
      <c r="D1044" s="103" t="n"/>
      <c r="E1044" s="103" t="n"/>
      <c r="F1044" s="104" t="n"/>
      <c r="G1044" s="102" t="n"/>
      <c r="H1044" s="103" t="n"/>
      <c r="I1044" s="103" t="n"/>
      <c r="J1044" s="104" t="n"/>
      <c r="K1044" s="102" t="n"/>
      <c r="L1044" s="103" t="n"/>
      <c r="M1044" s="103" t="n"/>
      <c r="N1044" s="104" t="n"/>
      <c r="O1044" s="102" t="n"/>
      <c r="P1044" s="103" t="n"/>
      <c r="Q1044" s="103" t="n"/>
      <c r="R1044" s="104" t="n"/>
      <c r="S1044" s="102" t="n"/>
      <c r="T1044" s="103" t="n"/>
      <c r="U1044" s="103" t="n"/>
      <c r="V1044" s="104" t="n"/>
      <c r="W1044" s="102" t="n"/>
      <c r="X1044" s="104" t="n"/>
      <c r="Y1044" s="102" t="n"/>
      <c r="Z1044" s="104" t="n"/>
      <c r="AB1044" s="105">
        <f>IF($B1044="","",(COUNTIF(C1008:E1025,$B1044)+COUNTIF(C1008:E1025,$B1044&amp;" ~*")&gt;0)+(COUNTIF(G1008:I1025,$B1044)+COUNTIF(G1008:I1025,$B1044&amp;" ~*")&gt;0)+(COUNTIF(K1008:M1025,$B1044)+COUNTIF(K1008:M1025,$B1044&amp;" ~*")&gt;0)+(COUNTIF(O1008:Q1025,$B1044)+COUNTIF(O1008:Q1025,$B1044&amp;" ~*")&gt;0)+(COUNTIF(S1008:U1025,$B1044)+COUNTIF(S1008:U1025,$B1044&amp;" ~*")&gt;0)+(COUNTIF(W1008:W1025,$B1044)+COUNTIF(W1008:W1025,$B1044&amp;" ~*")&gt;0)+(COUNTIF(Y1008:Y1025,$B1044)+COUNTIF(Y1008:Y1025,$B1044&amp;" ~*")&gt;0))</f>
        <v/>
      </c>
      <c r="AC1044" s="38">
        <f>IF($B1044="","",(IFERROR(INDEX(Setup!$G$33:$G$40,MATCH(C1044,Setup!$B$33:$B$40,0)),0)=1)*(COUNTIF(C1008:E1025,$B1044)+COUNTIF(C1008:E1025,$B1044&amp;" ~*")&gt;0)+(IFERROR(INDEX(Setup!$G$33:$G$40,MATCH(G1044,Setup!$B$33:$B$40,0)),0)=1)*(COUNTIF(G1008:I1025,$B1044)+COUNTIF(G1008:I1025,$B1044&amp;" ~*")&gt;0)+(IFERROR(INDEX(Setup!$G$33:$G$40,MATCH(K1044,Setup!$B$33:$B$40,0)),0)=1)*(COUNTIF(K1008:M1025,$B1044)+COUNTIF(K1008:M1025,$B1044&amp;" ~*")&gt;0)+(IFERROR(INDEX(Setup!$G$33:$G$40,MATCH(O1044,Setup!$B$33:$B$40,0)),0)=1)*(COUNTIF(O1008:Q1025,$B1044)+COUNTIF(O1008:Q1025,$B1044&amp;" ~*")&gt;0)+(IFERROR(INDEX(Setup!$G$33:$G$40,MATCH(S1044,Setup!$B$33:$B$40,0)),0)=1)*(COUNTIF(S1008:U1025,$B1044)+COUNTIF(S1008:U1025,$B1044&amp;" ~*")&gt;0)+(IFERROR(INDEX(Setup!$G$33:$G$40,MATCH(W1044,Setup!$B$33:$B$40,0)),0)=1)*(COUNTIF(W1008:W1025,$B1044)+COUNTIF(W1008:W1025,$B1044&amp;" ~*")&gt;0)+(IFERROR(INDEX(Setup!$G$33:$G$40,MATCH(Y1044,Setup!$B$33:$B$40,0)),0)=1)*(COUNTIF(Y1008:Y1025,$B1044)+COUNTIF(Y1008:Y1025,$B1044&amp;" ~*")&gt;0))</f>
        <v/>
      </c>
    </row>
    <row r="1045" ht="15" customHeight="1">
      <c r="A1045" t="n">
        <v>21</v>
      </c>
      <c r="B1045" s="35">
        <f>IF(Setup!$B$24="","",Setup!$B$24)</f>
        <v/>
      </c>
      <c r="C1045" s="98" t="n"/>
      <c r="D1045" s="99" t="n"/>
      <c r="E1045" s="99" t="n"/>
      <c r="F1045" s="100" t="n"/>
      <c r="G1045" s="98" t="n"/>
      <c r="H1045" s="99" t="n"/>
      <c r="I1045" s="99" t="n"/>
      <c r="J1045" s="100" t="n"/>
      <c r="K1045" s="98" t="n"/>
      <c r="L1045" s="99" t="n"/>
      <c r="M1045" s="99" t="n"/>
      <c r="N1045" s="100" t="n"/>
      <c r="O1045" s="98" t="n"/>
      <c r="P1045" s="99" t="n"/>
      <c r="Q1045" s="99" t="n"/>
      <c r="R1045" s="100" t="n"/>
      <c r="S1045" s="98" t="n"/>
      <c r="T1045" s="99" t="n"/>
      <c r="U1045" s="99" t="n"/>
      <c r="V1045" s="100" t="n"/>
      <c r="W1045" s="98" t="n"/>
      <c r="X1045" s="100" t="n"/>
      <c r="Y1045" s="98" t="n"/>
      <c r="Z1045" s="100" t="n"/>
      <c r="AB1045" s="101">
        <f>IF($B1045="","",(COUNTIF(C1008:E1025,$B1045)+COUNTIF(C1008:E1025,$B1045&amp;" ~*")&gt;0)+(COUNTIF(G1008:I1025,$B1045)+COUNTIF(G1008:I1025,$B1045&amp;" ~*")&gt;0)+(COUNTIF(K1008:M1025,$B1045)+COUNTIF(K1008:M1025,$B1045&amp;" ~*")&gt;0)+(COUNTIF(O1008:Q1025,$B1045)+COUNTIF(O1008:Q1025,$B1045&amp;" ~*")&gt;0)+(COUNTIF(S1008:U1025,$B1045)+COUNTIF(S1008:U1025,$B1045&amp;" ~*")&gt;0)+(COUNTIF(W1008:W1025,$B1045)+COUNTIF(W1008:W1025,$B1045&amp;" ~*")&gt;0)+(COUNTIF(Y1008:Y1025,$B1045)+COUNTIF(Y1008:Y1025,$B1045&amp;" ~*")&gt;0))</f>
        <v/>
      </c>
      <c r="AC1045" s="36">
        <f>IF($B1045="","",(IFERROR(INDEX(Setup!$G$33:$G$40,MATCH(C1045,Setup!$B$33:$B$40,0)),0)=1)*(COUNTIF(C1008:E1025,$B1045)+COUNTIF(C1008:E1025,$B1045&amp;" ~*")&gt;0)+(IFERROR(INDEX(Setup!$G$33:$G$40,MATCH(G1045,Setup!$B$33:$B$40,0)),0)=1)*(COUNTIF(G1008:I1025,$B1045)+COUNTIF(G1008:I1025,$B1045&amp;" ~*")&gt;0)+(IFERROR(INDEX(Setup!$G$33:$G$40,MATCH(K1045,Setup!$B$33:$B$40,0)),0)=1)*(COUNTIF(K1008:M1025,$B1045)+COUNTIF(K1008:M1025,$B1045&amp;" ~*")&gt;0)+(IFERROR(INDEX(Setup!$G$33:$G$40,MATCH(O1045,Setup!$B$33:$B$40,0)),0)=1)*(COUNTIF(O1008:Q1025,$B1045)+COUNTIF(O1008:Q1025,$B1045&amp;" ~*")&gt;0)+(IFERROR(INDEX(Setup!$G$33:$G$40,MATCH(S1045,Setup!$B$33:$B$40,0)),0)=1)*(COUNTIF(S1008:U1025,$B1045)+COUNTIF(S1008:U1025,$B1045&amp;" ~*")&gt;0)+(IFERROR(INDEX(Setup!$G$33:$G$40,MATCH(W1045,Setup!$B$33:$B$40,0)),0)=1)*(COUNTIF(W1008:W1025,$B1045)+COUNTIF(W1008:W1025,$B1045&amp;" ~*")&gt;0)+(IFERROR(INDEX(Setup!$G$33:$G$40,MATCH(Y1045,Setup!$B$33:$B$40,0)),0)=1)*(COUNTIF(Y1008:Y1025,$B1045)+COUNTIF(Y1008:Y1025,$B1045&amp;" ~*")&gt;0))</f>
        <v/>
      </c>
    </row>
    <row r="1046" ht="15" customHeight="1">
      <c r="A1046" t="n">
        <v>21</v>
      </c>
      <c r="B1046" s="37">
        <f>IF(Setup!$B$25="","",Setup!$B$25)</f>
        <v/>
      </c>
      <c r="C1046" s="102" t="n"/>
      <c r="D1046" s="103" t="n"/>
      <c r="E1046" s="103" t="n"/>
      <c r="F1046" s="104" t="n"/>
      <c r="G1046" s="102" t="n"/>
      <c r="H1046" s="103" t="n"/>
      <c r="I1046" s="103" t="n"/>
      <c r="J1046" s="104" t="n"/>
      <c r="K1046" s="102" t="n"/>
      <c r="L1046" s="103" t="n"/>
      <c r="M1046" s="103" t="n"/>
      <c r="N1046" s="104" t="n"/>
      <c r="O1046" s="102" t="n"/>
      <c r="P1046" s="103" t="n"/>
      <c r="Q1046" s="103" t="n"/>
      <c r="R1046" s="104" t="n"/>
      <c r="S1046" s="102" t="n"/>
      <c r="T1046" s="103" t="n"/>
      <c r="U1046" s="103" t="n"/>
      <c r="V1046" s="104" t="n"/>
      <c r="W1046" s="102" t="n"/>
      <c r="X1046" s="104" t="n"/>
      <c r="Y1046" s="102" t="n"/>
      <c r="Z1046" s="104" t="n"/>
      <c r="AB1046" s="105">
        <f>IF($B1046="","",(COUNTIF(C1008:E1025,$B1046)+COUNTIF(C1008:E1025,$B1046&amp;" ~*")&gt;0)+(COUNTIF(G1008:I1025,$B1046)+COUNTIF(G1008:I1025,$B1046&amp;" ~*")&gt;0)+(COUNTIF(K1008:M1025,$B1046)+COUNTIF(K1008:M1025,$B1046&amp;" ~*")&gt;0)+(COUNTIF(O1008:Q1025,$B1046)+COUNTIF(O1008:Q1025,$B1046&amp;" ~*")&gt;0)+(COUNTIF(S1008:U1025,$B1046)+COUNTIF(S1008:U1025,$B1046&amp;" ~*")&gt;0)+(COUNTIF(W1008:W1025,$B1046)+COUNTIF(W1008:W1025,$B1046&amp;" ~*")&gt;0)+(COUNTIF(Y1008:Y1025,$B1046)+COUNTIF(Y1008:Y1025,$B1046&amp;" ~*")&gt;0))</f>
        <v/>
      </c>
      <c r="AC1046" s="38">
        <f>IF($B1046="","",(IFERROR(INDEX(Setup!$G$33:$G$40,MATCH(C1046,Setup!$B$33:$B$40,0)),0)=1)*(COUNTIF(C1008:E1025,$B1046)+COUNTIF(C1008:E1025,$B1046&amp;" ~*")&gt;0)+(IFERROR(INDEX(Setup!$G$33:$G$40,MATCH(G1046,Setup!$B$33:$B$40,0)),0)=1)*(COUNTIF(G1008:I1025,$B1046)+COUNTIF(G1008:I1025,$B1046&amp;" ~*")&gt;0)+(IFERROR(INDEX(Setup!$G$33:$G$40,MATCH(K1046,Setup!$B$33:$B$40,0)),0)=1)*(COUNTIF(K1008:M1025,$B1046)+COUNTIF(K1008:M1025,$B1046&amp;" ~*")&gt;0)+(IFERROR(INDEX(Setup!$G$33:$G$40,MATCH(O1046,Setup!$B$33:$B$40,0)),0)=1)*(COUNTIF(O1008:Q1025,$B1046)+COUNTIF(O1008:Q1025,$B1046&amp;" ~*")&gt;0)+(IFERROR(INDEX(Setup!$G$33:$G$40,MATCH(S1046,Setup!$B$33:$B$40,0)),0)=1)*(COUNTIF(S1008:U1025,$B1046)+COUNTIF(S1008:U1025,$B1046&amp;" ~*")&gt;0)+(IFERROR(INDEX(Setup!$G$33:$G$40,MATCH(W1046,Setup!$B$33:$B$40,0)),0)=1)*(COUNTIF(W1008:W1025,$B1046)+COUNTIF(W1008:W1025,$B1046&amp;" ~*")&gt;0)+(IFERROR(INDEX(Setup!$G$33:$G$40,MATCH(Y1046,Setup!$B$33:$B$40,0)),0)=1)*(COUNTIF(Y1008:Y1025,$B1046)+COUNTIF(Y1008:Y1025,$B1046&amp;" ~*")&gt;0))</f>
        <v/>
      </c>
    </row>
    <row r="1047" ht="15" customHeight="1">
      <c r="A1047" t="n">
        <v>21</v>
      </c>
      <c r="B1047" s="35">
        <f>IF(Setup!$B$26="","",Setup!$B$26)</f>
        <v/>
      </c>
      <c r="C1047" s="98" t="n"/>
      <c r="D1047" s="99" t="n"/>
      <c r="E1047" s="99" t="n"/>
      <c r="F1047" s="100" t="n"/>
      <c r="G1047" s="98" t="n"/>
      <c r="H1047" s="99" t="n"/>
      <c r="I1047" s="99" t="n"/>
      <c r="J1047" s="100" t="n"/>
      <c r="K1047" s="98" t="n"/>
      <c r="L1047" s="99" t="n"/>
      <c r="M1047" s="99" t="n"/>
      <c r="N1047" s="100" t="n"/>
      <c r="O1047" s="98" t="n"/>
      <c r="P1047" s="99" t="n"/>
      <c r="Q1047" s="99" t="n"/>
      <c r="R1047" s="100" t="n"/>
      <c r="S1047" s="98" t="n"/>
      <c r="T1047" s="99" t="n"/>
      <c r="U1047" s="99" t="n"/>
      <c r="V1047" s="100" t="n"/>
      <c r="W1047" s="98" t="n"/>
      <c r="X1047" s="100" t="n"/>
      <c r="Y1047" s="98" t="n"/>
      <c r="Z1047" s="100" t="n"/>
      <c r="AB1047" s="101">
        <f>IF($B1047="","",(COUNTIF(C1008:E1025,$B1047)+COUNTIF(C1008:E1025,$B1047&amp;" ~*")&gt;0)+(COUNTIF(G1008:I1025,$B1047)+COUNTIF(G1008:I1025,$B1047&amp;" ~*")&gt;0)+(COUNTIF(K1008:M1025,$B1047)+COUNTIF(K1008:M1025,$B1047&amp;" ~*")&gt;0)+(COUNTIF(O1008:Q1025,$B1047)+COUNTIF(O1008:Q1025,$B1047&amp;" ~*")&gt;0)+(COUNTIF(S1008:U1025,$B1047)+COUNTIF(S1008:U1025,$B1047&amp;" ~*")&gt;0)+(COUNTIF(W1008:W1025,$B1047)+COUNTIF(W1008:W1025,$B1047&amp;" ~*")&gt;0)+(COUNTIF(Y1008:Y1025,$B1047)+COUNTIF(Y1008:Y1025,$B1047&amp;" ~*")&gt;0))</f>
        <v/>
      </c>
      <c r="AC1047" s="36">
        <f>IF($B1047="","",(IFERROR(INDEX(Setup!$G$33:$G$40,MATCH(C1047,Setup!$B$33:$B$40,0)),0)=1)*(COUNTIF(C1008:E1025,$B1047)+COUNTIF(C1008:E1025,$B1047&amp;" ~*")&gt;0)+(IFERROR(INDEX(Setup!$G$33:$G$40,MATCH(G1047,Setup!$B$33:$B$40,0)),0)=1)*(COUNTIF(G1008:I1025,$B1047)+COUNTIF(G1008:I1025,$B1047&amp;" ~*")&gt;0)+(IFERROR(INDEX(Setup!$G$33:$G$40,MATCH(K1047,Setup!$B$33:$B$40,0)),0)=1)*(COUNTIF(K1008:M1025,$B1047)+COUNTIF(K1008:M1025,$B1047&amp;" ~*")&gt;0)+(IFERROR(INDEX(Setup!$G$33:$G$40,MATCH(O1047,Setup!$B$33:$B$40,0)),0)=1)*(COUNTIF(O1008:Q1025,$B1047)+COUNTIF(O1008:Q1025,$B1047&amp;" ~*")&gt;0)+(IFERROR(INDEX(Setup!$G$33:$G$40,MATCH(S1047,Setup!$B$33:$B$40,0)),0)=1)*(COUNTIF(S1008:U1025,$B1047)+COUNTIF(S1008:U1025,$B1047&amp;" ~*")&gt;0)+(IFERROR(INDEX(Setup!$G$33:$G$40,MATCH(W1047,Setup!$B$33:$B$40,0)),0)=1)*(COUNTIF(W1008:W1025,$B1047)+COUNTIF(W1008:W1025,$B1047&amp;" ~*")&gt;0)+(IFERROR(INDEX(Setup!$G$33:$G$40,MATCH(Y1047,Setup!$B$33:$B$40,0)),0)=1)*(COUNTIF(Y1008:Y1025,$B1047)+COUNTIF(Y1008:Y1025,$B1047&amp;" ~*")&gt;0))</f>
        <v/>
      </c>
    </row>
    <row r="1048" ht="15" customHeight="1">
      <c r="A1048" t="n">
        <v>21</v>
      </c>
      <c r="B1048" s="37">
        <f>IF(Setup!$B$27="","",Setup!$B$27)</f>
        <v/>
      </c>
      <c r="C1048" s="102" t="n"/>
      <c r="D1048" s="103" t="n"/>
      <c r="E1048" s="103" t="n"/>
      <c r="F1048" s="104" t="n"/>
      <c r="G1048" s="102" t="n"/>
      <c r="H1048" s="103" t="n"/>
      <c r="I1048" s="103" t="n"/>
      <c r="J1048" s="104" t="n"/>
      <c r="K1048" s="102" t="n"/>
      <c r="L1048" s="103" t="n"/>
      <c r="M1048" s="103" t="n"/>
      <c r="N1048" s="104" t="n"/>
      <c r="O1048" s="102" t="n"/>
      <c r="P1048" s="103" t="n"/>
      <c r="Q1048" s="103" t="n"/>
      <c r="R1048" s="104" t="n"/>
      <c r="S1048" s="102" t="n"/>
      <c r="T1048" s="103" t="n"/>
      <c r="U1048" s="103" t="n"/>
      <c r="V1048" s="104" t="n"/>
      <c r="W1048" s="102" t="n"/>
      <c r="X1048" s="104" t="n"/>
      <c r="Y1048" s="102" t="n"/>
      <c r="Z1048" s="104" t="n"/>
      <c r="AB1048" s="105">
        <f>IF($B1048="","",(COUNTIF(C1008:E1025,$B1048)+COUNTIF(C1008:E1025,$B1048&amp;" ~*")&gt;0)+(COUNTIF(G1008:I1025,$B1048)+COUNTIF(G1008:I1025,$B1048&amp;" ~*")&gt;0)+(COUNTIF(K1008:M1025,$B1048)+COUNTIF(K1008:M1025,$B1048&amp;" ~*")&gt;0)+(COUNTIF(O1008:Q1025,$B1048)+COUNTIF(O1008:Q1025,$B1048&amp;" ~*")&gt;0)+(COUNTIF(S1008:U1025,$B1048)+COUNTIF(S1008:U1025,$B1048&amp;" ~*")&gt;0)+(COUNTIF(W1008:W1025,$B1048)+COUNTIF(W1008:W1025,$B1048&amp;" ~*")&gt;0)+(COUNTIF(Y1008:Y1025,$B1048)+COUNTIF(Y1008:Y1025,$B1048&amp;" ~*")&gt;0))</f>
        <v/>
      </c>
      <c r="AC1048" s="38">
        <f>IF($B1048="","",(IFERROR(INDEX(Setup!$G$33:$G$40,MATCH(C1048,Setup!$B$33:$B$40,0)),0)=1)*(COUNTIF(C1008:E1025,$B1048)+COUNTIF(C1008:E1025,$B1048&amp;" ~*")&gt;0)+(IFERROR(INDEX(Setup!$G$33:$G$40,MATCH(G1048,Setup!$B$33:$B$40,0)),0)=1)*(COUNTIF(G1008:I1025,$B1048)+COUNTIF(G1008:I1025,$B1048&amp;" ~*")&gt;0)+(IFERROR(INDEX(Setup!$G$33:$G$40,MATCH(K1048,Setup!$B$33:$B$40,0)),0)=1)*(COUNTIF(K1008:M1025,$B1048)+COUNTIF(K1008:M1025,$B1048&amp;" ~*")&gt;0)+(IFERROR(INDEX(Setup!$G$33:$G$40,MATCH(O1048,Setup!$B$33:$B$40,0)),0)=1)*(COUNTIF(O1008:Q1025,$B1048)+COUNTIF(O1008:Q1025,$B1048&amp;" ~*")&gt;0)+(IFERROR(INDEX(Setup!$G$33:$G$40,MATCH(S1048,Setup!$B$33:$B$40,0)),0)=1)*(COUNTIF(S1008:U1025,$B1048)+COUNTIF(S1008:U1025,$B1048&amp;" ~*")&gt;0)+(IFERROR(INDEX(Setup!$G$33:$G$40,MATCH(W1048,Setup!$B$33:$B$40,0)),0)=1)*(COUNTIF(W1008:W1025,$B1048)+COUNTIF(W1008:W1025,$B1048&amp;" ~*")&gt;0)+(IFERROR(INDEX(Setup!$G$33:$G$40,MATCH(Y1048,Setup!$B$33:$B$40,0)),0)=1)*(COUNTIF(Y1008:Y1025,$B1048)+COUNTIF(Y1008:Y1025,$B1048&amp;" ~*")&gt;0))</f>
        <v/>
      </c>
    </row>
    <row r="1049" ht="15" customHeight="1">
      <c r="A1049" t="n">
        <v>21</v>
      </c>
      <c r="B1049" s="35">
        <f>IF(Setup!$B$28="","",Setup!$B$28)</f>
        <v/>
      </c>
      <c r="C1049" s="98" t="n"/>
      <c r="D1049" s="99" t="n"/>
      <c r="E1049" s="99" t="n"/>
      <c r="F1049" s="100" t="n"/>
      <c r="G1049" s="98" t="n"/>
      <c r="H1049" s="99" t="n"/>
      <c r="I1049" s="99" t="n"/>
      <c r="J1049" s="100" t="n"/>
      <c r="K1049" s="98" t="n"/>
      <c r="L1049" s="99" t="n"/>
      <c r="M1049" s="99" t="n"/>
      <c r="N1049" s="100" t="n"/>
      <c r="O1049" s="98" t="n"/>
      <c r="P1049" s="99" t="n"/>
      <c r="Q1049" s="99" t="n"/>
      <c r="R1049" s="100" t="n"/>
      <c r="S1049" s="98" t="n"/>
      <c r="T1049" s="99" t="n"/>
      <c r="U1049" s="99" t="n"/>
      <c r="V1049" s="100" t="n"/>
      <c r="W1049" s="98" t="n"/>
      <c r="X1049" s="100" t="n"/>
      <c r="Y1049" s="98" t="n"/>
      <c r="Z1049" s="100" t="n"/>
      <c r="AB1049" s="101">
        <f>IF($B1049="","",(COUNTIF(C1008:E1025,$B1049)+COUNTIF(C1008:E1025,$B1049&amp;" ~*")&gt;0)+(COUNTIF(G1008:I1025,$B1049)+COUNTIF(G1008:I1025,$B1049&amp;" ~*")&gt;0)+(COUNTIF(K1008:M1025,$B1049)+COUNTIF(K1008:M1025,$B1049&amp;" ~*")&gt;0)+(COUNTIF(O1008:Q1025,$B1049)+COUNTIF(O1008:Q1025,$B1049&amp;" ~*")&gt;0)+(COUNTIF(S1008:U1025,$B1049)+COUNTIF(S1008:U1025,$B1049&amp;" ~*")&gt;0)+(COUNTIF(W1008:W1025,$B1049)+COUNTIF(W1008:W1025,$B1049&amp;" ~*")&gt;0)+(COUNTIF(Y1008:Y1025,$B1049)+COUNTIF(Y1008:Y1025,$B1049&amp;" ~*")&gt;0))</f>
        <v/>
      </c>
      <c r="AC1049" s="36">
        <f>IF($B1049="","",(IFERROR(INDEX(Setup!$G$33:$G$40,MATCH(C1049,Setup!$B$33:$B$40,0)),0)=1)*(COUNTIF(C1008:E1025,$B1049)+COUNTIF(C1008:E1025,$B1049&amp;" ~*")&gt;0)+(IFERROR(INDEX(Setup!$G$33:$G$40,MATCH(G1049,Setup!$B$33:$B$40,0)),0)=1)*(COUNTIF(G1008:I1025,$B1049)+COUNTIF(G1008:I1025,$B1049&amp;" ~*")&gt;0)+(IFERROR(INDEX(Setup!$G$33:$G$40,MATCH(K1049,Setup!$B$33:$B$40,0)),0)=1)*(COUNTIF(K1008:M1025,$B1049)+COUNTIF(K1008:M1025,$B1049&amp;" ~*")&gt;0)+(IFERROR(INDEX(Setup!$G$33:$G$40,MATCH(O1049,Setup!$B$33:$B$40,0)),0)=1)*(COUNTIF(O1008:Q1025,$B1049)+COUNTIF(O1008:Q1025,$B1049&amp;" ~*")&gt;0)+(IFERROR(INDEX(Setup!$G$33:$G$40,MATCH(S1049,Setup!$B$33:$B$40,0)),0)=1)*(COUNTIF(S1008:U1025,$B1049)+COUNTIF(S1008:U1025,$B1049&amp;" ~*")&gt;0)+(IFERROR(INDEX(Setup!$G$33:$G$40,MATCH(W1049,Setup!$B$33:$B$40,0)),0)=1)*(COUNTIF(W1008:W1025,$B1049)+COUNTIF(W1008:W1025,$B1049&amp;" ~*")&gt;0)+(IFERROR(INDEX(Setup!$G$33:$G$40,MATCH(Y1049,Setup!$B$33:$B$40,0)),0)=1)*(COUNTIF(Y1008:Y1025,$B1049)+COUNTIF(Y1008:Y1025,$B1049&amp;" ~*")&gt;0))</f>
        <v/>
      </c>
    </row>
    <row r="1050" ht="15" customHeight="1">
      <c r="A1050" t="n">
        <v>21</v>
      </c>
      <c r="B1050" s="37">
        <f>IF(Setup!$B$29="","",Setup!$B$29)</f>
        <v/>
      </c>
      <c r="C1050" s="102" t="n"/>
      <c r="D1050" s="103" t="n"/>
      <c r="E1050" s="103" t="n"/>
      <c r="F1050" s="104" t="n"/>
      <c r="G1050" s="102" t="n"/>
      <c r="H1050" s="103" t="n"/>
      <c r="I1050" s="103" t="n"/>
      <c r="J1050" s="104" t="n"/>
      <c r="K1050" s="102" t="n"/>
      <c r="L1050" s="103" t="n"/>
      <c r="M1050" s="103" t="n"/>
      <c r="N1050" s="104" t="n"/>
      <c r="O1050" s="102" t="n"/>
      <c r="P1050" s="103" t="n"/>
      <c r="Q1050" s="103" t="n"/>
      <c r="R1050" s="104" t="n"/>
      <c r="S1050" s="102" t="n"/>
      <c r="T1050" s="103" t="n"/>
      <c r="U1050" s="103" t="n"/>
      <c r="V1050" s="104" t="n"/>
      <c r="W1050" s="102" t="n"/>
      <c r="X1050" s="104" t="n"/>
      <c r="Y1050" s="102" t="n"/>
      <c r="Z1050" s="104" t="n"/>
      <c r="AB1050" s="105">
        <f>IF($B1050="","",(COUNTIF(C1008:E1025,$B1050)+COUNTIF(C1008:E1025,$B1050&amp;" ~*")&gt;0)+(COUNTIF(G1008:I1025,$B1050)+COUNTIF(G1008:I1025,$B1050&amp;" ~*")&gt;0)+(COUNTIF(K1008:M1025,$B1050)+COUNTIF(K1008:M1025,$B1050&amp;" ~*")&gt;0)+(COUNTIF(O1008:Q1025,$B1050)+COUNTIF(O1008:Q1025,$B1050&amp;" ~*")&gt;0)+(COUNTIF(S1008:U1025,$B1050)+COUNTIF(S1008:U1025,$B1050&amp;" ~*")&gt;0)+(COUNTIF(W1008:W1025,$B1050)+COUNTIF(W1008:W1025,$B1050&amp;" ~*")&gt;0)+(COUNTIF(Y1008:Y1025,$B1050)+COUNTIF(Y1008:Y1025,$B1050&amp;" ~*")&gt;0))</f>
        <v/>
      </c>
      <c r="AC1050" s="38">
        <f>IF($B1050="","",(IFERROR(INDEX(Setup!$G$33:$G$40,MATCH(C1050,Setup!$B$33:$B$40,0)),0)=1)*(COUNTIF(C1008:E1025,$B1050)+COUNTIF(C1008:E1025,$B1050&amp;" ~*")&gt;0)+(IFERROR(INDEX(Setup!$G$33:$G$40,MATCH(G1050,Setup!$B$33:$B$40,0)),0)=1)*(COUNTIF(G1008:I1025,$B1050)+COUNTIF(G1008:I1025,$B1050&amp;" ~*")&gt;0)+(IFERROR(INDEX(Setup!$G$33:$G$40,MATCH(K1050,Setup!$B$33:$B$40,0)),0)=1)*(COUNTIF(K1008:M1025,$B1050)+COUNTIF(K1008:M1025,$B1050&amp;" ~*")&gt;0)+(IFERROR(INDEX(Setup!$G$33:$G$40,MATCH(O1050,Setup!$B$33:$B$40,0)),0)=1)*(COUNTIF(O1008:Q1025,$B1050)+COUNTIF(O1008:Q1025,$B1050&amp;" ~*")&gt;0)+(IFERROR(INDEX(Setup!$G$33:$G$40,MATCH(S1050,Setup!$B$33:$B$40,0)),0)=1)*(COUNTIF(S1008:U1025,$B1050)+COUNTIF(S1008:U1025,$B1050&amp;" ~*")&gt;0)+(IFERROR(INDEX(Setup!$G$33:$G$40,MATCH(W1050,Setup!$B$33:$B$40,0)),0)=1)*(COUNTIF(W1008:W1025,$B1050)+COUNTIF(W1008:W1025,$B1050&amp;" ~*")&gt;0)+(IFERROR(INDEX(Setup!$G$33:$G$40,MATCH(Y1050,Setup!$B$33:$B$40,0)),0)=1)*(COUNTIF(Y1008:Y1025,$B1050)+COUNTIF(Y1008:Y1025,$B1050&amp;" ~*")&gt;0))</f>
        <v/>
      </c>
    </row>
    <row r="1051" ht="16" customHeight="1">
      <c r="A1051" t="n">
        <v>21</v>
      </c>
      <c r="B1051" s="106" t="inlineStr">
        <is>
          <t>Available people</t>
        </is>
      </c>
      <c r="C1051" s="107">
        <f>COUNTIFS(Setup!$E$6:$E$29,"Y",Setup!$B$6:$B$29,"?*")-SUMPRODUCT(COUNTIF(C1027:C1050,Setup!$F$33:$F$40))</f>
        <v/>
      </c>
      <c r="D1051" s="107" t="n"/>
      <c r="E1051" s="107" t="n"/>
      <c r="F1051" s="107" t="n"/>
      <c r="G1051" s="107">
        <f>COUNTIFS(Setup!$E$6:$E$29,"Y",Setup!$B$6:$B$29,"?*")-SUMPRODUCT(COUNTIF(G1027:G1050,Setup!$F$33:$F$40))</f>
        <v/>
      </c>
      <c r="H1051" s="107" t="n"/>
      <c r="I1051" s="107" t="n"/>
      <c r="J1051" s="107" t="n"/>
      <c r="K1051" s="107">
        <f>COUNTIFS(Setup!$E$6:$E$29,"Y",Setup!$B$6:$B$29,"?*")-SUMPRODUCT(COUNTIF(K1027:K1050,Setup!$F$33:$F$40))</f>
        <v/>
      </c>
      <c r="L1051" s="107" t="n"/>
      <c r="M1051" s="107" t="n"/>
      <c r="N1051" s="107" t="n"/>
      <c r="O1051" s="107">
        <f>COUNTIFS(Setup!$E$6:$E$29,"Y",Setup!$B$6:$B$29,"?*")-SUMPRODUCT(COUNTIF(O1027:O1050,Setup!$F$33:$F$40))</f>
        <v/>
      </c>
      <c r="P1051" s="107" t="n"/>
      <c r="Q1051" s="107" t="n"/>
      <c r="R1051" s="107" t="n"/>
      <c r="S1051" s="107">
        <f>COUNTIFS(Setup!$E$6:$E$29,"Y",Setup!$B$6:$B$29,"?*")-SUMPRODUCT(COUNTIF(S1027:S1050,Setup!$F$33:$F$40))</f>
        <v/>
      </c>
      <c r="T1051" s="107" t="n"/>
      <c r="U1051" s="107" t="n"/>
      <c r="V1051" s="107" t="n"/>
      <c r="W1051" s="107">
        <f>COUNTIFS(Setup!$E$6:$E$29,"Y",Setup!$B$6:$B$29,"?*")-SUMPRODUCT(COUNTIF(W1027:W1050,Setup!$F$33:$F$40))</f>
        <v/>
      </c>
      <c r="X1051" s="107" t="n"/>
      <c r="Y1051" s="107">
        <f>COUNTIFS(Setup!$E$6:$E$29,"Y",Setup!$B$6:$B$29,"?*")-SUMPRODUCT(COUNTIF(Y1027:Y1050,Setup!$F$33:$F$40))</f>
        <v/>
      </c>
      <c r="Z1051" s="107" t="n"/>
      <c r="AB1051" s="108">
        <f>SUM(AB1027:AB1050)</f>
        <v/>
      </c>
      <c r="AC1051" s="109">
        <f>SUM(AC1027:AC1050)</f>
        <v/>
      </c>
    </row>
    <row r="1052" ht="30" customHeight="1">
      <c r="A1052" t="n">
        <v>21</v>
      </c>
      <c r="B1052" s="110" t="inlineStr">
        <is>
          <t>Week notes</t>
        </is>
      </c>
      <c r="C1052" s="111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112" t="n"/>
      <c r="R1052" s="112" t="n"/>
      <c r="S1052" s="112" t="n"/>
      <c r="T1052" s="112" t="n"/>
      <c r="U1052" s="112" t="n"/>
      <c r="V1052" s="112" t="n"/>
      <c r="W1052" s="112" t="n"/>
      <c r="X1052" s="112" t="n"/>
      <c r="Y1052" s="112" t="n"/>
      <c r="Z1052" s="113" t="n"/>
    </row>
    <row r="1053" ht="8" customHeight="1">
      <c r="A1053" t="n">
        <v>21</v>
      </c>
    </row>
    <row r="1054" ht="8" customHeight="1">
      <c r="A1054" t="n">
        <v>21</v>
      </c>
    </row>
    <row r="1055" ht="24" customHeight="1">
      <c r="A1055" t="n">
        <v>22</v>
      </c>
      <c r="B1055" s="73">
        <f>"WEEK 22     "&amp;TEXT(C1056,"ddd d mmm")&amp;"  –  "&amp;TEXT(C1056+6,"ddd d mmm yyyy")</f>
        <v/>
      </c>
      <c r="S1055" s="74">
        <f>IF(TODAY()&lt;C1056,"FUTURE",IF(TODAY()&gt;C1056+6,"PAST","THIS WEEK"))</f>
        <v/>
      </c>
      <c r="W1055" s="75">
        <f>IF(AND(Engine!$B$8=$AC$3,Engine!$B$9=$A1055),"◀ ACTIVE WEEK","")</f>
        <v/>
      </c>
      <c r="AA1055" s="76" t="n"/>
      <c r="AB1055" s="77" t="inlineStr">
        <is>
          <t>◀ Prev</t>
        </is>
      </c>
      <c r="AC1055" s="77" t="inlineStr">
        <is>
          <t>Next ▶</t>
        </is>
      </c>
    </row>
    <row r="1056" ht="18" customHeight="1">
      <c r="A1056" t="n">
        <v>22</v>
      </c>
      <c r="B1056" s="78" t="inlineStr">
        <is>
          <t>DUTY</t>
        </is>
      </c>
      <c r="C1056" s="79">
        <f>$AC$2+7*($A1056-1)</f>
        <v/>
      </c>
      <c r="D1056" s="80" t="n"/>
      <c r="E1056" s="80" t="n"/>
      <c r="F1056" s="81" t="n"/>
      <c r="G1056" s="79">
        <f>C1056+1</f>
        <v/>
      </c>
      <c r="H1056" s="80" t="n"/>
      <c r="I1056" s="80" t="n"/>
      <c r="J1056" s="81" t="n"/>
      <c r="K1056" s="79">
        <f>C1056+2</f>
        <v/>
      </c>
      <c r="L1056" s="80" t="n"/>
      <c r="M1056" s="80" t="n"/>
      <c r="N1056" s="81" t="n"/>
      <c r="O1056" s="79">
        <f>C1056+3</f>
        <v/>
      </c>
      <c r="P1056" s="80" t="n"/>
      <c r="Q1056" s="80" t="n"/>
      <c r="R1056" s="81" t="n"/>
      <c r="S1056" s="79">
        <f>C1056+4</f>
        <v/>
      </c>
      <c r="T1056" s="80" t="n"/>
      <c r="U1056" s="80" t="n"/>
      <c r="V1056" s="81" t="n"/>
      <c r="W1056" s="82">
        <f>C1056+5</f>
        <v/>
      </c>
      <c r="X1056" s="83" t="n"/>
      <c r="Y1056" s="82">
        <f>C1056+6</f>
        <v/>
      </c>
      <c r="Z1056" s="83" t="n"/>
      <c r="AB1056" s="72" t="inlineStr">
        <is>
          <t>Gaps</t>
        </is>
      </c>
      <c r="AC1056" s="72" t="inlineStr">
        <is>
          <t>Cover</t>
        </is>
      </c>
    </row>
    <row r="1057" ht="14" customHeight="1">
      <c r="A1057" t="n">
        <v>22</v>
      </c>
      <c r="B1057" s="84" t="inlineStr">
        <is>
          <t>(from Setup)</t>
        </is>
      </c>
      <c r="C1057" s="85" t="inlineStr">
        <is>
          <t>1</t>
        </is>
      </c>
      <c r="D1057" s="85" t="inlineStr">
        <is>
          <t>2</t>
        </is>
      </c>
      <c r="E1057" s="85" t="inlineStr">
        <is>
          <t>3</t>
        </is>
      </c>
      <c r="F1057" s="85" t="inlineStr">
        <is>
          <t>Notes</t>
        </is>
      </c>
      <c r="G1057" s="85" t="inlineStr">
        <is>
          <t>1</t>
        </is>
      </c>
      <c r="H1057" s="85" t="inlineStr">
        <is>
          <t>2</t>
        </is>
      </c>
      <c r="I1057" s="85" t="inlineStr">
        <is>
          <t>3</t>
        </is>
      </c>
      <c r="J1057" s="85" t="inlineStr">
        <is>
          <t>Notes</t>
        </is>
      </c>
      <c r="K1057" s="85" t="inlineStr">
        <is>
          <t>1</t>
        </is>
      </c>
      <c r="L1057" s="85" t="inlineStr">
        <is>
          <t>2</t>
        </is>
      </c>
      <c r="M1057" s="85" t="inlineStr">
        <is>
          <t>3</t>
        </is>
      </c>
      <c r="N1057" s="85" t="inlineStr">
        <is>
          <t>Notes</t>
        </is>
      </c>
      <c r="O1057" s="85" t="inlineStr">
        <is>
          <t>1</t>
        </is>
      </c>
      <c r="P1057" s="85" t="inlineStr">
        <is>
          <t>2</t>
        </is>
      </c>
      <c r="Q1057" s="85" t="inlineStr">
        <is>
          <t>3</t>
        </is>
      </c>
      <c r="R1057" s="85" t="inlineStr">
        <is>
          <t>Notes</t>
        </is>
      </c>
      <c r="S1057" s="85" t="inlineStr">
        <is>
          <t>1</t>
        </is>
      </c>
      <c r="T1057" s="85" t="inlineStr">
        <is>
          <t>2</t>
        </is>
      </c>
      <c r="U1057" s="85" t="inlineStr">
        <is>
          <t>3</t>
        </is>
      </c>
      <c r="V1057" s="85" t="inlineStr">
        <is>
          <t>Notes</t>
        </is>
      </c>
      <c r="W1057" s="85" t="inlineStr">
        <is>
          <t>Cover</t>
        </is>
      </c>
      <c r="X1057" s="85" t="inlineStr">
        <is>
          <t>Notes</t>
        </is>
      </c>
      <c r="Y1057" s="85" t="inlineStr">
        <is>
          <t>Cover</t>
        </is>
      </c>
      <c r="Z1057" s="85" t="inlineStr">
        <is>
          <t>Notes</t>
        </is>
      </c>
      <c r="AB1057" s="86" t="inlineStr">
        <is>
          <t>weekdays short</t>
        </is>
      </c>
      <c r="AC1057" s="87" t="inlineStr"/>
    </row>
    <row r="1058" ht="17" customHeight="1">
      <c r="A1058" t="n">
        <v>22</v>
      </c>
      <c r="B1058" s="24">
        <f>IF(Setup!$K$6="","",Setup!$K$6)</f>
        <v/>
      </c>
      <c r="C1058" s="88" t="n"/>
      <c r="D1058" s="88" t="n"/>
      <c r="E1058" s="88" t="n"/>
      <c r="F1058" s="89" t="n"/>
      <c r="G1058" s="88" t="n"/>
      <c r="H1058" s="88" t="n"/>
      <c r="I1058" s="88" t="n"/>
      <c r="J1058" s="89" t="n"/>
      <c r="K1058" s="88" t="n"/>
      <c r="L1058" s="88" t="n"/>
      <c r="M1058" s="88" t="n"/>
      <c r="N1058" s="89" t="n"/>
      <c r="O1058" s="88" t="n"/>
      <c r="P1058" s="88" t="n"/>
      <c r="Q1058" s="88" t="n"/>
      <c r="R1058" s="89" t="n"/>
      <c r="S1058" s="88" t="n"/>
      <c r="T1058" s="88" t="n"/>
      <c r="U1058" s="88" t="n"/>
      <c r="V1058" s="89" t="n"/>
      <c r="W1058" s="88" t="n"/>
      <c r="X1058" s="89" t="n"/>
      <c r="Y1058" s="88" t="n"/>
      <c r="Z1058" s="89" t="n"/>
      <c r="AB1058" s="25">
        <f>IF($B1058="","",(COUNTIF(C1058:E1058,"?*")&lt;N(INDEX(Setup!$L$6:$L$23,1)))+(COUNTIF(G1058:I1058,"?*")&lt;N(INDEX(Setup!$L$6:$L$23,1)))+(COUNTIF(K1058:M1058,"?*")&lt;N(INDEX(Setup!$L$6:$L$23,1)))+(COUNTIF(O1058:Q1058,"?*")&lt;N(INDEX(Setup!$L$6:$L$23,1)))+(COUNTIF(S1058:U1058,"?*")&lt;N(INDEX(Setup!$L$6:$L$23,1)))+((W1058="")*(INDEX(Setup!$M$6:$M$23,1)="Y"))+((Y1058="")*(INDEX(Setup!$M$6:$M$23,1)="Y")))</f>
        <v/>
      </c>
      <c r="AC1058" s="90">
        <f>IF($B1058="","",IF(AB1058=0,"✓ covered","⚠ "&amp;AB1058&amp;IF(AB1058=1," gap"," gaps")))</f>
        <v/>
      </c>
    </row>
    <row r="1059" ht="17" customHeight="1">
      <c r="A1059" t="n">
        <v>22</v>
      </c>
      <c r="B1059" s="29">
        <f>IF(Setup!$K$7="","",Setup!$K$7)</f>
        <v/>
      </c>
      <c r="C1059" s="88" t="n"/>
      <c r="D1059" s="88" t="n"/>
      <c r="E1059" s="88" t="n"/>
      <c r="F1059" s="89" t="n"/>
      <c r="G1059" s="88" t="n"/>
      <c r="H1059" s="88" t="n"/>
      <c r="I1059" s="88" t="n"/>
      <c r="J1059" s="89" t="n"/>
      <c r="K1059" s="88" t="n"/>
      <c r="L1059" s="88" t="n"/>
      <c r="M1059" s="88" t="n"/>
      <c r="N1059" s="89" t="n"/>
      <c r="O1059" s="88" t="n"/>
      <c r="P1059" s="88" t="n"/>
      <c r="Q1059" s="88" t="n"/>
      <c r="R1059" s="89" t="n"/>
      <c r="S1059" s="88" t="n"/>
      <c r="T1059" s="88" t="n"/>
      <c r="U1059" s="88" t="n"/>
      <c r="V1059" s="89" t="n"/>
      <c r="W1059" s="88" t="n"/>
      <c r="X1059" s="89" t="n"/>
      <c r="Y1059" s="88" t="n"/>
      <c r="Z1059" s="89" t="n"/>
      <c r="AB1059" s="30">
        <f>IF($B1059="","",(COUNTIF(C1059:E1059,"?*")&lt;N(INDEX(Setup!$L$6:$L$23,2)))+(COUNTIF(G1059:I1059,"?*")&lt;N(INDEX(Setup!$L$6:$L$23,2)))+(COUNTIF(K1059:M1059,"?*")&lt;N(INDEX(Setup!$L$6:$L$23,2)))+(COUNTIF(O1059:Q1059,"?*")&lt;N(INDEX(Setup!$L$6:$L$23,2)))+(COUNTIF(S1059:U1059,"?*")&lt;N(INDEX(Setup!$L$6:$L$23,2)))+((W1059="")*(INDEX(Setup!$M$6:$M$23,2)="Y"))+((Y1059="")*(INDEX(Setup!$M$6:$M$23,2)="Y")))</f>
        <v/>
      </c>
      <c r="AC1059" s="91">
        <f>IF($B1059="","",IF(AB1059=0,"✓ covered","⚠ "&amp;AB1059&amp;IF(AB1059=1," gap"," gaps")))</f>
        <v/>
      </c>
    </row>
    <row r="1060" ht="17" customHeight="1">
      <c r="A1060" t="n">
        <v>22</v>
      </c>
      <c r="B1060" s="24">
        <f>IF(Setup!$K$8="","",Setup!$K$8)</f>
        <v/>
      </c>
      <c r="C1060" s="88" t="inlineStr">
        <is>
          <t>NT</t>
        </is>
      </c>
      <c r="D1060" s="88" t="n"/>
      <c r="E1060" s="88" t="n"/>
      <c r="F1060" s="89" t="n"/>
      <c r="G1060" s="88" t="n"/>
      <c r="H1060" s="88" t="n"/>
      <c r="I1060" s="88" t="n"/>
      <c r="J1060" s="89" t="n"/>
      <c r="K1060" s="88" t="n"/>
      <c r="L1060" s="88" t="n"/>
      <c r="M1060" s="88" t="n"/>
      <c r="N1060" s="89" t="n"/>
      <c r="O1060" s="88" t="n"/>
      <c r="P1060" s="88" t="n"/>
      <c r="Q1060" s="88" t="n"/>
      <c r="R1060" s="89" t="n"/>
      <c r="S1060" s="88" t="n"/>
      <c r="T1060" s="88" t="n"/>
      <c r="U1060" s="88" t="n"/>
      <c r="V1060" s="89" t="n"/>
      <c r="W1060" s="88" t="n"/>
      <c r="X1060" s="89" t="n"/>
      <c r="Y1060" s="88" t="n"/>
      <c r="Z1060" s="89" t="n"/>
      <c r="AB1060" s="25">
        <f>IF($B1060="","",(COUNTIF(C1060:E1060,"?*")&lt;N(INDEX(Setup!$L$6:$L$23,3)))+(COUNTIF(G1060:I1060,"?*")&lt;N(INDEX(Setup!$L$6:$L$23,3)))+(COUNTIF(K1060:M1060,"?*")&lt;N(INDEX(Setup!$L$6:$L$23,3)))+(COUNTIF(O1060:Q1060,"?*")&lt;N(INDEX(Setup!$L$6:$L$23,3)))+(COUNTIF(S1060:U1060,"?*")&lt;N(INDEX(Setup!$L$6:$L$23,3)))+((W1060="")*(INDEX(Setup!$M$6:$M$23,3)="Y"))+((Y1060="")*(INDEX(Setup!$M$6:$M$23,3)="Y")))</f>
        <v/>
      </c>
      <c r="AC1060" s="90">
        <f>IF($B1060="","",IF(AB1060=0,"✓ covered","⚠ "&amp;AB1060&amp;IF(AB1060=1," gap"," gaps")))</f>
        <v/>
      </c>
    </row>
    <row r="1061" ht="17" customHeight="1">
      <c r="A1061" t="n">
        <v>22</v>
      </c>
      <c r="B1061" s="29">
        <f>IF(Setup!$K$9="","",Setup!$K$9)</f>
        <v/>
      </c>
      <c r="C1061" s="88" t="n"/>
      <c r="D1061" s="88" t="n"/>
      <c r="E1061" s="88" t="n"/>
      <c r="F1061" s="89" t="n"/>
      <c r="G1061" s="88" t="n"/>
      <c r="H1061" s="88" t="n"/>
      <c r="I1061" s="88" t="n"/>
      <c r="J1061" s="89" t="n"/>
      <c r="K1061" s="88" t="n"/>
      <c r="L1061" s="88" t="n"/>
      <c r="M1061" s="88" t="n"/>
      <c r="N1061" s="89" t="n"/>
      <c r="O1061" s="88" t="n"/>
      <c r="P1061" s="88" t="n"/>
      <c r="Q1061" s="88" t="n"/>
      <c r="R1061" s="89" t="n"/>
      <c r="S1061" s="88" t="n"/>
      <c r="T1061" s="88" t="n"/>
      <c r="U1061" s="88" t="n"/>
      <c r="V1061" s="89" t="n"/>
      <c r="W1061" s="88" t="n"/>
      <c r="X1061" s="89" t="n"/>
      <c r="Y1061" s="88" t="n"/>
      <c r="Z1061" s="89" t="n"/>
      <c r="AB1061" s="30">
        <f>IF($B1061="","",(COUNTIF(C1061:E1061,"?*")&lt;N(INDEX(Setup!$L$6:$L$23,4)))+(COUNTIF(G1061:I1061,"?*")&lt;N(INDEX(Setup!$L$6:$L$23,4)))+(COUNTIF(K1061:M1061,"?*")&lt;N(INDEX(Setup!$L$6:$L$23,4)))+(COUNTIF(O1061:Q1061,"?*")&lt;N(INDEX(Setup!$L$6:$L$23,4)))+(COUNTIF(S1061:U1061,"?*")&lt;N(INDEX(Setup!$L$6:$L$23,4)))+((W1061="")*(INDEX(Setup!$M$6:$M$23,4)="Y"))+((Y1061="")*(INDEX(Setup!$M$6:$M$23,4)="Y")))</f>
        <v/>
      </c>
      <c r="AC1061" s="91">
        <f>IF($B1061="","",IF(AB1061=0,"✓ covered","⚠ "&amp;AB1061&amp;IF(AB1061=1," gap"," gaps")))</f>
        <v/>
      </c>
    </row>
    <row r="1062" ht="17" customHeight="1">
      <c r="A1062" t="n">
        <v>22</v>
      </c>
      <c r="B1062" s="24">
        <f>IF(Setup!$K$10="","",Setup!$K$10)</f>
        <v/>
      </c>
      <c r="C1062" s="88" t="n"/>
      <c r="D1062" s="88" t="n"/>
      <c r="E1062" s="88" t="n"/>
      <c r="F1062" s="89" t="n"/>
      <c r="G1062" s="88" t="n"/>
      <c r="H1062" s="88" t="n"/>
      <c r="I1062" s="88" t="n"/>
      <c r="J1062" s="89" t="n"/>
      <c r="K1062" s="88" t="n"/>
      <c r="L1062" s="88" t="n"/>
      <c r="M1062" s="88" t="n"/>
      <c r="N1062" s="89" t="n"/>
      <c r="O1062" s="88" t="n"/>
      <c r="P1062" s="88" t="n"/>
      <c r="Q1062" s="88" t="n"/>
      <c r="R1062" s="89" t="n"/>
      <c r="S1062" s="88" t="n"/>
      <c r="T1062" s="88" t="n"/>
      <c r="U1062" s="88" t="n"/>
      <c r="V1062" s="89" t="n"/>
      <c r="W1062" s="88" t="n"/>
      <c r="X1062" s="89" t="n"/>
      <c r="Y1062" s="88" t="n"/>
      <c r="Z1062" s="89" t="n"/>
      <c r="AB1062" s="25">
        <f>IF($B1062="","",(COUNTIF(C1062:E1062,"?*")&lt;N(INDEX(Setup!$L$6:$L$23,5)))+(COUNTIF(G1062:I1062,"?*")&lt;N(INDEX(Setup!$L$6:$L$23,5)))+(COUNTIF(K1062:M1062,"?*")&lt;N(INDEX(Setup!$L$6:$L$23,5)))+(COUNTIF(O1062:Q1062,"?*")&lt;N(INDEX(Setup!$L$6:$L$23,5)))+(COUNTIF(S1062:U1062,"?*")&lt;N(INDEX(Setup!$L$6:$L$23,5)))+((W1062="")*(INDEX(Setup!$M$6:$M$23,5)="Y"))+((Y1062="")*(INDEX(Setup!$M$6:$M$23,5)="Y")))</f>
        <v/>
      </c>
      <c r="AC1062" s="90">
        <f>IF($B1062="","",IF(AB1062=0,"✓ covered","⚠ "&amp;AB1062&amp;IF(AB1062=1," gap"," gaps")))</f>
        <v/>
      </c>
    </row>
    <row r="1063" ht="17" customHeight="1">
      <c r="A1063" t="n">
        <v>22</v>
      </c>
      <c r="B1063" s="29">
        <f>IF(Setup!$K$11="","",Setup!$K$11)</f>
        <v/>
      </c>
      <c r="C1063" s="88" t="n"/>
      <c r="D1063" s="88" t="n"/>
      <c r="E1063" s="88" t="n"/>
      <c r="F1063" s="89" t="n"/>
      <c r="G1063" s="88" t="n"/>
      <c r="H1063" s="88" t="n"/>
      <c r="I1063" s="88" t="n"/>
      <c r="J1063" s="89" t="n"/>
      <c r="K1063" s="88" t="n"/>
      <c r="L1063" s="88" t="n"/>
      <c r="M1063" s="88" t="n"/>
      <c r="N1063" s="89" t="n"/>
      <c r="O1063" s="88" t="n"/>
      <c r="P1063" s="88" t="n"/>
      <c r="Q1063" s="88" t="n"/>
      <c r="R1063" s="89" t="n"/>
      <c r="S1063" s="88" t="n"/>
      <c r="T1063" s="88" t="n"/>
      <c r="U1063" s="88" t="n"/>
      <c r="V1063" s="89" t="n"/>
      <c r="W1063" s="88" t="n"/>
      <c r="X1063" s="89" t="n"/>
      <c r="Y1063" s="88" t="n"/>
      <c r="Z1063" s="89" t="n"/>
      <c r="AB1063" s="30">
        <f>IF($B1063="","",(COUNTIF(C1063:E1063,"?*")&lt;N(INDEX(Setup!$L$6:$L$23,6)))+(COUNTIF(G1063:I1063,"?*")&lt;N(INDEX(Setup!$L$6:$L$23,6)))+(COUNTIF(K1063:M1063,"?*")&lt;N(INDEX(Setup!$L$6:$L$23,6)))+(COUNTIF(O1063:Q1063,"?*")&lt;N(INDEX(Setup!$L$6:$L$23,6)))+(COUNTIF(S1063:U1063,"?*")&lt;N(INDEX(Setup!$L$6:$L$23,6)))+((W1063="")*(INDEX(Setup!$M$6:$M$23,6)="Y"))+((Y1063="")*(INDEX(Setup!$M$6:$M$23,6)="Y")))</f>
        <v/>
      </c>
      <c r="AC1063" s="91">
        <f>IF($B1063="","",IF(AB1063=0,"✓ covered","⚠ "&amp;AB1063&amp;IF(AB1063=1," gap"," gaps")))</f>
        <v/>
      </c>
    </row>
    <row r="1064" ht="17" customHeight="1">
      <c r="A1064" t="n">
        <v>22</v>
      </c>
      <c r="B1064" s="24">
        <f>IF(Setup!$K$12="","",Setup!$K$12)</f>
        <v/>
      </c>
      <c r="C1064" s="88" t="n"/>
      <c r="D1064" s="88" t="n"/>
      <c r="E1064" s="88" t="n"/>
      <c r="F1064" s="89" t="n"/>
      <c r="G1064" s="88" t="n"/>
      <c r="H1064" s="88" t="n"/>
      <c r="I1064" s="88" t="n"/>
      <c r="J1064" s="89" t="n"/>
      <c r="K1064" s="88" t="n"/>
      <c r="L1064" s="88" t="n"/>
      <c r="M1064" s="88" t="n"/>
      <c r="N1064" s="89" t="n"/>
      <c r="O1064" s="88" t="n"/>
      <c r="P1064" s="88" t="n"/>
      <c r="Q1064" s="88" t="n"/>
      <c r="R1064" s="89" t="n"/>
      <c r="S1064" s="88" t="n"/>
      <c r="T1064" s="88" t="n"/>
      <c r="U1064" s="88" t="n"/>
      <c r="V1064" s="89" t="n"/>
      <c r="W1064" s="88" t="n"/>
      <c r="X1064" s="89" t="n"/>
      <c r="Y1064" s="88" t="n"/>
      <c r="Z1064" s="89" t="n"/>
      <c r="AB1064" s="25">
        <f>IF($B1064="","",(COUNTIF(C1064:E1064,"?*")&lt;N(INDEX(Setup!$L$6:$L$23,7)))+(COUNTIF(G1064:I1064,"?*")&lt;N(INDEX(Setup!$L$6:$L$23,7)))+(COUNTIF(K1064:M1064,"?*")&lt;N(INDEX(Setup!$L$6:$L$23,7)))+(COUNTIF(O1064:Q1064,"?*")&lt;N(INDEX(Setup!$L$6:$L$23,7)))+(COUNTIF(S1064:U1064,"?*")&lt;N(INDEX(Setup!$L$6:$L$23,7)))+((W1064="")*(INDEX(Setup!$M$6:$M$23,7)="Y"))+((Y1064="")*(INDEX(Setup!$M$6:$M$23,7)="Y")))</f>
        <v/>
      </c>
      <c r="AC1064" s="90">
        <f>IF($B1064="","",IF(AB1064=0,"✓ covered","⚠ "&amp;AB1064&amp;IF(AB1064=1," gap"," gaps")))</f>
        <v/>
      </c>
    </row>
    <row r="1065" ht="17" customHeight="1">
      <c r="A1065" t="n">
        <v>22</v>
      </c>
      <c r="B1065" s="29">
        <f>IF(Setup!$K$13="","",Setup!$K$13)</f>
        <v/>
      </c>
      <c r="C1065" s="88" t="n"/>
      <c r="D1065" s="88" t="n"/>
      <c r="E1065" s="88" t="n"/>
      <c r="F1065" s="89" t="n"/>
      <c r="G1065" s="88" t="n"/>
      <c r="H1065" s="88" t="n"/>
      <c r="I1065" s="88" t="n"/>
      <c r="J1065" s="89" t="n"/>
      <c r="K1065" s="88" t="n"/>
      <c r="L1065" s="88" t="n"/>
      <c r="M1065" s="88" t="n"/>
      <c r="N1065" s="89" t="n"/>
      <c r="O1065" s="88" t="n"/>
      <c r="P1065" s="88" t="n"/>
      <c r="Q1065" s="88" t="n"/>
      <c r="R1065" s="89" t="n"/>
      <c r="S1065" s="88" t="n"/>
      <c r="T1065" s="88" t="n"/>
      <c r="U1065" s="88" t="n"/>
      <c r="V1065" s="89" t="n"/>
      <c r="W1065" s="88" t="n"/>
      <c r="X1065" s="89" t="n"/>
      <c r="Y1065" s="88" t="n"/>
      <c r="Z1065" s="89" t="n"/>
      <c r="AB1065" s="30">
        <f>IF($B1065="","",(COUNTIF(C1065:E1065,"?*")&lt;N(INDEX(Setup!$L$6:$L$23,8)))+(COUNTIF(G1065:I1065,"?*")&lt;N(INDEX(Setup!$L$6:$L$23,8)))+(COUNTIF(K1065:M1065,"?*")&lt;N(INDEX(Setup!$L$6:$L$23,8)))+(COUNTIF(O1065:Q1065,"?*")&lt;N(INDEX(Setup!$L$6:$L$23,8)))+(COUNTIF(S1065:U1065,"?*")&lt;N(INDEX(Setup!$L$6:$L$23,8)))+((W1065="")*(INDEX(Setup!$M$6:$M$23,8)="Y"))+((Y1065="")*(INDEX(Setup!$M$6:$M$23,8)="Y")))</f>
        <v/>
      </c>
      <c r="AC1065" s="91">
        <f>IF($B1065="","",IF(AB1065=0,"✓ covered","⚠ "&amp;AB1065&amp;IF(AB1065=1," gap"," gaps")))</f>
        <v/>
      </c>
    </row>
    <row r="1066" ht="17" customHeight="1">
      <c r="A1066" t="n">
        <v>22</v>
      </c>
      <c r="B1066" s="24">
        <f>IF(Setup!$K$14="","",Setup!$K$14)</f>
        <v/>
      </c>
      <c r="C1066" s="88" t="n"/>
      <c r="D1066" s="88" t="n"/>
      <c r="E1066" s="88" t="n"/>
      <c r="F1066" s="89" t="n"/>
      <c r="G1066" s="88" t="n"/>
      <c r="H1066" s="88" t="n"/>
      <c r="I1066" s="88" t="n"/>
      <c r="J1066" s="89" t="n"/>
      <c r="K1066" s="88" t="n"/>
      <c r="L1066" s="88" t="n"/>
      <c r="M1066" s="88" t="n"/>
      <c r="N1066" s="89" t="n"/>
      <c r="O1066" s="88" t="n"/>
      <c r="P1066" s="88" t="n"/>
      <c r="Q1066" s="88" t="n"/>
      <c r="R1066" s="89" t="n"/>
      <c r="S1066" s="88" t="n"/>
      <c r="T1066" s="88" t="n"/>
      <c r="U1066" s="88" t="n"/>
      <c r="V1066" s="89" t="n"/>
      <c r="W1066" s="88" t="n"/>
      <c r="X1066" s="89" t="n"/>
      <c r="Y1066" s="88" t="n"/>
      <c r="Z1066" s="89" t="n"/>
      <c r="AB1066" s="25">
        <f>IF($B1066="","",(COUNTIF(C1066:E1066,"?*")&lt;N(INDEX(Setup!$L$6:$L$23,9)))+(COUNTIF(G1066:I1066,"?*")&lt;N(INDEX(Setup!$L$6:$L$23,9)))+(COUNTIF(K1066:M1066,"?*")&lt;N(INDEX(Setup!$L$6:$L$23,9)))+(COUNTIF(O1066:Q1066,"?*")&lt;N(INDEX(Setup!$L$6:$L$23,9)))+(COUNTIF(S1066:U1066,"?*")&lt;N(INDEX(Setup!$L$6:$L$23,9)))+((W1066="")*(INDEX(Setup!$M$6:$M$23,9)="Y"))+((Y1066="")*(INDEX(Setup!$M$6:$M$23,9)="Y")))</f>
        <v/>
      </c>
      <c r="AC1066" s="90">
        <f>IF($B1066="","",IF(AB1066=0,"✓ covered","⚠ "&amp;AB1066&amp;IF(AB1066=1," gap"," gaps")))</f>
        <v/>
      </c>
    </row>
    <row r="1067" ht="17" customHeight="1">
      <c r="A1067" t="n">
        <v>22</v>
      </c>
      <c r="B1067" s="29">
        <f>IF(Setup!$K$15="","",Setup!$K$15)</f>
        <v/>
      </c>
      <c r="C1067" s="88" t="n"/>
      <c r="D1067" s="88" t="n"/>
      <c r="E1067" s="88" t="n"/>
      <c r="F1067" s="89" t="n"/>
      <c r="G1067" s="88" t="n"/>
      <c r="H1067" s="88" t="n"/>
      <c r="I1067" s="88" t="n"/>
      <c r="J1067" s="89" t="n"/>
      <c r="K1067" s="88" t="n"/>
      <c r="L1067" s="88" t="n"/>
      <c r="M1067" s="88" t="n"/>
      <c r="N1067" s="89" t="n"/>
      <c r="O1067" s="88" t="n"/>
      <c r="P1067" s="88" t="n"/>
      <c r="Q1067" s="88" t="n"/>
      <c r="R1067" s="89" t="n"/>
      <c r="S1067" s="88" t="n"/>
      <c r="T1067" s="88" t="n"/>
      <c r="U1067" s="88" t="n"/>
      <c r="V1067" s="89" t="n"/>
      <c r="W1067" s="88" t="n"/>
      <c r="X1067" s="89" t="n"/>
      <c r="Y1067" s="88" t="n"/>
      <c r="Z1067" s="89" t="n"/>
      <c r="AB1067" s="30">
        <f>IF($B1067="","",(COUNTIF(C1067:E1067,"?*")&lt;N(INDEX(Setup!$L$6:$L$23,10)))+(COUNTIF(G1067:I1067,"?*")&lt;N(INDEX(Setup!$L$6:$L$23,10)))+(COUNTIF(K1067:M1067,"?*")&lt;N(INDEX(Setup!$L$6:$L$23,10)))+(COUNTIF(O1067:Q1067,"?*")&lt;N(INDEX(Setup!$L$6:$L$23,10)))+(COUNTIF(S1067:U1067,"?*")&lt;N(INDEX(Setup!$L$6:$L$23,10)))+((W1067="")*(INDEX(Setup!$M$6:$M$23,10)="Y"))+((Y1067="")*(INDEX(Setup!$M$6:$M$23,10)="Y")))</f>
        <v/>
      </c>
      <c r="AC1067" s="91">
        <f>IF($B1067="","",IF(AB1067=0,"✓ covered","⚠ "&amp;AB1067&amp;IF(AB1067=1," gap"," gaps")))</f>
        <v/>
      </c>
    </row>
    <row r="1068" ht="17" customHeight="1">
      <c r="A1068" t="n">
        <v>22</v>
      </c>
      <c r="B1068" s="24">
        <f>IF(Setup!$K$16="","",Setup!$K$16)</f>
        <v/>
      </c>
      <c r="C1068" s="88" t="n"/>
      <c r="D1068" s="88" t="n"/>
      <c r="E1068" s="88" t="n"/>
      <c r="F1068" s="89" t="n"/>
      <c r="G1068" s="88" t="n"/>
      <c r="H1068" s="88" t="n"/>
      <c r="I1068" s="88" t="n"/>
      <c r="J1068" s="89" t="n"/>
      <c r="K1068" s="88" t="n"/>
      <c r="L1068" s="88" t="n"/>
      <c r="M1068" s="88" t="n"/>
      <c r="N1068" s="89" t="n"/>
      <c r="O1068" s="88" t="n"/>
      <c r="P1068" s="88" t="n"/>
      <c r="Q1068" s="88" t="n"/>
      <c r="R1068" s="89" t="n"/>
      <c r="S1068" s="88" t="n"/>
      <c r="T1068" s="88" t="n"/>
      <c r="U1068" s="88" t="n"/>
      <c r="V1068" s="89" t="n"/>
      <c r="W1068" s="88" t="n"/>
      <c r="X1068" s="89" t="n"/>
      <c r="Y1068" s="88" t="n"/>
      <c r="Z1068" s="89" t="n"/>
      <c r="AB1068" s="25">
        <f>IF($B1068="","",(COUNTIF(C1068:E1068,"?*")&lt;N(INDEX(Setup!$L$6:$L$23,11)))+(COUNTIF(G1068:I1068,"?*")&lt;N(INDEX(Setup!$L$6:$L$23,11)))+(COUNTIF(K1068:M1068,"?*")&lt;N(INDEX(Setup!$L$6:$L$23,11)))+(COUNTIF(O1068:Q1068,"?*")&lt;N(INDEX(Setup!$L$6:$L$23,11)))+(COUNTIF(S1068:U1068,"?*")&lt;N(INDEX(Setup!$L$6:$L$23,11)))+((W1068="")*(INDEX(Setup!$M$6:$M$23,11)="Y"))+((Y1068="")*(INDEX(Setup!$M$6:$M$23,11)="Y")))</f>
        <v/>
      </c>
      <c r="AC1068" s="90">
        <f>IF($B1068="","",IF(AB1068=0,"✓ covered","⚠ "&amp;AB1068&amp;IF(AB1068=1," gap"," gaps")))</f>
        <v/>
      </c>
    </row>
    <row r="1069" ht="17" customHeight="1">
      <c r="A1069" t="n">
        <v>22</v>
      </c>
      <c r="B1069" s="29">
        <f>IF(Setup!$K$17="","",Setup!$K$17)</f>
        <v/>
      </c>
      <c r="C1069" s="88" t="n"/>
      <c r="D1069" s="88" t="n"/>
      <c r="E1069" s="88" t="n"/>
      <c r="F1069" s="89" t="n"/>
      <c r="G1069" s="88" t="n"/>
      <c r="H1069" s="88" t="n"/>
      <c r="I1069" s="88" t="n"/>
      <c r="J1069" s="89" t="n"/>
      <c r="K1069" s="88" t="n"/>
      <c r="L1069" s="88" t="n"/>
      <c r="M1069" s="88" t="n"/>
      <c r="N1069" s="89" t="n"/>
      <c r="O1069" s="88" t="n"/>
      <c r="P1069" s="88" t="n"/>
      <c r="Q1069" s="88" t="n"/>
      <c r="R1069" s="89" t="n"/>
      <c r="S1069" s="88" t="n"/>
      <c r="T1069" s="88" t="n"/>
      <c r="U1069" s="88" t="n"/>
      <c r="V1069" s="89" t="n"/>
      <c r="W1069" s="88" t="n"/>
      <c r="X1069" s="89" t="n"/>
      <c r="Y1069" s="88" t="n"/>
      <c r="Z1069" s="89" t="n"/>
      <c r="AB1069" s="30">
        <f>IF($B1069="","",(COUNTIF(C1069:E1069,"?*")&lt;N(INDEX(Setup!$L$6:$L$23,12)))+(COUNTIF(G1069:I1069,"?*")&lt;N(INDEX(Setup!$L$6:$L$23,12)))+(COUNTIF(K1069:M1069,"?*")&lt;N(INDEX(Setup!$L$6:$L$23,12)))+(COUNTIF(O1069:Q1069,"?*")&lt;N(INDEX(Setup!$L$6:$L$23,12)))+(COUNTIF(S1069:U1069,"?*")&lt;N(INDEX(Setup!$L$6:$L$23,12)))+((W1069="")*(INDEX(Setup!$M$6:$M$23,12)="Y"))+((Y1069="")*(INDEX(Setup!$M$6:$M$23,12)="Y")))</f>
        <v/>
      </c>
      <c r="AC1069" s="91">
        <f>IF($B1069="","",IF(AB1069=0,"✓ covered","⚠ "&amp;AB1069&amp;IF(AB1069=1," gap"," gaps")))</f>
        <v/>
      </c>
    </row>
    <row r="1070" ht="17" customHeight="1">
      <c r="A1070" t="n">
        <v>22</v>
      </c>
      <c r="B1070" s="24">
        <f>IF(Setup!$K$18="","",Setup!$K$18)</f>
        <v/>
      </c>
      <c r="C1070" s="88" t="n"/>
      <c r="D1070" s="88" t="n"/>
      <c r="E1070" s="88" t="n"/>
      <c r="F1070" s="89" t="n"/>
      <c r="G1070" s="88" t="n"/>
      <c r="H1070" s="88" t="n"/>
      <c r="I1070" s="88" t="n"/>
      <c r="J1070" s="89" t="n"/>
      <c r="K1070" s="88" t="n"/>
      <c r="L1070" s="88" t="n"/>
      <c r="M1070" s="88" t="n"/>
      <c r="N1070" s="89" t="n"/>
      <c r="O1070" s="88" t="n"/>
      <c r="P1070" s="88" t="n"/>
      <c r="Q1070" s="88" t="n"/>
      <c r="R1070" s="89" t="n"/>
      <c r="S1070" s="88" t="n"/>
      <c r="T1070" s="88" t="n"/>
      <c r="U1070" s="88" t="n"/>
      <c r="V1070" s="89" t="n"/>
      <c r="W1070" s="88" t="n"/>
      <c r="X1070" s="89" t="n"/>
      <c r="Y1070" s="88" t="n"/>
      <c r="Z1070" s="89" t="n"/>
      <c r="AB1070" s="25">
        <f>IF($B1070="","",(COUNTIF(C1070:E1070,"?*")&lt;N(INDEX(Setup!$L$6:$L$23,13)))+(COUNTIF(G1070:I1070,"?*")&lt;N(INDEX(Setup!$L$6:$L$23,13)))+(COUNTIF(K1070:M1070,"?*")&lt;N(INDEX(Setup!$L$6:$L$23,13)))+(COUNTIF(O1070:Q1070,"?*")&lt;N(INDEX(Setup!$L$6:$L$23,13)))+(COUNTIF(S1070:U1070,"?*")&lt;N(INDEX(Setup!$L$6:$L$23,13)))+((W1070="")*(INDEX(Setup!$M$6:$M$23,13)="Y"))+((Y1070="")*(INDEX(Setup!$M$6:$M$23,13)="Y")))</f>
        <v/>
      </c>
      <c r="AC1070" s="90">
        <f>IF($B1070="","",IF(AB1070=0,"✓ covered","⚠ "&amp;AB1070&amp;IF(AB1070=1," gap"," gaps")))</f>
        <v/>
      </c>
    </row>
    <row r="1071" ht="17" customHeight="1">
      <c r="A1071" t="n">
        <v>22</v>
      </c>
      <c r="B1071" s="29">
        <f>IF(Setup!$K$19="","",Setup!$K$19)</f>
        <v/>
      </c>
      <c r="C1071" s="88" t="n"/>
      <c r="D1071" s="88" t="n"/>
      <c r="E1071" s="88" t="n"/>
      <c r="F1071" s="89" t="n"/>
      <c r="G1071" s="88" t="n"/>
      <c r="H1071" s="88" t="n"/>
      <c r="I1071" s="88" t="n"/>
      <c r="J1071" s="89" t="n"/>
      <c r="K1071" s="88" t="n"/>
      <c r="L1071" s="88" t="n"/>
      <c r="M1071" s="88" t="n"/>
      <c r="N1071" s="89" t="n"/>
      <c r="O1071" s="88" t="n"/>
      <c r="P1071" s="88" t="n"/>
      <c r="Q1071" s="88" t="n"/>
      <c r="R1071" s="89" t="n"/>
      <c r="S1071" s="88" t="n"/>
      <c r="T1071" s="88" t="n"/>
      <c r="U1071" s="88" t="n"/>
      <c r="V1071" s="89" t="n"/>
      <c r="W1071" s="88" t="n"/>
      <c r="X1071" s="89" t="n"/>
      <c r="Y1071" s="88" t="n"/>
      <c r="Z1071" s="89" t="n"/>
      <c r="AB1071" s="30">
        <f>IF($B1071="","",(COUNTIF(C1071:E1071,"?*")&lt;N(INDEX(Setup!$L$6:$L$23,14)))+(COUNTIF(G1071:I1071,"?*")&lt;N(INDEX(Setup!$L$6:$L$23,14)))+(COUNTIF(K1071:M1071,"?*")&lt;N(INDEX(Setup!$L$6:$L$23,14)))+(COUNTIF(O1071:Q1071,"?*")&lt;N(INDEX(Setup!$L$6:$L$23,14)))+(COUNTIF(S1071:U1071,"?*")&lt;N(INDEX(Setup!$L$6:$L$23,14)))+((W1071="")*(INDEX(Setup!$M$6:$M$23,14)="Y"))+((Y1071="")*(INDEX(Setup!$M$6:$M$23,14)="Y")))</f>
        <v/>
      </c>
      <c r="AC1071" s="91">
        <f>IF($B1071="","",IF(AB1071=0,"✓ covered","⚠ "&amp;AB1071&amp;IF(AB1071=1," gap"," gaps")))</f>
        <v/>
      </c>
    </row>
    <row r="1072" ht="17" customHeight="1">
      <c r="A1072" t="n">
        <v>22</v>
      </c>
      <c r="B1072" s="24">
        <f>IF(Setup!$K$20="","",Setup!$K$20)</f>
        <v/>
      </c>
      <c r="C1072" s="88" t="n"/>
      <c r="D1072" s="88" t="n"/>
      <c r="E1072" s="88" t="n"/>
      <c r="F1072" s="89" t="n"/>
      <c r="G1072" s="88" t="n"/>
      <c r="H1072" s="88" t="n"/>
      <c r="I1072" s="88" t="n"/>
      <c r="J1072" s="89" t="n"/>
      <c r="K1072" s="88" t="n"/>
      <c r="L1072" s="88" t="n"/>
      <c r="M1072" s="88" t="n"/>
      <c r="N1072" s="89" t="n"/>
      <c r="O1072" s="88" t="n"/>
      <c r="P1072" s="88" t="n"/>
      <c r="Q1072" s="88" t="n"/>
      <c r="R1072" s="89" t="n"/>
      <c r="S1072" s="88" t="n"/>
      <c r="T1072" s="88" t="n"/>
      <c r="U1072" s="88" t="n"/>
      <c r="V1072" s="89" t="n"/>
      <c r="W1072" s="88" t="n"/>
      <c r="X1072" s="89" t="n"/>
      <c r="Y1072" s="88" t="n"/>
      <c r="Z1072" s="89" t="n"/>
      <c r="AB1072" s="25">
        <f>IF($B1072="","",(COUNTIF(C1072:E1072,"?*")&lt;N(INDEX(Setup!$L$6:$L$23,15)))+(COUNTIF(G1072:I1072,"?*")&lt;N(INDEX(Setup!$L$6:$L$23,15)))+(COUNTIF(K1072:M1072,"?*")&lt;N(INDEX(Setup!$L$6:$L$23,15)))+(COUNTIF(O1072:Q1072,"?*")&lt;N(INDEX(Setup!$L$6:$L$23,15)))+(COUNTIF(S1072:U1072,"?*")&lt;N(INDEX(Setup!$L$6:$L$23,15)))+((W1072="")*(INDEX(Setup!$M$6:$M$23,15)="Y"))+((Y1072="")*(INDEX(Setup!$M$6:$M$23,15)="Y")))</f>
        <v/>
      </c>
      <c r="AC1072" s="90">
        <f>IF($B1072="","",IF(AB1072=0,"✓ covered","⚠ "&amp;AB1072&amp;IF(AB1072=1," gap"," gaps")))</f>
        <v/>
      </c>
    </row>
    <row r="1073" ht="17" customHeight="1">
      <c r="A1073" t="n">
        <v>22</v>
      </c>
      <c r="B1073" s="29">
        <f>IF(Setup!$K$21="","",Setup!$K$21)</f>
        <v/>
      </c>
      <c r="C1073" s="88" t="n"/>
      <c r="D1073" s="88" t="n"/>
      <c r="E1073" s="88" t="n"/>
      <c r="F1073" s="89" t="n"/>
      <c r="G1073" s="88" t="n"/>
      <c r="H1073" s="88" t="n"/>
      <c r="I1073" s="88" t="n"/>
      <c r="J1073" s="89" t="n"/>
      <c r="K1073" s="88" t="n"/>
      <c r="L1073" s="88" t="n"/>
      <c r="M1073" s="88" t="n"/>
      <c r="N1073" s="89" t="n"/>
      <c r="O1073" s="88" t="n"/>
      <c r="P1073" s="88" t="n"/>
      <c r="Q1073" s="88" t="n"/>
      <c r="R1073" s="89" t="n"/>
      <c r="S1073" s="88" t="n"/>
      <c r="T1073" s="88" t="n"/>
      <c r="U1073" s="88" t="n"/>
      <c r="V1073" s="89" t="n"/>
      <c r="W1073" s="88" t="n"/>
      <c r="X1073" s="89" t="n"/>
      <c r="Y1073" s="88" t="n"/>
      <c r="Z1073" s="89" t="n"/>
      <c r="AB1073" s="30">
        <f>IF($B1073="","",(COUNTIF(C1073:E1073,"?*")&lt;N(INDEX(Setup!$L$6:$L$23,16)))+(COUNTIF(G1073:I1073,"?*")&lt;N(INDEX(Setup!$L$6:$L$23,16)))+(COUNTIF(K1073:M1073,"?*")&lt;N(INDEX(Setup!$L$6:$L$23,16)))+(COUNTIF(O1073:Q1073,"?*")&lt;N(INDEX(Setup!$L$6:$L$23,16)))+(COUNTIF(S1073:U1073,"?*")&lt;N(INDEX(Setup!$L$6:$L$23,16)))+((W1073="")*(INDEX(Setup!$M$6:$M$23,16)="Y"))+((Y1073="")*(INDEX(Setup!$M$6:$M$23,16)="Y")))</f>
        <v/>
      </c>
      <c r="AC1073" s="91">
        <f>IF($B1073="","",IF(AB1073=0,"✓ covered","⚠ "&amp;AB1073&amp;IF(AB1073=1," gap"," gaps")))</f>
        <v/>
      </c>
    </row>
    <row r="1074" ht="17" customHeight="1">
      <c r="A1074" t="n">
        <v>22</v>
      </c>
      <c r="B1074" s="24">
        <f>IF(Setup!$K$22="","",Setup!$K$22)</f>
        <v/>
      </c>
      <c r="C1074" s="88" t="n"/>
      <c r="D1074" s="88" t="n"/>
      <c r="E1074" s="88" t="n"/>
      <c r="F1074" s="89" t="n"/>
      <c r="G1074" s="88" t="n"/>
      <c r="H1074" s="88" t="n"/>
      <c r="I1074" s="88" t="n"/>
      <c r="J1074" s="89" t="n"/>
      <c r="K1074" s="88" t="n"/>
      <c r="L1074" s="88" t="n"/>
      <c r="M1074" s="88" t="n"/>
      <c r="N1074" s="89" t="n"/>
      <c r="O1074" s="88" t="n"/>
      <c r="P1074" s="88" t="n"/>
      <c r="Q1074" s="88" t="n"/>
      <c r="R1074" s="89" t="n"/>
      <c r="S1074" s="88" t="n"/>
      <c r="T1074" s="88" t="n"/>
      <c r="U1074" s="88" t="n"/>
      <c r="V1074" s="89" t="n"/>
      <c r="W1074" s="88" t="n"/>
      <c r="X1074" s="89" t="n"/>
      <c r="Y1074" s="88" t="n"/>
      <c r="Z1074" s="89" t="n"/>
      <c r="AB1074" s="25">
        <f>IF($B1074="","",(COUNTIF(C1074:E1074,"?*")&lt;N(INDEX(Setup!$L$6:$L$23,17)))+(COUNTIF(G1074:I1074,"?*")&lt;N(INDEX(Setup!$L$6:$L$23,17)))+(COUNTIF(K1074:M1074,"?*")&lt;N(INDEX(Setup!$L$6:$L$23,17)))+(COUNTIF(O1074:Q1074,"?*")&lt;N(INDEX(Setup!$L$6:$L$23,17)))+(COUNTIF(S1074:U1074,"?*")&lt;N(INDEX(Setup!$L$6:$L$23,17)))+((W1074="")*(INDEX(Setup!$M$6:$M$23,17)="Y"))+((Y1074="")*(INDEX(Setup!$M$6:$M$23,17)="Y")))</f>
        <v/>
      </c>
      <c r="AC1074" s="90">
        <f>IF($B1074="","",IF(AB1074=0,"✓ covered","⚠ "&amp;AB1074&amp;IF(AB1074=1," gap"," gaps")))</f>
        <v/>
      </c>
    </row>
    <row r="1075" ht="17" customHeight="1">
      <c r="A1075" t="n">
        <v>22</v>
      </c>
      <c r="B1075" s="29">
        <f>IF(Setup!$K$23="","",Setup!$K$23)</f>
        <v/>
      </c>
      <c r="C1075" s="88" t="n"/>
      <c r="D1075" s="88" t="n"/>
      <c r="E1075" s="88" t="n"/>
      <c r="F1075" s="89" t="n"/>
      <c r="G1075" s="88" t="n"/>
      <c r="H1075" s="88" t="n"/>
      <c r="I1075" s="88" t="n"/>
      <c r="J1075" s="89" t="n"/>
      <c r="K1075" s="88" t="n"/>
      <c r="L1075" s="88" t="n"/>
      <c r="M1075" s="88" t="n"/>
      <c r="N1075" s="89" t="n"/>
      <c r="O1075" s="88" t="n"/>
      <c r="P1075" s="88" t="n"/>
      <c r="Q1075" s="88" t="n"/>
      <c r="R1075" s="89" t="n"/>
      <c r="S1075" s="88" t="n"/>
      <c r="T1075" s="88" t="n"/>
      <c r="U1075" s="88" t="n"/>
      <c r="V1075" s="89" t="n"/>
      <c r="W1075" s="88" t="n"/>
      <c r="X1075" s="89" t="n"/>
      <c r="Y1075" s="88" t="n"/>
      <c r="Z1075" s="89" t="n"/>
      <c r="AB1075" s="30">
        <f>IF($B1075="","",(COUNTIF(C1075:E1075,"?*")&lt;N(INDEX(Setup!$L$6:$L$23,18)))+(COUNTIF(G1075:I1075,"?*")&lt;N(INDEX(Setup!$L$6:$L$23,18)))+(COUNTIF(K1075:M1075,"?*")&lt;N(INDEX(Setup!$L$6:$L$23,18)))+(COUNTIF(O1075:Q1075,"?*")&lt;N(INDEX(Setup!$L$6:$L$23,18)))+(COUNTIF(S1075:U1075,"?*")&lt;N(INDEX(Setup!$L$6:$L$23,18)))+((W1075="")*(INDEX(Setup!$M$6:$M$23,18)="Y"))+((Y1075="")*(INDEX(Setup!$M$6:$M$23,18)="Y")))</f>
        <v/>
      </c>
      <c r="AC1075" s="91">
        <f>IF($B1075="","",IF(AB1075=0,"✓ covered","⚠ "&amp;AB1075&amp;IF(AB1075=1," gap"," gaps")))</f>
        <v/>
      </c>
    </row>
    <row r="1076" ht="18" customHeight="1">
      <c r="A1076" t="n">
        <v>22</v>
      </c>
      <c r="B1076" s="78" t="inlineStr">
        <is>
          <t>TEAM AVAILABILITY</t>
        </is>
      </c>
      <c r="C1076" s="92" t="inlineStr">
        <is>
          <t>Mon</t>
        </is>
      </c>
      <c r="D1076" s="93" t="n"/>
      <c r="E1076" s="93" t="n"/>
      <c r="F1076" s="94" t="n"/>
      <c r="G1076" s="92" t="inlineStr">
        <is>
          <t>Tue</t>
        </is>
      </c>
      <c r="H1076" s="93" t="n"/>
      <c r="I1076" s="93" t="n"/>
      <c r="J1076" s="94" t="n"/>
      <c r="K1076" s="92" t="inlineStr">
        <is>
          <t>Wed</t>
        </is>
      </c>
      <c r="L1076" s="93" t="n"/>
      <c r="M1076" s="93" t="n"/>
      <c r="N1076" s="94" t="n"/>
      <c r="O1076" s="92" t="inlineStr">
        <is>
          <t>Thu</t>
        </is>
      </c>
      <c r="P1076" s="93" t="n"/>
      <c r="Q1076" s="93" t="n"/>
      <c r="R1076" s="94" t="n"/>
      <c r="S1076" s="92" t="inlineStr">
        <is>
          <t>Fri</t>
        </is>
      </c>
      <c r="T1076" s="93" t="n"/>
      <c r="U1076" s="93" t="n"/>
      <c r="V1076" s="94" t="n"/>
      <c r="W1076" s="95" t="inlineStr">
        <is>
          <t>Sat</t>
        </is>
      </c>
      <c r="X1076" s="96" t="n"/>
      <c r="Y1076" s="95" t="inlineStr">
        <is>
          <t>Sun</t>
        </is>
      </c>
      <c r="Z1076" s="96" t="n"/>
      <c r="AB1076" s="97" t="inlineStr">
        <is>
          <t>Days rostered</t>
        </is>
      </c>
      <c r="AC1076" s="97" t="inlineStr">
        <is>
          <t>Conflicts</t>
        </is>
      </c>
    </row>
    <row r="1077" ht="15" customHeight="1">
      <c r="A1077" t="n">
        <v>22</v>
      </c>
      <c r="B1077" s="35">
        <f>IF(Setup!$B$6="","",Setup!$B$6)</f>
        <v/>
      </c>
      <c r="C1077" s="98" t="inlineStr">
        <is>
          <t>HRA</t>
        </is>
      </c>
      <c r="D1077" s="99" t="n"/>
      <c r="E1077" s="99" t="n"/>
      <c r="F1077" s="100" t="n"/>
      <c r="G1077" s="98" t="n"/>
      <c r="H1077" s="99" t="n"/>
      <c r="I1077" s="99" t="n"/>
      <c r="J1077" s="100" t="n"/>
      <c r="K1077" s="98" t="n"/>
      <c r="L1077" s="99" t="n"/>
      <c r="M1077" s="99" t="n"/>
      <c r="N1077" s="100" t="n"/>
      <c r="O1077" s="98" t="n"/>
      <c r="P1077" s="99" t="n"/>
      <c r="Q1077" s="99" t="n"/>
      <c r="R1077" s="100" t="n"/>
      <c r="S1077" s="98" t="n"/>
      <c r="T1077" s="99" t="n"/>
      <c r="U1077" s="99" t="n"/>
      <c r="V1077" s="100" t="n"/>
      <c r="W1077" s="98" t="n"/>
      <c r="X1077" s="100" t="n"/>
      <c r="Y1077" s="98" t="n"/>
      <c r="Z1077" s="100" t="n"/>
      <c r="AB1077" s="101">
        <f>IF($B1077="","",(COUNTIF(C1058:E1075,$B1077)+COUNTIF(C1058:E1075,$B1077&amp;" ~*")&gt;0)+(COUNTIF(G1058:I1075,$B1077)+COUNTIF(G1058:I1075,$B1077&amp;" ~*")&gt;0)+(COUNTIF(K1058:M1075,$B1077)+COUNTIF(K1058:M1075,$B1077&amp;" ~*")&gt;0)+(COUNTIF(O1058:Q1075,$B1077)+COUNTIF(O1058:Q1075,$B1077&amp;" ~*")&gt;0)+(COUNTIF(S1058:U1075,$B1077)+COUNTIF(S1058:U1075,$B1077&amp;" ~*")&gt;0)+(COUNTIF(W1058:W1075,$B1077)+COUNTIF(W1058:W1075,$B1077&amp;" ~*")&gt;0)+(COUNTIF(Y1058:Y1075,$B1077)+COUNTIF(Y1058:Y1075,$B1077&amp;" ~*")&gt;0))</f>
        <v/>
      </c>
      <c r="AC1077" s="36">
        <f>IF($B1077="","",(IFERROR(INDEX(Setup!$G$33:$G$40,MATCH(C1077,Setup!$B$33:$B$40,0)),0)=1)*(COUNTIF(C1058:E1075,$B1077)+COUNTIF(C1058:E1075,$B1077&amp;" ~*")&gt;0)+(IFERROR(INDEX(Setup!$G$33:$G$40,MATCH(G1077,Setup!$B$33:$B$40,0)),0)=1)*(COUNTIF(G1058:I1075,$B1077)+COUNTIF(G1058:I1075,$B1077&amp;" ~*")&gt;0)+(IFERROR(INDEX(Setup!$G$33:$G$40,MATCH(K1077,Setup!$B$33:$B$40,0)),0)=1)*(COUNTIF(K1058:M1075,$B1077)+COUNTIF(K1058:M1075,$B1077&amp;" ~*")&gt;0)+(IFERROR(INDEX(Setup!$G$33:$G$40,MATCH(O1077,Setup!$B$33:$B$40,0)),0)=1)*(COUNTIF(O1058:Q1075,$B1077)+COUNTIF(O1058:Q1075,$B1077&amp;" ~*")&gt;0)+(IFERROR(INDEX(Setup!$G$33:$G$40,MATCH(S1077,Setup!$B$33:$B$40,0)),0)=1)*(COUNTIF(S1058:U1075,$B1077)+COUNTIF(S1058:U1075,$B1077&amp;" ~*")&gt;0)+(IFERROR(INDEX(Setup!$G$33:$G$40,MATCH(W1077,Setup!$B$33:$B$40,0)),0)=1)*(COUNTIF(W1058:W1075,$B1077)+COUNTIF(W1058:W1075,$B1077&amp;" ~*")&gt;0)+(IFERROR(INDEX(Setup!$G$33:$G$40,MATCH(Y1077,Setup!$B$33:$B$40,0)),0)=1)*(COUNTIF(Y1058:Y1075,$B1077)+COUNTIF(Y1058:Y1075,$B1077&amp;" ~*")&gt;0))</f>
        <v/>
      </c>
    </row>
    <row r="1078" ht="15" customHeight="1">
      <c r="A1078" t="n">
        <v>22</v>
      </c>
      <c r="B1078" s="37">
        <f>IF(Setup!$B$7="","",Setup!$B$7)</f>
        <v/>
      </c>
      <c r="C1078" s="102" t="n"/>
      <c r="D1078" s="103" t="n"/>
      <c r="E1078" s="103" t="n"/>
      <c r="F1078" s="104" t="n"/>
      <c r="G1078" s="102" t="n"/>
      <c r="H1078" s="103" t="n"/>
      <c r="I1078" s="103" t="n"/>
      <c r="J1078" s="104" t="n"/>
      <c r="K1078" s="102" t="n"/>
      <c r="L1078" s="103" t="n"/>
      <c r="M1078" s="103" t="n"/>
      <c r="N1078" s="104" t="n"/>
      <c r="O1078" s="102" t="n"/>
      <c r="P1078" s="103" t="n"/>
      <c r="Q1078" s="103" t="n"/>
      <c r="R1078" s="104" t="n"/>
      <c r="S1078" s="102" t="n"/>
      <c r="T1078" s="103" t="n"/>
      <c r="U1078" s="103" t="n"/>
      <c r="V1078" s="104" t="n"/>
      <c r="W1078" s="102" t="n"/>
      <c r="X1078" s="104" t="n"/>
      <c r="Y1078" s="102" t="n"/>
      <c r="Z1078" s="104" t="n"/>
      <c r="AB1078" s="105">
        <f>IF($B1078="","",(COUNTIF(C1058:E1075,$B1078)+COUNTIF(C1058:E1075,$B1078&amp;" ~*")&gt;0)+(COUNTIF(G1058:I1075,$B1078)+COUNTIF(G1058:I1075,$B1078&amp;" ~*")&gt;0)+(COUNTIF(K1058:M1075,$B1078)+COUNTIF(K1058:M1075,$B1078&amp;" ~*")&gt;0)+(COUNTIF(O1058:Q1075,$B1078)+COUNTIF(O1058:Q1075,$B1078&amp;" ~*")&gt;0)+(COUNTIF(S1058:U1075,$B1078)+COUNTIF(S1058:U1075,$B1078&amp;" ~*")&gt;0)+(COUNTIF(W1058:W1075,$B1078)+COUNTIF(W1058:W1075,$B1078&amp;" ~*")&gt;0)+(COUNTIF(Y1058:Y1075,$B1078)+COUNTIF(Y1058:Y1075,$B1078&amp;" ~*")&gt;0))</f>
        <v/>
      </c>
      <c r="AC1078" s="38">
        <f>IF($B1078="","",(IFERROR(INDEX(Setup!$G$33:$G$40,MATCH(C1078,Setup!$B$33:$B$40,0)),0)=1)*(COUNTIF(C1058:E1075,$B1078)+COUNTIF(C1058:E1075,$B1078&amp;" ~*")&gt;0)+(IFERROR(INDEX(Setup!$G$33:$G$40,MATCH(G1078,Setup!$B$33:$B$40,0)),0)=1)*(COUNTIF(G1058:I1075,$B1078)+COUNTIF(G1058:I1075,$B1078&amp;" ~*")&gt;0)+(IFERROR(INDEX(Setup!$G$33:$G$40,MATCH(K1078,Setup!$B$33:$B$40,0)),0)=1)*(COUNTIF(K1058:M1075,$B1078)+COUNTIF(K1058:M1075,$B1078&amp;" ~*")&gt;0)+(IFERROR(INDEX(Setup!$G$33:$G$40,MATCH(O1078,Setup!$B$33:$B$40,0)),0)=1)*(COUNTIF(O1058:Q1075,$B1078)+COUNTIF(O1058:Q1075,$B1078&amp;" ~*")&gt;0)+(IFERROR(INDEX(Setup!$G$33:$G$40,MATCH(S1078,Setup!$B$33:$B$40,0)),0)=1)*(COUNTIF(S1058:U1075,$B1078)+COUNTIF(S1058:U1075,$B1078&amp;" ~*")&gt;0)+(IFERROR(INDEX(Setup!$G$33:$G$40,MATCH(W1078,Setup!$B$33:$B$40,0)),0)=1)*(COUNTIF(W1058:W1075,$B1078)+COUNTIF(W1058:W1075,$B1078&amp;" ~*")&gt;0)+(IFERROR(INDEX(Setup!$G$33:$G$40,MATCH(Y1078,Setup!$B$33:$B$40,0)),0)=1)*(COUNTIF(Y1058:Y1075,$B1078)+COUNTIF(Y1058:Y1075,$B1078&amp;" ~*")&gt;0))</f>
        <v/>
      </c>
    </row>
    <row r="1079" ht="15" customHeight="1">
      <c r="A1079" t="n">
        <v>22</v>
      </c>
      <c r="B1079" s="35">
        <f>IF(Setup!$B$8="","",Setup!$B$8)</f>
        <v/>
      </c>
      <c r="C1079" s="98" t="n"/>
      <c r="D1079" s="99" t="n"/>
      <c r="E1079" s="99" t="n"/>
      <c r="F1079" s="100" t="n"/>
      <c r="G1079" s="98" t="n"/>
      <c r="H1079" s="99" t="n"/>
      <c r="I1079" s="99" t="n"/>
      <c r="J1079" s="100" t="n"/>
      <c r="K1079" s="98" t="n"/>
      <c r="L1079" s="99" t="n"/>
      <c r="M1079" s="99" t="n"/>
      <c r="N1079" s="100" t="n"/>
      <c r="O1079" s="98" t="n"/>
      <c r="P1079" s="99" t="n"/>
      <c r="Q1079" s="99" t="n"/>
      <c r="R1079" s="100" t="n"/>
      <c r="S1079" s="98" t="n"/>
      <c r="T1079" s="99" t="n"/>
      <c r="U1079" s="99" t="n"/>
      <c r="V1079" s="100" t="n"/>
      <c r="W1079" s="98" t="n"/>
      <c r="X1079" s="100" t="n"/>
      <c r="Y1079" s="98" t="n"/>
      <c r="Z1079" s="100" t="n"/>
      <c r="AB1079" s="101">
        <f>IF($B1079="","",(COUNTIF(C1058:E1075,$B1079)+COUNTIF(C1058:E1075,$B1079&amp;" ~*")&gt;0)+(COUNTIF(G1058:I1075,$B1079)+COUNTIF(G1058:I1075,$B1079&amp;" ~*")&gt;0)+(COUNTIF(K1058:M1075,$B1079)+COUNTIF(K1058:M1075,$B1079&amp;" ~*")&gt;0)+(COUNTIF(O1058:Q1075,$B1079)+COUNTIF(O1058:Q1075,$B1079&amp;" ~*")&gt;0)+(COUNTIF(S1058:U1075,$B1079)+COUNTIF(S1058:U1075,$B1079&amp;" ~*")&gt;0)+(COUNTIF(W1058:W1075,$B1079)+COUNTIF(W1058:W1075,$B1079&amp;" ~*")&gt;0)+(COUNTIF(Y1058:Y1075,$B1079)+COUNTIF(Y1058:Y1075,$B1079&amp;" ~*")&gt;0))</f>
        <v/>
      </c>
      <c r="AC1079" s="36">
        <f>IF($B1079="","",(IFERROR(INDEX(Setup!$G$33:$G$40,MATCH(C1079,Setup!$B$33:$B$40,0)),0)=1)*(COUNTIF(C1058:E1075,$B1079)+COUNTIF(C1058:E1075,$B1079&amp;" ~*")&gt;0)+(IFERROR(INDEX(Setup!$G$33:$G$40,MATCH(G1079,Setup!$B$33:$B$40,0)),0)=1)*(COUNTIF(G1058:I1075,$B1079)+COUNTIF(G1058:I1075,$B1079&amp;" ~*")&gt;0)+(IFERROR(INDEX(Setup!$G$33:$G$40,MATCH(K1079,Setup!$B$33:$B$40,0)),0)=1)*(COUNTIF(K1058:M1075,$B1079)+COUNTIF(K1058:M1075,$B1079&amp;" ~*")&gt;0)+(IFERROR(INDEX(Setup!$G$33:$G$40,MATCH(O1079,Setup!$B$33:$B$40,0)),0)=1)*(COUNTIF(O1058:Q1075,$B1079)+COUNTIF(O1058:Q1075,$B1079&amp;" ~*")&gt;0)+(IFERROR(INDEX(Setup!$G$33:$G$40,MATCH(S1079,Setup!$B$33:$B$40,0)),0)=1)*(COUNTIF(S1058:U1075,$B1079)+COUNTIF(S1058:U1075,$B1079&amp;" ~*")&gt;0)+(IFERROR(INDEX(Setup!$G$33:$G$40,MATCH(W1079,Setup!$B$33:$B$40,0)),0)=1)*(COUNTIF(W1058:W1075,$B1079)+COUNTIF(W1058:W1075,$B1079&amp;" ~*")&gt;0)+(IFERROR(INDEX(Setup!$G$33:$G$40,MATCH(Y1079,Setup!$B$33:$B$40,0)),0)=1)*(COUNTIF(Y1058:Y1075,$B1079)+COUNTIF(Y1058:Y1075,$B1079&amp;" ~*")&gt;0))</f>
        <v/>
      </c>
    </row>
    <row r="1080" ht="15" customHeight="1">
      <c r="A1080" t="n">
        <v>22</v>
      </c>
      <c r="B1080" s="37">
        <f>IF(Setup!$B$9="","",Setup!$B$9)</f>
        <v/>
      </c>
      <c r="C1080" s="102" t="n"/>
      <c r="D1080" s="103" t="n"/>
      <c r="E1080" s="103" t="n"/>
      <c r="F1080" s="104" t="n"/>
      <c r="G1080" s="102" t="inlineStr">
        <is>
          <t>AL</t>
        </is>
      </c>
      <c r="H1080" s="103" t="n"/>
      <c r="I1080" s="103" t="n"/>
      <c r="J1080" s="104" t="n"/>
      <c r="K1080" s="102" t="inlineStr">
        <is>
          <t>AL</t>
        </is>
      </c>
      <c r="L1080" s="103" t="n"/>
      <c r="M1080" s="103" t="n"/>
      <c r="N1080" s="104" t="n"/>
      <c r="O1080" s="102" t="inlineStr">
        <is>
          <t>AL</t>
        </is>
      </c>
      <c r="P1080" s="103" t="n"/>
      <c r="Q1080" s="103" t="n"/>
      <c r="R1080" s="104" t="n"/>
      <c r="S1080" s="102" t="inlineStr">
        <is>
          <t>AL</t>
        </is>
      </c>
      <c r="T1080" s="103" t="n"/>
      <c r="U1080" s="103" t="n"/>
      <c r="V1080" s="104" t="n"/>
      <c r="W1080" s="102" t="n"/>
      <c r="X1080" s="104" t="n"/>
      <c r="Y1080" s="102" t="n"/>
      <c r="Z1080" s="104" t="n"/>
      <c r="AB1080" s="105">
        <f>IF($B1080="","",(COUNTIF(C1058:E1075,$B1080)+COUNTIF(C1058:E1075,$B1080&amp;" ~*")&gt;0)+(COUNTIF(G1058:I1075,$B1080)+COUNTIF(G1058:I1075,$B1080&amp;" ~*")&gt;0)+(COUNTIF(K1058:M1075,$B1080)+COUNTIF(K1058:M1075,$B1080&amp;" ~*")&gt;0)+(COUNTIF(O1058:Q1075,$B1080)+COUNTIF(O1058:Q1075,$B1080&amp;" ~*")&gt;0)+(COUNTIF(S1058:U1075,$B1080)+COUNTIF(S1058:U1075,$B1080&amp;" ~*")&gt;0)+(COUNTIF(W1058:W1075,$B1080)+COUNTIF(W1058:W1075,$B1080&amp;" ~*")&gt;0)+(COUNTIF(Y1058:Y1075,$B1080)+COUNTIF(Y1058:Y1075,$B1080&amp;" ~*")&gt;0))</f>
        <v/>
      </c>
      <c r="AC1080" s="38">
        <f>IF($B1080="","",(IFERROR(INDEX(Setup!$G$33:$G$40,MATCH(C1080,Setup!$B$33:$B$40,0)),0)=1)*(COUNTIF(C1058:E1075,$B1080)+COUNTIF(C1058:E1075,$B1080&amp;" ~*")&gt;0)+(IFERROR(INDEX(Setup!$G$33:$G$40,MATCH(G1080,Setup!$B$33:$B$40,0)),0)=1)*(COUNTIF(G1058:I1075,$B1080)+COUNTIF(G1058:I1075,$B1080&amp;" ~*")&gt;0)+(IFERROR(INDEX(Setup!$G$33:$G$40,MATCH(K1080,Setup!$B$33:$B$40,0)),0)=1)*(COUNTIF(K1058:M1075,$B1080)+COUNTIF(K1058:M1075,$B1080&amp;" ~*")&gt;0)+(IFERROR(INDEX(Setup!$G$33:$G$40,MATCH(O1080,Setup!$B$33:$B$40,0)),0)=1)*(COUNTIF(O1058:Q1075,$B1080)+COUNTIF(O1058:Q1075,$B1080&amp;" ~*")&gt;0)+(IFERROR(INDEX(Setup!$G$33:$G$40,MATCH(S1080,Setup!$B$33:$B$40,0)),0)=1)*(COUNTIF(S1058:U1075,$B1080)+COUNTIF(S1058:U1075,$B1080&amp;" ~*")&gt;0)+(IFERROR(INDEX(Setup!$G$33:$G$40,MATCH(W1080,Setup!$B$33:$B$40,0)),0)=1)*(COUNTIF(W1058:W1075,$B1080)+COUNTIF(W1058:W1075,$B1080&amp;" ~*")&gt;0)+(IFERROR(INDEX(Setup!$G$33:$G$40,MATCH(Y1080,Setup!$B$33:$B$40,0)),0)=1)*(COUNTIF(Y1058:Y1075,$B1080)+COUNTIF(Y1058:Y1075,$B1080&amp;" ~*")&gt;0))</f>
        <v/>
      </c>
    </row>
    <row r="1081" ht="15" customHeight="1">
      <c r="A1081" t="n">
        <v>22</v>
      </c>
      <c r="B1081" s="35">
        <f>IF(Setup!$B$10="","",Setup!$B$10)</f>
        <v/>
      </c>
      <c r="C1081" s="98" t="n"/>
      <c r="D1081" s="99" t="n"/>
      <c r="E1081" s="99" t="n"/>
      <c r="F1081" s="100" t="n"/>
      <c r="G1081" s="98" t="n"/>
      <c r="H1081" s="99" t="n"/>
      <c r="I1081" s="99" t="n"/>
      <c r="J1081" s="100" t="n"/>
      <c r="K1081" s="98" t="n"/>
      <c r="L1081" s="99" t="n"/>
      <c r="M1081" s="99" t="n"/>
      <c r="N1081" s="100" t="n"/>
      <c r="O1081" s="98" t="n"/>
      <c r="P1081" s="99" t="n"/>
      <c r="Q1081" s="99" t="n"/>
      <c r="R1081" s="100" t="n"/>
      <c r="S1081" s="98" t="n"/>
      <c r="T1081" s="99" t="n"/>
      <c r="U1081" s="99" t="n"/>
      <c r="V1081" s="100" t="n"/>
      <c r="W1081" s="98" t="n"/>
      <c r="X1081" s="100" t="n"/>
      <c r="Y1081" s="98" t="n"/>
      <c r="Z1081" s="100" t="n"/>
      <c r="AB1081" s="101">
        <f>IF($B1081="","",(COUNTIF(C1058:E1075,$B1081)+COUNTIF(C1058:E1075,$B1081&amp;" ~*")&gt;0)+(COUNTIF(G1058:I1075,$B1081)+COUNTIF(G1058:I1075,$B1081&amp;" ~*")&gt;0)+(COUNTIF(K1058:M1075,$B1081)+COUNTIF(K1058:M1075,$B1081&amp;" ~*")&gt;0)+(COUNTIF(O1058:Q1075,$B1081)+COUNTIF(O1058:Q1075,$B1081&amp;" ~*")&gt;0)+(COUNTIF(S1058:U1075,$B1081)+COUNTIF(S1058:U1075,$B1081&amp;" ~*")&gt;0)+(COUNTIF(W1058:W1075,$B1081)+COUNTIF(W1058:W1075,$B1081&amp;" ~*")&gt;0)+(COUNTIF(Y1058:Y1075,$B1081)+COUNTIF(Y1058:Y1075,$B1081&amp;" ~*")&gt;0))</f>
        <v/>
      </c>
      <c r="AC1081" s="36">
        <f>IF($B1081="","",(IFERROR(INDEX(Setup!$G$33:$G$40,MATCH(C1081,Setup!$B$33:$B$40,0)),0)=1)*(COUNTIF(C1058:E1075,$B1081)+COUNTIF(C1058:E1075,$B1081&amp;" ~*")&gt;0)+(IFERROR(INDEX(Setup!$G$33:$G$40,MATCH(G1081,Setup!$B$33:$B$40,0)),0)=1)*(COUNTIF(G1058:I1075,$B1081)+COUNTIF(G1058:I1075,$B1081&amp;" ~*")&gt;0)+(IFERROR(INDEX(Setup!$G$33:$G$40,MATCH(K1081,Setup!$B$33:$B$40,0)),0)=1)*(COUNTIF(K1058:M1075,$B1081)+COUNTIF(K1058:M1075,$B1081&amp;" ~*")&gt;0)+(IFERROR(INDEX(Setup!$G$33:$G$40,MATCH(O1081,Setup!$B$33:$B$40,0)),0)=1)*(COUNTIF(O1058:Q1075,$B1081)+COUNTIF(O1058:Q1075,$B1081&amp;" ~*")&gt;0)+(IFERROR(INDEX(Setup!$G$33:$G$40,MATCH(S1081,Setup!$B$33:$B$40,0)),0)=1)*(COUNTIF(S1058:U1075,$B1081)+COUNTIF(S1058:U1075,$B1081&amp;" ~*")&gt;0)+(IFERROR(INDEX(Setup!$G$33:$G$40,MATCH(W1081,Setup!$B$33:$B$40,0)),0)=1)*(COUNTIF(W1058:W1075,$B1081)+COUNTIF(W1058:W1075,$B1081&amp;" ~*")&gt;0)+(IFERROR(INDEX(Setup!$G$33:$G$40,MATCH(Y1081,Setup!$B$33:$B$40,0)),0)=1)*(COUNTIF(Y1058:Y1075,$B1081)+COUNTIF(Y1058:Y1075,$B1081&amp;" ~*")&gt;0))</f>
        <v/>
      </c>
    </row>
    <row r="1082" ht="15" customHeight="1">
      <c r="A1082" t="n">
        <v>22</v>
      </c>
      <c r="B1082" s="37">
        <f>IF(Setup!$B$11="","",Setup!$B$11)</f>
        <v/>
      </c>
      <c r="C1082" s="102" t="n"/>
      <c r="D1082" s="103" t="n"/>
      <c r="E1082" s="103" t="n"/>
      <c r="F1082" s="104" t="n"/>
      <c r="G1082" s="102" t="n"/>
      <c r="H1082" s="103" t="n"/>
      <c r="I1082" s="103" t="n"/>
      <c r="J1082" s="104" t="n"/>
      <c r="K1082" s="102" t="n"/>
      <c r="L1082" s="103" t="n"/>
      <c r="M1082" s="103" t="n"/>
      <c r="N1082" s="104" t="n"/>
      <c r="O1082" s="102" t="n"/>
      <c r="P1082" s="103" t="n"/>
      <c r="Q1082" s="103" t="n"/>
      <c r="R1082" s="104" t="n"/>
      <c r="S1082" s="102" t="n"/>
      <c r="T1082" s="103" t="n"/>
      <c r="U1082" s="103" t="n"/>
      <c r="V1082" s="104" t="n"/>
      <c r="W1082" s="102" t="n"/>
      <c r="X1082" s="104" t="n"/>
      <c r="Y1082" s="102" t="n"/>
      <c r="Z1082" s="104" t="n"/>
      <c r="AB1082" s="105">
        <f>IF($B1082="","",(COUNTIF(C1058:E1075,$B1082)+COUNTIF(C1058:E1075,$B1082&amp;" ~*")&gt;0)+(COUNTIF(G1058:I1075,$B1082)+COUNTIF(G1058:I1075,$B1082&amp;" ~*")&gt;0)+(COUNTIF(K1058:M1075,$B1082)+COUNTIF(K1058:M1075,$B1082&amp;" ~*")&gt;0)+(COUNTIF(O1058:Q1075,$B1082)+COUNTIF(O1058:Q1075,$B1082&amp;" ~*")&gt;0)+(COUNTIF(S1058:U1075,$B1082)+COUNTIF(S1058:U1075,$B1082&amp;" ~*")&gt;0)+(COUNTIF(W1058:W1075,$B1082)+COUNTIF(W1058:W1075,$B1082&amp;" ~*")&gt;0)+(COUNTIF(Y1058:Y1075,$B1082)+COUNTIF(Y1058:Y1075,$B1082&amp;" ~*")&gt;0))</f>
        <v/>
      </c>
      <c r="AC1082" s="38">
        <f>IF($B1082="","",(IFERROR(INDEX(Setup!$G$33:$G$40,MATCH(C1082,Setup!$B$33:$B$40,0)),0)=1)*(COUNTIF(C1058:E1075,$B1082)+COUNTIF(C1058:E1075,$B1082&amp;" ~*")&gt;0)+(IFERROR(INDEX(Setup!$G$33:$G$40,MATCH(G1082,Setup!$B$33:$B$40,0)),0)=1)*(COUNTIF(G1058:I1075,$B1082)+COUNTIF(G1058:I1075,$B1082&amp;" ~*")&gt;0)+(IFERROR(INDEX(Setup!$G$33:$G$40,MATCH(K1082,Setup!$B$33:$B$40,0)),0)=1)*(COUNTIF(K1058:M1075,$B1082)+COUNTIF(K1058:M1075,$B1082&amp;" ~*")&gt;0)+(IFERROR(INDEX(Setup!$G$33:$G$40,MATCH(O1082,Setup!$B$33:$B$40,0)),0)=1)*(COUNTIF(O1058:Q1075,$B1082)+COUNTIF(O1058:Q1075,$B1082&amp;" ~*")&gt;0)+(IFERROR(INDEX(Setup!$G$33:$G$40,MATCH(S1082,Setup!$B$33:$B$40,0)),0)=1)*(COUNTIF(S1058:U1075,$B1082)+COUNTIF(S1058:U1075,$B1082&amp;" ~*")&gt;0)+(IFERROR(INDEX(Setup!$G$33:$G$40,MATCH(W1082,Setup!$B$33:$B$40,0)),0)=1)*(COUNTIF(W1058:W1075,$B1082)+COUNTIF(W1058:W1075,$B1082&amp;" ~*")&gt;0)+(IFERROR(INDEX(Setup!$G$33:$G$40,MATCH(Y1082,Setup!$B$33:$B$40,0)),0)=1)*(COUNTIF(Y1058:Y1075,$B1082)+COUNTIF(Y1058:Y1075,$B1082&amp;" ~*")&gt;0))</f>
        <v/>
      </c>
    </row>
    <row r="1083" ht="15" customHeight="1">
      <c r="A1083" t="n">
        <v>22</v>
      </c>
      <c r="B1083" s="35">
        <f>IF(Setup!$B$12="","",Setup!$B$12)</f>
        <v/>
      </c>
      <c r="C1083" s="98" t="n"/>
      <c r="D1083" s="99" t="n"/>
      <c r="E1083" s="99" t="n"/>
      <c r="F1083" s="100" t="n"/>
      <c r="G1083" s="98" t="inlineStr">
        <is>
          <t>AL</t>
        </is>
      </c>
      <c r="H1083" s="99" t="n"/>
      <c r="I1083" s="99" t="n"/>
      <c r="J1083" s="100" t="n"/>
      <c r="K1083" s="98" t="inlineStr">
        <is>
          <t>AL</t>
        </is>
      </c>
      <c r="L1083" s="99" t="n"/>
      <c r="M1083" s="99" t="n"/>
      <c r="N1083" s="100" t="n"/>
      <c r="O1083" s="98" t="inlineStr">
        <is>
          <t>AL</t>
        </is>
      </c>
      <c r="P1083" s="99" t="n"/>
      <c r="Q1083" s="99" t="n"/>
      <c r="R1083" s="100" t="n"/>
      <c r="S1083" s="98" t="inlineStr">
        <is>
          <t>AL</t>
        </is>
      </c>
      <c r="T1083" s="99" t="n"/>
      <c r="U1083" s="99" t="n"/>
      <c r="V1083" s="100" t="n"/>
      <c r="W1083" s="98" t="n"/>
      <c r="X1083" s="100" t="n"/>
      <c r="Y1083" s="98" t="n"/>
      <c r="Z1083" s="100" t="n"/>
      <c r="AB1083" s="101">
        <f>IF($B1083="","",(COUNTIF(C1058:E1075,$B1083)+COUNTIF(C1058:E1075,$B1083&amp;" ~*")&gt;0)+(COUNTIF(G1058:I1075,$B1083)+COUNTIF(G1058:I1075,$B1083&amp;" ~*")&gt;0)+(COUNTIF(K1058:M1075,$B1083)+COUNTIF(K1058:M1075,$B1083&amp;" ~*")&gt;0)+(COUNTIF(O1058:Q1075,$B1083)+COUNTIF(O1058:Q1075,$B1083&amp;" ~*")&gt;0)+(COUNTIF(S1058:U1075,$B1083)+COUNTIF(S1058:U1075,$B1083&amp;" ~*")&gt;0)+(COUNTIF(W1058:W1075,$B1083)+COUNTIF(W1058:W1075,$B1083&amp;" ~*")&gt;0)+(COUNTIF(Y1058:Y1075,$B1083)+COUNTIF(Y1058:Y1075,$B1083&amp;" ~*")&gt;0))</f>
        <v/>
      </c>
      <c r="AC1083" s="36">
        <f>IF($B1083="","",(IFERROR(INDEX(Setup!$G$33:$G$40,MATCH(C1083,Setup!$B$33:$B$40,0)),0)=1)*(COUNTIF(C1058:E1075,$B1083)+COUNTIF(C1058:E1075,$B1083&amp;" ~*")&gt;0)+(IFERROR(INDEX(Setup!$G$33:$G$40,MATCH(G1083,Setup!$B$33:$B$40,0)),0)=1)*(COUNTIF(G1058:I1075,$B1083)+COUNTIF(G1058:I1075,$B1083&amp;" ~*")&gt;0)+(IFERROR(INDEX(Setup!$G$33:$G$40,MATCH(K1083,Setup!$B$33:$B$40,0)),0)=1)*(COUNTIF(K1058:M1075,$B1083)+COUNTIF(K1058:M1075,$B1083&amp;" ~*")&gt;0)+(IFERROR(INDEX(Setup!$G$33:$G$40,MATCH(O1083,Setup!$B$33:$B$40,0)),0)=1)*(COUNTIF(O1058:Q1075,$B1083)+COUNTIF(O1058:Q1075,$B1083&amp;" ~*")&gt;0)+(IFERROR(INDEX(Setup!$G$33:$G$40,MATCH(S1083,Setup!$B$33:$B$40,0)),0)=1)*(COUNTIF(S1058:U1075,$B1083)+COUNTIF(S1058:U1075,$B1083&amp;" ~*")&gt;0)+(IFERROR(INDEX(Setup!$G$33:$G$40,MATCH(W1083,Setup!$B$33:$B$40,0)),0)=1)*(COUNTIF(W1058:W1075,$B1083)+COUNTIF(W1058:W1075,$B1083&amp;" ~*")&gt;0)+(IFERROR(INDEX(Setup!$G$33:$G$40,MATCH(Y1083,Setup!$B$33:$B$40,0)),0)=1)*(COUNTIF(Y1058:Y1075,$B1083)+COUNTIF(Y1058:Y1075,$B1083&amp;" ~*")&gt;0))</f>
        <v/>
      </c>
    </row>
    <row r="1084" ht="15" customHeight="1">
      <c r="A1084" t="n">
        <v>22</v>
      </c>
      <c r="B1084" s="37">
        <f>IF(Setup!$B$13="","",Setup!$B$13)</f>
        <v/>
      </c>
      <c r="C1084" s="102" t="n"/>
      <c r="D1084" s="103" t="n"/>
      <c r="E1084" s="103" t="n"/>
      <c r="F1084" s="104" t="n"/>
      <c r="G1084" s="102" t="n"/>
      <c r="H1084" s="103" t="n"/>
      <c r="I1084" s="103" t="n"/>
      <c r="J1084" s="104" t="n"/>
      <c r="K1084" s="102" t="n"/>
      <c r="L1084" s="103" t="n"/>
      <c r="M1084" s="103" t="n"/>
      <c r="N1084" s="104" t="n"/>
      <c r="O1084" s="102" t="n"/>
      <c r="P1084" s="103" t="n"/>
      <c r="Q1084" s="103" t="n"/>
      <c r="R1084" s="104" t="n"/>
      <c r="S1084" s="102" t="n"/>
      <c r="T1084" s="103" t="n"/>
      <c r="U1084" s="103" t="n"/>
      <c r="V1084" s="104" t="n"/>
      <c r="W1084" s="102" t="n"/>
      <c r="X1084" s="104" t="n"/>
      <c r="Y1084" s="102" t="n"/>
      <c r="Z1084" s="104" t="n"/>
      <c r="AB1084" s="105">
        <f>IF($B1084="","",(COUNTIF(C1058:E1075,$B1084)+COUNTIF(C1058:E1075,$B1084&amp;" ~*")&gt;0)+(COUNTIF(G1058:I1075,$B1084)+COUNTIF(G1058:I1075,$B1084&amp;" ~*")&gt;0)+(COUNTIF(K1058:M1075,$B1084)+COUNTIF(K1058:M1075,$B1084&amp;" ~*")&gt;0)+(COUNTIF(O1058:Q1075,$B1084)+COUNTIF(O1058:Q1075,$B1084&amp;" ~*")&gt;0)+(COUNTIF(S1058:U1075,$B1084)+COUNTIF(S1058:U1075,$B1084&amp;" ~*")&gt;0)+(COUNTIF(W1058:W1075,$B1084)+COUNTIF(W1058:W1075,$B1084&amp;" ~*")&gt;0)+(COUNTIF(Y1058:Y1075,$B1084)+COUNTIF(Y1058:Y1075,$B1084&amp;" ~*")&gt;0))</f>
        <v/>
      </c>
      <c r="AC1084" s="38">
        <f>IF($B1084="","",(IFERROR(INDEX(Setup!$G$33:$G$40,MATCH(C1084,Setup!$B$33:$B$40,0)),0)=1)*(COUNTIF(C1058:E1075,$B1084)+COUNTIF(C1058:E1075,$B1084&amp;" ~*")&gt;0)+(IFERROR(INDEX(Setup!$G$33:$G$40,MATCH(G1084,Setup!$B$33:$B$40,0)),0)=1)*(COUNTIF(G1058:I1075,$B1084)+COUNTIF(G1058:I1075,$B1084&amp;" ~*")&gt;0)+(IFERROR(INDEX(Setup!$G$33:$G$40,MATCH(K1084,Setup!$B$33:$B$40,0)),0)=1)*(COUNTIF(K1058:M1075,$B1084)+COUNTIF(K1058:M1075,$B1084&amp;" ~*")&gt;0)+(IFERROR(INDEX(Setup!$G$33:$G$40,MATCH(O1084,Setup!$B$33:$B$40,0)),0)=1)*(COUNTIF(O1058:Q1075,$B1084)+COUNTIF(O1058:Q1075,$B1084&amp;" ~*")&gt;0)+(IFERROR(INDEX(Setup!$G$33:$G$40,MATCH(S1084,Setup!$B$33:$B$40,0)),0)=1)*(COUNTIF(S1058:U1075,$B1084)+COUNTIF(S1058:U1075,$B1084&amp;" ~*")&gt;0)+(IFERROR(INDEX(Setup!$G$33:$G$40,MATCH(W1084,Setup!$B$33:$B$40,0)),0)=1)*(COUNTIF(W1058:W1075,$B1084)+COUNTIF(W1058:W1075,$B1084&amp;" ~*")&gt;0)+(IFERROR(INDEX(Setup!$G$33:$G$40,MATCH(Y1084,Setup!$B$33:$B$40,0)),0)=1)*(COUNTIF(Y1058:Y1075,$B1084)+COUNTIF(Y1058:Y1075,$B1084&amp;" ~*")&gt;0))</f>
        <v/>
      </c>
    </row>
    <row r="1085" ht="15" customHeight="1">
      <c r="A1085" t="n">
        <v>22</v>
      </c>
      <c r="B1085" s="35">
        <f>IF(Setup!$B$14="","",Setup!$B$14)</f>
        <v/>
      </c>
      <c r="C1085" s="98" t="n"/>
      <c r="D1085" s="99" t="n"/>
      <c r="E1085" s="99" t="n"/>
      <c r="F1085" s="100" t="n"/>
      <c r="G1085" s="98" t="n"/>
      <c r="H1085" s="99" t="n"/>
      <c r="I1085" s="99" t="n"/>
      <c r="J1085" s="100" t="n"/>
      <c r="K1085" s="98" t="n"/>
      <c r="L1085" s="99" t="n"/>
      <c r="M1085" s="99" t="n"/>
      <c r="N1085" s="100" t="n"/>
      <c r="O1085" s="98" t="n"/>
      <c r="P1085" s="99" t="n"/>
      <c r="Q1085" s="99" t="n"/>
      <c r="R1085" s="100" t="n"/>
      <c r="S1085" s="98" t="n"/>
      <c r="T1085" s="99" t="n"/>
      <c r="U1085" s="99" t="n"/>
      <c r="V1085" s="100" t="n"/>
      <c r="W1085" s="98" t="n"/>
      <c r="X1085" s="100" t="n"/>
      <c r="Y1085" s="98" t="n"/>
      <c r="Z1085" s="100" t="n"/>
      <c r="AB1085" s="101">
        <f>IF($B1085="","",(COUNTIF(C1058:E1075,$B1085)+COUNTIF(C1058:E1075,$B1085&amp;" ~*")&gt;0)+(COUNTIF(G1058:I1075,$B1085)+COUNTIF(G1058:I1075,$B1085&amp;" ~*")&gt;0)+(COUNTIF(K1058:M1075,$B1085)+COUNTIF(K1058:M1075,$B1085&amp;" ~*")&gt;0)+(COUNTIF(O1058:Q1075,$B1085)+COUNTIF(O1058:Q1075,$B1085&amp;" ~*")&gt;0)+(COUNTIF(S1058:U1075,$B1085)+COUNTIF(S1058:U1075,$B1085&amp;" ~*")&gt;0)+(COUNTIF(W1058:W1075,$B1085)+COUNTIF(W1058:W1075,$B1085&amp;" ~*")&gt;0)+(COUNTIF(Y1058:Y1075,$B1085)+COUNTIF(Y1058:Y1075,$B1085&amp;" ~*")&gt;0))</f>
        <v/>
      </c>
      <c r="AC1085" s="36">
        <f>IF($B1085="","",(IFERROR(INDEX(Setup!$G$33:$G$40,MATCH(C1085,Setup!$B$33:$B$40,0)),0)=1)*(COUNTIF(C1058:E1075,$B1085)+COUNTIF(C1058:E1075,$B1085&amp;" ~*")&gt;0)+(IFERROR(INDEX(Setup!$G$33:$G$40,MATCH(G1085,Setup!$B$33:$B$40,0)),0)=1)*(COUNTIF(G1058:I1075,$B1085)+COUNTIF(G1058:I1075,$B1085&amp;" ~*")&gt;0)+(IFERROR(INDEX(Setup!$G$33:$G$40,MATCH(K1085,Setup!$B$33:$B$40,0)),0)=1)*(COUNTIF(K1058:M1075,$B1085)+COUNTIF(K1058:M1075,$B1085&amp;" ~*")&gt;0)+(IFERROR(INDEX(Setup!$G$33:$G$40,MATCH(O1085,Setup!$B$33:$B$40,0)),0)=1)*(COUNTIF(O1058:Q1075,$B1085)+COUNTIF(O1058:Q1075,$B1085&amp;" ~*")&gt;0)+(IFERROR(INDEX(Setup!$G$33:$G$40,MATCH(S1085,Setup!$B$33:$B$40,0)),0)=1)*(COUNTIF(S1058:U1075,$B1085)+COUNTIF(S1058:U1075,$B1085&amp;" ~*")&gt;0)+(IFERROR(INDEX(Setup!$G$33:$G$40,MATCH(W1085,Setup!$B$33:$B$40,0)),0)=1)*(COUNTIF(W1058:W1075,$B1085)+COUNTIF(W1058:W1075,$B1085&amp;" ~*")&gt;0)+(IFERROR(INDEX(Setup!$G$33:$G$40,MATCH(Y1085,Setup!$B$33:$B$40,0)),0)=1)*(COUNTIF(Y1058:Y1075,$B1085)+COUNTIF(Y1058:Y1075,$B1085&amp;" ~*")&gt;0))</f>
        <v/>
      </c>
    </row>
    <row r="1086" ht="15" customHeight="1">
      <c r="A1086" t="n">
        <v>22</v>
      </c>
      <c r="B1086" s="37">
        <f>IF(Setup!$B$15="","",Setup!$B$15)</f>
        <v/>
      </c>
      <c r="C1086" s="102" t="n"/>
      <c r="D1086" s="103" t="n"/>
      <c r="E1086" s="103" t="n"/>
      <c r="F1086" s="104" t="n"/>
      <c r="G1086" s="102" t="n"/>
      <c r="H1086" s="103" t="n"/>
      <c r="I1086" s="103" t="n"/>
      <c r="J1086" s="104" t="n"/>
      <c r="K1086" s="102" t="n"/>
      <c r="L1086" s="103" t="n"/>
      <c r="M1086" s="103" t="n"/>
      <c r="N1086" s="104" t="n"/>
      <c r="O1086" s="102" t="n"/>
      <c r="P1086" s="103" t="n"/>
      <c r="Q1086" s="103" t="n"/>
      <c r="R1086" s="104" t="n"/>
      <c r="S1086" s="102" t="n"/>
      <c r="T1086" s="103" t="n"/>
      <c r="U1086" s="103" t="n"/>
      <c r="V1086" s="104" t="n"/>
      <c r="W1086" s="102" t="n"/>
      <c r="X1086" s="104" t="n"/>
      <c r="Y1086" s="102" t="n"/>
      <c r="Z1086" s="104" t="n"/>
      <c r="AB1086" s="105">
        <f>IF($B1086="","",(COUNTIF(C1058:E1075,$B1086)+COUNTIF(C1058:E1075,$B1086&amp;" ~*")&gt;0)+(COUNTIF(G1058:I1075,$B1086)+COUNTIF(G1058:I1075,$B1086&amp;" ~*")&gt;0)+(COUNTIF(K1058:M1075,$B1086)+COUNTIF(K1058:M1075,$B1086&amp;" ~*")&gt;0)+(COUNTIF(O1058:Q1075,$B1086)+COUNTIF(O1058:Q1075,$B1086&amp;" ~*")&gt;0)+(COUNTIF(S1058:U1075,$B1086)+COUNTIF(S1058:U1075,$B1086&amp;" ~*")&gt;0)+(COUNTIF(W1058:W1075,$B1086)+COUNTIF(W1058:W1075,$B1086&amp;" ~*")&gt;0)+(COUNTIF(Y1058:Y1075,$B1086)+COUNTIF(Y1058:Y1075,$B1086&amp;" ~*")&gt;0))</f>
        <v/>
      </c>
      <c r="AC1086" s="38">
        <f>IF($B1086="","",(IFERROR(INDEX(Setup!$G$33:$G$40,MATCH(C1086,Setup!$B$33:$B$40,0)),0)=1)*(COUNTIF(C1058:E1075,$B1086)+COUNTIF(C1058:E1075,$B1086&amp;" ~*")&gt;0)+(IFERROR(INDEX(Setup!$G$33:$G$40,MATCH(G1086,Setup!$B$33:$B$40,0)),0)=1)*(COUNTIF(G1058:I1075,$B1086)+COUNTIF(G1058:I1075,$B1086&amp;" ~*")&gt;0)+(IFERROR(INDEX(Setup!$G$33:$G$40,MATCH(K1086,Setup!$B$33:$B$40,0)),0)=1)*(COUNTIF(K1058:M1075,$B1086)+COUNTIF(K1058:M1075,$B1086&amp;" ~*")&gt;0)+(IFERROR(INDEX(Setup!$G$33:$G$40,MATCH(O1086,Setup!$B$33:$B$40,0)),0)=1)*(COUNTIF(O1058:Q1075,$B1086)+COUNTIF(O1058:Q1075,$B1086&amp;" ~*")&gt;0)+(IFERROR(INDEX(Setup!$G$33:$G$40,MATCH(S1086,Setup!$B$33:$B$40,0)),0)=1)*(COUNTIF(S1058:U1075,$B1086)+COUNTIF(S1058:U1075,$B1086&amp;" ~*")&gt;0)+(IFERROR(INDEX(Setup!$G$33:$G$40,MATCH(W1086,Setup!$B$33:$B$40,0)),0)=1)*(COUNTIF(W1058:W1075,$B1086)+COUNTIF(W1058:W1075,$B1086&amp;" ~*")&gt;0)+(IFERROR(INDEX(Setup!$G$33:$G$40,MATCH(Y1086,Setup!$B$33:$B$40,0)),0)=1)*(COUNTIF(Y1058:Y1075,$B1086)+COUNTIF(Y1058:Y1075,$B1086&amp;" ~*")&gt;0))</f>
        <v/>
      </c>
    </row>
    <row r="1087" ht="15" customHeight="1">
      <c r="A1087" t="n">
        <v>22</v>
      </c>
      <c r="B1087" s="35">
        <f>IF(Setup!$B$16="","",Setup!$B$16)</f>
        <v/>
      </c>
      <c r="C1087" s="98" t="n"/>
      <c r="D1087" s="99" t="n"/>
      <c r="E1087" s="99" t="n"/>
      <c r="F1087" s="100" t="n"/>
      <c r="G1087" s="98" t="n"/>
      <c r="H1087" s="99" t="n"/>
      <c r="I1087" s="99" t="n"/>
      <c r="J1087" s="100" t="n"/>
      <c r="K1087" s="98" t="n"/>
      <c r="L1087" s="99" t="n"/>
      <c r="M1087" s="99" t="n"/>
      <c r="N1087" s="100" t="n"/>
      <c r="O1087" s="98" t="n"/>
      <c r="P1087" s="99" t="n"/>
      <c r="Q1087" s="99" t="n"/>
      <c r="R1087" s="100" t="n"/>
      <c r="S1087" s="98" t="n"/>
      <c r="T1087" s="99" t="n"/>
      <c r="U1087" s="99" t="n"/>
      <c r="V1087" s="100" t="n"/>
      <c r="W1087" s="98" t="n"/>
      <c r="X1087" s="100" t="n"/>
      <c r="Y1087" s="98" t="n"/>
      <c r="Z1087" s="100" t="n"/>
      <c r="AB1087" s="101">
        <f>IF($B1087="","",(COUNTIF(C1058:E1075,$B1087)+COUNTIF(C1058:E1075,$B1087&amp;" ~*")&gt;0)+(COUNTIF(G1058:I1075,$B1087)+COUNTIF(G1058:I1075,$B1087&amp;" ~*")&gt;0)+(COUNTIF(K1058:M1075,$B1087)+COUNTIF(K1058:M1075,$B1087&amp;" ~*")&gt;0)+(COUNTIF(O1058:Q1075,$B1087)+COUNTIF(O1058:Q1075,$B1087&amp;" ~*")&gt;0)+(COUNTIF(S1058:U1075,$B1087)+COUNTIF(S1058:U1075,$B1087&amp;" ~*")&gt;0)+(COUNTIF(W1058:W1075,$B1087)+COUNTIF(W1058:W1075,$B1087&amp;" ~*")&gt;0)+(COUNTIF(Y1058:Y1075,$B1087)+COUNTIF(Y1058:Y1075,$B1087&amp;" ~*")&gt;0))</f>
        <v/>
      </c>
      <c r="AC1087" s="36">
        <f>IF($B1087="","",(IFERROR(INDEX(Setup!$G$33:$G$40,MATCH(C1087,Setup!$B$33:$B$40,0)),0)=1)*(COUNTIF(C1058:E1075,$B1087)+COUNTIF(C1058:E1075,$B1087&amp;" ~*")&gt;0)+(IFERROR(INDEX(Setup!$G$33:$G$40,MATCH(G1087,Setup!$B$33:$B$40,0)),0)=1)*(COUNTIF(G1058:I1075,$B1087)+COUNTIF(G1058:I1075,$B1087&amp;" ~*")&gt;0)+(IFERROR(INDEX(Setup!$G$33:$G$40,MATCH(K1087,Setup!$B$33:$B$40,0)),0)=1)*(COUNTIF(K1058:M1075,$B1087)+COUNTIF(K1058:M1075,$B1087&amp;" ~*")&gt;0)+(IFERROR(INDEX(Setup!$G$33:$G$40,MATCH(O1087,Setup!$B$33:$B$40,0)),0)=1)*(COUNTIF(O1058:Q1075,$B1087)+COUNTIF(O1058:Q1075,$B1087&amp;" ~*")&gt;0)+(IFERROR(INDEX(Setup!$G$33:$G$40,MATCH(S1087,Setup!$B$33:$B$40,0)),0)=1)*(COUNTIF(S1058:U1075,$B1087)+COUNTIF(S1058:U1075,$B1087&amp;" ~*")&gt;0)+(IFERROR(INDEX(Setup!$G$33:$G$40,MATCH(W1087,Setup!$B$33:$B$40,0)),0)=1)*(COUNTIF(W1058:W1075,$B1087)+COUNTIF(W1058:W1075,$B1087&amp;" ~*")&gt;0)+(IFERROR(INDEX(Setup!$G$33:$G$40,MATCH(Y1087,Setup!$B$33:$B$40,0)),0)=1)*(COUNTIF(Y1058:Y1075,$B1087)+COUNTIF(Y1058:Y1075,$B1087&amp;" ~*")&gt;0))</f>
        <v/>
      </c>
    </row>
    <row r="1088" ht="15" customHeight="1">
      <c r="A1088" t="n">
        <v>22</v>
      </c>
      <c r="B1088" s="37">
        <f>IF(Setup!$B$17="","",Setup!$B$17)</f>
        <v/>
      </c>
      <c r="C1088" s="102" t="n"/>
      <c r="D1088" s="103" t="n"/>
      <c r="E1088" s="103" t="n"/>
      <c r="F1088" s="104" t="n"/>
      <c r="G1088" s="102" t="n"/>
      <c r="H1088" s="103" t="n"/>
      <c r="I1088" s="103" t="n"/>
      <c r="J1088" s="104" t="n"/>
      <c r="K1088" s="102" t="n"/>
      <c r="L1088" s="103" t="n"/>
      <c r="M1088" s="103" t="n"/>
      <c r="N1088" s="104" t="n"/>
      <c r="O1088" s="102" t="n"/>
      <c r="P1088" s="103" t="n"/>
      <c r="Q1088" s="103" t="n"/>
      <c r="R1088" s="104" t="n"/>
      <c r="S1088" s="102" t="n"/>
      <c r="T1088" s="103" t="n"/>
      <c r="U1088" s="103" t="n"/>
      <c r="V1088" s="104" t="n"/>
      <c r="W1088" s="102" t="n"/>
      <c r="X1088" s="104" t="n"/>
      <c r="Y1088" s="102" t="n"/>
      <c r="Z1088" s="104" t="n"/>
      <c r="AB1088" s="105">
        <f>IF($B1088="","",(COUNTIF(C1058:E1075,$B1088)+COUNTIF(C1058:E1075,$B1088&amp;" ~*")&gt;0)+(COUNTIF(G1058:I1075,$B1088)+COUNTIF(G1058:I1075,$B1088&amp;" ~*")&gt;0)+(COUNTIF(K1058:M1075,$B1088)+COUNTIF(K1058:M1075,$B1088&amp;" ~*")&gt;0)+(COUNTIF(O1058:Q1075,$B1088)+COUNTIF(O1058:Q1075,$B1088&amp;" ~*")&gt;0)+(COUNTIF(S1058:U1075,$B1088)+COUNTIF(S1058:U1075,$B1088&amp;" ~*")&gt;0)+(COUNTIF(W1058:W1075,$B1088)+COUNTIF(W1058:W1075,$B1088&amp;" ~*")&gt;0)+(COUNTIF(Y1058:Y1075,$B1088)+COUNTIF(Y1058:Y1075,$B1088&amp;" ~*")&gt;0))</f>
        <v/>
      </c>
      <c r="AC1088" s="38">
        <f>IF($B1088="","",(IFERROR(INDEX(Setup!$G$33:$G$40,MATCH(C1088,Setup!$B$33:$B$40,0)),0)=1)*(COUNTIF(C1058:E1075,$B1088)+COUNTIF(C1058:E1075,$B1088&amp;" ~*")&gt;0)+(IFERROR(INDEX(Setup!$G$33:$G$40,MATCH(G1088,Setup!$B$33:$B$40,0)),0)=1)*(COUNTIF(G1058:I1075,$B1088)+COUNTIF(G1058:I1075,$B1088&amp;" ~*")&gt;0)+(IFERROR(INDEX(Setup!$G$33:$G$40,MATCH(K1088,Setup!$B$33:$B$40,0)),0)=1)*(COUNTIF(K1058:M1075,$B1088)+COUNTIF(K1058:M1075,$B1088&amp;" ~*")&gt;0)+(IFERROR(INDEX(Setup!$G$33:$G$40,MATCH(O1088,Setup!$B$33:$B$40,0)),0)=1)*(COUNTIF(O1058:Q1075,$B1088)+COUNTIF(O1058:Q1075,$B1088&amp;" ~*")&gt;0)+(IFERROR(INDEX(Setup!$G$33:$G$40,MATCH(S1088,Setup!$B$33:$B$40,0)),0)=1)*(COUNTIF(S1058:U1075,$B1088)+COUNTIF(S1058:U1075,$B1088&amp;" ~*")&gt;0)+(IFERROR(INDEX(Setup!$G$33:$G$40,MATCH(W1088,Setup!$B$33:$B$40,0)),0)=1)*(COUNTIF(W1058:W1075,$B1088)+COUNTIF(W1058:W1075,$B1088&amp;" ~*")&gt;0)+(IFERROR(INDEX(Setup!$G$33:$G$40,MATCH(Y1088,Setup!$B$33:$B$40,0)),0)=1)*(COUNTIF(Y1058:Y1075,$B1088)+COUNTIF(Y1058:Y1075,$B1088&amp;" ~*")&gt;0))</f>
        <v/>
      </c>
    </row>
    <row r="1089" ht="15" customHeight="1">
      <c r="A1089" t="n">
        <v>22</v>
      </c>
      <c r="B1089" s="35">
        <f>IF(Setup!$B$18="","",Setup!$B$18)</f>
        <v/>
      </c>
      <c r="C1089" s="98" t="n"/>
      <c r="D1089" s="99" t="n"/>
      <c r="E1089" s="99" t="n"/>
      <c r="F1089" s="100" t="n"/>
      <c r="G1089" s="98" t="n"/>
      <c r="H1089" s="99" t="n"/>
      <c r="I1089" s="99" t="n"/>
      <c r="J1089" s="100" t="n"/>
      <c r="K1089" s="98" t="n"/>
      <c r="L1089" s="99" t="n"/>
      <c r="M1089" s="99" t="n"/>
      <c r="N1089" s="100" t="n"/>
      <c r="O1089" s="98" t="n"/>
      <c r="P1089" s="99" t="n"/>
      <c r="Q1089" s="99" t="n"/>
      <c r="R1089" s="100" t="n"/>
      <c r="S1089" s="98" t="n"/>
      <c r="T1089" s="99" t="n"/>
      <c r="U1089" s="99" t="n"/>
      <c r="V1089" s="100" t="n"/>
      <c r="W1089" s="98" t="n"/>
      <c r="X1089" s="100" t="n"/>
      <c r="Y1089" s="98" t="n"/>
      <c r="Z1089" s="100" t="n"/>
      <c r="AB1089" s="101">
        <f>IF($B1089="","",(COUNTIF(C1058:E1075,$B1089)+COUNTIF(C1058:E1075,$B1089&amp;" ~*")&gt;0)+(COUNTIF(G1058:I1075,$B1089)+COUNTIF(G1058:I1075,$B1089&amp;" ~*")&gt;0)+(COUNTIF(K1058:M1075,$B1089)+COUNTIF(K1058:M1075,$B1089&amp;" ~*")&gt;0)+(COUNTIF(O1058:Q1075,$B1089)+COUNTIF(O1058:Q1075,$B1089&amp;" ~*")&gt;0)+(COUNTIF(S1058:U1075,$B1089)+COUNTIF(S1058:U1075,$B1089&amp;" ~*")&gt;0)+(COUNTIF(W1058:W1075,$B1089)+COUNTIF(W1058:W1075,$B1089&amp;" ~*")&gt;0)+(COUNTIF(Y1058:Y1075,$B1089)+COUNTIF(Y1058:Y1075,$B1089&amp;" ~*")&gt;0))</f>
        <v/>
      </c>
      <c r="AC1089" s="36">
        <f>IF($B1089="","",(IFERROR(INDEX(Setup!$G$33:$G$40,MATCH(C1089,Setup!$B$33:$B$40,0)),0)=1)*(COUNTIF(C1058:E1075,$B1089)+COUNTIF(C1058:E1075,$B1089&amp;" ~*")&gt;0)+(IFERROR(INDEX(Setup!$G$33:$G$40,MATCH(G1089,Setup!$B$33:$B$40,0)),0)=1)*(COUNTIF(G1058:I1075,$B1089)+COUNTIF(G1058:I1075,$B1089&amp;" ~*")&gt;0)+(IFERROR(INDEX(Setup!$G$33:$G$40,MATCH(K1089,Setup!$B$33:$B$40,0)),0)=1)*(COUNTIF(K1058:M1075,$B1089)+COUNTIF(K1058:M1075,$B1089&amp;" ~*")&gt;0)+(IFERROR(INDEX(Setup!$G$33:$G$40,MATCH(O1089,Setup!$B$33:$B$40,0)),0)=1)*(COUNTIF(O1058:Q1075,$B1089)+COUNTIF(O1058:Q1075,$B1089&amp;" ~*")&gt;0)+(IFERROR(INDEX(Setup!$G$33:$G$40,MATCH(S1089,Setup!$B$33:$B$40,0)),0)=1)*(COUNTIF(S1058:U1075,$B1089)+COUNTIF(S1058:U1075,$B1089&amp;" ~*")&gt;0)+(IFERROR(INDEX(Setup!$G$33:$G$40,MATCH(W1089,Setup!$B$33:$B$40,0)),0)=1)*(COUNTIF(W1058:W1075,$B1089)+COUNTIF(W1058:W1075,$B1089&amp;" ~*")&gt;0)+(IFERROR(INDEX(Setup!$G$33:$G$40,MATCH(Y1089,Setup!$B$33:$B$40,0)),0)=1)*(COUNTIF(Y1058:Y1075,$B1089)+COUNTIF(Y1058:Y1075,$B1089&amp;" ~*")&gt;0))</f>
        <v/>
      </c>
    </row>
    <row r="1090" ht="15" customHeight="1">
      <c r="A1090" t="n">
        <v>22</v>
      </c>
      <c r="B1090" s="37">
        <f>IF(Setup!$B$19="","",Setup!$B$19)</f>
        <v/>
      </c>
      <c r="C1090" s="102" t="n"/>
      <c r="D1090" s="103" t="n"/>
      <c r="E1090" s="103" t="n"/>
      <c r="F1090" s="104" t="n"/>
      <c r="G1090" s="102" t="n"/>
      <c r="H1090" s="103" t="n"/>
      <c r="I1090" s="103" t="n"/>
      <c r="J1090" s="104" t="n"/>
      <c r="K1090" s="102" t="n"/>
      <c r="L1090" s="103" t="n"/>
      <c r="M1090" s="103" t="n"/>
      <c r="N1090" s="104" t="n"/>
      <c r="O1090" s="102" t="n"/>
      <c r="P1090" s="103" t="n"/>
      <c r="Q1090" s="103" t="n"/>
      <c r="R1090" s="104" t="n"/>
      <c r="S1090" s="102" t="n"/>
      <c r="T1090" s="103" t="n"/>
      <c r="U1090" s="103" t="n"/>
      <c r="V1090" s="104" t="n"/>
      <c r="W1090" s="102" t="n"/>
      <c r="X1090" s="104" t="n"/>
      <c r="Y1090" s="102" t="n"/>
      <c r="Z1090" s="104" t="n"/>
      <c r="AB1090" s="105">
        <f>IF($B1090="","",(COUNTIF(C1058:E1075,$B1090)+COUNTIF(C1058:E1075,$B1090&amp;" ~*")&gt;0)+(COUNTIF(G1058:I1075,$B1090)+COUNTIF(G1058:I1075,$B1090&amp;" ~*")&gt;0)+(COUNTIF(K1058:M1075,$B1090)+COUNTIF(K1058:M1075,$B1090&amp;" ~*")&gt;0)+(COUNTIF(O1058:Q1075,$B1090)+COUNTIF(O1058:Q1075,$B1090&amp;" ~*")&gt;0)+(COUNTIF(S1058:U1075,$B1090)+COUNTIF(S1058:U1075,$B1090&amp;" ~*")&gt;0)+(COUNTIF(W1058:W1075,$B1090)+COUNTIF(W1058:W1075,$B1090&amp;" ~*")&gt;0)+(COUNTIF(Y1058:Y1075,$B1090)+COUNTIF(Y1058:Y1075,$B1090&amp;" ~*")&gt;0))</f>
        <v/>
      </c>
      <c r="AC1090" s="38">
        <f>IF($B1090="","",(IFERROR(INDEX(Setup!$G$33:$G$40,MATCH(C1090,Setup!$B$33:$B$40,0)),0)=1)*(COUNTIF(C1058:E1075,$B1090)+COUNTIF(C1058:E1075,$B1090&amp;" ~*")&gt;0)+(IFERROR(INDEX(Setup!$G$33:$G$40,MATCH(G1090,Setup!$B$33:$B$40,0)),0)=1)*(COUNTIF(G1058:I1075,$B1090)+COUNTIF(G1058:I1075,$B1090&amp;" ~*")&gt;0)+(IFERROR(INDEX(Setup!$G$33:$G$40,MATCH(K1090,Setup!$B$33:$B$40,0)),0)=1)*(COUNTIF(K1058:M1075,$B1090)+COUNTIF(K1058:M1075,$B1090&amp;" ~*")&gt;0)+(IFERROR(INDEX(Setup!$G$33:$G$40,MATCH(O1090,Setup!$B$33:$B$40,0)),0)=1)*(COUNTIF(O1058:Q1075,$B1090)+COUNTIF(O1058:Q1075,$B1090&amp;" ~*")&gt;0)+(IFERROR(INDEX(Setup!$G$33:$G$40,MATCH(S1090,Setup!$B$33:$B$40,0)),0)=1)*(COUNTIF(S1058:U1075,$B1090)+COUNTIF(S1058:U1075,$B1090&amp;" ~*")&gt;0)+(IFERROR(INDEX(Setup!$G$33:$G$40,MATCH(W1090,Setup!$B$33:$B$40,0)),0)=1)*(COUNTIF(W1058:W1075,$B1090)+COUNTIF(W1058:W1075,$B1090&amp;" ~*")&gt;0)+(IFERROR(INDEX(Setup!$G$33:$G$40,MATCH(Y1090,Setup!$B$33:$B$40,0)),0)=1)*(COUNTIF(Y1058:Y1075,$B1090)+COUNTIF(Y1058:Y1075,$B1090&amp;" ~*")&gt;0))</f>
        <v/>
      </c>
    </row>
    <row r="1091" ht="15" customHeight="1">
      <c r="A1091" t="n">
        <v>22</v>
      </c>
      <c r="B1091" s="35">
        <f>IF(Setup!$B$20="","",Setup!$B$20)</f>
        <v/>
      </c>
      <c r="C1091" s="98" t="n"/>
      <c r="D1091" s="99" t="n"/>
      <c r="E1091" s="99" t="n"/>
      <c r="F1091" s="100" t="n"/>
      <c r="G1091" s="98" t="n"/>
      <c r="H1091" s="99" t="n"/>
      <c r="I1091" s="99" t="n"/>
      <c r="J1091" s="100" t="n"/>
      <c r="K1091" s="98" t="n"/>
      <c r="L1091" s="99" t="n"/>
      <c r="M1091" s="99" t="n"/>
      <c r="N1091" s="100" t="n"/>
      <c r="O1091" s="98" t="n"/>
      <c r="P1091" s="99" t="n"/>
      <c r="Q1091" s="99" t="n"/>
      <c r="R1091" s="100" t="n"/>
      <c r="S1091" s="98" t="n"/>
      <c r="T1091" s="99" t="n"/>
      <c r="U1091" s="99" t="n"/>
      <c r="V1091" s="100" t="n"/>
      <c r="W1091" s="98" t="n"/>
      <c r="X1091" s="100" t="n"/>
      <c r="Y1091" s="98" t="n"/>
      <c r="Z1091" s="100" t="n"/>
      <c r="AB1091" s="101">
        <f>IF($B1091="","",(COUNTIF(C1058:E1075,$B1091)+COUNTIF(C1058:E1075,$B1091&amp;" ~*")&gt;0)+(COUNTIF(G1058:I1075,$B1091)+COUNTIF(G1058:I1075,$B1091&amp;" ~*")&gt;0)+(COUNTIF(K1058:M1075,$B1091)+COUNTIF(K1058:M1075,$B1091&amp;" ~*")&gt;0)+(COUNTIF(O1058:Q1075,$B1091)+COUNTIF(O1058:Q1075,$B1091&amp;" ~*")&gt;0)+(COUNTIF(S1058:U1075,$B1091)+COUNTIF(S1058:U1075,$B1091&amp;" ~*")&gt;0)+(COUNTIF(W1058:W1075,$B1091)+COUNTIF(W1058:W1075,$B1091&amp;" ~*")&gt;0)+(COUNTIF(Y1058:Y1075,$B1091)+COUNTIF(Y1058:Y1075,$B1091&amp;" ~*")&gt;0))</f>
        <v/>
      </c>
      <c r="AC1091" s="36">
        <f>IF($B1091="","",(IFERROR(INDEX(Setup!$G$33:$G$40,MATCH(C1091,Setup!$B$33:$B$40,0)),0)=1)*(COUNTIF(C1058:E1075,$B1091)+COUNTIF(C1058:E1075,$B1091&amp;" ~*")&gt;0)+(IFERROR(INDEX(Setup!$G$33:$G$40,MATCH(G1091,Setup!$B$33:$B$40,0)),0)=1)*(COUNTIF(G1058:I1075,$B1091)+COUNTIF(G1058:I1075,$B1091&amp;" ~*")&gt;0)+(IFERROR(INDEX(Setup!$G$33:$G$40,MATCH(K1091,Setup!$B$33:$B$40,0)),0)=1)*(COUNTIF(K1058:M1075,$B1091)+COUNTIF(K1058:M1075,$B1091&amp;" ~*")&gt;0)+(IFERROR(INDEX(Setup!$G$33:$G$40,MATCH(O1091,Setup!$B$33:$B$40,0)),0)=1)*(COUNTIF(O1058:Q1075,$B1091)+COUNTIF(O1058:Q1075,$B1091&amp;" ~*")&gt;0)+(IFERROR(INDEX(Setup!$G$33:$G$40,MATCH(S1091,Setup!$B$33:$B$40,0)),0)=1)*(COUNTIF(S1058:U1075,$B1091)+COUNTIF(S1058:U1075,$B1091&amp;" ~*")&gt;0)+(IFERROR(INDEX(Setup!$G$33:$G$40,MATCH(W1091,Setup!$B$33:$B$40,0)),0)=1)*(COUNTIF(W1058:W1075,$B1091)+COUNTIF(W1058:W1075,$B1091&amp;" ~*")&gt;0)+(IFERROR(INDEX(Setup!$G$33:$G$40,MATCH(Y1091,Setup!$B$33:$B$40,0)),0)=1)*(COUNTIF(Y1058:Y1075,$B1091)+COUNTIF(Y1058:Y1075,$B1091&amp;" ~*")&gt;0))</f>
        <v/>
      </c>
    </row>
    <row r="1092" ht="15" customHeight="1">
      <c r="A1092" t="n">
        <v>22</v>
      </c>
      <c r="B1092" s="37">
        <f>IF(Setup!$B$21="","",Setup!$B$21)</f>
        <v/>
      </c>
      <c r="C1092" s="102" t="n"/>
      <c r="D1092" s="103" t="n"/>
      <c r="E1092" s="103" t="n"/>
      <c r="F1092" s="104" t="n"/>
      <c r="G1092" s="102" t="inlineStr">
        <is>
          <t>AL</t>
        </is>
      </c>
      <c r="H1092" s="103" t="n"/>
      <c r="I1092" s="103" t="n"/>
      <c r="J1092" s="104" t="n"/>
      <c r="K1092" s="102" t="inlineStr">
        <is>
          <t>AL</t>
        </is>
      </c>
      <c r="L1092" s="103" t="n"/>
      <c r="M1092" s="103" t="n"/>
      <c r="N1092" s="104" t="n"/>
      <c r="O1092" s="102" t="inlineStr">
        <is>
          <t>AL</t>
        </is>
      </c>
      <c r="P1092" s="103" t="n"/>
      <c r="Q1092" s="103" t="n"/>
      <c r="R1092" s="104" t="n"/>
      <c r="S1092" s="102" t="inlineStr">
        <is>
          <t>AL</t>
        </is>
      </c>
      <c r="T1092" s="103" t="n"/>
      <c r="U1092" s="103" t="n"/>
      <c r="V1092" s="104" t="n"/>
      <c r="W1092" s="102" t="n"/>
      <c r="X1092" s="104" t="n"/>
      <c r="Y1092" s="102" t="n"/>
      <c r="Z1092" s="104" t="n"/>
      <c r="AB1092" s="105">
        <f>IF($B1092="","",(COUNTIF(C1058:E1075,$B1092)+COUNTIF(C1058:E1075,$B1092&amp;" ~*")&gt;0)+(COUNTIF(G1058:I1075,$B1092)+COUNTIF(G1058:I1075,$B1092&amp;" ~*")&gt;0)+(COUNTIF(K1058:M1075,$B1092)+COUNTIF(K1058:M1075,$B1092&amp;" ~*")&gt;0)+(COUNTIF(O1058:Q1075,$B1092)+COUNTIF(O1058:Q1075,$B1092&amp;" ~*")&gt;0)+(COUNTIF(S1058:U1075,$B1092)+COUNTIF(S1058:U1075,$B1092&amp;" ~*")&gt;0)+(COUNTIF(W1058:W1075,$B1092)+COUNTIF(W1058:W1075,$B1092&amp;" ~*")&gt;0)+(COUNTIF(Y1058:Y1075,$B1092)+COUNTIF(Y1058:Y1075,$B1092&amp;" ~*")&gt;0))</f>
        <v/>
      </c>
      <c r="AC1092" s="38">
        <f>IF($B1092="","",(IFERROR(INDEX(Setup!$G$33:$G$40,MATCH(C1092,Setup!$B$33:$B$40,0)),0)=1)*(COUNTIF(C1058:E1075,$B1092)+COUNTIF(C1058:E1075,$B1092&amp;" ~*")&gt;0)+(IFERROR(INDEX(Setup!$G$33:$G$40,MATCH(G1092,Setup!$B$33:$B$40,0)),0)=1)*(COUNTIF(G1058:I1075,$B1092)+COUNTIF(G1058:I1075,$B1092&amp;" ~*")&gt;0)+(IFERROR(INDEX(Setup!$G$33:$G$40,MATCH(K1092,Setup!$B$33:$B$40,0)),0)=1)*(COUNTIF(K1058:M1075,$B1092)+COUNTIF(K1058:M1075,$B1092&amp;" ~*")&gt;0)+(IFERROR(INDEX(Setup!$G$33:$G$40,MATCH(O1092,Setup!$B$33:$B$40,0)),0)=1)*(COUNTIF(O1058:Q1075,$B1092)+COUNTIF(O1058:Q1075,$B1092&amp;" ~*")&gt;0)+(IFERROR(INDEX(Setup!$G$33:$G$40,MATCH(S1092,Setup!$B$33:$B$40,0)),0)=1)*(COUNTIF(S1058:U1075,$B1092)+COUNTIF(S1058:U1075,$B1092&amp;" ~*")&gt;0)+(IFERROR(INDEX(Setup!$G$33:$G$40,MATCH(W1092,Setup!$B$33:$B$40,0)),0)=1)*(COUNTIF(W1058:W1075,$B1092)+COUNTIF(W1058:W1075,$B1092&amp;" ~*")&gt;0)+(IFERROR(INDEX(Setup!$G$33:$G$40,MATCH(Y1092,Setup!$B$33:$B$40,0)),0)=1)*(COUNTIF(Y1058:Y1075,$B1092)+COUNTIF(Y1058:Y1075,$B1092&amp;" ~*")&gt;0))</f>
        <v/>
      </c>
    </row>
    <row r="1093" ht="15" customHeight="1">
      <c r="A1093" t="n">
        <v>22</v>
      </c>
      <c r="B1093" s="35">
        <f>IF(Setup!$B$22="","",Setup!$B$22)</f>
        <v/>
      </c>
      <c r="C1093" s="98" t="n"/>
      <c r="D1093" s="99" t="n"/>
      <c r="E1093" s="99" t="n"/>
      <c r="F1093" s="100" t="n"/>
      <c r="G1093" s="98" t="n"/>
      <c r="H1093" s="99" t="n"/>
      <c r="I1093" s="99" t="n"/>
      <c r="J1093" s="100" t="n"/>
      <c r="K1093" s="98" t="n"/>
      <c r="L1093" s="99" t="n"/>
      <c r="M1093" s="99" t="n"/>
      <c r="N1093" s="100" t="n"/>
      <c r="O1093" s="98" t="n"/>
      <c r="P1093" s="99" t="n"/>
      <c r="Q1093" s="99" t="n"/>
      <c r="R1093" s="100" t="n"/>
      <c r="S1093" s="98" t="n"/>
      <c r="T1093" s="99" t="n"/>
      <c r="U1093" s="99" t="n"/>
      <c r="V1093" s="100" t="n"/>
      <c r="W1093" s="98" t="n"/>
      <c r="X1093" s="100" t="n"/>
      <c r="Y1093" s="98" t="n"/>
      <c r="Z1093" s="100" t="n"/>
      <c r="AB1093" s="101">
        <f>IF($B1093="","",(COUNTIF(C1058:E1075,$B1093)+COUNTIF(C1058:E1075,$B1093&amp;" ~*")&gt;0)+(COUNTIF(G1058:I1075,$B1093)+COUNTIF(G1058:I1075,$B1093&amp;" ~*")&gt;0)+(COUNTIF(K1058:M1075,$B1093)+COUNTIF(K1058:M1075,$B1093&amp;" ~*")&gt;0)+(COUNTIF(O1058:Q1075,$B1093)+COUNTIF(O1058:Q1075,$B1093&amp;" ~*")&gt;0)+(COUNTIF(S1058:U1075,$B1093)+COUNTIF(S1058:U1075,$B1093&amp;" ~*")&gt;0)+(COUNTIF(W1058:W1075,$B1093)+COUNTIF(W1058:W1075,$B1093&amp;" ~*")&gt;0)+(COUNTIF(Y1058:Y1075,$B1093)+COUNTIF(Y1058:Y1075,$B1093&amp;" ~*")&gt;0))</f>
        <v/>
      </c>
      <c r="AC1093" s="36">
        <f>IF($B1093="","",(IFERROR(INDEX(Setup!$G$33:$G$40,MATCH(C1093,Setup!$B$33:$B$40,0)),0)=1)*(COUNTIF(C1058:E1075,$B1093)+COUNTIF(C1058:E1075,$B1093&amp;" ~*")&gt;0)+(IFERROR(INDEX(Setup!$G$33:$G$40,MATCH(G1093,Setup!$B$33:$B$40,0)),0)=1)*(COUNTIF(G1058:I1075,$B1093)+COUNTIF(G1058:I1075,$B1093&amp;" ~*")&gt;0)+(IFERROR(INDEX(Setup!$G$33:$G$40,MATCH(K1093,Setup!$B$33:$B$40,0)),0)=1)*(COUNTIF(K1058:M1075,$B1093)+COUNTIF(K1058:M1075,$B1093&amp;" ~*")&gt;0)+(IFERROR(INDEX(Setup!$G$33:$G$40,MATCH(O1093,Setup!$B$33:$B$40,0)),0)=1)*(COUNTIF(O1058:Q1075,$B1093)+COUNTIF(O1058:Q1075,$B1093&amp;" ~*")&gt;0)+(IFERROR(INDEX(Setup!$G$33:$G$40,MATCH(S1093,Setup!$B$33:$B$40,0)),0)=1)*(COUNTIF(S1058:U1075,$B1093)+COUNTIF(S1058:U1075,$B1093&amp;" ~*")&gt;0)+(IFERROR(INDEX(Setup!$G$33:$G$40,MATCH(W1093,Setup!$B$33:$B$40,0)),0)=1)*(COUNTIF(W1058:W1075,$B1093)+COUNTIF(W1058:W1075,$B1093&amp;" ~*")&gt;0)+(IFERROR(INDEX(Setup!$G$33:$G$40,MATCH(Y1093,Setup!$B$33:$B$40,0)),0)=1)*(COUNTIF(Y1058:Y1075,$B1093)+COUNTIF(Y1058:Y1075,$B1093&amp;" ~*")&gt;0))</f>
        <v/>
      </c>
    </row>
    <row r="1094" ht="15" customHeight="1">
      <c r="A1094" t="n">
        <v>22</v>
      </c>
      <c r="B1094" s="37">
        <f>IF(Setup!$B$23="","",Setup!$B$23)</f>
        <v/>
      </c>
      <c r="C1094" s="102" t="n"/>
      <c r="D1094" s="103" t="n"/>
      <c r="E1094" s="103" t="n"/>
      <c r="F1094" s="104" t="n"/>
      <c r="G1094" s="102" t="n"/>
      <c r="H1094" s="103" t="n"/>
      <c r="I1094" s="103" t="n"/>
      <c r="J1094" s="104" t="n"/>
      <c r="K1094" s="102" t="n"/>
      <c r="L1094" s="103" t="n"/>
      <c r="M1094" s="103" t="n"/>
      <c r="N1094" s="104" t="n"/>
      <c r="O1094" s="102" t="n"/>
      <c r="P1094" s="103" t="n"/>
      <c r="Q1094" s="103" t="n"/>
      <c r="R1094" s="104" t="n"/>
      <c r="S1094" s="102" t="n"/>
      <c r="T1094" s="103" t="n"/>
      <c r="U1094" s="103" t="n"/>
      <c r="V1094" s="104" t="n"/>
      <c r="W1094" s="102" t="n"/>
      <c r="X1094" s="104" t="n"/>
      <c r="Y1094" s="102" t="n"/>
      <c r="Z1094" s="104" t="n"/>
      <c r="AB1094" s="105">
        <f>IF($B1094="","",(COUNTIF(C1058:E1075,$B1094)+COUNTIF(C1058:E1075,$B1094&amp;" ~*")&gt;0)+(COUNTIF(G1058:I1075,$B1094)+COUNTIF(G1058:I1075,$B1094&amp;" ~*")&gt;0)+(COUNTIF(K1058:M1075,$B1094)+COUNTIF(K1058:M1075,$B1094&amp;" ~*")&gt;0)+(COUNTIF(O1058:Q1075,$B1094)+COUNTIF(O1058:Q1075,$B1094&amp;" ~*")&gt;0)+(COUNTIF(S1058:U1075,$B1094)+COUNTIF(S1058:U1075,$B1094&amp;" ~*")&gt;0)+(COUNTIF(W1058:W1075,$B1094)+COUNTIF(W1058:W1075,$B1094&amp;" ~*")&gt;0)+(COUNTIF(Y1058:Y1075,$B1094)+COUNTIF(Y1058:Y1075,$B1094&amp;" ~*")&gt;0))</f>
        <v/>
      </c>
      <c r="AC1094" s="38">
        <f>IF($B1094="","",(IFERROR(INDEX(Setup!$G$33:$G$40,MATCH(C1094,Setup!$B$33:$B$40,0)),0)=1)*(COUNTIF(C1058:E1075,$B1094)+COUNTIF(C1058:E1075,$B1094&amp;" ~*")&gt;0)+(IFERROR(INDEX(Setup!$G$33:$G$40,MATCH(G1094,Setup!$B$33:$B$40,0)),0)=1)*(COUNTIF(G1058:I1075,$B1094)+COUNTIF(G1058:I1075,$B1094&amp;" ~*")&gt;0)+(IFERROR(INDEX(Setup!$G$33:$G$40,MATCH(K1094,Setup!$B$33:$B$40,0)),0)=1)*(COUNTIF(K1058:M1075,$B1094)+COUNTIF(K1058:M1075,$B1094&amp;" ~*")&gt;0)+(IFERROR(INDEX(Setup!$G$33:$G$40,MATCH(O1094,Setup!$B$33:$B$40,0)),0)=1)*(COUNTIF(O1058:Q1075,$B1094)+COUNTIF(O1058:Q1075,$B1094&amp;" ~*")&gt;0)+(IFERROR(INDEX(Setup!$G$33:$G$40,MATCH(S1094,Setup!$B$33:$B$40,0)),0)=1)*(COUNTIF(S1058:U1075,$B1094)+COUNTIF(S1058:U1075,$B1094&amp;" ~*")&gt;0)+(IFERROR(INDEX(Setup!$G$33:$G$40,MATCH(W1094,Setup!$B$33:$B$40,0)),0)=1)*(COUNTIF(W1058:W1075,$B1094)+COUNTIF(W1058:W1075,$B1094&amp;" ~*")&gt;0)+(IFERROR(INDEX(Setup!$G$33:$G$40,MATCH(Y1094,Setup!$B$33:$B$40,0)),0)=1)*(COUNTIF(Y1058:Y1075,$B1094)+COUNTIF(Y1058:Y1075,$B1094&amp;" ~*")&gt;0))</f>
        <v/>
      </c>
    </row>
    <row r="1095" ht="15" customHeight="1">
      <c r="A1095" t="n">
        <v>22</v>
      </c>
      <c r="B1095" s="35">
        <f>IF(Setup!$B$24="","",Setup!$B$24)</f>
        <v/>
      </c>
      <c r="C1095" s="98" t="n"/>
      <c r="D1095" s="99" t="n"/>
      <c r="E1095" s="99" t="n"/>
      <c r="F1095" s="100" t="n"/>
      <c r="G1095" s="98" t="n"/>
      <c r="H1095" s="99" t="n"/>
      <c r="I1095" s="99" t="n"/>
      <c r="J1095" s="100" t="n"/>
      <c r="K1095" s="98" t="n"/>
      <c r="L1095" s="99" t="n"/>
      <c r="M1095" s="99" t="n"/>
      <c r="N1095" s="100" t="n"/>
      <c r="O1095" s="98" t="n"/>
      <c r="P1095" s="99" t="n"/>
      <c r="Q1095" s="99" t="n"/>
      <c r="R1095" s="100" t="n"/>
      <c r="S1095" s="98" t="n"/>
      <c r="T1095" s="99" t="n"/>
      <c r="U1095" s="99" t="n"/>
      <c r="V1095" s="100" t="n"/>
      <c r="W1095" s="98" t="n"/>
      <c r="X1095" s="100" t="n"/>
      <c r="Y1095" s="98" t="n"/>
      <c r="Z1095" s="100" t="n"/>
      <c r="AB1095" s="101">
        <f>IF($B1095="","",(COUNTIF(C1058:E1075,$B1095)+COUNTIF(C1058:E1075,$B1095&amp;" ~*")&gt;0)+(COUNTIF(G1058:I1075,$B1095)+COUNTIF(G1058:I1075,$B1095&amp;" ~*")&gt;0)+(COUNTIF(K1058:M1075,$B1095)+COUNTIF(K1058:M1075,$B1095&amp;" ~*")&gt;0)+(COUNTIF(O1058:Q1075,$B1095)+COUNTIF(O1058:Q1075,$B1095&amp;" ~*")&gt;0)+(COUNTIF(S1058:U1075,$B1095)+COUNTIF(S1058:U1075,$B1095&amp;" ~*")&gt;0)+(COUNTIF(W1058:W1075,$B1095)+COUNTIF(W1058:W1075,$B1095&amp;" ~*")&gt;0)+(COUNTIF(Y1058:Y1075,$B1095)+COUNTIF(Y1058:Y1075,$B1095&amp;" ~*")&gt;0))</f>
        <v/>
      </c>
      <c r="AC1095" s="36">
        <f>IF($B1095="","",(IFERROR(INDEX(Setup!$G$33:$G$40,MATCH(C1095,Setup!$B$33:$B$40,0)),0)=1)*(COUNTIF(C1058:E1075,$B1095)+COUNTIF(C1058:E1075,$B1095&amp;" ~*")&gt;0)+(IFERROR(INDEX(Setup!$G$33:$G$40,MATCH(G1095,Setup!$B$33:$B$40,0)),0)=1)*(COUNTIF(G1058:I1075,$B1095)+COUNTIF(G1058:I1075,$B1095&amp;" ~*")&gt;0)+(IFERROR(INDEX(Setup!$G$33:$G$40,MATCH(K1095,Setup!$B$33:$B$40,0)),0)=1)*(COUNTIF(K1058:M1075,$B1095)+COUNTIF(K1058:M1075,$B1095&amp;" ~*")&gt;0)+(IFERROR(INDEX(Setup!$G$33:$G$40,MATCH(O1095,Setup!$B$33:$B$40,0)),0)=1)*(COUNTIF(O1058:Q1075,$B1095)+COUNTIF(O1058:Q1075,$B1095&amp;" ~*")&gt;0)+(IFERROR(INDEX(Setup!$G$33:$G$40,MATCH(S1095,Setup!$B$33:$B$40,0)),0)=1)*(COUNTIF(S1058:U1075,$B1095)+COUNTIF(S1058:U1075,$B1095&amp;" ~*")&gt;0)+(IFERROR(INDEX(Setup!$G$33:$G$40,MATCH(W1095,Setup!$B$33:$B$40,0)),0)=1)*(COUNTIF(W1058:W1075,$B1095)+COUNTIF(W1058:W1075,$B1095&amp;" ~*")&gt;0)+(IFERROR(INDEX(Setup!$G$33:$G$40,MATCH(Y1095,Setup!$B$33:$B$40,0)),0)=1)*(COUNTIF(Y1058:Y1075,$B1095)+COUNTIF(Y1058:Y1075,$B1095&amp;" ~*")&gt;0))</f>
        <v/>
      </c>
    </row>
    <row r="1096" ht="15" customHeight="1">
      <c r="A1096" t="n">
        <v>22</v>
      </c>
      <c r="B1096" s="37">
        <f>IF(Setup!$B$25="","",Setup!$B$25)</f>
        <v/>
      </c>
      <c r="C1096" s="102" t="n"/>
      <c r="D1096" s="103" t="n"/>
      <c r="E1096" s="103" t="n"/>
      <c r="F1096" s="104" t="n"/>
      <c r="G1096" s="102" t="n"/>
      <c r="H1096" s="103" t="n"/>
      <c r="I1096" s="103" t="n"/>
      <c r="J1096" s="104" t="n"/>
      <c r="K1096" s="102" t="n"/>
      <c r="L1096" s="103" t="n"/>
      <c r="M1096" s="103" t="n"/>
      <c r="N1096" s="104" t="n"/>
      <c r="O1096" s="102" t="n"/>
      <c r="P1096" s="103" t="n"/>
      <c r="Q1096" s="103" t="n"/>
      <c r="R1096" s="104" t="n"/>
      <c r="S1096" s="102" t="n"/>
      <c r="T1096" s="103" t="n"/>
      <c r="U1096" s="103" t="n"/>
      <c r="V1096" s="104" t="n"/>
      <c r="W1096" s="102" t="n"/>
      <c r="X1096" s="104" t="n"/>
      <c r="Y1096" s="102" t="n"/>
      <c r="Z1096" s="104" t="n"/>
      <c r="AB1096" s="105">
        <f>IF($B1096="","",(COUNTIF(C1058:E1075,$B1096)+COUNTIF(C1058:E1075,$B1096&amp;" ~*")&gt;0)+(COUNTIF(G1058:I1075,$B1096)+COUNTIF(G1058:I1075,$B1096&amp;" ~*")&gt;0)+(COUNTIF(K1058:M1075,$B1096)+COUNTIF(K1058:M1075,$B1096&amp;" ~*")&gt;0)+(COUNTIF(O1058:Q1075,$B1096)+COUNTIF(O1058:Q1075,$B1096&amp;" ~*")&gt;0)+(COUNTIF(S1058:U1075,$B1096)+COUNTIF(S1058:U1075,$B1096&amp;" ~*")&gt;0)+(COUNTIF(W1058:W1075,$B1096)+COUNTIF(W1058:W1075,$B1096&amp;" ~*")&gt;0)+(COUNTIF(Y1058:Y1075,$B1096)+COUNTIF(Y1058:Y1075,$B1096&amp;" ~*")&gt;0))</f>
        <v/>
      </c>
      <c r="AC1096" s="38">
        <f>IF($B1096="","",(IFERROR(INDEX(Setup!$G$33:$G$40,MATCH(C1096,Setup!$B$33:$B$40,0)),0)=1)*(COUNTIF(C1058:E1075,$B1096)+COUNTIF(C1058:E1075,$B1096&amp;" ~*")&gt;0)+(IFERROR(INDEX(Setup!$G$33:$G$40,MATCH(G1096,Setup!$B$33:$B$40,0)),0)=1)*(COUNTIF(G1058:I1075,$B1096)+COUNTIF(G1058:I1075,$B1096&amp;" ~*")&gt;0)+(IFERROR(INDEX(Setup!$G$33:$G$40,MATCH(K1096,Setup!$B$33:$B$40,0)),0)=1)*(COUNTIF(K1058:M1075,$B1096)+COUNTIF(K1058:M1075,$B1096&amp;" ~*")&gt;0)+(IFERROR(INDEX(Setup!$G$33:$G$40,MATCH(O1096,Setup!$B$33:$B$40,0)),0)=1)*(COUNTIF(O1058:Q1075,$B1096)+COUNTIF(O1058:Q1075,$B1096&amp;" ~*")&gt;0)+(IFERROR(INDEX(Setup!$G$33:$G$40,MATCH(S1096,Setup!$B$33:$B$40,0)),0)=1)*(COUNTIF(S1058:U1075,$B1096)+COUNTIF(S1058:U1075,$B1096&amp;" ~*")&gt;0)+(IFERROR(INDEX(Setup!$G$33:$G$40,MATCH(W1096,Setup!$B$33:$B$40,0)),0)=1)*(COUNTIF(W1058:W1075,$B1096)+COUNTIF(W1058:W1075,$B1096&amp;" ~*")&gt;0)+(IFERROR(INDEX(Setup!$G$33:$G$40,MATCH(Y1096,Setup!$B$33:$B$40,0)),0)=1)*(COUNTIF(Y1058:Y1075,$B1096)+COUNTIF(Y1058:Y1075,$B1096&amp;" ~*")&gt;0))</f>
        <v/>
      </c>
    </row>
    <row r="1097" ht="15" customHeight="1">
      <c r="A1097" t="n">
        <v>22</v>
      </c>
      <c r="B1097" s="35">
        <f>IF(Setup!$B$26="","",Setup!$B$26)</f>
        <v/>
      </c>
      <c r="C1097" s="98" t="n"/>
      <c r="D1097" s="99" t="n"/>
      <c r="E1097" s="99" t="n"/>
      <c r="F1097" s="100" t="n"/>
      <c r="G1097" s="98" t="n"/>
      <c r="H1097" s="99" t="n"/>
      <c r="I1097" s="99" t="n"/>
      <c r="J1097" s="100" t="n"/>
      <c r="K1097" s="98" t="n"/>
      <c r="L1097" s="99" t="n"/>
      <c r="M1097" s="99" t="n"/>
      <c r="N1097" s="100" t="n"/>
      <c r="O1097" s="98" t="n"/>
      <c r="P1097" s="99" t="n"/>
      <c r="Q1097" s="99" t="n"/>
      <c r="R1097" s="100" t="n"/>
      <c r="S1097" s="98" t="n"/>
      <c r="T1097" s="99" t="n"/>
      <c r="U1097" s="99" t="n"/>
      <c r="V1097" s="100" t="n"/>
      <c r="W1097" s="98" t="n"/>
      <c r="X1097" s="100" t="n"/>
      <c r="Y1097" s="98" t="n"/>
      <c r="Z1097" s="100" t="n"/>
      <c r="AB1097" s="101">
        <f>IF($B1097="","",(COUNTIF(C1058:E1075,$B1097)+COUNTIF(C1058:E1075,$B1097&amp;" ~*")&gt;0)+(COUNTIF(G1058:I1075,$B1097)+COUNTIF(G1058:I1075,$B1097&amp;" ~*")&gt;0)+(COUNTIF(K1058:M1075,$B1097)+COUNTIF(K1058:M1075,$B1097&amp;" ~*")&gt;0)+(COUNTIF(O1058:Q1075,$B1097)+COUNTIF(O1058:Q1075,$B1097&amp;" ~*")&gt;0)+(COUNTIF(S1058:U1075,$B1097)+COUNTIF(S1058:U1075,$B1097&amp;" ~*")&gt;0)+(COUNTIF(W1058:W1075,$B1097)+COUNTIF(W1058:W1075,$B1097&amp;" ~*")&gt;0)+(COUNTIF(Y1058:Y1075,$B1097)+COUNTIF(Y1058:Y1075,$B1097&amp;" ~*")&gt;0))</f>
        <v/>
      </c>
      <c r="AC1097" s="36">
        <f>IF($B1097="","",(IFERROR(INDEX(Setup!$G$33:$G$40,MATCH(C1097,Setup!$B$33:$B$40,0)),0)=1)*(COUNTIF(C1058:E1075,$B1097)+COUNTIF(C1058:E1075,$B1097&amp;" ~*")&gt;0)+(IFERROR(INDEX(Setup!$G$33:$G$40,MATCH(G1097,Setup!$B$33:$B$40,0)),0)=1)*(COUNTIF(G1058:I1075,$B1097)+COUNTIF(G1058:I1075,$B1097&amp;" ~*")&gt;0)+(IFERROR(INDEX(Setup!$G$33:$G$40,MATCH(K1097,Setup!$B$33:$B$40,0)),0)=1)*(COUNTIF(K1058:M1075,$B1097)+COUNTIF(K1058:M1075,$B1097&amp;" ~*")&gt;0)+(IFERROR(INDEX(Setup!$G$33:$G$40,MATCH(O1097,Setup!$B$33:$B$40,0)),0)=1)*(COUNTIF(O1058:Q1075,$B1097)+COUNTIF(O1058:Q1075,$B1097&amp;" ~*")&gt;0)+(IFERROR(INDEX(Setup!$G$33:$G$40,MATCH(S1097,Setup!$B$33:$B$40,0)),0)=1)*(COUNTIF(S1058:U1075,$B1097)+COUNTIF(S1058:U1075,$B1097&amp;" ~*")&gt;0)+(IFERROR(INDEX(Setup!$G$33:$G$40,MATCH(W1097,Setup!$B$33:$B$40,0)),0)=1)*(COUNTIF(W1058:W1075,$B1097)+COUNTIF(W1058:W1075,$B1097&amp;" ~*")&gt;0)+(IFERROR(INDEX(Setup!$G$33:$G$40,MATCH(Y1097,Setup!$B$33:$B$40,0)),0)=1)*(COUNTIF(Y1058:Y1075,$B1097)+COUNTIF(Y1058:Y1075,$B1097&amp;" ~*")&gt;0))</f>
        <v/>
      </c>
    </row>
    <row r="1098" ht="15" customHeight="1">
      <c r="A1098" t="n">
        <v>22</v>
      </c>
      <c r="B1098" s="37">
        <f>IF(Setup!$B$27="","",Setup!$B$27)</f>
        <v/>
      </c>
      <c r="C1098" s="102" t="n"/>
      <c r="D1098" s="103" t="n"/>
      <c r="E1098" s="103" t="n"/>
      <c r="F1098" s="104" t="n"/>
      <c r="G1098" s="102" t="n"/>
      <c r="H1098" s="103" t="n"/>
      <c r="I1098" s="103" t="n"/>
      <c r="J1098" s="104" t="n"/>
      <c r="K1098" s="102" t="n"/>
      <c r="L1098" s="103" t="n"/>
      <c r="M1098" s="103" t="n"/>
      <c r="N1098" s="104" t="n"/>
      <c r="O1098" s="102" t="n"/>
      <c r="P1098" s="103" t="n"/>
      <c r="Q1098" s="103" t="n"/>
      <c r="R1098" s="104" t="n"/>
      <c r="S1098" s="102" t="n"/>
      <c r="T1098" s="103" t="n"/>
      <c r="U1098" s="103" t="n"/>
      <c r="V1098" s="104" t="n"/>
      <c r="W1098" s="102" t="n"/>
      <c r="X1098" s="104" t="n"/>
      <c r="Y1098" s="102" t="n"/>
      <c r="Z1098" s="104" t="n"/>
      <c r="AB1098" s="105">
        <f>IF($B1098="","",(COUNTIF(C1058:E1075,$B1098)+COUNTIF(C1058:E1075,$B1098&amp;" ~*")&gt;0)+(COUNTIF(G1058:I1075,$B1098)+COUNTIF(G1058:I1075,$B1098&amp;" ~*")&gt;0)+(COUNTIF(K1058:M1075,$B1098)+COUNTIF(K1058:M1075,$B1098&amp;" ~*")&gt;0)+(COUNTIF(O1058:Q1075,$B1098)+COUNTIF(O1058:Q1075,$B1098&amp;" ~*")&gt;0)+(COUNTIF(S1058:U1075,$B1098)+COUNTIF(S1058:U1075,$B1098&amp;" ~*")&gt;0)+(COUNTIF(W1058:W1075,$B1098)+COUNTIF(W1058:W1075,$B1098&amp;" ~*")&gt;0)+(COUNTIF(Y1058:Y1075,$B1098)+COUNTIF(Y1058:Y1075,$B1098&amp;" ~*")&gt;0))</f>
        <v/>
      </c>
      <c r="AC1098" s="38">
        <f>IF($B1098="","",(IFERROR(INDEX(Setup!$G$33:$G$40,MATCH(C1098,Setup!$B$33:$B$40,0)),0)=1)*(COUNTIF(C1058:E1075,$B1098)+COUNTIF(C1058:E1075,$B1098&amp;" ~*")&gt;0)+(IFERROR(INDEX(Setup!$G$33:$G$40,MATCH(G1098,Setup!$B$33:$B$40,0)),0)=1)*(COUNTIF(G1058:I1075,$B1098)+COUNTIF(G1058:I1075,$B1098&amp;" ~*")&gt;0)+(IFERROR(INDEX(Setup!$G$33:$G$40,MATCH(K1098,Setup!$B$33:$B$40,0)),0)=1)*(COUNTIF(K1058:M1075,$B1098)+COUNTIF(K1058:M1075,$B1098&amp;" ~*")&gt;0)+(IFERROR(INDEX(Setup!$G$33:$G$40,MATCH(O1098,Setup!$B$33:$B$40,0)),0)=1)*(COUNTIF(O1058:Q1075,$B1098)+COUNTIF(O1058:Q1075,$B1098&amp;" ~*")&gt;0)+(IFERROR(INDEX(Setup!$G$33:$G$40,MATCH(S1098,Setup!$B$33:$B$40,0)),0)=1)*(COUNTIF(S1058:U1075,$B1098)+COUNTIF(S1058:U1075,$B1098&amp;" ~*")&gt;0)+(IFERROR(INDEX(Setup!$G$33:$G$40,MATCH(W1098,Setup!$B$33:$B$40,0)),0)=1)*(COUNTIF(W1058:W1075,$B1098)+COUNTIF(W1058:W1075,$B1098&amp;" ~*")&gt;0)+(IFERROR(INDEX(Setup!$G$33:$G$40,MATCH(Y1098,Setup!$B$33:$B$40,0)),0)=1)*(COUNTIF(Y1058:Y1075,$B1098)+COUNTIF(Y1058:Y1075,$B1098&amp;" ~*")&gt;0))</f>
        <v/>
      </c>
    </row>
    <row r="1099" ht="15" customHeight="1">
      <c r="A1099" t="n">
        <v>22</v>
      </c>
      <c r="B1099" s="35">
        <f>IF(Setup!$B$28="","",Setup!$B$28)</f>
        <v/>
      </c>
      <c r="C1099" s="98" t="n"/>
      <c r="D1099" s="99" t="n"/>
      <c r="E1099" s="99" t="n"/>
      <c r="F1099" s="100" t="n"/>
      <c r="G1099" s="98" t="n"/>
      <c r="H1099" s="99" t="n"/>
      <c r="I1099" s="99" t="n"/>
      <c r="J1099" s="100" t="n"/>
      <c r="K1099" s="98" t="n"/>
      <c r="L1099" s="99" t="n"/>
      <c r="M1099" s="99" t="n"/>
      <c r="N1099" s="100" t="n"/>
      <c r="O1099" s="98" t="n"/>
      <c r="P1099" s="99" t="n"/>
      <c r="Q1099" s="99" t="n"/>
      <c r="R1099" s="100" t="n"/>
      <c r="S1099" s="98" t="n"/>
      <c r="T1099" s="99" t="n"/>
      <c r="U1099" s="99" t="n"/>
      <c r="V1099" s="100" t="n"/>
      <c r="W1099" s="98" t="n"/>
      <c r="X1099" s="100" t="n"/>
      <c r="Y1099" s="98" t="n"/>
      <c r="Z1099" s="100" t="n"/>
      <c r="AB1099" s="101">
        <f>IF($B1099="","",(COUNTIF(C1058:E1075,$B1099)+COUNTIF(C1058:E1075,$B1099&amp;" ~*")&gt;0)+(COUNTIF(G1058:I1075,$B1099)+COUNTIF(G1058:I1075,$B1099&amp;" ~*")&gt;0)+(COUNTIF(K1058:M1075,$B1099)+COUNTIF(K1058:M1075,$B1099&amp;" ~*")&gt;0)+(COUNTIF(O1058:Q1075,$B1099)+COUNTIF(O1058:Q1075,$B1099&amp;" ~*")&gt;0)+(COUNTIF(S1058:U1075,$B1099)+COUNTIF(S1058:U1075,$B1099&amp;" ~*")&gt;0)+(COUNTIF(W1058:W1075,$B1099)+COUNTIF(W1058:W1075,$B1099&amp;" ~*")&gt;0)+(COUNTIF(Y1058:Y1075,$B1099)+COUNTIF(Y1058:Y1075,$B1099&amp;" ~*")&gt;0))</f>
        <v/>
      </c>
      <c r="AC1099" s="36">
        <f>IF($B1099="","",(IFERROR(INDEX(Setup!$G$33:$G$40,MATCH(C1099,Setup!$B$33:$B$40,0)),0)=1)*(COUNTIF(C1058:E1075,$B1099)+COUNTIF(C1058:E1075,$B1099&amp;" ~*")&gt;0)+(IFERROR(INDEX(Setup!$G$33:$G$40,MATCH(G1099,Setup!$B$33:$B$40,0)),0)=1)*(COUNTIF(G1058:I1075,$B1099)+COUNTIF(G1058:I1075,$B1099&amp;" ~*")&gt;0)+(IFERROR(INDEX(Setup!$G$33:$G$40,MATCH(K1099,Setup!$B$33:$B$40,0)),0)=1)*(COUNTIF(K1058:M1075,$B1099)+COUNTIF(K1058:M1075,$B1099&amp;" ~*")&gt;0)+(IFERROR(INDEX(Setup!$G$33:$G$40,MATCH(O1099,Setup!$B$33:$B$40,0)),0)=1)*(COUNTIF(O1058:Q1075,$B1099)+COUNTIF(O1058:Q1075,$B1099&amp;" ~*")&gt;0)+(IFERROR(INDEX(Setup!$G$33:$G$40,MATCH(S1099,Setup!$B$33:$B$40,0)),0)=1)*(COUNTIF(S1058:U1075,$B1099)+COUNTIF(S1058:U1075,$B1099&amp;" ~*")&gt;0)+(IFERROR(INDEX(Setup!$G$33:$G$40,MATCH(W1099,Setup!$B$33:$B$40,0)),0)=1)*(COUNTIF(W1058:W1075,$B1099)+COUNTIF(W1058:W1075,$B1099&amp;" ~*")&gt;0)+(IFERROR(INDEX(Setup!$G$33:$G$40,MATCH(Y1099,Setup!$B$33:$B$40,0)),0)=1)*(COUNTIF(Y1058:Y1075,$B1099)+COUNTIF(Y1058:Y1075,$B1099&amp;" ~*")&gt;0))</f>
        <v/>
      </c>
    </row>
    <row r="1100" ht="15" customHeight="1">
      <c r="A1100" t="n">
        <v>22</v>
      </c>
      <c r="B1100" s="37">
        <f>IF(Setup!$B$29="","",Setup!$B$29)</f>
        <v/>
      </c>
      <c r="C1100" s="102" t="n"/>
      <c r="D1100" s="103" t="n"/>
      <c r="E1100" s="103" t="n"/>
      <c r="F1100" s="104" t="n"/>
      <c r="G1100" s="102" t="n"/>
      <c r="H1100" s="103" t="n"/>
      <c r="I1100" s="103" t="n"/>
      <c r="J1100" s="104" t="n"/>
      <c r="K1100" s="102" t="n"/>
      <c r="L1100" s="103" t="n"/>
      <c r="M1100" s="103" t="n"/>
      <c r="N1100" s="104" t="n"/>
      <c r="O1100" s="102" t="n"/>
      <c r="P1100" s="103" t="n"/>
      <c r="Q1100" s="103" t="n"/>
      <c r="R1100" s="104" t="n"/>
      <c r="S1100" s="102" t="n"/>
      <c r="T1100" s="103" t="n"/>
      <c r="U1100" s="103" t="n"/>
      <c r="V1100" s="104" t="n"/>
      <c r="W1100" s="102" t="n"/>
      <c r="X1100" s="104" t="n"/>
      <c r="Y1100" s="102" t="n"/>
      <c r="Z1100" s="104" t="n"/>
      <c r="AB1100" s="105">
        <f>IF($B1100="","",(COUNTIF(C1058:E1075,$B1100)+COUNTIF(C1058:E1075,$B1100&amp;" ~*")&gt;0)+(COUNTIF(G1058:I1075,$B1100)+COUNTIF(G1058:I1075,$B1100&amp;" ~*")&gt;0)+(COUNTIF(K1058:M1075,$B1100)+COUNTIF(K1058:M1075,$B1100&amp;" ~*")&gt;0)+(COUNTIF(O1058:Q1075,$B1100)+COUNTIF(O1058:Q1075,$B1100&amp;" ~*")&gt;0)+(COUNTIF(S1058:U1075,$B1100)+COUNTIF(S1058:U1075,$B1100&amp;" ~*")&gt;0)+(COUNTIF(W1058:W1075,$B1100)+COUNTIF(W1058:W1075,$B1100&amp;" ~*")&gt;0)+(COUNTIF(Y1058:Y1075,$B1100)+COUNTIF(Y1058:Y1075,$B1100&amp;" ~*")&gt;0))</f>
        <v/>
      </c>
      <c r="AC1100" s="38">
        <f>IF($B1100="","",(IFERROR(INDEX(Setup!$G$33:$G$40,MATCH(C1100,Setup!$B$33:$B$40,0)),0)=1)*(COUNTIF(C1058:E1075,$B1100)+COUNTIF(C1058:E1075,$B1100&amp;" ~*")&gt;0)+(IFERROR(INDEX(Setup!$G$33:$G$40,MATCH(G1100,Setup!$B$33:$B$40,0)),0)=1)*(COUNTIF(G1058:I1075,$B1100)+COUNTIF(G1058:I1075,$B1100&amp;" ~*")&gt;0)+(IFERROR(INDEX(Setup!$G$33:$G$40,MATCH(K1100,Setup!$B$33:$B$40,0)),0)=1)*(COUNTIF(K1058:M1075,$B1100)+COUNTIF(K1058:M1075,$B1100&amp;" ~*")&gt;0)+(IFERROR(INDEX(Setup!$G$33:$G$40,MATCH(O1100,Setup!$B$33:$B$40,0)),0)=1)*(COUNTIF(O1058:Q1075,$B1100)+COUNTIF(O1058:Q1075,$B1100&amp;" ~*")&gt;0)+(IFERROR(INDEX(Setup!$G$33:$G$40,MATCH(S1100,Setup!$B$33:$B$40,0)),0)=1)*(COUNTIF(S1058:U1075,$B1100)+COUNTIF(S1058:U1075,$B1100&amp;" ~*")&gt;0)+(IFERROR(INDEX(Setup!$G$33:$G$40,MATCH(W1100,Setup!$B$33:$B$40,0)),0)=1)*(COUNTIF(W1058:W1075,$B1100)+COUNTIF(W1058:W1075,$B1100&amp;" ~*")&gt;0)+(IFERROR(INDEX(Setup!$G$33:$G$40,MATCH(Y1100,Setup!$B$33:$B$40,0)),0)=1)*(COUNTIF(Y1058:Y1075,$B1100)+COUNTIF(Y1058:Y1075,$B1100&amp;" ~*")&gt;0))</f>
        <v/>
      </c>
    </row>
    <row r="1101" ht="16" customHeight="1">
      <c r="A1101" t="n">
        <v>22</v>
      </c>
      <c r="B1101" s="106" t="inlineStr">
        <is>
          <t>Available people</t>
        </is>
      </c>
      <c r="C1101" s="107">
        <f>COUNTIFS(Setup!$E$6:$E$29,"Y",Setup!$B$6:$B$29,"?*")-SUMPRODUCT(COUNTIF(C1077:C1100,Setup!$F$33:$F$40))</f>
        <v/>
      </c>
      <c r="D1101" s="107" t="n"/>
      <c r="E1101" s="107" t="n"/>
      <c r="F1101" s="107" t="n"/>
      <c r="G1101" s="107">
        <f>COUNTIFS(Setup!$E$6:$E$29,"Y",Setup!$B$6:$B$29,"?*")-SUMPRODUCT(COUNTIF(G1077:G1100,Setup!$F$33:$F$40))</f>
        <v/>
      </c>
      <c r="H1101" s="107" t="n"/>
      <c r="I1101" s="107" t="n"/>
      <c r="J1101" s="107" t="n"/>
      <c r="K1101" s="107">
        <f>COUNTIFS(Setup!$E$6:$E$29,"Y",Setup!$B$6:$B$29,"?*")-SUMPRODUCT(COUNTIF(K1077:K1100,Setup!$F$33:$F$40))</f>
        <v/>
      </c>
      <c r="L1101" s="107" t="n"/>
      <c r="M1101" s="107" t="n"/>
      <c r="N1101" s="107" t="n"/>
      <c r="O1101" s="107">
        <f>COUNTIFS(Setup!$E$6:$E$29,"Y",Setup!$B$6:$B$29,"?*")-SUMPRODUCT(COUNTIF(O1077:O1100,Setup!$F$33:$F$40))</f>
        <v/>
      </c>
      <c r="P1101" s="107" t="n"/>
      <c r="Q1101" s="107" t="n"/>
      <c r="R1101" s="107" t="n"/>
      <c r="S1101" s="107">
        <f>COUNTIFS(Setup!$E$6:$E$29,"Y",Setup!$B$6:$B$29,"?*")-SUMPRODUCT(COUNTIF(S1077:S1100,Setup!$F$33:$F$40))</f>
        <v/>
      </c>
      <c r="T1101" s="107" t="n"/>
      <c r="U1101" s="107" t="n"/>
      <c r="V1101" s="107" t="n"/>
      <c r="W1101" s="107">
        <f>COUNTIFS(Setup!$E$6:$E$29,"Y",Setup!$B$6:$B$29,"?*")-SUMPRODUCT(COUNTIF(W1077:W1100,Setup!$F$33:$F$40))</f>
        <v/>
      </c>
      <c r="X1101" s="107" t="n"/>
      <c r="Y1101" s="107">
        <f>COUNTIFS(Setup!$E$6:$E$29,"Y",Setup!$B$6:$B$29,"?*")-SUMPRODUCT(COUNTIF(Y1077:Y1100,Setup!$F$33:$F$40))</f>
        <v/>
      </c>
      <c r="Z1101" s="107" t="n"/>
      <c r="AB1101" s="108">
        <f>SUM(AB1077:AB1100)</f>
        <v/>
      </c>
      <c r="AC1101" s="109">
        <f>SUM(AC1077:AC1100)</f>
        <v/>
      </c>
    </row>
    <row r="1102" ht="30" customHeight="1">
      <c r="A1102" t="n">
        <v>22</v>
      </c>
      <c r="B1102" s="110" t="inlineStr">
        <is>
          <t>Week notes</t>
        </is>
      </c>
      <c r="C1102" s="111" t="n"/>
      <c r="D1102" s="112" t="n"/>
      <c r="E1102" s="112" t="n"/>
      <c r="F1102" s="112" t="n"/>
      <c r="G1102" s="112" t="n"/>
      <c r="H1102" s="112" t="n"/>
      <c r="I1102" s="112" t="n"/>
      <c r="J1102" s="112" t="n"/>
      <c r="K1102" s="112" t="n"/>
      <c r="L1102" s="112" t="n"/>
      <c r="M1102" s="112" t="n"/>
      <c r="N1102" s="112" t="n"/>
      <c r="O1102" s="112" t="n"/>
      <c r="P1102" s="112" t="n"/>
      <c r="Q1102" s="112" t="n"/>
      <c r="R1102" s="112" t="n"/>
      <c r="S1102" s="112" t="n"/>
      <c r="T1102" s="112" t="n"/>
      <c r="U1102" s="112" t="n"/>
      <c r="V1102" s="112" t="n"/>
      <c r="W1102" s="112" t="n"/>
      <c r="X1102" s="112" t="n"/>
      <c r="Y1102" s="112" t="n"/>
      <c r="Z1102" s="113" t="n"/>
    </row>
    <row r="1103" ht="8" customHeight="1">
      <c r="A1103" t="n">
        <v>22</v>
      </c>
    </row>
    <row r="1104" ht="8" customHeight="1">
      <c r="A1104" t="n">
        <v>22</v>
      </c>
    </row>
    <row r="1105" ht="24" customHeight="1">
      <c r="A1105" t="n">
        <v>23</v>
      </c>
      <c r="B1105" s="73">
        <f>"WEEK 23     "&amp;TEXT(C1106,"ddd d mmm")&amp;"  –  "&amp;TEXT(C1106+6,"ddd d mmm yyyy")</f>
        <v/>
      </c>
      <c r="S1105" s="74">
        <f>IF(TODAY()&lt;C1106,"FUTURE",IF(TODAY()&gt;C1106+6,"PAST","THIS WEEK"))</f>
        <v/>
      </c>
      <c r="W1105" s="75">
        <f>IF(AND(Engine!$B$8=$AC$3,Engine!$B$9=$A1105),"◀ ACTIVE WEEK","")</f>
        <v/>
      </c>
      <c r="AA1105" s="76" t="n"/>
      <c r="AB1105" s="77" t="inlineStr">
        <is>
          <t>◀ Prev</t>
        </is>
      </c>
      <c r="AC1105" s="77" t="inlineStr">
        <is>
          <t>Next ▶</t>
        </is>
      </c>
    </row>
    <row r="1106" ht="18" customHeight="1">
      <c r="A1106" t="n">
        <v>23</v>
      </c>
      <c r="B1106" s="78" t="inlineStr">
        <is>
          <t>DUTY</t>
        </is>
      </c>
      <c r="C1106" s="79">
        <f>$AC$2+7*($A1106-1)</f>
        <v/>
      </c>
      <c r="D1106" s="80" t="n"/>
      <c r="E1106" s="80" t="n"/>
      <c r="F1106" s="81" t="n"/>
      <c r="G1106" s="79">
        <f>C1106+1</f>
        <v/>
      </c>
      <c r="H1106" s="80" t="n"/>
      <c r="I1106" s="80" t="n"/>
      <c r="J1106" s="81" t="n"/>
      <c r="K1106" s="79">
        <f>C1106+2</f>
        <v/>
      </c>
      <c r="L1106" s="80" t="n"/>
      <c r="M1106" s="80" t="n"/>
      <c r="N1106" s="81" t="n"/>
      <c r="O1106" s="79">
        <f>C1106+3</f>
        <v/>
      </c>
      <c r="P1106" s="80" t="n"/>
      <c r="Q1106" s="80" t="n"/>
      <c r="R1106" s="81" t="n"/>
      <c r="S1106" s="79">
        <f>C1106+4</f>
        <v/>
      </c>
      <c r="T1106" s="80" t="n"/>
      <c r="U1106" s="80" t="n"/>
      <c r="V1106" s="81" t="n"/>
      <c r="W1106" s="82">
        <f>C1106+5</f>
        <v/>
      </c>
      <c r="X1106" s="83" t="n"/>
      <c r="Y1106" s="82">
        <f>C1106+6</f>
        <v/>
      </c>
      <c r="Z1106" s="83" t="n"/>
      <c r="AB1106" s="72" t="inlineStr">
        <is>
          <t>Gaps</t>
        </is>
      </c>
      <c r="AC1106" s="72" t="inlineStr">
        <is>
          <t>Cover</t>
        </is>
      </c>
    </row>
    <row r="1107" ht="14" customHeight="1">
      <c r="A1107" t="n">
        <v>23</v>
      </c>
      <c r="B1107" s="84" t="inlineStr">
        <is>
          <t>(from Setup)</t>
        </is>
      </c>
      <c r="C1107" s="85" t="inlineStr">
        <is>
          <t>1</t>
        </is>
      </c>
      <c r="D1107" s="85" t="inlineStr">
        <is>
          <t>2</t>
        </is>
      </c>
      <c r="E1107" s="85" t="inlineStr">
        <is>
          <t>3</t>
        </is>
      </c>
      <c r="F1107" s="85" t="inlineStr">
        <is>
          <t>Notes</t>
        </is>
      </c>
      <c r="G1107" s="85" t="inlineStr">
        <is>
          <t>1</t>
        </is>
      </c>
      <c r="H1107" s="85" t="inlineStr">
        <is>
          <t>2</t>
        </is>
      </c>
      <c r="I1107" s="85" t="inlineStr">
        <is>
          <t>3</t>
        </is>
      </c>
      <c r="J1107" s="85" t="inlineStr">
        <is>
          <t>Notes</t>
        </is>
      </c>
      <c r="K1107" s="85" t="inlineStr">
        <is>
          <t>1</t>
        </is>
      </c>
      <c r="L1107" s="85" t="inlineStr">
        <is>
          <t>2</t>
        </is>
      </c>
      <c r="M1107" s="85" t="inlineStr">
        <is>
          <t>3</t>
        </is>
      </c>
      <c r="N1107" s="85" t="inlineStr">
        <is>
          <t>Notes</t>
        </is>
      </c>
      <c r="O1107" s="85" t="inlineStr">
        <is>
          <t>1</t>
        </is>
      </c>
      <c r="P1107" s="85" t="inlineStr">
        <is>
          <t>2</t>
        </is>
      </c>
      <c r="Q1107" s="85" t="inlineStr">
        <is>
          <t>3</t>
        </is>
      </c>
      <c r="R1107" s="85" t="inlineStr">
        <is>
          <t>Notes</t>
        </is>
      </c>
      <c r="S1107" s="85" t="inlineStr">
        <is>
          <t>1</t>
        </is>
      </c>
      <c r="T1107" s="85" t="inlineStr">
        <is>
          <t>2</t>
        </is>
      </c>
      <c r="U1107" s="85" t="inlineStr">
        <is>
          <t>3</t>
        </is>
      </c>
      <c r="V1107" s="85" t="inlineStr">
        <is>
          <t>Notes</t>
        </is>
      </c>
      <c r="W1107" s="85" t="inlineStr">
        <is>
          <t>Cover</t>
        </is>
      </c>
      <c r="X1107" s="85" t="inlineStr">
        <is>
          <t>Notes</t>
        </is>
      </c>
      <c r="Y1107" s="85" t="inlineStr">
        <is>
          <t>Cover</t>
        </is>
      </c>
      <c r="Z1107" s="85" t="inlineStr">
        <is>
          <t>Notes</t>
        </is>
      </c>
      <c r="AB1107" s="86" t="inlineStr">
        <is>
          <t>weekdays short</t>
        </is>
      </c>
      <c r="AC1107" s="87" t="inlineStr"/>
    </row>
    <row r="1108" ht="17" customHeight="1">
      <c r="A1108" t="n">
        <v>23</v>
      </c>
      <c r="B1108" s="24">
        <f>IF(Setup!$K$6="","",Setup!$K$6)</f>
        <v/>
      </c>
      <c r="C1108" s="88" t="n"/>
      <c r="D1108" s="88" t="n"/>
      <c r="E1108" s="88" t="n"/>
      <c r="F1108" s="89" t="n"/>
      <c r="G1108" s="88" t="n"/>
      <c r="H1108" s="88" t="n"/>
      <c r="I1108" s="88" t="n"/>
      <c r="J1108" s="89" t="n"/>
      <c r="K1108" s="88" t="n"/>
      <c r="L1108" s="88" t="n"/>
      <c r="M1108" s="88" t="n"/>
      <c r="N1108" s="89" t="n"/>
      <c r="O1108" s="88" t="n"/>
      <c r="P1108" s="88" t="n"/>
      <c r="Q1108" s="88" t="n"/>
      <c r="R1108" s="89" t="n"/>
      <c r="S1108" s="88" t="n"/>
      <c r="T1108" s="88" t="n"/>
      <c r="U1108" s="88" t="n"/>
      <c r="V1108" s="89" t="n"/>
      <c r="W1108" s="88" t="n"/>
      <c r="X1108" s="89" t="n"/>
      <c r="Y1108" s="88" t="n"/>
      <c r="Z1108" s="89" t="n"/>
      <c r="AB1108" s="25">
        <f>IF($B1108="","",(COUNTIF(C1108:E1108,"?*")&lt;N(INDEX(Setup!$L$6:$L$23,1)))+(COUNTIF(G1108:I1108,"?*")&lt;N(INDEX(Setup!$L$6:$L$23,1)))+(COUNTIF(K1108:M1108,"?*")&lt;N(INDEX(Setup!$L$6:$L$23,1)))+(COUNTIF(O1108:Q1108,"?*")&lt;N(INDEX(Setup!$L$6:$L$23,1)))+(COUNTIF(S1108:U1108,"?*")&lt;N(INDEX(Setup!$L$6:$L$23,1)))+((W1108="")*(INDEX(Setup!$M$6:$M$23,1)="Y"))+((Y1108="")*(INDEX(Setup!$M$6:$M$23,1)="Y")))</f>
        <v/>
      </c>
      <c r="AC1108" s="90">
        <f>IF($B1108="","",IF(AB1108=0,"✓ covered","⚠ "&amp;AB1108&amp;IF(AB1108=1," gap"," gaps")))</f>
        <v/>
      </c>
    </row>
    <row r="1109" ht="17" customHeight="1">
      <c r="A1109" t="n">
        <v>23</v>
      </c>
      <c r="B1109" s="29">
        <f>IF(Setup!$K$7="","",Setup!$K$7)</f>
        <v/>
      </c>
      <c r="C1109" s="88" t="n"/>
      <c r="D1109" s="88" t="n"/>
      <c r="E1109" s="88" t="n"/>
      <c r="F1109" s="89" t="n"/>
      <c r="G1109" s="88" t="n"/>
      <c r="H1109" s="88" t="n"/>
      <c r="I1109" s="88" t="n"/>
      <c r="J1109" s="89" t="n"/>
      <c r="K1109" s="88" t="n"/>
      <c r="L1109" s="88" t="n"/>
      <c r="M1109" s="88" t="n"/>
      <c r="N1109" s="89" t="n"/>
      <c r="O1109" s="88" t="n"/>
      <c r="P1109" s="88" t="n"/>
      <c r="Q1109" s="88" t="n"/>
      <c r="R1109" s="89" t="n"/>
      <c r="S1109" s="88" t="n"/>
      <c r="T1109" s="88" t="n"/>
      <c r="U1109" s="88" t="n"/>
      <c r="V1109" s="89" t="n"/>
      <c r="W1109" s="88" t="n"/>
      <c r="X1109" s="89" t="n"/>
      <c r="Y1109" s="88" t="n"/>
      <c r="Z1109" s="89" t="n"/>
      <c r="AB1109" s="30">
        <f>IF($B1109="","",(COUNTIF(C1109:E1109,"?*")&lt;N(INDEX(Setup!$L$6:$L$23,2)))+(COUNTIF(G1109:I1109,"?*")&lt;N(INDEX(Setup!$L$6:$L$23,2)))+(COUNTIF(K1109:M1109,"?*")&lt;N(INDEX(Setup!$L$6:$L$23,2)))+(COUNTIF(O1109:Q1109,"?*")&lt;N(INDEX(Setup!$L$6:$L$23,2)))+(COUNTIF(S1109:U1109,"?*")&lt;N(INDEX(Setup!$L$6:$L$23,2)))+((W1109="")*(INDEX(Setup!$M$6:$M$23,2)="Y"))+((Y1109="")*(INDEX(Setup!$M$6:$M$23,2)="Y")))</f>
        <v/>
      </c>
      <c r="AC1109" s="91">
        <f>IF($B1109="","",IF(AB1109=0,"✓ covered","⚠ "&amp;AB1109&amp;IF(AB1109=1," gap"," gaps")))</f>
        <v/>
      </c>
    </row>
    <row r="1110" ht="17" customHeight="1">
      <c r="A1110" t="n">
        <v>23</v>
      </c>
      <c r="B1110" s="24">
        <f>IF(Setup!$K$8="","",Setup!$K$8)</f>
        <v/>
      </c>
      <c r="C1110" s="88" t="n"/>
      <c r="D1110" s="88" t="n"/>
      <c r="E1110" s="88" t="n"/>
      <c r="F1110" s="89" t="n"/>
      <c r="G1110" s="88" t="n"/>
      <c r="H1110" s="88" t="n"/>
      <c r="I1110" s="88" t="n"/>
      <c r="J1110" s="89" t="n"/>
      <c r="K1110" s="88" t="n"/>
      <c r="L1110" s="88" t="n"/>
      <c r="M1110" s="88" t="n"/>
      <c r="N1110" s="89" t="n"/>
      <c r="O1110" s="88" t="n"/>
      <c r="P1110" s="88" t="n"/>
      <c r="Q1110" s="88" t="n"/>
      <c r="R1110" s="89" t="n"/>
      <c r="S1110" s="88" t="n"/>
      <c r="T1110" s="88" t="n"/>
      <c r="U1110" s="88" t="n"/>
      <c r="V1110" s="89" t="n"/>
      <c r="W1110" s="88" t="n"/>
      <c r="X1110" s="89" t="n"/>
      <c r="Y1110" s="88" t="n"/>
      <c r="Z1110" s="89" t="n"/>
      <c r="AB1110" s="25">
        <f>IF($B1110="","",(COUNTIF(C1110:E1110,"?*")&lt;N(INDEX(Setup!$L$6:$L$23,3)))+(COUNTIF(G1110:I1110,"?*")&lt;N(INDEX(Setup!$L$6:$L$23,3)))+(COUNTIF(K1110:M1110,"?*")&lt;N(INDEX(Setup!$L$6:$L$23,3)))+(COUNTIF(O1110:Q1110,"?*")&lt;N(INDEX(Setup!$L$6:$L$23,3)))+(COUNTIF(S1110:U1110,"?*")&lt;N(INDEX(Setup!$L$6:$L$23,3)))+((W1110="")*(INDEX(Setup!$M$6:$M$23,3)="Y"))+((Y1110="")*(INDEX(Setup!$M$6:$M$23,3)="Y")))</f>
        <v/>
      </c>
      <c r="AC1110" s="90">
        <f>IF($B1110="","",IF(AB1110=0,"✓ covered","⚠ "&amp;AB1110&amp;IF(AB1110=1," gap"," gaps")))</f>
        <v/>
      </c>
    </row>
    <row r="1111" ht="17" customHeight="1">
      <c r="A1111" t="n">
        <v>23</v>
      </c>
      <c r="B1111" s="29">
        <f>IF(Setup!$K$9="","",Setup!$K$9)</f>
        <v/>
      </c>
      <c r="C1111" s="88" t="n"/>
      <c r="D1111" s="88" t="n"/>
      <c r="E1111" s="88" t="n"/>
      <c r="F1111" s="89" t="n"/>
      <c r="G1111" s="88" t="n"/>
      <c r="H1111" s="88" t="n"/>
      <c r="I1111" s="88" t="n"/>
      <c r="J1111" s="89" t="n"/>
      <c r="K1111" s="88" t="n"/>
      <c r="L1111" s="88" t="n"/>
      <c r="M1111" s="88" t="n"/>
      <c r="N1111" s="89" t="n"/>
      <c r="O1111" s="88" t="n"/>
      <c r="P1111" s="88" t="n"/>
      <c r="Q1111" s="88" t="n"/>
      <c r="R1111" s="89" t="n"/>
      <c r="S1111" s="88" t="n"/>
      <c r="T1111" s="88" t="n"/>
      <c r="U1111" s="88" t="n"/>
      <c r="V1111" s="89" t="n"/>
      <c r="W1111" s="88" t="n"/>
      <c r="X1111" s="89" t="n"/>
      <c r="Y1111" s="88" t="n"/>
      <c r="Z1111" s="89" t="n"/>
      <c r="AB1111" s="30">
        <f>IF($B1111="","",(COUNTIF(C1111:E1111,"?*")&lt;N(INDEX(Setup!$L$6:$L$23,4)))+(COUNTIF(G1111:I1111,"?*")&lt;N(INDEX(Setup!$L$6:$L$23,4)))+(COUNTIF(K1111:M1111,"?*")&lt;N(INDEX(Setup!$L$6:$L$23,4)))+(COUNTIF(O1111:Q1111,"?*")&lt;N(INDEX(Setup!$L$6:$L$23,4)))+(COUNTIF(S1111:U1111,"?*")&lt;N(INDEX(Setup!$L$6:$L$23,4)))+((W1111="")*(INDEX(Setup!$M$6:$M$23,4)="Y"))+((Y1111="")*(INDEX(Setup!$M$6:$M$23,4)="Y")))</f>
        <v/>
      </c>
      <c r="AC1111" s="91">
        <f>IF($B1111="","",IF(AB1111=0,"✓ covered","⚠ "&amp;AB1111&amp;IF(AB1111=1," gap"," gaps")))</f>
        <v/>
      </c>
    </row>
    <row r="1112" ht="17" customHeight="1">
      <c r="A1112" t="n">
        <v>23</v>
      </c>
      <c r="B1112" s="24">
        <f>IF(Setup!$K$10="","",Setup!$K$10)</f>
        <v/>
      </c>
      <c r="C1112" s="88" t="n"/>
      <c r="D1112" s="88" t="n"/>
      <c r="E1112" s="88" t="n"/>
      <c r="F1112" s="89" t="n"/>
      <c r="G1112" s="88" t="n"/>
      <c r="H1112" s="88" t="n"/>
      <c r="I1112" s="88" t="n"/>
      <c r="J1112" s="89" t="n"/>
      <c r="K1112" s="88" t="n"/>
      <c r="L1112" s="88" t="n"/>
      <c r="M1112" s="88" t="n"/>
      <c r="N1112" s="89" t="n"/>
      <c r="O1112" s="88" t="n"/>
      <c r="P1112" s="88" t="n"/>
      <c r="Q1112" s="88" t="n"/>
      <c r="R1112" s="89" t="n"/>
      <c r="S1112" s="88" t="n"/>
      <c r="T1112" s="88" t="n"/>
      <c r="U1112" s="88" t="n"/>
      <c r="V1112" s="89" t="n"/>
      <c r="W1112" s="88" t="n"/>
      <c r="X1112" s="89" t="n"/>
      <c r="Y1112" s="88" t="n"/>
      <c r="Z1112" s="89" t="n"/>
      <c r="AB1112" s="25">
        <f>IF($B1112="","",(COUNTIF(C1112:E1112,"?*")&lt;N(INDEX(Setup!$L$6:$L$23,5)))+(COUNTIF(G1112:I1112,"?*")&lt;N(INDEX(Setup!$L$6:$L$23,5)))+(COUNTIF(K1112:M1112,"?*")&lt;N(INDEX(Setup!$L$6:$L$23,5)))+(COUNTIF(O1112:Q1112,"?*")&lt;N(INDEX(Setup!$L$6:$L$23,5)))+(COUNTIF(S1112:U1112,"?*")&lt;N(INDEX(Setup!$L$6:$L$23,5)))+((W1112="")*(INDEX(Setup!$M$6:$M$23,5)="Y"))+((Y1112="")*(INDEX(Setup!$M$6:$M$23,5)="Y")))</f>
        <v/>
      </c>
      <c r="AC1112" s="90">
        <f>IF($B1112="","",IF(AB1112=0,"✓ covered","⚠ "&amp;AB1112&amp;IF(AB1112=1," gap"," gaps")))</f>
        <v/>
      </c>
    </row>
    <row r="1113" ht="17" customHeight="1">
      <c r="A1113" t="n">
        <v>23</v>
      </c>
      <c r="B1113" s="29">
        <f>IF(Setup!$K$11="","",Setup!$K$11)</f>
        <v/>
      </c>
      <c r="C1113" s="88" t="n"/>
      <c r="D1113" s="88" t="n"/>
      <c r="E1113" s="88" t="n"/>
      <c r="F1113" s="89" t="n"/>
      <c r="G1113" s="88" t="n"/>
      <c r="H1113" s="88" t="n"/>
      <c r="I1113" s="88" t="n"/>
      <c r="J1113" s="89" t="n"/>
      <c r="K1113" s="88" t="n"/>
      <c r="L1113" s="88" t="n"/>
      <c r="M1113" s="88" t="n"/>
      <c r="N1113" s="89" t="n"/>
      <c r="O1113" s="88" t="n"/>
      <c r="P1113" s="88" t="n"/>
      <c r="Q1113" s="88" t="n"/>
      <c r="R1113" s="89" t="n"/>
      <c r="S1113" s="88" t="n"/>
      <c r="T1113" s="88" t="n"/>
      <c r="U1113" s="88" t="n"/>
      <c r="V1113" s="89" t="n"/>
      <c r="W1113" s="88" t="n"/>
      <c r="X1113" s="89" t="n"/>
      <c r="Y1113" s="88" t="n"/>
      <c r="Z1113" s="89" t="n"/>
      <c r="AB1113" s="30">
        <f>IF($B1113="","",(COUNTIF(C1113:E1113,"?*")&lt;N(INDEX(Setup!$L$6:$L$23,6)))+(COUNTIF(G1113:I1113,"?*")&lt;N(INDEX(Setup!$L$6:$L$23,6)))+(COUNTIF(K1113:M1113,"?*")&lt;N(INDEX(Setup!$L$6:$L$23,6)))+(COUNTIF(O1113:Q1113,"?*")&lt;N(INDEX(Setup!$L$6:$L$23,6)))+(COUNTIF(S1113:U1113,"?*")&lt;N(INDEX(Setup!$L$6:$L$23,6)))+((W1113="")*(INDEX(Setup!$M$6:$M$23,6)="Y"))+((Y1113="")*(INDEX(Setup!$M$6:$M$23,6)="Y")))</f>
        <v/>
      </c>
      <c r="AC1113" s="91">
        <f>IF($B1113="","",IF(AB1113=0,"✓ covered","⚠ "&amp;AB1113&amp;IF(AB1113=1," gap"," gaps")))</f>
        <v/>
      </c>
    </row>
    <row r="1114" ht="17" customHeight="1">
      <c r="A1114" t="n">
        <v>23</v>
      </c>
      <c r="B1114" s="24">
        <f>IF(Setup!$K$12="","",Setup!$K$12)</f>
        <v/>
      </c>
      <c r="C1114" s="88" t="n"/>
      <c r="D1114" s="88" t="n"/>
      <c r="E1114" s="88" t="n"/>
      <c r="F1114" s="89" t="n"/>
      <c r="G1114" s="88" t="n"/>
      <c r="H1114" s="88" t="n"/>
      <c r="I1114" s="88" t="n"/>
      <c r="J1114" s="89" t="n"/>
      <c r="K1114" s="88" t="n"/>
      <c r="L1114" s="88" t="n"/>
      <c r="M1114" s="88" t="n"/>
      <c r="N1114" s="89" t="n"/>
      <c r="O1114" s="88" t="n"/>
      <c r="P1114" s="88" t="n"/>
      <c r="Q1114" s="88" t="n"/>
      <c r="R1114" s="89" t="n"/>
      <c r="S1114" s="88" t="n"/>
      <c r="T1114" s="88" t="n"/>
      <c r="U1114" s="88" t="n"/>
      <c r="V1114" s="89" t="n"/>
      <c r="W1114" s="88" t="n"/>
      <c r="X1114" s="89" t="n"/>
      <c r="Y1114" s="88" t="n"/>
      <c r="Z1114" s="89" t="n"/>
      <c r="AB1114" s="25">
        <f>IF($B1114="","",(COUNTIF(C1114:E1114,"?*")&lt;N(INDEX(Setup!$L$6:$L$23,7)))+(COUNTIF(G1114:I1114,"?*")&lt;N(INDEX(Setup!$L$6:$L$23,7)))+(COUNTIF(K1114:M1114,"?*")&lt;N(INDEX(Setup!$L$6:$L$23,7)))+(COUNTIF(O1114:Q1114,"?*")&lt;N(INDEX(Setup!$L$6:$L$23,7)))+(COUNTIF(S1114:U1114,"?*")&lt;N(INDEX(Setup!$L$6:$L$23,7)))+((W1114="")*(INDEX(Setup!$M$6:$M$23,7)="Y"))+((Y1114="")*(INDEX(Setup!$M$6:$M$23,7)="Y")))</f>
        <v/>
      </c>
      <c r="AC1114" s="90">
        <f>IF($B1114="","",IF(AB1114=0,"✓ covered","⚠ "&amp;AB1114&amp;IF(AB1114=1," gap"," gaps")))</f>
        <v/>
      </c>
    </row>
    <row r="1115" ht="17" customHeight="1">
      <c r="A1115" t="n">
        <v>23</v>
      </c>
      <c r="B1115" s="29">
        <f>IF(Setup!$K$13="","",Setup!$K$13)</f>
        <v/>
      </c>
      <c r="C1115" s="88" t="n"/>
      <c r="D1115" s="88" t="n"/>
      <c r="E1115" s="88" t="n"/>
      <c r="F1115" s="89" t="n"/>
      <c r="G1115" s="88" t="n"/>
      <c r="H1115" s="88" t="n"/>
      <c r="I1115" s="88" t="n"/>
      <c r="J1115" s="89" t="n"/>
      <c r="K1115" s="88" t="n"/>
      <c r="L1115" s="88" t="n"/>
      <c r="M1115" s="88" t="n"/>
      <c r="N1115" s="89" t="n"/>
      <c r="O1115" s="88" t="n"/>
      <c r="P1115" s="88" t="n"/>
      <c r="Q1115" s="88" t="n"/>
      <c r="R1115" s="89" t="n"/>
      <c r="S1115" s="88" t="n"/>
      <c r="T1115" s="88" t="n"/>
      <c r="U1115" s="88" t="n"/>
      <c r="V1115" s="89" t="n"/>
      <c r="W1115" s="88" t="n"/>
      <c r="X1115" s="89" t="n"/>
      <c r="Y1115" s="88" t="n"/>
      <c r="Z1115" s="89" t="n"/>
      <c r="AB1115" s="30">
        <f>IF($B1115="","",(COUNTIF(C1115:E1115,"?*")&lt;N(INDEX(Setup!$L$6:$L$23,8)))+(COUNTIF(G1115:I1115,"?*")&lt;N(INDEX(Setup!$L$6:$L$23,8)))+(COUNTIF(K1115:M1115,"?*")&lt;N(INDEX(Setup!$L$6:$L$23,8)))+(COUNTIF(O1115:Q1115,"?*")&lt;N(INDEX(Setup!$L$6:$L$23,8)))+(COUNTIF(S1115:U1115,"?*")&lt;N(INDEX(Setup!$L$6:$L$23,8)))+((W1115="")*(INDEX(Setup!$M$6:$M$23,8)="Y"))+((Y1115="")*(INDEX(Setup!$M$6:$M$23,8)="Y")))</f>
        <v/>
      </c>
      <c r="AC1115" s="91">
        <f>IF($B1115="","",IF(AB1115=0,"✓ covered","⚠ "&amp;AB1115&amp;IF(AB1115=1," gap"," gaps")))</f>
        <v/>
      </c>
    </row>
    <row r="1116" ht="17" customHeight="1">
      <c r="A1116" t="n">
        <v>23</v>
      </c>
      <c r="B1116" s="24">
        <f>IF(Setup!$K$14="","",Setup!$K$14)</f>
        <v/>
      </c>
      <c r="C1116" s="88" t="n"/>
      <c r="D1116" s="88" t="n"/>
      <c r="E1116" s="88" t="n"/>
      <c r="F1116" s="89" t="n"/>
      <c r="G1116" s="88" t="n"/>
      <c r="H1116" s="88" t="n"/>
      <c r="I1116" s="88" t="n"/>
      <c r="J1116" s="89" t="n"/>
      <c r="K1116" s="88" t="n"/>
      <c r="L1116" s="88" t="n"/>
      <c r="M1116" s="88" t="n"/>
      <c r="N1116" s="89" t="n"/>
      <c r="O1116" s="88" t="n"/>
      <c r="P1116" s="88" t="n"/>
      <c r="Q1116" s="88" t="n"/>
      <c r="R1116" s="89" t="n"/>
      <c r="S1116" s="88" t="n"/>
      <c r="T1116" s="88" t="n"/>
      <c r="U1116" s="88" t="n"/>
      <c r="V1116" s="89" t="n"/>
      <c r="W1116" s="88" t="n"/>
      <c r="X1116" s="89" t="n"/>
      <c r="Y1116" s="88" t="n"/>
      <c r="Z1116" s="89" t="n"/>
      <c r="AB1116" s="25">
        <f>IF($B1116="","",(COUNTIF(C1116:E1116,"?*")&lt;N(INDEX(Setup!$L$6:$L$23,9)))+(COUNTIF(G1116:I1116,"?*")&lt;N(INDEX(Setup!$L$6:$L$23,9)))+(COUNTIF(K1116:M1116,"?*")&lt;N(INDEX(Setup!$L$6:$L$23,9)))+(COUNTIF(O1116:Q1116,"?*")&lt;N(INDEX(Setup!$L$6:$L$23,9)))+(COUNTIF(S1116:U1116,"?*")&lt;N(INDEX(Setup!$L$6:$L$23,9)))+((W1116="")*(INDEX(Setup!$M$6:$M$23,9)="Y"))+((Y1116="")*(INDEX(Setup!$M$6:$M$23,9)="Y")))</f>
        <v/>
      </c>
      <c r="AC1116" s="90">
        <f>IF($B1116="","",IF(AB1116=0,"✓ covered","⚠ "&amp;AB1116&amp;IF(AB1116=1," gap"," gaps")))</f>
        <v/>
      </c>
    </row>
    <row r="1117" ht="17" customHeight="1">
      <c r="A1117" t="n">
        <v>23</v>
      </c>
      <c r="B1117" s="29">
        <f>IF(Setup!$K$15="","",Setup!$K$15)</f>
        <v/>
      </c>
      <c r="C1117" s="88" t="n"/>
      <c r="D1117" s="88" t="n"/>
      <c r="E1117" s="88" t="n"/>
      <c r="F1117" s="89" t="n"/>
      <c r="G1117" s="88" t="n"/>
      <c r="H1117" s="88" t="n"/>
      <c r="I1117" s="88" t="n"/>
      <c r="J1117" s="89" t="n"/>
      <c r="K1117" s="88" t="n"/>
      <c r="L1117" s="88" t="n"/>
      <c r="M1117" s="88" t="n"/>
      <c r="N1117" s="89" t="n"/>
      <c r="O1117" s="88" t="n"/>
      <c r="P1117" s="88" t="n"/>
      <c r="Q1117" s="88" t="n"/>
      <c r="R1117" s="89" t="n"/>
      <c r="S1117" s="88" t="n"/>
      <c r="T1117" s="88" t="n"/>
      <c r="U1117" s="88" t="n"/>
      <c r="V1117" s="89" t="n"/>
      <c r="W1117" s="88" t="n"/>
      <c r="X1117" s="89" t="n"/>
      <c r="Y1117" s="88" t="n"/>
      <c r="Z1117" s="89" t="n"/>
      <c r="AB1117" s="30">
        <f>IF($B1117="","",(COUNTIF(C1117:E1117,"?*")&lt;N(INDEX(Setup!$L$6:$L$23,10)))+(COUNTIF(G1117:I1117,"?*")&lt;N(INDEX(Setup!$L$6:$L$23,10)))+(COUNTIF(K1117:M1117,"?*")&lt;N(INDEX(Setup!$L$6:$L$23,10)))+(COUNTIF(O1117:Q1117,"?*")&lt;N(INDEX(Setup!$L$6:$L$23,10)))+(COUNTIF(S1117:U1117,"?*")&lt;N(INDEX(Setup!$L$6:$L$23,10)))+((W1117="")*(INDEX(Setup!$M$6:$M$23,10)="Y"))+((Y1117="")*(INDEX(Setup!$M$6:$M$23,10)="Y")))</f>
        <v/>
      </c>
      <c r="AC1117" s="91">
        <f>IF($B1117="","",IF(AB1117=0,"✓ covered","⚠ "&amp;AB1117&amp;IF(AB1117=1," gap"," gaps")))</f>
        <v/>
      </c>
    </row>
    <row r="1118" ht="17" customHeight="1">
      <c r="A1118" t="n">
        <v>23</v>
      </c>
      <c r="B1118" s="24">
        <f>IF(Setup!$K$16="","",Setup!$K$16)</f>
        <v/>
      </c>
      <c r="C1118" s="88" t="n"/>
      <c r="D1118" s="88" t="n"/>
      <c r="E1118" s="88" t="n"/>
      <c r="F1118" s="89" t="n"/>
      <c r="G1118" s="88" t="n"/>
      <c r="H1118" s="88" t="n"/>
      <c r="I1118" s="88" t="n"/>
      <c r="J1118" s="89" t="n"/>
      <c r="K1118" s="88" t="n"/>
      <c r="L1118" s="88" t="n"/>
      <c r="M1118" s="88" t="n"/>
      <c r="N1118" s="89" t="n"/>
      <c r="O1118" s="88" t="n"/>
      <c r="P1118" s="88" t="n"/>
      <c r="Q1118" s="88" t="n"/>
      <c r="R1118" s="89" t="n"/>
      <c r="S1118" s="88" t="n"/>
      <c r="T1118" s="88" t="n"/>
      <c r="U1118" s="88" t="n"/>
      <c r="V1118" s="89" t="n"/>
      <c r="W1118" s="88" t="n"/>
      <c r="X1118" s="89" t="n"/>
      <c r="Y1118" s="88" t="n"/>
      <c r="Z1118" s="89" t="n"/>
      <c r="AB1118" s="25">
        <f>IF($B1118="","",(COUNTIF(C1118:E1118,"?*")&lt;N(INDEX(Setup!$L$6:$L$23,11)))+(COUNTIF(G1118:I1118,"?*")&lt;N(INDEX(Setup!$L$6:$L$23,11)))+(COUNTIF(K1118:M1118,"?*")&lt;N(INDEX(Setup!$L$6:$L$23,11)))+(COUNTIF(O1118:Q1118,"?*")&lt;N(INDEX(Setup!$L$6:$L$23,11)))+(COUNTIF(S1118:U1118,"?*")&lt;N(INDEX(Setup!$L$6:$L$23,11)))+((W1118="")*(INDEX(Setup!$M$6:$M$23,11)="Y"))+((Y1118="")*(INDEX(Setup!$M$6:$M$23,11)="Y")))</f>
        <v/>
      </c>
      <c r="AC1118" s="90">
        <f>IF($B1118="","",IF(AB1118=0,"✓ covered","⚠ "&amp;AB1118&amp;IF(AB1118=1," gap"," gaps")))</f>
        <v/>
      </c>
    </row>
    <row r="1119" ht="17" customHeight="1">
      <c r="A1119" t="n">
        <v>23</v>
      </c>
      <c r="B1119" s="29">
        <f>IF(Setup!$K$17="","",Setup!$K$17)</f>
        <v/>
      </c>
      <c r="C1119" s="88" t="n"/>
      <c r="D1119" s="88" t="n"/>
      <c r="E1119" s="88" t="n"/>
      <c r="F1119" s="89" t="n"/>
      <c r="G1119" s="88" t="n"/>
      <c r="H1119" s="88" t="n"/>
      <c r="I1119" s="88" t="n"/>
      <c r="J1119" s="89" t="n"/>
      <c r="K1119" s="88" t="n"/>
      <c r="L1119" s="88" t="n"/>
      <c r="M1119" s="88" t="n"/>
      <c r="N1119" s="89" t="n"/>
      <c r="O1119" s="88" t="n"/>
      <c r="P1119" s="88" t="n"/>
      <c r="Q1119" s="88" t="n"/>
      <c r="R1119" s="89" t="n"/>
      <c r="S1119" s="88" t="n"/>
      <c r="T1119" s="88" t="n"/>
      <c r="U1119" s="88" t="n"/>
      <c r="V1119" s="89" t="n"/>
      <c r="W1119" s="88" t="n"/>
      <c r="X1119" s="89" t="n"/>
      <c r="Y1119" s="88" t="n"/>
      <c r="Z1119" s="89" t="n"/>
      <c r="AB1119" s="30">
        <f>IF($B1119="","",(COUNTIF(C1119:E1119,"?*")&lt;N(INDEX(Setup!$L$6:$L$23,12)))+(COUNTIF(G1119:I1119,"?*")&lt;N(INDEX(Setup!$L$6:$L$23,12)))+(COUNTIF(K1119:M1119,"?*")&lt;N(INDEX(Setup!$L$6:$L$23,12)))+(COUNTIF(O1119:Q1119,"?*")&lt;N(INDEX(Setup!$L$6:$L$23,12)))+(COUNTIF(S1119:U1119,"?*")&lt;N(INDEX(Setup!$L$6:$L$23,12)))+((W1119="")*(INDEX(Setup!$M$6:$M$23,12)="Y"))+((Y1119="")*(INDEX(Setup!$M$6:$M$23,12)="Y")))</f>
        <v/>
      </c>
      <c r="AC1119" s="91">
        <f>IF($B1119="","",IF(AB1119=0,"✓ covered","⚠ "&amp;AB1119&amp;IF(AB1119=1," gap"," gaps")))</f>
        <v/>
      </c>
    </row>
    <row r="1120" ht="17" customHeight="1">
      <c r="A1120" t="n">
        <v>23</v>
      </c>
      <c r="B1120" s="24">
        <f>IF(Setup!$K$18="","",Setup!$K$18)</f>
        <v/>
      </c>
      <c r="C1120" s="88" t="n"/>
      <c r="D1120" s="88" t="n"/>
      <c r="E1120" s="88" t="n"/>
      <c r="F1120" s="89" t="n"/>
      <c r="G1120" s="88" t="n"/>
      <c r="H1120" s="88" t="n"/>
      <c r="I1120" s="88" t="n"/>
      <c r="J1120" s="89" t="n"/>
      <c r="K1120" s="88" t="n"/>
      <c r="L1120" s="88" t="n"/>
      <c r="M1120" s="88" t="n"/>
      <c r="N1120" s="89" t="n"/>
      <c r="O1120" s="88" t="n"/>
      <c r="P1120" s="88" t="n"/>
      <c r="Q1120" s="88" t="n"/>
      <c r="R1120" s="89" t="n"/>
      <c r="S1120" s="88" t="n"/>
      <c r="T1120" s="88" t="n"/>
      <c r="U1120" s="88" t="n"/>
      <c r="V1120" s="89" t="n"/>
      <c r="W1120" s="88" t="n"/>
      <c r="X1120" s="89" t="n"/>
      <c r="Y1120" s="88" t="n"/>
      <c r="Z1120" s="89" t="n"/>
      <c r="AB1120" s="25">
        <f>IF($B1120="","",(COUNTIF(C1120:E1120,"?*")&lt;N(INDEX(Setup!$L$6:$L$23,13)))+(COUNTIF(G1120:I1120,"?*")&lt;N(INDEX(Setup!$L$6:$L$23,13)))+(COUNTIF(K1120:M1120,"?*")&lt;N(INDEX(Setup!$L$6:$L$23,13)))+(COUNTIF(O1120:Q1120,"?*")&lt;N(INDEX(Setup!$L$6:$L$23,13)))+(COUNTIF(S1120:U1120,"?*")&lt;N(INDEX(Setup!$L$6:$L$23,13)))+((W1120="")*(INDEX(Setup!$M$6:$M$23,13)="Y"))+((Y1120="")*(INDEX(Setup!$M$6:$M$23,13)="Y")))</f>
        <v/>
      </c>
      <c r="AC1120" s="90">
        <f>IF($B1120="","",IF(AB1120=0,"✓ covered","⚠ "&amp;AB1120&amp;IF(AB1120=1," gap"," gaps")))</f>
        <v/>
      </c>
    </row>
    <row r="1121" ht="17" customHeight="1">
      <c r="A1121" t="n">
        <v>23</v>
      </c>
      <c r="B1121" s="29">
        <f>IF(Setup!$K$19="","",Setup!$K$19)</f>
        <v/>
      </c>
      <c r="C1121" s="88" t="n"/>
      <c r="D1121" s="88" t="n"/>
      <c r="E1121" s="88" t="n"/>
      <c r="F1121" s="89" t="n"/>
      <c r="G1121" s="88" t="n"/>
      <c r="H1121" s="88" t="n"/>
      <c r="I1121" s="88" t="n"/>
      <c r="J1121" s="89" t="n"/>
      <c r="K1121" s="88" t="n"/>
      <c r="L1121" s="88" t="n"/>
      <c r="M1121" s="88" t="n"/>
      <c r="N1121" s="89" t="n"/>
      <c r="O1121" s="88" t="n"/>
      <c r="P1121" s="88" t="n"/>
      <c r="Q1121" s="88" t="n"/>
      <c r="R1121" s="89" t="n"/>
      <c r="S1121" s="88" t="n"/>
      <c r="T1121" s="88" t="n"/>
      <c r="U1121" s="88" t="n"/>
      <c r="V1121" s="89" t="n"/>
      <c r="W1121" s="88" t="n"/>
      <c r="X1121" s="89" t="n"/>
      <c r="Y1121" s="88" t="n"/>
      <c r="Z1121" s="89" t="n"/>
      <c r="AB1121" s="30">
        <f>IF($B1121="","",(COUNTIF(C1121:E1121,"?*")&lt;N(INDEX(Setup!$L$6:$L$23,14)))+(COUNTIF(G1121:I1121,"?*")&lt;N(INDEX(Setup!$L$6:$L$23,14)))+(COUNTIF(K1121:M1121,"?*")&lt;N(INDEX(Setup!$L$6:$L$23,14)))+(COUNTIF(O1121:Q1121,"?*")&lt;N(INDEX(Setup!$L$6:$L$23,14)))+(COUNTIF(S1121:U1121,"?*")&lt;N(INDEX(Setup!$L$6:$L$23,14)))+((W1121="")*(INDEX(Setup!$M$6:$M$23,14)="Y"))+((Y1121="")*(INDEX(Setup!$M$6:$M$23,14)="Y")))</f>
        <v/>
      </c>
      <c r="AC1121" s="91">
        <f>IF($B1121="","",IF(AB1121=0,"✓ covered","⚠ "&amp;AB1121&amp;IF(AB1121=1," gap"," gaps")))</f>
        <v/>
      </c>
    </row>
    <row r="1122" ht="17" customHeight="1">
      <c r="A1122" t="n">
        <v>23</v>
      </c>
      <c r="B1122" s="24">
        <f>IF(Setup!$K$20="","",Setup!$K$20)</f>
        <v/>
      </c>
      <c r="C1122" s="88" t="n"/>
      <c r="D1122" s="88" t="n"/>
      <c r="E1122" s="88" t="n"/>
      <c r="F1122" s="89" t="n"/>
      <c r="G1122" s="88" t="n"/>
      <c r="H1122" s="88" t="n"/>
      <c r="I1122" s="88" t="n"/>
      <c r="J1122" s="89" t="n"/>
      <c r="K1122" s="88" t="n"/>
      <c r="L1122" s="88" t="n"/>
      <c r="M1122" s="88" t="n"/>
      <c r="N1122" s="89" t="n"/>
      <c r="O1122" s="88" t="n"/>
      <c r="P1122" s="88" t="n"/>
      <c r="Q1122" s="88" t="n"/>
      <c r="R1122" s="89" t="n"/>
      <c r="S1122" s="88" t="n"/>
      <c r="T1122" s="88" t="n"/>
      <c r="U1122" s="88" t="n"/>
      <c r="V1122" s="89" t="n"/>
      <c r="W1122" s="88" t="n"/>
      <c r="X1122" s="89" t="n"/>
      <c r="Y1122" s="88" t="n"/>
      <c r="Z1122" s="89" t="n"/>
      <c r="AB1122" s="25">
        <f>IF($B1122="","",(COUNTIF(C1122:E1122,"?*")&lt;N(INDEX(Setup!$L$6:$L$23,15)))+(COUNTIF(G1122:I1122,"?*")&lt;N(INDEX(Setup!$L$6:$L$23,15)))+(COUNTIF(K1122:M1122,"?*")&lt;N(INDEX(Setup!$L$6:$L$23,15)))+(COUNTIF(O1122:Q1122,"?*")&lt;N(INDEX(Setup!$L$6:$L$23,15)))+(COUNTIF(S1122:U1122,"?*")&lt;N(INDEX(Setup!$L$6:$L$23,15)))+((W1122="")*(INDEX(Setup!$M$6:$M$23,15)="Y"))+((Y1122="")*(INDEX(Setup!$M$6:$M$23,15)="Y")))</f>
        <v/>
      </c>
      <c r="AC1122" s="90">
        <f>IF($B1122="","",IF(AB1122=0,"✓ covered","⚠ "&amp;AB1122&amp;IF(AB1122=1," gap"," gaps")))</f>
        <v/>
      </c>
    </row>
    <row r="1123" ht="17" customHeight="1">
      <c r="A1123" t="n">
        <v>23</v>
      </c>
      <c r="B1123" s="29">
        <f>IF(Setup!$K$21="","",Setup!$K$21)</f>
        <v/>
      </c>
      <c r="C1123" s="88" t="n"/>
      <c r="D1123" s="88" t="n"/>
      <c r="E1123" s="88" t="n"/>
      <c r="F1123" s="89" t="n"/>
      <c r="G1123" s="88" t="n"/>
      <c r="H1123" s="88" t="n"/>
      <c r="I1123" s="88" t="n"/>
      <c r="J1123" s="89" t="n"/>
      <c r="K1123" s="88" t="n"/>
      <c r="L1123" s="88" t="n"/>
      <c r="M1123" s="88" t="n"/>
      <c r="N1123" s="89" t="n"/>
      <c r="O1123" s="88" t="n"/>
      <c r="P1123" s="88" t="n"/>
      <c r="Q1123" s="88" t="n"/>
      <c r="R1123" s="89" t="n"/>
      <c r="S1123" s="88" t="n"/>
      <c r="T1123" s="88" t="n"/>
      <c r="U1123" s="88" t="n"/>
      <c r="V1123" s="89" t="n"/>
      <c r="W1123" s="88" t="n"/>
      <c r="X1123" s="89" t="n"/>
      <c r="Y1123" s="88" t="n"/>
      <c r="Z1123" s="89" t="n"/>
      <c r="AB1123" s="30">
        <f>IF($B1123="","",(COUNTIF(C1123:E1123,"?*")&lt;N(INDEX(Setup!$L$6:$L$23,16)))+(COUNTIF(G1123:I1123,"?*")&lt;N(INDEX(Setup!$L$6:$L$23,16)))+(COUNTIF(K1123:M1123,"?*")&lt;N(INDEX(Setup!$L$6:$L$23,16)))+(COUNTIF(O1123:Q1123,"?*")&lt;N(INDEX(Setup!$L$6:$L$23,16)))+(COUNTIF(S1123:U1123,"?*")&lt;N(INDEX(Setup!$L$6:$L$23,16)))+((W1123="")*(INDEX(Setup!$M$6:$M$23,16)="Y"))+((Y1123="")*(INDEX(Setup!$M$6:$M$23,16)="Y")))</f>
        <v/>
      </c>
      <c r="AC1123" s="91">
        <f>IF($B1123="","",IF(AB1123=0,"✓ covered","⚠ "&amp;AB1123&amp;IF(AB1123=1," gap"," gaps")))</f>
        <v/>
      </c>
    </row>
    <row r="1124" ht="17" customHeight="1">
      <c r="A1124" t="n">
        <v>23</v>
      </c>
      <c r="B1124" s="24">
        <f>IF(Setup!$K$22="","",Setup!$K$22)</f>
        <v/>
      </c>
      <c r="C1124" s="88" t="n"/>
      <c r="D1124" s="88" t="n"/>
      <c r="E1124" s="88" t="n"/>
      <c r="F1124" s="89" t="n"/>
      <c r="G1124" s="88" t="n"/>
      <c r="H1124" s="88" t="n"/>
      <c r="I1124" s="88" t="n"/>
      <c r="J1124" s="89" t="n"/>
      <c r="K1124" s="88" t="n"/>
      <c r="L1124" s="88" t="n"/>
      <c r="M1124" s="88" t="n"/>
      <c r="N1124" s="89" t="n"/>
      <c r="O1124" s="88" t="n"/>
      <c r="P1124" s="88" t="n"/>
      <c r="Q1124" s="88" t="n"/>
      <c r="R1124" s="89" t="n"/>
      <c r="S1124" s="88" t="n"/>
      <c r="T1124" s="88" t="n"/>
      <c r="U1124" s="88" t="n"/>
      <c r="V1124" s="89" t="n"/>
      <c r="W1124" s="88" t="n"/>
      <c r="X1124" s="89" t="n"/>
      <c r="Y1124" s="88" t="n"/>
      <c r="Z1124" s="89" t="n"/>
      <c r="AB1124" s="25">
        <f>IF($B1124="","",(COUNTIF(C1124:E1124,"?*")&lt;N(INDEX(Setup!$L$6:$L$23,17)))+(COUNTIF(G1124:I1124,"?*")&lt;N(INDEX(Setup!$L$6:$L$23,17)))+(COUNTIF(K1124:M1124,"?*")&lt;N(INDEX(Setup!$L$6:$L$23,17)))+(COUNTIF(O1124:Q1124,"?*")&lt;N(INDEX(Setup!$L$6:$L$23,17)))+(COUNTIF(S1124:U1124,"?*")&lt;N(INDEX(Setup!$L$6:$L$23,17)))+((W1124="")*(INDEX(Setup!$M$6:$M$23,17)="Y"))+((Y1124="")*(INDEX(Setup!$M$6:$M$23,17)="Y")))</f>
        <v/>
      </c>
      <c r="AC1124" s="90">
        <f>IF($B1124="","",IF(AB1124=0,"✓ covered","⚠ "&amp;AB1124&amp;IF(AB1124=1," gap"," gaps")))</f>
        <v/>
      </c>
    </row>
    <row r="1125" ht="17" customHeight="1">
      <c r="A1125" t="n">
        <v>23</v>
      </c>
      <c r="B1125" s="29">
        <f>IF(Setup!$K$23="","",Setup!$K$23)</f>
        <v/>
      </c>
      <c r="C1125" s="88" t="n"/>
      <c r="D1125" s="88" t="n"/>
      <c r="E1125" s="88" t="n"/>
      <c r="F1125" s="89" t="n"/>
      <c r="G1125" s="88" t="n"/>
      <c r="H1125" s="88" t="n"/>
      <c r="I1125" s="88" t="n"/>
      <c r="J1125" s="89" t="n"/>
      <c r="K1125" s="88" t="n"/>
      <c r="L1125" s="88" t="n"/>
      <c r="M1125" s="88" t="n"/>
      <c r="N1125" s="89" t="n"/>
      <c r="O1125" s="88" t="n"/>
      <c r="P1125" s="88" t="n"/>
      <c r="Q1125" s="88" t="n"/>
      <c r="R1125" s="89" t="n"/>
      <c r="S1125" s="88" t="n"/>
      <c r="T1125" s="88" t="n"/>
      <c r="U1125" s="88" t="n"/>
      <c r="V1125" s="89" t="n"/>
      <c r="W1125" s="88" t="n"/>
      <c r="X1125" s="89" t="n"/>
      <c r="Y1125" s="88" t="n"/>
      <c r="Z1125" s="89" t="n"/>
      <c r="AB1125" s="30">
        <f>IF($B1125="","",(COUNTIF(C1125:E1125,"?*")&lt;N(INDEX(Setup!$L$6:$L$23,18)))+(COUNTIF(G1125:I1125,"?*")&lt;N(INDEX(Setup!$L$6:$L$23,18)))+(COUNTIF(K1125:M1125,"?*")&lt;N(INDEX(Setup!$L$6:$L$23,18)))+(COUNTIF(O1125:Q1125,"?*")&lt;N(INDEX(Setup!$L$6:$L$23,18)))+(COUNTIF(S1125:U1125,"?*")&lt;N(INDEX(Setup!$L$6:$L$23,18)))+((W1125="")*(INDEX(Setup!$M$6:$M$23,18)="Y"))+((Y1125="")*(INDEX(Setup!$M$6:$M$23,18)="Y")))</f>
        <v/>
      </c>
      <c r="AC1125" s="91">
        <f>IF($B1125="","",IF(AB1125=0,"✓ covered","⚠ "&amp;AB1125&amp;IF(AB1125=1," gap"," gaps")))</f>
        <v/>
      </c>
    </row>
    <row r="1126" ht="18" customHeight="1">
      <c r="A1126" t="n">
        <v>23</v>
      </c>
      <c r="B1126" s="78" t="inlineStr">
        <is>
          <t>TEAM AVAILABILITY</t>
        </is>
      </c>
      <c r="C1126" s="92" t="inlineStr">
        <is>
          <t>Mon</t>
        </is>
      </c>
      <c r="D1126" s="93" t="n"/>
      <c r="E1126" s="93" t="n"/>
      <c r="F1126" s="94" t="n"/>
      <c r="G1126" s="92" t="inlineStr">
        <is>
          <t>Tue</t>
        </is>
      </c>
      <c r="H1126" s="93" t="n"/>
      <c r="I1126" s="93" t="n"/>
      <c r="J1126" s="94" t="n"/>
      <c r="K1126" s="92" t="inlineStr">
        <is>
          <t>Wed</t>
        </is>
      </c>
      <c r="L1126" s="93" t="n"/>
      <c r="M1126" s="93" t="n"/>
      <c r="N1126" s="94" t="n"/>
      <c r="O1126" s="92" t="inlineStr">
        <is>
          <t>Thu</t>
        </is>
      </c>
      <c r="P1126" s="93" t="n"/>
      <c r="Q1126" s="93" t="n"/>
      <c r="R1126" s="94" t="n"/>
      <c r="S1126" s="92" t="inlineStr">
        <is>
          <t>Fri</t>
        </is>
      </c>
      <c r="T1126" s="93" t="n"/>
      <c r="U1126" s="93" t="n"/>
      <c r="V1126" s="94" t="n"/>
      <c r="W1126" s="95" t="inlineStr">
        <is>
          <t>Sat</t>
        </is>
      </c>
      <c r="X1126" s="96" t="n"/>
      <c r="Y1126" s="95" t="inlineStr">
        <is>
          <t>Sun</t>
        </is>
      </c>
      <c r="Z1126" s="96" t="n"/>
      <c r="AB1126" s="97" t="inlineStr">
        <is>
          <t>Days rostered</t>
        </is>
      </c>
      <c r="AC1126" s="97" t="inlineStr">
        <is>
          <t>Conflicts</t>
        </is>
      </c>
    </row>
    <row r="1127" ht="15" customHeight="1">
      <c r="A1127" t="n">
        <v>23</v>
      </c>
      <c r="B1127" s="35">
        <f>IF(Setup!$B$6="","",Setup!$B$6)</f>
        <v/>
      </c>
      <c r="C1127" s="98" t="n"/>
      <c r="D1127" s="99" t="n"/>
      <c r="E1127" s="99" t="n"/>
      <c r="F1127" s="100" t="n"/>
      <c r="G1127" s="98" t="n"/>
      <c r="H1127" s="99" t="n"/>
      <c r="I1127" s="99" t="n"/>
      <c r="J1127" s="100" t="n"/>
      <c r="K1127" s="98" t="n"/>
      <c r="L1127" s="99" t="n"/>
      <c r="M1127" s="99" t="n"/>
      <c r="N1127" s="100" t="n"/>
      <c r="O1127" s="98" t="n"/>
      <c r="P1127" s="99" t="n"/>
      <c r="Q1127" s="99" t="n"/>
      <c r="R1127" s="100" t="n"/>
      <c r="S1127" s="98" t="n"/>
      <c r="T1127" s="99" t="n"/>
      <c r="U1127" s="99" t="n"/>
      <c r="V1127" s="100" t="n"/>
      <c r="W1127" s="98" t="n"/>
      <c r="X1127" s="100" t="n"/>
      <c r="Y1127" s="98" t="n"/>
      <c r="Z1127" s="100" t="n"/>
      <c r="AB1127" s="101">
        <f>IF($B1127="","",(COUNTIF(C1108:E1125,$B1127)+COUNTIF(C1108:E1125,$B1127&amp;" ~*")&gt;0)+(COUNTIF(G1108:I1125,$B1127)+COUNTIF(G1108:I1125,$B1127&amp;" ~*")&gt;0)+(COUNTIF(K1108:M1125,$B1127)+COUNTIF(K1108:M1125,$B1127&amp;" ~*")&gt;0)+(COUNTIF(O1108:Q1125,$B1127)+COUNTIF(O1108:Q1125,$B1127&amp;" ~*")&gt;0)+(COUNTIF(S1108:U1125,$B1127)+COUNTIF(S1108:U1125,$B1127&amp;" ~*")&gt;0)+(COUNTIF(W1108:W1125,$B1127)+COUNTIF(W1108:W1125,$B1127&amp;" ~*")&gt;0)+(COUNTIF(Y1108:Y1125,$B1127)+COUNTIF(Y1108:Y1125,$B1127&amp;" ~*")&gt;0))</f>
        <v/>
      </c>
      <c r="AC1127" s="36">
        <f>IF($B1127="","",(IFERROR(INDEX(Setup!$G$33:$G$40,MATCH(C1127,Setup!$B$33:$B$40,0)),0)=1)*(COUNTIF(C1108:E1125,$B1127)+COUNTIF(C1108:E1125,$B1127&amp;" ~*")&gt;0)+(IFERROR(INDEX(Setup!$G$33:$G$40,MATCH(G1127,Setup!$B$33:$B$40,0)),0)=1)*(COUNTIF(G1108:I1125,$B1127)+COUNTIF(G1108:I1125,$B1127&amp;" ~*")&gt;0)+(IFERROR(INDEX(Setup!$G$33:$G$40,MATCH(K1127,Setup!$B$33:$B$40,0)),0)=1)*(COUNTIF(K1108:M1125,$B1127)+COUNTIF(K1108:M1125,$B1127&amp;" ~*")&gt;0)+(IFERROR(INDEX(Setup!$G$33:$G$40,MATCH(O1127,Setup!$B$33:$B$40,0)),0)=1)*(COUNTIF(O1108:Q1125,$B1127)+COUNTIF(O1108:Q1125,$B1127&amp;" ~*")&gt;0)+(IFERROR(INDEX(Setup!$G$33:$G$40,MATCH(S1127,Setup!$B$33:$B$40,0)),0)=1)*(COUNTIF(S1108:U1125,$B1127)+COUNTIF(S1108:U1125,$B1127&amp;" ~*")&gt;0)+(IFERROR(INDEX(Setup!$G$33:$G$40,MATCH(W1127,Setup!$B$33:$B$40,0)),0)=1)*(COUNTIF(W1108:W1125,$B1127)+COUNTIF(W1108:W1125,$B1127&amp;" ~*")&gt;0)+(IFERROR(INDEX(Setup!$G$33:$G$40,MATCH(Y1127,Setup!$B$33:$B$40,0)),0)=1)*(COUNTIF(Y1108:Y1125,$B1127)+COUNTIF(Y1108:Y1125,$B1127&amp;" ~*")&gt;0))</f>
        <v/>
      </c>
    </row>
    <row r="1128" ht="15" customHeight="1">
      <c r="A1128" t="n">
        <v>23</v>
      </c>
      <c r="B1128" s="37">
        <f>IF(Setup!$B$7="","",Setup!$B$7)</f>
        <v/>
      </c>
      <c r="C1128" s="102" t="n"/>
      <c r="D1128" s="103" t="n"/>
      <c r="E1128" s="103" t="n"/>
      <c r="F1128" s="104" t="n"/>
      <c r="G1128" s="102" t="n"/>
      <c r="H1128" s="103" t="n"/>
      <c r="I1128" s="103" t="n"/>
      <c r="J1128" s="104" t="n"/>
      <c r="K1128" s="102" t="n"/>
      <c r="L1128" s="103" t="n"/>
      <c r="M1128" s="103" t="n"/>
      <c r="N1128" s="104" t="n"/>
      <c r="O1128" s="102" t="n"/>
      <c r="P1128" s="103" t="n"/>
      <c r="Q1128" s="103" t="n"/>
      <c r="R1128" s="104" t="n"/>
      <c r="S1128" s="102" t="n"/>
      <c r="T1128" s="103" t="n"/>
      <c r="U1128" s="103" t="n"/>
      <c r="V1128" s="104" t="n"/>
      <c r="W1128" s="102" t="n"/>
      <c r="X1128" s="104" t="n"/>
      <c r="Y1128" s="102" t="n"/>
      <c r="Z1128" s="104" t="n"/>
      <c r="AB1128" s="105">
        <f>IF($B1128="","",(COUNTIF(C1108:E1125,$B1128)+COUNTIF(C1108:E1125,$B1128&amp;" ~*")&gt;0)+(COUNTIF(G1108:I1125,$B1128)+COUNTIF(G1108:I1125,$B1128&amp;" ~*")&gt;0)+(COUNTIF(K1108:M1125,$B1128)+COUNTIF(K1108:M1125,$B1128&amp;" ~*")&gt;0)+(COUNTIF(O1108:Q1125,$B1128)+COUNTIF(O1108:Q1125,$B1128&amp;" ~*")&gt;0)+(COUNTIF(S1108:U1125,$B1128)+COUNTIF(S1108:U1125,$B1128&amp;" ~*")&gt;0)+(COUNTIF(W1108:W1125,$B1128)+COUNTIF(W1108:W1125,$B1128&amp;" ~*")&gt;0)+(COUNTIF(Y1108:Y1125,$B1128)+COUNTIF(Y1108:Y1125,$B1128&amp;" ~*")&gt;0))</f>
        <v/>
      </c>
      <c r="AC1128" s="38">
        <f>IF($B1128="","",(IFERROR(INDEX(Setup!$G$33:$G$40,MATCH(C1128,Setup!$B$33:$B$40,0)),0)=1)*(COUNTIF(C1108:E1125,$B1128)+COUNTIF(C1108:E1125,$B1128&amp;" ~*")&gt;0)+(IFERROR(INDEX(Setup!$G$33:$G$40,MATCH(G1128,Setup!$B$33:$B$40,0)),0)=1)*(COUNTIF(G1108:I1125,$B1128)+COUNTIF(G1108:I1125,$B1128&amp;" ~*")&gt;0)+(IFERROR(INDEX(Setup!$G$33:$G$40,MATCH(K1128,Setup!$B$33:$B$40,0)),0)=1)*(COUNTIF(K1108:M1125,$B1128)+COUNTIF(K1108:M1125,$B1128&amp;" ~*")&gt;0)+(IFERROR(INDEX(Setup!$G$33:$G$40,MATCH(O1128,Setup!$B$33:$B$40,0)),0)=1)*(COUNTIF(O1108:Q1125,$B1128)+COUNTIF(O1108:Q1125,$B1128&amp;" ~*")&gt;0)+(IFERROR(INDEX(Setup!$G$33:$G$40,MATCH(S1128,Setup!$B$33:$B$40,0)),0)=1)*(COUNTIF(S1108:U1125,$B1128)+COUNTIF(S1108:U1125,$B1128&amp;" ~*")&gt;0)+(IFERROR(INDEX(Setup!$G$33:$G$40,MATCH(W1128,Setup!$B$33:$B$40,0)),0)=1)*(COUNTIF(W1108:W1125,$B1128)+COUNTIF(W1108:W1125,$B1128&amp;" ~*")&gt;0)+(IFERROR(INDEX(Setup!$G$33:$G$40,MATCH(Y1128,Setup!$B$33:$B$40,0)),0)=1)*(COUNTIF(Y1108:Y1125,$B1128)+COUNTIF(Y1108:Y1125,$B1128&amp;" ~*")&gt;0))</f>
        <v/>
      </c>
    </row>
    <row r="1129" ht="15" customHeight="1">
      <c r="A1129" t="n">
        <v>23</v>
      </c>
      <c r="B1129" s="35">
        <f>IF(Setup!$B$8="","",Setup!$B$8)</f>
        <v/>
      </c>
      <c r="C1129" s="98" t="n"/>
      <c r="D1129" s="99" t="n"/>
      <c r="E1129" s="99" t="n"/>
      <c r="F1129" s="100" t="n"/>
      <c r="G1129" s="98" t="n"/>
      <c r="H1129" s="99" t="n"/>
      <c r="I1129" s="99" t="n"/>
      <c r="J1129" s="100" t="n"/>
      <c r="K1129" s="98" t="n"/>
      <c r="L1129" s="99" t="n"/>
      <c r="M1129" s="99" t="n"/>
      <c r="N1129" s="100" t="n"/>
      <c r="O1129" s="98" t="n"/>
      <c r="P1129" s="99" t="n"/>
      <c r="Q1129" s="99" t="n"/>
      <c r="R1129" s="100" t="n"/>
      <c r="S1129" s="98" t="n"/>
      <c r="T1129" s="99" t="n"/>
      <c r="U1129" s="99" t="n"/>
      <c r="V1129" s="100" t="n"/>
      <c r="W1129" s="98" t="n"/>
      <c r="X1129" s="100" t="n"/>
      <c r="Y1129" s="98" t="n"/>
      <c r="Z1129" s="100" t="n"/>
      <c r="AB1129" s="101">
        <f>IF($B1129="","",(COUNTIF(C1108:E1125,$B1129)+COUNTIF(C1108:E1125,$B1129&amp;" ~*")&gt;0)+(COUNTIF(G1108:I1125,$B1129)+COUNTIF(G1108:I1125,$B1129&amp;" ~*")&gt;0)+(COUNTIF(K1108:M1125,$B1129)+COUNTIF(K1108:M1125,$B1129&amp;" ~*")&gt;0)+(COUNTIF(O1108:Q1125,$B1129)+COUNTIF(O1108:Q1125,$B1129&amp;" ~*")&gt;0)+(COUNTIF(S1108:U1125,$B1129)+COUNTIF(S1108:U1125,$B1129&amp;" ~*")&gt;0)+(COUNTIF(W1108:W1125,$B1129)+COUNTIF(W1108:W1125,$B1129&amp;" ~*")&gt;0)+(COUNTIF(Y1108:Y1125,$B1129)+COUNTIF(Y1108:Y1125,$B1129&amp;" ~*")&gt;0))</f>
        <v/>
      </c>
      <c r="AC1129" s="36">
        <f>IF($B1129="","",(IFERROR(INDEX(Setup!$G$33:$G$40,MATCH(C1129,Setup!$B$33:$B$40,0)),0)=1)*(COUNTIF(C1108:E1125,$B1129)+COUNTIF(C1108:E1125,$B1129&amp;" ~*")&gt;0)+(IFERROR(INDEX(Setup!$G$33:$G$40,MATCH(G1129,Setup!$B$33:$B$40,0)),0)=1)*(COUNTIF(G1108:I1125,$B1129)+COUNTIF(G1108:I1125,$B1129&amp;" ~*")&gt;0)+(IFERROR(INDEX(Setup!$G$33:$G$40,MATCH(K1129,Setup!$B$33:$B$40,0)),0)=1)*(COUNTIF(K1108:M1125,$B1129)+COUNTIF(K1108:M1125,$B1129&amp;" ~*")&gt;0)+(IFERROR(INDEX(Setup!$G$33:$G$40,MATCH(O1129,Setup!$B$33:$B$40,0)),0)=1)*(COUNTIF(O1108:Q1125,$B1129)+COUNTIF(O1108:Q1125,$B1129&amp;" ~*")&gt;0)+(IFERROR(INDEX(Setup!$G$33:$G$40,MATCH(S1129,Setup!$B$33:$B$40,0)),0)=1)*(COUNTIF(S1108:U1125,$B1129)+COUNTIF(S1108:U1125,$B1129&amp;" ~*")&gt;0)+(IFERROR(INDEX(Setup!$G$33:$G$40,MATCH(W1129,Setup!$B$33:$B$40,0)),0)=1)*(COUNTIF(W1108:W1125,$B1129)+COUNTIF(W1108:W1125,$B1129&amp;" ~*")&gt;0)+(IFERROR(INDEX(Setup!$G$33:$G$40,MATCH(Y1129,Setup!$B$33:$B$40,0)),0)=1)*(COUNTIF(Y1108:Y1125,$B1129)+COUNTIF(Y1108:Y1125,$B1129&amp;" ~*")&gt;0))</f>
        <v/>
      </c>
    </row>
    <row r="1130" ht="15" customHeight="1">
      <c r="A1130" t="n">
        <v>23</v>
      </c>
      <c r="B1130" s="37">
        <f>IF(Setup!$B$9="","",Setup!$B$9)</f>
        <v/>
      </c>
      <c r="C1130" s="102" t="n"/>
      <c r="D1130" s="103" t="n"/>
      <c r="E1130" s="103" t="n"/>
      <c r="F1130" s="104" t="n"/>
      <c r="G1130" s="102" t="n"/>
      <c r="H1130" s="103" t="n"/>
      <c r="I1130" s="103" t="n"/>
      <c r="J1130" s="104" t="n"/>
      <c r="K1130" s="102" t="n"/>
      <c r="L1130" s="103" t="n"/>
      <c r="M1130" s="103" t="n"/>
      <c r="N1130" s="104" t="n"/>
      <c r="O1130" s="102" t="n"/>
      <c r="P1130" s="103" t="n"/>
      <c r="Q1130" s="103" t="n"/>
      <c r="R1130" s="104" t="n"/>
      <c r="S1130" s="102" t="n"/>
      <c r="T1130" s="103" t="n"/>
      <c r="U1130" s="103" t="n"/>
      <c r="V1130" s="104" t="n"/>
      <c r="W1130" s="102" t="n"/>
      <c r="X1130" s="104" t="n"/>
      <c r="Y1130" s="102" t="n"/>
      <c r="Z1130" s="104" t="n"/>
      <c r="AB1130" s="105">
        <f>IF($B1130="","",(COUNTIF(C1108:E1125,$B1130)+COUNTIF(C1108:E1125,$B1130&amp;" ~*")&gt;0)+(COUNTIF(G1108:I1125,$B1130)+COUNTIF(G1108:I1125,$B1130&amp;" ~*")&gt;0)+(COUNTIF(K1108:M1125,$B1130)+COUNTIF(K1108:M1125,$B1130&amp;" ~*")&gt;0)+(COUNTIF(O1108:Q1125,$B1130)+COUNTIF(O1108:Q1125,$B1130&amp;" ~*")&gt;0)+(COUNTIF(S1108:U1125,$B1130)+COUNTIF(S1108:U1125,$B1130&amp;" ~*")&gt;0)+(COUNTIF(W1108:W1125,$B1130)+COUNTIF(W1108:W1125,$B1130&amp;" ~*")&gt;0)+(COUNTIF(Y1108:Y1125,$B1130)+COUNTIF(Y1108:Y1125,$B1130&amp;" ~*")&gt;0))</f>
        <v/>
      </c>
      <c r="AC1130" s="38">
        <f>IF($B1130="","",(IFERROR(INDEX(Setup!$G$33:$G$40,MATCH(C1130,Setup!$B$33:$B$40,0)),0)=1)*(COUNTIF(C1108:E1125,$B1130)+COUNTIF(C1108:E1125,$B1130&amp;" ~*")&gt;0)+(IFERROR(INDEX(Setup!$G$33:$G$40,MATCH(G1130,Setup!$B$33:$B$40,0)),0)=1)*(COUNTIF(G1108:I1125,$B1130)+COUNTIF(G1108:I1125,$B1130&amp;" ~*")&gt;0)+(IFERROR(INDEX(Setup!$G$33:$G$40,MATCH(K1130,Setup!$B$33:$B$40,0)),0)=1)*(COUNTIF(K1108:M1125,$B1130)+COUNTIF(K1108:M1125,$B1130&amp;" ~*")&gt;0)+(IFERROR(INDEX(Setup!$G$33:$G$40,MATCH(O1130,Setup!$B$33:$B$40,0)),0)=1)*(COUNTIF(O1108:Q1125,$B1130)+COUNTIF(O1108:Q1125,$B1130&amp;" ~*")&gt;0)+(IFERROR(INDEX(Setup!$G$33:$G$40,MATCH(S1130,Setup!$B$33:$B$40,0)),0)=1)*(COUNTIF(S1108:U1125,$B1130)+COUNTIF(S1108:U1125,$B1130&amp;" ~*")&gt;0)+(IFERROR(INDEX(Setup!$G$33:$G$40,MATCH(W1130,Setup!$B$33:$B$40,0)),0)=1)*(COUNTIF(W1108:W1125,$B1130)+COUNTIF(W1108:W1125,$B1130&amp;" ~*")&gt;0)+(IFERROR(INDEX(Setup!$G$33:$G$40,MATCH(Y1130,Setup!$B$33:$B$40,0)),0)=1)*(COUNTIF(Y1108:Y1125,$B1130)+COUNTIF(Y1108:Y1125,$B1130&amp;" ~*")&gt;0))</f>
        <v/>
      </c>
    </row>
    <row r="1131" ht="15" customHeight="1">
      <c r="A1131" t="n">
        <v>23</v>
      </c>
      <c r="B1131" s="35">
        <f>IF(Setup!$B$10="","",Setup!$B$10)</f>
        <v/>
      </c>
      <c r="C1131" s="98" t="inlineStr">
        <is>
          <t>AL</t>
        </is>
      </c>
      <c r="D1131" s="99" t="n"/>
      <c r="E1131" s="99" t="n"/>
      <c r="F1131" s="100" t="n"/>
      <c r="G1131" s="98" t="inlineStr">
        <is>
          <t>AL</t>
        </is>
      </c>
      <c r="H1131" s="99" t="n"/>
      <c r="I1131" s="99" t="n"/>
      <c r="J1131" s="100" t="n"/>
      <c r="K1131" s="98" t="inlineStr">
        <is>
          <t>AL</t>
        </is>
      </c>
      <c r="L1131" s="99" t="n"/>
      <c r="M1131" s="99" t="n"/>
      <c r="N1131" s="100" t="n"/>
      <c r="O1131" s="98" t="inlineStr">
        <is>
          <t>AL</t>
        </is>
      </c>
      <c r="P1131" s="99" t="n"/>
      <c r="Q1131" s="99" t="n"/>
      <c r="R1131" s="100" t="n"/>
      <c r="S1131" s="98" t="inlineStr">
        <is>
          <t>AL</t>
        </is>
      </c>
      <c r="T1131" s="99" t="n"/>
      <c r="U1131" s="99" t="n"/>
      <c r="V1131" s="100" t="n"/>
      <c r="W1131" s="98" t="n"/>
      <c r="X1131" s="100" t="n"/>
      <c r="Y1131" s="98" t="n"/>
      <c r="Z1131" s="100" t="n"/>
      <c r="AB1131" s="101">
        <f>IF($B1131="","",(COUNTIF(C1108:E1125,$B1131)+COUNTIF(C1108:E1125,$B1131&amp;" ~*")&gt;0)+(COUNTIF(G1108:I1125,$B1131)+COUNTIF(G1108:I1125,$B1131&amp;" ~*")&gt;0)+(COUNTIF(K1108:M1125,$B1131)+COUNTIF(K1108:M1125,$B1131&amp;" ~*")&gt;0)+(COUNTIF(O1108:Q1125,$B1131)+COUNTIF(O1108:Q1125,$B1131&amp;" ~*")&gt;0)+(COUNTIF(S1108:U1125,$B1131)+COUNTIF(S1108:U1125,$B1131&amp;" ~*")&gt;0)+(COUNTIF(W1108:W1125,$B1131)+COUNTIF(W1108:W1125,$B1131&amp;" ~*")&gt;0)+(COUNTIF(Y1108:Y1125,$B1131)+COUNTIF(Y1108:Y1125,$B1131&amp;" ~*")&gt;0))</f>
        <v/>
      </c>
      <c r="AC1131" s="36">
        <f>IF($B1131="","",(IFERROR(INDEX(Setup!$G$33:$G$40,MATCH(C1131,Setup!$B$33:$B$40,0)),0)=1)*(COUNTIF(C1108:E1125,$B1131)+COUNTIF(C1108:E1125,$B1131&amp;" ~*")&gt;0)+(IFERROR(INDEX(Setup!$G$33:$G$40,MATCH(G1131,Setup!$B$33:$B$40,0)),0)=1)*(COUNTIF(G1108:I1125,$B1131)+COUNTIF(G1108:I1125,$B1131&amp;" ~*")&gt;0)+(IFERROR(INDEX(Setup!$G$33:$G$40,MATCH(K1131,Setup!$B$33:$B$40,0)),0)=1)*(COUNTIF(K1108:M1125,$B1131)+COUNTIF(K1108:M1125,$B1131&amp;" ~*")&gt;0)+(IFERROR(INDEX(Setup!$G$33:$G$40,MATCH(O1131,Setup!$B$33:$B$40,0)),0)=1)*(COUNTIF(O1108:Q1125,$B1131)+COUNTIF(O1108:Q1125,$B1131&amp;" ~*")&gt;0)+(IFERROR(INDEX(Setup!$G$33:$G$40,MATCH(S1131,Setup!$B$33:$B$40,0)),0)=1)*(COUNTIF(S1108:U1125,$B1131)+COUNTIF(S1108:U1125,$B1131&amp;" ~*")&gt;0)+(IFERROR(INDEX(Setup!$G$33:$G$40,MATCH(W1131,Setup!$B$33:$B$40,0)),0)=1)*(COUNTIF(W1108:W1125,$B1131)+COUNTIF(W1108:W1125,$B1131&amp;" ~*")&gt;0)+(IFERROR(INDEX(Setup!$G$33:$G$40,MATCH(Y1131,Setup!$B$33:$B$40,0)),0)=1)*(COUNTIF(Y1108:Y1125,$B1131)+COUNTIF(Y1108:Y1125,$B1131&amp;" ~*")&gt;0))</f>
        <v/>
      </c>
    </row>
    <row r="1132" ht="15" customHeight="1">
      <c r="A1132" t="n">
        <v>23</v>
      </c>
      <c r="B1132" s="37">
        <f>IF(Setup!$B$11="","",Setup!$B$11)</f>
        <v/>
      </c>
      <c r="C1132" s="102" t="n"/>
      <c r="D1132" s="103" t="n"/>
      <c r="E1132" s="103" t="n"/>
      <c r="F1132" s="104" t="n"/>
      <c r="G1132" s="102" t="n"/>
      <c r="H1132" s="103" t="n"/>
      <c r="I1132" s="103" t="n"/>
      <c r="J1132" s="104" t="n"/>
      <c r="K1132" s="102" t="n"/>
      <c r="L1132" s="103" t="n"/>
      <c r="M1132" s="103" t="n"/>
      <c r="N1132" s="104" t="n"/>
      <c r="O1132" s="102" t="n"/>
      <c r="P1132" s="103" t="n"/>
      <c r="Q1132" s="103" t="n"/>
      <c r="R1132" s="104" t="n"/>
      <c r="S1132" s="102" t="n"/>
      <c r="T1132" s="103" t="n"/>
      <c r="U1132" s="103" t="n"/>
      <c r="V1132" s="104" t="n"/>
      <c r="W1132" s="102" t="n"/>
      <c r="X1132" s="104" t="n"/>
      <c r="Y1132" s="102" t="n"/>
      <c r="Z1132" s="104" t="n"/>
      <c r="AB1132" s="105">
        <f>IF($B1132="","",(COUNTIF(C1108:E1125,$B1132)+COUNTIF(C1108:E1125,$B1132&amp;" ~*")&gt;0)+(COUNTIF(G1108:I1125,$B1132)+COUNTIF(G1108:I1125,$B1132&amp;" ~*")&gt;0)+(COUNTIF(K1108:M1125,$B1132)+COUNTIF(K1108:M1125,$B1132&amp;" ~*")&gt;0)+(COUNTIF(O1108:Q1125,$B1132)+COUNTIF(O1108:Q1125,$B1132&amp;" ~*")&gt;0)+(COUNTIF(S1108:U1125,$B1132)+COUNTIF(S1108:U1125,$B1132&amp;" ~*")&gt;0)+(COUNTIF(W1108:W1125,$B1132)+COUNTIF(W1108:W1125,$B1132&amp;" ~*")&gt;0)+(COUNTIF(Y1108:Y1125,$B1132)+COUNTIF(Y1108:Y1125,$B1132&amp;" ~*")&gt;0))</f>
        <v/>
      </c>
      <c r="AC1132" s="38">
        <f>IF($B1132="","",(IFERROR(INDEX(Setup!$G$33:$G$40,MATCH(C1132,Setup!$B$33:$B$40,0)),0)=1)*(COUNTIF(C1108:E1125,$B1132)+COUNTIF(C1108:E1125,$B1132&amp;" ~*")&gt;0)+(IFERROR(INDEX(Setup!$G$33:$G$40,MATCH(G1132,Setup!$B$33:$B$40,0)),0)=1)*(COUNTIF(G1108:I1125,$B1132)+COUNTIF(G1108:I1125,$B1132&amp;" ~*")&gt;0)+(IFERROR(INDEX(Setup!$G$33:$G$40,MATCH(K1132,Setup!$B$33:$B$40,0)),0)=1)*(COUNTIF(K1108:M1125,$B1132)+COUNTIF(K1108:M1125,$B1132&amp;" ~*")&gt;0)+(IFERROR(INDEX(Setup!$G$33:$G$40,MATCH(O1132,Setup!$B$33:$B$40,0)),0)=1)*(COUNTIF(O1108:Q1125,$B1132)+COUNTIF(O1108:Q1125,$B1132&amp;" ~*")&gt;0)+(IFERROR(INDEX(Setup!$G$33:$G$40,MATCH(S1132,Setup!$B$33:$B$40,0)),0)=1)*(COUNTIF(S1108:U1125,$B1132)+COUNTIF(S1108:U1125,$B1132&amp;" ~*")&gt;0)+(IFERROR(INDEX(Setup!$G$33:$G$40,MATCH(W1132,Setup!$B$33:$B$40,0)),0)=1)*(COUNTIF(W1108:W1125,$B1132)+COUNTIF(W1108:W1125,$B1132&amp;" ~*")&gt;0)+(IFERROR(INDEX(Setup!$G$33:$G$40,MATCH(Y1132,Setup!$B$33:$B$40,0)),0)=1)*(COUNTIF(Y1108:Y1125,$B1132)+COUNTIF(Y1108:Y1125,$B1132&amp;" ~*")&gt;0))</f>
        <v/>
      </c>
    </row>
    <row r="1133" ht="15" customHeight="1">
      <c r="A1133" t="n">
        <v>23</v>
      </c>
      <c r="B1133" s="35">
        <f>IF(Setup!$B$12="","",Setup!$B$12)</f>
        <v/>
      </c>
      <c r="C1133" s="98" t="n"/>
      <c r="D1133" s="99" t="n"/>
      <c r="E1133" s="99" t="n"/>
      <c r="F1133" s="100" t="n"/>
      <c r="G1133" s="98" t="n"/>
      <c r="H1133" s="99" t="n"/>
      <c r="I1133" s="99" t="n"/>
      <c r="J1133" s="100" t="n"/>
      <c r="K1133" s="98" t="n"/>
      <c r="L1133" s="99" t="n"/>
      <c r="M1133" s="99" t="n"/>
      <c r="N1133" s="100" t="n"/>
      <c r="O1133" s="98" t="n"/>
      <c r="P1133" s="99" t="n"/>
      <c r="Q1133" s="99" t="n"/>
      <c r="R1133" s="100" t="n"/>
      <c r="S1133" s="98" t="n"/>
      <c r="T1133" s="99" t="n"/>
      <c r="U1133" s="99" t="n"/>
      <c r="V1133" s="100" t="n"/>
      <c r="W1133" s="98" t="n"/>
      <c r="X1133" s="100" t="n"/>
      <c r="Y1133" s="98" t="n"/>
      <c r="Z1133" s="100" t="n"/>
      <c r="AB1133" s="101">
        <f>IF($B1133="","",(COUNTIF(C1108:E1125,$B1133)+COUNTIF(C1108:E1125,$B1133&amp;" ~*")&gt;0)+(COUNTIF(G1108:I1125,$B1133)+COUNTIF(G1108:I1125,$B1133&amp;" ~*")&gt;0)+(COUNTIF(K1108:M1125,$B1133)+COUNTIF(K1108:M1125,$B1133&amp;" ~*")&gt;0)+(COUNTIF(O1108:Q1125,$B1133)+COUNTIF(O1108:Q1125,$B1133&amp;" ~*")&gt;0)+(COUNTIF(S1108:U1125,$B1133)+COUNTIF(S1108:U1125,$B1133&amp;" ~*")&gt;0)+(COUNTIF(W1108:W1125,$B1133)+COUNTIF(W1108:W1125,$B1133&amp;" ~*")&gt;0)+(COUNTIF(Y1108:Y1125,$B1133)+COUNTIF(Y1108:Y1125,$B1133&amp;" ~*")&gt;0))</f>
        <v/>
      </c>
      <c r="AC1133" s="36">
        <f>IF($B1133="","",(IFERROR(INDEX(Setup!$G$33:$G$40,MATCH(C1133,Setup!$B$33:$B$40,0)),0)=1)*(COUNTIF(C1108:E1125,$B1133)+COUNTIF(C1108:E1125,$B1133&amp;" ~*")&gt;0)+(IFERROR(INDEX(Setup!$G$33:$G$40,MATCH(G1133,Setup!$B$33:$B$40,0)),0)=1)*(COUNTIF(G1108:I1125,$B1133)+COUNTIF(G1108:I1125,$B1133&amp;" ~*")&gt;0)+(IFERROR(INDEX(Setup!$G$33:$G$40,MATCH(K1133,Setup!$B$33:$B$40,0)),0)=1)*(COUNTIF(K1108:M1125,$B1133)+COUNTIF(K1108:M1125,$B1133&amp;" ~*")&gt;0)+(IFERROR(INDEX(Setup!$G$33:$G$40,MATCH(O1133,Setup!$B$33:$B$40,0)),0)=1)*(COUNTIF(O1108:Q1125,$B1133)+COUNTIF(O1108:Q1125,$B1133&amp;" ~*")&gt;0)+(IFERROR(INDEX(Setup!$G$33:$G$40,MATCH(S1133,Setup!$B$33:$B$40,0)),0)=1)*(COUNTIF(S1108:U1125,$B1133)+COUNTIF(S1108:U1125,$B1133&amp;" ~*")&gt;0)+(IFERROR(INDEX(Setup!$G$33:$G$40,MATCH(W1133,Setup!$B$33:$B$40,0)),0)=1)*(COUNTIF(W1108:W1125,$B1133)+COUNTIF(W1108:W1125,$B1133&amp;" ~*")&gt;0)+(IFERROR(INDEX(Setup!$G$33:$G$40,MATCH(Y1133,Setup!$B$33:$B$40,0)),0)=1)*(COUNTIF(Y1108:Y1125,$B1133)+COUNTIF(Y1108:Y1125,$B1133&amp;" ~*")&gt;0))</f>
        <v/>
      </c>
    </row>
    <row r="1134" ht="15" customHeight="1">
      <c r="A1134" t="n">
        <v>23</v>
      </c>
      <c r="B1134" s="37">
        <f>IF(Setup!$B$13="","",Setup!$B$13)</f>
        <v/>
      </c>
      <c r="C1134" s="102" t="n"/>
      <c r="D1134" s="103" t="n"/>
      <c r="E1134" s="103" t="n"/>
      <c r="F1134" s="104" t="n"/>
      <c r="G1134" s="102" t="n"/>
      <c r="H1134" s="103" t="n"/>
      <c r="I1134" s="103" t="n"/>
      <c r="J1134" s="104" t="n"/>
      <c r="K1134" s="102" t="n"/>
      <c r="L1134" s="103" t="n"/>
      <c r="M1134" s="103" t="n"/>
      <c r="N1134" s="104" t="n"/>
      <c r="O1134" s="102" t="n"/>
      <c r="P1134" s="103" t="n"/>
      <c r="Q1134" s="103" t="n"/>
      <c r="R1134" s="104" t="n"/>
      <c r="S1134" s="102" t="n"/>
      <c r="T1134" s="103" t="n"/>
      <c r="U1134" s="103" t="n"/>
      <c r="V1134" s="104" t="n"/>
      <c r="W1134" s="102" t="n"/>
      <c r="X1134" s="104" t="n"/>
      <c r="Y1134" s="102" t="n"/>
      <c r="Z1134" s="104" t="n"/>
      <c r="AB1134" s="105">
        <f>IF($B1134="","",(COUNTIF(C1108:E1125,$B1134)+COUNTIF(C1108:E1125,$B1134&amp;" ~*")&gt;0)+(COUNTIF(G1108:I1125,$B1134)+COUNTIF(G1108:I1125,$B1134&amp;" ~*")&gt;0)+(COUNTIF(K1108:M1125,$B1134)+COUNTIF(K1108:M1125,$B1134&amp;" ~*")&gt;0)+(COUNTIF(O1108:Q1125,$B1134)+COUNTIF(O1108:Q1125,$B1134&amp;" ~*")&gt;0)+(COUNTIF(S1108:U1125,$B1134)+COUNTIF(S1108:U1125,$B1134&amp;" ~*")&gt;0)+(COUNTIF(W1108:W1125,$B1134)+COUNTIF(W1108:W1125,$B1134&amp;" ~*")&gt;0)+(COUNTIF(Y1108:Y1125,$B1134)+COUNTIF(Y1108:Y1125,$B1134&amp;" ~*")&gt;0))</f>
        <v/>
      </c>
      <c r="AC1134" s="38">
        <f>IF($B1134="","",(IFERROR(INDEX(Setup!$G$33:$G$40,MATCH(C1134,Setup!$B$33:$B$40,0)),0)=1)*(COUNTIF(C1108:E1125,$B1134)+COUNTIF(C1108:E1125,$B1134&amp;" ~*")&gt;0)+(IFERROR(INDEX(Setup!$G$33:$G$40,MATCH(G1134,Setup!$B$33:$B$40,0)),0)=1)*(COUNTIF(G1108:I1125,$B1134)+COUNTIF(G1108:I1125,$B1134&amp;" ~*")&gt;0)+(IFERROR(INDEX(Setup!$G$33:$G$40,MATCH(K1134,Setup!$B$33:$B$40,0)),0)=1)*(COUNTIF(K1108:M1125,$B1134)+COUNTIF(K1108:M1125,$B1134&amp;" ~*")&gt;0)+(IFERROR(INDEX(Setup!$G$33:$G$40,MATCH(O1134,Setup!$B$33:$B$40,0)),0)=1)*(COUNTIF(O1108:Q1125,$B1134)+COUNTIF(O1108:Q1125,$B1134&amp;" ~*")&gt;0)+(IFERROR(INDEX(Setup!$G$33:$G$40,MATCH(S1134,Setup!$B$33:$B$40,0)),0)=1)*(COUNTIF(S1108:U1125,$B1134)+COUNTIF(S1108:U1125,$B1134&amp;" ~*")&gt;0)+(IFERROR(INDEX(Setup!$G$33:$G$40,MATCH(W1134,Setup!$B$33:$B$40,0)),0)=1)*(COUNTIF(W1108:W1125,$B1134)+COUNTIF(W1108:W1125,$B1134&amp;" ~*")&gt;0)+(IFERROR(INDEX(Setup!$G$33:$G$40,MATCH(Y1134,Setup!$B$33:$B$40,0)),0)=1)*(COUNTIF(Y1108:Y1125,$B1134)+COUNTIF(Y1108:Y1125,$B1134&amp;" ~*")&gt;0))</f>
        <v/>
      </c>
    </row>
    <row r="1135" ht="15" customHeight="1">
      <c r="A1135" t="n">
        <v>23</v>
      </c>
      <c r="B1135" s="35">
        <f>IF(Setup!$B$14="","",Setup!$B$14)</f>
        <v/>
      </c>
      <c r="C1135" s="98" t="n"/>
      <c r="D1135" s="99" t="n"/>
      <c r="E1135" s="99" t="n"/>
      <c r="F1135" s="100" t="n"/>
      <c r="G1135" s="98" t="n"/>
      <c r="H1135" s="99" t="n"/>
      <c r="I1135" s="99" t="n"/>
      <c r="J1135" s="100" t="n"/>
      <c r="K1135" s="98" t="n"/>
      <c r="L1135" s="99" t="n"/>
      <c r="M1135" s="99" t="n"/>
      <c r="N1135" s="100" t="n"/>
      <c r="O1135" s="98" t="n"/>
      <c r="P1135" s="99" t="n"/>
      <c r="Q1135" s="99" t="n"/>
      <c r="R1135" s="100" t="n"/>
      <c r="S1135" s="98" t="n"/>
      <c r="T1135" s="99" t="n"/>
      <c r="U1135" s="99" t="n"/>
      <c r="V1135" s="100" t="n"/>
      <c r="W1135" s="98" t="n"/>
      <c r="X1135" s="100" t="n"/>
      <c r="Y1135" s="98" t="n"/>
      <c r="Z1135" s="100" t="n"/>
      <c r="AB1135" s="101">
        <f>IF($B1135="","",(COUNTIF(C1108:E1125,$B1135)+COUNTIF(C1108:E1125,$B1135&amp;" ~*")&gt;0)+(COUNTIF(G1108:I1125,$B1135)+COUNTIF(G1108:I1125,$B1135&amp;" ~*")&gt;0)+(COUNTIF(K1108:M1125,$B1135)+COUNTIF(K1108:M1125,$B1135&amp;" ~*")&gt;0)+(COUNTIF(O1108:Q1125,$B1135)+COUNTIF(O1108:Q1125,$B1135&amp;" ~*")&gt;0)+(COUNTIF(S1108:U1125,$B1135)+COUNTIF(S1108:U1125,$B1135&amp;" ~*")&gt;0)+(COUNTIF(W1108:W1125,$B1135)+COUNTIF(W1108:W1125,$B1135&amp;" ~*")&gt;0)+(COUNTIF(Y1108:Y1125,$B1135)+COUNTIF(Y1108:Y1125,$B1135&amp;" ~*")&gt;0))</f>
        <v/>
      </c>
      <c r="AC1135" s="36">
        <f>IF($B1135="","",(IFERROR(INDEX(Setup!$G$33:$G$40,MATCH(C1135,Setup!$B$33:$B$40,0)),0)=1)*(COUNTIF(C1108:E1125,$B1135)+COUNTIF(C1108:E1125,$B1135&amp;" ~*")&gt;0)+(IFERROR(INDEX(Setup!$G$33:$G$40,MATCH(G1135,Setup!$B$33:$B$40,0)),0)=1)*(COUNTIF(G1108:I1125,$B1135)+COUNTIF(G1108:I1125,$B1135&amp;" ~*")&gt;0)+(IFERROR(INDEX(Setup!$G$33:$G$40,MATCH(K1135,Setup!$B$33:$B$40,0)),0)=1)*(COUNTIF(K1108:M1125,$B1135)+COUNTIF(K1108:M1125,$B1135&amp;" ~*")&gt;0)+(IFERROR(INDEX(Setup!$G$33:$G$40,MATCH(O1135,Setup!$B$33:$B$40,0)),0)=1)*(COUNTIF(O1108:Q1125,$B1135)+COUNTIF(O1108:Q1125,$B1135&amp;" ~*")&gt;0)+(IFERROR(INDEX(Setup!$G$33:$G$40,MATCH(S1135,Setup!$B$33:$B$40,0)),0)=1)*(COUNTIF(S1108:U1125,$B1135)+COUNTIF(S1108:U1125,$B1135&amp;" ~*")&gt;0)+(IFERROR(INDEX(Setup!$G$33:$G$40,MATCH(W1135,Setup!$B$33:$B$40,0)),0)=1)*(COUNTIF(W1108:W1125,$B1135)+COUNTIF(W1108:W1125,$B1135&amp;" ~*")&gt;0)+(IFERROR(INDEX(Setup!$G$33:$G$40,MATCH(Y1135,Setup!$B$33:$B$40,0)),0)=1)*(COUNTIF(Y1108:Y1125,$B1135)+COUNTIF(Y1108:Y1125,$B1135&amp;" ~*")&gt;0))</f>
        <v/>
      </c>
    </row>
    <row r="1136" ht="15" customHeight="1">
      <c r="A1136" t="n">
        <v>23</v>
      </c>
      <c r="B1136" s="37">
        <f>IF(Setup!$B$15="","",Setup!$B$15)</f>
        <v/>
      </c>
      <c r="C1136" s="102" t="n"/>
      <c r="D1136" s="103" t="n"/>
      <c r="E1136" s="103" t="n"/>
      <c r="F1136" s="104" t="n"/>
      <c r="G1136" s="102" t="n"/>
      <c r="H1136" s="103" t="n"/>
      <c r="I1136" s="103" t="n"/>
      <c r="J1136" s="104" t="n"/>
      <c r="K1136" s="102" t="n"/>
      <c r="L1136" s="103" t="n"/>
      <c r="M1136" s="103" t="n"/>
      <c r="N1136" s="104" t="n"/>
      <c r="O1136" s="102" t="n"/>
      <c r="P1136" s="103" t="n"/>
      <c r="Q1136" s="103" t="n"/>
      <c r="R1136" s="104" t="n"/>
      <c r="S1136" s="102" t="n"/>
      <c r="T1136" s="103" t="n"/>
      <c r="U1136" s="103" t="n"/>
      <c r="V1136" s="104" t="n"/>
      <c r="W1136" s="102" t="n"/>
      <c r="X1136" s="104" t="n"/>
      <c r="Y1136" s="102" t="n"/>
      <c r="Z1136" s="104" t="n"/>
      <c r="AB1136" s="105">
        <f>IF($B1136="","",(COUNTIF(C1108:E1125,$B1136)+COUNTIF(C1108:E1125,$B1136&amp;" ~*")&gt;0)+(COUNTIF(G1108:I1125,$B1136)+COUNTIF(G1108:I1125,$B1136&amp;" ~*")&gt;0)+(COUNTIF(K1108:M1125,$B1136)+COUNTIF(K1108:M1125,$B1136&amp;" ~*")&gt;0)+(COUNTIF(O1108:Q1125,$B1136)+COUNTIF(O1108:Q1125,$B1136&amp;" ~*")&gt;0)+(COUNTIF(S1108:U1125,$B1136)+COUNTIF(S1108:U1125,$B1136&amp;" ~*")&gt;0)+(COUNTIF(W1108:W1125,$B1136)+COUNTIF(W1108:W1125,$B1136&amp;" ~*")&gt;0)+(COUNTIF(Y1108:Y1125,$B1136)+COUNTIF(Y1108:Y1125,$B1136&amp;" ~*")&gt;0))</f>
        <v/>
      </c>
      <c r="AC1136" s="38">
        <f>IF($B1136="","",(IFERROR(INDEX(Setup!$G$33:$G$40,MATCH(C1136,Setup!$B$33:$B$40,0)),0)=1)*(COUNTIF(C1108:E1125,$B1136)+COUNTIF(C1108:E1125,$B1136&amp;" ~*")&gt;0)+(IFERROR(INDEX(Setup!$G$33:$G$40,MATCH(G1136,Setup!$B$33:$B$40,0)),0)=1)*(COUNTIF(G1108:I1125,$B1136)+COUNTIF(G1108:I1125,$B1136&amp;" ~*")&gt;0)+(IFERROR(INDEX(Setup!$G$33:$G$40,MATCH(K1136,Setup!$B$33:$B$40,0)),0)=1)*(COUNTIF(K1108:M1125,$B1136)+COUNTIF(K1108:M1125,$B1136&amp;" ~*")&gt;0)+(IFERROR(INDEX(Setup!$G$33:$G$40,MATCH(O1136,Setup!$B$33:$B$40,0)),0)=1)*(COUNTIF(O1108:Q1125,$B1136)+COUNTIF(O1108:Q1125,$B1136&amp;" ~*")&gt;0)+(IFERROR(INDEX(Setup!$G$33:$G$40,MATCH(S1136,Setup!$B$33:$B$40,0)),0)=1)*(COUNTIF(S1108:U1125,$B1136)+COUNTIF(S1108:U1125,$B1136&amp;" ~*")&gt;0)+(IFERROR(INDEX(Setup!$G$33:$G$40,MATCH(W1136,Setup!$B$33:$B$40,0)),0)=1)*(COUNTIF(W1108:W1125,$B1136)+COUNTIF(W1108:W1125,$B1136&amp;" ~*")&gt;0)+(IFERROR(INDEX(Setup!$G$33:$G$40,MATCH(Y1136,Setup!$B$33:$B$40,0)),0)=1)*(COUNTIF(Y1108:Y1125,$B1136)+COUNTIF(Y1108:Y1125,$B1136&amp;" ~*")&gt;0))</f>
        <v/>
      </c>
    </row>
    <row r="1137" ht="15" customHeight="1">
      <c r="A1137" t="n">
        <v>23</v>
      </c>
      <c r="B1137" s="35">
        <f>IF(Setup!$B$16="","",Setup!$B$16)</f>
        <v/>
      </c>
      <c r="C1137" s="98" t="n"/>
      <c r="D1137" s="99" t="n"/>
      <c r="E1137" s="99" t="n"/>
      <c r="F1137" s="100" t="n"/>
      <c r="G1137" s="98" t="n"/>
      <c r="H1137" s="99" t="n"/>
      <c r="I1137" s="99" t="n"/>
      <c r="J1137" s="100" t="n"/>
      <c r="K1137" s="98" t="n"/>
      <c r="L1137" s="99" t="n"/>
      <c r="M1137" s="99" t="n"/>
      <c r="N1137" s="100" t="n"/>
      <c r="O1137" s="98" t="n"/>
      <c r="P1137" s="99" t="n"/>
      <c r="Q1137" s="99" t="n"/>
      <c r="R1137" s="100" t="n"/>
      <c r="S1137" s="98" t="n"/>
      <c r="T1137" s="99" t="n"/>
      <c r="U1137" s="99" t="n"/>
      <c r="V1137" s="100" t="n"/>
      <c r="W1137" s="98" t="n"/>
      <c r="X1137" s="100" t="n"/>
      <c r="Y1137" s="98" t="n"/>
      <c r="Z1137" s="100" t="n"/>
      <c r="AB1137" s="101">
        <f>IF($B1137="","",(COUNTIF(C1108:E1125,$B1137)+COUNTIF(C1108:E1125,$B1137&amp;" ~*")&gt;0)+(COUNTIF(G1108:I1125,$B1137)+COUNTIF(G1108:I1125,$B1137&amp;" ~*")&gt;0)+(COUNTIF(K1108:M1125,$B1137)+COUNTIF(K1108:M1125,$B1137&amp;" ~*")&gt;0)+(COUNTIF(O1108:Q1125,$B1137)+COUNTIF(O1108:Q1125,$B1137&amp;" ~*")&gt;0)+(COUNTIF(S1108:U1125,$B1137)+COUNTIF(S1108:U1125,$B1137&amp;" ~*")&gt;0)+(COUNTIF(W1108:W1125,$B1137)+COUNTIF(W1108:W1125,$B1137&amp;" ~*")&gt;0)+(COUNTIF(Y1108:Y1125,$B1137)+COUNTIF(Y1108:Y1125,$B1137&amp;" ~*")&gt;0))</f>
        <v/>
      </c>
      <c r="AC1137" s="36">
        <f>IF($B1137="","",(IFERROR(INDEX(Setup!$G$33:$G$40,MATCH(C1137,Setup!$B$33:$B$40,0)),0)=1)*(COUNTIF(C1108:E1125,$B1137)+COUNTIF(C1108:E1125,$B1137&amp;" ~*")&gt;0)+(IFERROR(INDEX(Setup!$G$33:$G$40,MATCH(G1137,Setup!$B$33:$B$40,0)),0)=1)*(COUNTIF(G1108:I1125,$B1137)+COUNTIF(G1108:I1125,$B1137&amp;" ~*")&gt;0)+(IFERROR(INDEX(Setup!$G$33:$G$40,MATCH(K1137,Setup!$B$33:$B$40,0)),0)=1)*(COUNTIF(K1108:M1125,$B1137)+COUNTIF(K1108:M1125,$B1137&amp;" ~*")&gt;0)+(IFERROR(INDEX(Setup!$G$33:$G$40,MATCH(O1137,Setup!$B$33:$B$40,0)),0)=1)*(COUNTIF(O1108:Q1125,$B1137)+COUNTIF(O1108:Q1125,$B1137&amp;" ~*")&gt;0)+(IFERROR(INDEX(Setup!$G$33:$G$40,MATCH(S1137,Setup!$B$33:$B$40,0)),0)=1)*(COUNTIF(S1108:U1125,$B1137)+COUNTIF(S1108:U1125,$B1137&amp;" ~*")&gt;0)+(IFERROR(INDEX(Setup!$G$33:$G$40,MATCH(W1137,Setup!$B$33:$B$40,0)),0)=1)*(COUNTIF(W1108:W1125,$B1137)+COUNTIF(W1108:W1125,$B1137&amp;" ~*")&gt;0)+(IFERROR(INDEX(Setup!$G$33:$G$40,MATCH(Y1137,Setup!$B$33:$B$40,0)),0)=1)*(COUNTIF(Y1108:Y1125,$B1137)+COUNTIF(Y1108:Y1125,$B1137&amp;" ~*")&gt;0))</f>
        <v/>
      </c>
    </row>
    <row r="1138" ht="15" customHeight="1">
      <c r="A1138" t="n">
        <v>23</v>
      </c>
      <c r="B1138" s="37">
        <f>IF(Setup!$B$17="","",Setup!$B$17)</f>
        <v/>
      </c>
      <c r="C1138" s="102" t="n"/>
      <c r="D1138" s="103" t="n"/>
      <c r="E1138" s="103" t="n"/>
      <c r="F1138" s="104" t="n"/>
      <c r="G1138" s="102" t="n"/>
      <c r="H1138" s="103" t="n"/>
      <c r="I1138" s="103" t="n"/>
      <c r="J1138" s="104" t="n"/>
      <c r="K1138" s="102" t="n"/>
      <c r="L1138" s="103" t="n"/>
      <c r="M1138" s="103" t="n"/>
      <c r="N1138" s="104" t="n"/>
      <c r="O1138" s="102" t="n"/>
      <c r="P1138" s="103" t="n"/>
      <c r="Q1138" s="103" t="n"/>
      <c r="R1138" s="104" t="n"/>
      <c r="S1138" s="102" t="n"/>
      <c r="T1138" s="103" t="n"/>
      <c r="U1138" s="103" t="n"/>
      <c r="V1138" s="104" t="n"/>
      <c r="W1138" s="102" t="n"/>
      <c r="X1138" s="104" t="n"/>
      <c r="Y1138" s="102" t="n"/>
      <c r="Z1138" s="104" t="n"/>
      <c r="AB1138" s="105">
        <f>IF($B1138="","",(COUNTIF(C1108:E1125,$B1138)+COUNTIF(C1108:E1125,$B1138&amp;" ~*")&gt;0)+(COUNTIF(G1108:I1125,$B1138)+COUNTIF(G1108:I1125,$B1138&amp;" ~*")&gt;0)+(COUNTIF(K1108:M1125,$B1138)+COUNTIF(K1108:M1125,$B1138&amp;" ~*")&gt;0)+(COUNTIF(O1108:Q1125,$B1138)+COUNTIF(O1108:Q1125,$B1138&amp;" ~*")&gt;0)+(COUNTIF(S1108:U1125,$B1138)+COUNTIF(S1108:U1125,$B1138&amp;" ~*")&gt;0)+(COUNTIF(W1108:W1125,$B1138)+COUNTIF(W1108:W1125,$B1138&amp;" ~*")&gt;0)+(COUNTIF(Y1108:Y1125,$B1138)+COUNTIF(Y1108:Y1125,$B1138&amp;" ~*")&gt;0))</f>
        <v/>
      </c>
      <c r="AC1138" s="38">
        <f>IF($B1138="","",(IFERROR(INDEX(Setup!$G$33:$G$40,MATCH(C1138,Setup!$B$33:$B$40,0)),0)=1)*(COUNTIF(C1108:E1125,$B1138)+COUNTIF(C1108:E1125,$B1138&amp;" ~*")&gt;0)+(IFERROR(INDEX(Setup!$G$33:$G$40,MATCH(G1138,Setup!$B$33:$B$40,0)),0)=1)*(COUNTIF(G1108:I1125,$B1138)+COUNTIF(G1108:I1125,$B1138&amp;" ~*")&gt;0)+(IFERROR(INDEX(Setup!$G$33:$G$40,MATCH(K1138,Setup!$B$33:$B$40,0)),0)=1)*(COUNTIF(K1108:M1125,$B1138)+COUNTIF(K1108:M1125,$B1138&amp;" ~*")&gt;0)+(IFERROR(INDEX(Setup!$G$33:$G$40,MATCH(O1138,Setup!$B$33:$B$40,0)),0)=1)*(COUNTIF(O1108:Q1125,$B1138)+COUNTIF(O1108:Q1125,$B1138&amp;" ~*")&gt;0)+(IFERROR(INDEX(Setup!$G$33:$G$40,MATCH(S1138,Setup!$B$33:$B$40,0)),0)=1)*(COUNTIF(S1108:U1125,$B1138)+COUNTIF(S1108:U1125,$B1138&amp;" ~*")&gt;0)+(IFERROR(INDEX(Setup!$G$33:$G$40,MATCH(W1138,Setup!$B$33:$B$40,0)),0)=1)*(COUNTIF(W1108:W1125,$B1138)+COUNTIF(W1108:W1125,$B1138&amp;" ~*")&gt;0)+(IFERROR(INDEX(Setup!$G$33:$G$40,MATCH(Y1138,Setup!$B$33:$B$40,0)),0)=1)*(COUNTIF(Y1108:Y1125,$B1138)+COUNTIF(Y1108:Y1125,$B1138&amp;" ~*")&gt;0))</f>
        <v/>
      </c>
    </row>
    <row r="1139" ht="15" customHeight="1">
      <c r="A1139" t="n">
        <v>23</v>
      </c>
      <c r="B1139" s="35">
        <f>IF(Setup!$B$18="","",Setup!$B$18)</f>
        <v/>
      </c>
      <c r="C1139" s="98" t="n"/>
      <c r="D1139" s="99" t="n"/>
      <c r="E1139" s="99" t="n"/>
      <c r="F1139" s="100" t="n"/>
      <c r="G1139" s="98" t="n"/>
      <c r="H1139" s="99" t="n"/>
      <c r="I1139" s="99" t="n"/>
      <c r="J1139" s="100" t="n"/>
      <c r="K1139" s="98" t="n"/>
      <c r="L1139" s="99" t="n"/>
      <c r="M1139" s="99" t="n"/>
      <c r="N1139" s="100" t="n"/>
      <c r="O1139" s="98" t="n"/>
      <c r="P1139" s="99" t="n"/>
      <c r="Q1139" s="99" t="n"/>
      <c r="R1139" s="100" t="n"/>
      <c r="S1139" s="98" t="n"/>
      <c r="T1139" s="99" t="n"/>
      <c r="U1139" s="99" t="n"/>
      <c r="V1139" s="100" t="n"/>
      <c r="W1139" s="98" t="n"/>
      <c r="X1139" s="100" t="n"/>
      <c r="Y1139" s="98" t="n"/>
      <c r="Z1139" s="100" t="n"/>
      <c r="AB1139" s="101">
        <f>IF($B1139="","",(COUNTIF(C1108:E1125,$B1139)+COUNTIF(C1108:E1125,$B1139&amp;" ~*")&gt;0)+(COUNTIF(G1108:I1125,$B1139)+COUNTIF(G1108:I1125,$B1139&amp;" ~*")&gt;0)+(COUNTIF(K1108:M1125,$B1139)+COUNTIF(K1108:M1125,$B1139&amp;" ~*")&gt;0)+(COUNTIF(O1108:Q1125,$B1139)+COUNTIF(O1108:Q1125,$B1139&amp;" ~*")&gt;0)+(COUNTIF(S1108:U1125,$B1139)+COUNTIF(S1108:U1125,$B1139&amp;" ~*")&gt;0)+(COUNTIF(W1108:W1125,$B1139)+COUNTIF(W1108:W1125,$B1139&amp;" ~*")&gt;0)+(COUNTIF(Y1108:Y1125,$B1139)+COUNTIF(Y1108:Y1125,$B1139&amp;" ~*")&gt;0))</f>
        <v/>
      </c>
      <c r="AC1139" s="36">
        <f>IF($B1139="","",(IFERROR(INDEX(Setup!$G$33:$G$40,MATCH(C1139,Setup!$B$33:$B$40,0)),0)=1)*(COUNTIF(C1108:E1125,$B1139)+COUNTIF(C1108:E1125,$B1139&amp;" ~*")&gt;0)+(IFERROR(INDEX(Setup!$G$33:$G$40,MATCH(G1139,Setup!$B$33:$B$40,0)),0)=1)*(COUNTIF(G1108:I1125,$B1139)+COUNTIF(G1108:I1125,$B1139&amp;" ~*")&gt;0)+(IFERROR(INDEX(Setup!$G$33:$G$40,MATCH(K1139,Setup!$B$33:$B$40,0)),0)=1)*(COUNTIF(K1108:M1125,$B1139)+COUNTIF(K1108:M1125,$B1139&amp;" ~*")&gt;0)+(IFERROR(INDEX(Setup!$G$33:$G$40,MATCH(O1139,Setup!$B$33:$B$40,0)),0)=1)*(COUNTIF(O1108:Q1125,$B1139)+COUNTIF(O1108:Q1125,$B1139&amp;" ~*")&gt;0)+(IFERROR(INDEX(Setup!$G$33:$G$40,MATCH(S1139,Setup!$B$33:$B$40,0)),0)=1)*(COUNTIF(S1108:U1125,$B1139)+COUNTIF(S1108:U1125,$B1139&amp;" ~*")&gt;0)+(IFERROR(INDEX(Setup!$G$33:$G$40,MATCH(W1139,Setup!$B$33:$B$40,0)),0)=1)*(COUNTIF(W1108:W1125,$B1139)+COUNTIF(W1108:W1125,$B1139&amp;" ~*")&gt;0)+(IFERROR(INDEX(Setup!$G$33:$G$40,MATCH(Y1139,Setup!$B$33:$B$40,0)),0)=1)*(COUNTIF(Y1108:Y1125,$B1139)+COUNTIF(Y1108:Y1125,$B1139&amp;" ~*")&gt;0))</f>
        <v/>
      </c>
    </row>
    <row r="1140" ht="15" customHeight="1">
      <c r="A1140" t="n">
        <v>23</v>
      </c>
      <c r="B1140" s="37">
        <f>IF(Setup!$B$19="","",Setup!$B$19)</f>
        <v/>
      </c>
      <c r="C1140" s="102" t="n"/>
      <c r="D1140" s="103" t="n"/>
      <c r="E1140" s="103" t="n"/>
      <c r="F1140" s="104" t="n"/>
      <c r="G1140" s="102" t="n"/>
      <c r="H1140" s="103" t="n"/>
      <c r="I1140" s="103" t="n"/>
      <c r="J1140" s="104" t="n"/>
      <c r="K1140" s="102" t="n"/>
      <c r="L1140" s="103" t="n"/>
      <c r="M1140" s="103" t="n"/>
      <c r="N1140" s="104" t="n"/>
      <c r="O1140" s="102" t="n"/>
      <c r="P1140" s="103" t="n"/>
      <c r="Q1140" s="103" t="n"/>
      <c r="R1140" s="104" t="n"/>
      <c r="S1140" s="102" t="n"/>
      <c r="T1140" s="103" t="n"/>
      <c r="U1140" s="103" t="n"/>
      <c r="V1140" s="104" t="n"/>
      <c r="W1140" s="102" t="n"/>
      <c r="X1140" s="104" t="n"/>
      <c r="Y1140" s="102" t="n"/>
      <c r="Z1140" s="104" t="n"/>
      <c r="AB1140" s="105">
        <f>IF($B1140="","",(COUNTIF(C1108:E1125,$B1140)+COUNTIF(C1108:E1125,$B1140&amp;" ~*")&gt;0)+(COUNTIF(G1108:I1125,$B1140)+COUNTIF(G1108:I1125,$B1140&amp;" ~*")&gt;0)+(COUNTIF(K1108:M1125,$B1140)+COUNTIF(K1108:M1125,$B1140&amp;" ~*")&gt;0)+(COUNTIF(O1108:Q1125,$B1140)+COUNTIF(O1108:Q1125,$B1140&amp;" ~*")&gt;0)+(COUNTIF(S1108:U1125,$B1140)+COUNTIF(S1108:U1125,$B1140&amp;" ~*")&gt;0)+(COUNTIF(W1108:W1125,$B1140)+COUNTIF(W1108:W1125,$B1140&amp;" ~*")&gt;0)+(COUNTIF(Y1108:Y1125,$B1140)+COUNTIF(Y1108:Y1125,$B1140&amp;" ~*")&gt;0))</f>
        <v/>
      </c>
      <c r="AC1140" s="38">
        <f>IF($B1140="","",(IFERROR(INDEX(Setup!$G$33:$G$40,MATCH(C1140,Setup!$B$33:$B$40,0)),0)=1)*(COUNTIF(C1108:E1125,$B1140)+COUNTIF(C1108:E1125,$B1140&amp;" ~*")&gt;0)+(IFERROR(INDEX(Setup!$G$33:$G$40,MATCH(G1140,Setup!$B$33:$B$40,0)),0)=1)*(COUNTIF(G1108:I1125,$B1140)+COUNTIF(G1108:I1125,$B1140&amp;" ~*")&gt;0)+(IFERROR(INDEX(Setup!$G$33:$G$40,MATCH(K1140,Setup!$B$33:$B$40,0)),0)=1)*(COUNTIF(K1108:M1125,$B1140)+COUNTIF(K1108:M1125,$B1140&amp;" ~*")&gt;0)+(IFERROR(INDEX(Setup!$G$33:$G$40,MATCH(O1140,Setup!$B$33:$B$40,0)),0)=1)*(COUNTIF(O1108:Q1125,$B1140)+COUNTIF(O1108:Q1125,$B1140&amp;" ~*")&gt;0)+(IFERROR(INDEX(Setup!$G$33:$G$40,MATCH(S1140,Setup!$B$33:$B$40,0)),0)=1)*(COUNTIF(S1108:U1125,$B1140)+COUNTIF(S1108:U1125,$B1140&amp;" ~*")&gt;0)+(IFERROR(INDEX(Setup!$G$33:$G$40,MATCH(W1140,Setup!$B$33:$B$40,0)),0)=1)*(COUNTIF(W1108:W1125,$B1140)+COUNTIF(W1108:W1125,$B1140&amp;" ~*")&gt;0)+(IFERROR(INDEX(Setup!$G$33:$G$40,MATCH(Y1140,Setup!$B$33:$B$40,0)),0)=1)*(COUNTIF(Y1108:Y1125,$B1140)+COUNTIF(Y1108:Y1125,$B1140&amp;" ~*")&gt;0))</f>
        <v/>
      </c>
    </row>
    <row r="1141" ht="15" customHeight="1">
      <c r="A1141" t="n">
        <v>23</v>
      </c>
      <c r="B1141" s="35">
        <f>IF(Setup!$B$20="","",Setup!$B$20)</f>
        <v/>
      </c>
      <c r="C1141" s="98" t="n"/>
      <c r="D1141" s="99" t="n"/>
      <c r="E1141" s="99" t="n"/>
      <c r="F1141" s="100" t="n"/>
      <c r="G1141" s="98" t="n"/>
      <c r="H1141" s="99" t="n"/>
      <c r="I1141" s="99" t="n"/>
      <c r="J1141" s="100" t="n"/>
      <c r="K1141" s="98" t="n"/>
      <c r="L1141" s="99" t="n"/>
      <c r="M1141" s="99" t="n"/>
      <c r="N1141" s="100" t="n"/>
      <c r="O1141" s="98" t="n"/>
      <c r="P1141" s="99" t="n"/>
      <c r="Q1141" s="99" t="n"/>
      <c r="R1141" s="100" t="n"/>
      <c r="S1141" s="98" t="n"/>
      <c r="T1141" s="99" t="n"/>
      <c r="U1141" s="99" t="n"/>
      <c r="V1141" s="100" t="n"/>
      <c r="W1141" s="98" t="n"/>
      <c r="X1141" s="100" t="n"/>
      <c r="Y1141" s="98" t="n"/>
      <c r="Z1141" s="100" t="n"/>
      <c r="AB1141" s="101">
        <f>IF($B1141="","",(COUNTIF(C1108:E1125,$B1141)+COUNTIF(C1108:E1125,$B1141&amp;" ~*")&gt;0)+(COUNTIF(G1108:I1125,$B1141)+COUNTIF(G1108:I1125,$B1141&amp;" ~*")&gt;0)+(COUNTIF(K1108:M1125,$B1141)+COUNTIF(K1108:M1125,$B1141&amp;" ~*")&gt;0)+(COUNTIF(O1108:Q1125,$B1141)+COUNTIF(O1108:Q1125,$B1141&amp;" ~*")&gt;0)+(COUNTIF(S1108:U1125,$B1141)+COUNTIF(S1108:U1125,$B1141&amp;" ~*")&gt;0)+(COUNTIF(W1108:W1125,$B1141)+COUNTIF(W1108:W1125,$B1141&amp;" ~*")&gt;0)+(COUNTIF(Y1108:Y1125,$B1141)+COUNTIF(Y1108:Y1125,$B1141&amp;" ~*")&gt;0))</f>
        <v/>
      </c>
      <c r="AC1141" s="36">
        <f>IF($B1141="","",(IFERROR(INDEX(Setup!$G$33:$G$40,MATCH(C1141,Setup!$B$33:$B$40,0)),0)=1)*(COUNTIF(C1108:E1125,$B1141)+COUNTIF(C1108:E1125,$B1141&amp;" ~*")&gt;0)+(IFERROR(INDEX(Setup!$G$33:$G$40,MATCH(G1141,Setup!$B$33:$B$40,0)),0)=1)*(COUNTIF(G1108:I1125,$B1141)+COUNTIF(G1108:I1125,$B1141&amp;" ~*")&gt;0)+(IFERROR(INDEX(Setup!$G$33:$G$40,MATCH(K1141,Setup!$B$33:$B$40,0)),0)=1)*(COUNTIF(K1108:M1125,$B1141)+COUNTIF(K1108:M1125,$B1141&amp;" ~*")&gt;0)+(IFERROR(INDEX(Setup!$G$33:$G$40,MATCH(O1141,Setup!$B$33:$B$40,0)),0)=1)*(COUNTIF(O1108:Q1125,$B1141)+COUNTIF(O1108:Q1125,$B1141&amp;" ~*")&gt;0)+(IFERROR(INDEX(Setup!$G$33:$G$40,MATCH(S1141,Setup!$B$33:$B$40,0)),0)=1)*(COUNTIF(S1108:U1125,$B1141)+COUNTIF(S1108:U1125,$B1141&amp;" ~*")&gt;0)+(IFERROR(INDEX(Setup!$G$33:$G$40,MATCH(W1141,Setup!$B$33:$B$40,0)),0)=1)*(COUNTIF(W1108:W1125,$B1141)+COUNTIF(W1108:W1125,$B1141&amp;" ~*")&gt;0)+(IFERROR(INDEX(Setup!$G$33:$G$40,MATCH(Y1141,Setup!$B$33:$B$40,0)),0)=1)*(COUNTIF(Y1108:Y1125,$B1141)+COUNTIF(Y1108:Y1125,$B1141&amp;" ~*")&gt;0))</f>
        <v/>
      </c>
    </row>
    <row r="1142" ht="15" customHeight="1">
      <c r="A1142" t="n">
        <v>23</v>
      </c>
      <c r="B1142" s="37">
        <f>IF(Setup!$B$21="","",Setup!$B$21)</f>
        <v/>
      </c>
      <c r="C1142" s="102" t="n"/>
      <c r="D1142" s="103" t="n"/>
      <c r="E1142" s="103" t="n"/>
      <c r="F1142" s="104" t="n"/>
      <c r="G1142" s="102" t="n"/>
      <c r="H1142" s="103" t="n"/>
      <c r="I1142" s="103" t="n"/>
      <c r="J1142" s="104" t="n"/>
      <c r="K1142" s="102" t="n"/>
      <c r="L1142" s="103" t="n"/>
      <c r="M1142" s="103" t="n"/>
      <c r="N1142" s="104" t="n"/>
      <c r="O1142" s="102" t="n"/>
      <c r="P1142" s="103" t="n"/>
      <c r="Q1142" s="103" t="n"/>
      <c r="R1142" s="104" t="n"/>
      <c r="S1142" s="102" t="n"/>
      <c r="T1142" s="103" t="n"/>
      <c r="U1142" s="103" t="n"/>
      <c r="V1142" s="104" t="n"/>
      <c r="W1142" s="102" t="n"/>
      <c r="X1142" s="104" t="n"/>
      <c r="Y1142" s="102" t="n"/>
      <c r="Z1142" s="104" t="n"/>
      <c r="AB1142" s="105">
        <f>IF($B1142="","",(COUNTIF(C1108:E1125,$B1142)+COUNTIF(C1108:E1125,$B1142&amp;" ~*")&gt;0)+(COUNTIF(G1108:I1125,$B1142)+COUNTIF(G1108:I1125,$B1142&amp;" ~*")&gt;0)+(COUNTIF(K1108:M1125,$B1142)+COUNTIF(K1108:M1125,$B1142&amp;" ~*")&gt;0)+(COUNTIF(O1108:Q1125,$B1142)+COUNTIF(O1108:Q1125,$B1142&amp;" ~*")&gt;0)+(COUNTIF(S1108:U1125,$B1142)+COUNTIF(S1108:U1125,$B1142&amp;" ~*")&gt;0)+(COUNTIF(W1108:W1125,$B1142)+COUNTIF(W1108:W1125,$B1142&amp;" ~*")&gt;0)+(COUNTIF(Y1108:Y1125,$B1142)+COUNTIF(Y1108:Y1125,$B1142&amp;" ~*")&gt;0))</f>
        <v/>
      </c>
      <c r="AC1142" s="38">
        <f>IF($B1142="","",(IFERROR(INDEX(Setup!$G$33:$G$40,MATCH(C1142,Setup!$B$33:$B$40,0)),0)=1)*(COUNTIF(C1108:E1125,$B1142)+COUNTIF(C1108:E1125,$B1142&amp;" ~*")&gt;0)+(IFERROR(INDEX(Setup!$G$33:$G$40,MATCH(G1142,Setup!$B$33:$B$40,0)),0)=1)*(COUNTIF(G1108:I1125,$B1142)+COUNTIF(G1108:I1125,$B1142&amp;" ~*")&gt;0)+(IFERROR(INDEX(Setup!$G$33:$G$40,MATCH(K1142,Setup!$B$33:$B$40,0)),0)=1)*(COUNTIF(K1108:M1125,$B1142)+COUNTIF(K1108:M1125,$B1142&amp;" ~*")&gt;0)+(IFERROR(INDEX(Setup!$G$33:$G$40,MATCH(O1142,Setup!$B$33:$B$40,0)),0)=1)*(COUNTIF(O1108:Q1125,$B1142)+COUNTIF(O1108:Q1125,$B1142&amp;" ~*")&gt;0)+(IFERROR(INDEX(Setup!$G$33:$G$40,MATCH(S1142,Setup!$B$33:$B$40,0)),0)=1)*(COUNTIF(S1108:U1125,$B1142)+COUNTIF(S1108:U1125,$B1142&amp;" ~*")&gt;0)+(IFERROR(INDEX(Setup!$G$33:$G$40,MATCH(W1142,Setup!$B$33:$B$40,0)),0)=1)*(COUNTIF(W1108:W1125,$B1142)+COUNTIF(W1108:W1125,$B1142&amp;" ~*")&gt;0)+(IFERROR(INDEX(Setup!$G$33:$G$40,MATCH(Y1142,Setup!$B$33:$B$40,0)),0)=1)*(COUNTIF(Y1108:Y1125,$B1142)+COUNTIF(Y1108:Y1125,$B1142&amp;" ~*")&gt;0))</f>
        <v/>
      </c>
    </row>
    <row r="1143" ht="15" customHeight="1">
      <c r="A1143" t="n">
        <v>23</v>
      </c>
      <c r="B1143" s="35">
        <f>IF(Setup!$B$22="","",Setup!$B$22)</f>
        <v/>
      </c>
      <c r="C1143" s="98" t="n"/>
      <c r="D1143" s="99" t="n"/>
      <c r="E1143" s="99" t="n"/>
      <c r="F1143" s="100" t="n"/>
      <c r="G1143" s="98" t="n"/>
      <c r="H1143" s="99" t="n"/>
      <c r="I1143" s="99" t="n"/>
      <c r="J1143" s="100" t="n"/>
      <c r="K1143" s="98" t="n"/>
      <c r="L1143" s="99" t="n"/>
      <c r="M1143" s="99" t="n"/>
      <c r="N1143" s="100" t="n"/>
      <c r="O1143" s="98" t="n"/>
      <c r="P1143" s="99" t="n"/>
      <c r="Q1143" s="99" t="n"/>
      <c r="R1143" s="100" t="n"/>
      <c r="S1143" s="98" t="n"/>
      <c r="T1143" s="99" t="n"/>
      <c r="U1143" s="99" t="n"/>
      <c r="V1143" s="100" t="n"/>
      <c r="W1143" s="98" t="n"/>
      <c r="X1143" s="100" t="n"/>
      <c r="Y1143" s="98" t="n"/>
      <c r="Z1143" s="100" t="n"/>
      <c r="AB1143" s="101">
        <f>IF($B1143="","",(COUNTIF(C1108:E1125,$B1143)+COUNTIF(C1108:E1125,$B1143&amp;" ~*")&gt;0)+(COUNTIF(G1108:I1125,$B1143)+COUNTIF(G1108:I1125,$B1143&amp;" ~*")&gt;0)+(COUNTIF(K1108:M1125,$B1143)+COUNTIF(K1108:M1125,$B1143&amp;" ~*")&gt;0)+(COUNTIF(O1108:Q1125,$B1143)+COUNTIF(O1108:Q1125,$B1143&amp;" ~*")&gt;0)+(COUNTIF(S1108:U1125,$B1143)+COUNTIF(S1108:U1125,$B1143&amp;" ~*")&gt;0)+(COUNTIF(W1108:W1125,$B1143)+COUNTIF(W1108:W1125,$B1143&amp;" ~*")&gt;0)+(COUNTIF(Y1108:Y1125,$B1143)+COUNTIF(Y1108:Y1125,$B1143&amp;" ~*")&gt;0))</f>
        <v/>
      </c>
      <c r="AC1143" s="36">
        <f>IF($B1143="","",(IFERROR(INDEX(Setup!$G$33:$G$40,MATCH(C1143,Setup!$B$33:$B$40,0)),0)=1)*(COUNTIF(C1108:E1125,$B1143)+COUNTIF(C1108:E1125,$B1143&amp;" ~*")&gt;0)+(IFERROR(INDEX(Setup!$G$33:$G$40,MATCH(G1143,Setup!$B$33:$B$40,0)),0)=1)*(COUNTIF(G1108:I1125,$B1143)+COUNTIF(G1108:I1125,$B1143&amp;" ~*")&gt;0)+(IFERROR(INDEX(Setup!$G$33:$G$40,MATCH(K1143,Setup!$B$33:$B$40,0)),0)=1)*(COUNTIF(K1108:M1125,$B1143)+COUNTIF(K1108:M1125,$B1143&amp;" ~*")&gt;0)+(IFERROR(INDEX(Setup!$G$33:$G$40,MATCH(O1143,Setup!$B$33:$B$40,0)),0)=1)*(COUNTIF(O1108:Q1125,$B1143)+COUNTIF(O1108:Q1125,$B1143&amp;" ~*")&gt;0)+(IFERROR(INDEX(Setup!$G$33:$G$40,MATCH(S1143,Setup!$B$33:$B$40,0)),0)=1)*(COUNTIF(S1108:U1125,$B1143)+COUNTIF(S1108:U1125,$B1143&amp;" ~*")&gt;0)+(IFERROR(INDEX(Setup!$G$33:$G$40,MATCH(W1143,Setup!$B$33:$B$40,0)),0)=1)*(COUNTIF(W1108:W1125,$B1143)+COUNTIF(W1108:W1125,$B1143&amp;" ~*")&gt;0)+(IFERROR(INDEX(Setup!$G$33:$G$40,MATCH(Y1143,Setup!$B$33:$B$40,0)),0)=1)*(COUNTIF(Y1108:Y1125,$B1143)+COUNTIF(Y1108:Y1125,$B1143&amp;" ~*")&gt;0))</f>
        <v/>
      </c>
    </row>
    <row r="1144" ht="15" customHeight="1">
      <c r="A1144" t="n">
        <v>23</v>
      </c>
      <c r="B1144" s="37">
        <f>IF(Setup!$B$23="","",Setup!$B$23)</f>
        <v/>
      </c>
      <c r="C1144" s="102" t="n"/>
      <c r="D1144" s="103" t="n"/>
      <c r="E1144" s="103" t="n"/>
      <c r="F1144" s="104" t="n"/>
      <c r="G1144" s="102" t="n"/>
      <c r="H1144" s="103" t="n"/>
      <c r="I1144" s="103" t="n"/>
      <c r="J1144" s="104" t="n"/>
      <c r="K1144" s="102" t="n"/>
      <c r="L1144" s="103" t="n"/>
      <c r="M1144" s="103" t="n"/>
      <c r="N1144" s="104" t="n"/>
      <c r="O1144" s="102" t="n"/>
      <c r="P1144" s="103" t="n"/>
      <c r="Q1144" s="103" t="n"/>
      <c r="R1144" s="104" t="n"/>
      <c r="S1144" s="102" t="n"/>
      <c r="T1144" s="103" t="n"/>
      <c r="U1144" s="103" t="n"/>
      <c r="V1144" s="104" t="n"/>
      <c r="W1144" s="102" t="n"/>
      <c r="X1144" s="104" t="n"/>
      <c r="Y1144" s="102" t="n"/>
      <c r="Z1144" s="104" t="n"/>
      <c r="AB1144" s="105">
        <f>IF($B1144="","",(COUNTIF(C1108:E1125,$B1144)+COUNTIF(C1108:E1125,$B1144&amp;" ~*")&gt;0)+(COUNTIF(G1108:I1125,$B1144)+COUNTIF(G1108:I1125,$B1144&amp;" ~*")&gt;0)+(COUNTIF(K1108:M1125,$B1144)+COUNTIF(K1108:M1125,$B1144&amp;" ~*")&gt;0)+(COUNTIF(O1108:Q1125,$B1144)+COUNTIF(O1108:Q1125,$B1144&amp;" ~*")&gt;0)+(COUNTIF(S1108:U1125,$B1144)+COUNTIF(S1108:U1125,$B1144&amp;" ~*")&gt;0)+(COUNTIF(W1108:W1125,$B1144)+COUNTIF(W1108:W1125,$B1144&amp;" ~*")&gt;0)+(COUNTIF(Y1108:Y1125,$B1144)+COUNTIF(Y1108:Y1125,$B1144&amp;" ~*")&gt;0))</f>
        <v/>
      </c>
      <c r="AC1144" s="38">
        <f>IF($B1144="","",(IFERROR(INDEX(Setup!$G$33:$G$40,MATCH(C1144,Setup!$B$33:$B$40,0)),0)=1)*(COUNTIF(C1108:E1125,$B1144)+COUNTIF(C1108:E1125,$B1144&amp;" ~*")&gt;0)+(IFERROR(INDEX(Setup!$G$33:$G$40,MATCH(G1144,Setup!$B$33:$B$40,0)),0)=1)*(COUNTIF(G1108:I1125,$B1144)+COUNTIF(G1108:I1125,$B1144&amp;" ~*")&gt;0)+(IFERROR(INDEX(Setup!$G$33:$G$40,MATCH(K1144,Setup!$B$33:$B$40,0)),0)=1)*(COUNTIF(K1108:M1125,$B1144)+COUNTIF(K1108:M1125,$B1144&amp;" ~*")&gt;0)+(IFERROR(INDEX(Setup!$G$33:$G$40,MATCH(O1144,Setup!$B$33:$B$40,0)),0)=1)*(COUNTIF(O1108:Q1125,$B1144)+COUNTIF(O1108:Q1125,$B1144&amp;" ~*")&gt;0)+(IFERROR(INDEX(Setup!$G$33:$G$40,MATCH(S1144,Setup!$B$33:$B$40,0)),0)=1)*(COUNTIF(S1108:U1125,$B1144)+COUNTIF(S1108:U1125,$B1144&amp;" ~*")&gt;0)+(IFERROR(INDEX(Setup!$G$33:$G$40,MATCH(W1144,Setup!$B$33:$B$40,0)),0)=1)*(COUNTIF(W1108:W1125,$B1144)+COUNTIF(W1108:W1125,$B1144&amp;" ~*")&gt;0)+(IFERROR(INDEX(Setup!$G$33:$G$40,MATCH(Y1144,Setup!$B$33:$B$40,0)),0)=1)*(COUNTIF(Y1108:Y1125,$B1144)+COUNTIF(Y1108:Y1125,$B1144&amp;" ~*")&gt;0))</f>
        <v/>
      </c>
    </row>
    <row r="1145" ht="15" customHeight="1">
      <c r="A1145" t="n">
        <v>23</v>
      </c>
      <c r="B1145" s="35">
        <f>IF(Setup!$B$24="","",Setup!$B$24)</f>
        <v/>
      </c>
      <c r="C1145" s="98" t="n"/>
      <c r="D1145" s="99" t="n"/>
      <c r="E1145" s="99" t="n"/>
      <c r="F1145" s="100" t="n"/>
      <c r="G1145" s="98" t="n"/>
      <c r="H1145" s="99" t="n"/>
      <c r="I1145" s="99" t="n"/>
      <c r="J1145" s="100" t="n"/>
      <c r="K1145" s="98" t="n"/>
      <c r="L1145" s="99" t="n"/>
      <c r="M1145" s="99" t="n"/>
      <c r="N1145" s="100" t="n"/>
      <c r="O1145" s="98" t="n"/>
      <c r="P1145" s="99" t="n"/>
      <c r="Q1145" s="99" t="n"/>
      <c r="R1145" s="100" t="n"/>
      <c r="S1145" s="98" t="n"/>
      <c r="T1145" s="99" t="n"/>
      <c r="U1145" s="99" t="n"/>
      <c r="V1145" s="100" t="n"/>
      <c r="W1145" s="98" t="n"/>
      <c r="X1145" s="100" t="n"/>
      <c r="Y1145" s="98" t="n"/>
      <c r="Z1145" s="100" t="n"/>
      <c r="AB1145" s="101">
        <f>IF($B1145="","",(COUNTIF(C1108:E1125,$B1145)+COUNTIF(C1108:E1125,$B1145&amp;" ~*")&gt;0)+(COUNTIF(G1108:I1125,$B1145)+COUNTIF(G1108:I1125,$B1145&amp;" ~*")&gt;0)+(COUNTIF(K1108:M1125,$B1145)+COUNTIF(K1108:M1125,$B1145&amp;" ~*")&gt;0)+(COUNTIF(O1108:Q1125,$B1145)+COUNTIF(O1108:Q1125,$B1145&amp;" ~*")&gt;0)+(COUNTIF(S1108:U1125,$B1145)+COUNTIF(S1108:U1125,$B1145&amp;" ~*")&gt;0)+(COUNTIF(W1108:W1125,$B1145)+COUNTIF(W1108:W1125,$B1145&amp;" ~*")&gt;0)+(COUNTIF(Y1108:Y1125,$B1145)+COUNTIF(Y1108:Y1125,$B1145&amp;" ~*")&gt;0))</f>
        <v/>
      </c>
      <c r="AC1145" s="36">
        <f>IF($B1145="","",(IFERROR(INDEX(Setup!$G$33:$G$40,MATCH(C1145,Setup!$B$33:$B$40,0)),0)=1)*(COUNTIF(C1108:E1125,$B1145)+COUNTIF(C1108:E1125,$B1145&amp;" ~*")&gt;0)+(IFERROR(INDEX(Setup!$G$33:$G$40,MATCH(G1145,Setup!$B$33:$B$40,0)),0)=1)*(COUNTIF(G1108:I1125,$B1145)+COUNTIF(G1108:I1125,$B1145&amp;" ~*")&gt;0)+(IFERROR(INDEX(Setup!$G$33:$G$40,MATCH(K1145,Setup!$B$33:$B$40,0)),0)=1)*(COUNTIF(K1108:M1125,$B1145)+COUNTIF(K1108:M1125,$B1145&amp;" ~*")&gt;0)+(IFERROR(INDEX(Setup!$G$33:$G$40,MATCH(O1145,Setup!$B$33:$B$40,0)),0)=1)*(COUNTIF(O1108:Q1125,$B1145)+COUNTIF(O1108:Q1125,$B1145&amp;" ~*")&gt;0)+(IFERROR(INDEX(Setup!$G$33:$G$40,MATCH(S1145,Setup!$B$33:$B$40,0)),0)=1)*(COUNTIF(S1108:U1125,$B1145)+COUNTIF(S1108:U1125,$B1145&amp;" ~*")&gt;0)+(IFERROR(INDEX(Setup!$G$33:$G$40,MATCH(W1145,Setup!$B$33:$B$40,0)),0)=1)*(COUNTIF(W1108:W1125,$B1145)+COUNTIF(W1108:W1125,$B1145&amp;" ~*")&gt;0)+(IFERROR(INDEX(Setup!$G$33:$G$40,MATCH(Y1145,Setup!$B$33:$B$40,0)),0)=1)*(COUNTIF(Y1108:Y1125,$B1145)+COUNTIF(Y1108:Y1125,$B1145&amp;" ~*")&gt;0))</f>
        <v/>
      </c>
    </row>
    <row r="1146" ht="15" customHeight="1">
      <c r="A1146" t="n">
        <v>23</v>
      </c>
      <c r="B1146" s="37">
        <f>IF(Setup!$B$25="","",Setup!$B$25)</f>
        <v/>
      </c>
      <c r="C1146" s="102" t="n"/>
      <c r="D1146" s="103" t="n"/>
      <c r="E1146" s="103" t="n"/>
      <c r="F1146" s="104" t="n"/>
      <c r="G1146" s="102" t="n"/>
      <c r="H1146" s="103" t="n"/>
      <c r="I1146" s="103" t="n"/>
      <c r="J1146" s="104" t="n"/>
      <c r="K1146" s="102" t="n"/>
      <c r="L1146" s="103" t="n"/>
      <c r="M1146" s="103" t="n"/>
      <c r="N1146" s="104" t="n"/>
      <c r="O1146" s="102" t="n"/>
      <c r="P1146" s="103" t="n"/>
      <c r="Q1146" s="103" t="n"/>
      <c r="R1146" s="104" t="n"/>
      <c r="S1146" s="102" t="n"/>
      <c r="T1146" s="103" t="n"/>
      <c r="U1146" s="103" t="n"/>
      <c r="V1146" s="104" t="n"/>
      <c r="W1146" s="102" t="n"/>
      <c r="X1146" s="104" t="n"/>
      <c r="Y1146" s="102" t="n"/>
      <c r="Z1146" s="104" t="n"/>
      <c r="AB1146" s="105">
        <f>IF($B1146="","",(COUNTIF(C1108:E1125,$B1146)+COUNTIF(C1108:E1125,$B1146&amp;" ~*")&gt;0)+(COUNTIF(G1108:I1125,$B1146)+COUNTIF(G1108:I1125,$B1146&amp;" ~*")&gt;0)+(COUNTIF(K1108:M1125,$B1146)+COUNTIF(K1108:M1125,$B1146&amp;" ~*")&gt;0)+(COUNTIF(O1108:Q1125,$B1146)+COUNTIF(O1108:Q1125,$B1146&amp;" ~*")&gt;0)+(COUNTIF(S1108:U1125,$B1146)+COUNTIF(S1108:U1125,$B1146&amp;" ~*")&gt;0)+(COUNTIF(W1108:W1125,$B1146)+COUNTIF(W1108:W1125,$B1146&amp;" ~*")&gt;0)+(COUNTIF(Y1108:Y1125,$B1146)+COUNTIF(Y1108:Y1125,$B1146&amp;" ~*")&gt;0))</f>
        <v/>
      </c>
      <c r="AC1146" s="38">
        <f>IF($B1146="","",(IFERROR(INDEX(Setup!$G$33:$G$40,MATCH(C1146,Setup!$B$33:$B$40,0)),0)=1)*(COUNTIF(C1108:E1125,$B1146)+COUNTIF(C1108:E1125,$B1146&amp;" ~*")&gt;0)+(IFERROR(INDEX(Setup!$G$33:$G$40,MATCH(G1146,Setup!$B$33:$B$40,0)),0)=1)*(COUNTIF(G1108:I1125,$B1146)+COUNTIF(G1108:I1125,$B1146&amp;" ~*")&gt;0)+(IFERROR(INDEX(Setup!$G$33:$G$40,MATCH(K1146,Setup!$B$33:$B$40,0)),0)=1)*(COUNTIF(K1108:M1125,$B1146)+COUNTIF(K1108:M1125,$B1146&amp;" ~*")&gt;0)+(IFERROR(INDEX(Setup!$G$33:$G$40,MATCH(O1146,Setup!$B$33:$B$40,0)),0)=1)*(COUNTIF(O1108:Q1125,$B1146)+COUNTIF(O1108:Q1125,$B1146&amp;" ~*")&gt;0)+(IFERROR(INDEX(Setup!$G$33:$G$40,MATCH(S1146,Setup!$B$33:$B$40,0)),0)=1)*(COUNTIF(S1108:U1125,$B1146)+COUNTIF(S1108:U1125,$B1146&amp;" ~*")&gt;0)+(IFERROR(INDEX(Setup!$G$33:$G$40,MATCH(W1146,Setup!$B$33:$B$40,0)),0)=1)*(COUNTIF(W1108:W1125,$B1146)+COUNTIF(W1108:W1125,$B1146&amp;" ~*")&gt;0)+(IFERROR(INDEX(Setup!$G$33:$G$40,MATCH(Y1146,Setup!$B$33:$B$40,0)),0)=1)*(COUNTIF(Y1108:Y1125,$B1146)+COUNTIF(Y1108:Y1125,$B1146&amp;" ~*")&gt;0))</f>
        <v/>
      </c>
    </row>
    <row r="1147" ht="15" customHeight="1">
      <c r="A1147" t="n">
        <v>23</v>
      </c>
      <c r="B1147" s="35">
        <f>IF(Setup!$B$26="","",Setup!$B$26)</f>
        <v/>
      </c>
      <c r="C1147" s="98" t="n"/>
      <c r="D1147" s="99" t="n"/>
      <c r="E1147" s="99" t="n"/>
      <c r="F1147" s="100" t="n"/>
      <c r="G1147" s="98" t="n"/>
      <c r="H1147" s="99" t="n"/>
      <c r="I1147" s="99" t="n"/>
      <c r="J1147" s="100" t="n"/>
      <c r="K1147" s="98" t="n"/>
      <c r="L1147" s="99" t="n"/>
      <c r="M1147" s="99" t="n"/>
      <c r="N1147" s="100" t="n"/>
      <c r="O1147" s="98" t="n"/>
      <c r="P1147" s="99" t="n"/>
      <c r="Q1147" s="99" t="n"/>
      <c r="R1147" s="100" t="n"/>
      <c r="S1147" s="98" t="n"/>
      <c r="T1147" s="99" t="n"/>
      <c r="U1147" s="99" t="n"/>
      <c r="V1147" s="100" t="n"/>
      <c r="W1147" s="98" t="n"/>
      <c r="X1147" s="100" t="n"/>
      <c r="Y1147" s="98" t="n"/>
      <c r="Z1147" s="100" t="n"/>
      <c r="AB1147" s="101">
        <f>IF($B1147="","",(COUNTIF(C1108:E1125,$B1147)+COUNTIF(C1108:E1125,$B1147&amp;" ~*")&gt;0)+(COUNTIF(G1108:I1125,$B1147)+COUNTIF(G1108:I1125,$B1147&amp;" ~*")&gt;0)+(COUNTIF(K1108:M1125,$B1147)+COUNTIF(K1108:M1125,$B1147&amp;" ~*")&gt;0)+(COUNTIF(O1108:Q1125,$B1147)+COUNTIF(O1108:Q1125,$B1147&amp;" ~*")&gt;0)+(COUNTIF(S1108:U1125,$B1147)+COUNTIF(S1108:U1125,$B1147&amp;" ~*")&gt;0)+(COUNTIF(W1108:W1125,$B1147)+COUNTIF(W1108:W1125,$B1147&amp;" ~*")&gt;0)+(COUNTIF(Y1108:Y1125,$B1147)+COUNTIF(Y1108:Y1125,$B1147&amp;" ~*")&gt;0))</f>
        <v/>
      </c>
      <c r="AC1147" s="36">
        <f>IF($B1147="","",(IFERROR(INDEX(Setup!$G$33:$G$40,MATCH(C1147,Setup!$B$33:$B$40,0)),0)=1)*(COUNTIF(C1108:E1125,$B1147)+COUNTIF(C1108:E1125,$B1147&amp;" ~*")&gt;0)+(IFERROR(INDEX(Setup!$G$33:$G$40,MATCH(G1147,Setup!$B$33:$B$40,0)),0)=1)*(COUNTIF(G1108:I1125,$B1147)+COUNTIF(G1108:I1125,$B1147&amp;" ~*")&gt;0)+(IFERROR(INDEX(Setup!$G$33:$G$40,MATCH(K1147,Setup!$B$33:$B$40,0)),0)=1)*(COUNTIF(K1108:M1125,$B1147)+COUNTIF(K1108:M1125,$B1147&amp;" ~*")&gt;0)+(IFERROR(INDEX(Setup!$G$33:$G$40,MATCH(O1147,Setup!$B$33:$B$40,0)),0)=1)*(COUNTIF(O1108:Q1125,$B1147)+COUNTIF(O1108:Q1125,$B1147&amp;" ~*")&gt;0)+(IFERROR(INDEX(Setup!$G$33:$G$40,MATCH(S1147,Setup!$B$33:$B$40,0)),0)=1)*(COUNTIF(S1108:U1125,$B1147)+COUNTIF(S1108:U1125,$B1147&amp;" ~*")&gt;0)+(IFERROR(INDEX(Setup!$G$33:$G$40,MATCH(W1147,Setup!$B$33:$B$40,0)),0)=1)*(COUNTIF(W1108:W1125,$B1147)+COUNTIF(W1108:W1125,$B1147&amp;" ~*")&gt;0)+(IFERROR(INDEX(Setup!$G$33:$G$40,MATCH(Y1147,Setup!$B$33:$B$40,0)),0)=1)*(COUNTIF(Y1108:Y1125,$B1147)+COUNTIF(Y1108:Y1125,$B1147&amp;" ~*")&gt;0))</f>
        <v/>
      </c>
    </row>
    <row r="1148" ht="15" customHeight="1">
      <c r="A1148" t="n">
        <v>23</v>
      </c>
      <c r="B1148" s="37">
        <f>IF(Setup!$B$27="","",Setup!$B$27)</f>
        <v/>
      </c>
      <c r="C1148" s="102" t="n"/>
      <c r="D1148" s="103" t="n"/>
      <c r="E1148" s="103" t="n"/>
      <c r="F1148" s="104" t="n"/>
      <c r="G1148" s="102" t="n"/>
      <c r="H1148" s="103" t="n"/>
      <c r="I1148" s="103" t="n"/>
      <c r="J1148" s="104" t="n"/>
      <c r="K1148" s="102" t="n"/>
      <c r="L1148" s="103" t="n"/>
      <c r="M1148" s="103" t="n"/>
      <c r="N1148" s="104" t="n"/>
      <c r="O1148" s="102" t="n"/>
      <c r="P1148" s="103" t="n"/>
      <c r="Q1148" s="103" t="n"/>
      <c r="R1148" s="104" t="n"/>
      <c r="S1148" s="102" t="n"/>
      <c r="T1148" s="103" t="n"/>
      <c r="U1148" s="103" t="n"/>
      <c r="V1148" s="104" t="n"/>
      <c r="W1148" s="102" t="n"/>
      <c r="X1148" s="104" t="n"/>
      <c r="Y1148" s="102" t="n"/>
      <c r="Z1148" s="104" t="n"/>
      <c r="AB1148" s="105">
        <f>IF($B1148="","",(COUNTIF(C1108:E1125,$B1148)+COUNTIF(C1108:E1125,$B1148&amp;" ~*")&gt;0)+(COUNTIF(G1108:I1125,$B1148)+COUNTIF(G1108:I1125,$B1148&amp;" ~*")&gt;0)+(COUNTIF(K1108:M1125,$B1148)+COUNTIF(K1108:M1125,$B1148&amp;" ~*")&gt;0)+(COUNTIF(O1108:Q1125,$B1148)+COUNTIF(O1108:Q1125,$B1148&amp;" ~*")&gt;0)+(COUNTIF(S1108:U1125,$B1148)+COUNTIF(S1108:U1125,$B1148&amp;" ~*")&gt;0)+(COUNTIF(W1108:W1125,$B1148)+COUNTIF(W1108:W1125,$B1148&amp;" ~*")&gt;0)+(COUNTIF(Y1108:Y1125,$B1148)+COUNTIF(Y1108:Y1125,$B1148&amp;" ~*")&gt;0))</f>
        <v/>
      </c>
      <c r="AC1148" s="38">
        <f>IF($B1148="","",(IFERROR(INDEX(Setup!$G$33:$G$40,MATCH(C1148,Setup!$B$33:$B$40,0)),0)=1)*(COUNTIF(C1108:E1125,$B1148)+COUNTIF(C1108:E1125,$B1148&amp;" ~*")&gt;0)+(IFERROR(INDEX(Setup!$G$33:$G$40,MATCH(G1148,Setup!$B$33:$B$40,0)),0)=1)*(COUNTIF(G1108:I1125,$B1148)+COUNTIF(G1108:I1125,$B1148&amp;" ~*")&gt;0)+(IFERROR(INDEX(Setup!$G$33:$G$40,MATCH(K1148,Setup!$B$33:$B$40,0)),0)=1)*(COUNTIF(K1108:M1125,$B1148)+COUNTIF(K1108:M1125,$B1148&amp;" ~*")&gt;0)+(IFERROR(INDEX(Setup!$G$33:$G$40,MATCH(O1148,Setup!$B$33:$B$40,0)),0)=1)*(COUNTIF(O1108:Q1125,$B1148)+COUNTIF(O1108:Q1125,$B1148&amp;" ~*")&gt;0)+(IFERROR(INDEX(Setup!$G$33:$G$40,MATCH(S1148,Setup!$B$33:$B$40,0)),0)=1)*(COUNTIF(S1108:U1125,$B1148)+COUNTIF(S1108:U1125,$B1148&amp;" ~*")&gt;0)+(IFERROR(INDEX(Setup!$G$33:$G$40,MATCH(W1148,Setup!$B$33:$B$40,0)),0)=1)*(COUNTIF(W1108:W1125,$B1148)+COUNTIF(W1108:W1125,$B1148&amp;" ~*")&gt;0)+(IFERROR(INDEX(Setup!$G$33:$G$40,MATCH(Y1148,Setup!$B$33:$B$40,0)),0)=1)*(COUNTIF(Y1108:Y1125,$B1148)+COUNTIF(Y1108:Y1125,$B1148&amp;" ~*")&gt;0))</f>
        <v/>
      </c>
    </row>
    <row r="1149" ht="15" customHeight="1">
      <c r="A1149" t="n">
        <v>23</v>
      </c>
      <c r="B1149" s="35">
        <f>IF(Setup!$B$28="","",Setup!$B$28)</f>
        <v/>
      </c>
      <c r="C1149" s="98" t="n"/>
      <c r="D1149" s="99" t="n"/>
      <c r="E1149" s="99" t="n"/>
      <c r="F1149" s="100" t="n"/>
      <c r="G1149" s="98" t="n"/>
      <c r="H1149" s="99" t="n"/>
      <c r="I1149" s="99" t="n"/>
      <c r="J1149" s="100" t="n"/>
      <c r="K1149" s="98" t="n"/>
      <c r="L1149" s="99" t="n"/>
      <c r="M1149" s="99" t="n"/>
      <c r="N1149" s="100" t="n"/>
      <c r="O1149" s="98" t="n"/>
      <c r="P1149" s="99" t="n"/>
      <c r="Q1149" s="99" t="n"/>
      <c r="R1149" s="100" t="n"/>
      <c r="S1149" s="98" t="n"/>
      <c r="T1149" s="99" t="n"/>
      <c r="U1149" s="99" t="n"/>
      <c r="V1149" s="100" t="n"/>
      <c r="W1149" s="98" t="n"/>
      <c r="X1149" s="100" t="n"/>
      <c r="Y1149" s="98" t="n"/>
      <c r="Z1149" s="100" t="n"/>
      <c r="AB1149" s="101">
        <f>IF($B1149="","",(COUNTIF(C1108:E1125,$B1149)+COUNTIF(C1108:E1125,$B1149&amp;" ~*")&gt;0)+(COUNTIF(G1108:I1125,$B1149)+COUNTIF(G1108:I1125,$B1149&amp;" ~*")&gt;0)+(COUNTIF(K1108:M1125,$B1149)+COUNTIF(K1108:M1125,$B1149&amp;" ~*")&gt;0)+(COUNTIF(O1108:Q1125,$B1149)+COUNTIF(O1108:Q1125,$B1149&amp;" ~*")&gt;0)+(COUNTIF(S1108:U1125,$B1149)+COUNTIF(S1108:U1125,$B1149&amp;" ~*")&gt;0)+(COUNTIF(W1108:W1125,$B1149)+COUNTIF(W1108:W1125,$B1149&amp;" ~*")&gt;0)+(COUNTIF(Y1108:Y1125,$B1149)+COUNTIF(Y1108:Y1125,$B1149&amp;" ~*")&gt;0))</f>
        <v/>
      </c>
      <c r="AC1149" s="36">
        <f>IF($B1149="","",(IFERROR(INDEX(Setup!$G$33:$G$40,MATCH(C1149,Setup!$B$33:$B$40,0)),0)=1)*(COUNTIF(C1108:E1125,$B1149)+COUNTIF(C1108:E1125,$B1149&amp;" ~*")&gt;0)+(IFERROR(INDEX(Setup!$G$33:$G$40,MATCH(G1149,Setup!$B$33:$B$40,0)),0)=1)*(COUNTIF(G1108:I1125,$B1149)+COUNTIF(G1108:I1125,$B1149&amp;" ~*")&gt;0)+(IFERROR(INDEX(Setup!$G$33:$G$40,MATCH(K1149,Setup!$B$33:$B$40,0)),0)=1)*(COUNTIF(K1108:M1125,$B1149)+COUNTIF(K1108:M1125,$B1149&amp;" ~*")&gt;0)+(IFERROR(INDEX(Setup!$G$33:$G$40,MATCH(O1149,Setup!$B$33:$B$40,0)),0)=1)*(COUNTIF(O1108:Q1125,$B1149)+COUNTIF(O1108:Q1125,$B1149&amp;" ~*")&gt;0)+(IFERROR(INDEX(Setup!$G$33:$G$40,MATCH(S1149,Setup!$B$33:$B$40,0)),0)=1)*(COUNTIF(S1108:U1125,$B1149)+COUNTIF(S1108:U1125,$B1149&amp;" ~*")&gt;0)+(IFERROR(INDEX(Setup!$G$33:$G$40,MATCH(W1149,Setup!$B$33:$B$40,0)),0)=1)*(COUNTIF(W1108:W1125,$B1149)+COUNTIF(W1108:W1125,$B1149&amp;" ~*")&gt;0)+(IFERROR(INDEX(Setup!$G$33:$G$40,MATCH(Y1149,Setup!$B$33:$B$40,0)),0)=1)*(COUNTIF(Y1108:Y1125,$B1149)+COUNTIF(Y1108:Y1125,$B1149&amp;" ~*")&gt;0))</f>
        <v/>
      </c>
    </row>
    <row r="1150" ht="15" customHeight="1">
      <c r="A1150" t="n">
        <v>23</v>
      </c>
      <c r="B1150" s="37">
        <f>IF(Setup!$B$29="","",Setup!$B$29)</f>
        <v/>
      </c>
      <c r="C1150" s="102" t="n"/>
      <c r="D1150" s="103" t="n"/>
      <c r="E1150" s="103" t="n"/>
      <c r="F1150" s="104" t="n"/>
      <c r="G1150" s="102" t="n"/>
      <c r="H1150" s="103" t="n"/>
      <c r="I1150" s="103" t="n"/>
      <c r="J1150" s="104" t="n"/>
      <c r="K1150" s="102" t="n"/>
      <c r="L1150" s="103" t="n"/>
      <c r="M1150" s="103" t="n"/>
      <c r="N1150" s="104" t="n"/>
      <c r="O1150" s="102" t="n"/>
      <c r="P1150" s="103" t="n"/>
      <c r="Q1150" s="103" t="n"/>
      <c r="R1150" s="104" t="n"/>
      <c r="S1150" s="102" t="n"/>
      <c r="T1150" s="103" t="n"/>
      <c r="U1150" s="103" t="n"/>
      <c r="V1150" s="104" t="n"/>
      <c r="W1150" s="102" t="n"/>
      <c r="X1150" s="104" t="n"/>
      <c r="Y1150" s="102" t="n"/>
      <c r="Z1150" s="104" t="n"/>
      <c r="AB1150" s="105">
        <f>IF($B1150="","",(COUNTIF(C1108:E1125,$B1150)+COUNTIF(C1108:E1125,$B1150&amp;" ~*")&gt;0)+(COUNTIF(G1108:I1125,$B1150)+COUNTIF(G1108:I1125,$B1150&amp;" ~*")&gt;0)+(COUNTIF(K1108:M1125,$B1150)+COUNTIF(K1108:M1125,$B1150&amp;" ~*")&gt;0)+(COUNTIF(O1108:Q1125,$B1150)+COUNTIF(O1108:Q1125,$B1150&amp;" ~*")&gt;0)+(COUNTIF(S1108:U1125,$B1150)+COUNTIF(S1108:U1125,$B1150&amp;" ~*")&gt;0)+(COUNTIF(W1108:W1125,$B1150)+COUNTIF(W1108:W1125,$B1150&amp;" ~*")&gt;0)+(COUNTIF(Y1108:Y1125,$B1150)+COUNTIF(Y1108:Y1125,$B1150&amp;" ~*")&gt;0))</f>
        <v/>
      </c>
      <c r="AC1150" s="38">
        <f>IF($B1150="","",(IFERROR(INDEX(Setup!$G$33:$G$40,MATCH(C1150,Setup!$B$33:$B$40,0)),0)=1)*(COUNTIF(C1108:E1125,$B1150)+COUNTIF(C1108:E1125,$B1150&amp;" ~*")&gt;0)+(IFERROR(INDEX(Setup!$G$33:$G$40,MATCH(G1150,Setup!$B$33:$B$40,0)),0)=1)*(COUNTIF(G1108:I1125,$B1150)+COUNTIF(G1108:I1125,$B1150&amp;" ~*")&gt;0)+(IFERROR(INDEX(Setup!$G$33:$G$40,MATCH(K1150,Setup!$B$33:$B$40,0)),0)=1)*(COUNTIF(K1108:M1125,$B1150)+COUNTIF(K1108:M1125,$B1150&amp;" ~*")&gt;0)+(IFERROR(INDEX(Setup!$G$33:$G$40,MATCH(O1150,Setup!$B$33:$B$40,0)),0)=1)*(COUNTIF(O1108:Q1125,$B1150)+COUNTIF(O1108:Q1125,$B1150&amp;" ~*")&gt;0)+(IFERROR(INDEX(Setup!$G$33:$G$40,MATCH(S1150,Setup!$B$33:$B$40,0)),0)=1)*(COUNTIF(S1108:U1125,$B1150)+COUNTIF(S1108:U1125,$B1150&amp;" ~*")&gt;0)+(IFERROR(INDEX(Setup!$G$33:$G$40,MATCH(W1150,Setup!$B$33:$B$40,0)),0)=1)*(COUNTIF(W1108:W1125,$B1150)+COUNTIF(W1108:W1125,$B1150&amp;" ~*")&gt;0)+(IFERROR(INDEX(Setup!$G$33:$G$40,MATCH(Y1150,Setup!$B$33:$B$40,0)),0)=1)*(COUNTIF(Y1108:Y1125,$B1150)+COUNTIF(Y1108:Y1125,$B1150&amp;" ~*")&gt;0))</f>
        <v/>
      </c>
    </row>
    <row r="1151" ht="16" customHeight="1">
      <c r="A1151" t="n">
        <v>23</v>
      </c>
      <c r="B1151" s="106" t="inlineStr">
        <is>
          <t>Available people</t>
        </is>
      </c>
      <c r="C1151" s="107">
        <f>COUNTIFS(Setup!$E$6:$E$29,"Y",Setup!$B$6:$B$29,"?*")-SUMPRODUCT(COUNTIF(C1127:C1150,Setup!$F$33:$F$40))</f>
        <v/>
      </c>
      <c r="D1151" s="107" t="n"/>
      <c r="E1151" s="107" t="n"/>
      <c r="F1151" s="107" t="n"/>
      <c r="G1151" s="107">
        <f>COUNTIFS(Setup!$E$6:$E$29,"Y",Setup!$B$6:$B$29,"?*")-SUMPRODUCT(COUNTIF(G1127:G1150,Setup!$F$33:$F$40))</f>
        <v/>
      </c>
      <c r="H1151" s="107" t="n"/>
      <c r="I1151" s="107" t="n"/>
      <c r="J1151" s="107" t="n"/>
      <c r="K1151" s="107">
        <f>COUNTIFS(Setup!$E$6:$E$29,"Y",Setup!$B$6:$B$29,"?*")-SUMPRODUCT(COUNTIF(K1127:K1150,Setup!$F$33:$F$40))</f>
        <v/>
      </c>
      <c r="L1151" s="107" t="n"/>
      <c r="M1151" s="107" t="n"/>
      <c r="N1151" s="107" t="n"/>
      <c r="O1151" s="107">
        <f>COUNTIFS(Setup!$E$6:$E$29,"Y",Setup!$B$6:$B$29,"?*")-SUMPRODUCT(COUNTIF(O1127:O1150,Setup!$F$33:$F$40))</f>
        <v/>
      </c>
      <c r="P1151" s="107" t="n"/>
      <c r="Q1151" s="107" t="n"/>
      <c r="R1151" s="107" t="n"/>
      <c r="S1151" s="107">
        <f>COUNTIFS(Setup!$E$6:$E$29,"Y",Setup!$B$6:$B$29,"?*")-SUMPRODUCT(COUNTIF(S1127:S1150,Setup!$F$33:$F$40))</f>
        <v/>
      </c>
      <c r="T1151" s="107" t="n"/>
      <c r="U1151" s="107" t="n"/>
      <c r="V1151" s="107" t="n"/>
      <c r="W1151" s="107">
        <f>COUNTIFS(Setup!$E$6:$E$29,"Y",Setup!$B$6:$B$29,"?*")-SUMPRODUCT(COUNTIF(W1127:W1150,Setup!$F$33:$F$40))</f>
        <v/>
      </c>
      <c r="X1151" s="107" t="n"/>
      <c r="Y1151" s="107">
        <f>COUNTIFS(Setup!$E$6:$E$29,"Y",Setup!$B$6:$B$29,"?*")-SUMPRODUCT(COUNTIF(Y1127:Y1150,Setup!$F$33:$F$40))</f>
        <v/>
      </c>
      <c r="Z1151" s="107" t="n"/>
      <c r="AB1151" s="108">
        <f>SUM(AB1127:AB1150)</f>
        <v/>
      </c>
      <c r="AC1151" s="109">
        <f>SUM(AC1127:AC1150)</f>
        <v/>
      </c>
    </row>
    <row r="1152" ht="30" customHeight="1">
      <c r="A1152" t="n">
        <v>23</v>
      </c>
      <c r="B1152" s="110" t="inlineStr">
        <is>
          <t>Week notes</t>
        </is>
      </c>
      <c r="C1152" s="111" t="n"/>
      <c r="D1152" s="112" t="n"/>
      <c r="E1152" s="112" t="n"/>
      <c r="F1152" s="112" t="n"/>
      <c r="G1152" s="112" t="n"/>
      <c r="H1152" s="112" t="n"/>
      <c r="I1152" s="112" t="n"/>
      <c r="J1152" s="112" t="n"/>
      <c r="K1152" s="112" t="n"/>
      <c r="L1152" s="112" t="n"/>
      <c r="M1152" s="112" t="n"/>
      <c r="N1152" s="112" t="n"/>
      <c r="O1152" s="112" t="n"/>
      <c r="P1152" s="112" t="n"/>
      <c r="Q1152" s="112" t="n"/>
      <c r="R1152" s="112" t="n"/>
      <c r="S1152" s="112" t="n"/>
      <c r="T1152" s="112" t="n"/>
      <c r="U1152" s="112" t="n"/>
      <c r="V1152" s="112" t="n"/>
      <c r="W1152" s="112" t="n"/>
      <c r="X1152" s="112" t="n"/>
      <c r="Y1152" s="112" t="n"/>
      <c r="Z1152" s="113" t="n"/>
    </row>
    <row r="1153" ht="8" customHeight="1">
      <c r="A1153" t="n">
        <v>23</v>
      </c>
    </row>
    <row r="1154" ht="8" customHeight="1">
      <c r="A1154" t="n">
        <v>23</v>
      </c>
    </row>
    <row r="1155" ht="24" customHeight="1">
      <c r="A1155" t="n">
        <v>24</v>
      </c>
      <c r="B1155" s="73">
        <f>"WEEK 24     "&amp;TEXT(C1156,"ddd d mmm")&amp;"  –  "&amp;TEXT(C1156+6,"ddd d mmm yyyy")</f>
        <v/>
      </c>
      <c r="S1155" s="74">
        <f>IF(TODAY()&lt;C1156,"FUTURE",IF(TODAY()&gt;C1156+6,"PAST","THIS WEEK"))</f>
        <v/>
      </c>
      <c r="W1155" s="75">
        <f>IF(AND(Engine!$B$8=$AC$3,Engine!$B$9=$A1155),"◀ ACTIVE WEEK","")</f>
        <v/>
      </c>
      <c r="AA1155" s="76" t="n"/>
      <c r="AB1155" s="77" t="inlineStr">
        <is>
          <t>◀ Prev</t>
        </is>
      </c>
      <c r="AC1155" s="77" t="inlineStr">
        <is>
          <t>Next ▶</t>
        </is>
      </c>
    </row>
    <row r="1156" ht="18" customHeight="1">
      <c r="A1156" t="n">
        <v>24</v>
      </c>
      <c r="B1156" s="78" t="inlineStr">
        <is>
          <t>DUTY</t>
        </is>
      </c>
      <c r="C1156" s="79">
        <f>$AC$2+7*($A1156-1)</f>
        <v/>
      </c>
      <c r="D1156" s="80" t="n"/>
      <c r="E1156" s="80" t="n"/>
      <c r="F1156" s="81" t="n"/>
      <c r="G1156" s="79">
        <f>C1156+1</f>
        <v/>
      </c>
      <c r="H1156" s="80" t="n"/>
      <c r="I1156" s="80" t="n"/>
      <c r="J1156" s="81" t="n"/>
      <c r="K1156" s="79">
        <f>C1156+2</f>
        <v/>
      </c>
      <c r="L1156" s="80" t="n"/>
      <c r="M1156" s="80" t="n"/>
      <c r="N1156" s="81" t="n"/>
      <c r="O1156" s="79">
        <f>C1156+3</f>
        <v/>
      </c>
      <c r="P1156" s="80" t="n"/>
      <c r="Q1156" s="80" t="n"/>
      <c r="R1156" s="81" t="n"/>
      <c r="S1156" s="79">
        <f>C1156+4</f>
        <v/>
      </c>
      <c r="T1156" s="80" t="n"/>
      <c r="U1156" s="80" t="n"/>
      <c r="V1156" s="81" t="n"/>
      <c r="W1156" s="82">
        <f>C1156+5</f>
        <v/>
      </c>
      <c r="X1156" s="83" t="n"/>
      <c r="Y1156" s="82">
        <f>C1156+6</f>
        <v/>
      </c>
      <c r="Z1156" s="83" t="n"/>
      <c r="AB1156" s="72" t="inlineStr">
        <is>
          <t>Gaps</t>
        </is>
      </c>
      <c r="AC1156" s="72" t="inlineStr">
        <is>
          <t>Cover</t>
        </is>
      </c>
    </row>
    <row r="1157" ht="14" customHeight="1">
      <c r="A1157" t="n">
        <v>24</v>
      </c>
      <c r="B1157" s="84" t="inlineStr">
        <is>
          <t>(from Setup)</t>
        </is>
      </c>
      <c r="C1157" s="85" t="inlineStr">
        <is>
          <t>1</t>
        </is>
      </c>
      <c r="D1157" s="85" t="inlineStr">
        <is>
          <t>2</t>
        </is>
      </c>
      <c r="E1157" s="85" t="inlineStr">
        <is>
          <t>3</t>
        </is>
      </c>
      <c r="F1157" s="85" t="inlineStr">
        <is>
          <t>Notes</t>
        </is>
      </c>
      <c r="G1157" s="85" t="inlineStr">
        <is>
          <t>1</t>
        </is>
      </c>
      <c r="H1157" s="85" t="inlineStr">
        <is>
          <t>2</t>
        </is>
      </c>
      <c r="I1157" s="85" t="inlineStr">
        <is>
          <t>3</t>
        </is>
      </c>
      <c r="J1157" s="85" t="inlineStr">
        <is>
          <t>Notes</t>
        </is>
      </c>
      <c r="K1157" s="85" t="inlineStr">
        <is>
          <t>1</t>
        </is>
      </c>
      <c r="L1157" s="85" t="inlineStr">
        <is>
          <t>2</t>
        </is>
      </c>
      <c r="M1157" s="85" t="inlineStr">
        <is>
          <t>3</t>
        </is>
      </c>
      <c r="N1157" s="85" t="inlineStr">
        <is>
          <t>Notes</t>
        </is>
      </c>
      <c r="O1157" s="85" t="inlineStr">
        <is>
          <t>1</t>
        </is>
      </c>
      <c r="P1157" s="85" t="inlineStr">
        <is>
          <t>2</t>
        </is>
      </c>
      <c r="Q1157" s="85" t="inlineStr">
        <is>
          <t>3</t>
        </is>
      </c>
      <c r="R1157" s="85" t="inlineStr">
        <is>
          <t>Notes</t>
        </is>
      </c>
      <c r="S1157" s="85" t="inlineStr">
        <is>
          <t>1</t>
        </is>
      </c>
      <c r="T1157" s="85" t="inlineStr">
        <is>
          <t>2</t>
        </is>
      </c>
      <c r="U1157" s="85" t="inlineStr">
        <is>
          <t>3</t>
        </is>
      </c>
      <c r="V1157" s="85" t="inlineStr">
        <is>
          <t>Notes</t>
        </is>
      </c>
      <c r="W1157" s="85" t="inlineStr">
        <is>
          <t>Cover</t>
        </is>
      </c>
      <c r="X1157" s="85" t="inlineStr">
        <is>
          <t>Notes</t>
        </is>
      </c>
      <c r="Y1157" s="85" t="inlineStr">
        <is>
          <t>Cover</t>
        </is>
      </c>
      <c r="Z1157" s="85" t="inlineStr">
        <is>
          <t>Notes</t>
        </is>
      </c>
      <c r="AB1157" s="86" t="inlineStr">
        <is>
          <t>weekdays short</t>
        </is>
      </c>
      <c r="AC1157" s="87" t="inlineStr"/>
    </row>
    <row r="1158" ht="17" customHeight="1">
      <c r="A1158" t="n">
        <v>24</v>
      </c>
      <c r="B1158" s="24">
        <f>IF(Setup!$K$6="","",Setup!$K$6)</f>
        <v/>
      </c>
      <c r="C1158" s="88" t="n"/>
      <c r="D1158" s="88" t="n"/>
      <c r="E1158" s="88" t="n"/>
      <c r="F1158" s="89" t="n"/>
      <c r="G1158" s="88" t="n"/>
      <c r="H1158" s="88" t="n"/>
      <c r="I1158" s="88" t="n"/>
      <c r="J1158" s="89" t="n"/>
      <c r="K1158" s="88" t="n"/>
      <c r="L1158" s="88" t="n"/>
      <c r="M1158" s="88" t="n"/>
      <c r="N1158" s="89" t="n"/>
      <c r="O1158" s="88" t="n"/>
      <c r="P1158" s="88" t="n"/>
      <c r="Q1158" s="88" t="n"/>
      <c r="R1158" s="89" t="n"/>
      <c r="S1158" s="88" t="n"/>
      <c r="T1158" s="88" t="n"/>
      <c r="U1158" s="88" t="n"/>
      <c r="V1158" s="89" t="n"/>
      <c r="W1158" s="88" t="n"/>
      <c r="X1158" s="89" t="n"/>
      <c r="Y1158" s="88" t="n"/>
      <c r="Z1158" s="89" t="n"/>
      <c r="AB1158" s="25">
        <f>IF($B1158="","",(COUNTIF(C1158:E1158,"?*")&lt;N(INDEX(Setup!$L$6:$L$23,1)))+(COUNTIF(G1158:I1158,"?*")&lt;N(INDEX(Setup!$L$6:$L$23,1)))+(COUNTIF(K1158:M1158,"?*")&lt;N(INDEX(Setup!$L$6:$L$23,1)))+(COUNTIF(O1158:Q1158,"?*")&lt;N(INDEX(Setup!$L$6:$L$23,1)))+(COUNTIF(S1158:U1158,"?*")&lt;N(INDEX(Setup!$L$6:$L$23,1)))+((W1158="")*(INDEX(Setup!$M$6:$M$23,1)="Y"))+((Y1158="")*(INDEX(Setup!$M$6:$M$23,1)="Y")))</f>
        <v/>
      </c>
      <c r="AC1158" s="90">
        <f>IF($B1158="","",IF(AB1158=0,"✓ covered","⚠ "&amp;AB1158&amp;IF(AB1158=1," gap"," gaps")))</f>
        <v/>
      </c>
    </row>
    <row r="1159" ht="17" customHeight="1">
      <c r="A1159" t="n">
        <v>24</v>
      </c>
      <c r="B1159" s="29">
        <f>IF(Setup!$K$7="","",Setup!$K$7)</f>
        <v/>
      </c>
      <c r="C1159" s="88" t="n"/>
      <c r="D1159" s="88" t="n"/>
      <c r="E1159" s="88" t="n"/>
      <c r="F1159" s="89" t="n"/>
      <c r="G1159" s="88" t="n"/>
      <c r="H1159" s="88" t="n"/>
      <c r="I1159" s="88" t="n"/>
      <c r="J1159" s="89" t="n"/>
      <c r="K1159" s="88" t="n"/>
      <c r="L1159" s="88" t="n"/>
      <c r="M1159" s="88" t="n"/>
      <c r="N1159" s="89" t="n"/>
      <c r="O1159" s="88" t="n"/>
      <c r="P1159" s="88" t="n"/>
      <c r="Q1159" s="88" t="n"/>
      <c r="R1159" s="89" t="n"/>
      <c r="S1159" s="88" t="n"/>
      <c r="T1159" s="88" t="n"/>
      <c r="U1159" s="88" t="n"/>
      <c r="V1159" s="89" t="n"/>
      <c r="W1159" s="88" t="n"/>
      <c r="X1159" s="89" t="n"/>
      <c r="Y1159" s="88" t="n"/>
      <c r="Z1159" s="89" t="n"/>
      <c r="AB1159" s="30">
        <f>IF($B1159="","",(COUNTIF(C1159:E1159,"?*")&lt;N(INDEX(Setup!$L$6:$L$23,2)))+(COUNTIF(G1159:I1159,"?*")&lt;N(INDEX(Setup!$L$6:$L$23,2)))+(COUNTIF(K1159:M1159,"?*")&lt;N(INDEX(Setup!$L$6:$L$23,2)))+(COUNTIF(O1159:Q1159,"?*")&lt;N(INDEX(Setup!$L$6:$L$23,2)))+(COUNTIF(S1159:U1159,"?*")&lt;N(INDEX(Setup!$L$6:$L$23,2)))+((W1159="")*(INDEX(Setup!$M$6:$M$23,2)="Y"))+((Y1159="")*(INDEX(Setup!$M$6:$M$23,2)="Y")))</f>
        <v/>
      </c>
      <c r="AC1159" s="91">
        <f>IF($B1159="","",IF(AB1159=0,"✓ covered","⚠ "&amp;AB1159&amp;IF(AB1159=1," gap"," gaps")))</f>
        <v/>
      </c>
    </row>
    <row r="1160" ht="17" customHeight="1">
      <c r="A1160" t="n">
        <v>24</v>
      </c>
      <c r="B1160" s="24">
        <f>IF(Setup!$K$8="","",Setup!$K$8)</f>
        <v/>
      </c>
      <c r="C1160" s="88" t="n"/>
      <c r="D1160" s="88" t="n"/>
      <c r="E1160" s="88" t="n"/>
      <c r="F1160" s="89" t="n"/>
      <c r="G1160" s="88" t="n"/>
      <c r="H1160" s="88" t="n"/>
      <c r="I1160" s="88" t="n"/>
      <c r="J1160" s="89" t="n"/>
      <c r="K1160" s="88" t="n"/>
      <c r="L1160" s="88" t="n"/>
      <c r="M1160" s="88" t="n"/>
      <c r="N1160" s="89" t="n"/>
      <c r="O1160" s="88" t="n"/>
      <c r="P1160" s="88" t="n"/>
      <c r="Q1160" s="88" t="n"/>
      <c r="R1160" s="89" t="n"/>
      <c r="S1160" s="88" t="n"/>
      <c r="T1160" s="88" t="n"/>
      <c r="U1160" s="88" t="n"/>
      <c r="V1160" s="89" t="n"/>
      <c r="W1160" s="88" t="n"/>
      <c r="X1160" s="89" t="n"/>
      <c r="Y1160" s="88" t="n"/>
      <c r="Z1160" s="89" t="n"/>
      <c r="AB1160" s="25">
        <f>IF($B1160="","",(COUNTIF(C1160:E1160,"?*")&lt;N(INDEX(Setup!$L$6:$L$23,3)))+(COUNTIF(G1160:I1160,"?*")&lt;N(INDEX(Setup!$L$6:$L$23,3)))+(COUNTIF(K1160:M1160,"?*")&lt;N(INDEX(Setup!$L$6:$L$23,3)))+(COUNTIF(O1160:Q1160,"?*")&lt;N(INDEX(Setup!$L$6:$L$23,3)))+(COUNTIF(S1160:U1160,"?*")&lt;N(INDEX(Setup!$L$6:$L$23,3)))+((W1160="")*(INDEX(Setup!$M$6:$M$23,3)="Y"))+((Y1160="")*(INDEX(Setup!$M$6:$M$23,3)="Y")))</f>
        <v/>
      </c>
      <c r="AC1160" s="90">
        <f>IF($B1160="","",IF(AB1160=0,"✓ covered","⚠ "&amp;AB1160&amp;IF(AB1160=1," gap"," gaps")))</f>
        <v/>
      </c>
    </row>
    <row r="1161" ht="17" customHeight="1">
      <c r="A1161" t="n">
        <v>24</v>
      </c>
      <c r="B1161" s="29">
        <f>IF(Setup!$K$9="","",Setup!$K$9)</f>
        <v/>
      </c>
      <c r="C1161" s="88" t="n"/>
      <c r="D1161" s="88" t="n"/>
      <c r="E1161" s="88" t="n"/>
      <c r="F1161" s="89" t="n"/>
      <c r="G1161" s="88" t="n"/>
      <c r="H1161" s="88" t="n"/>
      <c r="I1161" s="88" t="n"/>
      <c r="J1161" s="89" t="n"/>
      <c r="K1161" s="88" t="n"/>
      <c r="L1161" s="88" t="n"/>
      <c r="M1161" s="88" t="n"/>
      <c r="N1161" s="89" t="n"/>
      <c r="O1161" s="88" t="n"/>
      <c r="P1161" s="88" t="n"/>
      <c r="Q1161" s="88" t="n"/>
      <c r="R1161" s="89" t="n"/>
      <c r="S1161" s="88" t="n"/>
      <c r="T1161" s="88" t="n"/>
      <c r="U1161" s="88" t="n"/>
      <c r="V1161" s="89" t="n"/>
      <c r="W1161" s="88" t="n"/>
      <c r="X1161" s="89" t="n"/>
      <c r="Y1161" s="88" t="n"/>
      <c r="Z1161" s="89" t="n"/>
      <c r="AB1161" s="30">
        <f>IF($B1161="","",(COUNTIF(C1161:E1161,"?*")&lt;N(INDEX(Setup!$L$6:$L$23,4)))+(COUNTIF(G1161:I1161,"?*")&lt;N(INDEX(Setup!$L$6:$L$23,4)))+(COUNTIF(K1161:M1161,"?*")&lt;N(INDEX(Setup!$L$6:$L$23,4)))+(COUNTIF(O1161:Q1161,"?*")&lt;N(INDEX(Setup!$L$6:$L$23,4)))+(COUNTIF(S1161:U1161,"?*")&lt;N(INDEX(Setup!$L$6:$L$23,4)))+((W1161="")*(INDEX(Setup!$M$6:$M$23,4)="Y"))+((Y1161="")*(INDEX(Setup!$M$6:$M$23,4)="Y")))</f>
        <v/>
      </c>
      <c r="AC1161" s="91">
        <f>IF($B1161="","",IF(AB1161=0,"✓ covered","⚠ "&amp;AB1161&amp;IF(AB1161=1," gap"," gaps")))</f>
        <v/>
      </c>
    </row>
    <row r="1162" ht="17" customHeight="1">
      <c r="A1162" t="n">
        <v>24</v>
      </c>
      <c r="B1162" s="24">
        <f>IF(Setup!$K$10="","",Setup!$K$10)</f>
        <v/>
      </c>
      <c r="C1162" s="88" t="n"/>
      <c r="D1162" s="88" t="n"/>
      <c r="E1162" s="88" t="n"/>
      <c r="F1162" s="89" t="n"/>
      <c r="G1162" s="88" t="n"/>
      <c r="H1162" s="88" t="n"/>
      <c r="I1162" s="88" t="n"/>
      <c r="J1162" s="89" t="n"/>
      <c r="K1162" s="88" t="n"/>
      <c r="L1162" s="88" t="n"/>
      <c r="M1162" s="88" t="n"/>
      <c r="N1162" s="89" t="n"/>
      <c r="O1162" s="88" t="n"/>
      <c r="P1162" s="88" t="n"/>
      <c r="Q1162" s="88" t="n"/>
      <c r="R1162" s="89" t="n"/>
      <c r="S1162" s="88" t="n"/>
      <c r="T1162" s="88" t="n"/>
      <c r="U1162" s="88" t="n"/>
      <c r="V1162" s="89" t="n"/>
      <c r="W1162" s="88" t="n"/>
      <c r="X1162" s="89" t="n"/>
      <c r="Y1162" s="88" t="n"/>
      <c r="Z1162" s="89" t="n"/>
      <c r="AB1162" s="25">
        <f>IF($B1162="","",(COUNTIF(C1162:E1162,"?*")&lt;N(INDEX(Setup!$L$6:$L$23,5)))+(COUNTIF(G1162:I1162,"?*")&lt;N(INDEX(Setup!$L$6:$L$23,5)))+(COUNTIF(K1162:M1162,"?*")&lt;N(INDEX(Setup!$L$6:$L$23,5)))+(COUNTIF(O1162:Q1162,"?*")&lt;N(INDEX(Setup!$L$6:$L$23,5)))+(COUNTIF(S1162:U1162,"?*")&lt;N(INDEX(Setup!$L$6:$L$23,5)))+((W1162="")*(INDEX(Setup!$M$6:$M$23,5)="Y"))+((Y1162="")*(INDEX(Setup!$M$6:$M$23,5)="Y")))</f>
        <v/>
      </c>
      <c r="AC1162" s="90">
        <f>IF($B1162="","",IF(AB1162=0,"✓ covered","⚠ "&amp;AB1162&amp;IF(AB1162=1," gap"," gaps")))</f>
        <v/>
      </c>
    </row>
    <row r="1163" ht="17" customHeight="1">
      <c r="A1163" t="n">
        <v>24</v>
      </c>
      <c r="B1163" s="29">
        <f>IF(Setup!$K$11="","",Setup!$K$11)</f>
        <v/>
      </c>
      <c r="C1163" s="88" t="n"/>
      <c r="D1163" s="88" t="n"/>
      <c r="E1163" s="88" t="n"/>
      <c r="F1163" s="89" t="n"/>
      <c r="G1163" s="88" t="n"/>
      <c r="H1163" s="88" t="n"/>
      <c r="I1163" s="88" t="n"/>
      <c r="J1163" s="89" t="n"/>
      <c r="K1163" s="88" t="n"/>
      <c r="L1163" s="88" t="n"/>
      <c r="M1163" s="88" t="n"/>
      <c r="N1163" s="89" t="n"/>
      <c r="O1163" s="88" t="n"/>
      <c r="P1163" s="88" t="n"/>
      <c r="Q1163" s="88" t="n"/>
      <c r="R1163" s="89" t="n"/>
      <c r="S1163" s="88" t="n"/>
      <c r="T1163" s="88" t="n"/>
      <c r="U1163" s="88" t="n"/>
      <c r="V1163" s="89" t="n"/>
      <c r="W1163" s="88" t="n"/>
      <c r="X1163" s="89" t="n"/>
      <c r="Y1163" s="88" t="n"/>
      <c r="Z1163" s="89" t="n"/>
      <c r="AB1163" s="30">
        <f>IF($B1163="","",(COUNTIF(C1163:E1163,"?*")&lt;N(INDEX(Setup!$L$6:$L$23,6)))+(COUNTIF(G1163:I1163,"?*")&lt;N(INDEX(Setup!$L$6:$L$23,6)))+(COUNTIF(K1163:M1163,"?*")&lt;N(INDEX(Setup!$L$6:$L$23,6)))+(COUNTIF(O1163:Q1163,"?*")&lt;N(INDEX(Setup!$L$6:$L$23,6)))+(COUNTIF(S1163:U1163,"?*")&lt;N(INDEX(Setup!$L$6:$L$23,6)))+((W1163="")*(INDEX(Setup!$M$6:$M$23,6)="Y"))+((Y1163="")*(INDEX(Setup!$M$6:$M$23,6)="Y")))</f>
        <v/>
      </c>
      <c r="AC1163" s="91">
        <f>IF($B1163="","",IF(AB1163=0,"✓ covered","⚠ "&amp;AB1163&amp;IF(AB1163=1," gap"," gaps")))</f>
        <v/>
      </c>
    </row>
    <row r="1164" ht="17" customHeight="1">
      <c r="A1164" t="n">
        <v>24</v>
      </c>
      <c r="B1164" s="24">
        <f>IF(Setup!$K$12="","",Setup!$K$12)</f>
        <v/>
      </c>
      <c r="C1164" s="88" t="n"/>
      <c r="D1164" s="88" t="n"/>
      <c r="E1164" s="88" t="n"/>
      <c r="F1164" s="89" t="n"/>
      <c r="G1164" s="88" t="n"/>
      <c r="H1164" s="88" t="n"/>
      <c r="I1164" s="88" t="n"/>
      <c r="J1164" s="89" t="n"/>
      <c r="K1164" s="88" t="n"/>
      <c r="L1164" s="88" t="n"/>
      <c r="M1164" s="88" t="n"/>
      <c r="N1164" s="89" t="n"/>
      <c r="O1164" s="88" t="n"/>
      <c r="P1164" s="88" t="n"/>
      <c r="Q1164" s="88" t="n"/>
      <c r="R1164" s="89" t="n"/>
      <c r="S1164" s="88" t="n"/>
      <c r="T1164" s="88" t="n"/>
      <c r="U1164" s="88" t="n"/>
      <c r="V1164" s="89" t="n"/>
      <c r="W1164" s="88" t="n"/>
      <c r="X1164" s="89" t="n"/>
      <c r="Y1164" s="88" t="n"/>
      <c r="Z1164" s="89" t="n"/>
      <c r="AB1164" s="25">
        <f>IF($B1164="","",(COUNTIF(C1164:E1164,"?*")&lt;N(INDEX(Setup!$L$6:$L$23,7)))+(COUNTIF(G1164:I1164,"?*")&lt;N(INDEX(Setup!$L$6:$L$23,7)))+(COUNTIF(K1164:M1164,"?*")&lt;N(INDEX(Setup!$L$6:$L$23,7)))+(COUNTIF(O1164:Q1164,"?*")&lt;N(INDEX(Setup!$L$6:$L$23,7)))+(COUNTIF(S1164:U1164,"?*")&lt;N(INDEX(Setup!$L$6:$L$23,7)))+((W1164="")*(INDEX(Setup!$M$6:$M$23,7)="Y"))+((Y1164="")*(INDEX(Setup!$M$6:$M$23,7)="Y")))</f>
        <v/>
      </c>
      <c r="AC1164" s="90">
        <f>IF($B1164="","",IF(AB1164=0,"✓ covered","⚠ "&amp;AB1164&amp;IF(AB1164=1," gap"," gaps")))</f>
        <v/>
      </c>
    </row>
    <row r="1165" ht="17" customHeight="1">
      <c r="A1165" t="n">
        <v>24</v>
      </c>
      <c r="B1165" s="29">
        <f>IF(Setup!$K$13="","",Setup!$K$13)</f>
        <v/>
      </c>
      <c r="C1165" s="88" t="n"/>
      <c r="D1165" s="88" t="n"/>
      <c r="E1165" s="88" t="n"/>
      <c r="F1165" s="89" t="n"/>
      <c r="G1165" s="88" t="n"/>
      <c r="H1165" s="88" t="n"/>
      <c r="I1165" s="88" t="n"/>
      <c r="J1165" s="89" t="n"/>
      <c r="K1165" s="88" t="n"/>
      <c r="L1165" s="88" t="n"/>
      <c r="M1165" s="88" t="n"/>
      <c r="N1165" s="89" t="n"/>
      <c r="O1165" s="88" t="n"/>
      <c r="P1165" s="88" t="n"/>
      <c r="Q1165" s="88" t="n"/>
      <c r="R1165" s="89" t="n"/>
      <c r="S1165" s="88" t="n"/>
      <c r="T1165" s="88" t="n"/>
      <c r="U1165" s="88" t="n"/>
      <c r="V1165" s="89" t="n"/>
      <c r="W1165" s="88" t="n"/>
      <c r="X1165" s="89" t="n"/>
      <c r="Y1165" s="88" t="n"/>
      <c r="Z1165" s="89" t="n"/>
      <c r="AB1165" s="30">
        <f>IF($B1165="","",(COUNTIF(C1165:E1165,"?*")&lt;N(INDEX(Setup!$L$6:$L$23,8)))+(COUNTIF(G1165:I1165,"?*")&lt;N(INDEX(Setup!$L$6:$L$23,8)))+(COUNTIF(K1165:M1165,"?*")&lt;N(INDEX(Setup!$L$6:$L$23,8)))+(COUNTIF(O1165:Q1165,"?*")&lt;N(INDEX(Setup!$L$6:$L$23,8)))+(COUNTIF(S1165:U1165,"?*")&lt;N(INDEX(Setup!$L$6:$L$23,8)))+((W1165="")*(INDEX(Setup!$M$6:$M$23,8)="Y"))+((Y1165="")*(INDEX(Setup!$M$6:$M$23,8)="Y")))</f>
        <v/>
      </c>
      <c r="AC1165" s="91">
        <f>IF($B1165="","",IF(AB1165=0,"✓ covered","⚠ "&amp;AB1165&amp;IF(AB1165=1," gap"," gaps")))</f>
        <v/>
      </c>
    </row>
    <row r="1166" ht="17" customHeight="1">
      <c r="A1166" t="n">
        <v>24</v>
      </c>
      <c r="B1166" s="24">
        <f>IF(Setup!$K$14="","",Setup!$K$14)</f>
        <v/>
      </c>
      <c r="C1166" s="88" t="n"/>
      <c r="D1166" s="88" t="n"/>
      <c r="E1166" s="88" t="n"/>
      <c r="F1166" s="89" t="n"/>
      <c r="G1166" s="88" t="n"/>
      <c r="H1166" s="88" t="n"/>
      <c r="I1166" s="88" t="n"/>
      <c r="J1166" s="89" t="n"/>
      <c r="K1166" s="88" t="n"/>
      <c r="L1166" s="88" t="n"/>
      <c r="M1166" s="88" t="n"/>
      <c r="N1166" s="89" t="n"/>
      <c r="O1166" s="88" t="n"/>
      <c r="P1166" s="88" t="n"/>
      <c r="Q1166" s="88" t="n"/>
      <c r="R1166" s="89" t="n"/>
      <c r="S1166" s="88" t="n"/>
      <c r="T1166" s="88" t="n"/>
      <c r="U1166" s="88" t="n"/>
      <c r="V1166" s="89" t="n"/>
      <c r="W1166" s="88" t="n"/>
      <c r="X1166" s="89" t="n"/>
      <c r="Y1166" s="88" t="n"/>
      <c r="Z1166" s="89" t="n"/>
      <c r="AB1166" s="25">
        <f>IF($B1166="","",(COUNTIF(C1166:E1166,"?*")&lt;N(INDEX(Setup!$L$6:$L$23,9)))+(COUNTIF(G1166:I1166,"?*")&lt;N(INDEX(Setup!$L$6:$L$23,9)))+(COUNTIF(K1166:M1166,"?*")&lt;N(INDEX(Setup!$L$6:$L$23,9)))+(COUNTIF(O1166:Q1166,"?*")&lt;N(INDEX(Setup!$L$6:$L$23,9)))+(COUNTIF(S1166:U1166,"?*")&lt;N(INDEX(Setup!$L$6:$L$23,9)))+((W1166="")*(INDEX(Setup!$M$6:$M$23,9)="Y"))+((Y1166="")*(INDEX(Setup!$M$6:$M$23,9)="Y")))</f>
        <v/>
      </c>
      <c r="AC1166" s="90">
        <f>IF($B1166="","",IF(AB1166=0,"✓ covered","⚠ "&amp;AB1166&amp;IF(AB1166=1," gap"," gaps")))</f>
        <v/>
      </c>
    </row>
    <row r="1167" ht="17" customHeight="1">
      <c r="A1167" t="n">
        <v>24</v>
      </c>
      <c r="B1167" s="29">
        <f>IF(Setup!$K$15="","",Setup!$K$15)</f>
        <v/>
      </c>
      <c r="C1167" s="88" t="n"/>
      <c r="D1167" s="88" t="n"/>
      <c r="E1167" s="88" t="n"/>
      <c r="F1167" s="89" t="n"/>
      <c r="G1167" s="88" t="n"/>
      <c r="H1167" s="88" t="n"/>
      <c r="I1167" s="88" t="n"/>
      <c r="J1167" s="89" t="n"/>
      <c r="K1167" s="88" t="n"/>
      <c r="L1167" s="88" t="n"/>
      <c r="M1167" s="88" t="n"/>
      <c r="N1167" s="89" t="n"/>
      <c r="O1167" s="88" t="n"/>
      <c r="P1167" s="88" t="n"/>
      <c r="Q1167" s="88" t="n"/>
      <c r="R1167" s="89" t="n"/>
      <c r="S1167" s="88" t="n"/>
      <c r="T1167" s="88" t="n"/>
      <c r="U1167" s="88" t="n"/>
      <c r="V1167" s="89" t="n"/>
      <c r="W1167" s="88" t="n"/>
      <c r="X1167" s="89" t="n"/>
      <c r="Y1167" s="88" t="n"/>
      <c r="Z1167" s="89" t="n"/>
      <c r="AB1167" s="30">
        <f>IF($B1167="","",(COUNTIF(C1167:E1167,"?*")&lt;N(INDEX(Setup!$L$6:$L$23,10)))+(COUNTIF(G1167:I1167,"?*")&lt;N(INDEX(Setup!$L$6:$L$23,10)))+(COUNTIF(K1167:M1167,"?*")&lt;N(INDEX(Setup!$L$6:$L$23,10)))+(COUNTIF(O1167:Q1167,"?*")&lt;N(INDEX(Setup!$L$6:$L$23,10)))+(COUNTIF(S1167:U1167,"?*")&lt;N(INDEX(Setup!$L$6:$L$23,10)))+((W1167="")*(INDEX(Setup!$M$6:$M$23,10)="Y"))+((Y1167="")*(INDEX(Setup!$M$6:$M$23,10)="Y")))</f>
        <v/>
      </c>
      <c r="AC1167" s="91">
        <f>IF($B1167="","",IF(AB1167=0,"✓ covered","⚠ "&amp;AB1167&amp;IF(AB1167=1," gap"," gaps")))</f>
        <v/>
      </c>
    </row>
    <row r="1168" ht="17" customHeight="1">
      <c r="A1168" t="n">
        <v>24</v>
      </c>
      <c r="B1168" s="24">
        <f>IF(Setup!$K$16="","",Setup!$K$16)</f>
        <v/>
      </c>
      <c r="C1168" s="88" t="n"/>
      <c r="D1168" s="88" t="n"/>
      <c r="E1168" s="88" t="n"/>
      <c r="F1168" s="89" t="n"/>
      <c r="G1168" s="88" t="n"/>
      <c r="H1168" s="88" t="n"/>
      <c r="I1168" s="88" t="n"/>
      <c r="J1168" s="89" t="n"/>
      <c r="K1168" s="88" t="n"/>
      <c r="L1168" s="88" t="n"/>
      <c r="M1168" s="88" t="n"/>
      <c r="N1168" s="89" t="n"/>
      <c r="O1168" s="88" t="n"/>
      <c r="P1168" s="88" t="n"/>
      <c r="Q1168" s="88" t="n"/>
      <c r="R1168" s="89" t="n"/>
      <c r="S1168" s="88" t="n"/>
      <c r="T1168" s="88" t="n"/>
      <c r="U1168" s="88" t="n"/>
      <c r="V1168" s="89" t="n"/>
      <c r="W1168" s="88" t="n"/>
      <c r="X1168" s="89" t="n"/>
      <c r="Y1168" s="88" t="n"/>
      <c r="Z1168" s="89" t="n"/>
      <c r="AB1168" s="25">
        <f>IF($B1168="","",(COUNTIF(C1168:E1168,"?*")&lt;N(INDEX(Setup!$L$6:$L$23,11)))+(COUNTIF(G1168:I1168,"?*")&lt;N(INDEX(Setup!$L$6:$L$23,11)))+(COUNTIF(K1168:M1168,"?*")&lt;N(INDEX(Setup!$L$6:$L$23,11)))+(COUNTIF(O1168:Q1168,"?*")&lt;N(INDEX(Setup!$L$6:$L$23,11)))+(COUNTIF(S1168:U1168,"?*")&lt;N(INDEX(Setup!$L$6:$L$23,11)))+((W1168="")*(INDEX(Setup!$M$6:$M$23,11)="Y"))+((Y1168="")*(INDEX(Setup!$M$6:$M$23,11)="Y")))</f>
        <v/>
      </c>
      <c r="AC1168" s="90">
        <f>IF($B1168="","",IF(AB1168=0,"✓ covered","⚠ "&amp;AB1168&amp;IF(AB1168=1," gap"," gaps")))</f>
        <v/>
      </c>
    </row>
    <row r="1169" ht="17" customHeight="1">
      <c r="A1169" t="n">
        <v>24</v>
      </c>
      <c r="B1169" s="29">
        <f>IF(Setup!$K$17="","",Setup!$K$17)</f>
        <v/>
      </c>
      <c r="C1169" s="88" t="n"/>
      <c r="D1169" s="88" t="n"/>
      <c r="E1169" s="88" t="n"/>
      <c r="F1169" s="89" t="n"/>
      <c r="G1169" s="88" t="n"/>
      <c r="H1169" s="88" t="n"/>
      <c r="I1169" s="88" t="n"/>
      <c r="J1169" s="89" t="n"/>
      <c r="K1169" s="88" t="n"/>
      <c r="L1169" s="88" t="n"/>
      <c r="M1169" s="88" t="n"/>
      <c r="N1169" s="89" t="n"/>
      <c r="O1169" s="88" t="n"/>
      <c r="P1169" s="88" t="n"/>
      <c r="Q1169" s="88" t="n"/>
      <c r="R1169" s="89" t="n"/>
      <c r="S1169" s="88" t="n"/>
      <c r="T1169" s="88" t="n"/>
      <c r="U1169" s="88" t="n"/>
      <c r="V1169" s="89" t="n"/>
      <c r="W1169" s="88" t="n"/>
      <c r="X1169" s="89" t="n"/>
      <c r="Y1169" s="88" t="n"/>
      <c r="Z1169" s="89" t="n"/>
      <c r="AB1169" s="30">
        <f>IF($B1169="","",(COUNTIF(C1169:E1169,"?*")&lt;N(INDEX(Setup!$L$6:$L$23,12)))+(COUNTIF(G1169:I1169,"?*")&lt;N(INDEX(Setup!$L$6:$L$23,12)))+(COUNTIF(K1169:M1169,"?*")&lt;N(INDEX(Setup!$L$6:$L$23,12)))+(COUNTIF(O1169:Q1169,"?*")&lt;N(INDEX(Setup!$L$6:$L$23,12)))+(COUNTIF(S1169:U1169,"?*")&lt;N(INDEX(Setup!$L$6:$L$23,12)))+((W1169="")*(INDEX(Setup!$M$6:$M$23,12)="Y"))+((Y1169="")*(INDEX(Setup!$M$6:$M$23,12)="Y")))</f>
        <v/>
      </c>
      <c r="AC1169" s="91">
        <f>IF($B1169="","",IF(AB1169=0,"✓ covered","⚠ "&amp;AB1169&amp;IF(AB1169=1," gap"," gaps")))</f>
        <v/>
      </c>
    </row>
    <row r="1170" ht="17" customHeight="1">
      <c r="A1170" t="n">
        <v>24</v>
      </c>
      <c r="B1170" s="24">
        <f>IF(Setup!$K$18="","",Setup!$K$18)</f>
        <v/>
      </c>
      <c r="C1170" s="88" t="n"/>
      <c r="D1170" s="88" t="n"/>
      <c r="E1170" s="88" t="n"/>
      <c r="F1170" s="89" t="n"/>
      <c r="G1170" s="88" t="n"/>
      <c r="H1170" s="88" t="n"/>
      <c r="I1170" s="88" t="n"/>
      <c r="J1170" s="89" t="n"/>
      <c r="K1170" s="88" t="n"/>
      <c r="L1170" s="88" t="n"/>
      <c r="M1170" s="88" t="n"/>
      <c r="N1170" s="89" t="n"/>
      <c r="O1170" s="88" t="n"/>
      <c r="P1170" s="88" t="n"/>
      <c r="Q1170" s="88" t="n"/>
      <c r="R1170" s="89" t="n"/>
      <c r="S1170" s="88" t="n"/>
      <c r="T1170" s="88" t="n"/>
      <c r="U1170" s="88" t="n"/>
      <c r="V1170" s="89" t="n"/>
      <c r="W1170" s="88" t="n"/>
      <c r="X1170" s="89" t="n"/>
      <c r="Y1170" s="88" t="n"/>
      <c r="Z1170" s="89" t="n"/>
      <c r="AB1170" s="25">
        <f>IF($B1170="","",(COUNTIF(C1170:E1170,"?*")&lt;N(INDEX(Setup!$L$6:$L$23,13)))+(COUNTIF(G1170:I1170,"?*")&lt;N(INDEX(Setup!$L$6:$L$23,13)))+(COUNTIF(K1170:M1170,"?*")&lt;N(INDEX(Setup!$L$6:$L$23,13)))+(COUNTIF(O1170:Q1170,"?*")&lt;N(INDEX(Setup!$L$6:$L$23,13)))+(COUNTIF(S1170:U1170,"?*")&lt;N(INDEX(Setup!$L$6:$L$23,13)))+((W1170="")*(INDEX(Setup!$M$6:$M$23,13)="Y"))+((Y1170="")*(INDEX(Setup!$M$6:$M$23,13)="Y")))</f>
        <v/>
      </c>
      <c r="AC1170" s="90">
        <f>IF($B1170="","",IF(AB1170=0,"✓ covered","⚠ "&amp;AB1170&amp;IF(AB1170=1," gap"," gaps")))</f>
        <v/>
      </c>
    </row>
    <row r="1171" ht="17" customHeight="1">
      <c r="A1171" t="n">
        <v>24</v>
      </c>
      <c r="B1171" s="29">
        <f>IF(Setup!$K$19="","",Setup!$K$19)</f>
        <v/>
      </c>
      <c r="C1171" s="88" t="n"/>
      <c r="D1171" s="88" t="n"/>
      <c r="E1171" s="88" t="n"/>
      <c r="F1171" s="89" t="n"/>
      <c r="G1171" s="88" t="n"/>
      <c r="H1171" s="88" t="n"/>
      <c r="I1171" s="88" t="n"/>
      <c r="J1171" s="89" t="n"/>
      <c r="K1171" s="88" t="n"/>
      <c r="L1171" s="88" t="n"/>
      <c r="M1171" s="88" t="n"/>
      <c r="N1171" s="89" t="n"/>
      <c r="O1171" s="88" t="n"/>
      <c r="P1171" s="88" t="n"/>
      <c r="Q1171" s="88" t="n"/>
      <c r="R1171" s="89" t="n"/>
      <c r="S1171" s="88" t="n"/>
      <c r="T1171" s="88" t="n"/>
      <c r="U1171" s="88" t="n"/>
      <c r="V1171" s="89" t="n"/>
      <c r="W1171" s="88" t="n"/>
      <c r="X1171" s="89" t="n"/>
      <c r="Y1171" s="88" t="n"/>
      <c r="Z1171" s="89" t="n"/>
      <c r="AB1171" s="30">
        <f>IF($B1171="","",(COUNTIF(C1171:E1171,"?*")&lt;N(INDEX(Setup!$L$6:$L$23,14)))+(COUNTIF(G1171:I1171,"?*")&lt;N(INDEX(Setup!$L$6:$L$23,14)))+(COUNTIF(K1171:M1171,"?*")&lt;N(INDEX(Setup!$L$6:$L$23,14)))+(COUNTIF(O1171:Q1171,"?*")&lt;N(INDEX(Setup!$L$6:$L$23,14)))+(COUNTIF(S1171:U1171,"?*")&lt;N(INDEX(Setup!$L$6:$L$23,14)))+((W1171="")*(INDEX(Setup!$M$6:$M$23,14)="Y"))+((Y1171="")*(INDEX(Setup!$M$6:$M$23,14)="Y")))</f>
        <v/>
      </c>
      <c r="AC1171" s="91">
        <f>IF($B1171="","",IF(AB1171=0,"✓ covered","⚠ "&amp;AB1171&amp;IF(AB1171=1," gap"," gaps")))</f>
        <v/>
      </c>
    </row>
    <row r="1172" ht="17" customHeight="1">
      <c r="A1172" t="n">
        <v>24</v>
      </c>
      <c r="B1172" s="24">
        <f>IF(Setup!$K$20="","",Setup!$K$20)</f>
        <v/>
      </c>
      <c r="C1172" s="88" t="n"/>
      <c r="D1172" s="88" t="n"/>
      <c r="E1172" s="88" t="n"/>
      <c r="F1172" s="89" t="n"/>
      <c r="G1172" s="88" t="n"/>
      <c r="H1172" s="88" t="n"/>
      <c r="I1172" s="88" t="n"/>
      <c r="J1172" s="89" t="n"/>
      <c r="K1172" s="88" t="n"/>
      <c r="L1172" s="88" t="n"/>
      <c r="M1172" s="88" t="n"/>
      <c r="N1172" s="89" t="n"/>
      <c r="O1172" s="88" t="n"/>
      <c r="P1172" s="88" t="n"/>
      <c r="Q1172" s="88" t="n"/>
      <c r="R1172" s="89" t="n"/>
      <c r="S1172" s="88" t="n"/>
      <c r="T1172" s="88" t="n"/>
      <c r="U1172" s="88" t="n"/>
      <c r="V1172" s="89" t="n"/>
      <c r="W1172" s="88" t="n"/>
      <c r="X1172" s="89" t="n"/>
      <c r="Y1172" s="88" t="n"/>
      <c r="Z1172" s="89" t="n"/>
      <c r="AB1172" s="25">
        <f>IF($B1172="","",(COUNTIF(C1172:E1172,"?*")&lt;N(INDEX(Setup!$L$6:$L$23,15)))+(COUNTIF(G1172:I1172,"?*")&lt;N(INDEX(Setup!$L$6:$L$23,15)))+(COUNTIF(K1172:M1172,"?*")&lt;N(INDEX(Setup!$L$6:$L$23,15)))+(COUNTIF(O1172:Q1172,"?*")&lt;N(INDEX(Setup!$L$6:$L$23,15)))+(COUNTIF(S1172:U1172,"?*")&lt;N(INDEX(Setup!$L$6:$L$23,15)))+((W1172="")*(INDEX(Setup!$M$6:$M$23,15)="Y"))+((Y1172="")*(INDEX(Setup!$M$6:$M$23,15)="Y")))</f>
        <v/>
      </c>
      <c r="AC1172" s="90">
        <f>IF($B1172="","",IF(AB1172=0,"✓ covered","⚠ "&amp;AB1172&amp;IF(AB1172=1," gap"," gaps")))</f>
        <v/>
      </c>
    </row>
    <row r="1173" ht="17" customHeight="1">
      <c r="A1173" t="n">
        <v>24</v>
      </c>
      <c r="B1173" s="29">
        <f>IF(Setup!$K$21="","",Setup!$K$21)</f>
        <v/>
      </c>
      <c r="C1173" s="88" t="n"/>
      <c r="D1173" s="88" t="n"/>
      <c r="E1173" s="88" t="n"/>
      <c r="F1173" s="89" t="n"/>
      <c r="G1173" s="88" t="n"/>
      <c r="H1173" s="88" t="n"/>
      <c r="I1173" s="88" t="n"/>
      <c r="J1173" s="89" t="n"/>
      <c r="K1173" s="88" t="n"/>
      <c r="L1173" s="88" t="n"/>
      <c r="M1173" s="88" t="n"/>
      <c r="N1173" s="89" t="n"/>
      <c r="O1173" s="88" t="n"/>
      <c r="P1173" s="88" t="n"/>
      <c r="Q1173" s="88" t="n"/>
      <c r="R1173" s="89" t="n"/>
      <c r="S1173" s="88" t="n"/>
      <c r="T1173" s="88" t="n"/>
      <c r="U1173" s="88" t="n"/>
      <c r="V1173" s="89" t="n"/>
      <c r="W1173" s="88" t="n"/>
      <c r="X1173" s="89" t="n"/>
      <c r="Y1173" s="88" t="n"/>
      <c r="Z1173" s="89" t="n"/>
      <c r="AB1173" s="30">
        <f>IF($B1173="","",(COUNTIF(C1173:E1173,"?*")&lt;N(INDEX(Setup!$L$6:$L$23,16)))+(COUNTIF(G1173:I1173,"?*")&lt;N(INDEX(Setup!$L$6:$L$23,16)))+(COUNTIF(K1173:M1173,"?*")&lt;N(INDEX(Setup!$L$6:$L$23,16)))+(COUNTIF(O1173:Q1173,"?*")&lt;N(INDEX(Setup!$L$6:$L$23,16)))+(COUNTIF(S1173:U1173,"?*")&lt;N(INDEX(Setup!$L$6:$L$23,16)))+((W1173="")*(INDEX(Setup!$M$6:$M$23,16)="Y"))+((Y1173="")*(INDEX(Setup!$M$6:$M$23,16)="Y")))</f>
        <v/>
      </c>
      <c r="AC1173" s="91">
        <f>IF($B1173="","",IF(AB1173=0,"✓ covered","⚠ "&amp;AB1173&amp;IF(AB1173=1," gap"," gaps")))</f>
        <v/>
      </c>
    </row>
    <row r="1174" ht="17" customHeight="1">
      <c r="A1174" t="n">
        <v>24</v>
      </c>
      <c r="B1174" s="24">
        <f>IF(Setup!$K$22="","",Setup!$K$22)</f>
        <v/>
      </c>
      <c r="C1174" s="88" t="n"/>
      <c r="D1174" s="88" t="n"/>
      <c r="E1174" s="88" t="n"/>
      <c r="F1174" s="89" t="n"/>
      <c r="G1174" s="88" t="n"/>
      <c r="H1174" s="88" t="n"/>
      <c r="I1174" s="88" t="n"/>
      <c r="J1174" s="89" t="n"/>
      <c r="K1174" s="88" t="n"/>
      <c r="L1174" s="88" t="n"/>
      <c r="M1174" s="88" t="n"/>
      <c r="N1174" s="89" t="n"/>
      <c r="O1174" s="88" t="n"/>
      <c r="P1174" s="88" t="n"/>
      <c r="Q1174" s="88" t="n"/>
      <c r="R1174" s="89" t="n"/>
      <c r="S1174" s="88" t="n"/>
      <c r="T1174" s="88" t="n"/>
      <c r="U1174" s="88" t="n"/>
      <c r="V1174" s="89" t="n"/>
      <c r="W1174" s="88" t="n"/>
      <c r="X1174" s="89" t="n"/>
      <c r="Y1174" s="88" t="n"/>
      <c r="Z1174" s="89" t="n"/>
      <c r="AB1174" s="25">
        <f>IF($B1174="","",(COUNTIF(C1174:E1174,"?*")&lt;N(INDEX(Setup!$L$6:$L$23,17)))+(COUNTIF(G1174:I1174,"?*")&lt;N(INDEX(Setup!$L$6:$L$23,17)))+(COUNTIF(K1174:M1174,"?*")&lt;N(INDEX(Setup!$L$6:$L$23,17)))+(COUNTIF(O1174:Q1174,"?*")&lt;N(INDEX(Setup!$L$6:$L$23,17)))+(COUNTIF(S1174:U1174,"?*")&lt;N(INDEX(Setup!$L$6:$L$23,17)))+((W1174="")*(INDEX(Setup!$M$6:$M$23,17)="Y"))+((Y1174="")*(INDEX(Setup!$M$6:$M$23,17)="Y")))</f>
        <v/>
      </c>
      <c r="AC1174" s="90">
        <f>IF($B1174="","",IF(AB1174=0,"✓ covered","⚠ "&amp;AB1174&amp;IF(AB1174=1," gap"," gaps")))</f>
        <v/>
      </c>
    </row>
    <row r="1175" ht="17" customHeight="1">
      <c r="A1175" t="n">
        <v>24</v>
      </c>
      <c r="B1175" s="29">
        <f>IF(Setup!$K$23="","",Setup!$K$23)</f>
        <v/>
      </c>
      <c r="C1175" s="88" t="n"/>
      <c r="D1175" s="88" t="n"/>
      <c r="E1175" s="88" t="n"/>
      <c r="F1175" s="89" t="n"/>
      <c r="G1175" s="88" t="n"/>
      <c r="H1175" s="88" t="n"/>
      <c r="I1175" s="88" t="n"/>
      <c r="J1175" s="89" t="n"/>
      <c r="K1175" s="88" t="n"/>
      <c r="L1175" s="88" t="n"/>
      <c r="M1175" s="88" t="n"/>
      <c r="N1175" s="89" t="n"/>
      <c r="O1175" s="88" t="n"/>
      <c r="P1175" s="88" t="n"/>
      <c r="Q1175" s="88" t="n"/>
      <c r="R1175" s="89" t="n"/>
      <c r="S1175" s="88" t="n"/>
      <c r="T1175" s="88" t="n"/>
      <c r="U1175" s="88" t="n"/>
      <c r="V1175" s="89" t="n"/>
      <c r="W1175" s="88" t="n"/>
      <c r="X1175" s="89" t="n"/>
      <c r="Y1175" s="88" t="n"/>
      <c r="Z1175" s="89" t="n"/>
      <c r="AB1175" s="30">
        <f>IF($B1175="","",(COUNTIF(C1175:E1175,"?*")&lt;N(INDEX(Setup!$L$6:$L$23,18)))+(COUNTIF(G1175:I1175,"?*")&lt;N(INDEX(Setup!$L$6:$L$23,18)))+(COUNTIF(K1175:M1175,"?*")&lt;N(INDEX(Setup!$L$6:$L$23,18)))+(COUNTIF(O1175:Q1175,"?*")&lt;N(INDEX(Setup!$L$6:$L$23,18)))+(COUNTIF(S1175:U1175,"?*")&lt;N(INDEX(Setup!$L$6:$L$23,18)))+((W1175="")*(INDEX(Setup!$M$6:$M$23,18)="Y"))+((Y1175="")*(INDEX(Setup!$M$6:$M$23,18)="Y")))</f>
        <v/>
      </c>
      <c r="AC1175" s="91">
        <f>IF($B1175="","",IF(AB1175=0,"✓ covered","⚠ "&amp;AB1175&amp;IF(AB1175=1," gap"," gaps")))</f>
        <v/>
      </c>
    </row>
    <row r="1176" ht="18" customHeight="1">
      <c r="A1176" t="n">
        <v>24</v>
      </c>
      <c r="B1176" s="78" t="inlineStr">
        <is>
          <t>TEAM AVAILABILITY</t>
        </is>
      </c>
      <c r="C1176" s="92" t="inlineStr">
        <is>
          <t>Mon</t>
        </is>
      </c>
      <c r="D1176" s="93" t="n"/>
      <c r="E1176" s="93" t="n"/>
      <c r="F1176" s="94" t="n"/>
      <c r="G1176" s="92" t="inlineStr">
        <is>
          <t>Tue</t>
        </is>
      </c>
      <c r="H1176" s="93" t="n"/>
      <c r="I1176" s="93" t="n"/>
      <c r="J1176" s="94" t="n"/>
      <c r="K1176" s="92" t="inlineStr">
        <is>
          <t>Wed</t>
        </is>
      </c>
      <c r="L1176" s="93" t="n"/>
      <c r="M1176" s="93" t="n"/>
      <c r="N1176" s="94" t="n"/>
      <c r="O1176" s="92" t="inlineStr">
        <is>
          <t>Thu</t>
        </is>
      </c>
      <c r="P1176" s="93" t="n"/>
      <c r="Q1176" s="93" t="n"/>
      <c r="R1176" s="94" t="n"/>
      <c r="S1176" s="92" t="inlineStr">
        <is>
          <t>Fri</t>
        </is>
      </c>
      <c r="T1176" s="93" t="n"/>
      <c r="U1176" s="93" t="n"/>
      <c r="V1176" s="94" t="n"/>
      <c r="W1176" s="95" t="inlineStr">
        <is>
          <t>Sat</t>
        </is>
      </c>
      <c r="X1176" s="96" t="n"/>
      <c r="Y1176" s="95" t="inlineStr">
        <is>
          <t>Sun</t>
        </is>
      </c>
      <c r="Z1176" s="96" t="n"/>
      <c r="AB1176" s="97" t="inlineStr">
        <is>
          <t>Days rostered</t>
        </is>
      </c>
      <c r="AC1176" s="97" t="inlineStr">
        <is>
          <t>Conflicts</t>
        </is>
      </c>
    </row>
    <row r="1177" ht="15" customHeight="1">
      <c r="A1177" t="n">
        <v>24</v>
      </c>
      <c r="B1177" s="35">
        <f>IF(Setup!$B$6="","",Setup!$B$6)</f>
        <v/>
      </c>
      <c r="C1177" s="98" t="n"/>
      <c r="D1177" s="99" t="n"/>
      <c r="E1177" s="99" t="n"/>
      <c r="F1177" s="100" t="n"/>
      <c r="G1177" s="98" t="n"/>
      <c r="H1177" s="99" t="n"/>
      <c r="I1177" s="99" t="n"/>
      <c r="J1177" s="100" t="n"/>
      <c r="K1177" s="98" t="n"/>
      <c r="L1177" s="99" t="n"/>
      <c r="M1177" s="99" t="n"/>
      <c r="N1177" s="100" t="n"/>
      <c r="O1177" s="98" t="n"/>
      <c r="P1177" s="99" t="n"/>
      <c r="Q1177" s="99" t="n"/>
      <c r="R1177" s="100" t="n"/>
      <c r="S1177" s="98" t="n"/>
      <c r="T1177" s="99" t="n"/>
      <c r="U1177" s="99" t="n"/>
      <c r="V1177" s="100" t="n"/>
      <c r="W1177" s="98" t="n"/>
      <c r="X1177" s="100" t="n"/>
      <c r="Y1177" s="98" t="n"/>
      <c r="Z1177" s="100" t="n"/>
      <c r="AB1177" s="101">
        <f>IF($B1177="","",(COUNTIF(C1158:E1175,$B1177)+COUNTIF(C1158:E1175,$B1177&amp;" ~*")&gt;0)+(COUNTIF(G1158:I1175,$B1177)+COUNTIF(G1158:I1175,$B1177&amp;" ~*")&gt;0)+(COUNTIF(K1158:M1175,$B1177)+COUNTIF(K1158:M1175,$B1177&amp;" ~*")&gt;0)+(COUNTIF(O1158:Q1175,$B1177)+COUNTIF(O1158:Q1175,$B1177&amp;" ~*")&gt;0)+(COUNTIF(S1158:U1175,$B1177)+COUNTIF(S1158:U1175,$B1177&amp;" ~*")&gt;0)+(COUNTIF(W1158:W1175,$B1177)+COUNTIF(W1158:W1175,$B1177&amp;" ~*")&gt;0)+(COUNTIF(Y1158:Y1175,$B1177)+COUNTIF(Y1158:Y1175,$B1177&amp;" ~*")&gt;0))</f>
        <v/>
      </c>
      <c r="AC1177" s="36">
        <f>IF($B1177="","",(IFERROR(INDEX(Setup!$G$33:$G$40,MATCH(C1177,Setup!$B$33:$B$40,0)),0)=1)*(COUNTIF(C1158:E1175,$B1177)+COUNTIF(C1158:E1175,$B1177&amp;" ~*")&gt;0)+(IFERROR(INDEX(Setup!$G$33:$G$40,MATCH(G1177,Setup!$B$33:$B$40,0)),0)=1)*(COUNTIF(G1158:I1175,$B1177)+COUNTIF(G1158:I1175,$B1177&amp;" ~*")&gt;0)+(IFERROR(INDEX(Setup!$G$33:$G$40,MATCH(K1177,Setup!$B$33:$B$40,0)),0)=1)*(COUNTIF(K1158:M1175,$B1177)+COUNTIF(K1158:M1175,$B1177&amp;" ~*")&gt;0)+(IFERROR(INDEX(Setup!$G$33:$G$40,MATCH(O1177,Setup!$B$33:$B$40,0)),0)=1)*(COUNTIF(O1158:Q1175,$B1177)+COUNTIF(O1158:Q1175,$B1177&amp;" ~*")&gt;0)+(IFERROR(INDEX(Setup!$G$33:$G$40,MATCH(S1177,Setup!$B$33:$B$40,0)),0)=1)*(COUNTIF(S1158:U1175,$B1177)+COUNTIF(S1158:U1175,$B1177&amp;" ~*")&gt;0)+(IFERROR(INDEX(Setup!$G$33:$G$40,MATCH(W1177,Setup!$B$33:$B$40,0)),0)=1)*(COUNTIF(W1158:W1175,$B1177)+COUNTIF(W1158:W1175,$B1177&amp;" ~*")&gt;0)+(IFERROR(INDEX(Setup!$G$33:$G$40,MATCH(Y1177,Setup!$B$33:$B$40,0)),0)=1)*(COUNTIF(Y1158:Y1175,$B1177)+COUNTIF(Y1158:Y1175,$B1177&amp;" ~*")&gt;0))</f>
        <v/>
      </c>
    </row>
    <row r="1178" ht="15" customHeight="1">
      <c r="A1178" t="n">
        <v>24</v>
      </c>
      <c r="B1178" s="37">
        <f>IF(Setup!$B$7="","",Setup!$B$7)</f>
        <v/>
      </c>
      <c r="C1178" s="102" t="n"/>
      <c r="D1178" s="103" t="n"/>
      <c r="E1178" s="103" t="n"/>
      <c r="F1178" s="104" t="n"/>
      <c r="G1178" s="102" t="n"/>
      <c r="H1178" s="103" t="n"/>
      <c r="I1178" s="103" t="n"/>
      <c r="J1178" s="104" t="n"/>
      <c r="K1178" s="102" t="n"/>
      <c r="L1178" s="103" t="n"/>
      <c r="M1178" s="103" t="n"/>
      <c r="N1178" s="104" t="n"/>
      <c r="O1178" s="102" t="n"/>
      <c r="P1178" s="103" t="n"/>
      <c r="Q1178" s="103" t="n"/>
      <c r="R1178" s="104" t="n"/>
      <c r="S1178" s="102" t="n"/>
      <c r="T1178" s="103" t="n"/>
      <c r="U1178" s="103" t="n"/>
      <c r="V1178" s="104" t="n"/>
      <c r="W1178" s="102" t="n"/>
      <c r="X1178" s="104" t="n"/>
      <c r="Y1178" s="102" t="n"/>
      <c r="Z1178" s="104" t="n"/>
      <c r="AB1178" s="105">
        <f>IF($B1178="","",(COUNTIF(C1158:E1175,$B1178)+COUNTIF(C1158:E1175,$B1178&amp;" ~*")&gt;0)+(COUNTIF(G1158:I1175,$B1178)+COUNTIF(G1158:I1175,$B1178&amp;" ~*")&gt;0)+(COUNTIF(K1158:M1175,$B1178)+COUNTIF(K1158:M1175,$B1178&amp;" ~*")&gt;0)+(COUNTIF(O1158:Q1175,$B1178)+COUNTIF(O1158:Q1175,$B1178&amp;" ~*")&gt;0)+(COUNTIF(S1158:U1175,$B1178)+COUNTIF(S1158:U1175,$B1178&amp;" ~*")&gt;0)+(COUNTIF(W1158:W1175,$B1178)+COUNTIF(W1158:W1175,$B1178&amp;" ~*")&gt;0)+(COUNTIF(Y1158:Y1175,$B1178)+COUNTIF(Y1158:Y1175,$B1178&amp;" ~*")&gt;0))</f>
        <v/>
      </c>
      <c r="AC1178" s="38">
        <f>IF($B1178="","",(IFERROR(INDEX(Setup!$G$33:$G$40,MATCH(C1178,Setup!$B$33:$B$40,0)),0)=1)*(COUNTIF(C1158:E1175,$B1178)+COUNTIF(C1158:E1175,$B1178&amp;" ~*")&gt;0)+(IFERROR(INDEX(Setup!$G$33:$G$40,MATCH(G1178,Setup!$B$33:$B$40,0)),0)=1)*(COUNTIF(G1158:I1175,$B1178)+COUNTIF(G1158:I1175,$B1178&amp;" ~*")&gt;0)+(IFERROR(INDEX(Setup!$G$33:$G$40,MATCH(K1178,Setup!$B$33:$B$40,0)),0)=1)*(COUNTIF(K1158:M1175,$B1178)+COUNTIF(K1158:M1175,$B1178&amp;" ~*")&gt;0)+(IFERROR(INDEX(Setup!$G$33:$G$40,MATCH(O1178,Setup!$B$33:$B$40,0)),0)=1)*(COUNTIF(O1158:Q1175,$B1178)+COUNTIF(O1158:Q1175,$B1178&amp;" ~*")&gt;0)+(IFERROR(INDEX(Setup!$G$33:$G$40,MATCH(S1178,Setup!$B$33:$B$40,0)),0)=1)*(COUNTIF(S1158:U1175,$B1178)+COUNTIF(S1158:U1175,$B1178&amp;" ~*")&gt;0)+(IFERROR(INDEX(Setup!$G$33:$G$40,MATCH(W1178,Setup!$B$33:$B$40,0)),0)=1)*(COUNTIF(W1158:W1175,$B1178)+COUNTIF(W1158:W1175,$B1178&amp;" ~*")&gt;0)+(IFERROR(INDEX(Setup!$G$33:$G$40,MATCH(Y1178,Setup!$B$33:$B$40,0)),0)=1)*(COUNTIF(Y1158:Y1175,$B1178)+COUNTIF(Y1158:Y1175,$B1178&amp;" ~*")&gt;0))</f>
        <v/>
      </c>
    </row>
    <row r="1179" ht="15" customHeight="1">
      <c r="A1179" t="n">
        <v>24</v>
      </c>
      <c r="B1179" s="35">
        <f>IF(Setup!$B$8="","",Setup!$B$8)</f>
        <v/>
      </c>
      <c r="C1179" s="98" t="n"/>
      <c r="D1179" s="99" t="n"/>
      <c r="E1179" s="99" t="n"/>
      <c r="F1179" s="100" t="n"/>
      <c r="G1179" s="98" t="n"/>
      <c r="H1179" s="99" t="n"/>
      <c r="I1179" s="99" t="n"/>
      <c r="J1179" s="100" t="n"/>
      <c r="K1179" s="98" t="n"/>
      <c r="L1179" s="99" t="n"/>
      <c r="M1179" s="99" t="n"/>
      <c r="N1179" s="100" t="n"/>
      <c r="O1179" s="98" t="n"/>
      <c r="P1179" s="99" t="n"/>
      <c r="Q1179" s="99" t="n"/>
      <c r="R1179" s="100" t="n"/>
      <c r="S1179" s="98" t="n"/>
      <c r="T1179" s="99" t="n"/>
      <c r="U1179" s="99" t="n"/>
      <c r="V1179" s="100" t="n"/>
      <c r="W1179" s="98" t="n"/>
      <c r="X1179" s="100" t="n"/>
      <c r="Y1179" s="98" t="n"/>
      <c r="Z1179" s="100" t="n"/>
      <c r="AB1179" s="101">
        <f>IF($B1179="","",(COUNTIF(C1158:E1175,$B1179)+COUNTIF(C1158:E1175,$B1179&amp;" ~*")&gt;0)+(COUNTIF(G1158:I1175,$B1179)+COUNTIF(G1158:I1175,$B1179&amp;" ~*")&gt;0)+(COUNTIF(K1158:M1175,$B1179)+COUNTIF(K1158:M1175,$B1179&amp;" ~*")&gt;0)+(COUNTIF(O1158:Q1175,$B1179)+COUNTIF(O1158:Q1175,$B1179&amp;" ~*")&gt;0)+(COUNTIF(S1158:U1175,$B1179)+COUNTIF(S1158:U1175,$B1179&amp;" ~*")&gt;0)+(COUNTIF(W1158:W1175,$B1179)+COUNTIF(W1158:W1175,$B1179&amp;" ~*")&gt;0)+(COUNTIF(Y1158:Y1175,$B1179)+COUNTIF(Y1158:Y1175,$B1179&amp;" ~*")&gt;0))</f>
        <v/>
      </c>
      <c r="AC1179" s="36">
        <f>IF($B1179="","",(IFERROR(INDEX(Setup!$G$33:$G$40,MATCH(C1179,Setup!$B$33:$B$40,0)),0)=1)*(COUNTIF(C1158:E1175,$B1179)+COUNTIF(C1158:E1175,$B1179&amp;" ~*")&gt;0)+(IFERROR(INDEX(Setup!$G$33:$G$40,MATCH(G1179,Setup!$B$33:$B$40,0)),0)=1)*(COUNTIF(G1158:I1175,$B1179)+COUNTIF(G1158:I1175,$B1179&amp;" ~*")&gt;0)+(IFERROR(INDEX(Setup!$G$33:$G$40,MATCH(K1179,Setup!$B$33:$B$40,0)),0)=1)*(COUNTIF(K1158:M1175,$B1179)+COUNTIF(K1158:M1175,$B1179&amp;" ~*")&gt;0)+(IFERROR(INDEX(Setup!$G$33:$G$40,MATCH(O1179,Setup!$B$33:$B$40,0)),0)=1)*(COUNTIF(O1158:Q1175,$B1179)+COUNTIF(O1158:Q1175,$B1179&amp;" ~*")&gt;0)+(IFERROR(INDEX(Setup!$G$33:$G$40,MATCH(S1179,Setup!$B$33:$B$40,0)),0)=1)*(COUNTIF(S1158:U1175,$B1179)+COUNTIF(S1158:U1175,$B1179&amp;" ~*")&gt;0)+(IFERROR(INDEX(Setup!$G$33:$G$40,MATCH(W1179,Setup!$B$33:$B$40,0)),0)=1)*(COUNTIF(W1158:W1175,$B1179)+COUNTIF(W1158:W1175,$B1179&amp;" ~*")&gt;0)+(IFERROR(INDEX(Setup!$G$33:$G$40,MATCH(Y1179,Setup!$B$33:$B$40,0)),0)=1)*(COUNTIF(Y1158:Y1175,$B1179)+COUNTIF(Y1158:Y1175,$B1179&amp;" ~*")&gt;0))</f>
        <v/>
      </c>
    </row>
    <row r="1180" ht="15" customHeight="1">
      <c r="A1180" t="n">
        <v>24</v>
      </c>
      <c r="B1180" s="37">
        <f>IF(Setup!$B$9="","",Setup!$B$9)</f>
        <v/>
      </c>
      <c r="C1180" s="102" t="n"/>
      <c r="D1180" s="103" t="n"/>
      <c r="E1180" s="103" t="n"/>
      <c r="F1180" s="104" t="n"/>
      <c r="G1180" s="102" t="n"/>
      <c r="H1180" s="103" t="n"/>
      <c r="I1180" s="103" t="n"/>
      <c r="J1180" s="104" t="n"/>
      <c r="K1180" s="102" t="n"/>
      <c r="L1180" s="103" t="n"/>
      <c r="M1180" s="103" t="n"/>
      <c r="N1180" s="104" t="n"/>
      <c r="O1180" s="102" t="n"/>
      <c r="P1180" s="103" t="n"/>
      <c r="Q1180" s="103" t="n"/>
      <c r="R1180" s="104" t="n"/>
      <c r="S1180" s="102" t="n"/>
      <c r="T1180" s="103" t="n"/>
      <c r="U1180" s="103" t="n"/>
      <c r="V1180" s="104" t="n"/>
      <c r="W1180" s="102" t="n"/>
      <c r="X1180" s="104" t="n"/>
      <c r="Y1180" s="102" t="n"/>
      <c r="Z1180" s="104" t="n"/>
      <c r="AB1180" s="105">
        <f>IF($B1180="","",(COUNTIF(C1158:E1175,$B1180)+COUNTIF(C1158:E1175,$B1180&amp;" ~*")&gt;0)+(COUNTIF(G1158:I1175,$B1180)+COUNTIF(G1158:I1175,$B1180&amp;" ~*")&gt;0)+(COUNTIF(K1158:M1175,$B1180)+COUNTIF(K1158:M1175,$B1180&amp;" ~*")&gt;0)+(COUNTIF(O1158:Q1175,$B1180)+COUNTIF(O1158:Q1175,$B1180&amp;" ~*")&gt;0)+(COUNTIF(S1158:U1175,$B1180)+COUNTIF(S1158:U1175,$B1180&amp;" ~*")&gt;0)+(COUNTIF(W1158:W1175,$B1180)+COUNTIF(W1158:W1175,$B1180&amp;" ~*")&gt;0)+(COUNTIF(Y1158:Y1175,$B1180)+COUNTIF(Y1158:Y1175,$B1180&amp;" ~*")&gt;0))</f>
        <v/>
      </c>
      <c r="AC1180" s="38">
        <f>IF($B1180="","",(IFERROR(INDEX(Setup!$G$33:$G$40,MATCH(C1180,Setup!$B$33:$B$40,0)),0)=1)*(COUNTIF(C1158:E1175,$B1180)+COUNTIF(C1158:E1175,$B1180&amp;" ~*")&gt;0)+(IFERROR(INDEX(Setup!$G$33:$G$40,MATCH(G1180,Setup!$B$33:$B$40,0)),0)=1)*(COUNTIF(G1158:I1175,$B1180)+COUNTIF(G1158:I1175,$B1180&amp;" ~*")&gt;0)+(IFERROR(INDEX(Setup!$G$33:$G$40,MATCH(K1180,Setup!$B$33:$B$40,0)),0)=1)*(COUNTIF(K1158:M1175,$B1180)+COUNTIF(K1158:M1175,$B1180&amp;" ~*")&gt;0)+(IFERROR(INDEX(Setup!$G$33:$G$40,MATCH(O1180,Setup!$B$33:$B$40,0)),0)=1)*(COUNTIF(O1158:Q1175,$B1180)+COUNTIF(O1158:Q1175,$B1180&amp;" ~*")&gt;0)+(IFERROR(INDEX(Setup!$G$33:$G$40,MATCH(S1180,Setup!$B$33:$B$40,0)),0)=1)*(COUNTIF(S1158:U1175,$B1180)+COUNTIF(S1158:U1175,$B1180&amp;" ~*")&gt;0)+(IFERROR(INDEX(Setup!$G$33:$G$40,MATCH(W1180,Setup!$B$33:$B$40,0)),0)=1)*(COUNTIF(W1158:W1175,$B1180)+COUNTIF(W1158:W1175,$B1180&amp;" ~*")&gt;0)+(IFERROR(INDEX(Setup!$G$33:$G$40,MATCH(Y1180,Setup!$B$33:$B$40,0)),0)=1)*(COUNTIF(Y1158:Y1175,$B1180)+COUNTIF(Y1158:Y1175,$B1180&amp;" ~*")&gt;0))</f>
        <v/>
      </c>
    </row>
    <row r="1181" ht="15" customHeight="1">
      <c r="A1181" t="n">
        <v>24</v>
      </c>
      <c r="B1181" s="35">
        <f>IF(Setup!$B$10="","",Setup!$B$10)</f>
        <v/>
      </c>
      <c r="C1181" s="98" t="inlineStr">
        <is>
          <t>AL</t>
        </is>
      </c>
      <c r="D1181" s="99" t="n"/>
      <c r="E1181" s="99" t="n"/>
      <c r="F1181" s="100" t="n"/>
      <c r="G1181" s="98" t="inlineStr">
        <is>
          <t>AL</t>
        </is>
      </c>
      <c r="H1181" s="99" t="n"/>
      <c r="I1181" s="99" t="n"/>
      <c r="J1181" s="100" t="n"/>
      <c r="K1181" s="98" t="inlineStr">
        <is>
          <t>AL</t>
        </is>
      </c>
      <c r="L1181" s="99" t="n"/>
      <c r="M1181" s="99" t="n"/>
      <c r="N1181" s="100" t="n"/>
      <c r="O1181" s="98" t="inlineStr">
        <is>
          <t>AL</t>
        </is>
      </c>
      <c r="P1181" s="99" t="n"/>
      <c r="Q1181" s="99" t="n"/>
      <c r="R1181" s="100" t="n"/>
      <c r="S1181" s="98" t="inlineStr">
        <is>
          <t>AL</t>
        </is>
      </c>
      <c r="T1181" s="99" t="n"/>
      <c r="U1181" s="99" t="n"/>
      <c r="V1181" s="100" t="n"/>
      <c r="W1181" s="98" t="n"/>
      <c r="X1181" s="100" t="n"/>
      <c r="Y1181" s="98" t="n"/>
      <c r="Z1181" s="100" t="n"/>
      <c r="AB1181" s="101">
        <f>IF($B1181="","",(COUNTIF(C1158:E1175,$B1181)+COUNTIF(C1158:E1175,$B1181&amp;" ~*")&gt;0)+(COUNTIF(G1158:I1175,$B1181)+COUNTIF(G1158:I1175,$B1181&amp;" ~*")&gt;0)+(COUNTIF(K1158:M1175,$B1181)+COUNTIF(K1158:M1175,$B1181&amp;" ~*")&gt;0)+(COUNTIF(O1158:Q1175,$B1181)+COUNTIF(O1158:Q1175,$B1181&amp;" ~*")&gt;0)+(COUNTIF(S1158:U1175,$B1181)+COUNTIF(S1158:U1175,$B1181&amp;" ~*")&gt;0)+(COUNTIF(W1158:W1175,$B1181)+COUNTIF(W1158:W1175,$B1181&amp;" ~*")&gt;0)+(COUNTIF(Y1158:Y1175,$B1181)+COUNTIF(Y1158:Y1175,$B1181&amp;" ~*")&gt;0))</f>
        <v/>
      </c>
      <c r="AC1181" s="36">
        <f>IF($B1181="","",(IFERROR(INDEX(Setup!$G$33:$G$40,MATCH(C1181,Setup!$B$33:$B$40,0)),0)=1)*(COUNTIF(C1158:E1175,$B1181)+COUNTIF(C1158:E1175,$B1181&amp;" ~*")&gt;0)+(IFERROR(INDEX(Setup!$G$33:$G$40,MATCH(G1181,Setup!$B$33:$B$40,0)),0)=1)*(COUNTIF(G1158:I1175,$B1181)+COUNTIF(G1158:I1175,$B1181&amp;" ~*")&gt;0)+(IFERROR(INDEX(Setup!$G$33:$G$40,MATCH(K1181,Setup!$B$33:$B$40,0)),0)=1)*(COUNTIF(K1158:M1175,$B1181)+COUNTIF(K1158:M1175,$B1181&amp;" ~*")&gt;0)+(IFERROR(INDEX(Setup!$G$33:$G$40,MATCH(O1181,Setup!$B$33:$B$40,0)),0)=1)*(COUNTIF(O1158:Q1175,$B1181)+COUNTIF(O1158:Q1175,$B1181&amp;" ~*")&gt;0)+(IFERROR(INDEX(Setup!$G$33:$G$40,MATCH(S1181,Setup!$B$33:$B$40,0)),0)=1)*(COUNTIF(S1158:U1175,$B1181)+COUNTIF(S1158:U1175,$B1181&amp;" ~*")&gt;0)+(IFERROR(INDEX(Setup!$G$33:$G$40,MATCH(W1181,Setup!$B$33:$B$40,0)),0)=1)*(COUNTIF(W1158:W1175,$B1181)+COUNTIF(W1158:W1175,$B1181&amp;" ~*")&gt;0)+(IFERROR(INDEX(Setup!$G$33:$G$40,MATCH(Y1181,Setup!$B$33:$B$40,0)),0)=1)*(COUNTIF(Y1158:Y1175,$B1181)+COUNTIF(Y1158:Y1175,$B1181&amp;" ~*")&gt;0))</f>
        <v/>
      </c>
    </row>
    <row r="1182" ht="15" customHeight="1">
      <c r="A1182" t="n">
        <v>24</v>
      </c>
      <c r="B1182" s="37">
        <f>IF(Setup!$B$11="","",Setup!$B$11)</f>
        <v/>
      </c>
      <c r="C1182" s="102" t="n"/>
      <c r="D1182" s="103" t="n"/>
      <c r="E1182" s="103" t="n"/>
      <c r="F1182" s="104" t="n"/>
      <c r="G1182" s="102" t="n"/>
      <c r="H1182" s="103" t="n"/>
      <c r="I1182" s="103" t="n"/>
      <c r="J1182" s="104" t="n"/>
      <c r="K1182" s="102" t="n"/>
      <c r="L1182" s="103" t="n"/>
      <c r="M1182" s="103" t="n"/>
      <c r="N1182" s="104" t="n"/>
      <c r="O1182" s="102" t="n"/>
      <c r="P1182" s="103" t="n"/>
      <c r="Q1182" s="103" t="n"/>
      <c r="R1182" s="104" t="n"/>
      <c r="S1182" s="102" t="n"/>
      <c r="T1182" s="103" t="n"/>
      <c r="U1182" s="103" t="n"/>
      <c r="V1182" s="104" t="n"/>
      <c r="W1182" s="102" t="n"/>
      <c r="X1182" s="104" t="n"/>
      <c r="Y1182" s="102" t="n"/>
      <c r="Z1182" s="104" t="n"/>
      <c r="AB1182" s="105">
        <f>IF($B1182="","",(COUNTIF(C1158:E1175,$B1182)+COUNTIF(C1158:E1175,$B1182&amp;" ~*")&gt;0)+(COUNTIF(G1158:I1175,$B1182)+COUNTIF(G1158:I1175,$B1182&amp;" ~*")&gt;0)+(COUNTIF(K1158:M1175,$B1182)+COUNTIF(K1158:M1175,$B1182&amp;" ~*")&gt;0)+(COUNTIF(O1158:Q1175,$B1182)+COUNTIF(O1158:Q1175,$B1182&amp;" ~*")&gt;0)+(COUNTIF(S1158:U1175,$B1182)+COUNTIF(S1158:U1175,$B1182&amp;" ~*")&gt;0)+(COUNTIF(W1158:W1175,$B1182)+COUNTIF(W1158:W1175,$B1182&amp;" ~*")&gt;0)+(COUNTIF(Y1158:Y1175,$B1182)+COUNTIF(Y1158:Y1175,$B1182&amp;" ~*")&gt;0))</f>
        <v/>
      </c>
      <c r="AC1182" s="38">
        <f>IF($B1182="","",(IFERROR(INDEX(Setup!$G$33:$G$40,MATCH(C1182,Setup!$B$33:$B$40,0)),0)=1)*(COUNTIF(C1158:E1175,$B1182)+COUNTIF(C1158:E1175,$B1182&amp;" ~*")&gt;0)+(IFERROR(INDEX(Setup!$G$33:$G$40,MATCH(G1182,Setup!$B$33:$B$40,0)),0)=1)*(COUNTIF(G1158:I1175,$B1182)+COUNTIF(G1158:I1175,$B1182&amp;" ~*")&gt;0)+(IFERROR(INDEX(Setup!$G$33:$G$40,MATCH(K1182,Setup!$B$33:$B$40,0)),0)=1)*(COUNTIF(K1158:M1175,$B1182)+COUNTIF(K1158:M1175,$B1182&amp;" ~*")&gt;0)+(IFERROR(INDEX(Setup!$G$33:$G$40,MATCH(O1182,Setup!$B$33:$B$40,0)),0)=1)*(COUNTIF(O1158:Q1175,$B1182)+COUNTIF(O1158:Q1175,$B1182&amp;" ~*")&gt;0)+(IFERROR(INDEX(Setup!$G$33:$G$40,MATCH(S1182,Setup!$B$33:$B$40,0)),0)=1)*(COUNTIF(S1158:U1175,$B1182)+COUNTIF(S1158:U1175,$B1182&amp;" ~*")&gt;0)+(IFERROR(INDEX(Setup!$G$33:$G$40,MATCH(W1182,Setup!$B$33:$B$40,0)),0)=1)*(COUNTIF(W1158:W1175,$B1182)+COUNTIF(W1158:W1175,$B1182&amp;" ~*")&gt;0)+(IFERROR(INDEX(Setup!$G$33:$G$40,MATCH(Y1182,Setup!$B$33:$B$40,0)),0)=1)*(COUNTIF(Y1158:Y1175,$B1182)+COUNTIF(Y1158:Y1175,$B1182&amp;" ~*")&gt;0))</f>
        <v/>
      </c>
    </row>
    <row r="1183" ht="15" customHeight="1">
      <c r="A1183" t="n">
        <v>24</v>
      </c>
      <c r="B1183" s="35">
        <f>IF(Setup!$B$12="","",Setup!$B$12)</f>
        <v/>
      </c>
      <c r="C1183" s="98" t="n"/>
      <c r="D1183" s="99" t="n"/>
      <c r="E1183" s="99" t="n"/>
      <c r="F1183" s="100" t="n"/>
      <c r="G1183" s="98" t="n"/>
      <c r="H1183" s="99" t="n"/>
      <c r="I1183" s="99" t="n"/>
      <c r="J1183" s="100" t="n"/>
      <c r="K1183" s="98" t="n"/>
      <c r="L1183" s="99" t="n"/>
      <c r="M1183" s="99" t="n"/>
      <c r="N1183" s="100" t="n"/>
      <c r="O1183" s="98" t="n"/>
      <c r="P1183" s="99" t="n"/>
      <c r="Q1183" s="99" t="n"/>
      <c r="R1183" s="100" t="n"/>
      <c r="S1183" s="98" t="n"/>
      <c r="T1183" s="99" t="n"/>
      <c r="U1183" s="99" t="n"/>
      <c r="V1183" s="100" t="n"/>
      <c r="W1183" s="98" t="n"/>
      <c r="X1183" s="100" t="n"/>
      <c r="Y1183" s="98" t="n"/>
      <c r="Z1183" s="100" t="n"/>
      <c r="AB1183" s="101">
        <f>IF($B1183="","",(COUNTIF(C1158:E1175,$B1183)+COUNTIF(C1158:E1175,$B1183&amp;" ~*")&gt;0)+(COUNTIF(G1158:I1175,$B1183)+COUNTIF(G1158:I1175,$B1183&amp;" ~*")&gt;0)+(COUNTIF(K1158:M1175,$B1183)+COUNTIF(K1158:M1175,$B1183&amp;" ~*")&gt;0)+(COUNTIF(O1158:Q1175,$B1183)+COUNTIF(O1158:Q1175,$B1183&amp;" ~*")&gt;0)+(COUNTIF(S1158:U1175,$B1183)+COUNTIF(S1158:U1175,$B1183&amp;" ~*")&gt;0)+(COUNTIF(W1158:W1175,$B1183)+COUNTIF(W1158:W1175,$B1183&amp;" ~*")&gt;0)+(COUNTIF(Y1158:Y1175,$B1183)+COUNTIF(Y1158:Y1175,$B1183&amp;" ~*")&gt;0))</f>
        <v/>
      </c>
      <c r="AC1183" s="36">
        <f>IF($B1183="","",(IFERROR(INDEX(Setup!$G$33:$G$40,MATCH(C1183,Setup!$B$33:$B$40,0)),0)=1)*(COUNTIF(C1158:E1175,$B1183)+COUNTIF(C1158:E1175,$B1183&amp;" ~*")&gt;0)+(IFERROR(INDEX(Setup!$G$33:$G$40,MATCH(G1183,Setup!$B$33:$B$40,0)),0)=1)*(COUNTIF(G1158:I1175,$B1183)+COUNTIF(G1158:I1175,$B1183&amp;" ~*")&gt;0)+(IFERROR(INDEX(Setup!$G$33:$G$40,MATCH(K1183,Setup!$B$33:$B$40,0)),0)=1)*(COUNTIF(K1158:M1175,$B1183)+COUNTIF(K1158:M1175,$B1183&amp;" ~*")&gt;0)+(IFERROR(INDEX(Setup!$G$33:$G$40,MATCH(O1183,Setup!$B$33:$B$40,0)),0)=1)*(COUNTIF(O1158:Q1175,$B1183)+COUNTIF(O1158:Q1175,$B1183&amp;" ~*")&gt;0)+(IFERROR(INDEX(Setup!$G$33:$G$40,MATCH(S1183,Setup!$B$33:$B$40,0)),0)=1)*(COUNTIF(S1158:U1175,$B1183)+COUNTIF(S1158:U1175,$B1183&amp;" ~*")&gt;0)+(IFERROR(INDEX(Setup!$G$33:$G$40,MATCH(W1183,Setup!$B$33:$B$40,0)),0)=1)*(COUNTIF(W1158:W1175,$B1183)+COUNTIF(W1158:W1175,$B1183&amp;" ~*")&gt;0)+(IFERROR(INDEX(Setup!$G$33:$G$40,MATCH(Y1183,Setup!$B$33:$B$40,0)),0)=1)*(COUNTIF(Y1158:Y1175,$B1183)+COUNTIF(Y1158:Y1175,$B1183&amp;" ~*")&gt;0))</f>
        <v/>
      </c>
    </row>
    <row r="1184" ht="15" customHeight="1">
      <c r="A1184" t="n">
        <v>24</v>
      </c>
      <c r="B1184" s="37">
        <f>IF(Setup!$B$13="","",Setup!$B$13)</f>
        <v/>
      </c>
      <c r="C1184" s="102" t="n"/>
      <c r="D1184" s="103" t="n"/>
      <c r="E1184" s="103" t="n"/>
      <c r="F1184" s="104" t="n"/>
      <c r="G1184" s="102" t="n"/>
      <c r="H1184" s="103" t="n"/>
      <c r="I1184" s="103" t="n"/>
      <c r="J1184" s="104" t="n"/>
      <c r="K1184" s="102" t="n"/>
      <c r="L1184" s="103" t="n"/>
      <c r="M1184" s="103" t="n"/>
      <c r="N1184" s="104" t="n"/>
      <c r="O1184" s="102" t="n"/>
      <c r="P1184" s="103" t="n"/>
      <c r="Q1184" s="103" t="n"/>
      <c r="R1184" s="104" t="n"/>
      <c r="S1184" s="102" t="n"/>
      <c r="T1184" s="103" t="n"/>
      <c r="U1184" s="103" t="n"/>
      <c r="V1184" s="104" t="n"/>
      <c r="W1184" s="102" t="n"/>
      <c r="X1184" s="104" t="n"/>
      <c r="Y1184" s="102" t="n"/>
      <c r="Z1184" s="104" t="n"/>
      <c r="AB1184" s="105">
        <f>IF($B1184="","",(COUNTIF(C1158:E1175,$B1184)+COUNTIF(C1158:E1175,$B1184&amp;" ~*")&gt;0)+(COUNTIF(G1158:I1175,$B1184)+COUNTIF(G1158:I1175,$B1184&amp;" ~*")&gt;0)+(COUNTIF(K1158:M1175,$B1184)+COUNTIF(K1158:M1175,$B1184&amp;" ~*")&gt;0)+(COUNTIF(O1158:Q1175,$B1184)+COUNTIF(O1158:Q1175,$B1184&amp;" ~*")&gt;0)+(COUNTIF(S1158:U1175,$B1184)+COUNTIF(S1158:U1175,$B1184&amp;" ~*")&gt;0)+(COUNTIF(W1158:W1175,$B1184)+COUNTIF(W1158:W1175,$B1184&amp;" ~*")&gt;0)+(COUNTIF(Y1158:Y1175,$B1184)+COUNTIF(Y1158:Y1175,$B1184&amp;" ~*")&gt;0))</f>
        <v/>
      </c>
      <c r="AC1184" s="38">
        <f>IF($B1184="","",(IFERROR(INDEX(Setup!$G$33:$G$40,MATCH(C1184,Setup!$B$33:$B$40,0)),0)=1)*(COUNTIF(C1158:E1175,$B1184)+COUNTIF(C1158:E1175,$B1184&amp;" ~*")&gt;0)+(IFERROR(INDEX(Setup!$G$33:$G$40,MATCH(G1184,Setup!$B$33:$B$40,0)),0)=1)*(COUNTIF(G1158:I1175,$B1184)+COUNTIF(G1158:I1175,$B1184&amp;" ~*")&gt;0)+(IFERROR(INDEX(Setup!$G$33:$G$40,MATCH(K1184,Setup!$B$33:$B$40,0)),0)=1)*(COUNTIF(K1158:M1175,$B1184)+COUNTIF(K1158:M1175,$B1184&amp;" ~*")&gt;0)+(IFERROR(INDEX(Setup!$G$33:$G$40,MATCH(O1184,Setup!$B$33:$B$40,0)),0)=1)*(COUNTIF(O1158:Q1175,$B1184)+COUNTIF(O1158:Q1175,$B1184&amp;" ~*")&gt;0)+(IFERROR(INDEX(Setup!$G$33:$G$40,MATCH(S1184,Setup!$B$33:$B$40,0)),0)=1)*(COUNTIF(S1158:U1175,$B1184)+COUNTIF(S1158:U1175,$B1184&amp;" ~*")&gt;0)+(IFERROR(INDEX(Setup!$G$33:$G$40,MATCH(W1184,Setup!$B$33:$B$40,0)),0)=1)*(COUNTIF(W1158:W1175,$B1184)+COUNTIF(W1158:W1175,$B1184&amp;" ~*")&gt;0)+(IFERROR(INDEX(Setup!$G$33:$G$40,MATCH(Y1184,Setup!$B$33:$B$40,0)),0)=1)*(COUNTIF(Y1158:Y1175,$B1184)+COUNTIF(Y1158:Y1175,$B1184&amp;" ~*")&gt;0))</f>
        <v/>
      </c>
    </row>
    <row r="1185" ht="15" customHeight="1">
      <c r="A1185" t="n">
        <v>24</v>
      </c>
      <c r="B1185" s="35">
        <f>IF(Setup!$B$14="","",Setup!$B$14)</f>
        <v/>
      </c>
      <c r="C1185" s="98" t="n"/>
      <c r="D1185" s="99" t="n"/>
      <c r="E1185" s="99" t="n"/>
      <c r="F1185" s="100" t="n"/>
      <c r="G1185" s="98" t="n"/>
      <c r="H1185" s="99" t="n"/>
      <c r="I1185" s="99" t="n"/>
      <c r="J1185" s="100" t="n"/>
      <c r="K1185" s="98" t="n"/>
      <c r="L1185" s="99" t="n"/>
      <c r="M1185" s="99" t="n"/>
      <c r="N1185" s="100" t="n"/>
      <c r="O1185" s="98" t="n"/>
      <c r="P1185" s="99" t="n"/>
      <c r="Q1185" s="99" t="n"/>
      <c r="R1185" s="100" t="n"/>
      <c r="S1185" s="98" t="n"/>
      <c r="T1185" s="99" t="n"/>
      <c r="U1185" s="99" t="n"/>
      <c r="V1185" s="100" t="n"/>
      <c r="W1185" s="98" t="n"/>
      <c r="X1185" s="100" t="n"/>
      <c r="Y1185" s="98" t="n"/>
      <c r="Z1185" s="100" t="n"/>
      <c r="AB1185" s="101">
        <f>IF($B1185="","",(COUNTIF(C1158:E1175,$B1185)+COUNTIF(C1158:E1175,$B1185&amp;" ~*")&gt;0)+(COUNTIF(G1158:I1175,$B1185)+COUNTIF(G1158:I1175,$B1185&amp;" ~*")&gt;0)+(COUNTIF(K1158:M1175,$B1185)+COUNTIF(K1158:M1175,$B1185&amp;" ~*")&gt;0)+(COUNTIF(O1158:Q1175,$B1185)+COUNTIF(O1158:Q1175,$B1185&amp;" ~*")&gt;0)+(COUNTIF(S1158:U1175,$B1185)+COUNTIF(S1158:U1175,$B1185&amp;" ~*")&gt;0)+(COUNTIF(W1158:W1175,$B1185)+COUNTIF(W1158:W1175,$B1185&amp;" ~*")&gt;0)+(COUNTIF(Y1158:Y1175,$B1185)+COUNTIF(Y1158:Y1175,$B1185&amp;" ~*")&gt;0))</f>
        <v/>
      </c>
      <c r="AC1185" s="36">
        <f>IF($B1185="","",(IFERROR(INDEX(Setup!$G$33:$G$40,MATCH(C1185,Setup!$B$33:$B$40,0)),0)=1)*(COUNTIF(C1158:E1175,$B1185)+COUNTIF(C1158:E1175,$B1185&amp;" ~*")&gt;0)+(IFERROR(INDEX(Setup!$G$33:$G$40,MATCH(G1185,Setup!$B$33:$B$40,0)),0)=1)*(COUNTIF(G1158:I1175,$B1185)+COUNTIF(G1158:I1175,$B1185&amp;" ~*")&gt;0)+(IFERROR(INDEX(Setup!$G$33:$G$40,MATCH(K1185,Setup!$B$33:$B$40,0)),0)=1)*(COUNTIF(K1158:M1175,$B1185)+COUNTIF(K1158:M1175,$B1185&amp;" ~*")&gt;0)+(IFERROR(INDEX(Setup!$G$33:$G$40,MATCH(O1185,Setup!$B$33:$B$40,0)),0)=1)*(COUNTIF(O1158:Q1175,$B1185)+COUNTIF(O1158:Q1175,$B1185&amp;" ~*")&gt;0)+(IFERROR(INDEX(Setup!$G$33:$G$40,MATCH(S1185,Setup!$B$33:$B$40,0)),0)=1)*(COUNTIF(S1158:U1175,$B1185)+COUNTIF(S1158:U1175,$B1185&amp;" ~*")&gt;0)+(IFERROR(INDEX(Setup!$G$33:$G$40,MATCH(W1185,Setup!$B$33:$B$40,0)),0)=1)*(COUNTIF(W1158:W1175,$B1185)+COUNTIF(W1158:W1175,$B1185&amp;" ~*")&gt;0)+(IFERROR(INDEX(Setup!$G$33:$G$40,MATCH(Y1185,Setup!$B$33:$B$40,0)),0)=1)*(COUNTIF(Y1158:Y1175,$B1185)+COUNTIF(Y1158:Y1175,$B1185&amp;" ~*")&gt;0))</f>
        <v/>
      </c>
    </row>
    <row r="1186" ht="15" customHeight="1">
      <c r="A1186" t="n">
        <v>24</v>
      </c>
      <c r="B1186" s="37">
        <f>IF(Setup!$B$15="","",Setup!$B$15)</f>
        <v/>
      </c>
      <c r="C1186" s="102" t="n"/>
      <c r="D1186" s="103" t="n"/>
      <c r="E1186" s="103" t="n"/>
      <c r="F1186" s="104" t="n"/>
      <c r="G1186" s="102" t="n"/>
      <c r="H1186" s="103" t="n"/>
      <c r="I1186" s="103" t="n"/>
      <c r="J1186" s="104" t="n"/>
      <c r="K1186" s="102" t="n"/>
      <c r="L1186" s="103" t="n"/>
      <c r="M1186" s="103" t="n"/>
      <c r="N1186" s="104" t="n"/>
      <c r="O1186" s="102" t="n"/>
      <c r="P1186" s="103" t="n"/>
      <c r="Q1186" s="103" t="n"/>
      <c r="R1186" s="104" t="n"/>
      <c r="S1186" s="102" t="n"/>
      <c r="T1186" s="103" t="n"/>
      <c r="U1186" s="103" t="n"/>
      <c r="V1186" s="104" t="n"/>
      <c r="W1186" s="102" t="n"/>
      <c r="X1186" s="104" t="n"/>
      <c r="Y1186" s="102" t="n"/>
      <c r="Z1186" s="104" t="n"/>
      <c r="AB1186" s="105">
        <f>IF($B1186="","",(COUNTIF(C1158:E1175,$B1186)+COUNTIF(C1158:E1175,$B1186&amp;" ~*")&gt;0)+(COUNTIF(G1158:I1175,$B1186)+COUNTIF(G1158:I1175,$B1186&amp;" ~*")&gt;0)+(COUNTIF(K1158:M1175,$B1186)+COUNTIF(K1158:M1175,$B1186&amp;" ~*")&gt;0)+(COUNTIF(O1158:Q1175,$B1186)+COUNTIF(O1158:Q1175,$B1186&amp;" ~*")&gt;0)+(COUNTIF(S1158:U1175,$B1186)+COUNTIF(S1158:U1175,$B1186&amp;" ~*")&gt;0)+(COUNTIF(W1158:W1175,$B1186)+COUNTIF(W1158:W1175,$B1186&amp;" ~*")&gt;0)+(COUNTIF(Y1158:Y1175,$B1186)+COUNTIF(Y1158:Y1175,$B1186&amp;" ~*")&gt;0))</f>
        <v/>
      </c>
      <c r="AC1186" s="38">
        <f>IF($B1186="","",(IFERROR(INDEX(Setup!$G$33:$G$40,MATCH(C1186,Setup!$B$33:$B$40,0)),0)=1)*(COUNTIF(C1158:E1175,$B1186)+COUNTIF(C1158:E1175,$B1186&amp;" ~*")&gt;0)+(IFERROR(INDEX(Setup!$G$33:$G$40,MATCH(G1186,Setup!$B$33:$B$40,0)),0)=1)*(COUNTIF(G1158:I1175,$B1186)+COUNTIF(G1158:I1175,$B1186&amp;" ~*")&gt;0)+(IFERROR(INDEX(Setup!$G$33:$G$40,MATCH(K1186,Setup!$B$33:$B$40,0)),0)=1)*(COUNTIF(K1158:M1175,$B1186)+COUNTIF(K1158:M1175,$B1186&amp;" ~*")&gt;0)+(IFERROR(INDEX(Setup!$G$33:$G$40,MATCH(O1186,Setup!$B$33:$B$40,0)),0)=1)*(COUNTIF(O1158:Q1175,$B1186)+COUNTIF(O1158:Q1175,$B1186&amp;" ~*")&gt;0)+(IFERROR(INDEX(Setup!$G$33:$G$40,MATCH(S1186,Setup!$B$33:$B$40,0)),0)=1)*(COUNTIF(S1158:U1175,$B1186)+COUNTIF(S1158:U1175,$B1186&amp;" ~*")&gt;0)+(IFERROR(INDEX(Setup!$G$33:$G$40,MATCH(W1186,Setup!$B$33:$B$40,0)),0)=1)*(COUNTIF(W1158:W1175,$B1186)+COUNTIF(W1158:W1175,$B1186&amp;" ~*")&gt;0)+(IFERROR(INDEX(Setup!$G$33:$G$40,MATCH(Y1186,Setup!$B$33:$B$40,0)),0)=1)*(COUNTIF(Y1158:Y1175,$B1186)+COUNTIF(Y1158:Y1175,$B1186&amp;" ~*")&gt;0))</f>
        <v/>
      </c>
    </row>
    <row r="1187" ht="15" customHeight="1">
      <c r="A1187" t="n">
        <v>24</v>
      </c>
      <c r="B1187" s="35">
        <f>IF(Setup!$B$16="","",Setup!$B$16)</f>
        <v/>
      </c>
      <c r="C1187" s="98" t="n"/>
      <c r="D1187" s="99" t="n"/>
      <c r="E1187" s="99" t="n"/>
      <c r="F1187" s="100" t="n"/>
      <c r="G1187" s="98" t="n"/>
      <c r="H1187" s="99" t="n"/>
      <c r="I1187" s="99" t="n"/>
      <c r="J1187" s="100" t="n"/>
      <c r="K1187" s="98" t="n"/>
      <c r="L1187" s="99" t="n"/>
      <c r="M1187" s="99" t="n"/>
      <c r="N1187" s="100" t="n"/>
      <c r="O1187" s="98" t="n"/>
      <c r="P1187" s="99" t="n"/>
      <c r="Q1187" s="99" t="n"/>
      <c r="R1187" s="100" t="n"/>
      <c r="S1187" s="98" t="n"/>
      <c r="T1187" s="99" t="n"/>
      <c r="U1187" s="99" t="n"/>
      <c r="V1187" s="100" t="n"/>
      <c r="W1187" s="98" t="n"/>
      <c r="X1187" s="100" t="n"/>
      <c r="Y1187" s="98" t="n"/>
      <c r="Z1187" s="100" t="n"/>
      <c r="AB1187" s="101">
        <f>IF($B1187="","",(COUNTIF(C1158:E1175,$B1187)+COUNTIF(C1158:E1175,$B1187&amp;" ~*")&gt;0)+(COUNTIF(G1158:I1175,$B1187)+COUNTIF(G1158:I1175,$B1187&amp;" ~*")&gt;0)+(COUNTIF(K1158:M1175,$B1187)+COUNTIF(K1158:M1175,$B1187&amp;" ~*")&gt;0)+(COUNTIF(O1158:Q1175,$B1187)+COUNTIF(O1158:Q1175,$B1187&amp;" ~*")&gt;0)+(COUNTIF(S1158:U1175,$B1187)+COUNTIF(S1158:U1175,$B1187&amp;" ~*")&gt;0)+(COUNTIF(W1158:W1175,$B1187)+COUNTIF(W1158:W1175,$B1187&amp;" ~*")&gt;0)+(COUNTIF(Y1158:Y1175,$B1187)+COUNTIF(Y1158:Y1175,$B1187&amp;" ~*")&gt;0))</f>
        <v/>
      </c>
      <c r="AC1187" s="36">
        <f>IF($B1187="","",(IFERROR(INDEX(Setup!$G$33:$G$40,MATCH(C1187,Setup!$B$33:$B$40,0)),0)=1)*(COUNTIF(C1158:E1175,$B1187)+COUNTIF(C1158:E1175,$B1187&amp;" ~*")&gt;0)+(IFERROR(INDEX(Setup!$G$33:$G$40,MATCH(G1187,Setup!$B$33:$B$40,0)),0)=1)*(COUNTIF(G1158:I1175,$B1187)+COUNTIF(G1158:I1175,$B1187&amp;" ~*")&gt;0)+(IFERROR(INDEX(Setup!$G$33:$G$40,MATCH(K1187,Setup!$B$33:$B$40,0)),0)=1)*(COUNTIF(K1158:M1175,$B1187)+COUNTIF(K1158:M1175,$B1187&amp;" ~*")&gt;0)+(IFERROR(INDEX(Setup!$G$33:$G$40,MATCH(O1187,Setup!$B$33:$B$40,0)),0)=1)*(COUNTIF(O1158:Q1175,$B1187)+COUNTIF(O1158:Q1175,$B1187&amp;" ~*")&gt;0)+(IFERROR(INDEX(Setup!$G$33:$G$40,MATCH(S1187,Setup!$B$33:$B$40,0)),0)=1)*(COUNTIF(S1158:U1175,$B1187)+COUNTIF(S1158:U1175,$B1187&amp;" ~*")&gt;0)+(IFERROR(INDEX(Setup!$G$33:$G$40,MATCH(W1187,Setup!$B$33:$B$40,0)),0)=1)*(COUNTIF(W1158:W1175,$B1187)+COUNTIF(W1158:W1175,$B1187&amp;" ~*")&gt;0)+(IFERROR(INDEX(Setup!$G$33:$G$40,MATCH(Y1187,Setup!$B$33:$B$40,0)),0)=1)*(COUNTIF(Y1158:Y1175,$B1187)+COUNTIF(Y1158:Y1175,$B1187&amp;" ~*")&gt;0))</f>
        <v/>
      </c>
    </row>
    <row r="1188" ht="15" customHeight="1">
      <c r="A1188" t="n">
        <v>24</v>
      </c>
      <c r="B1188" s="37">
        <f>IF(Setup!$B$17="","",Setup!$B$17)</f>
        <v/>
      </c>
      <c r="C1188" s="102" t="n"/>
      <c r="D1188" s="103" t="n"/>
      <c r="E1188" s="103" t="n"/>
      <c r="F1188" s="104" t="n"/>
      <c r="G1188" s="102" t="n"/>
      <c r="H1188" s="103" t="n"/>
      <c r="I1188" s="103" t="n"/>
      <c r="J1188" s="104" t="n"/>
      <c r="K1188" s="102" t="n"/>
      <c r="L1188" s="103" t="n"/>
      <c r="M1188" s="103" t="n"/>
      <c r="N1188" s="104" t="n"/>
      <c r="O1188" s="102" t="n"/>
      <c r="P1188" s="103" t="n"/>
      <c r="Q1188" s="103" t="n"/>
      <c r="R1188" s="104" t="n"/>
      <c r="S1188" s="102" t="n"/>
      <c r="T1188" s="103" t="n"/>
      <c r="U1188" s="103" t="n"/>
      <c r="V1188" s="104" t="n"/>
      <c r="W1188" s="102" t="n"/>
      <c r="X1188" s="104" t="n"/>
      <c r="Y1188" s="102" t="n"/>
      <c r="Z1188" s="104" t="n"/>
      <c r="AB1188" s="105">
        <f>IF($B1188="","",(COUNTIF(C1158:E1175,$B1188)+COUNTIF(C1158:E1175,$B1188&amp;" ~*")&gt;0)+(COUNTIF(G1158:I1175,$B1188)+COUNTIF(G1158:I1175,$B1188&amp;" ~*")&gt;0)+(COUNTIF(K1158:M1175,$B1188)+COUNTIF(K1158:M1175,$B1188&amp;" ~*")&gt;0)+(COUNTIF(O1158:Q1175,$B1188)+COUNTIF(O1158:Q1175,$B1188&amp;" ~*")&gt;0)+(COUNTIF(S1158:U1175,$B1188)+COUNTIF(S1158:U1175,$B1188&amp;" ~*")&gt;0)+(COUNTIF(W1158:W1175,$B1188)+COUNTIF(W1158:W1175,$B1188&amp;" ~*")&gt;0)+(COUNTIF(Y1158:Y1175,$B1188)+COUNTIF(Y1158:Y1175,$B1188&amp;" ~*")&gt;0))</f>
        <v/>
      </c>
      <c r="AC1188" s="38">
        <f>IF($B1188="","",(IFERROR(INDEX(Setup!$G$33:$G$40,MATCH(C1188,Setup!$B$33:$B$40,0)),0)=1)*(COUNTIF(C1158:E1175,$B1188)+COUNTIF(C1158:E1175,$B1188&amp;" ~*")&gt;0)+(IFERROR(INDEX(Setup!$G$33:$G$40,MATCH(G1188,Setup!$B$33:$B$40,0)),0)=1)*(COUNTIF(G1158:I1175,$B1188)+COUNTIF(G1158:I1175,$B1188&amp;" ~*")&gt;0)+(IFERROR(INDEX(Setup!$G$33:$G$40,MATCH(K1188,Setup!$B$33:$B$40,0)),0)=1)*(COUNTIF(K1158:M1175,$B1188)+COUNTIF(K1158:M1175,$B1188&amp;" ~*")&gt;0)+(IFERROR(INDEX(Setup!$G$33:$G$40,MATCH(O1188,Setup!$B$33:$B$40,0)),0)=1)*(COUNTIF(O1158:Q1175,$B1188)+COUNTIF(O1158:Q1175,$B1188&amp;" ~*")&gt;0)+(IFERROR(INDEX(Setup!$G$33:$G$40,MATCH(S1188,Setup!$B$33:$B$40,0)),0)=1)*(COUNTIF(S1158:U1175,$B1188)+COUNTIF(S1158:U1175,$B1188&amp;" ~*")&gt;0)+(IFERROR(INDEX(Setup!$G$33:$G$40,MATCH(W1188,Setup!$B$33:$B$40,0)),0)=1)*(COUNTIF(W1158:W1175,$B1188)+COUNTIF(W1158:W1175,$B1188&amp;" ~*")&gt;0)+(IFERROR(INDEX(Setup!$G$33:$G$40,MATCH(Y1188,Setup!$B$33:$B$40,0)),0)=1)*(COUNTIF(Y1158:Y1175,$B1188)+COUNTIF(Y1158:Y1175,$B1188&amp;" ~*")&gt;0))</f>
        <v/>
      </c>
    </row>
    <row r="1189" ht="15" customHeight="1">
      <c r="A1189" t="n">
        <v>24</v>
      </c>
      <c r="B1189" s="35">
        <f>IF(Setup!$B$18="","",Setup!$B$18)</f>
        <v/>
      </c>
      <c r="C1189" s="98" t="n"/>
      <c r="D1189" s="99" t="n"/>
      <c r="E1189" s="99" t="n"/>
      <c r="F1189" s="100" t="n"/>
      <c r="G1189" s="98" t="n"/>
      <c r="H1189" s="99" t="n"/>
      <c r="I1189" s="99" t="n"/>
      <c r="J1189" s="100" t="n"/>
      <c r="K1189" s="98" t="n"/>
      <c r="L1189" s="99" t="n"/>
      <c r="M1189" s="99" t="n"/>
      <c r="N1189" s="100" t="n"/>
      <c r="O1189" s="98" t="n"/>
      <c r="P1189" s="99" t="n"/>
      <c r="Q1189" s="99" t="n"/>
      <c r="R1189" s="100" t="n"/>
      <c r="S1189" s="98" t="n"/>
      <c r="T1189" s="99" t="n"/>
      <c r="U1189" s="99" t="n"/>
      <c r="V1189" s="100" t="n"/>
      <c r="W1189" s="98" t="n"/>
      <c r="X1189" s="100" t="n"/>
      <c r="Y1189" s="98" t="n"/>
      <c r="Z1189" s="100" t="n"/>
      <c r="AB1189" s="101">
        <f>IF($B1189="","",(COUNTIF(C1158:E1175,$B1189)+COUNTIF(C1158:E1175,$B1189&amp;" ~*")&gt;0)+(COUNTIF(G1158:I1175,$B1189)+COUNTIF(G1158:I1175,$B1189&amp;" ~*")&gt;0)+(COUNTIF(K1158:M1175,$B1189)+COUNTIF(K1158:M1175,$B1189&amp;" ~*")&gt;0)+(COUNTIF(O1158:Q1175,$B1189)+COUNTIF(O1158:Q1175,$B1189&amp;" ~*")&gt;0)+(COUNTIF(S1158:U1175,$B1189)+COUNTIF(S1158:U1175,$B1189&amp;" ~*")&gt;0)+(COUNTIF(W1158:W1175,$B1189)+COUNTIF(W1158:W1175,$B1189&amp;" ~*")&gt;0)+(COUNTIF(Y1158:Y1175,$B1189)+COUNTIF(Y1158:Y1175,$B1189&amp;" ~*")&gt;0))</f>
        <v/>
      </c>
      <c r="AC1189" s="36">
        <f>IF($B1189="","",(IFERROR(INDEX(Setup!$G$33:$G$40,MATCH(C1189,Setup!$B$33:$B$40,0)),0)=1)*(COUNTIF(C1158:E1175,$B1189)+COUNTIF(C1158:E1175,$B1189&amp;" ~*")&gt;0)+(IFERROR(INDEX(Setup!$G$33:$G$40,MATCH(G1189,Setup!$B$33:$B$40,0)),0)=1)*(COUNTIF(G1158:I1175,$B1189)+COUNTIF(G1158:I1175,$B1189&amp;" ~*")&gt;0)+(IFERROR(INDEX(Setup!$G$33:$G$40,MATCH(K1189,Setup!$B$33:$B$40,0)),0)=1)*(COUNTIF(K1158:M1175,$B1189)+COUNTIF(K1158:M1175,$B1189&amp;" ~*")&gt;0)+(IFERROR(INDEX(Setup!$G$33:$G$40,MATCH(O1189,Setup!$B$33:$B$40,0)),0)=1)*(COUNTIF(O1158:Q1175,$B1189)+COUNTIF(O1158:Q1175,$B1189&amp;" ~*")&gt;0)+(IFERROR(INDEX(Setup!$G$33:$G$40,MATCH(S1189,Setup!$B$33:$B$40,0)),0)=1)*(COUNTIF(S1158:U1175,$B1189)+COUNTIF(S1158:U1175,$B1189&amp;" ~*")&gt;0)+(IFERROR(INDEX(Setup!$G$33:$G$40,MATCH(W1189,Setup!$B$33:$B$40,0)),0)=1)*(COUNTIF(W1158:W1175,$B1189)+COUNTIF(W1158:W1175,$B1189&amp;" ~*")&gt;0)+(IFERROR(INDEX(Setup!$G$33:$G$40,MATCH(Y1189,Setup!$B$33:$B$40,0)),0)=1)*(COUNTIF(Y1158:Y1175,$B1189)+COUNTIF(Y1158:Y1175,$B1189&amp;" ~*")&gt;0))</f>
        <v/>
      </c>
    </row>
    <row r="1190" ht="15" customHeight="1">
      <c r="A1190" t="n">
        <v>24</v>
      </c>
      <c r="B1190" s="37">
        <f>IF(Setup!$B$19="","",Setup!$B$19)</f>
        <v/>
      </c>
      <c r="C1190" s="102" t="n"/>
      <c r="D1190" s="103" t="n"/>
      <c r="E1190" s="103" t="n"/>
      <c r="F1190" s="104" t="n"/>
      <c r="G1190" s="102" t="n"/>
      <c r="H1190" s="103" t="n"/>
      <c r="I1190" s="103" t="n"/>
      <c r="J1190" s="104" t="n"/>
      <c r="K1190" s="102" t="n"/>
      <c r="L1190" s="103" t="n"/>
      <c r="M1190" s="103" t="n"/>
      <c r="N1190" s="104" t="n"/>
      <c r="O1190" s="102" t="n"/>
      <c r="P1190" s="103" t="n"/>
      <c r="Q1190" s="103" t="n"/>
      <c r="R1190" s="104" t="n"/>
      <c r="S1190" s="102" t="n"/>
      <c r="T1190" s="103" t="n"/>
      <c r="U1190" s="103" t="n"/>
      <c r="V1190" s="104" t="n"/>
      <c r="W1190" s="102" t="n"/>
      <c r="X1190" s="104" t="n"/>
      <c r="Y1190" s="102" t="n"/>
      <c r="Z1190" s="104" t="n"/>
      <c r="AB1190" s="105">
        <f>IF($B1190="","",(COUNTIF(C1158:E1175,$B1190)+COUNTIF(C1158:E1175,$B1190&amp;" ~*")&gt;0)+(COUNTIF(G1158:I1175,$B1190)+COUNTIF(G1158:I1175,$B1190&amp;" ~*")&gt;0)+(COUNTIF(K1158:M1175,$B1190)+COUNTIF(K1158:M1175,$B1190&amp;" ~*")&gt;0)+(COUNTIF(O1158:Q1175,$B1190)+COUNTIF(O1158:Q1175,$B1190&amp;" ~*")&gt;0)+(COUNTIF(S1158:U1175,$B1190)+COUNTIF(S1158:U1175,$B1190&amp;" ~*")&gt;0)+(COUNTIF(W1158:W1175,$B1190)+COUNTIF(W1158:W1175,$B1190&amp;" ~*")&gt;0)+(COUNTIF(Y1158:Y1175,$B1190)+COUNTIF(Y1158:Y1175,$B1190&amp;" ~*")&gt;0))</f>
        <v/>
      </c>
      <c r="AC1190" s="38">
        <f>IF($B1190="","",(IFERROR(INDEX(Setup!$G$33:$G$40,MATCH(C1190,Setup!$B$33:$B$40,0)),0)=1)*(COUNTIF(C1158:E1175,$B1190)+COUNTIF(C1158:E1175,$B1190&amp;" ~*")&gt;0)+(IFERROR(INDEX(Setup!$G$33:$G$40,MATCH(G1190,Setup!$B$33:$B$40,0)),0)=1)*(COUNTIF(G1158:I1175,$B1190)+COUNTIF(G1158:I1175,$B1190&amp;" ~*")&gt;0)+(IFERROR(INDEX(Setup!$G$33:$G$40,MATCH(K1190,Setup!$B$33:$B$40,0)),0)=1)*(COUNTIF(K1158:M1175,$B1190)+COUNTIF(K1158:M1175,$B1190&amp;" ~*")&gt;0)+(IFERROR(INDEX(Setup!$G$33:$G$40,MATCH(O1190,Setup!$B$33:$B$40,0)),0)=1)*(COUNTIF(O1158:Q1175,$B1190)+COUNTIF(O1158:Q1175,$B1190&amp;" ~*")&gt;0)+(IFERROR(INDEX(Setup!$G$33:$G$40,MATCH(S1190,Setup!$B$33:$B$40,0)),0)=1)*(COUNTIF(S1158:U1175,$B1190)+COUNTIF(S1158:U1175,$B1190&amp;" ~*")&gt;0)+(IFERROR(INDEX(Setup!$G$33:$G$40,MATCH(W1190,Setup!$B$33:$B$40,0)),0)=1)*(COUNTIF(W1158:W1175,$B1190)+COUNTIF(W1158:W1175,$B1190&amp;" ~*")&gt;0)+(IFERROR(INDEX(Setup!$G$33:$G$40,MATCH(Y1190,Setup!$B$33:$B$40,0)),0)=1)*(COUNTIF(Y1158:Y1175,$B1190)+COUNTIF(Y1158:Y1175,$B1190&amp;" ~*")&gt;0))</f>
        <v/>
      </c>
    </row>
    <row r="1191" ht="15" customHeight="1">
      <c r="A1191" t="n">
        <v>24</v>
      </c>
      <c r="B1191" s="35">
        <f>IF(Setup!$B$20="","",Setup!$B$20)</f>
        <v/>
      </c>
      <c r="C1191" s="98" t="n"/>
      <c r="D1191" s="99" t="n"/>
      <c r="E1191" s="99" t="n"/>
      <c r="F1191" s="100" t="n"/>
      <c r="G1191" s="98" t="n"/>
      <c r="H1191" s="99" t="n"/>
      <c r="I1191" s="99" t="n"/>
      <c r="J1191" s="100" t="n"/>
      <c r="K1191" s="98" t="n"/>
      <c r="L1191" s="99" t="n"/>
      <c r="M1191" s="99" t="n"/>
      <c r="N1191" s="100" t="n"/>
      <c r="O1191" s="98" t="n"/>
      <c r="P1191" s="99" t="n"/>
      <c r="Q1191" s="99" t="n"/>
      <c r="R1191" s="100" t="n"/>
      <c r="S1191" s="98" t="n"/>
      <c r="T1191" s="99" t="n"/>
      <c r="U1191" s="99" t="n"/>
      <c r="V1191" s="100" t="n"/>
      <c r="W1191" s="98" t="n"/>
      <c r="X1191" s="100" t="n"/>
      <c r="Y1191" s="98" t="n"/>
      <c r="Z1191" s="100" t="n"/>
      <c r="AB1191" s="101">
        <f>IF($B1191="","",(COUNTIF(C1158:E1175,$B1191)+COUNTIF(C1158:E1175,$B1191&amp;" ~*")&gt;0)+(COUNTIF(G1158:I1175,$B1191)+COUNTIF(G1158:I1175,$B1191&amp;" ~*")&gt;0)+(COUNTIF(K1158:M1175,$B1191)+COUNTIF(K1158:M1175,$B1191&amp;" ~*")&gt;0)+(COUNTIF(O1158:Q1175,$B1191)+COUNTIF(O1158:Q1175,$B1191&amp;" ~*")&gt;0)+(COUNTIF(S1158:U1175,$B1191)+COUNTIF(S1158:U1175,$B1191&amp;" ~*")&gt;0)+(COUNTIF(W1158:W1175,$B1191)+COUNTIF(W1158:W1175,$B1191&amp;" ~*")&gt;0)+(COUNTIF(Y1158:Y1175,$B1191)+COUNTIF(Y1158:Y1175,$B1191&amp;" ~*")&gt;0))</f>
        <v/>
      </c>
      <c r="AC1191" s="36">
        <f>IF($B1191="","",(IFERROR(INDEX(Setup!$G$33:$G$40,MATCH(C1191,Setup!$B$33:$B$40,0)),0)=1)*(COUNTIF(C1158:E1175,$B1191)+COUNTIF(C1158:E1175,$B1191&amp;" ~*")&gt;0)+(IFERROR(INDEX(Setup!$G$33:$G$40,MATCH(G1191,Setup!$B$33:$B$40,0)),0)=1)*(COUNTIF(G1158:I1175,$B1191)+COUNTIF(G1158:I1175,$B1191&amp;" ~*")&gt;0)+(IFERROR(INDEX(Setup!$G$33:$G$40,MATCH(K1191,Setup!$B$33:$B$40,0)),0)=1)*(COUNTIF(K1158:M1175,$B1191)+COUNTIF(K1158:M1175,$B1191&amp;" ~*")&gt;0)+(IFERROR(INDEX(Setup!$G$33:$G$40,MATCH(O1191,Setup!$B$33:$B$40,0)),0)=1)*(COUNTIF(O1158:Q1175,$B1191)+COUNTIF(O1158:Q1175,$B1191&amp;" ~*")&gt;0)+(IFERROR(INDEX(Setup!$G$33:$G$40,MATCH(S1191,Setup!$B$33:$B$40,0)),0)=1)*(COUNTIF(S1158:U1175,$B1191)+COUNTIF(S1158:U1175,$B1191&amp;" ~*")&gt;0)+(IFERROR(INDEX(Setup!$G$33:$G$40,MATCH(W1191,Setup!$B$33:$B$40,0)),0)=1)*(COUNTIF(W1158:W1175,$B1191)+COUNTIF(W1158:W1175,$B1191&amp;" ~*")&gt;0)+(IFERROR(INDEX(Setup!$G$33:$G$40,MATCH(Y1191,Setup!$B$33:$B$40,0)),0)=1)*(COUNTIF(Y1158:Y1175,$B1191)+COUNTIF(Y1158:Y1175,$B1191&amp;" ~*")&gt;0))</f>
        <v/>
      </c>
    </row>
    <row r="1192" ht="15" customHeight="1">
      <c r="A1192" t="n">
        <v>24</v>
      </c>
      <c r="B1192" s="37">
        <f>IF(Setup!$B$21="","",Setup!$B$21)</f>
        <v/>
      </c>
      <c r="C1192" s="102" t="n"/>
      <c r="D1192" s="103" t="n"/>
      <c r="E1192" s="103" t="n"/>
      <c r="F1192" s="104" t="n"/>
      <c r="G1192" s="102" t="n"/>
      <c r="H1192" s="103" t="n"/>
      <c r="I1192" s="103" t="n"/>
      <c r="J1192" s="104" t="n"/>
      <c r="K1192" s="102" t="n"/>
      <c r="L1192" s="103" t="n"/>
      <c r="M1192" s="103" t="n"/>
      <c r="N1192" s="104" t="n"/>
      <c r="O1192" s="102" t="n"/>
      <c r="P1192" s="103" t="n"/>
      <c r="Q1192" s="103" t="n"/>
      <c r="R1192" s="104" t="n"/>
      <c r="S1192" s="102" t="n"/>
      <c r="T1192" s="103" t="n"/>
      <c r="U1192" s="103" t="n"/>
      <c r="V1192" s="104" t="n"/>
      <c r="W1192" s="102" t="n"/>
      <c r="X1192" s="104" t="n"/>
      <c r="Y1192" s="102" t="n"/>
      <c r="Z1192" s="104" t="n"/>
      <c r="AB1192" s="105">
        <f>IF($B1192="","",(COUNTIF(C1158:E1175,$B1192)+COUNTIF(C1158:E1175,$B1192&amp;" ~*")&gt;0)+(COUNTIF(G1158:I1175,$B1192)+COUNTIF(G1158:I1175,$B1192&amp;" ~*")&gt;0)+(COUNTIF(K1158:M1175,$B1192)+COUNTIF(K1158:M1175,$B1192&amp;" ~*")&gt;0)+(COUNTIF(O1158:Q1175,$B1192)+COUNTIF(O1158:Q1175,$B1192&amp;" ~*")&gt;0)+(COUNTIF(S1158:U1175,$B1192)+COUNTIF(S1158:U1175,$B1192&amp;" ~*")&gt;0)+(COUNTIF(W1158:W1175,$B1192)+COUNTIF(W1158:W1175,$B1192&amp;" ~*")&gt;0)+(COUNTIF(Y1158:Y1175,$B1192)+COUNTIF(Y1158:Y1175,$B1192&amp;" ~*")&gt;0))</f>
        <v/>
      </c>
      <c r="AC1192" s="38">
        <f>IF($B1192="","",(IFERROR(INDEX(Setup!$G$33:$G$40,MATCH(C1192,Setup!$B$33:$B$40,0)),0)=1)*(COUNTIF(C1158:E1175,$B1192)+COUNTIF(C1158:E1175,$B1192&amp;" ~*")&gt;0)+(IFERROR(INDEX(Setup!$G$33:$G$40,MATCH(G1192,Setup!$B$33:$B$40,0)),0)=1)*(COUNTIF(G1158:I1175,$B1192)+COUNTIF(G1158:I1175,$B1192&amp;" ~*")&gt;0)+(IFERROR(INDEX(Setup!$G$33:$G$40,MATCH(K1192,Setup!$B$33:$B$40,0)),0)=1)*(COUNTIF(K1158:M1175,$B1192)+COUNTIF(K1158:M1175,$B1192&amp;" ~*")&gt;0)+(IFERROR(INDEX(Setup!$G$33:$G$40,MATCH(O1192,Setup!$B$33:$B$40,0)),0)=1)*(COUNTIF(O1158:Q1175,$B1192)+COUNTIF(O1158:Q1175,$B1192&amp;" ~*")&gt;0)+(IFERROR(INDEX(Setup!$G$33:$G$40,MATCH(S1192,Setup!$B$33:$B$40,0)),0)=1)*(COUNTIF(S1158:U1175,$B1192)+COUNTIF(S1158:U1175,$B1192&amp;" ~*")&gt;0)+(IFERROR(INDEX(Setup!$G$33:$G$40,MATCH(W1192,Setup!$B$33:$B$40,0)),0)=1)*(COUNTIF(W1158:W1175,$B1192)+COUNTIF(W1158:W1175,$B1192&amp;" ~*")&gt;0)+(IFERROR(INDEX(Setup!$G$33:$G$40,MATCH(Y1192,Setup!$B$33:$B$40,0)),0)=1)*(COUNTIF(Y1158:Y1175,$B1192)+COUNTIF(Y1158:Y1175,$B1192&amp;" ~*")&gt;0))</f>
        <v/>
      </c>
    </row>
    <row r="1193" ht="15" customHeight="1">
      <c r="A1193" t="n">
        <v>24</v>
      </c>
      <c r="B1193" s="35">
        <f>IF(Setup!$B$22="","",Setup!$B$22)</f>
        <v/>
      </c>
      <c r="C1193" s="98" t="n"/>
      <c r="D1193" s="99" t="n"/>
      <c r="E1193" s="99" t="n"/>
      <c r="F1193" s="100" t="n"/>
      <c r="G1193" s="98" t="n"/>
      <c r="H1193" s="99" t="n"/>
      <c r="I1193" s="99" t="n"/>
      <c r="J1193" s="100" t="n"/>
      <c r="K1193" s="98" t="n"/>
      <c r="L1193" s="99" t="n"/>
      <c r="M1193" s="99" t="n"/>
      <c r="N1193" s="100" t="n"/>
      <c r="O1193" s="98" t="n"/>
      <c r="P1193" s="99" t="n"/>
      <c r="Q1193" s="99" t="n"/>
      <c r="R1193" s="100" t="n"/>
      <c r="S1193" s="98" t="n"/>
      <c r="T1193" s="99" t="n"/>
      <c r="U1193" s="99" t="n"/>
      <c r="V1193" s="100" t="n"/>
      <c r="W1193" s="98" t="n"/>
      <c r="X1193" s="100" t="n"/>
      <c r="Y1193" s="98" t="n"/>
      <c r="Z1193" s="100" t="n"/>
      <c r="AB1193" s="101">
        <f>IF($B1193="","",(COUNTIF(C1158:E1175,$B1193)+COUNTIF(C1158:E1175,$B1193&amp;" ~*")&gt;0)+(COUNTIF(G1158:I1175,$B1193)+COUNTIF(G1158:I1175,$B1193&amp;" ~*")&gt;0)+(COUNTIF(K1158:M1175,$B1193)+COUNTIF(K1158:M1175,$B1193&amp;" ~*")&gt;0)+(COUNTIF(O1158:Q1175,$B1193)+COUNTIF(O1158:Q1175,$B1193&amp;" ~*")&gt;0)+(COUNTIF(S1158:U1175,$B1193)+COUNTIF(S1158:U1175,$B1193&amp;" ~*")&gt;0)+(COUNTIF(W1158:W1175,$B1193)+COUNTIF(W1158:W1175,$B1193&amp;" ~*")&gt;0)+(COUNTIF(Y1158:Y1175,$B1193)+COUNTIF(Y1158:Y1175,$B1193&amp;" ~*")&gt;0))</f>
        <v/>
      </c>
      <c r="AC1193" s="36">
        <f>IF($B1193="","",(IFERROR(INDEX(Setup!$G$33:$G$40,MATCH(C1193,Setup!$B$33:$B$40,0)),0)=1)*(COUNTIF(C1158:E1175,$B1193)+COUNTIF(C1158:E1175,$B1193&amp;" ~*")&gt;0)+(IFERROR(INDEX(Setup!$G$33:$G$40,MATCH(G1193,Setup!$B$33:$B$40,0)),0)=1)*(COUNTIF(G1158:I1175,$B1193)+COUNTIF(G1158:I1175,$B1193&amp;" ~*")&gt;0)+(IFERROR(INDEX(Setup!$G$33:$G$40,MATCH(K1193,Setup!$B$33:$B$40,0)),0)=1)*(COUNTIF(K1158:M1175,$B1193)+COUNTIF(K1158:M1175,$B1193&amp;" ~*")&gt;0)+(IFERROR(INDEX(Setup!$G$33:$G$40,MATCH(O1193,Setup!$B$33:$B$40,0)),0)=1)*(COUNTIF(O1158:Q1175,$B1193)+COUNTIF(O1158:Q1175,$B1193&amp;" ~*")&gt;0)+(IFERROR(INDEX(Setup!$G$33:$G$40,MATCH(S1193,Setup!$B$33:$B$40,0)),0)=1)*(COUNTIF(S1158:U1175,$B1193)+COUNTIF(S1158:U1175,$B1193&amp;" ~*")&gt;0)+(IFERROR(INDEX(Setup!$G$33:$G$40,MATCH(W1193,Setup!$B$33:$B$40,0)),0)=1)*(COUNTIF(W1158:W1175,$B1193)+COUNTIF(W1158:W1175,$B1193&amp;" ~*")&gt;0)+(IFERROR(INDEX(Setup!$G$33:$G$40,MATCH(Y1193,Setup!$B$33:$B$40,0)),0)=1)*(COUNTIF(Y1158:Y1175,$B1193)+COUNTIF(Y1158:Y1175,$B1193&amp;" ~*")&gt;0))</f>
        <v/>
      </c>
    </row>
    <row r="1194" ht="15" customHeight="1">
      <c r="A1194" t="n">
        <v>24</v>
      </c>
      <c r="B1194" s="37">
        <f>IF(Setup!$B$23="","",Setup!$B$23)</f>
        <v/>
      </c>
      <c r="C1194" s="102" t="n"/>
      <c r="D1194" s="103" t="n"/>
      <c r="E1194" s="103" t="n"/>
      <c r="F1194" s="104" t="n"/>
      <c r="G1194" s="102" t="n"/>
      <c r="H1194" s="103" t="n"/>
      <c r="I1194" s="103" t="n"/>
      <c r="J1194" s="104" t="n"/>
      <c r="K1194" s="102" t="n"/>
      <c r="L1194" s="103" t="n"/>
      <c r="M1194" s="103" t="n"/>
      <c r="N1194" s="104" t="n"/>
      <c r="O1194" s="102" t="n"/>
      <c r="P1194" s="103" t="n"/>
      <c r="Q1194" s="103" t="n"/>
      <c r="R1194" s="104" t="n"/>
      <c r="S1194" s="102" t="n"/>
      <c r="T1194" s="103" t="n"/>
      <c r="U1194" s="103" t="n"/>
      <c r="V1194" s="104" t="n"/>
      <c r="W1194" s="102" t="n"/>
      <c r="X1194" s="104" t="n"/>
      <c r="Y1194" s="102" t="n"/>
      <c r="Z1194" s="104" t="n"/>
      <c r="AB1194" s="105">
        <f>IF($B1194="","",(COUNTIF(C1158:E1175,$B1194)+COUNTIF(C1158:E1175,$B1194&amp;" ~*")&gt;0)+(COUNTIF(G1158:I1175,$B1194)+COUNTIF(G1158:I1175,$B1194&amp;" ~*")&gt;0)+(COUNTIF(K1158:M1175,$B1194)+COUNTIF(K1158:M1175,$B1194&amp;" ~*")&gt;0)+(COUNTIF(O1158:Q1175,$B1194)+COUNTIF(O1158:Q1175,$B1194&amp;" ~*")&gt;0)+(COUNTIF(S1158:U1175,$B1194)+COUNTIF(S1158:U1175,$B1194&amp;" ~*")&gt;0)+(COUNTIF(W1158:W1175,$B1194)+COUNTIF(W1158:W1175,$B1194&amp;" ~*")&gt;0)+(COUNTIF(Y1158:Y1175,$B1194)+COUNTIF(Y1158:Y1175,$B1194&amp;" ~*")&gt;0))</f>
        <v/>
      </c>
      <c r="AC1194" s="38">
        <f>IF($B1194="","",(IFERROR(INDEX(Setup!$G$33:$G$40,MATCH(C1194,Setup!$B$33:$B$40,0)),0)=1)*(COUNTIF(C1158:E1175,$B1194)+COUNTIF(C1158:E1175,$B1194&amp;" ~*")&gt;0)+(IFERROR(INDEX(Setup!$G$33:$G$40,MATCH(G1194,Setup!$B$33:$B$40,0)),0)=1)*(COUNTIF(G1158:I1175,$B1194)+COUNTIF(G1158:I1175,$B1194&amp;" ~*")&gt;0)+(IFERROR(INDEX(Setup!$G$33:$G$40,MATCH(K1194,Setup!$B$33:$B$40,0)),0)=1)*(COUNTIF(K1158:M1175,$B1194)+COUNTIF(K1158:M1175,$B1194&amp;" ~*")&gt;0)+(IFERROR(INDEX(Setup!$G$33:$G$40,MATCH(O1194,Setup!$B$33:$B$40,0)),0)=1)*(COUNTIF(O1158:Q1175,$B1194)+COUNTIF(O1158:Q1175,$B1194&amp;" ~*")&gt;0)+(IFERROR(INDEX(Setup!$G$33:$G$40,MATCH(S1194,Setup!$B$33:$B$40,0)),0)=1)*(COUNTIF(S1158:U1175,$B1194)+COUNTIF(S1158:U1175,$B1194&amp;" ~*")&gt;0)+(IFERROR(INDEX(Setup!$G$33:$G$40,MATCH(W1194,Setup!$B$33:$B$40,0)),0)=1)*(COUNTIF(W1158:W1175,$B1194)+COUNTIF(W1158:W1175,$B1194&amp;" ~*")&gt;0)+(IFERROR(INDEX(Setup!$G$33:$G$40,MATCH(Y1194,Setup!$B$33:$B$40,0)),0)=1)*(COUNTIF(Y1158:Y1175,$B1194)+COUNTIF(Y1158:Y1175,$B1194&amp;" ~*")&gt;0))</f>
        <v/>
      </c>
    </row>
    <row r="1195" ht="15" customHeight="1">
      <c r="A1195" t="n">
        <v>24</v>
      </c>
      <c r="B1195" s="35">
        <f>IF(Setup!$B$24="","",Setup!$B$24)</f>
        <v/>
      </c>
      <c r="C1195" s="98" t="n"/>
      <c r="D1195" s="99" t="n"/>
      <c r="E1195" s="99" t="n"/>
      <c r="F1195" s="100" t="n"/>
      <c r="G1195" s="98" t="n"/>
      <c r="H1195" s="99" t="n"/>
      <c r="I1195" s="99" t="n"/>
      <c r="J1195" s="100" t="n"/>
      <c r="K1195" s="98" t="n"/>
      <c r="L1195" s="99" t="n"/>
      <c r="M1195" s="99" t="n"/>
      <c r="N1195" s="100" t="n"/>
      <c r="O1195" s="98" t="n"/>
      <c r="P1195" s="99" t="n"/>
      <c r="Q1195" s="99" t="n"/>
      <c r="R1195" s="100" t="n"/>
      <c r="S1195" s="98" t="n"/>
      <c r="T1195" s="99" t="n"/>
      <c r="U1195" s="99" t="n"/>
      <c r="V1195" s="100" t="n"/>
      <c r="W1195" s="98" t="n"/>
      <c r="X1195" s="100" t="n"/>
      <c r="Y1195" s="98" t="n"/>
      <c r="Z1195" s="100" t="n"/>
      <c r="AB1195" s="101">
        <f>IF($B1195="","",(COUNTIF(C1158:E1175,$B1195)+COUNTIF(C1158:E1175,$B1195&amp;" ~*")&gt;0)+(COUNTIF(G1158:I1175,$B1195)+COUNTIF(G1158:I1175,$B1195&amp;" ~*")&gt;0)+(COUNTIF(K1158:M1175,$B1195)+COUNTIF(K1158:M1175,$B1195&amp;" ~*")&gt;0)+(COUNTIF(O1158:Q1175,$B1195)+COUNTIF(O1158:Q1175,$B1195&amp;" ~*")&gt;0)+(COUNTIF(S1158:U1175,$B1195)+COUNTIF(S1158:U1175,$B1195&amp;" ~*")&gt;0)+(COUNTIF(W1158:W1175,$B1195)+COUNTIF(W1158:W1175,$B1195&amp;" ~*")&gt;0)+(COUNTIF(Y1158:Y1175,$B1195)+COUNTIF(Y1158:Y1175,$B1195&amp;" ~*")&gt;0))</f>
        <v/>
      </c>
      <c r="AC1195" s="36">
        <f>IF($B1195="","",(IFERROR(INDEX(Setup!$G$33:$G$40,MATCH(C1195,Setup!$B$33:$B$40,0)),0)=1)*(COUNTIF(C1158:E1175,$B1195)+COUNTIF(C1158:E1175,$B1195&amp;" ~*")&gt;0)+(IFERROR(INDEX(Setup!$G$33:$G$40,MATCH(G1195,Setup!$B$33:$B$40,0)),0)=1)*(COUNTIF(G1158:I1175,$B1195)+COUNTIF(G1158:I1175,$B1195&amp;" ~*")&gt;0)+(IFERROR(INDEX(Setup!$G$33:$G$40,MATCH(K1195,Setup!$B$33:$B$40,0)),0)=1)*(COUNTIF(K1158:M1175,$B1195)+COUNTIF(K1158:M1175,$B1195&amp;" ~*")&gt;0)+(IFERROR(INDEX(Setup!$G$33:$G$40,MATCH(O1195,Setup!$B$33:$B$40,0)),0)=1)*(COUNTIF(O1158:Q1175,$B1195)+COUNTIF(O1158:Q1175,$B1195&amp;" ~*")&gt;0)+(IFERROR(INDEX(Setup!$G$33:$G$40,MATCH(S1195,Setup!$B$33:$B$40,0)),0)=1)*(COUNTIF(S1158:U1175,$B1195)+COUNTIF(S1158:U1175,$B1195&amp;" ~*")&gt;0)+(IFERROR(INDEX(Setup!$G$33:$G$40,MATCH(W1195,Setup!$B$33:$B$40,0)),0)=1)*(COUNTIF(W1158:W1175,$B1195)+COUNTIF(W1158:W1175,$B1195&amp;" ~*")&gt;0)+(IFERROR(INDEX(Setup!$G$33:$G$40,MATCH(Y1195,Setup!$B$33:$B$40,0)),0)=1)*(COUNTIF(Y1158:Y1175,$B1195)+COUNTIF(Y1158:Y1175,$B1195&amp;" ~*")&gt;0))</f>
        <v/>
      </c>
    </row>
    <row r="1196" ht="15" customHeight="1">
      <c r="A1196" t="n">
        <v>24</v>
      </c>
      <c r="B1196" s="37">
        <f>IF(Setup!$B$25="","",Setup!$B$25)</f>
        <v/>
      </c>
      <c r="C1196" s="102" t="n"/>
      <c r="D1196" s="103" t="n"/>
      <c r="E1196" s="103" t="n"/>
      <c r="F1196" s="104" t="n"/>
      <c r="G1196" s="102" t="n"/>
      <c r="H1196" s="103" t="n"/>
      <c r="I1196" s="103" t="n"/>
      <c r="J1196" s="104" t="n"/>
      <c r="K1196" s="102" t="n"/>
      <c r="L1196" s="103" t="n"/>
      <c r="M1196" s="103" t="n"/>
      <c r="N1196" s="104" t="n"/>
      <c r="O1196" s="102" t="n"/>
      <c r="P1196" s="103" t="n"/>
      <c r="Q1196" s="103" t="n"/>
      <c r="R1196" s="104" t="n"/>
      <c r="S1196" s="102" t="n"/>
      <c r="T1196" s="103" t="n"/>
      <c r="U1196" s="103" t="n"/>
      <c r="V1196" s="104" t="n"/>
      <c r="W1196" s="102" t="n"/>
      <c r="X1196" s="104" t="n"/>
      <c r="Y1196" s="102" t="n"/>
      <c r="Z1196" s="104" t="n"/>
      <c r="AB1196" s="105">
        <f>IF($B1196="","",(COUNTIF(C1158:E1175,$B1196)+COUNTIF(C1158:E1175,$B1196&amp;" ~*")&gt;0)+(COUNTIF(G1158:I1175,$B1196)+COUNTIF(G1158:I1175,$B1196&amp;" ~*")&gt;0)+(COUNTIF(K1158:M1175,$B1196)+COUNTIF(K1158:M1175,$B1196&amp;" ~*")&gt;0)+(COUNTIF(O1158:Q1175,$B1196)+COUNTIF(O1158:Q1175,$B1196&amp;" ~*")&gt;0)+(COUNTIF(S1158:U1175,$B1196)+COUNTIF(S1158:U1175,$B1196&amp;" ~*")&gt;0)+(COUNTIF(W1158:W1175,$B1196)+COUNTIF(W1158:W1175,$B1196&amp;" ~*")&gt;0)+(COUNTIF(Y1158:Y1175,$B1196)+COUNTIF(Y1158:Y1175,$B1196&amp;" ~*")&gt;0))</f>
        <v/>
      </c>
      <c r="AC1196" s="38">
        <f>IF($B1196="","",(IFERROR(INDEX(Setup!$G$33:$G$40,MATCH(C1196,Setup!$B$33:$B$40,0)),0)=1)*(COUNTIF(C1158:E1175,$B1196)+COUNTIF(C1158:E1175,$B1196&amp;" ~*")&gt;0)+(IFERROR(INDEX(Setup!$G$33:$G$40,MATCH(G1196,Setup!$B$33:$B$40,0)),0)=1)*(COUNTIF(G1158:I1175,$B1196)+COUNTIF(G1158:I1175,$B1196&amp;" ~*")&gt;0)+(IFERROR(INDEX(Setup!$G$33:$G$40,MATCH(K1196,Setup!$B$33:$B$40,0)),0)=1)*(COUNTIF(K1158:M1175,$B1196)+COUNTIF(K1158:M1175,$B1196&amp;" ~*")&gt;0)+(IFERROR(INDEX(Setup!$G$33:$G$40,MATCH(O1196,Setup!$B$33:$B$40,0)),0)=1)*(COUNTIF(O1158:Q1175,$B1196)+COUNTIF(O1158:Q1175,$B1196&amp;" ~*")&gt;0)+(IFERROR(INDEX(Setup!$G$33:$G$40,MATCH(S1196,Setup!$B$33:$B$40,0)),0)=1)*(COUNTIF(S1158:U1175,$B1196)+COUNTIF(S1158:U1175,$B1196&amp;" ~*")&gt;0)+(IFERROR(INDEX(Setup!$G$33:$G$40,MATCH(W1196,Setup!$B$33:$B$40,0)),0)=1)*(COUNTIF(W1158:W1175,$B1196)+COUNTIF(W1158:W1175,$B1196&amp;" ~*")&gt;0)+(IFERROR(INDEX(Setup!$G$33:$G$40,MATCH(Y1196,Setup!$B$33:$B$40,0)),0)=1)*(COUNTIF(Y1158:Y1175,$B1196)+COUNTIF(Y1158:Y1175,$B1196&amp;" ~*")&gt;0))</f>
        <v/>
      </c>
    </row>
    <row r="1197" ht="15" customHeight="1">
      <c r="A1197" t="n">
        <v>24</v>
      </c>
      <c r="B1197" s="35">
        <f>IF(Setup!$B$26="","",Setup!$B$26)</f>
        <v/>
      </c>
      <c r="C1197" s="98" t="n"/>
      <c r="D1197" s="99" t="n"/>
      <c r="E1197" s="99" t="n"/>
      <c r="F1197" s="100" t="n"/>
      <c r="G1197" s="98" t="n"/>
      <c r="H1197" s="99" t="n"/>
      <c r="I1197" s="99" t="n"/>
      <c r="J1197" s="100" t="n"/>
      <c r="K1197" s="98" t="n"/>
      <c r="L1197" s="99" t="n"/>
      <c r="M1197" s="99" t="n"/>
      <c r="N1197" s="100" t="n"/>
      <c r="O1197" s="98" t="n"/>
      <c r="P1197" s="99" t="n"/>
      <c r="Q1197" s="99" t="n"/>
      <c r="R1197" s="100" t="n"/>
      <c r="S1197" s="98" t="n"/>
      <c r="T1197" s="99" t="n"/>
      <c r="U1197" s="99" t="n"/>
      <c r="V1197" s="100" t="n"/>
      <c r="W1197" s="98" t="n"/>
      <c r="X1197" s="100" t="n"/>
      <c r="Y1197" s="98" t="n"/>
      <c r="Z1197" s="100" t="n"/>
      <c r="AB1197" s="101">
        <f>IF($B1197="","",(COUNTIF(C1158:E1175,$B1197)+COUNTIF(C1158:E1175,$B1197&amp;" ~*")&gt;0)+(COUNTIF(G1158:I1175,$B1197)+COUNTIF(G1158:I1175,$B1197&amp;" ~*")&gt;0)+(COUNTIF(K1158:M1175,$B1197)+COUNTIF(K1158:M1175,$B1197&amp;" ~*")&gt;0)+(COUNTIF(O1158:Q1175,$B1197)+COUNTIF(O1158:Q1175,$B1197&amp;" ~*")&gt;0)+(COUNTIF(S1158:U1175,$B1197)+COUNTIF(S1158:U1175,$B1197&amp;" ~*")&gt;0)+(COUNTIF(W1158:W1175,$B1197)+COUNTIF(W1158:W1175,$B1197&amp;" ~*")&gt;0)+(COUNTIF(Y1158:Y1175,$B1197)+COUNTIF(Y1158:Y1175,$B1197&amp;" ~*")&gt;0))</f>
        <v/>
      </c>
      <c r="AC1197" s="36">
        <f>IF($B1197="","",(IFERROR(INDEX(Setup!$G$33:$G$40,MATCH(C1197,Setup!$B$33:$B$40,0)),0)=1)*(COUNTIF(C1158:E1175,$B1197)+COUNTIF(C1158:E1175,$B1197&amp;" ~*")&gt;0)+(IFERROR(INDEX(Setup!$G$33:$G$40,MATCH(G1197,Setup!$B$33:$B$40,0)),0)=1)*(COUNTIF(G1158:I1175,$B1197)+COUNTIF(G1158:I1175,$B1197&amp;" ~*")&gt;0)+(IFERROR(INDEX(Setup!$G$33:$G$40,MATCH(K1197,Setup!$B$33:$B$40,0)),0)=1)*(COUNTIF(K1158:M1175,$B1197)+COUNTIF(K1158:M1175,$B1197&amp;" ~*")&gt;0)+(IFERROR(INDEX(Setup!$G$33:$G$40,MATCH(O1197,Setup!$B$33:$B$40,0)),0)=1)*(COUNTIF(O1158:Q1175,$B1197)+COUNTIF(O1158:Q1175,$B1197&amp;" ~*")&gt;0)+(IFERROR(INDEX(Setup!$G$33:$G$40,MATCH(S1197,Setup!$B$33:$B$40,0)),0)=1)*(COUNTIF(S1158:U1175,$B1197)+COUNTIF(S1158:U1175,$B1197&amp;" ~*")&gt;0)+(IFERROR(INDEX(Setup!$G$33:$G$40,MATCH(W1197,Setup!$B$33:$B$40,0)),0)=1)*(COUNTIF(W1158:W1175,$B1197)+COUNTIF(W1158:W1175,$B1197&amp;" ~*")&gt;0)+(IFERROR(INDEX(Setup!$G$33:$G$40,MATCH(Y1197,Setup!$B$33:$B$40,0)),0)=1)*(COUNTIF(Y1158:Y1175,$B1197)+COUNTIF(Y1158:Y1175,$B1197&amp;" ~*")&gt;0))</f>
        <v/>
      </c>
    </row>
    <row r="1198" ht="15" customHeight="1">
      <c r="A1198" t="n">
        <v>24</v>
      </c>
      <c r="B1198" s="37">
        <f>IF(Setup!$B$27="","",Setup!$B$27)</f>
        <v/>
      </c>
      <c r="C1198" s="102" t="n"/>
      <c r="D1198" s="103" t="n"/>
      <c r="E1198" s="103" t="n"/>
      <c r="F1198" s="104" t="n"/>
      <c r="G1198" s="102" t="n"/>
      <c r="H1198" s="103" t="n"/>
      <c r="I1198" s="103" t="n"/>
      <c r="J1198" s="104" t="n"/>
      <c r="K1198" s="102" t="n"/>
      <c r="L1198" s="103" t="n"/>
      <c r="M1198" s="103" t="n"/>
      <c r="N1198" s="104" t="n"/>
      <c r="O1198" s="102" t="n"/>
      <c r="P1198" s="103" t="n"/>
      <c r="Q1198" s="103" t="n"/>
      <c r="R1198" s="104" t="n"/>
      <c r="S1198" s="102" t="n"/>
      <c r="T1198" s="103" t="n"/>
      <c r="U1198" s="103" t="n"/>
      <c r="V1198" s="104" t="n"/>
      <c r="W1198" s="102" t="n"/>
      <c r="X1198" s="104" t="n"/>
      <c r="Y1198" s="102" t="n"/>
      <c r="Z1198" s="104" t="n"/>
      <c r="AB1198" s="105">
        <f>IF($B1198="","",(COUNTIF(C1158:E1175,$B1198)+COUNTIF(C1158:E1175,$B1198&amp;" ~*")&gt;0)+(COUNTIF(G1158:I1175,$B1198)+COUNTIF(G1158:I1175,$B1198&amp;" ~*")&gt;0)+(COUNTIF(K1158:M1175,$B1198)+COUNTIF(K1158:M1175,$B1198&amp;" ~*")&gt;0)+(COUNTIF(O1158:Q1175,$B1198)+COUNTIF(O1158:Q1175,$B1198&amp;" ~*")&gt;0)+(COUNTIF(S1158:U1175,$B1198)+COUNTIF(S1158:U1175,$B1198&amp;" ~*")&gt;0)+(COUNTIF(W1158:W1175,$B1198)+COUNTIF(W1158:W1175,$B1198&amp;" ~*")&gt;0)+(COUNTIF(Y1158:Y1175,$B1198)+COUNTIF(Y1158:Y1175,$B1198&amp;" ~*")&gt;0))</f>
        <v/>
      </c>
      <c r="AC1198" s="38">
        <f>IF($B1198="","",(IFERROR(INDEX(Setup!$G$33:$G$40,MATCH(C1198,Setup!$B$33:$B$40,0)),0)=1)*(COUNTIF(C1158:E1175,$B1198)+COUNTIF(C1158:E1175,$B1198&amp;" ~*")&gt;0)+(IFERROR(INDEX(Setup!$G$33:$G$40,MATCH(G1198,Setup!$B$33:$B$40,0)),0)=1)*(COUNTIF(G1158:I1175,$B1198)+COUNTIF(G1158:I1175,$B1198&amp;" ~*")&gt;0)+(IFERROR(INDEX(Setup!$G$33:$G$40,MATCH(K1198,Setup!$B$33:$B$40,0)),0)=1)*(COUNTIF(K1158:M1175,$B1198)+COUNTIF(K1158:M1175,$B1198&amp;" ~*")&gt;0)+(IFERROR(INDEX(Setup!$G$33:$G$40,MATCH(O1198,Setup!$B$33:$B$40,0)),0)=1)*(COUNTIF(O1158:Q1175,$B1198)+COUNTIF(O1158:Q1175,$B1198&amp;" ~*")&gt;0)+(IFERROR(INDEX(Setup!$G$33:$G$40,MATCH(S1198,Setup!$B$33:$B$40,0)),0)=1)*(COUNTIF(S1158:U1175,$B1198)+COUNTIF(S1158:U1175,$B1198&amp;" ~*")&gt;0)+(IFERROR(INDEX(Setup!$G$33:$G$40,MATCH(W1198,Setup!$B$33:$B$40,0)),0)=1)*(COUNTIF(W1158:W1175,$B1198)+COUNTIF(W1158:W1175,$B1198&amp;" ~*")&gt;0)+(IFERROR(INDEX(Setup!$G$33:$G$40,MATCH(Y1198,Setup!$B$33:$B$40,0)),0)=1)*(COUNTIF(Y1158:Y1175,$B1198)+COUNTIF(Y1158:Y1175,$B1198&amp;" ~*")&gt;0))</f>
        <v/>
      </c>
    </row>
    <row r="1199" ht="15" customHeight="1">
      <c r="A1199" t="n">
        <v>24</v>
      </c>
      <c r="B1199" s="35">
        <f>IF(Setup!$B$28="","",Setup!$B$28)</f>
        <v/>
      </c>
      <c r="C1199" s="98" t="n"/>
      <c r="D1199" s="99" t="n"/>
      <c r="E1199" s="99" t="n"/>
      <c r="F1199" s="100" t="n"/>
      <c r="G1199" s="98" t="n"/>
      <c r="H1199" s="99" t="n"/>
      <c r="I1199" s="99" t="n"/>
      <c r="J1199" s="100" t="n"/>
      <c r="K1199" s="98" t="n"/>
      <c r="L1199" s="99" t="n"/>
      <c r="M1199" s="99" t="n"/>
      <c r="N1199" s="100" t="n"/>
      <c r="O1199" s="98" t="n"/>
      <c r="P1199" s="99" t="n"/>
      <c r="Q1199" s="99" t="n"/>
      <c r="R1199" s="100" t="n"/>
      <c r="S1199" s="98" t="n"/>
      <c r="T1199" s="99" t="n"/>
      <c r="U1199" s="99" t="n"/>
      <c r="V1199" s="100" t="n"/>
      <c r="W1199" s="98" t="n"/>
      <c r="X1199" s="100" t="n"/>
      <c r="Y1199" s="98" t="n"/>
      <c r="Z1199" s="100" t="n"/>
      <c r="AB1199" s="101">
        <f>IF($B1199="","",(COUNTIF(C1158:E1175,$B1199)+COUNTIF(C1158:E1175,$B1199&amp;" ~*")&gt;0)+(COUNTIF(G1158:I1175,$B1199)+COUNTIF(G1158:I1175,$B1199&amp;" ~*")&gt;0)+(COUNTIF(K1158:M1175,$B1199)+COUNTIF(K1158:M1175,$B1199&amp;" ~*")&gt;0)+(COUNTIF(O1158:Q1175,$B1199)+COUNTIF(O1158:Q1175,$B1199&amp;" ~*")&gt;0)+(COUNTIF(S1158:U1175,$B1199)+COUNTIF(S1158:U1175,$B1199&amp;" ~*")&gt;0)+(COUNTIF(W1158:W1175,$B1199)+COUNTIF(W1158:W1175,$B1199&amp;" ~*")&gt;0)+(COUNTIF(Y1158:Y1175,$B1199)+COUNTIF(Y1158:Y1175,$B1199&amp;" ~*")&gt;0))</f>
        <v/>
      </c>
      <c r="AC1199" s="36">
        <f>IF($B1199="","",(IFERROR(INDEX(Setup!$G$33:$G$40,MATCH(C1199,Setup!$B$33:$B$40,0)),0)=1)*(COUNTIF(C1158:E1175,$B1199)+COUNTIF(C1158:E1175,$B1199&amp;" ~*")&gt;0)+(IFERROR(INDEX(Setup!$G$33:$G$40,MATCH(G1199,Setup!$B$33:$B$40,0)),0)=1)*(COUNTIF(G1158:I1175,$B1199)+COUNTIF(G1158:I1175,$B1199&amp;" ~*")&gt;0)+(IFERROR(INDEX(Setup!$G$33:$G$40,MATCH(K1199,Setup!$B$33:$B$40,0)),0)=1)*(COUNTIF(K1158:M1175,$B1199)+COUNTIF(K1158:M1175,$B1199&amp;" ~*")&gt;0)+(IFERROR(INDEX(Setup!$G$33:$G$40,MATCH(O1199,Setup!$B$33:$B$40,0)),0)=1)*(COUNTIF(O1158:Q1175,$B1199)+COUNTIF(O1158:Q1175,$B1199&amp;" ~*")&gt;0)+(IFERROR(INDEX(Setup!$G$33:$G$40,MATCH(S1199,Setup!$B$33:$B$40,0)),0)=1)*(COUNTIF(S1158:U1175,$B1199)+COUNTIF(S1158:U1175,$B1199&amp;" ~*")&gt;0)+(IFERROR(INDEX(Setup!$G$33:$G$40,MATCH(W1199,Setup!$B$33:$B$40,0)),0)=1)*(COUNTIF(W1158:W1175,$B1199)+COUNTIF(W1158:W1175,$B1199&amp;" ~*")&gt;0)+(IFERROR(INDEX(Setup!$G$33:$G$40,MATCH(Y1199,Setup!$B$33:$B$40,0)),0)=1)*(COUNTIF(Y1158:Y1175,$B1199)+COUNTIF(Y1158:Y1175,$B1199&amp;" ~*")&gt;0))</f>
        <v/>
      </c>
    </row>
    <row r="1200" ht="15" customHeight="1">
      <c r="A1200" t="n">
        <v>24</v>
      </c>
      <c r="B1200" s="37">
        <f>IF(Setup!$B$29="","",Setup!$B$29)</f>
        <v/>
      </c>
      <c r="C1200" s="102" t="n"/>
      <c r="D1200" s="103" t="n"/>
      <c r="E1200" s="103" t="n"/>
      <c r="F1200" s="104" t="n"/>
      <c r="G1200" s="102" t="n"/>
      <c r="H1200" s="103" t="n"/>
      <c r="I1200" s="103" t="n"/>
      <c r="J1200" s="104" t="n"/>
      <c r="K1200" s="102" t="n"/>
      <c r="L1200" s="103" t="n"/>
      <c r="M1200" s="103" t="n"/>
      <c r="N1200" s="104" t="n"/>
      <c r="O1200" s="102" t="n"/>
      <c r="P1200" s="103" t="n"/>
      <c r="Q1200" s="103" t="n"/>
      <c r="R1200" s="104" t="n"/>
      <c r="S1200" s="102" t="n"/>
      <c r="T1200" s="103" t="n"/>
      <c r="U1200" s="103" t="n"/>
      <c r="V1200" s="104" t="n"/>
      <c r="W1200" s="102" t="n"/>
      <c r="X1200" s="104" t="n"/>
      <c r="Y1200" s="102" t="n"/>
      <c r="Z1200" s="104" t="n"/>
      <c r="AB1200" s="105">
        <f>IF($B1200="","",(COUNTIF(C1158:E1175,$B1200)+COUNTIF(C1158:E1175,$B1200&amp;" ~*")&gt;0)+(COUNTIF(G1158:I1175,$B1200)+COUNTIF(G1158:I1175,$B1200&amp;" ~*")&gt;0)+(COUNTIF(K1158:M1175,$B1200)+COUNTIF(K1158:M1175,$B1200&amp;" ~*")&gt;0)+(COUNTIF(O1158:Q1175,$B1200)+COUNTIF(O1158:Q1175,$B1200&amp;" ~*")&gt;0)+(COUNTIF(S1158:U1175,$B1200)+COUNTIF(S1158:U1175,$B1200&amp;" ~*")&gt;0)+(COUNTIF(W1158:W1175,$B1200)+COUNTIF(W1158:W1175,$B1200&amp;" ~*")&gt;0)+(COUNTIF(Y1158:Y1175,$B1200)+COUNTIF(Y1158:Y1175,$B1200&amp;" ~*")&gt;0))</f>
        <v/>
      </c>
      <c r="AC1200" s="38">
        <f>IF($B1200="","",(IFERROR(INDEX(Setup!$G$33:$G$40,MATCH(C1200,Setup!$B$33:$B$40,0)),0)=1)*(COUNTIF(C1158:E1175,$B1200)+COUNTIF(C1158:E1175,$B1200&amp;" ~*")&gt;0)+(IFERROR(INDEX(Setup!$G$33:$G$40,MATCH(G1200,Setup!$B$33:$B$40,0)),0)=1)*(COUNTIF(G1158:I1175,$B1200)+COUNTIF(G1158:I1175,$B1200&amp;" ~*")&gt;0)+(IFERROR(INDEX(Setup!$G$33:$G$40,MATCH(K1200,Setup!$B$33:$B$40,0)),0)=1)*(COUNTIF(K1158:M1175,$B1200)+COUNTIF(K1158:M1175,$B1200&amp;" ~*")&gt;0)+(IFERROR(INDEX(Setup!$G$33:$G$40,MATCH(O1200,Setup!$B$33:$B$40,0)),0)=1)*(COUNTIF(O1158:Q1175,$B1200)+COUNTIF(O1158:Q1175,$B1200&amp;" ~*")&gt;0)+(IFERROR(INDEX(Setup!$G$33:$G$40,MATCH(S1200,Setup!$B$33:$B$40,0)),0)=1)*(COUNTIF(S1158:U1175,$B1200)+COUNTIF(S1158:U1175,$B1200&amp;" ~*")&gt;0)+(IFERROR(INDEX(Setup!$G$33:$G$40,MATCH(W1200,Setup!$B$33:$B$40,0)),0)=1)*(COUNTIF(W1158:W1175,$B1200)+COUNTIF(W1158:W1175,$B1200&amp;" ~*")&gt;0)+(IFERROR(INDEX(Setup!$G$33:$G$40,MATCH(Y1200,Setup!$B$33:$B$40,0)),0)=1)*(COUNTIF(Y1158:Y1175,$B1200)+COUNTIF(Y1158:Y1175,$B1200&amp;" ~*")&gt;0))</f>
        <v/>
      </c>
    </row>
    <row r="1201" ht="16" customHeight="1">
      <c r="A1201" t="n">
        <v>24</v>
      </c>
      <c r="B1201" s="106" t="inlineStr">
        <is>
          <t>Available people</t>
        </is>
      </c>
      <c r="C1201" s="107">
        <f>COUNTIFS(Setup!$E$6:$E$29,"Y",Setup!$B$6:$B$29,"?*")-SUMPRODUCT(COUNTIF(C1177:C1200,Setup!$F$33:$F$40))</f>
        <v/>
      </c>
      <c r="D1201" s="107" t="n"/>
      <c r="E1201" s="107" t="n"/>
      <c r="F1201" s="107" t="n"/>
      <c r="G1201" s="107">
        <f>COUNTIFS(Setup!$E$6:$E$29,"Y",Setup!$B$6:$B$29,"?*")-SUMPRODUCT(COUNTIF(G1177:G1200,Setup!$F$33:$F$40))</f>
        <v/>
      </c>
      <c r="H1201" s="107" t="n"/>
      <c r="I1201" s="107" t="n"/>
      <c r="J1201" s="107" t="n"/>
      <c r="K1201" s="107">
        <f>COUNTIFS(Setup!$E$6:$E$29,"Y",Setup!$B$6:$B$29,"?*")-SUMPRODUCT(COUNTIF(K1177:K1200,Setup!$F$33:$F$40))</f>
        <v/>
      </c>
      <c r="L1201" s="107" t="n"/>
      <c r="M1201" s="107" t="n"/>
      <c r="N1201" s="107" t="n"/>
      <c r="O1201" s="107">
        <f>COUNTIFS(Setup!$E$6:$E$29,"Y",Setup!$B$6:$B$29,"?*")-SUMPRODUCT(COUNTIF(O1177:O1200,Setup!$F$33:$F$40))</f>
        <v/>
      </c>
      <c r="P1201" s="107" t="n"/>
      <c r="Q1201" s="107" t="n"/>
      <c r="R1201" s="107" t="n"/>
      <c r="S1201" s="107">
        <f>COUNTIFS(Setup!$E$6:$E$29,"Y",Setup!$B$6:$B$29,"?*")-SUMPRODUCT(COUNTIF(S1177:S1200,Setup!$F$33:$F$40))</f>
        <v/>
      </c>
      <c r="T1201" s="107" t="n"/>
      <c r="U1201" s="107" t="n"/>
      <c r="V1201" s="107" t="n"/>
      <c r="W1201" s="107">
        <f>COUNTIFS(Setup!$E$6:$E$29,"Y",Setup!$B$6:$B$29,"?*")-SUMPRODUCT(COUNTIF(W1177:W1200,Setup!$F$33:$F$40))</f>
        <v/>
      </c>
      <c r="X1201" s="107" t="n"/>
      <c r="Y1201" s="107">
        <f>COUNTIFS(Setup!$E$6:$E$29,"Y",Setup!$B$6:$B$29,"?*")-SUMPRODUCT(COUNTIF(Y1177:Y1200,Setup!$F$33:$F$40))</f>
        <v/>
      </c>
      <c r="Z1201" s="107" t="n"/>
      <c r="AB1201" s="108">
        <f>SUM(AB1177:AB1200)</f>
        <v/>
      </c>
      <c r="AC1201" s="109">
        <f>SUM(AC1177:AC1200)</f>
        <v/>
      </c>
    </row>
    <row r="1202" ht="30" customHeight="1">
      <c r="A1202" t="n">
        <v>24</v>
      </c>
      <c r="B1202" s="110" t="inlineStr">
        <is>
          <t>Week notes</t>
        </is>
      </c>
      <c r="C1202" s="111" t="n"/>
      <c r="D1202" s="112" t="n"/>
      <c r="E1202" s="112" t="n"/>
      <c r="F1202" s="112" t="n"/>
      <c r="G1202" s="112" t="n"/>
      <c r="H1202" s="112" t="n"/>
      <c r="I1202" s="112" t="n"/>
      <c r="J1202" s="112" t="n"/>
      <c r="K1202" s="112" t="n"/>
      <c r="L1202" s="112" t="n"/>
      <c r="M1202" s="112" t="n"/>
      <c r="N1202" s="112" t="n"/>
      <c r="O1202" s="112" t="n"/>
      <c r="P1202" s="112" t="n"/>
      <c r="Q1202" s="112" t="n"/>
      <c r="R1202" s="112" t="n"/>
      <c r="S1202" s="112" t="n"/>
      <c r="T1202" s="112" t="n"/>
      <c r="U1202" s="112" t="n"/>
      <c r="V1202" s="112" t="n"/>
      <c r="W1202" s="112" t="n"/>
      <c r="X1202" s="112" t="n"/>
      <c r="Y1202" s="112" t="n"/>
      <c r="Z1202" s="113" t="n"/>
    </row>
    <row r="1203" ht="8" customHeight="1">
      <c r="A1203" t="n">
        <v>24</v>
      </c>
    </row>
    <row r="1204" ht="8" customHeight="1">
      <c r="A1204" t="n">
        <v>24</v>
      </c>
    </row>
    <row r="1205" ht="24" customHeight="1">
      <c r="A1205" t="n">
        <v>25</v>
      </c>
      <c r="B1205" s="73">
        <f>"WEEK 25     "&amp;TEXT(C1206,"ddd d mmm")&amp;"  –  "&amp;TEXT(C1206+6,"ddd d mmm yyyy")</f>
        <v/>
      </c>
      <c r="S1205" s="74">
        <f>IF(TODAY()&lt;C1206,"FUTURE",IF(TODAY()&gt;C1206+6,"PAST","THIS WEEK"))</f>
        <v/>
      </c>
      <c r="W1205" s="75">
        <f>IF(AND(Engine!$B$8=$AC$3,Engine!$B$9=$A1205),"◀ ACTIVE WEEK","")</f>
        <v/>
      </c>
      <c r="AA1205" s="76" t="n"/>
      <c r="AB1205" s="77" t="inlineStr">
        <is>
          <t>◀ Prev</t>
        </is>
      </c>
      <c r="AC1205" s="77" t="inlineStr">
        <is>
          <t>Next ▶</t>
        </is>
      </c>
    </row>
    <row r="1206" ht="18" customHeight="1">
      <c r="A1206" t="n">
        <v>25</v>
      </c>
      <c r="B1206" s="78" t="inlineStr">
        <is>
          <t>DUTY</t>
        </is>
      </c>
      <c r="C1206" s="79">
        <f>$AC$2+7*($A1206-1)</f>
        <v/>
      </c>
      <c r="D1206" s="80" t="n"/>
      <c r="E1206" s="80" t="n"/>
      <c r="F1206" s="81" t="n"/>
      <c r="G1206" s="79">
        <f>C1206+1</f>
        <v/>
      </c>
      <c r="H1206" s="80" t="n"/>
      <c r="I1206" s="80" t="n"/>
      <c r="J1206" s="81" t="n"/>
      <c r="K1206" s="79">
        <f>C1206+2</f>
        <v/>
      </c>
      <c r="L1206" s="80" t="n"/>
      <c r="M1206" s="80" t="n"/>
      <c r="N1206" s="81" t="n"/>
      <c r="O1206" s="79">
        <f>C1206+3</f>
        <v/>
      </c>
      <c r="P1206" s="80" t="n"/>
      <c r="Q1206" s="80" t="n"/>
      <c r="R1206" s="81" t="n"/>
      <c r="S1206" s="79">
        <f>C1206+4</f>
        <v/>
      </c>
      <c r="T1206" s="80" t="n"/>
      <c r="U1206" s="80" t="n"/>
      <c r="V1206" s="81" t="n"/>
      <c r="W1206" s="82">
        <f>C1206+5</f>
        <v/>
      </c>
      <c r="X1206" s="83" t="n"/>
      <c r="Y1206" s="82">
        <f>C1206+6</f>
        <v/>
      </c>
      <c r="Z1206" s="83" t="n"/>
      <c r="AB1206" s="72" t="inlineStr">
        <is>
          <t>Gaps</t>
        </is>
      </c>
      <c r="AC1206" s="72" t="inlineStr">
        <is>
          <t>Cover</t>
        </is>
      </c>
    </row>
    <row r="1207" ht="14" customHeight="1">
      <c r="A1207" t="n">
        <v>25</v>
      </c>
      <c r="B1207" s="84" t="inlineStr">
        <is>
          <t>(from Setup)</t>
        </is>
      </c>
      <c r="C1207" s="85" t="inlineStr">
        <is>
          <t>1</t>
        </is>
      </c>
      <c r="D1207" s="85" t="inlineStr">
        <is>
          <t>2</t>
        </is>
      </c>
      <c r="E1207" s="85" t="inlineStr">
        <is>
          <t>3</t>
        </is>
      </c>
      <c r="F1207" s="85" t="inlineStr">
        <is>
          <t>Notes</t>
        </is>
      </c>
      <c r="G1207" s="85" t="inlineStr">
        <is>
          <t>1</t>
        </is>
      </c>
      <c r="H1207" s="85" t="inlineStr">
        <is>
          <t>2</t>
        </is>
      </c>
      <c r="I1207" s="85" t="inlineStr">
        <is>
          <t>3</t>
        </is>
      </c>
      <c r="J1207" s="85" t="inlineStr">
        <is>
          <t>Notes</t>
        </is>
      </c>
      <c r="K1207" s="85" t="inlineStr">
        <is>
          <t>1</t>
        </is>
      </c>
      <c r="L1207" s="85" t="inlineStr">
        <is>
          <t>2</t>
        </is>
      </c>
      <c r="M1207" s="85" t="inlineStr">
        <is>
          <t>3</t>
        </is>
      </c>
      <c r="N1207" s="85" t="inlineStr">
        <is>
          <t>Notes</t>
        </is>
      </c>
      <c r="O1207" s="85" t="inlineStr">
        <is>
          <t>1</t>
        </is>
      </c>
      <c r="P1207" s="85" t="inlineStr">
        <is>
          <t>2</t>
        </is>
      </c>
      <c r="Q1207" s="85" t="inlineStr">
        <is>
          <t>3</t>
        </is>
      </c>
      <c r="R1207" s="85" t="inlineStr">
        <is>
          <t>Notes</t>
        </is>
      </c>
      <c r="S1207" s="85" t="inlineStr">
        <is>
          <t>1</t>
        </is>
      </c>
      <c r="T1207" s="85" t="inlineStr">
        <is>
          <t>2</t>
        </is>
      </c>
      <c r="U1207" s="85" t="inlineStr">
        <is>
          <t>3</t>
        </is>
      </c>
      <c r="V1207" s="85" t="inlineStr">
        <is>
          <t>Notes</t>
        </is>
      </c>
      <c r="W1207" s="85" t="inlineStr">
        <is>
          <t>Cover</t>
        </is>
      </c>
      <c r="X1207" s="85" t="inlineStr">
        <is>
          <t>Notes</t>
        </is>
      </c>
      <c r="Y1207" s="85" t="inlineStr">
        <is>
          <t>Cover</t>
        </is>
      </c>
      <c r="Z1207" s="85" t="inlineStr">
        <is>
          <t>Notes</t>
        </is>
      </c>
      <c r="AB1207" s="86" t="inlineStr">
        <is>
          <t>weekdays short</t>
        </is>
      </c>
      <c r="AC1207" s="87" t="inlineStr"/>
    </row>
    <row r="1208" ht="17" customHeight="1">
      <c r="A1208" t="n">
        <v>25</v>
      </c>
      <c r="B1208" s="24">
        <f>IF(Setup!$K$6="","",Setup!$K$6)</f>
        <v/>
      </c>
      <c r="C1208" s="88" t="n"/>
      <c r="D1208" s="88" t="n"/>
      <c r="E1208" s="88" t="n"/>
      <c r="F1208" s="89" t="n"/>
      <c r="G1208" s="88" t="n"/>
      <c r="H1208" s="88" t="n"/>
      <c r="I1208" s="88" t="n"/>
      <c r="J1208" s="89" t="n"/>
      <c r="K1208" s="88" t="n"/>
      <c r="L1208" s="88" t="n"/>
      <c r="M1208" s="88" t="n"/>
      <c r="N1208" s="89" t="n"/>
      <c r="O1208" s="88" t="n"/>
      <c r="P1208" s="88" t="n"/>
      <c r="Q1208" s="88" t="n"/>
      <c r="R1208" s="89" t="n"/>
      <c r="S1208" s="88" t="n"/>
      <c r="T1208" s="88" t="n"/>
      <c r="U1208" s="88" t="n"/>
      <c r="V1208" s="89" t="n"/>
      <c r="W1208" s="88" t="n"/>
      <c r="X1208" s="89" t="n"/>
      <c r="Y1208" s="88" t="n"/>
      <c r="Z1208" s="89" t="n"/>
      <c r="AB1208" s="25">
        <f>IF($B1208="","",(COUNTIF(C1208:E1208,"?*")&lt;N(INDEX(Setup!$L$6:$L$23,1)))+(COUNTIF(G1208:I1208,"?*")&lt;N(INDEX(Setup!$L$6:$L$23,1)))+(COUNTIF(K1208:M1208,"?*")&lt;N(INDEX(Setup!$L$6:$L$23,1)))+(COUNTIF(O1208:Q1208,"?*")&lt;N(INDEX(Setup!$L$6:$L$23,1)))+(COUNTIF(S1208:U1208,"?*")&lt;N(INDEX(Setup!$L$6:$L$23,1)))+((W1208="")*(INDEX(Setup!$M$6:$M$23,1)="Y"))+((Y1208="")*(INDEX(Setup!$M$6:$M$23,1)="Y")))</f>
        <v/>
      </c>
      <c r="AC1208" s="90">
        <f>IF($B1208="","",IF(AB1208=0,"✓ covered","⚠ "&amp;AB1208&amp;IF(AB1208=1," gap"," gaps")))</f>
        <v/>
      </c>
    </row>
    <row r="1209" ht="17" customHeight="1">
      <c r="A1209" t="n">
        <v>25</v>
      </c>
      <c r="B1209" s="29">
        <f>IF(Setup!$K$7="","",Setup!$K$7)</f>
        <v/>
      </c>
      <c r="C1209" s="88" t="n"/>
      <c r="D1209" s="88" t="n"/>
      <c r="E1209" s="88" t="n"/>
      <c r="F1209" s="89" t="n"/>
      <c r="G1209" s="88" t="n"/>
      <c r="H1209" s="88" t="n"/>
      <c r="I1209" s="88" t="n"/>
      <c r="J1209" s="89" t="n"/>
      <c r="K1209" s="88" t="n"/>
      <c r="L1209" s="88" t="n"/>
      <c r="M1209" s="88" t="n"/>
      <c r="N1209" s="89" t="n"/>
      <c r="O1209" s="88" t="n"/>
      <c r="P1209" s="88" t="n"/>
      <c r="Q1209" s="88" t="n"/>
      <c r="R1209" s="89" t="n"/>
      <c r="S1209" s="88" t="n"/>
      <c r="T1209" s="88" t="n"/>
      <c r="U1209" s="88" t="n"/>
      <c r="V1209" s="89" t="n"/>
      <c r="W1209" s="88" t="n"/>
      <c r="X1209" s="89" t="n"/>
      <c r="Y1209" s="88" t="n"/>
      <c r="Z1209" s="89" t="n"/>
      <c r="AB1209" s="30">
        <f>IF($B1209="","",(COUNTIF(C1209:E1209,"?*")&lt;N(INDEX(Setup!$L$6:$L$23,2)))+(COUNTIF(G1209:I1209,"?*")&lt;N(INDEX(Setup!$L$6:$L$23,2)))+(COUNTIF(K1209:M1209,"?*")&lt;N(INDEX(Setup!$L$6:$L$23,2)))+(COUNTIF(O1209:Q1209,"?*")&lt;N(INDEX(Setup!$L$6:$L$23,2)))+(COUNTIF(S1209:U1209,"?*")&lt;N(INDEX(Setup!$L$6:$L$23,2)))+((W1209="")*(INDEX(Setup!$M$6:$M$23,2)="Y"))+((Y1209="")*(INDEX(Setup!$M$6:$M$23,2)="Y")))</f>
        <v/>
      </c>
      <c r="AC1209" s="91">
        <f>IF($B1209="","",IF(AB1209=0,"✓ covered","⚠ "&amp;AB1209&amp;IF(AB1209=1," gap"," gaps")))</f>
        <v/>
      </c>
    </row>
    <row r="1210" ht="17" customHeight="1">
      <c r="A1210" t="n">
        <v>25</v>
      </c>
      <c r="B1210" s="24">
        <f>IF(Setup!$K$8="","",Setup!$K$8)</f>
        <v/>
      </c>
      <c r="C1210" s="88" t="n"/>
      <c r="D1210" s="88" t="n"/>
      <c r="E1210" s="88" t="n"/>
      <c r="F1210" s="89" t="n"/>
      <c r="G1210" s="88" t="n"/>
      <c r="H1210" s="88" t="n"/>
      <c r="I1210" s="88" t="n"/>
      <c r="J1210" s="89" t="n"/>
      <c r="K1210" s="88" t="n"/>
      <c r="L1210" s="88" t="n"/>
      <c r="M1210" s="88" t="n"/>
      <c r="N1210" s="89" t="n"/>
      <c r="O1210" s="88" t="n"/>
      <c r="P1210" s="88" t="n"/>
      <c r="Q1210" s="88" t="n"/>
      <c r="R1210" s="89" t="n"/>
      <c r="S1210" s="88" t="n"/>
      <c r="T1210" s="88" t="n"/>
      <c r="U1210" s="88" t="n"/>
      <c r="V1210" s="89" t="n"/>
      <c r="W1210" s="88" t="n"/>
      <c r="X1210" s="89" t="n"/>
      <c r="Y1210" s="88" t="n"/>
      <c r="Z1210" s="89" t="n"/>
      <c r="AB1210" s="25">
        <f>IF($B1210="","",(COUNTIF(C1210:E1210,"?*")&lt;N(INDEX(Setup!$L$6:$L$23,3)))+(COUNTIF(G1210:I1210,"?*")&lt;N(INDEX(Setup!$L$6:$L$23,3)))+(COUNTIF(K1210:M1210,"?*")&lt;N(INDEX(Setup!$L$6:$L$23,3)))+(COUNTIF(O1210:Q1210,"?*")&lt;N(INDEX(Setup!$L$6:$L$23,3)))+(COUNTIF(S1210:U1210,"?*")&lt;N(INDEX(Setup!$L$6:$L$23,3)))+((W1210="")*(INDEX(Setup!$M$6:$M$23,3)="Y"))+((Y1210="")*(INDEX(Setup!$M$6:$M$23,3)="Y")))</f>
        <v/>
      </c>
      <c r="AC1210" s="90">
        <f>IF($B1210="","",IF(AB1210=0,"✓ covered","⚠ "&amp;AB1210&amp;IF(AB1210=1," gap"," gaps")))</f>
        <v/>
      </c>
    </row>
    <row r="1211" ht="17" customHeight="1">
      <c r="A1211" t="n">
        <v>25</v>
      </c>
      <c r="B1211" s="29">
        <f>IF(Setup!$K$9="","",Setup!$K$9)</f>
        <v/>
      </c>
      <c r="C1211" s="88" t="n"/>
      <c r="D1211" s="88" t="n"/>
      <c r="E1211" s="88" t="n"/>
      <c r="F1211" s="89" t="n"/>
      <c r="G1211" s="88" t="n"/>
      <c r="H1211" s="88" t="n"/>
      <c r="I1211" s="88" t="n"/>
      <c r="J1211" s="89" t="n"/>
      <c r="K1211" s="88" t="n"/>
      <c r="L1211" s="88" t="n"/>
      <c r="M1211" s="88" t="n"/>
      <c r="N1211" s="89" t="n"/>
      <c r="O1211" s="88" t="n"/>
      <c r="P1211" s="88" t="n"/>
      <c r="Q1211" s="88" t="n"/>
      <c r="R1211" s="89" t="n"/>
      <c r="S1211" s="88" t="n"/>
      <c r="T1211" s="88" t="n"/>
      <c r="U1211" s="88" t="n"/>
      <c r="V1211" s="89" t="n"/>
      <c r="W1211" s="88" t="n"/>
      <c r="X1211" s="89" t="n"/>
      <c r="Y1211" s="88" t="n"/>
      <c r="Z1211" s="89" t="n"/>
      <c r="AB1211" s="30">
        <f>IF($B1211="","",(COUNTIF(C1211:E1211,"?*")&lt;N(INDEX(Setup!$L$6:$L$23,4)))+(COUNTIF(G1211:I1211,"?*")&lt;N(INDEX(Setup!$L$6:$L$23,4)))+(COUNTIF(K1211:M1211,"?*")&lt;N(INDEX(Setup!$L$6:$L$23,4)))+(COUNTIF(O1211:Q1211,"?*")&lt;N(INDEX(Setup!$L$6:$L$23,4)))+(COUNTIF(S1211:U1211,"?*")&lt;N(INDEX(Setup!$L$6:$L$23,4)))+((W1211="")*(INDEX(Setup!$M$6:$M$23,4)="Y"))+((Y1211="")*(INDEX(Setup!$M$6:$M$23,4)="Y")))</f>
        <v/>
      </c>
      <c r="AC1211" s="91">
        <f>IF($B1211="","",IF(AB1211=0,"✓ covered","⚠ "&amp;AB1211&amp;IF(AB1211=1," gap"," gaps")))</f>
        <v/>
      </c>
    </row>
    <row r="1212" ht="17" customHeight="1">
      <c r="A1212" t="n">
        <v>25</v>
      </c>
      <c r="B1212" s="24">
        <f>IF(Setup!$K$10="","",Setup!$K$10)</f>
        <v/>
      </c>
      <c r="C1212" s="88" t="n"/>
      <c r="D1212" s="88" t="n"/>
      <c r="E1212" s="88" t="n"/>
      <c r="F1212" s="89" t="n"/>
      <c r="G1212" s="88" t="n"/>
      <c r="H1212" s="88" t="n"/>
      <c r="I1212" s="88" t="n"/>
      <c r="J1212" s="89" t="n"/>
      <c r="K1212" s="88" t="n"/>
      <c r="L1212" s="88" t="n"/>
      <c r="M1212" s="88" t="n"/>
      <c r="N1212" s="89" t="n"/>
      <c r="O1212" s="88" t="n"/>
      <c r="P1212" s="88" t="n"/>
      <c r="Q1212" s="88" t="n"/>
      <c r="R1212" s="89" t="n"/>
      <c r="S1212" s="88" t="n"/>
      <c r="T1212" s="88" t="n"/>
      <c r="U1212" s="88" t="n"/>
      <c r="V1212" s="89" t="n"/>
      <c r="W1212" s="88" t="n"/>
      <c r="X1212" s="89" t="n"/>
      <c r="Y1212" s="88" t="n"/>
      <c r="Z1212" s="89" t="n"/>
      <c r="AB1212" s="25">
        <f>IF($B1212="","",(COUNTIF(C1212:E1212,"?*")&lt;N(INDEX(Setup!$L$6:$L$23,5)))+(COUNTIF(G1212:I1212,"?*")&lt;N(INDEX(Setup!$L$6:$L$23,5)))+(COUNTIF(K1212:M1212,"?*")&lt;N(INDEX(Setup!$L$6:$L$23,5)))+(COUNTIF(O1212:Q1212,"?*")&lt;N(INDEX(Setup!$L$6:$L$23,5)))+(COUNTIF(S1212:U1212,"?*")&lt;N(INDEX(Setup!$L$6:$L$23,5)))+((W1212="")*(INDEX(Setup!$M$6:$M$23,5)="Y"))+((Y1212="")*(INDEX(Setup!$M$6:$M$23,5)="Y")))</f>
        <v/>
      </c>
      <c r="AC1212" s="90">
        <f>IF($B1212="","",IF(AB1212=0,"✓ covered","⚠ "&amp;AB1212&amp;IF(AB1212=1," gap"," gaps")))</f>
        <v/>
      </c>
    </row>
    <row r="1213" ht="17" customHeight="1">
      <c r="A1213" t="n">
        <v>25</v>
      </c>
      <c r="B1213" s="29">
        <f>IF(Setup!$K$11="","",Setup!$K$11)</f>
        <v/>
      </c>
      <c r="C1213" s="88" t="n"/>
      <c r="D1213" s="88" t="n"/>
      <c r="E1213" s="88" t="n"/>
      <c r="F1213" s="89" t="n"/>
      <c r="G1213" s="88" t="n"/>
      <c r="H1213" s="88" t="n"/>
      <c r="I1213" s="88" t="n"/>
      <c r="J1213" s="89" t="n"/>
      <c r="K1213" s="88" t="n"/>
      <c r="L1213" s="88" t="n"/>
      <c r="M1213" s="88" t="n"/>
      <c r="N1213" s="89" t="n"/>
      <c r="O1213" s="88" t="n"/>
      <c r="P1213" s="88" t="n"/>
      <c r="Q1213" s="88" t="n"/>
      <c r="R1213" s="89" t="n"/>
      <c r="S1213" s="88" t="n"/>
      <c r="T1213" s="88" t="n"/>
      <c r="U1213" s="88" t="n"/>
      <c r="V1213" s="89" t="n"/>
      <c r="W1213" s="88" t="n"/>
      <c r="X1213" s="89" t="n"/>
      <c r="Y1213" s="88" t="n"/>
      <c r="Z1213" s="89" t="n"/>
      <c r="AB1213" s="30">
        <f>IF($B1213="","",(COUNTIF(C1213:E1213,"?*")&lt;N(INDEX(Setup!$L$6:$L$23,6)))+(COUNTIF(G1213:I1213,"?*")&lt;N(INDEX(Setup!$L$6:$L$23,6)))+(COUNTIF(K1213:M1213,"?*")&lt;N(INDEX(Setup!$L$6:$L$23,6)))+(COUNTIF(O1213:Q1213,"?*")&lt;N(INDEX(Setup!$L$6:$L$23,6)))+(COUNTIF(S1213:U1213,"?*")&lt;N(INDEX(Setup!$L$6:$L$23,6)))+((W1213="")*(INDEX(Setup!$M$6:$M$23,6)="Y"))+((Y1213="")*(INDEX(Setup!$M$6:$M$23,6)="Y")))</f>
        <v/>
      </c>
      <c r="AC1213" s="91">
        <f>IF($B1213="","",IF(AB1213=0,"✓ covered","⚠ "&amp;AB1213&amp;IF(AB1213=1," gap"," gaps")))</f>
        <v/>
      </c>
    </row>
    <row r="1214" ht="17" customHeight="1">
      <c r="A1214" t="n">
        <v>25</v>
      </c>
      <c r="B1214" s="24">
        <f>IF(Setup!$K$12="","",Setup!$K$12)</f>
        <v/>
      </c>
      <c r="C1214" s="88" t="n"/>
      <c r="D1214" s="88" t="n"/>
      <c r="E1214" s="88" t="n"/>
      <c r="F1214" s="89" t="n"/>
      <c r="G1214" s="88" t="n"/>
      <c r="H1214" s="88" t="n"/>
      <c r="I1214" s="88" t="n"/>
      <c r="J1214" s="89" t="n"/>
      <c r="K1214" s="88" t="n"/>
      <c r="L1214" s="88" t="n"/>
      <c r="M1214" s="88" t="n"/>
      <c r="N1214" s="89" t="n"/>
      <c r="O1214" s="88" t="n"/>
      <c r="P1214" s="88" t="n"/>
      <c r="Q1214" s="88" t="n"/>
      <c r="R1214" s="89" t="n"/>
      <c r="S1214" s="88" t="n"/>
      <c r="T1214" s="88" t="n"/>
      <c r="U1214" s="88" t="n"/>
      <c r="V1214" s="89" t="n"/>
      <c r="W1214" s="88" t="n"/>
      <c r="X1214" s="89" t="n"/>
      <c r="Y1214" s="88" t="n"/>
      <c r="Z1214" s="89" t="n"/>
      <c r="AB1214" s="25">
        <f>IF($B1214="","",(COUNTIF(C1214:E1214,"?*")&lt;N(INDEX(Setup!$L$6:$L$23,7)))+(COUNTIF(G1214:I1214,"?*")&lt;N(INDEX(Setup!$L$6:$L$23,7)))+(COUNTIF(K1214:M1214,"?*")&lt;N(INDEX(Setup!$L$6:$L$23,7)))+(COUNTIF(O1214:Q1214,"?*")&lt;N(INDEX(Setup!$L$6:$L$23,7)))+(COUNTIF(S1214:U1214,"?*")&lt;N(INDEX(Setup!$L$6:$L$23,7)))+((W1214="")*(INDEX(Setup!$M$6:$M$23,7)="Y"))+((Y1214="")*(INDEX(Setup!$M$6:$M$23,7)="Y")))</f>
        <v/>
      </c>
      <c r="AC1214" s="90">
        <f>IF($B1214="","",IF(AB1214=0,"✓ covered","⚠ "&amp;AB1214&amp;IF(AB1214=1," gap"," gaps")))</f>
        <v/>
      </c>
    </row>
    <row r="1215" ht="17" customHeight="1">
      <c r="A1215" t="n">
        <v>25</v>
      </c>
      <c r="B1215" s="29">
        <f>IF(Setup!$K$13="","",Setup!$K$13)</f>
        <v/>
      </c>
      <c r="C1215" s="88" t="n"/>
      <c r="D1215" s="88" t="n"/>
      <c r="E1215" s="88" t="n"/>
      <c r="F1215" s="89" t="n"/>
      <c r="G1215" s="88" t="n"/>
      <c r="H1215" s="88" t="n"/>
      <c r="I1215" s="88" t="n"/>
      <c r="J1215" s="89" t="n"/>
      <c r="K1215" s="88" t="n"/>
      <c r="L1215" s="88" t="n"/>
      <c r="M1215" s="88" t="n"/>
      <c r="N1215" s="89" t="n"/>
      <c r="O1215" s="88" t="n"/>
      <c r="P1215" s="88" t="n"/>
      <c r="Q1215" s="88" t="n"/>
      <c r="R1215" s="89" t="n"/>
      <c r="S1215" s="88" t="n"/>
      <c r="T1215" s="88" t="n"/>
      <c r="U1215" s="88" t="n"/>
      <c r="V1215" s="89" t="n"/>
      <c r="W1215" s="88" t="n"/>
      <c r="X1215" s="89" t="n"/>
      <c r="Y1215" s="88" t="n"/>
      <c r="Z1215" s="89" t="n"/>
      <c r="AB1215" s="30">
        <f>IF($B1215="","",(COUNTIF(C1215:E1215,"?*")&lt;N(INDEX(Setup!$L$6:$L$23,8)))+(COUNTIF(G1215:I1215,"?*")&lt;N(INDEX(Setup!$L$6:$L$23,8)))+(COUNTIF(K1215:M1215,"?*")&lt;N(INDEX(Setup!$L$6:$L$23,8)))+(COUNTIF(O1215:Q1215,"?*")&lt;N(INDEX(Setup!$L$6:$L$23,8)))+(COUNTIF(S1215:U1215,"?*")&lt;N(INDEX(Setup!$L$6:$L$23,8)))+((W1215="")*(INDEX(Setup!$M$6:$M$23,8)="Y"))+((Y1215="")*(INDEX(Setup!$M$6:$M$23,8)="Y")))</f>
        <v/>
      </c>
      <c r="AC1215" s="91">
        <f>IF($B1215="","",IF(AB1215=0,"✓ covered","⚠ "&amp;AB1215&amp;IF(AB1215=1," gap"," gaps")))</f>
        <v/>
      </c>
    </row>
    <row r="1216" ht="17" customHeight="1">
      <c r="A1216" t="n">
        <v>25</v>
      </c>
      <c r="B1216" s="24">
        <f>IF(Setup!$K$14="","",Setup!$K$14)</f>
        <v/>
      </c>
      <c r="C1216" s="88" t="n"/>
      <c r="D1216" s="88" t="n"/>
      <c r="E1216" s="88" t="n"/>
      <c r="F1216" s="89" t="n"/>
      <c r="G1216" s="88" t="n"/>
      <c r="H1216" s="88" t="n"/>
      <c r="I1216" s="88" t="n"/>
      <c r="J1216" s="89" t="n"/>
      <c r="K1216" s="88" t="n"/>
      <c r="L1216" s="88" t="n"/>
      <c r="M1216" s="88" t="n"/>
      <c r="N1216" s="89" t="n"/>
      <c r="O1216" s="88" t="n"/>
      <c r="P1216" s="88" t="n"/>
      <c r="Q1216" s="88" t="n"/>
      <c r="R1216" s="89" t="n"/>
      <c r="S1216" s="88" t="n"/>
      <c r="T1216" s="88" t="n"/>
      <c r="U1216" s="88" t="n"/>
      <c r="V1216" s="89" t="n"/>
      <c r="W1216" s="88" t="n"/>
      <c r="X1216" s="89" t="n"/>
      <c r="Y1216" s="88" t="n"/>
      <c r="Z1216" s="89" t="n"/>
      <c r="AB1216" s="25">
        <f>IF($B1216="","",(COUNTIF(C1216:E1216,"?*")&lt;N(INDEX(Setup!$L$6:$L$23,9)))+(COUNTIF(G1216:I1216,"?*")&lt;N(INDEX(Setup!$L$6:$L$23,9)))+(COUNTIF(K1216:M1216,"?*")&lt;N(INDEX(Setup!$L$6:$L$23,9)))+(COUNTIF(O1216:Q1216,"?*")&lt;N(INDEX(Setup!$L$6:$L$23,9)))+(COUNTIF(S1216:U1216,"?*")&lt;N(INDEX(Setup!$L$6:$L$23,9)))+((W1216="")*(INDEX(Setup!$M$6:$M$23,9)="Y"))+((Y1216="")*(INDEX(Setup!$M$6:$M$23,9)="Y")))</f>
        <v/>
      </c>
      <c r="AC1216" s="90">
        <f>IF($B1216="","",IF(AB1216=0,"✓ covered","⚠ "&amp;AB1216&amp;IF(AB1216=1," gap"," gaps")))</f>
        <v/>
      </c>
    </row>
    <row r="1217" ht="17" customHeight="1">
      <c r="A1217" t="n">
        <v>25</v>
      </c>
      <c r="B1217" s="29">
        <f>IF(Setup!$K$15="","",Setup!$K$15)</f>
        <v/>
      </c>
      <c r="C1217" s="88" t="n"/>
      <c r="D1217" s="88" t="n"/>
      <c r="E1217" s="88" t="n"/>
      <c r="F1217" s="89" t="n"/>
      <c r="G1217" s="88" t="n"/>
      <c r="H1217" s="88" t="n"/>
      <c r="I1217" s="88" t="n"/>
      <c r="J1217" s="89" t="n"/>
      <c r="K1217" s="88" t="n"/>
      <c r="L1217" s="88" t="n"/>
      <c r="M1217" s="88" t="n"/>
      <c r="N1217" s="89" t="n"/>
      <c r="O1217" s="88" t="n"/>
      <c r="P1217" s="88" t="n"/>
      <c r="Q1217" s="88" t="n"/>
      <c r="R1217" s="89" t="n"/>
      <c r="S1217" s="88" t="n"/>
      <c r="T1217" s="88" t="n"/>
      <c r="U1217" s="88" t="n"/>
      <c r="V1217" s="89" t="n"/>
      <c r="W1217" s="88" t="n"/>
      <c r="X1217" s="89" t="n"/>
      <c r="Y1217" s="88" t="n"/>
      <c r="Z1217" s="89" t="n"/>
      <c r="AB1217" s="30">
        <f>IF($B1217="","",(COUNTIF(C1217:E1217,"?*")&lt;N(INDEX(Setup!$L$6:$L$23,10)))+(COUNTIF(G1217:I1217,"?*")&lt;N(INDEX(Setup!$L$6:$L$23,10)))+(COUNTIF(K1217:M1217,"?*")&lt;N(INDEX(Setup!$L$6:$L$23,10)))+(COUNTIF(O1217:Q1217,"?*")&lt;N(INDEX(Setup!$L$6:$L$23,10)))+(COUNTIF(S1217:U1217,"?*")&lt;N(INDEX(Setup!$L$6:$L$23,10)))+((W1217="")*(INDEX(Setup!$M$6:$M$23,10)="Y"))+((Y1217="")*(INDEX(Setup!$M$6:$M$23,10)="Y")))</f>
        <v/>
      </c>
      <c r="AC1217" s="91">
        <f>IF($B1217="","",IF(AB1217=0,"✓ covered","⚠ "&amp;AB1217&amp;IF(AB1217=1," gap"," gaps")))</f>
        <v/>
      </c>
    </row>
    <row r="1218" ht="17" customHeight="1">
      <c r="A1218" t="n">
        <v>25</v>
      </c>
      <c r="B1218" s="24">
        <f>IF(Setup!$K$16="","",Setup!$K$16)</f>
        <v/>
      </c>
      <c r="C1218" s="88" t="n"/>
      <c r="D1218" s="88" t="n"/>
      <c r="E1218" s="88" t="n"/>
      <c r="F1218" s="89" t="n"/>
      <c r="G1218" s="88" t="n"/>
      <c r="H1218" s="88" t="n"/>
      <c r="I1218" s="88" t="n"/>
      <c r="J1218" s="89" t="n"/>
      <c r="K1218" s="88" t="n"/>
      <c r="L1218" s="88" t="n"/>
      <c r="M1218" s="88" t="n"/>
      <c r="N1218" s="89" t="n"/>
      <c r="O1218" s="88" t="n"/>
      <c r="P1218" s="88" t="n"/>
      <c r="Q1218" s="88" t="n"/>
      <c r="R1218" s="89" t="n"/>
      <c r="S1218" s="88" t="n"/>
      <c r="T1218" s="88" t="n"/>
      <c r="U1218" s="88" t="n"/>
      <c r="V1218" s="89" t="n"/>
      <c r="W1218" s="88" t="n"/>
      <c r="X1218" s="89" t="n"/>
      <c r="Y1218" s="88" t="n"/>
      <c r="Z1218" s="89" t="n"/>
      <c r="AB1218" s="25">
        <f>IF($B1218="","",(COUNTIF(C1218:E1218,"?*")&lt;N(INDEX(Setup!$L$6:$L$23,11)))+(COUNTIF(G1218:I1218,"?*")&lt;N(INDEX(Setup!$L$6:$L$23,11)))+(COUNTIF(K1218:M1218,"?*")&lt;N(INDEX(Setup!$L$6:$L$23,11)))+(COUNTIF(O1218:Q1218,"?*")&lt;N(INDEX(Setup!$L$6:$L$23,11)))+(COUNTIF(S1218:U1218,"?*")&lt;N(INDEX(Setup!$L$6:$L$23,11)))+((W1218="")*(INDEX(Setup!$M$6:$M$23,11)="Y"))+((Y1218="")*(INDEX(Setup!$M$6:$M$23,11)="Y")))</f>
        <v/>
      </c>
      <c r="AC1218" s="90">
        <f>IF($B1218="","",IF(AB1218=0,"✓ covered","⚠ "&amp;AB1218&amp;IF(AB1218=1," gap"," gaps")))</f>
        <v/>
      </c>
    </row>
    <row r="1219" ht="17" customHeight="1">
      <c r="A1219" t="n">
        <v>25</v>
      </c>
      <c r="B1219" s="29">
        <f>IF(Setup!$K$17="","",Setup!$K$17)</f>
        <v/>
      </c>
      <c r="C1219" s="88" t="n"/>
      <c r="D1219" s="88" t="n"/>
      <c r="E1219" s="88" t="n"/>
      <c r="F1219" s="89" t="n"/>
      <c r="G1219" s="88" t="n"/>
      <c r="H1219" s="88" t="n"/>
      <c r="I1219" s="88" t="n"/>
      <c r="J1219" s="89" t="n"/>
      <c r="K1219" s="88" t="n"/>
      <c r="L1219" s="88" t="n"/>
      <c r="M1219" s="88" t="n"/>
      <c r="N1219" s="89" t="n"/>
      <c r="O1219" s="88" t="n"/>
      <c r="P1219" s="88" t="n"/>
      <c r="Q1219" s="88" t="n"/>
      <c r="R1219" s="89" t="n"/>
      <c r="S1219" s="88" t="n"/>
      <c r="T1219" s="88" t="n"/>
      <c r="U1219" s="88" t="n"/>
      <c r="V1219" s="89" t="n"/>
      <c r="W1219" s="88" t="n"/>
      <c r="X1219" s="89" t="n"/>
      <c r="Y1219" s="88" t="n"/>
      <c r="Z1219" s="89" t="n"/>
      <c r="AB1219" s="30">
        <f>IF($B1219="","",(COUNTIF(C1219:E1219,"?*")&lt;N(INDEX(Setup!$L$6:$L$23,12)))+(COUNTIF(G1219:I1219,"?*")&lt;N(INDEX(Setup!$L$6:$L$23,12)))+(COUNTIF(K1219:M1219,"?*")&lt;N(INDEX(Setup!$L$6:$L$23,12)))+(COUNTIF(O1219:Q1219,"?*")&lt;N(INDEX(Setup!$L$6:$L$23,12)))+(COUNTIF(S1219:U1219,"?*")&lt;N(INDEX(Setup!$L$6:$L$23,12)))+((W1219="")*(INDEX(Setup!$M$6:$M$23,12)="Y"))+((Y1219="")*(INDEX(Setup!$M$6:$M$23,12)="Y")))</f>
        <v/>
      </c>
      <c r="AC1219" s="91">
        <f>IF($B1219="","",IF(AB1219=0,"✓ covered","⚠ "&amp;AB1219&amp;IF(AB1219=1," gap"," gaps")))</f>
        <v/>
      </c>
    </row>
    <row r="1220" ht="17" customHeight="1">
      <c r="A1220" t="n">
        <v>25</v>
      </c>
      <c r="B1220" s="24">
        <f>IF(Setup!$K$18="","",Setup!$K$18)</f>
        <v/>
      </c>
      <c r="C1220" s="88" t="n"/>
      <c r="D1220" s="88" t="n"/>
      <c r="E1220" s="88" t="n"/>
      <c r="F1220" s="89" t="n"/>
      <c r="G1220" s="88" t="n"/>
      <c r="H1220" s="88" t="n"/>
      <c r="I1220" s="88" t="n"/>
      <c r="J1220" s="89" t="n"/>
      <c r="K1220" s="88" t="n"/>
      <c r="L1220" s="88" t="n"/>
      <c r="M1220" s="88" t="n"/>
      <c r="N1220" s="89" t="n"/>
      <c r="O1220" s="88" t="n"/>
      <c r="P1220" s="88" t="n"/>
      <c r="Q1220" s="88" t="n"/>
      <c r="R1220" s="89" t="n"/>
      <c r="S1220" s="88" t="n"/>
      <c r="T1220" s="88" t="n"/>
      <c r="U1220" s="88" t="n"/>
      <c r="V1220" s="89" t="n"/>
      <c r="W1220" s="88" t="n"/>
      <c r="X1220" s="89" t="n"/>
      <c r="Y1220" s="88" t="n"/>
      <c r="Z1220" s="89" t="n"/>
      <c r="AB1220" s="25">
        <f>IF($B1220="","",(COUNTIF(C1220:E1220,"?*")&lt;N(INDEX(Setup!$L$6:$L$23,13)))+(COUNTIF(G1220:I1220,"?*")&lt;N(INDEX(Setup!$L$6:$L$23,13)))+(COUNTIF(K1220:M1220,"?*")&lt;N(INDEX(Setup!$L$6:$L$23,13)))+(COUNTIF(O1220:Q1220,"?*")&lt;N(INDEX(Setup!$L$6:$L$23,13)))+(COUNTIF(S1220:U1220,"?*")&lt;N(INDEX(Setup!$L$6:$L$23,13)))+((W1220="")*(INDEX(Setup!$M$6:$M$23,13)="Y"))+((Y1220="")*(INDEX(Setup!$M$6:$M$23,13)="Y")))</f>
        <v/>
      </c>
      <c r="AC1220" s="90">
        <f>IF($B1220="","",IF(AB1220=0,"✓ covered","⚠ "&amp;AB1220&amp;IF(AB1220=1," gap"," gaps")))</f>
        <v/>
      </c>
    </row>
    <row r="1221" ht="17" customHeight="1">
      <c r="A1221" t="n">
        <v>25</v>
      </c>
      <c r="B1221" s="29">
        <f>IF(Setup!$K$19="","",Setup!$K$19)</f>
        <v/>
      </c>
      <c r="C1221" s="88" t="n"/>
      <c r="D1221" s="88" t="n"/>
      <c r="E1221" s="88" t="n"/>
      <c r="F1221" s="89" t="n"/>
      <c r="G1221" s="88" t="n"/>
      <c r="H1221" s="88" t="n"/>
      <c r="I1221" s="88" t="n"/>
      <c r="J1221" s="89" t="n"/>
      <c r="K1221" s="88" t="n"/>
      <c r="L1221" s="88" t="n"/>
      <c r="M1221" s="88" t="n"/>
      <c r="N1221" s="89" t="n"/>
      <c r="O1221" s="88" t="n"/>
      <c r="P1221" s="88" t="n"/>
      <c r="Q1221" s="88" t="n"/>
      <c r="R1221" s="89" t="n"/>
      <c r="S1221" s="88" t="n"/>
      <c r="T1221" s="88" t="n"/>
      <c r="U1221" s="88" t="n"/>
      <c r="V1221" s="89" t="n"/>
      <c r="W1221" s="88" t="n"/>
      <c r="X1221" s="89" t="n"/>
      <c r="Y1221" s="88" t="n"/>
      <c r="Z1221" s="89" t="n"/>
      <c r="AB1221" s="30">
        <f>IF($B1221="","",(COUNTIF(C1221:E1221,"?*")&lt;N(INDEX(Setup!$L$6:$L$23,14)))+(COUNTIF(G1221:I1221,"?*")&lt;N(INDEX(Setup!$L$6:$L$23,14)))+(COUNTIF(K1221:M1221,"?*")&lt;N(INDEX(Setup!$L$6:$L$23,14)))+(COUNTIF(O1221:Q1221,"?*")&lt;N(INDEX(Setup!$L$6:$L$23,14)))+(COUNTIF(S1221:U1221,"?*")&lt;N(INDEX(Setup!$L$6:$L$23,14)))+((W1221="")*(INDEX(Setup!$M$6:$M$23,14)="Y"))+((Y1221="")*(INDEX(Setup!$M$6:$M$23,14)="Y")))</f>
        <v/>
      </c>
      <c r="AC1221" s="91">
        <f>IF($B1221="","",IF(AB1221=0,"✓ covered","⚠ "&amp;AB1221&amp;IF(AB1221=1," gap"," gaps")))</f>
        <v/>
      </c>
    </row>
    <row r="1222" ht="17" customHeight="1">
      <c r="A1222" t="n">
        <v>25</v>
      </c>
      <c r="B1222" s="24">
        <f>IF(Setup!$K$20="","",Setup!$K$20)</f>
        <v/>
      </c>
      <c r="C1222" s="88" t="n"/>
      <c r="D1222" s="88" t="n"/>
      <c r="E1222" s="88" t="n"/>
      <c r="F1222" s="89" t="n"/>
      <c r="G1222" s="88" t="n"/>
      <c r="H1222" s="88" t="n"/>
      <c r="I1222" s="88" t="n"/>
      <c r="J1222" s="89" t="n"/>
      <c r="K1222" s="88" t="n"/>
      <c r="L1222" s="88" t="n"/>
      <c r="M1222" s="88" t="n"/>
      <c r="N1222" s="89" t="n"/>
      <c r="O1222" s="88" t="n"/>
      <c r="P1222" s="88" t="n"/>
      <c r="Q1222" s="88" t="n"/>
      <c r="R1222" s="89" t="n"/>
      <c r="S1222" s="88" t="n"/>
      <c r="T1222" s="88" t="n"/>
      <c r="U1222" s="88" t="n"/>
      <c r="V1222" s="89" t="n"/>
      <c r="W1222" s="88" t="n"/>
      <c r="X1222" s="89" t="n"/>
      <c r="Y1222" s="88" t="n"/>
      <c r="Z1222" s="89" t="n"/>
      <c r="AB1222" s="25">
        <f>IF($B1222="","",(COUNTIF(C1222:E1222,"?*")&lt;N(INDEX(Setup!$L$6:$L$23,15)))+(COUNTIF(G1222:I1222,"?*")&lt;N(INDEX(Setup!$L$6:$L$23,15)))+(COUNTIF(K1222:M1222,"?*")&lt;N(INDEX(Setup!$L$6:$L$23,15)))+(COUNTIF(O1222:Q1222,"?*")&lt;N(INDEX(Setup!$L$6:$L$23,15)))+(COUNTIF(S1222:U1222,"?*")&lt;N(INDEX(Setup!$L$6:$L$23,15)))+((W1222="")*(INDEX(Setup!$M$6:$M$23,15)="Y"))+((Y1222="")*(INDEX(Setup!$M$6:$M$23,15)="Y")))</f>
        <v/>
      </c>
      <c r="AC1222" s="90">
        <f>IF($B1222="","",IF(AB1222=0,"✓ covered","⚠ "&amp;AB1222&amp;IF(AB1222=1," gap"," gaps")))</f>
        <v/>
      </c>
    </row>
    <row r="1223" ht="17" customHeight="1">
      <c r="A1223" t="n">
        <v>25</v>
      </c>
      <c r="B1223" s="29">
        <f>IF(Setup!$K$21="","",Setup!$K$21)</f>
        <v/>
      </c>
      <c r="C1223" s="88" t="n"/>
      <c r="D1223" s="88" t="n"/>
      <c r="E1223" s="88" t="n"/>
      <c r="F1223" s="89" t="n"/>
      <c r="G1223" s="88" t="n"/>
      <c r="H1223" s="88" t="n"/>
      <c r="I1223" s="88" t="n"/>
      <c r="J1223" s="89" t="n"/>
      <c r="K1223" s="88" t="n"/>
      <c r="L1223" s="88" t="n"/>
      <c r="M1223" s="88" t="n"/>
      <c r="N1223" s="89" t="n"/>
      <c r="O1223" s="88" t="n"/>
      <c r="P1223" s="88" t="n"/>
      <c r="Q1223" s="88" t="n"/>
      <c r="R1223" s="89" t="n"/>
      <c r="S1223" s="88" t="n"/>
      <c r="T1223" s="88" t="n"/>
      <c r="U1223" s="88" t="n"/>
      <c r="V1223" s="89" t="n"/>
      <c r="W1223" s="88" t="n"/>
      <c r="X1223" s="89" t="n"/>
      <c r="Y1223" s="88" t="n"/>
      <c r="Z1223" s="89" t="n"/>
      <c r="AB1223" s="30">
        <f>IF($B1223="","",(COUNTIF(C1223:E1223,"?*")&lt;N(INDEX(Setup!$L$6:$L$23,16)))+(COUNTIF(G1223:I1223,"?*")&lt;N(INDEX(Setup!$L$6:$L$23,16)))+(COUNTIF(K1223:M1223,"?*")&lt;N(INDEX(Setup!$L$6:$L$23,16)))+(COUNTIF(O1223:Q1223,"?*")&lt;N(INDEX(Setup!$L$6:$L$23,16)))+(COUNTIF(S1223:U1223,"?*")&lt;N(INDEX(Setup!$L$6:$L$23,16)))+((W1223="")*(INDEX(Setup!$M$6:$M$23,16)="Y"))+((Y1223="")*(INDEX(Setup!$M$6:$M$23,16)="Y")))</f>
        <v/>
      </c>
      <c r="AC1223" s="91">
        <f>IF($B1223="","",IF(AB1223=0,"✓ covered","⚠ "&amp;AB1223&amp;IF(AB1223=1," gap"," gaps")))</f>
        <v/>
      </c>
    </row>
    <row r="1224" ht="17" customHeight="1">
      <c r="A1224" t="n">
        <v>25</v>
      </c>
      <c r="B1224" s="24">
        <f>IF(Setup!$K$22="","",Setup!$K$22)</f>
        <v/>
      </c>
      <c r="C1224" s="88" t="n"/>
      <c r="D1224" s="88" t="n"/>
      <c r="E1224" s="88" t="n"/>
      <c r="F1224" s="89" t="n"/>
      <c r="G1224" s="88" t="n"/>
      <c r="H1224" s="88" t="n"/>
      <c r="I1224" s="88" t="n"/>
      <c r="J1224" s="89" t="n"/>
      <c r="K1224" s="88" t="n"/>
      <c r="L1224" s="88" t="n"/>
      <c r="M1224" s="88" t="n"/>
      <c r="N1224" s="89" t="n"/>
      <c r="O1224" s="88" t="n"/>
      <c r="P1224" s="88" t="n"/>
      <c r="Q1224" s="88" t="n"/>
      <c r="R1224" s="89" t="n"/>
      <c r="S1224" s="88" t="n"/>
      <c r="T1224" s="88" t="n"/>
      <c r="U1224" s="88" t="n"/>
      <c r="V1224" s="89" t="n"/>
      <c r="W1224" s="88" t="n"/>
      <c r="X1224" s="89" t="n"/>
      <c r="Y1224" s="88" t="n"/>
      <c r="Z1224" s="89" t="n"/>
      <c r="AB1224" s="25">
        <f>IF($B1224="","",(COUNTIF(C1224:E1224,"?*")&lt;N(INDEX(Setup!$L$6:$L$23,17)))+(COUNTIF(G1224:I1224,"?*")&lt;N(INDEX(Setup!$L$6:$L$23,17)))+(COUNTIF(K1224:M1224,"?*")&lt;N(INDEX(Setup!$L$6:$L$23,17)))+(COUNTIF(O1224:Q1224,"?*")&lt;N(INDEX(Setup!$L$6:$L$23,17)))+(COUNTIF(S1224:U1224,"?*")&lt;N(INDEX(Setup!$L$6:$L$23,17)))+((W1224="")*(INDEX(Setup!$M$6:$M$23,17)="Y"))+((Y1224="")*(INDEX(Setup!$M$6:$M$23,17)="Y")))</f>
        <v/>
      </c>
      <c r="AC1224" s="90">
        <f>IF($B1224="","",IF(AB1224=0,"✓ covered","⚠ "&amp;AB1224&amp;IF(AB1224=1," gap"," gaps")))</f>
        <v/>
      </c>
    </row>
    <row r="1225" ht="17" customHeight="1">
      <c r="A1225" t="n">
        <v>25</v>
      </c>
      <c r="B1225" s="29">
        <f>IF(Setup!$K$23="","",Setup!$K$23)</f>
        <v/>
      </c>
      <c r="C1225" s="88" t="n"/>
      <c r="D1225" s="88" t="n"/>
      <c r="E1225" s="88" t="n"/>
      <c r="F1225" s="89" t="n"/>
      <c r="G1225" s="88" t="n"/>
      <c r="H1225" s="88" t="n"/>
      <c r="I1225" s="88" t="n"/>
      <c r="J1225" s="89" t="n"/>
      <c r="K1225" s="88" t="n"/>
      <c r="L1225" s="88" t="n"/>
      <c r="M1225" s="88" t="n"/>
      <c r="N1225" s="89" t="n"/>
      <c r="O1225" s="88" t="n"/>
      <c r="P1225" s="88" t="n"/>
      <c r="Q1225" s="88" t="n"/>
      <c r="R1225" s="89" t="n"/>
      <c r="S1225" s="88" t="n"/>
      <c r="T1225" s="88" t="n"/>
      <c r="U1225" s="88" t="n"/>
      <c r="V1225" s="89" t="n"/>
      <c r="W1225" s="88" t="n"/>
      <c r="X1225" s="89" t="n"/>
      <c r="Y1225" s="88" t="n"/>
      <c r="Z1225" s="89" t="n"/>
      <c r="AB1225" s="30">
        <f>IF($B1225="","",(COUNTIF(C1225:E1225,"?*")&lt;N(INDEX(Setup!$L$6:$L$23,18)))+(COUNTIF(G1225:I1225,"?*")&lt;N(INDEX(Setup!$L$6:$L$23,18)))+(COUNTIF(K1225:M1225,"?*")&lt;N(INDEX(Setup!$L$6:$L$23,18)))+(COUNTIF(O1225:Q1225,"?*")&lt;N(INDEX(Setup!$L$6:$L$23,18)))+(COUNTIF(S1225:U1225,"?*")&lt;N(INDEX(Setup!$L$6:$L$23,18)))+((W1225="")*(INDEX(Setup!$M$6:$M$23,18)="Y"))+((Y1225="")*(INDEX(Setup!$M$6:$M$23,18)="Y")))</f>
        <v/>
      </c>
      <c r="AC1225" s="91">
        <f>IF($B1225="","",IF(AB1225=0,"✓ covered","⚠ "&amp;AB1225&amp;IF(AB1225=1," gap"," gaps")))</f>
        <v/>
      </c>
    </row>
    <row r="1226" ht="18" customHeight="1">
      <c r="A1226" t="n">
        <v>25</v>
      </c>
      <c r="B1226" s="78" t="inlineStr">
        <is>
          <t>TEAM AVAILABILITY</t>
        </is>
      </c>
      <c r="C1226" s="92" t="inlineStr">
        <is>
          <t>Mon</t>
        </is>
      </c>
      <c r="D1226" s="93" t="n"/>
      <c r="E1226" s="93" t="n"/>
      <c r="F1226" s="94" t="n"/>
      <c r="G1226" s="92" t="inlineStr">
        <is>
          <t>Tue</t>
        </is>
      </c>
      <c r="H1226" s="93" t="n"/>
      <c r="I1226" s="93" t="n"/>
      <c r="J1226" s="94" t="n"/>
      <c r="K1226" s="92" t="inlineStr">
        <is>
          <t>Wed</t>
        </is>
      </c>
      <c r="L1226" s="93" t="n"/>
      <c r="M1226" s="93" t="n"/>
      <c r="N1226" s="94" t="n"/>
      <c r="O1226" s="92" t="inlineStr">
        <is>
          <t>Thu</t>
        </is>
      </c>
      <c r="P1226" s="93" t="n"/>
      <c r="Q1226" s="93" t="n"/>
      <c r="R1226" s="94" t="n"/>
      <c r="S1226" s="92" t="inlineStr">
        <is>
          <t>Fri</t>
        </is>
      </c>
      <c r="T1226" s="93" t="n"/>
      <c r="U1226" s="93" t="n"/>
      <c r="V1226" s="94" t="n"/>
      <c r="W1226" s="95" t="inlineStr">
        <is>
          <t>Sat</t>
        </is>
      </c>
      <c r="X1226" s="96" t="n"/>
      <c r="Y1226" s="95" t="inlineStr">
        <is>
          <t>Sun</t>
        </is>
      </c>
      <c r="Z1226" s="96" t="n"/>
      <c r="AB1226" s="97" t="inlineStr">
        <is>
          <t>Days rostered</t>
        </is>
      </c>
      <c r="AC1226" s="97" t="inlineStr">
        <is>
          <t>Conflicts</t>
        </is>
      </c>
    </row>
    <row r="1227" ht="15" customHeight="1">
      <c r="A1227" t="n">
        <v>25</v>
      </c>
      <c r="B1227" s="35">
        <f>IF(Setup!$B$6="","",Setup!$B$6)</f>
        <v/>
      </c>
      <c r="C1227" s="98" t="n"/>
      <c r="D1227" s="99" t="n"/>
      <c r="E1227" s="99" t="n"/>
      <c r="F1227" s="100" t="n"/>
      <c r="G1227" s="98" t="n"/>
      <c r="H1227" s="99" t="n"/>
      <c r="I1227" s="99" t="n"/>
      <c r="J1227" s="100" t="n"/>
      <c r="K1227" s="98" t="n"/>
      <c r="L1227" s="99" t="n"/>
      <c r="M1227" s="99" t="n"/>
      <c r="N1227" s="100" t="n"/>
      <c r="O1227" s="98" t="n"/>
      <c r="P1227" s="99" t="n"/>
      <c r="Q1227" s="99" t="n"/>
      <c r="R1227" s="100" t="n"/>
      <c r="S1227" s="98" t="n"/>
      <c r="T1227" s="99" t="n"/>
      <c r="U1227" s="99" t="n"/>
      <c r="V1227" s="100" t="n"/>
      <c r="W1227" s="98" t="n"/>
      <c r="X1227" s="100" t="n"/>
      <c r="Y1227" s="98" t="n"/>
      <c r="Z1227" s="100" t="n"/>
      <c r="AB1227" s="101">
        <f>IF($B1227="","",(COUNTIF(C1208:E1225,$B1227)+COUNTIF(C1208:E1225,$B1227&amp;" ~*")&gt;0)+(COUNTIF(G1208:I1225,$B1227)+COUNTIF(G1208:I1225,$B1227&amp;" ~*")&gt;0)+(COUNTIF(K1208:M1225,$B1227)+COUNTIF(K1208:M1225,$B1227&amp;" ~*")&gt;0)+(COUNTIF(O1208:Q1225,$B1227)+COUNTIF(O1208:Q1225,$B1227&amp;" ~*")&gt;0)+(COUNTIF(S1208:U1225,$B1227)+COUNTIF(S1208:U1225,$B1227&amp;" ~*")&gt;0)+(COUNTIF(W1208:W1225,$B1227)+COUNTIF(W1208:W1225,$B1227&amp;" ~*")&gt;0)+(COUNTIF(Y1208:Y1225,$B1227)+COUNTIF(Y1208:Y1225,$B1227&amp;" ~*")&gt;0))</f>
        <v/>
      </c>
      <c r="AC1227" s="36">
        <f>IF($B1227="","",(IFERROR(INDEX(Setup!$G$33:$G$40,MATCH(C1227,Setup!$B$33:$B$40,0)),0)=1)*(COUNTIF(C1208:E1225,$B1227)+COUNTIF(C1208:E1225,$B1227&amp;" ~*")&gt;0)+(IFERROR(INDEX(Setup!$G$33:$G$40,MATCH(G1227,Setup!$B$33:$B$40,0)),0)=1)*(COUNTIF(G1208:I1225,$B1227)+COUNTIF(G1208:I1225,$B1227&amp;" ~*")&gt;0)+(IFERROR(INDEX(Setup!$G$33:$G$40,MATCH(K1227,Setup!$B$33:$B$40,0)),0)=1)*(COUNTIF(K1208:M1225,$B1227)+COUNTIF(K1208:M1225,$B1227&amp;" ~*")&gt;0)+(IFERROR(INDEX(Setup!$G$33:$G$40,MATCH(O1227,Setup!$B$33:$B$40,0)),0)=1)*(COUNTIF(O1208:Q1225,$B1227)+COUNTIF(O1208:Q1225,$B1227&amp;" ~*")&gt;0)+(IFERROR(INDEX(Setup!$G$33:$G$40,MATCH(S1227,Setup!$B$33:$B$40,0)),0)=1)*(COUNTIF(S1208:U1225,$B1227)+COUNTIF(S1208:U1225,$B1227&amp;" ~*")&gt;0)+(IFERROR(INDEX(Setup!$G$33:$G$40,MATCH(W1227,Setup!$B$33:$B$40,0)),0)=1)*(COUNTIF(W1208:W1225,$B1227)+COUNTIF(W1208:W1225,$B1227&amp;" ~*")&gt;0)+(IFERROR(INDEX(Setup!$G$33:$G$40,MATCH(Y1227,Setup!$B$33:$B$40,0)),0)=1)*(COUNTIF(Y1208:Y1225,$B1227)+COUNTIF(Y1208:Y1225,$B1227&amp;" ~*")&gt;0))</f>
        <v/>
      </c>
    </row>
    <row r="1228" ht="15" customHeight="1">
      <c r="A1228" t="n">
        <v>25</v>
      </c>
      <c r="B1228" s="37">
        <f>IF(Setup!$B$7="","",Setup!$B$7)</f>
        <v/>
      </c>
      <c r="C1228" s="102" t="n"/>
      <c r="D1228" s="103" t="n"/>
      <c r="E1228" s="103" t="n"/>
      <c r="F1228" s="104" t="n"/>
      <c r="G1228" s="102" t="n"/>
      <c r="H1228" s="103" t="n"/>
      <c r="I1228" s="103" t="n"/>
      <c r="J1228" s="104" t="n"/>
      <c r="K1228" s="102" t="n"/>
      <c r="L1228" s="103" t="n"/>
      <c r="M1228" s="103" t="n"/>
      <c r="N1228" s="104" t="n"/>
      <c r="O1228" s="102" t="n"/>
      <c r="P1228" s="103" t="n"/>
      <c r="Q1228" s="103" t="n"/>
      <c r="R1228" s="104" t="n"/>
      <c r="S1228" s="102" t="n"/>
      <c r="T1228" s="103" t="n"/>
      <c r="U1228" s="103" t="n"/>
      <c r="V1228" s="104" t="n"/>
      <c r="W1228" s="102" t="n"/>
      <c r="X1228" s="104" t="n"/>
      <c r="Y1228" s="102" t="n"/>
      <c r="Z1228" s="104" t="n"/>
      <c r="AB1228" s="105">
        <f>IF($B1228="","",(COUNTIF(C1208:E1225,$B1228)+COUNTIF(C1208:E1225,$B1228&amp;" ~*")&gt;0)+(COUNTIF(G1208:I1225,$B1228)+COUNTIF(G1208:I1225,$B1228&amp;" ~*")&gt;0)+(COUNTIF(K1208:M1225,$B1228)+COUNTIF(K1208:M1225,$B1228&amp;" ~*")&gt;0)+(COUNTIF(O1208:Q1225,$B1228)+COUNTIF(O1208:Q1225,$B1228&amp;" ~*")&gt;0)+(COUNTIF(S1208:U1225,$B1228)+COUNTIF(S1208:U1225,$B1228&amp;" ~*")&gt;0)+(COUNTIF(W1208:W1225,$B1228)+COUNTIF(W1208:W1225,$B1228&amp;" ~*")&gt;0)+(COUNTIF(Y1208:Y1225,$B1228)+COUNTIF(Y1208:Y1225,$B1228&amp;" ~*")&gt;0))</f>
        <v/>
      </c>
      <c r="AC1228" s="38">
        <f>IF($B1228="","",(IFERROR(INDEX(Setup!$G$33:$G$40,MATCH(C1228,Setup!$B$33:$B$40,0)),0)=1)*(COUNTIF(C1208:E1225,$B1228)+COUNTIF(C1208:E1225,$B1228&amp;" ~*")&gt;0)+(IFERROR(INDEX(Setup!$G$33:$G$40,MATCH(G1228,Setup!$B$33:$B$40,0)),0)=1)*(COUNTIF(G1208:I1225,$B1228)+COUNTIF(G1208:I1225,$B1228&amp;" ~*")&gt;0)+(IFERROR(INDEX(Setup!$G$33:$G$40,MATCH(K1228,Setup!$B$33:$B$40,0)),0)=1)*(COUNTIF(K1208:M1225,$B1228)+COUNTIF(K1208:M1225,$B1228&amp;" ~*")&gt;0)+(IFERROR(INDEX(Setup!$G$33:$G$40,MATCH(O1228,Setup!$B$33:$B$40,0)),0)=1)*(COUNTIF(O1208:Q1225,$B1228)+COUNTIF(O1208:Q1225,$B1228&amp;" ~*")&gt;0)+(IFERROR(INDEX(Setup!$G$33:$G$40,MATCH(S1228,Setup!$B$33:$B$40,0)),0)=1)*(COUNTIF(S1208:U1225,$B1228)+COUNTIF(S1208:U1225,$B1228&amp;" ~*")&gt;0)+(IFERROR(INDEX(Setup!$G$33:$G$40,MATCH(W1228,Setup!$B$33:$B$40,0)),0)=1)*(COUNTIF(W1208:W1225,$B1228)+COUNTIF(W1208:W1225,$B1228&amp;" ~*")&gt;0)+(IFERROR(INDEX(Setup!$G$33:$G$40,MATCH(Y1228,Setup!$B$33:$B$40,0)),0)=1)*(COUNTIF(Y1208:Y1225,$B1228)+COUNTIF(Y1208:Y1225,$B1228&amp;" ~*")&gt;0))</f>
        <v/>
      </c>
    </row>
    <row r="1229" ht="15" customHeight="1">
      <c r="A1229" t="n">
        <v>25</v>
      </c>
      <c r="B1229" s="35">
        <f>IF(Setup!$B$8="","",Setup!$B$8)</f>
        <v/>
      </c>
      <c r="C1229" s="98" t="n"/>
      <c r="D1229" s="99" t="n"/>
      <c r="E1229" s="99" t="n"/>
      <c r="F1229" s="100" t="n"/>
      <c r="G1229" s="98" t="n"/>
      <c r="H1229" s="99" t="n"/>
      <c r="I1229" s="99" t="n"/>
      <c r="J1229" s="100" t="n"/>
      <c r="K1229" s="98" t="n"/>
      <c r="L1229" s="99" t="n"/>
      <c r="M1229" s="99" t="n"/>
      <c r="N1229" s="100" t="n"/>
      <c r="O1229" s="98" t="n"/>
      <c r="P1229" s="99" t="n"/>
      <c r="Q1229" s="99" t="n"/>
      <c r="R1229" s="100" t="n"/>
      <c r="S1229" s="98" t="n"/>
      <c r="T1229" s="99" t="n"/>
      <c r="U1229" s="99" t="n"/>
      <c r="V1229" s="100" t="n"/>
      <c r="W1229" s="98" t="n"/>
      <c r="X1229" s="100" t="n"/>
      <c r="Y1229" s="98" t="n"/>
      <c r="Z1229" s="100" t="n"/>
      <c r="AB1229" s="101">
        <f>IF($B1229="","",(COUNTIF(C1208:E1225,$B1229)+COUNTIF(C1208:E1225,$B1229&amp;" ~*")&gt;0)+(COUNTIF(G1208:I1225,$B1229)+COUNTIF(G1208:I1225,$B1229&amp;" ~*")&gt;0)+(COUNTIF(K1208:M1225,$B1229)+COUNTIF(K1208:M1225,$B1229&amp;" ~*")&gt;0)+(COUNTIF(O1208:Q1225,$B1229)+COUNTIF(O1208:Q1225,$B1229&amp;" ~*")&gt;0)+(COUNTIF(S1208:U1225,$B1229)+COUNTIF(S1208:U1225,$B1229&amp;" ~*")&gt;0)+(COUNTIF(W1208:W1225,$B1229)+COUNTIF(W1208:W1225,$B1229&amp;" ~*")&gt;0)+(COUNTIF(Y1208:Y1225,$B1229)+COUNTIF(Y1208:Y1225,$B1229&amp;" ~*")&gt;0))</f>
        <v/>
      </c>
      <c r="AC1229" s="36">
        <f>IF($B1229="","",(IFERROR(INDEX(Setup!$G$33:$G$40,MATCH(C1229,Setup!$B$33:$B$40,0)),0)=1)*(COUNTIF(C1208:E1225,$B1229)+COUNTIF(C1208:E1225,$B1229&amp;" ~*")&gt;0)+(IFERROR(INDEX(Setup!$G$33:$G$40,MATCH(G1229,Setup!$B$33:$B$40,0)),0)=1)*(COUNTIF(G1208:I1225,$B1229)+COUNTIF(G1208:I1225,$B1229&amp;" ~*")&gt;0)+(IFERROR(INDEX(Setup!$G$33:$G$40,MATCH(K1229,Setup!$B$33:$B$40,0)),0)=1)*(COUNTIF(K1208:M1225,$B1229)+COUNTIF(K1208:M1225,$B1229&amp;" ~*")&gt;0)+(IFERROR(INDEX(Setup!$G$33:$G$40,MATCH(O1229,Setup!$B$33:$B$40,0)),0)=1)*(COUNTIF(O1208:Q1225,$B1229)+COUNTIF(O1208:Q1225,$B1229&amp;" ~*")&gt;0)+(IFERROR(INDEX(Setup!$G$33:$G$40,MATCH(S1229,Setup!$B$33:$B$40,0)),0)=1)*(COUNTIF(S1208:U1225,$B1229)+COUNTIF(S1208:U1225,$B1229&amp;" ~*")&gt;0)+(IFERROR(INDEX(Setup!$G$33:$G$40,MATCH(W1229,Setup!$B$33:$B$40,0)),0)=1)*(COUNTIF(W1208:W1225,$B1229)+COUNTIF(W1208:W1225,$B1229&amp;" ~*")&gt;0)+(IFERROR(INDEX(Setup!$G$33:$G$40,MATCH(Y1229,Setup!$B$33:$B$40,0)),0)=1)*(COUNTIF(Y1208:Y1225,$B1229)+COUNTIF(Y1208:Y1225,$B1229&amp;" ~*")&gt;0))</f>
        <v/>
      </c>
    </row>
    <row r="1230" ht="15" customHeight="1">
      <c r="A1230" t="n">
        <v>25</v>
      </c>
      <c r="B1230" s="37">
        <f>IF(Setup!$B$9="","",Setup!$B$9)</f>
        <v/>
      </c>
      <c r="C1230" s="102" t="n"/>
      <c r="D1230" s="103" t="n"/>
      <c r="E1230" s="103" t="n"/>
      <c r="F1230" s="104" t="n"/>
      <c r="G1230" s="102" t="n"/>
      <c r="H1230" s="103" t="n"/>
      <c r="I1230" s="103" t="n"/>
      <c r="J1230" s="104" t="n"/>
      <c r="K1230" s="102" t="n"/>
      <c r="L1230" s="103" t="n"/>
      <c r="M1230" s="103" t="n"/>
      <c r="N1230" s="104" t="n"/>
      <c r="O1230" s="102" t="n"/>
      <c r="P1230" s="103" t="n"/>
      <c r="Q1230" s="103" t="n"/>
      <c r="R1230" s="104" t="n"/>
      <c r="S1230" s="102" t="n"/>
      <c r="T1230" s="103" t="n"/>
      <c r="U1230" s="103" t="n"/>
      <c r="V1230" s="104" t="n"/>
      <c r="W1230" s="102" t="n"/>
      <c r="X1230" s="104" t="n"/>
      <c r="Y1230" s="102" t="n"/>
      <c r="Z1230" s="104" t="n"/>
      <c r="AB1230" s="105">
        <f>IF($B1230="","",(COUNTIF(C1208:E1225,$B1230)+COUNTIF(C1208:E1225,$B1230&amp;" ~*")&gt;0)+(COUNTIF(G1208:I1225,$B1230)+COUNTIF(G1208:I1225,$B1230&amp;" ~*")&gt;0)+(COUNTIF(K1208:M1225,$B1230)+COUNTIF(K1208:M1225,$B1230&amp;" ~*")&gt;0)+(COUNTIF(O1208:Q1225,$B1230)+COUNTIF(O1208:Q1225,$B1230&amp;" ~*")&gt;0)+(COUNTIF(S1208:U1225,$B1230)+COUNTIF(S1208:U1225,$B1230&amp;" ~*")&gt;0)+(COUNTIF(W1208:W1225,$B1230)+COUNTIF(W1208:W1225,$B1230&amp;" ~*")&gt;0)+(COUNTIF(Y1208:Y1225,$B1230)+COUNTIF(Y1208:Y1225,$B1230&amp;" ~*")&gt;0))</f>
        <v/>
      </c>
      <c r="AC1230" s="38">
        <f>IF($B1230="","",(IFERROR(INDEX(Setup!$G$33:$G$40,MATCH(C1230,Setup!$B$33:$B$40,0)),0)=1)*(COUNTIF(C1208:E1225,$B1230)+COUNTIF(C1208:E1225,$B1230&amp;" ~*")&gt;0)+(IFERROR(INDEX(Setup!$G$33:$G$40,MATCH(G1230,Setup!$B$33:$B$40,0)),0)=1)*(COUNTIF(G1208:I1225,$B1230)+COUNTIF(G1208:I1225,$B1230&amp;" ~*")&gt;0)+(IFERROR(INDEX(Setup!$G$33:$G$40,MATCH(K1230,Setup!$B$33:$B$40,0)),0)=1)*(COUNTIF(K1208:M1225,$B1230)+COUNTIF(K1208:M1225,$B1230&amp;" ~*")&gt;0)+(IFERROR(INDEX(Setup!$G$33:$G$40,MATCH(O1230,Setup!$B$33:$B$40,0)),0)=1)*(COUNTIF(O1208:Q1225,$B1230)+COUNTIF(O1208:Q1225,$B1230&amp;" ~*")&gt;0)+(IFERROR(INDEX(Setup!$G$33:$G$40,MATCH(S1230,Setup!$B$33:$B$40,0)),0)=1)*(COUNTIF(S1208:U1225,$B1230)+COUNTIF(S1208:U1225,$B1230&amp;" ~*")&gt;0)+(IFERROR(INDEX(Setup!$G$33:$G$40,MATCH(W1230,Setup!$B$33:$B$40,0)),0)=1)*(COUNTIF(W1208:W1225,$B1230)+COUNTIF(W1208:W1225,$B1230&amp;" ~*")&gt;0)+(IFERROR(INDEX(Setup!$G$33:$G$40,MATCH(Y1230,Setup!$B$33:$B$40,0)),0)=1)*(COUNTIF(Y1208:Y1225,$B1230)+COUNTIF(Y1208:Y1225,$B1230&amp;" ~*")&gt;0))</f>
        <v/>
      </c>
    </row>
    <row r="1231" ht="15" customHeight="1">
      <c r="A1231" t="n">
        <v>25</v>
      </c>
      <c r="B1231" s="35">
        <f>IF(Setup!$B$10="","",Setup!$B$10)</f>
        <v/>
      </c>
      <c r="C1231" s="98" t="n"/>
      <c r="D1231" s="99" t="n"/>
      <c r="E1231" s="99" t="n"/>
      <c r="F1231" s="100" t="n"/>
      <c r="G1231" s="98" t="n"/>
      <c r="H1231" s="99" t="n"/>
      <c r="I1231" s="99" t="n"/>
      <c r="J1231" s="100" t="n"/>
      <c r="K1231" s="98" t="n"/>
      <c r="L1231" s="99" t="n"/>
      <c r="M1231" s="99" t="n"/>
      <c r="N1231" s="100" t="n"/>
      <c r="O1231" s="98" t="n"/>
      <c r="P1231" s="99" t="n"/>
      <c r="Q1231" s="99" t="n"/>
      <c r="R1231" s="100" t="n"/>
      <c r="S1231" s="98" t="n"/>
      <c r="T1231" s="99" t="n"/>
      <c r="U1231" s="99" t="n"/>
      <c r="V1231" s="100" t="n"/>
      <c r="W1231" s="98" t="n"/>
      <c r="X1231" s="100" t="n"/>
      <c r="Y1231" s="98" t="n"/>
      <c r="Z1231" s="100" t="n"/>
      <c r="AB1231" s="101">
        <f>IF($B1231="","",(COUNTIF(C1208:E1225,$B1231)+COUNTIF(C1208:E1225,$B1231&amp;" ~*")&gt;0)+(COUNTIF(G1208:I1225,$B1231)+COUNTIF(G1208:I1225,$B1231&amp;" ~*")&gt;0)+(COUNTIF(K1208:M1225,$B1231)+COUNTIF(K1208:M1225,$B1231&amp;" ~*")&gt;0)+(COUNTIF(O1208:Q1225,$B1231)+COUNTIF(O1208:Q1225,$B1231&amp;" ~*")&gt;0)+(COUNTIF(S1208:U1225,$B1231)+COUNTIF(S1208:U1225,$B1231&amp;" ~*")&gt;0)+(COUNTIF(W1208:W1225,$B1231)+COUNTIF(W1208:W1225,$B1231&amp;" ~*")&gt;0)+(COUNTIF(Y1208:Y1225,$B1231)+COUNTIF(Y1208:Y1225,$B1231&amp;" ~*")&gt;0))</f>
        <v/>
      </c>
      <c r="AC1231" s="36">
        <f>IF($B1231="","",(IFERROR(INDEX(Setup!$G$33:$G$40,MATCH(C1231,Setup!$B$33:$B$40,0)),0)=1)*(COUNTIF(C1208:E1225,$B1231)+COUNTIF(C1208:E1225,$B1231&amp;" ~*")&gt;0)+(IFERROR(INDEX(Setup!$G$33:$G$40,MATCH(G1231,Setup!$B$33:$B$40,0)),0)=1)*(COUNTIF(G1208:I1225,$B1231)+COUNTIF(G1208:I1225,$B1231&amp;" ~*")&gt;0)+(IFERROR(INDEX(Setup!$G$33:$G$40,MATCH(K1231,Setup!$B$33:$B$40,0)),0)=1)*(COUNTIF(K1208:M1225,$B1231)+COUNTIF(K1208:M1225,$B1231&amp;" ~*")&gt;0)+(IFERROR(INDEX(Setup!$G$33:$G$40,MATCH(O1231,Setup!$B$33:$B$40,0)),0)=1)*(COUNTIF(O1208:Q1225,$B1231)+COUNTIF(O1208:Q1225,$B1231&amp;" ~*")&gt;0)+(IFERROR(INDEX(Setup!$G$33:$G$40,MATCH(S1231,Setup!$B$33:$B$40,0)),0)=1)*(COUNTIF(S1208:U1225,$B1231)+COUNTIF(S1208:U1225,$B1231&amp;" ~*")&gt;0)+(IFERROR(INDEX(Setup!$G$33:$G$40,MATCH(W1231,Setup!$B$33:$B$40,0)),0)=1)*(COUNTIF(W1208:W1225,$B1231)+COUNTIF(W1208:W1225,$B1231&amp;" ~*")&gt;0)+(IFERROR(INDEX(Setup!$G$33:$G$40,MATCH(Y1231,Setup!$B$33:$B$40,0)),0)=1)*(COUNTIF(Y1208:Y1225,$B1231)+COUNTIF(Y1208:Y1225,$B1231&amp;" ~*")&gt;0))</f>
        <v/>
      </c>
    </row>
    <row r="1232" ht="15" customHeight="1">
      <c r="A1232" t="n">
        <v>25</v>
      </c>
      <c r="B1232" s="37">
        <f>IF(Setup!$B$11="","",Setup!$B$11)</f>
        <v/>
      </c>
      <c r="C1232" s="102" t="n"/>
      <c r="D1232" s="103" t="n"/>
      <c r="E1232" s="103" t="n"/>
      <c r="F1232" s="104" t="n"/>
      <c r="G1232" s="102" t="n"/>
      <c r="H1232" s="103" t="n"/>
      <c r="I1232" s="103" t="n"/>
      <c r="J1232" s="104" t="n"/>
      <c r="K1232" s="102" t="n"/>
      <c r="L1232" s="103" t="n"/>
      <c r="M1232" s="103" t="n"/>
      <c r="N1232" s="104" t="n"/>
      <c r="O1232" s="102" t="n"/>
      <c r="P1232" s="103" t="n"/>
      <c r="Q1232" s="103" t="n"/>
      <c r="R1232" s="104" t="n"/>
      <c r="S1232" s="102" t="n"/>
      <c r="T1232" s="103" t="n"/>
      <c r="U1232" s="103" t="n"/>
      <c r="V1232" s="104" t="n"/>
      <c r="W1232" s="102" t="n"/>
      <c r="X1232" s="104" t="n"/>
      <c r="Y1232" s="102" t="n"/>
      <c r="Z1232" s="104" t="n"/>
      <c r="AB1232" s="105">
        <f>IF($B1232="","",(COUNTIF(C1208:E1225,$B1232)+COUNTIF(C1208:E1225,$B1232&amp;" ~*")&gt;0)+(COUNTIF(G1208:I1225,$B1232)+COUNTIF(G1208:I1225,$B1232&amp;" ~*")&gt;0)+(COUNTIF(K1208:M1225,$B1232)+COUNTIF(K1208:M1225,$B1232&amp;" ~*")&gt;0)+(COUNTIF(O1208:Q1225,$B1232)+COUNTIF(O1208:Q1225,$B1232&amp;" ~*")&gt;0)+(COUNTIF(S1208:U1225,$B1232)+COUNTIF(S1208:U1225,$B1232&amp;" ~*")&gt;0)+(COUNTIF(W1208:W1225,$B1232)+COUNTIF(W1208:W1225,$B1232&amp;" ~*")&gt;0)+(COUNTIF(Y1208:Y1225,$B1232)+COUNTIF(Y1208:Y1225,$B1232&amp;" ~*")&gt;0))</f>
        <v/>
      </c>
      <c r="AC1232" s="38">
        <f>IF($B1232="","",(IFERROR(INDEX(Setup!$G$33:$G$40,MATCH(C1232,Setup!$B$33:$B$40,0)),0)=1)*(COUNTIF(C1208:E1225,$B1232)+COUNTIF(C1208:E1225,$B1232&amp;" ~*")&gt;0)+(IFERROR(INDEX(Setup!$G$33:$G$40,MATCH(G1232,Setup!$B$33:$B$40,0)),0)=1)*(COUNTIF(G1208:I1225,$B1232)+COUNTIF(G1208:I1225,$B1232&amp;" ~*")&gt;0)+(IFERROR(INDEX(Setup!$G$33:$G$40,MATCH(K1232,Setup!$B$33:$B$40,0)),0)=1)*(COUNTIF(K1208:M1225,$B1232)+COUNTIF(K1208:M1225,$B1232&amp;" ~*")&gt;0)+(IFERROR(INDEX(Setup!$G$33:$G$40,MATCH(O1232,Setup!$B$33:$B$40,0)),0)=1)*(COUNTIF(O1208:Q1225,$B1232)+COUNTIF(O1208:Q1225,$B1232&amp;" ~*")&gt;0)+(IFERROR(INDEX(Setup!$G$33:$G$40,MATCH(S1232,Setup!$B$33:$B$40,0)),0)=1)*(COUNTIF(S1208:U1225,$B1232)+COUNTIF(S1208:U1225,$B1232&amp;" ~*")&gt;0)+(IFERROR(INDEX(Setup!$G$33:$G$40,MATCH(W1232,Setup!$B$33:$B$40,0)),0)=1)*(COUNTIF(W1208:W1225,$B1232)+COUNTIF(W1208:W1225,$B1232&amp;" ~*")&gt;0)+(IFERROR(INDEX(Setup!$G$33:$G$40,MATCH(Y1232,Setup!$B$33:$B$40,0)),0)=1)*(COUNTIF(Y1208:Y1225,$B1232)+COUNTIF(Y1208:Y1225,$B1232&amp;" ~*")&gt;0))</f>
        <v/>
      </c>
    </row>
    <row r="1233" ht="15" customHeight="1">
      <c r="A1233" t="n">
        <v>25</v>
      </c>
      <c r="B1233" s="35">
        <f>IF(Setup!$B$12="","",Setup!$B$12)</f>
        <v/>
      </c>
      <c r="C1233" s="98" t="n"/>
      <c r="D1233" s="99" t="n"/>
      <c r="E1233" s="99" t="n"/>
      <c r="F1233" s="100" t="n"/>
      <c r="G1233" s="98" t="n"/>
      <c r="H1233" s="99" t="n"/>
      <c r="I1233" s="99" t="n"/>
      <c r="J1233" s="100" t="n"/>
      <c r="K1233" s="98" t="n"/>
      <c r="L1233" s="99" t="n"/>
      <c r="M1233" s="99" t="n"/>
      <c r="N1233" s="100" t="n"/>
      <c r="O1233" s="98" t="n"/>
      <c r="P1233" s="99" t="n"/>
      <c r="Q1233" s="99" t="n"/>
      <c r="R1233" s="100" t="n"/>
      <c r="S1233" s="98" t="n"/>
      <c r="T1233" s="99" t="n"/>
      <c r="U1233" s="99" t="n"/>
      <c r="V1233" s="100" t="n"/>
      <c r="W1233" s="98" t="n"/>
      <c r="X1233" s="100" t="n"/>
      <c r="Y1233" s="98" t="n"/>
      <c r="Z1233" s="100" t="n"/>
      <c r="AB1233" s="101">
        <f>IF($B1233="","",(COUNTIF(C1208:E1225,$B1233)+COUNTIF(C1208:E1225,$B1233&amp;" ~*")&gt;0)+(COUNTIF(G1208:I1225,$B1233)+COUNTIF(G1208:I1225,$B1233&amp;" ~*")&gt;0)+(COUNTIF(K1208:M1225,$B1233)+COUNTIF(K1208:M1225,$B1233&amp;" ~*")&gt;0)+(COUNTIF(O1208:Q1225,$B1233)+COUNTIF(O1208:Q1225,$B1233&amp;" ~*")&gt;0)+(COUNTIF(S1208:U1225,$B1233)+COUNTIF(S1208:U1225,$B1233&amp;" ~*")&gt;0)+(COUNTIF(W1208:W1225,$B1233)+COUNTIF(W1208:W1225,$B1233&amp;" ~*")&gt;0)+(COUNTIF(Y1208:Y1225,$B1233)+COUNTIF(Y1208:Y1225,$B1233&amp;" ~*")&gt;0))</f>
        <v/>
      </c>
      <c r="AC1233" s="36">
        <f>IF($B1233="","",(IFERROR(INDEX(Setup!$G$33:$G$40,MATCH(C1233,Setup!$B$33:$B$40,0)),0)=1)*(COUNTIF(C1208:E1225,$B1233)+COUNTIF(C1208:E1225,$B1233&amp;" ~*")&gt;0)+(IFERROR(INDEX(Setup!$G$33:$G$40,MATCH(G1233,Setup!$B$33:$B$40,0)),0)=1)*(COUNTIF(G1208:I1225,$B1233)+COUNTIF(G1208:I1225,$B1233&amp;" ~*")&gt;0)+(IFERROR(INDEX(Setup!$G$33:$G$40,MATCH(K1233,Setup!$B$33:$B$40,0)),0)=1)*(COUNTIF(K1208:M1225,$B1233)+COUNTIF(K1208:M1225,$B1233&amp;" ~*")&gt;0)+(IFERROR(INDEX(Setup!$G$33:$G$40,MATCH(O1233,Setup!$B$33:$B$40,0)),0)=1)*(COUNTIF(O1208:Q1225,$B1233)+COUNTIF(O1208:Q1225,$B1233&amp;" ~*")&gt;0)+(IFERROR(INDEX(Setup!$G$33:$G$40,MATCH(S1233,Setup!$B$33:$B$40,0)),0)=1)*(COUNTIF(S1208:U1225,$B1233)+COUNTIF(S1208:U1225,$B1233&amp;" ~*")&gt;0)+(IFERROR(INDEX(Setup!$G$33:$G$40,MATCH(W1233,Setup!$B$33:$B$40,0)),0)=1)*(COUNTIF(W1208:W1225,$B1233)+COUNTIF(W1208:W1225,$B1233&amp;" ~*")&gt;0)+(IFERROR(INDEX(Setup!$G$33:$G$40,MATCH(Y1233,Setup!$B$33:$B$40,0)),0)=1)*(COUNTIF(Y1208:Y1225,$B1233)+COUNTIF(Y1208:Y1225,$B1233&amp;" ~*")&gt;0))</f>
        <v/>
      </c>
    </row>
    <row r="1234" ht="15" customHeight="1">
      <c r="A1234" t="n">
        <v>25</v>
      </c>
      <c r="B1234" s="37">
        <f>IF(Setup!$B$13="","",Setup!$B$13)</f>
        <v/>
      </c>
      <c r="C1234" s="102" t="n"/>
      <c r="D1234" s="103" t="n"/>
      <c r="E1234" s="103" t="n"/>
      <c r="F1234" s="104" t="n"/>
      <c r="G1234" s="102" t="n"/>
      <c r="H1234" s="103" t="n"/>
      <c r="I1234" s="103" t="n"/>
      <c r="J1234" s="104" t="n"/>
      <c r="K1234" s="102" t="n"/>
      <c r="L1234" s="103" t="n"/>
      <c r="M1234" s="103" t="n"/>
      <c r="N1234" s="104" t="n"/>
      <c r="O1234" s="102" t="n"/>
      <c r="P1234" s="103" t="n"/>
      <c r="Q1234" s="103" t="n"/>
      <c r="R1234" s="104" t="n"/>
      <c r="S1234" s="102" t="n"/>
      <c r="T1234" s="103" t="n"/>
      <c r="U1234" s="103" t="n"/>
      <c r="V1234" s="104" t="n"/>
      <c r="W1234" s="102" t="n"/>
      <c r="X1234" s="104" t="n"/>
      <c r="Y1234" s="102" t="n"/>
      <c r="Z1234" s="104" t="n"/>
      <c r="AB1234" s="105">
        <f>IF($B1234="","",(COUNTIF(C1208:E1225,$B1234)+COUNTIF(C1208:E1225,$B1234&amp;" ~*")&gt;0)+(COUNTIF(G1208:I1225,$B1234)+COUNTIF(G1208:I1225,$B1234&amp;" ~*")&gt;0)+(COUNTIF(K1208:M1225,$B1234)+COUNTIF(K1208:M1225,$B1234&amp;" ~*")&gt;0)+(COUNTIF(O1208:Q1225,$B1234)+COUNTIF(O1208:Q1225,$B1234&amp;" ~*")&gt;0)+(COUNTIF(S1208:U1225,$B1234)+COUNTIF(S1208:U1225,$B1234&amp;" ~*")&gt;0)+(COUNTIF(W1208:W1225,$B1234)+COUNTIF(W1208:W1225,$B1234&amp;" ~*")&gt;0)+(COUNTIF(Y1208:Y1225,$B1234)+COUNTIF(Y1208:Y1225,$B1234&amp;" ~*")&gt;0))</f>
        <v/>
      </c>
      <c r="AC1234" s="38">
        <f>IF($B1234="","",(IFERROR(INDEX(Setup!$G$33:$G$40,MATCH(C1234,Setup!$B$33:$B$40,0)),0)=1)*(COUNTIF(C1208:E1225,$B1234)+COUNTIF(C1208:E1225,$B1234&amp;" ~*")&gt;0)+(IFERROR(INDEX(Setup!$G$33:$G$40,MATCH(G1234,Setup!$B$33:$B$40,0)),0)=1)*(COUNTIF(G1208:I1225,$B1234)+COUNTIF(G1208:I1225,$B1234&amp;" ~*")&gt;0)+(IFERROR(INDEX(Setup!$G$33:$G$40,MATCH(K1234,Setup!$B$33:$B$40,0)),0)=1)*(COUNTIF(K1208:M1225,$B1234)+COUNTIF(K1208:M1225,$B1234&amp;" ~*")&gt;0)+(IFERROR(INDEX(Setup!$G$33:$G$40,MATCH(O1234,Setup!$B$33:$B$40,0)),0)=1)*(COUNTIF(O1208:Q1225,$B1234)+COUNTIF(O1208:Q1225,$B1234&amp;" ~*")&gt;0)+(IFERROR(INDEX(Setup!$G$33:$G$40,MATCH(S1234,Setup!$B$33:$B$40,0)),0)=1)*(COUNTIF(S1208:U1225,$B1234)+COUNTIF(S1208:U1225,$B1234&amp;" ~*")&gt;0)+(IFERROR(INDEX(Setup!$G$33:$G$40,MATCH(W1234,Setup!$B$33:$B$40,0)),0)=1)*(COUNTIF(W1208:W1225,$B1234)+COUNTIF(W1208:W1225,$B1234&amp;" ~*")&gt;0)+(IFERROR(INDEX(Setup!$G$33:$G$40,MATCH(Y1234,Setup!$B$33:$B$40,0)),0)=1)*(COUNTIF(Y1208:Y1225,$B1234)+COUNTIF(Y1208:Y1225,$B1234&amp;" ~*")&gt;0))</f>
        <v/>
      </c>
    </row>
    <row r="1235" ht="15" customHeight="1">
      <c r="A1235" t="n">
        <v>25</v>
      </c>
      <c r="B1235" s="35">
        <f>IF(Setup!$B$14="","",Setup!$B$14)</f>
        <v/>
      </c>
      <c r="C1235" s="98" t="n"/>
      <c r="D1235" s="99" t="n"/>
      <c r="E1235" s="99" t="n"/>
      <c r="F1235" s="100" t="n"/>
      <c r="G1235" s="98" t="n"/>
      <c r="H1235" s="99" t="n"/>
      <c r="I1235" s="99" t="n"/>
      <c r="J1235" s="100" t="n"/>
      <c r="K1235" s="98" t="n"/>
      <c r="L1235" s="99" t="n"/>
      <c r="M1235" s="99" t="n"/>
      <c r="N1235" s="100" t="n"/>
      <c r="O1235" s="98" t="n"/>
      <c r="P1235" s="99" t="n"/>
      <c r="Q1235" s="99" t="n"/>
      <c r="R1235" s="100" t="n"/>
      <c r="S1235" s="98" t="n"/>
      <c r="T1235" s="99" t="n"/>
      <c r="U1235" s="99" t="n"/>
      <c r="V1235" s="100" t="n"/>
      <c r="W1235" s="98" t="n"/>
      <c r="X1235" s="100" t="n"/>
      <c r="Y1235" s="98" t="n"/>
      <c r="Z1235" s="100" t="n"/>
      <c r="AB1235" s="101">
        <f>IF($B1235="","",(COUNTIF(C1208:E1225,$B1235)+COUNTIF(C1208:E1225,$B1235&amp;" ~*")&gt;0)+(COUNTIF(G1208:I1225,$B1235)+COUNTIF(G1208:I1225,$B1235&amp;" ~*")&gt;0)+(COUNTIF(K1208:M1225,$B1235)+COUNTIF(K1208:M1225,$B1235&amp;" ~*")&gt;0)+(COUNTIF(O1208:Q1225,$B1235)+COUNTIF(O1208:Q1225,$B1235&amp;" ~*")&gt;0)+(COUNTIF(S1208:U1225,$B1235)+COUNTIF(S1208:U1225,$B1235&amp;" ~*")&gt;0)+(COUNTIF(W1208:W1225,$B1235)+COUNTIF(W1208:W1225,$B1235&amp;" ~*")&gt;0)+(COUNTIF(Y1208:Y1225,$B1235)+COUNTIF(Y1208:Y1225,$B1235&amp;" ~*")&gt;0))</f>
        <v/>
      </c>
      <c r="AC1235" s="36">
        <f>IF($B1235="","",(IFERROR(INDEX(Setup!$G$33:$G$40,MATCH(C1235,Setup!$B$33:$B$40,0)),0)=1)*(COUNTIF(C1208:E1225,$B1235)+COUNTIF(C1208:E1225,$B1235&amp;" ~*")&gt;0)+(IFERROR(INDEX(Setup!$G$33:$G$40,MATCH(G1235,Setup!$B$33:$B$40,0)),0)=1)*(COUNTIF(G1208:I1225,$B1235)+COUNTIF(G1208:I1225,$B1235&amp;" ~*")&gt;0)+(IFERROR(INDEX(Setup!$G$33:$G$40,MATCH(K1235,Setup!$B$33:$B$40,0)),0)=1)*(COUNTIF(K1208:M1225,$B1235)+COUNTIF(K1208:M1225,$B1235&amp;" ~*")&gt;0)+(IFERROR(INDEX(Setup!$G$33:$G$40,MATCH(O1235,Setup!$B$33:$B$40,0)),0)=1)*(COUNTIF(O1208:Q1225,$B1235)+COUNTIF(O1208:Q1225,$B1235&amp;" ~*")&gt;0)+(IFERROR(INDEX(Setup!$G$33:$G$40,MATCH(S1235,Setup!$B$33:$B$40,0)),0)=1)*(COUNTIF(S1208:U1225,$B1235)+COUNTIF(S1208:U1225,$B1235&amp;" ~*")&gt;0)+(IFERROR(INDEX(Setup!$G$33:$G$40,MATCH(W1235,Setup!$B$33:$B$40,0)),0)=1)*(COUNTIF(W1208:W1225,$B1235)+COUNTIF(W1208:W1225,$B1235&amp;" ~*")&gt;0)+(IFERROR(INDEX(Setup!$G$33:$G$40,MATCH(Y1235,Setup!$B$33:$B$40,0)),0)=1)*(COUNTIF(Y1208:Y1225,$B1235)+COUNTIF(Y1208:Y1225,$B1235&amp;" ~*")&gt;0))</f>
        <v/>
      </c>
    </row>
    <row r="1236" ht="15" customHeight="1">
      <c r="A1236" t="n">
        <v>25</v>
      </c>
      <c r="B1236" s="37">
        <f>IF(Setup!$B$15="","",Setup!$B$15)</f>
        <v/>
      </c>
      <c r="C1236" s="102" t="n"/>
      <c r="D1236" s="103" t="n"/>
      <c r="E1236" s="103" t="n"/>
      <c r="F1236" s="104" t="n"/>
      <c r="G1236" s="102" t="n"/>
      <c r="H1236" s="103" t="n"/>
      <c r="I1236" s="103" t="n"/>
      <c r="J1236" s="104" t="n"/>
      <c r="K1236" s="102" t="n"/>
      <c r="L1236" s="103" t="n"/>
      <c r="M1236" s="103" t="n"/>
      <c r="N1236" s="104" t="n"/>
      <c r="O1236" s="102" t="n"/>
      <c r="P1236" s="103" t="n"/>
      <c r="Q1236" s="103" t="n"/>
      <c r="R1236" s="104" t="n"/>
      <c r="S1236" s="102" t="n"/>
      <c r="T1236" s="103" t="n"/>
      <c r="U1236" s="103" t="n"/>
      <c r="V1236" s="104" t="n"/>
      <c r="W1236" s="102" t="n"/>
      <c r="X1236" s="104" t="n"/>
      <c r="Y1236" s="102" t="n"/>
      <c r="Z1236" s="104" t="n"/>
      <c r="AB1236" s="105">
        <f>IF($B1236="","",(COUNTIF(C1208:E1225,$B1236)+COUNTIF(C1208:E1225,$B1236&amp;" ~*")&gt;0)+(COUNTIF(G1208:I1225,$B1236)+COUNTIF(G1208:I1225,$B1236&amp;" ~*")&gt;0)+(COUNTIF(K1208:M1225,$B1236)+COUNTIF(K1208:M1225,$B1236&amp;" ~*")&gt;0)+(COUNTIF(O1208:Q1225,$B1236)+COUNTIF(O1208:Q1225,$B1236&amp;" ~*")&gt;0)+(COUNTIF(S1208:U1225,$B1236)+COUNTIF(S1208:U1225,$B1236&amp;" ~*")&gt;0)+(COUNTIF(W1208:W1225,$B1236)+COUNTIF(W1208:W1225,$B1236&amp;" ~*")&gt;0)+(COUNTIF(Y1208:Y1225,$B1236)+COUNTIF(Y1208:Y1225,$B1236&amp;" ~*")&gt;0))</f>
        <v/>
      </c>
      <c r="AC1236" s="38">
        <f>IF($B1236="","",(IFERROR(INDEX(Setup!$G$33:$G$40,MATCH(C1236,Setup!$B$33:$B$40,0)),0)=1)*(COUNTIF(C1208:E1225,$B1236)+COUNTIF(C1208:E1225,$B1236&amp;" ~*")&gt;0)+(IFERROR(INDEX(Setup!$G$33:$G$40,MATCH(G1236,Setup!$B$33:$B$40,0)),0)=1)*(COUNTIF(G1208:I1225,$B1236)+COUNTIF(G1208:I1225,$B1236&amp;" ~*")&gt;0)+(IFERROR(INDEX(Setup!$G$33:$G$40,MATCH(K1236,Setup!$B$33:$B$40,0)),0)=1)*(COUNTIF(K1208:M1225,$B1236)+COUNTIF(K1208:M1225,$B1236&amp;" ~*")&gt;0)+(IFERROR(INDEX(Setup!$G$33:$G$40,MATCH(O1236,Setup!$B$33:$B$40,0)),0)=1)*(COUNTIF(O1208:Q1225,$B1236)+COUNTIF(O1208:Q1225,$B1236&amp;" ~*")&gt;0)+(IFERROR(INDEX(Setup!$G$33:$G$40,MATCH(S1236,Setup!$B$33:$B$40,0)),0)=1)*(COUNTIF(S1208:U1225,$B1236)+COUNTIF(S1208:U1225,$B1236&amp;" ~*")&gt;0)+(IFERROR(INDEX(Setup!$G$33:$G$40,MATCH(W1236,Setup!$B$33:$B$40,0)),0)=1)*(COUNTIF(W1208:W1225,$B1236)+COUNTIF(W1208:W1225,$B1236&amp;" ~*")&gt;0)+(IFERROR(INDEX(Setup!$G$33:$G$40,MATCH(Y1236,Setup!$B$33:$B$40,0)),0)=1)*(COUNTIF(Y1208:Y1225,$B1236)+COUNTIF(Y1208:Y1225,$B1236&amp;" ~*")&gt;0))</f>
        <v/>
      </c>
    </row>
    <row r="1237" ht="15" customHeight="1">
      <c r="A1237" t="n">
        <v>25</v>
      </c>
      <c r="B1237" s="35">
        <f>IF(Setup!$B$16="","",Setup!$B$16)</f>
        <v/>
      </c>
      <c r="C1237" s="98" t="n"/>
      <c r="D1237" s="99" t="n"/>
      <c r="E1237" s="99" t="n"/>
      <c r="F1237" s="100" t="n"/>
      <c r="G1237" s="98" t="n"/>
      <c r="H1237" s="99" t="n"/>
      <c r="I1237" s="99" t="n"/>
      <c r="J1237" s="100" t="n"/>
      <c r="K1237" s="98" t="n"/>
      <c r="L1237" s="99" t="n"/>
      <c r="M1237" s="99" t="n"/>
      <c r="N1237" s="100" t="n"/>
      <c r="O1237" s="98" t="n"/>
      <c r="P1237" s="99" t="n"/>
      <c r="Q1237" s="99" t="n"/>
      <c r="R1237" s="100" t="n"/>
      <c r="S1237" s="98" t="n"/>
      <c r="T1237" s="99" t="n"/>
      <c r="U1237" s="99" t="n"/>
      <c r="V1237" s="100" t="n"/>
      <c r="W1237" s="98" t="n"/>
      <c r="X1237" s="100" t="n"/>
      <c r="Y1237" s="98" t="n"/>
      <c r="Z1237" s="100" t="n"/>
      <c r="AB1237" s="101">
        <f>IF($B1237="","",(COUNTIF(C1208:E1225,$B1237)+COUNTIF(C1208:E1225,$B1237&amp;" ~*")&gt;0)+(COUNTIF(G1208:I1225,$B1237)+COUNTIF(G1208:I1225,$B1237&amp;" ~*")&gt;0)+(COUNTIF(K1208:M1225,$B1237)+COUNTIF(K1208:M1225,$B1237&amp;" ~*")&gt;0)+(COUNTIF(O1208:Q1225,$B1237)+COUNTIF(O1208:Q1225,$B1237&amp;" ~*")&gt;0)+(COUNTIF(S1208:U1225,$B1237)+COUNTIF(S1208:U1225,$B1237&amp;" ~*")&gt;0)+(COUNTIF(W1208:W1225,$B1237)+COUNTIF(W1208:W1225,$B1237&amp;" ~*")&gt;0)+(COUNTIF(Y1208:Y1225,$B1237)+COUNTIF(Y1208:Y1225,$B1237&amp;" ~*")&gt;0))</f>
        <v/>
      </c>
      <c r="AC1237" s="36">
        <f>IF($B1237="","",(IFERROR(INDEX(Setup!$G$33:$G$40,MATCH(C1237,Setup!$B$33:$B$40,0)),0)=1)*(COUNTIF(C1208:E1225,$B1237)+COUNTIF(C1208:E1225,$B1237&amp;" ~*")&gt;0)+(IFERROR(INDEX(Setup!$G$33:$G$40,MATCH(G1237,Setup!$B$33:$B$40,0)),0)=1)*(COUNTIF(G1208:I1225,$B1237)+COUNTIF(G1208:I1225,$B1237&amp;" ~*")&gt;0)+(IFERROR(INDEX(Setup!$G$33:$G$40,MATCH(K1237,Setup!$B$33:$B$40,0)),0)=1)*(COUNTIF(K1208:M1225,$B1237)+COUNTIF(K1208:M1225,$B1237&amp;" ~*")&gt;0)+(IFERROR(INDEX(Setup!$G$33:$G$40,MATCH(O1237,Setup!$B$33:$B$40,0)),0)=1)*(COUNTIF(O1208:Q1225,$B1237)+COUNTIF(O1208:Q1225,$B1237&amp;" ~*")&gt;0)+(IFERROR(INDEX(Setup!$G$33:$G$40,MATCH(S1237,Setup!$B$33:$B$40,0)),0)=1)*(COUNTIF(S1208:U1225,$B1237)+COUNTIF(S1208:U1225,$B1237&amp;" ~*")&gt;0)+(IFERROR(INDEX(Setup!$G$33:$G$40,MATCH(W1237,Setup!$B$33:$B$40,0)),0)=1)*(COUNTIF(W1208:W1225,$B1237)+COUNTIF(W1208:W1225,$B1237&amp;" ~*")&gt;0)+(IFERROR(INDEX(Setup!$G$33:$G$40,MATCH(Y1237,Setup!$B$33:$B$40,0)),0)=1)*(COUNTIF(Y1208:Y1225,$B1237)+COUNTIF(Y1208:Y1225,$B1237&amp;" ~*")&gt;0))</f>
        <v/>
      </c>
    </row>
    <row r="1238" ht="15" customHeight="1">
      <c r="A1238" t="n">
        <v>25</v>
      </c>
      <c r="B1238" s="37">
        <f>IF(Setup!$B$17="","",Setup!$B$17)</f>
        <v/>
      </c>
      <c r="C1238" s="102" t="n"/>
      <c r="D1238" s="103" t="n"/>
      <c r="E1238" s="103" t="n"/>
      <c r="F1238" s="104" t="n"/>
      <c r="G1238" s="102" t="n"/>
      <c r="H1238" s="103" t="n"/>
      <c r="I1238" s="103" t="n"/>
      <c r="J1238" s="104" t="n"/>
      <c r="K1238" s="102" t="n"/>
      <c r="L1238" s="103" t="n"/>
      <c r="M1238" s="103" t="n"/>
      <c r="N1238" s="104" t="n"/>
      <c r="O1238" s="102" t="n"/>
      <c r="P1238" s="103" t="n"/>
      <c r="Q1238" s="103" t="n"/>
      <c r="R1238" s="104" t="n"/>
      <c r="S1238" s="102" t="n"/>
      <c r="T1238" s="103" t="n"/>
      <c r="U1238" s="103" t="n"/>
      <c r="V1238" s="104" t="n"/>
      <c r="W1238" s="102" t="n"/>
      <c r="X1238" s="104" t="n"/>
      <c r="Y1238" s="102" t="n"/>
      <c r="Z1238" s="104" t="n"/>
      <c r="AB1238" s="105">
        <f>IF($B1238="","",(COUNTIF(C1208:E1225,$B1238)+COUNTIF(C1208:E1225,$B1238&amp;" ~*")&gt;0)+(COUNTIF(G1208:I1225,$B1238)+COUNTIF(G1208:I1225,$B1238&amp;" ~*")&gt;0)+(COUNTIF(K1208:M1225,$B1238)+COUNTIF(K1208:M1225,$B1238&amp;" ~*")&gt;0)+(COUNTIF(O1208:Q1225,$B1238)+COUNTIF(O1208:Q1225,$B1238&amp;" ~*")&gt;0)+(COUNTIF(S1208:U1225,$B1238)+COUNTIF(S1208:U1225,$B1238&amp;" ~*")&gt;0)+(COUNTIF(W1208:W1225,$B1238)+COUNTIF(W1208:W1225,$B1238&amp;" ~*")&gt;0)+(COUNTIF(Y1208:Y1225,$B1238)+COUNTIF(Y1208:Y1225,$B1238&amp;" ~*")&gt;0))</f>
        <v/>
      </c>
      <c r="AC1238" s="38">
        <f>IF($B1238="","",(IFERROR(INDEX(Setup!$G$33:$G$40,MATCH(C1238,Setup!$B$33:$B$40,0)),0)=1)*(COUNTIF(C1208:E1225,$B1238)+COUNTIF(C1208:E1225,$B1238&amp;" ~*")&gt;0)+(IFERROR(INDEX(Setup!$G$33:$G$40,MATCH(G1238,Setup!$B$33:$B$40,0)),0)=1)*(COUNTIF(G1208:I1225,$B1238)+COUNTIF(G1208:I1225,$B1238&amp;" ~*")&gt;0)+(IFERROR(INDEX(Setup!$G$33:$G$40,MATCH(K1238,Setup!$B$33:$B$40,0)),0)=1)*(COUNTIF(K1208:M1225,$B1238)+COUNTIF(K1208:M1225,$B1238&amp;" ~*")&gt;0)+(IFERROR(INDEX(Setup!$G$33:$G$40,MATCH(O1238,Setup!$B$33:$B$40,0)),0)=1)*(COUNTIF(O1208:Q1225,$B1238)+COUNTIF(O1208:Q1225,$B1238&amp;" ~*")&gt;0)+(IFERROR(INDEX(Setup!$G$33:$G$40,MATCH(S1238,Setup!$B$33:$B$40,0)),0)=1)*(COUNTIF(S1208:U1225,$B1238)+COUNTIF(S1208:U1225,$B1238&amp;" ~*")&gt;0)+(IFERROR(INDEX(Setup!$G$33:$G$40,MATCH(W1238,Setup!$B$33:$B$40,0)),0)=1)*(COUNTIF(W1208:W1225,$B1238)+COUNTIF(W1208:W1225,$B1238&amp;" ~*")&gt;0)+(IFERROR(INDEX(Setup!$G$33:$G$40,MATCH(Y1238,Setup!$B$33:$B$40,0)),0)=1)*(COUNTIF(Y1208:Y1225,$B1238)+COUNTIF(Y1208:Y1225,$B1238&amp;" ~*")&gt;0))</f>
        <v/>
      </c>
    </row>
    <row r="1239" ht="15" customHeight="1">
      <c r="A1239" t="n">
        <v>25</v>
      </c>
      <c r="B1239" s="35">
        <f>IF(Setup!$B$18="","",Setup!$B$18)</f>
        <v/>
      </c>
      <c r="C1239" s="98" t="n"/>
      <c r="D1239" s="99" t="n"/>
      <c r="E1239" s="99" t="n"/>
      <c r="F1239" s="100" t="n"/>
      <c r="G1239" s="98" t="n"/>
      <c r="H1239" s="99" t="n"/>
      <c r="I1239" s="99" t="n"/>
      <c r="J1239" s="100" t="n"/>
      <c r="K1239" s="98" t="n"/>
      <c r="L1239" s="99" t="n"/>
      <c r="M1239" s="99" t="n"/>
      <c r="N1239" s="100" t="n"/>
      <c r="O1239" s="98" t="n"/>
      <c r="P1239" s="99" t="n"/>
      <c r="Q1239" s="99" t="n"/>
      <c r="R1239" s="100" t="n"/>
      <c r="S1239" s="98" t="n"/>
      <c r="T1239" s="99" t="n"/>
      <c r="U1239" s="99" t="n"/>
      <c r="V1239" s="100" t="n"/>
      <c r="W1239" s="98" t="n"/>
      <c r="X1239" s="100" t="n"/>
      <c r="Y1239" s="98" t="n"/>
      <c r="Z1239" s="100" t="n"/>
      <c r="AB1239" s="101">
        <f>IF($B1239="","",(COUNTIF(C1208:E1225,$B1239)+COUNTIF(C1208:E1225,$B1239&amp;" ~*")&gt;0)+(COUNTIF(G1208:I1225,$B1239)+COUNTIF(G1208:I1225,$B1239&amp;" ~*")&gt;0)+(COUNTIF(K1208:M1225,$B1239)+COUNTIF(K1208:M1225,$B1239&amp;" ~*")&gt;0)+(COUNTIF(O1208:Q1225,$B1239)+COUNTIF(O1208:Q1225,$B1239&amp;" ~*")&gt;0)+(COUNTIF(S1208:U1225,$B1239)+COUNTIF(S1208:U1225,$B1239&amp;" ~*")&gt;0)+(COUNTIF(W1208:W1225,$B1239)+COUNTIF(W1208:W1225,$B1239&amp;" ~*")&gt;0)+(COUNTIF(Y1208:Y1225,$B1239)+COUNTIF(Y1208:Y1225,$B1239&amp;" ~*")&gt;0))</f>
        <v/>
      </c>
      <c r="AC1239" s="36">
        <f>IF($B1239="","",(IFERROR(INDEX(Setup!$G$33:$G$40,MATCH(C1239,Setup!$B$33:$B$40,0)),0)=1)*(COUNTIF(C1208:E1225,$B1239)+COUNTIF(C1208:E1225,$B1239&amp;" ~*")&gt;0)+(IFERROR(INDEX(Setup!$G$33:$G$40,MATCH(G1239,Setup!$B$33:$B$40,0)),0)=1)*(COUNTIF(G1208:I1225,$B1239)+COUNTIF(G1208:I1225,$B1239&amp;" ~*")&gt;0)+(IFERROR(INDEX(Setup!$G$33:$G$40,MATCH(K1239,Setup!$B$33:$B$40,0)),0)=1)*(COUNTIF(K1208:M1225,$B1239)+COUNTIF(K1208:M1225,$B1239&amp;" ~*")&gt;0)+(IFERROR(INDEX(Setup!$G$33:$G$40,MATCH(O1239,Setup!$B$33:$B$40,0)),0)=1)*(COUNTIF(O1208:Q1225,$B1239)+COUNTIF(O1208:Q1225,$B1239&amp;" ~*")&gt;0)+(IFERROR(INDEX(Setup!$G$33:$G$40,MATCH(S1239,Setup!$B$33:$B$40,0)),0)=1)*(COUNTIF(S1208:U1225,$B1239)+COUNTIF(S1208:U1225,$B1239&amp;" ~*")&gt;0)+(IFERROR(INDEX(Setup!$G$33:$G$40,MATCH(W1239,Setup!$B$33:$B$40,0)),0)=1)*(COUNTIF(W1208:W1225,$B1239)+COUNTIF(W1208:W1225,$B1239&amp;" ~*")&gt;0)+(IFERROR(INDEX(Setup!$G$33:$G$40,MATCH(Y1239,Setup!$B$33:$B$40,0)),0)=1)*(COUNTIF(Y1208:Y1225,$B1239)+COUNTIF(Y1208:Y1225,$B1239&amp;" ~*")&gt;0))</f>
        <v/>
      </c>
    </row>
    <row r="1240" ht="15" customHeight="1">
      <c r="A1240" t="n">
        <v>25</v>
      </c>
      <c r="B1240" s="37">
        <f>IF(Setup!$B$19="","",Setup!$B$19)</f>
        <v/>
      </c>
      <c r="C1240" s="102" t="n"/>
      <c r="D1240" s="103" t="n"/>
      <c r="E1240" s="103" t="n"/>
      <c r="F1240" s="104" t="n"/>
      <c r="G1240" s="102" t="n"/>
      <c r="H1240" s="103" t="n"/>
      <c r="I1240" s="103" t="n"/>
      <c r="J1240" s="104" t="n"/>
      <c r="K1240" s="102" t="n"/>
      <c r="L1240" s="103" t="n"/>
      <c r="M1240" s="103" t="n"/>
      <c r="N1240" s="104" t="n"/>
      <c r="O1240" s="102" t="n"/>
      <c r="P1240" s="103" t="n"/>
      <c r="Q1240" s="103" t="n"/>
      <c r="R1240" s="104" t="n"/>
      <c r="S1240" s="102" t="n"/>
      <c r="T1240" s="103" t="n"/>
      <c r="U1240" s="103" t="n"/>
      <c r="V1240" s="104" t="n"/>
      <c r="W1240" s="102" t="n"/>
      <c r="X1240" s="104" t="n"/>
      <c r="Y1240" s="102" t="n"/>
      <c r="Z1240" s="104" t="n"/>
      <c r="AB1240" s="105">
        <f>IF($B1240="","",(COUNTIF(C1208:E1225,$B1240)+COUNTIF(C1208:E1225,$B1240&amp;" ~*")&gt;0)+(COUNTIF(G1208:I1225,$B1240)+COUNTIF(G1208:I1225,$B1240&amp;" ~*")&gt;0)+(COUNTIF(K1208:M1225,$B1240)+COUNTIF(K1208:M1225,$B1240&amp;" ~*")&gt;0)+(COUNTIF(O1208:Q1225,$B1240)+COUNTIF(O1208:Q1225,$B1240&amp;" ~*")&gt;0)+(COUNTIF(S1208:U1225,$B1240)+COUNTIF(S1208:U1225,$B1240&amp;" ~*")&gt;0)+(COUNTIF(W1208:W1225,$B1240)+COUNTIF(W1208:W1225,$B1240&amp;" ~*")&gt;0)+(COUNTIF(Y1208:Y1225,$B1240)+COUNTIF(Y1208:Y1225,$B1240&amp;" ~*")&gt;0))</f>
        <v/>
      </c>
      <c r="AC1240" s="38">
        <f>IF($B1240="","",(IFERROR(INDEX(Setup!$G$33:$G$40,MATCH(C1240,Setup!$B$33:$B$40,0)),0)=1)*(COUNTIF(C1208:E1225,$B1240)+COUNTIF(C1208:E1225,$B1240&amp;" ~*")&gt;0)+(IFERROR(INDEX(Setup!$G$33:$G$40,MATCH(G1240,Setup!$B$33:$B$40,0)),0)=1)*(COUNTIF(G1208:I1225,$B1240)+COUNTIF(G1208:I1225,$B1240&amp;" ~*")&gt;0)+(IFERROR(INDEX(Setup!$G$33:$G$40,MATCH(K1240,Setup!$B$33:$B$40,0)),0)=1)*(COUNTIF(K1208:M1225,$B1240)+COUNTIF(K1208:M1225,$B1240&amp;" ~*")&gt;0)+(IFERROR(INDEX(Setup!$G$33:$G$40,MATCH(O1240,Setup!$B$33:$B$40,0)),0)=1)*(COUNTIF(O1208:Q1225,$B1240)+COUNTIF(O1208:Q1225,$B1240&amp;" ~*")&gt;0)+(IFERROR(INDEX(Setup!$G$33:$G$40,MATCH(S1240,Setup!$B$33:$B$40,0)),0)=1)*(COUNTIF(S1208:U1225,$B1240)+COUNTIF(S1208:U1225,$B1240&amp;" ~*")&gt;0)+(IFERROR(INDEX(Setup!$G$33:$G$40,MATCH(W1240,Setup!$B$33:$B$40,0)),0)=1)*(COUNTIF(W1208:W1225,$B1240)+COUNTIF(W1208:W1225,$B1240&amp;" ~*")&gt;0)+(IFERROR(INDEX(Setup!$G$33:$G$40,MATCH(Y1240,Setup!$B$33:$B$40,0)),0)=1)*(COUNTIF(Y1208:Y1225,$B1240)+COUNTIF(Y1208:Y1225,$B1240&amp;" ~*")&gt;0))</f>
        <v/>
      </c>
    </row>
    <row r="1241" ht="15" customHeight="1">
      <c r="A1241" t="n">
        <v>25</v>
      </c>
      <c r="B1241" s="35">
        <f>IF(Setup!$B$20="","",Setup!$B$20)</f>
        <v/>
      </c>
      <c r="C1241" s="98" t="n"/>
      <c r="D1241" s="99" t="n"/>
      <c r="E1241" s="99" t="n"/>
      <c r="F1241" s="100" t="n"/>
      <c r="G1241" s="98" t="n"/>
      <c r="H1241" s="99" t="n"/>
      <c r="I1241" s="99" t="n"/>
      <c r="J1241" s="100" t="n"/>
      <c r="K1241" s="98" t="n"/>
      <c r="L1241" s="99" t="n"/>
      <c r="M1241" s="99" t="n"/>
      <c r="N1241" s="100" t="n"/>
      <c r="O1241" s="98" t="n"/>
      <c r="P1241" s="99" t="n"/>
      <c r="Q1241" s="99" t="n"/>
      <c r="R1241" s="100" t="n"/>
      <c r="S1241" s="98" t="n"/>
      <c r="T1241" s="99" t="n"/>
      <c r="U1241" s="99" t="n"/>
      <c r="V1241" s="100" t="n"/>
      <c r="W1241" s="98" t="n"/>
      <c r="X1241" s="100" t="n"/>
      <c r="Y1241" s="98" t="n"/>
      <c r="Z1241" s="100" t="n"/>
      <c r="AB1241" s="101">
        <f>IF($B1241="","",(COUNTIF(C1208:E1225,$B1241)+COUNTIF(C1208:E1225,$B1241&amp;" ~*")&gt;0)+(COUNTIF(G1208:I1225,$B1241)+COUNTIF(G1208:I1225,$B1241&amp;" ~*")&gt;0)+(COUNTIF(K1208:M1225,$B1241)+COUNTIF(K1208:M1225,$B1241&amp;" ~*")&gt;0)+(COUNTIF(O1208:Q1225,$B1241)+COUNTIF(O1208:Q1225,$B1241&amp;" ~*")&gt;0)+(COUNTIF(S1208:U1225,$B1241)+COUNTIF(S1208:U1225,$B1241&amp;" ~*")&gt;0)+(COUNTIF(W1208:W1225,$B1241)+COUNTIF(W1208:W1225,$B1241&amp;" ~*")&gt;0)+(COUNTIF(Y1208:Y1225,$B1241)+COUNTIF(Y1208:Y1225,$B1241&amp;" ~*")&gt;0))</f>
        <v/>
      </c>
      <c r="AC1241" s="36">
        <f>IF($B1241="","",(IFERROR(INDEX(Setup!$G$33:$G$40,MATCH(C1241,Setup!$B$33:$B$40,0)),0)=1)*(COUNTIF(C1208:E1225,$B1241)+COUNTIF(C1208:E1225,$B1241&amp;" ~*")&gt;0)+(IFERROR(INDEX(Setup!$G$33:$G$40,MATCH(G1241,Setup!$B$33:$B$40,0)),0)=1)*(COUNTIF(G1208:I1225,$B1241)+COUNTIF(G1208:I1225,$B1241&amp;" ~*")&gt;0)+(IFERROR(INDEX(Setup!$G$33:$G$40,MATCH(K1241,Setup!$B$33:$B$40,0)),0)=1)*(COUNTIF(K1208:M1225,$B1241)+COUNTIF(K1208:M1225,$B1241&amp;" ~*")&gt;0)+(IFERROR(INDEX(Setup!$G$33:$G$40,MATCH(O1241,Setup!$B$33:$B$40,0)),0)=1)*(COUNTIF(O1208:Q1225,$B1241)+COUNTIF(O1208:Q1225,$B1241&amp;" ~*")&gt;0)+(IFERROR(INDEX(Setup!$G$33:$G$40,MATCH(S1241,Setup!$B$33:$B$40,0)),0)=1)*(COUNTIF(S1208:U1225,$B1241)+COUNTIF(S1208:U1225,$B1241&amp;" ~*")&gt;0)+(IFERROR(INDEX(Setup!$G$33:$G$40,MATCH(W1241,Setup!$B$33:$B$40,0)),0)=1)*(COUNTIF(W1208:W1225,$B1241)+COUNTIF(W1208:W1225,$B1241&amp;" ~*")&gt;0)+(IFERROR(INDEX(Setup!$G$33:$G$40,MATCH(Y1241,Setup!$B$33:$B$40,0)),0)=1)*(COUNTIF(Y1208:Y1225,$B1241)+COUNTIF(Y1208:Y1225,$B1241&amp;" ~*")&gt;0))</f>
        <v/>
      </c>
    </row>
    <row r="1242" ht="15" customHeight="1">
      <c r="A1242" t="n">
        <v>25</v>
      </c>
      <c r="B1242" s="37">
        <f>IF(Setup!$B$21="","",Setup!$B$21)</f>
        <v/>
      </c>
      <c r="C1242" s="102" t="n"/>
      <c r="D1242" s="103" t="n"/>
      <c r="E1242" s="103" t="n"/>
      <c r="F1242" s="104" t="n"/>
      <c r="G1242" s="102" t="n"/>
      <c r="H1242" s="103" t="n"/>
      <c r="I1242" s="103" t="n"/>
      <c r="J1242" s="104" t="n"/>
      <c r="K1242" s="102" t="n"/>
      <c r="L1242" s="103" t="n"/>
      <c r="M1242" s="103" t="n"/>
      <c r="N1242" s="104" t="n"/>
      <c r="O1242" s="102" t="n"/>
      <c r="P1242" s="103" t="n"/>
      <c r="Q1242" s="103" t="n"/>
      <c r="R1242" s="104" t="n"/>
      <c r="S1242" s="102" t="n"/>
      <c r="T1242" s="103" t="n"/>
      <c r="U1242" s="103" t="n"/>
      <c r="V1242" s="104" t="n"/>
      <c r="W1242" s="102" t="n"/>
      <c r="X1242" s="104" t="n"/>
      <c r="Y1242" s="102" t="n"/>
      <c r="Z1242" s="104" t="n"/>
      <c r="AB1242" s="105">
        <f>IF($B1242="","",(COUNTIF(C1208:E1225,$B1242)+COUNTIF(C1208:E1225,$B1242&amp;" ~*")&gt;0)+(COUNTIF(G1208:I1225,$B1242)+COUNTIF(G1208:I1225,$B1242&amp;" ~*")&gt;0)+(COUNTIF(K1208:M1225,$B1242)+COUNTIF(K1208:M1225,$B1242&amp;" ~*")&gt;0)+(COUNTIF(O1208:Q1225,$B1242)+COUNTIF(O1208:Q1225,$B1242&amp;" ~*")&gt;0)+(COUNTIF(S1208:U1225,$B1242)+COUNTIF(S1208:U1225,$B1242&amp;" ~*")&gt;0)+(COUNTIF(W1208:W1225,$B1242)+COUNTIF(W1208:W1225,$B1242&amp;" ~*")&gt;0)+(COUNTIF(Y1208:Y1225,$B1242)+COUNTIF(Y1208:Y1225,$B1242&amp;" ~*")&gt;0))</f>
        <v/>
      </c>
      <c r="AC1242" s="38">
        <f>IF($B1242="","",(IFERROR(INDEX(Setup!$G$33:$G$40,MATCH(C1242,Setup!$B$33:$B$40,0)),0)=1)*(COUNTIF(C1208:E1225,$B1242)+COUNTIF(C1208:E1225,$B1242&amp;" ~*")&gt;0)+(IFERROR(INDEX(Setup!$G$33:$G$40,MATCH(G1242,Setup!$B$33:$B$40,0)),0)=1)*(COUNTIF(G1208:I1225,$B1242)+COUNTIF(G1208:I1225,$B1242&amp;" ~*")&gt;0)+(IFERROR(INDEX(Setup!$G$33:$G$40,MATCH(K1242,Setup!$B$33:$B$40,0)),0)=1)*(COUNTIF(K1208:M1225,$B1242)+COUNTIF(K1208:M1225,$B1242&amp;" ~*")&gt;0)+(IFERROR(INDEX(Setup!$G$33:$G$40,MATCH(O1242,Setup!$B$33:$B$40,0)),0)=1)*(COUNTIF(O1208:Q1225,$B1242)+COUNTIF(O1208:Q1225,$B1242&amp;" ~*")&gt;0)+(IFERROR(INDEX(Setup!$G$33:$G$40,MATCH(S1242,Setup!$B$33:$B$40,0)),0)=1)*(COUNTIF(S1208:U1225,$B1242)+COUNTIF(S1208:U1225,$B1242&amp;" ~*")&gt;0)+(IFERROR(INDEX(Setup!$G$33:$G$40,MATCH(W1242,Setup!$B$33:$B$40,0)),0)=1)*(COUNTIF(W1208:W1225,$B1242)+COUNTIF(W1208:W1225,$B1242&amp;" ~*")&gt;0)+(IFERROR(INDEX(Setup!$G$33:$G$40,MATCH(Y1242,Setup!$B$33:$B$40,0)),0)=1)*(COUNTIF(Y1208:Y1225,$B1242)+COUNTIF(Y1208:Y1225,$B1242&amp;" ~*")&gt;0))</f>
        <v/>
      </c>
    </row>
    <row r="1243" ht="15" customHeight="1">
      <c r="A1243" t="n">
        <v>25</v>
      </c>
      <c r="B1243" s="35">
        <f>IF(Setup!$B$22="","",Setup!$B$22)</f>
        <v/>
      </c>
      <c r="C1243" s="98" t="n"/>
      <c r="D1243" s="99" t="n"/>
      <c r="E1243" s="99" t="n"/>
      <c r="F1243" s="100" t="n"/>
      <c r="G1243" s="98" t="n"/>
      <c r="H1243" s="99" t="n"/>
      <c r="I1243" s="99" t="n"/>
      <c r="J1243" s="100" t="n"/>
      <c r="K1243" s="98" t="n"/>
      <c r="L1243" s="99" t="n"/>
      <c r="M1243" s="99" t="n"/>
      <c r="N1243" s="100" t="n"/>
      <c r="O1243" s="98" t="n"/>
      <c r="P1243" s="99" t="n"/>
      <c r="Q1243" s="99" t="n"/>
      <c r="R1243" s="100" t="n"/>
      <c r="S1243" s="98" t="n"/>
      <c r="T1243" s="99" t="n"/>
      <c r="U1243" s="99" t="n"/>
      <c r="V1243" s="100" t="n"/>
      <c r="W1243" s="98" t="n"/>
      <c r="X1243" s="100" t="n"/>
      <c r="Y1243" s="98" t="n"/>
      <c r="Z1243" s="100" t="n"/>
      <c r="AB1243" s="101">
        <f>IF($B1243="","",(COUNTIF(C1208:E1225,$B1243)+COUNTIF(C1208:E1225,$B1243&amp;" ~*")&gt;0)+(COUNTIF(G1208:I1225,$B1243)+COUNTIF(G1208:I1225,$B1243&amp;" ~*")&gt;0)+(COUNTIF(K1208:M1225,$B1243)+COUNTIF(K1208:M1225,$B1243&amp;" ~*")&gt;0)+(COUNTIF(O1208:Q1225,$B1243)+COUNTIF(O1208:Q1225,$B1243&amp;" ~*")&gt;0)+(COUNTIF(S1208:U1225,$B1243)+COUNTIF(S1208:U1225,$B1243&amp;" ~*")&gt;0)+(COUNTIF(W1208:W1225,$B1243)+COUNTIF(W1208:W1225,$B1243&amp;" ~*")&gt;0)+(COUNTIF(Y1208:Y1225,$B1243)+COUNTIF(Y1208:Y1225,$B1243&amp;" ~*")&gt;0))</f>
        <v/>
      </c>
      <c r="AC1243" s="36">
        <f>IF($B1243="","",(IFERROR(INDEX(Setup!$G$33:$G$40,MATCH(C1243,Setup!$B$33:$B$40,0)),0)=1)*(COUNTIF(C1208:E1225,$B1243)+COUNTIF(C1208:E1225,$B1243&amp;" ~*")&gt;0)+(IFERROR(INDEX(Setup!$G$33:$G$40,MATCH(G1243,Setup!$B$33:$B$40,0)),0)=1)*(COUNTIF(G1208:I1225,$B1243)+COUNTIF(G1208:I1225,$B1243&amp;" ~*")&gt;0)+(IFERROR(INDEX(Setup!$G$33:$G$40,MATCH(K1243,Setup!$B$33:$B$40,0)),0)=1)*(COUNTIF(K1208:M1225,$B1243)+COUNTIF(K1208:M1225,$B1243&amp;" ~*")&gt;0)+(IFERROR(INDEX(Setup!$G$33:$G$40,MATCH(O1243,Setup!$B$33:$B$40,0)),0)=1)*(COUNTIF(O1208:Q1225,$B1243)+COUNTIF(O1208:Q1225,$B1243&amp;" ~*")&gt;0)+(IFERROR(INDEX(Setup!$G$33:$G$40,MATCH(S1243,Setup!$B$33:$B$40,0)),0)=1)*(COUNTIF(S1208:U1225,$B1243)+COUNTIF(S1208:U1225,$B1243&amp;" ~*")&gt;0)+(IFERROR(INDEX(Setup!$G$33:$G$40,MATCH(W1243,Setup!$B$33:$B$40,0)),0)=1)*(COUNTIF(W1208:W1225,$B1243)+COUNTIF(W1208:W1225,$B1243&amp;" ~*")&gt;0)+(IFERROR(INDEX(Setup!$G$33:$G$40,MATCH(Y1243,Setup!$B$33:$B$40,0)),0)=1)*(COUNTIF(Y1208:Y1225,$B1243)+COUNTIF(Y1208:Y1225,$B1243&amp;" ~*")&gt;0))</f>
        <v/>
      </c>
    </row>
    <row r="1244" ht="15" customHeight="1">
      <c r="A1244" t="n">
        <v>25</v>
      </c>
      <c r="B1244" s="37">
        <f>IF(Setup!$B$23="","",Setup!$B$23)</f>
        <v/>
      </c>
      <c r="C1244" s="102" t="n"/>
      <c r="D1244" s="103" t="n"/>
      <c r="E1244" s="103" t="n"/>
      <c r="F1244" s="104" t="n"/>
      <c r="G1244" s="102" t="n"/>
      <c r="H1244" s="103" t="n"/>
      <c r="I1244" s="103" t="n"/>
      <c r="J1244" s="104" t="n"/>
      <c r="K1244" s="102" t="n"/>
      <c r="L1244" s="103" t="n"/>
      <c r="M1244" s="103" t="n"/>
      <c r="N1244" s="104" t="n"/>
      <c r="O1244" s="102" t="n"/>
      <c r="P1244" s="103" t="n"/>
      <c r="Q1244" s="103" t="n"/>
      <c r="R1244" s="104" t="n"/>
      <c r="S1244" s="102" t="n"/>
      <c r="T1244" s="103" t="n"/>
      <c r="U1244" s="103" t="n"/>
      <c r="V1244" s="104" t="n"/>
      <c r="W1244" s="102" t="n"/>
      <c r="X1244" s="104" t="n"/>
      <c r="Y1244" s="102" t="n"/>
      <c r="Z1244" s="104" t="n"/>
      <c r="AB1244" s="105">
        <f>IF($B1244="","",(COUNTIF(C1208:E1225,$B1244)+COUNTIF(C1208:E1225,$B1244&amp;" ~*")&gt;0)+(COUNTIF(G1208:I1225,$B1244)+COUNTIF(G1208:I1225,$B1244&amp;" ~*")&gt;0)+(COUNTIF(K1208:M1225,$B1244)+COUNTIF(K1208:M1225,$B1244&amp;" ~*")&gt;0)+(COUNTIF(O1208:Q1225,$B1244)+COUNTIF(O1208:Q1225,$B1244&amp;" ~*")&gt;0)+(COUNTIF(S1208:U1225,$B1244)+COUNTIF(S1208:U1225,$B1244&amp;" ~*")&gt;0)+(COUNTIF(W1208:W1225,$B1244)+COUNTIF(W1208:W1225,$B1244&amp;" ~*")&gt;0)+(COUNTIF(Y1208:Y1225,$B1244)+COUNTIF(Y1208:Y1225,$B1244&amp;" ~*")&gt;0))</f>
        <v/>
      </c>
      <c r="AC1244" s="38">
        <f>IF($B1244="","",(IFERROR(INDEX(Setup!$G$33:$G$40,MATCH(C1244,Setup!$B$33:$B$40,0)),0)=1)*(COUNTIF(C1208:E1225,$B1244)+COUNTIF(C1208:E1225,$B1244&amp;" ~*")&gt;0)+(IFERROR(INDEX(Setup!$G$33:$G$40,MATCH(G1244,Setup!$B$33:$B$40,0)),0)=1)*(COUNTIF(G1208:I1225,$B1244)+COUNTIF(G1208:I1225,$B1244&amp;" ~*")&gt;0)+(IFERROR(INDEX(Setup!$G$33:$G$40,MATCH(K1244,Setup!$B$33:$B$40,0)),0)=1)*(COUNTIF(K1208:M1225,$B1244)+COUNTIF(K1208:M1225,$B1244&amp;" ~*")&gt;0)+(IFERROR(INDEX(Setup!$G$33:$G$40,MATCH(O1244,Setup!$B$33:$B$40,0)),0)=1)*(COUNTIF(O1208:Q1225,$B1244)+COUNTIF(O1208:Q1225,$B1244&amp;" ~*")&gt;0)+(IFERROR(INDEX(Setup!$G$33:$G$40,MATCH(S1244,Setup!$B$33:$B$40,0)),0)=1)*(COUNTIF(S1208:U1225,$B1244)+COUNTIF(S1208:U1225,$B1244&amp;" ~*")&gt;0)+(IFERROR(INDEX(Setup!$G$33:$G$40,MATCH(W1244,Setup!$B$33:$B$40,0)),0)=1)*(COUNTIF(W1208:W1225,$B1244)+COUNTIF(W1208:W1225,$B1244&amp;" ~*")&gt;0)+(IFERROR(INDEX(Setup!$G$33:$G$40,MATCH(Y1244,Setup!$B$33:$B$40,0)),0)=1)*(COUNTIF(Y1208:Y1225,$B1244)+COUNTIF(Y1208:Y1225,$B1244&amp;" ~*")&gt;0))</f>
        <v/>
      </c>
    </row>
    <row r="1245" ht="15" customHeight="1">
      <c r="A1245" t="n">
        <v>25</v>
      </c>
      <c r="B1245" s="35">
        <f>IF(Setup!$B$24="","",Setup!$B$24)</f>
        <v/>
      </c>
      <c r="C1245" s="98" t="n"/>
      <c r="D1245" s="99" t="n"/>
      <c r="E1245" s="99" t="n"/>
      <c r="F1245" s="100" t="n"/>
      <c r="G1245" s="98" t="n"/>
      <c r="H1245" s="99" t="n"/>
      <c r="I1245" s="99" t="n"/>
      <c r="J1245" s="100" t="n"/>
      <c r="K1245" s="98" t="n"/>
      <c r="L1245" s="99" t="n"/>
      <c r="M1245" s="99" t="n"/>
      <c r="N1245" s="100" t="n"/>
      <c r="O1245" s="98" t="n"/>
      <c r="P1245" s="99" t="n"/>
      <c r="Q1245" s="99" t="n"/>
      <c r="R1245" s="100" t="n"/>
      <c r="S1245" s="98" t="n"/>
      <c r="T1245" s="99" t="n"/>
      <c r="U1245" s="99" t="n"/>
      <c r="V1245" s="100" t="n"/>
      <c r="W1245" s="98" t="n"/>
      <c r="X1245" s="100" t="n"/>
      <c r="Y1245" s="98" t="n"/>
      <c r="Z1245" s="100" t="n"/>
      <c r="AB1245" s="101">
        <f>IF($B1245="","",(COUNTIF(C1208:E1225,$B1245)+COUNTIF(C1208:E1225,$B1245&amp;" ~*")&gt;0)+(COUNTIF(G1208:I1225,$B1245)+COUNTIF(G1208:I1225,$B1245&amp;" ~*")&gt;0)+(COUNTIF(K1208:M1225,$B1245)+COUNTIF(K1208:M1225,$B1245&amp;" ~*")&gt;0)+(COUNTIF(O1208:Q1225,$B1245)+COUNTIF(O1208:Q1225,$B1245&amp;" ~*")&gt;0)+(COUNTIF(S1208:U1225,$B1245)+COUNTIF(S1208:U1225,$B1245&amp;" ~*")&gt;0)+(COUNTIF(W1208:W1225,$B1245)+COUNTIF(W1208:W1225,$B1245&amp;" ~*")&gt;0)+(COUNTIF(Y1208:Y1225,$B1245)+COUNTIF(Y1208:Y1225,$B1245&amp;" ~*")&gt;0))</f>
        <v/>
      </c>
      <c r="AC1245" s="36">
        <f>IF($B1245="","",(IFERROR(INDEX(Setup!$G$33:$G$40,MATCH(C1245,Setup!$B$33:$B$40,0)),0)=1)*(COUNTIF(C1208:E1225,$B1245)+COUNTIF(C1208:E1225,$B1245&amp;" ~*")&gt;0)+(IFERROR(INDEX(Setup!$G$33:$G$40,MATCH(G1245,Setup!$B$33:$B$40,0)),0)=1)*(COUNTIF(G1208:I1225,$B1245)+COUNTIF(G1208:I1225,$B1245&amp;" ~*")&gt;0)+(IFERROR(INDEX(Setup!$G$33:$G$40,MATCH(K1245,Setup!$B$33:$B$40,0)),0)=1)*(COUNTIF(K1208:M1225,$B1245)+COUNTIF(K1208:M1225,$B1245&amp;" ~*")&gt;0)+(IFERROR(INDEX(Setup!$G$33:$G$40,MATCH(O1245,Setup!$B$33:$B$40,0)),0)=1)*(COUNTIF(O1208:Q1225,$B1245)+COUNTIF(O1208:Q1225,$B1245&amp;" ~*")&gt;0)+(IFERROR(INDEX(Setup!$G$33:$G$40,MATCH(S1245,Setup!$B$33:$B$40,0)),0)=1)*(COUNTIF(S1208:U1225,$B1245)+COUNTIF(S1208:U1225,$B1245&amp;" ~*")&gt;0)+(IFERROR(INDEX(Setup!$G$33:$G$40,MATCH(W1245,Setup!$B$33:$B$40,0)),0)=1)*(COUNTIF(W1208:W1225,$B1245)+COUNTIF(W1208:W1225,$B1245&amp;" ~*")&gt;0)+(IFERROR(INDEX(Setup!$G$33:$G$40,MATCH(Y1245,Setup!$B$33:$B$40,0)),0)=1)*(COUNTIF(Y1208:Y1225,$B1245)+COUNTIF(Y1208:Y1225,$B1245&amp;" ~*")&gt;0))</f>
        <v/>
      </c>
    </row>
    <row r="1246" ht="15" customHeight="1">
      <c r="A1246" t="n">
        <v>25</v>
      </c>
      <c r="B1246" s="37">
        <f>IF(Setup!$B$25="","",Setup!$B$25)</f>
        <v/>
      </c>
      <c r="C1246" s="102" t="n"/>
      <c r="D1246" s="103" t="n"/>
      <c r="E1246" s="103" t="n"/>
      <c r="F1246" s="104" t="n"/>
      <c r="G1246" s="102" t="n"/>
      <c r="H1246" s="103" t="n"/>
      <c r="I1246" s="103" t="n"/>
      <c r="J1246" s="104" t="n"/>
      <c r="K1246" s="102" t="n"/>
      <c r="L1246" s="103" t="n"/>
      <c r="M1246" s="103" t="n"/>
      <c r="N1246" s="104" t="n"/>
      <c r="O1246" s="102" t="n"/>
      <c r="P1246" s="103" t="n"/>
      <c r="Q1246" s="103" t="n"/>
      <c r="R1246" s="104" t="n"/>
      <c r="S1246" s="102" t="n"/>
      <c r="T1246" s="103" t="n"/>
      <c r="U1246" s="103" t="n"/>
      <c r="V1246" s="104" t="n"/>
      <c r="W1246" s="102" t="n"/>
      <c r="X1246" s="104" t="n"/>
      <c r="Y1246" s="102" t="n"/>
      <c r="Z1246" s="104" t="n"/>
      <c r="AB1246" s="105">
        <f>IF($B1246="","",(COUNTIF(C1208:E1225,$B1246)+COUNTIF(C1208:E1225,$B1246&amp;" ~*")&gt;0)+(COUNTIF(G1208:I1225,$B1246)+COUNTIF(G1208:I1225,$B1246&amp;" ~*")&gt;0)+(COUNTIF(K1208:M1225,$B1246)+COUNTIF(K1208:M1225,$B1246&amp;" ~*")&gt;0)+(COUNTIF(O1208:Q1225,$B1246)+COUNTIF(O1208:Q1225,$B1246&amp;" ~*")&gt;0)+(COUNTIF(S1208:U1225,$B1246)+COUNTIF(S1208:U1225,$B1246&amp;" ~*")&gt;0)+(COUNTIF(W1208:W1225,$B1246)+COUNTIF(W1208:W1225,$B1246&amp;" ~*")&gt;0)+(COUNTIF(Y1208:Y1225,$B1246)+COUNTIF(Y1208:Y1225,$B1246&amp;" ~*")&gt;0))</f>
        <v/>
      </c>
      <c r="AC1246" s="38">
        <f>IF($B1246="","",(IFERROR(INDEX(Setup!$G$33:$G$40,MATCH(C1246,Setup!$B$33:$B$40,0)),0)=1)*(COUNTIF(C1208:E1225,$B1246)+COUNTIF(C1208:E1225,$B1246&amp;" ~*")&gt;0)+(IFERROR(INDEX(Setup!$G$33:$G$40,MATCH(G1246,Setup!$B$33:$B$40,0)),0)=1)*(COUNTIF(G1208:I1225,$B1246)+COUNTIF(G1208:I1225,$B1246&amp;" ~*")&gt;0)+(IFERROR(INDEX(Setup!$G$33:$G$40,MATCH(K1246,Setup!$B$33:$B$40,0)),0)=1)*(COUNTIF(K1208:M1225,$B1246)+COUNTIF(K1208:M1225,$B1246&amp;" ~*")&gt;0)+(IFERROR(INDEX(Setup!$G$33:$G$40,MATCH(O1246,Setup!$B$33:$B$40,0)),0)=1)*(COUNTIF(O1208:Q1225,$B1246)+COUNTIF(O1208:Q1225,$B1246&amp;" ~*")&gt;0)+(IFERROR(INDEX(Setup!$G$33:$G$40,MATCH(S1246,Setup!$B$33:$B$40,0)),0)=1)*(COUNTIF(S1208:U1225,$B1246)+COUNTIF(S1208:U1225,$B1246&amp;" ~*")&gt;0)+(IFERROR(INDEX(Setup!$G$33:$G$40,MATCH(W1246,Setup!$B$33:$B$40,0)),0)=1)*(COUNTIF(W1208:W1225,$B1246)+COUNTIF(W1208:W1225,$B1246&amp;" ~*")&gt;0)+(IFERROR(INDEX(Setup!$G$33:$G$40,MATCH(Y1246,Setup!$B$33:$B$40,0)),0)=1)*(COUNTIF(Y1208:Y1225,$B1246)+COUNTIF(Y1208:Y1225,$B1246&amp;" ~*")&gt;0))</f>
        <v/>
      </c>
    </row>
    <row r="1247" ht="15" customHeight="1">
      <c r="A1247" t="n">
        <v>25</v>
      </c>
      <c r="B1247" s="35">
        <f>IF(Setup!$B$26="","",Setup!$B$26)</f>
        <v/>
      </c>
      <c r="C1247" s="98" t="n"/>
      <c r="D1247" s="99" t="n"/>
      <c r="E1247" s="99" t="n"/>
      <c r="F1247" s="100" t="n"/>
      <c r="G1247" s="98" t="n"/>
      <c r="H1247" s="99" t="n"/>
      <c r="I1247" s="99" t="n"/>
      <c r="J1247" s="100" t="n"/>
      <c r="K1247" s="98" t="n"/>
      <c r="L1247" s="99" t="n"/>
      <c r="M1247" s="99" t="n"/>
      <c r="N1247" s="100" t="n"/>
      <c r="O1247" s="98" t="n"/>
      <c r="P1247" s="99" t="n"/>
      <c r="Q1247" s="99" t="n"/>
      <c r="R1247" s="100" t="n"/>
      <c r="S1247" s="98" t="n"/>
      <c r="T1247" s="99" t="n"/>
      <c r="U1247" s="99" t="n"/>
      <c r="V1247" s="100" t="n"/>
      <c r="W1247" s="98" t="n"/>
      <c r="X1247" s="100" t="n"/>
      <c r="Y1247" s="98" t="n"/>
      <c r="Z1247" s="100" t="n"/>
      <c r="AB1247" s="101">
        <f>IF($B1247="","",(COUNTIF(C1208:E1225,$B1247)+COUNTIF(C1208:E1225,$B1247&amp;" ~*")&gt;0)+(COUNTIF(G1208:I1225,$B1247)+COUNTIF(G1208:I1225,$B1247&amp;" ~*")&gt;0)+(COUNTIF(K1208:M1225,$B1247)+COUNTIF(K1208:M1225,$B1247&amp;" ~*")&gt;0)+(COUNTIF(O1208:Q1225,$B1247)+COUNTIF(O1208:Q1225,$B1247&amp;" ~*")&gt;0)+(COUNTIF(S1208:U1225,$B1247)+COUNTIF(S1208:U1225,$B1247&amp;" ~*")&gt;0)+(COUNTIF(W1208:W1225,$B1247)+COUNTIF(W1208:W1225,$B1247&amp;" ~*")&gt;0)+(COUNTIF(Y1208:Y1225,$B1247)+COUNTIF(Y1208:Y1225,$B1247&amp;" ~*")&gt;0))</f>
        <v/>
      </c>
      <c r="AC1247" s="36">
        <f>IF($B1247="","",(IFERROR(INDEX(Setup!$G$33:$G$40,MATCH(C1247,Setup!$B$33:$B$40,0)),0)=1)*(COUNTIF(C1208:E1225,$B1247)+COUNTIF(C1208:E1225,$B1247&amp;" ~*")&gt;0)+(IFERROR(INDEX(Setup!$G$33:$G$40,MATCH(G1247,Setup!$B$33:$B$40,0)),0)=1)*(COUNTIF(G1208:I1225,$B1247)+COUNTIF(G1208:I1225,$B1247&amp;" ~*")&gt;0)+(IFERROR(INDEX(Setup!$G$33:$G$40,MATCH(K1247,Setup!$B$33:$B$40,0)),0)=1)*(COUNTIF(K1208:M1225,$B1247)+COUNTIF(K1208:M1225,$B1247&amp;" ~*")&gt;0)+(IFERROR(INDEX(Setup!$G$33:$G$40,MATCH(O1247,Setup!$B$33:$B$40,0)),0)=1)*(COUNTIF(O1208:Q1225,$B1247)+COUNTIF(O1208:Q1225,$B1247&amp;" ~*")&gt;0)+(IFERROR(INDEX(Setup!$G$33:$G$40,MATCH(S1247,Setup!$B$33:$B$40,0)),0)=1)*(COUNTIF(S1208:U1225,$B1247)+COUNTIF(S1208:U1225,$B1247&amp;" ~*")&gt;0)+(IFERROR(INDEX(Setup!$G$33:$G$40,MATCH(W1247,Setup!$B$33:$B$40,0)),0)=1)*(COUNTIF(W1208:W1225,$B1247)+COUNTIF(W1208:W1225,$B1247&amp;" ~*")&gt;0)+(IFERROR(INDEX(Setup!$G$33:$G$40,MATCH(Y1247,Setup!$B$33:$B$40,0)),0)=1)*(COUNTIF(Y1208:Y1225,$B1247)+COUNTIF(Y1208:Y1225,$B1247&amp;" ~*")&gt;0))</f>
        <v/>
      </c>
    </row>
    <row r="1248" ht="15" customHeight="1">
      <c r="A1248" t="n">
        <v>25</v>
      </c>
      <c r="B1248" s="37">
        <f>IF(Setup!$B$27="","",Setup!$B$27)</f>
        <v/>
      </c>
      <c r="C1248" s="102" t="n"/>
      <c r="D1248" s="103" t="n"/>
      <c r="E1248" s="103" t="n"/>
      <c r="F1248" s="104" t="n"/>
      <c r="G1248" s="102" t="n"/>
      <c r="H1248" s="103" t="n"/>
      <c r="I1248" s="103" t="n"/>
      <c r="J1248" s="104" t="n"/>
      <c r="K1248" s="102" t="n"/>
      <c r="L1248" s="103" t="n"/>
      <c r="M1248" s="103" t="n"/>
      <c r="N1248" s="104" t="n"/>
      <c r="O1248" s="102" t="n"/>
      <c r="P1248" s="103" t="n"/>
      <c r="Q1248" s="103" t="n"/>
      <c r="R1248" s="104" t="n"/>
      <c r="S1248" s="102" t="n"/>
      <c r="T1248" s="103" t="n"/>
      <c r="U1248" s="103" t="n"/>
      <c r="V1248" s="104" t="n"/>
      <c r="W1248" s="102" t="n"/>
      <c r="X1248" s="104" t="n"/>
      <c r="Y1248" s="102" t="n"/>
      <c r="Z1248" s="104" t="n"/>
      <c r="AB1248" s="105">
        <f>IF($B1248="","",(COUNTIF(C1208:E1225,$B1248)+COUNTIF(C1208:E1225,$B1248&amp;" ~*")&gt;0)+(COUNTIF(G1208:I1225,$B1248)+COUNTIF(G1208:I1225,$B1248&amp;" ~*")&gt;0)+(COUNTIF(K1208:M1225,$B1248)+COUNTIF(K1208:M1225,$B1248&amp;" ~*")&gt;0)+(COUNTIF(O1208:Q1225,$B1248)+COUNTIF(O1208:Q1225,$B1248&amp;" ~*")&gt;0)+(COUNTIF(S1208:U1225,$B1248)+COUNTIF(S1208:U1225,$B1248&amp;" ~*")&gt;0)+(COUNTIF(W1208:W1225,$B1248)+COUNTIF(W1208:W1225,$B1248&amp;" ~*")&gt;0)+(COUNTIF(Y1208:Y1225,$B1248)+COUNTIF(Y1208:Y1225,$B1248&amp;" ~*")&gt;0))</f>
        <v/>
      </c>
      <c r="AC1248" s="38">
        <f>IF($B1248="","",(IFERROR(INDEX(Setup!$G$33:$G$40,MATCH(C1248,Setup!$B$33:$B$40,0)),0)=1)*(COUNTIF(C1208:E1225,$B1248)+COUNTIF(C1208:E1225,$B1248&amp;" ~*")&gt;0)+(IFERROR(INDEX(Setup!$G$33:$G$40,MATCH(G1248,Setup!$B$33:$B$40,0)),0)=1)*(COUNTIF(G1208:I1225,$B1248)+COUNTIF(G1208:I1225,$B1248&amp;" ~*")&gt;0)+(IFERROR(INDEX(Setup!$G$33:$G$40,MATCH(K1248,Setup!$B$33:$B$40,0)),0)=1)*(COUNTIF(K1208:M1225,$B1248)+COUNTIF(K1208:M1225,$B1248&amp;" ~*")&gt;0)+(IFERROR(INDEX(Setup!$G$33:$G$40,MATCH(O1248,Setup!$B$33:$B$40,0)),0)=1)*(COUNTIF(O1208:Q1225,$B1248)+COUNTIF(O1208:Q1225,$B1248&amp;" ~*")&gt;0)+(IFERROR(INDEX(Setup!$G$33:$G$40,MATCH(S1248,Setup!$B$33:$B$40,0)),0)=1)*(COUNTIF(S1208:U1225,$B1248)+COUNTIF(S1208:U1225,$B1248&amp;" ~*")&gt;0)+(IFERROR(INDEX(Setup!$G$33:$G$40,MATCH(W1248,Setup!$B$33:$B$40,0)),0)=1)*(COUNTIF(W1208:W1225,$B1248)+COUNTIF(W1208:W1225,$B1248&amp;" ~*")&gt;0)+(IFERROR(INDEX(Setup!$G$33:$G$40,MATCH(Y1248,Setup!$B$33:$B$40,0)),0)=1)*(COUNTIF(Y1208:Y1225,$B1248)+COUNTIF(Y1208:Y1225,$B1248&amp;" ~*")&gt;0))</f>
        <v/>
      </c>
    </row>
    <row r="1249" ht="15" customHeight="1">
      <c r="A1249" t="n">
        <v>25</v>
      </c>
      <c r="B1249" s="35">
        <f>IF(Setup!$B$28="","",Setup!$B$28)</f>
        <v/>
      </c>
      <c r="C1249" s="98" t="n"/>
      <c r="D1249" s="99" t="n"/>
      <c r="E1249" s="99" t="n"/>
      <c r="F1249" s="100" t="n"/>
      <c r="G1249" s="98" t="n"/>
      <c r="H1249" s="99" t="n"/>
      <c r="I1249" s="99" t="n"/>
      <c r="J1249" s="100" t="n"/>
      <c r="K1249" s="98" t="n"/>
      <c r="L1249" s="99" t="n"/>
      <c r="M1249" s="99" t="n"/>
      <c r="N1249" s="100" t="n"/>
      <c r="O1249" s="98" t="n"/>
      <c r="P1249" s="99" t="n"/>
      <c r="Q1249" s="99" t="n"/>
      <c r="R1249" s="100" t="n"/>
      <c r="S1249" s="98" t="n"/>
      <c r="T1249" s="99" t="n"/>
      <c r="U1249" s="99" t="n"/>
      <c r="V1249" s="100" t="n"/>
      <c r="W1249" s="98" t="n"/>
      <c r="X1249" s="100" t="n"/>
      <c r="Y1249" s="98" t="n"/>
      <c r="Z1249" s="100" t="n"/>
      <c r="AB1249" s="101">
        <f>IF($B1249="","",(COUNTIF(C1208:E1225,$B1249)+COUNTIF(C1208:E1225,$B1249&amp;" ~*")&gt;0)+(COUNTIF(G1208:I1225,$B1249)+COUNTIF(G1208:I1225,$B1249&amp;" ~*")&gt;0)+(COUNTIF(K1208:M1225,$B1249)+COUNTIF(K1208:M1225,$B1249&amp;" ~*")&gt;0)+(COUNTIF(O1208:Q1225,$B1249)+COUNTIF(O1208:Q1225,$B1249&amp;" ~*")&gt;0)+(COUNTIF(S1208:U1225,$B1249)+COUNTIF(S1208:U1225,$B1249&amp;" ~*")&gt;0)+(COUNTIF(W1208:W1225,$B1249)+COUNTIF(W1208:W1225,$B1249&amp;" ~*")&gt;0)+(COUNTIF(Y1208:Y1225,$B1249)+COUNTIF(Y1208:Y1225,$B1249&amp;" ~*")&gt;0))</f>
        <v/>
      </c>
      <c r="AC1249" s="36">
        <f>IF($B1249="","",(IFERROR(INDEX(Setup!$G$33:$G$40,MATCH(C1249,Setup!$B$33:$B$40,0)),0)=1)*(COUNTIF(C1208:E1225,$B1249)+COUNTIF(C1208:E1225,$B1249&amp;" ~*")&gt;0)+(IFERROR(INDEX(Setup!$G$33:$G$40,MATCH(G1249,Setup!$B$33:$B$40,0)),0)=1)*(COUNTIF(G1208:I1225,$B1249)+COUNTIF(G1208:I1225,$B1249&amp;" ~*")&gt;0)+(IFERROR(INDEX(Setup!$G$33:$G$40,MATCH(K1249,Setup!$B$33:$B$40,0)),0)=1)*(COUNTIF(K1208:M1225,$B1249)+COUNTIF(K1208:M1225,$B1249&amp;" ~*")&gt;0)+(IFERROR(INDEX(Setup!$G$33:$G$40,MATCH(O1249,Setup!$B$33:$B$40,0)),0)=1)*(COUNTIF(O1208:Q1225,$B1249)+COUNTIF(O1208:Q1225,$B1249&amp;" ~*")&gt;0)+(IFERROR(INDEX(Setup!$G$33:$G$40,MATCH(S1249,Setup!$B$33:$B$40,0)),0)=1)*(COUNTIF(S1208:U1225,$B1249)+COUNTIF(S1208:U1225,$B1249&amp;" ~*")&gt;0)+(IFERROR(INDEX(Setup!$G$33:$G$40,MATCH(W1249,Setup!$B$33:$B$40,0)),0)=1)*(COUNTIF(W1208:W1225,$B1249)+COUNTIF(W1208:W1225,$B1249&amp;" ~*")&gt;0)+(IFERROR(INDEX(Setup!$G$33:$G$40,MATCH(Y1249,Setup!$B$33:$B$40,0)),0)=1)*(COUNTIF(Y1208:Y1225,$B1249)+COUNTIF(Y1208:Y1225,$B1249&amp;" ~*")&gt;0))</f>
        <v/>
      </c>
    </row>
    <row r="1250" ht="15" customHeight="1">
      <c r="A1250" t="n">
        <v>25</v>
      </c>
      <c r="B1250" s="37">
        <f>IF(Setup!$B$29="","",Setup!$B$29)</f>
        <v/>
      </c>
      <c r="C1250" s="102" t="n"/>
      <c r="D1250" s="103" t="n"/>
      <c r="E1250" s="103" t="n"/>
      <c r="F1250" s="104" t="n"/>
      <c r="G1250" s="102" t="n"/>
      <c r="H1250" s="103" t="n"/>
      <c r="I1250" s="103" t="n"/>
      <c r="J1250" s="104" t="n"/>
      <c r="K1250" s="102" t="n"/>
      <c r="L1250" s="103" t="n"/>
      <c r="M1250" s="103" t="n"/>
      <c r="N1250" s="104" t="n"/>
      <c r="O1250" s="102" t="n"/>
      <c r="P1250" s="103" t="n"/>
      <c r="Q1250" s="103" t="n"/>
      <c r="R1250" s="104" t="n"/>
      <c r="S1250" s="102" t="n"/>
      <c r="T1250" s="103" t="n"/>
      <c r="U1250" s="103" t="n"/>
      <c r="V1250" s="104" t="n"/>
      <c r="W1250" s="102" t="n"/>
      <c r="X1250" s="104" t="n"/>
      <c r="Y1250" s="102" t="n"/>
      <c r="Z1250" s="104" t="n"/>
      <c r="AB1250" s="105">
        <f>IF($B1250="","",(COUNTIF(C1208:E1225,$B1250)+COUNTIF(C1208:E1225,$B1250&amp;" ~*")&gt;0)+(COUNTIF(G1208:I1225,$B1250)+COUNTIF(G1208:I1225,$B1250&amp;" ~*")&gt;0)+(COUNTIF(K1208:M1225,$B1250)+COUNTIF(K1208:M1225,$B1250&amp;" ~*")&gt;0)+(COUNTIF(O1208:Q1225,$B1250)+COUNTIF(O1208:Q1225,$B1250&amp;" ~*")&gt;0)+(COUNTIF(S1208:U1225,$B1250)+COUNTIF(S1208:U1225,$B1250&amp;" ~*")&gt;0)+(COUNTIF(W1208:W1225,$B1250)+COUNTIF(W1208:W1225,$B1250&amp;" ~*")&gt;0)+(COUNTIF(Y1208:Y1225,$B1250)+COUNTIF(Y1208:Y1225,$B1250&amp;" ~*")&gt;0))</f>
        <v/>
      </c>
      <c r="AC1250" s="38">
        <f>IF($B1250="","",(IFERROR(INDEX(Setup!$G$33:$G$40,MATCH(C1250,Setup!$B$33:$B$40,0)),0)=1)*(COUNTIF(C1208:E1225,$B1250)+COUNTIF(C1208:E1225,$B1250&amp;" ~*")&gt;0)+(IFERROR(INDEX(Setup!$G$33:$G$40,MATCH(G1250,Setup!$B$33:$B$40,0)),0)=1)*(COUNTIF(G1208:I1225,$B1250)+COUNTIF(G1208:I1225,$B1250&amp;" ~*")&gt;0)+(IFERROR(INDEX(Setup!$G$33:$G$40,MATCH(K1250,Setup!$B$33:$B$40,0)),0)=1)*(COUNTIF(K1208:M1225,$B1250)+COUNTIF(K1208:M1225,$B1250&amp;" ~*")&gt;0)+(IFERROR(INDEX(Setup!$G$33:$G$40,MATCH(O1250,Setup!$B$33:$B$40,0)),0)=1)*(COUNTIF(O1208:Q1225,$B1250)+COUNTIF(O1208:Q1225,$B1250&amp;" ~*")&gt;0)+(IFERROR(INDEX(Setup!$G$33:$G$40,MATCH(S1250,Setup!$B$33:$B$40,0)),0)=1)*(COUNTIF(S1208:U1225,$B1250)+COUNTIF(S1208:U1225,$B1250&amp;" ~*")&gt;0)+(IFERROR(INDEX(Setup!$G$33:$G$40,MATCH(W1250,Setup!$B$33:$B$40,0)),0)=1)*(COUNTIF(W1208:W1225,$B1250)+COUNTIF(W1208:W1225,$B1250&amp;" ~*")&gt;0)+(IFERROR(INDEX(Setup!$G$33:$G$40,MATCH(Y1250,Setup!$B$33:$B$40,0)),0)=1)*(COUNTIF(Y1208:Y1225,$B1250)+COUNTIF(Y1208:Y1225,$B1250&amp;" ~*")&gt;0))</f>
        <v/>
      </c>
    </row>
    <row r="1251" ht="16" customHeight="1">
      <c r="A1251" t="n">
        <v>25</v>
      </c>
      <c r="B1251" s="106" t="inlineStr">
        <is>
          <t>Available people</t>
        </is>
      </c>
      <c r="C1251" s="107">
        <f>COUNTIFS(Setup!$E$6:$E$29,"Y",Setup!$B$6:$B$29,"?*")-SUMPRODUCT(COUNTIF(C1227:C1250,Setup!$F$33:$F$40))</f>
        <v/>
      </c>
      <c r="D1251" s="107" t="n"/>
      <c r="E1251" s="107" t="n"/>
      <c r="F1251" s="107" t="n"/>
      <c r="G1251" s="107">
        <f>COUNTIFS(Setup!$E$6:$E$29,"Y",Setup!$B$6:$B$29,"?*")-SUMPRODUCT(COUNTIF(G1227:G1250,Setup!$F$33:$F$40))</f>
        <v/>
      </c>
      <c r="H1251" s="107" t="n"/>
      <c r="I1251" s="107" t="n"/>
      <c r="J1251" s="107" t="n"/>
      <c r="K1251" s="107">
        <f>COUNTIFS(Setup!$E$6:$E$29,"Y",Setup!$B$6:$B$29,"?*")-SUMPRODUCT(COUNTIF(K1227:K1250,Setup!$F$33:$F$40))</f>
        <v/>
      </c>
      <c r="L1251" s="107" t="n"/>
      <c r="M1251" s="107" t="n"/>
      <c r="N1251" s="107" t="n"/>
      <c r="O1251" s="107">
        <f>COUNTIFS(Setup!$E$6:$E$29,"Y",Setup!$B$6:$B$29,"?*")-SUMPRODUCT(COUNTIF(O1227:O1250,Setup!$F$33:$F$40))</f>
        <v/>
      </c>
      <c r="P1251" s="107" t="n"/>
      <c r="Q1251" s="107" t="n"/>
      <c r="R1251" s="107" t="n"/>
      <c r="S1251" s="107">
        <f>COUNTIFS(Setup!$E$6:$E$29,"Y",Setup!$B$6:$B$29,"?*")-SUMPRODUCT(COUNTIF(S1227:S1250,Setup!$F$33:$F$40))</f>
        <v/>
      </c>
      <c r="T1251" s="107" t="n"/>
      <c r="U1251" s="107" t="n"/>
      <c r="V1251" s="107" t="n"/>
      <c r="W1251" s="107">
        <f>COUNTIFS(Setup!$E$6:$E$29,"Y",Setup!$B$6:$B$29,"?*")-SUMPRODUCT(COUNTIF(W1227:W1250,Setup!$F$33:$F$40))</f>
        <v/>
      </c>
      <c r="X1251" s="107" t="n"/>
      <c r="Y1251" s="107">
        <f>COUNTIFS(Setup!$E$6:$E$29,"Y",Setup!$B$6:$B$29,"?*")-SUMPRODUCT(COUNTIF(Y1227:Y1250,Setup!$F$33:$F$40))</f>
        <v/>
      </c>
      <c r="Z1251" s="107" t="n"/>
      <c r="AB1251" s="108">
        <f>SUM(AB1227:AB1250)</f>
        <v/>
      </c>
      <c r="AC1251" s="109">
        <f>SUM(AC1227:AC1250)</f>
        <v/>
      </c>
    </row>
    <row r="1252" ht="30" customHeight="1">
      <c r="A1252" t="n">
        <v>25</v>
      </c>
      <c r="B1252" s="110" t="inlineStr">
        <is>
          <t>Week notes</t>
        </is>
      </c>
      <c r="C1252" s="111" t="n"/>
      <c r="D1252" s="112" t="n"/>
      <c r="E1252" s="112" t="n"/>
      <c r="F1252" s="112" t="n"/>
      <c r="G1252" s="112" t="n"/>
      <c r="H1252" s="112" t="n"/>
      <c r="I1252" s="112" t="n"/>
      <c r="J1252" s="112" t="n"/>
      <c r="K1252" s="112" t="n"/>
      <c r="L1252" s="112" t="n"/>
      <c r="M1252" s="112" t="n"/>
      <c r="N1252" s="112" t="n"/>
      <c r="O1252" s="112" t="n"/>
      <c r="P1252" s="112" t="n"/>
      <c r="Q1252" s="112" t="n"/>
      <c r="R1252" s="112" t="n"/>
      <c r="S1252" s="112" t="n"/>
      <c r="T1252" s="112" t="n"/>
      <c r="U1252" s="112" t="n"/>
      <c r="V1252" s="112" t="n"/>
      <c r="W1252" s="112" t="n"/>
      <c r="X1252" s="112" t="n"/>
      <c r="Y1252" s="112" t="n"/>
      <c r="Z1252" s="113" t="n"/>
    </row>
    <row r="1253" ht="8" customHeight="1">
      <c r="A1253" t="n">
        <v>25</v>
      </c>
    </row>
    <row r="1254" ht="8" customHeight="1">
      <c r="A1254" t="n">
        <v>25</v>
      </c>
    </row>
    <row r="1255" ht="24" customHeight="1">
      <c r="A1255" t="n">
        <v>26</v>
      </c>
      <c r="B1255" s="73">
        <f>"WEEK 26     "&amp;TEXT(C1256,"ddd d mmm")&amp;"  –  "&amp;TEXT(C1256+6,"ddd d mmm yyyy")</f>
        <v/>
      </c>
      <c r="S1255" s="74">
        <f>IF(TODAY()&lt;C1256,"FUTURE",IF(TODAY()&gt;C1256+6,"PAST","THIS WEEK"))</f>
        <v/>
      </c>
      <c r="W1255" s="75">
        <f>IF(AND(Engine!$B$8=$AC$3,Engine!$B$9=$A1255),"◀ ACTIVE WEEK","")</f>
        <v/>
      </c>
      <c r="AA1255" s="76" t="n"/>
      <c r="AB1255" s="77" t="inlineStr">
        <is>
          <t>◀ Prev</t>
        </is>
      </c>
      <c r="AC1255" s="77" t="inlineStr">
        <is>
          <t>Next ▶</t>
        </is>
      </c>
    </row>
    <row r="1256" ht="18" customHeight="1">
      <c r="A1256" t="n">
        <v>26</v>
      </c>
      <c r="B1256" s="78" t="inlineStr">
        <is>
          <t>DUTY</t>
        </is>
      </c>
      <c r="C1256" s="79">
        <f>$AC$2+7*($A1256-1)</f>
        <v/>
      </c>
      <c r="D1256" s="80" t="n"/>
      <c r="E1256" s="80" t="n"/>
      <c r="F1256" s="81" t="n"/>
      <c r="G1256" s="79">
        <f>C1256+1</f>
        <v/>
      </c>
      <c r="H1256" s="80" t="n"/>
      <c r="I1256" s="80" t="n"/>
      <c r="J1256" s="81" t="n"/>
      <c r="K1256" s="79">
        <f>C1256+2</f>
        <v/>
      </c>
      <c r="L1256" s="80" t="n"/>
      <c r="M1256" s="80" t="n"/>
      <c r="N1256" s="81" t="n"/>
      <c r="O1256" s="79">
        <f>C1256+3</f>
        <v/>
      </c>
      <c r="P1256" s="80" t="n"/>
      <c r="Q1256" s="80" t="n"/>
      <c r="R1256" s="81" t="n"/>
      <c r="S1256" s="79">
        <f>C1256+4</f>
        <v/>
      </c>
      <c r="T1256" s="80" t="n"/>
      <c r="U1256" s="80" t="n"/>
      <c r="V1256" s="81" t="n"/>
      <c r="W1256" s="82">
        <f>C1256+5</f>
        <v/>
      </c>
      <c r="X1256" s="83" t="n"/>
      <c r="Y1256" s="82">
        <f>C1256+6</f>
        <v/>
      </c>
      <c r="Z1256" s="83" t="n"/>
      <c r="AB1256" s="72" t="inlineStr">
        <is>
          <t>Gaps</t>
        </is>
      </c>
      <c r="AC1256" s="72" t="inlineStr">
        <is>
          <t>Cover</t>
        </is>
      </c>
    </row>
    <row r="1257" ht="14" customHeight="1">
      <c r="A1257" t="n">
        <v>26</v>
      </c>
      <c r="B1257" s="84" t="inlineStr">
        <is>
          <t>(from Setup)</t>
        </is>
      </c>
      <c r="C1257" s="85" t="inlineStr">
        <is>
          <t>1</t>
        </is>
      </c>
      <c r="D1257" s="85" t="inlineStr">
        <is>
          <t>2</t>
        </is>
      </c>
      <c r="E1257" s="85" t="inlineStr">
        <is>
          <t>3</t>
        </is>
      </c>
      <c r="F1257" s="85" t="inlineStr">
        <is>
          <t>Notes</t>
        </is>
      </c>
      <c r="G1257" s="85" t="inlineStr">
        <is>
          <t>1</t>
        </is>
      </c>
      <c r="H1257" s="85" t="inlineStr">
        <is>
          <t>2</t>
        </is>
      </c>
      <c r="I1257" s="85" t="inlineStr">
        <is>
          <t>3</t>
        </is>
      </c>
      <c r="J1257" s="85" t="inlineStr">
        <is>
          <t>Notes</t>
        </is>
      </c>
      <c r="K1257" s="85" t="inlineStr">
        <is>
          <t>1</t>
        </is>
      </c>
      <c r="L1257" s="85" t="inlineStr">
        <is>
          <t>2</t>
        </is>
      </c>
      <c r="M1257" s="85" t="inlineStr">
        <is>
          <t>3</t>
        </is>
      </c>
      <c r="N1257" s="85" t="inlineStr">
        <is>
          <t>Notes</t>
        </is>
      </c>
      <c r="O1257" s="85" t="inlineStr">
        <is>
          <t>1</t>
        </is>
      </c>
      <c r="P1257" s="85" t="inlineStr">
        <is>
          <t>2</t>
        </is>
      </c>
      <c r="Q1257" s="85" t="inlineStr">
        <is>
          <t>3</t>
        </is>
      </c>
      <c r="R1257" s="85" t="inlineStr">
        <is>
          <t>Notes</t>
        </is>
      </c>
      <c r="S1257" s="85" t="inlineStr">
        <is>
          <t>1</t>
        </is>
      </c>
      <c r="T1257" s="85" t="inlineStr">
        <is>
          <t>2</t>
        </is>
      </c>
      <c r="U1257" s="85" t="inlineStr">
        <is>
          <t>3</t>
        </is>
      </c>
      <c r="V1257" s="85" t="inlineStr">
        <is>
          <t>Notes</t>
        </is>
      </c>
      <c r="W1257" s="85" t="inlineStr">
        <is>
          <t>Cover</t>
        </is>
      </c>
      <c r="X1257" s="85" t="inlineStr">
        <is>
          <t>Notes</t>
        </is>
      </c>
      <c r="Y1257" s="85" t="inlineStr">
        <is>
          <t>Cover</t>
        </is>
      </c>
      <c r="Z1257" s="85" t="inlineStr">
        <is>
          <t>Notes</t>
        </is>
      </c>
      <c r="AB1257" s="86" t="inlineStr">
        <is>
          <t>weekdays short</t>
        </is>
      </c>
      <c r="AC1257" s="87" t="inlineStr"/>
    </row>
    <row r="1258" ht="17" customHeight="1">
      <c r="A1258" t="n">
        <v>26</v>
      </c>
      <c r="B1258" s="24">
        <f>IF(Setup!$K$6="","",Setup!$K$6)</f>
        <v/>
      </c>
      <c r="C1258" s="88" t="n"/>
      <c r="D1258" s="88" t="n"/>
      <c r="E1258" s="88" t="n"/>
      <c r="F1258" s="89" t="n"/>
      <c r="G1258" s="88" t="n"/>
      <c r="H1258" s="88" t="n"/>
      <c r="I1258" s="88" t="n"/>
      <c r="J1258" s="89" t="n"/>
      <c r="K1258" s="88" t="n"/>
      <c r="L1258" s="88" t="n"/>
      <c r="M1258" s="88" t="n"/>
      <c r="N1258" s="89" t="n"/>
      <c r="O1258" s="88" t="n"/>
      <c r="P1258" s="88" t="n"/>
      <c r="Q1258" s="88" t="n"/>
      <c r="R1258" s="89" t="n"/>
      <c r="S1258" s="88" t="n"/>
      <c r="T1258" s="88" t="n"/>
      <c r="U1258" s="88" t="n"/>
      <c r="V1258" s="89" t="n"/>
      <c r="W1258" s="88" t="n"/>
      <c r="X1258" s="89" t="n"/>
      <c r="Y1258" s="88" t="n"/>
      <c r="Z1258" s="89" t="n"/>
      <c r="AB1258" s="25">
        <f>IF($B1258="","",(COUNTIF(C1258:E1258,"?*")&lt;N(INDEX(Setup!$L$6:$L$23,1)))+(COUNTIF(G1258:I1258,"?*")&lt;N(INDEX(Setup!$L$6:$L$23,1)))+(COUNTIF(K1258:M1258,"?*")&lt;N(INDEX(Setup!$L$6:$L$23,1)))+(COUNTIF(O1258:Q1258,"?*")&lt;N(INDEX(Setup!$L$6:$L$23,1)))+(COUNTIF(S1258:U1258,"?*")&lt;N(INDEX(Setup!$L$6:$L$23,1)))+((W1258="")*(INDEX(Setup!$M$6:$M$23,1)="Y"))+((Y1258="")*(INDEX(Setup!$M$6:$M$23,1)="Y")))</f>
        <v/>
      </c>
      <c r="AC1258" s="90">
        <f>IF($B1258="","",IF(AB1258=0,"✓ covered","⚠ "&amp;AB1258&amp;IF(AB1258=1," gap"," gaps")))</f>
        <v/>
      </c>
    </row>
    <row r="1259" ht="17" customHeight="1">
      <c r="A1259" t="n">
        <v>26</v>
      </c>
      <c r="B1259" s="29">
        <f>IF(Setup!$K$7="","",Setup!$K$7)</f>
        <v/>
      </c>
      <c r="C1259" s="88" t="n"/>
      <c r="D1259" s="88" t="n"/>
      <c r="E1259" s="88" t="n"/>
      <c r="F1259" s="89" t="n"/>
      <c r="G1259" s="88" t="n"/>
      <c r="H1259" s="88" t="n"/>
      <c r="I1259" s="88" t="n"/>
      <c r="J1259" s="89" t="n"/>
      <c r="K1259" s="88" t="n"/>
      <c r="L1259" s="88" t="n"/>
      <c r="M1259" s="88" t="n"/>
      <c r="N1259" s="89" t="n"/>
      <c r="O1259" s="88" t="n"/>
      <c r="P1259" s="88" t="n"/>
      <c r="Q1259" s="88" t="n"/>
      <c r="R1259" s="89" t="n"/>
      <c r="S1259" s="88" t="n"/>
      <c r="T1259" s="88" t="n"/>
      <c r="U1259" s="88" t="n"/>
      <c r="V1259" s="89" t="n"/>
      <c r="W1259" s="88" t="n"/>
      <c r="X1259" s="89" t="n"/>
      <c r="Y1259" s="88" t="n"/>
      <c r="Z1259" s="89" t="n"/>
      <c r="AB1259" s="30">
        <f>IF($B1259="","",(COUNTIF(C1259:E1259,"?*")&lt;N(INDEX(Setup!$L$6:$L$23,2)))+(COUNTIF(G1259:I1259,"?*")&lt;N(INDEX(Setup!$L$6:$L$23,2)))+(COUNTIF(K1259:M1259,"?*")&lt;N(INDEX(Setup!$L$6:$L$23,2)))+(COUNTIF(O1259:Q1259,"?*")&lt;N(INDEX(Setup!$L$6:$L$23,2)))+(COUNTIF(S1259:U1259,"?*")&lt;N(INDEX(Setup!$L$6:$L$23,2)))+((W1259="")*(INDEX(Setup!$M$6:$M$23,2)="Y"))+((Y1259="")*(INDEX(Setup!$M$6:$M$23,2)="Y")))</f>
        <v/>
      </c>
      <c r="AC1259" s="91">
        <f>IF($B1259="","",IF(AB1259=0,"✓ covered","⚠ "&amp;AB1259&amp;IF(AB1259=1," gap"," gaps")))</f>
        <v/>
      </c>
    </row>
    <row r="1260" ht="17" customHeight="1">
      <c r="A1260" t="n">
        <v>26</v>
      </c>
      <c r="B1260" s="24">
        <f>IF(Setup!$K$8="","",Setup!$K$8)</f>
        <v/>
      </c>
      <c r="C1260" s="88" t="n"/>
      <c r="D1260" s="88" t="n"/>
      <c r="E1260" s="88" t="n"/>
      <c r="F1260" s="89" t="n"/>
      <c r="G1260" s="88" t="n"/>
      <c r="H1260" s="88" t="n"/>
      <c r="I1260" s="88" t="n"/>
      <c r="J1260" s="89" t="n"/>
      <c r="K1260" s="88" t="n"/>
      <c r="L1260" s="88" t="n"/>
      <c r="M1260" s="88" t="n"/>
      <c r="N1260" s="89" t="n"/>
      <c r="O1260" s="88" t="n"/>
      <c r="P1260" s="88" t="n"/>
      <c r="Q1260" s="88" t="n"/>
      <c r="R1260" s="89" t="n"/>
      <c r="S1260" s="88" t="n"/>
      <c r="T1260" s="88" t="n"/>
      <c r="U1260" s="88" t="n"/>
      <c r="V1260" s="89" t="n"/>
      <c r="W1260" s="88" t="n"/>
      <c r="X1260" s="89" t="n"/>
      <c r="Y1260" s="88" t="n"/>
      <c r="Z1260" s="89" t="n"/>
      <c r="AB1260" s="25">
        <f>IF($B1260="","",(COUNTIF(C1260:E1260,"?*")&lt;N(INDEX(Setup!$L$6:$L$23,3)))+(COUNTIF(G1260:I1260,"?*")&lt;N(INDEX(Setup!$L$6:$L$23,3)))+(COUNTIF(K1260:M1260,"?*")&lt;N(INDEX(Setup!$L$6:$L$23,3)))+(COUNTIF(O1260:Q1260,"?*")&lt;N(INDEX(Setup!$L$6:$L$23,3)))+(COUNTIF(S1260:U1260,"?*")&lt;N(INDEX(Setup!$L$6:$L$23,3)))+((W1260="")*(INDEX(Setup!$M$6:$M$23,3)="Y"))+((Y1260="")*(INDEX(Setup!$M$6:$M$23,3)="Y")))</f>
        <v/>
      </c>
      <c r="AC1260" s="90">
        <f>IF($B1260="","",IF(AB1260=0,"✓ covered","⚠ "&amp;AB1260&amp;IF(AB1260=1," gap"," gaps")))</f>
        <v/>
      </c>
    </row>
    <row r="1261" ht="17" customHeight="1">
      <c r="A1261" t="n">
        <v>26</v>
      </c>
      <c r="B1261" s="29">
        <f>IF(Setup!$K$9="","",Setup!$K$9)</f>
        <v/>
      </c>
      <c r="C1261" s="88" t="n"/>
      <c r="D1261" s="88" t="n"/>
      <c r="E1261" s="88" t="n"/>
      <c r="F1261" s="89" t="n"/>
      <c r="G1261" s="88" t="n"/>
      <c r="H1261" s="88" t="n"/>
      <c r="I1261" s="88" t="n"/>
      <c r="J1261" s="89" t="n"/>
      <c r="K1261" s="88" t="n"/>
      <c r="L1261" s="88" t="n"/>
      <c r="M1261" s="88" t="n"/>
      <c r="N1261" s="89" t="n"/>
      <c r="O1261" s="88" t="n"/>
      <c r="P1261" s="88" t="n"/>
      <c r="Q1261" s="88" t="n"/>
      <c r="R1261" s="89" t="n"/>
      <c r="S1261" s="88" t="n"/>
      <c r="T1261" s="88" t="n"/>
      <c r="U1261" s="88" t="n"/>
      <c r="V1261" s="89" t="n"/>
      <c r="W1261" s="88" t="n"/>
      <c r="X1261" s="89" t="n"/>
      <c r="Y1261" s="88" t="n"/>
      <c r="Z1261" s="89" t="n"/>
      <c r="AB1261" s="30">
        <f>IF($B1261="","",(COUNTIF(C1261:E1261,"?*")&lt;N(INDEX(Setup!$L$6:$L$23,4)))+(COUNTIF(G1261:I1261,"?*")&lt;N(INDEX(Setup!$L$6:$L$23,4)))+(COUNTIF(K1261:M1261,"?*")&lt;N(INDEX(Setup!$L$6:$L$23,4)))+(COUNTIF(O1261:Q1261,"?*")&lt;N(INDEX(Setup!$L$6:$L$23,4)))+(COUNTIF(S1261:U1261,"?*")&lt;N(INDEX(Setup!$L$6:$L$23,4)))+((W1261="")*(INDEX(Setup!$M$6:$M$23,4)="Y"))+((Y1261="")*(INDEX(Setup!$M$6:$M$23,4)="Y")))</f>
        <v/>
      </c>
      <c r="AC1261" s="91">
        <f>IF($B1261="","",IF(AB1261=0,"✓ covered","⚠ "&amp;AB1261&amp;IF(AB1261=1," gap"," gaps")))</f>
        <v/>
      </c>
    </row>
    <row r="1262" ht="17" customHeight="1">
      <c r="A1262" t="n">
        <v>26</v>
      </c>
      <c r="B1262" s="24">
        <f>IF(Setup!$K$10="","",Setup!$K$10)</f>
        <v/>
      </c>
      <c r="C1262" s="88" t="n"/>
      <c r="D1262" s="88" t="n"/>
      <c r="E1262" s="88" t="n"/>
      <c r="F1262" s="89" t="n"/>
      <c r="G1262" s="88" t="n"/>
      <c r="H1262" s="88" t="n"/>
      <c r="I1262" s="88" t="n"/>
      <c r="J1262" s="89" t="n"/>
      <c r="K1262" s="88" t="n"/>
      <c r="L1262" s="88" t="n"/>
      <c r="M1262" s="88" t="n"/>
      <c r="N1262" s="89" t="n"/>
      <c r="O1262" s="88" t="n"/>
      <c r="P1262" s="88" t="n"/>
      <c r="Q1262" s="88" t="n"/>
      <c r="R1262" s="89" t="n"/>
      <c r="S1262" s="88" t="n"/>
      <c r="T1262" s="88" t="n"/>
      <c r="U1262" s="88" t="n"/>
      <c r="V1262" s="89" t="n"/>
      <c r="W1262" s="88" t="n"/>
      <c r="X1262" s="89" t="n"/>
      <c r="Y1262" s="88" t="n"/>
      <c r="Z1262" s="89" t="n"/>
      <c r="AB1262" s="25">
        <f>IF($B1262="","",(COUNTIF(C1262:E1262,"?*")&lt;N(INDEX(Setup!$L$6:$L$23,5)))+(COUNTIF(G1262:I1262,"?*")&lt;N(INDEX(Setup!$L$6:$L$23,5)))+(COUNTIF(K1262:M1262,"?*")&lt;N(INDEX(Setup!$L$6:$L$23,5)))+(COUNTIF(O1262:Q1262,"?*")&lt;N(INDEX(Setup!$L$6:$L$23,5)))+(COUNTIF(S1262:U1262,"?*")&lt;N(INDEX(Setup!$L$6:$L$23,5)))+((W1262="")*(INDEX(Setup!$M$6:$M$23,5)="Y"))+((Y1262="")*(INDEX(Setup!$M$6:$M$23,5)="Y")))</f>
        <v/>
      </c>
      <c r="AC1262" s="90">
        <f>IF($B1262="","",IF(AB1262=0,"✓ covered","⚠ "&amp;AB1262&amp;IF(AB1262=1," gap"," gaps")))</f>
        <v/>
      </c>
    </row>
    <row r="1263" ht="17" customHeight="1">
      <c r="A1263" t="n">
        <v>26</v>
      </c>
      <c r="B1263" s="29">
        <f>IF(Setup!$K$11="","",Setup!$K$11)</f>
        <v/>
      </c>
      <c r="C1263" s="88" t="n"/>
      <c r="D1263" s="88" t="n"/>
      <c r="E1263" s="88" t="n"/>
      <c r="F1263" s="89" t="n"/>
      <c r="G1263" s="88" t="n"/>
      <c r="H1263" s="88" t="n"/>
      <c r="I1263" s="88" t="n"/>
      <c r="J1263" s="89" t="n"/>
      <c r="K1263" s="88" t="n"/>
      <c r="L1263" s="88" t="n"/>
      <c r="M1263" s="88" t="n"/>
      <c r="N1263" s="89" t="n"/>
      <c r="O1263" s="88" t="n"/>
      <c r="P1263" s="88" t="n"/>
      <c r="Q1263" s="88" t="n"/>
      <c r="R1263" s="89" t="n"/>
      <c r="S1263" s="88" t="n"/>
      <c r="T1263" s="88" t="n"/>
      <c r="U1263" s="88" t="n"/>
      <c r="V1263" s="89" t="n"/>
      <c r="W1263" s="88" t="n"/>
      <c r="X1263" s="89" t="n"/>
      <c r="Y1263" s="88" t="n"/>
      <c r="Z1263" s="89" t="n"/>
      <c r="AB1263" s="30">
        <f>IF($B1263="","",(COUNTIF(C1263:E1263,"?*")&lt;N(INDEX(Setup!$L$6:$L$23,6)))+(COUNTIF(G1263:I1263,"?*")&lt;N(INDEX(Setup!$L$6:$L$23,6)))+(COUNTIF(K1263:M1263,"?*")&lt;N(INDEX(Setup!$L$6:$L$23,6)))+(COUNTIF(O1263:Q1263,"?*")&lt;N(INDEX(Setup!$L$6:$L$23,6)))+(COUNTIF(S1263:U1263,"?*")&lt;N(INDEX(Setup!$L$6:$L$23,6)))+((W1263="")*(INDEX(Setup!$M$6:$M$23,6)="Y"))+((Y1263="")*(INDEX(Setup!$M$6:$M$23,6)="Y")))</f>
        <v/>
      </c>
      <c r="AC1263" s="91">
        <f>IF($B1263="","",IF(AB1263=0,"✓ covered","⚠ "&amp;AB1263&amp;IF(AB1263=1," gap"," gaps")))</f>
        <v/>
      </c>
    </row>
    <row r="1264" ht="17" customHeight="1">
      <c r="A1264" t="n">
        <v>26</v>
      </c>
      <c r="B1264" s="24">
        <f>IF(Setup!$K$12="","",Setup!$K$12)</f>
        <v/>
      </c>
      <c r="C1264" s="88" t="n"/>
      <c r="D1264" s="88" t="n"/>
      <c r="E1264" s="88" t="n"/>
      <c r="F1264" s="89" t="n"/>
      <c r="G1264" s="88" t="n"/>
      <c r="H1264" s="88" t="n"/>
      <c r="I1264" s="88" t="n"/>
      <c r="J1264" s="89" t="n"/>
      <c r="K1264" s="88" t="n"/>
      <c r="L1264" s="88" t="n"/>
      <c r="M1264" s="88" t="n"/>
      <c r="N1264" s="89" t="n"/>
      <c r="O1264" s="88" t="n"/>
      <c r="P1264" s="88" t="n"/>
      <c r="Q1264" s="88" t="n"/>
      <c r="R1264" s="89" t="n"/>
      <c r="S1264" s="88" t="n"/>
      <c r="T1264" s="88" t="n"/>
      <c r="U1264" s="88" t="n"/>
      <c r="V1264" s="89" t="n"/>
      <c r="W1264" s="88" t="n"/>
      <c r="X1264" s="89" t="n"/>
      <c r="Y1264" s="88" t="n"/>
      <c r="Z1264" s="89" t="n"/>
      <c r="AB1264" s="25">
        <f>IF($B1264="","",(COUNTIF(C1264:E1264,"?*")&lt;N(INDEX(Setup!$L$6:$L$23,7)))+(COUNTIF(G1264:I1264,"?*")&lt;N(INDEX(Setup!$L$6:$L$23,7)))+(COUNTIF(K1264:M1264,"?*")&lt;N(INDEX(Setup!$L$6:$L$23,7)))+(COUNTIF(O1264:Q1264,"?*")&lt;N(INDEX(Setup!$L$6:$L$23,7)))+(COUNTIF(S1264:U1264,"?*")&lt;N(INDEX(Setup!$L$6:$L$23,7)))+((W1264="")*(INDEX(Setup!$M$6:$M$23,7)="Y"))+((Y1264="")*(INDEX(Setup!$M$6:$M$23,7)="Y")))</f>
        <v/>
      </c>
      <c r="AC1264" s="90">
        <f>IF($B1264="","",IF(AB1264=0,"✓ covered","⚠ "&amp;AB1264&amp;IF(AB1264=1," gap"," gaps")))</f>
        <v/>
      </c>
    </row>
    <row r="1265" ht="17" customHeight="1">
      <c r="A1265" t="n">
        <v>26</v>
      </c>
      <c r="B1265" s="29">
        <f>IF(Setup!$K$13="","",Setup!$K$13)</f>
        <v/>
      </c>
      <c r="C1265" s="88" t="n"/>
      <c r="D1265" s="88" t="n"/>
      <c r="E1265" s="88" t="n"/>
      <c r="F1265" s="89" t="n"/>
      <c r="G1265" s="88" t="n"/>
      <c r="H1265" s="88" t="n"/>
      <c r="I1265" s="88" t="n"/>
      <c r="J1265" s="89" t="n"/>
      <c r="K1265" s="88" t="n"/>
      <c r="L1265" s="88" t="n"/>
      <c r="M1265" s="88" t="n"/>
      <c r="N1265" s="89" t="n"/>
      <c r="O1265" s="88" t="n"/>
      <c r="P1265" s="88" t="n"/>
      <c r="Q1265" s="88" t="n"/>
      <c r="R1265" s="89" t="n"/>
      <c r="S1265" s="88" t="n"/>
      <c r="T1265" s="88" t="n"/>
      <c r="U1265" s="88" t="n"/>
      <c r="V1265" s="89" t="n"/>
      <c r="W1265" s="88" t="n"/>
      <c r="X1265" s="89" t="n"/>
      <c r="Y1265" s="88" t="n"/>
      <c r="Z1265" s="89" t="n"/>
      <c r="AB1265" s="30">
        <f>IF($B1265="","",(COUNTIF(C1265:E1265,"?*")&lt;N(INDEX(Setup!$L$6:$L$23,8)))+(COUNTIF(G1265:I1265,"?*")&lt;N(INDEX(Setup!$L$6:$L$23,8)))+(COUNTIF(K1265:M1265,"?*")&lt;N(INDEX(Setup!$L$6:$L$23,8)))+(COUNTIF(O1265:Q1265,"?*")&lt;N(INDEX(Setup!$L$6:$L$23,8)))+(COUNTIF(S1265:U1265,"?*")&lt;N(INDEX(Setup!$L$6:$L$23,8)))+((W1265="")*(INDEX(Setup!$M$6:$M$23,8)="Y"))+((Y1265="")*(INDEX(Setup!$M$6:$M$23,8)="Y")))</f>
        <v/>
      </c>
      <c r="AC1265" s="91">
        <f>IF($B1265="","",IF(AB1265=0,"✓ covered","⚠ "&amp;AB1265&amp;IF(AB1265=1," gap"," gaps")))</f>
        <v/>
      </c>
    </row>
    <row r="1266" ht="17" customHeight="1">
      <c r="A1266" t="n">
        <v>26</v>
      </c>
      <c r="B1266" s="24">
        <f>IF(Setup!$K$14="","",Setup!$K$14)</f>
        <v/>
      </c>
      <c r="C1266" s="88" t="n"/>
      <c r="D1266" s="88" t="n"/>
      <c r="E1266" s="88" t="n"/>
      <c r="F1266" s="89" t="n"/>
      <c r="G1266" s="88" t="n"/>
      <c r="H1266" s="88" t="n"/>
      <c r="I1266" s="88" t="n"/>
      <c r="J1266" s="89" t="n"/>
      <c r="K1266" s="88" t="n"/>
      <c r="L1266" s="88" t="n"/>
      <c r="M1266" s="88" t="n"/>
      <c r="N1266" s="89" t="n"/>
      <c r="O1266" s="88" t="n"/>
      <c r="P1266" s="88" t="n"/>
      <c r="Q1266" s="88" t="n"/>
      <c r="R1266" s="89" t="n"/>
      <c r="S1266" s="88" t="n"/>
      <c r="T1266" s="88" t="n"/>
      <c r="U1266" s="88" t="n"/>
      <c r="V1266" s="89" t="n"/>
      <c r="W1266" s="88" t="n"/>
      <c r="X1266" s="89" t="n"/>
      <c r="Y1266" s="88" t="n"/>
      <c r="Z1266" s="89" t="n"/>
      <c r="AB1266" s="25">
        <f>IF($B1266="","",(COUNTIF(C1266:E1266,"?*")&lt;N(INDEX(Setup!$L$6:$L$23,9)))+(COUNTIF(G1266:I1266,"?*")&lt;N(INDEX(Setup!$L$6:$L$23,9)))+(COUNTIF(K1266:M1266,"?*")&lt;N(INDEX(Setup!$L$6:$L$23,9)))+(COUNTIF(O1266:Q1266,"?*")&lt;N(INDEX(Setup!$L$6:$L$23,9)))+(COUNTIF(S1266:U1266,"?*")&lt;N(INDEX(Setup!$L$6:$L$23,9)))+((W1266="")*(INDEX(Setup!$M$6:$M$23,9)="Y"))+((Y1266="")*(INDEX(Setup!$M$6:$M$23,9)="Y")))</f>
        <v/>
      </c>
      <c r="AC1266" s="90">
        <f>IF($B1266="","",IF(AB1266=0,"✓ covered","⚠ "&amp;AB1266&amp;IF(AB1266=1," gap"," gaps")))</f>
        <v/>
      </c>
    </row>
    <row r="1267" ht="17" customHeight="1">
      <c r="A1267" t="n">
        <v>26</v>
      </c>
      <c r="B1267" s="29">
        <f>IF(Setup!$K$15="","",Setup!$K$15)</f>
        <v/>
      </c>
      <c r="C1267" s="88" t="n"/>
      <c r="D1267" s="88" t="n"/>
      <c r="E1267" s="88" t="n"/>
      <c r="F1267" s="89" t="n"/>
      <c r="G1267" s="88" t="n"/>
      <c r="H1267" s="88" t="n"/>
      <c r="I1267" s="88" t="n"/>
      <c r="J1267" s="89" t="n"/>
      <c r="K1267" s="88" t="n"/>
      <c r="L1267" s="88" t="n"/>
      <c r="M1267" s="88" t="n"/>
      <c r="N1267" s="89" t="n"/>
      <c r="O1267" s="88" t="n"/>
      <c r="P1267" s="88" t="n"/>
      <c r="Q1267" s="88" t="n"/>
      <c r="R1267" s="89" t="n"/>
      <c r="S1267" s="88" t="n"/>
      <c r="T1267" s="88" t="n"/>
      <c r="U1267" s="88" t="n"/>
      <c r="V1267" s="89" t="n"/>
      <c r="W1267" s="88" t="n"/>
      <c r="X1267" s="89" t="n"/>
      <c r="Y1267" s="88" t="n"/>
      <c r="Z1267" s="89" t="n"/>
      <c r="AB1267" s="30">
        <f>IF($B1267="","",(COUNTIF(C1267:E1267,"?*")&lt;N(INDEX(Setup!$L$6:$L$23,10)))+(COUNTIF(G1267:I1267,"?*")&lt;N(INDEX(Setup!$L$6:$L$23,10)))+(COUNTIF(K1267:M1267,"?*")&lt;N(INDEX(Setup!$L$6:$L$23,10)))+(COUNTIF(O1267:Q1267,"?*")&lt;N(INDEX(Setup!$L$6:$L$23,10)))+(COUNTIF(S1267:U1267,"?*")&lt;N(INDEX(Setup!$L$6:$L$23,10)))+((W1267="")*(INDEX(Setup!$M$6:$M$23,10)="Y"))+((Y1267="")*(INDEX(Setup!$M$6:$M$23,10)="Y")))</f>
        <v/>
      </c>
      <c r="AC1267" s="91">
        <f>IF($B1267="","",IF(AB1267=0,"✓ covered","⚠ "&amp;AB1267&amp;IF(AB1267=1," gap"," gaps")))</f>
        <v/>
      </c>
    </row>
    <row r="1268" ht="17" customHeight="1">
      <c r="A1268" t="n">
        <v>26</v>
      </c>
      <c r="B1268" s="24">
        <f>IF(Setup!$K$16="","",Setup!$K$16)</f>
        <v/>
      </c>
      <c r="C1268" s="88" t="n"/>
      <c r="D1268" s="88" t="n"/>
      <c r="E1268" s="88" t="n"/>
      <c r="F1268" s="89" t="n"/>
      <c r="G1268" s="88" t="n"/>
      <c r="H1268" s="88" t="n"/>
      <c r="I1268" s="88" t="n"/>
      <c r="J1268" s="89" t="n"/>
      <c r="K1268" s="88" t="n"/>
      <c r="L1268" s="88" t="n"/>
      <c r="M1268" s="88" t="n"/>
      <c r="N1268" s="89" t="n"/>
      <c r="O1268" s="88" t="n"/>
      <c r="P1268" s="88" t="n"/>
      <c r="Q1268" s="88" t="n"/>
      <c r="R1268" s="89" t="n"/>
      <c r="S1268" s="88" t="n"/>
      <c r="T1268" s="88" t="n"/>
      <c r="U1268" s="88" t="n"/>
      <c r="V1268" s="89" t="n"/>
      <c r="W1268" s="88" t="n"/>
      <c r="X1268" s="89" t="n"/>
      <c r="Y1268" s="88" t="n"/>
      <c r="Z1268" s="89" t="n"/>
      <c r="AB1268" s="25">
        <f>IF($B1268="","",(COUNTIF(C1268:E1268,"?*")&lt;N(INDEX(Setup!$L$6:$L$23,11)))+(COUNTIF(G1268:I1268,"?*")&lt;N(INDEX(Setup!$L$6:$L$23,11)))+(COUNTIF(K1268:M1268,"?*")&lt;N(INDEX(Setup!$L$6:$L$23,11)))+(COUNTIF(O1268:Q1268,"?*")&lt;N(INDEX(Setup!$L$6:$L$23,11)))+(COUNTIF(S1268:U1268,"?*")&lt;N(INDEX(Setup!$L$6:$L$23,11)))+((W1268="")*(INDEX(Setup!$M$6:$M$23,11)="Y"))+((Y1268="")*(INDEX(Setup!$M$6:$M$23,11)="Y")))</f>
        <v/>
      </c>
      <c r="AC1268" s="90">
        <f>IF($B1268="","",IF(AB1268=0,"✓ covered","⚠ "&amp;AB1268&amp;IF(AB1268=1," gap"," gaps")))</f>
        <v/>
      </c>
    </row>
    <row r="1269" ht="17" customHeight="1">
      <c r="A1269" t="n">
        <v>26</v>
      </c>
      <c r="B1269" s="29">
        <f>IF(Setup!$K$17="","",Setup!$K$17)</f>
        <v/>
      </c>
      <c r="C1269" s="88" t="n"/>
      <c r="D1269" s="88" t="n"/>
      <c r="E1269" s="88" t="n"/>
      <c r="F1269" s="89" t="n"/>
      <c r="G1269" s="88" t="n"/>
      <c r="H1269" s="88" t="n"/>
      <c r="I1269" s="88" t="n"/>
      <c r="J1269" s="89" t="n"/>
      <c r="K1269" s="88" t="n"/>
      <c r="L1269" s="88" t="n"/>
      <c r="M1269" s="88" t="n"/>
      <c r="N1269" s="89" t="n"/>
      <c r="O1269" s="88" t="n"/>
      <c r="P1269" s="88" t="n"/>
      <c r="Q1269" s="88" t="n"/>
      <c r="R1269" s="89" t="n"/>
      <c r="S1269" s="88" t="n"/>
      <c r="T1269" s="88" t="n"/>
      <c r="U1269" s="88" t="n"/>
      <c r="V1269" s="89" t="n"/>
      <c r="W1269" s="88" t="n"/>
      <c r="X1269" s="89" t="n"/>
      <c r="Y1269" s="88" t="n"/>
      <c r="Z1269" s="89" t="n"/>
      <c r="AB1269" s="30">
        <f>IF($B1269="","",(COUNTIF(C1269:E1269,"?*")&lt;N(INDEX(Setup!$L$6:$L$23,12)))+(COUNTIF(G1269:I1269,"?*")&lt;N(INDEX(Setup!$L$6:$L$23,12)))+(COUNTIF(K1269:M1269,"?*")&lt;N(INDEX(Setup!$L$6:$L$23,12)))+(COUNTIF(O1269:Q1269,"?*")&lt;N(INDEX(Setup!$L$6:$L$23,12)))+(COUNTIF(S1269:U1269,"?*")&lt;N(INDEX(Setup!$L$6:$L$23,12)))+((W1269="")*(INDEX(Setup!$M$6:$M$23,12)="Y"))+((Y1269="")*(INDEX(Setup!$M$6:$M$23,12)="Y")))</f>
        <v/>
      </c>
      <c r="AC1269" s="91">
        <f>IF($B1269="","",IF(AB1269=0,"✓ covered","⚠ "&amp;AB1269&amp;IF(AB1269=1," gap"," gaps")))</f>
        <v/>
      </c>
    </row>
    <row r="1270" ht="17" customHeight="1">
      <c r="A1270" t="n">
        <v>26</v>
      </c>
      <c r="B1270" s="24">
        <f>IF(Setup!$K$18="","",Setup!$K$18)</f>
        <v/>
      </c>
      <c r="C1270" s="88" t="n"/>
      <c r="D1270" s="88" t="n"/>
      <c r="E1270" s="88" t="n"/>
      <c r="F1270" s="89" t="n"/>
      <c r="G1270" s="88" t="n"/>
      <c r="H1270" s="88" t="n"/>
      <c r="I1270" s="88" t="n"/>
      <c r="J1270" s="89" t="n"/>
      <c r="K1270" s="88" t="n"/>
      <c r="L1270" s="88" t="n"/>
      <c r="M1270" s="88" t="n"/>
      <c r="N1270" s="89" t="n"/>
      <c r="O1270" s="88" t="n"/>
      <c r="P1270" s="88" t="n"/>
      <c r="Q1270" s="88" t="n"/>
      <c r="R1270" s="89" t="n"/>
      <c r="S1270" s="88" t="n"/>
      <c r="T1270" s="88" t="n"/>
      <c r="U1270" s="88" t="n"/>
      <c r="V1270" s="89" t="n"/>
      <c r="W1270" s="88" t="n"/>
      <c r="X1270" s="89" t="n"/>
      <c r="Y1270" s="88" t="n"/>
      <c r="Z1270" s="89" t="n"/>
      <c r="AB1270" s="25">
        <f>IF($B1270="","",(COUNTIF(C1270:E1270,"?*")&lt;N(INDEX(Setup!$L$6:$L$23,13)))+(COUNTIF(G1270:I1270,"?*")&lt;N(INDEX(Setup!$L$6:$L$23,13)))+(COUNTIF(K1270:M1270,"?*")&lt;N(INDEX(Setup!$L$6:$L$23,13)))+(COUNTIF(O1270:Q1270,"?*")&lt;N(INDEX(Setup!$L$6:$L$23,13)))+(COUNTIF(S1270:U1270,"?*")&lt;N(INDEX(Setup!$L$6:$L$23,13)))+((W1270="")*(INDEX(Setup!$M$6:$M$23,13)="Y"))+((Y1270="")*(INDEX(Setup!$M$6:$M$23,13)="Y")))</f>
        <v/>
      </c>
      <c r="AC1270" s="90">
        <f>IF($B1270="","",IF(AB1270=0,"✓ covered","⚠ "&amp;AB1270&amp;IF(AB1270=1," gap"," gaps")))</f>
        <v/>
      </c>
    </row>
    <row r="1271" ht="17" customHeight="1">
      <c r="A1271" t="n">
        <v>26</v>
      </c>
      <c r="B1271" s="29">
        <f>IF(Setup!$K$19="","",Setup!$K$19)</f>
        <v/>
      </c>
      <c r="C1271" s="88" t="n"/>
      <c r="D1271" s="88" t="n"/>
      <c r="E1271" s="88" t="n"/>
      <c r="F1271" s="89" t="n"/>
      <c r="G1271" s="88" t="n"/>
      <c r="H1271" s="88" t="n"/>
      <c r="I1271" s="88" t="n"/>
      <c r="J1271" s="89" t="n"/>
      <c r="K1271" s="88" t="n"/>
      <c r="L1271" s="88" t="n"/>
      <c r="M1271" s="88" t="n"/>
      <c r="N1271" s="89" t="n"/>
      <c r="O1271" s="88" t="n"/>
      <c r="P1271" s="88" t="n"/>
      <c r="Q1271" s="88" t="n"/>
      <c r="R1271" s="89" t="n"/>
      <c r="S1271" s="88" t="n"/>
      <c r="T1271" s="88" t="n"/>
      <c r="U1271" s="88" t="n"/>
      <c r="V1271" s="89" t="n"/>
      <c r="W1271" s="88" t="n"/>
      <c r="X1271" s="89" t="n"/>
      <c r="Y1271" s="88" t="n"/>
      <c r="Z1271" s="89" t="n"/>
      <c r="AB1271" s="30">
        <f>IF($B1271="","",(COUNTIF(C1271:E1271,"?*")&lt;N(INDEX(Setup!$L$6:$L$23,14)))+(COUNTIF(G1271:I1271,"?*")&lt;N(INDEX(Setup!$L$6:$L$23,14)))+(COUNTIF(K1271:M1271,"?*")&lt;N(INDEX(Setup!$L$6:$L$23,14)))+(COUNTIF(O1271:Q1271,"?*")&lt;N(INDEX(Setup!$L$6:$L$23,14)))+(COUNTIF(S1271:U1271,"?*")&lt;N(INDEX(Setup!$L$6:$L$23,14)))+((W1271="")*(INDEX(Setup!$M$6:$M$23,14)="Y"))+((Y1271="")*(INDEX(Setup!$M$6:$M$23,14)="Y")))</f>
        <v/>
      </c>
      <c r="AC1271" s="91">
        <f>IF($B1271="","",IF(AB1271=0,"✓ covered","⚠ "&amp;AB1271&amp;IF(AB1271=1," gap"," gaps")))</f>
        <v/>
      </c>
    </row>
    <row r="1272" ht="17" customHeight="1">
      <c r="A1272" t="n">
        <v>26</v>
      </c>
      <c r="B1272" s="24">
        <f>IF(Setup!$K$20="","",Setup!$K$20)</f>
        <v/>
      </c>
      <c r="C1272" s="88" t="n"/>
      <c r="D1272" s="88" t="n"/>
      <c r="E1272" s="88" t="n"/>
      <c r="F1272" s="89" t="n"/>
      <c r="G1272" s="88" t="n"/>
      <c r="H1272" s="88" t="n"/>
      <c r="I1272" s="88" t="n"/>
      <c r="J1272" s="89" t="n"/>
      <c r="K1272" s="88" t="n"/>
      <c r="L1272" s="88" t="n"/>
      <c r="M1272" s="88" t="n"/>
      <c r="N1272" s="89" t="n"/>
      <c r="O1272" s="88" t="n"/>
      <c r="P1272" s="88" t="n"/>
      <c r="Q1272" s="88" t="n"/>
      <c r="R1272" s="89" t="n"/>
      <c r="S1272" s="88" t="n"/>
      <c r="T1272" s="88" t="n"/>
      <c r="U1272" s="88" t="n"/>
      <c r="V1272" s="89" t="n"/>
      <c r="W1272" s="88" t="n"/>
      <c r="X1272" s="89" t="n"/>
      <c r="Y1272" s="88" t="n"/>
      <c r="Z1272" s="89" t="n"/>
      <c r="AB1272" s="25">
        <f>IF($B1272="","",(COUNTIF(C1272:E1272,"?*")&lt;N(INDEX(Setup!$L$6:$L$23,15)))+(COUNTIF(G1272:I1272,"?*")&lt;N(INDEX(Setup!$L$6:$L$23,15)))+(COUNTIF(K1272:M1272,"?*")&lt;N(INDEX(Setup!$L$6:$L$23,15)))+(COUNTIF(O1272:Q1272,"?*")&lt;N(INDEX(Setup!$L$6:$L$23,15)))+(COUNTIF(S1272:U1272,"?*")&lt;N(INDEX(Setup!$L$6:$L$23,15)))+((W1272="")*(INDEX(Setup!$M$6:$M$23,15)="Y"))+((Y1272="")*(INDEX(Setup!$M$6:$M$23,15)="Y")))</f>
        <v/>
      </c>
      <c r="AC1272" s="90">
        <f>IF($B1272="","",IF(AB1272=0,"✓ covered","⚠ "&amp;AB1272&amp;IF(AB1272=1," gap"," gaps")))</f>
        <v/>
      </c>
    </row>
    <row r="1273" ht="17" customHeight="1">
      <c r="A1273" t="n">
        <v>26</v>
      </c>
      <c r="B1273" s="29">
        <f>IF(Setup!$K$21="","",Setup!$K$21)</f>
        <v/>
      </c>
      <c r="C1273" s="88" t="n"/>
      <c r="D1273" s="88" t="n"/>
      <c r="E1273" s="88" t="n"/>
      <c r="F1273" s="89" t="n"/>
      <c r="G1273" s="88" t="n"/>
      <c r="H1273" s="88" t="n"/>
      <c r="I1273" s="88" t="n"/>
      <c r="J1273" s="89" t="n"/>
      <c r="K1273" s="88" t="n"/>
      <c r="L1273" s="88" t="n"/>
      <c r="M1273" s="88" t="n"/>
      <c r="N1273" s="89" t="n"/>
      <c r="O1273" s="88" t="n"/>
      <c r="P1273" s="88" t="n"/>
      <c r="Q1273" s="88" t="n"/>
      <c r="R1273" s="89" t="n"/>
      <c r="S1273" s="88" t="n"/>
      <c r="T1273" s="88" t="n"/>
      <c r="U1273" s="88" t="n"/>
      <c r="V1273" s="89" t="n"/>
      <c r="W1273" s="88" t="n"/>
      <c r="X1273" s="89" t="n"/>
      <c r="Y1273" s="88" t="n"/>
      <c r="Z1273" s="89" t="n"/>
      <c r="AB1273" s="30">
        <f>IF($B1273="","",(COUNTIF(C1273:E1273,"?*")&lt;N(INDEX(Setup!$L$6:$L$23,16)))+(COUNTIF(G1273:I1273,"?*")&lt;N(INDEX(Setup!$L$6:$L$23,16)))+(COUNTIF(K1273:M1273,"?*")&lt;N(INDEX(Setup!$L$6:$L$23,16)))+(COUNTIF(O1273:Q1273,"?*")&lt;N(INDEX(Setup!$L$6:$L$23,16)))+(COUNTIF(S1273:U1273,"?*")&lt;N(INDEX(Setup!$L$6:$L$23,16)))+((W1273="")*(INDEX(Setup!$M$6:$M$23,16)="Y"))+((Y1273="")*(INDEX(Setup!$M$6:$M$23,16)="Y")))</f>
        <v/>
      </c>
      <c r="AC1273" s="91">
        <f>IF($B1273="","",IF(AB1273=0,"✓ covered","⚠ "&amp;AB1273&amp;IF(AB1273=1," gap"," gaps")))</f>
        <v/>
      </c>
    </row>
    <row r="1274" ht="17" customHeight="1">
      <c r="A1274" t="n">
        <v>26</v>
      </c>
      <c r="B1274" s="24">
        <f>IF(Setup!$K$22="","",Setup!$K$22)</f>
        <v/>
      </c>
      <c r="C1274" s="88" t="n"/>
      <c r="D1274" s="88" t="n"/>
      <c r="E1274" s="88" t="n"/>
      <c r="F1274" s="89" t="n"/>
      <c r="G1274" s="88" t="n"/>
      <c r="H1274" s="88" t="n"/>
      <c r="I1274" s="88" t="n"/>
      <c r="J1274" s="89" t="n"/>
      <c r="K1274" s="88" t="n"/>
      <c r="L1274" s="88" t="n"/>
      <c r="M1274" s="88" t="n"/>
      <c r="N1274" s="89" t="n"/>
      <c r="O1274" s="88" t="n"/>
      <c r="P1274" s="88" t="n"/>
      <c r="Q1274" s="88" t="n"/>
      <c r="R1274" s="89" t="n"/>
      <c r="S1274" s="88" t="n"/>
      <c r="T1274" s="88" t="n"/>
      <c r="U1274" s="88" t="n"/>
      <c r="V1274" s="89" t="n"/>
      <c r="W1274" s="88" t="n"/>
      <c r="X1274" s="89" t="n"/>
      <c r="Y1274" s="88" t="n"/>
      <c r="Z1274" s="89" t="n"/>
      <c r="AB1274" s="25">
        <f>IF($B1274="","",(COUNTIF(C1274:E1274,"?*")&lt;N(INDEX(Setup!$L$6:$L$23,17)))+(COUNTIF(G1274:I1274,"?*")&lt;N(INDEX(Setup!$L$6:$L$23,17)))+(COUNTIF(K1274:M1274,"?*")&lt;N(INDEX(Setup!$L$6:$L$23,17)))+(COUNTIF(O1274:Q1274,"?*")&lt;N(INDEX(Setup!$L$6:$L$23,17)))+(COUNTIF(S1274:U1274,"?*")&lt;N(INDEX(Setup!$L$6:$L$23,17)))+((W1274="")*(INDEX(Setup!$M$6:$M$23,17)="Y"))+((Y1274="")*(INDEX(Setup!$M$6:$M$23,17)="Y")))</f>
        <v/>
      </c>
      <c r="AC1274" s="90">
        <f>IF($B1274="","",IF(AB1274=0,"✓ covered","⚠ "&amp;AB1274&amp;IF(AB1274=1," gap"," gaps")))</f>
        <v/>
      </c>
    </row>
    <row r="1275" ht="17" customHeight="1">
      <c r="A1275" t="n">
        <v>26</v>
      </c>
      <c r="B1275" s="29">
        <f>IF(Setup!$K$23="","",Setup!$K$23)</f>
        <v/>
      </c>
      <c r="C1275" s="88" t="n"/>
      <c r="D1275" s="88" t="n"/>
      <c r="E1275" s="88" t="n"/>
      <c r="F1275" s="89" t="n"/>
      <c r="G1275" s="88" t="n"/>
      <c r="H1275" s="88" t="n"/>
      <c r="I1275" s="88" t="n"/>
      <c r="J1275" s="89" t="n"/>
      <c r="K1275" s="88" t="n"/>
      <c r="L1275" s="88" t="n"/>
      <c r="M1275" s="88" t="n"/>
      <c r="N1275" s="89" t="n"/>
      <c r="O1275" s="88" t="n"/>
      <c r="P1275" s="88" t="n"/>
      <c r="Q1275" s="88" t="n"/>
      <c r="R1275" s="89" t="n"/>
      <c r="S1275" s="88" t="n"/>
      <c r="T1275" s="88" t="n"/>
      <c r="U1275" s="88" t="n"/>
      <c r="V1275" s="89" t="n"/>
      <c r="W1275" s="88" t="n"/>
      <c r="X1275" s="89" t="n"/>
      <c r="Y1275" s="88" t="n"/>
      <c r="Z1275" s="89" t="n"/>
      <c r="AB1275" s="30">
        <f>IF($B1275="","",(COUNTIF(C1275:E1275,"?*")&lt;N(INDEX(Setup!$L$6:$L$23,18)))+(COUNTIF(G1275:I1275,"?*")&lt;N(INDEX(Setup!$L$6:$L$23,18)))+(COUNTIF(K1275:M1275,"?*")&lt;N(INDEX(Setup!$L$6:$L$23,18)))+(COUNTIF(O1275:Q1275,"?*")&lt;N(INDEX(Setup!$L$6:$L$23,18)))+(COUNTIF(S1275:U1275,"?*")&lt;N(INDEX(Setup!$L$6:$L$23,18)))+((W1275="")*(INDEX(Setup!$M$6:$M$23,18)="Y"))+((Y1275="")*(INDEX(Setup!$M$6:$M$23,18)="Y")))</f>
        <v/>
      </c>
      <c r="AC1275" s="91">
        <f>IF($B1275="","",IF(AB1275=0,"✓ covered","⚠ "&amp;AB1275&amp;IF(AB1275=1," gap"," gaps")))</f>
        <v/>
      </c>
    </row>
    <row r="1276" ht="18" customHeight="1">
      <c r="A1276" t="n">
        <v>26</v>
      </c>
      <c r="B1276" s="78" t="inlineStr">
        <is>
          <t>TEAM AVAILABILITY</t>
        </is>
      </c>
      <c r="C1276" s="92" t="inlineStr">
        <is>
          <t>Mon</t>
        </is>
      </c>
      <c r="D1276" s="93" t="n"/>
      <c r="E1276" s="93" t="n"/>
      <c r="F1276" s="94" t="n"/>
      <c r="G1276" s="92" t="inlineStr">
        <is>
          <t>Tue</t>
        </is>
      </c>
      <c r="H1276" s="93" t="n"/>
      <c r="I1276" s="93" t="n"/>
      <c r="J1276" s="94" t="n"/>
      <c r="K1276" s="92" t="inlineStr">
        <is>
          <t>Wed</t>
        </is>
      </c>
      <c r="L1276" s="93" t="n"/>
      <c r="M1276" s="93" t="n"/>
      <c r="N1276" s="94" t="n"/>
      <c r="O1276" s="92" t="inlineStr">
        <is>
          <t>Thu</t>
        </is>
      </c>
      <c r="P1276" s="93" t="n"/>
      <c r="Q1276" s="93" t="n"/>
      <c r="R1276" s="94" t="n"/>
      <c r="S1276" s="92" t="inlineStr">
        <is>
          <t>Fri</t>
        </is>
      </c>
      <c r="T1276" s="93" t="n"/>
      <c r="U1276" s="93" t="n"/>
      <c r="V1276" s="94" t="n"/>
      <c r="W1276" s="95" t="inlineStr">
        <is>
          <t>Sat</t>
        </is>
      </c>
      <c r="X1276" s="96" t="n"/>
      <c r="Y1276" s="95" t="inlineStr">
        <is>
          <t>Sun</t>
        </is>
      </c>
      <c r="Z1276" s="96" t="n"/>
      <c r="AB1276" s="97" t="inlineStr">
        <is>
          <t>Days rostered</t>
        </is>
      </c>
      <c r="AC1276" s="97" t="inlineStr">
        <is>
          <t>Conflicts</t>
        </is>
      </c>
    </row>
    <row r="1277" ht="15" customHeight="1">
      <c r="A1277" t="n">
        <v>26</v>
      </c>
      <c r="B1277" s="35">
        <f>IF(Setup!$B$6="","",Setup!$B$6)</f>
        <v/>
      </c>
      <c r="C1277" s="98" t="n"/>
      <c r="D1277" s="99" t="n"/>
      <c r="E1277" s="99" t="n"/>
      <c r="F1277" s="100" t="n"/>
      <c r="G1277" s="98" t="n"/>
      <c r="H1277" s="99" t="n"/>
      <c r="I1277" s="99" t="n"/>
      <c r="J1277" s="100" t="n"/>
      <c r="K1277" s="98" t="n"/>
      <c r="L1277" s="99" t="n"/>
      <c r="M1277" s="99" t="n"/>
      <c r="N1277" s="100" t="n"/>
      <c r="O1277" s="98" t="n"/>
      <c r="P1277" s="99" t="n"/>
      <c r="Q1277" s="99" t="n"/>
      <c r="R1277" s="100" t="n"/>
      <c r="S1277" s="98" t="n"/>
      <c r="T1277" s="99" t="n"/>
      <c r="U1277" s="99" t="n"/>
      <c r="V1277" s="100" t="n"/>
      <c r="W1277" s="98" t="n"/>
      <c r="X1277" s="100" t="n"/>
      <c r="Y1277" s="98" t="n"/>
      <c r="Z1277" s="100" t="n"/>
      <c r="AB1277" s="101">
        <f>IF($B1277="","",(COUNTIF(C1258:E1275,$B1277)+COUNTIF(C1258:E1275,$B1277&amp;" ~*")&gt;0)+(COUNTIF(G1258:I1275,$B1277)+COUNTIF(G1258:I1275,$B1277&amp;" ~*")&gt;0)+(COUNTIF(K1258:M1275,$B1277)+COUNTIF(K1258:M1275,$B1277&amp;" ~*")&gt;0)+(COUNTIF(O1258:Q1275,$B1277)+COUNTIF(O1258:Q1275,$B1277&amp;" ~*")&gt;0)+(COUNTIF(S1258:U1275,$B1277)+COUNTIF(S1258:U1275,$B1277&amp;" ~*")&gt;0)+(COUNTIF(W1258:W1275,$B1277)+COUNTIF(W1258:W1275,$B1277&amp;" ~*")&gt;0)+(COUNTIF(Y1258:Y1275,$B1277)+COUNTIF(Y1258:Y1275,$B1277&amp;" ~*")&gt;0))</f>
        <v/>
      </c>
      <c r="AC1277" s="36">
        <f>IF($B1277="","",(IFERROR(INDEX(Setup!$G$33:$G$40,MATCH(C1277,Setup!$B$33:$B$40,0)),0)=1)*(COUNTIF(C1258:E1275,$B1277)+COUNTIF(C1258:E1275,$B1277&amp;" ~*")&gt;0)+(IFERROR(INDEX(Setup!$G$33:$G$40,MATCH(G1277,Setup!$B$33:$B$40,0)),0)=1)*(COUNTIF(G1258:I1275,$B1277)+COUNTIF(G1258:I1275,$B1277&amp;" ~*")&gt;0)+(IFERROR(INDEX(Setup!$G$33:$G$40,MATCH(K1277,Setup!$B$33:$B$40,0)),0)=1)*(COUNTIF(K1258:M1275,$B1277)+COUNTIF(K1258:M1275,$B1277&amp;" ~*")&gt;0)+(IFERROR(INDEX(Setup!$G$33:$G$40,MATCH(O1277,Setup!$B$33:$B$40,0)),0)=1)*(COUNTIF(O1258:Q1275,$B1277)+COUNTIF(O1258:Q1275,$B1277&amp;" ~*")&gt;0)+(IFERROR(INDEX(Setup!$G$33:$G$40,MATCH(S1277,Setup!$B$33:$B$40,0)),0)=1)*(COUNTIF(S1258:U1275,$B1277)+COUNTIF(S1258:U1275,$B1277&amp;" ~*")&gt;0)+(IFERROR(INDEX(Setup!$G$33:$G$40,MATCH(W1277,Setup!$B$33:$B$40,0)),0)=1)*(COUNTIF(W1258:W1275,$B1277)+COUNTIF(W1258:W1275,$B1277&amp;" ~*")&gt;0)+(IFERROR(INDEX(Setup!$G$33:$G$40,MATCH(Y1277,Setup!$B$33:$B$40,0)),0)=1)*(COUNTIF(Y1258:Y1275,$B1277)+COUNTIF(Y1258:Y1275,$B1277&amp;" ~*")&gt;0))</f>
        <v/>
      </c>
    </row>
    <row r="1278" ht="15" customHeight="1">
      <c r="A1278" t="n">
        <v>26</v>
      </c>
      <c r="B1278" s="37">
        <f>IF(Setup!$B$7="","",Setup!$B$7)</f>
        <v/>
      </c>
      <c r="C1278" s="102" t="n"/>
      <c r="D1278" s="103" t="n"/>
      <c r="E1278" s="103" t="n"/>
      <c r="F1278" s="104" t="n"/>
      <c r="G1278" s="102" t="n"/>
      <c r="H1278" s="103" t="n"/>
      <c r="I1278" s="103" t="n"/>
      <c r="J1278" s="104" t="n"/>
      <c r="K1278" s="102" t="n"/>
      <c r="L1278" s="103" t="n"/>
      <c r="M1278" s="103" t="n"/>
      <c r="N1278" s="104" t="n"/>
      <c r="O1278" s="102" t="n"/>
      <c r="P1278" s="103" t="n"/>
      <c r="Q1278" s="103" t="n"/>
      <c r="R1278" s="104" t="n"/>
      <c r="S1278" s="102" t="n"/>
      <c r="T1278" s="103" t="n"/>
      <c r="U1278" s="103" t="n"/>
      <c r="V1278" s="104" t="n"/>
      <c r="W1278" s="102" t="n"/>
      <c r="X1278" s="104" t="n"/>
      <c r="Y1278" s="102" t="n"/>
      <c r="Z1278" s="104" t="n"/>
      <c r="AB1278" s="105">
        <f>IF($B1278="","",(COUNTIF(C1258:E1275,$B1278)+COUNTIF(C1258:E1275,$B1278&amp;" ~*")&gt;0)+(COUNTIF(G1258:I1275,$B1278)+COUNTIF(G1258:I1275,$B1278&amp;" ~*")&gt;0)+(COUNTIF(K1258:M1275,$B1278)+COUNTIF(K1258:M1275,$B1278&amp;" ~*")&gt;0)+(COUNTIF(O1258:Q1275,$B1278)+COUNTIF(O1258:Q1275,$B1278&amp;" ~*")&gt;0)+(COUNTIF(S1258:U1275,$B1278)+COUNTIF(S1258:U1275,$B1278&amp;" ~*")&gt;0)+(COUNTIF(W1258:W1275,$B1278)+COUNTIF(W1258:W1275,$B1278&amp;" ~*")&gt;0)+(COUNTIF(Y1258:Y1275,$B1278)+COUNTIF(Y1258:Y1275,$B1278&amp;" ~*")&gt;0))</f>
        <v/>
      </c>
      <c r="AC1278" s="38">
        <f>IF($B1278="","",(IFERROR(INDEX(Setup!$G$33:$G$40,MATCH(C1278,Setup!$B$33:$B$40,0)),0)=1)*(COUNTIF(C1258:E1275,$B1278)+COUNTIF(C1258:E1275,$B1278&amp;" ~*")&gt;0)+(IFERROR(INDEX(Setup!$G$33:$G$40,MATCH(G1278,Setup!$B$33:$B$40,0)),0)=1)*(COUNTIF(G1258:I1275,$B1278)+COUNTIF(G1258:I1275,$B1278&amp;" ~*")&gt;0)+(IFERROR(INDEX(Setup!$G$33:$G$40,MATCH(K1278,Setup!$B$33:$B$40,0)),0)=1)*(COUNTIF(K1258:M1275,$B1278)+COUNTIF(K1258:M1275,$B1278&amp;" ~*")&gt;0)+(IFERROR(INDEX(Setup!$G$33:$G$40,MATCH(O1278,Setup!$B$33:$B$40,0)),0)=1)*(COUNTIF(O1258:Q1275,$B1278)+COUNTIF(O1258:Q1275,$B1278&amp;" ~*")&gt;0)+(IFERROR(INDEX(Setup!$G$33:$G$40,MATCH(S1278,Setup!$B$33:$B$40,0)),0)=1)*(COUNTIF(S1258:U1275,$B1278)+COUNTIF(S1258:U1275,$B1278&amp;" ~*")&gt;0)+(IFERROR(INDEX(Setup!$G$33:$G$40,MATCH(W1278,Setup!$B$33:$B$40,0)),0)=1)*(COUNTIF(W1258:W1275,$B1278)+COUNTIF(W1258:W1275,$B1278&amp;" ~*")&gt;0)+(IFERROR(INDEX(Setup!$G$33:$G$40,MATCH(Y1278,Setup!$B$33:$B$40,0)),0)=1)*(COUNTIF(Y1258:Y1275,$B1278)+COUNTIF(Y1258:Y1275,$B1278&amp;" ~*")&gt;0))</f>
        <v/>
      </c>
    </row>
    <row r="1279" ht="15" customHeight="1">
      <c r="A1279" t="n">
        <v>26</v>
      </c>
      <c r="B1279" s="35">
        <f>IF(Setup!$B$8="","",Setup!$B$8)</f>
        <v/>
      </c>
      <c r="C1279" s="98" t="n"/>
      <c r="D1279" s="99" t="n"/>
      <c r="E1279" s="99" t="n"/>
      <c r="F1279" s="100" t="n"/>
      <c r="G1279" s="98" t="n"/>
      <c r="H1279" s="99" t="n"/>
      <c r="I1279" s="99" t="n"/>
      <c r="J1279" s="100" t="n"/>
      <c r="K1279" s="98" t="n"/>
      <c r="L1279" s="99" t="n"/>
      <c r="M1279" s="99" t="n"/>
      <c r="N1279" s="100" t="n"/>
      <c r="O1279" s="98" t="n"/>
      <c r="P1279" s="99" t="n"/>
      <c r="Q1279" s="99" t="n"/>
      <c r="R1279" s="100" t="n"/>
      <c r="S1279" s="98" t="n"/>
      <c r="T1279" s="99" t="n"/>
      <c r="U1279" s="99" t="n"/>
      <c r="V1279" s="100" t="n"/>
      <c r="W1279" s="98" t="n"/>
      <c r="X1279" s="100" t="n"/>
      <c r="Y1279" s="98" t="n"/>
      <c r="Z1279" s="100" t="n"/>
      <c r="AB1279" s="101">
        <f>IF($B1279="","",(COUNTIF(C1258:E1275,$B1279)+COUNTIF(C1258:E1275,$B1279&amp;" ~*")&gt;0)+(COUNTIF(G1258:I1275,$B1279)+COUNTIF(G1258:I1275,$B1279&amp;" ~*")&gt;0)+(COUNTIF(K1258:M1275,$B1279)+COUNTIF(K1258:M1275,$B1279&amp;" ~*")&gt;0)+(COUNTIF(O1258:Q1275,$B1279)+COUNTIF(O1258:Q1275,$B1279&amp;" ~*")&gt;0)+(COUNTIF(S1258:U1275,$B1279)+COUNTIF(S1258:U1275,$B1279&amp;" ~*")&gt;0)+(COUNTIF(W1258:W1275,$B1279)+COUNTIF(W1258:W1275,$B1279&amp;" ~*")&gt;0)+(COUNTIF(Y1258:Y1275,$B1279)+COUNTIF(Y1258:Y1275,$B1279&amp;" ~*")&gt;0))</f>
        <v/>
      </c>
      <c r="AC1279" s="36">
        <f>IF($B1279="","",(IFERROR(INDEX(Setup!$G$33:$G$40,MATCH(C1279,Setup!$B$33:$B$40,0)),0)=1)*(COUNTIF(C1258:E1275,$B1279)+COUNTIF(C1258:E1275,$B1279&amp;" ~*")&gt;0)+(IFERROR(INDEX(Setup!$G$33:$G$40,MATCH(G1279,Setup!$B$33:$B$40,0)),0)=1)*(COUNTIF(G1258:I1275,$B1279)+COUNTIF(G1258:I1275,$B1279&amp;" ~*")&gt;0)+(IFERROR(INDEX(Setup!$G$33:$G$40,MATCH(K1279,Setup!$B$33:$B$40,0)),0)=1)*(COUNTIF(K1258:M1275,$B1279)+COUNTIF(K1258:M1275,$B1279&amp;" ~*")&gt;0)+(IFERROR(INDEX(Setup!$G$33:$G$40,MATCH(O1279,Setup!$B$33:$B$40,0)),0)=1)*(COUNTIF(O1258:Q1275,$B1279)+COUNTIF(O1258:Q1275,$B1279&amp;" ~*")&gt;0)+(IFERROR(INDEX(Setup!$G$33:$G$40,MATCH(S1279,Setup!$B$33:$B$40,0)),0)=1)*(COUNTIF(S1258:U1275,$B1279)+COUNTIF(S1258:U1275,$B1279&amp;" ~*")&gt;0)+(IFERROR(INDEX(Setup!$G$33:$G$40,MATCH(W1279,Setup!$B$33:$B$40,0)),0)=1)*(COUNTIF(W1258:W1275,$B1279)+COUNTIF(W1258:W1275,$B1279&amp;" ~*")&gt;0)+(IFERROR(INDEX(Setup!$G$33:$G$40,MATCH(Y1279,Setup!$B$33:$B$40,0)),0)=1)*(COUNTIF(Y1258:Y1275,$B1279)+COUNTIF(Y1258:Y1275,$B1279&amp;" ~*")&gt;0))</f>
        <v/>
      </c>
    </row>
    <row r="1280" ht="15" customHeight="1">
      <c r="A1280" t="n">
        <v>26</v>
      </c>
      <c r="B1280" s="37">
        <f>IF(Setup!$B$9="","",Setup!$B$9)</f>
        <v/>
      </c>
      <c r="C1280" s="102" t="n"/>
      <c r="D1280" s="103" t="n"/>
      <c r="E1280" s="103" t="n"/>
      <c r="F1280" s="104" t="n"/>
      <c r="G1280" s="102" t="n"/>
      <c r="H1280" s="103" t="n"/>
      <c r="I1280" s="103" t="n"/>
      <c r="J1280" s="104" t="n"/>
      <c r="K1280" s="102" t="n"/>
      <c r="L1280" s="103" t="n"/>
      <c r="M1280" s="103" t="n"/>
      <c r="N1280" s="104" t="n"/>
      <c r="O1280" s="102" t="n"/>
      <c r="P1280" s="103" t="n"/>
      <c r="Q1280" s="103" t="n"/>
      <c r="R1280" s="104" t="n"/>
      <c r="S1280" s="102" t="n"/>
      <c r="T1280" s="103" t="n"/>
      <c r="U1280" s="103" t="n"/>
      <c r="V1280" s="104" t="n"/>
      <c r="W1280" s="102" t="n"/>
      <c r="X1280" s="104" t="n"/>
      <c r="Y1280" s="102" t="n"/>
      <c r="Z1280" s="104" t="n"/>
      <c r="AB1280" s="105">
        <f>IF($B1280="","",(COUNTIF(C1258:E1275,$B1280)+COUNTIF(C1258:E1275,$B1280&amp;" ~*")&gt;0)+(COUNTIF(G1258:I1275,$B1280)+COUNTIF(G1258:I1275,$B1280&amp;" ~*")&gt;0)+(COUNTIF(K1258:M1275,$B1280)+COUNTIF(K1258:M1275,$B1280&amp;" ~*")&gt;0)+(COUNTIF(O1258:Q1275,$B1280)+COUNTIF(O1258:Q1275,$B1280&amp;" ~*")&gt;0)+(COUNTIF(S1258:U1275,$B1280)+COUNTIF(S1258:U1275,$B1280&amp;" ~*")&gt;0)+(COUNTIF(W1258:W1275,$B1280)+COUNTIF(W1258:W1275,$B1280&amp;" ~*")&gt;0)+(COUNTIF(Y1258:Y1275,$B1280)+COUNTIF(Y1258:Y1275,$B1280&amp;" ~*")&gt;0))</f>
        <v/>
      </c>
      <c r="AC1280" s="38">
        <f>IF($B1280="","",(IFERROR(INDEX(Setup!$G$33:$G$40,MATCH(C1280,Setup!$B$33:$B$40,0)),0)=1)*(COUNTIF(C1258:E1275,$B1280)+COUNTIF(C1258:E1275,$B1280&amp;" ~*")&gt;0)+(IFERROR(INDEX(Setup!$G$33:$G$40,MATCH(G1280,Setup!$B$33:$B$40,0)),0)=1)*(COUNTIF(G1258:I1275,$B1280)+COUNTIF(G1258:I1275,$B1280&amp;" ~*")&gt;0)+(IFERROR(INDEX(Setup!$G$33:$G$40,MATCH(K1280,Setup!$B$33:$B$40,0)),0)=1)*(COUNTIF(K1258:M1275,$B1280)+COUNTIF(K1258:M1275,$B1280&amp;" ~*")&gt;0)+(IFERROR(INDEX(Setup!$G$33:$G$40,MATCH(O1280,Setup!$B$33:$B$40,0)),0)=1)*(COUNTIF(O1258:Q1275,$B1280)+COUNTIF(O1258:Q1275,$B1280&amp;" ~*")&gt;0)+(IFERROR(INDEX(Setup!$G$33:$G$40,MATCH(S1280,Setup!$B$33:$B$40,0)),0)=1)*(COUNTIF(S1258:U1275,$B1280)+COUNTIF(S1258:U1275,$B1280&amp;" ~*")&gt;0)+(IFERROR(INDEX(Setup!$G$33:$G$40,MATCH(W1280,Setup!$B$33:$B$40,0)),0)=1)*(COUNTIF(W1258:W1275,$B1280)+COUNTIF(W1258:W1275,$B1280&amp;" ~*")&gt;0)+(IFERROR(INDEX(Setup!$G$33:$G$40,MATCH(Y1280,Setup!$B$33:$B$40,0)),0)=1)*(COUNTIF(Y1258:Y1275,$B1280)+COUNTIF(Y1258:Y1275,$B1280&amp;" ~*")&gt;0))</f>
        <v/>
      </c>
    </row>
    <row r="1281" ht="15" customHeight="1">
      <c r="A1281" t="n">
        <v>26</v>
      </c>
      <c r="B1281" s="35">
        <f>IF(Setup!$B$10="","",Setup!$B$10)</f>
        <v/>
      </c>
      <c r="C1281" s="98" t="n"/>
      <c r="D1281" s="99" t="n"/>
      <c r="E1281" s="99" t="n"/>
      <c r="F1281" s="100" t="n"/>
      <c r="G1281" s="98" t="n"/>
      <c r="H1281" s="99" t="n"/>
      <c r="I1281" s="99" t="n"/>
      <c r="J1281" s="100" t="n"/>
      <c r="K1281" s="98" t="n"/>
      <c r="L1281" s="99" t="n"/>
      <c r="M1281" s="99" t="n"/>
      <c r="N1281" s="100" t="n"/>
      <c r="O1281" s="98" t="n"/>
      <c r="P1281" s="99" t="n"/>
      <c r="Q1281" s="99" t="n"/>
      <c r="R1281" s="100" t="n"/>
      <c r="S1281" s="98" t="n"/>
      <c r="T1281" s="99" t="n"/>
      <c r="U1281" s="99" t="n"/>
      <c r="V1281" s="100" t="n"/>
      <c r="W1281" s="98" t="n"/>
      <c r="X1281" s="100" t="n"/>
      <c r="Y1281" s="98" t="n"/>
      <c r="Z1281" s="100" t="n"/>
      <c r="AB1281" s="101">
        <f>IF($B1281="","",(COUNTIF(C1258:E1275,$B1281)+COUNTIF(C1258:E1275,$B1281&amp;" ~*")&gt;0)+(COUNTIF(G1258:I1275,$B1281)+COUNTIF(G1258:I1275,$B1281&amp;" ~*")&gt;0)+(COUNTIF(K1258:M1275,$B1281)+COUNTIF(K1258:M1275,$B1281&amp;" ~*")&gt;0)+(COUNTIF(O1258:Q1275,$B1281)+COUNTIF(O1258:Q1275,$B1281&amp;" ~*")&gt;0)+(COUNTIF(S1258:U1275,$B1281)+COUNTIF(S1258:U1275,$B1281&amp;" ~*")&gt;0)+(COUNTIF(W1258:W1275,$B1281)+COUNTIF(W1258:W1275,$B1281&amp;" ~*")&gt;0)+(COUNTIF(Y1258:Y1275,$B1281)+COUNTIF(Y1258:Y1275,$B1281&amp;" ~*")&gt;0))</f>
        <v/>
      </c>
      <c r="AC1281" s="36">
        <f>IF($B1281="","",(IFERROR(INDEX(Setup!$G$33:$G$40,MATCH(C1281,Setup!$B$33:$B$40,0)),0)=1)*(COUNTIF(C1258:E1275,$B1281)+COUNTIF(C1258:E1275,$B1281&amp;" ~*")&gt;0)+(IFERROR(INDEX(Setup!$G$33:$G$40,MATCH(G1281,Setup!$B$33:$B$40,0)),0)=1)*(COUNTIF(G1258:I1275,$B1281)+COUNTIF(G1258:I1275,$B1281&amp;" ~*")&gt;0)+(IFERROR(INDEX(Setup!$G$33:$G$40,MATCH(K1281,Setup!$B$33:$B$40,0)),0)=1)*(COUNTIF(K1258:M1275,$B1281)+COUNTIF(K1258:M1275,$B1281&amp;" ~*")&gt;0)+(IFERROR(INDEX(Setup!$G$33:$G$40,MATCH(O1281,Setup!$B$33:$B$40,0)),0)=1)*(COUNTIF(O1258:Q1275,$B1281)+COUNTIF(O1258:Q1275,$B1281&amp;" ~*")&gt;0)+(IFERROR(INDEX(Setup!$G$33:$G$40,MATCH(S1281,Setup!$B$33:$B$40,0)),0)=1)*(COUNTIF(S1258:U1275,$B1281)+COUNTIF(S1258:U1275,$B1281&amp;" ~*")&gt;0)+(IFERROR(INDEX(Setup!$G$33:$G$40,MATCH(W1281,Setup!$B$33:$B$40,0)),0)=1)*(COUNTIF(W1258:W1275,$B1281)+COUNTIF(W1258:W1275,$B1281&amp;" ~*")&gt;0)+(IFERROR(INDEX(Setup!$G$33:$G$40,MATCH(Y1281,Setup!$B$33:$B$40,0)),0)=1)*(COUNTIF(Y1258:Y1275,$B1281)+COUNTIF(Y1258:Y1275,$B1281&amp;" ~*")&gt;0))</f>
        <v/>
      </c>
    </row>
    <row r="1282" ht="15" customHeight="1">
      <c r="A1282" t="n">
        <v>26</v>
      </c>
      <c r="B1282" s="37">
        <f>IF(Setup!$B$11="","",Setup!$B$11)</f>
        <v/>
      </c>
      <c r="C1282" s="102" t="n"/>
      <c r="D1282" s="103" t="n"/>
      <c r="E1282" s="103" t="n"/>
      <c r="F1282" s="104" t="n"/>
      <c r="G1282" s="102" t="n"/>
      <c r="H1282" s="103" t="n"/>
      <c r="I1282" s="103" t="n"/>
      <c r="J1282" s="104" t="n"/>
      <c r="K1282" s="102" t="n"/>
      <c r="L1282" s="103" t="n"/>
      <c r="M1282" s="103" t="n"/>
      <c r="N1282" s="104" t="n"/>
      <c r="O1282" s="102" t="n"/>
      <c r="P1282" s="103" t="n"/>
      <c r="Q1282" s="103" t="n"/>
      <c r="R1282" s="104" t="n"/>
      <c r="S1282" s="102" t="n"/>
      <c r="T1282" s="103" t="n"/>
      <c r="U1282" s="103" t="n"/>
      <c r="V1282" s="104" t="n"/>
      <c r="W1282" s="102" t="n"/>
      <c r="X1282" s="104" t="n"/>
      <c r="Y1282" s="102" t="n"/>
      <c r="Z1282" s="104" t="n"/>
      <c r="AB1282" s="105">
        <f>IF($B1282="","",(COUNTIF(C1258:E1275,$B1282)+COUNTIF(C1258:E1275,$B1282&amp;" ~*")&gt;0)+(COUNTIF(G1258:I1275,$B1282)+COUNTIF(G1258:I1275,$B1282&amp;" ~*")&gt;0)+(COUNTIF(K1258:M1275,$B1282)+COUNTIF(K1258:M1275,$B1282&amp;" ~*")&gt;0)+(COUNTIF(O1258:Q1275,$B1282)+COUNTIF(O1258:Q1275,$B1282&amp;" ~*")&gt;0)+(COUNTIF(S1258:U1275,$B1282)+COUNTIF(S1258:U1275,$B1282&amp;" ~*")&gt;0)+(COUNTIF(W1258:W1275,$B1282)+COUNTIF(W1258:W1275,$B1282&amp;" ~*")&gt;0)+(COUNTIF(Y1258:Y1275,$B1282)+COUNTIF(Y1258:Y1275,$B1282&amp;" ~*")&gt;0))</f>
        <v/>
      </c>
      <c r="AC1282" s="38">
        <f>IF($B1282="","",(IFERROR(INDEX(Setup!$G$33:$G$40,MATCH(C1282,Setup!$B$33:$B$40,0)),0)=1)*(COUNTIF(C1258:E1275,$B1282)+COUNTIF(C1258:E1275,$B1282&amp;" ~*")&gt;0)+(IFERROR(INDEX(Setup!$G$33:$G$40,MATCH(G1282,Setup!$B$33:$B$40,0)),0)=1)*(COUNTIF(G1258:I1275,$B1282)+COUNTIF(G1258:I1275,$B1282&amp;" ~*")&gt;0)+(IFERROR(INDEX(Setup!$G$33:$G$40,MATCH(K1282,Setup!$B$33:$B$40,0)),0)=1)*(COUNTIF(K1258:M1275,$B1282)+COUNTIF(K1258:M1275,$B1282&amp;" ~*")&gt;0)+(IFERROR(INDEX(Setup!$G$33:$G$40,MATCH(O1282,Setup!$B$33:$B$40,0)),0)=1)*(COUNTIF(O1258:Q1275,$B1282)+COUNTIF(O1258:Q1275,$B1282&amp;" ~*")&gt;0)+(IFERROR(INDEX(Setup!$G$33:$G$40,MATCH(S1282,Setup!$B$33:$B$40,0)),0)=1)*(COUNTIF(S1258:U1275,$B1282)+COUNTIF(S1258:U1275,$B1282&amp;" ~*")&gt;0)+(IFERROR(INDEX(Setup!$G$33:$G$40,MATCH(W1282,Setup!$B$33:$B$40,0)),0)=1)*(COUNTIF(W1258:W1275,$B1282)+COUNTIF(W1258:W1275,$B1282&amp;" ~*")&gt;0)+(IFERROR(INDEX(Setup!$G$33:$G$40,MATCH(Y1282,Setup!$B$33:$B$40,0)),0)=1)*(COUNTIF(Y1258:Y1275,$B1282)+COUNTIF(Y1258:Y1275,$B1282&amp;" ~*")&gt;0))</f>
        <v/>
      </c>
    </row>
    <row r="1283" ht="15" customHeight="1">
      <c r="A1283" t="n">
        <v>26</v>
      </c>
      <c r="B1283" s="35">
        <f>IF(Setup!$B$12="","",Setup!$B$12)</f>
        <v/>
      </c>
      <c r="C1283" s="98" t="n"/>
      <c r="D1283" s="99" t="n"/>
      <c r="E1283" s="99" t="n"/>
      <c r="F1283" s="100" t="n"/>
      <c r="G1283" s="98" t="n"/>
      <c r="H1283" s="99" t="n"/>
      <c r="I1283" s="99" t="n"/>
      <c r="J1283" s="100" t="n"/>
      <c r="K1283" s="98" t="n"/>
      <c r="L1283" s="99" t="n"/>
      <c r="M1283" s="99" t="n"/>
      <c r="N1283" s="100" t="n"/>
      <c r="O1283" s="98" t="n"/>
      <c r="P1283" s="99" t="n"/>
      <c r="Q1283" s="99" t="n"/>
      <c r="R1283" s="100" t="n"/>
      <c r="S1283" s="98" t="n"/>
      <c r="T1283" s="99" t="n"/>
      <c r="U1283" s="99" t="n"/>
      <c r="V1283" s="100" t="n"/>
      <c r="W1283" s="98" t="n"/>
      <c r="X1283" s="100" t="n"/>
      <c r="Y1283" s="98" t="n"/>
      <c r="Z1283" s="100" t="n"/>
      <c r="AB1283" s="101">
        <f>IF($B1283="","",(COUNTIF(C1258:E1275,$B1283)+COUNTIF(C1258:E1275,$B1283&amp;" ~*")&gt;0)+(COUNTIF(G1258:I1275,$B1283)+COUNTIF(G1258:I1275,$B1283&amp;" ~*")&gt;0)+(COUNTIF(K1258:M1275,$B1283)+COUNTIF(K1258:M1275,$B1283&amp;" ~*")&gt;0)+(COUNTIF(O1258:Q1275,$B1283)+COUNTIF(O1258:Q1275,$B1283&amp;" ~*")&gt;0)+(COUNTIF(S1258:U1275,$B1283)+COUNTIF(S1258:U1275,$B1283&amp;" ~*")&gt;0)+(COUNTIF(W1258:W1275,$B1283)+COUNTIF(W1258:W1275,$B1283&amp;" ~*")&gt;0)+(COUNTIF(Y1258:Y1275,$B1283)+COUNTIF(Y1258:Y1275,$B1283&amp;" ~*")&gt;0))</f>
        <v/>
      </c>
      <c r="AC1283" s="36">
        <f>IF($B1283="","",(IFERROR(INDEX(Setup!$G$33:$G$40,MATCH(C1283,Setup!$B$33:$B$40,0)),0)=1)*(COUNTIF(C1258:E1275,$B1283)+COUNTIF(C1258:E1275,$B1283&amp;" ~*")&gt;0)+(IFERROR(INDEX(Setup!$G$33:$G$40,MATCH(G1283,Setup!$B$33:$B$40,0)),0)=1)*(COUNTIF(G1258:I1275,$B1283)+COUNTIF(G1258:I1275,$B1283&amp;" ~*")&gt;0)+(IFERROR(INDEX(Setup!$G$33:$G$40,MATCH(K1283,Setup!$B$33:$B$40,0)),0)=1)*(COUNTIF(K1258:M1275,$B1283)+COUNTIF(K1258:M1275,$B1283&amp;" ~*")&gt;0)+(IFERROR(INDEX(Setup!$G$33:$G$40,MATCH(O1283,Setup!$B$33:$B$40,0)),0)=1)*(COUNTIF(O1258:Q1275,$B1283)+COUNTIF(O1258:Q1275,$B1283&amp;" ~*")&gt;0)+(IFERROR(INDEX(Setup!$G$33:$G$40,MATCH(S1283,Setup!$B$33:$B$40,0)),0)=1)*(COUNTIF(S1258:U1275,$B1283)+COUNTIF(S1258:U1275,$B1283&amp;" ~*")&gt;0)+(IFERROR(INDEX(Setup!$G$33:$G$40,MATCH(W1283,Setup!$B$33:$B$40,0)),0)=1)*(COUNTIF(W1258:W1275,$B1283)+COUNTIF(W1258:W1275,$B1283&amp;" ~*")&gt;0)+(IFERROR(INDEX(Setup!$G$33:$G$40,MATCH(Y1283,Setup!$B$33:$B$40,0)),0)=1)*(COUNTIF(Y1258:Y1275,$B1283)+COUNTIF(Y1258:Y1275,$B1283&amp;" ~*")&gt;0))</f>
        <v/>
      </c>
    </row>
    <row r="1284" ht="15" customHeight="1">
      <c r="A1284" t="n">
        <v>26</v>
      </c>
      <c r="B1284" s="37">
        <f>IF(Setup!$B$13="","",Setup!$B$13)</f>
        <v/>
      </c>
      <c r="C1284" s="102" t="n"/>
      <c r="D1284" s="103" t="n"/>
      <c r="E1284" s="103" t="n"/>
      <c r="F1284" s="104" t="n"/>
      <c r="G1284" s="102" t="n"/>
      <c r="H1284" s="103" t="n"/>
      <c r="I1284" s="103" t="n"/>
      <c r="J1284" s="104" t="n"/>
      <c r="K1284" s="102" t="n"/>
      <c r="L1284" s="103" t="n"/>
      <c r="M1284" s="103" t="n"/>
      <c r="N1284" s="104" t="n"/>
      <c r="O1284" s="102" t="n"/>
      <c r="P1284" s="103" t="n"/>
      <c r="Q1284" s="103" t="n"/>
      <c r="R1284" s="104" t="n"/>
      <c r="S1284" s="102" t="n"/>
      <c r="T1284" s="103" t="n"/>
      <c r="U1284" s="103" t="n"/>
      <c r="V1284" s="104" t="n"/>
      <c r="W1284" s="102" t="n"/>
      <c r="X1284" s="104" t="n"/>
      <c r="Y1284" s="102" t="n"/>
      <c r="Z1284" s="104" t="n"/>
      <c r="AB1284" s="105">
        <f>IF($B1284="","",(COUNTIF(C1258:E1275,$B1284)+COUNTIF(C1258:E1275,$B1284&amp;" ~*")&gt;0)+(COUNTIF(G1258:I1275,$B1284)+COUNTIF(G1258:I1275,$B1284&amp;" ~*")&gt;0)+(COUNTIF(K1258:M1275,$B1284)+COUNTIF(K1258:M1275,$B1284&amp;" ~*")&gt;0)+(COUNTIF(O1258:Q1275,$B1284)+COUNTIF(O1258:Q1275,$B1284&amp;" ~*")&gt;0)+(COUNTIF(S1258:U1275,$B1284)+COUNTIF(S1258:U1275,$B1284&amp;" ~*")&gt;0)+(COUNTIF(W1258:W1275,$B1284)+COUNTIF(W1258:W1275,$B1284&amp;" ~*")&gt;0)+(COUNTIF(Y1258:Y1275,$B1284)+COUNTIF(Y1258:Y1275,$B1284&amp;" ~*")&gt;0))</f>
        <v/>
      </c>
      <c r="AC1284" s="38">
        <f>IF($B1284="","",(IFERROR(INDEX(Setup!$G$33:$G$40,MATCH(C1284,Setup!$B$33:$B$40,0)),0)=1)*(COUNTIF(C1258:E1275,$B1284)+COUNTIF(C1258:E1275,$B1284&amp;" ~*")&gt;0)+(IFERROR(INDEX(Setup!$G$33:$G$40,MATCH(G1284,Setup!$B$33:$B$40,0)),0)=1)*(COUNTIF(G1258:I1275,$B1284)+COUNTIF(G1258:I1275,$B1284&amp;" ~*")&gt;0)+(IFERROR(INDEX(Setup!$G$33:$G$40,MATCH(K1284,Setup!$B$33:$B$40,0)),0)=1)*(COUNTIF(K1258:M1275,$B1284)+COUNTIF(K1258:M1275,$B1284&amp;" ~*")&gt;0)+(IFERROR(INDEX(Setup!$G$33:$G$40,MATCH(O1284,Setup!$B$33:$B$40,0)),0)=1)*(COUNTIF(O1258:Q1275,$B1284)+COUNTIF(O1258:Q1275,$B1284&amp;" ~*")&gt;0)+(IFERROR(INDEX(Setup!$G$33:$G$40,MATCH(S1284,Setup!$B$33:$B$40,0)),0)=1)*(COUNTIF(S1258:U1275,$B1284)+COUNTIF(S1258:U1275,$B1284&amp;" ~*")&gt;0)+(IFERROR(INDEX(Setup!$G$33:$G$40,MATCH(W1284,Setup!$B$33:$B$40,0)),0)=1)*(COUNTIF(W1258:W1275,$B1284)+COUNTIF(W1258:W1275,$B1284&amp;" ~*")&gt;0)+(IFERROR(INDEX(Setup!$G$33:$G$40,MATCH(Y1284,Setup!$B$33:$B$40,0)),0)=1)*(COUNTIF(Y1258:Y1275,$B1284)+COUNTIF(Y1258:Y1275,$B1284&amp;" ~*")&gt;0))</f>
        <v/>
      </c>
    </row>
    <row r="1285" ht="15" customHeight="1">
      <c r="A1285" t="n">
        <v>26</v>
      </c>
      <c r="B1285" s="35">
        <f>IF(Setup!$B$14="","",Setup!$B$14)</f>
        <v/>
      </c>
      <c r="C1285" s="98" t="n"/>
      <c r="D1285" s="99" t="n"/>
      <c r="E1285" s="99" t="n"/>
      <c r="F1285" s="100" t="n"/>
      <c r="G1285" s="98" t="n"/>
      <c r="H1285" s="99" t="n"/>
      <c r="I1285" s="99" t="n"/>
      <c r="J1285" s="100" t="n"/>
      <c r="K1285" s="98" t="n"/>
      <c r="L1285" s="99" t="n"/>
      <c r="M1285" s="99" t="n"/>
      <c r="N1285" s="100" t="n"/>
      <c r="O1285" s="98" t="n"/>
      <c r="P1285" s="99" t="n"/>
      <c r="Q1285" s="99" t="n"/>
      <c r="R1285" s="100" t="n"/>
      <c r="S1285" s="98" t="n"/>
      <c r="T1285" s="99" t="n"/>
      <c r="U1285" s="99" t="n"/>
      <c r="V1285" s="100" t="n"/>
      <c r="W1285" s="98" t="n"/>
      <c r="X1285" s="100" t="n"/>
      <c r="Y1285" s="98" t="n"/>
      <c r="Z1285" s="100" t="n"/>
      <c r="AB1285" s="101">
        <f>IF($B1285="","",(COUNTIF(C1258:E1275,$B1285)+COUNTIF(C1258:E1275,$B1285&amp;" ~*")&gt;0)+(COUNTIF(G1258:I1275,$B1285)+COUNTIF(G1258:I1275,$B1285&amp;" ~*")&gt;0)+(COUNTIF(K1258:M1275,$B1285)+COUNTIF(K1258:M1275,$B1285&amp;" ~*")&gt;0)+(COUNTIF(O1258:Q1275,$B1285)+COUNTIF(O1258:Q1275,$B1285&amp;" ~*")&gt;0)+(COUNTIF(S1258:U1275,$B1285)+COUNTIF(S1258:U1275,$B1285&amp;" ~*")&gt;0)+(COUNTIF(W1258:W1275,$B1285)+COUNTIF(W1258:W1275,$B1285&amp;" ~*")&gt;0)+(COUNTIF(Y1258:Y1275,$B1285)+COUNTIF(Y1258:Y1275,$B1285&amp;" ~*")&gt;0))</f>
        <v/>
      </c>
      <c r="AC1285" s="36">
        <f>IF($B1285="","",(IFERROR(INDEX(Setup!$G$33:$G$40,MATCH(C1285,Setup!$B$33:$B$40,0)),0)=1)*(COUNTIF(C1258:E1275,$B1285)+COUNTIF(C1258:E1275,$B1285&amp;" ~*")&gt;0)+(IFERROR(INDEX(Setup!$G$33:$G$40,MATCH(G1285,Setup!$B$33:$B$40,0)),0)=1)*(COUNTIF(G1258:I1275,$B1285)+COUNTIF(G1258:I1275,$B1285&amp;" ~*")&gt;0)+(IFERROR(INDEX(Setup!$G$33:$G$40,MATCH(K1285,Setup!$B$33:$B$40,0)),0)=1)*(COUNTIF(K1258:M1275,$B1285)+COUNTIF(K1258:M1275,$B1285&amp;" ~*")&gt;0)+(IFERROR(INDEX(Setup!$G$33:$G$40,MATCH(O1285,Setup!$B$33:$B$40,0)),0)=1)*(COUNTIF(O1258:Q1275,$B1285)+COUNTIF(O1258:Q1275,$B1285&amp;" ~*")&gt;0)+(IFERROR(INDEX(Setup!$G$33:$G$40,MATCH(S1285,Setup!$B$33:$B$40,0)),0)=1)*(COUNTIF(S1258:U1275,$B1285)+COUNTIF(S1258:U1275,$B1285&amp;" ~*")&gt;0)+(IFERROR(INDEX(Setup!$G$33:$G$40,MATCH(W1285,Setup!$B$33:$B$40,0)),0)=1)*(COUNTIF(W1258:W1275,$B1285)+COUNTIF(W1258:W1275,$B1285&amp;" ~*")&gt;0)+(IFERROR(INDEX(Setup!$G$33:$G$40,MATCH(Y1285,Setup!$B$33:$B$40,0)),0)=1)*(COUNTIF(Y1258:Y1275,$B1285)+COUNTIF(Y1258:Y1275,$B1285&amp;" ~*")&gt;0))</f>
        <v/>
      </c>
    </row>
    <row r="1286" ht="15" customHeight="1">
      <c r="A1286" t="n">
        <v>26</v>
      </c>
      <c r="B1286" s="37">
        <f>IF(Setup!$B$15="","",Setup!$B$15)</f>
        <v/>
      </c>
      <c r="C1286" s="102" t="n"/>
      <c r="D1286" s="103" t="n"/>
      <c r="E1286" s="103" t="n"/>
      <c r="F1286" s="104" t="n"/>
      <c r="G1286" s="102" t="n"/>
      <c r="H1286" s="103" t="n"/>
      <c r="I1286" s="103" t="n"/>
      <c r="J1286" s="104" t="n"/>
      <c r="K1286" s="102" t="n"/>
      <c r="L1286" s="103" t="n"/>
      <c r="M1286" s="103" t="n"/>
      <c r="N1286" s="104" t="n"/>
      <c r="O1286" s="102" t="n"/>
      <c r="P1286" s="103" t="n"/>
      <c r="Q1286" s="103" t="n"/>
      <c r="R1286" s="104" t="n"/>
      <c r="S1286" s="102" t="n"/>
      <c r="T1286" s="103" t="n"/>
      <c r="U1286" s="103" t="n"/>
      <c r="V1286" s="104" t="n"/>
      <c r="W1286" s="102" t="n"/>
      <c r="X1286" s="104" t="n"/>
      <c r="Y1286" s="102" t="n"/>
      <c r="Z1286" s="104" t="n"/>
      <c r="AB1286" s="105">
        <f>IF($B1286="","",(COUNTIF(C1258:E1275,$B1286)+COUNTIF(C1258:E1275,$B1286&amp;" ~*")&gt;0)+(COUNTIF(G1258:I1275,$B1286)+COUNTIF(G1258:I1275,$B1286&amp;" ~*")&gt;0)+(COUNTIF(K1258:M1275,$B1286)+COUNTIF(K1258:M1275,$B1286&amp;" ~*")&gt;0)+(COUNTIF(O1258:Q1275,$B1286)+COUNTIF(O1258:Q1275,$B1286&amp;" ~*")&gt;0)+(COUNTIF(S1258:U1275,$B1286)+COUNTIF(S1258:U1275,$B1286&amp;" ~*")&gt;0)+(COUNTIF(W1258:W1275,$B1286)+COUNTIF(W1258:W1275,$B1286&amp;" ~*")&gt;0)+(COUNTIF(Y1258:Y1275,$B1286)+COUNTIF(Y1258:Y1275,$B1286&amp;" ~*")&gt;0))</f>
        <v/>
      </c>
      <c r="AC1286" s="38">
        <f>IF($B1286="","",(IFERROR(INDEX(Setup!$G$33:$G$40,MATCH(C1286,Setup!$B$33:$B$40,0)),0)=1)*(COUNTIF(C1258:E1275,$B1286)+COUNTIF(C1258:E1275,$B1286&amp;" ~*")&gt;0)+(IFERROR(INDEX(Setup!$G$33:$G$40,MATCH(G1286,Setup!$B$33:$B$40,0)),0)=1)*(COUNTIF(G1258:I1275,$B1286)+COUNTIF(G1258:I1275,$B1286&amp;" ~*")&gt;0)+(IFERROR(INDEX(Setup!$G$33:$G$40,MATCH(K1286,Setup!$B$33:$B$40,0)),0)=1)*(COUNTIF(K1258:M1275,$B1286)+COUNTIF(K1258:M1275,$B1286&amp;" ~*")&gt;0)+(IFERROR(INDEX(Setup!$G$33:$G$40,MATCH(O1286,Setup!$B$33:$B$40,0)),0)=1)*(COUNTIF(O1258:Q1275,$B1286)+COUNTIF(O1258:Q1275,$B1286&amp;" ~*")&gt;0)+(IFERROR(INDEX(Setup!$G$33:$G$40,MATCH(S1286,Setup!$B$33:$B$40,0)),0)=1)*(COUNTIF(S1258:U1275,$B1286)+COUNTIF(S1258:U1275,$B1286&amp;" ~*")&gt;0)+(IFERROR(INDEX(Setup!$G$33:$G$40,MATCH(W1286,Setup!$B$33:$B$40,0)),0)=1)*(COUNTIF(W1258:W1275,$B1286)+COUNTIF(W1258:W1275,$B1286&amp;" ~*")&gt;0)+(IFERROR(INDEX(Setup!$G$33:$G$40,MATCH(Y1286,Setup!$B$33:$B$40,0)),0)=1)*(COUNTIF(Y1258:Y1275,$B1286)+COUNTIF(Y1258:Y1275,$B1286&amp;" ~*")&gt;0))</f>
        <v/>
      </c>
    </row>
    <row r="1287" ht="15" customHeight="1">
      <c r="A1287" t="n">
        <v>26</v>
      </c>
      <c r="B1287" s="35">
        <f>IF(Setup!$B$16="","",Setup!$B$16)</f>
        <v/>
      </c>
      <c r="C1287" s="98" t="n"/>
      <c r="D1287" s="99" t="n"/>
      <c r="E1287" s="99" t="n"/>
      <c r="F1287" s="100" t="n"/>
      <c r="G1287" s="98" t="n"/>
      <c r="H1287" s="99" t="n"/>
      <c r="I1287" s="99" t="n"/>
      <c r="J1287" s="100" t="n"/>
      <c r="K1287" s="98" t="n"/>
      <c r="L1287" s="99" t="n"/>
      <c r="M1287" s="99" t="n"/>
      <c r="N1287" s="100" t="n"/>
      <c r="O1287" s="98" t="n"/>
      <c r="P1287" s="99" t="n"/>
      <c r="Q1287" s="99" t="n"/>
      <c r="R1287" s="100" t="n"/>
      <c r="S1287" s="98" t="n"/>
      <c r="T1287" s="99" t="n"/>
      <c r="U1287" s="99" t="n"/>
      <c r="V1287" s="100" t="n"/>
      <c r="W1287" s="98" t="n"/>
      <c r="X1287" s="100" t="n"/>
      <c r="Y1287" s="98" t="n"/>
      <c r="Z1287" s="100" t="n"/>
      <c r="AB1287" s="101">
        <f>IF($B1287="","",(COUNTIF(C1258:E1275,$B1287)+COUNTIF(C1258:E1275,$B1287&amp;" ~*")&gt;0)+(COUNTIF(G1258:I1275,$B1287)+COUNTIF(G1258:I1275,$B1287&amp;" ~*")&gt;0)+(COUNTIF(K1258:M1275,$B1287)+COUNTIF(K1258:M1275,$B1287&amp;" ~*")&gt;0)+(COUNTIF(O1258:Q1275,$B1287)+COUNTIF(O1258:Q1275,$B1287&amp;" ~*")&gt;0)+(COUNTIF(S1258:U1275,$B1287)+COUNTIF(S1258:U1275,$B1287&amp;" ~*")&gt;0)+(COUNTIF(W1258:W1275,$B1287)+COUNTIF(W1258:W1275,$B1287&amp;" ~*")&gt;0)+(COUNTIF(Y1258:Y1275,$B1287)+COUNTIF(Y1258:Y1275,$B1287&amp;" ~*")&gt;0))</f>
        <v/>
      </c>
      <c r="AC1287" s="36">
        <f>IF($B1287="","",(IFERROR(INDEX(Setup!$G$33:$G$40,MATCH(C1287,Setup!$B$33:$B$40,0)),0)=1)*(COUNTIF(C1258:E1275,$B1287)+COUNTIF(C1258:E1275,$B1287&amp;" ~*")&gt;0)+(IFERROR(INDEX(Setup!$G$33:$G$40,MATCH(G1287,Setup!$B$33:$B$40,0)),0)=1)*(COUNTIF(G1258:I1275,$B1287)+COUNTIF(G1258:I1275,$B1287&amp;" ~*")&gt;0)+(IFERROR(INDEX(Setup!$G$33:$G$40,MATCH(K1287,Setup!$B$33:$B$40,0)),0)=1)*(COUNTIF(K1258:M1275,$B1287)+COUNTIF(K1258:M1275,$B1287&amp;" ~*")&gt;0)+(IFERROR(INDEX(Setup!$G$33:$G$40,MATCH(O1287,Setup!$B$33:$B$40,0)),0)=1)*(COUNTIF(O1258:Q1275,$B1287)+COUNTIF(O1258:Q1275,$B1287&amp;" ~*")&gt;0)+(IFERROR(INDEX(Setup!$G$33:$G$40,MATCH(S1287,Setup!$B$33:$B$40,0)),0)=1)*(COUNTIF(S1258:U1275,$B1287)+COUNTIF(S1258:U1275,$B1287&amp;" ~*")&gt;0)+(IFERROR(INDEX(Setup!$G$33:$G$40,MATCH(W1287,Setup!$B$33:$B$40,0)),0)=1)*(COUNTIF(W1258:W1275,$B1287)+COUNTIF(W1258:W1275,$B1287&amp;" ~*")&gt;0)+(IFERROR(INDEX(Setup!$G$33:$G$40,MATCH(Y1287,Setup!$B$33:$B$40,0)),0)=1)*(COUNTIF(Y1258:Y1275,$B1287)+COUNTIF(Y1258:Y1275,$B1287&amp;" ~*")&gt;0))</f>
        <v/>
      </c>
    </row>
    <row r="1288" ht="15" customHeight="1">
      <c r="A1288" t="n">
        <v>26</v>
      </c>
      <c r="B1288" s="37">
        <f>IF(Setup!$B$17="","",Setup!$B$17)</f>
        <v/>
      </c>
      <c r="C1288" s="102" t="n"/>
      <c r="D1288" s="103" t="n"/>
      <c r="E1288" s="103" t="n"/>
      <c r="F1288" s="104" t="n"/>
      <c r="G1288" s="102" t="n"/>
      <c r="H1288" s="103" t="n"/>
      <c r="I1288" s="103" t="n"/>
      <c r="J1288" s="104" t="n"/>
      <c r="K1288" s="102" t="n"/>
      <c r="L1288" s="103" t="n"/>
      <c r="M1288" s="103" t="n"/>
      <c r="N1288" s="104" t="n"/>
      <c r="O1288" s="102" t="n"/>
      <c r="P1288" s="103" t="n"/>
      <c r="Q1288" s="103" t="n"/>
      <c r="R1288" s="104" t="n"/>
      <c r="S1288" s="102" t="n"/>
      <c r="T1288" s="103" t="n"/>
      <c r="U1288" s="103" t="n"/>
      <c r="V1288" s="104" t="n"/>
      <c r="W1288" s="102" t="n"/>
      <c r="X1288" s="104" t="n"/>
      <c r="Y1288" s="102" t="n"/>
      <c r="Z1288" s="104" t="n"/>
      <c r="AB1288" s="105">
        <f>IF($B1288="","",(COUNTIF(C1258:E1275,$B1288)+COUNTIF(C1258:E1275,$B1288&amp;" ~*")&gt;0)+(COUNTIF(G1258:I1275,$B1288)+COUNTIF(G1258:I1275,$B1288&amp;" ~*")&gt;0)+(COUNTIF(K1258:M1275,$B1288)+COUNTIF(K1258:M1275,$B1288&amp;" ~*")&gt;0)+(COUNTIF(O1258:Q1275,$B1288)+COUNTIF(O1258:Q1275,$B1288&amp;" ~*")&gt;0)+(COUNTIF(S1258:U1275,$B1288)+COUNTIF(S1258:U1275,$B1288&amp;" ~*")&gt;0)+(COUNTIF(W1258:W1275,$B1288)+COUNTIF(W1258:W1275,$B1288&amp;" ~*")&gt;0)+(COUNTIF(Y1258:Y1275,$B1288)+COUNTIF(Y1258:Y1275,$B1288&amp;" ~*")&gt;0))</f>
        <v/>
      </c>
      <c r="AC1288" s="38">
        <f>IF($B1288="","",(IFERROR(INDEX(Setup!$G$33:$G$40,MATCH(C1288,Setup!$B$33:$B$40,0)),0)=1)*(COUNTIF(C1258:E1275,$B1288)+COUNTIF(C1258:E1275,$B1288&amp;" ~*")&gt;0)+(IFERROR(INDEX(Setup!$G$33:$G$40,MATCH(G1288,Setup!$B$33:$B$40,0)),0)=1)*(COUNTIF(G1258:I1275,$B1288)+COUNTIF(G1258:I1275,$B1288&amp;" ~*")&gt;0)+(IFERROR(INDEX(Setup!$G$33:$G$40,MATCH(K1288,Setup!$B$33:$B$40,0)),0)=1)*(COUNTIF(K1258:M1275,$B1288)+COUNTIF(K1258:M1275,$B1288&amp;" ~*")&gt;0)+(IFERROR(INDEX(Setup!$G$33:$G$40,MATCH(O1288,Setup!$B$33:$B$40,0)),0)=1)*(COUNTIF(O1258:Q1275,$B1288)+COUNTIF(O1258:Q1275,$B1288&amp;" ~*")&gt;0)+(IFERROR(INDEX(Setup!$G$33:$G$40,MATCH(S1288,Setup!$B$33:$B$40,0)),0)=1)*(COUNTIF(S1258:U1275,$B1288)+COUNTIF(S1258:U1275,$B1288&amp;" ~*")&gt;0)+(IFERROR(INDEX(Setup!$G$33:$G$40,MATCH(W1288,Setup!$B$33:$B$40,0)),0)=1)*(COUNTIF(W1258:W1275,$B1288)+COUNTIF(W1258:W1275,$B1288&amp;" ~*")&gt;0)+(IFERROR(INDEX(Setup!$G$33:$G$40,MATCH(Y1288,Setup!$B$33:$B$40,0)),0)=1)*(COUNTIF(Y1258:Y1275,$B1288)+COUNTIF(Y1258:Y1275,$B1288&amp;" ~*")&gt;0))</f>
        <v/>
      </c>
    </row>
    <row r="1289" ht="15" customHeight="1">
      <c r="A1289" t="n">
        <v>26</v>
      </c>
      <c r="B1289" s="35">
        <f>IF(Setup!$B$18="","",Setup!$B$18)</f>
        <v/>
      </c>
      <c r="C1289" s="98" t="n"/>
      <c r="D1289" s="99" t="n"/>
      <c r="E1289" s="99" t="n"/>
      <c r="F1289" s="100" t="n"/>
      <c r="G1289" s="98" t="n"/>
      <c r="H1289" s="99" t="n"/>
      <c r="I1289" s="99" t="n"/>
      <c r="J1289" s="100" t="n"/>
      <c r="K1289" s="98" t="n"/>
      <c r="L1289" s="99" t="n"/>
      <c r="M1289" s="99" t="n"/>
      <c r="N1289" s="100" t="n"/>
      <c r="O1289" s="98" t="n"/>
      <c r="P1289" s="99" t="n"/>
      <c r="Q1289" s="99" t="n"/>
      <c r="R1289" s="100" t="n"/>
      <c r="S1289" s="98" t="n"/>
      <c r="T1289" s="99" t="n"/>
      <c r="U1289" s="99" t="n"/>
      <c r="V1289" s="100" t="n"/>
      <c r="W1289" s="98" t="n"/>
      <c r="X1289" s="100" t="n"/>
      <c r="Y1289" s="98" t="n"/>
      <c r="Z1289" s="100" t="n"/>
      <c r="AB1289" s="101">
        <f>IF($B1289="","",(COUNTIF(C1258:E1275,$B1289)+COUNTIF(C1258:E1275,$B1289&amp;" ~*")&gt;0)+(COUNTIF(G1258:I1275,$B1289)+COUNTIF(G1258:I1275,$B1289&amp;" ~*")&gt;0)+(COUNTIF(K1258:M1275,$B1289)+COUNTIF(K1258:M1275,$B1289&amp;" ~*")&gt;0)+(COUNTIF(O1258:Q1275,$B1289)+COUNTIF(O1258:Q1275,$B1289&amp;" ~*")&gt;0)+(COUNTIF(S1258:U1275,$B1289)+COUNTIF(S1258:U1275,$B1289&amp;" ~*")&gt;0)+(COUNTIF(W1258:W1275,$B1289)+COUNTIF(W1258:W1275,$B1289&amp;" ~*")&gt;0)+(COUNTIF(Y1258:Y1275,$B1289)+COUNTIF(Y1258:Y1275,$B1289&amp;" ~*")&gt;0))</f>
        <v/>
      </c>
      <c r="AC1289" s="36">
        <f>IF($B1289="","",(IFERROR(INDEX(Setup!$G$33:$G$40,MATCH(C1289,Setup!$B$33:$B$40,0)),0)=1)*(COUNTIF(C1258:E1275,$B1289)+COUNTIF(C1258:E1275,$B1289&amp;" ~*")&gt;0)+(IFERROR(INDEX(Setup!$G$33:$G$40,MATCH(G1289,Setup!$B$33:$B$40,0)),0)=1)*(COUNTIF(G1258:I1275,$B1289)+COUNTIF(G1258:I1275,$B1289&amp;" ~*")&gt;0)+(IFERROR(INDEX(Setup!$G$33:$G$40,MATCH(K1289,Setup!$B$33:$B$40,0)),0)=1)*(COUNTIF(K1258:M1275,$B1289)+COUNTIF(K1258:M1275,$B1289&amp;" ~*")&gt;0)+(IFERROR(INDEX(Setup!$G$33:$G$40,MATCH(O1289,Setup!$B$33:$B$40,0)),0)=1)*(COUNTIF(O1258:Q1275,$B1289)+COUNTIF(O1258:Q1275,$B1289&amp;" ~*")&gt;0)+(IFERROR(INDEX(Setup!$G$33:$G$40,MATCH(S1289,Setup!$B$33:$B$40,0)),0)=1)*(COUNTIF(S1258:U1275,$B1289)+COUNTIF(S1258:U1275,$B1289&amp;" ~*")&gt;0)+(IFERROR(INDEX(Setup!$G$33:$G$40,MATCH(W1289,Setup!$B$33:$B$40,0)),0)=1)*(COUNTIF(W1258:W1275,$B1289)+COUNTIF(W1258:W1275,$B1289&amp;" ~*")&gt;0)+(IFERROR(INDEX(Setup!$G$33:$G$40,MATCH(Y1289,Setup!$B$33:$B$40,0)),0)=1)*(COUNTIF(Y1258:Y1275,$B1289)+COUNTIF(Y1258:Y1275,$B1289&amp;" ~*")&gt;0))</f>
        <v/>
      </c>
    </row>
    <row r="1290" ht="15" customHeight="1">
      <c r="A1290" t="n">
        <v>26</v>
      </c>
      <c r="B1290" s="37">
        <f>IF(Setup!$B$19="","",Setup!$B$19)</f>
        <v/>
      </c>
      <c r="C1290" s="102" t="n"/>
      <c r="D1290" s="103" t="n"/>
      <c r="E1290" s="103" t="n"/>
      <c r="F1290" s="104" t="n"/>
      <c r="G1290" s="102" t="n"/>
      <c r="H1290" s="103" t="n"/>
      <c r="I1290" s="103" t="n"/>
      <c r="J1290" s="104" t="n"/>
      <c r="K1290" s="102" t="n"/>
      <c r="L1290" s="103" t="n"/>
      <c r="M1290" s="103" t="n"/>
      <c r="N1290" s="104" t="n"/>
      <c r="O1290" s="102" t="n"/>
      <c r="P1290" s="103" t="n"/>
      <c r="Q1290" s="103" t="n"/>
      <c r="R1290" s="104" t="n"/>
      <c r="S1290" s="102" t="n"/>
      <c r="T1290" s="103" t="n"/>
      <c r="U1290" s="103" t="n"/>
      <c r="V1290" s="104" t="n"/>
      <c r="W1290" s="102" t="n"/>
      <c r="X1290" s="104" t="n"/>
      <c r="Y1290" s="102" t="n"/>
      <c r="Z1290" s="104" t="n"/>
      <c r="AB1290" s="105">
        <f>IF($B1290="","",(COUNTIF(C1258:E1275,$B1290)+COUNTIF(C1258:E1275,$B1290&amp;" ~*")&gt;0)+(COUNTIF(G1258:I1275,$B1290)+COUNTIF(G1258:I1275,$B1290&amp;" ~*")&gt;0)+(COUNTIF(K1258:M1275,$B1290)+COUNTIF(K1258:M1275,$B1290&amp;" ~*")&gt;0)+(COUNTIF(O1258:Q1275,$B1290)+COUNTIF(O1258:Q1275,$B1290&amp;" ~*")&gt;0)+(COUNTIF(S1258:U1275,$B1290)+COUNTIF(S1258:U1275,$B1290&amp;" ~*")&gt;0)+(COUNTIF(W1258:W1275,$B1290)+COUNTIF(W1258:W1275,$B1290&amp;" ~*")&gt;0)+(COUNTIF(Y1258:Y1275,$B1290)+COUNTIF(Y1258:Y1275,$B1290&amp;" ~*")&gt;0))</f>
        <v/>
      </c>
      <c r="AC1290" s="38">
        <f>IF($B1290="","",(IFERROR(INDEX(Setup!$G$33:$G$40,MATCH(C1290,Setup!$B$33:$B$40,0)),0)=1)*(COUNTIF(C1258:E1275,$B1290)+COUNTIF(C1258:E1275,$B1290&amp;" ~*")&gt;0)+(IFERROR(INDEX(Setup!$G$33:$G$40,MATCH(G1290,Setup!$B$33:$B$40,0)),0)=1)*(COUNTIF(G1258:I1275,$B1290)+COUNTIF(G1258:I1275,$B1290&amp;" ~*")&gt;0)+(IFERROR(INDEX(Setup!$G$33:$G$40,MATCH(K1290,Setup!$B$33:$B$40,0)),0)=1)*(COUNTIF(K1258:M1275,$B1290)+COUNTIF(K1258:M1275,$B1290&amp;" ~*")&gt;0)+(IFERROR(INDEX(Setup!$G$33:$G$40,MATCH(O1290,Setup!$B$33:$B$40,0)),0)=1)*(COUNTIF(O1258:Q1275,$B1290)+COUNTIF(O1258:Q1275,$B1290&amp;" ~*")&gt;0)+(IFERROR(INDEX(Setup!$G$33:$G$40,MATCH(S1290,Setup!$B$33:$B$40,0)),0)=1)*(COUNTIF(S1258:U1275,$B1290)+COUNTIF(S1258:U1275,$B1290&amp;" ~*")&gt;0)+(IFERROR(INDEX(Setup!$G$33:$G$40,MATCH(W1290,Setup!$B$33:$B$40,0)),0)=1)*(COUNTIF(W1258:W1275,$B1290)+COUNTIF(W1258:W1275,$B1290&amp;" ~*")&gt;0)+(IFERROR(INDEX(Setup!$G$33:$G$40,MATCH(Y1290,Setup!$B$33:$B$40,0)),0)=1)*(COUNTIF(Y1258:Y1275,$B1290)+COUNTIF(Y1258:Y1275,$B1290&amp;" ~*")&gt;0))</f>
        <v/>
      </c>
    </row>
    <row r="1291" ht="15" customHeight="1">
      <c r="A1291" t="n">
        <v>26</v>
      </c>
      <c r="B1291" s="35">
        <f>IF(Setup!$B$20="","",Setup!$B$20)</f>
        <v/>
      </c>
      <c r="C1291" s="98" t="n"/>
      <c r="D1291" s="99" t="n"/>
      <c r="E1291" s="99" t="n"/>
      <c r="F1291" s="100" t="n"/>
      <c r="G1291" s="98" t="n"/>
      <c r="H1291" s="99" t="n"/>
      <c r="I1291" s="99" t="n"/>
      <c r="J1291" s="100" t="n"/>
      <c r="K1291" s="98" t="n"/>
      <c r="L1291" s="99" t="n"/>
      <c r="M1291" s="99" t="n"/>
      <c r="N1291" s="100" t="n"/>
      <c r="O1291" s="98" t="n"/>
      <c r="P1291" s="99" t="n"/>
      <c r="Q1291" s="99" t="n"/>
      <c r="R1291" s="100" t="n"/>
      <c r="S1291" s="98" t="n"/>
      <c r="T1291" s="99" t="n"/>
      <c r="U1291" s="99" t="n"/>
      <c r="V1291" s="100" t="n"/>
      <c r="W1291" s="98" t="n"/>
      <c r="X1291" s="100" t="n"/>
      <c r="Y1291" s="98" t="n"/>
      <c r="Z1291" s="100" t="n"/>
      <c r="AB1291" s="101">
        <f>IF($B1291="","",(COUNTIF(C1258:E1275,$B1291)+COUNTIF(C1258:E1275,$B1291&amp;" ~*")&gt;0)+(COUNTIF(G1258:I1275,$B1291)+COUNTIF(G1258:I1275,$B1291&amp;" ~*")&gt;0)+(COUNTIF(K1258:M1275,$B1291)+COUNTIF(K1258:M1275,$B1291&amp;" ~*")&gt;0)+(COUNTIF(O1258:Q1275,$B1291)+COUNTIF(O1258:Q1275,$B1291&amp;" ~*")&gt;0)+(COUNTIF(S1258:U1275,$B1291)+COUNTIF(S1258:U1275,$B1291&amp;" ~*")&gt;0)+(COUNTIF(W1258:W1275,$B1291)+COUNTIF(W1258:W1275,$B1291&amp;" ~*")&gt;0)+(COUNTIF(Y1258:Y1275,$B1291)+COUNTIF(Y1258:Y1275,$B1291&amp;" ~*")&gt;0))</f>
        <v/>
      </c>
      <c r="AC1291" s="36">
        <f>IF($B1291="","",(IFERROR(INDEX(Setup!$G$33:$G$40,MATCH(C1291,Setup!$B$33:$B$40,0)),0)=1)*(COUNTIF(C1258:E1275,$B1291)+COUNTIF(C1258:E1275,$B1291&amp;" ~*")&gt;0)+(IFERROR(INDEX(Setup!$G$33:$G$40,MATCH(G1291,Setup!$B$33:$B$40,0)),0)=1)*(COUNTIF(G1258:I1275,$B1291)+COUNTIF(G1258:I1275,$B1291&amp;" ~*")&gt;0)+(IFERROR(INDEX(Setup!$G$33:$G$40,MATCH(K1291,Setup!$B$33:$B$40,0)),0)=1)*(COUNTIF(K1258:M1275,$B1291)+COUNTIF(K1258:M1275,$B1291&amp;" ~*")&gt;0)+(IFERROR(INDEX(Setup!$G$33:$G$40,MATCH(O1291,Setup!$B$33:$B$40,0)),0)=1)*(COUNTIF(O1258:Q1275,$B1291)+COUNTIF(O1258:Q1275,$B1291&amp;" ~*")&gt;0)+(IFERROR(INDEX(Setup!$G$33:$G$40,MATCH(S1291,Setup!$B$33:$B$40,0)),0)=1)*(COUNTIF(S1258:U1275,$B1291)+COUNTIF(S1258:U1275,$B1291&amp;" ~*")&gt;0)+(IFERROR(INDEX(Setup!$G$33:$G$40,MATCH(W1291,Setup!$B$33:$B$40,0)),0)=1)*(COUNTIF(W1258:W1275,$B1291)+COUNTIF(W1258:W1275,$B1291&amp;" ~*")&gt;0)+(IFERROR(INDEX(Setup!$G$33:$G$40,MATCH(Y1291,Setup!$B$33:$B$40,0)),0)=1)*(COUNTIF(Y1258:Y1275,$B1291)+COUNTIF(Y1258:Y1275,$B1291&amp;" ~*")&gt;0))</f>
        <v/>
      </c>
    </row>
    <row r="1292" ht="15" customHeight="1">
      <c r="A1292" t="n">
        <v>26</v>
      </c>
      <c r="B1292" s="37">
        <f>IF(Setup!$B$21="","",Setup!$B$21)</f>
        <v/>
      </c>
      <c r="C1292" s="102" t="n"/>
      <c r="D1292" s="103" t="n"/>
      <c r="E1292" s="103" t="n"/>
      <c r="F1292" s="104" t="n"/>
      <c r="G1292" s="102" t="n"/>
      <c r="H1292" s="103" t="n"/>
      <c r="I1292" s="103" t="n"/>
      <c r="J1292" s="104" t="n"/>
      <c r="K1292" s="102" t="n"/>
      <c r="L1292" s="103" t="n"/>
      <c r="M1292" s="103" t="n"/>
      <c r="N1292" s="104" t="n"/>
      <c r="O1292" s="102" t="n"/>
      <c r="P1292" s="103" t="n"/>
      <c r="Q1292" s="103" t="n"/>
      <c r="R1292" s="104" t="n"/>
      <c r="S1292" s="102" t="n"/>
      <c r="T1292" s="103" t="n"/>
      <c r="U1292" s="103" t="n"/>
      <c r="V1292" s="104" t="n"/>
      <c r="W1292" s="102" t="n"/>
      <c r="X1292" s="104" t="n"/>
      <c r="Y1292" s="102" t="n"/>
      <c r="Z1292" s="104" t="n"/>
      <c r="AB1292" s="105">
        <f>IF($B1292="","",(COUNTIF(C1258:E1275,$B1292)+COUNTIF(C1258:E1275,$B1292&amp;" ~*")&gt;0)+(COUNTIF(G1258:I1275,$B1292)+COUNTIF(G1258:I1275,$B1292&amp;" ~*")&gt;0)+(COUNTIF(K1258:M1275,$B1292)+COUNTIF(K1258:M1275,$B1292&amp;" ~*")&gt;0)+(COUNTIF(O1258:Q1275,$B1292)+COUNTIF(O1258:Q1275,$B1292&amp;" ~*")&gt;0)+(COUNTIF(S1258:U1275,$B1292)+COUNTIF(S1258:U1275,$B1292&amp;" ~*")&gt;0)+(COUNTIF(W1258:W1275,$B1292)+COUNTIF(W1258:W1275,$B1292&amp;" ~*")&gt;0)+(COUNTIF(Y1258:Y1275,$B1292)+COUNTIF(Y1258:Y1275,$B1292&amp;" ~*")&gt;0))</f>
        <v/>
      </c>
      <c r="AC1292" s="38">
        <f>IF($B1292="","",(IFERROR(INDEX(Setup!$G$33:$G$40,MATCH(C1292,Setup!$B$33:$B$40,0)),0)=1)*(COUNTIF(C1258:E1275,$B1292)+COUNTIF(C1258:E1275,$B1292&amp;" ~*")&gt;0)+(IFERROR(INDEX(Setup!$G$33:$G$40,MATCH(G1292,Setup!$B$33:$B$40,0)),0)=1)*(COUNTIF(G1258:I1275,$B1292)+COUNTIF(G1258:I1275,$B1292&amp;" ~*")&gt;0)+(IFERROR(INDEX(Setup!$G$33:$G$40,MATCH(K1292,Setup!$B$33:$B$40,0)),0)=1)*(COUNTIF(K1258:M1275,$B1292)+COUNTIF(K1258:M1275,$B1292&amp;" ~*")&gt;0)+(IFERROR(INDEX(Setup!$G$33:$G$40,MATCH(O1292,Setup!$B$33:$B$40,0)),0)=1)*(COUNTIF(O1258:Q1275,$B1292)+COUNTIF(O1258:Q1275,$B1292&amp;" ~*")&gt;0)+(IFERROR(INDEX(Setup!$G$33:$G$40,MATCH(S1292,Setup!$B$33:$B$40,0)),0)=1)*(COUNTIF(S1258:U1275,$B1292)+COUNTIF(S1258:U1275,$B1292&amp;" ~*")&gt;0)+(IFERROR(INDEX(Setup!$G$33:$G$40,MATCH(W1292,Setup!$B$33:$B$40,0)),0)=1)*(COUNTIF(W1258:W1275,$B1292)+COUNTIF(W1258:W1275,$B1292&amp;" ~*")&gt;0)+(IFERROR(INDEX(Setup!$G$33:$G$40,MATCH(Y1292,Setup!$B$33:$B$40,0)),0)=1)*(COUNTIF(Y1258:Y1275,$B1292)+COUNTIF(Y1258:Y1275,$B1292&amp;" ~*")&gt;0))</f>
        <v/>
      </c>
    </row>
    <row r="1293" ht="15" customHeight="1">
      <c r="A1293" t="n">
        <v>26</v>
      </c>
      <c r="B1293" s="35">
        <f>IF(Setup!$B$22="","",Setup!$B$22)</f>
        <v/>
      </c>
      <c r="C1293" s="98" t="n"/>
      <c r="D1293" s="99" t="n"/>
      <c r="E1293" s="99" t="n"/>
      <c r="F1293" s="100" t="n"/>
      <c r="G1293" s="98" t="n"/>
      <c r="H1293" s="99" t="n"/>
      <c r="I1293" s="99" t="n"/>
      <c r="J1293" s="100" t="n"/>
      <c r="K1293" s="98" t="n"/>
      <c r="L1293" s="99" t="n"/>
      <c r="M1293" s="99" t="n"/>
      <c r="N1293" s="100" t="n"/>
      <c r="O1293" s="98" t="n"/>
      <c r="P1293" s="99" t="n"/>
      <c r="Q1293" s="99" t="n"/>
      <c r="R1293" s="100" t="n"/>
      <c r="S1293" s="98" t="n"/>
      <c r="T1293" s="99" t="n"/>
      <c r="U1293" s="99" t="n"/>
      <c r="V1293" s="100" t="n"/>
      <c r="W1293" s="98" t="n"/>
      <c r="X1293" s="100" t="n"/>
      <c r="Y1293" s="98" t="n"/>
      <c r="Z1293" s="100" t="n"/>
      <c r="AB1293" s="101">
        <f>IF($B1293="","",(COUNTIF(C1258:E1275,$B1293)+COUNTIF(C1258:E1275,$B1293&amp;" ~*")&gt;0)+(COUNTIF(G1258:I1275,$B1293)+COUNTIF(G1258:I1275,$B1293&amp;" ~*")&gt;0)+(COUNTIF(K1258:M1275,$B1293)+COUNTIF(K1258:M1275,$B1293&amp;" ~*")&gt;0)+(COUNTIF(O1258:Q1275,$B1293)+COUNTIF(O1258:Q1275,$B1293&amp;" ~*")&gt;0)+(COUNTIF(S1258:U1275,$B1293)+COUNTIF(S1258:U1275,$B1293&amp;" ~*")&gt;0)+(COUNTIF(W1258:W1275,$B1293)+COUNTIF(W1258:W1275,$B1293&amp;" ~*")&gt;0)+(COUNTIF(Y1258:Y1275,$B1293)+COUNTIF(Y1258:Y1275,$B1293&amp;" ~*")&gt;0))</f>
        <v/>
      </c>
      <c r="AC1293" s="36">
        <f>IF($B1293="","",(IFERROR(INDEX(Setup!$G$33:$G$40,MATCH(C1293,Setup!$B$33:$B$40,0)),0)=1)*(COUNTIF(C1258:E1275,$B1293)+COUNTIF(C1258:E1275,$B1293&amp;" ~*")&gt;0)+(IFERROR(INDEX(Setup!$G$33:$G$40,MATCH(G1293,Setup!$B$33:$B$40,0)),0)=1)*(COUNTIF(G1258:I1275,$B1293)+COUNTIF(G1258:I1275,$B1293&amp;" ~*")&gt;0)+(IFERROR(INDEX(Setup!$G$33:$G$40,MATCH(K1293,Setup!$B$33:$B$40,0)),0)=1)*(COUNTIF(K1258:M1275,$B1293)+COUNTIF(K1258:M1275,$B1293&amp;" ~*")&gt;0)+(IFERROR(INDEX(Setup!$G$33:$G$40,MATCH(O1293,Setup!$B$33:$B$40,0)),0)=1)*(COUNTIF(O1258:Q1275,$B1293)+COUNTIF(O1258:Q1275,$B1293&amp;" ~*")&gt;0)+(IFERROR(INDEX(Setup!$G$33:$G$40,MATCH(S1293,Setup!$B$33:$B$40,0)),0)=1)*(COUNTIF(S1258:U1275,$B1293)+COUNTIF(S1258:U1275,$B1293&amp;" ~*")&gt;0)+(IFERROR(INDEX(Setup!$G$33:$G$40,MATCH(W1293,Setup!$B$33:$B$40,0)),0)=1)*(COUNTIF(W1258:W1275,$B1293)+COUNTIF(W1258:W1275,$B1293&amp;" ~*")&gt;0)+(IFERROR(INDEX(Setup!$G$33:$G$40,MATCH(Y1293,Setup!$B$33:$B$40,0)),0)=1)*(COUNTIF(Y1258:Y1275,$B1293)+COUNTIF(Y1258:Y1275,$B1293&amp;" ~*")&gt;0))</f>
        <v/>
      </c>
    </row>
    <row r="1294" ht="15" customHeight="1">
      <c r="A1294" t="n">
        <v>26</v>
      </c>
      <c r="B1294" s="37">
        <f>IF(Setup!$B$23="","",Setup!$B$23)</f>
        <v/>
      </c>
      <c r="C1294" s="102" t="n"/>
      <c r="D1294" s="103" t="n"/>
      <c r="E1294" s="103" t="n"/>
      <c r="F1294" s="104" t="n"/>
      <c r="G1294" s="102" t="n"/>
      <c r="H1294" s="103" t="n"/>
      <c r="I1294" s="103" t="n"/>
      <c r="J1294" s="104" t="n"/>
      <c r="K1294" s="102" t="n"/>
      <c r="L1294" s="103" t="n"/>
      <c r="M1294" s="103" t="n"/>
      <c r="N1294" s="104" t="n"/>
      <c r="O1294" s="102" t="n"/>
      <c r="P1294" s="103" t="n"/>
      <c r="Q1294" s="103" t="n"/>
      <c r="R1294" s="104" t="n"/>
      <c r="S1294" s="102" t="n"/>
      <c r="T1294" s="103" t="n"/>
      <c r="U1294" s="103" t="n"/>
      <c r="V1294" s="104" t="n"/>
      <c r="W1294" s="102" t="n"/>
      <c r="X1294" s="104" t="n"/>
      <c r="Y1294" s="102" t="n"/>
      <c r="Z1294" s="104" t="n"/>
      <c r="AB1294" s="105">
        <f>IF($B1294="","",(COUNTIF(C1258:E1275,$B1294)+COUNTIF(C1258:E1275,$B1294&amp;" ~*")&gt;0)+(COUNTIF(G1258:I1275,$B1294)+COUNTIF(G1258:I1275,$B1294&amp;" ~*")&gt;0)+(COUNTIF(K1258:M1275,$B1294)+COUNTIF(K1258:M1275,$B1294&amp;" ~*")&gt;0)+(COUNTIF(O1258:Q1275,$B1294)+COUNTIF(O1258:Q1275,$B1294&amp;" ~*")&gt;0)+(COUNTIF(S1258:U1275,$B1294)+COUNTIF(S1258:U1275,$B1294&amp;" ~*")&gt;0)+(COUNTIF(W1258:W1275,$B1294)+COUNTIF(W1258:W1275,$B1294&amp;" ~*")&gt;0)+(COUNTIF(Y1258:Y1275,$B1294)+COUNTIF(Y1258:Y1275,$B1294&amp;" ~*")&gt;0))</f>
        <v/>
      </c>
      <c r="AC1294" s="38">
        <f>IF($B1294="","",(IFERROR(INDEX(Setup!$G$33:$G$40,MATCH(C1294,Setup!$B$33:$B$40,0)),0)=1)*(COUNTIF(C1258:E1275,$B1294)+COUNTIF(C1258:E1275,$B1294&amp;" ~*")&gt;0)+(IFERROR(INDEX(Setup!$G$33:$G$40,MATCH(G1294,Setup!$B$33:$B$40,0)),0)=1)*(COUNTIF(G1258:I1275,$B1294)+COUNTIF(G1258:I1275,$B1294&amp;" ~*")&gt;0)+(IFERROR(INDEX(Setup!$G$33:$G$40,MATCH(K1294,Setup!$B$33:$B$40,0)),0)=1)*(COUNTIF(K1258:M1275,$B1294)+COUNTIF(K1258:M1275,$B1294&amp;" ~*")&gt;0)+(IFERROR(INDEX(Setup!$G$33:$G$40,MATCH(O1294,Setup!$B$33:$B$40,0)),0)=1)*(COUNTIF(O1258:Q1275,$B1294)+COUNTIF(O1258:Q1275,$B1294&amp;" ~*")&gt;0)+(IFERROR(INDEX(Setup!$G$33:$G$40,MATCH(S1294,Setup!$B$33:$B$40,0)),0)=1)*(COUNTIF(S1258:U1275,$B1294)+COUNTIF(S1258:U1275,$B1294&amp;" ~*")&gt;0)+(IFERROR(INDEX(Setup!$G$33:$G$40,MATCH(W1294,Setup!$B$33:$B$40,0)),0)=1)*(COUNTIF(W1258:W1275,$B1294)+COUNTIF(W1258:W1275,$B1294&amp;" ~*")&gt;0)+(IFERROR(INDEX(Setup!$G$33:$G$40,MATCH(Y1294,Setup!$B$33:$B$40,0)),0)=1)*(COUNTIF(Y1258:Y1275,$B1294)+COUNTIF(Y1258:Y1275,$B1294&amp;" ~*")&gt;0))</f>
        <v/>
      </c>
    </row>
    <row r="1295" ht="15" customHeight="1">
      <c r="A1295" t="n">
        <v>26</v>
      </c>
      <c r="B1295" s="35">
        <f>IF(Setup!$B$24="","",Setup!$B$24)</f>
        <v/>
      </c>
      <c r="C1295" s="98" t="n"/>
      <c r="D1295" s="99" t="n"/>
      <c r="E1295" s="99" t="n"/>
      <c r="F1295" s="100" t="n"/>
      <c r="G1295" s="98" t="n"/>
      <c r="H1295" s="99" t="n"/>
      <c r="I1295" s="99" t="n"/>
      <c r="J1295" s="100" t="n"/>
      <c r="K1295" s="98" t="n"/>
      <c r="L1295" s="99" t="n"/>
      <c r="M1295" s="99" t="n"/>
      <c r="N1295" s="100" t="n"/>
      <c r="O1295" s="98" t="n"/>
      <c r="P1295" s="99" t="n"/>
      <c r="Q1295" s="99" t="n"/>
      <c r="R1295" s="100" t="n"/>
      <c r="S1295" s="98" t="n"/>
      <c r="T1295" s="99" t="n"/>
      <c r="U1295" s="99" t="n"/>
      <c r="V1295" s="100" t="n"/>
      <c r="W1295" s="98" t="n"/>
      <c r="X1295" s="100" t="n"/>
      <c r="Y1295" s="98" t="n"/>
      <c r="Z1295" s="100" t="n"/>
      <c r="AB1295" s="101">
        <f>IF($B1295="","",(COUNTIF(C1258:E1275,$B1295)+COUNTIF(C1258:E1275,$B1295&amp;" ~*")&gt;0)+(COUNTIF(G1258:I1275,$B1295)+COUNTIF(G1258:I1275,$B1295&amp;" ~*")&gt;0)+(COUNTIF(K1258:M1275,$B1295)+COUNTIF(K1258:M1275,$B1295&amp;" ~*")&gt;0)+(COUNTIF(O1258:Q1275,$B1295)+COUNTIF(O1258:Q1275,$B1295&amp;" ~*")&gt;0)+(COUNTIF(S1258:U1275,$B1295)+COUNTIF(S1258:U1275,$B1295&amp;" ~*")&gt;0)+(COUNTIF(W1258:W1275,$B1295)+COUNTIF(W1258:W1275,$B1295&amp;" ~*")&gt;0)+(COUNTIF(Y1258:Y1275,$B1295)+COUNTIF(Y1258:Y1275,$B1295&amp;" ~*")&gt;0))</f>
        <v/>
      </c>
      <c r="AC1295" s="36">
        <f>IF($B1295="","",(IFERROR(INDEX(Setup!$G$33:$G$40,MATCH(C1295,Setup!$B$33:$B$40,0)),0)=1)*(COUNTIF(C1258:E1275,$B1295)+COUNTIF(C1258:E1275,$B1295&amp;" ~*")&gt;0)+(IFERROR(INDEX(Setup!$G$33:$G$40,MATCH(G1295,Setup!$B$33:$B$40,0)),0)=1)*(COUNTIF(G1258:I1275,$B1295)+COUNTIF(G1258:I1275,$B1295&amp;" ~*")&gt;0)+(IFERROR(INDEX(Setup!$G$33:$G$40,MATCH(K1295,Setup!$B$33:$B$40,0)),0)=1)*(COUNTIF(K1258:M1275,$B1295)+COUNTIF(K1258:M1275,$B1295&amp;" ~*")&gt;0)+(IFERROR(INDEX(Setup!$G$33:$G$40,MATCH(O1295,Setup!$B$33:$B$40,0)),0)=1)*(COUNTIF(O1258:Q1275,$B1295)+COUNTIF(O1258:Q1275,$B1295&amp;" ~*")&gt;0)+(IFERROR(INDEX(Setup!$G$33:$G$40,MATCH(S1295,Setup!$B$33:$B$40,0)),0)=1)*(COUNTIF(S1258:U1275,$B1295)+COUNTIF(S1258:U1275,$B1295&amp;" ~*")&gt;0)+(IFERROR(INDEX(Setup!$G$33:$G$40,MATCH(W1295,Setup!$B$33:$B$40,0)),0)=1)*(COUNTIF(W1258:W1275,$B1295)+COUNTIF(W1258:W1275,$B1295&amp;" ~*")&gt;0)+(IFERROR(INDEX(Setup!$G$33:$G$40,MATCH(Y1295,Setup!$B$33:$B$40,0)),0)=1)*(COUNTIF(Y1258:Y1275,$B1295)+COUNTIF(Y1258:Y1275,$B1295&amp;" ~*")&gt;0))</f>
        <v/>
      </c>
    </row>
    <row r="1296" ht="15" customHeight="1">
      <c r="A1296" t="n">
        <v>26</v>
      </c>
      <c r="B1296" s="37">
        <f>IF(Setup!$B$25="","",Setup!$B$25)</f>
        <v/>
      </c>
      <c r="C1296" s="102" t="n"/>
      <c r="D1296" s="103" t="n"/>
      <c r="E1296" s="103" t="n"/>
      <c r="F1296" s="104" t="n"/>
      <c r="G1296" s="102" t="n"/>
      <c r="H1296" s="103" t="n"/>
      <c r="I1296" s="103" t="n"/>
      <c r="J1296" s="104" t="n"/>
      <c r="K1296" s="102" t="n"/>
      <c r="L1296" s="103" t="n"/>
      <c r="M1296" s="103" t="n"/>
      <c r="N1296" s="104" t="n"/>
      <c r="O1296" s="102" t="n"/>
      <c r="P1296" s="103" t="n"/>
      <c r="Q1296" s="103" t="n"/>
      <c r="R1296" s="104" t="n"/>
      <c r="S1296" s="102" t="n"/>
      <c r="T1296" s="103" t="n"/>
      <c r="U1296" s="103" t="n"/>
      <c r="V1296" s="104" t="n"/>
      <c r="W1296" s="102" t="n"/>
      <c r="X1296" s="104" t="n"/>
      <c r="Y1296" s="102" t="n"/>
      <c r="Z1296" s="104" t="n"/>
      <c r="AB1296" s="105">
        <f>IF($B1296="","",(COUNTIF(C1258:E1275,$B1296)+COUNTIF(C1258:E1275,$B1296&amp;" ~*")&gt;0)+(COUNTIF(G1258:I1275,$B1296)+COUNTIF(G1258:I1275,$B1296&amp;" ~*")&gt;0)+(COUNTIF(K1258:M1275,$B1296)+COUNTIF(K1258:M1275,$B1296&amp;" ~*")&gt;0)+(COUNTIF(O1258:Q1275,$B1296)+COUNTIF(O1258:Q1275,$B1296&amp;" ~*")&gt;0)+(COUNTIF(S1258:U1275,$B1296)+COUNTIF(S1258:U1275,$B1296&amp;" ~*")&gt;0)+(COUNTIF(W1258:W1275,$B1296)+COUNTIF(W1258:W1275,$B1296&amp;" ~*")&gt;0)+(COUNTIF(Y1258:Y1275,$B1296)+COUNTIF(Y1258:Y1275,$B1296&amp;" ~*")&gt;0))</f>
        <v/>
      </c>
      <c r="AC1296" s="38">
        <f>IF($B1296="","",(IFERROR(INDEX(Setup!$G$33:$G$40,MATCH(C1296,Setup!$B$33:$B$40,0)),0)=1)*(COUNTIF(C1258:E1275,$B1296)+COUNTIF(C1258:E1275,$B1296&amp;" ~*")&gt;0)+(IFERROR(INDEX(Setup!$G$33:$G$40,MATCH(G1296,Setup!$B$33:$B$40,0)),0)=1)*(COUNTIF(G1258:I1275,$B1296)+COUNTIF(G1258:I1275,$B1296&amp;" ~*")&gt;0)+(IFERROR(INDEX(Setup!$G$33:$G$40,MATCH(K1296,Setup!$B$33:$B$40,0)),0)=1)*(COUNTIF(K1258:M1275,$B1296)+COUNTIF(K1258:M1275,$B1296&amp;" ~*")&gt;0)+(IFERROR(INDEX(Setup!$G$33:$G$40,MATCH(O1296,Setup!$B$33:$B$40,0)),0)=1)*(COUNTIF(O1258:Q1275,$B1296)+COUNTIF(O1258:Q1275,$B1296&amp;" ~*")&gt;0)+(IFERROR(INDEX(Setup!$G$33:$G$40,MATCH(S1296,Setup!$B$33:$B$40,0)),0)=1)*(COUNTIF(S1258:U1275,$B1296)+COUNTIF(S1258:U1275,$B1296&amp;" ~*")&gt;0)+(IFERROR(INDEX(Setup!$G$33:$G$40,MATCH(W1296,Setup!$B$33:$B$40,0)),0)=1)*(COUNTIF(W1258:W1275,$B1296)+COUNTIF(W1258:W1275,$B1296&amp;" ~*")&gt;0)+(IFERROR(INDEX(Setup!$G$33:$G$40,MATCH(Y1296,Setup!$B$33:$B$40,0)),0)=1)*(COUNTIF(Y1258:Y1275,$B1296)+COUNTIF(Y1258:Y1275,$B1296&amp;" ~*")&gt;0))</f>
        <v/>
      </c>
    </row>
    <row r="1297" ht="15" customHeight="1">
      <c r="A1297" t="n">
        <v>26</v>
      </c>
      <c r="B1297" s="35">
        <f>IF(Setup!$B$26="","",Setup!$B$26)</f>
        <v/>
      </c>
      <c r="C1297" s="98" t="n"/>
      <c r="D1297" s="99" t="n"/>
      <c r="E1297" s="99" t="n"/>
      <c r="F1297" s="100" t="n"/>
      <c r="G1297" s="98" t="n"/>
      <c r="H1297" s="99" t="n"/>
      <c r="I1297" s="99" t="n"/>
      <c r="J1297" s="100" t="n"/>
      <c r="K1297" s="98" t="n"/>
      <c r="L1297" s="99" t="n"/>
      <c r="M1297" s="99" t="n"/>
      <c r="N1297" s="100" t="n"/>
      <c r="O1297" s="98" t="n"/>
      <c r="P1297" s="99" t="n"/>
      <c r="Q1297" s="99" t="n"/>
      <c r="R1297" s="100" t="n"/>
      <c r="S1297" s="98" t="n"/>
      <c r="T1297" s="99" t="n"/>
      <c r="U1297" s="99" t="n"/>
      <c r="V1297" s="100" t="n"/>
      <c r="W1297" s="98" t="n"/>
      <c r="X1297" s="100" t="n"/>
      <c r="Y1297" s="98" t="n"/>
      <c r="Z1297" s="100" t="n"/>
      <c r="AB1297" s="101">
        <f>IF($B1297="","",(COUNTIF(C1258:E1275,$B1297)+COUNTIF(C1258:E1275,$B1297&amp;" ~*")&gt;0)+(COUNTIF(G1258:I1275,$B1297)+COUNTIF(G1258:I1275,$B1297&amp;" ~*")&gt;0)+(COUNTIF(K1258:M1275,$B1297)+COUNTIF(K1258:M1275,$B1297&amp;" ~*")&gt;0)+(COUNTIF(O1258:Q1275,$B1297)+COUNTIF(O1258:Q1275,$B1297&amp;" ~*")&gt;0)+(COUNTIF(S1258:U1275,$B1297)+COUNTIF(S1258:U1275,$B1297&amp;" ~*")&gt;0)+(COUNTIF(W1258:W1275,$B1297)+COUNTIF(W1258:W1275,$B1297&amp;" ~*")&gt;0)+(COUNTIF(Y1258:Y1275,$B1297)+COUNTIF(Y1258:Y1275,$B1297&amp;" ~*")&gt;0))</f>
        <v/>
      </c>
      <c r="AC1297" s="36">
        <f>IF($B1297="","",(IFERROR(INDEX(Setup!$G$33:$G$40,MATCH(C1297,Setup!$B$33:$B$40,0)),0)=1)*(COUNTIF(C1258:E1275,$B1297)+COUNTIF(C1258:E1275,$B1297&amp;" ~*")&gt;0)+(IFERROR(INDEX(Setup!$G$33:$G$40,MATCH(G1297,Setup!$B$33:$B$40,0)),0)=1)*(COUNTIF(G1258:I1275,$B1297)+COUNTIF(G1258:I1275,$B1297&amp;" ~*")&gt;0)+(IFERROR(INDEX(Setup!$G$33:$G$40,MATCH(K1297,Setup!$B$33:$B$40,0)),0)=1)*(COUNTIF(K1258:M1275,$B1297)+COUNTIF(K1258:M1275,$B1297&amp;" ~*")&gt;0)+(IFERROR(INDEX(Setup!$G$33:$G$40,MATCH(O1297,Setup!$B$33:$B$40,0)),0)=1)*(COUNTIF(O1258:Q1275,$B1297)+COUNTIF(O1258:Q1275,$B1297&amp;" ~*")&gt;0)+(IFERROR(INDEX(Setup!$G$33:$G$40,MATCH(S1297,Setup!$B$33:$B$40,0)),0)=1)*(COUNTIF(S1258:U1275,$B1297)+COUNTIF(S1258:U1275,$B1297&amp;" ~*")&gt;0)+(IFERROR(INDEX(Setup!$G$33:$G$40,MATCH(W1297,Setup!$B$33:$B$40,0)),0)=1)*(COUNTIF(W1258:W1275,$B1297)+COUNTIF(W1258:W1275,$B1297&amp;" ~*")&gt;0)+(IFERROR(INDEX(Setup!$G$33:$G$40,MATCH(Y1297,Setup!$B$33:$B$40,0)),0)=1)*(COUNTIF(Y1258:Y1275,$B1297)+COUNTIF(Y1258:Y1275,$B1297&amp;" ~*")&gt;0))</f>
        <v/>
      </c>
    </row>
    <row r="1298" ht="15" customHeight="1">
      <c r="A1298" t="n">
        <v>26</v>
      </c>
      <c r="B1298" s="37">
        <f>IF(Setup!$B$27="","",Setup!$B$27)</f>
        <v/>
      </c>
      <c r="C1298" s="102" t="n"/>
      <c r="D1298" s="103" t="n"/>
      <c r="E1298" s="103" t="n"/>
      <c r="F1298" s="104" t="n"/>
      <c r="G1298" s="102" t="n"/>
      <c r="H1298" s="103" t="n"/>
      <c r="I1298" s="103" t="n"/>
      <c r="J1298" s="104" t="n"/>
      <c r="K1298" s="102" t="n"/>
      <c r="L1298" s="103" t="n"/>
      <c r="M1298" s="103" t="n"/>
      <c r="N1298" s="104" t="n"/>
      <c r="O1298" s="102" t="n"/>
      <c r="P1298" s="103" t="n"/>
      <c r="Q1298" s="103" t="n"/>
      <c r="R1298" s="104" t="n"/>
      <c r="S1298" s="102" t="n"/>
      <c r="T1298" s="103" t="n"/>
      <c r="U1298" s="103" t="n"/>
      <c r="V1298" s="104" t="n"/>
      <c r="W1298" s="102" t="n"/>
      <c r="X1298" s="104" t="n"/>
      <c r="Y1298" s="102" t="n"/>
      <c r="Z1298" s="104" t="n"/>
      <c r="AB1298" s="105">
        <f>IF($B1298="","",(COUNTIF(C1258:E1275,$B1298)+COUNTIF(C1258:E1275,$B1298&amp;" ~*")&gt;0)+(COUNTIF(G1258:I1275,$B1298)+COUNTIF(G1258:I1275,$B1298&amp;" ~*")&gt;0)+(COUNTIF(K1258:M1275,$B1298)+COUNTIF(K1258:M1275,$B1298&amp;" ~*")&gt;0)+(COUNTIF(O1258:Q1275,$B1298)+COUNTIF(O1258:Q1275,$B1298&amp;" ~*")&gt;0)+(COUNTIF(S1258:U1275,$B1298)+COUNTIF(S1258:U1275,$B1298&amp;" ~*")&gt;0)+(COUNTIF(W1258:W1275,$B1298)+COUNTIF(W1258:W1275,$B1298&amp;" ~*")&gt;0)+(COUNTIF(Y1258:Y1275,$B1298)+COUNTIF(Y1258:Y1275,$B1298&amp;" ~*")&gt;0))</f>
        <v/>
      </c>
      <c r="AC1298" s="38">
        <f>IF($B1298="","",(IFERROR(INDEX(Setup!$G$33:$G$40,MATCH(C1298,Setup!$B$33:$B$40,0)),0)=1)*(COUNTIF(C1258:E1275,$B1298)+COUNTIF(C1258:E1275,$B1298&amp;" ~*")&gt;0)+(IFERROR(INDEX(Setup!$G$33:$G$40,MATCH(G1298,Setup!$B$33:$B$40,0)),0)=1)*(COUNTIF(G1258:I1275,$B1298)+COUNTIF(G1258:I1275,$B1298&amp;" ~*")&gt;0)+(IFERROR(INDEX(Setup!$G$33:$G$40,MATCH(K1298,Setup!$B$33:$B$40,0)),0)=1)*(COUNTIF(K1258:M1275,$B1298)+COUNTIF(K1258:M1275,$B1298&amp;" ~*")&gt;0)+(IFERROR(INDEX(Setup!$G$33:$G$40,MATCH(O1298,Setup!$B$33:$B$40,0)),0)=1)*(COUNTIF(O1258:Q1275,$B1298)+COUNTIF(O1258:Q1275,$B1298&amp;" ~*")&gt;0)+(IFERROR(INDEX(Setup!$G$33:$G$40,MATCH(S1298,Setup!$B$33:$B$40,0)),0)=1)*(COUNTIF(S1258:U1275,$B1298)+COUNTIF(S1258:U1275,$B1298&amp;" ~*")&gt;0)+(IFERROR(INDEX(Setup!$G$33:$G$40,MATCH(W1298,Setup!$B$33:$B$40,0)),0)=1)*(COUNTIF(W1258:W1275,$B1298)+COUNTIF(W1258:W1275,$B1298&amp;" ~*")&gt;0)+(IFERROR(INDEX(Setup!$G$33:$G$40,MATCH(Y1298,Setup!$B$33:$B$40,0)),0)=1)*(COUNTIF(Y1258:Y1275,$B1298)+COUNTIF(Y1258:Y1275,$B1298&amp;" ~*")&gt;0))</f>
        <v/>
      </c>
    </row>
    <row r="1299" ht="15" customHeight="1">
      <c r="A1299" t="n">
        <v>26</v>
      </c>
      <c r="B1299" s="35">
        <f>IF(Setup!$B$28="","",Setup!$B$28)</f>
        <v/>
      </c>
      <c r="C1299" s="98" t="n"/>
      <c r="D1299" s="99" t="n"/>
      <c r="E1299" s="99" t="n"/>
      <c r="F1299" s="100" t="n"/>
      <c r="G1299" s="98" t="n"/>
      <c r="H1299" s="99" t="n"/>
      <c r="I1299" s="99" t="n"/>
      <c r="J1299" s="100" t="n"/>
      <c r="K1299" s="98" t="n"/>
      <c r="L1299" s="99" t="n"/>
      <c r="M1299" s="99" t="n"/>
      <c r="N1299" s="100" t="n"/>
      <c r="O1299" s="98" t="n"/>
      <c r="P1299" s="99" t="n"/>
      <c r="Q1299" s="99" t="n"/>
      <c r="R1299" s="100" t="n"/>
      <c r="S1299" s="98" t="n"/>
      <c r="T1299" s="99" t="n"/>
      <c r="U1299" s="99" t="n"/>
      <c r="V1299" s="100" t="n"/>
      <c r="W1299" s="98" t="n"/>
      <c r="X1299" s="100" t="n"/>
      <c r="Y1299" s="98" t="n"/>
      <c r="Z1299" s="100" t="n"/>
      <c r="AB1299" s="101">
        <f>IF($B1299="","",(COUNTIF(C1258:E1275,$B1299)+COUNTIF(C1258:E1275,$B1299&amp;" ~*")&gt;0)+(COUNTIF(G1258:I1275,$B1299)+COUNTIF(G1258:I1275,$B1299&amp;" ~*")&gt;0)+(COUNTIF(K1258:M1275,$B1299)+COUNTIF(K1258:M1275,$B1299&amp;" ~*")&gt;0)+(COUNTIF(O1258:Q1275,$B1299)+COUNTIF(O1258:Q1275,$B1299&amp;" ~*")&gt;0)+(COUNTIF(S1258:U1275,$B1299)+COUNTIF(S1258:U1275,$B1299&amp;" ~*")&gt;0)+(COUNTIF(W1258:W1275,$B1299)+COUNTIF(W1258:W1275,$B1299&amp;" ~*")&gt;0)+(COUNTIF(Y1258:Y1275,$B1299)+COUNTIF(Y1258:Y1275,$B1299&amp;" ~*")&gt;0))</f>
        <v/>
      </c>
      <c r="AC1299" s="36">
        <f>IF($B1299="","",(IFERROR(INDEX(Setup!$G$33:$G$40,MATCH(C1299,Setup!$B$33:$B$40,0)),0)=1)*(COUNTIF(C1258:E1275,$B1299)+COUNTIF(C1258:E1275,$B1299&amp;" ~*")&gt;0)+(IFERROR(INDEX(Setup!$G$33:$G$40,MATCH(G1299,Setup!$B$33:$B$40,0)),0)=1)*(COUNTIF(G1258:I1275,$B1299)+COUNTIF(G1258:I1275,$B1299&amp;" ~*")&gt;0)+(IFERROR(INDEX(Setup!$G$33:$G$40,MATCH(K1299,Setup!$B$33:$B$40,0)),0)=1)*(COUNTIF(K1258:M1275,$B1299)+COUNTIF(K1258:M1275,$B1299&amp;" ~*")&gt;0)+(IFERROR(INDEX(Setup!$G$33:$G$40,MATCH(O1299,Setup!$B$33:$B$40,0)),0)=1)*(COUNTIF(O1258:Q1275,$B1299)+COUNTIF(O1258:Q1275,$B1299&amp;" ~*")&gt;0)+(IFERROR(INDEX(Setup!$G$33:$G$40,MATCH(S1299,Setup!$B$33:$B$40,0)),0)=1)*(COUNTIF(S1258:U1275,$B1299)+COUNTIF(S1258:U1275,$B1299&amp;" ~*")&gt;0)+(IFERROR(INDEX(Setup!$G$33:$G$40,MATCH(W1299,Setup!$B$33:$B$40,0)),0)=1)*(COUNTIF(W1258:W1275,$B1299)+COUNTIF(W1258:W1275,$B1299&amp;" ~*")&gt;0)+(IFERROR(INDEX(Setup!$G$33:$G$40,MATCH(Y1299,Setup!$B$33:$B$40,0)),0)=1)*(COUNTIF(Y1258:Y1275,$B1299)+COUNTIF(Y1258:Y1275,$B1299&amp;" ~*")&gt;0))</f>
        <v/>
      </c>
    </row>
    <row r="1300" ht="15" customHeight="1">
      <c r="A1300" t="n">
        <v>26</v>
      </c>
      <c r="B1300" s="37">
        <f>IF(Setup!$B$29="","",Setup!$B$29)</f>
        <v/>
      </c>
      <c r="C1300" s="102" t="n"/>
      <c r="D1300" s="103" t="n"/>
      <c r="E1300" s="103" t="n"/>
      <c r="F1300" s="104" t="n"/>
      <c r="G1300" s="102" t="n"/>
      <c r="H1300" s="103" t="n"/>
      <c r="I1300" s="103" t="n"/>
      <c r="J1300" s="104" t="n"/>
      <c r="K1300" s="102" t="n"/>
      <c r="L1300" s="103" t="n"/>
      <c r="M1300" s="103" t="n"/>
      <c r="N1300" s="104" t="n"/>
      <c r="O1300" s="102" t="n"/>
      <c r="P1300" s="103" t="n"/>
      <c r="Q1300" s="103" t="n"/>
      <c r="R1300" s="104" t="n"/>
      <c r="S1300" s="102" t="n"/>
      <c r="T1300" s="103" t="n"/>
      <c r="U1300" s="103" t="n"/>
      <c r="V1300" s="104" t="n"/>
      <c r="W1300" s="102" t="n"/>
      <c r="X1300" s="104" t="n"/>
      <c r="Y1300" s="102" t="n"/>
      <c r="Z1300" s="104" t="n"/>
      <c r="AB1300" s="105">
        <f>IF($B1300="","",(COUNTIF(C1258:E1275,$B1300)+COUNTIF(C1258:E1275,$B1300&amp;" ~*")&gt;0)+(COUNTIF(G1258:I1275,$B1300)+COUNTIF(G1258:I1275,$B1300&amp;" ~*")&gt;0)+(COUNTIF(K1258:M1275,$B1300)+COUNTIF(K1258:M1275,$B1300&amp;" ~*")&gt;0)+(COUNTIF(O1258:Q1275,$B1300)+COUNTIF(O1258:Q1275,$B1300&amp;" ~*")&gt;0)+(COUNTIF(S1258:U1275,$B1300)+COUNTIF(S1258:U1275,$B1300&amp;" ~*")&gt;0)+(COUNTIF(W1258:W1275,$B1300)+COUNTIF(W1258:W1275,$B1300&amp;" ~*")&gt;0)+(COUNTIF(Y1258:Y1275,$B1300)+COUNTIF(Y1258:Y1275,$B1300&amp;" ~*")&gt;0))</f>
        <v/>
      </c>
      <c r="AC1300" s="38">
        <f>IF($B1300="","",(IFERROR(INDEX(Setup!$G$33:$G$40,MATCH(C1300,Setup!$B$33:$B$40,0)),0)=1)*(COUNTIF(C1258:E1275,$B1300)+COUNTIF(C1258:E1275,$B1300&amp;" ~*")&gt;0)+(IFERROR(INDEX(Setup!$G$33:$G$40,MATCH(G1300,Setup!$B$33:$B$40,0)),0)=1)*(COUNTIF(G1258:I1275,$B1300)+COUNTIF(G1258:I1275,$B1300&amp;" ~*")&gt;0)+(IFERROR(INDEX(Setup!$G$33:$G$40,MATCH(K1300,Setup!$B$33:$B$40,0)),0)=1)*(COUNTIF(K1258:M1275,$B1300)+COUNTIF(K1258:M1275,$B1300&amp;" ~*")&gt;0)+(IFERROR(INDEX(Setup!$G$33:$G$40,MATCH(O1300,Setup!$B$33:$B$40,0)),0)=1)*(COUNTIF(O1258:Q1275,$B1300)+COUNTIF(O1258:Q1275,$B1300&amp;" ~*")&gt;0)+(IFERROR(INDEX(Setup!$G$33:$G$40,MATCH(S1300,Setup!$B$33:$B$40,0)),0)=1)*(COUNTIF(S1258:U1275,$B1300)+COUNTIF(S1258:U1275,$B1300&amp;" ~*")&gt;0)+(IFERROR(INDEX(Setup!$G$33:$G$40,MATCH(W1300,Setup!$B$33:$B$40,0)),0)=1)*(COUNTIF(W1258:W1275,$B1300)+COUNTIF(W1258:W1275,$B1300&amp;" ~*")&gt;0)+(IFERROR(INDEX(Setup!$G$33:$G$40,MATCH(Y1300,Setup!$B$33:$B$40,0)),0)=1)*(COUNTIF(Y1258:Y1275,$B1300)+COUNTIF(Y1258:Y1275,$B1300&amp;" ~*")&gt;0))</f>
        <v/>
      </c>
    </row>
    <row r="1301" ht="16" customHeight="1">
      <c r="A1301" t="n">
        <v>26</v>
      </c>
      <c r="B1301" s="106" t="inlineStr">
        <is>
          <t>Available people</t>
        </is>
      </c>
      <c r="C1301" s="107">
        <f>COUNTIFS(Setup!$E$6:$E$29,"Y",Setup!$B$6:$B$29,"?*")-SUMPRODUCT(COUNTIF(C1277:C1300,Setup!$F$33:$F$40))</f>
        <v/>
      </c>
      <c r="D1301" s="107" t="n"/>
      <c r="E1301" s="107" t="n"/>
      <c r="F1301" s="107" t="n"/>
      <c r="G1301" s="107">
        <f>COUNTIFS(Setup!$E$6:$E$29,"Y",Setup!$B$6:$B$29,"?*")-SUMPRODUCT(COUNTIF(G1277:G1300,Setup!$F$33:$F$40))</f>
        <v/>
      </c>
      <c r="H1301" s="107" t="n"/>
      <c r="I1301" s="107" t="n"/>
      <c r="J1301" s="107" t="n"/>
      <c r="K1301" s="107">
        <f>COUNTIFS(Setup!$E$6:$E$29,"Y",Setup!$B$6:$B$29,"?*")-SUMPRODUCT(COUNTIF(K1277:K1300,Setup!$F$33:$F$40))</f>
        <v/>
      </c>
      <c r="L1301" s="107" t="n"/>
      <c r="M1301" s="107" t="n"/>
      <c r="N1301" s="107" t="n"/>
      <c r="O1301" s="107">
        <f>COUNTIFS(Setup!$E$6:$E$29,"Y",Setup!$B$6:$B$29,"?*")-SUMPRODUCT(COUNTIF(O1277:O1300,Setup!$F$33:$F$40))</f>
        <v/>
      </c>
      <c r="P1301" s="107" t="n"/>
      <c r="Q1301" s="107" t="n"/>
      <c r="R1301" s="107" t="n"/>
      <c r="S1301" s="107">
        <f>COUNTIFS(Setup!$E$6:$E$29,"Y",Setup!$B$6:$B$29,"?*")-SUMPRODUCT(COUNTIF(S1277:S1300,Setup!$F$33:$F$40))</f>
        <v/>
      </c>
      <c r="T1301" s="107" t="n"/>
      <c r="U1301" s="107" t="n"/>
      <c r="V1301" s="107" t="n"/>
      <c r="W1301" s="107">
        <f>COUNTIFS(Setup!$E$6:$E$29,"Y",Setup!$B$6:$B$29,"?*")-SUMPRODUCT(COUNTIF(W1277:W1300,Setup!$F$33:$F$40))</f>
        <v/>
      </c>
      <c r="X1301" s="107" t="n"/>
      <c r="Y1301" s="107">
        <f>COUNTIFS(Setup!$E$6:$E$29,"Y",Setup!$B$6:$B$29,"?*")-SUMPRODUCT(COUNTIF(Y1277:Y1300,Setup!$F$33:$F$40))</f>
        <v/>
      </c>
      <c r="Z1301" s="107" t="n"/>
      <c r="AB1301" s="108">
        <f>SUM(AB1277:AB1300)</f>
        <v/>
      </c>
      <c r="AC1301" s="109">
        <f>SUM(AC1277:AC1300)</f>
        <v/>
      </c>
    </row>
    <row r="1302" ht="30" customHeight="1">
      <c r="A1302" t="n">
        <v>26</v>
      </c>
      <c r="B1302" s="110" t="inlineStr">
        <is>
          <t>Week notes</t>
        </is>
      </c>
      <c r="C1302" s="111" t="n"/>
      <c r="D1302" s="112" t="n"/>
      <c r="E1302" s="112" t="n"/>
      <c r="F1302" s="112" t="n"/>
      <c r="G1302" s="112" t="n"/>
      <c r="H1302" s="112" t="n"/>
      <c r="I1302" s="112" t="n"/>
      <c r="J1302" s="112" t="n"/>
      <c r="K1302" s="112" t="n"/>
      <c r="L1302" s="112" t="n"/>
      <c r="M1302" s="112" t="n"/>
      <c r="N1302" s="112" t="n"/>
      <c r="O1302" s="112" t="n"/>
      <c r="P1302" s="112" t="n"/>
      <c r="Q1302" s="112" t="n"/>
      <c r="R1302" s="112" t="n"/>
      <c r="S1302" s="112" t="n"/>
      <c r="T1302" s="112" t="n"/>
      <c r="U1302" s="112" t="n"/>
      <c r="V1302" s="112" t="n"/>
      <c r="W1302" s="112" t="n"/>
      <c r="X1302" s="112" t="n"/>
      <c r="Y1302" s="112" t="n"/>
      <c r="Z1302" s="113" t="n"/>
    </row>
    <row r="1303" ht="8" customHeight="1">
      <c r="A1303" t="n">
        <v>26</v>
      </c>
    </row>
    <row r="1304" ht="8" customHeight="1">
      <c r="A1304" t="n">
        <v>26</v>
      </c>
    </row>
    <row r="1305" ht="24" customHeight="1">
      <c r="A1305" t="n">
        <v>27</v>
      </c>
      <c r="B1305" s="73">
        <f>"WEEK 27     "&amp;TEXT(C1306,"ddd d mmm")&amp;"  –  "&amp;TEXT(C1306+6,"ddd d mmm yyyy")</f>
        <v/>
      </c>
      <c r="S1305" s="74">
        <f>IF(TODAY()&lt;C1306,"FUTURE",IF(TODAY()&gt;C1306+6,"PAST","THIS WEEK"))</f>
        <v/>
      </c>
      <c r="W1305" s="75">
        <f>IF(AND(Engine!$B$8=$AC$3,Engine!$B$9=$A1305),"◀ ACTIVE WEEK","")</f>
        <v/>
      </c>
      <c r="AA1305" s="76" t="n"/>
      <c r="AB1305" s="77" t="inlineStr">
        <is>
          <t>◀ Prev</t>
        </is>
      </c>
      <c r="AC1305" s="77" t="inlineStr">
        <is>
          <t>Next ▶</t>
        </is>
      </c>
    </row>
    <row r="1306" ht="18" customHeight="1">
      <c r="A1306" t="n">
        <v>27</v>
      </c>
      <c r="B1306" s="78" t="inlineStr">
        <is>
          <t>DUTY</t>
        </is>
      </c>
      <c r="C1306" s="79">
        <f>$AC$2+7*($A1306-1)</f>
        <v/>
      </c>
      <c r="D1306" s="80" t="n"/>
      <c r="E1306" s="80" t="n"/>
      <c r="F1306" s="81" t="n"/>
      <c r="G1306" s="79">
        <f>C1306+1</f>
        <v/>
      </c>
      <c r="H1306" s="80" t="n"/>
      <c r="I1306" s="80" t="n"/>
      <c r="J1306" s="81" t="n"/>
      <c r="K1306" s="79">
        <f>C1306+2</f>
        <v/>
      </c>
      <c r="L1306" s="80" t="n"/>
      <c r="M1306" s="80" t="n"/>
      <c r="N1306" s="81" t="n"/>
      <c r="O1306" s="79">
        <f>C1306+3</f>
        <v/>
      </c>
      <c r="P1306" s="80" t="n"/>
      <c r="Q1306" s="80" t="n"/>
      <c r="R1306" s="81" t="n"/>
      <c r="S1306" s="79">
        <f>C1306+4</f>
        <v/>
      </c>
      <c r="T1306" s="80" t="n"/>
      <c r="U1306" s="80" t="n"/>
      <c r="V1306" s="81" t="n"/>
      <c r="W1306" s="82">
        <f>C1306+5</f>
        <v/>
      </c>
      <c r="X1306" s="83" t="n"/>
      <c r="Y1306" s="82">
        <f>C1306+6</f>
        <v/>
      </c>
      <c r="Z1306" s="83" t="n"/>
      <c r="AB1306" s="72" t="inlineStr">
        <is>
          <t>Gaps</t>
        </is>
      </c>
      <c r="AC1306" s="72" t="inlineStr">
        <is>
          <t>Cover</t>
        </is>
      </c>
    </row>
    <row r="1307" ht="14" customHeight="1">
      <c r="A1307" t="n">
        <v>27</v>
      </c>
      <c r="B1307" s="84" t="inlineStr">
        <is>
          <t>(from Setup)</t>
        </is>
      </c>
      <c r="C1307" s="85" t="inlineStr">
        <is>
          <t>1</t>
        </is>
      </c>
      <c r="D1307" s="85" t="inlineStr">
        <is>
          <t>2</t>
        </is>
      </c>
      <c r="E1307" s="85" t="inlineStr">
        <is>
          <t>3</t>
        </is>
      </c>
      <c r="F1307" s="85" t="inlineStr">
        <is>
          <t>Notes</t>
        </is>
      </c>
      <c r="G1307" s="85" t="inlineStr">
        <is>
          <t>1</t>
        </is>
      </c>
      <c r="H1307" s="85" t="inlineStr">
        <is>
          <t>2</t>
        </is>
      </c>
      <c r="I1307" s="85" t="inlineStr">
        <is>
          <t>3</t>
        </is>
      </c>
      <c r="J1307" s="85" t="inlineStr">
        <is>
          <t>Notes</t>
        </is>
      </c>
      <c r="K1307" s="85" t="inlineStr">
        <is>
          <t>1</t>
        </is>
      </c>
      <c r="L1307" s="85" t="inlineStr">
        <is>
          <t>2</t>
        </is>
      </c>
      <c r="M1307" s="85" t="inlineStr">
        <is>
          <t>3</t>
        </is>
      </c>
      <c r="N1307" s="85" t="inlineStr">
        <is>
          <t>Notes</t>
        </is>
      </c>
      <c r="O1307" s="85" t="inlineStr">
        <is>
          <t>1</t>
        </is>
      </c>
      <c r="P1307" s="85" t="inlineStr">
        <is>
          <t>2</t>
        </is>
      </c>
      <c r="Q1307" s="85" t="inlineStr">
        <is>
          <t>3</t>
        </is>
      </c>
      <c r="R1307" s="85" t="inlineStr">
        <is>
          <t>Notes</t>
        </is>
      </c>
      <c r="S1307" s="85" t="inlineStr">
        <is>
          <t>1</t>
        </is>
      </c>
      <c r="T1307" s="85" t="inlineStr">
        <is>
          <t>2</t>
        </is>
      </c>
      <c r="U1307" s="85" t="inlineStr">
        <is>
          <t>3</t>
        </is>
      </c>
      <c r="V1307" s="85" t="inlineStr">
        <is>
          <t>Notes</t>
        </is>
      </c>
      <c r="W1307" s="85" t="inlineStr">
        <is>
          <t>Cover</t>
        </is>
      </c>
      <c r="X1307" s="85" t="inlineStr">
        <is>
          <t>Notes</t>
        </is>
      </c>
      <c r="Y1307" s="85" t="inlineStr">
        <is>
          <t>Cover</t>
        </is>
      </c>
      <c r="Z1307" s="85" t="inlineStr">
        <is>
          <t>Notes</t>
        </is>
      </c>
      <c r="AB1307" s="86" t="inlineStr">
        <is>
          <t>weekdays short</t>
        </is>
      </c>
      <c r="AC1307" s="87" t="inlineStr"/>
    </row>
    <row r="1308" ht="17" customHeight="1">
      <c r="A1308" t="n">
        <v>27</v>
      </c>
      <c r="B1308" s="24">
        <f>IF(Setup!$K$6="","",Setup!$K$6)</f>
        <v/>
      </c>
      <c r="C1308" s="88" t="n"/>
      <c r="D1308" s="88" t="n"/>
      <c r="E1308" s="88" t="n"/>
      <c r="F1308" s="89" t="n"/>
      <c r="G1308" s="88" t="n"/>
      <c r="H1308" s="88" t="n"/>
      <c r="I1308" s="88" t="n"/>
      <c r="J1308" s="89" t="n"/>
      <c r="K1308" s="88" t="n"/>
      <c r="L1308" s="88" t="n"/>
      <c r="M1308" s="88" t="n"/>
      <c r="N1308" s="89" t="n"/>
      <c r="O1308" s="88" t="n"/>
      <c r="P1308" s="88" t="n"/>
      <c r="Q1308" s="88" t="n"/>
      <c r="R1308" s="89" t="n"/>
      <c r="S1308" s="88" t="n"/>
      <c r="T1308" s="88" t="n"/>
      <c r="U1308" s="88" t="n"/>
      <c r="V1308" s="89" t="n"/>
      <c r="W1308" s="88" t="n"/>
      <c r="X1308" s="89" t="n"/>
      <c r="Y1308" s="88" t="n"/>
      <c r="Z1308" s="89" t="n"/>
      <c r="AB1308" s="25">
        <f>IF($B1308="","",(COUNTIF(C1308:E1308,"?*")&lt;N(INDEX(Setup!$L$6:$L$23,1)))+(COUNTIF(G1308:I1308,"?*")&lt;N(INDEX(Setup!$L$6:$L$23,1)))+(COUNTIF(K1308:M1308,"?*")&lt;N(INDEX(Setup!$L$6:$L$23,1)))+(COUNTIF(O1308:Q1308,"?*")&lt;N(INDEX(Setup!$L$6:$L$23,1)))+(COUNTIF(S1308:U1308,"?*")&lt;N(INDEX(Setup!$L$6:$L$23,1)))+((W1308="")*(INDEX(Setup!$M$6:$M$23,1)="Y"))+((Y1308="")*(INDEX(Setup!$M$6:$M$23,1)="Y")))</f>
        <v/>
      </c>
      <c r="AC1308" s="90">
        <f>IF($B1308="","",IF(AB1308=0,"✓ covered","⚠ "&amp;AB1308&amp;IF(AB1308=1," gap"," gaps")))</f>
        <v/>
      </c>
    </row>
    <row r="1309" ht="17" customHeight="1">
      <c r="A1309" t="n">
        <v>27</v>
      </c>
      <c r="B1309" s="29">
        <f>IF(Setup!$K$7="","",Setup!$K$7)</f>
        <v/>
      </c>
      <c r="C1309" s="88" t="n"/>
      <c r="D1309" s="88" t="n"/>
      <c r="E1309" s="88" t="n"/>
      <c r="F1309" s="89" t="n"/>
      <c r="G1309" s="88" t="n"/>
      <c r="H1309" s="88" t="n"/>
      <c r="I1309" s="88" t="n"/>
      <c r="J1309" s="89" t="n"/>
      <c r="K1309" s="88" t="n"/>
      <c r="L1309" s="88" t="n"/>
      <c r="M1309" s="88" t="n"/>
      <c r="N1309" s="89" t="n"/>
      <c r="O1309" s="88" t="n"/>
      <c r="P1309" s="88" t="n"/>
      <c r="Q1309" s="88" t="n"/>
      <c r="R1309" s="89" t="n"/>
      <c r="S1309" s="88" t="n"/>
      <c r="T1309" s="88" t="n"/>
      <c r="U1309" s="88" t="n"/>
      <c r="V1309" s="89" t="n"/>
      <c r="W1309" s="88" t="n"/>
      <c r="X1309" s="89" t="n"/>
      <c r="Y1309" s="88" t="n"/>
      <c r="Z1309" s="89" t="n"/>
      <c r="AB1309" s="30">
        <f>IF($B1309="","",(COUNTIF(C1309:E1309,"?*")&lt;N(INDEX(Setup!$L$6:$L$23,2)))+(COUNTIF(G1309:I1309,"?*")&lt;N(INDEX(Setup!$L$6:$L$23,2)))+(COUNTIF(K1309:M1309,"?*")&lt;N(INDEX(Setup!$L$6:$L$23,2)))+(COUNTIF(O1309:Q1309,"?*")&lt;N(INDEX(Setup!$L$6:$L$23,2)))+(COUNTIF(S1309:U1309,"?*")&lt;N(INDEX(Setup!$L$6:$L$23,2)))+((W1309="")*(INDEX(Setup!$M$6:$M$23,2)="Y"))+((Y1309="")*(INDEX(Setup!$M$6:$M$23,2)="Y")))</f>
        <v/>
      </c>
      <c r="AC1309" s="91">
        <f>IF($B1309="","",IF(AB1309=0,"✓ covered","⚠ "&amp;AB1309&amp;IF(AB1309=1," gap"," gaps")))</f>
        <v/>
      </c>
    </row>
    <row r="1310" ht="17" customHeight="1">
      <c r="A1310" t="n">
        <v>27</v>
      </c>
      <c r="B1310" s="24">
        <f>IF(Setup!$K$8="","",Setup!$K$8)</f>
        <v/>
      </c>
      <c r="C1310" s="88" t="n"/>
      <c r="D1310" s="88" t="n"/>
      <c r="E1310" s="88" t="n"/>
      <c r="F1310" s="89" t="n"/>
      <c r="G1310" s="88" t="n"/>
      <c r="H1310" s="88" t="n"/>
      <c r="I1310" s="88" t="n"/>
      <c r="J1310" s="89" t="n"/>
      <c r="K1310" s="88" t="n"/>
      <c r="L1310" s="88" t="n"/>
      <c r="M1310" s="88" t="n"/>
      <c r="N1310" s="89" t="n"/>
      <c r="O1310" s="88" t="n"/>
      <c r="P1310" s="88" t="n"/>
      <c r="Q1310" s="88" t="n"/>
      <c r="R1310" s="89" t="n"/>
      <c r="S1310" s="88" t="n"/>
      <c r="T1310" s="88" t="n"/>
      <c r="U1310" s="88" t="n"/>
      <c r="V1310" s="89" t="n"/>
      <c r="W1310" s="88" t="n"/>
      <c r="X1310" s="89" t="n"/>
      <c r="Y1310" s="88" t="n"/>
      <c r="Z1310" s="89" t="n"/>
      <c r="AB1310" s="25">
        <f>IF($B1310="","",(COUNTIF(C1310:E1310,"?*")&lt;N(INDEX(Setup!$L$6:$L$23,3)))+(COUNTIF(G1310:I1310,"?*")&lt;N(INDEX(Setup!$L$6:$L$23,3)))+(COUNTIF(K1310:M1310,"?*")&lt;N(INDEX(Setup!$L$6:$L$23,3)))+(COUNTIF(O1310:Q1310,"?*")&lt;N(INDEX(Setup!$L$6:$L$23,3)))+(COUNTIF(S1310:U1310,"?*")&lt;N(INDEX(Setup!$L$6:$L$23,3)))+((W1310="")*(INDEX(Setup!$M$6:$M$23,3)="Y"))+((Y1310="")*(INDEX(Setup!$M$6:$M$23,3)="Y")))</f>
        <v/>
      </c>
      <c r="AC1310" s="90">
        <f>IF($B1310="","",IF(AB1310=0,"✓ covered","⚠ "&amp;AB1310&amp;IF(AB1310=1," gap"," gaps")))</f>
        <v/>
      </c>
    </row>
    <row r="1311" ht="17" customHeight="1">
      <c r="A1311" t="n">
        <v>27</v>
      </c>
      <c r="B1311" s="29">
        <f>IF(Setup!$K$9="","",Setup!$K$9)</f>
        <v/>
      </c>
      <c r="C1311" s="88" t="n"/>
      <c r="D1311" s="88" t="n"/>
      <c r="E1311" s="88" t="n"/>
      <c r="F1311" s="89" t="n"/>
      <c r="G1311" s="88" t="n"/>
      <c r="H1311" s="88" t="n"/>
      <c r="I1311" s="88" t="n"/>
      <c r="J1311" s="89" t="n"/>
      <c r="K1311" s="88" t="n"/>
      <c r="L1311" s="88" t="n"/>
      <c r="M1311" s="88" t="n"/>
      <c r="N1311" s="89" t="n"/>
      <c r="O1311" s="88" t="n"/>
      <c r="P1311" s="88" t="n"/>
      <c r="Q1311" s="88" t="n"/>
      <c r="R1311" s="89" t="n"/>
      <c r="S1311" s="88" t="n"/>
      <c r="T1311" s="88" t="n"/>
      <c r="U1311" s="88" t="n"/>
      <c r="V1311" s="89" t="n"/>
      <c r="W1311" s="88" t="n"/>
      <c r="X1311" s="89" t="n"/>
      <c r="Y1311" s="88" t="n"/>
      <c r="Z1311" s="89" t="n"/>
      <c r="AB1311" s="30">
        <f>IF($B1311="","",(COUNTIF(C1311:E1311,"?*")&lt;N(INDEX(Setup!$L$6:$L$23,4)))+(COUNTIF(G1311:I1311,"?*")&lt;N(INDEX(Setup!$L$6:$L$23,4)))+(COUNTIF(K1311:M1311,"?*")&lt;N(INDEX(Setup!$L$6:$L$23,4)))+(COUNTIF(O1311:Q1311,"?*")&lt;N(INDEX(Setup!$L$6:$L$23,4)))+(COUNTIF(S1311:U1311,"?*")&lt;N(INDEX(Setup!$L$6:$L$23,4)))+((W1311="")*(INDEX(Setup!$M$6:$M$23,4)="Y"))+((Y1311="")*(INDEX(Setup!$M$6:$M$23,4)="Y")))</f>
        <v/>
      </c>
      <c r="AC1311" s="91">
        <f>IF($B1311="","",IF(AB1311=0,"✓ covered","⚠ "&amp;AB1311&amp;IF(AB1311=1," gap"," gaps")))</f>
        <v/>
      </c>
    </row>
    <row r="1312" ht="17" customHeight="1">
      <c r="A1312" t="n">
        <v>27</v>
      </c>
      <c r="B1312" s="24">
        <f>IF(Setup!$K$10="","",Setup!$K$10)</f>
        <v/>
      </c>
      <c r="C1312" s="88" t="n"/>
      <c r="D1312" s="88" t="n"/>
      <c r="E1312" s="88" t="n"/>
      <c r="F1312" s="89" t="n"/>
      <c r="G1312" s="88" t="n"/>
      <c r="H1312" s="88" t="n"/>
      <c r="I1312" s="88" t="n"/>
      <c r="J1312" s="89" t="n"/>
      <c r="K1312" s="88" t="n"/>
      <c r="L1312" s="88" t="n"/>
      <c r="M1312" s="88" t="n"/>
      <c r="N1312" s="89" t="n"/>
      <c r="O1312" s="88" t="n"/>
      <c r="P1312" s="88" t="n"/>
      <c r="Q1312" s="88" t="n"/>
      <c r="R1312" s="89" t="n"/>
      <c r="S1312" s="88" t="n"/>
      <c r="T1312" s="88" t="n"/>
      <c r="U1312" s="88" t="n"/>
      <c r="V1312" s="89" t="n"/>
      <c r="W1312" s="88" t="n"/>
      <c r="X1312" s="89" t="n"/>
      <c r="Y1312" s="88" t="n"/>
      <c r="Z1312" s="89" t="n"/>
      <c r="AB1312" s="25">
        <f>IF($B1312="","",(COUNTIF(C1312:E1312,"?*")&lt;N(INDEX(Setup!$L$6:$L$23,5)))+(COUNTIF(G1312:I1312,"?*")&lt;N(INDEX(Setup!$L$6:$L$23,5)))+(COUNTIF(K1312:M1312,"?*")&lt;N(INDEX(Setup!$L$6:$L$23,5)))+(COUNTIF(O1312:Q1312,"?*")&lt;N(INDEX(Setup!$L$6:$L$23,5)))+(COUNTIF(S1312:U1312,"?*")&lt;N(INDEX(Setup!$L$6:$L$23,5)))+((W1312="")*(INDEX(Setup!$M$6:$M$23,5)="Y"))+((Y1312="")*(INDEX(Setup!$M$6:$M$23,5)="Y")))</f>
        <v/>
      </c>
      <c r="AC1312" s="90">
        <f>IF($B1312="","",IF(AB1312=0,"✓ covered","⚠ "&amp;AB1312&amp;IF(AB1312=1," gap"," gaps")))</f>
        <v/>
      </c>
    </row>
    <row r="1313" ht="17" customHeight="1">
      <c r="A1313" t="n">
        <v>27</v>
      </c>
      <c r="B1313" s="29">
        <f>IF(Setup!$K$11="","",Setup!$K$11)</f>
        <v/>
      </c>
      <c r="C1313" s="88" t="n"/>
      <c r="D1313" s="88" t="n"/>
      <c r="E1313" s="88" t="n"/>
      <c r="F1313" s="89" t="n"/>
      <c r="G1313" s="88" t="n"/>
      <c r="H1313" s="88" t="n"/>
      <c r="I1313" s="88" t="n"/>
      <c r="J1313" s="89" t="n"/>
      <c r="K1313" s="88" t="n"/>
      <c r="L1313" s="88" t="n"/>
      <c r="M1313" s="88" t="n"/>
      <c r="N1313" s="89" t="n"/>
      <c r="O1313" s="88" t="n"/>
      <c r="P1313" s="88" t="n"/>
      <c r="Q1313" s="88" t="n"/>
      <c r="R1313" s="89" t="n"/>
      <c r="S1313" s="88" t="n"/>
      <c r="T1313" s="88" t="n"/>
      <c r="U1313" s="88" t="n"/>
      <c r="V1313" s="89" t="n"/>
      <c r="W1313" s="88" t="n"/>
      <c r="X1313" s="89" t="n"/>
      <c r="Y1313" s="88" t="n"/>
      <c r="Z1313" s="89" t="n"/>
      <c r="AB1313" s="30">
        <f>IF($B1313="","",(COUNTIF(C1313:E1313,"?*")&lt;N(INDEX(Setup!$L$6:$L$23,6)))+(COUNTIF(G1313:I1313,"?*")&lt;N(INDEX(Setup!$L$6:$L$23,6)))+(COUNTIF(K1313:M1313,"?*")&lt;N(INDEX(Setup!$L$6:$L$23,6)))+(COUNTIF(O1313:Q1313,"?*")&lt;N(INDEX(Setup!$L$6:$L$23,6)))+(COUNTIF(S1313:U1313,"?*")&lt;N(INDEX(Setup!$L$6:$L$23,6)))+((W1313="")*(INDEX(Setup!$M$6:$M$23,6)="Y"))+((Y1313="")*(INDEX(Setup!$M$6:$M$23,6)="Y")))</f>
        <v/>
      </c>
      <c r="AC1313" s="91">
        <f>IF($B1313="","",IF(AB1313=0,"✓ covered","⚠ "&amp;AB1313&amp;IF(AB1313=1," gap"," gaps")))</f>
        <v/>
      </c>
    </row>
    <row r="1314" ht="17" customHeight="1">
      <c r="A1314" t="n">
        <v>27</v>
      </c>
      <c r="B1314" s="24">
        <f>IF(Setup!$K$12="","",Setup!$K$12)</f>
        <v/>
      </c>
      <c r="C1314" s="88" t="n"/>
      <c r="D1314" s="88" t="n"/>
      <c r="E1314" s="88" t="n"/>
      <c r="F1314" s="89" t="n"/>
      <c r="G1314" s="88" t="n"/>
      <c r="H1314" s="88" t="n"/>
      <c r="I1314" s="88" t="n"/>
      <c r="J1314" s="89" t="n"/>
      <c r="K1314" s="88" t="n"/>
      <c r="L1314" s="88" t="n"/>
      <c r="M1314" s="88" t="n"/>
      <c r="N1314" s="89" t="n"/>
      <c r="O1314" s="88" t="n"/>
      <c r="P1314" s="88" t="n"/>
      <c r="Q1314" s="88" t="n"/>
      <c r="R1314" s="89" t="n"/>
      <c r="S1314" s="88" t="n"/>
      <c r="T1314" s="88" t="n"/>
      <c r="U1314" s="88" t="n"/>
      <c r="V1314" s="89" t="n"/>
      <c r="W1314" s="88" t="n"/>
      <c r="X1314" s="89" t="n"/>
      <c r="Y1314" s="88" t="n"/>
      <c r="Z1314" s="89" t="n"/>
      <c r="AB1314" s="25">
        <f>IF($B1314="","",(COUNTIF(C1314:E1314,"?*")&lt;N(INDEX(Setup!$L$6:$L$23,7)))+(COUNTIF(G1314:I1314,"?*")&lt;N(INDEX(Setup!$L$6:$L$23,7)))+(COUNTIF(K1314:M1314,"?*")&lt;N(INDEX(Setup!$L$6:$L$23,7)))+(COUNTIF(O1314:Q1314,"?*")&lt;N(INDEX(Setup!$L$6:$L$23,7)))+(COUNTIF(S1314:U1314,"?*")&lt;N(INDEX(Setup!$L$6:$L$23,7)))+((W1314="")*(INDEX(Setup!$M$6:$M$23,7)="Y"))+((Y1314="")*(INDEX(Setup!$M$6:$M$23,7)="Y")))</f>
        <v/>
      </c>
      <c r="AC1314" s="90">
        <f>IF($B1314="","",IF(AB1314=0,"✓ covered","⚠ "&amp;AB1314&amp;IF(AB1314=1," gap"," gaps")))</f>
        <v/>
      </c>
    </row>
    <row r="1315" ht="17" customHeight="1">
      <c r="A1315" t="n">
        <v>27</v>
      </c>
      <c r="B1315" s="29">
        <f>IF(Setup!$K$13="","",Setup!$K$13)</f>
        <v/>
      </c>
      <c r="C1315" s="88" t="n"/>
      <c r="D1315" s="88" t="n"/>
      <c r="E1315" s="88" t="n"/>
      <c r="F1315" s="89" t="n"/>
      <c r="G1315" s="88" t="n"/>
      <c r="H1315" s="88" t="n"/>
      <c r="I1315" s="88" t="n"/>
      <c r="J1315" s="89" t="n"/>
      <c r="K1315" s="88" t="n"/>
      <c r="L1315" s="88" t="n"/>
      <c r="M1315" s="88" t="n"/>
      <c r="N1315" s="89" t="n"/>
      <c r="O1315" s="88" t="n"/>
      <c r="P1315" s="88" t="n"/>
      <c r="Q1315" s="88" t="n"/>
      <c r="R1315" s="89" t="n"/>
      <c r="S1315" s="88" t="n"/>
      <c r="T1315" s="88" t="n"/>
      <c r="U1315" s="88" t="n"/>
      <c r="V1315" s="89" t="n"/>
      <c r="W1315" s="88" t="n"/>
      <c r="X1315" s="89" t="n"/>
      <c r="Y1315" s="88" t="n"/>
      <c r="Z1315" s="89" t="n"/>
      <c r="AB1315" s="30">
        <f>IF($B1315="","",(COUNTIF(C1315:E1315,"?*")&lt;N(INDEX(Setup!$L$6:$L$23,8)))+(COUNTIF(G1315:I1315,"?*")&lt;N(INDEX(Setup!$L$6:$L$23,8)))+(COUNTIF(K1315:M1315,"?*")&lt;N(INDEX(Setup!$L$6:$L$23,8)))+(COUNTIF(O1315:Q1315,"?*")&lt;N(INDEX(Setup!$L$6:$L$23,8)))+(COUNTIF(S1315:U1315,"?*")&lt;N(INDEX(Setup!$L$6:$L$23,8)))+((W1315="")*(INDEX(Setup!$M$6:$M$23,8)="Y"))+((Y1315="")*(INDEX(Setup!$M$6:$M$23,8)="Y")))</f>
        <v/>
      </c>
      <c r="AC1315" s="91">
        <f>IF($B1315="","",IF(AB1315=0,"✓ covered","⚠ "&amp;AB1315&amp;IF(AB1315=1," gap"," gaps")))</f>
        <v/>
      </c>
    </row>
    <row r="1316" ht="17" customHeight="1">
      <c r="A1316" t="n">
        <v>27</v>
      </c>
      <c r="B1316" s="24">
        <f>IF(Setup!$K$14="","",Setup!$K$14)</f>
        <v/>
      </c>
      <c r="C1316" s="88" t="n"/>
      <c r="D1316" s="88" t="n"/>
      <c r="E1316" s="88" t="n"/>
      <c r="F1316" s="89" t="n"/>
      <c r="G1316" s="88" t="n"/>
      <c r="H1316" s="88" t="n"/>
      <c r="I1316" s="88" t="n"/>
      <c r="J1316" s="89" t="n"/>
      <c r="K1316" s="88" t="n"/>
      <c r="L1316" s="88" t="n"/>
      <c r="M1316" s="88" t="n"/>
      <c r="N1316" s="89" t="n"/>
      <c r="O1316" s="88" t="n"/>
      <c r="P1316" s="88" t="n"/>
      <c r="Q1316" s="88" t="n"/>
      <c r="R1316" s="89" t="n"/>
      <c r="S1316" s="88" t="n"/>
      <c r="T1316" s="88" t="n"/>
      <c r="U1316" s="88" t="n"/>
      <c r="V1316" s="89" t="n"/>
      <c r="W1316" s="88" t="n"/>
      <c r="X1316" s="89" t="n"/>
      <c r="Y1316" s="88" t="n"/>
      <c r="Z1316" s="89" t="n"/>
      <c r="AB1316" s="25">
        <f>IF($B1316="","",(COUNTIF(C1316:E1316,"?*")&lt;N(INDEX(Setup!$L$6:$L$23,9)))+(COUNTIF(G1316:I1316,"?*")&lt;N(INDEX(Setup!$L$6:$L$23,9)))+(COUNTIF(K1316:M1316,"?*")&lt;N(INDEX(Setup!$L$6:$L$23,9)))+(COUNTIF(O1316:Q1316,"?*")&lt;N(INDEX(Setup!$L$6:$L$23,9)))+(COUNTIF(S1316:U1316,"?*")&lt;N(INDEX(Setup!$L$6:$L$23,9)))+((W1316="")*(INDEX(Setup!$M$6:$M$23,9)="Y"))+((Y1316="")*(INDEX(Setup!$M$6:$M$23,9)="Y")))</f>
        <v/>
      </c>
      <c r="AC1316" s="90">
        <f>IF($B1316="","",IF(AB1316=0,"✓ covered","⚠ "&amp;AB1316&amp;IF(AB1316=1," gap"," gaps")))</f>
        <v/>
      </c>
    </row>
    <row r="1317" ht="17" customHeight="1">
      <c r="A1317" t="n">
        <v>27</v>
      </c>
      <c r="B1317" s="29">
        <f>IF(Setup!$K$15="","",Setup!$K$15)</f>
        <v/>
      </c>
      <c r="C1317" s="88" t="n"/>
      <c r="D1317" s="88" t="n"/>
      <c r="E1317" s="88" t="n"/>
      <c r="F1317" s="89" t="n"/>
      <c r="G1317" s="88" t="n"/>
      <c r="H1317" s="88" t="n"/>
      <c r="I1317" s="88" t="n"/>
      <c r="J1317" s="89" t="n"/>
      <c r="K1317" s="88" t="n"/>
      <c r="L1317" s="88" t="n"/>
      <c r="M1317" s="88" t="n"/>
      <c r="N1317" s="89" t="n"/>
      <c r="O1317" s="88" t="n"/>
      <c r="P1317" s="88" t="n"/>
      <c r="Q1317" s="88" t="n"/>
      <c r="R1317" s="89" t="n"/>
      <c r="S1317" s="88" t="n"/>
      <c r="T1317" s="88" t="n"/>
      <c r="U1317" s="88" t="n"/>
      <c r="V1317" s="89" t="n"/>
      <c r="W1317" s="88" t="n"/>
      <c r="X1317" s="89" t="n"/>
      <c r="Y1317" s="88" t="n"/>
      <c r="Z1317" s="89" t="n"/>
      <c r="AB1317" s="30">
        <f>IF($B1317="","",(COUNTIF(C1317:E1317,"?*")&lt;N(INDEX(Setup!$L$6:$L$23,10)))+(COUNTIF(G1317:I1317,"?*")&lt;N(INDEX(Setup!$L$6:$L$23,10)))+(COUNTIF(K1317:M1317,"?*")&lt;N(INDEX(Setup!$L$6:$L$23,10)))+(COUNTIF(O1317:Q1317,"?*")&lt;N(INDEX(Setup!$L$6:$L$23,10)))+(COUNTIF(S1317:U1317,"?*")&lt;N(INDEX(Setup!$L$6:$L$23,10)))+((W1317="")*(INDEX(Setup!$M$6:$M$23,10)="Y"))+((Y1317="")*(INDEX(Setup!$M$6:$M$23,10)="Y")))</f>
        <v/>
      </c>
      <c r="AC1317" s="91">
        <f>IF($B1317="","",IF(AB1317=0,"✓ covered","⚠ "&amp;AB1317&amp;IF(AB1317=1," gap"," gaps")))</f>
        <v/>
      </c>
    </row>
    <row r="1318" ht="17" customHeight="1">
      <c r="A1318" t="n">
        <v>27</v>
      </c>
      <c r="B1318" s="24">
        <f>IF(Setup!$K$16="","",Setup!$K$16)</f>
        <v/>
      </c>
      <c r="C1318" s="88" t="n"/>
      <c r="D1318" s="88" t="n"/>
      <c r="E1318" s="88" t="n"/>
      <c r="F1318" s="89" t="n"/>
      <c r="G1318" s="88" t="n"/>
      <c r="H1318" s="88" t="n"/>
      <c r="I1318" s="88" t="n"/>
      <c r="J1318" s="89" t="n"/>
      <c r="K1318" s="88" t="n"/>
      <c r="L1318" s="88" t="n"/>
      <c r="M1318" s="88" t="n"/>
      <c r="N1318" s="89" t="n"/>
      <c r="O1318" s="88" t="n"/>
      <c r="P1318" s="88" t="n"/>
      <c r="Q1318" s="88" t="n"/>
      <c r="R1318" s="89" t="n"/>
      <c r="S1318" s="88" t="n"/>
      <c r="T1318" s="88" t="n"/>
      <c r="U1318" s="88" t="n"/>
      <c r="V1318" s="89" t="n"/>
      <c r="W1318" s="88" t="n"/>
      <c r="X1318" s="89" t="n"/>
      <c r="Y1318" s="88" t="n"/>
      <c r="Z1318" s="89" t="n"/>
      <c r="AB1318" s="25">
        <f>IF($B1318="","",(COUNTIF(C1318:E1318,"?*")&lt;N(INDEX(Setup!$L$6:$L$23,11)))+(COUNTIF(G1318:I1318,"?*")&lt;N(INDEX(Setup!$L$6:$L$23,11)))+(COUNTIF(K1318:M1318,"?*")&lt;N(INDEX(Setup!$L$6:$L$23,11)))+(COUNTIF(O1318:Q1318,"?*")&lt;N(INDEX(Setup!$L$6:$L$23,11)))+(COUNTIF(S1318:U1318,"?*")&lt;N(INDEX(Setup!$L$6:$L$23,11)))+((W1318="")*(INDEX(Setup!$M$6:$M$23,11)="Y"))+((Y1318="")*(INDEX(Setup!$M$6:$M$23,11)="Y")))</f>
        <v/>
      </c>
      <c r="AC1318" s="90">
        <f>IF($B1318="","",IF(AB1318=0,"✓ covered","⚠ "&amp;AB1318&amp;IF(AB1318=1," gap"," gaps")))</f>
        <v/>
      </c>
    </row>
    <row r="1319" ht="17" customHeight="1">
      <c r="A1319" t="n">
        <v>27</v>
      </c>
      <c r="B1319" s="29">
        <f>IF(Setup!$K$17="","",Setup!$K$17)</f>
        <v/>
      </c>
      <c r="C1319" s="88" t="n"/>
      <c r="D1319" s="88" t="n"/>
      <c r="E1319" s="88" t="n"/>
      <c r="F1319" s="89" t="n"/>
      <c r="G1319" s="88" t="n"/>
      <c r="H1319" s="88" t="n"/>
      <c r="I1319" s="88" t="n"/>
      <c r="J1319" s="89" t="n"/>
      <c r="K1319" s="88" t="n"/>
      <c r="L1319" s="88" t="n"/>
      <c r="M1319" s="88" t="n"/>
      <c r="N1319" s="89" t="n"/>
      <c r="O1319" s="88" t="n"/>
      <c r="P1319" s="88" t="n"/>
      <c r="Q1319" s="88" t="n"/>
      <c r="R1319" s="89" t="n"/>
      <c r="S1319" s="88" t="n"/>
      <c r="T1319" s="88" t="n"/>
      <c r="U1319" s="88" t="n"/>
      <c r="V1319" s="89" t="n"/>
      <c r="W1319" s="88" t="n"/>
      <c r="X1319" s="89" t="n"/>
      <c r="Y1319" s="88" t="n"/>
      <c r="Z1319" s="89" t="n"/>
      <c r="AB1319" s="30">
        <f>IF($B1319="","",(COUNTIF(C1319:E1319,"?*")&lt;N(INDEX(Setup!$L$6:$L$23,12)))+(COUNTIF(G1319:I1319,"?*")&lt;N(INDEX(Setup!$L$6:$L$23,12)))+(COUNTIF(K1319:M1319,"?*")&lt;N(INDEX(Setup!$L$6:$L$23,12)))+(COUNTIF(O1319:Q1319,"?*")&lt;N(INDEX(Setup!$L$6:$L$23,12)))+(COUNTIF(S1319:U1319,"?*")&lt;N(INDEX(Setup!$L$6:$L$23,12)))+((W1319="")*(INDEX(Setup!$M$6:$M$23,12)="Y"))+((Y1319="")*(INDEX(Setup!$M$6:$M$23,12)="Y")))</f>
        <v/>
      </c>
      <c r="AC1319" s="91">
        <f>IF($B1319="","",IF(AB1319=0,"✓ covered","⚠ "&amp;AB1319&amp;IF(AB1319=1," gap"," gaps")))</f>
        <v/>
      </c>
    </row>
    <row r="1320" ht="17" customHeight="1">
      <c r="A1320" t="n">
        <v>27</v>
      </c>
      <c r="B1320" s="24">
        <f>IF(Setup!$K$18="","",Setup!$K$18)</f>
        <v/>
      </c>
      <c r="C1320" s="88" t="inlineStr">
        <is>
          <t>TB</t>
        </is>
      </c>
      <c r="D1320" s="88" t="inlineStr">
        <is>
          <t>TB</t>
        </is>
      </c>
      <c r="E1320" s="88" t="n"/>
      <c r="F1320" s="89" t="n"/>
      <c r="G1320" s="88" t="n"/>
      <c r="H1320" s="88" t="n"/>
      <c r="I1320" s="88" t="n"/>
      <c r="J1320" s="89" t="n"/>
      <c r="K1320" s="88" t="n"/>
      <c r="L1320" s="88" t="n"/>
      <c r="M1320" s="88" t="n"/>
      <c r="N1320" s="89" t="n"/>
      <c r="O1320" s="88" t="n"/>
      <c r="P1320" s="88" t="n"/>
      <c r="Q1320" s="88" t="n"/>
      <c r="R1320" s="89" t="n"/>
      <c r="S1320" s="88" t="n"/>
      <c r="T1320" s="88" t="n"/>
      <c r="U1320" s="88" t="n"/>
      <c r="V1320" s="89" t="n"/>
      <c r="W1320" s="88" t="n"/>
      <c r="X1320" s="89" t="n"/>
      <c r="Y1320" s="88" t="n"/>
      <c r="Z1320" s="89" t="n"/>
      <c r="AB1320" s="25">
        <f>IF($B1320="","",(COUNTIF(C1320:E1320,"?*")&lt;N(INDEX(Setup!$L$6:$L$23,13)))+(COUNTIF(G1320:I1320,"?*")&lt;N(INDEX(Setup!$L$6:$L$23,13)))+(COUNTIF(K1320:M1320,"?*")&lt;N(INDEX(Setup!$L$6:$L$23,13)))+(COUNTIF(O1320:Q1320,"?*")&lt;N(INDEX(Setup!$L$6:$L$23,13)))+(COUNTIF(S1320:U1320,"?*")&lt;N(INDEX(Setup!$L$6:$L$23,13)))+((W1320="")*(INDEX(Setup!$M$6:$M$23,13)="Y"))+((Y1320="")*(INDEX(Setup!$M$6:$M$23,13)="Y")))</f>
        <v/>
      </c>
      <c r="AC1320" s="90">
        <f>IF($B1320="","",IF(AB1320=0,"✓ covered","⚠ "&amp;AB1320&amp;IF(AB1320=1," gap"," gaps")))</f>
        <v/>
      </c>
    </row>
    <row r="1321" ht="17" customHeight="1">
      <c r="A1321" t="n">
        <v>27</v>
      </c>
      <c r="B1321" s="29">
        <f>IF(Setup!$K$19="","",Setup!$K$19)</f>
        <v/>
      </c>
      <c r="C1321" s="88" t="n"/>
      <c r="D1321" s="88" t="n"/>
      <c r="E1321" s="88" t="n"/>
      <c r="F1321" s="89" t="n"/>
      <c r="G1321" s="88" t="n"/>
      <c r="H1321" s="88" t="n"/>
      <c r="I1321" s="88" t="n"/>
      <c r="J1321" s="89" t="n"/>
      <c r="K1321" s="88" t="n"/>
      <c r="L1321" s="88" t="n"/>
      <c r="M1321" s="88" t="n"/>
      <c r="N1321" s="89" t="n"/>
      <c r="O1321" s="88" t="n"/>
      <c r="P1321" s="88" t="n"/>
      <c r="Q1321" s="88" t="n"/>
      <c r="R1321" s="89" t="n"/>
      <c r="S1321" s="88" t="n"/>
      <c r="T1321" s="88" t="n"/>
      <c r="U1321" s="88" t="n"/>
      <c r="V1321" s="89" t="n"/>
      <c r="W1321" s="88" t="n"/>
      <c r="X1321" s="89" t="n"/>
      <c r="Y1321" s="88" t="n"/>
      <c r="Z1321" s="89" t="n"/>
      <c r="AB1321" s="30">
        <f>IF($B1321="","",(COUNTIF(C1321:E1321,"?*")&lt;N(INDEX(Setup!$L$6:$L$23,14)))+(COUNTIF(G1321:I1321,"?*")&lt;N(INDEX(Setup!$L$6:$L$23,14)))+(COUNTIF(K1321:M1321,"?*")&lt;N(INDEX(Setup!$L$6:$L$23,14)))+(COUNTIF(O1321:Q1321,"?*")&lt;N(INDEX(Setup!$L$6:$L$23,14)))+(COUNTIF(S1321:U1321,"?*")&lt;N(INDEX(Setup!$L$6:$L$23,14)))+((W1321="")*(INDEX(Setup!$M$6:$M$23,14)="Y"))+((Y1321="")*(INDEX(Setup!$M$6:$M$23,14)="Y")))</f>
        <v/>
      </c>
      <c r="AC1321" s="91">
        <f>IF($B1321="","",IF(AB1321=0,"✓ covered","⚠ "&amp;AB1321&amp;IF(AB1321=1," gap"," gaps")))</f>
        <v/>
      </c>
    </row>
    <row r="1322" ht="17" customHeight="1">
      <c r="A1322" t="n">
        <v>27</v>
      </c>
      <c r="B1322" s="24">
        <f>IF(Setup!$K$20="","",Setup!$K$20)</f>
        <v/>
      </c>
      <c r="C1322" s="88" t="n"/>
      <c r="D1322" s="88" t="n"/>
      <c r="E1322" s="88" t="n"/>
      <c r="F1322" s="89" t="n"/>
      <c r="G1322" s="88" t="n"/>
      <c r="H1322" s="88" t="n"/>
      <c r="I1322" s="88" t="n"/>
      <c r="J1322" s="89" t="n"/>
      <c r="K1322" s="88" t="n"/>
      <c r="L1322" s="88" t="n"/>
      <c r="M1322" s="88" t="n"/>
      <c r="N1322" s="89" t="n"/>
      <c r="O1322" s="88" t="n"/>
      <c r="P1322" s="88" t="n"/>
      <c r="Q1322" s="88" t="n"/>
      <c r="R1322" s="89" t="n"/>
      <c r="S1322" s="88" t="n"/>
      <c r="T1322" s="88" t="n"/>
      <c r="U1322" s="88" t="n"/>
      <c r="V1322" s="89" t="n"/>
      <c r="W1322" s="88" t="n"/>
      <c r="X1322" s="89" t="n"/>
      <c r="Y1322" s="88" t="n"/>
      <c r="Z1322" s="89" t="n"/>
      <c r="AB1322" s="25">
        <f>IF($B1322="","",(COUNTIF(C1322:E1322,"?*")&lt;N(INDEX(Setup!$L$6:$L$23,15)))+(COUNTIF(G1322:I1322,"?*")&lt;N(INDEX(Setup!$L$6:$L$23,15)))+(COUNTIF(K1322:M1322,"?*")&lt;N(INDEX(Setup!$L$6:$L$23,15)))+(COUNTIF(O1322:Q1322,"?*")&lt;N(INDEX(Setup!$L$6:$L$23,15)))+(COUNTIF(S1322:U1322,"?*")&lt;N(INDEX(Setup!$L$6:$L$23,15)))+((W1322="")*(INDEX(Setup!$M$6:$M$23,15)="Y"))+((Y1322="")*(INDEX(Setup!$M$6:$M$23,15)="Y")))</f>
        <v/>
      </c>
      <c r="AC1322" s="90">
        <f>IF($B1322="","",IF(AB1322=0,"✓ covered","⚠ "&amp;AB1322&amp;IF(AB1322=1," gap"," gaps")))</f>
        <v/>
      </c>
    </row>
    <row r="1323" ht="17" customHeight="1">
      <c r="A1323" t="n">
        <v>27</v>
      </c>
      <c r="B1323" s="29">
        <f>IF(Setup!$K$21="","",Setup!$K$21)</f>
        <v/>
      </c>
      <c r="C1323" s="88" t="n"/>
      <c r="D1323" s="88" t="n"/>
      <c r="E1323" s="88" t="n"/>
      <c r="F1323" s="89" t="n"/>
      <c r="G1323" s="88" t="n"/>
      <c r="H1323" s="88" t="n"/>
      <c r="I1323" s="88" t="n"/>
      <c r="J1323" s="89" t="n"/>
      <c r="K1323" s="88" t="n"/>
      <c r="L1323" s="88" t="n"/>
      <c r="M1323" s="88" t="n"/>
      <c r="N1323" s="89" t="n"/>
      <c r="O1323" s="88" t="n"/>
      <c r="P1323" s="88" t="n"/>
      <c r="Q1323" s="88" t="n"/>
      <c r="R1323" s="89" t="n"/>
      <c r="S1323" s="88" t="n"/>
      <c r="T1323" s="88" t="n"/>
      <c r="U1323" s="88" t="n"/>
      <c r="V1323" s="89" t="n"/>
      <c r="W1323" s="88" t="n"/>
      <c r="X1323" s="89" t="n"/>
      <c r="Y1323" s="88" t="n"/>
      <c r="Z1323" s="89" t="n"/>
      <c r="AB1323" s="30">
        <f>IF($B1323="","",(COUNTIF(C1323:E1323,"?*")&lt;N(INDEX(Setup!$L$6:$L$23,16)))+(COUNTIF(G1323:I1323,"?*")&lt;N(INDEX(Setup!$L$6:$L$23,16)))+(COUNTIF(K1323:M1323,"?*")&lt;N(INDEX(Setup!$L$6:$L$23,16)))+(COUNTIF(O1323:Q1323,"?*")&lt;N(INDEX(Setup!$L$6:$L$23,16)))+(COUNTIF(S1323:U1323,"?*")&lt;N(INDEX(Setup!$L$6:$L$23,16)))+((W1323="")*(INDEX(Setup!$M$6:$M$23,16)="Y"))+((Y1323="")*(INDEX(Setup!$M$6:$M$23,16)="Y")))</f>
        <v/>
      </c>
      <c r="AC1323" s="91">
        <f>IF($B1323="","",IF(AB1323=0,"✓ covered","⚠ "&amp;AB1323&amp;IF(AB1323=1," gap"," gaps")))</f>
        <v/>
      </c>
    </row>
    <row r="1324" ht="17" customHeight="1">
      <c r="A1324" t="n">
        <v>27</v>
      </c>
      <c r="B1324" s="24">
        <f>IF(Setup!$K$22="","",Setup!$K$22)</f>
        <v/>
      </c>
      <c r="C1324" s="88" t="n"/>
      <c r="D1324" s="88" t="n"/>
      <c r="E1324" s="88" t="n"/>
      <c r="F1324" s="89" t="n"/>
      <c r="G1324" s="88" t="n"/>
      <c r="H1324" s="88" t="n"/>
      <c r="I1324" s="88" t="n"/>
      <c r="J1324" s="89" t="n"/>
      <c r="K1324" s="88" t="n"/>
      <c r="L1324" s="88" t="n"/>
      <c r="M1324" s="88" t="n"/>
      <c r="N1324" s="89" t="n"/>
      <c r="O1324" s="88" t="n"/>
      <c r="P1324" s="88" t="n"/>
      <c r="Q1324" s="88" t="n"/>
      <c r="R1324" s="89" t="n"/>
      <c r="S1324" s="88" t="n"/>
      <c r="T1324" s="88" t="n"/>
      <c r="U1324" s="88" t="n"/>
      <c r="V1324" s="89" t="n"/>
      <c r="W1324" s="88" t="n"/>
      <c r="X1324" s="89" t="n"/>
      <c r="Y1324" s="88" t="n"/>
      <c r="Z1324" s="89" t="n"/>
      <c r="AB1324" s="25">
        <f>IF($B1324="","",(COUNTIF(C1324:E1324,"?*")&lt;N(INDEX(Setup!$L$6:$L$23,17)))+(COUNTIF(G1324:I1324,"?*")&lt;N(INDEX(Setup!$L$6:$L$23,17)))+(COUNTIF(K1324:M1324,"?*")&lt;N(INDEX(Setup!$L$6:$L$23,17)))+(COUNTIF(O1324:Q1324,"?*")&lt;N(INDEX(Setup!$L$6:$L$23,17)))+(COUNTIF(S1324:U1324,"?*")&lt;N(INDEX(Setup!$L$6:$L$23,17)))+((W1324="")*(INDEX(Setup!$M$6:$M$23,17)="Y"))+((Y1324="")*(INDEX(Setup!$M$6:$M$23,17)="Y")))</f>
        <v/>
      </c>
      <c r="AC1324" s="90">
        <f>IF($B1324="","",IF(AB1324=0,"✓ covered","⚠ "&amp;AB1324&amp;IF(AB1324=1," gap"," gaps")))</f>
        <v/>
      </c>
    </row>
    <row r="1325" ht="17" customHeight="1">
      <c r="A1325" t="n">
        <v>27</v>
      </c>
      <c r="B1325" s="29">
        <f>IF(Setup!$K$23="","",Setup!$K$23)</f>
        <v/>
      </c>
      <c r="C1325" s="88" t="n"/>
      <c r="D1325" s="88" t="n"/>
      <c r="E1325" s="88" t="n"/>
      <c r="F1325" s="89" t="n"/>
      <c r="G1325" s="88" t="n"/>
      <c r="H1325" s="88" t="n"/>
      <c r="I1325" s="88" t="n"/>
      <c r="J1325" s="89" t="n"/>
      <c r="K1325" s="88" t="n"/>
      <c r="L1325" s="88" t="n"/>
      <c r="M1325" s="88" t="n"/>
      <c r="N1325" s="89" t="n"/>
      <c r="O1325" s="88" t="n"/>
      <c r="P1325" s="88" t="n"/>
      <c r="Q1325" s="88" t="n"/>
      <c r="R1325" s="89" t="n"/>
      <c r="S1325" s="88" t="n"/>
      <c r="T1325" s="88" t="n"/>
      <c r="U1325" s="88" t="n"/>
      <c r="V1325" s="89" t="n"/>
      <c r="W1325" s="88" t="n"/>
      <c r="X1325" s="89" t="n"/>
      <c r="Y1325" s="88" t="n"/>
      <c r="Z1325" s="89" t="n"/>
      <c r="AB1325" s="30">
        <f>IF($B1325="","",(COUNTIF(C1325:E1325,"?*")&lt;N(INDEX(Setup!$L$6:$L$23,18)))+(COUNTIF(G1325:I1325,"?*")&lt;N(INDEX(Setup!$L$6:$L$23,18)))+(COUNTIF(K1325:M1325,"?*")&lt;N(INDEX(Setup!$L$6:$L$23,18)))+(COUNTIF(O1325:Q1325,"?*")&lt;N(INDEX(Setup!$L$6:$L$23,18)))+(COUNTIF(S1325:U1325,"?*")&lt;N(INDEX(Setup!$L$6:$L$23,18)))+((W1325="")*(INDEX(Setup!$M$6:$M$23,18)="Y"))+((Y1325="")*(INDEX(Setup!$M$6:$M$23,18)="Y")))</f>
        <v/>
      </c>
      <c r="AC1325" s="91">
        <f>IF($B1325="","",IF(AB1325=0,"✓ covered","⚠ "&amp;AB1325&amp;IF(AB1325=1," gap"," gaps")))</f>
        <v/>
      </c>
    </row>
    <row r="1326" ht="18" customHeight="1">
      <c r="A1326" t="n">
        <v>27</v>
      </c>
      <c r="B1326" s="78" t="inlineStr">
        <is>
          <t>TEAM AVAILABILITY</t>
        </is>
      </c>
      <c r="C1326" s="92" t="inlineStr">
        <is>
          <t>Mon</t>
        </is>
      </c>
      <c r="D1326" s="93" t="n"/>
      <c r="E1326" s="93" t="n"/>
      <c r="F1326" s="94" t="n"/>
      <c r="G1326" s="92" t="inlineStr">
        <is>
          <t>Tue</t>
        </is>
      </c>
      <c r="H1326" s="93" t="n"/>
      <c r="I1326" s="93" t="n"/>
      <c r="J1326" s="94" t="n"/>
      <c r="K1326" s="92" t="inlineStr">
        <is>
          <t>Wed</t>
        </is>
      </c>
      <c r="L1326" s="93" t="n"/>
      <c r="M1326" s="93" t="n"/>
      <c r="N1326" s="94" t="n"/>
      <c r="O1326" s="92" t="inlineStr">
        <is>
          <t>Thu</t>
        </is>
      </c>
      <c r="P1326" s="93" t="n"/>
      <c r="Q1326" s="93" t="n"/>
      <c r="R1326" s="94" t="n"/>
      <c r="S1326" s="92" t="inlineStr">
        <is>
          <t>Fri</t>
        </is>
      </c>
      <c r="T1326" s="93" t="n"/>
      <c r="U1326" s="93" t="n"/>
      <c r="V1326" s="94" t="n"/>
      <c r="W1326" s="95" t="inlineStr">
        <is>
          <t>Sat</t>
        </is>
      </c>
      <c r="X1326" s="96" t="n"/>
      <c r="Y1326" s="95" t="inlineStr">
        <is>
          <t>Sun</t>
        </is>
      </c>
      <c r="Z1326" s="96" t="n"/>
      <c r="AB1326" s="97" t="inlineStr">
        <is>
          <t>Days rostered</t>
        </is>
      </c>
      <c r="AC1326" s="97" t="inlineStr">
        <is>
          <t>Conflicts</t>
        </is>
      </c>
    </row>
    <row r="1327" ht="15" customHeight="1">
      <c r="A1327" t="n">
        <v>27</v>
      </c>
      <c r="B1327" s="35">
        <f>IF(Setup!$B$6="","",Setup!$B$6)</f>
        <v/>
      </c>
      <c r="C1327" s="98" t="inlineStr">
        <is>
          <t>AL</t>
        </is>
      </c>
      <c r="D1327" s="99" t="n"/>
      <c r="E1327" s="99" t="n"/>
      <c r="F1327" s="100" t="n"/>
      <c r="G1327" s="98" t="n"/>
      <c r="H1327" s="99" t="n"/>
      <c r="I1327" s="99" t="n"/>
      <c r="J1327" s="100" t="n"/>
      <c r="K1327" s="98" t="n"/>
      <c r="L1327" s="99" t="n"/>
      <c r="M1327" s="99" t="n"/>
      <c r="N1327" s="100" t="n"/>
      <c r="O1327" s="98" t="n"/>
      <c r="P1327" s="99" t="n"/>
      <c r="Q1327" s="99" t="n"/>
      <c r="R1327" s="100" t="n"/>
      <c r="S1327" s="98" t="n"/>
      <c r="T1327" s="99" t="n"/>
      <c r="U1327" s="99" t="n"/>
      <c r="V1327" s="100" t="n"/>
      <c r="W1327" s="98" t="n"/>
      <c r="X1327" s="100" t="n"/>
      <c r="Y1327" s="98" t="n"/>
      <c r="Z1327" s="100" t="n"/>
      <c r="AB1327" s="101">
        <f>IF($B1327="","",(COUNTIF(C1308:E1325,$B1327)+COUNTIF(C1308:E1325,$B1327&amp;" ~*")&gt;0)+(COUNTIF(G1308:I1325,$B1327)+COUNTIF(G1308:I1325,$B1327&amp;" ~*")&gt;0)+(COUNTIF(K1308:M1325,$B1327)+COUNTIF(K1308:M1325,$B1327&amp;" ~*")&gt;0)+(COUNTIF(O1308:Q1325,$B1327)+COUNTIF(O1308:Q1325,$B1327&amp;" ~*")&gt;0)+(COUNTIF(S1308:U1325,$B1327)+COUNTIF(S1308:U1325,$B1327&amp;" ~*")&gt;0)+(COUNTIF(W1308:W1325,$B1327)+COUNTIF(W1308:W1325,$B1327&amp;" ~*")&gt;0)+(COUNTIF(Y1308:Y1325,$B1327)+COUNTIF(Y1308:Y1325,$B1327&amp;" ~*")&gt;0))</f>
        <v/>
      </c>
      <c r="AC1327" s="36">
        <f>IF($B1327="","",(IFERROR(INDEX(Setup!$G$33:$G$40,MATCH(C1327,Setup!$B$33:$B$40,0)),0)=1)*(COUNTIF(C1308:E1325,$B1327)+COUNTIF(C1308:E1325,$B1327&amp;" ~*")&gt;0)+(IFERROR(INDEX(Setup!$G$33:$G$40,MATCH(G1327,Setup!$B$33:$B$40,0)),0)=1)*(COUNTIF(G1308:I1325,$B1327)+COUNTIF(G1308:I1325,$B1327&amp;" ~*")&gt;0)+(IFERROR(INDEX(Setup!$G$33:$G$40,MATCH(K1327,Setup!$B$33:$B$40,0)),0)=1)*(COUNTIF(K1308:M1325,$B1327)+COUNTIF(K1308:M1325,$B1327&amp;" ~*")&gt;0)+(IFERROR(INDEX(Setup!$G$33:$G$40,MATCH(O1327,Setup!$B$33:$B$40,0)),0)=1)*(COUNTIF(O1308:Q1325,$B1327)+COUNTIF(O1308:Q1325,$B1327&amp;" ~*")&gt;0)+(IFERROR(INDEX(Setup!$G$33:$G$40,MATCH(S1327,Setup!$B$33:$B$40,0)),0)=1)*(COUNTIF(S1308:U1325,$B1327)+COUNTIF(S1308:U1325,$B1327&amp;" ~*")&gt;0)+(IFERROR(INDEX(Setup!$G$33:$G$40,MATCH(W1327,Setup!$B$33:$B$40,0)),0)=1)*(COUNTIF(W1308:W1325,$B1327)+COUNTIF(W1308:W1325,$B1327&amp;" ~*")&gt;0)+(IFERROR(INDEX(Setup!$G$33:$G$40,MATCH(Y1327,Setup!$B$33:$B$40,0)),0)=1)*(COUNTIF(Y1308:Y1325,$B1327)+COUNTIF(Y1308:Y1325,$B1327&amp;" ~*")&gt;0))</f>
        <v/>
      </c>
    </row>
    <row r="1328" ht="15" customHeight="1">
      <c r="A1328" t="n">
        <v>27</v>
      </c>
      <c r="B1328" s="37">
        <f>IF(Setup!$B$7="","",Setup!$B$7)</f>
        <v/>
      </c>
      <c r="C1328" s="102" t="n"/>
      <c r="D1328" s="103" t="n"/>
      <c r="E1328" s="103" t="n"/>
      <c r="F1328" s="104" t="n"/>
      <c r="G1328" s="102" t="n"/>
      <c r="H1328" s="103" t="n"/>
      <c r="I1328" s="103" t="n"/>
      <c r="J1328" s="104" t="n"/>
      <c r="K1328" s="102" t="n"/>
      <c r="L1328" s="103" t="n"/>
      <c r="M1328" s="103" t="n"/>
      <c r="N1328" s="104" t="n"/>
      <c r="O1328" s="102" t="n"/>
      <c r="P1328" s="103" t="n"/>
      <c r="Q1328" s="103" t="n"/>
      <c r="R1328" s="104" t="n"/>
      <c r="S1328" s="102" t="n"/>
      <c r="T1328" s="103" t="n"/>
      <c r="U1328" s="103" t="n"/>
      <c r="V1328" s="104" t="n"/>
      <c r="W1328" s="102" t="n"/>
      <c r="X1328" s="104" t="n"/>
      <c r="Y1328" s="102" t="n"/>
      <c r="Z1328" s="104" t="n"/>
      <c r="AB1328" s="105">
        <f>IF($B1328="","",(COUNTIF(C1308:E1325,$B1328)+COUNTIF(C1308:E1325,$B1328&amp;" ~*")&gt;0)+(COUNTIF(G1308:I1325,$B1328)+COUNTIF(G1308:I1325,$B1328&amp;" ~*")&gt;0)+(COUNTIF(K1308:M1325,$B1328)+COUNTIF(K1308:M1325,$B1328&amp;" ~*")&gt;0)+(COUNTIF(O1308:Q1325,$B1328)+COUNTIF(O1308:Q1325,$B1328&amp;" ~*")&gt;0)+(COUNTIF(S1308:U1325,$B1328)+COUNTIF(S1308:U1325,$B1328&amp;" ~*")&gt;0)+(COUNTIF(W1308:W1325,$B1328)+COUNTIF(W1308:W1325,$B1328&amp;" ~*")&gt;0)+(COUNTIF(Y1308:Y1325,$B1328)+COUNTIF(Y1308:Y1325,$B1328&amp;" ~*")&gt;0))</f>
        <v/>
      </c>
      <c r="AC1328" s="38">
        <f>IF($B1328="","",(IFERROR(INDEX(Setup!$G$33:$G$40,MATCH(C1328,Setup!$B$33:$B$40,0)),0)=1)*(COUNTIF(C1308:E1325,$B1328)+COUNTIF(C1308:E1325,$B1328&amp;" ~*")&gt;0)+(IFERROR(INDEX(Setup!$G$33:$G$40,MATCH(G1328,Setup!$B$33:$B$40,0)),0)=1)*(COUNTIF(G1308:I1325,$B1328)+COUNTIF(G1308:I1325,$B1328&amp;" ~*")&gt;0)+(IFERROR(INDEX(Setup!$G$33:$G$40,MATCH(K1328,Setup!$B$33:$B$40,0)),0)=1)*(COUNTIF(K1308:M1325,$B1328)+COUNTIF(K1308:M1325,$B1328&amp;" ~*")&gt;0)+(IFERROR(INDEX(Setup!$G$33:$G$40,MATCH(O1328,Setup!$B$33:$B$40,0)),0)=1)*(COUNTIF(O1308:Q1325,$B1328)+COUNTIF(O1308:Q1325,$B1328&amp;" ~*")&gt;0)+(IFERROR(INDEX(Setup!$G$33:$G$40,MATCH(S1328,Setup!$B$33:$B$40,0)),0)=1)*(COUNTIF(S1308:U1325,$B1328)+COUNTIF(S1308:U1325,$B1328&amp;" ~*")&gt;0)+(IFERROR(INDEX(Setup!$G$33:$G$40,MATCH(W1328,Setup!$B$33:$B$40,0)),0)=1)*(COUNTIF(W1308:W1325,$B1328)+COUNTIF(W1308:W1325,$B1328&amp;" ~*")&gt;0)+(IFERROR(INDEX(Setup!$G$33:$G$40,MATCH(Y1328,Setup!$B$33:$B$40,0)),0)=1)*(COUNTIF(Y1308:Y1325,$B1328)+COUNTIF(Y1308:Y1325,$B1328&amp;" ~*")&gt;0))</f>
        <v/>
      </c>
    </row>
    <row r="1329" ht="15" customHeight="1">
      <c r="A1329" t="n">
        <v>27</v>
      </c>
      <c r="B1329" s="35">
        <f>IF(Setup!$B$8="","",Setup!$B$8)</f>
        <v/>
      </c>
      <c r="C1329" s="98" t="n"/>
      <c r="D1329" s="99" t="n"/>
      <c r="E1329" s="99" t="n"/>
      <c r="F1329" s="100" t="n"/>
      <c r="G1329" s="98" t="n"/>
      <c r="H1329" s="99" t="n"/>
      <c r="I1329" s="99" t="n"/>
      <c r="J1329" s="100" t="n"/>
      <c r="K1329" s="98" t="n"/>
      <c r="L1329" s="99" t="n"/>
      <c r="M1329" s="99" t="n"/>
      <c r="N1329" s="100" t="n"/>
      <c r="O1329" s="98" t="n"/>
      <c r="P1329" s="99" t="n"/>
      <c r="Q1329" s="99" t="n"/>
      <c r="R1329" s="100" t="n"/>
      <c r="S1329" s="98" t="n"/>
      <c r="T1329" s="99" t="n"/>
      <c r="U1329" s="99" t="n"/>
      <c r="V1329" s="100" t="n"/>
      <c r="W1329" s="98" t="n"/>
      <c r="X1329" s="100" t="n"/>
      <c r="Y1329" s="98" t="n"/>
      <c r="Z1329" s="100" t="n"/>
      <c r="AB1329" s="101">
        <f>IF($B1329="","",(COUNTIF(C1308:E1325,$B1329)+COUNTIF(C1308:E1325,$B1329&amp;" ~*")&gt;0)+(COUNTIF(G1308:I1325,$B1329)+COUNTIF(G1308:I1325,$B1329&amp;" ~*")&gt;0)+(COUNTIF(K1308:M1325,$B1329)+COUNTIF(K1308:M1325,$B1329&amp;" ~*")&gt;0)+(COUNTIF(O1308:Q1325,$B1329)+COUNTIF(O1308:Q1325,$B1329&amp;" ~*")&gt;0)+(COUNTIF(S1308:U1325,$B1329)+COUNTIF(S1308:U1325,$B1329&amp;" ~*")&gt;0)+(COUNTIF(W1308:W1325,$B1329)+COUNTIF(W1308:W1325,$B1329&amp;" ~*")&gt;0)+(COUNTIF(Y1308:Y1325,$B1329)+COUNTIF(Y1308:Y1325,$B1329&amp;" ~*")&gt;0))</f>
        <v/>
      </c>
      <c r="AC1329" s="36">
        <f>IF($B1329="","",(IFERROR(INDEX(Setup!$G$33:$G$40,MATCH(C1329,Setup!$B$33:$B$40,0)),0)=1)*(COUNTIF(C1308:E1325,$B1329)+COUNTIF(C1308:E1325,$B1329&amp;" ~*")&gt;0)+(IFERROR(INDEX(Setup!$G$33:$G$40,MATCH(G1329,Setup!$B$33:$B$40,0)),0)=1)*(COUNTIF(G1308:I1325,$B1329)+COUNTIF(G1308:I1325,$B1329&amp;" ~*")&gt;0)+(IFERROR(INDEX(Setup!$G$33:$G$40,MATCH(K1329,Setup!$B$33:$B$40,0)),0)=1)*(COUNTIF(K1308:M1325,$B1329)+COUNTIF(K1308:M1325,$B1329&amp;" ~*")&gt;0)+(IFERROR(INDEX(Setup!$G$33:$G$40,MATCH(O1329,Setup!$B$33:$B$40,0)),0)=1)*(COUNTIF(O1308:Q1325,$B1329)+COUNTIF(O1308:Q1325,$B1329&amp;" ~*")&gt;0)+(IFERROR(INDEX(Setup!$G$33:$G$40,MATCH(S1329,Setup!$B$33:$B$40,0)),0)=1)*(COUNTIF(S1308:U1325,$B1329)+COUNTIF(S1308:U1325,$B1329&amp;" ~*")&gt;0)+(IFERROR(INDEX(Setup!$G$33:$G$40,MATCH(W1329,Setup!$B$33:$B$40,0)),0)=1)*(COUNTIF(W1308:W1325,$B1329)+COUNTIF(W1308:W1325,$B1329&amp;" ~*")&gt;0)+(IFERROR(INDEX(Setup!$G$33:$G$40,MATCH(Y1329,Setup!$B$33:$B$40,0)),0)=1)*(COUNTIF(Y1308:Y1325,$B1329)+COUNTIF(Y1308:Y1325,$B1329&amp;" ~*")&gt;0))</f>
        <v/>
      </c>
    </row>
    <row r="1330" ht="15" customHeight="1">
      <c r="A1330" t="n">
        <v>27</v>
      </c>
      <c r="B1330" s="37">
        <f>IF(Setup!$B$9="","",Setup!$B$9)</f>
        <v/>
      </c>
      <c r="C1330" s="102" t="n"/>
      <c r="D1330" s="103" t="n"/>
      <c r="E1330" s="103" t="n"/>
      <c r="F1330" s="104" t="n"/>
      <c r="G1330" s="102" t="n"/>
      <c r="H1330" s="103" t="n"/>
      <c r="I1330" s="103" t="n"/>
      <c r="J1330" s="104" t="n"/>
      <c r="K1330" s="102" t="n"/>
      <c r="L1330" s="103" t="n"/>
      <c r="M1330" s="103" t="n"/>
      <c r="N1330" s="104" t="n"/>
      <c r="O1330" s="102" t="n"/>
      <c r="P1330" s="103" t="n"/>
      <c r="Q1330" s="103" t="n"/>
      <c r="R1330" s="104" t="n"/>
      <c r="S1330" s="102" t="n"/>
      <c r="T1330" s="103" t="n"/>
      <c r="U1330" s="103" t="n"/>
      <c r="V1330" s="104" t="n"/>
      <c r="W1330" s="102" t="n"/>
      <c r="X1330" s="104" t="n"/>
      <c r="Y1330" s="102" t="n"/>
      <c r="Z1330" s="104" t="n"/>
      <c r="AB1330" s="105">
        <f>IF($B1330="","",(COUNTIF(C1308:E1325,$B1330)+COUNTIF(C1308:E1325,$B1330&amp;" ~*")&gt;0)+(COUNTIF(G1308:I1325,$B1330)+COUNTIF(G1308:I1325,$B1330&amp;" ~*")&gt;0)+(COUNTIF(K1308:M1325,$B1330)+COUNTIF(K1308:M1325,$B1330&amp;" ~*")&gt;0)+(COUNTIF(O1308:Q1325,$B1330)+COUNTIF(O1308:Q1325,$B1330&amp;" ~*")&gt;0)+(COUNTIF(S1308:U1325,$B1330)+COUNTIF(S1308:U1325,$B1330&amp;" ~*")&gt;0)+(COUNTIF(W1308:W1325,$B1330)+COUNTIF(W1308:W1325,$B1330&amp;" ~*")&gt;0)+(COUNTIF(Y1308:Y1325,$B1330)+COUNTIF(Y1308:Y1325,$B1330&amp;" ~*")&gt;0))</f>
        <v/>
      </c>
      <c r="AC1330" s="38">
        <f>IF($B1330="","",(IFERROR(INDEX(Setup!$G$33:$G$40,MATCH(C1330,Setup!$B$33:$B$40,0)),0)=1)*(COUNTIF(C1308:E1325,$B1330)+COUNTIF(C1308:E1325,$B1330&amp;" ~*")&gt;0)+(IFERROR(INDEX(Setup!$G$33:$G$40,MATCH(G1330,Setup!$B$33:$B$40,0)),0)=1)*(COUNTIF(G1308:I1325,$B1330)+COUNTIF(G1308:I1325,$B1330&amp;" ~*")&gt;0)+(IFERROR(INDEX(Setup!$G$33:$G$40,MATCH(K1330,Setup!$B$33:$B$40,0)),0)=1)*(COUNTIF(K1308:M1325,$B1330)+COUNTIF(K1308:M1325,$B1330&amp;" ~*")&gt;0)+(IFERROR(INDEX(Setup!$G$33:$G$40,MATCH(O1330,Setup!$B$33:$B$40,0)),0)=1)*(COUNTIF(O1308:Q1325,$B1330)+COUNTIF(O1308:Q1325,$B1330&amp;" ~*")&gt;0)+(IFERROR(INDEX(Setup!$G$33:$G$40,MATCH(S1330,Setup!$B$33:$B$40,0)),0)=1)*(COUNTIF(S1308:U1325,$B1330)+COUNTIF(S1308:U1325,$B1330&amp;" ~*")&gt;0)+(IFERROR(INDEX(Setup!$G$33:$G$40,MATCH(W1330,Setup!$B$33:$B$40,0)),0)=1)*(COUNTIF(W1308:W1325,$B1330)+COUNTIF(W1308:W1325,$B1330&amp;" ~*")&gt;0)+(IFERROR(INDEX(Setup!$G$33:$G$40,MATCH(Y1330,Setup!$B$33:$B$40,0)),0)=1)*(COUNTIF(Y1308:Y1325,$B1330)+COUNTIF(Y1308:Y1325,$B1330&amp;" ~*")&gt;0))</f>
        <v/>
      </c>
    </row>
    <row r="1331" ht="15" customHeight="1">
      <c r="A1331" t="n">
        <v>27</v>
      </c>
      <c r="B1331" s="35">
        <f>IF(Setup!$B$10="","",Setup!$B$10)</f>
        <v/>
      </c>
      <c r="C1331" s="98" t="n"/>
      <c r="D1331" s="99" t="n"/>
      <c r="E1331" s="99" t="n"/>
      <c r="F1331" s="100" t="n"/>
      <c r="G1331" s="98" t="n"/>
      <c r="H1331" s="99" t="n"/>
      <c r="I1331" s="99" t="n"/>
      <c r="J1331" s="100" t="n"/>
      <c r="K1331" s="98" t="n"/>
      <c r="L1331" s="99" t="n"/>
      <c r="M1331" s="99" t="n"/>
      <c r="N1331" s="100" t="n"/>
      <c r="O1331" s="98" t="n"/>
      <c r="P1331" s="99" t="n"/>
      <c r="Q1331" s="99" t="n"/>
      <c r="R1331" s="100" t="n"/>
      <c r="S1331" s="98" t="n"/>
      <c r="T1331" s="99" t="n"/>
      <c r="U1331" s="99" t="n"/>
      <c r="V1331" s="100" t="n"/>
      <c r="W1331" s="98" t="n"/>
      <c r="X1331" s="100" t="n"/>
      <c r="Y1331" s="98" t="n"/>
      <c r="Z1331" s="100" t="n"/>
      <c r="AB1331" s="101">
        <f>IF($B1331="","",(COUNTIF(C1308:E1325,$B1331)+COUNTIF(C1308:E1325,$B1331&amp;" ~*")&gt;0)+(COUNTIF(G1308:I1325,$B1331)+COUNTIF(G1308:I1325,$B1331&amp;" ~*")&gt;0)+(COUNTIF(K1308:M1325,$B1331)+COUNTIF(K1308:M1325,$B1331&amp;" ~*")&gt;0)+(COUNTIF(O1308:Q1325,$B1331)+COUNTIF(O1308:Q1325,$B1331&amp;" ~*")&gt;0)+(COUNTIF(S1308:U1325,$B1331)+COUNTIF(S1308:U1325,$B1331&amp;" ~*")&gt;0)+(COUNTIF(W1308:W1325,$B1331)+COUNTIF(W1308:W1325,$B1331&amp;" ~*")&gt;0)+(COUNTIF(Y1308:Y1325,$B1331)+COUNTIF(Y1308:Y1325,$B1331&amp;" ~*")&gt;0))</f>
        <v/>
      </c>
      <c r="AC1331" s="36">
        <f>IF($B1331="","",(IFERROR(INDEX(Setup!$G$33:$G$40,MATCH(C1331,Setup!$B$33:$B$40,0)),0)=1)*(COUNTIF(C1308:E1325,$B1331)+COUNTIF(C1308:E1325,$B1331&amp;" ~*")&gt;0)+(IFERROR(INDEX(Setup!$G$33:$G$40,MATCH(G1331,Setup!$B$33:$B$40,0)),0)=1)*(COUNTIF(G1308:I1325,$B1331)+COUNTIF(G1308:I1325,$B1331&amp;" ~*")&gt;0)+(IFERROR(INDEX(Setup!$G$33:$G$40,MATCH(K1331,Setup!$B$33:$B$40,0)),0)=1)*(COUNTIF(K1308:M1325,$B1331)+COUNTIF(K1308:M1325,$B1331&amp;" ~*")&gt;0)+(IFERROR(INDEX(Setup!$G$33:$G$40,MATCH(O1331,Setup!$B$33:$B$40,0)),0)=1)*(COUNTIF(O1308:Q1325,$B1331)+COUNTIF(O1308:Q1325,$B1331&amp;" ~*")&gt;0)+(IFERROR(INDEX(Setup!$G$33:$G$40,MATCH(S1331,Setup!$B$33:$B$40,0)),0)=1)*(COUNTIF(S1308:U1325,$B1331)+COUNTIF(S1308:U1325,$B1331&amp;" ~*")&gt;0)+(IFERROR(INDEX(Setup!$G$33:$G$40,MATCH(W1331,Setup!$B$33:$B$40,0)),0)=1)*(COUNTIF(W1308:W1325,$B1331)+COUNTIF(W1308:W1325,$B1331&amp;" ~*")&gt;0)+(IFERROR(INDEX(Setup!$G$33:$G$40,MATCH(Y1331,Setup!$B$33:$B$40,0)),0)=1)*(COUNTIF(Y1308:Y1325,$B1331)+COUNTIF(Y1308:Y1325,$B1331&amp;" ~*")&gt;0))</f>
        <v/>
      </c>
    </row>
    <row r="1332" ht="15" customHeight="1">
      <c r="A1332" t="n">
        <v>27</v>
      </c>
      <c r="B1332" s="37">
        <f>IF(Setup!$B$11="","",Setup!$B$11)</f>
        <v/>
      </c>
      <c r="C1332" s="102" t="n"/>
      <c r="D1332" s="103" t="n"/>
      <c r="E1332" s="103" t="n"/>
      <c r="F1332" s="104" t="n"/>
      <c r="G1332" s="102" t="n"/>
      <c r="H1332" s="103" t="n"/>
      <c r="I1332" s="103" t="n"/>
      <c r="J1332" s="104" t="n"/>
      <c r="K1332" s="102" t="n"/>
      <c r="L1332" s="103" t="n"/>
      <c r="M1332" s="103" t="n"/>
      <c r="N1332" s="104" t="n"/>
      <c r="O1332" s="102" t="n"/>
      <c r="P1332" s="103" t="n"/>
      <c r="Q1332" s="103" t="n"/>
      <c r="R1332" s="104" t="n"/>
      <c r="S1332" s="102" t="n"/>
      <c r="T1332" s="103" t="n"/>
      <c r="U1332" s="103" t="n"/>
      <c r="V1332" s="104" t="n"/>
      <c r="W1332" s="102" t="n"/>
      <c r="X1332" s="104" t="n"/>
      <c r="Y1332" s="102" t="n"/>
      <c r="Z1332" s="104" t="n"/>
      <c r="AB1332" s="105">
        <f>IF($B1332="","",(COUNTIF(C1308:E1325,$B1332)+COUNTIF(C1308:E1325,$B1332&amp;" ~*")&gt;0)+(COUNTIF(G1308:I1325,$B1332)+COUNTIF(G1308:I1325,$B1332&amp;" ~*")&gt;0)+(COUNTIF(K1308:M1325,$B1332)+COUNTIF(K1308:M1325,$B1332&amp;" ~*")&gt;0)+(COUNTIF(O1308:Q1325,$B1332)+COUNTIF(O1308:Q1325,$B1332&amp;" ~*")&gt;0)+(COUNTIF(S1308:U1325,$B1332)+COUNTIF(S1308:U1325,$B1332&amp;" ~*")&gt;0)+(COUNTIF(W1308:W1325,$B1332)+COUNTIF(W1308:W1325,$B1332&amp;" ~*")&gt;0)+(COUNTIF(Y1308:Y1325,$B1332)+COUNTIF(Y1308:Y1325,$B1332&amp;" ~*")&gt;0))</f>
        <v/>
      </c>
      <c r="AC1332" s="38">
        <f>IF($B1332="","",(IFERROR(INDEX(Setup!$G$33:$G$40,MATCH(C1332,Setup!$B$33:$B$40,0)),0)=1)*(COUNTIF(C1308:E1325,$B1332)+COUNTIF(C1308:E1325,$B1332&amp;" ~*")&gt;0)+(IFERROR(INDEX(Setup!$G$33:$G$40,MATCH(G1332,Setup!$B$33:$B$40,0)),0)=1)*(COUNTIF(G1308:I1325,$B1332)+COUNTIF(G1308:I1325,$B1332&amp;" ~*")&gt;0)+(IFERROR(INDEX(Setup!$G$33:$G$40,MATCH(K1332,Setup!$B$33:$B$40,0)),0)=1)*(COUNTIF(K1308:M1325,$B1332)+COUNTIF(K1308:M1325,$B1332&amp;" ~*")&gt;0)+(IFERROR(INDEX(Setup!$G$33:$G$40,MATCH(O1332,Setup!$B$33:$B$40,0)),0)=1)*(COUNTIF(O1308:Q1325,$B1332)+COUNTIF(O1308:Q1325,$B1332&amp;" ~*")&gt;0)+(IFERROR(INDEX(Setup!$G$33:$G$40,MATCH(S1332,Setup!$B$33:$B$40,0)),0)=1)*(COUNTIF(S1308:U1325,$B1332)+COUNTIF(S1308:U1325,$B1332&amp;" ~*")&gt;0)+(IFERROR(INDEX(Setup!$G$33:$G$40,MATCH(W1332,Setup!$B$33:$B$40,0)),0)=1)*(COUNTIF(W1308:W1325,$B1332)+COUNTIF(W1308:W1325,$B1332&amp;" ~*")&gt;0)+(IFERROR(INDEX(Setup!$G$33:$G$40,MATCH(Y1332,Setup!$B$33:$B$40,0)),0)=1)*(COUNTIF(Y1308:Y1325,$B1332)+COUNTIF(Y1308:Y1325,$B1332&amp;" ~*")&gt;0))</f>
        <v/>
      </c>
    </row>
    <row r="1333" ht="15" customHeight="1">
      <c r="A1333" t="n">
        <v>27</v>
      </c>
      <c r="B1333" s="35">
        <f>IF(Setup!$B$12="","",Setup!$B$12)</f>
        <v/>
      </c>
      <c r="C1333" s="98" t="n"/>
      <c r="D1333" s="99" t="n"/>
      <c r="E1333" s="99" t="n"/>
      <c r="F1333" s="100" t="n"/>
      <c r="G1333" s="98" t="n"/>
      <c r="H1333" s="99" t="n"/>
      <c r="I1333" s="99" t="n"/>
      <c r="J1333" s="100" t="n"/>
      <c r="K1333" s="98" t="n"/>
      <c r="L1333" s="99" t="n"/>
      <c r="M1333" s="99" t="n"/>
      <c r="N1333" s="100" t="n"/>
      <c r="O1333" s="98" t="n"/>
      <c r="P1333" s="99" t="n"/>
      <c r="Q1333" s="99" t="n"/>
      <c r="R1333" s="100" t="n"/>
      <c r="S1333" s="98" t="n"/>
      <c r="T1333" s="99" t="n"/>
      <c r="U1333" s="99" t="n"/>
      <c r="V1333" s="100" t="n"/>
      <c r="W1333" s="98" t="n"/>
      <c r="X1333" s="100" t="n"/>
      <c r="Y1333" s="98" t="n"/>
      <c r="Z1333" s="100" t="n"/>
      <c r="AB1333" s="101">
        <f>IF($B1333="","",(COUNTIF(C1308:E1325,$B1333)+COUNTIF(C1308:E1325,$B1333&amp;" ~*")&gt;0)+(COUNTIF(G1308:I1325,$B1333)+COUNTIF(G1308:I1325,$B1333&amp;" ~*")&gt;0)+(COUNTIF(K1308:M1325,$B1333)+COUNTIF(K1308:M1325,$B1333&amp;" ~*")&gt;0)+(COUNTIF(O1308:Q1325,$B1333)+COUNTIF(O1308:Q1325,$B1333&amp;" ~*")&gt;0)+(COUNTIF(S1308:U1325,$B1333)+COUNTIF(S1308:U1325,$B1333&amp;" ~*")&gt;0)+(COUNTIF(W1308:W1325,$B1333)+COUNTIF(W1308:W1325,$B1333&amp;" ~*")&gt;0)+(COUNTIF(Y1308:Y1325,$B1333)+COUNTIF(Y1308:Y1325,$B1333&amp;" ~*")&gt;0))</f>
        <v/>
      </c>
      <c r="AC1333" s="36">
        <f>IF($B1333="","",(IFERROR(INDEX(Setup!$G$33:$G$40,MATCH(C1333,Setup!$B$33:$B$40,0)),0)=1)*(COUNTIF(C1308:E1325,$B1333)+COUNTIF(C1308:E1325,$B1333&amp;" ~*")&gt;0)+(IFERROR(INDEX(Setup!$G$33:$G$40,MATCH(G1333,Setup!$B$33:$B$40,0)),0)=1)*(COUNTIF(G1308:I1325,$B1333)+COUNTIF(G1308:I1325,$B1333&amp;" ~*")&gt;0)+(IFERROR(INDEX(Setup!$G$33:$G$40,MATCH(K1333,Setup!$B$33:$B$40,0)),0)=1)*(COUNTIF(K1308:M1325,$B1333)+COUNTIF(K1308:M1325,$B1333&amp;" ~*")&gt;0)+(IFERROR(INDEX(Setup!$G$33:$G$40,MATCH(O1333,Setup!$B$33:$B$40,0)),0)=1)*(COUNTIF(O1308:Q1325,$B1333)+COUNTIF(O1308:Q1325,$B1333&amp;" ~*")&gt;0)+(IFERROR(INDEX(Setup!$G$33:$G$40,MATCH(S1333,Setup!$B$33:$B$40,0)),0)=1)*(COUNTIF(S1308:U1325,$B1333)+COUNTIF(S1308:U1325,$B1333&amp;" ~*")&gt;0)+(IFERROR(INDEX(Setup!$G$33:$G$40,MATCH(W1333,Setup!$B$33:$B$40,0)),0)=1)*(COUNTIF(W1308:W1325,$B1333)+COUNTIF(W1308:W1325,$B1333&amp;" ~*")&gt;0)+(IFERROR(INDEX(Setup!$G$33:$G$40,MATCH(Y1333,Setup!$B$33:$B$40,0)),0)=1)*(COUNTIF(Y1308:Y1325,$B1333)+COUNTIF(Y1308:Y1325,$B1333&amp;" ~*")&gt;0))</f>
        <v/>
      </c>
    </row>
    <row r="1334" ht="15" customHeight="1">
      <c r="A1334" t="n">
        <v>27</v>
      </c>
      <c r="B1334" s="37">
        <f>IF(Setup!$B$13="","",Setup!$B$13)</f>
        <v/>
      </c>
      <c r="C1334" s="102" t="n"/>
      <c r="D1334" s="103" t="n"/>
      <c r="E1334" s="103" t="n"/>
      <c r="F1334" s="104" t="n"/>
      <c r="G1334" s="102" t="n"/>
      <c r="H1334" s="103" t="n"/>
      <c r="I1334" s="103" t="n"/>
      <c r="J1334" s="104" t="n"/>
      <c r="K1334" s="102" t="n"/>
      <c r="L1334" s="103" t="n"/>
      <c r="M1334" s="103" t="n"/>
      <c r="N1334" s="104" t="n"/>
      <c r="O1334" s="102" t="n"/>
      <c r="P1334" s="103" t="n"/>
      <c r="Q1334" s="103" t="n"/>
      <c r="R1334" s="104" t="n"/>
      <c r="S1334" s="102" t="n"/>
      <c r="T1334" s="103" t="n"/>
      <c r="U1334" s="103" t="n"/>
      <c r="V1334" s="104" t="n"/>
      <c r="W1334" s="102" t="n"/>
      <c r="X1334" s="104" t="n"/>
      <c r="Y1334" s="102" t="n"/>
      <c r="Z1334" s="104" t="n"/>
      <c r="AB1334" s="105">
        <f>IF($B1334="","",(COUNTIF(C1308:E1325,$B1334)+COUNTIF(C1308:E1325,$B1334&amp;" ~*")&gt;0)+(COUNTIF(G1308:I1325,$B1334)+COUNTIF(G1308:I1325,$B1334&amp;" ~*")&gt;0)+(COUNTIF(K1308:M1325,$B1334)+COUNTIF(K1308:M1325,$B1334&amp;" ~*")&gt;0)+(COUNTIF(O1308:Q1325,$B1334)+COUNTIF(O1308:Q1325,$B1334&amp;" ~*")&gt;0)+(COUNTIF(S1308:U1325,$B1334)+COUNTIF(S1308:U1325,$B1334&amp;" ~*")&gt;0)+(COUNTIF(W1308:W1325,$B1334)+COUNTIF(W1308:W1325,$B1334&amp;" ~*")&gt;0)+(COUNTIF(Y1308:Y1325,$B1334)+COUNTIF(Y1308:Y1325,$B1334&amp;" ~*")&gt;0))</f>
        <v/>
      </c>
      <c r="AC1334" s="38">
        <f>IF($B1334="","",(IFERROR(INDEX(Setup!$G$33:$G$40,MATCH(C1334,Setup!$B$33:$B$40,0)),0)=1)*(COUNTIF(C1308:E1325,$B1334)+COUNTIF(C1308:E1325,$B1334&amp;" ~*")&gt;0)+(IFERROR(INDEX(Setup!$G$33:$G$40,MATCH(G1334,Setup!$B$33:$B$40,0)),0)=1)*(COUNTIF(G1308:I1325,$B1334)+COUNTIF(G1308:I1325,$B1334&amp;" ~*")&gt;0)+(IFERROR(INDEX(Setup!$G$33:$G$40,MATCH(K1334,Setup!$B$33:$B$40,0)),0)=1)*(COUNTIF(K1308:M1325,$B1334)+COUNTIF(K1308:M1325,$B1334&amp;" ~*")&gt;0)+(IFERROR(INDEX(Setup!$G$33:$G$40,MATCH(O1334,Setup!$B$33:$B$40,0)),0)=1)*(COUNTIF(O1308:Q1325,$B1334)+COUNTIF(O1308:Q1325,$B1334&amp;" ~*")&gt;0)+(IFERROR(INDEX(Setup!$G$33:$G$40,MATCH(S1334,Setup!$B$33:$B$40,0)),0)=1)*(COUNTIF(S1308:U1325,$B1334)+COUNTIF(S1308:U1325,$B1334&amp;" ~*")&gt;0)+(IFERROR(INDEX(Setup!$G$33:$G$40,MATCH(W1334,Setup!$B$33:$B$40,0)),0)=1)*(COUNTIF(W1308:W1325,$B1334)+COUNTIF(W1308:W1325,$B1334&amp;" ~*")&gt;0)+(IFERROR(INDEX(Setup!$G$33:$G$40,MATCH(Y1334,Setup!$B$33:$B$40,0)),0)=1)*(COUNTIF(Y1308:Y1325,$B1334)+COUNTIF(Y1308:Y1325,$B1334&amp;" ~*")&gt;0))</f>
        <v/>
      </c>
    </row>
    <row r="1335" ht="15" customHeight="1">
      <c r="A1335" t="n">
        <v>27</v>
      </c>
      <c r="B1335" s="35">
        <f>IF(Setup!$B$14="","",Setup!$B$14)</f>
        <v/>
      </c>
      <c r="C1335" s="98" t="inlineStr">
        <is>
          <t>AL</t>
        </is>
      </c>
      <c r="D1335" s="99" t="n"/>
      <c r="E1335" s="99" t="n"/>
      <c r="F1335" s="100" t="n"/>
      <c r="G1335" s="98" t="n"/>
      <c r="H1335" s="99" t="n"/>
      <c r="I1335" s="99" t="n"/>
      <c r="J1335" s="100" t="n"/>
      <c r="K1335" s="98" t="n"/>
      <c r="L1335" s="99" t="n"/>
      <c r="M1335" s="99" t="n"/>
      <c r="N1335" s="100" t="n"/>
      <c r="O1335" s="98" t="n"/>
      <c r="P1335" s="99" t="n"/>
      <c r="Q1335" s="99" t="n"/>
      <c r="R1335" s="100" t="n"/>
      <c r="S1335" s="98" t="n"/>
      <c r="T1335" s="99" t="n"/>
      <c r="U1335" s="99" t="n"/>
      <c r="V1335" s="100" t="n"/>
      <c r="W1335" s="98" t="n"/>
      <c r="X1335" s="100" t="n"/>
      <c r="Y1335" s="98" t="n"/>
      <c r="Z1335" s="100" t="n"/>
      <c r="AB1335" s="101">
        <f>IF($B1335="","",(COUNTIF(C1308:E1325,$B1335)+COUNTIF(C1308:E1325,$B1335&amp;" ~*")&gt;0)+(COUNTIF(G1308:I1325,$B1335)+COUNTIF(G1308:I1325,$B1335&amp;" ~*")&gt;0)+(COUNTIF(K1308:M1325,$B1335)+COUNTIF(K1308:M1325,$B1335&amp;" ~*")&gt;0)+(COUNTIF(O1308:Q1325,$B1335)+COUNTIF(O1308:Q1325,$B1335&amp;" ~*")&gt;0)+(COUNTIF(S1308:U1325,$B1335)+COUNTIF(S1308:U1325,$B1335&amp;" ~*")&gt;0)+(COUNTIF(W1308:W1325,$B1335)+COUNTIF(W1308:W1325,$B1335&amp;" ~*")&gt;0)+(COUNTIF(Y1308:Y1325,$B1335)+COUNTIF(Y1308:Y1325,$B1335&amp;" ~*")&gt;0))</f>
        <v/>
      </c>
      <c r="AC1335" s="36">
        <f>IF($B1335="","",(IFERROR(INDEX(Setup!$G$33:$G$40,MATCH(C1335,Setup!$B$33:$B$40,0)),0)=1)*(COUNTIF(C1308:E1325,$B1335)+COUNTIF(C1308:E1325,$B1335&amp;" ~*")&gt;0)+(IFERROR(INDEX(Setup!$G$33:$G$40,MATCH(G1335,Setup!$B$33:$B$40,0)),0)=1)*(COUNTIF(G1308:I1325,$B1335)+COUNTIF(G1308:I1325,$B1335&amp;" ~*")&gt;0)+(IFERROR(INDEX(Setup!$G$33:$G$40,MATCH(K1335,Setup!$B$33:$B$40,0)),0)=1)*(COUNTIF(K1308:M1325,$B1335)+COUNTIF(K1308:M1325,$B1335&amp;" ~*")&gt;0)+(IFERROR(INDEX(Setup!$G$33:$G$40,MATCH(O1335,Setup!$B$33:$B$40,0)),0)=1)*(COUNTIF(O1308:Q1325,$B1335)+COUNTIF(O1308:Q1325,$B1335&amp;" ~*")&gt;0)+(IFERROR(INDEX(Setup!$G$33:$G$40,MATCH(S1335,Setup!$B$33:$B$40,0)),0)=1)*(COUNTIF(S1308:U1325,$B1335)+COUNTIF(S1308:U1325,$B1335&amp;" ~*")&gt;0)+(IFERROR(INDEX(Setup!$G$33:$G$40,MATCH(W1335,Setup!$B$33:$B$40,0)),0)=1)*(COUNTIF(W1308:W1325,$B1335)+COUNTIF(W1308:W1325,$B1335&amp;" ~*")&gt;0)+(IFERROR(INDEX(Setup!$G$33:$G$40,MATCH(Y1335,Setup!$B$33:$B$40,0)),0)=1)*(COUNTIF(Y1308:Y1325,$B1335)+COUNTIF(Y1308:Y1325,$B1335&amp;" ~*")&gt;0))</f>
        <v/>
      </c>
    </row>
    <row r="1336" ht="15" customHeight="1">
      <c r="A1336" t="n">
        <v>27</v>
      </c>
      <c r="B1336" s="37">
        <f>IF(Setup!$B$15="","",Setup!$B$15)</f>
        <v/>
      </c>
      <c r="C1336" s="102" t="n"/>
      <c r="D1336" s="103" t="n"/>
      <c r="E1336" s="103" t="n"/>
      <c r="F1336" s="104" t="n"/>
      <c r="G1336" s="102" t="n"/>
      <c r="H1336" s="103" t="n"/>
      <c r="I1336" s="103" t="n"/>
      <c r="J1336" s="104" t="n"/>
      <c r="K1336" s="102" t="n"/>
      <c r="L1336" s="103" t="n"/>
      <c r="M1336" s="103" t="n"/>
      <c r="N1336" s="104" t="n"/>
      <c r="O1336" s="102" t="n"/>
      <c r="P1336" s="103" t="n"/>
      <c r="Q1336" s="103" t="n"/>
      <c r="R1336" s="104" t="n"/>
      <c r="S1336" s="102" t="n"/>
      <c r="T1336" s="103" t="n"/>
      <c r="U1336" s="103" t="n"/>
      <c r="V1336" s="104" t="n"/>
      <c r="W1336" s="102" t="n"/>
      <c r="X1336" s="104" t="n"/>
      <c r="Y1336" s="102" t="n"/>
      <c r="Z1336" s="104" t="n"/>
      <c r="AB1336" s="105">
        <f>IF($B1336="","",(COUNTIF(C1308:E1325,$B1336)+COUNTIF(C1308:E1325,$B1336&amp;" ~*")&gt;0)+(COUNTIF(G1308:I1325,$B1336)+COUNTIF(G1308:I1325,$B1336&amp;" ~*")&gt;0)+(COUNTIF(K1308:M1325,$B1336)+COUNTIF(K1308:M1325,$B1336&amp;" ~*")&gt;0)+(COUNTIF(O1308:Q1325,$B1336)+COUNTIF(O1308:Q1325,$B1336&amp;" ~*")&gt;0)+(COUNTIF(S1308:U1325,$B1336)+COUNTIF(S1308:U1325,$B1336&amp;" ~*")&gt;0)+(COUNTIF(W1308:W1325,$B1336)+COUNTIF(W1308:W1325,$B1336&amp;" ~*")&gt;0)+(COUNTIF(Y1308:Y1325,$B1336)+COUNTIF(Y1308:Y1325,$B1336&amp;" ~*")&gt;0))</f>
        <v/>
      </c>
      <c r="AC1336" s="38">
        <f>IF($B1336="","",(IFERROR(INDEX(Setup!$G$33:$G$40,MATCH(C1336,Setup!$B$33:$B$40,0)),0)=1)*(COUNTIF(C1308:E1325,$B1336)+COUNTIF(C1308:E1325,$B1336&amp;" ~*")&gt;0)+(IFERROR(INDEX(Setup!$G$33:$G$40,MATCH(G1336,Setup!$B$33:$B$40,0)),0)=1)*(COUNTIF(G1308:I1325,$B1336)+COUNTIF(G1308:I1325,$B1336&amp;" ~*")&gt;0)+(IFERROR(INDEX(Setup!$G$33:$G$40,MATCH(K1336,Setup!$B$33:$B$40,0)),0)=1)*(COUNTIF(K1308:M1325,$B1336)+COUNTIF(K1308:M1325,$B1336&amp;" ~*")&gt;0)+(IFERROR(INDEX(Setup!$G$33:$G$40,MATCH(O1336,Setup!$B$33:$B$40,0)),0)=1)*(COUNTIF(O1308:Q1325,$B1336)+COUNTIF(O1308:Q1325,$B1336&amp;" ~*")&gt;0)+(IFERROR(INDEX(Setup!$G$33:$G$40,MATCH(S1336,Setup!$B$33:$B$40,0)),0)=1)*(COUNTIF(S1308:U1325,$B1336)+COUNTIF(S1308:U1325,$B1336&amp;" ~*")&gt;0)+(IFERROR(INDEX(Setup!$G$33:$G$40,MATCH(W1336,Setup!$B$33:$B$40,0)),0)=1)*(COUNTIF(W1308:W1325,$B1336)+COUNTIF(W1308:W1325,$B1336&amp;" ~*")&gt;0)+(IFERROR(INDEX(Setup!$G$33:$G$40,MATCH(Y1336,Setup!$B$33:$B$40,0)),0)=1)*(COUNTIF(Y1308:Y1325,$B1336)+COUNTIF(Y1308:Y1325,$B1336&amp;" ~*")&gt;0))</f>
        <v/>
      </c>
    </row>
    <row r="1337" ht="15" customHeight="1">
      <c r="A1337" t="n">
        <v>27</v>
      </c>
      <c r="B1337" s="35">
        <f>IF(Setup!$B$16="","",Setup!$B$16)</f>
        <v/>
      </c>
      <c r="C1337" s="98" t="n"/>
      <c r="D1337" s="99" t="n"/>
      <c r="E1337" s="99" t="n"/>
      <c r="F1337" s="100" t="n"/>
      <c r="G1337" s="98" t="n"/>
      <c r="H1337" s="99" t="n"/>
      <c r="I1337" s="99" t="n"/>
      <c r="J1337" s="100" t="n"/>
      <c r="K1337" s="98" t="n"/>
      <c r="L1337" s="99" t="n"/>
      <c r="M1337" s="99" t="n"/>
      <c r="N1337" s="100" t="n"/>
      <c r="O1337" s="98" t="n"/>
      <c r="P1337" s="99" t="n"/>
      <c r="Q1337" s="99" t="n"/>
      <c r="R1337" s="100" t="n"/>
      <c r="S1337" s="98" t="n"/>
      <c r="T1337" s="99" t="n"/>
      <c r="U1337" s="99" t="n"/>
      <c r="V1337" s="100" t="n"/>
      <c r="W1337" s="98" t="n"/>
      <c r="X1337" s="100" t="n"/>
      <c r="Y1337" s="98" t="n"/>
      <c r="Z1337" s="100" t="n"/>
      <c r="AB1337" s="101">
        <f>IF($B1337="","",(COUNTIF(C1308:E1325,$B1337)+COUNTIF(C1308:E1325,$B1337&amp;" ~*")&gt;0)+(COUNTIF(G1308:I1325,$B1337)+COUNTIF(G1308:I1325,$B1337&amp;" ~*")&gt;0)+(COUNTIF(K1308:M1325,$B1337)+COUNTIF(K1308:M1325,$B1337&amp;" ~*")&gt;0)+(COUNTIF(O1308:Q1325,$B1337)+COUNTIF(O1308:Q1325,$B1337&amp;" ~*")&gt;0)+(COUNTIF(S1308:U1325,$B1337)+COUNTIF(S1308:U1325,$B1337&amp;" ~*")&gt;0)+(COUNTIF(W1308:W1325,$B1337)+COUNTIF(W1308:W1325,$B1337&amp;" ~*")&gt;0)+(COUNTIF(Y1308:Y1325,$B1337)+COUNTIF(Y1308:Y1325,$B1337&amp;" ~*")&gt;0))</f>
        <v/>
      </c>
      <c r="AC1337" s="36">
        <f>IF($B1337="","",(IFERROR(INDEX(Setup!$G$33:$G$40,MATCH(C1337,Setup!$B$33:$B$40,0)),0)=1)*(COUNTIF(C1308:E1325,$B1337)+COUNTIF(C1308:E1325,$B1337&amp;" ~*")&gt;0)+(IFERROR(INDEX(Setup!$G$33:$G$40,MATCH(G1337,Setup!$B$33:$B$40,0)),0)=1)*(COUNTIF(G1308:I1325,$B1337)+COUNTIF(G1308:I1325,$B1337&amp;" ~*")&gt;0)+(IFERROR(INDEX(Setup!$G$33:$G$40,MATCH(K1337,Setup!$B$33:$B$40,0)),0)=1)*(COUNTIF(K1308:M1325,$B1337)+COUNTIF(K1308:M1325,$B1337&amp;" ~*")&gt;0)+(IFERROR(INDEX(Setup!$G$33:$G$40,MATCH(O1337,Setup!$B$33:$B$40,0)),0)=1)*(COUNTIF(O1308:Q1325,$B1337)+COUNTIF(O1308:Q1325,$B1337&amp;" ~*")&gt;0)+(IFERROR(INDEX(Setup!$G$33:$G$40,MATCH(S1337,Setup!$B$33:$B$40,0)),0)=1)*(COUNTIF(S1308:U1325,$B1337)+COUNTIF(S1308:U1325,$B1337&amp;" ~*")&gt;0)+(IFERROR(INDEX(Setup!$G$33:$G$40,MATCH(W1337,Setup!$B$33:$B$40,0)),0)=1)*(COUNTIF(W1308:W1325,$B1337)+COUNTIF(W1308:W1325,$B1337&amp;" ~*")&gt;0)+(IFERROR(INDEX(Setup!$G$33:$G$40,MATCH(Y1337,Setup!$B$33:$B$40,0)),0)=1)*(COUNTIF(Y1308:Y1325,$B1337)+COUNTIF(Y1308:Y1325,$B1337&amp;" ~*")&gt;0))</f>
        <v/>
      </c>
    </row>
    <row r="1338" ht="15" customHeight="1">
      <c r="A1338" t="n">
        <v>27</v>
      </c>
      <c r="B1338" s="37">
        <f>IF(Setup!$B$17="","",Setup!$B$17)</f>
        <v/>
      </c>
      <c r="C1338" s="102" t="n"/>
      <c r="D1338" s="103" t="n"/>
      <c r="E1338" s="103" t="n"/>
      <c r="F1338" s="104" t="n"/>
      <c r="G1338" s="102" t="n"/>
      <c r="H1338" s="103" t="n"/>
      <c r="I1338" s="103" t="n"/>
      <c r="J1338" s="104" t="n"/>
      <c r="K1338" s="102" t="n"/>
      <c r="L1338" s="103" t="n"/>
      <c r="M1338" s="103" t="n"/>
      <c r="N1338" s="104" t="n"/>
      <c r="O1338" s="102" t="n"/>
      <c r="P1338" s="103" t="n"/>
      <c r="Q1338" s="103" t="n"/>
      <c r="R1338" s="104" t="n"/>
      <c r="S1338" s="102" t="n"/>
      <c r="T1338" s="103" t="n"/>
      <c r="U1338" s="103" t="n"/>
      <c r="V1338" s="104" t="n"/>
      <c r="W1338" s="102" t="n"/>
      <c r="X1338" s="104" t="n"/>
      <c r="Y1338" s="102" t="n"/>
      <c r="Z1338" s="104" t="n"/>
      <c r="AB1338" s="105">
        <f>IF($B1338="","",(COUNTIF(C1308:E1325,$B1338)+COUNTIF(C1308:E1325,$B1338&amp;" ~*")&gt;0)+(COUNTIF(G1308:I1325,$B1338)+COUNTIF(G1308:I1325,$B1338&amp;" ~*")&gt;0)+(COUNTIF(K1308:M1325,$B1338)+COUNTIF(K1308:M1325,$B1338&amp;" ~*")&gt;0)+(COUNTIF(O1308:Q1325,$B1338)+COUNTIF(O1308:Q1325,$B1338&amp;" ~*")&gt;0)+(COUNTIF(S1308:U1325,$B1338)+COUNTIF(S1308:U1325,$B1338&amp;" ~*")&gt;0)+(COUNTIF(W1308:W1325,$B1338)+COUNTIF(W1308:W1325,$B1338&amp;" ~*")&gt;0)+(COUNTIF(Y1308:Y1325,$B1338)+COUNTIF(Y1308:Y1325,$B1338&amp;" ~*")&gt;0))</f>
        <v/>
      </c>
      <c r="AC1338" s="38">
        <f>IF($B1338="","",(IFERROR(INDEX(Setup!$G$33:$G$40,MATCH(C1338,Setup!$B$33:$B$40,0)),0)=1)*(COUNTIF(C1308:E1325,$B1338)+COUNTIF(C1308:E1325,$B1338&amp;" ~*")&gt;0)+(IFERROR(INDEX(Setup!$G$33:$G$40,MATCH(G1338,Setup!$B$33:$B$40,0)),0)=1)*(COUNTIF(G1308:I1325,$B1338)+COUNTIF(G1308:I1325,$B1338&amp;" ~*")&gt;0)+(IFERROR(INDEX(Setup!$G$33:$G$40,MATCH(K1338,Setup!$B$33:$B$40,0)),0)=1)*(COUNTIF(K1308:M1325,$B1338)+COUNTIF(K1308:M1325,$B1338&amp;" ~*")&gt;0)+(IFERROR(INDEX(Setup!$G$33:$G$40,MATCH(O1338,Setup!$B$33:$B$40,0)),0)=1)*(COUNTIF(O1308:Q1325,$B1338)+COUNTIF(O1308:Q1325,$B1338&amp;" ~*")&gt;0)+(IFERROR(INDEX(Setup!$G$33:$G$40,MATCH(S1338,Setup!$B$33:$B$40,0)),0)=1)*(COUNTIF(S1308:U1325,$B1338)+COUNTIF(S1308:U1325,$B1338&amp;" ~*")&gt;0)+(IFERROR(INDEX(Setup!$G$33:$G$40,MATCH(W1338,Setup!$B$33:$B$40,0)),0)=1)*(COUNTIF(W1308:W1325,$B1338)+COUNTIF(W1308:W1325,$B1338&amp;" ~*")&gt;0)+(IFERROR(INDEX(Setup!$G$33:$G$40,MATCH(Y1338,Setup!$B$33:$B$40,0)),0)=1)*(COUNTIF(Y1308:Y1325,$B1338)+COUNTIF(Y1308:Y1325,$B1338&amp;" ~*")&gt;0))</f>
        <v/>
      </c>
    </row>
    <row r="1339" ht="15" customHeight="1">
      <c r="A1339" t="n">
        <v>27</v>
      </c>
      <c r="B1339" s="35">
        <f>IF(Setup!$B$18="","",Setup!$B$18)</f>
        <v/>
      </c>
      <c r="C1339" s="98" t="n"/>
      <c r="D1339" s="99" t="n"/>
      <c r="E1339" s="99" t="n"/>
      <c r="F1339" s="100" t="n"/>
      <c r="G1339" s="98" t="n"/>
      <c r="H1339" s="99" t="n"/>
      <c r="I1339" s="99" t="n"/>
      <c r="J1339" s="100" t="n"/>
      <c r="K1339" s="98" t="n"/>
      <c r="L1339" s="99" t="n"/>
      <c r="M1339" s="99" t="n"/>
      <c r="N1339" s="100" t="n"/>
      <c r="O1339" s="98" t="n"/>
      <c r="P1339" s="99" t="n"/>
      <c r="Q1339" s="99" t="n"/>
      <c r="R1339" s="100" t="n"/>
      <c r="S1339" s="98" t="n"/>
      <c r="T1339" s="99" t="n"/>
      <c r="U1339" s="99" t="n"/>
      <c r="V1339" s="100" t="n"/>
      <c r="W1339" s="98" t="n"/>
      <c r="X1339" s="100" t="n"/>
      <c r="Y1339" s="98" t="n"/>
      <c r="Z1339" s="100" t="n"/>
      <c r="AB1339" s="101">
        <f>IF($B1339="","",(COUNTIF(C1308:E1325,$B1339)+COUNTIF(C1308:E1325,$B1339&amp;" ~*")&gt;0)+(COUNTIF(G1308:I1325,$B1339)+COUNTIF(G1308:I1325,$B1339&amp;" ~*")&gt;0)+(COUNTIF(K1308:M1325,$B1339)+COUNTIF(K1308:M1325,$B1339&amp;" ~*")&gt;0)+(COUNTIF(O1308:Q1325,$B1339)+COUNTIF(O1308:Q1325,$B1339&amp;" ~*")&gt;0)+(COUNTIF(S1308:U1325,$B1339)+COUNTIF(S1308:U1325,$B1339&amp;" ~*")&gt;0)+(COUNTIF(W1308:W1325,$B1339)+COUNTIF(W1308:W1325,$B1339&amp;" ~*")&gt;0)+(COUNTIF(Y1308:Y1325,$B1339)+COUNTIF(Y1308:Y1325,$B1339&amp;" ~*")&gt;0))</f>
        <v/>
      </c>
      <c r="AC1339" s="36">
        <f>IF($B1339="","",(IFERROR(INDEX(Setup!$G$33:$G$40,MATCH(C1339,Setup!$B$33:$B$40,0)),0)=1)*(COUNTIF(C1308:E1325,$B1339)+COUNTIF(C1308:E1325,$B1339&amp;" ~*")&gt;0)+(IFERROR(INDEX(Setup!$G$33:$G$40,MATCH(G1339,Setup!$B$33:$B$40,0)),0)=1)*(COUNTIF(G1308:I1325,$B1339)+COUNTIF(G1308:I1325,$B1339&amp;" ~*")&gt;0)+(IFERROR(INDEX(Setup!$G$33:$G$40,MATCH(K1339,Setup!$B$33:$B$40,0)),0)=1)*(COUNTIF(K1308:M1325,$B1339)+COUNTIF(K1308:M1325,$B1339&amp;" ~*")&gt;0)+(IFERROR(INDEX(Setup!$G$33:$G$40,MATCH(O1339,Setup!$B$33:$B$40,0)),0)=1)*(COUNTIF(O1308:Q1325,$B1339)+COUNTIF(O1308:Q1325,$B1339&amp;" ~*")&gt;0)+(IFERROR(INDEX(Setup!$G$33:$G$40,MATCH(S1339,Setup!$B$33:$B$40,0)),0)=1)*(COUNTIF(S1308:U1325,$B1339)+COUNTIF(S1308:U1325,$B1339&amp;" ~*")&gt;0)+(IFERROR(INDEX(Setup!$G$33:$G$40,MATCH(W1339,Setup!$B$33:$B$40,0)),0)=1)*(COUNTIF(W1308:W1325,$B1339)+COUNTIF(W1308:W1325,$B1339&amp;" ~*")&gt;0)+(IFERROR(INDEX(Setup!$G$33:$G$40,MATCH(Y1339,Setup!$B$33:$B$40,0)),0)=1)*(COUNTIF(Y1308:Y1325,$B1339)+COUNTIF(Y1308:Y1325,$B1339&amp;" ~*")&gt;0))</f>
        <v/>
      </c>
    </row>
    <row r="1340" ht="15" customHeight="1">
      <c r="A1340" t="n">
        <v>27</v>
      </c>
      <c r="B1340" s="37">
        <f>IF(Setup!$B$19="","",Setup!$B$19)</f>
        <v/>
      </c>
      <c r="C1340" s="102" t="n"/>
      <c r="D1340" s="103" t="n"/>
      <c r="E1340" s="103" t="n"/>
      <c r="F1340" s="104" t="n"/>
      <c r="G1340" s="102" t="n"/>
      <c r="H1340" s="103" t="n"/>
      <c r="I1340" s="103" t="n"/>
      <c r="J1340" s="104" t="n"/>
      <c r="K1340" s="102" t="n"/>
      <c r="L1340" s="103" t="n"/>
      <c r="M1340" s="103" t="n"/>
      <c r="N1340" s="104" t="n"/>
      <c r="O1340" s="102" t="n"/>
      <c r="P1340" s="103" t="n"/>
      <c r="Q1340" s="103" t="n"/>
      <c r="R1340" s="104" t="n"/>
      <c r="S1340" s="102" t="n"/>
      <c r="T1340" s="103" t="n"/>
      <c r="U1340" s="103" t="n"/>
      <c r="V1340" s="104" t="n"/>
      <c r="W1340" s="102" t="n"/>
      <c r="X1340" s="104" t="n"/>
      <c r="Y1340" s="102" t="n"/>
      <c r="Z1340" s="104" t="n"/>
      <c r="AB1340" s="105">
        <f>IF($B1340="","",(COUNTIF(C1308:E1325,$B1340)+COUNTIF(C1308:E1325,$B1340&amp;" ~*")&gt;0)+(COUNTIF(G1308:I1325,$B1340)+COUNTIF(G1308:I1325,$B1340&amp;" ~*")&gt;0)+(COUNTIF(K1308:M1325,$B1340)+COUNTIF(K1308:M1325,$B1340&amp;" ~*")&gt;0)+(COUNTIF(O1308:Q1325,$B1340)+COUNTIF(O1308:Q1325,$B1340&amp;" ~*")&gt;0)+(COUNTIF(S1308:U1325,$B1340)+COUNTIF(S1308:U1325,$B1340&amp;" ~*")&gt;0)+(COUNTIF(W1308:W1325,$B1340)+COUNTIF(W1308:W1325,$B1340&amp;" ~*")&gt;0)+(COUNTIF(Y1308:Y1325,$B1340)+COUNTIF(Y1308:Y1325,$B1340&amp;" ~*")&gt;0))</f>
        <v/>
      </c>
      <c r="AC1340" s="38">
        <f>IF($B1340="","",(IFERROR(INDEX(Setup!$G$33:$G$40,MATCH(C1340,Setup!$B$33:$B$40,0)),0)=1)*(COUNTIF(C1308:E1325,$B1340)+COUNTIF(C1308:E1325,$B1340&amp;" ~*")&gt;0)+(IFERROR(INDEX(Setup!$G$33:$G$40,MATCH(G1340,Setup!$B$33:$B$40,0)),0)=1)*(COUNTIF(G1308:I1325,$B1340)+COUNTIF(G1308:I1325,$B1340&amp;" ~*")&gt;0)+(IFERROR(INDEX(Setup!$G$33:$G$40,MATCH(K1340,Setup!$B$33:$B$40,0)),0)=1)*(COUNTIF(K1308:M1325,$B1340)+COUNTIF(K1308:M1325,$B1340&amp;" ~*")&gt;0)+(IFERROR(INDEX(Setup!$G$33:$G$40,MATCH(O1340,Setup!$B$33:$B$40,0)),0)=1)*(COUNTIF(O1308:Q1325,$B1340)+COUNTIF(O1308:Q1325,$B1340&amp;" ~*")&gt;0)+(IFERROR(INDEX(Setup!$G$33:$G$40,MATCH(S1340,Setup!$B$33:$B$40,0)),0)=1)*(COUNTIF(S1308:U1325,$B1340)+COUNTIF(S1308:U1325,$B1340&amp;" ~*")&gt;0)+(IFERROR(INDEX(Setup!$G$33:$G$40,MATCH(W1340,Setup!$B$33:$B$40,0)),0)=1)*(COUNTIF(W1308:W1325,$B1340)+COUNTIF(W1308:W1325,$B1340&amp;" ~*")&gt;0)+(IFERROR(INDEX(Setup!$G$33:$G$40,MATCH(Y1340,Setup!$B$33:$B$40,0)),0)=1)*(COUNTIF(Y1308:Y1325,$B1340)+COUNTIF(Y1308:Y1325,$B1340&amp;" ~*")&gt;0))</f>
        <v/>
      </c>
    </row>
    <row r="1341" ht="15" customHeight="1">
      <c r="A1341" t="n">
        <v>27</v>
      </c>
      <c r="B1341" s="35">
        <f>IF(Setup!$B$20="","",Setup!$B$20)</f>
        <v/>
      </c>
      <c r="C1341" s="98" t="n"/>
      <c r="D1341" s="99" t="n"/>
      <c r="E1341" s="99" t="n"/>
      <c r="F1341" s="100" t="n"/>
      <c r="G1341" s="98" t="n"/>
      <c r="H1341" s="99" t="n"/>
      <c r="I1341" s="99" t="n"/>
      <c r="J1341" s="100" t="n"/>
      <c r="K1341" s="98" t="n"/>
      <c r="L1341" s="99" t="n"/>
      <c r="M1341" s="99" t="n"/>
      <c r="N1341" s="100" t="n"/>
      <c r="O1341" s="98" t="n"/>
      <c r="P1341" s="99" t="n"/>
      <c r="Q1341" s="99" t="n"/>
      <c r="R1341" s="100" t="n"/>
      <c r="S1341" s="98" t="n"/>
      <c r="T1341" s="99" t="n"/>
      <c r="U1341" s="99" t="n"/>
      <c r="V1341" s="100" t="n"/>
      <c r="W1341" s="98" t="n"/>
      <c r="X1341" s="100" t="n"/>
      <c r="Y1341" s="98" t="n"/>
      <c r="Z1341" s="100" t="n"/>
      <c r="AB1341" s="101">
        <f>IF($B1341="","",(COUNTIF(C1308:E1325,$B1341)+COUNTIF(C1308:E1325,$B1341&amp;" ~*")&gt;0)+(COUNTIF(G1308:I1325,$B1341)+COUNTIF(G1308:I1325,$B1341&amp;" ~*")&gt;0)+(COUNTIF(K1308:M1325,$B1341)+COUNTIF(K1308:M1325,$B1341&amp;" ~*")&gt;0)+(COUNTIF(O1308:Q1325,$B1341)+COUNTIF(O1308:Q1325,$B1341&amp;" ~*")&gt;0)+(COUNTIF(S1308:U1325,$B1341)+COUNTIF(S1308:U1325,$B1341&amp;" ~*")&gt;0)+(COUNTIF(W1308:W1325,$B1341)+COUNTIF(W1308:W1325,$B1341&amp;" ~*")&gt;0)+(COUNTIF(Y1308:Y1325,$B1341)+COUNTIF(Y1308:Y1325,$B1341&amp;" ~*")&gt;0))</f>
        <v/>
      </c>
      <c r="AC1341" s="36">
        <f>IF($B1341="","",(IFERROR(INDEX(Setup!$G$33:$G$40,MATCH(C1341,Setup!$B$33:$B$40,0)),0)=1)*(COUNTIF(C1308:E1325,$B1341)+COUNTIF(C1308:E1325,$B1341&amp;" ~*")&gt;0)+(IFERROR(INDEX(Setup!$G$33:$G$40,MATCH(G1341,Setup!$B$33:$B$40,0)),0)=1)*(COUNTIF(G1308:I1325,$B1341)+COUNTIF(G1308:I1325,$B1341&amp;" ~*")&gt;0)+(IFERROR(INDEX(Setup!$G$33:$G$40,MATCH(K1341,Setup!$B$33:$B$40,0)),0)=1)*(COUNTIF(K1308:M1325,$B1341)+COUNTIF(K1308:M1325,$B1341&amp;" ~*")&gt;0)+(IFERROR(INDEX(Setup!$G$33:$G$40,MATCH(O1341,Setup!$B$33:$B$40,0)),0)=1)*(COUNTIF(O1308:Q1325,$B1341)+COUNTIF(O1308:Q1325,$B1341&amp;" ~*")&gt;0)+(IFERROR(INDEX(Setup!$G$33:$G$40,MATCH(S1341,Setup!$B$33:$B$40,0)),0)=1)*(COUNTIF(S1308:U1325,$B1341)+COUNTIF(S1308:U1325,$B1341&amp;" ~*")&gt;0)+(IFERROR(INDEX(Setup!$G$33:$G$40,MATCH(W1341,Setup!$B$33:$B$40,0)),0)=1)*(COUNTIF(W1308:W1325,$B1341)+COUNTIF(W1308:W1325,$B1341&amp;" ~*")&gt;0)+(IFERROR(INDEX(Setup!$G$33:$G$40,MATCH(Y1341,Setup!$B$33:$B$40,0)),0)=1)*(COUNTIF(Y1308:Y1325,$B1341)+COUNTIF(Y1308:Y1325,$B1341&amp;" ~*")&gt;0))</f>
        <v/>
      </c>
    </row>
    <row r="1342" ht="15" customHeight="1">
      <c r="A1342" t="n">
        <v>27</v>
      </c>
      <c r="B1342" s="37">
        <f>IF(Setup!$B$21="","",Setup!$B$21)</f>
        <v/>
      </c>
      <c r="C1342" s="102" t="n"/>
      <c r="D1342" s="103" t="n"/>
      <c r="E1342" s="103" t="n"/>
      <c r="F1342" s="104" t="n"/>
      <c r="G1342" s="102" t="n"/>
      <c r="H1342" s="103" t="n"/>
      <c r="I1342" s="103" t="n"/>
      <c r="J1342" s="104" t="n"/>
      <c r="K1342" s="102" t="n"/>
      <c r="L1342" s="103" t="n"/>
      <c r="M1342" s="103" t="n"/>
      <c r="N1342" s="104" t="n"/>
      <c r="O1342" s="102" t="n"/>
      <c r="P1342" s="103" t="n"/>
      <c r="Q1342" s="103" t="n"/>
      <c r="R1342" s="104" t="n"/>
      <c r="S1342" s="102" t="n"/>
      <c r="T1342" s="103" t="n"/>
      <c r="U1342" s="103" t="n"/>
      <c r="V1342" s="104" t="n"/>
      <c r="W1342" s="102" t="n"/>
      <c r="X1342" s="104" t="n"/>
      <c r="Y1342" s="102" t="n"/>
      <c r="Z1342" s="104" t="n"/>
      <c r="AB1342" s="105">
        <f>IF($B1342="","",(COUNTIF(C1308:E1325,$B1342)+COUNTIF(C1308:E1325,$B1342&amp;" ~*")&gt;0)+(COUNTIF(G1308:I1325,$B1342)+COUNTIF(G1308:I1325,$B1342&amp;" ~*")&gt;0)+(COUNTIF(K1308:M1325,$B1342)+COUNTIF(K1308:M1325,$B1342&amp;" ~*")&gt;0)+(COUNTIF(O1308:Q1325,$B1342)+COUNTIF(O1308:Q1325,$B1342&amp;" ~*")&gt;0)+(COUNTIF(S1308:U1325,$B1342)+COUNTIF(S1308:U1325,$B1342&amp;" ~*")&gt;0)+(COUNTIF(W1308:W1325,$B1342)+COUNTIF(W1308:W1325,$B1342&amp;" ~*")&gt;0)+(COUNTIF(Y1308:Y1325,$B1342)+COUNTIF(Y1308:Y1325,$B1342&amp;" ~*")&gt;0))</f>
        <v/>
      </c>
      <c r="AC1342" s="38">
        <f>IF($B1342="","",(IFERROR(INDEX(Setup!$G$33:$G$40,MATCH(C1342,Setup!$B$33:$B$40,0)),0)=1)*(COUNTIF(C1308:E1325,$B1342)+COUNTIF(C1308:E1325,$B1342&amp;" ~*")&gt;0)+(IFERROR(INDEX(Setup!$G$33:$G$40,MATCH(G1342,Setup!$B$33:$B$40,0)),0)=1)*(COUNTIF(G1308:I1325,$B1342)+COUNTIF(G1308:I1325,$B1342&amp;" ~*")&gt;0)+(IFERROR(INDEX(Setup!$G$33:$G$40,MATCH(K1342,Setup!$B$33:$B$40,0)),0)=1)*(COUNTIF(K1308:M1325,$B1342)+COUNTIF(K1308:M1325,$B1342&amp;" ~*")&gt;0)+(IFERROR(INDEX(Setup!$G$33:$G$40,MATCH(O1342,Setup!$B$33:$B$40,0)),0)=1)*(COUNTIF(O1308:Q1325,$B1342)+COUNTIF(O1308:Q1325,$B1342&amp;" ~*")&gt;0)+(IFERROR(INDEX(Setup!$G$33:$G$40,MATCH(S1342,Setup!$B$33:$B$40,0)),0)=1)*(COUNTIF(S1308:U1325,$B1342)+COUNTIF(S1308:U1325,$B1342&amp;" ~*")&gt;0)+(IFERROR(INDEX(Setup!$G$33:$G$40,MATCH(W1342,Setup!$B$33:$B$40,0)),0)=1)*(COUNTIF(W1308:W1325,$B1342)+COUNTIF(W1308:W1325,$B1342&amp;" ~*")&gt;0)+(IFERROR(INDEX(Setup!$G$33:$G$40,MATCH(Y1342,Setup!$B$33:$B$40,0)),0)=1)*(COUNTIF(Y1308:Y1325,$B1342)+COUNTIF(Y1308:Y1325,$B1342&amp;" ~*")&gt;0))</f>
        <v/>
      </c>
    </row>
    <row r="1343" ht="15" customHeight="1">
      <c r="A1343" t="n">
        <v>27</v>
      </c>
      <c r="B1343" s="35">
        <f>IF(Setup!$B$22="","",Setup!$B$22)</f>
        <v/>
      </c>
      <c r="C1343" s="98" t="n"/>
      <c r="D1343" s="99" t="n"/>
      <c r="E1343" s="99" t="n"/>
      <c r="F1343" s="100" t="n"/>
      <c r="G1343" s="98" t="n"/>
      <c r="H1343" s="99" t="n"/>
      <c r="I1343" s="99" t="n"/>
      <c r="J1343" s="100" t="n"/>
      <c r="K1343" s="98" t="n"/>
      <c r="L1343" s="99" t="n"/>
      <c r="M1343" s="99" t="n"/>
      <c r="N1343" s="100" t="n"/>
      <c r="O1343" s="98" t="n"/>
      <c r="P1343" s="99" t="n"/>
      <c r="Q1343" s="99" t="n"/>
      <c r="R1343" s="100" t="n"/>
      <c r="S1343" s="98" t="n"/>
      <c r="T1343" s="99" t="n"/>
      <c r="U1343" s="99" t="n"/>
      <c r="V1343" s="100" t="n"/>
      <c r="W1343" s="98" t="n"/>
      <c r="X1343" s="100" t="n"/>
      <c r="Y1343" s="98" t="n"/>
      <c r="Z1343" s="100" t="n"/>
      <c r="AB1343" s="101">
        <f>IF($B1343="","",(COUNTIF(C1308:E1325,$B1343)+COUNTIF(C1308:E1325,$B1343&amp;" ~*")&gt;0)+(COUNTIF(G1308:I1325,$B1343)+COUNTIF(G1308:I1325,$B1343&amp;" ~*")&gt;0)+(COUNTIF(K1308:M1325,$B1343)+COUNTIF(K1308:M1325,$B1343&amp;" ~*")&gt;0)+(COUNTIF(O1308:Q1325,$B1343)+COUNTIF(O1308:Q1325,$B1343&amp;" ~*")&gt;0)+(COUNTIF(S1308:U1325,$B1343)+COUNTIF(S1308:U1325,$B1343&amp;" ~*")&gt;0)+(COUNTIF(W1308:W1325,$B1343)+COUNTIF(W1308:W1325,$B1343&amp;" ~*")&gt;0)+(COUNTIF(Y1308:Y1325,$B1343)+COUNTIF(Y1308:Y1325,$B1343&amp;" ~*")&gt;0))</f>
        <v/>
      </c>
      <c r="AC1343" s="36">
        <f>IF($B1343="","",(IFERROR(INDEX(Setup!$G$33:$G$40,MATCH(C1343,Setup!$B$33:$B$40,0)),0)=1)*(COUNTIF(C1308:E1325,$B1343)+COUNTIF(C1308:E1325,$B1343&amp;" ~*")&gt;0)+(IFERROR(INDEX(Setup!$G$33:$G$40,MATCH(G1343,Setup!$B$33:$B$40,0)),0)=1)*(COUNTIF(G1308:I1325,$B1343)+COUNTIF(G1308:I1325,$B1343&amp;" ~*")&gt;0)+(IFERROR(INDEX(Setup!$G$33:$G$40,MATCH(K1343,Setup!$B$33:$B$40,0)),0)=1)*(COUNTIF(K1308:M1325,$B1343)+COUNTIF(K1308:M1325,$B1343&amp;" ~*")&gt;0)+(IFERROR(INDEX(Setup!$G$33:$G$40,MATCH(O1343,Setup!$B$33:$B$40,0)),0)=1)*(COUNTIF(O1308:Q1325,$B1343)+COUNTIF(O1308:Q1325,$B1343&amp;" ~*")&gt;0)+(IFERROR(INDEX(Setup!$G$33:$G$40,MATCH(S1343,Setup!$B$33:$B$40,0)),0)=1)*(COUNTIF(S1308:U1325,$B1343)+COUNTIF(S1308:U1325,$B1343&amp;" ~*")&gt;0)+(IFERROR(INDEX(Setup!$G$33:$G$40,MATCH(W1343,Setup!$B$33:$B$40,0)),0)=1)*(COUNTIF(W1308:W1325,$B1343)+COUNTIF(W1308:W1325,$B1343&amp;" ~*")&gt;0)+(IFERROR(INDEX(Setup!$G$33:$G$40,MATCH(Y1343,Setup!$B$33:$B$40,0)),0)=1)*(COUNTIF(Y1308:Y1325,$B1343)+COUNTIF(Y1308:Y1325,$B1343&amp;" ~*")&gt;0))</f>
        <v/>
      </c>
    </row>
    <row r="1344" ht="15" customHeight="1">
      <c r="A1344" t="n">
        <v>27</v>
      </c>
      <c r="B1344" s="37">
        <f>IF(Setup!$B$23="","",Setup!$B$23)</f>
        <v/>
      </c>
      <c r="C1344" s="102" t="n"/>
      <c r="D1344" s="103" t="n"/>
      <c r="E1344" s="103" t="n"/>
      <c r="F1344" s="104" t="n"/>
      <c r="G1344" s="102" t="n"/>
      <c r="H1344" s="103" t="n"/>
      <c r="I1344" s="103" t="n"/>
      <c r="J1344" s="104" t="n"/>
      <c r="K1344" s="102" t="n"/>
      <c r="L1344" s="103" t="n"/>
      <c r="M1344" s="103" t="n"/>
      <c r="N1344" s="104" t="n"/>
      <c r="O1344" s="102" t="n"/>
      <c r="P1344" s="103" t="n"/>
      <c r="Q1344" s="103" t="n"/>
      <c r="R1344" s="104" t="n"/>
      <c r="S1344" s="102" t="n"/>
      <c r="T1344" s="103" t="n"/>
      <c r="U1344" s="103" t="n"/>
      <c r="V1344" s="104" t="n"/>
      <c r="W1344" s="102" t="n"/>
      <c r="X1344" s="104" t="n"/>
      <c r="Y1344" s="102" t="n"/>
      <c r="Z1344" s="104" t="n"/>
      <c r="AB1344" s="105">
        <f>IF($B1344="","",(COUNTIF(C1308:E1325,$B1344)+COUNTIF(C1308:E1325,$B1344&amp;" ~*")&gt;0)+(COUNTIF(G1308:I1325,$B1344)+COUNTIF(G1308:I1325,$B1344&amp;" ~*")&gt;0)+(COUNTIF(K1308:M1325,$B1344)+COUNTIF(K1308:M1325,$B1344&amp;" ~*")&gt;0)+(COUNTIF(O1308:Q1325,$B1344)+COUNTIF(O1308:Q1325,$B1344&amp;" ~*")&gt;0)+(COUNTIF(S1308:U1325,$B1344)+COUNTIF(S1308:U1325,$B1344&amp;" ~*")&gt;0)+(COUNTIF(W1308:W1325,$B1344)+COUNTIF(W1308:W1325,$B1344&amp;" ~*")&gt;0)+(COUNTIF(Y1308:Y1325,$B1344)+COUNTIF(Y1308:Y1325,$B1344&amp;" ~*")&gt;0))</f>
        <v/>
      </c>
      <c r="AC1344" s="38">
        <f>IF($B1344="","",(IFERROR(INDEX(Setup!$G$33:$G$40,MATCH(C1344,Setup!$B$33:$B$40,0)),0)=1)*(COUNTIF(C1308:E1325,$B1344)+COUNTIF(C1308:E1325,$B1344&amp;" ~*")&gt;0)+(IFERROR(INDEX(Setup!$G$33:$G$40,MATCH(G1344,Setup!$B$33:$B$40,0)),0)=1)*(COUNTIF(G1308:I1325,$B1344)+COUNTIF(G1308:I1325,$B1344&amp;" ~*")&gt;0)+(IFERROR(INDEX(Setup!$G$33:$G$40,MATCH(K1344,Setup!$B$33:$B$40,0)),0)=1)*(COUNTIF(K1308:M1325,$B1344)+COUNTIF(K1308:M1325,$B1344&amp;" ~*")&gt;0)+(IFERROR(INDEX(Setup!$G$33:$G$40,MATCH(O1344,Setup!$B$33:$B$40,0)),0)=1)*(COUNTIF(O1308:Q1325,$B1344)+COUNTIF(O1308:Q1325,$B1344&amp;" ~*")&gt;0)+(IFERROR(INDEX(Setup!$G$33:$G$40,MATCH(S1344,Setup!$B$33:$B$40,0)),0)=1)*(COUNTIF(S1308:U1325,$B1344)+COUNTIF(S1308:U1325,$B1344&amp;" ~*")&gt;0)+(IFERROR(INDEX(Setup!$G$33:$G$40,MATCH(W1344,Setup!$B$33:$B$40,0)),0)=1)*(COUNTIF(W1308:W1325,$B1344)+COUNTIF(W1308:W1325,$B1344&amp;" ~*")&gt;0)+(IFERROR(INDEX(Setup!$G$33:$G$40,MATCH(Y1344,Setup!$B$33:$B$40,0)),0)=1)*(COUNTIF(Y1308:Y1325,$B1344)+COUNTIF(Y1308:Y1325,$B1344&amp;" ~*")&gt;0))</f>
        <v/>
      </c>
    </row>
    <row r="1345" ht="15" customHeight="1">
      <c r="A1345" t="n">
        <v>27</v>
      </c>
      <c r="B1345" s="35">
        <f>IF(Setup!$B$24="","",Setup!$B$24)</f>
        <v/>
      </c>
      <c r="C1345" s="98" t="n"/>
      <c r="D1345" s="99" t="n"/>
      <c r="E1345" s="99" t="n"/>
      <c r="F1345" s="100" t="n"/>
      <c r="G1345" s="98" t="n"/>
      <c r="H1345" s="99" t="n"/>
      <c r="I1345" s="99" t="n"/>
      <c r="J1345" s="100" t="n"/>
      <c r="K1345" s="98" t="n"/>
      <c r="L1345" s="99" t="n"/>
      <c r="M1345" s="99" t="n"/>
      <c r="N1345" s="100" t="n"/>
      <c r="O1345" s="98" t="n"/>
      <c r="P1345" s="99" t="n"/>
      <c r="Q1345" s="99" t="n"/>
      <c r="R1345" s="100" t="n"/>
      <c r="S1345" s="98" t="n"/>
      <c r="T1345" s="99" t="n"/>
      <c r="U1345" s="99" t="n"/>
      <c r="V1345" s="100" t="n"/>
      <c r="W1345" s="98" t="n"/>
      <c r="X1345" s="100" t="n"/>
      <c r="Y1345" s="98" t="n"/>
      <c r="Z1345" s="100" t="n"/>
      <c r="AB1345" s="101">
        <f>IF($B1345="","",(COUNTIF(C1308:E1325,$B1345)+COUNTIF(C1308:E1325,$B1345&amp;" ~*")&gt;0)+(COUNTIF(G1308:I1325,$B1345)+COUNTIF(G1308:I1325,$B1345&amp;" ~*")&gt;0)+(COUNTIF(K1308:M1325,$B1345)+COUNTIF(K1308:M1325,$B1345&amp;" ~*")&gt;0)+(COUNTIF(O1308:Q1325,$B1345)+COUNTIF(O1308:Q1325,$B1345&amp;" ~*")&gt;0)+(COUNTIF(S1308:U1325,$B1345)+COUNTIF(S1308:U1325,$B1345&amp;" ~*")&gt;0)+(COUNTIF(W1308:W1325,$B1345)+COUNTIF(W1308:W1325,$B1345&amp;" ~*")&gt;0)+(COUNTIF(Y1308:Y1325,$B1345)+COUNTIF(Y1308:Y1325,$B1345&amp;" ~*")&gt;0))</f>
        <v/>
      </c>
      <c r="AC1345" s="36">
        <f>IF($B1345="","",(IFERROR(INDEX(Setup!$G$33:$G$40,MATCH(C1345,Setup!$B$33:$B$40,0)),0)=1)*(COUNTIF(C1308:E1325,$B1345)+COUNTIF(C1308:E1325,$B1345&amp;" ~*")&gt;0)+(IFERROR(INDEX(Setup!$G$33:$G$40,MATCH(G1345,Setup!$B$33:$B$40,0)),0)=1)*(COUNTIF(G1308:I1325,$B1345)+COUNTIF(G1308:I1325,$B1345&amp;" ~*")&gt;0)+(IFERROR(INDEX(Setup!$G$33:$G$40,MATCH(K1345,Setup!$B$33:$B$40,0)),0)=1)*(COUNTIF(K1308:M1325,$B1345)+COUNTIF(K1308:M1325,$B1345&amp;" ~*")&gt;0)+(IFERROR(INDEX(Setup!$G$33:$G$40,MATCH(O1345,Setup!$B$33:$B$40,0)),0)=1)*(COUNTIF(O1308:Q1325,$B1345)+COUNTIF(O1308:Q1325,$B1345&amp;" ~*")&gt;0)+(IFERROR(INDEX(Setup!$G$33:$G$40,MATCH(S1345,Setup!$B$33:$B$40,0)),0)=1)*(COUNTIF(S1308:U1325,$B1345)+COUNTIF(S1308:U1325,$B1345&amp;" ~*")&gt;0)+(IFERROR(INDEX(Setup!$G$33:$G$40,MATCH(W1345,Setup!$B$33:$B$40,0)),0)=1)*(COUNTIF(W1308:W1325,$B1345)+COUNTIF(W1308:W1325,$B1345&amp;" ~*")&gt;0)+(IFERROR(INDEX(Setup!$G$33:$G$40,MATCH(Y1345,Setup!$B$33:$B$40,0)),0)=1)*(COUNTIF(Y1308:Y1325,$B1345)+COUNTIF(Y1308:Y1325,$B1345&amp;" ~*")&gt;0))</f>
        <v/>
      </c>
    </row>
    <row r="1346" ht="15" customHeight="1">
      <c r="A1346" t="n">
        <v>27</v>
      </c>
      <c r="B1346" s="37">
        <f>IF(Setup!$B$25="","",Setup!$B$25)</f>
        <v/>
      </c>
      <c r="C1346" s="102" t="n"/>
      <c r="D1346" s="103" t="n"/>
      <c r="E1346" s="103" t="n"/>
      <c r="F1346" s="104" t="n"/>
      <c r="G1346" s="102" t="n"/>
      <c r="H1346" s="103" t="n"/>
      <c r="I1346" s="103" t="n"/>
      <c r="J1346" s="104" t="n"/>
      <c r="K1346" s="102" t="n"/>
      <c r="L1346" s="103" t="n"/>
      <c r="M1346" s="103" t="n"/>
      <c r="N1346" s="104" t="n"/>
      <c r="O1346" s="102" t="n"/>
      <c r="P1346" s="103" t="n"/>
      <c r="Q1346" s="103" t="n"/>
      <c r="R1346" s="104" t="n"/>
      <c r="S1346" s="102" t="n"/>
      <c r="T1346" s="103" t="n"/>
      <c r="U1346" s="103" t="n"/>
      <c r="V1346" s="104" t="n"/>
      <c r="W1346" s="102" t="n"/>
      <c r="X1346" s="104" t="n"/>
      <c r="Y1346" s="102" t="n"/>
      <c r="Z1346" s="104" t="n"/>
      <c r="AB1346" s="105">
        <f>IF($B1346="","",(COUNTIF(C1308:E1325,$B1346)+COUNTIF(C1308:E1325,$B1346&amp;" ~*")&gt;0)+(COUNTIF(G1308:I1325,$B1346)+COUNTIF(G1308:I1325,$B1346&amp;" ~*")&gt;0)+(COUNTIF(K1308:M1325,$B1346)+COUNTIF(K1308:M1325,$B1346&amp;" ~*")&gt;0)+(COUNTIF(O1308:Q1325,$B1346)+COUNTIF(O1308:Q1325,$B1346&amp;" ~*")&gt;0)+(COUNTIF(S1308:U1325,$B1346)+COUNTIF(S1308:U1325,$B1346&amp;" ~*")&gt;0)+(COUNTIF(W1308:W1325,$B1346)+COUNTIF(W1308:W1325,$B1346&amp;" ~*")&gt;0)+(COUNTIF(Y1308:Y1325,$B1346)+COUNTIF(Y1308:Y1325,$B1346&amp;" ~*")&gt;0))</f>
        <v/>
      </c>
      <c r="AC1346" s="38">
        <f>IF($B1346="","",(IFERROR(INDEX(Setup!$G$33:$G$40,MATCH(C1346,Setup!$B$33:$B$40,0)),0)=1)*(COUNTIF(C1308:E1325,$B1346)+COUNTIF(C1308:E1325,$B1346&amp;" ~*")&gt;0)+(IFERROR(INDEX(Setup!$G$33:$G$40,MATCH(G1346,Setup!$B$33:$B$40,0)),0)=1)*(COUNTIF(G1308:I1325,$B1346)+COUNTIF(G1308:I1325,$B1346&amp;" ~*")&gt;0)+(IFERROR(INDEX(Setup!$G$33:$G$40,MATCH(K1346,Setup!$B$33:$B$40,0)),0)=1)*(COUNTIF(K1308:M1325,$B1346)+COUNTIF(K1308:M1325,$B1346&amp;" ~*")&gt;0)+(IFERROR(INDEX(Setup!$G$33:$G$40,MATCH(O1346,Setup!$B$33:$B$40,0)),0)=1)*(COUNTIF(O1308:Q1325,$B1346)+COUNTIF(O1308:Q1325,$B1346&amp;" ~*")&gt;0)+(IFERROR(INDEX(Setup!$G$33:$G$40,MATCH(S1346,Setup!$B$33:$B$40,0)),0)=1)*(COUNTIF(S1308:U1325,$B1346)+COUNTIF(S1308:U1325,$B1346&amp;" ~*")&gt;0)+(IFERROR(INDEX(Setup!$G$33:$G$40,MATCH(W1346,Setup!$B$33:$B$40,0)),0)=1)*(COUNTIF(W1308:W1325,$B1346)+COUNTIF(W1308:W1325,$B1346&amp;" ~*")&gt;0)+(IFERROR(INDEX(Setup!$G$33:$G$40,MATCH(Y1346,Setup!$B$33:$B$40,0)),0)=1)*(COUNTIF(Y1308:Y1325,$B1346)+COUNTIF(Y1308:Y1325,$B1346&amp;" ~*")&gt;0))</f>
        <v/>
      </c>
    </row>
    <row r="1347" ht="15" customHeight="1">
      <c r="A1347" t="n">
        <v>27</v>
      </c>
      <c r="B1347" s="35">
        <f>IF(Setup!$B$26="","",Setup!$B$26)</f>
        <v/>
      </c>
      <c r="C1347" s="98" t="n"/>
      <c r="D1347" s="99" t="n"/>
      <c r="E1347" s="99" t="n"/>
      <c r="F1347" s="100" t="n"/>
      <c r="G1347" s="98" t="n"/>
      <c r="H1347" s="99" t="n"/>
      <c r="I1347" s="99" t="n"/>
      <c r="J1347" s="100" t="n"/>
      <c r="K1347" s="98" t="n"/>
      <c r="L1347" s="99" t="n"/>
      <c r="M1347" s="99" t="n"/>
      <c r="N1347" s="100" t="n"/>
      <c r="O1347" s="98" t="n"/>
      <c r="P1347" s="99" t="n"/>
      <c r="Q1347" s="99" t="n"/>
      <c r="R1347" s="100" t="n"/>
      <c r="S1347" s="98" t="n"/>
      <c r="T1347" s="99" t="n"/>
      <c r="U1347" s="99" t="n"/>
      <c r="V1347" s="100" t="n"/>
      <c r="W1347" s="98" t="n"/>
      <c r="X1347" s="100" t="n"/>
      <c r="Y1347" s="98" t="n"/>
      <c r="Z1347" s="100" t="n"/>
      <c r="AB1347" s="101">
        <f>IF($B1347="","",(COUNTIF(C1308:E1325,$B1347)+COUNTIF(C1308:E1325,$B1347&amp;" ~*")&gt;0)+(COUNTIF(G1308:I1325,$B1347)+COUNTIF(G1308:I1325,$B1347&amp;" ~*")&gt;0)+(COUNTIF(K1308:M1325,$B1347)+COUNTIF(K1308:M1325,$B1347&amp;" ~*")&gt;0)+(COUNTIF(O1308:Q1325,$B1347)+COUNTIF(O1308:Q1325,$B1347&amp;" ~*")&gt;0)+(COUNTIF(S1308:U1325,$B1347)+COUNTIF(S1308:U1325,$B1347&amp;" ~*")&gt;0)+(COUNTIF(W1308:W1325,$B1347)+COUNTIF(W1308:W1325,$B1347&amp;" ~*")&gt;0)+(COUNTIF(Y1308:Y1325,$B1347)+COUNTIF(Y1308:Y1325,$B1347&amp;" ~*")&gt;0))</f>
        <v/>
      </c>
      <c r="AC1347" s="36">
        <f>IF($B1347="","",(IFERROR(INDEX(Setup!$G$33:$G$40,MATCH(C1347,Setup!$B$33:$B$40,0)),0)=1)*(COUNTIF(C1308:E1325,$B1347)+COUNTIF(C1308:E1325,$B1347&amp;" ~*")&gt;0)+(IFERROR(INDEX(Setup!$G$33:$G$40,MATCH(G1347,Setup!$B$33:$B$40,0)),0)=1)*(COUNTIF(G1308:I1325,$B1347)+COUNTIF(G1308:I1325,$B1347&amp;" ~*")&gt;0)+(IFERROR(INDEX(Setup!$G$33:$G$40,MATCH(K1347,Setup!$B$33:$B$40,0)),0)=1)*(COUNTIF(K1308:M1325,$B1347)+COUNTIF(K1308:M1325,$B1347&amp;" ~*")&gt;0)+(IFERROR(INDEX(Setup!$G$33:$G$40,MATCH(O1347,Setup!$B$33:$B$40,0)),0)=1)*(COUNTIF(O1308:Q1325,$B1347)+COUNTIF(O1308:Q1325,$B1347&amp;" ~*")&gt;0)+(IFERROR(INDEX(Setup!$G$33:$G$40,MATCH(S1347,Setup!$B$33:$B$40,0)),0)=1)*(COUNTIF(S1308:U1325,$B1347)+COUNTIF(S1308:U1325,$B1347&amp;" ~*")&gt;0)+(IFERROR(INDEX(Setup!$G$33:$G$40,MATCH(W1347,Setup!$B$33:$B$40,0)),0)=1)*(COUNTIF(W1308:W1325,$B1347)+COUNTIF(W1308:W1325,$B1347&amp;" ~*")&gt;0)+(IFERROR(INDEX(Setup!$G$33:$G$40,MATCH(Y1347,Setup!$B$33:$B$40,0)),0)=1)*(COUNTIF(Y1308:Y1325,$B1347)+COUNTIF(Y1308:Y1325,$B1347&amp;" ~*")&gt;0))</f>
        <v/>
      </c>
    </row>
    <row r="1348" ht="15" customHeight="1">
      <c r="A1348" t="n">
        <v>27</v>
      </c>
      <c r="B1348" s="37">
        <f>IF(Setup!$B$27="","",Setup!$B$27)</f>
        <v/>
      </c>
      <c r="C1348" s="102" t="n"/>
      <c r="D1348" s="103" t="n"/>
      <c r="E1348" s="103" t="n"/>
      <c r="F1348" s="104" t="n"/>
      <c r="G1348" s="102" t="n"/>
      <c r="H1348" s="103" t="n"/>
      <c r="I1348" s="103" t="n"/>
      <c r="J1348" s="104" t="n"/>
      <c r="K1348" s="102" t="n"/>
      <c r="L1348" s="103" t="n"/>
      <c r="M1348" s="103" t="n"/>
      <c r="N1348" s="104" t="n"/>
      <c r="O1348" s="102" t="n"/>
      <c r="P1348" s="103" t="n"/>
      <c r="Q1348" s="103" t="n"/>
      <c r="R1348" s="104" t="n"/>
      <c r="S1348" s="102" t="n"/>
      <c r="T1348" s="103" t="n"/>
      <c r="U1348" s="103" t="n"/>
      <c r="V1348" s="104" t="n"/>
      <c r="W1348" s="102" t="n"/>
      <c r="X1348" s="104" t="n"/>
      <c r="Y1348" s="102" t="n"/>
      <c r="Z1348" s="104" t="n"/>
      <c r="AB1348" s="105">
        <f>IF($B1348="","",(COUNTIF(C1308:E1325,$B1348)+COUNTIF(C1308:E1325,$B1348&amp;" ~*")&gt;0)+(COUNTIF(G1308:I1325,$B1348)+COUNTIF(G1308:I1325,$B1348&amp;" ~*")&gt;0)+(COUNTIF(K1308:M1325,$B1348)+COUNTIF(K1308:M1325,$B1348&amp;" ~*")&gt;0)+(COUNTIF(O1308:Q1325,$B1348)+COUNTIF(O1308:Q1325,$B1348&amp;" ~*")&gt;0)+(COUNTIF(S1308:U1325,$B1348)+COUNTIF(S1308:U1325,$B1348&amp;" ~*")&gt;0)+(COUNTIF(W1308:W1325,$B1348)+COUNTIF(W1308:W1325,$B1348&amp;" ~*")&gt;0)+(COUNTIF(Y1308:Y1325,$B1348)+COUNTIF(Y1308:Y1325,$B1348&amp;" ~*")&gt;0))</f>
        <v/>
      </c>
      <c r="AC1348" s="38">
        <f>IF($B1348="","",(IFERROR(INDEX(Setup!$G$33:$G$40,MATCH(C1348,Setup!$B$33:$B$40,0)),0)=1)*(COUNTIF(C1308:E1325,$B1348)+COUNTIF(C1308:E1325,$B1348&amp;" ~*")&gt;0)+(IFERROR(INDEX(Setup!$G$33:$G$40,MATCH(G1348,Setup!$B$33:$B$40,0)),0)=1)*(COUNTIF(G1308:I1325,$B1348)+COUNTIF(G1308:I1325,$B1348&amp;" ~*")&gt;0)+(IFERROR(INDEX(Setup!$G$33:$G$40,MATCH(K1348,Setup!$B$33:$B$40,0)),0)=1)*(COUNTIF(K1308:M1325,$B1348)+COUNTIF(K1308:M1325,$B1348&amp;" ~*")&gt;0)+(IFERROR(INDEX(Setup!$G$33:$G$40,MATCH(O1348,Setup!$B$33:$B$40,0)),0)=1)*(COUNTIF(O1308:Q1325,$B1348)+COUNTIF(O1308:Q1325,$B1348&amp;" ~*")&gt;0)+(IFERROR(INDEX(Setup!$G$33:$G$40,MATCH(S1348,Setup!$B$33:$B$40,0)),0)=1)*(COUNTIF(S1308:U1325,$B1348)+COUNTIF(S1308:U1325,$B1348&amp;" ~*")&gt;0)+(IFERROR(INDEX(Setup!$G$33:$G$40,MATCH(W1348,Setup!$B$33:$B$40,0)),0)=1)*(COUNTIF(W1308:W1325,$B1348)+COUNTIF(W1308:W1325,$B1348&amp;" ~*")&gt;0)+(IFERROR(INDEX(Setup!$G$33:$G$40,MATCH(Y1348,Setup!$B$33:$B$40,0)),0)=1)*(COUNTIF(Y1308:Y1325,$B1348)+COUNTIF(Y1308:Y1325,$B1348&amp;" ~*")&gt;0))</f>
        <v/>
      </c>
    </row>
    <row r="1349" ht="15" customHeight="1">
      <c r="A1349" t="n">
        <v>27</v>
      </c>
      <c r="B1349" s="35">
        <f>IF(Setup!$B$28="","",Setup!$B$28)</f>
        <v/>
      </c>
      <c r="C1349" s="98" t="n"/>
      <c r="D1349" s="99" t="n"/>
      <c r="E1349" s="99" t="n"/>
      <c r="F1349" s="100" t="n"/>
      <c r="G1349" s="98" t="n"/>
      <c r="H1349" s="99" t="n"/>
      <c r="I1349" s="99" t="n"/>
      <c r="J1349" s="100" t="n"/>
      <c r="K1349" s="98" t="n"/>
      <c r="L1349" s="99" t="n"/>
      <c r="M1349" s="99" t="n"/>
      <c r="N1349" s="100" t="n"/>
      <c r="O1349" s="98" t="n"/>
      <c r="P1349" s="99" t="n"/>
      <c r="Q1349" s="99" t="n"/>
      <c r="R1349" s="100" t="n"/>
      <c r="S1349" s="98" t="n"/>
      <c r="T1349" s="99" t="n"/>
      <c r="U1349" s="99" t="n"/>
      <c r="V1349" s="100" t="n"/>
      <c r="W1349" s="98" t="n"/>
      <c r="X1349" s="100" t="n"/>
      <c r="Y1349" s="98" t="n"/>
      <c r="Z1349" s="100" t="n"/>
      <c r="AB1349" s="101">
        <f>IF($B1349="","",(COUNTIF(C1308:E1325,$B1349)+COUNTIF(C1308:E1325,$B1349&amp;" ~*")&gt;0)+(COUNTIF(G1308:I1325,$B1349)+COUNTIF(G1308:I1325,$B1349&amp;" ~*")&gt;0)+(COUNTIF(K1308:M1325,$B1349)+COUNTIF(K1308:M1325,$B1349&amp;" ~*")&gt;0)+(COUNTIF(O1308:Q1325,$B1349)+COUNTIF(O1308:Q1325,$B1349&amp;" ~*")&gt;0)+(COUNTIF(S1308:U1325,$B1349)+COUNTIF(S1308:U1325,$B1349&amp;" ~*")&gt;0)+(COUNTIF(W1308:W1325,$B1349)+COUNTIF(W1308:W1325,$B1349&amp;" ~*")&gt;0)+(COUNTIF(Y1308:Y1325,$B1349)+COUNTIF(Y1308:Y1325,$B1349&amp;" ~*")&gt;0))</f>
        <v/>
      </c>
      <c r="AC1349" s="36">
        <f>IF($B1349="","",(IFERROR(INDEX(Setup!$G$33:$G$40,MATCH(C1349,Setup!$B$33:$B$40,0)),0)=1)*(COUNTIF(C1308:E1325,$B1349)+COUNTIF(C1308:E1325,$B1349&amp;" ~*")&gt;0)+(IFERROR(INDEX(Setup!$G$33:$G$40,MATCH(G1349,Setup!$B$33:$B$40,0)),0)=1)*(COUNTIF(G1308:I1325,$B1349)+COUNTIF(G1308:I1325,$B1349&amp;" ~*")&gt;0)+(IFERROR(INDEX(Setup!$G$33:$G$40,MATCH(K1349,Setup!$B$33:$B$40,0)),0)=1)*(COUNTIF(K1308:M1325,$B1349)+COUNTIF(K1308:M1325,$B1349&amp;" ~*")&gt;0)+(IFERROR(INDEX(Setup!$G$33:$G$40,MATCH(O1349,Setup!$B$33:$B$40,0)),0)=1)*(COUNTIF(O1308:Q1325,$B1349)+COUNTIF(O1308:Q1325,$B1349&amp;" ~*")&gt;0)+(IFERROR(INDEX(Setup!$G$33:$G$40,MATCH(S1349,Setup!$B$33:$B$40,0)),0)=1)*(COUNTIF(S1308:U1325,$B1349)+COUNTIF(S1308:U1325,$B1349&amp;" ~*")&gt;0)+(IFERROR(INDEX(Setup!$G$33:$G$40,MATCH(W1349,Setup!$B$33:$B$40,0)),0)=1)*(COUNTIF(W1308:W1325,$B1349)+COUNTIF(W1308:W1325,$B1349&amp;" ~*")&gt;0)+(IFERROR(INDEX(Setup!$G$33:$G$40,MATCH(Y1349,Setup!$B$33:$B$40,0)),0)=1)*(COUNTIF(Y1308:Y1325,$B1349)+COUNTIF(Y1308:Y1325,$B1349&amp;" ~*")&gt;0))</f>
        <v/>
      </c>
    </row>
    <row r="1350" ht="15" customHeight="1">
      <c r="A1350" t="n">
        <v>27</v>
      </c>
      <c r="B1350" s="37">
        <f>IF(Setup!$B$29="","",Setup!$B$29)</f>
        <v/>
      </c>
      <c r="C1350" s="102" t="n"/>
      <c r="D1350" s="103" t="n"/>
      <c r="E1350" s="103" t="n"/>
      <c r="F1350" s="104" t="n"/>
      <c r="G1350" s="102" t="n"/>
      <c r="H1350" s="103" t="n"/>
      <c r="I1350" s="103" t="n"/>
      <c r="J1350" s="104" t="n"/>
      <c r="K1350" s="102" t="n"/>
      <c r="L1350" s="103" t="n"/>
      <c r="M1350" s="103" t="n"/>
      <c r="N1350" s="104" t="n"/>
      <c r="O1350" s="102" t="n"/>
      <c r="P1350" s="103" t="n"/>
      <c r="Q1350" s="103" t="n"/>
      <c r="R1350" s="104" t="n"/>
      <c r="S1350" s="102" t="n"/>
      <c r="T1350" s="103" t="n"/>
      <c r="U1350" s="103" t="n"/>
      <c r="V1350" s="104" t="n"/>
      <c r="W1350" s="102" t="n"/>
      <c r="X1350" s="104" t="n"/>
      <c r="Y1350" s="102" t="n"/>
      <c r="Z1350" s="104" t="n"/>
      <c r="AB1350" s="105">
        <f>IF($B1350="","",(COUNTIF(C1308:E1325,$B1350)+COUNTIF(C1308:E1325,$B1350&amp;" ~*")&gt;0)+(COUNTIF(G1308:I1325,$B1350)+COUNTIF(G1308:I1325,$B1350&amp;" ~*")&gt;0)+(COUNTIF(K1308:M1325,$B1350)+COUNTIF(K1308:M1325,$B1350&amp;" ~*")&gt;0)+(COUNTIF(O1308:Q1325,$B1350)+COUNTIF(O1308:Q1325,$B1350&amp;" ~*")&gt;0)+(COUNTIF(S1308:U1325,$B1350)+COUNTIF(S1308:U1325,$B1350&amp;" ~*")&gt;0)+(COUNTIF(W1308:W1325,$B1350)+COUNTIF(W1308:W1325,$B1350&amp;" ~*")&gt;0)+(COUNTIF(Y1308:Y1325,$B1350)+COUNTIF(Y1308:Y1325,$B1350&amp;" ~*")&gt;0))</f>
        <v/>
      </c>
      <c r="AC1350" s="38">
        <f>IF($B1350="","",(IFERROR(INDEX(Setup!$G$33:$G$40,MATCH(C1350,Setup!$B$33:$B$40,0)),0)=1)*(COUNTIF(C1308:E1325,$B1350)+COUNTIF(C1308:E1325,$B1350&amp;" ~*")&gt;0)+(IFERROR(INDEX(Setup!$G$33:$G$40,MATCH(G1350,Setup!$B$33:$B$40,0)),0)=1)*(COUNTIF(G1308:I1325,$B1350)+COUNTIF(G1308:I1325,$B1350&amp;" ~*")&gt;0)+(IFERROR(INDEX(Setup!$G$33:$G$40,MATCH(K1350,Setup!$B$33:$B$40,0)),0)=1)*(COUNTIF(K1308:M1325,$B1350)+COUNTIF(K1308:M1325,$B1350&amp;" ~*")&gt;0)+(IFERROR(INDEX(Setup!$G$33:$G$40,MATCH(O1350,Setup!$B$33:$B$40,0)),0)=1)*(COUNTIF(O1308:Q1325,$B1350)+COUNTIF(O1308:Q1325,$B1350&amp;" ~*")&gt;0)+(IFERROR(INDEX(Setup!$G$33:$G$40,MATCH(S1350,Setup!$B$33:$B$40,0)),0)=1)*(COUNTIF(S1308:U1325,$B1350)+COUNTIF(S1308:U1325,$B1350&amp;" ~*")&gt;0)+(IFERROR(INDEX(Setup!$G$33:$G$40,MATCH(W1350,Setup!$B$33:$B$40,0)),0)=1)*(COUNTIF(W1308:W1325,$B1350)+COUNTIF(W1308:W1325,$B1350&amp;" ~*")&gt;0)+(IFERROR(INDEX(Setup!$G$33:$G$40,MATCH(Y1350,Setup!$B$33:$B$40,0)),0)=1)*(COUNTIF(Y1308:Y1325,$B1350)+COUNTIF(Y1308:Y1325,$B1350&amp;" ~*")&gt;0))</f>
        <v/>
      </c>
    </row>
    <row r="1351" ht="16" customHeight="1">
      <c r="A1351" t="n">
        <v>27</v>
      </c>
      <c r="B1351" s="106" t="inlineStr">
        <is>
          <t>Available people</t>
        </is>
      </c>
      <c r="C1351" s="107">
        <f>COUNTIFS(Setup!$E$6:$E$29,"Y",Setup!$B$6:$B$29,"?*")-SUMPRODUCT(COUNTIF(C1327:C1350,Setup!$F$33:$F$40))</f>
        <v/>
      </c>
      <c r="D1351" s="107" t="n"/>
      <c r="E1351" s="107" t="n"/>
      <c r="F1351" s="107" t="n"/>
      <c r="G1351" s="107">
        <f>COUNTIFS(Setup!$E$6:$E$29,"Y",Setup!$B$6:$B$29,"?*")-SUMPRODUCT(COUNTIF(G1327:G1350,Setup!$F$33:$F$40))</f>
        <v/>
      </c>
      <c r="H1351" s="107" t="n"/>
      <c r="I1351" s="107" t="n"/>
      <c r="J1351" s="107" t="n"/>
      <c r="K1351" s="107">
        <f>COUNTIFS(Setup!$E$6:$E$29,"Y",Setup!$B$6:$B$29,"?*")-SUMPRODUCT(COUNTIF(K1327:K1350,Setup!$F$33:$F$40))</f>
        <v/>
      </c>
      <c r="L1351" s="107" t="n"/>
      <c r="M1351" s="107" t="n"/>
      <c r="N1351" s="107" t="n"/>
      <c r="O1351" s="107">
        <f>COUNTIFS(Setup!$E$6:$E$29,"Y",Setup!$B$6:$B$29,"?*")-SUMPRODUCT(COUNTIF(O1327:O1350,Setup!$F$33:$F$40))</f>
        <v/>
      </c>
      <c r="P1351" s="107" t="n"/>
      <c r="Q1351" s="107" t="n"/>
      <c r="R1351" s="107" t="n"/>
      <c r="S1351" s="107">
        <f>COUNTIFS(Setup!$E$6:$E$29,"Y",Setup!$B$6:$B$29,"?*")-SUMPRODUCT(COUNTIF(S1327:S1350,Setup!$F$33:$F$40))</f>
        <v/>
      </c>
      <c r="T1351" s="107" t="n"/>
      <c r="U1351" s="107" t="n"/>
      <c r="V1351" s="107" t="n"/>
      <c r="W1351" s="107">
        <f>COUNTIFS(Setup!$E$6:$E$29,"Y",Setup!$B$6:$B$29,"?*")-SUMPRODUCT(COUNTIF(W1327:W1350,Setup!$F$33:$F$40))</f>
        <v/>
      </c>
      <c r="X1351" s="107" t="n"/>
      <c r="Y1351" s="107">
        <f>COUNTIFS(Setup!$E$6:$E$29,"Y",Setup!$B$6:$B$29,"?*")-SUMPRODUCT(COUNTIF(Y1327:Y1350,Setup!$F$33:$F$40))</f>
        <v/>
      </c>
      <c r="Z1351" s="107" t="n"/>
      <c r="AB1351" s="108">
        <f>SUM(AB1327:AB1350)</f>
        <v/>
      </c>
      <c r="AC1351" s="109">
        <f>SUM(AC1327:AC1350)</f>
        <v/>
      </c>
    </row>
    <row r="1352" ht="30" customHeight="1">
      <c r="A1352" t="n">
        <v>27</v>
      </c>
      <c r="B1352" s="110" t="inlineStr">
        <is>
          <t>Week notes</t>
        </is>
      </c>
      <c r="C1352" s="111" t="n"/>
      <c r="D1352" s="112" t="n"/>
      <c r="E1352" s="112" t="n"/>
      <c r="F1352" s="112" t="n"/>
      <c r="G1352" s="112" t="n"/>
      <c r="H1352" s="112" t="n"/>
      <c r="I1352" s="112" t="n"/>
      <c r="J1352" s="112" t="n"/>
      <c r="K1352" s="112" t="n"/>
      <c r="L1352" s="112" t="n"/>
      <c r="M1352" s="112" t="n"/>
      <c r="N1352" s="112" t="n"/>
      <c r="O1352" s="112" t="n"/>
      <c r="P1352" s="112" t="n"/>
      <c r="Q1352" s="112" t="n"/>
      <c r="R1352" s="112" t="n"/>
      <c r="S1352" s="112" t="n"/>
      <c r="T1352" s="112" t="n"/>
      <c r="U1352" s="112" t="n"/>
      <c r="V1352" s="112" t="n"/>
      <c r="W1352" s="112" t="n"/>
      <c r="X1352" s="112" t="n"/>
      <c r="Y1352" s="112" t="n"/>
      <c r="Z1352" s="113" t="n"/>
    </row>
    <row r="1353" ht="8" customHeight="1">
      <c r="A1353" t="n">
        <v>27</v>
      </c>
    </row>
    <row r="1354" ht="8" customHeight="1">
      <c r="A1354" t="n">
        <v>27</v>
      </c>
    </row>
    <row r="1355" ht="24" customHeight="1">
      <c r="A1355" t="n">
        <v>28</v>
      </c>
      <c r="B1355" s="73">
        <f>"WEEK 28     "&amp;TEXT(C1356,"ddd d mmm")&amp;"  –  "&amp;TEXT(C1356+6,"ddd d mmm yyyy")</f>
        <v/>
      </c>
      <c r="S1355" s="74">
        <f>IF(TODAY()&lt;C1356,"FUTURE",IF(TODAY()&gt;C1356+6,"PAST","THIS WEEK"))</f>
        <v/>
      </c>
      <c r="W1355" s="75">
        <f>IF(AND(Engine!$B$8=$AC$3,Engine!$B$9=$A1355),"◀ ACTIVE WEEK","")</f>
        <v/>
      </c>
      <c r="AA1355" s="76" t="n"/>
      <c r="AB1355" s="77" t="inlineStr">
        <is>
          <t>◀ Prev</t>
        </is>
      </c>
      <c r="AC1355" s="77" t="inlineStr">
        <is>
          <t>Next ▶</t>
        </is>
      </c>
    </row>
    <row r="1356" ht="18" customHeight="1">
      <c r="A1356" t="n">
        <v>28</v>
      </c>
      <c r="B1356" s="78" t="inlineStr">
        <is>
          <t>DUTY</t>
        </is>
      </c>
      <c r="C1356" s="79">
        <f>$AC$2+7*($A1356-1)</f>
        <v/>
      </c>
      <c r="D1356" s="80" t="n"/>
      <c r="E1356" s="80" t="n"/>
      <c r="F1356" s="81" t="n"/>
      <c r="G1356" s="79">
        <f>C1356+1</f>
        <v/>
      </c>
      <c r="H1356" s="80" t="n"/>
      <c r="I1356" s="80" t="n"/>
      <c r="J1356" s="81" t="n"/>
      <c r="K1356" s="79">
        <f>C1356+2</f>
        <v/>
      </c>
      <c r="L1356" s="80" t="n"/>
      <c r="M1356" s="80" t="n"/>
      <c r="N1356" s="81" t="n"/>
      <c r="O1356" s="79">
        <f>C1356+3</f>
        <v/>
      </c>
      <c r="P1356" s="80" t="n"/>
      <c r="Q1356" s="80" t="n"/>
      <c r="R1356" s="81" t="n"/>
      <c r="S1356" s="79">
        <f>C1356+4</f>
        <v/>
      </c>
      <c r="T1356" s="80" t="n"/>
      <c r="U1356" s="80" t="n"/>
      <c r="V1356" s="81" t="n"/>
      <c r="W1356" s="82">
        <f>C1356+5</f>
        <v/>
      </c>
      <c r="X1356" s="83" t="n"/>
      <c r="Y1356" s="82">
        <f>C1356+6</f>
        <v/>
      </c>
      <c r="Z1356" s="83" t="n"/>
      <c r="AB1356" s="72" t="inlineStr">
        <is>
          <t>Gaps</t>
        </is>
      </c>
      <c r="AC1356" s="72" t="inlineStr">
        <is>
          <t>Cover</t>
        </is>
      </c>
    </row>
    <row r="1357" ht="14" customHeight="1">
      <c r="A1357" t="n">
        <v>28</v>
      </c>
      <c r="B1357" s="84" t="inlineStr">
        <is>
          <t>(from Setup)</t>
        </is>
      </c>
      <c r="C1357" s="85" t="inlineStr">
        <is>
          <t>1</t>
        </is>
      </c>
      <c r="D1357" s="85" t="inlineStr">
        <is>
          <t>2</t>
        </is>
      </c>
      <c r="E1357" s="85" t="inlineStr">
        <is>
          <t>3</t>
        </is>
      </c>
      <c r="F1357" s="85" t="inlineStr">
        <is>
          <t>Notes</t>
        </is>
      </c>
      <c r="G1357" s="85" t="inlineStr">
        <is>
          <t>1</t>
        </is>
      </c>
      <c r="H1357" s="85" t="inlineStr">
        <is>
          <t>2</t>
        </is>
      </c>
      <c r="I1357" s="85" t="inlineStr">
        <is>
          <t>3</t>
        </is>
      </c>
      <c r="J1357" s="85" t="inlineStr">
        <is>
          <t>Notes</t>
        </is>
      </c>
      <c r="K1357" s="85" t="inlineStr">
        <is>
          <t>1</t>
        </is>
      </c>
      <c r="L1357" s="85" t="inlineStr">
        <is>
          <t>2</t>
        </is>
      </c>
      <c r="M1357" s="85" t="inlineStr">
        <is>
          <t>3</t>
        </is>
      </c>
      <c r="N1357" s="85" t="inlineStr">
        <is>
          <t>Notes</t>
        </is>
      </c>
      <c r="O1357" s="85" t="inlineStr">
        <is>
          <t>1</t>
        </is>
      </c>
      <c r="P1357" s="85" t="inlineStr">
        <is>
          <t>2</t>
        </is>
      </c>
      <c r="Q1357" s="85" t="inlineStr">
        <is>
          <t>3</t>
        </is>
      </c>
      <c r="R1357" s="85" t="inlineStr">
        <is>
          <t>Notes</t>
        </is>
      </c>
      <c r="S1357" s="85" t="inlineStr">
        <is>
          <t>1</t>
        </is>
      </c>
      <c r="T1357" s="85" t="inlineStr">
        <is>
          <t>2</t>
        </is>
      </c>
      <c r="U1357" s="85" t="inlineStr">
        <is>
          <t>3</t>
        </is>
      </c>
      <c r="V1357" s="85" t="inlineStr">
        <is>
          <t>Notes</t>
        </is>
      </c>
      <c r="W1357" s="85" t="inlineStr">
        <is>
          <t>Cover</t>
        </is>
      </c>
      <c r="X1357" s="85" t="inlineStr">
        <is>
          <t>Notes</t>
        </is>
      </c>
      <c r="Y1357" s="85" t="inlineStr">
        <is>
          <t>Cover</t>
        </is>
      </c>
      <c r="Z1357" s="85" t="inlineStr">
        <is>
          <t>Notes</t>
        </is>
      </c>
      <c r="AB1357" s="86" t="inlineStr">
        <is>
          <t>weekdays short</t>
        </is>
      </c>
      <c r="AC1357" s="87" t="inlineStr"/>
    </row>
    <row r="1358" ht="17" customHeight="1">
      <c r="A1358" t="n">
        <v>28</v>
      </c>
      <c r="B1358" s="24">
        <f>IF(Setup!$K$6="","",Setup!$K$6)</f>
        <v/>
      </c>
      <c r="C1358" s="88" t="n"/>
      <c r="D1358" s="88" t="n"/>
      <c r="E1358" s="88" t="n"/>
      <c r="F1358" s="89" t="n"/>
      <c r="G1358" s="88" t="n"/>
      <c r="H1358" s="88" t="n"/>
      <c r="I1358" s="88" t="n"/>
      <c r="J1358" s="89" t="n"/>
      <c r="K1358" s="88" t="n"/>
      <c r="L1358" s="88" t="n"/>
      <c r="M1358" s="88" t="n"/>
      <c r="N1358" s="89" t="n"/>
      <c r="O1358" s="88" t="n"/>
      <c r="P1358" s="88" t="n"/>
      <c r="Q1358" s="88" t="n"/>
      <c r="R1358" s="89" t="n"/>
      <c r="S1358" s="88" t="n"/>
      <c r="T1358" s="88" t="n"/>
      <c r="U1358" s="88" t="n"/>
      <c r="V1358" s="89" t="n"/>
      <c r="W1358" s="88" t="n"/>
      <c r="X1358" s="89" t="n"/>
      <c r="Y1358" s="88" t="n"/>
      <c r="Z1358" s="89" t="n"/>
      <c r="AB1358" s="25">
        <f>IF($B1358="","",(COUNTIF(C1358:E1358,"?*")&lt;N(INDEX(Setup!$L$6:$L$23,1)))+(COUNTIF(G1358:I1358,"?*")&lt;N(INDEX(Setup!$L$6:$L$23,1)))+(COUNTIF(K1358:M1358,"?*")&lt;N(INDEX(Setup!$L$6:$L$23,1)))+(COUNTIF(O1358:Q1358,"?*")&lt;N(INDEX(Setup!$L$6:$L$23,1)))+(COUNTIF(S1358:U1358,"?*")&lt;N(INDEX(Setup!$L$6:$L$23,1)))+((W1358="")*(INDEX(Setup!$M$6:$M$23,1)="Y"))+((Y1358="")*(INDEX(Setup!$M$6:$M$23,1)="Y")))</f>
        <v/>
      </c>
      <c r="AC1358" s="90">
        <f>IF($B1358="","",IF(AB1358=0,"✓ covered","⚠ "&amp;AB1358&amp;IF(AB1358=1," gap"," gaps")))</f>
        <v/>
      </c>
    </row>
    <row r="1359" ht="17" customHeight="1">
      <c r="A1359" t="n">
        <v>28</v>
      </c>
      <c r="B1359" s="29">
        <f>IF(Setup!$K$7="","",Setup!$K$7)</f>
        <v/>
      </c>
      <c r="C1359" s="88" t="n"/>
      <c r="D1359" s="88" t="n"/>
      <c r="E1359" s="88" t="n"/>
      <c r="F1359" s="89" t="n"/>
      <c r="G1359" s="88" t="n"/>
      <c r="H1359" s="88" t="n"/>
      <c r="I1359" s="88" t="n"/>
      <c r="J1359" s="89" t="n"/>
      <c r="K1359" s="88" t="n"/>
      <c r="L1359" s="88" t="n"/>
      <c r="M1359" s="88" t="n"/>
      <c r="N1359" s="89" t="n"/>
      <c r="O1359" s="88" t="n"/>
      <c r="P1359" s="88" t="n"/>
      <c r="Q1359" s="88" t="n"/>
      <c r="R1359" s="89" t="n"/>
      <c r="S1359" s="88" t="n"/>
      <c r="T1359" s="88" t="n"/>
      <c r="U1359" s="88" t="n"/>
      <c r="V1359" s="89" t="n"/>
      <c r="W1359" s="88" t="n"/>
      <c r="X1359" s="89" t="n"/>
      <c r="Y1359" s="88" t="n"/>
      <c r="Z1359" s="89" t="n"/>
      <c r="AB1359" s="30">
        <f>IF($B1359="","",(COUNTIF(C1359:E1359,"?*")&lt;N(INDEX(Setup!$L$6:$L$23,2)))+(COUNTIF(G1359:I1359,"?*")&lt;N(INDEX(Setup!$L$6:$L$23,2)))+(COUNTIF(K1359:M1359,"?*")&lt;N(INDEX(Setup!$L$6:$L$23,2)))+(COUNTIF(O1359:Q1359,"?*")&lt;N(INDEX(Setup!$L$6:$L$23,2)))+(COUNTIF(S1359:U1359,"?*")&lt;N(INDEX(Setup!$L$6:$L$23,2)))+((W1359="")*(INDEX(Setup!$M$6:$M$23,2)="Y"))+((Y1359="")*(INDEX(Setup!$M$6:$M$23,2)="Y")))</f>
        <v/>
      </c>
      <c r="AC1359" s="91">
        <f>IF($B1359="","",IF(AB1359=0,"✓ covered","⚠ "&amp;AB1359&amp;IF(AB1359=1," gap"," gaps")))</f>
        <v/>
      </c>
    </row>
    <row r="1360" ht="17" customHeight="1">
      <c r="A1360" t="n">
        <v>28</v>
      </c>
      <c r="B1360" s="24">
        <f>IF(Setup!$K$8="","",Setup!$K$8)</f>
        <v/>
      </c>
      <c r="C1360" s="88" t="n"/>
      <c r="D1360" s="88" t="n"/>
      <c r="E1360" s="88" t="n"/>
      <c r="F1360" s="89" t="n"/>
      <c r="G1360" s="88" t="n"/>
      <c r="H1360" s="88" t="n"/>
      <c r="I1360" s="88" t="n"/>
      <c r="J1360" s="89" t="n"/>
      <c r="K1360" s="88" t="n"/>
      <c r="L1360" s="88" t="n"/>
      <c r="M1360" s="88" t="n"/>
      <c r="N1360" s="89" t="n"/>
      <c r="O1360" s="88" t="n"/>
      <c r="P1360" s="88" t="n"/>
      <c r="Q1360" s="88" t="n"/>
      <c r="R1360" s="89" t="n"/>
      <c r="S1360" s="88" t="n"/>
      <c r="T1360" s="88" t="n"/>
      <c r="U1360" s="88" t="n"/>
      <c r="V1360" s="89" t="n"/>
      <c r="W1360" s="88" t="n"/>
      <c r="X1360" s="89" t="n"/>
      <c r="Y1360" s="88" t="n"/>
      <c r="Z1360" s="89" t="n"/>
      <c r="AB1360" s="25">
        <f>IF($B1360="","",(COUNTIF(C1360:E1360,"?*")&lt;N(INDEX(Setup!$L$6:$L$23,3)))+(COUNTIF(G1360:I1360,"?*")&lt;N(INDEX(Setup!$L$6:$L$23,3)))+(COUNTIF(K1360:M1360,"?*")&lt;N(INDEX(Setup!$L$6:$L$23,3)))+(COUNTIF(O1360:Q1360,"?*")&lt;N(INDEX(Setup!$L$6:$L$23,3)))+(COUNTIF(S1360:U1360,"?*")&lt;N(INDEX(Setup!$L$6:$L$23,3)))+((W1360="")*(INDEX(Setup!$M$6:$M$23,3)="Y"))+((Y1360="")*(INDEX(Setup!$M$6:$M$23,3)="Y")))</f>
        <v/>
      </c>
      <c r="AC1360" s="90">
        <f>IF($B1360="","",IF(AB1360=0,"✓ covered","⚠ "&amp;AB1360&amp;IF(AB1360=1," gap"," gaps")))</f>
        <v/>
      </c>
    </row>
    <row r="1361" ht="17" customHeight="1">
      <c r="A1361" t="n">
        <v>28</v>
      </c>
      <c r="B1361" s="29">
        <f>IF(Setup!$K$9="","",Setup!$K$9)</f>
        <v/>
      </c>
      <c r="C1361" s="88" t="n"/>
      <c r="D1361" s="88" t="n"/>
      <c r="E1361" s="88" t="n"/>
      <c r="F1361" s="89" t="n"/>
      <c r="G1361" s="88" t="n"/>
      <c r="H1361" s="88" t="n"/>
      <c r="I1361" s="88" t="n"/>
      <c r="J1361" s="89" t="n"/>
      <c r="K1361" s="88" t="n"/>
      <c r="L1361" s="88" t="n"/>
      <c r="M1361" s="88" t="n"/>
      <c r="N1361" s="89" t="n"/>
      <c r="O1361" s="88" t="n"/>
      <c r="P1361" s="88" t="n"/>
      <c r="Q1361" s="88" t="n"/>
      <c r="R1361" s="89" t="n"/>
      <c r="S1361" s="88" t="n"/>
      <c r="T1361" s="88" t="n"/>
      <c r="U1361" s="88" t="n"/>
      <c r="V1361" s="89" t="n"/>
      <c r="W1361" s="88" t="n"/>
      <c r="X1361" s="89" t="n"/>
      <c r="Y1361" s="88" t="n"/>
      <c r="Z1361" s="89" t="n"/>
      <c r="AB1361" s="30">
        <f>IF($B1361="","",(COUNTIF(C1361:E1361,"?*")&lt;N(INDEX(Setup!$L$6:$L$23,4)))+(COUNTIF(G1361:I1361,"?*")&lt;N(INDEX(Setup!$L$6:$L$23,4)))+(COUNTIF(K1361:M1361,"?*")&lt;N(INDEX(Setup!$L$6:$L$23,4)))+(COUNTIF(O1361:Q1361,"?*")&lt;N(INDEX(Setup!$L$6:$L$23,4)))+(COUNTIF(S1361:U1361,"?*")&lt;N(INDEX(Setup!$L$6:$L$23,4)))+((W1361="")*(INDEX(Setup!$M$6:$M$23,4)="Y"))+((Y1361="")*(INDEX(Setup!$M$6:$M$23,4)="Y")))</f>
        <v/>
      </c>
      <c r="AC1361" s="91">
        <f>IF($B1361="","",IF(AB1361=0,"✓ covered","⚠ "&amp;AB1361&amp;IF(AB1361=1," gap"," gaps")))</f>
        <v/>
      </c>
    </row>
    <row r="1362" ht="17" customHeight="1">
      <c r="A1362" t="n">
        <v>28</v>
      </c>
      <c r="B1362" s="24">
        <f>IF(Setup!$K$10="","",Setup!$K$10)</f>
        <v/>
      </c>
      <c r="C1362" s="88" t="n"/>
      <c r="D1362" s="88" t="n"/>
      <c r="E1362" s="88" t="n"/>
      <c r="F1362" s="89" t="n"/>
      <c r="G1362" s="88" t="n"/>
      <c r="H1362" s="88" t="n"/>
      <c r="I1362" s="88" t="n"/>
      <c r="J1362" s="89" t="n"/>
      <c r="K1362" s="88" t="n"/>
      <c r="L1362" s="88" t="n"/>
      <c r="M1362" s="88" t="n"/>
      <c r="N1362" s="89" t="n"/>
      <c r="O1362" s="88" t="n"/>
      <c r="P1362" s="88" t="n"/>
      <c r="Q1362" s="88" t="n"/>
      <c r="R1362" s="89" t="n"/>
      <c r="S1362" s="88" t="n"/>
      <c r="T1362" s="88" t="n"/>
      <c r="U1362" s="88" t="n"/>
      <c r="V1362" s="89" t="n"/>
      <c r="W1362" s="88" t="n"/>
      <c r="X1362" s="89" t="n"/>
      <c r="Y1362" s="88" t="n"/>
      <c r="Z1362" s="89" t="n"/>
      <c r="AB1362" s="25">
        <f>IF($B1362="","",(COUNTIF(C1362:E1362,"?*")&lt;N(INDEX(Setup!$L$6:$L$23,5)))+(COUNTIF(G1362:I1362,"?*")&lt;N(INDEX(Setup!$L$6:$L$23,5)))+(COUNTIF(K1362:M1362,"?*")&lt;N(INDEX(Setup!$L$6:$L$23,5)))+(COUNTIF(O1362:Q1362,"?*")&lt;N(INDEX(Setup!$L$6:$L$23,5)))+(COUNTIF(S1362:U1362,"?*")&lt;N(INDEX(Setup!$L$6:$L$23,5)))+((W1362="")*(INDEX(Setup!$M$6:$M$23,5)="Y"))+((Y1362="")*(INDEX(Setup!$M$6:$M$23,5)="Y")))</f>
        <v/>
      </c>
      <c r="AC1362" s="90">
        <f>IF($B1362="","",IF(AB1362=0,"✓ covered","⚠ "&amp;AB1362&amp;IF(AB1362=1," gap"," gaps")))</f>
        <v/>
      </c>
    </row>
    <row r="1363" ht="17" customHeight="1">
      <c r="A1363" t="n">
        <v>28</v>
      </c>
      <c r="B1363" s="29">
        <f>IF(Setup!$K$11="","",Setup!$K$11)</f>
        <v/>
      </c>
      <c r="C1363" s="88" t="n"/>
      <c r="D1363" s="88" t="n"/>
      <c r="E1363" s="88" t="n"/>
      <c r="F1363" s="89" t="n"/>
      <c r="G1363" s="88" t="n"/>
      <c r="H1363" s="88" t="n"/>
      <c r="I1363" s="88" t="n"/>
      <c r="J1363" s="89" t="n"/>
      <c r="K1363" s="88" t="n"/>
      <c r="L1363" s="88" t="n"/>
      <c r="M1363" s="88" t="n"/>
      <c r="N1363" s="89" t="n"/>
      <c r="O1363" s="88" t="n"/>
      <c r="P1363" s="88" t="n"/>
      <c r="Q1363" s="88" t="n"/>
      <c r="R1363" s="89" t="n"/>
      <c r="S1363" s="88" t="n"/>
      <c r="T1363" s="88" t="n"/>
      <c r="U1363" s="88" t="n"/>
      <c r="V1363" s="89" t="n"/>
      <c r="W1363" s="88" t="n"/>
      <c r="X1363" s="89" t="n"/>
      <c r="Y1363" s="88" t="n"/>
      <c r="Z1363" s="89" t="n"/>
      <c r="AB1363" s="30">
        <f>IF($B1363="","",(COUNTIF(C1363:E1363,"?*")&lt;N(INDEX(Setup!$L$6:$L$23,6)))+(COUNTIF(G1363:I1363,"?*")&lt;N(INDEX(Setup!$L$6:$L$23,6)))+(COUNTIF(K1363:M1363,"?*")&lt;N(INDEX(Setup!$L$6:$L$23,6)))+(COUNTIF(O1363:Q1363,"?*")&lt;N(INDEX(Setup!$L$6:$L$23,6)))+(COUNTIF(S1363:U1363,"?*")&lt;N(INDEX(Setup!$L$6:$L$23,6)))+((W1363="")*(INDEX(Setup!$M$6:$M$23,6)="Y"))+((Y1363="")*(INDEX(Setup!$M$6:$M$23,6)="Y")))</f>
        <v/>
      </c>
      <c r="AC1363" s="91">
        <f>IF($B1363="","",IF(AB1363=0,"✓ covered","⚠ "&amp;AB1363&amp;IF(AB1363=1," gap"," gaps")))</f>
        <v/>
      </c>
    </row>
    <row r="1364" ht="17" customHeight="1">
      <c r="A1364" t="n">
        <v>28</v>
      </c>
      <c r="B1364" s="24">
        <f>IF(Setup!$K$12="","",Setup!$K$12)</f>
        <v/>
      </c>
      <c r="C1364" s="88" t="n"/>
      <c r="D1364" s="88" t="n"/>
      <c r="E1364" s="88" t="n"/>
      <c r="F1364" s="89" t="n"/>
      <c r="G1364" s="88" t="n"/>
      <c r="H1364" s="88" t="n"/>
      <c r="I1364" s="88" t="n"/>
      <c r="J1364" s="89" t="n"/>
      <c r="K1364" s="88" t="n"/>
      <c r="L1364" s="88" t="n"/>
      <c r="M1364" s="88" t="n"/>
      <c r="N1364" s="89" t="n"/>
      <c r="O1364" s="88" t="n"/>
      <c r="P1364" s="88" t="n"/>
      <c r="Q1364" s="88" t="n"/>
      <c r="R1364" s="89" t="n"/>
      <c r="S1364" s="88" t="n"/>
      <c r="T1364" s="88" t="n"/>
      <c r="U1364" s="88" t="n"/>
      <c r="V1364" s="89" t="n"/>
      <c r="W1364" s="88" t="n"/>
      <c r="X1364" s="89" t="n"/>
      <c r="Y1364" s="88" t="n"/>
      <c r="Z1364" s="89" t="n"/>
      <c r="AB1364" s="25">
        <f>IF($B1364="","",(COUNTIF(C1364:E1364,"?*")&lt;N(INDEX(Setup!$L$6:$L$23,7)))+(COUNTIF(G1364:I1364,"?*")&lt;N(INDEX(Setup!$L$6:$L$23,7)))+(COUNTIF(K1364:M1364,"?*")&lt;N(INDEX(Setup!$L$6:$L$23,7)))+(COUNTIF(O1364:Q1364,"?*")&lt;N(INDEX(Setup!$L$6:$L$23,7)))+(COUNTIF(S1364:U1364,"?*")&lt;N(INDEX(Setup!$L$6:$L$23,7)))+((W1364="")*(INDEX(Setup!$M$6:$M$23,7)="Y"))+((Y1364="")*(INDEX(Setup!$M$6:$M$23,7)="Y")))</f>
        <v/>
      </c>
      <c r="AC1364" s="90">
        <f>IF($B1364="","",IF(AB1364=0,"✓ covered","⚠ "&amp;AB1364&amp;IF(AB1364=1," gap"," gaps")))</f>
        <v/>
      </c>
    </row>
    <row r="1365" ht="17" customHeight="1">
      <c r="A1365" t="n">
        <v>28</v>
      </c>
      <c r="B1365" s="29">
        <f>IF(Setup!$K$13="","",Setup!$K$13)</f>
        <v/>
      </c>
      <c r="C1365" s="88" t="n"/>
      <c r="D1365" s="88" t="n"/>
      <c r="E1365" s="88" t="n"/>
      <c r="F1365" s="89" t="n"/>
      <c r="G1365" s="88" t="n"/>
      <c r="H1365" s="88" t="n"/>
      <c r="I1365" s="88" t="n"/>
      <c r="J1365" s="89" t="n"/>
      <c r="K1365" s="88" t="n"/>
      <c r="L1365" s="88" t="n"/>
      <c r="M1365" s="88" t="n"/>
      <c r="N1365" s="89" t="n"/>
      <c r="O1365" s="88" t="n"/>
      <c r="P1365" s="88" t="n"/>
      <c r="Q1365" s="88" t="n"/>
      <c r="R1365" s="89" t="n"/>
      <c r="S1365" s="88" t="n"/>
      <c r="T1365" s="88" t="n"/>
      <c r="U1365" s="88" t="n"/>
      <c r="V1365" s="89" t="n"/>
      <c r="W1365" s="88" t="n"/>
      <c r="X1365" s="89" t="n"/>
      <c r="Y1365" s="88" t="n"/>
      <c r="Z1365" s="89" t="n"/>
      <c r="AB1365" s="30">
        <f>IF($B1365="","",(COUNTIF(C1365:E1365,"?*")&lt;N(INDEX(Setup!$L$6:$L$23,8)))+(COUNTIF(G1365:I1365,"?*")&lt;N(INDEX(Setup!$L$6:$L$23,8)))+(COUNTIF(K1365:M1365,"?*")&lt;N(INDEX(Setup!$L$6:$L$23,8)))+(COUNTIF(O1365:Q1365,"?*")&lt;N(INDEX(Setup!$L$6:$L$23,8)))+(COUNTIF(S1365:U1365,"?*")&lt;N(INDEX(Setup!$L$6:$L$23,8)))+((W1365="")*(INDEX(Setup!$M$6:$M$23,8)="Y"))+((Y1365="")*(INDEX(Setup!$M$6:$M$23,8)="Y")))</f>
        <v/>
      </c>
      <c r="AC1365" s="91">
        <f>IF($B1365="","",IF(AB1365=0,"✓ covered","⚠ "&amp;AB1365&amp;IF(AB1365=1," gap"," gaps")))</f>
        <v/>
      </c>
    </row>
    <row r="1366" ht="17" customHeight="1">
      <c r="A1366" t="n">
        <v>28</v>
      </c>
      <c r="B1366" s="24">
        <f>IF(Setup!$K$14="","",Setup!$K$14)</f>
        <v/>
      </c>
      <c r="C1366" s="88" t="n"/>
      <c r="D1366" s="88" t="n"/>
      <c r="E1366" s="88" t="n"/>
      <c r="F1366" s="89" t="n"/>
      <c r="G1366" s="88" t="n"/>
      <c r="H1366" s="88" t="n"/>
      <c r="I1366" s="88" t="n"/>
      <c r="J1366" s="89" t="n"/>
      <c r="K1366" s="88" t="n"/>
      <c r="L1366" s="88" t="n"/>
      <c r="M1366" s="88" t="n"/>
      <c r="N1366" s="89" t="n"/>
      <c r="O1366" s="88" t="n"/>
      <c r="P1366" s="88" t="n"/>
      <c r="Q1366" s="88" t="n"/>
      <c r="R1366" s="89" t="n"/>
      <c r="S1366" s="88" t="n"/>
      <c r="T1366" s="88" t="n"/>
      <c r="U1366" s="88" t="n"/>
      <c r="V1366" s="89" t="n"/>
      <c r="W1366" s="88" t="n"/>
      <c r="X1366" s="89" t="n"/>
      <c r="Y1366" s="88" t="n"/>
      <c r="Z1366" s="89" t="n"/>
      <c r="AB1366" s="25">
        <f>IF($B1366="","",(COUNTIF(C1366:E1366,"?*")&lt;N(INDEX(Setup!$L$6:$L$23,9)))+(COUNTIF(G1366:I1366,"?*")&lt;N(INDEX(Setup!$L$6:$L$23,9)))+(COUNTIF(K1366:M1366,"?*")&lt;N(INDEX(Setup!$L$6:$L$23,9)))+(COUNTIF(O1366:Q1366,"?*")&lt;N(INDEX(Setup!$L$6:$L$23,9)))+(COUNTIF(S1366:U1366,"?*")&lt;N(INDEX(Setup!$L$6:$L$23,9)))+((W1366="")*(INDEX(Setup!$M$6:$M$23,9)="Y"))+((Y1366="")*(INDEX(Setup!$M$6:$M$23,9)="Y")))</f>
        <v/>
      </c>
      <c r="AC1366" s="90">
        <f>IF($B1366="","",IF(AB1366=0,"✓ covered","⚠ "&amp;AB1366&amp;IF(AB1366=1," gap"," gaps")))</f>
        <v/>
      </c>
    </row>
    <row r="1367" ht="17" customHeight="1">
      <c r="A1367" t="n">
        <v>28</v>
      </c>
      <c r="B1367" s="29">
        <f>IF(Setup!$K$15="","",Setup!$K$15)</f>
        <v/>
      </c>
      <c r="C1367" s="88" t="n"/>
      <c r="D1367" s="88" t="n"/>
      <c r="E1367" s="88" t="n"/>
      <c r="F1367" s="89" t="n"/>
      <c r="G1367" s="88" t="n"/>
      <c r="H1367" s="88" t="n"/>
      <c r="I1367" s="88" t="n"/>
      <c r="J1367" s="89" t="n"/>
      <c r="K1367" s="88" t="n"/>
      <c r="L1367" s="88" t="n"/>
      <c r="M1367" s="88" t="n"/>
      <c r="N1367" s="89" t="n"/>
      <c r="O1367" s="88" t="n"/>
      <c r="P1367" s="88" t="n"/>
      <c r="Q1367" s="88" t="n"/>
      <c r="R1367" s="89" t="n"/>
      <c r="S1367" s="88" t="n"/>
      <c r="T1367" s="88" t="n"/>
      <c r="U1367" s="88" t="n"/>
      <c r="V1367" s="89" t="n"/>
      <c r="W1367" s="88" t="n"/>
      <c r="X1367" s="89" t="n"/>
      <c r="Y1367" s="88" t="n"/>
      <c r="Z1367" s="89" t="n"/>
      <c r="AB1367" s="30">
        <f>IF($B1367="","",(COUNTIF(C1367:E1367,"?*")&lt;N(INDEX(Setup!$L$6:$L$23,10)))+(COUNTIF(G1367:I1367,"?*")&lt;N(INDEX(Setup!$L$6:$L$23,10)))+(COUNTIF(K1367:M1367,"?*")&lt;N(INDEX(Setup!$L$6:$L$23,10)))+(COUNTIF(O1367:Q1367,"?*")&lt;N(INDEX(Setup!$L$6:$L$23,10)))+(COUNTIF(S1367:U1367,"?*")&lt;N(INDEX(Setup!$L$6:$L$23,10)))+((W1367="")*(INDEX(Setup!$M$6:$M$23,10)="Y"))+((Y1367="")*(INDEX(Setup!$M$6:$M$23,10)="Y")))</f>
        <v/>
      </c>
      <c r="AC1367" s="91">
        <f>IF($B1367="","",IF(AB1367=0,"✓ covered","⚠ "&amp;AB1367&amp;IF(AB1367=1," gap"," gaps")))</f>
        <v/>
      </c>
    </row>
    <row r="1368" ht="17" customHeight="1">
      <c r="A1368" t="n">
        <v>28</v>
      </c>
      <c r="B1368" s="24">
        <f>IF(Setup!$K$16="","",Setup!$K$16)</f>
        <v/>
      </c>
      <c r="C1368" s="88" t="n"/>
      <c r="D1368" s="88" t="n"/>
      <c r="E1368" s="88" t="n"/>
      <c r="F1368" s="89" t="n"/>
      <c r="G1368" s="88" t="n"/>
      <c r="H1368" s="88" t="n"/>
      <c r="I1368" s="88" t="n"/>
      <c r="J1368" s="89" t="n"/>
      <c r="K1368" s="88" t="n"/>
      <c r="L1368" s="88" t="n"/>
      <c r="M1368" s="88" t="n"/>
      <c r="N1368" s="89" t="n"/>
      <c r="O1368" s="88" t="n"/>
      <c r="P1368" s="88" t="n"/>
      <c r="Q1368" s="88" t="n"/>
      <c r="R1368" s="89" t="n"/>
      <c r="S1368" s="88" t="n"/>
      <c r="T1368" s="88" t="n"/>
      <c r="U1368" s="88" t="n"/>
      <c r="V1368" s="89" t="n"/>
      <c r="W1368" s="88" t="n"/>
      <c r="X1368" s="89" t="n"/>
      <c r="Y1368" s="88" t="n"/>
      <c r="Z1368" s="89" t="n"/>
      <c r="AB1368" s="25">
        <f>IF($B1368="","",(COUNTIF(C1368:E1368,"?*")&lt;N(INDEX(Setup!$L$6:$L$23,11)))+(COUNTIF(G1368:I1368,"?*")&lt;N(INDEX(Setup!$L$6:$L$23,11)))+(COUNTIF(K1368:M1368,"?*")&lt;N(INDEX(Setup!$L$6:$L$23,11)))+(COUNTIF(O1368:Q1368,"?*")&lt;N(INDEX(Setup!$L$6:$L$23,11)))+(COUNTIF(S1368:U1368,"?*")&lt;N(INDEX(Setup!$L$6:$L$23,11)))+((W1368="")*(INDEX(Setup!$M$6:$M$23,11)="Y"))+((Y1368="")*(INDEX(Setup!$M$6:$M$23,11)="Y")))</f>
        <v/>
      </c>
      <c r="AC1368" s="90">
        <f>IF($B1368="","",IF(AB1368=0,"✓ covered","⚠ "&amp;AB1368&amp;IF(AB1368=1," gap"," gaps")))</f>
        <v/>
      </c>
    </row>
    <row r="1369" ht="17" customHeight="1">
      <c r="A1369" t="n">
        <v>28</v>
      </c>
      <c r="B1369" s="29">
        <f>IF(Setup!$K$17="","",Setup!$K$17)</f>
        <v/>
      </c>
      <c r="C1369" s="88" t="n"/>
      <c r="D1369" s="88" t="n"/>
      <c r="E1369" s="88" t="n"/>
      <c r="F1369" s="89" t="n"/>
      <c r="G1369" s="88" t="n"/>
      <c r="H1369" s="88" t="n"/>
      <c r="I1369" s="88" t="n"/>
      <c r="J1369" s="89" t="n"/>
      <c r="K1369" s="88" t="n"/>
      <c r="L1369" s="88" t="n"/>
      <c r="M1369" s="88" t="n"/>
      <c r="N1369" s="89" t="n"/>
      <c r="O1369" s="88" t="n"/>
      <c r="P1369" s="88" t="n"/>
      <c r="Q1369" s="88" t="n"/>
      <c r="R1369" s="89" t="n"/>
      <c r="S1369" s="88" t="n"/>
      <c r="T1369" s="88" t="n"/>
      <c r="U1369" s="88" t="n"/>
      <c r="V1369" s="89" t="n"/>
      <c r="W1369" s="88" t="n"/>
      <c r="X1369" s="89" t="n"/>
      <c r="Y1369" s="88" t="n"/>
      <c r="Z1369" s="89" t="n"/>
      <c r="AB1369" s="30">
        <f>IF($B1369="","",(COUNTIF(C1369:E1369,"?*")&lt;N(INDEX(Setup!$L$6:$L$23,12)))+(COUNTIF(G1369:I1369,"?*")&lt;N(INDEX(Setup!$L$6:$L$23,12)))+(COUNTIF(K1369:M1369,"?*")&lt;N(INDEX(Setup!$L$6:$L$23,12)))+(COUNTIF(O1369:Q1369,"?*")&lt;N(INDEX(Setup!$L$6:$L$23,12)))+(COUNTIF(S1369:U1369,"?*")&lt;N(INDEX(Setup!$L$6:$L$23,12)))+((W1369="")*(INDEX(Setup!$M$6:$M$23,12)="Y"))+((Y1369="")*(INDEX(Setup!$M$6:$M$23,12)="Y")))</f>
        <v/>
      </c>
      <c r="AC1369" s="91">
        <f>IF($B1369="","",IF(AB1369=0,"✓ covered","⚠ "&amp;AB1369&amp;IF(AB1369=1," gap"," gaps")))</f>
        <v/>
      </c>
    </row>
    <row r="1370" ht="17" customHeight="1">
      <c r="A1370" t="n">
        <v>28</v>
      </c>
      <c r="B1370" s="24">
        <f>IF(Setup!$K$18="","",Setup!$K$18)</f>
        <v/>
      </c>
      <c r="C1370" s="88" t="n"/>
      <c r="D1370" s="88" t="n"/>
      <c r="E1370" s="88" t="n"/>
      <c r="F1370" s="89" t="n"/>
      <c r="G1370" s="88" t="n"/>
      <c r="H1370" s="88" t="n"/>
      <c r="I1370" s="88" t="n"/>
      <c r="J1370" s="89" t="n"/>
      <c r="K1370" s="88" t="n"/>
      <c r="L1370" s="88" t="n"/>
      <c r="M1370" s="88" t="n"/>
      <c r="N1370" s="89" t="n"/>
      <c r="O1370" s="88" t="n"/>
      <c r="P1370" s="88" t="n"/>
      <c r="Q1370" s="88" t="n"/>
      <c r="R1370" s="89" t="n"/>
      <c r="S1370" s="88" t="n"/>
      <c r="T1370" s="88" t="n"/>
      <c r="U1370" s="88" t="n"/>
      <c r="V1370" s="89" t="n"/>
      <c r="W1370" s="88" t="n"/>
      <c r="X1370" s="89" t="n"/>
      <c r="Y1370" s="88" t="n"/>
      <c r="Z1370" s="89" t="n"/>
      <c r="AB1370" s="25">
        <f>IF($B1370="","",(COUNTIF(C1370:E1370,"?*")&lt;N(INDEX(Setup!$L$6:$L$23,13)))+(COUNTIF(G1370:I1370,"?*")&lt;N(INDEX(Setup!$L$6:$L$23,13)))+(COUNTIF(K1370:M1370,"?*")&lt;N(INDEX(Setup!$L$6:$L$23,13)))+(COUNTIF(O1370:Q1370,"?*")&lt;N(INDEX(Setup!$L$6:$L$23,13)))+(COUNTIF(S1370:U1370,"?*")&lt;N(INDEX(Setup!$L$6:$L$23,13)))+((W1370="")*(INDEX(Setup!$M$6:$M$23,13)="Y"))+((Y1370="")*(INDEX(Setup!$M$6:$M$23,13)="Y")))</f>
        <v/>
      </c>
      <c r="AC1370" s="90">
        <f>IF($B1370="","",IF(AB1370=0,"✓ covered","⚠ "&amp;AB1370&amp;IF(AB1370=1," gap"," gaps")))</f>
        <v/>
      </c>
    </row>
    <row r="1371" ht="17" customHeight="1">
      <c r="A1371" t="n">
        <v>28</v>
      </c>
      <c r="B1371" s="29">
        <f>IF(Setup!$K$19="","",Setup!$K$19)</f>
        <v/>
      </c>
      <c r="C1371" s="88" t="n"/>
      <c r="D1371" s="88" t="n"/>
      <c r="E1371" s="88" t="n"/>
      <c r="F1371" s="89" t="n"/>
      <c r="G1371" s="88" t="n"/>
      <c r="H1371" s="88" t="n"/>
      <c r="I1371" s="88" t="n"/>
      <c r="J1371" s="89" t="n"/>
      <c r="K1371" s="88" t="n"/>
      <c r="L1371" s="88" t="n"/>
      <c r="M1371" s="88" t="n"/>
      <c r="N1371" s="89" t="n"/>
      <c r="O1371" s="88" t="n"/>
      <c r="P1371" s="88" t="n"/>
      <c r="Q1371" s="88" t="n"/>
      <c r="R1371" s="89" t="n"/>
      <c r="S1371" s="88" t="n"/>
      <c r="T1371" s="88" t="n"/>
      <c r="U1371" s="88" t="n"/>
      <c r="V1371" s="89" t="n"/>
      <c r="W1371" s="88" t="n"/>
      <c r="X1371" s="89" t="n"/>
      <c r="Y1371" s="88" t="n"/>
      <c r="Z1371" s="89" t="n"/>
      <c r="AB1371" s="30">
        <f>IF($B1371="","",(COUNTIF(C1371:E1371,"?*")&lt;N(INDEX(Setup!$L$6:$L$23,14)))+(COUNTIF(G1371:I1371,"?*")&lt;N(INDEX(Setup!$L$6:$L$23,14)))+(COUNTIF(K1371:M1371,"?*")&lt;N(INDEX(Setup!$L$6:$L$23,14)))+(COUNTIF(O1371:Q1371,"?*")&lt;N(INDEX(Setup!$L$6:$L$23,14)))+(COUNTIF(S1371:U1371,"?*")&lt;N(INDEX(Setup!$L$6:$L$23,14)))+((W1371="")*(INDEX(Setup!$M$6:$M$23,14)="Y"))+((Y1371="")*(INDEX(Setup!$M$6:$M$23,14)="Y")))</f>
        <v/>
      </c>
      <c r="AC1371" s="91">
        <f>IF($B1371="","",IF(AB1371=0,"✓ covered","⚠ "&amp;AB1371&amp;IF(AB1371=1," gap"," gaps")))</f>
        <v/>
      </c>
    </row>
    <row r="1372" ht="17" customHeight="1">
      <c r="A1372" t="n">
        <v>28</v>
      </c>
      <c r="B1372" s="24">
        <f>IF(Setup!$K$20="","",Setup!$K$20)</f>
        <v/>
      </c>
      <c r="C1372" s="88" t="n"/>
      <c r="D1372" s="88" t="n"/>
      <c r="E1372" s="88" t="n"/>
      <c r="F1372" s="89" t="n"/>
      <c r="G1372" s="88" t="n"/>
      <c r="H1372" s="88" t="n"/>
      <c r="I1372" s="88" t="n"/>
      <c r="J1372" s="89" t="n"/>
      <c r="K1372" s="88" t="n"/>
      <c r="L1372" s="88" t="n"/>
      <c r="M1372" s="88" t="n"/>
      <c r="N1372" s="89" t="n"/>
      <c r="O1372" s="88" t="n"/>
      <c r="P1372" s="88" t="n"/>
      <c r="Q1372" s="88" t="n"/>
      <c r="R1372" s="89" t="n"/>
      <c r="S1372" s="88" t="n"/>
      <c r="T1372" s="88" t="n"/>
      <c r="U1372" s="88" t="n"/>
      <c r="V1372" s="89" t="n"/>
      <c r="W1372" s="88" t="n"/>
      <c r="X1372" s="89" t="n"/>
      <c r="Y1372" s="88" t="n"/>
      <c r="Z1372" s="89" t="n"/>
      <c r="AB1372" s="25">
        <f>IF($B1372="","",(COUNTIF(C1372:E1372,"?*")&lt;N(INDEX(Setup!$L$6:$L$23,15)))+(COUNTIF(G1372:I1372,"?*")&lt;N(INDEX(Setup!$L$6:$L$23,15)))+(COUNTIF(K1372:M1372,"?*")&lt;N(INDEX(Setup!$L$6:$L$23,15)))+(COUNTIF(O1372:Q1372,"?*")&lt;N(INDEX(Setup!$L$6:$L$23,15)))+(COUNTIF(S1372:U1372,"?*")&lt;N(INDEX(Setup!$L$6:$L$23,15)))+((W1372="")*(INDEX(Setup!$M$6:$M$23,15)="Y"))+((Y1372="")*(INDEX(Setup!$M$6:$M$23,15)="Y")))</f>
        <v/>
      </c>
      <c r="AC1372" s="90">
        <f>IF($B1372="","",IF(AB1372=0,"✓ covered","⚠ "&amp;AB1372&amp;IF(AB1372=1," gap"," gaps")))</f>
        <v/>
      </c>
    </row>
    <row r="1373" ht="17" customHeight="1">
      <c r="A1373" t="n">
        <v>28</v>
      </c>
      <c r="B1373" s="29">
        <f>IF(Setup!$K$21="","",Setup!$K$21)</f>
        <v/>
      </c>
      <c r="C1373" s="88" t="n"/>
      <c r="D1373" s="88" t="n"/>
      <c r="E1373" s="88" t="n"/>
      <c r="F1373" s="89" t="n"/>
      <c r="G1373" s="88" t="n"/>
      <c r="H1373" s="88" t="n"/>
      <c r="I1373" s="88" t="n"/>
      <c r="J1373" s="89" t="n"/>
      <c r="K1373" s="88" t="n"/>
      <c r="L1373" s="88" t="n"/>
      <c r="M1373" s="88" t="n"/>
      <c r="N1373" s="89" t="n"/>
      <c r="O1373" s="88" t="n"/>
      <c r="P1373" s="88" t="n"/>
      <c r="Q1373" s="88" t="n"/>
      <c r="R1373" s="89" t="n"/>
      <c r="S1373" s="88" t="n"/>
      <c r="T1373" s="88" t="n"/>
      <c r="U1373" s="88" t="n"/>
      <c r="V1373" s="89" t="n"/>
      <c r="W1373" s="88" t="n"/>
      <c r="X1373" s="89" t="n"/>
      <c r="Y1373" s="88" t="n"/>
      <c r="Z1373" s="89" t="n"/>
      <c r="AB1373" s="30">
        <f>IF($B1373="","",(COUNTIF(C1373:E1373,"?*")&lt;N(INDEX(Setup!$L$6:$L$23,16)))+(COUNTIF(G1373:I1373,"?*")&lt;N(INDEX(Setup!$L$6:$L$23,16)))+(COUNTIF(K1373:M1373,"?*")&lt;N(INDEX(Setup!$L$6:$L$23,16)))+(COUNTIF(O1373:Q1373,"?*")&lt;N(INDEX(Setup!$L$6:$L$23,16)))+(COUNTIF(S1373:U1373,"?*")&lt;N(INDEX(Setup!$L$6:$L$23,16)))+((W1373="")*(INDEX(Setup!$M$6:$M$23,16)="Y"))+((Y1373="")*(INDEX(Setup!$M$6:$M$23,16)="Y")))</f>
        <v/>
      </c>
      <c r="AC1373" s="91">
        <f>IF($B1373="","",IF(AB1373=0,"✓ covered","⚠ "&amp;AB1373&amp;IF(AB1373=1," gap"," gaps")))</f>
        <v/>
      </c>
    </row>
    <row r="1374" ht="17" customHeight="1">
      <c r="A1374" t="n">
        <v>28</v>
      </c>
      <c r="B1374" s="24">
        <f>IF(Setup!$K$22="","",Setup!$K$22)</f>
        <v/>
      </c>
      <c r="C1374" s="88" t="n"/>
      <c r="D1374" s="88" t="n"/>
      <c r="E1374" s="88" t="n"/>
      <c r="F1374" s="89" t="n"/>
      <c r="G1374" s="88" t="n"/>
      <c r="H1374" s="88" t="n"/>
      <c r="I1374" s="88" t="n"/>
      <c r="J1374" s="89" t="n"/>
      <c r="K1374" s="88" t="n"/>
      <c r="L1374" s="88" t="n"/>
      <c r="M1374" s="88" t="n"/>
      <c r="N1374" s="89" t="n"/>
      <c r="O1374" s="88" t="n"/>
      <c r="P1374" s="88" t="n"/>
      <c r="Q1374" s="88" t="n"/>
      <c r="R1374" s="89" t="n"/>
      <c r="S1374" s="88" t="n"/>
      <c r="T1374" s="88" t="n"/>
      <c r="U1374" s="88" t="n"/>
      <c r="V1374" s="89" t="n"/>
      <c r="W1374" s="88" t="n"/>
      <c r="X1374" s="89" t="n"/>
      <c r="Y1374" s="88" t="n"/>
      <c r="Z1374" s="89" t="n"/>
      <c r="AB1374" s="25">
        <f>IF($B1374="","",(COUNTIF(C1374:E1374,"?*")&lt;N(INDEX(Setup!$L$6:$L$23,17)))+(COUNTIF(G1374:I1374,"?*")&lt;N(INDEX(Setup!$L$6:$L$23,17)))+(COUNTIF(K1374:M1374,"?*")&lt;N(INDEX(Setup!$L$6:$L$23,17)))+(COUNTIF(O1374:Q1374,"?*")&lt;N(INDEX(Setup!$L$6:$L$23,17)))+(COUNTIF(S1374:U1374,"?*")&lt;N(INDEX(Setup!$L$6:$L$23,17)))+((W1374="")*(INDEX(Setup!$M$6:$M$23,17)="Y"))+((Y1374="")*(INDEX(Setup!$M$6:$M$23,17)="Y")))</f>
        <v/>
      </c>
      <c r="AC1374" s="90">
        <f>IF($B1374="","",IF(AB1374=0,"✓ covered","⚠ "&amp;AB1374&amp;IF(AB1374=1," gap"," gaps")))</f>
        <v/>
      </c>
    </row>
    <row r="1375" ht="17" customHeight="1">
      <c r="A1375" t="n">
        <v>28</v>
      </c>
      <c r="B1375" s="29">
        <f>IF(Setup!$K$23="","",Setup!$K$23)</f>
        <v/>
      </c>
      <c r="C1375" s="88" t="n"/>
      <c r="D1375" s="88" t="n"/>
      <c r="E1375" s="88" t="n"/>
      <c r="F1375" s="89" t="n"/>
      <c r="G1375" s="88" t="n"/>
      <c r="H1375" s="88" t="n"/>
      <c r="I1375" s="88" t="n"/>
      <c r="J1375" s="89" t="n"/>
      <c r="K1375" s="88" t="n"/>
      <c r="L1375" s="88" t="n"/>
      <c r="M1375" s="88" t="n"/>
      <c r="N1375" s="89" t="n"/>
      <c r="O1375" s="88" t="n"/>
      <c r="P1375" s="88" t="n"/>
      <c r="Q1375" s="88" t="n"/>
      <c r="R1375" s="89" t="n"/>
      <c r="S1375" s="88" t="n"/>
      <c r="T1375" s="88" t="n"/>
      <c r="U1375" s="88" t="n"/>
      <c r="V1375" s="89" t="n"/>
      <c r="W1375" s="88" t="n"/>
      <c r="X1375" s="89" t="n"/>
      <c r="Y1375" s="88" t="n"/>
      <c r="Z1375" s="89" t="n"/>
      <c r="AB1375" s="30">
        <f>IF($B1375="","",(COUNTIF(C1375:E1375,"?*")&lt;N(INDEX(Setup!$L$6:$L$23,18)))+(COUNTIF(G1375:I1375,"?*")&lt;N(INDEX(Setup!$L$6:$L$23,18)))+(COUNTIF(K1375:M1375,"?*")&lt;N(INDEX(Setup!$L$6:$L$23,18)))+(COUNTIF(O1375:Q1375,"?*")&lt;N(INDEX(Setup!$L$6:$L$23,18)))+(COUNTIF(S1375:U1375,"?*")&lt;N(INDEX(Setup!$L$6:$L$23,18)))+((W1375="")*(INDEX(Setup!$M$6:$M$23,18)="Y"))+((Y1375="")*(INDEX(Setup!$M$6:$M$23,18)="Y")))</f>
        <v/>
      </c>
      <c r="AC1375" s="91">
        <f>IF($B1375="","",IF(AB1375=0,"✓ covered","⚠ "&amp;AB1375&amp;IF(AB1375=1," gap"," gaps")))</f>
        <v/>
      </c>
    </row>
    <row r="1376" ht="18" customHeight="1">
      <c r="A1376" t="n">
        <v>28</v>
      </c>
      <c r="B1376" s="78" t="inlineStr">
        <is>
          <t>TEAM AVAILABILITY</t>
        </is>
      </c>
      <c r="C1376" s="92" t="inlineStr">
        <is>
          <t>Mon</t>
        </is>
      </c>
      <c r="D1376" s="93" t="n"/>
      <c r="E1376" s="93" t="n"/>
      <c r="F1376" s="94" t="n"/>
      <c r="G1376" s="92" t="inlineStr">
        <is>
          <t>Tue</t>
        </is>
      </c>
      <c r="H1376" s="93" t="n"/>
      <c r="I1376" s="93" t="n"/>
      <c r="J1376" s="94" t="n"/>
      <c r="K1376" s="92" t="inlineStr">
        <is>
          <t>Wed</t>
        </is>
      </c>
      <c r="L1376" s="93" t="n"/>
      <c r="M1376" s="93" t="n"/>
      <c r="N1376" s="94" t="n"/>
      <c r="O1376" s="92" t="inlineStr">
        <is>
          <t>Thu</t>
        </is>
      </c>
      <c r="P1376" s="93" t="n"/>
      <c r="Q1376" s="93" t="n"/>
      <c r="R1376" s="94" t="n"/>
      <c r="S1376" s="92" t="inlineStr">
        <is>
          <t>Fri</t>
        </is>
      </c>
      <c r="T1376" s="93" t="n"/>
      <c r="U1376" s="93" t="n"/>
      <c r="V1376" s="94" t="n"/>
      <c r="W1376" s="95" t="inlineStr">
        <is>
          <t>Sat</t>
        </is>
      </c>
      <c r="X1376" s="96" t="n"/>
      <c r="Y1376" s="95" t="inlineStr">
        <is>
          <t>Sun</t>
        </is>
      </c>
      <c r="Z1376" s="96" t="n"/>
      <c r="AB1376" s="97" t="inlineStr">
        <is>
          <t>Days rostered</t>
        </is>
      </c>
      <c r="AC1376" s="97" t="inlineStr">
        <is>
          <t>Conflicts</t>
        </is>
      </c>
    </row>
    <row r="1377" ht="15" customHeight="1">
      <c r="A1377" t="n">
        <v>28</v>
      </c>
      <c r="B1377" s="35">
        <f>IF(Setup!$B$6="","",Setup!$B$6)</f>
        <v/>
      </c>
      <c r="C1377" s="98" t="n"/>
      <c r="D1377" s="99" t="n"/>
      <c r="E1377" s="99" t="n"/>
      <c r="F1377" s="100" t="n"/>
      <c r="G1377" s="98" t="n"/>
      <c r="H1377" s="99" t="n"/>
      <c r="I1377" s="99" t="n"/>
      <c r="J1377" s="100" t="n"/>
      <c r="K1377" s="98" t="n"/>
      <c r="L1377" s="99" t="n"/>
      <c r="M1377" s="99" t="n"/>
      <c r="N1377" s="100" t="n"/>
      <c r="O1377" s="98" t="n"/>
      <c r="P1377" s="99" t="n"/>
      <c r="Q1377" s="99" t="n"/>
      <c r="R1377" s="100" t="n"/>
      <c r="S1377" s="98" t="n"/>
      <c r="T1377" s="99" t="n"/>
      <c r="U1377" s="99" t="n"/>
      <c r="V1377" s="100" t="n"/>
      <c r="W1377" s="98" t="n"/>
      <c r="X1377" s="100" t="n"/>
      <c r="Y1377" s="98" t="n"/>
      <c r="Z1377" s="100" t="n"/>
      <c r="AB1377" s="101">
        <f>IF($B1377="","",(COUNTIF(C1358:E1375,$B1377)+COUNTIF(C1358:E1375,$B1377&amp;" ~*")&gt;0)+(COUNTIF(G1358:I1375,$B1377)+COUNTIF(G1358:I1375,$B1377&amp;" ~*")&gt;0)+(COUNTIF(K1358:M1375,$B1377)+COUNTIF(K1358:M1375,$B1377&amp;" ~*")&gt;0)+(COUNTIF(O1358:Q1375,$B1377)+COUNTIF(O1358:Q1375,$B1377&amp;" ~*")&gt;0)+(COUNTIF(S1358:U1375,$B1377)+COUNTIF(S1358:U1375,$B1377&amp;" ~*")&gt;0)+(COUNTIF(W1358:W1375,$B1377)+COUNTIF(W1358:W1375,$B1377&amp;" ~*")&gt;0)+(COUNTIF(Y1358:Y1375,$B1377)+COUNTIF(Y1358:Y1375,$B1377&amp;" ~*")&gt;0))</f>
        <v/>
      </c>
      <c r="AC1377" s="36">
        <f>IF($B1377="","",(IFERROR(INDEX(Setup!$G$33:$G$40,MATCH(C1377,Setup!$B$33:$B$40,0)),0)=1)*(COUNTIF(C1358:E1375,$B1377)+COUNTIF(C1358:E1375,$B1377&amp;" ~*")&gt;0)+(IFERROR(INDEX(Setup!$G$33:$G$40,MATCH(G1377,Setup!$B$33:$B$40,0)),0)=1)*(COUNTIF(G1358:I1375,$B1377)+COUNTIF(G1358:I1375,$B1377&amp;" ~*")&gt;0)+(IFERROR(INDEX(Setup!$G$33:$G$40,MATCH(K1377,Setup!$B$33:$B$40,0)),0)=1)*(COUNTIF(K1358:M1375,$B1377)+COUNTIF(K1358:M1375,$B1377&amp;" ~*")&gt;0)+(IFERROR(INDEX(Setup!$G$33:$G$40,MATCH(O1377,Setup!$B$33:$B$40,0)),0)=1)*(COUNTIF(O1358:Q1375,$B1377)+COUNTIF(O1358:Q1375,$B1377&amp;" ~*")&gt;0)+(IFERROR(INDEX(Setup!$G$33:$G$40,MATCH(S1377,Setup!$B$33:$B$40,0)),0)=1)*(COUNTIF(S1358:U1375,$B1377)+COUNTIF(S1358:U1375,$B1377&amp;" ~*")&gt;0)+(IFERROR(INDEX(Setup!$G$33:$G$40,MATCH(W1377,Setup!$B$33:$B$40,0)),0)=1)*(COUNTIF(W1358:W1375,$B1377)+COUNTIF(W1358:W1375,$B1377&amp;" ~*")&gt;0)+(IFERROR(INDEX(Setup!$G$33:$G$40,MATCH(Y1377,Setup!$B$33:$B$40,0)),0)=1)*(COUNTIF(Y1358:Y1375,$B1377)+COUNTIF(Y1358:Y1375,$B1377&amp;" ~*")&gt;0))</f>
        <v/>
      </c>
    </row>
    <row r="1378" ht="15" customHeight="1">
      <c r="A1378" t="n">
        <v>28</v>
      </c>
      <c r="B1378" s="37">
        <f>IF(Setup!$B$7="","",Setup!$B$7)</f>
        <v/>
      </c>
      <c r="C1378" s="102" t="n"/>
      <c r="D1378" s="103" t="n"/>
      <c r="E1378" s="103" t="n"/>
      <c r="F1378" s="104" t="n"/>
      <c r="G1378" s="102" t="n"/>
      <c r="H1378" s="103" t="n"/>
      <c r="I1378" s="103" t="n"/>
      <c r="J1378" s="104" t="n"/>
      <c r="K1378" s="102" t="n"/>
      <c r="L1378" s="103" t="n"/>
      <c r="M1378" s="103" t="n"/>
      <c r="N1378" s="104" t="n"/>
      <c r="O1378" s="102" t="n"/>
      <c r="P1378" s="103" t="n"/>
      <c r="Q1378" s="103" t="n"/>
      <c r="R1378" s="104" t="n"/>
      <c r="S1378" s="102" t="n"/>
      <c r="T1378" s="103" t="n"/>
      <c r="U1378" s="103" t="n"/>
      <c r="V1378" s="104" t="n"/>
      <c r="W1378" s="102" t="n"/>
      <c r="X1378" s="104" t="n"/>
      <c r="Y1378" s="102" t="n"/>
      <c r="Z1378" s="104" t="n"/>
      <c r="AB1378" s="105">
        <f>IF($B1378="","",(COUNTIF(C1358:E1375,$B1378)+COUNTIF(C1358:E1375,$B1378&amp;" ~*")&gt;0)+(COUNTIF(G1358:I1375,$B1378)+COUNTIF(G1358:I1375,$B1378&amp;" ~*")&gt;0)+(COUNTIF(K1358:M1375,$B1378)+COUNTIF(K1358:M1375,$B1378&amp;" ~*")&gt;0)+(COUNTIF(O1358:Q1375,$B1378)+COUNTIF(O1358:Q1375,$B1378&amp;" ~*")&gt;0)+(COUNTIF(S1358:U1375,$B1378)+COUNTIF(S1358:U1375,$B1378&amp;" ~*")&gt;0)+(COUNTIF(W1358:W1375,$B1378)+COUNTIF(W1358:W1375,$B1378&amp;" ~*")&gt;0)+(COUNTIF(Y1358:Y1375,$B1378)+COUNTIF(Y1358:Y1375,$B1378&amp;" ~*")&gt;0))</f>
        <v/>
      </c>
      <c r="AC1378" s="38">
        <f>IF($B1378="","",(IFERROR(INDEX(Setup!$G$33:$G$40,MATCH(C1378,Setup!$B$33:$B$40,0)),0)=1)*(COUNTIF(C1358:E1375,$B1378)+COUNTIF(C1358:E1375,$B1378&amp;" ~*")&gt;0)+(IFERROR(INDEX(Setup!$G$33:$G$40,MATCH(G1378,Setup!$B$33:$B$40,0)),0)=1)*(COUNTIF(G1358:I1375,$B1378)+COUNTIF(G1358:I1375,$B1378&amp;" ~*")&gt;0)+(IFERROR(INDEX(Setup!$G$33:$G$40,MATCH(K1378,Setup!$B$33:$B$40,0)),0)=1)*(COUNTIF(K1358:M1375,$B1378)+COUNTIF(K1358:M1375,$B1378&amp;" ~*")&gt;0)+(IFERROR(INDEX(Setup!$G$33:$G$40,MATCH(O1378,Setup!$B$33:$B$40,0)),0)=1)*(COUNTIF(O1358:Q1375,$B1378)+COUNTIF(O1358:Q1375,$B1378&amp;" ~*")&gt;0)+(IFERROR(INDEX(Setup!$G$33:$G$40,MATCH(S1378,Setup!$B$33:$B$40,0)),0)=1)*(COUNTIF(S1358:U1375,$B1378)+COUNTIF(S1358:U1375,$B1378&amp;" ~*")&gt;0)+(IFERROR(INDEX(Setup!$G$33:$G$40,MATCH(W1378,Setup!$B$33:$B$40,0)),0)=1)*(COUNTIF(W1358:W1375,$B1378)+COUNTIF(W1358:W1375,$B1378&amp;" ~*")&gt;0)+(IFERROR(INDEX(Setup!$G$33:$G$40,MATCH(Y1378,Setup!$B$33:$B$40,0)),0)=1)*(COUNTIF(Y1358:Y1375,$B1378)+COUNTIF(Y1358:Y1375,$B1378&amp;" ~*")&gt;0))</f>
        <v/>
      </c>
    </row>
    <row r="1379" ht="15" customHeight="1">
      <c r="A1379" t="n">
        <v>28</v>
      </c>
      <c r="B1379" s="35">
        <f>IF(Setup!$B$8="","",Setup!$B$8)</f>
        <v/>
      </c>
      <c r="C1379" s="98" t="n"/>
      <c r="D1379" s="99" t="n"/>
      <c r="E1379" s="99" t="n"/>
      <c r="F1379" s="100" t="n"/>
      <c r="G1379" s="98" t="n"/>
      <c r="H1379" s="99" t="n"/>
      <c r="I1379" s="99" t="n"/>
      <c r="J1379" s="100" t="n"/>
      <c r="K1379" s="98" t="n"/>
      <c r="L1379" s="99" t="n"/>
      <c r="M1379" s="99" t="n"/>
      <c r="N1379" s="100" t="n"/>
      <c r="O1379" s="98" t="n"/>
      <c r="P1379" s="99" t="n"/>
      <c r="Q1379" s="99" t="n"/>
      <c r="R1379" s="100" t="n"/>
      <c r="S1379" s="98" t="n"/>
      <c r="T1379" s="99" t="n"/>
      <c r="U1379" s="99" t="n"/>
      <c r="V1379" s="100" t="n"/>
      <c r="W1379" s="98" t="n"/>
      <c r="X1379" s="100" t="n"/>
      <c r="Y1379" s="98" t="n"/>
      <c r="Z1379" s="100" t="n"/>
      <c r="AB1379" s="101">
        <f>IF($B1379="","",(COUNTIF(C1358:E1375,$B1379)+COUNTIF(C1358:E1375,$B1379&amp;" ~*")&gt;0)+(COUNTIF(G1358:I1375,$B1379)+COUNTIF(G1358:I1375,$B1379&amp;" ~*")&gt;0)+(COUNTIF(K1358:M1375,$B1379)+COUNTIF(K1358:M1375,$B1379&amp;" ~*")&gt;0)+(COUNTIF(O1358:Q1375,$B1379)+COUNTIF(O1358:Q1375,$B1379&amp;" ~*")&gt;0)+(COUNTIF(S1358:U1375,$B1379)+COUNTIF(S1358:U1375,$B1379&amp;" ~*")&gt;0)+(COUNTIF(W1358:W1375,$B1379)+COUNTIF(W1358:W1375,$B1379&amp;" ~*")&gt;0)+(COUNTIF(Y1358:Y1375,$B1379)+COUNTIF(Y1358:Y1375,$B1379&amp;" ~*")&gt;0))</f>
        <v/>
      </c>
      <c r="AC1379" s="36">
        <f>IF($B1379="","",(IFERROR(INDEX(Setup!$G$33:$G$40,MATCH(C1379,Setup!$B$33:$B$40,0)),0)=1)*(COUNTIF(C1358:E1375,$B1379)+COUNTIF(C1358:E1375,$B1379&amp;" ~*")&gt;0)+(IFERROR(INDEX(Setup!$G$33:$G$40,MATCH(G1379,Setup!$B$33:$B$40,0)),0)=1)*(COUNTIF(G1358:I1375,$B1379)+COUNTIF(G1358:I1375,$B1379&amp;" ~*")&gt;0)+(IFERROR(INDEX(Setup!$G$33:$G$40,MATCH(K1379,Setup!$B$33:$B$40,0)),0)=1)*(COUNTIF(K1358:M1375,$B1379)+COUNTIF(K1358:M1375,$B1379&amp;" ~*")&gt;0)+(IFERROR(INDEX(Setup!$G$33:$G$40,MATCH(O1379,Setup!$B$33:$B$40,0)),0)=1)*(COUNTIF(O1358:Q1375,$B1379)+COUNTIF(O1358:Q1375,$B1379&amp;" ~*")&gt;0)+(IFERROR(INDEX(Setup!$G$33:$G$40,MATCH(S1379,Setup!$B$33:$B$40,0)),0)=1)*(COUNTIF(S1358:U1375,$B1379)+COUNTIF(S1358:U1375,$B1379&amp;" ~*")&gt;0)+(IFERROR(INDEX(Setup!$G$33:$G$40,MATCH(W1379,Setup!$B$33:$B$40,0)),0)=1)*(COUNTIF(W1358:W1375,$B1379)+COUNTIF(W1358:W1375,$B1379&amp;" ~*")&gt;0)+(IFERROR(INDEX(Setup!$G$33:$G$40,MATCH(Y1379,Setup!$B$33:$B$40,0)),0)=1)*(COUNTIF(Y1358:Y1375,$B1379)+COUNTIF(Y1358:Y1375,$B1379&amp;" ~*")&gt;0))</f>
        <v/>
      </c>
    </row>
    <row r="1380" ht="15" customHeight="1">
      <c r="A1380" t="n">
        <v>28</v>
      </c>
      <c r="B1380" s="37">
        <f>IF(Setup!$B$9="","",Setup!$B$9)</f>
        <v/>
      </c>
      <c r="C1380" s="102" t="n"/>
      <c r="D1380" s="103" t="n"/>
      <c r="E1380" s="103" t="n"/>
      <c r="F1380" s="104" t="n"/>
      <c r="G1380" s="102" t="n"/>
      <c r="H1380" s="103" t="n"/>
      <c r="I1380" s="103" t="n"/>
      <c r="J1380" s="104" t="n"/>
      <c r="K1380" s="102" t="n"/>
      <c r="L1380" s="103" t="n"/>
      <c r="M1380" s="103" t="n"/>
      <c r="N1380" s="104" t="n"/>
      <c r="O1380" s="102" t="n"/>
      <c r="P1380" s="103" t="n"/>
      <c r="Q1380" s="103" t="n"/>
      <c r="R1380" s="104" t="n"/>
      <c r="S1380" s="102" t="n"/>
      <c r="T1380" s="103" t="n"/>
      <c r="U1380" s="103" t="n"/>
      <c r="V1380" s="104" t="n"/>
      <c r="W1380" s="102" t="n"/>
      <c r="X1380" s="104" t="n"/>
      <c r="Y1380" s="102" t="n"/>
      <c r="Z1380" s="104" t="n"/>
      <c r="AB1380" s="105">
        <f>IF($B1380="","",(COUNTIF(C1358:E1375,$B1380)+COUNTIF(C1358:E1375,$B1380&amp;" ~*")&gt;0)+(COUNTIF(G1358:I1375,$B1380)+COUNTIF(G1358:I1375,$B1380&amp;" ~*")&gt;0)+(COUNTIF(K1358:M1375,$B1380)+COUNTIF(K1358:M1375,$B1380&amp;" ~*")&gt;0)+(COUNTIF(O1358:Q1375,$B1380)+COUNTIF(O1358:Q1375,$B1380&amp;" ~*")&gt;0)+(COUNTIF(S1358:U1375,$B1380)+COUNTIF(S1358:U1375,$B1380&amp;" ~*")&gt;0)+(COUNTIF(W1358:W1375,$B1380)+COUNTIF(W1358:W1375,$B1380&amp;" ~*")&gt;0)+(COUNTIF(Y1358:Y1375,$B1380)+COUNTIF(Y1358:Y1375,$B1380&amp;" ~*")&gt;0))</f>
        <v/>
      </c>
      <c r="AC1380" s="38">
        <f>IF($B1380="","",(IFERROR(INDEX(Setup!$G$33:$G$40,MATCH(C1380,Setup!$B$33:$B$40,0)),0)=1)*(COUNTIF(C1358:E1375,$B1380)+COUNTIF(C1358:E1375,$B1380&amp;" ~*")&gt;0)+(IFERROR(INDEX(Setup!$G$33:$G$40,MATCH(G1380,Setup!$B$33:$B$40,0)),0)=1)*(COUNTIF(G1358:I1375,$B1380)+COUNTIF(G1358:I1375,$B1380&amp;" ~*")&gt;0)+(IFERROR(INDEX(Setup!$G$33:$G$40,MATCH(K1380,Setup!$B$33:$B$40,0)),0)=1)*(COUNTIF(K1358:M1375,$B1380)+COUNTIF(K1358:M1375,$B1380&amp;" ~*")&gt;0)+(IFERROR(INDEX(Setup!$G$33:$G$40,MATCH(O1380,Setup!$B$33:$B$40,0)),0)=1)*(COUNTIF(O1358:Q1375,$B1380)+COUNTIF(O1358:Q1375,$B1380&amp;" ~*")&gt;0)+(IFERROR(INDEX(Setup!$G$33:$G$40,MATCH(S1380,Setup!$B$33:$B$40,0)),0)=1)*(COUNTIF(S1358:U1375,$B1380)+COUNTIF(S1358:U1375,$B1380&amp;" ~*")&gt;0)+(IFERROR(INDEX(Setup!$G$33:$G$40,MATCH(W1380,Setup!$B$33:$B$40,0)),0)=1)*(COUNTIF(W1358:W1375,$B1380)+COUNTIF(W1358:W1375,$B1380&amp;" ~*")&gt;0)+(IFERROR(INDEX(Setup!$G$33:$G$40,MATCH(Y1380,Setup!$B$33:$B$40,0)),0)=1)*(COUNTIF(Y1358:Y1375,$B1380)+COUNTIF(Y1358:Y1375,$B1380&amp;" ~*")&gt;0))</f>
        <v/>
      </c>
    </row>
    <row r="1381" ht="15" customHeight="1">
      <c r="A1381" t="n">
        <v>28</v>
      </c>
      <c r="B1381" s="35">
        <f>IF(Setup!$B$10="","",Setup!$B$10)</f>
        <v/>
      </c>
      <c r="C1381" s="98" t="n"/>
      <c r="D1381" s="99" t="n"/>
      <c r="E1381" s="99" t="n"/>
      <c r="F1381" s="100" t="n"/>
      <c r="G1381" s="98" t="n"/>
      <c r="H1381" s="99" t="n"/>
      <c r="I1381" s="99" t="n"/>
      <c r="J1381" s="100" t="n"/>
      <c r="K1381" s="98" t="n"/>
      <c r="L1381" s="99" t="n"/>
      <c r="M1381" s="99" t="n"/>
      <c r="N1381" s="100" t="n"/>
      <c r="O1381" s="98" t="n"/>
      <c r="P1381" s="99" t="n"/>
      <c r="Q1381" s="99" t="n"/>
      <c r="R1381" s="100" t="n"/>
      <c r="S1381" s="98" t="n"/>
      <c r="T1381" s="99" t="n"/>
      <c r="U1381" s="99" t="n"/>
      <c r="V1381" s="100" t="n"/>
      <c r="W1381" s="98" t="n"/>
      <c r="X1381" s="100" t="n"/>
      <c r="Y1381" s="98" t="n"/>
      <c r="Z1381" s="100" t="n"/>
      <c r="AB1381" s="101">
        <f>IF($B1381="","",(COUNTIF(C1358:E1375,$B1381)+COUNTIF(C1358:E1375,$B1381&amp;" ~*")&gt;0)+(COUNTIF(G1358:I1375,$B1381)+COUNTIF(G1358:I1375,$B1381&amp;" ~*")&gt;0)+(COUNTIF(K1358:M1375,$B1381)+COUNTIF(K1358:M1375,$B1381&amp;" ~*")&gt;0)+(COUNTIF(O1358:Q1375,$B1381)+COUNTIF(O1358:Q1375,$B1381&amp;" ~*")&gt;0)+(COUNTIF(S1358:U1375,$B1381)+COUNTIF(S1358:U1375,$B1381&amp;" ~*")&gt;0)+(COUNTIF(W1358:W1375,$B1381)+COUNTIF(W1358:W1375,$B1381&amp;" ~*")&gt;0)+(COUNTIF(Y1358:Y1375,$B1381)+COUNTIF(Y1358:Y1375,$B1381&amp;" ~*")&gt;0))</f>
        <v/>
      </c>
      <c r="AC1381" s="36">
        <f>IF($B1381="","",(IFERROR(INDEX(Setup!$G$33:$G$40,MATCH(C1381,Setup!$B$33:$B$40,0)),0)=1)*(COUNTIF(C1358:E1375,$B1381)+COUNTIF(C1358:E1375,$B1381&amp;" ~*")&gt;0)+(IFERROR(INDEX(Setup!$G$33:$G$40,MATCH(G1381,Setup!$B$33:$B$40,0)),0)=1)*(COUNTIF(G1358:I1375,$B1381)+COUNTIF(G1358:I1375,$B1381&amp;" ~*")&gt;0)+(IFERROR(INDEX(Setup!$G$33:$G$40,MATCH(K1381,Setup!$B$33:$B$40,0)),0)=1)*(COUNTIF(K1358:M1375,$B1381)+COUNTIF(K1358:M1375,$B1381&amp;" ~*")&gt;0)+(IFERROR(INDEX(Setup!$G$33:$G$40,MATCH(O1381,Setup!$B$33:$B$40,0)),0)=1)*(COUNTIF(O1358:Q1375,$B1381)+COUNTIF(O1358:Q1375,$B1381&amp;" ~*")&gt;0)+(IFERROR(INDEX(Setup!$G$33:$G$40,MATCH(S1381,Setup!$B$33:$B$40,0)),0)=1)*(COUNTIF(S1358:U1375,$B1381)+COUNTIF(S1358:U1375,$B1381&amp;" ~*")&gt;0)+(IFERROR(INDEX(Setup!$G$33:$G$40,MATCH(W1381,Setup!$B$33:$B$40,0)),0)=1)*(COUNTIF(W1358:W1375,$B1381)+COUNTIF(W1358:W1375,$B1381&amp;" ~*")&gt;0)+(IFERROR(INDEX(Setup!$G$33:$G$40,MATCH(Y1381,Setup!$B$33:$B$40,0)),0)=1)*(COUNTIF(Y1358:Y1375,$B1381)+COUNTIF(Y1358:Y1375,$B1381&amp;" ~*")&gt;0))</f>
        <v/>
      </c>
    </row>
    <row r="1382" ht="15" customHeight="1">
      <c r="A1382" t="n">
        <v>28</v>
      </c>
      <c r="B1382" s="37">
        <f>IF(Setup!$B$11="","",Setup!$B$11)</f>
        <v/>
      </c>
      <c r="C1382" s="102" t="n"/>
      <c r="D1382" s="103" t="n"/>
      <c r="E1382" s="103" t="n"/>
      <c r="F1382" s="104" t="n"/>
      <c r="G1382" s="102" t="n"/>
      <c r="H1382" s="103" t="n"/>
      <c r="I1382" s="103" t="n"/>
      <c r="J1382" s="104" t="n"/>
      <c r="K1382" s="102" t="n"/>
      <c r="L1382" s="103" t="n"/>
      <c r="M1382" s="103" t="n"/>
      <c r="N1382" s="104" t="n"/>
      <c r="O1382" s="102" t="n"/>
      <c r="P1382" s="103" t="n"/>
      <c r="Q1382" s="103" t="n"/>
      <c r="R1382" s="104" t="n"/>
      <c r="S1382" s="102" t="n"/>
      <c r="T1382" s="103" t="n"/>
      <c r="U1382" s="103" t="n"/>
      <c r="V1382" s="104" t="n"/>
      <c r="W1382" s="102" t="n"/>
      <c r="X1382" s="104" t="n"/>
      <c r="Y1382" s="102" t="n"/>
      <c r="Z1382" s="104" t="n"/>
      <c r="AB1382" s="105">
        <f>IF($B1382="","",(COUNTIF(C1358:E1375,$B1382)+COUNTIF(C1358:E1375,$B1382&amp;" ~*")&gt;0)+(COUNTIF(G1358:I1375,$B1382)+COUNTIF(G1358:I1375,$B1382&amp;" ~*")&gt;0)+(COUNTIF(K1358:M1375,$B1382)+COUNTIF(K1358:M1375,$B1382&amp;" ~*")&gt;0)+(COUNTIF(O1358:Q1375,$B1382)+COUNTIF(O1358:Q1375,$B1382&amp;" ~*")&gt;0)+(COUNTIF(S1358:U1375,$B1382)+COUNTIF(S1358:U1375,$B1382&amp;" ~*")&gt;0)+(COUNTIF(W1358:W1375,$B1382)+COUNTIF(W1358:W1375,$B1382&amp;" ~*")&gt;0)+(COUNTIF(Y1358:Y1375,$B1382)+COUNTIF(Y1358:Y1375,$B1382&amp;" ~*")&gt;0))</f>
        <v/>
      </c>
      <c r="AC1382" s="38">
        <f>IF($B1382="","",(IFERROR(INDEX(Setup!$G$33:$G$40,MATCH(C1382,Setup!$B$33:$B$40,0)),0)=1)*(COUNTIF(C1358:E1375,$B1382)+COUNTIF(C1358:E1375,$B1382&amp;" ~*")&gt;0)+(IFERROR(INDEX(Setup!$G$33:$G$40,MATCH(G1382,Setup!$B$33:$B$40,0)),0)=1)*(COUNTIF(G1358:I1375,$B1382)+COUNTIF(G1358:I1375,$B1382&amp;" ~*")&gt;0)+(IFERROR(INDEX(Setup!$G$33:$G$40,MATCH(K1382,Setup!$B$33:$B$40,0)),0)=1)*(COUNTIF(K1358:M1375,$B1382)+COUNTIF(K1358:M1375,$B1382&amp;" ~*")&gt;0)+(IFERROR(INDEX(Setup!$G$33:$G$40,MATCH(O1382,Setup!$B$33:$B$40,0)),0)=1)*(COUNTIF(O1358:Q1375,$B1382)+COUNTIF(O1358:Q1375,$B1382&amp;" ~*")&gt;0)+(IFERROR(INDEX(Setup!$G$33:$G$40,MATCH(S1382,Setup!$B$33:$B$40,0)),0)=1)*(COUNTIF(S1358:U1375,$B1382)+COUNTIF(S1358:U1375,$B1382&amp;" ~*")&gt;0)+(IFERROR(INDEX(Setup!$G$33:$G$40,MATCH(W1382,Setup!$B$33:$B$40,0)),0)=1)*(COUNTIF(W1358:W1375,$B1382)+COUNTIF(W1358:W1375,$B1382&amp;" ~*")&gt;0)+(IFERROR(INDEX(Setup!$G$33:$G$40,MATCH(Y1382,Setup!$B$33:$B$40,0)),0)=1)*(COUNTIF(Y1358:Y1375,$B1382)+COUNTIF(Y1358:Y1375,$B1382&amp;" ~*")&gt;0))</f>
        <v/>
      </c>
    </row>
    <row r="1383" ht="15" customHeight="1">
      <c r="A1383" t="n">
        <v>28</v>
      </c>
      <c r="B1383" s="35">
        <f>IF(Setup!$B$12="","",Setup!$B$12)</f>
        <v/>
      </c>
      <c r="C1383" s="98" t="n"/>
      <c r="D1383" s="99" t="n"/>
      <c r="E1383" s="99" t="n"/>
      <c r="F1383" s="100" t="n"/>
      <c r="G1383" s="98" t="n"/>
      <c r="H1383" s="99" t="n"/>
      <c r="I1383" s="99" t="n"/>
      <c r="J1383" s="100" t="n"/>
      <c r="K1383" s="98" t="n"/>
      <c r="L1383" s="99" t="n"/>
      <c r="M1383" s="99" t="n"/>
      <c r="N1383" s="100" t="n"/>
      <c r="O1383" s="98" t="n"/>
      <c r="P1383" s="99" t="n"/>
      <c r="Q1383" s="99" t="n"/>
      <c r="R1383" s="100" t="n"/>
      <c r="S1383" s="98" t="n"/>
      <c r="T1383" s="99" t="n"/>
      <c r="U1383" s="99" t="n"/>
      <c r="V1383" s="100" t="n"/>
      <c r="W1383" s="98" t="n"/>
      <c r="X1383" s="100" t="n"/>
      <c r="Y1383" s="98" t="n"/>
      <c r="Z1383" s="100" t="n"/>
      <c r="AB1383" s="101">
        <f>IF($B1383="","",(COUNTIF(C1358:E1375,$B1383)+COUNTIF(C1358:E1375,$B1383&amp;" ~*")&gt;0)+(COUNTIF(G1358:I1375,$B1383)+COUNTIF(G1358:I1375,$B1383&amp;" ~*")&gt;0)+(COUNTIF(K1358:M1375,$B1383)+COUNTIF(K1358:M1375,$B1383&amp;" ~*")&gt;0)+(COUNTIF(O1358:Q1375,$B1383)+COUNTIF(O1358:Q1375,$B1383&amp;" ~*")&gt;0)+(COUNTIF(S1358:U1375,$B1383)+COUNTIF(S1358:U1375,$B1383&amp;" ~*")&gt;0)+(COUNTIF(W1358:W1375,$B1383)+COUNTIF(W1358:W1375,$B1383&amp;" ~*")&gt;0)+(COUNTIF(Y1358:Y1375,$B1383)+COUNTIF(Y1358:Y1375,$B1383&amp;" ~*")&gt;0))</f>
        <v/>
      </c>
      <c r="AC1383" s="36">
        <f>IF($B1383="","",(IFERROR(INDEX(Setup!$G$33:$G$40,MATCH(C1383,Setup!$B$33:$B$40,0)),0)=1)*(COUNTIF(C1358:E1375,$B1383)+COUNTIF(C1358:E1375,$B1383&amp;" ~*")&gt;0)+(IFERROR(INDEX(Setup!$G$33:$G$40,MATCH(G1383,Setup!$B$33:$B$40,0)),0)=1)*(COUNTIF(G1358:I1375,$B1383)+COUNTIF(G1358:I1375,$B1383&amp;" ~*")&gt;0)+(IFERROR(INDEX(Setup!$G$33:$G$40,MATCH(K1383,Setup!$B$33:$B$40,0)),0)=1)*(COUNTIF(K1358:M1375,$B1383)+COUNTIF(K1358:M1375,$B1383&amp;" ~*")&gt;0)+(IFERROR(INDEX(Setup!$G$33:$G$40,MATCH(O1383,Setup!$B$33:$B$40,0)),0)=1)*(COUNTIF(O1358:Q1375,$B1383)+COUNTIF(O1358:Q1375,$B1383&amp;" ~*")&gt;0)+(IFERROR(INDEX(Setup!$G$33:$G$40,MATCH(S1383,Setup!$B$33:$B$40,0)),0)=1)*(COUNTIF(S1358:U1375,$B1383)+COUNTIF(S1358:U1375,$B1383&amp;" ~*")&gt;0)+(IFERROR(INDEX(Setup!$G$33:$G$40,MATCH(W1383,Setup!$B$33:$B$40,0)),0)=1)*(COUNTIF(W1358:W1375,$B1383)+COUNTIF(W1358:W1375,$B1383&amp;" ~*")&gt;0)+(IFERROR(INDEX(Setup!$G$33:$G$40,MATCH(Y1383,Setup!$B$33:$B$40,0)),0)=1)*(COUNTIF(Y1358:Y1375,$B1383)+COUNTIF(Y1358:Y1375,$B1383&amp;" ~*")&gt;0))</f>
        <v/>
      </c>
    </row>
    <row r="1384" ht="15" customHeight="1">
      <c r="A1384" t="n">
        <v>28</v>
      </c>
      <c r="B1384" s="37">
        <f>IF(Setup!$B$13="","",Setup!$B$13)</f>
        <v/>
      </c>
      <c r="C1384" s="102" t="n"/>
      <c r="D1384" s="103" t="n"/>
      <c r="E1384" s="103" t="n"/>
      <c r="F1384" s="104" t="n"/>
      <c r="G1384" s="102" t="n"/>
      <c r="H1384" s="103" t="n"/>
      <c r="I1384" s="103" t="n"/>
      <c r="J1384" s="104" t="n"/>
      <c r="K1384" s="102" t="n"/>
      <c r="L1384" s="103" t="n"/>
      <c r="M1384" s="103" t="n"/>
      <c r="N1384" s="104" t="n"/>
      <c r="O1384" s="102" t="n"/>
      <c r="P1384" s="103" t="n"/>
      <c r="Q1384" s="103" t="n"/>
      <c r="R1384" s="104" t="n"/>
      <c r="S1384" s="102" t="n"/>
      <c r="T1384" s="103" t="n"/>
      <c r="U1384" s="103" t="n"/>
      <c r="V1384" s="104" t="n"/>
      <c r="W1384" s="102" t="n"/>
      <c r="X1384" s="104" t="n"/>
      <c r="Y1384" s="102" t="n"/>
      <c r="Z1384" s="104" t="n"/>
      <c r="AB1384" s="105">
        <f>IF($B1384="","",(COUNTIF(C1358:E1375,$B1384)+COUNTIF(C1358:E1375,$B1384&amp;" ~*")&gt;0)+(COUNTIF(G1358:I1375,$B1384)+COUNTIF(G1358:I1375,$B1384&amp;" ~*")&gt;0)+(COUNTIF(K1358:M1375,$B1384)+COUNTIF(K1358:M1375,$B1384&amp;" ~*")&gt;0)+(COUNTIF(O1358:Q1375,$B1384)+COUNTIF(O1358:Q1375,$B1384&amp;" ~*")&gt;0)+(COUNTIF(S1358:U1375,$B1384)+COUNTIF(S1358:U1375,$B1384&amp;" ~*")&gt;0)+(COUNTIF(W1358:W1375,$B1384)+COUNTIF(W1358:W1375,$B1384&amp;" ~*")&gt;0)+(COUNTIF(Y1358:Y1375,$B1384)+COUNTIF(Y1358:Y1375,$B1384&amp;" ~*")&gt;0))</f>
        <v/>
      </c>
      <c r="AC1384" s="38">
        <f>IF($B1384="","",(IFERROR(INDEX(Setup!$G$33:$G$40,MATCH(C1384,Setup!$B$33:$B$40,0)),0)=1)*(COUNTIF(C1358:E1375,$B1384)+COUNTIF(C1358:E1375,$B1384&amp;" ~*")&gt;0)+(IFERROR(INDEX(Setup!$G$33:$G$40,MATCH(G1384,Setup!$B$33:$B$40,0)),0)=1)*(COUNTIF(G1358:I1375,$B1384)+COUNTIF(G1358:I1375,$B1384&amp;" ~*")&gt;0)+(IFERROR(INDEX(Setup!$G$33:$G$40,MATCH(K1384,Setup!$B$33:$B$40,0)),0)=1)*(COUNTIF(K1358:M1375,$B1384)+COUNTIF(K1358:M1375,$B1384&amp;" ~*")&gt;0)+(IFERROR(INDEX(Setup!$G$33:$G$40,MATCH(O1384,Setup!$B$33:$B$40,0)),0)=1)*(COUNTIF(O1358:Q1375,$B1384)+COUNTIF(O1358:Q1375,$B1384&amp;" ~*")&gt;0)+(IFERROR(INDEX(Setup!$G$33:$G$40,MATCH(S1384,Setup!$B$33:$B$40,0)),0)=1)*(COUNTIF(S1358:U1375,$B1384)+COUNTIF(S1358:U1375,$B1384&amp;" ~*")&gt;0)+(IFERROR(INDEX(Setup!$G$33:$G$40,MATCH(W1384,Setup!$B$33:$B$40,0)),0)=1)*(COUNTIF(W1358:W1375,$B1384)+COUNTIF(W1358:W1375,$B1384&amp;" ~*")&gt;0)+(IFERROR(INDEX(Setup!$G$33:$G$40,MATCH(Y1384,Setup!$B$33:$B$40,0)),0)=1)*(COUNTIF(Y1358:Y1375,$B1384)+COUNTIF(Y1358:Y1375,$B1384&amp;" ~*")&gt;0))</f>
        <v/>
      </c>
    </row>
    <row r="1385" ht="15" customHeight="1">
      <c r="A1385" t="n">
        <v>28</v>
      </c>
      <c r="B1385" s="35">
        <f>IF(Setup!$B$14="","",Setup!$B$14)</f>
        <v/>
      </c>
      <c r="C1385" s="98" t="n"/>
      <c r="D1385" s="99" t="n"/>
      <c r="E1385" s="99" t="n"/>
      <c r="F1385" s="100" t="n"/>
      <c r="G1385" s="98" t="n"/>
      <c r="H1385" s="99" t="n"/>
      <c r="I1385" s="99" t="n"/>
      <c r="J1385" s="100" t="n"/>
      <c r="K1385" s="98" t="n"/>
      <c r="L1385" s="99" t="n"/>
      <c r="M1385" s="99" t="n"/>
      <c r="N1385" s="100" t="n"/>
      <c r="O1385" s="98" t="n"/>
      <c r="P1385" s="99" t="n"/>
      <c r="Q1385" s="99" t="n"/>
      <c r="R1385" s="100" t="n"/>
      <c r="S1385" s="98" t="n"/>
      <c r="T1385" s="99" t="n"/>
      <c r="U1385" s="99" t="n"/>
      <c r="V1385" s="100" t="n"/>
      <c r="W1385" s="98" t="n"/>
      <c r="X1385" s="100" t="n"/>
      <c r="Y1385" s="98" t="n"/>
      <c r="Z1385" s="100" t="n"/>
      <c r="AB1385" s="101">
        <f>IF($B1385="","",(COUNTIF(C1358:E1375,$B1385)+COUNTIF(C1358:E1375,$B1385&amp;" ~*")&gt;0)+(COUNTIF(G1358:I1375,$B1385)+COUNTIF(G1358:I1375,$B1385&amp;" ~*")&gt;0)+(COUNTIF(K1358:M1375,$B1385)+COUNTIF(K1358:M1375,$B1385&amp;" ~*")&gt;0)+(COUNTIF(O1358:Q1375,$B1385)+COUNTIF(O1358:Q1375,$B1385&amp;" ~*")&gt;0)+(COUNTIF(S1358:U1375,$B1385)+COUNTIF(S1358:U1375,$B1385&amp;" ~*")&gt;0)+(COUNTIF(W1358:W1375,$B1385)+COUNTIF(W1358:W1375,$B1385&amp;" ~*")&gt;0)+(COUNTIF(Y1358:Y1375,$B1385)+COUNTIF(Y1358:Y1375,$B1385&amp;" ~*")&gt;0))</f>
        <v/>
      </c>
      <c r="AC1385" s="36">
        <f>IF($B1385="","",(IFERROR(INDEX(Setup!$G$33:$G$40,MATCH(C1385,Setup!$B$33:$B$40,0)),0)=1)*(COUNTIF(C1358:E1375,$B1385)+COUNTIF(C1358:E1375,$B1385&amp;" ~*")&gt;0)+(IFERROR(INDEX(Setup!$G$33:$G$40,MATCH(G1385,Setup!$B$33:$B$40,0)),0)=1)*(COUNTIF(G1358:I1375,$B1385)+COUNTIF(G1358:I1375,$B1385&amp;" ~*")&gt;0)+(IFERROR(INDEX(Setup!$G$33:$G$40,MATCH(K1385,Setup!$B$33:$B$40,0)),0)=1)*(COUNTIF(K1358:M1375,$B1385)+COUNTIF(K1358:M1375,$B1385&amp;" ~*")&gt;0)+(IFERROR(INDEX(Setup!$G$33:$G$40,MATCH(O1385,Setup!$B$33:$B$40,0)),0)=1)*(COUNTIF(O1358:Q1375,$B1385)+COUNTIF(O1358:Q1375,$B1385&amp;" ~*")&gt;0)+(IFERROR(INDEX(Setup!$G$33:$G$40,MATCH(S1385,Setup!$B$33:$B$40,0)),0)=1)*(COUNTIF(S1358:U1375,$B1385)+COUNTIF(S1358:U1375,$B1385&amp;" ~*")&gt;0)+(IFERROR(INDEX(Setup!$G$33:$G$40,MATCH(W1385,Setup!$B$33:$B$40,0)),0)=1)*(COUNTIF(W1358:W1375,$B1385)+COUNTIF(W1358:W1375,$B1385&amp;" ~*")&gt;0)+(IFERROR(INDEX(Setup!$G$33:$G$40,MATCH(Y1385,Setup!$B$33:$B$40,0)),0)=1)*(COUNTIF(Y1358:Y1375,$B1385)+COUNTIF(Y1358:Y1375,$B1385&amp;" ~*")&gt;0))</f>
        <v/>
      </c>
    </row>
    <row r="1386" ht="15" customHeight="1">
      <c r="A1386" t="n">
        <v>28</v>
      </c>
      <c r="B1386" s="37">
        <f>IF(Setup!$B$15="","",Setup!$B$15)</f>
        <v/>
      </c>
      <c r="C1386" s="102" t="n"/>
      <c r="D1386" s="103" t="n"/>
      <c r="E1386" s="103" t="n"/>
      <c r="F1386" s="104" t="n"/>
      <c r="G1386" s="102" t="n"/>
      <c r="H1386" s="103" t="n"/>
      <c r="I1386" s="103" t="n"/>
      <c r="J1386" s="104" t="n"/>
      <c r="K1386" s="102" t="inlineStr">
        <is>
          <t>AL</t>
        </is>
      </c>
      <c r="L1386" s="103" t="n"/>
      <c r="M1386" s="103" t="n"/>
      <c r="N1386" s="104" t="n"/>
      <c r="O1386" s="102" t="inlineStr">
        <is>
          <t>AL</t>
        </is>
      </c>
      <c r="P1386" s="103" t="n"/>
      <c r="Q1386" s="103" t="n"/>
      <c r="R1386" s="104" t="n"/>
      <c r="S1386" s="102" t="inlineStr">
        <is>
          <t>AL</t>
        </is>
      </c>
      <c r="T1386" s="103" t="n"/>
      <c r="U1386" s="103" t="n"/>
      <c r="V1386" s="104" t="n"/>
      <c r="W1386" s="102" t="n"/>
      <c r="X1386" s="104" t="n"/>
      <c r="Y1386" s="102" t="n"/>
      <c r="Z1386" s="104" t="n"/>
      <c r="AB1386" s="105">
        <f>IF($B1386="","",(COUNTIF(C1358:E1375,$B1386)+COUNTIF(C1358:E1375,$B1386&amp;" ~*")&gt;0)+(COUNTIF(G1358:I1375,$B1386)+COUNTIF(G1358:I1375,$B1386&amp;" ~*")&gt;0)+(COUNTIF(K1358:M1375,$B1386)+COUNTIF(K1358:M1375,$B1386&amp;" ~*")&gt;0)+(COUNTIF(O1358:Q1375,$B1386)+COUNTIF(O1358:Q1375,$B1386&amp;" ~*")&gt;0)+(COUNTIF(S1358:U1375,$B1386)+COUNTIF(S1358:U1375,$B1386&amp;" ~*")&gt;0)+(COUNTIF(W1358:W1375,$B1386)+COUNTIF(W1358:W1375,$B1386&amp;" ~*")&gt;0)+(COUNTIF(Y1358:Y1375,$B1386)+COUNTIF(Y1358:Y1375,$B1386&amp;" ~*")&gt;0))</f>
        <v/>
      </c>
      <c r="AC1386" s="38">
        <f>IF($B1386="","",(IFERROR(INDEX(Setup!$G$33:$G$40,MATCH(C1386,Setup!$B$33:$B$40,0)),0)=1)*(COUNTIF(C1358:E1375,$B1386)+COUNTIF(C1358:E1375,$B1386&amp;" ~*")&gt;0)+(IFERROR(INDEX(Setup!$G$33:$G$40,MATCH(G1386,Setup!$B$33:$B$40,0)),0)=1)*(COUNTIF(G1358:I1375,$B1386)+COUNTIF(G1358:I1375,$B1386&amp;" ~*")&gt;0)+(IFERROR(INDEX(Setup!$G$33:$G$40,MATCH(K1386,Setup!$B$33:$B$40,0)),0)=1)*(COUNTIF(K1358:M1375,$B1386)+COUNTIF(K1358:M1375,$B1386&amp;" ~*")&gt;0)+(IFERROR(INDEX(Setup!$G$33:$G$40,MATCH(O1386,Setup!$B$33:$B$40,0)),0)=1)*(COUNTIF(O1358:Q1375,$B1386)+COUNTIF(O1358:Q1375,$B1386&amp;" ~*")&gt;0)+(IFERROR(INDEX(Setup!$G$33:$G$40,MATCH(S1386,Setup!$B$33:$B$40,0)),0)=1)*(COUNTIF(S1358:U1375,$B1386)+COUNTIF(S1358:U1375,$B1386&amp;" ~*")&gt;0)+(IFERROR(INDEX(Setup!$G$33:$G$40,MATCH(W1386,Setup!$B$33:$B$40,0)),0)=1)*(COUNTIF(W1358:W1375,$B1386)+COUNTIF(W1358:W1375,$B1386&amp;" ~*")&gt;0)+(IFERROR(INDEX(Setup!$G$33:$G$40,MATCH(Y1386,Setup!$B$33:$B$40,0)),0)=1)*(COUNTIF(Y1358:Y1375,$B1386)+COUNTIF(Y1358:Y1375,$B1386&amp;" ~*")&gt;0))</f>
        <v/>
      </c>
    </row>
    <row r="1387" ht="15" customHeight="1">
      <c r="A1387" t="n">
        <v>28</v>
      </c>
      <c r="B1387" s="35">
        <f>IF(Setup!$B$16="","",Setup!$B$16)</f>
        <v/>
      </c>
      <c r="C1387" s="98" t="n"/>
      <c r="D1387" s="99" t="n"/>
      <c r="E1387" s="99" t="n"/>
      <c r="F1387" s="100" t="n"/>
      <c r="G1387" s="98" t="n"/>
      <c r="H1387" s="99" t="n"/>
      <c r="I1387" s="99" t="n"/>
      <c r="J1387" s="100" t="n"/>
      <c r="K1387" s="98" t="n"/>
      <c r="L1387" s="99" t="n"/>
      <c r="M1387" s="99" t="n"/>
      <c r="N1387" s="100" t="n"/>
      <c r="O1387" s="98" t="n"/>
      <c r="P1387" s="99" t="n"/>
      <c r="Q1387" s="99" t="n"/>
      <c r="R1387" s="100" t="n"/>
      <c r="S1387" s="98" t="n"/>
      <c r="T1387" s="99" t="n"/>
      <c r="U1387" s="99" t="n"/>
      <c r="V1387" s="100" t="n"/>
      <c r="W1387" s="98" t="n"/>
      <c r="X1387" s="100" t="n"/>
      <c r="Y1387" s="98" t="n"/>
      <c r="Z1387" s="100" t="n"/>
      <c r="AB1387" s="101">
        <f>IF($B1387="","",(COUNTIF(C1358:E1375,$B1387)+COUNTIF(C1358:E1375,$B1387&amp;" ~*")&gt;0)+(COUNTIF(G1358:I1375,$B1387)+COUNTIF(G1358:I1375,$B1387&amp;" ~*")&gt;0)+(COUNTIF(K1358:M1375,$B1387)+COUNTIF(K1358:M1375,$B1387&amp;" ~*")&gt;0)+(COUNTIF(O1358:Q1375,$B1387)+COUNTIF(O1358:Q1375,$B1387&amp;" ~*")&gt;0)+(COUNTIF(S1358:U1375,$B1387)+COUNTIF(S1358:U1375,$B1387&amp;" ~*")&gt;0)+(COUNTIF(W1358:W1375,$B1387)+COUNTIF(W1358:W1375,$B1387&amp;" ~*")&gt;0)+(COUNTIF(Y1358:Y1375,$B1387)+COUNTIF(Y1358:Y1375,$B1387&amp;" ~*")&gt;0))</f>
        <v/>
      </c>
      <c r="AC1387" s="36">
        <f>IF($B1387="","",(IFERROR(INDEX(Setup!$G$33:$G$40,MATCH(C1387,Setup!$B$33:$B$40,0)),0)=1)*(COUNTIF(C1358:E1375,$B1387)+COUNTIF(C1358:E1375,$B1387&amp;" ~*")&gt;0)+(IFERROR(INDEX(Setup!$G$33:$G$40,MATCH(G1387,Setup!$B$33:$B$40,0)),0)=1)*(COUNTIF(G1358:I1375,$B1387)+COUNTIF(G1358:I1375,$B1387&amp;" ~*")&gt;0)+(IFERROR(INDEX(Setup!$G$33:$G$40,MATCH(K1387,Setup!$B$33:$B$40,0)),0)=1)*(COUNTIF(K1358:M1375,$B1387)+COUNTIF(K1358:M1375,$B1387&amp;" ~*")&gt;0)+(IFERROR(INDEX(Setup!$G$33:$G$40,MATCH(O1387,Setup!$B$33:$B$40,0)),0)=1)*(COUNTIF(O1358:Q1375,$B1387)+COUNTIF(O1358:Q1375,$B1387&amp;" ~*")&gt;0)+(IFERROR(INDEX(Setup!$G$33:$G$40,MATCH(S1387,Setup!$B$33:$B$40,0)),0)=1)*(COUNTIF(S1358:U1375,$B1387)+COUNTIF(S1358:U1375,$B1387&amp;" ~*")&gt;0)+(IFERROR(INDEX(Setup!$G$33:$G$40,MATCH(W1387,Setup!$B$33:$B$40,0)),0)=1)*(COUNTIF(W1358:W1375,$B1387)+COUNTIF(W1358:W1375,$B1387&amp;" ~*")&gt;0)+(IFERROR(INDEX(Setup!$G$33:$G$40,MATCH(Y1387,Setup!$B$33:$B$40,0)),0)=1)*(COUNTIF(Y1358:Y1375,$B1387)+COUNTIF(Y1358:Y1375,$B1387&amp;" ~*")&gt;0))</f>
        <v/>
      </c>
    </row>
    <row r="1388" ht="15" customHeight="1">
      <c r="A1388" t="n">
        <v>28</v>
      </c>
      <c r="B1388" s="37">
        <f>IF(Setup!$B$17="","",Setup!$B$17)</f>
        <v/>
      </c>
      <c r="C1388" s="102" t="n"/>
      <c r="D1388" s="103" t="n"/>
      <c r="E1388" s="103" t="n"/>
      <c r="F1388" s="104" t="n"/>
      <c r="G1388" s="102" t="n"/>
      <c r="H1388" s="103" t="n"/>
      <c r="I1388" s="103" t="n"/>
      <c r="J1388" s="104" t="n"/>
      <c r="K1388" s="102" t="n"/>
      <c r="L1388" s="103" t="n"/>
      <c r="M1388" s="103" t="n"/>
      <c r="N1388" s="104" t="n"/>
      <c r="O1388" s="102" t="n"/>
      <c r="P1388" s="103" t="n"/>
      <c r="Q1388" s="103" t="n"/>
      <c r="R1388" s="104" t="n"/>
      <c r="S1388" s="102" t="n"/>
      <c r="T1388" s="103" t="n"/>
      <c r="U1388" s="103" t="n"/>
      <c r="V1388" s="104" t="n"/>
      <c r="W1388" s="102" t="n"/>
      <c r="X1388" s="104" t="n"/>
      <c r="Y1388" s="102" t="n"/>
      <c r="Z1388" s="104" t="n"/>
      <c r="AB1388" s="105">
        <f>IF($B1388="","",(COUNTIF(C1358:E1375,$B1388)+COUNTIF(C1358:E1375,$B1388&amp;" ~*")&gt;0)+(COUNTIF(G1358:I1375,$B1388)+COUNTIF(G1358:I1375,$B1388&amp;" ~*")&gt;0)+(COUNTIF(K1358:M1375,$B1388)+COUNTIF(K1358:M1375,$B1388&amp;" ~*")&gt;0)+(COUNTIF(O1358:Q1375,$B1388)+COUNTIF(O1358:Q1375,$B1388&amp;" ~*")&gt;0)+(COUNTIF(S1358:U1375,$B1388)+COUNTIF(S1358:U1375,$B1388&amp;" ~*")&gt;0)+(COUNTIF(W1358:W1375,$B1388)+COUNTIF(W1358:W1375,$B1388&amp;" ~*")&gt;0)+(COUNTIF(Y1358:Y1375,$B1388)+COUNTIF(Y1358:Y1375,$B1388&amp;" ~*")&gt;0))</f>
        <v/>
      </c>
      <c r="AC1388" s="38">
        <f>IF($B1388="","",(IFERROR(INDEX(Setup!$G$33:$G$40,MATCH(C1388,Setup!$B$33:$B$40,0)),0)=1)*(COUNTIF(C1358:E1375,$B1388)+COUNTIF(C1358:E1375,$B1388&amp;" ~*")&gt;0)+(IFERROR(INDEX(Setup!$G$33:$G$40,MATCH(G1388,Setup!$B$33:$B$40,0)),0)=1)*(COUNTIF(G1358:I1375,$B1388)+COUNTIF(G1358:I1375,$B1388&amp;" ~*")&gt;0)+(IFERROR(INDEX(Setup!$G$33:$G$40,MATCH(K1388,Setup!$B$33:$B$40,0)),0)=1)*(COUNTIF(K1358:M1375,$B1388)+COUNTIF(K1358:M1375,$B1388&amp;" ~*")&gt;0)+(IFERROR(INDEX(Setup!$G$33:$G$40,MATCH(O1388,Setup!$B$33:$B$40,0)),0)=1)*(COUNTIF(O1358:Q1375,$B1388)+COUNTIF(O1358:Q1375,$B1388&amp;" ~*")&gt;0)+(IFERROR(INDEX(Setup!$G$33:$G$40,MATCH(S1388,Setup!$B$33:$B$40,0)),0)=1)*(COUNTIF(S1358:U1375,$B1388)+COUNTIF(S1358:U1375,$B1388&amp;" ~*")&gt;0)+(IFERROR(INDEX(Setup!$G$33:$G$40,MATCH(W1388,Setup!$B$33:$B$40,0)),0)=1)*(COUNTIF(W1358:W1375,$B1388)+COUNTIF(W1358:W1375,$B1388&amp;" ~*")&gt;0)+(IFERROR(INDEX(Setup!$G$33:$G$40,MATCH(Y1388,Setup!$B$33:$B$40,0)),0)=1)*(COUNTIF(Y1358:Y1375,$B1388)+COUNTIF(Y1358:Y1375,$B1388&amp;" ~*")&gt;0))</f>
        <v/>
      </c>
    </row>
    <row r="1389" ht="15" customHeight="1">
      <c r="A1389" t="n">
        <v>28</v>
      </c>
      <c r="B1389" s="35">
        <f>IF(Setup!$B$18="","",Setup!$B$18)</f>
        <v/>
      </c>
      <c r="C1389" s="98" t="n"/>
      <c r="D1389" s="99" t="n"/>
      <c r="E1389" s="99" t="n"/>
      <c r="F1389" s="100" t="n"/>
      <c r="G1389" s="98" t="n"/>
      <c r="H1389" s="99" t="n"/>
      <c r="I1389" s="99" t="n"/>
      <c r="J1389" s="100" t="n"/>
      <c r="K1389" s="98" t="n"/>
      <c r="L1389" s="99" t="n"/>
      <c r="M1389" s="99" t="n"/>
      <c r="N1389" s="100" t="n"/>
      <c r="O1389" s="98" t="n"/>
      <c r="P1389" s="99" t="n"/>
      <c r="Q1389" s="99" t="n"/>
      <c r="R1389" s="100" t="n"/>
      <c r="S1389" s="98" t="n"/>
      <c r="T1389" s="99" t="n"/>
      <c r="U1389" s="99" t="n"/>
      <c r="V1389" s="100" t="n"/>
      <c r="W1389" s="98" t="n"/>
      <c r="X1389" s="100" t="n"/>
      <c r="Y1389" s="98" t="n"/>
      <c r="Z1389" s="100" t="n"/>
      <c r="AB1389" s="101">
        <f>IF($B1389="","",(COUNTIF(C1358:E1375,$B1389)+COUNTIF(C1358:E1375,$B1389&amp;" ~*")&gt;0)+(COUNTIF(G1358:I1375,$B1389)+COUNTIF(G1358:I1375,$B1389&amp;" ~*")&gt;0)+(COUNTIF(K1358:M1375,$B1389)+COUNTIF(K1358:M1375,$B1389&amp;" ~*")&gt;0)+(COUNTIF(O1358:Q1375,$B1389)+COUNTIF(O1358:Q1375,$B1389&amp;" ~*")&gt;0)+(COUNTIF(S1358:U1375,$B1389)+COUNTIF(S1358:U1375,$B1389&amp;" ~*")&gt;0)+(COUNTIF(W1358:W1375,$B1389)+COUNTIF(W1358:W1375,$B1389&amp;" ~*")&gt;0)+(COUNTIF(Y1358:Y1375,$B1389)+COUNTIF(Y1358:Y1375,$B1389&amp;" ~*")&gt;0))</f>
        <v/>
      </c>
      <c r="AC1389" s="36">
        <f>IF($B1389="","",(IFERROR(INDEX(Setup!$G$33:$G$40,MATCH(C1389,Setup!$B$33:$B$40,0)),0)=1)*(COUNTIF(C1358:E1375,$B1389)+COUNTIF(C1358:E1375,$B1389&amp;" ~*")&gt;0)+(IFERROR(INDEX(Setup!$G$33:$G$40,MATCH(G1389,Setup!$B$33:$B$40,0)),0)=1)*(COUNTIF(G1358:I1375,$B1389)+COUNTIF(G1358:I1375,$B1389&amp;" ~*")&gt;0)+(IFERROR(INDEX(Setup!$G$33:$G$40,MATCH(K1389,Setup!$B$33:$B$40,0)),0)=1)*(COUNTIF(K1358:M1375,$B1389)+COUNTIF(K1358:M1375,$B1389&amp;" ~*")&gt;0)+(IFERROR(INDEX(Setup!$G$33:$G$40,MATCH(O1389,Setup!$B$33:$B$40,0)),0)=1)*(COUNTIF(O1358:Q1375,$B1389)+COUNTIF(O1358:Q1375,$B1389&amp;" ~*")&gt;0)+(IFERROR(INDEX(Setup!$G$33:$G$40,MATCH(S1389,Setup!$B$33:$B$40,0)),0)=1)*(COUNTIF(S1358:U1375,$B1389)+COUNTIF(S1358:U1375,$B1389&amp;" ~*")&gt;0)+(IFERROR(INDEX(Setup!$G$33:$G$40,MATCH(W1389,Setup!$B$33:$B$40,0)),0)=1)*(COUNTIF(W1358:W1375,$B1389)+COUNTIF(W1358:W1375,$B1389&amp;" ~*")&gt;0)+(IFERROR(INDEX(Setup!$G$33:$G$40,MATCH(Y1389,Setup!$B$33:$B$40,0)),0)=1)*(COUNTIF(Y1358:Y1375,$B1389)+COUNTIF(Y1358:Y1375,$B1389&amp;" ~*")&gt;0))</f>
        <v/>
      </c>
    </row>
    <row r="1390" ht="15" customHeight="1">
      <c r="A1390" t="n">
        <v>28</v>
      </c>
      <c r="B1390" s="37">
        <f>IF(Setup!$B$19="","",Setup!$B$19)</f>
        <v/>
      </c>
      <c r="C1390" s="102" t="n"/>
      <c r="D1390" s="103" t="n"/>
      <c r="E1390" s="103" t="n"/>
      <c r="F1390" s="104" t="n"/>
      <c r="G1390" s="102" t="n"/>
      <c r="H1390" s="103" t="n"/>
      <c r="I1390" s="103" t="n"/>
      <c r="J1390" s="104" t="n"/>
      <c r="K1390" s="102" t="n"/>
      <c r="L1390" s="103" t="n"/>
      <c r="M1390" s="103" t="n"/>
      <c r="N1390" s="104" t="n"/>
      <c r="O1390" s="102" t="n"/>
      <c r="P1390" s="103" t="n"/>
      <c r="Q1390" s="103" t="n"/>
      <c r="R1390" s="104" t="n"/>
      <c r="S1390" s="102" t="n"/>
      <c r="T1390" s="103" t="n"/>
      <c r="U1390" s="103" t="n"/>
      <c r="V1390" s="104" t="n"/>
      <c r="W1390" s="102" t="n"/>
      <c r="X1390" s="104" t="n"/>
      <c r="Y1390" s="102" t="n"/>
      <c r="Z1390" s="104" t="n"/>
      <c r="AB1390" s="105">
        <f>IF($B1390="","",(COUNTIF(C1358:E1375,$B1390)+COUNTIF(C1358:E1375,$B1390&amp;" ~*")&gt;0)+(COUNTIF(G1358:I1375,$B1390)+COUNTIF(G1358:I1375,$B1390&amp;" ~*")&gt;0)+(COUNTIF(K1358:M1375,$B1390)+COUNTIF(K1358:M1375,$B1390&amp;" ~*")&gt;0)+(COUNTIF(O1358:Q1375,$B1390)+COUNTIF(O1358:Q1375,$B1390&amp;" ~*")&gt;0)+(COUNTIF(S1358:U1375,$B1390)+COUNTIF(S1358:U1375,$B1390&amp;" ~*")&gt;0)+(COUNTIF(W1358:W1375,$B1390)+COUNTIF(W1358:W1375,$B1390&amp;" ~*")&gt;0)+(COUNTIF(Y1358:Y1375,$B1390)+COUNTIF(Y1358:Y1375,$B1390&amp;" ~*")&gt;0))</f>
        <v/>
      </c>
      <c r="AC1390" s="38">
        <f>IF($B1390="","",(IFERROR(INDEX(Setup!$G$33:$G$40,MATCH(C1390,Setup!$B$33:$B$40,0)),0)=1)*(COUNTIF(C1358:E1375,$B1390)+COUNTIF(C1358:E1375,$B1390&amp;" ~*")&gt;0)+(IFERROR(INDEX(Setup!$G$33:$G$40,MATCH(G1390,Setup!$B$33:$B$40,0)),0)=1)*(COUNTIF(G1358:I1375,$B1390)+COUNTIF(G1358:I1375,$B1390&amp;" ~*")&gt;0)+(IFERROR(INDEX(Setup!$G$33:$G$40,MATCH(K1390,Setup!$B$33:$B$40,0)),0)=1)*(COUNTIF(K1358:M1375,$B1390)+COUNTIF(K1358:M1375,$B1390&amp;" ~*")&gt;0)+(IFERROR(INDEX(Setup!$G$33:$G$40,MATCH(O1390,Setup!$B$33:$B$40,0)),0)=1)*(COUNTIF(O1358:Q1375,$B1390)+COUNTIF(O1358:Q1375,$B1390&amp;" ~*")&gt;0)+(IFERROR(INDEX(Setup!$G$33:$G$40,MATCH(S1390,Setup!$B$33:$B$40,0)),0)=1)*(COUNTIF(S1358:U1375,$B1390)+COUNTIF(S1358:U1375,$B1390&amp;" ~*")&gt;0)+(IFERROR(INDEX(Setup!$G$33:$G$40,MATCH(W1390,Setup!$B$33:$B$40,0)),0)=1)*(COUNTIF(W1358:W1375,$B1390)+COUNTIF(W1358:W1375,$B1390&amp;" ~*")&gt;0)+(IFERROR(INDEX(Setup!$G$33:$G$40,MATCH(Y1390,Setup!$B$33:$B$40,0)),0)=1)*(COUNTIF(Y1358:Y1375,$B1390)+COUNTIF(Y1358:Y1375,$B1390&amp;" ~*")&gt;0))</f>
        <v/>
      </c>
    </row>
    <row r="1391" ht="15" customHeight="1">
      <c r="A1391" t="n">
        <v>28</v>
      </c>
      <c r="B1391" s="35">
        <f>IF(Setup!$B$20="","",Setup!$B$20)</f>
        <v/>
      </c>
      <c r="C1391" s="98" t="n"/>
      <c r="D1391" s="99" t="n"/>
      <c r="E1391" s="99" t="n"/>
      <c r="F1391" s="100" t="n"/>
      <c r="G1391" s="98" t="n"/>
      <c r="H1391" s="99" t="n"/>
      <c r="I1391" s="99" t="n"/>
      <c r="J1391" s="100" t="n"/>
      <c r="K1391" s="98" t="n"/>
      <c r="L1391" s="99" t="n"/>
      <c r="M1391" s="99" t="n"/>
      <c r="N1391" s="100" t="n"/>
      <c r="O1391" s="98" t="n"/>
      <c r="P1391" s="99" t="n"/>
      <c r="Q1391" s="99" t="n"/>
      <c r="R1391" s="100" t="n"/>
      <c r="S1391" s="98" t="n"/>
      <c r="T1391" s="99" t="n"/>
      <c r="U1391" s="99" t="n"/>
      <c r="V1391" s="100" t="n"/>
      <c r="W1391" s="98" t="n"/>
      <c r="X1391" s="100" t="n"/>
      <c r="Y1391" s="98" t="n"/>
      <c r="Z1391" s="100" t="n"/>
      <c r="AB1391" s="101">
        <f>IF($B1391="","",(COUNTIF(C1358:E1375,$B1391)+COUNTIF(C1358:E1375,$B1391&amp;" ~*")&gt;0)+(COUNTIF(G1358:I1375,$B1391)+COUNTIF(G1358:I1375,$B1391&amp;" ~*")&gt;0)+(COUNTIF(K1358:M1375,$B1391)+COUNTIF(K1358:M1375,$B1391&amp;" ~*")&gt;0)+(COUNTIF(O1358:Q1375,$B1391)+COUNTIF(O1358:Q1375,$B1391&amp;" ~*")&gt;0)+(COUNTIF(S1358:U1375,$B1391)+COUNTIF(S1358:U1375,$B1391&amp;" ~*")&gt;0)+(COUNTIF(W1358:W1375,$B1391)+COUNTIF(W1358:W1375,$B1391&amp;" ~*")&gt;0)+(COUNTIF(Y1358:Y1375,$B1391)+COUNTIF(Y1358:Y1375,$B1391&amp;" ~*")&gt;0))</f>
        <v/>
      </c>
      <c r="AC1391" s="36">
        <f>IF($B1391="","",(IFERROR(INDEX(Setup!$G$33:$G$40,MATCH(C1391,Setup!$B$33:$B$40,0)),0)=1)*(COUNTIF(C1358:E1375,$B1391)+COUNTIF(C1358:E1375,$B1391&amp;" ~*")&gt;0)+(IFERROR(INDEX(Setup!$G$33:$G$40,MATCH(G1391,Setup!$B$33:$B$40,0)),0)=1)*(COUNTIF(G1358:I1375,$B1391)+COUNTIF(G1358:I1375,$B1391&amp;" ~*")&gt;0)+(IFERROR(INDEX(Setup!$G$33:$G$40,MATCH(K1391,Setup!$B$33:$B$40,0)),0)=1)*(COUNTIF(K1358:M1375,$B1391)+COUNTIF(K1358:M1375,$B1391&amp;" ~*")&gt;0)+(IFERROR(INDEX(Setup!$G$33:$G$40,MATCH(O1391,Setup!$B$33:$B$40,0)),0)=1)*(COUNTIF(O1358:Q1375,$B1391)+COUNTIF(O1358:Q1375,$B1391&amp;" ~*")&gt;0)+(IFERROR(INDEX(Setup!$G$33:$G$40,MATCH(S1391,Setup!$B$33:$B$40,0)),0)=1)*(COUNTIF(S1358:U1375,$B1391)+COUNTIF(S1358:U1375,$B1391&amp;" ~*")&gt;0)+(IFERROR(INDEX(Setup!$G$33:$G$40,MATCH(W1391,Setup!$B$33:$B$40,0)),0)=1)*(COUNTIF(W1358:W1375,$B1391)+COUNTIF(W1358:W1375,$B1391&amp;" ~*")&gt;0)+(IFERROR(INDEX(Setup!$G$33:$G$40,MATCH(Y1391,Setup!$B$33:$B$40,0)),0)=1)*(COUNTIF(Y1358:Y1375,$B1391)+COUNTIF(Y1358:Y1375,$B1391&amp;" ~*")&gt;0))</f>
        <v/>
      </c>
    </row>
    <row r="1392" ht="15" customHeight="1">
      <c r="A1392" t="n">
        <v>28</v>
      </c>
      <c r="B1392" s="37">
        <f>IF(Setup!$B$21="","",Setup!$B$21)</f>
        <v/>
      </c>
      <c r="C1392" s="102" t="n"/>
      <c r="D1392" s="103" t="n"/>
      <c r="E1392" s="103" t="n"/>
      <c r="F1392" s="104" t="n"/>
      <c r="G1392" s="102" t="n"/>
      <c r="H1392" s="103" t="n"/>
      <c r="I1392" s="103" t="n"/>
      <c r="J1392" s="104" t="n"/>
      <c r="K1392" s="102" t="n"/>
      <c r="L1392" s="103" t="n"/>
      <c r="M1392" s="103" t="n"/>
      <c r="N1392" s="104" t="n"/>
      <c r="O1392" s="102" t="n"/>
      <c r="P1392" s="103" t="n"/>
      <c r="Q1392" s="103" t="n"/>
      <c r="R1392" s="104" t="n"/>
      <c r="S1392" s="102" t="n"/>
      <c r="T1392" s="103" t="n"/>
      <c r="U1392" s="103" t="n"/>
      <c r="V1392" s="104" t="n"/>
      <c r="W1392" s="102" t="n"/>
      <c r="X1392" s="104" t="n"/>
      <c r="Y1392" s="102" t="n"/>
      <c r="Z1392" s="104" t="n"/>
      <c r="AB1392" s="105">
        <f>IF($B1392="","",(COUNTIF(C1358:E1375,$B1392)+COUNTIF(C1358:E1375,$B1392&amp;" ~*")&gt;0)+(COUNTIF(G1358:I1375,$B1392)+COUNTIF(G1358:I1375,$B1392&amp;" ~*")&gt;0)+(COUNTIF(K1358:M1375,$B1392)+COUNTIF(K1358:M1375,$B1392&amp;" ~*")&gt;0)+(COUNTIF(O1358:Q1375,$B1392)+COUNTIF(O1358:Q1375,$B1392&amp;" ~*")&gt;0)+(COUNTIF(S1358:U1375,$B1392)+COUNTIF(S1358:U1375,$B1392&amp;" ~*")&gt;0)+(COUNTIF(W1358:W1375,$B1392)+COUNTIF(W1358:W1375,$B1392&amp;" ~*")&gt;0)+(COUNTIF(Y1358:Y1375,$B1392)+COUNTIF(Y1358:Y1375,$B1392&amp;" ~*")&gt;0))</f>
        <v/>
      </c>
      <c r="AC1392" s="38">
        <f>IF($B1392="","",(IFERROR(INDEX(Setup!$G$33:$G$40,MATCH(C1392,Setup!$B$33:$B$40,0)),0)=1)*(COUNTIF(C1358:E1375,$B1392)+COUNTIF(C1358:E1375,$B1392&amp;" ~*")&gt;0)+(IFERROR(INDEX(Setup!$G$33:$G$40,MATCH(G1392,Setup!$B$33:$B$40,0)),0)=1)*(COUNTIF(G1358:I1375,$B1392)+COUNTIF(G1358:I1375,$B1392&amp;" ~*")&gt;0)+(IFERROR(INDEX(Setup!$G$33:$G$40,MATCH(K1392,Setup!$B$33:$B$40,0)),0)=1)*(COUNTIF(K1358:M1375,$B1392)+COUNTIF(K1358:M1375,$B1392&amp;" ~*")&gt;0)+(IFERROR(INDEX(Setup!$G$33:$G$40,MATCH(O1392,Setup!$B$33:$B$40,0)),0)=1)*(COUNTIF(O1358:Q1375,$B1392)+COUNTIF(O1358:Q1375,$B1392&amp;" ~*")&gt;0)+(IFERROR(INDEX(Setup!$G$33:$G$40,MATCH(S1392,Setup!$B$33:$B$40,0)),0)=1)*(COUNTIF(S1358:U1375,$B1392)+COUNTIF(S1358:U1375,$B1392&amp;" ~*")&gt;0)+(IFERROR(INDEX(Setup!$G$33:$G$40,MATCH(W1392,Setup!$B$33:$B$40,0)),0)=1)*(COUNTIF(W1358:W1375,$B1392)+COUNTIF(W1358:W1375,$B1392&amp;" ~*")&gt;0)+(IFERROR(INDEX(Setup!$G$33:$G$40,MATCH(Y1392,Setup!$B$33:$B$40,0)),0)=1)*(COUNTIF(Y1358:Y1375,$B1392)+COUNTIF(Y1358:Y1375,$B1392&amp;" ~*")&gt;0))</f>
        <v/>
      </c>
    </row>
    <row r="1393" ht="15" customHeight="1">
      <c r="A1393" t="n">
        <v>28</v>
      </c>
      <c r="B1393" s="35">
        <f>IF(Setup!$B$22="","",Setup!$B$22)</f>
        <v/>
      </c>
      <c r="C1393" s="98" t="n"/>
      <c r="D1393" s="99" t="n"/>
      <c r="E1393" s="99" t="n"/>
      <c r="F1393" s="100" t="n"/>
      <c r="G1393" s="98" t="n"/>
      <c r="H1393" s="99" t="n"/>
      <c r="I1393" s="99" t="n"/>
      <c r="J1393" s="100" t="n"/>
      <c r="K1393" s="98" t="n"/>
      <c r="L1393" s="99" t="n"/>
      <c r="M1393" s="99" t="n"/>
      <c r="N1393" s="100" t="n"/>
      <c r="O1393" s="98" t="n"/>
      <c r="P1393" s="99" t="n"/>
      <c r="Q1393" s="99" t="n"/>
      <c r="R1393" s="100" t="n"/>
      <c r="S1393" s="98" t="n"/>
      <c r="T1393" s="99" t="n"/>
      <c r="U1393" s="99" t="n"/>
      <c r="V1393" s="100" t="n"/>
      <c r="W1393" s="98" t="n"/>
      <c r="X1393" s="100" t="n"/>
      <c r="Y1393" s="98" t="n"/>
      <c r="Z1393" s="100" t="n"/>
      <c r="AB1393" s="101">
        <f>IF($B1393="","",(COUNTIF(C1358:E1375,$B1393)+COUNTIF(C1358:E1375,$B1393&amp;" ~*")&gt;0)+(COUNTIF(G1358:I1375,$B1393)+COUNTIF(G1358:I1375,$B1393&amp;" ~*")&gt;0)+(COUNTIF(K1358:M1375,$B1393)+COUNTIF(K1358:M1375,$B1393&amp;" ~*")&gt;0)+(COUNTIF(O1358:Q1375,$B1393)+COUNTIF(O1358:Q1375,$B1393&amp;" ~*")&gt;0)+(COUNTIF(S1358:U1375,$B1393)+COUNTIF(S1358:U1375,$B1393&amp;" ~*")&gt;0)+(COUNTIF(W1358:W1375,$B1393)+COUNTIF(W1358:W1375,$B1393&amp;" ~*")&gt;0)+(COUNTIF(Y1358:Y1375,$B1393)+COUNTIF(Y1358:Y1375,$B1393&amp;" ~*")&gt;0))</f>
        <v/>
      </c>
      <c r="AC1393" s="36">
        <f>IF($B1393="","",(IFERROR(INDEX(Setup!$G$33:$G$40,MATCH(C1393,Setup!$B$33:$B$40,0)),0)=1)*(COUNTIF(C1358:E1375,$B1393)+COUNTIF(C1358:E1375,$B1393&amp;" ~*")&gt;0)+(IFERROR(INDEX(Setup!$G$33:$G$40,MATCH(G1393,Setup!$B$33:$B$40,0)),0)=1)*(COUNTIF(G1358:I1375,$B1393)+COUNTIF(G1358:I1375,$B1393&amp;" ~*")&gt;0)+(IFERROR(INDEX(Setup!$G$33:$G$40,MATCH(K1393,Setup!$B$33:$B$40,0)),0)=1)*(COUNTIF(K1358:M1375,$B1393)+COUNTIF(K1358:M1375,$B1393&amp;" ~*")&gt;0)+(IFERROR(INDEX(Setup!$G$33:$G$40,MATCH(O1393,Setup!$B$33:$B$40,0)),0)=1)*(COUNTIF(O1358:Q1375,$B1393)+COUNTIF(O1358:Q1375,$B1393&amp;" ~*")&gt;0)+(IFERROR(INDEX(Setup!$G$33:$G$40,MATCH(S1393,Setup!$B$33:$B$40,0)),0)=1)*(COUNTIF(S1358:U1375,$B1393)+COUNTIF(S1358:U1375,$B1393&amp;" ~*")&gt;0)+(IFERROR(INDEX(Setup!$G$33:$G$40,MATCH(W1393,Setup!$B$33:$B$40,0)),0)=1)*(COUNTIF(W1358:W1375,$B1393)+COUNTIF(W1358:W1375,$B1393&amp;" ~*")&gt;0)+(IFERROR(INDEX(Setup!$G$33:$G$40,MATCH(Y1393,Setup!$B$33:$B$40,0)),0)=1)*(COUNTIF(Y1358:Y1375,$B1393)+COUNTIF(Y1358:Y1375,$B1393&amp;" ~*")&gt;0))</f>
        <v/>
      </c>
    </row>
    <row r="1394" ht="15" customHeight="1">
      <c r="A1394" t="n">
        <v>28</v>
      </c>
      <c r="B1394" s="37">
        <f>IF(Setup!$B$23="","",Setup!$B$23)</f>
        <v/>
      </c>
      <c r="C1394" s="102" t="n"/>
      <c r="D1394" s="103" t="n"/>
      <c r="E1394" s="103" t="n"/>
      <c r="F1394" s="104" t="n"/>
      <c r="G1394" s="102" t="n"/>
      <c r="H1394" s="103" t="n"/>
      <c r="I1394" s="103" t="n"/>
      <c r="J1394" s="104" t="n"/>
      <c r="K1394" s="102" t="n"/>
      <c r="L1394" s="103" t="n"/>
      <c r="M1394" s="103" t="n"/>
      <c r="N1394" s="104" t="n"/>
      <c r="O1394" s="102" t="n"/>
      <c r="P1394" s="103" t="n"/>
      <c r="Q1394" s="103" t="n"/>
      <c r="R1394" s="104" t="n"/>
      <c r="S1394" s="102" t="n"/>
      <c r="T1394" s="103" t="n"/>
      <c r="U1394" s="103" t="n"/>
      <c r="V1394" s="104" t="n"/>
      <c r="W1394" s="102" t="n"/>
      <c r="X1394" s="104" t="n"/>
      <c r="Y1394" s="102" t="n"/>
      <c r="Z1394" s="104" t="n"/>
      <c r="AB1394" s="105">
        <f>IF($B1394="","",(COUNTIF(C1358:E1375,$B1394)+COUNTIF(C1358:E1375,$B1394&amp;" ~*")&gt;0)+(COUNTIF(G1358:I1375,$B1394)+COUNTIF(G1358:I1375,$B1394&amp;" ~*")&gt;0)+(COUNTIF(K1358:M1375,$B1394)+COUNTIF(K1358:M1375,$B1394&amp;" ~*")&gt;0)+(COUNTIF(O1358:Q1375,$B1394)+COUNTIF(O1358:Q1375,$B1394&amp;" ~*")&gt;0)+(COUNTIF(S1358:U1375,$B1394)+COUNTIF(S1358:U1375,$B1394&amp;" ~*")&gt;0)+(COUNTIF(W1358:W1375,$B1394)+COUNTIF(W1358:W1375,$B1394&amp;" ~*")&gt;0)+(COUNTIF(Y1358:Y1375,$B1394)+COUNTIF(Y1358:Y1375,$B1394&amp;" ~*")&gt;0))</f>
        <v/>
      </c>
      <c r="AC1394" s="38">
        <f>IF($B1394="","",(IFERROR(INDEX(Setup!$G$33:$G$40,MATCH(C1394,Setup!$B$33:$B$40,0)),0)=1)*(COUNTIF(C1358:E1375,$B1394)+COUNTIF(C1358:E1375,$B1394&amp;" ~*")&gt;0)+(IFERROR(INDEX(Setup!$G$33:$G$40,MATCH(G1394,Setup!$B$33:$B$40,0)),0)=1)*(COUNTIF(G1358:I1375,$B1394)+COUNTIF(G1358:I1375,$B1394&amp;" ~*")&gt;0)+(IFERROR(INDEX(Setup!$G$33:$G$40,MATCH(K1394,Setup!$B$33:$B$40,0)),0)=1)*(COUNTIF(K1358:M1375,$B1394)+COUNTIF(K1358:M1375,$B1394&amp;" ~*")&gt;0)+(IFERROR(INDEX(Setup!$G$33:$G$40,MATCH(O1394,Setup!$B$33:$B$40,0)),0)=1)*(COUNTIF(O1358:Q1375,$B1394)+COUNTIF(O1358:Q1375,$B1394&amp;" ~*")&gt;0)+(IFERROR(INDEX(Setup!$G$33:$G$40,MATCH(S1394,Setup!$B$33:$B$40,0)),0)=1)*(COUNTIF(S1358:U1375,$B1394)+COUNTIF(S1358:U1375,$B1394&amp;" ~*")&gt;0)+(IFERROR(INDEX(Setup!$G$33:$G$40,MATCH(W1394,Setup!$B$33:$B$40,0)),0)=1)*(COUNTIF(W1358:W1375,$B1394)+COUNTIF(W1358:W1375,$B1394&amp;" ~*")&gt;0)+(IFERROR(INDEX(Setup!$G$33:$G$40,MATCH(Y1394,Setup!$B$33:$B$40,0)),0)=1)*(COUNTIF(Y1358:Y1375,$B1394)+COUNTIF(Y1358:Y1375,$B1394&amp;" ~*")&gt;0))</f>
        <v/>
      </c>
    </row>
    <row r="1395" ht="15" customHeight="1">
      <c r="A1395" t="n">
        <v>28</v>
      </c>
      <c r="B1395" s="35">
        <f>IF(Setup!$B$24="","",Setup!$B$24)</f>
        <v/>
      </c>
      <c r="C1395" s="98" t="n"/>
      <c r="D1395" s="99" t="n"/>
      <c r="E1395" s="99" t="n"/>
      <c r="F1395" s="100" t="n"/>
      <c r="G1395" s="98" t="n"/>
      <c r="H1395" s="99" t="n"/>
      <c r="I1395" s="99" t="n"/>
      <c r="J1395" s="100" t="n"/>
      <c r="K1395" s="98" t="n"/>
      <c r="L1395" s="99" t="n"/>
      <c r="M1395" s="99" t="n"/>
      <c r="N1395" s="100" t="n"/>
      <c r="O1395" s="98" t="n"/>
      <c r="P1395" s="99" t="n"/>
      <c r="Q1395" s="99" t="n"/>
      <c r="R1395" s="100" t="n"/>
      <c r="S1395" s="98" t="n"/>
      <c r="T1395" s="99" t="n"/>
      <c r="U1395" s="99" t="n"/>
      <c r="V1395" s="100" t="n"/>
      <c r="W1395" s="98" t="n"/>
      <c r="X1395" s="100" t="n"/>
      <c r="Y1395" s="98" t="n"/>
      <c r="Z1395" s="100" t="n"/>
      <c r="AB1395" s="101">
        <f>IF($B1395="","",(COUNTIF(C1358:E1375,$B1395)+COUNTIF(C1358:E1375,$B1395&amp;" ~*")&gt;0)+(COUNTIF(G1358:I1375,$B1395)+COUNTIF(G1358:I1375,$B1395&amp;" ~*")&gt;0)+(COUNTIF(K1358:M1375,$B1395)+COUNTIF(K1358:M1375,$B1395&amp;" ~*")&gt;0)+(COUNTIF(O1358:Q1375,$B1395)+COUNTIF(O1358:Q1375,$B1395&amp;" ~*")&gt;0)+(COUNTIF(S1358:U1375,$B1395)+COUNTIF(S1358:U1375,$B1395&amp;" ~*")&gt;0)+(COUNTIF(W1358:W1375,$B1395)+COUNTIF(W1358:W1375,$B1395&amp;" ~*")&gt;0)+(COUNTIF(Y1358:Y1375,$B1395)+COUNTIF(Y1358:Y1375,$B1395&amp;" ~*")&gt;0))</f>
        <v/>
      </c>
      <c r="AC1395" s="36">
        <f>IF($B1395="","",(IFERROR(INDEX(Setup!$G$33:$G$40,MATCH(C1395,Setup!$B$33:$B$40,0)),0)=1)*(COUNTIF(C1358:E1375,$B1395)+COUNTIF(C1358:E1375,$B1395&amp;" ~*")&gt;0)+(IFERROR(INDEX(Setup!$G$33:$G$40,MATCH(G1395,Setup!$B$33:$B$40,0)),0)=1)*(COUNTIF(G1358:I1375,$B1395)+COUNTIF(G1358:I1375,$B1395&amp;" ~*")&gt;0)+(IFERROR(INDEX(Setup!$G$33:$G$40,MATCH(K1395,Setup!$B$33:$B$40,0)),0)=1)*(COUNTIF(K1358:M1375,$B1395)+COUNTIF(K1358:M1375,$B1395&amp;" ~*")&gt;0)+(IFERROR(INDEX(Setup!$G$33:$G$40,MATCH(O1395,Setup!$B$33:$B$40,0)),0)=1)*(COUNTIF(O1358:Q1375,$B1395)+COUNTIF(O1358:Q1375,$B1395&amp;" ~*")&gt;0)+(IFERROR(INDEX(Setup!$G$33:$G$40,MATCH(S1395,Setup!$B$33:$B$40,0)),0)=1)*(COUNTIF(S1358:U1375,$B1395)+COUNTIF(S1358:U1375,$B1395&amp;" ~*")&gt;0)+(IFERROR(INDEX(Setup!$G$33:$G$40,MATCH(W1395,Setup!$B$33:$B$40,0)),0)=1)*(COUNTIF(W1358:W1375,$B1395)+COUNTIF(W1358:W1375,$B1395&amp;" ~*")&gt;0)+(IFERROR(INDEX(Setup!$G$33:$G$40,MATCH(Y1395,Setup!$B$33:$B$40,0)),0)=1)*(COUNTIF(Y1358:Y1375,$B1395)+COUNTIF(Y1358:Y1375,$B1395&amp;" ~*")&gt;0))</f>
        <v/>
      </c>
    </row>
    <row r="1396" ht="15" customHeight="1">
      <c r="A1396" t="n">
        <v>28</v>
      </c>
      <c r="B1396" s="37">
        <f>IF(Setup!$B$25="","",Setup!$B$25)</f>
        <v/>
      </c>
      <c r="C1396" s="102" t="n"/>
      <c r="D1396" s="103" t="n"/>
      <c r="E1396" s="103" t="n"/>
      <c r="F1396" s="104" t="n"/>
      <c r="G1396" s="102" t="n"/>
      <c r="H1396" s="103" t="n"/>
      <c r="I1396" s="103" t="n"/>
      <c r="J1396" s="104" t="n"/>
      <c r="K1396" s="102" t="n"/>
      <c r="L1396" s="103" t="n"/>
      <c r="M1396" s="103" t="n"/>
      <c r="N1396" s="104" t="n"/>
      <c r="O1396" s="102" t="n"/>
      <c r="P1396" s="103" t="n"/>
      <c r="Q1396" s="103" t="n"/>
      <c r="R1396" s="104" t="n"/>
      <c r="S1396" s="102" t="n"/>
      <c r="T1396" s="103" t="n"/>
      <c r="U1396" s="103" t="n"/>
      <c r="V1396" s="104" t="n"/>
      <c r="W1396" s="102" t="n"/>
      <c r="X1396" s="104" t="n"/>
      <c r="Y1396" s="102" t="n"/>
      <c r="Z1396" s="104" t="n"/>
      <c r="AB1396" s="105">
        <f>IF($B1396="","",(COUNTIF(C1358:E1375,$B1396)+COUNTIF(C1358:E1375,$B1396&amp;" ~*")&gt;0)+(COUNTIF(G1358:I1375,$B1396)+COUNTIF(G1358:I1375,$B1396&amp;" ~*")&gt;0)+(COUNTIF(K1358:M1375,$B1396)+COUNTIF(K1358:M1375,$B1396&amp;" ~*")&gt;0)+(COUNTIF(O1358:Q1375,$B1396)+COUNTIF(O1358:Q1375,$B1396&amp;" ~*")&gt;0)+(COUNTIF(S1358:U1375,$B1396)+COUNTIF(S1358:U1375,$B1396&amp;" ~*")&gt;0)+(COUNTIF(W1358:W1375,$B1396)+COUNTIF(W1358:W1375,$B1396&amp;" ~*")&gt;0)+(COUNTIF(Y1358:Y1375,$B1396)+COUNTIF(Y1358:Y1375,$B1396&amp;" ~*")&gt;0))</f>
        <v/>
      </c>
      <c r="AC1396" s="38">
        <f>IF($B1396="","",(IFERROR(INDEX(Setup!$G$33:$G$40,MATCH(C1396,Setup!$B$33:$B$40,0)),0)=1)*(COUNTIF(C1358:E1375,$B1396)+COUNTIF(C1358:E1375,$B1396&amp;" ~*")&gt;0)+(IFERROR(INDEX(Setup!$G$33:$G$40,MATCH(G1396,Setup!$B$33:$B$40,0)),0)=1)*(COUNTIF(G1358:I1375,$B1396)+COUNTIF(G1358:I1375,$B1396&amp;" ~*")&gt;0)+(IFERROR(INDEX(Setup!$G$33:$G$40,MATCH(K1396,Setup!$B$33:$B$40,0)),0)=1)*(COUNTIF(K1358:M1375,$B1396)+COUNTIF(K1358:M1375,$B1396&amp;" ~*")&gt;0)+(IFERROR(INDEX(Setup!$G$33:$G$40,MATCH(O1396,Setup!$B$33:$B$40,0)),0)=1)*(COUNTIF(O1358:Q1375,$B1396)+COUNTIF(O1358:Q1375,$B1396&amp;" ~*")&gt;0)+(IFERROR(INDEX(Setup!$G$33:$G$40,MATCH(S1396,Setup!$B$33:$B$40,0)),0)=1)*(COUNTIF(S1358:U1375,$B1396)+COUNTIF(S1358:U1375,$B1396&amp;" ~*")&gt;0)+(IFERROR(INDEX(Setup!$G$33:$G$40,MATCH(W1396,Setup!$B$33:$B$40,0)),0)=1)*(COUNTIF(W1358:W1375,$B1396)+COUNTIF(W1358:W1375,$B1396&amp;" ~*")&gt;0)+(IFERROR(INDEX(Setup!$G$33:$G$40,MATCH(Y1396,Setup!$B$33:$B$40,0)),0)=1)*(COUNTIF(Y1358:Y1375,$B1396)+COUNTIF(Y1358:Y1375,$B1396&amp;" ~*")&gt;0))</f>
        <v/>
      </c>
    </row>
    <row r="1397" ht="15" customHeight="1">
      <c r="A1397" t="n">
        <v>28</v>
      </c>
      <c r="B1397" s="35">
        <f>IF(Setup!$B$26="","",Setup!$B$26)</f>
        <v/>
      </c>
      <c r="C1397" s="98" t="n"/>
      <c r="D1397" s="99" t="n"/>
      <c r="E1397" s="99" t="n"/>
      <c r="F1397" s="100" t="n"/>
      <c r="G1397" s="98" t="n"/>
      <c r="H1397" s="99" t="n"/>
      <c r="I1397" s="99" t="n"/>
      <c r="J1397" s="100" t="n"/>
      <c r="K1397" s="98" t="n"/>
      <c r="L1397" s="99" t="n"/>
      <c r="M1397" s="99" t="n"/>
      <c r="N1397" s="100" t="n"/>
      <c r="O1397" s="98" t="n"/>
      <c r="P1397" s="99" t="n"/>
      <c r="Q1397" s="99" t="n"/>
      <c r="R1397" s="100" t="n"/>
      <c r="S1397" s="98" t="n"/>
      <c r="T1397" s="99" t="n"/>
      <c r="U1397" s="99" t="n"/>
      <c r="V1397" s="100" t="n"/>
      <c r="W1397" s="98" t="n"/>
      <c r="X1397" s="100" t="n"/>
      <c r="Y1397" s="98" t="n"/>
      <c r="Z1397" s="100" t="n"/>
      <c r="AB1397" s="101">
        <f>IF($B1397="","",(COUNTIF(C1358:E1375,$B1397)+COUNTIF(C1358:E1375,$B1397&amp;" ~*")&gt;0)+(COUNTIF(G1358:I1375,$B1397)+COUNTIF(G1358:I1375,$B1397&amp;" ~*")&gt;0)+(COUNTIF(K1358:M1375,$B1397)+COUNTIF(K1358:M1375,$B1397&amp;" ~*")&gt;0)+(COUNTIF(O1358:Q1375,$B1397)+COUNTIF(O1358:Q1375,$B1397&amp;" ~*")&gt;0)+(COUNTIF(S1358:U1375,$B1397)+COUNTIF(S1358:U1375,$B1397&amp;" ~*")&gt;0)+(COUNTIF(W1358:W1375,$B1397)+COUNTIF(W1358:W1375,$B1397&amp;" ~*")&gt;0)+(COUNTIF(Y1358:Y1375,$B1397)+COUNTIF(Y1358:Y1375,$B1397&amp;" ~*")&gt;0))</f>
        <v/>
      </c>
      <c r="AC1397" s="36">
        <f>IF($B1397="","",(IFERROR(INDEX(Setup!$G$33:$G$40,MATCH(C1397,Setup!$B$33:$B$40,0)),0)=1)*(COUNTIF(C1358:E1375,$B1397)+COUNTIF(C1358:E1375,$B1397&amp;" ~*")&gt;0)+(IFERROR(INDEX(Setup!$G$33:$G$40,MATCH(G1397,Setup!$B$33:$B$40,0)),0)=1)*(COUNTIF(G1358:I1375,$B1397)+COUNTIF(G1358:I1375,$B1397&amp;" ~*")&gt;0)+(IFERROR(INDEX(Setup!$G$33:$G$40,MATCH(K1397,Setup!$B$33:$B$40,0)),0)=1)*(COUNTIF(K1358:M1375,$B1397)+COUNTIF(K1358:M1375,$B1397&amp;" ~*")&gt;0)+(IFERROR(INDEX(Setup!$G$33:$G$40,MATCH(O1397,Setup!$B$33:$B$40,0)),0)=1)*(COUNTIF(O1358:Q1375,$B1397)+COUNTIF(O1358:Q1375,$B1397&amp;" ~*")&gt;0)+(IFERROR(INDEX(Setup!$G$33:$G$40,MATCH(S1397,Setup!$B$33:$B$40,0)),0)=1)*(COUNTIF(S1358:U1375,$B1397)+COUNTIF(S1358:U1375,$B1397&amp;" ~*")&gt;0)+(IFERROR(INDEX(Setup!$G$33:$G$40,MATCH(W1397,Setup!$B$33:$B$40,0)),0)=1)*(COUNTIF(W1358:W1375,$B1397)+COUNTIF(W1358:W1375,$B1397&amp;" ~*")&gt;0)+(IFERROR(INDEX(Setup!$G$33:$G$40,MATCH(Y1397,Setup!$B$33:$B$40,0)),0)=1)*(COUNTIF(Y1358:Y1375,$B1397)+COUNTIF(Y1358:Y1375,$B1397&amp;" ~*")&gt;0))</f>
        <v/>
      </c>
    </row>
    <row r="1398" ht="15" customHeight="1">
      <c r="A1398" t="n">
        <v>28</v>
      </c>
      <c r="B1398" s="37">
        <f>IF(Setup!$B$27="","",Setup!$B$27)</f>
        <v/>
      </c>
      <c r="C1398" s="102" t="n"/>
      <c r="D1398" s="103" t="n"/>
      <c r="E1398" s="103" t="n"/>
      <c r="F1398" s="104" t="n"/>
      <c r="G1398" s="102" t="n"/>
      <c r="H1398" s="103" t="n"/>
      <c r="I1398" s="103" t="n"/>
      <c r="J1398" s="104" t="n"/>
      <c r="K1398" s="102" t="n"/>
      <c r="L1398" s="103" t="n"/>
      <c r="M1398" s="103" t="n"/>
      <c r="N1398" s="104" t="n"/>
      <c r="O1398" s="102" t="n"/>
      <c r="P1398" s="103" t="n"/>
      <c r="Q1398" s="103" t="n"/>
      <c r="R1398" s="104" t="n"/>
      <c r="S1398" s="102" t="n"/>
      <c r="T1398" s="103" t="n"/>
      <c r="U1398" s="103" t="n"/>
      <c r="V1398" s="104" t="n"/>
      <c r="W1398" s="102" t="n"/>
      <c r="X1398" s="104" t="n"/>
      <c r="Y1398" s="102" t="n"/>
      <c r="Z1398" s="104" t="n"/>
      <c r="AB1398" s="105">
        <f>IF($B1398="","",(COUNTIF(C1358:E1375,$B1398)+COUNTIF(C1358:E1375,$B1398&amp;" ~*")&gt;0)+(COUNTIF(G1358:I1375,$B1398)+COUNTIF(G1358:I1375,$B1398&amp;" ~*")&gt;0)+(COUNTIF(K1358:M1375,$B1398)+COUNTIF(K1358:M1375,$B1398&amp;" ~*")&gt;0)+(COUNTIF(O1358:Q1375,$B1398)+COUNTIF(O1358:Q1375,$B1398&amp;" ~*")&gt;0)+(COUNTIF(S1358:U1375,$B1398)+COUNTIF(S1358:U1375,$B1398&amp;" ~*")&gt;0)+(COUNTIF(W1358:W1375,$B1398)+COUNTIF(W1358:W1375,$B1398&amp;" ~*")&gt;0)+(COUNTIF(Y1358:Y1375,$B1398)+COUNTIF(Y1358:Y1375,$B1398&amp;" ~*")&gt;0))</f>
        <v/>
      </c>
      <c r="AC1398" s="38">
        <f>IF($B1398="","",(IFERROR(INDEX(Setup!$G$33:$G$40,MATCH(C1398,Setup!$B$33:$B$40,0)),0)=1)*(COUNTIF(C1358:E1375,$B1398)+COUNTIF(C1358:E1375,$B1398&amp;" ~*")&gt;0)+(IFERROR(INDEX(Setup!$G$33:$G$40,MATCH(G1398,Setup!$B$33:$B$40,0)),0)=1)*(COUNTIF(G1358:I1375,$B1398)+COUNTIF(G1358:I1375,$B1398&amp;" ~*")&gt;0)+(IFERROR(INDEX(Setup!$G$33:$G$40,MATCH(K1398,Setup!$B$33:$B$40,0)),0)=1)*(COUNTIF(K1358:M1375,$B1398)+COUNTIF(K1358:M1375,$B1398&amp;" ~*")&gt;0)+(IFERROR(INDEX(Setup!$G$33:$G$40,MATCH(O1398,Setup!$B$33:$B$40,0)),0)=1)*(COUNTIF(O1358:Q1375,$B1398)+COUNTIF(O1358:Q1375,$B1398&amp;" ~*")&gt;0)+(IFERROR(INDEX(Setup!$G$33:$G$40,MATCH(S1398,Setup!$B$33:$B$40,0)),0)=1)*(COUNTIF(S1358:U1375,$B1398)+COUNTIF(S1358:U1375,$B1398&amp;" ~*")&gt;0)+(IFERROR(INDEX(Setup!$G$33:$G$40,MATCH(W1398,Setup!$B$33:$B$40,0)),0)=1)*(COUNTIF(W1358:W1375,$B1398)+COUNTIF(W1358:W1375,$B1398&amp;" ~*")&gt;0)+(IFERROR(INDEX(Setup!$G$33:$G$40,MATCH(Y1398,Setup!$B$33:$B$40,0)),0)=1)*(COUNTIF(Y1358:Y1375,$B1398)+COUNTIF(Y1358:Y1375,$B1398&amp;" ~*")&gt;0))</f>
        <v/>
      </c>
    </row>
    <row r="1399" ht="15" customHeight="1">
      <c r="A1399" t="n">
        <v>28</v>
      </c>
      <c r="B1399" s="35">
        <f>IF(Setup!$B$28="","",Setup!$B$28)</f>
        <v/>
      </c>
      <c r="C1399" s="98" t="n"/>
      <c r="D1399" s="99" t="n"/>
      <c r="E1399" s="99" t="n"/>
      <c r="F1399" s="100" t="n"/>
      <c r="G1399" s="98" t="n"/>
      <c r="H1399" s="99" t="n"/>
      <c r="I1399" s="99" t="n"/>
      <c r="J1399" s="100" t="n"/>
      <c r="K1399" s="98" t="n"/>
      <c r="L1399" s="99" t="n"/>
      <c r="M1399" s="99" t="n"/>
      <c r="N1399" s="100" t="n"/>
      <c r="O1399" s="98" t="n"/>
      <c r="P1399" s="99" t="n"/>
      <c r="Q1399" s="99" t="n"/>
      <c r="R1399" s="100" t="n"/>
      <c r="S1399" s="98" t="n"/>
      <c r="T1399" s="99" t="n"/>
      <c r="U1399" s="99" t="n"/>
      <c r="V1399" s="100" t="n"/>
      <c r="W1399" s="98" t="n"/>
      <c r="X1399" s="100" t="n"/>
      <c r="Y1399" s="98" t="n"/>
      <c r="Z1399" s="100" t="n"/>
      <c r="AB1399" s="101">
        <f>IF($B1399="","",(COUNTIF(C1358:E1375,$B1399)+COUNTIF(C1358:E1375,$B1399&amp;" ~*")&gt;0)+(COUNTIF(G1358:I1375,$B1399)+COUNTIF(G1358:I1375,$B1399&amp;" ~*")&gt;0)+(COUNTIF(K1358:M1375,$B1399)+COUNTIF(K1358:M1375,$B1399&amp;" ~*")&gt;0)+(COUNTIF(O1358:Q1375,$B1399)+COUNTIF(O1358:Q1375,$B1399&amp;" ~*")&gt;0)+(COUNTIF(S1358:U1375,$B1399)+COUNTIF(S1358:U1375,$B1399&amp;" ~*")&gt;0)+(COUNTIF(W1358:W1375,$B1399)+COUNTIF(W1358:W1375,$B1399&amp;" ~*")&gt;0)+(COUNTIF(Y1358:Y1375,$B1399)+COUNTIF(Y1358:Y1375,$B1399&amp;" ~*")&gt;0))</f>
        <v/>
      </c>
      <c r="AC1399" s="36">
        <f>IF($B1399="","",(IFERROR(INDEX(Setup!$G$33:$G$40,MATCH(C1399,Setup!$B$33:$B$40,0)),0)=1)*(COUNTIF(C1358:E1375,$B1399)+COUNTIF(C1358:E1375,$B1399&amp;" ~*")&gt;0)+(IFERROR(INDEX(Setup!$G$33:$G$40,MATCH(G1399,Setup!$B$33:$B$40,0)),0)=1)*(COUNTIF(G1358:I1375,$B1399)+COUNTIF(G1358:I1375,$B1399&amp;" ~*")&gt;0)+(IFERROR(INDEX(Setup!$G$33:$G$40,MATCH(K1399,Setup!$B$33:$B$40,0)),0)=1)*(COUNTIF(K1358:M1375,$B1399)+COUNTIF(K1358:M1375,$B1399&amp;" ~*")&gt;0)+(IFERROR(INDEX(Setup!$G$33:$G$40,MATCH(O1399,Setup!$B$33:$B$40,0)),0)=1)*(COUNTIF(O1358:Q1375,$B1399)+COUNTIF(O1358:Q1375,$B1399&amp;" ~*")&gt;0)+(IFERROR(INDEX(Setup!$G$33:$G$40,MATCH(S1399,Setup!$B$33:$B$40,0)),0)=1)*(COUNTIF(S1358:U1375,$B1399)+COUNTIF(S1358:U1375,$B1399&amp;" ~*")&gt;0)+(IFERROR(INDEX(Setup!$G$33:$G$40,MATCH(W1399,Setup!$B$33:$B$40,0)),0)=1)*(COUNTIF(W1358:W1375,$B1399)+COUNTIF(W1358:W1375,$B1399&amp;" ~*")&gt;0)+(IFERROR(INDEX(Setup!$G$33:$G$40,MATCH(Y1399,Setup!$B$33:$B$40,0)),0)=1)*(COUNTIF(Y1358:Y1375,$B1399)+COUNTIF(Y1358:Y1375,$B1399&amp;" ~*")&gt;0))</f>
        <v/>
      </c>
    </row>
    <row r="1400" ht="15" customHeight="1">
      <c r="A1400" t="n">
        <v>28</v>
      </c>
      <c r="B1400" s="37">
        <f>IF(Setup!$B$29="","",Setup!$B$29)</f>
        <v/>
      </c>
      <c r="C1400" s="102" t="n"/>
      <c r="D1400" s="103" t="n"/>
      <c r="E1400" s="103" t="n"/>
      <c r="F1400" s="104" t="n"/>
      <c r="G1400" s="102" t="n"/>
      <c r="H1400" s="103" t="n"/>
      <c r="I1400" s="103" t="n"/>
      <c r="J1400" s="104" t="n"/>
      <c r="K1400" s="102" t="n"/>
      <c r="L1400" s="103" t="n"/>
      <c r="M1400" s="103" t="n"/>
      <c r="N1400" s="104" t="n"/>
      <c r="O1400" s="102" t="n"/>
      <c r="P1400" s="103" t="n"/>
      <c r="Q1400" s="103" t="n"/>
      <c r="R1400" s="104" t="n"/>
      <c r="S1400" s="102" t="n"/>
      <c r="T1400" s="103" t="n"/>
      <c r="U1400" s="103" t="n"/>
      <c r="V1400" s="104" t="n"/>
      <c r="W1400" s="102" t="n"/>
      <c r="X1400" s="104" t="n"/>
      <c r="Y1400" s="102" t="n"/>
      <c r="Z1400" s="104" t="n"/>
      <c r="AB1400" s="105">
        <f>IF($B1400="","",(COUNTIF(C1358:E1375,$B1400)+COUNTIF(C1358:E1375,$B1400&amp;" ~*")&gt;0)+(COUNTIF(G1358:I1375,$B1400)+COUNTIF(G1358:I1375,$B1400&amp;" ~*")&gt;0)+(COUNTIF(K1358:M1375,$B1400)+COUNTIF(K1358:M1375,$B1400&amp;" ~*")&gt;0)+(COUNTIF(O1358:Q1375,$B1400)+COUNTIF(O1358:Q1375,$B1400&amp;" ~*")&gt;0)+(COUNTIF(S1358:U1375,$B1400)+COUNTIF(S1358:U1375,$B1400&amp;" ~*")&gt;0)+(COUNTIF(W1358:W1375,$B1400)+COUNTIF(W1358:W1375,$B1400&amp;" ~*")&gt;0)+(COUNTIF(Y1358:Y1375,$B1400)+COUNTIF(Y1358:Y1375,$B1400&amp;" ~*")&gt;0))</f>
        <v/>
      </c>
      <c r="AC1400" s="38">
        <f>IF($B1400="","",(IFERROR(INDEX(Setup!$G$33:$G$40,MATCH(C1400,Setup!$B$33:$B$40,0)),0)=1)*(COUNTIF(C1358:E1375,$B1400)+COUNTIF(C1358:E1375,$B1400&amp;" ~*")&gt;0)+(IFERROR(INDEX(Setup!$G$33:$G$40,MATCH(G1400,Setup!$B$33:$B$40,0)),0)=1)*(COUNTIF(G1358:I1375,$B1400)+COUNTIF(G1358:I1375,$B1400&amp;" ~*")&gt;0)+(IFERROR(INDEX(Setup!$G$33:$G$40,MATCH(K1400,Setup!$B$33:$B$40,0)),0)=1)*(COUNTIF(K1358:M1375,$B1400)+COUNTIF(K1358:M1375,$B1400&amp;" ~*")&gt;0)+(IFERROR(INDEX(Setup!$G$33:$G$40,MATCH(O1400,Setup!$B$33:$B$40,0)),0)=1)*(COUNTIF(O1358:Q1375,$B1400)+COUNTIF(O1358:Q1375,$B1400&amp;" ~*")&gt;0)+(IFERROR(INDEX(Setup!$G$33:$G$40,MATCH(S1400,Setup!$B$33:$B$40,0)),0)=1)*(COUNTIF(S1358:U1375,$B1400)+COUNTIF(S1358:U1375,$B1400&amp;" ~*")&gt;0)+(IFERROR(INDEX(Setup!$G$33:$G$40,MATCH(W1400,Setup!$B$33:$B$40,0)),0)=1)*(COUNTIF(W1358:W1375,$B1400)+COUNTIF(W1358:W1375,$B1400&amp;" ~*")&gt;0)+(IFERROR(INDEX(Setup!$G$33:$G$40,MATCH(Y1400,Setup!$B$33:$B$40,0)),0)=1)*(COUNTIF(Y1358:Y1375,$B1400)+COUNTIF(Y1358:Y1375,$B1400&amp;" ~*")&gt;0))</f>
        <v/>
      </c>
    </row>
    <row r="1401" ht="16" customHeight="1">
      <c r="A1401" t="n">
        <v>28</v>
      </c>
      <c r="B1401" s="106" t="inlineStr">
        <is>
          <t>Available people</t>
        </is>
      </c>
      <c r="C1401" s="107">
        <f>COUNTIFS(Setup!$E$6:$E$29,"Y",Setup!$B$6:$B$29,"?*")-SUMPRODUCT(COUNTIF(C1377:C1400,Setup!$F$33:$F$40))</f>
        <v/>
      </c>
      <c r="D1401" s="107" t="n"/>
      <c r="E1401" s="107" t="n"/>
      <c r="F1401" s="107" t="n"/>
      <c r="G1401" s="107">
        <f>COUNTIFS(Setup!$E$6:$E$29,"Y",Setup!$B$6:$B$29,"?*")-SUMPRODUCT(COUNTIF(G1377:G1400,Setup!$F$33:$F$40))</f>
        <v/>
      </c>
      <c r="H1401" s="107" t="n"/>
      <c r="I1401" s="107" t="n"/>
      <c r="J1401" s="107" t="n"/>
      <c r="K1401" s="107">
        <f>COUNTIFS(Setup!$E$6:$E$29,"Y",Setup!$B$6:$B$29,"?*")-SUMPRODUCT(COUNTIF(K1377:K1400,Setup!$F$33:$F$40))</f>
        <v/>
      </c>
      <c r="L1401" s="107" t="n"/>
      <c r="M1401" s="107" t="n"/>
      <c r="N1401" s="107" t="n"/>
      <c r="O1401" s="107">
        <f>COUNTIFS(Setup!$E$6:$E$29,"Y",Setup!$B$6:$B$29,"?*")-SUMPRODUCT(COUNTIF(O1377:O1400,Setup!$F$33:$F$40))</f>
        <v/>
      </c>
      <c r="P1401" s="107" t="n"/>
      <c r="Q1401" s="107" t="n"/>
      <c r="R1401" s="107" t="n"/>
      <c r="S1401" s="107">
        <f>COUNTIFS(Setup!$E$6:$E$29,"Y",Setup!$B$6:$B$29,"?*")-SUMPRODUCT(COUNTIF(S1377:S1400,Setup!$F$33:$F$40))</f>
        <v/>
      </c>
      <c r="T1401" s="107" t="n"/>
      <c r="U1401" s="107" t="n"/>
      <c r="V1401" s="107" t="n"/>
      <c r="W1401" s="107">
        <f>COUNTIFS(Setup!$E$6:$E$29,"Y",Setup!$B$6:$B$29,"?*")-SUMPRODUCT(COUNTIF(W1377:W1400,Setup!$F$33:$F$40))</f>
        <v/>
      </c>
      <c r="X1401" s="107" t="n"/>
      <c r="Y1401" s="107">
        <f>COUNTIFS(Setup!$E$6:$E$29,"Y",Setup!$B$6:$B$29,"?*")-SUMPRODUCT(COUNTIF(Y1377:Y1400,Setup!$F$33:$F$40))</f>
        <v/>
      </c>
      <c r="Z1401" s="107" t="n"/>
      <c r="AB1401" s="108">
        <f>SUM(AB1377:AB1400)</f>
        <v/>
      </c>
      <c r="AC1401" s="109">
        <f>SUM(AC1377:AC1400)</f>
        <v/>
      </c>
    </row>
    <row r="1402" ht="30" customHeight="1">
      <c r="A1402" t="n">
        <v>28</v>
      </c>
      <c r="B1402" s="110" t="inlineStr">
        <is>
          <t>Week notes</t>
        </is>
      </c>
      <c r="C1402" s="111" t="n"/>
      <c r="D1402" s="112" t="n"/>
      <c r="E1402" s="112" t="n"/>
      <c r="F1402" s="112" t="n"/>
      <c r="G1402" s="112" t="n"/>
      <c r="H1402" s="112" t="n"/>
      <c r="I1402" s="112" t="n"/>
      <c r="J1402" s="112" t="n"/>
      <c r="K1402" s="112" t="n"/>
      <c r="L1402" s="112" t="n"/>
      <c r="M1402" s="112" t="n"/>
      <c r="N1402" s="112" t="n"/>
      <c r="O1402" s="112" t="n"/>
      <c r="P1402" s="112" t="n"/>
      <c r="Q1402" s="112" t="n"/>
      <c r="R1402" s="112" t="n"/>
      <c r="S1402" s="112" t="n"/>
      <c r="T1402" s="112" t="n"/>
      <c r="U1402" s="112" t="n"/>
      <c r="V1402" s="112" t="n"/>
      <c r="W1402" s="112" t="n"/>
      <c r="X1402" s="112" t="n"/>
      <c r="Y1402" s="112" t="n"/>
      <c r="Z1402" s="113" t="n"/>
    </row>
    <row r="1403" ht="8" customHeight="1">
      <c r="A1403" t="n">
        <v>28</v>
      </c>
    </row>
    <row r="1404" ht="8" customHeight="1">
      <c r="A1404" t="n">
        <v>28</v>
      </c>
    </row>
    <row r="1405" ht="24" customHeight="1">
      <c r="A1405" t="n">
        <v>29</v>
      </c>
      <c r="B1405" s="73">
        <f>"WEEK 29     "&amp;TEXT(C1406,"ddd d mmm")&amp;"  –  "&amp;TEXT(C1406+6,"ddd d mmm yyyy")</f>
        <v/>
      </c>
      <c r="S1405" s="74">
        <f>IF(TODAY()&lt;C1406,"FUTURE",IF(TODAY()&gt;C1406+6,"PAST","THIS WEEK"))</f>
        <v/>
      </c>
      <c r="W1405" s="75">
        <f>IF(AND(Engine!$B$8=$AC$3,Engine!$B$9=$A1405),"◀ ACTIVE WEEK","")</f>
        <v/>
      </c>
      <c r="AA1405" s="76" t="n"/>
      <c r="AB1405" s="77" t="inlineStr">
        <is>
          <t>◀ Prev</t>
        </is>
      </c>
      <c r="AC1405" s="77" t="inlineStr">
        <is>
          <t>Next ▶</t>
        </is>
      </c>
    </row>
    <row r="1406" ht="18" customHeight="1">
      <c r="A1406" t="n">
        <v>29</v>
      </c>
      <c r="B1406" s="78" t="inlineStr">
        <is>
          <t>DUTY</t>
        </is>
      </c>
      <c r="C1406" s="79">
        <f>$AC$2+7*($A1406-1)</f>
        <v/>
      </c>
      <c r="D1406" s="80" t="n"/>
      <c r="E1406" s="80" t="n"/>
      <c r="F1406" s="81" t="n"/>
      <c r="G1406" s="79">
        <f>C1406+1</f>
        <v/>
      </c>
      <c r="H1406" s="80" t="n"/>
      <c r="I1406" s="80" t="n"/>
      <c r="J1406" s="81" t="n"/>
      <c r="K1406" s="79">
        <f>C1406+2</f>
        <v/>
      </c>
      <c r="L1406" s="80" t="n"/>
      <c r="M1406" s="80" t="n"/>
      <c r="N1406" s="81" t="n"/>
      <c r="O1406" s="79">
        <f>C1406+3</f>
        <v/>
      </c>
      <c r="P1406" s="80" t="n"/>
      <c r="Q1406" s="80" t="n"/>
      <c r="R1406" s="81" t="n"/>
      <c r="S1406" s="79">
        <f>C1406+4</f>
        <v/>
      </c>
      <c r="T1406" s="80" t="n"/>
      <c r="U1406" s="80" t="n"/>
      <c r="V1406" s="81" t="n"/>
      <c r="W1406" s="82">
        <f>C1406+5</f>
        <v/>
      </c>
      <c r="X1406" s="83" t="n"/>
      <c r="Y1406" s="82">
        <f>C1406+6</f>
        <v/>
      </c>
      <c r="Z1406" s="83" t="n"/>
      <c r="AB1406" s="72" t="inlineStr">
        <is>
          <t>Gaps</t>
        </is>
      </c>
      <c r="AC1406" s="72" t="inlineStr">
        <is>
          <t>Cover</t>
        </is>
      </c>
    </row>
    <row r="1407" ht="14" customHeight="1">
      <c r="A1407" t="n">
        <v>29</v>
      </c>
      <c r="B1407" s="84" t="inlineStr">
        <is>
          <t>(from Setup)</t>
        </is>
      </c>
      <c r="C1407" s="85" t="inlineStr">
        <is>
          <t>1</t>
        </is>
      </c>
      <c r="D1407" s="85" t="inlineStr">
        <is>
          <t>2</t>
        </is>
      </c>
      <c r="E1407" s="85" t="inlineStr">
        <is>
          <t>3</t>
        </is>
      </c>
      <c r="F1407" s="85" t="inlineStr">
        <is>
          <t>Notes</t>
        </is>
      </c>
      <c r="G1407" s="85" t="inlineStr">
        <is>
          <t>1</t>
        </is>
      </c>
      <c r="H1407" s="85" t="inlineStr">
        <is>
          <t>2</t>
        </is>
      </c>
      <c r="I1407" s="85" t="inlineStr">
        <is>
          <t>3</t>
        </is>
      </c>
      <c r="J1407" s="85" t="inlineStr">
        <is>
          <t>Notes</t>
        </is>
      </c>
      <c r="K1407" s="85" t="inlineStr">
        <is>
          <t>1</t>
        </is>
      </c>
      <c r="L1407" s="85" t="inlineStr">
        <is>
          <t>2</t>
        </is>
      </c>
      <c r="M1407" s="85" t="inlineStr">
        <is>
          <t>3</t>
        </is>
      </c>
      <c r="N1407" s="85" t="inlineStr">
        <is>
          <t>Notes</t>
        </is>
      </c>
      <c r="O1407" s="85" t="inlineStr">
        <is>
          <t>1</t>
        </is>
      </c>
      <c r="P1407" s="85" t="inlineStr">
        <is>
          <t>2</t>
        </is>
      </c>
      <c r="Q1407" s="85" t="inlineStr">
        <is>
          <t>3</t>
        </is>
      </c>
      <c r="R1407" s="85" t="inlineStr">
        <is>
          <t>Notes</t>
        </is>
      </c>
      <c r="S1407" s="85" t="inlineStr">
        <is>
          <t>1</t>
        </is>
      </c>
      <c r="T1407" s="85" t="inlineStr">
        <is>
          <t>2</t>
        </is>
      </c>
      <c r="U1407" s="85" t="inlineStr">
        <is>
          <t>3</t>
        </is>
      </c>
      <c r="V1407" s="85" t="inlineStr">
        <is>
          <t>Notes</t>
        </is>
      </c>
      <c r="W1407" s="85" t="inlineStr">
        <is>
          <t>Cover</t>
        </is>
      </c>
      <c r="X1407" s="85" t="inlineStr">
        <is>
          <t>Notes</t>
        </is>
      </c>
      <c r="Y1407" s="85" t="inlineStr">
        <is>
          <t>Cover</t>
        </is>
      </c>
      <c r="Z1407" s="85" t="inlineStr">
        <is>
          <t>Notes</t>
        </is>
      </c>
      <c r="AB1407" s="86" t="inlineStr">
        <is>
          <t>weekdays short</t>
        </is>
      </c>
      <c r="AC1407" s="87" t="inlineStr"/>
    </row>
    <row r="1408" ht="17" customHeight="1">
      <c r="A1408" t="n">
        <v>29</v>
      </c>
      <c r="B1408" s="24">
        <f>IF(Setup!$K$6="","",Setup!$K$6)</f>
        <v/>
      </c>
      <c r="C1408" s="88" t="n"/>
      <c r="D1408" s="88" t="n"/>
      <c r="E1408" s="88" t="n"/>
      <c r="F1408" s="89" t="n"/>
      <c r="G1408" s="88" t="n"/>
      <c r="H1408" s="88" t="n"/>
      <c r="I1408" s="88" t="n"/>
      <c r="J1408" s="89" t="n"/>
      <c r="K1408" s="88" t="n"/>
      <c r="L1408" s="88" t="n"/>
      <c r="M1408" s="88" t="n"/>
      <c r="N1408" s="89" t="n"/>
      <c r="O1408" s="88" t="n"/>
      <c r="P1408" s="88" t="n"/>
      <c r="Q1408" s="88" t="n"/>
      <c r="R1408" s="89" t="n"/>
      <c r="S1408" s="88" t="n"/>
      <c r="T1408" s="88" t="n"/>
      <c r="U1408" s="88" t="n"/>
      <c r="V1408" s="89" t="n"/>
      <c r="W1408" s="88" t="n"/>
      <c r="X1408" s="89" t="n"/>
      <c r="Y1408" s="88" t="n"/>
      <c r="Z1408" s="89" t="n"/>
      <c r="AB1408" s="25">
        <f>IF($B1408="","",(COUNTIF(C1408:E1408,"?*")&lt;N(INDEX(Setup!$L$6:$L$23,1)))+(COUNTIF(G1408:I1408,"?*")&lt;N(INDEX(Setup!$L$6:$L$23,1)))+(COUNTIF(K1408:M1408,"?*")&lt;N(INDEX(Setup!$L$6:$L$23,1)))+(COUNTIF(O1408:Q1408,"?*")&lt;N(INDEX(Setup!$L$6:$L$23,1)))+(COUNTIF(S1408:U1408,"?*")&lt;N(INDEX(Setup!$L$6:$L$23,1)))+((W1408="")*(INDEX(Setup!$M$6:$M$23,1)="Y"))+((Y1408="")*(INDEX(Setup!$M$6:$M$23,1)="Y")))</f>
        <v/>
      </c>
      <c r="AC1408" s="90">
        <f>IF($B1408="","",IF(AB1408=0,"✓ covered","⚠ "&amp;AB1408&amp;IF(AB1408=1," gap"," gaps")))</f>
        <v/>
      </c>
    </row>
    <row r="1409" ht="17" customHeight="1">
      <c r="A1409" t="n">
        <v>29</v>
      </c>
      <c r="B1409" s="29">
        <f>IF(Setup!$K$7="","",Setup!$K$7)</f>
        <v/>
      </c>
      <c r="C1409" s="88" t="n"/>
      <c r="D1409" s="88" t="n"/>
      <c r="E1409" s="88" t="n"/>
      <c r="F1409" s="89" t="n"/>
      <c r="G1409" s="88" t="n"/>
      <c r="H1409" s="88" t="n"/>
      <c r="I1409" s="88" t="n"/>
      <c r="J1409" s="89" t="n"/>
      <c r="K1409" s="88" t="n"/>
      <c r="L1409" s="88" t="n"/>
      <c r="M1409" s="88" t="n"/>
      <c r="N1409" s="89" t="n"/>
      <c r="O1409" s="88" t="n"/>
      <c r="P1409" s="88" t="n"/>
      <c r="Q1409" s="88" t="n"/>
      <c r="R1409" s="89" t="n"/>
      <c r="S1409" s="88" t="n"/>
      <c r="T1409" s="88" t="n"/>
      <c r="U1409" s="88" t="n"/>
      <c r="V1409" s="89" t="n"/>
      <c r="W1409" s="88" t="n"/>
      <c r="X1409" s="89" t="n"/>
      <c r="Y1409" s="88" t="n"/>
      <c r="Z1409" s="89" t="n"/>
      <c r="AB1409" s="30">
        <f>IF($B1409="","",(COUNTIF(C1409:E1409,"?*")&lt;N(INDEX(Setup!$L$6:$L$23,2)))+(COUNTIF(G1409:I1409,"?*")&lt;N(INDEX(Setup!$L$6:$L$23,2)))+(COUNTIF(K1409:M1409,"?*")&lt;N(INDEX(Setup!$L$6:$L$23,2)))+(COUNTIF(O1409:Q1409,"?*")&lt;N(INDEX(Setup!$L$6:$L$23,2)))+(COUNTIF(S1409:U1409,"?*")&lt;N(INDEX(Setup!$L$6:$L$23,2)))+((W1409="")*(INDEX(Setup!$M$6:$M$23,2)="Y"))+((Y1409="")*(INDEX(Setup!$M$6:$M$23,2)="Y")))</f>
        <v/>
      </c>
      <c r="AC1409" s="91">
        <f>IF($B1409="","",IF(AB1409=0,"✓ covered","⚠ "&amp;AB1409&amp;IF(AB1409=1," gap"," gaps")))</f>
        <v/>
      </c>
    </row>
    <row r="1410" ht="17" customHeight="1">
      <c r="A1410" t="n">
        <v>29</v>
      </c>
      <c r="B1410" s="24">
        <f>IF(Setup!$K$8="","",Setup!$K$8)</f>
        <v/>
      </c>
      <c r="C1410" s="88" t="n"/>
      <c r="D1410" s="88" t="n"/>
      <c r="E1410" s="88" t="n"/>
      <c r="F1410" s="89" t="n"/>
      <c r="G1410" s="88" t="n"/>
      <c r="H1410" s="88" t="n"/>
      <c r="I1410" s="88" t="n"/>
      <c r="J1410" s="89" t="n"/>
      <c r="K1410" s="88" t="n"/>
      <c r="L1410" s="88" t="n"/>
      <c r="M1410" s="88" t="n"/>
      <c r="N1410" s="89" t="n"/>
      <c r="O1410" s="88" t="n"/>
      <c r="P1410" s="88" t="n"/>
      <c r="Q1410" s="88" t="n"/>
      <c r="R1410" s="89" t="n"/>
      <c r="S1410" s="88" t="n"/>
      <c r="T1410" s="88" t="n"/>
      <c r="U1410" s="88" t="n"/>
      <c r="V1410" s="89" t="n"/>
      <c r="W1410" s="88" t="n"/>
      <c r="X1410" s="89" t="n"/>
      <c r="Y1410" s="88" t="n"/>
      <c r="Z1410" s="89" t="n"/>
      <c r="AB1410" s="25">
        <f>IF($B1410="","",(COUNTIF(C1410:E1410,"?*")&lt;N(INDEX(Setup!$L$6:$L$23,3)))+(COUNTIF(G1410:I1410,"?*")&lt;N(INDEX(Setup!$L$6:$L$23,3)))+(COUNTIF(K1410:M1410,"?*")&lt;N(INDEX(Setup!$L$6:$L$23,3)))+(COUNTIF(O1410:Q1410,"?*")&lt;N(INDEX(Setup!$L$6:$L$23,3)))+(COUNTIF(S1410:U1410,"?*")&lt;N(INDEX(Setup!$L$6:$L$23,3)))+((W1410="")*(INDEX(Setup!$M$6:$M$23,3)="Y"))+((Y1410="")*(INDEX(Setup!$M$6:$M$23,3)="Y")))</f>
        <v/>
      </c>
      <c r="AC1410" s="90">
        <f>IF($B1410="","",IF(AB1410=0,"✓ covered","⚠ "&amp;AB1410&amp;IF(AB1410=1," gap"," gaps")))</f>
        <v/>
      </c>
    </row>
    <row r="1411" ht="17" customHeight="1">
      <c r="A1411" t="n">
        <v>29</v>
      </c>
      <c r="B1411" s="29">
        <f>IF(Setup!$K$9="","",Setup!$K$9)</f>
        <v/>
      </c>
      <c r="C1411" s="88" t="n"/>
      <c r="D1411" s="88" t="n"/>
      <c r="E1411" s="88" t="n"/>
      <c r="F1411" s="89" t="n"/>
      <c r="G1411" s="88" t="n"/>
      <c r="H1411" s="88" t="n"/>
      <c r="I1411" s="88" t="n"/>
      <c r="J1411" s="89" t="n"/>
      <c r="K1411" s="88" t="n"/>
      <c r="L1411" s="88" t="n"/>
      <c r="M1411" s="88" t="n"/>
      <c r="N1411" s="89" t="n"/>
      <c r="O1411" s="88" t="n"/>
      <c r="P1411" s="88" t="n"/>
      <c r="Q1411" s="88" t="n"/>
      <c r="R1411" s="89" t="n"/>
      <c r="S1411" s="88" t="n"/>
      <c r="T1411" s="88" t="n"/>
      <c r="U1411" s="88" t="n"/>
      <c r="V1411" s="89" t="n"/>
      <c r="W1411" s="88" t="n"/>
      <c r="X1411" s="89" t="n"/>
      <c r="Y1411" s="88" t="n"/>
      <c r="Z1411" s="89" t="n"/>
      <c r="AB1411" s="30">
        <f>IF($B1411="","",(COUNTIF(C1411:E1411,"?*")&lt;N(INDEX(Setup!$L$6:$L$23,4)))+(COUNTIF(G1411:I1411,"?*")&lt;N(INDEX(Setup!$L$6:$L$23,4)))+(COUNTIF(K1411:M1411,"?*")&lt;N(INDEX(Setup!$L$6:$L$23,4)))+(COUNTIF(O1411:Q1411,"?*")&lt;N(INDEX(Setup!$L$6:$L$23,4)))+(COUNTIF(S1411:U1411,"?*")&lt;N(INDEX(Setup!$L$6:$L$23,4)))+((W1411="")*(INDEX(Setup!$M$6:$M$23,4)="Y"))+((Y1411="")*(INDEX(Setup!$M$6:$M$23,4)="Y")))</f>
        <v/>
      </c>
      <c r="AC1411" s="91">
        <f>IF($B1411="","",IF(AB1411=0,"✓ covered","⚠ "&amp;AB1411&amp;IF(AB1411=1," gap"," gaps")))</f>
        <v/>
      </c>
    </row>
    <row r="1412" ht="17" customHeight="1">
      <c r="A1412" t="n">
        <v>29</v>
      </c>
      <c r="B1412" s="24">
        <f>IF(Setup!$K$10="","",Setup!$K$10)</f>
        <v/>
      </c>
      <c r="C1412" s="88" t="n"/>
      <c r="D1412" s="88" t="n"/>
      <c r="E1412" s="88" t="n"/>
      <c r="F1412" s="89" t="n"/>
      <c r="G1412" s="88" t="n"/>
      <c r="H1412" s="88" t="n"/>
      <c r="I1412" s="88" t="n"/>
      <c r="J1412" s="89" t="n"/>
      <c r="K1412" s="88" t="n"/>
      <c r="L1412" s="88" t="n"/>
      <c r="M1412" s="88" t="n"/>
      <c r="N1412" s="89" t="n"/>
      <c r="O1412" s="88" t="n"/>
      <c r="P1412" s="88" t="n"/>
      <c r="Q1412" s="88" t="n"/>
      <c r="R1412" s="89" t="n"/>
      <c r="S1412" s="88" t="n"/>
      <c r="T1412" s="88" t="n"/>
      <c r="U1412" s="88" t="n"/>
      <c r="V1412" s="89" t="n"/>
      <c r="W1412" s="88" t="n"/>
      <c r="X1412" s="89" t="n"/>
      <c r="Y1412" s="88" t="n"/>
      <c r="Z1412" s="89" t="n"/>
      <c r="AB1412" s="25">
        <f>IF($B1412="","",(COUNTIF(C1412:E1412,"?*")&lt;N(INDEX(Setup!$L$6:$L$23,5)))+(COUNTIF(G1412:I1412,"?*")&lt;N(INDEX(Setup!$L$6:$L$23,5)))+(COUNTIF(K1412:M1412,"?*")&lt;N(INDEX(Setup!$L$6:$L$23,5)))+(COUNTIF(O1412:Q1412,"?*")&lt;N(INDEX(Setup!$L$6:$L$23,5)))+(COUNTIF(S1412:U1412,"?*")&lt;N(INDEX(Setup!$L$6:$L$23,5)))+((W1412="")*(INDEX(Setup!$M$6:$M$23,5)="Y"))+((Y1412="")*(INDEX(Setup!$M$6:$M$23,5)="Y")))</f>
        <v/>
      </c>
      <c r="AC1412" s="90">
        <f>IF($B1412="","",IF(AB1412=0,"✓ covered","⚠ "&amp;AB1412&amp;IF(AB1412=1," gap"," gaps")))</f>
        <v/>
      </c>
    </row>
    <row r="1413" ht="17" customHeight="1">
      <c r="A1413" t="n">
        <v>29</v>
      </c>
      <c r="B1413" s="29">
        <f>IF(Setup!$K$11="","",Setup!$K$11)</f>
        <v/>
      </c>
      <c r="C1413" s="88" t="n"/>
      <c r="D1413" s="88" t="n"/>
      <c r="E1413" s="88" t="n"/>
      <c r="F1413" s="89" t="n"/>
      <c r="G1413" s="88" t="n"/>
      <c r="H1413" s="88" t="n"/>
      <c r="I1413" s="88" t="n"/>
      <c r="J1413" s="89" t="n"/>
      <c r="K1413" s="88" t="n"/>
      <c r="L1413" s="88" t="n"/>
      <c r="M1413" s="88" t="n"/>
      <c r="N1413" s="89" t="n"/>
      <c r="O1413" s="88" t="n"/>
      <c r="P1413" s="88" t="n"/>
      <c r="Q1413" s="88" t="n"/>
      <c r="R1413" s="89" t="n"/>
      <c r="S1413" s="88" t="n"/>
      <c r="T1413" s="88" t="n"/>
      <c r="U1413" s="88" t="n"/>
      <c r="V1413" s="89" t="n"/>
      <c r="W1413" s="88" t="n"/>
      <c r="X1413" s="89" t="n"/>
      <c r="Y1413" s="88" t="n"/>
      <c r="Z1413" s="89" t="n"/>
      <c r="AB1413" s="30">
        <f>IF($B1413="","",(COUNTIF(C1413:E1413,"?*")&lt;N(INDEX(Setup!$L$6:$L$23,6)))+(COUNTIF(G1413:I1413,"?*")&lt;N(INDEX(Setup!$L$6:$L$23,6)))+(COUNTIF(K1413:M1413,"?*")&lt;N(INDEX(Setup!$L$6:$L$23,6)))+(COUNTIF(O1413:Q1413,"?*")&lt;N(INDEX(Setup!$L$6:$L$23,6)))+(COUNTIF(S1413:U1413,"?*")&lt;N(INDEX(Setup!$L$6:$L$23,6)))+((W1413="")*(INDEX(Setup!$M$6:$M$23,6)="Y"))+((Y1413="")*(INDEX(Setup!$M$6:$M$23,6)="Y")))</f>
        <v/>
      </c>
      <c r="AC1413" s="91">
        <f>IF($B1413="","",IF(AB1413=0,"✓ covered","⚠ "&amp;AB1413&amp;IF(AB1413=1," gap"," gaps")))</f>
        <v/>
      </c>
    </row>
    <row r="1414" ht="17" customHeight="1">
      <c r="A1414" t="n">
        <v>29</v>
      </c>
      <c r="B1414" s="24">
        <f>IF(Setup!$K$12="","",Setup!$K$12)</f>
        <v/>
      </c>
      <c r="C1414" s="88" t="n"/>
      <c r="D1414" s="88" t="n"/>
      <c r="E1414" s="88" t="n"/>
      <c r="F1414" s="89" t="n"/>
      <c r="G1414" s="88" t="n"/>
      <c r="H1414" s="88" t="n"/>
      <c r="I1414" s="88" t="n"/>
      <c r="J1414" s="89" t="n"/>
      <c r="K1414" s="88" t="n"/>
      <c r="L1414" s="88" t="n"/>
      <c r="M1414" s="88" t="n"/>
      <c r="N1414" s="89" t="n"/>
      <c r="O1414" s="88" t="n"/>
      <c r="P1414" s="88" t="n"/>
      <c r="Q1414" s="88" t="n"/>
      <c r="R1414" s="89" t="n"/>
      <c r="S1414" s="88" t="n"/>
      <c r="T1414" s="88" t="n"/>
      <c r="U1414" s="88" t="n"/>
      <c r="V1414" s="89" t="n"/>
      <c r="W1414" s="88" t="n"/>
      <c r="X1414" s="89" t="n"/>
      <c r="Y1414" s="88" t="n"/>
      <c r="Z1414" s="89" t="n"/>
      <c r="AB1414" s="25">
        <f>IF($B1414="","",(COUNTIF(C1414:E1414,"?*")&lt;N(INDEX(Setup!$L$6:$L$23,7)))+(COUNTIF(G1414:I1414,"?*")&lt;N(INDEX(Setup!$L$6:$L$23,7)))+(COUNTIF(K1414:M1414,"?*")&lt;N(INDEX(Setup!$L$6:$L$23,7)))+(COUNTIF(O1414:Q1414,"?*")&lt;N(INDEX(Setup!$L$6:$L$23,7)))+(COUNTIF(S1414:U1414,"?*")&lt;N(INDEX(Setup!$L$6:$L$23,7)))+((W1414="")*(INDEX(Setup!$M$6:$M$23,7)="Y"))+((Y1414="")*(INDEX(Setup!$M$6:$M$23,7)="Y")))</f>
        <v/>
      </c>
      <c r="AC1414" s="90">
        <f>IF($B1414="","",IF(AB1414=0,"✓ covered","⚠ "&amp;AB1414&amp;IF(AB1414=1," gap"," gaps")))</f>
        <v/>
      </c>
    </row>
    <row r="1415" ht="17" customHeight="1">
      <c r="A1415" t="n">
        <v>29</v>
      </c>
      <c r="B1415" s="29">
        <f>IF(Setup!$K$13="","",Setup!$K$13)</f>
        <v/>
      </c>
      <c r="C1415" s="88" t="n"/>
      <c r="D1415" s="88" t="n"/>
      <c r="E1415" s="88" t="n"/>
      <c r="F1415" s="89" t="n"/>
      <c r="G1415" s="88" t="n"/>
      <c r="H1415" s="88" t="n"/>
      <c r="I1415" s="88" t="n"/>
      <c r="J1415" s="89" t="n"/>
      <c r="K1415" s="88" t="n"/>
      <c r="L1415" s="88" t="n"/>
      <c r="M1415" s="88" t="n"/>
      <c r="N1415" s="89" t="n"/>
      <c r="O1415" s="88" t="n"/>
      <c r="P1415" s="88" t="n"/>
      <c r="Q1415" s="88" t="n"/>
      <c r="R1415" s="89" t="n"/>
      <c r="S1415" s="88" t="n"/>
      <c r="T1415" s="88" t="n"/>
      <c r="U1415" s="88" t="n"/>
      <c r="V1415" s="89" t="n"/>
      <c r="W1415" s="88" t="n"/>
      <c r="X1415" s="89" t="n"/>
      <c r="Y1415" s="88" t="n"/>
      <c r="Z1415" s="89" t="n"/>
      <c r="AB1415" s="30">
        <f>IF($B1415="","",(COUNTIF(C1415:E1415,"?*")&lt;N(INDEX(Setup!$L$6:$L$23,8)))+(COUNTIF(G1415:I1415,"?*")&lt;N(INDEX(Setup!$L$6:$L$23,8)))+(COUNTIF(K1415:M1415,"?*")&lt;N(INDEX(Setup!$L$6:$L$23,8)))+(COUNTIF(O1415:Q1415,"?*")&lt;N(INDEX(Setup!$L$6:$L$23,8)))+(COUNTIF(S1415:U1415,"?*")&lt;N(INDEX(Setup!$L$6:$L$23,8)))+((W1415="")*(INDEX(Setup!$M$6:$M$23,8)="Y"))+((Y1415="")*(INDEX(Setup!$M$6:$M$23,8)="Y")))</f>
        <v/>
      </c>
      <c r="AC1415" s="91">
        <f>IF($B1415="","",IF(AB1415=0,"✓ covered","⚠ "&amp;AB1415&amp;IF(AB1415=1," gap"," gaps")))</f>
        <v/>
      </c>
    </row>
    <row r="1416" ht="17" customHeight="1">
      <c r="A1416" t="n">
        <v>29</v>
      </c>
      <c r="B1416" s="24">
        <f>IF(Setup!$K$14="","",Setup!$K$14)</f>
        <v/>
      </c>
      <c r="C1416" s="88" t="n"/>
      <c r="D1416" s="88" t="n"/>
      <c r="E1416" s="88" t="n"/>
      <c r="F1416" s="89" t="n"/>
      <c r="G1416" s="88" t="n"/>
      <c r="H1416" s="88" t="n"/>
      <c r="I1416" s="88" t="n"/>
      <c r="J1416" s="89" t="n"/>
      <c r="K1416" s="88" t="n"/>
      <c r="L1416" s="88" t="n"/>
      <c r="M1416" s="88" t="n"/>
      <c r="N1416" s="89" t="n"/>
      <c r="O1416" s="88" t="n"/>
      <c r="P1416" s="88" t="n"/>
      <c r="Q1416" s="88" t="n"/>
      <c r="R1416" s="89" t="n"/>
      <c r="S1416" s="88" t="n"/>
      <c r="T1416" s="88" t="n"/>
      <c r="U1416" s="88" t="n"/>
      <c r="V1416" s="89" t="n"/>
      <c r="W1416" s="88" t="n"/>
      <c r="X1416" s="89" t="n"/>
      <c r="Y1416" s="88" t="n"/>
      <c r="Z1416" s="89" t="n"/>
      <c r="AB1416" s="25">
        <f>IF($B1416="","",(COUNTIF(C1416:E1416,"?*")&lt;N(INDEX(Setup!$L$6:$L$23,9)))+(COUNTIF(G1416:I1416,"?*")&lt;N(INDEX(Setup!$L$6:$L$23,9)))+(COUNTIF(K1416:M1416,"?*")&lt;N(INDEX(Setup!$L$6:$L$23,9)))+(COUNTIF(O1416:Q1416,"?*")&lt;N(INDEX(Setup!$L$6:$L$23,9)))+(COUNTIF(S1416:U1416,"?*")&lt;N(INDEX(Setup!$L$6:$L$23,9)))+((W1416="")*(INDEX(Setup!$M$6:$M$23,9)="Y"))+((Y1416="")*(INDEX(Setup!$M$6:$M$23,9)="Y")))</f>
        <v/>
      </c>
      <c r="AC1416" s="90">
        <f>IF($B1416="","",IF(AB1416=0,"✓ covered","⚠ "&amp;AB1416&amp;IF(AB1416=1," gap"," gaps")))</f>
        <v/>
      </c>
    </row>
    <row r="1417" ht="17" customHeight="1">
      <c r="A1417" t="n">
        <v>29</v>
      </c>
      <c r="B1417" s="29">
        <f>IF(Setup!$K$15="","",Setup!$K$15)</f>
        <v/>
      </c>
      <c r="C1417" s="88" t="n"/>
      <c r="D1417" s="88" t="n"/>
      <c r="E1417" s="88" t="n"/>
      <c r="F1417" s="89" t="n"/>
      <c r="G1417" s="88" t="n"/>
      <c r="H1417" s="88" t="n"/>
      <c r="I1417" s="88" t="n"/>
      <c r="J1417" s="89" t="n"/>
      <c r="K1417" s="88" t="n"/>
      <c r="L1417" s="88" t="n"/>
      <c r="M1417" s="88" t="n"/>
      <c r="N1417" s="89" t="n"/>
      <c r="O1417" s="88" t="n"/>
      <c r="P1417" s="88" t="n"/>
      <c r="Q1417" s="88" t="n"/>
      <c r="R1417" s="89" t="n"/>
      <c r="S1417" s="88" t="n"/>
      <c r="T1417" s="88" t="n"/>
      <c r="U1417" s="88" t="n"/>
      <c r="V1417" s="89" t="n"/>
      <c r="W1417" s="88" t="n"/>
      <c r="X1417" s="89" t="n"/>
      <c r="Y1417" s="88" t="n"/>
      <c r="Z1417" s="89" t="n"/>
      <c r="AB1417" s="30">
        <f>IF($B1417="","",(COUNTIF(C1417:E1417,"?*")&lt;N(INDEX(Setup!$L$6:$L$23,10)))+(COUNTIF(G1417:I1417,"?*")&lt;N(INDEX(Setup!$L$6:$L$23,10)))+(COUNTIF(K1417:M1417,"?*")&lt;N(INDEX(Setup!$L$6:$L$23,10)))+(COUNTIF(O1417:Q1417,"?*")&lt;N(INDEX(Setup!$L$6:$L$23,10)))+(COUNTIF(S1417:U1417,"?*")&lt;N(INDEX(Setup!$L$6:$L$23,10)))+((W1417="")*(INDEX(Setup!$M$6:$M$23,10)="Y"))+((Y1417="")*(INDEX(Setup!$M$6:$M$23,10)="Y")))</f>
        <v/>
      </c>
      <c r="AC1417" s="91">
        <f>IF($B1417="","",IF(AB1417=0,"✓ covered","⚠ "&amp;AB1417&amp;IF(AB1417=1," gap"," gaps")))</f>
        <v/>
      </c>
    </row>
    <row r="1418" ht="17" customHeight="1">
      <c r="A1418" t="n">
        <v>29</v>
      </c>
      <c r="B1418" s="24">
        <f>IF(Setup!$K$16="","",Setup!$K$16)</f>
        <v/>
      </c>
      <c r="C1418" s="88" t="n"/>
      <c r="D1418" s="88" t="n"/>
      <c r="E1418" s="88" t="n"/>
      <c r="F1418" s="89" t="n"/>
      <c r="G1418" s="88" t="n"/>
      <c r="H1418" s="88" t="n"/>
      <c r="I1418" s="88" t="n"/>
      <c r="J1418" s="89" t="n"/>
      <c r="K1418" s="88" t="n"/>
      <c r="L1418" s="88" t="n"/>
      <c r="M1418" s="88" t="n"/>
      <c r="N1418" s="89" t="n"/>
      <c r="O1418" s="88" t="n"/>
      <c r="P1418" s="88" t="n"/>
      <c r="Q1418" s="88" t="n"/>
      <c r="R1418" s="89" t="n"/>
      <c r="S1418" s="88" t="n"/>
      <c r="T1418" s="88" t="n"/>
      <c r="U1418" s="88" t="n"/>
      <c r="V1418" s="89" t="n"/>
      <c r="W1418" s="88" t="n"/>
      <c r="X1418" s="89" t="n"/>
      <c r="Y1418" s="88" t="n"/>
      <c r="Z1418" s="89" t="n"/>
      <c r="AB1418" s="25">
        <f>IF($B1418="","",(COUNTIF(C1418:E1418,"?*")&lt;N(INDEX(Setup!$L$6:$L$23,11)))+(COUNTIF(G1418:I1418,"?*")&lt;N(INDEX(Setup!$L$6:$L$23,11)))+(COUNTIF(K1418:M1418,"?*")&lt;N(INDEX(Setup!$L$6:$L$23,11)))+(COUNTIF(O1418:Q1418,"?*")&lt;N(INDEX(Setup!$L$6:$L$23,11)))+(COUNTIF(S1418:U1418,"?*")&lt;N(INDEX(Setup!$L$6:$L$23,11)))+((W1418="")*(INDEX(Setup!$M$6:$M$23,11)="Y"))+((Y1418="")*(INDEX(Setup!$M$6:$M$23,11)="Y")))</f>
        <v/>
      </c>
      <c r="AC1418" s="90">
        <f>IF($B1418="","",IF(AB1418=0,"✓ covered","⚠ "&amp;AB1418&amp;IF(AB1418=1," gap"," gaps")))</f>
        <v/>
      </c>
    </row>
    <row r="1419" ht="17" customHeight="1">
      <c r="A1419" t="n">
        <v>29</v>
      </c>
      <c r="B1419" s="29">
        <f>IF(Setup!$K$17="","",Setup!$K$17)</f>
        <v/>
      </c>
      <c r="C1419" s="88" t="n"/>
      <c r="D1419" s="88" t="n"/>
      <c r="E1419" s="88" t="n"/>
      <c r="F1419" s="89" t="n"/>
      <c r="G1419" s="88" t="n"/>
      <c r="H1419" s="88" t="n"/>
      <c r="I1419" s="88" t="n"/>
      <c r="J1419" s="89" t="n"/>
      <c r="K1419" s="88" t="n"/>
      <c r="L1419" s="88" t="n"/>
      <c r="M1419" s="88" t="n"/>
      <c r="N1419" s="89" t="n"/>
      <c r="O1419" s="88" t="n"/>
      <c r="P1419" s="88" t="n"/>
      <c r="Q1419" s="88" t="n"/>
      <c r="R1419" s="89" t="n"/>
      <c r="S1419" s="88" t="n"/>
      <c r="T1419" s="88" t="n"/>
      <c r="U1419" s="88" t="n"/>
      <c r="V1419" s="89" t="n"/>
      <c r="W1419" s="88" t="n"/>
      <c r="X1419" s="89" t="n"/>
      <c r="Y1419" s="88" t="n"/>
      <c r="Z1419" s="89" t="n"/>
      <c r="AB1419" s="30">
        <f>IF($B1419="","",(COUNTIF(C1419:E1419,"?*")&lt;N(INDEX(Setup!$L$6:$L$23,12)))+(COUNTIF(G1419:I1419,"?*")&lt;N(INDEX(Setup!$L$6:$L$23,12)))+(COUNTIF(K1419:M1419,"?*")&lt;N(INDEX(Setup!$L$6:$L$23,12)))+(COUNTIF(O1419:Q1419,"?*")&lt;N(INDEX(Setup!$L$6:$L$23,12)))+(COUNTIF(S1419:U1419,"?*")&lt;N(INDEX(Setup!$L$6:$L$23,12)))+((W1419="")*(INDEX(Setup!$M$6:$M$23,12)="Y"))+((Y1419="")*(INDEX(Setup!$M$6:$M$23,12)="Y")))</f>
        <v/>
      </c>
      <c r="AC1419" s="91">
        <f>IF($B1419="","",IF(AB1419=0,"✓ covered","⚠ "&amp;AB1419&amp;IF(AB1419=1," gap"," gaps")))</f>
        <v/>
      </c>
    </row>
    <row r="1420" ht="17" customHeight="1">
      <c r="A1420" t="n">
        <v>29</v>
      </c>
      <c r="B1420" s="24">
        <f>IF(Setup!$K$18="","",Setup!$K$18)</f>
        <v/>
      </c>
      <c r="C1420" s="88" t="n"/>
      <c r="D1420" s="88" t="n"/>
      <c r="E1420" s="88" t="n"/>
      <c r="F1420" s="89" t="n"/>
      <c r="G1420" s="88" t="n"/>
      <c r="H1420" s="88" t="n"/>
      <c r="I1420" s="88" t="n"/>
      <c r="J1420" s="89" t="n"/>
      <c r="K1420" s="88" t="n"/>
      <c r="L1420" s="88" t="n"/>
      <c r="M1420" s="88" t="n"/>
      <c r="N1420" s="89" t="n"/>
      <c r="O1420" s="88" t="n"/>
      <c r="P1420" s="88" t="n"/>
      <c r="Q1420" s="88" t="n"/>
      <c r="R1420" s="89" t="n"/>
      <c r="S1420" s="88" t="n"/>
      <c r="T1420" s="88" t="n"/>
      <c r="U1420" s="88" t="n"/>
      <c r="V1420" s="89" t="n"/>
      <c r="W1420" s="88" t="n"/>
      <c r="X1420" s="89" t="n"/>
      <c r="Y1420" s="88" t="n"/>
      <c r="Z1420" s="89" t="n"/>
      <c r="AB1420" s="25">
        <f>IF($B1420="","",(COUNTIF(C1420:E1420,"?*")&lt;N(INDEX(Setup!$L$6:$L$23,13)))+(COUNTIF(G1420:I1420,"?*")&lt;N(INDEX(Setup!$L$6:$L$23,13)))+(COUNTIF(K1420:M1420,"?*")&lt;N(INDEX(Setup!$L$6:$L$23,13)))+(COUNTIF(O1420:Q1420,"?*")&lt;N(INDEX(Setup!$L$6:$L$23,13)))+(COUNTIF(S1420:U1420,"?*")&lt;N(INDEX(Setup!$L$6:$L$23,13)))+((W1420="")*(INDEX(Setup!$M$6:$M$23,13)="Y"))+((Y1420="")*(INDEX(Setup!$M$6:$M$23,13)="Y")))</f>
        <v/>
      </c>
      <c r="AC1420" s="90">
        <f>IF($B1420="","",IF(AB1420=0,"✓ covered","⚠ "&amp;AB1420&amp;IF(AB1420=1," gap"," gaps")))</f>
        <v/>
      </c>
    </row>
    <row r="1421" ht="17" customHeight="1">
      <c r="A1421" t="n">
        <v>29</v>
      </c>
      <c r="B1421" s="29">
        <f>IF(Setup!$K$19="","",Setup!$K$19)</f>
        <v/>
      </c>
      <c r="C1421" s="88" t="n"/>
      <c r="D1421" s="88" t="n"/>
      <c r="E1421" s="88" t="n"/>
      <c r="F1421" s="89" t="n"/>
      <c r="G1421" s="88" t="n"/>
      <c r="H1421" s="88" t="n"/>
      <c r="I1421" s="88" t="n"/>
      <c r="J1421" s="89" t="n"/>
      <c r="K1421" s="88" t="n"/>
      <c r="L1421" s="88" t="n"/>
      <c r="M1421" s="88" t="n"/>
      <c r="N1421" s="89" t="n"/>
      <c r="O1421" s="88" t="n"/>
      <c r="P1421" s="88" t="n"/>
      <c r="Q1421" s="88" t="n"/>
      <c r="R1421" s="89" t="n"/>
      <c r="S1421" s="88" t="n"/>
      <c r="T1421" s="88" t="n"/>
      <c r="U1421" s="88" t="n"/>
      <c r="V1421" s="89" t="n"/>
      <c r="W1421" s="88" t="n"/>
      <c r="X1421" s="89" t="n"/>
      <c r="Y1421" s="88" t="n"/>
      <c r="Z1421" s="89" t="n"/>
      <c r="AB1421" s="30">
        <f>IF($B1421="","",(COUNTIF(C1421:E1421,"?*")&lt;N(INDEX(Setup!$L$6:$L$23,14)))+(COUNTIF(G1421:I1421,"?*")&lt;N(INDEX(Setup!$L$6:$L$23,14)))+(COUNTIF(K1421:M1421,"?*")&lt;N(INDEX(Setup!$L$6:$L$23,14)))+(COUNTIF(O1421:Q1421,"?*")&lt;N(INDEX(Setup!$L$6:$L$23,14)))+(COUNTIF(S1421:U1421,"?*")&lt;N(INDEX(Setup!$L$6:$L$23,14)))+((W1421="")*(INDEX(Setup!$M$6:$M$23,14)="Y"))+((Y1421="")*(INDEX(Setup!$M$6:$M$23,14)="Y")))</f>
        <v/>
      </c>
      <c r="AC1421" s="91">
        <f>IF($B1421="","",IF(AB1421=0,"✓ covered","⚠ "&amp;AB1421&amp;IF(AB1421=1," gap"," gaps")))</f>
        <v/>
      </c>
    </row>
    <row r="1422" ht="17" customHeight="1">
      <c r="A1422" t="n">
        <v>29</v>
      </c>
      <c r="B1422" s="24">
        <f>IF(Setup!$K$20="","",Setup!$K$20)</f>
        <v/>
      </c>
      <c r="C1422" s="88" t="n"/>
      <c r="D1422" s="88" t="n"/>
      <c r="E1422" s="88" t="n"/>
      <c r="F1422" s="89" t="n"/>
      <c r="G1422" s="88" t="n"/>
      <c r="H1422" s="88" t="n"/>
      <c r="I1422" s="88" t="n"/>
      <c r="J1422" s="89" t="n"/>
      <c r="K1422" s="88" t="n"/>
      <c r="L1422" s="88" t="n"/>
      <c r="M1422" s="88" t="n"/>
      <c r="N1422" s="89" t="n"/>
      <c r="O1422" s="88" t="n"/>
      <c r="P1422" s="88" t="n"/>
      <c r="Q1422" s="88" t="n"/>
      <c r="R1422" s="89" t="n"/>
      <c r="S1422" s="88" t="n"/>
      <c r="T1422" s="88" t="n"/>
      <c r="U1422" s="88" t="n"/>
      <c r="V1422" s="89" t="n"/>
      <c r="W1422" s="88" t="n"/>
      <c r="X1422" s="89" t="n"/>
      <c r="Y1422" s="88" t="n"/>
      <c r="Z1422" s="89" t="n"/>
      <c r="AB1422" s="25">
        <f>IF($B1422="","",(COUNTIF(C1422:E1422,"?*")&lt;N(INDEX(Setup!$L$6:$L$23,15)))+(COUNTIF(G1422:I1422,"?*")&lt;N(INDEX(Setup!$L$6:$L$23,15)))+(COUNTIF(K1422:M1422,"?*")&lt;N(INDEX(Setup!$L$6:$L$23,15)))+(COUNTIF(O1422:Q1422,"?*")&lt;N(INDEX(Setup!$L$6:$L$23,15)))+(COUNTIF(S1422:U1422,"?*")&lt;N(INDEX(Setup!$L$6:$L$23,15)))+((W1422="")*(INDEX(Setup!$M$6:$M$23,15)="Y"))+((Y1422="")*(INDEX(Setup!$M$6:$M$23,15)="Y")))</f>
        <v/>
      </c>
      <c r="AC1422" s="90">
        <f>IF($B1422="","",IF(AB1422=0,"✓ covered","⚠ "&amp;AB1422&amp;IF(AB1422=1," gap"," gaps")))</f>
        <v/>
      </c>
    </row>
    <row r="1423" ht="17" customHeight="1">
      <c r="A1423" t="n">
        <v>29</v>
      </c>
      <c r="B1423" s="29">
        <f>IF(Setup!$K$21="","",Setup!$K$21)</f>
        <v/>
      </c>
      <c r="C1423" s="88" t="n"/>
      <c r="D1423" s="88" t="n"/>
      <c r="E1423" s="88" t="n"/>
      <c r="F1423" s="89" t="n"/>
      <c r="G1423" s="88" t="n"/>
      <c r="H1423" s="88" t="n"/>
      <c r="I1423" s="88" t="n"/>
      <c r="J1423" s="89" t="n"/>
      <c r="K1423" s="88" t="n"/>
      <c r="L1423" s="88" t="n"/>
      <c r="M1423" s="88" t="n"/>
      <c r="N1423" s="89" t="n"/>
      <c r="O1423" s="88" t="n"/>
      <c r="P1423" s="88" t="n"/>
      <c r="Q1423" s="88" t="n"/>
      <c r="R1423" s="89" t="n"/>
      <c r="S1423" s="88" t="n"/>
      <c r="T1423" s="88" t="n"/>
      <c r="U1423" s="88" t="n"/>
      <c r="V1423" s="89" t="n"/>
      <c r="W1423" s="88" t="n"/>
      <c r="X1423" s="89" t="n"/>
      <c r="Y1423" s="88" t="n"/>
      <c r="Z1423" s="89" t="n"/>
      <c r="AB1423" s="30">
        <f>IF($B1423="","",(COUNTIF(C1423:E1423,"?*")&lt;N(INDEX(Setup!$L$6:$L$23,16)))+(COUNTIF(G1423:I1423,"?*")&lt;N(INDEX(Setup!$L$6:$L$23,16)))+(COUNTIF(K1423:M1423,"?*")&lt;N(INDEX(Setup!$L$6:$L$23,16)))+(COUNTIF(O1423:Q1423,"?*")&lt;N(INDEX(Setup!$L$6:$L$23,16)))+(COUNTIF(S1423:U1423,"?*")&lt;N(INDEX(Setup!$L$6:$L$23,16)))+((W1423="")*(INDEX(Setup!$M$6:$M$23,16)="Y"))+((Y1423="")*(INDEX(Setup!$M$6:$M$23,16)="Y")))</f>
        <v/>
      </c>
      <c r="AC1423" s="91">
        <f>IF($B1423="","",IF(AB1423=0,"✓ covered","⚠ "&amp;AB1423&amp;IF(AB1423=1," gap"," gaps")))</f>
        <v/>
      </c>
    </row>
    <row r="1424" ht="17" customHeight="1">
      <c r="A1424" t="n">
        <v>29</v>
      </c>
      <c r="B1424" s="24">
        <f>IF(Setup!$K$22="","",Setup!$K$22)</f>
        <v/>
      </c>
      <c r="C1424" s="88" t="n"/>
      <c r="D1424" s="88" t="n"/>
      <c r="E1424" s="88" t="n"/>
      <c r="F1424" s="89" t="n"/>
      <c r="G1424" s="88" t="n"/>
      <c r="H1424" s="88" t="n"/>
      <c r="I1424" s="88" t="n"/>
      <c r="J1424" s="89" t="n"/>
      <c r="K1424" s="88" t="n"/>
      <c r="L1424" s="88" t="n"/>
      <c r="M1424" s="88" t="n"/>
      <c r="N1424" s="89" t="n"/>
      <c r="O1424" s="88" t="n"/>
      <c r="P1424" s="88" t="n"/>
      <c r="Q1424" s="88" t="n"/>
      <c r="R1424" s="89" t="n"/>
      <c r="S1424" s="88" t="n"/>
      <c r="T1424" s="88" t="n"/>
      <c r="U1424" s="88" t="n"/>
      <c r="V1424" s="89" t="n"/>
      <c r="W1424" s="88" t="n"/>
      <c r="X1424" s="89" t="n"/>
      <c r="Y1424" s="88" t="n"/>
      <c r="Z1424" s="89" t="n"/>
      <c r="AB1424" s="25">
        <f>IF($B1424="","",(COUNTIF(C1424:E1424,"?*")&lt;N(INDEX(Setup!$L$6:$L$23,17)))+(COUNTIF(G1424:I1424,"?*")&lt;N(INDEX(Setup!$L$6:$L$23,17)))+(COUNTIF(K1424:M1424,"?*")&lt;N(INDEX(Setup!$L$6:$L$23,17)))+(COUNTIF(O1424:Q1424,"?*")&lt;N(INDEX(Setup!$L$6:$L$23,17)))+(COUNTIF(S1424:U1424,"?*")&lt;N(INDEX(Setup!$L$6:$L$23,17)))+((W1424="")*(INDEX(Setup!$M$6:$M$23,17)="Y"))+((Y1424="")*(INDEX(Setup!$M$6:$M$23,17)="Y")))</f>
        <v/>
      </c>
      <c r="AC1424" s="90">
        <f>IF($B1424="","",IF(AB1424=0,"✓ covered","⚠ "&amp;AB1424&amp;IF(AB1424=1," gap"," gaps")))</f>
        <v/>
      </c>
    </row>
    <row r="1425" ht="17" customHeight="1">
      <c r="A1425" t="n">
        <v>29</v>
      </c>
      <c r="B1425" s="29">
        <f>IF(Setup!$K$23="","",Setup!$K$23)</f>
        <v/>
      </c>
      <c r="C1425" s="88" t="n"/>
      <c r="D1425" s="88" t="n"/>
      <c r="E1425" s="88" t="n"/>
      <c r="F1425" s="89" t="n"/>
      <c r="G1425" s="88" t="n"/>
      <c r="H1425" s="88" t="n"/>
      <c r="I1425" s="88" t="n"/>
      <c r="J1425" s="89" t="n"/>
      <c r="K1425" s="88" t="n"/>
      <c r="L1425" s="88" t="n"/>
      <c r="M1425" s="88" t="n"/>
      <c r="N1425" s="89" t="n"/>
      <c r="O1425" s="88" t="n"/>
      <c r="P1425" s="88" t="n"/>
      <c r="Q1425" s="88" t="n"/>
      <c r="R1425" s="89" t="n"/>
      <c r="S1425" s="88" t="n"/>
      <c r="T1425" s="88" t="n"/>
      <c r="U1425" s="88" t="n"/>
      <c r="V1425" s="89" t="n"/>
      <c r="W1425" s="88" t="n"/>
      <c r="X1425" s="89" t="n"/>
      <c r="Y1425" s="88" t="n"/>
      <c r="Z1425" s="89" t="n"/>
      <c r="AB1425" s="30">
        <f>IF($B1425="","",(COUNTIF(C1425:E1425,"?*")&lt;N(INDEX(Setup!$L$6:$L$23,18)))+(COUNTIF(G1425:I1425,"?*")&lt;N(INDEX(Setup!$L$6:$L$23,18)))+(COUNTIF(K1425:M1425,"?*")&lt;N(INDEX(Setup!$L$6:$L$23,18)))+(COUNTIF(O1425:Q1425,"?*")&lt;N(INDEX(Setup!$L$6:$L$23,18)))+(COUNTIF(S1425:U1425,"?*")&lt;N(INDEX(Setup!$L$6:$L$23,18)))+((W1425="")*(INDEX(Setup!$M$6:$M$23,18)="Y"))+((Y1425="")*(INDEX(Setup!$M$6:$M$23,18)="Y")))</f>
        <v/>
      </c>
      <c r="AC1425" s="91">
        <f>IF($B1425="","",IF(AB1425=0,"✓ covered","⚠ "&amp;AB1425&amp;IF(AB1425=1," gap"," gaps")))</f>
        <v/>
      </c>
    </row>
    <row r="1426" ht="18" customHeight="1">
      <c r="A1426" t="n">
        <v>29</v>
      </c>
      <c r="B1426" s="78" t="inlineStr">
        <is>
          <t>TEAM AVAILABILITY</t>
        </is>
      </c>
      <c r="C1426" s="92" t="inlineStr">
        <is>
          <t>Mon</t>
        </is>
      </c>
      <c r="D1426" s="93" t="n"/>
      <c r="E1426" s="93" t="n"/>
      <c r="F1426" s="94" t="n"/>
      <c r="G1426" s="92" t="inlineStr">
        <is>
          <t>Tue</t>
        </is>
      </c>
      <c r="H1426" s="93" t="n"/>
      <c r="I1426" s="93" t="n"/>
      <c r="J1426" s="94" t="n"/>
      <c r="K1426" s="92" t="inlineStr">
        <is>
          <t>Wed</t>
        </is>
      </c>
      <c r="L1426" s="93" t="n"/>
      <c r="M1426" s="93" t="n"/>
      <c r="N1426" s="94" t="n"/>
      <c r="O1426" s="92" t="inlineStr">
        <is>
          <t>Thu</t>
        </is>
      </c>
      <c r="P1426" s="93" t="n"/>
      <c r="Q1426" s="93" t="n"/>
      <c r="R1426" s="94" t="n"/>
      <c r="S1426" s="92" t="inlineStr">
        <is>
          <t>Fri</t>
        </is>
      </c>
      <c r="T1426" s="93" t="n"/>
      <c r="U1426" s="93" t="n"/>
      <c r="V1426" s="94" t="n"/>
      <c r="W1426" s="95" t="inlineStr">
        <is>
          <t>Sat</t>
        </is>
      </c>
      <c r="X1426" s="96" t="n"/>
      <c r="Y1426" s="95" t="inlineStr">
        <is>
          <t>Sun</t>
        </is>
      </c>
      <c r="Z1426" s="96" t="n"/>
      <c r="AB1426" s="97" t="inlineStr">
        <is>
          <t>Days rostered</t>
        </is>
      </c>
      <c r="AC1426" s="97" t="inlineStr">
        <is>
          <t>Conflicts</t>
        </is>
      </c>
    </row>
    <row r="1427" ht="15" customHeight="1">
      <c r="A1427" t="n">
        <v>29</v>
      </c>
      <c r="B1427" s="35">
        <f>IF(Setup!$B$6="","",Setup!$B$6)</f>
        <v/>
      </c>
      <c r="C1427" s="98" t="n"/>
      <c r="D1427" s="99" t="n"/>
      <c r="E1427" s="99" t="n"/>
      <c r="F1427" s="100" t="n"/>
      <c r="G1427" s="98" t="n"/>
      <c r="H1427" s="99" t="n"/>
      <c r="I1427" s="99" t="n"/>
      <c r="J1427" s="100" t="n"/>
      <c r="K1427" s="98" t="n"/>
      <c r="L1427" s="99" t="n"/>
      <c r="M1427" s="99" t="n"/>
      <c r="N1427" s="100" t="n"/>
      <c r="O1427" s="98" t="n"/>
      <c r="P1427" s="99" t="n"/>
      <c r="Q1427" s="99" t="n"/>
      <c r="R1427" s="100" t="n"/>
      <c r="S1427" s="98" t="n"/>
      <c r="T1427" s="99" t="n"/>
      <c r="U1427" s="99" t="n"/>
      <c r="V1427" s="100" t="n"/>
      <c r="W1427" s="98" t="n"/>
      <c r="X1427" s="100" t="n"/>
      <c r="Y1427" s="98" t="n"/>
      <c r="Z1427" s="100" t="n"/>
      <c r="AB1427" s="101">
        <f>IF($B1427="","",(COUNTIF(C1408:E1425,$B1427)+COUNTIF(C1408:E1425,$B1427&amp;" ~*")&gt;0)+(COUNTIF(G1408:I1425,$B1427)+COUNTIF(G1408:I1425,$B1427&amp;" ~*")&gt;0)+(COUNTIF(K1408:M1425,$B1427)+COUNTIF(K1408:M1425,$B1427&amp;" ~*")&gt;0)+(COUNTIF(O1408:Q1425,$B1427)+COUNTIF(O1408:Q1425,$B1427&amp;" ~*")&gt;0)+(COUNTIF(S1408:U1425,$B1427)+COUNTIF(S1408:U1425,$B1427&amp;" ~*")&gt;0)+(COUNTIF(W1408:W1425,$B1427)+COUNTIF(W1408:W1425,$B1427&amp;" ~*")&gt;0)+(COUNTIF(Y1408:Y1425,$B1427)+COUNTIF(Y1408:Y1425,$B1427&amp;" ~*")&gt;0))</f>
        <v/>
      </c>
      <c r="AC1427" s="36">
        <f>IF($B1427="","",(IFERROR(INDEX(Setup!$G$33:$G$40,MATCH(C1427,Setup!$B$33:$B$40,0)),0)=1)*(COUNTIF(C1408:E1425,$B1427)+COUNTIF(C1408:E1425,$B1427&amp;" ~*")&gt;0)+(IFERROR(INDEX(Setup!$G$33:$G$40,MATCH(G1427,Setup!$B$33:$B$40,0)),0)=1)*(COUNTIF(G1408:I1425,$B1427)+COUNTIF(G1408:I1425,$B1427&amp;" ~*")&gt;0)+(IFERROR(INDEX(Setup!$G$33:$G$40,MATCH(K1427,Setup!$B$33:$B$40,0)),0)=1)*(COUNTIF(K1408:M1425,$B1427)+COUNTIF(K1408:M1425,$B1427&amp;" ~*")&gt;0)+(IFERROR(INDEX(Setup!$G$33:$G$40,MATCH(O1427,Setup!$B$33:$B$40,0)),0)=1)*(COUNTIF(O1408:Q1425,$B1427)+COUNTIF(O1408:Q1425,$B1427&amp;" ~*")&gt;0)+(IFERROR(INDEX(Setup!$G$33:$G$40,MATCH(S1427,Setup!$B$33:$B$40,0)),0)=1)*(COUNTIF(S1408:U1425,$B1427)+COUNTIF(S1408:U1425,$B1427&amp;" ~*")&gt;0)+(IFERROR(INDEX(Setup!$G$33:$G$40,MATCH(W1427,Setup!$B$33:$B$40,0)),0)=1)*(COUNTIF(W1408:W1425,$B1427)+COUNTIF(W1408:W1425,$B1427&amp;" ~*")&gt;0)+(IFERROR(INDEX(Setup!$G$33:$G$40,MATCH(Y1427,Setup!$B$33:$B$40,0)),0)=1)*(COUNTIF(Y1408:Y1425,$B1427)+COUNTIF(Y1408:Y1425,$B1427&amp;" ~*")&gt;0))</f>
        <v/>
      </c>
    </row>
    <row r="1428" ht="15" customHeight="1">
      <c r="A1428" t="n">
        <v>29</v>
      </c>
      <c r="B1428" s="37">
        <f>IF(Setup!$B$7="","",Setup!$B$7)</f>
        <v/>
      </c>
      <c r="C1428" s="102" t="n"/>
      <c r="D1428" s="103" t="n"/>
      <c r="E1428" s="103" t="n"/>
      <c r="F1428" s="104" t="n"/>
      <c r="G1428" s="102" t="n"/>
      <c r="H1428" s="103" t="n"/>
      <c r="I1428" s="103" t="n"/>
      <c r="J1428" s="104" t="n"/>
      <c r="K1428" s="102" t="n"/>
      <c r="L1428" s="103" t="n"/>
      <c r="M1428" s="103" t="n"/>
      <c r="N1428" s="104" t="n"/>
      <c r="O1428" s="102" t="n"/>
      <c r="P1428" s="103" t="n"/>
      <c r="Q1428" s="103" t="n"/>
      <c r="R1428" s="104" t="n"/>
      <c r="S1428" s="102" t="n"/>
      <c r="T1428" s="103" t="n"/>
      <c r="U1428" s="103" t="n"/>
      <c r="V1428" s="104" t="n"/>
      <c r="W1428" s="102" t="n"/>
      <c r="X1428" s="104" t="n"/>
      <c r="Y1428" s="102" t="n"/>
      <c r="Z1428" s="104" t="n"/>
      <c r="AB1428" s="105">
        <f>IF($B1428="","",(COUNTIF(C1408:E1425,$B1428)+COUNTIF(C1408:E1425,$B1428&amp;" ~*")&gt;0)+(COUNTIF(G1408:I1425,$B1428)+COUNTIF(G1408:I1425,$B1428&amp;" ~*")&gt;0)+(COUNTIF(K1408:M1425,$B1428)+COUNTIF(K1408:M1425,$B1428&amp;" ~*")&gt;0)+(COUNTIF(O1408:Q1425,$B1428)+COUNTIF(O1408:Q1425,$B1428&amp;" ~*")&gt;0)+(COUNTIF(S1408:U1425,$B1428)+COUNTIF(S1408:U1425,$B1428&amp;" ~*")&gt;0)+(COUNTIF(W1408:W1425,$B1428)+COUNTIF(W1408:W1425,$B1428&amp;" ~*")&gt;0)+(COUNTIF(Y1408:Y1425,$B1428)+COUNTIF(Y1408:Y1425,$B1428&amp;" ~*")&gt;0))</f>
        <v/>
      </c>
      <c r="AC1428" s="38">
        <f>IF($B1428="","",(IFERROR(INDEX(Setup!$G$33:$G$40,MATCH(C1428,Setup!$B$33:$B$40,0)),0)=1)*(COUNTIF(C1408:E1425,$B1428)+COUNTIF(C1408:E1425,$B1428&amp;" ~*")&gt;0)+(IFERROR(INDEX(Setup!$G$33:$G$40,MATCH(G1428,Setup!$B$33:$B$40,0)),0)=1)*(COUNTIF(G1408:I1425,$B1428)+COUNTIF(G1408:I1425,$B1428&amp;" ~*")&gt;0)+(IFERROR(INDEX(Setup!$G$33:$G$40,MATCH(K1428,Setup!$B$33:$B$40,0)),0)=1)*(COUNTIF(K1408:M1425,$B1428)+COUNTIF(K1408:M1425,$B1428&amp;" ~*")&gt;0)+(IFERROR(INDEX(Setup!$G$33:$G$40,MATCH(O1428,Setup!$B$33:$B$40,0)),0)=1)*(COUNTIF(O1408:Q1425,$B1428)+COUNTIF(O1408:Q1425,$B1428&amp;" ~*")&gt;0)+(IFERROR(INDEX(Setup!$G$33:$G$40,MATCH(S1428,Setup!$B$33:$B$40,0)),0)=1)*(COUNTIF(S1408:U1425,$B1428)+COUNTIF(S1408:U1425,$B1428&amp;" ~*")&gt;0)+(IFERROR(INDEX(Setup!$G$33:$G$40,MATCH(W1428,Setup!$B$33:$B$40,0)),0)=1)*(COUNTIF(W1408:W1425,$B1428)+COUNTIF(W1408:W1425,$B1428&amp;" ~*")&gt;0)+(IFERROR(INDEX(Setup!$G$33:$G$40,MATCH(Y1428,Setup!$B$33:$B$40,0)),0)=1)*(COUNTIF(Y1408:Y1425,$B1428)+COUNTIF(Y1408:Y1425,$B1428&amp;" ~*")&gt;0))</f>
        <v/>
      </c>
    </row>
    <row r="1429" ht="15" customHeight="1">
      <c r="A1429" t="n">
        <v>29</v>
      </c>
      <c r="B1429" s="35">
        <f>IF(Setup!$B$8="","",Setup!$B$8)</f>
        <v/>
      </c>
      <c r="C1429" s="98" t="n"/>
      <c r="D1429" s="99" t="n"/>
      <c r="E1429" s="99" t="n"/>
      <c r="F1429" s="100" t="n"/>
      <c r="G1429" s="98" t="n"/>
      <c r="H1429" s="99" t="n"/>
      <c r="I1429" s="99" t="n"/>
      <c r="J1429" s="100" t="n"/>
      <c r="K1429" s="98" t="n"/>
      <c r="L1429" s="99" t="n"/>
      <c r="M1429" s="99" t="n"/>
      <c r="N1429" s="100" t="n"/>
      <c r="O1429" s="98" t="n"/>
      <c r="P1429" s="99" t="n"/>
      <c r="Q1429" s="99" t="n"/>
      <c r="R1429" s="100" t="n"/>
      <c r="S1429" s="98" t="n"/>
      <c r="T1429" s="99" t="n"/>
      <c r="U1429" s="99" t="n"/>
      <c r="V1429" s="100" t="n"/>
      <c r="W1429" s="98" t="n"/>
      <c r="X1429" s="100" t="n"/>
      <c r="Y1429" s="98" t="n"/>
      <c r="Z1429" s="100" t="n"/>
      <c r="AB1429" s="101">
        <f>IF($B1429="","",(COUNTIF(C1408:E1425,$B1429)+COUNTIF(C1408:E1425,$B1429&amp;" ~*")&gt;0)+(COUNTIF(G1408:I1425,$B1429)+COUNTIF(G1408:I1425,$B1429&amp;" ~*")&gt;0)+(COUNTIF(K1408:M1425,$B1429)+COUNTIF(K1408:M1425,$B1429&amp;" ~*")&gt;0)+(COUNTIF(O1408:Q1425,$B1429)+COUNTIF(O1408:Q1425,$B1429&amp;" ~*")&gt;0)+(COUNTIF(S1408:U1425,$B1429)+COUNTIF(S1408:U1425,$B1429&amp;" ~*")&gt;0)+(COUNTIF(W1408:W1425,$B1429)+COUNTIF(W1408:W1425,$B1429&amp;" ~*")&gt;0)+(COUNTIF(Y1408:Y1425,$B1429)+COUNTIF(Y1408:Y1425,$B1429&amp;" ~*")&gt;0))</f>
        <v/>
      </c>
      <c r="AC1429" s="36">
        <f>IF($B1429="","",(IFERROR(INDEX(Setup!$G$33:$G$40,MATCH(C1429,Setup!$B$33:$B$40,0)),0)=1)*(COUNTIF(C1408:E1425,$B1429)+COUNTIF(C1408:E1425,$B1429&amp;" ~*")&gt;0)+(IFERROR(INDEX(Setup!$G$33:$G$40,MATCH(G1429,Setup!$B$33:$B$40,0)),0)=1)*(COUNTIF(G1408:I1425,$B1429)+COUNTIF(G1408:I1425,$B1429&amp;" ~*")&gt;0)+(IFERROR(INDEX(Setup!$G$33:$G$40,MATCH(K1429,Setup!$B$33:$B$40,0)),0)=1)*(COUNTIF(K1408:M1425,$B1429)+COUNTIF(K1408:M1425,$B1429&amp;" ~*")&gt;0)+(IFERROR(INDEX(Setup!$G$33:$G$40,MATCH(O1429,Setup!$B$33:$B$40,0)),0)=1)*(COUNTIF(O1408:Q1425,$B1429)+COUNTIF(O1408:Q1425,$B1429&amp;" ~*")&gt;0)+(IFERROR(INDEX(Setup!$G$33:$G$40,MATCH(S1429,Setup!$B$33:$B$40,0)),0)=1)*(COUNTIF(S1408:U1425,$B1429)+COUNTIF(S1408:U1425,$B1429&amp;" ~*")&gt;0)+(IFERROR(INDEX(Setup!$G$33:$G$40,MATCH(W1429,Setup!$B$33:$B$40,0)),0)=1)*(COUNTIF(W1408:W1425,$B1429)+COUNTIF(W1408:W1425,$B1429&amp;" ~*")&gt;0)+(IFERROR(INDEX(Setup!$G$33:$G$40,MATCH(Y1429,Setup!$B$33:$B$40,0)),0)=1)*(COUNTIF(Y1408:Y1425,$B1429)+COUNTIF(Y1408:Y1425,$B1429&amp;" ~*")&gt;0))</f>
        <v/>
      </c>
    </row>
    <row r="1430" ht="15" customHeight="1">
      <c r="A1430" t="n">
        <v>29</v>
      </c>
      <c r="B1430" s="37">
        <f>IF(Setup!$B$9="","",Setup!$B$9)</f>
        <v/>
      </c>
      <c r="C1430" s="102" t="n"/>
      <c r="D1430" s="103" t="n"/>
      <c r="E1430" s="103" t="n"/>
      <c r="F1430" s="104" t="n"/>
      <c r="G1430" s="102" t="n"/>
      <c r="H1430" s="103" t="n"/>
      <c r="I1430" s="103" t="n"/>
      <c r="J1430" s="104" t="n"/>
      <c r="K1430" s="102" t="n"/>
      <c r="L1430" s="103" t="n"/>
      <c r="M1430" s="103" t="n"/>
      <c r="N1430" s="104" t="n"/>
      <c r="O1430" s="102" t="n"/>
      <c r="P1430" s="103" t="n"/>
      <c r="Q1430" s="103" t="n"/>
      <c r="R1430" s="104" t="n"/>
      <c r="S1430" s="102" t="n"/>
      <c r="T1430" s="103" t="n"/>
      <c r="U1430" s="103" t="n"/>
      <c r="V1430" s="104" t="n"/>
      <c r="W1430" s="102" t="n"/>
      <c r="X1430" s="104" t="n"/>
      <c r="Y1430" s="102" t="n"/>
      <c r="Z1430" s="104" t="n"/>
      <c r="AB1430" s="105">
        <f>IF($B1430="","",(COUNTIF(C1408:E1425,$B1430)+COUNTIF(C1408:E1425,$B1430&amp;" ~*")&gt;0)+(COUNTIF(G1408:I1425,$B1430)+COUNTIF(G1408:I1425,$B1430&amp;" ~*")&gt;0)+(COUNTIF(K1408:M1425,$B1430)+COUNTIF(K1408:M1425,$B1430&amp;" ~*")&gt;0)+(COUNTIF(O1408:Q1425,$B1430)+COUNTIF(O1408:Q1425,$B1430&amp;" ~*")&gt;0)+(COUNTIF(S1408:U1425,$B1430)+COUNTIF(S1408:U1425,$B1430&amp;" ~*")&gt;0)+(COUNTIF(W1408:W1425,$B1430)+COUNTIF(W1408:W1425,$B1430&amp;" ~*")&gt;0)+(COUNTIF(Y1408:Y1425,$B1430)+COUNTIF(Y1408:Y1425,$B1430&amp;" ~*")&gt;0))</f>
        <v/>
      </c>
      <c r="AC1430" s="38">
        <f>IF($B1430="","",(IFERROR(INDEX(Setup!$G$33:$G$40,MATCH(C1430,Setup!$B$33:$B$40,0)),0)=1)*(COUNTIF(C1408:E1425,$B1430)+COUNTIF(C1408:E1425,$B1430&amp;" ~*")&gt;0)+(IFERROR(INDEX(Setup!$G$33:$G$40,MATCH(G1430,Setup!$B$33:$B$40,0)),0)=1)*(COUNTIF(G1408:I1425,$B1430)+COUNTIF(G1408:I1425,$B1430&amp;" ~*")&gt;0)+(IFERROR(INDEX(Setup!$G$33:$G$40,MATCH(K1430,Setup!$B$33:$B$40,0)),0)=1)*(COUNTIF(K1408:M1425,$B1430)+COUNTIF(K1408:M1425,$B1430&amp;" ~*")&gt;0)+(IFERROR(INDEX(Setup!$G$33:$G$40,MATCH(O1430,Setup!$B$33:$B$40,0)),0)=1)*(COUNTIF(O1408:Q1425,$B1430)+COUNTIF(O1408:Q1425,$B1430&amp;" ~*")&gt;0)+(IFERROR(INDEX(Setup!$G$33:$G$40,MATCH(S1430,Setup!$B$33:$B$40,0)),0)=1)*(COUNTIF(S1408:U1425,$B1430)+COUNTIF(S1408:U1425,$B1430&amp;" ~*")&gt;0)+(IFERROR(INDEX(Setup!$G$33:$G$40,MATCH(W1430,Setup!$B$33:$B$40,0)),0)=1)*(COUNTIF(W1408:W1425,$B1430)+COUNTIF(W1408:W1425,$B1430&amp;" ~*")&gt;0)+(IFERROR(INDEX(Setup!$G$33:$G$40,MATCH(Y1430,Setup!$B$33:$B$40,0)),0)=1)*(COUNTIF(Y1408:Y1425,$B1430)+COUNTIF(Y1408:Y1425,$B1430&amp;" ~*")&gt;0))</f>
        <v/>
      </c>
    </row>
    <row r="1431" ht="15" customHeight="1">
      <c r="A1431" t="n">
        <v>29</v>
      </c>
      <c r="B1431" s="35">
        <f>IF(Setup!$B$10="","",Setup!$B$10)</f>
        <v/>
      </c>
      <c r="C1431" s="98" t="n"/>
      <c r="D1431" s="99" t="n"/>
      <c r="E1431" s="99" t="n"/>
      <c r="F1431" s="100" t="n"/>
      <c r="G1431" s="98" t="n"/>
      <c r="H1431" s="99" t="n"/>
      <c r="I1431" s="99" t="n"/>
      <c r="J1431" s="100" t="n"/>
      <c r="K1431" s="98" t="n"/>
      <c r="L1431" s="99" t="n"/>
      <c r="M1431" s="99" t="n"/>
      <c r="N1431" s="100" t="n"/>
      <c r="O1431" s="98" t="n"/>
      <c r="P1431" s="99" t="n"/>
      <c r="Q1431" s="99" t="n"/>
      <c r="R1431" s="100" t="n"/>
      <c r="S1431" s="98" t="n"/>
      <c r="T1431" s="99" t="n"/>
      <c r="U1431" s="99" t="n"/>
      <c r="V1431" s="100" t="n"/>
      <c r="W1431" s="98" t="n"/>
      <c r="X1431" s="100" t="n"/>
      <c r="Y1431" s="98" t="n"/>
      <c r="Z1431" s="100" t="n"/>
      <c r="AB1431" s="101">
        <f>IF($B1431="","",(COUNTIF(C1408:E1425,$B1431)+COUNTIF(C1408:E1425,$B1431&amp;" ~*")&gt;0)+(COUNTIF(G1408:I1425,$B1431)+COUNTIF(G1408:I1425,$B1431&amp;" ~*")&gt;0)+(COUNTIF(K1408:M1425,$B1431)+COUNTIF(K1408:M1425,$B1431&amp;" ~*")&gt;0)+(COUNTIF(O1408:Q1425,$B1431)+COUNTIF(O1408:Q1425,$B1431&amp;" ~*")&gt;0)+(COUNTIF(S1408:U1425,$B1431)+COUNTIF(S1408:U1425,$B1431&amp;" ~*")&gt;0)+(COUNTIF(W1408:W1425,$B1431)+COUNTIF(W1408:W1425,$B1431&amp;" ~*")&gt;0)+(COUNTIF(Y1408:Y1425,$B1431)+COUNTIF(Y1408:Y1425,$B1431&amp;" ~*")&gt;0))</f>
        <v/>
      </c>
      <c r="AC1431" s="36">
        <f>IF($B1431="","",(IFERROR(INDEX(Setup!$G$33:$G$40,MATCH(C1431,Setup!$B$33:$B$40,0)),0)=1)*(COUNTIF(C1408:E1425,$B1431)+COUNTIF(C1408:E1425,$B1431&amp;" ~*")&gt;0)+(IFERROR(INDEX(Setup!$G$33:$G$40,MATCH(G1431,Setup!$B$33:$B$40,0)),0)=1)*(COUNTIF(G1408:I1425,$B1431)+COUNTIF(G1408:I1425,$B1431&amp;" ~*")&gt;0)+(IFERROR(INDEX(Setup!$G$33:$G$40,MATCH(K1431,Setup!$B$33:$B$40,0)),0)=1)*(COUNTIF(K1408:M1425,$B1431)+COUNTIF(K1408:M1425,$B1431&amp;" ~*")&gt;0)+(IFERROR(INDEX(Setup!$G$33:$G$40,MATCH(O1431,Setup!$B$33:$B$40,0)),0)=1)*(COUNTIF(O1408:Q1425,$B1431)+COUNTIF(O1408:Q1425,$B1431&amp;" ~*")&gt;0)+(IFERROR(INDEX(Setup!$G$33:$G$40,MATCH(S1431,Setup!$B$33:$B$40,0)),0)=1)*(COUNTIF(S1408:U1425,$B1431)+COUNTIF(S1408:U1425,$B1431&amp;" ~*")&gt;0)+(IFERROR(INDEX(Setup!$G$33:$G$40,MATCH(W1431,Setup!$B$33:$B$40,0)),0)=1)*(COUNTIF(W1408:W1425,$B1431)+COUNTIF(W1408:W1425,$B1431&amp;" ~*")&gt;0)+(IFERROR(INDEX(Setup!$G$33:$G$40,MATCH(Y1431,Setup!$B$33:$B$40,0)),0)=1)*(COUNTIF(Y1408:Y1425,$B1431)+COUNTIF(Y1408:Y1425,$B1431&amp;" ~*")&gt;0))</f>
        <v/>
      </c>
    </row>
    <row r="1432" ht="15" customHeight="1">
      <c r="A1432" t="n">
        <v>29</v>
      </c>
      <c r="B1432" s="37">
        <f>IF(Setup!$B$11="","",Setup!$B$11)</f>
        <v/>
      </c>
      <c r="C1432" s="102" t="n"/>
      <c r="D1432" s="103" t="n"/>
      <c r="E1432" s="103" t="n"/>
      <c r="F1432" s="104" t="n"/>
      <c r="G1432" s="102" t="n"/>
      <c r="H1432" s="103" t="n"/>
      <c r="I1432" s="103" t="n"/>
      <c r="J1432" s="104" t="n"/>
      <c r="K1432" s="102" t="n"/>
      <c r="L1432" s="103" t="n"/>
      <c r="M1432" s="103" t="n"/>
      <c r="N1432" s="104" t="n"/>
      <c r="O1432" s="102" t="n"/>
      <c r="P1432" s="103" t="n"/>
      <c r="Q1432" s="103" t="n"/>
      <c r="R1432" s="104" t="n"/>
      <c r="S1432" s="102" t="n"/>
      <c r="T1432" s="103" t="n"/>
      <c r="U1432" s="103" t="n"/>
      <c r="V1432" s="104" t="n"/>
      <c r="W1432" s="102" t="n"/>
      <c r="X1432" s="104" t="n"/>
      <c r="Y1432" s="102" t="n"/>
      <c r="Z1432" s="104" t="n"/>
      <c r="AB1432" s="105">
        <f>IF($B1432="","",(COUNTIF(C1408:E1425,$B1432)+COUNTIF(C1408:E1425,$B1432&amp;" ~*")&gt;0)+(COUNTIF(G1408:I1425,$B1432)+COUNTIF(G1408:I1425,$B1432&amp;" ~*")&gt;0)+(COUNTIF(K1408:M1425,$B1432)+COUNTIF(K1408:M1425,$B1432&amp;" ~*")&gt;0)+(COUNTIF(O1408:Q1425,$B1432)+COUNTIF(O1408:Q1425,$B1432&amp;" ~*")&gt;0)+(COUNTIF(S1408:U1425,$B1432)+COUNTIF(S1408:U1425,$B1432&amp;" ~*")&gt;0)+(COUNTIF(W1408:W1425,$B1432)+COUNTIF(W1408:W1425,$B1432&amp;" ~*")&gt;0)+(COUNTIF(Y1408:Y1425,$B1432)+COUNTIF(Y1408:Y1425,$B1432&amp;" ~*")&gt;0))</f>
        <v/>
      </c>
      <c r="AC1432" s="38">
        <f>IF($B1432="","",(IFERROR(INDEX(Setup!$G$33:$G$40,MATCH(C1432,Setup!$B$33:$B$40,0)),0)=1)*(COUNTIF(C1408:E1425,$B1432)+COUNTIF(C1408:E1425,$B1432&amp;" ~*")&gt;0)+(IFERROR(INDEX(Setup!$G$33:$G$40,MATCH(G1432,Setup!$B$33:$B$40,0)),0)=1)*(COUNTIF(G1408:I1425,$B1432)+COUNTIF(G1408:I1425,$B1432&amp;" ~*")&gt;0)+(IFERROR(INDEX(Setup!$G$33:$G$40,MATCH(K1432,Setup!$B$33:$B$40,0)),0)=1)*(COUNTIF(K1408:M1425,$B1432)+COUNTIF(K1408:M1425,$B1432&amp;" ~*")&gt;0)+(IFERROR(INDEX(Setup!$G$33:$G$40,MATCH(O1432,Setup!$B$33:$B$40,0)),0)=1)*(COUNTIF(O1408:Q1425,$B1432)+COUNTIF(O1408:Q1425,$B1432&amp;" ~*")&gt;0)+(IFERROR(INDEX(Setup!$G$33:$G$40,MATCH(S1432,Setup!$B$33:$B$40,0)),0)=1)*(COUNTIF(S1408:U1425,$B1432)+COUNTIF(S1408:U1425,$B1432&amp;" ~*")&gt;0)+(IFERROR(INDEX(Setup!$G$33:$G$40,MATCH(W1432,Setup!$B$33:$B$40,0)),0)=1)*(COUNTIF(W1408:W1425,$B1432)+COUNTIF(W1408:W1425,$B1432&amp;" ~*")&gt;0)+(IFERROR(INDEX(Setup!$G$33:$G$40,MATCH(Y1432,Setup!$B$33:$B$40,0)),0)=1)*(COUNTIF(Y1408:Y1425,$B1432)+COUNTIF(Y1408:Y1425,$B1432&amp;" ~*")&gt;0))</f>
        <v/>
      </c>
    </row>
    <row r="1433" ht="15" customHeight="1">
      <c r="A1433" t="n">
        <v>29</v>
      </c>
      <c r="B1433" s="35">
        <f>IF(Setup!$B$12="","",Setup!$B$12)</f>
        <v/>
      </c>
      <c r="C1433" s="98" t="n"/>
      <c r="D1433" s="99" t="n"/>
      <c r="E1433" s="99" t="n"/>
      <c r="F1433" s="100" t="n"/>
      <c r="G1433" s="98" t="n"/>
      <c r="H1433" s="99" t="n"/>
      <c r="I1433" s="99" t="n"/>
      <c r="J1433" s="100" t="n"/>
      <c r="K1433" s="98" t="n"/>
      <c r="L1433" s="99" t="n"/>
      <c r="M1433" s="99" t="n"/>
      <c r="N1433" s="100" t="n"/>
      <c r="O1433" s="98" t="n"/>
      <c r="P1433" s="99" t="n"/>
      <c r="Q1433" s="99" t="n"/>
      <c r="R1433" s="100" t="n"/>
      <c r="S1433" s="98" t="n"/>
      <c r="T1433" s="99" t="n"/>
      <c r="U1433" s="99" t="n"/>
      <c r="V1433" s="100" t="n"/>
      <c r="W1433" s="98" t="n"/>
      <c r="X1433" s="100" t="n"/>
      <c r="Y1433" s="98" t="n"/>
      <c r="Z1433" s="100" t="n"/>
      <c r="AB1433" s="101">
        <f>IF($B1433="","",(COUNTIF(C1408:E1425,$B1433)+COUNTIF(C1408:E1425,$B1433&amp;" ~*")&gt;0)+(COUNTIF(G1408:I1425,$B1433)+COUNTIF(G1408:I1425,$B1433&amp;" ~*")&gt;0)+(COUNTIF(K1408:M1425,$B1433)+COUNTIF(K1408:M1425,$B1433&amp;" ~*")&gt;0)+(COUNTIF(O1408:Q1425,$B1433)+COUNTIF(O1408:Q1425,$B1433&amp;" ~*")&gt;0)+(COUNTIF(S1408:U1425,$B1433)+COUNTIF(S1408:U1425,$B1433&amp;" ~*")&gt;0)+(COUNTIF(W1408:W1425,$B1433)+COUNTIF(W1408:W1425,$B1433&amp;" ~*")&gt;0)+(COUNTIF(Y1408:Y1425,$B1433)+COUNTIF(Y1408:Y1425,$B1433&amp;" ~*")&gt;0))</f>
        <v/>
      </c>
      <c r="AC1433" s="36">
        <f>IF($B1433="","",(IFERROR(INDEX(Setup!$G$33:$G$40,MATCH(C1433,Setup!$B$33:$B$40,0)),0)=1)*(COUNTIF(C1408:E1425,$B1433)+COUNTIF(C1408:E1425,$B1433&amp;" ~*")&gt;0)+(IFERROR(INDEX(Setup!$G$33:$G$40,MATCH(G1433,Setup!$B$33:$B$40,0)),0)=1)*(COUNTIF(G1408:I1425,$B1433)+COUNTIF(G1408:I1425,$B1433&amp;" ~*")&gt;0)+(IFERROR(INDEX(Setup!$G$33:$G$40,MATCH(K1433,Setup!$B$33:$B$40,0)),0)=1)*(COUNTIF(K1408:M1425,$B1433)+COUNTIF(K1408:M1425,$B1433&amp;" ~*")&gt;0)+(IFERROR(INDEX(Setup!$G$33:$G$40,MATCH(O1433,Setup!$B$33:$B$40,0)),0)=1)*(COUNTIF(O1408:Q1425,$B1433)+COUNTIF(O1408:Q1425,$B1433&amp;" ~*")&gt;0)+(IFERROR(INDEX(Setup!$G$33:$G$40,MATCH(S1433,Setup!$B$33:$B$40,0)),0)=1)*(COUNTIF(S1408:U1425,$B1433)+COUNTIF(S1408:U1425,$B1433&amp;" ~*")&gt;0)+(IFERROR(INDEX(Setup!$G$33:$G$40,MATCH(W1433,Setup!$B$33:$B$40,0)),0)=1)*(COUNTIF(W1408:W1425,$B1433)+COUNTIF(W1408:W1425,$B1433&amp;" ~*")&gt;0)+(IFERROR(INDEX(Setup!$G$33:$G$40,MATCH(Y1433,Setup!$B$33:$B$40,0)),0)=1)*(COUNTIF(Y1408:Y1425,$B1433)+COUNTIF(Y1408:Y1425,$B1433&amp;" ~*")&gt;0))</f>
        <v/>
      </c>
    </row>
    <row r="1434" ht="15" customHeight="1">
      <c r="A1434" t="n">
        <v>29</v>
      </c>
      <c r="B1434" s="37">
        <f>IF(Setup!$B$13="","",Setup!$B$13)</f>
        <v/>
      </c>
      <c r="C1434" s="102" t="n"/>
      <c r="D1434" s="103" t="n"/>
      <c r="E1434" s="103" t="n"/>
      <c r="F1434" s="104" t="n"/>
      <c r="G1434" s="102" t="n"/>
      <c r="H1434" s="103" t="n"/>
      <c r="I1434" s="103" t="n"/>
      <c r="J1434" s="104" t="n"/>
      <c r="K1434" s="102" t="n"/>
      <c r="L1434" s="103" t="n"/>
      <c r="M1434" s="103" t="n"/>
      <c r="N1434" s="104" t="n"/>
      <c r="O1434" s="102" t="n"/>
      <c r="P1434" s="103" t="n"/>
      <c r="Q1434" s="103" t="n"/>
      <c r="R1434" s="104" t="n"/>
      <c r="S1434" s="102" t="n"/>
      <c r="T1434" s="103" t="n"/>
      <c r="U1434" s="103" t="n"/>
      <c r="V1434" s="104" t="n"/>
      <c r="W1434" s="102" t="n"/>
      <c r="X1434" s="104" t="n"/>
      <c r="Y1434" s="102" t="n"/>
      <c r="Z1434" s="104" t="n"/>
      <c r="AB1434" s="105">
        <f>IF($B1434="","",(COUNTIF(C1408:E1425,$B1434)+COUNTIF(C1408:E1425,$B1434&amp;" ~*")&gt;0)+(COUNTIF(G1408:I1425,$B1434)+COUNTIF(G1408:I1425,$B1434&amp;" ~*")&gt;0)+(COUNTIF(K1408:M1425,$B1434)+COUNTIF(K1408:M1425,$B1434&amp;" ~*")&gt;0)+(COUNTIF(O1408:Q1425,$B1434)+COUNTIF(O1408:Q1425,$B1434&amp;" ~*")&gt;0)+(COUNTIF(S1408:U1425,$B1434)+COUNTIF(S1408:U1425,$B1434&amp;" ~*")&gt;0)+(COUNTIF(W1408:W1425,$B1434)+COUNTIF(W1408:W1425,$B1434&amp;" ~*")&gt;0)+(COUNTIF(Y1408:Y1425,$B1434)+COUNTIF(Y1408:Y1425,$B1434&amp;" ~*")&gt;0))</f>
        <v/>
      </c>
      <c r="AC1434" s="38">
        <f>IF($B1434="","",(IFERROR(INDEX(Setup!$G$33:$G$40,MATCH(C1434,Setup!$B$33:$B$40,0)),0)=1)*(COUNTIF(C1408:E1425,$B1434)+COUNTIF(C1408:E1425,$B1434&amp;" ~*")&gt;0)+(IFERROR(INDEX(Setup!$G$33:$G$40,MATCH(G1434,Setup!$B$33:$B$40,0)),0)=1)*(COUNTIF(G1408:I1425,$B1434)+COUNTIF(G1408:I1425,$B1434&amp;" ~*")&gt;0)+(IFERROR(INDEX(Setup!$G$33:$G$40,MATCH(K1434,Setup!$B$33:$B$40,0)),0)=1)*(COUNTIF(K1408:M1425,$B1434)+COUNTIF(K1408:M1425,$B1434&amp;" ~*")&gt;0)+(IFERROR(INDEX(Setup!$G$33:$G$40,MATCH(O1434,Setup!$B$33:$B$40,0)),0)=1)*(COUNTIF(O1408:Q1425,$B1434)+COUNTIF(O1408:Q1425,$B1434&amp;" ~*")&gt;0)+(IFERROR(INDEX(Setup!$G$33:$G$40,MATCH(S1434,Setup!$B$33:$B$40,0)),0)=1)*(COUNTIF(S1408:U1425,$B1434)+COUNTIF(S1408:U1425,$B1434&amp;" ~*")&gt;0)+(IFERROR(INDEX(Setup!$G$33:$G$40,MATCH(W1434,Setup!$B$33:$B$40,0)),0)=1)*(COUNTIF(W1408:W1425,$B1434)+COUNTIF(W1408:W1425,$B1434&amp;" ~*")&gt;0)+(IFERROR(INDEX(Setup!$G$33:$G$40,MATCH(Y1434,Setup!$B$33:$B$40,0)),0)=1)*(COUNTIF(Y1408:Y1425,$B1434)+COUNTIF(Y1408:Y1425,$B1434&amp;" ~*")&gt;0))</f>
        <v/>
      </c>
    </row>
    <row r="1435" ht="15" customHeight="1">
      <c r="A1435" t="n">
        <v>29</v>
      </c>
      <c r="B1435" s="35">
        <f>IF(Setup!$B$14="","",Setup!$B$14)</f>
        <v/>
      </c>
      <c r="C1435" s="98" t="n"/>
      <c r="D1435" s="99" t="n"/>
      <c r="E1435" s="99" t="n"/>
      <c r="F1435" s="100" t="n"/>
      <c r="G1435" s="98" t="n"/>
      <c r="H1435" s="99" t="n"/>
      <c r="I1435" s="99" t="n"/>
      <c r="J1435" s="100" t="n"/>
      <c r="K1435" s="98" t="n"/>
      <c r="L1435" s="99" t="n"/>
      <c r="M1435" s="99" t="n"/>
      <c r="N1435" s="100" t="n"/>
      <c r="O1435" s="98" t="n"/>
      <c r="P1435" s="99" t="n"/>
      <c r="Q1435" s="99" t="n"/>
      <c r="R1435" s="100" t="n"/>
      <c r="S1435" s="98" t="n"/>
      <c r="T1435" s="99" t="n"/>
      <c r="U1435" s="99" t="n"/>
      <c r="V1435" s="100" t="n"/>
      <c r="W1435" s="98" t="n"/>
      <c r="X1435" s="100" t="n"/>
      <c r="Y1435" s="98" t="n"/>
      <c r="Z1435" s="100" t="n"/>
      <c r="AB1435" s="101">
        <f>IF($B1435="","",(COUNTIF(C1408:E1425,$B1435)+COUNTIF(C1408:E1425,$B1435&amp;" ~*")&gt;0)+(COUNTIF(G1408:I1425,$B1435)+COUNTIF(G1408:I1425,$B1435&amp;" ~*")&gt;0)+(COUNTIF(K1408:M1425,$B1435)+COUNTIF(K1408:M1425,$B1435&amp;" ~*")&gt;0)+(COUNTIF(O1408:Q1425,$B1435)+COUNTIF(O1408:Q1425,$B1435&amp;" ~*")&gt;0)+(COUNTIF(S1408:U1425,$B1435)+COUNTIF(S1408:U1425,$B1435&amp;" ~*")&gt;0)+(COUNTIF(W1408:W1425,$B1435)+COUNTIF(W1408:W1425,$B1435&amp;" ~*")&gt;0)+(COUNTIF(Y1408:Y1425,$B1435)+COUNTIF(Y1408:Y1425,$B1435&amp;" ~*")&gt;0))</f>
        <v/>
      </c>
      <c r="AC1435" s="36">
        <f>IF($B1435="","",(IFERROR(INDEX(Setup!$G$33:$G$40,MATCH(C1435,Setup!$B$33:$B$40,0)),0)=1)*(COUNTIF(C1408:E1425,$B1435)+COUNTIF(C1408:E1425,$B1435&amp;" ~*")&gt;0)+(IFERROR(INDEX(Setup!$G$33:$G$40,MATCH(G1435,Setup!$B$33:$B$40,0)),0)=1)*(COUNTIF(G1408:I1425,$B1435)+COUNTIF(G1408:I1425,$B1435&amp;" ~*")&gt;0)+(IFERROR(INDEX(Setup!$G$33:$G$40,MATCH(K1435,Setup!$B$33:$B$40,0)),0)=1)*(COUNTIF(K1408:M1425,$B1435)+COUNTIF(K1408:M1425,$B1435&amp;" ~*")&gt;0)+(IFERROR(INDEX(Setup!$G$33:$G$40,MATCH(O1435,Setup!$B$33:$B$40,0)),0)=1)*(COUNTIF(O1408:Q1425,$B1435)+COUNTIF(O1408:Q1425,$B1435&amp;" ~*")&gt;0)+(IFERROR(INDEX(Setup!$G$33:$G$40,MATCH(S1435,Setup!$B$33:$B$40,0)),0)=1)*(COUNTIF(S1408:U1425,$B1435)+COUNTIF(S1408:U1425,$B1435&amp;" ~*")&gt;0)+(IFERROR(INDEX(Setup!$G$33:$G$40,MATCH(W1435,Setup!$B$33:$B$40,0)),0)=1)*(COUNTIF(W1408:W1425,$B1435)+COUNTIF(W1408:W1425,$B1435&amp;" ~*")&gt;0)+(IFERROR(INDEX(Setup!$G$33:$G$40,MATCH(Y1435,Setup!$B$33:$B$40,0)),0)=1)*(COUNTIF(Y1408:Y1425,$B1435)+COUNTIF(Y1408:Y1425,$B1435&amp;" ~*")&gt;0))</f>
        <v/>
      </c>
    </row>
    <row r="1436" ht="15" customHeight="1">
      <c r="A1436" t="n">
        <v>29</v>
      </c>
      <c r="B1436" s="37">
        <f>IF(Setup!$B$15="","",Setup!$B$15)</f>
        <v/>
      </c>
      <c r="C1436" s="102" t="n"/>
      <c r="D1436" s="103" t="n"/>
      <c r="E1436" s="103" t="n"/>
      <c r="F1436" s="104" t="n"/>
      <c r="G1436" s="102" t="n"/>
      <c r="H1436" s="103" t="n"/>
      <c r="I1436" s="103" t="n"/>
      <c r="J1436" s="104" t="n"/>
      <c r="K1436" s="102" t="n"/>
      <c r="L1436" s="103" t="n"/>
      <c r="M1436" s="103" t="n"/>
      <c r="N1436" s="104" t="n"/>
      <c r="O1436" s="102" t="n"/>
      <c r="P1436" s="103" t="n"/>
      <c r="Q1436" s="103" t="n"/>
      <c r="R1436" s="104" t="n"/>
      <c r="S1436" s="102" t="n"/>
      <c r="T1436" s="103" t="n"/>
      <c r="U1436" s="103" t="n"/>
      <c r="V1436" s="104" t="n"/>
      <c r="W1436" s="102" t="n"/>
      <c r="X1436" s="104" t="n"/>
      <c r="Y1436" s="102" t="n"/>
      <c r="Z1436" s="104" t="n"/>
      <c r="AB1436" s="105">
        <f>IF($B1436="","",(COUNTIF(C1408:E1425,$B1436)+COUNTIF(C1408:E1425,$B1436&amp;" ~*")&gt;0)+(COUNTIF(G1408:I1425,$B1436)+COUNTIF(G1408:I1425,$B1436&amp;" ~*")&gt;0)+(COUNTIF(K1408:M1425,$B1436)+COUNTIF(K1408:M1425,$B1436&amp;" ~*")&gt;0)+(COUNTIF(O1408:Q1425,$B1436)+COUNTIF(O1408:Q1425,$B1436&amp;" ~*")&gt;0)+(COUNTIF(S1408:U1425,$B1436)+COUNTIF(S1408:U1425,$B1436&amp;" ~*")&gt;0)+(COUNTIF(W1408:W1425,$B1436)+COUNTIF(W1408:W1425,$B1436&amp;" ~*")&gt;0)+(COUNTIF(Y1408:Y1425,$B1436)+COUNTIF(Y1408:Y1425,$B1436&amp;" ~*")&gt;0))</f>
        <v/>
      </c>
      <c r="AC1436" s="38">
        <f>IF($B1436="","",(IFERROR(INDEX(Setup!$G$33:$G$40,MATCH(C1436,Setup!$B$33:$B$40,0)),0)=1)*(COUNTIF(C1408:E1425,$B1436)+COUNTIF(C1408:E1425,$B1436&amp;" ~*")&gt;0)+(IFERROR(INDEX(Setup!$G$33:$G$40,MATCH(G1436,Setup!$B$33:$B$40,0)),0)=1)*(COUNTIF(G1408:I1425,$B1436)+COUNTIF(G1408:I1425,$B1436&amp;" ~*")&gt;0)+(IFERROR(INDEX(Setup!$G$33:$G$40,MATCH(K1436,Setup!$B$33:$B$40,0)),0)=1)*(COUNTIF(K1408:M1425,$B1436)+COUNTIF(K1408:M1425,$B1436&amp;" ~*")&gt;0)+(IFERROR(INDEX(Setup!$G$33:$G$40,MATCH(O1436,Setup!$B$33:$B$40,0)),0)=1)*(COUNTIF(O1408:Q1425,$B1436)+COUNTIF(O1408:Q1425,$B1436&amp;" ~*")&gt;0)+(IFERROR(INDEX(Setup!$G$33:$G$40,MATCH(S1436,Setup!$B$33:$B$40,0)),0)=1)*(COUNTIF(S1408:U1425,$B1436)+COUNTIF(S1408:U1425,$B1436&amp;" ~*")&gt;0)+(IFERROR(INDEX(Setup!$G$33:$G$40,MATCH(W1436,Setup!$B$33:$B$40,0)),0)=1)*(COUNTIF(W1408:W1425,$B1436)+COUNTIF(W1408:W1425,$B1436&amp;" ~*")&gt;0)+(IFERROR(INDEX(Setup!$G$33:$G$40,MATCH(Y1436,Setup!$B$33:$B$40,0)),0)=1)*(COUNTIF(Y1408:Y1425,$B1436)+COUNTIF(Y1408:Y1425,$B1436&amp;" ~*")&gt;0))</f>
        <v/>
      </c>
    </row>
    <row r="1437" ht="15" customHeight="1">
      <c r="A1437" t="n">
        <v>29</v>
      </c>
      <c r="B1437" s="35">
        <f>IF(Setup!$B$16="","",Setup!$B$16)</f>
        <v/>
      </c>
      <c r="C1437" s="98" t="n"/>
      <c r="D1437" s="99" t="n"/>
      <c r="E1437" s="99" t="n"/>
      <c r="F1437" s="100" t="n"/>
      <c r="G1437" s="98" t="n"/>
      <c r="H1437" s="99" t="n"/>
      <c r="I1437" s="99" t="n"/>
      <c r="J1437" s="100" t="n"/>
      <c r="K1437" s="98" t="n"/>
      <c r="L1437" s="99" t="n"/>
      <c r="M1437" s="99" t="n"/>
      <c r="N1437" s="100" t="n"/>
      <c r="O1437" s="98" t="n"/>
      <c r="P1437" s="99" t="n"/>
      <c r="Q1437" s="99" t="n"/>
      <c r="R1437" s="100" t="n"/>
      <c r="S1437" s="98" t="n"/>
      <c r="T1437" s="99" t="n"/>
      <c r="U1437" s="99" t="n"/>
      <c r="V1437" s="100" t="n"/>
      <c r="W1437" s="98" t="n"/>
      <c r="X1437" s="100" t="n"/>
      <c r="Y1437" s="98" t="n"/>
      <c r="Z1437" s="100" t="n"/>
      <c r="AB1437" s="101">
        <f>IF($B1437="","",(COUNTIF(C1408:E1425,$B1437)+COUNTIF(C1408:E1425,$B1437&amp;" ~*")&gt;0)+(COUNTIF(G1408:I1425,$B1437)+COUNTIF(G1408:I1425,$B1437&amp;" ~*")&gt;0)+(COUNTIF(K1408:M1425,$B1437)+COUNTIF(K1408:M1425,$B1437&amp;" ~*")&gt;0)+(COUNTIF(O1408:Q1425,$B1437)+COUNTIF(O1408:Q1425,$B1437&amp;" ~*")&gt;0)+(COUNTIF(S1408:U1425,$B1437)+COUNTIF(S1408:U1425,$B1437&amp;" ~*")&gt;0)+(COUNTIF(W1408:W1425,$B1437)+COUNTIF(W1408:W1425,$B1437&amp;" ~*")&gt;0)+(COUNTIF(Y1408:Y1425,$B1437)+COUNTIF(Y1408:Y1425,$B1437&amp;" ~*")&gt;0))</f>
        <v/>
      </c>
      <c r="AC1437" s="36">
        <f>IF($B1437="","",(IFERROR(INDEX(Setup!$G$33:$G$40,MATCH(C1437,Setup!$B$33:$B$40,0)),0)=1)*(COUNTIF(C1408:E1425,$B1437)+COUNTIF(C1408:E1425,$B1437&amp;" ~*")&gt;0)+(IFERROR(INDEX(Setup!$G$33:$G$40,MATCH(G1437,Setup!$B$33:$B$40,0)),0)=1)*(COUNTIF(G1408:I1425,$B1437)+COUNTIF(G1408:I1425,$B1437&amp;" ~*")&gt;0)+(IFERROR(INDEX(Setup!$G$33:$G$40,MATCH(K1437,Setup!$B$33:$B$40,0)),0)=1)*(COUNTIF(K1408:M1425,$B1437)+COUNTIF(K1408:M1425,$B1437&amp;" ~*")&gt;0)+(IFERROR(INDEX(Setup!$G$33:$G$40,MATCH(O1437,Setup!$B$33:$B$40,0)),0)=1)*(COUNTIF(O1408:Q1425,$B1437)+COUNTIF(O1408:Q1425,$B1437&amp;" ~*")&gt;0)+(IFERROR(INDEX(Setup!$G$33:$G$40,MATCH(S1437,Setup!$B$33:$B$40,0)),0)=1)*(COUNTIF(S1408:U1425,$B1437)+COUNTIF(S1408:U1425,$B1437&amp;" ~*")&gt;0)+(IFERROR(INDEX(Setup!$G$33:$G$40,MATCH(W1437,Setup!$B$33:$B$40,0)),0)=1)*(COUNTIF(W1408:W1425,$B1437)+COUNTIF(W1408:W1425,$B1437&amp;" ~*")&gt;0)+(IFERROR(INDEX(Setup!$G$33:$G$40,MATCH(Y1437,Setup!$B$33:$B$40,0)),0)=1)*(COUNTIF(Y1408:Y1425,$B1437)+COUNTIF(Y1408:Y1425,$B1437&amp;" ~*")&gt;0))</f>
        <v/>
      </c>
    </row>
    <row r="1438" ht="15" customHeight="1">
      <c r="A1438" t="n">
        <v>29</v>
      </c>
      <c r="B1438" s="37">
        <f>IF(Setup!$B$17="","",Setup!$B$17)</f>
        <v/>
      </c>
      <c r="C1438" s="102" t="n"/>
      <c r="D1438" s="103" t="n"/>
      <c r="E1438" s="103" t="n"/>
      <c r="F1438" s="104" t="n"/>
      <c r="G1438" s="102" t="n"/>
      <c r="H1438" s="103" t="n"/>
      <c r="I1438" s="103" t="n"/>
      <c r="J1438" s="104" t="n"/>
      <c r="K1438" s="102" t="n"/>
      <c r="L1438" s="103" t="n"/>
      <c r="M1438" s="103" t="n"/>
      <c r="N1438" s="104" t="n"/>
      <c r="O1438" s="102" t="n"/>
      <c r="P1438" s="103" t="n"/>
      <c r="Q1438" s="103" t="n"/>
      <c r="R1438" s="104" t="n"/>
      <c r="S1438" s="102" t="n"/>
      <c r="T1438" s="103" t="n"/>
      <c r="U1438" s="103" t="n"/>
      <c r="V1438" s="104" t="n"/>
      <c r="W1438" s="102" t="n"/>
      <c r="X1438" s="104" t="n"/>
      <c r="Y1438" s="102" t="n"/>
      <c r="Z1438" s="104" t="n"/>
      <c r="AB1438" s="105">
        <f>IF($B1438="","",(COUNTIF(C1408:E1425,$B1438)+COUNTIF(C1408:E1425,$B1438&amp;" ~*")&gt;0)+(COUNTIF(G1408:I1425,$B1438)+COUNTIF(G1408:I1425,$B1438&amp;" ~*")&gt;0)+(COUNTIF(K1408:M1425,$B1438)+COUNTIF(K1408:M1425,$B1438&amp;" ~*")&gt;0)+(COUNTIF(O1408:Q1425,$B1438)+COUNTIF(O1408:Q1425,$B1438&amp;" ~*")&gt;0)+(COUNTIF(S1408:U1425,$B1438)+COUNTIF(S1408:U1425,$B1438&amp;" ~*")&gt;0)+(COUNTIF(W1408:W1425,$B1438)+COUNTIF(W1408:W1425,$B1438&amp;" ~*")&gt;0)+(COUNTIF(Y1408:Y1425,$B1438)+COUNTIF(Y1408:Y1425,$B1438&amp;" ~*")&gt;0))</f>
        <v/>
      </c>
      <c r="AC1438" s="38">
        <f>IF($B1438="","",(IFERROR(INDEX(Setup!$G$33:$G$40,MATCH(C1438,Setup!$B$33:$B$40,0)),0)=1)*(COUNTIF(C1408:E1425,$B1438)+COUNTIF(C1408:E1425,$B1438&amp;" ~*")&gt;0)+(IFERROR(INDEX(Setup!$G$33:$G$40,MATCH(G1438,Setup!$B$33:$B$40,0)),0)=1)*(COUNTIF(G1408:I1425,$B1438)+COUNTIF(G1408:I1425,$B1438&amp;" ~*")&gt;0)+(IFERROR(INDEX(Setup!$G$33:$G$40,MATCH(K1438,Setup!$B$33:$B$40,0)),0)=1)*(COUNTIF(K1408:M1425,$B1438)+COUNTIF(K1408:M1425,$B1438&amp;" ~*")&gt;0)+(IFERROR(INDEX(Setup!$G$33:$G$40,MATCH(O1438,Setup!$B$33:$B$40,0)),0)=1)*(COUNTIF(O1408:Q1425,$B1438)+COUNTIF(O1408:Q1425,$B1438&amp;" ~*")&gt;0)+(IFERROR(INDEX(Setup!$G$33:$G$40,MATCH(S1438,Setup!$B$33:$B$40,0)),0)=1)*(COUNTIF(S1408:U1425,$B1438)+COUNTIF(S1408:U1425,$B1438&amp;" ~*")&gt;0)+(IFERROR(INDEX(Setup!$G$33:$G$40,MATCH(W1438,Setup!$B$33:$B$40,0)),0)=1)*(COUNTIF(W1408:W1425,$B1438)+COUNTIF(W1408:W1425,$B1438&amp;" ~*")&gt;0)+(IFERROR(INDEX(Setup!$G$33:$G$40,MATCH(Y1438,Setup!$B$33:$B$40,0)),0)=1)*(COUNTIF(Y1408:Y1425,$B1438)+COUNTIF(Y1408:Y1425,$B1438&amp;" ~*")&gt;0))</f>
        <v/>
      </c>
    </row>
    <row r="1439" ht="15" customHeight="1">
      <c r="A1439" t="n">
        <v>29</v>
      </c>
      <c r="B1439" s="35">
        <f>IF(Setup!$B$18="","",Setup!$B$18)</f>
        <v/>
      </c>
      <c r="C1439" s="98" t="n"/>
      <c r="D1439" s="99" t="n"/>
      <c r="E1439" s="99" t="n"/>
      <c r="F1439" s="100" t="n"/>
      <c r="G1439" s="98" t="n"/>
      <c r="H1439" s="99" t="n"/>
      <c r="I1439" s="99" t="n"/>
      <c r="J1439" s="100" t="n"/>
      <c r="K1439" s="98" t="n"/>
      <c r="L1439" s="99" t="n"/>
      <c r="M1439" s="99" t="n"/>
      <c r="N1439" s="100" t="n"/>
      <c r="O1439" s="98" t="n"/>
      <c r="P1439" s="99" t="n"/>
      <c r="Q1439" s="99" t="n"/>
      <c r="R1439" s="100" t="n"/>
      <c r="S1439" s="98" t="n"/>
      <c r="T1439" s="99" t="n"/>
      <c r="U1439" s="99" t="n"/>
      <c r="V1439" s="100" t="n"/>
      <c r="W1439" s="98" t="n"/>
      <c r="X1439" s="100" t="n"/>
      <c r="Y1439" s="98" t="n"/>
      <c r="Z1439" s="100" t="n"/>
      <c r="AB1439" s="101">
        <f>IF($B1439="","",(COUNTIF(C1408:E1425,$B1439)+COUNTIF(C1408:E1425,$B1439&amp;" ~*")&gt;0)+(COUNTIF(G1408:I1425,$B1439)+COUNTIF(G1408:I1425,$B1439&amp;" ~*")&gt;0)+(COUNTIF(K1408:M1425,$B1439)+COUNTIF(K1408:M1425,$B1439&amp;" ~*")&gt;0)+(COUNTIF(O1408:Q1425,$B1439)+COUNTIF(O1408:Q1425,$B1439&amp;" ~*")&gt;0)+(COUNTIF(S1408:U1425,$B1439)+COUNTIF(S1408:U1425,$B1439&amp;" ~*")&gt;0)+(COUNTIF(W1408:W1425,$B1439)+COUNTIF(W1408:W1425,$B1439&amp;" ~*")&gt;0)+(COUNTIF(Y1408:Y1425,$B1439)+COUNTIF(Y1408:Y1425,$B1439&amp;" ~*")&gt;0))</f>
        <v/>
      </c>
      <c r="AC1439" s="36">
        <f>IF($B1439="","",(IFERROR(INDEX(Setup!$G$33:$G$40,MATCH(C1439,Setup!$B$33:$B$40,0)),0)=1)*(COUNTIF(C1408:E1425,$B1439)+COUNTIF(C1408:E1425,$B1439&amp;" ~*")&gt;0)+(IFERROR(INDEX(Setup!$G$33:$G$40,MATCH(G1439,Setup!$B$33:$B$40,0)),0)=1)*(COUNTIF(G1408:I1425,$B1439)+COUNTIF(G1408:I1425,$B1439&amp;" ~*")&gt;0)+(IFERROR(INDEX(Setup!$G$33:$G$40,MATCH(K1439,Setup!$B$33:$B$40,0)),0)=1)*(COUNTIF(K1408:M1425,$B1439)+COUNTIF(K1408:M1425,$B1439&amp;" ~*")&gt;0)+(IFERROR(INDEX(Setup!$G$33:$G$40,MATCH(O1439,Setup!$B$33:$B$40,0)),0)=1)*(COUNTIF(O1408:Q1425,$B1439)+COUNTIF(O1408:Q1425,$B1439&amp;" ~*")&gt;0)+(IFERROR(INDEX(Setup!$G$33:$G$40,MATCH(S1439,Setup!$B$33:$B$40,0)),0)=1)*(COUNTIF(S1408:U1425,$B1439)+COUNTIF(S1408:U1425,$B1439&amp;" ~*")&gt;0)+(IFERROR(INDEX(Setup!$G$33:$G$40,MATCH(W1439,Setup!$B$33:$B$40,0)),0)=1)*(COUNTIF(W1408:W1425,$B1439)+COUNTIF(W1408:W1425,$B1439&amp;" ~*")&gt;0)+(IFERROR(INDEX(Setup!$G$33:$G$40,MATCH(Y1439,Setup!$B$33:$B$40,0)),0)=1)*(COUNTIF(Y1408:Y1425,$B1439)+COUNTIF(Y1408:Y1425,$B1439&amp;" ~*")&gt;0))</f>
        <v/>
      </c>
    </row>
    <row r="1440" ht="15" customHeight="1">
      <c r="A1440" t="n">
        <v>29</v>
      </c>
      <c r="B1440" s="37">
        <f>IF(Setup!$B$19="","",Setup!$B$19)</f>
        <v/>
      </c>
      <c r="C1440" s="102" t="n"/>
      <c r="D1440" s="103" t="n"/>
      <c r="E1440" s="103" t="n"/>
      <c r="F1440" s="104" t="n"/>
      <c r="G1440" s="102" t="n"/>
      <c r="H1440" s="103" t="n"/>
      <c r="I1440" s="103" t="n"/>
      <c r="J1440" s="104" t="n"/>
      <c r="K1440" s="102" t="n"/>
      <c r="L1440" s="103" t="n"/>
      <c r="M1440" s="103" t="n"/>
      <c r="N1440" s="104" t="n"/>
      <c r="O1440" s="102" t="n"/>
      <c r="P1440" s="103" t="n"/>
      <c r="Q1440" s="103" t="n"/>
      <c r="R1440" s="104" t="n"/>
      <c r="S1440" s="102" t="n"/>
      <c r="T1440" s="103" t="n"/>
      <c r="U1440" s="103" t="n"/>
      <c r="V1440" s="104" t="n"/>
      <c r="W1440" s="102" t="n"/>
      <c r="X1440" s="104" t="n"/>
      <c r="Y1440" s="102" t="n"/>
      <c r="Z1440" s="104" t="n"/>
      <c r="AB1440" s="105">
        <f>IF($B1440="","",(COUNTIF(C1408:E1425,$B1440)+COUNTIF(C1408:E1425,$B1440&amp;" ~*")&gt;0)+(COUNTIF(G1408:I1425,$B1440)+COUNTIF(G1408:I1425,$B1440&amp;" ~*")&gt;0)+(COUNTIF(K1408:M1425,$B1440)+COUNTIF(K1408:M1425,$B1440&amp;" ~*")&gt;0)+(COUNTIF(O1408:Q1425,$B1440)+COUNTIF(O1408:Q1425,$B1440&amp;" ~*")&gt;0)+(COUNTIF(S1408:U1425,$B1440)+COUNTIF(S1408:U1425,$B1440&amp;" ~*")&gt;0)+(COUNTIF(W1408:W1425,$B1440)+COUNTIF(W1408:W1425,$B1440&amp;" ~*")&gt;0)+(COUNTIF(Y1408:Y1425,$B1440)+COUNTIF(Y1408:Y1425,$B1440&amp;" ~*")&gt;0))</f>
        <v/>
      </c>
      <c r="AC1440" s="38">
        <f>IF($B1440="","",(IFERROR(INDEX(Setup!$G$33:$G$40,MATCH(C1440,Setup!$B$33:$B$40,0)),0)=1)*(COUNTIF(C1408:E1425,$B1440)+COUNTIF(C1408:E1425,$B1440&amp;" ~*")&gt;0)+(IFERROR(INDEX(Setup!$G$33:$G$40,MATCH(G1440,Setup!$B$33:$B$40,0)),0)=1)*(COUNTIF(G1408:I1425,$B1440)+COUNTIF(G1408:I1425,$B1440&amp;" ~*")&gt;0)+(IFERROR(INDEX(Setup!$G$33:$G$40,MATCH(K1440,Setup!$B$33:$B$40,0)),0)=1)*(COUNTIF(K1408:M1425,$B1440)+COUNTIF(K1408:M1425,$B1440&amp;" ~*")&gt;0)+(IFERROR(INDEX(Setup!$G$33:$G$40,MATCH(O1440,Setup!$B$33:$B$40,0)),0)=1)*(COUNTIF(O1408:Q1425,$B1440)+COUNTIF(O1408:Q1425,$B1440&amp;" ~*")&gt;0)+(IFERROR(INDEX(Setup!$G$33:$G$40,MATCH(S1440,Setup!$B$33:$B$40,0)),0)=1)*(COUNTIF(S1408:U1425,$B1440)+COUNTIF(S1408:U1425,$B1440&amp;" ~*")&gt;0)+(IFERROR(INDEX(Setup!$G$33:$G$40,MATCH(W1440,Setup!$B$33:$B$40,0)),0)=1)*(COUNTIF(W1408:W1425,$B1440)+COUNTIF(W1408:W1425,$B1440&amp;" ~*")&gt;0)+(IFERROR(INDEX(Setup!$G$33:$G$40,MATCH(Y1440,Setup!$B$33:$B$40,0)),0)=1)*(COUNTIF(Y1408:Y1425,$B1440)+COUNTIF(Y1408:Y1425,$B1440&amp;" ~*")&gt;0))</f>
        <v/>
      </c>
    </row>
    <row r="1441" ht="15" customHeight="1">
      <c r="A1441" t="n">
        <v>29</v>
      </c>
      <c r="B1441" s="35">
        <f>IF(Setup!$B$20="","",Setup!$B$20)</f>
        <v/>
      </c>
      <c r="C1441" s="98" t="n"/>
      <c r="D1441" s="99" t="n"/>
      <c r="E1441" s="99" t="n"/>
      <c r="F1441" s="100" t="n"/>
      <c r="G1441" s="98" t="n"/>
      <c r="H1441" s="99" t="n"/>
      <c r="I1441" s="99" t="n"/>
      <c r="J1441" s="100" t="n"/>
      <c r="K1441" s="98" t="n"/>
      <c r="L1441" s="99" t="n"/>
      <c r="M1441" s="99" t="n"/>
      <c r="N1441" s="100" t="n"/>
      <c r="O1441" s="98" t="n"/>
      <c r="P1441" s="99" t="n"/>
      <c r="Q1441" s="99" t="n"/>
      <c r="R1441" s="100" t="n"/>
      <c r="S1441" s="98" t="n"/>
      <c r="T1441" s="99" t="n"/>
      <c r="U1441" s="99" t="n"/>
      <c r="V1441" s="100" t="n"/>
      <c r="W1441" s="98" t="n"/>
      <c r="X1441" s="100" t="n"/>
      <c r="Y1441" s="98" t="n"/>
      <c r="Z1441" s="100" t="n"/>
      <c r="AB1441" s="101">
        <f>IF($B1441="","",(COUNTIF(C1408:E1425,$B1441)+COUNTIF(C1408:E1425,$B1441&amp;" ~*")&gt;0)+(COUNTIF(G1408:I1425,$B1441)+COUNTIF(G1408:I1425,$B1441&amp;" ~*")&gt;0)+(COUNTIF(K1408:M1425,$B1441)+COUNTIF(K1408:M1425,$B1441&amp;" ~*")&gt;0)+(COUNTIF(O1408:Q1425,$B1441)+COUNTIF(O1408:Q1425,$B1441&amp;" ~*")&gt;0)+(COUNTIF(S1408:U1425,$B1441)+COUNTIF(S1408:U1425,$B1441&amp;" ~*")&gt;0)+(COUNTIF(W1408:W1425,$B1441)+COUNTIF(W1408:W1425,$B1441&amp;" ~*")&gt;0)+(COUNTIF(Y1408:Y1425,$B1441)+COUNTIF(Y1408:Y1425,$B1441&amp;" ~*")&gt;0))</f>
        <v/>
      </c>
      <c r="AC1441" s="36">
        <f>IF($B1441="","",(IFERROR(INDEX(Setup!$G$33:$G$40,MATCH(C1441,Setup!$B$33:$B$40,0)),0)=1)*(COUNTIF(C1408:E1425,$B1441)+COUNTIF(C1408:E1425,$B1441&amp;" ~*")&gt;0)+(IFERROR(INDEX(Setup!$G$33:$G$40,MATCH(G1441,Setup!$B$33:$B$40,0)),0)=1)*(COUNTIF(G1408:I1425,$B1441)+COUNTIF(G1408:I1425,$B1441&amp;" ~*")&gt;0)+(IFERROR(INDEX(Setup!$G$33:$G$40,MATCH(K1441,Setup!$B$33:$B$40,0)),0)=1)*(COUNTIF(K1408:M1425,$B1441)+COUNTIF(K1408:M1425,$B1441&amp;" ~*")&gt;0)+(IFERROR(INDEX(Setup!$G$33:$G$40,MATCH(O1441,Setup!$B$33:$B$40,0)),0)=1)*(COUNTIF(O1408:Q1425,$B1441)+COUNTIF(O1408:Q1425,$B1441&amp;" ~*")&gt;0)+(IFERROR(INDEX(Setup!$G$33:$G$40,MATCH(S1441,Setup!$B$33:$B$40,0)),0)=1)*(COUNTIF(S1408:U1425,$B1441)+COUNTIF(S1408:U1425,$B1441&amp;" ~*")&gt;0)+(IFERROR(INDEX(Setup!$G$33:$G$40,MATCH(W1441,Setup!$B$33:$B$40,0)),0)=1)*(COUNTIF(W1408:W1425,$B1441)+COUNTIF(W1408:W1425,$B1441&amp;" ~*")&gt;0)+(IFERROR(INDEX(Setup!$G$33:$G$40,MATCH(Y1441,Setup!$B$33:$B$40,0)),0)=1)*(COUNTIF(Y1408:Y1425,$B1441)+COUNTIF(Y1408:Y1425,$B1441&amp;" ~*")&gt;0))</f>
        <v/>
      </c>
    </row>
    <row r="1442" ht="15" customHeight="1">
      <c r="A1442" t="n">
        <v>29</v>
      </c>
      <c r="B1442" s="37">
        <f>IF(Setup!$B$21="","",Setup!$B$21)</f>
        <v/>
      </c>
      <c r="C1442" s="102" t="n"/>
      <c r="D1442" s="103" t="n"/>
      <c r="E1442" s="103" t="n"/>
      <c r="F1442" s="104" t="n"/>
      <c r="G1442" s="102" t="n"/>
      <c r="H1442" s="103" t="n"/>
      <c r="I1442" s="103" t="n"/>
      <c r="J1442" s="104" t="n"/>
      <c r="K1442" s="102" t="n"/>
      <c r="L1442" s="103" t="n"/>
      <c r="M1442" s="103" t="n"/>
      <c r="N1442" s="104" t="n"/>
      <c r="O1442" s="102" t="n"/>
      <c r="P1442" s="103" t="n"/>
      <c r="Q1442" s="103" t="n"/>
      <c r="R1442" s="104" t="n"/>
      <c r="S1442" s="102" t="n"/>
      <c r="T1442" s="103" t="n"/>
      <c r="U1442" s="103" t="n"/>
      <c r="V1442" s="104" t="n"/>
      <c r="W1442" s="102" t="n"/>
      <c r="X1442" s="104" t="n"/>
      <c r="Y1442" s="102" t="n"/>
      <c r="Z1442" s="104" t="n"/>
      <c r="AB1442" s="105">
        <f>IF($B1442="","",(COUNTIF(C1408:E1425,$B1442)+COUNTIF(C1408:E1425,$B1442&amp;" ~*")&gt;0)+(COUNTIF(G1408:I1425,$B1442)+COUNTIF(G1408:I1425,$B1442&amp;" ~*")&gt;0)+(COUNTIF(K1408:M1425,$B1442)+COUNTIF(K1408:M1425,$B1442&amp;" ~*")&gt;0)+(COUNTIF(O1408:Q1425,$B1442)+COUNTIF(O1408:Q1425,$B1442&amp;" ~*")&gt;0)+(COUNTIF(S1408:U1425,$B1442)+COUNTIF(S1408:U1425,$B1442&amp;" ~*")&gt;0)+(COUNTIF(W1408:W1425,$B1442)+COUNTIF(W1408:W1425,$B1442&amp;" ~*")&gt;0)+(COUNTIF(Y1408:Y1425,$B1442)+COUNTIF(Y1408:Y1425,$B1442&amp;" ~*")&gt;0))</f>
        <v/>
      </c>
      <c r="AC1442" s="38">
        <f>IF($B1442="","",(IFERROR(INDEX(Setup!$G$33:$G$40,MATCH(C1442,Setup!$B$33:$B$40,0)),0)=1)*(COUNTIF(C1408:E1425,$B1442)+COUNTIF(C1408:E1425,$B1442&amp;" ~*")&gt;0)+(IFERROR(INDEX(Setup!$G$33:$G$40,MATCH(G1442,Setup!$B$33:$B$40,0)),0)=1)*(COUNTIF(G1408:I1425,$B1442)+COUNTIF(G1408:I1425,$B1442&amp;" ~*")&gt;0)+(IFERROR(INDEX(Setup!$G$33:$G$40,MATCH(K1442,Setup!$B$33:$B$40,0)),0)=1)*(COUNTIF(K1408:M1425,$B1442)+COUNTIF(K1408:M1425,$B1442&amp;" ~*")&gt;0)+(IFERROR(INDEX(Setup!$G$33:$G$40,MATCH(O1442,Setup!$B$33:$B$40,0)),0)=1)*(COUNTIF(O1408:Q1425,$B1442)+COUNTIF(O1408:Q1425,$B1442&amp;" ~*")&gt;0)+(IFERROR(INDEX(Setup!$G$33:$G$40,MATCH(S1442,Setup!$B$33:$B$40,0)),0)=1)*(COUNTIF(S1408:U1425,$B1442)+COUNTIF(S1408:U1425,$B1442&amp;" ~*")&gt;0)+(IFERROR(INDEX(Setup!$G$33:$G$40,MATCH(W1442,Setup!$B$33:$B$40,0)),0)=1)*(COUNTIF(W1408:W1425,$B1442)+COUNTIF(W1408:W1425,$B1442&amp;" ~*")&gt;0)+(IFERROR(INDEX(Setup!$G$33:$G$40,MATCH(Y1442,Setup!$B$33:$B$40,0)),0)=1)*(COUNTIF(Y1408:Y1425,$B1442)+COUNTIF(Y1408:Y1425,$B1442&amp;" ~*")&gt;0))</f>
        <v/>
      </c>
    </row>
    <row r="1443" ht="15" customHeight="1">
      <c r="A1443" t="n">
        <v>29</v>
      </c>
      <c r="B1443" s="35">
        <f>IF(Setup!$B$22="","",Setup!$B$22)</f>
        <v/>
      </c>
      <c r="C1443" s="98" t="n"/>
      <c r="D1443" s="99" t="n"/>
      <c r="E1443" s="99" t="n"/>
      <c r="F1443" s="100" t="n"/>
      <c r="G1443" s="98" t="n"/>
      <c r="H1443" s="99" t="n"/>
      <c r="I1443" s="99" t="n"/>
      <c r="J1443" s="100" t="n"/>
      <c r="K1443" s="98" t="n"/>
      <c r="L1443" s="99" t="n"/>
      <c r="M1443" s="99" t="n"/>
      <c r="N1443" s="100" t="n"/>
      <c r="O1443" s="98" t="n"/>
      <c r="P1443" s="99" t="n"/>
      <c r="Q1443" s="99" t="n"/>
      <c r="R1443" s="100" t="n"/>
      <c r="S1443" s="98" t="n"/>
      <c r="T1443" s="99" t="n"/>
      <c r="U1443" s="99" t="n"/>
      <c r="V1443" s="100" t="n"/>
      <c r="W1443" s="98" t="n"/>
      <c r="X1443" s="100" t="n"/>
      <c r="Y1443" s="98" t="n"/>
      <c r="Z1443" s="100" t="n"/>
      <c r="AB1443" s="101">
        <f>IF($B1443="","",(COUNTIF(C1408:E1425,$B1443)+COUNTIF(C1408:E1425,$B1443&amp;" ~*")&gt;0)+(COUNTIF(G1408:I1425,$B1443)+COUNTIF(G1408:I1425,$B1443&amp;" ~*")&gt;0)+(COUNTIF(K1408:M1425,$B1443)+COUNTIF(K1408:M1425,$B1443&amp;" ~*")&gt;0)+(COUNTIF(O1408:Q1425,$B1443)+COUNTIF(O1408:Q1425,$B1443&amp;" ~*")&gt;0)+(COUNTIF(S1408:U1425,$B1443)+COUNTIF(S1408:U1425,$B1443&amp;" ~*")&gt;0)+(COUNTIF(W1408:W1425,$B1443)+COUNTIF(W1408:W1425,$B1443&amp;" ~*")&gt;0)+(COUNTIF(Y1408:Y1425,$B1443)+COUNTIF(Y1408:Y1425,$B1443&amp;" ~*")&gt;0))</f>
        <v/>
      </c>
      <c r="AC1443" s="36">
        <f>IF($B1443="","",(IFERROR(INDEX(Setup!$G$33:$G$40,MATCH(C1443,Setup!$B$33:$B$40,0)),0)=1)*(COUNTIF(C1408:E1425,$B1443)+COUNTIF(C1408:E1425,$B1443&amp;" ~*")&gt;0)+(IFERROR(INDEX(Setup!$G$33:$G$40,MATCH(G1443,Setup!$B$33:$B$40,0)),0)=1)*(COUNTIF(G1408:I1425,$B1443)+COUNTIF(G1408:I1425,$B1443&amp;" ~*")&gt;0)+(IFERROR(INDEX(Setup!$G$33:$G$40,MATCH(K1443,Setup!$B$33:$B$40,0)),0)=1)*(COUNTIF(K1408:M1425,$B1443)+COUNTIF(K1408:M1425,$B1443&amp;" ~*")&gt;0)+(IFERROR(INDEX(Setup!$G$33:$G$40,MATCH(O1443,Setup!$B$33:$B$40,0)),0)=1)*(COUNTIF(O1408:Q1425,$B1443)+COUNTIF(O1408:Q1425,$B1443&amp;" ~*")&gt;0)+(IFERROR(INDEX(Setup!$G$33:$G$40,MATCH(S1443,Setup!$B$33:$B$40,0)),0)=1)*(COUNTIF(S1408:U1425,$B1443)+COUNTIF(S1408:U1425,$B1443&amp;" ~*")&gt;0)+(IFERROR(INDEX(Setup!$G$33:$G$40,MATCH(W1443,Setup!$B$33:$B$40,0)),0)=1)*(COUNTIF(W1408:W1425,$B1443)+COUNTIF(W1408:W1425,$B1443&amp;" ~*")&gt;0)+(IFERROR(INDEX(Setup!$G$33:$G$40,MATCH(Y1443,Setup!$B$33:$B$40,0)),0)=1)*(COUNTIF(Y1408:Y1425,$B1443)+COUNTIF(Y1408:Y1425,$B1443&amp;" ~*")&gt;0))</f>
        <v/>
      </c>
    </row>
    <row r="1444" ht="15" customHeight="1">
      <c r="A1444" t="n">
        <v>29</v>
      </c>
      <c r="B1444" s="37">
        <f>IF(Setup!$B$23="","",Setup!$B$23)</f>
        <v/>
      </c>
      <c r="C1444" s="102" t="n"/>
      <c r="D1444" s="103" t="n"/>
      <c r="E1444" s="103" t="n"/>
      <c r="F1444" s="104" t="n"/>
      <c r="G1444" s="102" t="n"/>
      <c r="H1444" s="103" t="n"/>
      <c r="I1444" s="103" t="n"/>
      <c r="J1444" s="104" t="n"/>
      <c r="K1444" s="102" t="n"/>
      <c r="L1444" s="103" t="n"/>
      <c r="M1444" s="103" t="n"/>
      <c r="N1444" s="104" t="n"/>
      <c r="O1444" s="102" t="n"/>
      <c r="P1444" s="103" t="n"/>
      <c r="Q1444" s="103" t="n"/>
      <c r="R1444" s="104" t="n"/>
      <c r="S1444" s="102" t="n"/>
      <c r="T1444" s="103" t="n"/>
      <c r="U1444" s="103" t="n"/>
      <c r="V1444" s="104" t="n"/>
      <c r="W1444" s="102" t="n"/>
      <c r="X1444" s="104" t="n"/>
      <c r="Y1444" s="102" t="n"/>
      <c r="Z1444" s="104" t="n"/>
      <c r="AB1444" s="105">
        <f>IF($B1444="","",(COUNTIF(C1408:E1425,$B1444)+COUNTIF(C1408:E1425,$B1444&amp;" ~*")&gt;0)+(COUNTIF(G1408:I1425,$B1444)+COUNTIF(G1408:I1425,$B1444&amp;" ~*")&gt;0)+(COUNTIF(K1408:M1425,$B1444)+COUNTIF(K1408:M1425,$B1444&amp;" ~*")&gt;0)+(COUNTIF(O1408:Q1425,$B1444)+COUNTIF(O1408:Q1425,$B1444&amp;" ~*")&gt;0)+(COUNTIF(S1408:U1425,$B1444)+COUNTIF(S1408:U1425,$B1444&amp;" ~*")&gt;0)+(COUNTIF(W1408:W1425,$B1444)+COUNTIF(W1408:W1425,$B1444&amp;" ~*")&gt;0)+(COUNTIF(Y1408:Y1425,$B1444)+COUNTIF(Y1408:Y1425,$B1444&amp;" ~*")&gt;0))</f>
        <v/>
      </c>
      <c r="AC1444" s="38">
        <f>IF($B1444="","",(IFERROR(INDEX(Setup!$G$33:$G$40,MATCH(C1444,Setup!$B$33:$B$40,0)),0)=1)*(COUNTIF(C1408:E1425,$B1444)+COUNTIF(C1408:E1425,$B1444&amp;" ~*")&gt;0)+(IFERROR(INDEX(Setup!$G$33:$G$40,MATCH(G1444,Setup!$B$33:$B$40,0)),0)=1)*(COUNTIF(G1408:I1425,$B1444)+COUNTIF(G1408:I1425,$B1444&amp;" ~*")&gt;0)+(IFERROR(INDEX(Setup!$G$33:$G$40,MATCH(K1444,Setup!$B$33:$B$40,0)),0)=1)*(COUNTIF(K1408:M1425,$B1444)+COUNTIF(K1408:M1425,$B1444&amp;" ~*")&gt;0)+(IFERROR(INDEX(Setup!$G$33:$G$40,MATCH(O1444,Setup!$B$33:$B$40,0)),0)=1)*(COUNTIF(O1408:Q1425,$B1444)+COUNTIF(O1408:Q1425,$B1444&amp;" ~*")&gt;0)+(IFERROR(INDEX(Setup!$G$33:$G$40,MATCH(S1444,Setup!$B$33:$B$40,0)),0)=1)*(COUNTIF(S1408:U1425,$B1444)+COUNTIF(S1408:U1425,$B1444&amp;" ~*")&gt;0)+(IFERROR(INDEX(Setup!$G$33:$G$40,MATCH(W1444,Setup!$B$33:$B$40,0)),0)=1)*(COUNTIF(W1408:W1425,$B1444)+COUNTIF(W1408:W1425,$B1444&amp;" ~*")&gt;0)+(IFERROR(INDEX(Setup!$G$33:$G$40,MATCH(Y1444,Setup!$B$33:$B$40,0)),0)=1)*(COUNTIF(Y1408:Y1425,$B1444)+COUNTIF(Y1408:Y1425,$B1444&amp;" ~*")&gt;0))</f>
        <v/>
      </c>
    </row>
    <row r="1445" ht="15" customHeight="1">
      <c r="A1445" t="n">
        <v>29</v>
      </c>
      <c r="B1445" s="35">
        <f>IF(Setup!$B$24="","",Setup!$B$24)</f>
        <v/>
      </c>
      <c r="C1445" s="98" t="n"/>
      <c r="D1445" s="99" t="n"/>
      <c r="E1445" s="99" t="n"/>
      <c r="F1445" s="100" t="n"/>
      <c r="G1445" s="98" t="n"/>
      <c r="H1445" s="99" t="n"/>
      <c r="I1445" s="99" t="n"/>
      <c r="J1445" s="100" t="n"/>
      <c r="K1445" s="98" t="n"/>
      <c r="L1445" s="99" t="n"/>
      <c r="M1445" s="99" t="n"/>
      <c r="N1445" s="100" t="n"/>
      <c r="O1445" s="98" t="n"/>
      <c r="P1445" s="99" t="n"/>
      <c r="Q1445" s="99" t="n"/>
      <c r="R1445" s="100" t="n"/>
      <c r="S1445" s="98" t="n"/>
      <c r="T1445" s="99" t="n"/>
      <c r="U1445" s="99" t="n"/>
      <c r="V1445" s="100" t="n"/>
      <c r="W1445" s="98" t="n"/>
      <c r="X1445" s="100" t="n"/>
      <c r="Y1445" s="98" t="n"/>
      <c r="Z1445" s="100" t="n"/>
      <c r="AB1445" s="101">
        <f>IF($B1445="","",(COUNTIF(C1408:E1425,$B1445)+COUNTIF(C1408:E1425,$B1445&amp;" ~*")&gt;0)+(COUNTIF(G1408:I1425,$B1445)+COUNTIF(G1408:I1425,$B1445&amp;" ~*")&gt;0)+(COUNTIF(K1408:M1425,$B1445)+COUNTIF(K1408:M1425,$B1445&amp;" ~*")&gt;0)+(COUNTIF(O1408:Q1425,$B1445)+COUNTIF(O1408:Q1425,$B1445&amp;" ~*")&gt;0)+(COUNTIF(S1408:U1425,$B1445)+COUNTIF(S1408:U1425,$B1445&amp;" ~*")&gt;0)+(COUNTIF(W1408:W1425,$B1445)+COUNTIF(W1408:W1425,$B1445&amp;" ~*")&gt;0)+(COUNTIF(Y1408:Y1425,$B1445)+COUNTIF(Y1408:Y1425,$B1445&amp;" ~*")&gt;0))</f>
        <v/>
      </c>
      <c r="AC1445" s="36">
        <f>IF($B1445="","",(IFERROR(INDEX(Setup!$G$33:$G$40,MATCH(C1445,Setup!$B$33:$B$40,0)),0)=1)*(COUNTIF(C1408:E1425,$B1445)+COUNTIF(C1408:E1425,$B1445&amp;" ~*")&gt;0)+(IFERROR(INDEX(Setup!$G$33:$G$40,MATCH(G1445,Setup!$B$33:$B$40,0)),0)=1)*(COUNTIF(G1408:I1425,$B1445)+COUNTIF(G1408:I1425,$B1445&amp;" ~*")&gt;0)+(IFERROR(INDEX(Setup!$G$33:$G$40,MATCH(K1445,Setup!$B$33:$B$40,0)),0)=1)*(COUNTIF(K1408:M1425,$B1445)+COUNTIF(K1408:M1425,$B1445&amp;" ~*")&gt;0)+(IFERROR(INDEX(Setup!$G$33:$G$40,MATCH(O1445,Setup!$B$33:$B$40,0)),0)=1)*(COUNTIF(O1408:Q1425,$B1445)+COUNTIF(O1408:Q1425,$B1445&amp;" ~*")&gt;0)+(IFERROR(INDEX(Setup!$G$33:$G$40,MATCH(S1445,Setup!$B$33:$B$40,0)),0)=1)*(COUNTIF(S1408:U1425,$B1445)+COUNTIF(S1408:U1425,$B1445&amp;" ~*")&gt;0)+(IFERROR(INDEX(Setup!$G$33:$G$40,MATCH(W1445,Setup!$B$33:$B$40,0)),0)=1)*(COUNTIF(W1408:W1425,$B1445)+COUNTIF(W1408:W1425,$B1445&amp;" ~*")&gt;0)+(IFERROR(INDEX(Setup!$G$33:$G$40,MATCH(Y1445,Setup!$B$33:$B$40,0)),0)=1)*(COUNTIF(Y1408:Y1425,$B1445)+COUNTIF(Y1408:Y1425,$B1445&amp;" ~*")&gt;0))</f>
        <v/>
      </c>
    </row>
    <row r="1446" ht="15" customHeight="1">
      <c r="A1446" t="n">
        <v>29</v>
      </c>
      <c r="B1446" s="37">
        <f>IF(Setup!$B$25="","",Setup!$B$25)</f>
        <v/>
      </c>
      <c r="C1446" s="102" t="n"/>
      <c r="D1446" s="103" t="n"/>
      <c r="E1446" s="103" t="n"/>
      <c r="F1446" s="104" t="n"/>
      <c r="G1446" s="102" t="n"/>
      <c r="H1446" s="103" t="n"/>
      <c r="I1446" s="103" t="n"/>
      <c r="J1446" s="104" t="n"/>
      <c r="K1446" s="102" t="n"/>
      <c r="L1446" s="103" t="n"/>
      <c r="M1446" s="103" t="n"/>
      <c r="N1446" s="104" t="n"/>
      <c r="O1446" s="102" t="n"/>
      <c r="P1446" s="103" t="n"/>
      <c r="Q1446" s="103" t="n"/>
      <c r="R1446" s="104" t="n"/>
      <c r="S1446" s="102" t="n"/>
      <c r="T1446" s="103" t="n"/>
      <c r="U1446" s="103" t="n"/>
      <c r="V1446" s="104" t="n"/>
      <c r="W1446" s="102" t="n"/>
      <c r="X1446" s="104" t="n"/>
      <c r="Y1446" s="102" t="n"/>
      <c r="Z1446" s="104" t="n"/>
      <c r="AB1446" s="105">
        <f>IF($B1446="","",(COUNTIF(C1408:E1425,$B1446)+COUNTIF(C1408:E1425,$B1446&amp;" ~*")&gt;0)+(COUNTIF(G1408:I1425,$B1446)+COUNTIF(G1408:I1425,$B1446&amp;" ~*")&gt;0)+(COUNTIF(K1408:M1425,$B1446)+COUNTIF(K1408:M1425,$B1446&amp;" ~*")&gt;0)+(COUNTIF(O1408:Q1425,$B1446)+COUNTIF(O1408:Q1425,$B1446&amp;" ~*")&gt;0)+(COUNTIF(S1408:U1425,$B1446)+COUNTIF(S1408:U1425,$B1446&amp;" ~*")&gt;0)+(COUNTIF(W1408:W1425,$B1446)+COUNTIF(W1408:W1425,$B1446&amp;" ~*")&gt;0)+(COUNTIF(Y1408:Y1425,$B1446)+COUNTIF(Y1408:Y1425,$B1446&amp;" ~*")&gt;0))</f>
        <v/>
      </c>
      <c r="AC1446" s="38">
        <f>IF($B1446="","",(IFERROR(INDEX(Setup!$G$33:$G$40,MATCH(C1446,Setup!$B$33:$B$40,0)),0)=1)*(COUNTIF(C1408:E1425,$B1446)+COUNTIF(C1408:E1425,$B1446&amp;" ~*")&gt;0)+(IFERROR(INDEX(Setup!$G$33:$G$40,MATCH(G1446,Setup!$B$33:$B$40,0)),0)=1)*(COUNTIF(G1408:I1425,$B1446)+COUNTIF(G1408:I1425,$B1446&amp;" ~*")&gt;0)+(IFERROR(INDEX(Setup!$G$33:$G$40,MATCH(K1446,Setup!$B$33:$B$40,0)),0)=1)*(COUNTIF(K1408:M1425,$B1446)+COUNTIF(K1408:M1425,$B1446&amp;" ~*")&gt;0)+(IFERROR(INDEX(Setup!$G$33:$G$40,MATCH(O1446,Setup!$B$33:$B$40,0)),0)=1)*(COUNTIF(O1408:Q1425,$B1446)+COUNTIF(O1408:Q1425,$B1446&amp;" ~*")&gt;0)+(IFERROR(INDEX(Setup!$G$33:$G$40,MATCH(S1446,Setup!$B$33:$B$40,0)),0)=1)*(COUNTIF(S1408:U1425,$B1446)+COUNTIF(S1408:U1425,$B1446&amp;" ~*")&gt;0)+(IFERROR(INDEX(Setup!$G$33:$G$40,MATCH(W1446,Setup!$B$33:$B$40,0)),0)=1)*(COUNTIF(W1408:W1425,$B1446)+COUNTIF(W1408:W1425,$B1446&amp;" ~*")&gt;0)+(IFERROR(INDEX(Setup!$G$33:$G$40,MATCH(Y1446,Setup!$B$33:$B$40,0)),0)=1)*(COUNTIF(Y1408:Y1425,$B1446)+COUNTIF(Y1408:Y1425,$B1446&amp;" ~*")&gt;0))</f>
        <v/>
      </c>
    </row>
    <row r="1447" ht="15" customHeight="1">
      <c r="A1447" t="n">
        <v>29</v>
      </c>
      <c r="B1447" s="35">
        <f>IF(Setup!$B$26="","",Setup!$B$26)</f>
        <v/>
      </c>
      <c r="C1447" s="98" t="n"/>
      <c r="D1447" s="99" t="n"/>
      <c r="E1447" s="99" t="n"/>
      <c r="F1447" s="100" t="n"/>
      <c r="G1447" s="98" t="n"/>
      <c r="H1447" s="99" t="n"/>
      <c r="I1447" s="99" t="n"/>
      <c r="J1447" s="100" t="n"/>
      <c r="K1447" s="98" t="n"/>
      <c r="L1447" s="99" t="n"/>
      <c r="M1447" s="99" t="n"/>
      <c r="N1447" s="100" t="n"/>
      <c r="O1447" s="98" t="n"/>
      <c r="P1447" s="99" t="n"/>
      <c r="Q1447" s="99" t="n"/>
      <c r="R1447" s="100" t="n"/>
      <c r="S1447" s="98" t="n"/>
      <c r="T1447" s="99" t="n"/>
      <c r="U1447" s="99" t="n"/>
      <c r="V1447" s="100" t="n"/>
      <c r="W1447" s="98" t="n"/>
      <c r="X1447" s="100" t="n"/>
      <c r="Y1447" s="98" t="n"/>
      <c r="Z1447" s="100" t="n"/>
      <c r="AB1447" s="101">
        <f>IF($B1447="","",(COUNTIF(C1408:E1425,$B1447)+COUNTIF(C1408:E1425,$B1447&amp;" ~*")&gt;0)+(COUNTIF(G1408:I1425,$B1447)+COUNTIF(G1408:I1425,$B1447&amp;" ~*")&gt;0)+(COUNTIF(K1408:M1425,$B1447)+COUNTIF(K1408:M1425,$B1447&amp;" ~*")&gt;0)+(COUNTIF(O1408:Q1425,$B1447)+COUNTIF(O1408:Q1425,$B1447&amp;" ~*")&gt;0)+(COUNTIF(S1408:U1425,$B1447)+COUNTIF(S1408:U1425,$B1447&amp;" ~*")&gt;0)+(COUNTIF(W1408:W1425,$B1447)+COUNTIF(W1408:W1425,$B1447&amp;" ~*")&gt;0)+(COUNTIF(Y1408:Y1425,$B1447)+COUNTIF(Y1408:Y1425,$B1447&amp;" ~*")&gt;0))</f>
        <v/>
      </c>
      <c r="AC1447" s="36">
        <f>IF($B1447="","",(IFERROR(INDEX(Setup!$G$33:$G$40,MATCH(C1447,Setup!$B$33:$B$40,0)),0)=1)*(COUNTIF(C1408:E1425,$B1447)+COUNTIF(C1408:E1425,$B1447&amp;" ~*")&gt;0)+(IFERROR(INDEX(Setup!$G$33:$G$40,MATCH(G1447,Setup!$B$33:$B$40,0)),0)=1)*(COUNTIF(G1408:I1425,$B1447)+COUNTIF(G1408:I1425,$B1447&amp;" ~*")&gt;0)+(IFERROR(INDEX(Setup!$G$33:$G$40,MATCH(K1447,Setup!$B$33:$B$40,0)),0)=1)*(COUNTIF(K1408:M1425,$B1447)+COUNTIF(K1408:M1425,$B1447&amp;" ~*")&gt;0)+(IFERROR(INDEX(Setup!$G$33:$G$40,MATCH(O1447,Setup!$B$33:$B$40,0)),0)=1)*(COUNTIF(O1408:Q1425,$B1447)+COUNTIF(O1408:Q1425,$B1447&amp;" ~*")&gt;0)+(IFERROR(INDEX(Setup!$G$33:$G$40,MATCH(S1447,Setup!$B$33:$B$40,0)),0)=1)*(COUNTIF(S1408:U1425,$B1447)+COUNTIF(S1408:U1425,$B1447&amp;" ~*")&gt;0)+(IFERROR(INDEX(Setup!$G$33:$G$40,MATCH(W1447,Setup!$B$33:$B$40,0)),0)=1)*(COUNTIF(W1408:W1425,$B1447)+COUNTIF(W1408:W1425,$B1447&amp;" ~*")&gt;0)+(IFERROR(INDEX(Setup!$G$33:$G$40,MATCH(Y1447,Setup!$B$33:$B$40,0)),0)=1)*(COUNTIF(Y1408:Y1425,$B1447)+COUNTIF(Y1408:Y1425,$B1447&amp;" ~*")&gt;0))</f>
        <v/>
      </c>
    </row>
    <row r="1448" ht="15" customHeight="1">
      <c r="A1448" t="n">
        <v>29</v>
      </c>
      <c r="B1448" s="37">
        <f>IF(Setup!$B$27="","",Setup!$B$27)</f>
        <v/>
      </c>
      <c r="C1448" s="102" t="n"/>
      <c r="D1448" s="103" t="n"/>
      <c r="E1448" s="103" t="n"/>
      <c r="F1448" s="104" t="n"/>
      <c r="G1448" s="102" t="n"/>
      <c r="H1448" s="103" t="n"/>
      <c r="I1448" s="103" t="n"/>
      <c r="J1448" s="104" t="n"/>
      <c r="K1448" s="102" t="n"/>
      <c r="L1448" s="103" t="n"/>
      <c r="M1448" s="103" t="n"/>
      <c r="N1448" s="104" t="n"/>
      <c r="O1448" s="102" t="n"/>
      <c r="P1448" s="103" t="n"/>
      <c r="Q1448" s="103" t="n"/>
      <c r="R1448" s="104" t="n"/>
      <c r="S1448" s="102" t="n"/>
      <c r="T1448" s="103" t="n"/>
      <c r="U1448" s="103" t="n"/>
      <c r="V1448" s="104" t="n"/>
      <c r="W1448" s="102" t="n"/>
      <c r="X1448" s="104" t="n"/>
      <c r="Y1448" s="102" t="n"/>
      <c r="Z1448" s="104" t="n"/>
      <c r="AB1448" s="105">
        <f>IF($B1448="","",(COUNTIF(C1408:E1425,$B1448)+COUNTIF(C1408:E1425,$B1448&amp;" ~*")&gt;0)+(COUNTIF(G1408:I1425,$B1448)+COUNTIF(G1408:I1425,$B1448&amp;" ~*")&gt;0)+(COUNTIF(K1408:M1425,$B1448)+COUNTIF(K1408:M1425,$B1448&amp;" ~*")&gt;0)+(COUNTIF(O1408:Q1425,$B1448)+COUNTIF(O1408:Q1425,$B1448&amp;" ~*")&gt;0)+(COUNTIF(S1408:U1425,$B1448)+COUNTIF(S1408:U1425,$B1448&amp;" ~*")&gt;0)+(COUNTIF(W1408:W1425,$B1448)+COUNTIF(W1408:W1425,$B1448&amp;" ~*")&gt;0)+(COUNTIF(Y1408:Y1425,$B1448)+COUNTIF(Y1408:Y1425,$B1448&amp;" ~*")&gt;0))</f>
        <v/>
      </c>
      <c r="AC1448" s="38">
        <f>IF($B1448="","",(IFERROR(INDEX(Setup!$G$33:$G$40,MATCH(C1448,Setup!$B$33:$B$40,0)),0)=1)*(COUNTIF(C1408:E1425,$B1448)+COUNTIF(C1408:E1425,$B1448&amp;" ~*")&gt;0)+(IFERROR(INDEX(Setup!$G$33:$G$40,MATCH(G1448,Setup!$B$33:$B$40,0)),0)=1)*(COUNTIF(G1408:I1425,$B1448)+COUNTIF(G1408:I1425,$B1448&amp;" ~*")&gt;0)+(IFERROR(INDEX(Setup!$G$33:$G$40,MATCH(K1448,Setup!$B$33:$B$40,0)),0)=1)*(COUNTIF(K1408:M1425,$B1448)+COUNTIF(K1408:M1425,$B1448&amp;" ~*")&gt;0)+(IFERROR(INDEX(Setup!$G$33:$G$40,MATCH(O1448,Setup!$B$33:$B$40,0)),0)=1)*(COUNTIF(O1408:Q1425,$B1448)+COUNTIF(O1408:Q1425,$B1448&amp;" ~*")&gt;0)+(IFERROR(INDEX(Setup!$G$33:$G$40,MATCH(S1448,Setup!$B$33:$B$40,0)),0)=1)*(COUNTIF(S1408:U1425,$B1448)+COUNTIF(S1408:U1425,$B1448&amp;" ~*")&gt;0)+(IFERROR(INDEX(Setup!$G$33:$G$40,MATCH(W1448,Setup!$B$33:$B$40,0)),0)=1)*(COUNTIF(W1408:W1425,$B1448)+COUNTIF(W1408:W1425,$B1448&amp;" ~*")&gt;0)+(IFERROR(INDEX(Setup!$G$33:$G$40,MATCH(Y1448,Setup!$B$33:$B$40,0)),0)=1)*(COUNTIF(Y1408:Y1425,$B1448)+COUNTIF(Y1408:Y1425,$B1448&amp;" ~*")&gt;0))</f>
        <v/>
      </c>
    </row>
    <row r="1449" ht="15" customHeight="1">
      <c r="A1449" t="n">
        <v>29</v>
      </c>
      <c r="B1449" s="35">
        <f>IF(Setup!$B$28="","",Setup!$B$28)</f>
        <v/>
      </c>
      <c r="C1449" s="98" t="n"/>
      <c r="D1449" s="99" t="n"/>
      <c r="E1449" s="99" t="n"/>
      <c r="F1449" s="100" t="n"/>
      <c r="G1449" s="98" t="n"/>
      <c r="H1449" s="99" t="n"/>
      <c r="I1449" s="99" t="n"/>
      <c r="J1449" s="100" t="n"/>
      <c r="K1449" s="98" t="n"/>
      <c r="L1449" s="99" t="n"/>
      <c r="M1449" s="99" t="n"/>
      <c r="N1449" s="100" t="n"/>
      <c r="O1449" s="98" t="n"/>
      <c r="P1449" s="99" t="n"/>
      <c r="Q1449" s="99" t="n"/>
      <c r="R1449" s="100" t="n"/>
      <c r="S1449" s="98" t="n"/>
      <c r="T1449" s="99" t="n"/>
      <c r="U1449" s="99" t="n"/>
      <c r="V1449" s="100" t="n"/>
      <c r="W1449" s="98" t="n"/>
      <c r="X1449" s="100" t="n"/>
      <c r="Y1449" s="98" t="n"/>
      <c r="Z1449" s="100" t="n"/>
      <c r="AB1449" s="101">
        <f>IF($B1449="","",(COUNTIF(C1408:E1425,$B1449)+COUNTIF(C1408:E1425,$B1449&amp;" ~*")&gt;0)+(COUNTIF(G1408:I1425,$B1449)+COUNTIF(G1408:I1425,$B1449&amp;" ~*")&gt;0)+(COUNTIF(K1408:M1425,$B1449)+COUNTIF(K1408:M1425,$B1449&amp;" ~*")&gt;0)+(COUNTIF(O1408:Q1425,$B1449)+COUNTIF(O1408:Q1425,$B1449&amp;" ~*")&gt;0)+(COUNTIF(S1408:U1425,$B1449)+COUNTIF(S1408:U1425,$B1449&amp;" ~*")&gt;0)+(COUNTIF(W1408:W1425,$B1449)+COUNTIF(W1408:W1425,$B1449&amp;" ~*")&gt;0)+(COUNTIF(Y1408:Y1425,$B1449)+COUNTIF(Y1408:Y1425,$B1449&amp;" ~*")&gt;0))</f>
        <v/>
      </c>
      <c r="AC1449" s="36">
        <f>IF($B1449="","",(IFERROR(INDEX(Setup!$G$33:$G$40,MATCH(C1449,Setup!$B$33:$B$40,0)),0)=1)*(COUNTIF(C1408:E1425,$B1449)+COUNTIF(C1408:E1425,$B1449&amp;" ~*")&gt;0)+(IFERROR(INDEX(Setup!$G$33:$G$40,MATCH(G1449,Setup!$B$33:$B$40,0)),0)=1)*(COUNTIF(G1408:I1425,$B1449)+COUNTIF(G1408:I1425,$B1449&amp;" ~*")&gt;0)+(IFERROR(INDEX(Setup!$G$33:$G$40,MATCH(K1449,Setup!$B$33:$B$40,0)),0)=1)*(COUNTIF(K1408:M1425,$B1449)+COUNTIF(K1408:M1425,$B1449&amp;" ~*")&gt;0)+(IFERROR(INDEX(Setup!$G$33:$G$40,MATCH(O1449,Setup!$B$33:$B$40,0)),0)=1)*(COUNTIF(O1408:Q1425,$B1449)+COUNTIF(O1408:Q1425,$B1449&amp;" ~*")&gt;0)+(IFERROR(INDEX(Setup!$G$33:$G$40,MATCH(S1449,Setup!$B$33:$B$40,0)),0)=1)*(COUNTIF(S1408:U1425,$B1449)+COUNTIF(S1408:U1425,$B1449&amp;" ~*")&gt;0)+(IFERROR(INDEX(Setup!$G$33:$G$40,MATCH(W1449,Setup!$B$33:$B$40,0)),0)=1)*(COUNTIF(W1408:W1425,$B1449)+COUNTIF(W1408:W1425,$B1449&amp;" ~*")&gt;0)+(IFERROR(INDEX(Setup!$G$33:$G$40,MATCH(Y1449,Setup!$B$33:$B$40,0)),0)=1)*(COUNTIF(Y1408:Y1425,$B1449)+COUNTIF(Y1408:Y1425,$B1449&amp;" ~*")&gt;0))</f>
        <v/>
      </c>
    </row>
    <row r="1450" ht="15" customHeight="1">
      <c r="A1450" t="n">
        <v>29</v>
      </c>
      <c r="B1450" s="37">
        <f>IF(Setup!$B$29="","",Setup!$B$29)</f>
        <v/>
      </c>
      <c r="C1450" s="102" t="n"/>
      <c r="D1450" s="103" t="n"/>
      <c r="E1450" s="103" t="n"/>
      <c r="F1450" s="104" t="n"/>
      <c r="G1450" s="102" t="n"/>
      <c r="H1450" s="103" t="n"/>
      <c r="I1450" s="103" t="n"/>
      <c r="J1450" s="104" t="n"/>
      <c r="K1450" s="102" t="n"/>
      <c r="L1450" s="103" t="n"/>
      <c r="M1450" s="103" t="n"/>
      <c r="N1450" s="104" t="n"/>
      <c r="O1450" s="102" t="n"/>
      <c r="P1450" s="103" t="n"/>
      <c r="Q1450" s="103" t="n"/>
      <c r="R1450" s="104" t="n"/>
      <c r="S1450" s="102" t="n"/>
      <c r="T1450" s="103" t="n"/>
      <c r="U1450" s="103" t="n"/>
      <c r="V1450" s="104" t="n"/>
      <c r="W1450" s="102" t="n"/>
      <c r="X1450" s="104" t="n"/>
      <c r="Y1450" s="102" t="n"/>
      <c r="Z1450" s="104" t="n"/>
      <c r="AB1450" s="105">
        <f>IF($B1450="","",(COUNTIF(C1408:E1425,$B1450)+COUNTIF(C1408:E1425,$B1450&amp;" ~*")&gt;0)+(COUNTIF(G1408:I1425,$B1450)+COUNTIF(G1408:I1425,$B1450&amp;" ~*")&gt;0)+(COUNTIF(K1408:M1425,$B1450)+COUNTIF(K1408:M1425,$B1450&amp;" ~*")&gt;0)+(COUNTIF(O1408:Q1425,$B1450)+COUNTIF(O1408:Q1425,$B1450&amp;" ~*")&gt;0)+(COUNTIF(S1408:U1425,$B1450)+COUNTIF(S1408:U1425,$B1450&amp;" ~*")&gt;0)+(COUNTIF(W1408:W1425,$B1450)+COUNTIF(W1408:W1425,$B1450&amp;" ~*")&gt;0)+(COUNTIF(Y1408:Y1425,$B1450)+COUNTIF(Y1408:Y1425,$B1450&amp;" ~*")&gt;0))</f>
        <v/>
      </c>
      <c r="AC1450" s="38">
        <f>IF($B1450="","",(IFERROR(INDEX(Setup!$G$33:$G$40,MATCH(C1450,Setup!$B$33:$B$40,0)),0)=1)*(COUNTIF(C1408:E1425,$B1450)+COUNTIF(C1408:E1425,$B1450&amp;" ~*")&gt;0)+(IFERROR(INDEX(Setup!$G$33:$G$40,MATCH(G1450,Setup!$B$33:$B$40,0)),0)=1)*(COUNTIF(G1408:I1425,$B1450)+COUNTIF(G1408:I1425,$B1450&amp;" ~*")&gt;0)+(IFERROR(INDEX(Setup!$G$33:$G$40,MATCH(K1450,Setup!$B$33:$B$40,0)),0)=1)*(COUNTIF(K1408:M1425,$B1450)+COUNTIF(K1408:M1425,$B1450&amp;" ~*")&gt;0)+(IFERROR(INDEX(Setup!$G$33:$G$40,MATCH(O1450,Setup!$B$33:$B$40,0)),0)=1)*(COUNTIF(O1408:Q1425,$B1450)+COUNTIF(O1408:Q1425,$B1450&amp;" ~*")&gt;0)+(IFERROR(INDEX(Setup!$G$33:$G$40,MATCH(S1450,Setup!$B$33:$B$40,0)),0)=1)*(COUNTIF(S1408:U1425,$B1450)+COUNTIF(S1408:U1425,$B1450&amp;" ~*")&gt;0)+(IFERROR(INDEX(Setup!$G$33:$G$40,MATCH(W1450,Setup!$B$33:$B$40,0)),0)=1)*(COUNTIF(W1408:W1425,$B1450)+COUNTIF(W1408:W1425,$B1450&amp;" ~*")&gt;0)+(IFERROR(INDEX(Setup!$G$33:$G$40,MATCH(Y1450,Setup!$B$33:$B$40,0)),0)=1)*(COUNTIF(Y1408:Y1425,$B1450)+COUNTIF(Y1408:Y1425,$B1450&amp;" ~*")&gt;0))</f>
        <v/>
      </c>
    </row>
    <row r="1451" ht="16" customHeight="1">
      <c r="A1451" t="n">
        <v>29</v>
      </c>
      <c r="B1451" s="106" t="inlineStr">
        <is>
          <t>Available people</t>
        </is>
      </c>
      <c r="C1451" s="107">
        <f>COUNTIFS(Setup!$E$6:$E$29,"Y",Setup!$B$6:$B$29,"?*")-SUMPRODUCT(COUNTIF(C1427:C1450,Setup!$F$33:$F$40))</f>
        <v/>
      </c>
      <c r="D1451" s="107" t="n"/>
      <c r="E1451" s="107" t="n"/>
      <c r="F1451" s="107" t="n"/>
      <c r="G1451" s="107">
        <f>COUNTIFS(Setup!$E$6:$E$29,"Y",Setup!$B$6:$B$29,"?*")-SUMPRODUCT(COUNTIF(G1427:G1450,Setup!$F$33:$F$40))</f>
        <v/>
      </c>
      <c r="H1451" s="107" t="n"/>
      <c r="I1451" s="107" t="n"/>
      <c r="J1451" s="107" t="n"/>
      <c r="K1451" s="107">
        <f>COUNTIFS(Setup!$E$6:$E$29,"Y",Setup!$B$6:$B$29,"?*")-SUMPRODUCT(COUNTIF(K1427:K1450,Setup!$F$33:$F$40))</f>
        <v/>
      </c>
      <c r="L1451" s="107" t="n"/>
      <c r="M1451" s="107" t="n"/>
      <c r="N1451" s="107" t="n"/>
      <c r="O1451" s="107">
        <f>COUNTIFS(Setup!$E$6:$E$29,"Y",Setup!$B$6:$B$29,"?*")-SUMPRODUCT(COUNTIF(O1427:O1450,Setup!$F$33:$F$40))</f>
        <v/>
      </c>
      <c r="P1451" s="107" t="n"/>
      <c r="Q1451" s="107" t="n"/>
      <c r="R1451" s="107" t="n"/>
      <c r="S1451" s="107">
        <f>COUNTIFS(Setup!$E$6:$E$29,"Y",Setup!$B$6:$B$29,"?*")-SUMPRODUCT(COUNTIF(S1427:S1450,Setup!$F$33:$F$40))</f>
        <v/>
      </c>
      <c r="T1451" s="107" t="n"/>
      <c r="U1451" s="107" t="n"/>
      <c r="V1451" s="107" t="n"/>
      <c r="W1451" s="107">
        <f>COUNTIFS(Setup!$E$6:$E$29,"Y",Setup!$B$6:$B$29,"?*")-SUMPRODUCT(COUNTIF(W1427:W1450,Setup!$F$33:$F$40))</f>
        <v/>
      </c>
      <c r="X1451" s="107" t="n"/>
      <c r="Y1451" s="107">
        <f>COUNTIFS(Setup!$E$6:$E$29,"Y",Setup!$B$6:$B$29,"?*")-SUMPRODUCT(COUNTIF(Y1427:Y1450,Setup!$F$33:$F$40))</f>
        <v/>
      </c>
      <c r="Z1451" s="107" t="n"/>
      <c r="AB1451" s="108">
        <f>SUM(AB1427:AB1450)</f>
        <v/>
      </c>
      <c r="AC1451" s="109">
        <f>SUM(AC1427:AC1450)</f>
        <v/>
      </c>
    </row>
    <row r="1452" ht="30" customHeight="1">
      <c r="A1452" t="n">
        <v>29</v>
      </c>
      <c r="B1452" s="110" t="inlineStr">
        <is>
          <t>Week notes</t>
        </is>
      </c>
      <c r="C1452" s="111" t="n"/>
      <c r="D1452" s="112" t="n"/>
      <c r="E1452" s="112" t="n"/>
      <c r="F1452" s="112" t="n"/>
      <c r="G1452" s="112" t="n"/>
      <c r="H1452" s="112" t="n"/>
      <c r="I1452" s="112" t="n"/>
      <c r="J1452" s="112" t="n"/>
      <c r="K1452" s="112" t="n"/>
      <c r="L1452" s="112" t="n"/>
      <c r="M1452" s="112" t="n"/>
      <c r="N1452" s="112" t="n"/>
      <c r="O1452" s="112" t="n"/>
      <c r="P1452" s="112" t="n"/>
      <c r="Q1452" s="112" t="n"/>
      <c r="R1452" s="112" t="n"/>
      <c r="S1452" s="112" t="n"/>
      <c r="T1452" s="112" t="n"/>
      <c r="U1452" s="112" t="n"/>
      <c r="V1452" s="112" t="n"/>
      <c r="W1452" s="112" t="n"/>
      <c r="X1452" s="112" t="n"/>
      <c r="Y1452" s="112" t="n"/>
      <c r="Z1452" s="113" t="n"/>
    </row>
    <row r="1453" ht="8" customHeight="1">
      <c r="A1453" t="n">
        <v>29</v>
      </c>
    </row>
    <row r="1454" ht="8" customHeight="1">
      <c r="A1454" t="n">
        <v>29</v>
      </c>
    </row>
    <row r="1455" ht="24" customHeight="1">
      <c r="A1455" t="n">
        <v>30</v>
      </c>
      <c r="B1455" s="73">
        <f>"WEEK 30     "&amp;TEXT(C1456,"ddd d mmm")&amp;"  –  "&amp;TEXT(C1456+6,"ddd d mmm yyyy")</f>
        <v/>
      </c>
      <c r="S1455" s="74">
        <f>IF(TODAY()&lt;C1456,"FUTURE",IF(TODAY()&gt;C1456+6,"PAST","THIS WEEK"))</f>
        <v/>
      </c>
      <c r="W1455" s="75">
        <f>IF(AND(Engine!$B$8=$AC$3,Engine!$B$9=$A1455),"◀ ACTIVE WEEK","")</f>
        <v/>
      </c>
      <c r="AA1455" s="76" t="n"/>
      <c r="AB1455" s="77" t="inlineStr">
        <is>
          <t>◀ Prev</t>
        </is>
      </c>
      <c r="AC1455" s="77" t="inlineStr">
        <is>
          <t>Next ▶</t>
        </is>
      </c>
    </row>
    <row r="1456" ht="18" customHeight="1">
      <c r="A1456" t="n">
        <v>30</v>
      </c>
      <c r="B1456" s="78" t="inlineStr">
        <is>
          <t>DUTY</t>
        </is>
      </c>
      <c r="C1456" s="79">
        <f>$AC$2+7*($A1456-1)</f>
        <v/>
      </c>
      <c r="D1456" s="80" t="n"/>
      <c r="E1456" s="80" t="n"/>
      <c r="F1456" s="81" t="n"/>
      <c r="G1456" s="79">
        <f>C1456+1</f>
        <v/>
      </c>
      <c r="H1456" s="80" t="n"/>
      <c r="I1456" s="80" t="n"/>
      <c r="J1456" s="81" t="n"/>
      <c r="K1456" s="79">
        <f>C1456+2</f>
        <v/>
      </c>
      <c r="L1456" s="80" t="n"/>
      <c r="M1456" s="80" t="n"/>
      <c r="N1456" s="81" t="n"/>
      <c r="O1456" s="79">
        <f>C1456+3</f>
        <v/>
      </c>
      <c r="P1456" s="80" t="n"/>
      <c r="Q1456" s="80" t="n"/>
      <c r="R1456" s="81" t="n"/>
      <c r="S1456" s="79">
        <f>C1456+4</f>
        <v/>
      </c>
      <c r="T1456" s="80" t="n"/>
      <c r="U1456" s="80" t="n"/>
      <c r="V1456" s="81" t="n"/>
      <c r="W1456" s="82">
        <f>C1456+5</f>
        <v/>
      </c>
      <c r="X1456" s="83" t="n"/>
      <c r="Y1456" s="82">
        <f>C1456+6</f>
        <v/>
      </c>
      <c r="Z1456" s="83" t="n"/>
      <c r="AB1456" s="72" t="inlineStr">
        <is>
          <t>Gaps</t>
        </is>
      </c>
      <c r="AC1456" s="72" t="inlineStr">
        <is>
          <t>Cover</t>
        </is>
      </c>
    </row>
    <row r="1457" ht="14" customHeight="1">
      <c r="A1457" t="n">
        <v>30</v>
      </c>
      <c r="B1457" s="84" t="inlineStr">
        <is>
          <t>(from Setup)</t>
        </is>
      </c>
      <c r="C1457" s="85" t="inlineStr">
        <is>
          <t>1</t>
        </is>
      </c>
      <c r="D1457" s="85" t="inlineStr">
        <is>
          <t>2</t>
        </is>
      </c>
      <c r="E1457" s="85" t="inlineStr">
        <is>
          <t>3</t>
        </is>
      </c>
      <c r="F1457" s="85" t="inlineStr">
        <is>
          <t>Notes</t>
        </is>
      </c>
      <c r="G1457" s="85" t="inlineStr">
        <is>
          <t>1</t>
        </is>
      </c>
      <c r="H1457" s="85" t="inlineStr">
        <is>
          <t>2</t>
        </is>
      </c>
      <c r="I1457" s="85" t="inlineStr">
        <is>
          <t>3</t>
        </is>
      </c>
      <c r="J1457" s="85" t="inlineStr">
        <is>
          <t>Notes</t>
        </is>
      </c>
      <c r="K1457" s="85" t="inlineStr">
        <is>
          <t>1</t>
        </is>
      </c>
      <c r="L1457" s="85" t="inlineStr">
        <is>
          <t>2</t>
        </is>
      </c>
      <c r="M1457" s="85" t="inlineStr">
        <is>
          <t>3</t>
        </is>
      </c>
      <c r="N1457" s="85" t="inlineStr">
        <is>
          <t>Notes</t>
        </is>
      </c>
      <c r="O1457" s="85" t="inlineStr">
        <is>
          <t>1</t>
        </is>
      </c>
      <c r="P1457" s="85" t="inlineStr">
        <is>
          <t>2</t>
        </is>
      </c>
      <c r="Q1457" s="85" t="inlineStr">
        <is>
          <t>3</t>
        </is>
      </c>
      <c r="R1457" s="85" t="inlineStr">
        <is>
          <t>Notes</t>
        </is>
      </c>
      <c r="S1457" s="85" t="inlineStr">
        <is>
          <t>1</t>
        </is>
      </c>
      <c r="T1457" s="85" t="inlineStr">
        <is>
          <t>2</t>
        </is>
      </c>
      <c r="U1457" s="85" t="inlineStr">
        <is>
          <t>3</t>
        </is>
      </c>
      <c r="V1457" s="85" t="inlineStr">
        <is>
          <t>Notes</t>
        </is>
      </c>
      <c r="W1457" s="85" t="inlineStr">
        <is>
          <t>Cover</t>
        </is>
      </c>
      <c r="X1457" s="85" t="inlineStr">
        <is>
          <t>Notes</t>
        </is>
      </c>
      <c r="Y1457" s="85" t="inlineStr">
        <is>
          <t>Cover</t>
        </is>
      </c>
      <c r="Z1457" s="85" t="inlineStr">
        <is>
          <t>Notes</t>
        </is>
      </c>
      <c r="AB1457" s="86" t="inlineStr">
        <is>
          <t>weekdays short</t>
        </is>
      </c>
      <c r="AC1457" s="87" t="inlineStr"/>
    </row>
    <row r="1458" ht="17" customHeight="1">
      <c r="A1458" t="n">
        <v>30</v>
      </c>
      <c r="B1458" s="24">
        <f>IF(Setup!$K$6="","",Setup!$K$6)</f>
        <v/>
      </c>
      <c r="C1458" s="88" t="n"/>
      <c r="D1458" s="88" t="n"/>
      <c r="E1458" s="88" t="n"/>
      <c r="F1458" s="89" t="n"/>
      <c r="G1458" s="88" t="n"/>
      <c r="H1458" s="88" t="n"/>
      <c r="I1458" s="88" t="n"/>
      <c r="J1458" s="89" t="n"/>
      <c r="K1458" s="88" t="n"/>
      <c r="L1458" s="88" t="n"/>
      <c r="M1458" s="88" t="n"/>
      <c r="N1458" s="89" t="n"/>
      <c r="O1458" s="88" t="n"/>
      <c r="P1458" s="88" t="n"/>
      <c r="Q1458" s="88" t="n"/>
      <c r="R1458" s="89" t="n"/>
      <c r="S1458" s="88" t="n"/>
      <c r="T1458" s="88" t="n"/>
      <c r="U1458" s="88" t="n"/>
      <c r="V1458" s="89" t="n"/>
      <c r="W1458" s="88" t="n"/>
      <c r="X1458" s="89" t="n"/>
      <c r="Y1458" s="88" t="n"/>
      <c r="Z1458" s="89" t="n"/>
      <c r="AB1458" s="25">
        <f>IF($B1458="","",(COUNTIF(C1458:E1458,"?*")&lt;N(INDEX(Setup!$L$6:$L$23,1)))+(COUNTIF(G1458:I1458,"?*")&lt;N(INDEX(Setup!$L$6:$L$23,1)))+(COUNTIF(K1458:M1458,"?*")&lt;N(INDEX(Setup!$L$6:$L$23,1)))+(COUNTIF(O1458:Q1458,"?*")&lt;N(INDEX(Setup!$L$6:$L$23,1)))+(COUNTIF(S1458:U1458,"?*")&lt;N(INDEX(Setup!$L$6:$L$23,1)))+((W1458="")*(INDEX(Setup!$M$6:$M$23,1)="Y"))+((Y1458="")*(INDEX(Setup!$M$6:$M$23,1)="Y")))</f>
        <v/>
      </c>
      <c r="AC1458" s="90">
        <f>IF($B1458="","",IF(AB1458=0,"✓ covered","⚠ "&amp;AB1458&amp;IF(AB1458=1," gap"," gaps")))</f>
        <v/>
      </c>
    </row>
    <row r="1459" ht="17" customHeight="1">
      <c r="A1459" t="n">
        <v>30</v>
      </c>
      <c r="B1459" s="29">
        <f>IF(Setup!$K$7="","",Setup!$K$7)</f>
        <v/>
      </c>
      <c r="C1459" s="88" t="n"/>
      <c r="D1459" s="88" t="n"/>
      <c r="E1459" s="88" t="n"/>
      <c r="F1459" s="89" t="n"/>
      <c r="G1459" s="88" t="n"/>
      <c r="H1459" s="88" t="n"/>
      <c r="I1459" s="88" t="n"/>
      <c r="J1459" s="89" t="n"/>
      <c r="K1459" s="88" t="n"/>
      <c r="L1459" s="88" t="n"/>
      <c r="M1459" s="88" t="n"/>
      <c r="N1459" s="89" t="n"/>
      <c r="O1459" s="88" t="n"/>
      <c r="P1459" s="88" t="n"/>
      <c r="Q1459" s="88" t="n"/>
      <c r="R1459" s="89" t="n"/>
      <c r="S1459" s="88" t="n"/>
      <c r="T1459" s="88" t="n"/>
      <c r="U1459" s="88" t="n"/>
      <c r="V1459" s="89" t="n"/>
      <c r="W1459" s="88" t="n"/>
      <c r="X1459" s="89" t="n"/>
      <c r="Y1459" s="88" t="n"/>
      <c r="Z1459" s="89" t="n"/>
      <c r="AB1459" s="30">
        <f>IF($B1459="","",(COUNTIF(C1459:E1459,"?*")&lt;N(INDEX(Setup!$L$6:$L$23,2)))+(COUNTIF(G1459:I1459,"?*")&lt;N(INDEX(Setup!$L$6:$L$23,2)))+(COUNTIF(K1459:M1459,"?*")&lt;N(INDEX(Setup!$L$6:$L$23,2)))+(COUNTIF(O1459:Q1459,"?*")&lt;N(INDEX(Setup!$L$6:$L$23,2)))+(COUNTIF(S1459:U1459,"?*")&lt;N(INDEX(Setup!$L$6:$L$23,2)))+((W1459="")*(INDEX(Setup!$M$6:$M$23,2)="Y"))+((Y1459="")*(INDEX(Setup!$M$6:$M$23,2)="Y")))</f>
        <v/>
      </c>
      <c r="AC1459" s="91">
        <f>IF($B1459="","",IF(AB1459=0,"✓ covered","⚠ "&amp;AB1459&amp;IF(AB1459=1," gap"," gaps")))</f>
        <v/>
      </c>
    </row>
    <row r="1460" ht="17" customHeight="1">
      <c r="A1460" t="n">
        <v>30</v>
      </c>
      <c r="B1460" s="24">
        <f>IF(Setup!$K$8="","",Setup!$K$8)</f>
        <v/>
      </c>
      <c r="C1460" s="88" t="n"/>
      <c r="D1460" s="88" t="n"/>
      <c r="E1460" s="88" t="n"/>
      <c r="F1460" s="89" t="n"/>
      <c r="G1460" s="88" t="n"/>
      <c r="H1460" s="88" t="n"/>
      <c r="I1460" s="88" t="n"/>
      <c r="J1460" s="89" t="n"/>
      <c r="K1460" s="88" t="n"/>
      <c r="L1460" s="88" t="n"/>
      <c r="M1460" s="88" t="n"/>
      <c r="N1460" s="89" t="n"/>
      <c r="O1460" s="88" t="n"/>
      <c r="P1460" s="88" t="n"/>
      <c r="Q1460" s="88" t="n"/>
      <c r="R1460" s="89" t="n"/>
      <c r="S1460" s="88" t="n"/>
      <c r="T1460" s="88" t="n"/>
      <c r="U1460" s="88" t="n"/>
      <c r="V1460" s="89" t="n"/>
      <c r="W1460" s="88" t="n"/>
      <c r="X1460" s="89" t="n"/>
      <c r="Y1460" s="88" t="n"/>
      <c r="Z1460" s="89" t="n"/>
      <c r="AB1460" s="25">
        <f>IF($B1460="","",(COUNTIF(C1460:E1460,"?*")&lt;N(INDEX(Setup!$L$6:$L$23,3)))+(COUNTIF(G1460:I1460,"?*")&lt;N(INDEX(Setup!$L$6:$L$23,3)))+(COUNTIF(K1460:M1460,"?*")&lt;N(INDEX(Setup!$L$6:$L$23,3)))+(COUNTIF(O1460:Q1460,"?*")&lt;N(INDEX(Setup!$L$6:$L$23,3)))+(COUNTIF(S1460:U1460,"?*")&lt;N(INDEX(Setup!$L$6:$L$23,3)))+((W1460="")*(INDEX(Setup!$M$6:$M$23,3)="Y"))+((Y1460="")*(INDEX(Setup!$M$6:$M$23,3)="Y")))</f>
        <v/>
      </c>
      <c r="AC1460" s="90">
        <f>IF($B1460="","",IF(AB1460=0,"✓ covered","⚠ "&amp;AB1460&amp;IF(AB1460=1," gap"," gaps")))</f>
        <v/>
      </c>
    </row>
    <row r="1461" ht="17" customHeight="1">
      <c r="A1461" t="n">
        <v>30</v>
      </c>
      <c r="B1461" s="29">
        <f>IF(Setup!$K$9="","",Setup!$K$9)</f>
        <v/>
      </c>
      <c r="C1461" s="88" t="n"/>
      <c r="D1461" s="88" t="n"/>
      <c r="E1461" s="88" t="n"/>
      <c r="F1461" s="89" t="n"/>
      <c r="G1461" s="88" t="n"/>
      <c r="H1461" s="88" t="n"/>
      <c r="I1461" s="88" t="n"/>
      <c r="J1461" s="89" t="n"/>
      <c r="K1461" s="88" t="n"/>
      <c r="L1461" s="88" t="n"/>
      <c r="M1461" s="88" t="n"/>
      <c r="N1461" s="89" t="n"/>
      <c r="O1461" s="88" t="n"/>
      <c r="P1461" s="88" t="n"/>
      <c r="Q1461" s="88" t="n"/>
      <c r="R1461" s="89" t="n"/>
      <c r="S1461" s="88" t="n"/>
      <c r="T1461" s="88" t="n"/>
      <c r="U1461" s="88" t="n"/>
      <c r="V1461" s="89" t="n"/>
      <c r="W1461" s="88" t="n"/>
      <c r="X1461" s="89" t="n"/>
      <c r="Y1461" s="88" t="n"/>
      <c r="Z1461" s="89" t="n"/>
      <c r="AB1461" s="30">
        <f>IF($B1461="","",(COUNTIF(C1461:E1461,"?*")&lt;N(INDEX(Setup!$L$6:$L$23,4)))+(COUNTIF(G1461:I1461,"?*")&lt;N(INDEX(Setup!$L$6:$L$23,4)))+(COUNTIF(K1461:M1461,"?*")&lt;N(INDEX(Setup!$L$6:$L$23,4)))+(COUNTIF(O1461:Q1461,"?*")&lt;N(INDEX(Setup!$L$6:$L$23,4)))+(COUNTIF(S1461:U1461,"?*")&lt;N(INDEX(Setup!$L$6:$L$23,4)))+((W1461="")*(INDEX(Setup!$M$6:$M$23,4)="Y"))+((Y1461="")*(INDEX(Setup!$M$6:$M$23,4)="Y")))</f>
        <v/>
      </c>
      <c r="AC1461" s="91">
        <f>IF($B1461="","",IF(AB1461=0,"✓ covered","⚠ "&amp;AB1461&amp;IF(AB1461=1," gap"," gaps")))</f>
        <v/>
      </c>
    </row>
    <row r="1462" ht="17" customHeight="1">
      <c r="A1462" t="n">
        <v>30</v>
      </c>
      <c r="B1462" s="24">
        <f>IF(Setup!$K$10="","",Setup!$K$10)</f>
        <v/>
      </c>
      <c r="C1462" s="88" t="n"/>
      <c r="D1462" s="88" t="n"/>
      <c r="E1462" s="88" t="n"/>
      <c r="F1462" s="89" t="n"/>
      <c r="G1462" s="88" t="n"/>
      <c r="H1462" s="88" t="n"/>
      <c r="I1462" s="88" t="n"/>
      <c r="J1462" s="89" t="n"/>
      <c r="K1462" s="88" t="n"/>
      <c r="L1462" s="88" t="n"/>
      <c r="M1462" s="88" t="n"/>
      <c r="N1462" s="89" t="n"/>
      <c r="O1462" s="88" t="n"/>
      <c r="P1462" s="88" t="n"/>
      <c r="Q1462" s="88" t="n"/>
      <c r="R1462" s="89" t="n"/>
      <c r="S1462" s="88" t="n"/>
      <c r="T1462" s="88" t="n"/>
      <c r="U1462" s="88" t="n"/>
      <c r="V1462" s="89" t="n"/>
      <c r="W1462" s="88" t="n"/>
      <c r="X1462" s="89" t="n"/>
      <c r="Y1462" s="88" t="n"/>
      <c r="Z1462" s="89" t="n"/>
      <c r="AB1462" s="25">
        <f>IF($B1462="","",(COUNTIF(C1462:E1462,"?*")&lt;N(INDEX(Setup!$L$6:$L$23,5)))+(COUNTIF(G1462:I1462,"?*")&lt;N(INDEX(Setup!$L$6:$L$23,5)))+(COUNTIF(K1462:M1462,"?*")&lt;N(INDEX(Setup!$L$6:$L$23,5)))+(COUNTIF(O1462:Q1462,"?*")&lt;N(INDEX(Setup!$L$6:$L$23,5)))+(COUNTIF(S1462:U1462,"?*")&lt;N(INDEX(Setup!$L$6:$L$23,5)))+((W1462="")*(INDEX(Setup!$M$6:$M$23,5)="Y"))+((Y1462="")*(INDEX(Setup!$M$6:$M$23,5)="Y")))</f>
        <v/>
      </c>
      <c r="AC1462" s="90">
        <f>IF($B1462="","",IF(AB1462=0,"✓ covered","⚠ "&amp;AB1462&amp;IF(AB1462=1," gap"," gaps")))</f>
        <v/>
      </c>
    </row>
    <row r="1463" ht="17" customHeight="1">
      <c r="A1463" t="n">
        <v>30</v>
      </c>
      <c r="B1463" s="29">
        <f>IF(Setup!$K$11="","",Setup!$K$11)</f>
        <v/>
      </c>
      <c r="C1463" s="88" t="n"/>
      <c r="D1463" s="88" t="n"/>
      <c r="E1463" s="88" t="n"/>
      <c r="F1463" s="89" t="n"/>
      <c r="G1463" s="88" t="n"/>
      <c r="H1463" s="88" t="n"/>
      <c r="I1463" s="88" t="n"/>
      <c r="J1463" s="89" t="n"/>
      <c r="K1463" s="88" t="n"/>
      <c r="L1463" s="88" t="n"/>
      <c r="M1463" s="88" t="n"/>
      <c r="N1463" s="89" t="n"/>
      <c r="O1463" s="88" t="n"/>
      <c r="P1463" s="88" t="n"/>
      <c r="Q1463" s="88" t="n"/>
      <c r="R1463" s="89" t="n"/>
      <c r="S1463" s="88" t="n"/>
      <c r="T1463" s="88" t="n"/>
      <c r="U1463" s="88" t="n"/>
      <c r="V1463" s="89" t="n"/>
      <c r="W1463" s="88" t="n"/>
      <c r="X1463" s="89" t="n"/>
      <c r="Y1463" s="88" t="n"/>
      <c r="Z1463" s="89" t="n"/>
      <c r="AB1463" s="30">
        <f>IF($B1463="","",(COUNTIF(C1463:E1463,"?*")&lt;N(INDEX(Setup!$L$6:$L$23,6)))+(COUNTIF(G1463:I1463,"?*")&lt;N(INDEX(Setup!$L$6:$L$23,6)))+(COUNTIF(K1463:M1463,"?*")&lt;N(INDEX(Setup!$L$6:$L$23,6)))+(COUNTIF(O1463:Q1463,"?*")&lt;N(INDEX(Setup!$L$6:$L$23,6)))+(COUNTIF(S1463:U1463,"?*")&lt;N(INDEX(Setup!$L$6:$L$23,6)))+((W1463="")*(INDEX(Setup!$M$6:$M$23,6)="Y"))+((Y1463="")*(INDEX(Setup!$M$6:$M$23,6)="Y")))</f>
        <v/>
      </c>
      <c r="AC1463" s="91">
        <f>IF($B1463="","",IF(AB1463=0,"✓ covered","⚠ "&amp;AB1463&amp;IF(AB1463=1," gap"," gaps")))</f>
        <v/>
      </c>
    </row>
    <row r="1464" ht="17" customHeight="1">
      <c r="A1464" t="n">
        <v>30</v>
      </c>
      <c r="B1464" s="24">
        <f>IF(Setup!$K$12="","",Setup!$K$12)</f>
        <v/>
      </c>
      <c r="C1464" s="88" t="n"/>
      <c r="D1464" s="88" t="n"/>
      <c r="E1464" s="88" t="n"/>
      <c r="F1464" s="89" t="n"/>
      <c r="G1464" s="88" t="n"/>
      <c r="H1464" s="88" t="n"/>
      <c r="I1464" s="88" t="n"/>
      <c r="J1464" s="89" t="n"/>
      <c r="K1464" s="88" t="n"/>
      <c r="L1464" s="88" t="n"/>
      <c r="M1464" s="88" t="n"/>
      <c r="N1464" s="89" t="n"/>
      <c r="O1464" s="88" t="n"/>
      <c r="P1464" s="88" t="n"/>
      <c r="Q1464" s="88" t="n"/>
      <c r="R1464" s="89" t="n"/>
      <c r="S1464" s="88" t="n"/>
      <c r="T1464" s="88" t="n"/>
      <c r="U1464" s="88" t="n"/>
      <c r="V1464" s="89" t="n"/>
      <c r="W1464" s="88" t="n"/>
      <c r="X1464" s="89" t="n"/>
      <c r="Y1464" s="88" t="n"/>
      <c r="Z1464" s="89" t="n"/>
      <c r="AB1464" s="25">
        <f>IF($B1464="","",(COUNTIF(C1464:E1464,"?*")&lt;N(INDEX(Setup!$L$6:$L$23,7)))+(COUNTIF(G1464:I1464,"?*")&lt;N(INDEX(Setup!$L$6:$L$23,7)))+(COUNTIF(K1464:M1464,"?*")&lt;N(INDEX(Setup!$L$6:$L$23,7)))+(COUNTIF(O1464:Q1464,"?*")&lt;N(INDEX(Setup!$L$6:$L$23,7)))+(COUNTIF(S1464:U1464,"?*")&lt;N(INDEX(Setup!$L$6:$L$23,7)))+((W1464="")*(INDEX(Setup!$M$6:$M$23,7)="Y"))+((Y1464="")*(INDEX(Setup!$M$6:$M$23,7)="Y")))</f>
        <v/>
      </c>
      <c r="AC1464" s="90">
        <f>IF($B1464="","",IF(AB1464=0,"✓ covered","⚠ "&amp;AB1464&amp;IF(AB1464=1," gap"," gaps")))</f>
        <v/>
      </c>
    </row>
    <row r="1465" ht="17" customHeight="1">
      <c r="A1465" t="n">
        <v>30</v>
      </c>
      <c r="B1465" s="29">
        <f>IF(Setup!$K$13="","",Setup!$K$13)</f>
        <v/>
      </c>
      <c r="C1465" s="88" t="n"/>
      <c r="D1465" s="88" t="n"/>
      <c r="E1465" s="88" t="n"/>
      <c r="F1465" s="89" t="n"/>
      <c r="G1465" s="88" t="n"/>
      <c r="H1465" s="88" t="n"/>
      <c r="I1465" s="88" t="n"/>
      <c r="J1465" s="89" t="n"/>
      <c r="K1465" s="88" t="n"/>
      <c r="L1465" s="88" t="n"/>
      <c r="M1465" s="88" t="n"/>
      <c r="N1465" s="89" t="n"/>
      <c r="O1465" s="88" t="n"/>
      <c r="P1465" s="88" t="n"/>
      <c r="Q1465" s="88" t="n"/>
      <c r="R1465" s="89" t="n"/>
      <c r="S1465" s="88" t="n"/>
      <c r="T1465" s="88" t="n"/>
      <c r="U1465" s="88" t="n"/>
      <c r="V1465" s="89" t="n"/>
      <c r="W1465" s="88" t="n"/>
      <c r="X1465" s="89" t="n"/>
      <c r="Y1465" s="88" t="n"/>
      <c r="Z1465" s="89" t="n"/>
      <c r="AB1465" s="30">
        <f>IF($B1465="","",(COUNTIF(C1465:E1465,"?*")&lt;N(INDEX(Setup!$L$6:$L$23,8)))+(COUNTIF(G1465:I1465,"?*")&lt;N(INDEX(Setup!$L$6:$L$23,8)))+(COUNTIF(K1465:M1465,"?*")&lt;N(INDEX(Setup!$L$6:$L$23,8)))+(COUNTIF(O1465:Q1465,"?*")&lt;N(INDEX(Setup!$L$6:$L$23,8)))+(COUNTIF(S1465:U1465,"?*")&lt;N(INDEX(Setup!$L$6:$L$23,8)))+((W1465="")*(INDEX(Setup!$M$6:$M$23,8)="Y"))+((Y1465="")*(INDEX(Setup!$M$6:$M$23,8)="Y")))</f>
        <v/>
      </c>
      <c r="AC1465" s="91">
        <f>IF($B1465="","",IF(AB1465=0,"✓ covered","⚠ "&amp;AB1465&amp;IF(AB1465=1," gap"," gaps")))</f>
        <v/>
      </c>
    </row>
    <row r="1466" ht="17" customHeight="1">
      <c r="A1466" t="n">
        <v>30</v>
      </c>
      <c r="B1466" s="24">
        <f>IF(Setup!$K$14="","",Setup!$K$14)</f>
        <v/>
      </c>
      <c r="C1466" s="88" t="n"/>
      <c r="D1466" s="88" t="n"/>
      <c r="E1466" s="88" t="n"/>
      <c r="F1466" s="89" t="n"/>
      <c r="G1466" s="88" t="n"/>
      <c r="H1466" s="88" t="n"/>
      <c r="I1466" s="88" t="n"/>
      <c r="J1466" s="89" t="n"/>
      <c r="K1466" s="88" t="n"/>
      <c r="L1466" s="88" t="n"/>
      <c r="M1466" s="88" t="n"/>
      <c r="N1466" s="89" t="n"/>
      <c r="O1466" s="88" t="n"/>
      <c r="P1466" s="88" t="n"/>
      <c r="Q1466" s="88" t="n"/>
      <c r="R1466" s="89" t="n"/>
      <c r="S1466" s="88" t="n"/>
      <c r="T1466" s="88" t="n"/>
      <c r="U1466" s="88" t="n"/>
      <c r="V1466" s="89" t="n"/>
      <c r="W1466" s="88" t="n"/>
      <c r="X1466" s="89" t="n"/>
      <c r="Y1466" s="88" t="n"/>
      <c r="Z1466" s="89" t="n"/>
      <c r="AB1466" s="25">
        <f>IF($B1466="","",(COUNTIF(C1466:E1466,"?*")&lt;N(INDEX(Setup!$L$6:$L$23,9)))+(COUNTIF(G1466:I1466,"?*")&lt;N(INDEX(Setup!$L$6:$L$23,9)))+(COUNTIF(K1466:M1466,"?*")&lt;N(INDEX(Setup!$L$6:$L$23,9)))+(COUNTIF(O1466:Q1466,"?*")&lt;N(INDEX(Setup!$L$6:$L$23,9)))+(COUNTIF(S1466:U1466,"?*")&lt;N(INDEX(Setup!$L$6:$L$23,9)))+((W1466="")*(INDEX(Setup!$M$6:$M$23,9)="Y"))+((Y1466="")*(INDEX(Setup!$M$6:$M$23,9)="Y")))</f>
        <v/>
      </c>
      <c r="AC1466" s="90">
        <f>IF($B1466="","",IF(AB1466=0,"✓ covered","⚠ "&amp;AB1466&amp;IF(AB1466=1," gap"," gaps")))</f>
        <v/>
      </c>
    </row>
    <row r="1467" ht="17" customHeight="1">
      <c r="A1467" t="n">
        <v>30</v>
      </c>
      <c r="B1467" s="29">
        <f>IF(Setup!$K$15="","",Setup!$K$15)</f>
        <v/>
      </c>
      <c r="C1467" s="88" t="n"/>
      <c r="D1467" s="88" t="n"/>
      <c r="E1467" s="88" t="n"/>
      <c r="F1467" s="89" t="n"/>
      <c r="G1467" s="88" t="n"/>
      <c r="H1467" s="88" t="n"/>
      <c r="I1467" s="88" t="n"/>
      <c r="J1467" s="89" t="n"/>
      <c r="K1467" s="88" t="n"/>
      <c r="L1467" s="88" t="n"/>
      <c r="M1467" s="88" t="n"/>
      <c r="N1467" s="89" t="n"/>
      <c r="O1467" s="88" t="n"/>
      <c r="P1467" s="88" t="n"/>
      <c r="Q1467" s="88" t="n"/>
      <c r="R1467" s="89" t="n"/>
      <c r="S1467" s="88" t="n"/>
      <c r="T1467" s="88" t="n"/>
      <c r="U1467" s="88" t="n"/>
      <c r="V1467" s="89" t="n"/>
      <c r="W1467" s="88" t="n"/>
      <c r="X1467" s="89" t="n"/>
      <c r="Y1467" s="88" t="n"/>
      <c r="Z1467" s="89" t="n"/>
      <c r="AB1467" s="30">
        <f>IF($B1467="","",(COUNTIF(C1467:E1467,"?*")&lt;N(INDEX(Setup!$L$6:$L$23,10)))+(COUNTIF(G1467:I1467,"?*")&lt;N(INDEX(Setup!$L$6:$L$23,10)))+(COUNTIF(K1467:M1467,"?*")&lt;N(INDEX(Setup!$L$6:$L$23,10)))+(COUNTIF(O1467:Q1467,"?*")&lt;N(INDEX(Setup!$L$6:$L$23,10)))+(COUNTIF(S1467:U1467,"?*")&lt;N(INDEX(Setup!$L$6:$L$23,10)))+((W1467="")*(INDEX(Setup!$M$6:$M$23,10)="Y"))+((Y1467="")*(INDEX(Setup!$M$6:$M$23,10)="Y")))</f>
        <v/>
      </c>
      <c r="AC1467" s="91">
        <f>IF($B1467="","",IF(AB1467=0,"✓ covered","⚠ "&amp;AB1467&amp;IF(AB1467=1," gap"," gaps")))</f>
        <v/>
      </c>
    </row>
    <row r="1468" ht="17" customHeight="1">
      <c r="A1468" t="n">
        <v>30</v>
      </c>
      <c r="B1468" s="24">
        <f>IF(Setup!$K$16="","",Setup!$K$16)</f>
        <v/>
      </c>
      <c r="C1468" s="88" t="n"/>
      <c r="D1468" s="88" t="n"/>
      <c r="E1468" s="88" t="n"/>
      <c r="F1468" s="89" t="n"/>
      <c r="G1468" s="88" t="n"/>
      <c r="H1468" s="88" t="n"/>
      <c r="I1468" s="88" t="n"/>
      <c r="J1468" s="89" t="n"/>
      <c r="K1468" s="88" t="n"/>
      <c r="L1468" s="88" t="n"/>
      <c r="M1468" s="88" t="n"/>
      <c r="N1468" s="89" t="n"/>
      <c r="O1468" s="88" t="n"/>
      <c r="P1468" s="88" t="n"/>
      <c r="Q1468" s="88" t="n"/>
      <c r="R1468" s="89" t="n"/>
      <c r="S1468" s="88" t="n"/>
      <c r="T1468" s="88" t="n"/>
      <c r="U1468" s="88" t="n"/>
      <c r="V1468" s="89" t="n"/>
      <c r="W1468" s="88" t="n"/>
      <c r="X1468" s="89" t="n"/>
      <c r="Y1468" s="88" t="n"/>
      <c r="Z1468" s="89" t="n"/>
      <c r="AB1468" s="25">
        <f>IF($B1468="","",(COUNTIF(C1468:E1468,"?*")&lt;N(INDEX(Setup!$L$6:$L$23,11)))+(COUNTIF(G1468:I1468,"?*")&lt;N(INDEX(Setup!$L$6:$L$23,11)))+(COUNTIF(K1468:M1468,"?*")&lt;N(INDEX(Setup!$L$6:$L$23,11)))+(COUNTIF(O1468:Q1468,"?*")&lt;N(INDEX(Setup!$L$6:$L$23,11)))+(COUNTIF(S1468:U1468,"?*")&lt;N(INDEX(Setup!$L$6:$L$23,11)))+((W1468="")*(INDEX(Setup!$M$6:$M$23,11)="Y"))+((Y1468="")*(INDEX(Setup!$M$6:$M$23,11)="Y")))</f>
        <v/>
      </c>
      <c r="AC1468" s="90">
        <f>IF($B1468="","",IF(AB1468=0,"✓ covered","⚠ "&amp;AB1468&amp;IF(AB1468=1," gap"," gaps")))</f>
        <v/>
      </c>
    </row>
    <row r="1469" ht="17" customHeight="1">
      <c r="A1469" t="n">
        <v>30</v>
      </c>
      <c r="B1469" s="29">
        <f>IF(Setup!$K$17="","",Setup!$K$17)</f>
        <v/>
      </c>
      <c r="C1469" s="88" t="n"/>
      <c r="D1469" s="88" t="n"/>
      <c r="E1469" s="88" t="n"/>
      <c r="F1469" s="89" t="n"/>
      <c r="G1469" s="88" t="n"/>
      <c r="H1469" s="88" t="n"/>
      <c r="I1469" s="88" t="n"/>
      <c r="J1469" s="89" t="n"/>
      <c r="K1469" s="88" t="n"/>
      <c r="L1469" s="88" t="n"/>
      <c r="M1469" s="88" t="n"/>
      <c r="N1469" s="89" t="n"/>
      <c r="O1469" s="88" t="n"/>
      <c r="P1469" s="88" t="n"/>
      <c r="Q1469" s="88" t="n"/>
      <c r="R1469" s="89" t="n"/>
      <c r="S1469" s="88" t="n"/>
      <c r="T1469" s="88" t="n"/>
      <c r="U1469" s="88" t="n"/>
      <c r="V1469" s="89" t="n"/>
      <c r="W1469" s="88" t="n"/>
      <c r="X1469" s="89" t="n"/>
      <c r="Y1469" s="88" t="n"/>
      <c r="Z1469" s="89" t="n"/>
      <c r="AB1469" s="30">
        <f>IF($B1469="","",(COUNTIF(C1469:E1469,"?*")&lt;N(INDEX(Setup!$L$6:$L$23,12)))+(COUNTIF(G1469:I1469,"?*")&lt;N(INDEX(Setup!$L$6:$L$23,12)))+(COUNTIF(K1469:M1469,"?*")&lt;N(INDEX(Setup!$L$6:$L$23,12)))+(COUNTIF(O1469:Q1469,"?*")&lt;N(INDEX(Setup!$L$6:$L$23,12)))+(COUNTIF(S1469:U1469,"?*")&lt;N(INDEX(Setup!$L$6:$L$23,12)))+((W1469="")*(INDEX(Setup!$M$6:$M$23,12)="Y"))+((Y1469="")*(INDEX(Setup!$M$6:$M$23,12)="Y")))</f>
        <v/>
      </c>
      <c r="AC1469" s="91">
        <f>IF($B1469="","",IF(AB1469=0,"✓ covered","⚠ "&amp;AB1469&amp;IF(AB1469=1," gap"," gaps")))</f>
        <v/>
      </c>
    </row>
    <row r="1470" ht="17" customHeight="1">
      <c r="A1470" t="n">
        <v>30</v>
      </c>
      <c r="B1470" s="24">
        <f>IF(Setup!$K$18="","",Setup!$K$18)</f>
        <v/>
      </c>
      <c r="C1470" s="88" t="n"/>
      <c r="D1470" s="88" t="n"/>
      <c r="E1470" s="88" t="n"/>
      <c r="F1470" s="89" t="n"/>
      <c r="G1470" s="88" t="n"/>
      <c r="H1470" s="88" t="n"/>
      <c r="I1470" s="88" t="n"/>
      <c r="J1470" s="89" t="n"/>
      <c r="K1470" s="88" t="n"/>
      <c r="L1470" s="88" t="n"/>
      <c r="M1470" s="88" t="n"/>
      <c r="N1470" s="89" t="n"/>
      <c r="O1470" s="88" t="n"/>
      <c r="P1470" s="88" t="n"/>
      <c r="Q1470" s="88" t="n"/>
      <c r="R1470" s="89" t="n"/>
      <c r="S1470" s="88" t="n"/>
      <c r="T1470" s="88" t="n"/>
      <c r="U1470" s="88" t="n"/>
      <c r="V1470" s="89" t="n"/>
      <c r="W1470" s="88" t="n"/>
      <c r="X1470" s="89" t="n"/>
      <c r="Y1470" s="88" t="n"/>
      <c r="Z1470" s="89" t="n"/>
      <c r="AB1470" s="25">
        <f>IF($B1470="","",(COUNTIF(C1470:E1470,"?*")&lt;N(INDEX(Setup!$L$6:$L$23,13)))+(COUNTIF(G1470:I1470,"?*")&lt;N(INDEX(Setup!$L$6:$L$23,13)))+(COUNTIF(K1470:M1470,"?*")&lt;N(INDEX(Setup!$L$6:$L$23,13)))+(COUNTIF(O1470:Q1470,"?*")&lt;N(INDEX(Setup!$L$6:$L$23,13)))+(COUNTIF(S1470:U1470,"?*")&lt;N(INDEX(Setup!$L$6:$L$23,13)))+((W1470="")*(INDEX(Setup!$M$6:$M$23,13)="Y"))+((Y1470="")*(INDEX(Setup!$M$6:$M$23,13)="Y")))</f>
        <v/>
      </c>
      <c r="AC1470" s="90">
        <f>IF($B1470="","",IF(AB1470=0,"✓ covered","⚠ "&amp;AB1470&amp;IF(AB1470=1," gap"," gaps")))</f>
        <v/>
      </c>
    </row>
    <row r="1471" ht="17" customHeight="1">
      <c r="A1471" t="n">
        <v>30</v>
      </c>
      <c r="B1471" s="29">
        <f>IF(Setup!$K$19="","",Setup!$K$19)</f>
        <v/>
      </c>
      <c r="C1471" s="88" t="n"/>
      <c r="D1471" s="88" t="n"/>
      <c r="E1471" s="88" t="n"/>
      <c r="F1471" s="89" t="n"/>
      <c r="G1471" s="88" t="n"/>
      <c r="H1471" s="88" t="n"/>
      <c r="I1471" s="88" t="n"/>
      <c r="J1471" s="89" t="n"/>
      <c r="K1471" s="88" t="n"/>
      <c r="L1471" s="88" t="n"/>
      <c r="M1471" s="88" t="n"/>
      <c r="N1471" s="89" t="n"/>
      <c r="O1471" s="88" t="n"/>
      <c r="P1471" s="88" t="n"/>
      <c r="Q1471" s="88" t="n"/>
      <c r="R1471" s="89" t="n"/>
      <c r="S1471" s="88" t="n"/>
      <c r="T1471" s="88" t="n"/>
      <c r="U1471" s="88" t="n"/>
      <c r="V1471" s="89" t="n"/>
      <c r="W1471" s="88" t="n"/>
      <c r="X1471" s="89" t="n"/>
      <c r="Y1471" s="88" t="n"/>
      <c r="Z1471" s="89" t="n"/>
      <c r="AB1471" s="30">
        <f>IF($B1471="","",(COUNTIF(C1471:E1471,"?*")&lt;N(INDEX(Setup!$L$6:$L$23,14)))+(COUNTIF(G1471:I1471,"?*")&lt;N(INDEX(Setup!$L$6:$L$23,14)))+(COUNTIF(K1471:M1471,"?*")&lt;N(INDEX(Setup!$L$6:$L$23,14)))+(COUNTIF(O1471:Q1471,"?*")&lt;N(INDEX(Setup!$L$6:$L$23,14)))+(COUNTIF(S1471:U1471,"?*")&lt;N(INDEX(Setup!$L$6:$L$23,14)))+((W1471="")*(INDEX(Setup!$M$6:$M$23,14)="Y"))+((Y1471="")*(INDEX(Setup!$M$6:$M$23,14)="Y")))</f>
        <v/>
      </c>
      <c r="AC1471" s="91">
        <f>IF($B1471="","",IF(AB1471=0,"✓ covered","⚠ "&amp;AB1471&amp;IF(AB1471=1," gap"," gaps")))</f>
        <v/>
      </c>
    </row>
    <row r="1472" ht="17" customHeight="1">
      <c r="A1472" t="n">
        <v>30</v>
      </c>
      <c r="B1472" s="24">
        <f>IF(Setup!$K$20="","",Setup!$K$20)</f>
        <v/>
      </c>
      <c r="C1472" s="88" t="n"/>
      <c r="D1472" s="88" t="n"/>
      <c r="E1472" s="88" t="n"/>
      <c r="F1472" s="89" t="n"/>
      <c r="G1472" s="88" t="n"/>
      <c r="H1472" s="88" t="n"/>
      <c r="I1472" s="88" t="n"/>
      <c r="J1472" s="89" t="n"/>
      <c r="K1472" s="88" t="n"/>
      <c r="L1472" s="88" t="n"/>
      <c r="M1472" s="88" t="n"/>
      <c r="N1472" s="89" t="n"/>
      <c r="O1472" s="88" t="n"/>
      <c r="P1472" s="88" t="n"/>
      <c r="Q1472" s="88" t="n"/>
      <c r="R1472" s="89" t="n"/>
      <c r="S1472" s="88" t="n"/>
      <c r="T1472" s="88" t="n"/>
      <c r="U1472" s="88" t="n"/>
      <c r="V1472" s="89" t="n"/>
      <c r="W1472" s="88" t="n"/>
      <c r="X1472" s="89" t="n"/>
      <c r="Y1472" s="88" t="n"/>
      <c r="Z1472" s="89" t="n"/>
      <c r="AB1472" s="25">
        <f>IF($B1472="","",(COUNTIF(C1472:E1472,"?*")&lt;N(INDEX(Setup!$L$6:$L$23,15)))+(COUNTIF(G1472:I1472,"?*")&lt;N(INDEX(Setup!$L$6:$L$23,15)))+(COUNTIF(K1472:M1472,"?*")&lt;N(INDEX(Setup!$L$6:$L$23,15)))+(COUNTIF(O1472:Q1472,"?*")&lt;N(INDEX(Setup!$L$6:$L$23,15)))+(COUNTIF(S1472:U1472,"?*")&lt;N(INDEX(Setup!$L$6:$L$23,15)))+((W1472="")*(INDEX(Setup!$M$6:$M$23,15)="Y"))+((Y1472="")*(INDEX(Setup!$M$6:$M$23,15)="Y")))</f>
        <v/>
      </c>
      <c r="AC1472" s="90">
        <f>IF($B1472="","",IF(AB1472=0,"✓ covered","⚠ "&amp;AB1472&amp;IF(AB1472=1," gap"," gaps")))</f>
        <v/>
      </c>
    </row>
    <row r="1473" ht="17" customHeight="1">
      <c r="A1473" t="n">
        <v>30</v>
      </c>
      <c r="B1473" s="29">
        <f>IF(Setup!$K$21="","",Setup!$K$21)</f>
        <v/>
      </c>
      <c r="C1473" s="88" t="n"/>
      <c r="D1473" s="88" t="n"/>
      <c r="E1473" s="88" t="n"/>
      <c r="F1473" s="89" t="n"/>
      <c r="G1473" s="88" t="n"/>
      <c r="H1473" s="88" t="n"/>
      <c r="I1473" s="88" t="n"/>
      <c r="J1473" s="89" t="n"/>
      <c r="K1473" s="88" t="n"/>
      <c r="L1473" s="88" t="n"/>
      <c r="M1473" s="88" t="n"/>
      <c r="N1473" s="89" t="n"/>
      <c r="O1473" s="88" t="n"/>
      <c r="P1473" s="88" t="n"/>
      <c r="Q1473" s="88" t="n"/>
      <c r="R1473" s="89" t="n"/>
      <c r="S1473" s="88" t="n"/>
      <c r="T1473" s="88" t="n"/>
      <c r="U1473" s="88" t="n"/>
      <c r="V1473" s="89" t="n"/>
      <c r="W1473" s="88" t="n"/>
      <c r="X1473" s="89" t="n"/>
      <c r="Y1473" s="88" t="n"/>
      <c r="Z1473" s="89" t="n"/>
      <c r="AB1473" s="30">
        <f>IF($B1473="","",(COUNTIF(C1473:E1473,"?*")&lt;N(INDEX(Setup!$L$6:$L$23,16)))+(COUNTIF(G1473:I1473,"?*")&lt;N(INDEX(Setup!$L$6:$L$23,16)))+(COUNTIF(K1473:M1473,"?*")&lt;N(INDEX(Setup!$L$6:$L$23,16)))+(COUNTIF(O1473:Q1473,"?*")&lt;N(INDEX(Setup!$L$6:$L$23,16)))+(COUNTIF(S1473:U1473,"?*")&lt;N(INDEX(Setup!$L$6:$L$23,16)))+((W1473="")*(INDEX(Setup!$M$6:$M$23,16)="Y"))+((Y1473="")*(INDEX(Setup!$M$6:$M$23,16)="Y")))</f>
        <v/>
      </c>
      <c r="AC1473" s="91">
        <f>IF($B1473="","",IF(AB1473=0,"✓ covered","⚠ "&amp;AB1473&amp;IF(AB1473=1," gap"," gaps")))</f>
        <v/>
      </c>
    </row>
    <row r="1474" ht="17" customHeight="1">
      <c r="A1474" t="n">
        <v>30</v>
      </c>
      <c r="B1474" s="24">
        <f>IF(Setup!$K$22="","",Setup!$K$22)</f>
        <v/>
      </c>
      <c r="C1474" s="88" t="n"/>
      <c r="D1474" s="88" t="n"/>
      <c r="E1474" s="88" t="n"/>
      <c r="F1474" s="89" t="n"/>
      <c r="G1474" s="88" t="n"/>
      <c r="H1474" s="88" t="n"/>
      <c r="I1474" s="88" t="n"/>
      <c r="J1474" s="89" t="n"/>
      <c r="K1474" s="88" t="n"/>
      <c r="L1474" s="88" t="n"/>
      <c r="M1474" s="88" t="n"/>
      <c r="N1474" s="89" t="n"/>
      <c r="O1474" s="88" t="n"/>
      <c r="P1474" s="88" t="n"/>
      <c r="Q1474" s="88" t="n"/>
      <c r="R1474" s="89" t="n"/>
      <c r="S1474" s="88" t="n"/>
      <c r="T1474" s="88" t="n"/>
      <c r="U1474" s="88" t="n"/>
      <c r="V1474" s="89" t="n"/>
      <c r="W1474" s="88" t="n"/>
      <c r="X1474" s="89" t="n"/>
      <c r="Y1474" s="88" t="n"/>
      <c r="Z1474" s="89" t="n"/>
      <c r="AB1474" s="25">
        <f>IF($B1474="","",(COUNTIF(C1474:E1474,"?*")&lt;N(INDEX(Setup!$L$6:$L$23,17)))+(COUNTIF(G1474:I1474,"?*")&lt;N(INDEX(Setup!$L$6:$L$23,17)))+(COUNTIF(K1474:M1474,"?*")&lt;N(INDEX(Setup!$L$6:$L$23,17)))+(COUNTIF(O1474:Q1474,"?*")&lt;N(INDEX(Setup!$L$6:$L$23,17)))+(COUNTIF(S1474:U1474,"?*")&lt;N(INDEX(Setup!$L$6:$L$23,17)))+((W1474="")*(INDEX(Setup!$M$6:$M$23,17)="Y"))+((Y1474="")*(INDEX(Setup!$M$6:$M$23,17)="Y")))</f>
        <v/>
      </c>
      <c r="AC1474" s="90">
        <f>IF($B1474="","",IF(AB1474=0,"✓ covered","⚠ "&amp;AB1474&amp;IF(AB1474=1," gap"," gaps")))</f>
        <v/>
      </c>
    </row>
    <row r="1475" ht="17" customHeight="1">
      <c r="A1475" t="n">
        <v>30</v>
      </c>
      <c r="B1475" s="29">
        <f>IF(Setup!$K$23="","",Setup!$K$23)</f>
        <v/>
      </c>
      <c r="C1475" s="88" t="n"/>
      <c r="D1475" s="88" t="n"/>
      <c r="E1475" s="88" t="n"/>
      <c r="F1475" s="89" t="n"/>
      <c r="G1475" s="88" t="n"/>
      <c r="H1475" s="88" t="n"/>
      <c r="I1475" s="88" t="n"/>
      <c r="J1475" s="89" t="n"/>
      <c r="K1475" s="88" t="n"/>
      <c r="L1475" s="88" t="n"/>
      <c r="M1475" s="88" t="n"/>
      <c r="N1475" s="89" t="n"/>
      <c r="O1475" s="88" t="n"/>
      <c r="P1475" s="88" t="n"/>
      <c r="Q1475" s="88" t="n"/>
      <c r="R1475" s="89" t="n"/>
      <c r="S1475" s="88" t="n"/>
      <c r="T1475" s="88" t="n"/>
      <c r="U1475" s="88" t="n"/>
      <c r="V1475" s="89" t="n"/>
      <c r="W1475" s="88" t="n"/>
      <c r="X1475" s="89" t="n"/>
      <c r="Y1475" s="88" t="n"/>
      <c r="Z1475" s="89" t="n"/>
      <c r="AB1475" s="30">
        <f>IF($B1475="","",(COUNTIF(C1475:E1475,"?*")&lt;N(INDEX(Setup!$L$6:$L$23,18)))+(COUNTIF(G1475:I1475,"?*")&lt;N(INDEX(Setup!$L$6:$L$23,18)))+(COUNTIF(K1475:M1475,"?*")&lt;N(INDEX(Setup!$L$6:$L$23,18)))+(COUNTIF(O1475:Q1475,"?*")&lt;N(INDEX(Setup!$L$6:$L$23,18)))+(COUNTIF(S1475:U1475,"?*")&lt;N(INDEX(Setup!$L$6:$L$23,18)))+((W1475="")*(INDEX(Setup!$M$6:$M$23,18)="Y"))+((Y1475="")*(INDEX(Setup!$M$6:$M$23,18)="Y")))</f>
        <v/>
      </c>
      <c r="AC1475" s="91">
        <f>IF($B1475="","",IF(AB1475=0,"✓ covered","⚠ "&amp;AB1475&amp;IF(AB1475=1," gap"," gaps")))</f>
        <v/>
      </c>
    </row>
    <row r="1476" ht="18" customHeight="1">
      <c r="A1476" t="n">
        <v>30</v>
      </c>
      <c r="B1476" s="78" t="inlineStr">
        <is>
          <t>TEAM AVAILABILITY</t>
        </is>
      </c>
      <c r="C1476" s="92" t="inlineStr">
        <is>
          <t>Mon</t>
        </is>
      </c>
      <c r="D1476" s="93" t="n"/>
      <c r="E1476" s="93" t="n"/>
      <c r="F1476" s="94" t="n"/>
      <c r="G1476" s="92" t="inlineStr">
        <is>
          <t>Tue</t>
        </is>
      </c>
      <c r="H1476" s="93" t="n"/>
      <c r="I1476" s="93" t="n"/>
      <c r="J1476" s="94" t="n"/>
      <c r="K1476" s="92" t="inlineStr">
        <is>
          <t>Wed</t>
        </is>
      </c>
      <c r="L1476" s="93" t="n"/>
      <c r="M1476" s="93" t="n"/>
      <c r="N1476" s="94" t="n"/>
      <c r="O1476" s="92" t="inlineStr">
        <is>
          <t>Thu</t>
        </is>
      </c>
      <c r="P1476" s="93" t="n"/>
      <c r="Q1476" s="93" t="n"/>
      <c r="R1476" s="94" t="n"/>
      <c r="S1476" s="92" t="inlineStr">
        <is>
          <t>Fri</t>
        </is>
      </c>
      <c r="T1476" s="93" t="n"/>
      <c r="U1476" s="93" t="n"/>
      <c r="V1476" s="94" t="n"/>
      <c r="W1476" s="95" t="inlineStr">
        <is>
          <t>Sat</t>
        </is>
      </c>
      <c r="X1476" s="96" t="n"/>
      <c r="Y1476" s="95" t="inlineStr">
        <is>
          <t>Sun</t>
        </is>
      </c>
      <c r="Z1476" s="96" t="n"/>
      <c r="AB1476" s="97" t="inlineStr">
        <is>
          <t>Days rostered</t>
        </is>
      </c>
      <c r="AC1476" s="97" t="inlineStr">
        <is>
          <t>Conflicts</t>
        </is>
      </c>
    </row>
    <row r="1477" ht="15" customHeight="1">
      <c r="A1477" t="n">
        <v>30</v>
      </c>
      <c r="B1477" s="35">
        <f>IF(Setup!$B$6="","",Setup!$B$6)</f>
        <v/>
      </c>
      <c r="C1477" s="98" t="n"/>
      <c r="D1477" s="99" t="n"/>
      <c r="E1477" s="99" t="n"/>
      <c r="F1477" s="100" t="n"/>
      <c r="G1477" s="98" t="n"/>
      <c r="H1477" s="99" t="n"/>
      <c r="I1477" s="99" t="n"/>
      <c r="J1477" s="100" t="n"/>
      <c r="K1477" s="98" t="n"/>
      <c r="L1477" s="99" t="n"/>
      <c r="M1477" s="99" t="n"/>
      <c r="N1477" s="100" t="n"/>
      <c r="O1477" s="98" t="n"/>
      <c r="P1477" s="99" t="n"/>
      <c r="Q1477" s="99" t="n"/>
      <c r="R1477" s="100" t="n"/>
      <c r="S1477" s="98" t="n"/>
      <c r="T1477" s="99" t="n"/>
      <c r="U1477" s="99" t="n"/>
      <c r="V1477" s="100" t="n"/>
      <c r="W1477" s="98" t="n"/>
      <c r="X1477" s="100" t="n"/>
      <c r="Y1477" s="98" t="n"/>
      <c r="Z1477" s="100" t="n"/>
      <c r="AB1477" s="101">
        <f>IF($B1477="","",(COUNTIF(C1458:E1475,$B1477)+COUNTIF(C1458:E1475,$B1477&amp;" ~*")&gt;0)+(COUNTIF(G1458:I1475,$B1477)+COUNTIF(G1458:I1475,$B1477&amp;" ~*")&gt;0)+(COUNTIF(K1458:M1475,$B1477)+COUNTIF(K1458:M1475,$B1477&amp;" ~*")&gt;0)+(COUNTIF(O1458:Q1475,$B1477)+COUNTIF(O1458:Q1475,$B1477&amp;" ~*")&gt;0)+(COUNTIF(S1458:U1475,$B1477)+COUNTIF(S1458:U1475,$B1477&amp;" ~*")&gt;0)+(COUNTIF(W1458:W1475,$B1477)+COUNTIF(W1458:W1475,$B1477&amp;" ~*")&gt;0)+(COUNTIF(Y1458:Y1475,$B1477)+COUNTIF(Y1458:Y1475,$B1477&amp;" ~*")&gt;0))</f>
        <v/>
      </c>
      <c r="AC1477" s="36">
        <f>IF($B1477="","",(IFERROR(INDEX(Setup!$G$33:$G$40,MATCH(C1477,Setup!$B$33:$B$40,0)),0)=1)*(COUNTIF(C1458:E1475,$B1477)+COUNTIF(C1458:E1475,$B1477&amp;" ~*")&gt;0)+(IFERROR(INDEX(Setup!$G$33:$G$40,MATCH(G1477,Setup!$B$33:$B$40,0)),0)=1)*(COUNTIF(G1458:I1475,$B1477)+COUNTIF(G1458:I1475,$B1477&amp;" ~*")&gt;0)+(IFERROR(INDEX(Setup!$G$33:$G$40,MATCH(K1477,Setup!$B$33:$B$40,0)),0)=1)*(COUNTIF(K1458:M1475,$B1477)+COUNTIF(K1458:M1475,$B1477&amp;" ~*")&gt;0)+(IFERROR(INDEX(Setup!$G$33:$G$40,MATCH(O1477,Setup!$B$33:$B$40,0)),0)=1)*(COUNTIF(O1458:Q1475,$B1477)+COUNTIF(O1458:Q1475,$B1477&amp;" ~*")&gt;0)+(IFERROR(INDEX(Setup!$G$33:$G$40,MATCH(S1477,Setup!$B$33:$B$40,0)),0)=1)*(COUNTIF(S1458:U1475,$B1477)+COUNTIF(S1458:U1475,$B1477&amp;" ~*")&gt;0)+(IFERROR(INDEX(Setup!$G$33:$G$40,MATCH(W1477,Setup!$B$33:$B$40,0)),0)=1)*(COUNTIF(W1458:W1475,$B1477)+COUNTIF(W1458:W1475,$B1477&amp;" ~*")&gt;0)+(IFERROR(INDEX(Setup!$G$33:$G$40,MATCH(Y1477,Setup!$B$33:$B$40,0)),0)=1)*(COUNTIF(Y1458:Y1475,$B1477)+COUNTIF(Y1458:Y1475,$B1477&amp;" ~*")&gt;0))</f>
        <v/>
      </c>
    </row>
    <row r="1478" ht="15" customHeight="1">
      <c r="A1478" t="n">
        <v>30</v>
      </c>
      <c r="B1478" s="37">
        <f>IF(Setup!$B$7="","",Setup!$B$7)</f>
        <v/>
      </c>
      <c r="C1478" s="102" t="n"/>
      <c r="D1478" s="103" t="n"/>
      <c r="E1478" s="103" t="n"/>
      <c r="F1478" s="104" t="n"/>
      <c r="G1478" s="102" t="n"/>
      <c r="H1478" s="103" t="n"/>
      <c r="I1478" s="103" t="n"/>
      <c r="J1478" s="104" t="n"/>
      <c r="K1478" s="102" t="n"/>
      <c r="L1478" s="103" t="n"/>
      <c r="M1478" s="103" t="n"/>
      <c r="N1478" s="104" t="n"/>
      <c r="O1478" s="102" t="n"/>
      <c r="P1478" s="103" t="n"/>
      <c r="Q1478" s="103" t="n"/>
      <c r="R1478" s="104" t="n"/>
      <c r="S1478" s="102" t="n"/>
      <c r="T1478" s="103" t="n"/>
      <c r="U1478" s="103" t="n"/>
      <c r="V1478" s="104" t="n"/>
      <c r="W1478" s="102" t="n"/>
      <c r="X1478" s="104" t="n"/>
      <c r="Y1478" s="102" t="n"/>
      <c r="Z1478" s="104" t="n"/>
      <c r="AB1478" s="105">
        <f>IF($B1478="","",(COUNTIF(C1458:E1475,$B1478)+COUNTIF(C1458:E1475,$B1478&amp;" ~*")&gt;0)+(COUNTIF(G1458:I1475,$B1478)+COUNTIF(G1458:I1475,$B1478&amp;" ~*")&gt;0)+(COUNTIF(K1458:M1475,$B1478)+COUNTIF(K1458:M1475,$B1478&amp;" ~*")&gt;0)+(COUNTIF(O1458:Q1475,$B1478)+COUNTIF(O1458:Q1475,$B1478&amp;" ~*")&gt;0)+(COUNTIF(S1458:U1475,$B1478)+COUNTIF(S1458:U1475,$B1478&amp;" ~*")&gt;0)+(COUNTIF(W1458:W1475,$B1478)+COUNTIF(W1458:W1475,$B1478&amp;" ~*")&gt;0)+(COUNTIF(Y1458:Y1475,$B1478)+COUNTIF(Y1458:Y1475,$B1478&amp;" ~*")&gt;0))</f>
        <v/>
      </c>
      <c r="AC1478" s="38">
        <f>IF($B1478="","",(IFERROR(INDEX(Setup!$G$33:$G$40,MATCH(C1478,Setup!$B$33:$B$40,0)),0)=1)*(COUNTIF(C1458:E1475,$B1478)+COUNTIF(C1458:E1475,$B1478&amp;" ~*")&gt;0)+(IFERROR(INDEX(Setup!$G$33:$G$40,MATCH(G1478,Setup!$B$33:$B$40,0)),0)=1)*(COUNTIF(G1458:I1475,$B1478)+COUNTIF(G1458:I1475,$B1478&amp;" ~*")&gt;0)+(IFERROR(INDEX(Setup!$G$33:$G$40,MATCH(K1478,Setup!$B$33:$B$40,0)),0)=1)*(COUNTIF(K1458:M1475,$B1478)+COUNTIF(K1458:M1475,$B1478&amp;" ~*")&gt;0)+(IFERROR(INDEX(Setup!$G$33:$G$40,MATCH(O1478,Setup!$B$33:$B$40,0)),0)=1)*(COUNTIF(O1458:Q1475,$B1478)+COUNTIF(O1458:Q1475,$B1478&amp;" ~*")&gt;0)+(IFERROR(INDEX(Setup!$G$33:$G$40,MATCH(S1478,Setup!$B$33:$B$40,0)),0)=1)*(COUNTIF(S1458:U1475,$B1478)+COUNTIF(S1458:U1475,$B1478&amp;" ~*")&gt;0)+(IFERROR(INDEX(Setup!$G$33:$G$40,MATCH(W1478,Setup!$B$33:$B$40,0)),0)=1)*(COUNTIF(W1458:W1475,$B1478)+COUNTIF(W1458:W1475,$B1478&amp;" ~*")&gt;0)+(IFERROR(INDEX(Setup!$G$33:$G$40,MATCH(Y1478,Setup!$B$33:$B$40,0)),0)=1)*(COUNTIF(Y1458:Y1475,$B1478)+COUNTIF(Y1458:Y1475,$B1478&amp;" ~*")&gt;0))</f>
        <v/>
      </c>
    </row>
    <row r="1479" ht="15" customHeight="1">
      <c r="A1479" t="n">
        <v>30</v>
      </c>
      <c r="B1479" s="35">
        <f>IF(Setup!$B$8="","",Setup!$B$8)</f>
        <v/>
      </c>
      <c r="C1479" s="98" t="n"/>
      <c r="D1479" s="99" t="n"/>
      <c r="E1479" s="99" t="n"/>
      <c r="F1479" s="100" t="n"/>
      <c r="G1479" s="98" t="n"/>
      <c r="H1479" s="99" t="n"/>
      <c r="I1479" s="99" t="n"/>
      <c r="J1479" s="100" t="n"/>
      <c r="K1479" s="98" t="n"/>
      <c r="L1479" s="99" t="n"/>
      <c r="M1479" s="99" t="n"/>
      <c r="N1479" s="100" t="n"/>
      <c r="O1479" s="98" t="n"/>
      <c r="P1479" s="99" t="n"/>
      <c r="Q1479" s="99" t="n"/>
      <c r="R1479" s="100" t="n"/>
      <c r="S1479" s="98" t="n"/>
      <c r="T1479" s="99" t="n"/>
      <c r="U1479" s="99" t="n"/>
      <c r="V1479" s="100" t="n"/>
      <c r="W1479" s="98" t="n"/>
      <c r="X1479" s="100" t="n"/>
      <c r="Y1479" s="98" t="n"/>
      <c r="Z1479" s="100" t="n"/>
      <c r="AB1479" s="101">
        <f>IF($B1479="","",(COUNTIF(C1458:E1475,$B1479)+COUNTIF(C1458:E1475,$B1479&amp;" ~*")&gt;0)+(COUNTIF(G1458:I1475,$B1479)+COUNTIF(G1458:I1475,$B1479&amp;" ~*")&gt;0)+(COUNTIF(K1458:M1475,$B1479)+COUNTIF(K1458:M1475,$B1479&amp;" ~*")&gt;0)+(COUNTIF(O1458:Q1475,$B1479)+COUNTIF(O1458:Q1475,$B1479&amp;" ~*")&gt;0)+(COUNTIF(S1458:U1475,$B1479)+COUNTIF(S1458:U1475,$B1479&amp;" ~*")&gt;0)+(COUNTIF(W1458:W1475,$B1479)+COUNTIF(W1458:W1475,$B1479&amp;" ~*")&gt;0)+(COUNTIF(Y1458:Y1475,$B1479)+COUNTIF(Y1458:Y1475,$B1479&amp;" ~*")&gt;0))</f>
        <v/>
      </c>
      <c r="AC1479" s="36">
        <f>IF($B1479="","",(IFERROR(INDEX(Setup!$G$33:$G$40,MATCH(C1479,Setup!$B$33:$B$40,0)),0)=1)*(COUNTIF(C1458:E1475,$B1479)+COUNTIF(C1458:E1475,$B1479&amp;" ~*")&gt;0)+(IFERROR(INDEX(Setup!$G$33:$G$40,MATCH(G1479,Setup!$B$33:$B$40,0)),0)=1)*(COUNTIF(G1458:I1475,$B1479)+COUNTIF(G1458:I1475,$B1479&amp;" ~*")&gt;0)+(IFERROR(INDEX(Setup!$G$33:$G$40,MATCH(K1479,Setup!$B$33:$B$40,0)),0)=1)*(COUNTIF(K1458:M1475,$B1479)+COUNTIF(K1458:M1475,$B1479&amp;" ~*")&gt;0)+(IFERROR(INDEX(Setup!$G$33:$G$40,MATCH(O1479,Setup!$B$33:$B$40,0)),0)=1)*(COUNTIF(O1458:Q1475,$B1479)+COUNTIF(O1458:Q1475,$B1479&amp;" ~*")&gt;0)+(IFERROR(INDEX(Setup!$G$33:$G$40,MATCH(S1479,Setup!$B$33:$B$40,0)),0)=1)*(COUNTIF(S1458:U1475,$B1479)+COUNTIF(S1458:U1475,$B1479&amp;" ~*")&gt;0)+(IFERROR(INDEX(Setup!$G$33:$G$40,MATCH(W1479,Setup!$B$33:$B$40,0)),0)=1)*(COUNTIF(W1458:W1475,$B1479)+COUNTIF(W1458:W1475,$B1479&amp;" ~*")&gt;0)+(IFERROR(INDEX(Setup!$G$33:$G$40,MATCH(Y1479,Setup!$B$33:$B$40,0)),0)=1)*(COUNTIF(Y1458:Y1475,$B1479)+COUNTIF(Y1458:Y1475,$B1479&amp;" ~*")&gt;0))</f>
        <v/>
      </c>
    </row>
    <row r="1480" ht="15" customHeight="1">
      <c r="A1480" t="n">
        <v>30</v>
      </c>
      <c r="B1480" s="37">
        <f>IF(Setup!$B$9="","",Setup!$B$9)</f>
        <v/>
      </c>
      <c r="C1480" s="102" t="n"/>
      <c r="D1480" s="103" t="n"/>
      <c r="E1480" s="103" t="n"/>
      <c r="F1480" s="104" t="n"/>
      <c r="G1480" s="102" t="n"/>
      <c r="H1480" s="103" t="n"/>
      <c r="I1480" s="103" t="n"/>
      <c r="J1480" s="104" t="n"/>
      <c r="K1480" s="102" t="n"/>
      <c r="L1480" s="103" t="n"/>
      <c r="M1480" s="103" t="n"/>
      <c r="N1480" s="104" t="n"/>
      <c r="O1480" s="102" t="n"/>
      <c r="P1480" s="103" t="n"/>
      <c r="Q1480" s="103" t="n"/>
      <c r="R1480" s="104" t="n"/>
      <c r="S1480" s="102" t="n"/>
      <c r="T1480" s="103" t="n"/>
      <c r="U1480" s="103" t="n"/>
      <c r="V1480" s="104" t="n"/>
      <c r="W1480" s="102" t="n"/>
      <c r="X1480" s="104" t="n"/>
      <c r="Y1480" s="102" t="n"/>
      <c r="Z1480" s="104" t="n"/>
      <c r="AB1480" s="105">
        <f>IF($B1480="","",(COUNTIF(C1458:E1475,$B1480)+COUNTIF(C1458:E1475,$B1480&amp;" ~*")&gt;0)+(COUNTIF(G1458:I1475,$B1480)+COUNTIF(G1458:I1475,$B1480&amp;" ~*")&gt;0)+(COUNTIF(K1458:M1475,$B1480)+COUNTIF(K1458:M1475,$B1480&amp;" ~*")&gt;0)+(COUNTIF(O1458:Q1475,$B1480)+COUNTIF(O1458:Q1475,$B1480&amp;" ~*")&gt;0)+(COUNTIF(S1458:U1475,$B1480)+COUNTIF(S1458:U1475,$B1480&amp;" ~*")&gt;0)+(COUNTIF(W1458:W1475,$B1480)+COUNTIF(W1458:W1475,$B1480&amp;" ~*")&gt;0)+(COUNTIF(Y1458:Y1475,$B1480)+COUNTIF(Y1458:Y1475,$B1480&amp;" ~*")&gt;0))</f>
        <v/>
      </c>
      <c r="AC1480" s="38">
        <f>IF($B1480="","",(IFERROR(INDEX(Setup!$G$33:$G$40,MATCH(C1480,Setup!$B$33:$B$40,0)),0)=1)*(COUNTIF(C1458:E1475,$B1480)+COUNTIF(C1458:E1475,$B1480&amp;" ~*")&gt;0)+(IFERROR(INDEX(Setup!$G$33:$G$40,MATCH(G1480,Setup!$B$33:$B$40,0)),0)=1)*(COUNTIF(G1458:I1475,$B1480)+COUNTIF(G1458:I1475,$B1480&amp;" ~*")&gt;0)+(IFERROR(INDEX(Setup!$G$33:$G$40,MATCH(K1480,Setup!$B$33:$B$40,0)),0)=1)*(COUNTIF(K1458:M1475,$B1480)+COUNTIF(K1458:M1475,$B1480&amp;" ~*")&gt;0)+(IFERROR(INDEX(Setup!$G$33:$G$40,MATCH(O1480,Setup!$B$33:$B$40,0)),0)=1)*(COUNTIF(O1458:Q1475,$B1480)+COUNTIF(O1458:Q1475,$B1480&amp;" ~*")&gt;0)+(IFERROR(INDEX(Setup!$G$33:$G$40,MATCH(S1480,Setup!$B$33:$B$40,0)),0)=1)*(COUNTIF(S1458:U1475,$B1480)+COUNTIF(S1458:U1475,$B1480&amp;" ~*")&gt;0)+(IFERROR(INDEX(Setup!$G$33:$G$40,MATCH(W1480,Setup!$B$33:$B$40,0)),0)=1)*(COUNTIF(W1458:W1475,$B1480)+COUNTIF(W1458:W1475,$B1480&amp;" ~*")&gt;0)+(IFERROR(INDEX(Setup!$G$33:$G$40,MATCH(Y1480,Setup!$B$33:$B$40,0)),0)=1)*(COUNTIF(Y1458:Y1475,$B1480)+COUNTIF(Y1458:Y1475,$B1480&amp;" ~*")&gt;0))</f>
        <v/>
      </c>
    </row>
    <row r="1481" ht="15" customHeight="1">
      <c r="A1481" t="n">
        <v>30</v>
      </c>
      <c r="B1481" s="35">
        <f>IF(Setup!$B$10="","",Setup!$B$10)</f>
        <v/>
      </c>
      <c r="C1481" s="98" t="n"/>
      <c r="D1481" s="99" t="n"/>
      <c r="E1481" s="99" t="n"/>
      <c r="F1481" s="100" t="n"/>
      <c r="G1481" s="98" t="n"/>
      <c r="H1481" s="99" t="n"/>
      <c r="I1481" s="99" t="n"/>
      <c r="J1481" s="100" t="n"/>
      <c r="K1481" s="98" t="n"/>
      <c r="L1481" s="99" t="n"/>
      <c r="M1481" s="99" t="n"/>
      <c r="N1481" s="100" t="n"/>
      <c r="O1481" s="98" t="n"/>
      <c r="P1481" s="99" t="n"/>
      <c r="Q1481" s="99" t="n"/>
      <c r="R1481" s="100" t="n"/>
      <c r="S1481" s="98" t="n"/>
      <c r="T1481" s="99" t="n"/>
      <c r="U1481" s="99" t="n"/>
      <c r="V1481" s="100" t="n"/>
      <c r="W1481" s="98" t="n"/>
      <c r="X1481" s="100" t="n"/>
      <c r="Y1481" s="98" t="n"/>
      <c r="Z1481" s="100" t="n"/>
      <c r="AB1481" s="101">
        <f>IF($B1481="","",(COUNTIF(C1458:E1475,$B1481)+COUNTIF(C1458:E1475,$B1481&amp;" ~*")&gt;0)+(COUNTIF(G1458:I1475,$B1481)+COUNTIF(G1458:I1475,$B1481&amp;" ~*")&gt;0)+(COUNTIF(K1458:M1475,$B1481)+COUNTIF(K1458:M1475,$B1481&amp;" ~*")&gt;0)+(COUNTIF(O1458:Q1475,$B1481)+COUNTIF(O1458:Q1475,$B1481&amp;" ~*")&gt;0)+(COUNTIF(S1458:U1475,$B1481)+COUNTIF(S1458:U1475,$B1481&amp;" ~*")&gt;0)+(COUNTIF(W1458:W1475,$B1481)+COUNTIF(W1458:W1475,$B1481&amp;" ~*")&gt;0)+(COUNTIF(Y1458:Y1475,$B1481)+COUNTIF(Y1458:Y1475,$B1481&amp;" ~*")&gt;0))</f>
        <v/>
      </c>
      <c r="AC1481" s="36">
        <f>IF($B1481="","",(IFERROR(INDEX(Setup!$G$33:$G$40,MATCH(C1481,Setup!$B$33:$B$40,0)),0)=1)*(COUNTIF(C1458:E1475,$B1481)+COUNTIF(C1458:E1475,$B1481&amp;" ~*")&gt;0)+(IFERROR(INDEX(Setup!$G$33:$G$40,MATCH(G1481,Setup!$B$33:$B$40,0)),0)=1)*(COUNTIF(G1458:I1475,$B1481)+COUNTIF(G1458:I1475,$B1481&amp;" ~*")&gt;0)+(IFERROR(INDEX(Setup!$G$33:$G$40,MATCH(K1481,Setup!$B$33:$B$40,0)),0)=1)*(COUNTIF(K1458:M1475,$B1481)+COUNTIF(K1458:M1475,$B1481&amp;" ~*")&gt;0)+(IFERROR(INDEX(Setup!$G$33:$G$40,MATCH(O1481,Setup!$B$33:$B$40,0)),0)=1)*(COUNTIF(O1458:Q1475,$B1481)+COUNTIF(O1458:Q1475,$B1481&amp;" ~*")&gt;0)+(IFERROR(INDEX(Setup!$G$33:$G$40,MATCH(S1481,Setup!$B$33:$B$40,0)),0)=1)*(COUNTIF(S1458:U1475,$B1481)+COUNTIF(S1458:U1475,$B1481&amp;" ~*")&gt;0)+(IFERROR(INDEX(Setup!$G$33:$G$40,MATCH(W1481,Setup!$B$33:$B$40,0)),0)=1)*(COUNTIF(W1458:W1475,$B1481)+COUNTIF(W1458:W1475,$B1481&amp;" ~*")&gt;0)+(IFERROR(INDEX(Setup!$G$33:$G$40,MATCH(Y1481,Setup!$B$33:$B$40,0)),0)=1)*(COUNTIF(Y1458:Y1475,$B1481)+COUNTIF(Y1458:Y1475,$B1481&amp;" ~*")&gt;0))</f>
        <v/>
      </c>
    </row>
    <row r="1482" ht="15" customHeight="1">
      <c r="A1482" t="n">
        <v>30</v>
      </c>
      <c r="B1482" s="37">
        <f>IF(Setup!$B$11="","",Setup!$B$11)</f>
        <v/>
      </c>
      <c r="C1482" s="102" t="n"/>
      <c r="D1482" s="103" t="n"/>
      <c r="E1482" s="103" t="n"/>
      <c r="F1482" s="104" t="n"/>
      <c r="G1482" s="102" t="n"/>
      <c r="H1482" s="103" t="n"/>
      <c r="I1482" s="103" t="n"/>
      <c r="J1482" s="104" t="n"/>
      <c r="K1482" s="102" t="n"/>
      <c r="L1482" s="103" t="n"/>
      <c r="M1482" s="103" t="n"/>
      <c r="N1482" s="104" t="n"/>
      <c r="O1482" s="102" t="n"/>
      <c r="P1482" s="103" t="n"/>
      <c r="Q1482" s="103" t="n"/>
      <c r="R1482" s="104" t="n"/>
      <c r="S1482" s="102" t="n"/>
      <c r="T1482" s="103" t="n"/>
      <c r="U1482" s="103" t="n"/>
      <c r="V1482" s="104" t="n"/>
      <c r="W1482" s="102" t="n"/>
      <c r="X1482" s="104" t="n"/>
      <c r="Y1482" s="102" t="n"/>
      <c r="Z1482" s="104" t="n"/>
      <c r="AB1482" s="105">
        <f>IF($B1482="","",(COUNTIF(C1458:E1475,$B1482)+COUNTIF(C1458:E1475,$B1482&amp;" ~*")&gt;0)+(COUNTIF(G1458:I1475,$B1482)+COUNTIF(G1458:I1475,$B1482&amp;" ~*")&gt;0)+(COUNTIF(K1458:M1475,$B1482)+COUNTIF(K1458:M1475,$B1482&amp;" ~*")&gt;0)+(COUNTIF(O1458:Q1475,$B1482)+COUNTIF(O1458:Q1475,$B1482&amp;" ~*")&gt;0)+(COUNTIF(S1458:U1475,$B1482)+COUNTIF(S1458:U1475,$B1482&amp;" ~*")&gt;0)+(COUNTIF(W1458:W1475,$B1482)+COUNTIF(W1458:W1475,$B1482&amp;" ~*")&gt;0)+(COUNTIF(Y1458:Y1475,$B1482)+COUNTIF(Y1458:Y1475,$B1482&amp;" ~*")&gt;0))</f>
        <v/>
      </c>
      <c r="AC1482" s="38">
        <f>IF($B1482="","",(IFERROR(INDEX(Setup!$G$33:$G$40,MATCH(C1482,Setup!$B$33:$B$40,0)),0)=1)*(COUNTIF(C1458:E1475,$B1482)+COUNTIF(C1458:E1475,$B1482&amp;" ~*")&gt;0)+(IFERROR(INDEX(Setup!$G$33:$G$40,MATCH(G1482,Setup!$B$33:$B$40,0)),0)=1)*(COUNTIF(G1458:I1475,$B1482)+COUNTIF(G1458:I1475,$B1482&amp;" ~*")&gt;0)+(IFERROR(INDEX(Setup!$G$33:$G$40,MATCH(K1482,Setup!$B$33:$B$40,0)),0)=1)*(COUNTIF(K1458:M1475,$B1482)+COUNTIF(K1458:M1475,$B1482&amp;" ~*")&gt;0)+(IFERROR(INDEX(Setup!$G$33:$G$40,MATCH(O1482,Setup!$B$33:$B$40,0)),0)=1)*(COUNTIF(O1458:Q1475,$B1482)+COUNTIF(O1458:Q1475,$B1482&amp;" ~*")&gt;0)+(IFERROR(INDEX(Setup!$G$33:$G$40,MATCH(S1482,Setup!$B$33:$B$40,0)),0)=1)*(COUNTIF(S1458:U1475,$B1482)+COUNTIF(S1458:U1475,$B1482&amp;" ~*")&gt;0)+(IFERROR(INDEX(Setup!$G$33:$G$40,MATCH(W1482,Setup!$B$33:$B$40,0)),0)=1)*(COUNTIF(W1458:W1475,$B1482)+COUNTIF(W1458:W1475,$B1482&amp;" ~*")&gt;0)+(IFERROR(INDEX(Setup!$G$33:$G$40,MATCH(Y1482,Setup!$B$33:$B$40,0)),0)=1)*(COUNTIF(Y1458:Y1475,$B1482)+COUNTIF(Y1458:Y1475,$B1482&amp;" ~*")&gt;0))</f>
        <v/>
      </c>
    </row>
    <row r="1483" ht="15" customHeight="1">
      <c r="A1483" t="n">
        <v>30</v>
      </c>
      <c r="B1483" s="35">
        <f>IF(Setup!$B$12="","",Setup!$B$12)</f>
        <v/>
      </c>
      <c r="C1483" s="98" t="n"/>
      <c r="D1483" s="99" t="n"/>
      <c r="E1483" s="99" t="n"/>
      <c r="F1483" s="100" t="n"/>
      <c r="G1483" s="98" t="n"/>
      <c r="H1483" s="99" t="n"/>
      <c r="I1483" s="99" t="n"/>
      <c r="J1483" s="100" t="n"/>
      <c r="K1483" s="98" t="n"/>
      <c r="L1483" s="99" t="n"/>
      <c r="M1483" s="99" t="n"/>
      <c r="N1483" s="100" t="n"/>
      <c r="O1483" s="98" t="n"/>
      <c r="P1483" s="99" t="n"/>
      <c r="Q1483" s="99" t="n"/>
      <c r="R1483" s="100" t="n"/>
      <c r="S1483" s="98" t="n"/>
      <c r="T1483" s="99" t="n"/>
      <c r="U1483" s="99" t="n"/>
      <c r="V1483" s="100" t="n"/>
      <c r="W1483" s="98" t="n"/>
      <c r="X1483" s="100" t="n"/>
      <c r="Y1483" s="98" t="n"/>
      <c r="Z1483" s="100" t="n"/>
      <c r="AB1483" s="101">
        <f>IF($B1483="","",(COUNTIF(C1458:E1475,$B1483)+COUNTIF(C1458:E1475,$B1483&amp;" ~*")&gt;0)+(COUNTIF(G1458:I1475,$B1483)+COUNTIF(G1458:I1475,$B1483&amp;" ~*")&gt;0)+(COUNTIF(K1458:M1475,$B1483)+COUNTIF(K1458:M1475,$B1483&amp;" ~*")&gt;0)+(COUNTIF(O1458:Q1475,$B1483)+COUNTIF(O1458:Q1475,$B1483&amp;" ~*")&gt;0)+(COUNTIF(S1458:U1475,$B1483)+COUNTIF(S1458:U1475,$B1483&amp;" ~*")&gt;0)+(COUNTIF(W1458:W1475,$B1483)+COUNTIF(W1458:W1475,$B1483&amp;" ~*")&gt;0)+(COUNTIF(Y1458:Y1475,$B1483)+COUNTIF(Y1458:Y1475,$B1483&amp;" ~*")&gt;0))</f>
        <v/>
      </c>
      <c r="AC1483" s="36">
        <f>IF($B1483="","",(IFERROR(INDEX(Setup!$G$33:$G$40,MATCH(C1483,Setup!$B$33:$B$40,0)),0)=1)*(COUNTIF(C1458:E1475,$B1483)+COUNTIF(C1458:E1475,$B1483&amp;" ~*")&gt;0)+(IFERROR(INDEX(Setup!$G$33:$G$40,MATCH(G1483,Setup!$B$33:$B$40,0)),0)=1)*(COUNTIF(G1458:I1475,$B1483)+COUNTIF(G1458:I1475,$B1483&amp;" ~*")&gt;0)+(IFERROR(INDEX(Setup!$G$33:$G$40,MATCH(K1483,Setup!$B$33:$B$40,0)),0)=1)*(COUNTIF(K1458:M1475,$B1483)+COUNTIF(K1458:M1475,$B1483&amp;" ~*")&gt;0)+(IFERROR(INDEX(Setup!$G$33:$G$40,MATCH(O1483,Setup!$B$33:$B$40,0)),0)=1)*(COUNTIF(O1458:Q1475,$B1483)+COUNTIF(O1458:Q1475,$B1483&amp;" ~*")&gt;0)+(IFERROR(INDEX(Setup!$G$33:$G$40,MATCH(S1483,Setup!$B$33:$B$40,0)),0)=1)*(COUNTIF(S1458:U1475,$B1483)+COUNTIF(S1458:U1475,$B1483&amp;" ~*")&gt;0)+(IFERROR(INDEX(Setup!$G$33:$G$40,MATCH(W1483,Setup!$B$33:$B$40,0)),0)=1)*(COUNTIF(W1458:W1475,$B1483)+COUNTIF(W1458:W1475,$B1483&amp;" ~*")&gt;0)+(IFERROR(INDEX(Setup!$G$33:$G$40,MATCH(Y1483,Setup!$B$33:$B$40,0)),0)=1)*(COUNTIF(Y1458:Y1475,$B1483)+COUNTIF(Y1458:Y1475,$B1483&amp;" ~*")&gt;0))</f>
        <v/>
      </c>
    </row>
    <row r="1484" ht="15" customHeight="1">
      <c r="A1484" t="n">
        <v>30</v>
      </c>
      <c r="B1484" s="37">
        <f>IF(Setup!$B$13="","",Setup!$B$13)</f>
        <v/>
      </c>
      <c r="C1484" s="102" t="n"/>
      <c r="D1484" s="103" t="n"/>
      <c r="E1484" s="103" t="n"/>
      <c r="F1484" s="104" t="n"/>
      <c r="G1484" s="102" t="n"/>
      <c r="H1484" s="103" t="n"/>
      <c r="I1484" s="103" t="n"/>
      <c r="J1484" s="104" t="n"/>
      <c r="K1484" s="102" t="n"/>
      <c r="L1484" s="103" t="n"/>
      <c r="M1484" s="103" t="n"/>
      <c r="N1484" s="104" t="n"/>
      <c r="O1484" s="102" t="n"/>
      <c r="P1484" s="103" t="n"/>
      <c r="Q1484" s="103" t="n"/>
      <c r="R1484" s="104" t="n"/>
      <c r="S1484" s="102" t="n"/>
      <c r="T1484" s="103" t="n"/>
      <c r="U1484" s="103" t="n"/>
      <c r="V1484" s="104" t="n"/>
      <c r="W1484" s="102" t="n"/>
      <c r="X1484" s="104" t="n"/>
      <c r="Y1484" s="102" t="n"/>
      <c r="Z1484" s="104" t="n"/>
      <c r="AB1484" s="105">
        <f>IF($B1484="","",(COUNTIF(C1458:E1475,$B1484)+COUNTIF(C1458:E1475,$B1484&amp;" ~*")&gt;0)+(COUNTIF(G1458:I1475,$B1484)+COUNTIF(G1458:I1475,$B1484&amp;" ~*")&gt;0)+(COUNTIF(K1458:M1475,$B1484)+COUNTIF(K1458:M1475,$B1484&amp;" ~*")&gt;0)+(COUNTIF(O1458:Q1475,$B1484)+COUNTIF(O1458:Q1475,$B1484&amp;" ~*")&gt;0)+(COUNTIF(S1458:U1475,$B1484)+COUNTIF(S1458:U1475,$B1484&amp;" ~*")&gt;0)+(COUNTIF(W1458:W1475,$B1484)+COUNTIF(W1458:W1475,$B1484&amp;" ~*")&gt;0)+(COUNTIF(Y1458:Y1475,$B1484)+COUNTIF(Y1458:Y1475,$B1484&amp;" ~*")&gt;0))</f>
        <v/>
      </c>
      <c r="AC1484" s="38">
        <f>IF($B1484="","",(IFERROR(INDEX(Setup!$G$33:$G$40,MATCH(C1484,Setup!$B$33:$B$40,0)),0)=1)*(COUNTIF(C1458:E1475,$B1484)+COUNTIF(C1458:E1475,$B1484&amp;" ~*")&gt;0)+(IFERROR(INDEX(Setup!$G$33:$G$40,MATCH(G1484,Setup!$B$33:$B$40,0)),0)=1)*(COUNTIF(G1458:I1475,$B1484)+COUNTIF(G1458:I1475,$B1484&amp;" ~*")&gt;0)+(IFERROR(INDEX(Setup!$G$33:$G$40,MATCH(K1484,Setup!$B$33:$B$40,0)),0)=1)*(COUNTIF(K1458:M1475,$B1484)+COUNTIF(K1458:M1475,$B1484&amp;" ~*")&gt;0)+(IFERROR(INDEX(Setup!$G$33:$G$40,MATCH(O1484,Setup!$B$33:$B$40,0)),0)=1)*(COUNTIF(O1458:Q1475,$B1484)+COUNTIF(O1458:Q1475,$B1484&amp;" ~*")&gt;0)+(IFERROR(INDEX(Setup!$G$33:$G$40,MATCH(S1484,Setup!$B$33:$B$40,0)),0)=1)*(COUNTIF(S1458:U1475,$B1484)+COUNTIF(S1458:U1475,$B1484&amp;" ~*")&gt;0)+(IFERROR(INDEX(Setup!$G$33:$G$40,MATCH(W1484,Setup!$B$33:$B$40,0)),0)=1)*(COUNTIF(W1458:W1475,$B1484)+COUNTIF(W1458:W1475,$B1484&amp;" ~*")&gt;0)+(IFERROR(INDEX(Setup!$G$33:$G$40,MATCH(Y1484,Setup!$B$33:$B$40,0)),0)=1)*(COUNTIF(Y1458:Y1475,$B1484)+COUNTIF(Y1458:Y1475,$B1484&amp;" ~*")&gt;0))</f>
        <v/>
      </c>
    </row>
    <row r="1485" ht="15" customHeight="1">
      <c r="A1485" t="n">
        <v>30</v>
      </c>
      <c r="B1485" s="35">
        <f>IF(Setup!$B$14="","",Setup!$B$14)</f>
        <v/>
      </c>
      <c r="C1485" s="98" t="n"/>
      <c r="D1485" s="99" t="n"/>
      <c r="E1485" s="99" t="n"/>
      <c r="F1485" s="100" t="n"/>
      <c r="G1485" s="98" t="n"/>
      <c r="H1485" s="99" t="n"/>
      <c r="I1485" s="99" t="n"/>
      <c r="J1485" s="100" t="n"/>
      <c r="K1485" s="98" t="n"/>
      <c r="L1485" s="99" t="n"/>
      <c r="M1485" s="99" t="n"/>
      <c r="N1485" s="100" t="n"/>
      <c r="O1485" s="98" t="n"/>
      <c r="P1485" s="99" t="n"/>
      <c r="Q1485" s="99" t="n"/>
      <c r="R1485" s="100" t="n"/>
      <c r="S1485" s="98" t="n"/>
      <c r="T1485" s="99" t="n"/>
      <c r="U1485" s="99" t="n"/>
      <c r="V1485" s="100" t="n"/>
      <c r="W1485" s="98" t="n"/>
      <c r="X1485" s="100" t="n"/>
      <c r="Y1485" s="98" t="n"/>
      <c r="Z1485" s="100" t="n"/>
      <c r="AB1485" s="101">
        <f>IF($B1485="","",(COUNTIF(C1458:E1475,$B1485)+COUNTIF(C1458:E1475,$B1485&amp;" ~*")&gt;0)+(COUNTIF(G1458:I1475,$B1485)+COUNTIF(G1458:I1475,$B1485&amp;" ~*")&gt;0)+(COUNTIF(K1458:M1475,$B1485)+COUNTIF(K1458:M1475,$B1485&amp;" ~*")&gt;0)+(COUNTIF(O1458:Q1475,$B1485)+COUNTIF(O1458:Q1475,$B1485&amp;" ~*")&gt;0)+(COUNTIF(S1458:U1475,$B1485)+COUNTIF(S1458:U1475,$B1485&amp;" ~*")&gt;0)+(COUNTIF(W1458:W1475,$B1485)+COUNTIF(W1458:W1475,$B1485&amp;" ~*")&gt;0)+(COUNTIF(Y1458:Y1475,$B1485)+COUNTIF(Y1458:Y1475,$B1485&amp;" ~*")&gt;0))</f>
        <v/>
      </c>
      <c r="AC1485" s="36">
        <f>IF($B1485="","",(IFERROR(INDEX(Setup!$G$33:$G$40,MATCH(C1485,Setup!$B$33:$B$40,0)),0)=1)*(COUNTIF(C1458:E1475,$B1485)+COUNTIF(C1458:E1475,$B1485&amp;" ~*")&gt;0)+(IFERROR(INDEX(Setup!$G$33:$G$40,MATCH(G1485,Setup!$B$33:$B$40,0)),0)=1)*(COUNTIF(G1458:I1475,$B1485)+COUNTIF(G1458:I1475,$B1485&amp;" ~*")&gt;0)+(IFERROR(INDEX(Setup!$G$33:$G$40,MATCH(K1485,Setup!$B$33:$B$40,0)),0)=1)*(COUNTIF(K1458:M1475,$B1485)+COUNTIF(K1458:M1475,$B1485&amp;" ~*")&gt;0)+(IFERROR(INDEX(Setup!$G$33:$G$40,MATCH(O1485,Setup!$B$33:$B$40,0)),0)=1)*(COUNTIF(O1458:Q1475,$B1485)+COUNTIF(O1458:Q1475,$B1485&amp;" ~*")&gt;0)+(IFERROR(INDEX(Setup!$G$33:$G$40,MATCH(S1485,Setup!$B$33:$B$40,0)),0)=1)*(COUNTIF(S1458:U1475,$B1485)+COUNTIF(S1458:U1475,$B1485&amp;" ~*")&gt;0)+(IFERROR(INDEX(Setup!$G$33:$G$40,MATCH(W1485,Setup!$B$33:$B$40,0)),0)=1)*(COUNTIF(W1458:W1475,$B1485)+COUNTIF(W1458:W1475,$B1485&amp;" ~*")&gt;0)+(IFERROR(INDEX(Setup!$G$33:$G$40,MATCH(Y1485,Setup!$B$33:$B$40,0)),0)=1)*(COUNTIF(Y1458:Y1475,$B1485)+COUNTIF(Y1458:Y1475,$B1485&amp;" ~*")&gt;0))</f>
        <v/>
      </c>
    </row>
    <row r="1486" ht="15" customHeight="1">
      <c r="A1486" t="n">
        <v>30</v>
      </c>
      <c r="B1486" s="37">
        <f>IF(Setup!$B$15="","",Setup!$B$15)</f>
        <v/>
      </c>
      <c r="C1486" s="102" t="n"/>
      <c r="D1486" s="103" t="n"/>
      <c r="E1486" s="103" t="n"/>
      <c r="F1486" s="104" t="n"/>
      <c r="G1486" s="102" t="n"/>
      <c r="H1486" s="103" t="n"/>
      <c r="I1486" s="103" t="n"/>
      <c r="J1486" s="104" t="n"/>
      <c r="K1486" s="102" t="n"/>
      <c r="L1486" s="103" t="n"/>
      <c r="M1486" s="103" t="n"/>
      <c r="N1486" s="104" t="n"/>
      <c r="O1486" s="102" t="n"/>
      <c r="P1486" s="103" t="n"/>
      <c r="Q1486" s="103" t="n"/>
      <c r="R1486" s="104" t="n"/>
      <c r="S1486" s="102" t="n"/>
      <c r="T1486" s="103" t="n"/>
      <c r="U1486" s="103" t="n"/>
      <c r="V1486" s="104" t="n"/>
      <c r="W1486" s="102" t="n"/>
      <c r="X1486" s="104" t="n"/>
      <c r="Y1486" s="102" t="n"/>
      <c r="Z1486" s="104" t="n"/>
      <c r="AB1486" s="105">
        <f>IF($B1486="","",(COUNTIF(C1458:E1475,$B1486)+COUNTIF(C1458:E1475,$B1486&amp;" ~*")&gt;0)+(COUNTIF(G1458:I1475,$B1486)+COUNTIF(G1458:I1475,$B1486&amp;" ~*")&gt;0)+(COUNTIF(K1458:M1475,$B1486)+COUNTIF(K1458:M1475,$B1486&amp;" ~*")&gt;0)+(COUNTIF(O1458:Q1475,$B1486)+COUNTIF(O1458:Q1475,$B1486&amp;" ~*")&gt;0)+(COUNTIF(S1458:U1475,$B1486)+COUNTIF(S1458:U1475,$B1486&amp;" ~*")&gt;0)+(COUNTIF(W1458:W1475,$B1486)+COUNTIF(W1458:W1475,$B1486&amp;" ~*")&gt;0)+(COUNTIF(Y1458:Y1475,$B1486)+COUNTIF(Y1458:Y1475,$B1486&amp;" ~*")&gt;0))</f>
        <v/>
      </c>
      <c r="AC1486" s="38">
        <f>IF($B1486="","",(IFERROR(INDEX(Setup!$G$33:$G$40,MATCH(C1486,Setup!$B$33:$B$40,0)),0)=1)*(COUNTIF(C1458:E1475,$B1486)+COUNTIF(C1458:E1475,$B1486&amp;" ~*")&gt;0)+(IFERROR(INDEX(Setup!$G$33:$G$40,MATCH(G1486,Setup!$B$33:$B$40,0)),0)=1)*(COUNTIF(G1458:I1475,$B1486)+COUNTIF(G1458:I1475,$B1486&amp;" ~*")&gt;0)+(IFERROR(INDEX(Setup!$G$33:$G$40,MATCH(K1486,Setup!$B$33:$B$40,0)),0)=1)*(COUNTIF(K1458:M1475,$B1486)+COUNTIF(K1458:M1475,$B1486&amp;" ~*")&gt;0)+(IFERROR(INDEX(Setup!$G$33:$G$40,MATCH(O1486,Setup!$B$33:$B$40,0)),0)=1)*(COUNTIF(O1458:Q1475,$B1486)+COUNTIF(O1458:Q1475,$B1486&amp;" ~*")&gt;0)+(IFERROR(INDEX(Setup!$G$33:$G$40,MATCH(S1486,Setup!$B$33:$B$40,0)),0)=1)*(COUNTIF(S1458:U1475,$B1486)+COUNTIF(S1458:U1475,$B1486&amp;" ~*")&gt;0)+(IFERROR(INDEX(Setup!$G$33:$G$40,MATCH(W1486,Setup!$B$33:$B$40,0)),0)=1)*(COUNTIF(W1458:W1475,$B1486)+COUNTIF(W1458:W1475,$B1486&amp;" ~*")&gt;0)+(IFERROR(INDEX(Setup!$G$33:$G$40,MATCH(Y1486,Setup!$B$33:$B$40,0)),0)=1)*(COUNTIF(Y1458:Y1475,$B1486)+COUNTIF(Y1458:Y1475,$B1486&amp;" ~*")&gt;0))</f>
        <v/>
      </c>
    </row>
    <row r="1487" ht="15" customHeight="1">
      <c r="A1487" t="n">
        <v>30</v>
      </c>
      <c r="B1487" s="35">
        <f>IF(Setup!$B$16="","",Setup!$B$16)</f>
        <v/>
      </c>
      <c r="C1487" s="98" t="n"/>
      <c r="D1487" s="99" t="n"/>
      <c r="E1487" s="99" t="n"/>
      <c r="F1487" s="100" t="n"/>
      <c r="G1487" s="98" t="n"/>
      <c r="H1487" s="99" t="n"/>
      <c r="I1487" s="99" t="n"/>
      <c r="J1487" s="100" t="n"/>
      <c r="K1487" s="98" t="n"/>
      <c r="L1487" s="99" t="n"/>
      <c r="M1487" s="99" t="n"/>
      <c r="N1487" s="100" t="n"/>
      <c r="O1487" s="98" t="n"/>
      <c r="P1487" s="99" t="n"/>
      <c r="Q1487" s="99" t="n"/>
      <c r="R1487" s="100" t="n"/>
      <c r="S1487" s="98" t="n"/>
      <c r="T1487" s="99" t="n"/>
      <c r="U1487" s="99" t="n"/>
      <c r="V1487" s="100" t="n"/>
      <c r="W1487" s="98" t="n"/>
      <c r="X1487" s="100" t="n"/>
      <c r="Y1487" s="98" t="n"/>
      <c r="Z1487" s="100" t="n"/>
      <c r="AB1487" s="101">
        <f>IF($B1487="","",(COUNTIF(C1458:E1475,$B1487)+COUNTIF(C1458:E1475,$B1487&amp;" ~*")&gt;0)+(COUNTIF(G1458:I1475,$B1487)+COUNTIF(G1458:I1475,$B1487&amp;" ~*")&gt;0)+(COUNTIF(K1458:M1475,$B1487)+COUNTIF(K1458:M1475,$B1487&amp;" ~*")&gt;0)+(COUNTIF(O1458:Q1475,$B1487)+COUNTIF(O1458:Q1475,$B1487&amp;" ~*")&gt;0)+(COUNTIF(S1458:U1475,$B1487)+COUNTIF(S1458:U1475,$B1487&amp;" ~*")&gt;0)+(COUNTIF(W1458:W1475,$B1487)+COUNTIF(W1458:W1475,$B1487&amp;" ~*")&gt;0)+(COUNTIF(Y1458:Y1475,$B1487)+COUNTIF(Y1458:Y1475,$B1487&amp;" ~*")&gt;0))</f>
        <v/>
      </c>
      <c r="AC1487" s="36">
        <f>IF($B1487="","",(IFERROR(INDEX(Setup!$G$33:$G$40,MATCH(C1487,Setup!$B$33:$B$40,0)),0)=1)*(COUNTIF(C1458:E1475,$B1487)+COUNTIF(C1458:E1475,$B1487&amp;" ~*")&gt;0)+(IFERROR(INDEX(Setup!$G$33:$G$40,MATCH(G1487,Setup!$B$33:$B$40,0)),0)=1)*(COUNTIF(G1458:I1475,$B1487)+COUNTIF(G1458:I1475,$B1487&amp;" ~*")&gt;0)+(IFERROR(INDEX(Setup!$G$33:$G$40,MATCH(K1487,Setup!$B$33:$B$40,0)),0)=1)*(COUNTIF(K1458:M1475,$B1487)+COUNTIF(K1458:M1475,$B1487&amp;" ~*")&gt;0)+(IFERROR(INDEX(Setup!$G$33:$G$40,MATCH(O1487,Setup!$B$33:$B$40,0)),0)=1)*(COUNTIF(O1458:Q1475,$B1487)+COUNTIF(O1458:Q1475,$B1487&amp;" ~*")&gt;0)+(IFERROR(INDEX(Setup!$G$33:$G$40,MATCH(S1487,Setup!$B$33:$B$40,0)),0)=1)*(COUNTIF(S1458:U1475,$B1487)+COUNTIF(S1458:U1475,$B1487&amp;" ~*")&gt;0)+(IFERROR(INDEX(Setup!$G$33:$G$40,MATCH(W1487,Setup!$B$33:$B$40,0)),0)=1)*(COUNTIF(W1458:W1475,$B1487)+COUNTIF(W1458:W1475,$B1487&amp;" ~*")&gt;0)+(IFERROR(INDEX(Setup!$G$33:$G$40,MATCH(Y1487,Setup!$B$33:$B$40,0)),0)=1)*(COUNTIF(Y1458:Y1475,$B1487)+COUNTIF(Y1458:Y1475,$B1487&amp;" ~*")&gt;0))</f>
        <v/>
      </c>
    </row>
    <row r="1488" ht="15" customHeight="1">
      <c r="A1488" t="n">
        <v>30</v>
      </c>
      <c r="B1488" s="37">
        <f>IF(Setup!$B$17="","",Setup!$B$17)</f>
        <v/>
      </c>
      <c r="C1488" s="102" t="n"/>
      <c r="D1488" s="103" t="n"/>
      <c r="E1488" s="103" t="n"/>
      <c r="F1488" s="104" t="n"/>
      <c r="G1488" s="102" t="n"/>
      <c r="H1488" s="103" t="n"/>
      <c r="I1488" s="103" t="n"/>
      <c r="J1488" s="104" t="n"/>
      <c r="K1488" s="102" t="n"/>
      <c r="L1488" s="103" t="n"/>
      <c r="M1488" s="103" t="n"/>
      <c r="N1488" s="104" t="n"/>
      <c r="O1488" s="102" t="n"/>
      <c r="P1488" s="103" t="n"/>
      <c r="Q1488" s="103" t="n"/>
      <c r="R1488" s="104" t="n"/>
      <c r="S1488" s="102" t="n"/>
      <c r="T1488" s="103" t="n"/>
      <c r="U1488" s="103" t="n"/>
      <c r="V1488" s="104" t="n"/>
      <c r="W1488" s="102" t="n"/>
      <c r="X1488" s="104" t="n"/>
      <c r="Y1488" s="102" t="n"/>
      <c r="Z1488" s="104" t="n"/>
      <c r="AB1488" s="105">
        <f>IF($B1488="","",(COUNTIF(C1458:E1475,$B1488)+COUNTIF(C1458:E1475,$B1488&amp;" ~*")&gt;0)+(COUNTIF(G1458:I1475,$B1488)+COUNTIF(G1458:I1475,$B1488&amp;" ~*")&gt;0)+(COUNTIF(K1458:M1475,$B1488)+COUNTIF(K1458:M1475,$B1488&amp;" ~*")&gt;0)+(COUNTIF(O1458:Q1475,$B1488)+COUNTIF(O1458:Q1475,$B1488&amp;" ~*")&gt;0)+(COUNTIF(S1458:U1475,$B1488)+COUNTIF(S1458:U1475,$B1488&amp;" ~*")&gt;0)+(COUNTIF(W1458:W1475,$B1488)+COUNTIF(W1458:W1475,$B1488&amp;" ~*")&gt;0)+(COUNTIF(Y1458:Y1475,$B1488)+COUNTIF(Y1458:Y1475,$B1488&amp;" ~*")&gt;0))</f>
        <v/>
      </c>
      <c r="AC1488" s="38">
        <f>IF($B1488="","",(IFERROR(INDEX(Setup!$G$33:$G$40,MATCH(C1488,Setup!$B$33:$B$40,0)),0)=1)*(COUNTIF(C1458:E1475,$B1488)+COUNTIF(C1458:E1475,$B1488&amp;" ~*")&gt;0)+(IFERROR(INDEX(Setup!$G$33:$G$40,MATCH(G1488,Setup!$B$33:$B$40,0)),0)=1)*(COUNTIF(G1458:I1475,$B1488)+COUNTIF(G1458:I1475,$B1488&amp;" ~*")&gt;0)+(IFERROR(INDEX(Setup!$G$33:$G$40,MATCH(K1488,Setup!$B$33:$B$40,0)),0)=1)*(COUNTIF(K1458:M1475,$B1488)+COUNTIF(K1458:M1475,$B1488&amp;" ~*")&gt;0)+(IFERROR(INDEX(Setup!$G$33:$G$40,MATCH(O1488,Setup!$B$33:$B$40,0)),0)=1)*(COUNTIF(O1458:Q1475,$B1488)+COUNTIF(O1458:Q1475,$B1488&amp;" ~*")&gt;0)+(IFERROR(INDEX(Setup!$G$33:$G$40,MATCH(S1488,Setup!$B$33:$B$40,0)),0)=1)*(COUNTIF(S1458:U1475,$B1488)+COUNTIF(S1458:U1475,$B1488&amp;" ~*")&gt;0)+(IFERROR(INDEX(Setup!$G$33:$G$40,MATCH(W1488,Setup!$B$33:$B$40,0)),0)=1)*(COUNTIF(W1458:W1475,$B1488)+COUNTIF(W1458:W1475,$B1488&amp;" ~*")&gt;0)+(IFERROR(INDEX(Setup!$G$33:$G$40,MATCH(Y1488,Setup!$B$33:$B$40,0)),0)=1)*(COUNTIF(Y1458:Y1475,$B1488)+COUNTIF(Y1458:Y1475,$B1488&amp;" ~*")&gt;0))</f>
        <v/>
      </c>
    </row>
    <row r="1489" ht="15" customHeight="1">
      <c r="A1489" t="n">
        <v>30</v>
      </c>
      <c r="B1489" s="35">
        <f>IF(Setup!$B$18="","",Setup!$B$18)</f>
        <v/>
      </c>
      <c r="C1489" s="98" t="n"/>
      <c r="D1489" s="99" t="n"/>
      <c r="E1489" s="99" t="n"/>
      <c r="F1489" s="100" t="n"/>
      <c r="G1489" s="98" t="n"/>
      <c r="H1489" s="99" t="n"/>
      <c r="I1489" s="99" t="n"/>
      <c r="J1489" s="100" t="n"/>
      <c r="K1489" s="98" t="n"/>
      <c r="L1489" s="99" t="n"/>
      <c r="M1489" s="99" t="n"/>
      <c r="N1489" s="100" t="n"/>
      <c r="O1489" s="98" t="n"/>
      <c r="P1489" s="99" t="n"/>
      <c r="Q1489" s="99" t="n"/>
      <c r="R1489" s="100" t="n"/>
      <c r="S1489" s="98" t="n"/>
      <c r="T1489" s="99" t="n"/>
      <c r="U1489" s="99" t="n"/>
      <c r="V1489" s="100" t="n"/>
      <c r="W1489" s="98" t="n"/>
      <c r="X1489" s="100" t="n"/>
      <c r="Y1489" s="98" t="n"/>
      <c r="Z1489" s="100" t="n"/>
      <c r="AB1489" s="101">
        <f>IF($B1489="","",(COUNTIF(C1458:E1475,$B1489)+COUNTIF(C1458:E1475,$B1489&amp;" ~*")&gt;0)+(COUNTIF(G1458:I1475,$B1489)+COUNTIF(G1458:I1475,$B1489&amp;" ~*")&gt;0)+(COUNTIF(K1458:M1475,$B1489)+COUNTIF(K1458:M1475,$B1489&amp;" ~*")&gt;0)+(COUNTIF(O1458:Q1475,$B1489)+COUNTIF(O1458:Q1475,$B1489&amp;" ~*")&gt;0)+(COUNTIF(S1458:U1475,$B1489)+COUNTIF(S1458:U1475,$B1489&amp;" ~*")&gt;0)+(COUNTIF(W1458:W1475,$B1489)+COUNTIF(W1458:W1475,$B1489&amp;" ~*")&gt;0)+(COUNTIF(Y1458:Y1475,$B1489)+COUNTIF(Y1458:Y1475,$B1489&amp;" ~*")&gt;0))</f>
        <v/>
      </c>
      <c r="AC1489" s="36">
        <f>IF($B1489="","",(IFERROR(INDEX(Setup!$G$33:$G$40,MATCH(C1489,Setup!$B$33:$B$40,0)),0)=1)*(COUNTIF(C1458:E1475,$B1489)+COUNTIF(C1458:E1475,$B1489&amp;" ~*")&gt;0)+(IFERROR(INDEX(Setup!$G$33:$G$40,MATCH(G1489,Setup!$B$33:$B$40,0)),0)=1)*(COUNTIF(G1458:I1475,$B1489)+COUNTIF(G1458:I1475,$B1489&amp;" ~*")&gt;0)+(IFERROR(INDEX(Setup!$G$33:$G$40,MATCH(K1489,Setup!$B$33:$B$40,0)),0)=1)*(COUNTIF(K1458:M1475,$B1489)+COUNTIF(K1458:M1475,$B1489&amp;" ~*")&gt;0)+(IFERROR(INDEX(Setup!$G$33:$G$40,MATCH(O1489,Setup!$B$33:$B$40,0)),0)=1)*(COUNTIF(O1458:Q1475,$B1489)+COUNTIF(O1458:Q1475,$B1489&amp;" ~*")&gt;0)+(IFERROR(INDEX(Setup!$G$33:$G$40,MATCH(S1489,Setup!$B$33:$B$40,0)),0)=1)*(COUNTIF(S1458:U1475,$B1489)+COUNTIF(S1458:U1475,$B1489&amp;" ~*")&gt;0)+(IFERROR(INDEX(Setup!$G$33:$G$40,MATCH(W1489,Setup!$B$33:$B$40,0)),0)=1)*(COUNTIF(W1458:W1475,$B1489)+COUNTIF(W1458:W1475,$B1489&amp;" ~*")&gt;0)+(IFERROR(INDEX(Setup!$G$33:$G$40,MATCH(Y1489,Setup!$B$33:$B$40,0)),0)=1)*(COUNTIF(Y1458:Y1475,$B1489)+COUNTIF(Y1458:Y1475,$B1489&amp;" ~*")&gt;0))</f>
        <v/>
      </c>
    </row>
    <row r="1490" ht="15" customHeight="1">
      <c r="A1490" t="n">
        <v>30</v>
      </c>
      <c r="B1490" s="37">
        <f>IF(Setup!$B$19="","",Setup!$B$19)</f>
        <v/>
      </c>
      <c r="C1490" s="102" t="n"/>
      <c r="D1490" s="103" t="n"/>
      <c r="E1490" s="103" t="n"/>
      <c r="F1490" s="104" t="n"/>
      <c r="G1490" s="102" t="n"/>
      <c r="H1490" s="103" t="n"/>
      <c r="I1490" s="103" t="n"/>
      <c r="J1490" s="104" t="n"/>
      <c r="K1490" s="102" t="n"/>
      <c r="L1490" s="103" t="n"/>
      <c r="M1490" s="103" t="n"/>
      <c r="N1490" s="104" t="n"/>
      <c r="O1490" s="102" t="n"/>
      <c r="P1490" s="103" t="n"/>
      <c r="Q1490" s="103" t="n"/>
      <c r="R1490" s="104" t="n"/>
      <c r="S1490" s="102" t="n"/>
      <c r="T1490" s="103" t="n"/>
      <c r="U1490" s="103" t="n"/>
      <c r="V1490" s="104" t="n"/>
      <c r="W1490" s="102" t="n"/>
      <c r="X1490" s="104" t="n"/>
      <c r="Y1490" s="102" t="n"/>
      <c r="Z1490" s="104" t="n"/>
      <c r="AB1490" s="105">
        <f>IF($B1490="","",(COUNTIF(C1458:E1475,$B1490)+COUNTIF(C1458:E1475,$B1490&amp;" ~*")&gt;0)+(COUNTIF(G1458:I1475,$B1490)+COUNTIF(G1458:I1475,$B1490&amp;" ~*")&gt;0)+(COUNTIF(K1458:M1475,$B1490)+COUNTIF(K1458:M1475,$B1490&amp;" ~*")&gt;0)+(COUNTIF(O1458:Q1475,$B1490)+COUNTIF(O1458:Q1475,$B1490&amp;" ~*")&gt;0)+(COUNTIF(S1458:U1475,$B1490)+COUNTIF(S1458:U1475,$B1490&amp;" ~*")&gt;0)+(COUNTIF(W1458:W1475,$B1490)+COUNTIF(W1458:W1475,$B1490&amp;" ~*")&gt;0)+(COUNTIF(Y1458:Y1475,$B1490)+COUNTIF(Y1458:Y1475,$B1490&amp;" ~*")&gt;0))</f>
        <v/>
      </c>
      <c r="AC1490" s="38">
        <f>IF($B1490="","",(IFERROR(INDEX(Setup!$G$33:$G$40,MATCH(C1490,Setup!$B$33:$B$40,0)),0)=1)*(COUNTIF(C1458:E1475,$B1490)+COUNTIF(C1458:E1475,$B1490&amp;" ~*")&gt;0)+(IFERROR(INDEX(Setup!$G$33:$G$40,MATCH(G1490,Setup!$B$33:$B$40,0)),0)=1)*(COUNTIF(G1458:I1475,$B1490)+COUNTIF(G1458:I1475,$B1490&amp;" ~*")&gt;0)+(IFERROR(INDEX(Setup!$G$33:$G$40,MATCH(K1490,Setup!$B$33:$B$40,0)),0)=1)*(COUNTIF(K1458:M1475,$B1490)+COUNTIF(K1458:M1475,$B1490&amp;" ~*")&gt;0)+(IFERROR(INDEX(Setup!$G$33:$G$40,MATCH(O1490,Setup!$B$33:$B$40,0)),0)=1)*(COUNTIF(O1458:Q1475,$B1490)+COUNTIF(O1458:Q1475,$B1490&amp;" ~*")&gt;0)+(IFERROR(INDEX(Setup!$G$33:$G$40,MATCH(S1490,Setup!$B$33:$B$40,0)),0)=1)*(COUNTIF(S1458:U1475,$B1490)+COUNTIF(S1458:U1475,$B1490&amp;" ~*")&gt;0)+(IFERROR(INDEX(Setup!$G$33:$G$40,MATCH(W1490,Setup!$B$33:$B$40,0)),0)=1)*(COUNTIF(W1458:W1475,$B1490)+COUNTIF(W1458:W1475,$B1490&amp;" ~*")&gt;0)+(IFERROR(INDEX(Setup!$G$33:$G$40,MATCH(Y1490,Setup!$B$33:$B$40,0)),0)=1)*(COUNTIF(Y1458:Y1475,$B1490)+COUNTIF(Y1458:Y1475,$B1490&amp;" ~*")&gt;0))</f>
        <v/>
      </c>
    </row>
    <row r="1491" ht="15" customHeight="1">
      <c r="A1491" t="n">
        <v>30</v>
      </c>
      <c r="B1491" s="35">
        <f>IF(Setup!$B$20="","",Setup!$B$20)</f>
        <v/>
      </c>
      <c r="C1491" s="98" t="n"/>
      <c r="D1491" s="99" t="n"/>
      <c r="E1491" s="99" t="n"/>
      <c r="F1491" s="100" t="n"/>
      <c r="G1491" s="98" t="n"/>
      <c r="H1491" s="99" t="n"/>
      <c r="I1491" s="99" t="n"/>
      <c r="J1491" s="100" t="n"/>
      <c r="K1491" s="98" t="n"/>
      <c r="L1491" s="99" t="n"/>
      <c r="M1491" s="99" t="n"/>
      <c r="N1491" s="100" t="n"/>
      <c r="O1491" s="98" t="n"/>
      <c r="P1491" s="99" t="n"/>
      <c r="Q1491" s="99" t="n"/>
      <c r="R1491" s="100" t="n"/>
      <c r="S1491" s="98" t="n"/>
      <c r="T1491" s="99" t="n"/>
      <c r="U1491" s="99" t="n"/>
      <c r="V1491" s="100" t="n"/>
      <c r="W1491" s="98" t="n"/>
      <c r="X1491" s="100" t="n"/>
      <c r="Y1491" s="98" t="n"/>
      <c r="Z1491" s="100" t="n"/>
      <c r="AB1491" s="101">
        <f>IF($B1491="","",(COUNTIF(C1458:E1475,$B1491)+COUNTIF(C1458:E1475,$B1491&amp;" ~*")&gt;0)+(COUNTIF(G1458:I1475,$B1491)+COUNTIF(G1458:I1475,$B1491&amp;" ~*")&gt;0)+(COUNTIF(K1458:M1475,$B1491)+COUNTIF(K1458:M1475,$B1491&amp;" ~*")&gt;0)+(COUNTIF(O1458:Q1475,$B1491)+COUNTIF(O1458:Q1475,$B1491&amp;" ~*")&gt;0)+(COUNTIF(S1458:U1475,$B1491)+COUNTIF(S1458:U1475,$B1491&amp;" ~*")&gt;0)+(COUNTIF(W1458:W1475,$B1491)+COUNTIF(W1458:W1475,$B1491&amp;" ~*")&gt;0)+(COUNTIF(Y1458:Y1475,$B1491)+COUNTIF(Y1458:Y1475,$B1491&amp;" ~*")&gt;0))</f>
        <v/>
      </c>
      <c r="AC1491" s="36">
        <f>IF($B1491="","",(IFERROR(INDEX(Setup!$G$33:$G$40,MATCH(C1491,Setup!$B$33:$B$40,0)),0)=1)*(COUNTIF(C1458:E1475,$B1491)+COUNTIF(C1458:E1475,$B1491&amp;" ~*")&gt;0)+(IFERROR(INDEX(Setup!$G$33:$G$40,MATCH(G1491,Setup!$B$33:$B$40,0)),0)=1)*(COUNTIF(G1458:I1475,$B1491)+COUNTIF(G1458:I1475,$B1491&amp;" ~*")&gt;0)+(IFERROR(INDEX(Setup!$G$33:$G$40,MATCH(K1491,Setup!$B$33:$B$40,0)),0)=1)*(COUNTIF(K1458:M1475,$B1491)+COUNTIF(K1458:M1475,$B1491&amp;" ~*")&gt;0)+(IFERROR(INDEX(Setup!$G$33:$G$40,MATCH(O1491,Setup!$B$33:$B$40,0)),0)=1)*(COUNTIF(O1458:Q1475,$B1491)+COUNTIF(O1458:Q1475,$B1491&amp;" ~*")&gt;0)+(IFERROR(INDEX(Setup!$G$33:$G$40,MATCH(S1491,Setup!$B$33:$B$40,0)),0)=1)*(COUNTIF(S1458:U1475,$B1491)+COUNTIF(S1458:U1475,$B1491&amp;" ~*")&gt;0)+(IFERROR(INDEX(Setup!$G$33:$G$40,MATCH(W1491,Setup!$B$33:$B$40,0)),0)=1)*(COUNTIF(W1458:W1475,$B1491)+COUNTIF(W1458:W1475,$B1491&amp;" ~*")&gt;0)+(IFERROR(INDEX(Setup!$G$33:$G$40,MATCH(Y1491,Setup!$B$33:$B$40,0)),0)=1)*(COUNTIF(Y1458:Y1475,$B1491)+COUNTIF(Y1458:Y1475,$B1491&amp;" ~*")&gt;0))</f>
        <v/>
      </c>
    </row>
    <row r="1492" ht="15" customHeight="1">
      <c r="A1492" t="n">
        <v>30</v>
      </c>
      <c r="B1492" s="37">
        <f>IF(Setup!$B$21="","",Setup!$B$21)</f>
        <v/>
      </c>
      <c r="C1492" s="102" t="n"/>
      <c r="D1492" s="103" t="n"/>
      <c r="E1492" s="103" t="n"/>
      <c r="F1492" s="104" t="n"/>
      <c r="G1492" s="102" t="n"/>
      <c r="H1492" s="103" t="n"/>
      <c r="I1492" s="103" t="n"/>
      <c r="J1492" s="104" t="n"/>
      <c r="K1492" s="102" t="n"/>
      <c r="L1492" s="103" t="n"/>
      <c r="M1492" s="103" t="n"/>
      <c r="N1492" s="104" t="n"/>
      <c r="O1492" s="102" t="n"/>
      <c r="P1492" s="103" t="n"/>
      <c r="Q1492" s="103" t="n"/>
      <c r="R1492" s="104" t="n"/>
      <c r="S1492" s="102" t="n"/>
      <c r="T1492" s="103" t="n"/>
      <c r="U1492" s="103" t="n"/>
      <c r="V1492" s="104" t="n"/>
      <c r="W1492" s="102" t="n"/>
      <c r="X1492" s="104" t="n"/>
      <c r="Y1492" s="102" t="n"/>
      <c r="Z1492" s="104" t="n"/>
      <c r="AB1492" s="105">
        <f>IF($B1492="","",(COUNTIF(C1458:E1475,$B1492)+COUNTIF(C1458:E1475,$B1492&amp;" ~*")&gt;0)+(COUNTIF(G1458:I1475,$B1492)+COUNTIF(G1458:I1475,$B1492&amp;" ~*")&gt;0)+(COUNTIF(K1458:M1475,$B1492)+COUNTIF(K1458:M1475,$B1492&amp;" ~*")&gt;0)+(COUNTIF(O1458:Q1475,$B1492)+COUNTIF(O1458:Q1475,$B1492&amp;" ~*")&gt;0)+(COUNTIF(S1458:U1475,$B1492)+COUNTIF(S1458:U1475,$B1492&amp;" ~*")&gt;0)+(COUNTIF(W1458:W1475,$B1492)+COUNTIF(W1458:W1475,$B1492&amp;" ~*")&gt;0)+(COUNTIF(Y1458:Y1475,$B1492)+COUNTIF(Y1458:Y1475,$B1492&amp;" ~*")&gt;0))</f>
        <v/>
      </c>
      <c r="AC1492" s="38">
        <f>IF($B1492="","",(IFERROR(INDEX(Setup!$G$33:$G$40,MATCH(C1492,Setup!$B$33:$B$40,0)),0)=1)*(COUNTIF(C1458:E1475,$B1492)+COUNTIF(C1458:E1475,$B1492&amp;" ~*")&gt;0)+(IFERROR(INDEX(Setup!$G$33:$G$40,MATCH(G1492,Setup!$B$33:$B$40,0)),0)=1)*(COUNTIF(G1458:I1475,$B1492)+COUNTIF(G1458:I1475,$B1492&amp;" ~*")&gt;0)+(IFERROR(INDEX(Setup!$G$33:$G$40,MATCH(K1492,Setup!$B$33:$B$40,0)),0)=1)*(COUNTIF(K1458:M1475,$B1492)+COUNTIF(K1458:M1475,$B1492&amp;" ~*")&gt;0)+(IFERROR(INDEX(Setup!$G$33:$G$40,MATCH(O1492,Setup!$B$33:$B$40,0)),0)=1)*(COUNTIF(O1458:Q1475,$B1492)+COUNTIF(O1458:Q1475,$B1492&amp;" ~*")&gt;0)+(IFERROR(INDEX(Setup!$G$33:$G$40,MATCH(S1492,Setup!$B$33:$B$40,0)),0)=1)*(COUNTIF(S1458:U1475,$B1492)+COUNTIF(S1458:U1475,$B1492&amp;" ~*")&gt;0)+(IFERROR(INDEX(Setup!$G$33:$G$40,MATCH(W1492,Setup!$B$33:$B$40,0)),0)=1)*(COUNTIF(W1458:W1475,$B1492)+COUNTIF(W1458:W1475,$B1492&amp;" ~*")&gt;0)+(IFERROR(INDEX(Setup!$G$33:$G$40,MATCH(Y1492,Setup!$B$33:$B$40,0)),0)=1)*(COUNTIF(Y1458:Y1475,$B1492)+COUNTIF(Y1458:Y1475,$B1492&amp;" ~*")&gt;0))</f>
        <v/>
      </c>
    </row>
    <row r="1493" ht="15" customHeight="1">
      <c r="A1493" t="n">
        <v>30</v>
      </c>
      <c r="B1493" s="35">
        <f>IF(Setup!$B$22="","",Setup!$B$22)</f>
        <v/>
      </c>
      <c r="C1493" s="98" t="n"/>
      <c r="D1493" s="99" t="n"/>
      <c r="E1493" s="99" t="n"/>
      <c r="F1493" s="100" t="n"/>
      <c r="G1493" s="98" t="n"/>
      <c r="H1493" s="99" t="n"/>
      <c r="I1493" s="99" t="n"/>
      <c r="J1493" s="100" t="n"/>
      <c r="K1493" s="98" t="n"/>
      <c r="L1493" s="99" t="n"/>
      <c r="M1493" s="99" t="n"/>
      <c r="N1493" s="100" t="n"/>
      <c r="O1493" s="98" t="n"/>
      <c r="P1493" s="99" t="n"/>
      <c r="Q1493" s="99" t="n"/>
      <c r="R1493" s="100" t="n"/>
      <c r="S1493" s="98" t="n"/>
      <c r="T1493" s="99" t="n"/>
      <c r="U1493" s="99" t="n"/>
      <c r="V1493" s="100" t="n"/>
      <c r="W1493" s="98" t="n"/>
      <c r="X1493" s="100" t="n"/>
      <c r="Y1493" s="98" t="n"/>
      <c r="Z1493" s="100" t="n"/>
      <c r="AB1493" s="101">
        <f>IF($B1493="","",(COUNTIF(C1458:E1475,$B1493)+COUNTIF(C1458:E1475,$B1493&amp;" ~*")&gt;0)+(COUNTIF(G1458:I1475,$B1493)+COUNTIF(G1458:I1475,$B1493&amp;" ~*")&gt;0)+(COUNTIF(K1458:M1475,$B1493)+COUNTIF(K1458:M1475,$B1493&amp;" ~*")&gt;0)+(COUNTIF(O1458:Q1475,$B1493)+COUNTIF(O1458:Q1475,$B1493&amp;" ~*")&gt;0)+(COUNTIF(S1458:U1475,$B1493)+COUNTIF(S1458:U1475,$B1493&amp;" ~*")&gt;0)+(COUNTIF(W1458:W1475,$B1493)+COUNTIF(W1458:W1475,$B1493&amp;" ~*")&gt;0)+(COUNTIF(Y1458:Y1475,$B1493)+COUNTIF(Y1458:Y1475,$B1493&amp;" ~*")&gt;0))</f>
        <v/>
      </c>
      <c r="AC1493" s="36">
        <f>IF($B1493="","",(IFERROR(INDEX(Setup!$G$33:$G$40,MATCH(C1493,Setup!$B$33:$B$40,0)),0)=1)*(COUNTIF(C1458:E1475,$B1493)+COUNTIF(C1458:E1475,$B1493&amp;" ~*")&gt;0)+(IFERROR(INDEX(Setup!$G$33:$G$40,MATCH(G1493,Setup!$B$33:$B$40,0)),0)=1)*(COUNTIF(G1458:I1475,$B1493)+COUNTIF(G1458:I1475,$B1493&amp;" ~*")&gt;0)+(IFERROR(INDEX(Setup!$G$33:$G$40,MATCH(K1493,Setup!$B$33:$B$40,0)),0)=1)*(COUNTIF(K1458:M1475,$B1493)+COUNTIF(K1458:M1475,$B1493&amp;" ~*")&gt;0)+(IFERROR(INDEX(Setup!$G$33:$G$40,MATCH(O1493,Setup!$B$33:$B$40,0)),0)=1)*(COUNTIF(O1458:Q1475,$B1493)+COUNTIF(O1458:Q1475,$B1493&amp;" ~*")&gt;0)+(IFERROR(INDEX(Setup!$G$33:$G$40,MATCH(S1493,Setup!$B$33:$B$40,0)),0)=1)*(COUNTIF(S1458:U1475,$B1493)+COUNTIF(S1458:U1475,$B1493&amp;" ~*")&gt;0)+(IFERROR(INDEX(Setup!$G$33:$G$40,MATCH(W1493,Setup!$B$33:$B$40,0)),0)=1)*(COUNTIF(W1458:W1475,$B1493)+COUNTIF(W1458:W1475,$B1493&amp;" ~*")&gt;0)+(IFERROR(INDEX(Setup!$G$33:$G$40,MATCH(Y1493,Setup!$B$33:$B$40,0)),0)=1)*(COUNTIF(Y1458:Y1475,$B1493)+COUNTIF(Y1458:Y1475,$B1493&amp;" ~*")&gt;0))</f>
        <v/>
      </c>
    </row>
    <row r="1494" ht="15" customHeight="1">
      <c r="A1494" t="n">
        <v>30</v>
      </c>
      <c r="B1494" s="37">
        <f>IF(Setup!$B$23="","",Setup!$B$23)</f>
        <v/>
      </c>
      <c r="C1494" s="102" t="n"/>
      <c r="D1494" s="103" t="n"/>
      <c r="E1494" s="103" t="n"/>
      <c r="F1494" s="104" t="n"/>
      <c r="G1494" s="102" t="n"/>
      <c r="H1494" s="103" t="n"/>
      <c r="I1494" s="103" t="n"/>
      <c r="J1494" s="104" t="n"/>
      <c r="K1494" s="102" t="n"/>
      <c r="L1494" s="103" t="n"/>
      <c r="M1494" s="103" t="n"/>
      <c r="N1494" s="104" t="n"/>
      <c r="O1494" s="102" t="n"/>
      <c r="P1494" s="103" t="n"/>
      <c r="Q1494" s="103" t="n"/>
      <c r="R1494" s="104" t="n"/>
      <c r="S1494" s="102" t="n"/>
      <c r="T1494" s="103" t="n"/>
      <c r="U1494" s="103" t="n"/>
      <c r="V1494" s="104" t="n"/>
      <c r="W1494" s="102" t="n"/>
      <c r="X1494" s="104" t="n"/>
      <c r="Y1494" s="102" t="n"/>
      <c r="Z1494" s="104" t="n"/>
      <c r="AB1494" s="105">
        <f>IF($B1494="","",(COUNTIF(C1458:E1475,$B1494)+COUNTIF(C1458:E1475,$B1494&amp;" ~*")&gt;0)+(COUNTIF(G1458:I1475,$B1494)+COUNTIF(G1458:I1475,$B1494&amp;" ~*")&gt;0)+(COUNTIF(K1458:M1475,$B1494)+COUNTIF(K1458:M1475,$B1494&amp;" ~*")&gt;0)+(COUNTIF(O1458:Q1475,$B1494)+COUNTIF(O1458:Q1475,$B1494&amp;" ~*")&gt;0)+(COUNTIF(S1458:U1475,$B1494)+COUNTIF(S1458:U1475,$B1494&amp;" ~*")&gt;0)+(COUNTIF(W1458:W1475,$B1494)+COUNTIF(W1458:W1475,$B1494&amp;" ~*")&gt;0)+(COUNTIF(Y1458:Y1475,$B1494)+COUNTIF(Y1458:Y1475,$B1494&amp;" ~*")&gt;0))</f>
        <v/>
      </c>
      <c r="AC1494" s="38">
        <f>IF($B1494="","",(IFERROR(INDEX(Setup!$G$33:$G$40,MATCH(C1494,Setup!$B$33:$B$40,0)),0)=1)*(COUNTIF(C1458:E1475,$B1494)+COUNTIF(C1458:E1475,$B1494&amp;" ~*")&gt;0)+(IFERROR(INDEX(Setup!$G$33:$G$40,MATCH(G1494,Setup!$B$33:$B$40,0)),0)=1)*(COUNTIF(G1458:I1475,$B1494)+COUNTIF(G1458:I1475,$B1494&amp;" ~*")&gt;0)+(IFERROR(INDEX(Setup!$G$33:$G$40,MATCH(K1494,Setup!$B$33:$B$40,0)),0)=1)*(COUNTIF(K1458:M1475,$B1494)+COUNTIF(K1458:M1475,$B1494&amp;" ~*")&gt;0)+(IFERROR(INDEX(Setup!$G$33:$G$40,MATCH(O1494,Setup!$B$33:$B$40,0)),0)=1)*(COUNTIF(O1458:Q1475,$B1494)+COUNTIF(O1458:Q1475,$B1494&amp;" ~*")&gt;0)+(IFERROR(INDEX(Setup!$G$33:$G$40,MATCH(S1494,Setup!$B$33:$B$40,0)),0)=1)*(COUNTIF(S1458:U1475,$B1494)+COUNTIF(S1458:U1475,$B1494&amp;" ~*")&gt;0)+(IFERROR(INDEX(Setup!$G$33:$G$40,MATCH(W1494,Setup!$B$33:$B$40,0)),0)=1)*(COUNTIF(W1458:W1475,$B1494)+COUNTIF(W1458:W1475,$B1494&amp;" ~*")&gt;0)+(IFERROR(INDEX(Setup!$G$33:$G$40,MATCH(Y1494,Setup!$B$33:$B$40,0)),0)=1)*(COUNTIF(Y1458:Y1475,$B1494)+COUNTIF(Y1458:Y1475,$B1494&amp;" ~*")&gt;0))</f>
        <v/>
      </c>
    </row>
    <row r="1495" ht="15" customHeight="1">
      <c r="A1495" t="n">
        <v>30</v>
      </c>
      <c r="B1495" s="35">
        <f>IF(Setup!$B$24="","",Setup!$B$24)</f>
        <v/>
      </c>
      <c r="C1495" s="98" t="n"/>
      <c r="D1495" s="99" t="n"/>
      <c r="E1495" s="99" t="n"/>
      <c r="F1495" s="100" t="n"/>
      <c r="G1495" s="98" t="n"/>
      <c r="H1495" s="99" t="n"/>
      <c r="I1495" s="99" t="n"/>
      <c r="J1495" s="100" t="n"/>
      <c r="K1495" s="98" t="n"/>
      <c r="L1495" s="99" t="n"/>
      <c r="M1495" s="99" t="n"/>
      <c r="N1495" s="100" t="n"/>
      <c r="O1495" s="98" t="n"/>
      <c r="P1495" s="99" t="n"/>
      <c r="Q1495" s="99" t="n"/>
      <c r="R1495" s="100" t="n"/>
      <c r="S1495" s="98" t="n"/>
      <c r="T1495" s="99" t="n"/>
      <c r="U1495" s="99" t="n"/>
      <c r="V1495" s="100" t="n"/>
      <c r="W1495" s="98" t="n"/>
      <c r="X1495" s="100" t="n"/>
      <c r="Y1495" s="98" t="n"/>
      <c r="Z1495" s="100" t="n"/>
      <c r="AB1495" s="101">
        <f>IF($B1495="","",(COUNTIF(C1458:E1475,$B1495)+COUNTIF(C1458:E1475,$B1495&amp;" ~*")&gt;0)+(COUNTIF(G1458:I1475,$B1495)+COUNTIF(G1458:I1475,$B1495&amp;" ~*")&gt;0)+(COUNTIF(K1458:M1475,$B1495)+COUNTIF(K1458:M1475,$B1495&amp;" ~*")&gt;0)+(COUNTIF(O1458:Q1475,$B1495)+COUNTIF(O1458:Q1475,$B1495&amp;" ~*")&gt;0)+(COUNTIF(S1458:U1475,$B1495)+COUNTIF(S1458:U1475,$B1495&amp;" ~*")&gt;0)+(COUNTIF(W1458:W1475,$B1495)+COUNTIF(W1458:W1475,$B1495&amp;" ~*")&gt;0)+(COUNTIF(Y1458:Y1475,$B1495)+COUNTIF(Y1458:Y1475,$B1495&amp;" ~*")&gt;0))</f>
        <v/>
      </c>
      <c r="AC1495" s="36">
        <f>IF($B1495="","",(IFERROR(INDEX(Setup!$G$33:$G$40,MATCH(C1495,Setup!$B$33:$B$40,0)),0)=1)*(COUNTIF(C1458:E1475,$B1495)+COUNTIF(C1458:E1475,$B1495&amp;" ~*")&gt;0)+(IFERROR(INDEX(Setup!$G$33:$G$40,MATCH(G1495,Setup!$B$33:$B$40,0)),0)=1)*(COUNTIF(G1458:I1475,$B1495)+COUNTIF(G1458:I1475,$B1495&amp;" ~*")&gt;0)+(IFERROR(INDEX(Setup!$G$33:$G$40,MATCH(K1495,Setup!$B$33:$B$40,0)),0)=1)*(COUNTIF(K1458:M1475,$B1495)+COUNTIF(K1458:M1475,$B1495&amp;" ~*")&gt;0)+(IFERROR(INDEX(Setup!$G$33:$G$40,MATCH(O1495,Setup!$B$33:$B$40,0)),0)=1)*(COUNTIF(O1458:Q1475,$B1495)+COUNTIF(O1458:Q1475,$B1495&amp;" ~*")&gt;0)+(IFERROR(INDEX(Setup!$G$33:$G$40,MATCH(S1495,Setup!$B$33:$B$40,0)),0)=1)*(COUNTIF(S1458:U1475,$B1495)+COUNTIF(S1458:U1475,$B1495&amp;" ~*")&gt;0)+(IFERROR(INDEX(Setup!$G$33:$G$40,MATCH(W1495,Setup!$B$33:$B$40,0)),0)=1)*(COUNTIF(W1458:W1475,$B1495)+COUNTIF(W1458:W1475,$B1495&amp;" ~*")&gt;0)+(IFERROR(INDEX(Setup!$G$33:$G$40,MATCH(Y1495,Setup!$B$33:$B$40,0)),0)=1)*(COUNTIF(Y1458:Y1475,$B1495)+COUNTIF(Y1458:Y1475,$B1495&amp;" ~*")&gt;0))</f>
        <v/>
      </c>
    </row>
    <row r="1496" ht="15" customHeight="1">
      <c r="A1496" t="n">
        <v>30</v>
      </c>
      <c r="B1496" s="37">
        <f>IF(Setup!$B$25="","",Setup!$B$25)</f>
        <v/>
      </c>
      <c r="C1496" s="102" t="n"/>
      <c r="D1496" s="103" t="n"/>
      <c r="E1496" s="103" t="n"/>
      <c r="F1496" s="104" t="n"/>
      <c r="G1496" s="102" t="n"/>
      <c r="H1496" s="103" t="n"/>
      <c r="I1496" s="103" t="n"/>
      <c r="J1496" s="104" t="n"/>
      <c r="K1496" s="102" t="n"/>
      <c r="L1496" s="103" t="n"/>
      <c r="M1496" s="103" t="n"/>
      <c r="N1496" s="104" t="n"/>
      <c r="O1496" s="102" t="n"/>
      <c r="P1496" s="103" t="n"/>
      <c r="Q1496" s="103" t="n"/>
      <c r="R1496" s="104" t="n"/>
      <c r="S1496" s="102" t="n"/>
      <c r="T1496" s="103" t="n"/>
      <c r="U1496" s="103" t="n"/>
      <c r="V1496" s="104" t="n"/>
      <c r="W1496" s="102" t="n"/>
      <c r="X1496" s="104" t="n"/>
      <c r="Y1496" s="102" t="n"/>
      <c r="Z1496" s="104" t="n"/>
      <c r="AB1496" s="105">
        <f>IF($B1496="","",(COUNTIF(C1458:E1475,$B1496)+COUNTIF(C1458:E1475,$B1496&amp;" ~*")&gt;0)+(COUNTIF(G1458:I1475,$B1496)+COUNTIF(G1458:I1475,$B1496&amp;" ~*")&gt;0)+(COUNTIF(K1458:M1475,$B1496)+COUNTIF(K1458:M1475,$B1496&amp;" ~*")&gt;0)+(COUNTIF(O1458:Q1475,$B1496)+COUNTIF(O1458:Q1475,$B1496&amp;" ~*")&gt;0)+(COUNTIF(S1458:U1475,$B1496)+COUNTIF(S1458:U1475,$B1496&amp;" ~*")&gt;0)+(COUNTIF(W1458:W1475,$B1496)+COUNTIF(W1458:W1475,$B1496&amp;" ~*")&gt;0)+(COUNTIF(Y1458:Y1475,$B1496)+COUNTIF(Y1458:Y1475,$B1496&amp;" ~*")&gt;0))</f>
        <v/>
      </c>
      <c r="AC1496" s="38">
        <f>IF($B1496="","",(IFERROR(INDEX(Setup!$G$33:$G$40,MATCH(C1496,Setup!$B$33:$B$40,0)),0)=1)*(COUNTIF(C1458:E1475,$B1496)+COUNTIF(C1458:E1475,$B1496&amp;" ~*")&gt;0)+(IFERROR(INDEX(Setup!$G$33:$G$40,MATCH(G1496,Setup!$B$33:$B$40,0)),0)=1)*(COUNTIF(G1458:I1475,$B1496)+COUNTIF(G1458:I1475,$B1496&amp;" ~*")&gt;0)+(IFERROR(INDEX(Setup!$G$33:$G$40,MATCH(K1496,Setup!$B$33:$B$40,0)),0)=1)*(COUNTIF(K1458:M1475,$B1496)+COUNTIF(K1458:M1475,$B1496&amp;" ~*")&gt;0)+(IFERROR(INDEX(Setup!$G$33:$G$40,MATCH(O1496,Setup!$B$33:$B$40,0)),0)=1)*(COUNTIF(O1458:Q1475,$B1496)+COUNTIF(O1458:Q1475,$B1496&amp;" ~*")&gt;0)+(IFERROR(INDEX(Setup!$G$33:$G$40,MATCH(S1496,Setup!$B$33:$B$40,0)),0)=1)*(COUNTIF(S1458:U1475,$B1496)+COUNTIF(S1458:U1475,$B1496&amp;" ~*")&gt;0)+(IFERROR(INDEX(Setup!$G$33:$G$40,MATCH(W1496,Setup!$B$33:$B$40,0)),0)=1)*(COUNTIF(W1458:W1475,$B1496)+COUNTIF(W1458:W1475,$B1496&amp;" ~*")&gt;0)+(IFERROR(INDEX(Setup!$G$33:$G$40,MATCH(Y1496,Setup!$B$33:$B$40,0)),0)=1)*(COUNTIF(Y1458:Y1475,$B1496)+COUNTIF(Y1458:Y1475,$B1496&amp;" ~*")&gt;0))</f>
        <v/>
      </c>
    </row>
    <row r="1497" ht="15" customHeight="1">
      <c r="A1497" t="n">
        <v>30</v>
      </c>
      <c r="B1497" s="35">
        <f>IF(Setup!$B$26="","",Setup!$B$26)</f>
        <v/>
      </c>
      <c r="C1497" s="98" t="n"/>
      <c r="D1497" s="99" t="n"/>
      <c r="E1497" s="99" t="n"/>
      <c r="F1497" s="100" t="n"/>
      <c r="G1497" s="98" t="n"/>
      <c r="H1497" s="99" t="n"/>
      <c r="I1497" s="99" t="n"/>
      <c r="J1497" s="100" t="n"/>
      <c r="K1497" s="98" t="n"/>
      <c r="L1497" s="99" t="n"/>
      <c r="M1497" s="99" t="n"/>
      <c r="N1497" s="100" t="n"/>
      <c r="O1497" s="98" t="n"/>
      <c r="P1497" s="99" t="n"/>
      <c r="Q1497" s="99" t="n"/>
      <c r="R1497" s="100" t="n"/>
      <c r="S1497" s="98" t="n"/>
      <c r="T1497" s="99" t="n"/>
      <c r="U1497" s="99" t="n"/>
      <c r="V1497" s="100" t="n"/>
      <c r="W1497" s="98" t="n"/>
      <c r="X1497" s="100" t="n"/>
      <c r="Y1497" s="98" t="n"/>
      <c r="Z1497" s="100" t="n"/>
      <c r="AB1497" s="101">
        <f>IF($B1497="","",(COUNTIF(C1458:E1475,$B1497)+COUNTIF(C1458:E1475,$B1497&amp;" ~*")&gt;0)+(COUNTIF(G1458:I1475,$B1497)+COUNTIF(G1458:I1475,$B1497&amp;" ~*")&gt;0)+(COUNTIF(K1458:M1475,$B1497)+COUNTIF(K1458:M1475,$B1497&amp;" ~*")&gt;0)+(COUNTIF(O1458:Q1475,$B1497)+COUNTIF(O1458:Q1475,$B1497&amp;" ~*")&gt;0)+(COUNTIF(S1458:U1475,$B1497)+COUNTIF(S1458:U1475,$B1497&amp;" ~*")&gt;0)+(COUNTIF(W1458:W1475,$B1497)+COUNTIF(W1458:W1475,$B1497&amp;" ~*")&gt;0)+(COUNTIF(Y1458:Y1475,$B1497)+COUNTIF(Y1458:Y1475,$B1497&amp;" ~*")&gt;0))</f>
        <v/>
      </c>
      <c r="AC1497" s="36">
        <f>IF($B1497="","",(IFERROR(INDEX(Setup!$G$33:$G$40,MATCH(C1497,Setup!$B$33:$B$40,0)),0)=1)*(COUNTIF(C1458:E1475,$B1497)+COUNTIF(C1458:E1475,$B1497&amp;" ~*")&gt;0)+(IFERROR(INDEX(Setup!$G$33:$G$40,MATCH(G1497,Setup!$B$33:$B$40,0)),0)=1)*(COUNTIF(G1458:I1475,$B1497)+COUNTIF(G1458:I1475,$B1497&amp;" ~*")&gt;0)+(IFERROR(INDEX(Setup!$G$33:$G$40,MATCH(K1497,Setup!$B$33:$B$40,0)),0)=1)*(COUNTIF(K1458:M1475,$B1497)+COUNTIF(K1458:M1475,$B1497&amp;" ~*")&gt;0)+(IFERROR(INDEX(Setup!$G$33:$G$40,MATCH(O1497,Setup!$B$33:$B$40,0)),0)=1)*(COUNTIF(O1458:Q1475,$B1497)+COUNTIF(O1458:Q1475,$B1497&amp;" ~*")&gt;0)+(IFERROR(INDEX(Setup!$G$33:$G$40,MATCH(S1497,Setup!$B$33:$B$40,0)),0)=1)*(COUNTIF(S1458:U1475,$B1497)+COUNTIF(S1458:U1475,$B1497&amp;" ~*")&gt;0)+(IFERROR(INDEX(Setup!$G$33:$G$40,MATCH(W1497,Setup!$B$33:$B$40,0)),0)=1)*(COUNTIF(W1458:W1475,$B1497)+COUNTIF(W1458:W1475,$B1497&amp;" ~*")&gt;0)+(IFERROR(INDEX(Setup!$G$33:$G$40,MATCH(Y1497,Setup!$B$33:$B$40,0)),0)=1)*(COUNTIF(Y1458:Y1475,$B1497)+COUNTIF(Y1458:Y1475,$B1497&amp;" ~*")&gt;0))</f>
        <v/>
      </c>
    </row>
    <row r="1498" ht="15" customHeight="1">
      <c r="A1498" t="n">
        <v>30</v>
      </c>
      <c r="B1498" s="37">
        <f>IF(Setup!$B$27="","",Setup!$B$27)</f>
        <v/>
      </c>
      <c r="C1498" s="102" t="n"/>
      <c r="D1498" s="103" t="n"/>
      <c r="E1498" s="103" t="n"/>
      <c r="F1498" s="104" t="n"/>
      <c r="G1498" s="102" t="n"/>
      <c r="H1498" s="103" t="n"/>
      <c r="I1498" s="103" t="n"/>
      <c r="J1498" s="104" t="n"/>
      <c r="K1498" s="102" t="n"/>
      <c r="L1498" s="103" t="n"/>
      <c r="M1498" s="103" t="n"/>
      <c r="N1498" s="104" t="n"/>
      <c r="O1498" s="102" t="n"/>
      <c r="P1498" s="103" t="n"/>
      <c r="Q1498" s="103" t="n"/>
      <c r="R1498" s="104" t="n"/>
      <c r="S1498" s="102" t="n"/>
      <c r="T1498" s="103" t="n"/>
      <c r="U1498" s="103" t="n"/>
      <c r="V1498" s="104" t="n"/>
      <c r="W1498" s="102" t="n"/>
      <c r="X1498" s="104" t="n"/>
      <c r="Y1498" s="102" t="n"/>
      <c r="Z1498" s="104" t="n"/>
      <c r="AB1498" s="105">
        <f>IF($B1498="","",(COUNTIF(C1458:E1475,$B1498)+COUNTIF(C1458:E1475,$B1498&amp;" ~*")&gt;0)+(COUNTIF(G1458:I1475,$B1498)+COUNTIF(G1458:I1475,$B1498&amp;" ~*")&gt;0)+(COUNTIF(K1458:M1475,$B1498)+COUNTIF(K1458:M1475,$B1498&amp;" ~*")&gt;0)+(COUNTIF(O1458:Q1475,$B1498)+COUNTIF(O1458:Q1475,$B1498&amp;" ~*")&gt;0)+(COUNTIF(S1458:U1475,$B1498)+COUNTIF(S1458:U1475,$B1498&amp;" ~*")&gt;0)+(COUNTIF(W1458:W1475,$B1498)+COUNTIF(W1458:W1475,$B1498&amp;" ~*")&gt;0)+(COUNTIF(Y1458:Y1475,$B1498)+COUNTIF(Y1458:Y1475,$B1498&amp;" ~*")&gt;0))</f>
        <v/>
      </c>
      <c r="AC1498" s="38">
        <f>IF($B1498="","",(IFERROR(INDEX(Setup!$G$33:$G$40,MATCH(C1498,Setup!$B$33:$B$40,0)),0)=1)*(COUNTIF(C1458:E1475,$B1498)+COUNTIF(C1458:E1475,$B1498&amp;" ~*")&gt;0)+(IFERROR(INDEX(Setup!$G$33:$G$40,MATCH(G1498,Setup!$B$33:$B$40,0)),0)=1)*(COUNTIF(G1458:I1475,$B1498)+COUNTIF(G1458:I1475,$B1498&amp;" ~*")&gt;0)+(IFERROR(INDEX(Setup!$G$33:$G$40,MATCH(K1498,Setup!$B$33:$B$40,0)),0)=1)*(COUNTIF(K1458:M1475,$B1498)+COUNTIF(K1458:M1475,$B1498&amp;" ~*")&gt;0)+(IFERROR(INDEX(Setup!$G$33:$G$40,MATCH(O1498,Setup!$B$33:$B$40,0)),0)=1)*(COUNTIF(O1458:Q1475,$B1498)+COUNTIF(O1458:Q1475,$B1498&amp;" ~*")&gt;0)+(IFERROR(INDEX(Setup!$G$33:$G$40,MATCH(S1498,Setup!$B$33:$B$40,0)),0)=1)*(COUNTIF(S1458:U1475,$B1498)+COUNTIF(S1458:U1475,$B1498&amp;" ~*")&gt;0)+(IFERROR(INDEX(Setup!$G$33:$G$40,MATCH(W1498,Setup!$B$33:$B$40,0)),0)=1)*(COUNTIF(W1458:W1475,$B1498)+COUNTIF(W1458:W1475,$B1498&amp;" ~*")&gt;0)+(IFERROR(INDEX(Setup!$G$33:$G$40,MATCH(Y1498,Setup!$B$33:$B$40,0)),0)=1)*(COUNTIF(Y1458:Y1475,$B1498)+COUNTIF(Y1458:Y1475,$B1498&amp;" ~*")&gt;0))</f>
        <v/>
      </c>
    </row>
    <row r="1499" ht="15" customHeight="1">
      <c r="A1499" t="n">
        <v>30</v>
      </c>
      <c r="B1499" s="35">
        <f>IF(Setup!$B$28="","",Setup!$B$28)</f>
        <v/>
      </c>
      <c r="C1499" s="98" t="n"/>
      <c r="D1499" s="99" t="n"/>
      <c r="E1499" s="99" t="n"/>
      <c r="F1499" s="100" t="n"/>
      <c r="G1499" s="98" t="n"/>
      <c r="H1499" s="99" t="n"/>
      <c r="I1499" s="99" t="n"/>
      <c r="J1499" s="100" t="n"/>
      <c r="K1499" s="98" t="n"/>
      <c r="L1499" s="99" t="n"/>
      <c r="M1499" s="99" t="n"/>
      <c r="N1499" s="100" t="n"/>
      <c r="O1499" s="98" t="n"/>
      <c r="P1499" s="99" t="n"/>
      <c r="Q1499" s="99" t="n"/>
      <c r="R1499" s="100" t="n"/>
      <c r="S1499" s="98" t="n"/>
      <c r="T1499" s="99" t="n"/>
      <c r="U1499" s="99" t="n"/>
      <c r="V1499" s="100" t="n"/>
      <c r="W1499" s="98" t="n"/>
      <c r="X1499" s="100" t="n"/>
      <c r="Y1499" s="98" t="n"/>
      <c r="Z1499" s="100" t="n"/>
      <c r="AB1499" s="101">
        <f>IF($B1499="","",(COUNTIF(C1458:E1475,$B1499)+COUNTIF(C1458:E1475,$B1499&amp;" ~*")&gt;0)+(COUNTIF(G1458:I1475,$B1499)+COUNTIF(G1458:I1475,$B1499&amp;" ~*")&gt;0)+(COUNTIF(K1458:M1475,$B1499)+COUNTIF(K1458:M1475,$B1499&amp;" ~*")&gt;0)+(COUNTIF(O1458:Q1475,$B1499)+COUNTIF(O1458:Q1475,$B1499&amp;" ~*")&gt;0)+(COUNTIF(S1458:U1475,$B1499)+COUNTIF(S1458:U1475,$B1499&amp;" ~*")&gt;0)+(COUNTIF(W1458:W1475,$B1499)+COUNTIF(W1458:W1475,$B1499&amp;" ~*")&gt;0)+(COUNTIF(Y1458:Y1475,$B1499)+COUNTIF(Y1458:Y1475,$B1499&amp;" ~*")&gt;0))</f>
        <v/>
      </c>
      <c r="AC1499" s="36">
        <f>IF($B1499="","",(IFERROR(INDEX(Setup!$G$33:$G$40,MATCH(C1499,Setup!$B$33:$B$40,0)),0)=1)*(COUNTIF(C1458:E1475,$B1499)+COUNTIF(C1458:E1475,$B1499&amp;" ~*")&gt;0)+(IFERROR(INDEX(Setup!$G$33:$G$40,MATCH(G1499,Setup!$B$33:$B$40,0)),0)=1)*(COUNTIF(G1458:I1475,$B1499)+COUNTIF(G1458:I1475,$B1499&amp;" ~*")&gt;0)+(IFERROR(INDEX(Setup!$G$33:$G$40,MATCH(K1499,Setup!$B$33:$B$40,0)),0)=1)*(COUNTIF(K1458:M1475,$B1499)+COUNTIF(K1458:M1475,$B1499&amp;" ~*")&gt;0)+(IFERROR(INDEX(Setup!$G$33:$G$40,MATCH(O1499,Setup!$B$33:$B$40,0)),0)=1)*(COUNTIF(O1458:Q1475,$B1499)+COUNTIF(O1458:Q1475,$B1499&amp;" ~*")&gt;0)+(IFERROR(INDEX(Setup!$G$33:$G$40,MATCH(S1499,Setup!$B$33:$B$40,0)),0)=1)*(COUNTIF(S1458:U1475,$B1499)+COUNTIF(S1458:U1475,$B1499&amp;" ~*")&gt;0)+(IFERROR(INDEX(Setup!$G$33:$G$40,MATCH(W1499,Setup!$B$33:$B$40,0)),0)=1)*(COUNTIF(W1458:W1475,$B1499)+COUNTIF(W1458:W1475,$B1499&amp;" ~*")&gt;0)+(IFERROR(INDEX(Setup!$G$33:$G$40,MATCH(Y1499,Setup!$B$33:$B$40,0)),0)=1)*(COUNTIF(Y1458:Y1475,$B1499)+COUNTIF(Y1458:Y1475,$B1499&amp;" ~*")&gt;0))</f>
        <v/>
      </c>
    </row>
    <row r="1500" ht="15" customHeight="1">
      <c r="A1500" t="n">
        <v>30</v>
      </c>
      <c r="B1500" s="37">
        <f>IF(Setup!$B$29="","",Setup!$B$29)</f>
        <v/>
      </c>
      <c r="C1500" s="102" t="n"/>
      <c r="D1500" s="103" t="n"/>
      <c r="E1500" s="103" t="n"/>
      <c r="F1500" s="104" t="n"/>
      <c r="G1500" s="102" t="n"/>
      <c r="H1500" s="103" t="n"/>
      <c r="I1500" s="103" t="n"/>
      <c r="J1500" s="104" t="n"/>
      <c r="K1500" s="102" t="n"/>
      <c r="L1500" s="103" t="n"/>
      <c r="M1500" s="103" t="n"/>
      <c r="N1500" s="104" t="n"/>
      <c r="O1500" s="102" t="n"/>
      <c r="P1500" s="103" t="n"/>
      <c r="Q1500" s="103" t="n"/>
      <c r="R1500" s="104" t="n"/>
      <c r="S1500" s="102" t="n"/>
      <c r="T1500" s="103" t="n"/>
      <c r="U1500" s="103" t="n"/>
      <c r="V1500" s="104" t="n"/>
      <c r="W1500" s="102" t="n"/>
      <c r="X1500" s="104" t="n"/>
      <c r="Y1500" s="102" t="n"/>
      <c r="Z1500" s="104" t="n"/>
      <c r="AB1500" s="105">
        <f>IF($B1500="","",(COUNTIF(C1458:E1475,$B1500)+COUNTIF(C1458:E1475,$B1500&amp;" ~*")&gt;0)+(COUNTIF(G1458:I1475,$B1500)+COUNTIF(G1458:I1475,$B1500&amp;" ~*")&gt;0)+(COUNTIF(K1458:M1475,$B1500)+COUNTIF(K1458:M1475,$B1500&amp;" ~*")&gt;0)+(COUNTIF(O1458:Q1475,$B1500)+COUNTIF(O1458:Q1475,$B1500&amp;" ~*")&gt;0)+(COUNTIF(S1458:U1475,$B1500)+COUNTIF(S1458:U1475,$B1500&amp;" ~*")&gt;0)+(COUNTIF(W1458:W1475,$B1500)+COUNTIF(W1458:W1475,$B1500&amp;" ~*")&gt;0)+(COUNTIF(Y1458:Y1475,$B1500)+COUNTIF(Y1458:Y1475,$B1500&amp;" ~*")&gt;0))</f>
        <v/>
      </c>
      <c r="AC1500" s="38">
        <f>IF($B1500="","",(IFERROR(INDEX(Setup!$G$33:$G$40,MATCH(C1500,Setup!$B$33:$B$40,0)),0)=1)*(COUNTIF(C1458:E1475,$B1500)+COUNTIF(C1458:E1475,$B1500&amp;" ~*")&gt;0)+(IFERROR(INDEX(Setup!$G$33:$G$40,MATCH(G1500,Setup!$B$33:$B$40,0)),0)=1)*(COUNTIF(G1458:I1475,$B1500)+COUNTIF(G1458:I1475,$B1500&amp;" ~*")&gt;0)+(IFERROR(INDEX(Setup!$G$33:$G$40,MATCH(K1500,Setup!$B$33:$B$40,0)),0)=1)*(COUNTIF(K1458:M1475,$B1500)+COUNTIF(K1458:M1475,$B1500&amp;" ~*")&gt;0)+(IFERROR(INDEX(Setup!$G$33:$G$40,MATCH(O1500,Setup!$B$33:$B$40,0)),0)=1)*(COUNTIF(O1458:Q1475,$B1500)+COUNTIF(O1458:Q1475,$B1500&amp;" ~*")&gt;0)+(IFERROR(INDEX(Setup!$G$33:$G$40,MATCH(S1500,Setup!$B$33:$B$40,0)),0)=1)*(COUNTIF(S1458:U1475,$B1500)+COUNTIF(S1458:U1475,$B1500&amp;" ~*")&gt;0)+(IFERROR(INDEX(Setup!$G$33:$G$40,MATCH(W1500,Setup!$B$33:$B$40,0)),0)=1)*(COUNTIF(W1458:W1475,$B1500)+COUNTIF(W1458:W1475,$B1500&amp;" ~*")&gt;0)+(IFERROR(INDEX(Setup!$G$33:$G$40,MATCH(Y1500,Setup!$B$33:$B$40,0)),0)=1)*(COUNTIF(Y1458:Y1475,$B1500)+COUNTIF(Y1458:Y1475,$B1500&amp;" ~*")&gt;0))</f>
        <v/>
      </c>
    </row>
    <row r="1501" ht="16" customHeight="1">
      <c r="A1501" t="n">
        <v>30</v>
      </c>
      <c r="B1501" s="106" t="inlineStr">
        <is>
          <t>Available people</t>
        </is>
      </c>
      <c r="C1501" s="107">
        <f>COUNTIFS(Setup!$E$6:$E$29,"Y",Setup!$B$6:$B$29,"?*")-SUMPRODUCT(COUNTIF(C1477:C1500,Setup!$F$33:$F$40))</f>
        <v/>
      </c>
      <c r="D1501" s="107" t="n"/>
      <c r="E1501" s="107" t="n"/>
      <c r="F1501" s="107" t="n"/>
      <c r="G1501" s="107">
        <f>COUNTIFS(Setup!$E$6:$E$29,"Y",Setup!$B$6:$B$29,"?*")-SUMPRODUCT(COUNTIF(G1477:G1500,Setup!$F$33:$F$40))</f>
        <v/>
      </c>
      <c r="H1501" s="107" t="n"/>
      <c r="I1501" s="107" t="n"/>
      <c r="J1501" s="107" t="n"/>
      <c r="K1501" s="107">
        <f>COUNTIFS(Setup!$E$6:$E$29,"Y",Setup!$B$6:$B$29,"?*")-SUMPRODUCT(COUNTIF(K1477:K1500,Setup!$F$33:$F$40))</f>
        <v/>
      </c>
      <c r="L1501" s="107" t="n"/>
      <c r="M1501" s="107" t="n"/>
      <c r="N1501" s="107" t="n"/>
      <c r="O1501" s="107">
        <f>COUNTIFS(Setup!$E$6:$E$29,"Y",Setup!$B$6:$B$29,"?*")-SUMPRODUCT(COUNTIF(O1477:O1500,Setup!$F$33:$F$40))</f>
        <v/>
      </c>
      <c r="P1501" s="107" t="n"/>
      <c r="Q1501" s="107" t="n"/>
      <c r="R1501" s="107" t="n"/>
      <c r="S1501" s="107">
        <f>COUNTIFS(Setup!$E$6:$E$29,"Y",Setup!$B$6:$B$29,"?*")-SUMPRODUCT(COUNTIF(S1477:S1500,Setup!$F$33:$F$40))</f>
        <v/>
      </c>
      <c r="T1501" s="107" t="n"/>
      <c r="U1501" s="107" t="n"/>
      <c r="V1501" s="107" t="n"/>
      <c r="W1501" s="107">
        <f>COUNTIFS(Setup!$E$6:$E$29,"Y",Setup!$B$6:$B$29,"?*")-SUMPRODUCT(COUNTIF(W1477:W1500,Setup!$F$33:$F$40))</f>
        <v/>
      </c>
      <c r="X1501" s="107" t="n"/>
      <c r="Y1501" s="107">
        <f>COUNTIFS(Setup!$E$6:$E$29,"Y",Setup!$B$6:$B$29,"?*")-SUMPRODUCT(COUNTIF(Y1477:Y1500,Setup!$F$33:$F$40))</f>
        <v/>
      </c>
      <c r="Z1501" s="107" t="n"/>
      <c r="AB1501" s="108">
        <f>SUM(AB1477:AB1500)</f>
        <v/>
      </c>
      <c r="AC1501" s="109">
        <f>SUM(AC1477:AC1500)</f>
        <v/>
      </c>
    </row>
    <row r="1502" ht="30" customHeight="1">
      <c r="A1502" t="n">
        <v>30</v>
      </c>
      <c r="B1502" s="110" t="inlineStr">
        <is>
          <t>Week notes</t>
        </is>
      </c>
      <c r="C1502" s="111" t="n"/>
      <c r="D1502" s="112" t="n"/>
      <c r="E1502" s="112" t="n"/>
      <c r="F1502" s="112" t="n"/>
      <c r="G1502" s="112" t="n"/>
      <c r="H1502" s="112" t="n"/>
      <c r="I1502" s="112" t="n"/>
      <c r="J1502" s="112" t="n"/>
      <c r="K1502" s="112" t="n"/>
      <c r="L1502" s="112" t="n"/>
      <c r="M1502" s="112" t="n"/>
      <c r="N1502" s="112" t="n"/>
      <c r="O1502" s="112" t="n"/>
      <c r="P1502" s="112" t="n"/>
      <c r="Q1502" s="112" t="n"/>
      <c r="R1502" s="112" t="n"/>
      <c r="S1502" s="112" t="n"/>
      <c r="T1502" s="112" t="n"/>
      <c r="U1502" s="112" t="n"/>
      <c r="V1502" s="112" t="n"/>
      <c r="W1502" s="112" t="n"/>
      <c r="X1502" s="112" t="n"/>
      <c r="Y1502" s="112" t="n"/>
      <c r="Z1502" s="113" t="n"/>
    </row>
    <row r="1503" ht="8" customHeight="1">
      <c r="A1503" t="n">
        <v>30</v>
      </c>
    </row>
    <row r="1504" ht="8" customHeight="1">
      <c r="A1504" t="n">
        <v>30</v>
      </c>
    </row>
    <row r="1505" ht="24" customHeight="1">
      <c r="A1505" t="n">
        <v>31</v>
      </c>
      <c r="B1505" s="73">
        <f>"WEEK 31     "&amp;TEXT(C1506,"ddd d mmm")&amp;"  –  "&amp;TEXT(C1506+6,"ddd d mmm yyyy")</f>
        <v/>
      </c>
      <c r="S1505" s="74">
        <f>IF(TODAY()&lt;C1506,"FUTURE",IF(TODAY()&gt;C1506+6,"PAST","THIS WEEK"))</f>
        <v/>
      </c>
      <c r="W1505" s="75">
        <f>IF(AND(Engine!$B$8=$AC$3,Engine!$B$9=$A1505),"◀ ACTIVE WEEK","")</f>
        <v/>
      </c>
      <c r="AA1505" s="76" t="n"/>
      <c r="AB1505" s="77" t="inlineStr">
        <is>
          <t>◀ Prev</t>
        </is>
      </c>
      <c r="AC1505" s="77" t="inlineStr">
        <is>
          <t>Next ▶</t>
        </is>
      </c>
    </row>
    <row r="1506" ht="18" customHeight="1">
      <c r="A1506" t="n">
        <v>31</v>
      </c>
      <c r="B1506" s="78" t="inlineStr">
        <is>
          <t>DUTY</t>
        </is>
      </c>
      <c r="C1506" s="79">
        <f>$AC$2+7*($A1506-1)</f>
        <v/>
      </c>
      <c r="D1506" s="80" t="n"/>
      <c r="E1506" s="80" t="n"/>
      <c r="F1506" s="81" t="n"/>
      <c r="G1506" s="79">
        <f>C1506+1</f>
        <v/>
      </c>
      <c r="H1506" s="80" t="n"/>
      <c r="I1506" s="80" t="n"/>
      <c r="J1506" s="81" t="n"/>
      <c r="K1506" s="79">
        <f>C1506+2</f>
        <v/>
      </c>
      <c r="L1506" s="80" t="n"/>
      <c r="M1506" s="80" t="n"/>
      <c r="N1506" s="81" t="n"/>
      <c r="O1506" s="79">
        <f>C1506+3</f>
        <v/>
      </c>
      <c r="P1506" s="80" t="n"/>
      <c r="Q1506" s="80" t="n"/>
      <c r="R1506" s="81" t="n"/>
      <c r="S1506" s="79">
        <f>C1506+4</f>
        <v/>
      </c>
      <c r="T1506" s="80" t="n"/>
      <c r="U1506" s="80" t="n"/>
      <c r="V1506" s="81" t="n"/>
      <c r="W1506" s="82">
        <f>C1506+5</f>
        <v/>
      </c>
      <c r="X1506" s="83" t="n"/>
      <c r="Y1506" s="82">
        <f>C1506+6</f>
        <v/>
      </c>
      <c r="Z1506" s="83" t="n"/>
      <c r="AB1506" s="72" t="inlineStr">
        <is>
          <t>Gaps</t>
        </is>
      </c>
      <c r="AC1506" s="72" t="inlineStr">
        <is>
          <t>Cover</t>
        </is>
      </c>
    </row>
    <row r="1507" ht="14" customHeight="1">
      <c r="A1507" t="n">
        <v>31</v>
      </c>
      <c r="B1507" s="84" t="inlineStr">
        <is>
          <t>(from Setup)</t>
        </is>
      </c>
      <c r="C1507" s="85" t="inlineStr">
        <is>
          <t>1</t>
        </is>
      </c>
      <c r="D1507" s="85" t="inlineStr">
        <is>
          <t>2</t>
        </is>
      </c>
      <c r="E1507" s="85" t="inlineStr">
        <is>
          <t>3</t>
        </is>
      </c>
      <c r="F1507" s="85" t="inlineStr">
        <is>
          <t>Notes</t>
        </is>
      </c>
      <c r="G1507" s="85" t="inlineStr">
        <is>
          <t>1</t>
        </is>
      </c>
      <c r="H1507" s="85" t="inlineStr">
        <is>
          <t>2</t>
        </is>
      </c>
      <c r="I1507" s="85" t="inlineStr">
        <is>
          <t>3</t>
        </is>
      </c>
      <c r="J1507" s="85" t="inlineStr">
        <is>
          <t>Notes</t>
        </is>
      </c>
      <c r="K1507" s="85" t="inlineStr">
        <is>
          <t>1</t>
        </is>
      </c>
      <c r="L1507" s="85" t="inlineStr">
        <is>
          <t>2</t>
        </is>
      </c>
      <c r="M1507" s="85" t="inlineStr">
        <is>
          <t>3</t>
        </is>
      </c>
      <c r="N1507" s="85" t="inlineStr">
        <is>
          <t>Notes</t>
        </is>
      </c>
      <c r="O1507" s="85" t="inlineStr">
        <is>
          <t>1</t>
        </is>
      </c>
      <c r="P1507" s="85" t="inlineStr">
        <is>
          <t>2</t>
        </is>
      </c>
      <c r="Q1507" s="85" t="inlineStr">
        <is>
          <t>3</t>
        </is>
      </c>
      <c r="R1507" s="85" t="inlineStr">
        <is>
          <t>Notes</t>
        </is>
      </c>
      <c r="S1507" s="85" t="inlineStr">
        <is>
          <t>1</t>
        </is>
      </c>
      <c r="T1507" s="85" t="inlineStr">
        <is>
          <t>2</t>
        </is>
      </c>
      <c r="U1507" s="85" t="inlineStr">
        <is>
          <t>3</t>
        </is>
      </c>
      <c r="V1507" s="85" t="inlineStr">
        <is>
          <t>Notes</t>
        </is>
      </c>
      <c r="W1507" s="85" t="inlineStr">
        <is>
          <t>Cover</t>
        </is>
      </c>
      <c r="X1507" s="85" t="inlineStr">
        <is>
          <t>Notes</t>
        </is>
      </c>
      <c r="Y1507" s="85" t="inlineStr">
        <is>
          <t>Cover</t>
        </is>
      </c>
      <c r="Z1507" s="85" t="inlineStr">
        <is>
          <t>Notes</t>
        </is>
      </c>
      <c r="AB1507" s="86" t="inlineStr">
        <is>
          <t>weekdays short</t>
        </is>
      </c>
      <c r="AC1507" s="87" t="inlineStr"/>
    </row>
    <row r="1508" ht="17" customHeight="1">
      <c r="A1508" t="n">
        <v>31</v>
      </c>
      <c r="B1508" s="24">
        <f>IF(Setup!$K$6="","",Setup!$K$6)</f>
        <v/>
      </c>
      <c r="C1508" s="88" t="n"/>
      <c r="D1508" s="88" t="n"/>
      <c r="E1508" s="88" t="n"/>
      <c r="F1508" s="89" t="n"/>
      <c r="G1508" s="88" t="n"/>
      <c r="H1508" s="88" t="n"/>
      <c r="I1508" s="88" t="n"/>
      <c r="J1508" s="89" t="n"/>
      <c r="K1508" s="88" t="n"/>
      <c r="L1508" s="88" t="n"/>
      <c r="M1508" s="88" t="n"/>
      <c r="N1508" s="89" t="n"/>
      <c r="O1508" s="88" t="n"/>
      <c r="P1508" s="88" t="n"/>
      <c r="Q1508" s="88" t="n"/>
      <c r="R1508" s="89" t="n"/>
      <c r="S1508" s="88" t="n"/>
      <c r="T1508" s="88" t="n"/>
      <c r="U1508" s="88" t="n"/>
      <c r="V1508" s="89" t="n"/>
      <c r="W1508" s="88" t="n"/>
      <c r="X1508" s="89" t="n"/>
      <c r="Y1508" s="88" t="n"/>
      <c r="Z1508" s="89" t="n"/>
      <c r="AB1508" s="25">
        <f>IF($B1508="","",(COUNTIF(C1508:E1508,"?*")&lt;N(INDEX(Setup!$L$6:$L$23,1)))+(COUNTIF(G1508:I1508,"?*")&lt;N(INDEX(Setup!$L$6:$L$23,1)))+(COUNTIF(K1508:M1508,"?*")&lt;N(INDEX(Setup!$L$6:$L$23,1)))+(COUNTIF(O1508:Q1508,"?*")&lt;N(INDEX(Setup!$L$6:$L$23,1)))+(COUNTIF(S1508:U1508,"?*")&lt;N(INDEX(Setup!$L$6:$L$23,1)))+((W1508="")*(INDEX(Setup!$M$6:$M$23,1)="Y"))+((Y1508="")*(INDEX(Setup!$M$6:$M$23,1)="Y")))</f>
        <v/>
      </c>
      <c r="AC1508" s="90">
        <f>IF($B1508="","",IF(AB1508=0,"✓ covered","⚠ "&amp;AB1508&amp;IF(AB1508=1," gap"," gaps")))</f>
        <v/>
      </c>
    </row>
    <row r="1509" ht="17" customHeight="1">
      <c r="A1509" t="n">
        <v>31</v>
      </c>
      <c r="B1509" s="29">
        <f>IF(Setup!$K$7="","",Setup!$K$7)</f>
        <v/>
      </c>
      <c r="C1509" s="88" t="n"/>
      <c r="D1509" s="88" t="n"/>
      <c r="E1509" s="88" t="n"/>
      <c r="F1509" s="89" t="n"/>
      <c r="G1509" s="88" t="n"/>
      <c r="H1509" s="88" t="n"/>
      <c r="I1509" s="88" t="n"/>
      <c r="J1509" s="89" t="n"/>
      <c r="K1509" s="88" t="n"/>
      <c r="L1509" s="88" t="n"/>
      <c r="M1509" s="88" t="n"/>
      <c r="N1509" s="89" t="n"/>
      <c r="O1509" s="88" t="n"/>
      <c r="P1509" s="88" t="n"/>
      <c r="Q1509" s="88" t="n"/>
      <c r="R1509" s="89" t="n"/>
      <c r="S1509" s="88" t="n"/>
      <c r="T1509" s="88" t="n"/>
      <c r="U1509" s="88" t="n"/>
      <c r="V1509" s="89" t="n"/>
      <c r="W1509" s="88" t="n"/>
      <c r="X1509" s="89" t="n"/>
      <c r="Y1509" s="88" t="n"/>
      <c r="Z1509" s="89" t="n"/>
      <c r="AB1509" s="30">
        <f>IF($B1509="","",(COUNTIF(C1509:E1509,"?*")&lt;N(INDEX(Setup!$L$6:$L$23,2)))+(COUNTIF(G1509:I1509,"?*")&lt;N(INDEX(Setup!$L$6:$L$23,2)))+(COUNTIF(K1509:M1509,"?*")&lt;N(INDEX(Setup!$L$6:$L$23,2)))+(COUNTIF(O1509:Q1509,"?*")&lt;N(INDEX(Setup!$L$6:$L$23,2)))+(COUNTIF(S1509:U1509,"?*")&lt;N(INDEX(Setup!$L$6:$L$23,2)))+((W1509="")*(INDEX(Setup!$M$6:$M$23,2)="Y"))+((Y1509="")*(INDEX(Setup!$M$6:$M$23,2)="Y")))</f>
        <v/>
      </c>
      <c r="AC1509" s="91">
        <f>IF($B1509="","",IF(AB1509=0,"✓ covered","⚠ "&amp;AB1509&amp;IF(AB1509=1," gap"," gaps")))</f>
        <v/>
      </c>
    </row>
    <row r="1510" ht="17" customHeight="1">
      <c r="A1510" t="n">
        <v>31</v>
      </c>
      <c r="B1510" s="24">
        <f>IF(Setup!$K$8="","",Setup!$K$8)</f>
        <v/>
      </c>
      <c r="C1510" s="88" t="n"/>
      <c r="D1510" s="88" t="n"/>
      <c r="E1510" s="88" t="n"/>
      <c r="F1510" s="89" t="n"/>
      <c r="G1510" s="88" t="n"/>
      <c r="H1510" s="88" t="n"/>
      <c r="I1510" s="88" t="n"/>
      <c r="J1510" s="89" t="n"/>
      <c r="K1510" s="88" t="n"/>
      <c r="L1510" s="88" t="n"/>
      <c r="M1510" s="88" t="n"/>
      <c r="N1510" s="89" t="n"/>
      <c r="O1510" s="88" t="n"/>
      <c r="P1510" s="88" t="n"/>
      <c r="Q1510" s="88" t="n"/>
      <c r="R1510" s="89" t="n"/>
      <c r="S1510" s="88" t="n"/>
      <c r="T1510" s="88" t="n"/>
      <c r="U1510" s="88" t="n"/>
      <c r="V1510" s="89" t="n"/>
      <c r="W1510" s="88" t="n"/>
      <c r="X1510" s="89" t="n"/>
      <c r="Y1510" s="88" t="n"/>
      <c r="Z1510" s="89" t="n"/>
      <c r="AB1510" s="25">
        <f>IF($B1510="","",(COUNTIF(C1510:E1510,"?*")&lt;N(INDEX(Setup!$L$6:$L$23,3)))+(COUNTIF(G1510:I1510,"?*")&lt;N(INDEX(Setup!$L$6:$L$23,3)))+(COUNTIF(K1510:M1510,"?*")&lt;N(INDEX(Setup!$L$6:$L$23,3)))+(COUNTIF(O1510:Q1510,"?*")&lt;N(INDEX(Setup!$L$6:$L$23,3)))+(COUNTIF(S1510:U1510,"?*")&lt;N(INDEX(Setup!$L$6:$L$23,3)))+((W1510="")*(INDEX(Setup!$M$6:$M$23,3)="Y"))+((Y1510="")*(INDEX(Setup!$M$6:$M$23,3)="Y")))</f>
        <v/>
      </c>
      <c r="AC1510" s="90">
        <f>IF($B1510="","",IF(AB1510=0,"✓ covered","⚠ "&amp;AB1510&amp;IF(AB1510=1," gap"," gaps")))</f>
        <v/>
      </c>
    </row>
    <row r="1511" ht="17" customHeight="1">
      <c r="A1511" t="n">
        <v>31</v>
      </c>
      <c r="B1511" s="29">
        <f>IF(Setup!$K$9="","",Setup!$K$9)</f>
        <v/>
      </c>
      <c r="C1511" s="88" t="n"/>
      <c r="D1511" s="88" t="n"/>
      <c r="E1511" s="88" t="n"/>
      <c r="F1511" s="89" t="n"/>
      <c r="G1511" s="88" t="n"/>
      <c r="H1511" s="88" t="n"/>
      <c r="I1511" s="88" t="n"/>
      <c r="J1511" s="89" t="n"/>
      <c r="K1511" s="88" t="n"/>
      <c r="L1511" s="88" t="n"/>
      <c r="M1511" s="88" t="n"/>
      <c r="N1511" s="89" t="n"/>
      <c r="O1511" s="88" t="n"/>
      <c r="P1511" s="88" t="n"/>
      <c r="Q1511" s="88" t="n"/>
      <c r="R1511" s="89" t="n"/>
      <c r="S1511" s="88" t="n"/>
      <c r="T1511" s="88" t="n"/>
      <c r="U1511" s="88" t="n"/>
      <c r="V1511" s="89" t="n"/>
      <c r="W1511" s="88" t="n"/>
      <c r="X1511" s="89" t="n"/>
      <c r="Y1511" s="88" t="n"/>
      <c r="Z1511" s="89" t="n"/>
      <c r="AB1511" s="30">
        <f>IF($B1511="","",(COUNTIF(C1511:E1511,"?*")&lt;N(INDEX(Setup!$L$6:$L$23,4)))+(COUNTIF(G1511:I1511,"?*")&lt;N(INDEX(Setup!$L$6:$L$23,4)))+(COUNTIF(K1511:M1511,"?*")&lt;N(INDEX(Setup!$L$6:$L$23,4)))+(COUNTIF(O1511:Q1511,"?*")&lt;N(INDEX(Setup!$L$6:$L$23,4)))+(COUNTIF(S1511:U1511,"?*")&lt;N(INDEX(Setup!$L$6:$L$23,4)))+((W1511="")*(INDEX(Setup!$M$6:$M$23,4)="Y"))+((Y1511="")*(INDEX(Setup!$M$6:$M$23,4)="Y")))</f>
        <v/>
      </c>
      <c r="AC1511" s="91">
        <f>IF($B1511="","",IF(AB1511=0,"✓ covered","⚠ "&amp;AB1511&amp;IF(AB1511=1," gap"," gaps")))</f>
        <v/>
      </c>
    </row>
    <row r="1512" ht="17" customHeight="1">
      <c r="A1512" t="n">
        <v>31</v>
      </c>
      <c r="B1512" s="24">
        <f>IF(Setup!$K$10="","",Setup!$K$10)</f>
        <v/>
      </c>
      <c r="C1512" s="88" t="n"/>
      <c r="D1512" s="88" t="n"/>
      <c r="E1512" s="88" t="n"/>
      <c r="F1512" s="89" t="n"/>
      <c r="G1512" s="88" t="n"/>
      <c r="H1512" s="88" t="n"/>
      <c r="I1512" s="88" t="n"/>
      <c r="J1512" s="89" t="n"/>
      <c r="K1512" s="88" t="n"/>
      <c r="L1512" s="88" t="n"/>
      <c r="M1512" s="88" t="n"/>
      <c r="N1512" s="89" t="n"/>
      <c r="O1512" s="88" t="n"/>
      <c r="P1512" s="88" t="n"/>
      <c r="Q1512" s="88" t="n"/>
      <c r="R1512" s="89" t="n"/>
      <c r="S1512" s="88" t="n"/>
      <c r="T1512" s="88" t="n"/>
      <c r="U1512" s="88" t="n"/>
      <c r="V1512" s="89" t="n"/>
      <c r="W1512" s="88" t="n"/>
      <c r="X1512" s="89" t="n"/>
      <c r="Y1512" s="88" t="n"/>
      <c r="Z1512" s="89" t="n"/>
      <c r="AB1512" s="25">
        <f>IF($B1512="","",(COUNTIF(C1512:E1512,"?*")&lt;N(INDEX(Setup!$L$6:$L$23,5)))+(COUNTIF(G1512:I1512,"?*")&lt;N(INDEX(Setup!$L$6:$L$23,5)))+(COUNTIF(K1512:M1512,"?*")&lt;N(INDEX(Setup!$L$6:$L$23,5)))+(COUNTIF(O1512:Q1512,"?*")&lt;N(INDEX(Setup!$L$6:$L$23,5)))+(COUNTIF(S1512:U1512,"?*")&lt;N(INDEX(Setup!$L$6:$L$23,5)))+((W1512="")*(INDEX(Setup!$M$6:$M$23,5)="Y"))+((Y1512="")*(INDEX(Setup!$M$6:$M$23,5)="Y")))</f>
        <v/>
      </c>
      <c r="AC1512" s="90">
        <f>IF($B1512="","",IF(AB1512=0,"✓ covered","⚠ "&amp;AB1512&amp;IF(AB1512=1," gap"," gaps")))</f>
        <v/>
      </c>
    </row>
    <row r="1513" ht="17" customHeight="1">
      <c r="A1513" t="n">
        <v>31</v>
      </c>
      <c r="B1513" s="29">
        <f>IF(Setup!$K$11="","",Setup!$K$11)</f>
        <v/>
      </c>
      <c r="C1513" s="88" t="n"/>
      <c r="D1513" s="88" t="n"/>
      <c r="E1513" s="88" t="n"/>
      <c r="F1513" s="89" t="n"/>
      <c r="G1513" s="88" t="n"/>
      <c r="H1513" s="88" t="n"/>
      <c r="I1513" s="88" t="n"/>
      <c r="J1513" s="89" t="n"/>
      <c r="K1513" s="88" t="n"/>
      <c r="L1513" s="88" t="n"/>
      <c r="M1513" s="88" t="n"/>
      <c r="N1513" s="89" t="n"/>
      <c r="O1513" s="88" t="n"/>
      <c r="P1513" s="88" t="n"/>
      <c r="Q1513" s="88" t="n"/>
      <c r="R1513" s="89" t="n"/>
      <c r="S1513" s="88" t="n"/>
      <c r="T1513" s="88" t="n"/>
      <c r="U1513" s="88" t="n"/>
      <c r="V1513" s="89" t="n"/>
      <c r="W1513" s="88" t="n"/>
      <c r="X1513" s="89" t="n"/>
      <c r="Y1513" s="88" t="n"/>
      <c r="Z1513" s="89" t="n"/>
      <c r="AB1513" s="30">
        <f>IF($B1513="","",(COUNTIF(C1513:E1513,"?*")&lt;N(INDEX(Setup!$L$6:$L$23,6)))+(COUNTIF(G1513:I1513,"?*")&lt;N(INDEX(Setup!$L$6:$L$23,6)))+(COUNTIF(K1513:M1513,"?*")&lt;N(INDEX(Setup!$L$6:$L$23,6)))+(COUNTIF(O1513:Q1513,"?*")&lt;N(INDEX(Setup!$L$6:$L$23,6)))+(COUNTIF(S1513:U1513,"?*")&lt;N(INDEX(Setup!$L$6:$L$23,6)))+((W1513="")*(INDEX(Setup!$M$6:$M$23,6)="Y"))+((Y1513="")*(INDEX(Setup!$M$6:$M$23,6)="Y")))</f>
        <v/>
      </c>
      <c r="AC1513" s="91">
        <f>IF($B1513="","",IF(AB1513=0,"✓ covered","⚠ "&amp;AB1513&amp;IF(AB1513=1," gap"," gaps")))</f>
        <v/>
      </c>
    </row>
    <row r="1514" ht="17" customHeight="1">
      <c r="A1514" t="n">
        <v>31</v>
      </c>
      <c r="B1514" s="24">
        <f>IF(Setup!$K$12="","",Setup!$K$12)</f>
        <v/>
      </c>
      <c r="C1514" s="88" t="n"/>
      <c r="D1514" s="88" t="n"/>
      <c r="E1514" s="88" t="n"/>
      <c r="F1514" s="89" t="n"/>
      <c r="G1514" s="88" t="n"/>
      <c r="H1514" s="88" t="n"/>
      <c r="I1514" s="88" t="n"/>
      <c r="J1514" s="89" t="n"/>
      <c r="K1514" s="88" t="n"/>
      <c r="L1514" s="88" t="n"/>
      <c r="M1514" s="88" t="n"/>
      <c r="N1514" s="89" t="n"/>
      <c r="O1514" s="88" t="n"/>
      <c r="P1514" s="88" t="n"/>
      <c r="Q1514" s="88" t="n"/>
      <c r="R1514" s="89" t="n"/>
      <c r="S1514" s="88" t="n"/>
      <c r="T1514" s="88" t="n"/>
      <c r="U1514" s="88" t="n"/>
      <c r="V1514" s="89" t="n"/>
      <c r="W1514" s="88" t="n"/>
      <c r="X1514" s="89" t="n"/>
      <c r="Y1514" s="88" t="n"/>
      <c r="Z1514" s="89" t="n"/>
      <c r="AB1514" s="25">
        <f>IF($B1514="","",(COUNTIF(C1514:E1514,"?*")&lt;N(INDEX(Setup!$L$6:$L$23,7)))+(COUNTIF(G1514:I1514,"?*")&lt;N(INDEX(Setup!$L$6:$L$23,7)))+(COUNTIF(K1514:M1514,"?*")&lt;N(INDEX(Setup!$L$6:$L$23,7)))+(COUNTIF(O1514:Q1514,"?*")&lt;N(INDEX(Setup!$L$6:$L$23,7)))+(COUNTIF(S1514:U1514,"?*")&lt;N(INDEX(Setup!$L$6:$L$23,7)))+((W1514="")*(INDEX(Setup!$M$6:$M$23,7)="Y"))+((Y1514="")*(INDEX(Setup!$M$6:$M$23,7)="Y")))</f>
        <v/>
      </c>
      <c r="AC1514" s="90">
        <f>IF($B1514="","",IF(AB1514=0,"✓ covered","⚠ "&amp;AB1514&amp;IF(AB1514=1," gap"," gaps")))</f>
        <v/>
      </c>
    </row>
    <row r="1515" ht="17" customHeight="1">
      <c r="A1515" t="n">
        <v>31</v>
      </c>
      <c r="B1515" s="29">
        <f>IF(Setup!$K$13="","",Setup!$K$13)</f>
        <v/>
      </c>
      <c r="C1515" s="88" t="n"/>
      <c r="D1515" s="88" t="n"/>
      <c r="E1515" s="88" t="n"/>
      <c r="F1515" s="89" t="n"/>
      <c r="G1515" s="88" t="n"/>
      <c r="H1515" s="88" t="n"/>
      <c r="I1515" s="88" t="n"/>
      <c r="J1515" s="89" t="n"/>
      <c r="K1515" s="88" t="n"/>
      <c r="L1515" s="88" t="n"/>
      <c r="M1515" s="88" t="n"/>
      <c r="N1515" s="89" t="n"/>
      <c r="O1515" s="88" t="n"/>
      <c r="P1515" s="88" t="n"/>
      <c r="Q1515" s="88" t="n"/>
      <c r="R1515" s="89" t="n"/>
      <c r="S1515" s="88" t="n"/>
      <c r="T1515" s="88" t="n"/>
      <c r="U1515" s="88" t="n"/>
      <c r="V1515" s="89" t="n"/>
      <c r="W1515" s="88" t="n"/>
      <c r="X1515" s="89" t="n"/>
      <c r="Y1515" s="88" t="n"/>
      <c r="Z1515" s="89" t="n"/>
      <c r="AB1515" s="30">
        <f>IF($B1515="","",(COUNTIF(C1515:E1515,"?*")&lt;N(INDEX(Setup!$L$6:$L$23,8)))+(COUNTIF(G1515:I1515,"?*")&lt;N(INDEX(Setup!$L$6:$L$23,8)))+(COUNTIF(K1515:M1515,"?*")&lt;N(INDEX(Setup!$L$6:$L$23,8)))+(COUNTIF(O1515:Q1515,"?*")&lt;N(INDEX(Setup!$L$6:$L$23,8)))+(COUNTIF(S1515:U1515,"?*")&lt;N(INDEX(Setup!$L$6:$L$23,8)))+((W1515="")*(INDEX(Setup!$M$6:$M$23,8)="Y"))+((Y1515="")*(INDEX(Setup!$M$6:$M$23,8)="Y")))</f>
        <v/>
      </c>
      <c r="AC1515" s="91">
        <f>IF($B1515="","",IF(AB1515=0,"✓ covered","⚠ "&amp;AB1515&amp;IF(AB1515=1," gap"," gaps")))</f>
        <v/>
      </c>
    </row>
    <row r="1516" ht="17" customHeight="1">
      <c r="A1516" t="n">
        <v>31</v>
      </c>
      <c r="B1516" s="24">
        <f>IF(Setup!$K$14="","",Setup!$K$14)</f>
        <v/>
      </c>
      <c r="C1516" s="88" t="n"/>
      <c r="D1516" s="88" t="n"/>
      <c r="E1516" s="88" t="n"/>
      <c r="F1516" s="89" t="n"/>
      <c r="G1516" s="88" t="n"/>
      <c r="H1516" s="88" t="n"/>
      <c r="I1516" s="88" t="n"/>
      <c r="J1516" s="89" t="n"/>
      <c r="K1516" s="88" t="n"/>
      <c r="L1516" s="88" t="n"/>
      <c r="M1516" s="88" t="n"/>
      <c r="N1516" s="89" t="n"/>
      <c r="O1516" s="88" t="n"/>
      <c r="P1516" s="88" t="n"/>
      <c r="Q1516" s="88" t="n"/>
      <c r="R1516" s="89" t="n"/>
      <c r="S1516" s="88" t="n"/>
      <c r="T1516" s="88" t="n"/>
      <c r="U1516" s="88" t="n"/>
      <c r="V1516" s="89" t="n"/>
      <c r="W1516" s="88" t="n"/>
      <c r="X1516" s="89" t="n"/>
      <c r="Y1516" s="88" t="n"/>
      <c r="Z1516" s="89" t="n"/>
      <c r="AB1516" s="25">
        <f>IF($B1516="","",(COUNTIF(C1516:E1516,"?*")&lt;N(INDEX(Setup!$L$6:$L$23,9)))+(COUNTIF(G1516:I1516,"?*")&lt;N(INDEX(Setup!$L$6:$L$23,9)))+(COUNTIF(K1516:M1516,"?*")&lt;N(INDEX(Setup!$L$6:$L$23,9)))+(COUNTIF(O1516:Q1516,"?*")&lt;N(INDEX(Setup!$L$6:$L$23,9)))+(COUNTIF(S1516:U1516,"?*")&lt;N(INDEX(Setup!$L$6:$L$23,9)))+((W1516="")*(INDEX(Setup!$M$6:$M$23,9)="Y"))+((Y1516="")*(INDEX(Setup!$M$6:$M$23,9)="Y")))</f>
        <v/>
      </c>
      <c r="AC1516" s="90">
        <f>IF($B1516="","",IF(AB1516=0,"✓ covered","⚠ "&amp;AB1516&amp;IF(AB1516=1," gap"," gaps")))</f>
        <v/>
      </c>
    </row>
    <row r="1517" ht="17" customHeight="1">
      <c r="A1517" t="n">
        <v>31</v>
      </c>
      <c r="B1517" s="29">
        <f>IF(Setup!$K$15="","",Setup!$K$15)</f>
        <v/>
      </c>
      <c r="C1517" s="88" t="n"/>
      <c r="D1517" s="88" t="n"/>
      <c r="E1517" s="88" t="n"/>
      <c r="F1517" s="89" t="n"/>
      <c r="G1517" s="88" t="n"/>
      <c r="H1517" s="88" t="n"/>
      <c r="I1517" s="88" t="n"/>
      <c r="J1517" s="89" t="n"/>
      <c r="K1517" s="88" t="n"/>
      <c r="L1517" s="88" t="n"/>
      <c r="M1517" s="88" t="n"/>
      <c r="N1517" s="89" t="n"/>
      <c r="O1517" s="88" t="n"/>
      <c r="P1517" s="88" t="n"/>
      <c r="Q1517" s="88" t="n"/>
      <c r="R1517" s="89" t="n"/>
      <c r="S1517" s="88" t="n"/>
      <c r="T1517" s="88" t="n"/>
      <c r="U1517" s="88" t="n"/>
      <c r="V1517" s="89" t="n"/>
      <c r="W1517" s="88" t="n"/>
      <c r="X1517" s="89" t="n"/>
      <c r="Y1517" s="88" t="n"/>
      <c r="Z1517" s="89" t="n"/>
      <c r="AB1517" s="30">
        <f>IF($B1517="","",(COUNTIF(C1517:E1517,"?*")&lt;N(INDEX(Setup!$L$6:$L$23,10)))+(COUNTIF(G1517:I1517,"?*")&lt;N(INDEX(Setup!$L$6:$L$23,10)))+(COUNTIF(K1517:M1517,"?*")&lt;N(INDEX(Setup!$L$6:$L$23,10)))+(COUNTIF(O1517:Q1517,"?*")&lt;N(INDEX(Setup!$L$6:$L$23,10)))+(COUNTIF(S1517:U1517,"?*")&lt;N(INDEX(Setup!$L$6:$L$23,10)))+((W1517="")*(INDEX(Setup!$M$6:$M$23,10)="Y"))+((Y1517="")*(INDEX(Setup!$M$6:$M$23,10)="Y")))</f>
        <v/>
      </c>
      <c r="AC1517" s="91">
        <f>IF($B1517="","",IF(AB1517=0,"✓ covered","⚠ "&amp;AB1517&amp;IF(AB1517=1," gap"," gaps")))</f>
        <v/>
      </c>
    </row>
    <row r="1518" ht="17" customHeight="1">
      <c r="A1518" t="n">
        <v>31</v>
      </c>
      <c r="B1518" s="24">
        <f>IF(Setup!$K$16="","",Setup!$K$16)</f>
        <v/>
      </c>
      <c r="C1518" s="88" t="n"/>
      <c r="D1518" s="88" t="n"/>
      <c r="E1518" s="88" t="n"/>
      <c r="F1518" s="89" t="n"/>
      <c r="G1518" s="88" t="n"/>
      <c r="H1518" s="88" t="n"/>
      <c r="I1518" s="88" t="n"/>
      <c r="J1518" s="89" t="n"/>
      <c r="K1518" s="88" t="n"/>
      <c r="L1518" s="88" t="n"/>
      <c r="M1518" s="88" t="n"/>
      <c r="N1518" s="89" t="n"/>
      <c r="O1518" s="88" t="n"/>
      <c r="P1518" s="88" t="n"/>
      <c r="Q1518" s="88" t="n"/>
      <c r="R1518" s="89" t="n"/>
      <c r="S1518" s="88" t="n"/>
      <c r="T1518" s="88" t="n"/>
      <c r="U1518" s="88" t="n"/>
      <c r="V1518" s="89" t="n"/>
      <c r="W1518" s="88" t="n"/>
      <c r="X1518" s="89" t="n"/>
      <c r="Y1518" s="88" t="n"/>
      <c r="Z1518" s="89" t="n"/>
      <c r="AB1518" s="25">
        <f>IF($B1518="","",(COUNTIF(C1518:E1518,"?*")&lt;N(INDEX(Setup!$L$6:$L$23,11)))+(COUNTIF(G1518:I1518,"?*")&lt;N(INDEX(Setup!$L$6:$L$23,11)))+(COUNTIF(K1518:M1518,"?*")&lt;N(INDEX(Setup!$L$6:$L$23,11)))+(COUNTIF(O1518:Q1518,"?*")&lt;N(INDEX(Setup!$L$6:$L$23,11)))+(COUNTIF(S1518:U1518,"?*")&lt;N(INDEX(Setup!$L$6:$L$23,11)))+((W1518="")*(INDEX(Setup!$M$6:$M$23,11)="Y"))+((Y1518="")*(INDEX(Setup!$M$6:$M$23,11)="Y")))</f>
        <v/>
      </c>
      <c r="AC1518" s="90">
        <f>IF($B1518="","",IF(AB1518=0,"✓ covered","⚠ "&amp;AB1518&amp;IF(AB1518=1," gap"," gaps")))</f>
        <v/>
      </c>
    </row>
    <row r="1519" ht="17" customHeight="1">
      <c r="A1519" t="n">
        <v>31</v>
      </c>
      <c r="B1519" s="29">
        <f>IF(Setup!$K$17="","",Setup!$K$17)</f>
        <v/>
      </c>
      <c r="C1519" s="88" t="n"/>
      <c r="D1519" s="88" t="n"/>
      <c r="E1519" s="88" t="n"/>
      <c r="F1519" s="89" t="n"/>
      <c r="G1519" s="88" t="n"/>
      <c r="H1519" s="88" t="n"/>
      <c r="I1519" s="88" t="n"/>
      <c r="J1519" s="89" t="n"/>
      <c r="K1519" s="88" t="n"/>
      <c r="L1519" s="88" t="n"/>
      <c r="M1519" s="88" t="n"/>
      <c r="N1519" s="89" t="n"/>
      <c r="O1519" s="88" t="n"/>
      <c r="P1519" s="88" t="n"/>
      <c r="Q1519" s="88" t="n"/>
      <c r="R1519" s="89" t="n"/>
      <c r="S1519" s="88" t="n"/>
      <c r="T1519" s="88" t="n"/>
      <c r="U1519" s="88" t="n"/>
      <c r="V1519" s="89" t="n"/>
      <c r="W1519" s="88" t="n"/>
      <c r="X1519" s="89" t="n"/>
      <c r="Y1519" s="88" t="n"/>
      <c r="Z1519" s="89" t="n"/>
      <c r="AB1519" s="30">
        <f>IF($B1519="","",(COUNTIF(C1519:E1519,"?*")&lt;N(INDEX(Setup!$L$6:$L$23,12)))+(COUNTIF(G1519:I1519,"?*")&lt;N(INDEX(Setup!$L$6:$L$23,12)))+(COUNTIF(K1519:M1519,"?*")&lt;N(INDEX(Setup!$L$6:$L$23,12)))+(COUNTIF(O1519:Q1519,"?*")&lt;N(INDEX(Setup!$L$6:$L$23,12)))+(COUNTIF(S1519:U1519,"?*")&lt;N(INDEX(Setup!$L$6:$L$23,12)))+((W1519="")*(INDEX(Setup!$M$6:$M$23,12)="Y"))+((Y1519="")*(INDEX(Setup!$M$6:$M$23,12)="Y")))</f>
        <v/>
      </c>
      <c r="AC1519" s="91">
        <f>IF($B1519="","",IF(AB1519=0,"✓ covered","⚠ "&amp;AB1519&amp;IF(AB1519=1," gap"," gaps")))</f>
        <v/>
      </c>
    </row>
    <row r="1520" ht="17" customHeight="1">
      <c r="A1520" t="n">
        <v>31</v>
      </c>
      <c r="B1520" s="24">
        <f>IF(Setup!$K$18="","",Setup!$K$18)</f>
        <v/>
      </c>
      <c r="C1520" s="88" t="n"/>
      <c r="D1520" s="88" t="n"/>
      <c r="E1520" s="88" t="n"/>
      <c r="F1520" s="89" t="n"/>
      <c r="G1520" s="88" t="n"/>
      <c r="H1520" s="88" t="n"/>
      <c r="I1520" s="88" t="n"/>
      <c r="J1520" s="89" t="n"/>
      <c r="K1520" s="88" t="n"/>
      <c r="L1520" s="88" t="n"/>
      <c r="M1520" s="88" t="n"/>
      <c r="N1520" s="89" t="n"/>
      <c r="O1520" s="88" t="n"/>
      <c r="P1520" s="88" t="n"/>
      <c r="Q1520" s="88" t="n"/>
      <c r="R1520" s="89" t="n"/>
      <c r="S1520" s="88" t="n"/>
      <c r="T1520" s="88" t="n"/>
      <c r="U1520" s="88" t="n"/>
      <c r="V1520" s="89" t="n"/>
      <c r="W1520" s="88" t="n"/>
      <c r="X1520" s="89" t="n"/>
      <c r="Y1520" s="88" t="n"/>
      <c r="Z1520" s="89" t="n"/>
      <c r="AB1520" s="25">
        <f>IF($B1520="","",(COUNTIF(C1520:E1520,"?*")&lt;N(INDEX(Setup!$L$6:$L$23,13)))+(COUNTIF(G1520:I1520,"?*")&lt;N(INDEX(Setup!$L$6:$L$23,13)))+(COUNTIF(K1520:M1520,"?*")&lt;N(INDEX(Setup!$L$6:$L$23,13)))+(COUNTIF(O1520:Q1520,"?*")&lt;N(INDEX(Setup!$L$6:$L$23,13)))+(COUNTIF(S1520:U1520,"?*")&lt;N(INDEX(Setup!$L$6:$L$23,13)))+((W1520="")*(INDEX(Setup!$M$6:$M$23,13)="Y"))+((Y1520="")*(INDEX(Setup!$M$6:$M$23,13)="Y")))</f>
        <v/>
      </c>
      <c r="AC1520" s="90">
        <f>IF($B1520="","",IF(AB1520=0,"✓ covered","⚠ "&amp;AB1520&amp;IF(AB1520=1," gap"," gaps")))</f>
        <v/>
      </c>
    </row>
    <row r="1521" ht="17" customHeight="1">
      <c r="A1521" t="n">
        <v>31</v>
      </c>
      <c r="B1521" s="29">
        <f>IF(Setup!$K$19="","",Setup!$K$19)</f>
        <v/>
      </c>
      <c r="C1521" s="88" t="n"/>
      <c r="D1521" s="88" t="n"/>
      <c r="E1521" s="88" t="n"/>
      <c r="F1521" s="89" t="n"/>
      <c r="G1521" s="88" t="n"/>
      <c r="H1521" s="88" t="n"/>
      <c r="I1521" s="88" t="n"/>
      <c r="J1521" s="89" t="n"/>
      <c r="K1521" s="88" t="n"/>
      <c r="L1521" s="88" t="n"/>
      <c r="M1521" s="88" t="n"/>
      <c r="N1521" s="89" t="n"/>
      <c r="O1521" s="88" t="n"/>
      <c r="P1521" s="88" t="n"/>
      <c r="Q1521" s="88" t="n"/>
      <c r="R1521" s="89" t="n"/>
      <c r="S1521" s="88" t="n"/>
      <c r="T1521" s="88" t="n"/>
      <c r="U1521" s="88" t="n"/>
      <c r="V1521" s="89" t="n"/>
      <c r="W1521" s="88" t="n"/>
      <c r="X1521" s="89" t="n"/>
      <c r="Y1521" s="88" t="n"/>
      <c r="Z1521" s="89" t="n"/>
      <c r="AB1521" s="30">
        <f>IF($B1521="","",(COUNTIF(C1521:E1521,"?*")&lt;N(INDEX(Setup!$L$6:$L$23,14)))+(COUNTIF(G1521:I1521,"?*")&lt;N(INDEX(Setup!$L$6:$L$23,14)))+(COUNTIF(K1521:M1521,"?*")&lt;N(INDEX(Setup!$L$6:$L$23,14)))+(COUNTIF(O1521:Q1521,"?*")&lt;N(INDEX(Setup!$L$6:$L$23,14)))+(COUNTIF(S1521:U1521,"?*")&lt;N(INDEX(Setup!$L$6:$L$23,14)))+((W1521="")*(INDEX(Setup!$M$6:$M$23,14)="Y"))+((Y1521="")*(INDEX(Setup!$M$6:$M$23,14)="Y")))</f>
        <v/>
      </c>
      <c r="AC1521" s="91">
        <f>IF($B1521="","",IF(AB1521=0,"✓ covered","⚠ "&amp;AB1521&amp;IF(AB1521=1," gap"," gaps")))</f>
        <v/>
      </c>
    </row>
    <row r="1522" ht="17" customHeight="1">
      <c r="A1522" t="n">
        <v>31</v>
      </c>
      <c r="B1522" s="24">
        <f>IF(Setup!$K$20="","",Setup!$K$20)</f>
        <v/>
      </c>
      <c r="C1522" s="88" t="n"/>
      <c r="D1522" s="88" t="n"/>
      <c r="E1522" s="88" t="n"/>
      <c r="F1522" s="89" t="n"/>
      <c r="G1522" s="88" t="n"/>
      <c r="H1522" s="88" t="n"/>
      <c r="I1522" s="88" t="n"/>
      <c r="J1522" s="89" t="n"/>
      <c r="K1522" s="88" t="n"/>
      <c r="L1522" s="88" t="n"/>
      <c r="M1522" s="88" t="n"/>
      <c r="N1522" s="89" t="n"/>
      <c r="O1522" s="88" t="n"/>
      <c r="P1522" s="88" t="n"/>
      <c r="Q1522" s="88" t="n"/>
      <c r="R1522" s="89" t="n"/>
      <c r="S1522" s="88" t="n"/>
      <c r="T1522" s="88" t="n"/>
      <c r="U1522" s="88" t="n"/>
      <c r="V1522" s="89" t="n"/>
      <c r="W1522" s="88" t="n"/>
      <c r="X1522" s="89" t="n"/>
      <c r="Y1522" s="88" t="n"/>
      <c r="Z1522" s="89" t="n"/>
      <c r="AB1522" s="25">
        <f>IF($B1522="","",(COUNTIF(C1522:E1522,"?*")&lt;N(INDEX(Setup!$L$6:$L$23,15)))+(COUNTIF(G1522:I1522,"?*")&lt;N(INDEX(Setup!$L$6:$L$23,15)))+(COUNTIF(K1522:M1522,"?*")&lt;N(INDEX(Setup!$L$6:$L$23,15)))+(COUNTIF(O1522:Q1522,"?*")&lt;N(INDEX(Setup!$L$6:$L$23,15)))+(COUNTIF(S1522:U1522,"?*")&lt;N(INDEX(Setup!$L$6:$L$23,15)))+((W1522="")*(INDEX(Setup!$M$6:$M$23,15)="Y"))+((Y1522="")*(INDEX(Setup!$M$6:$M$23,15)="Y")))</f>
        <v/>
      </c>
      <c r="AC1522" s="90">
        <f>IF($B1522="","",IF(AB1522=0,"✓ covered","⚠ "&amp;AB1522&amp;IF(AB1522=1," gap"," gaps")))</f>
        <v/>
      </c>
    </row>
    <row r="1523" ht="17" customHeight="1">
      <c r="A1523" t="n">
        <v>31</v>
      </c>
      <c r="B1523" s="29">
        <f>IF(Setup!$K$21="","",Setup!$K$21)</f>
        <v/>
      </c>
      <c r="C1523" s="88" t="n"/>
      <c r="D1523" s="88" t="n"/>
      <c r="E1523" s="88" t="n"/>
      <c r="F1523" s="89" t="n"/>
      <c r="G1523" s="88" t="n"/>
      <c r="H1523" s="88" t="n"/>
      <c r="I1523" s="88" t="n"/>
      <c r="J1523" s="89" t="n"/>
      <c r="K1523" s="88" t="n"/>
      <c r="L1523" s="88" t="n"/>
      <c r="M1523" s="88" t="n"/>
      <c r="N1523" s="89" t="n"/>
      <c r="O1523" s="88" t="n"/>
      <c r="P1523" s="88" t="n"/>
      <c r="Q1523" s="88" t="n"/>
      <c r="R1523" s="89" t="n"/>
      <c r="S1523" s="88" t="n"/>
      <c r="T1523" s="88" t="n"/>
      <c r="U1523" s="88" t="n"/>
      <c r="V1523" s="89" t="n"/>
      <c r="W1523" s="88" t="n"/>
      <c r="X1523" s="89" t="n"/>
      <c r="Y1523" s="88" t="n"/>
      <c r="Z1523" s="89" t="n"/>
      <c r="AB1523" s="30">
        <f>IF($B1523="","",(COUNTIF(C1523:E1523,"?*")&lt;N(INDEX(Setup!$L$6:$L$23,16)))+(COUNTIF(G1523:I1523,"?*")&lt;N(INDEX(Setup!$L$6:$L$23,16)))+(COUNTIF(K1523:M1523,"?*")&lt;N(INDEX(Setup!$L$6:$L$23,16)))+(COUNTIF(O1523:Q1523,"?*")&lt;N(INDEX(Setup!$L$6:$L$23,16)))+(COUNTIF(S1523:U1523,"?*")&lt;N(INDEX(Setup!$L$6:$L$23,16)))+((W1523="")*(INDEX(Setup!$M$6:$M$23,16)="Y"))+((Y1523="")*(INDEX(Setup!$M$6:$M$23,16)="Y")))</f>
        <v/>
      </c>
      <c r="AC1523" s="91">
        <f>IF($B1523="","",IF(AB1523=0,"✓ covered","⚠ "&amp;AB1523&amp;IF(AB1523=1," gap"," gaps")))</f>
        <v/>
      </c>
    </row>
    <row r="1524" ht="17" customHeight="1">
      <c r="A1524" t="n">
        <v>31</v>
      </c>
      <c r="B1524" s="24">
        <f>IF(Setup!$K$22="","",Setup!$K$22)</f>
        <v/>
      </c>
      <c r="C1524" s="88" t="n"/>
      <c r="D1524" s="88" t="n"/>
      <c r="E1524" s="88" t="n"/>
      <c r="F1524" s="89" t="n"/>
      <c r="G1524" s="88" t="n"/>
      <c r="H1524" s="88" t="n"/>
      <c r="I1524" s="88" t="n"/>
      <c r="J1524" s="89" t="n"/>
      <c r="K1524" s="88" t="n"/>
      <c r="L1524" s="88" t="n"/>
      <c r="M1524" s="88" t="n"/>
      <c r="N1524" s="89" t="n"/>
      <c r="O1524" s="88" t="n"/>
      <c r="P1524" s="88" t="n"/>
      <c r="Q1524" s="88" t="n"/>
      <c r="R1524" s="89" t="n"/>
      <c r="S1524" s="88" t="n"/>
      <c r="T1524" s="88" t="n"/>
      <c r="U1524" s="88" t="n"/>
      <c r="V1524" s="89" t="n"/>
      <c r="W1524" s="88" t="n"/>
      <c r="X1524" s="89" t="n"/>
      <c r="Y1524" s="88" t="n"/>
      <c r="Z1524" s="89" t="n"/>
      <c r="AB1524" s="25">
        <f>IF($B1524="","",(COUNTIF(C1524:E1524,"?*")&lt;N(INDEX(Setup!$L$6:$L$23,17)))+(COUNTIF(G1524:I1524,"?*")&lt;N(INDEX(Setup!$L$6:$L$23,17)))+(COUNTIF(K1524:M1524,"?*")&lt;N(INDEX(Setup!$L$6:$L$23,17)))+(COUNTIF(O1524:Q1524,"?*")&lt;N(INDEX(Setup!$L$6:$L$23,17)))+(COUNTIF(S1524:U1524,"?*")&lt;N(INDEX(Setup!$L$6:$L$23,17)))+((W1524="")*(INDEX(Setup!$M$6:$M$23,17)="Y"))+((Y1524="")*(INDEX(Setup!$M$6:$M$23,17)="Y")))</f>
        <v/>
      </c>
      <c r="AC1524" s="90">
        <f>IF($B1524="","",IF(AB1524=0,"✓ covered","⚠ "&amp;AB1524&amp;IF(AB1524=1," gap"," gaps")))</f>
        <v/>
      </c>
    </row>
    <row r="1525" ht="17" customHeight="1">
      <c r="A1525" t="n">
        <v>31</v>
      </c>
      <c r="B1525" s="29">
        <f>IF(Setup!$K$23="","",Setup!$K$23)</f>
        <v/>
      </c>
      <c r="C1525" s="88" t="n"/>
      <c r="D1525" s="88" t="n"/>
      <c r="E1525" s="88" t="n"/>
      <c r="F1525" s="89" t="n"/>
      <c r="G1525" s="88" t="n"/>
      <c r="H1525" s="88" t="n"/>
      <c r="I1525" s="88" t="n"/>
      <c r="J1525" s="89" t="n"/>
      <c r="K1525" s="88" t="n"/>
      <c r="L1525" s="88" t="n"/>
      <c r="M1525" s="88" t="n"/>
      <c r="N1525" s="89" t="n"/>
      <c r="O1525" s="88" t="n"/>
      <c r="P1525" s="88" t="n"/>
      <c r="Q1525" s="88" t="n"/>
      <c r="R1525" s="89" t="n"/>
      <c r="S1525" s="88" t="n"/>
      <c r="T1525" s="88" t="n"/>
      <c r="U1525" s="88" t="n"/>
      <c r="V1525" s="89" t="n"/>
      <c r="W1525" s="88" t="n"/>
      <c r="X1525" s="89" t="n"/>
      <c r="Y1525" s="88" t="n"/>
      <c r="Z1525" s="89" t="n"/>
      <c r="AB1525" s="30">
        <f>IF($B1525="","",(COUNTIF(C1525:E1525,"?*")&lt;N(INDEX(Setup!$L$6:$L$23,18)))+(COUNTIF(G1525:I1525,"?*")&lt;N(INDEX(Setup!$L$6:$L$23,18)))+(COUNTIF(K1525:M1525,"?*")&lt;N(INDEX(Setup!$L$6:$L$23,18)))+(COUNTIF(O1525:Q1525,"?*")&lt;N(INDEX(Setup!$L$6:$L$23,18)))+(COUNTIF(S1525:U1525,"?*")&lt;N(INDEX(Setup!$L$6:$L$23,18)))+((W1525="")*(INDEX(Setup!$M$6:$M$23,18)="Y"))+((Y1525="")*(INDEX(Setup!$M$6:$M$23,18)="Y")))</f>
        <v/>
      </c>
      <c r="AC1525" s="91">
        <f>IF($B1525="","",IF(AB1525=0,"✓ covered","⚠ "&amp;AB1525&amp;IF(AB1525=1," gap"," gaps")))</f>
        <v/>
      </c>
    </row>
    <row r="1526" ht="18" customHeight="1">
      <c r="A1526" t="n">
        <v>31</v>
      </c>
      <c r="B1526" s="78" t="inlineStr">
        <is>
          <t>TEAM AVAILABILITY</t>
        </is>
      </c>
      <c r="C1526" s="92" t="inlineStr">
        <is>
          <t>Mon</t>
        </is>
      </c>
      <c r="D1526" s="93" t="n"/>
      <c r="E1526" s="93" t="n"/>
      <c r="F1526" s="94" t="n"/>
      <c r="G1526" s="92" t="inlineStr">
        <is>
          <t>Tue</t>
        </is>
      </c>
      <c r="H1526" s="93" t="n"/>
      <c r="I1526" s="93" t="n"/>
      <c r="J1526" s="94" t="n"/>
      <c r="K1526" s="92" t="inlineStr">
        <is>
          <t>Wed</t>
        </is>
      </c>
      <c r="L1526" s="93" t="n"/>
      <c r="M1526" s="93" t="n"/>
      <c r="N1526" s="94" t="n"/>
      <c r="O1526" s="92" t="inlineStr">
        <is>
          <t>Thu</t>
        </is>
      </c>
      <c r="P1526" s="93" t="n"/>
      <c r="Q1526" s="93" t="n"/>
      <c r="R1526" s="94" t="n"/>
      <c r="S1526" s="92" t="inlineStr">
        <is>
          <t>Fri</t>
        </is>
      </c>
      <c r="T1526" s="93" t="n"/>
      <c r="U1526" s="93" t="n"/>
      <c r="V1526" s="94" t="n"/>
      <c r="W1526" s="95" t="inlineStr">
        <is>
          <t>Sat</t>
        </is>
      </c>
      <c r="X1526" s="96" t="n"/>
      <c r="Y1526" s="95" t="inlineStr">
        <is>
          <t>Sun</t>
        </is>
      </c>
      <c r="Z1526" s="96" t="n"/>
      <c r="AB1526" s="97" t="inlineStr">
        <is>
          <t>Days rostered</t>
        </is>
      </c>
      <c r="AC1526" s="97" t="inlineStr">
        <is>
          <t>Conflicts</t>
        </is>
      </c>
    </row>
    <row r="1527" ht="15" customHeight="1">
      <c r="A1527" t="n">
        <v>31</v>
      </c>
      <c r="B1527" s="35">
        <f>IF(Setup!$B$6="","",Setup!$B$6)</f>
        <v/>
      </c>
      <c r="C1527" s="98" t="n"/>
      <c r="D1527" s="99" t="n"/>
      <c r="E1527" s="99" t="n"/>
      <c r="F1527" s="100" t="n"/>
      <c r="G1527" s="98" t="n"/>
      <c r="H1527" s="99" t="n"/>
      <c r="I1527" s="99" t="n"/>
      <c r="J1527" s="100" t="n"/>
      <c r="K1527" s="98" t="n"/>
      <c r="L1527" s="99" t="n"/>
      <c r="M1527" s="99" t="n"/>
      <c r="N1527" s="100" t="n"/>
      <c r="O1527" s="98" t="n"/>
      <c r="P1527" s="99" t="n"/>
      <c r="Q1527" s="99" t="n"/>
      <c r="R1527" s="100" t="n"/>
      <c r="S1527" s="98" t="n"/>
      <c r="T1527" s="99" t="n"/>
      <c r="U1527" s="99" t="n"/>
      <c r="V1527" s="100" t="n"/>
      <c r="W1527" s="98" t="n"/>
      <c r="X1527" s="100" t="n"/>
      <c r="Y1527" s="98" t="n"/>
      <c r="Z1527" s="100" t="n"/>
      <c r="AB1527" s="101">
        <f>IF($B1527="","",(COUNTIF(C1508:E1525,$B1527)+COUNTIF(C1508:E1525,$B1527&amp;" ~*")&gt;0)+(COUNTIF(G1508:I1525,$B1527)+COUNTIF(G1508:I1525,$B1527&amp;" ~*")&gt;0)+(COUNTIF(K1508:M1525,$B1527)+COUNTIF(K1508:M1525,$B1527&amp;" ~*")&gt;0)+(COUNTIF(O1508:Q1525,$B1527)+COUNTIF(O1508:Q1525,$B1527&amp;" ~*")&gt;0)+(COUNTIF(S1508:U1525,$B1527)+COUNTIF(S1508:U1525,$B1527&amp;" ~*")&gt;0)+(COUNTIF(W1508:W1525,$B1527)+COUNTIF(W1508:W1525,$B1527&amp;" ~*")&gt;0)+(COUNTIF(Y1508:Y1525,$B1527)+COUNTIF(Y1508:Y1525,$B1527&amp;" ~*")&gt;0))</f>
        <v/>
      </c>
      <c r="AC1527" s="36">
        <f>IF($B1527="","",(IFERROR(INDEX(Setup!$G$33:$G$40,MATCH(C1527,Setup!$B$33:$B$40,0)),0)=1)*(COUNTIF(C1508:E1525,$B1527)+COUNTIF(C1508:E1525,$B1527&amp;" ~*")&gt;0)+(IFERROR(INDEX(Setup!$G$33:$G$40,MATCH(G1527,Setup!$B$33:$B$40,0)),0)=1)*(COUNTIF(G1508:I1525,$B1527)+COUNTIF(G1508:I1525,$B1527&amp;" ~*")&gt;0)+(IFERROR(INDEX(Setup!$G$33:$G$40,MATCH(K1527,Setup!$B$33:$B$40,0)),0)=1)*(COUNTIF(K1508:M1525,$B1527)+COUNTIF(K1508:M1525,$B1527&amp;" ~*")&gt;0)+(IFERROR(INDEX(Setup!$G$33:$G$40,MATCH(O1527,Setup!$B$33:$B$40,0)),0)=1)*(COUNTIF(O1508:Q1525,$B1527)+COUNTIF(O1508:Q1525,$B1527&amp;" ~*")&gt;0)+(IFERROR(INDEX(Setup!$G$33:$G$40,MATCH(S1527,Setup!$B$33:$B$40,0)),0)=1)*(COUNTIF(S1508:U1525,$B1527)+COUNTIF(S1508:U1525,$B1527&amp;" ~*")&gt;0)+(IFERROR(INDEX(Setup!$G$33:$G$40,MATCH(W1527,Setup!$B$33:$B$40,0)),0)=1)*(COUNTIF(W1508:W1525,$B1527)+COUNTIF(W1508:W1525,$B1527&amp;" ~*")&gt;0)+(IFERROR(INDEX(Setup!$G$33:$G$40,MATCH(Y1527,Setup!$B$33:$B$40,0)),0)=1)*(COUNTIF(Y1508:Y1525,$B1527)+COUNTIF(Y1508:Y1525,$B1527&amp;" ~*")&gt;0))</f>
        <v/>
      </c>
    </row>
    <row r="1528" ht="15" customHeight="1">
      <c r="A1528" t="n">
        <v>31</v>
      </c>
      <c r="B1528" s="37">
        <f>IF(Setup!$B$7="","",Setup!$B$7)</f>
        <v/>
      </c>
      <c r="C1528" s="102" t="n"/>
      <c r="D1528" s="103" t="n"/>
      <c r="E1528" s="103" t="n"/>
      <c r="F1528" s="104" t="n"/>
      <c r="G1528" s="102" t="n"/>
      <c r="H1528" s="103" t="n"/>
      <c r="I1528" s="103" t="n"/>
      <c r="J1528" s="104" t="n"/>
      <c r="K1528" s="102" t="n"/>
      <c r="L1528" s="103" t="n"/>
      <c r="M1528" s="103" t="n"/>
      <c r="N1528" s="104" t="n"/>
      <c r="O1528" s="102" t="n"/>
      <c r="P1528" s="103" t="n"/>
      <c r="Q1528" s="103" t="n"/>
      <c r="R1528" s="104" t="n"/>
      <c r="S1528" s="102" t="n"/>
      <c r="T1528" s="103" t="n"/>
      <c r="U1528" s="103" t="n"/>
      <c r="V1528" s="104" t="n"/>
      <c r="W1528" s="102" t="n"/>
      <c r="X1528" s="104" t="n"/>
      <c r="Y1528" s="102" t="n"/>
      <c r="Z1528" s="104" t="n"/>
      <c r="AB1528" s="105">
        <f>IF($B1528="","",(COUNTIF(C1508:E1525,$B1528)+COUNTIF(C1508:E1525,$B1528&amp;" ~*")&gt;0)+(COUNTIF(G1508:I1525,$B1528)+COUNTIF(G1508:I1525,$B1528&amp;" ~*")&gt;0)+(COUNTIF(K1508:M1525,$B1528)+COUNTIF(K1508:M1525,$B1528&amp;" ~*")&gt;0)+(COUNTIF(O1508:Q1525,$B1528)+COUNTIF(O1508:Q1525,$B1528&amp;" ~*")&gt;0)+(COUNTIF(S1508:U1525,$B1528)+COUNTIF(S1508:U1525,$B1528&amp;" ~*")&gt;0)+(COUNTIF(W1508:W1525,$B1528)+COUNTIF(W1508:W1525,$B1528&amp;" ~*")&gt;0)+(COUNTIF(Y1508:Y1525,$B1528)+COUNTIF(Y1508:Y1525,$B1528&amp;" ~*")&gt;0))</f>
        <v/>
      </c>
      <c r="AC1528" s="38">
        <f>IF($B1528="","",(IFERROR(INDEX(Setup!$G$33:$G$40,MATCH(C1528,Setup!$B$33:$B$40,0)),0)=1)*(COUNTIF(C1508:E1525,$B1528)+COUNTIF(C1508:E1525,$B1528&amp;" ~*")&gt;0)+(IFERROR(INDEX(Setup!$G$33:$G$40,MATCH(G1528,Setup!$B$33:$B$40,0)),0)=1)*(COUNTIF(G1508:I1525,$B1528)+COUNTIF(G1508:I1525,$B1528&amp;" ~*")&gt;0)+(IFERROR(INDEX(Setup!$G$33:$G$40,MATCH(K1528,Setup!$B$33:$B$40,0)),0)=1)*(COUNTIF(K1508:M1525,$B1528)+COUNTIF(K1508:M1525,$B1528&amp;" ~*")&gt;0)+(IFERROR(INDEX(Setup!$G$33:$G$40,MATCH(O1528,Setup!$B$33:$B$40,0)),0)=1)*(COUNTIF(O1508:Q1525,$B1528)+COUNTIF(O1508:Q1525,$B1528&amp;" ~*")&gt;0)+(IFERROR(INDEX(Setup!$G$33:$G$40,MATCH(S1528,Setup!$B$33:$B$40,0)),0)=1)*(COUNTIF(S1508:U1525,$B1528)+COUNTIF(S1508:U1525,$B1528&amp;" ~*")&gt;0)+(IFERROR(INDEX(Setup!$G$33:$G$40,MATCH(W1528,Setup!$B$33:$B$40,0)),0)=1)*(COUNTIF(W1508:W1525,$B1528)+COUNTIF(W1508:W1525,$B1528&amp;" ~*")&gt;0)+(IFERROR(INDEX(Setup!$G$33:$G$40,MATCH(Y1528,Setup!$B$33:$B$40,0)),0)=1)*(COUNTIF(Y1508:Y1525,$B1528)+COUNTIF(Y1508:Y1525,$B1528&amp;" ~*")&gt;0))</f>
        <v/>
      </c>
    </row>
    <row r="1529" ht="15" customHeight="1">
      <c r="A1529" t="n">
        <v>31</v>
      </c>
      <c r="B1529" s="35">
        <f>IF(Setup!$B$8="","",Setup!$B$8)</f>
        <v/>
      </c>
      <c r="C1529" s="98" t="n"/>
      <c r="D1529" s="99" t="n"/>
      <c r="E1529" s="99" t="n"/>
      <c r="F1529" s="100" t="n"/>
      <c r="G1529" s="98" t="n"/>
      <c r="H1529" s="99" t="n"/>
      <c r="I1529" s="99" t="n"/>
      <c r="J1529" s="100" t="n"/>
      <c r="K1529" s="98" t="n"/>
      <c r="L1529" s="99" t="n"/>
      <c r="M1529" s="99" t="n"/>
      <c r="N1529" s="100" t="n"/>
      <c r="O1529" s="98" t="n"/>
      <c r="P1529" s="99" t="n"/>
      <c r="Q1529" s="99" t="n"/>
      <c r="R1529" s="100" t="n"/>
      <c r="S1529" s="98" t="n"/>
      <c r="T1529" s="99" t="n"/>
      <c r="U1529" s="99" t="n"/>
      <c r="V1529" s="100" t="n"/>
      <c r="W1529" s="98" t="n"/>
      <c r="X1529" s="100" t="n"/>
      <c r="Y1529" s="98" t="n"/>
      <c r="Z1529" s="100" t="n"/>
      <c r="AB1529" s="101">
        <f>IF($B1529="","",(COUNTIF(C1508:E1525,$B1529)+COUNTIF(C1508:E1525,$B1529&amp;" ~*")&gt;0)+(COUNTIF(G1508:I1525,$B1529)+COUNTIF(G1508:I1525,$B1529&amp;" ~*")&gt;0)+(COUNTIF(K1508:M1525,$B1529)+COUNTIF(K1508:M1525,$B1529&amp;" ~*")&gt;0)+(COUNTIF(O1508:Q1525,$B1529)+COUNTIF(O1508:Q1525,$B1529&amp;" ~*")&gt;0)+(COUNTIF(S1508:U1525,$B1529)+COUNTIF(S1508:U1525,$B1529&amp;" ~*")&gt;0)+(COUNTIF(W1508:W1525,$B1529)+COUNTIF(W1508:W1525,$B1529&amp;" ~*")&gt;0)+(COUNTIF(Y1508:Y1525,$B1529)+COUNTIF(Y1508:Y1525,$B1529&amp;" ~*")&gt;0))</f>
        <v/>
      </c>
      <c r="AC1529" s="36">
        <f>IF($B1529="","",(IFERROR(INDEX(Setup!$G$33:$G$40,MATCH(C1529,Setup!$B$33:$B$40,0)),0)=1)*(COUNTIF(C1508:E1525,$B1529)+COUNTIF(C1508:E1525,$B1529&amp;" ~*")&gt;0)+(IFERROR(INDEX(Setup!$G$33:$G$40,MATCH(G1529,Setup!$B$33:$B$40,0)),0)=1)*(COUNTIF(G1508:I1525,$B1529)+COUNTIF(G1508:I1525,$B1529&amp;" ~*")&gt;0)+(IFERROR(INDEX(Setup!$G$33:$G$40,MATCH(K1529,Setup!$B$33:$B$40,0)),0)=1)*(COUNTIF(K1508:M1525,$B1529)+COUNTIF(K1508:M1525,$B1529&amp;" ~*")&gt;0)+(IFERROR(INDEX(Setup!$G$33:$G$40,MATCH(O1529,Setup!$B$33:$B$40,0)),0)=1)*(COUNTIF(O1508:Q1525,$B1529)+COUNTIF(O1508:Q1525,$B1529&amp;" ~*")&gt;0)+(IFERROR(INDEX(Setup!$G$33:$G$40,MATCH(S1529,Setup!$B$33:$B$40,0)),0)=1)*(COUNTIF(S1508:U1525,$B1529)+COUNTIF(S1508:U1525,$B1529&amp;" ~*")&gt;0)+(IFERROR(INDEX(Setup!$G$33:$G$40,MATCH(W1529,Setup!$B$33:$B$40,0)),0)=1)*(COUNTIF(W1508:W1525,$B1529)+COUNTIF(W1508:W1525,$B1529&amp;" ~*")&gt;0)+(IFERROR(INDEX(Setup!$G$33:$G$40,MATCH(Y1529,Setup!$B$33:$B$40,0)),0)=1)*(COUNTIF(Y1508:Y1525,$B1529)+COUNTIF(Y1508:Y1525,$B1529&amp;" ~*")&gt;0))</f>
        <v/>
      </c>
    </row>
    <row r="1530" ht="15" customHeight="1">
      <c r="A1530" t="n">
        <v>31</v>
      </c>
      <c r="B1530" s="37">
        <f>IF(Setup!$B$9="","",Setup!$B$9)</f>
        <v/>
      </c>
      <c r="C1530" s="102" t="n"/>
      <c r="D1530" s="103" t="n"/>
      <c r="E1530" s="103" t="n"/>
      <c r="F1530" s="104" t="n"/>
      <c r="G1530" s="102" t="n"/>
      <c r="H1530" s="103" t="n"/>
      <c r="I1530" s="103" t="n"/>
      <c r="J1530" s="104" t="n"/>
      <c r="K1530" s="102" t="n"/>
      <c r="L1530" s="103" t="n"/>
      <c r="M1530" s="103" t="n"/>
      <c r="N1530" s="104" t="n"/>
      <c r="O1530" s="102" t="n"/>
      <c r="P1530" s="103" t="n"/>
      <c r="Q1530" s="103" t="n"/>
      <c r="R1530" s="104" t="n"/>
      <c r="S1530" s="102" t="n"/>
      <c r="T1530" s="103" t="n"/>
      <c r="U1530" s="103" t="n"/>
      <c r="V1530" s="104" t="n"/>
      <c r="W1530" s="102" t="n"/>
      <c r="X1530" s="104" t="n"/>
      <c r="Y1530" s="102" t="n"/>
      <c r="Z1530" s="104" t="n"/>
      <c r="AB1530" s="105">
        <f>IF($B1530="","",(COUNTIF(C1508:E1525,$B1530)+COUNTIF(C1508:E1525,$B1530&amp;" ~*")&gt;0)+(COUNTIF(G1508:I1525,$B1530)+COUNTIF(G1508:I1525,$B1530&amp;" ~*")&gt;0)+(COUNTIF(K1508:M1525,$B1530)+COUNTIF(K1508:M1525,$B1530&amp;" ~*")&gt;0)+(COUNTIF(O1508:Q1525,$B1530)+COUNTIF(O1508:Q1525,$B1530&amp;" ~*")&gt;0)+(COUNTIF(S1508:U1525,$B1530)+COUNTIF(S1508:U1525,$B1530&amp;" ~*")&gt;0)+(COUNTIF(W1508:W1525,$B1530)+COUNTIF(W1508:W1525,$B1530&amp;" ~*")&gt;0)+(COUNTIF(Y1508:Y1525,$B1530)+COUNTIF(Y1508:Y1525,$B1530&amp;" ~*")&gt;0))</f>
        <v/>
      </c>
      <c r="AC1530" s="38">
        <f>IF($B1530="","",(IFERROR(INDEX(Setup!$G$33:$G$40,MATCH(C1530,Setup!$B$33:$B$40,0)),0)=1)*(COUNTIF(C1508:E1525,$B1530)+COUNTIF(C1508:E1525,$B1530&amp;" ~*")&gt;0)+(IFERROR(INDEX(Setup!$G$33:$G$40,MATCH(G1530,Setup!$B$33:$B$40,0)),0)=1)*(COUNTIF(G1508:I1525,$B1530)+COUNTIF(G1508:I1525,$B1530&amp;" ~*")&gt;0)+(IFERROR(INDEX(Setup!$G$33:$G$40,MATCH(K1530,Setup!$B$33:$B$40,0)),0)=1)*(COUNTIF(K1508:M1525,$B1530)+COUNTIF(K1508:M1525,$B1530&amp;" ~*")&gt;0)+(IFERROR(INDEX(Setup!$G$33:$G$40,MATCH(O1530,Setup!$B$33:$B$40,0)),0)=1)*(COUNTIF(O1508:Q1525,$B1530)+COUNTIF(O1508:Q1525,$B1530&amp;" ~*")&gt;0)+(IFERROR(INDEX(Setup!$G$33:$G$40,MATCH(S1530,Setup!$B$33:$B$40,0)),0)=1)*(COUNTIF(S1508:U1525,$B1530)+COUNTIF(S1508:U1525,$B1530&amp;" ~*")&gt;0)+(IFERROR(INDEX(Setup!$G$33:$G$40,MATCH(W1530,Setup!$B$33:$B$40,0)),0)=1)*(COUNTIF(W1508:W1525,$B1530)+COUNTIF(W1508:W1525,$B1530&amp;" ~*")&gt;0)+(IFERROR(INDEX(Setup!$G$33:$G$40,MATCH(Y1530,Setup!$B$33:$B$40,0)),0)=1)*(COUNTIF(Y1508:Y1525,$B1530)+COUNTIF(Y1508:Y1525,$B1530&amp;" ~*")&gt;0))</f>
        <v/>
      </c>
    </row>
    <row r="1531" ht="15" customHeight="1">
      <c r="A1531" t="n">
        <v>31</v>
      </c>
      <c r="B1531" s="35">
        <f>IF(Setup!$B$10="","",Setup!$B$10)</f>
        <v/>
      </c>
      <c r="C1531" s="98" t="n"/>
      <c r="D1531" s="99" t="n"/>
      <c r="E1531" s="99" t="n"/>
      <c r="F1531" s="100" t="n"/>
      <c r="G1531" s="98" t="n"/>
      <c r="H1531" s="99" t="n"/>
      <c r="I1531" s="99" t="n"/>
      <c r="J1531" s="100" t="n"/>
      <c r="K1531" s="98" t="n"/>
      <c r="L1531" s="99" t="n"/>
      <c r="M1531" s="99" t="n"/>
      <c r="N1531" s="100" t="n"/>
      <c r="O1531" s="98" t="n"/>
      <c r="P1531" s="99" t="n"/>
      <c r="Q1531" s="99" t="n"/>
      <c r="R1531" s="100" t="n"/>
      <c r="S1531" s="98" t="n"/>
      <c r="T1531" s="99" t="n"/>
      <c r="U1531" s="99" t="n"/>
      <c r="V1531" s="100" t="n"/>
      <c r="W1531" s="98" t="n"/>
      <c r="X1531" s="100" t="n"/>
      <c r="Y1531" s="98" t="n"/>
      <c r="Z1531" s="100" t="n"/>
      <c r="AB1531" s="101">
        <f>IF($B1531="","",(COUNTIF(C1508:E1525,$B1531)+COUNTIF(C1508:E1525,$B1531&amp;" ~*")&gt;0)+(COUNTIF(G1508:I1525,$B1531)+COUNTIF(G1508:I1525,$B1531&amp;" ~*")&gt;0)+(COUNTIF(K1508:M1525,$B1531)+COUNTIF(K1508:M1525,$B1531&amp;" ~*")&gt;0)+(COUNTIF(O1508:Q1525,$B1531)+COUNTIF(O1508:Q1525,$B1531&amp;" ~*")&gt;0)+(COUNTIF(S1508:U1525,$B1531)+COUNTIF(S1508:U1525,$B1531&amp;" ~*")&gt;0)+(COUNTIF(W1508:W1525,$B1531)+COUNTIF(W1508:W1525,$B1531&amp;" ~*")&gt;0)+(COUNTIF(Y1508:Y1525,$B1531)+COUNTIF(Y1508:Y1525,$B1531&amp;" ~*")&gt;0))</f>
        <v/>
      </c>
      <c r="AC1531" s="36">
        <f>IF($B1531="","",(IFERROR(INDEX(Setup!$G$33:$G$40,MATCH(C1531,Setup!$B$33:$B$40,0)),0)=1)*(COUNTIF(C1508:E1525,$B1531)+COUNTIF(C1508:E1525,$B1531&amp;" ~*")&gt;0)+(IFERROR(INDEX(Setup!$G$33:$G$40,MATCH(G1531,Setup!$B$33:$B$40,0)),0)=1)*(COUNTIF(G1508:I1525,$B1531)+COUNTIF(G1508:I1525,$B1531&amp;" ~*")&gt;0)+(IFERROR(INDEX(Setup!$G$33:$G$40,MATCH(K1531,Setup!$B$33:$B$40,0)),0)=1)*(COUNTIF(K1508:M1525,$B1531)+COUNTIF(K1508:M1525,$B1531&amp;" ~*")&gt;0)+(IFERROR(INDEX(Setup!$G$33:$G$40,MATCH(O1531,Setup!$B$33:$B$40,0)),0)=1)*(COUNTIF(O1508:Q1525,$B1531)+COUNTIF(O1508:Q1525,$B1531&amp;" ~*")&gt;0)+(IFERROR(INDEX(Setup!$G$33:$G$40,MATCH(S1531,Setup!$B$33:$B$40,0)),0)=1)*(COUNTIF(S1508:U1525,$B1531)+COUNTIF(S1508:U1525,$B1531&amp;" ~*")&gt;0)+(IFERROR(INDEX(Setup!$G$33:$G$40,MATCH(W1531,Setup!$B$33:$B$40,0)),0)=1)*(COUNTIF(W1508:W1525,$B1531)+COUNTIF(W1508:W1525,$B1531&amp;" ~*")&gt;0)+(IFERROR(INDEX(Setup!$G$33:$G$40,MATCH(Y1531,Setup!$B$33:$B$40,0)),0)=1)*(COUNTIF(Y1508:Y1525,$B1531)+COUNTIF(Y1508:Y1525,$B1531&amp;" ~*")&gt;0))</f>
        <v/>
      </c>
    </row>
    <row r="1532" ht="15" customHeight="1">
      <c r="A1532" t="n">
        <v>31</v>
      </c>
      <c r="B1532" s="37">
        <f>IF(Setup!$B$11="","",Setup!$B$11)</f>
        <v/>
      </c>
      <c r="C1532" s="102" t="n"/>
      <c r="D1532" s="103" t="n"/>
      <c r="E1532" s="103" t="n"/>
      <c r="F1532" s="104" t="n"/>
      <c r="G1532" s="102" t="n"/>
      <c r="H1532" s="103" t="n"/>
      <c r="I1532" s="103" t="n"/>
      <c r="J1532" s="104" t="n"/>
      <c r="K1532" s="102" t="n"/>
      <c r="L1532" s="103" t="n"/>
      <c r="M1532" s="103" t="n"/>
      <c r="N1532" s="104" t="n"/>
      <c r="O1532" s="102" t="n"/>
      <c r="P1532" s="103" t="n"/>
      <c r="Q1532" s="103" t="n"/>
      <c r="R1532" s="104" t="n"/>
      <c r="S1532" s="102" t="n"/>
      <c r="T1532" s="103" t="n"/>
      <c r="U1532" s="103" t="n"/>
      <c r="V1532" s="104" t="n"/>
      <c r="W1532" s="102" t="n"/>
      <c r="X1532" s="104" t="n"/>
      <c r="Y1532" s="102" t="n"/>
      <c r="Z1532" s="104" t="n"/>
      <c r="AB1532" s="105">
        <f>IF($B1532="","",(COUNTIF(C1508:E1525,$B1532)+COUNTIF(C1508:E1525,$B1532&amp;" ~*")&gt;0)+(COUNTIF(G1508:I1525,$B1532)+COUNTIF(G1508:I1525,$B1532&amp;" ~*")&gt;0)+(COUNTIF(K1508:M1525,$B1532)+COUNTIF(K1508:M1525,$B1532&amp;" ~*")&gt;0)+(COUNTIF(O1508:Q1525,$B1532)+COUNTIF(O1508:Q1525,$B1532&amp;" ~*")&gt;0)+(COUNTIF(S1508:U1525,$B1532)+COUNTIF(S1508:U1525,$B1532&amp;" ~*")&gt;0)+(COUNTIF(W1508:W1525,$B1532)+COUNTIF(W1508:W1525,$B1532&amp;" ~*")&gt;0)+(COUNTIF(Y1508:Y1525,$B1532)+COUNTIF(Y1508:Y1525,$B1532&amp;" ~*")&gt;0))</f>
        <v/>
      </c>
      <c r="AC1532" s="38">
        <f>IF($B1532="","",(IFERROR(INDEX(Setup!$G$33:$G$40,MATCH(C1532,Setup!$B$33:$B$40,0)),0)=1)*(COUNTIF(C1508:E1525,$B1532)+COUNTIF(C1508:E1525,$B1532&amp;" ~*")&gt;0)+(IFERROR(INDEX(Setup!$G$33:$G$40,MATCH(G1532,Setup!$B$33:$B$40,0)),0)=1)*(COUNTIF(G1508:I1525,$B1532)+COUNTIF(G1508:I1525,$B1532&amp;" ~*")&gt;0)+(IFERROR(INDEX(Setup!$G$33:$G$40,MATCH(K1532,Setup!$B$33:$B$40,0)),0)=1)*(COUNTIF(K1508:M1525,$B1532)+COUNTIF(K1508:M1525,$B1532&amp;" ~*")&gt;0)+(IFERROR(INDEX(Setup!$G$33:$G$40,MATCH(O1532,Setup!$B$33:$B$40,0)),0)=1)*(COUNTIF(O1508:Q1525,$B1532)+COUNTIF(O1508:Q1525,$B1532&amp;" ~*")&gt;0)+(IFERROR(INDEX(Setup!$G$33:$G$40,MATCH(S1532,Setup!$B$33:$B$40,0)),0)=1)*(COUNTIF(S1508:U1525,$B1532)+COUNTIF(S1508:U1525,$B1532&amp;" ~*")&gt;0)+(IFERROR(INDEX(Setup!$G$33:$G$40,MATCH(W1532,Setup!$B$33:$B$40,0)),0)=1)*(COUNTIF(W1508:W1525,$B1532)+COUNTIF(W1508:W1525,$B1532&amp;" ~*")&gt;0)+(IFERROR(INDEX(Setup!$G$33:$G$40,MATCH(Y1532,Setup!$B$33:$B$40,0)),0)=1)*(COUNTIF(Y1508:Y1525,$B1532)+COUNTIF(Y1508:Y1525,$B1532&amp;" ~*")&gt;0))</f>
        <v/>
      </c>
    </row>
    <row r="1533" ht="15" customHeight="1">
      <c r="A1533" t="n">
        <v>31</v>
      </c>
      <c r="B1533" s="35">
        <f>IF(Setup!$B$12="","",Setup!$B$12)</f>
        <v/>
      </c>
      <c r="C1533" s="98" t="n"/>
      <c r="D1533" s="99" t="n"/>
      <c r="E1533" s="99" t="n"/>
      <c r="F1533" s="100" t="n"/>
      <c r="G1533" s="98" t="n"/>
      <c r="H1533" s="99" t="n"/>
      <c r="I1533" s="99" t="n"/>
      <c r="J1533" s="100" t="n"/>
      <c r="K1533" s="98" t="n"/>
      <c r="L1533" s="99" t="n"/>
      <c r="M1533" s="99" t="n"/>
      <c r="N1533" s="100" t="n"/>
      <c r="O1533" s="98" t="n"/>
      <c r="P1533" s="99" t="n"/>
      <c r="Q1533" s="99" t="n"/>
      <c r="R1533" s="100" t="n"/>
      <c r="S1533" s="98" t="n"/>
      <c r="T1533" s="99" t="n"/>
      <c r="U1533" s="99" t="n"/>
      <c r="V1533" s="100" t="n"/>
      <c r="W1533" s="98" t="n"/>
      <c r="X1533" s="100" t="n"/>
      <c r="Y1533" s="98" t="n"/>
      <c r="Z1533" s="100" t="n"/>
      <c r="AB1533" s="101">
        <f>IF($B1533="","",(COUNTIF(C1508:E1525,$B1533)+COUNTIF(C1508:E1525,$B1533&amp;" ~*")&gt;0)+(COUNTIF(G1508:I1525,$B1533)+COUNTIF(G1508:I1525,$B1533&amp;" ~*")&gt;0)+(COUNTIF(K1508:M1525,$B1533)+COUNTIF(K1508:M1525,$B1533&amp;" ~*")&gt;0)+(COUNTIF(O1508:Q1525,$B1533)+COUNTIF(O1508:Q1525,$B1533&amp;" ~*")&gt;0)+(COUNTIF(S1508:U1525,$B1533)+COUNTIF(S1508:U1525,$B1533&amp;" ~*")&gt;0)+(COUNTIF(W1508:W1525,$B1533)+COUNTIF(W1508:W1525,$B1533&amp;" ~*")&gt;0)+(COUNTIF(Y1508:Y1525,$B1533)+COUNTIF(Y1508:Y1525,$B1533&amp;" ~*")&gt;0))</f>
        <v/>
      </c>
      <c r="AC1533" s="36">
        <f>IF($B1533="","",(IFERROR(INDEX(Setup!$G$33:$G$40,MATCH(C1533,Setup!$B$33:$B$40,0)),0)=1)*(COUNTIF(C1508:E1525,$B1533)+COUNTIF(C1508:E1525,$B1533&amp;" ~*")&gt;0)+(IFERROR(INDEX(Setup!$G$33:$G$40,MATCH(G1533,Setup!$B$33:$B$40,0)),0)=1)*(COUNTIF(G1508:I1525,$B1533)+COUNTIF(G1508:I1525,$B1533&amp;" ~*")&gt;0)+(IFERROR(INDEX(Setup!$G$33:$G$40,MATCH(K1533,Setup!$B$33:$B$40,0)),0)=1)*(COUNTIF(K1508:M1525,$B1533)+COUNTIF(K1508:M1525,$B1533&amp;" ~*")&gt;0)+(IFERROR(INDEX(Setup!$G$33:$G$40,MATCH(O1533,Setup!$B$33:$B$40,0)),0)=1)*(COUNTIF(O1508:Q1525,$B1533)+COUNTIF(O1508:Q1525,$B1533&amp;" ~*")&gt;0)+(IFERROR(INDEX(Setup!$G$33:$G$40,MATCH(S1533,Setup!$B$33:$B$40,0)),0)=1)*(COUNTIF(S1508:U1525,$B1533)+COUNTIF(S1508:U1525,$B1533&amp;" ~*")&gt;0)+(IFERROR(INDEX(Setup!$G$33:$G$40,MATCH(W1533,Setup!$B$33:$B$40,0)),0)=1)*(COUNTIF(W1508:W1525,$B1533)+COUNTIF(W1508:W1525,$B1533&amp;" ~*")&gt;0)+(IFERROR(INDEX(Setup!$G$33:$G$40,MATCH(Y1533,Setup!$B$33:$B$40,0)),0)=1)*(COUNTIF(Y1508:Y1525,$B1533)+COUNTIF(Y1508:Y1525,$B1533&amp;" ~*")&gt;0))</f>
        <v/>
      </c>
    </row>
    <row r="1534" ht="15" customHeight="1">
      <c r="A1534" t="n">
        <v>31</v>
      </c>
      <c r="B1534" s="37">
        <f>IF(Setup!$B$13="","",Setup!$B$13)</f>
        <v/>
      </c>
      <c r="C1534" s="102" t="n"/>
      <c r="D1534" s="103" t="n"/>
      <c r="E1534" s="103" t="n"/>
      <c r="F1534" s="104" t="n"/>
      <c r="G1534" s="102" t="n"/>
      <c r="H1534" s="103" t="n"/>
      <c r="I1534" s="103" t="n"/>
      <c r="J1534" s="104" t="n"/>
      <c r="K1534" s="102" t="n"/>
      <c r="L1534" s="103" t="n"/>
      <c r="M1534" s="103" t="n"/>
      <c r="N1534" s="104" t="n"/>
      <c r="O1534" s="102" t="n"/>
      <c r="P1534" s="103" t="n"/>
      <c r="Q1534" s="103" t="n"/>
      <c r="R1534" s="104" t="n"/>
      <c r="S1534" s="102" t="n"/>
      <c r="T1534" s="103" t="n"/>
      <c r="U1534" s="103" t="n"/>
      <c r="V1534" s="104" t="n"/>
      <c r="W1534" s="102" t="n"/>
      <c r="X1534" s="104" t="n"/>
      <c r="Y1534" s="102" t="n"/>
      <c r="Z1534" s="104" t="n"/>
      <c r="AB1534" s="105">
        <f>IF($B1534="","",(COUNTIF(C1508:E1525,$B1534)+COUNTIF(C1508:E1525,$B1534&amp;" ~*")&gt;0)+(COUNTIF(G1508:I1525,$B1534)+COUNTIF(G1508:I1525,$B1534&amp;" ~*")&gt;0)+(COUNTIF(K1508:M1525,$B1534)+COUNTIF(K1508:M1525,$B1534&amp;" ~*")&gt;0)+(COUNTIF(O1508:Q1525,$B1534)+COUNTIF(O1508:Q1525,$B1534&amp;" ~*")&gt;0)+(COUNTIF(S1508:U1525,$B1534)+COUNTIF(S1508:U1525,$B1534&amp;" ~*")&gt;0)+(COUNTIF(W1508:W1525,$B1534)+COUNTIF(W1508:W1525,$B1534&amp;" ~*")&gt;0)+(COUNTIF(Y1508:Y1525,$B1534)+COUNTIF(Y1508:Y1525,$B1534&amp;" ~*")&gt;0))</f>
        <v/>
      </c>
      <c r="AC1534" s="38">
        <f>IF($B1534="","",(IFERROR(INDEX(Setup!$G$33:$G$40,MATCH(C1534,Setup!$B$33:$B$40,0)),0)=1)*(COUNTIF(C1508:E1525,$B1534)+COUNTIF(C1508:E1525,$B1534&amp;" ~*")&gt;0)+(IFERROR(INDEX(Setup!$G$33:$G$40,MATCH(G1534,Setup!$B$33:$B$40,0)),0)=1)*(COUNTIF(G1508:I1525,$B1534)+COUNTIF(G1508:I1525,$B1534&amp;" ~*")&gt;0)+(IFERROR(INDEX(Setup!$G$33:$G$40,MATCH(K1534,Setup!$B$33:$B$40,0)),0)=1)*(COUNTIF(K1508:M1525,$B1534)+COUNTIF(K1508:M1525,$B1534&amp;" ~*")&gt;0)+(IFERROR(INDEX(Setup!$G$33:$G$40,MATCH(O1534,Setup!$B$33:$B$40,0)),0)=1)*(COUNTIF(O1508:Q1525,$B1534)+COUNTIF(O1508:Q1525,$B1534&amp;" ~*")&gt;0)+(IFERROR(INDEX(Setup!$G$33:$G$40,MATCH(S1534,Setup!$B$33:$B$40,0)),0)=1)*(COUNTIF(S1508:U1525,$B1534)+COUNTIF(S1508:U1525,$B1534&amp;" ~*")&gt;0)+(IFERROR(INDEX(Setup!$G$33:$G$40,MATCH(W1534,Setup!$B$33:$B$40,0)),0)=1)*(COUNTIF(W1508:W1525,$B1534)+COUNTIF(W1508:W1525,$B1534&amp;" ~*")&gt;0)+(IFERROR(INDEX(Setup!$G$33:$G$40,MATCH(Y1534,Setup!$B$33:$B$40,0)),0)=1)*(COUNTIF(Y1508:Y1525,$B1534)+COUNTIF(Y1508:Y1525,$B1534&amp;" ~*")&gt;0))</f>
        <v/>
      </c>
    </row>
    <row r="1535" ht="15" customHeight="1">
      <c r="A1535" t="n">
        <v>31</v>
      </c>
      <c r="B1535" s="35">
        <f>IF(Setup!$B$14="","",Setup!$B$14)</f>
        <v/>
      </c>
      <c r="C1535" s="98" t="n"/>
      <c r="D1535" s="99" t="n"/>
      <c r="E1535" s="99" t="n"/>
      <c r="F1535" s="100" t="n"/>
      <c r="G1535" s="98" t="n"/>
      <c r="H1535" s="99" t="n"/>
      <c r="I1535" s="99" t="n"/>
      <c r="J1535" s="100" t="n"/>
      <c r="K1535" s="98" t="n"/>
      <c r="L1535" s="99" t="n"/>
      <c r="M1535" s="99" t="n"/>
      <c r="N1535" s="100" t="n"/>
      <c r="O1535" s="98" t="n"/>
      <c r="P1535" s="99" t="n"/>
      <c r="Q1535" s="99" t="n"/>
      <c r="R1535" s="100" t="n"/>
      <c r="S1535" s="98" t="n"/>
      <c r="T1535" s="99" t="n"/>
      <c r="U1535" s="99" t="n"/>
      <c r="V1535" s="100" t="n"/>
      <c r="W1535" s="98" t="n"/>
      <c r="X1535" s="100" t="n"/>
      <c r="Y1535" s="98" t="n"/>
      <c r="Z1535" s="100" t="n"/>
      <c r="AB1535" s="101">
        <f>IF($B1535="","",(COUNTIF(C1508:E1525,$B1535)+COUNTIF(C1508:E1525,$B1535&amp;" ~*")&gt;0)+(COUNTIF(G1508:I1525,$B1535)+COUNTIF(G1508:I1525,$B1535&amp;" ~*")&gt;0)+(COUNTIF(K1508:M1525,$B1535)+COUNTIF(K1508:M1525,$B1535&amp;" ~*")&gt;0)+(COUNTIF(O1508:Q1525,$B1535)+COUNTIF(O1508:Q1525,$B1535&amp;" ~*")&gt;0)+(COUNTIF(S1508:U1525,$B1535)+COUNTIF(S1508:U1525,$B1535&amp;" ~*")&gt;0)+(COUNTIF(W1508:W1525,$B1535)+COUNTIF(W1508:W1525,$B1535&amp;" ~*")&gt;0)+(COUNTIF(Y1508:Y1525,$B1535)+COUNTIF(Y1508:Y1525,$B1535&amp;" ~*")&gt;0))</f>
        <v/>
      </c>
      <c r="AC1535" s="36">
        <f>IF($B1535="","",(IFERROR(INDEX(Setup!$G$33:$G$40,MATCH(C1535,Setup!$B$33:$B$40,0)),0)=1)*(COUNTIF(C1508:E1525,$B1535)+COUNTIF(C1508:E1525,$B1535&amp;" ~*")&gt;0)+(IFERROR(INDEX(Setup!$G$33:$G$40,MATCH(G1535,Setup!$B$33:$B$40,0)),0)=1)*(COUNTIF(G1508:I1525,$B1535)+COUNTIF(G1508:I1525,$B1535&amp;" ~*")&gt;0)+(IFERROR(INDEX(Setup!$G$33:$G$40,MATCH(K1535,Setup!$B$33:$B$40,0)),0)=1)*(COUNTIF(K1508:M1525,$B1535)+COUNTIF(K1508:M1525,$B1535&amp;" ~*")&gt;0)+(IFERROR(INDEX(Setup!$G$33:$G$40,MATCH(O1535,Setup!$B$33:$B$40,0)),0)=1)*(COUNTIF(O1508:Q1525,$B1535)+COUNTIF(O1508:Q1525,$B1535&amp;" ~*")&gt;0)+(IFERROR(INDEX(Setup!$G$33:$G$40,MATCH(S1535,Setup!$B$33:$B$40,0)),0)=1)*(COUNTIF(S1508:U1525,$B1535)+COUNTIF(S1508:U1525,$B1535&amp;" ~*")&gt;0)+(IFERROR(INDEX(Setup!$G$33:$G$40,MATCH(W1535,Setup!$B$33:$B$40,0)),0)=1)*(COUNTIF(W1508:W1525,$B1535)+COUNTIF(W1508:W1525,$B1535&amp;" ~*")&gt;0)+(IFERROR(INDEX(Setup!$G$33:$G$40,MATCH(Y1535,Setup!$B$33:$B$40,0)),0)=1)*(COUNTIF(Y1508:Y1525,$B1535)+COUNTIF(Y1508:Y1525,$B1535&amp;" ~*")&gt;0))</f>
        <v/>
      </c>
    </row>
    <row r="1536" ht="15" customHeight="1">
      <c r="A1536" t="n">
        <v>31</v>
      </c>
      <c r="B1536" s="37">
        <f>IF(Setup!$B$15="","",Setup!$B$15)</f>
        <v/>
      </c>
      <c r="C1536" s="102" t="n"/>
      <c r="D1536" s="103" t="n"/>
      <c r="E1536" s="103" t="n"/>
      <c r="F1536" s="104" t="n"/>
      <c r="G1536" s="102" t="n"/>
      <c r="H1536" s="103" t="n"/>
      <c r="I1536" s="103" t="n"/>
      <c r="J1536" s="104" t="n"/>
      <c r="K1536" s="102" t="n"/>
      <c r="L1536" s="103" t="n"/>
      <c r="M1536" s="103" t="n"/>
      <c r="N1536" s="104" t="n"/>
      <c r="O1536" s="102" t="n"/>
      <c r="P1536" s="103" t="n"/>
      <c r="Q1536" s="103" t="n"/>
      <c r="R1536" s="104" t="n"/>
      <c r="S1536" s="102" t="n"/>
      <c r="T1536" s="103" t="n"/>
      <c r="U1536" s="103" t="n"/>
      <c r="V1536" s="104" t="n"/>
      <c r="W1536" s="102" t="n"/>
      <c r="X1536" s="104" t="n"/>
      <c r="Y1536" s="102" t="n"/>
      <c r="Z1536" s="104" t="n"/>
      <c r="AB1536" s="105">
        <f>IF($B1536="","",(COUNTIF(C1508:E1525,$B1536)+COUNTIF(C1508:E1525,$B1536&amp;" ~*")&gt;0)+(COUNTIF(G1508:I1525,$B1536)+COUNTIF(G1508:I1525,$B1536&amp;" ~*")&gt;0)+(COUNTIF(K1508:M1525,$B1536)+COUNTIF(K1508:M1525,$B1536&amp;" ~*")&gt;0)+(COUNTIF(O1508:Q1525,$B1536)+COUNTIF(O1508:Q1525,$B1536&amp;" ~*")&gt;0)+(COUNTIF(S1508:U1525,$B1536)+COUNTIF(S1508:U1525,$B1536&amp;" ~*")&gt;0)+(COUNTIF(W1508:W1525,$B1536)+COUNTIF(W1508:W1525,$B1536&amp;" ~*")&gt;0)+(COUNTIF(Y1508:Y1525,$B1536)+COUNTIF(Y1508:Y1525,$B1536&amp;" ~*")&gt;0))</f>
        <v/>
      </c>
      <c r="AC1536" s="38">
        <f>IF($B1536="","",(IFERROR(INDEX(Setup!$G$33:$G$40,MATCH(C1536,Setup!$B$33:$B$40,0)),0)=1)*(COUNTIF(C1508:E1525,$B1536)+COUNTIF(C1508:E1525,$B1536&amp;" ~*")&gt;0)+(IFERROR(INDEX(Setup!$G$33:$G$40,MATCH(G1536,Setup!$B$33:$B$40,0)),0)=1)*(COUNTIF(G1508:I1525,$B1536)+COUNTIF(G1508:I1525,$B1536&amp;" ~*")&gt;0)+(IFERROR(INDEX(Setup!$G$33:$G$40,MATCH(K1536,Setup!$B$33:$B$40,0)),0)=1)*(COUNTIF(K1508:M1525,$B1536)+COUNTIF(K1508:M1525,$B1536&amp;" ~*")&gt;0)+(IFERROR(INDEX(Setup!$G$33:$G$40,MATCH(O1536,Setup!$B$33:$B$40,0)),0)=1)*(COUNTIF(O1508:Q1525,$B1536)+COUNTIF(O1508:Q1525,$B1536&amp;" ~*")&gt;0)+(IFERROR(INDEX(Setup!$G$33:$G$40,MATCH(S1536,Setup!$B$33:$B$40,0)),0)=1)*(COUNTIF(S1508:U1525,$B1536)+COUNTIF(S1508:U1525,$B1536&amp;" ~*")&gt;0)+(IFERROR(INDEX(Setup!$G$33:$G$40,MATCH(W1536,Setup!$B$33:$B$40,0)),0)=1)*(COUNTIF(W1508:W1525,$B1536)+COUNTIF(W1508:W1525,$B1536&amp;" ~*")&gt;0)+(IFERROR(INDEX(Setup!$G$33:$G$40,MATCH(Y1536,Setup!$B$33:$B$40,0)),0)=1)*(COUNTIF(Y1508:Y1525,$B1536)+COUNTIF(Y1508:Y1525,$B1536&amp;" ~*")&gt;0))</f>
        <v/>
      </c>
    </row>
    <row r="1537" ht="15" customHeight="1">
      <c r="A1537" t="n">
        <v>31</v>
      </c>
      <c r="B1537" s="35">
        <f>IF(Setup!$B$16="","",Setup!$B$16)</f>
        <v/>
      </c>
      <c r="C1537" s="98" t="n"/>
      <c r="D1537" s="99" t="n"/>
      <c r="E1537" s="99" t="n"/>
      <c r="F1537" s="100" t="n"/>
      <c r="G1537" s="98" t="n"/>
      <c r="H1537" s="99" t="n"/>
      <c r="I1537" s="99" t="n"/>
      <c r="J1537" s="100" t="n"/>
      <c r="K1537" s="98" t="n"/>
      <c r="L1537" s="99" t="n"/>
      <c r="M1537" s="99" t="n"/>
      <c r="N1537" s="100" t="n"/>
      <c r="O1537" s="98" t="n"/>
      <c r="P1537" s="99" t="n"/>
      <c r="Q1537" s="99" t="n"/>
      <c r="R1537" s="100" t="n"/>
      <c r="S1537" s="98" t="n"/>
      <c r="T1537" s="99" t="n"/>
      <c r="U1537" s="99" t="n"/>
      <c r="V1537" s="100" t="n"/>
      <c r="W1537" s="98" t="n"/>
      <c r="X1537" s="100" t="n"/>
      <c r="Y1537" s="98" t="n"/>
      <c r="Z1537" s="100" t="n"/>
      <c r="AB1537" s="101">
        <f>IF($B1537="","",(COUNTIF(C1508:E1525,$B1537)+COUNTIF(C1508:E1525,$B1537&amp;" ~*")&gt;0)+(COUNTIF(G1508:I1525,$B1537)+COUNTIF(G1508:I1525,$B1537&amp;" ~*")&gt;0)+(COUNTIF(K1508:M1525,$B1537)+COUNTIF(K1508:M1525,$B1537&amp;" ~*")&gt;0)+(COUNTIF(O1508:Q1525,$B1537)+COUNTIF(O1508:Q1525,$B1537&amp;" ~*")&gt;0)+(COUNTIF(S1508:U1525,$B1537)+COUNTIF(S1508:U1525,$B1537&amp;" ~*")&gt;0)+(COUNTIF(W1508:W1525,$B1537)+COUNTIF(W1508:W1525,$B1537&amp;" ~*")&gt;0)+(COUNTIF(Y1508:Y1525,$B1537)+COUNTIF(Y1508:Y1525,$B1537&amp;" ~*")&gt;0))</f>
        <v/>
      </c>
      <c r="AC1537" s="36">
        <f>IF($B1537="","",(IFERROR(INDEX(Setup!$G$33:$G$40,MATCH(C1537,Setup!$B$33:$B$40,0)),0)=1)*(COUNTIF(C1508:E1525,$B1537)+COUNTIF(C1508:E1525,$B1537&amp;" ~*")&gt;0)+(IFERROR(INDEX(Setup!$G$33:$G$40,MATCH(G1537,Setup!$B$33:$B$40,0)),0)=1)*(COUNTIF(G1508:I1525,$B1537)+COUNTIF(G1508:I1525,$B1537&amp;" ~*")&gt;0)+(IFERROR(INDEX(Setup!$G$33:$G$40,MATCH(K1537,Setup!$B$33:$B$40,0)),0)=1)*(COUNTIF(K1508:M1525,$B1537)+COUNTIF(K1508:M1525,$B1537&amp;" ~*")&gt;0)+(IFERROR(INDEX(Setup!$G$33:$G$40,MATCH(O1537,Setup!$B$33:$B$40,0)),0)=1)*(COUNTIF(O1508:Q1525,$B1537)+COUNTIF(O1508:Q1525,$B1537&amp;" ~*")&gt;0)+(IFERROR(INDEX(Setup!$G$33:$G$40,MATCH(S1537,Setup!$B$33:$B$40,0)),0)=1)*(COUNTIF(S1508:U1525,$B1537)+COUNTIF(S1508:U1525,$B1537&amp;" ~*")&gt;0)+(IFERROR(INDEX(Setup!$G$33:$G$40,MATCH(W1537,Setup!$B$33:$B$40,0)),0)=1)*(COUNTIF(W1508:W1525,$B1537)+COUNTIF(W1508:W1525,$B1537&amp;" ~*")&gt;0)+(IFERROR(INDEX(Setup!$G$33:$G$40,MATCH(Y1537,Setup!$B$33:$B$40,0)),0)=1)*(COUNTIF(Y1508:Y1525,$B1537)+COUNTIF(Y1508:Y1525,$B1537&amp;" ~*")&gt;0))</f>
        <v/>
      </c>
    </row>
    <row r="1538" ht="15" customHeight="1">
      <c r="A1538" t="n">
        <v>31</v>
      </c>
      <c r="B1538" s="37">
        <f>IF(Setup!$B$17="","",Setup!$B$17)</f>
        <v/>
      </c>
      <c r="C1538" s="102" t="n"/>
      <c r="D1538" s="103" t="n"/>
      <c r="E1538" s="103" t="n"/>
      <c r="F1538" s="104" t="n"/>
      <c r="G1538" s="102" t="n"/>
      <c r="H1538" s="103" t="n"/>
      <c r="I1538" s="103" t="n"/>
      <c r="J1538" s="104" t="n"/>
      <c r="K1538" s="102" t="n"/>
      <c r="L1538" s="103" t="n"/>
      <c r="M1538" s="103" t="n"/>
      <c r="N1538" s="104" t="n"/>
      <c r="O1538" s="102" t="n"/>
      <c r="P1538" s="103" t="n"/>
      <c r="Q1538" s="103" t="n"/>
      <c r="R1538" s="104" t="n"/>
      <c r="S1538" s="102" t="n"/>
      <c r="T1538" s="103" t="n"/>
      <c r="U1538" s="103" t="n"/>
      <c r="V1538" s="104" t="n"/>
      <c r="W1538" s="102" t="n"/>
      <c r="X1538" s="104" t="n"/>
      <c r="Y1538" s="102" t="n"/>
      <c r="Z1538" s="104" t="n"/>
      <c r="AB1538" s="105">
        <f>IF($B1538="","",(COUNTIF(C1508:E1525,$B1538)+COUNTIF(C1508:E1525,$B1538&amp;" ~*")&gt;0)+(COUNTIF(G1508:I1525,$B1538)+COUNTIF(G1508:I1525,$B1538&amp;" ~*")&gt;0)+(COUNTIF(K1508:M1525,$B1538)+COUNTIF(K1508:M1525,$B1538&amp;" ~*")&gt;0)+(COUNTIF(O1508:Q1525,$B1538)+COUNTIF(O1508:Q1525,$B1538&amp;" ~*")&gt;0)+(COUNTIF(S1508:U1525,$B1538)+COUNTIF(S1508:U1525,$B1538&amp;" ~*")&gt;0)+(COUNTIF(W1508:W1525,$B1538)+COUNTIF(W1508:W1525,$B1538&amp;" ~*")&gt;0)+(COUNTIF(Y1508:Y1525,$B1538)+COUNTIF(Y1508:Y1525,$B1538&amp;" ~*")&gt;0))</f>
        <v/>
      </c>
      <c r="AC1538" s="38">
        <f>IF($B1538="","",(IFERROR(INDEX(Setup!$G$33:$G$40,MATCH(C1538,Setup!$B$33:$B$40,0)),0)=1)*(COUNTIF(C1508:E1525,$B1538)+COUNTIF(C1508:E1525,$B1538&amp;" ~*")&gt;0)+(IFERROR(INDEX(Setup!$G$33:$G$40,MATCH(G1538,Setup!$B$33:$B$40,0)),0)=1)*(COUNTIF(G1508:I1525,$B1538)+COUNTIF(G1508:I1525,$B1538&amp;" ~*")&gt;0)+(IFERROR(INDEX(Setup!$G$33:$G$40,MATCH(K1538,Setup!$B$33:$B$40,0)),0)=1)*(COUNTIF(K1508:M1525,$B1538)+COUNTIF(K1508:M1525,$B1538&amp;" ~*")&gt;0)+(IFERROR(INDEX(Setup!$G$33:$G$40,MATCH(O1538,Setup!$B$33:$B$40,0)),0)=1)*(COUNTIF(O1508:Q1525,$B1538)+COUNTIF(O1508:Q1525,$B1538&amp;" ~*")&gt;0)+(IFERROR(INDEX(Setup!$G$33:$G$40,MATCH(S1538,Setup!$B$33:$B$40,0)),0)=1)*(COUNTIF(S1508:U1525,$B1538)+COUNTIF(S1508:U1525,$B1538&amp;" ~*")&gt;0)+(IFERROR(INDEX(Setup!$G$33:$G$40,MATCH(W1538,Setup!$B$33:$B$40,0)),0)=1)*(COUNTIF(W1508:W1525,$B1538)+COUNTIF(W1508:W1525,$B1538&amp;" ~*")&gt;0)+(IFERROR(INDEX(Setup!$G$33:$G$40,MATCH(Y1538,Setup!$B$33:$B$40,0)),0)=1)*(COUNTIF(Y1508:Y1525,$B1538)+COUNTIF(Y1508:Y1525,$B1538&amp;" ~*")&gt;0))</f>
        <v/>
      </c>
    </row>
    <row r="1539" ht="15" customHeight="1">
      <c r="A1539" t="n">
        <v>31</v>
      </c>
      <c r="B1539" s="35">
        <f>IF(Setup!$B$18="","",Setup!$B$18)</f>
        <v/>
      </c>
      <c r="C1539" s="98" t="n"/>
      <c r="D1539" s="99" t="n"/>
      <c r="E1539" s="99" t="n"/>
      <c r="F1539" s="100" t="n"/>
      <c r="G1539" s="98" t="n"/>
      <c r="H1539" s="99" t="n"/>
      <c r="I1539" s="99" t="n"/>
      <c r="J1539" s="100" t="n"/>
      <c r="K1539" s="98" t="n"/>
      <c r="L1539" s="99" t="n"/>
      <c r="M1539" s="99" t="n"/>
      <c r="N1539" s="100" t="n"/>
      <c r="O1539" s="98" t="n"/>
      <c r="P1539" s="99" t="n"/>
      <c r="Q1539" s="99" t="n"/>
      <c r="R1539" s="100" t="n"/>
      <c r="S1539" s="98" t="n"/>
      <c r="T1539" s="99" t="n"/>
      <c r="U1539" s="99" t="n"/>
      <c r="V1539" s="100" t="n"/>
      <c r="W1539" s="98" t="n"/>
      <c r="X1539" s="100" t="n"/>
      <c r="Y1539" s="98" t="n"/>
      <c r="Z1539" s="100" t="n"/>
      <c r="AB1539" s="101">
        <f>IF($B1539="","",(COUNTIF(C1508:E1525,$B1539)+COUNTIF(C1508:E1525,$B1539&amp;" ~*")&gt;0)+(COUNTIF(G1508:I1525,$B1539)+COUNTIF(G1508:I1525,$B1539&amp;" ~*")&gt;0)+(COUNTIF(K1508:M1525,$B1539)+COUNTIF(K1508:M1525,$B1539&amp;" ~*")&gt;0)+(COUNTIF(O1508:Q1525,$B1539)+COUNTIF(O1508:Q1525,$B1539&amp;" ~*")&gt;0)+(COUNTIF(S1508:U1525,$B1539)+COUNTIF(S1508:U1525,$B1539&amp;" ~*")&gt;0)+(COUNTIF(W1508:W1525,$B1539)+COUNTIF(W1508:W1525,$B1539&amp;" ~*")&gt;0)+(COUNTIF(Y1508:Y1525,$B1539)+COUNTIF(Y1508:Y1525,$B1539&amp;" ~*")&gt;0))</f>
        <v/>
      </c>
      <c r="AC1539" s="36">
        <f>IF($B1539="","",(IFERROR(INDEX(Setup!$G$33:$G$40,MATCH(C1539,Setup!$B$33:$B$40,0)),0)=1)*(COUNTIF(C1508:E1525,$B1539)+COUNTIF(C1508:E1525,$B1539&amp;" ~*")&gt;0)+(IFERROR(INDEX(Setup!$G$33:$G$40,MATCH(G1539,Setup!$B$33:$B$40,0)),0)=1)*(COUNTIF(G1508:I1525,$B1539)+COUNTIF(G1508:I1525,$B1539&amp;" ~*")&gt;0)+(IFERROR(INDEX(Setup!$G$33:$G$40,MATCH(K1539,Setup!$B$33:$B$40,0)),0)=1)*(COUNTIF(K1508:M1525,$B1539)+COUNTIF(K1508:M1525,$B1539&amp;" ~*")&gt;0)+(IFERROR(INDEX(Setup!$G$33:$G$40,MATCH(O1539,Setup!$B$33:$B$40,0)),0)=1)*(COUNTIF(O1508:Q1525,$B1539)+COUNTIF(O1508:Q1525,$B1539&amp;" ~*")&gt;0)+(IFERROR(INDEX(Setup!$G$33:$G$40,MATCH(S1539,Setup!$B$33:$B$40,0)),0)=1)*(COUNTIF(S1508:U1525,$B1539)+COUNTIF(S1508:U1525,$B1539&amp;" ~*")&gt;0)+(IFERROR(INDEX(Setup!$G$33:$G$40,MATCH(W1539,Setup!$B$33:$B$40,0)),0)=1)*(COUNTIF(W1508:W1525,$B1539)+COUNTIF(W1508:W1525,$B1539&amp;" ~*")&gt;0)+(IFERROR(INDEX(Setup!$G$33:$G$40,MATCH(Y1539,Setup!$B$33:$B$40,0)),0)=1)*(COUNTIF(Y1508:Y1525,$B1539)+COUNTIF(Y1508:Y1525,$B1539&amp;" ~*")&gt;0))</f>
        <v/>
      </c>
    </row>
    <row r="1540" ht="15" customHeight="1">
      <c r="A1540" t="n">
        <v>31</v>
      </c>
      <c r="B1540" s="37">
        <f>IF(Setup!$B$19="","",Setup!$B$19)</f>
        <v/>
      </c>
      <c r="C1540" s="102" t="n"/>
      <c r="D1540" s="103" t="n"/>
      <c r="E1540" s="103" t="n"/>
      <c r="F1540" s="104" t="n"/>
      <c r="G1540" s="102" t="n"/>
      <c r="H1540" s="103" t="n"/>
      <c r="I1540" s="103" t="n"/>
      <c r="J1540" s="104" t="n"/>
      <c r="K1540" s="102" t="n"/>
      <c r="L1540" s="103" t="n"/>
      <c r="M1540" s="103" t="n"/>
      <c r="N1540" s="104" t="n"/>
      <c r="O1540" s="102" t="n"/>
      <c r="P1540" s="103" t="n"/>
      <c r="Q1540" s="103" t="n"/>
      <c r="R1540" s="104" t="n"/>
      <c r="S1540" s="102" t="n"/>
      <c r="T1540" s="103" t="n"/>
      <c r="U1540" s="103" t="n"/>
      <c r="V1540" s="104" t="n"/>
      <c r="W1540" s="102" t="n"/>
      <c r="X1540" s="104" t="n"/>
      <c r="Y1540" s="102" t="n"/>
      <c r="Z1540" s="104" t="n"/>
      <c r="AB1540" s="105">
        <f>IF($B1540="","",(COUNTIF(C1508:E1525,$B1540)+COUNTIF(C1508:E1525,$B1540&amp;" ~*")&gt;0)+(COUNTIF(G1508:I1525,$B1540)+COUNTIF(G1508:I1525,$B1540&amp;" ~*")&gt;0)+(COUNTIF(K1508:M1525,$B1540)+COUNTIF(K1508:M1525,$B1540&amp;" ~*")&gt;0)+(COUNTIF(O1508:Q1525,$B1540)+COUNTIF(O1508:Q1525,$B1540&amp;" ~*")&gt;0)+(COUNTIF(S1508:U1525,$B1540)+COUNTIF(S1508:U1525,$B1540&amp;" ~*")&gt;0)+(COUNTIF(W1508:W1525,$B1540)+COUNTIF(W1508:W1525,$B1540&amp;" ~*")&gt;0)+(COUNTIF(Y1508:Y1525,$B1540)+COUNTIF(Y1508:Y1525,$B1540&amp;" ~*")&gt;0))</f>
        <v/>
      </c>
      <c r="AC1540" s="38">
        <f>IF($B1540="","",(IFERROR(INDEX(Setup!$G$33:$G$40,MATCH(C1540,Setup!$B$33:$B$40,0)),0)=1)*(COUNTIF(C1508:E1525,$B1540)+COUNTIF(C1508:E1525,$B1540&amp;" ~*")&gt;0)+(IFERROR(INDEX(Setup!$G$33:$G$40,MATCH(G1540,Setup!$B$33:$B$40,0)),0)=1)*(COUNTIF(G1508:I1525,$B1540)+COUNTIF(G1508:I1525,$B1540&amp;" ~*")&gt;0)+(IFERROR(INDEX(Setup!$G$33:$G$40,MATCH(K1540,Setup!$B$33:$B$40,0)),0)=1)*(COUNTIF(K1508:M1525,$B1540)+COUNTIF(K1508:M1525,$B1540&amp;" ~*")&gt;0)+(IFERROR(INDEX(Setup!$G$33:$G$40,MATCH(O1540,Setup!$B$33:$B$40,0)),0)=1)*(COUNTIF(O1508:Q1525,$B1540)+COUNTIF(O1508:Q1525,$B1540&amp;" ~*")&gt;0)+(IFERROR(INDEX(Setup!$G$33:$G$40,MATCH(S1540,Setup!$B$33:$B$40,0)),0)=1)*(COUNTIF(S1508:U1525,$B1540)+COUNTIF(S1508:U1525,$B1540&amp;" ~*")&gt;0)+(IFERROR(INDEX(Setup!$G$33:$G$40,MATCH(W1540,Setup!$B$33:$B$40,0)),0)=1)*(COUNTIF(W1508:W1525,$B1540)+COUNTIF(W1508:W1525,$B1540&amp;" ~*")&gt;0)+(IFERROR(INDEX(Setup!$G$33:$G$40,MATCH(Y1540,Setup!$B$33:$B$40,0)),0)=1)*(COUNTIF(Y1508:Y1525,$B1540)+COUNTIF(Y1508:Y1525,$B1540&amp;" ~*")&gt;0))</f>
        <v/>
      </c>
    </row>
    <row r="1541" ht="15" customHeight="1">
      <c r="A1541" t="n">
        <v>31</v>
      </c>
      <c r="B1541" s="35">
        <f>IF(Setup!$B$20="","",Setup!$B$20)</f>
        <v/>
      </c>
      <c r="C1541" s="98" t="n"/>
      <c r="D1541" s="99" t="n"/>
      <c r="E1541" s="99" t="n"/>
      <c r="F1541" s="100" t="n"/>
      <c r="G1541" s="98" t="n"/>
      <c r="H1541" s="99" t="n"/>
      <c r="I1541" s="99" t="n"/>
      <c r="J1541" s="100" t="n"/>
      <c r="K1541" s="98" t="n"/>
      <c r="L1541" s="99" t="n"/>
      <c r="M1541" s="99" t="n"/>
      <c r="N1541" s="100" t="n"/>
      <c r="O1541" s="98" t="n"/>
      <c r="P1541" s="99" t="n"/>
      <c r="Q1541" s="99" t="n"/>
      <c r="R1541" s="100" t="n"/>
      <c r="S1541" s="98" t="n"/>
      <c r="T1541" s="99" t="n"/>
      <c r="U1541" s="99" t="n"/>
      <c r="V1541" s="100" t="n"/>
      <c r="W1541" s="98" t="n"/>
      <c r="X1541" s="100" t="n"/>
      <c r="Y1541" s="98" t="n"/>
      <c r="Z1541" s="100" t="n"/>
      <c r="AB1541" s="101">
        <f>IF($B1541="","",(COUNTIF(C1508:E1525,$B1541)+COUNTIF(C1508:E1525,$B1541&amp;" ~*")&gt;0)+(COUNTIF(G1508:I1525,$B1541)+COUNTIF(G1508:I1525,$B1541&amp;" ~*")&gt;0)+(COUNTIF(K1508:M1525,$B1541)+COUNTIF(K1508:M1525,$B1541&amp;" ~*")&gt;0)+(COUNTIF(O1508:Q1525,$B1541)+COUNTIF(O1508:Q1525,$B1541&amp;" ~*")&gt;0)+(COUNTIF(S1508:U1525,$B1541)+COUNTIF(S1508:U1525,$B1541&amp;" ~*")&gt;0)+(COUNTIF(W1508:W1525,$B1541)+COUNTIF(W1508:W1525,$B1541&amp;" ~*")&gt;0)+(COUNTIF(Y1508:Y1525,$B1541)+COUNTIF(Y1508:Y1525,$B1541&amp;" ~*")&gt;0))</f>
        <v/>
      </c>
      <c r="AC1541" s="36">
        <f>IF($B1541="","",(IFERROR(INDEX(Setup!$G$33:$G$40,MATCH(C1541,Setup!$B$33:$B$40,0)),0)=1)*(COUNTIF(C1508:E1525,$B1541)+COUNTIF(C1508:E1525,$B1541&amp;" ~*")&gt;0)+(IFERROR(INDEX(Setup!$G$33:$G$40,MATCH(G1541,Setup!$B$33:$B$40,0)),0)=1)*(COUNTIF(G1508:I1525,$B1541)+COUNTIF(G1508:I1525,$B1541&amp;" ~*")&gt;0)+(IFERROR(INDEX(Setup!$G$33:$G$40,MATCH(K1541,Setup!$B$33:$B$40,0)),0)=1)*(COUNTIF(K1508:M1525,$B1541)+COUNTIF(K1508:M1525,$B1541&amp;" ~*")&gt;0)+(IFERROR(INDEX(Setup!$G$33:$G$40,MATCH(O1541,Setup!$B$33:$B$40,0)),0)=1)*(COUNTIF(O1508:Q1525,$B1541)+COUNTIF(O1508:Q1525,$B1541&amp;" ~*")&gt;0)+(IFERROR(INDEX(Setup!$G$33:$G$40,MATCH(S1541,Setup!$B$33:$B$40,0)),0)=1)*(COUNTIF(S1508:U1525,$B1541)+COUNTIF(S1508:U1525,$B1541&amp;" ~*")&gt;0)+(IFERROR(INDEX(Setup!$G$33:$G$40,MATCH(W1541,Setup!$B$33:$B$40,0)),0)=1)*(COUNTIF(W1508:W1525,$B1541)+COUNTIF(W1508:W1525,$B1541&amp;" ~*")&gt;0)+(IFERROR(INDEX(Setup!$G$33:$G$40,MATCH(Y1541,Setup!$B$33:$B$40,0)),0)=1)*(COUNTIF(Y1508:Y1525,$B1541)+COUNTIF(Y1508:Y1525,$B1541&amp;" ~*")&gt;0))</f>
        <v/>
      </c>
    </row>
    <row r="1542" ht="15" customHeight="1">
      <c r="A1542" t="n">
        <v>31</v>
      </c>
      <c r="B1542" s="37">
        <f>IF(Setup!$B$21="","",Setup!$B$21)</f>
        <v/>
      </c>
      <c r="C1542" s="102" t="n"/>
      <c r="D1542" s="103" t="n"/>
      <c r="E1542" s="103" t="n"/>
      <c r="F1542" s="104" t="n"/>
      <c r="G1542" s="102" t="n"/>
      <c r="H1542" s="103" t="n"/>
      <c r="I1542" s="103" t="n"/>
      <c r="J1542" s="104" t="n"/>
      <c r="K1542" s="102" t="n"/>
      <c r="L1542" s="103" t="n"/>
      <c r="M1542" s="103" t="n"/>
      <c r="N1542" s="104" t="n"/>
      <c r="O1542" s="102" t="n"/>
      <c r="P1542" s="103" t="n"/>
      <c r="Q1542" s="103" t="n"/>
      <c r="R1542" s="104" t="n"/>
      <c r="S1542" s="102" t="n"/>
      <c r="T1542" s="103" t="n"/>
      <c r="U1542" s="103" t="n"/>
      <c r="V1542" s="104" t="n"/>
      <c r="W1542" s="102" t="n"/>
      <c r="X1542" s="104" t="n"/>
      <c r="Y1542" s="102" t="n"/>
      <c r="Z1542" s="104" t="n"/>
      <c r="AB1542" s="105">
        <f>IF($B1542="","",(COUNTIF(C1508:E1525,$B1542)+COUNTIF(C1508:E1525,$B1542&amp;" ~*")&gt;0)+(COUNTIF(G1508:I1525,$B1542)+COUNTIF(G1508:I1525,$B1542&amp;" ~*")&gt;0)+(COUNTIF(K1508:M1525,$B1542)+COUNTIF(K1508:M1525,$B1542&amp;" ~*")&gt;0)+(COUNTIF(O1508:Q1525,$B1542)+COUNTIF(O1508:Q1525,$B1542&amp;" ~*")&gt;0)+(COUNTIF(S1508:U1525,$B1542)+COUNTIF(S1508:U1525,$B1542&amp;" ~*")&gt;0)+(COUNTIF(W1508:W1525,$B1542)+COUNTIF(W1508:W1525,$B1542&amp;" ~*")&gt;0)+(COUNTIF(Y1508:Y1525,$B1542)+COUNTIF(Y1508:Y1525,$B1542&amp;" ~*")&gt;0))</f>
        <v/>
      </c>
      <c r="AC1542" s="38">
        <f>IF($B1542="","",(IFERROR(INDEX(Setup!$G$33:$G$40,MATCH(C1542,Setup!$B$33:$B$40,0)),0)=1)*(COUNTIF(C1508:E1525,$B1542)+COUNTIF(C1508:E1525,$B1542&amp;" ~*")&gt;0)+(IFERROR(INDEX(Setup!$G$33:$G$40,MATCH(G1542,Setup!$B$33:$B$40,0)),0)=1)*(COUNTIF(G1508:I1525,$B1542)+COUNTIF(G1508:I1525,$B1542&amp;" ~*")&gt;0)+(IFERROR(INDEX(Setup!$G$33:$G$40,MATCH(K1542,Setup!$B$33:$B$40,0)),0)=1)*(COUNTIF(K1508:M1525,$B1542)+COUNTIF(K1508:M1525,$B1542&amp;" ~*")&gt;0)+(IFERROR(INDEX(Setup!$G$33:$G$40,MATCH(O1542,Setup!$B$33:$B$40,0)),0)=1)*(COUNTIF(O1508:Q1525,$B1542)+COUNTIF(O1508:Q1525,$B1542&amp;" ~*")&gt;0)+(IFERROR(INDEX(Setup!$G$33:$G$40,MATCH(S1542,Setup!$B$33:$B$40,0)),0)=1)*(COUNTIF(S1508:U1525,$B1542)+COUNTIF(S1508:U1525,$B1542&amp;" ~*")&gt;0)+(IFERROR(INDEX(Setup!$G$33:$G$40,MATCH(W1542,Setup!$B$33:$B$40,0)),0)=1)*(COUNTIF(W1508:W1525,$B1542)+COUNTIF(W1508:W1525,$B1542&amp;" ~*")&gt;0)+(IFERROR(INDEX(Setup!$G$33:$G$40,MATCH(Y1542,Setup!$B$33:$B$40,0)),0)=1)*(COUNTIF(Y1508:Y1525,$B1542)+COUNTIF(Y1508:Y1525,$B1542&amp;" ~*")&gt;0))</f>
        <v/>
      </c>
    </row>
    <row r="1543" ht="15" customHeight="1">
      <c r="A1543" t="n">
        <v>31</v>
      </c>
      <c r="B1543" s="35">
        <f>IF(Setup!$B$22="","",Setup!$B$22)</f>
        <v/>
      </c>
      <c r="C1543" s="98" t="n"/>
      <c r="D1543" s="99" t="n"/>
      <c r="E1543" s="99" t="n"/>
      <c r="F1543" s="100" t="n"/>
      <c r="G1543" s="98" t="n"/>
      <c r="H1543" s="99" t="n"/>
      <c r="I1543" s="99" t="n"/>
      <c r="J1543" s="100" t="n"/>
      <c r="K1543" s="98" t="n"/>
      <c r="L1543" s="99" t="n"/>
      <c r="M1543" s="99" t="n"/>
      <c r="N1543" s="100" t="n"/>
      <c r="O1543" s="98" t="n"/>
      <c r="P1543" s="99" t="n"/>
      <c r="Q1543" s="99" t="n"/>
      <c r="R1543" s="100" t="n"/>
      <c r="S1543" s="98" t="n"/>
      <c r="T1543" s="99" t="n"/>
      <c r="U1543" s="99" t="n"/>
      <c r="V1543" s="100" t="n"/>
      <c r="W1543" s="98" t="n"/>
      <c r="X1543" s="100" t="n"/>
      <c r="Y1543" s="98" t="n"/>
      <c r="Z1543" s="100" t="n"/>
      <c r="AB1543" s="101">
        <f>IF($B1543="","",(COUNTIF(C1508:E1525,$B1543)+COUNTIF(C1508:E1525,$B1543&amp;" ~*")&gt;0)+(COUNTIF(G1508:I1525,$B1543)+COUNTIF(G1508:I1525,$B1543&amp;" ~*")&gt;0)+(COUNTIF(K1508:M1525,$B1543)+COUNTIF(K1508:M1525,$B1543&amp;" ~*")&gt;0)+(COUNTIF(O1508:Q1525,$B1543)+COUNTIF(O1508:Q1525,$B1543&amp;" ~*")&gt;0)+(COUNTIF(S1508:U1525,$B1543)+COUNTIF(S1508:U1525,$B1543&amp;" ~*")&gt;0)+(COUNTIF(W1508:W1525,$B1543)+COUNTIF(W1508:W1525,$B1543&amp;" ~*")&gt;0)+(COUNTIF(Y1508:Y1525,$B1543)+COUNTIF(Y1508:Y1525,$B1543&amp;" ~*")&gt;0))</f>
        <v/>
      </c>
      <c r="AC1543" s="36">
        <f>IF($B1543="","",(IFERROR(INDEX(Setup!$G$33:$G$40,MATCH(C1543,Setup!$B$33:$B$40,0)),0)=1)*(COUNTIF(C1508:E1525,$B1543)+COUNTIF(C1508:E1525,$B1543&amp;" ~*")&gt;0)+(IFERROR(INDEX(Setup!$G$33:$G$40,MATCH(G1543,Setup!$B$33:$B$40,0)),0)=1)*(COUNTIF(G1508:I1525,$B1543)+COUNTIF(G1508:I1525,$B1543&amp;" ~*")&gt;0)+(IFERROR(INDEX(Setup!$G$33:$G$40,MATCH(K1543,Setup!$B$33:$B$40,0)),0)=1)*(COUNTIF(K1508:M1525,$B1543)+COUNTIF(K1508:M1525,$B1543&amp;" ~*")&gt;0)+(IFERROR(INDEX(Setup!$G$33:$G$40,MATCH(O1543,Setup!$B$33:$B$40,0)),0)=1)*(COUNTIF(O1508:Q1525,$B1543)+COUNTIF(O1508:Q1525,$B1543&amp;" ~*")&gt;0)+(IFERROR(INDEX(Setup!$G$33:$G$40,MATCH(S1543,Setup!$B$33:$B$40,0)),0)=1)*(COUNTIF(S1508:U1525,$B1543)+COUNTIF(S1508:U1525,$B1543&amp;" ~*")&gt;0)+(IFERROR(INDEX(Setup!$G$33:$G$40,MATCH(W1543,Setup!$B$33:$B$40,0)),0)=1)*(COUNTIF(W1508:W1525,$B1543)+COUNTIF(W1508:W1525,$B1543&amp;" ~*")&gt;0)+(IFERROR(INDEX(Setup!$G$33:$G$40,MATCH(Y1543,Setup!$B$33:$B$40,0)),0)=1)*(COUNTIF(Y1508:Y1525,$B1543)+COUNTIF(Y1508:Y1525,$B1543&amp;" ~*")&gt;0))</f>
        <v/>
      </c>
    </row>
    <row r="1544" ht="15" customHeight="1">
      <c r="A1544" t="n">
        <v>31</v>
      </c>
      <c r="B1544" s="37">
        <f>IF(Setup!$B$23="","",Setup!$B$23)</f>
        <v/>
      </c>
      <c r="C1544" s="102" t="n"/>
      <c r="D1544" s="103" t="n"/>
      <c r="E1544" s="103" t="n"/>
      <c r="F1544" s="104" t="n"/>
      <c r="G1544" s="102" t="n"/>
      <c r="H1544" s="103" t="n"/>
      <c r="I1544" s="103" t="n"/>
      <c r="J1544" s="104" t="n"/>
      <c r="K1544" s="102" t="n"/>
      <c r="L1544" s="103" t="n"/>
      <c r="M1544" s="103" t="n"/>
      <c r="N1544" s="104" t="n"/>
      <c r="O1544" s="102" t="n"/>
      <c r="P1544" s="103" t="n"/>
      <c r="Q1544" s="103" t="n"/>
      <c r="R1544" s="104" t="n"/>
      <c r="S1544" s="102" t="n"/>
      <c r="T1544" s="103" t="n"/>
      <c r="U1544" s="103" t="n"/>
      <c r="V1544" s="104" t="n"/>
      <c r="W1544" s="102" t="n"/>
      <c r="X1544" s="104" t="n"/>
      <c r="Y1544" s="102" t="n"/>
      <c r="Z1544" s="104" t="n"/>
      <c r="AB1544" s="105">
        <f>IF($B1544="","",(COUNTIF(C1508:E1525,$B1544)+COUNTIF(C1508:E1525,$B1544&amp;" ~*")&gt;0)+(COUNTIF(G1508:I1525,$B1544)+COUNTIF(G1508:I1525,$B1544&amp;" ~*")&gt;0)+(COUNTIF(K1508:M1525,$B1544)+COUNTIF(K1508:M1525,$B1544&amp;" ~*")&gt;0)+(COUNTIF(O1508:Q1525,$B1544)+COUNTIF(O1508:Q1525,$B1544&amp;" ~*")&gt;0)+(COUNTIF(S1508:U1525,$B1544)+COUNTIF(S1508:U1525,$B1544&amp;" ~*")&gt;0)+(COUNTIF(W1508:W1525,$B1544)+COUNTIF(W1508:W1525,$B1544&amp;" ~*")&gt;0)+(COUNTIF(Y1508:Y1525,$B1544)+COUNTIF(Y1508:Y1525,$B1544&amp;" ~*")&gt;0))</f>
        <v/>
      </c>
      <c r="AC1544" s="38">
        <f>IF($B1544="","",(IFERROR(INDEX(Setup!$G$33:$G$40,MATCH(C1544,Setup!$B$33:$B$40,0)),0)=1)*(COUNTIF(C1508:E1525,$B1544)+COUNTIF(C1508:E1525,$B1544&amp;" ~*")&gt;0)+(IFERROR(INDEX(Setup!$G$33:$G$40,MATCH(G1544,Setup!$B$33:$B$40,0)),0)=1)*(COUNTIF(G1508:I1525,$B1544)+COUNTIF(G1508:I1525,$B1544&amp;" ~*")&gt;0)+(IFERROR(INDEX(Setup!$G$33:$G$40,MATCH(K1544,Setup!$B$33:$B$40,0)),0)=1)*(COUNTIF(K1508:M1525,$B1544)+COUNTIF(K1508:M1525,$B1544&amp;" ~*")&gt;0)+(IFERROR(INDEX(Setup!$G$33:$G$40,MATCH(O1544,Setup!$B$33:$B$40,0)),0)=1)*(COUNTIF(O1508:Q1525,$B1544)+COUNTIF(O1508:Q1525,$B1544&amp;" ~*")&gt;0)+(IFERROR(INDEX(Setup!$G$33:$G$40,MATCH(S1544,Setup!$B$33:$B$40,0)),0)=1)*(COUNTIF(S1508:U1525,$B1544)+COUNTIF(S1508:U1525,$B1544&amp;" ~*")&gt;0)+(IFERROR(INDEX(Setup!$G$33:$G$40,MATCH(W1544,Setup!$B$33:$B$40,0)),0)=1)*(COUNTIF(W1508:W1525,$B1544)+COUNTIF(W1508:W1525,$B1544&amp;" ~*")&gt;0)+(IFERROR(INDEX(Setup!$G$33:$G$40,MATCH(Y1544,Setup!$B$33:$B$40,0)),0)=1)*(COUNTIF(Y1508:Y1525,$B1544)+COUNTIF(Y1508:Y1525,$B1544&amp;" ~*")&gt;0))</f>
        <v/>
      </c>
    </row>
    <row r="1545" ht="15" customHeight="1">
      <c r="A1545" t="n">
        <v>31</v>
      </c>
      <c r="B1545" s="35">
        <f>IF(Setup!$B$24="","",Setup!$B$24)</f>
        <v/>
      </c>
      <c r="C1545" s="98" t="n"/>
      <c r="D1545" s="99" t="n"/>
      <c r="E1545" s="99" t="n"/>
      <c r="F1545" s="100" t="n"/>
      <c r="G1545" s="98" t="n"/>
      <c r="H1545" s="99" t="n"/>
      <c r="I1545" s="99" t="n"/>
      <c r="J1545" s="100" t="n"/>
      <c r="K1545" s="98" t="n"/>
      <c r="L1545" s="99" t="n"/>
      <c r="M1545" s="99" t="n"/>
      <c r="N1545" s="100" t="n"/>
      <c r="O1545" s="98" t="n"/>
      <c r="P1545" s="99" t="n"/>
      <c r="Q1545" s="99" t="n"/>
      <c r="R1545" s="100" t="n"/>
      <c r="S1545" s="98" t="n"/>
      <c r="T1545" s="99" t="n"/>
      <c r="U1545" s="99" t="n"/>
      <c r="V1545" s="100" t="n"/>
      <c r="W1545" s="98" t="n"/>
      <c r="X1545" s="100" t="n"/>
      <c r="Y1545" s="98" t="n"/>
      <c r="Z1545" s="100" t="n"/>
      <c r="AB1545" s="101">
        <f>IF($B1545="","",(COUNTIF(C1508:E1525,$B1545)+COUNTIF(C1508:E1525,$B1545&amp;" ~*")&gt;0)+(COUNTIF(G1508:I1525,$B1545)+COUNTIF(G1508:I1525,$B1545&amp;" ~*")&gt;0)+(COUNTIF(K1508:M1525,$B1545)+COUNTIF(K1508:M1525,$B1545&amp;" ~*")&gt;0)+(COUNTIF(O1508:Q1525,$B1545)+COUNTIF(O1508:Q1525,$B1545&amp;" ~*")&gt;0)+(COUNTIF(S1508:U1525,$B1545)+COUNTIF(S1508:U1525,$B1545&amp;" ~*")&gt;0)+(COUNTIF(W1508:W1525,$B1545)+COUNTIF(W1508:W1525,$B1545&amp;" ~*")&gt;0)+(COUNTIF(Y1508:Y1525,$B1545)+COUNTIF(Y1508:Y1525,$B1545&amp;" ~*")&gt;0))</f>
        <v/>
      </c>
      <c r="AC1545" s="36">
        <f>IF($B1545="","",(IFERROR(INDEX(Setup!$G$33:$G$40,MATCH(C1545,Setup!$B$33:$B$40,0)),0)=1)*(COUNTIF(C1508:E1525,$B1545)+COUNTIF(C1508:E1525,$B1545&amp;" ~*")&gt;0)+(IFERROR(INDEX(Setup!$G$33:$G$40,MATCH(G1545,Setup!$B$33:$B$40,0)),0)=1)*(COUNTIF(G1508:I1525,$B1545)+COUNTIF(G1508:I1525,$B1545&amp;" ~*")&gt;0)+(IFERROR(INDEX(Setup!$G$33:$G$40,MATCH(K1545,Setup!$B$33:$B$40,0)),0)=1)*(COUNTIF(K1508:M1525,$B1545)+COUNTIF(K1508:M1525,$B1545&amp;" ~*")&gt;0)+(IFERROR(INDEX(Setup!$G$33:$G$40,MATCH(O1545,Setup!$B$33:$B$40,0)),0)=1)*(COUNTIF(O1508:Q1525,$B1545)+COUNTIF(O1508:Q1525,$B1545&amp;" ~*")&gt;0)+(IFERROR(INDEX(Setup!$G$33:$G$40,MATCH(S1545,Setup!$B$33:$B$40,0)),0)=1)*(COUNTIF(S1508:U1525,$B1545)+COUNTIF(S1508:U1525,$B1545&amp;" ~*")&gt;0)+(IFERROR(INDEX(Setup!$G$33:$G$40,MATCH(W1545,Setup!$B$33:$B$40,0)),0)=1)*(COUNTIF(W1508:W1525,$B1545)+COUNTIF(W1508:W1525,$B1545&amp;" ~*")&gt;0)+(IFERROR(INDEX(Setup!$G$33:$G$40,MATCH(Y1545,Setup!$B$33:$B$40,0)),0)=1)*(COUNTIF(Y1508:Y1525,$B1545)+COUNTIF(Y1508:Y1525,$B1545&amp;" ~*")&gt;0))</f>
        <v/>
      </c>
    </row>
    <row r="1546" ht="15" customHeight="1">
      <c r="A1546" t="n">
        <v>31</v>
      </c>
      <c r="B1546" s="37">
        <f>IF(Setup!$B$25="","",Setup!$B$25)</f>
        <v/>
      </c>
      <c r="C1546" s="102" t="n"/>
      <c r="D1546" s="103" t="n"/>
      <c r="E1546" s="103" t="n"/>
      <c r="F1546" s="104" t="n"/>
      <c r="G1546" s="102" t="n"/>
      <c r="H1546" s="103" t="n"/>
      <c r="I1546" s="103" t="n"/>
      <c r="J1546" s="104" t="n"/>
      <c r="K1546" s="102" t="n"/>
      <c r="L1546" s="103" t="n"/>
      <c r="M1546" s="103" t="n"/>
      <c r="N1546" s="104" t="n"/>
      <c r="O1546" s="102" t="n"/>
      <c r="P1546" s="103" t="n"/>
      <c r="Q1546" s="103" t="n"/>
      <c r="R1546" s="104" t="n"/>
      <c r="S1546" s="102" t="n"/>
      <c r="T1546" s="103" t="n"/>
      <c r="U1546" s="103" t="n"/>
      <c r="V1546" s="104" t="n"/>
      <c r="W1546" s="102" t="n"/>
      <c r="X1546" s="104" t="n"/>
      <c r="Y1546" s="102" t="n"/>
      <c r="Z1546" s="104" t="n"/>
      <c r="AB1546" s="105">
        <f>IF($B1546="","",(COUNTIF(C1508:E1525,$B1546)+COUNTIF(C1508:E1525,$B1546&amp;" ~*")&gt;0)+(COUNTIF(G1508:I1525,$B1546)+COUNTIF(G1508:I1525,$B1546&amp;" ~*")&gt;0)+(COUNTIF(K1508:M1525,$B1546)+COUNTIF(K1508:M1525,$B1546&amp;" ~*")&gt;0)+(COUNTIF(O1508:Q1525,$B1546)+COUNTIF(O1508:Q1525,$B1546&amp;" ~*")&gt;0)+(COUNTIF(S1508:U1525,$B1546)+COUNTIF(S1508:U1525,$B1546&amp;" ~*")&gt;0)+(COUNTIF(W1508:W1525,$B1546)+COUNTIF(W1508:W1525,$B1546&amp;" ~*")&gt;0)+(COUNTIF(Y1508:Y1525,$B1546)+COUNTIF(Y1508:Y1525,$B1546&amp;" ~*")&gt;0))</f>
        <v/>
      </c>
      <c r="AC1546" s="38">
        <f>IF($B1546="","",(IFERROR(INDEX(Setup!$G$33:$G$40,MATCH(C1546,Setup!$B$33:$B$40,0)),0)=1)*(COUNTIF(C1508:E1525,$B1546)+COUNTIF(C1508:E1525,$B1546&amp;" ~*")&gt;0)+(IFERROR(INDEX(Setup!$G$33:$G$40,MATCH(G1546,Setup!$B$33:$B$40,0)),0)=1)*(COUNTIF(G1508:I1525,$B1546)+COUNTIF(G1508:I1525,$B1546&amp;" ~*")&gt;0)+(IFERROR(INDEX(Setup!$G$33:$G$40,MATCH(K1546,Setup!$B$33:$B$40,0)),0)=1)*(COUNTIF(K1508:M1525,$B1546)+COUNTIF(K1508:M1525,$B1546&amp;" ~*")&gt;0)+(IFERROR(INDEX(Setup!$G$33:$G$40,MATCH(O1546,Setup!$B$33:$B$40,0)),0)=1)*(COUNTIF(O1508:Q1525,$B1546)+COUNTIF(O1508:Q1525,$B1546&amp;" ~*")&gt;0)+(IFERROR(INDEX(Setup!$G$33:$G$40,MATCH(S1546,Setup!$B$33:$B$40,0)),0)=1)*(COUNTIF(S1508:U1525,$B1546)+COUNTIF(S1508:U1525,$B1546&amp;" ~*")&gt;0)+(IFERROR(INDEX(Setup!$G$33:$G$40,MATCH(W1546,Setup!$B$33:$B$40,0)),0)=1)*(COUNTIF(W1508:W1525,$B1546)+COUNTIF(W1508:W1525,$B1546&amp;" ~*")&gt;0)+(IFERROR(INDEX(Setup!$G$33:$G$40,MATCH(Y1546,Setup!$B$33:$B$40,0)),0)=1)*(COUNTIF(Y1508:Y1525,$B1546)+COUNTIF(Y1508:Y1525,$B1546&amp;" ~*")&gt;0))</f>
        <v/>
      </c>
    </row>
    <row r="1547" ht="15" customHeight="1">
      <c r="A1547" t="n">
        <v>31</v>
      </c>
      <c r="B1547" s="35">
        <f>IF(Setup!$B$26="","",Setup!$B$26)</f>
        <v/>
      </c>
      <c r="C1547" s="98" t="n"/>
      <c r="D1547" s="99" t="n"/>
      <c r="E1547" s="99" t="n"/>
      <c r="F1547" s="100" t="n"/>
      <c r="G1547" s="98" t="n"/>
      <c r="H1547" s="99" t="n"/>
      <c r="I1547" s="99" t="n"/>
      <c r="J1547" s="100" t="n"/>
      <c r="K1547" s="98" t="n"/>
      <c r="L1547" s="99" t="n"/>
      <c r="M1547" s="99" t="n"/>
      <c r="N1547" s="100" t="n"/>
      <c r="O1547" s="98" t="n"/>
      <c r="P1547" s="99" t="n"/>
      <c r="Q1547" s="99" t="n"/>
      <c r="R1547" s="100" t="n"/>
      <c r="S1547" s="98" t="n"/>
      <c r="T1547" s="99" t="n"/>
      <c r="U1547" s="99" t="n"/>
      <c r="V1547" s="100" t="n"/>
      <c r="W1547" s="98" t="n"/>
      <c r="X1547" s="100" t="n"/>
      <c r="Y1547" s="98" t="n"/>
      <c r="Z1547" s="100" t="n"/>
      <c r="AB1547" s="101">
        <f>IF($B1547="","",(COUNTIF(C1508:E1525,$B1547)+COUNTIF(C1508:E1525,$B1547&amp;" ~*")&gt;0)+(COUNTIF(G1508:I1525,$B1547)+COUNTIF(G1508:I1525,$B1547&amp;" ~*")&gt;0)+(COUNTIF(K1508:M1525,$B1547)+COUNTIF(K1508:M1525,$B1547&amp;" ~*")&gt;0)+(COUNTIF(O1508:Q1525,$B1547)+COUNTIF(O1508:Q1525,$B1547&amp;" ~*")&gt;0)+(COUNTIF(S1508:U1525,$B1547)+COUNTIF(S1508:U1525,$B1547&amp;" ~*")&gt;0)+(COUNTIF(W1508:W1525,$B1547)+COUNTIF(W1508:W1525,$B1547&amp;" ~*")&gt;0)+(COUNTIF(Y1508:Y1525,$B1547)+COUNTIF(Y1508:Y1525,$B1547&amp;" ~*")&gt;0))</f>
        <v/>
      </c>
      <c r="AC1547" s="36">
        <f>IF($B1547="","",(IFERROR(INDEX(Setup!$G$33:$G$40,MATCH(C1547,Setup!$B$33:$B$40,0)),0)=1)*(COUNTIF(C1508:E1525,$B1547)+COUNTIF(C1508:E1525,$B1547&amp;" ~*")&gt;0)+(IFERROR(INDEX(Setup!$G$33:$G$40,MATCH(G1547,Setup!$B$33:$B$40,0)),0)=1)*(COUNTIF(G1508:I1525,$B1547)+COUNTIF(G1508:I1525,$B1547&amp;" ~*")&gt;0)+(IFERROR(INDEX(Setup!$G$33:$G$40,MATCH(K1547,Setup!$B$33:$B$40,0)),0)=1)*(COUNTIF(K1508:M1525,$B1547)+COUNTIF(K1508:M1525,$B1547&amp;" ~*")&gt;0)+(IFERROR(INDEX(Setup!$G$33:$G$40,MATCH(O1547,Setup!$B$33:$B$40,0)),0)=1)*(COUNTIF(O1508:Q1525,$B1547)+COUNTIF(O1508:Q1525,$B1547&amp;" ~*")&gt;0)+(IFERROR(INDEX(Setup!$G$33:$G$40,MATCH(S1547,Setup!$B$33:$B$40,0)),0)=1)*(COUNTIF(S1508:U1525,$B1547)+COUNTIF(S1508:U1525,$B1547&amp;" ~*")&gt;0)+(IFERROR(INDEX(Setup!$G$33:$G$40,MATCH(W1547,Setup!$B$33:$B$40,0)),0)=1)*(COUNTIF(W1508:W1525,$B1547)+COUNTIF(W1508:W1525,$B1547&amp;" ~*")&gt;0)+(IFERROR(INDEX(Setup!$G$33:$G$40,MATCH(Y1547,Setup!$B$33:$B$40,0)),0)=1)*(COUNTIF(Y1508:Y1525,$B1547)+COUNTIF(Y1508:Y1525,$B1547&amp;" ~*")&gt;0))</f>
        <v/>
      </c>
    </row>
    <row r="1548" ht="15" customHeight="1">
      <c r="A1548" t="n">
        <v>31</v>
      </c>
      <c r="B1548" s="37">
        <f>IF(Setup!$B$27="","",Setup!$B$27)</f>
        <v/>
      </c>
      <c r="C1548" s="102" t="n"/>
      <c r="D1548" s="103" t="n"/>
      <c r="E1548" s="103" t="n"/>
      <c r="F1548" s="104" t="n"/>
      <c r="G1548" s="102" t="n"/>
      <c r="H1548" s="103" t="n"/>
      <c r="I1548" s="103" t="n"/>
      <c r="J1548" s="104" t="n"/>
      <c r="K1548" s="102" t="n"/>
      <c r="L1548" s="103" t="n"/>
      <c r="M1548" s="103" t="n"/>
      <c r="N1548" s="104" t="n"/>
      <c r="O1548" s="102" t="n"/>
      <c r="P1548" s="103" t="n"/>
      <c r="Q1548" s="103" t="n"/>
      <c r="R1548" s="104" t="n"/>
      <c r="S1548" s="102" t="n"/>
      <c r="T1548" s="103" t="n"/>
      <c r="U1548" s="103" t="n"/>
      <c r="V1548" s="104" t="n"/>
      <c r="W1548" s="102" t="n"/>
      <c r="X1548" s="104" t="n"/>
      <c r="Y1548" s="102" t="n"/>
      <c r="Z1548" s="104" t="n"/>
      <c r="AB1548" s="105">
        <f>IF($B1548="","",(COUNTIF(C1508:E1525,$B1548)+COUNTIF(C1508:E1525,$B1548&amp;" ~*")&gt;0)+(COUNTIF(G1508:I1525,$B1548)+COUNTIF(G1508:I1525,$B1548&amp;" ~*")&gt;0)+(COUNTIF(K1508:M1525,$B1548)+COUNTIF(K1508:M1525,$B1548&amp;" ~*")&gt;0)+(COUNTIF(O1508:Q1525,$B1548)+COUNTIF(O1508:Q1525,$B1548&amp;" ~*")&gt;0)+(COUNTIF(S1508:U1525,$B1548)+COUNTIF(S1508:U1525,$B1548&amp;" ~*")&gt;0)+(COUNTIF(W1508:W1525,$B1548)+COUNTIF(W1508:W1525,$B1548&amp;" ~*")&gt;0)+(COUNTIF(Y1508:Y1525,$B1548)+COUNTIF(Y1508:Y1525,$B1548&amp;" ~*")&gt;0))</f>
        <v/>
      </c>
      <c r="AC1548" s="38">
        <f>IF($B1548="","",(IFERROR(INDEX(Setup!$G$33:$G$40,MATCH(C1548,Setup!$B$33:$B$40,0)),0)=1)*(COUNTIF(C1508:E1525,$B1548)+COUNTIF(C1508:E1525,$B1548&amp;" ~*")&gt;0)+(IFERROR(INDEX(Setup!$G$33:$G$40,MATCH(G1548,Setup!$B$33:$B$40,0)),0)=1)*(COUNTIF(G1508:I1525,$B1548)+COUNTIF(G1508:I1525,$B1548&amp;" ~*")&gt;0)+(IFERROR(INDEX(Setup!$G$33:$G$40,MATCH(K1548,Setup!$B$33:$B$40,0)),0)=1)*(COUNTIF(K1508:M1525,$B1548)+COUNTIF(K1508:M1525,$B1548&amp;" ~*")&gt;0)+(IFERROR(INDEX(Setup!$G$33:$G$40,MATCH(O1548,Setup!$B$33:$B$40,0)),0)=1)*(COUNTIF(O1508:Q1525,$B1548)+COUNTIF(O1508:Q1525,$B1548&amp;" ~*")&gt;0)+(IFERROR(INDEX(Setup!$G$33:$G$40,MATCH(S1548,Setup!$B$33:$B$40,0)),0)=1)*(COUNTIF(S1508:U1525,$B1548)+COUNTIF(S1508:U1525,$B1548&amp;" ~*")&gt;0)+(IFERROR(INDEX(Setup!$G$33:$G$40,MATCH(W1548,Setup!$B$33:$B$40,0)),0)=1)*(COUNTIF(W1508:W1525,$B1548)+COUNTIF(W1508:W1525,$B1548&amp;" ~*")&gt;0)+(IFERROR(INDEX(Setup!$G$33:$G$40,MATCH(Y1548,Setup!$B$33:$B$40,0)),0)=1)*(COUNTIF(Y1508:Y1525,$B1548)+COUNTIF(Y1508:Y1525,$B1548&amp;" ~*")&gt;0))</f>
        <v/>
      </c>
    </row>
    <row r="1549" ht="15" customHeight="1">
      <c r="A1549" t="n">
        <v>31</v>
      </c>
      <c r="B1549" s="35">
        <f>IF(Setup!$B$28="","",Setup!$B$28)</f>
        <v/>
      </c>
      <c r="C1549" s="98" t="n"/>
      <c r="D1549" s="99" t="n"/>
      <c r="E1549" s="99" t="n"/>
      <c r="F1549" s="100" t="n"/>
      <c r="G1549" s="98" t="n"/>
      <c r="H1549" s="99" t="n"/>
      <c r="I1549" s="99" t="n"/>
      <c r="J1549" s="100" t="n"/>
      <c r="K1549" s="98" t="n"/>
      <c r="L1549" s="99" t="n"/>
      <c r="M1549" s="99" t="n"/>
      <c r="N1549" s="100" t="n"/>
      <c r="O1549" s="98" t="n"/>
      <c r="P1549" s="99" t="n"/>
      <c r="Q1549" s="99" t="n"/>
      <c r="R1549" s="100" t="n"/>
      <c r="S1549" s="98" t="n"/>
      <c r="T1549" s="99" t="n"/>
      <c r="U1549" s="99" t="n"/>
      <c r="V1549" s="100" t="n"/>
      <c r="W1549" s="98" t="n"/>
      <c r="X1549" s="100" t="n"/>
      <c r="Y1549" s="98" t="n"/>
      <c r="Z1549" s="100" t="n"/>
      <c r="AB1549" s="101">
        <f>IF($B1549="","",(COUNTIF(C1508:E1525,$B1549)+COUNTIF(C1508:E1525,$B1549&amp;" ~*")&gt;0)+(COUNTIF(G1508:I1525,$B1549)+COUNTIF(G1508:I1525,$B1549&amp;" ~*")&gt;0)+(COUNTIF(K1508:M1525,$B1549)+COUNTIF(K1508:M1525,$B1549&amp;" ~*")&gt;0)+(COUNTIF(O1508:Q1525,$B1549)+COUNTIF(O1508:Q1525,$B1549&amp;" ~*")&gt;0)+(COUNTIF(S1508:U1525,$B1549)+COUNTIF(S1508:U1525,$B1549&amp;" ~*")&gt;0)+(COUNTIF(W1508:W1525,$B1549)+COUNTIF(W1508:W1525,$B1549&amp;" ~*")&gt;0)+(COUNTIF(Y1508:Y1525,$B1549)+COUNTIF(Y1508:Y1525,$B1549&amp;" ~*")&gt;0))</f>
        <v/>
      </c>
      <c r="AC1549" s="36">
        <f>IF($B1549="","",(IFERROR(INDEX(Setup!$G$33:$G$40,MATCH(C1549,Setup!$B$33:$B$40,0)),0)=1)*(COUNTIF(C1508:E1525,$B1549)+COUNTIF(C1508:E1525,$B1549&amp;" ~*")&gt;0)+(IFERROR(INDEX(Setup!$G$33:$G$40,MATCH(G1549,Setup!$B$33:$B$40,0)),0)=1)*(COUNTIF(G1508:I1525,$B1549)+COUNTIF(G1508:I1525,$B1549&amp;" ~*")&gt;0)+(IFERROR(INDEX(Setup!$G$33:$G$40,MATCH(K1549,Setup!$B$33:$B$40,0)),0)=1)*(COUNTIF(K1508:M1525,$B1549)+COUNTIF(K1508:M1525,$B1549&amp;" ~*")&gt;0)+(IFERROR(INDEX(Setup!$G$33:$G$40,MATCH(O1549,Setup!$B$33:$B$40,0)),0)=1)*(COUNTIF(O1508:Q1525,$B1549)+COUNTIF(O1508:Q1525,$B1549&amp;" ~*")&gt;0)+(IFERROR(INDEX(Setup!$G$33:$G$40,MATCH(S1549,Setup!$B$33:$B$40,0)),0)=1)*(COUNTIF(S1508:U1525,$B1549)+COUNTIF(S1508:U1525,$B1549&amp;" ~*")&gt;0)+(IFERROR(INDEX(Setup!$G$33:$G$40,MATCH(W1549,Setup!$B$33:$B$40,0)),0)=1)*(COUNTIF(W1508:W1525,$B1549)+COUNTIF(W1508:W1525,$B1549&amp;" ~*")&gt;0)+(IFERROR(INDEX(Setup!$G$33:$G$40,MATCH(Y1549,Setup!$B$33:$B$40,0)),0)=1)*(COUNTIF(Y1508:Y1525,$B1549)+COUNTIF(Y1508:Y1525,$B1549&amp;" ~*")&gt;0))</f>
        <v/>
      </c>
    </row>
    <row r="1550" ht="15" customHeight="1">
      <c r="A1550" t="n">
        <v>31</v>
      </c>
      <c r="B1550" s="37">
        <f>IF(Setup!$B$29="","",Setup!$B$29)</f>
        <v/>
      </c>
      <c r="C1550" s="102" t="n"/>
      <c r="D1550" s="103" t="n"/>
      <c r="E1550" s="103" t="n"/>
      <c r="F1550" s="104" t="n"/>
      <c r="G1550" s="102" t="n"/>
      <c r="H1550" s="103" t="n"/>
      <c r="I1550" s="103" t="n"/>
      <c r="J1550" s="104" t="n"/>
      <c r="K1550" s="102" t="n"/>
      <c r="L1550" s="103" t="n"/>
      <c r="M1550" s="103" t="n"/>
      <c r="N1550" s="104" t="n"/>
      <c r="O1550" s="102" t="n"/>
      <c r="P1550" s="103" t="n"/>
      <c r="Q1550" s="103" t="n"/>
      <c r="R1550" s="104" t="n"/>
      <c r="S1550" s="102" t="n"/>
      <c r="T1550" s="103" t="n"/>
      <c r="U1550" s="103" t="n"/>
      <c r="V1550" s="104" t="n"/>
      <c r="W1550" s="102" t="n"/>
      <c r="X1550" s="104" t="n"/>
      <c r="Y1550" s="102" t="n"/>
      <c r="Z1550" s="104" t="n"/>
      <c r="AB1550" s="105">
        <f>IF($B1550="","",(COUNTIF(C1508:E1525,$B1550)+COUNTIF(C1508:E1525,$B1550&amp;" ~*")&gt;0)+(COUNTIF(G1508:I1525,$B1550)+COUNTIF(G1508:I1525,$B1550&amp;" ~*")&gt;0)+(COUNTIF(K1508:M1525,$B1550)+COUNTIF(K1508:M1525,$B1550&amp;" ~*")&gt;0)+(COUNTIF(O1508:Q1525,$B1550)+COUNTIF(O1508:Q1525,$B1550&amp;" ~*")&gt;0)+(COUNTIF(S1508:U1525,$B1550)+COUNTIF(S1508:U1525,$B1550&amp;" ~*")&gt;0)+(COUNTIF(W1508:W1525,$B1550)+COUNTIF(W1508:W1525,$B1550&amp;" ~*")&gt;0)+(COUNTIF(Y1508:Y1525,$B1550)+COUNTIF(Y1508:Y1525,$B1550&amp;" ~*")&gt;0))</f>
        <v/>
      </c>
      <c r="AC1550" s="38">
        <f>IF($B1550="","",(IFERROR(INDEX(Setup!$G$33:$G$40,MATCH(C1550,Setup!$B$33:$B$40,0)),0)=1)*(COUNTIF(C1508:E1525,$B1550)+COUNTIF(C1508:E1525,$B1550&amp;" ~*")&gt;0)+(IFERROR(INDEX(Setup!$G$33:$G$40,MATCH(G1550,Setup!$B$33:$B$40,0)),0)=1)*(COUNTIF(G1508:I1525,$B1550)+COUNTIF(G1508:I1525,$B1550&amp;" ~*")&gt;0)+(IFERROR(INDEX(Setup!$G$33:$G$40,MATCH(K1550,Setup!$B$33:$B$40,0)),0)=1)*(COUNTIF(K1508:M1525,$B1550)+COUNTIF(K1508:M1525,$B1550&amp;" ~*")&gt;0)+(IFERROR(INDEX(Setup!$G$33:$G$40,MATCH(O1550,Setup!$B$33:$B$40,0)),0)=1)*(COUNTIF(O1508:Q1525,$B1550)+COUNTIF(O1508:Q1525,$B1550&amp;" ~*")&gt;0)+(IFERROR(INDEX(Setup!$G$33:$G$40,MATCH(S1550,Setup!$B$33:$B$40,0)),0)=1)*(COUNTIF(S1508:U1525,$B1550)+COUNTIF(S1508:U1525,$B1550&amp;" ~*")&gt;0)+(IFERROR(INDEX(Setup!$G$33:$G$40,MATCH(W1550,Setup!$B$33:$B$40,0)),0)=1)*(COUNTIF(W1508:W1525,$B1550)+COUNTIF(W1508:W1525,$B1550&amp;" ~*")&gt;0)+(IFERROR(INDEX(Setup!$G$33:$G$40,MATCH(Y1550,Setup!$B$33:$B$40,0)),0)=1)*(COUNTIF(Y1508:Y1525,$B1550)+COUNTIF(Y1508:Y1525,$B1550&amp;" ~*")&gt;0))</f>
        <v/>
      </c>
    </row>
    <row r="1551" ht="16" customHeight="1">
      <c r="A1551" t="n">
        <v>31</v>
      </c>
      <c r="B1551" s="106" t="inlineStr">
        <is>
          <t>Available people</t>
        </is>
      </c>
      <c r="C1551" s="107">
        <f>COUNTIFS(Setup!$E$6:$E$29,"Y",Setup!$B$6:$B$29,"?*")-SUMPRODUCT(COUNTIF(C1527:C1550,Setup!$F$33:$F$40))</f>
        <v/>
      </c>
      <c r="D1551" s="107" t="n"/>
      <c r="E1551" s="107" t="n"/>
      <c r="F1551" s="107" t="n"/>
      <c r="G1551" s="107">
        <f>COUNTIFS(Setup!$E$6:$E$29,"Y",Setup!$B$6:$B$29,"?*")-SUMPRODUCT(COUNTIF(G1527:G1550,Setup!$F$33:$F$40))</f>
        <v/>
      </c>
      <c r="H1551" s="107" t="n"/>
      <c r="I1551" s="107" t="n"/>
      <c r="J1551" s="107" t="n"/>
      <c r="K1551" s="107">
        <f>COUNTIFS(Setup!$E$6:$E$29,"Y",Setup!$B$6:$B$29,"?*")-SUMPRODUCT(COUNTIF(K1527:K1550,Setup!$F$33:$F$40))</f>
        <v/>
      </c>
      <c r="L1551" s="107" t="n"/>
      <c r="M1551" s="107" t="n"/>
      <c r="N1551" s="107" t="n"/>
      <c r="O1551" s="107">
        <f>COUNTIFS(Setup!$E$6:$E$29,"Y",Setup!$B$6:$B$29,"?*")-SUMPRODUCT(COUNTIF(O1527:O1550,Setup!$F$33:$F$40))</f>
        <v/>
      </c>
      <c r="P1551" s="107" t="n"/>
      <c r="Q1551" s="107" t="n"/>
      <c r="R1551" s="107" t="n"/>
      <c r="S1551" s="107">
        <f>COUNTIFS(Setup!$E$6:$E$29,"Y",Setup!$B$6:$B$29,"?*")-SUMPRODUCT(COUNTIF(S1527:S1550,Setup!$F$33:$F$40))</f>
        <v/>
      </c>
      <c r="T1551" s="107" t="n"/>
      <c r="U1551" s="107" t="n"/>
      <c r="V1551" s="107" t="n"/>
      <c r="W1551" s="107">
        <f>COUNTIFS(Setup!$E$6:$E$29,"Y",Setup!$B$6:$B$29,"?*")-SUMPRODUCT(COUNTIF(W1527:W1550,Setup!$F$33:$F$40))</f>
        <v/>
      </c>
      <c r="X1551" s="107" t="n"/>
      <c r="Y1551" s="107">
        <f>COUNTIFS(Setup!$E$6:$E$29,"Y",Setup!$B$6:$B$29,"?*")-SUMPRODUCT(COUNTIF(Y1527:Y1550,Setup!$F$33:$F$40))</f>
        <v/>
      </c>
      <c r="Z1551" s="107" t="n"/>
      <c r="AB1551" s="108">
        <f>SUM(AB1527:AB1550)</f>
        <v/>
      </c>
      <c r="AC1551" s="109">
        <f>SUM(AC1527:AC1550)</f>
        <v/>
      </c>
    </row>
    <row r="1552" ht="30" customHeight="1">
      <c r="A1552" t="n">
        <v>31</v>
      </c>
      <c r="B1552" s="110" t="inlineStr">
        <is>
          <t>Week notes</t>
        </is>
      </c>
      <c r="C1552" s="111" t="n"/>
      <c r="D1552" s="112" t="n"/>
      <c r="E1552" s="112" t="n"/>
      <c r="F1552" s="112" t="n"/>
      <c r="G1552" s="112" t="n"/>
      <c r="H1552" s="112" t="n"/>
      <c r="I1552" s="112" t="n"/>
      <c r="J1552" s="112" t="n"/>
      <c r="K1552" s="112" t="n"/>
      <c r="L1552" s="112" t="n"/>
      <c r="M1552" s="112" t="n"/>
      <c r="N1552" s="112" t="n"/>
      <c r="O1552" s="112" t="n"/>
      <c r="P1552" s="112" t="n"/>
      <c r="Q1552" s="112" t="n"/>
      <c r="R1552" s="112" t="n"/>
      <c r="S1552" s="112" t="n"/>
      <c r="T1552" s="112" t="n"/>
      <c r="U1552" s="112" t="n"/>
      <c r="V1552" s="112" t="n"/>
      <c r="W1552" s="112" t="n"/>
      <c r="X1552" s="112" t="n"/>
      <c r="Y1552" s="112" t="n"/>
      <c r="Z1552" s="113" t="n"/>
    </row>
    <row r="1553" ht="8" customHeight="1">
      <c r="A1553" t="n">
        <v>31</v>
      </c>
    </row>
    <row r="1554" ht="8" customHeight="1">
      <c r="A1554" t="n">
        <v>31</v>
      </c>
    </row>
    <row r="1555" ht="24" customHeight="1">
      <c r="A1555" t="n">
        <v>32</v>
      </c>
      <c r="B1555" s="73">
        <f>"WEEK 32     "&amp;TEXT(C1556,"ddd d mmm")&amp;"  –  "&amp;TEXT(C1556+6,"ddd d mmm yyyy")</f>
        <v/>
      </c>
      <c r="S1555" s="74">
        <f>IF(TODAY()&lt;C1556,"FUTURE",IF(TODAY()&gt;C1556+6,"PAST","THIS WEEK"))</f>
        <v/>
      </c>
      <c r="W1555" s="75">
        <f>IF(AND(Engine!$B$8=$AC$3,Engine!$B$9=$A1555),"◀ ACTIVE WEEK","")</f>
        <v/>
      </c>
      <c r="AA1555" s="76" t="n"/>
      <c r="AB1555" s="77" t="inlineStr">
        <is>
          <t>◀ Prev</t>
        </is>
      </c>
      <c r="AC1555" s="77" t="inlineStr">
        <is>
          <t>Next ▶</t>
        </is>
      </c>
    </row>
    <row r="1556" ht="18" customHeight="1">
      <c r="A1556" t="n">
        <v>32</v>
      </c>
      <c r="B1556" s="78" t="inlineStr">
        <is>
          <t>DUTY</t>
        </is>
      </c>
      <c r="C1556" s="79">
        <f>$AC$2+7*($A1556-1)</f>
        <v/>
      </c>
      <c r="D1556" s="80" t="n"/>
      <c r="E1556" s="80" t="n"/>
      <c r="F1556" s="81" t="n"/>
      <c r="G1556" s="79">
        <f>C1556+1</f>
        <v/>
      </c>
      <c r="H1556" s="80" t="n"/>
      <c r="I1556" s="80" t="n"/>
      <c r="J1556" s="81" t="n"/>
      <c r="K1556" s="79">
        <f>C1556+2</f>
        <v/>
      </c>
      <c r="L1556" s="80" t="n"/>
      <c r="M1556" s="80" t="n"/>
      <c r="N1556" s="81" t="n"/>
      <c r="O1556" s="79">
        <f>C1556+3</f>
        <v/>
      </c>
      <c r="P1556" s="80" t="n"/>
      <c r="Q1556" s="80" t="n"/>
      <c r="R1556" s="81" t="n"/>
      <c r="S1556" s="79">
        <f>C1556+4</f>
        <v/>
      </c>
      <c r="T1556" s="80" t="n"/>
      <c r="U1556" s="80" t="n"/>
      <c r="V1556" s="81" t="n"/>
      <c r="W1556" s="82">
        <f>C1556+5</f>
        <v/>
      </c>
      <c r="X1556" s="83" t="n"/>
      <c r="Y1556" s="82">
        <f>C1556+6</f>
        <v/>
      </c>
      <c r="Z1556" s="83" t="n"/>
      <c r="AB1556" s="72" t="inlineStr">
        <is>
          <t>Gaps</t>
        </is>
      </c>
      <c r="AC1556" s="72" t="inlineStr">
        <is>
          <t>Cover</t>
        </is>
      </c>
    </row>
    <row r="1557" ht="14" customHeight="1">
      <c r="A1557" t="n">
        <v>32</v>
      </c>
      <c r="B1557" s="84" t="inlineStr">
        <is>
          <t>(from Setup)</t>
        </is>
      </c>
      <c r="C1557" s="85" t="inlineStr">
        <is>
          <t>1</t>
        </is>
      </c>
      <c r="D1557" s="85" t="inlineStr">
        <is>
          <t>2</t>
        </is>
      </c>
      <c r="E1557" s="85" t="inlineStr">
        <is>
          <t>3</t>
        </is>
      </c>
      <c r="F1557" s="85" t="inlineStr">
        <is>
          <t>Notes</t>
        </is>
      </c>
      <c r="G1557" s="85" t="inlineStr">
        <is>
          <t>1</t>
        </is>
      </c>
      <c r="H1557" s="85" t="inlineStr">
        <is>
          <t>2</t>
        </is>
      </c>
      <c r="I1557" s="85" t="inlineStr">
        <is>
          <t>3</t>
        </is>
      </c>
      <c r="J1557" s="85" t="inlineStr">
        <is>
          <t>Notes</t>
        </is>
      </c>
      <c r="K1557" s="85" t="inlineStr">
        <is>
          <t>1</t>
        </is>
      </c>
      <c r="L1557" s="85" t="inlineStr">
        <is>
          <t>2</t>
        </is>
      </c>
      <c r="M1557" s="85" t="inlineStr">
        <is>
          <t>3</t>
        </is>
      </c>
      <c r="N1557" s="85" t="inlineStr">
        <is>
          <t>Notes</t>
        </is>
      </c>
      <c r="O1557" s="85" t="inlineStr">
        <is>
          <t>1</t>
        </is>
      </c>
      <c r="P1557" s="85" t="inlineStr">
        <is>
          <t>2</t>
        </is>
      </c>
      <c r="Q1557" s="85" t="inlineStr">
        <is>
          <t>3</t>
        </is>
      </c>
      <c r="R1557" s="85" t="inlineStr">
        <is>
          <t>Notes</t>
        </is>
      </c>
      <c r="S1557" s="85" t="inlineStr">
        <is>
          <t>1</t>
        </is>
      </c>
      <c r="T1557" s="85" t="inlineStr">
        <is>
          <t>2</t>
        </is>
      </c>
      <c r="U1557" s="85" t="inlineStr">
        <is>
          <t>3</t>
        </is>
      </c>
      <c r="V1557" s="85" t="inlineStr">
        <is>
          <t>Notes</t>
        </is>
      </c>
      <c r="W1557" s="85" t="inlineStr">
        <is>
          <t>Cover</t>
        </is>
      </c>
      <c r="X1557" s="85" t="inlineStr">
        <is>
          <t>Notes</t>
        </is>
      </c>
      <c r="Y1557" s="85" t="inlineStr">
        <is>
          <t>Cover</t>
        </is>
      </c>
      <c r="Z1557" s="85" t="inlineStr">
        <is>
          <t>Notes</t>
        </is>
      </c>
      <c r="AB1557" s="86" t="inlineStr">
        <is>
          <t>weekdays short</t>
        </is>
      </c>
      <c r="AC1557" s="87" t="inlineStr"/>
    </row>
    <row r="1558" ht="17" customHeight="1">
      <c r="A1558" t="n">
        <v>32</v>
      </c>
      <c r="B1558" s="24">
        <f>IF(Setup!$K$6="","",Setup!$K$6)</f>
        <v/>
      </c>
      <c r="C1558" s="88" t="n"/>
      <c r="D1558" s="88" t="n"/>
      <c r="E1558" s="88" t="n"/>
      <c r="F1558" s="89" t="n"/>
      <c r="G1558" s="88" t="n"/>
      <c r="H1558" s="88" t="n"/>
      <c r="I1558" s="88" t="n"/>
      <c r="J1558" s="89" t="n"/>
      <c r="K1558" s="88" t="n"/>
      <c r="L1558" s="88" t="n"/>
      <c r="M1558" s="88" t="n"/>
      <c r="N1558" s="89" t="n"/>
      <c r="O1558" s="88" t="n"/>
      <c r="P1558" s="88" t="n"/>
      <c r="Q1558" s="88" t="n"/>
      <c r="R1558" s="89" t="n"/>
      <c r="S1558" s="88" t="n"/>
      <c r="T1558" s="88" t="n"/>
      <c r="U1558" s="88" t="n"/>
      <c r="V1558" s="89" t="n"/>
      <c r="W1558" s="88" t="n"/>
      <c r="X1558" s="89" t="n"/>
      <c r="Y1558" s="88" t="n"/>
      <c r="Z1558" s="89" t="n"/>
      <c r="AB1558" s="25">
        <f>IF($B1558="","",(COUNTIF(C1558:E1558,"?*")&lt;N(INDEX(Setup!$L$6:$L$23,1)))+(COUNTIF(G1558:I1558,"?*")&lt;N(INDEX(Setup!$L$6:$L$23,1)))+(COUNTIF(K1558:M1558,"?*")&lt;N(INDEX(Setup!$L$6:$L$23,1)))+(COUNTIF(O1558:Q1558,"?*")&lt;N(INDEX(Setup!$L$6:$L$23,1)))+(COUNTIF(S1558:U1558,"?*")&lt;N(INDEX(Setup!$L$6:$L$23,1)))+((W1558="")*(INDEX(Setup!$M$6:$M$23,1)="Y"))+((Y1558="")*(INDEX(Setup!$M$6:$M$23,1)="Y")))</f>
        <v/>
      </c>
      <c r="AC1558" s="90">
        <f>IF($B1558="","",IF(AB1558=0,"✓ covered","⚠ "&amp;AB1558&amp;IF(AB1558=1," gap"," gaps")))</f>
        <v/>
      </c>
    </row>
    <row r="1559" ht="17" customHeight="1">
      <c r="A1559" t="n">
        <v>32</v>
      </c>
      <c r="B1559" s="29">
        <f>IF(Setup!$K$7="","",Setup!$K$7)</f>
        <v/>
      </c>
      <c r="C1559" s="88" t="n"/>
      <c r="D1559" s="88" t="n"/>
      <c r="E1559" s="88" t="n"/>
      <c r="F1559" s="89" t="n"/>
      <c r="G1559" s="88" t="n"/>
      <c r="H1559" s="88" t="n"/>
      <c r="I1559" s="88" t="n"/>
      <c r="J1559" s="89" t="n"/>
      <c r="K1559" s="88" t="n"/>
      <c r="L1559" s="88" t="n"/>
      <c r="M1559" s="88" t="n"/>
      <c r="N1559" s="89" t="n"/>
      <c r="O1559" s="88" t="n"/>
      <c r="P1559" s="88" t="n"/>
      <c r="Q1559" s="88" t="n"/>
      <c r="R1559" s="89" t="n"/>
      <c r="S1559" s="88" t="n"/>
      <c r="T1559" s="88" t="n"/>
      <c r="U1559" s="88" t="n"/>
      <c r="V1559" s="89" t="n"/>
      <c r="W1559" s="88" t="n"/>
      <c r="X1559" s="89" t="n"/>
      <c r="Y1559" s="88" t="n"/>
      <c r="Z1559" s="89" t="n"/>
      <c r="AB1559" s="30">
        <f>IF($B1559="","",(COUNTIF(C1559:E1559,"?*")&lt;N(INDEX(Setup!$L$6:$L$23,2)))+(COUNTIF(G1559:I1559,"?*")&lt;N(INDEX(Setup!$L$6:$L$23,2)))+(COUNTIF(K1559:M1559,"?*")&lt;N(INDEX(Setup!$L$6:$L$23,2)))+(COUNTIF(O1559:Q1559,"?*")&lt;N(INDEX(Setup!$L$6:$L$23,2)))+(COUNTIF(S1559:U1559,"?*")&lt;N(INDEX(Setup!$L$6:$L$23,2)))+((W1559="")*(INDEX(Setup!$M$6:$M$23,2)="Y"))+((Y1559="")*(INDEX(Setup!$M$6:$M$23,2)="Y")))</f>
        <v/>
      </c>
      <c r="AC1559" s="91">
        <f>IF($B1559="","",IF(AB1559=0,"✓ covered","⚠ "&amp;AB1559&amp;IF(AB1559=1," gap"," gaps")))</f>
        <v/>
      </c>
    </row>
    <row r="1560" ht="17" customHeight="1">
      <c r="A1560" t="n">
        <v>32</v>
      </c>
      <c r="B1560" s="24">
        <f>IF(Setup!$K$8="","",Setup!$K$8)</f>
        <v/>
      </c>
      <c r="C1560" s="88" t="n"/>
      <c r="D1560" s="88" t="n"/>
      <c r="E1560" s="88" t="n"/>
      <c r="F1560" s="89" t="n"/>
      <c r="G1560" s="88" t="n"/>
      <c r="H1560" s="88" t="n"/>
      <c r="I1560" s="88" t="n"/>
      <c r="J1560" s="89" t="n"/>
      <c r="K1560" s="88" t="n"/>
      <c r="L1560" s="88" t="n"/>
      <c r="M1560" s="88" t="n"/>
      <c r="N1560" s="89" t="n"/>
      <c r="O1560" s="88" t="n"/>
      <c r="P1560" s="88" t="n"/>
      <c r="Q1560" s="88" t="n"/>
      <c r="R1560" s="89" t="n"/>
      <c r="S1560" s="88" t="n"/>
      <c r="T1560" s="88" t="n"/>
      <c r="U1560" s="88" t="n"/>
      <c r="V1560" s="89" t="n"/>
      <c r="W1560" s="88" t="n"/>
      <c r="X1560" s="89" t="n"/>
      <c r="Y1560" s="88" t="n"/>
      <c r="Z1560" s="89" t="n"/>
      <c r="AB1560" s="25">
        <f>IF($B1560="","",(COUNTIF(C1560:E1560,"?*")&lt;N(INDEX(Setup!$L$6:$L$23,3)))+(COUNTIF(G1560:I1560,"?*")&lt;N(INDEX(Setup!$L$6:$L$23,3)))+(COUNTIF(K1560:M1560,"?*")&lt;N(INDEX(Setup!$L$6:$L$23,3)))+(COUNTIF(O1560:Q1560,"?*")&lt;N(INDEX(Setup!$L$6:$L$23,3)))+(COUNTIF(S1560:U1560,"?*")&lt;N(INDEX(Setup!$L$6:$L$23,3)))+((W1560="")*(INDEX(Setup!$M$6:$M$23,3)="Y"))+((Y1560="")*(INDEX(Setup!$M$6:$M$23,3)="Y")))</f>
        <v/>
      </c>
      <c r="AC1560" s="90">
        <f>IF($B1560="","",IF(AB1560=0,"✓ covered","⚠ "&amp;AB1560&amp;IF(AB1560=1," gap"," gaps")))</f>
        <v/>
      </c>
    </row>
    <row r="1561" ht="17" customHeight="1">
      <c r="A1561" t="n">
        <v>32</v>
      </c>
      <c r="B1561" s="29">
        <f>IF(Setup!$K$9="","",Setup!$K$9)</f>
        <v/>
      </c>
      <c r="C1561" s="88" t="n"/>
      <c r="D1561" s="88" t="n"/>
      <c r="E1561" s="88" t="n"/>
      <c r="F1561" s="89" t="n"/>
      <c r="G1561" s="88" t="n"/>
      <c r="H1561" s="88" t="n"/>
      <c r="I1561" s="88" t="n"/>
      <c r="J1561" s="89" t="n"/>
      <c r="K1561" s="88" t="n"/>
      <c r="L1561" s="88" t="n"/>
      <c r="M1561" s="88" t="n"/>
      <c r="N1561" s="89" t="n"/>
      <c r="O1561" s="88" t="n"/>
      <c r="P1561" s="88" t="n"/>
      <c r="Q1561" s="88" t="n"/>
      <c r="R1561" s="89" t="n"/>
      <c r="S1561" s="88" t="n"/>
      <c r="T1561" s="88" t="n"/>
      <c r="U1561" s="88" t="n"/>
      <c r="V1561" s="89" t="n"/>
      <c r="W1561" s="88" t="n"/>
      <c r="X1561" s="89" t="n"/>
      <c r="Y1561" s="88" t="n"/>
      <c r="Z1561" s="89" t="n"/>
      <c r="AB1561" s="30">
        <f>IF($B1561="","",(COUNTIF(C1561:E1561,"?*")&lt;N(INDEX(Setup!$L$6:$L$23,4)))+(COUNTIF(G1561:I1561,"?*")&lt;N(INDEX(Setup!$L$6:$L$23,4)))+(COUNTIF(K1561:M1561,"?*")&lt;N(INDEX(Setup!$L$6:$L$23,4)))+(COUNTIF(O1561:Q1561,"?*")&lt;N(INDEX(Setup!$L$6:$L$23,4)))+(COUNTIF(S1561:U1561,"?*")&lt;N(INDEX(Setup!$L$6:$L$23,4)))+((W1561="")*(INDEX(Setup!$M$6:$M$23,4)="Y"))+((Y1561="")*(INDEX(Setup!$M$6:$M$23,4)="Y")))</f>
        <v/>
      </c>
      <c r="AC1561" s="91">
        <f>IF($B1561="","",IF(AB1561=0,"✓ covered","⚠ "&amp;AB1561&amp;IF(AB1561=1," gap"," gaps")))</f>
        <v/>
      </c>
    </row>
    <row r="1562" ht="17" customHeight="1">
      <c r="A1562" t="n">
        <v>32</v>
      </c>
      <c r="B1562" s="24">
        <f>IF(Setup!$K$10="","",Setup!$K$10)</f>
        <v/>
      </c>
      <c r="C1562" s="88" t="n"/>
      <c r="D1562" s="88" t="n"/>
      <c r="E1562" s="88" t="n"/>
      <c r="F1562" s="89" t="n"/>
      <c r="G1562" s="88" t="n"/>
      <c r="H1562" s="88" t="n"/>
      <c r="I1562" s="88" t="n"/>
      <c r="J1562" s="89" t="n"/>
      <c r="K1562" s="88" t="n"/>
      <c r="L1562" s="88" t="n"/>
      <c r="M1562" s="88" t="n"/>
      <c r="N1562" s="89" t="n"/>
      <c r="O1562" s="88" t="n"/>
      <c r="P1562" s="88" t="n"/>
      <c r="Q1562" s="88" t="n"/>
      <c r="R1562" s="89" t="n"/>
      <c r="S1562" s="88" t="n"/>
      <c r="T1562" s="88" t="n"/>
      <c r="U1562" s="88" t="n"/>
      <c r="V1562" s="89" t="n"/>
      <c r="W1562" s="88" t="n"/>
      <c r="X1562" s="89" t="n"/>
      <c r="Y1562" s="88" t="n"/>
      <c r="Z1562" s="89" t="n"/>
      <c r="AB1562" s="25">
        <f>IF($B1562="","",(COUNTIF(C1562:E1562,"?*")&lt;N(INDEX(Setup!$L$6:$L$23,5)))+(COUNTIF(G1562:I1562,"?*")&lt;N(INDEX(Setup!$L$6:$L$23,5)))+(COUNTIF(K1562:M1562,"?*")&lt;N(INDEX(Setup!$L$6:$L$23,5)))+(COUNTIF(O1562:Q1562,"?*")&lt;N(INDEX(Setup!$L$6:$L$23,5)))+(COUNTIF(S1562:U1562,"?*")&lt;N(INDEX(Setup!$L$6:$L$23,5)))+((W1562="")*(INDEX(Setup!$M$6:$M$23,5)="Y"))+((Y1562="")*(INDEX(Setup!$M$6:$M$23,5)="Y")))</f>
        <v/>
      </c>
      <c r="AC1562" s="90">
        <f>IF($B1562="","",IF(AB1562=0,"✓ covered","⚠ "&amp;AB1562&amp;IF(AB1562=1," gap"," gaps")))</f>
        <v/>
      </c>
    </row>
    <row r="1563" ht="17" customHeight="1">
      <c r="A1563" t="n">
        <v>32</v>
      </c>
      <c r="B1563" s="29">
        <f>IF(Setup!$K$11="","",Setup!$K$11)</f>
        <v/>
      </c>
      <c r="C1563" s="88" t="n"/>
      <c r="D1563" s="88" t="n"/>
      <c r="E1563" s="88" t="n"/>
      <c r="F1563" s="89" t="n"/>
      <c r="G1563" s="88" t="n"/>
      <c r="H1563" s="88" t="n"/>
      <c r="I1563" s="88" t="n"/>
      <c r="J1563" s="89" t="n"/>
      <c r="K1563" s="88" t="n"/>
      <c r="L1563" s="88" t="n"/>
      <c r="M1563" s="88" t="n"/>
      <c r="N1563" s="89" t="n"/>
      <c r="O1563" s="88" t="n"/>
      <c r="P1563" s="88" t="n"/>
      <c r="Q1563" s="88" t="n"/>
      <c r="R1563" s="89" t="n"/>
      <c r="S1563" s="88" t="n"/>
      <c r="T1563" s="88" t="n"/>
      <c r="U1563" s="88" t="n"/>
      <c r="V1563" s="89" t="n"/>
      <c r="W1563" s="88" t="n"/>
      <c r="X1563" s="89" t="n"/>
      <c r="Y1563" s="88" t="n"/>
      <c r="Z1563" s="89" t="n"/>
      <c r="AB1563" s="30">
        <f>IF($B1563="","",(COUNTIF(C1563:E1563,"?*")&lt;N(INDEX(Setup!$L$6:$L$23,6)))+(COUNTIF(G1563:I1563,"?*")&lt;N(INDEX(Setup!$L$6:$L$23,6)))+(COUNTIF(K1563:M1563,"?*")&lt;N(INDEX(Setup!$L$6:$L$23,6)))+(COUNTIF(O1563:Q1563,"?*")&lt;N(INDEX(Setup!$L$6:$L$23,6)))+(COUNTIF(S1563:U1563,"?*")&lt;N(INDEX(Setup!$L$6:$L$23,6)))+((W1563="")*(INDEX(Setup!$M$6:$M$23,6)="Y"))+((Y1563="")*(INDEX(Setup!$M$6:$M$23,6)="Y")))</f>
        <v/>
      </c>
      <c r="AC1563" s="91">
        <f>IF($B1563="","",IF(AB1563=0,"✓ covered","⚠ "&amp;AB1563&amp;IF(AB1563=1," gap"," gaps")))</f>
        <v/>
      </c>
    </row>
    <row r="1564" ht="17" customHeight="1">
      <c r="A1564" t="n">
        <v>32</v>
      </c>
      <c r="B1564" s="24">
        <f>IF(Setup!$K$12="","",Setup!$K$12)</f>
        <v/>
      </c>
      <c r="C1564" s="88" t="n"/>
      <c r="D1564" s="88" t="n"/>
      <c r="E1564" s="88" t="n"/>
      <c r="F1564" s="89" t="n"/>
      <c r="G1564" s="88" t="n"/>
      <c r="H1564" s="88" t="n"/>
      <c r="I1564" s="88" t="n"/>
      <c r="J1564" s="89" t="n"/>
      <c r="K1564" s="88" t="n"/>
      <c r="L1564" s="88" t="n"/>
      <c r="M1564" s="88" t="n"/>
      <c r="N1564" s="89" t="n"/>
      <c r="O1564" s="88" t="n"/>
      <c r="P1564" s="88" t="n"/>
      <c r="Q1564" s="88" t="n"/>
      <c r="R1564" s="89" t="n"/>
      <c r="S1564" s="88" t="n"/>
      <c r="T1564" s="88" t="n"/>
      <c r="U1564" s="88" t="n"/>
      <c r="V1564" s="89" t="n"/>
      <c r="W1564" s="88" t="n"/>
      <c r="X1564" s="89" t="n"/>
      <c r="Y1564" s="88" t="n"/>
      <c r="Z1564" s="89" t="n"/>
      <c r="AB1564" s="25">
        <f>IF($B1564="","",(COUNTIF(C1564:E1564,"?*")&lt;N(INDEX(Setup!$L$6:$L$23,7)))+(COUNTIF(G1564:I1564,"?*")&lt;N(INDEX(Setup!$L$6:$L$23,7)))+(COUNTIF(K1564:M1564,"?*")&lt;N(INDEX(Setup!$L$6:$L$23,7)))+(COUNTIF(O1564:Q1564,"?*")&lt;N(INDEX(Setup!$L$6:$L$23,7)))+(COUNTIF(S1564:U1564,"?*")&lt;N(INDEX(Setup!$L$6:$L$23,7)))+((W1564="")*(INDEX(Setup!$M$6:$M$23,7)="Y"))+((Y1564="")*(INDEX(Setup!$M$6:$M$23,7)="Y")))</f>
        <v/>
      </c>
      <c r="AC1564" s="90">
        <f>IF($B1564="","",IF(AB1564=0,"✓ covered","⚠ "&amp;AB1564&amp;IF(AB1564=1," gap"," gaps")))</f>
        <v/>
      </c>
    </row>
    <row r="1565" ht="17" customHeight="1">
      <c r="A1565" t="n">
        <v>32</v>
      </c>
      <c r="B1565" s="29">
        <f>IF(Setup!$K$13="","",Setup!$K$13)</f>
        <v/>
      </c>
      <c r="C1565" s="88" t="n"/>
      <c r="D1565" s="88" t="n"/>
      <c r="E1565" s="88" t="n"/>
      <c r="F1565" s="89" t="n"/>
      <c r="G1565" s="88" t="n"/>
      <c r="H1565" s="88" t="n"/>
      <c r="I1565" s="88" t="n"/>
      <c r="J1565" s="89" t="n"/>
      <c r="K1565" s="88" t="n"/>
      <c r="L1565" s="88" t="n"/>
      <c r="M1565" s="88" t="n"/>
      <c r="N1565" s="89" t="n"/>
      <c r="O1565" s="88" t="n"/>
      <c r="P1565" s="88" t="n"/>
      <c r="Q1565" s="88" t="n"/>
      <c r="R1565" s="89" t="n"/>
      <c r="S1565" s="88" t="n"/>
      <c r="T1565" s="88" t="n"/>
      <c r="U1565" s="88" t="n"/>
      <c r="V1565" s="89" t="n"/>
      <c r="W1565" s="88" t="n"/>
      <c r="X1565" s="89" t="n"/>
      <c r="Y1565" s="88" t="n"/>
      <c r="Z1565" s="89" t="n"/>
      <c r="AB1565" s="30">
        <f>IF($B1565="","",(COUNTIF(C1565:E1565,"?*")&lt;N(INDEX(Setup!$L$6:$L$23,8)))+(COUNTIF(G1565:I1565,"?*")&lt;N(INDEX(Setup!$L$6:$L$23,8)))+(COUNTIF(K1565:M1565,"?*")&lt;N(INDEX(Setup!$L$6:$L$23,8)))+(COUNTIF(O1565:Q1565,"?*")&lt;N(INDEX(Setup!$L$6:$L$23,8)))+(COUNTIF(S1565:U1565,"?*")&lt;N(INDEX(Setup!$L$6:$L$23,8)))+((W1565="")*(INDEX(Setup!$M$6:$M$23,8)="Y"))+((Y1565="")*(INDEX(Setup!$M$6:$M$23,8)="Y")))</f>
        <v/>
      </c>
      <c r="AC1565" s="91">
        <f>IF($B1565="","",IF(AB1565=0,"✓ covered","⚠ "&amp;AB1565&amp;IF(AB1565=1," gap"," gaps")))</f>
        <v/>
      </c>
    </row>
    <row r="1566" ht="17" customHeight="1">
      <c r="A1566" t="n">
        <v>32</v>
      </c>
      <c r="B1566" s="24">
        <f>IF(Setup!$K$14="","",Setup!$K$14)</f>
        <v/>
      </c>
      <c r="C1566" s="88" t="n"/>
      <c r="D1566" s="88" t="n"/>
      <c r="E1566" s="88" t="n"/>
      <c r="F1566" s="89" t="n"/>
      <c r="G1566" s="88" t="n"/>
      <c r="H1566" s="88" t="n"/>
      <c r="I1566" s="88" t="n"/>
      <c r="J1566" s="89" t="n"/>
      <c r="K1566" s="88" t="n"/>
      <c r="L1566" s="88" t="n"/>
      <c r="M1566" s="88" t="n"/>
      <c r="N1566" s="89" t="n"/>
      <c r="O1566" s="88" t="n"/>
      <c r="P1566" s="88" t="n"/>
      <c r="Q1566" s="88" t="n"/>
      <c r="R1566" s="89" t="n"/>
      <c r="S1566" s="88" t="n"/>
      <c r="T1566" s="88" t="n"/>
      <c r="U1566" s="88" t="n"/>
      <c r="V1566" s="89" t="n"/>
      <c r="W1566" s="88" t="n"/>
      <c r="X1566" s="89" t="n"/>
      <c r="Y1566" s="88" t="n"/>
      <c r="Z1566" s="89" t="n"/>
      <c r="AB1566" s="25">
        <f>IF($B1566="","",(COUNTIF(C1566:E1566,"?*")&lt;N(INDEX(Setup!$L$6:$L$23,9)))+(COUNTIF(G1566:I1566,"?*")&lt;N(INDEX(Setup!$L$6:$L$23,9)))+(COUNTIF(K1566:M1566,"?*")&lt;N(INDEX(Setup!$L$6:$L$23,9)))+(COUNTIF(O1566:Q1566,"?*")&lt;N(INDEX(Setup!$L$6:$L$23,9)))+(COUNTIF(S1566:U1566,"?*")&lt;N(INDEX(Setup!$L$6:$L$23,9)))+((W1566="")*(INDEX(Setup!$M$6:$M$23,9)="Y"))+((Y1566="")*(INDEX(Setup!$M$6:$M$23,9)="Y")))</f>
        <v/>
      </c>
      <c r="AC1566" s="90">
        <f>IF($B1566="","",IF(AB1566=0,"✓ covered","⚠ "&amp;AB1566&amp;IF(AB1566=1," gap"," gaps")))</f>
        <v/>
      </c>
    </row>
    <row r="1567" ht="17" customHeight="1">
      <c r="A1567" t="n">
        <v>32</v>
      </c>
      <c r="B1567" s="29">
        <f>IF(Setup!$K$15="","",Setup!$K$15)</f>
        <v/>
      </c>
      <c r="C1567" s="88" t="n"/>
      <c r="D1567" s="88" t="n"/>
      <c r="E1567" s="88" t="n"/>
      <c r="F1567" s="89" t="n"/>
      <c r="G1567" s="88" t="n"/>
      <c r="H1567" s="88" t="n"/>
      <c r="I1567" s="88" t="n"/>
      <c r="J1567" s="89" t="n"/>
      <c r="K1567" s="88" t="n"/>
      <c r="L1567" s="88" t="n"/>
      <c r="M1567" s="88" t="n"/>
      <c r="N1567" s="89" t="n"/>
      <c r="O1567" s="88" t="n"/>
      <c r="P1567" s="88" t="n"/>
      <c r="Q1567" s="88" t="n"/>
      <c r="R1567" s="89" t="n"/>
      <c r="S1567" s="88" t="n"/>
      <c r="T1567" s="88" t="n"/>
      <c r="U1567" s="88" t="n"/>
      <c r="V1567" s="89" t="n"/>
      <c r="W1567" s="88" t="n"/>
      <c r="X1567" s="89" t="n"/>
      <c r="Y1567" s="88" t="n"/>
      <c r="Z1567" s="89" t="n"/>
      <c r="AB1567" s="30">
        <f>IF($B1567="","",(COUNTIF(C1567:E1567,"?*")&lt;N(INDEX(Setup!$L$6:$L$23,10)))+(COUNTIF(G1567:I1567,"?*")&lt;N(INDEX(Setup!$L$6:$L$23,10)))+(COUNTIF(K1567:M1567,"?*")&lt;N(INDEX(Setup!$L$6:$L$23,10)))+(COUNTIF(O1567:Q1567,"?*")&lt;N(INDEX(Setup!$L$6:$L$23,10)))+(COUNTIF(S1567:U1567,"?*")&lt;N(INDEX(Setup!$L$6:$L$23,10)))+((W1567="")*(INDEX(Setup!$M$6:$M$23,10)="Y"))+((Y1567="")*(INDEX(Setup!$M$6:$M$23,10)="Y")))</f>
        <v/>
      </c>
      <c r="AC1567" s="91">
        <f>IF($B1567="","",IF(AB1567=0,"✓ covered","⚠ "&amp;AB1567&amp;IF(AB1567=1," gap"," gaps")))</f>
        <v/>
      </c>
    </row>
    <row r="1568" ht="17" customHeight="1">
      <c r="A1568" t="n">
        <v>32</v>
      </c>
      <c r="B1568" s="24">
        <f>IF(Setup!$K$16="","",Setup!$K$16)</f>
        <v/>
      </c>
      <c r="C1568" s="88" t="n"/>
      <c r="D1568" s="88" t="n"/>
      <c r="E1568" s="88" t="n"/>
      <c r="F1568" s="89" t="n"/>
      <c r="G1568" s="88" t="n"/>
      <c r="H1568" s="88" t="n"/>
      <c r="I1568" s="88" t="n"/>
      <c r="J1568" s="89" t="n"/>
      <c r="K1568" s="88" t="n"/>
      <c r="L1568" s="88" t="n"/>
      <c r="M1568" s="88" t="n"/>
      <c r="N1568" s="89" t="n"/>
      <c r="O1568" s="88" t="n"/>
      <c r="P1568" s="88" t="n"/>
      <c r="Q1568" s="88" t="n"/>
      <c r="R1568" s="89" t="n"/>
      <c r="S1568" s="88" t="n"/>
      <c r="T1568" s="88" t="n"/>
      <c r="U1568" s="88" t="n"/>
      <c r="V1568" s="89" t="n"/>
      <c r="W1568" s="88" t="n"/>
      <c r="X1568" s="89" t="n"/>
      <c r="Y1568" s="88" t="n"/>
      <c r="Z1568" s="89" t="n"/>
      <c r="AB1568" s="25">
        <f>IF($B1568="","",(COUNTIF(C1568:E1568,"?*")&lt;N(INDEX(Setup!$L$6:$L$23,11)))+(COUNTIF(G1568:I1568,"?*")&lt;N(INDEX(Setup!$L$6:$L$23,11)))+(COUNTIF(K1568:M1568,"?*")&lt;N(INDEX(Setup!$L$6:$L$23,11)))+(COUNTIF(O1568:Q1568,"?*")&lt;N(INDEX(Setup!$L$6:$L$23,11)))+(COUNTIF(S1568:U1568,"?*")&lt;N(INDEX(Setup!$L$6:$L$23,11)))+((W1568="")*(INDEX(Setup!$M$6:$M$23,11)="Y"))+((Y1568="")*(INDEX(Setup!$M$6:$M$23,11)="Y")))</f>
        <v/>
      </c>
      <c r="AC1568" s="90">
        <f>IF($B1568="","",IF(AB1568=0,"✓ covered","⚠ "&amp;AB1568&amp;IF(AB1568=1," gap"," gaps")))</f>
        <v/>
      </c>
    </row>
    <row r="1569" ht="17" customHeight="1">
      <c r="A1569" t="n">
        <v>32</v>
      </c>
      <c r="B1569" s="29">
        <f>IF(Setup!$K$17="","",Setup!$K$17)</f>
        <v/>
      </c>
      <c r="C1569" s="88" t="n"/>
      <c r="D1569" s="88" t="n"/>
      <c r="E1569" s="88" t="n"/>
      <c r="F1569" s="89" t="n"/>
      <c r="G1569" s="88" t="n"/>
      <c r="H1569" s="88" t="n"/>
      <c r="I1569" s="88" t="n"/>
      <c r="J1569" s="89" t="n"/>
      <c r="K1569" s="88" t="n"/>
      <c r="L1569" s="88" t="n"/>
      <c r="M1569" s="88" t="n"/>
      <c r="N1569" s="89" t="n"/>
      <c r="O1569" s="88" t="n"/>
      <c r="P1569" s="88" t="n"/>
      <c r="Q1569" s="88" t="n"/>
      <c r="R1569" s="89" t="n"/>
      <c r="S1569" s="88" t="n"/>
      <c r="T1569" s="88" t="n"/>
      <c r="U1569" s="88" t="n"/>
      <c r="V1569" s="89" t="n"/>
      <c r="W1569" s="88" t="n"/>
      <c r="X1569" s="89" t="n"/>
      <c r="Y1569" s="88" t="n"/>
      <c r="Z1569" s="89" t="n"/>
      <c r="AB1569" s="30">
        <f>IF($B1569="","",(COUNTIF(C1569:E1569,"?*")&lt;N(INDEX(Setup!$L$6:$L$23,12)))+(COUNTIF(G1569:I1569,"?*")&lt;N(INDEX(Setup!$L$6:$L$23,12)))+(COUNTIF(K1569:M1569,"?*")&lt;N(INDEX(Setup!$L$6:$L$23,12)))+(COUNTIF(O1569:Q1569,"?*")&lt;N(INDEX(Setup!$L$6:$L$23,12)))+(COUNTIF(S1569:U1569,"?*")&lt;N(INDEX(Setup!$L$6:$L$23,12)))+((W1569="")*(INDEX(Setup!$M$6:$M$23,12)="Y"))+((Y1569="")*(INDEX(Setup!$M$6:$M$23,12)="Y")))</f>
        <v/>
      </c>
      <c r="AC1569" s="91">
        <f>IF($B1569="","",IF(AB1569=0,"✓ covered","⚠ "&amp;AB1569&amp;IF(AB1569=1," gap"," gaps")))</f>
        <v/>
      </c>
    </row>
    <row r="1570" ht="17" customHeight="1">
      <c r="A1570" t="n">
        <v>32</v>
      </c>
      <c r="B1570" s="24">
        <f>IF(Setup!$K$18="","",Setup!$K$18)</f>
        <v/>
      </c>
      <c r="C1570" s="88" t="n"/>
      <c r="D1570" s="88" t="n"/>
      <c r="E1570" s="88" t="n"/>
      <c r="F1570" s="89" t="n"/>
      <c r="G1570" s="88" t="n"/>
      <c r="H1570" s="88" t="n"/>
      <c r="I1570" s="88" t="n"/>
      <c r="J1570" s="89" t="n"/>
      <c r="K1570" s="88" t="n"/>
      <c r="L1570" s="88" t="n"/>
      <c r="M1570" s="88" t="n"/>
      <c r="N1570" s="89" t="n"/>
      <c r="O1570" s="88" t="n"/>
      <c r="P1570" s="88" t="n"/>
      <c r="Q1570" s="88" t="n"/>
      <c r="R1570" s="89" t="n"/>
      <c r="S1570" s="88" t="n"/>
      <c r="T1570" s="88" t="n"/>
      <c r="U1570" s="88" t="n"/>
      <c r="V1570" s="89" t="n"/>
      <c r="W1570" s="88" t="n"/>
      <c r="X1570" s="89" t="n"/>
      <c r="Y1570" s="88" t="n"/>
      <c r="Z1570" s="89" t="n"/>
      <c r="AB1570" s="25">
        <f>IF($B1570="","",(COUNTIF(C1570:E1570,"?*")&lt;N(INDEX(Setup!$L$6:$L$23,13)))+(COUNTIF(G1570:I1570,"?*")&lt;N(INDEX(Setup!$L$6:$L$23,13)))+(COUNTIF(K1570:M1570,"?*")&lt;N(INDEX(Setup!$L$6:$L$23,13)))+(COUNTIF(O1570:Q1570,"?*")&lt;N(INDEX(Setup!$L$6:$L$23,13)))+(COUNTIF(S1570:U1570,"?*")&lt;N(INDEX(Setup!$L$6:$L$23,13)))+((W1570="")*(INDEX(Setup!$M$6:$M$23,13)="Y"))+((Y1570="")*(INDEX(Setup!$M$6:$M$23,13)="Y")))</f>
        <v/>
      </c>
      <c r="AC1570" s="90">
        <f>IF($B1570="","",IF(AB1570=0,"✓ covered","⚠ "&amp;AB1570&amp;IF(AB1570=1," gap"," gaps")))</f>
        <v/>
      </c>
    </row>
    <row r="1571" ht="17" customHeight="1">
      <c r="A1571" t="n">
        <v>32</v>
      </c>
      <c r="B1571" s="29">
        <f>IF(Setup!$K$19="","",Setup!$K$19)</f>
        <v/>
      </c>
      <c r="C1571" s="88" t="n"/>
      <c r="D1571" s="88" t="n"/>
      <c r="E1571" s="88" t="n"/>
      <c r="F1571" s="89" t="n"/>
      <c r="G1571" s="88" t="n"/>
      <c r="H1571" s="88" t="n"/>
      <c r="I1571" s="88" t="n"/>
      <c r="J1571" s="89" t="n"/>
      <c r="K1571" s="88" t="n"/>
      <c r="L1571" s="88" t="n"/>
      <c r="M1571" s="88" t="n"/>
      <c r="N1571" s="89" t="n"/>
      <c r="O1571" s="88" t="n"/>
      <c r="P1571" s="88" t="n"/>
      <c r="Q1571" s="88" t="n"/>
      <c r="R1571" s="89" t="n"/>
      <c r="S1571" s="88" t="n"/>
      <c r="T1571" s="88" t="n"/>
      <c r="U1571" s="88" t="n"/>
      <c r="V1571" s="89" t="n"/>
      <c r="W1571" s="88" t="n"/>
      <c r="X1571" s="89" t="n"/>
      <c r="Y1571" s="88" t="n"/>
      <c r="Z1571" s="89" t="n"/>
      <c r="AB1571" s="30">
        <f>IF($B1571="","",(COUNTIF(C1571:E1571,"?*")&lt;N(INDEX(Setup!$L$6:$L$23,14)))+(COUNTIF(G1571:I1571,"?*")&lt;N(INDEX(Setup!$L$6:$L$23,14)))+(COUNTIF(K1571:M1571,"?*")&lt;N(INDEX(Setup!$L$6:$L$23,14)))+(COUNTIF(O1571:Q1571,"?*")&lt;N(INDEX(Setup!$L$6:$L$23,14)))+(COUNTIF(S1571:U1571,"?*")&lt;N(INDEX(Setup!$L$6:$L$23,14)))+((W1571="")*(INDEX(Setup!$M$6:$M$23,14)="Y"))+((Y1571="")*(INDEX(Setup!$M$6:$M$23,14)="Y")))</f>
        <v/>
      </c>
      <c r="AC1571" s="91">
        <f>IF($B1571="","",IF(AB1571=0,"✓ covered","⚠ "&amp;AB1571&amp;IF(AB1571=1," gap"," gaps")))</f>
        <v/>
      </c>
    </row>
    <row r="1572" ht="17" customHeight="1">
      <c r="A1572" t="n">
        <v>32</v>
      </c>
      <c r="B1572" s="24">
        <f>IF(Setup!$K$20="","",Setup!$K$20)</f>
        <v/>
      </c>
      <c r="C1572" s="88" t="n"/>
      <c r="D1572" s="88" t="n"/>
      <c r="E1572" s="88" t="n"/>
      <c r="F1572" s="89" t="n"/>
      <c r="G1572" s="88" t="n"/>
      <c r="H1572" s="88" t="n"/>
      <c r="I1572" s="88" t="n"/>
      <c r="J1572" s="89" t="n"/>
      <c r="K1572" s="88" t="n"/>
      <c r="L1572" s="88" t="n"/>
      <c r="M1572" s="88" t="n"/>
      <c r="N1572" s="89" t="n"/>
      <c r="O1572" s="88" t="n"/>
      <c r="P1572" s="88" t="n"/>
      <c r="Q1572" s="88" t="n"/>
      <c r="R1572" s="89" t="n"/>
      <c r="S1572" s="88" t="n"/>
      <c r="T1572" s="88" t="n"/>
      <c r="U1572" s="88" t="n"/>
      <c r="V1572" s="89" t="n"/>
      <c r="W1572" s="88" t="n"/>
      <c r="X1572" s="89" t="n"/>
      <c r="Y1572" s="88" t="n"/>
      <c r="Z1572" s="89" t="n"/>
      <c r="AB1572" s="25">
        <f>IF($B1572="","",(COUNTIF(C1572:E1572,"?*")&lt;N(INDEX(Setup!$L$6:$L$23,15)))+(COUNTIF(G1572:I1572,"?*")&lt;N(INDEX(Setup!$L$6:$L$23,15)))+(COUNTIF(K1572:M1572,"?*")&lt;N(INDEX(Setup!$L$6:$L$23,15)))+(COUNTIF(O1572:Q1572,"?*")&lt;N(INDEX(Setup!$L$6:$L$23,15)))+(COUNTIF(S1572:U1572,"?*")&lt;N(INDEX(Setup!$L$6:$L$23,15)))+((W1572="")*(INDEX(Setup!$M$6:$M$23,15)="Y"))+((Y1572="")*(INDEX(Setup!$M$6:$M$23,15)="Y")))</f>
        <v/>
      </c>
      <c r="AC1572" s="90">
        <f>IF($B1572="","",IF(AB1572=0,"✓ covered","⚠ "&amp;AB1572&amp;IF(AB1572=1," gap"," gaps")))</f>
        <v/>
      </c>
    </row>
    <row r="1573" ht="17" customHeight="1">
      <c r="A1573" t="n">
        <v>32</v>
      </c>
      <c r="B1573" s="29">
        <f>IF(Setup!$K$21="","",Setup!$K$21)</f>
        <v/>
      </c>
      <c r="C1573" s="88" t="n"/>
      <c r="D1573" s="88" t="n"/>
      <c r="E1573" s="88" t="n"/>
      <c r="F1573" s="89" t="n"/>
      <c r="G1573" s="88" t="n"/>
      <c r="H1573" s="88" t="n"/>
      <c r="I1573" s="88" t="n"/>
      <c r="J1573" s="89" t="n"/>
      <c r="K1573" s="88" t="n"/>
      <c r="L1573" s="88" t="n"/>
      <c r="M1573" s="88" t="n"/>
      <c r="N1573" s="89" t="n"/>
      <c r="O1573" s="88" t="n"/>
      <c r="P1573" s="88" t="n"/>
      <c r="Q1573" s="88" t="n"/>
      <c r="R1573" s="89" t="n"/>
      <c r="S1573" s="88" t="n"/>
      <c r="T1573" s="88" t="n"/>
      <c r="U1573" s="88" t="n"/>
      <c r="V1573" s="89" t="n"/>
      <c r="W1573" s="88" t="n"/>
      <c r="X1573" s="89" t="n"/>
      <c r="Y1573" s="88" t="n"/>
      <c r="Z1573" s="89" t="n"/>
      <c r="AB1573" s="30">
        <f>IF($B1573="","",(COUNTIF(C1573:E1573,"?*")&lt;N(INDEX(Setup!$L$6:$L$23,16)))+(COUNTIF(G1573:I1573,"?*")&lt;N(INDEX(Setup!$L$6:$L$23,16)))+(COUNTIF(K1573:M1573,"?*")&lt;N(INDEX(Setup!$L$6:$L$23,16)))+(COUNTIF(O1573:Q1573,"?*")&lt;N(INDEX(Setup!$L$6:$L$23,16)))+(COUNTIF(S1573:U1573,"?*")&lt;N(INDEX(Setup!$L$6:$L$23,16)))+((W1573="")*(INDEX(Setup!$M$6:$M$23,16)="Y"))+((Y1573="")*(INDEX(Setup!$M$6:$M$23,16)="Y")))</f>
        <v/>
      </c>
      <c r="AC1573" s="91">
        <f>IF($B1573="","",IF(AB1573=0,"✓ covered","⚠ "&amp;AB1573&amp;IF(AB1573=1," gap"," gaps")))</f>
        <v/>
      </c>
    </row>
    <row r="1574" ht="17" customHeight="1">
      <c r="A1574" t="n">
        <v>32</v>
      </c>
      <c r="B1574" s="24">
        <f>IF(Setup!$K$22="","",Setup!$K$22)</f>
        <v/>
      </c>
      <c r="C1574" s="88" t="n"/>
      <c r="D1574" s="88" t="n"/>
      <c r="E1574" s="88" t="n"/>
      <c r="F1574" s="89" t="n"/>
      <c r="G1574" s="88" t="n"/>
      <c r="H1574" s="88" t="n"/>
      <c r="I1574" s="88" t="n"/>
      <c r="J1574" s="89" t="n"/>
      <c r="K1574" s="88" t="n"/>
      <c r="L1574" s="88" t="n"/>
      <c r="M1574" s="88" t="n"/>
      <c r="N1574" s="89" t="n"/>
      <c r="O1574" s="88" t="n"/>
      <c r="P1574" s="88" t="n"/>
      <c r="Q1574" s="88" t="n"/>
      <c r="R1574" s="89" t="n"/>
      <c r="S1574" s="88" t="n"/>
      <c r="T1574" s="88" t="n"/>
      <c r="U1574" s="88" t="n"/>
      <c r="V1574" s="89" t="n"/>
      <c r="W1574" s="88" t="n"/>
      <c r="X1574" s="89" t="n"/>
      <c r="Y1574" s="88" t="n"/>
      <c r="Z1574" s="89" t="n"/>
      <c r="AB1574" s="25">
        <f>IF($B1574="","",(COUNTIF(C1574:E1574,"?*")&lt;N(INDEX(Setup!$L$6:$L$23,17)))+(COUNTIF(G1574:I1574,"?*")&lt;N(INDEX(Setup!$L$6:$L$23,17)))+(COUNTIF(K1574:M1574,"?*")&lt;N(INDEX(Setup!$L$6:$L$23,17)))+(COUNTIF(O1574:Q1574,"?*")&lt;N(INDEX(Setup!$L$6:$L$23,17)))+(COUNTIF(S1574:U1574,"?*")&lt;N(INDEX(Setup!$L$6:$L$23,17)))+((W1574="")*(INDEX(Setup!$M$6:$M$23,17)="Y"))+((Y1574="")*(INDEX(Setup!$M$6:$M$23,17)="Y")))</f>
        <v/>
      </c>
      <c r="AC1574" s="90">
        <f>IF($B1574="","",IF(AB1574=0,"✓ covered","⚠ "&amp;AB1574&amp;IF(AB1574=1," gap"," gaps")))</f>
        <v/>
      </c>
    </row>
    <row r="1575" ht="17" customHeight="1">
      <c r="A1575" t="n">
        <v>32</v>
      </c>
      <c r="B1575" s="29">
        <f>IF(Setup!$K$23="","",Setup!$K$23)</f>
        <v/>
      </c>
      <c r="C1575" s="88" t="n"/>
      <c r="D1575" s="88" t="n"/>
      <c r="E1575" s="88" t="n"/>
      <c r="F1575" s="89" t="n"/>
      <c r="G1575" s="88" t="n"/>
      <c r="H1575" s="88" t="n"/>
      <c r="I1575" s="88" t="n"/>
      <c r="J1575" s="89" t="n"/>
      <c r="K1575" s="88" t="n"/>
      <c r="L1575" s="88" t="n"/>
      <c r="M1575" s="88" t="n"/>
      <c r="N1575" s="89" t="n"/>
      <c r="O1575" s="88" t="n"/>
      <c r="P1575" s="88" t="n"/>
      <c r="Q1575" s="88" t="n"/>
      <c r="R1575" s="89" t="n"/>
      <c r="S1575" s="88" t="n"/>
      <c r="T1575" s="88" t="n"/>
      <c r="U1575" s="88" t="n"/>
      <c r="V1575" s="89" t="n"/>
      <c r="W1575" s="88" t="n"/>
      <c r="X1575" s="89" t="n"/>
      <c r="Y1575" s="88" t="n"/>
      <c r="Z1575" s="89" t="n"/>
      <c r="AB1575" s="30">
        <f>IF($B1575="","",(COUNTIF(C1575:E1575,"?*")&lt;N(INDEX(Setup!$L$6:$L$23,18)))+(COUNTIF(G1575:I1575,"?*")&lt;N(INDEX(Setup!$L$6:$L$23,18)))+(COUNTIF(K1575:M1575,"?*")&lt;N(INDEX(Setup!$L$6:$L$23,18)))+(COUNTIF(O1575:Q1575,"?*")&lt;N(INDEX(Setup!$L$6:$L$23,18)))+(COUNTIF(S1575:U1575,"?*")&lt;N(INDEX(Setup!$L$6:$L$23,18)))+((W1575="")*(INDEX(Setup!$M$6:$M$23,18)="Y"))+((Y1575="")*(INDEX(Setup!$M$6:$M$23,18)="Y")))</f>
        <v/>
      </c>
      <c r="AC1575" s="91">
        <f>IF($B1575="","",IF(AB1575=0,"✓ covered","⚠ "&amp;AB1575&amp;IF(AB1575=1," gap"," gaps")))</f>
        <v/>
      </c>
    </row>
    <row r="1576" ht="18" customHeight="1">
      <c r="A1576" t="n">
        <v>32</v>
      </c>
      <c r="B1576" s="78" t="inlineStr">
        <is>
          <t>TEAM AVAILABILITY</t>
        </is>
      </c>
      <c r="C1576" s="92" t="inlineStr">
        <is>
          <t>Mon</t>
        </is>
      </c>
      <c r="D1576" s="93" t="n"/>
      <c r="E1576" s="93" t="n"/>
      <c r="F1576" s="94" t="n"/>
      <c r="G1576" s="92" t="inlineStr">
        <is>
          <t>Tue</t>
        </is>
      </c>
      <c r="H1576" s="93" t="n"/>
      <c r="I1576" s="93" t="n"/>
      <c r="J1576" s="94" t="n"/>
      <c r="K1576" s="92" t="inlineStr">
        <is>
          <t>Wed</t>
        </is>
      </c>
      <c r="L1576" s="93" t="n"/>
      <c r="M1576" s="93" t="n"/>
      <c r="N1576" s="94" t="n"/>
      <c r="O1576" s="92" t="inlineStr">
        <is>
          <t>Thu</t>
        </is>
      </c>
      <c r="P1576" s="93" t="n"/>
      <c r="Q1576" s="93" t="n"/>
      <c r="R1576" s="94" t="n"/>
      <c r="S1576" s="92" t="inlineStr">
        <is>
          <t>Fri</t>
        </is>
      </c>
      <c r="T1576" s="93" t="n"/>
      <c r="U1576" s="93" t="n"/>
      <c r="V1576" s="94" t="n"/>
      <c r="W1576" s="95" t="inlineStr">
        <is>
          <t>Sat</t>
        </is>
      </c>
      <c r="X1576" s="96" t="n"/>
      <c r="Y1576" s="95" t="inlineStr">
        <is>
          <t>Sun</t>
        </is>
      </c>
      <c r="Z1576" s="96" t="n"/>
      <c r="AB1576" s="97" t="inlineStr">
        <is>
          <t>Days rostered</t>
        </is>
      </c>
      <c r="AC1576" s="97" t="inlineStr">
        <is>
          <t>Conflicts</t>
        </is>
      </c>
    </row>
    <row r="1577" ht="15" customHeight="1">
      <c r="A1577" t="n">
        <v>32</v>
      </c>
      <c r="B1577" s="35">
        <f>IF(Setup!$B$6="","",Setup!$B$6)</f>
        <v/>
      </c>
      <c r="C1577" s="98" t="n"/>
      <c r="D1577" s="99" t="n"/>
      <c r="E1577" s="99" t="n"/>
      <c r="F1577" s="100" t="n"/>
      <c r="G1577" s="98" t="n"/>
      <c r="H1577" s="99" t="n"/>
      <c r="I1577" s="99" t="n"/>
      <c r="J1577" s="100" t="n"/>
      <c r="K1577" s="98" t="n"/>
      <c r="L1577" s="99" t="n"/>
      <c r="M1577" s="99" t="n"/>
      <c r="N1577" s="100" t="n"/>
      <c r="O1577" s="98" t="n"/>
      <c r="P1577" s="99" t="n"/>
      <c r="Q1577" s="99" t="n"/>
      <c r="R1577" s="100" t="n"/>
      <c r="S1577" s="98" t="n"/>
      <c r="T1577" s="99" t="n"/>
      <c r="U1577" s="99" t="n"/>
      <c r="V1577" s="100" t="n"/>
      <c r="W1577" s="98" t="n"/>
      <c r="X1577" s="100" t="n"/>
      <c r="Y1577" s="98" t="n"/>
      <c r="Z1577" s="100" t="n"/>
      <c r="AB1577" s="101">
        <f>IF($B1577="","",(COUNTIF(C1558:E1575,$B1577)+COUNTIF(C1558:E1575,$B1577&amp;" ~*")&gt;0)+(COUNTIF(G1558:I1575,$B1577)+COUNTIF(G1558:I1575,$B1577&amp;" ~*")&gt;0)+(COUNTIF(K1558:M1575,$B1577)+COUNTIF(K1558:M1575,$B1577&amp;" ~*")&gt;0)+(COUNTIF(O1558:Q1575,$B1577)+COUNTIF(O1558:Q1575,$B1577&amp;" ~*")&gt;0)+(COUNTIF(S1558:U1575,$B1577)+COUNTIF(S1558:U1575,$B1577&amp;" ~*")&gt;0)+(COUNTIF(W1558:W1575,$B1577)+COUNTIF(W1558:W1575,$B1577&amp;" ~*")&gt;0)+(COUNTIF(Y1558:Y1575,$B1577)+COUNTIF(Y1558:Y1575,$B1577&amp;" ~*")&gt;0))</f>
        <v/>
      </c>
      <c r="AC1577" s="36">
        <f>IF($B1577="","",(IFERROR(INDEX(Setup!$G$33:$G$40,MATCH(C1577,Setup!$B$33:$B$40,0)),0)=1)*(COUNTIF(C1558:E1575,$B1577)+COUNTIF(C1558:E1575,$B1577&amp;" ~*")&gt;0)+(IFERROR(INDEX(Setup!$G$33:$G$40,MATCH(G1577,Setup!$B$33:$B$40,0)),0)=1)*(COUNTIF(G1558:I1575,$B1577)+COUNTIF(G1558:I1575,$B1577&amp;" ~*")&gt;0)+(IFERROR(INDEX(Setup!$G$33:$G$40,MATCH(K1577,Setup!$B$33:$B$40,0)),0)=1)*(COUNTIF(K1558:M1575,$B1577)+COUNTIF(K1558:M1575,$B1577&amp;" ~*")&gt;0)+(IFERROR(INDEX(Setup!$G$33:$G$40,MATCH(O1577,Setup!$B$33:$B$40,0)),0)=1)*(COUNTIF(O1558:Q1575,$B1577)+COUNTIF(O1558:Q1575,$B1577&amp;" ~*")&gt;0)+(IFERROR(INDEX(Setup!$G$33:$G$40,MATCH(S1577,Setup!$B$33:$B$40,0)),0)=1)*(COUNTIF(S1558:U1575,$B1577)+COUNTIF(S1558:U1575,$B1577&amp;" ~*")&gt;0)+(IFERROR(INDEX(Setup!$G$33:$G$40,MATCH(W1577,Setup!$B$33:$B$40,0)),0)=1)*(COUNTIF(W1558:W1575,$B1577)+COUNTIF(W1558:W1575,$B1577&amp;" ~*")&gt;0)+(IFERROR(INDEX(Setup!$G$33:$G$40,MATCH(Y1577,Setup!$B$33:$B$40,0)),0)=1)*(COUNTIF(Y1558:Y1575,$B1577)+COUNTIF(Y1558:Y1575,$B1577&amp;" ~*")&gt;0))</f>
        <v/>
      </c>
    </row>
    <row r="1578" ht="15" customHeight="1">
      <c r="A1578" t="n">
        <v>32</v>
      </c>
      <c r="B1578" s="37">
        <f>IF(Setup!$B$7="","",Setup!$B$7)</f>
        <v/>
      </c>
      <c r="C1578" s="102" t="n"/>
      <c r="D1578" s="103" t="n"/>
      <c r="E1578" s="103" t="n"/>
      <c r="F1578" s="104" t="n"/>
      <c r="G1578" s="102" t="n"/>
      <c r="H1578" s="103" t="n"/>
      <c r="I1578" s="103" t="n"/>
      <c r="J1578" s="104" t="n"/>
      <c r="K1578" s="102" t="n"/>
      <c r="L1578" s="103" t="n"/>
      <c r="M1578" s="103" t="n"/>
      <c r="N1578" s="104" t="n"/>
      <c r="O1578" s="102" t="n"/>
      <c r="P1578" s="103" t="n"/>
      <c r="Q1578" s="103" t="n"/>
      <c r="R1578" s="104" t="n"/>
      <c r="S1578" s="102" t="n"/>
      <c r="T1578" s="103" t="n"/>
      <c r="U1578" s="103" t="n"/>
      <c r="V1578" s="104" t="n"/>
      <c r="W1578" s="102" t="n"/>
      <c r="X1578" s="104" t="n"/>
      <c r="Y1578" s="102" t="n"/>
      <c r="Z1578" s="104" t="n"/>
      <c r="AB1578" s="105">
        <f>IF($B1578="","",(COUNTIF(C1558:E1575,$B1578)+COUNTIF(C1558:E1575,$B1578&amp;" ~*")&gt;0)+(COUNTIF(G1558:I1575,$B1578)+COUNTIF(G1558:I1575,$B1578&amp;" ~*")&gt;0)+(COUNTIF(K1558:M1575,$B1578)+COUNTIF(K1558:M1575,$B1578&amp;" ~*")&gt;0)+(COUNTIF(O1558:Q1575,$B1578)+COUNTIF(O1558:Q1575,$B1578&amp;" ~*")&gt;0)+(COUNTIF(S1558:U1575,$B1578)+COUNTIF(S1558:U1575,$B1578&amp;" ~*")&gt;0)+(COUNTIF(W1558:W1575,$B1578)+COUNTIF(W1558:W1575,$B1578&amp;" ~*")&gt;0)+(COUNTIF(Y1558:Y1575,$B1578)+COUNTIF(Y1558:Y1575,$B1578&amp;" ~*")&gt;0))</f>
        <v/>
      </c>
      <c r="AC1578" s="38">
        <f>IF($B1578="","",(IFERROR(INDEX(Setup!$G$33:$G$40,MATCH(C1578,Setup!$B$33:$B$40,0)),0)=1)*(COUNTIF(C1558:E1575,$B1578)+COUNTIF(C1558:E1575,$B1578&amp;" ~*")&gt;0)+(IFERROR(INDEX(Setup!$G$33:$G$40,MATCH(G1578,Setup!$B$33:$B$40,0)),0)=1)*(COUNTIF(G1558:I1575,$B1578)+COUNTIF(G1558:I1575,$B1578&amp;" ~*")&gt;0)+(IFERROR(INDEX(Setup!$G$33:$G$40,MATCH(K1578,Setup!$B$33:$B$40,0)),0)=1)*(COUNTIF(K1558:M1575,$B1578)+COUNTIF(K1558:M1575,$B1578&amp;" ~*")&gt;0)+(IFERROR(INDEX(Setup!$G$33:$G$40,MATCH(O1578,Setup!$B$33:$B$40,0)),0)=1)*(COUNTIF(O1558:Q1575,$B1578)+COUNTIF(O1558:Q1575,$B1578&amp;" ~*")&gt;0)+(IFERROR(INDEX(Setup!$G$33:$G$40,MATCH(S1578,Setup!$B$33:$B$40,0)),0)=1)*(COUNTIF(S1558:U1575,$B1578)+COUNTIF(S1558:U1575,$B1578&amp;" ~*")&gt;0)+(IFERROR(INDEX(Setup!$G$33:$G$40,MATCH(W1578,Setup!$B$33:$B$40,0)),0)=1)*(COUNTIF(W1558:W1575,$B1578)+COUNTIF(W1558:W1575,$B1578&amp;" ~*")&gt;0)+(IFERROR(INDEX(Setup!$G$33:$G$40,MATCH(Y1578,Setup!$B$33:$B$40,0)),0)=1)*(COUNTIF(Y1558:Y1575,$B1578)+COUNTIF(Y1558:Y1575,$B1578&amp;" ~*")&gt;0))</f>
        <v/>
      </c>
    </row>
    <row r="1579" ht="15" customHeight="1">
      <c r="A1579" t="n">
        <v>32</v>
      </c>
      <c r="B1579" s="35">
        <f>IF(Setup!$B$8="","",Setup!$B$8)</f>
        <v/>
      </c>
      <c r="C1579" s="98" t="n"/>
      <c r="D1579" s="99" t="n"/>
      <c r="E1579" s="99" t="n"/>
      <c r="F1579" s="100" t="n"/>
      <c r="G1579" s="98" t="n"/>
      <c r="H1579" s="99" t="n"/>
      <c r="I1579" s="99" t="n"/>
      <c r="J1579" s="100" t="n"/>
      <c r="K1579" s="98" t="n"/>
      <c r="L1579" s="99" t="n"/>
      <c r="M1579" s="99" t="n"/>
      <c r="N1579" s="100" t="n"/>
      <c r="O1579" s="98" t="n"/>
      <c r="P1579" s="99" t="n"/>
      <c r="Q1579" s="99" t="n"/>
      <c r="R1579" s="100" t="n"/>
      <c r="S1579" s="98" t="n"/>
      <c r="T1579" s="99" t="n"/>
      <c r="U1579" s="99" t="n"/>
      <c r="V1579" s="100" t="n"/>
      <c r="W1579" s="98" t="n"/>
      <c r="X1579" s="100" t="n"/>
      <c r="Y1579" s="98" t="n"/>
      <c r="Z1579" s="100" t="n"/>
      <c r="AB1579" s="101">
        <f>IF($B1579="","",(COUNTIF(C1558:E1575,$B1579)+COUNTIF(C1558:E1575,$B1579&amp;" ~*")&gt;0)+(COUNTIF(G1558:I1575,$B1579)+COUNTIF(G1558:I1575,$B1579&amp;" ~*")&gt;0)+(COUNTIF(K1558:M1575,$B1579)+COUNTIF(K1558:M1575,$B1579&amp;" ~*")&gt;0)+(COUNTIF(O1558:Q1575,$B1579)+COUNTIF(O1558:Q1575,$B1579&amp;" ~*")&gt;0)+(COUNTIF(S1558:U1575,$B1579)+COUNTIF(S1558:U1575,$B1579&amp;" ~*")&gt;0)+(COUNTIF(W1558:W1575,$B1579)+COUNTIF(W1558:W1575,$B1579&amp;" ~*")&gt;0)+(COUNTIF(Y1558:Y1575,$B1579)+COUNTIF(Y1558:Y1575,$B1579&amp;" ~*")&gt;0))</f>
        <v/>
      </c>
      <c r="AC1579" s="36">
        <f>IF($B1579="","",(IFERROR(INDEX(Setup!$G$33:$G$40,MATCH(C1579,Setup!$B$33:$B$40,0)),0)=1)*(COUNTIF(C1558:E1575,$B1579)+COUNTIF(C1558:E1575,$B1579&amp;" ~*")&gt;0)+(IFERROR(INDEX(Setup!$G$33:$G$40,MATCH(G1579,Setup!$B$33:$B$40,0)),0)=1)*(COUNTIF(G1558:I1575,$B1579)+COUNTIF(G1558:I1575,$B1579&amp;" ~*")&gt;0)+(IFERROR(INDEX(Setup!$G$33:$G$40,MATCH(K1579,Setup!$B$33:$B$40,0)),0)=1)*(COUNTIF(K1558:M1575,$B1579)+COUNTIF(K1558:M1575,$B1579&amp;" ~*")&gt;0)+(IFERROR(INDEX(Setup!$G$33:$G$40,MATCH(O1579,Setup!$B$33:$B$40,0)),0)=1)*(COUNTIF(O1558:Q1575,$B1579)+COUNTIF(O1558:Q1575,$B1579&amp;" ~*")&gt;0)+(IFERROR(INDEX(Setup!$G$33:$G$40,MATCH(S1579,Setup!$B$33:$B$40,0)),0)=1)*(COUNTIF(S1558:U1575,$B1579)+COUNTIF(S1558:U1575,$B1579&amp;" ~*")&gt;0)+(IFERROR(INDEX(Setup!$G$33:$G$40,MATCH(W1579,Setup!$B$33:$B$40,0)),0)=1)*(COUNTIF(W1558:W1575,$B1579)+COUNTIF(W1558:W1575,$B1579&amp;" ~*")&gt;0)+(IFERROR(INDEX(Setup!$G$33:$G$40,MATCH(Y1579,Setup!$B$33:$B$40,0)),0)=1)*(COUNTIF(Y1558:Y1575,$B1579)+COUNTIF(Y1558:Y1575,$B1579&amp;" ~*")&gt;0))</f>
        <v/>
      </c>
    </row>
    <row r="1580" ht="15" customHeight="1">
      <c r="A1580" t="n">
        <v>32</v>
      </c>
      <c r="B1580" s="37">
        <f>IF(Setup!$B$9="","",Setup!$B$9)</f>
        <v/>
      </c>
      <c r="C1580" s="102" t="n"/>
      <c r="D1580" s="103" t="n"/>
      <c r="E1580" s="103" t="n"/>
      <c r="F1580" s="104" t="n"/>
      <c r="G1580" s="102" t="n"/>
      <c r="H1580" s="103" t="n"/>
      <c r="I1580" s="103" t="n"/>
      <c r="J1580" s="104" t="n"/>
      <c r="K1580" s="102" t="n"/>
      <c r="L1580" s="103" t="n"/>
      <c r="M1580" s="103" t="n"/>
      <c r="N1580" s="104" t="n"/>
      <c r="O1580" s="102" t="n"/>
      <c r="P1580" s="103" t="n"/>
      <c r="Q1580" s="103" t="n"/>
      <c r="R1580" s="104" t="n"/>
      <c r="S1580" s="102" t="n"/>
      <c r="T1580" s="103" t="n"/>
      <c r="U1580" s="103" t="n"/>
      <c r="V1580" s="104" t="n"/>
      <c r="W1580" s="102" t="n"/>
      <c r="X1580" s="104" t="n"/>
      <c r="Y1580" s="102" t="n"/>
      <c r="Z1580" s="104" t="n"/>
      <c r="AB1580" s="105">
        <f>IF($B1580="","",(COUNTIF(C1558:E1575,$B1580)+COUNTIF(C1558:E1575,$B1580&amp;" ~*")&gt;0)+(COUNTIF(G1558:I1575,$B1580)+COUNTIF(G1558:I1575,$B1580&amp;" ~*")&gt;0)+(COUNTIF(K1558:M1575,$B1580)+COUNTIF(K1558:M1575,$B1580&amp;" ~*")&gt;0)+(COUNTIF(O1558:Q1575,$B1580)+COUNTIF(O1558:Q1575,$B1580&amp;" ~*")&gt;0)+(COUNTIF(S1558:U1575,$B1580)+COUNTIF(S1558:U1575,$B1580&amp;" ~*")&gt;0)+(COUNTIF(W1558:W1575,$B1580)+COUNTIF(W1558:W1575,$B1580&amp;" ~*")&gt;0)+(COUNTIF(Y1558:Y1575,$B1580)+COUNTIF(Y1558:Y1575,$B1580&amp;" ~*")&gt;0))</f>
        <v/>
      </c>
      <c r="AC1580" s="38">
        <f>IF($B1580="","",(IFERROR(INDEX(Setup!$G$33:$G$40,MATCH(C1580,Setup!$B$33:$B$40,0)),0)=1)*(COUNTIF(C1558:E1575,$B1580)+COUNTIF(C1558:E1575,$B1580&amp;" ~*")&gt;0)+(IFERROR(INDEX(Setup!$G$33:$G$40,MATCH(G1580,Setup!$B$33:$B$40,0)),0)=1)*(COUNTIF(G1558:I1575,$B1580)+COUNTIF(G1558:I1575,$B1580&amp;" ~*")&gt;0)+(IFERROR(INDEX(Setup!$G$33:$G$40,MATCH(K1580,Setup!$B$33:$B$40,0)),0)=1)*(COUNTIF(K1558:M1575,$B1580)+COUNTIF(K1558:M1575,$B1580&amp;" ~*")&gt;0)+(IFERROR(INDEX(Setup!$G$33:$G$40,MATCH(O1580,Setup!$B$33:$B$40,0)),0)=1)*(COUNTIF(O1558:Q1575,$B1580)+COUNTIF(O1558:Q1575,$B1580&amp;" ~*")&gt;0)+(IFERROR(INDEX(Setup!$G$33:$G$40,MATCH(S1580,Setup!$B$33:$B$40,0)),0)=1)*(COUNTIF(S1558:U1575,$B1580)+COUNTIF(S1558:U1575,$B1580&amp;" ~*")&gt;0)+(IFERROR(INDEX(Setup!$G$33:$G$40,MATCH(W1580,Setup!$B$33:$B$40,0)),0)=1)*(COUNTIF(W1558:W1575,$B1580)+COUNTIF(W1558:W1575,$B1580&amp;" ~*")&gt;0)+(IFERROR(INDEX(Setup!$G$33:$G$40,MATCH(Y1580,Setup!$B$33:$B$40,0)),0)=1)*(COUNTIF(Y1558:Y1575,$B1580)+COUNTIF(Y1558:Y1575,$B1580&amp;" ~*")&gt;0))</f>
        <v/>
      </c>
    </row>
    <row r="1581" ht="15" customHeight="1">
      <c r="A1581" t="n">
        <v>32</v>
      </c>
      <c r="B1581" s="35">
        <f>IF(Setup!$B$10="","",Setup!$B$10)</f>
        <v/>
      </c>
      <c r="C1581" s="98" t="n"/>
      <c r="D1581" s="99" t="n"/>
      <c r="E1581" s="99" t="n"/>
      <c r="F1581" s="100" t="n"/>
      <c r="G1581" s="98" t="n"/>
      <c r="H1581" s="99" t="n"/>
      <c r="I1581" s="99" t="n"/>
      <c r="J1581" s="100" t="n"/>
      <c r="K1581" s="98" t="n"/>
      <c r="L1581" s="99" t="n"/>
      <c r="M1581" s="99" t="n"/>
      <c r="N1581" s="100" t="n"/>
      <c r="O1581" s="98" t="n"/>
      <c r="P1581" s="99" t="n"/>
      <c r="Q1581" s="99" t="n"/>
      <c r="R1581" s="100" t="n"/>
      <c r="S1581" s="98" t="n"/>
      <c r="T1581" s="99" t="n"/>
      <c r="U1581" s="99" t="n"/>
      <c r="V1581" s="100" t="n"/>
      <c r="W1581" s="98" t="n"/>
      <c r="X1581" s="100" t="n"/>
      <c r="Y1581" s="98" t="n"/>
      <c r="Z1581" s="100" t="n"/>
      <c r="AB1581" s="101">
        <f>IF($B1581="","",(COUNTIF(C1558:E1575,$B1581)+COUNTIF(C1558:E1575,$B1581&amp;" ~*")&gt;0)+(COUNTIF(G1558:I1575,$B1581)+COUNTIF(G1558:I1575,$B1581&amp;" ~*")&gt;0)+(COUNTIF(K1558:M1575,$B1581)+COUNTIF(K1558:M1575,$B1581&amp;" ~*")&gt;0)+(COUNTIF(O1558:Q1575,$B1581)+COUNTIF(O1558:Q1575,$B1581&amp;" ~*")&gt;0)+(COUNTIF(S1558:U1575,$B1581)+COUNTIF(S1558:U1575,$B1581&amp;" ~*")&gt;0)+(COUNTIF(W1558:W1575,$B1581)+COUNTIF(W1558:W1575,$B1581&amp;" ~*")&gt;0)+(COUNTIF(Y1558:Y1575,$B1581)+COUNTIF(Y1558:Y1575,$B1581&amp;" ~*")&gt;0))</f>
        <v/>
      </c>
      <c r="AC1581" s="36">
        <f>IF($B1581="","",(IFERROR(INDEX(Setup!$G$33:$G$40,MATCH(C1581,Setup!$B$33:$B$40,0)),0)=1)*(COUNTIF(C1558:E1575,$B1581)+COUNTIF(C1558:E1575,$B1581&amp;" ~*")&gt;0)+(IFERROR(INDEX(Setup!$G$33:$G$40,MATCH(G1581,Setup!$B$33:$B$40,0)),0)=1)*(COUNTIF(G1558:I1575,$B1581)+COUNTIF(G1558:I1575,$B1581&amp;" ~*")&gt;0)+(IFERROR(INDEX(Setup!$G$33:$G$40,MATCH(K1581,Setup!$B$33:$B$40,0)),0)=1)*(COUNTIF(K1558:M1575,$B1581)+COUNTIF(K1558:M1575,$B1581&amp;" ~*")&gt;0)+(IFERROR(INDEX(Setup!$G$33:$G$40,MATCH(O1581,Setup!$B$33:$B$40,0)),0)=1)*(COUNTIF(O1558:Q1575,$B1581)+COUNTIF(O1558:Q1575,$B1581&amp;" ~*")&gt;0)+(IFERROR(INDEX(Setup!$G$33:$G$40,MATCH(S1581,Setup!$B$33:$B$40,0)),0)=1)*(COUNTIF(S1558:U1575,$B1581)+COUNTIF(S1558:U1575,$B1581&amp;" ~*")&gt;0)+(IFERROR(INDEX(Setup!$G$33:$G$40,MATCH(W1581,Setup!$B$33:$B$40,0)),0)=1)*(COUNTIF(W1558:W1575,$B1581)+COUNTIF(W1558:W1575,$B1581&amp;" ~*")&gt;0)+(IFERROR(INDEX(Setup!$G$33:$G$40,MATCH(Y1581,Setup!$B$33:$B$40,0)),0)=1)*(COUNTIF(Y1558:Y1575,$B1581)+COUNTIF(Y1558:Y1575,$B1581&amp;" ~*")&gt;0))</f>
        <v/>
      </c>
    </row>
    <row r="1582" ht="15" customHeight="1">
      <c r="A1582" t="n">
        <v>32</v>
      </c>
      <c r="B1582" s="37">
        <f>IF(Setup!$B$11="","",Setup!$B$11)</f>
        <v/>
      </c>
      <c r="C1582" s="102" t="n"/>
      <c r="D1582" s="103" t="n"/>
      <c r="E1582" s="103" t="n"/>
      <c r="F1582" s="104" t="n"/>
      <c r="G1582" s="102" t="n"/>
      <c r="H1582" s="103" t="n"/>
      <c r="I1582" s="103" t="n"/>
      <c r="J1582" s="104" t="n"/>
      <c r="K1582" s="102" t="n"/>
      <c r="L1582" s="103" t="n"/>
      <c r="M1582" s="103" t="n"/>
      <c r="N1582" s="104" t="n"/>
      <c r="O1582" s="102" t="n"/>
      <c r="P1582" s="103" t="n"/>
      <c r="Q1582" s="103" t="n"/>
      <c r="R1582" s="104" t="n"/>
      <c r="S1582" s="102" t="n"/>
      <c r="T1582" s="103" t="n"/>
      <c r="U1582" s="103" t="n"/>
      <c r="V1582" s="104" t="n"/>
      <c r="W1582" s="102" t="n"/>
      <c r="X1582" s="104" t="n"/>
      <c r="Y1582" s="102" t="n"/>
      <c r="Z1582" s="104" t="n"/>
      <c r="AB1582" s="105">
        <f>IF($B1582="","",(COUNTIF(C1558:E1575,$B1582)+COUNTIF(C1558:E1575,$B1582&amp;" ~*")&gt;0)+(COUNTIF(G1558:I1575,$B1582)+COUNTIF(G1558:I1575,$B1582&amp;" ~*")&gt;0)+(COUNTIF(K1558:M1575,$B1582)+COUNTIF(K1558:M1575,$B1582&amp;" ~*")&gt;0)+(COUNTIF(O1558:Q1575,$B1582)+COUNTIF(O1558:Q1575,$B1582&amp;" ~*")&gt;0)+(COUNTIF(S1558:U1575,$B1582)+COUNTIF(S1558:U1575,$B1582&amp;" ~*")&gt;0)+(COUNTIF(W1558:W1575,$B1582)+COUNTIF(W1558:W1575,$B1582&amp;" ~*")&gt;0)+(COUNTIF(Y1558:Y1575,$B1582)+COUNTIF(Y1558:Y1575,$B1582&amp;" ~*")&gt;0))</f>
        <v/>
      </c>
      <c r="AC1582" s="38">
        <f>IF($B1582="","",(IFERROR(INDEX(Setup!$G$33:$G$40,MATCH(C1582,Setup!$B$33:$B$40,0)),0)=1)*(COUNTIF(C1558:E1575,$B1582)+COUNTIF(C1558:E1575,$B1582&amp;" ~*")&gt;0)+(IFERROR(INDEX(Setup!$G$33:$G$40,MATCH(G1582,Setup!$B$33:$B$40,0)),0)=1)*(COUNTIF(G1558:I1575,$B1582)+COUNTIF(G1558:I1575,$B1582&amp;" ~*")&gt;0)+(IFERROR(INDEX(Setup!$G$33:$G$40,MATCH(K1582,Setup!$B$33:$B$40,0)),0)=1)*(COUNTIF(K1558:M1575,$B1582)+COUNTIF(K1558:M1575,$B1582&amp;" ~*")&gt;0)+(IFERROR(INDEX(Setup!$G$33:$G$40,MATCH(O1582,Setup!$B$33:$B$40,0)),0)=1)*(COUNTIF(O1558:Q1575,$B1582)+COUNTIF(O1558:Q1575,$B1582&amp;" ~*")&gt;0)+(IFERROR(INDEX(Setup!$G$33:$G$40,MATCH(S1582,Setup!$B$33:$B$40,0)),0)=1)*(COUNTIF(S1558:U1575,$B1582)+COUNTIF(S1558:U1575,$B1582&amp;" ~*")&gt;0)+(IFERROR(INDEX(Setup!$G$33:$G$40,MATCH(W1582,Setup!$B$33:$B$40,0)),0)=1)*(COUNTIF(W1558:W1575,$B1582)+COUNTIF(W1558:W1575,$B1582&amp;" ~*")&gt;0)+(IFERROR(INDEX(Setup!$G$33:$G$40,MATCH(Y1582,Setup!$B$33:$B$40,0)),0)=1)*(COUNTIF(Y1558:Y1575,$B1582)+COUNTIF(Y1558:Y1575,$B1582&amp;" ~*")&gt;0))</f>
        <v/>
      </c>
    </row>
    <row r="1583" ht="15" customHeight="1">
      <c r="A1583" t="n">
        <v>32</v>
      </c>
      <c r="B1583" s="35">
        <f>IF(Setup!$B$12="","",Setup!$B$12)</f>
        <v/>
      </c>
      <c r="C1583" s="98" t="n"/>
      <c r="D1583" s="99" t="n"/>
      <c r="E1583" s="99" t="n"/>
      <c r="F1583" s="100" t="n"/>
      <c r="G1583" s="98" t="n"/>
      <c r="H1583" s="99" t="n"/>
      <c r="I1583" s="99" t="n"/>
      <c r="J1583" s="100" t="n"/>
      <c r="K1583" s="98" t="n"/>
      <c r="L1583" s="99" t="n"/>
      <c r="M1583" s="99" t="n"/>
      <c r="N1583" s="100" t="n"/>
      <c r="O1583" s="98" t="n"/>
      <c r="P1583" s="99" t="n"/>
      <c r="Q1583" s="99" t="n"/>
      <c r="R1583" s="100" t="n"/>
      <c r="S1583" s="98" t="n"/>
      <c r="T1583" s="99" t="n"/>
      <c r="U1583" s="99" t="n"/>
      <c r="V1583" s="100" t="n"/>
      <c r="W1583" s="98" t="n"/>
      <c r="X1583" s="100" t="n"/>
      <c r="Y1583" s="98" t="n"/>
      <c r="Z1583" s="100" t="n"/>
      <c r="AB1583" s="101">
        <f>IF($B1583="","",(COUNTIF(C1558:E1575,$B1583)+COUNTIF(C1558:E1575,$B1583&amp;" ~*")&gt;0)+(COUNTIF(G1558:I1575,$B1583)+COUNTIF(G1558:I1575,$B1583&amp;" ~*")&gt;0)+(COUNTIF(K1558:M1575,$B1583)+COUNTIF(K1558:M1575,$B1583&amp;" ~*")&gt;0)+(COUNTIF(O1558:Q1575,$B1583)+COUNTIF(O1558:Q1575,$B1583&amp;" ~*")&gt;0)+(COUNTIF(S1558:U1575,$B1583)+COUNTIF(S1558:U1575,$B1583&amp;" ~*")&gt;0)+(COUNTIF(W1558:W1575,$B1583)+COUNTIF(W1558:W1575,$B1583&amp;" ~*")&gt;0)+(COUNTIF(Y1558:Y1575,$B1583)+COUNTIF(Y1558:Y1575,$B1583&amp;" ~*")&gt;0))</f>
        <v/>
      </c>
      <c r="AC1583" s="36">
        <f>IF($B1583="","",(IFERROR(INDEX(Setup!$G$33:$G$40,MATCH(C1583,Setup!$B$33:$B$40,0)),0)=1)*(COUNTIF(C1558:E1575,$B1583)+COUNTIF(C1558:E1575,$B1583&amp;" ~*")&gt;0)+(IFERROR(INDEX(Setup!$G$33:$G$40,MATCH(G1583,Setup!$B$33:$B$40,0)),0)=1)*(COUNTIF(G1558:I1575,$B1583)+COUNTIF(G1558:I1575,$B1583&amp;" ~*")&gt;0)+(IFERROR(INDEX(Setup!$G$33:$G$40,MATCH(K1583,Setup!$B$33:$B$40,0)),0)=1)*(COUNTIF(K1558:M1575,$B1583)+COUNTIF(K1558:M1575,$B1583&amp;" ~*")&gt;0)+(IFERROR(INDEX(Setup!$G$33:$G$40,MATCH(O1583,Setup!$B$33:$B$40,0)),0)=1)*(COUNTIF(O1558:Q1575,$B1583)+COUNTIF(O1558:Q1575,$B1583&amp;" ~*")&gt;0)+(IFERROR(INDEX(Setup!$G$33:$G$40,MATCH(S1583,Setup!$B$33:$B$40,0)),0)=1)*(COUNTIF(S1558:U1575,$B1583)+COUNTIF(S1558:U1575,$B1583&amp;" ~*")&gt;0)+(IFERROR(INDEX(Setup!$G$33:$G$40,MATCH(W1583,Setup!$B$33:$B$40,0)),0)=1)*(COUNTIF(W1558:W1575,$B1583)+COUNTIF(W1558:W1575,$B1583&amp;" ~*")&gt;0)+(IFERROR(INDEX(Setup!$G$33:$G$40,MATCH(Y1583,Setup!$B$33:$B$40,0)),0)=1)*(COUNTIF(Y1558:Y1575,$B1583)+COUNTIF(Y1558:Y1575,$B1583&amp;" ~*")&gt;0))</f>
        <v/>
      </c>
    </row>
    <row r="1584" ht="15" customHeight="1">
      <c r="A1584" t="n">
        <v>32</v>
      </c>
      <c r="B1584" s="37">
        <f>IF(Setup!$B$13="","",Setup!$B$13)</f>
        <v/>
      </c>
      <c r="C1584" s="102" t="n"/>
      <c r="D1584" s="103" t="n"/>
      <c r="E1584" s="103" t="n"/>
      <c r="F1584" s="104" t="n"/>
      <c r="G1584" s="102" t="n"/>
      <c r="H1584" s="103" t="n"/>
      <c r="I1584" s="103" t="n"/>
      <c r="J1584" s="104" t="n"/>
      <c r="K1584" s="102" t="n"/>
      <c r="L1584" s="103" t="n"/>
      <c r="M1584" s="103" t="n"/>
      <c r="N1584" s="104" t="n"/>
      <c r="O1584" s="102" t="n"/>
      <c r="P1584" s="103" t="n"/>
      <c r="Q1584" s="103" t="n"/>
      <c r="R1584" s="104" t="n"/>
      <c r="S1584" s="102" t="n"/>
      <c r="T1584" s="103" t="n"/>
      <c r="U1584" s="103" t="n"/>
      <c r="V1584" s="104" t="n"/>
      <c r="W1584" s="102" t="n"/>
      <c r="X1584" s="104" t="n"/>
      <c r="Y1584" s="102" t="n"/>
      <c r="Z1584" s="104" t="n"/>
      <c r="AB1584" s="105">
        <f>IF($B1584="","",(COUNTIF(C1558:E1575,$B1584)+COUNTIF(C1558:E1575,$B1584&amp;" ~*")&gt;0)+(COUNTIF(G1558:I1575,$B1584)+COUNTIF(G1558:I1575,$B1584&amp;" ~*")&gt;0)+(COUNTIF(K1558:M1575,$B1584)+COUNTIF(K1558:M1575,$B1584&amp;" ~*")&gt;0)+(COUNTIF(O1558:Q1575,$B1584)+COUNTIF(O1558:Q1575,$B1584&amp;" ~*")&gt;0)+(COUNTIF(S1558:U1575,$B1584)+COUNTIF(S1558:U1575,$B1584&amp;" ~*")&gt;0)+(COUNTIF(W1558:W1575,$B1584)+COUNTIF(W1558:W1575,$B1584&amp;" ~*")&gt;0)+(COUNTIF(Y1558:Y1575,$B1584)+COUNTIF(Y1558:Y1575,$B1584&amp;" ~*")&gt;0))</f>
        <v/>
      </c>
      <c r="AC1584" s="38">
        <f>IF($B1584="","",(IFERROR(INDEX(Setup!$G$33:$G$40,MATCH(C1584,Setup!$B$33:$B$40,0)),0)=1)*(COUNTIF(C1558:E1575,$B1584)+COUNTIF(C1558:E1575,$B1584&amp;" ~*")&gt;0)+(IFERROR(INDEX(Setup!$G$33:$G$40,MATCH(G1584,Setup!$B$33:$B$40,0)),0)=1)*(COUNTIF(G1558:I1575,$B1584)+COUNTIF(G1558:I1575,$B1584&amp;" ~*")&gt;0)+(IFERROR(INDEX(Setup!$G$33:$G$40,MATCH(K1584,Setup!$B$33:$B$40,0)),0)=1)*(COUNTIF(K1558:M1575,$B1584)+COUNTIF(K1558:M1575,$B1584&amp;" ~*")&gt;0)+(IFERROR(INDEX(Setup!$G$33:$G$40,MATCH(O1584,Setup!$B$33:$B$40,0)),0)=1)*(COUNTIF(O1558:Q1575,$B1584)+COUNTIF(O1558:Q1575,$B1584&amp;" ~*")&gt;0)+(IFERROR(INDEX(Setup!$G$33:$G$40,MATCH(S1584,Setup!$B$33:$B$40,0)),0)=1)*(COUNTIF(S1558:U1575,$B1584)+COUNTIF(S1558:U1575,$B1584&amp;" ~*")&gt;0)+(IFERROR(INDEX(Setup!$G$33:$G$40,MATCH(W1584,Setup!$B$33:$B$40,0)),0)=1)*(COUNTIF(W1558:W1575,$B1584)+COUNTIF(W1558:W1575,$B1584&amp;" ~*")&gt;0)+(IFERROR(INDEX(Setup!$G$33:$G$40,MATCH(Y1584,Setup!$B$33:$B$40,0)),0)=1)*(COUNTIF(Y1558:Y1575,$B1584)+COUNTIF(Y1558:Y1575,$B1584&amp;" ~*")&gt;0))</f>
        <v/>
      </c>
    </row>
    <row r="1585" ht="15" customHeight="1">
      <c r="A1585" t="n">
        <v>32</v>
      </c>
      <c r="B1585" s="35">
        <f>IF(Setup!$B$14="","",Setup!$B$14)</f>
        <v/>
      </c>
      <c r="C1585" s="98" t="n"/>
      <c r="D1585" s="99" t="n"/>
      <c r="E1585" s="99" t="n"/>
      <c r="F1585" s="100" t="n"/>
      <c r="G1585" s="98" t="n"/>
      <c r="H1585" s="99" t="n"/>
      <c r="I1585" s="99" t="n"/>
      <c r="J1585" s="100" t="n"/>
      <c r="K1585" s="98" t="n"/>
      <c r="L1585" s="99" t="n"/>
      <c r="M1585" s="99" t="n"/>
      <c r="N1585" s="100" t="n"/>
      <c r="O1585" s="98" t="n"/>
      <c r="P1585" s="99" t="n"/>
      <c r="Q1585" s="99" t="n"/>
      <c r="R1585" s="100" t="n"/>
      <c r="S1585" s="98" t="n"/>
      <c r="T1585" s="99" t="n"/>
      <c r="U1585" s="99" t="n"/>
      <c r="V1585" s="100" t="n"/>
      <c r="W1585" s="98" t="n"/>
      <c r="X1585" s="100" t="n"/>
      <c r="Y1585" s="98" t="n"/>
      <c r="Z1585" s="100" t="n"/>
      <c r="AB1585" s="101">
        <f>IF($B1585="","",(COUNTIF(C1558:E1575,$B1585)+COUNTIF(C1558:E1575,$B1585&amp;" ~*")&gt;0)+(COUNTIF(G1558:I1575,$B1585)+COUNTIF(G1558:I1575,$B1585&amp;" ~*")&gt;0)+(COUNTIF(K1558:M1575,$B1585)+COUNTIF(K1558:M1575,$B1585&amp;" ~*")&gt;0)+(COUNTIF(O1558:Q1575,$B1585)+COUNTIF(O1558:Q1575,$B1585&amp;" ~*")&gt;0)+(COUNTIF(S1558:U1575,$B1585)+COUNTIF(S1558:U1575,$B1585&amp;" ~*")&gt;0)+(COUNTIF(W1558:W1575,$B1585)+COUNTIF(W1558:W1575,$B1585&amp;" ~*")&gt;0)+(COUNTIF(Y1558:Y1575,$B1585)+COUNTIF(Y1558:Y1575,$B1585&amp;" ~*")&gt;0))</f>
        <v/>
      </c>
      <c r="AC1585" s="36">
        <f>IF($B1585="","",(IFERROR(INDEX(Setup!$G$33:$G$40,MATCH(C1585,Setup!$B$33:$B$40,0)),0)=1)*(COUNTIF(C1558:E1575,$B1585)+COUNTIF(C1558:E1575,$B1585&amp;" ~*")&gt;0)+(IFERROR(INDEX(Setup!$G$33:$G$40,MATCH(G1585,Setup!$B$33:$B$40,0)),0)=1)*(COUNTIF(G1558:I1575,$B1585)+COUNTIF(G1558:I1575,$B1585&amp;" ~*")&gt;0)+(IFERROR(INDEX(Setup!$G$33:$G$40,MATCH(K1585,Setup!$B$33:$B$40,0)),0)=1)*(COUNTIF(K1558:M1575,$B1585)+COUNTIF(K1558:M1575,$B1585&amp;" ~*")&gt;0)+(IFERROR(INDEX(Setup!$G$33:$G$40,MATCH(O1585,Setup!$B$33:$B$40,0)),0)=1)*(COUNTIF(O1558:Q1575,$B1585)+COUNTIF(O1558:Q1575,$B1585&amp;" ~*")&gt;0)+(IFERROR(INDEX(Setup!$G$33:$G$40,MATCH(S1585,Setup!$B$33:$B$40,0)),0)=1)*(COUNTIF(S1558:U1575,$B1585)+COUNTIF(S1558:U1575,$B1585&amp;" ~*")&gt;0)+(IFERROR(INDEX(Setup!$G$33:$G$40,MATCH(W1585,Setup!$B$33:$B$40,0)),0)=1)*(COUNTIF(W1558:W1575,$B1585)+COUNTIF(W1558:W1575,$B1585&amp;" ~*")&gt;0)+(IFERROR(INDEX(Setup!$G$33:$G$40,MATCH(Y1585,Setup!$B$33:$B$40,0)),0)=1)*(COUNTIF(Y1558:Y1575,$B1585)+COUNTIF(Y1558:Y1575,$B1585&amp;" ~*")&gt;0))</f>
        <v/>
      </c>
    </row>
    <row r="1586" ht="15" customHeight="1">
      <c r="A1586" t="n">
        <v>32</v>
      </c>
      <c r="B1586" s="37">
        <f>IF(Setup!$B$15="","",Setup!$B$15)</f>
        <v/>
      </c>
      <c r="C1586" s="102" t="n"/>
      <c r="D1586" s="103" t="n"/>
      <c r="E1586" s="103" t="n"/>
      <c r="F1586" s="104" t="n"/>
      <c r="G1586" s="102" t="n"/>
      <c r="H1586" s="103" t="n"/>
      <c r="I1586" s="103" t="n"/>
      <c r="J1586" s="104" t="n"/>
      <c r="K1586" s="102" t="n"/>
      <c r="L1586" s="103" t="n"/>
      <c r="M1586" s="103" t="n"/>
      <c r="N1586" s="104" t="n"/>
      <c r="O1586" s="102" t="n"/>
      <c r="P1586" s="103" t="n"/>
      <c r="Q1586" s="103" t="n"/>
      <c r="R1586" s="104" t="n"/>
      <c r="S1586" s="102" t="n"/>
      <c r="T1586" s="103" t="n"/>
      <c r="U1586" s="103" t="n"/>
      <c r="V1586" s="104" t="n"/>
      <c r="W1586" s="102" t="n"/>
      <c r="X1586" s="104" t="n"/>
      <c r="Y1586" s="102" t="n"/>
      <c r="Z1586" s="104" t="n"/>
      <c r="AB1586" s="105">
        <f>IF($B1586="","",(COUNTIF(C1558:E1575,$B1586)+COUNTIF(C1558:E1575,$B1586&amp;" ~*")&gt;0)+(COUNTIF(G1558:I1575,$B1586)+COUNTIF(G1558:I1575,$B1586&amp;" ~*")&gt;0)+(COUNTIF(K1558:M1575,$B1586)+COUNTIF(K1558:M1575,$B1586&amp;" ~*")&gt;0)+(COUNTIF(O1558:Q1575,$B1586)+COUNTIF(O1558:Q1575,$B1586&amp;" ~*")&gt;0)+(COUNTIF(S1558:U1575,$B1586)+COUNTIF(S1558:U1575,$B1586&amp;" ~*")&gt;0)+(COUNTIF(W1558:W1575,$B1586)+COUNTIF(W1558:W1575,$B1586&amp;" ~*")&gt;0)+(COUNTIF(Y1558:Y1575,$B1586)+COUNTIF(Y1558:Y1575,$B1586&amp;" ~*")&gt;0))</f>
        <v/>
      </c>
      <c r="AC1586" s="38">
        <f>IF($B1586="","",(IFERROR(INDEX(Setup!$G$33:$G$40,MATCH(C1586,Setup!$B$33:$B$40,0)),0)=1)*(COUNTIF(C1558:E1575,$B1586)+COUNTIF(C1558:E1575,$B1586&amp;" ~*")&gt;0)+(IFERROR(INDEX(Setup!$G$33:$G$40,MATCH(G1586,Setup!$B$33:$B$40,0)),0)=1)*(COUNTIF(G1558:I1575,$B1586)+COUNTIF(G1558:I1575,$B1586&amp;" ~*")&gt;0)+(IFERROR(INDEX(Setup!$G$33:$G$40,MATCH(K1586,Setup!$B$33:$B$40,0)),0)=1)*(COUNTIF(K1558:M1575,$B1586)+COUNTIF(K1558:M1575,$B1586&amp;" ~*")&gt;0)+(IFERROR(INDEX(Setup!$G$33:$G$40,MATCH(O1586,Setup!$B$33:$B$40,0)),0)=1)*(COUNTIF(O1558:Q1575,$B1586)+COUNTIF(O1558:Q1575,$B1586&amp;" ~*")&gt;0)+(IFERROR(INDEX(Setup!$G$33:$G$40,MATCH(S1586,Setup!$B$33:$B$40,0)),0)=1)*(COUNTIF(S1558:U1575,$B1586)+COUNTIF(S1558:U1575,$B1586&amp;" ~*")&gt;0)+(IFERROR(INDEX(Setup!$G$33:$G$40,MATCH(W1586,Setup!$B$33:$B$40,0)),0)=1)*(COUNTIF(W1558:W1575,$B1586)+COUNTIF(W1558:W1575,$B1586&amp;" ~*")&gt;0)+(IFERROR(INDEX(Setup!$G$33:$G$40,MATCH(Y1586,Setup!$B$33:$B$40,0)),0)=1)*(COUNTIF(Y1558:Y1575,$B1586)+COUNTIF(Y1558:Y1575,$B1586&amp;" ~*")&gt;0))</f>
        <v/>
      </c>
    </row>
    <row r="1587" ht="15" customHeight="1">
      <c r="A1587" t="n">
        <v>32</v>
      </c>
      <c r="B1587" s="35">
        <f>IF(Setup!$B$16="","",Setup!$B$16)</f>
        <v/>
      </c>
      <c r="C1587" s="98" t="n"/>
      <c r="D1587" s="99" t="n"/>
      <c r="E1587" s="99" t="n"/>
      <c r="F1587" s="100" t="n"/>
      <c r="G1587" s="98" t="n"/>
      <c r="H1587" s="99" t="n"/>
      <c r="I1587" s="99" t="n"/>
      <c r="J1587" s="100" t="n"/>
      <c r="K1587" s="98" t="n"/>
      <c r="L1587" s="99" t="n"/>
      <c r="M1587" s="99" t="n"/>
      <c r="N1587" s="100" t="n"/>
      <c r="O1587" s="98" t="n"/>
      <c r="P1587" s="99" t="n"/>
      <c r="Q1587" s="99" t="n"/>
      <c r="R1587" s="100" t="n"/>
      <c r="S1587" s="98" t="n"/>
      <c r="T1587" s="99" t="n"/>
      <c r="U1587" s="99" t="n"/>
      <c r="V1587" s="100" t="n"/>
      <c r="W1587" s="98" t="n"/>
      <c r="X1587" s="100" t="n"/>
      <c r="Y1587" s="98" t="n"/>
      <c r="Z1587" s="100" t="n"/>
      <c r="AB1587" s="101">
        <f>IF($B1587="","",(COUNTIF(C1558:E1575,$B1587)+COUNTIF(C1558:E1575,$B1587&amp;" ~*")&gt;0)+(COUNTIF(G1558:I1575,$B1587)+COUNTIF(G1558:I1575,$B1587&amp;" ~*")&gt;0)+(COUNTIF(K1558:M1575,$B1587)+COUNTIF(K1558:M1575,$B1587&amp;" ~*")&gt;0)+(COUNTIF(O1558:Q1575,$B1587)+COUNTIF(O1558:Q1575,$B1587&amp;" ~*")&gt;0)+(COUNTIF(S1558:U1575,$B1587)+COUNTIF(S1558:U1575,$B1587&amp;" ~*")&gt;0)+(COUNTIF(W1558:W1575,$B1587)+COUNTIF(W1558:W1575,$B1587&amp;" ~*")&gt;0)+(COUNTIF(Y1558:Y1575,$B1587)+COUNTIF(Y1558:Y1575,$B1587&amp;" ~*")&gt;0))</f>
        <v/>
      </c>
      <c r="AC1587" s="36">
        <f>IF($B1587="","",(IFERROR(INDEX(Setup!$G$33:$G$40,MATCH(C1587,Setup!$B$33:$B$40,0)),0)=1)*(COUNTIF(C1558:E1575,$B1587)+COUNTIF(C1558:E1575,$B1587&amp;" ~*")&gt;0)+(IFERROR(INDEX(Setup!$G$33:$G$40,MATCH(G1587,Setup!$B$33:$B$40,0)),0)=1)*(COUNTIF(G1558:I1575,$B1587)+COUNTIF(G1558:I1575,$B1587&amp;" ~*")&gt;0)+(IFERROR(INDEX(Setup!$G$33:$G$40,MATCH(K1587,Setup!$B$33:$B$40,0)),0)=1)*(COUNTIF(K1558:M1575,$B1587)+COUNTIF(K1558:M1575,$B1587&amp;" ~*")&gt;0)+(IFERROR(INDEX(Setup!$G$33:$G$40,MATCH(O1587,Setup!$B$33:$B$40,0)),0)=1)*(COUNTIF(O1558:Q1575,$B1587)+COUNTIF(O1558:Q1575,$B1587&amp;" ~*")&gt;0)+(IFERROR(INDEX(Setup!$G$33:$G$40,MATCH(S1587,Setup!$B$33:$B$40,0)),0)=1)*(COUNTIF(S1558:U1575,$B1587)+COUNTIF(S1558:U1575,$B1587&amp;" ~*")&gt;0)+(IFERROR(INDEX(Setup!$G$33:$G$40,MATCH(W1587,Setup!$B$33:$B$40,0)),0)=1)*(COUNTIF(W1558:W1575,$B1587)+COUNTIF(W1558:W1575,$B1587&amp;" ~*")&gt;0)+(IFERROR(INDEX(Setup!$G$33:$G$40,MATCH(Y1587,Setup!$B$33:$B$40,0)),0)=1)*(COUNTIF(Y1558:Y1575,$B1587)+COUNTIF(Y1558:Y1575,$B1587&amp;" ~*")&gt;0))</f>
        <v/>
      </c>
    </row>
    <row r="1588" ht="15" customHeight="1">
      <c r="A1588" t="n">
        <v>32</v>
      </c>
      <c r="B1588" s="37">
        <f>IF(Setup!$B$17="","",Setup!$B$17)</f>
        <v/>
      </c>
      <c r="C1588" s="102" t="n"/>
      <c r="D1588" s="103" t="n"/>
      <c r="E1588" s="103" t="n"/>
      <c r="F1588" s="104" t="n"/>
      <c r="G1588" s="102" t="n"/>
      <c r="H1588" s="103" t="n"/>
      <c r="I1588" s="103" t="n"/>
      <c r="J1588" s="104" t="n"/>
      <c r="K1588" s="102" t="n"/>
      <c r="L1588" s="103" t="n"/>
      <c r="M1588" s="103" t="n"/>
      <c r="N1588" s="104" t="n"/>
      <c r="O1588" s="102" t="n"/>
      <c r="P1588" s="103" t="n"/>
      <c r="Q1588" s="103" t="n"/>
      <c r="R1588" s="104" t="n"/>
      <c r="S1588" s="102" t="n"/>
      <c r="T1588" s="103" t="n"/>
      <c r="U1588" s="103" t="n"/>
      <c r="V1588" s="104" t="n"/>
      <c r="W1588" s="102" t="n"/>
      <c r="X1588" s="104" t="n"/>
      <c r="Y1588" s="102" t="n"/>
      <c r="Z1588" s="104" t="n"/>
      <c r="AB1588" s="105">
        <f>IF($B1588="","",(COUNTIF(C1558:E1575,$B1588)+COUNTIF(C1558:E1575,$B1588&amp;" ~*")&gt;0)+(COUNTIF(G1558:I1575,$B1588)+COUNTIF(G1558:I1575,$B1588&amp;" ~*")&gt;0)+(COUNTIF(K1558:M1575,$B1588)+COUNTIF(K1558:M1575,$B1588&amp;" ~*")&gt;0)+(COUNTIF(O1558:Q1575,$B1588)+COUNTIF(O1558:Q1575,$B1588&amp;" ~*")&gt;0)+(COUNTIF(S1558:U1575,$B1588)+COUNTIF(S1558:U1575,$B1588&amp;" ~*")&gt;0)+(COUNTIF(W1558:W1575,$B1588)+COUNTIF(W1558:W1575,$B1588&amp;" ~*")&gt;0)+(COUNTIF(Y1558:Y1575,$B1588)+COUNTIF(Y1558:Y1575,$B1588&amp;" ~*")&gt;0))</f>
        <v/>
      </c>
      <c r="AC1588" s="38">
        <f>IF($B1588="","",(IFERROR(INDEX(Setup!$G$33:$G$40,MATCH(C1588,Setup!$B$33:$B$40,0)),0)=1)*(COUNTIF(C1558:E1575,$B1588)+COUNTIF(C1558:E1575,$B1588&amp;" ~*")&gt;0)+(IFERROR(INDEX(Setup!$G$33:$G$40,MATCH(G1588,Setup!$B$33:$B$40,0)),0)=1)*(COUNTIF(G1558:I1575,$B1588)+COUNTIF(G1558:I1575,$B1588&amp;" ~*")&gt;0)+(IFERROR(INDEX(Setup!$G$33:$G$40,MATCH(K1588,Setup!$B$33:$B$40,0)),0)=1)*(COUNTIF(K1558:M1575,$B1588)+COUNTIF(K1558:M1575,$B1588&amp;" ~*")&gt;0)+(IFERROR(INDEX(Setup!$G$33:$G$40,MATCH(O1588,Setup!$B$33:$B$40,0)),0)=1)*(COUNTIF(O1558:Q1575,$B1588)+COUNTIF(O1558:Q1575,$B1588&amp;" ~*")&gt;0)+(IFERROR(INDEX(Setup!$G$33:$G$40,MATCH(S1588,Setup!$B$33:$B$40,0)),0)=1)*(COUNTIF(S1558:U1575,$B1588)+COUNTIF(S1558:U1575,$B1588&amp;" ~*")&gt;0)+(IFERROR(INDEX(Setup!$G$33:$G$40,MATCH(W1588,Setup!$B$33:$B$40,0)),0)=1)*(COUNTIF(W1558:W1575,$B1588)+COUNTIF(W1558:W1575,$B1588&amp;" ~*")&gt;0)+(IFERROR(INDEX(Setup!$G$33:$G$40,MATCH(Y1588,Setup!$B$33:$B$40,0)),0)=1)*(COUNTIF(Y1558:Y1575,$B1588)+COUNTIF(Y1558:Y1575,$B1588&amp;" ~*")&gt;0))</f>
        <v/>
      </c>
    </row>
    <row r="1589" ht="15" customHeight="1">
      <c r="A1589" t="n">
        <v>32</v>
      </c>
      <c r="B1589" s="35">
        <f>IF(Setup!$B$18="","",Setup!$B$18)</f>
        <v/>
      </c>
      <c r="C1589" s="98" t="n"/>
      <c r="D1589" s="99" t="n"/>
      <c r="E1589" s="99" t="n"/>
      <c r="F1589" s="100" t="n"/>
      <c r="G1589" s="98" t="n"/>
      <c r="H1589" s="99" t="n"/>
      <c r="I1589" s="99" t="n"/>
      <c r="J1589" s="100" t="n"/>
      <c r="K1589" s="98" t="n"/>
      <c r="L1589" s="99" t="n"/>
      <c r="M1589" s="99" t="n"/>
      <c r="N1589" s="100" t="n"/>
      <c r="O1589" s="98" t="n"/>
      <c r="P1589" s="99" t="n"/>
      <c r="Q1589" s="99" t="n"/>
      <c r="R1589" s="100" t="n"/>
      <c r="S1589" s="98" t="n"/>
      <c r="T1589" s="99" t="n"/>
      <c r="U1589" s="99" t="n"/>
      <c r="V1589" s="100" t="n"/>
      <c r="W1589" s="98" t="n"/>
      <c r="X1589" s="100" t="n"/>
      <c r="Y1589" s="98" t="n"/>
      <c r="Z1589" s="100" t="n"/>
      <c r="AB1589" s="101">
        <f>IF($B1589="","",(COUNTIF(C1558:E1575,$B1589)+COUNTIF(C1558:E1575,$B1589&amp;" ~*")&gt;0)+(COUNTIF(G1558:I1575,$B1589)+COUNTIF(G1558:I1575,$B1589&amp;" ~*")&gt;0)+(COUNTIF(K1558:M1575,$B1589)+COUNTIF(K1558:M1575,$B1589&amp;" ~*")&gt;0)+(COUNTIF(O1558:Q1575,$B1589)+COUNTIF(O1558:Q1575,$B1589&amp;" ~*")&gt;0)+(COUNTIF(S1558:U1575,$B1589)+COUNTIF(S1558:U1575,$B1589&amp;" ~*")&gt;0)+(COUNTIF(W1558:W1575,$B1589)+COUNTIF(W1558:W1575,$B1589&amp;" ~*")&gt;0)+(COUNTIF(Y1558:Y1575,$B1589)+COUNTIF(Y1558:Y1575,$B1589&amp;" ~*")&gt;0))</f>
        <v/>
      </c>
      <c r="AC1589" s="36">
        <f>IF($B1589="","",(IFERROR(INDEX(Setup!$G$33:$G$40,MATCH(C1589,Setup!$B$33:$B$40,0)),0)=1)*(COUNTIF(C1558:E1575,$B1589)+COUNTIF(C1558:E1575,$B1589&amp;" ~*")&gt;0)+(IFERROR(INDEX(Setup!$G$33:$G$40,MATCH(G1589,Setup!$B$33:$B$40,0)),0)=1)*(COUNTIF(G1558:I1575,$B1589)+COUNTIF(G1558:I1575,$B1589&amp;" ~*")&gt;0)+(IFERROR(INDEX(Setup!$G$33:$G$40,MATCH(K1589,Setup!$B$33:$B$40,0)),0)=1)*(COUNTIF(K1558:M1575,$B1589)+COUNTIF(K1558:M1575,$B1589&amp;" ~*")&gt;0)+(IFERROR(INDEX(Setup!$G$33:$G$40,MATCH(O1589,Setup!$B$33:$B$40,0)),0)=1)*(COUNTIF(O1558:Q1575,$B1589)+COUNTIF(O1558:Q1575,$B1589&amp;" ~*")&gt;0)+(IFERROR(INDEX(Setup!$G$33:$G$40,MATCH(S1589,Setup!$B$33:$B$40,0)),0)=1)*(COUNTIF(S1558:U1575,$B1589)+COUNTIF(S1558:U1575,$B1589&amp;" ~*")&gt;0)+(IFERROR(INDEX(Setup!$G$33:$G$40,MATCH(W1589,Setup!$B$33:$B$40,0)),0)=1)*(COUNTIF(W1558:W1575,$B1589)+COUNTIF(W1558:W1575,$B1589&amp;" ~*")&gt;0)+(IFERROR(INDEX(Setup!$G$33:$G$40,MATCH(Y1589,Setup!$B$33:$B$40,0)),0)=1)*(COUNTIF(Y1558:Y1575,$B1589)+COUNTIF(Y1558:Y1575,$B1589&amp;" ~*")&gt;0))</f>
        <v/>
      </c>
    </row>
    <row r="1590" ht="15" customHeight="1">
      <c r="A1590" t="n">
        <v>32</v>
      </c>
      <c r="B1590" s="37">
        <f>IF(Setup!$B$19="","",Setup!$B$19)</f>
        <v/>
      </c>
      <c r="C1590" s="102" t="n"/>
      <c r="D1590" s="103" t="n"/>
      <c r="E1590" s="103" t="n"/>
      <c r="F1590" s="104" t="n"/>
      <c r="G1590" s="102" t="n"/>
      <c r="H1590" s="103" t="n"/>
      <c r="I1590" s="103" t="n"/>
      <c r="J1590" s="104" t="n"/>
      <c r="K1590" s="102" t="n"/>
      <c r="L1590" s="103" t="n"/>
      <c r="M1590" s="103" t="n"/>
      <c r="N1590" s="104" t="n"/>
      <c r="O1590" s="102" t="n"/>
      <c r="P1590" s="103" t="n"/>
      <c r="Q1590" s="103" t="n"/>
      <c r="R1590" s="104" t="n"/>
      <c r="S1590" s="102" t="n"/>
      <c r="T1590" s="103" t="n"/>
      <c r="U1590" s="103" t="n"/>
      <c r="V1590" s="104" t="n"/>
      <c r="W1590" s="102" t="n"/>
      <c r="X1590" s="104" t="n"/>
      <c r="Y1590" s="102" t="n"/>
      <c r="Z1590" s="104" t="n"/>
      <c r="AB1590" s="105">
        <f>IF($B1590="","",(COUNTIF(C1558:E1575,$B1590)+COUNTIF(C1558:E1575,$B1590&amp;" ~*")&gt;0)+(COUNTIF(G1558:I1575,$B1590)+COUNTIF(G1558:I1575,$B1590&amp;" ~*")&gt;0)+(COUNTIF(K1558:M1575,$B1590)+COUNTIF(K1558:M1575,$B1590&amp;" ~*")&gt;0)+(COUNTIF(O1558:Q1575,$B1590)+COUNTIF(O1558:Q1575,$B1590&amp;" ~*")&gt;0)+(COUNTIF(S1558:U1575,$B1590)+COUNTIF(S1558:U1575,$B1590&amp;" ~*")&gt;0)+(COUNTIF(W1558:W1575,$B1590)+COUNTIF(W1558:W1575,$B1590&amp;" ~*")&gt;0)+(COUNTIF(Y1558:Y1575,$B1590)+COUNTIF(Y1558:Y1575,$B1590&amp;" ~*")&gt;0))</f>
        <v/>
      </c>
      <c r="AC1590" s="38">
        <f>IF($B1590="","",(IFERROR(INDEX(Setup!$G$33:$G$40,MATCH(C1590,Setup!$B$33:$B$40,0)),0)=1)*(COUNTIF(C1558:E1575,$B1590)+COUNTIF(C1558:E1575,$B1590&amp;" ~*")&gt;0)+(IFERROR(INDEX(Setup!$G$33:$G$40,MATCH(G1590,Setup!$B$33:$B$40,0)),0)=1)*(COUNTIF(G1558:I1575,$B1590)+COUNTIF(G1558:I1575,$B1590&amp;" ~*")&gt;0)+(IFERROR(INDEX(Setup!$G$33:$G$40,MATCH(K1590,Setup!$B$33:$B$40,0)),0)=1)*(COUNTIF(K1558:M1575,$B1590)+COUNTIF(K1558:M1575,$B1590&amp;" ~*")&gt;0)+(IFERROR(INDEX(Setup!$G$33:$G$40,MATCH(O1590,Setup!$B$33:$B$40,0)),0)=1)*(COUNTIF(O1558:Q1575,$B1590)+COUNTIF(O1558:Q1575,$B1590&amp;" ~*")&gt;0)+(IFERROR(INDEX(Setup!$G$33:$G$40,MATCH(S1590,Setup!$B$33:$B$40,0)),0)=1)*(COUNTIF(S1558:U1575,$B1590)+COUNTIF(S1558:U1575,$B1590&amp;" ~*")&gt;0)+(IFERROR(INDEX(Setup!$G$33:$G$40,MATCH(W1590,Setup!$B$33:$B$40,0)),0)=1)*(COUNTIF(W1558:W1575,$B1590)+COUNTIF(W1558:W1575,$B1590&amp;" ~*")&gt;0)+(IFERROR(INDEX(Setup!$G$33:$G$40,MATCH(Y1590,Setup!$B$33:$B$40,0)),0)=1)*(COUNTIF(Y1558:Y1575,$B1590)+COUNTIF(Y1558:Y1575,$B1590&amp;" ~*")&gt;0))</f>
        <v/>
      </c>
    </row>
    <row r="1591" ht="15" customHeight="1">
      <c r="A1591" t="n">
        <v>32</v>
      </c>
      <c r="B1591" s="35">
        <f>IF(Setup!$B$20="","",Setup!$B$20)</f>
        <v/>
      </c>
      <c r="C1591" s="98" t="n"/>
      <c r="D1591" s="99" t="n"/>
      <c r="E1591" s="99" t="n"/>
      <c r="F1591" s="100" t="n"/>
      <c r="G1591" s="98" t="n"/>
      <c r="H1591" s="99" t="n"/>
      <c r="I1591" s="99" t="n"/>
      <c r="J1591" s="100" t="n"/>
      <c r="K1591" s="98" t="n"/>
      <c r="L1591" s="99" t="n"/>
      <c r="M1591" s="99" t="n"/>
      <c r="N1591" s="100" t="n"/>
      <c r="O1591" s="98" t="n"/>
      <c r="P1591" s="99" t="n"/>
      <c r="Q1591" s="99" t="n"/>
      <c r="R1591" s="100" t="n"/>
      <c r="S1591" s="98" t="n"/>
      <c r="T1591" s="99" t="n"/>
      <c r="U1591" s="99" t="n"/>
      <c r="V1591" s="100" t="n"/>
      <c r="W1591" s="98" t="n"/>
      <c r="X1591" s="100" t="n"/>
      <c r="Y1591" s="98" t="n"/>
      <c r="Z1591" s="100" t="n"/>
      <c r="AB1591" s="101">
        <f>IF($B1591="","",(COUNTIF(C1558:E1575,$B1591)+COUNTIF(C1558:E1575,$B1591&amp;" ~*")&gt;0)+(COUNTIF(G1558:I1575,$B1591)+COUNTIF(G1558:I1575,$B1591&amp;" ~*")&gt;0)+(COUNTIF(K1558:M1575,$B1591)+COUNTIF(K1558:M1575,$B1591&amp;" ~*")&gt;0)+(COUNTIF(O1558:Q1575,$B1591)+COUNTIF(O1558:Q1575,$B1591&amp;" ~*")&gt;0)+(COUNTIF(S1558:U1575,$B1591)+COUNTIF(S1558:U1575,$B1591&amp;" ~*")&gt;0)+(COUNTIF(W1558:W1575,$B1591)+COUNTIF(W1558:W1575,$B1591&amp;" ~*")&gt;0)+(COUNTIF(Y1558:Y1575,$B1591)+COUNTIF(Y1558:Y1575,$B1591&amp;" ~*")&gt;0))</f>
        <v/>
      </c>
      <c r="AC1591" s="36">
        <f>IF($B1591="","",(IFERROR(INDEX(Setup!$G$33:$G$40,MATCH(C1591,Setup!$B$33:$B$40,0)),0)=1)*(COUNTIF(C1558:E1575,$B1591)+COUNTIF(C1558:E1575,$B1591&amp;" ~*")&gt;0)+(IFERROR(INDEX(Setup!$G$33:$G$40,MATCH(G1591,Setup!$B$33:$B$40,0)),0)=1)*(COUNTIF(G1558:I1575,$B1591)+COUNTIF(G1558:I1575,$B1591&amp;" ~*")&gt;0)+(IFERROR(INDEX(Setup!$G$33:$G$40,MATCH(K1591,Setup!$B$33:$B$40,0)),0)=1)*(COUNTIF(K1558:M1575,$B1591)+COUNTIF(K1558:M1575,$B1591&amp;" ~*")&gt;0)+(IFERROR(INDEX(Setup!$G$33:$G$40,MATCH(O1591,Setup!$B$33:$B$40,0)),0)=1)*(COUNTIF(O1558:Q1575,$B1591)+COUNTIF(O1558:Q1575,$B1591&amp;" ~*")&gt;0)+(IFERROR(INDEX(Setup!$G$33:$G$40,MATCH(S1591,Setup!$B$33:$B$40,0)),0)=1)*(COUNTIF(S1558:U1575,$B1591)+COUNTIF(S1558:U1575,$B1591&amp;" ~*")&gt;0)+(IFERROR(INDEX(Setup!$G$33:$G$40,MATCH(W1591,Setup!$B$33:$B$40,0)),0)=1)*(COUNTIF(W1558:W1575,$B1591)+COUNTIF(W1558:W1575,$B1591&amp;" ~*")&gt;0)+(IFERROR(INDEX(Setup!$G$33:$G$40,MATCH(Y1591,Setup!$B$33:$B$40,0)),0)=1)*(COUNTIF(Y1558:Y1575,$B1591)+COUNTIF(Y1558:Y1575,$B1591&amp;" ~*")&gt;0))</f>
        <v/>
      </c>
    </row>
    <row r="1592" ht="15" customHeight="1">
      <c r="A1592" t="n">
        <v>32</v>
      </c>
      <c r="B1592" s="37">
        <f>IF(Setup!$B$21="","",Setup!$B$21)</f>
        <v/>
      </c>
      <c r="C1592" s="102" t="n"/>
      <c r="D1592" s="103" t="n"/>
      <c r="E1592" s="103" t="n"/>
      <c r="F1592" s="104" t="n"/>
      <c r="G1592" s="102" t="n"/>
      <c r="H1592" s="103" t="n"/>
      <c r="I1592" s="103" t="n"/>
      <c r="J1592" s="104" t="n"/>
      <c r="K1592" s="102" t="n"/>
      <c r="L1592" s="103" t="n"/>
      <c r="M1592" s="103" t="n"/>
      <c r="N1592" s="104" t="n"/>
      <c r="O1592" s="102" t="n"/>
      <c r="P1592" s="103" t="n"/>
      <c r="Q1592" s="103" t="n"/>
      <c r="R1592" s="104" t="n"/>
      <c r="S1592" s="102" t="n"/>
      <c r="T1592" s="103" t="n"/>
      <c r="U1592" s="103" t="n"/>
      <c r="V1592" s="104" t="n"/>
      <c r="W1592" s="102" t="n"/>
      <c r="X1592" s="104" t="n"/>
      <c r="Y1592" s="102" t="n"/>
      <c r="Z1592" s="104" t="n"/>
      <c r="AB1592" s="105">
        <f>IF($B1592="","",(COUNTIF(C1558:E1575,$B1592)+COUNTIF(C1558:E1575,$B1592&amp;" ~*")&gt;0)+(COUNTIF(G1558:I1575,$B1592)+COUNTIF(G1558:I1575,$B1592&amp;" ~*")&gt;0)+(COUNTIF(K1558:M1575,$B1592)+COUNTIF(K1558:M1575,$B1592&amp;" ~*")&gt;0)+(COUNTIF(O1558:Q1575,$B1592)+COUNTIF(O1558:Q1575,$B1592&amp;" ~*")&gt;0)+(COUNTIF(S1558:U1575,$B1592)+COUNTIF(S1558:U1575,$B1592&amp;" ~*")&gt;0)+(COUNTIF(W1558:W1575,$B1592)+COUNTIF(W1558:W1575,$B1592&amp;" ~*")&gt;0)+(COUNTIF(Y1558:Y1575,$B1592)+COUNTIF(Y1558:Y1575,$B1592&amp;" ~*")&gt;0))</f>
        <v/>
      </c>
      <c r="AC1592" s="38">
        <f>IF($B1592="","",(IFERROR(INDEX(Setup!$G$33:$G$40,MATCH(C1592,Setup!$B$33:$B$40,0)),0)=1)*(COUNTIF(C1558:E1575,$B1592)+COUNTIF(C1558:E1575,$B1592&amp;" ~*")&gt;0)+(IFERROR(INDEX(Setup!$G$33:$G$40,MATCH(G1592,Setup!$B$33:$B$40,0)),0)=1)*(COUNTIF(G1558:I1575,$B1592)+COUNTIF(G1558:I1575,$B1592&amp;" ~*")&gt;0)+(IFERROR(INDEX(Setup!$G$33:$G$40,MATCH(K1592,Setup!$B$33:$B$40,0)),0)=1)*(COUNTIF(K1558:M1575,$B1592)+COUNTIF(K1558:M1575,$B1592&amp;" ~*")&gt;0)+(IFERROR(INDEX(Setup!$G$33:$G$40,MATCH(O1592,Setup!$B$33:$B$40,0)),0)=1)*(COUNTIF(O1558:Q1575,$B1592)+COUNTIF(O1558:Q1575,$B1592&amp;" ~*")&gt;0)+(IFERROR(INDEX(Setup!$G$33:$G$40,MATCH(S1592,Setup!$B$33:$B$40,0)),0)=1)*(COUNTIF(S1558:U1575,$B1592)+COUNTIF(S1558:U1575,$B1592&amp;" ~*")&gt;0)+(IFERROR(INDEX(Setup!$G$33:$G$40,MATCH(W1592,Setup!$B$33:$B$40,0)),0)=1)*(COUNTIF(W1558:W1575,$B1592)+COUNTIF(W1558:W1575,$B1592&amp;" ~*")&gt;0)+(IFERROR(INDEX(Setup!$G$33:$G$40,MATCH(Y1592,Setup!$B$33:$B$40,0)),0)=1)*(COUNTIF(Y1558:Y1575,$B1592)+COUNTIF(Y1558:Y1575,$B1592&amp;" ~*")&gt;0))</f>
        <v/>
      </c>
    </row>
    <row r="1593" ht="15" customHeight="1">
      <c r="A1593" t="n">
        <v>32</v>
      </c>
      <c r="B1593" s="35">
        <f>IF(Setup!$B$22="","",Setup!$B$22)</f>
        <v/>
      </c>
      <c r="C1593" s="98" t="n"/>
      <c r="D1593" s="99" t="n"/>
      <c r="E1593" s="99" t="n"/>
      <c r="F1593" s="100" t="n"/>
      <c r="G1593" s="98" t="n"/>
      <c r="H1593" s="99" t="n"/>
      <c r="I1593" s="99" t="n"/>
      <c r="J1593" s="100" t="n"/>
      <c r="K1593" s="98" t="n"/>
      <c r="L1593" s="99" t="n"/>
      <c r="M1593" s="99" t="n"/>
      <c r="N1593" s="100" t="n"/>
      <c r="O1593" s="98" t="n"/>
      <c r="P1593" s="99" t="n"/>
      <c r="Q1593" s="99" t="n"/>
      <c r="R1593" s="100" t="n"/>
      <c r="S1593" s="98" t="n"/>
      <c r="T1593" s="99" t="n"/>
      <c r="U1593" s="99" t="n"/>
      <c r="V1593" s="100" t="n"/>
      <c r="W1593" s="98" t="n"/>
      <c r="X1593" s="100" t="n"/>
      <c r="Y1593" s="98" t="n"/>
      <c r="Z1593" s="100" t="n"/>
      <c r="AB1593" s="101">
        <f>IF($B1593="","",(COUNTIF(C1558:E1575,$B1593)+COUNTIF(C1558:E1575,$B1593&amp;" ~*")&gt;0)+(COUNTIF(G1558:I1575,$B1593)+COUNTIF(G1558:I1575,$B1593&amp;" ~*")&gt;0)+(COUNTIF(K1558:M1575,$B1593)+COUNTIF(K1558:M1575,$B1593&amp;" ~*")&gt;0)+(COUNTIF(O1558:Q1575,$B1593)+COUNTIF(O1558:Q1575,$B1593&amp;" ~*")&gt;0)+(COUNTIF(S1558:U1575,$B1593)+COUNTIF(S1558:U1575,$B1593&amp;" ~*")&gt;0)+(COUNTIF(W1558:W1575,$B1593)+COUNTIF(W1558:W1575,$B1593&amp;" ~*")&gt;0)+(COUNTIF(Y1558:Y1575,$B1593)+COUNTIF(Y1558:Y1575,$B1593&amp;" ~*")&gt;0))</f>
        <v/>
      </c>
      <c r="AC1593" s="36">
        <f>IF($B1593="","",(IFERROR(INDEX(Setup!$G$33:$G$40,MATCH(C1593,Setup!$B$33:$B$40,0)),0)=1)*(COUNTIF(C1558:E1575,$B1593)+COUNTIF(C1558:E1575,$B1593&amp;" ~*")&gt;0)+(IFERROR(INDEX(Setup!$G$33:$G$40,MATCH(G1593,Setup!$B$33:$B$40,0)),0)=1)*(COUNTIF(G1558:I1575,$B1593)+COUNTIF(G1558:I1575,$B1593&amp;" ~*")&gt;0)+(IFERROR(INDEX(Setup!$G$33:$G$40,MATCH(K1593,Setup!$B$33:$B$40,0)),0)=1)*(COUNTIF(K1558:M1575,$B1593)+COUNTIF(K1558:M1575,$B1593&amp;" ~*")&gt;0)+(IFERROR(INDEX(Setup!$G$33:$G$40,MATCH(O1593,Setup!$B$33:$B$40,0)),0)=1)*(COUNTIF(O1558:Q1575,$B1593)+COUNTIF(O1558:Q1575,$B1593&amp;" ~*")&gt;0)+(IFERROR(INDEX(Setup!$G$33:$G$40,MATCH(S1593,Setup!$B$33:$B$40,0)),0)=1)*(COUNTIF(S1558:U1575,$B1593)+COUNTIF(S1558:U1575,$B1593&amp;" ~*")&gt;0)+(IFERROR(INDEX(Setup!$G$33:$G$40,MATCH(W1593,Setup!$B$33:$B$40,0)),0)=1)*(COUNTIF(W1558:W1575,$B1593)+COUNTIF(W1558:W1575,$B1593&amp;" ~*")&gt;0)+(IFERROR(INDEX(Setup!$G$33:$G$40,MATCH(Y1593,Setup!$B$33:$B$40,0)),0)=1)*(COUNTIF(Y1558:Y1575,$B1593)+COUNTIF(Y1558:Y1575,$B1593&amp;" ~*")&gt;0))</f>
        <v/>
      </c>
    </row>
    <row r="1594" ht="15" customHeight="1">
      <c r="A1594" t="n">
        <v>32</v>
      </c>
      <c r="B1594" s="37">
        <f>IF(Setup!$B$23="","",Setup!$B$23)</f>
        <v/>
      </c>
      <c r="C1594" s="102" t="n"/>
      <c r="D1594" s="103" t="n"/>
      <c r="E1594" s="103" t="n"/>
      <c r="F1594" s="104" t="n"/>
      <c r="G1594" s="102" t="n"/>
      <c r="H1594" s="103" t="n"/>
      <c r="I1594" s="103" t="n"/>
      <c r="J1594" s="104" t="n"/>
      <c r="K1594" s="102" t="n"/>
      <c r="L1594" s="103" t="n"/>
      <c r="M1594" s="103" t="n"/>
      <c r="N1594" s="104" t="n"/>
      <c r="O1594" s="102" t="n"/>
      <c r="P1594" s="103" t="n"/>
      <c r="Q1594" s="103" t="n"/>
      <c r="R1594" s="104" t="n"/>
      <c r="S1594" s="102" t="n"/>
      <c r="T1594" s="103" t="n"/>
      <c r="U1594" s="103" t="n"/>
      <c r="V1594" s="104" t="n"/>
      <c r="W1594" s="102" t="n"/>
      <c r="X1594" s="104" t="n"/>
      <c r="Y1594" s="102" t="n"/>
      <c r="Z1594" s="104" t="n"/>
      <c r="AB1594" s="105">
        <f>IF($B1594="","",(COUNTIF(C1558:E1575,$B1594)+COUNTIF(C1558:E1575,$B1594&amp;" ~*")&gt;0)+(COUNTIF(G1558:I1575,$B1594)+COUNTIF(G1558:I1575,$B1594&amp;" ~*")&gt;0)+(COUNTIF(K1558:M1575,$B1594)+COUNTIF(K1558:M1575,$B1594&amp;" ~*")&gt;0)+(COUNTIF(O1558:Q1575,$B1594)+COUNTIF(O1558:Q1575,$B1594&amp;" ~*")&gt;0)+(COUNTIF(S1558:U1575,$B1594)+COUNTIF(S1558:U1575,$B1594&amp;" ~*")&gt;0)+(COUNTIF(W1558:W1575,$B1594)+COUNTIF(W1558:W1575,$B1594&amp;" ~*")&gt;0)+(COUNTIF(Y1558:Y1575,$B1594)+COUNTIF(Y1558:Y1575,$B1594&amp;" ~*")&gt;0))</f>
        <v/>
      </c>
      <c r="AC1594" s="38">
        <f>IF($B1594="","",(IFERROR(INDEX(Setup!$G$33:$G$40,MATCH(C1594,Setup!$B$33:$B$40,0)),0)=1)*(COUNTIF(C1558:E1575,$B1594)+COUNTIF(C1558:E1575,$B1594&amp;" ~*")&gt;0)+(IFERROR(INDEX(Setup!$G$33:$G$40,MATCH(G1594,Setup!$B$33:$B$40,0)),0)=1)*(COUNTIF(G1558:I1575,$B1594)+COUNTIF(G1558:I1575,$B1594&amp;" ~*")&gt;0)+(IFERROR(INDEX(Setup!$G$33:$G$40,MATCH(K1594,Setup!$B$33:$B$40,0)),0)=1)*(COUNTIF(K1558:M1575,$B1594)+COUNTIF(K1558:M1575,$B1594&amp;" ~*")&gt;0)+(IFERROR(INDEX(Setup!$G$33:$G$40,MATCH(O1594,Setup!$B$33:$B$40,0)),0)=1)*(COUNTIF(O1558:Q1575,$B1594)+COUNTIF(O1558:Q1575,$B1594&amp;" ~*")&gt;0)+(IFERROR(INDEX(Setup!$G$33:$G$40,MATCH(S1594,Setup!$B$33:$B$40,0)),0)=1)*(COUNTIF(S1558:U1575,$B1594)+COUNTIF(S1558:U1575,$B1594&amp;" ~*")&gt;0)+(IFERROR(INDEX(Setup!$G$33:$G$40,MATCH(W1594,Setup!$B$33:$B$40,0)),0)=1)*(COUNTIF(W1558:W1575,$B1594)+COUNTIF(W1558:W1575,$B1594&amp;" ~*")&gt;0)+(IFERROR(INDEX(Setup!$G$33:$G$40,MATCH(Y1594,Setup!$B$33:$B$40,0)),0)=1)*(COUNTIF(Y1558:Y1575,$B1594)+COUNTIF(Y1558:Y1575,$B1594&amp;" ~*")&gt;0))</f>
        <v/>
      </c>
    </row>
    <row r="1595" ht="15" customHeight="1">
      <c r="A1595" t="n">
        <v>32</v>
      </c>
      <c r="B1595" s="35">
        <f>IF(Setup!$B$24="","",Setup!$B$24)</f>
        <v/>
      </c>
      <c r="C1595" s="98" t="n"/>
      <c r="D1595" s="99" t="n"/>
      <c r="E1595" s="99" t="n"/>
      <c r="F1595" s="100" t="n"/>
      <c r="G1595" s="98" t="n"/>
      <c r="H1595" s="99" t="n"/>
      <c r="I1595" s="99" t="n"/>
      <c r="J1595" s="100" t="n"/>
      <c r="K1595" s="98" t="n"/>
      <c r="L1595" s="99" t="n"/>
      <c r="M1595" s="99" t="n"/>
      <c r="N1595" s="100" t="n"/>
      <c r="O1595" s="98" t="n"/>
      <c r="P1595" s="99" t="n"/>
      <c r="Q1595" s="99" t="n"/>
      <c r="R1595" s="100" t="n"/>
      <c r="S1595" s="98" t="n"/>
      <c r="T1595" s="99" t="n"/>
      <c r="U1595" s="99" t="n"/>
      <c r="V1595" s="100" t="n"/>
      <c r="W1595" s="98" t="n"/>
      <c r="X1595" s="100" t="n"/>
      <c r="Y1595" s="98" t="n"/>
      <c r="Z1595" s="100" t="n"/>
      <c r="AB1595" s="101">
        <f>IF($B1595="","",(COUNTIF(C1558:E1575,$B1595)+COUNTIF(C1558:E1575,$B1595&amp;" ~*")&gt;0)+(COUNTIF(G1558:I1575,$B1595)+COUNTIF(G1558:I1575,$B1595&amp;" ~*")&gt;0)+(COUNTIF(K1558:M1575,$B1595)+COUNTIF(K1558:M1575,$B1595&amp;" ~*")&gt;0)+(COUNTIF(O1558:Q1575,$B1595)+COUNTIF(O1558:Q1575,$B1595&amp;" ~*")&gt;0)+(COUNTIF(S1558:U1575,$B1595)+COUNTIF(S1558:U1575,$B1595&amp;" ~*")&gt;0)+(COUNTIF(W1558:W1575,$B1595)+COUNTIF(W1558:W1575,$B1595&amp;" ~*")&gt;0)+(COUNTIF(Y1558:Y1575,$B1595)+COUNTIF(Y1558:Y1575,$B1595&amp;" ~*")&gt;0))</f>
        <v/>
      </c>
      <c r="AC1595" s="36">
        <f>IF($B1595="","",(IFERROR(INDEX(Setup!$G$33:$G$40,MATCH(C1595,Setup!$B$33:$B$40,0)),0)=1)*(COUNTIF(C1558:E1575,$B1595)+COUNTIF(C1558:E1575,$B1595&amp;" ~*")&gt;0)+(IFERROR(INDEX(Setup!$G$33:$G$40,MATCH(G1595,Setup!$B$33:$B$40,0)),0)=1)*(COUNTIF(G1558:I1575,$B1595)+COUNTIF(G1558:I1575,$B1595&amp;" ~*")&gt;0)+(IFERROR(INDEX(Setup!$G$33:$G$40,MATCH(K1595,Setup!$B$33:$B$40,0)),0)=1)*(COUNTIF(K1558:M1575,$B1595)+COUNTIF(K1558:M1575,$B1595&amp;" ~*")&gt;0)+(IFERROR(INDEX(Setup!$G$33:$G$40,MATCH(O1595,Setup!$B$33:$B$40,0)),0)=1)*(COUNTIF(O1558:Q1575,$B1595)+COUNTIF(O1558:Q1575,$B1595&amp;" ~*")&gt;0)+(IFERROR(INDEX(Setup!$G$33:$G$40,MATCH(S1595,Setup!$B$33:$B$40,0)),0)=1)*(COUNTIF(S1558:U1575,$B1595)+COUNTIF(S1558:U1575,$B1595&amp;" ~*")&gt;0)+(IFERROR(INDEX(Setup!$G$33:$G$40,MATCH(W1595,Setup!$B$33:$B$40,0)),0)=1)*(COUNTIF(W1558:W1575,$B1595)+COUNTIF(W1558:W1575,$B1595&amp;" ~*")&gt;0)+(IFERROR(INDEX(Setup!$G$33:$G$40,MATCH(Y1595,Setup!$B$33:$B$40,0)),0)=1)*(COUNTIF(Y1558:Y1575,$B1595)+COUNTIF(Y1558:Y1575,$B1595&amp;" ~*")&gt;0))</f>
        <v/>
      </c>
    </row>
    <row r="1596" ht="15" customHeight="1">
      <c r="A1596" t="n">
        <v>32</v>
      </c>
      <c r="B1596" s="37">
        <f>IF(Setup!$B$25="","",Setup!$B$25)</f>
        <v/>
      </c>
      <c r="C1596" s="102" t="n"/>
      <c r="D1596" s="103" t="n"/>
      <c r="E1596" s="103" t="n"/>
      <c r="F1596" s="104" t="n"/>
      <c r="G1596" s="102" t="n"/>
      <c r="H1596" s="103" t="n"/>
      <c r="I1596" s="103" t="n"/>
      <c r="J1596" s="104" t="n"/>
      <c r="K1596" s="102" t="n"/>
      <c r="L1596" s="103" t="n"/>
      <c r="M1596" s="103" t="n"/>
      <c r="N1596" s="104" t="n"/>
      <c r="O1596" s="102" t="n"/>
      <c r="P1596" s="103" t="n"/>
      <c r="Q1596" s="103" t="n"/>
      <c r="R1596" s="104" t="n"/>
      <c r="S1596" s="102" t="n"/>
      <c r="T1596" s="103" t="n"/>
      <c r="U1596" s="103" t="n"/>
      <c r="V1596" s="104" t="n"/>
      <c r="W1596" s="102" t="n"/>
      <c r="X1596" s="104" t="n"/>
      <c r="Y1596" s="102" t="n"/>
      <c r="Z1596" s="104" t="n"/>
      <c r="AB1596" s="105">
        <f>IF($B1596="","",(COUNTIF(C1558:E1575,$B1596)+COUNTIF(C1558:E1575,$B1596&amp;" ~*")&gt;0)+(COUNTIF(G1558:I1575,$B1596)+COUNTIF(G1558:I1575,$B1596&amp;" ~*")&gt;0)+(COUNTIF(K1558:M1575,$B1596)+COUNTIF(K1558:M1575,$B1596&amp;" ~*")&gt;0)+(COUNTIF(O1558:Q1575,$B1596)+COUNTIF(O1558:Q1575,$B1596&amp;" ~*")&gt;0)+(COUNTIF(S1558:U1575,$B1596)+COUNTIF(S1558:U1575,$B1596&amp;" ~*")&gt;0)+(COUNTIF(W1558:W1575,$B1596)+COUNTIF(W1558:W1575,$B1596&amp;" ~*")&gt;0)+(COUNTIF(Y1558:Y1575,$B1596)+COUNTIF(Y1558:Y1575,$B1596&amp;" ~*")&gt;0))</f>
        <v/>
      </c>
      <c r="AC1596" s="38">
        <f>IF($B1596="","",(IFERROR(INDEX(Setup!$G$33:$G$40,MATCH(C1596,Setup!$B$33:$B$40,0)),0)=1)*(COUNTIF(C1558:E1575,$B1596)+COUNTIF(C1558:E1575,$B1596&amp;" ~*")&gt;0)+(IFERROR(INDEX(Setup!$G$33:$G$40,MATCH(G1596,Setup!$B$33:$B$40,0)),0)=1)*(COUNTIF(G1558:I1575,$B1596)+COUNTIF(G1558:I1575,$B1596&amp;" ~*")&gt;0)+(IFERROR(INDEX(Setup!$G$33:$G$40,MATCH(K1596,Setup!$B$33:$B$40,0)),0)=1)*(COUNTIF(K1558:M1575,$B1596)+COUNTIF(K1558:M1575,$B1596&amp;" ~*")&gt;0)+(IFERROR(INDEX(Setup!$G$33:$G$40,MATCH(O1596,Setup!$B$33:$B$40,0)),0)=1)*(COUNTIF(O1558:Q1575,$B1596)+COUNTIF(O1558:Q1575,$B1596&amp;" ~*")&gt;0)+(IFERROR(INDEX(Setup!$G$33:$G$40,MATCH(S1596,Setup!$B$33:$B$40,0)),0)=1)*(COUNTIF(S1558:U1575,$B1596)+COUNTIF(S1558:U1575,$B1596&amp;" ~*")&gt;0)+(IFERROR(INDEX(Setup!$G$33:$G$40,MATCH(W1596,Setup!$B$33:$B$40,0)),0)=1)*(COUNTIF(W1558:W1575,$B1596)+COUNTIF(W1558:W1575,$B1596&amp;" ~*")&gt;0)+(IFERROR(INDEX(Setup!$G$33:$G$40,MATCH(Y1596,Setup!$B$33:$B$40,0)),0)=1)*(COUNTIF(Y1558:Y1575,$B1596)+COUNTIF(Y1558:Y1575,$B1596&amp;" ~*")&gt;0))</f>
        <v/>
      </c>
    </row>
    <row r="1597" ht="15" customHeight="1">
      <c r="A1597" t="n">
        <v>32</v>
      </c>
      <c r="B1597" s="35">
        <f>IF(Setup!$B$26="","",Setup!$B$26)</f>
        <v/>
      </c>
      <c r="C1597" s="98" t="n"/>
      <c r="D1597" s="99" t="n"/>
      <c r="E1597" s="99" t="n"/>
      <c r="F1597" s="100" t="n"/>
      <c r="G1597" s="98" t="n"/>
      <c r="H1597" s="99" t="n"/>
      <c r="I1597" s="99" t="n"/>
      <c r="J1597" s="100" t="n"/>
      <c r="K1597" s="98" t="n"/>
      <c r="L1597" s="99" t="n"/>
      <c r="M1597" s="99" t="n"/>
      <c r="N1597" s="100" t="n"/>
      <c r="O1597" s="98" t="n"/>
      <c r="P1597" s="99" t="n"/>
      <c r="Q1597" s="99" t="n"/>
      <c r="R1597" s="100" t="n"/>
      <c r="S1597" s="98" t="n"/>
      <c r="T1597" s="99" t="n"/>
      <c r="U1597" s="99" t="n"/>
      <c r="V1597" s="100" t="n"/>
      <c r="W1597" s="98" t="n"/>
      <c r="X1597" s="100" t="n"/>
      <c r="Y1597" s="98" t="n"/>
      <c r="Z1597" s="100" t="n"/>
      <c r="AB1597" s="101">
        <f>IF($B1597="","",(COUNTIF(C1558:E1575,$B1597)+COUNTIF(C1558:E1575,$B1597&amp;" ~*")&gt;0)+(COUNTIF(G1558:I1575,$B1597)+COUNTIF(G1558:I1575,$B1597&amp;" ~*")&gt;0)+(COUNTIF(K1558:M1575,$B1597)+COUNTIF(K1558:M1575,$B1597&amp;" ~*")&gt;0)+(COUNTIF(O1558:Q1575,$B1597)+COUNTIF(O1558:Q1575,$B1597&amp;" ~*")&gt;0)+(COUNTIF(S1558:U1575,$B1597)+COUNTIF(S1558:U1575,$B1597&amp;" ~*")&gt;0)+(COUNTIF(W1558:W1575,$B1597)+COUNTIF(W1558:W1575,$B1597&amp;" ~*")&gt;0)+(COUNTIF(Y1558:Y1575,$B1597)+COUNTIF(Y1558:Y1575,$B1597&amp;" ~*")&gt;0))</f>
        <v/>
      </c>
      <c r="AC1597" s="36">
        <f>IF($B1597="","",(IFERROR(INDEX(Setup!$G$33:$G$40,MATCH(C1597,Setup!$B$33:$B$40,0)),0)=1)*(COUNTIF(C1558:E1575,$B1597)+COUNTIF(C1558:E1575,$B1597&amp;" ~*")&gt;0)+(IFERROR(INDEX(Setup!$G$33:$G$40,MATCH(G1597,Setup!$B$33:$B$40,0)),0)=1)*(COUNTIF(G1558:I1575,$B1597)+COUNTIF(G1558:I1575,$B1597&amp;" ~*")&gt;0)+(IFERROR(INDEX(Setup!$G$33:$G$40,MATCH(K1597,Setup!$B$33:$B$40,0)),0)=1)*(COUNTIF(K1558:M1575,$B1597)+COUNTIF(K1558:M1575,$B1597&amp;" ~*")&gt;0)+(IFERROR(INDEX(Setup!$G$33:$G$40,MATCH(O1597,Setup!$B$33:$B$40,0)),0)=1)*(COUNTIF(O1558:Q1575,$B1597)+COUNTIF(O1558:Q1575,$B1597&amp;" ~*")&gt;0)+(IFERROR(INDEX(Setup!$G$33:$G$40,MATCH(S1597,Setup!$B$33:$B$40,0)),0)=1)*(COUNTIF(S1558:U1575,$B1597)+COUNTIF(S1558:U1575,$B1597&amp;" ~*")&gt;0)+(IFERROR(INDEX(Setup!$G$33:$G$40,MATCH(W1597,Setup!$B$33:$B$40,0)),0)=1)*(COUNTIF(W1558:W1575,$B1597)+COUNTIF(W1558:W1575,$B1597&amp;" ~*")&gt;0)+(IFERROR(INDEX(Setup!$G$33:$G$40,MATCH(Y1597,Setup!$B$33:$B$40,0)),0)=1)*(COUNTIF(Y1558:Y1575,$B1597)+COUNTIF(Y1558:Y1575,$B1597&amp;" ~*")&gt;0))</f>
        <v/>
      </c>
    </row>
    <row r="1598" ht="15" customHeight="1">
      <c r="A1598" t="n">
        <v>32</v>
      </c>
      <c r="B1598" s="37">
        <f>IF(Setup!$B$27="","",Setup!$B$27)</f>
        <v/>
      </c>
      <c r="C1598" s="102" t="n"/>
      <c r="D1598" s="103" t="n"/>
      <c r="E1598" s="103" t="n"/>
      <c r="F1598" s="104" t="n"/>
      <c r="G1598" s="102" t="n"/>
      <c r="H1598" s="103" t="n"/>
      <c r="I1598" s="103" t="n"/>
      <c r="J1598" s="104" t="n"/>
      <c r="K1598" s="102" t="n"/>
      <c r="L1598" s="103" t="n"/>
      <c r="M1598" s="103" t="n"/>
      <c r="N1598" s="104" t="n"/>
      <c r="O1598" s="102" t="n"/>
      <c r="P1598" s="103" t="n"/>
      <c r="Q1598" s="103" t="n"/>
      <c r="R1598" s="104" t="n"/>
      <c r="S1598" s="102" t="n"/>
      <c r="T1598" s="103" t="n"/>
      <c r="U1598" s="103" t="n"/>
      <c r="V1598" s="104" t="n"/>
      <c r="W1598" s="102" t="n"/>
      <c r="X1598" s="104" t="n"/>
      <c r="Y1598" s="102" t="n"/>
      <c r="Z1598" s="104" t="n"/>
      <c r="AB1598" s="105">
        <f>IF($B1598="","",(COUNTIF(C1558:E1575,$B1598)+COUNTIF(C1558:E1575,$B1598&amp;" ~*")&gt;0)+(COUNTIF(G1558:I1575,$B1598)+COUNTIF(G1558:I1575,$B1598&amp;" ~*")&gt;0)+(COUNTIF(K1558:M1575,$B1598)+COUNTIF(K1558:M1575,$B1598&amp;" ~*")&gt;0)+(COUNTIF(O1558:Q1575,$B1598)+COUNTIF(O1558:Q1575,$B1598&amp;" ~*")&gt;0)+(COUNTIF(S1558:U1575,$B1598)+COUNTIF(S1558:U1575,$B1598&amp;" ~*")&gt;0)+(COUNTIF(W1558:W1575,$B1598)+COUNTIF(W1558:W1575,$B1598&amp;" ~*")&gt;0)+(COUNTIF(Y1558:Y1575,$B1598)+COUNTIF(Y1558:Y1575,$B1598&amp;" ~*")&gt;0))</f>
        <v/>
      </c>
      <c r="AC1598" s="38">
        <f>IF($B1598="","",(IFERROR(INDEX(Setup!$G$33:$G$40,MATCH(C1598,Setup!$B$33:$B$40,0)),0)=1)*(COUNTIF(C1558:E1575,$B1598)+COUNTIF(C1558:E1575,$B1598&amp;" ~*")&gt;0)+(IFERROR(INDEX(Setup!$G$33:$G$40,MATCH(G1598,Setup!$B$33:$B$40,0)),0)=1)*(COUNTIF(G1558:I1575,$B1598)+COUNTIF(G1558:I1575,$B1598&amp;" ~*")&gt;0)+(IFERROR(INDEX(Setup!$G$33:$G$40,MATCH(K1598,Setup!$B$33:$B$40,0)),0)=1)*(COUNTIF(K1558:M1575,$B1598)+COUNTIF(K1558:M1575,$B1598&amp;" ~*")&gt;0)+(IFERROR(INDEX(Setup!$G$33:$G$40,MATCH(O1598,Setup!$B$33:$B$40,0)),0)=1)*(COUNTIF(O1558:Q1575,$B1598)+COUNTIF(O1558:Q1575,$B1598&amp;" ~*")&gt;0)+(IFERROR(INDEX(Setup!$G$33:$G$40,MATCH(S1598,Setup!$B$33:$B$40,0)),0)=1)*(COUNTIF(S1558:U1575,$B1598)+COUNTIF(S1558:U1575,$B1598&amp;" ~*")&gt;0)+(IFERROR(INDEX(Setup!$G$33:$G$40,MATCH(W1598,Setup!$B$33:$B$40,0)),0)=1)*(COUNTIF(W1558:W1575,$B1598)+COUNTIF(W1558:W1575,$B1598&amp;" ~*")&gt;0)+(IFERROR(INDEX(Setup!$G$33:$G$40,MATCH(Y1598,Setup!$B$33:$B$40,0)),0)=1)*(COUNTIF(Y1558:Y1575,$B1598)+COUNTIF(Y1558:Y1575,$B1598&amp;" ~*")&gt;0))</f>
        <v/>
      </c>
    </row>
    <row r="1599" ht="15" customHeight="1">
      <c r="A1599" t="n">
        <v>32</v>
      </c>
      <c r="B1599" s="35">
        <f>IF(Setup!$B$28="","",Setup!$B$28)</f>
        <v/>
      </c>
      <c r="C1599" s="98" t="n"/>
      <c r="D1599" s="99" t="n"/>
      <c r="E1599" s="99" t="n"/>
      <c r="F1599" s="100" t="n"/>
      <c r="G1599" s="98" t="n"/>
      <c r="H1599" s="99" t="n"/>
      <c r="I1599" s="99" t="n"/>
      <c r="J1599" s="100" t="n"/>
      <c r="K1599" s="98" t="n"/>
      <c r="L1599" s="99" t="n"/>
      <c r="M1599" s="99" t="n"/>
      <c r="N1599" s="100" t="n"/>
      <c r="O1599" s="98" t="n"/>
      <c r="P1599" s="99" t="n"/>
      <c r="Q1599" s="99" t="n"/>
      <c r="R1599" s="100" t="n"/>
      <c r="S1599" s="98" t="n"/>
      <c r="T1599" s="99" t="n"/>
      <c r="U1599" s="99" t="n"/>
      <c r="V1599" s="100" t="n"/>
      <c r="W1599" s="98" t="n"/>
      <c r="X1599" s="100" t="n"/>
      <c r="Y1599" s="98" t="n"/>
      <c r="Z1599" s="100" t="n"/>
      <c r="AB1599" s="101">
        <f>IF($B1599="","",(COUNTIF(C1558:E1575,$B1599)+COUNTIF(C1558:E1575,$B1599&amp;" ~*")&gt;0)+(COUNTIF(G1558:I1575,$B1599)+COUNTIF(G1558:I1575,$B1599&amp;" ~*")&gt;0)+(COUNTIF(K1558:M1575,$B1599)+COUNTIF(K1558:M1575,$B1599&amp;" ~*")&gt;0)+(COUNTIF(O1558:Q1575,$B1599)+COUNTIF(O1558:Q1575,$B1599&amp;" ~*")&gt;0)+(COUNTIF(S1558:U1575,$B1599)+COUNTIF(S1558:U1575,$B1599&amp;" ~*")&gt;0)+(COUNTIF(W1558:W1575,$B1599)+COUNTIF(W1558:W1575,$B1599&amp;" ~*")&gt;0)+(COUNTIF(Y1558:Y1575,$B1599)+COUNTIF(Y1558:Y1575,$B1599&amp;" ~*")&gt;0))</f>
        <v/>
      </c>
      <c r="AC1599" s="36">
        <f>IF($B1599="","",(IFERROR(INDEX(Setup!$G$33:$G$40,MATCH(C1599,Setup!$B$33:$B$40,0)),0)=1)*(COUNTIF(C1558:E1575,$B1599)+COUNTIF(C1558:E1575,$B1599&amp;" ~*")&gt;0)+(IFERROR(INDEX(Setup!$G$33:$G$40,MATCH(G1599,Setup!$B$33:$B$40,0)),0)=1)*(COUNTIF(G1558:I1575,$B1599)+COUNTIF(G1558:I1575,$B1599&amp;" ~*")&gt;0)+(IFERROR(INDEX(Setup!$G$33:$G$40,MATCH(K1599,Setup!$B$33:$B$40,0)),0)=1)*(COUNTIF(K1558:M1575,$B1599)+COUNTIF(K1558:M1575,$B1599&amp;" ~*")&gt;0)+(IFERROR(INDEX(Setup!$G$33:$G$40,MATCH(O1599,Setup!$B$33:$B$40,0)),0)=1)*(COUNTIF(O1558:Q1575,$B1599)+COUNTIF(O1558:Q1575,$B1599&amp;" ~*")&gt;0)+(IFERROR(INDEX(Setup!$G$33:$G$40,MATCH(S1599,Setup!$B$33:$B$40,0)),0)=1)*(COUNTIF(S1558:U1575,$B1599)+COUNTIF(S1558:U1575,$B1599&amp;" ~*")&gt;0)+(IFERROR(INDEX(Setup!$G$33:$G$40,MATCH(W1599,Setup!$B$33:$B$40,0)),0)=1)*(COUNTIF(W1558:W1575,$B1599)+COUNTIF(W1558:W1575,$B1599&amp;" ~*")&gt;0)+(IFERROR(INDEX(Setup!$G$33:$G$40,MATCH(Y1599,Setup!$B$33:$B$40,0)),0)=1)*(COUNTIF(Y1558:Y1575,$B1599)+COUNTIF(Y1558:Y1575,$B1599&amp;" ~*")&gt;0))</f>
        <v/>
      </c>
    </row>
    <row r="1600" ht="15" customHeight="1">
      <c r="A1600" t="n">
        <v>32</v>
      </c>
      <c r="B1600" s="37">
        <f>IF(Setup!$B$29="","",Setup!$B$29)</f>
        <v/>
      </c>
      <c r="C1600" s="102" t="n"/>
      <c r="D1600" s="103" t="n"/>
      <c r="E1600" s="103" t="n"/>
      <c r="F1600" s="104" t="n"/>
      <c r="G1600" s="102" t="n"/>
      <c r="H1600" s="103" t="n"/>
      <c r="I1600" s="103" t="n"/>
      <c r="J1600" s="104" t="n"/>
      <c r="K1600" s="102" t="n"/>
      <c r="L1600" s="103" t="n"/>
      <c r="M1600" s="103" t="n"/>
      <c r="N1600" s="104" t="n"/>
      <c r="O1600" s="102" t="n"/>
      <c r="P1600" s="103" t="n"/>
      <c r="Q1600" s="103" t="n"/>
      <c r="R1600" s="104" t="n"/>
      <c r="S1600" s="102" t="n"/>
      <c r="T1600" s="103" t="n"/>
      <c r="U1600" s="103" t="n"/>
      <c r="V1600" s="104" t="n"/>
      <c r="W1600" s="102" t="n"/>
      <c r="X1600" s="104" t="n"/>
      <c r="Y1600" s="102" t="n"/>
      <c r="Z1600" s="104" t="n"/>
      <c r="AB1600" s="105">
        <f>IF($B1600="","",(COUNTIF(C1558:E1575,$B1600)+COUNTIF(C1558:E1575,$B1600&amp;" ~*")&gt;0)+(COUNTIF(G1558:I1575,$B1600)+COUNTIF(G1558:I1575,$B1600&amp;" ~*")&gt;0)+(COUNTIF(K1558:M1575,$B1600)+COUNTIF(K1558:M1575,$B1600&amp;" ~*")&gt;0)+(COUNTIF(O1558:Q1575,$B1600)+COUNTIF(O1558:Q1575,$B1600&amp;" ~*")&gt;0)+(COUNTIF(S1558:U1575,$B1600)+COUNTIF(S1558:U1575,$B1600&amp;" ~*")&gt;0)+(COUNTIF(W1558:W1575,$B1600)+COUNTIF(W1558:W1575,$B1600&amp;" ~*")&gt;0)+(COUNTIF(Y1558:Y1575,$B1600)+COUNTIF(Y1558:Y1575,$B1600&amp;" ~*")&gt;0))</f>
        <v/>
      </c>
      <c r="AC1600" s="38">
        <f>IF($B1600="","",(IFERROR(INDEX(Setup!$G$33:$G$40,MATCH(C1600,Setup!$B$33:$B$40,0)),0)=1)*(COUNTIF(C1558:E1575,$B1600)+COUNTIF(C1558:E1575,$B1600&amp;" ~*")&gt;0)+(IFERROR(INDEX(Setup!$G$33:$G$40,MATCH(G1600,Setup!$B$33:$B$40,0)),0)=1)*(COUNTIF(G1558:I1575,$B1600)+COUNTIF(G1558:I1575,$B1600&amp;" ~*")&gt;0)+(IFERROR(INDEX(Setup!$G$33:$G$40,MATCH(K1600,Setup!$B$33:$B$40,0)),0)=1)*(COUNTIF(K1558:M1575,$B1600)+COUNTIF(K1558:M1575,$B1600&amp;" ~*")&gt;0)+(IFERROR(INDEX(Setup!$G$33:$G$40,MATCH(O1600,Setup!$B$33:$B$40,0)),0)=1)*(COUNTIF(O1558:Q1575,$B1600)+COUNTIF(O1558:Q1575,$B1600&amp;" ~*")&gt;0)+(IFERROR(INDEX(Setup!$G$33:$G$40,MATCH(S1600,Setup!$B$33:$B$40,0)),0)=1)*(COUNTIF(S1558:U1575,$B1600)+COUNTIF(S1558:U1575,$B1600&amp;" ~*")&gt;0)+(IFERROR(INDEX(Setup!$G$33:$G$40,MATCH(W1600,Setup!$B$33:$B$40,0)),0)=1)*(COUNTIF(W1558:W1575,$B1600)+COUNTIF(W1558:W1575,$B1600&amp;" ~*")&gt;0)+(IFERROR(INDEX(Setup!$G$33:$G$40,MATCH(Y1600,Setup!$B$33:$B$40,0)),0)=1)*(COUNTIF(Y1558:Y1575,$B1600)+COUNTIF(Y1558:Y1575,$B1600&amp;" ~*")&gt;0))</f>
        <v/>
      </c>
    </row>
    <row r="1601" ht="16" customHeight="1">
      <c r="A1601" t="n">
        <v>32</v>
      </c>
      <c r="B1601" s="106" t="inlineStr">
        <is>
          <t>Available people</t>
        </is>
      </c>
      <c r="C1601" s="107">
        <f>COUNTIFS(Setup!$E$6:$E$29,"Y",Setup!$B$6:$B$29,"?*")-SUMPRODUCT(COUNTIF(C1577:C1600,Setup!$F$33:$F$40))</f>
        <v/>
      </c>
      <c r="D1601" s="107" t="n"/>
      <c r="E1601" s="107" t="n"/>
      <c r="F1601" s="107" t="n"/>
      <c r="G1601" s="107">
        <f>COUNTIFS(Setup!$E$6:$E$29,"Y",Setup!$B$6:$B$29,"?*")-SUMPRODUCT(COUNTIF(G1577:G1600,Setup!$F$33:$F$40))</f>
        <v/>
      </c>
      <c r="H1601" s="107" t="n"/>
      <c r="I1601" s="107" t="n"/>
      <c r="J1601" s="107" t="n"/>
      <c r="K1601" s="107">
        <f>COUNTIFS(Setup!$E$6:$E$29,"Y",Setup!$B$6:$B$29,"?*")-SUMPRODUCT(COUNTIF(K1577:K1600,Setup!$F$33:$F$40))</f>
        <v/>
      </c>
      <c r="L1601" s="107" t="n"/>
      <c r="M1601" s="107" t="n"/>
      <c r="N1601" s="107" t="n"/>
      <c r="O1601" s="107">
        <f>COUNTIFS(Setup!$E$6:$E$29,"Y",Setup!$B$6:$B$29,"?*")-SUMPRODUCT(COUNTIF(O1577:O1600,Setup!$F$33:$F$40))</f>
        <v/>
      </c>
      <c r="P1601" s="107" t="n"/>
      <c r="Q1601" s="107" t="n"/>
      <c r="R1601" s="107" t="n"/>
      <c r="S1601" s="107">
        <f>COUNTIFS(Setup!$E$6:$E$29,"Y",Setup!$B$6:$B$29,"?*")-SUMPRODUCT(COUNTIF(S1577:S1600,Setup!$F$33:$F$40))</f>
        <v/>
      </c>
      <c r="T1601" s="107" t="n"/>
      <c r="U1601" s="107" t="n"/>
      <c r="V1601" s="107" t="n"/>
      <c r="W1601" s="107">
        <f>COUNTIFS(Setup!$E$6:$E$29,"Y",Setup!$B$6:$B$29,"?*")-SUMPRODUCT(COUNTIF(W1577:W1600,Setup!$F$33:$F$40))</f>
        <v/>
      </c>
      <c r="X1601" s="107" t="n"/>
      <c r="Y1601" s="107">
        <f>COUNTIFS(Setup!$E$6:$E$29,"Y",Setup!$B$6:$B$29,"?*")-SUMPRODUCT(COUNTIF(Y1577:Y1600,Setup!$F$33:$F$40))</f>
        <v/>
      </c>
      <c r="Z1601" s="107" t="n"/>
      <c r="AB1601" s="108">
        <f>SUM(AB1577:AB1600)</f>
        <v/>
      </c>
      <c r="AC1601" s="109">
        <f>SUM(AC1577:AC1600)</f>
        <v/>
      </c>
    </row>
    <row r="1602" ht="30" customHeight="1">
      <c r="A1602" t="n">
        <v>32</v>
      </c>
      <c r="B1602" s="110" t="inlineStr">
        <is>
          <t>Week notes</t>
        </is>
      </c>
      <c r="C1602" s="111" t="n"/>
      <c r="D1602" s="112" t="n"/>
      <c r="E1602" s="112" t="n"/>
      <c r="F1602" s="112" t="n"/>
      <c r="G1602" s="112" t="n"/>
      <c r="H1602" s="112" t="n"/>
      <c r="I1602" s="112" t="n"/>
      <c r="J1602" s="112" t="n"/>
      <c r="K1602" s="112" t="n"/>
      <c r="L1602" s="112" t="n"/>
      <c r="M1602" s="112" t="n"/>
      <c r="N1602" s="112" t="n"/>
      <c r="O1602" s="112" t="n"/>
      <c r="P1602" s="112" t="n"/>
      <c r="Q1602" s="112" t="n"/>
      <c r="R1602" s="112" t="n"/>
      <c r="S1602" s="112" t="n"/>
      <c r="T1602" s="112" t="n"/>
      <c r="U1602" s="112" t="n"/>
      <c r="V1602" s="112" t="n"/>
      <c r="W1602" s="112" t="n"/>
      <c r="X1602" s="112" t="n"/>
      <c r="Y1602" s="112" t="n"/>
      <c r="Z1602" s="113" t="n"/>
    </row>
    <row r="1603" ht="8" customHeight="1">
      <c r="A1603" t="n">
        <v>32</v>
      </c>
    </row>
    <row r="1604" ht="8" customHeight="1">
      <c r="A1604" t="n">
        <v>32</v>
      </c>
    </row>
    <row r="1605" ht="24" customHeight="1">
      <c r="A1605" t="n">
        <v>33</v>
      </c>
      <c r="B1605" s="73">
        <f>"WEEK 33     "&amp;TEXT(C1606,"ddd d mmm")&amp;"  –  "&amp;TEXT(C1606+6,"ddd d mmm yyyy")</f>
        <v/>
      </c>
      <c r="S1605" s="74">
        <f>IF(TODAY()&lt;C1606,"FUTURE",IF(TODAY()&gt;C1606+6,"PAST","THIS WEEK"))</f>
        <v/>
      </c>
      <c r="W1605" s="75">
        <f>IF(AND(Engine!$B$8=$AC$3,Engine!$B$9=$A1605),"◀ ACTIVE WEEK","")</f>
        <v/>
      </c>
      <c r="AA1605" s="76" t="n"/>
      <c r="AB1605" s="77" t="inlineStr">
        <is>
          <t>◀ Prev</t>
        </is>
      </c>
      <c r="AC1605" s="77" t="inlineStr">
        <is>
          <t>Next ▶</t>
        </is>
      </c>
    </row>
    <row r="1606" ht="18" customHeight="1">
      <c r="A1606" t="n">
        <v>33</v>
      </c>
      <c r="B1606" s="78" t="inlineStr">
        <is>
          <t>DUTY</t>
        </is>
      </c>
      <c r="C1606" s="79">
        <f>$AC$2+7*($A1606-1)</f>
        <v/>
      </c>
      <c r="D1606" s="80" t="n"/>
      <c r="E1606" s="80" t="n"/>
      <c r="F1606" s="81" t="n"/>
      <c r="G1606" s="79">
        <f>C1606+1</f>
        <v/>
      </c>
      <c r="H1606" s="80" t="n"/>
      <c r="I1606" s="80" t="n"/>
      <c r="J1606" s="81" t="n"/>
      <c r="K1606" s="79">
        <f>C1606+2</f>
        <v/>
      </c>
      <c r="L1606" s="80" t="n"/>
      <c r="M1606" s="80" t="n"/>
      <c r="N1606" s="81" t="n"/>
      <c r="O1606" s="79">
        <f>C1606+3</f>
        <v/>
      </c>
      <c r="P1606" s="80" t="n"/>
      <c r="Q1606" s="80" t="n"/>
      <c r="R1606" s="81" t="n"/>
      <c r="S1606" s="79">
        <f>C1606+4</f>
        <v/>
      </c>
      <c r="T1606" s="80" t="n"/>
      <c r="U1606" s="80" t="n"/>
      <c r="V1606" s="81" t="n"/>
      <c r="W1606" s="82">
        <f>C1606+5</f>
        <v/>
      </c>
      <c r="X1606" s="83" t="n"/>
      <c r="Y1606" s="82">
        <f>C1606+6</f>
        <v/>
      </c>
      <c r="Z1606" s="83" t="n"/>
      <c r="AB1606" s="72" t="inlineStr">
        <is>
          <t>Gaps</t>
        </is>
      </c>
      <c r="AC1606" s="72" t="inlineStr">
        <is>
          <t>Cover</t>
        </is>
      </c>
    </row>
    <row r="1607" ht="14" customHeight="1">
      <c r="A1607" t="n">
        <v>33</v>
      </c>
      <c r="B1607" s="84" t="inlineStr">
        <is>
          <t>(from Setup)</t>
        </is>
      </c>
      <c r="C1607" s="85" t="inlineStr">
        <is>
          <t>1</t>
        </is>
      </c>
      <c r="D1607" s="85" t="inlineStr">
        <is>
          <t>2</t>
        </is>
      </c>
      <c r="E1607" s="85" t="inlineStr">
        <is>
          <t>3</t>
        </is>
      </c>
      <c r="F1607" s="85" t="inlineStr">
        <is>
          <t>Notes</t>
        </is>
      </c>
      <c r="G1607" s="85" t="inlineStr">
        <is>
          <t>1</t>
        </is>
      </c>
      <c r="H1607" s="85" t="inlineStr">
        <is>
          <t>2</t>
        </is>
      </c>
      <c r="I1607" s="85" t="inlineStr">
        <is>
          <t>3</t>
        </is>
      </c>
      <c r="J1607" s="85" t="inlineStr">
        <is>
          <t>Notes</t>
        </is>
      </c>
      <c r="K1607" s="85" t="inlineStr">
        <is>
          <t>1</t>
        </is>
      </c>
      <c r="L1607" s="85" t="inlineStr">
        <is>
          <t>2</t>
        </is>
      </c>
      <c r="M1607" s="85" t="inlineStr">
        <is>
          <t>3</t>
        </is>
      </c>
      <c r="N1607" s="85" t="inlineStr">
        <is>
          <t>Notes</t>
        </is>
      </c>
      <c r="O1607" s="85" t="inlineStr">
        <is>
          <t>1</t>
        </is>
      </c>
      <c r="P1607" s="85" t="inlineStr">
        <is>
          <t>2</t>
        </is>
      </c>
      <c r="Q1607" s="85" t="inlineStr">
        <is>
          <t>3</t>
        </is>
      </c>
      <c r="R1607" s="85" t="inlineStr">
        <is>
          <t>Notes</t>
        </is>
      </c>
      <c r="S1607" s="85" t="inlineStr">
        <is>
          <t>1</t>
        </is>
      </c>
      <c r="T1607" s="85" t="inlineStr">
        <is>
          <t>2</t>
        </is>
      </c>
      <c r="U1607" s="85" t="inlineStr">
        <is>
          <t>3</t>
        </is>
      </c>
      <c r="V1607" s="85" t="inlineStr">
        <is>
          <t>Notes</t>
        </is>
      </c>
      <c r="W1607" s="85" t="inlineStr">
        <is>
          <t>Cover</t>
        </is>
      </c>
      <c r="X1607" s="85" t="inlineStr">
        <is>
          <t>Notes</t>
        </is>
      </c>
      <c r="Y1607" s="85" t="inlineStr">
        <is>
          <t>Cover</t>
        </is>
      </c>
      <c r="Z1607" s="85" t="inlineStr">
        <is>
          <t>Notes</t>
        </is>
      </c>
      <c r="AB1607" s="86" t="inlineStr">
        <is>
          <t>weekdays short</t>
        </is>
      </c>
      <c r="AC1607" s="87" t="inlineStr"/>
    </row>
    <row r="1608" ht="17" customHeight="1">
      <c r="A1608" t="n">
        <v>33</v>
      </c>
      <c r="B1608" s="24">
        <f>IF(Setup!$K$6="","",Setup!$K$6)</f>
        <v/>
      </c>
      <c r="C1608" s="88" t="n"/>
      <c r="D1608" s="88" t="n"/>
      <c r="E1608" s="88" t="n"/>
      <c r="F1608" s="89" t="n"/>
      <c r="G1608" s="88" t="n"/>
      <c r="H1608" s="88" t="n"/>
      <c r="I1608" s="88" t="n"/>
      <c r="J1608" s="89" t="n"/>
      <c r="K1608" s="88" t="n"/>
      <c r="L1608" s="88" t="n"/>
      <c r="M1608" s="88" t="n"/>
      <c r="N1608" s="89" t="n"/>
      <c r="O1608" s="88" t="n"/>
      <c r="P1608" s="88" t="n"/>
      <c r="Q1608" s="88" t="n"/>
      <c r="R1608" s="89" t="n"/>
      <c r="S1608" s="88" t="n"/>
      <c r="T1608" s="88" t="n"/>
      <c r="U1608" s="88" t="n"/>
      <c r="V1608" s="89" t="n"/>
      <c r="W1608" s="88" t="n"/>
      <c r="X1608" s="89" t="n"/>
      <c r="Y1608" s="88" t="n"/>
      <c r="Z1608" s="89" t="n"/>
      <c r="AB1608" s="25">
        <f>IF($B1608="","",(COUNTIF(C1608:E1608,"?*")&lt;N(INDEX(Setup!$L$6:$L$23,1)))+(COUNTIF(G1608:I1608,"?*")&lt;N(INDEX(Setup!$L$6:$L$23,1)))+(COUNTIF(K1608:M1608,"?*")&lt;N(INDEX(Setup!$L$6:$L$23,1)))+(COUNTIF(O1608:Q1608,"?*")&lt;N(INDEX(Setup!$L$6:$L$23,1)))+(COUNTIF(S1608:U1608,"?*")&lt;N(INDEX(Setup!$L$6:$L$23,1)))+((W1608="")*(INDEX(Setup!$M$6:$M$23,1)="Y"))+((Y1608="")*(INDEX(Setup!$M$6:$M$23,1)="Y")))</f>
        <v/>
      </c>
      <c r="AC1608" s="90">
        <f>IF($B1608="","",IF(AB1608=0,"✓ covered","⚠ "&amp;AB1608&amp;IF(AB1608=1," gap"," gaps")))</f>
        <v/>
      </c>
    </row>
    <row r="1609" ht="17" customHeight="1">
      <c r="A1609" t="n">
        <v>33</v>
      </c>
      <c r="B1609" s="29">
        <f>IF(Setup!$K$7="","",Setup!$K$7)</f>
        <v/>
      </c>
      <c r="C1609" s="88" t="n"/>
      <c r="D1609" s="88" t="n"/>
      <c r="E1609" s="88" t="n"/>
      <c r="F1609" s="89" t="n"/>
      <c r="G1609" s="88" t="n"/>
      <c r="H1609" s="88" t="n"/>
      <c r="I1609" s="88" t="n"/>
      <c r="J1609" s="89" t="n"/>
      <c r="K1609" s="88" t="n"/>
      <c r="L1609" s="88" t="n"/>
      <c r="M1609" s="88" t="n"/>
      <c r="N1609" s="89" t="n"/>
      <c r="O1609" s="88" t="n"/>
      <c r="P1609" s="88" t="n"/>
      <c r="Q1609" s="88" t="n"/>
      <c r="R1609" s="89" t="n"/>
      <c r="S1609" s="88" t="n"/>
      <c r="T1609" s="88" t="n"/>
      <c r="U1609" s="88" t="n"/>
      <c r="V1609" s="89" t="n"/>
      <c r="W1609" s="88" t="n"/>
      <c r="X1609" s="89" t="n"/>
      <c r="Y1609" s="88" t="n"/>
      <c r="Z1609" s="89" t="n"/>
      <c r="AB1609" s="30">
        <f>IF($B1609="","",(COUNTIF(C1609:E1609,"?*")&lt;N(INDEX(Setup!$L$6:$L$23,2)))+(COUNTIF(G1609:I1609,"?*")&lt;N(INDEX(Setup!$L$6:$L$23,2)))+(COUNTIF(K1609:M1609,"?*")&lt;N(INDEX(Setup!$L$6:$L$23,2)))+(COUNTIF(O1609:Q1609,"?*")&lt;N(INDEX(Setup!$L$6:$L$23,2)))+(COUNTIF(S1609:U1609,"?*")&lt;N(INDEX(Setup!$L$6:$L$23,2)))+((W1609="")*(INDEX(Setup!$M$6:$M$23,2)="Y"))+((Y1609="")*(INDEX(Setup!$M$6:$M$23,2)="Y")))</f>
        <v/>
      </c>
      <c r="AC1609" s="91">
        <f>IF($B1609="","",IF(AB1609=0,"✓ covered","⚠ "&amp;AB1609&amp;IF(AB1609=1," gap"," gaps")))</f>
        <v/>
      </c>
    </row>
    <row r="1610" ht="17" customHeight="1">
      <c r="A1610" t="n">
        <v>33</v>
      </c>
      <c r="B1610" s="24">
        <f>IF(Setup!$K$8="","",Setup!$K$8)</f>
        <v/>
      </c>
      <c r="C1610" s="88" t="n"/>
      <c r="D1610" s="88" t="n"/>
      <c r="E1610" s="88" t="n"/>
      <c r="F1610" s="89" t="n"/>
      <c r="G1610" s="88" t="n"/>
      <c r="H1610" s="88" t="n"/>
      <c r="I1610" s="88" t="n"/>
      <c r="J1610" s="89" t="n"/>
      <c r="K1610" s="88" t="n"/>
      <c r="L1610" s="88" t="n"/>
      <c r="M1610" s="88" t="n"/>
      <c r="N1610" s="89" t="n"/>
      <c r="O1610" s="88" t="n"/>
      <c r="P1610" s="88" t="n"/>
      <c r="Q1610" s="88" t="n"/>
      <c r="R1610" s="89" t="n"/>
      <c r="S1610" s="88" t="n"/>
      <c r="T1610" s="88" t="n"/>
      <c r="U1610" s="88" t="n"/>
      <c r="V1610" s="89" t="n"/>
      <c r="W1610" s="88" t="n"/>
      <c r="X1610" s="89" t="n"/>
      <c r="Y1610" s="88" t="n"/>
      <c r="Z1610" s="89" t="n"/>
      <c r="AB1610" s="25">
        <f>IF($B1610="","",(COUNTIF(C1610:E1610,"?*")&lt;N(INDEX(Setup!$L$6:$L$23,3)))+(COUNTIF(G1610:I1610,"?*")&lt;N(INDEX(Setup!$L$6:$L$23,3)))+(COUNTIF(K1610:M1610,"?*")&lt;N(INDEX(Setup!$L$6:$L$23,3)))+(COUNTIF(O1610:Q1610,"?*")&lt;N(INDEX(Setup!$L$6:$L$23,3)))+(COUNTIF(S1610:U1610,"?*")&lt;N(INDEX(Setup!$L$6:$L$23,3)))+((W1610="")*(INDEX(Setup!$M$6:$M$23,3)="Y"))+((Y1610="")*(INDEX(Setup!$M$6:$M$23,3)="Y")))</f>
        <v/>
      </c>
      <c r="AC1610" s="90">
        <f>IF($B1610="","",IF(AB1610=0,"✓ covered","⚠ "&amp;AB1610&amp;IF(AB1610=1," gap"," gaps")))</f>
        <v/>
      </c>
    </row>
    <row r="1611" ht="17" customHeight="1">
      <c r="A1611" t="n">
        <v>33</v>
      </c>
      <c r="B1611" s="29">
        <f>IF(Setup!$K$9="","",Setup!$K$9)</f>
        <v/>
      </c>
      <c r="C1611" s="88" t="n"/>
      <c r="D1611" s="88" t="n"/>
      <c r="E1611" s="88" t="n"/>
      <c r="F1611" s="89" t="n"/>
      <c r="G1611" s="88" t="n"/>
      <c r="H1611" s="88" t="n"/>
      <c r="I1611" s="88" t="n"/>
      <c r="J1611" s="89" t="n"/>
      <c r="K1611" s="88" t="n"/>
      <c r="L1611" s="88" t="n"/>
      <c r="M1611" s="88" t="n"/>
      <c r="N1611" s="89" t="n"/>
      <c r="O1611" s="88" t="n"/>
      <c r="P1611" s="88" t="n"/>
      <c r="Q1611" s="88" t="n"/>
      <c r="R1611" s="89" t="n"/>
      <c r="S1611" s="88" t="n"/>
      <c r="T1611" s="88" t="n"/>
      <c r="U1611" s="88" t="n"/>
      <c r="V1611" s="89" t="n"/>
      <c r="W1611" s="88" t="n"/>
      <c r="X1611" s="89" t="n"/>
      <c r="Y1611" s="88" t="n"/>
      <c r="Z1611" s="89" t="n"/>
      <c r="AB1611" s="30">
        <f>IF($B1611="","",(COUNTIF(C1611:E1611,"?*")&lt;N(INDEX(Setup!$L$6:$L$23,4)))+(COUNTIF(G1611:I1611,"?*")&lt;N(INDEX(Setup!$L$6:$L$23,4)))+(COUNTIF(K1611:M1611,"?*")&lt;N(INDEX(Setup!$L$6:$L$23,4)))+(COUNTIF(O1611:Q1611,"?*")&lt;N(INDEX(Setup!$L$6:$L$23,4)))+(COUNTIF(S1611:U1611,"?*")&lt;N(INDEX(Setup!$L$6:$L$23,4)))+((W1611="")*(INDEX(Setup!$M$6:$M$23,4)="Y"))+((Y1611="")*(INDEX(Setup!$M$6:$M$23,4)="Y")))</f>
        <v/>
      </c>
      <c r="AC1611" s="91">
        <f>IF($B1611="","",IF(AB1611=0,"✓ covered","⚠ "&amp;AB1611&amp;IF(AB1611=1," gap"," gaps")))</f>
        <v/>
      </c>
    </row>
    <row r="1612" ht="17" customHeight="1">
      <c r="A1612" t="n">
        <v>33</v>
      </c>
      <c r="B1612" s="24">
        <f>IF(Setup!$K$10="","",Setup!$K$10)</f>
        <v/>
      </c>
      <c r="C1612" s="88" t="n"/>
      <c r="D1612" s="88" t="n"/>
      <c r="E1612" s="88" t="n"/>
      <c r="F1612" s="89" t="n"/>
      <c r="G1612" s="88" t="n"/>
      <c r="H1612" s="88" t="n"/>
      <c r="I1612" s="88" t="n"/>
      <c r="J1612" s="89" t="n"/>
      <c r="K1612" s="88" t="n"/>
      <c r="L1612" s="88" t="n"/>
      <c r="M1612" s="88" t="n"/>
      <c r="N1612" s="89" t="n"/>
      <c r="O1612" s="88" t="n"/>
      <c r="P1612" s="88" t="n"/>
      <c r="Q1612" s="88" t="n"/>
      <c r="R1612" s="89" t="n"/>
      <c r="S1612" s="88" t="n"/>
      <c r="T1612" s="88" t="n"/>
      <c r="U1612" s="88" t="n"/>
      <c r="V1612" s="89" t="n"/>
      <c r="W1612" s="88" t="n"/>
      <c r="X1612" s="89" t="n"/>
      <c r="Y1612" s="88" t="n"/>
      <c r="Z1612" s="89" t="n"/>
      <c r="AB1612" s="25">
        <f>IF($B1612="","",(COUNTIF(C1612:E1612,"?*")&lt;N(INDEX(Setup!$L$6:$L$23,5)))+(COUNTIF(G1612:I1612,"?*")&lt;N(INDEX(Setup!$L$6:$L$23,5)))+(COUNTIF(K1612:M1612,"?*")&lt;N(INDEX(Setup!$L$6:$L$23,5)))+(COUNTIF(O1612:Q1612,"?*")&lt;N(INDEX(Setup!$L$6:$L$23,5)))+(COUNTIF(S1612:U1612,"?*")&lt;N(INDEX(Setup!$L$6:$L$23,5)))+((W1612="")*(INDEX(Setup!$M$6:$M$23,5)="Y"))+((Y1612="")*(INDEX(Setup!$M$6:$M$23,5)="Y")))</f>
        <v/>
      </c>
      <c r="AC1612" s="90">
        <f>IF($B1612="","",IF(AB1612=0,"✓ covered","⚠ "&amp;AB1612&amp;IF(AB1612=1," gap"," gaps")))</f>
        <v/>
      </c>
    </row>
    <row r="1613" ht="17" customHeight="1">
      <c r="A1613" t="n">
        <v>33</v>
      </c>
      <c r="B1613" s="29">
        <f>IF(Setup!$K$11="","",Setup!$K$11)</f>
        <v/>
      </c>
      <c r="C1613" s="88" t="n"/>
      <c r="D1613" s="88" t="n"/>
      <c r="E1613" s="88" t="n"/>
      <c r="F1613" s="89" t="n"/>
      <c r="G1613" s="88" t="n"/>
      <c r="H1613" s="88" t="n"/>
      <c r="I1613" s="88" t="n"/>
      <c r="J1613" s="89" t="n"/>
      <c r="K1613" s="88" t="n"/>
      <c r="L1613" s="88" t="n"/>
      <c r="M1613" s="88" t="n"/>
      <c r="N1613" s="89" t="n"/>
      <c r="O1613" s="88" t="n"/>
      <c r="P1613" s="88" t="n"/>
      <c r="Q1613" s="88" t="n"/>
      <c r="R1613" s="89" t="n"/>
      <c r="S1613" s="88" t="n"/>
      <c r="T1613" s="88" t="n"/>
      <c r="U1613" s="88" t="n"/>
      <c r="V1613" s="89" t="n"/>
      <c r="W1613" s="88" t="n"/>
      <c r="X1613" s="89" t="n"/>
      <c r="Y1613" s="88" t="n"/>
      <c r="Z1613" s="89" t="n"/>
      <c r="AB1613" s="30">
        <f>IF($B1613="","",(COUNTIF(C1613:E1613,"?*")&lt;N(INDEX(Setup!$L$6:$L$23,6)))+(COUNTIF(G1613:I1613,"?*")&lt;N(INDEX(Setup!$L$6:$L$23,6)))+(COUNTIF(K1613:M1613,"?*")&lt;N(INDEX(Setup!$L$6:$L$23,6)))+(COUNTIF(O1613:Q1613,"?*")&lt;N(INDEX(Setup!$L$6:$L$23,6)))+(COUNTIF(S1613:U1613,"?*")&lt;N(INDEX(Setup!$L$6:$L$23,6)))+((W1613="")*(INDEX(Setup!$M$6:$M$23,6)="Y"))+((Y1613="")*(INDEX(Setup!$M$6:$M$23,6)="Y")))</f>
        <v/>
      </c>
      <c r="AC1613" s="91">
        <f>IF($B1613="","",IF(AB1613=0,"✓ covered","⚠ "&amp;AB1613&amp;IF(AB1613=1," gap"," gaps")))</f>
        <v/>
      </c>
    </row>
    <row r="1614" ht="17" customHeight="1">
      <c r="A1614" t="n">
        <v>33</v>
      </c>
      <c r="B1614" s="24">
        <f>IF(Setup!$K$12="","",Setup!$K$12)</f>
        <v/>
      </c>
      <c r="C1614" s="88" t="n"/>
      <c r="D1614" s="88" t="n"/>
      <c r="E1614" s="88" t="n"/>
      <c r="F1614" s="89" t="n"/>
      <c r="G1614" s="88" t="n"/>
      <c r="H1614" s="88" t="n"/>
      <c r="I1614" s="88" t="n"/>
      <c r="J1614" s="89" t="n"/>
      <c r="K1614" s="88" t="n"/>
      <c r="L1614" s="88" t="n"/>
      <c r="M1614" s="88" t="n"/>
      <c r="N1614" s="89" t="n"/>
      <c r="O1614" s="88" t="n"/>
      <c r="P1614" s="88" t="n"/>
      <c r="Q1614" s="88" t="n"/>
      <c r="R1614" s="89" t="n"/>
      <c r="S1614" s="88" t="n"/>
      <c r="T1614" s="88" t="n"/>
      <c r="U1614" s="88" t="n"/>
      <c r="V1614" s="89" t="n"/>
      <c r="W1614" s="88" t="n"/>
      <c r="X1614" s="89" t="n"/>
      <c r="Y1614" s="88" t="n"/>
      <c r="Z1614" s="89" t="n"/>
      <c r="AB1614" s="25">
        <f>IF($B1614="","",(COUNTIF(C1614:E1614,"?*")&lt;N(INDEX(Setup!$L$6:$L$23,7)))+(COUNTIF(G1614:I1614,"?*")&lt;N(INDEX(Setup!$L$6:$L$23,7)))+(COUNTIF(K1614:M1614,"?*")&lt;N(INDEX(Setup!$L$6:$L$23,7)))+(COUNTIF(O1614:Q1614,"?*")&lt;N(INDEX(Setup!$L$6:$L$23,7)))+(COUNTIF(S1614:U1614,"?*")&lt;N(INDEX(Setup!$L$6:$L$23,7)))+((W1614="")*(INDEX(Setup!$M$6:$M$23,7)="Y"))+((Y1614="")*(INDEX(Setup!$M$6:$M$23,7)="Y")))</f>
        <v/>
      </c>
      <c r="AC1614" s="90">
        <f>IF($B1614="","",IF(AB1614=0,"✓ covered","⚠ "&amp;AB1614&amp;IF(AB1614=1," gap"," gaps")))</f>
        <v/>
      </c>
    </row>
    <row r="1615" ht="17" customHeight="1">
      <c r="A1615" t="n">
        <v>33</v>
      </c>
      <c r="B1615" s="29">
        <f>IF(Setup!$K$13="","",Setup!$K$13)</f>
        <v/>
      </c>
      <c r="C1615" s="88" t="n"/>
      <c r="D1615" s="88" t="n"/>
      <c r="E1615" s="88" t="n"/>
      <c r="F1615" s="89" t="n"/>
      <c r="G1615" s="88" t="n"/>
      <c r="H1615" s="88" t="n"/>
      <c r="I1615" s="88" t="n"/>
      <c r="J1615" s="89" t="n"/>
      <c r="K1615" s="88" t="n"/>
      <c r="L1615" s="88" t="n"/>
      <c r="M1615" s="88" t="n"/>
      <c r="N1615" s="89" t="n"/>
      <c r="O1615" s="88" t="n"/>
      <c r="P1615" s="88" t="n"/>
      <c r="Q1615" s="88" t="n"/>
      <c r="R1615" s="89" t="n"/>
      <c r="S1615" s="88" t="n"/>
      <c r="T1615" s="88" t="n"/>
      <c r="U1615" s="88" t="n"/>
      <c r="V1615" s="89" t="n"/>
      <c r="W1615" s="88" t="n"/>
      <c r="X1615" s="89" t="n"/>
      <c r="Y1615" s="88" t="n"/>
      <c r="Z1615" s="89" t="n"/>
      <c r="AB1615" s="30">
        <f>IF($B1615="","",(COUNTIF(C1615:E1615,"?*")&lt;N(INDEX(Setup!$L$6:$L$23,8)))+(COUNTIF(G1615:I1615,"?*")&lt;N(INDEX(Setup!$L$6:$L$23,8)))+(COUNTIF(K1615:M1615,"?*")&lt;N(INDEX(Setup!$L$6:$L$23,8)))+(COUNTIF(O1615:Q1615,"?*")&lt;N(INDEX(Setup!$L$6:$L$23,8)))+(COUNTIF(S1615:U1615,"?*")&lt;N(INDEX(Setup!$L$6:$L$23,8)))+((W1615="")*(INDEX(Setup!$M$6:$M$23,8)="Y"))+((Y1615="")*(INDEX(Setup!$M$6:$M$23,8)="Y")))</f>
        <v/>
      </c>
      <c r="AC1615" s="91">
        <f>IF($B1615="","",IF(AB1615=0,"✓ covered","⚠ "&amp;AB1615&amp;IF(AB1615=1," gap"," gaps")))</f>
        <v/>
      </c>
    </row>
    <row r="1616" ht="17" customHeight="1">
      <c r="A1616" t="n">
        <v>33</v>
      </c>
      <c r="B1616" s="24">
        <f>IF(Setup!$K$14="","",Setup!$K$14)</f>
        <v/>
      </c>
      <c r="C1616" s="88" t="n"/>
      <c r="D1616" s="88" t="n"/>
      <c r="E1616" s="88" t="n"/>
      <c r="F1616" s="89" t="n"/>
      <c r="G1616" s="88" t="n"/>
      <c r="H1616" s="88" t="n"/>
      <c r="I1616" s="88" t="n"/>
      <c r="J1616" s="89" t="n"/>
      <c r="K1616" s="88" t="n"/>
      <c r="L1616" s="88" t="n"/>
      <c r="M1616" s="88" t="n"/>
      <c r="N1616" s="89" t="n"/>
      <c r="O1616" s="88" t="n"/>
      <c r="P1616" s="88" t="n"/>
      <c r="Q1616" s="88" t="n"/>
      <c r="R1616" s="89" t="n"/>
      <c r="S1616" s="88" t="n"/>
      <c r="T1616" s="88" t="n"/>
      <c r="U1616" s="88" t="n"/>
      <c r="V1616" s="89" t="n"/>
      <c r="W1616" s="88" t="n"/>
      <c r="X1616" s="89" t="n"/>
      <c r="Y1616" s="88" t="n"/>
      <c r="Z1616" s="89" t="n"/>
      <c r="AB1616" s="25">
        <f>IF($B1616="","",(COUNTIF(C1616:E1616,"?*")&lt;N(INDEX(Setup!$L$6:$L$23,9)))+(COUNTIF(G1616:I1616,"?*")&lt;N(INDEX(Setup!$L$6:$L$23,9)))+(COUNTIF(K1616:M1616,"?*")&lt;N(INDEX(Setup!$L$6:$L$23,9)))+(COUNTIF(O1616:Q1616,"?*")&lt;N(INDEX(Setup!$L$6:$L$23,9)))+(COUNTIF(S1616:U1616,"?*")&lt;N(INDEX(Setup!$L$6:$L$23,9)))+((W1616="")*(INDEX(Setup!$M$6:$M$23,9)="Y"))+((Y1616="")*(INDEX(Setup!$M$6:$M$23,9)="Y")))</f>
        <v/>
      </c>
      <c r="AC1616" s="90">
        <f>IF($B1616="","",IF(AB1616=0,"✓ covered","⚠ "&amp;AB1616&amp;IF(AB1616=1," gap"," gaps")))</f>
        <v/>
      </c>
    </row>
    <row r="1617" ht="17" customHeight="1">
      <c r="A1617" t="n">
        <v>33</v>
      </c>
      <c r="B1617" s="29">
        <f>IF(Setup!$K$15="","",Setup!$K$15)</f>
        <v/>
      </c>
      <c r="C1617" s="88" t="n"/>
      <c r="D1617" s="88" t="n"/>
      <c r="E1617" s="88" t="n"/>
      <c r="F1617" s="89" t="n"/>
      <c r="G1617" s="88" t="n"/>
      <c r="H1617" s="88" t="n"/>
      <c r="I1617" s="88" t="n"/>
      <c r="J1617" s="89" t="n"/>
      <c r="K1617" s="88" t="n"/>
      <c r="L1617" s="88" t="n"/>
      <c r="M1617" s="88" t="n"/>
      <c r="N1617" s="89" t="n"/>
      <c r="O1617" s="88" t="n"/>
      <c r="P1617" s="88" t="n"/>
      <c r="Q1617" s="88" t="n"/>
      <c r="R1617" s="89" t="n"/>
      <c r="S1617" s="88" t="n"/>
      <c r="T1617" s="88" t="n"/>
      <c r="U1617" s="88" t="n"/>
      <c r="V1617" s="89" t="n"/>
      <c r="W1617" s="88" t="n"/>
      <c r="X1617" s="89" t="n"/>
      <c r="Y1617" s="88" t="n"/>
      <c r="Z1617" s="89" t="n"/>
      <c r="AB1617" s="30">
        <f>IF($B1617="","",(COUNTIF(C1617:E1617,"?*")&lt;N(INDEX(Setup!$L$6:$L$23,10)))+(COUNTIF(G1617:I1617,"?*")&lt;N(INDEX(Setup!$L$6:$L$23,10)))+(COUNTIF(K1617:M1617,"?*")&lt;N(INDEX(Setup!$L$6:$L$23,10)))+(COUNTIF(O1617:Q1617,"?*")&lt;N(INDEX(Setup!$L$6:$L$23,10)))+(COUNTIF(S1617:U1617,"?*")&lt;N(INDEX(Setup!$L$6:$L$23,10)))+((W1617="")*(INDEX(Setup!$M$6:$M$23,10)="Y"))+((Y1617="")*(INDEX(Setup!$M$6:$M$23,10)="Y")))</f>
        <v/>
      </c>
      <c r="AC1617" s="91">
        <f>IF($B1617="","",IF(AB1617=0,"✓ covered","⚠ "&amp;AB1617&amp;IF(AB1617=1," gap"," gaps")))</f>
        <v/>
      </c>
    </row>
    <row r="1618" ht="17" customHeight="1">
      <c r="A1618" t="n">
        <v>33</v>
      </c>
      <c r="B1618" s="24">
        <f>IF(Setup!$K$16="","",Setup!$K$16)</f>
        <v/>
      </c>
      <c r="C1618" s="88" t="n"/>
      <c r="D1618" s="88" t="n"/>
      <c r="E1618" s="88" t="n"/>
      <c r="F1618" s="89" t="n"/>
      <c r="G1618" s="88" t="n"/>
      <c r="H1618" s="88" t="n"/>
      <c r="I1618" s="88" t="n"/>
      <c r="J1618" s="89" t="n"/>
      <c r="K1618" s="88" t="n"/>
      <c r="L1618" s="88" t="n"/>
      <c r="M1618" s="88" t="n"/>
      <c r="N1618" s="89" t="n"/>
      <c r="O1618" s="88" t="n"/>
      <c r="P1618" s="88" t="n"/>
      <c r="Q1618" s="88" t="n"/>
      <c r="R1618" s="89" t="n"/>
      <c r="S1618" s="88" t="n"/>
      <c r="T1618" s="88" t="n"/>
      <c r="U1618" s="88" t="n"/>
      <c r="V1618" s="89" t="n"/>
      <c r="W1618" s="88" t="n"/>
      <c r="X1618" s="89" t="n"/>
      <c r="Y1618" s="88" t="n"/>
      <c r="Z1618" s="89" t="n"/>
      <c r="AB1618" s="25">
        <f>IF($B1618="","",(COUNTIF(C1618:E1618,"?*")&lt;N(INDEX(Setup!$L$6:$L$23,11)))+(COUNTIF(G1618:I1618,"?*")&lt;N(INDEX(Setup!$L$6:$L$23,11)))+(COUNTIF(K1618:M1618,"?*")&lt;N(INDEX(Setup!$L$6:$L$23,11)))+(COUNTIF(O1618:Q1618,"?*")&lt;N(INDEX(Setup!$L$6:$L$23,11)))+(COUNTIF(S1618:U1618,"?*")&lt;N(INDEX(Setup!$L$6:$L$23,11)))+((W1618="")*(INDEX(Setup!$M$6:$M$23,11)="Y"))+((Y1618="")*(INDEX(Setup!$M$6:$M$23,11)="Y")))</f>
        <v/>
      </c>
      <c r="AC1618" s="90">
        <f>IF($B1618="","",IF(AB1618=0,"✓ covered","⚠ "&amp;AB1618&amp;IF(AB1618=1," gap"," gaps")))</f>
        <v/>
      </c>
    </row>
    <row r="1619" ht="17" customHeight="1">
      <c r="A1619" t="n">
        <v>33</v>
      </c>
      <c r="B1619" s="29">
        <f>IF(Setup!$K$17="","",Setup!$K$17)</f>
        <v/>
      </c>
      <c r="C1619" s="88" t="n"/>
      <c r="D1619" s="88" t="n"/>
      <c r="E1619" s="88" t="n"/>
      <c r="F1619" s="89" t="n"/>
      <c r="G1619" s="88" t="n"/>
      <c r="H1619" s="88" t="n"/>
      <c r="I1619" s="88" t="n"/>
      <c r="J1619" s="89" t="n"/>
      <c r="K1619" s="88" t="n"/>
      <c r="L1619" s="88" t="n"/>
      <c r="M1619" s="88" t="n"/>
      <c r="N1619" s="89" t="n"/>
      <c r="O1619" s="88" t="n"/>
      <c r="P1619" s="88" t="n"/>
      <c r="Q1619" s="88" t="n"/>
      <c r="R1619" s="89" t="n"/>
      <c r="S1619" s="88" t="n"/>
      <c r="T1619" s="88" t="n"/>
      <c r="U1619" s="88" t="n"/>
      <c r="V1619" s="89" t="n"/>
      <c r="W1619" s="88" t="n"/>
      <c r="X1619" s="89" t="n"/>
      <c r="Y1619" s="88" t="n"/>
      <c r="Z1619" s="89" t="n"/>
      <c r="AB1619" s="30">
        <f>IF($B1619="","",(COUNTIF(C1619:E1619,"?*")&lt;N(INDEX(Setup!$L$6:$L$23,12)))+(COUNTIF(G1619:I1619,"?*")&lt;N(INDEX(Setup!$L$6:$L$23,12)))+(COUNTIF(K1619:M1619,"?*")&lt;N(INDEX(Setup!$L$6:$L$23,12)))+(COUNTIF(O1619:Q1619,"?*")&lt;N(INDEX(Setup!$L$6:$L$23,12)))+(COUNTIF(S1619:U1619,"?*")&lt;N(INDEX(Setup!$L$6:$L$23,12)))+((W1619="")*(INDEX(Setup!$M$6:$M$23,12)="Y"))+((Y1619="")*(INDEX(Setup!$M$6:$M$23,12)="Y")))</f>
        <v/>
      </c>
      <c r="AC1619" s="91">
        <f>IF($B1619="","",IF(AB1619=0,"✓ covered","⚠ "&amp;AB1619&amp;IF(AB1619=1," gap"," gaps")))</f>
        <v/>
      </c>
    </row>
    <row r="1620" ht="17" customHeight="1">
      <c r="A1620" t="n">
        <v>33</v>
      </c>
      <c r="B1620" s="24">
        <f>IF(Setup!$K$18="","",Setup!$K$18)</f>
        <v/>
      </c>
      <c r="C1620" s="88" t="n"/>
      <c r="D1620" s="88" t="n"/>
      <c r="E1620" s="88" t="n"/>
      <c r="F1620" s="89" t="n"/>
      <c r="G1620" s="88" t="n"/>
      <c r="H1620" s="88" t="n"/>
      <c r="I1620" s="88" t="n"/>
      <c r="J1620" s="89" t="n"/>
      <c r="K1620" s="88" t="n"/>
      <c r="L1620" s="88" t="n"/>
      <c r="M1620" s="88" t="n"/>
      <c r="N1620" s="89" t="n"/>
      <c r="O1620" s="88" t="n"/>
      <c r="P1620" s="88" t="n"/>
      <c r="Q1620" s="88" t="n"/>
      <c r="R1620" s="89" t="n"/>
      <c r="S1620" s="88" t="n"/>
      <c r="T1620" s="88" t="n"/>
      <c r="U1620" s="88" t="n"/>
      <c r="V1620" s="89" t="n"/>
      <c r="W1620" s="88" t="n"/>
      <c r="X1620" s="89" t="n"/>
      <c r="Y1620" s="88" t="n"/>
      <c r="Z1620" s="89" t="n"/>
      <c r="AB1620" s="25">
        <f>IF($B1620="","",(COUNTIF(C1620:E1620,"?*")&lt;N(INDEX(Setup!$L$6:$L$23,13)))+(COUNTIF(G1620:I1620,"?*")&lt;N(INDEX(Setup!$L$6:$L$23,13)))+(COUNTIF(K1620:M1620,"?*")&lt;N(INDEX(Setup!$L$6:$L$23,13)))+(COUNTIF(O1620:Q1620,"?*")&lt;N(INDEX(Setup!$L$6:$L$23,13)))+(COUNTIF(S1620:U1620,"?*")&lt;N(INDEX(Setup!$L$6:$L$23,13)))+((W1620="")*(INDEX(Setup!$M$6:$M$23,13)="Y"))+((Y1620="")*(INDEX(Setup!$M$6:$M$23,13)="Y")))</f>
        <v/>
      </c>
      <c r="AC1620" s="90">
        <f>IF($B1620="","",IF(AB1620=0,"✓ covered","⚠ "&amp;AB1620&amp;IF(AB1620=1," gap"," gaps")))</f>
        <v/>
      </c>
    </row>
    <row r="1621" ht="17" customHeight="1">
      <c r="A1621" t="n">
        <v>33</v>
      </c>
      <c r="B1621" s="29">
        <f>IF(Setup!$K$19="","",Setup!$K$19)</f>
        <v/>
      </c>
      <c r="C1621" s="88" t="n"/>
      <c r="D1621" s="88" t="n"/>
      <c r="E1621" s="88" t="n"/>
      <c r="F1621" s="89" t="n"/>
      <c r="G1621" s="88" t="n"/>
      <c r="H1621" s="88" t="n"/>
      <c r="I1621" s="88" t="n"/>
      <c r="J1621" s="89" t="n"/>
      <c r="K1621" s="88" t="n"/>
      <c r="L1621" s="88" t="n"/>
      <c r="M1621" s="88" t="n"/>
      <c r="N1621" s="89" t="n"/>
      <c r="O1621" s="88" t="n"/>
      <c r="P1621" s="88" t="n"/>
      <c r="Q1621" s="88" t="n"/>
      <c r="R1621" s="89" t="n"/>
      <c r="S1621" s="88" t="n"/>
      <c r="T1621" s="88" t="n"/>
      <c r="U1621" s="88" t="n"/>
      <c r="V1621" s="89" t="n"/>
      <c r="W1621" s="88" t="n"/>
      <c r="X1621" s="89" t="n"/>
      <c r="Y1621" s="88" t="n"/>
      <c r="Z1621" s="89" t="n"/>
      <c r="AB1621" s="30">
        <f>IF($B1621="","",(COUNTIF(C1621:E1621,"?*")&lt;N(INDEX(Setup!$L$6:$L$23,14)))+(COUNTIF(G1621:I1621,"?*")&lt;N(INDEX(Setup!$L$6:$L$23,14)))+(COUNTIF(K1621:M1621,"?*")&lt;N(INDEX(Setup!$L$6:$L$23,14)))+(COUNTIF(O1621:Q1621,"?*")&lt;N(INDEX(Setup!$L$6:$L$23,14)))+(COUNTIF(S1621:U1621,"?*")&lt;N(INDEX(Setup!$L$6:$L$23,14)))+((W1621="")*(INDEX(Setup!$M$6:$M$23,14)="Y"))+((Y1621="")*(INDEX(Setup!$M$6:$M$23,14)="Y")))</f>
        <v/>
      </c>
      <c r="AC1621" s="91">
        <f>IF($B1621="","",IF(AB1621=0,"✓ covered","⚠ "&amp;AB1621&amp;IF(AB1621=1," gap"," gaps")))</f>
        <v/>
      </c>
    </row>
    <row r="1622" ht="17" customHeight="1">
      <c r="A1622" t="n">
        <v>33</v>
      </c>
      <c r="B1622" s="24">
        <f>IF(Setup!$K$20="","",Setup!$K$20)</f>
        <v/>
      </c>
      <c r="C1622" s="88" t="n"/>
      <c r="D1622" s="88" t="n"/>
      <c r="E1622" s="88" t="n"/>
      <c r="F1622" s="89" t="n"/>
      <c r="G1622" s="88" t="n"/>
      <c r="H1622" s="88" t="n"/>
      <c r="I1622" s="88" t="n"/>
      <c r="J1622" s="89" t="n"/>
      <c r="K1622" s="88" t="n"/>
      <c r="L1622" s="88" t="n"/>
      <c r="M1622" s="88" t="n"/>
      <c r="N1622" s="89" t="n"/>
      <c r="O1622" s="88" t="n"/>
      <c r="P1622" s="88" t="n"/>
      <c r="Q1622" s="88" t="n"/>
      <c r="R1622" s="89" t="n"/>
      <c r="S1622" s="88" t="n"/>
      <c r="T1622" s="88" t="n"/>
      <c r="U1622" s="88" t="n"/>
      <c r="V1622" s="89" t="n"/>
      <c r="W1622" s="88" t="n"/>
      <c r="X1622" s="89" t="n"/>
      <c r="Y1622" s="88" t="n"/>
      <c r="Z1622" s="89" t="n"/>
      <c r="AB1622" s="25">
        <f>IF($B1622="","",(COUNTIF(C1622:E1622,"?*")&lt;N(INDEX(Setup!$L$6:$L$23,15)))+(COUNTIF(G1622:I1622,"?*")&lt;N(INDEX(Setup!$L$6:$L$23,15)))+(COUNTIF(K1622:M1622,"?*")&lt;N(INDEX(Setup!$L$6:$L$23,15)))+(COUNTIF(O1622:Q1622,"?*")&lt;N(INDEX(Setup!$L$6:$L$23,15)))+(COUNTIF(S1622:U1622,"?*")&lt;N(INDEX(Setup!$L$6:$L$23,15)))+((W1622="")*(INDEX(Setup!$M$6:$M$23,15)="Y"))+((Y1622="")*(INDEX(Setup!$M$6:$M$23,15)="Y")))</f>
        <v/>
      </c>
      <c r="AC1622" s="90">
        <f>IF($B1622="","",IF(AB1622=0,"✓ covered","⚠ "&amp;AB1622&amp;IF(AB1622=1," gap"," gaps")))</f>
        <v/>
      </c>
    </row>
    <row r="1623" ht="17" customHeight="1">
      <c r="A1623" t="n">
        <v>33</v>
      </c>
      <c r="B1623" s="29">
        <f>IF(Setup!$K$21="","",Setup!$K$21)</f>
        <v/>
      </c>
      <c r="C1623" s="88" t="n"/>
      <c r="D1623" s="88" t="n"/>
      <c r="E1623" s="88" t="n"/>
      <c r="F1623" s="89" t="n"/>
      <c r="G1623" s="88" t="n"/>
      <c r="H1623" s="88" t="n"/>
      <c r="I1623" s="88" t="n"/>
      <c r="J1623" s="89" t="n"/>
      <c r="K1623" s="88" t="n"/>
      <c r="L1623" s="88" t="n"/>
      <c r="M1623" s="88" t="n"/>
      <c r="N1623" s="89" t="n"/>
      <c r="O1623" s="88" t="n"/>
      <c r="P1623" s="88" t="n"/>
      <c r="Q1623" s="88" t="n"/>
      <c r="R1623" s="89" t="n"/>
      <c r="S1623" s="88" t="n"/>
      <c r="T1623" s="88" t="n"/>
      <c r="U1623" s="88" t="n"/>
      <c r="V1623" s="89" t="n"/>
      <c r="W1623" s="88" t="n"/>
      <c r="X1623" s="89" t="n"/>
      <c r="Y1623" s="88" t="n"/>
      <c r="Z1623" s="89" t="n"/>
      <c r="AB1623" s="30">
        <f>IF($B1623="","",(COUNTIF(C1623:E1623,"?*")&lt;N(INDEX(Setup!$L$6:$L$23,16)))+(COUNTIF(G1623:I1623,"?*")&lt;N(INDEX(Setup!$L$6:$L$23,16)))+(COUNTIF(K1623:M1623,"?*")&lt;N(INDEX(Setup!$L$6:$L$23,16)))+(COUNTIF(O1623:Q1623,"?*")&lt;N(INDEX(Setup!$L$6:$L$23,16)))+(COUNTIF(S1623:U1623,"?*")&lt;N(INDEX(Setup!$L$6:$L$23,16)))+((W1623="")*(INDEX(Setup!$M$6:$M$23,16)="Y"))+((Y1623="")*(INDEX(Setup!$M$6:$M$23,16)="Y")))</f>
        <v/>
      </c>
      <c r="AC1623" s="91">
        <f>IF($B1623="","",IF(AB1623=0,"✓ covered","⚠ "&amp;AB1623&amp;IF(AB1623=1," gap"," gaps")))</f>
        <v/>
      </c>
    </row>
    <row r="1624" ht="17" customHeight="1">
      <c r="A1624" t="n">
        <v>33</v>
      </c>
      <c r="B1624" s="24">
        <f>IF(Setup!$K$22="","",Setup!$K$22)</f>
        <v/>
      </c>
      <c r="C1624" s="88" t="n"/>
      <c r="D1624" s="88" t="n"/>
      <c r="E1624" s="88" t="n"/>
      <c r="F1624" s="89" t="n"/>
      <c r="G1624" s="88" t="n"/>
      <c r="H1624" s="88" t="n"/>
      <c r="I1624" s="88" t="n"/>
      <c r="J1624" s="89" t="n"/>
      <c r="K1624" s="88" t="n"/>
      <c r="L1624" s="88" t="n"/>
      <c r="M1624" s="88" t="n"/>
      <c r="N1624" s="89" t="n"/>
      <c r="O1624" s="88" t="n"/>
      <c r="P1624" s="88" t="n"/>
      <c r="Q1624" s="88" t="n"/>
      <c r="R1624" s="89" t="n"/>
      <c r="S1624" s="88" t="n"/>
      <c r="T1624" s="88" t="n"/>
      <c r="U1624" s="88" t="n"/>
      <c r="V1624" s="89" t="n"/>
      <c r="W1624" s="88" t="n"/>
      <c r="X1624" s="89" t="n"/>
      <c r="Y1624" s="88" t="n"/>
      <c r="Z1624" s="89" t="n"/>
      <c r="AB1624" s="25">
        <f>IF($B1624="","",(COUNTIF(C1624:E1624,"?*")&lt;N(INDEX(Setup!$L$6:$L$23,17)))+(COUNTIF(G1624:I1624,"?*")&lt;N(INDEX(Setup!$L$6:$L$23,17)))+(COUNTIF(K1624:M1624,"?*")&lt;N(INDEX(Setup!$L$6:$L$23,17)))+(COUNTIF(O1624:Q1624,"?*")&lt;N(INDEX(Setup!$L$6:$L$23,17)))+(COUNTIF(S1624:U1624,"?*")&lt;N(INDEX(Setup!$L$6:$L$23,17)))+((W1624="")*(INDEX(Setup!$M$6:$M$23,17)="Y"))+((Y1624="")*(INDEX(Setup!$M$6:$M$23,17)="Y")))</f>
        <v/>
      </c>
      <c r="AC1624" s="90">
        <f>IF($B1624="","",IF(AB1624=0,"✓ covered","⚠ "&amp;AB1624&amp;IF(AB1624=1," gap"," gaps")))</f>
        <v/>
      </c>
    </row>
    <row r="1625" ht="17" customHeight="1">
      <c r="A1625" t="n">
        <v>33</v>
      </c>
      <c r="B1625" s="29">
        <f>IF(Setup!$K$23="","",Setup!$K$23)</f>
        <v/>
      </c>
      <c r="C1625" s="88" t="n"/>
      <c r="D1625" s="88" t="n"/>
      <c r="E1625" s="88" t="n"/>
      <c r="F1625" s="89" t="n"/>
      <c r="G1625" s="88" t="n"/>
      <c r="H1625" s="88" t="n"/>
      <c r="I1625" s="88" t="n"/>
      <c r="J1625" s="89" t="n"/>
      <c r="K1625" s="88" t="n"/>
      <c r="L1625" s="88" t="n"/>
      <c r="M1625" s="88" t="n"/>
      <c r="N1625" s="89" t="n"/>
      <c r="O1625" s="88" t="n"/>
      <c r="P1625" s="88" t="n"/>
      <c r="Q1625" s="88" t="n"/>
      <c r="R1625" s="89" t="n"/>
      <c r="S1625" s="88" t="n"/>
      <c r="T1625" s="88" t="n"/>
      <c r="U1625" s="88" t="n"/>
      <c r="V1625" s="89" t="n"/>
      <c r="W1625" s="88" t="n"/>
      <c r="X1625" s="89" t="n"/>
      <c r="Y1625" s="88" t="n"/>
      <c r="Z1625" s="89" t="n"/>
      <c r="AB1625" s="30">
        <f>IF($B1625="","",(COUNTIF(C1625:E1625,"?*")&lt;N(INDEX(Setup!$L$6:$L$23,18)))+(COUNTIF(G1625:I1625,"?*")&lt;N(INDEX(Setup!$L$6:$L$23,18)))+(COUNTIF(K1625:M1625,"?*")&lt;N(INDEX(Setup!$L$6:$L$23,18)))+(COUNTIF(O1625:Q1625,"?*")&lt;N(INDEX(Setup!$L$6:$L$23,18)))+(COUNTIF(S1625:U1625,"?*")&lt;N(INDEX(Setup!$L$6:$L$23,18)))+((W1625="")*(INDEX(Setup!$M$6:$M$23,18)="Y"))+((Y1625="")*(INDEX(Setup!$M$6:$M$23,18)="Y")))</f>
        <v/>
      </c>
      <c r="AC1625" s="91">
        <f>IF($B1625="","",IF(AB1625=0,"✓ covered","⚠ "&amp;AB1625&amp;IF(AB1625=1," gap"," gaps")))</f>
        <v/>
      </c>
    </row>
    <row r="1626" ht="18" customHeight="1">
      <c r="A1626" t="n">
        <v>33</v>
      </c>
      <c r="B1626" s="78" t="inlineStr">
        <is>
          <t>TEAM AVAILABILITY</t>
        </is>
      </c>
      <c r="C1626" s="92" t="inlineStr">
        <is>
          <t>Mon</t>
        </is>
      </c>
      <c r="D1626" s="93" t="n"/>
      <c r="E1626" s="93" t="n"/>
      <c r="F1626" s="94" t="n"/>
      <c r="G1626" s="92" t="inlineStr">
        <is>
          <t>Tue</t>
        </is>
      </c>
      <c r="H1626" s="93" t="n"/>
      <c r="I1626" s="93" t="n"/>
      <c r="J1626" s="94" t="n"/>
      <c r="K1626" s="92" t="inlineStr">
        <is>
          <t>Wed</t>
        </is>
      </c>
      <c r="L1626" s="93" t="n"/>
      <c r="M1626" s="93" t="n"/>
      <c r="N1626" s="94" t="n"/>
      <c r="O1626" s="92" t="inlineStr">
        <is>
          <t>Thu</t>
        </is>
      </c>
      <c r="P1626" s="93" t="n"/>
      <c r="Q1626" s="93" t="n"/>
      <c r="R1626" s="94" t="n"/>
      <c r="S1626" s="92" t="inlineStr">
        <is>
          <t>Fri</t>
        </is>
      </c>
      <c r="T1626" s="93" t="n"/>
      <c r="U1626" s="93" t="n"/>
      <c r="V1626" s="94" t="n"/>
      <c r="W1626" s="95" t="inlineStr">
        <is>
          <t>Sat</t>
        </is>
      </c>
      <c r="X1626" s="96" t="n"/>
      <c r="Y1626" s="95" t="inlineStr">
        <is>
          <t>Sun</t>
        </is>
      </c>
      <c r="Z1626" s="96" t="n"/>
      <c r="AB1626" s="97" t="inlineStr">
        <is>
          <t>Days rostered</t>
        </is>
      </c>
      <c r="AC1626" s="97" t="inlineStr">
        <is>
          <t>Conflicts</t>
        </is>
      </c>
    </row>
    <row r="1627" ht="15" customHeight="1">
      <c r="A1627" t="n">
        <v>33</v>
      </c>
      <c r="B1627" s="35">
        <f>IF(Setup!$B$6="","",Setup!$B$6)</f>
        <v/>
      </c>
      <c r="C1627" s="98" t="n"/>
      <c r="D1627" s="99" t="n"/>
      <c r="E1627" s="99" t="n"/>
      <c r="F1627" s="100" t="n"/>
      <c r="G1627" s="98" t="n"/>
      <c r="H1627" s="99" t="n"/>
      <c r="I1627" s="99" t="n"/>
      <c r="J1627" s="100" t="n"/>
      <c r="K1627" s="98" t="n"/>
      <c r="L1627" s="99" t="n"/>
      <c r="M1627" s="99" t="n"/>
      <c r="N1627" s="100" t="n"/>
      <c r="O1627" s="98" t="n"/>
      <c r="P1627" s="99" t="n"/>
      <c r="Q1627" s="99" t="n"/>
      <c r="R1627" s="100" t="n"/>
      <c r="S1627" s="98" t="n"/>
      <c r="T1627" s="99" t="n"/>
      <c r="U1627" s="99" t="n"/>
      <c r="V1627" s="100" t="n"/>
      <c r="W1627" s="98" t="n"/>
      <c r="X1627" s="100" t="n"/>
      <c r="Y1627" s="98" t="n"/>
      <c r="Z1627" s="100" t="n"/>
      <c r="AB1627" s="101">
        <f>IF($B1627="","",(COUNTIF(C1608:E1625,$B1627)+COUNTIF(C1608:E1625,$B1627&amp;" ~*")&gt;0)+(COUNTIF(G1608:I1625,$B1627)+COUNTIF(G1608:I1625,$B1627&amp;" ~*")&gt;0)+(COUNTIF(K1608:M1625,$B1627)+COUNTIF(K1608:M1625,$B1627&amp;" ~*")&gt;0)+(COUNTIF(O1608:Q1625,$B1627)+COUNTIF(O1608:Q1625,$B1627&amp;" ~*")&gt;0)+(COUNTIF(S1608:U1625,$B1627)+COUNTIF(S1608:U1625,$B1627&amp;" ~*")&gt;0)+(COUNTIF(W1608:W1625,$B1627)+COUNTIF(W1608:W1625,$B1627&amp;" ~*")&gt;0)+(COUNTIF(Y1608:Y1625,$B1627)+COUNTIF(Y1608:Y1625,$B1627&amp;" ~*")&gt;0))</f>
        <v/>
      </c>
      <c r="AC1627" s="36">
        <f>IF($B1627="","",(IFERROR(INDEX(Setup!$G$33:$G$40,MATCH(C1627,Setup!$B$33:$B$40,0)),0)=1)*(COUNTIF(C1608:E1625,$B1627)+COUNTIF(C1608:E1625,$B1627&amp;" ~*")&gt;0)+(IFERROR(INDEX(Setup!$G$33:$G$40,MATCH(G1627,Setup!$B$33:$B$40,0)),0)=1)*(COUNTIF(G1608:I1625,$B1627)+COUNTIF(G1608:I1625,$B1627&amp;" ~*")&gt;0)+(IFERROR(INDEX(Setup!$G$33:$G$40,MATCH(K1627,Setup!$B$33:$B$40,0)),0)=1)*(COUNTIF(K1608:M1625,$B1627)+COUNTIF(K1608:M1625,$B1627&amp;" ~*")&gt;0)+(IFERROR(INDEX(Setup!$G$33:$G$40,MATCH(O1627,Setup!$B$33:$B$40,0)),0)=1)*(COUNTIF(O1608:Q1625,$B1627)+COUNTIF(O1608:Q1625,$B1627&amp;" ~*")&gt;0)+(IFERROR(INDEX(Setup!$G$33:$G$40,MATCH(S1627,Setup!$B$33:$B$40,0)),0)=1)*(COUNTIF(S1608:U1625,$B1627)+COUNTIF(S1608:U1625,$B1627&amp;" ~*")&gt;0)+(IFERROR(INDEX(Setup!$G$33:$G$40,MATCH(W1627,Setup!$B$33:$B$40,0)),0)=1)*(COUNTIF(W1608:W1625,$B1627)+COUNTIF(W1608:W1625,$B1627&amp;" ~*")&gt;0)+(IFERROR(INDEX(Setup!$G$33:$G$40,MATCH(Y1627,Setup!$B$33:$B$40,0)),0)=1)*(COUNTIF(Y1608:Y1625,$B1627)+COUNTIF(Y1608:Y1625,$B1627&amp;" ~*")&gt;0))</f>
        <v/>
      </c>
    </row>
    <row r="1628" ht="15" customHeight="1">
      <c r="A1628" t="n">
        <v>33</v>
      </c>
      <c r="B1628" s="37">
        <f>IF(Setup!$B$7="","",Setup!$B$7)</f>
        <v/>
      </c>
      <c r="C1628" s="102" t="n"/>
      <c r="D1628" s="103" t="n"/>
      <c r="E1628" s="103" t="n"/>
      <c r="F1628" s="104" t="n"/>
      <c r="G1628" s="102" t="n"/>
      <c r="H1628" s="103" t="n"/>
      <c r="I1628" s="103" t="n"/>
      <c r="J1628" s="104" t="n"/>
      <c r="K1628" s="102" t="n"/>
      <c r="L1628" s="103" t="n"/>
      <c r="M1628" s="103" t="n"/>
      <c r="N1628" s="104" t="n"/>
      <c r="O1628" s="102" t="n"/>
      <c r="P1628" s="103" t="n"/>
      <c r="Q1628" s="103" t="n"/>
      <c r="R1628" s="104" t="n"/>
      <c r="S1628" s="102" t="n"/>
      <c r="T1628" s="103" t="n"/>
      <c r="U1628" s="103" t="n"/>
      <c r="V1628" s="104" t="n"/>
      <c r="W1628" s="102" t="n"/>
      <c r="X1628" s="104" t="n"/>
      <c r="Y1628" s="102" t="n"/>
      <c r="Z1628" s="104" t="n"/>
      <c r="AB1628" s="105">
        <f>IF($B1628="","",(COUNTIF(C1608:E1625,$B1628)+COUNTIF(C1608:E1625,$B1628&amp;" ~*")&gt;0)+(COUNTIF(G1608:I1625,$B1628)+COUNTIF(G1608:I1625,$B1628&amp;" ~*")&gt;0)+(COUNTIF(K1608:M1625,$B1628)+COUNTIF(K1608:M1625,$B1628&amp;" ~*")&gt;0)+(COUNTIF(O1608:Q1625,$B1628)+COUNTIF(O1608:Q1625,$B1628&amp;" ~*")&gt;0)+(COUNTIF(S1608:U1625,$B1628)+COUNTIF(S1608:U1625,$B1628&amp;" ~*")&gt;0)+(COUNTIF(W1608:W1625,$B1628)+COUNTIF(W1608:W1625,$B1628&amp;" ~*")&gt;0)+(COUNTIF(Y1608:Y1625,$B1628)+COUNTIF(Y1608:Y1625,$B1628&amp;" ~*")&gt;0))</f>
        <v/>
      </c>
      <c r="AC1628" s="38">
        <f>IF($B1628="","",(IFERROR(INDEX(Setup!$G$33:$G$40,MATCH(C1628,Setup!$B$33:$B$40,0)),0)=1)*(COUNTIF(C1608:E1625,$B1628)+COUNTIF(C1608:E1625,$B1628&amp;" ~*")&gt;0)+(IFERROR(INDEX(Setup!$G$33:$G$40,MATCH(G1628,Setup!$B$33:$B$40,0)),0)=1)*(COUNTIF(G1608:I1625,$B1628)+COUNTIF(G1608:I1625,$B1628&amp;" ~*")&gt;0)+(IFERROR(INDEX(Setup!$G$33:$G$40,MATCH(K1628,Setup!$B$33:$B$40,0)),0)=1)*(COUNTIF(K1608:M1625,$B1628)+COUNTIF(K1608:M1625,$B1628&amp;" ~*")&gt;0)+(IFERROR(INDEX(Setup!$G$33:$G$40,MATCH(O1628,Setup!$B$33:$B$40,0)),0)=1)*(COUNTIF(O1608:Q1625,$B1628)+COUNTIF(O1608:Q1625,$B1628&amp;" ~*")&gt;0)+(IFERROR(INDEX(Setup!$G$33:$G$40,MATCH(S1628,Setup!$B$33:$B$40,0)),0)=1)*(COUNTIF(S1608:U1625,$B1628)+COUNTIF(S1608:U1625,$B1628&amp;" ~*")&gt;0)+(IFERROR(INDEX(Setup!$G$33:$G$40,MATCH(W1628,Setup!$B$33:$B$40,0)),0)=1)*(COUNTIF(W1608:W1625,$B1628)+COUNTIF(W1608:W1625,$B1628&amp;" ~*")&gt;0)+(IFERROR(INDEX(Setup!$G$33:$G$40,MATCH(Y1628,Setup!$B$33:$B$40,0)),0)=1)*(COUNTIF(Y1608:Y1625,$B1628)+COUNTIF(Y1608:Y1625,$B1628&amp;" ~*")&gt;0))</f>
        <v/>
      </c>
    </row>
    <row r="1629" ht="15" customHeight="1">
      <c r="A1629" t="n">
        <v>33</v>
      </c>
      <c r="B1629" s="35">
        <f>IF(Setup!$B$8="","",Setup!$B$8)</f>
        <v/>
      </c>
      <c r="C1629" s="98" t="n"/>
      <c r="D1629" s="99" t="n"/>
      <c r="E1629" s="99" t="n"/>
      <c r="F1629" s="100" t="n"/>
      <c r="G1629" s="98" t="n"/>
      <c r="H1629" s="99" t="n"/>
      <c r="I1629" s="99" t="n"/>
      <c r="J1629" s="100" t="n"/>
      <c r="K1629" s="98" t="n"/>
      <c r="L1629" s="99" t="n"/>
      <c r="M1629" s="99" t="n"/>
      <c r="N1629" s="100" t="n"/>
      <c r="O1629" s="98" t="n"/>
      <c r="P1629" s="99" t="n"/>
      <c r="Q1629" s="99" t="n"/>
      <c r="R1629" s="100" t="n"/>
      <c r="S1629" s="98" t="n"/>
      <c r="T1629" s="99" t="n"/>
      <c r="U1629" s="99" t="n"/>
      <c r="V1629" s="100" t="n"/>
      <c r="W1629" s="98" t="n"/>
      <c r="X1629" s="100" t="n"/>
      <c r="Y1629" s="98" t="n"/>
      <c r="Z1629" s="100" t="n"/>
      <c r="AB1629" s="101">
        <f>IF($B1629="","",(COUNTIF(C1608:E1625,$B1629)+COUNTIF(C1608:E1625,$B1629&amp;" ~*")&gt;0)+(COUNTIF(G1608:I1625,$B1629)+COUNTIF(G1608:I1625,$B1629&amp;" ~*")&gt;0)+(COUNTIF(K1608:M1625,$B1629)+COUNTIF(K1608:M1625,$B1629&amp;" ~*")&gt;0)+(COUNTIF(O1608:Q1625,$B1629)+COUNTIF(O1608:Q1625,$B1629&amp;" ~*")&gt;0)+(COUNTIF(S1608:U1625,$B1629)+COUNTIF(S1608:U1625,$B1629&amp;" ~*")&gt;0)+(COUNTIF(W1608:W1625,$B1629)+COUNTIF(W1608:W1625,$B1629&amp;" ~*")&gt;0)+(COUNTIF(Y1608:Y1625,$B1629)+COUNTIF(Y1608:Y1625,$B1629&amp;" ~*")&gt;0))</f>
        <v/>
      </c>
      <c r="AC1629" s="36">
        <f>IF($B1629="","",(IFERROR(INDEX(Setup!$G$33:$G$40,MATCH(C1629,Setup!$B$33:$B$40,0)),0)=1)*(COUNTIF(C1608:E1625,$B1629)+COUNTIF(C1608:E1625,$B1629&amp;" ~*")&gt;0)+(IFERROR(INDEX(Setup!$G$33:$G$40,MATCH(G1629,Setup!$B$33:$B$40,0)),0)=1)*(COUNTIF(G1608:I1625,$B1629)+COUNTIF(G1608:I1625,$B1629&amp;" ~*")&gt;0)+(IFERROR(INDEX(Setup!$G$33:$G$40,MATCH(K1629,Setup!$B$33:$B$40,0)),0)=1)*(COUNTIF(K1608:M1625,$B1629)+COUNTIF(K1608:M1625,$B1629&amp;" ~*")&gt;0)+(IFERROR(INDEX(Setup!$G$33:$G$40,MATCH(O1629,Setup!$B$33:$B$40,0)),0)=1)*(COUNTIF(O1608:Q1625,$B1629)+COUNTIF(O1608:Q1625,$B1629&amp;" ~*")&gt;0)+(IFERROR(INDEX(Setup!$G$33:$G$40,MATCH(S1629,Setup!$B$33:$B$40,0)),0)=1)*(COUNTIF(S1608:U1625,$B1629)+COUNTIF(S1608:U1625,$B1629&amp;" ~*")&gt;0)+(IFERROR(INDEX(Setup!$G$33:$G$40,MATCH(W1629,Setup!$B$33:$B$40,0)),0)=1)*(COUNTIF(W1608:W1625,$B1629)+COUNTIF(W1608:W1625,$B1629&amp;" ~*")&gt;0)+(IFERROR(INDEX(Setup!$G$33:$G$40,MATCH(Y1629,Setup!$B$33:$B$40,0)),0)=1)*(COUNTIF(Y1608:Y1625,$B1629)+COUNTIF(Y1608:Y1625,$B1629&amp;" ~*")&gt;0))</f>
        <v/>
      </c>
    </row>
    <row r="1630" ht="15" customHeight="1">
      <c r="A1630" t="n">
        <v>33</v>
      </c>
      <c r="B1630" s="37">
        <f>IF(Setup!$B$9="","",Setup!$B$9)</f>
        <v/>
      </c>
      <c r="C1630" s="102" t="n"/>
      <c r="D1630" s="103" t="n"/>
      <c r="E1630" s="103" t="n"/>
      <c r="F1630" s="104" t="n"/>
      <c r="G1630" s="102" t="n"/>
      <c r="H1630" s="103" t="n"/>
      <c r="I1630" s="103" t="n"/>
      <c r="J1630" s="104" t="n"/>
      <c r="K1630" s="102" t="n"/>
      <c r="L1630" s="103" t="n"/>
      <c r="M1630" s="103" t="n"/>
      <c r="N1630" s="104" t="n"/>
      <c r="O1630" s="102" t="n"/>
      <c r="P1630" s="103" t="n"/>
      <c r="Q1630" s="103" t="n"/>
      <c r="R1630" s="104" t="n"/>
      <c r="S1630" s="102" t="n"/>
      <c r="T1630" s="103" t="n"/>
      <c r="U1630" s="103" t="n"/>
      <c r="V1630" s="104" t="n"/>
      <c r="W1630" s="102" t="n"/>
      <c r="X1630" s="104" t="n"/>
      <c r="Y1630" s="102" t="n"/>
      <c r="Z1630" s="104" t="n"/>
      <c r="AB1630" s="105">
        <f>IF($B1630="","",(COUNTIF(C1608:E1625,$B1630)+COUNTIF(C1608:E1625,$B1630&amp;" ~*")&gt;0)+(COUNTIF(G1608:I1625,$B1630)+COUNTIF(G1608:I1625,$B1630&amp;" ~*")&gt;0)+(COUNTIF(K1608:M1625,$B1630)+COUNTIF(K1608:M1625,$B1630&amp;" ~*")&gt;0)+(COUNTIF(O1608:Q1625,$B1630)+COUNTIF(O1608:Q1625,$B1630&amp;" ~*")&gt;0)+(COUNTIF(S1608:U1625,$B1630)+COUNTIF(S1608:U1625,$B1630&amp;" ~*")&gt;0)+(COUNTIF(W1608:W1625,$B1630)+COUNTIF(W1608:W1625,$B1630&amp;" ~*")&gt;0)+(COUNTIF(Y1608:Y1625,$B1630)+COUNTIF(Y1608:Y1625,$B1630&amp;" ~*")&gt;0))</f>
        <v/>
      </c>
      <c r="AC1630" s="38">
        <f>IF($B1630="","",(IFERROR(INDEX(Setup!$G$33:$G$40,MATCH(C1630,Setup!$B$33:$B$40,0)),0)=1)*(COUNTIF(C1608:E1625,$B1630)+COUNTIF(C1608:E1625,$B1630&amp;" ~*")&gt;0)+(IFERROR(INDEX(Setup!$G$33:$G$40,MATCH(G1630,Setup!$B$33:$B$40,0)),0)=1)*(COUNTIF(G1608:I1625,$B1630)+COUNTIF(G1608:I1625,$B1630&amp;" ~*")&gt;0)+(IFERROR(INDEX(Setup!$G$33:$G$40,MATCH(K1630,Setup!$B$33:$B$40,0)),0)=1)*(COUNTIF(K1608:M1625,$B1630)+COUNTIF(K1608:M1625,$B1630&amp;" ~*")&gt;0)+(IFERROR(INDEX(Setup!$G$33:$G$40,MATCH(O1630,Setup!$B$33:$B$40,0)),0)=1)*(COUNTIF(O1608:Q1625,$B1630)+COUNTIF(O1608:Q1625,$B1630&amp;" ~*")&gt;0)+(IFERROR(INDEX(Setup!$G$33:$G$40,MATCH(S1630,Setup!$B$33:$B$40,0)),0)=1)*(COUNTIF(S1608:U1625,$B1630)+COUNTIF(S1608:U1625,$B1630&amp;" ~*")&gt;0)+(IFERROR(INDEX(Setup!$G$33:$G$40,MATCH(W1630,Setup!$B$33:$B$40,0)),0)=1)*(COUNTIF(W1608:W1625,$B1630)+COUNTIF(W1608:W1625,$B1630&amp;" ~*")&gt;0)+(IFERROR(INDEX(Setup!$G$33:$G$40,MATCH(Y1630,Setup!$B$33:$B$40,0)),0)=1)*(COUNTIF(Y1608:Y1625,$B1630)+COUNTIF(Y1608:Y1625,$B1630&amp;" ~*")&gt;0))</f>
        <v/>
      </c>
    </row>
    <row r="1631" ht="15" customHeight="1">
      <c r="A1631" t="n">
        <v>33</v>
      </c>
      <c r="B1631" s="35">
        <f>IF(Setup!$B$10="","",Setup!$B$10)</f>
        <v/>
      </c>
      <c r="C1631" s="98" t="n"/>
      <c r="D1631" s="99" t="n"/>
      <c r="E1631" s="99" t="n"/>
      <c r="F1631" s="100" t="n"/>
      <c r="G1631" s="98" t="n"/>
      <c r="H1631" s="99" t="n"/>
      <c r="I1631" s="99" t="n"/>
      <c r="J1631" s="100" t="n"/>
      <c r="K1631" s="98" t="n"/>
      <c r="L1631" s="99" t="n"/>
      <c r="M1631" s="99" t="n"/>
      <c r="N1631" s="100" t="n"/>
      <c r="O1631" s="98" t="n"/>
      <c r="P1631" s="99" t="n"/>
      <c r="Q1631" s="99" t="n"/>
      <c r="R1631" s="100" t="n"/>
      <c r="S1631" s="98" t="n"/>
      <c r="T1631" s="99" t="n"/>
      <c r="U1631" s="99" t="n"/>
      <c r="V1631" s="100" t="n"/>
      <c r="W1631" s="98" t="n"/>
      <c r="X1631" s="100" t="n"/>
      <c r="Y1631" s="98" t="n"/>
      <c r="Z1631" s="100" t="n"/>
      <c r="AB1631" s="101">
        <f>IF($B1631="","",(COUNTIF(C1608:E1625,$B1631)+COUNTIF(C1608:E1625,$B1631&amp;" ~*")&gt;0)+(COUNTIF(G1608:I1625,$B1631)+COUNTIF(G1608:I1625,$B1631&amp;" ~*")&gt;0)+(COUNTIF(K1608:M1625,$B1631)+COUNTIF(K1608:M1625,$B1631&amp;" ~*")&gt;0)+(COUNTIF(O1608:Q1625,$B1631)+COUNTIF(O1608:Q1625,$B1631&amp;" ~*")&gt;0)+(COUNTIF(S1608:U1625,$B1631)+COUNTIF(S1608:U1625,$B1631&amp;" ~*")&gt;0)+(COUNTIF(W1608:W1625,$B1631)+COUNTIF(W1608:W1625,$B1631&amp;" ~*")&gt;0)+(COUNTIF(Y1608:Y1625,$B1631)+COUNTIF(Y1608:Y1625,$B1631&amp;" ~*")&gt;0))</f>
        <v/>
      </c>
      <c r="AC1631" s="36">
        <f>IF($B1631="","",(IFERROR(INDEX(Setup!$G$33:$G$40,MATCH(C1631,Setup!$B$33:$B$40,0)),0)=1)*(COUNTIF(C1608:E1625,$B1631)+COUNTIF(C1608:E1625,$B1631&amp;" ~*")&gt;0)+(IFERROR(INDEX(Setup!$G$33:$G$40,MATCH(G1631,Setup!$B$33:$B$40,0)),0)=1)*(COUNTIF(G1608:I1625,$B1631)+COUNTIF(G1608:I1625,$B1631&amp;" ~*")&gt;0)+(IFERROR(INDEX(Setup!$G$33:$G$40,MATCH(K1631,Setup!$B$33:$B$40,0)),0)=1)*(COUNTIF(K1608:M1625,$B1631)+COUNTIF(K1608:M1625,$B1631&amp;" ~*")&gt;0)+(IFERROR(INDEX(Setup!$G$33:$G$40,MATCH(O1631,Setup!$B$33:$B$40,0)),0)=1)*(COUNTIF(O1608:Q1625,$B1631)+COUNTIF(O1608:Q1625,$B1631&amp;" ~*")&gt;0)+(IFERROR(INDEX(Setup!$G$33:$G$40,MATCH(S1631,Setup!$B$33:$B$40,0)),0)=1)*(COUNTIF(S1608:U1625,$B1631)+COUNTIF(S1608:U1625,$B1631&amp;" ~*")&gt;0)+(IFERROR(INDEX(Setup!$G$33:$G$40,MATCH(W1631,Setup!$B$33:$B$40,0)),0)=1)*(COUNTIF(W1608:W1625,$B1631)+COUNTIF(W1608:W1625,$B1631&amp;" ~*")&gt;0)+(IFERROR(INDEX(Setup!$G$33:$G$40,MATCH(Y1631,Setup!$B$33:$B$40,0)),0)=1)*(COUNTIF(Y1608:Y1625,$B1631)+COUNTIF(Y1608:Y1625,$B1631&amp;" ~*")&gt;0))</f>
        <v/>
      </c>
    </row>
    <row r="1632" ht="15" customHeight="1">
      <c r="A1632" t="n">
        <v>33</v>
      </c>
      <c r="B1632" s="37">
        <f>IF(Setup!$B$11="","",Setup!$B$11)</f>
        <v/>
      </c>
      <c r="C1632" s="102" t="n"/>
      <c r="D1632" s="103" t="n"/>
      <c r="E1632" s="103" t="n"/>
      <c r="F1632" s="104" t="n"/>
      <c r="G1632" s="102" t="n"/>
      <c r="H1632" s="103" t="n"/>
      <c r="I1632" s="103" t="n"/>
      <c r="J1632" s="104" t="n"/>
      <c r="K1632" s="102" t="n"/>
      <c r="L1632" s="103" t="n"/>
      <c r="M1632" s="103" t="n"/>
      <c r="N1632" s="104" t="n"/>
      <c r="O1632" s="102" t="n"/>
      <c r="P1632" s="103" t="n"/>
      <c r="Q1632" s="103" t="n"/>
      <c r="R1632" s="104" t="n"/>
      <c r="S1632" s="102" t="n"/>
      <c r="T1632" s="103" t="n"/>
      <c r="U1632" s="103" t="n"/>
      <c r="V1632" s="104" t="n"/>
      <c r="W1632" s="102" t="n"/>
      <c r="X1632" s="104" t="n"/>
      <c r="Y1632" s="102" t="n"/>
      <c r="Z1632" s="104" t="n"/>
      <c r="AB1632" s="105">
        <f>IF($B1632="","",(COUNTIF(C1608:E1625,$B1632)+COUNTIF(C1608:E1625,$B1632&amp;" ~*")&gt;0)+(COUNTIF(G1608:I1625,$B1632)+COUNTIF(G1608:I1625,$B1632&amp;" ~*")&gt;0)+(COUNTIF(K1608:M1625,$B1632)+COUNTIF(K1608:M1625,$B1632&amp;" ~*")&gt;0)+(COUNTIF(O1608:Q1625,$B1632)+COUNTIF(O1608:Q1625,$B1632&amp;" ~*")&gt;0)+(COUNTIF(S1608:U1625,$B1632)+COUNTIF(S1608:U1625,$B1632&amp;" ~*")&gt;0)+(COUNTIF(W1608:W1625,$B1632)+COUNTIF(W1608:W1625,$B1632&amp;" ~*")&gt;0)+(COUNTIF(Y1608:Y1625,$B1632)+COUNTIF(Y1608:Y1625,$B1632&amp;" ~*")&gt;0))</f>
        <v/>
      </c>
      <c r="AC1632" s="38">
        <f>IF($B1632="","",(IFERROR(INDEX(Setup!$G$33:$G$40,MATCH(C1632,Setup!$B$33:$B$40,0)),0)=1)*(COUNTIF(C1608:E1625,$B1632)+COUNTIF(C1608:E1625,$B1632&amp;" ~*")&gt;0)+(IFERROR(INDEX(Setup!$G$33:$G$40,MATCH(G1632,Setup!$B$33:$B$40,0)),0)=1)*(COUNTIF(G1608:I1625,$B1632)+COUNTIF(G1608:I1625,$B1632&amp;" ~*")&gt;0)+(IFERROR(INDEX(Setup!$G$33:$G$40,MATCH(K1632,Setup!$B$33:$B$40,0)),0)=1)*(COUNTIF(K1608:M1625,$B1632)+COUNTIF(K1608:M1625,$B1632&amp;" ~*")&gt;0)+(IFERROR(INDEX(Setup!$G$33:$G$40,MATCH(O1632,Setup!$B$33:$B$40,0)),0)=1)*(COUNTIF(O1608:Q1625,$B1632)+COUNTIF(O1608:Q1625,$B1632&amp;" ~*")&gt;0)+(IFERROR(INDEX(Setup!$G$33:$G$40,MATCH(S1632,Setup!$B$33:$B$40,0)),0)=1)*(COUNTIF(S1608:U1625,$B1632)+COUNTIF(S1608:U1625,$B1632&amp;" ~*")&gt;0)+(IFERROR(INDEX(Setup!$G$33:$G$40,MATCH(W1632,Setup!$B$33:$B$40,0)),0)=1)*(COUNTIF(W1608:W1625,$B1632)+COUNTIF(W1608:W1625,$B1632&amp;" ~*")&gt;0)+(IFERROR(INDEX(Setup!$G$33:$G$40,MATCH(Y1632,Setup!$B$33:$B$40,0)),0)=1)*(COUNTIF(Y1608:Y1625,$B1632)+COUNTIF(Y1608:Y1625,$B1632&amp;" ~*")&gt;0))</f>
        <v/>
      </c>
    </row>
    <row r="1633" ht="15" customHeight="1">
      <c r="A1633" t="n">
        <v>33</v>
      </c>
      <c r="B1633" s="35">
        <f>IF(Setup!$B$12="","",Setup!$B$12)</f>
        <v/>
      </c>
      <c r="C1633" s="98" t="n"/>
      <c r="D1633" s="99" t="n"/>
      <c r="E1633" s="99" t="n"/>
      <c r="F1633" s="100" t="n"/>
      <c r="G1633" s="98" t="n"/>
      <c r="H1633" s="99" t="n"/>
      <c r="I1633" s="99" t="n"/>
      <c r="J1633" s="100" t="n"/>
      <c r="K1633" s="98" t="n"/>
      <c r="L1633" s="99" t="n"/>
      <c r="M1633" s="99" t="n"/>
      <c r="N1633" s="100" t="n"/>
      <c r="O1633" s="98" t="n"/>
      <c r="P1633" s="99" t="n"/>
      <c r="Q1633" s="99" t="n"/>
      <c r="R1633" s="100" t="n"/>
      <c r="S1633" s="98" t="n"/>
      <c r="T1633" s="99" t="n"/>
      <c r="U1633" s="99" t="n"/>
      <c r="V1633" s="100" t="n"/>
      <c r="W1633" s="98" t="n"/>
      <c r="X1633" s="100" t="n"/>
      <c r="Y1633" s="98" t="n"/>
      <c r="Z1633" s="100" t="n"/>
      <c r="AB1633" s="101">
        <f>IF($B1633="","",(COUNTIF(C1608:E1625,$B1633)+COUNTIF(C1608:E1625,$B1633&amp;" ~*")&gt;0)+(COUNTIF(G1608:I1625,$B1633)+COUNTIF(G1608:I1625,$B1633&amp;" ~*")&gt;0)+(COUNTIF(K1608:M1625,$B1633)+COUNTIF(K1608:M1625,$B1633&amp;" ~*")&gt;0)+(COUNTIF(O1608:Q1625,$B1633)+COUNTIF(O1608:Q1625,$B1633&amp;" ~*")&gt;0)+(COUNTIF(S1608:U1625,$B1633)+COUNTIF(S1608:U1625,$B1633&amp;" ~*")&gt;0)+(COUNTIF(W1608:W1625,$B1633)+COUNTIF(W1608:W1625,$B1633&amp;" ~*")&gt;0)+(COUNTIF(Y1608:Y1625,$B1633)+COUNTIF(Y1608:Y1625,$B1633&amp;" ~*")&gt;0))</f>
        <v/>
      </c>
      <c r="AC1633" s="36">
        <f>IF($B1633="","",(IFERROR(INDEX(Setup!$G$33:$G$40,MATCH(C1633,Setup!$B$33:$B$40,0)),0)=1)*(COUNTIF(C1608:E1625,$B1633)+COUNTIF(C1608:E1625,$B1633&amp;" ~*")&gt;0)+(IFERROR(INDEX(Setup!$G$33:$G$40,MATCH(G1633,Setup!$B$33:$B$40,0)),0)=1)*(COUNTIF(G1608:I1625,$B1633)+COUNTIF(G1608:I1625,$B1633&amp;" ~*")&gt;0)+(IFERROR(INDEX(Setup!$G$33:$G$40,MATCH(K1633,Setup!$B$33:$B$40,0)),0)=1)*(COUNTIF(K1608:M1625,$B1633)+COUNTIF(K1608:M1625,$B1633&amp;" ~*")&gt;0)+(IFERROR(INDEX(Setup!$G$33:$G$40,MATCH(O1633,Setup!$B$33:$B$40,0)),0)=1)*(COUNTIF(O1608:Q1625,$B1633)+COUNTIF(O1608:Q1625,$B1633&amp;" ~*")&gt;0)+(IFERROR(INDEX(Setup!$G$33:$G$40,MATCH(S1633,Setup!$B$33:$B$40,0)),0)=1)*(COUNTIF(S1608:U1625,$B1633)+COUNTIF(S1608:U1625,$B1633&amp;" ~*")&gt;0)+(IFERROR(INDEX(Setup!$G$33:$G$40,MATCH(W1633,Setup!$B$33:$B$40,0)),0)=1)*(COUNTIF(W1608:W1625,$B1633)+COUNTIF(W1608:W1625,$B1633&amp;" ~*")&gt;0)+(IFERROR(INDEX(Setup!$G$33:$G$40,MATCH(Y1633,Setup!$B$33:$B$40,0)),0)=1)*(COUNTIF(Y1608:Y1625,$B1633)+COUNTIF(Y1608:Y1625,$B1633&amp;" ~*")&gt;0))</f>
        <v/>
      </c>
    </row>
    <row r="1634" ht="15" customHeight="1">
      <c r="A1634" t="n">
        <v>33</v>
      </c>
      <c r="B1634" s="37">
        <f>IF(Setup!$B$13="","",Setup!$B$13)</f>
        <v/>
      </c>
      <c r="C1634" s="102" t="n"/>
      <c r="D1634" s="103" t="n"/>
      <c r="E1634" s="103" t="n"/>
      <c r="F1634" s="104" t="n"/>
      <c r="G1634" s="102" t="n"/>
      <c r="H1634" s="103" t="n"/>
      <c r="I1634" s="103" t="n"/>
      <c r="J1634" s="104" t="n"/>
      <c r="K1634" s="102" t="n"/>
      <c r="L1634" s="103" t="n"/>
      <c r="M1634" s="103" t="n"/>
      <c r="N1634" s="104" t="n"/>
      <c r="O1634" s="102" t="n"/>
      <c r="P1634" s="103" t="n"/>
      <c r="Q1634" s="103" t="n"/>
      <c r="R1634" s="104" t="n"/>
      <c r="S1634" s="102" t="n"/>
      <c r="T1634" s="103" t="n"/>
      <c r="U1634" s="103" t="n"/>
      <c r="V1634" s="104" t="n"/>
      <c r="W1634" s="102" t="n"/>
      <c r="X1634" s="104" t="n"/>
      <c r="Y1634" s="102" t="n"/>
      <c r="Z1634" s="104" t="n"/>
      <c r="AB1634" s="105">
        <f>IF($B1634="","",(COUNTIF(C1608:E1625,$B1634)+COUNTIF(C1608:E1625,$B1634&amp;" ~*")&gt;0)+(COUNTIF(G1608:I1625,$B1634)+COUNTIF(G1608:I1625,$B1634&amp;" ~*")&gt;0)+(COUNTIF(K1608:M1625,$B1634)+COUNTIF(K1608:M1625,$B1634&amp;" ~*")&gt;0)+(COUNTIF(O1608:Q1625,$B1634)+COUNTIF(O1608:Q1625,$B1634&amp;" ~*")&gt;0)+(COUNTIF(S1608:U1625,$B1634)+COUNTIF(S1608:U1625,$B1634&amp;" ~*")&gt;0)+(COUNTIF(W1608:W1625,$B1634)+COUNTIF(W1608:W1625,$B1634&amp;" ~*")&gt;0)+(COUNTIF(Y1608:Y1625,$B1634)+COUNTIF(Y1608:Y1625,$B1634&amp;" ~*")&gt;0))</f>
        <v/>
      </c>
      <c r="AC1634" s="38">
        <f>IF($B1634="","",(IFERROR(INDEX(Setup!$G$33:$G$40,MATCH(C1634,Setup!$B$33:$B$40,0)),0)=1)*(COUNTIF(C1608:E1625,$B1634)+COUNTIF(C1608:E1625,$B1634&amp;" ~*")&gt;0)+(IFERROR(INDEX(Setup!$G$33:$G$40,MATCH(G1634,Setup!$B$33:$B$40,0)),0)=1)*(COUNTIF(G1608:I1625,$B1634)+COUNTIF(G1608:I1625,$B1634&amp;" ~*")&gt;0)+(IFERROR(INDEX(Setup!$G$33:$G$40,MATCH(K1634,Setup!$B$33:$B$40,0)),0)=1)*(COUNTIF(K1608:M1625,$B1634)+COUNTIF(K1608:M1625,$B1634&amp;" ~*")&gt;0)+(IFERROR(INDEX(Setup!$G$33:$G$40,MATCH(O1634,Setup!$B$33:$B$40,0)),0)=1)*(COUNTIF(O1608:Q1625,$B1634)+COUNTIF(O1608:Q1625,$B1634&amp;" ~*")&gt;0)+(IFERROR(INDEX(Setup!$G$33:$G$40,MATCH(S1634,Setup!$B$33:$B$40,0)),0)=1)*(COUNTIF(S1608:U1625,$B1634)+COUNTIF(S1608:U1625,$B1634&amp;" ~*")&gt;0)+(IFERROR(INDEX(Setup!$G$33:$G$40,MATCH(W1634,Setup!$B$33:$B$40,0)),0)=1)*(COUNTIF(W1608:W1625,$B1634)+COUNTIF(W1608:W1625,$B1634&amp;" ~*")&gt;0)+(IFERROR(INDEX(Setup!$G$33:$G$40,MATCH(Y1634,Setup!$B$33:$B$40,0)),0)=1)*(COUNTIF(Y1608:Y1625,$B1634)+COUNTIF(Y1608:Y1625,$B1634&amp;" ~*")&gt;0))</f>
        <v/>
      </c>
    </row>
    <row r="1635" ht="15" customHeight="1">
      <c r="A1635" t="n">
        <v>33</v>
      </c>
      <c r="B1635" s="35">
        <f>IF(Setup!$B$14="","",Setup!$B$14)</f>
        <v/>
      </c>
      <c r="C1635" s="98" t="n"/>
      <c r="D1635" s="99" t="n"/>
      <c r="E1635" s="99" t="n"/>
      <c r="F1635" s="100" t="n"/>
      <c r="G1635" s="98" t="n"/>
      <c r="H1635" s="99" t="n"/>
      <c r="I1635" s="99" t="n"/>
      <c r="J1635" s="100" t="n"/>
      <c r="K1635" s="98" t="n"/>
      <c r="L1635" s="99" t="n"/>
      <c r="M1635" s="99" t="n"/>
      <c r="N1635" s="100" t="n"/>
      <c r="O1635" s="98" t="n"/>
      <c r="P1635" s="99" t="n"/>
      <c r="Q1635" s="99" t="n"/>
      <c r="R1635" s="100" t="n"/>
      <c r="S1635" s="98" t="n"/>
      <c r="T1635" s="99" t="n"/>
      <c r="U1635" s="99" t="n"/>
      <c r="V1635" s="100" t="n"/>
      <c r="W1635" s="98" t="n"/>
      <c r="X1635" s="100" t="n"/>
      <c r="Y1635" s="98" t="n"/>
      <c r="Z1635" s="100" t="n"/>
      <c r="AB1635" s="101">
        <f>IF($B1635="","",(COUNTIF(C1608:E1625,$B1635)+COUNTIF(C1608:E1625,$B1635&amp;" ~*")&gt;0)+(COUNTIF(G1608:I1625,$B1635)+COUNTIF(G1608:I1625,$B1635&amp;" ~*")&gt;0)+(COUNTIF(K1608:M1625,$B1635)+COUNTIF(K1608:M1625,$B1635&amp;" ~*")&gt;0)+(COUNTIF(O1608:Q1625,$B1635)+COUNTIF(O1608:Q1625,$B1635&amp;" ~*")&gt;0)+(COUNTIF(S1608:U1625,$B1635)+COUNTIF(S1608:U1625,$B1635&amp;" ~*")&gt;0)+(COUNTIF(W1608:W1625,$B1635)+COUNTIF(W1608:W1625,$B1635&amp;" ~*")&gt;0)+(COUNTIF(Y1608:Y1625,$B1635)+COUNTIF(Y1608:Y1625,$B1635&amp;" ~*")&gt;0))</f>
        <v/>
      </c>
      <c r="AC1635" s="36">
        <f>IF($B1635="","",(IFERROR(INDEX(Setup!$G$33:$G$40,MATCH(C1635,Setup!$B$33:$B$40,0)),0)=1)*(COUNTIF(C1608:E1625,$B1635)+COUNTIF(C1608:E1625,$B1635&amp;" ~*")&gt;0)+(IFERROR(INDEX(Setup!$G$33:$G$40,MATCH(G1635,Setup!$B$33:$B$40,0)),0)=1)*(COUNTIF(G1608:I1625,$B1635)+COUNTIF(G1608:I1625,$B1635&amp;" ~*")&gt;0)+(IFERROR(INDEX(Setup!$G$33:$G$40,MATCH(K1635,Setup!$B$33:$B$40,0)),0)=1)*(COUNTIF(K1608:M1625,$B1635)+COUNTIF(K1608:M1625,$B1635&amp;" ~*")&gt;0)+(IFERROR(INDEX(Setup!$G$33:$G$40,MATCH(O1635,Setup!$B$33:$B$40,0)),0)=1)*(COUNTIF(O1608:Q1625,$B1635)+COUNTIF(O1608:Q1625,$B1635&amp;" ~*")&gt;0)+(IFERROR(INDEX(Setup!$G$33:$G$40,MATCH(S1635,Setup!$B$33:$B$40,0)),0)=1)*(COUNTIF(S1608:U1625,$B1635)+COUNTIF(S1608:U1625,$B1635&amp;" ~*")&gt;0)+(IFERROR(INDEX(Setup!$G$33:$G$40,MATCH(W1635,Setup!$B$33:$B$40,0)),0)=1)*(COUNTIF(W1608:W1625,$B1635)+COUNTIF(W1608:W1625,$B1635&amp;" ~*")&gt;0)+(IFERROR(INDEX(Setup!$G$33:$G$40,MATCH(Y1635,Setup!$B$33:$B$40,0)),0)=1)*(COUNTIF(Y1608:Y1625,$B1635)+COUNTIF(Y1608:Y1625,$B1635&amp;" ~*")&gt;0))</f>
        <v/>
      </c>
    </row>
    <row r="1636" ht="15" customHeight="1">
      <c r="A1636" t="n">
        <v>33</v>
      </c>
      <c r="B1636" s="37">
        <f>IF(Setup!$B$15="","",Setup!$B$15)</f>
        <v/>
      </c>
      <c r="C1636" s="102" t="n"/>
      <c r="D1636" s="103" t="n"/>
      <c r="E1636" s="103" t="n"/>
      <c r="F1636" s="104" t="n"/>
      <c r="G1636" s="102" t="n"/>
      <c r="H1636" s="103" t="n"/>
      <c r="I1636" s="103" t="n"/>
      <c r="J1636" s="104" t="n"/>
      <c r="K1636" s="102" t="n"/>
      <c r="L1636" s="103" t="n"/>
      <c r="M1636" s="103" t="n"/>
      <c r="N1636" s="104" t="n"/>
      <c r="O1636" s="102" t="n"/>
      <c r="P1636" s="103" t="n"/>
      <c r="Q1636" s="103" t="n"/>
      <c r="R1636" s="104" t="n"/>
      <c r="S1636" s="102" t="n"/>
      <c r="T1636" s="103" t="n"/>
      <c r="U1636" s="103" t="n"/>
      <c r="V1636" s="104" t="n"/>
      <c r="W1636" s="102" t="n"/>
      <c r="X1636" s="104" t="n"/>
      <c r="Y1636" s="102" t="n"/>
      <c r="Z1636" s="104" t="n"/>
      <c r="AB1636" s="105">
        <f>IF($B1636="","",(COUNTIF(C1608:E1625,$B1636)+COUNTIF(C1608:E1625,$B1636&amp;" ~*")&gt;0)+(COUNTIF(G1608:I1625,$B1636)+COUNTIF(G1608:I1625,$B1636&amp;" ~*")&gt;0)+(COUNTIF(K1608:M1625,$B1636)+COUNTIF(K1608:M1625,$B1636&amp;" ~*")&gt;0)+(COUNTIF(O1608:Q1625,$B1636)+COUNTIF(O1608:Q1625,$B1636&amp;" ~*")&gt;0)+(COUNTIF(S1608:U1625,$B1636)+COUNTIF(S1608:U1625,$B1636&amp;" ~*")&gt;0)+(COUNTIF(W1608:W1625,$B1636)+COUNTIF(W1608:W1625,$B1636&amp;" ~*")&gt;0)+(COUNTIF(Y1608:Y1625,$B1636)+COUNTIF(Y1608:Y1625,$B1636&amp;" ~*")&gt;0))</f>
        <v/>
      </c>
      <c r="AC1636" s="38">
        <f>IF($B1636="","",(IFERROR(INDEX(Setup!$G$33:$G$40,MATCH(C1636,Setup!$B$33:$B$40,0)),0)=1)*(COUNTIF(C1608:E1625,$B1636)+COUNTIF(C1608:E1625,$B1636&amp;" ~*")&gt;0)+(IFERROR(INDEX(Setup!$G$33:$G$40,MATCH(G1636,Setup!$B$33:$B$40,0)),0)=1)*(COUNTIF(G1608:I1625,$B1636)+COUNTIF(G1608:I1625,$B1636&amp;" ~*")&gt;0)+(IFERROR(INDEX(Setup!$G$33:$G$40,MATCH(K1636,Setup!$B$33:$B$40,0)),0)=1)*(COUNTIF(K1608:M1625,$B1636)+COUNTIF(K1608:M1625,$B1636&amp;" ~*")&gt;0)+(IFERROR(INDEX(Setup!$G$33:$G$40,MATCH(O1636,Setup!$B$33:$B$40,0)),0)=1)*(COUNTIF(O1608:Q1625,$B1636)+COUNTIF(O1608:Q1625,$B1636&amp;" ~*")&gt;0)+(IFERROR(INDEX(Setup!$G$33:$G$40,MATCH(S1636,Setup!$B$33:$B$40,0)),0)=1)*(COUNTIF(S1608:U1625,$B1636)+COUNTIF(S1608:U1625,$B1636&amp;" ~*")&gt;0)+(IFERROR(INDEX(Setup!$G$33:$G$40,MATCH(W1636,Setup!$B$33:$B$40,0)),0)=1)*(COUNTIF(W1608:W1625,$B1636)+COUNTIF(W1608:W1625,$B1636&amp;" ~*")&gt;0)+(IFERROR(INDEX(Setup!$G$33:$G$40,MATCH(Y1636,Setup!$B$33:$B$40,0)),0)=1)*(COUNTIF(Y1608:Y1625,$B1636)+COUNTIF(Y1608:Y1625,$B1636&amp;" ~*")&gt;0))</f>
        <v/>
      </c>
    </row>
    <row r="1637" ht="15" customHeight="1">
      <c r="A1637" t="n">
        <v>33</v>
      </c>
      <c r="B1637" s="35">
        <f>IF(Setup!$B$16="","",Setup!$B$16)</f>
        <v/>
      </c>
      <c r="C1637" s="98" t="n"/>
      <c r="D1637" s="99" t="n"/>
      <c r="E1637" s="99" t="n"/>
      <c r="F1637" s="100" t="n"/>
      <c r="G1637" s="98" t="n"/>
      <c r="H1637" s="99" t="n"/>
      <c r="I1637" s="99" t="n"/>
      <c r="J1637" s="100" t="n"/>
      <c r="K1637" s="98" t="n"/>
      <c r="L1637" s="99" t="n"/>
      <c r="M1637" s="99" t="n"/>
      <c r="N1637" s="100" t="n"/>
      <c r="O1637" s="98" t="n"/>
      <c r="P1637" s="99" t="n"/>
      <c r="Q1637" s="99" t="n"/>
      <c r="R1637" s="100" t="n"/>
      <c r="S1637" s="98" t="n"/>
      <c r="T1637" s="99" t="n"/>
      <c r="U1637" s="99" t="n"/>
      <c r="V1637" s="100" t="n"/>
      <c r="W1637" s="98" t="n"/>
      <c r="X1637" s="100" t="n"/>
      <c r="Y1637" s="98" t="n"/>
      <c r="Z1637" s="100" t="n"/>
      <c r="AB1637" s="101">
        <f>IF($B1637="","",(COUNTIF(C1608:E1625,$B1637)+COUNTIF(C1608:E1625,$B1637&amp;" ~*")&gt;0)+(COUNTIF(G1608:I1625,$B1637)+COUNTIF(G1608:I1625,$B1637&amp;" ~*")&gt;0)+(COUNTIF(K1608:M1625,$B1637)+COUNTIF(K1608:M1625,$B1637&amp;" ~*")&gt;0)+(COUNTIF(O1608:Q1625,$B1637)+COUNTIF(O1608:Q1625,$B1637&amp;" ~*")&gt;0)+(COUNTIF(S1608:U1625,$B1637)+COUNTIF(S1608:U1625,$B1637&amp;" ~*")&gt;0)+(COUNTIF(W1608:W1625,$B1637)+COUNTIF(W1608:W1625,$B1637&amp;" ~*")&gt;0)+(COUNTIF(Y1608:Y1625,$B1637)+COUNTIF(Y1608:Y1625,$B1637&amp;" ~*")&gt;0))</f>
        <v/>
      </c>
      <c r="AC1637" s="36">
        <f>IF($B1637="","",(IFERROR(INDEX(Setup!$G$33:$G$40,MATCH(C1637,Setup!$B$33:$B$40,0)),0)=1)*(COUNTIF(C1608:E1625,$B1637)+COUNTIF(C1608:E1625,$B1637&amp;" ~*")&gt;0)+(IFERROR(INDEX(Setup!$G$33:$G$40,MATCH(G1637,Setup!$B$33:$B$40,0)),0)=1)*(COUNTIF(G1608:I1625,$B1637)+COUNTIF(G1608:I1625,$B1637&amp;" ~*")&gt;0)+(IFERROR(INDEX(Setup!$G$33:$G$40,MATCH(K1637,Setup!$B$33:$B$40,0)),0)=1)*(COUNTIF(K1608:M1625,$B1637)+COUNTIF(K1608:M1625,$B1637&amp;" ~*")&gt;0)+(IFERROR(INDEX(Setup!$G$33:$G$40,MATCH(O1637,Setup!$B$33:$B$40,0)),0)=1)*(COUNTIF(O1608:Q1625,$B1637)+COUNTIF(O1608:Q1625,$B1637&amp;" ~*")&gt;0)+(IFERROR(INDEX(Setup!$G$33:$G$40,MATCH(S1637,Setup!$B$33:$B$40,0)),0)=1)*(COUNTIF(S1608:U1625,$B1637)+COUNTIF(S1608:U1625,$B1637&amp;" ~*")&gt;0)+(IFERROR(INDEX(Setup!$G$33:$G$40,MATCH(W1637,Setup!$B$33:$B$40,0)),0)=1)*(COUNTIF(W1608:W1625,$B1637)+COUNTIF(W1608:W1625,$B1637&amp;" ~*")&gt;0)+(IFERROR(INDEX(Setup!$G$33:$G$40,MATCH(Y1637,Setup!$B$33:$B$40,0)),0)=1)*(COUNTIF(Y1608:Y1625,$B1637)+COUNTIF(Y1608:Y1625,$B1637&amp;" ~*")&gt;0))</f>
        <v/>
      </c>
    </row>
    <row r="1638" ht="15" customHeight="1">
      <c r="A1638" t="n">
        <v>33</v>
      </c>
      <c r="B1638" s="37">
        <f>IF(Setup!$B$17="","",Setup!$B$17)</f>
        <v/>
      </c>
      <c r="C1638" s="102" t="n"/>
      <c r="D1638" s="103" t="n"/>
      <c r="E1638" s="103" t="n"/>
      <c r="F1638" s="104" t="n"/>
      <c r="G1638" s="102" t="n"/>
      <c r="H1638" s="103" t="n"/>
      <c r="I1638" s="103" t="n"/>
      <c r="J1638" s="104" t="n"/>
      <c r="K1638" s="102" t="n"/>
      <c r="L1638" s="103" t="n"/>
      <c r="M1638" s="103" t="n"/>
      <c r="N1638" s="104" t="n"/>
      <c r="O1638" s="102" t="n"/>
      <c r="P1638" s="103" t="n"/>
      <c r="Q1638" s="103" t="n"/>
      <c r="R1638" s="104" t="n"/>
      <c r="S1638" s="102" t="n"/>
      <c r="T1638" s="103" t="n"/>
      <c r="U1638" s="103" t="n"/>
      <c r="V1638" s="104" t="n"/>
      <c r="W1638" s="102" t="n"/>
      <c r="X1638" s="104" t="n"/>
      <c r="Y1638" s="102" t="n"/>
      <c r="Z1638" s="104" t="n"/>
      <c r="AB1638" s="105">
        <f>IF($B1638="","",(COUNTIF(C1608:E1625,$B1638)+COUNTIF(C1608:E1625,$B1638&amp;" ~*")&gt;0)+(COUNTIF(G1608:I1625,$B1638)+COUNTIF(G1608:I1625,$B1638&amp;" ~*")&gt;0)+(COUNTIF(K1608:M1625,$B1638)+COUNTIF(K1608:M1625,$B1638&amp;" ~*")&gt;0)+(COUNTIF(O1608:Q1625,$B1638)+COUNTIF(O1608:Q1625,$B1638&amp;" ~*")&gt;0)+(COUNTIF(S1608:U1625,$B1638)+COUNTIF(S1608:U1625,$B1638&amp;" ~*")&gt;0)+(COUNTIF(W1608:W1625,$B1638)+COUNTIF(W1608:W1625,$B1638&amp;" ~*")&gt;0)+(COUNTIF(Y1608:Y1625,$B1638)+COUNTIF(Y1608:Y1625,$B1638&amp;" ~*")&gt;0))</f>
        <v/>
      </c>
      <c r="AC1638" s="38">
        <f>IF($B1638="","",(IFERROR(INDEX(Setup!$G$33:$G$40,MATCH(C1638,Setup!$B$33:$B$40,0)),0)=1)*(COUNTIF(C1608:E1625,$B1638)+COUNTIF(C1608:E1625,$B1638&amp;" ~*")&gt;0)+(IFERROR(INDEX(Setup!$G$33:$G$40,MATCH(G1638,Setup!$B$33:$B$40,0)),0)=1)*(COUNTIF(G1608:I1625,$B1638)+COUNTIF(G1608:I1625,$B1638&amp;" ~*")&gt;0)+(IFERROR(INDEX(Setup!$G$33:$G$40,MATCH(K1638,Setup!$B$33:$B$40,0)),0)=1)*(COUNTIF(K1608:M1625,$B1638)+COUNTIF(K1608:M1625,$B1638&amp;" ~*")&gt;0)+(IFERROR(INDEX(Setup!$G$33:$G$40,MATCH(O1638,Setup!$B$33:$B$40,0)),0)=1)*(COUNTIF(O1608:Q1625,$B1638)+COUNTIF(O1608:Q1625,$B1638&amp;" ~*")&gt;0)+(IFERROR(INDEX(Setup!$G$33:$G$40,MATCH(S1638,Setup!$B$33:$B$40,0)),0)=1)*(COUNTIF(S1608:U1625,$B1638)+COUNTIF(S1608:U1625,$B1638&amp;" ~*")&gt;0)+(IFERROR(INDEX(Setup!$G$33:$G$40,MATCH(W1638,Setup!$B$33:$B$40,0)),0)=1)*(COUNTIF(W1608:W1625,$B1638)+COUNTIF(W1608:W1625,$B1638&amp;" ~*")&gt;0)+(IFERROR(INDEX(Setup!$G$33:$G$40,MATCH(Y1638,Setup!$B$33:$B$40,0)),0)=1)*(COUNTIF(Y1608:Y1625,$B1638)+COUNTIF(Y1608:Y1625,$B1638&amp;" ~*")&gt;0))</f>
        <v/>
      </c>
    </row>
    <row r="1639" ht="15" customHeight="1">
      <c r="A1639" t="n">
        <v>33</v>
      </c>
      <c r="B1639" s="35">
        <f>IF(Setup!$B$18="","",Setup!$B$18)</f>
        <v/>
      </c>
      <c r="C1639" s="98" t="n"/>
      <c r="D1639" s="99" t="n"/>
      <c r="E1639" s="99" t="n"/>
      <c r="F1639" s="100" t="n"/>
      <c r="G1639" s="98" t="n"/>
      <c r="H1639" s="99" t="n"/>
      <c r="I1639" s="99" t="n"/>
      <c r="J1639" s="100" t="n"/>
      <c r="K1639" s="98" t="n"/>
      <c r="L1639" s="99" t="n"/>
      <c r="M1639" s="99" t="n"/>
      <c r="N1639" s="100" t="n"/>
      <c r="O1639" s="98" t="n"/>
      <c r="P1639" s="99" t="n"/>
      <c r="Q1639" s="99" t="n"/>
      <c r="R1639" s="100" t="n"/>
      <c r="S1639" s="98" t="n"/>
      <c r="T1639" s="99" t="n"/>
      <c r="U1639" s="99" t="n"/>
      <c r="V1639" s="100" t="n"/>
      <c r="W1639" s="98" t="n"/>
      <c r="X1639" s="100" t="n"/>
      <c r="Y1639" s="98" t="n"/>
      <c r="Z1639" s="100" t="n"/>
      <c r="AB1639" s="101">
        <f>IF($B1639="","",(COUNTIF(C1608:E1625,$B1639)+COUNTIF(C1608:E1625,$B1639&amp;" ~*")&gt;0)+(COUNTIF(G1608:I1625,$B1639)+COUNTIF(G1608:I1625,$B1639&amp;" ~*")&gt;0)+(COUNTIF(K1608:M1625,$B1639)+COUNTIF(K1608:M1625,$B1639&amp;" ~*")&gt;0)+(COUNTIF(O1608:Q1625,$B1639)+COUNTIF(O1608:Q1625,$B1639&amp;" ~*")&gt;0)+(COUNTIF(S1608:U1625,$B1639)+COUNTIF(S1608:U1625,$B1639&amp;" ~*")&gt;0)+(COUNTIF(W1608:W1625,$B1639)+COUNTIF(W1608:W1625,$B1639&amp;" ~*")&gt;0)+(COUNTIF(Y1608:Y1625,$B1639)+COUNTIF(Y1608:Y1625,$B1639&amp;" ~*")&gt;0))</f>
        <v/>
      </c>
      <c r="AC1639" s="36">
        <f>IF($B1639="","",(IFERROR(INDEX(Setup!$G$33:$G$40,MATCH(C1639,Setup!$B$33:$B$40,0)),0)=1)*(COUNTIF(C1608:E1625,$B1639)+COUNTIF(C1608:E1625,$B1639&amp;" ~*")&gt;0)+(IFERROR(INDEX(Setup!$G$33:$G$40,MATCH(G1639,Setup!$B$33:$B$40,0)),0)=1)*(COUNTIF(G1608:I1625,$B1639)+COUNTIF(G1608:I1625,$B1639&amp;" ~*")&gt;0)+(IFERROR(INDEX(Setup!$G$33:$G$40,MATCH(K1639,Setup!$B$33:$B$40,0)),0)=1)*(COUNTIF(K1608:M1625,$B1639)+COUNTIF(K1608:M1625,$B1639&amp;" ~*")&gt;0)+(IFERROR(INDEX(Setup!$G$33:$G$40,MATCH(O1639,Setup!$B$33:$B$40,0)),0)=1)*(COUNTIF(O1608:Q1625,$B1639)+COUNTIF(O1608:Q1625,$B1639&amp;" ~*")&gt;0)+(IFERROR(INDEX(Setup!$G$33:$G$40,MATCH(S1639,Setup!$B$33:$B$40,0)),0)=1)*(COUNTIF(S1608:U1625,$B1639)+COUNTIF(S1608:U1625,$B1639&amp;" ~*")&gt;0)+(IFERROR(INDEX(Setup!$G$33:$G$40,MATCH(W1639,Setup!$B$33:$B$40,0)),0)=1)*(COUNTIF(W1608:W1625,$B1639)+COUNTIF(W1608:W1625,$B1639&amp;" ~*")&gt;0)+(IFERROR(INDEX(Setup!$G$33:$G$40,MATCH(Y1639,Setup!$B$33:$B$40,0)),0)=1)*(COUNTIF(Y1608:Y1625,$B1639)+COUNTIF(Y1608:Y1625,$B1639&amp;" ~*")&gt;0))</f>
        <v/>
      </c>
    </row>
    <row r="1640" ht="15" customHeight="1">
      <c r="A1640" t="n">
        <v>33</v>
      </c>
      <c r="B1640" s="37">
        <f>IF(Setup!$B$19="","",Setup!$B$19)</f>
        <v/>
      </c>
      <c r="C1640" s="102" t="n"/>
      <c r="D1640" s="103" t="n"/>
      <c r="E1640" s="103" t="n"/>
      <c r="F1640" s="104" t="n"/>
      <c r="G1640" s="102" t="n"/>
      <c r="H1640" s="103" t="n"/>
      <c r="I1640" s="103" t="n"/>
      <c r="J1640" s="104" t="n"/>
      <c r="K1640" s="102" t="n"/>
      <c r="L1640" s="103" t="n"/>
      <c r="M1640" s="103" t="n"/>
      <c r="N1640" s="104" t="n"/>
      <c r="O1640" s="102" t="n"/>
      <c r="P1640" s="103" t="n"/>
      <c r="Q1640" s="103" t="n"/>
      <c r="R1640" s="104" t="n"/>
      <c r="S1640" s="102" t="n"/>
      <c r="T1640" s="103" t="n"/>
      <c r="U1640" s="103" t="n"/>
      <c r="V1640" s="104" t="n"/>
      <c r="W1640" s="102" t="n"/>
      <c r="X1640" s="104" t="n"/>
      <c r="Y1640" s="102" t="n"/>
      <c r="Z1640" s="104" t="n"/>
      <c r="AB1640" s="105">
        <f>IF($B1640="","",(COUNTIF(C1608:E1625,$B1640)+COUNTIF(C1608:E1625,$B1640&amp;" ~*")&gt;0)+(COUNTIF(G1608:I1625,$B1640)+COUNTIF(G1608:I1625,$B1640&amp;" ~*")&gt;0)+(COUNTIF(K1608:M1625,$B1640)+COUNTIF(K1608:M1625,$B1640&amp;" ~*")&gt;0)+(COUNTIF(O1608:Q1625,$B1640)+COUNTIF(O1608:Q1625,$B1640&amp;" ~*")&gt;0)+(COUNTIF(S1608:U1625,$B1640)+COUNTIF(S1608:U1625,$B1640&amp;" ~*")&gt;0)+(COUNTIF(W1608:W1625,$B1640)+COUNTIF(W1608:W1625,$B1640&amp;" ~*")&gt;0)+(COUNTIF(Y1608:Y1625,$B1640)+COUNTIF(Y1608:Y1625,$B1640&amp;" ~*")&gt;0))</f>
        <v/>
      </c>
      <c r="AC1640" s="38">
        <f>IF($B1640="","",(IFERROR(INDEX(Setup!$G$33:$G$40,MATCH(C1640,Setup!$B$33:$B$40,0)),0)=1)*(COUNTIF(C1608:E1625,$B1640)+COUNTIF(C1608:E1625,$B1640&amp;" ~*")&gt;0)+(IFERROR(INDEX(Setup!$G$33:$G$40,MATCH(G1640,Setup!$B$33:$B$40,0)),0)=1)*(COUNTIF(G1608:I1625,$B1640)+COUNTIF(G1608:I1625,$B1640&amp;" ~*")&gt;0)+(IFERROR(INDEX(Setup!$G$33:$G$40,MATCH(K1640,Setup!$B$33:$B$40,0)),0)=1)*(COUNTIF(K1608:M1625,$B1640)+COUNTIF(K1608:M1625,$B1640&amp;" ~*")&gt;0)+(IFERROR(INDEX(Setup!$G$33:$G$40,MATCH(O1640,Setup!$B$33:$B$40,0)),0)=1)*(COUNTIF(O1608:Q1625,$B1640)+COUNTIF(O1608:Q1625,$B1640&amp;" ~*")&gt;0)+(IFERROR(INDEX(Setup!$G$33:$G$40,MATCH(S1640,Setup!$B$33:$B$40,0)),0)=1)*(COUNTIF(S1608:U1625,$B1640)+COUNTIF(S1608:U1625,$B1640&amp;" ~*")&gt;0)+(IFERROR(INDEX(Setup!$G$33:$G$40,MATCH(W1640,Setup!$B$33:$B$40,0)),0)=1)*(COUNTIF(W1608:W1625,$B1640)+COUNTIF(W1608:W1625,$B1640&amp;" ~*")&gt;0)+(IFERROR(INDEX(Setup!$G$33:$G$40,MATCH(Y1640,Setup!$B$33:$B$40,0)),0)=1)*(COUNTIF(Y1608:Y1625,$B1640)+COUNTIF(Y1608:Y1625,$B1640&amp;" ~*")&gt;0))</f>
        <v/>
      </c>
    </row>
    <row r="1641" ht="15" customHeight="1">
      <c r="A1641" t="n">
        <v>33</v>
      </c>
      <c r="B1641" s="35">
        <f>IF(Setup!$B$20="","",Setup!$B$20)</f>
        <v/>
      </c>
      <c r="C1641" s="98" t="n"/>
      <c r="D1641" s="99" t="n"/>
      <c r="E1641" s="99" t="n"/>
      <c r="F1641" s="100" t="n"/>
      <c r="G1641" s="98" t="n"/>
      <c r="H1641" s="99" t="n"/>
      <c r="I1641" s="99" t="n"/>
      <c r="J1641" s="100" t="n"/>
      <c r="K1641" s="98" t="n"/>
      <c r="L1641" s="99" t="n"/>
      <c r="M1641" s="99" t="n"/>
      <c r="N1641" s="100" t="n"/>
      <c r="O1641" s="98" t="n"/>
      <c r="P1641" s="99" t="n"/>
      <c r="Q1641" s="99" t="n"/>
      <c r="R1641" s="100" t="n"/>
      <c r="S1641" s="98" t="n"/>
      <c r="T1641" s="99" t="n"/>
      <c r="U1641" s="99" t="n"/>
      <c r="V1641" s="100" t="n"/>
      <c r="W1641" s="98" t="n"/>
      <c r="X1641" s="100" t="n"/>
      <c r="Y1641" s="98" t="n"/>
      <c r="Z1641" s="100" t="n"/>
      <c r="AB1641" s="101">
        <f>IF($B1641="","",(COUNTIF(C1608:E1625,$B1641)+COUNTIF(C1608:E1625,$B1641&amp;" ~*")&gt;0)+(COUNTIF(G1608:I1625,$B1641)+COUNTIF(G1608:I1625,$B1641&amp;" ~*")&gt;0)+(COUNTIF(K1608:M1625,$B1641)+COUNTIF(K1608:M1625,$B1641&amp;" ~*")&gt;0)+(COUNTIF(O1608:Q1625,$B1641)+COUNTIF(O1608:Q1625,$B1641&amp;" ~*")&gt;0)+(COUNTIF(S1608:U1625,$B1641)+COUNTIF(S1608:U1625,$B1641&amp;" ~*")&gt;0)+(COUNTIF(W1608:W1625,$B1641)+COUNTIF(W1608:W1625,$B1641&amp;" ~*")&gt;0)+(COUNTIF(Y1608:Y1625,$B1641)+COUNTIF(Y1608:Y1625,$B1641&amp;" ~*")&gt;0))</f>
        <v/>
      </c>
      <c r="AC1641" s="36">
        <f>IF($B1641="","",(IFERROR(INDEX(Setup!$G$33:$G$40,MATCH(C1641,Setup!$B$33:$B$40,0)),0)=1)*(COUNTIF(C1608:E1625,$B1641)+COUNTIF(C1608:E1625,$B1641&amp;" ~*")&gt;0)+(IFERROR(INDEX(Setup!$G$33:$G$40,MATCH(G1641,Setup!$B$33:$B$40,0)),0)=1)*(COUNTIF(G1608:I1625,$B1641)+COUNTIF(G1608:I1625,$B1641&amp;" ~*")&gt;0)+(IFERROR(INDEX(Setup!$G$33:$G$40,MATCH(K1641,Setup!$B$33:$B$40,0)),0)=1)*(COUNTIF(K1608:M1625,$B1641)+COUNTIF(K1608:M1625,$B1641&amp;" ~*")&gt;0)+(IFERROR(INDEX(Setup!$G$33:$G$40,MATCH(O1641,Setup!$B$33:$B$40,0)),0)=1)*(COUNTIF(O1608:Q1625,$B1641)+COUNTIF(O1608:Q1625,$B1641&amp;" ~*")&gt;0)+(IFERROR(INDEX(Setup!$G$33:$G$40,MATCH(S1641,Setup!$B$33:$B$40,0)),0)=1)*(COUNTIF(S1608:U1625,$B1641)+COUNTIF(S1608:U1625,$B1641&amp;" ~*")&gt;0)+(IFERROR(INDEX(Setup!$G$33:$G$40,MATCH(W1641,Setup!$B$33:$B$40,0)),0)=1)*(COUNTIF(W1608:W1625,$B1641)+COUNTIF(W1608:W1625,$B1641&amp;" ~*")&gt;0)+(IFERROR(INDEX(Setup!$G$33:$G$40,MATCH(Y1641,Setup!$B$33:$B$40,0)),0)=1)*(COUNTIF(Y1608:Y1625,$B1641)+COUNTIF(Y1608:Y1625,$B1641&amp;" ~*")&gt;0))</f>
        <v/>
      </c>
    </row>
    <row r="1642" ht="15" customHeight="1">
      <c r="A1642" t="n">
        <v>33</v>
      </c>
      <c r="B1642" s="37">
        <f>IF(Setup!$B$21="","",Setup!$B$21)</f>
        <v/>
      </c>
      <c r="C1642" s="102" t="n"/>
      <c r="D1642" s="103" t="n"/>
      <c r="E1642" s="103" t="n"/>
      <c r="F1642" s="104" t="n"/>
      <c r="G1642" s="102" t="n"/>
      <c r="H1642" s="103" t="n"/>
      <c r="I1642" s="103" t="n"/>
      <c r="J1642" s="104" t="n"/>
      <c r="K1642" s="102" t="n"/>
      <c r="L1642" s="103" t="n"/>
      <c r="M1642" s="103" t="n"/>
      <c r="N1642" s="104" t="n"/>
      <c r="O1642" s="102" t="n"/>
      <c r="P1642" s="103" t="n"/>
      <c r="Q1642" s="103" t="n"/>
      <c r="R1642" s="104" t="n"/>
      <c r="S1642" s="102" t="n"/>
      <c r="T1642" s="103" t="n"/>
      <c r="U1642" s="103" t="n"/>
      <c r="V1642" s="104" t="n"/>
      <c r="W1642" s="102" t="n"/>
      <c r="X1642" s="104" t="n"/>
      <c r="Y1642" s="102" t="n"/>
      <c r="Z1642" s="104" t="n"/>
      <c r="AB1642" s="105">
        <f>IF($B1642="","",(COUNTIF(C1608:E1625,$B1642)+COUNTIF(C1608:E1625,$B1642&amp;" ~*")&gt;0)+(COUNTIF(G1608:I1625,$B1642)+COUNTIF(G1608:I1625,$B1642&amp;" ~*")&gt;0)+(COUNTIF(K1608:M1625,$B1642)+COUNTIF(K1608:M1625,$B1642&amp;" ~*")&gt;0)+(COUNTIF(O1608:Q1625,$B1642)+COUNTIF(O1608:Q1625,$B1642&amp;" ~*")&gt;0)+(COUNTIF(S1608:U1625,$B1642)+COUNTIF(S1608:U1625,$B1642&amp;" ~*")&gt;0)+(COUNTIF(W1608:W1625,$B1642)+COUNTIF(W1608:W1625,$B1642&amp;" ~*")&gt;0)+(COUNTIF(Y1608:Y1625,$B1642)+COUNTIF(Y1608:Y1625,$B1642&amp;" ~*")&gt;0))</f>
        <v/>
      </c>
      <c r="AC1642" s="38">
        <f>IF($B1642="","",(IFERROR(INDEX(Setup!$G$33:$G$40,MATCH(C1642,Setup!$B$33:$B$40,0)),0)=1)*(COUNTIF(C1608:E1625,$B1642)+COUNTIF(C1608:E1625,$B1642&amp;" ~*")&gt;0)+(IFERROR(INDEX(Setup!$G$33:$G$40,MATCH(G1642,Setup!$B$33:$B$40,0)),0)=1)*(COUNTIF(G1608:I1625,$B1642)+COUNTIF(G1608:I1625,$B1642&amp;" ~*")&gt;0)+(IFERROR(INDEX(Setup!$G$33:$G$40,MATCH(K1642,Setup!$B$33:$B$40,0)),0)=1)*(COUNTIF(K1608:M1625,$B1642)+COUNTIF(K1608:M1625,$B1642&amp;" ~*")&gt;0)+(IFERROR(INDEX(Setup!$G$33:$G$40,MATCH(O1642,Setup!$B$33:$B$40,0)),0)=1)*(COUNTIF(O1608:Q1625,$B1642)+COUNTIF(O1608:Q1625,$B1642&amp;" ~*")&gt;0)+(IFERROR(INDEX(Setup!$G$33:$G$40,MATCH(S1642,Setup!$B$33:$B$40,0)),0)=1)*(COUNTIF(S1608:U1625,$B1642)+COUNTIF(S1608:U1625,$B1642&amp;" ~*")&gt;0)+(IFERROR(INDEX(Setup!$G$33:$G$40,MATCH(W1642,Setup!$B$33:$B$40,0)),0)=1)*(COUNTIF(W1608:W1625,$B1642)+COUNTIF(W1608:W1625,$B1642&amp;" ~*")&gt;0)+(IFERROR(INDEX(Setup!$G$33:$G$40,MATCH(Y1642,Setup!$B$33:$B$40,0)),0)=1)*(COUNTIF(Y1608:Y1625,$B1642)+COUNTIF(Y1608:Y1625,$B1642&amp;" ~*")&gt;0))</f>
        <v/>
      </c>
    </row>
    <row r="1643" ht="15" customHeight="1">
      <c r="A1643" t="n">
        <v>33</v>
      </c>
      <c r="B1643" s="35">
        <f>IF(Setup!$B$22="","",Setup!$B$22)</f>
        <v/>
      </c>
      <c r="C1643" s="98" t="n"/>
      <c r="D1643" s="99" t="n"/>
      <c r="E1643" s="99" t="n"/>
      <c r="F1643" s="100" t="n"/>
      <c r="G1643" s="98" t="n"/>
      <c r="H1643" s="99" t="n"/>
      <c r="I1643" s="99" t="n"/>
      <c r="J1643" s="100" t="n"/>
      <c r="K1643" s="98" t="n"/>
      <c r="L1643" s="99" t="n"/>
      <c r="M1643" s="99" t="n"/>
      <c r="N1643" s="100" t="n"/>
      <c r="O1643" s="98" t="n"/>
      <c r="P1643" s="99" t="n"/>
      <c r="Q1643" s="99" t="n"/>
      <c r="R1643" s="100" t="n"/>
      <c r="S1643" s="98" t="n"/>
      <c r="T1643" s="99" t="n"/>
      <c r="U1643" s="99" t="n"/>
      <c r="V1643" s="100" t="n"/>
      <c r="W1643" s="98" t="n"/>
      <c r="X1643" s="100" t="n"/>
      <c r="Y1643" s="98" t="n"/>
      <c r="Z1643" s="100" t="n"/>
      <c r="AB1643" s="101">
        <f>IF($B1643="","",(COUNTIF(C1608:E1625,$B1643)+COUNTIF(C1608:E1625,$B1643&amp;" ~*")&gt;0)+(COUNTIF(G1608:I1625,$B1643)+COUNTIF(G1608:I1625,$B1643&amp;" ~*")&gt;0)+(COUNTIF(K1608:M1625,$B1643)+COUNTIF(K1608:M1625,$B1643&amp;" ~*")&gt;0)+(COUNTIF(O1608:Q1625,$B1643)+COUNTIF(O1608:Q1625,$B1643&amp;" ~*")&gt;0)+(COUNTIF(S1608:U1625,$B1643)+COUNTIF(S1608:U1625,$B1643&amp;" ~*")&gt;0)+(COUNTIF(W1608:W1625,$B1643)+COUNTIF(W1608:W1625,$B1643&amp;" ~*")&gt;0)+(COUNTIF(Y1608:Y1625,$B1643)+COUNTIF(Y1608:Y1625,$B1643&amp;" ~*")&gt;0))</f>
        <v/>
      </c>
      <c r="AC1643" s="36">
        <f>IF($B1643="","",(IFERROR(INDEX(Setup!$G$33:$G$40,MATCH(C1643,Setup!$B$33:$B$40,0)),0)=1)*(COUNTIF(C1608:E1625,$B1643)+COUNTIF(C1608:E1625,$B1643&amp;" ~*")&gt;0)+(IFERROR(INDEX(Setup!$G$33:$G$40,MATCH(G1643,Setup!$B$33:$B$40,0)),0)=1)*(COUNTIF(G1608:I1625,$B1643)+COUNTIF(G1608:I1625,$B1643&amp;" ~*")&gt;0)+(IFERROR(INDEX(Setup!$G$33:$G$40,MATCH(K1643,Setup!$B$33:$B$40,0)),0)=1)*(COUNTIF(K1608:M1625,$B1643)+COUNTIF(K1608:M1625,$B1643&amp;" ~*")&gt;0)+(IFERROR(INDEX(Setup!$G$33:$G$40,MATCH(O1643,Setup!$B$33:$B$40,0)),0)=1)*(COUNTIF(O1608:Q1625,$B1643)+COUNTIF(O1608:Q1625,$B1643&amp;" ~*")&gt;0)+(IFERROR(INDEX(Setup!$G$33:$G$40,MATCH(S1643,Setup!$B$33:$B$40,0)),0)=1)*(COUNTIF(S1608:U1625,$B1643)+COUNTIF(S1608:U1625,$B1643&amp;" ~*")&gt;0)+(IFERROR(INDEX(Setup!$G$33:$G$40,MATCH(W1643,Setup!$B$33:$B$40,0)),0)=1)*(COUNTIF(W1608:W1625,$B1643)+COUNTIF(W1608:W1625,$B1643&amp;" ~*")&gt;0)+(IFERROR(INDEX(Setup!$G$33:$G$40,MATCH(Y1643,Setup!$B$33:$B$40,0)),0)=1)*(COUNTIF(Y1608:Y1625,$B1643)+COUNTIF(Y1608:Y1625,$B1643&amp;" ~*")&gt;0))</f>
        <v/>
      </c>
    </row>
    <row r="1644" ht="15" customHeight="1">
      <c r="A1644" t="n">
        <v>33</v>
      </c>
      <c r="B1644" s="37">
        <f>IF(Setup!$B$23="","",Setup!$B$23)</f>
        <v/>
      </c>
      <c r="C1644" s="102" t="n"/>
      <c r="D1644" s="103" t="n"/>
      <c r="E1644" s="103" t="n"/>
      <c r="F1644" s="104" t="n"/>
      <c r="G1644" s="102" t="n"/>
      <c r="H1644" s="103" t="n"/>
      <c r="I1644" s="103" t="n"/>
      <c r="J1644" s="104" t="n"/>
      <c r="K1644" s="102" t="n"/>
      <c r="L1644" s="103" t="n"/>
      <c r="M1644" s="103" t="n"/>
      <c r="N1644" s="104" t="n"/>
      <c r="O1644" s="102" t="n"/>
      <c r="P1644" s="103" t="n"/>
      <c r="Q1644" s="103" t="n"/>
      <c r="R1644" s="104" t="n"/>
      <c r="S1644" s="102" t="n"/>
      <c r="T1644" s="103" t="n"/>
      <c r="U1644" s="103" t="n"/>
      <c r="V1644" s="104" t="n"/>
      <c r="W1644" s="102" t="n"/>
      <c r="X1644" s="104" t="n"/>
      <c r="Y1644" s="102" t="n"/>
      <c r="Z1644" s="104" t="n"/>
      <c r="AB1644" s="105">
        <f>IF($B1644="","",(COUNTIF(C1608:E1625,$B1644)+COUNTIF(C1608:E1625,$B1644&amp;" ~*")&gt;0)+(COUNTIF(G1608:I1625,$B1644)+COUNTIF(G1608:I1625,$B1644&amp;" ~*")&gt;0)+(COUNTIF(K1608:M1625,$B1644)+COUNTIF(K1608:M1625,$B1644&amp;" ~*")&gt;0)+(COUNTIF(O1608:Q1625,$B1644)+COUNTIF(O1608:Q1625,$B1644&amp;" ~*")&gt;0)+(COUNTIF(S1608:U1625,$B1644)+COUNTIF(S1608:U1625,$B1644&amp;" ~*")&gt;0)+(COUNTIF(W1608:W1625,$B1644)+COUNTIF(W1608:W1625,$B1644&amp;" ~*")&gt;0)+(COUNTIF(Y1608:Y1625,$B1644)+COUNTIF(Y1608:Y1625,$B1644&amp;" ~*")&gt;0))</f>
        <v/>
      </c>
      <c r="AC1644" s="38">
        <f>IF($B1644="","",(IFERROR(INDEX(Setup!$G$33:$G$40,MATCH(C1644,Setup!$B$33:$B$40,0)),0)=1)*(COUNTIF(C1608:E1625,$B1644)+COUNTIF(C1608:E1625,$B1644&amp;" ~*")&gt;0)+(IFERROR(INDEX(Setup!$G$33:$G$40,MATCH(G1644,Setup!$B$33:$B$40,0)),0)=1)*(COUNTIF(G1608:I1625,$B1644)+COUNTIF(G1608:I1625,$B1644&amp;" ~*")&gt;0)+(IFERROR(INDEX(Setup!$G$33:$G$40,MATCH(K1644,Setup!$B$33:$B$40,0)),0)=1)*(COUNTIF(K1608:M1625,$B1644)+COUNTIF(K1608:M1625,$B1644&amp;" ~*")&gt;0)+(IFERROR(INDEX(Setup!$G$33:$G$40,MATCH(O1644,Setup!$B$33:$B$40,0)),0)=1)*(COUNTIF(O1608:Q1625,$B1644)+COUNTIF(O1608:Q1625,$B1644&amp;" ~*")&gt;0)+(IFERROR(INDEX(Setup!$G$33:$G$40,MATCH(S1644,Setup!$B$33:$B$40,0)),0)=1)*(COUNTIF(S1608:U1625,$B1644)+COUNTIF(S1608:U1625,$B1644&amp;" ~*")&gt;0)+(IFERROR(INDEX(Setup!$G$33:$G$40,MATCH(W1644,Setup!$B$33:$B$40,0)),0)=1)*(COUNTIF(W1608:W1625,$B1644)+COUNTIF(W1608:W1625,$B1644&amp;" ~*")&gt;0)+(IFERROR(INDEX(Setup!$G$33:$G$40,MATCH(Y1644,Setup!$B$33:$B$40,0)),0)=1)*(COUNTIF(Y1608:Y1625,$B1644)+COUNTIF(Y1608:Y1625,$B1644&amp;" ~*")&gt;0))</f>
        <v/>
      </c>
    </row>
    <row r="1645" ht="15" customHeight="1">
      <c r="A1645" t="n">
        <v>33</v>
      </c>
      <c r="B1645" s="35">
        <f>IF(Setup!$B$24="","",Setup!$B$24)</f>
        <v/>
      </c>
      <c r="C1645" s="98" t="n"/>
      <c r="D1645" s="99" t="n"/>
      <c r="E1645" s="99" t="n"/>
      <c r="F1645" s="100" t="n"/>
      <c r="G1645" s="98" t="n"/>
      <c r="H1645" s="99" t="n"/>
      <c r="I1645" s="99" t="n"/>
      <c r="J1645" s="100" t="n"/>
      <c r="K1645" s="98" t="n"/>
      <c r="L1645" s="99" t="n"/>
      <c r="M1645" s="99" t="n"/>
      <c r="N1645" s="100" t="n"/>
      <c r="O1645" s="98" t="n"/>
      <c r="P1645" s="99" t="n"/>
      <c r="Q1645" s="99" t="n"/>
      <c r="R1645" s="100" t="n"/>
      <c r="S1645" s="98" t="n"/>
      <c r="T1645" s="99" t="n"/>
      <c r="U1645" s="99" t="n"/>
      <c r="V1645" s="100" t="n"/>
      <c r="W1645" s="98" t="n"/>
      <c r="X1645" s="100" t="n"/>
      <c r="Y1645" s="98" t="n"/>
      <c r="Z1645" s="100" t="n"/>
      <c r="AB1645" s="101">
        <f>IF($B1645="","",(COUNTIF(C1608:E1625,$B1645)+COUNTIF(C1608:E1625,$B1645&amp;" ~*")&gt;0)+(COUNTIF(G1608:I1625,$B1645)+COUNTIF(G1608:I1625,$B1645&amp;" ~*")&gt;0)+(COUNTIF(K1608:M1625,$B1645)+COUNTIF(K1608:M1625,$B1645&amp;" ~*")&gt;0)+(COUNTIF(O1608:Q1625,$B1645)+COUNTIF(O1608:Q1625,$B1645&amp;" ~*")&gt;0)+(COUNTIF(S1608:U1625,$B1645)+COUNTIF(S1608:U1625,$B1645&amp;" ~*")&gt;0)+(COUNTIF(W1608:W1625,$B1645)+COUNTIF(W1608:W1625,$B1645&amp;" ~*")&gt;0)+(COUNTIF(Y1608:Y1625,$B1645)+COUNTIF(Y1608:Y1625,$B1645&amp;" ~*")&gt;0))</f>
        <v/>
      </c>
      <c r="AC1645" s="36">
        <f>IF($B1645="","",(IFERROR(INDEX(Setup!$G$33:$G$40,MATCH(C1645,Setup!$B$33:$B$40,0)),0)=1)*(COUNTIF(C1608:E1625,$B1645)+COUNTIF(C1608:E1625,$B1645&amp;" ~*")&gt;0)+(IFERROR(INDEX(Setup!$G$33:$G$40,MATCH(G1645,Setup!$B$33:$B$40,0)),0)=1)*(COUNTIF(G1608:I1625,$B1645)+COUNTIF(G1608:I1625,$B1645&amp;" ~*")&gt;0)+(IFERROR(INDEX(Setup!$G$33:$G$40,MATCH(K1645,Setup!$B$33:$B$40,0)),0)=1)*(COUNTIF(K1608:M1625,$B1645)+COUNTIF(K1608:M1625,$B1645&amp;" ~*")&gt;0)+(IFERROR(INDEX(Setup!$G$33:$G$40,MATCH(O1645,Setup!$B$33:$B$40,0)),0)=1)*(COUNTIF(O1608:Q1625,$B1645)+COUNTIF(O1608:Q1625,$B1645&amp;" ~*")&gt;0)+(IFERROR(INDEX(Setup!$G$33:$G$40,MATCH(S1645,Setup!$B$33:$B$40,0)),0)=1)*(COUNTIF(S1608:U1625,$B1645)+COUNTIF(S1608:U1625,$B1645&amp;" ~*")&gt;0)+(IFERROR(INDEX(Setup!$G$33:$G$40,MATCH(W1645,Setup!$B$33:$B$40,0)),0)=1)*(COUNTIF(W1608:W1625,$B1645)+COUNTIF(W1608:W1625,$B1645&amp;" ~*")&gt;0)+(IFERROR(INDEX(Setup!$G$33:$G$40,MATCH(Y1645,Setup!$B$33:$B$40,0)),0)=1)*(COUNTIF(Y1608:Y1625,$B1645)+COUNTIF(Y1608:Y1625,$B1645&amp;" ~*")&gt;0))</f>
        <v/>
      </c>
    </row>
    <row r="1646" ht="15" customHeight="1">
      <c r="A1646" t="n">
        <v>33</v>
      </c>
      <c r="B1646" s="37">
        <f>IF(Setup!$B$25="","",Setup!$B$25)</f>
        <v/>
      </c>
      <c r="C1646" s="102" t="n"/>
      <c r="D1646" s="103" t="n"/>
      <c r="E1646" s="103" t="n"/>
      <c r="F1646" s="104" t="n"/>
      <c r="G1646" s="102" t="n"/>
      <c r="H1646" s="103" t="n"/>
      <c r="I1646" s="103" t="n"/>
      <c r="J1646" s="104" t="n"/>
      <c r="K1646" s="102" t="n"/>
      <c r="L1646" s="103" t="n"/>
      <c r="M1646" s="103" t="n"/>
      <c r="N1646" s="104" t="n"/>
      <c r="O1646" s="102" t="n"/>
      <c r="P1646" s="103" t="n"/>
      <c r="Q1646" s="103" t="n"/>
      <c r="R1646" s="104" t="n"/>
      <c r="S1646" s="102" t="n"/>
      <c r="T1646" s="103" t="n"/>
      <c r="U1646" s="103" t="n"/>
      <c r="V1646" s="104" t="n"/>
      <c r="W1646" s="102" t="n"/>
      <c r="X1646" s="104" t="n"/>
      <c r="Y1646" s="102" t="n"/>
      <c r="Z1646" s="104" t="n"/>
      <c r="AB1646" s="105">
        <f>IF($B1646="","",(COUNTIF(C1608:E1625,$B1646)+COUNTIF(C1608:E1625,$B1646&amp;" ~*")&gt;0)+(COUNTIF(G1608:I1625,$B1646)+COUNTIF(G1608:I1625,$B1646&amp;" ~*")&gt;0)+(COUNTIF(K1608:M1625,$B1646)+COUNTIF(K1608:M1625,$B1646&amp;" ~*")&gt;0)+(COUNTIF(O1608:Q1625,$B1646)+COUNTIF(O1608:Q1625,$B1646&amp;" ~*")&gt;0)+(COUNTIF(S1608:U1625,$B1646)+COUNTIF(S1608:U1625,$B1646&amp;" ~*")&gt;0)+(COUNTIF(W1608:W1625,$B1646)+COUNTIF(W1608:W1625,$B1646&amp;" ~*")&gt;0)+(COUNTIF(Y1608:Y1625,$B1646)+COUNTIF(Y1608:Y1625,$B1646&amp;" ~*")&gt;0))</f>
        <v/>
      </c>
      <c r="AC1646" s="38">
        <f>IF($B1646="","",(IFERROR(INDEX(Setup!$G$33:$G$40,MATCH(C1646,Setup!$B$33:$B$40,0)),0)=1)*(COUNTIF(C1608:E1625,$B1646)+COUNTIF(C1608:E1625,$B1646&amp;" ~*")&gt;0)+(IFERROR(INDEX(Setup!$G$33:$G$40,MATCH(G1646,Setup!$B$33:$B$40,0)),0)=1)*(COUNTIF(G1608:I1625,$B1646)+COUNTIF(G1608:I1625,$B1646&amp;" ~*")&gt;0)+(IFERROR(INDEX(Setup!$G$33:$G$40,MATCH(K1646,Setup!$B$33:$B$40,0)),0)=1)*(COUNTIF(K1608:M1625,$B1646)+COUNTIF(K1608:M1625,$B1646&amp;" ~*")&gt;0)+(IFERROR(INDEX(Setup!$G$33:$G$40,MATCH(O1646,Setup!$B$33:$B$40,0)),0)=1)*(COUNTIF(O1608:Q1625,$B1646)+COUNTIF(O1608:Q1625,$B1646&amp;" ~*")&gt;0)+(IFERROR(INDEX(Setup!$G$33:$G$40,MATCH(S1646,Setup!$B$33:$B$40,0)),0)=1)*(COUNTIF(S1608:U1625,$B1646)+COUNTIF(S1608:U1625,$B1646&amp;" ~*")&gt;0)+(IFERROR(INDEX(Setup!$G$33:$G$40,MATCH(W1646,Setup!$B$33:$B$40,0)),0)=1)*(COUNTIF(W1608:W1625,$B1646)+COUNTIF(W1608:W1625,$B1646&amp;" ~*")&gt;0)+(IFERROR(INDEX(Setup!$G$33:$G$40,MATCH(Y1646,Setup!$B$33:$B$40,0)),0)=1)*(COUNTIF(Y1608:Y1625,$B1646)+COUNTIF(Y1608:Y1625,$B1646&amp;" ~*")&gt;0))</f>
        <v/>
      </c>
    </row>
    <row r="1647" ht="15" customHeight="1">
      <c r="A1647" t="n">
        <v>33</v>
      </c>
      <c r="B1647" s="35">
        <f>IF(Setup!$B$26="","",Setup!$B$26)</f>
        <v/>
      </c>
      <c r="C1647" s="98" t="n"/>
      <c r="D1647" s="99" t="n"/>
      <c r="E1647" s="99" t="n"/>
      <c r="F1647" s="100" t="n"/>
      <c r="G1647" s="98" t="n"/>
      <c r="H1647" s="99" t="n"/>
      <c r="I1647" s="99" t="n"/>
      <c r="J1647" s="100" t="n"/>
      <c r="K1647" s="98" t="n"/>
      <c r="L1647" s="99" t="n"/>
      <c r="M1647" s="99" t="n"/>
      <c r="N1647" s="100" t="n"/>
      <c r="O1647" s="98" t="n"/>
      <c r="P1647" s="99" t="n"/>
      <c r="Q1647" s="99" t="n"/>
      <c r="R1647" s="100" t="n"/>
      <c r="S1647" s="98" t="n"/>
      <c r="T1647" s="99" t="n"/>
      <c r="U1647" s="99" t="n"/>
      <c r="V1647" s="100" t="n"/>
      <c r="W1647" s="98" t="n"/>
      <c r="X1647" s="100" t="n"/>
      <c r="Y1647" s="98" t="n"/>
      <c r="Z1647" s="100" t="n"/>
      <c r="AB1647" s="101">
        <f>IF($B1647="","",(COUNTIF(C1608:E1625,$B1647)+COUNTIF(C1608:E1625,$B1647&amp;" ~*")&gt;0)+(COUNTIF(G1608:I1625,$B1647)+COUNTIF(G1608:I1625,$B1647&amp;" ~*")&gt;0)+(COUNTIF(K1608:M1625,$B1647)+COUNTIF(K1608:M1625,$B1647&amp;" ~*")&gt;0)+(COUNTIF(O1608:Q1625,$B1647)+COUNTIF(O1608:Q1625,$B1647&amp;" ~*")&gt;0)+(COUNTIF(S1608:U1625,$B1647)+COUNTIF(S1608:U1625,$B1647&amp;" ~*")&gt;0)+(COUNTIF(W1608:W1625,$B1647)+COUNTIF(W1608:W1625,$B1647&amp;" ~*")&gt;0)+(COUNTIF(Y1608:Y1625,$B1647)+COUNTIF(Y1608:Y1625,$B1647&amp;" ~*")&gt;0))</f>
        <v/>
      </c>
      <c r="AC1647" s="36">
        <f>IF($B1647="","",(IFERROR(INDEX(Setup!$G$33:$G$40,MATCH(C1647,Setup!$B$33:$B$40,0)),0)=1)*(COUNTIF(C1608:E1625,$B1647)+COUNTIF(C1608:E1625,$B1647&amp;" ~*")&gt;0)+(IFERROR(INDEX(Setup!$G$33:$G$40,MATCH(G1647,Setup!$B$33:$B$40,0)),0)=1)*(COUNTIF(G1608:I1625,$B1647)+COUNTIF(G1608:I1625,$B1647&amp;" ~*")&gt;0)+(IFERROR(INDEX(Setup!$G$33:$G$40,MATCH(K1647,Setup!$B$33:$B$40,0)),0)=1)*(COUNTIF(K1608:M1625,$B1647)+COUNTIF(K1608:M1625,$B1647&amp;" ~*")&gt;0)+(IFERROR(INDEX(Setup!$G$33:$G$40,MATCH(O1647,Setup!$B$33:$B$40,0)),0)=1)*(COUNTIF(O1608:Q1625,$B1647)+COUNTIF(O1608:Q1625,$B1647&amp;" ~*")&gt;0)+(IFERROR(INDEX(Setup!$G$33:$G$40,MATCH(S1647,Setup!$B$33:$B$40,0)),0)=1)*(COUNTIF(S1608:U1625,$B1647)+COUNTIF(S1608:U1625,$B1647&amp;" ~*")&gt;0)+(IFERROR(INDEX(Setup!$G$33:$G$40,MATCH(W1647,Setup!$B$33:$B$40,0)),0)=1)*(COUNTIF(W1608:W1625,$B1647)+COUNTIF(W1608:W1625,$B1647&amp;" ~*")&gt;0)+(IFERROR(INDEX(Setup!$G$33:$G$40,MATCH(Y1647,Setup!$B$33:$B$40,0)),0)=1)*(COUNTIF(Y1608:Y1625,$B1647)+COUNTIF(Y1608:Y1625,$B1647&amp;" ~*")&gt;0))</f>
        <v/>
      </c>
    </row>
    <row r="1648" ht="15" customHeight="1">
      <c r="A1648" t="n">
        <v>33</v>
      </c>
      <c r="B1648" s="37">
        <f>IF(Setup!$B$27="","",Setup!$B$27)</f>
        <v/>
      </c>
      <c r="C1648" s="102" t="n"/>
      <c r="D1648" s="103" t="n"/>
      <c r="E1648" s="103" t="n"/>
      <c r="F1648" s="104" t="n"/>
      <c r="G1648" s="102" t="n"/>
      <c r="H1648" s="103" t="n"/>
      <c r="I1648" s="103" t="n"/>
      <c r="J1648" s="104" t="n"/>
      <c r="K1648" s="102" t="n"/>
      <c r="L1648" s="103" t="n"/>
      <c r="M1648" s="103" t="n"/>
      <c r="N1648" s="104" t="n"/>
      <c r="O1648" s="102" t="n"/>
      <c r="P1648" s="103" t="n"/>
      <c r="Q1648" s="103" t="n"/>
      <c r="R1648" s="104" t="n"/>
      <c r="S1648" s="102" t="n"/>
      <c r="T1648" s="103" t="n"/>
      <c r="U1648" s="103" t="n"/>
      <c r="V1648" s="104" t="n"/>
      <c r="W1648" s="102" t="n"/>
      <c r="X1648" s="104" t="n"/>
      <c r="Y1648" s="102" t="n"/>
      <c r="Z1648" s="104" t="n"/>
      <c r="AB1648" s="105">
        <f>IF($B1648="","",(COUNTIF(C1608:E1625,$B1648)+COUNTIF(C1608:E1625,$B1648&amp;" ~*")&gt;0)+(COUNTIF(G1608:I1625,$B1648)+COUNTIF(G1608:I1625,$B1648&amp;" ~*")&gt;0)+(COUNTIF(K1608:M1625,$B1648)+COUNTIF(K1608:M1625,$B1648&amp;" ~*")&gt;0)+(COUNTIF(O1608:Q1625,$B1648)+COUNTIF(O1608:Q1625,$B1648&amp;" ~*")&gt;0)+(COUNTIF(S1608:U1625,$B1648)+COUNTIF(S1608:U1625,$B1648&amp;" ~*")&gt;0)+(COUNTIF(W1608:W1625,$B1648)+COUNTIF(W1608:W1625,$B1648&amp;" ~*")&gt;0)+(COUNTIF(Y1608:Y1625,$B1648)+COUNTIF(Y1608:Y1625,$B1648&amp;" ~*")&gt;0))</f>
        <v/>
      </c>
      <c r="AC1648" s="38">
        <f>IF($B1648="","",(IFERROR(INDEX(Setup!$G$33:$G$40,MATCH(C1648,Setup!$B$33:$B$40,0)),0)=1)*(COUNTIF(C1608:E1625,$B1648)+COUNTIF(C1608:E1625,$B1648&amp;" ~*")&gt;0)+(IFERROR(INDEX(Setup!$G$33:$G$40,MATCH(G1648,Setup!$B$33:$B$40,0)),0)=1)*(COUNTIF(G1608:I1625,$B1648)+COUNTIF(G1608:I1625,$B1648&amp;" ~*")&gt;0)+(IFERROR(INDEX(Setup!$G$33:$G$40,MATCH(K1648,Setup!$B$33:$B$40,0)),0)=1)*(COUNTIF(K1608:M1625,$B1648)+COUNTIF(K1608:M1625,$B1648&amp;" ~*")&gt;0)+(IFERROR(INDEX(Setup!$G$33:$G$40,MATCH(O1648,Setup!$B$33:$B$40,0)),0)=1)*(COUNTIF(O1608:Q1625,$B1648)+COUNTIF(O1608:Q1625,$B1648&amp;" ~*")&gt;0)+(IFERROR(INDEX(Setup!$G$33:$G$40,MATCH(S1648,Setup!$B$33:$B$40,0)),0)=1)*(COUNTIF(S1608:U1625,$B1648)+COUNTIF(S1608:U1625,$B1648&amp;" ~*")&gt;0)+(IFERROR(INDEX(Setup!$G$33:$G$40,MATCH(W1648,Setup!$B$33:$B$40,0)),0)=1)*(COUNTIF(W1608:W1625,$B1648)+COUNTIF(W1608:W1625,$B1648&amp;" ~*")&gt;0)+(IFERROR(INDEX(Setup!$G$33:$G$40,MATCH(Y1648,Setup!$B$33:$B$40,0)),0)=1)*(COUNTIF(Y1608:Y1625,$B1648)+COUNTIF(Y1608:Y1625,$B1648&amp;" ~*")&gt;0))</f>
        <v/>
      </c>
    </row>
    <row r="1649" ht="15" customHeight="1">
      <c r="A1649" t="n">
        <v>33</v>
      </c>
      <c r="B1649" s="35">
        <f>IF(Setup!$B$28="","",Setup!$B$28)</f>
        <v/>
      </c>
      <c r="C1649" s="98" t="n"/>
      <c r="D1649" s="99" t="n"/>
      <c r="E1649" s="99" t="n"/>
      <c r="F1649" s="100" t="n"/>
      <c r="G1649" s="98" t="n"/>
      <c r="H1649" s="99" t="n"/>
      <c r="I1649" s="99" t="n"/>
      <c r="J1649" s="100" t="n"/>
      <c r="K1649" s="98" t="n"/>
      <c r="L1649" s="99" t="n"/>
      <c r="M1649" s="99" t="n"/>
      <c r="N1649" s="100" t="n"/>
      <c r="O1649" s="98" t="n"/>
      <c r="P1649" s="99" t="n"/>
      <c r="Q1649" s="99" t="n"/>
      <c r="R1649" s="100" t="n"/>
      <c r="S1649" s="98" t="n"/>
      <c r="T1649" s="99" t="n"/>
      <c r="U1649" s="99" t="n"/>
      <c r="V1649" s="100" t="n"/>
      <c r="W1649" s="98" t="n"/>
      <c r="X1649" s="100" t="n"/>
      <c r="Y1649" s="98" t="n"/>
      <c r="Z1649" s="100" t="n"/>
      <c r="AB1649" s="101">
        <f>IF($B1649="","",(COUNTIF(C1608:E1625,$B1649)+COUNTIF(C1608:E1625,$B1649&amp;" ~*")&gt;0)+(COUNTIF(G1608:I1625,$B1649)+COUNTIF(G1608:I1625,$B1649&amp;" ~*")&gt;0)+(COUNTIF(K1608:M1625,$B1649)+COUNTIF(K1608:M1625,$B1649&amp;" ~*")&gt;0)+(COUNTIF(O1608:Q1625,$B1649)+COUNTIF(O1608:Q1625,$B1649&amp;" ~*")&gt;0)+(COUNTIF(S1608:U1625,$B1649)+COUNTIF(S1608:U1625,$B1649&amp;" ~*")&gt;0)+(COUNTIF(W1608:W1625,$B1649)+COUNTIF(W1608:W1625,$B1649&amp;" ~*")&gt;0)+(COUNTIF(Y1608:Y1625,$B1649)+COUNTIF(Y1608:Y1625,$B1649&amp;" ~*")&gt;0))</f>
        <v/>
      </c>
      <c r="AC1649" s="36">
        <f>IF($B1649="","",(IFERROR(INDEX(Setup!$G$33:$G$40,MATCH(C1649,Setup!$B$33:$B$40,0)),0)=1)*(COUNTIF(C1608:E1625,$B1649)+COUNTIF(C1608:E1625,$B1649&amp;" ~*")&gt;0)+(IFERROR(INDEX(Setup!$G$33:$G$40,MATCH(G1649,Setup!$B$33:$B$40,0)),0)=1)*(COUNTIF(G1608:I1625,$B1649)+COUNTIF(G1608:I1625,$B1649&amp;" ~*")&gt;0)+(IFERROR(INDEX(Setup!$G$33:$G$40,MATCH(K1649,Setup!$B$33:$B$40,0)),0)=1)*(COUNTIF(K1608:M1625,$B1649)+COUNTIF(K1608:M1625,$B1649&amp;" ~*")&gt;0)+(IFERROR(INDEX(Setup!$G$33:$G$40,MATCH(O1649,Setup!$B$33:$B$40,0)),0)=1)*(COUNTIF(O1608:Q1625,$B1649)+COUNTIF(O1608:Q1625,$B1649&amp;" ~*")&gt;0)+(IFERROR(INDEX(Setup!$G$33:$G$40,MATCH(S1649,Setup!$B$33:$B$40,0)),0)=1)*(COUNTIF(S1608:U1625,$B1649)+COUNTIF(S1608:U1625,$B1649&amp;" ~*")&gt;0)+(IFERROR(INDEX(Setup!$G$33:$G$40,MATCH(W1649,Setup!$B$33:$B$40,0)),0)=1)*(COUNTIF(W1608:W1625,$B1649)+COUNTIF(W1608:W1625,$B1649&amp;" ~*")&gt;0)+(IFERROR(INDEX(Setup!$G$33:$G$40,MATCH(Y1649,Setup!$B$33:$B$40,0)),0)=1)*(COUNTIF(Y1608:Y1625,$B1649)+COUNTIF(Y1608:Y1625,$B1649&amp;" ~*")&gt;0))</f>
        <v/>
      </c>
    </row>
    <row r="1650" ht="15" customHeight="1">
      <c r="A1650" t="n">
        <v>33</v>
      </c>
      <c r="B1650" s="37">
        <f>IF(Setup!$B$29="","",Setup!$B$29)</f>
        <v/>
      </c>
      <c r="C1650" s="102" t="n"/>
      <c r="D1650" s="103" t="n"/>
      <c r="E1650" s="103" t="n"/>
      <c r="F1650" s="104" t="n"/>
      <c r="G1650" s="102" t="n"/>
      <c r="H1650" s="103" t="n"/>
      <c r="I1650" s="103" t="n"/>
      <c r="J1650" s="104" t="n"/>
      <c r="K1650" s="102" t="n"/>
      <c r="L1650" s="103" t="n"/>
      <c r="M1650" s="103" t="n"/>
      <c r="N1650" s="104" t="n"/>
      <c r="O1650" s="102" t="n"/>
      <c r="P1650" s="103" t="n"/>
      <c r="Q1650" s="103" t="n"/>
      <c r="R1650" s="104" t="n"/>
      <c r="S1650" s="102" t="n"/>
      <c r="T1650" s="103" t="n"/>
      <c r="U1650" s="103" t="n"/>
      <c r="V1650" s="104" t="n"/>
      <c r="W1650" s="102" t="n"/>
      <c r="X1650" s="104" t="n"/>
      <c r="Y1650" s="102" t="n"/>
      <c r="Z1650" s="104" t="n"/>
      <c r="AB1650" s="105">
        <f>IF($B1650="","",(COUNTIF(C1608:E1625,$B1650)+COUNTIF(C1608:E1625,$B1650&amp;" ~*")&gt;0)+(COUNTIF(G1608:I1625,$B1650)+COUNTIF(G1608:I1625,$B1650&amp;" ~*")&gt;0)+(COUNTIF(K1608:M1625,$B1650)+COUNTIF(K1608:M1625,$B1650&amp;" ~*")&gt;0)+(COUNTIF(O1608:Q1625,$B1650)+COUNTIF(O1608:Q1625,$B1650&amp;" ~*")&gt;0)+(COUNTIF(S1608:U1625,$B1650)+COUNTIF(S1608:U1625,$B1650&amp;" ~*")&gt;0)+(COUNTIF(W1608:W1625,$B1650)+COUNTIF(W1608:W1625,$B1650&amp;" ~*")&gt;0)+(COUNTIF(Y1608:Y1625,$B1650)+COUNTIF(Y1608:Y1625,$B1650&amp;" ~*")&gt;0))</f>
        <v/>
      </c>
      <c r="AC1650" s="38">
        <f>IF($B1650="","",(IFERROR(INDEX(Setup!$G$33:$G$40,MATCH(C1650,Setup!$B$33:$B$40,0)),0)=1)*(COUNTIF(C1608:E1625,$B1650)+COUNTIF(C1608:E1625,$B1650&amp;" ~*")&gt;0)+(IFERROR(INDEX(Setup!$G$33:$G$40,MATCH(G1650,Setup!$B$33:$B$40,0)),0)=1)*(COUNTIF(G1608:I1625,$B1650)+COUNTIF(G1608:I1625,$B1650&amp;" ~*")&gt;0)+(IFERROR(INDEX(Setup!$G$33:$G$40,MATCH(K1650,Setup!$B$33:$B$40,0)),0)=1)*(COUNTIF(K1608:M1625,$B1650)+COUNTIF(K1608:M1625,$B1650&amp;" ~*")&gt;0)+(IFERROR(INDEX(Setup!$G$33:$G$40,MATCH(O1650,Setup!$B$33:$B$40,0)),0)=1)*(COUNTIF(O1608:Q1625,$B1650)+COUNTIF(O1608:Q1625,$B1650&amp;" ~*")&gt;0)+(IFERROR(INDEX(Setup!$G$33:$G$40,MATCH(S1650,Setup!$B$33:$B$40,0)),0)=1)*(COUNTIF(S1608:U1625,$B1650)+COUNTIF(S1608:U1625,$B1650&amp;" ~*")&gt;0)+(IFERROR(INDEX(Setup!$G$33:$G$40,MATCH(W1650,Setup!$B$33:$B$40,0)),0)=1)*(COUNTIF(W1608:W1625,$B1650)+COUNTIF(W1608:W1625,$B1650&amp;" ~*")&gt;0)+(IFERROR(INDEX(Setup!$G$33:$G$40,MATCH(Y1650,Setup!$B$33:$B$40,0)),0)=1)*(COUNTIF(Y1608:Y1625,$B1650)+COUNTIF(Y1608:Y1625,$B1650&amp;" ~*")&gt;0))</f>
        <v/>
      </c>
    </row>
    <row r="1651" ht="16" customHeight="1">
      <c r="A1651" t="n">
        <v>33</v>
      </c>
      <c r="B1651" s="106" t="inlineStr">
        <is>
          <t>Available people</t>
        </is>
      </c>
      <c r="C1651" s="107">
        <f>COUNTIFS(Setup!$E$6:$E$29,"Y",Setup!$B$6:$B$29,"?*")-SUMPRODUCT(COUNTIF(C1627:C1650,Setup!$F$33:$F$40))</f>
        <v/>
      </c>
      <c r="D1651" s="107" t="n"/>
      <c r="E1651" s="107" t="n"/>
      <c r="F1651" s="107" t="n"/>
      <c r="G1651" s="107">
        <f>COUNTIFS(Setup!$E$6:$E$29,"Y",Setup!$B$6:$B$29,"?*")-SUMPRODUCT(COUNTIF(G1627:G1650,Setup!$F$33:$F$40))</f>
        <v/>
      </c>
      <c r="H1651" s="107" t="n"/>
      <c r="I1651" s="107" t="n"/>
      <c r="J1651" s="107" t="n"/>
      <c r="K1651" s="107">
        <f>COUNTIFS(Setup!$E$6:$E$29,"Y",Setup!$B$6:$B$29,"?*")-SUMPRODUCT(COUNTIF(K1627:K1650,Setup!$F$33:$F$40))</f>
        <v/>
      </c>
      <c r="L1651" s="107" t="n"/>
      <c r="M1651" s="107" t="n"/>
      <c r="N1651" s="107" t="n"/>
      <c r="O1651" s="107">
        <f>COUNTIFS(Setup!$E$6:$E$29,"Y",Setup!$B$6:$B$29,"?*")-SUMPRODUCT(COUNTIF(O1627:O1650,Setup!$F$33:$F$40))</f>
        <v/>
      </c>
      <c r="P1651" s="107" t="n"/>
      <c r="Q1651" s="107" t="n"/>
      <c r="R1651" s="107" t="n"/>
      <c r="S1651" s="107">
        <f>COUNTIFS(Setup!$E$6:$E$29,"Y",Setup!$B$6:$B$29,"?*")-SUMPRODUCT(COUNTIF(S1627:S1650,Setup!$F$33:$F$40))</f>
        <v/>
      </c>
      <c r="T1651" s="107" t="n"/>
      <c r="U1651" s="107" t="n"/>
      <c r="V1651" s="107" t="n"/>
      <c r="W1651" s="107">
        <f>COUNTIFS(Setup!$E$6:$E$29,"Y",Setup!$B$6:$B$29,"?*")-SUMPRODUCT(COUNTIF(W1627:W1650,Setup!$F$33:$F$40))</f>
        <v/>
      </c>
      <c r="X1651" s="107" t="n"/>
      <c r="Y1651" s="107">
        <f>COUNTIFS(Setup!$E$6:$E$29,"Y",Setup!$B$6:$B$29,"?*")-SUMPRODUCT(COUNTIF(Y1627:Y1650,Setup!$F$33:$F$40))</f>
        <v/>
      </c>
      <c r="Z1651" s="107" t="n"/>
      <c r="AB1651" s="108">
        <f>SUM(AB1627:AB1650)</f>
        <v/>
      </c>
      <c r="AC1651" s="109">
        <f>SUM(AC1627:AC1650)</f>
        <v/>
      </c>
    </row>
    <row r="1652" ht="30" customHeight="1">
      <c r="A1652" t="n">
        <v>33</v>
      </c>
      <c r="B1652" s="110" t="inlineStr">
        <is>
          <t>Week notes</t>
        </is>
      </c>
      <c r="C1652" s="111" t="n"/>
      <c r="D1652" s="112" t="n"/>
      <c r="E1652" s="112" t="n"/>
      <c r="F1652" s="112" t="n"/>
      <c r="G1652" s="112" t="n"/>
      <c r="H1652" s="112" t="n"/>
      <c r="I1652" s="112" t="n"/>
      <c r="J1652" s="112" t="n"/>
      <c r="K1652" s="112" t="n"/>
      <c r="L1652" s="112" t="n"/>
      <c r="M1652" s="112" t="n"/>
      <c r="N1652" s="112" t="n"/>
      <c r="O1652" s="112" t="n"/>
      <c r="P1652" s="112" t="n"/>
      <c r="Q1652" s="112" t="n"/>
      <c r="R1652" s="112" t="n"/>
      <c r="S1652" s="112" t="n"/>
      <c r="T1652" s="112" t="n"/>
      <c r="U1652" s="112" t="n"/>
      <c r="V1652" s="112" t="n"/>
      <c r="W1652" s="112" t="n"/>
      <c r="X1652" s="112" t="n"/>
      <c r="Y1652" s="112" t="n"/>
      <c r="Z1652" s="113" t="n"/>
    </row>
    <row r="1653" ht="8" customHeight="1">
      <c r="A1653" t="n">
        <v>33</v>
      </c>
    </row>
    <row r="1654" ht="8" customHeight="1">
      <c r="A1654" t="n">
        <v>33</v>
      </c>
    </row>
    <row r="1655" ht="24" customHeight="1">
      <c r="A1655" t="n">
        <v>34</v>
      </c>
      <c r="B1655" s="73">
        <f>"WEEK 34     "&amp;TEXT(C1656,"ddd d mmm")&amp;"  –  "&amp;TEXT(C1656+6,"ddd d mmm yyyy")</f>
        <v/>
      </c>
      <c r="S1655" s="74">
        <f>IF(TODAY()&lt;C1656,"FUTURE",IF(TODAY()&gt;C1656+6,"PAST","THIS WEEK"))</f>
        <v/>
      </c>
      <c r="W1655" s="75">
        <f>IF(AND(Engine!$B$8=$AC$3,Engine!$B$9=$A1655),"◀ ACTIVE WEEK","")</f>
        <v/>
      </c>
      <c r="AA1655" s="76" t="n"/>
      <c r="AB1655" s="77" t="inlineStr">
        <is>
          <t>◀ Prev</t>
        </is>
      </c>
      <c r="AC1655" s="77" t="inlineStr">
        <is>
          <t>Next ▶</t>
        </is>
      </c>
    </row>
    <row r="1656" ht="18" customHeight="1">
      <c r="A1656" t="n">
        <v>34</v>
      </c>
      <c r="B1656" s="78" t="inlineStr">
        <is>
          <t>DUTY</t>
        </is>
      </c>
      <c r="C1656" s="79">
        <f>$AC$2+7*($A1656-1)</f>
        <v/>
      </c>
      <c r="D1656" s="80" t="n"/>
      <c r="E1656" s="80" t="n"/>
      <c r="F1656" s="81" t="n"/>
      <c r="G1656" s="79">
        <f>C1656+1</f>
        <v/>
      </c>
      <c r="H1656" s="80" t="n"/>
      <c r="I1656" s="80" t="n"/>
      <c r="J1656" s="81" t="n"/>
      <c r="K1656" s="79">
        <f>C1656+2</f>
        <v/>
      </c>
      <c r="L1656" s="80" t="n"/>
      <c r="M1656" s="80" t="n"/>
      <c r="N1656" s="81" t="n"/>
      <c r="O1656" s="79">
        <f>C1656+3</f>
        <v/>
      </c>
      <c r="P1656" s="80" t="n"/>
      <c r="Q1656" s="80" t="n"/>
      <c r="R1656" s="81" t="n"/>
      <c r="S1656" s="79">
        <f>C1656+4</f>
        <v/>
      </c>
      <c r="T1656" s="80" t="n"/>
      <c r="U1656" s="80" t="n"/>
      <c r="V1656" s="81" t="n"/>
      <c r="W1656" s="82">
        <f>C1656+5</f>
        <v/>
      </c>
      <c r="X1656" s="83" t="n"/>
      <c r="Y1656" s="82">
        <f>C1656+6</f>
        <v/>
      </c>
      <c r="Z1656" s="83" t="n"/>
      <c r="AB1656" s="72" t="inlineStr">
        <is>
          <t>Gaps</t>
        </is>
      </c>
      <c r="AC1656" s="72" t="inlineStr">
        <is>
          <t>Cover</t>
        </is>
      </c>
    </row>
    <row r="1657" ht="14" customHeight="1">
      <c r="A1657" t="n">
        <v>34</v>
      </c>
      <c r="B1657" s="84" t="inlineStr">
        <is>
          <t>(from Setup)</t>
        </is>
      </c>
      <c r="C1657" s="85" t="inlineStr">
        <is>
          <t>1</t>
        </is>
      </c>
      <c r="D1657" s="85" t="inlineStr">
        <is>
          <t>2</t>
        </is>
      </c>
      <c r="E1657" s="85" t="inlineStr">
        <is>
          <t>3</t>
        </is>
      </c>
      <c r="F1657" s="85" t="inlineStr">
        <is>
          <t>Notes</t>
        </is>
      </c>
      <c r="G1657" s="85" t="inlineStr">
        <is>
          <t>1</t>
        </is>
      </c>
      <c r="H1657" s="85" t="inlineStr">
        <is>
          <t>2</t>
        </is>
      </c>
      <c r="I1657" s="85" t="inlineStr">
        <is>
          <t>3</t>
        </is>
      </c>
      <c r="J1657" s="85" t="inlineStr">
        <is>
          <t>Notes</t>
        </is>
      </c>
      <c r="K1657" s="85" t="inlineStr">
        <is>
          <t>1</t>
        </is>
      </c>
      <c r="L1657" s="85" t="inlineStr">
        <is>
          <t>2</t>
        </is>
      </c>
      <c r="M1657" s="85" t="inlineStr">
        <is>
          <t>3</t>
        </is>
      </c>
      <c r="N1657" s="85" t="inlineStr">
        <is>
          <t>Notes</t>
        </is>
      </c>
      <c r="O1657" s="85" t="inlineStr">
        <is>
          <t>1</t>
        </is>
      </c>
      <c r="P1657" s="85" t="inlineStr">
        <is>
          <t>2</t>
        </is>
      </c>
      <c r="Q1657" s="85" t="inlineStr">
        <is>
          <t>3</t>
        </is>
      </c>
      <c r="R1657" s="85" t="inlineStr">
        <is>
          <t>Notes</t>
        </is>
      </c>
      <c r="S1657" s="85" t="inlineStr">
        <is>
          <t>1</t>
        </is>
      </c>
      <c r="T1657" s="85" t="inlineStr">
        <is>
          <t>2</t>
        </is>
      </c>
      <c r="U1657" s="85" t="inlineStr">
        <is>
          <t>3</t>
        </is>
      </c>
      <c r="V1657" s="85" t="inlineStr">
        <is>
          <t>Notes</t>
        </is>
      </c>
      <c r="W1657" s="85" t="inlineStr">
        <is>
          <t>Cover</t>
        </is>
      </c>
      <c r="X1657" s="85" t="inlineStr">
        <is>
          <t>Notes</t>
        </is>
      </c>
      <c r="Y1657" s="85" t="inlineStr">
        <is>
          <t>Cover</t>
        </is>
      </c>
      <c r="Z1657" s="85" t="inlineStr">
        <is>
          <t>Notes</t>
        </is>
      </c>
      <c r="AB1657" s="86" t="inlineStr">
        <is>
          <t>weekdays short</t>
        </is>
      </c>
      <c r="AC1657" s="87" t="inlineStr"/>
    </row>
    <row r="1658" ht="17" customHeight="1">
      <c r="A1658" t="n">
        <v>34</v>
      </c>
      <c r="B1658" s="24">
        <f>IF(Setup!$K$6="","",Setup!$K$6)</f>
        <v/>
      </c>
      <c r="C1658" s="88" t="n"/>
      <c r="D1658" s="88" t="n"/>
      <c r="E1658" s="88" t="n"/>
      <c r="F1658" s="89" t="n"/>
      <c r="G1658" s="88" t="n"/>
      <c r="H1658" s="88" t="n"/>
      <c r="I1658" s="88" t="n"/>
      <c r="J1658" s="89" t="n"/>
      <c r="K1658" s="88" t="n"/>
      <c r="L1658" s="88" t="n"/>
      <c r="M1658" s="88" t="n"/>
      <c r="N1658" s="89" t="n"/>
      <c r="O1658" s="88" t="n"/>
      <c r="P1658" s="88" t="n"/>
      <c r="Q1658" s="88" t="n"/>
      <c r="R1658" s="89" t="n"/>
      <c r="S1658" s="88" t="n"/>
      <c r="T1658" s="88" t="n"/>
      <c r="U1658" s="88" t="n"/>
      <c r="V1658" s="89" t="n"/>
      <c r="W1658" s="88" t="n"/>
      <c r="X1658" s="89" t="n"/>
      <c r="Y1658" s="88" t="n"/>
      <c r="Z1658" s="89" t="n"/>
      <c r="AB1658" s="25">
        <f>IF($B1658="","",(COUNTIF(C1658:E1658,"?*")&lt;N(INDEX(Setup!$L$6:$L$23,1)))+(COUNTIF(G1658:I1658,"?*")&lt;N(INDEX(Setup!$L$6:$L$23,1)))+(COUNTIF(K1658:M1658,"?*")&lt;N(INDEX(Setup!$L$6:$L$23,1)))+(COUNTIF(O1658:Q1658,"?*")&lt;N(INDEX(Setup!$L$6:$L$23,1)))+(COUNTIF(S1658:U1658,"?*")&lt;N(INDEX(Setup!$L$6:$L$23,1)))+((W1658="")*(INDEX(Setup!$M$6:$M$23,1)="Y"))+((Y1658="")*(INDEX(Setup!$M$6:$M$23,1)="Y")))</f>
        <v/>
      </c>
      <c r="AC1658" s="90">
        <f>IF($B1658="","",IF(AB1658=0,"✓ covered","⚠ "&amp;AB1658&amp;IF(AB1658=1," gap"," gaps")))</f>
        <v/>
      </c>
    </row>
    <row r="1659" ht="17" customHeight="1">
      <c r="A1659" t="n">
        <v>34</v>
      </c>
      <c r="B1659" s="29">
        <f>IF(Setup!$K$7="","",Setup!$K$7)</f>
        <v/>
      </c>
      <c r="C1659" s="88" t="n"/>
      <c r="D1659" s="88" t="n"/>
      <c r="E1659" s="88" t="n"/>
      <c r="F1659" s="89" t="n"/>
      <c r="G1659" s="88" t="n"/>
      <c r="H1659" s="88" t="n"/>
      <c r="I1659" s="88" t="n"/>
      <c r="J1659" s="89" t="n"/>
      <c r="K1659" s="88" t="n"/>
      <c r="L1659" s="88" t="n"/>
      <c r="M1659" s="88" t="n"/>
      <c r="N1659" s="89" t="n"/>
      <c r="O1659" s="88" t="n"/>
      <c r="P1659" s="88" t="n"/>
      <c r="Q1659" s="88" t="n"/>
      <c r="R1659" s="89" t="n"/>
      <c r="S1659" s="88" t="n"/>
      <c r="T1659" s="88" t="n"/>
      <c r="U1659" s="88" t="n"/>
      <c r="V1659" s="89" t="n"/>
      <c r="W1659" s="88" t="n"/>
      <c r="X1659" s="89" t="n"/>
      <c r="Y1659" s="88" t="n"/>
      <c r="Z1659" s="89" t="n"/>
      <c r="AB1659" s="30">
        <f>IF($B1659="","",(COUNTIF(C1659:E1659,"?*")&lt;N(INDEX(Setup!$L$6:$L$23,2)))+(COUNTIF(G1659:I1659,"?*")&lt;N(INDEX(Setup!$L$6:$L$23,2)))+(COUNTIF(K1659:M1659,"?*")&lt;N(INDEX(Setup!$L$6:$L$23,2)))+(COUNTIF(O1659:Q1659,"?*")&lt;N(INDEX(Setup!$L$6:$L$23,2)))+(COUNTIF(S1659:U1659,"?*")&lt;N(INDEX(Setup!$L$6:$L$23,2)))+((W1659="")*(INDEX(Setup!$M$6:$M$23,2)="Y"))+((Y1659="")*(INDEX(Setup!$M$6:$M$23,2)="Y")))</f>
        <v/>
      </c>
      <c r="AC1659" s="91">
        <f>IF($B1659="","",IF(AB1659=0,"✓ covered","⚠ "&amp;AB1659&amp;IF(AB1659=1," gap"," gaps")))</f>
        <v/>
      </c>
    </row>
    <row r="1660" ht="17" customHeight="1">
      <c r="A1660" t="n">
        <v>34</v>
      </c>
      <c r="B1660" s="24">
        <f>IF(Setup!$K$8="","",Setup!$K$8)</f>
        <v/>
      </c>
      <c r="C1660" s="88" t="n"/>
      <c r="D1660" s="88" t="n"/>
      <c r="E1660" s="88" t="n"/>
      <c r="F1660" s="89" t="n"/>
      <c r="G1660" s="88" t="n"/>
      <c r="H1660" s="88" t="n"/>
      <c r="I1660" s="88" t="n"/>
      <c r="J1660" s="89" t="n"/>
      <c r="K1660" s="88" t="n"/>
      <c r="L1660" s="88" t="n"/>
      <c r="M1660" s="88" t="n"/>
      <c r="N1660" s="89" t="n"/>
      <c r="O1660" s="88" t="n"/>
      <c r="P1660" s="88" t="n"/>
      <c r="Q1660" s="88" t="n"/>
      <c r="R1660" s="89" t="n"/>
      <c r="S1660" s="88" t="n"/>
      <c r="T1660" s="88" t="n"/>
      <c r="U1660" s="88" t="n"/>
      <c r="V1660" s="89" t="n"/>
      <c r="W1660" s="88" t="n"/>
      <c r="X1660" s="89" t="n"/>
      <c r="Y1660" s="88" t="n"/>
      <c r="Z1660" s="89" t="n"/>
      <c r="AB1660" s="25">
        <f>IF($B1660="","",(COUNTIF(C1660:E1660,"?*")&lt;N(INDEX(Setup!$L$6:$L$23,3)))+(COUNTIF(G1660:I1660,"?*")&lt;N(INDEX(Setup!$L$6:$L$23,3)))+(COUNTIF(K1660:M1660,"?*")&lt;N(INDEX(Setup!$L$6:$L$23,3)))+(COUNTIF(O1660:Q1660,"?*")&lt;N(INDEX(Setup!$L$6:$L$23,3)))+(COUNTIF(S1660:U1660,"?*")&lt;N(INDEX(Setup!$L$6:$L$23,3)))+((W1660="")*(INDEX(Setup!$M$6:$M$23,3)="Y"))+((Y1660="")*(INDEX(Setup!$M$6:$M$23,3)="Y")))</f>
        <v/>
      </c>
      <c r="AC1660" s="90">
        <f>IF($B1660="","",IF(AB1660=0,"✓ covered","⚠ "&amp;AB1660&amp;IF(AB1660=1," gap"," gaps")))</f>
        <v/>
      </c>
    </row>
    <row r="1661" ht="17" customHeight="1">
      <c r="A1661" t="n">
        <v>34</v>
      </c>
      <c r="B1661" s="29">
        <f>IF(Setup!$K$9="","",Setup!$K$9)</f>
        <v/>
      </c>
      <c r="C1661" s="88" t="n"/>
      <c r="D1661" s="88" t="n"/>
      <c r="E1661" s="88" t="n"/>
      <c r="F1661" s="89" t="n"/>
      <c r="G1661" s="88" t="n"/>
      <c r="H1661" s="88" t="n"/>
      <c r="I1661" s="88" t="n"/>
      <c r="J1661" s="89" t="n"/>
      <c r="K1661" s="88" t="n"/>
      <c r="L1661" s="88" t="n"/>
      <c r="M1661" s="88" t="n"/>
      <c r="N1661" s="89" t="n"/>
      <c r="O1661" s="88" t="n"/>
      <c r="P1661" s="88" t="n"/>
      <c r="Q1661" s="88" t="n"/>
      <c r="R1661" s="89" t="n"/>
      <c r="S1661" s="88" t="n"/>
      <c r="T1661" s="88" t="n"/>
      <c r="U1661" s="88" t="n"/>
      <c r="V1661" s="89" t="n"/>
      <c r="W1661" s="88" t="n"/>
      <c r="X1661" s="89" t="n"/>
      <c r="Y1661" s="88" t="n"/>
      <c r="Z1661" s="89" t="n"/>
      <c r="AB1661" s="30">
        <f>IF($B1661="","",(COUNTIF(C1661:E1661,"?*")&lt;N(INDEX(Setup!$L$6:$L$23,4)))+(COUNTIF(G1661:I1661,"?*")&lt;N(INDEX(Setup!$L$6:$L$23,4)))+(COUNTIF(K1661:M1661,"?*")&lt;N(INDEX(Setup!$L$6:$L$23,4)))+(COUNTIF(O1661:Q1661,"?*")&lt;N(INDEX(Setup!$L$6:$L$23,4)))+(COUNTIF(S1661:U1661,"?*")&lt;N(INDEX(Setup!$L$6:$L$23,4)))+((W1661="")*(INDEX(Setup!$M$6:$M$23,4)="Y"))+((Y1661="")*(INDEX(Setup!$M$6:$M$23,4)="Y")))</f>
        <v/>
      </c>
      <c r="AC1661" s="91">
        <f>IF($B1661="","",IF(AB1661=0,"✓ covered","⚠ "&amp;AB1661&amp;IF(AB1661=1," gap"," gaps")))</f>
        <v/>
      </c>
    </row>
    <row r="1662" ht="17" customHeight="1">
      <c r="A1662" t="n">
        <v>34</v>
      </c>
      <c r="B1662" s="24">
        <f>IF(Setup!$K$10="","",Setup!$K$10)</f>
        <v/>
      </c>
      <c r="C1662" s="88" t="n"/>
      <c r="D1662" s="88" t="n"/>
      <c r="E1662" s="88" t="n"/>
      <c r="F1662" s="89" t="n"/>
      <c r="G1662" s="88" t="n"/>
      <c r="H1662" s="88" t="n"/>
      <c r="I1662" s="88" t="n"/>
      <c r="J1662" s="89" t="n"/>
      <c r="K1662" s="88" t="n"/>
      <c r="L1662" s="88" t="n"/>
      <c r="M1662" s="88" t="n"/>
      <c r="N1662" s="89" t="n"/>
      <c r="O1662" s="88" t="n"/>
      <c r="P1662" s="88" t="n"/>
      <c r="Q1662" s="88" t="n"/>
      <c r="R1662" s="89" t="n"/>
      <c r="S1662" s="88" t="n"/>
      <c r="T1662" s="88" t="n"/>
      <c r="U1662" s="88" t="n"/>
      <c r="V1662" s="89" t="n"/>
      <c r="W1662" s="88" t="n"/>
      <c r="X1662" s="89" t="n"/>
      <c r="Y1662" s="88" t="n"/>
      <c r="Z1662" s="89" t="n"/>
      <c r="AB1662" s="25">
        <f>IF($B1662="","",(COUNTIF(C1662:E1662,"?*")&lt;N(INDEX(Setup!$L$6:$L$23,5)))+(COUNTIF(G1662:I1662,"?*")&lt;N(INDEX(Setup!$L$6:$L$23,5)))+(COUNTIF(K1662:M1662,"?*")&lt;N(INDEX(Setup!$L$6:$L$23,5)))+(COUNTIF(O1662:Q1662,"?*")&lt;N(INDEX(Setup!$L$6:$L$23,5)))+(COUNTIF(S1662:U1662,"?*")&lt;N(INDEX(Setup!$L$6:$L$23,5)))+((W1662="")*(INDEX(Setup!$M$6:$M$23,5)="Y"))+((Y1662="")*(INDEX(Setup!$M$6:$M$23,5)="Y")))</f>
        <v/>
      </c>
      <c r="AC1662" s="90">
        <f>IF($B1662="","",IF(AB1662=0,"✓ covered","⚠ "&amp;AB1662&amp;IF(AB1662=1," gap"," gaps")))</f>
        <v/>
      </c>
    </row>
    <row r="1663" ht="17" customHeight="1">
      <c r="A1663" t="n">
        <v>34</v>
      </c>
      <c r="B1663" s="29">
        <f>IF(Setup!$K$11="","",Setup!$K$11)</f>
        <v/>
      </c>
      <c r="C1663" s="88" t="n"/>
      <c r="D1663" s="88" t="n"/>
      <c r="E1663" s="88" t="n"/>
      <c r="F1663" s="89" t="n"/>
      <c r="G1663" s="88" t="n"/>
      <c r="H1663" s="88" t="n"/>
      <c r="I1663" s="88" t="n"/>
      <c r="J1663" s="89" t="n"/>
      <c r="K1663" s="88" t="n"/>
      <c r="L1663" s="88" t="n"/>
      <c r="M1663" s="88" t="n"/>
      <c r="N1663" s="89" t="n"/>
      <c r="O1663" s="88" t="n"/>
      <c r="P1663" s="88" t="n"/>
      <c r="Q1663" s="88" t="n"/>
      <c r="R1663" s="89" t="n"/>
      <c r="S1663" s="88" t="n"/>
      <c r="T1663" s="88" t="n"/>
      <c r="U1663" s="88" t="n"/>
      <c r="V1663" s="89" t="n"/>
      <c r="W1663" s="88" t="n"/>
      <c r="X1663" s="89" t="n"/>
      <c r="Y1663" s="88" t="n"/>
      <c r="Z1663" s="89" t="n"/>
      <c r="AB1663" s="30">
        <f>IF($B1663="","",(COUNTIF(C1663:E1663,"?*")&lt;N(INDEX(Setup!$L$6:$L$23,6)))+(COUNTIF(G1663:I1663,"?*")&lt;N(INDEX(Setup!$L$6:$L$23,6)))+(COUNTIF(K1663:M1663,"?*")&lt;N(INDEX(Setup!$L$6:$L$23,6)))+(COUNTIF(O1663:Q1663,"?*")&lt;N(INDEX(Setup!$L$6:$L$23,6)))+(COUNTIF(S1663:U1663,"?*")&lt;N(INDEX(Setup!$L$6:$L$23,6)))+((W1663="")*(INDEX(Setup!$M$6:$M$23,6)="Y"))+((Y1663="")*(INDEX(Setup!$M$6:$M$23,6)="Y")))</f>
        <v/>
      </c>
      <c r="AC1663" s="91">
        <f>IF($B1663="","",IF(AB1663=0,"✓ covered","⚠ "&amp;AB1663&amp;IF(AB1663=1," gap"," gaps")))</f>
        <v/>
      </c>
    </row>
    <row r="1664" ht="17" customHeight="1">
      <c r="A1664" t="n">
        <v>34</v>
      </c>
      <c r="B1664" s="24">
        <f>IF(Setup!$K$12="","",Setup!$K$12)</f>
        <v/>
      </c>
      <c r="C1664" s="88" t="n"/>
      <c r="D1664" s="88" t="n"/>
      <c r="E1664" s="88" t="n"/>
      <c r="F1664" s="89" t="n"/>
      <c r="G1664" s="88" t="n"/>
      <c r="H1664" s="88" t="n"/>
      <c r="I1664" s="88" t="n"/>
      <c r="J1664" s="89" t="n"/>
      <c r="K1664" s="88" t="n"/>
      <c r="L1664" s="88" t="n"/>
      <c r="M1664" s="88" t="n"/>
      <c r="N1664" s="89" t="n"/>
      <c r="O1664" s="88" t="n"/>
      <c r="P1664" s="88" t="n"/>
      <c r="Q1664" s="88" t="n"/>
      <c r="R1664" s="89" t="n"/>
      <c r="S1664" s="88" t="n"/>
      <c r="T1664" s="88" t="n"/>
      <c r="U1664" s="88" t="n"/>
      <c r="V1664" s="89" t="n"/>
      <c r="W1664" s="88" t="n"/>
      <c r="X1664" s="89" t="n"/>
      <c r="Y1664" s="88" t="n"/>
      <c r="Z1664" s="89" t="n"/>
      <c r="AB1664" s="25">
        <f>IF($B1664="","",(COUNTIF(C1664:E1664,"?*")&lt;N(INDEX(Setup!$L$6:$L$23,7)))+(COUNTIF(G1664:I1664,"?*")&lt;N(INDEX(Setup!$L$6:$L$23,7)))+(COUNTIF(K1664:M1664,"?*")&lt;N(INDEX(Setup!$L$6:$L$23,7)))+(COUNTIF(O1664:Q1664,"?*")&lt;N(INDEX(Setup!$L$6:$L$23,7)))+(COUNTIF(S1664:U1664,"?*")&lt;N(INDEX(Setup!$L$6:$L$23,7)))+((W1664="")*(INDEX(Setup!$M$6:$M$23,7)="Y"))+((Y1664="")*(INDEX(Setup!$M$6:$M$23,7)="Y")))</f>
        <v/>
      </c>
      <c r="AC1664" s="90">
        <f>IF($B1664="","",IF(AB1664=0,"✓ covered","⚠ "&amp;AB1664&amp;IF(AB1664=1," gap"," gaps")))</f>
        <v/>
      </c>
    </row>
    <row r="1665" ht="17" customHeight="1">
      <c r="A1665" t="n">
        <v>34</v>
      </c>
      <c r="B1665" s="29">
        <f>IF(Setup!$K$13="","",Setup!$K$13)</f>
        <v/>
      </c>
      <c r="C1665" s="88" t="n"/>
      <c r="D1665" s="88" t="n"/>
      <c r="E1665" s="88" t="n"/>
      <c r="F1665" s="89" t="n"/>
      <c r="G1665" s="88" t="n"/>
      <c r="H1665" s="88" t="n"/>
      <c r="I1665" s="88" t="n"/>
      <c r="J1665" s="89" t="n"/>
      <c r="K1665" s="88" t="n"/>
      <c r="L1665" s="88" t="n"/>
      <c r="M1665" s="88" t="n"/>
      <c r="N1665" s="89" t="n"/>
      <c r="O1665" s="88" t="n"/>
      <c r="P1665" s="88" t="n"/>
      <c r="Q1665" s="88" t="n"/>
      <c r="R1665" s="89" t="n"/>
      <c r="S1665" s="88" t="n"/>
      <c r="T1665" s="88" t="n"/>
      <c r="U1665" s="88" t="n"/>
      <c r="V1665" s="89" t="n"/>
      <c r="W1665" s="88" t="n"/>
      <c r="X1665" s="89" t="n"/>
      <c r="Y1665" s="88" t="n"/>
      <c r="Z1665" s="89" t="n"/>
      <c r="AB1665" s="30">
        <f>IF($B1665="","",(COUNTIF(C1665:E1665,"?*")&lt;N(INDEX(Setup!$L$6:$L$23,8)))+(COUNTIF(G1665:I1665,"?*")&lt;N(INDEX(Setup!$L$6:$L$23,8)))+(COUNTIF(K1665:M1665,"?*")&lt;N(INDEX(Setup!$L$6:$L$23,8)))+(COUNTIF(O1665:Q1665,"?*")&lt;N(INDEX(Setup!$L$6:$L$23,8)))+(COUNTIF(S1665:U1665,"?*")&lt;N(INDEX(Setup!$L$6:$L$23,8)))+((W1665="")*(INDEX(Setup!$M$6:$M$23,8)="Y"))+((Y1665="")*(INDEX(Setup!$M$6:$M$23,8)="Y")))</f>
        <v/>
      </c>
      <c r="AC1665" s="91">
        <f>IF($B1665="","",IF(AB1665=0,"✓ covered","⚠ "&amp;AB1665&amp;IF(AB1665=1," gap"," gaps")))</f>
        <v/>
      </c>
    </row>
    <row r="1666" ht="17" customHeight="1">
      <c r="A1666" t="n">
        <v>34</v>
      </c>
      <c r="B1666" s="24">
        <f>IF(Setup!$K$14="","",Setup!$K$14)</f>
        <v/>
      </c>
      <c r="C1666" s="88" t="n"/>
      <c r="D1666" s="88" t="n"/>
      <c r="E1666" s="88" t="n"/>
      <c r="F1666" s="89" t="n"/>
      <c r="G1666" s="88" t="n"/>
      <c r="H1666" s="88" t="n"/>
      <c r="I1666" s="88" t="n"/>
      <c r="J1666" s="89" t="n"/>
      <c r="K1666" s="88" t="n"/>
      <c r="L1666" s="88" t="n"/>
      <c r="M1666" s="88" t="n"/>
      <c r="N1666" s="89" t="n"/>
      <c r="O1666" s="88" t="n"/>
      <c r="P1666" s="88" t="n"/>
      <c r="Q1666" s="88" t="n"/>
      <c r="R1666" s="89" t="n"/>
      <c r="S1666" s="88" t="n"/>
      <c r="T1666" s="88" t="n"/>
      <c r="U1666" s="88" t="n"/>
      <c r="V1666" s="89" t="n"/>
      <c r="W1666" s="88" t="n"/>
      <c r="X1666" s="89" t="n"/>
      <c r="Y1666" s="88" t="n"/>
      <c r="Z1666" s="89" t="n"/>
      <c r="AB1666" s="25">
        <f>IF($B1666="","",(COUNTIF(C1666:E1666,"?*")&lt;N(INDEX(Setup!$L$6:$L$23,9)))+(COUNTIF(G1666:I1666,"?*")&lt;N(INDEX(Setup!$L$6:$L$23,9)))+(COUNTIF(K1666:M1666,"?*")&lt;N(INDEX(Setup!$L$6:$L$23,9)))+(COUNTIF(O1666:Q1666,"?*")&lt;N(INDEX(Setup!$L$6:$L$23,9)))+(COUNTIF(S1666:U1666,"?*")&lt;N(INDEX(Setup!$L$6:$L$23,9)))+((W1666="")*(INDEX(Setup!$M$6:$M$23,9)="Y"))+((Y1666="")*(INDEX(Setup!$M$6:$M$23,9)="Y")))</f>
        <v/>
      </c>
      <c r="AC1666" s="90">
        <f>IF($B1666="","",IF(AB1666=0,"✓ covered","⚠ "&amp;AB1666&amp;IF(AB1666=1," gap"," gaps")))</f>
        <v/>
      </c>
    </row>
    <row r="1667" ht="17" customHeight="1">
      <c r="A1667" t="n">
        <v>34</v>
      </c>
      <c r="B1667" s="29">
        <f>IF(Setup!$K$15="","",Setup!$K$15)</f>
        <v/>
      </c>
      <c r="C1667" s="88" t="n"/>
      <c r="D1667" s="88" t="n"/>
      <c r="E1667" s="88" t="n"/>
      <c r="F1667" s="89" t="n"/>
      <c r="G1667" s="88" t="n"/>
      <c r="H1667" s="88" t="n"/>
      <c r="I1667" s="88" t="n"/>
      <c r="J1667" s="89" t="n"/>
      <c r="K1667" s="88" t="n"/>
      <c r="L1667" s="88" t="n"/>
      <c r="M1667" s="88" t="n"/>
      <c r="N1667" s="89" t="n"/>
      <c r="O1667" s="88" t="n"/>
      <c r="P1667" s="88" t="n"/>
      <c r="Q1667" s="88" t="n"/>
      <c r="R1667" s="89" t="n"/>
      <c r="S1667" s="88" t="n"/>
      <c r="T1667" s="88" t="n"/>
      <c r="U1667" s="88" t="n"/>
      <c r="V1667" s="89" t="n"/>
      <c r="W1667" s="88" t="n"/>
      <c r="X1667" s="89" t="n"/>
      <c r="Y1667" s="88" t="n"/>
      <c r="Z1667" s="89" t="n"/>
      <c r="AB1667" s="30">
        <f>IF($B1667="","",(COUNTIF(C1667:E1667,"?*")&lt;N(INDEX(Setup!$L$6:$L$23,10)))+(COUNTIF(G1667:I1667,"?*")&lt;N(INDEX(Setup!$L$6:$L$23,10)))+(COUNTIF(K1667:M1667,"?*")&lt;N(INDEX(Setup!$L$6:$L$23,10)))+(COUNTIF(O1667:Q1667,"?*")&lt;N(INDEX(Setup!$L$6:$L$23,10)))+(COUNTIF(S1667:U1667,"?*")&lt;N(INDEX(Setup!$L$6:$L$23,10)))+((W1667="")*(INDEX(Setup!$M$6:$M$23,10)="Y"))+((Y1667="")*(INDEX(Setup!$M$6:$M$23,10)="Y")))</f>
        <v/>
      </c>
      <c r="AC1667" s="91">
        <f>IF($B1667="","",IF(AB1667=0,"✓ covered","⚠ "&amp;AB1667&amp;IF(AB1667=1," gap"," gaps")))</f>
        <v/>
      </c>
    </row>
    <row r="1668" ht="17" customHeight="1">
      <c r="A1668" t="n">
        <v>34</v>
      </c>
      <c r="B1668" s="24">
        <f>IF(Setup!$K$16="","",Setup!$K$16)</f>
        <v/>
      </c>
      <c r="C1668" s="88" t="n"/>
      <c r="D1668" s="88" t="n"/>
      <c r="E1668" s="88" t="n"/>
      <c r="F1668" s="89" t="n"/>
      <c r="G1668" s="88" t="n"/>
      <c r="H1668" s="88" t="n"/>
      <c r="I1668" s="88" t="n"/>
      <c r="J1668" s="89" t="n"/>
      <c r="K1668" s="88" t="n"/>
      <c r="L1668" s="88" t="n"/>
      <c r="M1668" s="88" t="n"/>
      <c r="N1668" s="89" t="n"/>
      <c r="O1668" s="88" t="n"/>
      <c r="P1668" s="88" t="n"/>
      <c r="Q1668" s="88" t="n"/>
      <c r="R1668" s="89" t="n"/>
      <c r="S1668" s="88" t="n"/>
      <c r="T1668" s="88" t="n"/>
      <c r="U1668" s="88" t="n"/>
      <c r="V1668" s="89" t="n"/>
      <c r="W1668" s="88" t="n"/>
      <c r="X1668" s="89" t="n"/>
      <c r="Y1668" s="88" t="n"/>
      <c r="Z1668" s="89" t="n"/>
      <c r="AB1668" s="25">
        <f>IF($B1668="","",(COUNTIF(C1668:E1668,"?*")&lt;N(INDEX(Setup!$L$6:$L$23,11)))+(COUNTIF(G1668:I1668,"?*")&lt;N(INDEX(Setup!$L$6:$L$23,11)))+(COUNTIF(K1668:M1668,"?*")&lt;N(INDEX(Setup!$L$6:$L$23,11)))+(COUNTIF(O1668:Q1668,"?*")&lt;N(INDEX(Setup!$L$6:$L$23,11)))+(COUNTIF(S1668:U1668,"?*")&lt;N(INDEX(Setup!$L$6:$L$23,11)))+((W1668="")*(INDEX(Setup!$M$6:$M$23,11)="Y"))+((Y1668="")*(INDEX(Setup!$M$6:$M$23,11)="Y")))</f>
        <v/>
      </c>
      <c r="AC1668" s="90">
        <f>IF($B1668="","",IF(AB1668=0,"✓ covered","⚠ "&amp;AB1668&amp;IF(AB1668=1," gap"," gaps")))</f>
        <v/>
      </c>
    </row>
    <row r="1669" ht="17" customHeight="1">
      <c r="A1669" t="n">
        <v>34</v>
      </c>
      <c r="B1669" s="29">
        <f>IF(Setup!$K$17="","",Setup!$K$17)</f>
        <v/>
      </c>
      <c r="C1669" s="88" t="n"/>
      <c r="D1669" s="88" t="n"/>
      <c r="E1669" s="88" t="n"/>
      <c r="F1669" s="89" t="n"/>
      <c r="G1669" s="88" t="n"/>
      <c r="H1669" s="88" t="n"/>
      <c r="I1669" s="88" t="n"/>
      <c r="J1669" s="89" t="n"/>
      <c r="K1669" s="88" t="n"/>
      <c r="L1669" s="88" t="n"/>
      <c r="M1669" s="88" t="n"/>
      <c r="N1669" s="89" t="n"/>
      <c r="O1669" s="88" t="n"/>
      <c r="P1669" s="88" t="n"/>
      <c r="Q1669" s="88" t="n"/>
      <c r="R1669" s="89" t="n"/>
      <c r="S1669" s="88" t="n"/>
      <c r="T1669" s="88" t="n"/>
      <c r="U1669" s="88" t="n"/>
      <c r="V1669" s="89" t="n"/>
      <c r="W1669" s="88" t="n"/>
      <c r="X1669" s="89" t="n"/>
      <c r="Y1669" s="88" t="n"/>
      <c r="Z1669" s="89" t="n"/>
      <c r="AB1669" s="30">
        <f>IF($B1669="","",(COUNTIF(C1669:E1669,"?*")&lt;N(INDEX(Setup!$L$6:$L$23,12)))+(COUNTIF(G1669:I1669,"?*")&lt;N(INDEX(Setup!$L$6:$L$23,12)))+(COUNTIF(K1669:M1669,"?*")&lt;N(INDEX(Setup!$L$6:$L$23,12)))+(COUNTIF(O1669:Q1669,"?*")&lt;N(INDEX(Setup!$L$6:$L$23,12)))+(COUNTIF(S1669:U1669,"?*")&lt;N(INDEX(Setup!$L$6:$L$23,12)))+((W1669="")*(INDEX(Setup!$M$6:$M$23,12)="Y"))+((Y1669="")*(INDEX(Setup!$M$6:$M$23,12)="Y")))</f>
        <v/>
      </c>
      <c r="AC1669" s="91">
        <f>IF($B1669="","",IF(AB1669=0,"✓ covered","⚠ "&amp;AB1669&amp;IF(AB1669=1," gap"," gaps")))</f>
        <v/>
      </c>
    </row>
    <row r="1670" ht="17" customHeight="1">
      <c r="A1670" t="n">
        <v>34</v>
      </c>
      <c r="B1670" s="24">
        <f>IF(Setup!$K$18="","",Setup!$K$18)</f>
        <v/>
      </c>
      <c r="C1670" s="88" t="n"/>
      <c r="D1670" s="88" t="n"/>
      <c r="E1670" s="88" t="n"/>
      <c r="F1670" s="89" t="n"/>
      <c r="G1670" s="88" t="n"/>
      <c r="H1670" s="88" t="n"/>
      <c r="I1670" s="88" t="n"/>
      <c r="J1670" s="89" t="n"/>
      <c r="K1670" s="88" t="n"/>
      <c r="L1670" s="88" t="n"/>
      <c r="M1670" s="88" t="n"/>
      <c r="N1670" s="89" t="n"/>
      <c r="O1670" s="88" t="n"/>
      <c r="P1670" s="88" t="n"/>
      <c r="Q1670" s="88" t="n"/>
      <c r="R1670" s="89" t="n"/>
      <c r="S1670" s="88" t="n"/>
      <c r="T1670" s="88" t="n"/>
      <c r="U1670" s="88" t="n"/>
      <c r="V1670" s="89" t="n"/>
      <c r="W1670" s="88" t="n"/>
      <c r="X1670" s="89" t="n"/>
      <c r="Y1670" s="88" t="n"/>
      <c r="Z1670" s="89" t="n"/>
      <c r="AB1670" s="25">
        <f>IF($B1670="","",(COUNTIF(C1670:E1670,"?*")&lt;N(INDEX(Setup!$L$6:$L$23,13)))+(COUNTIF(G1670:I1670,"?*")&lt;N(INDEX(Setup!$L$6:$L$23,13)))+(COUNTIF(K1670:M1670,"?*")&lt;N(INDEX(Setup!$L$6:$L$23,13)))+(COUNTIF(O1670:Q1670,"?*")&lt;N(INDEX(Setup!$L$6:$L$23,13)))+(COUNTIF(S1670:U1670,"?*")&lt;N(INDEX(Setup!$L$6:$L$23,13)))+((W1670="")*(INDEX(Setup!$M$6:$M$23,13)="Y"))+((Y1670="")*(INDEX(Setup!$M$6:$M$23,13)="Y")))</f>
        <v/>
      </c>
      <c r="AC1670" s="90">
        <f>IF($B1670="","",IF(AB1670=0,"✓ covered","⚠ "&amp;AB1670&amp;IF(AB1670=1," gap"," gaps")))</f>
        <v/>
      </c>
    </row>
    <row r="1671" ht="17" customHeight="1">
      <c r="A1671" t="n">
        <v>34</v>
      </c>
      <c r="B1671" s="29">
        <f>IF(Setup!$K$19="","",Setup!$K$19)</f>
        <v/>
      </c>
      <c r="C1671" s="88" t="n"/>
      <c r="D1671" s="88" t="n"/>
      <c r="E1671" s="88" t="n"/>
      <c r="F1671" s="89" t="n"/>
      <c r="G1671" s="88" t="n"/>
      <c r="H1671" s="88" t="n"/>
      <c r="I1671" s="88" t="n"/>
      <c r="J1671" s="89" t="n"/>
      <c r="K1671" s="88" t="n"/>
      <c r="L1671" s="88" t="n"/>
      <c r="M1671" s="88" t="n"/>
      <c r="N1671" s="89" t="n"/>
      <c r="O1671" s="88" t="n"/>
      <c r="P1671" s="88" t="n"/>
      <c r="Q1671" s="88" t="n"/>
      <c r="R1671" s="89" t="n"/>
      <c r="S1671" s="88" t="n"/>
      <c r="T1671" s="88" t="n"/>
      <c r="U1671" s="88" t="n"/>
      <c r="V1671" s="89" t="n"/>
      <c r="W1671" s="88" t="n"/>
      <c r="X1671" s="89" t="n"/>
      <c r="Y1671" s="88" t="n"/>
      <c r="Z1671" s="89" t="n"/>
      <c r="AB1671" s="30">
        <f>IF($B1671="","",(COUNTIF(C1671:E1671,"?*")&lt;N(INDEX(Setup!$L$6:$L$23,14)))+(COUNTIF(G1671:I1671,"?*")&lt;N(INDEX(Setup!$L$6:$L$23,14)))+(COUNTIF(K1671:M1671,"?*")&lt;N(INDEX(Setup!$L$6:$L$23,14)))+(COUNTIF(O1671:Q1671,"?*")&lt;N(INDEX(Setup!$L$6:$L$23,14)))+(COUNTIF(S1671:U1671,"?*")&lt;N(INDEX(Setup!$L$6:$L$23,14)))+((W1671="")*(INDEX(Setup!$M$6:$M$23,14)="Y"))+((Y1671="")*(INDEX(Setup!$M$6:$M$23,14)="Y")))</f>
        <v/>
      </c>
      <c r="AC1671" s="91">
        <f>IF($B1671="","",IF(AB1671=0,"✓ covered","⚠ "&amp;AB1671&amp;IF(AB1671=1," gap"," gaps")))</f>
        <v/>
      </c>
    </row>
    <row r="1672" ht="17" customHeight="1">
      <c r="A1672" t="n">
        <v>34</v>
      </c>
      <c r="B1672" s="24">
        <f>IF(Setup!$K$20="","",Setup!$K$20)</f>
        <v/>
      </c>
      <c r="C1672" s="88" t="n"/>
      <c r="D1672" s="88" t="n"/>
      <c r="E1672" s="88" t="n"/>
      <c r="F1672" s="89" t="n"/>
      <c r="G1672" s="88" t="n"/>
      <c r="H1672" s="88" t="n"/>
      <c r="I1672" s="88" t="n"/>
      <c r="J1672" s="89" t="n"/>
      <c r="K1672" s="88" t="n"/>
      <c r="L1672" s="88" t="n"/>
      <c r="M1672" s="88" t="n"/>
      <c r="N1672" s="89" t="n"/>
      <c r="O1672" s="88" t="n"/>
      <c r="P1672" s="88" t="n"/>
      <c r="Q1672" s="88" t="n"/>
      <c r="R1672" s="89" t="n"/>
      <c r="S1672" s="88" t="n"/>
      <c r="T1672" s="88" t="n"/>
      <c r="U1672" s="88" t="n"/>
      <c r="V1672" s="89" t="n"/>
      <c r="W1672" s="88" t="n"/>
      <c r="X1672" s="89" t="n"/>
      <c r="Y1672" s="88" t="n"/>
      <c r="Z1672" s="89" t="n"/>
      <c r="AB1672" s="25">
        <f>IF($B1672="","",(COUNTIF(C1672:E1672,"?*")&lt;N(INDEX(Setup!$L$6:$L$23,15)))+(COUNTIF(G1672:I1672,"?*")&lt;N(INDEX(Setup!$L$6:$L$23,15)))+(COUNTIF(K1672:M1672,"?*")&lt;N(INDEX(Setup!$L$6:$L$23,15)))+(COUNTIF(O1672:Q1672,"?*")&lt;N(INDEX(Setup!$L$6:$L$23,15)))+(COUNTIF(S1672:U1672,"?*")&lt;N(INDEX(Setup!$L$6:$L$23,15)))+((W1672="")*(INDEX(Setup!$M$6:$M$23,15)="Y"))+((Y1672="")*(INDEX(Setup!$M$6:$M$23,15)="Y")))</f>
        <v/>
      </c>
      <c r="AC1672" s="90">
        <f>IF($B1672="","",IF(AB1672=0,"✓ covered","⚠ "&amp;AB1672&amp;IF(AB1672=1," gap"," gaps")))</f>
        <v/>
      </c>
    </row>
    <row r="1673" ht="17" customHeight="1">
      <c r="A1673" t="n">
        <v>34</v>
      </c>
      <c r="B1673" s="29">
        <f>IF(Setup!$K$21="","",Setup!$K$21)</f>
        <v/>
      </c>
      <c r="C1673" s="88" t="n"/>
      <c r="D1673" s="88" t="n"/>
      <c r="E1673" s="88" t="n"/>
      <c r="F1673" s="89" t="n"/>
      <c r="G1673" s="88" t="n"/>
      <c r="H1673" s="88" t="n"/>
      <c r="I1673" s="88" t="n"/>
      <c r="J1673" s="89" t="n"/>
      <c r="K1673" s="88" t="n"/>
      <c r="L1673" s="88" t="n"/>
      <c r="M1673" s="88" t="n"/>
      <c r="N1673" s="89" t="n"/>
      <c r="O1673" s="88" t="n"/>
      <c r="P1673" s="88" t="n"/>
      <c r="Q1673" s="88" t="n"/>
      <c r="R1673" s="89" t="n"/>
      <c r="S1673" s="88" t="n"/>
      <c r="T1673" s="88" t="n"/>
      <c r="U1673" s="88" t="n"/>
      <c r="V1673" s="89" t="n"/>
      <c r="W1673" s="88" t="n"/>
      <c r="X1673" s="89" t="n"/>
      <c r="Y1673" s="88" t="n"/>
      <c r="Z1673" s="89" t="n"/>
      <c r="AB1673" s="30">
        <f>IF($B1673="","",(COUNTIF(C1673:E1673,"?*")&lt;N(INDEX(Setup!$L$6:$L$23,16)))+(COUNTIF(G1673:I1673,"?*")&lt;N(INDEX(Setup!$L$6:$L$23,16)))+(COUNTIF(K1673:M1673,"?*")&lt;N(INDEX(Setup!$L$6:$L$23,16)))+(COUNTIF(O1673:Q1673,"?*")&lt;N(INDEX(Setup!$L$6:$L$23,16)))+(COUNTIF(S1673:U1673,"?*")&lt;N(INDEX(Setup!$L$6:$L$23,16)))+((W1673="")*(INDEX(Setup!$M$6:$M$23,16)="Y"))+((Y1673="")*(INDEX(Setup!$M$6:$M$23,16)="Y")))</f>
        <v/>
      </c>
      <c r="AC1673" s="91">
        <f>IF($B1673="","",IF(AB1673=0,"✓ covered","⚠ "&amp;AB1673&amp;IF(AB1673=1," gap"," gaps")))</f>
        <v/>
      </c>
    </row>
    <row r="1674" ht="17" customHeight="1">
      <c r="A1674" t="n">
        <v>34</v>
      </c>
      <c r="B1674" s="24">
        <f>IF(Setup!$K$22="","",Setup!$K$22)</f>
        <v/>
      </c>
      <c r="C1674" s="88" t="n"/>
      <c r="D1674" s="88" t="n"/>
      <c r="E1674" s="88" t="n"/>
      <c r="F1674" s="89" t="n"/>
      <c r="G1674" s="88" t="n"/>
      <c r="H1674" s="88" t="n"/>
      <c r="I1674" s="88" t="n"/>
      <c r="J1674" s="89" t="n"/>
      <c r="K1674" s="88" t="n"/>
      <c r="L1674" s="88" t="n"/>
      <c r="M1674" s="88" t="n"/>
      <c r="N1674" s="89" t="n"/>
      <c r="O1674" s="88" t="n"/>
      <c r="P1674" s="88" t="n"/>
      <c r="Q1674" s="88" t="n"/>
      <c r="R1674" s="89" t="n"/>
      <c r="S1674" s="88" t="n"/>
      <c r="T1674" s="88" t="n"/>
      <c r="U1674" s="88" t="n"/>
      <c r="V1674" s="89" t="n"/>
      <c r="W1674" s="88" t="n"/>
      <c r="X1674" s="89" t="n"/>
      <c r="Y1674" s="88" t="n"/>
      <c r="Z1674" s="89" t="n"/>
      <c r="AB1674" s="25">
        <f>IF($B1674="","",(COUNTIF(C1674:E1674,"?*")&lt;N(INDEX(Setup!$L$6:$L$23,17)))+(COUNTIF(G1674:I1674,"?*")&lt;N(INDEX(Setup!$L$6:$L$23,17)))+(COUNTIF(K1674:M1674,"?*")&lt;N(INDEX(Setup!$L$6:$L$23,17)))+(COUNTIF(O1674:Q1674,"?*")&lt;N(INDEX(Setup!$L$6:$L$23,17)))+(COUNTIF(S1674:U1674,"?*")&lt;N(INDEX(Setup!$L$6:$L$23,17)))+((W1674="")*(INDEX(Setup!$M$6:$M$23,17)="Y"))+((Y1674="")*(INDEX(Setup!$M$6:$M$23,17)="Y")))</f>
        <v/>
      </c>
      <c r="AC1674" s="90">
        <f>IF($B1674="","",IF(AB1674=0,"✓ covered","⚠ "&amp;AB1674&amp;IF(AB1674=1," gap"," gaps")))</f>
        <v/>
      </c>
    </row>
    <row r="1675" ht="17" customHeight="1">
      <c r="A1675" t="n">
        <v>34</v>
      </c>
      <c r="B1675" s="29">
        <f>IF(Setup!$K$23="","",Setup!$K$23)</f>
        <v/>
      </c>
      <c r="C1675" s="88" t="n"/>
      <c r="D1675" s="88" t="n"/>
      <c r="E1675" s="88" t="n"/>
      <c r="F1675" s="89" t="n"/>
      <c r="G1675" s="88" t="n"/>
      <c r="H1675" s="88" t="n"/>
      <c r="I1675" s="88" t="n"/>
      <c r="J1675" s="89" t="n"/>
      <c r="K1675" s="88" t="n"/>
      <c r="L1675" s="88" t="n"/>
      <c r="M1675" s="88" t="n"/>
      <c r="N1675" s="89" t="n"/>
      <c r="O1675" s="88" t="n"/>
      <c r="P1675" s="88" t="n"/>
      <c r="Q1675" s="88" t="n"/>
      <c r="R1675" s="89" t="n"/>
      <c r="S1675" s="88" t="n"/>
      <c r="T1675" s="88" t="n"/>
      <c r="U1675" s="88" t="n"/>
      <c r="V1675" s="89" t="n"/>
      <c r="W1675" s="88" t="n"/>
      <c r="X1675" s="89" t="n"/>
      <c r="Y1675" s="88" t="n"/>
      <c r="Z1675" s="89" t="n"/>
      <c r="AB1675" s="30">
        <f>IF($B1675="","",(COUNTIF(C1675:E1675,"?*")&lt;N(INDEX(Setup!$L$6:$L$23,18)))+(COUNTIF(G1675:I1675,"?*")&lt;N(INDEX(Setup!$L$6:$L$23,18)))+(COUNTIF(K1675:M1675,"?*")&lt;N(INDEX(Setup!$L$6:$L$23,18)))+(COUNTIF(O1675:Q1675,"?*")&lt;N(INDEX(Setup!$L$6:$L$23,18)))+(COUNTIF(S1675:U1675,"?*")&lt;N(INDEX(Setup!$L$6:$L$23,18)))+((W1675="")*(INDEX(Setup!$M$6:$M$23,18)="Y"))+((Y1675="")*(INDEX(Setup!$M$6:$M$23,18)="Y")))</f>
        <v/>
      </c>
      <c r="AC1675" s="91">
        <f>IF($B1675="","",IF(AB1675=0,"✓ covered","⚠ "&amp;AB1675&amp;IF(AB1675=1," gap"," gaps")))</f>
        <v/>
      </c>
    </row>
    <row r="1676" ht="18" customHeight="1">
      <c r="A1676" t="n">
        <v>34</v>
      </c>
      <c r="B1676" s="78" t="inlineStr">
        <is>
          <t>TEAM AVAILABILITY</t>
        </is>
      </c>
      <c r="C1676" s="92" t="inlineStr">
        <is>
          <t>Mon</t>
        </is>
      </c>
      <c r="D1676" s="93" t="n"/>
      <c r="E1676" s="93" t="n"/>
      <c r="F1676" s="94" t="n"/>
      <c r="G1676" s="92" t="inlineStr">
        <is>
          <t>Tue</t>
        </is>
      </c>
      <c r="H1676" s="93" t="n"/>
      <c r="I1676" s="93" t="n"/>
      <c r="J1676" s="94" t="n"/>
      <c r="K1676" s="92" t="inlineStr">
        <is>
          <t>Wed</t>
        </is>
      </c>
      <c r="L1676" s="93" t="n"/>
      <c r="M1676" s="93" t="n"/>
      <c r="N1676" s="94" t="n"/>
      <c r="O1676" s="92" t="inlineStr">
        <is>
          <t>Thu</t>
        </is>
      </c>
      <c r="P1676" s="93" t="n"/>
      <c r="Q1676" s="93" t="n"/>
      <c r="R1676" s="94" t="n"/>
      <c r="S1676" s="92" t="inlineStr">
        <is>
          <t>Fri</t>
        </is>
      </c>
      <c r="T1676" s="93" t="n"/>
      <c r="U1676" s="93" t="n"/>
      <c r="V1676" s="94" t="n"/>
      <c r="W1676" s="95" t="inlineStr">
        <is>
          <t>Sat</t>
        </is>
      </c>
      <c r="X1676" s="96" t="n"/>
      <c r="Y1676" s="95" t="inlineStr">
        <is>
          <t>Sun</t>
        </is>
      </c>
      <c r="Z1676" s="96" t="n"/>
      <c r="AB1676" s="97" t="inlineStr">
        <is>
          <t>Days rostered</t>
        </is>
      </c>
      <c r="AC1676" s="97" t="inlineStr">
        <is>
          <t>Conflicts</t>
        </is>
      </c>
    </row>
    <row r="1677" ht="15" customHeight="1">
      <c r="A1677" t="n">
        <v>34</v>
      </c>
      <c r="B1677" s="35">
        <f>IF(Setup!$B$6="","",Setup!$B$6)</f>
        <v/>
      </c>
      <c r="C1677" s="98" t="n"/>
      <c r="D1677" s="99" t="n"/>
      <c r="E1677" s="99" t="n"/>
      <c r="F1677" s="100" t="n"/>
      <c r="G1677" s="98" t="n"/>
      <c r="H1677" s="99" t="n"/>
      <c r="I1677" s="99" t="n"/>
      <c r="J1677" s="100" t="n"/>
      <c r="K1677" s="98" t="n"/>
      <c r="L1677" s="99" t="n"/>
      <c r="M1677" s="99" t="n"/>
      <c r="N1677" s="100" t="n"/>
      <c r="O1677" s="98" t="n"/>
      <c r="P1677" s="99" t="n"/>
      <c r="Q1677" s="99" t="n"/>
      <c r="R1677" s="100" t="n"/>
      <c r="S1677" s="98" t="n"/>
      <c r="T1677" s="99" t="n"/>
      <c r="U1677" s="99" t="n"/>
      <c r="V1677" s="100" t="n"/>
      <c r="W1677" s="98" t="n"/>
      <c r="X1677" s="100" t="n"/>
      <c r="Y1677" s="98" t="n"/>
      <c r="Z1677" s="100" t="n"/>
      <c r="AB1677" s="101">
        <f>IF($B1677="","",(COUNTIF(C1658:E1675,$B1677)+COUNTIF(C1658:E1675,$B1677&amp;" ~*")&gt;0)+(COUNTIF(G1658:I1675,$B1677)+COUNTIF(G1658:I1675,$B1677&amp;" ~*")&gt;0)+(COUNTIF(K1658:M1675,$B1677)+COUNTIF(K1658:M1675,$B1677&amp;" ~*")&gt;0)+(COUNTIF(O1658:Q1675,$B1677)+COUNTIF(O1658:Q1675,$B1677&amp;" ~*")&gt;0)+(COUNTIF(S1658:U1675,$B1677)+COUNTIF(S1658:U1675,$B1677&amp;" ~*")&gt;0)+(COUNTIF(W1658:W1675,$B1677)+COUNTIF(W1658:W1675,$B1677&amp;" ~*")&gt;0)+(COUNTIF(Y1658:Y1675,$B1677)+COUNTIF(Y1658:Y1675,$B1677&amp;" ~*")&gt;0))</f>
        <v/>
      </c>
      <c r="AC1677" s="36">
        <f>IF($B1677="","",(IFERROR(INDEX(Setup!$G$33:$G$40,MATCH(C1677,Setup!$B$33:$B$40,0)),0)=1)*(COUNTIF(C1658:E1675,$B1677)+COUNTIF(C1658:E1675,$B1677&amp;" ~*")&gt;0)+(IFERROR(INDEX(Setup!$G$33:$G$40,MATCH(G1677,Setup!$B$33:$B$40,0)),0)=1)*(COUNTIF(G1658:I1675,$B1677)+COUNTIF(G1658:I1675,$B1677&amp;" ~*")&gt;0)+(IFERROR(INDEX(Setup!$G$33:$G$40,MATCH(K1677,Setup!$B$33:$B$40,0)),0)=1)*(COUNTIF(K1658:M1675,$B1677)+COUNTIF(K1658:M1675,$B1677&amp;" ~*")&gt;0)+(IFERROR(INDEX(Setup!$G$33:$G$40,MATCH(O1677,Setup!$B$33:$B$40,0)),0)=1)*(COUNTIF(O1658:Q1675,$B1677)+COUNTIF(O1658:Q1675,$B1677&amp;" ~*")&gt;0)+(IFERROR(INDEX(Setup!$G$33:$G$40,MATCH(S1677,Setup!$B$33:$B$40,0)),0)=1)*(COUNTIF(S1658:U1675,$B1677)+COUNTIF(S1658:U1675,$B1677&amp;" ~*")&gt;0)+(IFERROR(INDEX(Setup!$G$33:$G$40,MATCH(W1677,Setup!$B$33:$B$40,0)),0)=1)*(COUNTIF(W1658:W1675,$B1677)+COUNTIF(W1658:W1675,$B1677&amp;" ~*")&gt;0)+(IFERROR(INDEX(Setup!$G$33:$G$40,MATCH(Y1677,Setup!$B$33:$B$40,0)),0)=1)*(COUNTIF(Y1658:Y1675,$B1677)+COUNTIF(Y1658:Y1675,$B1677&amp;" ~*")&gt;0))</f>
        <v/>
      </c>
    </row>
    <row r="1678" ht="15" customHeight="1">
      <c r="A1678" t="n">
        <v>34</v>
      </c>
      <c r="B1678" s="37">
        <f>IF(Setup!$B$7="","",Setup!$B$7)</f>
        <v/>
      </c>
      <c r="C1678" s="102" t="n"/>
      <c r="D1678" s="103" t="n"/>
      <c r="E1678" s="103" t="n"/>
      <c r="F1678" s="104" t="n"/>
      <c r="G1678" s="102" t="n"/>
      <c r="H1678" s="103" t="n"/>
      <c r="I1678" s="103" t="n"/>
      <c r="J1678" s="104" t="n"/>
      <c r="K1678" s="102" t="n"/>
      <c r="L1678" s="103" t="n"/>
      <c r="M1678" s="103" t="n"/>
      <c r="N1678" s="104" t="n"/>
      <c r="O1678" s="102" t="n"/>
      <c r="P1678" s="103" t="n"/>
      <c r="Q1678" s="103" t="n"/>
      <c r="R1678" s="104" t="n"/>
      <c r="S1678" s="102" t="n"/>
      <c r="T1678" s="103" t="n"/>
      <c r="U1678" s="103" t="n"/>
      <c r="V1678" s="104" t="n"/>
      <c r="W1678" s="102" t="n"/>
      <c r="X1678" s="104" t="n"/>
      <c r="Y1678" s="102" t="n"/>
      <c r="Z1678" s="104" t="n"/>
      <c r="AB1678" s="105">
        <f>IF($B1678="","",(COUNTIF(C1658:E1675,$B1678)+COUNTIF(C1658:E1675,$B1678&amp;" ~*")&gt;0)+(COUNTIF(G1658:I1675,$B1678)+COUNTIF(G1658:I1675,$B1678&amp;" ~*")&gt;0)+(COUNTIF(K1658:M1675,$B1678)+COUNTIF(K1658:M1675,$B1678&amp;" ~*")&gt;0)+(COUNTIF(O1658:Q1675,$B1678)+COUNTIF(O1658:Q1675,$B1678&amp;" ~*")&gt;0)+(COUNTIF(S1658:U1675,$B1678)+COUNTIF(S1658:U1675,$B1678&amp;" ~*")&gt;0)+(COUNTIF(W1658:W1675,$B1678)+COUNTIF(W1658:W1675,$B1678&amp;" ~*")&gt;0)+(COUNTIF(Y1658:Y1675,$B1678)+COUNTIF(Y1658:Y1675,$B1678&amp;" ~*")&gt;0))</f>
        <v/>
      </c>
      <c r="AC1678" s="38">
        <f>IF($B1678="","",(IFERROR(INDEX(Setup!$G$33:$G$40,MATCH(C1678,Setup!$B$33:$B$40,0)),0)=1)*(COUNTIF(C1658:E1675,$B1678)+COUNTIF(C1658:E1675,$B1678&amp;" ~*")&gt;0)+(IFERROR(INDEX(Setup!$G$33:$G$40,MATCH(G1678,Setup!$B$33:$B$40,0)),0)=1)*(COUNTIF(G1658:I1675,$B1678)+COUNTIF(G1658:I1675,$B1678&amp;" ~*")&gt;0)+(IFERROR(INDEX(Setup!$G$33:$G$40,MATCH(K1678,Setup!$B$33:$B$40,0)),0)=1)*(COUNTIF(K1658:M1675,$B1678)+COUNTIF(K1658:M1675,$B1678&amp;" ~*")&gt;0)+(IFERROR(INDEX(Setup!$G$33:$G$40,MATCH(O1678,Setup!$B$33:$B$40,0)),0)=1)*(COUNTIF(O1658:Q1675,$B1678)+COUNTIF(O1658:Q1675,$B1678&amp;" ~*")&gt;0)+(IFERROR(INDEX(Setup!$G$33:$G$40,MATCH(S1678,Setup!$B$33:$B$40,0)),0)=1)*(COUNTIF(S1658:U1675,$B1678)+COUNTIF(S1658:U1675,$B1678&amp;" ~*")&gt;0)+(IFERROR(INDEX(Setup!$G$33:$G$40,MATCH(W1678,Setup!$B$33:$B$40,0)),0)=1)*(COUNTIF(W1658:W1675,$B1678)+COUNTIF(W1658:W1675,$B1678&amp;" ~*")&gt;0)+(IFERROR(INDEX(Setup!$G$33:$G$40,MATCH(Y1678,Setup!$B$33:$B$40,0)),0)=1)*(COUNTIF(Y1658:Y1675,$B1678)+COUNTIF(Y1658:Y1675,$B1678&amp;" ~*")&gt;0))</f>
        <v/>
      </c>
    </row>
    <row r="1679" ht="15" customHeight="1">
      <c r="A1679" t="n">
        <v>34</v>
      </c>
      <c r="B1679" s="35">
        <f>IF(Setup!$B$8="","",Setup!$B$8)</f>
        <v/>
      </c>
      <c r="C1679" s="98" t="n"/>
      <c r="D1679" s="99" t="n"/>
      <c r="E1679" s="99" t="n"/>
      <c r="F1679" s="100" t="n"/>
      <c r="G1679" s="98" t="n"/>
      <c r="H1679" s="99" t="n"/>
      <c r="I1679" s="99" t="n"/>
      <c r="J1679" s="100" t="n"/>
      <c r="K1679" s="98" t="n"/>
      <c r="L1679" s="99" t="n"/>
      <c r="M1679" s="99" t="n"/>
      <c r="N1679" s="100" t="n"/>
      <c r="O1679" s="98" t="n"/>
      <c r="P1679" s="99" t="n"/>
      <c r="Q1679" s="99" t="n"/>
      <c r="R1679" s="100" t="n"/>
      <c r="S1679" s="98" t="n"/>
      <c r="T1679" s="99" t="n"/>
      <c r="U1679" s="99" t="n"/>
      <c r="V1679" s="100" t="n"/>
      <c r="W1679" s="98" t="n"/>
      <c r="X1679" s="100" t="n"/>
      <c r="Y1679" s="98" t="n"/>
      <c r="Z1679" s="100" t="n"/>
      <c r="AB1679" s="101">
        <f>IF($B1679="","",(COUNTIF(C1658:E1675,$B1679)+COUNTIF(C1658:E1675,$B1679&amp;" ~*")&gt;0)+(COUNTIF(G1658:I1675,$B1679)+COUNTIF(G1658:I1675,$B1679&amp;" ~*")&gt;0)+(COUNTIF(K1658:M1675,$B1679)+COUNTIF(K1658:M1675,$B1679&amp;" ~*")&gt;0)+(COUNTIF(O1658:Q1675,$B1679)+COUNTIF(O1658:Q1675,$B1679&amp;" ~*")&gt;0)+(COUNTIF(S1658:U1675,$B1679)+COUNTIF(S1658:U1675,$B1679&amp;" ~*")&gt;0)+(COUNTIF(W1658:W1675,$B1679)+COUNTIF(W1658:W1675,$B1679&amp;" ~*")&gt;0)+(COUNTIF(Y1658:Y1675,$B1679)+COUNTIF(Y1658:Y1675,$B1679&amp;" ~*")&gt;0))</f>
        <v/>
      </c>
      <c r="AC1679" s="36">
        <f>IF($B1679="","",(IFERROR(INDEX(Setup!$G$33:$G$40,MATCH(C1679,Setup!$B$33:$B$40,0)),0)=1)*(COUNTIF(C1658:E1675,$B1679)+COUNTIF(C1658:E1675,$B1679&amp;" ~*")&gt;0)+(IFERROR(INDEX(Setup!$G$33:$G$40,MATCH(G1679,Setup!$B$33:$B$40,0)),0)=1)*(COUNTIF(G1658:I1675,$B1679)+COUNTIF(G1658:I1675,$B1679&amp;" ~*")&gt;0)+(IFERROR(INDEX(Setup!$G$33:$G$40,MATCH(K1679,Setup!$B$33:$B$40,0)),0)=1)*(COUNTIF(K1658:M1675,$B1679)+COUNTIF(K1658:M1675,$B1679&amp;" ~*")&gt;0)+(IFERROR(INDEX(Setup!$G$33:$G$40,MATCH(O1679,Setup!$B$33:$B$40,0)),0)=1)*(COUNTIF(O1658:Q1675,$B1679)+COUNTIF(O1658:Q1675,$B1679&amp;" ~*")&gt;0)+(IFERROR(INDEX(Setup!$G$33:$G$40,MATCH(S1679,Setup!$B$33:$B$40,0)),0)=1)*(COUNTIF(S1658:U1675,$B1679)+COUNTIF(S1658:U1675,$B1679&amp;" ~*")&gt;0)+(IFERROR(INDEX(Setup!$G$33:$G$40,MATCH(W1679,Setup!$B$33:$B$40,0)),0)=1)*(COUNTIF(W1658:W1675,$B1679)+COUNTIF(W1658:W1675,$B1679&amp;" ~*")&gt;0)+(IFERROR(INDEX(Setup!$G$33:$G$40,MATCH(Y1679,Setup!$B$33:$B$40,0)),0)=1)*(COUNTIF(Y1658:Y1675,$B1679)+COUNTIF(Y1658:Y1675,$B1679&amp;" ~*")&gt;0))</f>
        <v/>
      </c>
    </row>
    <row r="1680" ht="15" customHeight="1">
      <c r="A1680" t="n">
        <v>34</v>
      </c>
      <c r="B1680" s="37">
        <f>IF(Setup!$B$9="","",Setup!$B$9)</f>
        <v/>
      </c>
      <c r="C1680" s="102" t="n"/>
      <c r="D1680" s="103" t="n"/>
      <c r="E1680" s="103" t="n"/>
      <c r="F1680" s="104" t="n"/>
      <c r="G1680" s="102" t="n"/>
      <c r="H1680" s="103" t="n"/>
      <c r="I1680" s="103" t="n"/>
      <c r="J1680" s="104" t="n"/>
      <c r="K1680" s="102" t="n"/>
      <c r="L1680" s="103" t="n"/>
      <c r="M1680" s="103" t="n"/>
      <c r="N1680" s="104" t="n"/>
      <c r="O1680" s="102" t="n"/>
      <c r="P1680" s="103" t="n"/>
      <c r="Q1680" s="103" t="n"/>
      <c r="R1680" s="104" t="n"/>
      <c r="S1680" s="102" t="n"/>
      <c r="T1680" s="103" t="n"/>
      <c r="U1680" s="103" t="n"/>
      <c r="V1680" s="104" t="n"/>
      <c r="W1680" s="102" t="n"/>
      <c r="X1680" s="104" t="n"/>
      <c r="Y1680" s="102" t="n"/>
      <c r="Z1680" s="104" t="n"/>
      <c r="AB1680" s="105">
        <f>IF($B1680="","",(COUNTIF(C1658:E1675,$B1680)+COUNTIF(C1658:E1675,$B1680&amp;" ~*")&gt;0)+(COUNTIF(G1658:I1675,$B1680)+COUNTIF(G1658:I1675,$B1680&amp;" ~*")&gt;0)+(COUNTIF(K1658:M1675,$B1680)+COUNTIF(K1658:M1675,$B1680&amp;" ~*")&gt;0)+(COUNTIF(O1658:Q1675,$B1680)+COUNTIF(O1658:Q1675,$B1680&amp;" ~*")&gt;0)+(COUNTIF(S1658:U1675,$B1680)+COUNTIF(S1658:U1675,$B1680&amp;" ~*")&gt;0)+(COUNTIF(W1658:W1675,$B1680)+COUNTIF(W1658:W1675,$B1680&amp;" ~*")&gt;0)+(COUNTIF(Y1658:Y1675,$B1680)+COUNTIF(Y1658:Y1675,$B1680&amp;" ~*")&gt;0))</f>
        <v/>
      </c>
      <c r="AC1680" s="38">
        <f>IF($B1680="","",(IFERROR(INDEX(Setup!$G$33:$G$40,MATCH(C1680,Setup!$B$33:$B$40,0)),0)=1)*(COUNTIF(C1658:E1675,$B1680)+COUNTIF(C1658:E1675,$B1680&amp;" ~*")&gt;0)+(IFERROR(INDEX(Setup!$G$33:$G$40,MATCH(G1680,Setup!$B$33:$B$40,0)),0)=1)*(COUNTIF(G1658:I1675,$B1680)+COUNTIF(G1658:I1675,$B1680&amp;" ~*")&gt;0)+(IFERROR(INDEX(Setup!$G$33:$G$40,MATCH(K1680,Setup!$B$33:$B$40,0)),0)=1)*(COUNTIF(K1658:M1675,$B1680)+COUNTIF(K1658:M1675,$B1680&amp;" ~*")&gt;0)+(IFERROR(INDEX(Setup!$G$33:$G$40,MATCH(O1680,Setup!$B$33:$B$40,0)),0)=1)*(COUNTIF(O1658:Q1675,$B1680)+COUNTIF(O1658:Q1675,$B1680&amp;" ~*")&gt;0)+(IFERROR(INDEX(Setup!$G$33:$G$40,MATCH(S1680,Setup!$B$33:$B$40,0)),0)=1)*(COUNTIF(S1658:U1675,$B1680)+COUNTIF(S1658:U1675,$B1680&amp;" ~*")&gt;0)+(IFERROR(INDEX(Setup!$G$33:$G$40,MATCH(W1680,Setup!$B$33:$B$40,0)),0)=1)*(COUNTIF(W1658:W1675,$B1680)+COUNTIF(W1658:W1675,$B1680&amp;" ~*")&gt;0)+(IFERROR(INDEX(Setup!$G$33:$G$40,MATCH(Y1680,Setup!$B$33:$B$40,0)),0)=1)*(COUNTIF(Y1658:Y1675,$B1680)+COUNTIF(Y1658:Y1675,$B1680&amp;" ~*")&gt;0))</f>
        <v/>
      </c>
    </row>
    <row r="1681" ht="15" customHeight="1">
      <c r="A1681" t="n">
        <v>34</v>
      </c>
      <c r="B1681" s="35">
        <f>IF(Setup!$B$10="","",Setup!$B$10)</f>
        <v/>
      </c>
      <c r="C1681" s="98" t="n"/>
      <c r="D1681" s="99" t="n"/>
      <c r="E1681" s="99" t="n"/>
      <c r="F1681" s="100" t="n"/>
      <c r="G1681" s="98" t="n"/>
      <c r="H1681" s="99" t="n"/>
      <c r="I1681" s="99" t="n"/>
      <c r="J1681" s="100" t="n"/>
      <c r="K1681" s="98" t="n"/>
      <c r="L1681" s="99" t="n"/>
      <c r="M1681" s="99" t="n"/>
      <c r="N1681" s="100" t="n"/>
      <c r="O1681" s="98" t="n"/>
      <c r="P1681" s="99" t="n"/>
      <c r="Q1681" s="99" t="n"/>
      <c r="R1681" s="100" t="n"/>
      <c r="S1681" s="98" t="n"/>
      <c r="T1681" s="99" t="n"/>
      <c r="U1681" s="99" t="n"/>
      <c r="V1681" s="100" t="n"/>
      <c r="W1681" s="98" t="n"/>
      <c r="X1681" s="100" t="n"/>
      <c r="Y1681" s="98" t="n"/>
      <c r="Z1681" s="100" t="n"/>
      <c r="AB1681" s="101">
        <f>IF($B1681="","",(COUNTIF(C1658:E1675,$B1681)+COUNTIF(C1658:E1675,$B1681&amp;" ~*")&gt;0)+(COUNTIF(G1658:I1675,$B1681)+COUNTIF(G1658:I1675,$B1681&amp;" ~*")&gt;0)+(COUNTIF(K1658:M1675,$B1681)+COUNTIF(K1658:M1675,$B1681&amp;" ~*")&gt;0)+(COUNTIF(O1658:Q1675,$B1681)+COUNTIF(O1658:Q1675,$B1681&amp;" ~*")&gt;0)+(COUNTIF(S1658:U1675,$B1681)+COUNTIF(S1658:U1675,$B1681&amp;" ~*")&gt;0)+(COUNTIF(W1658:W1675,$B1681)+COUNTIF(W1658:W1675,$B1681&amp;" ~*")&gt;0)+(COUNTIF(Y1658:Y1675,$B1681)+COUNTIF(Y1658:Y1675,$B1681&amp;" ~*")&gt;0))</f>
        <v/>
      </c>
      <c r="AC1681" s="36">
        <f>IF($B1681="","",(IFERROR(INDEX(Setup!$G$33:$G$40,MATCH(C1681,Setup!$B$33:$B$40,0)),0)=1)*(COUNTIF(C1658:E1675,$B1681)+COUNTIF(C1658:E1675,$B1681&amp;" ~*")&gt;0)+(IFERROR(INDEX(Setup!$G$33:$G$40,MATCH(G1681,Setup!$B$33:$B$40,0)),0)=1)*(COUNTIF(G1658:I1675,$B1681)+COUNTIF(G1658:I1675,$B1681&amp;" ~*")&gt;0)+(IFERROR(INDEX(Setup!$G$33:$G$40,MATCH(K1681,Setup!$B$33:$B$40,0)),0)=1)*(COUNTIF(K1658:M1675,$B1681)+COUNTIF(K1658:M1675,$B1681&amp;" ~*")&gt;0)+(IFERROR(INDEX(Setup!$G$33:$G$40,MATCH(O1681,Setup!$B$33:$B$40,0)),0)=1)*(COUNTIF(O1658:Q1675,$B1681)+COUNTIF(O1658:Q1675,$B1681&amp;" ~*")&gt;0)+(IFERROR(INDEX(Setup!$G$33:$G$40,MATCH(S1681,Setup!$B$33:$B$40,0)),0)=1)*(COUNTIF(S1658:U1675,$B1681)+COUNTIF(S1658:U1675,$B1681&amp;" ~*")&gt;0)+(IFERROR(INDEX(Setup!$G$33:$G$40,MATCH(W1681,Setup!$B$33:$B$40,0)),0)=1)*(COUNTIF(W1658:W1675,$B1681)+COUNTIF(W1658:W1675,$B1681&amp;" ~*")&gt;0)+(IFERROR(INDEX(Setup!$G$33:$G$40,MATCH(Y1681,Setup!$B$33:$B$40,0)),0)=1)*(COUNTIF(Y1658:Y1675,$B1681)+COUNTIF(Y1658:Y1675,$B1681&amp;" ~*")&gt;0))</f>
        <v/>
      </c>
    </row>
    <row r="1682" ht="15" customHeight="1">
      <c r="A1682" t="n">
        <v>34</v>
      </c>
      <c r="B1682" s="37">
        <f>IF(Setup!$B$11="","",Setup!$B$11)</f>
        <v/>
      </c>
      <c r="C1682" s="102" t="n"/>
      <c r="D1682" s="103" t="n"/>
      <c r="E1682" s="103" t="n"/>
      <c r="F1682" s="104" t="n"/>
      <c r="G1682" s="102" t="n"/>
      <c r="H1682" s="103" t="n"/>
      <c r="I1682" s="103" t="n"/>
      <c r="J1682" s="104" t="n"/>
      <c r="K1682" s="102" t="n"/>
      <c r="L1682" s="103" t="n"/>
      <c r="M1682" s="103" t="n"/>
      <c r="N1682" s="104" t="n"/>
      <c r="O1682" s="102" t="n"/>
      <c r="P1682" s="103" t="n"/>
      <c r="Q1682" s="103" t="n"/>
      <c r="R1682" s="104" t="n"/>
      <c r="S1682" s="102" t="n"/>
      <c r="T1682" s="103" t="n"/>
      <c r="U1682" s="103" t="n"/>
      <c r="V1682" s="104" t="n"/>
      <c r="W1682" s="102" t="n"/>
      <c r="X1682" s="104" t="n"/>
      <c r="Y1682" s="102" t="n"/>
      <c r="Z1682" s="104" t="n"/>
      <c r="AB1682" s="105">
        <f>IF($B1682="","",(COUNTIF(C1658:E1675,$B1682)+COUNTIF(C1658:E1675,$B1682&amp;" ~*")&gt;0)+(COUNTIF(G1658:I1675,$B1682)+COUNTIF(G1658:I1675,$B1682&amp;" ~*")&gt;0)+(COUNTIF(K1658:M1675,$B1682)+COUNTIF(K1658:M1675,$B1682&amp;" ~*")&gt;0)+(COUNTIF(O1658:Q1675,$B1682)+COUNTIF(O1658:Q1675,$B1682&amp;" ~*")&gt;0)+(COUNTIF(S1658:U1675,$B1682)+COUNTIF(S1658:U1675,$B1682&amp;" ~*")&gt;0)+(COUNTIF(W1658:W1675,$B1682)+COUNTIF(W1658:W1675,$B1682&amp;" ~*")&gt;0)+(COUNTIF(Y1658:Y1675,$B1682)+COUNTIF(Y1658:Y1675,$B1682&amp;" ~*")&gt;0))</f>
        <v/>
      </c>
      <c r="AC1682" s="38">
        <f>IF($B1682="","",(IFERROR(INDEX(Setup!$G$33:$G$40,MATCH(C1682,Setup!$B$33:$B$40,0)),0)=1)*(COUNTIF(C1658:E1675,$B1682)+COUNTIF(C1658:E1675,$B1682&amp;" ~*")&gt;0)+(IFERROR(INDEX(Setup!$G$33:$G$40,MATCH(G1682,Setup!$B$33:$B$40,0)),0)=1)*(COUNTIF(G1658:I1675,$B1682)+COUNTIF(G1658:I1675,$B1682&amp;" ~*")&gt;0)+(IFERROR(INDEX(Setup!$G$33:$G$40,MATCH(K1682,Setup!$B$33:$B$40,0)),0)=1)*(COUNTIF(K1658:M1675,$B1682)+COUNTIF(K1658:M1675,$B1682&amp;" ~*")&gt;0)+(IFERROR(INDEX(Setup!$G$33:$G$40,MATCH(O1682,Setup!$B$33:$B$40,0)),0)=1)*(COUNTIF(O1658:Q1675,$B1682)+COUNTIF(O1658:Q1675,$B1682&amp;" ~*")&gt;0)+(IFERROR(INDEX(Setup!$G$33:$G$40,MATCH(S1682,Setup!$B$33:$B$40,0)),0)=1)*(COUNTIF(S1658:U1675,$B1682)+COUNTIF(S1658:U1675,$B1682&amp;" ~*")&gt;0)+(IFERROR(INDEX(Setup!$G$33:$G$40,MATCH(W1682,Setup!$B$33:$B$40,0)),0)=1)*(COUNTIF(W1658:W1675,$B1682)+COUNTIF(W1658:W1675,$B1682&amp;" ~*")&gt;0)+(IFERROR(INDEX(Setup!$G$33:$G$40,MATCH(Y1682,Setup!$B$33:$B$40,0)),0)=1)*(COUNTIF(Y1658:Y1675,$B1682)+COUNTIF(Y1658:Y1675,$B1682&amp;" ~*")&gt;0))</f>
        <v/>
      </c>
    </row>
    <row r="1683" ht="15" customHeight="1">
      <c r="A1683" t="n">
        <v>34</v>
      </c>
      <c r="B1683" s="35">
        <f>IF(Setup!$B$12="","",Setup!$B$12)</f>
        <v/>
      </c>
      <c r="C1683" s="98" t="n"/>
      <c r="D1683" s="99" t="n"/>
      <c r="E1683" s="99" t="n"/>
      <c r="F1683" s="100" t="n"/>
      <c r="G1683" s="98" t="n"/>
      <c r="H1683" s="99" t="n"/>
      <c r="I1683" s="99" t="n"/>
      <c r="J1683" s="100" t="n"/>
      <c r="K1683" s="98" t="n"/>
      <c r="L1683" s="99" t="n"/>
      <c r="M1683" s="99" t="n"/>
      <c r="N1683" s="100" t="n"/>
      <c r="O1683" s="98" t="n"/>
      <c r="P1683" s="99" t="n"/>
      <c r="Q1683" s="99" t="n"/>
      <c r="R1683" s="100" t="n"/>
      <c r="S1683" s="98" t="n"/>
      <c r="T1683" s="99" t="n"/>
      <c r="U1683" s="99" t="n"/>
      <c r="V1683" s="100" t="n"/>
      <c r="W1683" s="98" t="n"/>
      <c r="X1683" s="100" t="n"/>
      <c r="Y1683" s="98" t="n"/>
      <c r="Z1683" s="100" t="n"/>
      <c r="AB1683" s="101">
        <f>IF($B1683="","",(COUNTIF(C1658:E1675,$B1683)+COUNTIF(C1658:E1675,$B1683&amp;" ~*")&gt;0)+(COUNTIF(G1658:I1675,$B1683)+COUNTIF(G1658:I1675,$B1683&amp;" ~*")&gt;0)+(COUNTIF(K1658:M1675,$B1683)+COUNTIF(K1658:M1675,$B1683&amp;" ~*")&gt;0)+(COUNTIF(O1658:Q1675,$B1683)+COUNTIF(O1658:Q1675,$B1683&amp;" ~*")&gt;0)+(COUNTIF(S1658:U1675,$B1683)+COUNTIF(S1658:U1675,$B1683&amp;" ~*")&gt;0)+(COUNTIF(W1658:W1675,$B1683)+COUNTIF(W1658:W1675,$B1683&amp;" ~*")&gt;0)+(COUNTIF(Y1658:Y1675,$B1683)+COUNTIF(Y1658:Y1675,$B1683&amp;" ~*")&gt;0))</f>
        <v/>
      </c>
      <c r="AC1683" s="36">
        <f>IF($B1683="","",(IFERROR(INDEX(Setup!$G$33:$G$40,MATCH(C1683,Setup!$B$33:$B$40,0)),0)=1)*(COUNTIF(C1658:E1675,$B1683)+COUNTIF(C1658:E1675,$B1683&amp;" ~*")&gt;0)+(IFERROR(INDEX(Setup!$G$33:$G$40,MATCH(G1683,Setup!$B$33:$B$40,0)),0)=1)*(COUNTIF(G1658:I1675,$B1683)+COUNTIF(G1658:I1675,$B1683&amp;" ~*")&gt;0)+(IFERROR(INDEX(Setup!$G$33:$G$40,MATCH(K1683,Setup!$B$33:$B$40,0)),0)=1)*(COUNTIF(K1658:M1675,$B1683)+COUNTIF(K1658:M1675,$B1683&amp;" ~*")&gt;0)+(IFERROR(INDEX(Setup!$G$33:$G$40,MATCH(O1683,Setup!$B$33:$B$40,0)),0)=1)*(COUNTIF(O1658:Q1675,$B1683)+COUNTIF(O1658:Q1675,$B1683&amp;" ~*")&gt;0)+(IFERROR(INDEX(Setup!$G$33:$G$40,MATCH(S1683,Setup!$B$33:$B$40,0)),0)=1)*(COUNTIF(S1658:U1675,$B1683)+COUNTIF(S1658:U1675,$B1683&amp;" ~*")&gt;0)+(IFERROR(INDEX(Setup!$G$33:$G$40,MATCH(W1683,Setup!$B$33:$B$40,0)),0)=1)*(COUNTIF(W1658:W1675,$B1683)+COUNTIF(W1658:W1675,$B1683&amp;" ~*")&gt;0)+(IFERROR(INDEX(Setup!$G$33:$G$40,MATCH(Y1683,Setup!$B$33:$B$40,0)),0)=1)*(COUNTIF(Y1658:Y1675,$B1683)+COUNTIF(Y1658:Y1675,$B1683&amp;" ~*")&gt;0))</f>
        <v/>
      </c>
    </row>
    <row r="1684" ht="15" customHeight="1">
      <c r="A1684" t="n">
        <v>34</v>
      </c>
      <c r="B1684" s="37">
        <f>IF(Setup!$B$13="","",Setup!$B$13)</f>
        <v/>
      </c>
      <c r="C1684" s="102" t="n"/>
      <c r="D1684" s="103" t="n"/>
      <c r="E1684" s="103" t="n"/>
      <c r="F1684" s="104" t="n"/>
      <c r="G1684" s="102" t="n"/>
      <c r="H1684" s="103" t="n"/>
      <c r="I1684" s="103" t="n"/>
      <c r="J1684" s="104" t="n"/>
      <c r="K1684" s="102" t="n"/>
      <c r="L1684" s="103" t="n"/>
      <c r="M1684" s="103" t="n"/>
      <c r="N1684" s="104" t="n"/>
      <c r="O1684" s="102" t="n"/>
      <c r="P1684" s="103" t="n"/>
      <c r="Q1684" s="103" t="n"/>
      <c r="R1684" s="104" t="n"/>
      <c r="S1684" s="102" t="n"/>
      <c r="T1684" s="103" t="n"/>
      <c r="U1684" s="103" t="n"/>
      <c r="V1684" s="104" t="n"/>
      <c r="W1684" s="102" t="n"/>
      <c r="X1684" s="104" t="n"/>
      <c r="Y1684" s="102" t="n"/>
      <c r="Z1684" s="104" t="n"/>
      <c r="AB1684" s="105">
        <f>IF($B1684="","",(COUNTIF(C1658:E1675,$B1684)+COUNTIF(C1658:E1675,$B1684&amp;" ~*")&gt;0)+(COUNTIF(G1658:I1675,$B1684)+COUNTIF(G1658:I1675,$B1684&amp;" ~*")&gt;0)+(COUNTIF(K1658:M1675,$B1684)+COUNTIF(K1658:M1675,$B1684&amp;" ~*")&gt;0)+(COUNTIF(O1658:Q1675,$B1684)+COUNTIF(O1658:Q1675,$B1684&amp;" ~*")&gt;0)+(COUNTIF(S1658:U1675,$B1684)+COUNTIF(S1658:U1675,$B1684&amp;" ~*")&gt;0)+(COUNTIF(W1658:W1675,$B1684)+COUNTIF(W1658:W1675,$B1684&amp;" ~*")&gt;0)+(COUNTIF(Y1658:Y1675,$B1684)+COUNTIF(Y1658:Y1675,$B1684&amp;" ~*")&gt;0))</f>
        <v/>
      </c>
      <c r="AC1684" s="38">
        <f>IF($B1684="","",(IFERROR(INDEX(Setup!$G$33:$G$40,MATCH(C1684,Setup!$B$33:$B$40,0)),0)=1)*(COUNTIF(C1658:E1675,$B1684)+COUNTIF(C1658:E1675,$B1684&amp;" ~*")&gt;0)+(IFERROR(INDEX(Setup!$G$33:$G$40,MATCH(G1684,Setup!$B$33:$B$40,0)),0)=1)*(COUNTIF(G1658:I1675,$B1684)+COUNTIF(G1658:I1675,$B1684&amp;" ~*")&gt;0)+(IFERROR(INDEX(Setup!$G$33:$G$40,MATCH(K1684,Setup!$B$33:$B$40,0)),0)=1)*(COUNTIF(K1658:M1675,$B1684)+COUNTIF(K1658:M1675,$B1684&amp;" ~*")&gt;0)+(IFERROR(INDEX(Setup!$G$33:$G$40,MATCH(O1684,Setup!$B$33:$B$40,0)),0)=1)*(COUNTIF(O1658:Q1675,$B1684)+COUNTIF(O1658:Q1675,$B1684&amp;" ~*")&gt;0)+(IFERROR(INDEX(Setup!$G$33:$G$40,MATCH(S1684,Setup!$B$33:$B$40,0)),0)=1)*(COUNTIF(S1658:U1675,$B1684)+COUNTIF(S1658:U1675,$B1684&amp;" ~*")&gt;0)+(IFERROR(INDEX(Setup!$G$33:$G$40,MATCH(W1684,Setup!$B$33:$B$40,0)),0)=1)*(COUNTIF(W1658:W1675,$B1684)+COUNTIF(W1658:W1675,$B1684&amp;" ~*")&gt;0)+(IFERROR(INDEX(Setup!$G$33:$G$40,MATCH(Y1684,Setup!$B$33:$B$40,0)),0)=1)*(COUNTIF(Y1658:Y1675,$B1684)+COUNTIF(Y1658:Y1675,$B1684&amp;" ~*")&gt;0))</f>
        <v/>
      </c>
    </row>
    <row r="1685" ht="15" customHeight="1">
      <c r="A1685" t="n">
        <v>34</v>
      </c>
      <c r="B1685" s="35">
        <f>IF(Setup!$B$14="","",Setup!$B$14)</f>
        <v/>
      </c>
      <c r="C1685" s="98" t="n"/>
      <c r="D1685" s="99" t="n"/>
      <c r="E1685" s="99" t="n"/>
      <c r="F1685" s="100" t="n"/>
      <c r="G1685" s="98" t="n"/>
      <c r="H1685" s="99" t="n"/>
      <c r="I1685" s="99" t="n"/>
      <c r="J1685" s="100" t="n"/>
      <c r="K1685" s="98" t="n"/>
      <c r="L1685" s="99" t="n"/>
      <c r="M1685" s="99" t="n"/>
      <c r="N1685" s="100" t="n"/>
      <c r="O1685" s="98" t="n"/>
      <c r="P1685" s="99" t="n"/>
      <c r="Q1685" s="99" t="n"/>
      <c r="R1685" s="100" t="n"/>
      <c r="S1685" s="98" t="n"/>
      <c r="T1685" s="99" t="n"/>
      <c r="U1685" s="99" t="n"/>
      <c r="V1685" s="100" t="n"/>
      <c r="W1685" s="98" t="n"/>
      <c r="X1685" s="100" t="n"/>
      <c r="Y1685" s="98" t="n"/>
      <c r="Z1685" s="100" t="n"/>
      <c r="AB1685" s="101">
        <f>IF($B1685="","",(COUNTIF(C1658:E1675,$B1685)+COUNTIF(C1658:E1675,$B1685&amp;" ~*")&gt;0)+(COUNTIF(G1658:I1675,$B1685)+COUNTIF(G1658:I1675,$B1685&amp;" ~*")&gt;0)+(COUNTIF(K1658:M1675,$B1685)+COUNTIF(K1658:M1675,$B1685&amp;" ~*")&gt;0)+(COUNTIF(O1658:Q1675,$B1685)+COUNTIF(O1658:Q1675,$B1685&amp;" ~*")&gt;0)+(COUNTIF(S1658:U1675,$B1685)+COUNTIF(S1658:U1675,$B1685&amp;" ~*")&gt;0)+(COUNTIF(W1658:W1675,$B1685)+COUNTIF(W1658:W1675,$B1685&amp;" ~*")&gt;0)+(COUNTIF(Y1658:Y1675,$B1685)+COUNTIF(Y1658:Y1675,$B1685&amp;" ~*")&gt;0))</f>
        <v/>
      </c>
      <c r="AC1685" s="36">
        <f>IF($B1685="","",(IFERROR(INDEX(Setup!$G$33:$G$40,MATCH(C1685,Setup!$B$33:$B$40,0)),0)=1)*(COUNTIF(C1658:E1675,$B1685)+COUNTIF(C1658:E1675,$B1685&amp;" ~*")&gt;0)+(IFERROR(INDEX(Setup!$G$33:$G$40,MATCH(G1685,Setup!$B$33:$B$40,0)),0)=1)*(COUNTIF(G1658:I1675,$B1685)+COUNTIF(G1658:I1675,$B1685&amp;" ~*")&gt;0)+(IFERROR(INDEX(Setup!$G$33:$G$40,MATCH(K1685,Setup!$B$33:$B$40,0)),0)=1)*(COUNTIF(K1658:M1675,$B1685)+COUNTIF(K1658:M1675,$B1685&amp;" ~*")&gt;0)+(IFERROR(INDEX(Setup!$G$33:$G$40,MATCH(O1685,Setup!$B$33:$B$40,0)),0)=1)*(COUNTIF(O1658:Q1675,$B1685)+COUNTIF(O1658:Q1675,$B1685&amp;" ~*")&gt;0)+(IFERROR(INDEX(Setup!$G$33:$G$40,MATCH(S1685,Setup!$B$33:$B$40,0)),0)=1)*(COUNTIF(S1658:U1675,$B1685)+COUNTIF(S1658:U1675,$B1685&amp;" ~*")&gt;0)+(IFERROR(INDEX(Setup!$G$33:$G$40,MATCH(W1685,Setup!$B$33:$B$40,0)),0)=1)*(COUNTIF(W1658:W1675,$B1685)+COUNTIF(W1658:W1675,$B1685&amp;" ~*")&gt;0)+(IFERROR(INDEX(Setup!$G$33:$G$40,MATCH(Y1685,Setup!$B$33:$B$40,0)),0)=1)*(COUNTIF(Y1658:Y1675,$B1685)+COUNTIF(Y1658:Y1675,$B1685&amp;" ~*")&gt;0))</f>
        <v/>
      </c>
    </row>
    <row r="1686" ht="15" customHeight="1">
      <c r="A1686" t="n">
        <v>34</v>
      </c>
      <c r="B1686" s="37">
        <f>IF(Setup!$B$15="","",Setup!$B$15)</f>
        <v/>
      </c>
      <c r="C1686" s="102" t="n"/>
      <c r="D1686" s="103" t="n"/>
      <c r="E1686" s="103" t="n"/>
      <c r="F1686" s="104" t="n"/>
      <c r="G1686" s="102" t="n"/>
      <c r="H1686" s="103" t="n"/>
      <c r="I1686" s="103" t="n"/>
      <c r="J1686" s="104" t="n"/>
      <c r="K1686" s="102" t="n"/>
      <c r="L1686" s="103" t="n"/>
      <c r="M1686" s="103" t="n"/>
      <c r="N1686" s="104" t="n"/>
      <c r="O1686" s="102" t="n"/>
      <c r="P1686" s="103" t="n"/>
      <c r="Q1686" s="103" t="n"/>
      <c r="R1686" s="104" t="n"/>
      <c r="S1686" s="102" t="n"/>
      <c r="T1686" s="103" t="n"/>
      <c r="U1686" s="103" t="n"/>
      <c r="V1686" s="104" t="n"/>
      <c r="W1686" s="102" t="n"/>
      <c r="X1686" s="104" t="n"/>
      <c r="Y1686" s="102" t="n"/>
      <c r="Z1686" s="104" t="n"/>
      <c r="AB1686" s="105">
        <f>IF($B1686="","",(COUNTIF(C1658:E1675,$B1686)+COUNTIF(C1658:E1675,$B1686&amp;" ~*")&gt;0)+(COUNTIF(G1658:I1675,$B1686)+COUNTIF(G1658:I1675,$B1686&amp;" ~*")&gt;0)+(COUNTIF(K1658:M1675,$B1686)+COUNTIF(K1658:M1675,$B1686&amp;" ~*")&gt;0)+(COUNTIF(O1658:Q1675,$B1686)+COUNTIF(O1658:Q1675,$B1686&amp;" ~*")&gt;0)+(COUNTIF(S1658:U1675,$B1686)+COUNTIF(S1658:U1675,$B1686&amp;" ~*")&gt;0)+(COUNTIF(W1658:W1675,$B1686)+COUNTIF(W1658:W1675,$B1686&amp;" ~*")&gt;0)+(COUNTIF(Y1658:Y1675,$B1686)+COUNTIF(Y1658:Y1675,$B1686&amp;" ~*")&gt;0))</f>
        <v/>
      </c>
      <c r="AC1686" s="38">
        <f>IF($B1686="","",(IFERROR(INDEX(Setup!$G$33:$G$40,MATCH(C1686,Setup!$B$33:$B$40,0)),0)=1)*(COUNTIF(C1658:E1675,$B1686)+COUNTIF(C1658:E1675,$B1686&amp;" ~*")&gt;0)+(IFERROR(INDEX(Setup!$G$33:$G$40,MATCH(G1686,Setup!$B$33:$B$40,0)),0)=1)*(COUNTIF(G1658:I1675,$B1686)+COUNTIF(G1658:I1675,$B1686&amp;" ~*")&gt;0)+(IFERROR(INDEX(Setup!$G$33:$G$40,MATCH(K1686,Setup!$B$33:$B$40,0)),0)=1)*(COUNTIF(K1658:M1675,$B1686)+COUNTIF(K1658:M1675,$B1686&amp;" ~*")&gt;0)+(IFERROR(INDEX(Setup!$G$33:$G$40,MATCH(O1686,Setup!$B$33:$B$40,0)),0)=1)*(COUNTIF(O1658:Q1675,$B1686)+COUNTIF(O1658:Q1675,$B1686&amp;" ~*")&gt;0)+(IFERROR(INDEX(Setup!$G$33:$G$40,MATCH(S1686,Setup!$B$33:$B$40,0)),0)=1)*(COUNTIF(S1658:U1675,$B1686)+COUNTIF(S1658:U1675,$B1686&amp;" ~*")&gt;0)+(IFERROR(INDEX(Setup!$G$33:$G$40,MATCH(W1686,Setup!$B$33:$B$40,0)),0)=1)*(COUNTIF(W1658:W1675,$B1686)+COUNTIF(W1658:W1675,$B1686&amp;" ~*")&gt;0)+(IFERROR(INDEX(Setup!$G$33:$G$40,MATCH(Y1686,Setup!$B$33:$B$40,0)),0)=1)*(COUNTIF(Y1658:Y1675,$B1686)+COUNTIF(Y1658:Y1675,$B1686&amp;" ~*")&gt;0))</f>
        <v/>
      </c>
    </row>
    <row r="1687" ht="15" customHeight="1">
      <c r="A1687" t="n">
        <v>34</v>
      </c>
      <c r="B1687" s="35">
        <f>IF(Setup!$B$16="","",Setup!$B$16)</f>
        <v/>
      </c>
      <c r="C1687" s="98" t="n"/>
      <c r="D1687" s="99" t="n"/>
      <c r="E1687" s="99" t="n"/>
      <c r="F1687" s="100" t="n"/>
      <c r="G1687" s="98" t="n"/>
      <c r="H1687" s="99" t="n"/>
      <c r="I1687" s="99" t="n"/>
      <c r="J1687" s="100" t="n"/>
      <c r="K1687" s="98" t="n"/>
      <c r="L1687" s="99" t="n"/>
      <c r="M1687" s="99" t="n"/>
      <c r="N1687" s="100" t="n"/>
      <c r="O1687" s="98" t="n"/>
      <c r="P1687" s="99" t="n"/>
      <c r="Q1687" s="99" t="n"/>
      <c r="R1687" s="100" t="n"/>
      <c r="S1687" s="98" t="n"/>
      <c r="T1687" s="99" t="n"/>
      <c r="U1687" s="99" t="n"/>
      <c r="V1687" s="100" t="n"/>
      <c r="W1687" s="98" t="n"/>
      <c r="X1687" s="100" t="n"/>
      <c r="Y1687" s="98" t="n"/>
      <c r="Z1687" s="100" t="n"/>
      <c r="AB1687" s="101">
        <f>IF($B1687="","",(COUNTIF(C1658:E1675,$B1687)+COUNTIF(C1658:E1675,$B1687&amp;" ~*")&gt;0)+(COUNTIF(G1658:I1675,$B1687)+COUNTIF(G1658:I1675,$B1687&amp;" ~*")&gt;0)+(COUNTIF(K1658:M1675,$B1687)+COUNTIF(K1658:M1675,$B1687&amp;" ~*")&gt;0)+(COUNTIF(O1658:Q1675,$B1687)+COUNTIF(O1658:Q1675,$B1687&amp;" ~*")&gt;0)+(COUNTIF(S1658:U1675,$B1687)+COUNTIF(S1658:U1675,$B1687&amp;" ~*")&gt;0)+(COUNTIF(W1658:W1675,$B1687)+COUNTIF(W1658:W1675,$B1687&amp;" ~*")&gt;0)+(COUNTIF(Y1658:Y1675,$B1687)+COUNTIF(Y1658:Y1675,$B1687&amp;" ~*")&gt;0))</f>
        <v/>
      </c>
      <c r="AC1687" s="36">
        <f>IF($B1687="","",(IFERROR(INDEX(Setup!$G$33:$G$40,MATCH(C1687,Setup!$B$33:$B$40,0)),0)=1)*(COUNTIF(C1658:E1675,$B1687)+COUNTIF(C1658:E1675,$B1687&amp;" ~*")&gt;0)+(IFERROR(INDEX(Setup!$G$33:$G$40,MATCH(G1687,Setup!$B$33:$B$40,0)),0)=1)*(COUNTIF(G1658:I1675,$B1687)+COUNTIF(G1658:I1675,$B1687&amp;" ~*")&gt;0)+(IFERROR(INDEX(Setup!$G$33:$G$40,MATCH(K1687,Setup!$B$33:$B$40,0)),0)=1)*(COUNTIF(K1658:M1675,$B1687)+COUNTIF(K1658:M1675,$B1687&amp;" ~*")&gt;0)+(IFERROR(INDEX(Setup!$G$33:$G$40,MATCH(O1687,Setup!$B$33:$B$40,0)),0)=1)*(COUNTIF(O1658:Q1675,$B1687)+COUNTIF(O1658:Q1675,$B1687&amp;" ~*")&gt;0)+(IFERROR(INDEX(Setup!$G$33:$G$40,MATCH(S1687,Setup!$B$33:$B$40,0)),0)=1)*(COUNTIF(S1658:U1675,$B1687)+COUNTIF(S1658:U1675,$B1687&amp;" ~*")&gt;0)+(IFERROR(INDEX(Setup!$G$33:$G$40,MATCH(W1687,Setup!$B$33:$B$40,0)),0)=1)*(COUNTIF(W1658:W1675,$B1687)+COUNTIF(W1658:W1675,$B1687&amp;" ~*")&gt;0)+(IFERROR(INDEX(Setup!$G$33:$G$40,MATCH(Y1687,Setup!$B$33:$B$40,0)),0)=1)*(COUNTIF(Y1658:Y1675,$B1687)+COUNTIF(Y1658:Y1675,$B1687&amp;" ~*")&gt;0))</f>
        <v/>
      </c>
    </row>
    <row r="1688" ht="15" customHeight="1">
      <c r="A1688" t="n">
        <v>34</v>
      </c>
      <c r="B1688" s="37">
        <f>IF(Setup!$B$17="","",Setup!$B$17)</f>
        <v/>
      </c>
      <c r="C1688" s="102" t="n"/>
      <c r="D1688" s="103" t="n"/>
      <c r="E1688" s="103" t="n"/>
      <c r="F1688" s="104" t="n"/>
      <c r="G1688" s="102" t="n"/>
      <c r="H1688" s="103" t="n"/>
      <c r="I1688" s="103" t="n"/>
      <c r="J1688" s="104" t="n"/>
      <c r="K1688" s="102" t="n"/>
      <c r="L1688" s="103" t="n"/>
      <c r="M1688" s="103" t="n"/>
      <c r="N1688" s="104" t="n"/>
      <c r="O1688" s="102" t="n"/>
      <c r="P1688" s="103" t="n"/>
      <c r="Q1688" s="103" t="n"/>
      <c r="R1688" s="104" t="n"/>
      <c r="S1688" s="102" t="n"/>
      <c r="T1688" s="103" t="n"/>
      <c r="U1688" s="103" t="n"/>
      <c r="V1688" s="104" t="n"/>
      <c r="W1688" s="102" t="n"/>
      <c r="X1688" s="104" t="n"/>
      <c r="Y1688" s="102" t="n"/>
      <c r="Z1688" s="104" t="n"/>
      <c r="AB1688" s="105">
        <f>IF($B1688="","",(COUNTIF(C1658:E1675,$B1688)+COUNTIF(C1658:E1675,$B1688&amp;" ~*")&gt;0)+(COUNTIF(G1658:I1675,$B1688)+COUNTIF(G1658:I1675,$B1688&amp;" ~*")&gt;0)+(COUNTIF(K1658:M1675,$B1688)+COUNTIF(K1658:M1675,$B1688&amp;" ~*")&gt;0)+(COUNTIF(O1658:Q1675,$B1688)+COUNTIF(O1658:Q1675,$B1688&amp;" ~*")&gt;0)+(COUNTIF(S1658:U1675,$B1688)+COUNTIF(S1658:U1675,$B1688&amp;" ~*")&gt;0)+(COUNTIF(W1658:W1675,$B1688)+COUNTIF(W1658:W1675,$B1688&amp;" ~*")&gt;0)+(COUNTIF(Y1658:Y1675,$B1688)+COUNTIF(Y1658:Y1675,$B1688&amp;" ~*")&gt;0))</f>
        <v/>
      </c>
      <c r="AC1688" s="38">
        <f>IF($B1688="","",(IFERROR(INDEX(Setup!$G$33:$G$40,MATCH(C1688,Setup!$B$33:$B$40,0)),0)=1)*(COUNTIF(C1658:E1675,$B1688)+COUNTIF(C1658:E1675,$B1688&amp;" ~*")&gt;0)+(IFERROR(INDEX(Setup!$G$33:$G$40,MATCH(G1688,Setup!$B$33:$B$40,0)),0)=1)*(COUNTIF(G1658:I1675,$B1688)+COUNTIF(G1658:I1675,$B1688&amp;" ~*")&gt;0)+(IFERROR(INDEX(Setup!$G$33:$G$40,MATCH(K1688,Setup!$B$33:$B$40,0)),0)=1)*(COUNTIF(K1658:M1675,$B1688)+COUNTIF(K1658:M1675,$B1688&amp;" ~*")&gt;0)+(IFERROR(INDEX(Setup!$G$33:$G$40,MATCH(O1688,Setup!$B$33:$B$40,0)),0)=1)*(COUNTIF(O1658:Q1675,$B1688)+COUNTIF(O1658:Q1675,$B1688&amp;" ~*")&gt;0)+(IFERROR(INDEX(Setup!$G$33:$G$40,MATCH(S1688,Setup!$B$33:$B$40,0)),0)=1)*(COUNTIF(S1658:U1675,$B1688)+COUNTIF(S1658:U1675,$B1688&amp;" ~*")&gt;0)+(IFERROR(INDEX(Setup!$G$33:$G$40,MATCH(W1688,Setup!$B$33:$B$40,0)),0)=1)*(COUNTIF(W1658:W1675,$B1688)+COUNTIF(W1658:W1675,$B1688&amp;" ~*")&gt;0)+(IFERROR(INDEX(Setup!$G$33:$G$40,MATCH(Y1688,Setup!$B$33:$B$40,0)),0)=1)*(COUNTIF(Y1658:Y1675,$B1688)+COUNTIF(Y1658:Y1675,$B1688&amp;" ~*")&gt;0))</f>
        <v/>
      </c>
    </row>
    <row r="1689" ht="15" customHeight="1">
      <c r="A1689" t="n">
        <v>34</v>
      </c>
      <c r="B1689" s="35">
        <f>IF(Setup!$B$18="","",Setup!$B$18)</f>
        <v/>
      </c>
      <c r="C1689" s="98" t="n"/>
      <c r="D1689" s="99" t="n"/>
      <c r="E1689" s="99" t="n"/>
      <c r="F1689" s="100" t="n"/>
      <c r="G1689" s="98" t="n"/>
      <c r="H1689" s="99" t="n"/>
      <c r="I1689" s="99" t="n"/>
      <c r="J1689" s="100" t="n"/>
      <c r="K1689" s="98" t="n"/>
      <c r="L1689" s="99" t="n"/>
      <c r="M1689" s="99" t="n"/>
      <c r="N1689" s="100" t="n"/>
      <c r="O1689" s="98" t="n"/>
      <c r="P1689" s="99" t="n"/>
      <c r="Q1689" s="99" t="n"/>
      <c r="R1689" s="100" t="n"/>
      <c r="S1689" s="98" t="n"/>
      <c r="T1689" s="99" t="n"/>
      <c r="U1689" s="99" t="n"/>
      <c r="V1689" s="100" t="n"/>
      <c r="W1689" s="98" t="n"/>
      <c r="X1689" s="100" t="n"/>
      <c r="Y1689" s="98" t="n"/>
      <c r="Z1689" s="100" t="n"/>
      <c r="AB1689" s="101">
        <f>IF($B1689="","",(COUNTIF(C1658:E1675,$B1689)+COUNTIF(C1658:E1675,$B1689&amp;" ~*")&gt;0)+(COUNTIF(G1658:I1675,$B1689)+COUNTIF(G1658:I1675,$B1689&amp;" ~*")&gt;0)+(COUNTIF(K1658:M1675,$B1689)+COUNTIF(K1658:M1675,$B1689&amp;" ~*")&gt;0)+(COUNTIF(O1658:Q1675,$B1689)+COUNTIF(O1658:Q1675,$B1689&amp;" ~*")&gt;0)+(COUNTIF(S1658:U1675,$B1689)+COUNTIF(S1658:U1675,$B1689&amp;" ~*")&gt;0)+(COUNTIF(W1658:W1675,$B1689)+COUNTIF(W1658:W1675,$B1689&amp;" ~*")&gt;0)+(COUNTIF(Y1658:Y1675,$B1689)+COUNTIF(Y1658:Y1675,$B1689&amp;" ~*")&gt;0))</f>
        <v/>
      </c>
      <c r="AC1689" s="36">
        <f>IF($B1689="","",(IFERROR(INDEX(Setup!$G$33:$G$40,MATCH(C1689,Setup!$B$33:$B$40,0)),0)=1)*(COUNTIF(C1658:E1675,$B1689)+COUNTIF(C1658:E1675,$B1689&amp;" ~*")&gt;0)+(IFERROR(INDEX(Setup!$G$33:$G$40,MATCH(G1689,Setup!$B$33:$B$40,0)),0)=1)*(COUNTIF(G1658:I1675,$B1689)+COUNTIF(G1658:I1675,$B1689&amp;" ~*")&gt;0)+(IFERROR(INDEX(Setup!$G$33:$G$40,MATCH(K1689,Setup!$B$33:$B$40,0)),0)=1)*(COUNTIF(K1658:M1675,$B1689)+COUNTIF(K1658:M1675,$B1689&amp;" ~*")&gt;0)+(IFERROR(INDEX(Setup!$G$33:$G$40,MATCH(O1689,Setup!$B$33:$B$40,0)),0)=1)*(COUNTIF(O1658:Q1675,$B1689)+COUNTIF(O1658:Q1675,$B1689&amp;" ~*")&gt;0)+(IFERROR(INDEX(Setup!$G$33:$G$40,MATCH(S1689,Setup!$B$33:$B$40,0)),0)=1)*(COUNTIF(S1658:U1675,$B1689)+COUNTIF(S1658:U1675,$B1689&amp;" ~*")&gt;0)+(IFERROR(INDEX(Setup!$G$33:$G$40,MATCH(W1689,Setup!$B$33:$B$40,0)),0)=1)*(COUNTIF(W1658:W1675,$B1689)+COUNTIF(W1658:W1675,$B1689&amp;" ~*")&gt;0)+(IFERROR(INDEX(Setup!$G$33:$G$40,MATCH(Y1689,Setup!$B$33:$B$40,0)),0)=1)*(COUNTIF(Y1658:Y1675,$B1689)+COUNTIF(Y1658:Y1675,$B1689&amp;" ~*")&gt;0))</f>
        <v/>
      </c>
    </row>
    <row r="1690" ht="15" customHeight="1">
      <c r="A1690" t="n">
        <v>34</v>
      </c>
      <c r="B1690" s="37">
        <f>IF(Setup!$B$19="","",Setup!$B$19)</f>
        <v/>
      </c>
      <c r="C1690" s="102" t="n"/>
      <c r="D1690" s="103" t="n"/>
      <c r="E1690" s="103" t="n"/>
      <c r="F1690" s="104" t="n"/>
      <c r="G1690" s="102" t="n"/>
      <c r="H1690" s="103" t="n"/>
      <c r="I1690" s="103" t="n"/>
      <c r="J1690" s="104" t="n"/>
      <c r="K1690" s="102" t="n"/>
      <c r="L1690" s="103" t="n"/>
      <c r="M1690" s="103" t="n"/>
      <c r="N1690" s="104" t="n"/>
      <c r="O1690" s="102" t="n"/>
      <c r="P1690" s="103" t="n"/>
      <c r="Q1690" s="103" t="n"/>
      <c r="R1690" s="104" t="n"/>
      <c r="S1690" s="102" t="n"/>
      <c r="T1690" s="103" t="n"/>
      <c r="U1690" s="103" t="n"/>
      <c r="V1690" s="104" t="n"/>
      <c r="W1690" s="102" t="n"/>
      <c r="X1690" s="104" t="n"/>
      <c r="Y1690" s="102" t="n"/>
      <c r="Z1690" s="104" t="n"/>
      <c r="AB1690" s="105">
        <f>IF($B1690="","",(COUNTIF(C1658:E1675,$B1690)+COUNTIF(C1658:E1675,$B1690&amp;" ~*")&gt;0)+(COUNTIF(G1658:I1675,$B1690)+COUNTIF(G1658:I1675,$B1690&amp;" ~*")&gt;0)+(COUNTIF(K1658:M1675,$B1690)+COUNTIF(K1658:M1675,$B1690&amp;" ~*")&gt;0)+(COUNTIF(O1658:Q1675,$B1690)+COUNTIF(O1658:Q1675,$B1690&amp;" ~*")&gt;0)+(COUNTIF(S1658:U1675,$B1690)+COUNTIF(S1658:U1675,$B1690&amp;" ~*")&gt;0)+(COUNTIF(W1658:W1675,$B1690)+COUNTIF(W1658:W1675,$B1690&amp;" ~*")&gt;0)+(COUNTIF(Y1658:Y1675,$B1690)+COUNTIF(Y1658:Y1675,$B1690&amp;" ~*")&gt;0))</f>
        <v/>
      </c>
      <c r="AC1690" s="38">
        <f>IF($B1690="","",(IFERROR(INDEX(Setup!$G$33:$G$40,MATCH(C1690,Setup!$B$33:$B$40,0)),0)=1)*(COUNTIF(C1658:E1675,$B1690)+COUNTIF(C1658:E1675,$B1690&amp;" ~*")&gt;0)+(IFERROR(INDEX(Setup!$G$33:$G$40,MATCH(G1690,Setup!$B$33:$B$40,0)),0)=1)*(COUNTIF(G1658:I1675,$B1690)+COUNTIF(G1658:I1675,$B1690&amp;" ~*")&gt;0)+(IFERROR(INDEX(Setup!$G$33:$G$40,MATCH(K1690,Setup!$B$33:$B$40,0)),0)=1)*(COUNTIF(K1658:M1675,$B1690)+COUNTIF(K1658:M1675,$B1690&amp;" ~*")&gt;0)+(IFERROR(INDEX(Setup!$G$33:$G$40,MATCH(O1690,Setup!$B$33:$B$40,0)),0)=1)*(COUNTIF(O1658:Q1675,$B1690)+COUNTIF(O1658:Q1675,$B1690&amp;" ~*")&gt;0)+(IFERROR(INDEX(Setup!$G$33:$G$40,MATCH(S1690,Setup!$B$33:$B$40,0)),0)=1)*(COUNTIF(S1658:U1675,$B1690)+COUNTIF(S1658:U1675,$B1690&amp;" ~*")&gt;0)+(IFERROR(INDEX(Setup!$G$33:$G$40,MATCH(W1690,Setup!$B$33:$B$40,0)),0)=1)*(COUNTIF(W1658:W1675,$B1690)+COUNTIF(W1658:W1675,$B1690&amp;" ~*")&gt;0)+(IFERROR(INDEX(Setup!$G$33:$G$40,MATCH(Y1690,Setup!$B$33:$B$40,0)),0)=1)*(COUNTIF(Y1658:Y1675,$B1690)+COUNTIF(Y1658:Y1675,$B1690&amp;" ~*")&gt;0))</f>
        <v/>
      </c>
    </row>
    <row r="1691" ht="15" customHeight="1">
      <c r="A1691" t="n">
        <v>34</v>
      </c>
      <c r="B1691" s="35">
        <f>IF(Setup!$B$20="","",Setup!$B$20)</f>
        <v/>
      </c>
      <c r="C1691" s="98" t="n"/>
      <c r="D1691" s="99" t="n"/>
      <c r="E1691" s="99" t="n"/>
      <c r="F1691" s="100" t="n"/>
      <c r="G1691" s="98" t="n"/>
      <c r="H1691" s="99" t="n"/>
      <c r="I1691" s="99" t="n"/>
      <c r="J1691" s="100" t="n"/>
      <c r="K1691" s="98" t="n"/>
      <c r="L1691" s="99" t="n"/>
      <c r="M1691" s="99" t="n"/>
      <c r="N1691" s="100" t="n"/>
      <c r="O1691" s="98" t="n"/>
      <c r="P1691" s="99" t="n"/>
      <c r="Q1691" s="99" t="n"/>
      <c r="R1691" s="100" t="n"/>
      <c r="S1691" s="98" t="n"/>
      <c r="T1691" s="99" t="n"/>
      <c r="U1691" s="99" t="n"/>
      <c r="V1691" s="100" t="n"/>
      <c r="W1691" s="98" t="n"/>
      <c r="X1691" s="100" t="n"/>
      <c r="Y1691" s="98" t="n"/>
      <c r="Z1691" s="100" t="n"/>
      <c r="AB1691" s="101">
        <f>IF($B1691="","",(COUNTIF(C1658:E1675,$B1691)+COUNTIF(C1658:E1675,$B1691&amp;" ~*")&gt;0)+(COUNTIF(G1658:I1675,$B1691)+COUNTIF(G1658:I1675,$B1691&amp;" ~*")&gt;0)+(COUNTIF(K1658:M1675,$B1691)+COUNTIF(K1658:M1675,$B1691&amp;" ~*")&gt;0)+(COUNTIF(O1658:Q1675,$B1691)+COUNTIF(O1658:Q1675,$B1691&amp;" ~*")&gt;0)+(COUNTIF(S1658:U1675,$B1691)+COUNTIF(S1658:U1675,$B1691&amp;" ~*")&gt;0)+(COUNTIF(W1658:W1675,$B1691)+COUNTIF(W1658:W1675,$B1691&amp;" ~*")&gt;0)+(COUNTIF(Y1658:Y1675,$B1691)+COUNTIF(Y1658:Y1675,$B1691&amp;" ~*")&gt;0))</f>
        <v/>
      </c>
      <c r="AC1691" s="36">
        <f>IF($B1691="","",(IFERROR(INDEX(Setup!$G$33:$G$40,MATCH(C1691,Setup!$B$33:$B$40,0)),0)=1)*(COUNTIF(C1658:E1675,$B1691)+COUNTIF(C1658:E1675,$B1691&amp;" ~*")&gt;0)+(IFERROR(INDEX(Setup!$G$33:$G$40,MATCH(G1691,Setup!$B$33:$B$40,0)),0)=1)*(COUNTIF(G1658:I1675,$B1691)+COUNTIF(G1658:I1675,$B1691&amp;" ~*")&gt;0)+(IFERROR(INDEX(Setup!$G$33:$G$40,MATCH(K1691,Setup!$B$33:$B$40,0)),0)=1)*(COUNTIF(K1658:M1675,$B1691)+COUNTIF(K1658:M1675,$B1691&amp;" ~*")&gt;0)+(IFERROR(INDEX(Setup!$G$33:$G$40,MATCH(O1691,Setup!$B$33:$B$40,0)),0)=1)*(COUNTIF(O1658:Q1675,$B1691)+COUNTIF(O1658:Q1675,$B1691&amp;" ~*")&gt;0)+(IFERROR(INDEX(Setup!$G$33:$G$40,MATCH(S1691,Setup!$B$33:$B$40,0)),0)=1)*(COUNTIF(S1658:U1675,$B1691)+COUNTIF(S1658:U1675,$B1691&amp;" ~*")&gt;0)+(IFERROR(INDEX(Setup!$G$33:$G$40,MATCH(W1691,Setup!$B$33:$B$40,0)),0)=1)*(COUNTIF(W1658:W1675,$B1691)+COUNTIF(W1658:W1675,$B1691&amp;" ~*")&gt;0)+(IFERROR(INDEX(Setup!$G$33:$G$40,MATCH(Y1691,Setup!$B$33:$B$40,0)),0)=1)*(COUNTIF(Y1658:Y1675,$B1691)+COUNTIF(Y1658:Y1675,$B1691&amp;" ~*")&gt;0))</f>
        <v/>
      </c>
    </row>
    <row r="1692" ht="15" customHeight="1">
      <c r="A1692" t="n">
        <v>34</v>
      </c>
      <c r="B1692" s="37">
        <f>IF(Setup!$B$21="","",Setup!$B$21)</f>
        <v/>
      </c>
      <c r="C1692" s="102" t="n"/>
      <c r="D1692" s="103" t="n"/>
      <c r="E1692" s="103" t="n"/>
      <c r="F1692" s="104" t="n"/>
      <c r="G1692" s="102" t="n"/>
      <c r="H1692" s="103" t="n"/>
      <c r="I1692" s="103" t="n"/>
      <c r="J1692" s="104" t="n"/>
      <c r="K1692" s="102" t="n"/>
      <c r="L1692" s="103" t="n"/>
      <c r="M1692" s="103" t="n"/>
      <c r="N1692" s="104" t="n"/>
      <c r="O1692" s="102" t="n"/>
      <c r="P1692" s="103" t="n"/>
      <c r="Q1692" s="103" t="n"/>
      <c r="R1692" s="104" t="n"/>
      <c r="S1692" s="102" t="n"/>
      <c r="T1692" s="103" t="n"/>
      <c r="U1692" s="103" t="n"/>
      <c r="V1692" s="104" t="n"/>
      <c r="W1692" s="102" t="n"/>
      <c r="X1692" s="104" t="n"/>
      <c r="Y1692" s="102" t="n"/>
      <c r="Z1692" s="104" t="n"/>
      <c r="AB1692" s="105">
        <f>IF($B1692="","",(COUNTIF(C1658:E1675,$B1692)+COUNTIF(C1658:E1675,$B1692&amp;" ~*")&gt;0)+(COUNTIF(G1658:I1675,$B1692)+COUNTIF(G1658:I1675,$B1692&amp;" ~*")&gt;0)+(COUNTIF(K1658:M1675,$B1692)+COUNTIF(K1658:M1675,$B1692&amp;" ~*")&gt;0)+(COUNTIF(O1658:Q1675,$B1692)+COUNTIF(O1658:Q1675,$B1692&amp;" ~*")&gt;0)+(COUNTIF(S1658:U1675,$B1692)+COUNTIF(S1658:U1675,$B1692&amp;" ~*")&gt;0)+(COUNTIF(W1658:W1675,$B1692)+COUNTIF(W1658:W1675,$B1692&amp;" ~*")&gt;0)+(COUNTIF(Y1658:Y1675,$B1692)+COUNTIF(Y1658:Y1675,$B1692&amp;" ~*")&gt;0))</f>
        <v/>
      </c>
      <c r="AC1692" s="38">
        <f>IF($B1692="","",(IFERROR(INDEX(Setup!$G$33:$G$40,MATCH(C1692,Setup!$B$33:$B$40,0)),0)=1)*(COUNTIF(C1658:E1675,$B1692)+COUNTIF(C1658:E1675,$B1692&amp;" ~*")&gt;0)+(IFERROR(INDEX(Setup!$G$33:$G$40,MATCH(G1692,Setup!$B$33:$B$40,0)),0)=1)*(COUNTIF(G1658:I1675,$B1692)+COUNTIF(G1658:I1675,$B1692&amp;" ~*")&gt;0)+(IFERROR(INDEX(Setup!$G$33:$G$40,MATCH(K1692,Setup!$B$33:$B$40,0)),0)=1)*(COUNTIF(K1658:M1675,$B1692)+COUNTIF(K1658:M1675,$B1692&amp;" ~*")&gt;0)+(IFERROR(INDEX(Setup!$G$33:$G$40,MATCH(O1692,Setup!$B$33:$B$40,0)),0)=1)*(COUNTIF(O1658:Q1675,$B1692)+COUNTIF(O1658:Q1675,$B1692&amp;" ~*")&gt;0)+(IFERROR(INDEX(Setup!$G$33:$G$40,MATCH(S1692,Setup!$B$33:$B$40,0)),0)=1)*(COUNTIF(S1658:U1675,$B1692)+COUNTIF(S1658:U1675,$B1692&amp;" ~*")&gt;0)+(IFERROR(INDEX(Setup!$G$33:$G$40,MATCH(W1692,Setup!$B$33:$B$40,0)),0)=1)*(COUNTIF(W1658:W1675,$B1692)+COUNTIF(W1658:W1675,$B1692&amp;" ~*")&gt;0)+(IFERROR(INDEX(Setup!$G$33:$G$40,MATCH(Y1692,Setup!$B$33:$B$40,0)),0)=1)*(COUNTIF(Y1658:Y1675,$B1692)+COUNTIF(Y1658:Y1675,$B1692&amp;" ~*")&gt;0))</f>
        <v/>
      </c>
    </row>
    <row r="1693" ht="15" customHeight="1">
      <c r="A1693" t="n">
        <v>34</v>
      </c>
      <c r="B1693" s="35">
        <f>IF(Setup!$B$22="","",Setup!$B$22)</f>
        <v/>
      </c>
      <c r="C1693" s="98" t="n"/>
      <c r="D1693" s="99" t="n"/>
      <c r="E1693" s="99" t="n"/>
      <c r="F1693" s="100" t="n"/>
      <c r="G1693" s="98" t="n"/>
      <c r="H1693" s="99" t="n"/>
      <c r="I1693" s="99" t="n"/>
      <c r="J1693" s="100" t="n"/>
      <c r="K1693" s="98" t="n"/>
      <c r="L1693" s="99" t="n"/>
      <c r="M1693" s="99" t="n"/>
      <c r="N1693" s="100" t="n"/>
      <c r="O1693" s="98" t="n"/>
      <c r="P1693" s="99" t="n"/>
      <c r="Q1693" s="99" t="n"/>
      <c r="R1693" s="100" t="n"/>
      <c r="S1693" s="98" t="n"/>
      <c r="T1693" s="99" t="n"/>
      <c r="U1693" s="99" t="n"/>
      <c r="V1693" s="100" t="n"/>
      <c r="W1693" s="98" t="n"/>
      <c r="X1693" s="100" t="n"/>
      <c r="Y1693" s="98" t="n"/>
      <c r="Z1693" s="100" t="n"/>
      <c r="AB1693" s="101">
        <f>IF($B1693="","",(COUNTIF(C1658:E1675,$B1693)+COUNTIF(C1658:E1675,$B1693&amp;" ~*")&gt;0)+(COUNTIF(G1658:I1675,$B1693)+COUNTIF(G1658:I1675,$B1693&amp;" ~*")&gt;0)+(COUNTIF(K1658:M1675,$B1693)+COUNTIF(K1658:M1675,$B1693&amp;" ~*")&gt;0)+(COUNTIF(O1658:Q1675,$B1693)+COUNTIF(O1658:Q1675,$B1693&amp;" ~*")&gt;0)+(COUNTIF(S1658:U1675,$B1693)+COUNTIF(S1658:U1675,$B1693&amp;" ~*")&gt;0)+(COUNTIF(W1658:W1675,$B1693)+COUNTIF(W1658:W1675,$B1693&amp;" ~*")&gt;0)+(COUNTIF(Y1658:Y1675,$B1693)+COUNTIF(Y1658:Y1675,$B1693&amp;" ~*")&gt;0))</f>
        <v/>
      </c>
      <c r="AC1693" s="36">
        <f>IF($B1693="","",(IFERROR(INDEX(Setup!$G$33:$G$40,MATCH(C1693,Setup!$B$33:$B$40,0)),0)=1)*(COUNTIF(C1658:E1675,$B1693)+COUNTIF(C1658:E1675,$B1693&amp;" ~*")&gt;0)+(IFERROR(INDEX(Setup!$G$33:$G$40,MATCH(G1693,Setup!$B$33:$B$40,0)),0)=1)*(COUNTIF(G1658:I1675,$B1693)+COUNTIF(G1658:I1675,$B1693&amp;" ~*")&gt;0)+(IFERROR(INDEX(Setup!$G$33:$G$40,MATCH(K1693,Setup!$B$33:$B$40,0)),0)=1)*(COUNTIF(K1658:M1675,$B1693)+COUNTIF(K1658:M1675,$B1693&amp;" ~*")&gt;0)+(IFERROR(INDEX(Setup!$G$33:$G$40,MATCH(O1693,Setup!$B$33:$B$40,0)),0)=1)*(COUNTIF(O1658:Q1675,$B1693)+COUNTIF(O1658:Q1675,$B1693&amp;" ~*")&gt;0)+(IFERROR(INDEX(Setup!$G$33:$G$40,MATCH(S1693,Setup!$B$33:$B$40,0)),0)=1)*(COUNTIF(S1658:U1675,$B1693)+COUNTIF(S1658:U1675,$B1693&amp;" ~*")&gt;0)+(IFERROR(INDEX(Setup!$G$33:$G$40,MATCH(W1693,Setup!$B$33:$B$40,0)),0)=1)*(COUNTIF(W1658:W1675,$B1693)+COUNTIF(W1658:W1675,$B1693&amp;" ~*")&gt;0)+(IFERROR(INDEX(Setup!$G$33:$G$40,MATCH(Y1693,Setup!$B$33:$B$40,0)),0)=1)*(COUNTIF(Y1658:Y1675,$B1693)+COUNTIF(Y1658:Y1675,$B1693&amp;" ~*")&gt;0))</f>
        <v/>
      </c>
    </row>
    <row r="1694" ht="15" customHeight="1">
      <c r="A1694" t="n">
        <v>34</v>
      </c>
      <c r="B1694" s="37">
        <f>IF(Setup!$B$23="","",Setup!$B$23)</f>
        <v/>
      </c>
      <c r="C1694" s="102" t="n"/>
      <c r="D1694" s="103" t="n"/>
      <c r="E1694" s="103" t="n"/>
      <c r="F1694" s="104" t="n"/>
      <c r="G1694" s="102" t="n"/>
      <c r="H1694" s="103" t="n"/>
      <c r="I1694" s="103" t="n"/>
      <c r="J1694" s="104" t="n"/>
      <c r="K1694" s="102" t="n"/>
      <c r="L1694" s="103" t="n"/>
      <c r="M1694" s="103" t="n"/>
      <c r="N1694" s="104" t="n"/>
      <c r="O1694" s="102" t="n"/>
      <c r="P1694" s="103" t="n"/>
      <c r="Q1694" s="103" t="n"/>
      <c r="R1694" s="104" t="n"/>
      <c r="S1694" s="102" t="n"/>
      <c r="T1694" s="103" t="n"/>
      <c r="U1694" s="103" t="n"/>
      <c r="V1694" s="104" t="n"/>
      <c r="W1694" s="102" t="n"/>
      <c r="X1694" s="104" t="n"/>
      <c r="Y1694" s="102" t="n"/>
      <c r="Z1694" s="104" t="n"/>
      <c r="AB1694" s="105">
        <f>IF($B1694="","",(COUNTIF(C1658:E1675,$B1694)+COUNTIF(C1658:E1675,$B1694&amp;" ~*")&gt;0)+(COUNTIF(G1658:I1675,$B1694)+COUNTIF(G1658:I1675,$B1694&amp;" ~*")&gt;0)+(COUNTIF(K1658:M1675,$B1694)+COUNTIF(K1658:M1675,$B1694&amp;" ~*")&gt;0)+(COUNTIF(O1658:Q1675,$B1694)+COUNTIF(O1658:Q1675,$B1694&amp;" ~*")&gt;0)+(COUNTIF(S1658:U1675,$B1694)+COUNTIF(S1658:U1675,$B1694&amp;" ~*")&gt;0)+(COUNTIF(W1658:W1675,$B1694)+COUNTIF(W1658:W1675,$B1694&amp;" ~*")&gt;0)+(COUNTIF(Y1658:Y1675,$B1694)+COUNTIF(Y1658:Y1675,$B1694&amp;" ~*")&gt;0))</f>
        <v/>
      </c>
      <c r="AC1694" s="38">
        <f>IF($B1694="","",(IFERROR(INDEX(Setup!$G$33:$G$40,MATCH(C1694,Setup!$B$33:$B$40,0)),0)=1)*(COUNTIF(C1658:E1675,$B1694)+COUNTIF(C1658:E1675,$B1694&amp;" ~*")&gt;0)+(IFERROR(INDEX(Setup!$G$33:$G$40,MATCH(G1694,Setup!$B$33:$B$40,0)),0)=1)*(COUNTIF(G1658:I1675,$B1694)+COUNTIF(G1658:I1675,$B1694&amp;" ~*")&gt;0)+(IFERROR(INDEX(Setup!$G$33:$G$40,MATCH(K1694,Setup!$B$33:$B$40,0)),0)=1)*(COUNTIF(K1658:M1675,$B1694)+COUNTIF(K1658:M1675,$B1694&amp;" ~*")&gt;0)+(IFERROR(INDEX(Setup!$G$33:$G$40,MATCH(O1694,Setup!$B$33:$B$40,0)),0)=1)*(COUNTIF(O1658:Q1675,$B1694)+COUNTIF(O1658:Q1675,$B1694&amp;" ~*")&gt;0)+(IFERROR(INDEX(Setup!$G$33:$G$40,MATCH(S1694,Setup!$B$33:$B$40,0)),0)=1)*(COUNTIF(S1658:U1675,$B1694)+COUNTIF(S1658:U1675,$B1694&amp;" ~*")&gt;0)+(IFERROR(INDEX(Setup!$G$33:$G$40,MATCH(W1694,Setup!$B$33:$B$40,0)),0)=1)*(COUNTIF(W1658:W1675,$B1694)+COUNTIF(W1658:W1675,$B1694&amp;" ~*")&gt;0)+(IFERROR(INDEX(Setup!$G$33:$G$40,MATCH(Y1694,Setup!$B$33:$B$40,0)),0)=1)*(COUNTIF(Y1658:Y1675,$B1694)+COUNTIF(Y1658:Y1675,$B1694&amp;" ~*")&gt;0))</f>
        <v/>
      </c>
    </row>
    <row r="1695" ht="15" customHeight="1">
      <c r="A1695" t="n">
        <v>34</v>
      </c>
      <c r="B1695" s="35">
        <f>IF(Setup!$B$24="","",Setup!$B$24)</f>
        <v/>
      </c>
      <c r="C1695" s="98" t="n"/>
      <c r="D1695" s="99" t="n"/>
      <c r="E1695" s="99" t="n"/>
      <c r="F1695" s="100" t="n"/>
      <c r="G1695" s="98" t="n"/>
      <c r="H1695" s="99" t="n"/>
      <c r="I1695" s="99" t="n"/>
      <c r="J1695" s="100" t="n"/>
      <c r="K1695" s="98" t="n"/>
      <c r="L1695" s="99" t="n"/>
      <c r="M1695" s="99" t="n"/>
      <c r="N1695" s="100" t="n"/>
      <c r="O1695" s="98" t="n"/>
      <c r="P1695" s="99" t="n"/>
      <c r="Q1695" s="99" t="n"/>
      <c r="R1695" s="100" t="n"/>
      <c r="S1695" s="98" t="n"/>
      <c r="T1695" s="99" t="n"/>
      <c r="U1695" s="99" t="n"/>
      <c r="V1695" s="100" t="n"/>
      <c r="W1695" s="98" t="n"/>
      <c r="X1695" s="100" t="n"/>
      <c r="Y1695" s="98" t="n"/>
      <c r="Z1695" s="100" t="n"/>
      <c r="AB1695" s="101">
        <f>IF($B1695="","",(COUNTIF(C1658:E1675,$B1695)+COUNTIF(C1658:E1675,$B1695&amp;" ~*")&gt;0)+(COUNTIF(G1658:I1675,$B1695)+COUNTIF(G1658:I1675,$B1695&amp;" ~*")&gt;0)+(COUNTIF(K1658:M1675,$B1695)+COUNTIF(K1658:M1675,$B1695&amp;" ~*")&gt;0)+(COUNTIF(O1658:Q1675,$B1695)+COUNTIF(O1658:Q1675,$B1695&amp;" ~*")&gt;0)+(COUNTIF(S1658:U1675,$B1695)+COUNTIF(S1658:U1675,$B1695&amp;" ~*")&gt;0)+(COUNTIF(W1658:W1675,$B1695)+COUNTIF(W1658:W1675,$B1695&amp;" ~*")&gt;0)+(COUNTIF(Y1658:Y1675,$B1695)+COUNTIF(Y1658:Y1675,$B1695&amp;" ~*")&gt;0))</f>
        <v/>
      </c>
      <c r="AC1695" s="36">
        <f>IF($B1695="","",(IFERROR(INDEX(Setup!$G$33:$G$40,MATCH(C1695,Setup!$B$33:$B$40,0)),0)=1)*(COUNTIF(C1658:E1675,$B1695)+COUNTIF(C1658:E1675,$B1695&amp;" ~*")&gt;0)+(IFERROR(INDEX(Setup!$G$33:$G$40,MATCH(G1695,Setup!$B$33:$B$40,0)),0)=1)*(COUNTIF(G1658:I1675,$B1695)+COUNTIF(G1658:I1675,$B1695&amp;" ~*")&gt;0)+(IFERROR(INDEX(Setup!$G$33:$G$40,MATCH(K1695,Setup!$B$33:$B$40,0)),0)=1)*(COUNTIF(K1658:M1675,$B1695)+COUNTIF(K1658:M1675,$B1695&amp;" ~*")&gt;0)+(IFERROR(INDEX(Setup!$G$33:$G$40,MATCH(O1695,Setup!$B$33:$B$40,0)),0)=1)*(COUNTIF(O1658:Q1675,$B1695)+COUNTIF(O1658:Q1675,$B1695&amp;" ~*")&gt;0)+(IFERROR(INDEX(Setup!$G$33:$G$40,MATCH(S1695,Setup!$B$33:$B$40,0)),0)=1)*(COUNTIF(S1658:U1675,$B1695)+COUNTIF(S1658:U1675,$B1695&amp;" ~*")&gt;0)+(IFERROR(INDEX(Setup!$G$33:$G$40,MATCH(W1695,Setup!$B$33:$B$40,0)),0)=1)*(COUNTIF(W1658:W1675,$B1695)+COUNTIF(W1658:W1675,$B1695&amp;" ~*")&gt;0)+(IFERROR(INDEX(Setup!$G$33:$G$40,MATCH(Y1695,Setup!$B$33:$B$40,0)),0)=1)*(COUNTIF(Y1658:Y1675,$B1695)+COUNTIF(Y1658:Y1675,$B1695&amp;" ~*")&gt;0))</f>
        <v/>
      </c>
    </row>
    <row r="1696" ht="15" customHeight="1">
      <c r="A1696" t="n">
        <v>34</v>
      </c>
      <c r="B1696" s="37">
        <f>IF(Setup!$B$25="","",Setup!$B$25)</f>
        <v/>
      </c>
      <c r="C1696" s="102" t="n"/>
      <c r="D1696" s="103" t="n"/>
      <c r="E1696" s="103" t="n"/>
      <c r="F1696" s="104" t="n"/>
      <c r="G1696" s="102" t="n"/>
      <c r="H1696" s="103" t="n"/>
      <c r="I1696" s="103" t="n"/>
      <c r="J1696" s="104" t="n"/>
      <c r="K1696" s="102" t="n"/>
      <c r="L1696" s="103" t="n"/>
      <c r="M1696" s="103" t="n"/>
      <c r="N1696" s="104" t="n"/>
      <c r="O1696" s="102" t="n"/>
      <c r="P1696" s="103" t="n"/>
      <c r="Q1696" s="103" t="n"/>
      <c r="R1696" s="104" t="n"/>
      <c r="S1696" s="102" t="n"/>
      <c r="T1696" s="103" t="n"/>
      <c r="U1696" s="103" t="n"/>
      <c r="V1696" s="104" t="n"/>
      <c r="W1696" s="102" t="n"/>
      <c r="X1696" s="104" t="n"/>
      <c r="Y1696" s="102" t="n"/>
      <c r="Z1696" s="104" t="n"/>
      <c r="AB1696" s="105">
        <f>IF($B1696="","",(COUNTIF(C1658:E1675,$B1696)+COUNTIF(C1658:E1675,$B1696&amp;" ~*")&gt;0)+(COUNTIF(G1658:I1675,$B1696)+COUNTIF(G1658:I1675,$B1696&amp;" ~*")&gt;0)+(COUNTIF(K1658:M1675,$B1696)+COUNTIF(K1658:M1675,$B1696&amp;" ~*")&gt;0)+(COUNTIF(O1658:Q1675,$B1696)+COUNTIF(O1658:Q1675,$B1696&amp;" ~*")&gt;0)+(COUNTIF(S1658:U1675,$B1696)+COUNTIF(S1658:U1675,$B1696&amp;" ~*")&gt;0)+(COUNTIF(W1658:W1675,$B1696)+COUNTIF(W1658:W1675,$B1696&amp;" ~*")&gt;0)+(COUNTIF(Y1658:Y1675,$B1696)+COUNTIF(Y1658:Y1675,$B1696&amp;" ~*")&gt;0))</f>
        <v/>
      </c>
      <c r="AC1696" s="38">
        <f>IF($B1696="","",(IFERROR(INDEX(Setup!$G$33:$G$40,MATCH(C1696,Setup!$B$33:$B$40,0)),0)=1)*(COUNTIF(C1658:E1675,$B1696)+COUNTIF(C1658:E1675,$B1696&amp;" ~*")&gt;0)+(IFERROR(INDEX(Setup!$G$33:$G$40,MATCH(G1696,Setup!$B$33:$B$40,0)),0)=1)*(COUNTIF(G1658:I1675,$B1696)+COUNTIF(G1658:I1675,$B1696&amp;" ~*")&gt;0)+(IFERROR(INDEX(Setup!$G$33:$G$40,MATCH(K1696,Setup!$B$33:$B$40,0)),0)=1)*(COUNTIF(K1658:M1675,$B1696)+COUNTIF(K1658:M1675,$B1696&amp;" ~*")&gt;0)+(IFERROR(INDEX(Setup!$G$33:$G$40,MATCH(O1696,Setup!$B$33:$B$40,0)),0)=1)*(COUNTIF(O1658:Q1675,$B1696)+COUNTIF(O1658:Q1675,$B1696&amp;" ~*")&gt;0)+(IFERROR(INDEX(Setup!$G$33:$G$40,MATCH(S1696,Setup!$B$33:$B$40,0)),0)=1)*(COUNTIF(S1658:U1675,$B1696)+COUNTIF(S1658:U1675,$B1696&amp;" ~*")&gt;0)+(IFERROR(INDEX(Setup!$G$33:$G$40,MATCH(W1696,Setup!$B$33:$B$40,0)),0)=1)*(COUNTIF(W1658:W1675,$B1696)+COUNTIF(W1658:W1675,$B1696&amp;" ~*")&gt;0)+(IFERROR(INDEX(Setup!$G$33:$G$40,MATCH(Y1696,Setup!$B$33:$B$40,0)),0)=1)*(COUNTIF(Y1658:Y1675,$B1696)+COUNTIF(Y1658:Y1675,$B1696&amp;" ~*")&gt;0))</f>
        <v/>
      </c>
    </row>
    <row r="1697" ht="15" customHeight="1">
      <c r="A1697" t="n">
        <v>34</v>
      </c>
      <c r="B1697" s="35">
        <f>IF(Setup!$B$26="","",Setup!$B$26)</f>
        <v/>
      </c>
      <c r="C1697" s="98" t="n"/>
      <c r="D1697" s="99" t="n"/>
      <c r="E1697" s="99" t="n"/>
      <c r="F1697" s="100" t="n"/>
      <c r="G1697" s="98" t="n"/>
      <c r="H1697" s="99" t="n"/>
      <c r="I1697" s="99" t="n"/>
      <c r="J1697" s="100" t="n"/>
      <c r="K1697" s="98" t="n"/>
      <c r="L1697" s="99" t="n"/>
      <c r="M1697" s="99" t="n"/>
      <c r="N1697" s="100" t="n"/>
      <c r="O1697" s="98" t="n"/>
      <c r="P1697" s="99" t="n"/>
      <c r="Q1697" s="99" t="n"/>
      <c r="R1697" s="100" t="n"/>
      <c r="S1697" s="98" t="n"/>
      <c r="T1697" s="99" t="n"/>
      <c r="U1697" s="99" t="n"/>
      <c r="V1697" s="100" t="n"/>
      <c r="W1697" s="98" t="n"/>
      <c r="X1697" s="100" t="n"/>
      <c r="Y1697" s="98" t="n"/>
      <c r="Z1697" s="100" t="n"/>
      <c r="AB1697" s="101">
        <f>IF($B1697="","",(COUNTIF(C1658:E1675,$B1697)+COUNTIF(C1658:E1675,$B1697&amp;" ~*")&gt;0)+(COUNTIF(G1658:I1675,$B1697)+COUNTIF(G1658:I1675,$B1697&amp;" ~*")&gt;0)+(COUNTIF(K1658:M1675,$B1697)+COUNTIF(K1658:M1675,$B1697&amp;" ~*")&gt;0)+(COUNTIF(O1658:Q1675,$B1697)+COUNTIF(O1658:Q1675,$B1697&amp;" ~*")&gt;0)+(COUNTIF(S1658:U1675,$B1697)+COUNTIF(S1658:U1675,$B1697&amp;" ~*")&gt;0)+(COUNTIF(W1658:W1675,$B1697)+COUNTIF(W1658:W1675,$B1697&amp;" ~*")&gt;0)+(COUNTIF(Y1658:Y1675,$B1697)+COUNTIF(Y1658:Y1675,$B1697&amp;" ~*")&gt;0))</f>
        <v/>
      </c>
      <c r="AC1697" s="36">
        <f>IF($B1697="","",(IFERROR(INDEX(Setup!$G$33:$G$40,MATCH(C1697,Setup!$B$33:$B$40,0)),0)=1)*(COUNTIF(C1658:E1675,$B1697)+COUNTIF(C1658:E1675,$B1697&amp;" ~*")&gt;0)+(IFERROR(INDEX(Setup!$G$33:$G$40,MATCH(G1697,Setup!$B$33:$B$40,0)),0)=1)*(COUNTIF(G1658:I1675,$B1697)+COUNTIF(G1658:I1675,$B1697&amp;" ~*")&gt;0)+(IFERROR(INDEX(Setup!$G$33:$G$40,MATCH(K1697,Setup!$B$33:$B$40,0)),0)=1)*(COUNTIF(K1658:M1675,$B1697)+COUNTIF(K1658:M1675,$B1697&amp;" ~*")&gt;0)+(IFERROR(INDEX(Setup!$G$33:$G$40,MATCH(O1697,Setup!$B$33:$B$40,0)),0)=1)*(COUNTIF(O1658:Q1675,$B1697)+COUNTIF(O1658:Q1675,$B1697&amp;" ~*")&gt;0)+(IFERROR(INDEX(Setup!$G$33:$G$40,MATCH(S1697,Setup!$B$33:$B$40,0)),0)=1)*(COUNTIF(S1658:U1675,$B1697)+COUNTIF(S1658:U1675,$B1697&amp;" ~*")&gt;0)+(IFERROR(INDEX(Setup!$G$33:$G$40,MATCH(W1697,Setup!$B$33:$B$40,0)),0)=1)*(COUNTIF(W1658:W1675,$B1697)+COUNTIF(W1658:W1675,$B1697&amp;" ~*")&gt;0)+(IFERROR(INDEX(Setup!$G$33:$G$40,MATCH(Y1697,Setup!$B$33:$B$40,0)),0)=1)*(COUNTIF(Y1658:Y1675,$B1697)+COUNTIF(Y1658:Y1675,$B1697&amp;" ~*")&gt;0))</f>
        <v/>
      </c>
    </row>
    <row r="1698" ht="15" customHeight="1">
      <c r="A1698" t="n">
        <v>34</v>
      </c>
      <c r="B1698" s="37">
        <f>IF(Setup!$B$27="","",Setup!$B$27)</f>
        <v/>
      </c>
      <c r="C1698" s="102" t="n"/>
      <c r="D1698" s="103" t="n"/>
      <c r="E1698" s="103" t="n"/>
      <c r="F1698" s="104" t="n"/>
      <c r="G1698" s="102" t="n"/>
      <c r="H1698" s="103" t="n"/>
      <c r="I1698" s="103" t="n"/>
      <c r="J1698" s="104" t="n"/>
      <c r="K1698" s="102" t="n"/>
      <c r="L1698" s="103" t="n"/>
      <c r="M1698" s="103" t="n"/>
      <c r="N1698" s="104" t="n"/>
      <c r="O1698" s="102" t="n"/>
      <c r="P1698" s="103" t="n"/>
      <c r="Q1698" s="103" t="n"/>
      <c r="R1698" s="104" t="n"/>
      <c r="S1698" s="102" t="n"/>
      <c r="T1698" s="103" t="n"/>
      <c r="U1698" s="103" t="n"/>
      <c r="V1698" s="104" t="n"/>
      <c r="W1698" s="102" t="n"/>
      <c r="X1698" s="104" t="n"/>
      <c r="Y1698" s="102" t="n"/>
      <c r="Z1698" s="104" t="n"/>
      <c r="AB1698" s="105">
        <f>IF($B1698="","",(COUNTIF(C1658:E1675,$B1698)+COUNTIF(C1658:E1675,$B1698&amp;" ~*")&gt;0)+(COUNTIF(G1658:I1675,$B1698)+COUNTIF(G1658:I1675,$B1698&amp;" ~*")&gt;0)+(COUNTIF(K1658:M1675,$B1698)+COUNTIF(K1658:M1675,$B1698&amp;" ~*")&gt;0)+(COUNTIF(O1658:Q1675,$B1698)+COUNTIF(O1658:Q1675,$B1698&amp;" ~*")&gt;0)+(COUNTIF(S1658:U1675,$B1698)+COUNTIF(S1658:U1675,$B1698&amp;" ~*")&gt;0)+(COUNTIF(W1658:W1675,$B1698)+COUNTIF(W1658:W1675,$B1698&amp;" ~*")&gt;0)+(COUNTIF(Y1658:Y1675,$B1698)+COUNTIF(Y1658:Y1675,$B1698&amp;" ~*")&gt;0))</f>
        <v/>
      </c>
      <c r="AC1698" s="38">
        <f>IF($B1698="","",(IFERROR(INDEX(Setup!$G$33:$G$40,MATCH(C1698,Setup!$B$33:$B$40,0)),0)=1)*(COUNTIF(C1658:E1675,$B1698)+COUNTIF(C1658:E1675,$B1698&amp;" ~*")&gt;0)+(IFERROR(INDEX(Setup!$G$33:$G$40,MATCH(G1698,Setup!$B$33:$B$40,0)),0)=1)*(COUNTIF(G1658:I1675,$B1698)+COUNTIF(G1658:I1675,$B1698&amp;" ~*")&gt;0)+(IFERROR(INDEX(Setup!$G$33:$G$40,MATCH(K1698,Setup!$B$33:$B$40,0)),0)=1)*(COUNTIF(K1658:M1675,$B1698)+COUNTIF(K1658:M1675,$B1698&amp;" ~*")&gt;0)+(IFERROR(INDEX(Setup!$G$33:$G$40,MATCH(O1698,Setup!$B$33:$B$40,0)),0)=1)*(COUNTIF(O1658:Q1675,$B1698)+COUNTIF(O1658:Q1675,$B1698&amp;" ~*")&gt;0)+(IFERROR(INDEX(Setup!$G$33:$G$40,MATCH(S1698,Setup!$B$33:$B$40,0)),0)=1)*(COUNTIF(S1658:U1675,$B1698)+COUNTIF(S1658:U1675,$B1698&amp;" ~*")&gt;0)+(IFERROR(INDEX(Setup!$G$33:$G$40,MATCH(W1698,Setup!$B$33:$B$40,0)),0)=1)*(COUNTIF(W1658:W1675,$B1698)+COUNTIF(W1658:W1675,$B1698&amp;" ~*")&gt;0)+(IFERROR(INDEX(Setup!$G$33:$G$40,MATCH(Y1698,Setup!$B$33:$B$40,0)),0)=1)*(COUNTIF(Y1658:Y1675,$B1698)+COUNTIF(Y1658:Y1675,$B1698&amp;" ~*")&gt;0))</f>
        <v/>
      </c>
    </row>
    <row r="1699" ht="15" customHeight="1">
      <c r="A1699" t="n">
        <v>34</v>
      </c>
      <c r="B1699" s="35">
        <f>IF(Setup!$B$28="","",Setup!$B$28)</f>
        <v/>
      </c>
      <c r="C1699" s="98" t="n"/>
      <c r="D1699" s="99" t="n"/>
      <c r="E1699" s="99" t="n"/>
      <c r="F1699" s="100" t="n"/>
      <c r="G1699" s="98" t="n"/>
      <c r="H1699" s="99" t="n"/>
      <c r="I1699" s="99" t="n"/>
      <c r="J1699" s="100" t="n"/>
      <c r="K1699" s="98" t="n"/>
      <c r="L1699" s="99" t="n"/>
      <c r="M1699" s="99" t="n"/>
      <c r="N1699" s="100" t="n"/>
      <c r="O1699" s="98" t="n"/>
      <c r="P1699" s="99" t="n"/>
      <c r="Q1699" s="99" t="n"/>
      <c r="R1699" s="100" t="n"/>
      <c r="S1699" s="98" t="n"/>
      <c r="T1699" s="99" t="n"/>
      <c r="U1699" s="99" t="n"/>
      <c r="V1699" s="100" t="n"/>
      <c r="W1699" s="98" t="n"/>
      <c r="X1699" s="100" t="n"/>
      <c r="Y1699" s="98" t="n"/>
      <c r="Z1699" s="100" t="n"/>
      <c r="AB1699" s="101">
        <f>IF($B1699="","",(COUNTIF(C1658:E1675,$B1699)+COUNTIF(C1658:E1675,$B1699&amp;" ~*")&gt;0)+(COUNTIF(G1658:I1675,$B1699)+COUNTIF(G1658:I1675,$B1699&amp;" ~*")&gt;0)+(COUNTIF(K1658:M1675,$B1699)+COUNTIF(K1658:M1675,$B1699&amp;" ~*")&gt;0)+(COUNTIF(O1658:Q1675,$B1699)+COUNTIF(O1658:Q1675,$B1699&amp;" ~*")&gt;0)+(COUNTIF(S1658:U1675,$B1699)+COUNTIF(S1658:U1675,$B1699&amp;" ~*")&gt;0)+(COUNTIF(W1658:W1675,$B1699)+COUNTIF(W1658:W1675,$B1699&amp;" ~*")&gt;0)+(COUNTIF(Y1658:Y1675,$B1699)+COUNTIF(Y1658:Y1675,$B1699&amp;" ~*")&gt;0))</f>
        <v/>
      </c>
      <c r="AC1699" s="36">
        <f>IF($B1699="","",(IFERROR(INDEX(Setup!$G$33:$G$40,MATCH(C1699,Setup!$B$33:$B$40,0)),0)=1)*(COUNTIF(C1658:E1675,$B1699)+COUNTIF(C1658:E1675,$B1699&amp;" ~*")&gt;0)+(IFERROR(INDEX(Setup!$G$33:$G$40,MATCH(G1699,Setup!$B$33:$B$40,0)),0)=1)*(COUNTIF(G1658:I1675,$B1699)+COUNTIF(G1658:I1675,$B1699&amp;" ~*")&gt;0)+(IFERROR(INDEX(Setup!$G$33:$G$40,MATCH(K1699,Setup!$B$33:$B$40,0)),0)=1)*(COUNTIF(K1658:M1675,$B1699)+COUNTIF(K1658:M1675,$B1699&amp;" ~*")&gt;0)+(IFERROR(INDEX(Setup!$G$33:$G$40,MATCH(O1699,Setup!$B$33:$B$40,0)),0)=1)*(COUNTIF(O1658:Q1675,$B1699)+COUNTIF(O1658:Q1675,$B1699&amp;" ~*")&gt;0)+(IFERROR(INDEX(Setup!$G$33:$G$40,MATCH(S1699,Setup!$B$33:$B$40,0)),0)=1)*(COUNTIF(S1658:U1675,$B1699)+COUNTIF(S1658:U1675,$B1699&amp;" ~*")&gt;0)+(IFERROR(INDEX(Setup!$G$33:$G$40,MATCH(W1699,Setup!$B$33:$B$40,0)),0)=1)*(COUNTIF(W1658:W1675,$B1699)+COUNTIF(W1658:W1675,$B1699&amp;" ~*")&gt;0)+(IFERROR(INDEX(Setup!$G$33:$G$40,MATCH(Y1699,Setup!$B$33:$B$40,0)),0)=1)*(COUNTIF(Y1658:Y1675,$B1699)+COUNTIF(Y1658:Y1675,$B1699&amp;" ~*")&gt;0))</f>
        <v/>
      </c>
    </row>
    <row r="1700" ht="15" customHeight="1">
      <c r="A1700" t="n">
        <v>34</v>
      </c>
      <c r="B1700" s="37">
        <f>IF(Setup!$B$29="","",Setup!$B$29)</f>
        <v/>
      </c>
      <c r="C1700" s="102" t="n"/>
      <c r="D1700" s="103" t="n"/>
      <c r="E1700" s="103" t="n"/>
      <c r="F1700" s="104" t="n"/>
      <c r="G1700" s="102" t="n"/>
      <c r="H1700" s="103" t="n"/>
      <c r="I1700" s="103" t="n"/>
      <c r="J1700" s="104" t="n"/>
      <c r="K1700" s="102" t="n"/>
      <c r="L1700" s="103" t="n"/>
      <c r="M1700" s="103" t="n"/>
      <c r="N1700" s="104" t="n"/>
      <c r="O1700" s="102" t="n"/>
      <c r="P1700" s="103" t="n"/>
      <c r="Q1700" s="103" t="n"/>
      <c r="R1700" s="104" t="n"/>
      <c r="S1700" s="102" t="n"/>
      <c r="T1700" s="103" t="n"/>
      <c r="U1700" s="103" t="n"/>
      <c r="V1700" s="104" t="n"/>
      <c r="W1700" s="102" t="n"/>
      <c r="X1700" s="104" t="n"/>
      <c r="Y1700" s="102" t="n"/>
      <c r="Z1700" s="104" t="n"/>
      <c r="AB1700" s="105">
        <f>IF($B1700="","",(COUNTIF(C1658:E1675,$B1700)+COUNTIF(C1658:E1675,$B1700&amp;" ~*")&gt;0)+(COUNTIF(G1658:I1675,$B1700)+COUNTIF(G1658:I1675,$B1700&amp;" ~*")&gt;0)+(COUNTIF(K1658:M1675,$B1700)+COUNTIF(K1658:M1675,$B1700&amp;" ~*")&gt;0)+(COUNTIF(O1658:Q1675,$B1700)+COUNTIF(O1658:Q1675,$B1700&amp;" ~*")&gt;0)+(COUNTIF(S1658:U1675,$B1700)+COUNTIF(S1658:U1675,$B1700&amp;" ~*")&gt;0)+(COUNTIF(W1658:W1675,$B1700)+COUNTIF(W1658:W1675,$B1700&amp;" ~*")&gt;0)+(COUNTIF(Y1658:Y1675,$B1700)+COUNTIF(Y1658:Y1675,$B1700&amp;" ~*")&gt;0))</f>
        <v/>
      </c>
      <c r="AC1700" s="38">
        <f>IF($B1700="","",(IFERROR(INDEX(Setup!$G$33:$G$40,MATCH(C1700,Setup!$B$33:$B$40,0)),0)=1)*(COUNTIF(C1658:E1675,$B1700)+COUNTIF(C1658:E1675,$B1700&amp;" ~*")&gt;0)+(IFERROR(INDEX(Setup!$G$33:$G$40,MATCH(G1700,Setup!$B$33:$B$40,0)),0)=1)*(COUNTIF(G1658:I1675,$B1700)+COUNTIF(G1658:I1675,$B1700&amp;" ~*")&gt;0)+(IFERROR(INDEX(Setup!$G$33:$G$40,MATCH(K1700,Setup!$B$33:$B$40,0)),0)=1)*(COUNTIF(K1658:M1675,$B1700)+COUNTIF(K1658:M1675,$B1700&amp;" ~*")&gt;0)+(IFERROR(INDEX(Setup!$G$33:$G$40,MATCH(O1700,Setup!$B$33:$B$40,0)),0)=1)*(COUNTIF(O1658:Q1675,$B1700)+COUNTIF(O1658:Q1675,$B1700&amp;" ~*")&gt;0)+(IFERROR(INDEX(Setup!$G$33:$G$40,MATCH(S1700,Setup!$B$33:$B$40,0)),0)=1)*(COUNTIF(S1658:U1675,$B1700)+COUNTIF(S1658:U1675,$B1700&amp;" ~*")&gt;0)+(IFERROR(INDEX(Setup!$G$33:$G$40,MATCH(W1700,Setup!$B$33:$B$40,0)),0)=1)*(COUNTIF(W1658:W1675,$B1700)+COUNTIF(W1658:W1675,$B1700&amp;" ~*")&gt;0)+(IFERROR(INDEX(Setup!$G$33:$G$40,MATCH(Y1700,Setup!$B$33:$B$40,0)),0)=1)*(COUNTIF(Y1658:Y1675,$B1700)+COUNTIF(Y1658:Y1675,$B1700&amp;" ~*")&gt;0))</f>
        <v/>
      </c>
    </row>
    <row r="1701" ht="16" customHeight="1">
      <c r="A1701" t="n">
        <v>34</v>
      </c>
      <c r="B1701" s="106" t="inlineStr">
        <is>
          <t>Available people</t>
        </is>
      </c>
      <c r="C1701" s="107">
        <f>COUNTIFS(Setup!$E$6:$E$29,"Y",Setup!$B$6:$B$29,"?*")-SUMPRODUCT(COUNTIF(C1677:C1700,Setup!$F$33:$F$40))</f>
        <v/>
      </c>
      <c r="D1701" s="107" t="n"/>
      <c r="E1701" s="107" t="n"/>
      <c r="F1701" s="107" t="n"/>
      <c r="G1701" s="107">
        <f>COUNTIFS(Setup!$E$6:$E$29,"Y",Setup!$B$6:$B$29,"?*")-SUMPRODUCT(COUNTIF(G1677:G1700,Setup!$F$33:$F$40))</f>
        <v/>
      </c>
      <c r="H1701" s="107" t="n"/>
      <c r="I1701" s="107" t="n"/>
      <c r="J1701" s="107" t="n"/>
      <c r="K1701" s="107">
        <f>COUNTIFS(Setup!$E$6:$E$29,"Y",Setup!$B$6:$B$29,"?*")-SUMPRODUCT(COUNTIF(K1677:K1700,Setup!$F$33:$F$40))</f>
        <v/>
      </c>
      <c r="L1701" s="107" t="n"/>
      <c r="M1701" s="107" t="n"/>
      <c r="N1701" s="107" t="n"/>
      <c r="O1701" s="107">
        <f>COUNTIFS(Setup!$E$6:$E$29,"Y",Setup!$B$6:$B$29,"?*")-SUMPRODUCT(COUNTIF(O1677:O1700,Setup!$F$33:$F$40))</f>
        <v/>
      </c>
      <c r="P1701" s="107" t="n"/>
      <c r="Q1701" s="107" t="n"/>
      <c r="R1701" s="107" t="n"/>
      <c r="S1701" s="107">
        <f>COUNTIFS(Setup!$E$6:$E$29,"Y",Setup!$B$6:$B$29,"?*")-SUMPRODUCT(COUNTIF(S1677:S1700,Setup!$F$33:$F$40))</f>
        <v/>
      </c>
      <c r="T1701" s="107" t="n"/>
      <c r="U1701" s="107" t="n"/>
      <c r="V1701" s="107" t="n"/>
      <c r="W1701" s="107">
        <f>COUNTIFS(Setup!$E$6:$E$29,"Y",Setup!$B$6:$B$29,"?*")-SUMPRODUCT(COUNTIF(W1677:W1700,Setup!$F$33:$F$40))</f>
        <v/>
      </c>
      <c r="X1701" s="107" t="n"/>
      <c r="Y1701" s="107">
        <f>COUNTIFS(Setup!$E$6:$E$29,"Y",Setup!$B$6:$B$29,"?*")-SUMPRODUCT(COUNTIF(Y1677:Y1700,Setup!$F$33:$F$40))</f>
        <v/>
      </c>
      <c r="Z1701" s="107" t="n"/>
      <c r="AB1701" s="108">
        <f>SUM(AB1677:AB1700)</f>
        <v/>
      </c>
      <c r="AC1701" s="109">
        <f>SUM(AC1677:AC1700)</f>
        <v/>
      </c>
    </row>
    <row r="1702" ht="30" customHeight="1">
      <c r="A1702" t="n">
        <v>34</v>
      </c>
      <c r="B1702" s="110" t="inlineStr">
        <is>
          <t>Week notes</t>
        </is>
      </c>
      <c r="C1702" s="111" t="n"/>
      <c r="D1702" s="112" t="n"/>
      <c r="E1702" s="112" t="n"/>
      <c r="F1702" s="112" t="n"/>
      <c r="G1702" s="112" t="n"/>
      <c r="H1702" s="112" t="n"/>
      <c r="I1702" s="112" t="n"/>
      <c r="J1702" s="112" t="n"/>
      <c r="K1702" s="112" t="n"/>
      <c r="L1702" s="112" t="n"/>
      <c r="M1702" s="112" t="n"/>
      <c r="N1702" s="112" t="n"/>
      <c r="O1702" s="112" t="n"/>
      <c r="P1702" s="112" t="n"/>
      <c r="Q1702" s="112" t="n"/>
      <c r="R1702" s="112" t="n"/>
      <c r="S1702" s="112" t="n"/>
      <c r="T1702" s="112" t="n"/>
      <c r="U1702" s="112" t="n"/>
      <c r="V1702" s="112" t="n"/>
      <c r="W1702" s="112" t="n"/>
      <c r="X1702" s="112" t="n"/>
      <c r="Y1702" s="112" t="n"/>
      <c r="Z1702" s="113" t="n"/>
    </row>
    <row r="1703" ht="8" customHeight="1">
      <c r="A1703" t="n">
        <v>34</v>
      </c>
    </row>
    <row r="1704" ht="8" customHeight="1">
      <c r="A1704" t="n">
        <v>34</v>
      </c>
    </row>
    <row r="1705" ht="24" customHeight="1">
      <c r="A1705" t="n">
        <v>35</v>
      </c>
      <c r="B1705" s="73">
        <f>"WEEK 35     "&amp;TEXT(C1706,"ddd d mmm")&amp;"  –  "&amp;TEXT(C1706+6,"ddd d mmm yyyy")</f>
        <v/>
      </c>
      <c r="S1705" s="74">
        <f>IF(TODAY()&lt;C1706,"FUTURE",IF(TODAY()&gt;C1706+6,"PAST","THIS WEEK"))</f>
        <v/>
      </c>
      <c r="W1705" s="75">
        <f>IF(AND(Engine!$B$8=$AC$3,Engine!$B$9=$A1705),"◀ ACTIVE WEEK","")</f>
        <v/>
      </c>
      <c r="AA1705" s="76" t="n"/>
      <c r="AB1705" s="77" t="inlineStr">
        <is>
          <t>◀ Prev</t>
        </is>
      </c>
      <c r="AC1705" s="77" t="inlineStr">
        <is>
          <t>Next ▶</t>
        </is>
      </c>
    </row>
    <row r="1706" ht="18" customHeight="1">
      <c r="A1706" t="n">
        <v>35</v>
      </c>
      <c r="B1706" s="78" t="inlineStr">
        <is>
          <t>DUTY</t>
        </is>
      </c>
      <c r="C1706" s="79">
        <f>$AC$2+7*($A1706-1)</f>
        <v/>
      </c>
      <c r="D1706" s="80" t="n"/>
      <c r="E1706" s="80" t="n"/>
      <c r="F1706" s="81" t="n"/>
      <c r="G1706" s="79">
        <f>C1706+1</f>
        <v/>
      </c>
      <c r="H1706" s="80" t="n"/>
      <c r="I1706" s="80" t="n"/>
      <c r="J1706" s="81" t="n"/>
      <c r="K1706" s="79">
        <f>C1706+2</f>
        <v/>
      </c>
      <c r="L1706" s="80" t="n"/>
      <c r="M1706" s="80" t="n"/>
      <c r="N1706" s="81" t="n"/>
      <c r="O1706" s="79">
        <f>C1706+3</f>
        <v/>
      </c>
      <c r="P1706" s="80" t="n"/>
      <c r="Q1706" s="80" t="n"/>
      <c r="R1706" s="81" t="n"/>
      <c r="S1706" s="79">
        <f>C1706+4</f>
        <v/>
      </c>
      <c r="T1706" s="80" t="n"/>
      <c r="U1706" s="80" t="n"/>
      <c r="V1706" s="81" t="n"/>
      <c r="W1706" s="82">
        <f>C1706+5</f>
        <v/>
      </c>
      <c r="X1706" s="83" t="n"/>
      <c r="Y1706" s="82">
        <f>C1706+6</f>
        <v/>
      </c>
      <c r="Z1706" s="83" t="n"/>
      <c r="AB1706" s="72" t="inlineStr">
        <is>
          <t>Gaps</t>
        </is>
      </c>
      <c r="AC1706" s="72" t="inlineStr">
        <is>
          <t>Cover</t>
        </is>
      </c>
    </row>
    <row r="1707" ht="14" customHeight="1">
      <c r="A1707" t="n">
        <v>35</v>
      </c>
      <c r="B1707" s="84" t="inlineStr">
        <is>
          <t>(from Setup)</t>
        </is>
      </c>
      <c r="C1707" s="85" t="inlineStr">
        <is>
          <t>1</t>
        </is>
      </c>
      <c r="D1707" s="85" t="inlineStr">
        <is>
          <t>2</t>
        </is>
      </c>
      <c r="E1707" s="85" t="inlineStr">
        <is>
          <t>3</t>
        </is>
      </c>
      <c r="F1707" s="85" t="inlineStr">
        <is>
          <t>Notes</t>
        </is>
      </c>
      <c r="G1707" s="85" t="inlineStr">
        <is>
          <t>1</t>
        </is>
      </c>
      <c r="H1707" s="85" t="inlineStr">
        <is>
          <t>2</t>
        </is>
      </c>
      <c r="I1707" s="85" t="inlineStr">
        <is>
          <t>3</t>
        </is>
      </c>
      <c r="J1707" s="85" t="inlineStr">
        <is>
          <t>Notes</t>
        </is>
      </c>
      <c r="K1707" s="85" t="inlineStr">
        <is>
          <t>1</t>
        </is>
      </c>
      <c r="L1707" s="85" t="inlineStr">
        <is>
          <t>2</t>
        </is>
      </c>
      <c r="M1707" s="85" t="inlineStr">
        <is>
          <t>3</t>
        </is>
      </c>
      <c r="N1707" s="85" t="inlineStr">
        <is>
          <t>Notes</t>
        </is>
      </c>
      <c r="O1707" s="85" t="inlineStr">
        <is>
          <t>1</t>
        </is>
      </c>
      <c r="P1707" s="85" t="inlineStr">
        <is>
          <t>2</t>
        </is>
      </c>
      <c r="Q1707" s="85" t="inlineStr">
        <is>
          <t>3</t>
        </is>
      </c>
      <c r="R1707" s="85" t="inlineStr">
        <is>
          <t>Notes</t>
        </is>
      </c>
      <c r="S1707" s="85" t="inlineStr">
        <is>
          <t>1</t>
        </is>
      </c>
      <c r="T1707" s="85" t="inlineStr">
        <is>
          <t>2</t>
        </is>
      </c>
      <c r="U1707" s="85" t="inlineStr">
        <is>
          <t>3</t>
        </is>
      </c>
      <c r="V1707" s="85" t="inlineStr">
        <is>
          <t>Notes</t>
        </is>
      </c>
      <c r="W1707" s="85" t="inlineStr">
        <is>
          <t>Cover</t>
        </is>
      </c>
      <c r="X1707" s="85" t="inlineStr">
        <is>
          <t>Notes</t>
        </is>
      </c>
      <c r="Y1707" s="85" t="inlineStr">
        <is>
          <t>Cover</t>
        </is>
      </c>
      <c r="Z1707" s="85" t="inlineStr">
        <is>
          <t>Notes</t>
        </is>
      </c>
      <c r="AB1707" s="86" t="inlineStr">
        <is>
          <t>weekdays short</t>
        </is>
      </c>
      <c r="AC1707" s="87" t="inlineStr"/>
    </row>
    <row r="1708" ht="17" customHeight="1">
      <c r="A1708" t="n">
        <v>35</v>
      </c>
      <c r="B1708" s="24">
        <f>IF(Setup!$K$6="","",Setup!$K$6)</f>
        <v/>
      </c>
      <c r="C1708" s="88" t="n"/>
      <c r="D1708" s="88" t="n"/>
      <c r="E1708" s="88" t="n"/>
      <c r="F1708" s="89" t="n"/>
      <c r="G1708" s="88" t="n"/>
      <c r="H1708" s="88" t="n"/>
      <c r="I1708" s="88" t="n"/>
      <c r="J1708" s="89" t="n"/>
      <c r="K1708" s="88" t="n"/>
      <c r="L1708" s="88" t="n"/>
      <c r="M1708" s="88" t="n"/>
      <c r="N1708" s="89" t="n"/>
      <c r="O1708" s="88" t="n"/>
      <c r="P1708" s="88" t="n"/>
      <c r="Q1708" s="88" t="n"/>
      <c r="R1708" s="89" t="n"/>
      <c r="S1708" s="88" t="n"/>
      <c r="T1708" s="88" t="n"/>
      <c r="U1708" s="88" t="n"/>
      <c r="V1708" s="89" t="n"/>
      <c r="W1708" s="88" t="n"/>
      <c r="X1708" s="89" t="n"/>
      <c r="Y1708" s="88" t="n"/>
      <c r="Z1708" s="89" t="n"/>
      <c r="AB1708" s="25">
        <f>IF($B1708="","",(COUNTIF(C1708:E1708,"?*")&lt;N(INDEX(Setup!$L$6:$L$23,1)))+(COUNTIF(G1708:I1708,"?*")&lt;N(INDEX(Setup!$L$6:$L$23,1)))+(COUNTIF(K1708:M1708,"?*")&lt;N(INDEX(Setup!$L$6:$L$23,1)))+(COUNTIF(O1708:Q1708,"?*")&lt;N(INDEX(Setup!$L$6:$L$23,1)))+(COUNTIF(S1708:U1708,"?*")&lt;N(INDEX(Setup!$L$6:$L$23,1)))+((W1708="")*(INDEX(Setup!$M$6:$M$23,1)="Y"))+((Y1708="")*(INDEX(Setup!$M$6:$M$23,1)="Y")))</f>
        <v/>
      </c>
      <c r="AC1708" s="90">
        <f>IF($B1708="","",IF(AB1708=0,"✓ covered","⚠ "&amp;AB1708&amp;IF(AB1708=1," gap"," gaps")))</f>
        <v/>
      </c>
    </row>
    <row r="1709" ht="17" customHeight="1">
      <c r="A1709" t="n">
        <v>35</v>
      </c>
      <c r="B1709" s="29">
        <f>IF(Setup!$K$7="","",Setup!$K$7)</f>
        <v/>
      </c>
      <c r="C1709" s="88" t="n"/>
      <c r="D1709" s="88" t="n"/>
      <c r="E1709" s="88" t="n"/>
      <c r="F1709" s="89" t="n"/>
      <c r="G1709" s="88" t="n"/>
      <c r="H1709" s="88" t="n"/>
      <c r="I1709" s="88" t="n"/>
      <c r="J1709" s="89" t="n"/>
      <c r="K1709" s="88" t="n"/>
      <c r="L1709" s="88" t="n"/>
      <c r="M1709" s="88" t="n"/>
      <c r="N1709" s="89" t="n"/>
      <c r="O1709" s="88" t="n"/>
      <c r="P1709" s="88" t="n"/>
      <c r="Q1709" s="88" t="n"/>
      <c r="R1709" s="89" t="n"/>
      <c r="S1709" s="88" t="n"/>
      <c r="T1709" s="88" t="n"/>
      <c r="U1709" s="88" t="n"/>
      <c r="V1709" s="89" t="n"/>
      <c r="W1709" s="88" t="n"/>
      <c r="X1709" s="89" t="n"/>
      <c r="Y1709" s="88" t="n"/>
      <c r="Z1709" s="89" t="n"/>
      <c r="AB1709" s="30">
        <f>IF($B1709="","",(COUNTIF(C1709:E1709,"?*")&lt;N(INDEX(Setup!$L$6:$L$23,2)))+(COUNTIF(G1709:I1709,"?*")&lt;N(INDEX(Setup!$L$6:$L$23,2)))+(COUNTIF(K1709:M1709,"?*")&lt;N(INDEX(Setup!$L$6:$L$23,2)))+(COUNTIF(O1709:Q1709,"?*")&lt;N(INDEX(Setup!$L$6:$L$23,2)))+(COUNTIF(S1709:U1709,"?*")&lt;N(INDEX(Setup!$L$6:$L$23,2)))+((W1709="")*(INDEX(Setup!$M$6:$M$23,2)="Y"))+((Y1709="")*(INDEX(Setup!$M$6:$M$23,2)="Y")))</f>
        <v/>
      </c>
      <c r="AC1709" s="91">
        <f>IF($B1709="","",IF(AB1709=0,"✓ covered","⚠ "&amp;AB1709&amp;IF(AB1709=1," gap"," gaps")))</f>
        <v/>
      </c>
    </row>
    <row r="1710" ht="17" customHeight="1">
      <c r="A1710" t="n">
        <v>35</v>
      </c>
      <c r="B1710" s="24">
        <f>IF(Setup!$K$8="","",Setup!$K$8)</f>
        <v/>
      </c>
      <c r="C1710" s="88" t="n"/>
      <c r="D1710" s="88" t="n"/>
      <c r="E1710" s="88" t="n"/>
      <c r="F1710" s="89" t="n"/>
      <c r="G1710" s="88" t="n"/>
      <c r="H1710" s="88" t="n"/>
      <c r="I1710" s="88" t="n"/>
      <c r="J1710" s="89" t="n"/>
      <c r="K1710" s="88" t="n"/>
      <c r="L1710" s="88" t="n"/>
      <c r="M1710" s="88" t="n"/>
      <c r="N1710" s="89" t="n"/>
      <c r="O1710" s="88" t="n"/>
      <c r="P1710" s="88" t="n"/>
      <c r="Q1710" s="88" t="n"/>
      <c r="R1710" s="89" t="n"/>
      <c r="S1710" s="88" t="n"/>
      <c r="T1710" s="88" t="n"/>
      <c r="U1710" s="88" t="n"/>
      <c r="V1710" s="89" t="n"/>
      <c r="W1710" s="88" t="n"/>
      <c r="X1710" s="89" t="n"/>
      <c r="Y1710" s="88" t="n"/>
      <c r="Z1710" s="89" t="n"/>
      <c r="AB1710" s="25">
        <f>IF($B1710="","",(COUNTIF(C1710:E1710,"?*")&lt;N(INDEX(Setup!$L$6:$L$23,3)))+(COUNTIF(G1710:I1710,"?*")&lt;N(INDEX(Setup!$L$6:$L$23,3)))+(COUNTIF(K1710:M1710,"?*")&lt;N(INDEX(Setup!$L$6:$L$23,3)))+(COUNTIF(O1710:Q1710,"?*")&lt;N(INDEX(Setup!$L$6:$L$23,3)))+(COUNTIF(S1710:U1710,"?*")&lt;N(INDEX(Setup!$L$6:$L$23,3)))+((W1710="")*(INDEX(Setup!$M$6:$M$23,3)="Y"))+((Y1710="")*(INDEX(Setup!$M$6:$M$23,3)="Y")))</f>
        <v/>
      </c>
      <c r="AC1710" s="90">
        <f>IF($B1710="","",IF(AB1710=0,"✓ covered","⚠ "&amp;AB1710&amp;IF(AB1710=1," gap"," gaps")))</f>
        <v/>
      </c>
    </row>
    <row r="1711" ht="17" customHeight="1">
      <c r="A1711" t="n">
        <v>35</v>
      </c>
      <c r="B1711" s="29">
        <f>IF(Setup!$K$9="","",Setup!$K$9)</f>
        <v/>
      </c>
      <c r="C1711" s="88" t="n"/>
      <c r="D1711" s="88" t="n"/>
      <c r="E1711" s="88" t="n"/>
      <c r="F1711" s="89" t="n"/>
      <c r="G1711" s="88" t="n"/>
      <c r="H1711" s="88" t="n"/>
      <c r="I1711" s="88" t="n"/>
      <c r="J1711" s="89" t="n"/>
      <c r="K1711" s="88" t="n"/>
      <c r="L1711" s="88" t="n"/>
      <c r="M1711" s="88" t="n"/>
      <c r="N1711" s="89" t="n"/>
      <c r="O1711" s="88" t="n"/>
      <c r="P1711" s="88" t="n"/>
      <c r="Q1711" s="88" t="n"/>
      <c r="R1711" s="89" t="n"/>
      <c r="S1711" s="88" t="n"/>
      <c r="T1711" s="88" t="n"/>
      <c r="U1711" s="88" t="n"/>
      <c r="V1711" s="89" t="n"/>
      <c r="W1711" s="88" t="n"/>
      <c r="X1711" s="89" t="n"/>
      <c r="Y1711" s="88" t="n"/>
      <c r="Z1711" s="89" t="n"/>
      <c r="AB1711" s="30">
        <f>IF($B1711="","",(COUNTIF(C1711:E1711,"?*")&lt;N(INDEX(Setup!$L$6:$L$23,4)))+(COUNTIF(G1711:I1711,"?*")&lt;N(INDEX(Setup!$L$6:$L$23,4)))+(COUNTIF(K1711:M1711,"?*")&lt;N(INDEX(Setup!$L$6:$L$23,4)))+(COUNTIF(O1711:Q1711,"?*")&lt;N(INDEX(Setup!$L$6:$L$23,4)))+(COUNTIF(S1711:U1711,"?*")&lt;N(INDEX(Setup!$L$6:$L$23,4)))+((W1711="")*(INDEX(Setup!$M$6:$M$23,4)="Y"))+((Y1711="")*(INDEX(Setup!$M$6:$M$23,4)="Y")))</f>
        <v/>
      </c>
      <c r="AC1711" s="91">
        <f>IF($B1711="","",IF(AB1711=0,"✓ covered","⚠ "&amp;AB1711&amp;IF(AB1711=1," gap"," gaps")))</f>
        <v/>
      </c>
    </row>
    <row r="1712" ht="17" customHeight="1">
      <c r="A1712" t="n">
        <v>35</v>
      </c>
      <c r="B1712" s="24">
        <f>IF(Setup!$K$10="","",Setup!$K$10)</f>
        <v/>
      </c>
      <c r="C1712" s="88" t="n"/>
      <c r="D1712" s="88" t="n"/>
      <c r="E1712" s="88" t="n"/>
      <c r="F1712" s="89" t="n"/>
      <c r="G1712" s="88" t="n"/>
      <c r="H1712" s="88" t="n"/>
      <c r="I1712" s="88" t="n"/>
      <c r="J1712" s="89" t="n"/>
      <c r="K1712" s="88" t="n"/>
      <c r="L1712" s="88" t="n"/>
      <c r="M1712" s="88" t="n"/>
      <c r="N1712" s="89" t="n"/>
      <c r="O1712" s="88" t="n"/>
      <c r="P1712" s="88" t="n"/>
      <c r="Q1712" s="88" t="n"/>
      <c r="R1712" s="89" t="n"/>
      <c r="S1712" s="88" t="n"/>
      <c r="T1712" s="88" t="n"/>
      <c r="U1712" s="88" t="n"/>
      <c r="V1712" s="89" t="n"/>
      <c r="W1712" s="88" t="n"/>
      <c r="X1712" s="89" t="n"/>
      <c r="Y1712" s="88" t="n"/>
      <c r="Z1712" s="89" t="n"/>
      <c r="AB1712" s="25">
        <f>IF($B1712="","",(COUNTIF(C1712:E1712,"?*")&lt;N(INDEX(Setup!$L$6:$L$23,5)))+(COUNTIF(G1712:I1712,"?*")&lt;N(INDEX(Setup!$L$6:$L$23,5)))+(COUNTIF(K1712:M1712,"?*")&lt;N(INDEX(Setup!$L$6:$L$23,5)))+(COUNTIF(O1712:Q1712,"?*")&lt;N(INDEX(Setup!$L$6:$L$23,5)))+(COUNTIF(S1712:U1712,"?*")&lt;N(INDEX(Setup!$L$6:$L$23,5)))+((W1712="")*(INDEX(Setup!$M$6:$M$23,5)="Y"))+((Y1712="")*(INDEX(Setup!$M$6:$M$23,5)="Y")))</f>
        <v/>
      </c>
      <c r="AC1712" s="90">
        <f>IF($B1712="","",IF(AB1712=0,"✓ covered","⚠ "&amp;AB1712&amp;IF(AB1712=1," gap"," gaps")))</f>
        <v/>
      </c>
    </row>
    <row r="1713" ht="17" customHeight="1">
      <c r="A1713" t="n">
        <v>35</v>
      </c>
      <c r="B1713" s="29">
        <f>IF(Setup!$K$11="","",Setup!$K$11)</f>
        <v/>
      </c>
      <c r="C1713" s="88" t="n"/>
      <c r="D1713" s="88" t="n"/>
      <c r="E1713" s="88" t="n"/>
      <c r="F1713" s="89" t="n"/>
      <c r="G1713" s="88" t="n"/>
      <c r="H1713" s="88" t="n"/>
      <c r="I1713" s="88" t="n"/>
      <c r="J1713" s="89" t="n"/>
      <c r="K1713" s="88" t="n"/>
      <c r="L1713" s="88" t="n"/>
      <c r="M1713" s="88" t="n"/>
      <c r="N1713" s="89" t="n"/>
      <c r="O1713" s="88" t="n"/>
      <c r="P1713" s="88" t="n"/>
      <c r="Q1713" s="88" t="n"/>
      <c r="R1713" s="89" t="n"/>
      <c r="S1713" s="88" t="n"/>
      <c r="T1713" s="88" t="n"/>
      <c r="U1713" s="88" t="n"/>
      <c r="V1713" s="89" t="n"/>
      <c r="W1713" s="88" t="n"/>
      <c r="X1713" s="89" t="n"/>
      <c r="Y1713" s="88" t="n"/>
      <c r="Z1713" s="89" t="n"/>
      <c r="AB1713" s="30">
        <f>IF($B1713="","",(COUNTIF(C1713:E1713,"?*")&lt;N(INDEX(Setup!$L$6:$L$23,6)))+(COUNTIF(G1713:I1713,"?*")&lt;N(INDEX(Setup!$L$6:$L$23,6)))+(COUNTIF(K1713:M1713,"?*")&lt;N(INDEX(Setup!$L$6:$L$23,6)))+(COUNTIF(O1713:Q1713,"?*")&lt;N(INDEX(Setup!$L$6:$L$23,6)))+(COUNTIF(S1713:U1713,"?*")&lt;N(INDEX(Setup!$L$6:$L$23,6)))+((W1713="")*(INDEX(Setup!$M$6:$M$23,6)="Y"))+((Y1713="")*(INDEX(Setup!$M$6:$M$23,6)="Y")))</f>
        <v/>
      </c>
      <c r="AC1713" s="91">
        <f>IF($B1713="","",IF(AB1713=0,"✓ covered","⚠ "&amp;AB1713&amp;IF(AB1713=1," gap"," gaps")))</f>
        <v/>
      </c>
    </row>
    <row r="1714" ht="17" customHeight="1">
      <c r="A1714" t="n">
        <v>35</v>
      </c>
      <c r="B1714" s="24">
        <f>IF(Setup!$K$12="","",Setup!$K$12)</f>
        <v/>
      </c>
      <c r="C1714" s="88" t="n"/>
      <c r="D1714" s="88" t="n"/>
      <c r="E1714" s="88" t="n"/>
      <c r="F1714" s="89" t="n"/>
      <c r="G1714" s="88" t="n"/>
      <c r="H1714" s="88" t="n"/>
      <c r="I1714" s="88" t="n"/>
      <c r="J1714" s="89" t="n"/>
      <c r="K1714" s="88" t="n"/>
      <c r="L1714" s="88" t="n"/>
      <c r="M1714" s="88" t="n"/>
      <c r="N1714" s="89" t="n"/>
      <c r="O1714" s="88" t="n"/>
      <c r="P1714" s="88" t="n"/>
      <c r="Q1714" s="88" t="n"/>
      <c r="R1714" s="89" t="n"/>
      <c r="S1714" s="88" t="n"/>
      <c r="T1714" s="88" t="n"/>
      <c r="U1714" s="88" t="n"/>
      <c r="V1714" s="89" t="n"/>
      <c r="W1714" s="88" t="n"/>
      <c r="X1714" s="89" t="n"/>
      <c r="Y1714" s="88" t="n"/>
      <c r="Z1714" s="89" t="n"/>
      <c r="AB1714" s="25">
        <f>IF($B1714="","",(COUNTIF(C1714:E1714,"?*")&lt;N(INDEX(Setup!$L$6:$L$23,7)))+(COUNTIF(G1714:I1714,"?*")&lt;N(INDEX(Setup!$L$6:$L$23,7)))+(COUNTIF(K1714:M1714,"?*")&lt;N(INDEX(Setup!$L$6:$L$23,7)))+(COUNTIF(O1714:Q1714,"?*")&lt;N(INDEX(Setup!$L$6:$L$23,7)))+(COUNTIF(S1714:U1714,"?*")&lt;N(INDEX(Setup!$L$6:$L$23,7)))+((W1714="")*(INDEX(Setup!$M$6:$M$23,7)="Y"))+((Y1714="")*(INDEX(Setup!$M$6:$M$23,7)="Y")))</f>
        <v/>
      </c>
      <c r="AC1714" s="90">
        <f>IF($B1714="","",IF(AB1714=0,"✓ covered","⚠ "&amp;AB1714&amp;IF(AB1714=1," gap"," gaps")))</f>
        <v/>
      </c>
    </row>
    <row r="1715" ht="17" customHeight="1">
      <c r="A1715" t="n">
        <v>35</v>
      </c>
      <c r="B1715" s="29">
        <f>IF(Setup!$K$13="","",Setup!$K$13)</f>
        <v/>
      </c>
      <c r="C1715" s="88" t="n"/>
      <c r="D1715" s="88" t="n"/>
      <c r="E1715" s="88" t="n"/>
      <c r="F1715" s="89" t="n"/>
      <c r="G1715" s="88" t="n"/>
      <c r="H1715" s="88" t="n"/>
      <c r="I1715" s="88" t="n"/>
      <c r="J1715" s="89" t="n"/>
      <c r="K1715" s="88" t="n"/>
      <c r="L1715" s="88" t="n"/>
      <c r="M1715" s="88" t="n"/>
      <c r="N1715" s="89" t="n"/>
      <c r="O1715" s="88" t="n"/>
      <c r="P1715" s="88" t="n"/>
      <c r="Q1715" s="88" t="n"/>
      <c r="R1715" s="89" t="n"/>
      <c r="S1715" s="88" t="n"/>
      <c r="T1715" s="88" t="n"/>
      <c r="U1715" s="88" t="n"/>
      <c r="V1715" s="89" t="n"/>
      <c r="W1715" s="88" t="n"/>
      <c r="X1715" s="89" t="n"/>
      <c r="Y1715" s="88" t="n"/>
      <c r="Z1715" s="89" t="n"/>
      <c r="AB1715" s="30">
        <f>IF($B1715="","",(COUNTIF(C1715:E1715,"?*")&lt;N(INDEX(Setup!$L$6:$L$23,8)))+(COUNTIF(G1715:I1715,"?*")&lt;N(INDEX(Setup!$L$6:$L$23,8)))+(COUNTIF(K1715:M1715,"?*")&lt;N(INDEX(Setup!$L$6:$L$23,8)))+(COUNTIF(O1715:Q1715,"?*")&lt;N(INDEX(Setup!$L$6:$L$23,8)))+(COUNTIF(S1715:U1715,"?*")&lt;N(INDEX(Setup!$L$6:$L$23,8)))+((W1715="")*(INDEX(Setup!$M$6:$M$23,8)="Y"))+((Y1715="")*(INDEX(Setup!$M$6:$M$23,8)="Y")))</f>
        <v/>
      </c>
      <c r="AC1715" s="91">
        <f>IF($B1715="","",IF(AB1715=0,"✓ covered","⚠ "&amp;AB1715&amp;IF(AB1715=1," gap"," gaps")))</f>
        <v/>
      </c>
    </row>
    <row r="1716" ht="17" customHeight="1">
      <c r="A1716" t="n">
        <v>35</v>
      </c>
      <c r="B1716" s="24">
        <f>IF(Setup!$K$14="","",Setup!$K$14)</f>
        <v/>
      </c>
      <c r="C1716" s="88" t="n"/>
      <c r="D1716" s="88" t="n"/>
      <c r="E1716" s="88" t="n"/>
      <c r="F1716" s="89" t="n"/>
      <c r="G1716" s="88" t="n"/>
      <c r="H1716" s="88" t="n"/>
      <c r="I1716" s="88" t="n"/>
      <c r="J1716" s="89" t="n"/>
      <c r="K1716" s="88" t="n"/>
      <c r="L1716" s="88" t="n"/>
      <c r="M1716" s="88" t="n"/>
      <c r="N1716" s="89" t="n"/>
      <c r="O1716" s="88" t="n"/>
      <c r="P1716" s="88" t="n"/>
      <c r="Q1716" s="88" t="n"/>
      <c r="R1716" s="89" t="n"/>
      <c r="S1716" s="88" t="n"/>
      <c r="T1716" s="88" t="n"/>
      <c r="U1716" s="88" t="n"/>
      <c r="V1716" s="89" t="n"/>
      <c r="W1716" s="88" t="n"/>
      <c r="X1716" s="89" t="n"/>
      <c r="Y1716" s="88" t="n"/>
      <c r="Z1716" s="89" t="n"/>
      <c r="AB1716" s="25">
        <f>IF($B1716="","",(COUNTIF(C1716:E1716,"?*")&lt;N(INDEX(Setup!$L$6:$L$23,9)))+(COUNTIF(G1716:I1716,"?*")&lt;N(INDEX(Setup!$L$6:$L$23,9)))+(COUNTIF(K1716:M1716,"?*")&lt;N(INDEX(Setup!$L$6:$L$23,9)))+(COUNTIF(O1716:Q1716,"?*")&lt;N(INDEX(Setup!$L$6:$L$23,9)))+(COUNTIF(S1716:U1716,"?*")&lt;N(INDEX(Setup!$L$6:$L$23,9)))+((W1716="")*(INDEX(Setup!$M$6:$M$23,9)="Y"))+((Y1716="")*(INDEX(Setup!$M$6:$M$23,9)="Y")))</f>
        <v/>
      </c>
      <c r="AC1716" s="90">
        <f>IF($B1716="","",IF(AB1716=0,"✓ covered","⚠ "&amp;AB1716&amp;IF(AB1716=1," gap"," gaps")))</f>
        <v/>
      </c>
    </row>
    <row r="1717" ht="17" customHeight="1">
      <c r="A1717" t="n">
        <v>35</v>
      </c>
      <c r="B1717" s="29">
        <f>IF(Setup!$K$15="","",Setup!$K$15)</f>
        <v/>
      </c>
      <c r="C1717" s="88" t="n"/>
      <c r="D1717" s="88" t="n"/>
      <c r="E1717" s="88" t="n"/>
      <c r="F1717" s="89" t="n"/>
      <c r="G1717" s="88" t="n"/>
      <c r="H1717" s="88" t="n"/>
      <c r="I1717" s="88" t="n"/>
      <c r="J1717" s="89" t="n"/>
      <c r="K1717" s="88" t="n"/>
      <c r="L1717" s="88" t="n"/>
      <c r="M1717" s="88" t="n"/>
      <c r="N1717" s="89" t="n"/>
      <c r="O1717" s="88" t="n"/>
      <c r="P1717" s="88" t="n"/>
      <c r="Q1717" s="88" t="n"/>
      <c r="R1717" s="89" t="n"/>
      <c r="S1717" s="88" t="n"/>
      <c r="T1717" s="88" t="n"/>
      <c r="U1717" s="88" t="n"/>
      <c r="V1717" s="89" t="n"/>
      <c r="W1717" s="88" t="n"/>
      <c r="X1717" s="89" t="n"/>
      <c r="Y1717" s="88" t="n"/>
      <c r="Z1717" s="89" t="n"/>
      <c r="AB1717" s="30">
        <f>IF($B1717="","",(COUNTIF(C1717:E1717,"?*")&lt;N(INDEX(Setup!$L$6:$L$23,10)))+(COUNTIF(G1717:I1717,"?*")&lt;N(INDEX(Setup!$L$6:$L$23,10)))+(COUNTIF(K1717:M1717,"?*")&lt;N(INDEX(Setup!$L$6:$L$23,10)))+(COUNTIF(O1717:Q1717,"?*")&lt;N(INDEX(Setup!$L$6:$L$23,10)))+(COUNTIF(S1717:U1717,"?*")&lt;N(INDEX(Setup!$L$6:$L$23,10)))+((W1717="")*(INDEX(Setup!$M$6:$M$23,10)="Y"))+((Y1717="")*(INDEX(Setup!$M$6:$M$23,10)="Y")))</f>
        <v/>
      </c>
      <c r="AC1717" s="91">
        <f>IF($B1717="","",IF(AB1717=0,"✓ covered","⚠ "&amp;AB1717&amp;IF(AB1717=1," gap"," gaps")))</f>
        <v/>
      </c>
    </row>
    <row r="1718" ht="17" customHeight="1">
      <c r="A1718" t="n">
        <v>35</v>
      </c>
      <c r="B1718" s="24">
        <f>IF(Setup!$K$16="","",Setup!$K$16)</f>
        <v/>
      </c>
      <c r="C1718" s="88" t="n"/>
      <c r="D1718" s="88" t="n"/>
      <c r="E1718" s="88" t="n"/>
      <c r="F1718" s="89" t="n"/>
      <c r="G1718" s="88" t="n"/>
      <c r="H1718" s="88" t="n"/>
      <c r="I1718" s="88" t="n"/>
      <c r="J1718" s="89" t="n"/>
      <c r="K1718" s="88" t="n"/>
      <c r="L1718" s="88" t="n"/>
      <c r="M1718" s="88" t="n"/>
      <c r="N1718" s="89" t="n"/>
      <c r="O1718" s="88" t="n"/>
      <c r="P1718" s="88" t="n"/>
      <c r="Q1718" s="88" t="n"/>
      <c r="R1718" s="89" t="n"/>
      <c r="S1718" s="88" t="n"/>
      <c r="T1718" s="88" t="n"/>
      <c r="U1718" s="88" t="n"/>
      <c r="V1718" s="89" t="n"/>
      <c r="W1718" s="88" t="n"/>
      <c r="X1718" s="89" t="n"/>
      <c r="Y1718" s="88" t="n"/>
      <c r="Z1718" s="89" t="n"/>
      <c r="AB1718" s="25">
        <f>IF($B1718="","",(COUNTIF(C1718:E1718,"?*")&lt;N(INDEX(Setup!$L$6:$L$23,11)))+(COUNTIF(G1718:I1718,"?*")&lt;N(INDEX(Setup!$L$6:$L$23,11)))+(COUNTIF(K1718:M1718,"?*")&lt;N(INDEX(Setup!$L$6:$L$23,11)))+(COUNTIF(O1718:Q1718,"?*")&lt;N(INDEX(Setup!$L$6:$L$23,11)))+(COUNTIF(S1718:U1718,"?*")&lt;N(INDEX(Setup!$L$6:$L$23,11)))+((W1718="")*(INDEX(Setup!$M$6:$M$23,11)="Y"))+((Y1718="")*(INDEX(Setup!$M$6:$M$23,11)="Y")))</f>
        <v/>
      </c>
      <c r="AC1718" s="90">
        <f>IF($B1718="","",IF(AB1718=0,"✓ covered","⚠ "&amp;AB1718&amp;IF(AB1718=1," gap"," gaps")))</f>
        <v/>
      </c>
    </row>
    <row r="1719" ht="17" customHeight="1">
      <c r="A1719" t="n">
        <v>35</v>
      </c>
      <c r="B1719" s="29">
        <f>IF(Setup!$K$17="","",Setup!$K$17)</f>
        <v/>
      </c>
      <c r="C1719" s="88" t="n"/>
      <c r="D1719" s="88" t="n"/>
      <c r="E1719" s="88" t="n"/>
      <c r="F1719" s="89" t="n"/>
      <c r="G1719" s="88" t="n"/>
      <c r="H1719" s="88" t="n"/>
      <c r="I1719" s="88" t="n"/>
      <c r="J1719" s="89" t="n"/>
      <c r="K1719" s="88" t="n"/>
      <c r="L1719" s="88" t="n"/>
      <c r="M1719" s="88" t="n"/>
      <c r="N1719" s="89" t="n"/>
      <c r="O1719" s="88" t="n"/>
      <c r="P1719" s="88" t="n"/>
      <c r="Q1719" s="88" t="n"/>
      <c r="R1719" s="89" t="n"/>
      <c r="S1719" s="88" t="n"/>
      <c r="T1719" s="88" t="n"/>
      <c r="U1719" s="88" t="n"/>
      <c r="V1719" s="89" t="n"/>
      <c r="W1719" s="88" t="n"/>
      <c r="X1719" s="89" t="n"/>
      <c r="Y1719" s="88" t="n"/>
      <c r="Z1719" s="89" t="n"/>
      <c r="AB1719" s="30">
        <f>IF($B1719="","",(COUNTIF(C1719:E1719,"?*")&lt;N(INDEX(Setup!$L$6:$L$23,12)))+(COUNTIF(G1719:I1719,"?*")&lt;N(INDEX(Setup!$L$6:$L$23,12)))+(COUNTIF(K1719:M1719,"?*")&lt;N(INDEX(Setup!$L$6:$L$23,12)))+(COUNTIF(O1719:Q1719,"?*")&lt;N(INDEX(Setup!$L$6:$L$23,12)))+(COUNTIF(S1719:U1719,"?*")&lt;N(INDEX(Setup!$L$6:$L$23,12)))+((W1719="")*(INDEX(Setup!$M$6:$M$23,12)="Y"))+((Y1719="")*(INDEX(Setup!$M$6:$M$23,12)="Y")))</f>
        <v/>
      </c>
      <c r="AC1719" s="91">
        <f>IF($B1719="","",IF(AB1719=0,"✓ covered","⚠ "&amp;AB1719&amp;IF(AB1719=1," gap"," gaps")))</f>
        <v/>
      </c>
    </row>
    <row r="1720" ht="17" customHeight="1">
      <c r="A1720" t="n">
        <v>35</v>
      </c>
      <c r="B1720" s="24">
        <f>IF(Setup!$K$18="","",Setup!$K$18)</f>
        <v/>
      </c>
      <c r="C1720" s="88" t="n"/>
      <c r="D1720" s="88" t="n"/>
      <c r="E1720" s="88" t="n"/>
      <c r="F1720" s="89" t="n"/>
      <c r="G1720" s="88" t="n"/>
      <c r="H1720" s="88" t="n"/>
      <c r="I1720" s="88" t="n"/>
      <c r="J1720" s="89" t="n"/>
      <c r="K1720" s="88" t="n"/>
      <c r="L1720" s="88" t="n"/>
      <c r="M1720" s="88" t="n"/>
      <c r="N1720" s="89" t="n"/>
      <c r="O1720" s="88" t="n"/>
      <c r="P1720" s="88" t="n"/>
      <c r="Q1720" s="88" t="n"/>
      <c r="R1720" s="89" t="n"/>
      <c r="S1720" s="88" t="n"/>
      <c r="T1720" s="88" t="n"/>
      <c r="U1720" s="88" t="n"/>
      <c r="V1720" s="89" t="n"/>
      <c r="W1720" s="88" t="n"/>
      <c r="X1720" s="89" t="n"/>
      <c r="Y1720" s="88" t="n"/>
      <c r="Z1720" s="89" t="n"/>
      <c r="AB1720" s="25">
        <f>IF($B1720="","",(COUNTIF(C1720:E1720,"?*")&lt;N(INDEX(Setup!$L$6:$L$23,13)))+(COUNTIF(G1720:I1720,"?*")&lt;N(INDEX(Setup!$L$6:$L$23,13)))+(COUNTIF(K1720:M1720,"?*")&lt;N(INDEX(Setup!$L$6:$L$23,13)))+(COUNTIF(O1720:Q1720,"?*")&lt;N(INDEX(Setup!$L$6:$L$23,13)))+(COUNTIF(S1720:U1720,"?*")&lt;N(INDEX(Setup!$L$6:$L$23,13)))+((W1720="")*(INDEX(Setup!$M$6:$M$23,13)="Y"))+((Y1720="")*(INDEX(Setup!$M$6:$M$23,13)="Y")))</f>
        <v/>
      </c>
      <c r="AC1720" s="90">
        <f>IF($B1720="","",IF(AB1720=0,"✓ covered","⚠ "&amp;AB1720&amp;IF(AB1720=1," gap"," gaps")))</f>
        <v/>
      </c>
    </row>
    <row r="1721" ht="17" customHeight="1">
      <c r="A1721" t="n">
        <v>35</v>
      </c>
      <c r="B1721" s="29">
        <f>IF(Setup!$K$19="","",Setup!$K$19)</f>
        <v/>
      </c>
      <c r="C1721" s="88" t="n"/>
      <c r="D1721" s="88" t="n"/>
      <c r="E1721" s="88" t="n"/>
      <c r="F1721" s="89" t="n"/>
      <c r="G1721" s="88" t="n"/>
      <c r="H1721" s="88" t="n"/>
      <c r="I1721" s="88" t="n"/>
      <c r="J1721" s="89" t="n"/>
      <c r="K1721" s="88" t="n"/>
      <c r="L1721" s="88" t="n"/>
      <c r="M1721" s="88" t="n"/>
      <c r="N1721" s="89" t="n"/>
      <c r="O1721" s="88" t="n"/>
      <c r="P1721" s="88" t="n"/>
      <c r="Q1721" s="88" t="n"/>
      <c r="R1721" s="89" t="n"/>
      <c r="S1721" s="88" t="n"/>
      <c r="T1721" s="88" t="n"/>
      <c r="U1721" s="88" t="n"/>
      <c r="V1721" s="89" t="n"/>
      <c r="W1721" s="88" t="n"/>
      <c r="X1721" s="89" t="n"/>
      <c r="Y1721" s="88" t="n"/>
      <c r="Z1721" s="89" t="n"/>
      <c r="AB1721" s="30">
        <f>IF($B1721="","",(COUNTIF(C1721:E1721,"?*")&lt;N(INDEX(Setup!$L$6:$L$23,14)))+(COUNTIF(G1721:I1721,"?*")&lt;N(INDEX(Setup!$L$6:$L$23,14)))+(COUNTIF(K1721:M1721,"?*")&lt;N(INDEX(Setup!$L$6:$L$23,14)))+(COUNTIF(O1721:Q1721,"?*")&lt;N(INDEX(Setup!$L$6:$L$23,14)))+(COUNTIF(S1721:U1721,"?*")&lt;N(INDEX(Setup!$L$6:$L$23,14)))+((W1721="")*(INDEX(Setup!$M$6:$M$23,14)="Y"))+((Y1721="")*(INDEX(Setup!$M$6:$M$23,14)="Y")))</f>
        <v/>
      </c>
      <c r="AC1721" s="91">
        <f>IF($B1721="","",IF(AB1721=0,"✓ covered","⚠ "&amp;AB1721&amp;IF(AB1721=1," gap"," gaps")))</f>
        <v/>
      </c>
    </row>
    <row r="1722" ht="17" customHeight="1">
      <c r="A1722" t="n">
        <v>35</v>
      </c>
      <c r="B1722" s="24">
        <f>IF(Setup!$K$20="","",Setup!$K$20)</f>
        <v/>
      </c>
      <c r="C1722" s="88" t="n"/>
      <c r="D1722" s="88" t="n"/>
      <c r="E1722" s="88" t="n"/>
      <c r="F1722" s="89" t="n"/>
      <c r="G1722" s="88" t="n"/>
      <c r="H1722" s="88" t="n"/>
      <c r="I1722" s="88" t="n"/>
      <c r="J1722" s="89" t="n"/>
      <c r="K1722" s="88" t="n"/>
      <c r="L1722" s="88" t="n"/>
      <c r="M1722" s="88" t="n"/>
      <c r="N1722" s="89" t="n"/>
      <c r="O1722" s="88" t="n"/>
      <c r="P1722" s="88" t="n"/>
      <c r="Q1722" s="88" t="n"/>
      <c r="R1722" s="89" t="n"/>
      <c r="S1722" s="88" t="n"/>
      <c r="T1722" s="88" t="n"/>
      <c r="U1722" s="88" t="n"/>
      <c r="V1722" s="89" t="n"/>
      <c r="W1722" s="88" t="n"/>
      <c r="X1722" s="89" t="n"/>
      <c r="Y1722" s="88" t="n"/>
      <c r="Z1722" s="89" t="n"/>
      <c r="AB1722" s="25">
        <f>IF($B1722="","",(COUNTIF(C1722:E1722,"?*")&lt;N(INDEX(Setup!$L$6:$L$23,15)))+(COUNTIF(G1722:I1722,"?*")&lt;N(INDEX(Setup!$L$6:$L$23,15)))+(COUNTIF(K1722:M1722,"?*")&lt;N(INDEX(Setup!$L$6:$L$23,15)))+(COUNTIF(O1722:Q1722,"?*")&lt;N(INDEX(Setup!$L$6:$L$23,15)))+(COUNTIF(S1722:U1722,"?*")&lt;N(INDEX(Setup!$L$6:$L$23,15)))+((W1722="")*(INDEX(Setup!$M$6:$M$23,15)="Y"))+((Y1722="")*(INDEX(Setup!$M$6:$M$23,15)="Y")))</f>
        <v/>
      </c>
      <c r="AC1722" s="90">
        <f>IF($B1722="","",IF(AB1722=0,"✓ covered","⚠ "&amp;AB1722&amp;IF(AB1722=1," gap"," gaps")))</f>
        <v/>
      </c>
    </row>
    <row r="1723" ht="17" customHeight="1">
      <c r="A1723" t="n">
        <v>35</v>
      </c>
      <c r="B1723" s="29">
        <f>IF(Setup!$K$21="","",Setup!$K$21)</f>
        <v/>
      </c>
      <c r="C1723" s="88" t="n"/>
      <c r="D1723" s="88" t="n"/>
      <c r="E1723" s="88" t="n"/>
      <c r="F1723" s="89" t="n"/>
      <c r="G1723" s="88" t="n"/>
      <c r="H1723" s="88" t="n"/>
      <c r="I1723" s="88" t="n"/>
      <c r="J1723" s="89" t="n"/>
      <c r="K1723" s="88" t="n"/>
      <c r="L1723" s="88" t="n"/>
      <c r="M1723" s="88" t="n"/>
      <c r="N1723" s="89" t="n"/>
      <c r="O1723" s="88" t="n"/>
      <c r="P1723" s="88" t="n"/>
      <c r="Q1723" s="88" t="n"/>
      <c r="R1723" s="89" t="n"/>
      <c r="S1723" s="88" t="n"/>
      <c r="T1723" s="88" t="n"/>
      <c r="U1723" s="88" t="n"/>
      <c r="V1723" s="89" t="n"/>
      <c r="W1723" s="88" t="n"/>
      <c r="X1723" s="89" t="n"/>
      <c r="Y1723" s="88" t="n"/>
      <c r="Z1723" s="89" t="n"/>
      <c r="AB1723" s="30">
        <f>IF($B1723="","",(COUNTIF(C1723:E1723,"?*")&lt;N(INDEX(Setup!$L$6:$L$23,16)))+(COUNTIF(G1723:I1723,"?*")&lt;N(INDEX(Setup!$L$6:$L$23,16)))+(COUNTIF(K1723:M1723,"?*")&lt;N(INDEX(Setup!$L$6:$L$23,16)))+(COUNTIF(O1723:Q1723,"?*")&lt;N(INDEX(Setup!$L$6:$L$23,16)))+(COUNTIF(S1723:U1723,"?*")&lt;N(INDEX(Setup!$L$6:$L$23,16)))+((W1723="")*(INDEX(Setup!$M$6:$M$23,16)="Y"))+((Y1723="")*(INDEX(Setup!$M$6:$M$23,16)="Y")))</f>
        <v/>
      </c>
      <c r="AC1723" s="91">
        <f>IF($B1723="","",IF(AB1723=0,"✓ covered","⚠ "&amp;AB1723&amp;IF(AB1723=1," gap"," gaps")))</f>
        <v/>
      </c>
    </row>
    <row r="1724" ht="17" customHeight="1">
      <c r="A1724" t="n">
        <v>35</v>
      </c>
      <c r="B1724" s="24">
        <f>IF(Setup!$K$22="","",Setup!$K$22)</f>
        <v/>
      </c>
      <c r="C1724" s="88" t="n"/>
      <c r="D1724" s="88" t="n"/>
      <c r="E1724" s="88" t="n"/>
      <c r="F1724" s="89" t="n"/>
      <c r="G1724" s="88" t="n"/>
      <c r="H1724" s="88" t="n"/>
      <c r="I1724" s="88" t="n"/>
      <c r="J1724" s="89" t="n"/>
      <c r="K1724" s="88" t="n"/>
      <c r="L1724" s="88" t="n"/>
      <c r="M1724" s="88" t="n"/>
      <c r="N1724" s="89" t="n"/>
      <c r="O1724" s="88" t="n"/>
      <c r="P1724" s="88" t="n"/>
      <c r="Q1724" s="88" t="n"/>
      <c r="R1724" s="89" t="n"/>
      <c r="S1724" s="88" t="n"/>
      <c r="T1724" s="88" t="n"/>
      <c r="U1724" s="88" t="n"/>
      <c r="V1724" s="89" t="n"/>
      <c r="W1724" s="88" t="n"/>
      <c r="X1724" s="89" t="n"/>
      <c r="Y1724" s="88" t="n"/>
      <c r="Z1724" s="89" t="n"/>
      <c r="AB1724" s="25">
        <f>IF($B1724="","",(COUNTIF(C1724:E1724,"?*")&lt;N(INDEX(Setup!$L$6:$L$23,17)))+(COUNTIF(G1724:I1724,"?*")&lt;N(INDEX(Setup!$L$6:$L$23,17)))+(COUNTIF(K1724:M1724,"?*")&lt;N(INDEX(Setup!$L$6:$L$23,17)))+(COUNTIF(O1724:Q1724,"?*")&lt;N(INDEX(Setup!$L$6:$L$23,17)))+(COUNTIF(S1724:U1724,"?*")&lt;N(INDEX(Setup!$L$6:$L$23,17)))+((W1724="")*(INDEX(Setup!$M$6:$M$23,17)="Y"))+((Y1724="")*(INDEX(Setup!$M$6:$M$23,17)="Y")))</f>
        <v/>
      </c>
      <c r="AC1724" s="90">
        <f>IF($B1724="","",IF(AB1724=0,"✓ covered","⚠ "&amp;AB1724&amp;IF(AB1724=1," gap"," gaps")))</f>
        <v/>
      </c>
    </row>
    <row r="1725" ht="17" customHeight="1">
      <c r="A1725" t="n">
        <v>35</v>
      </c>
      <c r="B1725" s="29">
        <f>IF(Setup!$K$23="","",Setup!$K$23)</f>
        <v/>
      </c>
      <c r="C1725" s="88" t="n"/>
      <c r="D1725" s="88" t="n"/>
      <c r="E1725" s="88" t="n"/>
      <c r="F1725" s="89" t="n"/>
      <c r="G1725" s="88" t="n"/>
      <c r="H1725" s="88" t="n"/>
      <c r="I1725" s="88" t="n"/>
      <c r="J1725" s="89" t="n"/>
      <c r="K1725" s="88" t="n"/>
      <c r="L1725" s="88" t="n"/>
      <c r="M1725" s="88" t="n"/>
      <c r="N1725" s="89" t="n"/>
      <c r="O1725" s="88" t="n"/>
      <c r="P1725" s="88" t="n"/>
      <c r="Q1725" s="88" t="n"/>
      <c r="R1725" s="89" t="n"/>
      <c r="S1725" s="88" t="n"/>
      <c r="T1725" s="88" t="n"/>
      <c r="U1725" s="88" t="n"/>
      <c r="V1725" s="89" t="n"/>
      <c r="W1725" s="88" t="n"/>
      <c r="X1725" s="89" t="n"/>
      <c r="Y1725" s="88" t="n"/>
      <c r="Z1725" s="89" t="n"/>
      <c r="AB1725" s="30">
        <f>IF($B1725="","",(COUNTIF(C1725:E1725,"?*")&lt;N(INDEX(Setup!$L$6:$L$23,18)))+(COUNTIF(G1725:I1725,"?*")&lt;N(INDEX(Setup!$L$6:$L$23,18)))+(COUNTIF(K1725:M1725,"?*")&lt;N(INDEX(Setup!$L$6:$L$23,18)))+(COUNTIF(O1725:Q1725,"?*")&lt;N(INDEX(Setup!$L$6:$L$23,18)))+(COUNTIF(S1725:U1725,"?*")&lt;N(INDEX(Setup!$L$6:$L$23,18)))+((W1725="")*(INDEX(Setup!$M$6:$M$23,18)="Y"))+((Y1725="")*(INDEX(Setup!$M$6:$M$23,18)="Y")))</f>
        <v/>
      </c>
      <c r="AC1725" s="91">
        <f>IF($B1725="","",IF(AB1725=0,"✓ covered","⚠ "&amp;AB1725&amp;IF(AB1725=1," gap"," gaps")))</f>
        <v/>
      </c>
    </row>
    <row r="1726" ht="18" customHeight="1">
      <c r="A1726" t="n">
        <v>35</v>
      </c>
      <c r="B1726" s="78" t="inlineStr">
        <is>
          <t>TEAM AVAILABILITY</t>
        </is>
      </c>
      <c r="C1726" s="92" t="inlineStr">
        <is>
          <t>Mon</t>
        </is>
      </c>
      <c r="D1726" s="93" t="n"/>
      <c r="E1726" s="93" t="n"/>
      <c r="F1726" s="94" t="n"/>
      <c r="G1726" s="92" t="inlineStr">
        <is>
          <t>Tue</t>
        </is>
      </c>
      <c r="H1726" s="93" t="n"/>
      <c r="I1726" s="93" t="n"/>
      <c r="J1726" s="94" t="n"/>
      <c r="K1726" s="92" t="inlineStr">
        <is>
          <t>Wed</t>
        </is>
      </c>
      <c r="L1726" s="93" t="n"/>
      <c r="M1726" s="93" t="n"/>
      <c r="N1726" s="94" t="n"/>
      <c r="O1726" s="92" t="inlineStr">
        <is>
          <t>Thu</t>
        </is>
      </c>
      <c r="P1726" s="93" t="n"/>
      <c r="Q1726" s="93" t="n"/>
      <c r="R1726" s="94" t="n"/>
      <c r="S1726" s="92" t="inlineStr">
        <is>
          <t>Fri</t>
        </is>
      </c>
      <c r="T1726" s="93" t="n"/>
      <c r="U1726" s="93" t="n"/>
      <c r="V1726" s="94" t="n"/>
      <c r="W1726" s="95" t="inlineStr">
        <is>
          <t>Sat</t>
        </is>
      </c>
      <c r="X1726" s="96" t="n"/>
      <c r="Y1726" s="95" t="inlineStr">
        <is>
          <t>Sun</t>
        </is>
      </c>
      <c r="Z1726" s="96" t="n"/>
      <c r="AB1726" s="97" t="inlineStr">
        <is>
          <t>Days rostered</t>
        </is>
      </c>
      <c r="AC1726" s="97" t="inlineStr">
        <is>
          <t>Conflicts</t>
        </is>
      </c>
    </row>
    <row r="1727" ht="15" customHeight="1">
      <c r="A1727" t="n">
        <v>35</v>
      </c>
      <c r="B1727" s="35">
        <f>IF(Setup!$B$6="","",Setup!$B$6)</f>
        <v/>
      </c>
      <c r="C1727" s="98" t="n"/>
      <c r="D1727" s="99" t="n"/>
      <c r="E1727" s="99" t="n"/>
      <c r="F1727" s="100" t="n"/>
      <c r="G1727" s="98" t="n"/>
      <c r="H1727" s="99" t="n"/>
      <c r="I1727" s="99" t="n"/>
      <c r="J1727" s="100" t="n"/>
      <c r="K1727" s="98" t="n"/>
      <c r="L1727" s="99" t="n"/>
      <c r="M1727" s="99" t="n"/>
      <c r="N1727" s="100" t="n"/>
      <c r="O1727" s="98" t="n"/>
      <c r="P1727" s="99" t="n"/>
      <c r="Q1727" s="99" t="n"/>
      <c r="R1727" s="100" t="n"/>
      <c r="S1727" s="98" t="n"/>
      <c r="T1727" s="99" t="n"/>
      <c r="U1727" s="99" t="n"/>
      <c r="V1727" s="100" t="n"/>
      <c r="W1727" s="98" t="n"/>
      <c r="X1727" s="100" t="n"/>
      <c r="Y1727" s="98" t="n"/>
      <c r="Z1727" s="100" t="n"/>
      <c r="AB1727" s="101">
        <f>IF($B1727="","",(COUNTIF(C1708:E1725,$B1727)+COUNTIF(C1708:E1725,$B1727&amp;" ~*")&gt;0)+(COUNTIF(G1708:I1725,$B1727)+COUNTIF(G1708:I1725,$B1727&amp;" ~*")&gt;0)+(COUNTIF(K1708:M1725,$B1727)+COUNTIF(K1708:M1725,$B1727&amp;" ~*")&gt;0)+(COUNTIF(O1708:Q1725,$B1727)+COUNTIF(O1708:Q1725,$B1727&amp;" ~*")&gt;0)+(COUNTIF(S1708:U1725,$B1727)+COUNTIF(S1708:U1725,$B1727&amp;" ~*")&gt;0)+(COUNTIF(W1708:W1725,$B1727)+COUNTIF(W1708:W1725,$B1727&amp;" ~*")&gt;0)+(COUNTIF(Y1708:Y1725,$B1727)+COUNTIF(Y1708:Y1725,$B1727&amp;" ~*")&gt;0))</f>
        <v/>
      </c>
      <c r="AC1727" s="36">
        <f>IF($B1727="","",(IFERROR(INDEX(Setup!$G$33:$G$40,MATCH(C1727,Setup!$B$33:$B$40,0)),0)=1)*(COUNTIF(C1708:E1725,$B1727)+COUNTIF(C1708:E1725,$B1727&amp;" ~*")&gt;0)+(IFERROR(INDEX(Setup!$G$33:$G$40,MATCH(G1727,Setup!$B$33:$B$40,0)),0)=1)*(COUNTIF(G1708:I1725,$B1727)+COUNTIF(G1708:I1725,$B1727&amp;" ~*")&gt;0)+(IFERROR(INDEX(Setup!$G$33:$G$40,MATCH(K1727,Setup!$B$33:$B$40,0)),0)=1)*(COUNTIF(K1708:M1725,$B1727)+COUNTIF(K1708:M1725,$B1727&amp;" ~*")&gt;0)+(IFERROR(INDEX(Setup!$G$33:$G$40,MATCH(O1727,Setup!$B$33:$B$40,0)),0)=1)*(COUNTIF(O1708:Q1725,$B1727)+COUNTIF(O1708:Q1725,$B1727&amp;" ~*")&gt;0)+(IFERROR(INDEX(Setup!$G$33:$G$40,MATCH(S1727,Setup!$B$33:$B$40,0)),0)=1)*(COUNTIF(S1708:U1725,$B1727)+COUNTIF(S1708:U1725,$B1727&amp;" ~*")&gt;0)+(IFERROR(INDEX(Setup!$G$33:$G$40,MATCH(W1727,Setup!$B$33:$B$40,0)),0)=1)*(COUNTIF(W1708:W1725,$B1727)+COUNTIF(W1708:W1725,$B1727&amp;" ~*")&gt;0)+(IFERROR(INDEX(Setup!$G$33:$G$40,MATCH(Y1727,Setup!$B$33:$B$40,0)),0)=1)*(COUNTIF(Y1708:Y1725,$B1727)+COUNTIF(Y1708:Y1725,$B1727&amp;" ~*")&gt;0))</f>
        <v/>
      </c>
    </row>
    <row r="1728" ht="15" customHeight="1">
      <c r="A1728" t="n">
        <v>35</v>
      </c>
      <c r="B1728" s="37">
        <f>IF(Setup!$B$7="","",Setup!$B$7)</f>
        <v/>
      </c>
      <c r="C1728" s="102" t="n"/>
      <c r="D1728" s="103" t="n"/>
      <c r="E1728" s="103" t="n"/>
      <c r="F1728" s="104" t="n"/>
      <c r="G1728" s="102" t="n"/>
      <c r="H1728" s="103" t="n"/>
      <c r="I1728" s="103" t="n"/>
      <c r="J1728" s="104" t="n"/>
      <c r="K1728" s="102" t="n"/>
      <c r="L1728" s="103" t="n"/>
      <c r="M1728" s="103" t="n"/>
      <c r="N1728" s="104" t="n"/>
      <c r="O1728" s="102" t="n"/>
      <c r="P1728" s="103" t="n"/>
      <c r="Q1728" s="103" t="n"/>
      <c r="R1728" s="104" t="n"/>
      <c r="S1728" s="102" t="n"/>
      <c r="T1728" s="103" t="n"/>
      <c r="U1728" s="103" t="n"/>
      <c r="V1728" s="104" t="n"/>
      <c r="W1728" s="102" t="n"/>
      <c r="X1728" s="104" t="n"/>
      <c r="Y1728" s="102" t="n"/>
      <c r="Z1728" s="104" t="n"/>
      <c r="AB1728" s="105">
        <f>IF($B1728="","",(COUNTIF(C1708:E1725,$B1728)+COUNTIF(C1708:E1725,$B1728&amp;" ~*")&gt;0)+(COUNTIF(G1708:I1725,$B1728)+COUNTIF(G1708:I1725,$B1728&amp;" ~*")&gt;0)+(COUNTIF(K1708:M1725,$B1728)+COUNTIF(K1708:M1725,$B1728&amp;" ~*")&gt;0)+(COUNTIF(O1708:Q1725,$B1728)+COUNTIF(O1708:Q1725,$B1728&amp;" ~*")&gt;0)+(COUNTIF(S1708:U1725,$B1728)+COUNTIF(S1708:U1725,$B1728&amp;" ~*")&gt;0)+(COUNTIF(W1708:W1725,$B1728)+COUNTIF(W1708:W1725,$B1728&amp;" ~*")&gt;0)+(COUNTIF(Y1708:Y1725,$B1728)+COUNTIF(Y1708:Y1725,$B1728&amp;" ~*")&gt;0))</f>
        <v/>
      </c>
      <c r="AC1728" s="38">
        <f>IF($B1728="","",(IFERROR(INDEX(Setup!$G$33:$G$40,MATCH(C1728,Setup!$B$33:$B$40,0)),0)=1)*(COUNTIF(C1708:E1725,$B1728)+COUNTIF(C1708:E1725,$B1728&amp;" ~*")&gt;0)+(IFERROR(INDEX(Setup!$G$33:$G$40,MATCH(G1728,Setup!$B$33:$B$40,0)),0)=1)*(COUNTIF(G1708:I1725,$B1728)+COUNTIF(G1708:I1725,$B1728&amp;" ~*")&gt;0)+(IFERROR(INDEX(Setup!$G$33:$G$40,MATCH(K1728,Setup!$B$33:$B$40,0)),0)=1)*(COUNTIF(K1708:M1725,$B1728)+COUNTIF(K1708:M1725,$B1728&amp;" ~*")&gt;0)+(IFERROR(INDEX(Setup!$G$33:$G$40,MATCH(O1728,Setup!$B$33:$B$40,0)),0)=1)*(COUNTIF(O1708:Q1725,$B1728)+COUNTIF(O1708:Q1725,$B1728&amp;" ~*")&gt;0)+(IFERROR(INDEX(Setup!$G$33:$G$40,MATCH(S1728,Setup!$B$33:$B$40,0)),0)=1)*(COUNTIF(S1708:U1725,$B1728)+COUNTIF(S1708:U1725,$B1728&amp;" ~*")&gt;0)+(IFERROR(INDEX(Setup!$G$33:$G$40,MATCH(W1728,Setup!$B$33:$B$40,0)),0)=1)*(COUNTIF(W1708:W1725,$B1728)+COUNTIF(W1708:W1725,$B1728&amp;" ~*")&gt;0)+(IFERROR(INDEX(Setup!$G$33:$G$40,MATCH(Y1728,Setup!$B$33:$B$40,0)),0)=1)*(COUNTIF(Y1708:Y1725,$B1728)+COUNTIF(Y1708:Y1725,$B1728&amp;" ~*")&gt;0))</f>
        <v/>
      </c>
    </row>
    <row r="1729" ht="15" customHeight="1">
      <c r="A1729" t="n">
        <v>35</v>
      </c>
      <c r="B1729" s="35">
        <f>IF(Setup!$B$8="","",Setup!$B$8)</f>
        <v/>
      </c>
      <c r="C1729" s="98" t="n"/>
      <c r="D1729" s="99" t="n"/>
      <c r="E1729" s="99" t="n"/>
      <c r="F1729" s="100" t="n"/>
      <c r="G1729" s="98" t="n"/>
      <c r="H1729" s="99" t="n"/>
      <c r="I1729" s="99" t="n"/>
      <c r="J1729" s="100" t="n"/>
      <c r="K1729" s="98" t="n"/>
      <c r="L1729" s="99" t="n"/>
      <c r="M1729" s="99" t="n"/>
      <c r="N1729" s="100" t="n"/>
      <c r="O1729" s="98" t="n"/>
      <c r="P1729" s="99" t="n"/>
      <c r="Q1729" s="99" t="n"/>
      <c r="R1729" s="100" t="n"/>
      <c r="S1729" s="98" t="n"/>
      <c r="T1729" s="99" t="n"/>
      <c r="U1729" s="99" t="n"/>
      <c r="V1729" s="100" t="n"/>
      <c r="W1729" s="98" t="n"/>
      <c r="X1729" s="100" t="n"/>
      <c r="Y1729" s="98" t="n"/>
      <c r="Z1729" s="100" t="n"/>
      <c r="AB1729" s="101">
        <f>IF($B1729="","",(COUNTIF(C1708:E1725,$B1729)+COUNTIF(C1708:E1725,$B1729&amp;" ~*")&gt;0)+(COUNTIF(G1708:I1725,$B1729)+COUNTIF(G1708:I1725,$B1729&amp;" ~*")&gt;0)+(COUNTIF(K1708:M1725,$B1729)+COUNTIF(K1708:M1725,$B1729&amp;" ~*")&gt;0)+(COUNTIF(O1708:Q1725,$B1729)+COUNTIF(O1708:Q1725,$B1729&amp;" ~*")&gt;0)+(COUNTIF(S1708:U1725,$B1729)+COUNTIF(S1708:U1725,$B1729&amp;" ~*")&gt;0)+(COUNTIF(W1708:W1725,$B1729)+COUNTIF(W1708:W1725,$B1729&amp;" ~*")&gt;0)+(COUNTIF(Y1708:Y1725,$B1729)+COUNTIF(Y1708:Y1725,$B1729&amp;" ~*")&gt;0))</f>
        <v/>
      </c>
      <c r="AC1729" s="36">
        <f>IF($B1729="","",(IFERROR(INDEX(Setup!$G$33:$G$40,MATCH(C1729,Setup!$B$33:$B$40,0)),0)=1)*(COUNTIF(C1708:E1725,$B1729)+COUNTIF(C1708:E1725,$B1729&amp;" ~*")&gt;0)+(IFERROR(INDEX(Setup!$G$33:$G$40,MATCH(G1729,Setup!$B$33:$B$40,0)),0)=1)*(COUNTIF(G1708:I1725,$B1729)+COUNTIF(G1708:I1725,$B1729&amp;" ~*")&gt;0)+(IFERROR(INDEX(Setup!$G$33:$G$40,MATCH(K1729,Setup!$B$33:$B$40,0)),0)=1)*(COUNTIF(K1708:M1725,$B1729)+COUNTIF(K1708:M1725,$B1729&amp;" ~*")&gt;0)+(IFERROR(INDEX(Setup!$G$33:$G$40,MATCH(O1729,Setup!$B$33:$B$40,0)),0)=1)*(COUNTIF(O1708:Q1725,$B1729)+COUNTIF(O1708:Q1725,$B1729&amp;" ~*")&gt;0)+(IFERROR(INDEX(Setup!$G$33:$G$40,MATCH(S1729,Setup!$B$33:$B$40,0)),0)=1)*(COUNTIF(S1708:U1725,$B1729)+COUNTIF(S1708:U1725,$B1729&amp;" ~*")&gt;0)+(IFERROR(INDEX(Setup!$G$33:$G$40,MATCH(W1729,Setup!$B$33:$B$40,0)),0)=1)*(COUNTIF(W1708:W1725,$B1729)+COUNTIF(W1708:W1725,$B1729&amp;" ~*")&gt;0)+(IFERROR(INDEX(Setup!$G$33:$G$40,MATCH(Y1729,Setup!$B$33:$B$40,0)),0)=1)*(COUNTIF(Y1708:Y1725,$B1729)+COUNTIF(Y1708:Y1725,$B1729&amp;" ~*")&gt;0))</f>
        <v/>
      </c>
    </row>
    <row r="1730" ht="15" customHeight="1">
      <c r="A1730" t="n">
        <v>35</v>
      </c>
      <c r="B1730" s="37">
        <f>IF(Setup!$B$9="","",Setup!$B$9)</f>
        <v/>
      </c>
      <c r="C1730" s="102" t="n"/>
      <c r="D1730" s="103" t="n"/>
      <c r="E1730" s="103" t="n"/>
      <c r="F1730" s="104" t="n"/>
      <c r="G1730" s="102" t="n"/>
      <c r="H1730" s="103" t="n"/>
      <c r="I1730" s="103" t="n"/>
      <c r="J1730" s="104" t="n"/>
      <c r="K1730" s="102" t="n"/>
      <c r="L1730" s="103" t="n"/>
      <c r="M1730" s="103" t="n"/>
      <c r="N1730" s="104" t="n"/>
      <c r="O1730" s="102" t="n"/>
      <c r="P1730" s="103" t="n"/>
      <c r="Q1730" s="103" t="n"/>
      <c r="R1730" s="104" t="n"/>
      <c r="S1730" s="102" t="n"/>
      <c r="T1730" s="103" t="n"/>
      <c r="U1730" s="103" t="n"/>
      <c r="V1730" s="104" t="n"/>
      <c r="W1730" s="102" t="n"/>
      <c r="X1730" s="104" t="n"/>
      <c r="Y1730" s="102" t="n"/>
      <c r="Z1730" s="104" t="n"/>
      <c r="AB1730" s="105">
        <f>IF($B1730="","",(COUNTIF(C1708:E1725,$B1730)+COUNTIF(C1708:E1725,$B1730&amp;" ~*")&gt;0)+(COUNTIF(G1708:I1725,$B1730)+COUNTIF(G1708:I1725,$B1730&amp;" ~*")&gt;0)+(COUNTIF(K1708:M1725,$B1730)+COUNTIF(K1708:M1725,$B1730&amp;" ~*")&gt;0)+(COUNTIF(O1708:Q1725,$B1730)+COUNTIF(O1708:Q1725,$B1730&amp;" ~*")&gt;0)+(COUNTIF(S1708:U1725,$B1730)+COUNTIF(S1708:U1725,$B1730&amp;" ~*")&gt;0)+(COUNTIF(W1708:W1725,$B1730)+COUNTIF(W1708:W1725,$B1730&amp;" ~*")&gt;0)+(COUNTIF(Y1708:Y1725,$B1730)+COUNTIF(Y1708:Y1725,$B1730&amp;" ~*")&gt;0))</f>
        <v/>
      </c>
      <c r="AC1730" s="38">
        <f>IF($B1730="","",(IFERROR(INDEX(Setup!$G$33:$G$40,MATCH(C1730,Setup!$B$33:$B$40,0)),0)=1)*(COUNTIF(C1708:E1725,$B1730)+COUNTIF(C1708:E1725,$B1730&amp;" ~*")&gt;0)+(IFERROR(INDEX(Setup!$G$33:$G$40,MATCH(G1730,Setup!$B$33:$B$40,0)),0)=1)*(COUNTIF(G1708:I1725,$B1730)+COUNTIF(G1708:I1725,$B1730&amp;" ~*")&gt;0)+(IFERROR(INDEX(Setup!$G$33:$G$40,MATCH(K1730,Setup!$B$33:$B$40,0)),0)=1)*(COUNTIF(K1708:M1725,$B1730)+COUNTIF(K1708:M1725,$B1730&amp;" ~*")&gt;0)+(IFERROR(INDEX(Setup!$G$33:$G$40,MATCH(O1730,Setup!$B$33:$B$40,0)),0)=1)*(COUNTIF(O1708:Q1725,$B1730)+COUNTIF(O1708:Q1725,$B1730&amp;" ~*")&gt;0)+(IFERROR(INDEX(Setup!$G$33:$G$40,MATCH(S1730,Setup!$B$33:$B$40,0)),0)=1)*(COUNTIF(S1708:U1725,$B1730)+COUNTIF(S1708:U1725,$B1730&amp;" ~*")&gt;0)+(IFERROR(INDEX(Setup!$G$33:$G$40,MATCH(W1730,Setup!$B$33:$B$40,0)),0)=1)*(COUNTIF(W1708:W1725,$B1730)+COUNTIF(W1708:W1725,$B1730&amp;" ~*")&gt;0)+(IFERROR(INDEX(Setup!$G$33:$G$40,MATCH(Y1730,Setup!$B$33:$B$40,0)),0)=1)*(COUNTIF(Y1708:Y1725,$B1730)+COUNTIF(Y1708:Y1725,$B1730&amp;" ~*")&gt;0))</f>
        <v/>
      </c>
    </row>
    <row r="1731" ht="15" customHeight="1">
      <c r="A1731" t="n">
        <v>35</v>
      </c>
      <c r="B1731" s="35">
        <f>IF(Setup!$B$10="","",Setup!$B$10)</f>
        <v/>
      </c>
      <c r="C1731" s="98" t="n"/>
      <c r="D1731" s="99" t="n"/>
      <c r="E1731" s="99" t="n"/>
      <c r="F1731" s="100" t="n"/>
      <c r="G1731" s="98" t="n"/>
      <c r="H1731" s="99" t="n"/>
      <c r="I1731" s="99" t="n"/>
      <c r="J1731" s="100" t="n"/>
      <c r="K1731" s="98" t="n"/>
      <c r="L1731" s="99" t="n"/>
      <c r="M1731" s="99" t="n"/>
      <c r="N1731" s="100" t="n"/>
      <c r="O1731" s="98" t="n"/>
      <c r="P1731" s="99" t="n"/>
      <c r="Q1731" s="99" t="n"/>
      <c r="R1731" s="100" t="n"/>
      <c r="S1731" s="98" t="n"/>
      <c r="T1731" s="99" t="n"/>
      <c r="U1731" s="99" t="n"/>
      <c r="V1731" s="100" t="n"/>
      <c r="W1731" s="98" t="n"/>
      <c r="X1731" s="100" t="n"/>
      <c r="Y1731" s="98" t="n"/>
      <c r="Z1731" s="100" t="n"/>
      <c r="AB1731" s="101">
        <f>IF($B1731="","",(COUNTIF(C1708:E1725,$B1731)+COUNTIF(C1708:E1725,$B1731&amp;" ~*")&gt;0)+(COUNTIF(G1708:I1725,$B1731)+COUNTIF(G1708:I1725,$B1731&amp;" ~*")&gt;0)+(COUNTIF(K1708:M1725,$B1731)+COUNTIF(K1708:M1725,$B1731&amp;" ~*")&gt;0)+(COUNTIF(O1708:Q1725,$B1731)+COUNTIF(O1708:Q1725,$B1731&amp;" ~*")&gt;0)+(COUNTIF(S1708:U1725,$B1731)+COUNTIF(S1708:U1725,$B1731&amp;" ~*")&gt;0)+(COUNTIF(W1708:W1725,$B1731)+COUNTIF(W1708:W1725,$B1731&amp;" ~*")&gt;0)+(COUNTIF(Y1708:Y1725,$B1731)+COUNTIF(Y1708:Y1725,$B1731&amp;" ~*")&gt;0))</f>
        <v/>
      </c>
      <c r="AC1731" s="36">
        <f>IF($B1731="","",(IFERROR(INDEX(Setup!$G$33:$G$40,MATCH(C1731,Setup!$B$33:$B$40,0)),0)=1)*(COUNTIF(C1708:E1725,$B1731)+COUNTIF(C1708:E1725,$B1731&amp;" ~*")&gt;0)+(IFERROR(INDEX(Setup!$G$33:$G$40,MATCH(G1731,Setup!$B$33:$B$40,0)),0)=1)*(COUNTIF(G1708:I1725,$B1731)+COUNTIF(G1708:I1725,$B1731&amp;" ~*")&gt;0)+(IFERROR(INDEX(Setup!$G$33:$G$40,MATCH(K1731,Setup!$B$33:$B$40,0)),0)=1)*(COUNTIF(K1708:M1725,$B1731)+COUNTIF(K1708:M1725,$B1731&amp;" ~*")&gt;0)+(IFERROR(INDEX(Setup!$G$33:$G$40,MATCH(O1731,Setup!$B$33:$B$40,0)),0)=1)*(COUNTIF(O1708:Q1725,$B1731)+COUNTIF(O1708:Q1725,$B1731&amp;" ~*")&gt;0)+(IFERROR(INDEX(Setup!$G$33:$G$40,MATCH(S1731,Setup!$B$33:$B$40,0)),0)=1)*(COUNTIF(S1708:U1725,$B1731)+COUNTIF(S1708:U1725,$B1731&amp;" ~*")&gt;0)+(IFERROR(INDEX(Setup!$G$33:$G$40,MATCH(W1731,Setup!$B$33:$B$40,0)),0)=1)*(COUNTIF(W1708:W1725,$B1731)+COUNTIF(W1708:W1725,$B1731&amp;" ~*")&gt;0)+(IFERROR(INDEX(Setup!$G$33:$G$40,MATCH(Y1731,Setup!$B$33:$B$40,0)),0)=1)*(COUNTIF(Y1708:Y1725,$B1731)+COUNTIF(Y1708:Y1725,$B1731&amp;" ~*")&gt;0))</f>
        <v/>
      </c>
    </row>
    <row r="1732" ht="15" customHeight="1">
      <c r="A1732" t="n">
        <v>35</v>
      </c>
      <c r="B1732" s="37">
        <f>IF(Setup!$B$11="","",Setup!$B$11)</f>
        <v/>
      </c>
      <c r="C1732" s="102" t="n"/>
      <c r="D1732" s="103" t="n"/>
      <c r="E1732" s="103" t="n"/>
      <c r="F1732" s="104" t="n"/>
      <c r="G1732" s="102" t="n"/>
      <c r="H1732" s="103" t="n"/>
      <c r="I1732" s="103" t="n"/>
      <c r="J1732" s="104" t="n"/>
      <c r="K1732" s="102" t="n"/>
      <c r="L1732" s="103" t="n"/>
      <c r="M1732" s="103" t="n"/>
      <c r="N1732" s="104" t="n"/>
      <c r="O1732" s="102" t="n"/>
      <c r="P1732" s="103" t="n"/>
      <c r="Q1732" s="103" t="n"/>
      <c r="R1732" s="104" t="n"/>
      <c r="S1732" s="102" t="n"/>
      <c r="T1732" s="103" t="n"/>
      <c r="U1732" s="103" t="n"/>
      <c r="V1732" s="104" t="n"/>
      <c r="W1732" s="102" t="n"/>
      <c r="X1732" s="104" t="n"/>
      <c r="Y1732" s="102" t="n"/>
      <c r="Z1732" s="104" t="n"/>
      <c r="AB1732" s="105">
        <f>IF($B1732="","",(COUNTIF(C1708:E1725,$B1732)+COUNTIF(C1708:E1725,$B1732&amp;" ~*")&gt;0)+(COUNTIF(G1708:I1725,$B1732)+COUNTIF(G1708:I1725,$B1732&amp;" ~*")&gt;0)+(COUNTIF(K1708:M1725,$B1732)+COUNTIF(K1708:M1725,$B1732&amp;" ~*")&gt;0)+(COUNTIF(O1708:Q1725,$B1732)+COUNTIF(O1708:Q1725,$B1732&amp;" ~*")&gt;0)+(COUNTIF(S1708:U1725,$B1732)+COUNTIF(S1708:U1725,$B1732&amp;" ~*")&gt;0)+(COUNTIF(W1708:W1725,$B1732)+COUNTIF(W1708:W1725,$B1732&amp;" ~*")&gt;0)+(COUNTIF(Y1708:Y1725,$B1732)+COUNTIF(Y1708:Y1725,$B1732&amp;" ~*")&gt;0))</f>
        <v/>
      </c>
      <c r="AC1732" s="38">
        <f>IF($B1732="","",(IFERROR(INDEX(Setup!$G$33:$G$40,MATCH(C1732,Setup!$B$33:$B$40,0)),0)=1)*(COUNTIF(C1708:E1725,$B1732)+COUNTIF(C1708:E1725,$B1732&amp;" ~*")&gt;0)+(IFERROR(INDEX(Setup!$G$33:$G$40,MATCH(G1732,Setup!$B$33:$B$40,0)),0)=1)*(COUNTIF(G1708:I1725,$B1732)+COUNTIF(G1708:I1725,$B1732&amp;" ~*")&gt;0)+(IFERROR(INDEX(Setup!$G$33:$G$40,MATCH(K1732,Setup!$B$33:$B$40,0)),0)=1)*(COUNTIF(K1708:M1725,$B1732)+COUNTIF(K1708:M1725,$B1732&amp;" ~*")&gt;0)+(IFERROR(INDEX(Setup!$G$33:$G$40,MATCH(O1732,Setup!$B$33:$B$40,0)),0)=1)*(COUNTIF(O1708:Q1725,$B1732)+COUNTIF(O1708:Q1725,$B1732&amp;" ~*")&gt;0)+(IFERROR(INDEX(Setup!$G$33:$G$40,MATCH(S1732,Setup!$B$33:$B$40,0)),0)=1)*(COUNTIF(S1708:U1725,$B1732)+COUNTIF(S1708:U1725,$B1732&amp;" ~*")&gt;0)+(IFERROR(INDEX(Setup!$G$33:$G$40,MATCH(W1732,Setup!$B$33:$B$40,0)),0)=1)*(COUNTIF(W1708:W1725,$B1732)+COUNTIF(W1708:W1725,$B1732&amp;" ~*")&gt;0)+(IFERROR(INDEX(Setup!$G$33:$G$40,MATCH(Y1732,Setup!$B$33:$B$40,0)),0)=1)*(COUNTIF(Y1708:Y1725,$B1732)+COUNTIF(Y1708:Y1725,$B1732&amp;" ~*")&gt;0))</f>
        <v/>
      </c>
    </row>
    <row r="1733" ht="15" customHeight="1">
      <c r="A1733" t="n">
        <v>35</v>
      </c>
      <c r="B1733" s="35">
        <f>IF(Setup!$B$12="","",Setup!$B$12)</f>
        <v/>
      </c>
      <c r="C1733" s="98" t="n"/>
      <c r="D1733" s="99" t="n"/>
      <c r="E1733" s="99" t="n"/>
      <c r="F1733" s="100" t="n"/>
      <c r="G1733" s="98" t="n"/>
      <c r="H1733" s="99" t="n"/>
      <c r="I1733" s="99" t="n"/>
      <c r="J1733" s="100" t="n"/>
      <c r="K1733" s="98" t="inlineStr">
        <is>
          <t>AL</t>
        </is>
      </c>
      <c r="L1733" s="99" t="n"/>
      <c r="M1733" s="99" t="n"/>
      <c r="N1733" s="100" t="n"/>
      <c r="O1733" s="98" t="inlineStr">
        <is>
          <t>AL</t>
        </is>
      </c>
      <c r="P1733" s="99" t="n"/>
      <c r="Q1733" s="99" t="n"/>
      <c r="R1733" s="100" t="n"/>
      <c r="S1733" s="98" t="inlineStr">
        <is>
          <t>AL</t>
        </is>
      </c>
      <c r="T1733" s="99" t="n"/>
      <c r="U1733" s="99" t="n"/>
      <c r="V1733" s="100" t="n"/>
      <c r="W1733" s="98" t="n"/>
      <c r="X1733" s="100" t="n"/>
      <c r="Y1733" s="98" t="n"/>
      <c r="Z1733" s="100" t="n"/>
      <c r="AB1733" s="101">
        <f>IF($B1733="","",(COUNTIF(C1708:E1725,$B1733)+COUNTIF(C1708:E1725,$B1733&amp;" ~*")&gt;0)+(COUNTIF(G1708:I1725,$B1733)+COUNTIF(G1708:I1725,$B1733&amp;" ~*")&gt;0)+(COUNTIF(K1708:M1725,$B1733)+COUNTIF(K1708:M1725,$B1733&amp;" ~*")&gt;0)+(COUNTIF(O1708:Q1725,$B1733)+COUNTIF(O1708:Q1725,$B1733&amp;" ~*")&gt;0)+(COUNTIF(S1708:U1725,$B1733)+COUNTIF(S1708:U1725,$B1733&amp;" ~*")&gt;0)+(COUNTIF(W1708:W1725,$B1733)+COUNTIF(W1708:W1725,$B1733&amp;" ~*")&gt;0)+(COUNTIF(Y1708:Y1725,$B1733)+COUNTIF(Y1708:Y1725,$B1733&amp;" ~*")&gt;0))</f>
        <v/>
      </c>
      <c r="AC1733" s="36">
        <f>IF($B1733="","",(IFERROR(INDEX(Setup!$G$33:$G$40,MATCH(C1733,Setup!$B$33:$B$40,0)),0)=1)*(COUNTIF(C1708:E1725,$B1733)+COUNTIF(C1708:E1725,$B1733&amp;" ~*")&gt;0)+(IFERROR(INDEX(Setup!$G$33:$G$40,MATCH(G1733,Setup!$B$33:$B$40,0)),0)=1)*(COUNTIF(G1708:I1725,$B1733)+COUNTIF(G1708:I1725,$B1733&amp;" ~*")&gt;0)+(IFERROR(INDEX(Setup!$G$33:$G$40,MATCH(K1733,Setup!$B$33:$B$40,0)),0)=1)*(COUNTIF(K1708:M1725,$B1733)+COUNTIF(K1708:M1725,$B1733&amp;" ~*")&gt;0)+(IFERROR(INDEX(Setup!$G$33:$G$40,MATCH(O1733,Setup!$B$33:$B$40,0)),0)=1)*(COUNTIF(O1708:Q1725,$B1733)+COUNTIF(O1708:Q1725,$B1733&amp;" ~*")&gt;0)+(IFERROR(INDEX(Setup!$G$33:$G$40,MATCH(S1733,Setup!$B$33:$B$40,0)),0)=1)*(COUNTIF(S1708:U1725,$B1733)+COUNTIF(S1708:U1725,$B1733&amp;" ~*")&gt;0)+(IFERROR(INDEX(Setup!$G$33:$G$40,MATCH(W1733,Setup!$B$33:$B$40,0)),0)=1)*(COUNTIF(W1708:W1725,$B1733)+COUNTIF(W1708:W1725,$B1733&amp;" ~*")&gt;0)+(IFERROR(INDEX(Setup!$G$33:$G$40,MATCH(Y1733,Setup!$B$33:$B$40,0)),0)=1)*(COUNTIF(Y1708:Y1725,$B1733)+COUNTIF(Y1708:Y1725,$B1733&amp;" ~*")&gt;0))</f>
        <v/>
      </c>
    </row>
    <row r="1734" ht="15" customHeight="1">
      <c r="A1734" t="n">
        <v>35</v>
      </c>
      <c r="B1734" s="37">
        <f>IF(Setup!$B$13="","",Setup!$B$13)</f>
        <v/>
      </c>
      <c r="C1734" s="102" t="n"/>
      <c r="D1734" s="103" t="n"/>
      <c r="E1734" s="103" t="n"/>
      <c r="F1734" s="104" t="n"/>
      <c r="G1734" s="102" t="n"/>
      <c r="H1734" s="103" t="n"/>
      <c r="I1734" s="103" t="n"/>
      <c r="J1734" s="104" t="n"/>
      <c r="K1734" s="102" t="n"/>
      <c r="L1734" s="103" t="n"/>
      <c r="M1734" s="103" t="n"/>
      <c r="N1734" s="104" t="n"/>
      <c r="O1734" s="102" t="n"/>
      <c r="P1734" s="103" t="n"/>
      <c r="Q1734" s="103" t="n"/>
      <c r="R1734" s="104" t="n"/>
      <c r="S1734" s="102" t="n"/>
      <c r="T1734" s="103" t="n"/>
      <c r="U1734" s="103" t="n"/>
      <c r="V1734" s="104" t="n"/>
      <c r="W1734" s="102" t="n"/>
      <c r="X1734" s="104" t="n"/>
      <c r="Y1734" s="102" t="n"/>
      <c r="Z1734" s="104" t="n"/>
      <c r="AB1734" s="105">
        <f>IF($B1734="","",(COUNTIF(C1708:E1725,$B1734)+COUNTIF(C1708:E1725,$B1734&amp;" ~*")&gt;0)+(COUNTIF(G1708:I1725,$B1734)+COUNTIF(G1708:I1725,$B1734&amp;" ~*")&gt;0)+(COUNTIF(K1708:M1725,$B1734)+COUNTIF(K1708:M1725,$B1734&amp;" ~*")&gt;0)+(COUNTIF(O1708:Q1725,$B1734)+COUNTIF(O1708:Q1725,$B1734&amp;" ~*")&gt;0)+(COUNTIF(S1708:U1725,$B1734)+COUNTIF(S1708:U1725,$B1734&amp;" ~*")&gt;0)+(COUNTIF(W1708:W1725,$B1734)+COUNTIF(W1708:W1725,$B1734&amp;" ~*")&gt;0)+(COUNTIF(Y1708:Y1725,$B1734)+COUNTIF(Y1708:Y1725,$B1734&amp;" ~*")&gt;0))</f>
        <v/>
      </c>
      <c r="AC1734" s="38">
        <f>IF($B1734="","",(IFERROR(INDEX(Setup!$G$33:$G$40,MATCH(C1734,Setup!$B$33:$B$40,0)),0)=1)*(COUNTIF(C1708:E1725,$B1734)+COUNTIF(C1708:E1725,$B1734&amp;" ~*")&gt;0)+(IFERROR(INDEX(Setup!$G$33:$G$40,MATCH(G1734,Setup!$B$33:$B$40,0)),0)=1)*(COUNTIF(G1708:I1725,$B1734)+COUNTIF(G1708:I1725,$B1734&amp;" ~*")&gt;0)+(IFERROR(INDEX(Setup!$G$33:$G$40,MATCH(K1734,Setup!$B$33:$B$40,0)),0)=1)*(COUNTIF(K1708:M1725,$B1734)+COUNTIF(K1708:M1725,$B1734&amp;" ~*")&gt;0)+(IFERROR(INDEX(Setup!$G$33:$G$40,MATCH(O1734,Setup!$B$33:$B$40,0)),0)=1)*(COUNTIF(O1708:Q1725,$B1734)+COUNTIF(O1708:Q1725,$B1734&amp;" ~*")&gt;0)+(IFERROR(INDEX(Setup!$G$33:$G$40,MATCH(S1734,Setup!$B$33:$B$40,0)),0)=1)*(COUNTIF(S1708:U1725,$B1734)+COUNTIF(S1708:U1725,$B1734&amp;" ~*")&gt;0)+(IFERROR(INDEX(Setup!$G$33:$G$40,MATCH(W1734,Setup!$B$33:$B$40,0)),0)=1)*(COUNTIF(W1708:W1725,$B1734)+COUNTIF(W1708:W1725,$B1734&amp;" ~*")&gt;0)+(IFERROR(INDEX(Setup!$G$33:$G$40,MATCH(Y1734,Setup!$B$33:$B$40,0)),0)=1)*(COUNTIF(Y1708:Y1725,$B1734)+COUNTIF(Y1708:Y1725,$B1734&amp;" ~*")&gt;0))</f>
        <v/>
      </c>
    </row>
    <row r="1735" ht="15" customHeight="1">
      <c r="A1735" t="n">
        <v>35</v>
      </c>
      <c r="B1735" s="35">
        <f>IF(Setup!$B$14="","",Setup!$B$14)</f>
        <v/>
      </c>
      <c r="C1735" s="98" t="n"/>
      <c r="D1735" s="99" t="n"/>
      <c r="E1735" s="99" t="n"/>
      <c r="F1735" s="100" t="n"/>
      <c r="G1735" s="98" t="n"/>
      <c r="H1735" s="99" t="n"/>
      <c r="I1735" s="99" t="n"/>
      <c r="J1735" s="100" t="n"/>
      <c r="K1735" s="98" t="n"/>
      <c r="L1735" s="99" t="n"/>
      <c r="M1735" s="99" t="n"/>
      <c r="N1735" s="100" t="n"/>
      <c r="O1735" s="98" t="n"/>
      <c r="P1735" s="99" t="n"/>
      <c r="Q1735" s="99" t="n"/>
      <c r="R1735" s="100" t="n"/>
      <c r="S1735" s="98" t="n"/>
      <c r="T1735" s="99" t="n"/>
      <c r="U1735" s="99" t="n"/>
      <c r="V1735" s="100" t="n"/>
      <c r="W1735" s="98" t="n"/>
      <c r="X1735" s="100" t="n"/>
      <c r="Y1735" s="98" t="n"/>
      <c r="Z1735" s="100" t="n"/>
      <c r="AB1735" s="101">
        <f>IF($B1735="","",(COUNTIF(C1708:E1725,$B1735)+COUNTIF(C1708:E1725,$B1735&amp;" ~*")&gt;0)+(COUNTIF(G1708:I1725,$B1735)+COUNTIF(G1708:I1725,$B1735&amp;" ~*")&gt;0)+(COUNTIF(K1708:M1725,$B1735)+COUNTIF(K1708:M1725,$B1735&amp;" ~*")&gt;0)+(COUNTIF(O1708:Q1725,$B1735)+COUNTIF(O1708:Q1725,$B1735&amp;" ~*")&gt;0)+(COUNTIF(S1708:U1725,$B1735)+COUNTIF(S1708:U1725,$B1735&amp;" ~*")&gt;0)+(COUNTIF(W1708:W1725,$B1735)+COUNTIF(W1708:W1725,$B1735&amp;" ~*")&gt;0)+(COUNTIF(Y1708:Y1725,$B1735)+COUNTIF(Y1708:Y1725,$B1735&amp;" ~*")&gt;0))</f>
        <v/>
      </c>
      <c r="AC1735" s="36">
        <f>IF($B1735="","",(IFERROR(INDEX(Setup!$G$33:$G$40,MATCH(C1735,Setup!$B$33:$B$40,0)),0)=1)*(COUNTIF(C1708:E1725,$B1735)+COUNTIF(C1708:E1725,$B1735&amp;" ~*")&gt;0)+(IFERROR(INDEX(Setup!$G$33:$G$40,MATCH(G1735,Setup!$B$33:$B$40,0)),0)=1)*(COUNTIF(G1708:I1725,$B1735)+COUNTIF(G1708:I1725,$B1735&amp;" ~*")&gt;0)+(IFERROR(INDEX(Setup!$G$33:$G$40,MATCH(K1735,Setup!$B$33:$B$40,0)),0)=1)*(COUNTIF(K1708:M1725,$B1735)+COUNTIF(K1708:M1725,$B1735&amp;" ~*")&gt;0)+(IFERROR(INDEX(Setup!$G$33:$G$40,MATCH(O1735,Setup!$B$33:$B$40,0)),0)=1)*(COUNTIF(O1708:Q1725,$B1735)+COUNTIF(O1708:Q1725,$B1735&amp;" ~*")&gt;0)+(IFERROR(INDEX(Setup!$G$33:$G$40,MATCH(S1735,Setup!$B$33:$B$40,0)),0)=1)*(COUNTIF(S1708:U1725,$B1735)+COUNTIF(S1708:U1725,$B1735&amp;" ~*")&gt;0)+(IFERROR(INDEX(Setup!$G$33:$G$40,MATCH(W1735,Setup!$B$33:$B$40,0)),0)=1)*(COUNTIF(W1708:W1725,$B1735)+COUNTIF(W1708:W1725,$B1735&amp;" ~*")&gt;0)+(IFERROR(INDEX(Setup!$G$33:$G$40,MATCH(Y1735,Setup!$B$33:$B$40,0)),0)=1)*(COUNTIF(Y1708:Y1725,$B1735)+COUNTIF(Y1708:Y1725,$B1735&amp;" ~*")&gt;0))</f>
        <v/>
      </c>
    </row>
    <row r="1736" ht="15" customHeight="1">
      <c r="A1736" t="n">
        <v>35</v>
      </c>
      <c r="B1736" s="37">
        <f>IF(Setup!$B$15="","",Setup!$B$15)</f>
        <v/>
      </c>
      <c r="C1736" s="102" t="n"/>
      <c r="D1736" s="103" t="n"/>
      <c r="E1736" s="103" t="n"/>
      <c r="F1736" s="104" t="n"/>
      <c r="G1736" s="102" t="n"/>
      <c r="H1736" s="103" t="n"/>
      <c r="I1736" s="103" t="n"/>
      <c r="J1736" s="104" t="n"/>
      <c r="K1736" s="102" t="n"/>
      <c r="L1736" s="103" t="n"/>
      <c r="M1736" s="103" t="n"/>
      <c r="N1736" s="104" t="n"/>
      <c r="O1736" s="102" t="n"/>
      <c r="P1736" s="103" t="n"/>
      <c r="Q1736" s="103" t="n"/>
      <c r="R1736" s="104" t="n"/>
      <c r="S1736" s="102" t="n"/>
      <c r="T1736" s="103" t="n"/>
      <c r="U1736" s="103" t="n"/>
      <c r="V1736" s="104" t="n"/>
      <c r="W1736" s="102" t="n"/>
      <c r="X1736" s="104" t="n"/>
      <c r="Y1736" s="102" t="n"/>
      <c r="Z1736" s="104" t="n"/>
      <c r="AB1736" s="105">
        <f>IF($B1736="","",(COUNTIF(C1708:E1725,$B1736)+COUNTIF(C1708:E1725,$B1736&amp;" ~*")&gt;0)+(COUNTIF(G1708:I1725,$B1736)+COUNTIF(G1708:I1725,$B1736&amp;" ~*")&gt;0)+(COUNTIF(K1708:M1725,$B1736)+COUNTIF(K1708:M1725,$B1736&amp;" ~*")&gt;0)+(COUNTIF(O1708:Q1725,$B1736)+COUNTIF(O1708:Q1725,$B1736&amp;" ~*")&gt;0)+(COUNTIF(S1708:U1725,$B1736)+COUNTIF(S1708:U1725,$B1736&amp;" ~*")&gt;0)+(COUNTIF(W1708:W1725,$B1736)+COUNTIF(W1708:W1725,$B1736&amp;" ~*")&gt;0)+(COUNTIF(Y1708:Y1725,$B1736)+COUNTIF(Y1708:Y1725,$B1736&amp;" ~*")&gt;0))</f>
        <v/>
      </c>
      <c r="AC1736" s="38">
        <f>IF($B1736="","",(IFERROR(INDEX(Setup!$G$33:$G$40,MATCH(C1736,Setup!$B$33:$B$40,0)),0)=1)*(COUNTIF(C1708:E1725,$B1736)+COUNTIF(C1708:E1725,$B1736&amp;" ~*")&gt;0)+(IFERROR(INDEX(Setup!$G$33:$G$40,MATCH(G1736,Setup!$B$33:$B$40,0)),0)=1)*(COUNTIF(G1708:I1725,$B1736)+COUNTIF(G1708:I1725,$B1736&amp;" ~*")&gt;0)+(IFERROR(INDEX(Setup!$G$33:$G$40,MATCH(K1736,Setup!$B$33:$B$40,0)),0)=1)*(COUNTIF(K1708:M1725,$B1736)+COUNTIF(K1708:M1725,$B1736&amp;" ~*")&gt;0)+(IFERROR(INDEX(Setup!$G$33:$G$40,MATCH(O1736,Setup!$B$33:$B$40,0)),0)=1)*(COUNTIF(O1708:Q1725,$B1736)+COUNTIF(O1708:Q1725,$B1736&amp;" ~*")&gt;0)+(IFERROR(INDEX(Setup!$G$33:$G$40,MATCH(S1736,Setup!$B$33:$B$40,0)),0)=1)*(COUNTIF(S1708:U1725,$B1736)+COUNTIF(S1708:U1725,$B1736&amp;" ~*")&gt;0)+(IFERROR(INDEX(Setup!$G$33:$G$40,MATCH(W1736,Setup!$B$33:$B$40,0)),0)=1)*(COUNTIF(W1708:W1725,$B1736)+COUNTIF(W1708:W1725,$B1736&amp;" ~*")&gt;0)+(IFERROR(INDEX(Setup!$G$33:$G$40,MATCH(Y1736,Setup!$B$33:$B$40,0)),0)=1)*(COUNTIF(Y1708:Y1725,$B1736)+COUNTIF(Y1708:Y1725,$B1736&amp;" ~*")&gt;0))</f>
        <v/>
      </c>
    </row>
    <row r="1737" ht="15" customHeight="1">
      <c r="A1737" t="n">
        <v>35</v>
      </c>
      <c r="B1737" s="35">
        <f>IF(Setup!$B$16="","",Setup!$B$16)</f>
        <v/>
      </c>
      <c r="C1737" s="98" t="n"/>
      <c r="D1737" s="99" t="n"/>
      <c r="E1737" s="99" t="n"/>
      <c r="F1737" s="100" t="n"/>
      <c r="G1737" s="98" t="n"/>
      <c r="H1737" s="99" t="n"/>
      <c r="I1737" s="99" t="n"/>
      <c r="J1737" s="100" t="n"/>
      <c r="K1737" s="98" t="n"/>
      <c r="L1737" s="99" t="n"/>
      <c r="M1737" s="99" t="n"/>
      <c r="N1737" s="100" t="n"/>
      <c r="O1737" s="98" t="n"/>
      <c r="P1737" s="99" t="n"/>
      <c r="Q1737" s="99" t="n"/>
      <c r="R1737" s="100" t="n"/>
      <c r="S1737" s="98" t="n"/>
      <c r="T1737" s="99" t="n"/>
      <c r="U1737" s="99" t="n"/>
      <c r="V1737" s="100" t="n"/>
      <c r="W1737" s="98" t="n"/>
      <c r="X1737" s="100" t="n"/>
      <c r="Y1737" s="98" t="n"/>
      <c r="Z1737" s="100" t="n"/>
      <c r="AB1737" s="101">
        <f>IF($B1737="","",(COUNTIF(C1708:E1725,$B1737)+COUNTIF(C1708:E1725,$B1737&amp;" ~*")&gt;0)+(COUNTIF(G1708:I1725,$B1737)+COUNTIF(G1708:I1725,$B1737&amp;" ~*")&gt;0)+(COUNTIF(K1708:M1725,$B1737)+COUNTIF(K1708:M1725,$B1737&amp;" ~*")&gt;0)+(COUNTIF(O1708:Q1725,$B1737)+COUNTIF(O1708:Q1725,$B1737&amp;" ~*")&gt;0)+(COUNTIF(S1708:U1725,$B1737)+COUNTIF(S1708:U1725,$B1737&amp;" ~*")&gt;0)+(COUNTIF(W1708:W1725,$B1737)+COUNTIF(W1708:W1725,$B1737&amp;" ~*")&gt;0)+(COUNTIF(Y1708:Y1725,$B1737)+COUNTIF(Y1708:Y1725,$B1737&amp;" ~*")&gt;0))</f>
        <v/>
      </c>
      <c r="AC1737" s="36">
        <f>IF($B1737="","",(IFERROR(INDEX(Setup!$G$33:$G$40,MATCH(C1737,Setup!$B$33:$B$40,0)),0)=1)*(COUNTIF(C1708:E1725,$B1737)+COUNTIF(C1708:E1725,$B1737&amp;" ~*")&gt;0)+(IFERROR(INDEX(Setup!$G$33:$G$40,MATCH(G1737,Setup!$B$33:$B$40,0)),0)=1)*(COUNTIF(G1708:I1725,$B1737)+COUNTIF(G1708:I1725,$B1737&amp;" ~*")&gt;0)+(IFERROR(INDEX(Setup!$G$33:$G$40,MATCH(K1737,Setup!$B$33:$B$40,0)),0)=1)*(COUNTIF(K1708:M1725,$B1737)+COUNTIF(K1708:M1725,$B1737&amp;" ~*")&gt;0)+(IFERROR(INDEX(Setup!$G$33:$G$40,MATCH(O1737,Setup!$B$33:$B$40,0)),0)=1)*(COUNTIF(O1708:Q1725,$B1737)+COUNTIF(O1708:Q1725,$B1737&amp;" ~*")&gt;0)+(IFERROR(INDEX(Setup!$G$33:$G$40,MATCH(S1737,Setup!$B$33:$B$40,0)),0)=1)*(COUNTIF(S1708:U1725,$B1737)+COUNTIF(S1708:U1725,$B1737&amp;" ~*")&gt;0)+(IFERROR(INDEX(Setup!$G$33:$G$40,MATCH(W1737,Setup!$B$33:$B$40,0)),0)=1)*(COUNTIF(W1708:W1725,$B1737)+COUNTIF(W1708:W1725,$B1737&amp;" ~*")&gt;0)+(IFERROR(INDEX(Setup!$G$33:$G$40,MATCH(Y1737,Setup!$B$33:$B$40,0)),0)=1)*(COUNTIF(Y1708:Y1725,$B1737)+COUNTIF(Y1708:Y1725,$B1737&amp;" ~*")&gt;0))</f>
        <v/>
      </c>
    </row>
    <row r="1738" ht="15" customHeight="1">
      <c r="A1738" t="n">
        <v>35</v>
      </c>
      <c r="B1738" s="37">
        <f>IF(Setup!$B$17="","",Setup!$B$17)</f>
        <v/>
      </c>
      <c r="C1738" s="102" t="n"/>
      <c r="D1738" s="103" t="n"/>
      <c r="E1738" s="103" t="n"/>
      <c r="F1738" s="104" t="n"/>
      <c r="G1738" s="102" t="n"/>
      <c r="H1738" s="103" t="n"/>
      <c r="I1738" s="103" t="n"/>
      <c r="J1738" s="104" t="n"/>
      <c r="K1738" s="102" t="n"/>
      <c r="L1738" s="103" t="n"/>
      <c r="M1738" s="103" t="n"/>
      <c r="N1738" s="104" t="n"/>
      <c r="O1738" s="102" t="n"/>
      <c r="P1738" s="103" t="n"/>
      <c r="Q1738" s="103" t="n"/>
      <c r="R1738" s="104" t="n"/>
      <c r="S1738" s="102" t="n"/>
      <c r="T1738" s="103" t="n"/>
      <c r="U1738" s="103" t="n"/>
      <c r="V1738" s="104" t="n"/>
      <c r="W1738" s="102" t="n"/>
      <c r="X1738" s="104" t="n"/>
      <c r="Y1738" s="102" t="n"/>
      <c r="Z1738" s="104" t="n"/>
      <c r="AB1738" s="105">
        <f>IF($B1738="","",(COUNTIF(C1708:E1725,$B1738)+COUNTIF(C1708:E1725,$B1738&amp;" ~*")&gt;0)+(COUNTIF(G1708:I1725,$B1738)+COUNTIF(G1708:I1725,$B1738&amp;" ~*")&gt;0)+(COUNTIF(K1708:M1725,$B1738)+COUNTIF(K1708:M1725,$B1738&amp;" ~*")&gt;0)+(COUNTIF(O1708:Q1725,$B1738)+COUNTIF(O1708:Q1725,$B1738&amp;" ~*")&gt;0)+(COUNTIF(S1708:U1725,$B1738)+COUNTIF(S1708:U1725,$B1738&amp;" ~*")&gt;0)+(COUNTIF(W1708:W1725,$B1738)+COUNTIF(W1708:W1725,$B1738&amp;" ~*")&gt;0)+(COUNTIF(Y1708:Y1725,$B1738)+COUNTIF(Y1708:Y1725,$B1738&amp;" ~*")&gt;0))</f>
        <v/>
      </c>
      <c r="AC1738" s="38">
        <f>IF($B1738="","",(IFERROR(INDEX(Setup!$G$33:$G$40,MATCH(C1738,Setup!$B$33:$B$40,0)),0)=1)*(COUNTIF(C1708:E1725,$B1738)+COUNTIF(C1708:E1725,$B1738&amp;" ~*")&gt;0)+(IFERROR(INDEX(Setup!$G$33:$G$40,MATCH(G1738,Setup!$B$33:$B$40,0)),0)=1)*(COUNTIF(G1708:I1725,$B1738)+COUNTIF(G1708:I1725,$B1738&amp;" ~*")&gt;0)+(IFERROR(INDEX(Setup!$G$33:$G$40,MATCH(K1738,Setup!$B$33:$B$40,0)),0)=1)*(COUNTIF(K1708:M1725,$B1738)+COUNTIF(K1708:M1725,$B1738&amp;" ~*")&gt;0)+(IFERROR(INDEX(Setup!$G$33:$G$40,MATCH(O1738,Setup!$B$33:$B$40,0)),0)=1)*(COUNTIF(O1708:Q1725,$B1738)+COUNTIF(O1708:Q1725,$B1738&amp;" ~*")&gt;0)+(IFERROR(INDEX(Setup!$G$33:$G$40,MATCH(S1738,Setup!$B$33:$B$40,0)),0)=1)*(COUNTIF(S1708:U1725,$B1738)+COUNTIF(S1708:U1725,$B1738&amp;" ~*")&gt;0)+(IFERROR(INDEX(Setup!$G$33:$G$40,MATCH(W1738,Setup!$B$33:$B$40,0)),0)=1)*(COUNTIF(W1708:W1725,$B1738)+COUNTIF(W1708:W1725,$B1738&amp;" ~*")&gt;0)+(IFERROR(INDEX(Setup!$G$33:$G$40,MATCH(Y1738,Setup!$B$33:$B$40,0)),0)=1)*(COUNTIF(Y1708:Y1725,$B1738)+COUNTIF(Y1708:Y1725,$B1738&amp;" ~*")&gt;0))</f>
        <v/>
      </c>
    </row>
    <row r="1739" ht="15" customHeight="1">
      <c r="A1739" t="n">
        <v>35</v>
      </c>
      <c r="B1739" s="35">
        <f>IF(Setup!$B$18="","",Setup!$B$18)</f>
        <v/>
      </c>
      <c r="C1739" s="98" t="n"/>
      <c r="D1739" s="99" t="n"/>
      <c r="E1739" s="99" t="n"/>
      <c r="F1739" s="100" t="n"/>
      <c r="G1739" s="98" t="n"/>
      <c r="H1739" s="99" t="n"/>
      <c r="I1739" s="99" t="n"/>
      <c r="J1739" s="100" t="n"/>
      <c r="K1739" s="98" t="n"/>
      <c r="L1739" s="99" t="n"/>
      <c r="M1739" s="99" t="n"/>
      <c r="N1739" s="100" t="n"/>
      <c r="O1739" s="98" t="n"/>
      <c r="P1739" s="99" t="n"/>
      <c r="Q1739" s="99" t="n"/>
      <c r="R1739" s="100" t="n"/>
      <c r="S1739" s="98" t="n"/>
      <c r="T1739" s="99" t="n"/>
      <c r="U1739" s="99" t="n"/>
      <c r="V1739" s="100" t="n"/>
      <c r="W1739" s="98" t="n"/>
      <c r="X1739" s="100" t="n"/>
      <c r="Y1739" s="98" t="n"/>
      <c r="Z1739" s="100" t="n"/>
      <c r="AB1739" s="101">
        <f>IF($B1739="","",(COUNTIF(C1708:E1725,$B1739)+COUNTIF(C1708:E1725,$B1739&amp;" ~*")&gt;0)+(COUNTIF(G1708:I1725,$B1739)+COUNTIF(G1708:I1725,$B1739&amp;" ~*")&gt;0)+(COUNTIF(K1708:M1725,$B1739)+COUNTIF(K1708:M1725,$B1739&amp;" ~*")&gt;0)+(COUNTIF(O1708:Q1725,$B1739)+COUNTIF(O1708:Q1725,$B1739&amp;" ~*")&gt;0)+(COUNTIF(S1708:U1725,$B1739)+COUNTIF(S1708:U1725,$B1739&amp;" ~*")&gt;0)+(COUNTIF(W1708:W1725,$B1739)+COUNTIF(W1708:W1725,$B1739&amp;" ~*")&gt;0)+(COUNTIF(Y1708:Y1725,$B1739)+COUNTIF(Y1708:Y1725,$B1739&amp;" ~*")&gt;0))</f>
        <v/>
      </c>
      <c r="AC1739" s="36">
        <f>IF($B1739="","",(IFERROR(INDEX(Setup!$G$33:$G$40,MATCH(C1739,Setup!$B$33:$B$40,0)),0)=1)*(COUNTIF(C1708:E1725,$B1739)+COUNTIF(C1708:E1725,$B1739&amp;" ~*")&gt;0)+(IFERROR(INDEX(Setup!$G$33:$G$40,MATCH(G1739,Setup!$B$33:$B$40,0)),0)=1)*(COUNTIF(G1708:I1725,$B1739)+COUNTIF(G1708:I1725,$B1739&amp;" ~*")&gt;0)+(IFERROR(INDEX(Setup!$G$33:$G$40,MATCH(K1739,Setup!$B$33:$B$40,0)),0)=1)*(COUNTIF(K1708:M1725,$B1739)+COUNTIF(K1708:M1725,$B1739&amp;" ~*")&gt;0)+(IFERROR(INDEX(Setup!$G$33:$G$40,MATCH(O1739,Setup!$B$33:$B$40,0)),0)=1)*(COUNTIF(O1708:Q1725,$B1739)+COUNTIF(O1708:Q1725,$B1739&amp;" ~*")&gt;0)+(IFERROR(INDEX(Setup!$G$33:$G$40,MATCH(S1739,Setup!$B$33:$B$40,0)),0)=1)*(COUNTIF(S1708:U1725,$B1739)+COUNTIF(S1708:U1725,$B1739&amp;" ~*")&gt;0)+(IFERROR(INDEX(Setup!$G$33:$G$40,MATCH(W1739,Setup!$B$33:$B$40,0)),0)=1)*(COUNTIF(W1708:W1725,$B1739)+COUNTIF(W1708:W1725,$B1739&amp;" ~*")&gt;0)+(IFERROR(INDEX(Setup!$G$33:$G$40,MATCH(Y1739,Setup!$B$33:$B$40,0)),0)=1)*(COUNTIF(Y1708:Y1725,$B1739)+COUNTIF(Y1708:Y1725,$B1739&amp;" ~*")&gt;0))</f>
        <v/>
      </c>
    </row>
    <row r="1740" ht="15" customHeight="1">
      <c r="A1740" t="n">
        <v>35</v>
      </c>
      <c r="B1740" s="37">
        <f>IF(Setup!$B$19="","",Setup!$B$19)</f>
        <v/>
      </c>
      <c r="C1740" s="102" t="n"/>
      <c r="D1740" s="103" t="n"/>
      <c r="E1740" s="103" t="n"/>
      <c r="F1740" s="104" t="n"/>
      <c r="G1740" s="102" t="n"/>
      <c r="H1740" s="103" t="n"/>
      <c r="I1740" s="103" t="n"/>
      <c r="J1740" s="104" t="n"/>
      <c r="K1740" s="102" t="n"/>
      <c r="L1740" s="103" t="n"/>
      <c r="M1740" s="103" t="n"/>
      <c r="N1740" s="104" t="n"/>
      <c r="O1740" s="102" t="n"/>
      <c r="P1740" s="103" t="n"/>
      <c r="Q1740" s="103" t="n"/>
      <c r="R1740" s="104" t="n"/>
      <c r="S1740" s="102" t="n"/>
      <c r="T1740" s="103" t="n"/>
      <c r="U1740" s="103" t="n"/>
      <c r="V1740" s="104" t="n"/>
      <c r="W1740" s="102" t="n"/>
      <c r="X1740" s="104" t="n"/>
      <c r="Y1740" s="102" t="n"/>
      <c r="Z1740" s="104" t="n"/>
      <c r="AB1740" s="105">
        <f>IF($B1740="","",(COUNTIF(C1708:E1725,$B1740)+COUNTIF(C1708:E1725,$B1740&amp;" ~*")&gt;0)+(COUNTIF(G1708:I1725,$B1740)+COUNTIF(G1708:I1725,$B1740&amp;" ~*")&gt;0)+(COUNTIF(K1708:M1725,$B1740)+COUNTIF(K1708:M1725,$B1740&amp;" ~*")&gt;0)+(COUNTIF(O1708:Q1725,$B1740)+COUNTIF(O1708:Q1725,$B1740&amp;" ~*")&gt;0)+(COUNTIF(S1708:U1725,$B1740)+COUNTIF(S1708:U1725,$B1740&amp;" ~*")&gt;0)+(COUNTIF(W1708:W1725,$B1740)+COUNTIF(W1708:W1725,$B1740&amp;" ~*")&gt;0)+(COUNTIF(Y1708:Y1725,$B1740)+COUNTIF(Y1708:Y1725,$B1740&amp;" ~*")&gt;0))</f>
        <v/>
      </c>
      <c r="AC1740" s="38">
        <f>IF($B1740="","",(IFERROR(INDEX(Setup!$G$33:$G$40,MATCH(C1740,Setup!$B$33:$B$40,0)),0)=1)*(COUNTIF(C1708:E1725,$B1740)+COUNTIF(C1708:E1725,$B1740&amp;" ~*")&gt;0)+(IFERROR(INDEX(Setup!$G$33:$G$40,MATCH(G1740,Setup!$B$33:$B$40,0)),0)=1)*(COUNTIF(G1708:I1725,$B1740)+COUNTIF(G1708:I1725,$B1740&amp;" ~*")&gt;0)+(IFERROR(INDEX(Setup!$G$33:$G$40,MATCH(K1740,Setup!$B$33:$B$40,0)),0)=1)*(COUNTIF(K1708:M1725,$B1740)+COUNTIF(K1708:M1725,$B1740&amp;" ~*")&gt;0)+(IFERROR(INDEX(Setup!$G$33:$G$40,MATCH(O1740,Setup!$B$33:$B$40,0)),0)=1)*(COUNTIF(O1708:Q1725,$B1740)+COUNTIF(O1708:Q1725,$B1740&amp;" ~*")&gt;0)+(IFERROR(INDEX(Setup!$G$33:$G$40,MATCH(S1740,Setup!$B$33:$B$40,0)),0)=1)*(COUNTIF(S1708:U1725,$B1740)+COUNTIF(S1708:U1725,$B1740&amp;" ~*")&gt;0)+(IFERROR(INDEX(Setup!$G$33:$G$40,MATCH(W1740,Setup!$B$33:$B$40,0)),0)=1)*(COUNTIF(W1708:W1725,$B1740)+COUNTIF(W1708:W1725,$B1740&amp;" ~*")&gt;0)+(IFERROR(INDEX(Setup!$G$33:$G$40,MATCH(Y1740,Setup!$B$33:$B$40,0)),0)=1)*(COUNTIF(Y1708:Y1725,$B1740)+COUNTIF(Y1708:Y1725,$B1740&amp;" ~*")&gt;0))</f>
        <v/>
      </c>
    </row>
    <row r="1741" ht="15" customHeight="1">
      <c r="A1741" t="n">
        <v>35</v>
      </c>
      <c r="B1741" s="35">
        <f>IF(Setup!$B$20="","",Setup!$B$20)</f>
        <v/>
      </c>
      <c r="C1741" s="98" t="n"/>
      <c r="D1741" s="99" t="n"/>
      <c r="E1741" s="99" t="n"/>
      <c r="F1741" s="100" t="n"/>
      <c r="G1741" s="98" t="n"/>
      <c r="H1741" s="99" t="n"/>
      <c r="I1741" s="99" t="n"/>
      <c r="J1741" s="100" t="n"/>
      <c r="K1741" s="98" t="n"/>
      <c r="L1741" s="99" t="n"/>
      <c r="M1741" s="99" t="n"/>
      <c r="N1741" s="100" t="n"/>
      <c r="O1741" s="98" t="n"/>
      <c r="P1741" s="99" t="n"/>
      <c r="Q1741" s="99" t="n"/>
      <c r="R1741" s="100" t="n"/>
      <c r="S1741" s="98" t="n"/>
      <c r="T1741" s="99" t="n"/>
      <c r="U1741" s="99" t="n"/>
      <c r="V1741" s="100" t="n"/>
      <c r="W1741" s="98" t="n"/>
      <c r="X1741" s="100" t="n"/>
      <c r="Y1741" s="98" t="n"/>
      <c r="Z1741" s="100" t="n"/>
      <c r="AB1741" s="101">
        <f>IF($B1741="","",(COUNTIF(C1708:E1725,$B1741)+COUNTIF(C1708:E1725,$B1741&amp;" ~*")&gt;0)+(COUNTIF(G1708:I1725,$B1741)+COUNTIF(G1708:I1725,$B1741&amp;" ~*")&gt;0)+(COUNTIF(K1708:M1725,$B1741)+COUNTIF(K1708:M1725,$B1741&amp;" ~*")&gt;0)+(COUNTIF(O1708:Q1725,$B1741)+COUNTIF(O1708:Q1725,$B1741&amp;" ~*")&gt;0)+(COUNTIF(S1708:U1725,$B1741)+COUNTIF(S1708:U1725,$B1741&amp;" ~*")&gt;0)+(COUNTIF(W1708:W1725,$B1741)+COUNTIF(W1708:W1725,$B1741&amp;" ~*")&gt;0)+(COUNTIF(Y1708:Y1725,$B1741)+COUNTIF(Y1708:Y1725,$B1741&amp;" ~*")&gt;0))</f>
        <v/>
      </c>
      <c r="AC1741" s="36">
        <f>IF($B1741="","",(IFERROR(INDEX(Setup!$G$33:$G$40,MATCH(C1741,Setup!$B$33:$B$40,0)),0)=1)*(COUNTIF(C1708:E1725,$B1741)+COUNTIF(C1708:E1725,$B1741&amp;" ~*")&gt;0)+(IFERROR(INDEX(Setup!$G$33:$G$40,MATCH(G1741,Setup!$B$33:$B$40,0)),0)=1)*(COUNTIF(G1708:I1725,$B1741)+COUNTIF(G1708:I1725,$B1741&amp;" ~*")&gt;0)+(IFERROR(INDEX(Setup!$G$33:$G$40,MATCH(K1741,Setup!$B$33:$B$40,0)),0)=1)*(COUNTIF(K1708:M1725,$B1741)+COUNTIF(K1708:M1725,$B1741&amp;" ~*")&gt;0)+(IFERROR(INDEX(Setup!$G$33:$G$40,MATCH(O1741,Setup!$B$33:$B$40,0)),0)=1)*(COUNTIF(O1708:Q1725,$B1741)+COUNTIF(O1708:Q1725,$B1741&amp;" ~*")&gt;0)+(IFERROR(INDEX(Setup!$G$33:$G$40,MATCH(S1741,Setup!$B$33:$B$40,0)),0)=1)*(COUNTIF(S1708:U1725,$B1741)+COUNTIF(S1708:U1725,$B1741&amp;" ~*")&gt;0)+(IFERROR(INDEX(Setup!$G$33:$G$40,MATCH(W1741,Setup!$B$33:$B$40,0)),0)=1)*(COUNTIF(W1708:W1725,$B1741)+COUNTIF(W1708:W1725,$B1741&amp;" ~*")&gt;0)+(IFERROR(INDEX(Setup!$G$33:$G$40,MATCH(Y1741,Setup!$B$33:$B$40,0)),0)=1)*(COUNTIF(Y1708:Y1725,$B1741)+COUNTIF(Y1708:Y1725,$B1741&amp;" ~*")&gt;0))</f>
        <v/>
      </c>
    </row>
    <row r="1742" ht="15" customHeight="1">
      <c r="A1742" t="n">
        <v>35</v>
      </c>
      <c r="B1742" s="37">
        <f>IF(Setup!$B$21="","",Setup!$B$21)</f>
        <v/>
      </c>
      <c r="C1742" s="102" t="n"/>
      <c r="D1742" s="103" t="n"/>
      <c r="E1742" s="103" t="n"/>
      <c r="F1742" s="104" t="n"/>
      <c r="G1742" s="102" t="n"/>
      <c r="H1742" s="103" t="n"/>
      <c r="I1742" s="103" t="n"/>
      <c r="J1742" s="104" t="n"/>
      <c r="K1742" s="102" t="n"/>
      <c r="L1742" s="103" t="n"/>
      <c r="M1742" s="103" t="n"/>
      <c r="N1742" s="104" t="n"/>
      <c r="O1742" s="102" t="n"/>
      <c r="P1742" s="103" t="n"/>
      <c r="Q1742" s="103" t="n"/>
      <c r="R1742" s="104" t="n"/>
      <c r="S1742" s="102" t="n"/>
      <c r="T1742" s="103" t="n"/>
      <c r="U1742" s="103" t="n"/>
      <c r="V1742" s="104" t="n"/>
      <c r="W1742" s="102" t="n"/>
      <c r="X1742" s="104" t="n"/>
      <c r="Y1742" s="102" t="n"/>
      <c r="Z1742" s="104" t="n"/>
      <c r="AB1742" s="105">
        <f>IF($B1742="","",(COUNTIF(C1708:E1725,$B1742)+COUNTIF(C1708:E1725,$B1742&amp;" ~*")&gt;0)+(COUNTIF(G1708:I1725,$B1742)+COUNTIF(G1708:I1725,$B1742&amp;" ~*")&gt;0)+(COUNTIF(K1708:M1725,$B1742)+COUNTIF(K1708:M1725,$B1742&amp;" ~*")&gt;0)+(COUNTIF(O1708:Q1725,$B1742)+COUNTIF(O1708:Q1725,$B1742&amp;" ~*")&gt;0)+(COUNTIF(S1708:U1725,$B1742)+COUNTIF(S1708:U1725,$B1742&amp;" ~*")&gt;0)+(COUNTIF(W1708:W1725,$B1742)+COUNTIF(W1708:W1725,$B1742&amp;" ~*")&gt;0)+(COUNTIF(Y1708:Y1725,$B1742)+COUNTIF(Y1708:Y1725,$B1742&amp;" ~*")&gt;0))</f>
        <v/>
      </c>
      <c r="AC1742" s="38">
        <f>IF($B1742="","",(IFERROR(INDEX(Setup!$G$33:$G$40,MATCH(C1742,Setup!$B$33:$B$40,0)),0)=1)*(COUNTIF(C1708:E1725,$B1742)+COUNTIF(C1708:E1725,$B1742&amp;" ~*")&gt;0)+(IFERROR(INDEX(Setup!$G$33:$G$40,MATCH(G1742,Setup!$B$33:$B$40,0)),0)=1)*(COUNTIF(G1708:I1725,$B1742)+COUNTIF(G1708:I1725,$B1742&amp;" ~*")&gt;0)+(IFERROR(INDEX(Setup!$G$33:$G$40,MATCH(K1742,Setup!$B$33:$B$40,0)),0)=1)*(COUNTIF(K1708:M1725,$B1742)+COUNTIF(K1708:M1725,$B1742&amp;" ~*")&gt;0)+(IFERROR(INDEX(Setup!$G$33:$G$40,MATCH(O1742,Setup!$B$33:$B$40,0)),0)=1)*(COUNTIF(O1708:Q1725,$B1742)+COUNTIF(O1708:Q1725,$B1742&amp;" ~*")&gt;0)+(IFERROR(INDEX(Setup!$G$33:$G$40,MATCH(S1742,Setup!$B$33:$B$40,0)),0)=1)*(COUNTIF(S1708:U1725,$B1742)+COUNTIF(S1708:U1725,$B1742&amp;" ~*")&gt;0)+(IFERROR(INDEX(Setup!$G$33:$G$40,MATCH(W1742,Setup!$B$33:$B$40,0)),0)=1)*(COUNTIF(W1708:W1725,$B1742)+COUNTIF(W1708:W1725,$B1742&amp;" ~*")&gt;0)+(IFERROR(INDEX(Setup!$G$33:$G$40,MATCH(Y1742,Setup!$B$33:$B$40,0)),0)=1)*(COUNTIF(Y1708:Y1725,$B1742)+COUNTIF(Y1708:Y1725,$B1742&amp;" ~*")&gt;0))</f>
        <v/>
      </c>
    </row>
    <row r="1743" ht="15" customHeight="1">
      <c r="A1743" t="n">
        <v>35</v>
      </c>
      <c r="B1743" s="35">
        <f>IF(Setup!$B$22="","",Setup!$B$22)</f>
        <v/>
      </c>
      <c r="C1743" s="98" t="n"/>
      <c r="D1743" s="99" t="n"/>
      <c r="E1743" s="99" t="n"/>
      <c r="F1743" s="100" t="n"/>
      <c r="G1743" s="98" t="n"/>
      <c r="H1743" s="99" t="n"/>
      <c r="I1743" s="99" t="n"/>
      <c r="J1743" s="100" t="n"/>
      <c r="K1743" s="98" t="n"/>
      <c r="L1743" s="99" t="n"/>
      <c r="M1743" s="99" t="n"/>
      <c r="N1743" s="100" t="n"/>
      <c r="O1743" s="98" t="n"/>
      <c r="P1743" s="99" t="n"/>
      <c r="Q1743" s="99" t="n"/>
      <c r="R1743" s="100" t="n"/>
      <c r="S1743" s="98" t="n"/>
      <c r="T1743" s="99" t="n"/>
      <c r="U1743" s="99" t="n"/>
      <c r="V1743" s="100" t="n"/>
      <c r="W1743" s="98" t="n"/>
      <c r="X1743" s="100" t="n"/>
      <c r="Y1743" s="98" t="n"/>
      <c r="Z1743" s="100" t="n"/>
      <c r="AB1743" s="101">
        <f>IF($B1743="","",(COUNTIF(C1708:E1725,$B1743)+COUNTIF(C1708:E1725,$B1743&amp;" ~*")&gt;0)+(COUNTIF(G1708:I1725,$B1743)+COUNTIF(G1708:I1725,$B1743&amp;" ~*")&gt;0)+(COUNTIF(K1708:M1725,$B1743)+COUNTIF(K1708:M1725,$B1743&amp;" ~*")&gt;0)+(COUNTIF(O1708:Q1725,$B1743)+COUNTIF(O1708:Q1725,$B1743&amp;" ~*")&gt;0)+(COUNTIF(S1708:U1725,$B1743)+COUNTIF(S1708:U1725,$B1743&amp;" ~*")&gt;0)+(COUNTIF(W1708:W1725,$B1743)+COUNTIF(W1708:W1725,$B1743&amp;" ~*")&gt;0)+(COUNTIF(Y1708:Y1725,$B1743)+COUNTIF(Y1708:Y1725,$B1743&amp;" ~*")&gt;0))</f>
        <v/>
      </c>
      <c r="AC1743" s="36">
        <f>IF($B1743="","",(IFERROR(INDEX(Setup!$G$33:$G$40,MATCH(C1743,Setup!$B$33:$B$40,0)),0)=1)*(COUNTIF(C1708:E1725,$B1743)+COUNTIF(C1708:E1725,$B1743&amp;" ~*")&gt;0)+(IFERROR(INDEX(Setup!$G$33:$G$40,MATCH(G1743,Setup!$B$33:$B$40,0)),0)=1)*(COUNTIF(G1708:I1725,$B1743)+COUNTIF(G1708:I1725,$B1743&amp;" ~*")&gt;0)+(IFERROR(INDEX(Setup!$G$33:$G$40,MATCH(K1743,Setup!$B$33:$B$40,0)),0)=1)*(COUNTIF(K1708:M1725,$B1743)+COUNTIF(K1708:M1725,$B1743&amp;" ~*")&gt;0)+(IFERROR(INDEX(Setup!$G$33:$G$40,MATCH(O1743,Setup!$B$33:$B$40,0)),0)=1)*(COUNTIF(O1708:Q1725,$B1743)+COUNTIF(O1708:Q1725,$B1743&amp;" ~*")&gt;0)+(IFERROR(INDEX(Setup!$G$33:$G$40,MATCH(S1743,Setup!$B$33:$B$40,0)),0)=1)*(COUNTIF(S1708:U1725,$B1743)+COUNTIF(S1708:U1725,$B1743&amp;" ~*")&gt;0)+(IFERROR(INDEX(Setup!$G$33:$G$40,MATCH(W1743,Setup!$B$33:$B$40,0)),0)=1)*(COUNTIF(W1708:W1725,$B1743)+COUNTIF(W1708:W1725,$B1743&amp;" ~*")&gt;0)+(IFERROR(INDEX(Setup!$G$33:$G$40,MATCH(Y1743,Setup!$B$33:$B$40,0)),0)=1)*(COUNTIF(Y1708:Y1725,$B1743)+COUNTIF(Y1708:Y1725,$B1743&amp;" ~*")&gt;0))</f>
        <v/>
      </c>
    </row>
    <row r="1744" ht="15" customHeight="1">
      <c r="A1744" t="n">
        <v>35</v>
      </c>
      <c r="B1744" s="37">
        <f>IF(Setup!$B$23="","",Setup!$B$23)</f>
        <v/>
      </c>
      <c r="C1744" s="102" t="n"/>
      <c r="D1744" s="103" t="n"/>
      <c r="E1744" s="103" t="n"/>
      <c r="F1744" s="104" t="n"/>
      <c r="G1744" s="102" t="n"/>
      <c r="H1744" s="103" t="n"/>
      <c r="I1744" s="103" t="n"/>
      <c r="J1744" s="104" t="n"/>
      <c r="K1744" s="102" t="n"/>
      <c r="L1744" s="103" t="n"/>
      <c r="M1744" s="103" t="n"/>
      <c r="N1744" s="104" t="n"/>
      <c r="O1744" s="102" t="n"/>
      <c r="P1744" s="103" t="n"/>
      <c r="Q1744" s="103" t="n"/>
      <c r="R1744" s="104" t="n"/>
      <c r="S1744" s="102" t="n"/>
      <c r="T1744" s="103" t="n"/>
      <c r="U1744" s="103" t="n"/>
      <c r="V1744" s="104" t="n"/>
      <c r="W1744" s="102" t="n"/>
      <c r="X1744" s="104" t="n"/>
      <c r="Y1744" s="102" t="n"/>
      <c r="Z1744" s="104" t="n"/>
      <c r="AB1744" s="105">
        <f>IF($B1744="","",(COUNTIF(C1708:E1725,$B1744)+COUNTIF(C1708:E1725,$B1744&amp;" ~*")&gt;0)+(COUNTIF(G1708:I1725,$B1744)+COUNTIF(G1708:I1725,$B1744&amp;" ~*")&gt;0)+(COUNTIF(K1708:M1725,$B1744)+COUNTIF(K1708:M1725,$B1744&amp;" ~*")&gt;0)+(COUNTIF(O1708:Q1725,$B1744)+COUNTIF(O1708:Q1725,$B1744&amp;" ~*")&gt;0)+(COUNTIF(S1708:U1725,$B1744)+COUNTIF(S1708:U1725,$B1744&amp;" ~*")&gt;0)+(COUNTIF(W1708:W1725,$B1744)+COUNTIF(W1708:W1725,$B1744&amp;" ~*")&gt;0)+(COUNTIF(Y1708:Y1725,$B1744)+COUNTIF(Y1708:Y1725,$B1744&amp;" ~*")&gt;0))</f>
        <v/>
      </c>
      <c r="AC1744" s="38">
        <f>IF($B1744="","",(IFERROR(INDEX(Setup!$G$33:$G$40,MATCH(C1744,Setup!$B$33:$B$40,0)),0)=1)*(COUNTIF(C1708:E1725,$B1744)+COUNTIF(C1708:E1725,$B1744&amp;" ~*")&gt;0)+(IFERROR(INDEX(Setup!$G$33:$G$40,MATCH(G1744,Setup!$B$33:$B$40,0)),0)=1)*(COUNTIF(G1708:I1725,$B1744)+COUNTIF(G1708:I1725,$B1744&amp;" ~*")&gt;0)+(IFERROR(INDEX(Setup!$G$33:$G$40,MATCH(K1744,Setup!$B$33:$B$40,0)),0)=1)*(COUNTIF(K1708:M1725,$B1744)+COUNTIF(K1708:M1725,$B1744&amp;" ~*")&gt;0)+(IFERROR(INDEX(Setup!$G$33:$G$40,MATCH(O1744,Setup!$B$33:$B$40,0)),0)=1)*(COUNTIF(O1708:Q1725,$B1744)+COUNTIF(O1708:Q1725,$B1744&amp;" ~*")&gt;0)+(IFERROR(INDEX(Setup!$G$33:$G$40,MATCH(S1744,Setup!$B$33:$B$40,0)),0)=1)*(COUNTIF(S1708:U1725,$B1744)+COUNTIF(S1708:U1725,$B1744&amp;" ~*")&gt;0)+(IFERROR(INDEX(Setup!$G$33:$G$40,MATCH(W1744,Setup!$B$33:$B$40,0)),0)=1)*(COUNTIF(W1708:W1725,$B1744)+COUNTIF(W1708:W1725,$B1744&amp;" ~*")&gt;0)+(IFERROR(INDEX(Setup!$G$33:$G$40,MATCH(Y1744,Setup!$B$33:$B$40,0)),0)=1)*(COUNTIF(Y1708:Y1725,$B1744)+COUNTIF(Y1708:Y1725,$B1744&amp;" ~*")&gt;0))</f>
        <v/>
      </c>
    </row>
    <row r="1745" ht="15" customHeight="1">
      <c r="A1745" t="n">
        <v>35</v>
      </c>
      <c r="B1745" s="35">
        <f>IF(Setup!$B$24="","",Setup!$B$24)</f>
        <v/>
      </c>
      <c r="C1745" s="98" t="n"/>
      <c r="D1745" s="99" t="n"/>
      <c r="E1745" s="99" t="n"/>
      <c r="F1745" s="100" t="n"/>
      <c r="G1745" s="98" t="n"/>
      <c r="H1745" s="99" t="n"/>
      <c r="I1745" s="99" t="n"/>
      <c r="J1745" s="100" t="n"/>
      <c r="K1745" s="98" t="n"/>
      <c r="L1745" s="99" t="n"/>
      <c r="M1745" s="99" t="n"/>
      <c r="N1745" s="100" t="n"/>
      <c r="O1745" s="98" t="n"/>
      <c r="P1745" s="99" t="n"/>
      <c r="Q1745" s="99" t="n"/>
      <c r="R1745" s="100" t="n"/>
      <c r="S1745" s="98" t="n"/>
      <c r="T1745" s="99" t="n"/>
      <c r="U1745" s="99" t="n"/>
      <c r="V1745" s="100" t="n"/>
      <c r="W1745" s="98" t="n"/>
      <c r="X1745" s="100" t="n"/>
      <c r="Y1745" s="98" t="n"/>
      <c r="Z1745" s="100" t="n"/>
      <c r="AB1745" s="101">
        <f>IF($B1745="","",(COUNTIF(C1708:E1725,$B1745)+COUNTIF(C1708:E1725,$B1745&amp;" ~*")&gt;0)+(COUNTIF(G1708:I1725,$B1745)+COUNTIF(G1708:I1725,$B1745&amp;" ~*")&gt;0)+(COUNTIF(K1708:M1725,$B1745)+COUNTIF(K1708:M1725,$B1745&amp;" ~*")&gt;0)+(COUNTIF(O1708:Q1725,$B1745)+COUNTIF(O1708:Q1725,$B1745&amp;" ~*")&gt;0)+(COUNTIF(S1708:U1725,$B1745)+COUNTIF(S1708:U1725,$B1745&amp;" ~*")&gt;0)+(COUNTIF(W1708:W1725,$B1745)+COUNTIF(W1708:W1725,$B1745&amp;" ~*")&gt;0)+(COUNTIF(Y1708:Y1725,$B1745)+COUNTIF(Y1708:Y1725,$B1745&amp;" ~*")&gt;0))</f>
        <v/>
      </c>
      <c r="AC1745" s="36">
        <f>IF($B1745="","",(IFERROR(INDEX(Setup!$G$33:$G$40,MATCH(C1745,Setup!$B$33:$B$40,0)),0)=1)*(COUNTIF(C1708:E1725,$B1745)+COUNTIF(C1708:E1725,$B1745&amp;" ~*")&gt;0)+(IFERROR(INDEX(Setup!$G$33:$G$40,MATCH(G1745,Setup!$B$33:$B$40,0)),0)=1)*(COUNTIF(G1708:I1725,$B1745)+COUNTIF(G1708:I1725,$B1745&amp;" ~*")&gt;0)+(IFERROR(INDEX(Setup!$G$33:$G$40,MATCH(K1745,Setup!$B$33:$B$40,0)),0)=1)*(COUNTIF(K1708:M1725,$B1745)+COUNTIF(K1708:M1725,$B1745&amp;" ~*")&gt;0)+(IFERROR(INDEX(Setup!$G$33:$G$40,MATCH(O1745,Setup!$B$33:$B$40,0)),0)=1)*(COUNTIF(O1708:Q1725,$B1745)+COUNTIF(O1708:Q1725,$B1745&amp;" ~*")&gt;0)+(IFERROR(INDEX(Setup!$G$33:$G$40,MATCH(S1745,Setup!$B$33:$B$40,0)),0)=1)*(COUNTIF(S1708:U1725,$B1745)+COUNTIF(S1708:U1725,$B1745&amp;" ~*")&gt;0)+(IFERROR(INDEX(Setup!$G$33:$G$40,MATCH(W1745,Setup!$B$33:$B$40,0)),0)=1)*(COUNTIF(W1708:W1725,$B1745)+COUNTIF(W1708:W1725,$B1745&amp;" ~*")&gt;0)+(IFERROR(INDEX(Setup!$G$33:$G$40,MATCH(Y1745,Setup!$B$33:$B$40,0)),0)=1)*(COUNTIF(Y1708:Y1725,$B1745)+COUNTIF(Y1708:Y1725,$B1745&amp;" ~*")&gt;0))</f>
        <v/>
      </c>
    </row>
    <row r="1746" ht="15" customHeight="1">
      <c r="A1746" t="n">
        <v>35</v>
      </c>
      <c r="B1746" s="37">
        <f>IF(Setup!$B$25="","",Setup!$B$25)</f>
        <v/>
      </c>
      <c r="C1746" s="102" t="n"/>
      <c r="D1746" s="103" t="n"/>
      <c r="E1746" s="103" t="n"/>
      <c r="F1746" s="104" t="n"/>
      <c r="G1746" s="102" t="n"/>
      <c r="H1746" s="103" t="n"/>
      <c r="I1746" s="103" t="n"/>
      <c r="J1746" s="104" t="n"/>
      <c r="K1746" s="102" t="n"/>
      <c r="L1746" s="103" t="n"/>
      <c r="M1746" s="103" t="n"/>
      <c r="N1746" s="104" t="n"/>
      <c r="O1746" s="102" t="n"/>
      <c r="P1746" s="103" t="n"/>
      <c r="Q1746" s="103" t="n"/>
      <c r="R1746" s="104" t="n"/>
      <c r="S1746" s="102" t="n"/>
      <c r="T1746" s="103" t="n"/>
      <c r="U1746" s="103" t="n"/>
      <c r="V1746" s="104" t="n"/>
      <c r="W1746" s="102" t="n"/>
      <c r="X1746" s="104" t="n"/>
      <c r="Y1746" s="102" t="n"/>
      <c r="Z1746" s="104" t="n"/>
      <c r="AB1746" s="105">
        <f>IF($B1746="","",(COUNTIF(C1708:E1725,$B1746)+COUNTIF(C1708:E1725,$B1746&amp;" ~*")&gt;0)+(COUNTIF(G1708:I1725,$B1746)+COUNTIF(G1708:I1725,$B1746&amp;" ~*")&gt;0)+(COUNTIF(K1708:M1725,$B1746)+COUNTIF(K1708:M1725,$B1746&amp;" ~*")&gt;0)+(COUNTIF(O1708:Q1725,$B1746)+COUNTIF(O1708:Q1725,$B1746&amp;" ~*")&gt;0)+(COUNTIF(S1708:U1725,$B1746)+COUNTIF(S1708:U1725,$B1746&amp;" ~*")&gt;0)+(COUNTIF(W1708:W1725,$B1746)+COUNTIF(W1708:W1725,$B1746&amp;" ~*")&gt;0)+(COUNTIF(Y1708:Y1725,$B1746)+COUNTIF(Y1708:Y1725,$B1746&amp;" ~*")&gt;0))</f>
        <v/>
      </c>
      <c r="AC1746" s="38">
        <f>IF($B1746="","",(IFERROR(INDEX(Setup!$G$33:$G$40,MATCH(C1746,Setup!$B$33:$B$40,0)),0)=1)*(COUNTIF(C1708:E1725,$B1746)+COUNTIF(C1708:E1725,$B1746&amp;" ~*")&gt;0)+(IFERROR(INDEX(Setup!$G$33:$G$40,MATCH(G1746,Setup!$B$33:$B$40,0)),0)=1)*(COUNTIF(G1708:I1725,$B1746)+COUNTIF(G1708:I1725,$B1746&amp;" ~*")&gt;0)+(IFERROR(INDEX(Setup!$G$33:$G$40,MATCH(K1746,Setup!$B$33:$B$40,0)),0)=1)*(COUNTIF(K1708:M1725,$B1746)+COUNTIF(K1708:M1725,$B1746&amp;" ~*")&gt;0)+(IFERROR(INDEX(Setup!$G$33:$G$40,MATCH(O1746,Setup!$B$33:$B$40,0)),0)=1)*(COUNTIF(O1708:Q1725,$B1746)+COUNTIF(O1708:Q1725,$B1746&amp;" ~*")&gt;0)+(IFERROR(INDEX(Setup!$G$33:$G$40,MATCH(S1746,Setup!$B$33:$B$40,0)),0)=1)*(COUNTIF(S1708:U1725,$B1746)+COUNTIF(S1708:U1725,$B1746&amp;" ~*")&gt;0)+(IFERROR(INDEX(Setup!$G$33:$G$40,MATCH(W1746,Setup!$B$33:$B$40,0)),0)=1)*(COUNTIF(W1708:W1725,$B1746)+COUNTIF(W1708:W1725,$B1746&amp;" ~*")&gt;0)+(IFERROR(INDEX(Setup!$G$33:$G$40,MATCH(Y1746,Setup!$B$33:$B$40,0)),0)=1)*(COUNTIF(Y1708:Y1725,$B1746)+COUNTIF(Y1708:Y1725,$B1746&amp;" ~*")&gt;0))</f>
        <v/>
      </c>
    </row>
    <row r="1747" ht="15" customHeight="1">
      <c r="A1747" t="n">
        <v>35</v>
      </c>
      <c r="B1747" s="35">
        <f>IF(Setup!$B$26="","",Setup!$B$26)</f>
        <v/>
      </c>
      <c r="C1747" s="98" t="n"/>
      <c r="D1747" s="99" t="n"/>
      <c r="E1747" s="99" t="n"/>
      <c r="F1747" s="100" t="n"/>
      <c r="G1747" s="98" t="n"/>
      <c r="H1747" s="99" t="n"/>
      <c r="I1747" s="99" t="n"/>
      <c r="J1747" s="100" t="n"/>
      <c r="K1747" s="98" t="n"/>
      <c r="L1747" s="99" t="n"/>
      <c r="M1747" s="99" t="n"/>
      <c r="N1747" s="100" t="n"/>
      <c r="O1747" s="98" t="n"/>
      <c r="P1747" s="99" t="n"/>
      <c r="Q1747" s="99" t="n"/>
      <c r="R1747" s="100" t="n"/>
      <c r="S1747" s="98" t="n"/>
      <c r="T1747" s="99" t="n"/>
      <c r="U1747" s="99" t="n"/>
      <c r="V1747" s="100" t="n"/>
      <c r="W1747" s="98" t="n"/>
      <c r="X1747" s="100" t="n"/>
      <c r="Y1747" s="98" t="n"/>
      <c r="Z1747" s="100" t="n"/>
      <c r="AB1747" s="101">
        <f>IF($B1747="","",(COUNTIF(C1708:E1725,$B1747)+COUNTIF(C1708:E1725,$B1747&amp;" ~*")&gt;0)+(COUNTIF(G1708:I1725,$B1747)+COUNTIF(G1708:I1725,$B1747&amp;" ~*")&gt;0)+(COUNTIF(K1708:M1725,$B1747)+COUNTIF(K1708:M1725,$B1747&amp;" ~*")&gt;0)+(COUNTIF(O1708:Q1725,$B1747)+COUNTIF(O1708:Q1725,$B1747&amp;" ~*")&gt;0)+(COUNTIF(S1708:U1725,$B1747)+COUNTIF(S1708:U1725,$B1747&amp;" ~*")&gt;0)+(COUNTIF(W1708:W1725,$B1747)+COUNTIF(W1708:W1725,$B1747&amp;" ~*")&gt;0)+(COUNTIF(Y1708:Y1725,$B1747)+COUNTIF(Y1708:Y1725,$B1747&amp;" ~*")&gt;0))</f>
        <v/>
      </c>
      <c r="AC1747" s="36">
        <f>IF($B1747="","",(IFERROR(INDEX(Setup!$G$33:$G$40,MATCH(C1747,Setup!$B$33:$B$40,0)),0)=1)*(COUNTIF(C1708:E1725,$B1747)+COUNTIF(C1708:E1725,$B1747&amp;" ~*")&gt;0)+(IFERROR(INDEX(Setup!$G$33:$G$40,MATCH(G1747,Setup!$B$33:$B$40,0)),0)=1)*(COUNTIF(G1708:I1725,$B1747)+COUNTIF(G1708:I1725,$B1747&amp;" ~*")&gt;0)+(IFERROR(INDEX(Setup!$G$33:$G$40,MATCH(K1747,Setup!$B$33:$B$40,0)),0)=1)*(COUNTIF(K1708:M1725,$B1747)+COUNTIF(K1708:M1725,$B1747&amp;" ~*")&gt;0)+(IFERROR(INDEX(Setup!$G$33:$G$40,MATCH(O1747,Setup!$B$33:$B$40,0)),0)=1)*(COUNTIF(O1708:Q1725,$B1747)+COUNTIF(O1708:Q1725,$B1747&amp;" ~*")&gt;0)+(IFERROR(INDEX(Setup!$G$33:$G$40,MATCH(S1747,Setup!$B$33:$B$40,0)),0)=1)*(COUNTIF(S1708:U1725,$B1747)+COUNTIF(S1708:U1725,$B1747&amp;" ~*")&gt;0)+(IFERROR(INDEX(Setup!$G$33:$G$40,MATCH(W1747,Setup!$B$33:$B$40,0)),0)=1)*(COUNTIF(W1708:W1725,$B1747)+COUNTIF(W1708:W1725,$B1747&amp;" ~*")&gt;0)+(IFERROR(INDEX(Setup!$G$33:$G$40,MATCH(Y1747,Setup!$B$33:$B$40,0)),0)=1)*(COUNTIF(Y1708:Y1725,$B1747)+COUNTIF(Y1708:Y1725,$B1747&amp;" ~*")&gt;0))</f>
        <v/>
      </c>
    </row>
    <row r="1748" ht="15" customHeight="1">
      <c r="A1748" t="n">
        <v>35</v>
      </c>
      <c r="B1748" s="37">
        <f>IF(Setup!$B$27="","",Setup!$B$27)</f>
        <v/>
      </c>
      <c r="C1748" s="102" t="n"/>
      <c r="D1748" s="103" t="n"/>
      <c r="E1748" s="103" t="n"/>
      <c r="F1748" s="104" t="n"/>
      <c r="G1748" s="102" t="n"/>
      <c r="H1748" s="103" t="n"/>
      <c r="I1748" s="103" t="n"/>
      <c r="J1748" s="104" t="n"/>
      <c r="K1748" s="102" t="n"/>
      <c r="L1748" s="103" t="n"/>
      <c r="M1748" s="103" t="n"/>
      <c r="N1748" s="104" t="n"/>
      <c r="O1748" s="102" t="n"/>
      <c r="P1748" s="103" t="n"/>
      <c r="Q1748" s="103" t="n"/>
      <c r="R1748" s="104" t="n"/>
      <c r="S1748" s="102" t="n"/>
      <c r="T1748" s="103" t="n"/>
      <c r="U1748" s="103" t="n"/>
      <c r="V1748" s="104" t="n"/>
      <c r="W1748" s="102" t="n"/>
      <c r="X1748" s="104" t="n"/>
      <c r="Y1748" s="102" t="n"/>
      <c r="Z1748" s="104" t="n"/>
      <c r="AB1748" s="105">
        <f>IF($B1748="","",(COUNTIF(C1708:E1725,$B1748)+COUNTIF(C1708:E1725,$B1748&amp;" ~*")&gt;0)+(COUNTIF(G1708:I1725,$B1748)+COUNTIF(G1708:I1725,$B1748&amp;" ~*")&gt;0)+(COUNTIF(K1708:M1725,$B1748)+COUNTIF(K1708:M1725,$B1748&amp;" ~*")&gt;0)+(COUNTIF(O1708:Q1725,$B1748)+COUNTIF(O1708:Q1725,$B1748&amp;" ~*")&gt;0)+(COUNTIF(S1708:U1725,$B1748)+COUNTIF(S1708:U1725,$B1748&amp;" ~*")&gt;0)+(COUNTIF(W1708:W1725,$B1748)+COUNTIF(W1708:W1725,$B1748&amp;" ~*")&gt;0)+(COUNTIF(Y1708:Y1725,$B1748)+COUNTIF(Y1708:Y1725,$B1748&amp;" ~*")&gt;0))</f>
        <v/>
      </c>
      <c r="AC1748" s="38">
        <f>IF($B1748="","",(IFERROR(INDEX(Setup!$G$33:$G$40,MATCH(C1748,Setup!$B$33:$B$40,0)),0)=1)*(COUNTIF(C1708:E1725,$B1748)+COUNTIF(C1708:E1725,$B1748&amp;" ~*")&gt;0)+(IFERROR(INDEX(Setup!$G$33:$G$40,MATCH(G1748,Setup!$B$33:$B$40,0)),0)=1)*(COUNTIF(G1708:I1725,$B1748)+COUNTIF(G1708:I1725,$B1748&amp;" ~*")&gt;0)+(IFERROR(INDEX(Setup!$G$33:$G$40,MATCH(K1748,Setup!$B$33:$B$40,0)),0)=1)*(COUNTIF(K1708:M1725,$B1748)+COUNTIF(K1708:M1725,$B1748&amp;" ~*")&gt;0)+(IFERROR(INDEX(Setup!$G$33:$G$40,MATCH(O1748,Setup!$B$33:$B$40,0)),0)=1)*(COUNTIF(O1708:Q1725,$B1748)+COUNTIF(O1708:Q1725,$B1748&amp;" ~*")&gt;0)+(IFERROR(INDEX(Setup!$G$33:$G$40,MATCH(S1748,Setup!$B$33:$B$40,0)),0)=1)*(COUNTIF(S1708:U1725,$B1748)+COUNTIF(S1708:U1725,$B1748&amp;" ~*")&gt;0)+(IFERROR(INDEX(Setup!$G$33:$G$40,MATCH(W1748,Setup!$B$33:$B$40,0)),0)=1)*(COUNTIF(W1708:W1725,$B1748)+COUNTIF(W1708:W1725,$B1748&amp;" ~*")&gt;0)+(IFERROR(INDEX(Setup!$G$33:$G$40,MATCH(Y1748,Setup!$B$33:$B$40,0)),0)=1)*(COUNTIF(Y1708:Y1725,$B1748)+COUNTIF(Y1708:Y1725,$B1748&amp;" ~*")&gt;0))</f>
        <v/>
      </c>
    </row>
    <row r="1749" ht="15" customHeight="1">
      <c r="A1749" t="n">
        <v>35</v>
      </c>
      <c r="B1749" s="35">
        <f>IF(Setup!$B$28="","",Setup!$B$28)</f>
        <v/>
      </c>
      <c r="C1749" s="98" t="n"/>
      <c r="D1749" s="99" t="n"/>
      <c r="E1749" s="99" t="n"/>
      <c r="F1749" s="100" t="n"/>
      <c r="G1749" s="98" t="n"/>
      <c r="H1749" s="99" t="n"/>
      <c r="I1749" s="99" t="n"/>
      <c r="J1749" s="100" t="n"/>
      <c r="K1749" s="98" t="n"/>
      <c r="L1749" s="99" t="n"/>
      <c r="M1749" s="99" t="n"/>
      <c r="N1749" s="100" t="n"/>
      <c r="O1749" s="98" t="n"/>
      <c r="P1749" s="99" t="n"/>
      <c r="Q1749" s="99" t="n"/>
      <c r="R1749" s="100" t="n"/>
      <c r="S1749" s="98" t="n"/>
      <c r="T1749" s="99" t="n"/>
      <c r="U1749" s="99" t="n"/>
      <c r="V1749" s="100" t="n"/>
      <c r="W1749" s="98" t="n"/>
      <c r="X1749" s="100" t="n"/>
      <c r="Y1749" s="98" t="n"/>
      <c r="Z1749" s="100" t="n"/>
      <c r="AB1749" s="101">
        <f>IF($B1749="","",(COUNTIF(C1708:E1725,$B1749)+COUNTIF(C1708:E1725,$B1749&amp;" ~*")&gt;0)+(COUNTIF(G1708:I1725,$B1749)+COUNTIF(G1708:I1725,$B1749&amp;" ~*")&gt;0)+(COUNTIF(K1708:M1725,$B1749)+COUNTIF(K1708:M1725,$B1749&amp;" ~*")&gt;0)+(COUNTIF(O1708:Q1725,$B1749)+COUNTIF(O1708:Q1725,$B1749&amp;" ~*")&gt;0)+(COUNTIF(S1708:U1725,$B1749)+COUNTIF(S1708:U1725,$B1749&amp;" ~*")&gt;0)+(COUNTIF(W1708:W1725,$B1749)+COUNTIF(W1708:W1725,$B1749&amp;" ~*")&gt;0)+(COUNTIF(Y1708:Y1725,$B1749)+COUNTIF(Y1708:Y1725,$B1749&amp;" ~*")&gt;0))</f>
        <v/>
      </c>
      <c r="AC1749" s="36">
        <f>IF($B1749="","",(IFERROR(INDEX(Setup!$G$33:$G$40,MATCH(C1749,Setup!$B$33:$B$40,0)),0)=1)*(COUNTIF(C1708:E1725,$B1749)+COUNTIF(C1708:E1725,$B1749&amp;" ~*")&gt;0)+(IFERROR(INDEX(Setup!$G$33:$G$40,MATCH(G1749,Setup!$B$33:$B$40,0)),0)=1)*(COUNTIF(G1708:I1725,$B1749)+COUNTIF(G1708:I1725,$B1749&amp;" ~*")&gt;0)+(IFERROR(INDEX(Setup!$G$33:$G$40,MATCH(K1749,Setup!$B$33:$B$40,0)),0)=1)*(COUNTIF(K1708:M1725,$B1749)+COUNTIF(K1708:M1725,$B1749&amp;" ~*")&gt;0)+(IFERROR(INDEX(Setup!$G$33:$G$40,MATCH(O1749,Setup!$B$33:$B$40,0)),0)=1)*(COUNTIF(O1708:Q1725,$B1749)+COUNTIF(O1708:Q1725,$B1749&amp;" ~*")&gt;0)+(IFERROR(INDEX(Setup!$G$33:$G$40,MATCH(S1749,Setup!$B$33:$B$40,0)),0)=1)*(COUNTIF(S1708:U1725,$B1749)+COUNTIF(S1708:U1725,$B1749&amp;" ~*")&gt;0)+(IFERROR(INDEX(Setup!$G$33:$G$40,MATCH(W1749,Setup!$B$33:$B$40,0)),0)=1)*(COUNTIF(W1708:W1725,$B1749)+COUNTIF(W1708:W1725,$B1749&amp;" ~*")&gt;0)+(IFERROR(INDEX(Setup!$G$33:$G$40,MATCH(Y1749,Setup!$B$33:$B$40,0)),0)=1)*(COUNTIF(Y1708:Y1725,$B1749)+COUNTIF(Y1708:Y1725,$B1749&amp;" ~*")&gt;0))</f>
        <v/>
      </c>
    </row>
    <row r="1750" ht="15" customHeight="1">
      <c r="A1750" t="n">
        <v>35</v>
      </c>
      <c r="B1750" s="37">
        <f>IF(Setup!$B$29="","",Setup!$B$29)</f>
        <v/>
      </c>
      <c r="C1750" s="102" t="n"/>
      <c r="D1750" s="103" t="n"/>
      <c r="E1750" s="103" t="n"/>
      <c r="F1750" s="104" t="n"/>
      <c r="G1750" s="102" t="n"/>
      <c r="H1750" s="103" t="n"/>
      <c r="I1750" s="103" t="n"/>
      <c r="J1750" s="104" t="n"/>
      <c r="K1750" s="102" t="n"/>
      <c r="L1750" s="103" t="n"/>
      <c r="M1750" s="103" t="n"/>
      <c r="N1750" s="104" t="n"/>
      <c r="O1750" s="102" t="n"/>
      <c r="P1750" s="103" t="n"/>
      <c r="Q1750" s="103" t="n"/>
      <c r="R1750" s="104" t="n"/>
      <c r="S1750" s="102" t="n"/>
      <c r="T1750" s="103" t="n"/>
      <c r="U1750" s="103" t="n"/>
      <c r="V1750" s="104" t="n"/>
      <c r="W1750" s="102" t="n"/>
      <c r="X1750" s="104" t="n"/>
      <c r="Y1750" s="102" t="n"/>
      <c r="Z1750" s="104" t="n"/>
      <c r="AB1750" s="105">
        <f>IF($B1750="","",(COUNTIF(C1708:E1725,$B1750)+COUNTIF(C1708:E1725,$B1750&amp;" ~*")&gt;0)+(COUNTIF(G1708:I1725,$B1750)+COUNTIF(G1708:I1725,$B1750&amp;" ~*")&gt;0)+(COUNTIF(K1708:M1725,$B1750)+COUNTIF(K1708:M1725,$B1750&amp;" ~*")&gt;0)+(COUNTIF(O1708:Q1725,$B1750)+COUNTIF(O1708:Q1725,$B1750&amp;" ~*")&gt;0)+(COUNTIF(S1708:U1725,$B1750)+COUNTIF(S1708:U1725,$B1750&amp;" ~*")&gt;0)+(COUNTIF(W1708:W1725,$B1750)+COUNTIF(W1708:W1725,$B1750&amp;" ~*")&gt;0)+(COUNTIF(Y1708:Y1725,$B1750)+COUNTIF(Y1708:Y1725,$B1750&amp;" ~*")&gt;0))</f>
        <v/>
      </c>
      <c r="AC1750" s="38">
        <f>IF($B1750="","",(IFERROR(INDEX(Setup!$G$33:$G$40,MATCH(C1750,Setup!$B$33:$B$40,0)),0)=1)*(COUNTIF(C1708:E1725,$B1750)+COUNTIF(C1708:E1725,$B1750&amp;" ~*")&gt;0)+(IFERROR(INDEX(Setup!$G$33:$G$40,MATCH(G1750,Setup!$B$33:$B$40,0)),0)=1)*(COUNTIF(G1708:I1725,$B1750)+COUNTIF(G1708:I1725,$B1750&amp;" ~*")&gt;0)+(IFERROR(INDEX(Setup!$G$33:$G$40,MATCH(K1750,Setup!$B$33:$B$40,0)),0)=1)*(COUNTIF(K1708:M1725,$B1750)+COUNTIF(K1708:M1725,$B1750&amp;" ~*")&gt;0)+(IFERROR(INDEX(Setup!$G$33:$G$40,MATCH(O1750,Setup!$B$33:$B$40,0)),0)=1)*(COUNTIF(O1708:Q1725,$B1750)+COUNTIF(O1708:Q1725,$B1750&amp;" ~*")&gt;0)+(IFERROR(INDEX(Setup!$G$33:$G$40,MATCH(S1750,Setup!$B$33:$B$40,0)),0)=1)*(COUNTIF(S1708:U1725,$B1750)+COUNTIF(S1708:U1725,$B1750&amp;" ~*")&gt;0)+(IFERROR(INDEX(Setup!$G$33:$G$40,MATCH(W1750,Setup!$B$33:$B$40,0)),0)=1)*(COUNTIF(W1708:W1725,$B1750)+COUNTIF(W1708:W1725,$B1750&amp;" ~*")&gt;0)+(IFERROR(INDEX(Setup!$G$33:$G$40,MATCH(Y1750,Setup!$B$33:$B$40,0)),0)=1)*(COUNTIF(Y1708:Y1725,$B1750)+COUNTIF(Y1708:Y1725,$B1750&amp;" ~*")&gt;0))</f>
        <v/>
      </c>
    </row>
    <row r="1751" ht="16" customHeight="1">
      <c r="A1751" t="n">
        <v>35</v>
      </c>
      <c r="B1751" s="106" t="inlineStr">
        <is>
          <t>Available people</t>
        </is>
      </c>
      <c r="C1751" s="107">
        <f>COUNTIFS(Setup!$E$6:$E$29,"Y",Setup!$B$6:$B$29,"?*")-SUMPRODUCT(COUNTIF(C1727:C1750,Setup!$F$33:$F$40))</f>
        <v/>
      </c>
      <c r="D1751" s="107" t="n"/>
      <c r="E1751" s="107" t="n"/>
      <c r="F1751" s="107" t="n"/>
      <c r="G1751" s="107">
        <f>COUNTIFS(Setup!$E$6:$E$29,"Y",Setup!$B$6:$B$29,"?*")-SUMPRODUCT(COUNTIF(G1727:G1750,Setup!$F$33:$F$40))</f>
        <v/>
      </c>
      <c r="H1751" s="107" t="n"/>
      <c r="I1751" s="107" t="n"/>
      <c r="J1751" s="107" t="n"/>
      <c r="K1751" s="107">
        <f>COUNTIFS(Setup!$E$6:$E$29,"Y",Setup!$B$6:$B$29,"?*")-SUMPRODUCT(COUNTIF(K1727:K1750,Setup!$F$33:$F$40))</f>
        <v/>
      </c>
      <c r="L1751" s="107" t="n"/>
      <c r="M1751" s="107" t="n"/>
      <c r="N1751" s="107" t="n"/>
      <c r="O1751" s="107">
        <f>COUNTIFS(Setup!$E$6:$E$29,"Y",Setup!$B$6:$B$29,"?*")-SUMPRODUCT(COUNTIF(O1727:O1750,Setup!$F$33:$F$40))</f>
        <v/>
      </c>
      <c r="P1751" s="107" t="n"/>
      <c r="Q1751" s="107" t="n"/>
      <c r="R1751" s="107" t="n"/>
      <c r="S1751" s="107">
        <f>COUNTIFS(Setup!$E$6:$E$29,"Y",Setup!$B$6:$B$29,"?*")-SUMPRODUCT(COUNTIF(S1727:S1750,Setup!$F$33:$F$40))</f>
        <v/>
      </c>
      <c r="T1751" s="107" t="n"/>
      <c r="U1751" s="107" t="n"/>
      <c r="V1751" s="107" t="n"/>
      <c r="W1751" s="107">
        <f>COUNTIFS(Setup!$E$6:$E$29,"Y",Setup!$B$6:$B$29,"?*")-SUMPRODUCT(COUNTIF(W1727:W1750,Setup!$F$33:$F$40))</f>
        <v/>
      </c>
      <c r="X1751" s="107" t="n"/>
      <c r="Y1751" s="107">
        <f>COUNTIFS(Setup!$E$6:$E$29,"Y",Setup!$B$6:$B$29,"?*")-SUMPRODUCT(COUNTIF(Y1727:Y1750,Setup!$F$33:$F$40))</f>
        <v/>
      </c>
      <c r="Z1751" s="107" t="n"/>
      <c r="AB1751" s="108">
        <f>SUM(AB1727:AB1750)</f>
        <v/>
      </c>
      <c r="AC1751" s="109">
        <f>SUM(AC1727:AC1750)</f>
        <v/>
      </c>
    </row>
    <row r="1752" ht="30" customHeight="1">
      <c r="A1752" t="n">
        <v>35</v>
      </c>
      <c r="B1752" s="110" t="inlineStr">
        <is>
          <t>Week notes</t>
        </is>
      </c>
      <c r="C1752" s="111" t="n"/>
      <c r="D1752" s="112" t="n"/>
      <c r="E1752" s="112" t="n"/>
      <c r="F1752" s="112" t="n"/>
      <c r="G1752" s="112" t="n"/>
      <c r="H1752" s="112" t="n"/>
      <c r="I1752" s="112" t="n"/>
      <c r="J1752" s="112" t="n"/>
      <c r="K1752" s="112" t="n"/>
      <c r="L1752" s="112" t="n"/>
      <c r="M1752" s="112" t="n"/>
      <c r="N1752" s="112" t="n"/>
      <c r="O1752" s="112" t="n"/>
      <c r="P1752" s="112" t="n"/>
      <c r="Q1752" s="112" t="n"/>
      <c r="R1752" s="112" t="n"/>
      <c r="S1752" s="112" t="n"/>
      <c r="T1752" s="112" t="n"/>
      <c r="U1752" s="112" t="n"/>
      <c r="V1752" s="112" t="n"/>
      <c r="W1752" s="112" t="n"/>
      <c r="X1752" s="112" t="n"/>
      <c r="Y1752" s="112" t="n"/>
      <c r="Z1752" s="113" t="n"/>
    </row>
    <row r="1753" ht="8" customHeight="1">
      <c r="A1753" t="n">
        <v>35</v>
      </c>
    </row>
    <row r="1754" ht="8" customHeight="1">
      <c r="A1754" t="n">
        <v>35</v>
      </c>
    </row>
    <row r="1755" ht="24" customHeight="1">
      <c r="A1755" t="n">
        <v>36</v>
      </c>
      <c r="B1755" s="73">
        <f>"WEEK 36     "&amp;TEXT(C1756,"ddd d mmm")&amp;"  –  "&amp;TEXT(C1756+6,"ddd d mmm yyyy")</f>
        <v/>
      </c>
      <c r="S1755" s="74">
        <f>IF(TODAY()&lt;C1756,"FUTURE",IF(TODAY()&gt;C1756+6,"PAST","THIS WEEK"))</f>
        <v/>
      </c>
      <c r="W1755" s="75">
        <f>IF(AND(Engine!$B$8=$AC$3,Engine!$B$9=$A1755),"◀ ACTIVE WEEK","")</f>
        <v/>
      </c>
      <c r="AA1755" s="76" t="n"/>
      <c r="AB1755" s="77" t="inlineStr">
        <is>
          <t>◀ Prev</t>
        </is>
      </c>
      <c r="AC1755" s="77" t="inlineStr">
        <is>
          <t>Next ▶</t>
        </is>
      </c>
    </row>
    <row r="1756" ht="18" customHeight="1">
      <c r="A1756" t="n">
        <v>36</v>
      </c>
      <c r="B1756" s="78" t="inlineStr">
        <is>
          <t>DUTY</t>
        </is>
      </c>
      <c r="C1756" s="79">
        <f>$AC$2+7*($A1756-1)</f>
        <v/>
      </c>
      <c r="D1756" s="80" t="n"/>
      <c r="E1756" s="80" t="n"/>
      <c r="F1756" s="81" t="n"/>
      <c r="G1756" s="79">
        <f>C1756+1</f>
        <v/>
      </c>
      <c r="H1756" s="80" t="n"/>
      <c r="I1756" s="80" t="n"/>
      <c r="J1756" s="81" t="n"/>
      <c r="K1756" s="79">
        <f>C1756+2</f>
        <v/>
      </c>
      <c r="L1756" s="80" t="n"/>
      <c r="M1756" s="80" t="n"/>
      <c r="N1756" s="81" t="n"/>
      <c r="O1756" s="79">
        <f>C1756+3</f>
        <v/>
      </c>
      <c r="P1756" s="80" t="n"/>
      <c r="Q1756" s="80" t="n"/>
      <c r="R1756" s="81" t="n"/>
      <c r="S1756" s="79">
        <f>C1756+4</f>
        <v/>
      </c>
      <c r="T1756" s="80" t="n"/>
      <c r="U1756" s="80" t="n"/>
      <c r="V1756" s="81" t="n"/>
      <c r="W1756" s="82">
        <f>C1756+5</f>
        <v/>
      </c>
      <c r="X1756" s="83" t="n"/>
      <c r="Y1756" s="82">
        <f>C1756+6</f>
        <v/>
      </c>
      <c r="Z1756" s="83" t="n"/>
      <c r="AB1756" s="72" t="inlineStr">
        <is>
          <t>Gaps</t>
        </is>
      </c>
      <c r="AC1756" s="72" t="inlineStr">
        <is>
          <t>Cover</t>
        </is>
      </c>
    </row>
    <row r="1757" ht="14" customHeight="1">
      <c r="A1757" t="n">
        <v>36</v>
      </c>
      <c r="B1757" s="84" t="inlineStr">
        <is>
          <t>(from Setup)</t>
        </is>
      </c>
      <c r="C1757" s="85" t="inlineStr">
        <is>
          <t>1</t>
        </is>
      </c>
      <c r="D1757" s="85" t="inlineStr">
        <is>
          <t>2</t>
        </is>
      </c>
      <c r="E1757" s="85" t="inlineStr">
        <is>
          <t>3</t>
        </is>
      </c>
      <c r="F1757" s="85" t="inlineStr">
        <is>
          <t>Notes</t>
        </is>
      </c>
      <c r="G1757" s="85" t="inlineStr">
        <is>
          <t>1</t>
        </is>
      </c>
      <c r="H1757" s="85" t="inlineStr">
        <is>
          <t>2</t>
        </is>
      </c>
      <c r="I1757" s="85" t="inlineStr">
        <is>
          <t>3</t>
        </is>
      </c>
      <c r="J1757" s="85" t="inlineStr">
        <is>
          <t>Notes</t>
        </is>
      </c>
      <c r="K1757" s="85" t="inlineStr">
        <is>
          <t>1</t>
        </is>
      </c>
      <c r="L1757" s="85" t="inlineStr">
        <is>
          <t>2</t>
        </is>
      </c>
      <c r="M1757" s="85" t="inlineStr">
        <is>
          <t>3</t>
        </is>
      </c>
      <c r="N1757" s="85" t="inlineStr">
        <is>
          <t>Notes</t>
        </is>
      </c>
      <c r="O1757" s="85" t="inlineStr">
        <is>
          <t>1</t>
        </is>
      </c>
      <c r="P1757" s="85" t="inlineStr">
        <is>
          <t>2</t>
        </is>
      </c>
      <c r="Q1757" s="85" t="inlineStr">
        <is>
          <t>3</t>
        </is>
      </c>
      <c r="R1757" s="85" t="inlineStr">
        <is>
          <t>Notes</t>
        </is>
      </c>
      <c r="S1757" s="85" t="inlineStr">
        <is>
          <t>1</t>
        </is>
      </c>
      <c r="T1757" s="85" t="inlineStr">
        <is>
          <t>2</t>
        </is>
      </c>
      <c r="U1757" s="85" t="inlineStr">
        <is>
          <t>3</t>
        </is>
      </c>
      <c r="V1757" s="85" t="inlineStr">
        <is>
          <t>Notes</t>
        </is>
      </c>
      <c r="W1757" s="85" t="inlineStr">
        <is>
          <t>Cover</t>
        </is>
      </c>
      <c r="X1757" s="85" t="inlineStr">
        <is>
          <t>Notes</t>
        </is>
      </c>
      <c r="Y1757" s="85" t="inlineStr">
        <is>
          <t>Cover</t>
        </is>
      </c>
      <c r="Z1757" s="85" t="inlineStr">
        <is>
          <t>Notes</t>
        </is>
      </c>
      <c r="AB1757" s="86" t="inlineStr">
        <is>
          <t>weekdays short</t>
        </is>
      </c>
      <c r="AC1757" s="87" t="inlineStr"/>
    </row>
    <row r="1758" ht="17" customHeight="1">
      <c r="A1758" t="n">
        <v>36</v>
      </c>
      <c r="B1758" s="24">
        <f>IF(Setup!$K$6="","",Setup!$K$6)</f>
        <v/>
      </c>
      <c r="C1758" s="88" t="n"/>
      <c r="D1758" s="88" t="n"/>
      <c r="E1758" s="88" t="n"/>
      <c r="F1758" s="89" t="n"/>
      <c r="G1758" s="88" t="n"/>
      <c r="H1758" s="88" t="n"/>
      <c r="I1758" s="88" t="n"/>
      <c r="J1758" s="89" t="n"/>
      <c r="K1758" s="88" t="n"/>
      <c r="L1758" s="88" t="n"/>
      <c r="M1758" s="88" t="n"/>
      <c r="N1758" s="89" t="n"/>
      <c r="O1758" s="88" t="n"/>
      <c r="P1758" s="88" t="n"/>
      <c r="Q1758" s="88" t="n"/>
      <c r="R1758" s="89" t="n"/>
      <c r="S1758" s="88" t="n"/>
      <c r="T1758" s="88" t="n"/>
      <c r="U1758" s="88" t="n"/>
      <c r="V1758" s="89" t="n"/>
      <c r="W1758" s="88" t="n"/>
      <c r="X1758" s="89" t="n"/>
      <c r="Y1758" s="88" t="n"/>
      <c r="Z1758" s="89" t="n"/>
      <c r="AB1758" s="25">
        <f>IF($B1758="","",(COUNTIF(C1758:E1758,"?*")&lt;N(INDEX(Setup!$L$6:$L$23,1)))+(COUNTIF(G1758:I1758,"?*")&lt;N(INDEX(Setup!$L$6:$L$23,1)))+(COUNTIF(K1758:M1758,"?*")&lt;N(INDEX(Setup!$L$6:$L$23,1)))+(COUNTIF(O1758:Q1758,"?*")&lt;N(INDEX(Setup!$L$6:$L$23,1)))+(COUNTIF(S1758:U1758,"?*")&lt;N(INDEX(Setup!$L$6:$L$23,1)))+((W1758="")*(INDEX(Setup!$M$6:$M$23,1)="Y"))+((Y1758="")*(INDEX(Setup!$M$6:$M$23,1)="Y")))</f>
        <v/>
      </c>
      <c r="AC1758" s="90">
        <f>IF($B1758="","",IF(AB1758=0,"✓ covered","⚠ "&amp;AB1758&amp;IF(AB1758=1," gap"," gaps")))</f>
        <v/>
      </c>
    </row>
    <row r="1759" ht="17" customHeight="1">
      <c r="A1759" t="n">
        <v>36</v>
      </c>
      <c r="B1759" s="29">
        <f>IF(Setup!$K$7="","",Setup!$K$7)</f>
        <v/>
      </c>
      <c r="C1759" s="88" t="n"/>
      <c r="D1759" s="88" t="n"/>
      <c r="E1759" s="88" t="n"/>
      <c r="F1759" s="89" t="n"/>
      <c r="G1759" s="88" t="n"/>
      <c r="H1759" s="88" t="n"/>
      <c r="I1759" s="88" t="n"/>
      <c r="J1759" s="89" t="n"/>
      <c r="K1759" s="88" t="n"/>
      <c r="L1759" s="88" t="n"/>
      <c r="M1759" s="88" t="n"/>
      <c r="N1759" s="89" t="n"/>
      <c r="O1759" s="88" t="n"/>
      <c r="P1759" s="88" t="n"/>
      <c r="Q1759" s="88" t="n"/>
      <c r="R1759" s="89" t="n"/>
      <c r="S1759" s="88" t="n"/>
      <c r="T1759" s="88" t="n"/>
      <c r="U1759" s="88" t="n"/>
      <c r="V1759" s="89" t="n"/>
      <c r="W1759" s="88" t="n"/>
      <c r="X1759" s="89" t="n"/>
      <c r="Y1759" s="88" t="n"/>
      <c r="Z1759" s="89" t="n"/>
      <c r="AB1759" s="30">
        <f>IF($B1759="","",(COUNTIF(C1759:E1759,"?*")&lt;N(INDEX(Setup!$L$6:$L$23,2)))+(COUNTIF(G1759:I1759,"?*")&lt;N(INDEX(Setup!$L$6:$L$23,2)))+(COUNTIF(K1759:M1759,"?*")&lt;N(INDEX(Setup!$L$6:$L$23,2)))+(COUNTIF(O1759:Q1759,"?*")&lt;N(INDEX(Setup!$L$6:$L$23,2)))+(COUNTIF(S1759:U1759,"?*")&lt;N(INDEX(Setup!$L$6:$L$23,2)))+((W1759="")*(INDEX(Setup!$M$6:$M$23,2)="Y"))+((Y1759="")*(INDEX(Setup!$M$6:$M$23,2)="Y")))</f>
        <v/>
      </c>
      <c r="AC1759" s="91">
        <f>IF($B1759="","",IF(AB1759=0,"✓ covered","⚠ "&amp;AB1759&amp;IF(AB1759=1," gap"," gaps")))</f>
        <v/>
      </c>
    </row>
    <row r="1760" ht="17" customHeight="1">
      <c r="A1760" t="n">
        <v>36</v>
      </c>
      <c r="B1760" s="24">
        <f>IF(Setup!$K$8="","",Setup!$K$8)</f>
        <v/>
      </c>
      <c r="C1760" s="88" t="n"/>
      <c r="D1760" s="88" t="n"/>
      <c r="E1760" s="88" t="n"/>
      <c r="F1760" s="89" t="n"/>
      <c r="G1760" s="88" t="n"/>
      <c r="H1760" s="88" t="n"/>
      <c r="I1760" s="88" t="n"/>
      <c r="J1760" s="89" t="n"/>
      <c r="K1760" s="88" t="n"/>
      <c r="L1760" s="88" t="n"/>
      <c r="M1760" s="88" t="n"/>
      <c r="N1760" s="89" t="n"/>
      <c r="O1760" s="88" t="n"/>
      <c r="P1760" s="88" t="n"/>
      <c r="Q1760" s="88" t="n"/>
      <c r="R1760" s="89" t="n"/>
      <c r="S1760" s="88" t="n"/>
      <c r="T1760" s="88" t="n"/>
      <c r="U1760" s="88" t="n"/>
      <c r="V1760" s="89" t="n"/>
      <c r="W1760" s="88" t="n"/>
      <c r="X1760" s="89" t="n"/>
      <c r="Y1760" s="88" t="n"/>
      <c r="Z1760" s="89" t="n"/>
      <c r="AB1760" s="25">
        <f>IF($B1760="","",(COUNTIF(C1760:E1760,"?*")&lt;N(INDEX(Setup!$L$6:$L$23,3)))+(COUNTIF(G1760:I1760,"?*")&lt;N(INDEX(Setup!$L$6:$L$23,3)))+(COUNTIF(K1760:M1760,"?*")&lt;N(INDEX(Setup!$L$6:$L$23,3)))+(COUNTIF(O1760:Q1760,"?*")&lt;N(INDEX(Setup!$L$6:$L$23,3)))+(COUNTIF(S1760:U1760,"?*")&lt;N(INDEX(Setup!$L$6:$L$23,3)))+((W1760="")*(INDEX(Setup!$M$6:$M$23,3)="Y"))+((Y1760="")*(INDEX(Setup!$M$6:$M$23,3)="Y")))</f>
        <v/>
      </c>
      <c r="AC1760" s="90">
        <f>IF($B1760="","",IF(AB1760=0,"✓ covered","⚠ "&amp;AB1760&amp;IF(AB1760=1," gap"," gaps")))</f>
        <v/>
      </c>
    </row>
    <row r="1761" ht="17" customHeight="1">
      <c r="A1761" t="n">
        <v>36</v>
      </c>
      <c r="B1761" s="29">
        <f>IF(Setup!$K$9="","",Setup!$K$9)</f>
        <v/>
      </c>
      <c r="C1761" s="88" t="n"/>
      <c r="D1761" s="88" t="n"/>
      <c r="E1761" s="88" t="n"/>
      <c r="F1761" s="89" t="n"/>
      <c r="G1761" s="88" t="n"/>
      <c r="H1761" s="88" t="n"/>
      <c r="I1761" s="88" t="n"/>
      <c r="J1761" s="89" t="n"/>
      <c r="K1761" s="88" t="n"/>
      <c r="L1761" s="88" t="n"/>
      <c r="M1761" s="88" t="n"/>
      <c r="N1761" s="89" t="n"/>
      <c r="O1761" s="88" t="n"/>
      <c r="P1761" s="88" t="n"/>
      <c r="Q1761" s="88" t="n"/>
      <c r="R1761" s="89" t="n"/>
      <c r="S1761" s="88" t="n"/>
      <c r="T1761" s="88" t="n"/>
      <c r="U1761" s="88" t="n"/>
      <c r="V1761" s="89" t="n"/>
      <c r="W1761" s="88" t="n"/>
      <c r="X1761" s="89" t="n"/>
      <c r="Y1761" s="88" t="n"/>
      <c r="Z1761" s="89" t="n"/>
      <c r="AB1761" s="30">
        <f>IF($B1761="","",(COUNTIF(C1761:E1761,"?*")&lt;N(INDEX(Setup!$L$6:$L$23,4)))+(COUNTIF(G1761:I1761,"?*")&lt;N(INDEX(Setup!$L$6:$L$23,4)))+(COUNTIF(K1761:M1761,"?*")&lt;N(INDEX(Setup!$L$6:$L$23,4)))+(COUNTIF(O1761:Q1761,"?*")&lt;N(INDEX(Setup!$L$6:$L$23,4)))+(COUNTIF(S1761:U1761,"?*")&lt;N(INDEX(Setup!$L$6:$L$23,4)))+((W1761="")*(INDEX(Setup!$M$6:$M$23,4)="Y"))+((Y1761="")*(INDEX(Setup!$M$6:$M$23,4)="Y")))</f>
        <v/>
      </c>
      <c r="AC1761" s="91">
        <f>IF($B1761="","",IF(AB1761=0,"✓ covered","⚠ "&amp;AB1761&amp;IF(AB1761=1," gap"," gaps")))</f>
        <v/>
      </c>
    </row>
    <row r="1762" ht="17" customHeight="1">
      <c r="A1762" t="n">
        <v>36</v>
      </c>
      <c r="B1762" s="24">
        <f>IF(Setup!$K$10="","",Setup!$K$10)</f>
        <v/>
      </c>
      <c r="C1762" s="88" t="n"/>
      <c r="D1762" s="88" t="n"/>
      <c r="E1762" s="88" t="n"/>
      <c r="F1762" s="89" t="n"/>
      <c r="G1762" s="88" t="n"/>
      <c r="H1762" s="88" t="n"/>
      <c r="I1762" s="88" t="n"/>
      <c r="J1762" s="89" t="n"/>
      <c r="K1762" s="88" t="n"/>
      <c r="L1762" s="88" t="n"/>
      <c r="M1762" s="88" t="n"/>
      <c r="N1762" s="89" t="n"/>
      <c r="O1762" s="88" t="n"/>
      <c r="P1762" s="88" t="n"/>
      <c r="Q1762" s="88" t="n"/>
      <c r="R1762" s="89" t="n"/>
      <c r="S1762" s="88" t="n"/>
      <c r="T1762" s="88" t="n"/>
      <c r="U1762" s="88" t="n"/>
      <c r="V1762" s="89" t="n"/>
      <c r="W1762" s="88" t="n"/>
      <c r="X1762" s="89" t="n"/>
      <c r="Y1762" s="88" t="n"/>
      <c r="Z1762" s="89" t="n"/>
      <c r="AB1762" s="25">
        <f>IF($B1762="","",(COUNTIF(C1762:E1762,"?*")&lt;N(INDEX(Setup!$L$6:$L$23,5)))+(COUNTIF(G1762:I1762,"?*")&lt;N(INDEX(Setup!$L$6:$L$23,5)))+(COUNTIF(K1762:M1762,"?*")&lt;N(INDEX(Setup!$L$6:$L$23,5)))+(COUNTIF(O1762:Q1762,"?*")&lt;N(INDEX(Setup!$L$6:$L$23,5)))+(COUNTIF(S1762:U1762,"?*")&lt;N(INDEX(Setup!$L$6:$L$23,5)))+((W1762="")*(INDEX(Setup!$M$6:$M$23,5)="Y"))+((Y1762="")*(INDEX(Setup!$M$6:$M$23,5)="Y")))</f>
        <v/>
      </c>
      <c r="AC1762" s="90">
        <f>IF($B1762="","",IF(AB1762=0,"✓ covered","⚠ "&amp;AB1762&amp;IF(AB1762=1," gap"," gaps")))</f>
        <v/>
      </c>
    </row>
    <row r="1763" ht="17" customHeight="1">
      <c r="A1763" t="n">
        <v>36</v>
      </c>
      <c r="B1763" s="29">
        <f>IF(Setup!$K$11="","",Setup!$K$11)</f>
        <v/>
      </c>
      <c r="C1763" s="88" t="n"/>
      <c r="D1763" s="88" t="n"/>
      <c r="E1763" s="88" t="n"/>
      <c r="F1763" s="89" t="n"/>
      <c r="G1763" s="88" t="n"/>
      <c r="H1763" s="88" t="n"/>
      <c r="I1763" s="88" t="n"/>
      <c r="J1763" s="89" t="n"/>
      <c r="K1763" s="88" t="n"/>
      <c r="L1763" s="88" t="n"/>
      <c r="M1763" s="88" t="n"/>
      <c r="N1763" s="89" t="n"/>
      <c r="O1763" s="88" t="n"/>
      <c r="P1763" s="88" t="n"/>
      <c r="Q1763" s="88" t="n"/>
      <c r="R1763" s="89" t="n"/>
      <c r="S1763" s="88" t="n"/>
      <c r="T1763" s="88" t="n"/>
      <c r="U1763" s="88" t="n"/>
      <c r="V1763" s="89" t="n"/>
      <c r="W1763" s="88" t="n"/>
      <c r="X1763" s="89" t="n"/>
      <c r="Y1763" s="88" t="n"/>
      <c r="Z1763" s="89" t="n"/>
      <c r="AB1763" s="30">
        <f>IF($B1763="","",(COUNTIF(C1763:E1763,"?*")&lt;N(INDEX(Setup!$L$6:$L$23,6)))+(COUNTIF(G1763:I1763,"?*")&lt;N(INDEX(Setup!$L$6:$L$23,6)))+(COUNTIF(K1763:M1763,"?*")&lt;N(INDEX(Setup!$L$6:$L$23,6)))+(COUNTIF(O1763:Q1763,"?*")&lt;N(INDEX(Setup!$L$6:$L$23,6)))+(COUNTIF(S1763:U1763,"?*")&lt;N(INDEX(Setup!$L$6:$L$23,6)))+((W1763="")*(INDEX(Setup!$M$6:$M$23,6)="Y"))+((Y1763="")*(INDEX(Setup!$M$6:$M$23,6)="Y")))</f>
        <v/>
      </c>
      <c r="AC1763" s="91">
        <f>IF($B1763="","",IF(AB1763=0,"✓ covered","⚠ "&amp;AB1763&amp;IF(AB1763=1," gap"," gaps")))</f>
        <v/>
      </c>
    </row>
    <row r="1764" ht="17" customHeight="1">
      <c r="A1764" t="n">
        <v>36</v>
      </c>
      <c r="B1764" s="24">
        <f>IF(Setup!$K$12="","",Setup!$K$12)</f>
        <v/>
      </c>
      <c r="C1764" s="88" t="n"/>
      <c r="D1764" s="88" t="n"/>
      <c r="E1764" s="88" t="n"/>
      <c r="F1764" s="89" t="n"/>
      <c r="G1764" s="88" t="n"/>
      <c r="H1764" s="88" t="n"/>
      <c r="I1764" s="88" t="n"/>
      <c r="J1764" s="89" t="n"/>
      <c r="K1764" s="88" t="n"/>
      <c r="L1764" s="88" t="n"/>
      <c r="M1764" s="88" t="n"/>
      <c r="N1764" s="89" t="n"/>
      <c r="O1764" s="88" t="n"/>
      <c r="P1764" s="88" t="n"/>
      <c r="Q1764" s="88" t="n"/>
      <c r="R1764" s="89" t="n"/>
      <c r="S1764" s="88" t="n"/>
      <c r="T1764" s="88" t="n"/>
      <c r="U1764" s="88" t="n"/>
      <c r="V1764" s="89" t="n"/>
      <c r="W1764" s="88" t="n"/>
      <c r="X1764" s="89" t="n"/>
      <c r="Y1764" s="88" t="n"/>
      <c r="Z1764" s="89" t="n"/>
      <c r="AB1764" s="25">
        <f>IF($B1764="","",(COUNTIF(C1764:E1764,"?*")&lt;N(INDEX(Setup!$L$6:$L$23,7)))+(COUNTIF(G1764:I1764,"?*")&lt;N(INDEX(Setup!$L$6:$L$23,7)))+(COUNTIF(K1764:M1764,"?*")&lt;N(INDEX(Setup!$L$6:$L$23,7)))+(COUNTIF(O1764:Q1764,"?*")&lt;N(INDEX(Setup!$L$6:$L$23,7)))+(COUNTIF(S1764:U1764,"?*")&lt;N(INDEX(Setup!$L$6:$L$23,7)))+((W1764="")*(INDEX(Setup!$M$6:$M$23,7)="Y"))+((Y1764="")*(INDEX(Setup!$M$6:$M$23,7)="Y")))</f>
        <v/>
      </c>
      <c r="AC1764" s="90">
        <f>IF($B1764="","",IF(AB1764=0,"✓ covered","⚠ "&amp;AB1764&amp;IF(AB1764=1," gap"," gaps")))</f>
        <v/>
      </c>
    </row>
    <row r="1765" ht="17" customHeight="1">
      <c r="A1765" t="n">
        <v>36</v>
      </c>
      <c r="B1765" s="29">
        <f>IF(Setup!$K$13="","",Setup!$K$13)</f>
        <v/>
      </c>
      <c r="C1765" s="88" t="n"/>
      <c r="D1765" s="88" t="n"/>
      <c r="E1765" s="88" t="n"/>
      <c r="F1765" s="89" t="n"/>
      <c r="G1765" s="88" t="n"/>
      <c r="H1765" s="88" t="n"/>
      <c r="I1765" s="88" t="n"/>
      <c r="J1765" s="89" t="n"/>
      <c r="K1765" s="88" t="n"/>
      <c r="L1765" s="88" t="n"/>
      <c r="M1765" s="88" t="n"/>
      <c r="N1765" s="89" t="n"/>
      <c r="O1765" s="88" t="n"/>
      <c r="P1765" s="88" t="n"/>
      <c r="Q1765" s="88" t="n"/>
      <c r="R1765" s="89" t="n"/>
      <c r="S1765" s="88" t="n"/>
      <c r="T1765" s="88" t="n"/>
      <c r="U1765" s="88" t="n"/>
      <c r="V1765" s="89" t="n"/>
      <c r="W1765" s="88" t="n"/>
      <c r="X1765" s="89" t="n"/>
      <c r="Y1765" s="88" t="n"/>
      <c r="Z1765" s="89" t="n"/>
      <c r="AB1765" s="30">
        <f>IF($B1765="","",(COUNTIF(C1765:E1765,"?*")&lt;N(INDEX(Setup!$L$6:$L$23,8)))+(COUNTIF(G1765:I1765,"?*")&lt;N(INDEX(Setup!$L$6:$L$23,8)))+(COUNTIF(K1765:M1765,"?*")&lt;N(INDEX(Setup!$L$6:$L$23,8)))+(COUNTIF(O1765:Q1765,"?*")&lt;N(INDEX(Setup!$L$6:$L$23,8)))+(COUNTIF(S1765:U1765,"?*")&lt;N(INDEX(Setup!$L$6:$L$23,8)))+((W1765="")*(INDEX(Setup!$M$6:$M$23,8)="Y"))+((Y1765="")*(INDEX(Setup!$M$6:$M$23,8)="Y")))</f>
        <v/>
      </c>
      <c r="AC1765" s="91">
        <f>IF($B1765="","",IF(AB1765=0,"✓ covered","⚠ "&amp;AB1765&amp;IF(AB1765=1," gap"," gaps")))</f>
        <v/>
      </c>
    </row>
    <row r="1766" ht="17" customHeight="1">
      <c r="A1766" t="n">
        <v>36</v>
      </c>
      <c r="B1766" s="24">
        <f>IF(Setup!$K$14="","",Setup!$K$14)</f>
        <v/>
      </c>
      <c r="C1766" s="88" t="n"/>
      <c r="D1766" s="88" t="n"/>
      <c r="E1766" s="88" t="n"/>
      <c r="F1766" s="89" t="n"/>
      <c r="G1766" s="88" t="n"/>
      <c r="H1766" s="88" t="n"/>
      <c r="I1766" s="88" t="n"/>
      <c r="J1766" s="89" t="n"/>
      <c r="K1766" s="88" t="n"/>
      <c r="L1766" s="88" t="n"/>
      <c r="M1766" s="88" t="n"/>
      <c r="N1766" s="89" t="n"/>
      <c r="O1766" s="88" t="n"/>
      <c r="P1766" s="88" t="n"/>
      <c r="Q1766" s="88" t="n"/>
      <c r="R1766" s="89" t="n"/>
      <c r="S1766" s="88" t="n"/>
      <c r="T1766" s="88" t="n"/>
      <c r="U1766" s="88" t="n"/>
      <c r="V1766" s="89" t="n"/>
      <c r="W1766" s="88" t="n"/>
      <c r="X1766" s="89" t="n"/>
      <c r="Y1766" s="88" t="n"/>
      <c r="Z1766" s="89" t="n"/>
      <c r="AB1766" s="25">
        <f>IF($B1766="","",(COUNTIF(C1766:E1766,"?*")&lt;N(INDEX(Setup!$L$6:$L$23,9)))+(COUNTIF(G1766:I1766,"?*")&lt;N(INDEX(Setup!$L$6:$L$23,9)))+(COUNTIF(K1766:M1766,"?*")&lt;N(INDEX(Setup!$L$6:$L$23,9)))+(COUNTIF(O1766:Q1766,"?*")&lt;N(INDEX(Setup!$L$6:$L$23,9)))+(COUNTIF(S1766:U1766,"?*")&lt;N(INDEX(Setup!$L$6:$L$23,9)))+((W1766="")*(INDEX(Setup!$M$6:$M$23,9)="Y"))+((Y1766="")*(INDEX(Setup!$M$6:$M$23,9)="Y")))</f>
        <v/>
      </c>
      <c r="AC1766" s="90">
        <f>IF($B1766="","",IF(AB1766=0,"✓ covered","⚠ "&amp;AB1766&amp;IF(AB1766=1," gap"," gaps")))</f>
        <v/>
      </c>
    </row>
    <row r="1767" ht="17" customHeight="1">
      <c r="A1767" t="n">
        <v>36</v>
      </c>
      <c r="B1767" s="29">
        <f>IF(Setup!$K$15="","",Setup!$K$15)</f>
        <v/>
      </c>
      <c r="C1767" s="88" t="n"/>
      <c r="D1767" s="88" t="n"/>
      <c r="E1767" s="88" t="n"/>
      <c r="F1767" s="89" t="n"/>
      <c r="G1767" s="88" t="n"/>
      <c r="H1767" s="88" t="n"/>
      <c r="I1767" s="88" t="n"/>
      <c r="J1767" s="89" t="n"/>
      <c r="K1767" s="88" t="n"/>
      <c r="L1767" s="88" t="n"/>
      <c r="M1767" s="88" t="n"/>
      <c r="N1767" s="89" t="n"/>
      <c r="O1767" s="88" t="n"/>
      <c r="P1767" s="88" t="n"/>
      <c r="Q1767" s="88" t="n"/>
      <c r="R1767" s="89" t="n"/>
      <c r="S1767" s="88" t="n"/>
      <c r="T1767" s="88" t="n"/>
      <c r="U1767" s="88" t="n"/>
      <c r="V1767" s="89" t="n"/>
      <c r="W1767" s="88" t="n"/>
      <c r="X1767" s="89" t="n"/>
      <c r="Y1767" s="88" t="n"/>
      <c r="Z1767" s="89" t="n"/>
      <c r="AB1767" s="30">
        <f>IF($B1767="","",(COUNTIF(C1767:E1767,"?*")&lt;N(INDEX(Setup!$L$6:$L$23,10)))+(COUNTIF(G1767:I1767,"?*")&lt;N(INDEX(Setup!$L$6:$L$23,10)))+(COUNTIF(K1767:M1767,"?*")&lt;N(INDEX(Setup!$L$6:$L$23,10)))+(COUNTIF(O1767:Q1767,"?*")&lt;N(INDEX(Setup!$L$6:$L$23,10)))+(COUNTIF(S1767:U1767,"?*")&lt;N(INDEX(Setup!$L$6:$L$23,10)))+((W1767="")*(INDEX(Setup!$M$6:$M$23,10)="Y"))+((Y1767="")*(INDEX(Setup!$M$6:$M$23,10)="Y")))</f>
        <v/>
      </c>
      <c r="AC1767" s="91">
        <f>IF($B1767="","",IF(AB1767=0,"✓ covered","⚠ "&amp;AB1767&amp;IF(AB1767=1," gap"," gaps")))</f>
        <v/>
      </c>
    </row>
    <row r="1768" ht="17" customHeight="1">
      <c r="A1768" t="n">
        <v>36</v>
      </c>
      <c r="B1768" s="24">
        <f>IF(Setup!$K$16="","",Setup!$K$16)</f>
        <v/>
      </c>
      <c r="C1768" s="88" t="n"/>
      <c r="D1768" s="88" t="n"/>
      <c r="E1768" s="88" t="n"/>
      <c r="F1768" s="89" t="n"/>
      <c r="G1768" s="88" t="n"/>
      <c r="H1768" s="88" t="n"/>
      <c r="I1768" s="88" t="n"/>
      <c r="J1768" s="89" t="n"/>
      <c r="K1768" s="88" t="n"/>
      <c r="L1768" s="88" t="n"/>
      <c r="M1768" s="88" t="n"/>
      <c r="N1768" s="89" t="n"/>
      <c r="O1768" s="88" t="n"/>
      <c r="P1768" s="88" t="n"/>
      <c r="Q1768" s="88" t="n"/>
      <c r="R1768" s="89" t="n"/>
      <c r="S1768" s="88" t="n"/>
      <c r="T1768" s="88" t="n"/>
      <c r="U1768" s="88" t="n"/>
      <c r="V1768" s="89" t="n"/>
      <c r="W1768" s="88" t="n"/>
      <c r="X1768" s="89" t="n"/>
      <c r="Y1768" s="88" t="n"/>
      <c r="Z1768" s="89" t="n"/>
      <c r="AB1768" s="25">
        <f>IF($B1768="","",(COUNTIF(C1768:E1768,"?*")&lt;N(INDEX(Setup!$L$6:$L$23,11)))+(COUNTIF(G1768:I1768,"?*")&lt;N(INDEX(Setup!$L$6:$L$23,11)))+(COUNTIF(K1768:M1768,"?*")&lt;N(INDEX(Setup!$L$6:$L$23,11)))+(COUNTIF(O1768:Q1768,"?*")&lt;N(INDEX(Setup!$L$6:$L$23,11)))+(COUNTIF(S1768:U1768,"?*")&lt;N(INDEX(Setup!$L$6:$L$23,11)))+((W1768="")*(INDEX(Setup!$M$6:$M$23,11)="Y"))+((Y1768="")*(INDEX(Setup!$M$6:$M$23,11)="Y")))</f>
        <v/>
      </c>
      <c r="AC1768" s="90">
        <f>IF($B1768="","",IF(AB1768=0,"✓ covered","⚠ "&amp;AB1768&amp;IF(AB1768=1," gap"," gaps")))</f>
        <v/>
      </c>
    </row>
    <row r="1769" ht="17" customHeight="1">
      <c r="A1769" t="n">
        <v>36</v>
      </c>
      <c r="B1769" s="29">
        <f>IF(Setup!$K$17="","",Setup!$K$17)</f>
        <v/>
      </c>
      <c r="C1769" s="88" t="n"/>
      <c r="D1769" s="88" t="n"/>
      <c r="E1769" s="88" t="n"/>
      <c r="F1769" s="89" t="n"/>
      <c r="G1769" s="88" t="n"/>
      <c r="H1769" s="88" t="n"/>
      <c r="I1769" s="88" t="n"/>
      <c r="J1769" s="89" t="n"/>
      <c r="K1769" s="88" t="n"/>
      <c r="L1769" s="88" t="n"/>
      <c r="M1769" s="88" t="n"/>
      <c r="N1769" s="89" t="n"/>
      <c r="O1769" s="88" t="n"/>
      <c r="P1769" s="88" t="n"/>
      <c r="Q1769" s="88" t="n"/>
      <c r="R1769" s="89" t="n"/>
      <c r="S1769" s="88" t="n"/>
      <c r="T1769" s="88" t="n"/>
      <c r="U1769" s="88" t="n"/>
      <c r="V1769" s="89" t="n"/>
      <c r="W1769" s="88" t="n"/>
      <c r="X1769" s="89" t="n"/>
      <c r="Y1769" s="88" t="n"/>
      <c r="Z1769" s="89" t="n"/>
      <c r="AB1769" s="30">
        <f>IF($B1769="","",(COUNTIF(C1769:E1769,"?*")&lt;N(INDEX(Setup!$L$6:$L$23,12)))+(COUNTIF(G1769:I1769,"?*")&lt;N(INDEX(Setup!$L$6:$L$23,12)))+(COUNTIF(K1769:M1769,"?*")&lt;N(INDEX(Setup!$L$6:$L$23,12)))+(COUNTIF(O1769:Q1769,"?*")&lt;N(INDEX(Setup!$L$6:$L$23,12)))+(COUNTIF(S1769:U1769,"?*")&lt;N(INDEX(Setup!$L$6:$L$23,12)))+((W1769="")*(INDEX(Setup!$M$6:$M$23,12)="Y"))+((Y1769="")*(INDEX(Setup!$M$6:$M$23,12)="Y")))</f>
        <v/>
      </c>
      <c r="AC1769" s="91">
        <f>IF($B1769="","",IF(AB1769=0,"✓ covered","⚠ "&amp;AB1769&amp;IF(AB1769=1," gap"," gaps")))</f>
        <v/>
      </c>
    </row>
    <row r="1770" ht="17" customHeight="1">
      <c r="A1770" t="n">
        <v>36</v>
      </c>
      <c r="B1770" s="24">
        <f>IF(Setup!$K$18="","",Setup!$K$18)</f>
        <v/>
      </c>
      <c r="C1770" s="88" t="n"/>
      <c r="D1770" s="88" t="n"/>
      <c r="E1770" s="88" t="n"/>
      <c r="F1770" s="89" t="n"/>
      <c r="G1770" s="88" t="n"/>
      <c r="H1770" s="88" t="n"/>
      <c r="I1770" s="88" t="n"/>
      <c r="J1770" s="89" t="n"/>
      <c r="K1770" s="88" t="n"/>
      <c r="L1770" s="88" t="n"/>
      <c r="M1770" s="88" t="n"/>
      <c r="N1770" s="89" t="n"/>
      <c r="O1770" s="88" t="n"/>
      <c r="P1770" s="88" t="n"/>
      <c r="Q1770" s="88" t="n"/>
      <c r="R1770" s="89" t="n"/>
      <c r="S1770" s="88" t="n"/>
      <c r="T1770" s="88" t="n"/>
      <c r="U1770" s="88" t="n"/>
      <c r="V1770" s="89" t="n"/>
      <c r="W1770" s="88" t="n"/>
      <c r="X1770" s="89" t="n"/>
      <c r="Y1770" s="88" t="n"/>
      <c r="Z1770" s="89" t="n"/>
      <c r="AB1770" s="25">
        <f>IF($B1770="","",(COUNTIF(C1770:E1770,"?*")&lt;N(INDEX(Setup!$L$6:$L$23,13)))+(COUNTIF(G1770:I1770,"?*")&lt;N(INDEX(Setup!$L$6:$L$23,13)))+(COUNTIF(K1770:M1770,"?*")&lt;N(INDEX(Setup!$L$6:$L$23,13)))+(COUNTIF(O1770:Q1770,"?*")&lt;N(INDEX(Setup!$L$6:$L$23,13)))+(COUNTIF(S1770:U1770,"?*")&lt;N(INDEX(Setup!$L$6:$L$23,13)))+((W1770="")*(INDEX(Setup!$M$6:$M$23,13)="Y"))+((Y1770="")*(INDEX(Setup!$M$6:$M$23,13)="Y")))</f>
        <v/>
      </c>
      <c r="AC1770" s="90">
        <f>IF($B1770="","",IF(AB1770=0,"✓ covered","⚠ "&amp;AB1770&amp;IF(AB1770=1," gap"," gaps")))</f>
        <v/>
      </c>
    </row>
    <row r="1771" ht="17" customHeight="1">
      <c r="A1771" t="n">
        <v>36</v>
      </c>
      <c r="B1771" s="29">
        <f>IF(Setup!$K$19="","",Setup!$K$19)</f>
        <v/>
      </c>
      <c r="C1771" s="88" t="n"/>
      <c r="D1771" s="88" t="n"/>
      <c r="E1771" s="88" t="n"/>
      <c r="F1771" s="89" t="n"/>
      <c r="G1771" s="88" t="n"/>
      <c r="H1771" s="88" t="n"/>
      <c r="I1771" s="88" t="n"/>
      <c r="J1771" s="89" t="n"/>
      <c r="K1771" s="88" t="n"/>
      <c r="L1771" s="88" t="n"/>
      <c r="M1771" s="88" t="n"/>
      <c r="N1771" s="89" t="n"/>
      <c r="O1771" s="88" t="n"/>
      <c r="P1771" s="88" t="n"/>
      <c r="Q1771" s="88" t="n"/>
      <c r="R1771" s="89" t="n"/>
      <c r="S1771" s="88" t="n"/>
      <c r="T1771" s="88" t="n"/>
      <c r="U1771" s="88" t="n"/>
      <c r="V1771" s="89" t="n"/>
      <c r="W1771" s="88" t="n"/>
      <c r="X1771" s="89" t="n"/>
      <c r="Y1771" s="88" t="n"/>
      <c r="Z1771" s="89" t="n"/>
      <c r="AB1771" s="30">
        <f>IF($B1771="","",(COUNTIF(C1771:E1771,"?*")&lt;N(INDEX(Setup!$L$6:$L$23,14)))+(COUNTIF(G1771:I1771,"?*")&lt;N(INDEX(Setup!$L$6:$L$23,14)))+(COUNTIF(K1771:M1771,"?*")&lt;N(INDEX(Setup!$L$6:$L$23,14)))+(COUNTIF(O1771:Q1771,"?*")&lt;N(INDEX(Setup!$L$6:$L$23,14)))+(COUNTIF(S1771:U1771,"?*")&lt;N(INDEX(Setup!$L$6:$L$23,14)))+((W1771="")*(INDEX(Setup!$M$6:$M$23,14)="Y"))+((Y1771="")*(INDEX(Setup!$M$6:$M$23,14)="Y")))</f>
        <v/>
      </c>
      <c r="AC1771" s="91">
        <f>IF($B1771="","",IF(AB1771=0,"✓ covered","⚠ "&amp;AB1771&amp;IF(AB1771=1," gap"," gaps")))</f>
        <v/>
      </c>
    </row>
    <row r="1772" ht="17" customHeight="1">
      <c r="A1772" t="n">
        <v>36</v>
      </c>
      <c r="B1772" s="24">
        <f>IF(Setup!$K$20="","",Setup!$K$20)</f>
        <v/>
      </c>
      <c r="C1772" s="88" t="n"/>
      <c r="D1772" s="88" t="n"/>
      <c r="E1772" s="88" t="n"/>
      <c r="F1772" s="89" t="n"/>
      <c r="G1772" s="88" t="n"/>
      <c r="H1772" s="88" t="n"/>
      <c r="I1772" s="88" t="n"/>
      <c r="J1772" s="89" t="n"/>
      <c r="K1772" s="88" t="n"/>
      <c r="L1772" s="88" t="n"/>
      <c r="M1772" s="88" t="n"/>
      <c r="N1772" s="89" t="n"/>
      <c r="O1772" s="88" t="n"/>
      <c r="P1772" s="88" t="n"/>
      <c r="Q1772" s="88" t="n"/>
      <c r="R1772" s="89" t="n"/>
      <c r="S1772" s="88" t="n"/>
      <c r="T1772" s="88" t="n"/>
      <c r="U1772" s="88" t="n"/>
      <c r="V1772" s="89" t="n"/>
      <c r="W1772" s="88" t="n"/>
      <c r="X1772" s="89" t="n"/>
      <c r="Y1772" s="88" t="n"/>
      <c r="Z1772" s="89" t="n"/>
      <c r="AB1772" s="25">
        <f>IF($B1772="","",(COUNTIF(C1772:E1772,"?*")&lt;N(INDEX(Setup!$L$6:$L$23,15)))+(COUNTIF(G1772:I1772,"?*")&lt;N(INDEX(Setup!$L$6:$L$23,15)))+(COUNTIF(K1772:M1772,"?*")&lt;N(INDEX(Setup!$L$6:$L$23,15)))+(COUNTIF(O1772:Q1772,"?*")&lt;N(INDEX(Setup!$L$6:$L$23,15)))+(COUNTIF(S1772:U1772,"?*")&lt;N(INDEX(Setup!$L$6:$L$23,15)))+((W1772="")*(INDEX(Setup!$M$6:$M$23,15)="Y"))+((Y1772="")*(INDEX(Setup!$M$6:$M$23,15)="Y")))</f>
        <v/>
      </c>
      <c r="AC1772" s="90">
        <f>IF($B1772="","",IF(AB1772=0,"✓ covered","⚠ "&amp;AB1772&amp;IF(AB1772=1," gap"," gaps")))</f>
        <v/>
      </c>
    </row>
    <row r="1773" ht="17" customHeight="1">
      <c r="A1773" t="n">
        <v>36</v>
      </c>
      <c r="B1773" s="29">
        <f>IF(Setup!$K$21="","",Setup!$K$21)</f>
        <v/>
      </c>
      <c r="C1773" s="88" t="n"/>
      <c r="D1773" s="88" t="n"/>
      <c r="E1773" s="88" t="n"/>
      <c r="F1773" s="89" t="n"/>
      <c r="G1773" s="88" t="n"/>
      <c r="H1773" s="88" t="n"/>
      <c r="I1773" s="88" t="n"/>
      <c r="J1773" s="89" t="n"/>
      <c r="K1773" s="88" t="n"/>
      <c r="L1773" s="88" t="n"/>
      <c r="M1773" s="88" t="n"/>
      <c r="N1773" s="89" t="n"/>
      <c r="O1773" s="88" t="n"/>
      <c r="P1773" s="88" t="n"/>
      <c r="Q1773" s="88" t="n"/>
      <c r="R1773" s="89" t="n"/>
      <c r="S1773" s="88" t="n"/>
      <c r="T1773" s="88" t="n"/>
      <c r="U1773" s="88" t="n"/>
      <c r="V1773" s="89" t="n"/>
      <c r="W1773" s="88" t="n"/>
      <c r="X1773" s="89" t="n"/>
      <c r="Y1773" s="88" t="n"/>
      <c r="Z1773" s="89" t="n"/>
      <c r="AB1773" s="30">
        <f>IF($B1773="","",(COUNTIF(C1773:E1773,"?*")&lt;N(INDEX(Setup!$L$6:$L$23,16)))+(COUNTIF(G1773:I1773,"?*")&lt;N(INDEX(Setup!$L$6:$L$23,16)))+(COUNTIF(K1773:M1773,"?*")&lt;N(INDEX(Setup!$L$6:$L$23,16)))+(COUNTIF(O1773:Q1773,"?*")&lt;N(INDEX(Setup!$L$6:$L$23,16)))+(COUNTIF(S1773:U1773,"?*")&lt;N(INDEX(Setup!$L$6:$L$23,16)))+((W1773="")*(INDEX(Setup!$M$6:$M$23,16)="Y"))+((Y1773="")*(INDEX(Setup!$M$6:$M$23,16)="Y")))</f>
        <v/>
      </c>
      <c r="AC1773" s="91">
        <f>IF($B1773="","",IF(AB1773=0,"✓ covered","⚠ "&amp;AB1773&amp;IF(AB1773=1," gap"," gaps")))</f>
        <v/>
      </c>
    </row>
    <row r="1774" ht="17" customHeight="1">
      <c r="A1774" t="n">
        <v>36</v>
      </c>
      <c r="B1774" s="24">
        <f>IF(Setup!$K$22="","",Setup!$K$22)</f>
        <v/>
      </c>
      <c r="C1774" s="88" t="n"/>
      <c r="D1774" s="88" t="n"/>
      <c r="E1774" s="88" t="n"/>
      <c r="F1774" s="89" t="n"/>
      <c r="G1774" s="88" t="n"/>
      <c r="H1774" s="88" t="n"/>
      <c r="I1774" s="88" t="n"/>
      <c r="J1774" s="89" t="n"/>
      <c r="K1774" s="88" t="n"/>
      <c r="L1774" s="88" t="n"/>
      <c r="M1774" s="88" t="n"/>
      <c r="N1774" s="89" t="n"/>
      <c r="O1774" s="88" t="n"/>
      <c r="P1774" s="88" t="n"/>
      <c r="Q1774" s="88" t="n"/>
      <c r="R1774" s="89" t="n"/>
      <c r="S1774" s="88" t="n"/>
      <c r="T1774" s="88" t="n"/>
      <c r="U1774" s="88" t="n"/>
      <c r="V1774" s="89" t="n"/>
      <c r="W1774" s="88" t="n"/>
      <c r="X1774" s="89" t="n"/>
      <c r="Y1774" s="88" t="n"/>
      <c r="Z1774" s="89" t="n"/>
      <c r="AB1774" s="25">
        <f>IF($B1774="","",(COUNTIF(C1774:E1774,"?*")&lt;N(INDEX(Setup!$L$6:$L$23,17)))+(COUNTIF(G1774:I1774,"?*")&lt;N(INDEX(Setup!$L$6:$L$23,17)))+(COUNTIF(K1774:M1774,"?*")&lt;N(INDEX(Setup!$L$6:$L$23,17)))+(COUNTIF(O1774:Q1774,"?*")&lt;N(INDEX(Setup!$L$6:$L$23,17)))+(COUNTIF(S1774:U1774,"?*")&lt;N(INDEX(Setup!$L$6:$L$23,17)))+((W1774="")*(INDEX(Setup!$M$6:$M$23,17)="Y"))+((Y1774="")*(INDEX(Setup!$M$6:$M$23,17)="Y")))</f>
        <v/>
      </c>
      <c r="AC1774" s="90">
        <f>IF($B1774="","",IF(AB1774=0,"✓ covered","⚠ "&amp;AB1774&amp;IF(AB1774=1," gap"," gaps")))</f>
        <v/>
      </c>
    </row>
    <row r="1775" ht="17" customHeight="1">
      <c r="A1775" t="n">
        <v>36</v>
      </c>
      <c r="B1775" s="29">
        <f>IF(Setup!$K$23="","",Setup!$K$23)</f>
        <v/>
      </c>
      <c r="C1775" s="88" t="n"/>
      <c r="D1775" s="88" t="n"/>
      <c r="E1775" s="88" t="n"/>
      <c r="F1775" s="89" t="n"/>
      <c r="G1775" s="88" t="n"/>
      <c r="H1775" s="88" t="n"/>
      <c r="I1775" s="88" t="n"/>
      <c r="J1775" s="89" t="n"/>
      <c r="K1775" s="88" t="n"/>
      <c r="L1775" s="88" t="n"/>
      <c r="M1775" s="88" t="n"/>
      <c r="N1775" s="89" t="n"/>
      <c r="O1775" s="88" t="n"/>
      <c r="P1775" s="88" t="n"/>
      <c r="Q1775" s="88" t="n"/>
      <c r="R1775" s="89" t="n"/>
      <c r="S1775" s="88" t="n"/>
      <c r="T1775" s="88" t="n"/>
      <c r="U1775" s="88" t="n"/>
      <c r="V1775" s="89" t="n"/>
      <c r="W1775" s="88" t="n"/>
      <c r="X1775" s="89" t="n"/>
      <c r="Y1775" s="88" t="n"/>
      <c r="Z1775" s="89" t="n"/>
      <c r="AB1775" s="30">
        <f>IF($B1775="","",(COUNTIF(C1775:E1775,"?*")&lt;N(INDEX(Setup!$L$6:$L$23,18)))+(COUNTIF(G1775:I1775,"?*")&lt;N(INDEX(Setup!$L$6:$L$23,18)))+(COUNTIF(K1775:M1775,"?*")&lt;N(INDEX(Setup!$L$6:$L$23,18)))+(COUNTIF(O1775:Q1775,"?*")&lt;N(INDEX(Setup!$L$6:$L$23,18)))+(COUNTIF(S1775:U1775,"?*")&lt;N(INDEX(Setup!$L$6:$L$23,18)))+((W1775="")*(INDEX(Setup!$M$6:$M$23,18)="Y"))+((Y1775="")*(INDEX(Setup!$M$6:$M$23,18)="Y")))</f>
        <v/>
      </c>
      <c r="AC1775" s="91">
        <f>IF($B1775="","",IF(AB1775=0,"✓ covered","⚠ "&amp;AB1775&amp;IF(AB1775=1," gap"," gaps")))</f>
        <v/>
      </c>
    </row>
    <row r="1776" ht="18" customHeight="1">
      <c r="A1776" t="n">
        <v>36</v>
      </c>
      <c r="B1776" s="78" t="inlineStr">
        <is>
          <t>TEAM AVAILABILITY</t>
        </is>
      </c>
      <c r="C1776" s="92" t="inlineStr">
        <is>
          <t>Mon</t>
        </is>
      </c>
      <c r="D1776" s="93" t="n"/>
      <c r="E1776" s="93" t="n"/>
      <c r="F1776" s="94" t="n"/>
      <c r="G1776" s="92" t="inlineStr">
        <is>
          <t>Tue</t>
        </is>
      </c>
      <c r="H1776" s="93" t="n"/>
      <c r="I1776" s="93" t="n"/>
      <c r="J1776" s="94" t="n"/>
      <c r="K1776" s="92" t="inlineStr">
        <is>
          <t>Wed</t>
        </is>
      </c>
      <c r="L1776" s="93" t="n"/>
      <c r="M1776" s="93" t="n"/>
      <c r="N1776" s="94" t="n"/>
      <c r="O1776" s="92" t="inlineStr">
        <is>
          <t>Thu</t>
        </is>
      </c>
      <c r="P1776" s="93" t="n"/>
      <c r="Q1776" s="93" t="n"/>
      <c r="R1776" s="94" t="n"/>
      <c r="S1776" s="92" t="inlineStr">
        <is>
          <t>Fri</t>
        </is>
      </c>
      <c r="T1776" s="93" t="n"/>
      <c r="U1776" s="93" t="n"/>
      <c r="V1776" s="94" t="n"/>
      <c r="W1776" s="95" t="inlineStr">
        <is>
          <t>Sat</t>
        </is>
      </c>
      <c r="X1776" s="96" t="n"/>
      <c r="Y1776" s="95" t="inlineStr">
        <is>
          <t>Sun</t>
        </is>
      </c>
      <c r="Z1776" s="96" t="n"/>
      <c r="AB1776" s="97" t="inlineStr">
        <is>
          <t>Days rostered</t>
        </is>
      </c>
      <c r="AC1776" s="97" t="inlineStr">
        <is>
          <t>Conflicts</t>
        </is>
      </c>
    </row>
    <row r="1777" ht="15" customHeight="1">
      <c r="A1777" t="n">
        <v>36</v>
      </c>
      <c r="B1777" s="35">
        <f>IF(Setup!$B$6="","",Setup!$B$6)</f>
        <v/>
      </c>
      <c r="C1777" s="98" t="n"/>
      <c r="D1777" s="99" t="n"/>
      <c r="E1777" s="99" t="n"/>
      <c r="F1777" s="100" t="n"/>
      <c r="G1777" s="98" t="n"/>
      <c r="H1777" s="99" t="n"/>
      <c r="I1777" s="99" t="n"/>
      <c r="J1777" s="100" t="n"/>
      <c r="K1777" s="98" t="n"/>
      <c r="L1777" s="99" t="n"/>
      <c r="M1777" s="99" t="n"/>
      <c r="N1777" s="100" t="n"/>
      <c r="O1777" s="98" t="n"/>
      <c r="P1777" s="99" t="n"/>
      <c r="Q1777" s="99" t="n"/>
      <c r="R1777" s="100" t="n"/>
      <c r="S1777" s="98" t="n"/>
      <c r="T1777" s="99" t="n"/>
      <c r="U1777" s="99" t="n"/>
      <c r="V1777" s="100" t="n"/>
      <c r="W1777" s="98" t="n"/>
      <c r="X1777" s="100" t="n"/>
      <c r="Y1777" s="98" t="n"/>
      <c r="Z1777" s="100" t="n"/>
      <c r="AB1777" s="101">
        <f>IF($B1777="","",(COUNTIF(C1758:E1775,$B1777)+COUNTIF(C1758:E1775,$B1777&amp;" ~*")&gt;0)+(COUNTIF(G1758:I1775,$B1777)+COUNTIF(G1758:I1775,$B1777&amp;" ~*")&gt;0)+(COUNTIF(K1758:M1775,$B1777)+COUNTIF(K1758:M1775,$B1777&amp;" ~*")&gt;0)+(COUNTIF(O1758:Q1775,$B1777)+COUNTIF(O1758:Q1775,$B1777&amp;" ~*")&gt;0)+(COUNTIF(S1758:U1775,$B1777)+COUNTIF(S1758:U1775,$B1777&amp;" ~*")&gt;0)+(COUNTIF(W1758:W1775,$B1777)+COUNTIF(W1758:W1775,$B1777&amp;" ~*")&gt;0)+(COUNTIF(Y1758:Y1775,$B1777)+COUNTIF(Y1758:Y1775,$B1777&amp;" ~*")&gt;0))</f>
        <v/>
      </c>
      <c r="AC1777" s="36">
        <f>IF($B1777="","",(IFERROR(INDEX(Setup!$G$33:$G$40,MATCH(C1777,Setup!$B$33:$B$40,0)),0)=1)*(COUNTIF(C1758:E1775,$B1777)+COUNTIF(C1758:E1775,$B1777&amp;" ~*")&gt;0)+(IFERROR(INDEX(Setup!$G$33:$G$40,MATCH(G1777,Setup!$B$33:$B$40,0)),0)=1)*(COUNTIF(G1758:I1775,$B1777)+COUNTIF(G1758:I1775,$B1777&amp;" ~*")&gt;0)+(IFERROR(INDEX(Setup!$G$33:$G$40,MATCH(K1777,Setup!$B$33:$B$40,0)),0)=1)*(COUNTIF(K1758:M1775,$B1777)+COUNTIF(K1758:M1775,$B1777&amp;" ~*")&gt;0)+(IFERROR(INDEX(Setup!$G$33:$G$40,MATCH(O1777,Setup!$B$33:$B$40,0)),0)=1)*(COUNTIF(O1758:Q1775,$B1777)+COUNTIF(O1758:Q1775,$B1777&amp;" ~*")&gt;0)+(IFERROR(INDEX(Setup!$G$33:$G$40,MATCH(S1777,Setup!$B$33:$B$40,0)),0)=1)*(COUNTIF(S1758:U1775,$B1777)+COUNTIF(S1758:U1775,$B1777&amp;" ~*")&gt;0)+(IFERROR(INDEX(Setup!$G$33:$G$40,MATCH(W1777,Setup!$B$33:$B$40,0)),0)=1)*(COUNTIF(W1758:W1775,$B1777)+COUNTIF(W1758:W1775,$B1777&amp;" ~*")&gt;0)+(IFERROR(INDEX(Setup!$G$33:$G$40,MATCH(Y1777,Setup!$B$33:$B$40,0)),0)=1)*(COUNTIF(Y1758:Y1775,$B1777)+COUNTIF(Y1758:Y1775,$B1777&amp;" ~*")&gt;0))</f>
        <v/>
      </c>
    </row>
    <row r="1778" ht="15" customHeight="1">
      <c r="A1778" t="n">
        <v>36</v>
      </c>
      <c r="B1778" s="37">
        <f>IF(Setup!$B$7="","",Setup!$B$7)</f>
        <v/>
      </c>
      <c r="C1778" s="102" t="n"/>
      <c r="D1778" s="103" t="n"/>
      <c r="E1778" s="103" t="n"/>
      <c r="F1778" s="104" t="n"/>
      <c r="G1778" s="102" t="n"/>
      <c r="H1778" s="103" t="n"/>
      <c r="I1778" s="103" t="n"/>
      <c r="J1778" s="104" t="n"/>
      <c r="K1778" s="102" t="n"/>
      <c r="L1778" s="103" t="n"/>
      <c r="M1778" s="103" t="n"/>
      <c r="N1778" s="104" t="n"/>
      <c r="O1778" s="102" t="n"/>
      <c r="P1778" s="103" t="n"/>
      <c r="Q1778" s="103" t="n"/>
      <c r="R1778" s="104" t="n"/>
      <c r="S1778" s="102" t="n"/>
      <c r="T1778" s="103" t="n"/>
      <c r="U1778" s="103" t="n"/>
      <c r="V1778" s="104" t="n"/>
      <c r="W1778" s="102" t="n"/>
      <c r="X1778" s="104" t="n"/>
      <c r="Y1778" s="102" t="n"/>
      <c r="Z1778" s="104" t="n"/>
      <c r="AB1778" s="105">
        <f>IF($B1778="","",(COUNTIF(C1758:E1775,$B1778)+COUNTIF(C1758:E1775,$B1778&amp;" ~*")&gt;0)+(COUNTIF(G1758:I1775,$B1778)+COUNTIF(G1758:I1775,$B1778&amp;" ~*")&gt;0)+(COUNTIF(K1758:M1775,$B1778)+COUNTIF(K1758:M1775,$B1778&amp;" ~*")&gt;0)+(COUNTIF(O1758:Q1775,$B1778)+COUNTIF(O1758:Q1775,$B1778&amp;" ~*")&gt;0)+(COUNTIF(S1758:U1775,$B1778)+COUNTIF(S1758:U1775,$B1778&amp;" ~*")&gt;0)+(COUNTIF(W1758:W1775,$B1778)+COUNTIF(W1758:W1775,$B1778&amp;" ~*")&gt;0)+(COUNTIF(Y1758:Y1775,$B1778)+COUNTIF(Y1758:Y1775,$B1778&amp;" ~*")&gt;0))</f>
        <v/>
      </c>
      <c r="AC1778" s="38">
        <f>IF($B1778="","",(IFERROR(INDEX(Setup!$G$33:$G$40,MATCH(C1778,Setup!$B$33:$B$40,0)),0)=1)*(COUNTIF(C1758:E1775,$B1778)+COUNTIF(C1758:E1775,$B1778&amp;" ~*")&gt;0)+(IFERROR(INDEX(Setup!$G$33:$G$40,MATCH(G1778,Setup!$B$33:$B$40,0)),0)=1)*(COUNTIF(G1758:I1775,$B1778)+COUNTIF(G1758:I1775,$B1778&amp;" ~*")&gt;0)+(IFERROR(INDEX(Setup!$G$33:$G$40,MATCH(K1778,Setup!$B$33:$B$40,0)),0)=1)*(COUNTIF(K1758:M1775,$B1778)+COUNTIF(K1758:M1775,$B1778&amp;" ~*")&gt;0)+(IFERROR(INDEX(Setup!$G$33:$G$40,MATCH(O1778,Setup!$B$33:$B$40,0)),0)=1)*(COUNTIF(O1758:Q1775,$B1778)+COUNTIF(O1758:Q1775,$B1778&amp;" ~*")&gt;0)+(IFERROR(INDEX(Setup!$G$33:$G$40,MATCH(S1778,Setup!$B$33:$B$40,0)),0)=1)*(COUNTIF(S1758:U1775,$B1778)+COUNTIF(S1758:U1775,$B1778&amp;" ~*")&gt;0)+(IFERROR(INDEX(Setup!$G$33:$G$40,MATCH(W1778,Setup!$B$33:$B$40,0)),0)=1)*(COUNTIF(W1758:W1775,$B1778)+COUNTIF(W1758:W1775,$B1778&amp;" ~*")&gt;0)+(IFERROR(INDEX(Setup!$G$33:$G$40,MATCH(Y1778,Setup!$B$33:$B$40,0)),0)=1)*(COUNTIF(Y1758:Y1775,$B1778)+COUNTIF(Y1758:Y1775,$B1778&amp;" ~*")&gt;0))</f>
        <v/>
      </c>
    </row>
    <row r="1779" ht="15" customHeight="1">
      <c r="A1779" t="n">
        <v>36</v>
      </c>
      <c r="B1779" s="35">
        <f>IF(Setup!$B$8="","",Setup!$B$8)</f>
        <v/>
      </c>
      <c r="C1779" s="98" t="n"/>
      <c r="D1779" s="99" t="n"/>
      <c r="E1779" s="99" t="n"/>
      <c r="F1779" s="100" t="n"/>
      <c r="G1779" s="98" t="n"/>
      <c r="H1779" s="99" t="n"/>
      <c r="I1779" s="99" t="n"/>
      <c r="J1779" s="100" t="n"/>
      <c r="K1779" s="98" t="n"/>
      <c r="L1779" s="99" t="n"/>
      <c r="M1779" s="99" t="n"/>
      <c r="N1779" s="100" t="n"/>
      <c r="O1779" s="98" t="n"/>
      <c r="P1779" s="99" t="n"/>
      <c r="Q1779" s="99" t="n"/>
      <c r="R1779" s="100" t="n"/>
      <c r="S1779" s="98" t="n"/>
      <c r="T1779" s="99" t="n"/>
      <c r="U1779" s="99" t="n"/>
      <c r="V1779" s="100" t="n"/>
      <c r="W1779" s="98" t="n"/>
      <c r="X1779" s="100" t="n"/>
      <c r="Y1779" s="98" t="n"/>
      <c r="Z1779" s="100" t="n"/>
      <c r="AB1779" s="101">
        <f>IF($B1779="","",(COUNTIF(C1758:E1775,$B1779)+COUNTIF(C1758:E1775,$B1779&amp;" ~*")&gt;0)+(COUNTIF(G1758:I1775,$B1779)+COUNTIF(G1758:I1775,$B1779&amp;" ~*")&gt;0)+(COUNTIF(K1758:M1775,$B1779)+COUNTIF(K1758:M1775,$B1779&amp;" ~*")&gt;0)+(COUNTIF(O1758:Q1775,$B1779)+COUNTIF(O1758:Q1775,$B1779&amp;" ~*")&gt;0)+(COUNTIF(S1758:U1775,$B1779)+COUNTIF(S1758:U1775,$B1779&amp;" ~*")&gt;0)+(COUNTIF(W1758:W1775,$B1779)+COUNTIF(W1758:W1775,$B1779&amp;" ~*")&gt;0)+(COUNTIF(Y1758:Y1775,$B1779)+COUNTIF(Y1758:Y1775,$B1779&amp;" ~*")&gt;0))</f>
        <v/>
      </c>
      <c r="AC1779" s="36">
        <f>IF($B1779="","",(IFERROR(INDEX(Setup!$G$33:$G$40,MATCH(C1779,Setup!$B$33:$B$40,0)),0)=1)*(COUNTIF(C1758:E1775,$B1779)+COUNTIF(C1758:E1775,$B1779&amp;" ~*")&gt;0)+(IFERROR(INDEX(Setup!$G$33:$G$40,MATCH(G1779,Setup!$B$33:$B$40,0)),0)=1)*(COUNTIF(G1758:I1775,$B1779)+COUNTIF(G1758:I1775,$B1779&amp;" ~*")&gt;0)+(IFERROR(INDEX(Setup!$G$33:$G$40,MATCH(K1779,Setup!$B$33:$B$40,0)),0)=1)*(COUNTIF(K1758:M1775,$B1779)+COUNTIF(K1758:M1775,$B1779&amp;" ~*")&gt;0)+(IFERROR(INDEX(Setup!$G$33:$G$40,MATCH(O1779,Setup!$B$33:$B$40,0)),0)=1)*(COUNTIF(O1758:Q1775,$B1779)+COUNTIF(O1758:Q1775,$B1779&amp;" ~*")&gt;0)+(IFERROR(INDEX(Setup!$G$33:$G$40,MATCH(S1779,Setup!$B$33:$B$40,0)),0)=1)*(COUNTIF(S1758:U1775,$B1779)+COUNTIF(S1758:U1775,$B1779&amp;" ~*")&gt;0)+(IFERROR(INDEX(Setup!$G$33:$G$40,MATCH(W1779,Setup!$B$33:$B$40,0)),0)=1)*(COUNTIF(W1758:W1775,$B1779)+COUNTIF(W1758:W1775,$B1779&amp;" ~*")&gt;0)+(IFERROR(INDEX(Setup!$G$33:$G$40,MATCH(Y1779,Setup!$B$33:$B$40,0)),0)=1)*(COUNTIF(Y1758:Y1775,$B1779)+COUNTIF(Y1758:Y1775,$B1779&amp;" ~*")&gt;0))</f>
        <v/>
      </c>
    </row>
    <row r="1780" ht="15" customHeight="1">
      <c r="A1780" t="n">
        <v>36</v>
      </c>
      <c r="B1780" s="37">
        <f>IF(Setup!$B$9="","",Setup!$B$9)</f>
        <v/>
      </c>
      <c r="C1780" s="102" t="n"/>
      <c r="D1780" s="103" t="n"/>
      <c r="E1780" s="103" t="n"/>
      <c r="F1780" s="104" t="n"/>
      <c r="G1780" s="102" t="n"/>
      <c r="H1780" s="103" t="n"/>
      <c r="I1780" s="103" t="n"/>
      <c r="J1780" s="104" t="n"/>
      <c r="K1780" s="102" t="n"/>
      <c r="L1780" s="103" t="n"/>
      <c r="M1780" s="103" t="n"/>
      <c r="N1780" s="104" t="n"/>
      <c r="O1780" s="102" t="n"/>
      <c r="P1780" s="103" t="n"/>
      <c r="Q1780" s="103" t="n"/>
      <c r="R1780" s="104" t="n"/>
      <c r="S1780" s="102" t="n"/>
      <c r="T1780" s="103" t="n"/>
      <c r="U1780" s="103" t="n"/>
      <c r="V1780" s="104" t="n"/>
      <c r="W1780" s="102" t="n"/>
      <c r="X1780" s="104" t="n"/>
      <c r="Y1780" s="102" t="n"/>
      <c r="Z1780" s="104" t="n"/>
      <c r="AB1780" s="105">
        <f>IF($B1780="","",(COUNTIF(C1758:E1775,$B1780)+COUNTIF(C1758:E1775,$B1780&amp;" ~*")&gt;0)+(COUNTIF(G1758:I1775,$B1780)+COUNTIF(G1758:I1775,$B1780&amp;" ~*")&gt;0)+(COUNTIF(K1758:M1775,$B1780)+COUNTIF(K1758:M1775,$B1780&amp;" ~*")&gt;0)+(COUNTIF(O1758:Q1775,$B1780)+COUNTIF(O1758:Q1775,$B1780&amp;" ~*")&gt;0)+(COUNTIF(S1758:U1775,$B1780)+COUNTIF(S1758:U1775,$B1780&amp;" ~*")&gt;0)+(COUNTIF(W1758:W1775,$B1780)+COUNTIF(W1758:W1775,$B1780&amp;" ~*")&gt;0)+(COUNTIF(Y1758:Y1775,$B1780)+COUNTIF(Y1758:Y1775,$B1780&amp;" ~*")&gt;0))</f>
        <v/>
      </c>
      <c r="AC1780" s="38">
        <f>IF($B1780="","",(IFERROR(INDEX(Setup!$G$33:$G$40,MATCH(C1780,Setup!$B$33:$B$40,0)),0)=1)*(COUNTIF(C1758:E1775,$B1780)+COUNTIF(C1758:E1775,$B1780&amp;" ~*")&gt;0)+(IFERROR(INDEX(Setup!$G$33:$G$40,MATCH(G1780,Setup!$B$33:$B$40,0)),0)=1)*(COUNTIF(G1758:I1775,$B1780)+COUNTIF(G1758:I1775,$B1780&amp;" ~*")&gt;0)+(IFERROR(INDEX(Setup!$G$33:$G$40,MATCH(K1780,Setup!$B$33:$B$40,0)),0)=1)*(COUNTIF(K1758:M1775,$B1780)+COUNTIF(K1758:M1775,$B1780&amp;" ~*")&gt;0)+(IFERROR(INDEX(Setup!$G$33:$G$40,MATCH(O1780,Setup!$B$33:$B$40,0)),0)=1)*(COUNTIF(O1758:Q1775,$B1780)+COUNTIF(O1758:Q1775,$B1780&amp;" ~*")&gt;0)+(IFERROR(INDEX(Setup!$G$33:$G$40,MATCH(S1780,Setup!$B$33:$B$40,0)),0)=1)*(COUNTIF(S1758:U1775,$B1780)+COUNTIF(S1758:U1775,$B1780&amp;" ~*")&gt;0)+(IFERROR(INDEX(Setup!$G$33:$G$40,MATCH(W1780,Setup!$B$33:$B$40,0)),0)=1)*(COUNTIF(W1758:W1775,$B1780)+COUNTIF(W1758:W1775,$B1780&amp;" ~*")&gt;0)+(IFERROR(INDEX(Setup!$G$33:$G$40,MATCH(Y1780,Setup!$B$33:$B$40,0)),0)=1)*(COUNTIF(Y1758:Y1775,$B1780)+COUNTIF(Y1758:Y1775,$B1780&amp;" ~*")&gt;0))</f>
        <v/>
      </c>
    </row>
    <row r="1781" ht="15" customHeight="1">
      <c r="A1781" t="n">
        <v>36</v>
      </c>
      <c r="B1781" s="35">
        <f>IF(Setup!$B$10="","",Setup!$B$10)</f>
        <v/>
      </c>
      <c r="C1781" s="98" t="n"/>
      <c r="D1781" s="99" t="n"/>
      <c r="E1781" s="99" t="n"/>
      <c r="F1781" s="100" t="n"/>
      <c r="G1781" s="98" t="n"/>
      <c r="H1781" s="99" t="n"/>
      <c r="I1781" s="99" t="n"/>
      <c r="J1781" s="100" t="n"/>
      <c r="K1781" s="98" t="n"/>
      <c r="L1781" s="99" t="n"/>
      <c r="M1781" s="99" t="n"/>
      <c r="N1781" s="100" t="n"/>
      <c r="O1781" s="98" t="n"/>
      <c r="P1781" s="99" t="n"/>
      <c r="Q1781" s="99" t="n"/>
      <c r="R1781" s="100" t="n"/>
      <c r="S1781" s="98" t="n"/>
      <c r="T1781" s="99" t="n"/>
      <c r="U1781" s="99" t="n"/>
      <c r="V1781" s="100" t="n"/>
      <c r="W1781" s="98" t="n"/>
      <c r="X1781" s="100" t="n"/>
      <c r="Y1781" s="98" t="n"/>
      <c r="Z1781" s="100" t="n"/>
      <c r="AB1781" s="101">
        <f>IF($B1781="","",(COUNTIF(C1758:E1775,$B1781)+COUNTIF(C1758:E1775,$B1781&amp;" ~*")&gt;0)+(COUNTIF(G1758:I1775,$B1781)+COUNTIF(G1758:I1775,$B1781&amp;" ~*")&gt;0)+(COUNTIF(K1758:M1775,$B1781)+COUNTIF(K1758:M1775,$B1781&amp;" ~*")&gt;0)+(COUNTIF(O1758:Q1775,$B1781)+COUNTIF(O1758:Q1775,$B1781&amp;" ~*")&gt;0)+(COUNTIF(S1758:U1775,$B1781)+COUNTIF(S1758:U1775,$B1781&amp;" ~*")&gt;0)+(COUNTIF(W1758:W1775,$B1781)+COUNTIF(W1758:W1775,$B1781&amp;" ~*")&gt;0)+(COUNTIF(Y1758:Y1775,$B1781)+COUNTIF(Y1758:Y1775,$B1781&amp;" ~*")&gt;0))</f>
        <v/>
      </c>
      <c r="AC1781" s="36">
        <f>IF($B1781="","",(IFERROR(INDEX(Setup!$G$33:$G$40,MATCH(C1781,Setup!$B$33:$B$40,0)),0)=1)*(COUNTIF(C1758:E1775,$B1781)+COUNTIF(C1758:E1775,$B1781&amp;" ~*")&gt;0)+(IFERROR(INDEX(Setup!$G$33:$G$40,MATCH(G1781,Setup!$B$33:$B$40,0)),0)=1)*(COUNTIF(G1758:I1775,$B1781)+COUNTIF(G1758:I1775,$B1781&amp;" ~*")&gt;0)+(IFERROR(INDEX(Setup!$G$33:$G$40,MATCH(K1781,Setup!$B$33:$B$40,0)),0)=1)*(COUNTIF(K1758:M1775,$B1781)+COUNTIF(K1758:M1775,$B1781&amp;" ~*")&gt;0)+(IFERROR(INDEX(Setup!$G$33:$G$40,MATCH(O1781,Setup!$B$33:$B$40,0)),0)=1)*(COUNTIF(O1758:Q1775,$B1781)+COUNTIF(O1758:Q1775,$B1781&amp;" ~*")&gt;0)+(IFERROR(INDEX(Setup!$G$33:$G$40,MATCH(S1781,Setup!$B$33:$B$40,0)),0)=1)*(COUNTIF(S1758:U1775,$B1781)+COUNTIF(S1758:U1775,$B1781&amp;" ~*")&gt;0)+(IFERROR(INDEX(Setup!$G$33:$G$40,MATCH(W1781,Setup!$B$33:$B$40,0)),0)=1)*(COUNTIF(W1758:W1775,$B1781)+COUNTIF(W1758:W1775,$B1781&amp;" ~*")&gt;0)+(IFERROR(INDEX(Setup!$G$33:$G$40,MATCH(Y1781,Setup!$B$33:$B$40,0)),0)=1)*(COUNTIF(Y1758:Y1775,$B1781)+COUNTIF(Y1758:Y1775,$B1781&amp;" ~*")&gt;0))</f>
        <v/>
      </c>
    </row>
    <row r="1782" ht="15" customHeight="1">
      <c r="A1782" t="n">
        <v>36</v>
      </c>
      <c r="B1782" s="37">
        <f>IF(Setup!$B$11="","",Setup!$B$11)</f>
        <v/>
      </c>
      <c r="C1782" s="102" t="n"/>
      <c r="D1782" s="103" t="n"/>
      <c r="E1782" s="103" t="n"/>
      <c r="F1782" s="104" t="n"/>
      <c r="G1782" s="102" t="n"/>
      <c r="H1782" s="103" t="n"/>
      <c r="I1782" s="103" t="n"/>
      <c r="J1782" s="104" t="n"/>
      <c r="K1782" s="102" t="n"/>
      <c r="L1782" s="103" t="n"/>
      <c r="M1782" s="103" t="n"/>
      <c r="N1782" s="104" t="n"/>
      <c r="O1782" s="102" t="n"/>
      <c r="P1782" s="103" t="n"/>
      <c r="Q1782" s="103" t="n"/>
      <c r="R1782" s="104" t="n"/>
      <c r="S1782" s="102" t="n"/>
      <c r="T1782" s="103" t="n"/>
      <c r="U1782" s="103" t="n"/>
      <c r="V1782" s="104" t="n"/>
      <c r="W1782" s="102" t="n"/>
      <c r="X1782" s="104" t="n"/>
      <c r="Y1782" s="102" t="n"/>
      <c r="Z1782" s="104" t="n"/>
      <c r="AB1782" s="105">
        <f>IF($B1782="","",(COUNTIF(C1758:E1775,$B1782)+COUNTIF(C1758:E1775,$B1782&amp;" ~*")&gt;0)+(COUNTIF(G1758:I1775,$B1782)+COUNTIF(G1758:I1775,$B1782&amp;" ~*")&gt;0)+(COUNTIF(K1758:M1775,$B1782)+COUNTIF(K1758:M1775,$B1782&amp;" ~*")&gt;0)+(COUNTIF(O1758:Q1775,$B1782)+COUNTIF(O1758:Q1775,$B1782&amp;" ~*")&gt;0)+(COUNTIF(S1758:U1775,$B1782)+COUNTIF(S1758:U1775,$B1782&amp;" ~*")&gt;0)+(COUNTIF(W1758:W1775,$B1782)+COUNTIF(W1758:W1775,$B1782&amp;" ~*")&gt;0)+(COUNTIF(Y1758:Y1775,$B1782)+COUNTIF(Y1758:Y1775,$B1782&amp;" ~*")&gt;0))</f>
        <v/>
      </c>
      <c r="AC1782" s="38">
        <f>IF($B1782="","",(IFERROR(INDEX(Setup!$G$33:$G$40,MATCH(C1782,Setup!$B$33:$B$40,0)),0)=1)*(COUNTIF(C1758:E1775,$B1782)+COUNTIF(C1758:E1775,$B1782&amp;" ~*")&gt;0)+(IFERROR(INDEX(Setup!$G$33:$G$40,MATCH(G1782,Setup!$B$33:$B$40,0)),0)=1)*(COUNTIF(G1758:I1775,$B1782)+COUNTIF(G1758:I1775,$B1782&amp;" ~*")&gt;0)+(IFERROR(INDEX(Setup!$G$33:$G$40,MATCH(K1782,Setup!$B$33:$B$40,0)),0)=1)*(COUNTIF(K1758:M1775,$B1782)+COUNTIF(K1758:M1775,$B1782&amp;" ~*")&gt;0)+(IFERROR(INDEX(Setup!$G$33:$G$40,MATCH(O1782,Setup!$B$33:$B$40,0)),0)=1)*(COUNTIF(O1758:Q1775,$B1782)+COUNTIF(O1758:Q1775,$B1782&amp;" ~*")&gt;0)+(IFERROR(INDEX(Setup!$G$33:$G$40,MATCH(S1782,Setup!$B$33:$B$40,0)),0)=1)*(COUNTIF(S1758:U1775,$B1782)+COUNTIF(S1758:U1775,$B1782&amp;" ~*")&gt;0)+(IFERROR(INDEX(Setup!$G$33:$G$40,MATCH(W1782,Setup!$B$33:$B$40,0)),0)=1)*(COUNTIF(W1758:W1775,$B1782)+COUNTIF(W1758:W1775,$B1782&amp;" ~*")&gt;0)+(IFERROR(INDEX(Setup!$G$33:$G$40,MATCH(Y1782,Setup!$B$33:$B$40,0)),0)=1)*(COUNTIF(Y1758:Y1775,$B1782)+COUNTIF(Y1758:Y1775,$B1782&amp;" ~*")&gt;0))</f>
        <v/>
      </c>
    </row>
    <row r="1783" ht="15" customHeight="1">
      <c r="A1783" t="n">
        <v>36</v>
      </c>
      <c r="B1783" s="35">
        <f>IF(Setup!$B$12="","",Setup!$B$12)</f>
        <v/>
      </c>
      <c r="C1783" s="98" t="n"/>
      <c r="D1783" s="99" t="n"/>
      <c r="E1783" s="99" t="n"/>
      <c r="F1783" s="100" t="n"/>
      <c r="G1783" s="98" t="n"/>
      <c r="H1783" s="99" t="n"/>
      <c r="I1783" s="99" t="n"/>
      <c r="J1783" s="100" t="n"/>
      <c r="K1783" s="98" t="n"/>
      <c r="L1783" s="99" t="n"/>
      <c r="M1783" s="99" t="n"/>
      <c r="N1783" s="100" t="n"/>
      <c r="O1783" s="98" t="n"/>
      <c r="P1783" s="99" t="n"/>
      <c r="Q1783" s="99" t="n"/>
      <c r="R1783" s="100" t="n"/>
      <c r="S1783" s="98" t="n"/>
      <c r="T1783" s="99" t="n"/>
      <c r="U1783" s="99" t="n"/>
      <c r="V1783" s="100" t="n"/>
      <c r="W1783" s="98" t="n"/>
      <c r="X1783" s="100" t="n"/>
      <c r="Y1783" s="98" t="n"/>
      <c r="Z1783" s="100" t="n"/>
      <c r="AB1783" s="101">
        <f>IF($B1783="","",(COUNTIF(C1758:E1775,$B1783)+COUNTIF(C1758:E1775,$B1783&amp;" ~*")&gt;0)+(COUNTIF(G1758:I1775,$B1783)+COUNTIF(G1758:I1775,$B1783&amp;" ~*")&gt;0)+(COUNTIF(K1758:M1775,$B1783)+COUNTIF(K1758:M1775,$B1783&amp;" ~*")&gt;0)+(COUNTIF(O1758:Q1775,$B1783)+COUNTIF(O1758:Q1775,$B1783&amp;" ~*")&gt;0)+(COUNTIF(S1758:U1775,$B1783)+COUNTIF(S1758:U1775,$B1783&amp;" ~*")&gt;0)+(COUNTIF(W1758:W1775,$B1783)+COUNTIF(W1758:W1775,$B1783&amp;" ~*")&gt;0)+(COUNTIF(Y1758:Y1775,$B1783)+COUNTIF(Y1758:Y1775,$B1783&amp;" ~*")&gt;0))</f>
        <v/>
      </c>
      <c r="AC1783" s="36">
        <f>IF($B1783="","",(IFERROR(INDEX(Setup!$G$33:$G$40,MATCH(C1783,Setup!$B$33:$B$40,0)),0)=1)*(COUNTIF(C1758:E1775,$B1783)+COUNTIF(C1758:E1775,$B1783&amp;" ~*")&gt;0)+(IFERROR(INDEX(Setup!$G$33:$G$40,MATCH(G1783,Setup!$B$33:$B$40,0)),0)=1)*(COUNTIF(G1758:I1775,$B1783)+COUNTIF(G1758:I1775,$B1783&amp;" ~*")&gt;0)+(IFERROR(INDEX(Setup!$G$33:$G$40,MATCH(K1783,Setup!$B$33:$B$40,0)),0)=1)*(COUNTIF(K1758:M1775,$B1783)+COUNTIF(K1758:M1775,$B1783&amp;" ~*")&gt;0)+(IFERROR(INDEX(Setup!$G$33:$G$40,MATCH(O1783,Setup!$B$33:$B$40,0)),0)=1)*(COUNTIF(O1758:Q1775,$B1783)+COUNTIF(O1758:Q1775,$B1783&amp;" ~*")&gt;0)+(IFERROR(INDEX(Setup!$G$33:$G$40,MATCH(S1783,Setup!$B$33:$B$40,0)),0)=1)*(COUNTIF(S1758:U1775,$B1783)+COUNTIF(S1758:U1775,$B1783&amp;" ~*")&gt;0)+(IFERROR(INDEX(Setup!$G$33:$G$40,MATCH(W1783,Setup!$B$33:$B$40,0)),0)=1)*(COUNTIF(W1758:W1775,$B1783)+COUNTIF(W1758:W1775,$B1783&amp;" ~*")&gt;0)+(IFERROR(INDEX(Setup!$G$33:$G$40,MATCH(Y1783,Setup!$B$33:$B$40,0)),0)=1)*(COUNTIF(Y1758:Y1775,$B1783)+COUNTIF(Y1758:Y1775,$B1783&amp;" ~*")&gt;0))</f>
        <v/>
      </c>
    </row>
    <row r="1784" ht="15" customHeight="1">
      <c r="A1784" t="n">
        <v>36</v>
      </c>
      <c r="B1784" s="37">
        <f>IF(Setup!$B$13="","",Setup!$B$13)</f>
        <v/>
      </c>
      <c r="C1784" s="102" t="n"/>
      <c r="D1784" s="103" t="n"/>
      <c r="E1784" s="103" t="n"/>
      <c r="F1784" s="104" t="n"/>
      <c r="G1784" s="102" t="n"/>
      <c r="H1784" s="103" t="n"/>
      <c r="I1784" s="103" t="n"/>
      <c r="J1784" s="104" t="n"/>
      <c r="K1784" s="102" t="n"/>
      <c r="L1784" s="103" t="n"/>
      <c r="M1784" s="103" t="n"/>
      <c r="N1784" s="104" t="n"/>
      <c r="O1784" s="102" t="n"/>
      <c r="P1784" s="103" t="n"/>
      <c r="Q1784" s="103" t="n"/>
      <c r="R1784" s="104" t="n"/>
      <c r="S1784" s="102" t="n"/>
      <c r="T1784" s="103" t="n"/>
      <c r="U1784" s="103" t="n"/>
      <c r="V1784" s="104" t="n"/>
      <c r="W1784" s="102" t="n"/>
      <c r="X1784" s="104" t="n"/>
      <c r="Y1784" s="102" t="n"/>
      <c r="Z1784" s="104" t="n"/>
      <c r="AB1784" s="105">
        <f>IF($B1784="","",(COUNTIF(C1758:E1775,$B1784)+COUNTIF(C1758:E1775,$B1784&amp;" ~*")&gt;0)+(COUNTIF(G1758:I1775,$B1784)+COUNTIF(G1758:I1775,$B1784&amp;" ~*")&gt;0)+(COUNTIF(K1758:M1775,$B1784)+COUNTIF(K1758:M1775,$B1784&amp;" ~*")&gt;0)+(COUNTIF(O1758:Q1775,$B1784)+COUNTIF(O1758:Q1775,$B1784&amp;" ~*")&gt;0)+(COUNTIF(S1758:U1775,$B1784)+COUNTIF(S1758:U1775,$B1784&amp;" ~*")&gt;0)+(COUNTIF(W1758:W1775,$B1784)+COUNTIF(W1758:W1775,$B1784&amp;" ~*")&gt;0)+(COUNTIF(Y1758:Y1775,$B1784)+COUNTIF(Y1758:Y1775,$B1784&amp;" ~*")&gt;0))</f>
        <v/>
      </c>
      <c r="AC1784" s="38">
        <f>IF($B1784="","",(IFERROR(INDEX(Setup!$G$33:$G$40,MATCH(C1784,Setup!$B$33:$B$40,0)),0)=1)*(COUNTIF(C1758:E1775,$B1784)+COUNTIF(C1758:E1775,$B1784&amp;" ~*")&gt;0)+(IFERROR(INDEX(Setup!$G$33:$G$40,MATCH(G1784,Setup!$B$33:$B$40,0)),0)=1)*(COUNTIF(G1758:I1775,$B1784)+COUNTIF(G1758:I1775,$B1784&amp;" ~*")&gt;0)+(IFERROR(INDEX(Setup!$G$33:$G$40,MATCH(K1784,Setup!$B$33:$B$40,0)),0)=1)*(COUNTIF(K1758:M1775,$B1784)+COUNTIF(K1758:M1775,$B1784&amp;" ~*")&gt;0)+(IFERROR(INDEX(Setup!$G$33:$G$40,MATCH(O1784,Setup!$B$33:$B$40,0)),0)=1)*(COUNTIF(O1758:Q1775,$B1784)+COUNTIF(O1758:Q1775,$B1784&amp;" ~*")&gt;0)+(IFERROR(INDEX(Setup!$G$33:$G$40,MATCH(S1784,Setup!$B$33:$B$40,0)),0)=1)*(COUNTIF(S1758:U1775,$B1784)+COUNTIF(S1758:U1775,$B1784&amp;" ~*")&gt;0)+(IFERROR(INDEX(Setup!$G$33:$G$40,MATCH(W1784,Setup!$B$33:$B$40,0)),0)=1)*(COUNTIF(W1758:W1775,$B1784)+COUNTIF(W1758:W1775,$B1784&amp;" ~*")&gt;0)+(IFERROR(INDEX(Setup!$G$33:$G$40,MATCH(Y1784,Setup!$B$33:$B$40,0)),0)=1)*(COUNTIF(Y1758:Y1775,$B1784)+COUNTIF(Y1758:Y1775,$B1784&amp;" ~*")&gt;0))</f>
        <v/>
      </c>
    </row>
    <row r="1785" ht="15" customHeight="1">
      <c r="A1785" t="n">
        <v>36</v>
      </c>
      <c r="B1785" s="35">
        <f>IF(Setup!$B$14="","",Setup!$B$14)</f>
        <v/>
      </c>
      <c r="C1785" s="98" t="n"/>
      <c r="D1785" s="99" t="n"/>
      <c r="E1785" s="99" t="n"/>
      <c r="F1785" s="100" t="n"/>
      <c r="G1785" s="98" t="n"/>
      <c r="H1785" s="99" t="n"/>
      <c r="I1785" s="99" t="n"/>
      <c r="J1785" s="100" t="n"/>
      <c r="K1785" s="98" t="n"/>
      <c r="L1785" s="99" t="n"/>
      <c r="M1785" s="99" t="n"/>
      <c r="N1785" s="100" t="n"/>
      <c r="O1785" s="98" t="n"/>
      <c r="P1785" s="99" t="n"/>
      <c r="Q1785" s="99" t="n"/>
      <c r="R1785" s="100" t="n"/>
      <c r="S1785" s="98" t="n"/>
      <c r="T1785" s="99" t="n"/>
      <c r="U1785" s="99" t="n"/>
      <c r="V1785" s="100" t="n"/>
      <c r="W1785" s="98" t="n"/>
      <c r="X1785" s="100" t="n"/>
      <c r="Y1785" s="98" t="n"/>
      <c r="Z1785" s="100" t="n"/>
      <c r="AB1785" s="101">
        <f>IF($B1785="","",(COUNTIF(C1758:E1775,$B1785)+COUNTIF(C1758:E1775,$B1785&amp;" ~*")&gt;0)+(COUNTIF(G1758:I1775,$B1785)+COUNTIF(G1758:I1775,$B1785&amp;" ~*")&gt;0)+(COUNTIF(K1758:M1775,$B1785)+COUNTIF(K1758:M1775,$B1785&amp;" ~*")&gt;0)+(COUNTIF(O1758:Q1775,$B1785)+COUNTIF(O1758:Q1775,$B1785&amp;" ~*")&gt;0)+(COUNTIF(S1758:U1775,$B1785)+COUNTIF(S1758:U1775,$B1785&amp;" ~*")&gt;0)+(COUNTIF(W1758:W1775,$B1785)+COUNTIF(W1758:W1775,$B1785&amp;" ~*")&gt;0)+(COUNTIF(Y1758:Y1775,$B1785)+COUNTIF(Y1758:Y1775,$B1785&amp;" ~*")&gt;0))</f>
        <v/>
      </c>
      <c r="AC1785" s="36">
        <f>IF($B1785="","",(IFERROR(INDEX(Setup!$G$33:$G$40,MATCH(C1785,Setup!$B$33:$B$40,0)),0)=1)*(COUNTIF(C1758:E1775,$B1785)+COUNTIF(C1758:E1775,$B1785&amp;" ~*")&gt;0)+(IFERROR(INDEX(Setup!$G$33:$G$40,MATCH(G1785,Setup!$B$33:$B$40,0)),0)=1)*(COUNTIF(G1758:I1775,$B1785)+COUNTIF(G1758:I1775,$B1785&amp;" ~*")&gt;0)+(IFERROR(INDEX(Setup!$G$33:$G$40,MATCH(K1785,Setup!$B$33:$B$40,0)),0)=1)*(COUNTIF(K1758:M1775,$B1785)+COUNTIF(K1758:M1775,$B1785&amp;" ~*")&gt;0)+(IFERROR(INDEX(Setup!$G$33:$G$40,MATCH(O1785,Setup!$B$33:$B$40,0)),0)=1)*(COUNTIF(O1758:Q1775,$B1785)+COUNTIF(O1758:Q1775,$B1785&amp;" ~*")&gt;0)+(IFERROR(INDEX(Setup!$G$33:$G$40,MATCH(S1785,Setup!$B$33:$B$40,0)),0)=1)*(COUNTIF(S1758:U1775,$B1785)+COUNTIF(S1758:U1775,$B1785&amp;" ~*")&gt;0)+(IFERROR(INDEX(Setup!$G$33:$G$40,MATCH(W1785,Setup!$B$33:$B$40,0)),0)=1)*(COUNTIF(W1758:W1775,$B1785)+COUNTIF(W1758:W1775,$B1785&amp;" ~*")&gt;0)+(IFERROR(INDEX(Setup!$G$33:$G$40,MATCH(Y1785,Setup!$B$33:$B$40,0)),0)=1)*(COUNTIF(Y1758:Y1775,$B1785)+COUNTIF(Y1758:Y1775,$B1785&amp;" ~*")&gt;0))</f>
        <v/>
      </c>
    </row>
    <row r="1786" ht="15" customHeight="1">
      <c r="A1786" t="n">
        <v>36</v>
      </c>
      <c r="B1786" s="37">
        <f>IF(Setup!$B$15="","",Setup!$B$15)</f>
        <v/>
      </c>
      <c r="C1786" s="102" t="n"/>
      <c r="D1786" s="103" t="n"/>
      <c r="E1786" s="103" t="n"/>
      <c r="F1786" s="104" t="n"/>
      <c r="G1786" s="102" t="n"/>
      <c r="H1786" s="103" t="n"/>
      <c r="I1786" s="103" t="n"/>
      <c r="J1786" s="104" t="n"/>
      <c r="K1786" s="102" t="n"/>
      <c r="L1786" s="103" t="n"/>
      <c r="M1786" s="103" t="n"/>
      <c r="N1786" s="104" t="n"/>
      <c r="O1786" s="102" t="n"/>
      <c r="P1786" s="103" t="n"/>
      <c r="Q1786" s="103" t="n"/>
      <c r="R1786" s="104" t="n"/>
      <c r="S1786" s="102" t="n"/>
      <c r="T1786" s="103" t="n"/>
      <c r="U1786" s="103" t="n"/>
      <c r="V1786" s="104" t="n"/>
      <c r="W1786" s="102" t="n"/>
      <c r="X1786" s="104" t="n"/>
      <c r="Y1786" s="102" t="n"/>
      <c r="Z1786" s="104" t="n"/>
      <c r="AB1786" s="105">
        <f>IF($B1786="","",(COUNTIF(C1758:E1775,$B1786)+COUNTIF(C1758:E1775,$B1786&amp;" ~*")&gt;0)+(COUNTIF(G1758:I1775,$B1786)+COUNTIF(G1758:I1775,$B1786&amp;" ~*")&gt;0)+(COUNTIF(K1758:M1775,$B1786)+COUNTIF(K1758:M1775,$B1786&amp;" ~*")&gt;0)+(COUNTIF(O1758:Q1775,$B1786)+COUNTIF(O1758:Q1775,$B1786&amp;" ~*")&gt;0)+(COUNTIF(S1758:U1775,$B1786)+COUNTIF(S1758:U1775,$B1786&amp;" ~*")&gt;0)+(COUNTIF(W1758:W1775,$B1786)+COUNTIF(W1758:W1775,$B1786&amp;" ~*")&gt;0)+(COUNTIF(Y1758:Y1775,$B1786)+COUNTIF(Y1758:Y1775,$B1786&amp;" ~*")&gt;0))</f>
        <v/>
      </c>
      <c r="AC1786" s="38">
        <f>IF($B1786="","",(IFERROR(INDEX(Setup!$G$33:$G$40,MATCH(C1786,Setup!$B$33:$B$40,0)),0)=1)*(COUNTIF(C1758:E1775,$B1786)+COUNTIF(C1758:E1775,$B1786&amp;" ~*")&gt;0)+(IFERROR(INDEX(Setup!$G$33:$G$40,MATCH(G1786,Setup!$B$33:$B$40,0)),0)=1)*(COUNTIF(G1758:I1775,$B1786)+COUNTIF(G1758:I1775,$B1786&amp;" ~*")&gt;0)+(IFERROR(INDEX(Setup!$G$33:$G$40,MATCH(K1786,Setup!$B$33:$B$40,0)),0)=1)*(COUNTIF(K1758:M1775,$B1786)+COUNTIF(K1758:M1775,$B1786&amp;" ~*")&gt;0)+(IFERROR(INDEX(Setup!$G$33:$G$40,MATCH(O1786,Setup!$B$33:$B$40,0)),0)=1)*(COUNTIF(O1758:Q1775,$B1786)+COUNTIF(O1758:Q1775,$B1786&amp;" ~*")&gt;0)+(IFERROR(INDEX(Setup!$G$33:$G$40,MATCH(S1786,Setup!$B$33:$B$40,0)),0)=1)*(COUNTIF(S1758:U1775,$B1786)+COUNTIF(S1758:U1775,$B1786&amp;" ~*")&gt;0)+(IFERROR(INDEX(Setup!$G$33:$G$40,MATCH(W1786,Setup!$B$33:$B$40,0)),0)=1)*(COUNTIF(W1758:W1775,$B1786)+COUNTIF(W1758:W1775,$B1786&amp;" ~*")&gt;0)+(IFERROR(INDEX(Setup!$G$33:$G$40,MATCH(Y1786,Setup!$B$33:$B$40,0)),0)=1)*(COUNTIF(Y1758:Y1775,$B1786)+COUNTIF(Y1758:Y1775,$B1786&amp;" ~*")&gt;0))</f>
        <v/>
      </c>
    </row>
    <row r="1787" ht="15" customHeight="1">
      <c r="A1787" t="n">
        <v>36</v>
      </c>
      <c r="B1787" s="35">
        <f>IF(Setup!$B$16="","",Setup!$B$16)</f>
        <v/>
      </c>
      <c r="C1787" s="98" t="n"/>
      <c r="D1787" s="99" t="n"/>
      <c r="E1787" s="99" t="n"/>
      <c r="F1787" s="100" t="n"/>
      <c r="G1787" s="98" t="n"/>
      <c r="H1787" s="99" t="n"/>
      <c r="I1787" s="99" t="n"/>
      <c r="J1787" s="100" t="n"/>
      <c r="K1787" s="98" t="n"/>
      <c r="L1787" s="99" t="n"/>
      <c r="M1787" s="99" t="n"/>
      <c r="N1787" s="100" t="n"/>
      <c r="O1787" s="98" t="n"/>
      <c r="P1787" s="99" t="n"/>
      <c r="Q1787" s="99" t="n"/>
      <c r="R1787" s="100" t="n"/>
      <c r="S1787" s="98" t="n"/>
      <c r="T1787" s="99" t="n"/>
      <c r="U1787" s="99" t="n"/>
      <c r="V1787" s="100" t="n"/>
      <c r="W1787" s="98" t="n"/>
      <c r="X1787" s="100" t="n"/>
      <c r="Y1787" s="98" t="n"/>
      <c r="Z1787" s="100" t="n"/>
      <c r="AB1787" s="101">
        <f>IF($B1787="","",(COUNTIF(C1758:E1775,$B1787)+COUNTIF(C1758:E1775,$B1787&amp;" ~*")&gt;0)+(COUNTIF(G1758:I1775,$B1787)+COUNTIF(G1758:I1775,$B1787&amp;" ~*")&gt;0)+(COUNTIF(K1758:M1775,$B1787)+COUNTIF(K1758:M1775,$B1787&amp;" ~*")&gt;0)+(COUNTIF(O1758:Q1775,$B1787)+COUNTIF(O1758:Q1775,$B1787&amp;" ~*")&gt;0)+(COUNTIF(S1758:U1775,$B1787)+COUNTIF(S1758:U1775,$B1787&amp;" ~*")&gt;0)+(COUNTIF(W1758:W1775,$B1787)+COUNTIF(W1758:W1775,$B1787&amp;" ~*")&gt;0)+(COUNTIF(Y1758:Y1775,$B1787)+COUNTIF(Y1758:Y1775,$B1787&amp;" ~*")&gt;0))</f>
        <v/>
      </c>
      <c r="AC1787" s="36">
        <f>IF($B1787="","",(IFERROR(INDEX(Setup!$G$33:$G$40,MATCH(C1787,Setup!$B$33:$B$40,0)),0)=1)*(COUNTIF(C1758:E1775,$B1787)+COUNTIF(C1758:E1775,$B1787&amp;" ~*")&gt;0)+(IFERROR(INDEX(Setup!$G$33:$G$40,MATCH(G1787,Setup!$B$33:$B$40,0)),0)=1)*(COUNTIF(G1758:I1775,$B1787)+COUNTIF(G1758:I1775,$B1787&amp;" ~*")&gt;0)+(IFERROR(INDEX(Setup!$G$33:$G$40,MATCH(K1787,Setup!$B$33:$B$40,0)),0)=1)*(COUNTIF(K1758:M1775,$B1787)+COUNTIF(K1758:M1775,$B1787&amp;" ~*")&gt;0)+(IFERROR(INDEX(Setup!$G$33:$G$40,MATCH(O1787,Setup!$B$33:$B$40,0)),0)=1)*(COUNTIF(O1758:Q1775,$B1787)+COUNTIF(O1758:Q1775,$B1787&amp;" ~*")&gt;0)+(IFERROR(INDEX(Setup!$G$33:$G$40,MATCH(S1787,Setup!$B$33:$B$40,0)),0)=1)*(COUNTIF(S1758:U1775,$B1787)+COUNTIF(S1758:U1775,$B1787&amp;" ~*")&gt;0)+(IFERROR(INDEX(Setup!$G$33:$G$40,MATCH(W1787,Setup!$B$33:$B$40,0)),0)=1)*(COUNTIF(W1758:W1775,$B1787)+COUNTIF(W1758:W1775,$B1787&amp;" ~*")&gt;0)+(IFERROR(INDEX(Setup!$G$33:$G$40,MATCH(Y1787,Setup!$B$33:$B$40,0)),0)=1)*(COUNTIF(Y1758:Y1775,$B1787)+COUNTIF(Y1758:Y1775,$B1787&amp;" ~*")&gt;0))</f>
        <v/>
      </c>
    </row>
    <row r="1788" ht="15" customHeight="1">
      <c r="A1788" t="n">
        <v>36</v>
      </c>
      <c r="B1788" s="37">
        <f>IF(Setup!$B$17="","",Setup!$B$17)</f>
        <v/>
      </c>
      <c r="C1788" s="102" t="n"/>
      <c r="D1788" s="103" t="n"/>
      <c r="E1788" s="103" t="n"/>
      <c r="F1788" s="104" t="n"/>
      <c r="G1788" s="102" t="n"/>
      <c r="H1788" s="103" t="n"/>
      <c r="I1788" s="103" t="n"/>
      <c r="J1788" s="104" t="n"/>
      <c r="K1788" s="102" t="n"/>
      <c r="L1788" s="103" t="n"/>
      <c r="M1788" s="103" t="n"/>
      <c r="N1788" s="104" t="n"/>
      <c r="O1788" s="102" t="n"/>
      <c r="P1788" s="103" t="n"/>
      <c r="Q1788" s="103" t="n"/>
      <c r="R1788" s="104" t="n"/>
      <c r="S1788" s="102" t="n"/>
      <c r="T1788" s="103" t="n"/>
      <c r="U1788" s="103" t="n"/>
      <c r="V1788" s="104" t="n"/>
      <c r="W1788" s="102" t="n"/>
      <c r="X1788" s="104" t="n"/>
      <c r="Y1788" s="102" t="n"/>
      <c r="Z1788" s="104" t="n"/>
      <c r="AB1788" s="105">
        <f>IF($B1788="","",(COUNTIF(C1758:E1775,$B1788)+COUNTIF(C1758:E1775,$B1788&amp;" ~*")&gt;0)+(COUNTIF(G1758:I1775,$B1788)+COUNTIF(G1758:I1775,$B1788&amp;" ~*")&gt;0)+(COUNTIF(K1758:M1775,$B1788)+COUNTIF(K1758:M1775,$B1788&amp;" ~*")&gt;0)+(COUNTIF(O1758:Q1775,$B1788)+COUNTIF(O1758:Q1775,$B1788&amp;" ~*")&gt;0)+(COUNTIF(S1758:U1775,$B1788)+COUNTIF(S1758:U1775,$B1788&amp;" ~*")&gt;0)+(COUNTIF(W1758:W1775,$B1788)+COUNTIF(W1758:W1775,$B1788&amp;" ~*")&gt;0)+(COUNTIF(Y1758:Y1775,$B1788)+COUNTIF(Y1758:Y1775,$B1788&amp;" ~*")&gt;0))</f>
        <v/>
      </c>
      <c r="AC1788" s="38">
        <f>IF($B1788="","",(IFERROR(INDEX(Setup!$G$33:$G$40,MATCH(C1788,Setup!$B$33:$B$40,0)),0)=1)*(COUNTIF(C1758:E1775,$B1788)+COUNTIF(C1758:E1775,$B1788&amp;" ~*")&gt;0)+(IFERROR(INDEX(Setup!$G$33:$G$40,MATCH(G1788,Setup!$B$33:$B$40,0)),0)=1)*(COUNTIF(G1758:I1775,$B1788)+COUNTIF(G1758:I1775,$B1788&amp;" ~*")&gt;0)+(IFERROR(INDEX(Setup!$G$33:$G$40,MATCH(K1788,Setup!$B$33:$B$40,0)),0)=1)*(COUNTIF(K1758:M1775,$B1788)+COUNTIF(K1758:M1775,$B1788&amp;" ~*")&gt;0)+(IFERROR(INDEX(Setup!$G$33:$G$40,MATCH(O1788,Setup!$B$33:$B$40,0)),0)=1)*(COUNTIF(O1758:Q1775,$B1788)+COUNTIF(O1758:Q1775,$B1788&amp;" ~*")&gt;0)+(IFERROR(INDEX(Setup!$G$33:$G$40,MATCH(S1788,Setup!$B$33:$B$40,0)),0)=1)*(COUNTIF(S1758:U1775,$B1788)+COUNTIF(S1758:U1775,$B1788&amp;" ~*")&gt;0)+(IFERROR(INDEX(Setup!$G$33:$G$40,MATCH(W1788,Setup!$B$33:$B$40,0)),0)=1)*(COUNTIF(W1758:W1775,$B1788)+COUNTIF(W1758:W1775,$B1788&amp;" ~*")&gt;0)+(IFERROR(INDEX(Setup!$G$33:$G$40,MATCH(Y1788,Setup!$B$33:$B$40,0)),0)=1)*(COUNTIF(Y1758:Y1775,$B1788)+COUNTIF(Y1758:Y1775,$B1788&amp;" ~*")&gt;0))</f>
        <v/>
      </c>
    </row>
    <row r="1789" ht="15" customHeight="1">
      <c r="A1789" t="n">
        <v>36</v>
      </c>
      <c r="B1789" s="35">
        <f>IF(Setup!$B$18="","",Setup!$B$18)</f>
        <v/>
      </c>
      <c r="C1789" s="98" t="n"/>
      <c r="D1789" s="99" t="n"/>
      <c r="E1789" s="99" t="n"/>
      <c r="F1789" s="100" t="n"/>
      <c r="G1789" s="98" t="n"/>
      <c r="H1789" s="99" t="n"/>
      <c r="I1789" s="99" t="n"/>
      <c r="J1789" s="100" t="n"/>
      <c r="K1789" s="98" t="n"/>
      <c r="L1789" s="99" t="n"/>
      <c r="M1789" s="99" t="n"/>
      <c r="N1789" s="100" t="n"/>
      <c r="O1789" s="98" t="n"/>
      <c r="P1789" s="99" t="n"/>
      <c r="Q1789" s="99" t="n"/>
      <c r="R1789" s="100" t="n"/>
      <c r="S1789" s="98" t="n"/>
      <c r="T1789" s="99" t="n"/>
      <c r="U1789" s="99" t="n"/>
      <c r="V1789" s="100" t="n"/>
      <c r="W1789" s="98" t="n"/>
      <c r="X1789" s="100" t="n"/>
      <c r="Y1789" s="98" t="n"/>
      <c r="Z1789" s="100" t="n"/>
      <c r="AB1789" s="101">
        <f>IF($B1789="","",(COUNTIF(C1758:E1775,$B1789)+COUNTIF(C1758:E1775,$B1789&amp;" ~*")&gt;0)+(COUNTIF(G1758:I1775,$B1789)+COUNTIF(G1758:I1775,$B1789&amp;" ~*")&gt;0)+(COUNTIF(K1758:M1775,$B1789)+COUNTIF(K1758:M1775,$B1789&amp;" ~*")&gt;0)+(COUNTIF(O1758:Q1775,$B1789)+COUNTIF(O1758:Q1775,$B1789&amp;" ~*")&gt;0)+(COUNTIF(S1758:U1775,$B1789)+COUNTIF(S1758:U1775,$B1789&amp;" ~*")&gt;0)+(COUNTIF(W1758:W1775,$B1789)+COUNTIF(W1758:W1775,$B1789&amp;" ~*")&gt;0)+(COUNTIF(Y1758:Y1775,$B1789)+COUNTIF(Y1758:Y1775,$B1789&amp;" ~*")&gt;0))</f>
        <v/>
      </c>
      <c r="AC1789" s="36">
        <f>IF($B1789="","",(IFERROR(INDEX(Setup!$G$33:$G$40,MATCH(C1789,Setup!$B$33:$B$40,0)),0)=1)*(COUNTIF(C1758:E1775,$B1789)+COUNTIF(C1758:E1775,$B1789&amp;" ~*")&gt;0)+(IFERROR(INDEX(Setup!$G$33:$G$40,MATCH(G1789,Setup!$B$33:$B$40,0)),0)=1)*(COUNTIF(G1758:I1775,$B1789)+COUNTIF(G1758:I1775,$B1789&amp;" ~*")&gt;0)+(IFERROR(INDEX(Setup!$G$33:$G$40,MATCH(K1789,Setup!$B$33:$B$40,0)),0)=1)*(COUNTIF(K1758:M1775,$B1789)+COUNTIF(K1758:M1775,$B1789&amp;" ~*")&gt;0)+(IFERROR(INDEX(Setup!$G$33:$G$40,MATCH(O1789,Setup!$B$33:$B$40,0)),0)=1)*(COUNTIF(O1758:Q1775,$B1789)+COUNTIF(O1758:Q1775,$B1789&amp;" ~*")&gt;0)+(IFERROR(INDEX(Setup!$G$33:$G$40,MATCH(S1789,Setup!$B$33:$B$40,0)),0)=1)*(COUNTIF(S1758:U1775,$B1789)+COUNTIF(S1758:U1775,$B1789&amp;" ~*")&gt;0)+(IFERROR(INDEX(Setup!$G$33:$G$40,MATCH(W1789,Setup!$B$33:$B$40,0)),0)=1)*(COUNTIF(W1758:W1775,$B1789)+COUNTIF(W1758:W1775,$B1789&amp;" ~*")&gt;0)+(IFERROR(INDEX(Setup!$G$33:$G$40,MATCH(Y1789,Setup!$B$33:$B$40,0)),0)=1)*(COUNTIF(Y1758:Y1775,$B1789)+COUNTIF(Y1758:Y1775,$B1789&amp;" ~*")&gt;0))</f>
        <v/>
      </c>
    </row>
    <row r="1790" ht="15" customHeight="1">
      <c r="A1790" t="n">
        <v>36</v>
      </c>
      <c r="B1790" s="37">
        <f>IF(Setup!$B$19="","",Setup!$B$19)</f>
        <v/>
      </c>
      <c r="C1790" s="102" t="n"/>
      <c r="D1790" s="103" t="n"/>
      <c r="E1790" s="103" t="n"/>
      <c r="F1790" s="104" t="n"/>
      <c r="G1790" s="102" t="n"/>
      <c r="H1790" s="103" t="n"/>
      <c r="I1790" s="103" t="n"/>
      <c r="J1790" s="104" t="n"/>
      <c r="K1790" s="102" t="n"/>
      <c r="L1790" s="103" t="n"/>
      <c r="M1790" s="103" t="n"/>
      <c r="N1790" s="104" t="n"/>
      <c r="O1790" s="102" t="n"/>
      <c r="P1790" s="103" t="n"/>
      <c r="Q1790" s="103" t="n"/>
      <c r="R1790" s="104" t="n"/>
      <c r="S1790" s="102" t="n"/>
      <c r="T1790" s="103" t="n"/>
      <c r="U1790" s="103" t="n"/>
      <c r="V1790" s="104" t="n"/>
      <c r="W1790" s="102" t="n"/>
      <c r="X1790" s="104" t="n"/>
      <c r="Y1790" s="102" t="n"/>
      <c r="Z1790" s="104" t="n"/>
      <c r="AB1790" s="105">
        <f>IF($B1790="","",(COUNTIF(C1758:E1775,$B1790)+COUNTIF(C1758:E1775,$B1790&amp;" ~*")&gt;0)+(COUNTIF(G1758:I1775,$B1790)+COUNTIF(G1758:I1775,$B1790&amp;" ~*")&gt;0)+(COUNTIF(K1758:M1775,$B1790)+COUNTIF(K1758:M1775,$B1790&amp;" ~*")&gt;0)+(COUNTIF(O1758:Q1775,$B1790)+COUNTIF(O1758:Q1775,$B1790&amp;" ~*")&gt;0)+(COUNTIF(S1758:U1775,$B1790)+COUNTIF(S1758:U1775,$B1790&amp;" ~*")&gt;0)+(COUNTIF(W1758:W1775,$B1790)+COUNTIF(W1758:W1775,$B1790&amp;" ~*")&gt;0)+(COUNTIF(Y1758:Y1775,$B1790)+COUNTIF(Y1758:Y1775,$B1790&amp;" ~*")&gt;0))</f>
        <v/>
      </c>
      <c r="AC1790" s="38">
        <f>IF($B1790="","",(IFERROR(INDEX(Setup!$G$33:$G$40,MATCH(C1790,Setup!$B$33:$B$40,0)),0)=1)*(COUNTIF(C1758:E1775,$B1790)+COUNTIF(C1758:E1775,$B1790&amp;" ~*")&gt;0)+(IFERROR(INDEX(Setup!$G$33:$G$40,MATCH(G1790,Setup!$B$33:$B$40,0)),0)=1)*(COUNTIF(G1758:I1775,$B1790)+COUNTIF(G1758:I1775,$B1790&amp;" ~*")&gt;0)+(IFERROR(INDEX(Setup!$G$33:$G$40,MATCH(K1790,Setup!$B$33:$B$40,0)),0)=1)*(COUNTIF(K1758:M1775,$B1790)+COUNTIF(K1758:M1775,$B1790&amp;" ~*")&gt;0)+(IFERROR(INDEX(Setup!$G$33:$G$40,MATCH(O1790,Setup!$B$33:$B$40,0)),0)=1)*(COUNTIF(O1758:Q1775,$B1790)+COUNTIF(O1758:Q1775,$B1790&amp;" ~*")&gt;0)+(IFERROR(INDEX(Setup!$G$33:$G$40,MATCH(S1790,Setup!$B$33:$B$40,0)),0)=1)*(COUNTIF(S1758:U1775,$B1790)+COUNTIF(S1758:U1775,$B1790&amp;" ~*")&gt;0)+(IFERROR(INDEX(Setup!$G$33:$G$40,MATCH(W1790,Setup!$B$33:$B$40,0)),0)=1)*(COUNTIF(W1758:W1775,$B1790)+COUNTIF(W1758:W1775,$B1790&amp;" ~*")&gt;0)+(IFERROR(INDEX(Setup!$G$33:$G$40,MATCH(Y1790,Setup!$B$33:$B$40,0)),0)=1)*(COUNTIF(Y1758:Y1775,$B1790)+COUNTIF(Y1758:Y1775,$B1790&amp;" ~*")&gt;0))</f>
        <v/>
      </c>
    </row>
    <row r="1791" ht="15" customHeight="1">
      <c r="A1791" t="n">
        <v>36</v>
      </c>
      <c r="B1791" s="35">
        <f>IF(Setup!$B$20="","",Setup!$B$20)</f>
        <v/>
      </c>
      <c r="C1791" s="98" t="n"/>
      <c r="D1791" s="99" t="n"/>
      <c r="E1791" s="99" t="n"/>
      <c r="F1791" s="100" t="n"/>
      <c r="G1791" s="98" t="n"/>
      <c r="H1791" s="99" t="n"/>
      <c r="I1791" s="99" t="n"/>
      <c r="J1791" s="100" t="n"/>
      <c r="K1791" s="98" t="n"/>
      <c r="L1791" s="99" t="n"/>
      <c r="M1791" s="99" t="n"/>
      <c r="N1791" s="100" t="n"/>
      <c r="O1791" s="98" t="n"/>
      <c r="P1791" s="99" t="n"/>
      <c r="Q1791" s="99" t="n"/>
      <c r="R1791" s="100" t="n"/>
      <c r="S1791" s="98" t="n"/>
      <c r="T1791" s="99" t="n"/>
      <c r="U1791" s="99" t="n"/>
      <c r="V1791" s="100" t="n"/>
      <c r="W1791" s="98" t="n"/>
      <c r="X1791" s="100" t="n"/>
      <c r="Y1791" s="98" t="n"/>
      <c r="Z1791" s="100" t="n"/>
      <c r="AB1791" s="101">
        <f>IF($B1791="","",(COUNTIF(C1758:E1775,$B1791)+COUNTIF(C1758:E1775,$B1791&amp;" ~*")&gt;0)+(COUNTIF(G1758:I1775,$B1791)+COUNTIF(G1758:I1775,$B1791&amp;" ~*")&gt;0)+(COUNTIF(K1758:M1775,$B1791)+COUNTIF(K1758:M1775,$B1791&amp;" ~*")&gt;0)+(COUNTIF(O1758:Q1775,$B1791)+COUNTIF(O1758:Q1775,$B1791&amp;" ~*")&gt;0)+(COUNTIF(S1758:U1775,$B1791)+COUNTIF(S1758:U1775,$B1791&amp;" ~*")&gt;0)+(COUNTIF(W1758:W1775,$B1791)+COUNTIF(W1758:W1775,$B1791&amp;" ~*")&gt;0)+(COUNTIF(Y1758:Y1775,$B1791)+COUNTIF(Y1758:Y1775,$B1791&amp;" ~*")&gt;0))</f>
        <v/>
      </c>
      <c r="AC1791" s="36">
        <f>IF($B1791="","",(IFERROR(INDEX(Setup!$G$33:$G$40,MATCH(C1791,Setup!$B$33:$B$40,0)),0)=1)*(COUNTIF(C1758:E1775,$B1791)+COUNTIF(C1758:E1775,$B1791&amp;" ~*")&gt;0)+(IFERROR(INDEX(Setup!$G$33:$G$40,MATCH(G1791,Setup!$B$33:$B$40,0)),0)=1)*(COUNTIF(G1758:I1775,$B1791)+COUNTIF(G1758:I1775,$B1791&amp;" ~*")&gt;0)+(IFERROR(INDEX(Setup!$G$33:$G$40,MATCH(K1791,Setup!$B$33:$B$40,0)),0)=1)*(COUNTIF(K1758:M1775,$B1791)+COUNTIF(K1758:M1775,$B1791&amp;" ~*")&gt;0)+(IFERROR(INDEX(Setup!$G$33:$G$40,MATCH(O1791,Setup!$B$33:$B$40,0)),0)=1)*(COUNTIF(O1758:Q1775,$B1791)+COUNTIF(O1758:Q1775,$B1791&amp;" ~*")&gt;0)+(IFERROR(INDEX(Setup!$G$33:$G$40,MATCH(S1791,Setup!$B$33:$B$40,0)),0)=1)*(COUNTIF(S1758:U1775,$B1791)+COUNTIF(S1758:U1775,$B1791&amp;" ~*")&gt;0)+(IFERROR(INDEX(Setup!$G$33:$G$40,MATCH(W1791,Setup!$B$33:$B$40,0)),0)=1)*(COUNTIF(W1758:W1775,$B1791)+COUNTIF(W1758:W1775,$B1791&amp;" ~*")&gt;0)+(IFERROR(INDEX(Setup!$G$33:$G$40,MATCH(Y1791,Setup!$B$33:$B$40,0)),0)=1)*(COUNTIF(Y1758:Y1775,$B1791)+COUNTIF(Y1758:Y1775,$B1791&amp;" ~*")&gt;0))</f>
        <v/>
      </c>
    </row>
    <row r="1792" ht="15" customHeight="1">
      <c r="A1792" t="n">
        <v>36</v>
      </c>
      <c r="B1792" s="37">
        <f>IF(Setup!$B$21="","",Setup!$B$21)</f>
        <v/>
      </c>
      <c r="C1792" s="102" t="n"/>
      <c r="D1792" s="103" t="n"/>
      <c r="E1792" s="103" t="n"/>
      <c r="F1792" s="104" t="n"/>
      <c r="G1792" s="102" t="n"/>
      <c r="H1792" s="103" t="n"/>
      <c r="I1792" s="103" t="n"/>
      <c r="J1792" s="104" t="n"/>
      <c r="K1792" s="102" t="n"/>
      <c r="L1792" s="103" t="n"/>
      <c r="M1792" s="103" t="n"/>
      <c r="N1792" s="104" t="n"/>
      <c r="O1792" s="102" t="n"/>
      <c r="P1792" s="103" t="n"/>
      <c r="Q1792" s="103" t="n"/>
      <c r="R1792" s="104" t="n"/>
      <c r="S1792" s="102" t="n"/>
      <c r="T1792" s="103" t="n"/>
      <c r="U1792" s="103" t="n"/>
      <c r="V1792" s="104" t="n"/>
      <c r="W1792" s="102" t="n"/>
      <c r="X1792" s="104" t="n"/>
      <c r="Y1792" s="102" t="n"/>
      <c r="Z1792" s="104" t="n"/>
      <c r="AB1792" s="105">
        <f>IF($B1792="","",(COUNTIF(C1758:E1775,$B1792)+COUNTIF(C1758:E1775,$B1792&amp;" ~*")&gt;0)+(COUNTIF(G1758:I1775,$B1792)+COUNTIF(G1758:I1775,$B1792&amp;" ~*")&gt;0)+(COUNTIF(K1758:M1775,$B1792)+COUNTIF(K1758:M1775,$B1792&amp;" ~*")&gt;0)+(COUNTIF(O1758:Q1775,$B1792)+COUNTIF(O1758:Q1775,$B1792&amp;" ~*")&gt;0)+(COUNTIF(S1758:U1775,$B1792)+COUNTIF(S1758:U1775,$B1792&amp;" ~*")&gt;0)+(COUNTIF(W1758:W1775,$B1792)+COUNTIF(W1758:W1775,$B1792&amp;" ~*")&gt;0)+(COUNTIF(Y1758:Y1775,$B1792)+COUNTIF(Y1758:Y1775,$B1792&amp;" ~*")&gt;0))</f>
        <v/>
      </c>
      <c r="AC1792" s="38">
        <f>IF($B1792="","",(IFERROR(INDEX(Setup!$G$33:$G$40,MATCH(C1792,Setup!$B$33:$B$40,0)),0)=1)*(COUNTIF(C1758:E1775,$B1792)+COUNTIF(C1758:E1775,$B1792&amp;" ~*")&gt;0)+(IFERROR(INDEX(Setup!$G$33:$G$40,MATCH(G1792,Setup!$B$33:$B$40,0)),0)=1)*(COUNTIF(G1758:I1775,$B1792)+COUNTIF(G1758:I1775,$B1792&amp;" ~*")&gt;0)+(IFERROR(INDEX(Setup!$G$33:$G$40,MATCH(K1792,Setup!$B$33:$B$40,0)),0)=1)*(COUNTIF(K1758:M1775,$B1792)+COUNTIF(K1758:M1775,$B1792&amp;" ~*")&gt;0)+(IFERROR(INDEX(Setup!$G$33:$G$40,MATCH(O1792,Setup!$B$33:$B$40,0)),0)=1)*(COUNTIF(O1758:Q1775,$B1792)+COUNTIF(O1758:Q1775,$B1792&amp;" ~*")&gt;0)+(IFERROR(INDEX(Setup!$G$33:$G$40,MATCH(S1792,Setup!$B$33:$B$40,0)),0)=1)*(COUNTIF(S1758:U1775,$B1792)+COUNTIF(S1758:U1775,$B1792&amp;" ~*")&gt;0)+(IFERROR(INDEX(Setup!$G$33:$G$40,MATCH(W1792,Setup!$B$33:$B$40,0)),0)=1)*(COUNTIF(W1758:W1775,$B1792)+COUNTIF(W1758:W1775,$B1792&amp;" ~*")&gt;0)+(IFERROR(INDEX(Setup!$G$33:$G$40,MATCH(Y1792,Setup!$B$33:$B$40,0)),0)=1)*(COUNTIF(Y1758:Y1775,$B1792)+COUNTIF(Y1758:Y1775,$B1792&amp;" ~*")&gt;0))</f>
        <v/>
      </c>
    </row>
    <row r="1793" ht="15" customHeight="1">
      <c r="A1793" t="n">
        <v>36</v>
      </c>
      <c r="B1793" s="35">
        <f>IF(Setup!$B$22="","",Setup!$B$22)</f>
        <v/>
      </c>
      <c r="C1793" s="98" t="n"/>
      <c r="D1793" s="99" t="n"/>
      <c r="E1793" s="99" t="n"/>
      <c r="F1793" s="100" t="n"/>
      <c r="G1793" s="98" t="n"/>
      <c r="H1793" s="99" t="n"/>
      <c r="I1793" s="99" t="n"/>
      <c r="J1793" s="100" t="n"/>
      <c r="K1793" s="98" t="n"/>
      <c r="L1793" s="99" t="n"/>
      <c r="M1793" s="99" t="n"/>
      <c r="N1793" s="100" t="n"/>
      <c r="O1793" s="98" t="n"/>
      <c r="P1793" s="99" t="n"/>
      <c r="Q1793" s="99" t="n"/>
      <c r="R1793" s="100" t="n"/>
      <c r="S1793" s="98" t="n"/>
      <c r="T1793" s="99" t="n"/>
      <c r="U1793" s="99" t="n"/>
      <c r="V1793" s="100" t="n"/>
      <c r="W1793" s="98" t="n"/>
      <c r="X1793" s="100" t="n"/>
      <c r="Y1793" s="98" t="n"/>
      <c r="Z1793" s="100" t="n"/>
      <c r="AB1793" s="101">
        <f>IF($B1793="","",(COUNTIF(C1758:E1775,$B1793)+COUNTIF(C1758:E1775,$B1793&amp;" ~*")&gt;0)+(COUNTIF(G1758:I1775,$B1793)+COUNTIF(G1758:I1775,$B1793&amp;" ~*")&gt;0)+(COUNTIF(K1758:M1775,$B1793)+COUNTIF(K1758:M1775,$B1793&amp;" ~*")&gt;0)+(COUNTIF(O1758:Q1775,$B1793)+COUNTIF(O1758:Q1775,$B1793&amp;" ~*")&gt;0)+(COUNTIF(S1758:U1775,$B1793)+COUNTIF(S1758:U1775,$B1793&amp;" ~*")&gt;0)+(COUNTIF(W1758:W1775,$B1793)+COUNTIF(W1758:W1775,$B1793&amp;" ~*")&gt;0)+(COUNTIF(Y1758:Y1775,$B1793)+COUNTIF(Y1758:Y1775,$B1793&amp;" ~*")&gt;0))</f>
        <v/>
      </c>
      <c r="AC1793" s="36">
        <f>IF($B1793="","",(IFERROR(INDEX(Setup!$G$33:$G$40,MATCH(C1793,Setup!$B$33:$B$40,0)),0)=1)*(COUNTIF(C1758:E1775,$B1793)+COUNTIF(C1758:E1775,$B1793&amp;" ~*")&gt;0)+(IFERROR(INDEX(Setup!$G$33:$G$40,MATCH(G1793,Setup!$B$33:$B$40,0)),0)=1)*(COUNTIF(G1758:I1775,$B1793)+COUNTIF(G1758:I1775,$B1793&amp;" ~*")&gt;0)+(IFERROR(INDEX(Setup!$G$33:$G$40,MATCH(K1793,Setup!$B$33:$B$40,0)),0)=1)*(COUNTIF(K1758:M1775,$B1793)+COUNTIF(K1758:M1775,$B1793&amp;" ~*")&gt;0)+(IFERROR(INDEX(Setup!$G$33:$G$40,MATCH(O1793,Setup!$B$33:$B$40,0)),0)=1)*(COUNTIF(O1758:Q1775,$B1793)+COUNTIF(O1758:Q1775,$B1793&amp;" ~*")&gt;0)+(IFERROR(INDEX(Setup!$G$33:$G$40,MATCH(S1793,Setup!$B$33:$B$40,0)),0)=1)*(COUNTIF(S1758:U1775,$B1793)+COUNTIF(S1758:U1775,$B1793&amp;" ~*")&gt;0)+(IFERROR(INDEX(Setup!$G$33:$G$40,MATCH(W1793,Setup!$B$33:$B$40,0)),0)=1)*(COUNTIF(W1758:W1775,$B1793)+COUNTIF(W1758:W1775,$B1793&amp;" ~*")&gt;0)+(IFERROR(INDEX(Setup!$G$33:$G$40,MATCH(Y1793,Setup!$B$33:$B$40,0)),0)=1)*(COUNTIF(Y1758:Y1775,$B1793)+COUNTIF(Y1758:Y1775,$B1793&amp;" ~*")&gt;0))</f>
        <v/>
      </c>
    </row>
    <row r="1794" ht="15" customHeight="1">
      <c r="A1794" t="n">
        <v>36</v>
      </c>
      <c r="B1794" s="37">
        <f>IF(Setup!$B$23="","",Setup!$B$23)</f>
        <v/>
      </c>
      <c r="C1794" s="102" t="n"/>
      <c r="D1794" s="103" t="n"/>
      <c r="E1794" s="103" t="n"/>
      <c r="F1794" s="104" t="n"/>
      <c r="G1794" s="102" t="n"/>
      <c r="H1794" s="103" t="n"/>
      <c r="I1794" s="103" t="n"/>
      <c r="J1794" s="104" t="n"/>
      <c r="K1794" s="102" t="n"/>
      <c r="L1794" s="103" t="n"/>
      <c r="M1794" s="103" t="n"/>
      <c r="N1794" s="104" t="n"/>
      <c r="O1794" s="102" t="n"/>
      <c r="P1794" s="103" t="n"/>
      <c r="Q1794" s="103" t="n"/>
      <c r="R1794" s="104" t="n"/>
      <c r="S1794" s="102" t="n"/>
      <c r="T1794" s="103" t="n"/>
      <c r="U1794" s="103" t="n"/>
      <c r="V1794" s="104" t="n"/>
      <c r="W1794" s="102" t="n"/>
      <c r="X1794" s="104" t="n"/>
      <c r="Y1794" s="102" t="n"/>
      <c r="Z1794" s="104" t="n"/>
      <c r="AB1794" s="105">
        <f>IF($B1794="","",(COUNTIF(C1758:E1775,$B1794)+COUNTIF(C1758:E1775,$B1794&amp;" ~*")&gt;0)+(COUNTIF(G1758:I1775,$B1794)+COUNTIF(G1758:I1775,$B1794&amp;" ~*")&gt;0)+(COUNTIF(K1758:M1775,$B1794)+COUNTIF(K1758:M1775,$B1794&amp;" ~*")&gt;0)+(COUNTIF(O1758:Q1775,$B1794)+COUNTIF(O1758:Q1775,$B1794&amp;" ~*")&gt;0)+(COUNTIF(S1758:U1775,$B1794)+COUNTIF(S1758:U1775,$B1794&amp;" ~*")&gt;0)+(COUNTIF(W1758:W1775,$B1794)+COUNTIF(W1758:W1775,$B1794&amp;" ~*")&gt;0)+(COUNTIF(Y1758:Y1775,$B1794)+COUNTIF(Y1758:Y1775,$B1794&amp;" ~*")&gt;0))</f>
        <v/>
      </c>
      <c r="AC1794" s="38">
        <f>IF($B1794="","",(IFERROR(INDEX(Setup!$G$33:$G$40,MATCH(C1794,Setup!$B$33:$B$40,0)),0)=1)*(COUNTIF(C1758:E1775,$B1794)+COUNTIF(C1758:E1775,$B1794&amp;" ~*")&gt;0)+(IFERROR(INDEX(Setup!$G$33:$G$40,MATCH(G1794,Setup!$B$33:$B$40,0)),0)=1)*(COUNTIF(G1758:I1775,$B1794)+COUNTIF(G1758:I1775,$B1794&amp;" ~*")&gt;0)+(IFERROR(INDEX(Setup!$G$33:$G$40,MATCH(K1794,Setup!$B$33:$B$40,0)),0)=1)*(COUNTIF(K1758:M1775,$B1794)+COUNTIF(K1758:M1775,$B1794&amp;" ~*")&gt;0)+(IFERROR(INDEX(Setup!$G$33:$G$40,MATCH(O1794,Setup!$B$33:$B$40,0)),0)=1)*(COUNTIF(O1758:Q1775,$B1794)+COUNTIF(O1758:Q1775,$B1794&amp;" ~*")&gt;0)+(IFERROR(INDEX(Setup!$G$33:$G$40,MATCH(S1794,Setup!$B$33:$B$40,0)),0)=1)*(COUNTIF(S1758:U1775,$B1794)+COUNTIF(S1758:U1775,$B1794&amp;" ~*")&gt;0)+(IFERROR(INDEX(Setup!$G$33:$G$40,MATCH(W1794,Setup!$B$33:$B$40,0)),0)=1)*(COUNTIF(W1758:W1775,$B1794)+COUNTIF(W1758:W1775,$B1794&amp;" ~*")&gt;0)+(IFERROR(INDEX(Setup!$G$33:$G$40,MATCH(Y1794,Setup!$B$33:$B$40,0)),0)=1)*(COUNTIF(Y1758:Y1775,$B1794)+COUNTIF(Y1758:Y1775,$B1794&amp;" ~*")&gt;0))</f>
        <v/>
      </c>
    </row>
    <row r="1795" ht="15" customHeight="1">
      <c r="A1795" t="n">
        <v>36</v>
      </c>
      <c r="B1795" s="35">
        <f>IF(Setup!$B$24="","",Setup!$B$24)</f>
        <v/>
      </c>
      <c r="C1795" s="98" t="n"/>
      <c r="D1795" s="99" t="n"/>
      <c r="E1795" s="99" t="n"/>
      <c r="F1795" s="100" t="n"/>
      <c r="G1795" s="98" t="n"/>
      <c r="H1795" s="99" t="n"/>
      <c r="I1795" s="99" t="n"/>
      <c r="J1795" s="100" t="n"/>
      <c r="K1795" s="98" t="n"/>
      <c r="L1795" s="99" t="n"/>
      <c r="M1795" s="99" t="n"/>
      <c r="N1795" s="100" t="n"/>
      <c r="O1795" s="98" t="n"/>
      <c r="P1795" s="99" t="n"/>
      <c r="Q1795" s="99" t="n"/>
      <c r="R1795" s="100" t="n"/>
      <c r="S1795" s="98" t="n"/>
      <c r="T1795" s="99" t="n"/>
      <c r="U1795" s="99" t="n"/>
      <c r="V1795" s="100" t="n"/>
      <c r="W1795" s="98" t="n"/>
      <c r="X1795" s="100" t="n"/>
      <c r="Y1795" s="98" t="n"/>
      <c r="Z1795" s="100" t="n"/>
      <c r="AB1795" s="101">
        <f>IF($B1795="","",(COUNTIF(C1758:E1775,$B1795)+COUNTIF(C1758:E1775,$B1795&amp;" ~*")&gt;0)+(COUNTIF(G1758:I1775,$B1795)+COUNTIF(G1758:I1775,$B1795&amp;" ~*")&gt;0)+(COUNTIF(K1758:M1775,$B1795)+COUNTIF(K1758:M1775,$B1795&amp;" ~*")&gt;0)+(COUNTIF(O1758:Q1775,$B1795)+COUNTIF(O1758:Q1775,$B1795&amp;" ~*")&gt;0)+(COUNTIF(S1758:U1775,$B1795)+COUNTIF(S1758:U1775,$B1795&amp;" ~*")&gt;0)+(COUNTIF(W1758:W1775,$B1795)+COUNTIF(W1758:W1775,$B1795&amp;" ~*")&gt;0)+(COUNTIF(Y1758:Y1775,$B1795)+COUNTIF(Y1758:Y1775,$B1795&amp;" ~*")&gt;0))</f>
        <v/>
      </c>
      <c r="AC1795" s="36">
        <f>IF($B1795="","",(IFERROR(INDEX(Setup!$G$33:$G$40,MATCH(C1795,Setup!$B$33:$B$40,0)),0)=1)*(COUNTIF(C1758:E1775,$B1795)+COUNTIF(C1758:E1775,$B1795&amp;" ~*")&gt;0)+(IFERROR(INDEX(Setup!$G$33:$G$40,MATCH(G1795,Setup!$B$33:$B$40,0)),0)=1)*(COUNTIF(G1758:I1775,$B1795)+COUNTIF(G1758:I1775,$B1795&amp;" ~*")&gt;0)+(IFERROR(INDEX(Setup!$G$33:$G$40,MATCH(K1795,Setup!$B$33:$B$40,0)),0)=1)*(COUNTIF(K1758:M1775,$B1795)+COUNTIF(K1758:M1775,$B1795&amp;" ~*")&gt;0)+(IFERROR(INDEX(Setup!$G$33:$G$40,MATCH(O1795,Setup!$B$33:$B$40,0)),0)=1)*(COUNTIF(O1758:Q1775,$B1795)+COUNTIF(O1758:Q1775,$B1795&amp;" ~*")&gt;0)+(IFERROR(INDEX(Setup!$G$33:$G$40,MATCH(S1795,Setup!$B$33:$B$40,0)),0)=1)*(COUNTIF(S1758:U1775,$B1795)+COUNTIF(S1758:U1775,$B1795&amp;" ~*")&gt;0)+(IFERROR(INDEX(Setup!$G$33:$G$40,MATCH(W1795,Setup!$B$33:$B$40,0)),0)=1)*(COUNTIF(W1758:W1775,$B1795)+COUNTIF(W1758:W1775,$B1795&amp;" ~*")&gt;0)+(IFERROR(INDEX(Setup!$G$33:$G$40,MATCH(Y1795,Setup!$B$33:$B$40,0)),0)=1)*(COUNTIF(Y1758:Y1775,$B1795)+COUNTIF(Y1758:Y1775,$B1795&amp;" ~*")&gt;0))</f>
        <v/>
      </c>
    </row>
    <row r="1796" ht="15" customHeight="1">
      <c r="A1796" t="n">
        <v>36</v>
      </c>
      <c r="B1796" s="37">
        <f>IF(Setup!$B$25="","",Setup!$B$25)</f>
        <v/>
      </c>
      <c r="C1796" s="102" t="n"/>
      <c r="D1796" s="103" t="n"/>
      <c r="E1796" s="103" t="n"/>
      <c r="F1796" s="104" t="n"/>
      <c r="G1796" s="102" t="n"/>
      <c r="H1796" s="103" t="n"/>
      <c r="I1796" s="103" t="n"/>
      <c r="J1796" s="104" t="n"/>
      <c r="K1796" s="102" t="n"/>
      <c r="L1796" s="103" t="n"/>
      <c r="M1796" s="103" t="n"/>
      <c r="N1796" s="104" t="n"/>
      <c r="O1796" s="102" t="n"/>
      <c r="P1796" s="103" t="n"/>
      <c r="Q1796" s="103" t="n"/>
      <c r="R1796" s="104" t="n"/>
      <c r="S1796" s="102" t="n"/>
      <c r="T1796" s="103" t="n"/>
      <c r="U1796" s="103" t="n"/>
      <c r="V1796" s="104" t="n"/>
      <c r="W1796" s="102" t="n"/>
      <c r="X1796" s="104" t="n"/>
      <c r="Y1796" s="102" t="n"/>
      <c r="Z1796" s="104" t="n"/>
      <c r="AB1796" s="105">
        <f>IF($B1796="","",(COUNTIF(C1758:E1775,$B1796)+COUNTIF(C1758:E1775,$B1796&amp;" ~*")&gt;0)+(COUNTIF(G1758:I1775,$B1796)+COUNTIF(G1758:I1775,$B1796&amp;" ~*")&gt;0)+(COUNTIF(K1758:M1775,$B1796)+COUNTIF(K1758:M1775,$B1796&amp;" ~*")&gt;0)+(COUNTIF(O1758:Q1775,$B1796)+COUNTIF(O1758:Q1775,$B1796&amp;" ~*")&gt;0)+(COUNTIF(S1758:U1775,$B1796)+COUNTIF(S1758:U1775,$B1796&amp;" ~*")&gt;0)+(COUNTIF(W1758:W1775,$B1796)+COUNTIF(W1758:W1775,$B1796&amp;" ~*")&gt;0)+(COUNTIF(Y1758:Y1775,$B1796)+COUNTIF(Y1758:Y1775,$B1796&amp;" ~*")&gt;0))</f>
        <v/>
      </c>
      <c r="AC1796" s="38">
        <f>IF($B1796="","",(IFERROR(INDEX(Setup!$G$33:$G$40,MATCH(C1796,Setup!$B$33:$B$40,0)),0)=1)*(COUNTIF(C1758:E1775,$B1796)+COUNTIF(C1758:E1775,$B1796&amp;" ~*")&gt;0)+(IFERROR(INDEX(Setup!$G$33:$G$40,MATCH(G1796,Setup!$B$33:$B$40,0)),0)=1)*(COUNTIF(G1758:I1775,$B1796)+COUNTIF(G1758:I1775,$B1796&amp;" ~*")&gt;0)+(IFERROR(INDEX(Setup!$G$33:$G$40,MATCH(K1796,Setup!$B$33:$B$40,0)),0)=1)*(COUNTIF(K1758:M1775,$B1796)+COUNTIF(K1758:M1775,$B1796&amp;" ~*")&gt;0)+(IFERROR(INDEX(Setup!$G$33:$G$40,MATCH(O1796,Setup!$B$33:$B$40,0)),0)=1)*(COUNTIF(O1758:Q1775,$B1796)+COUNTIF(O1758:Q1775,$B1796&amp;" ~*")&gt;0)+(IFERROR(INDEX(Setup!$G$33:$G$40,MATCH(S1796,Setup!$B$33:$B$40,0)),0)=1)*(COUNTIF(S1758:U1775,$B1796)+COUNTIF(S1758:U1775,$B1796&amp;" ~*")&gt;0)+(IFERROR(INDEX(Setup!$G$33:$G$40,MATCH(W1796,Setup!$B$33:$B$40,0)),0)=1)*(COUNTIF(W1758:W1775,$B1796)+COUNTIF(W1758:W1775,$B1796&amp;" ~*")&gt;0)+(IFERROR(INDEX(Setup!$G$33:$G$40,MATCH(Y1796,Setup!$B$33:$B$40,0)),0)=1)*(COUNTIF(Y1758:Y1775,$B1796)+COUNTIF(Y1758:Y1775,$B1796&amp;" ~*")&gt;0))</f>
        <v/>
      </c>
    </row>
    <row r="1797" ht="15" customHeight="1">
      <c r="A1797" t="n">
        <v>36</v>
      </c>
      <c r="B1797" s="35">
        <f>IF(Setup!$B$26="","",Setup!$B$26)</f>
        <v/>
      </c>
      <c r="C1797" s="98" t="n"/>
      <c r="D1797" s="99" t="n"/>
      <c r="E1797" s="99" t="n"/>
      <c r="F1797" s="100" t="n"/>
      <c r="G1797" s="98" t="n"/>
      <c r="H1797" s="99" t="n"/>
      <c r="I1797" s="99" t="n"/>
      <c r="J1797" s="100" t="n"/>
      <c r="K1797" s="98" t="n"/>
      <c r="L1797" s="99" t="n"/>
      <c r="M1797" s="99" t="n"/>
      <c r="N1797" s="100" t="n"/>
      <c r="O1797" s="98" t="n"/>
      <c r="P1797" s="99" t="n"/>
      <c r="Q1797" s="99" t="n"/>
      <c r="R1797" s="100" t="n"/>
      <c r="S1797" s="98" t="n"/>
      <c r="T1797" s="99" t="n"/>
      <c r="U1797" s="99" t="n"/>
      <c r="V1797" s="100" t="n"/>
      <c r="W1797" s="98" t="n"/>
      <c r="X1797" s="100" t="n"/>
      <c r="Y1797" s="98" t="n"/>
      <c r="Z1797" s="100" t="n"/>
      <c r="AB1797" s="101">
        <f>IF($B1797="","",(COUNTIF(C1758:E1775,$B1797)+COUNTIF(C1758:E1775,$B1797&amp;" ~*")&gt;0)+(COUNTIF(G1758:I1775,$B1797)+COUNTIF(G1758:I1775,$B1797&amp;" ~*")&gt;0)+(COUNTIF(K1758:M1775,$B1797)+COUNTIF(K1758:M1775,$B1797&amp;" ~*")&gt;0)+(COUNTIF(O1758:Q1775,$B1797)+COUNTIF(O1758:Q1775,$B1797&amp;" ~*")&gt;0)+(COUNTIF(S1758:U1775,$B1797)+COUNTIF(S1758:U1775,$B1797&amp;" ~*")&gt;0)+(COUNTIF(W1758:W1775,$B1797)+COUNTIF(W1758:W1775,$B1797&amp;" ~*")&gt;0)+(COUNTIF(Y1758:Y1775,$B1797)+COUNTIF(Y1758:Y1775,$B1797&amp;" ~*")&gt;0))</f>
        <v/>
      </c>
      <c r="AC1797" s="36">
        <f>IF($B1797="","",(IFERROR(INDEX(Setup!$G$33:$G$40,MATCH(C1797,Setup!$B$33:$B$40,0)),0)=1)*(COUNTIF(C1758:E1775,$B1797)+COUNTIF(C1758:E1775,$B1797&amp;" ~*")&gt;0)+(IFERROR(INDEX(Setup!$G$33:$G$40,MATCH(G1797,Setup!$B$33:$B$40,0)),0)=1)*(COUNTIF(G1758:I1775,$B1797)+COUNTIF(G1758:I1775,$B1797&amp;" ~*")&gt;0)+(IFERROR(INDEX(Setup!$G$33:$G$40,MATCH(K1797,Setup!$B$33:$B$40,0)),0)=1)*(COUNTIF(K1758:M1775,$B1797)+COUNTIF(K1758:M1775,$B1797&amp;" ~*")&gt;0)+(IFERROR(INDEX(Setup!$G$33:$G$40,MATCH(O1797,Setup!$B$33:$B$40,0)),0)=1)*(COUNTIF(O1758:Q1775,$B1797)+COUNTIF(O1758:Q1775,$B1797&amp;" ~*")&gt;0)+(IFERROR(INDEX(Setup!$G$33:$G$40,MATCH(S1797,Setup!$B$33:$B$40,0)),0)=1)*(COUNTIF(S1758:U1775,$B1797)+COUNTIF(S1758:U1775,$B1797&amp;" ~*")&gt;0)+(IFERROR(INDEX(Setup!$G$33:$G$40,MATCH(W1797,Setup!$B$33:$B$40,0)),0)=1)*(COUNTIF(W1758:W1775,$B1797)+COUNTIF(W1758:W1775,$B1797&amp;" ~*")&gt;0)+(IFERROR(INDEX(Setup!$G$33:$G$40,MATCH(Y1797,Setup!$B$33:$B$40,0)),0)=1)*(COUNTIF(Y1758:Y1775,$B1797)+COUNTIF(Y1758:Y1775,$B1797&amp;" ~*")&gt;0))</f>
        <v/>
      </c>
    </row>
    <row r="1798" ht="15" customHeight="1">
      <c r="A1798" t="n">
        <v>36</v>
      </c>
      <c r="B1798" s="37">
        <f>IF(Setup!$B$27="","",Setup!$B$27)</f>
        <v/>
      </c>
      <c r="C1798" s="102" t="n"/>
      <c r="D1798" s="103" t="n"/>
      <c r="E1798" s="103" t="n"/>
      <c r="F1798" s="104" t="n"/>
      <c r="G1798" s="102" t="n"/>
      <c r="H1798" s="103" t="n"/>
      <c r="I1798" s="103" t="n"/>
      <c r="J1798" s="104" t="n"/>
      <c r="K1798" s="102" t="n"/>
      <c r="L1798" s="103" t="n"/>
      <c r="M1798" s="103" t="n"/>
      <c r="N1798" s="104" t="n"/>
      <c r="O1798" s="102" t="n"/>
      <c r="P1798" s="103" t="n"/>
      <c r="Q1798" s="103" t="n"/>
      <c r="R1798" s="104" t="n"/>
      <c r="S1798" s="102" t="n"/>
      <c r="T1798" s="103" t="n"/>
      <c r="U1798" s="103" t="n"/>
      <c r="V1798" s="104" t="n"/>
      <c r="W1798" s="102" t="n"/>
      <c r="X1798" s="104" t="n"/>
      <c r="Y1798" s="102" t="n"/>
      <c r="Z1798" s="104" t="n"/>
      <c r="AB1798" s="105">
        <f>IF($B1798="","",(COUNTIF(C1758:E1775,$B1798)+COUNTIF(C1758:E1775,$B1798&amp;" ~*")&gt;0)+(COUNTIF(G1758:I1775,$B1798)+COUNTIF(G1758:I1775,$B1798&amp;" ~*")&gt;0)+(COUNTIF(K1758:M1775,$B1798)+COUNTIF(K1758:M1775,$B1798&amp;" ~*")&gt;0)+(COUNTIF(O1758:Q1775,$B1798)+COUNTIF(O1758:Q1775,$B1798&amp;" ~*")&gt;0)+(COUNTIF(S1758:U1775,$B1798)+COUNTIF(S1758:U1775,$B1798&amp;" ~*")&gt;0)+(COUNTIF(W1758:W1775,$B1798)+COUNTIF(W1758:W1775,$B1798&amp;" ~*")&gt;0)+(COUNTIF(Y1758:Y1775,$B1798)+COUNTIF(Y1758:Y1775,$B1798&amp;" ~*")&gt;0))</f>
        <v/>
      </c>
      <c r="AC1798" s="38">
        <f>IF($B1798="","",(IFERROR(INDEX(Setup!$G$33:$G$40,MATCH(C1798,Setup!$B$33:$B$40,0)),0)=1)*(COUNTIF(C1758:E1775,$B1798)+COUNTIF(C1758:E1775,$B1798&amp;" ~*")&gt;0)+(IFERROR(INDEX(Setup!$G$33:$G$40,MATCH(G1798,Setup!$B$33:$B$40,0)),0)=1)*(COUNTIF(G1758:I1775,$B1798)+COUNTIF(G1758:I1775,$B1798&amp;" ~*")&gt;0)+(IFERROR(INDEX(Setup!$G$33:$G$40,MATCH(K1798,Setup!$B$33:$B$40,0)),0)=1)*(COUNTIF(K1758:M1775,$B1798)+COUNTIF(K1758:M1775,$B1798&amp;" ~*")&gt;0)+(IFERROR(INDEX(Setup!$G$33:$G$40,MATCH(O1798,Setup!$B$33:$B$40,0)),0)=1)*(COUNTIF(O1758:Q1775,$B1798)+COUNTIF(O1758:Q1775,$B1798&amp;" ~*")&gt;0)+(IFERROR(INDEX(Setup!$G$33:$G$40,MATCH(S1798,Setup!$B$33:$B$40,0)),0)=1)*(COUNTIF(S1758:U1775,$B1798)+COUNTIF(S1758:U1775,$B1798&amp;" ~*")&gt;0)+(IFERROR(INDEX(Setup!$G$33:$G$40,MATCH(W1798,Setup!$B$33:$B$40,0)),0)=1)*(COUNTIF(W1758:W1775,$B1798)+COUNTIF(W1758:W1775,$B1798&amp;" ~*")&gt;0)+(IFERROR(INDEX(Setup!$G$33:$G$40,MATCH(Y1798,Setup!$B$33:$B$40,0)),0)=1)*(COUNTIF(Y1758:Y1775,$B1798)+COUNTIF(Y1758:Y1775,$B1798&amp;" ~*")&gt;0))</f>
        <v/>
      </c>
    </row>
    <row r="1799" ht="15" customHeight="1">
      <c r="A1799" t="n">
        <v>36</v>
      </c>
      <c r="B1799" s="35">
        <f>IF(Setup!$B$28="","",Setup!$B$28)</f>
        <v/>
      </c>
      <c r="C1799" s="98" t="n"/>
      <c r="D1799" s="99" t="n"/>
      <c r="E1799" s="99" t="n"/>
      <c r="F1799" s="100" t="n"/>
      <c r="G1799" s="98" t="n"/>
      <c r="H1799" s="99" t="n"/>
      <c r="I1799" s="99" t="n"/>
      <c r="J1799" s="100" t="n"/>
      <c r="K1799" s="98" t="n"/>
      <c r="L1799" s="99" t="n"/>
      <c r="M1799" s="99" t="n"/>
      <c r="N1799" s="100" t="n"/>
      <c r="O1799" s="98" t="n"/>
      <c r="P1799" s="99" t="n"/>
      <c r="Q1799" s="99" t="n"/>
      <c r="R1799" s="100" t="n"/>
      <c r="S1799" s="98" t="n"/>
      <c r="T1799" s="99" t="n"/>
      <c r="U1799" s="99" t="n"/>
      <c r="V1799" s="100" t="n"/>
      <c r="W1799" s="98" t="n"/>
      <c r="X1799" s="100" t="n"/>
      <c r="Y1799" s="98" t="n"/>
      <c r="Z1799" s="100" t="n"/>
      <c r="AB1799" s="101">
        <f>IF($B1799="","",(COUNTIF(C1758:E1775,$B1799)+COUNTIF(C1758:E1775,$B1799&amp;" ~*")&gt;0)+(COUNTIF(G1758:I1775,$B1799)+COUNTIF(G1758:I1775,$B1799&amp;" ~*")&gt;0)+(COUNTIF(K1758:M1775,$B1799)+COUNTIF(K1758:M1775,$B1799&amp;" ~*")&gt;0)+(COUNTIF(O1758:Q1775,$B1799)+COUNTIF(O1758:Q1775,$B1799&amp;" ~*")&gt;0)+(COUNTIF(S1758:U1775,$B1799)+COUNTIF(S1758:U1775,$B1799&amp;" ~*")&gt;0)+(COUNTIF(W1758:W1775,$B1799)+COUNTIF(W1758:W1775,$B1799&amp;" ~*")&gt;0)+(COUNTIF(Y1758:Y1775,$B1799)+COUNTIF(Y1758:Y1775,$B1799&amp;" ~*")&gt;0))</f>
        <v/>
      </c>
      <c r="AC1799" s="36">
        <f>IF($B1799="","",(IFERROR(INDEX(Setup!$G$33:$G$40,MATCH(C1799,Setup!$B$33:$B$40,0)),0)=1)*(COUNTIF(C1758:E1775,$B1799)+COUNTIF(C1758:E1775,$B1799&amp;" ~*")&gt;0)+(IFERROR(INDEX(Setup!$G$33:$G$40,MATCH(G1799,Setup!$B$33:$B$40,0)),0)=1)*(COUNTIF(G1758:I1775,$B1799)+COUNTIF(G1758:I1775,$B1799&amp;" ~*")&gt;0)+(IFERROR(INDEX(Setup!$G$33:$G$40,MATCH(K1799,Setup!$B$33:$B$40,0)),0)=1)*(COUNTIF(K1758:M1775,$B1799)+COUNTIF(K1758:M1775,$B1799&amp;" ~*")&gt;0)+(IFERROR(INDEX(Setup!$G$33:$G$40,MATCH(O1799,Setup!$B$33:$B$40,0)),0)=1)*(COUNTIF(O1758:Q1775,$B1799)+COUNTIF(O1758:Q1775,$B1799&amp;" ~*")&gt;0)+(IFERROR(INDEX(Setup!$G$33:$G$40,MATCH(S1799,Setup!$B$33:$B$40,0)),0)=1)*(COUNTIF(S1758:U1775,$B1799)+COUNTIF(S1758:U1775,$B1799&amp;" ~*")&gt;0)+(IFERROR(INDEX(Setup!$G$33:$G$40,MATCH(W1799,Setup!$B$33:$B$40,0)),0)=1)*(COUNTIF(W1758:W1775,$B1799)+COUNTIF(W1758:W1775,$B1799&amp;" ~*")&gt;0)+(IFERROR(INDEX(Setup!$G$33:$G$40,MATCH(Y1799,Setup!$B$33:$B$40,0)),0)=1)*(COUNTIF(Y1758:Y1775,$B1799)+COUNTIF(Y1758:Y1775,$B1799&amp;" ~*")&gt;0))</f>
        <v/>
      </c>
    </row>
    <row r="1800" ht="15" customHeight="1">
      <c r="A1800" t="n">
        <v>36</v>
      </c>
      <c r="B1800" s="37">
        <f>IF(Setup!$B$29="","",Setup!$B$29)</f>
        <v/>
      </c>
      <c r="C1800" s="102" t="n"/>
      <c r="D1800" s="103" t="n"/>
      <c r="E1800" s="103" t="n"/>
      <c r="F1800" s="104" t="n"/>
      <c r="G1800" s="102" t="n"/>
      <c r="H1800" s="103" t="n"/>
      <c r="I1800" s="103" t="n"/>
      <c r="J1800" s="104" t="n"/>
      <c r="K1800" s="102" t="n"/>
      <c r="L1800" s="103" t="n"/>
      <c r="M1800" s="103" t="n"/>
      <c r="N1800" s="104" t="n"/>
      <c r="O1800" s="102" t="n"/>
      <c r="P1800" s="103" t="n"/>
      <c r="Q1800" s="103" t="n"/>
      <c r="R1800" s="104" t="n"/>
      <c r="S1800" s="102" t="n"/>
      <c r="T1800" s="103" t="n"/>
      <c r="U1800" s="103" t="n"/>
      <c r="V1800" s="104" t="n"/>
      <c r="W1800" s="102" t="n"/>
      <c r="X1800" s="104" t="n"/>
      <c r="Y1800" s="102" t="n"/>
      <c r="Z1800" s="104" t="n"/>
      <c r="AB1800" s="105">
        <f>IF($B1800="","",(COUNTIF(C1758:E1775,$B1800)+COUNTIF(C1758:E1775,$B1800&amp;" ~*")&gt;0)+(COUNTIF(G1758:I1775,$B1800)+COUNTIF(G1758:I1775,$B1800&amp;" ~*")&gt;0)+(COUNTIF(K1758:M1775,$B1800)+COUNTIF(K1758:M1775,$B1800&amp;" ~*")&gt;0)+(COUNTIF(O1758:Q1775,$B1800)+COUNTIF(O1758:Q1775,$B1800&amp;" ~*")&gt;0)+(COUNTIF(S1758:U1775,$B1800)+COUNTIF(S1758:U1775,$B1800&amp;" ~*")&gt;0)+(COUNTIF(W1758:W1775,$B1800)+COUNTIF(W1758:W1775,$B1800&amp;" ~*")&gt;0)+(COUNTIF(Y1758:Y1775,$B1800)+COUNTIF(Y1758:Y1775,$B1800&amp;" ~*")&gt;0))</f>
        <v/>
      </c>
      <c r="AC1800" s="38">
        <f>IF($B1800="","",(IFERROR(INDEX(Setup!$G$33:$G$40,MATCH(C1800,Setup!$B$33:$B$40,0)),0)=1)*(COUNTIF(C1758:E1775,$B1800)+COUNTIF(C1758:E1775,$B1800&amp;" ~*")&gt;0)+(IFERROR(INDEX(Setup!$G$33:$G$40,MATCH(G1800,Setup!$B$33:$B$40,0)),0)=1)*(COUNTIF(G1758:I1775,$B1800)+COUNTIF(G1758:I1775,$B1800&amp;" ~*")&gt;0)+(IFERROR(INDEX(Setup!$G$33:$G$40,MATCH(K1800,Setup!$B$33:$B$40,0)),0)=1)*(COUNTIF(K1758:M1775,$B1800)+COUNTIF(K1758:M1775,$B1800&amp;" ~*")&gt;0)+(IFERROR(INDEX(Setup!$G$33:$G$40,MATCH(O1800,Setup!$B$33:$B$40,0)),0)=1)*(COUNTIF(O1758:Q1775,$B1800)+COUNTIF(O1758:Q1775,$B1800&amp;" ~*")&gt;0)+(IFERROR(INDEX(Setup!$G$33:$G$40,MATCH(S1800,Setup!$B$33:$B$40,0)),0)=1)*(COUNTIF(S1758:U1775,$B1800)+COUNTIF(S1758:U1775,$B1800&amp;" ~*")&gt;0)+(IFERROR(INDEX(Setup!$G$33:$G$40,MATCH(W1800,Setup!$B$33:$B$40,0)),0)=1)*(COUNTIF(W1758:W1775,$B1800)+COUNTIF(W1758:W1775,$B1800&amp;" ~*")&gt;0)+(IFERROR(INDEX(Setup!$G$33:$G$40,MATCH(Y1800,Setup!$B$33:$B$40,0)),0)=1)*(COUNTIF(Y1758:Y1775,$B1800)+COUNTIF(Y1758:Y1775,$B1800&amp;" ~*")&gt;0))</f>
        <v/>
      </c>
    </row>
    <row r="1801" ht="16" customHeight="1">
      <c r="A1801" t="n">
        <v>36</v>
      </c>
      <c r="B1801" s="106" t="inlineStr">
        <is>
          <t>Available people</t>
        </is>
      </c>
      <c r="C1801" s="107">
        <f>COUNTIFS(Setup!$E$6:$E$29,"Y",Setup!$B$6:$B$29,"?*")-SUMPRODUCT(COUNTIF(C1777:C1800,Setup!$F$33:$F$40))</f>
        <v/>
      </c>
      <c r="D1801" s="107" t="n"/>
      <c r="E1801" s="107" t="n"/>
      <c r="F1801" s="107" t="n"/>
      <c r="G1801" s="107">
        <f>COUNTIFS(Setup!$E$6:$E$29,"Y",Setup!$B$6:$B$29,"?*")-SUMPRODUCT(COUNTIF(G1777:G1800,Setup!$F$33:$F$40))</f>
        <v/>
      </c>
      <c r="H1801" s="107" t="n"/>
      <c r="I1801" s="107" t="n"/>
      <c r="J1801" s="107" t="n"/>
      <c r="K1801" s="107">
        <f>COUNTIFS(Setup!$E$6:$E$29,"Y",Setup!$B$6:$B$29,"?*")-SUMPRODUCT(COUNTIF(K1777:K1800,Setup!$F$33:$F$40))</f>
        <v/>
      </c>
      <c r="L1801" s="107" t="n"/>
      <c r="M1801" s="107" t="n"/>
      <c r="N1801" s="107" t="n"/>
      <c r="O1801" s="107">
        <f>COUNTIFS(Setup!$E$6:$E$29,"Y",Setup!$B$6:$B$29,"?*")-SUMPRODUCT(COUNTIF(O1777:O1800,Setup!$F$33:$F$40))</f>
        <v/>
      </c>
      <c r="P1801" s="107" t="n"/>
      <c r="Q1801" s="107" t="n"/>
      <c r="R1801" s="107" t="n"/>
      <c r="S1801" s="107">
        <f>COUNTIFS(Setup!$E$6:$E$29,"Y",Setup!$B$6:$B$29,"?*")-SUMPRODUCT(COUNTIF(S1777:S1800,Setup!$F$33:$F$40))</f>
        <v/>
      </c>
      <c r="T1801" s="107" t="n"/>
      <c r="U1801" s="107" t="n"/>
      <c r="V1801" s="107" t="n"/>
      <c r="W1801" s="107">
        <f>COUNTIFS(Setup!$E$6:$E$29,"Y",Setup!$B$6:$B$29,"?*")-SUMPRODUCT(COUNTIF(W1777:W1800,Setup!$F$33:$F$40))</f>
        <v/>
      </c>
      <c r="X1801" s="107" t="n"/>
      <c r="Y1801" s="107">
        <f>COUNTIFS(Setup!$E$6:$E$29,"Y",Setup!$B$6:$B$29,"?*")-SUMPRODUCT(COUNTIF(Y1777:Y1800,Setup!$F$33:$F$40))</f>
        <v/>
      </c>
      <c r="Z1801" s="107" t="n"/>
      <c r="AB1801" s="108">
        <f>SUM(AB1777:AB1800)</f>
        <v/>
      </c>
      <c r="AC1801" s="109">
        <f>SUM(AC1777:AC1800)</f>
        <v/>
      </c>
    </row>
    <row r="1802" ht="30" customHeight="1">
      <c r="A1802" t="n">
        <v>36</v>
      </c>
      <c r="B1802" s="110" t="inlineStr">
        <is>
          <t>Week notes</t>
        </is>
      </c>
      <c r="C1802" s="111" t="n"/>
      <c r="D1802" s="112" t="n"/>
      <c r="E1802" s="112" t="n"/>
      <c r="F1802" s="112" t="n"/>
      <c r="G1802" s="112" t="n"/>
      <c r="H1802" s="112" t="n"/>
      <c r="I1802" s="112" t="n"/>
      <c r="J1802" s="112" t="n"/>
      <c r="K1802" s="112" t="n"/>
      <c r="L1802" s="112" t="n"/>
      <c r="M1802" s="112" t="n"/>
      <c r="N1802" s="112" t="n"/>
      <c r="O1802" s="112" t="n"/>
      <c r="P1802" s="112" t="n"/>
      <c r="Q1802" s="112" t="n"/>
      <c r="R1802" s="112" t="n"/>
      <c r="S1802" s="112" t="n"/>
      <c r="T1802" s="112" t="n"/>
      <c r="U1802" s="112" t="n"/>
      <c r="V1802" s="112" t="n"/>
      <c r="W1802" s="112" t="n"/>
      <c r="X1802" s="112" t="n"/>
      <c r="Y1802" s="112" t="n"/>
      <c r="Z1802" s="113" t="n"/>
    </row>
    <row r="1803" ht="8" customHeight="1">
      <c r="A1803" t="n">
        <v>36</v>
      </c>
    </row>
    <row r="1804" ht="8" customHeight="1">
      <c r="A1804" t="n">
        <v>36</v>
      </c>
    </row>
    <row r="1805" ht="24" customHeight="1">
      <c r="A1805" t="n">
        <v>37</v>
      </c>
      <c r="B1805" s="73">
        <f>"WEEK 37     "&amp;TEXT(C1806,"ddd d mmm")&amp;"  –  "&amp;TEXT(C1806+6,"ddd d mmm yyyy")</f>
        <v/>
      </c>
      <c r="S1805" s="74">
        <f>IF(TODAY()&lt;C1806,"FUTURE",IF(TODAY()&gt;C1806+6,"PAST","THIS WEEK"))</f>
        <v/>
      </c>
      <c r="W1805" s="75">
        <f>IF(AND(Engine!$B$8=$AC$3,Engine!$B$9=$A1805),"◀ ACTIVE WEEK","")</f>
        <v/>
      </c>
      <c r="AA1805" s="76" t="n"/>
      <c r="AB1805" s="77" t="inlineStr">
        <is>
          <t>◀ Prev</t>
        </is>
      </c>
      <c r="AC1805" s="77" t="inlineStr">
        <is>
          <t>Next ▶</t>
        </is>
      </c>
    </row>
    <row r="1806" ht="18" customHeight="1">
      <c r="A1806" t="n">
        <v>37</v>
      </c>
      <c r="B1806" s="78" t="inlineStr">
        <is>
          <t>DUTY</t>
        </is>
      </c>
      <c r="C1806" s="79">
        <f>$AC$2+7*($A1806-1)</f>
        <v/>
      </c>
      <c r="D1806" s="80" t="n"/>
      <c r="E1806" s="80" t="n"/>
      <c r="F1806" s="81" t="n"/>
      <c r="G1806" s="79">
        <f>C1806+1</f>
        <v/>
      </c>
      <c r="H1806" s="80" t="n"/>
      <c r="I1806" s="80" t="n"/>
      <c r="J1806" s="81" t="n"/>
      <c r="K1806" s="79">
        <f>C1806+2</f>
        <v/>
      </c>
      <c r="L1806" s="80" t="n"/>
      <c r="M1806" s="80" t="n"/>
      <c r="N1806" s="81" t="n"/>
      <c r="O1806" s="79">
        <f>C1806+3</f>
        <v/>
      </c>
      <c r="P1806" s="80" t="n"/>
      <c r="Q1806" s="80" t="n"/>
      <c r="R1806" s="81" t="n"/>
      <c r="S1806" s="79">
        <f>C1806+4</f>
        <v/>
      </c>
      <c r="T1806" s="80" t="n"/>
      <c r="U1806" s="80" t="n"/>
      <c r="V1806" s="81" t="n"/>
      <c r="W1806" s="82">
        <f>C1806+5</f>
        <v/>
      </c>
      <c r="X1806" s="83" t="n"/>
      <c r="Y1806" s="82">
        <f>C1806+6</f>
        <v/>
      </c>
      <c r="Z1806" s="83" t="n"/>
      <c r="AB1806" s="72" t="inlineStr">
        <is>
          <t>Gaps</t>
        </is>
      </c>
      <c r="AC1806" s="72" t="inlineStr">
        <is>
          <t>Cover</t>
        </is>
      </c>
    </row>
    <row r="1807" ht="14" customHeight="1">
      <c r="A1807" t="n">
        <v>37</v>
      </c>
      <c r="B1807" s="84" t="inlineStr">
        <is>
          <t>(from Setup)</t>
        </is>
      </c>
      <c r="C1807" s="85" t="inlineStr">
        <is>
          <t>1</t>
        </is>
      </c>
      <c r="D1807" s="85" t="inlineStr">
        <is>
          <t>2</t>
        </is>
      </c>
      <c r="E1807" s="85" t="inlineStr">
        <is>
          <t>3</t>
        </is>
      </c>
      <c r="F1807" s="85" t="inlineStr">
        <is>
          <t>Notes</t>
        </is>
      </c>
      <c r="G1807" s="85" t="inlineStr">
        <is>
          <t>1</t>
        </is>
      </c>
      <c r="H1807" s="85" t="inlineStr">
        <is>
          <t>2</t>
        </is>
      </c>
      <c r="I1807" s="85" t="inlineStr">
        <is>
          <t>3</t>
        </is>
      </c>
      <c r="J1807" s="85" t="inlineStr">
        <is>
          <t>Notes</t>
        </is>
      </c>
      <c r="K1807" s="85" t="inlineStr">
        <is>
          <t>1</t>
        </is>
      </c>
      <c r="L1807" s="85" t="inlineStr">
        <is>
          <t>2</t>
        </is>
      </c>
      <c r="M1807" s="85" t="inlineStr">
        <is>
          <t>3</t>
        </is>
      </c>
      <c r="N1807" s="85" t="inlineStr">
        <is>
          <t>Notes</t>
        </is>
      </c>
      <c r="O1807" s="85" t="inlineStr">
        <is>
          <t>1</t>
        </is>
      </c>
      <c r="P1807" s="85" t="inlineStr">
        <is>
          <t>2</t>
        </is>
      </c>
      <c r="Q1807" s="85" t="inlineStr">
        <is>
          <t>3</t>
        </is>
      </c>
      <c r="R1807" s="85" t="inlineStr">
        <is>
          <t>Notes</t>
        </is>
      </c>
      <c r="S1807" s="85" t="inlineStr">
        <is>
          <t>1</t>
        </is>
      </c>
      <c r="T1807" s="85" t="inlineStr">
        <is>
          <t>2</t>
        </is>
      </c>
      <c r="U1807" s="85" t="inlineStr">
        <is>
          <t>3</t>
        </is>
      </c>
      <c r="V1807" s="85" t="inlineStr">
        <is>
          <t>Notes</t>
        </is>
      </c>
      <c r="W1807" s="85" t="inlineStr">
        <is>
          <t>Cover</t>
        </is>
      </c>
      <c r="X1807" s="85" t="inlineStr">
        <is>
          <t>Notes</t>
        </is>
      </c>
      <c r="Y1807" s="85" t="inlineStr">
        <is>
          <t>Cover</t>
        </is>
      </c>
      <c r="Z1807" s="85" t="inlineStr">
        <is>
          <t>Notes</t>
        </is>
      </c>
      <c r="AB1807" s="86" t="inlineStr">
        <is>
          <t>weekdays short</t>
        </is>
      </c>
      <c r="AC1807" s="87" t="inlineStr"/>
    </row>
    <row r="1808" ht="17" customHeight="1">
      <c r="A1808" t="n">
        <v>37</v>
      </c>
      <c r="B1808" s="24">
        <f>IF(Setup!$K$6="","",Setup!$K$6)</f>
        <v/>
      </c>
      <c r="C1808" s="88" t="n"/>
      <c r="D1808" s="88" t="n"/>
      <c r="E1808" s="88" t="n"/>
      <c r="F1808" s="89" t="n"/>
      <c r="G1808" s="88" t="n"/>
      <c r="H1808" s="88" t="n"/>
      <c r="I1808" s="88" t="n"/>
      <c r="J1808" s="89" t="n"/>
      <c r="K1808" s="88" t="n"/>
      <c r="L1808" s="88" t="n"/>
      <c r="M1808" s="88" t="n"/>
      <c r="N1808" s="89" t="n"/>
      <c r="O1808" s="88" t="n"/>
      <c r="P1808" s="88" t="n"/>
      <c r="Q1808" s="88" t="n"/>
      <c r="R1808" s="89" t="n"/>
      <c r="S1808" s="88" t="n"/>
      <c r="T1808" s="88" t="n"/>
      <c r="U1808" s="88" t="n"/>
      <c r="V1808" s="89" t="n"/>
      <c r="W1808" s="88" t="n"/>
      <c r="X1808" s="89" t="n"/>
      <c r="Y1808" s="88" t="n"/>
      <c r="Z1808" s="89" t="n"/>
      <c r="AB1808" s="25">
        <f>IF($B1808="","",(COUNTIF(C1808:E1808,"?*")&lt;N(INDEX(Setup!$L$6:$L$23,1)))+(COUNTIF(G1808:I1808,"?*")&lt;N(INDEX(Setup!$L$6:$L$23,1)))+(COUNTIF(K1808:M1808,"?*")&lt;N(INDEX(Setup!$L$6:$L$23,1)))+(COUNTIF(O1808:Q1808,"?*")&lt;N(INDEX(Setup!$L$6:$L$23,1)))+(COUNTIF(S1808:U1808,"?*")&lt;N(INDEX(Setup!$L$6:$L$23,1)))+((W1808="")*(INDEX(Setup!$M$6:$M$23,1)="Y"))+((Y1808="")*(INDEX(Setup!$M$6:$M$23,1)="Y")))</f>
        <v/>
      </c>
      <c r="AC1808" s="90">
        <f>IF($B1808="","",IF(AB1808=0,"✓ covered","⚠ "&amp;AB1808&amp;IF(AB1808=1," gap"," gaps")))</f>
        <v/>
      </c>
    </row>
    <row r="1809" ht="17" customHeight="1">
      <c r="A1809" t="n">
        <v>37</v>
      </c>
      <c r="B1809" s="29">
        <f>IF(Setup!$K$7="","",Setup!$K$7)</f>
        <v/>
      </c>
      <c r="C1809" s="88" t="n"/>
      <c r="D1809" s="88" t="n"/>
      <c r="E1809" s="88" t="n"/>
      <c r="F1809" s="89" t="n"/>
      <c r="G1809" s="88" t="n"/>
      <c r="H1809" s="88" t="n"/>
      <c r="I1809" s="88" t="n"/>
      <c r="J1809" s="89" t="n"/>
      <c r="K1809" s="88" t="n"/>
      <c r="L1809" s="88" t="n"/>
      <c r="M1809" s="88" t="n"/>
      <c r="N1809" s="89" t="n"/>
      <c r="O1809" s="88" t="n"/>
      <c r="P1809" s="88" t="n"/>
      <c r="Q1809" s="88" t="n"/>
      <c r="R1809" s="89" t="n"/>
      <c r="S1809" s="88" t="n"/>
      <c r="T1809" s="88" t="n"/>
      <c r="U1809" s="88" t="n"/>
      <c r="V1809" s="89" t="n"/>
      <c r="W1809" s="88" t="n"/>
      <c r="X1809" s="89" t="n"/>
      <c r="Y1809" s="88" t="n"/>
      <c r="Z1809" s="89" t="n"/>
      <c r="AB1809" s="30">
        <f>IF($B1809="","",(COUNTIF(C1809:E1809,"?*")&lt;N(INDEX(Setup!$L$6:$L$23,2)))+(COUNTIF(G1809:I1809,"?*")&lt;N(INDEX(Setup!$L$6:$L$23,2)))+(COUNTIF(K1809:M1809,"?*")&lt;N(INDEX(Setup!$L$6:$L$23,2)))+(COUNTIF(O1809:Q1809,"?*")&lt;N(INDEX(Setup!$L$6:$L$23,2)))+(COUNTIF(S1809:U1809,"?*")&lt;N(INDEX(Setup!$L$6:$L$23,2)))+((W1809="")*(INDEX(Setup!$M$6:$M$23,2)="Y"))+((Y1809="")*(INDEX(Setup!$M$6:$M$23,2)="Y")))</f>
        <v/>
      </c>
      <c r="AC1809" s="91">
        <f>IF($B1809="","",IF(AB1809=0,"✓ covered","⚠ "&amp;AB1809&amp;IF(AB1809=1," gap"," gaps")))</f>
        <v/>
      </c>
    </row>
    <row r="1810" ht="17" customHeight="1">
      <c r="A1810" t="n">
        <v>37</v>
      </c>
      <c r="B1810" s="24">
        <f>IF(Setup!$K$8="","",Setup!$K$8)</f>
        <v/>
      </c>
      <c r="C1810" s="88" t="n"/>
      <c r="D1810" s="88" t="n"/>
      <c r="E1810" s="88" t="n"/>
      <c r="F1810" s="89" t="n"/>
      <c r="G1810" s="88" t="n"/>
      <c r="H1810" s="88" t="n"/>
      <c r="I1810" s="88" t="n"/>
      <c r="J1810" s="89" t="n"/>
      <c r="K1810" s="88" t="n"/>
      <c r="L1810" s="88" t="n"/>
      <c r="M1810" s="88" t="n"/>
      <c r="N1810" s="89" t="n"/>
      <c r="O1810" s="88" t="n"/>
      <c r="P1810" s="88" t="n"/>
      <c r="Q1810" s="88" t="n"/>
      <c r="R1810" s="89" t="n"/>
      <c r="S1810" s="88" t="n"/>
      <c r="T1810" s="88" t="n"/>
      <c r="U1810" s="88" t="n"/>
      <c r="V1810" s="89" t="n"/>
      <c r="W1810" s="88" t="n"/>
      <c r="X1810" s="89" t="n"/>
      <c r="Y1810" s="88" t="n"/>
      <c r="Z1810" s="89" t="n"/>
      <c r="AB1810" s="25">
        <f>IF($B1810="","",(COUNTIF(C1810:E1810,"?*")&lt;N(INDEX(Setup!$L$6:$L$23,3)))+(COUNTIF(G1810:I1810,"?*")&lt;N(INDEX(Setup!$L$6:$L$23,3)))+(COUNTIF(K1810:M1810,"?*")&lt;N(INDEX(Setup!$L$6:$L$23,3)))+(COUNTIF(O1810:Q1810,"?*")&lt;N(INDEX(Setup!$L$6:$L$23,3)))+(COUNTIF(S1810:U1810,"?*")&lt;N(INDEX(Setup!$L$6:$L$23,3)))+((W1810="")*(INDEX(Setup!$M$6:$M$23,3)="Y"))+((Y1810="")*(INDEX(Setup!$M$6:$M$23,3)="Y")))</f>
        <v/>
      </c>
      <c r="AC1810" s="90">
        <f>IF($B1810="","",IF(AB1810=0,"✓ covered","⚠ "&amp;AB1810&amp;IF(AB1810=1," gap"," gaps")))</f>
        <v/>
      </c>
    </row>
    <row r="1811" ht="17" customHeight="1">
      <c r="A1811" t="n">
        <v>37</v>
      </c>
      <c r="B1811" s="29">
        <f>IF(Setup!$K$9="","",Setup!$K$9)</f>
        <v/>
      </c>
      <c r="C1811" s="88" t="n"/>
      <c r="D1811" s="88" t="n"/>
      <c r="E1811" s="88" t="n"/>
      <c r="F1811" s="89" t="n"/>
      <c r="G1811" s="88" t="n"/>
      <c r="H1811" s="88" t="n"/>
      <c r="I1811" s="88" t="n"/>
      <c r="J1811" s="89" t="n"/>
      <c r="K1811" s="88" t="n"/>
      <c r="L1811" s="88" t="n"/>
      <c r="M1811" s="88" t="n"/>
      <c r="N1811" s="89" t="n"/>
      <c r="O1811" s="88" t="n"/>
      <c r="P1811" s="88" t="n"/>
      <c r="Q1811" s="88" t="n"/>
      <c r="R1811" s="89" t="n"/>
      <c r="S1811" s="88" t="n"/>
      <c r="T1811" s="88" t="n"/>
      <c r="U1811" s="88" t="n"/>
      <c r="V1811" s="89" t="n"/>
      <c r="W1811" s="88" t="n"/>
      <c r="X1811" s="89" t="n"/>
      <c r="Y1811" s="88" t="n"/>
      <c r="Z1811" s="89" t="n"/>
      <c r="AB1811" s="30">
        <f>IF($B1811="","",(COUNTIF(C1811:E1811,"?*")&lt;N(INDEX(Setup!$L$6:$L$23,4)))+(COUNTIF(G1811:I1811,"?*")&lt;N(INDEX(Setup!$L$6:$L$23,4)))+(COUNTIF(K1811:M1811,"?*")&lt;N(INDEX(Setup!$L$6:$L$23,4)))+(COUNTIF(O1811:Q1811,"?*")&lt;N(INDEX(Setup!$L$6:$L$23,4)))+(COUNTIF(S1811:U1811,"?*")&lt;N(INDEX(Setup!$L$6:$L$23,4)))+((W1811="")*(INDEX(Setup!$M$6:$M$23,4)="Y"))+((Y1811="")*(INDEX(Setup!$M$6:$M$23,4)="Y")))</f>
        <v/>
      </c>
      <c r="AC1811" s="91">
        <f>IF($B1811="","",IF(AB1811=0,"✓ covered","⚠ "&amp;AB1811&amp;IF(AB1811=1," gap"," gaps")))</f>
        <v/>
      </c>
    </row>
    <row r="1812" ht="17" customHeight="1">
      <c r="A1812" t="n">
        <v>37</v>
      </c>
      <c r="B1812" s="24">
        <f>IF(Setup!$K$10="","",Setup!$K$10)</f>
        <v/>
      </c>
      <c r="C1812" s="88" t="n"/>
      <c r="D1812" s="88" t="n"/>
      <c r="E1812" s="88" t="n"/>
      <c r="F1812" s="89" t="n"/>
      <c r="G1812" s="88" t="n"/>
      <c r="H1812" s="88" t="n"/>
      <c r="I1812" s="88" t="n"/>
      <c r="J1812" s="89" t="n"/>
      <c r="K1812" s="88" t="n"/>
      <c r="L1812" s="88" t="n"/>
      <c r="M1812" s="88" t="n"/>
      <c r="N1812" s="89" t="n"/>
      <c r="O1812" s="88" t="n"/>
      <c r="P1812" s="88" t="n"/>
      <c r="Q1812" s="88" t="n"/>
      <c r="R1812" s="89" t="n"/>
      <c r="S1812" s="88" t="n"/>
      <c r="T1812" s="88" t="n"/>
      <c r="U1812" s="88" t="n"/>
      <c r="V1812" s="89" t="n"/>
      <c r="W1812" s="88" t="n"/>
      <c r="X1812" s="89" t="n"/>
      <c r="Y1812" s="88" t="n"/>
      <c r="Z1812" s="89" t="n"/>
      <c r="AB1812" s="25">
        <f>IF($B1812="","",(COUNTIF(C1812:E1812,"?*")&lt;N(INDEX(Setup!$L$6:$L$23,5)))+(COUNTIF(G1812:I1812,"?*")&lt;N(INDEX(Setup!$L$6:$L$23,5)))+(COUNTIF(K1812:M1812,"?*")&lt;N(INDEX(Setup!$L$6:$L$23,5)))+(COUNTIF(O1812:Q1812,"?*")&lt;N(INDEX(Setup!$L$6:$L$23,5)))+(COUNTIF(S1812:U1812,"?*")&lt;N(INDEX(Setup!$L$6:$L$23,5)))+((W1812="")*(INDEX(Setup!$M$6:$M$23,5)="Y"))+((Y1812="")*(INDEX(Setup!$M$6:$M$23,5)="Y")))</f>
        <v/>
      </c>
      <c r="AC1812" s="90">
        <f>IF($B1812="","",IF(AB1812=0,"✓ covered","⚠ "&amp;AB1812&amp;IF(AB1812=1," gap"," gaps")))</f>
        <v/>
      </c>
    </row>
    <row r="1813" ht="17" customHeight="1">
      <c r="A1813" t="n">
        <v>37</v>
      </c>
      <c r="B1813" s="29">
        <f>IF(Setup!$K$11="","",Setup!$K$11)</f>
        <v/>
      </c>
      <c r="C1813" s="88" t="n"/>
      <c r="D1813" s="88" t="n"/>
      <c r="E1813" s="88" t="n"/>
      <c r="F1813" s="89" t="n"/>
      <c r="G1813" s="88" t="n"/>
      <c r="H1813" s="88" t="n"/>
      <c r="I1813" s="88" t="n"/>
      <c r="J1813" s="89" t="n"/>
      <c r="K1813" s="88" t="n"/>
      <c r="L1813" s="88" t="n"/>
      <c r="M1813" s="88" t="n"/>
      <c r="N1813" s="89" t="n"/>
      <c r="O1813" s="88" t="n"/>
      <c r="P1813" s="88" t="n"/>
      <c r="Q1813" s="88" t="n"/>
      <c r="R1813" s="89" t="n"/>
      <c r="S1813" s="88" t="n"/>
      <c r="T1813" s="88" t="n"/>
      <c r="U1813" s="88" t="n"/>
      <c r="V1813" s="89" t="n"/>
      <c r="W1813" s="88" t="n"/>
      <c r="X1813" s="89" t="n"/>
      <c r="Y1813" s="88" t="n"/>
      <c r="Z1813" s="89" t="n"/>
      <c r="AB1813" s="30">
        <f>IF($B1813="","",(COUNTIF(C1813:E1813,"?*")&lt;N(INDEX(Setup!$L$6:$L$23,6)))+(COUNTIF(G1813:I1813,"?*")&lt;N(INDEX(Setup!$L$6:$L$23,6)))+(COUNTIF(K1813:M1813,"?*")&lt;N(INDEX(Setup!$L$6:$L$23,6)))+(COUNTIF(O1813:Q1813,"?*")&lt;N(INDEX(Setup!$L$6:$L$23,6)))+(COUNTIF(S1813:U1813,"?*")&lt;N(INDEX(Setup!$L$6:$L$23,6)))+((W1813="")*(INDEX(Setup!$M$6:$M$23,6)="Y"))+((Y1813="")*(INDEX(Setup!$M$6:$M$23,6)="Y")))</f>
        <v/>
      </c>
      <c r="AC1813" s="91">
        <f>IF($B1813="","",IF(AB1813=0,"✓ covered","⚠ "&amp;AB1813&amp;IF(AB1813=1," gap"," gaps")))</f>
        <v/>
      </c>
    </row>
    <row r="1814" ht="17" customHeight="1">
      <c r="A1814" t="n">
        <v>37</v>
      </c>
      <c r="B1814" s="24">
        <f>IF(Setup!$K$12="","",Setup!$K$12)</f>
        <v/>
      </c>
      <c r="C1814" s="88" t="n"/>
      <c r="D1814" s="88" t="n"/>
      <c r="E1814" s="88" t="n"/>
      <c r="F1814" s="89" t="n"/>
      <c r="G1814" s="88" t="n"/>
      <c r="H1814" s="88" t="n"/>
      <c r="I1814" s="88" t="n"/>
      <c r="J1814" s="89" t="n"/>
      <c r="K1814" s="88" t="n"/>
      <c r="L1814" s="88" t="n"/>
      <c r="M1814" s="88" t="n"/>
      <c r="N1814" s="89" t="n"/>
      <c r="O1814" s="88" t="n"/>
      <c r="P1814" s="88" t="n"/>
      <c r="Q1814" s="88" t="n"/>
      <c r="R1814" s="89" t="n"/>
      <c r="S1814" s="88" t="n"/>
      <c r="T1814" s="88" t="n"/>
      <c r="U1814" s="88" t="n"/>
      <c r="V1814" s="89" t="n"/>
      <c r="W1814" s="88" t="n"/>
      <c r="X1814" s="89" t="n"/>
      <c r="Y1814" s="88" t="n"/>
      <c r="Z1814" s="89" t="n"/>
      <c r="AB1814" s="25">
        <f>IF($B1814="","",(COUNTIF(C1814:E1814,"?*")&lt;N(INDEX(Setup!$L$6:$L$23,7)))+(COUNTIF(G1814:I1814,"?*")&lt;N(INDEX(Setup!$L$6:$L$23,7)))+(COUNTIF(K1814:M1814,"?*")&lt;N(INDEX(Setup!$L$6:$L$23,7)))+(COUNTIF(O1814:Q1814,"?*")&lt;N(INDEX(Setup!$L$6:$L$23,7)))+(COUNTIF(S1814:U1814,"?*")&lt;N(INDEX(Setup!$L$6:$L$23,7)))+((W1814="")*(INDEX(Setup!$M$6:$M$23,7)="Y"))+((Y1814="")*(INDEX(Setup!$M$6:$M$23,7)="Y")))</f>
        <v/>
      </c>
      <c r="AC1814" s="90">
        <f>IF($B1814="","",IF(AB1814=0,"✓ covered","⚠ "&amp;AB1814&amp;IF(AB1814=1," gap"," gaps")))</f>
        <v/>
      </c>
    </row>
    <row r="1815" ht="17" customHeight="1">
      <c r="A1815" t="n">
        <v>37</v>
      </c>
      <c r="B1815" s="29">
        <f>IF(Setup!$K$13="","",Setup!$K$13)</f>
        <v/>
      </c>
      <c r="C1815" s="88" t="n"/>
      <c r="D1815" s="88" t="n"/>
      <c r="E1815" s="88" t="n"/>
      <c r="F1815" s="89" t="n"/>
      <c r="G1815" s="88" t="n"/>
      <c r="H1815" s="88" t="n"/>
      <c r="I1815" s="88" t="n"/>
      <c r="J1815" s="89" t="n"/>
      <c r="K1815" s="88" t="n"/>
      <c r="L1815" s="88" t="n"/>
      <c r="M1815" s="88" t="n"/>
      <c r="N1815" s="89" t="n"/>
      <c r="O1815" s="88" t="n"/>
      <c r="P1815" s="88" t="n"/>
      <c r="Q1815" s="88" t="n"/>
      <c r="R1815" s="89" t="n"/>
      <c r="S1815" s="88" t="n"/>
      <c r="T1815" s="88" t="n"/>
      <c r="U1815" s="88" t="n"/>
      <c r="V1815" s="89" t="n"/>
      <c r="W1815" s="88" t="n"/>
      <c r="X1815" s="89" t="n"/>
      <c r="Y1815" s="88" t="n"/>
      <c r="Z1815" s="89" t="n"/>
      <c r="AB1815" s="30">
        <f>IF($B1815="","",(COUNTIF(C1815:E1815,"?*")&lt;N(INDEX(Setup!$L$6:$L$23,8)))+(COUNTIF(G1815:I1815,"?*")&lt;N(INDEX(Setup!$L$6:$L$23,8)))+(COUNTIF(K1815:M1815,"?*")&lt;N(INDEX(Setup!$L$6:$L$23,8)))+(COUNTIF(O1815:Q1815,"?*")&lt;N(INDEX(Setup!$L$6:$L$23,8)))+(COUNTIF(S1815:U1815,"?*")&lt;N(INDEX(Setup!$L$6:$L$23,8)))+((W1815="")*(INDEX(Setup!$M$6:$M$23,8)="Y"))+((Y1815="")*(INDEX(Setup!$M$6:$M$23,8)="Y")))</f>
        <v/>
      </c>
      <c r="AC1815" s="91">
        <f>IF($B1815="","",IF(AB1815=0,"✓ covered","⚠ "&amp;AB1815&amp;IF(AB1815=1," gap"," gaps")))</f>
        <v/>
      </c>
    </row>
    <row r="1816" ht="17" customHeight="1">
      <c r="A1816" t="n">
        <v>37</v>
      </c>
      <c r="B1816" s="24">
        <f>IF(Setup!$K$14="","",Setup!$K$14)</f>
        <v/>
      </c>
      <c r="C1816" s="88" t="n"/>
      <c r="D1816" s="88" t="n"/>
      <c r="E1816" s="88" t="n"/>
      <c r="F1816" s="89" t="n"/>
      <c r="G1816" s="88" t="n"/>
      <c r="H1816" s="88" t="n"/>
      <c r="I1816" s="88" t="n"/>
      <c r="J1816" s="89" t="n"/>
      <c r="K1816" s="88" t="n"/>
      <c r="L1816" s="88" t="n"/>
      <c r="M1816" s="88" t="n"/>
      <c r="N1816" s="89" t="n"/>
      <c r="O1816" s="88" t="n"/>
      <c r="P1816" s="88" t="n"/>
      <c r="Q1816" s="88" t="n"/>
      <c r="R1816" s="89" t="n"/>
      <c r="S1816" s="88" t="n"/>
      <c r="T1816" s="88" t="n"/>
      <c r="U1816" s="88" t="n"/>
      <c r="V1816" s="89" t="n"/>
      <c r="W1816" s="88" t="n"/>
      <c r="X1816" s="89" t="n"/>
      <c r="Y1816" s="88" t="n"/>
      <c r="Z1816" s="89" t="n"/>
      <c r="AB1816" s="25">
        <f>IF($B1816="","",(COUNTIF(C1816:E1816,"?*")&lt;N(INDEX(Setup!$L$6:$L$23,9)))+(COUNTIF(G1816:I1816,"?*")&lt;N(INDEX(Setup!$L$6:$L$23,9)))+(COUNTIF(K1816:M1816,"?*")&lt;N(INDEX(Setup!$L$6:$L$23,9)))+(COUNTIF(O1816:Q1816,"?*")&lt;N(INDEX(Setup!$L$6:$L$23,9)))+(COUNTIF(S1816:U1816,"?*")&lt;N(INDEX(Setup!$L$6:$L$23,9)))+((W1816="")*(INDEX(Setup!$M$6:$M$23,9)="Y"))+((Y1816="")*(INDEX(Setup!$M$6:$M$23,9)="Y")))</f>
        <v/>
      </c>
      <c r="AC1816" s="90">
        <f>IF($B1816="","",IF(AB1816=0,"✓ covered","⚠ "&amp;AB1816&amp;IF(AB1816=1," gap"," gaps")))</f>
        <v/>
      </c>
    </row>
    <row r="1817" ht="17" customHeight="1">
      <c r="A1817" t="n">
        <v>37</v>
      </c>
      <c r="B1817" s="29">
        <f>IF(Setup!$K$15="","",Setup!$K$15)</f>
        <v/>
      </c>
      <c r="C1817" s="88" t="n"/>
      <c r="D1817" s="88" t="n"/>
      <c r="E1817" s="88" t="n"/>
      <c r="F1817" s="89" t="n"/>
      <c r="G1817" s="88" t="n"/>
      <c r="H1817" s="88" t="n"/>
      <c r="I1817" s="88" t="n"/>
      <c r="J1817" s="89" t="n"/>
      <c r="K1817" s="88" t="n"/>
      <c r="L1817" s="88" t="n"/>
      <c r="M1817" s="88" t="n"/>
      <c r="N1817" s="89" t="n"/>
      <c r="O1817" s="88" t="n"/>
      <c r="P1817" s="88" t="n"/>
      <c r="Q1817" s="88" t="n"/>
      <c r="R1817" s="89" t="n"/>
      <c r="S1817" s="88" t="n"/>
      <c r="T1817" s="88" t="n"/>
      <c r="U1817" s="88" t="n"/>
      <c r="V1817" s="89" t="n"/>
      <c r="W1817" s="88" t="n"/>
      <c r="X1817" s="89" t="n"/>
      <c r="Y1817" s="88" t="n"/>
      <c r="Z1817" s="89" t="n"/>
      <c r="AB1817" s="30">
        <f>IF($B1817="","",(COUNTIF(C1817:E1817,"?*")&lt;N(INDEX(Setup!$L$6:$L$23,10)))+(COUNTIF(G1817:I1817,"?*")&lt;N(INDEX(Setup!$L$6:$L$23,10)))+(COUNTIF(K1817:M1817,"?*")&lt;N(INDEX(Setup!$L$6:$L$23,10)))+(COUNTIF(O1817:Q1817,"?*")&lt;N(INDEX(Setup!$L$6:$L$23,10)))+(COUNTIF(S1817:U1817,"?*")&lt;N(INDEX(Setup!$L$6:$L$23,10)))+((W1817="")*(INDEX(Setup!$M$6:$M$23,10)="Y"))+((Y1817="")*(INDEX(Setup!$M$6:$M$23,10)="Y")))</f>
        <v/>
      </c>
      <c r="AC1817" s="91">
        <f>IF($B1817="","",IF(AB1817=0,"✓ covered","⚠ "&amp;AB1817&amp;IF(AB1817=1," gap"," gaps")))</f>
        <v/>
      </c>
    </row>
    <row r="1818" ht="17" customHeight="1">
      <c r="A1818" t="n">
        <v>37</v>
      </c>
      <c r="B1818" s="24">
        <f>IF(Setup!$K$16="","",Setup!$K$16)</f>
        <v/>
      </c>
      <c r="C1818" s="88" t="n"/>
      <c r="D1818" s="88" t="n"/>
      <c r="E1818" s="88" t="n"/>
      <c r="F1818" s="89" t="n"/>
      <c r="G1818" s="88" t="n"/>
      <c r="H1818" s="88" t="n"/>
      <c r="I1818" s="88" t="n"/>
      <c r="J1818" s="89" t="n"/>
      <c r="K1818" s="88" t="n"/>
      <c r="L1818" s="88" t="n"/>
      <c r="M1818" s="88" t="n"/>
      <c r="N1818" s="89" t="n"/>
      <c r="O1818" s="88" t="n"/>
      <c r="P1818" s="88" t="n"/>
      <c r="Q1818" s="88" t="n"/>
      <c r="R1818" s="89" t="n"/>
      <c r="S1818" s="88" t="n"/>
      <c r="T1818" s="88" t="n"/>
      <c r="U1818" s="88" t="n"/>
      <c r="V1818" s="89" t="n"/>
      <c r="W1818" s="88" t="n"/>
      <c r="X1818" s="89" t="n"/>
      <c r="Y1818" s="88" t="n"/>
      <c r="Z1818" s="89" t="n"/>
      <c r="AB1818" s="25">
        <f>IF($B1818="","",(COUNTIF(C1818:E1818,"?*")&lt;N(INDEX(Setup!$L$6:$L$23,11)))+(COUNTIF(G1818:I1818,"?*")&lt;N(INDEX(Setup!$L$6:$L$23,11)))+(COUNTIF(K1818:M1818,"?*")&lt;N(INDEX(Setup!$L$6:$L$23,11)))+(COUNTIF(O1818:Q1818,"?*")&lt;N(INDEX(Setup!$L$6:$L$23,11)))+(COUNTIF(S1818:U1818,"?*")&lt;N(INDEX(Setup!$L$6:$L$23,11)))+((W1818="")*(INDEX(Setup!$M$6:$M$23,11)="Y"))+((Y1818="")*(INDEX(Setup!$M$6:$M$23,11)="Y")))</f>
        <v/>
      </c>
      <c r="AC1818" s="90">
        <f>IF($B1818="","",IF(AB1818=0,"✓ covered","⚠ "&amp;AB1818&amp;IF(AB1818=1," gap"," gaps")))</f>
        <v/>
      </c>
    </row>
    <row r="1819" ht="17" customHeight="1">
      <c r="A1819" t="n">
        <v>37</v>
      </c>
      <c r="B1819" s="29">
        <f>IF(Setup!$K$17="","",Setup!$K$17)</f>
        <v/>
      </c>
      <c r="C1819" s="88" t="n"/>
      <c r="D1819" s="88" t="n"/>
      <c r="E1819" s="88" t="n"/>
      <c r="F1819" s="89" t="n"/>
      <c r="G1819" s="88" t="n"/>
      <c r="H1819" s="88" t="n"/>
      <c r="I1819" s="88" t="n"/>
      <c r="J1819" s="89" t="n"/>
      <c r="K1819" s="88" t="n"/>
      <c r="L1819" s="88" t="n"/>
      <c r="M1819" s="88" t="n"/>
      <c r="N1819" s="89" t="n"/>
      <c r="O1819" s="88" t="n"/>
      <c r="P1819" s="88" t="n"/>
      <c r="Q1819" s="88" t="n"/>
      <c r="R1819" s="89" t="n"/>
      <c r="S1819" s="88" t="n"/>
      <c r="T1819" s="88" t="n"/>
      <c r="U1819" s="88" t="n"/>
      <c r="V1819" s="89" t="n"/>
      <c r="W1819" s="88" t="n"/>
      <c r="X1819" s="89" t="n"/>
      <c r="Y1819" s="88" t="n"/>
      <c r="Z1819" s="89" t="n"/>
      <c r="AB1819" s="30">
        <f>IF($B1819="","",(COUNTIF(C1819:E1819,"?*")&lt;N(INDEX(Setup!$L$6:$L$23,12)))+(COUNTIF(G1819:I1819,"?*")&lt;N(INDEX(Setup!$L$6:$L$23,12)))+(COUNTIF(K1819:M1819,"?*")&lt;N(INDEX(Setup!$L$6:$L$23,12)))+(COUNTIF(O1819:Q1819,"?*")&lt;N(INDEX(Setup!$L$6:$L$23,12)))+(COUNTIF(S1819:U1819,"?*")&lt;N(INDEX(Setup!$L$6:$L$23,12)))+((W1819="")*(INDEX(Setup!$M$6:$M$23,12)="Y"))+((Y1819="")*(INDEX(Setup!$M$6:$M$23,12)="Y")))</f>
        <v/>
      </c>
      <c r="AC1819" s="91">
        <f>IF($B1819="","",IF(AB1819=0,"✓ covered","⚠ "&amp;AB1819&amp;IF(AB1819=1," gap"," gaps")))</f>
        <v/>
      </c>
    </row>
    <row r="1820" ht="17" customHeight="1">
      <c r="A1820" t="n">
        <v>37</v>
      </c>
      <c r="B1820" s="24">
        <f>IF(Setup!$K$18="","",Setup!$K$18)</f>
        <v/>
      </c>
      <c r="C1820" s="88" t="n"/>
      <c r="D1820" s="88" t="n"/>
      <c r="E1820" s="88" t="n"/>
      <c r="F1820" s="89" t="n"/>
      <c r="G1820" s="88" t="n"/>
      <c r="H1820" s="88" t="n"/>
      <c r="I1820" s="88" t="n"/>
      <c r="J1820" s="89" t="n"/>
      <c r="K1820" s="88" t="n"/>
      <c r="L1820" s="88" t="n"/>
      <c r="M1820" s="88" t="n"/>
      <c r="N1820" s="89" t="n"/>
      <c r="O1820" s="88" t="n"/>
      <c r="P1820" s="88" t="n"/>
      <c r="Q1820" s="88" t="n"/>
      <c r="R1820" s="89" t="n"/>
      <c r="S1820" s="88" t="n"/>
      <c r="T1820" s="88" t="n"/>
      <c r="U1820" s="88" t="n"/>
      <c r="V1820" s="89" t="n"/>
      <c r="W1820" s="88" t="n"/>
      <c r="X1820" s="89" t="n"/>
      <c r="Y1820" s="88" t="n"/>
      <c r="Z1820" s="89" t="n"/>
      <c r="AB1820" s="25">
        <f>IF($B1820="","",(COUNTIF(C1820:E1820,"?*")&lt;N(INDEX(Setup!$L$6:$L$23,13)))+(COUNTIF(G1820:I1820,"?*")&lt;N(INDEX(Setup!$L$6:$L$23,13)))+(COUNTIF(K1820:M1820,"?*")&lt;N(INDEX(Setup!$L$6:$L$23,13)))+(COUNTIF(O1820:Q1820,"?*")&lt;N(INDEX(Setup!$L$6:$L$23,13)))+(COUNTIF(S1820:U1820,"?*")&lt;N(INDEX(Setup!$L$6:$L$23,13)))+((W1820="")*(INDEX(Setup!$M$6:$M$23,13)="Y"))+((Y1820="")*(INDEX(Setup!$M$6:$M$23,13)="Y")))</f>
        <v/>
      </c>
      <c r="AC1820" s="90">
        <f>IF($B1820="","",IF(AB1820=0,"✓ covered","⚠ "&amp;AB1820&amp;IF(AB1820=1," gap"," gaps")))</f>
        <v/>
      </c>
    </row>
    <row r="1821" ht="17" customHeight="1">
      <c r="A1821" t="n">
        <v>37</v>
      </c>
      <c r="B1821" s="29">
        <f>IF(Setup!$K$19="","",Setup!$K$19)</f>
        <v/>
      </c>
      <c r="C1821" s="88" t="n"/>
      <c r="D1821" s="88" t="n"/>
      <c r="E1821" s="88" t="n"/>
      <c r="F1821" s="89" t="n"/>
      <c r="G1821" s="88" t="n"/>
      <c r="H1821" s="88" t="n"/>
      <c r="I1821" s="88" t="n"/>
      <c r="J1821" s="89" t="n"/>
      <c r="K1821" s="88" t="n"/>
      <c r="L1821" s="88" t="n"/>
      <c r="M1821" s="88" t="n"/>
      <c r="N1821" s="89" t="n"/>
      <c r="O1821" s="88" t="n"/>
      <c r="P1821" s="88" t="n"/>
      <c r="Q1821" s="88" t="n"/>
      <c r="R1821" s="89" t="n"/>
      <c r="S1821" s="88" t="n"/>
      <c r="T1821" s="88" t="n"/>
      <c r="U1821" s="88" t="n"/>
      <c r="V1821" s="89" t="n"/>
      <c r="W1821" s="88" t="n"/>
      <c r="X1821" s="89" t="n"/>
      <c r="Y1821" s="88" t="n"/>
      <c r="Z1821" s="89" t="n"/>
      <c r="AB1821" s="30">
        <f>IF($B1821="","",(COUNTIF(C1821:E1821,"?*")&lt;N(INDEX(Setup!$L$6:$L$23,14)))+(COUNTIF(G1821:I1821,"?*")&lt;N(INDEX(Setup!$L$6:$L$23,14)))+(COUNTIF(K1821:M1821,"?*")&lt;N(INDEX(Setup!$L$6:$L$23,14)))+(COUNTIF(O1821:Q1821,"?*")&lt;N(INDEX(Setup!$L$6:$L$23,14)))+(COUNTIF(S1821:U1821,"?*")&lt;N(INDEX(Setup!$L$6:$L$23,14)))+((W1821="")*(INDEX(Setup!$M$6:$M$23,14)="Y"))+((Y1821="")*(INDEX(Setup!$M$6:$M$23,14)="Y")))</f>
        <v/>
      </c>
      <c r="AC1821" s="91">
        <f>IF($B1821="","",IF(AB1821=0,"✓ covered","⚠ "&amp;AB1821&amp;IF(AB1821=1," gap"," gaps")))</f>
        <v/>
      </c>
    </row>
    <row r="1822" ht="17" customHeight="1">
      <c r="A1822" t="n">
        <v>37</v>
      </c>
      <c r="B1822" s="24">
        <f>IF(Setup!$K$20="","",Setup!$K$20)</f>
        <v/>
      </c>
      <c r="C1822" s="88" t="n"/>
      <c r="D1822" s="88" t="n"/>
      <c r="E1822" s="88" t="n"/>
      <c r="F1822" s="89" t="n"/>
      <c r="G1822" s="88" t="n"/>
      <c r="H1822" s="88" t="n"/>
      <c r="I1822" s="88" t="n"/>
      <c r="J1822" s="89" t="n"/>
      <c r="K1822" s="88" t="n"/>
      <c r="L1822" s="88" t="n"/>
      <c r="M1822" s="88" t="n"/>
      <c r="N1822" s="89" t="n"/>
      <c r="O1822" s="88" t="n"/>
      <c r="P1822" s="88" t="n"/>
      <c r="Q1822" s="88" t="n"/>
      <c r="R1822" s="89" t="n"/>
      <c r="S1822" s="88" t="n"/>
      <c r="T1822" s="88" t="n"/>
      <c r="U1822" s="88" t="n"/>
      <c r="V1822" s="89" t="n"/>
      <c r="W1822" s="88" t="n"/>
      <c r="X1822" s="89" t="n"/>
      <c r="Y1822" s="88" t="n"/>
      <c r="Z1822" s="89" t="n"/>
      <c r="AB1822" s="25">
        <f>IF($B1822="","",(COUNTIF(C1822:E1822,"?*")&lt;N(INDEX(Setup!$L$6:$L$23,15)))+(COUNTIF(G1822:I1822,"?*")&lt;N(INDEX(Setup!$L$6:$L$23,15)))+(COUNTIF(K1822:M1822,"?*")&lt;N(INDEX(Setup!$L$6:$L$23,15)))+(COUNTIF(O1822:Q1822,"?*")&lt;N(INDEX(Setup!$L$6:$L$23,15)))+(COUNTIF(S1822:U1822,"?*")&lt;N(INDEX(Setup!$L$6:$L$23,15)))+((W1822="")*(INDEX(Setup!$M$6:$M$23,15)="Y"))+((Y1822="")*(INDEX(Setup!$M$6:$M$23,15)="Y")))</f>
        <v/>
      </c>
      <c r="AC1822" s="90">
        <f>IF($B1822="","",IF(AB1822=0,"✓ covered","⚠ "&amp;AB1822&amp;IF(AB1822=1," gap"," gaps")))</f>
        <v/>
      </c>
    </row>
    <row r="1823" ht="17" customHeight="1">
      <c r="A1823" t="n">
        <v>37</v>
      </c>
      <c r="B1823" s="29">
        <f>IF(Setup!$K$21="","",Setup!$K$21)</f>
        <v/>
      </c>
      <c r="C1823" s="88" t="n"/>
      <c r="D1823" s="88" t="n"/>
      <c r="E1823" s="88" t="n"/>
      <c r="F1823" s="89" t="n"/>
      <c r="G1823" s="88" t="n"/>
      <c r="H1823" s="88" t="n"/>
      <c r="I1823" s="88" t="n"/>
      <c r="J1823" s="89" t="n"/>
      <c r="K1823" s="88" t="n"/>
      <c r="L1823" s="88" t="n"/>
      <c r="M1823" s="88" t="n"/>
      <c r="N1823" s="89" t="n"/>
      <c r="O1823" s="88" t="n"/>
      <c r="P1823" s="88" t="n"/>
      <c r="Q1823" s="88" t="n"/>
      <c r="R1823" s="89" t="n"/>
      <c r="S1823" s="88" t="n"/>
      <c r="T1823" s="88" t="n"/>
      <c r="U1823" s="88" t="n"/>
      <c r="V1823" s="89" t="n"/>
      <c r="W1823" s="88" t="n"/>
      <c r="X1823" s="89" t="n"/>
      <c r="Y1823" s="88" t="n"/>
      <c r="Z1823" s="89" t="n"/>
      <c r="AB1823" s="30">
        <f>IF($B1823="","",(COUNTIF(C1823:E1823,"?*")&lt;N(INDEX(Setup!$L$6:$L$23,16)))+(COUNTIF(G1823:I1823,"?*")&lt;N(INDEX(Setup!$L$6:$L$23,16)))+(COUNTIF(K1823:M1823,"?*")&lt;N(INDEX(Setup!$L$6:$L$23,16)))+(COUNTIF(O1823:Q1823,"?*")&lt;N(INDEX(Setup!$L$6:$L$23,16)))+(COUNTIF(S1823:U1823,"?*")&lt;N(INDEX(Setup!$L$6:$L$23,16)))+((W1823="")*(INDEX(Setup!$M$6:$M$23,16)="Y"))+((Y1823="")*(INDEX(Setup!$M$6:$M$23,16)="Y")))</f>
        <v/>
      </c>
      <c r="AC1823" s="91">
        <f>IF($B1823="","",IF(AB1823=0,"✓ covered","⚠ "&amp;AB1823&amp;IF(AB1823=1," gap"," gaps")))</f>
        <v/>
      </c>
    </row>
    <row r="1824" ht="17" customHeight="1">
      <c r="A1824" t="n">
        <v>37</v>
      </c>
      <c r="B1824" s="24">
        <f>IF(Setup!$K$22="","",Setup!$K$22)</f>
        <v/>
      </c>
      <c r="C1824" s="88" t="n"/>
      <c r="D1824" s="88" t="n"/>
      <c r="E1824" s="88" t="n"/>
      <c r="F1824" s="89" t="n"/>
      <c r="G1824" s="88" t="n"/>
      <c r="H1824" s="88" t="n"/>
      <c r="I1824" s="88" t="n"/>
      <c r="J1824" s="89" t="n"/>
      <c r="K1824" s="88" t="n"/>
      <c r="L1824" s="88" t="n"/>
      <c r="M1824" s="88" t="n"/>
      <c r="N1824" s="89" t="n"/>
      <c r="O1824" s="88" t="n"/>
      <c r="P1824" s="88" t="n"/>
      <c r="Q1824" s="88" t="n"/>
      <c r="R1824" s="89" t="n"/>
      <c r="S1824" s="88" t="n"/>
      <c r="T1824" s="88" t="n"/>
      <c r="U1824" s="88" t="n"/>
      <c r="V1824" s="89" t="n"/>
      <c r="W1824" s="88" t="n"/>
      <c r="X1824" s="89" t="n"/>
      <c r="Y1824" s="88" t="n"/>
      <c r="Z1824" s="89" t="n"/>
      <c r="AB1824" s="25">
        <f>IF($B1824="","",(COUNTIF(C1824:E1824,"?*")&lt;N(INDEX(Setup!$L$6:$L$23,17)))+(COUNTIF(G1824:I1824,"?*")&lt;N(INDEX(Setup!$L$6:$L$23,17)))+(COUNTIF(K1824:M1824,"?*")&lt;N(INDEX(Setup!$L$6:$L$23,17)))+(COUNTIF(O1824:Q1824,"?*")&lt;N(INDEX(Setup!$L$6:$L$23,17)))+(COUNTIF(S1824:U1824,"?*")&lt;N(INDEX(Setup!$L$6:$L$23,17)))+((W1824="")*(INDEX(Setup!$M$6:$M$23,17)="Y"))+((Y1824="")*(INDEX(Setup!$M$6:$M$23,17)="Y")))</f>
        <v/>
      </c>
      <c r="AC1824" s="90">
        <f>IF($B1824="","",IF(AB1824=0,"✓ covered","⚠ "&amp;AB1824&amp;IF(AB1824=1," gap"," gaps")))</f>
        <v/>
      </c>
    </row>
    <row r="1825" ht="17" customHeight="1">
      <c r="A1825" t="n">
        <v>37</v>
      </c>
      <c r="B1825" s="29">
        <f>IF(Setup!$K$23="","",Setup!$K$23)</f>
        <v/>
      </c>
      <c r="C1825" s="88" t="n"/>
      <c r="D1825" s="88" t="n"/>
      <c r="E1825" s="88" t="n"/>
      <c r="F1825" s="89" t="n"/>
      <c r="G1825" s="88" t="n"/>
      <c r="H1825" s="88" t="n"/>
      <c r="I1825" s="88" t="n"/>
      <c r="J1825" s="89" t="n"/>
      <c r="K1825" s="88" t="n"/>
      <c r="L1825" s="88" t="n"/>
      <c r="M1825" s="88" t="n"/>
      <c r="N1825" s="89" t="n"/>
      <c r="O1825" s="88" t="n"/>
      <c r="P1825" s="88" t="n"/>
      <c r="Q1825" s="88" t="n"/>
      <c r="R1825" s="89" t="n"/>
      <c r="S1825" s="88" t="n"/>
      <c r="T1825" s="88" t="n"/>
      <c r="U1825" s="88" t="n"/>
      <c r="V1825" s="89" t="n"/>
      <c r="W1825" s="88" t="n"/>
      <c r="X1825" s="89" t="n"/>
      <c r="Y1825" s="88" t="n"/>
      <c r="Z1825" s="89" t="n"/>
      <c r="AB1825" s="30">
        <f>IF($B1825="","",(COUNTIF(C1825:E1825,"?*")&lt;N(INDEX(Setup!$L$6:$L$23,18)))+(COUNTIF(G1825:I1825,"?*")&lt;N(INDEX(Setup!$L$6:$L$23,18)))+(COUNTIF(K1825:M1825,"?*")&lt;N(INDEX(Setup!$L$6:$L$23,18)))+(COUNTIF(O1825:Q1825,"?*")&lt;N(INDEX(Setup!$L$6:$L$23,18)))+(COUNTIF(S1825:U1825,"?*")&lt;N(INDEX(Setup!$L$6:$L$23,18)))+((W1825="")*(INDEX(Setup!$M$6:$M$23,18)="Y"))+((Y1825="")*(INDEX(Setup!$M$6:$M$23,18)="Y")))</f>
        <v/>
      </c>
      <c r="AC1825" s="91">
        <f>IF($B1825="","",IF(AB1825=0,"✓ covered","⚠ "&amp;AB1825&amp;IF(AB1825=1," gap"," gaps")))</f>
        <v/>
      </c>
    </row>
    <row r="1826" ht="18" customHeight="1">
      <c r="A1826" t="n">
        <v>37</v>
      </c>
      <c r="B1826" s="78" t="inlineStr">
        <is>
          <t>TEAM AVAILABILITY</t>
        </is>
      </c>
      <c r="C1826" s="92" t="inlineStr">
        <is>
          <t>Mon</t>
        </is>
      </c>
      <c r="D1826" s="93" t="n"/>
      <c r="E1826" s="93" t="n"/>
      <c r="F1826" s="94" t="n"/>
      <c r="G1826" s="92" t="inlineStr">
        <is>
          <t>Tue</t>
        </is>
      </c>
      <c r="H1826" s="93" t="n"/>
      <c r="I1826" s="93" t="n"/>
      <c r="J1826" s="94" t="n"/>
      <c r="K1826" s="92" t="inlineStr">
        <is>
          <t>Wed</t>
        </is>
      </c>
      <c r="L1826" s="93" t="n"/>
      <c r="M1826" s="93" t="n"/>
      <c r="N1826" s="94" t="n"/>
      <c r="O1826" s="92" t="inlineStr">
        <is>
          <t>Thu</t>
        </is>
      </c>
      <c r="P1826" s="93" t="n"/>
      <c r="Q1826" s="93" t="n"/>
      <c r="R1826" s="94" t="n"/>
      <c r="S1826" s="92" t="inlineStr">
        <is>
          <t>Fri</t>
        </is>
      </c>
      <c r="T1826" s="93" t="n"/>
      <c r="U1826" s="93" t="n"/>
      <c r="V1826" s="94" t="n"/>
      <c r="W1826" s="95" t="inlineStr">
        <is>
          <t>Sat</t>
        </is>
      </c>
      <c r="X1826" s="96" t="n"/>
      <c r="Y1826" s="95" t="inlineStr">
        <is>
          <t>Sun</t>
        </is>
      </c>
      <c r="Z1826" s="96" t="n"/>
      <c r="AB1826" s="97" t="inlineStr">
        <is>
          <t>Days rostered</t>
        </is>
      </c>
      <c r="AC1826" s="97" t="inlineStr">
        <is>
          <t>Conflicts</t>
        </is>
      </c>
    </row>
    <row r="1827" ht="15" customHeight="1">
      <c r="A1827" t="n">
        <v>37</v>
      </c>
      <c r="B1827" s="35">
        <f>IF(Setup!$B$6="","",Setup!$B$6)</f>
        <v/>
      </c>
      <c r="C1827" s="98" t="n"/>
      <c r="D1827" s="99" t="n"/>
      <c r="E1827" s="99" t="n"/>
      <c r="F1827" s="100" t="n"/>
      <c r="G1827" s="98" t="n"/>
      <c r="H1827" s="99" t="n"/>
      <c r="I1827" s="99" t="n"/>
      <c r="J1827" s="100" t="n"/>
      <c r="K1827" s="98" t="n"/>
      <c r="L1827" s="99" t="n"/>
      <c r="M1827" s="99" t="n"/>
      <c r="N1827" s="100" t="n"/>
      <c r="O1827" s="98" t="n"/>
      <c r="P1827" s="99" t="n"/>
      <c r="Q1827" s="99" t="n"/>
      <c r="R1827" s="100" t="n"/>
      <c r="S1827" s="98" t="n"/>
      <c r="T1827" s="99" t="n"/>
      <c r="U1827" s="99" t="n"/>
      <c r="V1827" s="100" t="n"/>
      <c r="W1827" s="98" t="n"/>
      <c r="X1827" s="100" t="n"/>
      <c r="Y1827" s="98" t="n"/>
      <c r="Z1827" s="100" t="n"/>
      <c r="AB1827" s="101">
        <f>IF($B1827="","",(COUNTIF(C1808:E1825,$B1827)+COUNTIF(C1808:E1825,$B1827&amp;" ~*")&gt;0)+(COUNTIF(G1808:I1825,$B1827)+COUNTIF(G1808:I1825,$B1827&amp;" ~*")&gt;0)+(COUNTIF(K1808:M1825,$B1827)+COUNTIF(K1808:M1825,$B1827&amp;" ~*")&gt;0)+(COUNTIF(O1808:Q1825,$B1827)+COUNTIF(O1808:Q1825,$B1827&amp;" ~*")&gt;0)+(COUNTIF(S1808:U1825,$B1827)+COUNTIF(S1808:U1825,$B1827&amp;" ~*")&gt;0)+(COUNTIF(W1808:W1825,$B1827)+COUNTIF(W1808:W1825,$B1827&amp;" ~*")&gt;0)+(COUNTIF(Y1808:Y1825,$B1827)+COUNTIF(Y1808:Y1825,$B1827&amp;" ~*")&gt;0))</f>
        <v/>
      </c>
      <c r="AC1827" s="36">
        <f>IF($B1827="","",(IFERROR(INDEX(Setup!$G$33:$G$40,MATCH(C1827,Setup!$B$33:$B$40,0)),0)=1)*(COUNTIF(C1808:E1825,$B1827)+COUNTIF(C1808:E1825,$B1827&amp;" ~*")&gt;0)+(IFERROR(INDEX(Setup!$G$33:$G$40,MATCH(G1827,Setup!$B$33:$B$40,0)),0)=1)*(COUNTIF(G1808:I1825,$B1827)+COUNTIF(G1808:I1825,$B1827&amp;" ~*")&gt;0)+(IFERROR(INDEX(Setup!$G$33:$G$40,MATCH(K1827,Setup!$B$33:$B$40,0)),0)=1)*(COUNTIF(K1808:M1825,$B1827)+COUNTIF(K1808:M1825,$B1827&amp;" ~*")&gt;0)+(IFERROR(INDEX(Setup!$G$33:$G$40,MATCH(O1827,Setup!$B$33:$B$40,0)),0)=1)*(COUNTIF(O1808:Q1825,$B1827)+COUNTIF(O1808:Q1825,$B1827&amp;" ~*")&gt;0)+(IFERROR(INDEX(Setup!$G$33:$G$40,MATCH(S1827,Setup!$B$33:$B$40,0)),0)=1)*(COUNTIF(S1808:U1825,$B1827)+COUNTIF(S1808:U1825,$B1827&amp;" ~*")&gt;0)+(IFERROR(INDEX(Setup!$G$33:$G$40,MATCH(W1827,Setup!$B$33:$B$40,0)),0)=1)*(COUNTIF(W1808:W1825,$B1827)+COUNTIF(W1808:W1825,$B1827&amp;" ~*")&gt;0)+(IFERROR(INDEX(Setup!$G$33:$G$40,MATCH(Y1827,Setup!$B$33:$B$40,0)),0)=1)*(COUNTIF(Y1808:Y1825,$B1827)+COUNTIF(Y1808:Y1825,$B1827&amp;" ~*")&gt;0))</f>
        <v/>
      </c>
    </row>
    <row r="1828" ht="15" customHeight="1">
      <c r="A1828" t="n">
        <v>37</v>
      </c>
      <c r="B1828" s="37">
        <f>IF(Setup!$B$7="","",Setup!$B$7)</f>
        <v/>
      </c>
      <c r="C1828" s="102" t="n"/>
      <c r="D1828" s="103" t="n"/>
      <c r="E1828" s="103" t="n"/>
      <c r="F1828" s="104" t="n"/>
      <c r="G1828" s="102" t="n"/>
      <c r="H1828" s="103" t="n"/>
      <c r="I1828" s="103" t="n"/>
      <c r="J1828" s="104" t="n"/>
      <c r="K1828" s="102" t="n"/>
      <c r="L1828" s="103" t="n"/>
      <c r="M1828" s="103" t="n"/>
      <c r="N1828" s="104" t="n"/>
      <c r="O1828" s="102" t="n"/>
      <c r="P1828" s="103" t="n"/>
      <c r="Q1828" s="103" t="n"/>
      <c r="R1828" s="104" t="n"/>
      <c r="S1828" s="102" t="n"/>
      <c r="T1828" s="103" t="n"/>
      <c r="U1828" s="103" t="n"/>
      <c r="V1828" s="104" t="n"/>
      <c r="W1828" s="102" t="n"/>
      <c r="X1828" s="104" t="n"/>
      <c r="Y1828" s="102" t="n"/>
      <c r="Z1828" s="104" t="n"/>
      <c r="AB1828" s="105">
        <f>IF($B1828="","",(COUNTIF(C1808:E1825,$B1828)+COUNTIF(C1808:E1825,$B1828&amp;" ~*")&gt;0)+(COUNTIF(G1808:I1825,$B1828)+COUNTIF(G1808:I1825,$B1828&amp;" ~*")&gt;0)+(COUNTIF(K1808:M1825,$B1828)+COUNTIF(K1808:M1825,$B1828&amp;" ~*")&gt;0)+(COUNTIF(O1808:Q1825,$B1828)+COUNTIF(O1808:Q1825,$B1828&amp;" ~*")&gt;0)+(COUNTIF(S1808:U1825,$B1828)+COUNTIF(S1808:U1825,$B1828&amp;" ~*")&gt;0)+(COUNTIF(W1808:W1825,$B1828)+COUNTIF(W1808:W1825,$B1828&amp;" ~*")&gt;0)+(COUNTIF(Y1808:Y1825,$B1828)+COUNTIF(Y1808:Y1825,$B1828&amp;" ~*")&gt;0))</f>
        <v/>
      </c>
      <c r="AC1828" s="38">
        <f>IF($B1828="","",(IFERROR(INDEX(Setup!$G$33:$G$40,MATCH(C1828,Setup!$B$33:$B$40,0)),0)=1)*(COUNTIF(C1808:E1825,$B1828)+COUNTIF(C1808:E1825,$B1828&amp;" ~*")&gt;0)+(IFERROR(INDEX(Setup!$G$33:$G$40,MATCH(G1828,Setup!$B$33:$B$40,0)),0)=1)*(COUNTIF(G1808:I1825,$B1828)+COUNTIF(G1808:I1825,$B1828&amp;" ~*")&gt;0)+(IFERROR(INDEX(Setup!$G$33:$G$40,MATCH(K1828,Setup!$B$33:$B$40,0)),0)=1)*(COUNTIF(K1808:M1825,$B1828)+COUNTIF(K1808:M1825,$B1828&amp;" ~*")&gt;0)+(IFERROR(INDEX(Setup!$G$33:$G$40,MATCH(O1828,Setup!$B$33:$B$40,0)),0)=1)*(COUNTIF(O1808:Q1825,$B1828)+COUNTIF(O1808:Q1825,$B1828&amp;" ~*")&gt;0)+(IFERROR(INDEX(Setup!$G$33:$G$40,MATCH(S1828,Setup!$B$33:$B$40,0)),0)=1)*(COUNTIF(S1808:U1825,$B1828)+COUNTIF(S1808:U1825,$B1828&amp;" ~*")&gt;0)+(IFERROR(INDEX(Setup!$G$33:$G$40,MATCH(W1828,Setup!$B$33:$B$40,0)),0)=1)*(COUNTIF(W1808:W1825,$B1828)+COUNTIF(W1808:W1825,$B1828&amp;" ~*")&gt;0)+(IFERROR(INDEX(Setup!$G$33:$G$40,MATCH(Y1828,Setup!$B$33:$B$40,0)),0)=1)*(COUNTIF(Y1808:Y1825,$B1828)+COUNTIF(Y1808:Y1825,$B1828&amp;" ~*")&gt;0))</f>
        <v/>
      </c>
    </row>
    <row r="1829" ht="15" customHeight="1">
      <c r="A1829" t="n">
        <v>37</v>
      </c>
      <c r="B1829" s="35">
        <f>IF(Setup!$B$8="","",Setup!$B$8)</f>
        <v/>
      </c>
      <c r="C1829" s="98" t="n"/>
      <c r="D1829" s="99" t="n"/>
      <c r="E1829" s="99" t="n"/>
      <c r="F1829" s="100" t="n"/>
      <c r="G1829" s="98" t="n"/>
      <c r="H1829" s="99" t="n"/>
      <c r="I1829" s="99" t="n"/>
      <c r="J1829" s="100" t="n"/>
      <c r="K1829" s="98" t="n"/>
      <c r="L1829" s="99" t="n"/>
      <c r="M1829" s="99" t="n"/>
      <c r="N1829" s="100" t="n"/>
      <c r="O1829" s="98" t="n"/>
      <c r="P1829" s="99" t="n"/>
      <c r="Q1829" s="99" t="n"/>
      <c r="R1829" s="100" t="n"/>
      <c r="S1829" s="98" t="n"/>
      <c r="T1829" s="99" t="n"/>
      <c r="U1829" s="99" t="n"/>
      <c r="V1829" s="100" t="n"/>
      <c r="W1829" s="98" t="n"/>
      <c r="X1829" s="100" t="n"/>
      <c r="Y1829" s="98" t="n"/>
      <c r="Z1829" s="100" t="n"/>
      <c r="AB1829" s="101">
        <f>IF($B1829="","",(COUNTIF(C1808:E1825,$B1829)+COUNTIF(C1808:E1825,$B1829&amp;" ~*")&gt;0)+(COUNTIF(G1808:I1825,$B1829)+COUNTIF(G1808:I1825,$B1829&amp;" ~*")&gt;0)+(COUNTIF(K1808:M1825,$B1829)+COUNTIF(K1808:M1825,$B1829&amp;" ~*")&gt;0)+(COUNTIF(O1808:Q1825,$B1829)+COUNTIF(O1808:Q1825,$B1829&amp;" ~*")&gt;0)+(COUNTIF(S1808:U1825,$B1829)+COUNTIF(S1808:U1825,$B1829&amp;" ~*")&gt;0)+(COUNTIF(W1808:W1825,$B1829)+COUNTIF(W1808:W1825,$B1829&amp;" ~*")&gt;0)+(COUNTIF(Y1808:Y1825,$B1829)+COUNTIF(Y1808:Y1825,$B1829&amp;" ~*")&gt;0))</f>
        <v/>
      </c>
      <c r="AC1829" s="36">
        <f>IF($B1829="","",(IFERROR(INDEX(Setup!$G$33:$G$40,MATCH(C1829,Setup!$B$33:$B$40,0)),0)=1)*(COUNTIF(C1808:E1825,$B1829)+COUNTIF(C1808:E1825,$B1829&amp;" ~*")&gt;0)+(IFERROR(INDEX(Setup!$G$33:$G$40,MATCH(G1829,Setup!$B$33:$B$40,0)),0)=1)*(COUNTIF(G1808:I1825,$B1829)+COUNTIF(G1808:I1825,$B1829&amp;" ~*")&gt;0)+(IFERROR(INDEX(Setup!$G$33:$G$40,MATCH(K1829,Setup!$B$33:$B$40,0)),0)=1)*(COUNTIF(K1808:M1825,$B1829)+COUNTIF(K1808:M1825,$B1829&amp;" ~*")&gt;0)+(IFERROR(INDEX(Setup!$G$33:$G$40,MATCH(O1829,Setup!$B$33:$B$40,0)),0)=1)*(COUNTIF(O1808:Q1825,$B1829)+COUNTIF(O1808:Q1825,$B1829&amp;" ~*")&gt;0)+(IFERROR(INDEX(Setup!$G$33:$G$40,MATCH(S1829,Setup!$B$33:$B$40,0)),0)=1)*(COUNTIF(S1808:U1825,$B1829)+COUNTIF(S1808:U1825,$B1829&amp;" ~*")&gt;0)+(IFERROR(INDEX(Setup!$G$33:$G$40,MATCH(W1829,Setup!$B$33:$B$40,0)),0)=1)*(COUNTIF(W1808:W1825,$B1829)+COUNTIF(W1808:W1825,$B1829&amp;" ~*")&gt;0)+(IFERROR(INDEX(Setup!$G$33:$G$40,MATCH(Y1829,Setup!$B$33:$B$40,0)),0)=1)*(COUNTIF(Y1808:Y1825,$B1829)+COUNTIF(Y1808:Y1825,$B1829&amp;" ~*")&gt;0))</f>
        <v/>
      </c>
    </row>
    <row r="1830" ht="15" customHeight="1">
      <c r="A1830" t="n">
        <v>37</v>
      </c>
      <c r="B1830" s="37">
        <f>IF(Setup!$B$9="","",Setup!$B$9)</f>
        <v/>
      </c>
      <c r="C1830" s="102" t="n"/>
      <c r="D1830" s="103" t="n"/>
      <c r="E1830" s="103" t="n"/>
      <c r="F1830" s="104" t="n"/>
      <c r="G1830" s="102" t="n"/>
      <c r="H1830" s="103" t="n"/>
      <c r="I1830" s="103" t="n"/>
      <c r="J1830" s="104" t="n"/>
      <c r="K1830" s="102" t="n"/>
      <c r="L1830" s="103" t="n"/>
      <c r="M1830" s="103" t="n"/>
      <c r="N1830" s="104" t="n"/>
      <c r="O1830" s="102" t="n"/>
      <c r="P1830" s="103" t="n"/>
      <c r="Q1830" s="103" t="n"/>
      <c r="R1830" s="104" t="n"/>
      <c r="S1830" s="102" t="n"/>
      <c r="T1830" s="103" t="n"/>
      <c r="U1830" s="103" t="n"/>
      <c r="V1830" s="104" t="n"/>
      <c r="W1830" s="102" t="n"/>
      <c r="X1830" s="104" t="n"/>
      <c r="Y1830" s="102" t="n"/>
      <c r="Z1830" s="104" t="n"/>
      <c r="AB1830" s="105">
        <f>IF($B1830="","",(COUNTIF(C1808:E1825,$B1830)+COUNTIF(C1808:E1825,$B1830&amp;" ~*")&gt;0)+(COUNTIF(G1808:I1825,$B1830)+COUNTIF(G1808:I1825,$B1830&amp;" ~*")&gt;0)+(COUNTIF(K1808:M1825,$B1830)+COUNTIF(K1808:M1825,$B1830&amp;" ~*")&gt;0)+(COUNTIF(O1808:Q1825,$B1830)+COUNTIF(O1808:Q1825,$B1830&amp;" ~*")&gt;0)+(COUNTIF(S1808:U1825,$B1830)+COUNTIF(S1808:U1825,$B1830&amp;" ~*")&gt;0)+(COUNTIF(W1808:W1825,$B1830)+COUNTIF(W1808:W1825,$B1830&amp;" ~*")&gt;0)+(COUNTIF(Y1808:Y1825,$B1830)+COUNTIF(Y1808:Y1825,$B1830&amp;" ~*")&gt;0))</f>
        <v/>
      </c>
      <c r="AC1830" s="38">
        <f>IF($B1830="","",(IFERROR(INDEX(Setup!$G$33:$G$40,MATCH(C1830,Setup!$B$33:$B$40,0)),0)=1)*(COUNTIF(C1808:E1825,$B1830)+COUNTIF(C1808:E1825,$B1830&amp;" ~*")&gt;0)+(IFERROR(INDEX(Setup!$G$33:$G$40,MATCH(G1830,Setup!$B$33:$B$40,0)),0)=1)*(COUNTIF(G1808:I1825,$B1830)+COUNTIF(G1808:I1825,$B1830&amp;" ~*")&gt;0)+(IFERROR(INDEX(Setup!$G$33:$G$40,MATCH(K1830,Setup!$B$33:$B$40,0)),0)=1)*(COUNTIF(K1808:M1825,$B1830)+COUNTIF(K1808:M1825,$B1830&amp;" ~*")&gt;0)+(IFERROR(INDEX(Setup!$G$33:$G$40,MATCH(O1830,Setup!$B$33:$B$40,0)),0)=1)*(COUNTIF(O1808:Q1825,$B1830)+COUNTIF(O1808:Q1825,$B1830&amp;" ~*")&gt;0)+(IFERROR(INDEX(Setup!$G$33:$G$40,MATCH(S1830,Setup!$B$33:$B$40,0)),0)=1)*(COUNTIF(S1808:U1825,$B1830)+COUNTIF(S1808:U1825,$B1830&amp;" ~*")&gt;0)+(IFERROR(INDEX(Setup!$G$33:$G$40,MATCH(W1830,Setup!$B$33:$B$40,0)),0)=1)*(COUNTIF(W1808:W1825,$B1830)+COUNTIF(W1808:W1825,$B1830&amp;" ~*")&gt;0)+(IFERROR(INDEX(Setup!$G$33:$G$40,MATCH(Y1830,Setup!$B$33:$B$40,0)),0)=1)*(COUNTIF(Y1808:Y1825,$B1830)+COUNTIF(Y1808:Y1825,$B1830&amp;" ~*")&gt;0))</f>
        <v/>
      </c>
    </row>
    <row r="1831" ht="15" customHeight="1">
      <c r="A1831" t="n">
        <v>37</v>
      </c>
      <c r="B1831" s="35">
        <f>IF(Setup!$B$10="","",Setup!$B$10)</f>
        <v/>
      </c>
      <c r="C1831" s="98" t="n"/>
      <c r="D1831" s="99" t="n"/>
      <c r="E1831" s="99" t="n"/>
      <c r="F1831" s="100" t="n"/>
      <c r="G1831" s="98" t="n"/>
      <c r="H1831" s="99" t="n"/>
      <c r="I1831" s="99" t="n"/>
      <c r="J1831" s="100" t="n"/>
      <c r="K1831" s="98" t="n"/>
      <c r="L1831" s="99" t="n"/>
      <c r="M1831" s="99" t="n"/>
      <c r="N1831" s="100" t="n"/>
      <c r="O1831" s="98" t="n"/>
      <c r="P1831" s="99" t="n"/>
      <c r="Q1831" s="99" t="n"/>
      <c r="R1831" s="100" t="n"/>
      <c r="S1831" s="98" t="n"/>
      <c r="T1831" s="99" t="n"/>
      <c r="U1831" s="99" t="n"/>
      <c r="V1831" s="100" t="n"/>
      <c r="W1831" s="98" t="n"/>
      <c r="X1831" s="100" t="n"/>
      <c r="Y1831" s="98" t="n"/>
      <c r="Z1831" s="100" t="n"/>
      <c r="AB1831" s="101">
        <f>IF($B1831="","",(COUNTIF(C1808:E1825,$B1831)+COUNTIF(C1808:E1825,$B1831&amp;" ~*")&gt;0)+(COUNTIF(G1808:I1825,$B1831)+COUNTIF(G1808:I1825,$B1831&amp;" ~*")&gt;0)+(COUNTIF(K1808:M1825,$B1831)+COUNTIF(K1808:M1825,$B1831&amp;" ~*")&gt;0)+(COUNTIF(O1808:Q1825,$B1831)+COUNTIF(O1808:Q1825,$B1831&amp;" ~*")&gt;0)+(COUNTIF(S1808:U1825,$B1831)+COUNTIF(S1808:U1825,$B1831&amp;" ~*")&gt;0)+(COUNTIF(W1808:W1825,$B1831)+COUNTIF(W1808:W1825,$B1831&amp;" ~*")&gt;0)+(COUNTIF(Y1808:Y1825,$B1831)+COUNTIF(Y1808:Y1825,$B1831&amp;" ~*")&gt;0))</f>
        <v/>
      </c>
      <c r="AC1831" s="36">
        <f>IF($B1831="","",(IFERROR(INDEX(Setup!$G$33:$G$40,MATCH(C1831,Setup!$B$33:$B$40,0)),0)=1)*(COUNTIF(C1808:E1825,$B1831)+COUNTIF(C1808:E1825,$B1831&amp;" ~*")&gt;0)+(IFERROR(INDEX(Setup!$G$33:$G$40,MATCH(G1831,Setup!$B$33:$B$40,0)),0)=1)*(COUNTIF(G1808:I1825,$B1831)+COUNTIF(G1808:I1825,$B1831&amp;" ~*")&gt;0)+(IFERROR(INDEX(Setup!$G$33:$G$40,MATCH(K1831,Setup!$B$33:$B$40,0)),0)=1)*(COUNTIF(K1808:M1825,$B1831)+COUNTIF(K1808:M1825,$B1831&amp;" ~*")&gt;0)+(IFERROR(INDEX(Setup!$G$33:$G$40,MATCH(O1831,Setup!$B$33:$B$40,0)),0)=1)*(COUNTIF(O1808:Q1825,$B1831)+COUNTIF(O1808:Q1825,$B1831&amp;" ~*")&gt;0)+(IFERROR(INDEX(Setup!$G$33:$G$40,MATCH(S1831,Setup!$B$33:$B$40,0)),0)=1)*(COUNTIF(S1808:U1825,$B1831)+COUNTIF(S1808:U1825,$B1831&amp;" ~*")&gt;0)+(IFERROR(INDEX(Setup!$G$33:$G$40,MATCH(W1831,Setup!$B$33:$B$40,0)),0)=1)*(COUNTIF(W1808:W1825,$B1831)+COUNTIF(W1808:W1825,$B1831&amp;" ~*")&gt;0)+(IFERROR(INDEX(Setup!$G$33:$G$40,MATCH(Y1831,Setup!$B$33:$B$40,0)),0)=1)*(COUNTIF(Y1808:Y1825,$B1831)+COUNTIF(Y1808:Y1825,$B1831&amp;" ~*")&gt;0))</f>
        <v/>
      </c>
    </row>
    <row r="1832" ht="15" customHeight="1">
      <c r="A1832" t="n">
        <v>37</v>
      </c>
      <c r="B1832" s="37">
        <f>IF(Setup!$B$11="","",Setup!$B$11)</f>
        <v/>
      </c>
      <c r="C1832" s="102" t="n"/>
      <c r="D1832" s="103" t="n"/>
      <c r="E1832" s="103" t="n"/>
      <c r="F1832" s="104" t="n"/>
      <c r="G1832" s="102" t="n"/>
      <c r="H1832" s="103" t="n"/>
      <c r="I1832" s="103" t="n"/>
      <c r="J1832" s="104" t="n"/>
      <c r="K1832" s="102" t="n"/>
      <c r="L1832" s="103" t="n"/>
      <c r="M1832" s="103" t="n"/>
      <c r="N1832" s="104" t="n"/>
      <c r="O1832" s="102" t="n"/>
      <c r="P1832" s="103" t="n"/>
      <c r="Q1832" s="103" t="n"/>
      <c r="R1832" s="104" t="n"/>
      <c r="S1832" s="102" t="n"/>
      <c r="T1832" s="103" t="n"/>
      <c r="U1832" s="103" t="n"/>
      <c r="V1832" s="104" t="n"/>
      <c r="W1832" s="102" t="n"/>
      <c r="X1832" s="104" t="n"/>
      <c r="Y1832" s="102" t="n"/>
      <c r="Z1832" s="104" t="n"/>
      <c r="AB1832" s="105">
        <f>IF($B1832="","",(COUNTIF(C1808:E1825,$B1832)+COUNTIF(C1808:E1825,$B1832&amp;" ~*")&gt;0)+(COUNTIF(G1808:I1825,$B1832)+COUNTIF(G1808:I1825,$B1832&amp;" ~*")&gt;0)+(COUNTIF(K1808:M1825,$B1832)+COUNTIF(K1808:M1825,$B1832&amp;" ~*")&gt;0)+(COUNTIF(O1808:Q1825,$B1832)+COUNTIF(O1808:Q1825,$B1832&amp;" ~*")&gt;0)+(COUNTIF(S1808:U1825,$B1832)+COUNTIF(S1808:U1825,$B1832&amp;" ~*")&gt;0)+(COUNTIF(W1808:W1825,$B1832)+COUNTIF(W1808:W1825,$B1832&amp;" ~*")&gt;0)+(COUNTIF(Y1808:Y1825,$B1832)+COUNTIF(Y1808:Y1825,$B1832&amp;" ~*")&gt;0))</f>
        <v/>
      </c>
      <c r="AC1832" s="38">
        <f>IF($B1832="","",(IFERROR(INDEX(Setup!$G$33:$G$40,MATCH(C1832,Setup!$B$33:$B$40,0)),0)=1)*(COUNTIF(C1808:E1825,$B1832)+COUNTIF(C1808:E1825,$B1832&amp;" ~*")&gt;0)+(IFERROR(INDEX(Setup!$G$33:$G$40,MATCH(G1832,Setup!$B$33:$B$40,0)),0)=1)*(COUNTIF(G1808:I1825,$B1832)+COUNTIF(G1808:I1825,$B1832&amp;" ~*")&gt;0)+(IFERROR(INDEX(Setup!$G$33:$G$40,MATCH(K1832,Setup!$B$33:$B$40,0)),0)=1)*(COUNTIF(K1808:M1825,$B1832)+COUNTIF(K1808:M1825,$B1832&amp;" ~*")&gt;0)+(IFERROR(INDEX(Setup!$G$33:$G$40,MATCH(O1832,Setup!$B$33:$B$40,0)),0)=1)*(COUNTIF(O1808:Q1825,$B1832)+COUNTIF(O1808:Q1825,$B1832&amp;" ~*")&gt;0)+(IFERROR(INDEX(Setup!$G$33:$G$40,MATCH(S1832,Setup!$B$33:$B$40,0)),0)=1)*(COUNTIF(S1808:U1825,$B1832)+COUNTIF(S1808:U1825,$B1832&amp;" ~*")&gt;0)+(IFERROR(INDEX(Setup!$G$33:$G$40,MATCH(W1832,Setup!$B$33:$B$40,0)),0)=1)*(COUNTIF(W1808:W1825,$B1832)+COUNTIF(W1808:W1825,$B1832&amp;" ~*")&gt;0)+(IFERROR(INDEX(Setup!$G$33:$G$40,MATCH(Y1832,Setup!$B$33:$B$40,0)),0)=1)*(COUNTIF(Y1808:Y1825,$B1832)+COUNTIF(Y1808:Y1825,$B1832&amp;" ~*")&gt;0))</f>
        <v/>
      </c>
    </row>
    <row r="1833" ht="15" customHeight="1">
      <c r="A1833" t="n">
        <v>37</v>
      </c>
      <c r="B1833" s="35">
        <f>IF(Setup!$B$12="","",Setup!$B$12)</f>
        <v/>
      </c>
      <c r="C1833" s="98" t="n"/>
      <c r="D1833" s="99" t="n"/>
      <c r="E1833" s="99" t="n"/>
      <c r="F1833" s="100" t="n"/>
      <c r="G1833" s="98" t="n"/>
      <c r="H1833" s="99" t="n"/>
      <c r="I1833" s="99" t="n"/>
      <c r="J1833" s="100" t="n"/>
      <c r="K1833" s="98" t="n"/>
      <c r="L1833" s="99" t="n"/>
      <c r="M1833" s="99" t="n"/>
      <c r="N1833" s="100" t="n"/>
      <c r="O1833" s="98" t="n"/>
      <c r="P1833" s="99" t="n"/>
      <c r="Q1833" s="99" t="n"/>
      <c r="R1833" s="100" t="n"/>
      <c r="S1833" s="98" t="n"/>
      <c r="T1833" s="99" t="n"/>
      <c r="U1833" s="99" t="n"/>
      <c r="V1833" s="100" t="n"/>
      <c r="W1833" s="98" t="n"/>
      <c r="X1833" s="100" t="n"/>
      <c r="Y1833" s="98" t="n"/>
      <c r="Z1833" s="100" t="n"/>
      <c r="AB1833" s="101">
        <f>IF($B1833="","",(COUNTIF(C1808:E1825,$B1833)+COUNTIF(C1808:E1825,$B1833&amp;" ~*")&gt;0)+(COUNTIF(G1808:I1825,$B1833)+COUNTIF(G1808:I1825,$B1833&amp;" ~*")&gt;0)+(COUNTIF(K1808:M1825,$B1833)+COUNTIF(K1808:M1825,$B1833&amp;" ~*")&gt;0)+(COUNTIF(O1808:Q1825,$B1833)+COUNTIF(O1808:Q1825,$B1833&amp;" ~*")&gt;0)+(COUNTIF(S1808:U1825,$B1833)+COUNTIF(S1808:U1825,$B1833&amp;" ~*")&gt;0)+(COUNTIF(W1808:W1825,$B1833)+COUNTIF(W1808:W1825,$B1833&amp;" ~*")&gt;0)+(COUNTIF(Y1808:Y1825,$B1833)+COUNTIF(Y1808:Y1825,$B1833&amp;" ~*")&gt;0))</f>
        <v/>
      </c>
      <c r="AC1833" s="36">
        <f>IF($B1833="","",(IFERROR(INDEX(Setup!$G$33:$G$40,MATCH(C1833,Setup!$B$33:$B$40,0)),0)=1)*(COUNTIF(C1808:E1825,$B1833)+COUNTIF(C1808:E1825,$B1833&amp;" ~*")&gt;0)+(IFERROR(INDEX(Setup!$G$33:$G$40,MATCH(G1833,Setup!$B$33:$B$40,0)),0)=1)*(COUNTIF(G1808:I1825,$B1833)+COUNTIF(G1808:I1825,$B1833&amp;" ~*")&gt;0)+(IFERROR(INDEX(Setup!$G$33:$G$40,MATCH(K1833,Setup!$B$33:$B$40,0)),0)=1)*(COUNTIF(K1808:M1825,$B1833)+COUNTIF(K1808:M1825,$B1833&amp;" ~*")&gt;0)+(IFERROR(INDEX(Setup!$G$33:$G$40,MATCH(O1833,Setup!$B$33:$B$40,0)),0)=1)*(COUNTIF(O1808:Q1825,$B1833)+COUNTIF(O1808:Q1825,$B1833&amp;" ~*")&gt;0)+(IFERROR(INDEX(Setup!$G$33:$G$40,MATCH(S1833,Setup!$B$33:$B$40,0)),0)=1)*(COUNTIF(S1808:U1825,$B1833)+COUNTIF(S1808:U1825,$B1833&amp;" ~*")&gt;0)+(IFERROR(INDEX(Setup!$G$33:$G$40,MATCH(W1833,Setup!$B$33:$B$40,0)),0)=1)*(COUNTIF(W1808:W1825,$B1833)+COUNTIF(W1808:W1825,$B1833&amp;" ~*")&gt;0)+(IFERROR(INDEX(Setup!$G$33:$G$40,MATCH(Y1833,Setup!$B$33:$B$40,0)),0)=1)*(COUNTIF(Y1808:Y1825,$B1833)+COUNTIF(Y1808:Y1825,$B1833&amp;" ~*")&gt;0))</f>
        <v/>
      </c>
    </row>
    <row r="1834" ht="15" customHeight="1">
      <c r="A1834" t="n">
        <v>37</v>
      </c>
      <c r="B1834" s="37">
        <f>IF(Setup!$B$13="","",Setup!$B$13)</f>
        <v/>
      </c>
      <c r="C1834" s="102" t="n"/>
      <c r="D1834" s="103" t="n"/>
      <c r="E1834" s="103" t="n"/>
      <c r="F1834" s="104" t="n"/>
      <c r="G1834" s="102" t="n"/>
      <c r="H1834" s="103" t="n"/>
      <c r="I1834" s="103" t="n"/>
      <c r="J1834" s="104" t="n"/>
      <c r="K1834" s="102" t="n"/>
      <c r="L1834" s="103" t="n"/>
      <c r="M1834" s="103" t="n"/>
      <c r="N1834" s="104" t="n"/>
      <c r="O1834" s="102" t="n"/>
      <c r="P1834" s="103" t="n"/>
      <c r="Q1834" s="103" t="n"/>
      <c r="R1834" s="104" t="n"/>
      <c r="S1834" s="102" t="n"/>
      <c r="T1834" s="103" t="n"/>
      <c r="U1834" s="103" t="n"/>
      <c r="V1834" s="104" t="n"/>
      <c r="W1834" s="102" t="n"/>
      <c r="X1834" s="104" t="n"/>
      <c r="Y1834" s="102" t="n"/>
      <c r="Z1834" s="104" t="n"/>
      <c r="AB1834" s="105">
        <f>IF($B1834="","",(COUNTIF(C1808:E1825,$B1834)+COUNTIF(C1808:E1825,$B1834&amp;" ~*")&gt;0)+(COUNTIF(G1808:I1825,$B1834)+COUNTIF(G1808:I1825,$B1834&amp;" ~*")&gt;0)+(COUNTIF(K1808:M1825,$B1834)+COUNTIF(K1808:M1825,$B1834&amp;" ~*")&gt;0)+(COUNTIF(O1808:Q1825,$B1834)+COUNTIF(O1808:Q1825,$B1834&amp;" ~*")&gt;0)+(COUNTIF(S1808:U1825,$B1834)+COUNTIF(S1808:U1825,$B1834&amp;" ~*")&gt;0)+(COUNTIF(W1808:W1825,$B1834)+COUNTIF(W1808:W1825,$B1834&amp;" ~*")&gt;0)+(COUNTIF(Y1808:Y1825,$B1834)+COUNTIF(Y1808:Y1825,$B1834&amp;" ~*")&gt;0))</f>
        <v/>
      </c>
      <c r="AC1834" s="38">
        <f>IF($B1834="","",(IFERROR(INDEX(Setup!$G$33:$G$40,MATCH(C1834,Setup!$B$33:$B$40,0)),0)=1)*(COUNTIF(C1808:E1825,$B1834)+COUNTIF(C1808:E1825,$B1834&amp;" ~*")&gt;0)+(IFERROR(INDEX(Setup!$G$33:$G$40,MATCH(G1834,Setup!$B$33:$B$40,0)),0)=1)*(COUNTIF(G1808:I1825,$B1834)+COUNTIF(G1808:I1825,$B1834&amp;" ~*")&gt;0)+(IFERROR(INDEX(Setup!$G$33:$G$40,MATCH(K1834,Setup!$B$33:$B$40,0)),0)=1)*(COUNTIF(K1808:M1825,$B1834)+COUNTIF(K1808:M1825,$B1834&amp;" ~*")&gt;0)+(IFERROR(INDEX(Setup!$G$33:$G$40,MATCH(O1834,Setup!$B$33:$B$40,0)),0)=1)*(COUNTIF(O1808:Q1825,$B1834)+COUNTIF(O1808:Q1825,$B1834&amp;" ~*")&gt;0)+(IFERROR(INDEX(Setup!$G$33:$G$40,MATCH(S1834,Setup!$B$33:$B$40,0)),0)=1)*(COUNTIF(S1808:U1825,$B1834)+COUNTIF(S1808:U1825,$B1834&amp;" ~*")&gt;0)+(IFERROR(INDEX(Setup!$G$33:$G$40,MATCH(W1834,Setup!$B$33:$B$40,0)),0)=1)*(COUNTIF(W1808:W1825,$B1834)+COUNTIF(W1808:W1825,$B1834&amp;" ~*")&gt;0)+(IFERROR(INDEX(Setup!$G$33:$G$40,MATCH(Y1834,Setup!$B$33:$B$40,0)),0)=1)*(COUNTIF(Y1808:Y1825,$B1834)+COUNTIF(Y1808:Y1825,$B1834&amp;" ~*")&gt;0))</f>
        <v/>
      </c>
    </row>
    <row r="1835" ht="15" customHeight="1">
      <c r="A1835" t="n">
        <v>37</v>
      </c>
      <c r="B1835" s="35">
        <f>IF(Setup!$B$14="","",Setup!$B$14)</f>
        <v/>
      </c>
      <c r="C1835" s="98" t="n"/>
      <c r="D1835" s="99" t="n"/>
      <c r="E1835" s="99" t="n"/>
      <c r="F1835" s="100" t="n"/>
      <c r="G1835" s="98" t="n"/>
      <c r="H1835" s="99" t="n"/>
      <c r="I1835" s="99" t="n"/>
      <c r="J1835" s="100" t="n"/>
      <c r="K1835" s="98" t="n"/>
      <c r="L1835" s="99" t="n"/>
      <c r="M1835" s="99" t="n"/>
      <c r="N1835" s="100" t="n"/>
      <c r="O1835" s="98" t="n"/>
      <c r="P1835" s="99" t="n"/>
      <c r="Q1835" s="99" t="n"/>
      <c r="R1835" s="100" t="n"/>
      <c r="S1835" s="98" t="n"/>
      <c r="T1835" s="99" t="n"/>
      <c r="U1835" s="99" t="n"/>
      <c r="V1835" s="100" t="n"/>
      <c r="W1835" s="98" t="n"/>
      <c r="X1835" s="100" t="n"/>
      <c r="Y1835" s="98" t="n"/>
      <c r="Z1835" s="100" t="n"/>
      <c r="AB1835" s="101">
        <f>IF($B1835="","",(COUNTIF(C1808:E1825,$B1835)+COUNTIF(C1808:E1825,$B1835&amp;" ~*")&gt;0)+(COUNTIF(G1808:I1825,$B1835)+COUNTIF(G1808:I1825,$B1835&amp;" ~*")&gt;0)+(COUNTIF(K1808:M1825,$B1835)+COUNTIF(K1808:M1825,$B1835&amp;" ~*")&gt;0)+(COUNTIF(O1808:Q1825,$B1835)+COUNTIF(O1808:Q1825,$B1835&amp;" ~*")&gt;0)+(COUNTIF(S1808:U1825,$B1835)+COUNTIF(S1808:U1825,$B1835&amp;" ~*")&gt;0)+(COUNTIF(W1808:W1825,$B1835)+COUNTIF(W1808:W1825,$B1835&amp;" ~*")&gt;0)+(COUNTIF(Y1808:Y1825,$B1835)+COUNTIF(Y1808:Y1825,$B1835&amp;" ~*")&gt;0))</f>
        <v/>
      </c>
      <c r="AC1835" s="36">
        <f>IF($B1835="","",(IFERROR(INDEX(Setup!$G$33:$G$40,MATCH(C1835,Setup!$B$33:$B$40,0)),0)=1)*(COUNTIF(C1808:E1825,$B1835)+COUNTIF(C1808:E1825,$B1835&amp;" ~*")&gt;0)+(IFERROR(INDEX(Setup!$G$33:$G$40,MATCH(G1835,Setup!$B$33:$B$40,0)),0)=1)*(COUNTIF(G1808:I1825,$B1835)+COUNTIF(G1808:I1825,$B1835&amp;" ~*")&gt;0)+(IFERROR(INDEX(Setup!$G$33:$G$40,MATCH(K1835,Setup!$B$33:$B$40,0)),0)=1)*(COUNTIF(K1808:M1825,$B1835)+COUNTIF(K1808:M1825,$B1835&amp;" ~*")&gt;0)+(IFERROR(INDEX(Setup!$G$33:$G$40,MATCH(O1835,Setup!$B$33:$B$40,0)),0)=1)*(COUNTIF(O1808:Q1825,$B1835)+COUNTIF(O1808:Q1825,$B1835&amp;" ~*")&gt;0)+(IFERROR(INDEX(Setup!$G$33:$G$40,MATCH(S1835,Setup!$B$33:$B$40,0)),0)=1)*(COUNTIF(S1808:U1825,$B1835)+COUNTIF(S1808:U1825,$B1835&amp;" ~*")&gt;0)+(IFERROR(INDEX(Setup!$G$33:$G$40,MATCH(W1835,Setup!$B$33:$B$40,0)),0)=1)*(COUNTIF(W1808:W1825,$B1835)+COUNTIF(W1808:W1825,$B1835&amp;" ~*")&gt;0)+(IFERROR(INDEX(Setup!$G$33:$G$40,MATCH(Y1835,Setup!$B$33:$B$40,0)),0)=1)*(COUNTIF(Y1808:Y1825,$B1835)+COUNTIF(Y1808:Y1825,$B1835&amp;" ~*")&gt;0))</f>
        <v/>
      </c>
    </row>
    <row r="1836" ht="15" customHeight="1">
      <c r="A1836" t="n">
        <v>37</v>
      </c>
      <c r="B1836" s="37">
        <f>IF(Setup!$B$15="","",Setup!$B$15)</f>
        <v/>
      </c>
      <c r="C1836" s="102" t="n"/>
      <c r="D1836" s="103" t="n"/>
      <c r="E1836" s="103" t="n"/>
      <c r="F1836" s="104" t="n"/>
      <c r="G1836" s="102" t="n"/>
      <c r="H1836" s="103" t="n"/>
      <c r="I1836" s="103" t="n"/>
      <c r="J1836" s="104" t="n"/>
      <c r="K1836" s="102" t="n"/>
      <c r="L1836" s="103" t="n"/>
      <c r="M1836" s="103" t="n"/>
      <c r="N1836" s="104" t="n"/>
      <c r="O1836" s="102" t="n"/>
      <c r="P1836" s="103" t="n"/>
      <c r="Q1836" s="103" t="n"/>
      <c r="R1836" s="104" t="n"/>
      <c r="S1836" s="102" t="n"/>
      <c r="T1836" s="103" t="n"/>
      <c r="U1836" s="103" t="n"/>
      <c r="V1836" s="104" t="n"/>
      <c r="W1836" s="102" t="n"/>
      <c r="X1836" s="104" t="n"/>
      <c r="Y1836" s="102" t="n"/>
      <c r="Z1836" s="104" t="n"/>
      <c r="AB1836" s="105">
        <f>IF($B1836="","",(COUNTIF(C1808:E1825,$B1836)+COUNTIF(C1808:E1825,$B1836&amp;" ~*")&gt;0)+(COUNTIF(G1808:I1825,$B1836)+COUNTIF(G1808:I1825,$B1836&amp;" ~*")&gt;0)+(COUNTIF(K1808:M1825,$B1836)+COUNTIF(K1808:M1825,$B1836&amp;" ~*")&gt;0)+(COUNTIF(O1808:Q1825,$B1836)+COUNTIF(O1808:Q1825,$B1836&amp;" ~*")&gt;0)+(COUNTIF(S1808:U1825,$B1836)+COUNTIF(S1808:U1825,$B1836&amp;" ~*")&gt;0)+(COUNTIF(W1808:W1825,$B1836)+COUNTIF(W1808:W1825,$B1836&amp;" ~*")&gt;0)+(COUNTIF(Y1808:Y1825,$B1836)+COUNTIF(Y1808:Y1825,$B1836&amp;" ~*")&gt;0))</f>
        <v/>
      </c>
      <c r="AC1836" s="38">
        <f>IF($B1836="","",(IFERROR(INDEX(Setup!$G$33:$G$40,MATCH(C1836,Setup!$B$33:$B$40,0)),0)=1)*(COUNTIF(C1808:E1825,$B1836)+COUNTIF(C1808:E1825,$B1836&amp;" ~*")&gt;0)+(IFERROR(INDEX(Setup!$G$33:$G$40,MATCH(G1836,Setup!$B$33:$B$40,0)),0)=1)*(COUNTIF(G1808:I1825,$B1836)+COUNTIF(G1808:I1825,$B1836&amp;" ~*")&gt;0)+(IFERROR(INDEX(Setup!$G$33:$G$40,MATCH(K1836,Setup!$B$33:$B$40,0)),0)=1)*(COUNTIF(K1808:M1825,$B1836)+COUNTIF(K1808:M1825,$B1836&amp;" ~*")&gt;0)+(IFERROR(INDEX(Setup!$G$33:$G$40,MATCH(O1836,Setup!$B$33:$B$40,0)),0)=1)*(COUNTIF(O1808:Q1825,$B1836)+COUNTIF(O1808:Q1825,$B1836&amp;" ~*")&gt;0)+(IFERROR(INDEX(Setup!$G$33:$G$40,MATCH(S1836,Setup!$B$33:$B$40,0)),0)=1)*(COUNTIF(S1808:U1825,$B1836)+COUNTIF(S1808:U1825,$B1836&amp;" ~*")&gt;0)+(IFERROR(INDEX(Setup!$G$33:$G$40,MATCH(W1836,Setup!$B$33:$B$40,0)),0)=1)*(COUNTIF(W1808:W1825,$B1836)+COUNTIF(W1808:W1825,$B1836&amp;" ~*")&gt;0)+(IFERROR(INDEX(Setup!$G$33:$G$40,MATCH(Y1836,Setup!$B$33:$B$40,0)),0)=1)*(COUNTIF(Y1808:Y1825,$B1836)+COUNTIF(Y1808:Y1825,$B1836&amp;" ~*")&gt;0))</f>
        <v/>
      </c>
    </row>
    <row r="1837" ht="15" customHeight="1">
      <c r="A1837" t="n">
        <v>37</v>
      </c>
      <c r="B1837" s="35">
        <f>IF(Setup!$B$16="","",Setup!$B$16)</f>
        <v/>
      </c>
      <c r="C1837" s="98" t="n"/>
      <c r="D1837" s="99" t="n"/>
      <c r="E1837" s="99" t="n"/>
      <c r="F1837" s="100" t="n"/>
      <c r="G1837" s="98" t="n"/>
      <c r="H1837" s="99" t="n"/>
      <c r="I1837" s="99" t="n"/>
      <c r="J1837" s="100" t="n"/>
      <c r="K1837" s="98" t="n"/>
      <c r="L1837" s="99" t="n"/>
      <c r="M1837" s="99" t="n"/>
      <c r="N1837" s="100" t="n"/>
      <c r="O1837" s="98" t="n"/>
      <c r="P1837" s="99" t="n"/>
      <c r="Q1837" s="99" t="n"/>
      <c r="R1837" s="100" t="n"/>
      <c r="S1837" s="98" t="n"/>
      <c r="T1837" s="99" t="n"/>
      <c r="U1837" s="99" t="n"/>
      <c r="V1837" s="100" t="n"/>
      <c r="W1837" s="98" t="n"/>
      <c r="X1837" s="100" t="n"/>
      <c r="Y1837" s="98" t="n"/>
      <c r="Z1837" s="100" t="n"/>
      <c r="AB1837" s="101">
        <f>IF($B1837="","",(COUNTIF(C1808:E1825,$B1837)+COUNTIF(C1808:E1825,$B1837&amp;" ~*")&gt;0)+(COUNTIF(G1808:I1825,$B1837)+COUNTIF(G1808:I1825,$B1837&amp;" ~*")&gt;0)+(COUNTIF(K1808:M1825,$B1837)+COUNTIF(K1808:M1825,$B1837&amp;" ~*")&gt;0)+(COUNTIF(O1808:Q1825,$B1837)+COUNTIF(O1808:Q1825,$B1837&amp;" ~*")&gt;0)+(COUNTIF(S1808:U1825,$B1837)+COUNTIF(S1808:U1825,$B1837&amp;" ~*")&gt;0)+(COUNTIF(W1808:W1825,$B1837)+COUNTIF(W1808:W1825,$B1837&amp;" ~*")&gt;0)+(COUNTIF(Y1808:Y1825,$B1837)+COUNTIF(Y1808:Y1825,$B1837&amp;" ~*")&gt;0))</f>
        <v/>
      </c>
      <c r="AC1837" s="36">
        <f>IF($B1837="","",(IFERROR(INDEX(Setup!$G$33:$G$40,MATCH(C1837,Setup!$B$33:$B$40,0)),0)=1)*(COUNTIF(C1808:E1825,$B1837)+COUNTIF(C1808:E1825,$B1837&amp;" ~*")&gt;0)+(IFERROR(INDEX(Setup!$G$33:$G$40,MATCH(G1837,Setup!$B$33:$B$40,0)),0)=1)*(COUNTIF(G1808:I1825,$B1837)+COUNTIF(G1808:I1825,$B1837&amp;" ~*")&gt;0)+(IFERROR(INDEX(Setup!$G$33:$G$40,MATCH(K1837,Setup!$B$33:$B$40,0)),0)=1)*(COUNTIF(K1808:M1825,$B1837)+COUNTIF(K1808:M1825,$B1837&amp;" ~*")&gt;0)+(IFERROR(INDEX(Setup!$G$33:$G$40,MATCH(O1837,Setup!$B$33:$B$40,0)),0)=1)*(COUNTIF(O1808:Q1825,$B1837)+COUNTIF(O1808:Q1825,$B1837&amp;" ~*")&gt;0)+(IFERROR(INDEX(Setup!$G$33:$G$40,MATCH(S1837,Setup!$B$33:$B$40,0)),0)=1)*(COUNTIF(S1808:U1825,$B1837)+COUNTIF(S1808:U1825,$B1837&amp;" ~*")&gt;0)+(IFERROR(INDEX(Setup!$G$33:$G$40,MATCH(W1837,Setup!$B$33:$B$40,0)),0)=1)*(COUNTIF(W1808:W1825,$B1837)+COUNTIF(W1808:W1825,$B1837&amp;" ~*")&gt;0)+(IFERROR(INDEX(Setup!$G$33:$G$40,MATCH(Y1837,Setup!$B$33:$B$40,0)),0)=1)*(COUNTIF(Y1808:Y1825,$B1837)+COUNTIF(Y1808:Y1825,$B1837&amp;" ~*")&gt;0))</f>
        <v/>
      </c>
    </row>
    <row r="1838" ht="15" customHeight="1">
      <c r="A1838" t="n">
        <v>37</v>
      </c>
      <c r="B1838" s="37">
        <f>IF(Setup!$B$17="","",Setup!$B$17)</f>
        <v/>
      </c>
      <c r="C1838" s="102" t="n"/>
      <c r="D1838" s="103" t="n"/>
      <c r="E1838" s="103" t="n"/>
      <c r="F1838" s="104" t="n"/>
      <c r="G1838" s="102" t="n"/>
      <c r="H1838" s="103" t="n"/>
      <c r="I1838" s="103" t="n"/>
      <c r="J1838" s="104" t="n"/>
      <c r="K1838" s="102" t="n"/>
      <c r="L1838" s="103" t="n"/>
      <c r="M1838" s="103" t="n"/>
      <c r="N1838" s="104" t="n"/>
      <c r="O1838" s="102" t="n"/>
      <c r="P1838" s="103" t="n"/>
      <c r="Q1838" s="103" t="n"/>
      <c r="R1838" s="104" t="n"/>
      <c r="S1838" s="102" t="n"/>
      <c r="T1838" s="103" t="n"/>
      <c r="U1838" s="103" t="n"/>
      <c r="V1838" s="104" t="n"/>
      <c r="W1838" s="102" t="n"/>
      <c r="X1838" s="104" t="n"/>
      <c r="Y1838" s="102" t="n"/>
      <c r="Z1838" s="104" t="n"/>
      <c r="AB1838" s="105">
        <f>IF($B1838="","",(COUNTIF(C1808:E1825,$B1838)+COUNTIF(C1808:E1825,$B1838&amp;" ~*")&gt;0)+(COUNTIF(G1808:I1825,$B1838)+COUNTIF(G1808:I1825,$B1838&amp;" ~*")&gt;0)+(COUNTIF(K1808:M1825,$B1838)+COUNTIF(K1808:M1825,$B1838&amp;" ~*")&gt;0)+(COUNTIF(O1808:Q1825,$B1838)+COUNTIF(O1808:Q1825,$B1838&amp;" ~*")&gt;0)+(COUNTIF(S1808:U1825,$B1838)+COUNTIF(S1808:U1825,$B1838&amp;" ~*")&gt;0)+(COUNTIF(W1808:W1825,$B1838)+COUNTIF(W1808:W1825,$B1838&amp;" ~*")&gt;0)+(COUNTIF(Y1808:Y1825,$B1838)+COUNTIF(Y1808:Y1825,$B1838&amp;" ~*")&gt;0))</f>
        <v/>
      </c>
      <c r="AC1838" s="38">
        <f>IF($B1838="","",(IFERROR(INDEX(Setup!$G$33:$G$40,MATCH(C1838,Setup!$B$33:$B$40,0)),0)=1)*(COUNTIF(C1808:E1825,$B1838)+COUNTIF(C1808:E1825,$B1838&amp;" ~*")&gt;0)+(IFERROR(INDEX(Setup!$G$33:$G$40,MATCH(G1838,Setup!$B$33:$B$40,0)),0)=1)*(COUNTIF(G1808:I1825,$B1838)+COUNTIF(G1808:I1825,$B1838&amp;" ~*")&gt;0)+(IFERROR(INDEX(Setup!$G$33:$G$40,MATCH(K1838,Setup!$B$33:$B$40,0)),0)=1)*(COUNTIF(K1808:M1825,$B1838)+COUNTIF(K1808:M1825,$B1838&amp;" ~*")&gt;0)+(IFERROR(INDEX(Setup!$G$33:$G$40,MATCH(O1838,Setup!$B$33:$B$40,0)),0)=1)*(COUNTIF(O1808:Q1825,$B1838)+COUNTIF(O1808:Q1825,$B1838&amp;" ~*")&gt;0)+(IFERROR(INDEX(Setup!$G$33:$G$40,MATCH(S1838,Setup!$B$33:$B$40,0)),0)=1)*(COUNTIF(S1808:U1825,$B1838)+COUNTIF(S1808:U1825,$B1838&amp;" ~*")&gt;0)+(IFERROR(INDEX(Setup!$G$33:$G$40,MATCH(W1838,Setup!$B$33:$B$40,0)),0)=1)*(COUNTIF(W1808:W1825,$B1838)+COUNTIF(W1808:W1825,$B1838&amp;" ~*")&gt;0)+(IFERROR(INDEX(Setup!$G$33:$G$40,MATCH(Y1838,Setup!$B$33:$B$40,0)),0)=1)*(COUNTIF(Y1808:Y1825,$B1838)+COUNTIF(Y1808:Y1825,$B1838&amp;" ~*")&gt;0))</f>
        <v/>
      </c>
    </row>
    <row r="1839" ht="15" customHeight="1">
      <c r="A1839" t="n">
        <v>37</v>
      </c>
      <c r="B1839" s="35">
        <f>IF(Setup!$B$18="","",Setup!$B$18)</f>
        <v/>
      </c>
      <c r="C1839" s="98" t="n"/>
      <c r="D1839" s="99" t="n"/>
      <c r="E1839" s="99" t="n"/>
      <c r="F1839" s="100" t="n"/>
      <c r="G1839" s="98" t="n"/>
      <c r="H1839" s="99" t="n"/>
      <c r="I1839" s="99" t="n"/>
      <c r="J1839" s="100" t="n"/>
      <c r="K1839" s="98" t="n"/>
      <c r="L1839" s="99" t="n"/>
      <c r="M1839" s="99" t="n"/>
      <c r="N1839" s="100" t="n"/>
      <c r="O1839" s="98" t="n"/>
      <c r="P1839" s="99" t="n"/>
      <c r="Q1839" s="99" t="n"/>
      <c r="R1839" s="100" t="n"/>
      <c r="S1839" s="98" t="n"/>
      <c r="T1839" s="99" t="n"/>
      <c r="U1839" s="99" t="n"/>
      <c r="V1839" s="100" t="n"/>
      <c r="W1839" s="98" t="n"/>
      <c r="X1839" s="100" t="n"/>
      <c r="Y1839" s="98" t="n"/>
      <c r="Z1839" s="100" t="n"/>
      <c r="AB1839" s="101">
        <f>IF($B1839="","",(COUNTIF(C1808:E1825,$B1839)+COUNTIF(C1808:E1825,$B1839&amp;" ~*")&gt;0)+(COUNTIF(G1808:I1825,$B1839)+COUNTIF(G1808:I1825,$B1839&amp;" ~*")&gt;0)+(COUNTIF(K1808:M1825,$B1839)+COUNTIF(K1808:M1825,$B1839&amp;" ~*")&gt;0)+(COUNTIF(O1808:Q1825,$B1839)+COUNTIF(O1808:Q1825,$B1839&amp;" ~*")&gt;0)+(COUNTIF(S1808:U1825,$B1839)+COUNTIF(S1808:U1825,$B1839&amp;" ~*")&gt;0)+(COUNTIF(W1808:W1825,$B1839)+COUNTIF(W1808:W1825,$B1839&amp;" ~*")&gt;0)+(COUNTIF(Y1808:Y1825,$B1839)+COUNTIF(Y1808:Y1825,$B1839&amp;" ~*")&gt;0))</f>
        <v/>
      </c>
      <c r="AC1839" s="36">
        <f>IF($B1839="","",(IFERROR(INDEX(Setup!$G$33:$G$40,MATCH(C1839,Setup!$B$33:$B$40,0)),0)=1)*(COUNTIF(C1808:E1825,$B1839)+COUNTIF(C1808:E1825,$B1839&amp;" ~*")&gt;0)+(IFERROR(INDEX(Setup!$G$33:$G$40,MATCH(G1839,Setup!$B$33:$B$40,0)),0)=1)*(COUNTIF(G1808:I1825,$B1839)+COUNTIF(G1808:I1825,$B1839&amp;" ~*")&gt;0)+(IFERROR(INDEX(Setup!$G$33:$G$40,MATCH(K1839,Setup!$B$33:$B$40,0)),0)=1)*(COUNTIF(K1808:M1825,$B1839)+COUNTIF(K1808:M1825,$B1839&amp;" ~*")&gt;0)+(IFERROR(INDEX(Setup!$G$33:$G$40,MATCH(O1839,Setup!$B$33:$B$40,0)),0)=1)*(COUNTIF(O1808:Q1825,$B1839)+COUNTIF(O1808:Q1825,$B1839&amp;" ~*")&gt;0)+(IFERROR(INDEX(Setup!$G$33:$G$40,MATCH(S1839,Setup!$B$33:$B$40,0)),0)=1)*(COUNTIF(S1808:U1825,$B1839)+COUNTIF(S1808:U1825,$B1839&amp;" ~*")&gt;0)+(IFERROR(INDEX(Setup!$G$33:$G$40,MATCH(W1839,Setup!$B$33:$B$40,0)),0)=1)*(COUNTIF(W1808:W1825,$B1839)+COUNTIF(W1808:W1825,$B1839&amp;" ~*")&gt;0)+(IFERROR(INDEX(Setup!$G$33:$G$40,MATCH(Y1839,Setup!$B$33:$B$40,0)),0)=1)*(COUNTIF(Y1808:Y1825,$B1839)+COUNTIF(Y1808:Y1825,$B1839&amp;" ~*")&gt;0))</f>
        <v/>
      </c>
    </row>
    <row r="1840" ht="15" customHeight="1">
      <c r="A1840" t="n">
        <v>37</v>
      </c>
      <c r="B1840" s="37">
        <f>IF(Setup!$B$19="","",Setup!$B$19)</f>
        <v/>
      </c>
      <c r="C1840" s="102" t="n"/>
      <c r="D1840" s="103" t="n"/>
      <c r="E1840" s="103" t="n"/>
      <c r="F1840" s="104" t="n"/>
      <c r="G1840" s="102" t="n"/>
      <c r="H1840" s="103" t="n"/>
      <c r="I1840" s="103" t="n"/>
      <c r="J1840" s="104" t="n"/>
      <c r="K1840" s="102" t="n"/>
      <c r="L1840" s="103" t="n"/>
      <c r="M1840" s="103" t="n"/>
      <c r="N1840" s="104" t="n"/>
      <c r="O1840" s="102" t="n"/>
      <c r="P1840" s="103" t="n"/>
      <c r="Q1840" s="103" t="n"/>
      <c r="R1840" s="104" t="n"/>
      <c r="S1840" s="102" t="n"/>
      <c r="T1840" s="103" t="n"/>
      <c r="U1840" s="103" t="n"/>
      <c r="V1840" s="104" t="n"/>
      <c r="W1840" s="102" t="n"/>
      <c r="X1840" s="104" t="n"/>
      <c r="Y1840" s="102" t="n"/>
      <c r="Z1840" s="104" t="n"/>
      <c r="AB1840" s="105">
        <f>IF($B1840="","",(COUNTIF(C1808:E1825,$B1840)+COUNTIF(C1808:E1825,$B1840&amp;" ~*")&gt;0)+(COUNTIF(G1808:I1825,$B1840)+COUNTIF(G1808:I1825,$B1840&amp;" ~*")&gt;0)+(COUNTIF(K1808:M1825,$B1840)+COUNTIF(K1808:M1825,$B1840&amp;" ~*")&gt;0)+(COUNTIF(O1808:Q1825,$B1840)+COUNTIF(O1808:Q1825,$B1840&amp;" ~*")&gt;0)+(COUNTIF(S1808:U1825,$B1840)+COUNTIF(S1808:U1825,$B1840&amp;" ~*")&gt;0)+(COUNTIF(W1808:W1825,$B1840)+COUNTIF(W1808:W1825,$B1840&amp;" ~*")&gt;0)+(COUNTIF(Y1808:Y1825,$B1840)+COUNTIF(Y1808:Y1825,$B1840&amp;" ~*")&gt;0))</f>
        <v/>
      </c>
      <c r="AC1840" s="38">
        <f>IF($B1840="","",(IFERROR(INDEX(Setup!$G$33:$G$40,MATCH(C1840,Setup!$B$33:$B$40,0)),0)=1)*(COUNTIF(C1808:E1825,$B1840)+COUNTIF(C1808:E1825,$B1840&amp;" ~*")&gt;0)+(IFERROR(INDEX(Setup!$G$33:$G$40,MATCH(G1840,Setup!$B$33:$B$40,0)),0)=1)*(COUNTIF(G1808:I1825,$B1840)+COUNTIF(G1808:I1825,$B1840&amp;" ~*")&gt;0)+(IFERROR(INDEX(Setup!$G$33:$G$40,MATCH(K1840,Setup!$B$33:$B$40,0)),0)=1)*(COUNTIF(K1808:M1825,$B1840)+COUNTIF(K1808:M1825,$B1840&amp;" ~*")&gt;0)+(IFERROR(INDEX(Setup!$G$33:$G$40,MATCH(O1840,Setup!$B$33:$B$40,0)),0)=1)*(COUNTIF(O1808:Q1825,$B1840)+COUNTIF(O1808:Q1825,$B1840&amp;" ~*")&gt;0)+(IFERROR(INDEX(Setup!$G$33:$G$40,MATCH(S1840,Setup!$B$33:$B$40,0)),0)=1)*(COUNTIF(S1808:U1825,$B1840)+COUNTIF(S1808:U1825,$B1840&amp;" ~*")&gt;0)+(IFERROR(INDEX(Setup!$G$33:$G$40,MATCH(W1840,Setup!$B$33:$B$40,0)),0)=1)*(COUNTIF(W1808:W1825,$B1840)+COUNTIF(W1808:W1825,$B1840&amp;" ~*")&gt;0)+(IFERROR(INDEX(Setup!$G$33:$G$40,MATCH(Y1840,Setup!$B$33:$B$40,0)),0)=1)*(COUNTIF(Y1808:Y1825,$B1840)+COUNTIF(Y1808:Y1825,$B1840&amp;" ~*")&gt;0))</f>
        <v/>
      </c>
    </row>
    <row r="1841" ht="15" customHeight="1">
      <c r="A1841" t="n">
        <v>37</v>
      </c>
      <c r="B1841" s="35">
        <f>IF(Setup!$B$20="","",Setup!$B$20)</f>
        <v/>
      </c>
      <c r="C1841" s="98" t="n"/>
      <c r="D1841" s="99" t="n"/>
      <c r="E1841" s="99" t="n"/>
      <c r="F1841" s="100" t="n"/>
      <c r="G1841" s="98" t="n"/>
      <c r="H1841" s="99" t="n"/>
      <c r="I1841" s="99" t="n"/>
      <c r="J1841" s="100" t="n"/>
      <c r="K1841" s="98" t="n"/>
      <c r="L1841" s="99" t="n"/>
      <c r="M1841" s="99" t="n"/>
      <c r="N1841" s="100" t="n"/>
      <c r="O1841" s="98" t="n"/>
      <c r="P1841" s="99" t="n"/>
      <c r="Q1841" s="99" t="n"/>
      <c r="R1841" s="100" t="n"/>
      <c r="S1841" s="98" t="n"/>
      <c r="T1841" s="99" t="n"/>
      <c r="U1841" s="99" t="n"/>
      <c r="V1841" s="100" t="n"/>
      <c r="W1841" s="98" t="n"/>
      <c r="X1841" s="100" t="n"/>
      <c r="Y1841" s="98" t="n"/>
      <c r="Z1841" s="100" t="n"/>
      <c r="AB1841" s="101">
        <f>IF($B1841="","",(COUNTIF(C1808:E1825,$B1841)+COUNTIF(C1808:E1825,$B1841&amp;" ~*")&gt;0)+(COUNTIF(G1808:I1825,$B1841)+COUNTIF(G1808:I1825,$B1841&amp;" ~*")&gt;0)+(COUNTIF(K1808:M1825,$B1841)+COUNTIF(K1808:M1825,$B1841&amp;" ~*")&gt;0)+(COUNTIF(O1808:Q1825,$B1841)+COUNTIF(O1808:Q1825,$B1841&amp;" ~*")&gt;0)+(COUNTIF(S1808:U1825,$B1841)+COUNTIF(S1808:U1825,$B1841&amp;" ~*")&gt;0)+(COUNTIF(W1808:W1825,$B1841)+COUNTIF(W1808:W1825,$B1841&amp;" ~*")&gt;0)+(COUNTIF(Y1808:Y1825,$B1841)+COUNTIF(Y1808:Y1825,$B1841&amp;" ~*")&gt;0))</f>
        <v/>
      </c>
      <c r="AC1841" s="36">
        <f>IF($B1841="","",(IFERROR(INDEX(Setup!$G$33:$G$40,MATCH(C1841,Setup!$B$33:$B$40,0)),0)=1)*(COUNTIF(C1808:E1825,$B1841)+COUNTIF(C1808:E1825,$B1841&amp;" ~*")&gt;0)+(IFERROR(INDEX(Setup!$G$33:$G$40,MATCH(G1841,Setup!$B$33:$B$40,0)),0)=1)*(COUNTIF(G1808:I1825,$B1841)+COUNTIF(G1808:I1825,$B1841&amp;" ~*")&gt;0)+(IFERROR(INDEX(Setup!$G$33:$G$40,MATCH(K1841,Setup!$B$33:$B$40,0)),0)=1)*(COUNTIF(K1808:M1825,$B1841)+COUNTIF(K1808:M1825,$B1841&amp;" ~*")&gt;0)+(IFERROR(INDEX(Setup!$G$33:$G$40,MATCH(O1841,Setup!$B$33:$B$40,0)),0)=1)*(COUNTIF(O1808:Q1825,$B1841)+COUNTIF(O1808:Q1825,$B1841&amp;" ~*")&gt;0)+(IFERROR(INDEX(Setup!$G$33:$G$40,MATCH(S1841,Setup!$B$33:$B$40,0)),0)=1)*(COUNTIF(S1808:U1825,$B1841)+COUNTIF(S1808:U1825,$B1841&amp;" ~*")&gt;0)+(IFERROR(INDEX(Setup!$G$33:$G$40,MATCH(W1841,Setup!$B$33:$B$40,0)),0)=1)*(COUNTIF(W1808:W1825,$B1841)+COUNTIF(W1808:W1825,$B1841&amp;" ~*")&gt;0)+(IFERROR(INDEX(Setup!$G$33:$G$40,MATCH(Y1841,Setup!$B$33:$B$40,0)),0)=1)*(COUNTIF(Y1808:Y1825,$B1841)+COUNTIF(Y1808:Y1825,$B1841&amp;" ~*")&gt;0))</f>
        <v/>
      </c>
    </row>
    <row r="1842" ht="15" customHeight="1">
      <c r="A1842" t="n">
        <v>37</v>
      </c>
      <c r="B1842" s="37">
        <f>IF(Setup!$B$21="","",Setup!$B$21)</f>
        <v/>
      </c>
      <c r="C1842" s="102" t="n"/>
      <c r="D1842" s="103" t="n"/>
      <c r="E1842" s="103" t="n"/>
      <c r="F1842" s="104" t="n"/>
      <c r="G1842" s="102" t="n"/>
      <c r="H1842" s="103" t="n"/>
      <c r="I1842" s="103" t="n"/>
      <c r="J1842" s="104" t="n"/>
      <c r="K1842" s="102" t="n"/>
      <c r="L1842" s="103" t="n"/>
      <c r="M1842" s="103" t="n"/>
      <c r="N1842" s="104" t="n"/>
      <c r="O1842" s="102" t="n"/>
      <c r="P1842" s="103" t="n"/>
      <c r="Q1842" s="103" t="n"/>
      <c r="R1842" s="104" t="n"/>
      <c r="S1842" s="102" t="n"/>
      <c r="T1842" s="103" t="n"/>
      <c r="U1842" s="103" t="n"/>
      <c r="V1842" s="104" t="n"/>
      <c r="W1842" s="102" t="n"/>
      <c r="X1842" s="104" t="n"/>
      <c r="Y1842" s="102" t="n"/>
      <c r="Z1842" s="104" t="n"/>
      <c r="AB1842" s="105">
        <f>IF($B1842="","",(COUNTIF(C1808:E1825,$B1842)+COUNTIF(C1808:E1825,$B1842&amp;" ~*")&gt;0)+(COUNTIF(G1808:I1825,$B1842)+COUNTIF(G1808:I1825,$B1842&amp;" ~*")&gt;0)+(COUNTIF(K1808:M1825,$B1842)+COUNTIF(K1808:M1825,$B1842&amp;" ~*")&gt;0)+(COUNTIF(O1808:Q1825,$B1842)+COUNTIF(O1808:Q1825,$B1842&amp;" ~*")&gt;0)+(COUNTIF(S1808:U1825,$B1842)+COUNTIF(S1808:U1825,$B1842&amp;" ~*")&gt;0)+(COUNTIF(W1808:W1825,$B1842)+COUNTIF(W1808:W1825,$B1842&amp;" ~*")&gt;0)+(COUNTIF(Y1808:Y1825,$B1842)+COUNTIF(Y1808:Y1825,$B1842&amp;" ~*")&gt;0))</f>
        <v/>
      </c>
      <c r="AC1842" s="38">
        <f>IF($B1842="","",(IFERROR(INDEX(Setup!$G$33:$G$40,MATCH(C1842,Setup!$B$33:$B$40,0)),0)=1)*(COUNTIF(C1808:E1825,$B1842)+COUNTIF(C1808:E1825,$B1842&amp;" ~*")&gt;0)+(IFERROR(INDEX(Setup!$G$33:$G$40,MATCH(G1842,Setup!$B$33:$B$40,0)),0)=1)*(COUNTIF(G1808:I1825,$B1842)+COUNTIF(G1808:I1825,$B1842&amp;" ~*")&gt;0)+(IFERROR(INDEX(Setup!$G$33:$G$40,MATCH(K1842,Setup!$B$33:$B$40,0)),0)=1)*(COUNTIF(K1808:M1825,$B1842)+COUNTIF(K1808:M1825,$B1842&amp;" ~*")&gt;0)+(IFERROR(INDEX(Setup!$G$33:$G$40,MATCH(O1842,Setup!$B$33:$B$40,0)),0)=1)*(COUNTIF(O1808:Q1825,$B1842)+COUNTIF(O1808:Q1825,$B1842&amp;" ~*")&gt;0)+(IFERROR(INDEX(Setup!$G$33:$G$40,MATCH(S1842,Setup!$B$33:$B$40,0)),0)=1)*(COUNTIF(S1808:U1825,$B1842)+COUNTIF(S1808:U1825,$B1842&amp;" ~*")&gt;0)+(IFERROR(INDEX(Setup!$G$33:$G$40,MATCH(W1842,Setup!$B$33:$B$40,0)),0)=1)*(COUNTIF(W1808:W1825,$B1842)+COUNTIF(W1808:W1825,$B1842&amp;" ~*")&gt;0)+(IFERROR(INDEX(Setup!$G$33:$G$40,MATCH(Y1842,Setup!$B$33:$B$40,0)),0)=1)*(COUNTIF(Y1808:Y1825,$B1842)+COUNTIF(Y1808:Y1825,$B1842&amp;" ~*")&gt;0))</f>
        <v/>
      </c>
    </row>
    <row r="1843" ht="15" customHeight="1">
      <c r="A1843" t="n">
        <v>37</v>
      </c>
      <c r="B1843" s="35">
        <f>IF(Setup!$B$22="","",Setup!$B$22)</f>
        <v/>
      </c>
      <c r="C1843" s="98" t="n"/>
      <c r="D1843" s="99" t="n"/>
      <c r="E1843" s="99" t="n"/>
      <c r="F1843" s="100" t="n"/>
      <c r="G1843" s="98" t="n"/>
      <c r="H1843" s="99" t="n"/>
      <c r="I1843" s="99" t="n"/>
      <c r="J1843" s="100" t="n"/>
      <c r="K1843" s="98" t="n"/>
      <c r="L1843" s="99" t="n"/>
      <c r="M1843" s="99" t="n"/>
      <c r="N1843" s="100" t="n"/>
      <c r="O1843" s="98" t="n"/>
      <c r="P1843" s="99" t="n"/>
      <c r="Q1843" s="99" t="n"/>
      <c r="R1843" s="100" t="n"/>
      <c r="S1843" s="98" t="n"/>
      <c r="T1843" s="99" t="n"/>
      <c r="U1843" s="99" t="n"/>
      <c r="V1843" s="100" t="n"/>
      <c r="W1843" s="98" t="n"/>
      <c r="X1843" s="100" t="n"/>
      <c r="Y1843" s="98" t="n"/>
      <c r="Z1843" s="100" t="n"/>
      <c r="AB1843" s="101">
        <f>IF($B1843="","",(COUNTIF(C1808:E1825,$B1843)+COUNTIF(C1808:E1825,$B1843&amp;" ~*")&gt;0)+(COUNTIF(G1808:I1825,$B1843)+COUNTIF(G1808:I1825,$B1843&amp;" ~*")&gt;0)+(COUNTIF(K1808:M1825,$B1843)+COUNTIF(K1808:M1825,$B1843&amp;" ~*")&gt;0)+(COUNTIF(O1808:Q1825,$B1843)+COUNTIF(O1808:Q1825,$B1843&amp;" ~*")&gt;0)+(COUNTIF(S1808:U1825,$B1843)+COUNTIF(S1808:U1825,$B1843&amp;" ~*")&gt;0)+(COUNTIF(W1808:W1825,$B1843)+COUNTIF(W1808:W1825,$B1843&amp;" ~*")&gt;0)+(COUNTIF(Y1808:Y1825,$B1843)+COUNTIF(Y1808:Y1825,$B1843&amp;" ~*")&gt;0))</f>
        <v/>
      </c>
      <c r="AC1843" s="36">
        <f>IF($B1843="","",(IFERROR(INDEX(Setup!$G$33:$G$40,MATCH(C1843,Setup!$B$33:$B$40,0)),0)=1)*(COUNTIF(C1808:E1825,$B1843)+COUNTIF(C1808:E1825,$B1843&amp;" ~*")&gt;0)+(IFERROR(INDEX(Setup!$G$33:$G$40,MATCH(G1843,Setup!$B$33:$B$40,0)),0)=1)*(COUNTIF(G1808:I1825,$B1843)+COUNTIF(G1808:I1825,$B1843&amp;" ~*")&gt;0)+(IFERROR(INDEX(Setup!$G$33:$G$40,MATCH(K1843,Setup!$B$33:$B$40,0)),0)=1)*(COUNTIF(K1808:M1825,$B1843)+COUNTIF(K1808:M1825,$B1843&amp;" ~*")&gt;0)+(IFERROR(INDEX(Setup!$G$33:$G$40,MATCH(O1843,Setup!$B$33:$B$40,0)),0)=1)*(COUNTIF(O1808:Q1825,$B1843)+COUNTIF(O1808:Q1825,$B1843&amp;" ~*")&gt;0)+(IFERROR(INDEX(Setup!$G$33:$G$40,MATCH(S1843,Setup!$B$33:$B$40,0)),0)=1)*(COUNTIF(S1808:U1825,$B1843)+COUNTIF(S1808:U1825,$B1843&amp;" ~*")&gt;0)+(IFERROR(INDEX(Setup!$G$33:$G$40,MATCH(W1843,Setup!$B$33:$B$40,0)),0)=1)*(COUNTIF(W1808:W1825,$B1843)+COUNTIF(W1808:W1825,$B1843&amp;" ~*")&gt;0)+(IFERROR(INDEX(Setup!$G$33:$G$40,MATCH(Y1843,Setup!$B$33:$B$40,0)),0)=1)*(COUNTIF(Y1808:Y1825,$B1843)+COUNTIF(Y1808:Y1825,$B1843&amp;" ~*")&gt;0))</f>
        <v/>
      </c>
    </row>
    <row r="1844" ht="15" customHeight="1">
      <c r="A1844" t="n">
        <v>37</v>
      </c>
      <c r="B1844" s="37">
        <f>IF(Setup!$B$23="","",Setup!$B$23)</f>
        <v/>
      </c>
      <c r="C1844" s="102" t="n"/>
      <c r="D1844" s="103" t="n"/>
      <c r="E1844" s="103" t="n"/>
      <c r="F1844" s="104" t="n"/>
      <c r="G1844" s="102" t="n"/>
      <c r="H1844" s="103" t="n"/>
      <c r="I1844" s="103" t="n"/>
      <c r="J1844" s="104" t="n"/>
      <c r="K1844" s="102" t="n"/>
      <c r="L1844" s="103" t="n"/>
      <c r="M1844" s="103" t="n"/>
      <c r="N1844" s="104" t="n"/>
      <c r="O1844" s="102" t="n"/>
      <c r="P1844" s="103" t="n"/>
      <c r="Q1844" s="103" t="n"/>
      <c r="R1844" s="104" t="n"/>
      <c r="S1844" s="102" t="n"/>
      <c r="T1844" s="103" t="n"/>
      <c r="U1844" s="103" t="n"/>
      <c r="V1844" s="104" t="n"/>
      <c r="W1844" s="102" t="n"/>
      <c r="X1844" s="104" t="n"/>
      <c r="Y1844" s="102" t="n"/>
      <c r="Z1844" s="104" t="n"/>
      <c r="AB1844" s="105">
        <f>IF($B1844="","",(COUNTIF(C1808:E1825,$B1844)+COUNTIF(C1808:E1825,$B1844&amp;" ~*")&gt;0)+(COUNTIF(G1808:I1825,$B1844)+COUNTIF(G1808:I1825,$B1844&amp;" ~*")&gt;0)+(COUNTIF(K1808:M1825,$B1844)+COUNTIF(K1808:M1825,$B1844&amp;" ~*")&gt;0)+(COUNTIF(O1808:Q1825,$B1844)+COUNTIF(O1808:Q1825,$B1844&amp;" ~*")&gt;0)+(COUNTIF(S1808:U1825,$B1844)+COUNTIF(S1808:U1825,$B1844&amp;" ~*")&gt;0)+(COUNTIF(W1808:W1825,$B1844)+COUNTIF(W1808:W1825,$B1844&amp;" ~*")&gt;0)+(COUNTIF(Y1808:Y1825,$B1844)+COUNTIF(Y1808:Y1825,$B1844&amp;" ~*")&gt;0))</f>
        <v/>
      </c>
      <c r="AC1844" s="38">
        <f>IF($B1844="","",(IFERROR(INDEX(Setup!$G$33:$G$40,MATCH(C1844,Setup!$B$33:$B$40,0)),0)=1)*(COUNTIF(C1808:E1825,$B1844)+COUNTIF(C1808:E1825,$B1844&amp;" ~*")&gt;0)+(IFERROR(INDEX(Setup!$G$33:$G$40,MATCH(G1844,Setup!$B$33:$B$40,0)),0)=1)*(COUNTIF(G1808:I1825,$B1844)+COUNTIF(G1808:I1825,$B1844&amp;" ~*")&gt;0)+(IFERROR(INDEX(Setup!$G$33:$G$40,MATCH(K1844,Setup!$B$33:$B$40,0)),0)=1)*(COUNTIF(K1808:M1825,$B1844)+COUNTIF(K1808:M1825,$B1844&amp;" ~*")&gt;0)+(IFERROR(INDEX(Setup!$G$33:$G$40,MATCH(O1844,Setup!$B$33:$B$40,0)),0)=1)*(COUNTIF(O1808:Q1825,$B1844)+COUNTIF(O1808:Q1825,$B1844&amp;" ~*")&gt;0)+(IFERROR(INDEX(Setup!$G$33:$G$40,MATCH(S1844,Setup!$B$33:$B$40,0)),0)=1)*(COUNTIF(S1808:U1825,$B1844)+COUNTIF(S1808:U1825,$B1844&amp;" ~*")&gt;0)+(IFERROR(INDEX(Setup!$G$33:$G$40,MATCH(W1844,Setup!$B$33:$B$40,0)),0)=1)*(COUNTIF(W1808:W1825,$B1844)+COUNTIF(W1808:W1825,$B1844&amp;" ~*")&gt;0)+(IFERROR(INDEX(Setup!$G$33:$G$40,MATCH(Y1844,Setup!$B$33:$B$40,0)),0)=1)*(COUNTIF(Y1808:Y1825,$B1844)+COUNTIF(Y1808:Y1825,$B1844&amp;" ~*")&gt;0))</f>
        <v/>
      </c>
    </row>
    <row r="1845" ht="15" customHeight="1">
      <c r="A1845" t="n">
        <v>37</v>
      </c>
      <c r="B1845" s="35">
        <f>IF(Setup!$B$24="","",Setup!$B$24)</f>
        <v/>
      </c>
      <c r="C1845" s="98" t="n"/>
      <c r="D1845" s="99" t="n"/>
      <c r="E1845" s="99" t="n"/>
      <c r="F1845" s="100" t="n"/>
      <c r="G1845" s="98" t="n"/>
      <c r="H1845" s="99" t="n"/>
      <c r="I1845" s="99" t="n"/>
      <c r="J1845" s="100" t="n"/>
      <c r="K1845" s="98" t="n"/>
      <c r="L1845" s="99" t="n"/>
      <c r="M1845" s="99" t="n"/>
      <c r="N1845" s="100" t="n"/>
      <c r="O1845" s="98" t="n"/>
      <c r="P1845" s="99" t="n"/>
      <c r="Q1845" s="99" t="n"/>
      <c r="R1845" s="100" t="n"/>
      <c r="S1845" s="98" t="n"/>
      <c r="T1845" s="99" t="n"/>
      <c r="U1845" s="99" t="n"/>
      <c r="V1845" s="100" t="n"/>
      <c r="W1845" s="98" t="n"/>
      <c r="X1845" s="100" t="n"/>
      <c r="Y1845" s="98" t="n"/>
      <c r="Z1845" s="100" t="n"/>
      <c r="AB1845" s="101">
        <f>IF($B1845="","",(COUNTIF(C1808:E1825,$B1845)+COUNTIF(C1808:E1825,$B1845&amp;" ~*")&gt;0)+(COUNTIF(G1808:I1825,$B1845)+COUNTIF(G1808:I1825,$B1845&amp;" ~*")&gt;0)+(COUNTIF(K1808:M1825,$B1845)+COUNTIF(K1808:M1825,$B1845&amp;" ~*")&gt;0)+(COUNTIF(O1808:Q1825,$B1845)+COUNTIF(O1808:Q1825,$B1845&amp;" ~*")&gt;0)+(COUNTIF(S1808:U1825,$B1845)+COUNTIF(S1808:U1825,$B1845&amp;" ~*")&gt;0)+(COUNTIF(W1808:W1825,$B1845)+COUNTIF(W1808:W1825,$B1845&amp;" ~*")&gt;0)+(COUNTIF(Y1808:Y1825,$B1845)+COUNTIF(Y1808:Y1825,$B1845&amp;" ~*")&gt;0))</f>
        <v/>
      </c>
      <c r="AC1845" s="36">
        <f>IF($B1845="","",(IFERROR(INDEX(Setup!$G$33:$G$40,MATCH(C1845,Setup!$B$33:$B$40,0)),0)=1)*(COUNTIF(C1808:E1825,$B1845)+COUNTIF(C1808:E1825,$B1845&amp;" ~*")&gt;0)+(IFERROR(INDEX(Setup!$G$33:$G$40,MATCH(G1845,Setup!$B$33:$B$40,0)),0)=1)*(COUNTIF(G1808:I1825,$B1845)+COUNTIF(G1808:I1825,$B1845&amp;" ~*")&gt;0)+(IFERROR(INDEX(Setup!$G$33:$G$40,MATCH(K1845,Setup!$B$33:$B$40,0)),0)=1)*(COUNTIF(K1808:M1825,$B1845)+COUNTIF(K1808:M1825,$B1845&amp;" ~*")&gt;0)+(IFERROR(INDEX(Setup!$G$33:$G$40,MATCH(O1845,Setup!$B$33:$B$40,0)),0)=1)*(COUNTIF(O1808:Q1825,$B1845)+COUNTIF(O1808:Q1825,$B1845&amp;" ~*")&gt;0)+(IFERROR(INDEX(Setup!$G$33:$G$40,MATCH(S1845,Setup!$B$33:$B$40,0)),0)=1)*(COUNTIF(S1808:U1825,$B1845)+COUNTIF(S1808:U1825,$B1845&amp;" ~*")&gt;0)+(IFERROR(INDEX(Setup!$G$33:$G$40,MATCH(W1845,Setup!$B$33:$B$40,0)),0)=1)*(COUNTIF(W1808:W1825,$B1845)+COUNTIF(W1808:W1825,$B1845&amp;" ~*")&gt;0)+(IFERROR(INDEX(Setup!$G$33:$G$40,MATCH(Y1845,Setup!$B$33:$B$40,0)),0)=1)*(COUNTIF(Y1808:Y1825,$B1845)+COUNTIF(Y1808:Y1825,$B1845&amp;" ~*")&gt;0))</f>
        <v/>
      </c>
    </row>
    <row r="1846" ht="15" customHeight="1">
      <c r="A1846" t="n">
        <v>37</v>
      </c>
      <c r="B1846" s="37">
        <f>IF(Setup!$B$25="","",Setup!$B$25)</f>
        <v/>
      </c>
      <c r="C1846" s="102" t="n"/>
      <c r="D1846" s="103" t="n"/>
      <c r="E1846" s="103" t="n"/>
      <c r="F1846" s="104" t="n"/>
      <c r="G1846" s="102" t="n"/>
      <c r="H1846" s="103" t="n"/>
      <c r="I1846" s="103" t="n"/>
      <c r="J1846" s="104" t="n"/>
      <c r="K1846" s="102" t="n"/>
      <c r="L1846" s="103" t="n"/>
      <c r="M1846" s="103" t="n"/>
      <c r="N1846" s="104" t="n"/>
      <c r="O1846" s="102" t="n"/>
      <c r="P1846" s="103" t="n"/>
      <c r="Q1846" s="103" t="n"/>
      <c r="R1846" s="104" t="n"/>
      <c r="S1846" s="102" t="n"/>
      <c r="T1846" s="103" t="n"/>
      <c r="U1846" s="103" t="n"/>
      <c r="V1846" s="104" t="n"/>
      <c r="W1846" s="102" t="n"/>
      <c r="X1846" s="104" t="n"/>
      <c r="Y1846" s="102" t="n"/>
      <c r="Z1846" s="104" t="n"/>
      <c r="AB1846" s="105">
        <f>IF($B1846="","",(COUNTIF(C1808:E1825,$B1846)+COUNTIF(C1808:E1825,$B1846&amp;" ~*")&gt;0)+(COUNTIF(G1808:I1825,$B1846)+COUNTIF(G1808:I1825,$B1846&amp;" ~*")&gt;0)+(COUNTIF(K1808:M1825,$B1846)+COUNTIF(K1808:M1825,$B1846&amp;" ~*")&gt;0)+(COUNTIF(O1808:Q1825,$B1846)+COUNTIF(O1808:Q1825,$B1846&amp;" ~*")&gt;0)+(COUNTIF(S1808:U1825,$B1846)+COUNTIF(S1808:U1825,$B1846&amp;" ~*")&gt;0)+(COUNTIF(W1808:W1825,$B1846)+COUNTIF(W1808:W1825,$B1846&amp;" ~*")&gt;0)+(COUNTIF(Y1808:Y1825,$B1846)+COUNTIF(Y1808:Y1825,$B1846&amp;" ~*")&gt;0))</f>
        <v/>
      </c>
      <c r="AC1846" s="38">
        <f>IF($B1846="","",(IFERROR(INDEX(Setup!$G$33:$G$40,MATCH(C1846,Setup!$B$33:$B$40,0)),0)=1)*(COUNTIF(C1808:E1825,$B1846)+COUNTIF(C1808:E1825,$B1846&amp;" ~*")&gt;0)+(IFERROR(INDEX(Setup!$G$33:$G$40,MATCH(G1846,Setup!$B$33:$B$40,0)),0)=1)*(COUNTIF(G1808:I1825,$B1846)+COUNTIF(G1808:I1825,$B1846&amp;" ~*")&gt;0)+(IFERROR(INDEX(Setup!$G$33:$G$40,MATCH(K1846,Setup!$B$33:$B$40,0)),0)=1)*(COUNTIF(K1808:M1825,$B1846)+COUNTIF(K1808:M1825,$B1846&amp;" ~*")&gt;0)+(IFERROR(INDEX(Setup!$G$33:$G$40,MATCH(O1846,Setup!$B$33:$B$40,0)),0)=1)*(COUNTIF(O1808:Q1825,$B1846)+COUNTIF(O1808:Q1825,$B1846&amp;" ~*")&gt;0)+(IFERROR(INDEX(Setup!$G$33:$G$40,MATCH(S1846,Setup!$B$33:$B$40,0)),0)=1)*(COUNTIF(S1808:U1825,$B1846)+COUNTIF(S1808:U1825,$B1846&amp;" ~*")&gt;0)+(IFERROR(INDEX(Setup!$G$33:$G$40,MATCH(W1846,Setup!$B$33:$B$40,0)),0)=1)*(COUNTIF(W1808:W1825,$B1846)+COUNTIF(W1808:W1825,$B1846&amp;" ~*")&gt;0)+(IFERROR(INDEX(Setup!$G$33:$G$40,MATCH(Y1846,Setup!$B$33:$B$40,0)),0)=1)*(COUNTIF(Y1808:Y1825,$B1846)+COUNTIF(Y1808:Y1825,$B1846&amp;" ~*")&gt;0))</f>
        <v/>
      </c>
    </row>
    <row r="1847" ht="15" customHeight="1">
      <c r="A1847" t="n">
        <v>37</v>
      </c>
      <c r="B1847" s="35">
        <f>IF(Setup!$B$26="","",Setup!$B$26)</f>
        <v/>
      </c>
      <c r="C1847" s="98" t="n"/>
      <c r="D1847" s="99" t="n"/>
      <c r="E1847" s="99" t="n"/>
      <c r="F1847" s="100" t="n"/>
      <c r="G1847" s="98" t="n"/>
      <c r="H1847" s="99" t="n"/>
      <c r="I1847" s="99" t="n"/>
      <c r="J1847" s="100" t="n"/>
      <c r="K1847" s="98" t="n"/>
      <c r="L1847" s="99" t="n"/>
      <c r="M1847" s="99" t="n"/>
      <c r="N1847" s="100" t="n"/>
      <c r="O1847" s="98" t="n"/>
      <c r="P1847" s="99" t="n"/>
      <c r="Q1847" s="99" t="n"/>
      <c r="R1847" s="100" t="n"/>
      <c r="S1847" s="98" t="n"/>
      <c r="T1847" s="99" t="n"/>
      <c r="U1847" s="99" t="n"/>
      <c r="V1847" s="100" t="n"/>
      <c r="W1847" s="98" t="n"/>
      <c r="X1847" s="100" t="n"/>
      <c r="Y1847" s="98" t="n"/>
      <c r="Z1847" s="100" t="n"/>
      <c r="AB1847" s="101">
        <f>IF($B1847="","",(COUNTIF(C1808:E1825,$B1847)+COUNTIF(C1808:E1825,$B1847&amp;" ~*")&gt;0)+(COUNTIF(G1808:I1825,$B1847)+COUNTIF(G1808:I1825,$B1847&amp;" ~*")&gt;0)+(COUNTIF(K1808:M1825,$B1847)+COUNTIF(K1808:M1825,$B1847&amp;" ~*")&gt;0)+(COUNTIF(O1808:Q1825,$B1847)+COUNTIF(O1808:Q1825,$B1847&amp;" ~*")&gt;0)+(COUNTIF(S1808:U1825,$B1847)+COUNTIF(S1808:U1825,$B1847&amp;" ~*")&gt;0)+(COUNTIF(W1808:W1825,$B1847)+COUNTIF(W1808:W1825,$B1847&amp;" ~*")&gt;0)+(COUNTIF(Y1808:Y1825,$B1847)+COUNTIF(Y1808:Y1825,$B1847&amp;" ~*")&gt;0))</f>
        <v/>
      </c>
      <c r="AC1847" s="36">
        <f>IF($B1847="","",(IFERROR(INDEX(Setup!$G$33:$G$40,MATCH(C1847,Setup!$B$33:$B$40,0)),0)=1)*(COUNTIF(C1808:E1825,$B1847)+COUNTIF(C1808:E1825,$B1847&amp;" ~*")&gt;0)+(IFERROR(INDEX(Setup!$G$33:$G$40,MATCH(G1847,Setup!$B$33:$B$40,0)),0)=1)*(COUNTIF(G1808:I1825,$B1847)+COUNTIF(G1808:I1825,$B1847&amp;" ~*")&gt;0)+(IFERROR(INDEX(Setup!$G$33:$G$40,MATCH(K1847,Setup!$B$33:$B$40,0)),0)=1)*(COUNTIF(K1808:M1825,$B1847)+COUNTIF(K1808:M1825,$B1847&amp;" ~*")&gt;0)+(IFERROR(INDEX(Setup!$G$33:$G$40,MATCH(O1847,Setup!$B$33:$B$40,0)),0)=1)*(COUNTIF(O1808:Q1825,$B1847)+COUNTIF(O1808:Q1825,$B1847&amp;" ~*")&gt;0)+(IFERROR(INDEX(Setup!$G$33:$G$40,MATCH(S1847,Setup!$B$33:$B$40,0)),0)=1)*(COUNTIF(S1808:U1825,$B1847)+COUNTIF(S1808:U1825,$B1847&amp;" ~*")&gt;0)+(IFERROR(INDEX(Setup!$G$33:$G$40,MATCH(W1847,Setup!$B$33:$B$40,0)),0)=1)*(COUNTIF(W1808:W1825,$B1847)+COUNTIF(W1808:W1825,$B1847&amp;" ~*")&gt;0)+(IFERROR(INDEX(Setup!$G$33:$G$40,MATCH(Y1847,Setup!$B$33:$B$40,0)),0)=1)*(COUNTIF(Y1808:Y1825,$B1847)+COUNTIF(Y1808:Y1825,$B1847&amp;" ~*")&gt;0))</f>
        <v/>
      </c>
    </row>
    <row r="1848" ht="15" customHeight="1">
      <c r="A1848" t="n">
        <v>37</v>
      </c>
      <c r="B1848" s="37">
        <f>IF(Setup!$B$27="","",Setup!$B$27)</f>
        <v/>
      </c>
      <c r="C1848" s="102" t="n"/>
      <c r="D1848" s="103" t="n"/>
      <c r="E1848" s="103" t="n"/>
      <c r="F1848" s="104" t="n"/>
      <c r="G1848" s="102" t="n"/>
      <c r="H1848" s="103" t="n"/>
      <c r="I1848" s="103" t="n"/>
      <c r="J1848" s="104" t="n"/>
      <c r="K1848" s="102" t="n"/>
      <c r="L1848" s="103" t="n"/>
      <c r="M1848" s="103" t="n"/>
      <c r="N1848" s="104" t="n"/>
      <c r="O1848" s="102" t="n"/>
      <c r="P1848" s="103" t="n"/>
      <c r="Q1848" s="103" t="n"/>
      <c r="R1848" s="104" t="n"/>
      <c r="S1848" s="102" t="n"/>
      <c r="T1848" s="103" t="n"/>
      <c r="U1848" s="103" t="n"/>
      <c r="V1848" s="104" t="n"/>
      <c r="W1848" s="102" t="n"/>
      <c r="X1848" s="104" t="n"/>
      <c r="Y1848" s="102" t="n"/>
      <c r="Z1848" s="104" t="n"/>
      <c r="AB1848" s="105">
        <f>IF($B1848="","",(COUNTIF(C1808:E1825,$B1848)+COUNTIF(C1808:E1825,$B1848&amp;" ~*")&gt;0)+(COUNTIF(G1808:I1825,$B1848)+COUNTIF(G1808:I1825,$B1848&amp;" ~*")&gt;0)+(COUNTIF(K1808:M1825,$B1848)+COUNTIF(K1808:M1825,$B1848&amp;" ~*")&gt;0)+(COUNTIF(O1808:Q1825,$B1848)+COUNTIF(O1808:Q1825,$B1848&amp;" ~*")&gt;0)+(COUNTIF(S1808:U1825,$B1848)+COUNTIF(S1808:U1825,$B1848&amp;" ~*")&gt;0)+(COUNTIF(W1808:W1825,$B1848)+COUNTIF(W1808:W1825,$B1848&amp;" ~*")&gt;0)+(COUNTIF(Y1808:Y1825,$B1848)+COUNTIF(Y1808:Y1825,$B1848&amp;" ~*")&gt;0))</f>
        <v/>
      </c>
      <c r="AC1848" s="38">
        <f>IF($B1848="","",(IFERROR(INDEX(Setup!$G$33:$G$40,MATCH(C1848,Setup!$B$33:$B$40,0)),0)=1)*(COUNTIF(C1808:E1825,$B1848)+COUNTIF(C1808:E1825,$B1848&amp;" ~*")&gt;0)+(IFERROR(INDEX(Setup!$G$33:$G$40,MATCH(G1848,Setup!$B$33:$B$40,0)),0)=1)*(COUNTIF(G1808:I1825,$B1848)+COUNTIF(G1808:I1825,$B1848&amp;" ~*")&gt;0)+(IFERROR(INDEX(Setup!$G$33:$G$40,MATCH(K1848,Setup!$B$33:$B$40,0)),0)=1)*(COUNTIF(K1808:M1825,$B1848)+COUNTIF(K1808:M1825,$B1848&amp;" ~*")&gt;0)+(IFERROR(INDEX(Setup!$G$33:$G$40,MATCH(O1848,Setup!$B$33:$B$40,0)),0)=1)*(COUNTIF(O1808:Q1825,$B1848)+COUNTIF(O1808:Q1825,$B1848&amp;" ~*")&gt;0)+(IFERROR(INDEX(Setup!$G$33:$G$40,MATCH(S1848,Setup!$B$33:$B$40,0)),0)=1)*(COUNTIF(S1808:U1825,$B1848)+COUNTIF(S1808:U1825,$B1848&amp;" ~*")&gt;0)+(IFERROR(INDEX(Setup!$G$33:$G$40,MATCH(W1848,Setup!$B$33:$B$40,0)),0)=1)*(COUNTIF(W1808:W1825,$B1848)+COUNTIF(W1808:W1825,$B1848&amp;" ~*")&gt;0)+(IFERROR(INDEX(Setup!$G$33:$G$40,MATCH(Y1848,Setup!$B$33:$B$40,0)),0)=1)*(COUNTIF(Y1808:Y1825,$B1848)+COUNTIF(Y1808:Y1825,$B1848&amp;" ~*")&gt;0))</f>
        <v/>
      </c>
    </row>
    <row r="1849" ht="15" customHeight="1">
      <c r="A1849" t="n">
        <v>37</v>
      </c>
      <c r="B1849" s="35">
        <f>IF(Setup!$B$28="","",Setup!$B$28)</f>
        <v/>
      </c>
      <c r="C1849" s="98" t="n"/>
      <c r="D1849" s="99" t="n"/>
      <c r="E1849" s="99" t="n"/>
      <c r="F1849" s="100" t="n"/>
      <c r="G1849" s="98" t="n"/>
      <c r="H1849" s="99" t="n"/>
      <c r="I1849" s="99" t="n"/>
      <c r="J1849" s="100" t="n"/>
      <c r="K1849" s="98" t="n"/>
      <c r="L1849" s="99" t="n"/>
      <c r="M1849" s="99" t="n"/>
      <c r="N1849" s="100" t="n"/>
      <c r="O1849" s="98" t="n"/>
      <c r="P1849" s="99" t="n"/>
      <c r="Q1849" s="99" t="n"/>
      <c r="R1849" s="100" t="n"/>
      <c r="S1849" s="98" t="n"/>
      <c r="T1849" s="99" t="n"/>
      <c r="U1849" s="99" t="n"/>
      <c r="V1849" s="100" t="n"/>
      <c r="W1849" s="98" t="n"/>
      <c r="X1849" s="100" t="n"/>
      <c r="Y1849" s="98" t="n"/>
      <c r="Z1849" s="100" t="n"/>
      <c r="AB1849" s="101">
        <f>IF($B1849="","",(COUNTIF(C1808:E1825,$B1849)+COUNTIF(C1808:E1825,$B1849&amp;" ~*")&gt;0)+(COUNTIF(G1808:I1825,$B1849)+COUNTIF(G1808:I1825,$B1849&amp;" ~*")&gt;0)+(COUNTIF(K1808:M1825,$B1849)+COUNTIF(K1808:M1825,$B1849&amp;" ~*")&gt;0)+(COUNTIF(O1808:Q1825,$B1849)+COUNTIF(O1808:Q1825,$B1849&amp;" ~*")&gt;0)+(COUNTIF(S1808:U1825,$B1849)+COUNTIF(S1808:U1825,$B1849&amp;" ~*")&gt;0)+(COUNTIF(W1808:W1825,$B1849)+COUNTIF(W1808:W1825,$B1849&amp;" ~*")&gt;0)+(COUNTIF(Y1808:Y1825,$B1849)+COUNTIF(Y1808:Y1825,$B1849&amp;" ~*")&gt;0))</f>
        <v/>
      </c>
      <c r="AC1849" s="36">
        <f>IF($B1849="","",(IFERROR(INDEX(Setup!$G$33:$G$40,MATCH(C1849,Setup!$B$33:$B$40,0)),0)=1)*(COUNTIF(C1808:E1825,$B1849)+COUNTIF(C1808:E1825,$B1849&amp;" ~*")&gt;0)+(IFERROR(INDEX(Setup!$G$33:$G$40,MATCH(G1849,Setup!$B$33:$B$40,0)),0)=1)*(COUNTIF(G1808:I1825,$B1849)+COUNTIF(G1808:I1825,$B1849&amp;" ~*")&gt;0)+(IFERROR(INDEX(Setup!$G$33:$G$40,MATCH(K1849,Setup!$B$33:$B$40,0)),0)=1)*(COUNTIF(K1808:M1825,$B1849)+COUNTIF(K1808:M1825,$B1849&amp;" ~*")&gt;0)+(IFERROR(INDEX(Setup!$G$33:$G$40,MATCH(O1849,Setup!$B$33:$B$40,0)),0)=1)*(COUNTIF(O1808:Q1825,$B1849)+COUNTIF(O1808:Q1825,$B1849&amp;" ~*")&gt;0)+(IFERROR(INDEX(Setup!$G$33:$G$40,MATCH(S1849,Setup!$B$33:$B$40,0)),0)=1)*(COUNTIF(S1808:U1825,$B1849)+COUNTIF(S1808:U1825,$B1849&amp;" ~*")&gt;0)+(IFERROR(INDEX(Setup!$G$33:$G$40,MATCH(W1849,Setup!$B$33:$B$40,0)),0)=1)*(COUNTIF(W1808:W1825,$B1849)+COUNTIF(W1808:W1825,$B1849&amp;" ~*")&gt;0)+(IFERROR(INDEX(Setup!$G$33:$G$40,MATCH(Y1849,Setup!$B$33:$B$40,0)),0)=1)*(COUNTIF(Y1808:Y1825,$B1849)+COUNTIF(Y1808:Y1825,$B1849&amp;" ~*")&gt;0))</f>
        <v/>
      </c>
    </row>
    <row r="1850" ht="15" customHeight="1">
      <c r="A1850" t="n">
        <v>37</v>
      </c>
      <c r="B1850" s="37">
        <f>IF(Setup!$B$29="","",Setup!$B$29)</f>
        <v/>
      </c>
      <c r="C1850" s="102" t="n"/>
      <c r="D1850" s="103" t="n"/>
      <c r="E1850" s="103" t="n"/>
      <c r="F1850" s="104" t="n"/>
      <c r="G1850" s="102" t="n"/>
      <c r="H1850" s="103" t="n"/>
      <c r="I1850" s="103" t="n"/>
      <c r="J1850" s="104" t="n"/>
      <c r="K1850" s="102" t="n"/>
      <c r="L1850" s="103" t="n"/>
      <c r="M1850" s="103" t="n"/>
      <c r="N1850" s="104" t="n"/>
      <c r="O1850" s="102" t="n"/>
      <c r="P1850" s="103" t="n"/>
      <c r="Q1850" s="103" t="n"/>
      <c r="R1850" s="104" t="n"/>
      <c r="S1850" s="102" t="n"/>
      <c r="T1850" s="103" t="n"/>
      <c r="U1850" s="103" t="n"/>
      <c r="V1850" s="104" t="n"/>
      <c r="W1850" s="102" t="n"/>
      <c r="X1850" s="104" t="n"/>
      <c r="Y1850" s="102" t="n"/>
      <c r="Z1850" s="104" t="n"/>
      <c r="AB1850" s="105">
        <f>IF($B1850="","",(COUNTIF(C1808:E1825,$B1850)+COUNTIF(C1808:E1825,$B1850&amp;" ~*")&gt;0)+(COUNTIF(G1808:I1825,$B1850)+COUNTIF(G1808:I1825,$B1850&amp;" ~*")&gt;0)+(COUNTIF(K1808:M1825,$B1850)+COUNTIF(K1808:M1825,$B1850&amp;" ~*")&gt;0)+(COUNTIF(O1808:Q1825,$B1850)+COUNTIF(O1808:Q1825,$B1850&amp;" ~*")&gt;0)+(COUNTIF(S1808:U1825,$B1850)+COUNTIF(S1808:U1825,$B1850&amp;" ~*")&gt;0)+(COUNTIF(W1808:W1825,$B1850)+COUNTIF(W1808:W1825,$B1850&amp;" ~*")&gt;0)+(COUNTIF(Y1808:Y1825,$B1850)+COUNTIF(Y1808:Y1825,$B1850&amp;" ~*")&gt;0))</f>
        <v/>
      </c>
      <c r="AC1850" s="38">
        <f>IF($B1850="","",(IFERROR(INDEX(Setup!$G$33:$G$40,MATCH(C1850,Setup!$B$33:$B$40,0)),0)=1)*(COUNTIF(C1808:E1825,$B1850)+COUNTIF(C1808:E1825,$B1850&amp;" ~*")&gt;0)+(IFERROR(INDEX(Setup!$G$33:$G$40,MATCH(G1850,Setup!$B$33:$B$40,0)),0)=1)*(COUNTIF(G1808:I1825,$B1850)+COUNTIF(G1808:I1825,$B1850&amp;" ~*")&gt;0)+(IFERROR(INDEX(Setup!$G$33:$G$40,MATCH(K1850,Setup!$B$33:$B$40,0)),0)=1)*(COUNTIF(K1808:M1825,$B1850)+COUNTIF(K1808:M1825,$B1850&amp;" ~*")&gt;0)+(IFERROR(INDEX(Setup!$G$33:$G$40,MATCH(O1850,Setup!$B$33:$B$40,0)),0)=1)*(COUNTIF(O1808:Q1825,$B1850)+COUNTIF(O1808:Q1825,$B1850&amp;" ~*")&gt;0)+(IFERROR(INDEX(Setup!$G$33:$G$40,MATCH(S1850,Setup!$B$33:$B$40,0)),0)=1)*(COUNTIF(S1808:U1825,$B1850)+COUNTIF(S1808:U1825,$B1850&amp;" ~*")&gt;0)+(IFERROR(INDEX(Setup!$G$33:$G$40,MATCH(W1850,Setup!$B$33:$B$40,0)),0)=1)*(COUNTIF(W1808:W1825,$B1850)+COUNTIF(W1808:W1825,$B1850&amp;" ~*")&gt;0)+(IFERROR(INDEX(Setup!$G$33:$G$40,MATCH(Y1850,Setup!$B$33:$B$40,0)),0)=1)*(COUNTIF(Y1808:Y1825,$B1850)+COUNTIF(Y1808:Y1825,$B1850&amp;" ~*")&gt;0))</f>
        <v/>
      </c>
    </row>
    <row r="1851" ht="16" customHeight="1">
      <c r="A1851" t="n">
        <v>37</v>
      </c>
      <c r="B1851" s="106" t="inlineStr">
        <is>
          <t>Available people</t>
        </is>
      </c>
      <c r="C1851" s="107">
        <f>COUNTIFS(Setup!$E$6:$E$29,"Y",Setup!$B$6:$B$29,"?*")-SUMPRODUCT(COUNTIF(C1827:C1850,Setup!$F$33:$F$40))</f>
        <v/>
      </c>
      <c r="D1851" s="107" t="n"/>
      <c r="E1851" s="107" t="n"/>
      <c r="F1851" s="107" t="n"/>
      <c r="G1851" s="107">
        <f>COUNTIFS(Setup!$E$6:$E$29,"Y",Setup!$B$6:$B$29,"?*")-SUMPRODUCT(COUNTIF(G1827:G1850,Setup!$F$33:$F$40))</f>
        <v/>
      </c>
      <c r="H1851" s="107" t="n"/>
      <c r="I1851" s="107" t="n"/>
      <c r="J1851" s="107" t="n"/>
      <c r="K1851" s="107">
        <f>COUNTIFS(Setup!$E$6:$E$29,"Y",Setup!$B$6:$B$29,"?*")-SUMPRODUCT(COUNTIF(K1827:K1850,Setup!$F$33:$F$40))</f>
        <v/>
      </c>
      <c r="L1851" s="107" t="n"/>
      <c r="M1851" s="107" t="n"/>
      <c r="N1851" s="107" t="n"/>
      <c r="O1851" s="107">
        <f>COUNTIFS(Setup!$E$6:$E$29,"Y",Setup!$B$6:$B$29,"?*")-SUMPRODUCT(COUNTIF(O1827:O1850,Setup!$F$33:$F$40))</f>
        <v/>
      </c>
      <c r="P1851" s="107" t="n"/>
      <c r="Q1851" s="107" t="n"/>
      <c r="R1851" s="107" t="n"/>
      <c r="S1851" s="107">
        <f>COUNTIFS(Setup!$E$6:$E$29,"Y",Setup!$B$6:$B$29,"?*")-SUMPRODUCT(COUNTIF(S1827:S1850,Setup!$F$33:$F$40))</f>
        <v/>
      </c>
      <c r="T1851" s="107" t="n"/>
      <c r="U1851" s="107" t="n"/>
      <c r="V1851" s="107" t="n"/>
      <c r="W1851" s="107">
        <f>COUNTIFS(Setup!$E$6:$E$29,"Y",Setup!$B$6:$B$29,"?*")-SUMPRODUCT(COUNTIF(W1827:W1850,Setup!$F$33:$F$40))</f>
        <v/>
      </c>
      <c r="X1851" s="107" t="n"/>
      <c r="Y1851" s="107">
        <f>COUNTIFS(Setup!$E$6:$E$29,"Y",Setup!$B$6:$B$29,"?*")-SUMPRODUCT(COUNTIF(Y1827:Y1850,Setup!$F$33:$F$40))</f>
        <v/>
      </c>
      <c r="Z1851" s="107" t="n"/>
      <c r="AB1851" s="108">
        <f>SUM(AB1827:AB1850)</f>
        <v/>
      </c>
      <c r="AC1851" s="109">
        <f>SUM(AC1827:AC1850)</f>
        <v/>
      </c>
    </row>
    <row r="1852" ht="30" customHeight="1">
      <c r="A1852" t="n">
        <v>37</v>
      </c>
      <c r="B1852" s="110" t="inlineStr">
        <is>
          <t>Week notes</t>
        </is>
      </c>
      <c r="C1852" s="111" t="n"/>
      <c r="D1852" s="112" t="n"/>
      <c r="E1852" s="112" t="n"/>
      <c r="F1852" s="112" t="n"/>
      <c r="G1852" s="112" t="n"/>
      <c r="H1852" s="112" t="n"/>
      <c r="I1852" s="112" t="n"/>
      <c r="J1852" s="112" t="n"/>
      <c r="K1852" s="112" t="n"/>
      <c r="L1852" s="112" t="n"/>
      <c r="M1852" s="112" t="n"/>
      <c r="N1852" s="112" t="n"/>
      <c r="O1852" s="112" t="n"/>
      <c r="P1852" s="112" t="n"/>
      <c r="Q1852" s="112" t="n"/>
      <c r="R1852" s="112" t="n"/>
      <c r="S1852" s="112" t="n"/>
      <c r="T1852" s="112" t="n"/>
      <c r="U1852" s="112" t="n"/>
      <c r="V1852" s="112" t="n"/>
      <c r="W1852" s="112" t="n"/>
      <c r="X1852" s="112" t="n"/>
      <c r="Y1852" s="112" t="n"/>
      <c r="Z1852" s="113" t="n"/>
    </row>
    <row r="1853" ht="8" customHeight="1">
      <c r="A1853" t="n">
        <v>37</v>
      </c>
    </row>
    <row r="1854" ht="8" customHeight="1">
      <c r="A1854" t="n">
        <v>37</v>
      </c>
    </row>
    <row r="1855" ht="24" customHeight="1">
      <c r="A1855" t="n">
        <v>38</v>
      </c>
      <c r="B1855" s="73">
        <f>"WEEK 38     "&amp;TEXT(C1856,"ddd d mmm")&amp;"  –  "&amp;TEXT(C1856+6,"ddd d mmm yyyy")</f>
        <v/>
      </c>
      <c r="S1855" s="74">
        <f>IF(TODAY()&lt;C1856,"FUTURE",IF(TODAY()&gt;C1856+6,"PAST","THIS WEEK"))</f>
        <v/>
      </c>
      <c r="W1855" s="75">
        <f>IF(AND(Engine!$B$8=$AC$3,Engine!$B$9=$A1855),"◀ ACTIVE WEEK","")</f>
        <v/>
      </c>
      <c r="AA1855" s="76" t="n"/>
      <c r="AB1855" s="77" t="inlineStr">
        <is>
          <t>◀ Prev</t>
        </is>
      </c>
      <c r="AC1855" s="77" t="inlineStr">
        <is>
          <t>Next ▶</t>
        </is>
      </c>
    </row>
    <row r="1856" ht="18" customHeight="1">
      <c r="A1856" t="n">
        <v>38</v>
      </c>
      <c r="B1856" s="78" t="inlineStr">
        <is>
          <t>DUTY</t>
        </is>
      </c>
      <c r="C1856" s="79">
        <f>$AC$2+7*($A1856-1)</f>
        <v/>
      </c>
      <c r="D1856" s="80" t="n"/>
      <c r="E1856" s="80" t="n"/>
      <c r="F1856" s="81" t="n"/>
      <c r="G1856" s="79">
        <f>C1856+1</f>
        <v/>
      </c>
      <c r="H1856" s="80" t="n"/>
      <c r="I1856" s="80" t="n"/>
      <c r="J1856" s="81" t="n"/>
      <c r="K1856" s="79">
        <f>C1856+2</f>
        <v/>
      </c>
      <c r="L1856" s="80" t="n"/>
      <c r="M1856" s="80" t="n"/>
      <c r="N1856" s="81" t="n"/>
      <c r="O1856" s="79">
        <f>C1856+3</f>
        <v/>
      </c>
      <c r="P1856" s="80" t="n"/>
      <c r="Q1856" s="80" t="n"/>
      <c r="R1856" s="81" t="n"/>
      <c r="S1856" s="79">
        <f>C1856+4</f>
        <v/>
      </c>
      <c r="T1856" s="80" t="n"/>
      <c r="U1856" s="80" t="n"/>
      <c r="V1856" s="81" t="n"/>
      <c r="W1856" s="82">
        <f>C1856+5</f>
        <v/>
      </c>
      <c r="X1856" s="83" t="n"/>
      <c r="Y1856" s="82">
        <f>C1856+6</f>
        <v/>
      </c>
      <c r="Z1856" s="83" t="n"/>
      <c r="AB1856" s="72" t="inlineStr">
        <is>
          <t>Gaps</t>
        </is>
      </c>
      <c r="AC1856" s="72" t="inlineStr">
        <is>
          <t>Cover</t>
        </is>
      </c>
    </row>
    <row r="1857" ht="14" customHeight="1">
      <c r="A1857" t="n">
        <v>38</v>
      </c>
      <c r="B1857" s="84" t="inlineStr">
        <is>
          <t>(from Setup)</t>
        </is>
      </c>
      <c r="C1857" s="85" t="inlineStr">
        <is>
          <t>1</t>
        </is>
      </c>
      <c r="D1857" s="85" t="inlineStr">
        <is>
          <t>2</t>
        </is>
      </c>
      <c r="E1857" s="85" t="inlineStr">
        <is>
          <t>3</t>
        </is>
      </c>
      <c r="F1857" s="85" t="inlineStr">
        <is>
          <t>Notes</t>
        </is>
      </c>
      <c r="G1857" s="85" t="inlineStr">
        <is>
          <t>1</t>
        </is>
      </c>
      <c r="H1857" s="85" t="inlineStr">
        <is>
          <t>2</t>
        </is>
      </c>
      <c r="I1857" s="85" t="inlineStr">
        <is>
          <t>3</t>
        </is>
      </c>
      <c r="J1857" s="85" t="inlineStr">
        <is>
          <t>Notes</t>
        </is>
      </c>
      <c r="K1857" s="85" t="inlineStr">
        <is>
          <t>1</t>
        </is>
      </c>
      <c r="L1857" s="85" t="inlineStr">
        <is>
          <t>2</t>
        </is>
      </c>
      <c r="M1857" s="85" t="inlineStr">
        <is>
          <t>3</t>
        </is>
      </c>
      <c r="N1857" s="85" t="inlineStr">
        <is>
          <t>Notes</t>
        </is>
      </c>
      <c r="O1857" s="85" t="inlineStr">
        <is>
          <t>1</t>
        </is>
      </c>
      <c r="P1857" s="85" t="inlineStr">
        <is>
          <t>2</t>
        </is>
      </c>
      <c r="Q1857" s="85" t="inlineStr">
        <is>
          <t>3</t>
        </is>
      </c>
      <c r="R1857" s="85" t="inlineStr">
        <is>
          <t>Notes</t>
        </is>
      </c>
      <c r="S1857" s="85" t="inlineStr">
        <is>
          <t>1</t>
        </is>
      </c>
      <c r="T1857" s="85" t="inlineStr">
        <is>
          <t>2</t>
        </is>
      </c>
      <c r="U1857" s="85" t="inlineStr">
        <is>
          <t>3</t>
        </is>
      </c>
      <c r="V1857" s="85" t="inlineStr">
        <is>
          <t>Notes</t>
        </is>
      </c>
      <c r="W1857" s="85" t="inlineStr">
        <is>
          <t>Cover</t>
        </is>
      </c>
      <c r="X1857" s="85" t="inlineStr">
        <is>
          <t>Notes</t>
        </is>
      </c>
      <c r="Y1857" s="85" t="inlineStr">
        <is>
          <t>Cover</t>
        </is>
      </c>
      <c r="Z1857" s="85" t="inlineStr">
        <is>
          <t>Notes</t>
        </is>
      </c>
      <c r="AB1857" s="86" t="inlineStr">
        <is>
          <t>weekdays short</t>
        </is>
      </c>
      <c r="AC1857" s="87" t="inlineStr"/>
    </row>
    <row r="1858" ht="17" customHeight="1">
      <c r="A1858" t="n">
        <v>38</v>
      </c>
      <c r="B1858" s="24">
        <f>IF(Setup!$K$6="","",Setup!$K$6)</f>
        <v/>
      </c>
      <c r="C1858" s="88" t="n"/>
      <c r="D1858" s="88" t="n"/>
      <c r="E1858" s="88" t="n"/>
      <c r="F1858" s="89" t="n"/>
      <c r="G1858" s="88" t="n"/>
      <c r="H1858" s="88" t="n"/>
      <c r="I1858" s="88" t="n"/>
      <c r="J1858" s="89" t="n"/>
      <c r="K1858" s="88" t="n"/>
      <c r="L1858" s="88" t="n"/>
      <c r="M1858" s="88" t="n"/>
      <c r="N1858" s="89" t="n"/>
      <c r="O1858" s="88" t="n"/>
      <c r="P1858" s="88" t="n"/>
      <c r="Q1858" s="88" t="n"/>
      <c r="R1858" s="89" t="n"/>
      <c r="S1858" s="88" t="n"/>
      <c r="T1858" s="88" t="n"/>
      <c r="U1858" s="88" t="n"/>
      <c r="V1858" s="89" t="n"/>
      <c r="W1858" s="88" t="n"/>
      <c r="X1858" s="89" t="n"/>
      <c r="Y1858" s="88" t="n"/>
      <c r="Z1858" s="89" t="n"/>
      <c r="AB1858" s="25">
        <f>IF($B1858="","",(COUNTIF(C1858:E1858,"?*")&lt;N(INDEX(Setup!$L$6:$L$23,1)))+(COUNTIF(G1858:I1858,"?*")&lt;N(INDEX(Setup!$L$6:$L$23,1)))+(COUNTIF(K1858:M1858,"?*")&lt;N(INDEX(Setup!$L$6:$L$23,1)))+(COUNTIF(O1858:Q1858,"?*")&lt;N(INDEX(Setup!$L$6:$L$23,1)))+(COUNTIF(S1858:U1858,"?*")&lt;N(INDEX(Setup!$L$6:$L$23,1)))+((W1858="")*(INDEX(Setup!$M$6:$M$23,1)="Y"))+((Y1858="")*(INDEX(Setup!$M$6:$M$23,1)="Y")))</f>
        <v/>
      </c>
      <c r="AC1858" s="90">
        <f>IF($B1858="","",IF(AB1858=0,"✓ covered","⚠ "&amp;AB1858&amp;IF(AB1858=1," gap"," gaps")))</f>
        <v/>
      </c>
    </row>
    <row r="1859" ht="17" customHeight="1">
      <c r="A1859" t="n">
        <v>38</v>
      </c>
      <c r="B1859" s="29">
        <f>IF(Setup!$K$7="","",Setup!$K$7)</f>
        <v/>
      </c>
      <c r="C1859" s="88" t="n"/>
      <c r="D1859" s="88" t="n"/>
      <c r="E1859" s="88" t="n"/>
      <c r="F1859" s="89" t="n"/>
      <c r="G1859" s="88" t="n"/>
      <c r="H1859" s="88" t="n"/>
      <c r="I1859" s="88" t="n"/>
      <c r="J1859" s="89" t="n"/>
      <c r="K1859" s="88" t="n"/>
      <c r="L1859" s="88" t="n"/>
      <c r="M1859" s="88" t="n"/>
      <c r="N1859" s="89" t="n"/>
      <c r="O1859" s="88" t="n"/>
      <c r="P1859" s="88" t="n"/>
      <c r="Q1859" s="88" t="n"/>
      <c r="R1859" s="89" t="n"/>
      <c r="S1859" s="88" t="n"/>
      <c r="T1859" s="88" t="n"/>
      <c r="U1859" s="88" t="n"/>
      <c r="V1859" s="89" t="n"/>
      <c r="W1859" s="88" t="n"/>
      <c r="X1859" s="89" t="n"/>
      <c r="Y1859" s="88" t="n"/>
      <c r="Z1859" s="89" t="n"/>
      <c r="AB1859" s="30">
        <f>IF($B1859="","",(COUNTIF(C1859:E1859,"?*")&lt;N(INDEX(Setup!$L$6:$L$23,2)))+(COUNTIF(G1859:I1859,"?*")&lt;N(INDEX(Setup!$L$6:$L$23,2)))+(COUNTIF(K1859:M1859,"?*")&lt;N(INDEX(Setup!$L$6:$L$23,2)))+(COUNTIF(O1859:Q1859,"?*")&lt;N(INDEX(Setup!$L$6:$L$23,2)))+(COUNTIF(S1859:U1859,"?*")&lt;N(INDEX(Setup!$L$6:$L$23,2)))+((W1859="")*(INDEX(Setup!$M$6:$M$23,2)="Y"))+((Y1859="")*(INDEX(Setup!$M$6:$M$23,2)="Y")))</f>
        <v/>
      </c>
      <c r="AC1859" s="91">
        <f>IF($B1859="","",IF(AB1859=0,"✓ covered","⚠ "&amp;AB1859&amp;IF(AB1859=1," gap"," gaps")))</f>
        <v/>
      </c>
    </row>
    <row r="1860" ht="17" customHeight="1">
      <c r="A1860" t="n">
        <v>38</v>
      </c>
      <c r="B1860" s="24">
        <f>IF(Setup!$K$8="","",Setup!$K$8)</f>
        <v/>
      </c>
      <c r="C1860" s="88" t="n"/>
      <c r="D1860" s="88" t="n"/>
      <c r="E1860" s="88" t="n"/>
      <c r="F1860" s="89" t="n"/>
      <c r="G1860" s="88" t="n"/>
      <c r="H1860" s="88" t="n"/>
      <c r="I1860" s="88" t="n"/>
      <c r="J1860" s="89" t="n"/>
      <c r="K1860" s="88" t="n"/>
      <c r="L1860" s="88" t="n"/>
      <c r="M1860" s="88" t="n"/>
      <c r="N1860" s="89" t="n"/>
      <c r="O1860" s="88" t="n"/>
      <c r="P1860" s="88" t="n"/>
      <c r="Q1860" s="88" t="n"/>
      <c r="R1860" s="89" t="n"/>
      <c r="S1860" s="88" t="n"/>
      <c r="T1860" s="88" t="n"/>
      <c r="U1860" s="88" t="n"/>
      <c r="V1860" s="89" t="n"/>
      <c r="W1860" s="88" t="n"/>
      <c r="X1860" s="89" t="n"/>
      <c r="Y1860" s="88" t="n"/>
      <c r="Z1860" s="89" t="n"/>
      <c r="AB1860" s="25">
        <f>IF($B1860="","",(COUNTIF(C1860:E1860,"?*")&lt;N(INDEX(Setup!$L$6:$L$23,3)))+(COUNTIF(G1860:I1860,"?*")&lt;N(INDEX(Setup!$L$6:$L$23,3)))+(COUNTIF(K1860:M1860,"?*")&lt;N(INDEX(Setup!$L$6:$L$23,3)))+(COUNTIF(O1860:Q1860,"?*")&lt;N(INDEX(Setup!$L$6:$L$23,3)))+(COUNTIF(S1860:U1860,"?*")&lt;N(INDEX(Setup!$L$6:$L$23,3)))+((W1860="")*(INDEX(Setup!$M$6:$M$23,3)="Y"))+((Y1860="")*(INDEX(Setup!$M$6:$M$23,3)="Y")))</f>
        <v/>
      </c>
      <c r="AC1860" s="90">
        <f>IF($B1860="","",IF(AB1860=0,"✓ covered","⚠ "&amp;AB1860&amp;IF(AB1860=1," gap"," gaps")))</f>
        <v/>
      </c>
    </row>
    <row r="1861" ht="17" customHeight="1">
      <c r="A1861" t="n">
        <v>38</v>
      </c>
      <c r="B1861" s="29">
        <f>IF(Setup!$K$9="","",Setup!$K$9)</f>
        <v/>
      </c>
      <c r="C1861" s="88" t="n"/>
      <c r="D1861" s="88" t="n"/>
      <c r="E1861" s="88" t="n"/>
      <c r="F1861" s="89" t="n"/>
      <c r="G1861" s="88" t="n"/>
      <c r="H1861" s="88" t="n"/>
      <c r="I1861" s="88" t="n"/>
      <c r="J1861" s="89" t="n"/>
      <c r="K1861" s="88" t="n"/>
      <c r="L1861" s="88" t="n"/>
      <c r="M1861" s="88" t="n"/>
      <c r="N1861" s="89" t="n"/>
      <c r="O1861" s="88" t="n"/>
      <c r="P1861" s="88" t="n"/>
      <c r="Q1861" s="88" t="n"/>
      <c r="R1861" s="89" t="n"/>
      <c r="S1861" s="88" t="n"/>
      <c r="T1861" s="88" t="n"/>
      <c r="U1861" s="88" t="n"/>
      <c r="V1861" s="89" t="n"/>
      <c r="W1861" s="88" t="n"/>
      <c r="X1861" s="89" t="n"/>
      <c r="Y1861" s="88" t="n"/>
      <c r="Z1861" s="89" t="n"/>
      <c r="AB1861" s="30">
        <f>IF($B1861="","",(COUNTIF(C1861:E1861,"?*")&lt;N(INDEX(Setup!$L$6:$L$23,4)))+(COUNTIF(G1861:I1861,"?*")&lt;N(INDEX(Setup!$L$6:$L$23,4)))+(COUNTIF(K1861:M1861,"?*")&lt;N(INDEX(Setup!$L$6:$L$23,4)))+(COUNTIF(O1861:Q1861,"?*")&lt;N(INDEX(Setup!$L$6:$L$23,4)))+(COUNTIF(S1861:U1861,"?*")&lt;N(INDEX(Setup!$L$6:$L$23,4)))+((W1861="")*(INDEX(Setup!$M$6:$M$23,4)="Y"))+((Y1861="")*(INDEX(Setup!$M$6:$M$23,4)="Y")))</f>
        <v/>
      </c>
      <c r="AC1861" s="91">
        <f>IF($B1861="","",IF(AB1861=0,"✓ covered","⚠ "&amp;AB1861&amp;IF(AB1861=1," gap"," gaps")))</f>
        <v/>
      </c>
    </row>
    <row r="1862" ht="17" customHeight="1">
      <c r="A1862" t="n">
        <v>38</v>
      </c>
      <c r="B1862" s="24">
        <f>IF(Setup!$K$10="","",Setup!$K$10)</f>
        <v/>
      </c>
      <c r="C1862" s="88" t="n"/>
      <c r="D1862" s="88" t="n"/>
      <c r="E1862" s="88" t="n"/>
      <c r="F1862" s="89" t="n"/>
      <c r="G1862" s="88" t="n"/>
      <c r="H1862" s="88" t="n"/>
      <c r="I1862" s="88" t="n"/>
      <c r="J1862" s="89" t="n"/>
      <c r="K1862" s="88" t="n"/>
      <c r="L1862" s="88" t="n"/>
      <c r="M1862" s="88" t="n"/>
      <c r="N1862" s="89" t="n"/>
      <c r="O1862" s="88" t="n"/>
      <c r="P1862" s="88" t="n"/>
      <c r="Q1862" s="88" t="n"/>
      <c r="R1862" s="89" t="n"/>
      <c r="S1862" s="88" t="n"/>
      <c r="T1862" s="88" t="n"/>
      <c r="U1862" s="88" t="n"/>
      <c r="V1862" s="89" t="n"/>
      <c r="W1862" s="88" t="n"/>
      <c r="X1862" s="89" t="n"/>
      <c r="Y1862" s="88" t="n"/>
      <c r="Z1862" s="89" t="n"/>
      <c r="AB1862" s="25">
        <f>IF($B1862="","",(COUNTIF(C1862:E1862,"?*")&lt;N(INDEX(Setup!$L$6:$L$23,5)))+(COUNTIF(G1862:I1862,"?*")&lt;N(INDEX(Setup!$L$6:$L$23,5)))+(COUNTIF(K1862:M1862,"?*")&lt;N(INDEX(Setup!$L$6:$L$23,5)))+(COUNTIF(O1862:Q1862,"?*")&lt;N(INDEX(Setup!$L$6:$L$23,5)))+(COUNTIF(S1862:U1862,"?*")&lt;N(INDEX(Setup!$L$6:$L$23,5)))+((W1862="")*(INDEX(Setup!$M$6:$M$23,5)="Y"))+((Y1862="")*(INDEX(Setup!$M$6:$M$23,5)="Y")))</f>
        <v/>
      </c>
      <c r="AC1862" s="90">
        <f>IF($B1862="","",IF(AB1862=0,"✓ covered","⚠ "&amp;AB1862&amp;IF(AB1862=1," gap"," gaps")))</f>
        <v/>
      </c>
    </row>
    <row r="1863" ht="17" customHeight="1">
      <c r="A1863" t="n">
        <v>38</v>
      </c>
      <c r="B1863" s="29">
        <f>IF(Setup!$K$11="","",Setup!$K$11)</f>
        <v/>
      </c>
      <c r="C1863" s="88" t="n"/>
      <c r="D1863" s="88" t="n"/>
      <c r="E1863" s="88" t="n"/>
      <c r="F1863" s="89" t="n"/>
      <c r="G1863" s="88" t="n"/>
      <c r="H1863" s="88" t="n"/>
      <c r="I1863" s="88" t="n"/>
      <c r="J1863" s="89" t="n"/>
      <c r="K1863" s="88" t="n"/>
      <c r="L1863" s="88" t="n"/>
      <c r="M1863" s="88" t="n"/>
      <c r="N1863" s="89" t="n"/>
      <c r="O1863" s="88" t="n"/>
      <c r="P1863" s="88" t="n"/>
      <c r="Q1863" s="88" t="n"/>
      <c r="R1863" s="89" t="n"/>
      <c r="S1863" s="88" t="n"/>
      <c r="T1863" s="88" t="n"/>
      <c r="U1863" s="88" t="n"/>
      <c r="V1863" s="89" t="n"/>
      <c r="W1863" s="88" t="n"/>
      <c r="X1863" s="89" t="n"/>
      <c r="Y1863" s="88" t="n"/>
      <c r="Z1863" s="89" t="n"/>
      <c r="AB1863" s="30">
        <f>IF($B1863="","",(COUNTIF(C1863:E1863,"?*")&lt;N(INDEX(Setup!$L$6:$L$23,6)))+(COUNTIF(G1863:I1863,"?*")&lt;N(INDEX(Setup!$L$6:$L$23,6)))+(COUNTIF(K1863:M1863,"?*")&lt;N(INDEX(Setup!$L$6:$L$23,6)))+(COUNTIF(O1863:Q1863,"?*")&lt;N(INDEX(Setup!$L$6:$L$23,6)))+(COUNTIF(S1863:U1863,"?*")&lt;N(INDEX(Setup!$L$6:$L$23,6)))+((W1863="")*(INDEX(Setup!$M$6:$M$23,6)="Y"))+((Y1863="")*(INDEX(Setup!$M$6:$M$23,6)="Y")))</f>
        <v/>
      </c>
      <c r="AC1863" s="91">
        <f>IF($B1863="","",IF(AB1863=0,"✓ covered","⚠ "&amp;AB1863&amp;IF(AB1863=1," gap"," gaps")))</f>
        <v/>
      </c>
    </row>
    <row r="1864" ht="17" customHeight="1">
      <c r="A1864" t="n">
        <v>38</v>
      </c>
      <c r="B1864" s="24">
        <f>IF(Setup!$K$12="","",Setup!$K$12)</f>
        <v/>
      </c>
      <c r="C1864" s="88" t="n"/>
      <c r="D1864" s="88" t="n"/>
      <c r="E1864" s="88" t="n"/>
      <c r="F1864" s="89" t="n"/>
      <c r="G1864" s="88" t="n"/>
      <c r="H1864" s="88" t="n"/>
      <c r="I1864" s="88" t="n"/>
      <c r="J1864" s="89" t="n"/>
      <c r="K1864" s="88" t="n"/>
      <c r="L1864" s="88" t="n"/>
      <c r="M1864" s="88" t="n"/>
      <c r="N1864" s="89" t="n"/>
      <c r="O1864" s="88" t="n"/>
      <c r="P1864" s="88" t="n"/>
      <c r="Q1864" s="88" t="n"/>
      <c r="R1864" s="89" t="n"/>
      <c r="S1864" s="88" t="n"/>
      <c r="T1864" s="88" t="n"/>
      <c r="U1864" s="88" t="n"/>
      <c r="V1864" s="89" t="n"/>
      <c r="W1864" s="88" t="n"/>
      <c r="X1864" s="89" t="n"/>
      <c r="Y1864" s="88" t="n"/>
      <c r="Z1864" s="89" t="n"/>
      <c r="AB1864" s="25">
        <f>IF($B1864="","",(COUNTIF(C1864:E1864,"?*")&lt;N(INDEX(Setup!$L$6:$L$23,7)))+(COUNTIF(G1864:I1864,"?*")&lt;N(INDEX(Setup!$L$6:$L$23,7)))+(COUNTIF(K1864:M1864,"?*")&lt;N(INDEX(Setup!$L$6:$L$23,7)))+(COUNTIF(O1864:Q1864,"?*")&lt;N(INDEX(Setup!$L$6:$L$23,7)))+(COUNTIF(S1864:U1864,"?*")&lt;N(INDEX(Setup!$L$6:$L$23,7)))+((W1864="")*(INDEX(Setup!$M$6:$M$23,7)="Y"))+((Y1864="")*(INDEX(Setup!$M$6:$M$23,7)="Y")))</f>
        <v/>
      </c>
      <c r="AC1864" s="90">
        <f>IF($B1864="","",IF(AB1864=0,"✓ covered","⚠ "&amp;AB1864&amp;IF(AB1864=1," gap"," gaps")))</f>
        <v/>
      </c>
    </row>
    <row r="1865" ht="17" customHeight="1">
      <c r="A1865" t="n">
        <v>38</v>
      </c>
      <c r="B1865" s="29">
        <f>IF(Setup!$K$13="","",Setup!$K$13)</f>
        <v/>
      </c>
      <c r="C1865" s="88" t="n"/>
      <c r="D1865" s="88" t="n"/>
      <c r="E1865" s="88" t="n"/>
      <c r="F1865" s="89" t="n"/>
      <c r="G1865" s="88" t="n"/>
      <c r="H1865" s="88" t="n"/>
      <c r="I1865" s="88" t="n"/>
      <c r="J1865" s="89" t="n"/>
      <c r="K1865" s="88" t="n"/>
      <c r="L1865" s="88" t="n"/>
      <c r="M1865" s="88" t="n"/>
      <c r="N1865" s="89" t="n"/>
      <c r="O1865" s="88" t="n"/>
      <c r="P1865" s="88" t="n"/>
      <c r="Q1865" s="88" t="n"/>
      <c r="R1865" s="89" t="n"/>
      <c r="S1865" s="88" t="n"/>
      <c r="T1865" s="88" t="n"/>
      <c r="U1865" s="88" t="n"/>
      <c r="V1865" s="89" t="n"/>
      <c r="W1865" s="88" t="n"/>
      <c r="X1865" s="89" t="n"/>
      <c r="Y1865" s="88" t="n"/>
      <c r="Z1865" s="89" t="n"/>
      <c r="AB1865" s="30">
        <f>IF($B1865="","",(COUNTIF(C1865:E1865,"?*")&lt;N(INDEX(Setup!$L$6:$L$23,8)))+(COUNTIF(G1865:I1865,"?*")&lt;N(INDEX(Setup!$L$6:$L$23,8)))+(COUNTIF(K1865:M1865,"?*")&lt;N(INDEX(Setup!$L$6:$L$23,8)))+(COUNTIF(O1865:Q1865,"?*")&lt;N(INDEX(Setup!$L$6:$L$23,8)))+(COUNTIF(S1865:U1865,"?*")&lt;N(INDEX(Setup!$L$6:$L$23,8)))+((W1865="")*(INDEX(Setup!$M$6:$M$23,8)="Y"))+((Y1865="")*(INDEX(Setup!$M$6:$M$23,8)="Y")))</f>
        <v/>
      </c>
      <c r="AC1865" s="91">
        <f>IF($B1865="","",IF(AB1865=0,"✓ covered","⚠ "&amp;AB1865&amp;IF(AB1865=1," gap"," gaps")))</f>
        <v/>
      </c>
    </row>
    <row r="1866" ht="17" customHeight="1">
      <c r="A1866" t="n">
        <v>38</v>
      </c>
      <c r="B1866" s="24">
        <f>IF(Setup!$K$14="","",Setup!$K$14)</f>
        <v/>
      </c>
      <c r="C1866" s="88" t="n"/>
      <c r="D1866" s="88" t="n"/>
      <c r="E1866" s="88" t="n"/>
      <c r="F1866" s="89" t="n"/>
      <c r="G1866" s="88" t="n"/>
      <c r="H1866" s="88" t="n"/>
      <c r="I1866" s="88" t="n"/>
      <c r="J1866" s="89" t="n"/>
      <c r="K1866" s="88" t="n"/>
      <c r="L1866" s="88" t="n"/>
      <c r="M1866" s="88" t="n"/>
      <c r="N1866" s="89" t="n"/>
      <c r="O1866" s="88" t="n"/>
      <c r="P1866" s="88" t="n"/>
      <c r="Q1866" s="88" t="n"/>
      <c r="R1866" s="89" t="n"/>
      <c r="S1866" s="88" t="n"/>
      <c r="T1866" s="88" t="n"/>
      <c r="U1866" s="88" t="n"/>
      <c r="V1866" s="89" t="n"/>
      <c r="W1866" s="88" t="n"/>
      <c r="X1866" s="89" t="n"/>
      <c r="Y1866" s="88" t="n"/>
      <c r="Z1866" s="89" t="n"/>
      <c r="AB1866" s="25">
        <f>IF($B1866="","",(COUNTIF(C1866:E1866,"?*")&lt;N(INDEX(Setup!$L$6:$L$23,9)))+(COUNTIF(G1866:I1866,"?*")&lt;N(INDEX(Setup!$L$6:$L$23,9)))+(COUNTIF(K1866:M1866,"?*")&lt;N(INDEX(Setup!$L$6:$L$23,9)))+(COUNTIF(O1866:Q1866,"?*")&lt;N(INDEX(Setup!$L$6:$L$23,9)))+(COUNTIF(S1866:U1866,"?*")&lt;N(INDEX(Setup!$L$6:$L$23,9)))+((W1866="")*(INDEX(Setup!$M$6:$M$23,9)="Y"))+((Y1866="")*(INDEX(Setup!$M$6:$M$23,9)="Y")))</f>
        <v/>
      </c>
      <c r="AC1866" s="90">
        <f>IF($B1866="","",IF(AB1866=0,"✓ covered","⚠ "&amp;AB1866&amp;IF(AB1866=1," gap"," gaps")))</f>
        <v/>
      </c>
    </row>
    <row r="1867" ht="17" customHeight="1">
      <c r="A1867" t="n">
        <v>38</v>
      </c>
      <c r="B1867" s="29">
        <f>IF(Setup!$K$15="","",Setup!$K$15)</f>
        <v/>
      </c>
      <c r="C1867" s="88" t="n"/>
      <c r="D1867" s="88" t="n"/>
      <c r="E1867" s="88" t="n"/>
      <c r="F1867" s="89" t="n"/>
      <c r="G1867" s="88" t="n"/>
      <c r="H1867" s="88" t="n"/>
      <c r="I1867" s="88" t="n"/>
      <c r="J1867" s="89" t="n"/>
      <c r="K1867" s="88" t="n"/>
      <c r="L1867" s="88" t="n"/>
      <c r="M1867" s="88" t="n"/>
      <c r="N1867" s="89" t="n"/>
      <c r="O1867" s="88" t="n"/>
      <c r="P1867" s="88" t="n"/>
      <c r="Q1867" s="88" t="n"/>
      <c r="R1867" s="89" t="n"/>
      <c r="S1867" s="88" t="n"/>
      <c r="T1867" s="88" t="n"/>
      <c r="U1867" s="88" t="n"/>
      <c r="V1867" s="89" t="n"/>
      <c r="W1867" s="88" t="n"/>
      <c r="X1867" s="89" t="n"/>
      <c r="Y1867" s="88" t="n"/>
      <c r="Z1867" s="89" t="n"/>
      <c r="AB1867" s="30">
        <f>IF($B1867="","",(COUNTIF(C1867:E1867,"?*")&lt;N(INDEX(Setup!$L$6:$L$23,10)))+(COUNTIF(G1867:I1867,"?*")&lt;N(INDEX(Setup!$L$6:$L$23,10)))+(COUNTIF(K1867:M1867,"?*")&lt;N(INDEX(Setup!$L$6:$L$23,10)))+(COUNTIF(O1867:Q1867,"?*")&lt;N(INDEX(Setup!$L$6:$L$23,10)))+(COUNTIF(S1867:U1867,"?*")&lt;N(INDEX(Setup!$L$6:$L$23,10)))+((W1867="")*(INDEX(Setup!$M$6:$M$23,10)="Y"))+((Y1867="")*(INDEX(Setup!$M$6:$M$23,10)="Y")))</f>
        <v/>
      </c>
      <c r="AC1867" s="91">
        <f>IF($B1867="","",IF(AB1867=0,"✓ covered","⚠ "&amp;AB1867&amp;IF(AB1867=1," gap"," gaps")))</f>
        <v/>
      </c>
    </row>
    <row r="1868" ht="17" customHeight="1">
      <c r="A1868" t="n">
        <v>38</v>
      </c>
      <c r="B1868" s="24">
        <f>IF(Setup!$K$16="","",Setup!$K$16)</f>
        <v/>
      </c>
      <c r="C1868" s="88" t="n"/>
      <c r="D1868" s="88" t="n"/>
      <c r="E1868" s="88" t="n"/>
      <c r="F1868" s="89" t="n"/>
      <c r="G1868" s="88" t="n"/>
      <c r="H1868" s="88" t="n"/>
      <c r="I1868" s="88" t="n"/>
      <c r="J1868" s="89" t="n"/>
      <c r="K1868" s="88" t="n"/>
      <c r="L1868" s="88" t="n"/>
      <c r="M1868" s="88" t="n"/>
      <c r="N1868" s="89" t="n"/>
      <c r="O1868" s="88" t="n"/>
      <c r="P1868" s="88" t="n"/>
      <c r="Q1868" s="88" t="n"/>
      <c r="R1868" s="89" t="n"/>
      <c r="S1868" s="88" t="n"/>
      <c r="T1868" s="88" t="n"/>
      <c r="U1868" s="88" t="n"/>
      <c r="V1868" s="89" t="n"/>
      <c r="W1868" s="88" t="n"/>
      <c r="X1868" s="89" t="n"/>
      <c r="Y1868" s="88" t="n"/>
      <c r="Z1868" s="89" t="n"/>
      <c r="AB1868" s="25">
        <f>IF($B1868="","",(COUNTIF(C1868:E1868,"?*")&lt;N(INDEX(Setup!$L$6:$L$23,11)))+(COUNTIF(G1868:I1868,"?*")&lt;N(INDEX(Setup!$L$6:$L$23,11)))+(COUNTIF(K1868:M1868,"?*")&lt;N(INDEX(Setup!$L$6:$L$23,11)))+(COUNTIF(O1868:Q1868,"?*")&lt;N(INDEX(Setup!$L$6:$L$23,11)))+(COUNTIF(S1868:U1868,"?*")&lt;N(INDEX(Setup!$L$6:$L$23,11)))+((W1868="")*(INDEX(Setup!$M$6:$M$23,11)="Y"))+((Y1868="")*(INDEX(Setup!$M$6:$M$23,11)="Y")))</f>
        <v/>
      </c>
      <c r="AC1868" s="90">
        <f>IF($B1868="","",IF(AB1868=0,"✓ covered","⚠ "&amp;AB1868&amp;IF(AB1868=1," gap"," gaps")))</f>
        <v/>
      </c>
    </row>
    <row r="1869" ht="17" customHeight="1">
      <c r="A1869" t="n">
        <v>38</v>
      </c>
      <c r="B1869" s="29">
        <f>IF(Setup!$K$17="","",Setup!$K$17)</f>
        <v/>
      </c>
      <c r="C1869" s="88" t="n"/>
      <c r="D1869" s="88" t="n"/>
      <c r="E1869" s="88" t="n"/>
      <c r="F1869" s="89" t="n"/>
      <c r="G1869" s="88" t="n"/>
      <c r="H1869" s="88" t="n"/>
      <c r="I1869" s="88" t="n"/>
      <c r="J1869" s="89" t="n"/>
      <c r="K1869" s="88" t="n"/>
      <c r="L1869" s="88" t="n"/>
      <c r="M1869" s="88" t="n"/>
      <c r="N1869" s="89" t="n"/>
      <c r="O1869" s="88" t="n"/>
      <c r="P1869" s="88" t="n"/>
      <c r="Q1869" s="88" t="n"/>
      <c r="R1869" s="89" t="n"/>
      <c r="S1869" s="88" t="n"/>
      <c r="T1869" s="88" t="n"/>
      <c r="U1869" s="88" t="n"/>
      <c r="V1869" s="89" t="n"/>
      <c r="W1869" s="88" t="n"/>
      <c r="X1869" s="89" t="n"/>
      <c r="Y1869" s="88" t="n"/>
      <c r="Z1869" s="89" t="n"/>
      <c r="AB1869" s="30">
        <f>IF($B1869="","",(COUNTIF(C1869:E1869,"?*")&lt;N(INDEX(Setup!$L$6:$L$23,12)))+(COUNTIF(G1869:I1869,"?*")&lt;N(INDEX(Setup!$L$6:$L$23,12)))+(COUNTIF(K1869:M1869,"?*")&lt;N(INDEX(Setup!$L$6:$L$23,12)))+(COUNTIF(O1869:Q1869,"?*")&lt;N(INDEX(Setup!$L$6:$L$23,12)))+(COUNTIF(S1869:U1869,"?*")&lt;N(INDEX(Setup!$L$6:$L$23,12)))+((W1869="")*(INDEX(Setup!$M$6:$M$23,12)="Y"))+((Y1869="")*(INDEX(Setup!$M$6:$M$23,12)="Y")))</f>
        <v/>
      </c>
      <c r="AC1869" s="91">
        <f>IF($B1869="","",IF(AB1869=0,"✓ covered","⚠ "&amp;AB1869&amp;IF(AB1869=1," gap"," gaps")))</f>
        <v/>
      </c>
    </row>
    <row r="1870" ht="17" customHeight="1">
      <c r="A1870" t="n">
        <v>38</v>
      </c>
      <c r="B1870" s="24">
        <f>IF(Setup!$K$18="","",Setup!$K$18)</f>
        <v/>
      </c>
      <c r="C1870" s="88" t="n"/>
      <c r="D1870" s="88" t="n"/>
      <c r="E1870" s="88" t="n"/>
      <c r="F1870" s="89" t="n"/>
      <c r="G1870" s="88" t="n"/>
      <c r="H1870" s="88" t="n"/>
      <c r="I1870" s="88" t="n"/>
      <c r="J1870" s="89" t="n"/>
      <c r="K1870" s="88" t="n"/>
      <c r="L1870" s="88" t="n"/>
      <c r="M1870" s="88" t="n"/>
      <c r="N1870" s="89" t="n"/>
      <c r="O1870" s="88" t="n"/>
      <c r="P1870" s="88" t="n"/>
      <c r="Q1870" s="88" t="n"/>
      <c r="R1870" s="89" t="n"/>
      <c r="S1870" s="88" t="n"/>
      <c r="T1870" s="88" t="n"/>
      <c r="U1870" s="88" t="n"/>
      <c r="V1870" s="89" t="n"/>
      <c r="W1870" s="88" t="n"/>
      <c r="X1870" s="89" t="n"/>
      <c r="Y1870" s="88" t="n"/>
      <c r="Z1870" s="89" t="n"/>
      <c r="AB1870" s="25">
        <f>IF($B1870="","",(COUNTIF(C1870:E1870,"?*")&lt;N(INDEX(Setup!$L$6:$L$23,13)))+(COUNTIF(G1870:I1870,"?*")&lt;N(INDEX(Setup!$L$6:$L$23,13)))+(COUNTIF(K1870:M1870,"?*")&lt;N(INDEX(Setup!$L$6:$L$23,13)))+(COUNTIF(O1870:Q1870,"?*")&lt;N(INDEX(Setup!$L$6:$L$23,13)))+(COUNTIF(S1870:U1870,"?*")&lt;N(INDEX(Setup!$L$6:$L$23,13)))+((W1870="")*(INDEX(Setup!$M$6:$M$23,13)="Y"))+((Y1870="")*(INDEX(Setup!$M$6:$M$23,13)="Y")))</f>
        <v/>
      </c>
      <c r="AC1870" s="90">
        <f>IF($B1870="","",IF(AB1870=0,"✓ covered","⚠ "&amp;AB1870&amp;IF(AB1870=1," gap"," gaps")))</f>
        <v/>
      </c>
    </row>
    <row r="1871" ht="17" customHeight="1">
      <c r="A1871" t="n">
        <v>38</v>
      </c>
      <c r="B1871" s="29">
        <f>IF(Setup!$K$19="","",Setup!$K$19)</f>
        <v/>
      </c>
      <c r="C1871" s="88" t="n"/>
      <c r="D1871" s="88" t="n"/>
      <c r="E1871" s="88" t="n"/>
      <c r="F1871" s="89" t="n"/>
      <c r="G1871" s="88" t="n"/>
      <c r="H1871" s="88" t="n"/>
      <c r="I1871" s="88" t="n"/>
      <c r="J1871" s="89" t="n"/>
      <c r="K1871" s="88" t="n"/>
      <c r="L1871" s="88" t="n"/>
      <c r="M1871" s="88" t="n"/>
      <c r="N1871" s="89" t="n"/>
      <c r="O1871" s="88" t="n"/>
      <c r="P1871" s="88" t="n"/>
      <c r="Q1871" s="88" t="n"/>
      <c r="R1871" s="89" t="n"/>
      <c r="S1871" s="88" t="n"/>
      <c r="T1871" s="88" t="n"/>
      <c r="U1871" s="88" t="n"/>
      <c r="V1871" s="89" t="n"/>
      <c r="W1871" s="88" t="n"/>
      <c r="X1871" s="89" t="n"/>
      <c r="Y1871" s="88" t="n"/>
      <c r="Z1871" s="89" t="n"/>
      <c r="AB1871" s="30">
        <f>IF($B1871="","",(COUNTIF(C1871:E1871,"?*")&lt;N(INDEX(Setup!$L$6:$L$23,14)))+(COUNTIF(G1871:I1871,"?*")&lt;N(INDEX(Setup!$L$6:$L$23,14)))+(COUNTIF(K1871:M1871,"?*")&lt;N(INDEX(Setup!$L$6:$L$23,14)))+(COUNTIF(O1871:Q1871,"?*")&lt;N(INDEX(Setup!$L$6:$L$23,14)))+(COUNTIF(S1871:U1871,"?*")&lt;N(INDEX(Setup!$L$6:$L$23,14)))+((W1871="")*(INDEX(Setup!$M$6:$M$23,14)="Y"))+((Y1871="")*(INDEX(Setup!$M$6:$M$23,14)="Y")))</f>
        <v/>
      </c>
      <c r="AC1871" s="91">
        <f>IF($B1871="","",IF(AB1871=0,"✓ covered","⚠ "&amp;AB1871&amp;IF(AB1871=1," gap"," gaps")))</f>
        <v/>
      </c>
    </row>
    <row r="1872" ht="17" customHeight="1">
      <c r="A1872" t="n">
        <v>38</v>
      </c>
      <c r="B1872" s="24">
        <f>IF(Setup!$K$20="","",Setup!$K$20)</f>
        <v/>
      </c>
      <c r="C1872" s="88" t="n"/>
      <c r="D1872" s="88" t="n"/>
      <c r="E1872" s="88" t="n"/>
      <c r="F1872" s="89" t="n"/>
      <c r="G1872" s="88" t="n"/>
      <c r="H1872" s="88" t="n"/>
      <c r="I1872" s="88" t="n"/>
      <c r="J1872" s="89" t="n"/>
      <c r="K1872" s="88" t="n"/>
      <c r="L1872" s="88" t="n"/>
      <c r="M1872" s="88" t="n"/>
      <c r="N1872" s="89" t="n"/>
      <c r="O1872" s="88" t="n"/>
      <c r="P1872" s="88" t="n"/>
      <c r="Q1872" s="88" t="n"/>
      <c r="R1872" s="89" t="n"/>
      <c r="S1872" s="88" t="n"/>
      <c r="T1872" s="88" t="n"/>
      <c r="U1872" s="88" t="n"/>
      <c r="V1872" s="89" t="n"/>
      <c r="W1872" s="88" t="n"/>
      <c r="X1872" s="89" t="n"/>
      <c r="Y1872" s="88" t="n"/>
      <c r="Z1872" s="89" t="n"/>
      <c r="AB1872" s="25">
        <f>IF($B1872="","",(COUNTIF(C1872:E1872,"?*")&lt;N(INDEX(Setup!$L$6:$L$23,15)))+(COUNTIF(G1872:I1872,"?*")&lt;N(INDEX(Setup!$L$6:$L$23,15)))+(COUNTIF(K1872:M1872,"?*")&lt;N(INDEX(Setup!$L$6:$L$23,15)))+(COUNTIF(O1872:Q1872,"?*")&lt;N(INDEX(Setup!$L$6:$L$23,15)))+(COUNTIF(S1872:U1872,"?*")&lt;N(INDEX(Setup!$L$6:$L$23,15)))+((W1872="")*(INDEX(Setup!$M$6:$M$23,15)="Y"))+((Y1872="")*(INDEX(Setup!$M$6:$M$23,15)="Y")))</f>
        <v/>
      </c>
      <c r="AC1872" s="90">
        <f>IF($B1872="","",IF(AB1872=0,"✓ covered","⚠ "&amp;AB1872&amp;IF(AB1872=1," gap"," gaps")))</f>
        <v/>
      </c>
    </row>
    <row r="1873" ht="17" customHeight="1">
      <c r="A1873" t="n">
        <v>38</v>
      </c>
      <c r="B1873" s="29">
        <f>IF(Setup!$K$21="","",Setup!$K$21)</f>
        <v/>
      </c>
      <c r="C1873" s="88" t="n"/>
      <c r="D1873" s="88" t="n"/>
      <c r="E1873" s="88" t="n"/>
      <c r="F1873" s="89" t="n"/>
      <c r="G1873" s="88" t="n"/>
      <c r="H1873" s="88" t="n"/>
      <c r="I1873" s="88" t="n"/>
      <c r="J1873" s="89" t="n"/>
      <c r="K1873" s="88" t="n"/>
      <c r="L1873" s="88" t="n"/>
      <c r="M1873" s="88" t="n"/>
      <c r="N1873" s="89" t="n"/>
      <c r="O1873" s="88" t="n"/>
      <c r="P1873" s="88" t="n"/>
      <c r="Q1873" s="88" t="n"/>
      <c r="R1873" s="89" t="n"/>
      <c r="S1873" s="88" t="n"/>
      <c r="T1873" s="88" t="n"/>
      <c r="U1873" s="88" t="n"/>
      <c r="V1873" s="89" t="n"/>
      <c r="W1873" s="88" t="n"/>
      <c r="X1873" s="89" t="n"/>
      <c r="Y1873" s="88" t="n"/>
      <c r="Z1873" s="89" t="n"/>
      <c r="AB1873" s="30">
        <f>IF($B1873="","",(COUNTIF(C1873:E1873,"?*")&lt;N(INDEX(Setup!$L$6:$L$23,16)))+(COUNTIF(G1873:I1873,"?*")&lt;N(INDEX(Setup!$L$6:$L$23,16)))+(COUNTIF(K1873:M1873,"?*")&lt;N(INDEX(Setup!$L$6:$L$23,16)))+(COUNTIF(O1873:Q1873,"?*")&lt;N(INDEX(Setup!$L$6:$L$23,16)))+(COUNTIF(S1873:U1873,"?*")&lt;N(INDEX(Setup!$L$6:$L$23,16)))+((W1873="")*(INDEX(Setup!$M$6:$M$23,16)="Y"))+((Y1873="")*(INDEX(Setup!$M$6:$M$23,16)="Y")))</f>
        <v/>
      </c>
      <c r="AC1873" s="91">
        <f>IF($B1873="","",IF(AB1873=0,"✓ covered","⚠ "&amp;AB1873&amp;IF(AB1873=1," gap"," gaps")))</f>
        <v/>
      </c>
    </row>
    <row r="1874" ht="17" customHeight="1">
      <c r="A1874" t="n">
        <v>38</v>
      </c>
      <c r="B1874" s="24">
        <f>IF(Setup!$K$22="","",Setup!$K$22)</f>
        <v/>
      </c>
      <c r="C1874" s="88" t="n"/>
      <c r="D1874" s="88" t="n"/>
      <c r="E1874" s="88" t="n"/>
      <c r="F1874" s="89" t="n"/>
      <c r="G1874" s="88" t="n"/>
      <c r="H1874" s="88" t="n"/>
      <c r="I1874" s="88" t="n"/>
      <c r="J1874" s="89" t="n"/>
      <c r="K1874" s="88" t="n"/>
      <c r="L1874" s="88" t="n"/>
      <c r="M1874" s="88" t="n"/>
      <c r="N1874" s="89" t="n"/>
      <c r="O1874" s="88" t="n"/>
      <c r="P1874" s="88" t="n"/>
      <c r="Q1874" s="88" t="n"/>
      <c r="R1874" s="89" t="n"/>
      <c r="S1874" s="88" t="n"/>
      <c r="T1874" s="88" t="n"/>
      <c r="U1874" s="88" t="n"/>
      <c r="V1874" s="89" t="n"/>
      <c r="W1874" s="88" t="n"/>
      <c r="X1874" s="89" t="n"/>
      <c r="Y1874" s="88" t="n"/>
      <c r="Z1874" s="89" t="n"/>
      <c r="AB1874" s="25">
        <f>IF($B1874="","",(COUNTIF(C1874:E1874,"?*")&lt;N(INDEX(Setup!$L$6:$L$23,17)))+(COUNTIF(G1874:I1874,"?*")&lt;N(INDEX(Setup!$L$6:$L$23,17)))+(COUNTIF(K1874:M1874,"?*")&lt;N(INDEX(Setup!$L$6:$L$23,17)))+(COUNTIF(O1874:Q1874,"?*")&lt;N(INDEX(Setup!$L$6:$L$23,17)))+(COUNTIF(S1874:U1874,"?*")&lt;N(INDEX(Setup!$L$6:$L$23,17)))+((W1874="")*(INDEX(Setup!$M$6:$M$23,17)="Y"))+((Y1874="")*(INDEX(Setup!$M$6:$M$23,17)="Y")))</f>
        <v/>
      </c>
      <c r="AC1874" s="90">
        <f>IF($B1874="","",IF(AB1874=0,"✓ covered","⚠ "&amp;AB1874&amp;IF(AB1874=1," gap"," gaps")))</f>
        <v/>
      </c>
    </row>
    <row r="1875" ht="17" customHeight="1">
      <c r="A1875" t="n">
        <v>38</v>
      </c>
      <c r="B1875" s="29">
        <f>IF(Setup!$K$23="","",Setup!$K$23)</f>
        <v/>
      </c>
      <c r="C1875" s="88" t="n"/>
      <c r="D1875" s="88" t="n"/>
      <c r="E1875" s="88" t="n"/>
      <c r="F1875" s="89" t="n"/>
      <c r="G1875" s="88" t="n"/>
      <c r="H1875" s="88" t="n"/>
      <c r="I1875" s="88" t="n"/>
      <c r="J1875" s="89" t="n"/>
      <c r="K1875" s="88" t="n"/>
      <c r="L1875" s="88" t="n"/>
      <c r="M1875" s="88" t="n"/>
      <c r="N1875" s="89" t="n"/>
      <c r="O1875" s="88" t="n"/>
      <c r="P1875" s="88" t="n"/>
      <c r="Q1875" s="88" t="n"/>
      <c r="R1875" s="89" t="n"/>
      <c r="S1875" s="88" t="n"/>
      <c r="T1875" s="88" t="n"/>
      <c r="U1875" s="88" t="n"/>
      <c r="V1875" s="89" t="n"/>
      <c r="W1875" s="88" t="n"/>
      <c r="X1875" s="89" t="n"/>
      <c r="Y1875" s="88" t="n"/>
      <c r="Z1875" s="89" t="n"/>
      <c r="AB1875" s="30">
        <f>IF($B1875="","",(COUNTIF(C1875:E1875,"?*")&lt;N(INDEX(Setup!$L$6:$L$23,18)))+(COUNTIF(G1875:I1875,"?*")&lt;N(INDEX(Setup!$L$6:$L$23,18)))+(COUNTIF(K1875:M1875,"?*")&lt;N(INDEX(Setup!$L$6:$L$23,18)))+(COUNTIF(O1875:Q1875,"?*")&lt;N(INDEX(Setup!$L$6:$L$23,18)))+(COUNTIF(S1875:U1875,"?*")&lt;N(INDEX(Setup!$L$6:$L$23,18)))+((W1875="")*(INDEX(Setup!$M$6:$M$23,18)="Y"))+((Y1875="")*(INDEX(Setup!$M$6:$M$23,18)="Y")))</f>
        <v/>
      </c>
      <c r="AC1875" s="91">
        <f>IF($B1875="","",IF(AB1875=0,"✓ covered","⚠ "&amp;AB1875&amp;IF(AB1875=1," gap"," gaps")))</f>
        <v/>
      </c>
    </row>
    <row r="1876" ht="18" customHeight="1">
      <c r="A1876" t="n">
        <v>38</v>
      </c>
      <c r="B1876" s="78" t="inlineStr">
        <is>
          <t>TEAM AVAILABILITY</t>
        </is>
      </c>
      <c r="C1876" s="92" t="inlineStr">
        <is>
          <t>Mon</t>
        </is>
      </c>
      <c r="D1876" s="93" t="n"/>
      <c r="E1876" s="93" t="n"/>
      <c r="F1876" s="94" t="n"/>
      <c r="G1876" s="92" t="inlineStr">
        <is>
          <t>Tue</t>
        </is>
      </c>
      <c r="H1876" s="93" t="n"/>
      <c r="I1876" s="93" t="n"/>
      <c r="J1876" s="94" t="n"/>
      <c r="K1876" s="92" t="inlineStr">
        <is>
          <t>Wed</t>
        </is>
      </c>
      <c r="L1876" s="93" t="n"/>
      <c r="M1876" s="93" t="n"/>
      <c r="N1876" s="94" t="n"/>
      <c r="O1876" s="92" t="inlineStr">
        <is>
          <t>Thu</t>
        </is>
      </c>
      <c r="P1876" s="93" t="n"/>
      <c r="Q1876" s="93" t="n"/>
      <c r="R1876" s="94" t="n"/>
      <c r="S1876" s="92" t="inlineStr">
        <is>
          <t>Fri</t>
        </is>
      </c>
      <c r="T1876" s="93" t="n"/>
      <c r="U1876" s="93" t="n"/>
      <c r="V1876" s="94" t="n"/>
      <c r="W1876" s="95" t="inlineStr">
        <is>
          <t>Sat</t>
        </is>
      </c>
      <c r="X1876" s="96" t="n"/>
      <c r="Y1876" s="95" t="inlineStr">
        <is>
          <t>Sun</t>
        </is>
      </c>
      <c r="Z1876" s="96" t="n"/>
      <c r="AB1876" s="97" t="inlineStr">
        <is>
          <t>Days rostered</t>
        </is>
      </c>
      <c r="AC1876" s="97" t="inlineStr">
        <is>
          <t>Conflicts</t>
        </is>
      </c>
    </row>
    <row r="1877" ht="15" customHeight="1">
      <c r="A1877" t="n">
        <v>38</v>
      </c>
      <c r="B1877" s="35">
        <f>IF(Setup!$B$6="","",Setup!$B$6)</f>
        <v/>
      </c>
      <c r="C1877" s="98" t="n"/>
      <c r="D1877" s="99" t="n"/>
      <c r="E1877" s="99" t="n"/>
      <c r="F1877" s="100" t="n"/>
      <c r="G1877" s="98" t="n"/>
      <c r="H1877" s="99" t="n"/>
      <c r="I1877" s="99" t="n"/>
      <c r="J1877" s="100" t="n"/>
      <c r="K1877" s="98" t="n"/>
      <c r="L1877" s="99" t="n"/>
      <c r="M1877" s="99" t="n"/>
      <c r="N1877" s="100" t="n"/>
      <c r="O1877" s="98" t="n"/>
      <c r="P1877" s="99" t="n"/>
      <c r="Q1877" s="99" t="n"/>
      <c r="R1877" s="100" t="n"/>
      <c r="S1877" s="98" t="n"/>
      <c r="T1877" s="99" t="n"/>
      <c r="U1877" s="99" t="n"/>
      <c r="V1877" s="100" t="n"/>
      <c r="W1877" s="98" t="n"/>
      <c r="X1877" s="100" t="n"/>
      <c r="Y1877" s="98" t="n"/>
      <c r="Z1877" s="100" t="n"/>
      <c r="AB1877" s="101">
        <f>IF($B1877="","",(COUNTIF(C1858:E1875,$B1877)+COUNTIF(C1858:E1875,$B1877&amp;" ~*")&gt;0)+(COUNTIF(G1858:I1875,$B1877)+COUNTIF(G1858:I1875,$B1877&amp;" ~*")&gt;0)+(COUNTIF(K1858:M1875,$B1877)+COUNTIF(K1858:M1875,$B1877&amp;" ~*")&gt;0)+(COUNTIF(O1858:Q1875,$B1877)+COUNTIF(O1858:Q1875,$B1877&amp;" ~*")&gt;0)+(COUNTIF(S1858:U1875,$B1877)+COUNTIF(S1858:U1875,$B1877&amp;" ~*")&gt;0)+(COUNTIF(W1858:W1875,$B1877)+COUNTIF(W1858:W1875,$B1877&amp;" ~*")&gt;0)+(COUNTIF(Y1858:Y1875,$B1877)+COUNTIF(Y1858:Y1875,$B1877&amp;" ~*")&gt;0))</f>
        <v/>
      </c>
      <c r="AC1877" s="36">
        <f>IF($B1877="","",(IFERROR(INDEX(Setup!$G$33:$G$40,MATCH(C1877,Setup!$B$33:$B$40,0)),0)=1)*(COUNTIF(C1858:E1875,$B1877)+COUNTIF(C1858:E1875,$B1877&amp;" ~*")&gt;0)+(IFERROR(INDEX(Setup!$G$33:$G$40,MATCH(G1877,Setup!$B$33:$B$40,0)),0)=1)*(COUNTIF(G1858:I1875,$B1877)+COUNTIF(G1858:I1875,$B1877&amp;" ~*")&gt;0)+(IFERROR(INDEX(Setup!$G$33:$G$40,MATCH(K1877,Setup!$B$33:$B$40,0)),0)=1)*(COUNTIF(K1858:M1875,$B1877)+COUNTIF(K1858:M1875,$B1877&amp;" ~*")&gt;0)+(IFERROR(INDEX(Setup!$G$33:$G$40,MATCH(O1877,Setup!$B$33:$B$40,0)),0)=1)*(COUNTIF(O1858:Q1875,$B1877)+COUNTIF(O1858:Q1875,$B1877&amp;" ~*")&gt;0)+(IFERROR(INDEX(Setup!$G$33:$G$40,MATCH(S1877,Setup!$B$33:$B$40,0)),0)=1)*(COUNTIF(S1858:U1875,$B1877)+COUNTIF(S1858:U1875,$B1877&amp;" ~*")&gt;0)+(IFERROR(INDEX(Setup!$G$33:$G$40,MATCH(W1877,Setup!$B$33:$B$40,0)),0)=1)*(COUNTIF(W1858:W1875,$B1877)+COUNTIF(W1858:W1875,$B1877&amp;" ~*")&gt;0)+(IFERROR(INDEX(Setup!$G$33:$G$40,MATCH(Y1877,Setup!$B$33:$B$40,0)),0)=1)*(COUNTIF(Y1858:Y1875,$B1877)+COUNTIF(Y1858:Y1875,$B1877&amp;" ~*")&gt;0))</f>
        <v/>
      </c>
    </row>
    <row r="1878" ht="15" customHeight="1">
      <c r="A1878" t="n">
        <v>38</v>
      </c>
      <c r="B1878" s="37">
        <f>IF(Setup!$B$7="","",Setup!$B$7)</f>
        <v/>
      </c>
      <c r="C1878" s="102" t="n"/>
      <c r="D1878" s="103" t="n"/>
      <c r="E1878" s="103" t="n"/>
      <c r="F1878" s="104" t="n"/>
      <c r="G1878" s="102" t="n"/>
      <c r="H1878" s="103" t="n"/>
      <c r="I1878" s="103" t="n"/>
      <c r="J1878" s="104" t="n"/>
      <c r="K1878" s="102" t="n"/>
      <c r="L1878" s="103" t="n"/>
      <c r="M1878" s="103" t="n"/>
      <c r="N1878" s="104" t="n"/>
      <c r="O1878" s="102" t="n"/>
      <c r="P1878" s="103" t="n"/>
      <c r="Q1878" s="103" t="n"/>
      <c r="R1878" s="104" t="n"/>
      <c r="S1878" s="102" t="n"/>
      <c r="T1878" s="103" t="n"/>
      <c r="U1878" s="103" t="n"/>
      <c r="V1878" s="104" t="n"/>
      <c r="W1878" s="102" t="n"/>
      <c r="X1878" s="104" t="n"/>
      <c r="Y1878" s="102" t="n"/>
      <c r="Z1878" s="104" t="n"/>
      <c r="AB1878" s="105">
        <f>IF($B1878="","",(COUNTIF(C1858:E1875,$B1878)+COUNTIF(C1858:E1875,$B1878&amp;" ~*")&gt;0)+(COUNTIF(G1858:I1875,$B1878)+COUNTIF(G1858:I1875,$B1878&amp;" ~*")&gt;0)+(COUNTIF(K1858:M1875,$B1878)+COUNTIF(K1858:M1875,$B1878&amp;" ~*")&gt;0)+(COUNTIF(O1858:Q1875,$B1878)+COUNTIF(O1858:Q1875,$B1878&amp;" ~*")&gt;0)+(COUNTIF(S1858:U1875,$B1878)+COUNTIF(S1858:U1875,$B1878&amp;" ~*")&gt;0)+(COUNTIF(W1858:W1875,$B1878)+COUNTIF(W1858:W1875,$B1878&amp;" ~*")&gt;0)+(COUNTIF(Y1858:Y1875,$B1878)+COUNTIF(Y1858:Y1875,$B1878&amp;" ~*")&gt;0))</f>
        <v/>
      </c>
      <c r="AC1878" s="38">
        <f>IF($B1878="","",(IFERROR(INDEX(Setup!$G$33:$G$40,MATCH(C1878,Setup!$B$33:$B$40,0)),0)=1)*(COUNTIF(C1858:E1875,$B1878)+COUNTIF(C1858:E1875,$B1878&amp;" ~*")&gt;0)+(IFERROR(INDEX(Setup!$G$33:$G$40,MATCH(G1878,Setup!$B$33:$B$40,0)),0)=1)*(COUNTIF(G1858:I1875,$B1878)+COUNTIF(G1858:I1875,$B1878&amp;" ~*")&gt;0)+(IFERROR(INDEX(Setup!$G$33:$G$40,MATCH(K1878,Setup!$B$33:$B$40,0)),0)=1)*(COUNTIF(K1858:M1875,$B1878)+COUNTIF(K1858:M1875,$B1878&amp;" ~*")&gt;0)+(IFERROR(INDEX(Setup!$G$33:$G$40,MATCH(O1878,Setup!$B$33:$B$40,0)),0)=1)*(COUNTIF(O1858:Q1875,$B1878)+COUNTIF(O1858:Q1875,$B1878&amp;" ~*")&gt;0)+(IFERROR(INDEX(Setup!$G$33:$G$40,MATCH(S1878,Setup!$B$33:$B$40,0)),0)=1)*(COUNTIF(S1858:U1875,$B1878)+COUNTIF(S1858:U1875,$B1878&amp;" ~*")&gt;0)+(IFERROR(INDEX(Setup!$G$33:$G$40,MATCH(W1878,Setup!$B$33:$B$40,0)),0)=1)*(COUNTIF(W1858:W1875,$B1878)+COUNTIF(W1858:W1875,$B1878&amp;" ~*")&gt;0)+(IFERROR(INDEX(Setup!$G$33:$G$40,MATCH(Y1878,Setup!$B$33:$B$40,0)),0)=1)*(COUNTIF(Y1858:Y1875,$B1878)+COUNTIF(Y1858:Y1875,$B1878&amp;" ~*")&gt;0))</f>
        <v/>
      </c>
    </row>
    <row r="1879" ht="15" customHeight="1">
      <c r="A1879" t="n">
        <v>38</v>
      </c>
      <c r="B1879" s="35">
        <f>IF(Setup!$B$8="","",Setup!$B$8)</f>
        <v/>
      </c>
      <c r="C1879" s="98" t="n"/>
      <c r="D1879" s="99" t="n"/>
      <c r="E1879" s="99" t="n"/>
      <c r="F1879" s="100" t="n"/>
      <c r="G1879" s="98" t="n"/>
      <c r="H1879" s="99" t="n"/>
      <c r="I1879" s="99" t="n"/>
      <c r="J1879" s="100" t="n"/>
      <c r="K1879" s="98" t="n"/>
      <c r="L1879" s="99" t="n"/>
      <c r="M1879" s="99" t="n"/>
      <c r="N1879" s="100" t="n"/>
      <c r="O1879" s="98" t="n"/>
      <c r="P1879" s="99" t="n"/>
      <c r="Q1879" s="99" t="n"/>
      <c r="R1879" s="100" t="n"/>
      <c r="S1879" s="98" t="n"/>
      <c r="T1879" s="99" t="n"/>
      <c r="U1879" s="99" t="n"/>
      <c r="V1879" s="100" t="n"/>
      <c r="W1879" s="98" t="n"/>
      <c r="X1879" s="100" t="n"/>
      <c r="Y1879" s="98" t="n"/>
      <c r="Z1879" s="100" t="n"/>
      <c r="AB1879" s="101">
        <f>IF($B1879="","",(COUNTIF(C1858:E1875,$B1879)+COUNTIF(C1858:E1875,$B1879&amp;" ~*")&gt;0)+(COUNTIF(G1858:I1875,$B1879)+COUNTIF(G1858:I1875,$B1879&amp;" ~*")&gt;0)+(COUNTIF(K1858:M1875,$B1879)+COUNTIF(K1858:M1875,$B1879&amp;" ~*")&gt;0)+(COUNTIF(O1858:Q1875,$B1879)+COUNTIF(O1858:Q1875,$B1879&amp;" ~*")&gt;0)+(COUNTIF(S1858:U1875,$B1879)+COUNTIF(S1858:U1875,$B1879&amp;" ~*")&gt;0)+(COUNTIF(W1858:W1875,$B1879)+COUNTIF(W1858:W1875,$B1879&amp;" ~*")&gt;0)+(COUNTIF(Y1858:Y1875,$B1879)+COUNTIF(Y1858:Y1875,$B1879&amp;" ~*")&gt;0))</f>
        <v/>
      </c>
      <c r="AC1879" s="36">
        <f>IF($B1879="","",(IFERROR(INDEX(Setup!$G$33:$G$40,MATCH(C1879,Setup!$B$33:$B$40,0)),0)=1)*(COUNTIF(C1858:E1875,$B1879)+COUNTIF(C1858:E1875,$B1879&amp;" ~*")&gt;0)+(IFERROR(INDEX(Setup!$G$33:$G$40,MATCH(G1879,Setup!$B$33:$B$40,0)),0)=1)*(COUNTIF(G1858:I1875,$B1879)+COUNTIF(G1858:I1875,$B1879&amp;" ~*")&gt;0)+(IFERROR(INDEX(Setup!$G$33:$G$40,MATCH(K1879,Setup!$B$33:$B$40,0)),0)=1)*(COUNTIF(K1858:M1875,$B1879)+COUNTIF(K1858:M1875,$B1879&amp;" ~*")&gt;0)+(IFERROR(INDEX(Setup!$G$33:$G$40,MATCH(O1879,Setup!$B$33:$B$40,0)),0)=1)*(COUNTIF(O1858:Q1875,$B1879)+COUNTIF(O1858:Q1875,$B1879&amp;" ~*")&gt;0)+(IFERROR(INDEX(Setup!$G$33:$G$40,MATCH(S1879,Setup!$B$33:$B$40,0)),0)=1)*(COUNTIF(S1858:U1875,$B1879)+COUNTIF(S1858:U1875,$B1879&amp;" ~*")&gt;0)+(IFERROR(INDEX(Setup!$G$33:$G$40,MATCH(W1879,Setup!$B$33:$B$40,0)),0)=1)*(COUNTIF(W1858:W1875,$B1879)+COUNTIF(W1858:W1875,$B1879&amp;" ~*")&gt;0)+(IFERROR(INDEX(Setup!$G$33:$G$40,MATCH(Y1879,Setup!$B$33:$B$40,0)),0)=1)*(COUNTIF(Y1858:Y1875,$B1879)+COUNTIF(Y1858:Y1875,$B1879&amp;" ~*")&gt;0))</f>
        <v/>
      </c>
    </row>
    <row r="1880" ht="15" customHeight="1">
      <c r="A1880" t="n">
        <v>38</v>
      </c>
      <c r="B1880" s="37">
        <f>IF(Setup!$B$9="","",Setup!$B$9)</f>
        <v/>
      </c>
      <c r="C1880" s="102" t="n"/>
      <c r="D1880" s="103" t="n"/>
      <c r="E1880" s="103" t="n"/>
      <c r="F1880" s="104" t="n"/>
      <c r="G1880" s="102" t="n"/>
      <c r="H1880" s="103" t="n"/>
      <c r="I1880" s="103" t="n"/>
      <c r="J1880" s="104" t="n"/>
      <c r="K1880" s="102" t="n"/>
      <c r="L1880" s="103" t="n"/>
      <c r="M1880" s="103" t="n"/>
      <c r="N1880" s="104" t="n"/>
      <c r="O1880" s="102" t="n"/>
      <c r="P1880" s="103" t="n"/>
      <c r="Q1880" s="103" t="n"/>
      <c r="R1880" s="104" t="n"/>
      <c r="S1880" s="102" t="n"/>
      <c r="T1880" s="103" t="n"/>
      <c r="U1880" s="103" t="n"/>
      <c r="V1880" s="104" t="n"/>
      <c r="W1880" s="102" t="n"/>
      <c r="X1880" s="104" t="n"/>
      <c r="Y1880" s="102" t="n"/>
      <c r="Z1880" s="104" t="n"/>
      <c r="AB1880" s="105">
        <f>IF($B1880="","",(COUNTIF(C1858:E1875,$B1880)+COUNTIF(C1858:E1875,$B1880&amp;" ~*")&gt;0)+(COUNTIF(G1858:I1875,$B1880)+COUNTIF(G1858:I1875,$B1880&amp;" ~*")&gt;0)+(COUNTIF(K1858:M1875,$B1880)+COUNTIF(K1858:M1875,$B1880&amp;" ~*")&gt;0)+(COUNTIF(O1858:Q1875,$B1880)+COUNTIF(O1858:Q1875,$B1880&amp;" ~*")&gt;0)+(COUNTIF(S1858:U1875,$B1880)+COUNTIF(S1858:U1875,$B1880&amp;" ~*")&gt;0)+(COUNTIF(W1858:W1875,$B1880)+COUNTIF(W1858:W1875,$B1880&amp;" ~*")&gt;0)+(COUNTIF(Y1858:Y1875,$B1880)+COUNTIF(Y1858:Y1875,$B1880&amp;" ~*")&gt;0))</f>
        <v/>
      </c>
      <c r="AC1880" s="38">
        <f>IF($B1880="","",(IFERROR(INDEX(Setup!$G$33:$G$40,MATCH(C1880,Setup!$B$33:$B$40,0)),0)=1)*(COUNTIF(C1858:E1875,$B1880)+COUNTIF(C1858:E1875,$B1880&amp;" ~*")&gt;0)+(IFERROR(INDEX(Setup!$G$33:$G$40,MATCH(G1880,Setup!$B$33:$B$40,0)),0)=1)*(COUNTIF(G1858:I1875,$B1880)+COUNTIF(G1858:I1875,$B1880&amp;" ~*")&gt;0)+(IFERROR(INDEX(Setup!$G$33:$G$40,MATCH(K1880,Setup!$B$33:$B$40,0)),0)=1)*(COUNTIF(K1858:M1875,$B1880)+COUNTIF(K1858:M1875,$B1880&amp;" ~*")&gt;0)+(IFERROR(INDEX(Setup!$G$33:$G$40,MATCH(O1880,Setup!$B$33:$B$40,0)),0)=1)*(COUNTIF(O1858:Q1875,$B1880)+COUNTIF(O1858:Q1875,$B1880&amp;" ~*")&gt;0)+(IFERROR(INDEX(Setup!$G$33:$G$40,MATCH(S1880,Setup!$B$33:$B$40,0)),0)=1)*(COUNTIF(S1858:U1875,$B1880)+COUNTIF(S1858:U1875,$B1880&amp;" ~*")&gt;0)+(IFERROR(INDEX(Setup!$G$33:$G$40,MATCH(W1880,Setup!$B$33:$B$40,0)),0)=1)*(COUNTIF(W1858:W1875,$B1880)+COUNTIF(W1858:W1875,$B1880&amp;" ~*")&gt;0)+(IFERROR(INDEX(Setup!$G$33:$G$40,MATCH(Y1880,Setup!$B$33:$B$40,0)),0)=1)*(COUNTIF(Y1858:Y1875,$B1880)+COUNTIF(Y1858:Y1875,$B1880&amp;" ~*")&gt;0))</f>
        <v/>
      </c>
    </row>
    <row r="1881" ht="15" customHeight="1">
      <c r="A1881" t="n">
        <v>38</v>
      </c>
      <c r="B1881" s="35">
        <f>IF(Setup!$B$10="","",Setup!$B$10)</f>
        <v/>
      </c>
      <c r="C1881" s="98" t="n"/>
      <c r="D1881" s="99" t="n"/>
      <c r="E1881" s="99" t="n"/>
      <c r="F1881" s="100" t="n"/>
      <c r="G1881" s="98" t="n"/>
      <c r="H1881" s="99" t="n"/>
      <c r="I1881" s="99" t="n"/>
      <c r="J1881" s="100" t="n"/>
      <c r="K1881" s="98" t="n"/>
      <c r="L1881" s="99" t="n"/>
      <c r="M1881" s="99" t="n"/>
      <c r="N1881" s="100" t="n"/>
      <c r="O1881" s="98" t="n"/>
      <c r="P1881" s="99" t="n"/>
      <c r="Q1881" s="99" t="n"/>
      <c r="R1881" s="100" t="n"/>
      <c r="S1881" s="98" t="n"/>
      <c r="T1881" s="99" t="n"/>
      <c r="U1881" s="99" t="n"/>
      <c r="V1881" s="100" t="n"/>
      <c r="W1881" s="98" t="n"/>
      <c r="X1881" s="100" t="n"/>
      <c r="Y1881" s="98" t="n"/>
      <c r="Z1881" s="100" t="n"/>
      <c r="AB1881" s="101">
        <f>IF($B1881="","",(COUNTIF(C1858:E1875,$B1881)+COUNTIF(C1858:E1875,$B1881&amp;" ~*")&gt;0)+(COUNTIF(G1858:I1875,$B1881)+COUNTIF(G1858:I1875,$B1881&amp;" ~*")&gt;0)+(COUNTIF(K1858:M1875,$B1881)+COUNTIF(K1858:M1875,$B1881&amp;" ~*")&gt;0)+(COUNTIF(O1858:Q1875,$B1881)+COUNTIF(O1858:Q1875,$B1881&amp;" ~*")&gt;0)+(COUNTIF(S1858:U1875,$B1881)+COUNTIF(S1858:U1875,$B1881&amp;" ~*")&gt;0)+(COUNTIF(W1858:W1875,$B1881)+COUNTIF(W1858:W1875,$B1881&amp;" ~*")&gt;0)+(COUNTIF(Y1858:Y1875,$B1881)+COUNTIF(Y1858:Y1875,$B1881&amp;" ~*")&gt;0))</f>
        <v/>
      </c>
      <c r="AC1881" s="36">
        <f>IF($B1881="","",(IFERROR(INDEX(Setup!$G$33:$G$40,MATCH(C1881,Setup!$B$33:$B$40,0)),0)=1)*(COUNTIF(C1858:E1875,$B1881)+COUNTIF(C1858:E1875,$B1881&amp;" ~*")&gt;0)+(IFERROR(INDEX(Setup!$G$33:$G$40,MATCH(G1881,Setup!$B$33:$B$40,0)),0)=1)*(COUNTIF(G1858:I1875,$B1881)+COUNTIF(G1858:I1875,$B1881&amp;" ~*")&gt;0)+(IFERROR(INDEX(Setup!$G$33:$G$40,MATCH(K1881,Setup!$B$33:$B$40,0)),0)=1)*(COUNTIF(K1858:M1875,$B1881)+COUNTIF(K1858:M1875,$B1881&amp;" ~*")&gt;0)+(IFERROR(INDEX(Setup!$G$33:$G$40,MATCH(O1881,Setup!$B$33:$B$40,0)),0)=1)*(COUNTIF(O1858:Q1875,$B1881)+COUNTIF(O1858:Q1875,$B1881&amp;" ~*")&gt;0)+(IFERROR(INDEX(Setup!$G$33:$G$40,MATCH(S1881,Setup!$B$33:$B$40,0)),0)=1)*(COUNTIF(S1858:U1875,$B1881)+COUNTIF(S1858:U1875,$B1881&amp;" ~*")&gt;0)+(IFERROR(INDEX(Setup!$G$33:$G$40,MATCH(W1881,Setup!$B$33:$B$40,0)),0)=1)*(COUNTIF(W1858:W1875,$B1881)+COUNTIF(W1858:W1875,$B1881&amp;" ~*")&gt;0)+(IFERROR(INDEX(Setup!$G$33:$G$40,MATCH(Y1881,Setup!$B$33:$B$40,0)),0)=1)*(COUNTIF(Y1858:Y1875,$B1881)+COUNTIF(Y1858:Y1875,$B1881&amp;" ~*")&gt;0))</f>
        <v/>
      </c>
    </row>
    <row r="1882" ht="15" customHeight="1">
      <c r="A1882" t="n">
        <v>38</v>
      </c>
      <c r="B1882" s="37">
        <f>IF(Setup!$B$11="","",Setup!$B$11)</f>
        <v/>
      </c>
      <c r="C1882" s="102" t="n"/>
      <c r="D1882" s="103" t="n"/>
      <c r="E1882" s="103" t="n"/>
      <c r="F1882" s="104" t="n"/>
      <c r="G1882" s="102" t="n"/>
      <c r="H1882" s="103" t="n"/>
      <c r="I1882" s="103" t="n"/>
      <c r="J1882" s="104" t="n"/>
      <c r="K1882" s="102" t="n"/>
      <c r="L1882" s="103" t="n"/>
      <c r="M1882" s="103" t="n"/>
      <c r="N1882" s="104" t="n"/>
      <c r="O1882" s="102" t="n"/>
      <c r="P1882" s="103" t="n"/>
      <c r="Q1882" s="103" t="n"/>
      <c r="R1882" s="104" t="n"/>
      <c r="S1882" s="102" t="n"/>
      <c r="T1882" s="103" t="n"/>
      <c r="U1882" s="103" t="n"/>
      <c r="V1882" s="104" t="n"/>
      <c r="W1882" s="102" t="n"/>
      <c r="X1882" s="104" t="n"/>
      <c r="Y1882" s="102" t="n"/>
      <c r="Z1882" s="104" t="n"/>
      <c r="AB1882" s="105">
        <f>IF($B1882="","",(COUNTIF(C1858:E1875,$B1882)+COUNTIF(C1858:E1875,$B1882&amp;" ~*")&gt;0)+(COUNTIF(G1858:I1875,$B1882)+COUNTIF(G1858:I1875,$B1882&amp;" ~*")&gt;0)+(COUNTIF(K1858:M1875,$B1882)+COUNTIF(K1858:M1875,$B1882&amp;" ~*")&gt;0)+(COUNTIF(O1858:Q1875,$B1882)+COUNTIF(O1858:Q1875,$B1882&amp;" ~*")&gt;0)+(COUNTIF(S1858:U1875,$B1882)+COUNTIF(S1858:U1875,$B1882&amp;" ~*")&gt;0)+(COUNTIF(W1858:W1875,$B1882)+COUNTIF(W1858:W1875,$B1882&amp;" ~*")&gt;0)+(COUNTIF(Y1858:Y1875,$B1882)+COUNTIF(Y1858:Y1875,$B1882&amp;" ~*")&gt;0))</f>
        <v/>
      </c>
      <c r="AC1882" s="38">
        <f>IF($B1882="","",(IFERROR(INDEX(Setup!$G$33:$G$40,MATCH(C1882,Setup!$B$33:$B$40,0)),0)=1)*(COUNTIF(C1858:E1875,$B1882)+COUNTIF(C1858:E1875,$B1882&amp;" ~*")&gt;0)+(IFERROR(INDEX(Setup!$G$33:$G$40,MATCH(G1882,Setup!$B$33:$B$40,0)),0)=1)*(COUNTIF(G1858:I1875,$B1882)+COUNTIF(G1858:I1875,$B1882&amp;" ~*")&gt;0)+(IFERROR(INDEX(Setup!$G$33:$G$40,MATCH(K1882,Setup!$B$33:$B$40,0)),0)=1)*(COUNTIF(K1858:M1875,$B1882)+COUNTIF(K1858:M1875,$B1882&amp;" ~*")&gt;0)+(IFERROR(INDEX(Setup!$G$33:$G$40,MATCH(O1882,Setup!$B$33:$B$40,0)),0)=1)*(COUNTIF(O1858:Q1875,$B1882)+COUNTIF(O1858:Q1875,$B1882&amp;" ~*")&gt;0)+(IFERROR(INDEX(Setup!$G$33:$G$40,MATCH(S1882,Setup!$B$33:$B$40,0)),0)=1)*(COUNTIF(S1858:U1875,$B1882)+COUNTIF(S1858:U1875,$B1882&amp;" ~*")&gt;0)+(IFERROR(INDEX(Setup!$G$33:$G$40,MATCH(W1882,Setup!$B$33:$B$40,0)),0)=1)*(COUNTIF(W1858:W1875,$B1882)+COUNTIF(W1858:W1875,$B1882&amp;" ~*")&gt;0)+(IFERROR(INDEX(Setup!$G$33:$G$40,MATCH(Y1882,Setup!$B$33:$B$40,0)),0)=1)*(COUNTIF(Y1858:Y1875,$B1882)+COUNTIF(Y1858:Y1875,$B1882&amp;" ~*")&gt;0))</f>
        <v/>
      </c>
    </row>
    <row r="1883" ht="15" customHeight="1">
      <c r="A1883" t="n">
        <v>38</v>
      </c>
      <c r="B1883" s="35">
        <f>IF(Setup!$B$12="","",Setup!$B$12)</f>
        <v/>
      </c>
      <c r="C1883" s="98" t="n"/>
      <c r="D1883" s="99" t="n"/>
      <c r="E1883" s="99" t="n"/>
      <c r="F1883" s="100" t="n"/>
      <c r="G1883" s="98" t="n"/>
      <c r="H1883" s="99" t="n"/>
      <c r="I1883" s="99" t="n"/>
      <c r="J1883" s="100" t="n"/>
      <c r="K1883" s="98" t="n"/>
      <c r="L1883" s="99" t="n"/>
      <c r="M1883" s="99" t="n"/>
      <c r="N1883" s="100" t="n"/>
      <c r="O1883" s="98" t="n"/>
      <c r="P1883" s="99" t="n"/>
      <c r="Q1883" s="99" t="n"/>
      <c r="R1883" s="100" t="n"/>
      <c r="S1883" s="98" t="n"/>
      <c r="T1883" s="99" t="n"/>
      <c r="U1883" s="99" t="n"/>
      <c r="V1883" s="100" t="n"/>
      <c r="W1883" s="98" t="n"/>
      <c r="X1883" s="100" t="n"/>
      <c r="Y1883" s="98" t="n"/>
      <c r="Z1883" s="100" t="n"/>
      <c r="AB1883" s="101">
        <f>IF($B1883="","",(COUNTIF(C1858:E1875,$B1883)+COUNTIF(C1858:E1875,$B1883&amp;" ~*")&gt;0)+(COUNTIF(G1858:I1875,$B1883)+COUNTIF(G1858:I1875,$B1883&amp;" ~*")&gt;0)+(COUNTIF(K1858:M1875,$B1883)+COUNTIF(K1858:M1875,$B1883&amp;" ~*")&gt;0)+(COUNTIF(O1858:Q1875,$B1883)+COUNTIF(O1858:Q1875,$B1883&amp;" ~*")&gt;0)+(COUNTIF(S1858:U1875,$B1883)+COUNTIF(S1858:U1875,$B1883&amp;" ~*")&gt;0)+(COUNTIF(W1858:W1875,$B1883)+COUNTIF(W1858:W1875,$B1883&amp;" ~*")&gt;0)+(COUNTIF(Y1858:Y1875,$B1883)+COUNTIF(Y1858:Y1875,$B1883&amp;" ~*")&gt;0))</f>
        <v/>
      </c>
      <c r="AC1883" s="36">
        <f>IF($B1883="","",(IFERROR(INDEX(Setup!$G$33:$G$40,MATCH(C1883,Setup!$B$33:$B$40,0)),0)=1)*(COUNTIF(C1858:E1875,$B1883)+COUNTIF(C1858:E1875,$B1883&amp;" ~*")&gt;0)+(IFERROR(INDEX(Setup!$G$33:$G$40,MATCH(G1883,Setup!$B$33:$B$40,0)),0)=1)*(COUNTIF(G1858:I1875,$B1883)+COUNTIF(G1858:I1875,$B1883&amp;" ~*")&gt;0)+(IFERROR(INDEX(Setup!$G$33:$G$40,MATCH(K1883,Setup!$B$33:$B$40,0)),0)=1)*(COUNTIF(K1858:M1875,$B1883)+COUNTIF(K1858:M1875,$B1883&amp;" ~*")&gt;0)+(IFERROR(INDEX(Setup!$G$33:$G$40,MATCH(O1883,Setup!$B$33:$B$40,0)),0)=1)*(COUNTIF(O1858:Q1875,$B1883)+COUNTIF(O1858:Q1875,$B1883&amp;" ~*")&gt;0)+(IFERROR(INDEX(Setup!$G$33:$G$40,MATCH(S1883,Setup!$B$33:$B$40,0)),0)=1)*(COUNTIF(S1858:U1875,$B1883)+COUNTIF(S1858:U1875,$B1883&amp;" ~*")&gt;0)+(IFERROR(INDEX(Setup!$G$33:$G$40,MATCH(W1883,Setup!$B$33:$B$40,0)),0)=1)*(COUNTIF(W1858:W1875,$B1883)+COUNTIF(W1858:W1875,$B1883&amp;" ~*")&gt;0)+(IFERROR(INDEX(Setup!$G$33:$G$40,MATCH(Y1883,Setup!$B$33:$B$40,0)),0)=1)*(COUNTIF(Y1858:Y1875,$B1883)+COUNTIF(Y1858:Y1875,$B1883&amp;" ~*")&gt;0))</f>
        <v/>
      </c>
    </row>
    <row r="1884" ht="15" customHeight="1">
      <c r="A1884" t="n">
        <v>38</v>
      </c>
      <c r="B1884" s="37">
        <f>IF(Setup!$B$13="","",Setup!$B$13)</f>
        <v/>
      </c>
      <c r="C1884" s="102" t="n"/>
      <c r="D1884" s="103" t="n"/>
      <c r="E1884" s="103" t="n"/>
      <c r="F1884" s="104" t="n"/>
      <c r="G1884" s="102" t="n"/>
      <c r="H1884" s="103" t="n"/>
      <c r="I1884" s="103" t="n"/>
      <c r="J1884" s="104" t="n"/>
      <c r="K1884" s="102" t="n"/>
      <c r="L1884" s="103" t="n"/>
      <c r="M1884" s="103" t="n"/>
      <c r="N1884" s="104" t="n"/>
      <c r="O1884" s="102" t="n"/>
      <c r="P1884" s="103" t="n"/>
      <c r="Q1884" s="103" t="n"/>
      <c r="R1884" s="104" t="n"/>
      <c r="S1884" s="102" t="n"/>
      <c r="T1884" s="103" t="n"/>
      <c r="U1884" s="103" t="n"/>
      <c r="V1884" s="104" t="n"/>
      <c r="W1884" s="102" t="n"/>
      <c r="X1884" s="104" t="n"/>
      <c r="Y1884" s="102" t="n"/>
      <c r="Z1884" s="104" t="n"/>
      <c r="AB1884" s="105">
        <f>IF($B1884="","",(COUNTIF(C1858:E1875,$B1884)+COUNTIF(C1858:E1875,$B1884&amp;" ~*")&gt;0)+(COUNTIF(G1858:I1875,$B1884)+COUNTIF(G1858:I1875,$B1884&amp;" ~*")&gt;0)+(COUNTIF(K1858:M1875,$B1884)+COUNTIF(K1858:M1875,$B1884&amp;" ~*")&gt;0)+(COUNTIF(O1858:Q1875,$B1884)+COUNTIF(O1858:Q1875,$B1884&amp;" ~*")&gt;0)+(COUNTIF(S1858:U1875,$B1884)+COUNTIF(S1858:U1875,$B1884&amp;" ~*")&gt;0)+(COUNTIF(W1858:W1875,$B1884)+COUNTIF(W1858:W1875,$B1884&amp;" ~*")&gt;0)+(COUNTIF(Y1858:Y1875,$B1884)+COUNTIF(Y1858:Y1875,$B1884&amp;" ~*")&gt;0))</f>
        <v/>
      </c>
      <c r="AC1884" s="38">
        <f>IF($B1884="","",(IFERROR(INDEX(Setup!$G$33:$G$40,MATCH(C1884,Setup!$B$33:$B$40,0)),0)=1)*(COUNTIF(C1858:E1875,$B1884)+COUNTIF(C1858:E1875,$B1884&amp;" ~*")&gt;0)+(IFERROR(INDEX(Setup!$G$33:$G$40,MATCH(G1884,Setup!$B$33:$B$40,0)),0)=1)*(COUNTIF(G1858:I1875,$B1884)+COUNTIF(G1858:I1875,$B1884&amp;" ~*")&gt;0)+(IFERROR(INDEX(Setup!$G$33:$G$40,MATCH(K1884,Setup!$B$33:$B$40,0)),0)=1)*(COUNTIF(K1858:M1875,$B1884)+COUNTIF(K1858:M1875,$B1884&amp;" ~*")&gt;0)+(IFERROR(INDEX(Setup!$G$33:$G$40,MATCH(O1884,Setup!$B$33:$B$40,0)),0)=1)*(COUNTIF(O1858:Q1875,$B1884)+COUNTIF(O1858:Q1875,$B1884&amp;" ~*")&gt;0)+(IFERROR(INDEX(Setup!$G$33:$G$40,MATCH(S1884,Setup!$B$33:$B$40,0)),0)=1)*(COUNTIF(S1858:U1875,$B1884)+COUNTIF(S1858:U1875,$B1884&amp;" ~*")&gt;0)+(IFERROR(INDEX(Setup!$G$33:$G$40,MATCH(W1884,Setup!$B$33:$B$40,0)),0)=1)*(COUNTIF(W1858:W1875,$B1884)+COUNTIF(W1858:W1875,$B1884&amp;" ~*")&gt;0)+(IFERROR(INDEX(Setup!$G$33:$G$40,MATCH(Y1884,Setup!$B$33:$B$40,0)),0)=1)*(COUNTIF(Y1858:Y1875,$B1884)+COUNTIF(Y1858:Y1875,$B1884&amp;" ~*")&gt;0))</f>
        <v/>
      </c>
    </row>
    <row r="1885" ht="15" customHeight="1">
      <c r="A1885" t="n">
        <v>38</v>
      </c>
      <c r="B1885" s="35">
        <f>IF(Setup!$B$14="","",Setup!$B$14)</f>
        <v/>
      </c>
      <c r="C1885" s="98" t="n"/>
      <c r="D1885" s="99" t="n"/>
      <c r="E1885" s="99" t="n"/>
      <c r="F1885" s="100" t="n"/>
      <c r="G1885" s="98" t="n"/>
      <c r="H1885" s="99" t="n"/>
      <c r="I1885" s="99" t="n"/>
      <c r="J1885" s="100" t="n"/>
      <c r="K1885" s="98" t="n"/>
      <c r="L1885" s="99" t="n"/>
      <c r="M1885" s="99" t="n"/>
      <c r="N1885" s="100" t="n"/>
      <c r="O1885" s="98" t="n"/>
      <c r="P1885" s="99" t="n"/>
      <c r="Q1885" s="99" t="n"/>
      <c r="R1885" s="100" t="n"/>
      <c r="S1885" s="98" t="n"/>
      <c r="T1885" s="99" t="n"/>
      <c r="U1885" s="99" t="n"/>
      <c r="V1885" s="100" t="n"/>
      <c r="W1885" s="98" t="n"/>
      <c r="X1885" s="100" t="n"/>
      <c r="Y1885" s="98" t="n"/>
      <c r="Z1885" s="100" t="n"/>
      <c r="AB1885" s="101">
        <f>IF($B1885="","",(COUNTIF(C1858:E1875,$B1885)+COUNTIF(C1858:E1875,$B1885&amp;" ~*")&gt;0)+(COUNTIF(G1858:I1875,$B1885)+COUNTIF(G1858:I1875,$B1885&amp;" ~*")&gt;0)+(COUNTIF(K1858:M1875,$B1885)+COUNTIF(K1858:M1875,$B1885&amp;" ~*")&gt;0)+(COUNTIF(O1858:Q1875,$B1885)+COUNTIF(O1858:Q1875,$B1885&amp;" ~*")&gt;0)+(COUNTIF(S1858:U1875,$B1885)+COUNTIF(S1858:U1875,$B1885&amp;" ~*")&gt;0)+(COUNTIF(W1858:W1875,$B1885)+COUNTIF(W1858:W1875,$B1885&amp;" ~*")&gt;0)+(COUNTIF(Y1858:Y1875,$B1885)+COUNTIF(Y1858:Y1875,$B1885&amp;" ~*")&gt;0))</f>
        <v/>
      </c>
      <c r="AC1885" s="36">
        <f>IF($B1885="","",(IFERROR(INDEX(Setup!$G$33:$G$40,MATCH(C1885,Setup!$B$33:$B$40,0)),0)=1)*(COUNTIF(C1858:E1875,$B1885)+COUNTIF(C1858:E1875,$B1885&amp;" ~*")&gt;0)+(IFERROR(INDEX(Setup!$G$33:$G$40,MATCH(G1885,Setup!$B$33:$B$40,0)),0)=1)*(COUNTIF(G1858:I1875,$B1885)+COUNTIF(G1858:I1875,$B1885&amp;" ~*")&gt;0)+(IFERROR(INDEX(Setup!$G$33:$G$40,MATCH(K1885,Setup!$B$33:$B$40,0)),0)=1)*(COUNTIF(K1858:M1875,$B1885)+COUNTIF(K1858:M1875,$B1885&amp;" ~*")&gt;0)+(IFERROR(INDEX(Setup!$G$33:$G$40,MATCH(O1885,Setup!$B$33:$B$40,0)),0)=1)*(COUNTIF(O1858:Q1875,$B1885)+COUNTIF(O1858:Q1875,$B1885&amp;" ~*")&gt;0)+(IFERROR(INDEX(Setup!$G$33:$G$40,MATCH(S1885,Setup!$B$33:$B$40,0)),0)=1)*(COUNTIF(S1858:U1875,$B1885)+COUNTIF(S1858:U1875,$B1885&amp;" ~*")&gt;0)+(IFERROR(INDEX(Setup!$G$33:$G$40,MATCH(W1885,Setup!$B$33:$B$40,0)),0)=1)*(COUNTIF(W1858:W1875,$B1885)+COUNTIF(W1858:W1875,$B1885&amp;" ~*")&gt;0)+(IFERROR(INDEX(Setup!$G$33:$G$40,MATCH(Y1885,Setup!$B$33:$B$40,0)),0)=1)*(COUNTIF(Y1858:Y1875,$B1885)+COUNTIF(Y1858:Y1875,$B1885&amp;" ~*")&gt;0))</f>
        <v/>
      </c>
    </row>
    <row r="1886" ht="15" customHeight="1">
      <c r="A1886" t="n">
        <v>38</v>
      </c>
      <c r="B1886" s="37">
        <f>IF(Setup!$B$15="","",Setup!$B$15)</f>
        <v/>
      </c>
      <c r="C1886" s="102" t="n"/>
      <c r="D1886" s="103" t="n"/>
      <c r="E1886" s="103" t="n"/>
      <c r="F1886" s="104" t="n"/>
      <c r="G1886" s="102" t="n"/>
      <c r="H1886" s="103" t="n"/>
      <c r="I1886" s="103" t="n"/>
      <c r="J1886" s="104" t="n"/>
      <c r="K1886" s="102" t="n"/>
      <c r="L1886" s="103" t="n"/>
      <c r="M1886" s="103" t="n"/>
      <c r="N1886" s="104" t="n"/>
      <c r="O1886" s="102" t="n"/>
      <c r="P1886" s="103" t="n"/>
      <c r="Q1886" s="103" t="n"/>
      <c r="R1886" s="104" t="n"/>
      <c r="S1886" s="102" t="n"/>
      <c r="T1886" s="103" t="n"/>
      <c r="U1886" s="103" t="n"/>
      <c r="V1886" s="104" t="n"/>
      <c r="W1886" s="102" t="n"/>
      <c r="X1886" s="104" t="n"/>
      <c r="Y1886" s="102" t="n"/>
      <c r="Z1886" s="104" t="n"/>
      <c r="AB1886" s="105">
        <f>IF($B1886="","",(COUNTIF(C1858:E1875,$B1886)+COUNTIF(C1858:E1875,$B1886&amp;" ~*")&gt;0)+(COUNTIF(G1858:I1875,$B1886)+COUNTIF(G1858:I1875,$B1886&amp;" ~*")&gt;0)+(COUNTIF(K1858:M1875,$B1886)+COUNTIF(K1858:M1875,$B1886&amp;" ~*")&gt;0)+(COUNTIF(O1858:Q1875,$B1886)+COUNTIF(O1858:Q1875,$B1886&amp;" ~*")&gt;0)+(COUNTIF(S1858:U1875,$B1886)+COUNTIF(S1858:U1875,$B1886&amp;" ~*")&gt;0)+(COUNTIF(W1858:W1875,$B1886)+COUNTIF(W1858:W1875,$B1886&amp;" ~*")&gt;0)+(COUNTIF(Y1858:Y1875,$B1886)+COUNTIF(Y1858:Y1875,$B1886&amp;" ~*")&gt;0))</f>
        <v/>
      </c>
      <c r="AC1886" s="38">
        <f>IF($B1886="","",(IFERROR(INDEX(Setup!$G$33:$G$40,MATCH(C1886,Setup!$B$33:$B$40,0)),0)=1)*(COUNTIF(C1858:E1875,$B1886)+COUNTIF(C1858:E1875,$B1886&amp;" ~*")&gt;0)+(IFERROR(INDEX(Setup!$G$33:$G$40,MATCH(G1886,Setup!$B$33:$B$40,0)),0)=1)*(COUNTIF(G1858:I1875,$B1886)+COUNTIF(G1858:I1875,$B1886&amp;" ~*")&gt;0)+(IFERROR(INDEX(Setup!$G$33:$G$40,MATCH(K1886,Setup!$B$33:$B$40,0)),0)=1)*(COUNTIF(K1858:M1875,$B1886)+COUNTIF(K1858:M1875,$B1886&amp;" ~*")&gt;0)+(IFERROR(INDEX(Setup!$G$33:$G$40,MATCH(O1886,Setup!$B$33:$B$40,0)),0)=1)*(COUNTIF(O1858:Q1875,$B1886)+COUNTIF(O1858:Q1875,$B1886&amp;" ~*")&gt;0)+(IFERROR(INDEX(Setup!$G$33:$G$40,MATCH(S1886,Setup!$B$33:$B$40,0)),0)=1)*(COUNTIF(S1858:U1875,$B1886)+COUNTIF(S1858:U1875,$B1886&amp;" ~*")&gt;0)+(IFERROR(INDEX(Setup!$G$33:$G$40,MATCH(W1886,Setup!$B$33:$B$40,0)),0)=1)*(COUNTIF(W1858:W1875,$B1886)+COUNTIF(W1858:W1875,$B1886&amp;" ~*")&gt;0)+(IFERROR(INDEX(Setup!$G$33:$G$40,MATCH(Y1886,Setup!$B$33:$B$40,0)),0)=1)*(COUNTIF(Y1858:Y1875,$B1886)+COUNTIF(Y1858:Y1875,$B1886&amp;" ~*")&gt;0))</f>
        <v/>
      </c>
    </row>
    <row r="1887" ht="15" customHeight="1">
      <c r="A1887" t="n">
        <v>38</v>
      </c>
      <c r="B1887" s="35">
        <f>IF(Setup!$B$16="","",Setup!$B$16)</f>
        <v/>
      </c>
      <c r="C1887" s="98" t="n"/>
      <c r="D1887" s="99" t="n"/>
      <c r="E1887" s="99" t="n"/>
      <c r="F1887" s="100" t="n"/>
      <c r="G1887" s="98" t="n"/>
      <c r="H1887" s="99" t="n"/>
      <c r="I1887" s="99" t="n"/>
      <c r="J1887" s="100" t="n"/>
      <c r="K1887" s="98" t="n"/>
      <c r="L1887" s="99" t="n"/>
      <c r="M1887" s="99" t="n"/>
      <c r="N1887" s="100" t="n"/>
      <c r="O1887" s="98" t="n"/>
      <c r="P1887" s="99" t="n"/>
      <c r="Q1887" s="99" t="n"/>
      <c r="R1887" s="100" t="n"/>
      <c r="S1887" s="98" t="n"/>
      <c r="T1887" s="99" t="n"/>
      <c r="U1887" s="99" t="n"/>
      <c r="V1887" s="100" t="n"/>
      <c r="W1887" s="98" t="n"/>
      <c r="X1887" s="100" t="n"/>
      <c r="Y1887" s="98" t="n"/>
      <c r="Z1887" s="100" t="n"/>
      <c r="AB1887" s="101">
        <f>IF($B1887="","",(COUNTIF(C1858:E1875,$B1887)+COUNTIF(C1858:E1875,$B1887&amp;" ~*")&gt;0)+(COUNTIF(G1858:I1875,$B1887)+COUNTIF(G1858:I1875,$B1887&amp;" ~*")&gt;0)+(COUNTIF(K1858:M1875,$B1887)+COUNTIF(K1858:M1875,$B1887&amp;" ~*")&gt;0)+(COUNTIF(O1858:Q1875,$B1887)+COUNTIF(O1858:Q1875,$B1887&amp;" ~*")&gt;0)+(COUNTIF(S1858:U1875,$B1887)+COUNTIF(S1858:U1875,$B1887&amp;" ~*")&gt;0)+(COUNTIF(W1858:W1875,$B1887)+COUNTIF(W1858:W1875,$B1887&amp;" ~*")&gt;0)+(COUNTIF(Y1858:Y1875,$B1887)+COUNTIF(Y1858:Y1875,$B1887&amp;" ~*")&gt;0))</f>
        <v/>
      </c>
      <c r="AC1887" s="36">
        <f>IF($B1887="","",(IFERROR(INDEX(Setup!$G$33:$G$40,MATCH(C1887,Setup!$B$33:$B$40,0)),0)=1)*(COUNTIF(C1858:E1875,$B1887)+COUNTIF(C1858:E1875,$B1887&amp;" ~*")&gt;0)+(IFERROR(INDEX(Setup!$G$33:$G$40,MATCH(G1887,Setup!$B$33:$B$40,0)),0)=1)*(COUNTIF(G1858:I1875,$B1887)+COUNTIF(G1858:I1875,$B1887&amp;" ~*")&gt;0)+(IFERROR(INDEX(Setup!$G$33:$G$40,MATCH(K1887,Setup!$B$33:$B$40,0)),0)=1)*(COUNTIF(K1858:M1875,$B1887)+COUNTIF(K1858:M1875,$B1887&amp;" ~*")&gt;0)+(IFERROR(INDEX(Setup!$G$33:$G$40,MATCH(O1887,Setup!$B$33:$B$40,0)),0)=1)*(COUNTIF(O1858:Q1875,$B1887)+COUNTIF(O1858:Q1875,$B1887&amp;" ~*")&gt;0)+(IFERROR(INDEX(Setup!$G$33:$G$40,MATCH(S1887,Setup!$B$33:$B$40,0)),0)=1)*(COUNTIF(S1858:U1875,$B1887)+COUNTIF(S1858:U1875,$B1887&amp;" ~*")&gt;0)+(IFERROR(INDEX(Setup!$G$33:$G$40,MATCH(W1887,Setup!$B$33:$B$40,0)),0)=1)*(COUNTIF(W1858:W1875,$B1887)+COUNTIF(W1858:W1875,$B1887&amp;" ~*")&gt;0)+(IFERROR(INDEX(Setup!$G$33:$G$40,MATCH(Y1887,Setup!$B$33:$B$40,0)),0)=1)*(COUNTIF(Y1858:Y1875,$B1887)+COUNTIF(Y1858:Y1875,$B1887&amp;" ~*")&gt;0))</f>
        <v/>
      </c>
    </row>
    <row r="1888" ht="15" customHeight="1">
      <c r="A1888" t="n">
        <v>38</v>
      </c>
      <c r="B1888" s="37">
        <f>IF(Setup!$B$17="","",Setup!$B$17)</f>
        <v/>
      </c>
      <c r="C1888" s="102" t="n"/>
      <c r="D1888" s="103" t="n"/>
      <c r="E1888" s="103" t="n"/>
      <c r="F1888" s="104" t="n"/>
      <c r="G1888" s="102" t="n"/>
      <c r="H1888" s="103" t="n"/>
      <c r="I1888" s="103" t="n"/>
      <c r="J1888" s="104" t="n"/>
      <c r="K1888" s="102" t="n"/>
      <c r="L1888" s="103" t="n"/>
      <c r="M1888" s="103" t="n"/>
      <c r="N1888" s="104" t="n"/>
      <c r="O1888" s="102" t="n"/>
      <c r="P1888" s="103" t="n"/>
      <c r="Q1888" s="103" t="n"/>
      <c r="R1888" s="104" t="n"/>
      <c r="S1888" s="102" t="n"/>
      <c r="T1888" s="103" t="n"/>
      <c r="U1888" s="103" t="n"/>
      <c r="V1888" s="104" t="n"/>
      <c r="W1888" s="102" t="n"/>
      <c r="X1888" s="104" t="n"/>
      <c r="Y1888" s="102" t="n"/>
      <c r="Z1888" s="104" t="n"/>
      <c r="AB1888" s="105">
        <f>IF($B1888="","",(COUNTIF(C1858:E1875,$B1888)+COUNTIF(C1858:E1875,$B1888&amp;" ~*")&gt;0)+(COUNTIF(G1858:I1875,$B1888)+COUNTIF(G1858:I1875,$B1888&amp;" ~*")&gt;0)+(COUNTIF(K1858:M1875,$B1888)+COUNTIF(K1858:M1875,$B1888&amp;" ~*")&gt;0)+(COUNTIF(O1858:Q1875,$B1888)+COUNTIF(O1858:Q1875,$B1888&amp;" ~*")&gt;0)+(COUNTIF(S1858:U1875,$B1888)+COUNTIF(S1858:U1875,$B1888&amp;" ~*")&gt;0)+(COUNTIF(W1858:W1875,$B1888)+COUNTIF(W1858:W1875,$B1888&amp;" ~*")&gt;0)+(COUNTIF(Y1858:Y1875,$B1888)+COUNTIF(Y1858:Y1875,$B1888&amp;" ~*")&gt;0))</f>
        <v/>
      </c>
      <c r="AC1888" s="38">
        <f>IF($B1888="","",(IFERROR(INDEX(Setup!$G$33:$G$40,MATCH(C1888,Setup!$B$33:$B$40,0)),0)=1)*(COUNTIF(C1858:E1875,$B1888)+COUNTIF(C1858:E1875,$B1888&amp;" ~*")&gt;0)+(IFERROR(INDEX(Setup!$G$33:$G$40,MATCH(G1888,Setup!$B$33:$B$40,0)),0)=1)*(COUNTIF(G1858:I1875,$B1888)+COUNTIF(G1858:I1875,$B1888&amp;" ~*")&gt;0)+(IFERROR(INDEX(Setup!$G$33:$G$40,MATCH(K1888,Setup!$B$33:$B$40,0)),0)=1)*(COUNTIF(K1858:M1875,$B1888)+COUNTIF(K1858:M1875,$B1888&amp;" ~*")&gt;0)+(IFERROR(INDEX(Setup!$G$33:$G$40,MATCH(O1888,Setup!$B$33:$B$40,0)),0)=1)*(COUNTIF(O1858:Q1875,$B1888)+COUNTIF(O1858:Q1875,$B1888&amp;" ~*")&gt;0)+(IFERROR(INDEX(Setup!$G$33:$G$40,MATCH(S1888,Setup!$B$33:$B$40,0)),0)=1)*(COUNTIF(S1858:U1875,$B1888)+COUNTIF(S1858:U1875,$B1888&amp;" ~*")&gt;0)+(IFERROR(INDEX(Setup!$G$33:$G$40,MATCH(W1888,Setup!$B$33:$B$40,0)),0)=1)*(COUNTIF(W1858:W1875,$B1888)+COUNTIF(W1858:W1875,$B1888&amp;" ~*")&gt;0)+(IFERROR(INDEX(Setup!$G$33:$G$40,MATCH(Y1888,Setup!$B$33:$B$40,0)),0)=1)*(COUNTIF(Y1858:Y1875,$B1888)+COUNTIF(Y1858:Y1875,$B1888&amp;" ~*")&gt;0))</f>
        <v/>
      </c>
    </row>
    <row r="1889" ht="15" customHeight="1">
      <c r="A1889" t="n">
        <v>38</v>
      </c>
      <c r="B1889" s="35">
        <f>IF(Setup!$B$18="","",Setup!$B$18)</f>
        <v/>
      </c>
      <c r="C1889" s="98" t="n"/>
      <c r="D1889" s="99" t="n"/>
      <c r="E1889" s="99" t="n"/>
      <c r="F1889" s="100" t="n"/>
      <c r="G1889" s="98" t="n"/>
      <c r="H1889" s="99" t="n"/>
      <c r="I1889" s="99" t="n"/>
      <c r="J1889" s="100" t="n"/>
      <c r="K1889" s="98" t="n"/>
      <c r="L1889" s="99" t="n"/>
      <c r="M1889" s="99" t="n"/>
      <c r="N1889" s="100" t="n"/>
      <c r="O1889" s="98" t="n"/>
      <c r="P1889" s="99" t="n"/>
      <c r="Q1889" s="99" t="n"/>
      <c r="R1889" s="100" t="n"/>
      <c r="S1889" s="98" t="n"/>
      <c r="T1889" s="99" t="n"/>
      <c r="U1889" s="99" t="n"/>
      <c r="V1889" s="100" t="n"/>
      <c r="W1889" s="98" t="n"/>
      <c r="X1889" s="100" t="n"/>
      <c r="Y1889" s="98" t="n"/>
      <c r="Z1889" s="100" t="n"/>
      <c r="AB1889" s="101">
        <f>IF($B1889="","",(COUNTIF(C1858:E1875,$B1889)+COUNTIF(C1858:E1875,$B1889&amp;" ~*")&gt;0)+(COUNTIF(G1858:I1875,$B1889)+COUNTIF(G1858:I1875,$B1889&amp;" ~*")&gt;0)+(COUNTIF(K1858:M1875,$B1889)+COUNTIF(K1858:M1875,$B1889&amp;" ~*")&gt;0)+(COUNTIF(O1858:Q1875,$B1889)+COUNTIF(O1858:Q1875,$B1889&amp;" ~*")&gt;0)+(COUNTIF(S1858:U1875,$B1889)+COUNTIF(S1858:U1875,$B1889&amp;" ~*")&gt;0)+(COUNTIF(W1858:W1875,$B1889)+COUNTIF(W1858:W1875,$B1889&amp;" ~*")&gt;0)+(COUNTIF(Y1858:Y1875,$B1889)+COUNTIF(Y1858:Y1875,$B1889&amp;" ~*")&gt;0))</f>
        <v/>
      </c>
      <c r="AC1889" s="36">
        <f>IF($B1889="","",(IFERROR(INDEX(Setup!$G$33:$G$40,MATCH(C1889,Setup!$B$33:$B$40,0)),0)=1)*(COUNTIF(C1858:E1875,$B1889)+COUNTIF(C1858:E1875,$B1889&amp;" ~*")&gt;0)+(IFERROR(INDEX(Setup!$G$33:$G$40,MATCH(G1889,Setup!$B$33:$B$40,0)),0)=1)*(COUNTIF(G1858:I1875,$B1889)+COUNTIF(G1858:I1875,$B1889&amp;" ~*")&gt;0)+(IFERROR(INDEX(Setup!$G$33:$G$40,MATCH(K1889,Setup!$B$33:$B$40,0)),0)=1)*(COUNTIF(K1858:M1875,$B1889)+COUNTIF(K1858:M1875,$B1889&amp;" ~*")&gt;0)+(IFERROR(INDEX(Setup!$G$33:$G$40,MATCH(O1889,Setup!$B$33:$B$40,0)),0)=1)*(COUNTIF(O1858:Q1875,$B1889)+COUNTIF(O1858:Q1875,$B1889&amp;" ~*")&gt;0)+(IFERROR(INDEX(Setup!$G$33:$G$40,MATCH(S1889,Setup!$B$33:$B$40,0)),0)=1)*(COUNTIF(S1858:U1875,$B1889)+COUNTIF(S1858:U1875,$B1889&amp;" ~*")&gt;0)+(IFERROR(INDEX(Setup!$G$33:$G$40,MATCH(W1889,Setup!$B$33:$B$40,0)),0)=1)*(COUNTIF(W1858:W1875,$B1889)+COUNTIF(W1858:W1875,$B1889&amp;" ~*")&gt;0)+(IFERROR(INDEX(Setup!$G$33:$G$40,MATCH(Y1889,Setup!$B$33:$B$40,0)),0)=1)*(COUNTIF(Y1858:Y1875,$B1889)+COUNTIF(Y1858:Y1875,$B1889&amp;" ~*")&gt;0))</f>
        <v/>
      </c>
    </row>
    <row r="1890" ht="15" customHeight="1">
      <c r="A1890" t="n">
        <v>38</v>
      </c>
      <c r="B1890" s="37">
        <f>IF(Setup!$B$19="","",Setup!$B$19)</f>
        <v/>
      </c>
      <c r="C1890" s="102" t="n"/>
      <c r="D1890" s="103" t="n"/>
      <c r="E1890" s="103" t="n"/>
      <c r="F1890" s="104" t="n"/>
      <c r="G1890" s="102" t="n"/>
      <c r="H1890" s="103" t="n"/>
      <c r="I1890" s="103" t="n"/>
      <c r="J1890" s="104" t="n"/>
      <c r="K1890" s="102" t="n"/>
      <c r="L1890" s="103" t="n"/>
      <c r="M1890" s="103" t="n"/>
      <c r="N1890" s="104" t="n"/>
      <c r="O1890" s="102" t="n"/>
      <c r="P1890" s="103" t="n"/>
      <c r="Q1890" s="103" t="n"/>
      <c r="R1890" s="104" t="n"/>
      <c r="S1890" s="102" t="n"/>
      <c r="T1890" s="103" t="n"/>
      <c r="U1890" s="103" t="n"/>
      <c r="V1890" s="104" t="n"/>
      <c r="W1890" s="102" t="n"/>
      <c r="X1890" s="104" t="n"/>
      <c r="Y1890" s="102" t="n"/>
      <c r="Z1890" s="104" t="n"/>
      <c r="AB1890" s="105">
        <f>IF($B1890="","",(COUNTIF(C1858:E1875,$B1890)+COUNTIF(C1858:E1875,$B1890&amp;" ~*")&gt;0)+(COUNTIF(G1858:I1875,$B1890)+COUNTIF(G1858:I1875,$B1890&amp;" ~*")&gt;0)+(COUNTIF(K1858:M1875,$B1890)+COUNTIF(K1858:M1875,$B1890&amp;" ~*")&gt;0)+(COUNTIF(O1858:Q1875,$B1890)+COUNTIF(O1858:Q1875,$B1890&amp;" ~*")&gt;0)+(COUNTIF(S1858:U1875,$B1890)+COUNTIF(S1858:U1875,$B1890&amp;" ~*")&gt;0)+(COUNTIF(W1858:W1875,$B1890)+COUNTIF(W1858:W1875,$B1890&amp;" ~*")&gt;0)+(COUNTIF(Y1858:Y1875,$B1890)+COUNTIF(Y1858:Y1875,$B1890&amp;" ~*")&gt;0))</f>
        <v/>
      </c>
      <c r="AC1890" s="38">
        <f>IF($B1890="","",(IFERROR(INDEX(Setup!$G$33:$G$40,MATCH(C1890,Setup!$B$33:$B$40,0)),0)=1)*(COUNTIF(C1858:E1875,$B1890)+COUNTIF(C1858:E1875,$B1890&amp;" ~*")&gt;0)+(IFERROR(INDEX(Setup!$G$33:$G$40,MATCH(G1890,Setup!$B$33:$B$40,0)),0)=1)*(COUNTIF(G1858:I1875,$B1890)+COUNTIF(G1858:I1875,$B1890&amp;" ~*")&gt;0)+(IFERROR(INDEX(Setup!$G$33:$G$40,MATCH(K1890,Setup!$B$33:$B$40,0)),0)=1)*(COUNTIF(K1858:M1875,$B1890)+COUNTIF(K1858:M1875,$B1890&amp;" ~*")&gt;0)+(IFERROR(INDEX(Setup!$G$33:$G$40,MATCH(O1890,Setup!$B$33:$B$40,0)),0)=1)*(COUNTIF(O1858:Q1875,$B1890)+COUNTIF(O1858:Q1875,$B1890&amp;" ~*")&gt;0)+(IFERROR(INDEX(Setup!$G$33:$G$40,MATCH(S1890,Setup!$B$33:$B$40,0)),0)=1)*(COUNTIF(S1858:U1875,$B1890)+COUNTIF(S1858:U1875,$B1890&amp;" ~*")&gt;0)+(IFERROR(INDEX(Setup!$G$33:$G$40,MATCH(W1890,Setup!$B$33:$B$40,0)),0)=1)*(COUNTIF(W1858:W1875,$B1890)+COUNTIF(W1858:W1875,$B1890&amp;" ~*")&gt;0)+(IFERROR(INDEX(Setup!$G$33:$G$40,MATCH(Y1890,Setup!$B$33:$B$40,0)),0)=1)*(COUNTIF(Y1858:Y1875,$B1890)+COUNTIF(Y1858:Y1875,$B1890&amp;" ~*")&gt;0))</f>
        <v/>
      </c>
    </row>
    <row r="1891" ht="15" customHeight="1">
      <c r="A1891" t="n">
        <v>38</v>
      </c>
      <c r="B1891" s="35">
        <f>IF(Setup!$B$20="","",Setup!$B$20)</f>
        <v/>
      </c>
      <c r="C1891" s="98" t="n"/>
      <c r="D1891" s="99" t="n"/>
      <c r="E1891" s="99" t="n"/>
      <c r="F1891" s="100" t="n"/>
      <c r="G1891" s="98" t="n"/>
      <c r="H1891" s="99" t="n"/>
      <c r="I1891" s="99" t="n"/>
      <c r="J1891" s="100" t="n"/>
      <c r="K1891" s="98" t="n"/>
      <c r="L1891" s="99" t="n"/>
      <c r="M1891" s="99" t="n"/>
      <c r="N1891" s="100" t="n"/>
      <c r="O1891" s="98" t="n"/>
      <c r="P1891" s="99" t="n"/>
      <c r="Q1891" s="99" t="n"/>
      <c r="R1891" s="100" t="n"/>
      <c r="S1891" s="98" t="n"/>
      <c r="T1891" s="99" t="n"/>
      <c r="U1891" s="99" t="n"/>
      <c r="V1891" s="100" t="n"/>
      <c r="W1891" s="98" t="n"/>
      <c r="X1891" s="100" t="n"/>
      <c r="Y1891" s="98" t="n"/>
      <c r="Z1891" s="100" t="n"/>
      <c r="AB1891" s="101">
        <f>IF($B1891="","",(COUNTIF(C1858:E1875,$B1891)+COUNTIF(C1858:E1875,$B1891&amp;" ~*")&gt;0)+(COUNTIF(G1858:I1875,$B1891)+COUNTIF(G1858:I1875,$B1891&amp;" ~*")&gt;0)+(COUNTIF(K1858:M1875,$B1891)+COUNTIF(K1858:M1875,$B1891&amp;" ~*")&gt;0)+(COUNTIF(O1858:Q1875,$B1891)+COUNTIF(O1858:Q1875,$B1891&amp;" ~*")&gt;0)+(COUNTIF(S1858:U1875,$B1891)+COUNTIF(S1858:U1875,$B1891&amp;" ~*")&gt;0)+(COUNTIF(W1858:W1875,$B1891)+COUNTIF(W1858:W1875,$B1891&amp;" ~*")&gt;0)+(COUNTIF(Y1858:Y1875,$B1891)+COUNTIF(Y1858:Y1875,$B1891&amp;" ~*")&gt;0))</f>
        <v/>
      </c>
      <c r="AC1891" s="36">
        <f>IF($B1891="","",(IFERROR(INDEX(Setup!$G$33:$G$40,MATCH(C1891,Setup!$B$33:$B$40,0)),0)=1)*(COUNTIF(C1858:E1875,$B1891)+COUNTIF(C1858:E1875,$B1891&amp;" ~*")&gt;0)+(IFERROR(INDEX(Setup!$G$33:$G$40,MATCH(G1891,Setup!$B$33:$B$40,0)),0)=1)*(COUNTIF(G1858:I1875,$B1891)+COUNTIF(G1858:I1875,$B1891&amp;" ~*")&gt;0)+(IFERROR(INDEX(Setup!$G$33:$G$40,MATCH(K1891,Setup!$B$33:$B$40,0)),0)=1)*(COUNTIF(K1858:M1875,$B1891)+COUNTIF(K1858:M1875,$B1891&amp;" ~*")&gt;0)+(IFERROR(INDEX(Setup!$G$33:$G$40,MATCH(O1891,Setup!$B$33:$B$40,0)),0)=1)*(COUNTIF(O1858:Q1875,$B1891)+COUNTIF(O1858:Q1875,$B1891&amp;" ~*")&gt;0)+(IFERROR(INDEX(Setup!$G$33:$G$40,MATCH(S1891,Setup!$B$33:$B$40,0)),0)=1)*(COUNTIF(S1858:U1875,$B1891)+COUNTIF(S1858:U1875,$B1891&amp;" ~*")&gt;0)+(IFERROR(INDEX(Setup!$G$33:$G$40,MATCH(W1891,Setup!$B$33:$B$40,0)),0)=1)*(COUNTIF(W1858:W1875,$B1891)+COUNTIF(W1858:W1875,$B1891&amp;" ~*")&gt;0)+(IFERROR(INDEX(Setup!$G$33:$G$40,MATCH(Y1891,Setup!$B$33:$B$40,0)),0)=1)*(COUNTIF(Y1858:Y1875,$B1891)+COUNTIF(Y1858:Y1875,$B1891&amp;" ~*")&gt;0))</f>
        <v/>
      </c>
    </row>
    <row r="1892" ht="15" customHeight="1">
      <c r="A1892" t="n">
        <v>38</v>
      </c>
      <c r="B1892" s="37">
        <f>IF(Setup!$B$21="","",Setup!$B$21)</f>
        <v/>
      </c>
      <c r="C1892" s="102" t="n"/>
      <c r="D1892" s="103" t="n"/>
      <c r="E1892" s="103" t="n"/>
      <c r="F1892" s="104" t="n"/>
      <c r="G1892" s="102" t="n"/>
      <c r="H1892" s="103" t="n"/>
      <c r="I1892" s="103" t="n"/>
      <c r="J1892" s="104" t="n"/>
      <c r="K1892" s="102" t="n"/>
      <c r="L1892" s="103" t="n"/>
      <c r="M1892" s="103" t="n"/>
      <c r="N1892" s="104" t="n"/>
      <c r="O1892" s="102" t="n"/>
      <c r="P1892" s="103" t="n"/>
      <c r="Q1892" s="103" t="n"/>
      <c r="R1892" s="104" t="n"/>
      <c r="S1892" s="102" t="n"/>
      <c r="T1892" s="103" t="n"/>
      <c r="U1892" s="103" t="n"/>
      <c r="V1892" s="104" t="n"/>
      <c r="W1892" s="102" t="n"/>
      <c r="X1892" s="104" t="n"/>
      <c r="Y1892" s="102" t="n"/>
      <c r="Z1892" s="104" t="n"/>
      <c r="AB1892" s="105">
        <f>IF($B1892="","",(COUNTIF(C1858:E1875,$B1892)+COUNTIF(C1858:E1875,$B1892&amp;" ~*")&gt;0)+(COUNTIF(G1858:I1875,$B1892)+COUNTIF(G1858:I1875,$B1892&amp;" ~*")&gt;0)+(COUNTIF(K1858:M1875,$B1892)+COUNTIF(K1858:M1875,$B1892&amp;" ~*")&gt;0)+(COUNTIF(O1858:Q1875,$B1892)+COUNTIF(O1858:Q1875,$B1892&amp;" ~*")&gt;0)+(COUNTIF(S1858:U1875,$B1892)+COUNTIF(S1858:U1875,$B1892&amp;" ~*")&gt;0)+(COUNTIF(W1858:W1875,$B1892)+COUNTIF(W1858:W1875,$B1892&amp;" ~*")&gt;0)+(COUNTIF(Y1858:Y1875,$B1892)+COUNTIF(Y1858:Y1875,$B1892&amp;" ~*")&gt;0))</f>
        <v/>
      </c>
      <c r="AC1892" s="38">
        <f>IF($B1892="","",(IFERROR(INDEX(Setup!$G$33:$G$40,MATCH(C1892,Setup!$B$33:$B$40,0)),0)=1)*(COUNTIF(C1858:E1875,$B1892)+COUNTIF(C1858:E1875,$B1892&amp;" ~*")&gt;0)+(IFERROR(INDEX(Setup!$G$33:$G$40,MATCH(G1892,Setup!$B$33:$B$40,0)),0)=1)*(COUNTIF(G1858:I1875,$B1892)+COUNTIF(G1858:I1875,$B1892&amp;" ~*")&gt;0)+(IFERROR(INDEX(Setup!$G$33:$G$40,MATCH(K1892,Setup!$B$33:$B$40,0)),0)=1)*(COUNTIF(K1858:M1875,$B1892)+COUNTIF(K1858:M1875,$B1892&amp;" ~*")&gt;0)+(IFERROR(INDEX(Setup!$G$33:$G$40,MATCH(O1892,Setup!$B$33:$B$40,0)),0)=1)*(COUNTIF(O1858:Q1875,$B1892)+COUNTIF(O1858:Q1875,$B1892&amp;" ~*")&gt;0)+(IFERROR(INDEX(Setup!$G$33:$G$40,MATCH(S1892,Setup!$B$33:$B$40,0)),0)=1)*(COUNTIF(S1858:U1875,$B1892)+COUNTIF(S1858:U1875,$B1892&amp;" ~*")&gt;0)+(IFERROR(INDEX(Setup!$G$33:$G$40,MATCH(W1892,Setup!$B$33:$B$40,0)),0)=1)*(COUNTIF(W1858:W1875,$B1892)+COUNTIF(W1858:W1875,$B1892&amp;" ~*")&gt;0)+(IFERROR(INDEX(Setup!$G$33:$G$40,MATCH(Y1892,Setup!$B$33:$B$40,0)),0)=1)*(COUNTIF(Y1858:Y1875,$B1892)+COUNTIF(Y1858:Y1875,$B1892&amp;" ~*")&gt;0))</f>
        <v/>
      </c>
    </row>
    <row r="1893" ht="15" customHeight="1">
      <c r="A1893" t="n">
        <v>38</v>
      </c>
      <c r="B1893" s="35">
        <f>IF(Setup!$B$22="","",Setup!$B$22)</f>
        <v/>
      </c>
      <c r="C1893" s="98" t="n"/>
      <c r="D1893" s="99" t="n"/>
      <c r="E1893" s="99" t="n"/>
      <c r="F1893" s="100" t="n"/>
      <c r="G1893" s="98" t="n"/>
      <c r="H1893" s="99" t="n"/>
      <c r="I1893" s="99" t="n"/>
      <c r="J1893" s="100" t="n"/>
      <c r="K1893" s="98" t="n"/>
      <c r="L1893" s="99" t="n"/>
      <c r="M1893" s="99" t="n"/>
      <c r="N1893" s="100" t="n"/>
      <c r="O1893" s="98" t="n"/>
      <c r="P1893" s="99" t="n"/>
      <c r="Q1893" s="99" t="n"/>
      <c r="R1893" s="100" t="n"/>
      <c r="S1893" s="98" t="n"/>
      <c r="T1893" s="99" t="n"/>
      <c r="U1893" s="99" t="n"/>
      <c r="V1893" s="100" t="n"/>
      <c r="W1893" s="98" t="n"/>
      <c r="X1893" s="100" t="n"/>
      <c r="Y1893" s="98" t="n"/>
      <c r="Z1893" s="100" t="n"/>
      <c r="AB1893" s="101">
        <f>IF($B1893="","",(COUNTIF(C1858:E1875,$B1893)+COUNTIF(C1858:E1875,$B1893&amp;" ~*")&gt;0)+(COUNTIF(G1858:I1875,$B1893)+COUNTIF(G1858:I1875,$B1893&amp;" ~*")&gt;0)+(COUNTIF(K1858:M1875,$B1893)+COUNTIF(K1858:M1875,$B1893&amp;" ~*")&gt;0)+(COUNTIF(O1858:Q1875,$B1893)+COUNTIF(O1858:Q1875,$B1893&amp;" ~*")&gt;0)+(COUNTIF(S1858:U1875,$B1893)+COUNTIF(S1858:U1875,$B1893&amp;" ~*")&gt;0)+(COUNTIF(W1858:W1875,$B1893)+COUNTIF(W1858:W1875,$B1893&amp;" ~*")&gt;0)+(COUNTIF(Y1858:Y1875,$B1893)+COUNTIF(Y1858:Y1875,$B1893&amp;" ~*")&gt;0))</f>
        <v/>
      </c>
      <c r="AC1893" s="36">
        <f>IF($B1893="","",(IFERROR(INDEX(Setup!$G$33:$G$40,MATCH(C1893,Setup!$B$33:$B$40,0)),0)=1)*(COUNTIF(C1858:E1875,$B1893)+COUNTIF(C1858:E1875,$B1893&amp;" ~*")&gt;0)+(IFERROR(INDEX(Setup!$G$33:$G$40,MATCH(G1893,Setup!$B$33:$B$40,0)),0)=1)*(COUNTIF(G1858:I1875,$B1893)+COUNTIF(G1858:I1875,$B1893&amp;" ~*")&gt;0)+(IFERROR(INDEX(Setup!$G$33:$G$40,MATCH(K1893,Setup!$B$33:$B$40,0)),0)=1)*(COUNTIF(K1858:M1875,$B1893)+COUNTIF(K1858:M1875,$B1893&amp;" ~*")&gt;0)+(IFERROR(INDEX(Setup!$G$33:$G$40,MATCH(O1893,Setup!$B$33:$B$40,0)),0)=1)*(COUNTIF(O1858:Q1875,$B1893)+COUNTIF(O1858:Q1875,$B1893&amp;" ~*")&gt;0)+(IFERROR(INDEX(Setup!$G$33:$G$40,MATCH(S1893,Setup!$B$33:$B$40,0)),0)=1)*(COUNTIF(S1858:U1875,$B1893)+COUNTIF(S1858:U1875,$B1893&amp;" ~*")&gt;0)+(IFERROR(INDEX(Setup!$G$33:$G$40,MATCH(W1893,Setup!$B$33:$B$40,0)),0)=1)*(COUNTIF(W1858:W1875,$B1893)+COUNTIF(W1858:W1875,$B1893&amp;" ~*")&gt;0)+(IFERROR(INDEX(Setup!$G$33:$G$40,MATCH(Y1893,Setup!$B$33:$B$40,0)),0)=1)*(COUNTIF(Y1858:Y1875,$B1893)+COUNTIF(Y1858:Y1875,$B1893&amp;" ~*")&gt;0))</f>
        <v/>
      </c>
    </row>
    <row r="1894" ht="15" customHeight="1">
      <c r="A1894" t="n">
        <v>38</v>
      </c>
      <c r="B1894" s="37">
        <f>IF(Setup!$B$23="","",Setup!$B$23)</f>
        <v/>
      </c>
      <c r="C1894" s="102" t="n"/>
      <c r="D1894" s="103" t="n"/>
      <c r="E1894" s="103" t="n"/>
      <c r="F1894" s="104" t="n"/>
      <c r="G1894" s="102" t="n"/>
      <c r="H1894" s="103" t="n"/>
      <c r="I1894" s="103" t="n"/>
      <c r="J1894" s="104" t="n"/>
      <c r="K1894" s="102" t="n"/>
      <c r="L1894" s="103" t="n"/>
      <c r="M1894" s="103" t="n"/>
      <c r="N1894" s="104" t="n"/>
      <c r="O1894" s="102" t="n"/>
      <c r="P1894" s="103" t="n"/>
      <c r="Q1894" s="103" t="n"/>
      <c r="R1894" s="104" t="n"/>
      <c r="S1894" s="102" t="n"/>
      <c r="T1894" s="103" t="n"/>
      <c r="U1894" s="103" t="n"/>
      <c r="V1894" s="104" t="n"/>
      <c r="W1894" s="102" t="n"/>
      <c r="X1894" s="104" t="n"/>
      <c r="Y1894" s="102" t="n"/>
      <c r="Z1894" s="104" t="n"/>
      <c r="AB1894" s="105">
        <f>IF($B1894="","",(COUNTIF(C1858:E1875,$B1894)+COUNTIF(C1858:E1875,$B1894&amp;" ~*")&gt;0)+(COUNTIF(G1858:I1875,$B1894)+COUNTIF(G1858:I1875,$B1894&amp;" ~*")&gt;0)+(COUNTIF(K1858:M1875,$B1894)+COUNTIF(K1858:M1875,$B1894&amp;" ~*")&gt;0)+(COUNTIF(O1858:Q1875,$B1894)+COUNTIF(O1858:Q1875,$B1894&amp;" ~*")&gt;0)+(COUNTIF(S1858:U1875,$B1894)+COUNTIF(S1858:U1875,$B1894&amp;" ~*")&gt;0)+(COUNTIF(W1858:W1875,$B1894)+COUNTIF(W1858:W1875,$B1894&amp;" ~*")&gt;0)+(COUNTIF(Y1858:Y1875,$B1894)+COUNTIF(Y1858:Y1875,$B1894&amp;" ~*")&gt;0))</f>
        <v/>
      </c>
      <c r="AC1894" s="38">
        <f>IF($B1894="","",(IFERROR(INDEX(Setup!$G$33:$G$40,MATCH(C1894,Setup!$B$33:$B$40,0)),0)=1)*(COUNTIF(C1858:E1875,$B1894)+COUNTIF(C1858:E1875,$B1894&amp;" ~*")&gt;0)+(IFERROR(INDEX(Setup!$G$33:$G$40,MATCH(G1894,Setup!$B$33:$B$40,0)),0)=1)*(COUNTIF(G1858:I1875,$B1894)+COUNTIF(G1858:I1875,$B1894&amp;" ~*")&gt;0)+(IFERROR(INDEX(Setup!$G$33:$G$40,MATCH(K1894,Setup!$B$33:$B$40,0)),0)=1)*(COUNTIF(K1858:M1875,$B1894)+COUNTIF(K1858:M1875,$B1894&amp;" ~*")&gt;0)+(IFERROR(INDEX(Setup!$G$33:$G$40,MATCH(O1894,Setup!$B$33:$B$40,0)),0)=1)*(COUNTIF(O1858:Q1875,$B1894)+COUNTIF(O1858:Q1875,$B1894&amp;" ~*")&gt;0)+(IFERROR(INDEX(Setup!$G$33:$G$40,MATCH(S1894,Setup!$B$33:$B$40,0)),0)=1)*(COUNTIF(S1858:U1875,$B1894)+COUNTIF(S1858:U1875,$B1894&amp;" ~*")&gt;0)+(IFERROR(INDEX(Setup!$G$33:$G$40,MATCH(W1894,Setup!$B$33:$B$40,0)),0)=1)*(COUNTIF(W1858:W1875,$B1894)+COUNTIF(W1858:W1875,$B1894&amp;" ~*")&gt;0)+(IFERROR(INDEX(Setup!$G$33:$G$40,MATCH(Y1894,Setup!$B$33:$B$40,0)),0)=1)*(COUNTIF(Y1858:Y1875,$B1894)+COUNTIF(Y1858:Y1875,$B1894&amp;" ~*")&gt;0))</f>
        <v/>
      </c>
    </row>
    <row r="1895" ht="15" customHeight="1">
      <c r="A1895" t="n">
        <v>38</v>
      </c>
      <c r="B1895" s="35">
        <f>IF(Setup!$B$24="","",Setup!$B$24)</f>
        <v/>
      </c>
      <c r="C1895" s="98" t="n"/>
      <c r="D1895" s="99" t="n"/>
      <c r="E1895" s="99" t="n"/>
      <c r="F1895" s="100" t="n"/>
      <c r="G1895" s="98" t="n"/>
      <c r="H1895" s="99" t="n"/>
      <c r="I1895" s="99" t="n"/>
      <c r="J1895" s="100" t="n"/>
      <c r="K1895" s="98" t="n"/>
      <c r="L1895" s="99" t="n"/>
      <c r="M1895" s="99" t="n"/>
      <c r="N1895" s="100" t="n"/>
      <c r="O1895" s="98" t="n"/>
      <c r="P1895" s="99" t="n"/>
      <c r="Q1895" s="99" t="n"/>
      <c r="R1895" s="100" t="n"/>
      <c r="S1895" s="98" t="n"/>
      <c r="T1895" s="99" t="n"/>
      <c r="U1895" s="99" t="n"/>
      <c r="V1895" s="100" t="n"/>
      <c r="W1895" s="98" t="n"/>
      <c r="X1895" s="100" t="n"/>
      <c r="Y1895" s="98" t="n"/>
      <c r="Z1895" s="100" t="n"/>
      <c r="AB1895" s="101">
        <f>IF($B1895="","",(COUNTIF(C1858:E1875,$B1895)+COUNTIF(C1858:E1875,$B1895&amp;" ~*")&gt;0)+(COUNTIF(G1858:I1875,$B1895)+COUNTIF(G1858:I1875,$B1895&amp;" ~*")&gt;0)+(COUNTIF(K1858:M1875,$B1895)+COUNTIF(K1858:M1875,$B1895&amp;" ~*")&gt;0)+(COUNTIF(O1858:Q1875,$B1895)+COUNTIF(O1858:Q1875,$B1895&amp;" ~*")&gt;0)+(COUNTIF(S1858:U1875,$B1895)+COUNTIF(S1858:U1875,$B1895&amp;" ~*")&gt;0)+(COUNTIF(W1858:W1875,$B1895)+COUNTIF(W1858:W1875,$B1895&amp;" ~*")&gt;0)+(COUNTIF(Y1858:Y1875,$B1895)+COUNTIF(Y1858:Y1875,$B1895&amp;" ~*")&gt;0))</f>
        <v/>
      </c>
      <c r="AC1895" s="36">
        <f>IF($B1895="","",(IFERROR(INDEX(Setup!$G$33:$G$40,MATCH(C1895,Setup!$B$33:$B$40,0)),0)=1)*(COUNTIF(C1858:E1875,$B1895)+COUNTIF(C1858:E1875,$B1895&amp;" ~*")&gt;0)+(IFERROR(INDEX(Setup!$G$33:$G$40,MATCH(G1895,Setup!$B$33:$B$40,0)),0)=1)*(COUNTIF(G1858:I1875,$B1895)+COUNTIF(G1858:I1875,$B1895&amp;" ~*")&gt;0)+(IFERROR(INDEX(Setup!$G$33:$G$40,MATCH(K1895,Setup!$B$33:$B$40,0)),0)=1)*(COUNTIF(K1858:M1875,$B1895)+COUNTIF(K1858:M1875,$B1895&amp;" ~*")&gt;0)+(IFERROR(INDEX(Setup!$G$33:$G$40,MATCH(O1895,Setup!$B$33:$B$40,0)),0)=1)*(COUNTIF(O1858:Q1875,$B1895)+COUNTIF(O1858:Q1875,$B1895&amp;" ~*")&gt;0)+(IFERROR(INDEX(Setup!$G$33:$G$40,MATCH(S1895,Setup!$B$33:$B$40,0)),0)=1)*(COUNTIF(S1858:U1875,$B1895)+COUNTIF(S1858:U1875,$B1895&amp;" ~*")&gt;0)+(IFERROR(INDEX(Setup!$G$33:$G$40,MATCH(W1895,Setup!$B$33:$B$40,0)),0)=1)*(COUNTIF(W1858:W1875,$B1895)+COUNTIF(W1858:W1875,$B1895&amp;" ~*")&gt;0)+(IFERROR(INDEX(Setup!$G$33:$G$40,MATCH(Y1895,Setup!$B$33:$B$40,0)),0)=1)*(COUNTIF(Y1858:Y1875,$B1895)+COUNTIF(Y1858:Y1875,$B1895&amp;" ~*")&gt;0))</f>
        <v/>
      </c>
    </row>
    <row r="1896" ht="15" customHeight="1">
      <c r="A1896" t="n">
        <v>38</v>
      </c>
      <c r="B1896" s="37">
        <f>IF(Setup!$B$25="","",Setup!$B$25)</f>
        <v/>
      </c>
      <c r="C1896" s="102" t="n"/>
      <c r="D1896" s="103" t="n"/>
      <c r="E1896" s="103" t="n"/>
      <c r="F1896" s="104" t="n"/>
      <c r="G1896" s="102" t="n"/>
      <c r="H1896" s="103" t="n"/>
      <c r="I1896" s="103" t="n"/>
      <c r="J1896" s="104" t="n"/>
      <c r="K1896" s="102" t="n"/>
      <c r="L1896" s="103" t="n"/>
      <c r="M1896" s="103" t="n"/>
      <c r="N1896" s="104" t="n"/>
      <c r="O1896" s="102" t="n"/>
      <c r="P1896" s="103" t="n"/>
      <c r="Q1896" s="103" t="n"/>
      <c r="R1896" s="104" t="n"/>
      <c r="S1896" s="102" t="n"/>
      <c r="T1896" s="103" t="n"/>
      <c r="U1896" s="103" t="n"/>
      <c r="V1896" s="104" t="n"/>
      <c r="W1896" s="102" t="n"/>
      <c r="X1896" s="104" t="n"/>
      <c r="Y1896" s="102" t="n"/>
      <c r="Z1896" s="104" t="n"/>
      <c r="AB1896" s="105">
        <f>IF($B1896="","",(COUNTIF(C1858:E1875,$B1896)+COUNTIF(C1858:E1875,$B1896&amp;" ~*")&gt;0)+(COUNTIF(G1858:I1875,$B1896)+COUNTIF(G1858:I1875,$B1896&amp;" ~*")&gt;0)+(COUNTIF(K1858:M1875,$B1896)+COUNTIF(K1858:M1875,$B1896&amp;" ~*")&gt;0)+(COUNTIF(O1858:Q1875,$B1896)+COUNTIF(O1858:Q1875,$B1896&amp;" ~*")&gt;0)+(COUNTIF(S1858:U1875,$B1896)+COUNTIF(S1858:U1875,$B1896&amp;" ~*")&gt;0)+(COUNTIF(W1858:W1875,$B1896)+COUNTIF(W1858:W1875,$B1896&amp;" ~*")&gt;0)+(COUNTIF(Y1858:Y1875,$B1896)+COUNTIF(Y1858:Y1875,$B1896&amp;" ~*")&gt;0))</f>
        <v/>
      </c>
      <c r="AC1896" s="38">
        <f>IF($B1896="","",(IFERROR(INDEX(Setup!$G$33:$G$40,MATCH(C1896,Setup!$B$33:$B$40,0)),0)=1)*(COUNTIF(C1858:E1875,$B1896)+COUNTIF(C1858:E1875,$B1896&amp;" ~*")&gt;0)+(IFERROR(INDEX(Setup!$G$33:$G$40,MATCH(G1896,Setup!$B$33:$B$40,0)),0)=1)*(COUNTIF(G1858:I1875,$B1896)+COUNTIF(G1858:I1875,$B1896&amp;" ~*")&gt;0)+(IFERROR(INDEX(Setup!$G$33:$G$40,MATCH(K1896,Setup!$B$33:$B$40,0)),0)=1)*(COUNTIF(K1858:M1875,$B1896)+COUNTIF(K1858:M1875,$B1896&amp;" ~*")&gt;0)+(IFERROR(INDEX(Setup!$G$33:$G$40,MATCH(O1896,Setup!$B$33:$B$40,0)),0)=1)*(COUNTIF(O1858:Q1875,$B1896)+COUNTIF(O1858:Q1875,$B1896&amp;" ~*")&gt;0)+(IFERROR(INDEX(Setup!$G$33:$G$40,MATCH(S1896,Setup!$B$33:$B$40,0)),0)=1)*(COUNTIF(S1858:U1875,$B1896)+COUNTIF(S1858:U1875,$B1896&amp;" ~*")&gt;0)+(IFERROR(INDEX(Setup!$G$33:$G$40,MATCH(W1896,Setup!$B$33:$B$40,0)),0)=1)*(COUNTIF(W1858:W1875,$B1896)+COUNTIF(W1858:W1875,$B1896&amp;" ~*")&gt;0)+(IFERROR(INDEX(Setup!$G$33:$G$40,MATCH(Y1896,Setup!$B$33:$B$40,0)),0)=1)*(COUNTIF(Y1858:Y1875,$B1896)+COUNTIF(Y1858:Y1875,$B1896&amp;" ~*")&gt;0))</f>
        <v/>
      </c>
    </row>
    <row r="1897" ht="15" customHeight="1">
      <c r="A1897" t="n">
        <v>38</v>
      </c>
      <c r="B1897" s="35">
        <f>IF(Setup!$B$26="","",Setup!$B$26)</f>
        <v/>
      </c>
      <c r="C1897" s="98" t="n"/>
      <c r="D1897" s="99" t="n"/>
      <c r="E1897" s="99" t="n"/>
      <c r="F1897" s="100" t="n"/>
      <c r="G1897" s="98" t="n"/>
      <c r="H1897" s="99" t="n"/>
      <c r="I1897" s="99" t="n"/>
      <c r="J1897" s="100" t="n"/>
      <c r="K1897" s="98" t="n"/>
      <c r="L1897" s="99" t="n"/>
      <c r="M1897" s="99" t="n"/>
      <c r="N1897" s="100" t="n"/>
      <c r="O1897" s="98" t="n"/>
      <c r="P1897" s="99" t="n"/>
      <c r="Q1897" s="99" t="n"/>
      <c r="R1897" s="100" t="n"/>
      <c r="S1897" s="98" t="n"/>
      <c r="T1897" s="99" t="n"/>
      <c r="U1897" s="99" t="n"/>
      <c r="V1897" s="100" t="n"/>
      <c r="W1897" s="98" t="n"/>
      <c r="X1897" s="100" t="n"/>
      <c r="Y1897" s="98" t="n"/>
      <c r="Z1897" s="100" t="n"/>
      <c r="AB1897" s="101">
        <f>IF($B1897="","",(COUNTIF(C1858:E1875,$B1897)+COUNTIF(C1858:E1875,$B1897&amp;" ~*")&gt;0)+(COUNTIF(G1858:I1875,$B1897)+COUNTIF(G1858:I1875,$B1897&amp;" ~*")&gt;0)+(COUNTIF(K1858:M1875,$B1897)+COUNTIF(K1858:M1875,$B1897&amp;" ~*")&gt;0)+(COUNTIF(O1858:Q1875,$B1897)+COUNTIF(O1858:Q1875,$B1897&amp;" ~*")&gt;0)+(COUNTIF(S1858:U1875,$B1897)+COUNTIF(S1858:U1875,$B1897&amp;" ~*")&gt;0)+(COUNTIF(W1858:W1875,$B1897)+COUNTIF(W1858:W1875,$B1897&amp;" ~*")&gt;0)+(COUNTIF(Y1858:Y1875,$B1897)+COUNTIF(Y1858:Y1875,$B1897&amp;" ~*")&gt;0))</f>
        <v/>
      </c>
      <c r="AC1897" s="36">
        <f>IF($B1897="","",(IFERROR(INDEX(Setup!$G$33:$G$40,MATCH(C1897,Setup!$B$33:$B$40,0)),0)=1)*(COUNTIF(C1858:E1875,$B1897)+COUNTIF(C1858:E1875,$B1897&amp;" ~*")&gt;0)+(IFERROR(INDEX(Setup!$G$33:$G$40,MATCH(G1897,Setup!$B$33:$B$40,0)),0)=1)*(COUNTIF(G1858:I1875,$B1897)+COUNTIF(G1858:I1875,$B1897&amp;" ~*")&gt;0)+(IFERROR(INDEX(Setup!$G$33:$G$40,MATCH(K1897,Setup!$B$33:$B$40,0)),0)=1)*(COUNTIF(K1858:M1875,$B1897)+COUNTIF(K1858:M1875,$B1897&amp;" ~*")&gt;0)+(IFERROR(INDEX(Setup!$G$33:$G$40,MATCH(O1897,Setup!$B$33:$B$40,0)),0)=1)*(COUNTIF(O1858:Q1875,$B1897)+COUNTIF(O1858:Q1875,$B1897&amp;" ~*")&gt;0)+(IFERROR(INDEX(Setup!$G$33:$G$40,MATCH(S1897,Setup!$B$33:$B$40,0)),0)=1)*(COUNTIF(S1858:U1875,$B1897)+COUNTIF(S1858:U1875,$B1897&amp;" ~*")&gt;0)+(IFERROR(INDEX(Setup!$G$33:$G$40,MATCH(W1897,Setup!$B$33:$B$40,0)),0)=1)*(COUNTIF(W1858:W1875,$B1897)+COUNTIF(W1858:W1875,$B1897&amp;" ~*")&gt;0)+(IFERROR(INDEX(Setup!$G$33:$G$40,MATCH(Y1897,Setup!$B$33:$B$40,0)),0)=1)*(COUNTIF(Y1858:Y1875,$B1897)+COUNTIF(Y1858:Y1875,$B1897&amp;" ~*")&gt;0))</f>
        <v/>
      </c>
    </row>
    <row r="1898" ht="15" customHeight="1">
      <c r="A1898" t="n">
        <v>38</v>
      </c>
      <c r="B1898" s="37">
        <f>IF(Setup!$B$27="","",Setup!$B$27)</f>
        <v/>
      </c>
      <c r="C1898" s="102" t="n"/>
      <c r="D1898" s="103" t="n"/>
      <c r="E1898" s="103" t="n"/>
      <c r="F1898" s="104" t="n"/>
      <c r="G1898" s="102" t="n"/>
      <c r="H1898" s="103" t="n"/>
      <c r="I1898" s="103" t="n"/>
      <c r="J1898" s="104" t="n"/>
      <c r="K1898" s="102" t="n"/>
      <c r="L1898" s="103" t="n"/>
      <c r="M1898" s="103" t="n"/>
      <c r="N1898" s="104" t="n"/>
      <c r="O1898" s="102" t="n"/>
      <c r="P1898" s="103" t="n"/>
      <c r="Q1898" s="103" t="n"/>
      <c r="R1898" s="104" t="n"/>
      <c r="S1898" s="102" t="n"/>
      <c r="T1898" s="103" t="n"/>
      <c r="U1898" s="103" t="n"/>
      <c r="V1898" s="104" t="n"/>
      <c r="W1898" s="102" t="n"/>
      <c r="X1898" s="104" t="n"/>
      <c r="Y1898" s="102" t="n"/>
      <c r="Z1898" s="104" t="n"/>
      <c r="AB1898" s="105">
        <f>IF($B1898="","",(COUNTIF(C1858:E1875,$B1898)+COUNTIF(C1858:E1875,$B1898&amp;" ~*")&gt;0)+(COUNTIF(G1858:I1875,$B1898)+COUNTIF(G1858:I1875,$B1898&amp;" ~*")&gt;0)+(COUNTIF(K1858:M1875,$B1898)+COUNTIF(K1858:M1875,$B1898&amp;" ~*")&gt;0)+(COUNTIF(O1858:Q1875,$B1898)+COUNTIF(O1858:Q1875,$B1898&amp;" ~*")&gt;0)+(COUNTIF(S1858:U1875,$B1898)+COUNTIF(S1858:U1875,$B1898&amp;" ~*")&gt;0)+(COUNTIF(W1858:W1875,$B1898)+COUNTIF(W1858:W1875,$B1898&amp;" ~*")&gt;0)+(COUNTIF(Y1858:Y1875,$B1898)+COUNTIF(Y1858:Y1875,$B1898&amp;" ~*")&gt;0))</f>
        <v/>
      </c>
      <c r="AC1898" s="38">
        <f>IF($B1898="","",(IFERROR(INDEX(Setup!$G$33:$G$40,MATCH(C1898,Setup!$B$33:$B$40,0)),0)=1)*(COUNTIF(C1858:E1875,$B1898)+COUNTIF(C1858:E1875,$B1898&amp;" ~*")&gt;0)+(IFERROR(INDEX(Setup!$G$33:$G$40,MATCH(G1898,Setup!$B$33:$B$40,0)),0)=1)*(COUNTIF(G1858:I1875,$B1898)+COUNTIF(G1858:I1875,$B1898&amp;" ~*")&gt;0)+(IFERROR(INDEX(Setup!$G$33:$G$40,MATCH(K1898,Setup!$B$33:$B$40,0)),0)=1)*(COUNTIF(K1858:M1875,$B1898)+COUNTIF(K1858:M1875,$B1898&amp;" ~*")&gt;0)+(IFERROR(INDEX(Setup!$G$33:$G$40,MATCH(O1898,Setup!$B$33:$B$40,0)),0)=1)*(COUNTIF(O1858:Q1875,$B1898)+COUNTIF(O1858:Q1875,$B1898&amp;" ~*")&gt;0)+(IFERROR(INDEX(Setup!$G$33:$G$40,MATCH(S1898,Setup!$B$33:$B$40,0)),0)=1)*(COUNTIF(S1858:U1875,$B1898)+COUNTIF(S1858:U1875,$B1898&amp;" ~*")&gt;0)+(IFERROR(INDEX(Setup!$G$33:$G$40,MATCH(W1898,Setup!$B$33:$B$40,0)),0)=1)*(COUNTIF(W1858:W1875,$B1898)+COUNTIF(W1858:W1875,$B1898&amp;" ~*")&gt;0)+(IFERROR(INDEX(Setup!$G$33:$G$40,MATCH(Y1898,Setup!$B$33:$B$40,0)),0)=1)*(COUNTIF(Y1858:Y1875,$B1898)+COUNTIF(Y1858:Y1875,$B1898&amp;" ~*")&gt;0))</f>
        <v/>
      </c>
    </row>
    <row r="1899" ht="15" customHeight="1">
      <c r="A1899" t="n">
        <v>38</v>
      </c>
      <c r="B1899" s="35">
        <f>IF(Setup!$B$28="","",Setup!$B$28)</f>
        <v/>
      </c>
      <c r="C1899" s="98" t="n"/>
      <c r="D1899" s="99" t="n"/>
      <c r="E1899" s="99" t="n"/>
      <c r="F1899" s="100" t="n"/>
      <c r="G1899" s="98" t="n"/>
      <c r="H1899" s="99" t="n"/>
      <c r="I1899" s="99" t="n"/>
      <c r="J1899" s="100" t="n"/>
      <c r="K1899" s="98" t="n"/>
      <c r="L1899" s="99" t="n"/>
      <c r="M1899" s="99" t="n"/>
      <c r="N1899" s="100" t="n"/>
      <c r="O1899" s="98" t="n"/>
      <c r="P1899" s="99" t="n"/>
      <c r="Q1899" s="99" t="n"/>
      <c r="R1899" s="100" t="n"/>
      <c r="S1899" s="98" t="n"/>
      <c r="T1899" s="99" t="n"/>
      <c r="U1899" s="99" t="n"/>
      <c r="V1899" s="100" t="n"/>
      <c r="W1899" s="98" t="n"/>
      <c r="X1899" s="100" t="n"/>
      <c r="Y1899" s="98" t="n"/>
      <c r="Z1899" s="100" t="n"/>
      <c r="AB1899" s="101">
        <f>IF($B1899="","",(COUNTIF(C1858:E1875,$B1899)+COUNTIF(C1858:E1875,$B1899&amp;" ~*")&gt;0)+(COUNTIF(G1858:I1875,$B1899)+COUNTIF(G1858:I1875,$B1899&amp;" ~*")&gt;0)+(COUNTIF(K1858:M1875,$B1899)+COUNTIF(K1858:M1875,$B1899&amp;" ~*")&gt;0)+(COUNTIF(O1858:Q1875,$B1899)+COUNTIF(O1858:Q1875,$B1899&amp;" ~*")&gt;0)+(COUNTIF(S1858:U1875,$B1899)+COUNTIF(S1858:U1875,$B1899&amp;" ~*")&gt;0)+(COUNTIF(W1858:W1875,$B1899)+COUNTIF(W1858:W1875,$B1899&amp;" ~*")&gt;0)+(COUNTIF(Y1858:Y1875,$B1899)+COUNTIF(Y1858:Y1875,$B1899&amp;" ~*")&gt;0))</f>
        <v/>
      </c>
      <c r="AC1899" s="36">
        <f>IF($B1899="","",(IFERROR(INDEX(Setup!$G$33:$G$40,MATCH(C1899,Setup!$B$33:$B$40,0)),0)=1)*(COUNTIF(C1858:E1875,$B1899)+COUNTIF(C1858:E1875,$B1899&amp;" ~*")&gt;0)+(IFERROR(INDEX(Setup!$G$33:$G$40,MATCH(G1899,Setup!$B$33:$B$40,0)),0)=1)*(COUNTIF(G1858:I1875,$B1899)+COUNTIF(G1858:I1875,$B1899&amp;" ~*")&gt;0)+(IFERROR(INDEX(Setup!$G$33:$G$40,MATCH(K1899,Setup!$B$33:$B$40,0)),0)=1)*(COUNTIF(K1858:M1875,$B1899)+COUNTIF(K1858:M1875,$B1899&amp;" ~*")&gt;0)+(IFERROR(INDEX(Setup!$G$33:$G$40,MATCH(O1899,Setup!$B$33:$B$40,0)),0)=1)*(COUNTIF(O1858:Q1875,$B1899)+COUNTIF(O1858:Q1875,$B1899&amp;" ~*")&gt;0)+(IFERROR(INDEX(Setup!$G$33:$G$40,MATCH(S1899,Setup!$B$33:$B$40,0)),0)=1)*(COUNTIF(S1858:U1875,$B1899)+COUNTIF(S1858:U1875,$B1899&amp;" ~*")&gt;0)+(IFERROR(INDEX(Setup!$G$33:$G$40,MATCH(W1899,Setup!$B$33:$B$40,0)),0)=1)*(COUNTIF(W1858:W1875,$B1899)+COUNTIF(W1858:W1875,$B1899&amp;" ~*")&gt;0)+(IFERROR(INDEX(Setup!$G$33:$G$40,MATCH(Y1899,Setup!$B$33:$B$40,0)),0)=1)*(COUNTIF(Y1858:Y1875,$B1899)+COUNTIF(Y1858:Y1875,$B1899&amp;" ~*")&gt;0))</f>
        <v/>
      </c>
    </row>
    <row r="1900" ht="15" customHeight="1">
      <c r="A1900" t="n">
        <v>38</v>
      </c>
      <c r="B1900" s="37">
        <f>IF(Setup!$B$29="","",Setup!$B$29)</f>
        <v/>
      </c>
      <c r="C1900" s="102" t="n"/>
      <c r="D1900" s="103" t="n"/>
      <c r="E1900" s="103" t="n"/>
      <c r="F1900" s="104" t="n"/>
      <c r="G1900" s="102" t="n"/>
      <c r="H1900" s="103" t="n"/>
      <c r="I1900" s="103" t="n"/>
      <c r="J1900" s="104" t="n"/>
      <c r="K1900" s="102" t="n"/>
      <c r="L1900" s="103" t="n"/>
      <c r="M1900" s="103" t="n"/>
      <c r="N1900" s="104" t="n"/>
      <c r="O1900" s="102" t="n"/>
      <c r="P1900" s="103" t="n"/>
      <c r="Q1900" s="103" t="n"/>
      <c r="R1900" s="104" t="n"/>
      <c r="S1900" s="102" t="n"/>
      <c r="T1900" s="103" t="n"/>
      <c r="U1900" s="103" t="n"/>
      <c r="V1900" s="104" t="n"/>
      <c r="W1900" s="102" t="n"/>
      <c r="X1900" s="104" t="n"/>
      <c r="Y1900" s="102" t="n"/>
      <c r="Z1900" s="104" t="n"/>
      <c r="AB1900" s="105">
        <f>IF($B1900="","",(COUNTIF(C1858:E1875,$B1900)+COUNTIF(C1858:E1875,$B1900&amp;" ~*")&gt;0)+(COUNTIF(G1858:I1875,$B1900)+COUNTIF(G1858:I1875,$B1900&amp;" ~*")&gt;0)+(COUNTIF(K1858:M1875,$B1900)+COUNTIF(K1858:M1875,$B1900&amp;" ~*")&gt;0)+(COUNTIF(O1858:Q1875,$B1900)+COUNTIF(O1858:Q1875,$B1900&amp;" ~*")&gt;0)+(COUNTIF(S1858:U1875,$B1900)+COUNTIF(S1858:U1875,$B1900&amp;" ~*")&gt;0)+(COUNTIF(W1858:W1875,$B1900)+COUNTIF(W1858:W1875,$B1900&amp;" ~*")&gt;0)+(COUNTIF(Y1858:Y1875,$B1900)+COUNTIF(Y1858:Y1875,$B1900&amp;" ~*")&gt;0))</f>
        <v/>
      </c>
      <c r="AC1900" s="38">
        <f>IF($B1900="","",(IFERROR(INDEX(Setup!$G$33:$G$40,MATCH(C1900,Setup!$B$33:$B$40,0)),0)=1)*(COUNTIF(C1858:E1875,$B1900)+COUNTIF(C1858:E1875,$B1900&amp;" ~*")&gt;0)+(IFERROR(INDEX(Setup!$G$33:$G$40,MATCH(G1900,Setup!$B$33:$B$40,0)),0)=1)*(COUNTIF(G1858:I1875,$B1900)+COUNTIF(G1858:I1875,$B1900&amp;" ~*")&gt;0)+(IFERROR(INDEX(Setup!$G$33:$G$40,MATCH(K1900,Setup!$B$33:$B$40,0)),0)=1)*(COUNTIF(K1858:M1875,$B1900)+COUNTIF(K1858:M1875,$B1900&amp;" ~*")&gt;0)+(IFERROR(INDEX(Setup!$G$33:$G$40,MATCH(O1900,Setup!$B$33:$B$40,0)),0)=1)*(COUNTIF(O1858:Q1875,$B1900)+COUNTIF(O1858:Q1875,$B1900&amp;" ~*")&gt;0)+(IFERROR(INDEX(Setup!$G$33:$G$40,MATCH(S1900,Setup!$B$33:$B$40,0)),0)=1)*(COUNTIF(S1858:U1875,$B1900)+COUNTIF(S1858:U1875,$B1900&amp;" ~*")&gt;0)+(IFERROR(INDEX(Setup!$G$33:$G$40,MATCH(W1900,Setup!$B$33:$B$40,0)),0)=1)*(COUNTIF(W1858:W1875,$B1900)+COUNTIF(W1858:W1875,$B1900&amp;" ~*")&gt;0)+(IFERROR(INDEX(Setup!$G$33:$G$40,MATCH(Y1900,Setup!$B$33:$B$40,0)),0)=1)*(COUNTIF(Y1858:Y1875,$B1900)+COUNTIF(Y1858:Y1875,$B1900&amp;" ~*")&gt;0))</f>
        <v/>
      </c>
    </row>
    <row r="1901" ht="16" customHeight="1">
      <c r="A1901" t="n">
        <v>38</v>
      </c>
      <c r="B1901" s="106" t="inlineStr">
        <is>
          <t>Available people</t>
        </is>
      </c>
      <c r="C1901" s="107">
        <f>COUNTIFS(Setup!$E$6:$E$29,"Y",Setup!$B$6:$B$29,"?*")-SUMPRODUCT(COUNTIF(C1877:C1900,Setup!$F$33:$F$40))</f>
        <v/>
      </c>
      <c r="D1901" s="107" t="n"/>
      <c r="E1901" s="107" t="n"/>
      <c r="F1901" s="107" t="n"/>
      <c r="G1901" s="107">
        <f>COUNTIFS(Setup!$E$6:$E$29,"Y",Setup!$B$6:$B$29,"?*")-SUMPRODUCT(COUNTIF(G1877:G1900,Setup!$F$33:$F$40))</f>
        <v/>
      </c>
      <c r="H1901" s="107" t="n"/>
      <c r="I1901" s="107" t="n"/>
      <c r="J1901" s="107" t="n"/>
      <c r="K1901" s="107">
        <f>COUNTIFS(Setup!$E$6:$E$29,"Y",Setup!$B$6:$B$29,"?*")-SUMPRODUCT(COUNTIF(K1877:K1900,Setup!$F$33:$F$40))</f>
        <v/>
      </c>
      <c r="L1901" s="107" t="n"/>
      <c r="M1901" s="107" t="n"/>
      <c r="N1901" s="107" t="n"/>
      <c r="O1901" s="107">
        <f>COUNTIFS(Setup!$E$6:$E$29,"Y",Setup!$B$6:$B$29,"?*")-SUMPRODUCT(COUNTIF(O1877:O1900,Setup!$F$33:$F$40))</f>
        <v/>
      </c>
      <c r="P1901" s="107" t="n"/>
      <c r="Q1901" s="107" t="n"/>
      <c r="R1901" s="107" t="n"/>
      <c r="S1901" s="107">
        <f>COUNTIFS(Setup!$E$6:$E$29,"Y",Setup!$B$6:$B$29,"?*")-SUMPRODUCT(COUNTIF(S1877:S1900,Setup!$F$33:$F$40))</f>
        <v/>
      </c>
      <c r="T1901" s="107" t="n"/>
      <c r="U1901" s="107" t="n"/>
      <c r="V1901" s="107" t="n"/>
      <c r="W1901" s="107">
        <f>COUNTIFS(Setup!$E$6:$E$29,"Y",Setup!$B$6:$B$29,"?*")-SUMPRODUCT(COUNTIF(W1877:W1900,Setup!$F$33:$F$40))</f>
        <v/>
      </c>
      <c r="X1901" s="107" t="n"/>
      <c r="Y1901" s="107">
        <f>COUNTIFS(Setup!$E$6:$E$29,"Y",Setup!$B$6:$B$29,"?*")-SUMPRODUCT(COUNTIF(Y1877:Y1900,Setup!$F$33:$F$40))</f>
        <v/>
      </c>
      <c r="Z1901" s="107" t="n"/>
      <c r="AB1901" s="108">
        <f>SUM(AB1877:AB1900)</f>
        <v/>
      </c>
      <c r="AC1901" s="109">
        <f>SUM(AC1877:AC1900)</f>
        <v/>
      </c>
    </row>
    <row r="1902" ht="30" customHeight="1">
      <c r="A1902" t="n">
        <v>38</v>
      </c>
      <c r="B1902" s="110" t="inlineStr">
        <is>
          <t>Week notes</t>
        </is>
      </c>
      <c r="C1902" s="111" t="n"/>
      <c r="D1902" s="112" t="n"/>
      <c r="E1902" s="112" t="n"/>
      <c r="F1902" s="112" t="n"/>
      <c r="G1902" s="112" t="n"/>
      <c r="H1902" s="112" t="n"/>
      <c r="I1902" s="112" t="n"/>
      <c r="J1902" s="112" t="n"/>
      <c r="K1902" s="112" t="n"/>
      <c r="L1902" s="112" t="n"/>
      <c r="M1902" s="112" t="n"/>
      <c r="N1902" s="112" t="n"/>
      <c r="O1902" s="112" t="n"/>
      <c r="P1902" s="112" t="n"/>
      <c r="Q1902" s="112" t="n"/>
      <c r="R1902" s="112" t="n"/>
      <c r="S1902" s="112" t="n"/>
      <c r="T1902" s="112" t="n"/>
      <c r="U1902" s="112" t="n"/>
      <c r="V1902" s="112" t="n"/>
      <c r="W1902" s="112" t="n"/>
      <c r="X1902" s="112" t="n"/>
      <c r="Y1902" s="112" t="n"/>
      <c r="Z1902" s="113" t="n"/>
    </row>
    <row r="1903" ht="8" customHeight="1">
      <c r="A1903" t="n">
        <v>38</v>
      </c>
    </row>
    <row r="1904" ht="8" customHeight="1">
      <c r="A1904" t="n">
        <v>38</v>
      </c>
    </row>
    <row r="1905" ht="24" customHeight="1">
      <c r="A1905" t="n">
        <v>39</v>
      </c>
      <c r="B1905" s="73">
        <f>"WEEK 39     "&amp;TEXT(C1906,"ddd d mmm")&amp;"  –  "&amp;TEXT(C1906+6,"ddd d mmm yyyy")</f>
        <v/>
      </c>
      <c r="S1905" s="74">
        <f>IF(TODAY()&lt;C1906,"FUTURE",IF(TODAY()&gt;C1906+6,"PAST","THIS WEEK"))</f>
        <v/>
      </c>
      <c r="W1905" s="75">
        <f>IF(AND(Engine!$B$8=$AC$3,Engine!$B$9=$A1905),"◀ ACTIVE WEEK","")</f>
        <v/>
      </c>
      <c r="AA1905" s="76" t="n"/>
      <c r="AB1905" s="77" t="inlineStr">
        <is>
          <t>◀ Prev</t>
        </is>
      </c>
      <c r="AC1905" s="77" t="inlineStr">
        <is>
          <t>Next ▶</t>
        </is>
      </c>
    </row>
    <row r="1906" ht="18" customHeight="1">
      <c r="A1906" t="n">
        <v>39</v>
      </c>
      <c r="B1906" s="78" t="inlineStr">
        <is>
          <t>DUTY</t>
        </is>
      </c>
      <c r="C1906" s="79">
        <f>$AC$2+7*($A1906-1)</f>
        <v/>
      </c>
      <c r="D1906" s="80" t="n"/>
      <c r="E1906" s="80" t="n"/>
      <c r="F1906" s="81" t="n"/>
      <c r="G1906" s="79">
        <f>C1906+1</f>
        <v/>
      </c>
      <c r="H1906" s="80" t="n"/>
      <c r="I1906" s="80" t="n"/>
      <c r="J1906" s="81" t="n"/>
      <c r="K1906" s="79">
        <f>C1906+2</f>
        <v/>
      </c>
      <c r="L1906" s="80" t="n"/>
      <c r="M1906" s="80" t="n"/>
      <c r="N1906" s="81" t="n"/>
      <c r="O1906" s="79">
        <f>C1906+3</f>
        <v/>
      </c>
      <c r="P1906" s="80" t="n"/>
      <c r="Q1906" s="80" t="n"/>
      <c r="R1906" s="81" t="n"/>
      <c r="S1906" s="79">
        <f>C1906+4</f>
        <v/>
      </c>
      <c r="T1906" s="80" t="n"/>
      <c r="U1906" s="80" t="n"/>
      <c r="V1906" s="81" t="n"/>
      <c r="W1906" s="82">
        <f>C1906+5</f>
        <v/>
      </c>
      <c r="X1906" s="83" t="n"/>
      <c r="Y1906" s="82">
        <f>C1906+6</f>
        <v/>
      </c>
      <c r="Z1906" s="83" t="n"/>
      <c r="AB1906" s="72" t="inlineStr">
        <is>
          <t>Gaps</t>
        </is>
      </c>
      <c r="AC1906" s="72" t="inlineStr">
        <is>
          <t>Cover</t>
        </is>
      </c>
    </row>
    <row r="1907" ht="14" customHeight="1">
      <c r="A1907" t="n">
        <v>39</v>
      </c>
      <c r="B1907" s="84" t="inlineStr">
        <is>
          <t>(from Setup)</t>
        </is>
      </c>
      <c r="C1907" s="85" t="inlineStr">
        <is>
          <t>1</t>
        </is>
      </c>
      <c r="D1907" s="85" t="inlineStr">
        <is>
          <t>2</t>
        </is>
      </c>
      <c r="E1907" s="85" t="inlineStr">
        <is>
          <t>3</t>
        </is>
      </c>
      <c r="F1907" s="85" t="inlineStr">
        <is>
          <t>Notes</t>
        </is>
      </c>
      <c r="G1907" s="85" t="inlineStr">
        <is>
          <t>1</t>
        </is>
      </c>
      <c r="H1907" s="85" t="inlineStr">
        <is>
          <t>2</t>
        </is>
      </c>
      <c r="I1907" s="85" t="inlineStr">
        <is>
          <t>3</t>
        </is>
      </c>
      <c r="J1907" s="85" t="inlineStr">
        <is>
          <t>Notes</t>
        </is>
      </c>
      <c r="K1907" s="85" t="inlineStr">
        <is>
          <t>1</t>
        </is>
      </c>
      <c r="L1907" s="85" t="inlineStr">
        <is>
          <t>2</t>
        </is>
      </c>
      <c r="M1907" s="85" t="inlineStr">
        <is>
          <t>3</t>
        </is>
      </c>
      <c r="N1907" s="85" t="inlineStr">
        <is>
          <t>Notes</t>
        </is>
      </c>
      <c r="O1907" s="85" t="inlineStr">
        <is>
          <t>1</t>
        </is>
      </c>
      <c r="P1907" s="85" t="inlineStr">
        <is>
          <t>2</t>
        </is>
      </c>
      <c r="Q1907" s="85" t="inlineStr">
        <is>
          <t>3</t>
        </is>
      </c>
      <c r="R1907" s="85" t="inlineStr">
        <is>
          <t>Notes</t>
        </is>
      </c>
      <c r="S1907" s="85" t="inlineStr">
        <is>
          <t>1</t>
        </is>
      </c>
      <c r="T1907" s="85" t="inlineStr">
        <is>
          <t>2</t>
        </is>
      </c>
      <c r="U1907" s="85" t="inlineStr">
        <is>
          <t>3</t>
        </is>
      </c>
      <c r="V1907" s="85" t="inlineStr">
        <is>
          <t>Notes</t>
        </is>
      </c>
      <c r="W1907" s="85" t="inlineStr">
        <is>
          <t>Cover</t>
        </is>
      </c>
      <c r="X1907" s="85" t="inlineStr">
        <is>
          <t>Notes</t>
        </is>
      </c>
      <c r="Y1907" s="85" t="inlineStr">
        <is>
          <t>Cover</t>
        </is>
      </c>
      <c r="Z1907" s="85" t="inlineStr">
        <is>
          <t>Notes</t>
        </is>
      </c>
      <c r="AB1907" s="86" t="inlineStr">
        <is>
          <t>weekdays short</t>
        </is>
      </c>
      <c r="AC1907" s="87" t="inlineStr"/>
    </row>
    <row r="1908" ht="17" customHeight="1">
      <c r="A1908" t="n">
        <v>39</v>
      </c>
      <c r="B1908" s="24">
        <f>IF(Setup!$K$6="","",Setup!$K$6)</f>
        <v/>
      </c>
      <c r="C1908" s="88" t="n"/>
      <c r="D1908" s="88" t="n"/>
      <c r="E1908" s="88" t="n"/>
      <c r="F1908" s="89" t="n"/>
      <c r="G1908" s="88" t="n"/>
      <c r="H1908" s="88" t="n"/>
      <c r="I1908" s="88" t="n"/>
      <c r="J1908" s="89" t="n"/>
      <c r="K1908" s="88" t="n"/>
      <c r="L1908" s="88" t="n"/>
      <c r="M1908" s="88" t="n"/>
      <c r="N1908" s="89" t="n"/>
      <c r="O1908" s="88" t="n"/>
      <c r="P1908" s="88" t="n"/>
      <c r="Q1908" s="88" t="n"/>
      <c r="R1908" s="89" t="n"/>
      <c r="S1908" s="88" t="n"/>
      <c r="T1908" s="88" t="n"/>
      <c r="U1908" s="88" t="n"/>
      <c r="V1908" s="89" t="n"/>
      <c r="W1908" s="88" t="n"/>
      <c r="X1908" s="89" t="n"/>
      <c r="Y1908" s="88" t="n"/>
      <c r="Z1908" s="89" t="n"/>
      <c r="AB1908" s="25">
        <f>IF($B1908="","",(COUNTIF(C1908:E1908,"?*")&lt;N(INDEX(Setup!$L$6:$L$23,1)))+(COUNTIF(G1908:I1908,"?*")&lt;N(INDEX(Setup!$L$6:$L$23,1)))+(COUNTIF(K1908:M1908,"?*")&lt;N(INDEX(Setup!$L$6:$L$23,1)))+(COUNTIF(O1908:Q1908,"?*")&lt;N(INDEX(Setup!$L$6:$L$23,1)))+(COUNTIF(S1908:U1908,"?*")&lt;N(INDEX(Setup!$L$6:$L$23,1)))+((W1908="")*(INDEX(Setup!$M$6:$M$23,1)="Y"))+((Y1908="")*(INDEX(Setup!$M$6:$M$23,1)="Y")))</f>
        <v/>
      </c>
      <c r="AC1908" s="90">
        <f>IF($B1908="","",IF(AB1908=0,"✓ covered","⚠ "&amp;AB1908&amp;IF(AB1908=1," gap"," gaps")))</f>
        <v/>
      </c>
    </row>
    <row r="1909" ht="17" customHeight="1">
      <c r="A1909" t="n">
        <v>39</v>
      </c>
      <c r="B1909" s="29">
        <f>IF(Setup!$K$7="","",Setup!$K$7)</f>
        <v/>
      </c>
      <c r="C1909" s="88" t="n"/>
      <c r="D1909" s="88" t="n"/>
      <c r="E1909" s="88" t="n"/>
      <c r="F1909" s="89" t="n"/>
      <c r="G1909" s="88" t="n"/>
      <c r="H1909" s="88" t="n"/>
      <c r="I1909" s="88" t="n"/>
      <c r="J1909" s="89" t="n"/>
      <c r="K1909" s="88" t="n"/>
      <c r="L1909" s="88" t="n"/>
      <c r="M1909" s="88" t="n"/>
      <c r="N1909" s="89" t="n"/>
      <c r="O1909" s="88" t="n"/>
      <c r="P1909" s="88" t="n"/>
      <c r="Q1909" s="88" t="n"/>
      <c r="R1909" s="89" t="n"/>
      <c r="S1909" s="88" t="n"/>
      <c r="T1909" s="88" t="n"/>
      <c r="U1909" s="88" t="n"/>
      <c r="V1909" s="89" t="n"/>
      <c r="W1909" s="88" t="n"/>
      <c r="X1909" s="89" t="n"/>
      <c r="Y1909" s="88" t="n"/>
      <c r="Z1909" s="89" t="n"/>
      <c r="AB1909" s="30">
        <f>IF($B1909="","",(COUNTIF(C1909:E1909,"?*")&lt;N(INDEX(Setup!$L$6:$L$23,2)))+(COUNTIF(G1909:I1909,"?*")&lt;N(INDEX(Setup!$L$6:$L$23,2)))+(COUNTIF(K1909:M1909,"?*")&lt;N(INDEX(Setup!$L$6:$L$23,2)))+(COUNTIF(O1909:Q1909,"?*")&lt;N(INDEX(Setup!$L$6:$L$23,2)))+(COUNTIF(S1909:U1909,"?*")&lt;N(INDEX(Setup!$L$6:$L$23,2)))+((W1909="")*(INDEX(Setup!$M$6:$M$23,2)="Y"))+((Y1909="")*(INDEX(Setup!$M$6:$M$23,2)="Y")))</f>
        <v/>
      </c>
      <c r="AC1909" s="91">
        <f>IF($B1909="","",IF(AB1909=0,"✓ covered","⚠ "&amp;AB1909&amp;IF(AB1909=1," gap"," gaps")))</f>
        <v/>
      </c>
    </row>
    <row r="1910" ht="17" customHeight="1">
      <c r="A1910" t="n">
        <v>39</v>
      </c>
      <c r="B1910" s="24">
        <f>IF(Setup!$K$8="","",Setup!$K$8)</f>
        <v/>
      </c>
      <c r="C1910" s="88" t="n"/>
      <c r="D1910" s="88" t="n"/>
      <c r="E1910" s="88" t="n"/>
      <c r="F1910" s="89" t="n"/>
      <c r="G1910" s="88" t="n"/>
      <c r="H1910" s="88" t="n"/>
      <c r="I1910" s="88" t="n"/>
      <c r="J1910" s="89" t="n"/>
      <c r="K1910" s="88" t="n"/>
      <c r="L1910" s="88" t="n"/>
      <c r="M1910" s="88" t="n"/>
      <c r="N1910" s="89" t="n"/>
      <c r="O1910" s="88" t="n"/>
      <c r="P1910" s="88" t="n"/>
      <c r="Q1910" s="88" t="n"/>
      <c r="R1910" s="89" t="n"/>
      <c r="S1910" s="88" t="n"/>
      <c r="T1910" s="88" t="n"/>
      <c r="U1910" s="88" t="n"/>
      <c r="V1910" s="89" t="n"/>
      <c r="W1910" s="88" t="n"/>
      <c r="X1910" s="89" t="n"/>
      <c r="Y1910" s="88" t="n"/>
      <c r="Z1910" s="89" t="n"/>
      <c r="AB1910" s="25">
        <f>IF($B1910="","",(COUNTIF(C1910:E1910,"?*")&lt;N(INDEX(Setup!$L$6:$L$23,3)))+(COUNTIF(G1910:I1910,"?*")&lt;N(INDEX(Setup!$L$6:$L$23,3)))+(COUNTIF(K1910:M1910,"?*")&lt;N(INDEX(Setup!$L$6:$L$23,3)))+(COUNTIF(O1910:Q1910,"?*")&lt;N(INDEX(Setup!$L$6:$L$23,3)))+(COUNTIF(S1910:U1910,"?*")&lt;N(INDEX(Setup!$L$6:$L$23,3)))+((W1910="")*(INDEX(Setup!$M$6:$M$23,3)="Y"))+((Y1910="")*(INDEX(Setup!$M$6:$M$23,3)="Y")))</f>
        <v/>
      </c>
      <c r="AC1910" s="90">
        <f>IF($B1910="","",IF(AB1910=0,"✓ covered","⚠ "&amp;AB1910&amp;IF(AB1910=1," gap"," gaps")))</f>
        <v/>
      </c>
    </row>
    <row r="1911" ht="17" customHeight="1">
      <c r="A1911" t="n">
        <v>39</v>
      </c>
      <c r="B1911" s="29">
        <f>IF(Setup!$K$9="","",Setup!$K$9)</f>
        <v/>
      </c>
      <c r="C1911" s="88" t="n"/>
      <c r="D1911" s="88" t="n"/>
      <c r="E1911" s="88" t="n"/>
      <c r="F1911" s="89" t="n"/>
      <c r="G1911" s="88" t="n"/>
      <c r="H1911" s="88" t="n"/>
      <c r="I1911" s="88" t="n"/>
      <c r="J1911" s="89" t="n"/>
      <c r="K1911" s="88" t="n"/>
      <c r="L1911" s="88" t="n"/>
      <c r="M1911" s="88" t="n"/>
      <c r="N1911" s="89" t="n"/>
      <c r="O1911" s="88" t="n"/>
      <c r="P1911" s="88" t="n"/>
      <c r="Q1911" s="88" t="n"/>
      <c r="R1911" s="89" t="n"/>
      <c r="S1911" s="88" t="n"/>
      <c r="T1911" s="88" t="n"/>
      <c r="U1911" s="88" t="n"/>
      <c r="V1911" s="89" t="n"/>
      <c r="W1911" s="88" t="n"/>
      <c r="X1911" s="89" t="n"/>
      <c r="Y1911" s="88" t="n"/>
      <c r="Z1911" s="89" t="n"/>
      <c r="AB1911" s="30">
        <f>IF($B1911="","",(COUNTIF(C1911:E1911,"?*")&lt;N(INDEX(Setup!$L$6:$L$23,4)))+(COUNTIF(G1911:I1911,"?*")&lt;N(INDEX(Setup!$L$6:$L$23,4)))+(COUNTIF(K1911:M1911,"?*")&lt;N(INDEX(Setup!$L$6:$L$23,4)))+(COUNTIF(O1911:Q1911,"?*")&lt;N(INDEX(Setup!$L$6:$L$23,4)))+(COUNTIF(S1911:U1911,"?*")&lt;N(INDEX(Setup!$L$6:$L$23,4)))+((W1911="")*(INDEX(Setup!$M$6:$M$23,4)="Y"))+((Y1911="")*(INDEX(Setup!$M$6:$M$23,4)="Y")))</f>
        <v/>
      </c>
      <c r="AC1911" s="91">
        <f>IF($B1911="","",IF(AB1911=0,"✓ covered","⚠ "&amp;AB1911&amp;IF(AB1911=1," gap"," gaps")))</f>
        <v/>
      </c>
    </row>
    <row r="1912" ht="17" customHeight="1">
      <c r="A1912" t="n">
        <v>39</v>
      </c>
      <c r="B1912" s="24">
        <f>IF(Setup!$K$10="","",Setup!$K$10)</f>
        <v/>
      </c>
      <c r="C1912" s="88" t="n"/>
      <c r="D1912" s="88" t="n"/>
      <c r="E1912" s="88" t="n"/>
      <c r="F1912" s="89" t="n"/>
      <c r="G1912" s="88" t="n"/>
      <c r="H1912" s="88" t="n"/>
      <c r="I1912" s="88" t="n"/>
      <c r="J1912" s="89" t="n"/>
      <c r="K1912" s="88" t="n"/>
      <c r="L1912" s="88" t="n"/>
      <c r="M1912" s="88" t="n"/>
      <c r="N1912" s="89" t="n"/>
      <c r="O1912" s="88" t="n"/>
      <c r="P1912" s="88" t="n"/>
      <c r="Q1912" s="88" t="n"/>
      <c r="R1912" s="89" t="n"/>
      <c r="S1912" s="88" t="n"/>
      <c r="T1912" s="88" t="n"/>
      <c r="U1912" s="88" t="n"/>
      <c r="V1912" s="89" t="n"/>
      <c r="W1912" s="88" t="n"/>
      <c r="X1912" s="89" t="n"/>
      <c r="Y1912" s="88" t="n"/>
      <c r="Z1912" s="89" t="n"/>
      <c r="AB1912" s="25">
        <f>IF($B1912="","",(COUNTIF(C1912:E1912,"?*")&lt;N(INDEX(Setup!$L$6:$L$23,5)))+(COUNTIF(G1912:I1912,"?*")&lt;N(INDEX(Setup!$L$6:$L$23,5)))+(COUNTIF(K1912:M1912,"?*")&lt;N(INDEX(Setup!$L$6:$L$23,5)))+(COUNTIF(O1912:Q1912,"?*")&lt;N(INDEX(Setup!$L$6:$L$23,5)))+(COUNTIF(S1912:U1912,"?*")&lt;N(INDEX(Setup!$L$6:$L$23,5)))+((W1912="")*(INDEX(Setup!$M$6:$M$23,5)="Y"))+((Y1912="")*(INDEX(Setup!$M$6:$M$23,5)="Y")))</f>
        <v/>
      </c>
      <c r="AC1912" s="90">
        <f>IF($B1912="","",IF(AB1912=0,"✓ covered","⚠ "&amp;AB1912&amp;IF(AB1912=1," gap"," gaps")))</f>
        <v/>
      </c>
    </row>
    <row r="1913" ht="17" customHeight="1">
      <c r="A1913" t="n">
        <v>39</v>
      </c>
      <c r="B1913" s="29">
        <f>IF(Setup!$K$11="","",Setup!$K$11)</f>
        <v/>
      </c>
      <c r="C1913" s="88" t="n"/>
      <c r="D1913" s="88" t="n"/>
      <c r="E1913" s="88" t="n"/>
      <c r="F1913" s="89" t="n"/>
      <c r="G1913" s="88" t="n"/>
      <c r="H1913" s="88" t="n"/>
      <c r="I1913" s="88" t="n"/>
      <c r="J1913" s="89" t="n"/>
      <c r="K1913" s="88" t="n"/>
      <c r="L1913" s="88" t="n"/>
      <c r="M1913" s="88" t="n"/>
      <c r="N1913" s="89" t="n"/>
      <c r="O1913" s="88" t="n"/>
      <c r="P1913" s="88" t="n"/>
      <c r="Q1913" s="88" t="n"/>
      <c r="R1913" s="89" t="n"/>
      <c r="S1913" s="88" t="n"/>
      <c r="T1913" s="88" t="n"/>
      <c r="U1913" s="88" t="n"/>
      <c r="V1913" s="89" t="n"/>
      <c r="W1913" s="88" t="n"/>
      <c r="X1913" s="89" t="n"/>
      <c r="Y1913" s="88" t="n"/>
      <c r="Z1913" s="89" t="n"/>
      <c r="AB1913" s="30">
        <f>IF($B1913="","",(COUNTIF(C1913:E1913,"?*")&lt;N(INDEX(Setup!$L$6:$L$23,6)))+(COUNTIF(G1913:I1913,"?*")&lt;N(INDEX(Setup!$L$6:$L$23,6)))+(COUNTIF(K1913:M1913,"?*")&lt;N(INDEX(Setup!$L$6:$L$23,6)))+(COUNTIF(O1913:Q1913,"?*")&lt;N(INDEX(Setup!$L$6:$L$23,6)))+(COUNTIF(S1913:U1913,"?*")&lt;N(INDEX(Setup!$L$6:$L$23,6)))+((W1913="")*(INDEX(Setup!$M$6:$M$23,6)="Y"))+((Y1913="")*(INDEX(Setup!$M$6:$M$23,6)="Y")))</f>
        <v/>
      </c>
      <c r="AC1913" s="91">
        <f>IF($B1913="","",IF(AB1913=0,"✓ covered","⚠ "&amp;AB1913&amp;IF(AB1913=1," gap"," gaps")))</f>
        <v/>
      </c>
    </row>
    <row r="1914" ht="17" customHeight="1">
      <c r="A1914" t="n">
        <v>39</v>
      </c>
      <c r="B1914" s="24">
        <f>IF(Setup!$K$12="","",Setup!$K$12)</f>
        <v/>
      </c>
      <c r="C1914" s="88" t="n"/>
      <c r="D1914" s="88" t="n"/>
      <c r="E1914" s="88" t="n"/>
      <c r="F1914" s="89" t="n"/>
      <c r="G1914" s="88" t="n"/>
      <c r="H1914" s="88" t="n"/>
      <c r="I1914" s="88" t="n"/>
      <c r="J1914" s="89" t="n"/>
      <c r="K1914" s="88" t="n"/>
      <c r="L1914" s="88" t="n"/>
      <c r="M1914" s="88" t="n"/>
      <c r="N1914" s="89" t="n"/>
      <c r="O1914" s="88" t="n"/>
      <c r="P1914" s="88" t="n"/>
      <c r="Q1914" s="88" t="n"/>
      <c r="R1914" s="89" t="n"/>
      <c r="S1914" s="88" t="n"/>
      <c r="T1914" s="88" t="n"/>
      <c r="U1914" s="88" t="n"/>
      <c r="V1914" s="89" t="n"/>
      <c r="W1914" s="88" t="n"/>
      <c r="X1914" s="89" t="n"/>
      <c r="Y1914" s="88" t="n"/>
      <c r="Z1914" s="89" t="n"/>
      <c r="AB1914" s="25">
        <f>IF($B1914="","",(COUNTIF(C1914:E1914,"?*")&lt;N(INDEX(Setup!$L$6:$L$23,7)))+(COUNTIF(G1914:I1914,"?*")&lt;N(INDEX(Setup!$L$6:$L$23,7)))+(COUNTIF(K1914:M1914,"?*")&lt;N(INDEX(Setup!$L$6:$L$23,7)))+(COUNTIF(O1914:Q1914,"?*")&lt;N(INDEX(Setup!$L$6:$L$23,7)))+(COUNTIF(S1914:U1914,"?*")&lt;N(INDEX(Setup!$L$6:$L$23,7)))+((W1914="")*(INDEX(Setup!$M$6:$M$23,7)="Y"))+((Y1914="")*(INDEX(Setup!$M$6:$M$23,7)="Y")))</f>
        <v/>
      </c>
      <c r="AC1914" s="90">
        <f>IF($B1914="","",IF(AB1914=0,"✓ covered","⚠ "&amp;AB1914&amp;IF(AB1914=1," gap"," gaps")))</f>
        <v/>
      </c>
    </row>
    <row r="1915" ht="17" customHeight="1">
      <c r="A1915" t="n">
        <v>39</v>
      </c>
      <c r="B1915" s="29">
        <f>IF(Setup!$K$13="","",Setup!$K$13)</f>
        <v/>
      </c>
      <c r="C1915" s="88" t="n"/>
      <c r="D1915" s="88" t="n"/>
      <c r="E1915" s="88" t="n"/>
      <c r="F1915" s="89" t="n"/>
      <c r="G1915" s="88" t="n"/>
      <c r="H1915" s="88" t="n"/>
      <c r="I1915" s="88" t="n"/>
      <c r="J1915" s="89" t="n"/>
      <c r="K1915" s="88" t="n"/>
      <c r="L1915" s="88" t="n"/>
      <c r="M1915" s="88" t="n"/>
      <c r="N1915" s="89" t="n"/>
      <c r="O1915" s="88" t="n"/>
      <c r="P1915" s="88" t="n"/>
      <c r="Q1915" s="88" t="n"/>
      <c r="R1915" s="89" t="n"/>
      <c r="S1915" s="88" t="n"/>
      <c r="T1915" s="88" t="n"/>
      <c r="U1915" s="88" t="n"/>
      <c r="V1915" s="89" t="n"/>
      <c r="W1915" s="88" t="n"/>
      <c r="X1915" s="89" t="n"/>
      <c r="Y1915" s="88" t="n"/>
      <c r="Z1915" s="89" t="n"/>
      <c r="AB1915" s="30">
        <f>IF($B1915="","",(COUNTIF(C1915:E1915,"?*")&lt;N(INDEX(Setup!$L$6:$L$23,8)))+(COUNTIF(G1915:I1915,"?*")&lt;N(INDEX(Setup!$L$6:$L$23,8)))+(COUNTIF(K1915:M1915,"?*")&lt;N(INDEX(Setup!$L$6:$L$23,8)))+(COUNTIF(O1915:Q1915,"?*")&lt;N(INDEX(Setup!$L$6:$L$23,8)))+(COUNTIF(S1915:U1915,"?*")&lt;N(INDEX(Setup!$L$6:$L$23,8)))+((W1915="")*(INDEX(Setup!$M$6:$M$23,8)="Y"))+((Y1915="")*(INDEX(Setup!$M$6:$M$23,8)="Y")))</f>
        <v/>
      </c>
      <c r="AC1915" s="91">
        <f>IF($B1915="","",IF(AB1915=0,"✓ covered","⚠ "&amp;AB1915&amp;IF(AB1915=1," gap"," gaps")))</f>
        <v/>
      </c>
    </row>
    <row r="1916" ht="17" customHeight="1">
      <c r="A1916" t="n">
        <v>39</v>
      </c>
      <c r="B1916" s="24">
        <f>IF(Setup!$K$14="","",Setup!$K$14)</f>
        <v/>
      </c>
      <c r="C1916" s="88" t="n"/>
      <c r="D1916" s="88" t="n"/>
      <c r="E1916" s="88" t="n"/>
      <c r="F1916" s="89" t="n"/>
      <c r="G1916" s="88" t="n"/>
      <c r="H1916" s="88" t="n"/>
      <c r="I1916" s="88" t="n"/>
      <c r="J1916" s="89" t="n"/>
      <c r="K1916" s="88" t="n"/>
      <c r="L1916" s="88" t="n"/>
      <c r="M1916" s="88" t="n"/>
      <c r="N1916" s="89" t="n"/>
      <c r="O1916" s="88" t="n"/>
      <c r="P1916" s="88" t="n"/>
      <c r="Q1916" s="88" t="n"/>
      <c r="R1916" s="89" t="n"/>
      <c r="S1916" s="88" t="n"/>
      <c r="T1916" s="88" t="n"/>
      <c r="U1916" s="88" t="n"/>
      <c r="V1916" s="89" t="n"/>
      <c r="W1916" s="88" t="n"/>
      <c r="X1916" s="89" t="n"/>
      <c r="Y1916" s="88" t="n"/>
      <c r="Z1916" s="89" t="n"/>
      <c r="AB1916" s="25">
        <f>IF($B1916="","",(COUNTIF(C1916:E1916,"?*")&lt;N(INDEX(Setup!$L$6:$L$23,9)))+(COUNTIF(G1916:I1916,"?*")&lt;N(INDEX(Setup!$L$6:$L$23,9)))+(COUNTIF(K1916:M1916,"?*")&lt;N(INDEX(Setup!$L$6:$L$23,9)))+(COUNTIF(O1916:Q1916,"?*")&lt;N(INDEX(Setup!$L$6:$L$23,9)))+(COUNTIF(S1916:U1916,"?*")&lt;N(INDEX(Setup!$L$6:$L$23,9)))+((W1916="")*(INDEX(Setup!$M$6:$M$23,9)="Y"))+((Y1916="")*(INDEX(Setup!$M$6:$M$23,9)="Y")))</f>
        <v/>
      </c>
      <c r="AC1916" s="90">
        <f>IF($B1916="","",IF(AB1916=0,"✓ covered","⚠ "&amp;AB1916&amp;IF(AB1916=1," gap"," gaps")))</f>
        <v/>
      </c>
    </row>
    <row r="1917" ht="17" customHeight="1">
      <c r="A1917" t="n">
        <v>39</v>
      </c>
      <c r="B1917" s="29">
        <f>IF(Setup!$K$15="","",Setup!$K$15)</f>
        <v/>
      </c>
      <c r="C1917" s="88" t="n"/>
      <c r="D1917" s="88" t="n"/>
      <c r="E1917" s="88" t="n"/>
      <c r="F1917" s="89" t="n"/>
      <c r="G1917" s="88" t="n"/>
      <c r="H1917" s="88" t="n"/>
      <c r="I1917" s="88" t="n"/>
      <c r="J1917" s="89" t="n"/>
      <c r="K1917" s="88" t="n"/>
      <c r="L1917" s="88" t="n"/>
      <c r="M1917" s="88" t="n"/>
      <c r="N1917" s="89" t="n"/>
      <c r="O1917" s="88" t="n"/>
      <c r="P1917" s="88" t="n"/>
      <c r="Q1917" s="88" t="n"/>
      <c r="R1917" s="89" t="n"/>
      <c r="S1917" s="88" t="n"/>
      <c r="T1917" s="88" t="n"/>
      <c r="U1917" s="88" t="n"/>
      <c r="V1917" s="89" t="n"/>
      <c r="W1917" s="88" t="n"/>
      <c r="X1917" s="89" t="n"/>
      <c r="Y1917" s="88" t="n"/>
      <c r="Z1917" s="89" t="n"/>
      <c r="AB1917" s="30">
        <f>IF($B1917="","",(COUNTIF(C1917:E1917,"?*")&lt;N(INDEX(Setup!$L$6:$L$23,10)))+(COUNTIF(G1917:I1917,"?*")&lt;N(INDEX(Setup!$L$6:$L$23,10)))+(COUNTIF(K1917:M1917,"?*")&lt;N(INDEX(Setup!$L$6:$L$23,10)))+(COUNTIF(O1917:Q1917,"?*")&lt;N(INDEX(Setup!$L$6:$L$23,10)))+(COUNTIF(S1917:U1917,"?*")&lt;N(INDEX(Setup!$L$6:$L$23,10)))+((W1917="")*(INDEX(Setup!$M$6:$M$23,10)="Y"))+((Y1917="")*(INDEX(Setup!$M$6:$M$23,10)="Y")))</f>
        <v/>
      </c>
      <c r="AC1917" s="91">
        <f>IF($B1917="","",IF(AB1917=0,"✓ covered","⚠ "&amp;AB1917&amp;IF(AB1917=1," gap"," gaps")))</f>
        <v/>
      </c>
    </row>
    <row r="1918" ht="17" customHeight="1">
      <c r="A1918" t="n">
        <v>39</v>
      </c>
      <c r="B1918" s="24">
        <f>IF(Setup!$K$16="","",Setup!$K$16)</f>
        <v/>
      </c>
      <c r="C1918" s="88" t="n"/>
      <c r="D1918" s="88" t="n"/>
      <c r="E1918" s="88" t="n"/>
      <c r="F1918" s="89" t="n"/>
      <c r="G1918" s="88" t="n"/>
      <c r="H1918" s="88" t="n"/>
      <c r="I1918" s="88" t="n"/>
      <c r="J1918" s="89" t="n"/>
      <c r="K1918" s="88" t="n"/>
      <c r="L1918" s="88" t="n"/>
      <c r="M1918" s="88" t="n"/>
      <c r="N1918" s="89" t="n"/>
      <c r="O1918" s="88" t="n"/>
      <c r="P1918" s="88" t="n"/>
      <c r="Q1918" s="88" t="n"/>
      <c r="R1918" s="89" t="n"/>
      <c r="S1918" s="88" t="n"/>
      <c r="T1918" s="88" t="n"/>
      <c r="U1918" s="88" t="n"/>
      <c r="V1918" s="89" t="n"/>
      <c r="W1918" s="88" t="n"/>
      <c r="X1918" s="89" t="n"/>
      <c r="Y1918" s="88" t="n"/>
      <c r="Z1918" s="89" t="n"/>
      <c r="AB1918" s="25">
        <f>IF($B1918="","",(COUNTIF(C1918:E1918,"?*")&lt;N(INDEX(Setup!$L$6:$L$23,11)))+(COUNTIF(G1918:I1918,"?*")&lt;N(INDEX(Setup!$L$6:$L$23,11)))+(COUNTIF(K1918:M1918,"?*")&lt;N(INDEX(Setup!$L$6:$L$23,11)))+(COUNTIF(O1918:Q1918,"?*")&lt;N(INDEX(Setup!$L$6:$L$23,11)))+(COUNTIF(S1918:U1918,"?*")&lt;N(INDEX(Setup!$L$6:$L$23,11)))+((W1918="")*(INDEX(Setup!$M$6:$M$23,11)="Y"))+((Y1918="")*(INDEX(Setup!$M$6:$M$23,11)="Y")))</f>
        <v/>
      </c>
      <c r="AC1918" s="90">
        <f>IF($B1918="","",IF(AB1918=0,"✓ covered","⚠ "&amp;AB1918&amp;IF(AB1918=1," gap"," gaps")))</f>
        <v/>
      </c>
    </row>
    <row r="1919" ht="17" customHeight="1">
      <c r="A1919" t="n">
        <v>39</v>
      </c>
      <c r="B1919" s="29">
        <f>IF(Setup!$K$17="","",Setup!$K$17)</f>
        <v/>
      </c>
      <c r="C1919" s="88" t="n"/>
      <c r="D1919" s="88" t="n"/>
      <c r="E1919" s="88" t="n"/>
      <c r="F1919" s="89" t="n"/>
      <c r="G1919" s="88" t="n"/>
      <c r="H1919" s="88" t="n"/>
      <c r="I1919" s="88" t="n"/>
      <c r="J1919" s="89" t="n"/>
      <c r="K1919" s="88" t="n"/>
      <c r="L1919" s="88" t="n"/>
      <c r="M1919" s="88" t="n"/>
      <c r="N1919" s="89" t="n"/>
      <c r="O1919" s="88" t="n"/>
      <c r="P1919" s="88" t="n"/>
      <c r="Q1919" s="88" t="n"/>
      <c r="R1919" s="89" t="n"/>
      <c r="S1919" s="88" t="n"/>
      <c r="T1919" s="88" t="n"/>
      <c r="U1919" s="88" t="n"/>
      <c r="V1919" s="89" t="n"/>
      <c r="W1919" s="88" t="n"/>
      <c r="X1919" s="89" t="n"/>
      <c r="Y1919" s="88" t="n"/>
      <c r="Z1919" s="89" t="n"/>
      <c r="AB1919" s="30">
        <f>IF($B1919="","",(COUNTIF(C1919:E1919,"?*")&lt;N(INDEX(Setup!$L$6:$L$23,12)))+(COUNTIF(G1919:I1919,"?*")&lt;N(INDEX(Setup!$L$6:$L$23,12)))+(COUNTIF(K1919:M1919,"?*")&lt;N(INDEX(Setup!$L$6:$L$23,12)))+(COUNTIF(O1919:Q1919,"?*")&lt;N(INDEX(Setup!$L$6:$L$23,12)))+(COUNTIF(S1919:U1919,"?*")&lt;N(INDEX(Setup!$L$6:$L$23,12)))+((W1919="")*(INDEX(Setup!$M$6:$M$23,12)="Y"))+((Y1919="")*(INDEX(Setup!$M$6:$M$23,12)="Y")))</f>
        <v/>
      </c>
      <c r="AC1919" s="91">
        <f>IF($B1919="","",IF(AB1919=0,"✓ covered","⚠ "&amp;AB1919&amp;IF(AB1919=1," gap"," gaps")))</f>
        <v/>
      </c>
    </row>
    <row r="1920" ht="17" customHeight="1">
      <c r="A1920" t="n">
        <v>39</v>
      </c>
      <c r="B1920" s="24">
        <f>IF(Setup!$K$18="","",Setup!$K$18)</f>
        <v/>
      </c>
      <c r="C1920" s="88" t="n"/>
      <c r="D1920" s="88" t="n"/>
      <c r="E1920" s="88" t="n"/>
      <c r="F1920" s="89" t="n"/>
      <c r="G1920" s="88" t="n"/>
      <c r="H1920" s="88" t="n"/>
      <c r="I1920" s="88" t="n"/>
      <c r="J1920" s="89" t="n"/>
      <c r="K1920" s="88" t="n"/>
      <c r="L1920" s="88" t="n"/>
      <c r="M1920" s="88" t="n"/>
      <c r="N1920" s="89" t="n"/>
      <c r="O1920" s="88" t="n"/>
      <c r="P1920" s="88" t="n"/>
      <c r="Q1920" s="88" t="n"/>
      <c r="R1920" s="89" t="n"/>
      <c r="S1920" s="88" t="n"/>
      <c r="T1920" s="88" t="n"/>
      <c r="U1920" s="88" t="n"/>
      <c r="V1920" s="89" t="n"/>
      <c r="W1920" s="88" t="n"/>
      <c r="X1920" s="89" t="n"/>
      <c r="Y1920" s="88" t="n"/>
      <c r="Z1920" s="89" t="n"/>
      <c r="AB1920" s="25">
        <f>IF($B1920="","",(COUNTIF(C1920:E1920,"?*")&lt;N(INDEX(Setup!$L$6:$L$23,13)))+(COUNTIF(G1920:I1920,"?*")&lt;N(INDEX(Setup!$L$6:$L$23,13)))+(COUNTIF(K1920:M1920,"?*")&lt;N(INDEX(Setup!$L$6:$L$23,13)))+(COUNTIF(O1920:Q1920,"?*")&lt;N(INDEX(Setup!$L$6:$L$23,13)))+(COUNTIF(S1920:U1920,"?*")&lt;N(INDEX(Setup!$L$6:$L$23,13)))+((W1920="")*(INDEX(Setup!$M$6:$M$23,13)="Y"))+((Y1920="")*(INDEX(Setup!$M$6:$M$23,13)="Y")))</f>
        <v/>
      </c>
      <c r="AC1920" s="90">
        <f>IF($B1920="","",IF(AB1920=0,"✓ covered","⚠ "&amp;AB1920&amp;IF(AB1920=1," gap"," gaps")))</f>
        <v/>
      </c>
    </row>
    <row r="1921" ht="17" customHeight="1">
      <c r="A1921" t="n">
        <v>39</v>
      </c>
      <c r="B1921" s="29">
        <f>IF(Setup!$K$19="","",Setup!$K$19)</f>
        <v/>
      </c>
      <c r="C1921" s="88" t="n"/>
      <c r="D1921" s="88" t="n"/>
      <c r="E1921" s="88" t="n"/>
      <c r="F1921" s="89" t="n"/>
      <c r="G1921" s="88" t="n"/>
      <c r="H1921" s="88" t="n"/>
      <c r="I1921" s="88" t="n"/>
      <c r="J1921" s="89" t="n"/>
      <c r="K1921" s="88" t="n"/>
      <c r="L1921" s="88" t="n"/>
      <c r="M1921" s="88" t="n"/>
      <c r="N1921" s="89" t="n"/>
      <c r="O1921" s="88" t="n"/>
      <c r="P1921" s="88" t="n"/>
      <c r="Q1921" s="88" t="n"/>
      <c r="R1921" s="89" t="n"/>
      <c r="S1921" s="88" t="n"/>
      <c r="T1921" s="88" t="n"/>
      <c r="U1921" s="88" t="n"/>
      <c r="V1921" s="89" t="n"/>
      <c r="W1921" s="88" t="n"/>
      <c r="X1921" s="89" t="n"/>
      <c r="Y1921" s="88" t="n"/>
      <c r="Z1921" s="89" t="n"/>
      <c r="AB1921" s="30">
        <f>IF($B1921="","",(COUNTIF(C1921:E1921,"?*")&lt;N(INDEX(Setup!$L$6:$L$23,14)))+(COUNTIF(G1921:I1921,"?*")&lt;N(INDEX(Setup!$L$6:$L$23,14)))+(COUNTIF(K1921:M1921,"?*")&lt;N(INDEX(Setup!$L$6:$L$23,14)))+(COUNTIF(O1921:Q1921,"?*")&lt;N(INDEX(Setup!$L$6:$L$23,14)))+(COUNTIF(S1921:U1921,"?*")&lt;N(INDEX(Setup!$L$6:$L$23,14)))+((W1921="")*(INDEX(Setup!$M$6:$M$23,14)="Y"))+((Y1921="")*(INDEX(Setup!$M$6:$M$23,14)="Y")))</f>
        <v/>
      </c>
      <c r="AC1921" s="91">
        <f>IF($B1921="","",IF(AB1921=0,"✓ covered","⚠ "&amp;AB1921&amp;IF(AB1921=1," gap"," gaps")))</f>
        <v/>
      </c>
    </row>
    <row r="1922" ht="17" customHeight="1">
      <c r="A1922" t="n">
        <v>39</v>
      </c>
      <c r="B1922" s="24">
        <f>IF(Setup!$K$20="","",Setup!$K$20)</f>
        <v/>
      </c>
      <c r="C1922" s="88" t="n"/>
      <c r="D1922" s="88" t="n"/>
      <c r="E1922" s="88" t="n"/>
      <c r="F1922" s="89" t="n"/>
      <c r="G1922" s="88" t="n"/>
      <c r="H1922" s="88" t="n"/>
      <c r="I1922" s="88" t="n"/>
      <c r="J1922" s="89" t="n"/>
      <c r="K1922" s="88" t="n"/>
      <c r="L1922" s="88" t="n"/>
      <c r="M1922" s="88" t="n"/>
      <c r="N1922" s="89" t="n"/>
      <c r="O1922" s="88" t="n"/>
      <c r="P1922" s="88" t="n"/>
      <c r="Q1922" s="88" t="n"/>
      <c r="R1922" s="89" t="n"/>
      <c r="S1922" s="88" t="n"/>
      <c r="T1922" s="88" t="n"/>
      <c r="U1922" s="88" t="n"/>
      <c r="V1922" s="89" t="n"/>
      <c r="W1922" s="88" t="n"/>
      <c r="X1922" s="89" t="n"/>
      <c r="Y1922" s="88" t="n"/>
      <c r="Z1922" s="89" t="n"/>
      <c r="AB1922" s="25">
        <f>IF($B1922="","",(COUNTIF(C1922:E1922,"?*")&lt;N(INDEX(Setup!$L$6:$L$23,15)))+(COUNTIF(G1922:I1922,"?*")&lt;N(INDEX(Setup!$L$6:$L$23,15)))+(COUNTIF(K1922:M1922,"?*")&lt;N(INDEX(Setup!$L$6:$L$23,15)))+(COUNTIF(O1922:Q1922,"?*")&lt;N(INDEX(Setup!$L$6:$L$23,15)))+(COUNTIF(S1922:U1922,"?*")&lt;N(INDEX(Setup!$L$6:$L$23,15)))+((W1922="")*(INDEX(Setup!$M$6:$M$23,15)="Y"))+((Y1922="")*(INDEX(Setup!$M$6:$M$23,15)="Y")))</f>
        <v/>
      </c>
      <c r="AC1922" s="90">
        <f>IF($B1922="","",IF(AB1922=0,"✓ covered","⚠ "&amp;AB1922&amp;IF(AB1922=1," gap"," gaps")))</f>
        <v/>
      </c>
    </row>
    <row r="1923" ht="17" customHeight="1">
      <c r="A1923" t="n">
        <v>39</v>
      </c>
      <c r="B1923" s="29">
        <f>IF(Setup!$K$21="","",Setup!$K$21)</f>
        <v/>
      </c>
      <c r="C1923" s="88" t="n"/>
      <c r="D1923" s="88" t="n"/>
      <c r="E1923" s="88" t="n"/>
      <c r="F1923" s="89" t="n"/>
      <c r="G1923" s="88" t="n"/>
      <c r="H1923" s="88" t="n"/>
      <c r="I1923" s="88" t="n"/>
      <c r="J1923" s="89" t="n"/>
      <c r="K1923" s="88" t="n"/>
      <c r="L1923" s="88" t="n"/>
      <c r="M1923" s="88" t="n"/>
      <c r="N1923" s="89" t="n"/>
      <c r="O1923" s="88" t="n"/>
      <c r="P1923" s="88" t="n"/>
      <c r="Q1923" s="88" t="n"/>
      <c r="R1923" s="89" t="n"/>
      <c r="S1923" s="88" t="n"/>
      <c r="T1923" s="88" t="n"/>
      <c r="U1923" s="88" t="n"/>
      <c r="V1923" s="89" t="n"/>
      <c r="W1923" s="88" t="n"/>
      <c r="X1923" s="89" t="n"/>
      <c r="Y1923" s="88" t="n"/>
      <c r="Z1923" s="89" t="n"/>
      <c r="AB1923" s="30">
        <f>IF($B1923="","",(COUNTIF(C1923:E1923,"?*")&lt;N(INDEX(Setup!$L$6:$L$23,16)))+(COUNTIF(G1923:I1923,"?*")&lt;N(INDEX(Setup!$L$6:$L$23,16)))+(COUNTIF(K1923:M1923,"?*")&lt;N(INDEX(Setup!$L$6:$L$23,16)))+(COUNTIF(O1923:Q1923,"?*")&lt;N(INDEX(Setup!$L$6:$L$23,16)))+(COUNTIF(S1923:U1923,"?*")&lt;N(INDEX(Setup!$L$6:$L$23,16)))+((W1923="")*(INDEX(Setup!$M$6:$M$23,16)="Y"))+((Y1923="")*(INDEX(Setup!$M$6:$M$23,16)="Y")))</f>
        <v/>
      </c>
      <c r="AC1923" s="91">
        <f>IF($B1923="","",IF(AB1923=0,"✓ covered","⚠ "&amp;AB1923&amp;IF(AB1923=1," gap"," gaps")))</f>
        <v/>
      </c>
    </row>
    <row r="1924" ht="17" customHeight="1">
      <c r="A1924" t="n">
        <v>39</v>
      </c>
      <c r="B1924" s="24">
        <f>IF(Setup!$K$22="","",Setup!$K$22)</f>
        <v/>
      </c>
      <c r="C1924" s="88" t="n"/>
      <c r="D1924" s="88" t="n"/>
      <c r="E1924" s="88" t="n"/>
      <c r="F1924" s="89" t="n"/>
      <c r="G1924" s="88" t="n"/>
      <c r="H1924" s="88" t="n"/>
      <c r="I1924" s="88" t="n"/>
      <c r="J1924" s="89" t="n"/>
      <c r="K1924" s="88" t="n"/>
      <c r="L1924" s="88" t="n"/>
      <c r="M1924" s="88" t="n"/>
      <c r="N1924" s="89" t="n"/>
      <c r="O1924" s="88" t="n"/>
      <c r="P1924" s="88" t="n"/>
      <c r="Q1924" s="88" t="n"/>
      <c r="R1924" s="89" t="n"/>
      <c r="S1924" s="88" t="n"/>
      <c r="T1924" s="88" t="n"/>
      <c r="U1924" s="88" t="n"/>
      <c r="V1924" s="89" t="n"/>
      <c r="W1924" s="88" t="n"/>
      <c r="X1924" s="89" t="n"/>
      <c r="Y1924" s="88" t="n"/>
      <c r="Z1924" s="89" t="n"/>
      <c r="AB1924" s="25">
        <f>IF($B1924="","",(COUNTIF(C1924:E1924,"?*")&lt;N(INDEX(Setup!$L$6:$L$23,17)))+(COUNTIF(G1924:I1924,"?*")&lt;N(INDEX(Setup!$L$6:$L$23,17)))+(COUNTIF(K1924:M1924,"?*")&lt;N(INDEX(Setup!$L$6:$L$23,17)))+(COUNTIF(O1924:Q1924,"?*")&lt;N(INDEX(Setup!$L$6:$L$23,17)))+(COUNTIF(S1924:U1924,"?*")&lt;N(INDEX(Setup!$L$6:$L$23,17)))+((W1924="")*(INDEX(Setup!$M$6:$M$23,17)="Y"))+((Y1924="")*(INDEX(Setup!$M$6:$M$23,17)="Y")))</f>
        <v/>
      </c>
      <c r="AC1924" s="90">
        <f>IF($B1924="","",IF(AB1924=0,"✓ covered","⚠ "&amp;AB1924&amp;IF(AB1924=1," gap"," gaps")))</f>
        <v/>
      </c>
    </row>
    <row r="1925" ht="17" customHeight="1">
      <c r="A1925" t="n">
        <v>39</v>
      </c>
      <c r="B1925" s="29">
        <f>IF(Setup!$K$23="","",Setup!$K$23)</f>
        <v/>
      </c>
      <c r="C1925" s="88" t="n"/>
      <c r="D1925" s="88" t="n"/>
      <c r="E1925" s="88" t="n"/>
      <c r="F1925" s="89" t="n"/>
      <c r="G1925" s="88" t="n"/>
      <c r="H1925" s="88" t="n"/>
      <c r="I1925" s="88" t="n"/>
      <c r="J1925" s="89" t="n"/>
      <c r="K1925" s="88" t="n"/>
      <c r="L1925" s="88" t="n"/>
      <c r="M1925" s="88" t="n"/>
      <c r="N1925" s="89" t="n"/>
      <c r="O1925" s="88" t="n"/>
      <c r="P1925" s="88" t="n"/>
      <c r="Q1925" s="88" t="n"/>
      <c r="R1925" s="89" t="n"/>
      <c r="S1925" s="88" t="n"/>
      <c r="T1925" s="88" t="n"/>
      <c r="U1925" s="88" t="n"/>
      <c r="V1925" s="89" t="n"/>
      <c r="W1925" s="88" t="n"/>
      <c r="X1925" s="89" t="n"/>
      <c r="Y1925" s="88" t="n"/>
      <c r="Z1925" s="89" t="n"/>
      <c r="AB1925" s="30">
        <f>IF($B1925="","",(COUNTIF(C1925:E1925,"?*")&lt;N(INDEX(Setup!$L$6:$L$23,18)))+(COUNTIF(G1925:I1925,"?*")&lt;N(INDEX(Setup!$L$6:$L$23,18)))+(COUNTIF(K1925:M1925,"?*")&lt;N(INDEX(Setup!$L$6:$L$23,18)))+(COUNTIF(O1925:Q1925,"?*")&lt;N(INDEX(Setup!$L$6:$L$23,18)))+(COUNTIF(S1925:U1925,"?*")&lt;N(INDEX(Setup!$L$6:$L$23,18)))+((W1925="")*(INDEX(Setup!$M$6:$M$23,18)="Y"))+((Y1925="")*(INDEX(Setup!$M$6:$M$23,18)="Y")))</f>
        <v/>
      </c>
      <c r="AC1925" s="91">
        <f>IF($B1925="","",IF(AB1925=0,"✓ covered","⚠ "&amp;AB1925&amp;IF(AB1925=1," gap"," gaps")))</f>
        <v/>
      </c>
    </row>
    <row r="1926" ht="18" customHeight="1">
      <c r="A1926" t="n">
        <v>39</v>
      </c>
      <c r="B1926" s="78" t="inlineStr">
        <is>
          <t>TEAM AVAILABILITY</t>
        </is>
      </c>
      <c r="C1926" s="92" t="inlineStr">
        <is>
          <t>Mon</t>
        </is>
      </c>
      <c r="D1926" s="93" t="n"/>
      <c r="E1926" s="93" t="n"/>
      <c r="F1926" s="94" t="n"/>
      <c r="G1926" s="92" t="inlineStr">
        <is>
          <t>Tue</t>
        </is>
      </c>
      <c r="H1926" s="93" t="n"/>
      <c r="I1926" s="93" t="n"/>
      <c r="J1926" s="94" t="n"/>
      <c r="K1926" s="92" t="inlineStr">
        <is>
          <t>Wed</t>
        </is>
      </c>
      <c r="L1926" s="93" t="n"/>
      <c r="M1926" s="93" t="n"/>
      <c r="N1926" s="94" t="n"/>
      <c r="O1926" s="92" t="inlineStr">
        <is>
          <t>Thu</t>
        </is>
      </c>
      <c r="P1926" s="93" t="n"/>
      <c r="Q1926" s="93" t="n"/>
      <c r="R1926" s="94" t="n"/>
      <c r="S1926" s="92" t="inlineStr">
        <is>
          <t>Fri</t>
        </is>
      </c>
      <c r="T1926" s="93" t="n"/>
      <c r="U1926" s="93" t="n"/>
      <c r="V1926" s="94" t="n"/>
      <c r="W1926" s="95" t="inlineStr">
        <is>
          <t>Sat</t>
        </is>
      </c>
      <c r="X1926" s="96" t="n"/>
      <c r="Y1926" s="95" t="inlineStr">
        <is>
          <t>Sun</t>
        </is>
      </c>
      <c r="Z1926" s="96" t="n"/>
      <c r="AB1926" s="97" t="inlineStr">
        <is>
          <t>Days rostered</t>
        </is>
      </c>
      <c r="AC1926" s="97" t="inlineStr">
        <is>
          <t>Conflicts</t>
        </is>
      </c>
    </row>
    <row r="1927" ht="15" customHeight="1">
      <c r="A1927" t="n">
        <v>39</v>
      </c>
      <c r="B1927" s="35">
        <f>IF(Setup!$B$6="","",Setup!$B$6)</f>
        <v/>
      </c>
      <c r="C1927" s="98" t="n"/>
      <c r="D1927" s="99" t="n"/>
      <c r="E1927" s="99" t="n"/>
      <c r="F1927" s="100" t="n"/>
      <c r="G1927" s="98" t="n"/>
      <c r="H1927" s="99" t="n"/>
      <c r="I1927" s="99" t="n"/>
      <c r="J1927" s="100" t="n"/>
      <c r="K1927" s="98" t="n"/>
      <c r="L1927" s="99" t="n"/>
      <c r="M1927" s="99" t="n"/>
      <c r="N1927" s="100" t="n"/>
      <c r="O1927" s="98" t="n"/>
      <c r="P1927" s="99" t="n"/>
      <c r="Q1927" s="99" t="n"/>
      <c r="R1927" s="100" t="n"/>
      <c r="S1927" s="98" t="n"/>
      <c r="T1927" s="99" t="n"/>
      <c r="U1927" s="99" t="n"/>
      <c r="V1927" s="100" t="n"/>
      <c r="W1927" s="98" t="n"/>
      <c r="X1927" s="100" t="n"/>
      <c r="Y1927" s="98" t="n"/>
      <c r="Z1927" s="100" t="n"/>
      <c r="AB1927" s="101">
        <f>IF($B1927="","",(COUNTIF(C1908:E1925,$B1927)+COUNTIF(C1908:E1925,$B1927&amp;" ~*")&gt;0)+(COUNTIF(G1908:I1925,$B1927)+COUNTIF(G1908:I1925,$B1927&amp;" ~*")&gt;0)+(COUNTIF(K1908:M1925,$B1927)+COUNTIF(K1908:M1925,$B1927&amp;" ~*")&gt;0)+(COUNTIF(O1908:Q1925,$B1927)+COUNTIF(O1908:Q1925,$B1927&amp;" ~*")&gt;0)+(COUNTIF(S1908:U1925,$B1927)+COUNTIF(S1908:U1925,$B1927&amp;" ~*")&gt;0)+(COUNTIF(W1908:W1925,$B1927)+COUNTIF(W1908:W1925,$B1927&amp;" ~*")&gt;0)+(COUNTIF(Y1908:Y1925,$B1927)+COUNTIF(Y1908:Y1925,$B1927&amp;" ~*")&gt;0))</f>
        <v/>
      </c>
      <c r="AC1927" s="36">
        <f>IF($B1927="","",(IFERROR(INDEX(Setup!$G$33:$G$40,MATCH(C1927,Setup!$B$33:$B$40,0)),0)=1)*(COUNTIF(C1908:E1925,$B1927)+COUNTIF(C1908:E1925,$B1927&amp;" ~*")&gt;0)+(IFERROR(INDEX(Setup!$G$33:$G$40,MATCH(G1927,Setup!$B$33:$B$40,0)),0)=1)*(COUNTIF(G1908:I1925,$B1927)+COUNTIF(G1908:I1925,$B1927&amp;" ~*")&gt;0)+(IFERROR(INDEX(Setup!$G$33:$G$40,MATCH(K1927,Setup!$B$33:$B$40,0)),0)=1)*(COUNTIF(K1908:M1925,$B1927)+COUNTIF(K1908:M1925,$B1927&amp;" ~*")&gt;0)+(IFERROR(INDEX(Setup!$G$33:$G$40,MATCH(O1927,Setup!$B$33:$B$40,0)),0)=1)*(COUNTIF(O1908:Q1925,$B1927)+COUNTIF(O1908:Q1925,$B1927&amp;" ~*")&gt;0)+(IFERROR(INDEX(Setup!$G$33:$G$40,MATCH(S1927,Setup!$B$33:$B$40,0)),0)=1)*(COUNTIF(S1908:U1925,$B1927)+COUNTIF(S1908:U1925,$B1927&amp;" ~*")&gt;0)+(IFERROR(INDEX(Setup!$G$33:$G$40,MATCH(W1927,Setup!$B$33:$B$40,0)),0)=1)*(COUNTIF(W1908:W1925,$B1927)+COUNTIF(W1908:W1925,$B1927&amp;" ~*")&gt;0)+(IFERROR(INDEX(Setup!$G$33:$G$40,MATCH(Y1927,Setup!$B$33:$B$40,0)),0)=1)*(COUNTIF(Y1908:Y1925,$B1927)+COUNTIF(Y1908:Y1925,$B1927&amp;" ~*")&gt;0))</f>
        <v/>
      </c>
    </row>
    <row r="1928" ht="15" customHeight="1">
      <c r="A1928" t="n">
        <v>39</v>
      </c>
      <c r="B1928" s="37">
        <f>IF(Setup!$B$7="","",Setup!$B$7)</f>
        <v/>
      </c>
      <c r="C1928" s="102" t="n"/>
      <c r="D1928" s="103" t="n"/>
      <c r="E1928" s="103" t="n"/>
      <c r="F1928" s="104" t="n"/>
      <c r="G1928" s="102" t="n"/>
      <c r="H1928" s="103" t="n"/>
      <c r="I1928" s="103" t="n"/>
      <c r="J1928" s="104" t="n"/>
      <c r="K1928" s="102" t="n"/>
      <c r="L1928" s="103" t="n"/>
      <c r="M1928" s="103" t="n"/>
      <c r="N1928" s="104" t="n"/>
      <c r="O1928" s="102" t="n"/>
      <c r="P1928" s="103" t="n"/>
      <c r="Q1928" s="103" t="n"/>
      <c r="R1928" s="104" t="n"/>
      <c r="S1928" s="102" t="n"/>
      <c r="T1928" s="103" t="n"/>
      <c r="U1928" s="103" t="n"/>
      <c r="V1928" s="104" t="n"/>
      <c r="W1928" s="102" t="n"/>
      <c r="X1928" s="104" t="n"/>
      <c r="Y1928" s="102" t="n"/>
      <c r="Z1928" s="104" t="n"/>
      <c r="AB1928" s="105">
        <f>IF($B1928="","",(COUNTIF(C1908:E1925,$B1928)+COUNTIF(C1908:E1925,$B1928&amp;" ~*")&gt;0)+(COUNTIF(G1908:I1925,$B1928)+COUNTIF(G1908:I1925,$B1928&amp;" ~*")&gt;0)+(COUNTIF(K1908:M1925,$B1928)+COUNTIF(K1908:M1925,$B1928&amp;" ~*")&gt;0)+(COUNTIF(O1908:Q1925,$B1928)+COUNTIF(O1908:Q1925,$B1928&amp;" ~*")&gt;0)+(COUNTIF(S1908:U1925,$B1928)+COUNTIF(S1908:U1925,$B1928&amp;" ~*")&gt;0)+(COUNTIF(W1908:W1925,$B1928)+COUNTIF(W1908:W1925,$B1928&amp;" ~*")&gt;0)+(COUNTIF(Y1908:Y1925,$B1928)+COUNTIF(Y1908:Y1925,$B1928&amp;" ~*")&gt;0))</f>
        <v/>
      </c>
      <c r="AC1928" s="38">
        <f>IF($B1928="","",(IFERROR(INDEX(Setup!$G$33:$G$40,MATCH(C1928,Setup!$B$33:$B$40,0)),0)=1)*(COUNTIF(C1908:E1925,$B1928)+COUNTIF(C1908:E1925,$B1928&amp;" ~*")&gt;0)+(IFERROR(INDEX(Setup!$G$33:$G$40,MATCH(G1928,Setup!$B$33:$B$40,0)),0)=1)*(COUNTIF(G1908:I1925,$B1928)+COUNTIF(G1908:I1925,$B1928&amp;" ~*")&gt;0)+(IFERROR(INDEX(Setup!$G$33:$G$40,MATCH(K1928,Setup!$B$33:$B$40,0)),0)=1)*(COUNTIF(K1908:M1925,$B1928)+COUNTIF(K1908:M1925,$B1928&amp;" ~*")&gt;0)+(IFERROR(INDEX(Setup!$G$33:$G$40,MATCH(O1928,Setup!$B$33:$B$40,0)),0)=1)*(COUNTIF(O1908:Q1925,$B1928)+COUNTIF(O1908:Q1925,$B1928&amp;" ~*")&gt;0)+(IFERROR(INDEX(Setup!$G$33:$G$40,MATCH(S1928,Setup!$B$33:$B$40,0)),0)=1)*(COUNTIF(S1908:U1925,$B1928)+COUNTIF(S1908:U1925,$B1928&amp;" ~*")&gt;0)+(IFERROR(INDEX(Setup!$G$33:$G$40,MATCH(W1928,Setup!$B$33:$B$40,0)),0)=1)*(COUNTIF(W1908:W1925,$B1928)+COUNTIF(W1908:W1925,$B1928&amp;" ~*")&gt;0)+(IFERROR(INDEX(Setup!$G$33:$G$40,MATCH(Y1928,Setup!$B$33:$B$40,0)),0)=1)*(COUNTIF(Y1908:Y1925,$B1928)+COUNTIF(Y1908:Y1925,$B1928&amp;" ~*")&gt;0))</f>
        <v/>
      </c>
    </row>
    <row r="1929" ht="15" customHeight="1">
      <c r="A1929" t="n">
        <v>39</v>
      </c>
      <c r="B1929" s="35">
        <f>IF(Setup!$B$8="","",Setup!$B$8)</f>
        <v/>
      </c>
      <c r="C1929" s="98" t="n"/>
      <c r="D1929" s="99" t="n"/>
      <c r="E1929" s="99" t="n"/>
      <c r="F1929" s="100" t="n"/>
      <c r="G1929" s="98" t="n"/>
      <c r="H1929" s="99" t="n"/>
      <c r="I1929" s="99" t="n"/>
      <c r="J1929" s="100" t="n"/>
      <c r="K1929" s="98" t="n"/>
      <c r="L1929" s="99" t="n"/>
      <c r="M1929" s="99" t="n"/>
      <c r="N1929" s="100" t="n"/>
      <c r="O1929" s="98" t="n"/>
      <c r="P1929" s="99" t="n"/>
      <c r="Q1929" s="99" t="n"/>
      <c r="R1929" s="100" t="n"/>
      <c r="S1929" s="98" t="n"/>
      <c r="T1929" s="99" t="n"/>
      <c r="U1929" s="99" t="n"/>
      <c r="V1929" s="100" t="n"/>
      <c r="W1929" s="98" t="n"/>
      <c r="X1929" s="100" t="n"/>
      <c r="Y1929" s="98" t="n"/>
      <c r="Z1929" s="100" t="n"/>
      <c r="AB1929" s="101">
        <f>IF($B1929="","",(COUNTIF(C1908:E1925,$B1929)+COUNTIF(C1908:E1925,$B1929&amp;" ~*")&gt;0)+(COUNTIF(G1908:I1925,$B1929)+COUNTIF(G1908:I1925,$B1929&amp;" ~*")&gt;0)+(COUNTIF(K1908:M1925,$B1929)+COUNTIF(K1908:M1925,$B1929&amp;" ~*")&gt;0)+(COUNTIF(O1908:Q1925,$B1929)+COUNTIF(O1908:Q1925,$B1929&amp;" ~*")&gt;0)+(COUNTIF(S1908:U1925,$B1929)+COUNTIF(S1908:U1925,$B1929&amp;" ~*")&gt;0)+(COUNTIF(W1908:W1925,$B1929)+COUNTIF(W1908:W1925,$B1929&amp;" ~*")&gt;0)+(COUNTIF(Y1908:Y1925,$B1929)+COUNTIF(Y1908:Y1925,$B1929&amp;" ~*")&gt;0))</f>
        <v/>
      </c>
      <c r="AC1929" s="36">
        <f>IF($B1929="","",(IFERROR(INDEX(Setup!$G$33:$G$40,MATCH(C1929,Setup!$B$33:$B$40,0)),0)=1)*(COUNTIF(C1908:E1925,$B1929)+COUNTIF(C1908:E1925,$B1929&amp;" ~*")&gt;0)+(IFERROR(INDEX(Setup!$G$33:$G$40,MATCH(G1929,Setup!$B$33:$B$40,0)),0)=1)*(COUNTIF(G1908:I1925,$B1929)+COUNTIF(G1908:I1925,$B1929&amp;" ~*")&gt;0)+(IFERROR(INDEX(Setup!$G$33:$G$40,MATCH(K1929,Setup!$B$33:$B$40,0)),0)=1)*(COUNTIF(K1908:M1925,$B1929)+COUNTIF(K1908:M1925,$B1929&amp;" ~*")&gt;0)+(IFERROR(INDEX(Setup!$G$33:$G$40,MATCH(O1929,Setup!$B$33:$B$40,0)),0)=1)*(COUNTIF(O1908:Q1925,$B1929)+COUNTIF(O1908:Q1925,$B1929&amp;" ~*")&gt;0)+(IFERROR(INDEX(Setup!$G$33:$G$40,MATCH(S1929,Setup!$B$33:$B$40,0)),0)=1)*(COUNTIF(S1908:U1925,$B1929)+COUNTIF(S1908:U1925,$B1929&amp;" ~*")&gt;0)+(IFERROR(INDEX(Setup!$G$33:$G$40,MATCH(W1929,Setup!$B$33:$B$40,0)),0)=1)*(COUNTIF(W1908:W1925,$B1929)+COUNTIF(W1908:W1925,$B1929&amp;" ~*")&gt;0)+(IFERROR(INDEX(Setup!$G$33:$G$40,MATCH(Y1929,Setup!$B$33:$B$40,0)),0)=1)*(COUNTIF(Y1908:Y1925,$B1929)+COUNTIF(Y1908:Y1925,$B1929&amp;" ~*")&gt;0))</f>
        <v/>
      </c>
    </row>
    <row r="1930" ht="15" customHeight="1">
      <c r="A1930" t="n">
        <v>39</v>
      </c>
      <c r="B1930" s="37">
        <f>IF(Setup!$B$9="","",Setup!$B$9)</f>
        <v/>
      </c>
      <c r="C1930" s="102" t="n"/>
      <c r="D1930" s="103" t="n"/>
      <c r="E1930" s="103" t="n"/>
      <c r="F1930" s="104" t="n"/>
      <c r="G1930" s="102" t="n"/>
      <c r="H1930" s="103" t="n"/>
      <c r="I1930" s="103" t="n"/>
      <c r="J1930" s="104" t="n"/>
      <c r="K1930" s="102" t="n"/>
      <c r="L1930" s="103" t="n"/>
      <c r="M1930" s="103" t="n"/>
      <c r="N1930" s="104" t="n"/>
      <c r="O1930" s="102" t="n"/>
      <c r="P1930" s="103" t="n"/>
      <c r="Q1930" s="103" t="n"/>
      <c r="R1930" s="104" t="n"/>
      <c r="S1930" s="102" t="n"/>
      <c r="T1930" s="103" t="n"/>
      <c r="U1930" s="103" t="n"/>
      <c r="V1930" s="104" t="n"/>
      <c r="W1930" s="102" t="n"/>
      <c r="X1930" s="104" t="n"/>
      <c r="Y1930" s="102" t="n"/>
      <c r="Z1930" s="104" t="n"/>
      <c r="AB1930" s="105">
        <f>IF($B1930="","",(COUNTIF(C1908:E1925,$B1930)+COUNTIF(C1908:E1925,$B1930&amp;" ~*")&gt;0)+(COUNTIF(G1908:I1925,$B1930)+COUNTIF(G1908:I1925,$B1930&amp;" ~*")&gt;0)+(COUNTIF(K1908:M1925,$B1930)+COUNTIF(K1908:M1925,$B1930&amp;" ~*")&gt;0)+(COUNTIF(O1908:Q1925,$B1930)+COUNTIF(O1908:Q1925,$B1930&amp;" ~*")&gt;0)+(COUNTIF(S1908:U1925,$B1930)+COUNTIF(S1908:U1925,$B1930&amp;" ~*")&gt;0)+(COUNTIF(W1908:W1925,$B1930)+COUNTIF(W1908:W1925,$B1930&amp;" ~*")&gt;0)+(COUNTIF(Y1908:Y1925,$B1930)+COUNTIF(Y1908:Y1925,$B1930&amp;" ~*")&gt;0))</f>
        <v/>
      </c>
      <c r="AC1930" s="38">
        <f>IF($B1930="","",(IFERROR(INDEX(Setup!$G$33:$G$40,MATCH(C1930,Setup!$B$33:$B$40,0)),0)=1)*(COUNTIF(C1908:E1925,$B1930)+COUNTIF(C1908:E1925,$B1930&amp;" ~*")&gt;0)+(IFERROR(INDEX(Setup!$G$33:$G$40,MATCH(G1930,Setup!$B$33:$B$40,0)),0)=1)*(COUNTIF(G1908:I1925,$B1930)+COUNTIF(G1908:I1925,$B1930&amp;" ~*")&gt;0)+(IFERROR(INDEX(Setup!$G$33:$G$40,MATCH(K1930,Setup!$B$33:$B$40,0)),0)=1)*(COUNTIF(K1908:M1925,$B1930)+COUNTIF(K1908:M1925,$B1930&amp;" ~*")&gt;0)+(IFERROR(INDEX(Setup!$G$33:$G$40,MATCH(O1930,Setup!$B$33:$B$40,0)),0)=1)*(COUNTIF(O1908:Q1925,$B1930)+COUNTIF(O1908:Q1925,$B1930&amp;" ~*")&gt;0)+(IFERROR(INDEX(Setup!$G$33:$G$40,MATCH(S1930,Setup!$B$33:$B$40,0)),0)=1)*(COUNTIF(S1908:U1925,$B1930)+COUNTIF(S1908:U1925,$B1930&amp;" ~*")&gt;0)+(IFERROR(INDEX(Setup!$G$33:$G$40,MATCH(W1930,Setup!$B$33:$B$40,0)),0)=1)*(COUNTIF(W1908:W1925,$B1930)+COUNTIF(W1908:W1925,$B1930&amp;" ~*")&gt;0)+(IFERROR(INDEX(Setup!$G$33:$G$40,MATCH(Y1930,Setup!$B$33:$B$40,0)),0)=1)*(COUNTIF(Y1908:Y1925,$B1930)+COUNTIF(Y1908:Y1925,$B1930&amp;" ~*")&gt;0))</f>
        <v/>
      </c>
    </row>
    <row r="1931" ht="15" customHeight="1">
      <c r="A1931" t="n">
        <v>39</v>
      </c>
      <c r="B1931" s="35">
        <f>IF(Setup!$B$10="","",Setup!$B$10)</f>
        <v/>
      </c>
      <c r="C1931" s="98" t="n"/>
      <c r="D1931" s="99" t="n"/>
      <c r="E1931" s="99" t="n"/>
      <c r="F1931" s="100" t="n"/>
      <c r="G1931" s="98" t="n"/>
      <c r="H1931" s="99" t="n"/>
      <c r="I1931" s="99" t="n"/>
      <c r="J1931" s="100" t="n"/>
      <c r="K1931" s="98" t="n"/>
      <c r="L1931" s="99" t="n"/>
      <c r="M1931" s="99" t="n"/>
      <c r="N1931" s="100" t="n"/>
      <c r="O1931" s="98" t="n"/>
      <c r="P1931" s="99" t="n"/>
      <c r="Q1931" s="99" t="n"/>
      <c r="R1931" s="100" t="n"/>
      <c r="S1931" s="98" t="n"/>
      <c r="T1931" s="99" t="n"/>
      <c r="U1931" s="99" t="n"/>
      <c r="V1931" s="100" t="n"/>
      <c r="W1931" s="98" t="n"/>
      <c r="X1931" s="100" t="n"/>
      <c r="Y1931" s="98" t="n"/>
      <c r="Z1931" s="100" t="n"/>
      <c r="AB1931" s="101">
        <f>IF($B1931="","",(COUNTIF(C1908:E1925,$B1931)+COUNTIF(C1908:E1925,$B1931&amp;" ~*")&gt;0)+(COUNTIF(G1908:I1925,$B1931)+COUNTIF(G1908:I1925,$B1931&amp;" ~*")&gt;0)+(COUNTIF(K1908:M1925,$B1931)+COUNTIF(K1908:M1925,$B1931&amp;" ~*")&gt;0)+(COUNTIF(O1908:Q1925,$B1931)+COUNTIF(O1908:Q1925,$B1931&amp;" ~*")&gt;0)+(COUNTIF(S1908:U1925,$B1931)+COUNTIF(S1908:U1925,$B1931&amp;" ~*")&gt;0)+(COUNTIF(W1908:W1925,$B1931)+COUNTIF(W1908:W1925,$B1931&amp;" ~*")&gt;0)+(COUNTIF(Y1908:Y1925,$B1931)+COUNTIF(Y1908:Y1925,$B1931&amp;" ~*")&gt;0))</f>
        <v/>
      </c>
      <c r="AC1931" s="36">
        <f>IF($B1931="","",(IFERROR(INDEX(Setup!$G$33:$G$40,MATCH(C1931,Setup!$B$33:$B$40,0)),0)=1)*(COUNTIF(C1908:E1925,$B1931)+COUNTIF(C1908:E1925,$B1931&amp;" ~*")&gt;0)+(IFERROR(INDEX(Setup!$G$33:$G$40,MATCH(G1931,Setup!$B$33:$B$40,0)),0)=1)*(COUNTIF(G1908:I1925,$B1931)+COUNTIF(G1908:I1925,$B1931&amp;" ~*")&gt;0)+(IFERROR(INDEX(Setup!$G$33:$G$40,MATCH(K1931,Setup!$B$33:$B$40,0)),0)=1)*(COUNTIF(K1908:M1925,$B1931)+COUNTIF(K1908:M1925,$B1931&amp;" ~*")&gt;0)+(IFERROR(INDEX(Setup!$G$33:$G$40,MATCH(O1931,Setup!$B$33:$B$40,0)),0)=1)*(COUNTIF(O1908:Q1925,$B1931)+COUNTIF(O1908:Q1925,$B1931&amp;" ~*")&gt;0)+(IFERROR(INDEX(Setup!$G$33:$G$40,MATCH(S1931,Setup!$B$33:$B$40,0)),0)=1)*(COUNTIF(S1908:U1925,$B1931)+COUNTIF(S1908:U1925,$B1931&amp;" ~*")&gt;0)+(IFERROR(INDEX(Setup!$G$33:$G$40,MATCH(W1931,Setup!$B$33:$B$40,0)),0)=1)*(COUNTIF(W1908:W1925,$B1931)+COUNTIF(W1908:W1925,$B1931&amp;" ~*")&gt;0)+(IFERROR(INDEX(Setup!$G$33:$G$40,MATCH(Y1931,Setup!$B$33:$B$40,0)),0)=1)*(COUNTIF(Y1908:Y1925,$B1931)+COUNTIF(Y1908:Y1925,$B1931&amp;" ~*")&gt;0))</f>
        <v/>
      </c>
    </row>
    <row r="1932" ht="15" customHeight="1">
      <c r="A1932" t="n">
        <v>39</v>
      </c>
      <c r="B1932" s="37">
        <f>IF(Setup!$B$11="","",Setup!$B$11)</f>
        <v/>
      </c>
      <c r="C1932" s="102" t="n"/>
      <c r="D1932" s="103" t="n"/>
      <c r="E1932" s="103" t="n"/>
      <c r="F1932" s="104" t="n"/>
      <c r="G1932" s="102" t="n"/>
      <c r="H1932" s="103" t="n"/>
      <c r="I1932" s="103" t="n"/>
      <c r="J1932" s="104" t="n"/>
      <c r="K1932" s="102" t="n"/>
      <c r="L1932" s="103" t="n"/>
      <c r="M1932" s="103" t="n"/>
      <c r="N1932" s="104" t="n"/>
      <c r="O1932" s="102" t="n"/>
      <c r="P1932" s="103" t="n"/>
      <c r="Q1932" s="103" t="n"/>
      <c r="R1932" s="104" t="n"/>
      <c r="S1932" s="102" t="n"/>
      <c r="T1932" s="103" t="n"/>
      <c r="U1932" s="103" t="n"/>
      <c r="V1932" s="104" t="n"/>
      <c r="W1932" s="102" t="n"/>
      <c r="X1932" s="104" t="n"/>
      <c r="Y1932" s="102" t="n"/>
      <c r="Z1932" s="104" t="n"/>
      <c r="AB1932" s="105">
        <f>IF($B1932="","",(COUNTIF(C1908:E1925,$B1932)+COUNTIF(C1908:E1925,$B1932&amp;" ~*")&gt;0)+(COUNTIF(G1908:I1925,$B1932)+COUNTIF(G1908:I1925,$B1932&amp;" ~*")&gt;0)+(COUNTIF(K1908:M1925,$B1932)+COUNTIF(K1908:M1925,$B1932&amp;" ~*")&gt;0)+(COUNTIF(O1908:Q1925,$B1932)+COUNTIF(O1908:Q1925,$B1932&amp;" ~*")&gt;0)+(COUNTIF(S1908:U1925,$B1932)+COUNTIF(S1908:U1925,$B1932&amp;" ~*")&gt;0)+(COUNTIF(W1908:W1925,$B1932)+COUNTIF(W1908:W1925,$B1932&amp;" ~*")&gt;0)+(COUNTIF(Y1908:Y1925,$B1932)+COUNTIF(Y1908:Y1925,$B1932&amp;" ~*")&gt;0))</f>
        <v/>
      </c>
      <c r="AC1932" s="38">
        <f>IF($B1932="","",(IFERROR(INDEX(Setup!$G$33:$G$40,MATCH(C1932,Setup!$B$33:$B$40,0)),0)=1)*(COUNTIF(C1908:E1925,$B1932)+COUNTIF(C1908:E1925,$B1932&amp;" ~*")&gt;0)+(IFERROR(INDEX(Setup!$G$33:$G$40,MATCH(G1932,Setup!$B$33:$B$40,0)),0)=1)*(COUNTIF(G1908:I1925,$B1932)+COUNTIF(G1908:I1925,$B1932&amp;" ~*")&gt;0)+(IFERROR(INDEX(Setup!$G$33:$G$40,MATCH(K1932,Setup!$B$33:$B$40,0)),0)=1)*(COUNTIF(K1908:M1925,$B1932)+COUNTIF(K1908:M1925,$B1932&amp;" ~*")&gt;0)+(IFERROR(INDEX(Setup!$G$33:$G$40,MATCH(O1932,Setup!$B$33:$B$40,0)),0)=1)*(COUNTIF(O1908:Q1925,$B1932)+COUNTIF(O1908:Q1925,$B1932&amp;" ~*")&gt;0)+(IFERROR(INDEX(Setup!$G$33:$G$40,MATCH(S1932,Setup!$B$33:$B$40,0)),0)=1)*(COUNTIF(S1908:U1925,$B1932)+COUNTIF(S1908:U1925,$B1932&amp;" ~*")&gt;0)+(IFERROR(INDEX(Setup!$G$33:$G$40,MATCH(W1932,Setup!$B$33:$B$40,0)),0)=1)*(COUNTIF(W1908:W1925,$B1932)+COUNTIF(W1908:W1925,$B1932&amp;" ~*")&gt;0)+(IFERROR(INDEX(Setup!$G$33:$G$40,MATCH(Y1932,Setup!$B$33:$B$40,0)),0)=1)*(COUNTIF(Y1908:Y1925,$B1932)+COUNTIF(Y1908:Y1925,$B1932&amp;" ~*")&gt;0))</f>
        <v/>
      </c>
    </row>
    <row r="1933" ht="15" customHeight="1">
      <c r="A1933" t="n">
        <v>39</v>
      </c>
      <c r="B1933" s="35">
        <f>IF(Setup!$B$12="","",Setup!$B$12)</f>
        <v/>
      </c>
      <c r="C1933" s="98" t="n"/>
      <c r="D1933" s="99" t="n"/>
      <c r="E1933" s="99" t="n"/>
      <c r="F1933" s="100" t="n"/>
      <c r="G1933" s="98" t="n"/>
      <c r="H1933" s="99" t="n"/>
      <c r="I1933" s="99" t="n"/>
      <c r="J1933" s="100" t="n"/>
      <c r="K1933" s="98" t="n"/>
      <c r="L1933" s="99" t="n"/>
      <c r="M1933" s="99" t="n"/>
      <c r="N1933" s="100" t="n"/>
      <c r="O1933" s="98" t="n"/>
      <c r="P1933" s="99" t="n"/>
      <c r="Q1933" s="99" t="n"/>
      <c r="R1933" s="100" t="n"/>
      <c r="S1933" s="98" t="n"/>
      <c r="T1933" s="99" t="n"/>
      <c r="U1933" s="99" t="n"/>
      <c r="V1933" s="100" t="n"/>
      <c r="W1933" s="98" t="n"/>
      <c r="X1933" s="100" t="n"/>
      <c r="Y1933" s="98" t="n"/>
      <c r="Z1933" s="100" t="n"/>
      <c r="AB1933" s="101">
        <f>IF($B1933="","",(COUNTIF(C1908:E1925,$B1933)+COUNTIF(C1908:E1925,$B1933&amp;" ~*")&gt;0)+(COUNTIF(G1908:I1925,$B1933)+COUNTIF(G1908:I1925,$B1933&amp;" ~*")&gt;0)+(COUNTIF(K1908:M1925,$B1933)+COUNTIF(K1908:M1925,$B1933&amp;" ~*")&gt;0)+(COUNTIF(O1908:Q1925,$B1933)+COUNTIF(O1908:Q1925,$B1933&amp;" ~*")&gt;0)+(COUNTIF(S1908:U1925,$B1933)+COUNTIF(S1908:U1925,$B1933&amp;" ~*")&gt;0)+(COUNTIF(W1908:W1925,$B1933)+COUNTIF(W1908:W1925,$B1933&amp;" ~*")&gt;0)+(COUNTIF(Y1908:Y1925,$B1933)+COUNTIF(Y1908:Y1925,$B1933&amp;" ~*")&gt;0))</f>
        <v/>
      </c>
      <c r="AC1933" s="36">
        <f>IF($B1933="","",(IFERROR(INDEX(Setup!$G$33:$G$40,MATCH(C1933,Setup!$B$33:$B$40,0)),0)=1)*(COUNTIF(C1908:E1925,$B1933)+COUNTIF(C1908:E1925,$B1933&amp;" ~*")&gt;0)+(IFERROR(INDEX(Setup!$G$33:$G$40,MATCH(G1933,Setup!$B$33:$B$40,0)),0)=1)*(COUNTIF(G1908:I1925,$B1933)+COUNTIF(G1908:I1925,$B1933&amp;" ~*")&gt;0)+(IFERROR(INDEX(Setup!$G$33:$G$40,MATCH(K1933,Setup!$B$33:$B$40,0)),0)=1)*(COUNTIF(K1908:M1925,$B1933)+COUNTIF(K1908:M1925,$B1933&amp;" ~*")&gt;0)+(IFERROR(INDEX(Setup!$G$33:$G$40,MATCH(O1933,Setup!$B$33:$B$40,0)),0)=1)*(COUNTIF(O1908:Q1925,$B1933)+COUNTIF(O1908:Q1925,$B1933&amp;" ~*")&gt;0)+(IFERROR(INDEX(Setup!$G$33:$G$40,MATCH(S1933,Setup!$B$33:$B$40,0)),0)=1)*(COUNTIF(S1908:U1925,$B1933)+COUNTIF(S1908:U1925,$B1933&amp;" ~*")&gt;0)+(IFERROR(INDEX(Setup!$G$33:$G$40,MATCH(W1933,Setup!$B$33:$B$40,0)),0)=1)*(COUNTIF(W1908:W1925,$B1933)+COUNTIF(W1908:W1925,$B1933&amp;" ~*")&gt;0)+(IFERROR(INDEX(Setup!$G$33:$G$40,MATCH(Y1933,Setup!$B$33:$B$40,0)),0)=1)*(COUNTIF(Y1908:Y1925,$B1933)+COUNTIF(Y1908:Y1925,$B1933&amp;" ~*")&gt;0))</f>
        <v/>
      </c>
    </row>
    <row r="1934" ht="15" customHeight="1">
      <c r="A1934" t="n">
        <v>39</v>
      </c>
      <c r="B1934" s="37">
        <f>IF(Setup!$B$13="","",Setup!$B$13)</f>
        <v/>
      </c>
      <c r="C1934" s="102" t="n"/>
      <c r="D1934" s="103" t="n"/>
      <c r="E1934" s="103" t="n"/>
      <c r="F1934" s="104" t="n"/>
      <c r="G1934" s="102" t="n"/>
      <c r="H1934" s="103" t="n"/>
      <c r="I1934" s="103" t="n"/>
      <c r="J1934" s="104" t="n"/>
      <c r="K1934" s="102" t="n"/>
      <c r="L1934" s="103" t="n"/>
      <c r="M1934" s="103" t="n"/>
      <c r="N1934" s="104" t="n"/>
      <c r="O1934" s="102" t="n"/>
      <c r="P1934" s="103" t="n"/>
      <c r="Q1934" s="103" t="n"/>
      <c r="R1934" s="104" t="n"/>
      <c r="S1934" s="102" t="n"/>
      <c r="T1934" s="103" t="n"/>
      <c r="U1934" s="103" t="n"/>
      <c r="V1934" s="104" t="n"/>
      <c r="W1934" s="102" t="n"/>
      <c r="X1934" s="104" t="n"/>
      <c r="Y1934" s="102" t="n"/>
      <c r="Z1934" s="104" t="n"/>
      <c r="AB1934" s="105">
        <f>IF($B1934="","",(COUNTIF(C1908:E1925,$B1934)+COUNTIF(C1908:E1925,$B1934&amp;" ~*")&gt;0)+(COUNTIF(G1908:I1925,$B1934)+COUNTIF(G1908:I1925,$B1934&amp;" ~*")&gt;0)+(COUNTIF(K1908:M1925,$B1934)+COUNTIF(K1908:M1925,$B1934&amp;" ~*")&gt;0)+(COUNTIF(O1908:Q1925,$B1934)+COUNTIF(O1908:Q1925,$B1934&amp;" ~*")&gt;0)+(COUNTIF(S1908:U1925,$B1934)+COUNTIF(S1908:U1925,$B1934&amp;" ~*")&gt;0)+(COUNTIF(W1908:W1925,$B1934)+COUNTIF(W1908:W1925,$B1934&amp;" ~*")&gt;0)+(COUNTIF(Y1908:Y1925,$B1934)+COUNTIF(Y1908:Y1925,$B1934&amp;" ~*")&gt;0))</f>
        <v/>
      </c>
      <c r="AC1934" s="38">
        <f>IF($B1934="","",(IFERROR(INDEX(Setup!$G$33:$G$40,MATCH(C1934,Setup!$B$33:$B$40,0)),0)=1)*(COUNTIF(C1908:E1925,$B1934)+COUNTIF(C1908:E1925,$B1934&amp;" ~*")&gt;0)+(IFERROR(INDEX(Setup!$G$33:$G$40,MATCH(G1934,Setup!$B$33:$B$40,0)),0)=1)*(COUNTIF(G1908:I1925,$B1934)+COUNTIF(G1908:I1925,$B1934&amp;" ~*")&gt;0)+(IFERROR(INDEX(Setup!$G$33:$G$40,MATCH(K1934,Setup!$B$33:$B$40,0)),0)=1)*(COUNTIF(K1908:M1925,$B1934)+COUNTIF(K1908:M1925,$B1934&amp;" ~*")&gt;0)+(IFERROR(INDEX(Setup!$G$33:$G$40,MATCH(O1934,Setup!$B$33:$B$40,0)),0)=1)*(COUNTIF(O1908:Q1925,$B1934)+COUNTIF(O1908:Q1925,$B1934&amp;" ~*")&gt;0)+(IFERROR(INDEX(Setup!$G$33:$G$40,MATCH(S1934,Setup!$B$33:$B$40,0)),0)=1)*(COUNTIF(S1908:U1925,$B1934)+COUNTIF(S1908:U1925,$B1934&amp;" ~*")&gt;0)+(IFERROR(INDEX(Setup!$G$33:$G$40,MATCH(W1934,Setup!$B$33:$B$40,0)),0)=1)*(COUNTIF(W1908:W1925,$B1934)+COUNTIF(W1908:W1925,$B1934&amp;" ~*")&gt;0)+(IFERROR(INDEX(Setup!$G$33:$G$40,MATCH(Y1934,Setup!$B$33:$B$40,0)),0)=1)*(COUNTIF(Y1908:Y1925,$B1934)+COUNTIF(Y1908:Y1925,$B1934&amp;" ~*")&gt;0))</f>
        <v/>
      </c>
    </row>
    <row r="1935" ht="15" customHeight="1">
      <c r="A1935" t="n">
        <v>39</v>
      </c>
      <c r="B1935" s="35">
        <f>IF(Setup!$B$14="","",Setup!$B$14)</f>
        <v/>
      </c>
      <c r="C1935" s="98" t="n"/>
      <c r="D1935" s="99" t="n"/>
      <c r="E1935" s="99" t="n"/>
      <c r="F1935" s="100" t="n"/>
      <c r="G1935" s="98" t="n"/>
      <c r="H1935" s="99" t="n"/>
      <c r="I1935" s="99" t="n"/>
      <c r="J1935" s="100" t="n"/>
      <c r="K1935" s="98" t="n"/>
      <c r="L1935" s="99" t="n"/>
      <c r="M1935" s="99" t="n"/>
      <c r="N1935" s="100" t="n"/>
      <c r="O1935" s="98" t="n"/>
      <c r="P1935" s="99" t="n"/>
      <c r="Q1935" s="99" t="n"/>
      <c r="R1935" s="100" t="n"/>
      <c r="S1935" s="98" t="n"/>
      <c r="T1935" s="99" t="n"/>
      <c r="U1935" s="99" t="n"/>
      <c r="V1935" s="100" t="n"/>
      <c r="W1935" s="98" t="n"/>
      <c r="X1935" s="100" t="n"/>
      <c r="Y1935" s="98" t="n"/>
      <c r="Z1935" s="100" t="n"/>
      <c r="AB1935" s="101">
        <f>IF($B1935="","",(COUNTIF(C1908:E1925,$B1935)+COUNTIF(C1908:E1925,$B1935&amp;" ~*")&gt;0)+(COUNTIF(G1908:I1925,$B1935)+COUNTIF(G1908:I1925,$B1935&amp;" ~*")&gt;0)+(COUNTIF(K1908:M1925,$B1935)+COUNTIF(K1908:M1925,$B1935&amp;" ~*")&gt;0)+(COUNTIF(O1908:Q1925,$B1935)+COUNTIF(O1908:Q1925,$B1935&amp;" ~*")&gt;0)+(COUNTIF(S1908:U1925,$B1935)+COUNTIF(S1908:U1925,$B1935&amp;" ~*")&gt;0)+(COUNTIF(W1908:W1925,$B1935)+COUNTIF(W1908:W1925,$B1935&amp;" ~*")&gt;0)+(COUNTIF(Y1908:Y1925,$B1935)+COUNTIF(Y1908:Y1925,$B1935&amp;" ~*")&gt;0))</f>
        <v/>
      </c>
      <c r="AC1935" s="36">
        <f>IF($B1935="","",(IFERROR(INDEX(Setup!$G$33:$G$40,MATCH(C1935,Setup!$B$33:$B$40,0)),0)=1)*(COUNTIF(C1908:E1925,$B1935)+COUNTIF(C1908:E1925,$B1935&amp;" ~*")&gt;0)+(IFERROR(INDEX(Setup!$G$33:$G$40,MATCH(G1935,Setup!$B$33:$B$40,0)),0)=1)*(COUNTIF(G1908:I1925,$B1935)+COUNTIF(G1908:I1925,$B1935&amp;" ~*")&gt;0)+(IFERROR(INDEX(Setup!$G$33:$G$40,MATCH(K1935,Setup!$B$33:$B$40,0)),0)=1)*(COUNTIF(K1908:M1925,$B1935)+COUNTIF(K1908:M1925,$B1935&amp;" ~*")&gt;0)+(IFERROR(INDEX(Setup!$G$33:$G$40,MATCH(O1935,Setup!$B$33:$B$40,0)),0)=1)*(COUNTIF(O1908:Q1925,$B1935)+COUNTIF(O1908:Q1925,$B1935&amp;" ~*")&gt;0)+(IFERROR(INDEX(Setup!$G$33:$G$40,MATCH(S1935,Setup!$B$33:$B$40,0)),0)=1)*(COUNTIF(S1908:U1925,$B1935)+COUNTIF(S1908:U1925,$B1935&amp;" ~*")&gt;0)+(IFERROR(INDEX(Setup!$G$33:$G$40,MATCH(W1935,Setup!$B$33:$B$40,0)),0)=1)*(COUNTIF(W1908:W1925,$B1935)+COUNTIF(W1908:W1925,$B1935&amp;" ~*")&gt;0)+(IFERROR(INDEX(Setup!$G$33:$G$40,MATCH(Y1935,Setup!$B$33:$B$40,0)),0)=1)*(COUNTIF(Y1908:Y1925,$B1935)+COUNTIF(Y1908:Y1925,$B1935&amp;" ~*")&gt;0))</f>
        <v/>
      </c>
    </row>
    <row r="1936" ht="15" customHeight="1">
      <c r="A1936" t="n">
        <v>39</v>
      </c>
      <c r="B1936" s="37">
        <f>IF(Setup!$B$15="","",Setup!$B$15)</f>
        <v/>
      </c>
      <c r="C1936" s="102" t="n"/>
      <c r="D1936" s="103" t="n"/>
      <c r="E1936" s="103" t="n"/>
      <c r="F1936" s="104" t="n"/>
      <c r="G1936" s="102" t="n"/>
      <c r="H1936" s="103" t="n"/>
      <c r="I1936" s="103" t="n"/>
      <c r="J1936" s="104" t="n"/>
      <c r="K1936" s="102" t="n"/>
      <c r="L1936" s="103" t="n"/>
      <c r="M1936" s="103" t="n"/>
      <c r="N1936" s="104" t="n"/>
      <c r="O1936" s="102" t="n"/>
      <c r="P1936" s="103" t="n"/>
      <c r="Q1936" s="103" t="n"/>
      <c r="R1936" s="104" t="n"/>
      <c r="S1936" s="102" t="n"/>
      <c r="T1936" s="103" t="n"/>
      <c r="U1936" s="103" t="n"/>
      <c r="V1936" s="104" t="n"/>
      <c r="W1936" s="102" t="n"/>
      <c r="X1936" s="104" t="n"/>
      <c r="Y1936" s="102" t="n"/>
      <c r="Z1936" s="104" t="n"/>
      <c r="AB1936" s="105">
        <f>IF($B1936="","",(COUNTIF(C1908:E1925,$B1936)+COUNTIF(C1908:E1925,$B1936&amp;" ~*")&gt;0)+(COUNTIF(G1908:I1925,$B1936)+COUNTIF(G1908:I1925,$B1936&amp;" ~*")&gt;0)+(COUNTIF(K1908:M1925,$B1936)+COUNTIF(K1908:M1925,$B1936&amp;" ~*")&gt;0)+(COUNTIF(O1908:Q1925,$B1936)+COUNTIF(O1908:Q1925,$B1936&amp;" ~*")&gt;0)+(COUNTIF(S1908:U1925,$B1936)+COUNTIF(S1908:U1925,$B1936&amp;" ~*")&gt;0)+(COUNTIF(W1908:W1925,$B1936)+COUNTIF(W1908:W1925,$B1936&amp;" ~*")&gt;0)+(COUNTIF(Y1908:Y1925,$B1936)+COUNTIF(Y1908:Y1925,$B1936&amp;" ~*")&gt;0))</f>
        <v/>
      </c>
      <c r="AC1936" s="38">
        <f>IF($B1936="","",(IFERROR(INDEX(Setup!$G$33:$G$40,MATCH(C1936,Setup!$B$33:$B$40,0)),0)=1)*(COUNTIF(C1908:E1925,$B1936)+COUNTIF(C1908:E1925,$B1936&amp;" ~*")&gt;0)+(IFERROR(INDEX(Setup!$G$33:$G$40,MATCH(G1936,Setup!$B$33:$B$40,0)),0)=1)*(COUNTIF(G1908:I1925,$B1936)+COUNTIF(G1908:I1925,$B1936&amp;" ~*")&gt;0)+(IFERROR(INDEX(Setup!$G$33:$G$40,MATCH(K1936,Setup!$B$33:$B$40,0)),0)=1)*(COUNTIF(K1908:M1925,$B1936)+COUNTIF(K1908:M1925,$B1936&amp;" ~*")&gt;0)+(IFERROR(INDEX(Setup!$G$33:$G$40,MATCH(O1936,Setup!$B$33:$B$40,0)),0)=1)*(COUNTIF(O1908:Q1925,$B1936)+COUNTIF(O1908:Q1925,$B1936&amp;" ~*")&gt;0)+(IFERROR(INDEX(Setup!$G$33:$G$40,MATCH(S1936,Setup!$B$33:$B$40,0)),0)=1)*(COUNTIF(S1908:U1925,$B1936)+COUNTIF(S1908:U1925,$B1936&amp;" ~*")&gt;0)+(IFERROR(INDEX(Setup!$G$33:$G$40,MATCH(W1936,Setup!$B$33:$B$40,0)),0)=1)*(COUNTIF(W1908:W1925,$B1936)+COUNTIF(W1908:W1925,$B1936&amp;" ~*")&gt;0)+(IFERROR(INDEX(Setup!$G$33:$G$40,MATCH(Y1936,Setup!$B$33:$B$40,0)),0)=1)*(COUNTIF(Y1908:Y1925,$B1936)+COUNTIF(Y1908:Y1925,$B1936&amp;" ~*")&gt;0))</f>
        <v/>
      </c>
    </row>
    <row r="1937" ht="15" customHeight="1">
      <c r="A1937" t="n">
        <v>39</v>
      </c>
      <c r="B1937" s="35">
        <f>IF(Setup!$B$16="","",Setup!$B$16)</f>
        <v/>
      </c>
      <c r="C1937" s="98" t="n"/>
      <c r="D1937" s="99" t="n"/>
      <c r="E1937" s="99" t="n"/>
      <c r="F1937" s="100" t="n"/>
      <c r="G1937" s="98" t="n"/>
      <c r="H1937" s="99" t="n"/>
      <c r="I1937" s="99" t="n"/>
      <c r="J1937" s="100" t="n"/>
      <c r="K1937" s="98" t="n"/>
      <c r="L1937" s="99" t="n"/>
      <c r="M1937" s="99" t="n"/>
      <c r="N1937" s="100" t="n"/>
      <c r="O1937" s="98" t="n"/>
      <c r="P1937" s="99" t="n"/>
      <c r="Q1937" s="99" t="n"/>
      <c r="R1937" s="100" t="n"/>
      <c r="S1937" s="98" t="n"/>
      <c r="T1937" s="99" t="n"/>
      <c r="U1937" s="99" t="n"/>
      <c r="V1937" s="100" t="n"/>
      <c r="W1937" s="98" t="n"/>
      <c r="X1937" s="100" t="n"/>
      <c r="Y1937" s="98" t="n"/>
      <c r="Z1937" s="100" t="n"/>
      <c r="AB1937" s="101">
        <f>IF($B1937="","",(COUNTIF(C1908:E1925,$B1937)+COUNTIF(C1908:E1925,$B1937&amp;" ~*")&gt;0)+(COUNTIF(G1908:I1925,$B1937)+COUNTIF(G1908:I1925,$B1937&amp;" ~*")&gt;0)+(COUNTIF(K1908:M1925,$B1937)+COUNTIF(K1908:M1925,$B1937&amp;" ~*")&gt;0)+(COUNTIF(O1908:Q1925,$B1937)+COUNTIF(O1908:Q1925,$B1937&amp;" ~*")&gt;0)+(COUNTIF(S1908:U1925,$B1937)+COUNTIF(S1908:U1925,$B1937&amp;" ~*")&gt;0)+(COUNTIF(W1908:W1925,$B1937)+COUNTIF(W1908:W1925,$B1937&amp;" ~*")&gt;0)+(COUNTIF(Y1908:Y1925,$B1937)+COUNTIF(Y1908:Y1925,$B1937&amp;" ~*")&gt;0))</f>
        <v/>
      </c>
      <c r="AC1937" s="36">
        <f>IF($B1937="","",(IFERROR(INDEX(Setup!$G$33:$G$40,MATCH(C1937,Setup!$B$33:$B$40,0)),0)=1)*(COUNTIF(C1908:E1925,$B1937)+COUNTIF(C1908:E1925,$B1937&amp;" ~*")&gt;0)+(IFERROR(INDEX(Setup!$G$33:$G$40,MATCH(G1937,Setup!$B$33:$B$40,0)),0)=1)*(COUNTIF(G1908:I1925,$B1937)+COUNTIF(G1908:I1925,$B1937&amp;" ~*")&gt;0)+(IFERROR(INDEX(Setup!$G$33:$G$40,MATCH(K1937,Setup!$B$33:$B$40,0)),0)=1)*(COUNTIF(K1908:M1925,$B1937)+COUNTIF(K1908:M1925,$B1937&amp;" ~*")&gt;0)+(IFERROR(INDEX(Setup!$G$33:$G$40,MATCH(O1937,Setup!$B$33:$B$40,0)),0)=1)*(COUNTIF(O1908:Q1925,$B1937)+COUNTIF(O1908:Q1925,$B1937&amp;" ~*")&gt;0)+(IFERROR(INDEX(Setup!$G$33:$G$40,MATCH(S1937,Setup!$B$33:$B$40,0)),0)=1)*(COUNTIF(S1908:U1925,$B1937)+COUNTIF(S1908:U1925,$B1937&amp;" ~*")&gt;0)+(IFERROR(INDEX(Setup!$G$33:$G$40,MATCH(W1937,Setup!$B$33:$B$40,0)),0)=1)*(COUNTIF(W1908:W1925,$B1937)+COUNTIF(W1908:W1925,$B1937&amp;" ~*")&gt;0)+(IFERROR(INDEX(Setup!$G$33:$G$40,MATCH(Y1937,Setup!$B$33:$B$40,0)),0)=1)*(COUNTIF(Y1908:Y1925,$B1937)+COUNTIF(Y1908:Y1925,$B1937&amp;" ~*")&gt;0))</f>
        <v/>
      </c>
    </row>
    <row r="1938" ht="15" customHeight="1">
      <c r="A1938" t="n">
        <v>39</v>
      </c>
      <c r="B1938" s="37">
        <f>IF(Setup!$B$17="","",Setup!$B$17)</f>
        <v/>
      </c>
      <c r="C1938" s="102" t="n"/>
      <c r="D1938" s="103" t="n"/>
      <c r="E1938" s="103" t="n"/>
      <c r="F1938" s="104" t="n"/>
      <c r="G1938" s="102" t="n"/>
      <c r="H1938" s="103" t="n"/>
      <c r="I1938" s="103" t="n"/>
      <c r="J1938" s="104" t="n"/>
      <c r="K1938" s="102" t="n"/>
      <c r="L1938" s="103" t="n"/>
      <c r="M1938" s="103" t="n"/>
      <c r="N1938" s="104" t="n"/>
      <c r="O1938" s="102" t="n"/>
      <c r="P1938" s="103" t="n"/>
      <c r="Q1938" s="103" t="n"/>
      <c r="R1938" s="104" t="n"/>
      <c r="S1938" s="102" t="n"/>
      <c r="T1938" s="103" t="n"/>
      <c r="U1938" s="103" t="n"/>
      <c r="V1938" s="104" t="n"/>
      <c r="W1938" s="102" t="n"/>
      <c r="X1938" s="104" t="n"/>
      <c r="Y1938" s="102" t="n"/>
      <c r="Z1938" s="104" t="n"/>
      <c r="AB1938" s="105">
        <f>IF($B1938="","",(COUNTIF(C1908:E1925,$B1938)+COUNTIF(C1908:E1925,$B1938&amp;" ~*")&gt;0)+(COUNTIF(G1908:I1925,$B1938)+COUNTIF(G1908:I1925,$B1938&amp;" ~*")&gt;0)+(COUNTIF(K1908:M1925,$B1938)+COUNTIF(K1908:M1925,$B1938&amp;" ~*")&gt;0)+(COUNTIF(O1908:Q1925,$B1938)+COUNTIF(O1908:Q1925,$B1938&amp;" ~*")&gt;0)+(COUNTIF(S1908:U1925,$B1938)+COUNTIF(S1908:U1925,$B1938&amp;" ~*")&gt;0)+(COUNTIF(W1908:W1925,$B1938)+COUNTIF(W1908:W1925,$B1938&amp;" ~*")&gt;0)+(COUNTIF(Y1908:Y1925,$B1938)+COUNTIF(Y1908:Y1925,$B1938&amp;" ~*")&gt;0))</f>
        <v/>
      </c>
      <c r="AC1938" s="38">
        <f>IF($B1938="","",(IFERROR(INDEX(Setup!$G$33:$G$40,MATCH(C1938,Setup!$B$33:$B$40,0)),0)=1)*(COUNTIF(C1908:E1925,$B1938)+COUNTIF(C1908:E1925,$B1938&amp;" ~*")&gt;0)+(IFERROR(INDEX(Setup!$G$33:$G$40,MATCH(G1938,Setup!$B$33:$B$40,0)),0)=1)*(COUNTIF(G1908:I1925,$B1938)+COUNTIF(G1908:I1925,$B1938&amp;" ~*")&gt;0)+(IFERROR(INDEX(Setup!$G$33:$G$40,MATCH(K1938,Setup!$B$33:$B$40,0)),0)=1)*(COUNTIF(K1908:M1925,$B1938)+COUNTIF(K1908:M1925,$B1938&amp;" ~*")&gt;0)+(IFERROR(INDEX(Setup!$G$33:$G$40,MATCH(O1938,Setup!$B$33:$B$40,0)),0)=1)*(COUNTIF(O1908:Q1925,$B1938)+COUNTIF(O1908:Q1925,$B1938&amp;" ~*")&gt;0)+(IFERROR(INDEX(Setup!$G$33:$G$40,MATCH(S1938,Setup!$B$33:$B$40,0)),0)=1)*(COUNTIF(S1908:U1925,$B1938)+COUNTIF(S1908:U1925,$B1938&amp;" ~*")&gt;0)+(IFERROR(INDEX(Setup!$G$33:$G$40,MATCH(W1938,Setup!$B$33:$B$40,0)),0)=1)*(COUNTIF(W1908:W1925,$B1938)+COUNTIF(W1908:W1925,$B1938&amp;" ~*")&gt;0)+(IFERROR(INDEX(Setup!$G$33:$G$40,MATCH(Y1938,Setup!$B$33:$B$40,0)),0)=1)*(COUNTIF(Y1908:Y1925,$B1938)+COUNTIF(Y1908:Y1925,$B1938&amp;" ~*")&gt;0))</f>
        <v/>
      </c>
    </row>
    <row r="1939" ht="15" customHeight="1">
      <c r="A1939" t="n">
        <v>39</v>
      </c>
      <c r="B1939" s="35">
        <f>IF(Setup!$B$18="","",Setup!$B$18)</f>
        <v/>
      </c>
      <c r="C1939" s="98" t="n"/>
      <c r="D1939" s="99" t="n"/>
      <c r="E1939" s="99" t="n"/>
      <c r="F1939" s="100" t="n"/>
      <c r="G1939" s="98" t="n"/>
      <c r="H1939" s="99" t="n"/>
      <c r="I1939" s="99" t="n"/>
      <c r="J1939" s="100" t="n"/>
      <c r="K1939" s="98" t="n"/>
      <c r="L1939" s="99" t="n"/>
      <c r="M1939" s="99" t="n"/>
      <c r="N1939" s="100" t="n"/>
      <c r="O1939" s="98" t="n"/>
      <c r="P1939" s="99" t="n"/>
      <c r="Q1939" s="99" t="n"/>
      <c r="R1939" s="100" t="n"/>
      <c r="S1939" s="98" t="n"/>
      <c r="T1939" s="99" t="n"/>
      <c r="U1939" s="99" t="n"/>
      <c r="V1939" s="100" t="n"/>
      <c r="W1939" s="98" t="n"/>
      <c r="X1939" s="100" t="n"/>
      <c r="Y1939" s="98" t="n"/>
      <c r="Z1939" s="100" t="n"/>
      <c r="AB1939" s="101">
        <f>IF($B1939="","",(COUNTIF(C1908:E1925,$B1939)+COUNTIF(C1908:E1925,$B1939&amp;" ~*")&gt;0)+(COUNTIF(G1908:I1925,$B1939)+COUNTIF(G1908:I1925,$B1939&amp;" ~*")&gt;0)+(COUNTIF(K1908:M1925,$B1939)+COUNTIF(K1908:M1925,$B1939&amp;" ~*")&gt;0)+(COUNTIF(O1908:Q1925,$B1939)+COUNTIF(O1908:Q1925,$B1939&amp;" ~*")&gt;0)+(COUNTIF(S1908:U1925,$B1939)+COUNTIF(S1908:U1925,$B1939&amp;" ~*")&gt;0)+(COUNTIF(W1908:W1925,$B1939)+COUNTIF(W1908:W1925,$B1939&amp;" ~*")&gt;0)+(COUNTIF(Y1908:Y1925,$B1939)+COUNTIF(Y1908:Y1925,$B1939&amp;" ~*")&gt;0))</f>
        <v/>
      </c>
      <c r="AC1939" s="36">
        <f>IF($B1939="","",(IFERROR(INDEX(Setup!$G$33:$G$40,MATCH(C1939,Setup!$B$33:$B$40,0)),0)=1)*(COUNTIF(C1908:E1925,$B1939)+COUNTIF(C1908:E1925,$B1939&amp;" ~*")&gt;0)+(IFERROR(INDEX(Setup!$G$33:$G$40,MATCH(G1939,Setup!$B$33:$B$40,0)),0)=1)*(COUNTIF(G1908:I1925,$B1939)+COUNTIF(G1908:I1925,$B1939&amp;" ~*")&gt;0)+(IFERROR(INDEX(Setup!$G$33:$G$40,MATCH(K1939,Setup!$B$33:$B$40,0)),0)=1)*(COUNTIF(K1908:M1925,$B1939)+COUNTIF(K1908:M1925,$B1939&amp;" ~*")&gt;0)+(IFERROR(INDEX(Setup!$G$33:$G$40,MATCH(O1939,Setup!$B$33:$B$40,0)),0)=1)*(COUNTIF(O1908:Q1925,$B1939)+COUNTIF(O1908:Q1925,$B1939&amp;" ~*")&gt;0)+(IFERROR(INDEX(Setup!$G$33:$G$40,MATCH(S1939,Setup!$B$33:$B$40,0)),0)=1)*(COUNTIF(S1908:U1925,$B1939)+COUNTIF(S1908:U1925,$B1939&amp;" ~*")&gt;0)+(IFERROR(INDEX(Setup!$G$33:$G$40,MATCH(W1939,Setup!$B$33:$B$40,0)),0)=1)*(COUNTIF(W1908:W1925,$B1939)+COUNTIF(W1908:W1925,$B1939&amp;" ~*")&gt;0)+(IFERROR(INDEX(Setup!$G$33:$G$40,MATCH(Y1939,Setup!$B$33:$B$40,0)),0)=1)*(COUNTIF(Y1908:Y1925,$B1939)+COUNTIF(Y1908:Y1925,$B1939&amp;" ~*")&gt;0))</f>
        <v/>
      </c>
    </row>
    <row r="1940" ht="15" customHeight="1">
      <c r="A1940" t="n">
        <v>39</v>
      </c>
      <c r="B1940" s="37">
        <f>IF(Setup!$B$19="","",Setup!$B$19)</f>
        <v/>
      </c>
      <c r="C1940" s="102" t="n"/>
      <c r="D1940" s="103" t="n"/>
      <c r="E1940" s="103" t="n"/>
      <c r="F1940" s="104" t="n"/>
      <c r="G1940" s="102" t="n"/>
      <c r="H1940" s="103" t="n"/>
      <c r="I1940" s="103" t="n"/>
      <c r="J1940" s="104" t="n"/>
      <c r="K1940" s="102" t="n"/>
      <c r="L1940" s="103" t="n"/>
      <c r="M1940" s="103" t="n"/>
      <c r="N1940" s="104" t="n"/>
      <c r="O1940" s="102" t="n"/>
      <c r="P1940" s="103" t="n"/>
      <c r="Q1940" s="103" t="n"/>
      <c r="R1940" s="104" t="n"/>
      <c r="S1940" s="102" t="n"/>
      <c r="T1940" s="103" t="n"/>
      <c r="U1940" s="103" t="n"/>
      <c r="V1940" s="104" t="n"/>
      <c r="W1940" s="102" t="n"/>
      <c r="X1940" s="104" t="n"/>
      <c r="Y1940" s="102" t="n"/>
      <c r="Z1940" s="104" t="n"/>
      <c r="AB1940" s="105">
        <f>IF($B1940="","",(COUNTIF(C1908:E1925,$B1940)+COUNTIF(C1908:E1925,$B1940&amp;" ~*")&gt;0)+(COUNTIF(G1908:I1925,$B1940)+COUNTIF(G1908:I1925,$B1940&amp;" ~*")&gt;0)+(COUNTIF(K1908:M1925,$B1940)+COUNTIF(K1908:M1925,$B1940&amp;" ~*")&gt;0)+(COUNTIF(O1908:Q1925,$B1940)+COUNTIF(O1908:Q1925,$B1940&amp;" ~*")&gt;0)+(COUNTIF(S1908:U1925,$B1940)+COUNTIF(S1908:U1925,$B1940&amp;" ~*")&gt;0)+(COUNTIF(W1908:W1925,$B1940)+COUNTIF(W1908:W1925,$B1940&amp;" ~*")&gt;0)+(COUNTIF(Y1908:Y1925,$B1940)+COUNTIF(Y1908:Y1925,$B1940&amp;" ~*")&gt;0))</f>
        <v/>
      </c>
      <c r="AC1940" s="38">
        <f>IF($B1940="","",(IFERROR(INDEX(Setup!$G$33:$G$40,MATCH(C1940,Setup!$B$33:$B$40,0)),0)=1)*(COUNTIF(C1908:E1925,$B1940)+COUNTIF(C1908:E1925,$B1940&amp;" ~*")&gt;0)+(IFERROR(INDEX(Setup!$G$33:$G$40,MATCH(G1940,Setup!$B$33:$B$40,0)),0)=1)*(COUNTIF(G1908:I1925,$B1940)+COUNTIF(G1908:I1925,$B1940&amp;" ~*")&gt;0)+(IFERROR(INDEX(Setup!$G$33:$G$40,MATCH(K1940,Setup!$B$33:$B$40,0)),0)=1)*(COUNTIF(K1908:M1925,$B1940)+COUNTIF(K1908:M1925,$B1940&amp;" ~*")&gt;0)+(IFERROR(INDEX(Setup!$G$33:$G$40,MATCH(O1940,Setup!$B$33:$B$40,0)),0)=1)*(COUNTIF(O1908:Q1925,$B1940)+COUNTIF(O1908:Q1925,$B1940&amp;" ~*")&gt;0)+(IFERROR(INDEX(Setup!$G$33:$G$40,MATCH(S1940,Setup!$B$33:$B$40,0)),0)=1)*(COUNTIF(S1908:U1925,$B1940)+COUNTIF(S1908:U1925,$B1940&amp;" ~*")&gt;0)+(IFERROR(INDEX(Setup!$G$33:$G$40,MATCH(W1940,Setup!$B$33:$B$40,0)),0)=1)*(COUNTIF(W1908:W1925,$B1940)+COUNTIF(W1908:W1925,$B1940&amp;" ~*")&gt;0)+(IFERROR(INDEX(Setup!$G$33:$G$40,MATCH(Y1940,Setup!$B$33:$B$40,0)),0)=1)*(COUNTIF(Y1908:Y1925,$B1940)+COUNTIF(Y1908:Y1925,$B1940&amp;" ~*")&gt;0))</f>
        <v/>
      </c>
    </row>
    <row r="1941" ht="15" customHeight="1">
      <c r="A1941" t="n">
        <v>39</v>
      </c>
      <c r="B1941" s="35">
        <f>IF(Setup!$B$20="","",Setup!$B$20)</f>
        <v/>
      </c>
      <c r="C1941" s="98" t="n"/>
      <c r="D1941" s="99" t="n"/>
      <c r="E1941" s="99" t="n"/>
      <c r="F1941" s="100" t="n"/>
      <c r="G1941" s="98" t="n"/>
      <c r="H1941" s="99" t="n"/>
      <c r="I1941" s="99" t="n"/>
      <c r="J1941" s="100" t="n"/>
      <c r="K1941" s="98" t="n"/>
      <c r="L1941" s="99" t="n"/>
      <c r="M1941" s="99" t="n"/>
      <c r="N1941" s="100" t="n"/>
      <c r="O1941" s="98" t="n"/>
      <c r="P1941" s="99" t="n"/>
      <c r="Q1941" s="99" t="n"/>
      <c r="R1941" s="100" t="n"/>
      <c r="S1941" s="98" t="n"/>
      <c r="T1941" s="99" t="n"/>
      <c r="U1941" s="99" t="n"/>
      <c r="V1941" s="100" t="n"/>
      <c r="W1941" s="98" t="n"/>
      <c r="X1941" s="100" t="n"/>
      <c r="Y1941" s="98" t="n"/>
      <c r="Z1941" s="100" t="n"/>
      <c r="AB1941" s="101">
        <f>IF($B1941="","",(COUNTIF(C1908:E1925,$B1941)+COUNTIF(C1908:E1925,$B1941&amp;" ~*")&gt;0)+(COUNTIF(G1908:I1925,$B1941)+COUNTIF(G1908:I1925,$B1941&amp;" ~*")&gt;0)+(COUNTIF(K1908:M1925,$B1941)+COUNTIF(K1908:M1925,$B1941&amp;" ~*")&gt;0)+(COUNTIF(O1908:Q1925,$B1941)+COUNTIF(O1908:Q1925,$B1941&amp;" ~*")&gt;0)+(COUNTIF(S1908:U1925,$B1941)+COUNTIF(S1908:U1925,$B1941&amp;" ~*")&gt;0)+(COUNTIF(W1908:W1925,$B1941)+COUNTIF(W1908:W1925,$B1941&amp;" ~*")&gt;0)+(COUNTIF(Y1908:Y1925,$B1941)+COUNTIF(Y1908:Y1925,$B1941&amp;" ~*")&gt;0))</f>
        <v/>
      </c>
      <c r="AC1941" s="36">
        <f>IF($B1941="","",(IFERROR(INDEX(Setup!$G$33:$G$40,MATCH(C1941,Setup!$B$33:$B$40,0)),0)=1)*(COUNTIF(C1908:E1925,$B1941)+COUNTIF(C1908:E1925,$B1941&amp;" ~*")&gt;0)+(IFERROR(INDEX(Setup!$G$33:$G$40,MATCH(G1941,Setup!$B$33:$B$40,0)),0)=1)*(COUNTIF(G1908:I1925,$B1941)+COUNTIF(G1908:I1925,$B1941&amp;" ~*")&gt;0)+(IFERROR(INDEX(Setup!$G$33:$G$40,MATCH(K1941,Setup!$B$33:$B$40,0)),0)=1)*(COUNTIF(K1908:M1925,$B1941)+COUNTIF(K1908:M1925,$B1941&amp;" ~*")&gt;0)+(IFERROR(INDEX(Setup!$G$33:$G$40,MATCH(O1941,Setup!$B$33:$B$40,0)),0)=1)*(COUNTIF(O1908:Q1925,$B1941)+COUNTIF(O1908:Q1925,$B1941&amp;" ~*")&gt;0)+(IFERROR(INDEX(Setup!$G$33:$G$40,MATCH(S1941,Setup!$B$33:$B$40,0)),0)=1)*(COUNTIF(S1908:U1925,$B1941)+COUNTIF(S1908:U1925,$B1941&amp;" ~*")&gt;0)+(IFERROR(INDEX(Setup!$G$33:$G$40,MATCH(W1941,Setup!$B$33:$B$40,0)),0)=1)*(COUNTIF(W1908:W1925,$B1941)+COUNTIF(W1908:W1925,$B1941&amp;" ~*")&gt;0)+(IFERROR(INDEX(Setup!$G$33:$G$40,MATCH(Y1941,Setup!$B$33:$B$40,0)),0)=1)*(COUNTIF(Y1908:Y1925,$B1941)+COUNTIF(Y1908:Y1925,$B1941&amp;" ~*")&gt;0))</f>
        <v/>
      </c>
    </row>
    <row r="1942" ht="15" customHeight="1">
      <c r="A1942" t="n">
        <v>39</v>
      </c>
      <c r="B1942" s="37">
        <f>IF(Setup!$B$21="","",Setup!$B$21)</f>
        <v/>
      </c>
      <c r="C1942" s="102" t="n"/>
      <c r="D1942" s="103" t="n"/>
      <c r="E1942" s="103" t="n"/>
      <c r="F1942" s="104" t="n"/>
      <c r="G1942" s="102" t="n"/>
      <c r="H1942" s="103" t="n"/>
      <c r="I1942" s="103" t="n"/>
      <c r="J1942" s="104" t="n"/>
      <c r="K1942" s="102" t="n"/>
      <c r="L1942" s="103" t="n"/>
      <c r="M1942" s="103" t="n"/>
      <c r="N1942" s="104" t="n"/>
      <c r="O1942" s="102" t="n"/>
      <c r="P1942" s="103" t="n"/>
      <c r="Q1942" s="103" t="n"/>
      <c r="R1942" s="104" t="n"/>
      <c r="S1942" s="102" t="n"/>
      <c r="T1942" s="103" t="n"/>
      <c r="U1942" s="103" t="n"/>
      <c r="V1942" s="104" t="n"/>
      <c r="W1942" s="102" t="n"/>
      <c r="X1942" s="104" t="n"/>
      <c r="Y1942" s="102" t="n"/>
      <c r="Z1942" s="104" t="n"/>
      <c r="AB1942" s="105">
        <f>IF($B1942="","",(COUNTIF(C1908:E1925,$B1942)+COUNTIF(C1908:E1925,$B1942&amp;" ~*")&gt;0)+(COUNTIF(G1908:I1925,$B1942)+COUNTIF(G1908:I1925,$B1942&amp;" ~*")&gt;0)+(COUNTIF(K1908:M1925,$B1942)+COUNTIF(K1908:M1925,$B1942&amp;" ~*")&gt;0)+(COUNTIF(O1908:Q1925,$B1942)+COUNTIF(O1908:Q1925,$B1942&amp;" ~*")&gt;0)+(COUNTIF(S1908:U1925,$B1942)+COUNTIF(S1908:U1925,$B1942&amp;" ~*")&gt;0)+(COUNTIF(W1908:W1925,$B1942)+COUNTIF(W1908:W1925,$B1942&amp;" ~*")&gt;0)+(COUNTIF(Y1908:Y1925,$B1942)+COUNTIF(Y1908:Y1925,$B1942&amp;" ~*")&gt;0))</f>
        <v/>
      </c>
      <c r="AC1942" s="38">
        <f>IF($B1942="","",(IFERROR(INDEX(Setup!$G$33:$G$40,MATCH(C1942,Setup!$B$33:$B$40,0)),0)=1)*(COUNTIF(C1908:E1925,$B1942)+COUNTIF(C1908:E1925,$B1942&amp;" ~*")&gt;0)+(IFERROR(INDEX(Setup!$G$33:$G$40,MATCH(G1942,Setup!$B$33:$B$40,0)),0)=1)*(COUNTIF(G1908:I1925,$B1942)+COUNTIF(G1908:I1925,$B1942&amp;" ~*")&gt;0)+(IFERROR(INDEX(Setup!$G$33:$G$40,MATCH(K1942,Setup!$B$33:$B$40,0)),0)=1)*(COUNTIF(K1908:M1925,$B1942)+COUNTIF(K1908:M1925,$B1942&amp;" ~*")&gt;0)+(IFERROR(INDEX(Setup!$G$33:$G$40,MATCH(O1942,Setup!$B$33:$B$40,0)),0)=1)*(COUNTIF(O1908:Q1925,$B1942)+COUNTIF(O1908:Q1925,$B1942&amp;" ~*")&gt;0)+(IFERROR(INDEX(Setup!$G$33:$G$40,MATCH(S1942,Setup!$B$33:$B$40,0)),0)=1)*(COUNTIF(S1908:U1925,$B1942)+COUNTIF(S1908:U1925,$B1942&amp;" ~*")&gt;0)+(IFERROR(INDEX(Setup!$G$33:$G$40,MATCH(W1942,Setup!$B$33:$B$40,0)),0)=1)*(COUNTIF(W1908:W1925,$B1942)+COUNTIF(W1908:W1925,$B1942&amp;" ~*")&gt;0)+(IFERROR(INDEX(Setup!$G$33:$G$40,MATCH(Y1942,Setup!$B$33:$B$40,0)),0)=1)*(COUNTIF(Y1908:Y1925,$B1942)+COUNTIF(Y1908:Y1925,$B1942&amp;" ~*")&gt;0))</f>
        <v/>
      </c>
    </row>
    <row r="1943" ht="15" customHeight="1">
      <c r="A1943" t="n">
        <v>39</v>
      </c>
      <c r="B1943" s="35">
        <f>IF(Setup!$B$22="","",Setup!$B$22)</f>
        <v/>
      </c>
      <c r="C1943" s="98" t="n"/>
      <c r="D1943" s="99" t="n"/>
      <c r="E1943" s="99" t="n"/>
      <c r="F1943" s="100" t="n"/>
      <c r="G1943" s="98" t="n"/>
      <c r="H1943" s="99" t="n"/>
      <c r="I1943" s="99" t="n"/>
      <c r="J1943" s="100" t="n"/>
      <c r="K1943" s="98" t="n"/>
      <c r="L1943" s="99" t="n"/>
      <c r="M1943" s="99" t="n"/>
      <c r="N1943" s="100" t="n"/>
      <c r="O1943" s="98" t="n"/>
      <c r="P1943" s="99" t="n"/>
      <c r="Q1943" s="99" t="n"/>
      <c r="R1943" s="100" t="n"/>
      <c r="S1943" s="98" t="n"/>
      <c r="T1943" s="99" t="n"/>
      <c r="U1943" s="99" t="n"/>
      <c r="V1943" s="100" t="n"/>
      <c r="W1943" s="98" t="n"/>
      <c r="X1943" s="100" t="n"/>
      <c r="Y1943" s="98" t="n"/>
      <c r="Z1943" s="100" t="n"/>
      <c r="AB1943" s="101">
        <f>IF($B1943="","",(COUNTIF(C1908:E1925,$B1943)+COUNTIF(C1908:E1925,$B1943&amp;" ~*")&gt;0)+(COUNTIF(G1908:I1925,$B1943)+COUNTIF(G1908:I1925,$B1943&amp;" ~*")&gt;0)+(COUNTIF(K1908:M1925,$B1943)+COUNTIF(K1908:M1925,$B1943&amp;" ~*")&gt;0)+(COUNTIF(O1908:Q1925,$B1943)+COUNTIF(O1908:Q1925,$B1943&amp;" ~*")&gt;0)+(COUNTIF(S1908:U1925,$B1943)+COUNTIF(S1908:U1925,$B1943&amp;" ~*")&gt;0)+(COUNTIF(W1908:W1925,$B1943)+COUNTIF(W1908:W1925,$B1943&amp;" ~*")&gt;0)+(COUNTIF(Y1908:Y1925,$B1943)+COUNTIF(Y1908:Y1925,$B1943&amp;" ~*")&gt;0))</f>
        <v/>
      </c>
      <c r="AC1943" s="36">
        <f>IF($B1943="","",(IFERROR(INDEX(Setup!$G$33:$G$40,MATCH(C1943,Setup!$B$33:$B$40,0)),0)=1)*(COUNTIF(C1908:E1925,$B1943)+COUNTIF(C1908:E1925,$B1943&amp;" ~*")&gt;0)+(IFERROR(INDEX(Setup!$G$33:$G$40,MATCH(G1943,Setup!$B$33:$B$40,0)),0)=1)*(COUNTIF(G1908:I1925,$B1943)+COUNTIF(G1908:I1925,$B1943&amp;" ~*")&gt;0)+(IFERROR(INDEX(Setup!$G$33:$G$40,MATCH(K1943,Setup!$B$33:$B$40,0)),0)=1)*(COUNTIF(K1908:M1925,$B1943)+COUNTIF(K1908:M1925,$B1943&amp;" ~*")&gt;0)+(IFERROR(INDEX(Setup!$G$33:$G$40,MATCH(O1943,Setup!$B$33:$B$40,0)),0)=1)*(COUNTIF(O1908:Q1925,$B1943)+COUNTIF(O1908:Q1925,$B1943&amp;" ~*")&gt;0)+(IFERROR(INDEX(Setup!$G$33:$G$40,MATCH(S1943,Setup!$B$33:$B$40,0)),0)=1)*(COUNTIF(S1908:U1925,$B1943)+COUNTIF(S1908:U1925,$B1943&amp;" ~*")&gt;0)+(IFERROR(INDEX(Setup!$G$33:$G$40,MATCH(W1943,Setup!$B$33:$B$40,0)),0)=1)*(COUNTIF(W1908:W1925,$B1943)+COUNTIF(W1908:W1925,$B1943&amp;" ~*")&gt;0)+(IFERROR(INDEX(Setup!$G$33:$G$40,MATCH(Y1943,Setup!$B$33:$B$40,0)),0)=1)*(COUNTIF(Y1908:Y1925,$B1943)+COUNTIF(Y1908:Y1925,$B1943&amp;" ~*")&gt;0))</f>
        <v/>
      </c>
    </row>
    <row r="1944" ht="15" customHeight="1">
      <c r="A1944" t="n">
        <v>39</v>
      </c>
      <c r="B1944" s="37">
        <f>IF(Setup!$B$23="","",Setup!$B$23)</f>
        <v/>
      </c>
      <c r="C1944" s="102" t="n"/>
      <c r="D1944" s="103" t="n"/>
      <c r="E1944" s="103" t="n"/>
      <c r="F1944" s="104" t="n"/>
      <c r="G1944" s="102" t="n"/>
      <c r="H1944" s="103" t="n"/>
      <c r="I1944" s="103" t="n"/>
      <c r="J1944" s="104" t="n"/>
      <c r="K1944" s="102" t="n"/>
      <c r="L1944" s="103" t="n"/>
      <c r="M1944" s="103" t="n"/>
      <c r="N1944" s="104" t="n"/>
      <c r="O1944" s="102" t="n"/>
      <c r="P1944" s="103" t="n"/>
      <c r="Q1944" s="103" t="n"/>
      <c r="R1944" s="104" t="n"/>
      <c r="S1944" s="102" t="n"/>
      <c r="T1944" s="103" t="n"/>
      <c r="U1944" s="103" t="n"/>
      <c r="V1944" s="104" t="n"/>
      <c r="W1944" s="102" t="n"/>
      <c r="X1944" s="104" t="n"/>
      <c r="Y1944" s="102" t="n"/>
      <c r="Z1944" s="104" t="n"/>
      <c r="AB1944" s="105">
        <f>IF($B1944="","",(COUNTIF(C1908:E1925,$B1944)+COUNTIF(C1908:E1925,$B1944&amp;" ~*")&gt;0)+(COUNTIF(G1908:I1925,$B1944)+COUNTIF(G1908:I1925,$B1944&amp;" ~*")&gt;0)+(COUNTIF(K1908:M1925,$B1944)+COUNTIF(K1908:M1925,$B1944&amp;" ~*")&gt;0)+(COUNTIF(O1908:Q1925,$B1944)+COUNTIF(O1908:Q1925,$B1944&amp;" ~*")&gt;0)+(COUNTIF(S1908:U1925,$B1944)+COUNTIF(S1908:U1925,$B1944&amp;" ~*")&gt;0)+(COUNTIF(W1908:W1925,$B1944)+COUNTIF(W1908:W1925,$B1944&amp;" ~*")&gt;0)+(COUNTIF(Y1908:Y1925,$B1944)+COUNTIF(Y1908:Y1925,$B1944&amp;" ~*")&gt;0))</f>
        <v/>
      </c>
      <c r="AC1944" s="38">
        <f>IF($B1944="","",(IFERROR(INDEX(Setup!$G$33:$G$40,MATCH(C1944,Setup!$B$33:$B$40,0)),0)=1)*(COUNTIF(C1908:E1925,$B1944)+COUNTIF(C1908:E1925,$B1944&amp;" ~*")&gt;0)+(IFERROR(INDEX(Setup!$G$33:$G$40,MATCH(G1944,Setup!$B$33:$B$40,0)),0)=1)*(COUNTIF(G1908:I1925,$B1944)+COUNTIF(G1908:I1925,$B1944&amp;" ~*")&gt;0)+(IFERROR(INDEX(Setup!$G$33:$G$40,MATCH(K1944,Setup!$B$33:$B$40,0)),0)=1)*(COUNTIF(K1908:M1925,$B1944)+COUNTIF(K1908:M1925,$B1944&amp;" ~*")&gt;0)+(IFERROR(INDEX(Setup!$G$33:$G$40,MATCH(O1944,Setup!$B$33:$B$40,0)),0)=1)*(COUNTIF(O1908:Q1925,$B1944)+COUNTIF(O1908:Q1925,$B1944&amp;" ~*")&gt;0)+(IFERROR(INDEX(Setup!$G$33:$G$40,MATCH(S1944,Setup!$B$33:$B$40,0)),0)=1)*(COUNTIF(S1908:U1925,$B1944)+COUNTIF(S1908:U1925,$B1944&amp;" ~*")&gt;0)+(IFERROR(INDEX(Setup!$G$33:$G$40,MATCH(W1944,Setup!$B$33:$B$40,0)),0)=1)*(COUNTIF(W1908:W1925,$B1944)+COUNTIF(W1908:W1925,$B1944&amp;" ~*")&gt;0)+(IFERROR(INDEX(Setup!$G$33:$G$40,MATCH(Y1944,Setup!$B$33:$B$40,0)),0)=1)*(COUNTIF(Y1908:Y1925,$B1944)+COUNTIF(Y1908:Y1925,$B1944&amp;" ~*")&gt;0))</f>
        <v/>
      </c>
    </row>
    <row r="1945" ht="15" customHeight="1">
      <c r="A1945" t="n">
        <v>39</v>
      </c>
      <c r="B1945" s="35">
        <f>IF(Setup!$B$24="","",Setup!$B$24)</f>
        <v/>
      </c>
      <c r="C1945" s="98" t="n"/>
      <c r="D1945" s="99" t="n"/>
      <c r="E1945" s="99" t="n"/>
      <c r="F1945" s="100" t="n"/>
      <c r="G1945" s="98" t="n"/>
      <c r="H1945" s="99" t="n"/>
      <c r="I1945" s="99" t="n"/>
      <c r="J1945" s="100" t="n"/>
      <c r="K1945" s="98" t="n"/>
      <c r="L1945" s="99" t="n"/>
      <c r="M1945" s="99" t="n"/>
      <c r="N1945" s="100" t="n"/>
      <c r="O1945" s="98" t="n"/>
      <c r="P1945" s="99" t="n"/>
      <c r="Q1945" s="99" t="n"/>
      <c r="R1945" s="100" t="n"/>
      <c r="S1945" s="98" t="n"/>
      <c r="T1945" s="99" t="n"/>
      <c r="U1945" s="99" t="n"/>
      <c r="V1945" s="100" t="n"/>
      <c r="W1945" s="98" t="n"/>
      <c r="X1945" s="100" t="n"/>
      <c r="Y1945" s="98" t="n"/>
      <c r="Z1945" s="100" t="n"/>
      <c r="AB1945" s="101">
        <f>IF($B1945="","",(COUNTIF(C1908:E1925,$B1945)+COUNTIF(C1908:E1925,$B1945&amp;" ~*")&gt;0)+(COUNTIF(G1908:I1925,$B1945)+COUNTIF(G1908:I1925,$B1945&amp;" ~*")&gt;0)+(COUNTIF(K1908:M1925,$B1945)+COUNTIF(K1908:M1925,$B1945&amp;" ~*")&gt;0)+(COUNTIF(O1908:Q1925,$B1945)+COUNTIF(O1908:Q1925,$B1945&amp;" ~*")&gt;0)+(COUNTIF(S1908:U1925,$B1945)+COUNTIF(S1908:U1925,$B1945&amp;" ~*")&gt;0)+(COUNTIF(W1908:W1925,$B1945)+COUNTIF(W1908:W1925,$B1945&amp;" ~*")&gt;0)+(COUNTIF(Y1908:Y1925,$B1945)+COUNTIF(Y1908:Y1925,$B1945&amp;" ~*")&gt;0))</f>
        <v/>
      </c>
      <c r="AC1945" s="36">
        <f>IF($B1945="","",(IFERROR(INDEX(Setup!$G$33:$G$40,MATCH(C1945,Setup!$B$33:$B$40,0)),0)=1)*(COUNTIF(C1908:E1925,$B1945)+COUNTIF(C1908:E1925,$B1945&amp;" ~*")&gt;0)+(IFERROR(INDEX(Setup!$G$33:$G$40,MATCH(G1945,Setup!$B$33:$B$40,0)),0)=1)*(COUNTIF(G1908:I1925,$B1945)+COUNTIF(G1908:I1925,$B1945&amp;" ~*")&gt;0)+(IFERROR(INDEX(Setup!$G$33:$G$40,MATCH(K1945,Setup!$B$33:$B$40,0)),0)=1)*(COUNTIF(K1908:M1925,$B1945)+COUNTIF(K1908:M1925,$B1945&amp;" ~*")&gt;0)+(IFERROR(INDEX(Setup!$G$33:$G$40,MATCH(O1945,Setup!$B$33:$B$40,0)),0)=1)*(COUNTIF(O1908:Q1925,$B1945)+COUNTIF(O1908:Q1925,$B1945&amp;" ~*")&gt;0)+(IFERROR(INDEX(Setup!$G$33:$G$40,MATCH(S1945,Setup!$B$33:$B$40,0)),0)=1)*(COUNTIF(S1908:U1925,$B1945)+COUNTIF(S1908:U1925,$B1945&amp;" ~*")&gt;0)+(IFERROR(INDEX(Setup!$G$33:$G$40,MATCH(W1945,Setup!$B$33:$B$40,0)),0)=1)*(COUNTIF(W1908:W1925,$B1945)+COUNTIF(W1908:W1925,$B1945&amp;" ~*")&gt;0)+(IFERROR(INDEX(Setup!$G$33:$G$40,MATCH(Y1945,Setup!$B$33:$B$40,0)),0)=1)*(COUNTIF(Y1908:Y1925,$B1945)+COUNTIF(Y1908:Y1925,$B1945&amp;" ~*")&gt;0))</f>
        <v/>
      </c>
    </row>
    <row r="1946" ht="15" customHeight="1">
      <c r="A1946" t="n">
        <v>39</v>
      </c>
      <c r="B1946" s="37">
        <f>IF(Setup!$B$25="","",Setup!$B$25)</f>
        <v/>
      </c>
      <c r="C1946" s="102" t="n"/>
      <c r="D1946" s="103" t="n"/>
      <c r="E1946" s="103" t="n"/>
      <c r="F1946" s="104" t="n"/>
      <c r="G1946" s="102" t="n"/>
      <c r="H1946" s="103" t="n"/>
      <c r="I1946" s="103" t="n"/>
      <c r="J1946" s="104" t="n"/>
      <c r="K1946" s="102" t="n"/>
      <c r="L1946" s="103" t="n"/>
      <c r="M1946" s="103" t="n"/>
      <c r="N1946" s="104" t="n"/>
      <c r="O1946" s="102" t="n"/>
      <c r="P1946" s="103" t="n"/>
      <c r="Q1946" s="103" t="n"/>
      <c r="R1946" s="104" t="n"/>
      <c r="S1946" s="102" t="n"/>
      <c r="T1946" s="103" t="n"/>
      <c r="U1946" s="103" t="n"/>
      <c r="V1946" s="104" t="n"/>
      <c r="W1946" s="102" t="n"/>
      <c r="X1946" s="104" t="n"/>
      <c r="Y1946" s="102" t="n"/>
      <c r="Z1946" s="104" t="n"/>
      <c r="AB1946" s="105">
        <f>IF($B1946="","",(COUNTIF(C1908:E1925,$B1946)+COUNTIF(C1908:E1925,$B1946&amp;" ~*")&gt;0)+(COUNTIF(G1908:I1925,$B1946)+COUNTIF(G1908:I1925,$B1946&amp;" ~*")&gt;0)+(COUNTIF(K1908:M1925,$B1946)+COUNTIF(K1908:M1925,$B1946&amp;" ~*")&gt;0)+(COUNTIF(O1908:Q1925,$B1946)+COUNTIF(O1908:Q1925,$B1946&amp;" ~*")&gt;0)+(COUNTIF(S1908:U1925,$B1946)+COUNTIF(S1908:U1925,$B1946&amp;" ~*")&gt;0)+(COUNTIF(W1908:W1925,$B1946)+COUNTIF(W1908:W1925,$B1946&amp;" ~*")&gt;0)+(COUNTIF(Y1908:Y1925,$B1946)+COUNTIF(Y1908:Y1925,$B1946&amp;" ~*")&gt;0))</f>
        <v/>
      </c>
      <c r="AC1946" s="38">
        <f>IF($B1946="","",(IFERROR(INDEX(Setup!$G$33:$G$40,MATCH(C1946,Setup!$B$33:$B$40,0)),0)=1)*(COUNTIF(C1908:E1925,$B1946)+COUNTIF(C1908:E1925,$B1946&amp;" ~*")&gt;0)+(IFERROR(INDEX(Setup!$G$33:$G$40,MATCH(G1946,Setup!$B$33:$B$40,0)),0)=1)*(COUNTIF(G1908:I1925,$B1946)+COUNTIF(G1908:I1925,$B1946&amp;" ~*")&gt;0)+(IFERROR(INDEX(Setup!$G$33:$G$40,MATCH(K1946,Setup!$B$33:$B$40,0)),0)=1)*(COUNTIF(K1908:M1925,$B1946)+COUNTIF(K1908:M1925,$B1946&amp;" ~*")&gt;0)+(IFERROR(INDEX(Setup!$G$33:$G$40,MATCH(O1946,Setup!$B$33:$B$40,0)),0)=1)*(COUNTIF(O1908:Q1925,$B1946)+COUNTIF(O1908:Q1925,$B1946&amp;" ~*")&gt;0)+(IFERROR(INDEX(Setup!$G$33:$G$40,MATCH(S1946,Setup!$B$33:$B$40,0)),0)=1)*(COUNTIF(S1908:U1925,$B1946)+COUNTIF(S1908:U1925,$B1946&amp;" ~*")&gt;0)+(IFERROR(INDEX(Setup!$G$33:$G$40,MATCH(W1946,Setup!$B$33:$B$40,0)),0)=1)*(COUNTIF(W1908:W1925,$B1946)+COUNTIF(W1908:W1925,$B1946&amp;" ~*")&gt;0)+(IFERROR(INDEX(Setup!$G$33:$G$40,MATCH(Y1946,Setup!$B$33:$B$40,0)),0)=1)*(COUNTIF(Y1908:Y1925,$B1946)+COUNTIF(Y1908:Y1925,$B1946&amp;" ~*")&gt;0))</f>
        <v/>
      </c>
    </row>
    <row r="1947" ht="15" customHeight="1">
      <c r="A1947" t="n">
        <v>39</v>
      </c>
      <c r="B1947" s="35">
        <f>IF(Setup!$B$26="","",Setup!$B$26)</f>
        <v/>
      </c>
      <c r="C1947" s="98" t="n"/>
      <c r="D1947" s="99" t="n"/>
      <c r="E1947" s="99" t="n"/>
      <c r="F1947" s="100" t="n"/>
      <c r="G1947" s="98" t="n"/>
      <c r="H1947" s="99" t="n"/>
      <c r="I1947" s="99" t="n"/>
      <c r="J1947" s="100" t="n"/>
      <c r="K1947" s="98" t="n"/>
      <c r="L1947" s="99" t="n"/>
      <c r="M1947" s="99" t="n"/>
      <c r="N1947" s="100" t="n"/>
      <c r="O1947" s="98" t="n"/>
      <c r="P1947" s="99" t="n"/>
      <c r="Q1947" s="99" t="n"/>
      <c r="R1947" s="100" t="n"/>
      <c r="S1947" s="98" t="n"/>
      <c r="T1947" s="99" t="n"/>
      <c r="U1947" s="99" t="n"/>
      <c r="V1947" s="100" t="n"/>
      <c r="W1947" s="98" t="n"/>
      <c r="X1947" s="100" t="n"/>
      <c r="Y1947" s="98" t="n"/>
      <c r="Z1947" s="100" t="n"/>
      <c r="AB1947" s="101">
        <f>IF($B1947="","",(COUNTIF(C1908:E1925,$B1947)+COUNTIF(C1908:E1925,$B1947&amp;" ~*")&gt;0)+(COUNTIF(G1908:I1925,$B1947)+COUNTIF(G1908:I1925,$B1947&amp;" ~*")&gt;0)+(COUNTIF(K1908:M1925,$B1947)+COUNTIF(K1908:M1925,$B1947&amp;" ~*")&gt;0)+(COUNTIF(O1908:Q1925,$B1947)+COUNTIF(O1908:Q1925,$B1947&amp;" ~*")&gt;0)+(COUNTIF(S1908:U1925,$B1947)+COUNTIF(S1908:U1925,$B1947&amp;" ~*")&gt;0)+(COUNTIF(W1908:W1925,$B1947)+COUNTIF(W1908:W1925,$B1947&amp;" ~*")&gt;0)+(COUNTIF(Y1908:Y1925,$B1947)+COUNTIF(Y1908:Y1925,$B1947&amp;" ~*")&gt;0))</f>
        <v/>
      </c>
      <c r="AC1947" s="36">
        <f>IF($B1947="","",(IFERROR(INDEX(Setup!$G$33:$G$40,MATCH(C1947,Setup!$B$33:$B$40,0)),0)=1)*(COUNTIF(C1908:E1925,$B1947)+COUNTIF(C1908:E1925,$B1947&amp;" ~*")&gt;0)+(IFERROR(INDEX(Setup!$G$33:$G$40,MATCH(G1947,Setup!$B$33:$B$40,0)),0)=1)*(COUNTIF(G1908:I1925,$B1947)+COUNTIF(G1908:I1925,$B1947&amp;" ~*")&gt;0)+(IFERROR(INDEX(Setup!$G$33:$G$40,MATCH(K1947,Setup!$B$33:$B$40,0)),0)=1)*(COUNTIF(K1908:M1925,$B1947)+COUNTIF(K1908:M1925,$B1947&amp;" ~*")&gt;0)+(IFERROR(INDEX(Setup!$G$33:$G$40,MATCH(O1947,Setup!$B$33:$B$40,0)),0)=1)*(COUNTIF(O1908:Q1925,$B1947)+COUNTIF(O1908:Q1925,$B1947&amp;" ~*")&gt;0)+(IFERROR(INDEX(Setup!$G$33:$G$40,MATCH(S1947,Setup!$B$33:$B$40,0)),0)=1)*(COUNTIF(S1908:U1925,$B1947)+COUNTIF(S1908:U1925,$B1947&amp;" ~*")&gt;0)+(IFERROR(INDEX(Setup!$G$33:$G$40,MATCH(W1947,Setup!$B$33:$B$40,0)),0)=1)*(COUNTIF(W1908:W1925,$B1947)+COUNTIF(W1908:W1925,$B1947&amp;" ~*")&gt;0)+(IFERROR(INDEX(Setup!$G$33:$G$40,MATCH(Y1947,Setup!$B$33:$B$40,0)),0)=1)*(COUNTIF(Y1908:Y1925,$B1947)+COUNTIF(Y1908:Y1925,$B1947&amp;" ~*")&gt;0))</f>
        <v/>
      </c>
    </row>
    <row r="1948" ht="15" customHeight="1">
      <c r="A1948" t="n">
        <v>39</v>
      </c>
      <c r="B1948" s="37">
        <f>IF(Setup!$B$27="","",Setup!$B$27)</f>
        <v/>
      </c>
      <c r="C1948" s="102" t="n"/>
      <c r="D1948" s="103" t="n"/>
      <c r="E1948" s="103" t="n"/>
      <c r="F1948" s="104" t="n"/>
      <c r="G1948" s="102" t="n"/>
      <c r="H1948" s="103" t="n"/>
      <c r="I1948" s="103" t="n"/>
      <c r="J1948" s="104" t="n"/>
      <c r="K1948" s="102" t="n"/>
      <c r="L1948" s="103" t="n"/>
      <c r="M1948" s="103" t="n"/>
      <c r="N1948" s="104" t="n"/>
      <c r="O1948" s="102" t="n"/>
      <c r="P1948" s="103" t="n"/>
      <c r="Q1948" s="103" t="n"/>
      <c r="R1948" s="104" t="n"/>
      <c r="S1948" s="102" t="n"/>
      <c r="T1948" s="103" t="n"/>
      <c r="U1948" s="103" t="n"/>
      <c r="V1948" s="104" t="n"/>
      <c r="W1948" s="102" t="n"/>
      <c r="X1948" s="104" t="n"/>
      <c r="Y1948" s="102" t="n"/>
      <c r="Z1948" s="104" t="n"/>
      <c r="AB1948" s="105">
        <f>IF($B1948="","",(COUNTIF(C1908:E1925,$B1948)+COUNTIF(C1908:E1925,$B1948&amp;" ~*")&gt;0)+(COUNTIF(G1908:I1925,$B1948)+COUNTIF(G1908:I1925,$B1948&amp;" ~*")&gt;0)+(COUNTIF(K1908:M1925,$B1948)+COUNTIF(K1908:M1925,$B1948&amp;" ~*")&gt;0)+(COUNTIF(O1908:Q1925,$B1948)+COUNTIF(O1908:Q1925,$B1948&amp;" ~*")&gt;0)+(COUNTIF(S1908:U1925,$B1948)+COUNTIF(S1908:U1925,$B1948&amp;" ~*")&gt;0)+(COUNTIF(W1908:W1925,$B1948)+COUNTIF(W1908:W1925,$B1948&amp;" ~*")&gt;0)+(COUNTIF(Y1908:Y1925,$B1948)+COUNTIF(Y1908:Y1925,$B1948&amp;" ~*")&gt;0))</f>
        <v/>
      </c>
      <c r="AC1948" s="38">
        <f>IF($B1948="","",(IFERROR(INDEX(Setup!$G$33:$G$40,MATCH(C1948,Setup!$B$33:$B$40,0)),0)=1)*(COUNTIF(C1908:E1925,$B1948)+COUNTIF(C1908:E1925,$B1948&amp;" ~*")&gt;0)+(IFERROR(INDEX(Setup!$G$33:$G$40,MATCH(G1948,Setup!$B$33:$B$40,0)),0)=1)*(COUNTIF(G1908:I1925,$B1948)+COUNTIF(G1908:I1925,$B1948&amp;" ~*")&gt;0)+(IFERROR(INDEX(Setup!$G$33:$G$40,MATCH(K1948,Setup!$B$33:$B$40,0)),0)=1)*(COUNTIF(K1908:M1925,$B1948)+COUNTIF(K1908:M1925,$B1948&amp;" ~*")&gt;0)+(IFERROR(INDEX(Setup!$G$33:$G$40,MATCH(O1948,Setup!$B$33:$B$40,0)),0)=1)*(COUNTIF(O1908:Q1925,$B1948)+COUNTIF(O1908:Q1925,$B1948&amp;" ~*")&gt;0)+(IFERROR(INDEX(Setup!$G$33:$G$40,MATCH(S1948,Setup!$B$33:$B$40,0)),0)=1)*(COUNTIF(S1908:U1925,$B1948)+COUNTIF(S1908:U1925,$B1948&amp;" ~*")&gt;0)+(IFERROR(INDEX(Setup!$G$33:$G$40,MATCH(W1948,Setup!$B$33:$B$40,0)),0)=1)*(COUNTIF(W1908:W1925,$B1948)+COUNTIF(W1908:W1925,$B1948&amp;" ~*")&gt;0)+(IFERROR(INDEX(Setup!$G$33:$G$40,MATCH(Y1948,Setup!$B$33:$B$40,0)),0)=1)*(COUNTIF(Y1908:Y1925,$B1948)+COUNTIF(Y1908:Y1925,$B1948&amp;" ~*")&gt;0))</f>
        <v/>
      </c>
    </row>
    <row r="1949" ht="15" customHeight="1">
      <c r="A1949" t="n">
        <v>39</v>
      </c>
      <c r="B1949" s="35">
        <f>IF(Setup!$B$28="","",Setup!$B$28)</f>
        <v/>
      </c>
      <c r="C1949" s="98" t="n"/>
      <c r="D1949" s="99" t="n"/>
      <c r="E1949" s="99" t="n"/>
      <c r="F1949" s="100" t="n"/>
      <c r="G1949" s="98" t="n"/>
      <c r="H1949" s="99" t="n"/>
      <c r="I1949" s="99" t="n"/>
      <c r="J1949" s="100" t="n"/>
      <c r="K1949" s="98" t="n"/>
      <c r="L1949" s="99" t="n"/>
      <c r="M1949" s="99" t="n"/>
      <c r="N1949" s="100" t="n"/>
      <c r="O1949" s="98" t="n"/>
      <c r="P1949" s="99" t="n"/>
      <c r="Q1949" s="99" t="n"/>
      <c r="R1949" s="100" t="n"/>
      <c r="S1949" s="98" t="n"/>
      <c r="T1949" s="99" t="n"/>
      <c r="U1949" s="99" t="n"/>
      <c r="V1949" s="100" t="n"/>
      <c r="W1949" s="98" t="n"/>
      <c r="X1949" s="100" t="n"/>
      <c r="Y1949" s="98" t="n"/>
      <c r="Z1949" s="100" t="n"/>
      <c r="AB1949" s="101">
        <f>IF($B1949="","",(COUNTIF(C1908:E1925,$B1949)+COUNTIF(C1908:E1925,$B1949&amp;" ~*")&gt;0)+(COUNTIF(G1908:I1925,$B1949)+COUNTIF(G1908:I1925,$B1949&amp;" ~*")&gt;0)+(COUNTIF(K1908:M1925,$B1949)+COUNTIF(K1908:M1925,$B1949&amp;" ~*")&gt;0)+(COUNTIF(O1908:Q1925,$B1949)+COUNTIF(O1908:Q1925,$B1949&amp;" ~*")&gt;0)+(COUNTIF(S1908:U1925,$B1949)+COUNTIF(S1908:U1925,$B1949&amp;" ~*")&gt;0)+(COUNTIF(W1908:W1925,$B1949)+COUNTIF(W1908:W1925,$B1949&amp;" ~*")&gt;0)+(COUNTIF(Y1908:Y1925,$B1949)+COUNTIF(Y1908:Y1925,$B1949&amp;" ~*")&gt;0))</f>
        <v/>
      </c>
      <c r="AC1949" s="36">
        <f>IF($B1949="","",(IFERROR(INDEX(Setup!$G$33:$G$40,MATCH(C1949,Setup!$B$33:$B$40,0)),0)=1)*(COUNTIF(C1908:E1925,$B1949)+COUNTIF(C1908:E1925,$B1949&amp;" ~*")&gt;0)+(IFERROR(INDEX(Setup!$G$33:$G$40,MATCH(G1949,Setup!$B$33:$B$40,0)),0)=1)*(COUNTIF(G1908:I1925,$B1949)+COUNTIF(G1908:I1925,$B1949&amp;" ~*")&gt;0)+(IFERROR(INDEX(Setup!$G$33:$G$40,MATCH(K1949,Setup!$B$33:$B$40,0)),0)=1)*(COUNTIF(K1908:M1925,$B1949)+COUNTIF(K1908:M1925,$B1949&amp;" ~*")&gt;0)+(IFERROR(INDEX(Setup!$G$33:$G$40,MATCH(O1949,Setup!$B$33:$B$40,0)),0)=1)*(COUNTIF(O1908:Q1925,$B1949)+COUNTIF(O1908:Q1925,$B1949&amp;" ~*")&gt;0)+(IFERROR(INDEX(Setup!$G$33:$G$40,MATCH(S1949,Setup!$B$33:$B$40,0)),0)=1)*(COUNTIF(S1908:U1925,$B1949)+COUNTIF(S1908:U1925,$B1949&amp;" ~*")&gt;0)+(IFERROR(INDEX(Setup!$G$33:$G$40,MATCH(W1949,Setup!$B$33:$B$40,0)),0)=1)*(COUNTIF(W1908:W1925,$B1949)+COUNTIF(W1908:W1925,$B1949&amp;" ~*")&gt;0)+(IFERROR(INDEX(Setup!$G$33:$G$40,MATCH(Y1949,Setup!$B$33:$B$40,0)),0)=1)*(COUNTIF(Y1908:Y1925,$B1949)+COUNTIF(Y1908:Y1925,$B1949&amp;" ~*")&gt;0))</f>
        <v/>
      </c>
    </row>
    <row r="1950" ht="15" customHeight="1">
      <c r="A1950" t="n">
        <v>39</v>
      </c>
      <c r="B1950" s="37">
        <f>IF(Setup!$B$29="","",Setup!$B$29)</f>
        <v/>
      </c>
      <c r="C1950" s="102" t="n"/>
      <c r="D1950" s="103" t="n"/>
      <c r="E1950" s="103" t="n"/>
      <c r="F1950" s="104" t="n"/>
      <c r="G1950" s="102" t="n"/>
      <c r="H1950" s="103" t="n"/>
      <c r="I1950" s="103" t="n"/>
      <c r="J1950" s="104" t="n"/>
      <c r="K1950" s="102" t="n"/>
      <c r="L1950" s="103" t="n"/>
      <c r="M1950" s="103" t="n"/>
      <c r="N1950" s="104" t="n"/>
      <c r="O1950" s="102" t="n"/>
      <c r="P1950" s="103" t="n"/>
      <c r="Q1950" s="103" t="n"/>
      <c r="R1950" s="104" t="n"/>
      <c r="S1950" s="102" t="n"/>
      <c r="T1950" s="103" t="n"/>
      <c r="U1950" s="103" t="n"/>
      <c r="V1950" s="104" t="n"/>
      <c r="W1950" s="102" t="n"/>
      <c r="X1950" s="104" t="n"/>
      <c r="Y1950" s="102" t="n"/>
      <c r="Z1950" s="104" t="n"/>
      <c r="AB1950" s="105">
        <f>IF($B1950="","",(COUNTIF(C1908:E1925,$B1950)+COUNTIF(C1908:E1925,$B1950&amp;" ~*")&gt;0)+(COUNTIF(G1908:I1925,$B1950)+COUNTIF(G1908:I1925,$B1950&amp;" ~*")&gt;0)+(COUNTIF(K1908:M1925,$B1950)+COUNTIF(K1908:M1925,$B1950&amp;" ~*")&gt;0)+(COUNTIF(O1908:Q1925,$B1950)+COUNTIF(O1908:Q1925,$B1950&amp;" ~*")&gt;0)+(COUNTIF(S1908:U1925,$B1950)+COUNTIF(S1908:U1925,$B1950&amp;" ~*")&gt;0)+(COUNTIF(W1908:W1925,$B1950)+COUNTIF(W1908:W1925,$B1950&amp;" ~*")&gt;0)+(COUNTIF(Y1908:Y1925,$B1950)+COUNTIF(Y1908:Y1925,$B1950&amp;" ~*")&gt;0))</f>
        <v/>
      </c>
      <c r="AC1950" s="38">
        <f>IF($B1950="","",(IFERROR(INDEX(Setup!$G$33:$G$40,MATCH(C1950,Setup!$B$33:$B$40,0)),0)=1)*(COUNTIF(C1908:E1925,$B1950)+COUNTIF(C1908:E1925,$B1950&amp;" ~*")&gt;0)+(IFERROR(INDEX(Setup!$G$33:$G$40,MATCH(G1950,Setup!$B$33:$B$40,0)),0)=1)*(COUNTIF(G1908:I1925,$B1950)+COUNTIF(G1908:I1925,$B1950&amp;" ~*")&gt;0)+(IFERROR(INDEX(Setup!$G$33:$G$40,MATCH(K1950,Setup!$B$33:$B$40,0)),0)=1)*(COUNTIF(K1908:M1925,$B1950)+COUNTIF(K1908:M1925,$B1950&amp;" ~*")&gt;0)+(IFERROR(INDEX(Setup!$G$33:$G$40,MATCH(O1950,Setup!$B$33:$B$40,0)),0)=1)*(COUNTIF(O1908:Q1925,$B1950)+COUNTIF(O1908:Q1925,$B1950&amp;" ~*")&gt;0)+(IFERROR(INDEX(Setup!$G$33:$G$40,MATCH(S1950,Setup!$B$33:$B$40,0)),0)=1)*(COUNTIF(S1908:U1925,$B1950)+COUNTIF(S1908:U1925,$B1950&amp;" ~*")&gt;0)+(IFERROR(INDEX(Setup!$G$33:$G$40,MATCH(W1950,Setup!$B$33:$B$40,0)),0)=1)*(COUNTIF(W1908:W1925,$B1950)+COUNTIF(W1908:W1925,$B1950&amp;" ~*")&gt;0)+(IFERROR(INDEX(Setup!$G$33:$G$40,MATCH(Y1950,Setup!$B$33:$B$40,0)),0)=1)*(COUNTIF(Y1908:Y1925,$B1950)+COUNTIF(Y1908:Y1925,$B1950&amp;" ~*")&gt;0))</f>
        <v/>
      </c>
    </row>
    <row r="1951" ht="16" customHeight="1">
      <c r="A1951" t="n">
        <v>39</v>
      </c>
      <c r="B1951" s="106" t="inlineStr">
        <is>
          <t>Available people</t>
        </is>
      </c>
      <c r="C1951" s="107">
        <f>COUNTIFS(Setup!$E$6:$E$29,"Y",Setup!$B$6:$B$29,"?*")-SUMPRODUCT(COUNTIF(C1927:C1950,Setup!$F$33:$F$40))</f>
        <v/>
      </c>
      <c r="D1951" s="107" t="n"/>
      <c r="E1951" s="107" t="n"/>
      <c r="F1951" s="107" t="n"/>
      <c r="G1951" s="107">
        <f>COUNTIFS(Setup!$E$6:$E$29,"Y",Setup!$B$6:$B$29,"?*")-SUMPRODUCT(COUNTIF(G1927:G1950,Setup!$F$33:$F$40))</f>
        <v/>
      </c>
      <c r="H1951" s="107" t="n"/>
      <c r="I1951" s="107" t="n"/>
      <c r="J1951" s="107" t="n"/>
      <c r="K1951" s="107">
        <f>COUNTIFS(Setup!$E$6:$E$29,"Y",Setup!$B$6:$B$29,"?*")-SUMPRODUCT(COUNTIF(K1927:K1950,Setup!$F$33:$F$40))</f>
        <v/>
      </c>
      <c r="L1951" s="107" t="n"/>
      <c r="M1951" s="107" t="n"/>
      <c r="N1951" s="107" t="n"/>
      <c r="O1951" s="107">
        <f>COUNTIFS(Setup!$E$6:$E$29,"Y",Setup!$B$6:$B$29,"?*")-SUMPRODUCT(COUNTIF(O1927:O1950,Setup!$F$33:$F$40))</f>
        <v/>
      </c>
      <c r="P1951" s="107" t="n"/>
      <c r="Q1951" s="107" t="n"/>
      <c r="R1951" s="107" t="n"/>
      <c r="S1951" s="107">
        <f>COUNTIFS(Setup!$E$6:$E$29,"Y",Setup!$B$6:$B$29,"?*")-SUMPRODUCT(COUNTIF(S1927:S1950,Setup!$F$33:$F$40))</f>
        <v/>
      </c>
      <c r="T1951" s="107" t="n"/>
      <c r="U1951" s="107" t="n"/>
      <c r="V1951" s="107" t="n"/>
      <c r="W1951" s="107">
        <f>COUNTIFS(Setup!$E$6:$E$29,"Y",Setup!$B$6:$B$29,"?*")-SUMPRODUCT(COUNTIF(W1927:W1950,Setup!$F$33:$F$40))</f>
        <v/>
      </c>
      <c r="X1951" s="107" t="n"/>
      <c r="Y1951" s="107">
        <f>COUNTIFS(Setup!$E$6:$E$29,"Y",Setup!$B$6:$B$29,"?*")-SUMPRODUCT(COUNTIF(Y1927:Y1950,Setup!$F$33:$F$40))</f>
        <v/>
      </c>
      <c r="Z1951" s="107" t="n"/>
      <c r="AB1951" s="108">
        <f>SUM(AB1927:AB1950)</f>
        <v/>
      </c>
      <c r="AC1951" s="109">
        <f>SUM(AC1927:AC1950)</f>
        <v/>
      </c>
    </row>
    <row r="1952" ht="30" customHeight="1">
      <c r="A1952" t="n">
        <v>39</v>
      </c>
      <c r="B1952" s="110" t="inlineStr">
        <is>
          <t>Week notes</t>
        </is>
      </c>
      <c r="C1952" s="111" t="n"/>
      <c r="D1952" s="112" t="n"/>
      <c r="E1952" s="112" t="n"/>
      <c r="F1952" s="112" t="n"/>
      <c r="G1952" s="112" t="n"/>
      <c r="H1952" s="112" t="n"/>
      <c r="I1952" s="112" t="n"/>
      <c r="J1952" s="112" t="n"/>
      <c r="K1952" s="112" t="n"/>
      <c r="L1952" s="112" t="n"/>
      <c r="M1952" s="112" t="n"/>
      <c r="N1952" s="112" t="n"/>
      <c r="O1952" s="112" t="n"/>
      <c r="P1952" s="112" t="n"/>
      <c r="Q1952" s="112" t="n"/>
      <c r="R1952" s="112" t="n"/>
      <c r="S1952" s="112" t="n"/>
      <c r="T1952" s="112" t="n"/>
      <c r="U1952" s="112" t="n"/>
      <c r="V1952" s="112" t="n"/>
      <c r="W1952" s="112" t="n"/>
      <c r="X1952" s="112" t="n"/>
      <c r="Y1952" s="112" t="n"/>
      <c r="Z1952" s="113" t="n"/>
    </row>
    <row r="1953" ht="8" customHeight="1">
      <c r="A1953" t="n">
        <v>39</v>
      </c>
    </row>
    <row r="1954" ht="8" customHeight="1">
      <c r="A1954" t="n">
        <v>39</v>
      </c>
    </row>
    <row r="1955" ht="24" customHeight="1">
      <c r="A1955" t="n">
        <v>40</v>
      </c>
      <c r="B1955" s="73">
        <f>"WEEK 40     "&amp;TEXT(C1956,"ddd d mmm")&amp;"  –  "&amp;TEXT(C1956+6,"ddd d mmm yyyy")</f>
        <v/>
      </c>
      <c r="S1955" s="74">
        <f>IF(TODAY()&lt;C1956,"FUTURE",IF(TODAY()&gt;C1956+6,"PAST","THIS WEEK"))</f>
        <v/>
      </c>
      <c r="W1955" s="75">
        <f>IF(AND(Engine!$B$8=$AC$3,Engine!$B$9=$A1955),"◀ ACTIVE WEEK","")</f>
        <v/>
      </c>
      <c r="AA1955" s="76" t="n"/>
      <c r="AB1955" s="77" t="inlineStr">
        <is>
          <t>◀ Prev</t>
        </is>
      </c>
      <c r="AC1955" s="77" t="inlineStr">
        <is>
          <t>Next ▶</t>
        </is>
      </c>
    </row>
    <row r="1956" ht="18" customHeight="1">
      <c r="A1956" t="n">
        <v>40</v>
      </c>
      <c r="B1956" s="78" t="inlineStr">
        <is>
          <t>DUTY</t>
        </is>
      </c>
      <c r="C1956" s="79">
        <f>$AC$2+7*($A1956-1)</f>
        <v/>
      </c>
      <c r="D1956" s="80" t="n"/>
      <c r="E1956" s="80" t="n"/>
      <c r="F1956" s="81" t="n"/>
      <c r="G1956" s="79">
        <f>C1956+1</f>
        <v/>
      </c>
      <c r="H1956" s="80" t="n"/>
      <c r="I1956" s="80" t="n"/>
      <c r="J1956" s="81" t="n"/>
      <c r="K1956" s="79">
        <f>C1956+2</f>
        <v/>
      </c>
      <c r="L1956" s="80" t="n"/>
      <c r="M1956" s="80" t="n"/>
      <c r="N1956" s="81" t="n"/>
      <c r="O1956" s="79">
        <f>C1956+3</f>
        <v/>
      </c>
      <c r="P1956" s="80" t="n"/>
      <c r="Q1956" s="80" t="n"/>
      <c r="R1956" s="81" t="n"/>
      <c r="S1956" s="79">
        <f>C1956+4</f>
        <v/>
      </c>
      <c r="T1956" s="80" t="n"/>
      <c r="U1956" s="80" t="n"/>
      <c r="V1956" s="81" t="n"/>
      <c r="W1956" s="82">
        <f>C1956+5</f>
        <v/>
      </c>
      <c r="X1956" s="83" t="n"/>
      <c r="Y1956" s="82">
        <f>C1956+6</f>
        <v/>
      </c>
      <c r="Z1956" s="83" t="n"/>
      <c r="AB1956" s="72" t="inlineStr">
        <is>
          <t>Gaps</t>
        </is>
      </c>
      <c r="AC1956" s="72" t="inlineStr">
        <is>
          <t>Cover</t>
        </is>
      </c>
    </row>
    <row r="1957" ht="14" customHeight="1">
      <c r="A1957" t="n">
        <v>40</v>
      </c>
      <c r="B1957" s="84" t="inlineStr">
        <is>
          <t>(from Setup)</t>
        </is>
      </c>
      <c r="C1957" s="85" t="inlineStr">
        <is>
          <t>1</t>
        </is>
      </c>
      <c r="D1957" s="85" t="inlineStr">
        <is>
          <t>2</t>
        </is>
      </c>
      <c r="E1957" s="85" t="inlineStr">
        <is>
          <t>3</t>
        </is>
      </c>
      <c r="F1957" s="85" t="inlineStr">
        <is>
          <t>Notes</t>
        </is>
      </c>
      <c r="G1957" s="85" t="inlineStr">
        <is>
          <t>1</t>
        </is>
      </c>
      <c r="H1957" s="85" t="inlineStr">
        <is>
          <t>2</t>
        </is>
      </c>
      <c r="I1957" s="85" t="inlineStr">
        <is>
          <t>3</t>
        </is>
      </c>
      <c r="J1957" s="85" t="inlineStr">
        <is>
          <t>Notes</t>
        </is>
      </c>
      <c r="K1957" s="85" t="inlineStr">
        <is>
          <t>1</t>
        </is>
      </c>
      <c r="L1957" s="85" t="inlineStr">
        <is>
          <t>2</t>
        </is>
      </c>
      <c r="M1957" s="85" t="inlineStr">
        <is>
          <t>3</t>
        </is>
      </c>
      <c r="N1957" s="85" t="inlineStr">
        <is>
          <t>Notes</t>
        </is>
      </c>
      <c r="O1957" s="85" t="inlineStr">
        <is>
          <t>1</t>
        </is>
      </c>
      <c r="P1957" s="85" t="inlineStr">
        <is>
          <t>2</t>
        </is>
      </c>
      <c r="Q1957" s="85" t="inlineStr">
        <is>
          <t>3</t>
        </is>
      </c>
      <c r="R1957" s="85" t="inlineStr">
        <is>
          <t>Notes</t>
        </is>
      </c>
      <c r="S1957" s="85" t="inlineStr">
        <is>
          <t>1</t>
        </is>
      </c>
      <c r="T1957" s="85" t="inlineStr">
        <is>
          <t>2</t>
        </is>
      </c>
      <c r="U1957" s="85" t="inlineStr">
        <is>
          <t>3</t>
        </is>
      </c>
      <c r="V1957" s="85" t="inlineStr">
        <is>
          <t>Notes</t>
        </is>
      </c>
      <c r="W1957" s="85" t="inlineStr">
        <is>
          <t>Cover</t>
        </is>
      </c>
      <c r="X1957" s="85" t="inlineStr">
        <is>
          <t>Notes</t>
        </is>
      </c>
      <c r="Y1957" s="85" t="inlineStr">
        <is>
          <t>Cover</t>
        </is>
      </c>
      <c r="Z1957" s="85" t="inlineStr">
        <is>
          <t>Notes</t>
        </is>
      </c>
      <c r="AB1957" s="86" t="inlineStr">
        <is>
          <t>weekdays short</t>
        </is>
      </c>
      <c r="AC1957" s="87" t="inlineStr"/>
    </row>
    <row r="1958" ht="17" customHeight="1">
      <c r="A1958" t="n">
        <v>40</v>
      </c>
      <c r="B1958" s="24">
        <f>IF(Setup!$K$6="","",Setup!$K$6)</f>
        <v/>
      </c>
      <c r="C1958" s="88" t="n"/>
      <c r="D1958" s="88" t="n"/>
      <c r="E1958" s="88" t="n"/>
      <c r="F1958" s="89" t="n"/>
      <c r="G1958" s="88" t="n"/>
      <c r="H1958" s="88" t="n"/>
      <c r="I1958" s="88" t="n"/>
      <c r="J1958" s="89" t="n"/>
      <c r="K1958" s="88" t="n"/>
      <c r="L1958" s="88" t="n"/>
      <c r="M1958" s="88" t="n"/>
      <c r="N1958" s="89" t="n"/>
      <c r="O1958" s="88" t="n"/>
      <c r="P1958" s="88" t="n"/>
      <c r="Q1958" s="88" t="n"/>
      <c r="R1958" s="89" t="n"/>
      <c r="S1958" s="88" t="n"/>
      <c r="T1958" s="88" t="n"/>
      <c r="U1958" s="88" t="n"/>
      <c r="V1958" s="89" t="n"/>
      <c r="W1958" s="88" t="n"/>
      <c r="X1958" s="89" t="n"/>
      <c r="Y1958" s="88" t="n"/>
      <c r="Z1958" s="89" t="n"/>
      <c r="AB1958" s="25">
        <f>IF($B1958="","",(COUNTIF(C1958:E1958,"?*")&lt;N(INDEX(Setup!$L$6:$L$23,1)))+(COUNTIF(G1958:I1958,"?*")&lt;N(INDEX(Setup!$L$6:$L$23,1)))+(COUNTIF(K1958:M1958,"?*")&lt;N(INDEX(Setup!$L$6:$L$23,1)))+(COUNTIF(O1958:Q1958,"?*")&lt;N(INDEX(Setup!$L$6:$L$23,1)))+(COUNTIF(S1958:U1958,"?*")&lt;N(INDEX(Setup!$L$6:$L$23,1)))+((W1958="")*(INDEX(Setup!$M$6:$M$23,1)="Y"))+((Y1958="")*(INDEX(Setup!$M$6:$M$23,1)="Y")))</f>
        <v/>
      </c>
      <c r="AC1958" s="90">
        <f>IF($B1958="","",IF(AB1958=0,"✓ covered","⚠ "&amp;AB1958&amp;IF(AB1958=1," gap"," gaps")))</f>
        <v/>
      </c>
    </row>
    <row r="1959" ht="17" customHeight="1">
      <c r="A1959" t="n">
        <v>40</v>
      </c>
      <c r="B1959" s="29">
        <f>IF(Setup!$K$7="","",Setup!$K$7)</f>
        <v/>
      </c>
      <c r="C1959" s="88" t="n"/>
      <c r="D1959" s="88" t="n"/>
      <c r="E1959" s="88" t="n"/>
      <c r="F1959" s="89" t="n"/>
      <c r="G1959" s="88" t="n"/>
      <c r="H1959" s="88" t="n"/>
      <c r="I1959" s="88" t="n"/>
      <c r="J1959" s="89" t="n"/>
      <c r="K1959" s="88" t="n"/>
      <c r="L1959" s="88" t="n"/>
      <c r="M1959" s="88" t="n"/>
      <c r="N1959" s="89" t="n"/>
      <c r="O1959" s="88" t="n"/>
      <c r="P1959" s="88" t="n"/>
      <c r="Q1959" s="88" t="n"/>
      <c r="R1959" s="89" t="n"/>
      <c r="S1959" s="88" t="n"/>
      <c r="T1959" s="88" t="n"/>
      <c r="U1959" s="88" t="n"/>
      <c r="V1959" s="89" t="n"/>
      <c r="W1959" s="88" t="n"/>
      <c r="X1959" s="89" t="n"/>
      <c r="Y1959" s="88" t="n"/>
      <c r="Z1959" s="89" t="n"/>
      <c r="AB1959" s="30">
        <f>IF($B1959="","",(COUNTIF(C1959:E1959,"?*")&lt;N(INDEX(Setup!$L$6:$L$23,2)))+(COUNTIF(G1959:I1959,"?*")&lt;N(INDEX(Setup!$L$6:$L$23,2)))+(COUNTIF(K1959:M1959,"?*")&lt;N(INDEX(Setup!$L$6:$L$23,2)))+(COUNTIF(O1959:Q1959,"?*")&lt;N(INDEX(Setup!$L$6:$L$23,2)))+(COUNTIF(S1959:U1959,"?*")&lt;N(INDEX(Setup!$L$6:$L$23,2)))+((W1959="")*(INDEX(Setup!$M$6:$M$23,2)="Y"))+((Y1959="")*(INDEX(Setup!$M$6:$M$23,2)="Y")))</f>
        <v/>
      </c>
      <c r="AC1959" s="91">
        <f>IF($B1959="","",IF(AB1959=0,"✓ covered","⚠ "&amp;AB1959&amp;IF(AB1959=1," gap"," gaps")))</f>
        <v/>
      </c>
    </row>
    <row r="1960" ht="17" customHeight="1">
      <c r="A1960" t="n">
        <v>40</v>
      </c>
      <c r="B1960" s="24">
        <f>IF(Setup!$K$8="","",Setup!$K$8)</f>
        <v/>
      </c>
      <c r="C1960" s="88" t="n"/>
      <c r="D1960" s="88" t="n"/>
      <c r="E1960" s="88" t="n"/>
      <c r="F1960" s="89" t="n"/>
      <c r="G1960" s="88" t="n"/>
      <c r="H1960" s="88" t="n"/>
      <c r="I1960" s="88" t="n"/>
      <c r="J1960" s="89" t="n"/>
      <c r="K1960" s="88" t="n"/>
      <c r="L1960" s="88" t="n"/>
      <c r="M1960" s="88" t="n"/>
      <c r="N1960" s="89" t="n"/>
      <c r="O1960" s="88" t="n"/>
      <c r="P1960" s="88" t="n"/>
      <c r="Q1960" s="88" t="n"/>
      <c r="R1960" s="89" t="n"/>
      <c r="S1960" s="88" t="n"/>
      <c r="T1960" s="88" t="n"/>
      <c r="U1960" s="88" t="n"/>
      <c r="V1960" s="89" t="n"/>
      <c r="W1960" s="88" t="n"/>
      <c r="X1960" s="89" t="n"/>
      <c r="Y1960" s="88" t="n"/>
      <c r="Z1960" s="89" t="n"/>
      <c r="AB1960" s="25">
        <f>IF($B1960="","",(COUNTIF(C1960:E1960,"?*")&lt;N(INDEX(Setup!$L$6:$L$23,3)))+(COUNTIF(G1960:I1960,"?*")&lt;N(INDEX(Setup!$L$6:$L$23,3)))+(COUNTIF(K1960:M1960,"?*")&lt;N(INDEX(Setup!$L$6:$L$23,3)))+(COUNTIF(O1960:Q1960,"?*")&lt;N(INDEX(Setup!$L$6:$L$23,3)))+(COUNTIF(S1960:U1960,"?*")&lt;N(INDEX(Setup!$L$6:$L$23,3)))+((W1960="")*(INDEX(Setup!$M$6:$M$23,3)="Y"))+((Y1960="")*(INDEX(Setup!$M$6:$M$23,3)="Y")))</f>
        <v/>
      </c>
      <c r="AC1960" s="90">
        <f>IF($B1960="","",IF(AB1960=0,"✓ covered","⚠ "&amp;AB1960&amp;IF(AB1960=1," gap"," gaps")))</f>
        <v/>
      </c>
    </row>
    <row r="1961" ht="17" customHeight="1">
      <c r="A1961" t="n">
        <v>40</v>
      </c>
      <c r="B1961" s="29">
        <f>IF(Setup!$K$9="","",Setup!$K$9)</f>
        <v/>
      </c>
      <c r="C1961" s="88" t="n"/>
      <c r="D1961" s="88" t="n"/>
      <c r="E1961" s="88" t="n"/>
      <c r="F1961" s="89" t="n"/>
      <c r="G1961" s="88" t="n"/>
      <c r="H1961" s="88" t="n"/>
      <c r="I1961" s="88" t="n"/>
      <c r="J1961" s="89" t="n"/>
      <c r="K1961" s="88" t="n"/>
      <c r="L1961" s="88" t="n"/>
      <c r="M1961" s="88" t="n"/>
      <c r="N1961" s="89" t="n"/>
      <c r="O1961" s="88" t="n"/>
      <c r="P1961" s="88" t="n"/>
      <c r="Q1961" s="88" t="n"/>
      <c r="R1961" s="89" t="n"/>
      <c r="S1961" s="88" t="n"/>
      <c r="T1961" s="88" t="n"/>
      <c r="U1961" s="88" t="n"/>
      <c r="V1961" s="89" t="n"/>
      <c r="W1961" s="88" t="n"/>
      <c r="X1961" s="89" t="n"/>
      <c r="Y1961" s="88" t="n"/>
      <c r="Z1961" s="89" t="n"/>
      <c r="AB1961" s="30">
        <f>IF($B1961="","",(COUNTIF(C1961:E1961,"?*")&lt;N(INDEX(Setup!$L$6:$L$23,4)))+(COUNTIF(G1961:I1961,"?*")&lt;N(INDEX(Setup!$L$6:$L$23,4)))+(COUNTIF(K1961:M1961,"?*")&lt;N(INDEX(Setup!$L$6:$L$23,4)))+(COUNTIF(O1961:Q1961,"?*")&lt;N(INDEX(Setup!$L$6:$L$23,4)))+(COUNTIF(S1961:U1961,"?*")&lt;N(INDEX(Setup!$L$6:$L$23,4)))+((W1961="")*(INDEX(Setup!$M$6:$M$23,4)="Y"))+((Y1961="")*(INDEX(Setup!$M$6:$M$23,4)="Y")))</f>
        <v/>
      </c>
      <c r="AC1961" s="91">
        <f>IF($B1961="","",IF(AB1961=0,"✓ covered","⚠ "&amp;AB1961&amp;IF(AB1961=1," gap"," gaps")))</f>
        <v/>
      </c>
    </row>
    <row r="1962" ht="17" customHeight="1">
      <c r="A1962" t="n">
        <v>40</v>
      </c>
      <c r="B1962" s="24">
        <f>IF(Setup!$K$10="","",Setup!$K$10)</f>
        <v/>
      </c>
      <c r="C1962" s="88" t="n"/>
      <c r="D1962" s="88" t="n"/>
      <c r="E1962" s="88" t="n"/>
      <c r="F1962" s="89" t="n"/>
      <c r="G1962" s="88" t="n"/>
      <c r="H1962" s="88" t="n"/>
      <c r="I1962" s="88" t="n"/>
      <c r="J1962" s="89" t="n"/>
      <c r="K1962" s="88" t="n"/>
      <c r="L1962" s="88" t="n"/>
      <c r="M1962" s="88" t="n"/>
      <c r="N1962" s="89" t="n"/>
      <c r="O1962" s="88" t="n"/>
      <c r="P1962" s="88" t="n"/>
      <c r="Q1962" s="88" t="n"/>
      <c r="R1962" s="89" t="n"/>
      <c r="S1962" s="88" t="n"/>
      <c r="T1962" s="88" t="n"/>
      <c r="U1962" s="88" t="n"/>
      <c r="V1962" s="89" t="n"/>
      <c r="W1962" s="88" t="n"/>
      <c r="X1962" s="89" t="n"/>
      <c r="Y1962" s="88" t="n"/>
      <c r="Z1962" s="89" t="n"/>
      <c r="AB1962" s="25">
        <f>IF($B1962="","",(COUNTIF(C1962:E1962,"?*")&lt;N(INDEX(Setup!$L$6:$L$23,5)))+(COUNTIF(G1962:I1962,"?*")&lt;N(INDEX(Setup!$L$6:$L$23,5)))+(COUNTIF(K1962:M1962,"?*")&lt;N(INDEX(Setup!$L$6:$L$23,5)))+(COUNTIF(O1962:Q1962,"?*")&lt;N(INDEX(Setup!$L$6:$L$23,5)))+(COUNTIF(S1962:U1962,"?*")&lt;N(INDEX(Setup!$L$6:$L$23,5)))+((W1962="")*(INDEX(Setup!$M$6:$M$23,5)="Y"))+((Y1962="")*(INDEX(Setup!$M$6:$M$23,5)="Y")))</f>
        <v/>
      </c>
      <c r="AC1962" s="90">
        <f>IF($B1962="","",IF(AB1962=0,"✓ covered","⚠ "&amp;AB1962&amp;IF(AB1962=1," gap"," gaps")))</f>
        <v/>
      </c>
    </row>
    <row r="1963" ht="17" customHeight="1">
      <c r="A1963" t="n">
        <v>40</v>
      </c>
      <c r="B1963" s="29">
        <f>IF(Setup!$K$11="","",Setup!$K$11)</f>
        <v/>
      </c>
      <c r="C1963" s="88" t="n"/>
      <c r="D1963" s="88" t="n"/>
      <c r="E1963" s="88" t="n"/>
      <c r="F1963" s="89" t="n"/>
      <c r="G1963" s="88" t="n"/>
      <c r="H1963" s="88" t="n"/>
      <c r="I1963" s="88" t="n"/>
      <c r="J1963" s="89" t="n"/>
      <c r="K1963" s="88" t="n"/>
      <c r="L1963" s="88" t="n"/>
      <c r="M1963" s="88" t="n"/>
      <c r="N1963" s="89" t="n"/>
      <c r="O1963" s="88" t="n"/>
      <c r="P1963" s="88" t="n"/>
      <c r="Q1963" s="88" t="n"/>
      <c r="R1963" s="89" t="n"/>
      <c r="S1963" s="88" t="n"/>
      <c r="T1963" s="88" t="n"/>
      <c r="U1963" s="88" t="n"/>
      <c r="V1963" s="89" t="n"/>
      <c r="W1963" s="88" t="n"/>
      <c r="X1963" s="89" t="n"/>
      <c r="Y1963" s="88" t="n"/>
      <c r="Z1963" s="89" t="n"/>
      <c r="AB1963" s="30">
        <f>IF($B1963="","",(COUNTIF(C1963:E1963,"?*")&lt;N(INDEX(Setup!$L$6:$L$23,6)))+(COUNTIF(G1963:I1963,"?*")&lt;N(INDEX(Setup!$L$6:$L$23,6)))+(COUNTIF(K1963:M1963,"?*")&lt;N(INDEX(Setup!$L$6:$L$23,6)))+(COUNTIF(O1963:Q1963,"?*")&lt;N(INDEX(Setup!$L$6:$L$23,6)))+(COUNTIF(S1963:U1963,"?*")&lt;N(INDEX(Setup!$L$6:$L$23,6)))+((W1963="")*(INDEX(Setup!$M$6:$M$23,6)="Y"))+((Y1963="")*(INDEX(Setup!$M$6:$M$23,6)="Y")))</f>
        <v/>
      </c>
      <c r="AC1963" s="91">
        <f>IF($B1963="","",IF(AB1963=0,"✓ covered","⚠ "&amp;AB1963&amp;IF(AB1963=1," gap"," gaps")))</f>
        <v/>
      </c>
    </row>
    <row r="1964" ht="17" customHeight="1">
      <c r="A1964" t="n">
        <v>40</v>
      </c>
      <c r="B1964" s="24">
        <f>IF(Setup!$K$12="","",Setup!$K$12)</f>
        <v/>
      </c>
      <c r="C1964" s="88" t="n"/>
      <c r="D1964" s="88" t="n"/>
      <c r="E1964" s="88" t="n"/>
      <c r="F1964" s="89" t="n"/>
      <c r="G1964" s="88" t="n"/>
      <c r="H1964" s="88" t="n"/>
      <c r="I1964" s="88" t="n"/>
      <c r="J1964" s="89" t="n"/>
      <c r="K1964" s="88" t="n"/>
      <c r="L1964" s="88" t="n"/>
      <c r="M1964" s="88" t="n"/>
      <c r="N1964" s="89" t="n"/>
      <c r="O1964" s="88" t="n"/>
      <c r="P1964" s="88" t="n"/>
      <c r="Q1964" s="88" t="n"/>
      <c r="R1964" s="89" t="n"/>
      <c r="S1964" s="88" t="n"/>
      <c r="T1964" s="88" t="n"/>
      <c r="U1964" s="88" t="n"/>
      <c r="V1964" s="89" t="n"/>
      <c r="W1964" s="88" t="n"/>
      <c r="X1964" s="89" t="n"/>
      <c r="Y1964" s="88" t="n"/>
      <c r="Z1964" s="89" t="n"/>
      <c r="AB1964" s="25">
        <f>IF($B1964="","",(COUNTIF(C1964:E1964,"?*")&lt;N(INDEX(Setup!$L$6:$L$23,7)))+(COUNTIF(G1964:I1964,"?*")&lt;N(INDEX(Setup!$L$6:$L$23,7)))+(COUNTIF(K1964:M1964,"?*")&lt;N(INDEX(Setup!$L$6:$L$23,7)))+(COUNTIF(O1964:Q1964,"?*")&lt;N(INDEX(Setup!$L$6:$L$23,7)))+(COUNTIF(S1964:U1964,"?*")&lt;N(INDEX(Setup!$L$6:$L$23,7)))+((W1964="")*(INDEX(Setup!$M$6:$M$23,7)="Y"))+((Y1964="")*(INDEX(Setup!$M$6:$M$23,7)="Y")))</f>
        <v/>
      </c>
      <c r="AC1964" s="90">
        <f>IF($B1964="","",IF(AB1964=0,"✓ covered","⚠ "&amp;AB1964&amp;IF(AB1964=1," gap"," gaps")))</f>
        <v/>
      </c>
    </row>
    <row r="1965" ht="17" customHeight="1">
      <c r="A1965" t="n">
        <v>40</v>
      </c>
      <c r="B1965" s="29">
        <f>IF(Setup!$K$13="","",Setup!$K$13)</f>
        <v/>
      </c>
      <c r="C1965" s="88" t="n"/>
      <c r="D1965" s="88" t="n"/>
      <c r="E1965" s="88" t="n"/>
      <c r="F1965" s="89" t="n"/>
      <c r="G1965" s="88" t="n"/>
      <c r="H1965" s="88" t="n"/>
      <c r="I1965" s="88" t="n"/>
      <c r="J1965" s="89" t="n"/>
      <c r="K1965" s="88" t="n"/>
      <c r="L1965" s="88" t="n"/>
      <c r="M1965" s="88" t="n"/>
      <c r="N1965" s="89" t="n"/>
      <c r="O1965" s="88" t="n"/>
      <c r="P1965" s="88" t="n"/>
      <c r="Q1965" s="88" t="n"/>
      <c r="R1965" s="89" t="n"/>
      <c r="S1965" s="88" t="n"/>
      <c r="T1965" s="88" t="n"/>
      <c r="U1965" s="88" t="n"/>
      <c r="V1965" s="89" t="n"/>
      <c r="W1965" s="88" t="n"/>
      <c r="X1965" s="89" t="n"/>
      <c r="Y1965" s="88" t="n"/>
      <c r="Z1965" s="89" t="n"/>
      <c r="AB1965" s="30">
        <f>IF($B1965="","",(COUNTIF(C1965:E1965,"?*")&lt;N(INDEX(Setup!$L$6:$L$23,8)))+(COUNTIF(G1965:I1965,"?*")&lt;N(INDEX(Setup!$L$6:$L$23,8)))+(COUNTIF(K1965:M1965,"?*")&lt;N(INDEX(Setup!$L$6:$L$23,8)))+(COUNTIF(O1965:Q1965,"?*")&lt;N(INDEX(Setup!$L$6:$L$23,8)))+(COUNTIF(S1965:U1965,"?*")&lt;N(INDEX(Setup!$L$6:$L$23,8)))+((W1965="")*(INDEX(Setup!$M$6:$M$23,8)="Y"))+((Y1965="")*(INDEX(Setup!$M$6:$M$23,8)="Y")))</f>
        <v/>
      </c>
      <c r="AC1965" s="91">
        <f>IF($B1965="","",IF(AB1965=0,"✓ covered","⚠ "&amp;AB1965&amp;IF(AB1965=1," gap"," gaps")))</f>
        <v/>
      </c>
    </row>
    <row r="1966" ht="17" customHeight="1">
      <c r="A1966" t="n">
        <v>40</v>
      </c>
      <c r="B1966" s="24">
        <f>IF(Setup!$K$14="","",Setup!$K$14)</f>
        <v/>
      </c>
      <c r="C1966" s="88" t="n"/>
      <c r="D1966" s="88" t="n"/>
      <c r="E1966" s="88" t="n"/>
      <c r="F1966" s="89" t="n"/>
      <c r="G1966" s="88" t="n"/>
      <c r="H1966" s="88" t="n"/>
      <c r="I1966" s="88" t="n"/>
      <c r="J1966" s="89" t="n"/>
      <c r="K1966" s="88" t="n"/>
      <c r="L1966" s="88" t="n"/>
      <c r="M1966" s="88" t="n"/>
      <c r="N1966" s="89" t="n"/>
      <c r="O1966" s="88" t="n"/>
      <c r="P1966" s="88" t="n"/>
      <c r="Q1966" s="88" t="n"/>
      <c r="R1966" s="89" t="n"/>
      <c r="S1966" s="88" t="n"/>
      <c r="T1966" s="88" t="n"/>
      <c r="U1966" s="88" t="n"/>
      <c r="V1966" s="89" t="n"/>
      <c r="W1966" s="88" t="n"/>
      <c r="X1966" s="89" t="n"/>
      <c r="Y1966" s="88" t="n"/>
      <c r="Z1966" s="89" t="n"/>
      <c r="AB1966" s="25">
        <f>IF($B1966="","",(COUNTIF(C1966:E1966,"?*")&lt;N(INDEX(Setup!$L$6:$L$23,9)))+(COUNTIF(G1966:I1966,"?*")&lt;N(INDEX(Setup!$L$6:$L$23,9)))+(COUNTIF(K1966:M1966,"?*")&lt;N(INDEX(Setup!$L$6:$L$23,9)))+(COUNTIF(O1966:Q1966,"?*")&lt;N(INDEX(Setup!$L$6:$L$23,9)))+(COUNTIF(S1966:U1966,"?*")&lt;N(INDEX(Setup!$L$6:$L$23,9)))+((W1966="")*(INDEX(Setup!$M$6:$M$23,9)="Y"))+((Y1966="")*(INDEX(Setup!$M$6:$M$23,9)="Y")))</f>
        <v/>
      </c>
      <c r="AC1966" s="90">
        <f>IF($B1966="","",IF(AB1966=0,"✓ covered","⚠ "&amp;AB1966&amp;IF(AB1966=1," gap"," gaps")))</f>
        <v/>
      </c>
    </row>
    <row r="1967" ht="17" customHeight="1">
      <c r="A1967" t="n">
        <v>40</v>
      </c>
      <c r="B1967" s="29">
        <f>IF(Setup!$K$15="","",Setup!$K$15)</f>
        <v/>
      </c>
      <c r="C1967" s="88" t="n"/>
      <c r="D1967" s="88" t="n"/>
      <c r="E1967" s="88" t="n"/>
      <c r="F1967" s="89" t="n"/>
      <c r="G1967" s="88" t="n"/>
      <c r="H1967" s="88" t="n"/>
      <c r="I1967" s="88" t="n"/>
      <c r="J1967" s="89" t="n"/>
      <c r="K1967" s="88" t="n"/>
      <c r="L1967" s="88" t="n"/>
      <c r="M1967" s="88" t="n"/>
      <c r="N1967" s="89" t="n"/>
      <c r="O1967" s="88" t="n"/>
      <c r="P1967" s="88" t="n"/>
      <c r="Q1967" s="88" t="n"/>
      <c r="R1967" s="89" t="n"/>
      <c r="S1967" s="88" t="n"/>
      <c r="T1967" s="88" t="n"/>
      <c r="U1967" s="88" t="n"/>
      <c r="V1967" s="89" t="n"/>
      <c r="W1967" s="88" t="n"/>
      <c r="X1967" s="89" t="n"/>
      <c r="Y1967" s="88" t="n"/>
      <c r="Z1967" s="89" t="n"/>
      <c r="AB1967" s="30">
        <f>IF($B1967="","",(COUNTIF(C1967:E1967,"?*")&lt;N(INDEX(Setup!$L$6:$L$23,10)))+(COUNTIF(G1967:I1967,"?*")&lt;N(INDEX(Setup!$L$6:$L$23,10)))+(COUNTIF(K1967:M1967,"?*")&lt;N(INDEX(Setup!$L$6:$L$23,10)))+(COUNTIF(O1967:Q1967,"?*")&lt;N(INDEX(Setup!$L$6:$L$23,10)))+(COUNTIF(S1967:U1967,"?*")&lt;N(INDEX(Setup!$L$6:$L$23,10)))+((W1967="")*(INDEX(Setup!$M$6:$M$23,10)="Y"))+((Y1967="")*(INDEX(Setup!$M$6:$M$23,10)="Y")))</f>
        <v/>
      </c>
      <c r="AC1967" s="91">
        <f>IF($B1967="","",IF(AB1967=0,"✓ covered","⚠ "&amp;AB1967&amp;IF(AB1967=1," gap"," gaps")))</f>
        <v/>
      </c>
    </row>
    <row r="1968" ht="17" customHeight="1">
      <c r="A1968" t="n">
        <v>40</v>
      </c>
      <c r="B1968" s="24">
        <f>IF(Setup!$K$16="","",Setup!$K$16)</f>
        <v/>
      </c>
      <c r="C1968" s="88" t="n"/>
      <c r="D1968" s="88" t="n"/>
      <c r="E1968" s="88" t="n"/>
      <c r="F1968" s="89" t="n"/>
      <c r="G1968" s="88" t="n"/>
      <c r="H1968" s="88" t="n"/>
      <c r="I1968" s="88" t="n"/>
      <c r="J1968" s="89" t="n"/>
      <c r="K1968" s="88" t="n"/>
      <c r="L1968" s="88" t="n"/>
      <c r="M1968" s="88" t="n"/>
      <c r="N1968" s="89" t="n"/>
      <c r="O1968" s="88" t="n"/>
      <c r="P1968" s="88" t="n"/>
      <c r="Q1968" s="88" t="n"/>
      <c r="R1968" s="89" t="n"/>
      <c r="S1968" s="88" t="n"/>
      <c r="T1968" s="88" t="n"/>
      <c r="U1968" s="88" t="n"/>
      <c r="V1968" s="89" t="n"/>
      <c r="W1968" s="88" t="n"/>
      <c r="X1968" s="89" t="n"/>
      <c r="Y1968" s="88" t="n"/>
      <c r="Z1968" s="89" t="n"/>
      <c r="AB1968" s="25">
        <f>IF($B1968="","",(COUNTIF(C1968:E1968,"?*")&lt;N(INDEX(Setup!$L$6:$L$23,11)))+(COUNTIF(G1968:I1968,"?*")&lt;N(INDEX(Setup!$L$6:$L$23,11)))+(COUNTIF(K1968:M1968,"?*")&lt;N(INDEX(Setup!$L$6:$L$23,11)))+(COUNTIF(O1968:Q1968,"?*")&lt;N(INDEX(Setup!$L$6:$L$23,11)))+(COUNTIF(S1968:U1968,"?*")&lt;N(INDEX(Setup!$L$6:$L$23,11)))+((W1968="")*(INDEX(Setup!$M$6:$M$23,11)="Y"))+((Y1968="")*(INDEX(Setup!$M$6:$M$23,11)="Y")))</f>
        <v/>
      </c>
      <c r="AC1968" s="90">
        <f>IF($B1968="","",IF(AB1968=0,"✓ covered","⚠ "&amp;AB1968&amp;IF(AB1968=1," gap"," gaps")))</f>
        <v/>
      </c>
    </row>
    <row r="1969" ht="17" customHeight="1">
      <c r="A1969" t="n">
        <v>40</v>
      </c>
      <c r="B1969" s="29">
        <f>IF(Setup!$K$17="","",Setup!$K$17)</f>
        <v/>
      </c>
      <c r="C1969" s="88" t="n"/>
      <c r="D1969" s="88" t="n"/>
      <c r="E1969" s="88" t="n"/>
      <c r="F1969" s="89" t="n"/>
      <c r="G1969" s="88" t="n"/>
      <c r="H1969" s="88" t="n"/>
      <c r="I1969" s="88" t="n"/>
      <c r="J1969" s="89" t="n"/>
      <c r="K1969" s="88" t="n"/>
      <c r="L1969" s="88" t="n"/>
      <c r="M1969" s="88" t="n"/>
      <c r="N1969" s="89" t="n"/>
      <c r="O1969" s="88" t="n"/>
      <c r="P1969" s="88" t="n"/>
      <c r="Q1969" s="88" t="n"/>
      <c r="R1969" s="89" t="n"/>
      <c r="S1969" s="88" t="n"/>
      <c r="T1969" s="88" t="n"/>
      <c r="U1969" s="88" t="n"/>
      <c r="V1969" s="89" t="n"/>
      <c r="W1969" s="88" t="n"/>
      <c r="X1969" s="89" t="n"/>
      <c r="Y1969" s="88" t="n"/>
      <c r="Z1969" s="89" t="n"/>
      <c r="AB1969" s="30">
        <f>IF($B1969="","",(COUNTIF(C1969:E1969,"?*")&lt;N(INDEX(Setup!$L$6:$L$23,12)))+(COUNTIF(G1969:I1969,"?*")&lt;N(INDEX(Setup!$L$6:$L$23,12)))+(COUNTIF(K1969:M1969,"?*")&lt;N(INDEX(Setup!$L$6:$L$23,12)))+(COUNTIF(O1969:Q1969,"?*")&lt;N(INDEX(Setup!$L$6:$L$23,12)))+(COUNTIF(S1969:U1969,"?*")&lt;N(INDEX(Setup!$L$6:$L$23,12)))+((W1969="")*(INDEX(Setup!$M$6:$M$23,12)="Y"))+((Y1969="")*(INDEX(Setup!$M$6:$M$23,12)="Y")))</f>
        <v/>
      </c>
      <c r="AC1969" s="91">
        <f>IF($B1969="","",IF(AB1969=0,"✓ covered","⚠ "&amp;AB1969&amp;IF(AB1969=1," gap"," gaps")))</f>
        <v/>
      </c>
    </row>
    <row r="1970" ht="17" customHeight="1">
      <c r="A1970" t="n">
        <v>40</v>
      </c>
      <c r="B1970" s="24">
        <f>IF(Setup!$K$18="","",Setup!$K$18)</f>
        <v/>
      </c>
      <c r="C1970" s="88" t="n"/>
      <c r="D1970" s="88" t="n"/>
      <c r="E1970" s="88" t="n"/>
      <c r="F1970" s="89" t="n"/>
      <c r="G1970" s="88" t="n"/>
      <c r="H1970" s="88" t="n"/>
      <c r="I1970" s="88" t="n"/>
      <c r="J1970" s="89" t="n"/>
      <c r="K1970" s="88" t="n"/>
      <c r="L1970" s="88" t="n"/>
      <c r="M1970" s="88" t="n"/>
      <c r="N1970" s="89" t="n"/>
      <c r="O1970" s="88" t="n"/>
      <c r="P1970" s="88" t="n"/>
      <c r="Q1970" s="88" t="n"/>
      <c r="R1970" s="89" t="n"/>
      <c r="S1970" s="88" t="n"/>
      <c r="T1970" s="88" t="n"/>
      <c r="U1970" s="88" t="n"/>
      <c r="V1970" s="89" t="n"/>
      <c r="W1970" s="88" t="n"/>
      <c r="X1970" s="89" t="n"/>
      <c r="Y1970" s="88" t="n"/>
      <c r="Z1970" s="89" t="n"/>
      <c r="AB1970" s="25">
        <f>IF($B1970="","",(COUNTIF(C1970:E1970,"?*")&lt;N(INDEX(Setup!$L$6:$L$23,13)))+(COUNTIF(G1970:I1970,"?*")&lt;N(INDEX(Setup!$L$6:$L$23,13)))+(COUNTIF(K1970:M1970,"?*")&lt;N(INDEX(Setup!$L$6:$L$23,13)))+(COUNTIF(O1970:Q1970,"?*")&lt;N(INDEX(Setup!$L$6:$L$23,13)))+(COUNTIF(S1970:U1970,"?*")&lt;N(INDEX(Setup!$L$6:$L$23,13)))+((W1970="")*(INDEX(Setup!$M$6:$M$23,13)="Y"))+((Y1970="")*(INDEX(Setup!$M$6:$M$23,13)="Y")))</f>
        <v/>
      </c>
      <c r="AC1970" s="90">
        <f>IF($B1970="","",IF(AB1970=0,"✓ covered","⚠ "&amp;AB1970&amp;IF(AB1970=1," gap"," gaps")))</f>
        <v/>
      </c>
    </row>
    <row r="1971" ht="17" customHeight="1">
      <c r="A1971" t="n">
        <v>40</v>
      </c>
      <c r="B1971" s="29">
        <f>IF(Setup!$K$19="","",Setup!$K$19)</f>
        <v/>
      </c>
      <c r="C1971" s="88" t="n"/>
      <c r="D1971" s="88" t="n"/>
      <c r="E1971" s="88" t="n"/>
      <c r="F1971" s="89" t="n"/>
      <c r="G1971" s="88" t="n"/>
      <c r="H1971" s="88" t="n"/>
      <c r="I1971" s="88" t="n"/>
      <c r="J1971" s="89" t="n"/>
      <c r="K1971" s="88" t="n"/>
      <c r="L1971" s="88" t="n"/>
      <c r="M1971" s="88" t="n"/>
      <c r="N1971" s="89" t="n"/>
      <c r="O1971" s="88" t="n"/>
      <c r="P1971" s="88" t="n"/>
      <c r="Q1971" s="88" t="n"/>
      <c r="R1971" s="89" t="n"/>
      <c r="S1971" s="88" t="n"/>
      <c r="T1971" s="88" t="n"/>
      <c r="U1971" s="88" t="n"/>
      <c r="V1971" s="89" t="n"/>
      <c r="W1971" s="88" t="n"/>
      <c r="X1971" s="89" t="n"/>
      <c r="Y1971" s="88" t="n"/>
      <c r="Z1971" s="89" t="n"/>
      <c r="AB1971" s="30">
        <f>IF($B1971="","",(COUNTIF(C1971:E1971,"?*")&lt;N(INDEX(Setup!$L$6:$L$23,14)))+(COUNTIF(G1971:I1971,"?*")&lt;N(INDEX(Setup!$L$6:$L$23,14)))+(COUNTIF(K1971:M1971,"?*")&lt;N(INDEX(Setup!$L$6:$L$23,14)))+(COUNTIF(O1971:Q1971,"?*")&lt;N(INDEX(Setup!$L$6:$L$23,14)))+(COUNTIF(S1971:U1971,"?*")&lt;N(INDEX(Setup!$L$6:$L$23,14)))+((W1971="")*(INDEX(Setup!$M$6:$M$23,14)="Y"))+((Y1971="")*(INDEX(Setup!$M$6:$M$23,14)="Y")))</f>
        <v/>
      </c>
      <c r="AC1971" s="91">
        <f>IF($B1971="","",IF(AB1971=0,"✓ covered","⚠ "&amp;AB1971&amp;IF(AB1971=1," gap"," gaps")))</f>
        <v/>
      </c>
    </row>
    <row r="1972" ht="17" customHeight="1">
      <c r="A1972" t="n">
        <v>40</v>
      </c>
      <c r="B1972" s="24">
        <f>IF(Setup!$K$20="","",Setup!$K$20)</f>
        <v/>
      </c>
      <c r="C1972" s="88" t="n"/>
      <c r="D1972" s="88" t="n"/>
      <c r="E1972" s="88" t="n"/>
      <c r="F1972" s="89" t="n"/>
      <c r="G1972" s="88" t="n"/>
      <c r="H1972" s="88" t="n"/>
      <c r="I1972" s="88" t="n"/>
      <c r="J1972" s="89" t="n"/>
      <c r="K1972" s="88" t="n"/>
      <c r="L1972" s="88" t="n"/>
      <c r="M1972" s="88" t="n"/>
      <c r="N1972" s="89" t="n"/>
      <c r="O1972" s="88" t="n"/>
      <c r="P1972" s="88" t="n"/>
      <c r="Q1972" s="88" t="n"/>
      <c r="R1972" s="89" t="n"/>
      <c r="S1972" s="88" t="n"/>
      <c r="T1972" s="88" t="n"/>
      <c r="U1972" s="88" t="n"/>
      <c r="V1972" s="89" t="n"/>
      <c r="W1972" s="88" t="n"/>
      <c r="X1972" s="89" t="n"/>
      <c r="Y1972" s="88" t="n"/>
      <c r="Z1972" s="89" t="n"/>
      <c r="AB1972" s="25">
        <f>IF($B1972="","",(COUNTIF(C1972:E1972,"?*")&lt;N(INDEX(Setup!$L$6:$L$23,15)))+(COUNTIF(G1972:I1972,"?*")&lt;N(INDEX(Setup!$L$6:$L$23,15)))+(COUNTIF(K1972:M1972,"?*")&lt;N(INDEX(Setup!$L$6:$L$23,15)))+(COUNTIF(O1972:Q1972,"?*")&lt;N(INDEX(Setup!$L$6:$L$23,15)))+(COUNTIF(S1972:U1972,"?*")&lt;N(INDEX(Setup!$L$6:$L$23,15)))+((W1972="")*(INDEX(Setup!$M$6:$M$23,15)="Y"))+((Y1972="")*(INDEX(Setup!$M$6:$M$23,15)="Y")))</f>
        <v/>
      </c>
      <c r="AC1972" s="90">
        <f>IF($B1972="","",IF(AB1972=0,"✓ covered","⚠ "&amp;AB1972&amp;IF(AB1972=1," gap"," gaps")))</f>
        <v/>
      </c>
    </row>
    <row r="1973" ht="17" customHeight="1">
      <c r="A1973" t="n">
        <v>40</v>
      </c>
      <c r="B1973" s="29">
        <f>IF(Setup!$K$21="","",Setup!$K$21)</f>
        <v/>
      </c>
      <c r="C1973" s="88" t="n"/>
      <c r="D1973" s="88" t="n"/>
      <c r="E1973" s="88" t="n"/>
      <c r="F1973" s="89" t="n"/>
      <c r="G1973" s="88" t="n"/>
      <c r="H1973" s="88" t="n"/>
      <c r="I1973" s="88" t="n"/>
      <c r="J1973" s="89" t="n"/>
      <c r="K1973" s="88" t="n"/>
      <c r="L1973" s="88" t="n"/>
      <c r="M1973" s="88" t="n"/>
      <c r="N1973" s="89" t="n"/>
      <c r="O1973" s="88" t="n"/>
      <c r="P1973" s="88" t="n"/>
      <c r="Q1973" s="88" t="n"/>
      <c r="R1973" s="89" t="n"/>
      <c r="S1973" s="88" t="n"/>
      <c r="T1973" s="88" t="n"/>
      <c r="U1973" s="88" t="n"/>
      <c r="V1973" s="89" t="n"/>
      <c r="W1973" s="88" t="n"/>
      <c r="X1973" s="89" t="n"/>
      <c r="Y1973" s="88" t="n"/>
      <c r="Z1973" s="89" t="n"/>
      <c r="AB1973" s="30">
        <f>IF($B1973="","",(COUNTIF(C1973:E1973,"?*")&lt;N(INDEX(Setup!$L$6:$L$23,16)))+(COUNTIF(G1973:I1973,"?*")&lt;N(INDEX(Setup!$L$6:$L$23,16)))+(COUNTIF(K1973:M1973,"?*")&lt;N(INDEX(Setup!$L$6:$L$23,16)))+(COUNTIF(O1973:Q1973,"?*")&lt;N(INDEX(Setup!$L$6:$L$23,16)))+(COUNTIF(S1973:U1973,"?*")&lt;N(INDEX(Setup!$L$6:$L$23,16)))+((W1973="")*(INDEX(Setup!$M$6:$M$23,16)="Y"))+((Y1973="")*(INDEX(Setup!$M$6:$M$23,16)="Y")))</f>
        <v/>
      </c>
      <c r="AC1973" s="91">
        <f>IF($B1973="","",IF(AB1973=0,"✓ covered","⚠ "&amp;AB1973&amp;IF(AB1973=1," gap"," gaps")))</f>
        <v/>
      </c>
    </row>
    <row r="1974" ht="17" customHeight="1">
      <c r="A1974" t="n">
        <v>40</v>
      </c>
      <c r="B1974" s="24">
        <f>IF(Setup!$K$22="","",Setup!$K$22)</f>
        <v/>
      </c>
      <c r="C1974" s="88" t="n"/>
      <c r="D1974" s="88" t="n"/>
      <c r="E1974" s="88" t="n"/>
      <c r="F1974" s="89" t="n"/>
      <c r="G1974" s="88" t="n"/>
      <c r="H1974" s="88" t="n"/>
      <c r="I1974" s="88" t="n"/>
      <c r="J1974" s="89" t="n"/>
      <c r="K1974" s="88" t="n"/>
      <c r="L1974" s="88" t="n"/>
      <c r="M1974" s="88" t="n"/>
      <c r="N1974" s="89" t="n"/>
      <c r="O1974" s="88" t="n"/>
      <c r="P1974" s="88" t="n"/>
      <c r="Q1974" s="88" t="n"/>
      <c r="R1974" s="89" t="n"/>
      <c r="S1974" s="88" t="n"/>
      <c r="T1974" s="88" t="n"/>
      <c r="U1974" s="88" t="n"/>
      <c r="V1974" s="89" t="n"/>
      <c r="W1974" s="88" t="n"/>
      <c r="X1974" s="89" t="n"/>
      <c r="Y1974" s="88" t="n"/>
      <c r="Z1974" s="89" t="n"/>
      <c r="AB1974" s="25">
        <f>IF($B1974="","",(COUNTIF(C1974:E1974,"?*")&lt;N(INDEX(Setup!$L$6:$L$23,17)))+(COUNTIF(G1974:I1974,"?*")&lt;N(INDEX(Setup!$L$6:$L$23,17)))+(COUNTIF(K1974:M1974,"?*")&lt;N(INDEX(Setup!$L$6:$L$23,17)))+(COUNTIF(O1974:Q1974,"?*")&lt;N(INDEX(Setup!$L$6:$L$23,17)))+(COUNTIF(S1974:U1974,"?*")&lt;N(INDEX(Setup!$L$6:$L$23,17)))+((W1974="")*(INDEX(Setup!$M$6:$M$23,17)="Y"))+((Y1974="")*(INDEX(Setup!$M$6:$M$23,17)="Y")))</f>
        <v/>
      </c>
      <c r="AC1974" s="90">
        <f>IF($B1974="","",IF(AB1974=0,"✓ covered","⚠ "&amp;AB1974&amp;IF(AB1974=1," gap"," gaps")))</f>
        <v/>
      </c>
    </row>
    <row r="1975" ht="17" customHeight="1">
      <c r="A1975" t="n">
        <v>40</v>
      </c>
      <c r="B1975" s="29">
        <f>IF(Setup!$K$23="","",Setup!$K$23)</f>
        <v/>
      </c>
      <c r="C1975" s="88" t="n"/>
      <c r="D1975" s="88" t="n"/>
      <c r="E1975" s="88" t="n"/>
      <c r="F1975" s="89" t="n"/>
      <c r="G1975" s="88" t="n"/>
      <c r="H1975" s="88" t="n"/>
      <c r="I1975" s="88" t="n"/>
      <c r="J1975" s="89" t="n"/>
      <c r="K1975" s="88" t="n"/>
      <c r="L1975" s="88" t="n"/>
      <c r="M1975" s="88" t="n"/>
      <c r="N1975" s="89" t="n"/>
      <c r="O1975" s="88" t="n"/>
      <c r="P1975" s="88" t="n"/>
      <c r="Q1975" s="88" t="n"/>
      <c r="R1975" s="89" t="n"/>
      <c r="S1975" s="88" t="n"/>
      <c r="T1975" s="88" t="n"/>
      <c r="U1975" s="88" t="n"/>
      <c r="V1975" s="89" t="n"/>
      <c r="W1975" s="88" t="n"/>
      <c r="X1975" s="89" t="n"/>
      <c r="Y1975" s="88" t="n"/>
      <c r="Z1975" s="89" t="n"/>
      <c r="AB1975" s="30">
        <f>IF($B1975="","",(COUNTIF(C1975:E1975,"?*")&lt;N(INDEX(Setup!$L$6:$L$23,18)))+(COUNTIF(G1975:I1975,"?*")&lt;N(INDEX(Setup!$L$6:$L$23,18)))+(COUNTIF(K1975:M1975,"?*")&lt;N(INDEX(Setup!$L$6:$L$23,18)))+(COUNTIF(O1975:Q1975,"?*")&lt;N(INDEX(Setup!$L$6:$L$23,18)))+(COUNTIF(S1975:U1975,"?*")&lt;N(INDEX(Setup!$L$6:$L$23,18)))+((W1975="")*(INDEX(Setup!$M$6:$M$23,18)="Y"))+((Y1975="")*(INDEX(Setup!$M$6:$M$23,18)="Y")))</f>
        <v/>
      </c>
      <c r="AC1975" s="91">
        <f>IF($B1975="","",IF(AB1975=0,"✓ covered","⚠ "&amp;AB1975&amp;IF(AB1975=1," gap"," gaps")))</f>
        <v/>
      </c>
    </row>
    <row r="1976" ht="18" customHeight="1">
      <c r="A1976" t="n">
        <v>40</v>
      </c>
      <c r="B1976" s="78" t="inlineStr">
        <is>
          <t>TEAM AVAILABILITY</t>
        </is>
      </c>
      <c r="C1976" s="92" t="inlineStr">
        <is>
          <t>Mon</t>
        </is>
      </c>
      <c r="D1976" s="93" t="n"/>
      <c r="E1976" s="93" t="n"/>
      <c r="F1976" s="94" t="n"/>
      <c r="G1976" s="92" t="inlineStr">
        <is>
          <t>Tue</t>
        </is>
      </c>
      <c r="H1976" s="93" t="n"/>
      <c r="I1976" s="93" t="n"/>
      <c r="J1976" s="94" t="n"/>
      <c r="K1976" s="92" t="inlineStr">
        <is>
          <t>Wed</t>
        </is>
      </c>
      <c r="L1976" s="93" t="n"/>
      <c r="M1976" s="93" t="n"/>
      <c r="N1976" s="94" t="n"/>
      <c r="O1976" s="92" t="inlineStr">
        <is>
          <t>Thu</t>
        </is>
      </c>
      <c r="P1976" s="93" t="n"/>
      <c r="Q1976" s="93" t="n"/>
      <c r="R1976" s="94" t="n"/>
      <c r="S1976" s="92" t="inlineStr">
        <is>
          <t>Fri</t>
        </is>
      </c>
      <c r="T1976" s="93" t="n"/>
      <c r="U1976" s="93" t="n"/>
      <c r="V1976" s="94" t="n"/>
      <c r="W1976" s="95" t="inlineStr">
        <is>
          <t>Sat</t>
        </is>
      </c>
      <c r="X1976" s="96" t="n"/>
      <c r="Y1976" s="95" t="inlineStr">
        <is>
          <t>Sun</t>
        </is>
      </c>
      <c r="Z1976" s="96" t="n"/>
      <c r="AB1976" s="97" t="inlineStr">
        <is>
          <t>Days rostered</t>
        </is>
      </c>
      <c r="AC1976" s="97" t="inlineStr">
        <is>
          <t>Conflicts</t>
        </is>
      </c>
    </row>
    <row r="1977" ht="15" customHeight="1">
      <c r="A1977" t="n">
        <v>40</v>
      </c>
      <c r="B1977" s="35">
        <f>IF(Setup!$B$6="","",Setup!$B$6)</f>
        <v/>
      </c>
      <c r="C1977" s="98" t="n"/>
      <c r="D1977" s="99" t="n"/>
      <c r="E1977" s="99" t="n"/>
      <c r="F1977" s="100" t="n"/>
      <c r="G1977" s="98" t="n"/>
      <c r="H1977" s="99" t="n"/>
      <c r="I1977" s="99" t="n"/>
      <c r="J1977" s="100" t="n"/>
      <c r="K1977" s="98" t="n"/>
      <c r="L1977" s="99" t="n"/>
      <c r="M1977" s="99" t="n"/>
      <c r="N1977" s="100" t="n"/>
      <c r="O1977" s="98" t="n"/>
      <c r="P1977" s="99" t="n"/>
      <c r="Q1977" s="99" t="n"/>
      <c r="R1977" s="100" t="n"/>
      <c r="S1977" s="98" t="n"/>
      <c r="T1977" s="99" t="n"/>
      <c r="U1977" s="99" t="n"/>
      <c r="V1977" s="100" t="n"/>
      <c r="W1977" s="98" t="n"/>
      <c r="X1977" s="100" t="n"/>
      <c r="Y1977" s="98" t="n"/>
      <c r="Z1977" s="100" t="n"/>
      <c r="AB1977" s="101">
        <f>IF($B1977="","",(COUNTIF(C1958:E1975,$B1977)+COUNTIF(C1958:E1975,$B1977&amp;" ~*")&gt;0)+(COUNTIF(G1958:I1975,$B1977)+COUNTIF(G1958:I1975,$B1977&amp;" ~*")&gt;0)+(COUNTIF(K1958:M1975,$B1977)+COUNTIF(K1958:M1975,$B1977&amp;" ~*")&gt;0)+(COUNTIF(O1958:Q1975,$B1977)+COUNTIF(O1958:Q1975,$B1977&amp;" ~*")&gt;0)+(COUNTIF(S1958:U1975,$B1977)+COUNTIF(S1958:U1975,$B1977&amp;" ~*")&gt;0)+(COUNTIF(W1958:W1975,$B1977)+COUNTIF(W1958:W1975,$B1977&amp;" ~*")&gt;0)+(COUNTIF(Y1958:Y1975,$B1977)+COUNTIF(Y1958:Y1975,$B1977&amp;" ~*")&gt;0))</f>
        <v/>
      </c>
      <c r="AC1977" s="36">
        <f>IF($B1977="","",(IFERROR(INDEX(Setup!$G$33:$G$40,MATCH(C1977,Setup!$B$33:$B$40,0)),0)=1)*(COUNTIF(C1958:E1975,$B1977)+COUNTIF(C1958:E1975,$B1977&amp;" ~*")&gt;0)+(IFERROR(INDEX(Setup!$G$33:$G$40,MATCH(G1977,Setup!$B$33:$B$40,0)),0)=1)*(COUNTIF(G1958:I1975,$B1977)+COUNTIF(G1958:I1975,$B1977&amp;" ~*")&gt;0)+(IFERROR(INDEX(Setup!$G$33:$G$40,MATCH(K1977,Setup!$B$33:$B$40,0)),0)=1)*(COUNTIF(K1958:M1975,$B1977)+COUNTIF(K1958:M1975,$B1977&amp;" ~*")&gt;0)+(IFERROR(INDEX(Setup!$G$33:$G$40,MATCH(O1977,Setup!$B$33:$B$40,0)),0)=1)*(COUNTIF(O1958:Q1975,$B1977)+COUNTIF(O1958:Q1975,$B1977&amp;" ~*")&gt;0)+(IFERROR(INDEX(Setup!$G$33:$G$40,MATCH(S1977,Setup!$B$33:$B$40,0)),0)=1)*(COUNTIF(S1958:U1975,$B1977)+COUNTIF(S1958:U1975,$B1977&amp;" ~*")&gt;0)+(IFERROR(INDEX(Setup!$G$33:$G$40,MATCH(W1977,Setup!$B$33:$B$40,0)),0)=1)*(COUNTIF(W1958:W1975,$B1977)+COUNTIF(W1958:W1975,$B1977&amp;" ~*")&gt;0)+(IFERROR(INDEX(Setup!$G$33:$G$40,MATCH(Y1977,Setup!$B$33:$B$40,0)),0)=1)*(COUNTIF(Y1958:Y1975,$B1977)+COUNTIF(Y1958:Y1975,$B1977&amp;" ~*")&gt;0))</f>
        <v/>
      </c>
    </row>
    <row r="1978" ht="15" customHeight="1">
      <c r="A1978" t="n">
        <v>40</v>
      </c>
      <c r="B1978" s="37">
        <f>IF(Setup!$B$7="","",Setup!$B$7)</f>
        <v/>
      </c>
      <c r="C1978" s="102" t="n"/>
      <c r="D1978" s="103" t="n"/>
      <c r="E1978" s="103" t="n"/>
      <c r="F1978" s="104" t="n"/>
      <c r="G1978" s="102" t="n"/>
      <c r="H1978" s="103" t="n"/>
      <c r="I1978" s="103" t="n"/>
      <c r="J1978" s="104" t="n"/>
      <c r="K1978" s="102" t="n"/>
      <c r="L1978" s="103" t="n"/>
      <c r="M1978" s="103" t="n"/>
      <c r="N1978" s="104" t="n"/>
      <c r="O1978" s="102" t="n"/>
      <c r="P1978" s="103" t="n"/>
      <c r="Q1978" s="103" t="n"/>
      <c r="R1978" s="104" t="n"/>
      <c r="S1978" s="102" t="n"/>
      <c r="T1978" s="103" t="n"/>
      <c r="U1978" s="103" t="n"/>
      <c r="V1978" s="104" t="n"/>
      <c r="W1978" s="102" t="n"/>
      <c r="X1978" s="104" t="n"/>
      <c r="Y1978" s="102" t="n"/>
      <c r="Z1978" s="104" t="n"/>
      <c r="AB1978" s="105">
        <f>IF($B1978="","",(COUNTIF(C1958:E1975,$B1978)+COUNTIF(C1958:E1975,$B1978&amp;" ~*")&gt;0)+(COUNTIF(G1958:I1975,$B1978)+COUNTIF(G1958:I1975,$B1978&amp;" ~*")&gt;0)+(COUNTIF(K1958:M1975,$B1978)+COUNTIF(K1958:M1975,$B1978&amp;" ~*")&gt;0)+(COUNTIF(O1958:Q1975,$B1978)+COUNTIF(O1958:Q1975,$B1978&amp;" ~*")&gt;0)+(COUNTIF(S1958:U1975,$B1978)+COUNTIF(S1958:U1975,$B1978&amp;" ~*")&gt;0)+(COUNTIF(W1958:W1975,$B1978)+COUNTIF(W1958:W1975,$B1978&amp;" ~*")&gt;0)+(COUNTIF(Y1958:Y1975,$B1978)+COUNTIF(Y1958:Y1975,$B1978&amp;" ~*")&gt;0))</f>
        <v/>
      </c>
      <c r="AC1978" s="38">
        <f>IF($B1978="","",(IFERROR(INDEX(Setup!$G$33:$G$40,MATCH(C1978,Setup!$B$33:$B$40,0)),0)=1)*(COUNTIF(C1958:E1975,$B1978)+COUNTIF(C1958:E1975,$B1978&amp;" ~*")&gt;0)+(IFERROR(INDEX(Setup!$G$33:$G$40,MATCH(G1978,Setup!$B$33:$B$40,0)),0)=1)*(COUNTIF(G1958:I1975,$B1978)+COUNTIF(G1958:I1975,$B1978&amp;" ~*")&gt;0)+(IFERROR(INDEX(Setup!$G$33:$G$40,MATCH(K1978,Setup!$B$33:$B$40,0)),0)=1)*(COUNTIF(K1958:M1975,$B1978)+COUNTIF(K1958:M1975,$B1978&amp;" ~*")&gt;0)+(IFERROR(INDEX(Setup!$G$33:$G$40,MATCH(O1978,Setup!$B$33:$B$40,0)),0)=1)*(COUNTIF(O1958:Q1975,$B1978)+COUNTIF(O1958:Q1975,$B1978&amp;" ~*")&gt;0)+(IFERROR(INDEX(Setup!$G$33:$G$40,MATCH(S1978,Setup!$B$33:$B$40,0)),0)=1)*(COUNTIF(S1958:U1975,$B1978)+COUNTIF(S1958:U1975,$B1978&amp;" ~*")&gt;0)+(IFERROR(INDEX(Setup!$G$33:$G$40,MATCH(W1978,Setup!$B$33:$B$40,0)),0)=1)*(COUNTIF(W1958:W1975,$B1978)+COUNTIF(W1958:W1975,$B1978&amp;" ~*")&gt;0)+(IFERROR(INDEX(Setup!$G$33:$G$40,MATCH(Y1978,Setup!$B$33:$B$40,0)),0)=1)*(COUNTIF(Y1958:Y1975,$B1978)+COUNTIF(Y1958:Y1975,$B1978&amp;" ~*")&gt;0))</f>
        <v/>
      </c>
    </row>
    <row r="1979" ht="15" customHeight="1">
      <c r="A1979" t="n">
        <v>40</v>
      </c>
      <c r="B1979" s="35">
        <f>IF(Setup!$B$8="","",Setup!$B$8)</f>
        <v/>
      </c>
      <c r="C1979" s="98" t="n"/>
      <c r="D1979" s="99" t="n"/>
      <c r="E1979" s="99" t="n"/>
      <c r="F1979" s="100" t="n"/>
      <c r="G1979" s="98" t="n"/>
      <c r="H1979" s="99" t="n"/>
      <c r="I1979" s="99" t="n"/>
      <c r="J1979" s="100" t="n"/>
      <c r="K1979" s="98" t="n"/>
      <c r="L1979" s="99" t="n"/>
      <c r="M1979" s="99" t="n"/>
      <c r="N1979" s="100" t="n"/>
      <c r="O1979" s="98" t="n"/>
      <c r="P1979" s="99" t="n"/>
      <c r="Q1979" s="99" t="n"/>
      <c r="R1979" s="100" t="n"/>
      <c r="S1979" s="98" t="n"/>
      <c r="T1979" s="99" t="n"/>
      <c r="U1979" s="99" t="n"/>
      <c r="V1979" s="100" t="n"/>
      <c r="W1979" s="98" t="n"/>
      <c r="X1979" s="100" t="n"/>
      <c r="Y1979" s="98" t="n"/>
      <c r="Z1979" s="100" t="n"/>
      <c r="AB1979" s="101">
        <f>IF($B1979="","",(COUNTIF(C1958:E1975,$B1979)+COUNTIF(C1958:E1975,$B1979&amp;" ~*")&gt;0)+(COUNTIF(G1958:I1975,$B1979)+COUNTIF(G1958:I1975,$B1979&amp;" ~*")&gt;0)+(COUNTIF(K1958:M1975,$B1979)+COUNTIF(K1958:M1975,$B1979&amp;" ~*")&gt;0)+(COUNTIF(O1958:Q1975,$B1979)+COUNTIF(O1958:Q1975,$B1979&amp;" ~*")&gt;0)+(COUNTIF(S1958:U1975,$B1979)+COUNTIF(S1958:U1975,$B1979&amp;" ~*")&gt;0)+(COUNTIF(W1958:W1975,$B1979)+COUNTIF(W1958:W1975,$B1979&amp;" ~*")&gt;0)+(COUNTIF(Y1958:Y1975,$B1979)+COUNTIF(Y1958:Y1975,$B1979&amp;" ~*")&gt;0))</f>
        <v/>
      </c>
      <c r="AC1979" s="36">
        <f>IF($B1979="","",(IFERROR(INDEX(Setup!$G$33:$G$40,MATCH(C1979,Setup!$B$33:$B$40,0)),0)=1)*(COUNTIF(C1958:E1975,$B1979)+COUNTIF(C1958:E1975,$B1979&amp;" ~*")&gt;0)+(IFERROR(INDEX(Setup!$G$33:$G$40,MATCH(G1979,Setup!$B$33:$B$40,0)),0)=1)*(COUNTIF(G1958:I1975,$B1979)+COUNTIF(G1958:I1975,$B1979&amp;" ~*")&gt;0)+(IFERROR(INDEX(Setup!$G$33:$G$40,MATCH(K1979,Setup!$B$33:$B$40,0)),0)=1)*(COUNTIF(K1958:M1975,$B1979)+COUNTIF(K1958:M1975,$B1979&amp;" ~*")&gt;0)+(IFERROR(INDEX(Setup!$G$33:$G$40,MATCH(O1979,Setup!$B$33:$B$40,0)),0)=1)*(COUNTIF(O1958:Q1975,$B1979)+COUNTIF(O1958:Q1975,$B1979&amp;" ~*")&gt;0)+(IFERROR(INDEX(Setup!$G$33:$G$40,MATCH(S1979,Setup!$B$33:$B$40,0)),0)=1)*(COUNTIF(S1958:U1975,$B1979)+COUNTIF(S1958:U1975,$B1979&amp;" ~*")&gt;0)+(IFERROR(INDEX(Setup!$G$33:$G$40,MATCH(W1979,Setup!$B$33:$B$40,0)),0)=1)*(COUNTIF(W1958:W1975,$B1979)+COUNTIF(W1958:W1975,$B1979&amp;" ~*")&gt;0)+(IFERROR(INDEX(Setup!$G$33:$G$40,MATCH(Y1979,Setup!$B$33:$B$40,0)),0)=1)*(COUNTIF(Y1958:Y1975,$B1979)+COUNTIF(Y1958:Y1975,$B1979&amp;" ~*")&gt;0))</f>
        <v/>
      </c>
    </row>
    <row r="1980" ht="15" customHeight="1">
      <c r="A1980" t="n">
        <v>40</v>
      </c>
      <c r="B1980" s="37">
        <f>IF(Setup!$B$9="","",Setup!$B$9)</f>
        <v/>
      </c>
      <c r="C1980" s="102" t="n"/>
      <c r="D1980" s="103" t="n"/>
      <c r="E1980" s="103" t="n"/>
      <c r="F1980" s="104" t="n"/>
      <c r="G1980" s="102" t="n"/>
      <c r="H1980" s="103" t="n"/>
      <c r="I1980" s="103" t="n"/>
      <c r="J1980" s="104" t="n"/>
      <c r="K1980" s="102" t="n"/>
      <c r="L1980" s="103" t="n"/>
      <c r="M1980" s="103" t="n"/>
      <c r="N1980" s="104" t="n"/>
      <c r="O1980" s="102" t="n"/>
      <c r="P1980" s="103" t="n"/>
      <c r="Q1980" s="103" t="n"/>
      <c r="R1980" s="104" t="n"/>
      <c r="S1980" s="102" t="n"/>
      <c r="T1980" s="103" t="n"/>
      <c r="U1980" s="103" t="n"/>
      <c r="V1980" s="104" t="n"/>
      <c r="W1980" s="102" t="n"/>
      <c r="X1980" s="104" t="n"/>
      <c r="Y1980" s="102" t="n"/>
      <c r="Z1980" s="104" t="n"/>
      <c r="AB1980" s="105">
        <f>IF($B1980="","",(COUNTIF(C1958:E1975,$B1980)+COUNTIF(C1958:E1975,$B1980&amp;" ~*")&gt;0)+(COUNTIF(G1958:I1975,$B1980)+COUNTIF(G1958:I1975,$B1980&amp;" ~*")&gt;0)+(COUNTIF(K1958:M1975,$B1980)+COUNTIF(K1958:M1975,$B1980&amp;" ~*")&gt;0)+(COUNTIF(O1958:Q1975,$B1980)+COUNTIF(O1958:Q1975,$B1980&amp;" ~*")&gt;0)+(COUNTIF(S1958:U1975,$B1980)+COUNTIF(S1958:U1975,$B1980&amp;" ~*")&gt;0)+(COUNTIF(W1958:W1975,$B1980)+COUNTIF(W1958:W1975,$B1980&amp;" ~*")&gt;0)+(COUNTIF(Y1958:Y1975,$B1980)+COUNTIF(Y1958:Y1975,$B1980&amp;" ~*")&gt;0))</f>
        <v/>
      </c>
      <c r="AC1980" s="38">
        <f>IF($B1980="","",(IFERROR(INDEX(Setup!$G$33:$G$40,MATCH(C1980,Setup!$B$33:$B$40,0)),0)=1)*(COUNTIF(C1958:E1975,$B1980)+COUNTIF(C1958:E1975,$B1980&amp;" ~*")&gt;0)+(IFERROR(INDEX(Setup!$G$33:$G$40,MATCH(G1980,Setup!$B$33:$B$40,0)),0)=1)*(COUNTIF(G1958:I1975,$B1980)+COUNTIF(G1958:I1975,$B1980&amp;" ~*")&gt;0)+(IFERROR(INDEX(Setup!$G$33:$G$40,MATCH(K1980,Setup!$B$33:$B$40,0)),0)=1)*(COUNTIF(K1958:M1975,$B1980)+COUNTIF(K1958:M1975,$B1980&amp;" ~*")&gt;0)+(IFERROR(INDEX(Setup!$G$33:$G$40,MATCH(O1980,Setup!$B$33:$B$40,0)),0)=1)*(COUNTIF(O1958:Q1975,$B1980)+COUNTIF(O1958:Q1975,$B1980&amp;" ~*")&gt;0)+(IFERROR(INDEX(Setup!$G$33:$G$40,MATCH(S1980,Setup!$B$33:$B$40,0)),0)=1)*(COUNTIF(S1958:U1975,$B1980)+COUNTIF(S1958:U1975,$B1980&amp;" ~*")&gt;0)+(IFERROR(INDEX(Setup!$G$33:$G$40,MATCH(W1980,Setup!$B$33:$B$40,0)),0)=1)*(COUNTIF(W1958:W1975,$B1980)+COUNTIF(W1958:W1975,$B1980&amp;" ~*")&gt;0)+(IFERROR(INDEX(Setup!$G$33:$G$40,MATCH(Y1980,Setup!$B$33:$B$40,0)),0)=1)*(COUNTIF(Y1958:Y1975,$B1980)+COUNTIF(Y1958:Y1975,$B1980&amp;" ~*")&gt;0))</f>
        <v/>
      </c>
    </row>
    <row r="1981" ht="15" customHeight="1">
      <c r="A1981" t="n">
        <v>40</v>
      </c>
      <c r="B1981" s="35">
        <f>IF(Setup!$B$10="","",Setup!$B$10)</f>
        <v/>
      </c>
      <c r="C1981" s="98" t="n"/>
      <c r="D1981" s="99" t="n"/>
      <c r="E1981" s="99" t="n"/>
      <c r="F1981" s="100" t="n"/>
      <c r="G1981" s="98" t="n"/>
      <c r="H1981" s="99" t="n"/>
      <c r="I1981" s="99" t="n"/>
      <c r="J1981" s="100" t="n"/>
      <c r="K1981" s="98" t="n"/>
      <c r="L1981" s="99" t="n"/>
      <c r="M1981" s="99" t="n"/>
      <c r="N1981" s="100" t="n"/>
      <c r="O1981" s="98" t="n"/>
      <c r="P1981" s="99" t="n"/>
      <c r="Q1981" s="99" t="n"/>
      <c r="R1981" s="100" t="n"/>
      <c r="S1981" s="98" t="n"/>
      <c r="T1981" s="99" t="n"/>
      <c r="U1981" s="99" t="n"/>
      <c r="V1981" s="100" t="n"/>
      <c r="W1981" s="98" t="n"/>
      <c r="X1981" s="100" t="n"/>
      <c r="Y1981" s="98" t="n"/>
      <c r="Z1981" s="100" t="n"/>
      <c r="AB1981" s="101">
        <f>IF($B1981="","",(COUNTIF(C1958:E1975,$B1981)+COUNTIF(C1958:E1975,$B1981&amp;" ~*")&gt;0)+(COUNTIF(G1958:I1975,$B1981)+COUNTIF(G1958:I1975,$B1981&amp;" ~*")&gt;0)+(COUNTIF(K1958:M1975,$B1981)+COUNTIF(K1958:M1975,$B1981&amp;" ~*")&gt;0)+(COUNTIF(O1958:Q1975,$B1981)+COUNTIF(O1958:Q1975,$B1981&amp;" ~*")&gt;0)+(COUNTIF(S1958:U1975,$B1981)+COUNTIF(S1958:U1975,$B1981&amp;" ~*")&gt;0)+(COUNTIF(W1958:W1975,$B1981)+COUNTIF(W1958:W1975,$B1981&amp;" ~*")&gt;0)+(COUNTIF(Y1958:Y1975,$B1981)+COUNTIF(Y1958:Y1975,$B1981&amp;" ~*")&gt;0))</f>
        <v/>
      </c>
      <c r="AC1981" s="36">
        <f>IF($B1981="","",(IFERROR(INDEX(Setup!$G$33:$G$40,MATCH(C1981,Setup!$B$33:$B$40,0)),0)=1)*(COUNTIF(C1958:E1975,$B1981)+COUNTIF(C1958:E1975,$B1981&amp;" ~*")&gt;0)+(IFERROR(INDEX(Setup!$G$33:$G$40,MATCH(G1981,Setup!$B$33:$B$40,0)),0)=1)*(COUNTIF(G1958:I1975,$B1981)+COUNTIF(G1958:I1975,$B1981&amp;" ~*")&gt;0)+(IFERROR(INDEX(Setup!$G$33:$G$40,MATCH(K1981,Setup!$B$33:$B$40,0)),0)=1)*(COUNTIF(K1958:M1975,$B1981)+COUNTIF(K1958:M1975,$B1981&amp;" ~*")&gt;0)+(IFERROR(INDEX(Setup!$G$33:$G$40,MATCH(O1981,Setup!$B$33:$B$40,0)),0)=1)*(COUNTIF(O1958:Q1975,$B1981)+COUNTIF(O1958:Q1975,$B1981&amp;" ~*")&gt;0)+(IFERROR(INDEX(Setup!$G$33:$G$40,MATCH(S1981,Setup!$B$33:$B$40,0)),0)=1)*(COUNTIF(S1958:U1975,$B1981)+COUNTIF(S1958:U1975,$B1981&amp;" ~*")&gt;0)+(IFERROR(INDEX(Setup!$G$33:$G$40,MATCH(W1981,Setup!$B$33:$B$40,0)),0)=1)*(COUNTIF(W1958:W1975,$B1981)+COUNTIF(W1958:W1975,$B1981&amp;" ~*")&gt;0)+(IFERROR(INDEX(Setup!$G$33:$G$40,MATCH(Y1981,Setup!$B$33:$B$40,0)),0)=1)*(COUNTIF(Y1958:Y1975,$B1981)+COUNTIF(Y1958:Y1975,$B1981&amp;" ~*")&gt;0))</f>
        <v/>
      </c>
    </row>
    <row r="1982" ht="15" customHeight="1">
      <c r="A1982" t="n">
        <v>40</v>
      </c>
      <c r="B1982" s="37">
        <f>IF(Setup!$B$11="","",Setup!$B$11)</f>
        <v/>
      </c>
      <c r="C1982" s="102" t="n"/>
      <c r="D1982" s="103" t="n"/>
      <c r="E1982" s="103" t="n"/>
      <c r="F1982" s="104" t="n"/>
      <c r="G1982" s="102" t="n"/>
      <c r="H1982" s="103" t="n"/>
      <c r="I1982" s="103" t="n"/>
      <c r="J1982" s="104" t="n"/>
      <c r="K1982" s="102" t="n"/>
      <c r="L1982" s="103" t="n"/>
      <c r="M1982" s="103" t="n"/>
      <c r="N1982" s="104" t="n"/>
      <c r="O1982" s="102" t="n"/>
      <c r="P1982" s="103" t="n"/>
      <c r="Q1982" s="103" t="n"/>
      <c r="R1982" s="104" t="n"/>
      <c r="S1982" s="102" t="n"/>
      <c r="T1982" s="103" t="n"/>
      <c r="U1982" s="103" t="n"/>
      <c r="V1982" s="104" t="n"/>
      <c r="W1982" s="102" t="n"/>
      <c r="X1982" s="104" t="n"/>
      <c r="Y1982" s="102" t="n"/>
      <c r="Z1982" s="104" t="n"/>
      <c r="AB1982" s="105">
        <f>IF($B1982="","",(COUNTIF(C1958:E1975,$B1982)+COUNTIF(C1958:E1975,$B1982&amp;" ~*")&gt;0)+(COUNTIF(G1958:I1975,$B1982)+COUNTIF(G1958:I1975,$B1982&amp;" ~*")&gt;0)+(COUNTIF(K1958:M1975,$B1982)+COUNTIF(K1958:M1975,$B1982&amp;" ~*")&gt;0)+(COUNTIF(O1958:Q1975,$B1982)+COUNTIF(O1958:Q1975,$B1982&amp;" ~*")&gt;0)+(COUNTIF(S1958:U1975,$B1982)+COUNTIF(S1958:U1975,$B1982&amp;" ~*")&gt;0)+(COUNTIF(W1958:W1975,$B1982)+COUNTIF(W1958:W1975,$B1982&amp;" ~*")&gt;0)+(COUNTIF(Y1958:Y1975,$B1982)+COUNTIF(Y1958:Y1975,$B1982&amp;" ~*")&gt;0))</f>
        <v/>
      </c>
      <c r="AC1982" s="38">
        <f>IF($B1982="","",(IFERROR(INDEX(Setup!$G$33:$G$40,MATCH(C1982,Setup!$B$33:$B$40,0)),0)=1)*(COUNTIF(C1958:E1975,$B1982)+COUNTIF(C1958:E1975,$B1982&amp;" ~*")&gt;0)+(IFERROR(INDEX(Setup!$G$33:$G$40,MATCH(G1982,Setup!$B$33:$B$40,0)),0)=1)*(COUNTIF(G1958:I1975,$B1982)+COUNTIF(G1958:I1975,$B1982&amp;" ~*")&gt;0)+(IFERROR(INDEX(Setup!$G$33:$G$40,MATCH(K1982,Setup!$B$33:$B$40,0)),0)=1)*(COUNTIF(K1958:M1975,$B1982)+COUNTIF(K1958:M1975,$B1982&amp;" ~*")&gt;0)+(IFERROR(INDEX(Setup!$G$33:$G$40,MATCH(O1982,Setup!$B$33:$B$40,0)),0)=1)*(COUNTIF(O1958:Q1975,$B1982)+COUNTIF(O1958:Q1975,$B1982&amp;" ~*")&gt;0)+(IFERROR(INDEX(Setup!$G$33:$G$40,MATCH(S1982,Setup!$B$33:$B$40,0)),0)=1)*(COUNTIF(S1958:U1975,$B1982)+COUNTIF(S1958:U1975,$B1982&amp;" ~*")&gt;0)+(IFERROR(INDEX(Setup!$G$33:$G$40,MATCH(W1982,Setup!$B$33:$B$40,0)),0)=1)*(COUNTIF(W1958:W1975,$B1982)+COUNTIF(W1958:W1975,$B1982&amp;" ~*")&gt;0)+(IFERROR(INDEX(Setup!$G$33:$G$40,MATCH(Y1982,Setup!$B$33:$B$40,0)),0)=1)*(COUNTIF(Y1958:Y1975,$B1982)+COUNTIF(Y1958:Y1975,$B1982&amp;" ~*")&gt;0))</f>
        <v/>
      </c>
    </row>
    <row r="1983" ht="15" customHeight="1">
      <c r="A1983" t="n">
        <v>40</v>
      </c>
      <c r="B1983" s="35">
        <f>IF(Setup!$B$12="","",Setup!$B$12)</f>
        <v/>
      </c>
      <c r="C1983" s="98" t="n"/>
      <c r="D1983" s="99" t="n"/>
      <c r="E1983" s="99" t="n"/>
      <c r="F1983" s="100" t="n"/>
      <c r="G1983" s="98" t="n"/>
      <c r="H1983" s="99" t="n"/>
      <c r="I1983" s="99" t="n"/>
      <c r="J1983" s="100" t="n"/>
      <c r="K1983" s="98" t="n"/>
      <c r="L1983" s="99" t="n"/>
      <c r="M1983" s="99" t="n"/>
      <c r="N1983" s="100" t="n"/>
      <c r="O1983" s="98" t="n"/>
      <c r="P1983" s="99" t="n"/>
      <c r="Q1983" s="99" t="n"/>
      <c r="R1983" s="100" t="n"/>
      <c r="S1983" s="98" t="n"/>
      <c r="T1983" s="99" t="n"/>
      <c r="U1983" s="99" t="n"/>
      <c r="V1983" s="100" t="n"/>
      <c r="W1983" s="98" t="n"/>
      <c r="X1983" s="100" t="n"/>
      <c r="Y1983" s="98" t="n"/>
      <c r="Z1983" s="100" t="n"/>
      <c r="AB1983" s="101">
        <f>IF($B1983="","",(COUNTIF(C1958:E1975,$B1983)+COUNTIF(C1958:E1975,$B1983&amp;" ~*")&gt;0)+(COUNTIF(G1958:I1975,$B1983)+COUNTIF(G1958:I1975,$B1983&amp;" ~*")&gt;0)+(COUNTIF(K1958:M1975,$B1983)+COUNTIF(K1958:M1975,$B1983&amp;" ~*")&gt;0)+(COUNTIF(O1958:Q1975,$B1983)+COUNTIF(O1958:Q1975,$B1983&amp;" ~*")&gt;0)+(COUNTIF(S1958:U1975,$B1983)+COUNTIF(S1958:U1975,$B1983&amp;" ~*")&gt;0)+(COUNTIF(W1958:W1975,$B1983)+COUNTIF(W1958:W1975,$B1983&amp;" ~*")&gt;0)+(COUNTIF(Y1958:Y1975,$B1983)+COUNTIF(Y1958:Y1975,$B1983&amp;" ~*")&gt;0))</f>
        <v/>
      </c>
      <c r="AC1983" s="36">
        <f>IF($B1983="","",(IFERROR(INDEX(Setup!$G$33:$G$40,MATCH(C1983,Setup!$B$33:$B$40,0)),0)=1)*(COUNTIF(C1958:E1975,$B1983)+COUNTIF(C1958:E1975,$B1983&amp;" ~*")&gt;0)+(IFERROR(INDEX(Setup!$G$33:$G$40,MATCH(G1983,Setup!$B$33:$B$40,0)),0)=1)*(COUNTIF(G1958:I1975,$B1983)+COUNTIF(G1958:I1975,$B1983&amp;" ~*")&gt;0)+(IFERROR(INDEX(Setup!$G$33:$G$40,MATCH(K1983,Setup!$B$33:$B$40,0)),0)=1)*(COUNTIF(K1958:M1975,$B1983)+COUNTIF(K1958:M1975,$B1983&amp;" ~*")&gt;0)+(IFERROR(INDEX(Setup!$G$33:$G$40,MATCH(O1983,Setup!$B$33:$B$40,0)),0)=1)*(COUNTIF(O1958:Q1975,$B1983)+COUNTIF(O1958:Q1975,$B1983&amp;" ~*")&gt;0)+(IFERROR(INDEX(Setup!$G$33:$G$40,MATCH(S1983,Setup!$B$33:$B$40,0)),0)=1)*(COUNTIF(S1958:U1975,$B1983)+COUNTIF(S1958:U1975,$B1983&amp;" ~*")&gt;0)+(IFERROR(INDEX(Setup!$G$33:$G$40,MATCH(W1983,Setup!$B$33:$B$40,0)),0)=1)*(COUNTIF(W1958:W1975,$B1983)+COUNTIF(W1958:W1975,$B1983&amp;" ~*")&gt;0)+(IFERROR(INDEX(Setup!$G$33:$G$40,MATCH(Y1983,Setup!$B$33:$B$40,0)),0)=1)*(COUNTIF(Y1958:Y1975,$B1983)+COUNTIF(Y1958:Y1975,$B1983&amp;" ~*")&gt;0))</f>
        <v/>
      </c>
    </row>
    <row r="1984" ht="15" customHeight="1">
      <c r="A1984" t="n">
        <v>40</v>
      </c>
      <c r="B1984" s="37">
        <f>IF(Setup!$B$13="","",Setup!$B$13)</f>
        <v/>
      </c>
      <c r="C1984" s="102" t="n"/>
      <c r="D1984" s="103" t="n"/>
      <c r="E1984" s="103" t="n"/>
      <c r="F1984" s="104" t="n"/>
      <c r="G1984" s="102" t="n"/>
      <c r="H1984" s="103" t="n"/>
      <c r="I1984" s="103" t="n"/>
      <c r="J1984" s="104" t="n"/>
      <c r="K1984" s="102" t="n"/>
      <c r="L1984" s="103" t="n"/>
      <c r="M1984" s="103" t="n"/>
      <c r="N1984" s="104" t="n"/>
      <c r="O1984" s="102" t="n"/>
      <c r="P1984" s="103" t="n"/>
      <c r="Q1984" s="103" t="n"/>
      <c r="R1984" s="104" t="n"/>
      <c r="S1984" s="102" t="n"/>
      <c r="T1984" s="103" t="n"/>
      <c r="U1984" s="103" t="n"/>
      <c r="V1984" s="104" t="n"/>
      <c r="W1984" s="102" t="n"/>
      <c r="X1984" s="104" t="n"/>
      <c r="Y1984" s="102" t="n"/>
      <c r="Z1984" s="104" t="n"/>
      <c r="AB1984" s="105">
        <f>IF($B1984="","",(COUNTIF(C1958:E1975,$B1984)+COUNTIF(C1958:E1975,$B1984&amp;" ~*")&gt;0)+(COUNTIF(G1958:I1975,$B1984)+COUNTIF(G1958:I1975,$B1984&amp;" ~*")&gt;0)+(COUNTIF(K1958:M1975,$B1984)+COUNTIF(K1958:M1975,$B1984&amp;" ~*")&gt;0)+(COUNTIF(O1958:Q1975,$B1984)+COUNTIF(O1958:Q1975,$B1984&amp;" ~*")&gt;0)+(COUNTIF(S1958:U1975,$B1984)+COUNTIF(S1958:U1975,$B1984&amp;" ~*")&gt;0)+(COUNTIF(W1958:W1975,$B1984)+COUNTIF(W1958:W1975,$B1984&amp;" ~*")&gt;0)+(COUNTIF(Y1958:Y1975,$B1984)+COUNTIF(Y1958:Y1975,$B1984&amp;" ~*")&gt;0))</f>
        <v/>
      </c>
      <c r="AC1984" s="38">
        <f>IF($B1984="","",(IFERROR(INDEX(Setup!$G$33:$G$40,MATCH(C1984,Setup!$B$33:$B$40,0)),0)=1)*(COUNTIF(C1958:E1975,$B1984)+COUNTIF(C1958:E1975,$B1984&amp;" ~*")&gt;0)+(IFERROR(INDEX(Setup!$G$33:$G$40,MATCH(G1984,Setup!$B$33:$B$40,0)),0)=1)*(COUNTIF(G1958:I1975,$B1984)+COUNTIF(G1958:I1975,$B1984&amp;" ~*")&gt;0)+(IFERROR(INDEX(Setup!$G$33:$G$40,MATCH(K1984,Setup!$B$33:$B$40,0)),0)=1)*(COUNTIF(K1958:M1975,$B1984)+COUNTIF(K1958:M1975,$B1984&amp;" ~*")&gt;0)+(IFERROR(INDEX(Setup!$G$33:$G$40,MATCH(O1984,Setup!$B$33:$B$40,0)),0)=1)*(COUNTIF(O1958:Q1975,$B1984)+COUNTIF(O1958:Q1975,$B1984&amp;" ~*")&gt;0)+(IFERROR(INDEX(Setup!$G$33:$G$40,MATCH(S1984,Setup!$B$33:$B$40,0)),0)=1)*(COUNTIF(S1958:U1975,$B1984)+COUNTIF(S1958:U1975,$B1984&amp;" ~*")&gt;0)+(IFERROR(INDEX(Setup!$G$33:$G$40,MATCH(W1984,Setup!$B$33:$B$40,0)),0)=1)*(COUNTIF(W1958:W1975,$B1984)+COUNTIF(W1958:W1975,$B1984&amp;" ~*")&gt;0)+(IFERROR(INDEX(Setup!$G$33:$G$40,MATCH(Y1984,Setup!$B$33:$B$40,0)),0)=1)*(COUNTIF(Y1958:Y1975,$B1984)+COUNTIF(Y1958:Y1975,$B1984&amp;" ~*")&gt;0))</f>
        <v/>
      </c>
    </row>
    <row r="1985" ht="15" customHeight="1">
      <c r="A1985" t="n">
        <v>40</v>
      </c>
      <c r="B1985" s="35">
        <f>IF(Setup!$B$14="","",Setup!$B$14)</f>
        <v/>
      </c>
      <c r="C1985" s="98" t="n"/>
      <c r="D1985" s="99" t="n"/>
      <c r="E1985" s="99" t="n"/>
      <c r="F1985" s="100" t="n"/>
      <c r="G1985" s="98" t="n"/>
      <c r="H1985" s="99" t="n"/>
      <c r="I1985" s="99" t="n"/>
      <c r="J1985" s="100" t="n"/>
      <c r="K1985" s="98" t="n"/>
      <c r="L1985" s="99" t="n"/>
      <c r="M1985" s="99" t="n"/>
      <c r="N1985" s="100" t="n"/>
      <c r="O1985" s="98" t="n"/>
      <c r="P1985" s="99" t="n"/>
      <c r="Q1985" s="99" t="n"/>
      <c r="R1985" s="100" t="n"/>
      <c r="S1985" s="98" t="n"/>
      <c r="T1985" s="99" t="n"/>
      <c r="U1985" s="99" t="n"/>
      <c r="V1985" s="100" t="n"/>
      <c r="W1985" s="98" t="n"/>
      <c r="X1985" s="100" t="n"/>
      <c r="Y1985" s="98" t="n"/>
      <c r="Z1985" s="100" t="n"/>
      <c r="AB1985" s="101">
        <f>IF($B1985="","",(COUNTIF(C1958:E1975,$B1985)+COUNTIF(C1958:E1975,$B1985&amp;" ~*")&gt;0)+(COUNTIF(G1958:I1975,$B1985)+COUNTIF(G1958:I1975,$B1985&amp;" ~*")&gt;0)+(COUNTIF(K1958:M1975,$B1985)+COUNTIF(K1958:M1975,$B1985&amp;" ~*")&gt;0)+(COUNTIF(O1958:Q1975,$B1985)+COUNTIF(O1958:Q1975,$B1985&amp;" ~*")&gt;0)+(COUNTIF(S1958:U1975,$B1985)+COUNTIF(S1958:U1975,$B1985&amp;" ~*")&gt;0)+(COUNTIF(W1958:W1975,$B1985)+COUNTIF(W1958:W1975,$B1985&amp;" ~*")&gt;0)+(COUNTIF(Y1958:Y1975,$B1985)+COUNTIF(Y1958:Y1975,$B1985&amp;" ~*")&gt;0))</f>
        <v/>
      </c>
      <c r="AC1985" s="36">
        <f>IF($B1985="","",(IFERROR(INDEX(Setup!$G$33:$G$40,MATCH(C1985,Setup!$B$33:$B$40,0)),0)=1)*(COUNTIF(C1958:E1975,$B1985)+COUNTIF(C1958:E1975,$B1985&amp;" ~*")&gt;0)+(IFERROR(INDEX(Setup!$G$33:$G$40,MATCH(G1985,Setup!$B$33:$B$40,0)),0)=1)*(COUNTIF(G1958:I1975,$B1985)+COUNTIF(G1958:I1975,$B1985&amp;" ~*")&gt;0)+(IFERROR(INDEX(Setup!$G$33:$G$40,MATCH(K1985,Setup!$B$33:$B$40,0)),0)=1)*(COUNTIF(K1958:M1975,$B1985)+COUNTIF(K1958:M1975,$B1985&amp;" ~*")&gt;0)+(IFERROR(INDEX(Setup!$G$33:$G$40,MATCH(O1985,Setup!$B$33:$B$40,0)),0)=1)*(COUNTIF(O1958:Q1975,$B1985)+COUNTIF(O1958:Q1975,$B1985&amp;" ~*")&gt;0)+(IFERROR(INDEX(Setup!$G$33:$G$40,MATCH(S1985,Setup!$B$33:$B$40,0)),0)=1)*(COUNTIF(S1958:U1975,$B1985)+COUNTIF(S1958:U1975,$B1985&amp;" ~*")&gt;0)+(IFERROR(INDEX(Setup!$G$33:$G$40,MATCH(W1985,Setup!$B$33:$B$40,0)),0)=1)*(COUNTIF(W1958:W1975,$B1985)+COUNTIF(W1958:W1975,$B1985&amp;" ~*")&gt;0)+(IFERROR(INDEX(Setup!$G$33:$G$40,MATCH(Y1985,Setup!$B$33:$B$40,0)),0)=1)*(COUNTIF(Y1958:Y1975,$B1985)+COUNTIF(Y1958:Y1975,$B1985&amp;" ~*")&gt;0))</f>
        <v/>
      </c>
    </row>
    <row r="1986" ht="15" customHeight="1">
      <c r="A1986" t="n">
        <v>40</v>
      </c>
      <c r="B1986" s="37">
        <f>IF(Setup!$B$15="","",Setup!$B$15)</f>
        <v/>
      </c>
      <c r="C1986" s="102" t="n"/>
      <c r="D1986" s="103" t="n"/>
      <c r="E1986" s="103" t="n"/>
      <c r="F1986" s="104" t="n"/>
      <c r="G1986" s="102" t="n"/>
      <c r="H1986" s="103" t="n"/>
      <c r="I1986" s="103" t="n"/>
      <c r="J1986" s="104" t="n"/>
      <c r="K1986" s="102" t="n"/>
      <c r="L1986" s="103" t="n"/>
      <c r="M1986" s="103" t="n"/>
      <c r="N1986" s="104" t="n"/>
      <c r="O1986" s="102" t="n"/>
      <c r="P1986" s="103" t="n"/>
      <c r="Q1986" s="103" t="n"/>
      <c r="R1986" s="104" t="n"/>
      <c r="S1986" s="102" t="n"/>
      <c r="T1986" s="103" t="n"/>
      <c r="U1986" s="103" t="n"/>
      <c r="V1986" s="104" t="n"/>
      <c r="W1986" s="102" t="n"/>
      <c r="X1986" s="104" t="n"/>
      <c r="Y1986" s="102" t="n"/>
      <c r="Z1986" s="104" t="n"/>
      <c r="AB1986" s="105">
        <f>IF($B1986="","",(COUNTIF(C1958:E1975,$B1986)+COUNTIF(C1958:E1975,$B1986&amp;" ~*")&gt;0)+(COUNTIF(G1958:I1975,$B1986)+COUNTIF(G1958:I1975,$B1986&amp;" ~*")&gt;0)+(COUNTIF(K1958:M1975,$B1986)+COUNTIF(K1958:M1975,$B1986&amp;" ~*")&gt;0)+(COUNTIF(O1958:Q1975,$B1986)+COUNTIF(O1958:Q1975,$B1986&amp;" ~*")&gt;0)+(COUNTIF(S1958:U1975,$B1986)+COUNTIF(S1958:U1975,$B1986&amp;" ~*")&gt;0)+(COUNTIF(W1958:W1975,$B1986)+COUNTIF(W1958:W1975,$B1986&amp;" ~*")&gt;0)+(COUNTIF(Y1958:Y1975,$B1986)+COUNTIF(Y1958:Y1975,$B1986&amp;" ~*")&gt;0))</f>
        <v/>
      </c>
      <c r="AC1986" s="38">
        <f>IF($B1986="","",(IFERROR(INDEX(Setup!$G$33:$G$40,MATCH(C1986,Setup!$B$33:$B$40,0)),0)=1)*(COUNTIF(C1958:E1975,$B1986)+COUNTIF(C1958:E1975,$B1986&amp;" ~*")&gt;0)+(IFERROR(INDEX(Setup!$G$33:$G$40,MATCH(G1986,Setup!$B$33:$B$40,0)),0)=1)*(COUNTIF(G1958:I1975,$B1986)+COUNTIF(G1958:I1975,$B1986&amp;" ~*")&gt;0)+(IFERROR(INDEX(Setup!$G$33:$G$40,MATCH(K1986,Setup!$B$33:$B$40,0)),0)=1)*(COUNTIF(K1958:M1975,$B1986)+COUNTIF(K1958:M1975,$B1986&amp;" ~*")&gt;0)+(IFERROR(INDEX(Setup!$G$33:$G$40,MATCH(O1986,Setup!$B$33:$B$40,0)),0)=1)*(COUNTIF(O1958:Q1975,$B1986)+COUNTIF(O1958:Q1975,$B1986&amp;" ~*")&gt;0)+(IFERROR(INDEX(Setup!$G$33:$G$40,MATCH(S1986,Setup!$B$33:$B$40,0)),0)=1)*(COUNTIF(S1958:U1975,$B1986)+COUNTIF(S1958:U1975,$B1986&amp;" ~*")&gt;0)+(IFERROR(INDEX(Setup!$G$33:$G$40,MATCH(W1986,Setup!$B$33:$B$40,0)),0)=1)*(COUNTIF(W1958:W1975,$B1986)+COUNTIF(W1958:W1975,$B1986&amp;" ~*")&gt;0)+(IFERROR(INDEX(Setup!$G$33:$G$40,MATCH(Y1986,Setup!$B$33:$B$40,0)),0)=1)*(COUNTIF(Y1958:Y1975,$B1986)+COUNTIF(Y1958:Y1975,$B1986&amp;" ~*")&gt;0))</f>
        <v/>
      </c>
    </row>
    <row r="1987" ht="15" customHeight="1">
      <c r="A1987" t="n">
        <v>40</v>
      </c>
      <c r="B1987" s="35">
        <f>IF(Setup!$B$16="","",Setup!$B$16)</f>
        <v/>
      </c>
      <c r="C1987" s="98" t="n"/>
      <c r="D1987" s="99" t="n"/>
      <c r="E1987" s="99" t="n"/>
      <c r="F1987" s="100" t="n"/>
      <c r="G1987" s="98" t="n"/>
      <c r="H1987" s="99" t="n"/>
      <c r="I1987" s="99" t="n"/>
      <c r="J1987" s="100" t="n"/>
      <c r="K1987" s="98" t="n"/>
      <c r="L1987" s="99" t="n"/>
      <c r="M1987" s="99" t="n"/>
      <c r="N1987" s="100" t="n"/>
      <c r="O1987" s="98" t="n"/>
      <c r="P1987" s="99" t="n"/>
      <c r="Q1987" s="99" t="n"/>
      <c r="R1987" s="100" t="n"/>
      <c r="S1987" s="98" t="n"/>
      <c r="T1987" s="99" t="n"/>
      <c r="U1987" s="99" t="n"/>
      <c r="V1987" s="100" t="n"/>
      <c r="W1987" s="98" t="n"/>
      <c r="X1987" s="100" t="n"/>
      <c r="Y1987" s="98" t="n"/>
      <c r="Z1987" s="100" t="n"/>
      <c r="AB1987" s="101">
        <f>IF($B1987="","",(COUNTIF(C1958:E1975,$B1987)+COUNTIF(C1958:E1975,$B1987&amp;" ~*")&gt;0)+(COUNTIF(G1958:I1975,$B1987)+COUNTIF(G1958:I1975,$B1987&amp;" ~*")&gt;0)+(COUNTIF(K1958:M1975,$B1987)+COUNTIF(K1958:M1975,$B1987&amp;" ~*")&gt;0)+(COUNTIF(O1958:Q1975,$B1987)+COUNTIF(O1958:Q1975,$B1987&amp;" ~*")&gt;0)+(COUNTIF(S1958:U1975,$B1987)+COUNTIF(S1958:U1975,$B1987&amp;" ~*")&gt;0)+(COUNTIF(W1958:W1975,$B1987)+COUNTIF(W1958:W1975,$B1987&amp;" ~*")&gt;0)+(COUNTIF(Y1958:Y1975,$B1987)+COUNTIF(Y1958:Y1975,$B1987&amp;" ~*")&gt;0))</f>
        <v/>
      </c>
      <c r="AC1987" s="36">
        <f>IF($B1987="","",(IFERROR(INDEX(Setup!$G$33:$G$40,MATCH(C1987,Setup!$B$33:$B$40,0)),0)=1)*(COUNTIF(C1958:E1975,$B1987)+COUNTIF(C1958:E1975,$B1987&amp;" ~*")&gt;0)+(IFERROR(INDEX(Setup!$G$33:$G$40,MATCH(G1987,Setup!$B$33:$B$40,0)),0)=1)*(COUNTIF(G1958:I1975,$B1987)+COUNTIF(G1958:I1975,$B1987&amp;" ~*")&gt;0)+(IFERROR(INDEX(Setup!$G$33:$G$40,MATCH(K1987,Setup!$B$33:$B$40,0)),0)=1)*(COUNTIF(K1958:M1975,$B1987)+COUNTIF(K1958:M1975,$B1987&amp;" ~*")&gt;0)+(IFERROR(INDEX(Setup!$G$33:$G$40,MATCH(O1987,Setup!$B$33:$B$40,0)),0)=1)*(COUNTIF(O1958:Q1975,$B1987)+COUNTIF(O1958:Q1975,$B1987&amp;" ~*")&gt;0)+(IFERROR(INDEX(Setup!$G$33:$G$40,MATCH(S1987,Setup!$B$33:$B$40,0)),0)=1)*(COUNTIF(S1958:U1975,$B1987)+COUNTIF(S1958:U1975,$B1987&amp;" ~*")&gt;0)+(IFERROR(INDEX(Setup!$G$33:$G$40,MATCH(W1987,Setup!$B$33:$B$40,0)),0)=1)*(COUNTIF(W1958:W1975,$B1987)+COUNTIF(W1958:W1975,$B1987&amp;" ~*")&gt;0)+(IFERROR(INDEX(Setup!$G$33:$G$40,MATCH(Y1987,Setup!$B$33:$B$40,0)),0)=1)*(COUNTIF(Y1958:Y1975,$B1987)+COUNTIF(Y1958:Y1975,$B1987&amp;" ~*")&gt;0))</f>
        <v/>
      </c>
    </row>
    <row r="1988" ht="15" customHeight="1">
      <c r="A1988" t="n">
        <v>40</v>
      </c>
      <c r="B1988" s="37">
        <f>IF(Setup!$B$17="","",Setup!$B$17)</f>
        <v/>
      </c>
      <c r="C1988" s="102" t="n"/>
      <c r="D1988" s="103" t="n"/>
      <c r="E1988" s="103" t="n"/>
      <c r="F1988" s="104" t="n"/>
      <c r="G1988" s="102" t="n"/>
      <c r="H1988" s="103" t="n"/>
      <c r="I1988" s="103" t="n"/>
      <c r="J1988" s="104" t="n"/>
      <c r="K1988" s="102" t="n"/>
      <c r="L1988" s="103" t="n"/>
      <c r="M1988" s="103" t="n"/>
      <c r="N1988" s="104" t="n"/>
      <c r="O1988" s="102" t="n"/>
      <c r="P1988" s="103" t="n"/>
      <c r="Q1988" s="103" t="n"/>
      <c r="R1988" s="104" t="n"/>
      <c r="S1988" s="102" t="n"/>
      <c r="T1988" s="103" t="n"/>
      <c r="U1988" s="103" t="n"/>
      <c r="V1988" s="104" t="n"/>
      <c r="W1988" s="102" t="n"/>
      <c r="X1988" s="104" t="n"/>
      <c r="Y1988" s="102" t="n"/>
      <c r="Z1988" s="104" t="n"/>
      <c r="AB1988" s="105">
        <f>IF($B1988="","",(COUNTIF(C1958:E1975,$B1988)+COUNTIF(C1958:E1975,$B1988&amp;" ~*")&gt;0)+(COUNTIF(G1958:I1975,$B1988)+COUNTIF(G1958:I1975,$B1988&amp;" ~*")&gt;0)+(COUNTIF(K1958:M1975,$B1988)+COUNTIF(K1958:M1975,$B1988&amp;" ~*")&gt;0)+(COUNTIF(O1958:Q1975,$B1988)+COUNTIF(O1958:Q1975,$B1988&amp;" ~*")&gt;0)+(COUNTIF(S1958:U1975,$B1988)+COUNTIF(S1958:U1975,$B1988&amp;" ~*")&gt;0)+(COUNTIF(W1958:W1975,$B1988)+COUNTIF(W1958:W1975,$B1988&amp;" ~*")&gt;0)+(COUNTIF(Y1958:Y1975,$B1988)+COUNTIF(Y1958:Y1975,$B1988&amp;" ~*")&gt;0))</f>
        <v/>
      </c>
      <c r="AC1988" s="38">
        <f>IF($B1988="","",(IFERROR(INDEX(Setup!$G$33:$G$40,MATCH(C1988,Setup!$B$33:$B$40,0)),0)=1)*(COUNTIF(C1958:E1975,$B1988)+COUNTIF(C1958:E1975,$B1988&amp;" ~*")&gt;0)+(IFERROR(INDEX(Setup!$G$33:$G$40,MATCH(G1988,Setup!$B$33:$B$40,0)),0)=1)*(COUNTIF(G1958:I1975,$B1988)+COUNTIF(G1958:I1975,$B1988&amp;" ~*")&gt;0)+(IFERROR(INDEX(Setup!$G$33:$G$40,MATCH(K1988,Setup!$B$33:$B$40,0)),0)=1)*(COUNTIF(K1958:M1975,$B1988)+COUNTIF(K1958:M1975,$B1988&amp;" ~*")&gt;0)+(IFERROR(INDEX(Setup!$G$33:$G$40,MATCH(O1988,Setup!$B$33:$B$40,0)),0)=1)*(COUNTIF(O1958:Q1975,$B1988)+COUNTIF(O1958:Q1975,$B1988&amp;" ~*")&gt;0)+(IFERROR(INDEX(Setup!$G$33:$G$40,MATCH(S1988,Setup!$B$33:$B$40,0)),0)=1)*(COUNTIF(S1958:U1975,$B1988)+COUNTIF(S1958:U1975,$B1988&amp;" ~*")&gt;0)+(IFERROR(INDEX(Setup!$G$33:$G$40,MATCH(W1988,Setup!$B$33:$B$40,0)),0)=1)*(COUNTIF(W1958:W1975,$B1988)+COUNTIF(W1958:W1975,$B1988&amp;" ~*")&gt;0)+(IFERROR(INDEX(Setup!$G$33:$G$40,MATCH(Y1988,Setup!$B$33:$B$40,0)),0)=1)*(COUNTIF(Y1958:Y1975,$B1988)+COUNTIF(Y1958:Y1975,$B1988&amp;" ~*")&gt;0))</f>
        <v/>
      </c>
    </row>
    <row r="1989" ht="15" customHeight="1">
      <c r="A1989" t="n">
        <v>40</v>
      </c>
      <c r="B1989" s="35">
        <f>IF(Setup!$B$18="","",Setup!$B$18)</f>
        <v/>
      </c>
      <c r="C1989" s="98" t="n"/>
      <c r="D1989" s="99" t="n"/>
      <c r="E1989" s="99" t="n"/>
      <c r="F1989" s="100" t="n"/>
      <c r="G1989" s="98" t="n"/>
      <c r="H1989" s="99" t="n"/>
      <c r="I1989" s="99" t="n"/>
      <c r="J1989" s="100" t="n"/>
      <c r="K1989" s="98" t="n"/>
      <c r="L1989" s="99" t="n"/>
      <c r="M1989" s="99" t="n"/>
      <c r="N1989" s="100" t="n"/>
      <c r="O1989" s="98" t="n"/>
      <c r="P1989" s="99" t="n"/>
      <c r="Q1989" s="99" t="n"/>
      <c r="R1989" s="100" t="n"/>
      <c r="S1989" s="98" t="n"/>
      <c r="T1989" s="99" t="n"/>
      <c r="U1989" s="99" t="n"/>
      <c r="V1989" s="100" t="n"/>
      <c r="W1989" s="98" t="n"/>
      <c r="X1989" s="100" t="n"/>
      <c r="Y1989" s="98" t="n"/>
      <c r="Z1989" s="100" t="n"/>
      <c r="AB1989" s="101">
        <f>IF($B1989="","",(COUNTIF(C1958:E1975,$B1989)+COUNTIF(C1958:E1975,$B1989&amp;" ~*")&gt;0)+(COUNTIF(G1958:I1975,$B1989)+COUNTIF(G1958:I1975,$B1989&amp;" ~*")&gt;0)+(COUNTIF(K1958:M1975,$B1989)+COUNTIF(K1958:M1975,$B1989&amp;" ~*")&gt;0)+(COUNTIF(O1958:Q1975,$B1989)+COUNTIF(O1958:Q1975,$B1989&amp;" ~*")&gt;0)+(COUNTIF(S1958:U1975,$B1989)+COUNTIF(S1958:U1975,$B1989&amp;" ~*")&gt;0)+(COUNTIF(W1958:W1975,$B1989)+COUNTIF(W1958:W1975,$B1989&amp;" ~*")&gt;0)+(COUNTIF(Y1958:Y1975,$B1989)+COUNTIF(Y1958:Y1975,$B1989&amp;" ~*")&gt;0))</f>
        <v/>
      </c>
      <c r="AC1989" s="36">
        <f>IF($B1989="","",(IFERROR(INDEX(Setup!$G$33:$G$40,MATCH(C1989,Setup!$B$33:$B$40,0)),0)=1)*(COUNTIF(C1958:E1975,$B1989)+COUNTIF(C1958:E1975,$B1989&amp;" ~*")&gt;0)+(IFERROR(INDEX(Setup!$G$33:$G$40,MATCH(G1989,Setup!$B$33:$B$40,0)),0)=1)*(COUNTIF(G1958:I1975,$B1989)+COUNTIF(G1958:I1975,$B1989&amp;" ~*")&gt;0)+(IFERROR(INDEX(Setup!$G$33:$G$40,MATCH(K1989,Setup!$B$33:$B$40,0)),0)=1)*(COUNTIF(K1958:M1975,$B1989)+COUNTIF(K1958:M1975,$B1989&amp;" ~*")&gt;0)+(IFERROR(INDEX(Setup!$G$33:$G$40,MATCH(O1989,Setup!$B$33:$B$40,0)),0)=1)*(COUNTIF(O1958:Q1975,$B1989)+COUNTIF(O1958:Q1975,$B1989&amp;" ~*")&gt;0)+(IFERROR(INDEX(Setup!$G$33:$G$40,MATCH(S1989,Setup!$B$33:$B$40,0)),0)=1)*(COUNTIF(S1958:U1975,$B1989)+COUNTIF(S1958:U1975,$B1989&amp;" ~*")&gt;0)+(IFERROR(INDEX(Setup!$G$33:$G$40,MATCH(W1989,Setup!$B$33:$B$40,0)),0)=1)*(COUNTIF(W1958:W1975,$B1989)+COUNTIF(W1958:W1975,$B1989&amp;" ~*")&gt;0)+(IFERROR(INDEX(Setup!$G$33:$G$40,MATCH(Y1989,Setup!$B$33:$B$40,0)),0)=1)*(COUNTIF(Y1958:Y1975,$B1989)+COUNTIF(Y1958:Y1975,$B1989&amp;" ~*")&gt;0))</f>
        <v/>
      </c>
    </row>
    <row r="1990" ht="15" customHeight="1">
      <c r="A1990" t="n">
        <v>40</v>
      </c>
      <c r="B1990" s="37">
        <f>IF(Setup!$B$19="","",Setup!$B$19)</f>
        <v/>
      </c>
      <c r="C1990" s="102" t="n"/>
      <c r="D1990" s="103" t="n"/>
      <c r="E1990" s="103" t="n"/>
      <c r="F1990" s="104" t="n"/>
      <c r="G1990" s="102" t="n"/>
      <c r="H1990" s="103" t="n"/>
      <c r="I1990" s="103" t="n"/>
      <c r="J1990" s="104" t="n"/>
      <c r="K1990" s="102" t="n"/>
      <c r="L1990" s="103" t="n"/>
      <c r="M1990" s="103" t="n"/>
      <c r="N1990" s="104" t="n"/>
      <c r="O1990" s="102" t="n"/>
      <c r="P1990" s="103" t="n"/>
      <c r="Q1990" s="103" t="n"/>
      <c r="R1990" s="104" t="n"/>
      <c r="S1990" s="102" t="n"/>
      <c r="T1990" s="103" t="n"/>
      <c r="U1990" s="103" t="n"/>
      <c r="V1990" s="104" t="n"/>
      <c r="W1990" s="102" t="n"/>
      <c r="X1990" s="104" t="n"/>
      <c r="Y1990" s="102" t="n"/>
      <c r="Z1990" s="104" t="n"/>
      <c r="AB1990" s="105">
        <f>IF($B1990="","",(COUNTIF(C1958:E1975,$B1990)+COUNTIF(C1958:E1975,$B1990&amp;" ~*")&gt;0)+(COUNTIF(G1958:I1975,$B1990)+COUNTIF(G1958:I1975,$B1990&amp;" ~*")&gt;0)+(COUNTIF(K1958:M1975,$B1990)+COUNTIF(K1958:M1975,$B1990&amp;" ~*")&gt;0)+(COUNTIF(O1958:Q1975,$B1990)+COUNTIF(O1958:Q1975,$B1990&amp;" ~*")&gt;0)+(COUNTIF(S1958:U1975,$B1990)+COUNTIF(S1958:U1975,$B1990&amp;" ~*")&gt;0)+(COUNTIF(W1958:W1975,$B1990)+COUNTIF(W1958:W1975,$B1990&amp;" ~*")&gt;0)+(COUNTIF(Y1958:Y1975,$B1990)+COUNTIF(Y1958:Y1975,$B1990&amp;" ~*")&gt;0))</f>
        <v/>
      </c>
      <c r="AC1990" s="38">
        <f>IF($B1990="","",(IFERROR(INDEX(Setup!$G$33:$G$40,MATCH(C1990,Setup!$B$33:$B$40,0)),0)=1)*(COUNTIF(C1958:E1975,$B1990)+COUNTIF(C1958:E1975,$B1990&amp;" ~*")&gt;0)+(IFERROR(INDEX(Setup!$G$33:$G$40,MATCH(G1990,Setup!$B$33:$B$40,0)),0)=1)*(COUNTIF(G1958:I1975,$B1990)+COUNTIF(G1958:I1975,$B1990&amp;" ~*")&gt;0)+(IFERROR(INDEX(Setup!$G$33:$G$40,MATCH(K1990,Setup!$B$33:$B$40,0)),0)=1)*(COUNTIF(K1958:M1975,$B1990)+COUNTIF(K1958:M1975,$B1990&amp;" ~*")&gt;0)+(IFERROR(INDEX(Setup!$G$33:$G$40,MATCH(O1990,Setup!$B$33:$B$40,0)),0)=1)*(COUNTIF(O1958:Q1975,$B1990)+COUNTIF(O1958:Q1975,$B1990&amp;" ~*")&gt;0)+(IFERROR(INDEX(Setup!$G$33:$G$40,MATCH(S1990,Setup!$B$33:$B$40,0)),0)=1)*(COUNTIF(S1958:U1975,$B1990)+COUNTIF(S1958:U1975,$B1990&amp;" ~*")&gt;0)+(IFERROR(INDEX(Setup!$G$33:$G$40,MATCH(W1990,Setup!$B$33:$B$40,0)),0)=1)*(COUNTIF(W1958:W1975,$B1990)+COUNTIF(W1958:W1975,$B1990&amp;" ~*")&gt;0)+(IFERROR(INDEX(Setup!$G$33:$G$40,MATCH(Y1990,Setup!$B$33:$B$40,0)),0)=1)*(COUNTIF(Y1958:Y1975,$B1990)+COUNTIF(Y1958:Y1975,$B1990&amp;" ~*")&gt;0))</f>
        <v/>
      </c>
    </row>
    <row r="1991" ht="15" customHeight="1">
      <c r="A1991" t="n">
        <v>40</v>
      </c>
      <c r="B1991" s="35">
        <f>IF(Setup!$B$20="","",Setup!$B$20)</f>
        <v/>
      </c>
      <c r="C1991" s="98" t="n"/>
      <c r="D1991" s="99" t="n"/>
      <c r="E1991" s="99" t="n"/>
      <c r="F1991" s="100" t="n"/>
      <c r="G1991" s="98" t="n"/>
      <c r="H1991" s="99" t="n"/>
      <c r="I1991" s="99" t="n"/>
      <c r="J1991" s="100" t="n"/>
      <c r="K1991" s="98" t="n"/>
      <c r="L1991" s="99" t="n"/>
      <c r="M1991" s="99" t="n"/>
      <c r="N1991" s="100" t="n"/>
      <c r="O1991" s="98" t="n"/>
      <c r="P1991" s="99" t="n"/>
      <c r="Q1991" s="99" t="n"/>
      <c r="R1991" s="100" t="n"/>
      <c r="S1991" s="98" t="n"/>
      <c r="T1991" s="99" t="n"/>
      <c r="U1991" s="99" t="n"/>
      <c r="V1991" s="100" t="n"/>
      <c r="W1991" s="98" t="n"/>
      <c r="X1991" s="100" t="n"/>
      <c r="Y1991" s="98" t="n"/>
      <c r="Z1991" s="100" t="n"/>
      <c r="AB1991" s="101">
        <f>IF($B1991="","",(COUNTIF(C1958:E1975,$B1991)+COUNTIF(C1958:E1975,$B1991&amp;" ~*")&gt;0)+(COUNTIF(G1958:I1975,$B1991)+COUNTIF(G1958:I1975,$B1991&amp;" ~*")&gt;0)+(COUNTIF(K1958:M1975,$B1991)+COUNTIF(K1958:M1975,$B1991&amp;" ~*")&gt;0)+(COUNTIF(O1958:Q1975,$B1991)+COUNTIF(O1958:Q1975,$B1991&amp;" ~*")&gt;0)+(COUNTIF(S1958:U1975,$B1991)+COUNTIF(S1958:U1975,$B1991&amp;" ~*")&gt;0)+(COUNTIF(W1958:W1975,$B1991)+COUNTIF(W1958:W1975,$B1991&amp;" ~*")&gt;0)+(COUNTIF(Y1958:Y1975,$B1991)+COUNTIF(Y1958:Y1975,$B1991&amp;" ~*")&gt;0))</f>
        <v/>
      </c>
      <c r="AC1991" s="36">
        <f>IF($B1991="","",(IFERROR(INDEX(Setup!$G$33:$G$40,MATCH(C1991,Setup!$B$33:$B$40,0)),0)=1)*(COUNTIF(C1958:E1975,$B1991)+COUNTIF(C1958:E1975,$B1991&amp;" ~*")&gt;0)+(IFERROR(INDEX(Setup!$G$33:$G$40,MATCH(G1991,Setup!$B$33:$B$40,0)),0)=1)*(COUNTIF(G1958:I1975,$B1991)+COUNTIF(G1958:I1975,$B1991&amp;" ~*")&gt;0)+(IFERROR(INDEX(Setup!$G$33:$G$40,MATCH(K1991,Setup!$B$33:$B$40,0)),0)=1)*(COUNTIF(K1958:M1975,$B1991)+COUNTIF(K1958:M1975,$B1991&amp;" ~*")&gt;0)+(IFERROR(INDEX(Setup!$G$33:$G$40,MATCH(O1991,Setup!$B$33:$B$40,0)),0)=1)*(COUNTIF(O1958:Q1975,$B1991)+COUNTIF(O1958:Q1975,$B1991&amp;" ~*")&gt;0)+(IFERROR(INDEX(Setup!$G$33:$G$40,MATCH(S1991,Setup!$B$33:$B$40,0)),0)=1)*(COUNTIF(S1958:U1975,$B1991)+COUNTIF(S1958:U1975,$B1991&amp;" ~*")&gt;0)+(IFERROR(INDEX(Setup!$G$33:$G$40,MATCH(W1991,Setup!$B$33:$B$40,0)),0)=1)*(COUNTIF(W1958:W1975,$B1991)+COUNTIF(W1958:W1975,$B1991&amp;" ~*")&gt;0)+(IFERROR(INDEX(Setup!$G$33:$G$40,MATCH(Y1991,Setup!$B$33:$B$40,0)),0)=1)*(COUNTIF(Y1958:Y1975,$B1991)+COUNTIF(Y1958:Y1975,$B1991&amp;" ~*")&gt;0))</f>
        <v/>
      </c>
    </row>
    <row r="1992" ht="15" customHeight="1">
      <c r="A1992" t="n">
        <v>40</v>
      </c>
      <c r="B1992" s="37">
        <f>IF(Setup!$B$21="","",Setup!$B$21)</f>
        <v/>
      </c>
      <c r="C1992" s="102" t="n"/>
      <c r="D1992" s="103" t="n"/>
      <c r="E1992" s="103" t="n"/>
      <c r="F1992" s="104" t="n"/>
      <c r="G1992" s="102" t="n"/>
      <c r="H1992" s="103" t="n"/>
      <c r="I1992" s="103" t="n"/>
      <c r="J1992" s="104" t="n"/>
      <c r="K1992" s="102" t="n"/>
      <c r="L1992" s="103" t="n"/>
      <c r="M1992" s="103" t="n"/>
      <c r="N1992" s="104" t="n"/>
      <c r="O1992" s="102" t="n"/>
      <c r="P1992" s="103" t="n"/>
      <c r="Q1992" s="103" t="n"/>
      <c r="R1992" s="104" t="n"/>
      <c r="S1992" s="102" t="n"/>
      <c r="T1992" s="103" t="n"/>
      <c r="U1992" s="103" t="n"/>
      <c r="V1992" s="104" t="n"/>
      <c r="W1992" s="102" t="n"/>
      <c r="X1992" s="104" t="n"/>
      <c r="Y1992" s="102" t="n"/>
      <c r="Z1992" s="104" t="n"/>
      <c r="AB1992" s="105">
        <f>IF($B1992="","",(COUNTIF(C1958:E1975,$B1992)+COUNTIF(C1958:E1975,$B1992&amp;" ~*")&gt;0)+(COUNTIF(G1958:I1975,$B1992)+COUNTIF(G1958:I1975,$B1992&amp;" ~*")&gt;0)+(COUNTIF(K1958:M1975,$B1992)+COUNTIF(K1958:M1975,$B1992&amp;" ~*")&gt;0)+(COUNTIF(O1958:Q1975,$B1992)+COUNTIF(O1958:Q1975,$B1992&amp;" ~*")&gt;0)+(COUNTIF(S1958:U1975,$B1992)+COUNTIF(S1958:U1975,$B1992&amp;" ~*")&gt;0)+(COUNTIF(W1958:W1975,$B1992)+COUNTIF(W1958:W1975,$B1992&amp;" ~*")&gt;0)+(COUNTIF(Y1958:Y1975,$B1992)+COUNTIF(Y1958:Y1975,$B1992&amp;" ~*")&gt;0))</f>
        <v/>
      </c>
      <c r="AC1992" s="38">
        <f>IF($B1992="","",(IFERROR(INDEX(Setup!$G$33:$G$40,MATCH(C1992,Setup!$B$33:$B$40,0)),0)=1)*(COUNTIF(C1958:E1975,$B1992)+COUNTIF(C1958:E1975,$B1992&amp;" ~*")&gt;0)+(IFERROR(INDEX(Setup!$G$33:$G$40,MATCH(G1992,Setup!$B$33:$B$40,0)),0)=1)*(COUNTIF(G1958:I1975,$B1992)+COUNTIF(G1958:I1975,$B1992&amp;" ~*")&gt;0)+(IFERROR(INDEX(Setup!$G$33:$G$40,MATCH(K1992,Setup!$B$33:$B$40,0)),0)=1)*(COUNTIF(K1958:M1975,$B1992)+COUNTIF(K1958:M1975,$B1992&amp;" ~*")&gt;0)+(IFERROR(INDEX(Setup!$G$33:$G$40,MATCH(O1992,Setup!$B$33:$B$40,0)),0)=1)*(COUNTIF(O1958:Q1975,$B1992)+COUNTIF(O1958:Q1975,$B1992&amp;" ~*")&gt;0)+(IFERROR(INDEX(Setup!$G$33:$G$40,MATCH(S1992,Setup!$B$33:$B$40,0)),0)=1)*(COUNTIF(S1958:U1975,$B1992)+COUNTIF(S1958:U1975,$B1992&amp;" ~*")&gt;0)+(IFERROR(INDEX(Setup!$G$33:$G$40,MATCH(W1992,Setup!$B$33:$B$40,0)),0)=1)*(COUNTIF(W1958:W1975,$B1992)+COUNTIF(W1958:W1975,$B1992&amp;" ~*")&gt;0)+(IFERROR(INDEX(Setup!$G$33:$G$40,MATCH(Y1992,Setup!$B$33:$B$40,0)),0)=1)*(COUNTIF(Y1958:Y1975,$B1992)+COUNTIF(Y1958:Y1975,$B1992&amp;" ~*")&gt;0))</f>
        <v/>
      </c>
    </row>
    <row r="1993" ht="15" customHeight="1">
      <c r="A1993" t="n">
        <v>40</v>
      </c>
      <c r="B1993" s="35">
        <f>IF(Setup!$B$22="","",Setup!$B$22)</f>
        <v/>
      </c>
      <c r="C1993" s="98" t="n"/>
      <c r="D1993" s="99" t="n"/>
      <c r="E1993" s="99" t="n"/>
      <c r="F1993" s="100" t="n"/>
      <c r="G1993" s="98" t="n"/>
      <c r="H1993" s="99" t="n"/>
      <c r="I1993" s="99" t="n"/>
      <c r="J1993" s="100" t="n"/>
      <c r="K1993" s="98" t="n"/>
      <c r="L1993" s="99" t="n"/>
      <c r="M1993" s="99" t="n"/>
      <c r="N1993" s="100" t="n"/>
      <c r="O1993" s="98" t="n"/>
      <c r="P1993" s="99" t="n"/>
      <c r="Q1993" s="99" t="n"/>
      <c r="R1993" s="100" t="n"/>
      <c r="S1993" s="98" t="n"/>
      <c r="T1993" s="99" t="n"/>
      <c r="U1993" s="99" t="n"/>
      <c r="V1993" s="100" t="n"/>
      <c r="W1993" s="98" t="n"/>
      <c r="X1993" s="100" t="n"/>
      <c r="Y1993" s="98" t="n"/>
      <c r="Z1993" s="100" t="n"/>
      <c r="AB1993" s="101">
        <f>IF($B1993="","",(COUNTIF(C1958:E1975,$B1993)+COUNTIF(C1958:E1975,$B1993&amp;" ~*")&gt;0)+(COUNTIF(G1958:I1975,$B1993)+COUNTIF(G1958:I1975,$B1993&amp;" ~*")&gt;0)+(COUNTIF(K1958:M1975,$B1993)+COUNTIF(K1958:M1975,$B1993&amp;" ~*")&gt;0)+(COUNTIF(O1958:Q1975,$B1993)+COUNTIF(O1958:Q1975,$B1993&amp;" ~*")&gt;0)+(COUNTIF(S1958:U1975,$B1993)+COUNTIF(S1958:U1975,$B1993&amp;" ~*")&gt;0)+(COUNTIF(W1958:W1975,$B1993)+COUNTIF(W1958:W1975,$B1993&amp;" ~*")&gt;0)+(COUNTIF(Y1958:Y1975,$B1993)+COUNTIF(Y1958:Y1975,$B1993&amp;" ~*")&gt;0))</f>
        <v/>
      </c>
      <c r="AC1993" s="36">
        <f>IF($B1993="","",(IFERROR(INDEX(Setup!$G$33:$G$40,MATCH(C1993,Setup!$B$33:$B$40,0)),0)=1)*(COUNTIF(C1958:E1975,$B1993)+COUNTIF(C1958:E1975,$B1993&amp;" ~*")&gt;0)+(IFERROR(INDEX(Setup!$G$33:$G$40,MATCH(G1993,Setup!$B$33:$B$40,0)),0)=1)*(COUNTIF(G1958:I1975,$B1993)+COUNTIF(G1958:I1975,$B1993&amp;" ~*")&gt;0)+(IFERROR(INDEX(Setup!$G$33:$G$40,MATCH(K1993,Setup!$B$33:$B$40,0)),0)=1)*(COUNTIF(K1958:M1975,$B1993)+COUNTIF(K1958:M1975,$B1993&amp;" ~*")&gt;0)+(IFERROR(INDEX(Setup!$G$33:$G$40,MATCH(O1993,Setup!$B$33:$B$40,0)),0)=1)*(COUNTIF(O1958:Q1975,$B1993)+COUNTIF(O1958:Q1975,$B1993&amp;" ~*")&gt;0)+(IFERROR(INDEX(Setup!$G$33:$G$40,MATCH(S1993,Setup!$B$33:$B$40,0)),0)=1)*(COUNTIF(S1958:U1975,$B1993)+COUNTIF(S1958:U1975,$B1993&amp;" ~*")&gt;0)+(IFERROR(INDEX(Setup!$G$33:$G$40,MATCH(W1993,Setup!$B$33:$B$40,0)),0)=1)*(COUNTIF(W1958:W1975,$B1993)+COUNTIF(W1958:W1975,$B1993&amp;" ~*")&gt;0)+(IFERROR(INDEX(Setup!$G$33:$G$40,MATCH(Y1993,Setup!$B$33:$B$40,0)),0)=1)*(COUNTIF(Y1958:Y1975,$B1993)+COUNTIF(Y1958:Y1975,$B1993&amp;" ~*")&gt;0))</f>
        <v/>
      </c>
    </row>
    <row r="1994" ht="15" customHeight="1">
      <c r="A1994" t="n">
        <v>40</v>
      </c>
      <c r="B1994" s="37">
        <f>IF(Setup!$B$23="","",Setup!$B$23)</f>
        <v/>
      </c>
      <c r="C1994" s="102" t="n"/>
      <c r="D1994" s="103" t="n"/>
      <c r="E1994" s="103" t="n"/>
      <c r="F1994" s="104" t="n"/>
      <c r="G1994" s="102" t="n"/>
      <c r="H1994" s="103" t="n"/>
      <c r="I1994" s="103" t="n"/>
      <c r="J1994" s="104" t="n"/>
      <c r="K1994" s="102" t="n"/>
      <c r="L1994" s="103" t="n"/>
      <c r="M1994" s="103" t="n"/>
      <c r="N1994" s="104" t="n"/>
      <c r="O1994" s="102" t="n"/>
      <c r="P1994" s="103" t="n"/>
      <c r="Q1994" s="103" t="n"/>
      <c r="R1994" s="104" t="n"/>
      <c r="S1994" s="102" t="n"/>
      <c r="T1994" s="103" t="n"/>
      <c r="U1994" s="103" t="n"/>
      <c r="V1994" s="104" t="n"/>
      <c r="W1994" s="102" t="n"/>
      <c r="X1994" s="104" t="n"/>
      <c r="Y1994" s="102" t="n"/>
      <c r="Z1994" s="104" t="n"/>
      <c r="AB1994" s="105">
        <f>IF($B1994="","",(COUNTIF(C1958:E1975,$B1994)+COUNTIF(C1958:E1975,$B1994&amp;" ~*")&gt;0)+(COUNTIF(G1958:I1975,$B1994)+COUNTIF(G1958:I1975,$B1994&amp;" ~*")&gt;0)+(COUNTIF(K1958:M1975,$B1994)+COUNTIF(K1958:M1975,$B1994&amp;" ~*")&gt;0)+(COUNTIF(O1958:Q1975,$B1994)+COUNTIF(O1958:Q1975,$B1994&amp;" ~*")&gt;0)+(COUNTIF(S1958:U1975,$B1994)+COUNTIF(S1958:U1975,$B1994&amp;" ~*")&gt;0)+(COUNTIF(W1958:W1975,$B1994)+COUNTIF(W1958:W1975,$B1994&amp;" ~*")&gt;0)+(COUNTIF(Y1958:Y1975,$B1994)+COUNTIF(Y1958:Y1975,$B1994&amp;" ~*")&gt;0))</f>
        <v/>
      </c>
      <c r="AC1994" s="38">
        <f>IF($B1994="","",(IFERROR(INDEX(Setup!$G$33:$G$40,MATCH(C1994,Setup!$B$33:$B$40,0)),0)=1)*(COUNTIF(C1958:E1975,$B1994)+COUNTIF(C1958:E1975,$B1994&amp;" ~*")&gt;0)+(IFERROR(INDEX(Setup!$G$33:$G$40,MATCH(G1994,Setup!$B$33:$B$40,0)),0)=1)*(COUNTIF(G1958:I1975,$B1994)+COUNTIF(G1958:I1975,$B1994&amp;" ~*")&gt;0)+(IFERROR(INDEX(Setup!$G$33:$G$40,MATCH(K1994,Setup!$B$33:$B$40,0)),0)=1)*(COUNTIF(K1958:M1975,$B1994)+COUNTIF(K1958:M1975,$B1994&amp;" ~*")&gt;0)+(IFERROR(INDEX(Setup!$G$33:$G$40,MATCH(O1994,Setup!$B$33:$B$40,0)),0)=1)*(COUNTIF(O1958:Q1975,$B1994)+COUNTIF(O1958:Q1975,$B1994&amp;" ~*")&gt;0)+(IFERROR(INDEX(Setup!$G$33:$G$40,MATCH(S1994,Setup!$B$33:$B$40,0)),0)=1)*(COUNTIF(S1958:U1975,$B1994)+COUNTIF(S1958:U1975,$B1994&amp;" ~*")&gt;0)+(IFERROR(INDEX(Setup!$G$33:$G$40,MATCH(W1994,Setup!$B$33:$B$40,0)),0)=1)*(COUNTIF(W1958:W1975,$B1994)+COUNTIF(W1958:W1975,$B1994&amp;" ~*")&gt;0)+(IFERROR(INDEX(Setup!$G$33:$G$40,MATCH(Y1994,Setup!$B$33:$B$40,0)),0)=1)*(COUNTIF(Y1958:Y1975,$B1994)+COUNTIF(Y1958:Y1975,$B1994&amp;" ~*")&gt;0))</f>
        <v/>
      </c>
    </row>
    <row r="1995" ht="15" customHeight="1">
      <c r="A1995" t="n">
        <v>40</v>
      </c>
      <c r="B1995" s="35">
        <f>IF(Setup!$B$24="","",Setup!$B$24)</f>
        <v/>
      </c>
      <c r="C1995" s="98" t="n"/>
      <c r="D1995" s="99" t="n"/>
      <c r="E1995" s="99" t="n"/>
      <c r="F1995" s="100" t="n"/>
      <c r="G1995" s="98" t="n"/>
      <c r="H1995" s="99" t="n"/>
      <c r="I1995" s="99" t="n"/>
      <c r="J1995" s="100" t="n"/>
      <c r="K1995" s="98" t="n"/>
      <c r="L1995" s="99" t="n"/>
      <c r="M1995" s="99" t="n"/>
      <c r="N1995" s="100" t="n"/>
      <c r="O1995" s="98" t="n"/>
      <c r="P1995" s="99" t="n"/>
      <c r="Q1995" s="99" t="n"/>
      <c r="R1995" s="100" t="n"/>
      <c r="S1995" s="98" t="n"/>
      <c r="T1995" s="99" t="n"/>
      <c r="U1995" s="99" t="n"/>
      <c r="V1995" s="100" t="n"/>
      <c r="W1995" s="98" t="n"/>
      <c r="X1995" s="100" t="n"/>
      <c r="Y1995" s="98" t="n"/>
      <c r="Z1995" s="100" t="n"/>
      <c r="AB1995" s="101">
        <f>IF($B1995="","",(COUNTIF(C1958:E1975,$B1995)+COUNTIF(C1958:E1975,$B1995&amp;" ~*")&gt;0)+(COUNTIF(G1958:I1975,$B1995)+COUNTIF(G1958:I1975,$B1995&amp;" ~*")&gt;0)+(COUNTIF(K1958:M1975,$B1995)+COUNTIF(K1958:M1975,$B1995&amp;" ~*")&gt;0)+(COUNTIF(O1958:Q1975,$B1995)+COUNTIF(O1958:Q1975,$B1995&amp;" ~*")&gt;0)+(COUNTIF(S1958:U1975,$B1995)+COUNTIF(S1958:U1975,$B1995&amp;" ~*")&gt;0)+(COUNTIF(W1958:W1975,$B1995)+COUNTIF(W1958:W1975,$B1995&amp;" ~*")&gt;0)+(COUNTIF(Y1958:Y1975,$B1995)+COUNTIF(Y1958:Y1975,$B1995&amp;" ~*")&gt;0))</f>
        <v/>
      </c>
      <c r="AC1995" s="36">
        <f>IF($B1995="","",(IFERROR(INDEX(Setup!$G$33:$G$40,MATCH(C1995,Setup!$B$33:$B$40,0)),0)=1)*(COUNTIF(C1958:E1975,$B1995)+COUNTIF(C1958:E1975,$B1995&amp;" ~*")&gt;0)+(IFERROR(INDEX(Setup!$G$33:$G$40,MATCH(G1995,Setup!$B$33:$B$40,0)),0)=1)*(COUNTIF(G1958:I1975,$B1995)+COUNTIF(G1958:I1975,$B1995&amp;" ~*")&gt;0)+(IFERROR(INDEX(Setup!$G$33:$G$40,MATCH(K1995,Setup!$B$33:$B$40,0)),0)=1)*(COUNTIF(K1958:M1975,$B1995)+COUNTIF(K1958:M1975,$B1995&amp;" ~*")&gt;0)+(IFERROR(INDEX(Setup!$G$33:$G$40,MATCH(O1995,Setup!$B$33:$B$40,0)),0)=1)*(COUNTIF(O1958:Q1975,$B1995)+COUNTIF(O1958:Q1975,$B1995&amp;" ~*")&gt;0)+(IFERROR(INDEX(Setup!$G$33:$G$40,MATCH(S1995,Setup!$B$33:$B$40,0)),0)=1)*(COUNTIF(S1958:U1975,$B1995)+COUNTIF(S1958:U1975,$B1995&amp;" ~*")&gt;0)+(IFERROR(INDEX(Setup!$G$33:$G$40,MATCH(W1995,Setup!$B$33:$B$40,0)),0)=1)*(COUNTIF(W1958:W1975,$B1995)+COUNTIF(W1958:W1975,$B1995&amp;" ~*")&gt;0)+(IFERROR(INDEX(Setup!$G$33:$G$40,MATCH(Y1995,Setup!$B$33:$B$40,0)),0)=1)*(COUNTIF(Y1958:Y1975,$B1995)+COUNTIF(Y1958:Y1975,$B1995&amp;" ~*")&gt;0))</f>
        <v/>
      </c>
    </row>
    <row r="1996" ht="15" customHeight="1">
      <c r="A1996" t="n">
        <v>40</v>
      </c>
      <c r="B1996" s="37">
        <f>IF(Setup!$B$25="","",Setup!$B$25)</f>
        <v/>
      </c>
      <c r="C1996" s="102" t="n"/>
      <c r="D1996" s="103" t="n"/>
      <c r="E1996" s="103" t="n"/>
      <c r="F1996" s="104" t="n"/>
      <c r="G1996" s="102" t="n"/>
      <c r="H1996" s="103" t="n"/>
      <c r="I1996" s="103" t="n"/>
      <c r="J1996" s="104" t="n"/>
      <c r="K1996" s="102" t="n"/>
      <c r="L1996" s="103" t="n"/>
      <c r="M1996" s="103" t="n"/>
      <c r="N1996" s="104" t="n"/>
      <c r="O1996" s="102" t="n"/>
      <c r="P1996" s="103" t="n"/>
      <c r="Q1996" s="103" t="n"/>
      <c r="R1996" s="104" t="n"/>
      <c r="S1996" s="102" t="n"/>
      <c r="T1996" s="103" t="n"/>
      <c r="U1996" s="103" t="n"/>
      <c r="V1996" s="104" t="n"/>
      <c r="W1996" s="102" t="n"/>
      <c r="X1996" s="104" t="n"/>
      <c r="Y1996" s="102" t="n"/>
      <c r="Z1996" s="104" t="n"/>
      <c r="AB1996" s="105">
        <f>IF($B1996="","",(COUNTIF(C1958:E1975,$B1996)+COUNTIF(C1958:E1975,$B1996&amp;" ~*")&gt;0)+(COUNTIF(G1958:I1975,$B1996)+COUNTIF(G1958:I1975,$B1996&amp;" ~*")&gt;0)+(COUNTIF(K1958:M1975,$B1996)+COUNTIF(K1958:M1975,$B1996&amp;" ~*")&gt;0)+(COUNTIF(O1958:Q1975,$B1996)+COUNTIF(O1958:Q1975,$B1996&amp;" ~*")&gt;0)+(COUNTIF(S1958:U1975,$B1996)+COUNTIF(S1958:U1975,$B1996&amp;" ~*")&gt;0)+(COUNTIF(W1958:W1975,$B1996)+COUNTIF(W1958:W1975,$B1996&amp;" ~*")&gt;0)+(COUNTIF(Y1958:Y1975,$B1996)+COUNTIF(Y1958:Y1975,$B1996&amp;" ~*")&gt;0))</f>
        <v/>
      </c>
      <c r="AC1996" s="38">
        <f>IF($B1996="","",(IFERROR(INDEX(Setup!$G$33:$G$40,MATCH(C1996,Setup!$B$33:$B$40,0)),0)=1)*(COUNTIF(C1958:E1975,$B1996)+COUNTIF(C1958:E1975,$B1996&amp;" ~*")&gt;0)+(IFERROR(INDEX(Setup!$G$33:$G$40,MATCH(G1996,Setup!$B$33:$B$40,0)),0)=1)*(COUNTIF(G1958:I1975,$B1996)+COUNTIF(G1958:I1975,$B1996&amp;" ~*")&gt;0)+(IFERROR(INDEX(Setup!$G$33:$G$40,MATCH(K1996,Setup!$B$33:$B$40,0)),0)=1)*(COUNTIF(K1958:M1975,$B1996)+COUNTIF(K1958:M1975,$B1996&amp;" ~*")&gt;0)+(IFERROR(INDEX(Setup!$G$33:$G$40,MATCH(O1996,Setup!$B$33:$B$40,0)),0)=1)*(COUNTIF(O1958:Q1975,$B1996)+COUNTIF(O1958:Q1975,$B1996&amp;" ~*")&gt;0)+(IFERROR(INDEX(Setup!$G$33:$G$40,MATCH(S1996,Setup!$B$33:$B$40,0)),0)=1)*(COUNTIF(S1958:U1975,$B1996)+COUNTIF(S1958:U1975,$B1996&amp;" ~*")&gt;0)+(IFERROR(INDEX(Setup!$G$33:$G$40,MATCH(W1996,Setup!$B$33:$B$40,0)),0)=1)*(COUNTIF(W1958:W1975,$B1996)+COUNTIF(W1958:W1975,$B1996&amp;" ~*")&gt;0)+(IFERROR(INDEX(Setup!$G$33:$G$40,MATCH(Y1996,Setup!$B$33:$B$40,0)),0)=1)*(COUNTIF(Y1958:Y1975,$B1996)+COUNTIF(Y1958:Y1975,$B1996&amp;" ~*")&gt;0))</f>
        <v/>
      </c>
    </row>
    <row r="1997" ht="15" customHeight="1">
      <c r="A1997" t="n">
        <v>40</v>
      </c>
      <c r="B1997" s="35">
        <f>IF(Setup!$B$26="","",Setup!$B$26)</f>
        <v/>
      </c>
      <c r="C1997" s="98" t="n"/>
      <c r="D1997" s="99" t="n"/>
      <c r="E1997" s="99" t="n"/>
      <c r="F1997" s="100" t="n"/>
      <c r="G1997" s="98" t="n"/>
      <c r="H1997" s="99" t="n"/>
      <c r="I1997" s="99" t="n"/>
      <c r="J1997" s="100" t="n"/>
      <c r="K1997" s="98" t="n"/>
      <c r="L1997" s="99" t="n"/>
      <c r="M1997" s="99" t="n"/>
      <c r="N1997" s="100" t="n"/>
      <c r="O1997" s="98" t="n"/>
      <c r="P1997" s="99" t="n"/>
      <c r="Q1997" s="99" t="n"/>
      <c r="R1997" s="100" t="n"/>
      <c r="S1997" s="98" t="n"/>
      <c r="T1997" s="99" t="n"/>
      <c r="U1997" s="99" t="n"/>
      <c r="V1997" s="100" t="n"/>
      <c r="W1997" s="98" t="n"/>
      <c r="X1997" s="100" t="n"/>
      <c r="Y1997" s="98" t="n"/>
      <c r="Z1997" s="100" t="n"/>
      <c r="AB1997" s="101">
        <f>IF($B1997="","",(COUNTIF(C1958:E1975,$B1997)+COUNTIF(C1958:E1975,$B1997&amp;" ~*")&gt;0)+(COUNTIF(G1958:I1975,$B1997)+COUNTIF(G1958:I1975,$B1997&amp;" ~*")&gt;0)+(COUNTIF(K1958:M1975,$B1997)+COUNTIF(K1958:M1975,$B1997&amp;" ~*")&gt;0)+(COUNTIF(O1958:Q1975,$B1997)+COUNTIF(O1958:Q1975,$B1997&amp;" ~*")&gt;0)+(COUNTIF(S1958:U1975,$B1997)+COUNTIF(S1958:U1975,$B1997&amp;" ~*")&gt;0)+(COUNTIF(W1958:W1975,$B1997)+COUNTIF(W1958:W1975,$B1997&amp;" ~*")&gt;0)+(COUNTIF(Y1958:Y1975,$B1997)+COUNTIF(Y1958:Y1975,$B1997&amp;" ~*")&gt;0))</f>
        <v/>
      </c>
      <c r="AC1997" s="36">
        <f>IF($B1997="","",(IFERROR(INDEX(Setup!$G$33:$G$40,MATCH(C1997,Setup!$B$33:$B$40,0)),0)=1)*(COUNTIF(C1958:E1975,$B1997)+COUNTIF(C1958:E1975,$B1997&amp;" ~*")&gt;0)+(IFERROR(INDEX(Setup!$G$33:$G$40,MATCH(G1997,Setup!$B$33:$B$40,0)),0)=1)*(COUNTIF(G1958:I1975,$B1997)+COUNTIF(G1958:I1975,$B1997&amp;" ~*")&gt;0)+(IFERROR(INDEX(Setup!$G$33:$G$40,MATCH(K1997,Setup!$B$33:$B$40,0)),0)=1)*(COUNTIF(K1958:M1975,$B1997)+COUNTIF(K1958:M1975,$B1997&amp;" ~*")&gt;0)+(IFERROR(INDEX(Setup!$G$33:$G$40,MATCH(O1997,Setup!$B$33:$B$40,0)),0)=1)*(COUNTIF(O1958:Q1975,$B1997)+COUNTIF(O1958:Q1975,$B1997&amp;" ~*")&gt;0)+(IFERROR(INDEX(Setup!$G$33:$G$40,MATCH(S1997,Setup!$B$33:$B$40,0)),0)=1)*(COUNTIF(S1958:U1975,$B1997)+COUNTIF(S1958:U1975,$B1997&amp;" ~*")&gt;0)+(IFERROR(INDEX(Setup!$G$33:$G$40,MATCH(W1997,Setup!$B$33:$B$40,0)),0)=1)*(COUNTIF(W1958:W1975,$B1997)+COUNTIF(W1958:W1975,$B1997&amp;" ~*")&gt;0)+(IFERROR(INDEX(Setup!$G$33:$G$40,MATCH(Y1997,Setup!$B$33:$B$40,0)),0)=1)*(COUNTIF(Y1958:Y1975,$B1997)+COUNTIF(Y1958:Y1975,$B1997&amp;" ~*")&gt;0))</f>
        <v/>
      </c>
    </row>
    <row r="1998" ht="15" customHeight="1">
      <c r="A1998" t="n">
        <v>40</v>
      </c>
      <c r="B1998" s="37">
        <f>IF(Setup!$B$27="","",Setup!$B$27)</f>
        <v/>
      </c>
      <c r="C1998" s="102" t="n"/>
      <c r="D1998" s="103" t="n"/>
      <c r="E1998" s="103" t="n"/>
      <c r="F1998" s="104" t="n"/>
      <c r="G1998" s="102" t="n"/>
      <c r="H1998" s="103" t="n"/>
      <c r="I1998" s="103" t="n"/>
      <c r="J1998" s="104" t="n"/>
      <c r="K1998" s="102" t="n"/>
      <c r="L1998" s="103" t="n"/>
      <c r="M1998" s="103" t="n"/>
      <c r="N1998" s="104" t="n"/>
      <c r="O1998" s="102" t="n"/>
      <c r="P1998" s="103" t="n"/>
      <c r="Q1998" s="103" t="n"/>
      <c r="R1998" s="104" t="n"/>
      <c r="S1998" s="102" t="n"/>
      <c r="T1998" s="103" t="n"/>
      <c r="U1998" s="103" t="n"/>
      <c r="V1998" s="104" t="n"/>
      <c r="W1998" s="102" t="n"/>
      <c r="X1998" s="104" t="n"/>
      <c r="Y1998" s="102" t="n"/>
      <c r="Z1998" s="104" t="n"/>
      <c r="AB1998" s="105">
        <f>IF($B1998="","",(COUNTIF(C1958:E1975,$B1998)+COUNTIF(C1958:E1975,$B1998&amp;" ~*")&gt;0)+(COUNTIF(G1958:I1975,$B1998)+COUNTIF(G1958:I1975,$B1998&amp;" ~*")&gt;0)+(COUNTIF(K1958:M1975,$B1998)+COUNTIF(K1958:M1975,$B1998&amp;" ~*")&gt;0)+(COUNTIF(O1958:Q1975,$B1998)+COUNTIF(O1958:Q1975,$B1998&amp;" ~*")&gt;0)+(COUNTIF(S1958:U1975,$B1998)+COUNTIF(S1958:U1975,$B1998&amp;" ~*")&gt;0)+(COUNTIF(W1958:W1975,$B1998)+COUNTIF(W1958:W1975,$B1998&amp;" ~*")&gt;0)+(COUNTIF(Y1958:Y1975,$B1998)+COUNTIF(Y1958:Y1975,$B1998&amp;" ~*")&gt;0))</f>
        <v/>
      </c>
      <c r="AC1998" s="38">
        <f>IF($B1998="","",(IFERROR(INDEX(Setup!$G$33:$G$40,MATCH(C1998,Setup!$B$33:$B$40,0)),0)=1)*(COUNTIF(C1958:E1975,$B1998)+COUNTIF(C1958:E1975,$B1998&amp;" ~*")&gt;0)+(IFERROR(INDEX(Setup!$G$33:$G$40,MATCH(G1998,Setup!$B$33:$B$40,0)),0)=1)*(COUNTIF(G1958:I1975,$B1998)+COUNTIF(G1958:I1975,$B1998&amp;" ~*")&gt;0)+(IFERROR(INDEX(Setup!$G$33:$G$40,MATCH(K1998,Setup!$B$33:$B$40,0)),0)=1)*(COUNTIF(K1958:M1975,$B1998)+COUNTIF(K1958:M1975,$B1998&amp;" ~*")&gt;0)+(IFERROR(INDEX(Setup!$G$33:$G$40,MATCH(O1998,Setup!$B$33:$B$40,0)),0)=1)*(COUNTIF(O1958:Q1975,$B1998)+COUNTIF(O1958:Q1975,$B1998&amp;" ~*")&gt;0)+(IFERROR(INDEX(Setup!$G$33:$G$40,MATCH(S1998,Setup!$B$33:$B$40,0)),0)=1)*(COUNTIF(S1958:U1975,$B1998)+COUNTIF(S1958:U1975,$B1998&amp;" ~*")&gt;0)+(IFERROR(INDEX(Setup!$G$33:$G$40,MATCH(W1998,Setup!$B$33:$B$40,0)),0)=1)*(COUNTIF(W1958:W1975,$B1998)+COUNTIF(W1958:W1975,$B1998&amp;" ~*")&gt;0)+(IFERROR(INDEX(Setup!$G$33:$G$40,MATCH(Y1998,Setup!$B$33:$B$40,0)),0)=1)*(COUNTIF(Y1958:Y1975,$B1998)+COUNTIF(Y1958:Y1975,$B1998&amp;" ~*")&gt;0))</f>
        <v/>
      </c>
    </row>
    <row r="1999" ht="15" customHeight="1">
      <c r="A1999" t="n">
        <v>40</v>
      </c>
      <c r="B1999" s="35">
        <f>IF(Setup!$B$28="","",Setup!$B$28)</f>
        <v/>
      </c>
      <c r="C1999" s="98" t="n"/>
      <c r="D1999" s="99" t="n"/>
      <c r="E1999" s="99" t="n"/>
      <c r="F1999" s="100" t="n"/>
      <c r="G1999" s="98" t="n"/>
      <c r="H1999" s="99" t="n"/>
      <c r="I1999" s="99" t="n"/>
      <c r="J1999" s="100" t="n"/>
      <c r="K1999" s="98" t="n"/>
      <c r="L1999" s="99" t="n"/>
      <c r="M1999" s="99" t="n"/>
      <c r="N1999" s="100" t="n"/>
      <c r="O1999" s="98" t="n"/>
      <c r="P1999" s="99" t="n"/>
      <c r="Q1999" s="99" t="n"/>
      <c r="R1999" s="100" t="n"/>
      <c r="S1999" s="98" t="n"/>
      <c r="T1999" s="99" t="n"/>
      <c r="U1999" s="99" t="n"/>
      <c r="V1999" s="100" t="n"/>
      <c r="W1999" s="98" t="n"/>
      <c r="X1999" s="100" t="n"/>
      <c r="Y1999" s="98" t="n"/>
      <c r="Z1999" s="100" t="n"/>
      <c r="AB1999" s="101">
        <f>IF($B1999="","",(COUNTIF(C1958:E1975,$B1999)+COUNTIF(C1958:E1975,$B1999&amp;" ~*")&gt;0)+(COUNTIF(G1958:I1975,$B1999)+COUNTIF(G1958:I1975,$B1999&amp;" ~*")&gt;0)+(COUNTIF(K1958:M1975,$B1999)+COUNTIF(K1958:M1975,$B1999&amp;" ~*")&gt;0)+(COUNTIF(O1958:Q1975,$B1999)+COUNTIF(O1958:Q1975,$B1999&amp;" ~*")&gt;0)+(COUNTIF(S1958:U1975,$B1999)+COUNTIF(S1958:U1975,$B1999&amp;" ~*")&gt;0)+(COUNTIF(W1958:W1975,$B1999)+COUNTIF(W1958:W1975,$B1999&amp;" ~*")&gt;0)+(COUNTIF(Y1958:Y1975,$B1999)+COUNTIF(Y1958:Y1975,$B1999&amp;" ~*")&gt;0))</f>
        <v/>
      </c>
      <c r="AC1999" s="36">
        <f>IF($B1999="","",(IFERROR(INDEX(Setup!$G$33:$G$40,MATCH(C1999,Setup!$B$33:$B$40,0)),0)=1)*(COUNTIF(C1958:E1975,$B1999)+COUNTIF(C1958:E1975,$B1999&amp;" ~*")&gt;0)+(IFERROR(INDEX(Setup!$G$33:$G$40,MATCH(G1999,Setup!$B$33:$B$40,0)),0)=1)*(COUNTIF(G1958:I1975,$B1999)+COUNTIF(G1958:I1975,$B1999&amp;" ~*")&gt;0)+(IFERROR(INDEX(Setup!$G$33:$G$40,MATCH(K1999,Setup!$B$33:$B$40,0)),0)=1)*(COUNTIF(K1958:M1975,$B1999)+COUNTIF(K1958:M1975,$B1999&amp;" ~*")&gt;0)+(IFERROR(INDEX(Setup!$G$33:$G$40,MATCH(O1999,Setup!$B$33:$B$40,0)),0)=1)*(COUNTIF(O1958:Q1975,$B1999)+COUNTIF(O1958:Q1975,$B1999&amp;" ~*")&gt;0)+(IFERROR(INDEX(Setup!$G$33:$G$40,MATCH(S1999,Setup!$B$33:$B$40,0)),0)=1)*(COUNTIF(S1958:U1975,$B1999)+COUNTIF(S1958:U1975,$B1999&amp;" ~*")&gt;0)+(IFERROR(INDEX(Setup!$G$33:$G$40,MATCH(W1999,Setup!$B$33:$B$40,0)),0)=1)*(COUNTIF(W1958:W1975,$B1999)+COUNTIF(W1958:W1975,$B1999&amp;" ~*")&gt;0)+(IFERROR(INDEX(Setup!$G$33:$G$40,MATCH(Y1999,Setup!$B$33:$B$40,0)),0)=1)*(COUNTIF(Y1958:Y1975,$B1999)+COUNTIF(Y1958:Y1975,$B1999&amp;" ~*")&gt;0))</f>
        <v/>
      </c>
    </row>
    <row r="2000" ht="15" customHeight="1">
      <c r="A2000" t="n">
        <v>40</v>
      </c>
      <c r="B2000" s="37">
        <f>IF(Setup!$B$29="","",Setup!$B$29)</f>
        <v/>
      </c>
      <c r="C2000" s="102" t="n"/>
      <c r="D2000" s="103" t="n"/>
      <c r="E2000" s="103" t="n"/>
      <c r="F2000" s="104" t="n"/>
      <c r="G2000" s="102" t="n"/>
      <c r="H2000" s="103" t="n"/>
      <c r="I2000" s="103" t="n"/>
      <c r="J2000" s="104" t="n"/>
      <c r="K2000" s="102" t="n"/>
      <c r="L2000" s="103" t="n"/>
      <c r="M2000" s="103" t="n"/>
      <c r="N2000" s="104" t="n"/>
      <c r="O2000" s="102" t="n"/>
      <c r="P2000" s="103" t="n"/>
      <c r="Q2000" s="103" t="n"/>
      <c r="R2000" s="104" t="n"/>
      <c r="S2000" s="102" t="n"/>
      <c r="T2000" s="103" t="n"/>
      <c r="U2000" s="103" t="n"/>
      <c r="V2000" s="104" t="n"/>
      <c r="W2000" s="102" t="n"/>
      <c r="X2000" s="104" t="n"/>
      <c r="Y2000" s="102" t="n"/>
      <c r="Z2000" s="104" t="n"/>
      <c r="AB2000" s="105">
        <f>IF($B2000="","",(COUNTIF(C1958:E1975,$B2000)+COUNTIF(C1958:E1975,$B2000&amp;" ~*")&gt;0)+(COUNTIF(G1958:I1975,$B2000)+COUNTIF(G1958:I1975,$B2000&amp;" ~*")&gt;0)+(COUNTIF(K1958:M1975,$B2000)+COUNTIF(K1958:M1975,$B2000&amp;" ~*")&gt;0)+(COUNTIF(O1958:Q1975,$B2000)+COUNTIF(O1958:Q1975,$B2000&amp;" ~*")&gt;0)+(COUNTIF(S1958:U1975,$B2000)+COUNTIF(S1958:U1975,$B2000&amp;" ~*")&gt;0)+(COUNTIF(W1958:W1975,$B2000)+COUNTIF(W1958:W1975,$B2000&amp;" ~*")&gt;0)+(COUNTIF(Y1958:Y1975,$B2000)+COUNTIF(Y1958:Y1975,$B2000&amp;" ~*")&gt;0))</f>
        <v/>
      </c>
      <c r="AC2000" s="38">
        <f>IF($B2000="","",(IFERROR(INDEX(Setup!$G$33:$G$40,MATCH(C2000,Setup!$B$33:$B$40,0)),0)=1)*(COUNTIF(C1958:E1975,$B2000)+COUNTIF(C1958:E1975,$B2000&amp;" ~*")&gt;0)+(IFERROR(INDEX(Setup!$G$33:$G$40,MATCH(G2000,Setup!$B$33:$B$40,0)),0)=1)*(COUNTIF(G1958:I1975,$B2000)+COUNTIF(G1958:I1975,$B2000&amp;" ~*")&gt;0)+(IFERROR(INDEX(Setup!$G$33:$G$40,MATCH(K2000,Setup!$B$33:$B$40,0)),0)=1)*(COUNTIF(K1958:M1975,$B2000)+COUNTIF(K1958:M1975,$B2000&amp;" ~*")&gt;0)+(IFERROR(INDEX(Setup!$G$33:$G$40,MATCH(O2000,Setup!$B$33:$B$40,0)),0)=1)*(COUNTIF(O1958:Q1975,$B2000)+COUNTIF(O1958:Q1975,$B2000&amp;" ~*")&gt;0)+(IFERROR(INDEX(Setup!$G$33:$G$40,MATCH(S2000,Setup!$B$33:$B$40,0)),0)=1)*(COUNTIF(S1958:U1975,$B2000)+COUNTIF(S1958:U1975,$B2000&amp;" ~*")&gt;0)+(IFERROR(INDEX(Setup!$G$33:$G$40,MATCH(W2000,Setup!$B$33:$B$40,0)),0)=1)*(COUNTIF(W1958:W1975,$B2000)+COUNTIF(W1958:W1975,$B2000&amp;" ~*")&gt;0)+(IFERROR(INDEX(Setup!$G$33:$G$40,MATCH(Y2000,Setup!$B$33:$B$40,0)),0)=1)*(COUNTIF(Y1958:Y1975,$B2000)+COUNTIF(Y1958:Y1975,$B2000&amp;" ~*")&gt;0))</f>
        <v/>
      </c>
    </row>
    <row r="2001" ht="16" customHeight="1">
      <c r="A2001" t="n">
        <v>40</v>
      </c>
      <c r="B2001" s="106" t="inlineStr">
        <is>
          <t>Available people</t>
        </is>
      </c>
      <c r="C2001" s="107">
        <f>COUNTIFS(Setup!$E$6:$E$29,"Y",Setup!$B$6:$B$29,"?*")-SUMPRODUCT(COUNTIF(C1977:C2000,Setup!$F$33:$F$40))</f>
        <v/>
      </c>
      <c r="D2001" s="107" t="n"/>
      <c r="E2001" s="107" t="n"/>
      <c r="F2001" s="107" t="n"/>
      <c r="G2001" s="107">
        <f>COUNTIFS(Setup!$E$6:$E$29,"Y",Setup!$B$6:$B$29,"?*")-SUMPRODUCT(COUNTIF(G1977:G2000,Setup!$F$33:$F$40))</f>
        <v/>
      </c>
      <c r="H2001" s="107" t="n"/>
      <c r="I2001" s="107" t="n"/>
      <c r="J2001" s="107" t="n"/>
      <c r="K2001" s="107">
        <f>COUNTIFS(Setup!$E$6:$E$29,"Y",Setup!$B$6:$B$29,"?*")-SUMPRODUCT(COUNTIF(K1977:K2000,Setup!$F$33:$F$40))</f>
        <v/>
      </c>
      <c r="L2001" s="107" t="n"/>
      <c r="M2001" s="107" t="n"/>
      <c r="N2001" s="107" t="n"/>
      <c r="O2001" s="107">
        <f>COUNTIFS(Setup!$E$6:$E$29,"Y",Setup!$B$6:$B$29,"?*")-SUMPRODUCT(COUNTIF(O1977:O2000,Setup!$F$33:$F$40))</f>
        <v/>
      </c>
      <c r="P2001" s="107" t="n"/>
      <c r="Q2001" s="107" t="n"/>
      <c r="R2001" s="107" t="n"/>
      <c r="S2001" s="107">
        <f>COUNTIFS(Setup!$E$6:$E$29,"Y",Setup!$B$6:$B$29,"?*")-SUMPRODUCT(COUNTIF(S1977:S2000,Setup!$F$33:$F$40))</f>
        <v/>
      </c>
      <c r="T2001" s="107" t="n"/>
      <c r="U2001" s="107" t="n"/>
      <c r="V2001" s="107" t="n"/>
      <c r="W2001" s="107">
        <f>COUNTIFS(Setup!$E$6:$E$29,"Y",Setup!$B$6:$B$29,"?*")-SUMPRODUCT(COUNTIF(W1977:W2000,Setup!$F$33:$F$40))</f>
        <v/>
      </c>
      <c r="X2001" s="107" t="n"/>
      <c r="Y2001" s="107">
        <f>COUNTIFS(Setup!$E$6:$E$29,"Y",Setup!$B$6:$B$29,"?*")-SUMPRODUCT(COUNTIF(Y1977:Y2000,Setup!$F$33:$F$40))</f>
        <v/>
      </c>
      <c r="Z2001" s="107" t="n"/>
      <c r="AB2001" s="108">
        <f>SUM(AB1977:AB2000)</f>
        <v/>
      </c>
      <c r="AC2001" s="109">
        <f>SUM(AC1977:AC2000)</f>
        <v/>
      </c>
    </row>
    <row r="2002" ht="30" customHeight="1">
      <c r="A2002" t="n">
        <v>40</v>
      </c>
      <c r="B2002" s="110" t="inlineStr">
        <is>
          <t>Week notes</t>
        </is>
      </c>
      <c r="C2002" s="111" t="n"/>
      <c r="D2002" s="112" t="n"/>
      <c r="E2002" s="112" t="n"/>
      <c r="F2002" s="112" t="n"/>
      <c r="G2002" s="112" t="n"/>
      <c r="H2002" s="112" t="n"/>
      <c r="I2002" s="112" t="n"/>
      <c r="J2002" s="112" t="n"/>
      <c r="K2002" s="112" t="n"/>
      <c r="L2002" s="112" t="n"/>
      <c r="M2002" s="112" t="n"/>
      <c r="N2002" s="112" t="n"/>
      <c r="O2002" s="112" t="n"/>
      <c r="P2002" s="112" t="n"/>
      <c r="Q2002" s="112" t="n"/>
      <c r="R2002" s="112" t="n"/>
      <c r="S2002" s="112" t="n"/>
      <c r="T2002" s="112" t="n"/>
      <c r="U2002" s="112" t="n"/>
      <c r="V2002" s="112" t="n"/>
      <c r="W2002" s="112" t="n"/>
      <c r="X2002" s="112" t="n"/>
      <c r="Y2002" s="112" t="n"/>
      <c r="Z2002" s="113" t="n"/>
    </row>
    <row r="2003" ht="8" customHeight="1">
      <c r="A2003" t="n">
        <v>40</v>
      </c>
    </row>
    <row r="2004" ht="8" customHeight="1">
      <c r="A2004" t="n">
        <v>40</v>
      </c>
    </row>
    <row r="2005" ht="24" customHeight="1">
      <c r="A2005" t="n">
        <v>41</v>
      </c>
      <c r="B2005" s="73">
        <f>"WEEK 41     "&amp;TEXT(C2006,"ddd d mmm")&amp;"  –  "&amp;TEXT(C2006+6,"ddd d mmm yyyy")</f>
        <v/>
      </c>
      <c r="S2005" s="74">
        <f>IF(TODAY()&lt;C2006,"FUTURE",IF(TODAY()&gt;C2006+6,"PAST","THIS WEEK"))</f>
        <v/>
      </c>
      <c r="W2005" s="75">
        <f>IF(AND(Engine!$B$8=$AC$3,Engine!$B$9=$A2005),"◀ ACTIVE WEEK","")</f>
        <v/>
      </c>
      <c r="AA2005" s="76" t="n"/>
      <c r="AB2005" s="77" t="inlineStr">
        <is>
          <t>◀ Prev</t>
        </is>
      </c>
      <c r="AC2005" s="77" t="inlineStr">
        <is>
          <t>Next ▶</t>
        </is>
      </c>
    </row>
    <row r="2006" ht="18" customHeight="1">
      <c r="A2006" t="n">
        <v>41</v>
      </c>
      <c r="B2006" s="78" t="inlineStr">
        <is>
          <t>DUTY</t>
        </is>
      </c>
      <c r="C2006" s="79">
        <f>$AC$2+7*($A2006-1)</f>
        <v/>
      </c>
      <c r="D2006" s="80" t="n"/>
      <c r="E2006" s="80" t="n"/>
      <c r="F2006" s="81" t="n"/>
      <c r="G2006" s="79">
        <f>C2006+1</f>
        <v/>
      </c>
      <c r="H2006" s="80" t="n"/>
      <c r="I2006" s="80" t="n"/>
      <c r="J2006" s="81" t="n"/>
      <c r="K2006" s="79">
        <f>C2006+2</f>
        <v/>
      </c>
      <c r="L2006" s="80" t="n"/>
      <c r="M2006" s="80" t="n"/>
      <c r="N2006" s="81" t="n"/>
      <c r="O2006" s="79">
        <f>C2006+3</f>
        <v/>
      </c>
      <c r="P2006" s="80" t="n"/>
      <c r="Q2006" s="80" t="n"/>
      <c r="R2006" s="81" t="n"/>
      <c r="S2006" s="79">
        <f>C2006+4</f>
        <v/>
      </c>
      <c r="T2006" s="80" t="n"/>
      <c r="U2006" s="80" t="n"/>
      <c r="V2006" s="81" t="n"/>
      <c r="W2006" s="82">
        <f>C2006+5</f>
        <v/>
      </c>
      <c r="X2006" s="83" t="n"/>
      <c r="Y2006" s="82">
        <f>C2006+6</f>
        <v/>
      </c>
      <c r="Z2006" s="83" t="n"/>
      <c r="AB2006" s="72" t="inlineStr">
        <is>
          <t>Gaps</t>
        </is>
      </c>
      <c r="AC2006" s="72" t="inlineStr">
        <is>
          <t>Cover</t>
        </is>
      </c>
    </row>
    <row r="2007" ht="14" customHeight="1">
      <c r="A2007" t="n">
        <v>41</v>
      </c>
      <c r="B2007" s="84" t="inlineStr">
        <is>
          <t>(from Setup)</t>
        </is>
      </c>
      <c r="C2007" s="85" t="inlineStr">
        <is>
          <t>1</t>
        </is>
      </c>
      <c r="D2007" s="85" t="inlineStr">
        <is>
          <t>2</t>
        </is>
      </c>
      <c r="E2007" s="85" t="inlineStr">
        <is>
          <t>3</t>
        </is>
      </c>
      <c r="F2007" s="85" t="inlineStr">
        <is>
          <t>Notes</t>
        </is>
      </c>
      <c r="G2007" s="85" t="inlineStr">
        <is>
          <t>1</t>
        </is>
      </c>
      <c r="H2007" s="85" t="inlineStr">
        <is>
          <t>2</t>
        </is>
      </c>
      <c r="I2007" s="85" t="inlineStr">
        <is>
          <t>3</t>
        </is>
      </c>
      <c r="J2007" s="85" t="inlineStr">
        <is>
          <t>Notes</t>
        </is>
      </c>
      <c r="K2007" s="85" t="inlineStr">
        <is>
          <t>1</t>
        </is>
      </c>
      <c r="L2007" s="85" t="inlineStr">
        <is>
          <t>2</t>
        </is>
      </c>
      <c r="M2007" s="85" t="inlineStr">
        <is>
          <t>3</t>
        </is>
      </c>
      <c r="N2007" s="85" t="inlineStr">
        <is>
          <t>Notes</t>
        </is>
      </c>
      <c r="O2007" s="85" t="inlineStr">
        <is>
          <t>1</t>
        </is>
      </c>
      <c r="P2007" s="85" t="inlineStr">
        <is>
          <t>2</t>
        </is>
      </c>
      <c r="Q2007" s="85" t="inlineStr">
        <is>
          <t>3</t>
        </is>
      </c>
      <c r="R2007" s="85" t="inlineStr">
        <is>
          <t>Notes</t>
        </is>
      </c>
      <c r="S2007" s="85" t="inlineStr">
        <is>
          <t>1</t>
        </is>
      </c>
      <c r="T2007" s="85" t="inlineStr">
        <is>
          <t>2</t>
        </is>
      </c>
      <c r="U2007" s="85" t="inlineStr">
        <is>
          <t>3</t>
        </is>
      </c>
      <c r="V2007" s="85" t="inlineStr">
        <is>
          <t>Notes</t>
        </is>
      </c>
      <c r="W2007" s="85" t="inlineStr">
        <is>
          <t>Cover</t>
        </is>
      </c>
      <c r="X2007" s="85" t="inlineStr">
        <is>
          <t>Notes</t>
        </is>
      </c>
      <c r="Y2007" s="85" t="inlineStr">
        <is>
          <t>Cover</t>
        </is>
      </c>
      <c r="Z2007" s="85" t="inlineStr">
        <is>
          <t>Notes</t>
        </is>
      </c>
      <c r="AB2007" s="86" t="inlineStr">
        <is>
          <t>weekdays short</t>
        </is>
      </c>
      <c r="AC2007" s="87" t="inlineStr"/>
    </row>
    <row r="2008" ht="17" customHeight="1">
      <c r="A2008" t="n">
        <v>41</v>
      </c>
      <c r="B2008" s="24">
        <f>IF(Setup!$K$6="","",Setup!$K$6)</f>
        <v/>
      </c>
      <c r="C2008" s="88" t="n"/>
      <c r="D2008" s="88" t="n"/>
      <c r="E2008" s="88" t="n"/>
      <c r="F2008" s="89" t="n"/>
      <c r="G2008" s="88" t="n"/>
      <c r="H2008" s="88" t="n"/>
      <c r="I2008" s="88" t="n"/>
      <c r="J2008" s="89" t="n"/>
      <c r="K2008" s="88" t="n"/>
      <c r="L2008" s="88" t="n"/>
      <c r="M2008" s="88" t="n"/>
      <c r="N2008" s="89" t="n"/>
      <c r="O2008" s="88" t="n"/>
      <c r="P2008" s="88" t="n"/>
      <c r="Q2008" s="88" t="n"/>
      <c r="R2008" s="89" t="n"/>
      <c r="S2008" s="88" t="n"/>
      <c r="T2008" s="88" t="n"/>
      <c r="U2008" s="88" t="n"/>
      <c r="V2008" s="89" t="n"/>
      <c r="W2008" s="88" t="n"/>
      <c r="X2008" s="89" t="n"/>
      <c r="Y2008" s="88" t="n"/>
      <c r="Z2008" s="89" t="n"/>
      <c r="AB2008" s="25">
        <f>IF($B2008="","",(COUNTIF(C2008:E2008,"?*")&lt;N(INDEX(Setup!$L$6:$L$23,1)))+(COUNTIF(G2008:I2008,"?*")&lt;N(INDEX(Setup!$L$6:$L$23,1)))+(COUNTIF(K2008:M2008,"?*")&lt;N(INDEX(Setup!$L$6:$L$23,1)))+(COUNTIF(O2008:Q2008,"?*")&lt;N(INDEX(Setup!$L$6:$L$23,1)))+(COUNTIF(S2008:U2008,"?*")&lt;N(INDEX(Setup!$L$6:$L$23,1)))+((W2008="")*(INDEX(Setup!$M$6:$M$23,1)="Y"))+((Y2008="")*(INDEX(Setup!$M$6:$M$23,1)="Y")))</f>
        <v/>
      </c>
      <c r="AC2008" s="90">
        <f>IF($B2008="","",IF(AB2008=0,"✓ covered","⚠ "&amp;AB2008&amp;IF(AB2008=1," gap"," gaps")))</f>
        <v/>
      </c>
    </row>
    <row r="2009" ht="17" customHeight="1">
      <c r="A2009" t="n">
        <v>41</v>
      </c>
      <c r="B2009" s="29">
        <f>IF(Setup!$K$7="","",Setup!$K$7)</f>
        <v/>
      </c>
      <c r="C2009" s="88" t="n"/>
      <c r="D2009" s="88" t="n"/>
      <c r="E2009" s="88" t="n"/>
      <c r="F2009" s="89" t="n"/>
      <c r="G2009" s="88" t="n"/>
      <c r="H2009" s="88" t="n"/>
      <c r="I2009" s="88" t="n"/>
      <c r="J2009" s="89" t="n"/>
      <c r="K2009" s="88" t="n"/>
      <c r="L2009" s="88" t="n"/>
      <c r="M2009" s="88" t="n"/>
      <c r="N2009" s="89" t="n"/>
      <c r="O2009" s="88" t="n"/>
      <c r="P2009" s="88" t="n"/>
      <c r="Q2009" s="88" t="n"/>
      <c r="R2009" s="89" t="n"/>
      <c r="S2009" s="88" t="n"/>
      <c r="T2009" s="88" t="n"/>
      <c r="U2009" s="88" t="n"/>
      <c r="V2009" s="89" t="n"/>
      <c r="W2009" s="88" t="n"/>
      <c r="X2009" s="89" t="n"/>
      <c r="Y2009" s="88" t="n"/>
      <c r="Z2009" s="89" t="n"/>
      <c r="AB2009" s="30">
        <f>IF($B2009="","",(COUNTIF(C2009:E2009,"?*")&lt;N(INDEX(Setup!$L$6:$L$23,2)))+(COUNTIF(G2009:I2009,"?*")&lt;N(INDEX(Setup!$L$6:$L$23,2)))+(COUNTIF(K2009:M2009,"?*")&lt;N(INDEX(Setup!$L$6:$L$23,2)))+(COUNTIF(O2009:Q2009,"?*")&lt;N(INDEX(Setup!$L$6:$L$23,2)))+(COUNTIF(S2009:U2009,"?*")&lt;N(INDEX(Setup!$L$6:$L$23,2)))+((W2009="")*(INDEX(Setup!$M$6:$M$23,2)="Y"))+((Y2009="")*(INDEX(Setup!$M$6:$M$23,2)="Y")))</f>
        <v/>
      </c>
      <c r="AC2009" s="91">
        <f>IF($B2009="","",IF(AB2009=0,"✓ covered","⚠ "&amp;AB2009&amp;IF(AB2009=1," gap"," gaps")))</f>
        <v/>
      </c>
    </row>
    <row r="2010" ht="17" customHeight="1">
      <c r="A2010" t="n">
        <v>41</v>
      </c>
      <c r="B2010" s="24">
        <f>IF(Setup!$K$8="","",Setup!$K$8)</f>
        <v/>
      </c>
      <c r="C2010" s="88" t="n"/>
      <c r="D2010" s="88" t="n"/>
      <c r="E2010" s="88" t="n"/>
      <c r="F2010" s="89" t="n"/>
      <c r="G2010" s="88" t="n"/>
      <c r="H2010" s="88" t="n"/>
      <c r="I2010" s="88" t="n"/>
      <c r="J2010" s="89" t="n"/>
      <c r="K2010" s="88" t="n"/>
      <c r="L2010" s="88" t="n"/>
      <c r="M2010" s="88" t="n"/>
      <c r="N2010" s="89" t="n"/>
      <c r="O2010" s="88" t="n"/>
      <c r="P2010" s="88" t="n"/>
      <c r="Q2010" s="88" t="n"/>
      <c r="R2010" s="89" t="n"/>
      <c r="S2010" s="88" t="n"/>
      <c r="T2010" s="88" t="n"/>
      <c r="U2010" s="88" t="n"/>
      <c r="V2010" s="89" t="n"/>
      <c r="W2010" s="88" t="n"/>
      <c r="X2010" s="89" t="n"/>
      <c r="Y2010" s="88" t="n"/>
      <c r="Z2010" s="89" t="n"/>
      <c r="AB2010" s="25">
        <f>IF($B2010="","",(COUNTIF(C2010:E2010,"?*")&lt;N(INDEX(Setup!$L$6:$L$23,3)))+(COUNTIF(G2010:I2010,"?*")&lt;N(INDEX(Setup!$L$6:$L$23,3)))+(COUNTIF(K2010:M2010,"?*")&lt;N(INDEX(Setup!$L$6:$L$23,3)))+(COUNTIF(O2010:Q2010,"?*")&lt;N(INDEX(Setup!$L$6:$L$23,3)))+(COUNTIF(S2010:U2010,"?*")&lt;N(INDEX(Setup!$L$6:$L$23,3)))+((W2010="")*(INDEX(Setup!$M$6:$M$23,3)="Y"))+((Y2010="")*(INDEX(Setup!$M$6:$M$23,3)="Y")))</f>
        <v/>
      </c>
      <c r="AC2010" s="90">
        <f>IF($B2010="","",IF(AB2010=0,"✓ covered","⚠ "&amp;AB2010&amp;IF(AB2010=1," gap"," gaps")))</f>
        <v/>
      </c>
    </row>
    <row r="2011" ht="17" customHeight="1">
      <c r="A2011" t="n">
        <v>41</v>
      </c>
      <c r="B2011" s="29">
        <f>IF(Setup!$K$9="","",Setup!$K$9)</f>
        <v/>
      </c>
      <c r="C2011" s="88" t="n"/>
      <c r="D2011" s="88" t="n"/>
      <c r="E2011" s="88" t="n"/>
      <c r="F2011" s="89" t="n"/>
      <c r="G2011" s="88" t="n"/>
      <c r="H2011" s="88" t="n"/>
      <c r="I2011" s="88" t="n"/>
      <c r="J2011" s="89" t="n"/>
      <c r="K2011" s="88" t="n"/>
      <c r="L2011" s="88" t="n"/>
      <c r="M2011" s="88" t="n"/>
      <c r="N2011" s="89" t="n"/>
      <c r="O2011" s="88" t="n"/>
      <c r="P2011" s="88" t="n"/>
      <c r="Q2011" s="88" t="n"/>
      <c r="R2011" s="89" t="n"/>
      <c r="S2011" s="88" t="n"/>
      <c r="T2011" s="88" t="n"/>
      <c r="U2011" s="88" t="n"/>
      <c r="V2011" s="89" t="n"/>
      <c r="W2011" s="88" t="n"/>
      <c r="X2011" s="89" t="n"/>
      <c r="Y2011" s="88" t="n"/>
      <c r="Z2011" s="89" t="n"/>
      <c r="AB2011" s="30">
        <f>IF($B2011="","",(COUNTIF(C2011:E2011,"?*")&lt;N(INDEX(Setup!$L$6:$L$23,4)))+(COUNTIF(G2011:I2011,"?*")&lt;N(INDEX(Setup!$L$6:$L$23,4)))+(COUNTIF(K2011:M2011,"?*")&lt;N(INDEX(Setup!$L$6:$L$23,4)))+(COUNTIF(O2011:Q2011,"?*")&lt;N(INDEX(Setup!$L$6:$L$23,4)))+(COUNTIF(S2011:U2011,"?*")&lt;N(INDEX(Setup!$L$6:$L$23,4)))+((W2011="")*(INDEX(Setup!$M$6:$M$23,4)="Y"))+((Y2011="")*(INDEX(Setup!$M$6:$M$23,4)="Y")))</f>
        <v/>
      </c>
      <c r="AC2011" s="91">
        <f>IF($B2011="","",IF(AB2011=0,"✓ covered","⚠ "&amp;AB2011&amp;IF(AB2011=1," gap"," gaps")))</f>
        <v/>
      </c>
    </row>
    <row r="2012" ht="17" customHeight="1">
      <c r="A2012" t="n">
        <v>41</v>
      </c>
      <c r="B2012" s="24">
        <f>IF(Setup!$K$10="","",Setup!$K$10)</f>
        <v/>
      </c>
      <c r="C2012" s="88" t="n"/>
      <c r="D2012" s="88" t="n"/>
      <c r="E2012" s="88" t="n"/>
      <c r="F2012" s="89" t="n"/>
      <c r="G2012" s="88" t="n"/>
      <c r="H2012" s="88" t="n"/>
      <c r="I2012" s="88" t="n"/>
      <c r="J2012" s="89" t="n"/>
      <c r="K2012" s="88" t="n"/>
      <c r="L2012" s="88" t="n"/>
      <c r="M2012" s="88" t="n"/>
      <c r="N2012" s="89" t="n"/>
      <c r="O2012" s="88" t="n"/>
      <c r="P2012" s="88" t="n"/>
      <c r="Q2012" s="88" t="n"/>
      <c r="R2012" s="89" t="n"/>
      <c r="S2012" s="88" t="n"/>
      <c r="T2012" s="88" t="n"/>
      <c r="U2012" s="88" t="n"/>
      <c r="V2012" s="89" t="n"/>
      <c r="W2012" s="88" t="n"/>
      <c r="X2012" s="89" t="n"/>
      <c r="Y2012" s="88" t="n"/>
      <c r="Z2012" s="89" t="n"/>
      <c r="AB2012" s="25">
        <f>IF($B2012="","",(COUNTIF(C2012:E2012,"?*")&lt;N(INDEX(Setup!$L$6:$L$23,5)))+(COUNTIF(G2012:I2012,"?*")&lt;N(INDEX(Setup!$L$6:$L$23,5)))+(COUNTIF(K2012:M2012,"?*")&lt;N(INDEX(Setup!$L$6:$L$23,5)))+(COUNTIF(O2012:Q2012,"?*")&lt;N(INDEX(Setup!$L$6:$L$23,5)))+(COUNTIF(S2012:U2012,"?*")&lt;N(INDEX(Setup!$L$6:$L$23,5)))+((W2012="")*(INDEX(Setup!$M$6:$M$23,5)="Y"))+((Y2012="")*(INDEX(Setup!$M$6:$M$23,5)="Y")))</f>
        <v/>
      </c>
      <c r="AC2012" s="90">
        <f>IF($B2012="","",IF(AB2012=0,"✓ covered","⚠ "&amp;AB2012&amp;IF(AB2012=1," gap"," gaps")))</f>
        <v/>
      </c>
    </row>
    <row r="2013" ht="17" customHeight="1">
      <c r="A2013" t="n">
        <v>41</v>
      </c>
      <c r="B2013" s="29">
        <f>IF(Setup!$K$11="","",Setup!$K$11)</f>
        <v/>
      </c>
      <c r="C2013" s="88" t="n"/>
      <c r="D2013" s="88" t="n"/>
      <c r="E2013" s="88" t="n"/>
      <c r="F2013" s="89" t="n"/>
      <c r="G2013" s="88" t="n"/>
      <c r="H2013" s="88" t="n"/>
      <c r="I2013" s="88" t="n"/>
      <c r="J2013" s="89" t="n"/>
      <c r="K2013" s="88" t="n"/>
      <c r="L2013" s="88" t="n"/>
      <c r="M2013" s="88" t="n"/>
      <c r="N2013" s="89" t="n"/>
      <c r="O2013" s="88" t="n"/>
      <c r="P2013" s="88" t="n"/>
      <c r="Q2013" s="88" t="n"/>
      <c r="R2013" s="89" t="n"/>
      <c r="S2013" s="88" t="n"/>
      <c r="T2013" s="88" t="n"/>
      <c r="U2013" s="88" t="n"/>
      <c r="V2013" s="89" t="n"/>
      <c r="W2013" s="88" t="n"/>
      <c r="X2013" s="89" t="n"/>
      <c r="Y2013" s="88" t="n"/>
      <c r="Z2013" s="89" t="n"/>
      <c r="AB2013" s="30">
        <f>IF($B2013="","",(COUNTIF(C2013:E2013,"?*")&lt;N(INDEX(Setup!$L$6:$L$23,6)))+(COUNTIF(G2013:I2013,"?*")&lt;N(INDEX(Setup!$L$6:$L$23,6)))+(COUNTIF(K2013:M2013,"?*")&lt;N(INDEX(Setup!$L$6:$L$23,6)))+(COUNTIF(O2013:Q2013,"?*")&lt;N(INDEX(Setup!$L$6:$L$23,6)))+(COUNTIF(S2013:U2013,"?*")&lt;N(INDEX(Setup!$L$6:$L$23,6)))+((W2013="")*(INDEX(Setup!$M$6:$M$23,6)="Y"))+((Y2013="")*(INDEX(Setup!$M$6:$M$23,6)="Y")))</f>
        <v/>
      </c>
      <c r="AC2013" s="91">
        <f>IF($B2013="","",IF(AB2013=0,"✓ covered","⚠ "&amp;AB2013&amp;IF(AB2013=1," gap"," gaps")))</f>
        <v/>
      </c>
    </row>
    <row r="2014" ht="17" customHeight="1">
      <c r="A2014" t="n">
        <v>41</v>
      </c>
      <c r="B2014" s="24">
        <f>IF(Setup!$K$12="","",Setup!$K$12)</f>
        <v/>
      </c>
      <c r="C2014" s="88" t="n"/>
      <c r="D2014" s="88" t="n"/>
      <c r="E2014" s="88" t="n"/>
      <c r="F2014" s="89" t="n"/>
      <c r="G2014" s="88" t="n"/>
      <c r="H2014" s="88" t="n"/>
      <c r="I2014" s="88" t="n"/>
      <c r="J2014" s="89" t="n"/>
      <c r="K2014" s="88" t="n"/>
      <c r="L2014" s="88" t="n"/>
      <c r="M2014" s="88" t="n"/>
      <c r="N2014" s="89" t="n"/>
      <c r="O2014" s="88" t="n"/>
      <c r="P2014" s="88" t="n"/>
      <c r="Q2014" s="88" t="n"/>
      <c r="R2014" s="89" t="n"/>
      <c r="S2014" s="88" t="n"/>
      <c r="T2014" s="88" t="n"/>
      <c r="U2014" s="88" t="n"/>
      <c r="V2014" s="89" t="n"/>
      <c r="W2014" s="88" t="n"/>
      <c r="X2014" s="89" t="n"/>
      <c r="Y2014" s="88" t="n"/>
      <c r="Z2014" s="89" t="n"/>
      <c r="AB2014" s="25">
        <f>IF($B2014="","",(COUNTIF(C2014:E2014,"?*")&lt;N(INDEX(Setup!$L$6:$L$23,7)))+(COUNTIF(G2014:I2014,"?*")&lt;N(INDEX(Setup!$L$6:$L$23,7)))+(COUNTIF(K2014:M2014,"?*")&lt;N(INDEX(Setup!$L$6:$L$23,7)))+(COUNTIF(O2014:Q2014,"?*")&lt;N(INDEX(Setup!$L$6:$L$23,7)))+(COUNTIF(S2014:U2014,"?*")&lt;N(INDEX(Setup!$L$6:$L$23,7)))+((W2014="")*(INDEX(Setup!$M$6:$M$23,7)="Y"))+((Y2014="")*(INDEX(Setup!$M$6:$M$23,7)="Y")))</f>
        <v/>
      </c>
      <c r="AC2014" s="90">
        <f>IF($B2014="","",IF(AB2014=0,"✓ covered","⚠ "&amp;AB2014&amp;IF(AB2014=1," gap"," gaps")))</f>
        <v/>
      </c>
    </row>
    <row r="2015" ht="17" customHeight="1">
      <c r="A2015" t="n">
        <v>41</v>
      </c>
      <c r="B2015" s="29">
        <f>IF(Setup!$K$13="","",Setup!$K$13)</f>
        <v/>
      </c>
      <c r="C2015" s="88" t="n"/>
      <c r="D2015" s="88" t="n"/>
      <c r="E2015" s="88" t="n"/>
      <c r="F2015" s="89" t="n"/>
      <c r="G2015" s="88" t="n"/>
      <c r="H2015" s="88" t="n"/>
      <c r="I2015" s="88" t="n"/>
      <c r="J2015" s="89" t="n"/>
      <c r="K2015" s="88" t="n"/>
      <c r="L2015" s="88" t="n"/>
      <c r="M2015" s="88" t="n"/>
      <c r="N2015" s="89" t="n"/>
      <c r="O2015" s="88" t="n"/>
      <c r="P2015" s="88" t="n"/>
      <c r="Q2015" s="88" t="n"/>
      <c r="R2015" s="89" t="n"/>
      <c r="S2015" s="88" t="n"/>
      <c r="T2015" s="88" t="n"/>
      <c r="U2015" s="88" t="n"/>
      <c r="V2015" s="89" t="n"/>
      <c r="W2015" s="88" t="n"/>
      <c r="X2015" s="89" t="n"/>
      <c r="Y2015" s="88" t="n"/>
      <c r="Z2015" s="89" t="n"/>
      <c r="AB2015" s="30">
        <f>IF($B2015="","",(COUNTIF(C2015:E2015,"?*")&lt;N(INDEX(Setup!$L$6:$L$23,8)))+(COUNTIF(G2015:I2015,"?*")&lt;N(INDEX(Setup!$L$6:$L$23,8)))+(COUNTIF(K2015:M2015,"?*")&lt;N(INDEX(Setup!$L$6:$L$23,8)))+(COUNTIF(O2015:Q2015,"?*")&lt;N(INDEX(Setup!$L$6:$L$23,8)))+(COUNTIF(S2015:U2015,"?*")&lt;N(INDEX(Setup!$L$6:$L$23,8)))+((W2015="")*(INDEX(Setup!$M$6:$M$23,8)="Y"))+((Y2015="")*(INDEX(Setup!$M$6:$M$23,8)="Y")))</f>
        <v/>
      </c>
      <c r="AC2015" s="91">
        <f>IF($B2015="","",IF(AB2015=0,"✓ covered","⚠ "&amp;AB2015&amp;IF(AB2015=1," gap"," gaps")))</f>
        <v/>
      </c>
    </row>
    <row r="2016" ht="17" customHeight="1">
      <c r="A2016" t="n">
        <v>41</v>
      </c>
      <c r="B2016" s="24">
        <f>IF(Setup!$K$14="","",Setup!$K$14)</f>
        <v/>
      </c>
      <c r="C2016" s="88" t="n"/>
      <c r="D2016" s="88" t="n"/>
      <c r="E2016" s="88" t="n"/>
      <c r="F2016" s="89" t="n"/>
      <c r="G2016" s="88" t="n"/>
      <c r="H2016" s="88" t="n"/>
      <c r="I2016" s="88" t="n"/>
      <c r="J2016" s="89" t="n"/>
      <c r="K2016" s="88" t="n"/>
      <c r="L2016" s="88" t="n"/>
      <c r="M2016" s="88" t="n"/>
      <c r="N2016" s="89" t="n"/>
      <c r="O2016" s="88" t="n"/>
      <c r="P2016" s="88" t="n"/>
      <c r="Q2016" s="88" t="n"/>
      <c r="R2016" s="89" t="n"/>
      <c r="S2016" s="88" t="n"/>
      <c r="T2016" s="88" t="n"/>
      <c r="U2016" s="88" t="n"/>
      <c r="V2016" s="89" t="n"/>
      <c r="W2016" s="88" t="n"/>
      <c r="X2016" s="89" t="n"/>
      <c r="Y2016" s="88" t="n"/>
      <c r="Z2016" s="89" t="n"/>
      <c r="AB2016" s="25">
        <f>IF($B2016="","",(COUNTIF(C2016:E2016,"?*")&lt;N(INDEX(Setup!$L$6:$L$23,9)))+(COUNTIF(G2016:I2016,"?*")&lt;N(INDEX(Setup!$L$6:$L$23,9)))+(COUNTIF(K2016:M2016,"?*")&lt;N(INDEX(Setup!$L$6:$L$23,9)))+(COUNTIF(O2016:Q2016,"?*")&lt;N(INDEX(Setup!$L$6:$L$23,9)))+(COUNTIF(S2016:U2016,"?*")&lt;N(INDEX(Setup!$L$6:$L$23,9)))+((W2016="")*(INDEX(Setup!$M$6:$M$23,9)="Y"))+((Y2016="")*(INDEX(Setup!$M$6:$M$23,9)="Y")))</f>
        <v/>
      </c>
      <c r="AC2016" s="90">
        <f>IF($B2016="","",IF(AB2016=0,"✓ covered","⚠ "&amp;AB2016&amp;IF(AB2016=1," gap"," gaps")))</f>
        <v/>
      </c>
    </row>
    <row r="2017" ht="17" customHeight="1">
      <c r="A2017" t="n">
        <v>41</v>
      </c>
      <c r="B2017" s="29">
        <f>IF(Setup!$K$15="","",Setup!$K$15)</f>
        <v/>
      </c>
      <c r="C2017" s="88" t="n"/>
      <c r="D2017" s="88" t="n"/>
      <c r="E2017" s="88" t="n"/>
      <c r="F2017" s="89" t="n"/>
      <c r="G2017" s="88" t="n"/>
      <c r="H2017" s="88" t="n"/>
      <c r="I2017" s="88" t="n"/>
      <c r="J2017" s="89" t="n"/>
      <c r="K2017" s="88" t="n"/>
      <c r="L2017" s="88" t="n"/>
      <c r="M2017" s="88" t="n"/>
      <c r="N2017" s="89" t="n"/>
      <c r="O2017" s="88" t="n"/>
      <c r="P2017" s="88" t="n"/>
      <c r="Q2017" s="88" t="n"/>
      <c r="R2017" s="89" t="n"/>
      <c r="S2017" s="88" t="n"/>
      <c r="T2017" s="88" t="n"/>
      <c r="U2017" s="88" t="n"/>
      <c r="V2017" s="89" t="n"/>
      <c r="W2017" s="88" t="n"/>
      <c r="X2017" s="89" t="n"/>
      <c r="Y2017" s="88" t="n"/>
      <c r="Z2017" s="89" t="n"/>
      <c r="AB2017" s="30">
        <f>IF($B2017="","",(COUNTIF(C2017:E2017,"?*")&lt;N(INDEX(Setup!$L$6:$L$23,10)))+(COUNTIF(G2017:I2017,"?*")&lt;N(INDEX(Setup!$L$6:$L$23,10)))+(COUNTIF(K2017:M2017,"?*")&lt;N(INDEX(Setup!$L$6:$L$23,10)))+(COUNTIF(O2017:Q2017,"?*")&lt;N(INDEX(Setup!$L$6:$L$23,10)))+(COUNTIF(S2017:U2017,"?*")&lt;N(INDEX(Setup!$L$6:$L$23,10)))+((W2017="")*(INDEX(Setup!$M$6:$M$23,10)="Y"))+((Y2017="")*(INDEX(Setup!$M$6:$M$23,10)="Y")))</f>
        <v/>
      </c>
      <c r="AC2017" s="91">
        <f>IF($B2017="","",IF(AB2017=0,"✓ covered","⚠ "&amp;AB2017&amp;IF(AB2017=1," gap"," gaps")))</f>
        <v/>
      </c>
    </row>
    <row r="2018" ht="17" customHeight="1">
      <c r="A2018" t="n">
        <v>41</v>
      </c>
      <c r="B2018" s="24">
        <f>IF(Setup!$K$16="","",Setup!$K$16)</f>
        <v/>
      </c>
      <c r="C2018" s="88" t="n"/>
      <c r="D2018" s="88" t="n"/>
      <c r="E2018" s="88" t="n"/>
      <c r="F2018" s="89" t="n"/>
      <c r="G2018" s="88" t="n"/>
      <c r="H2018" s="88" t="n"/>
      <c r="I2018" s="88" t="n"/>
      <c r="J2018" s="89" t="n"/>
      <c r="K2018" s="88" t="n"/>
      <c r="L2018" s="88" t="n"/>
      <c r="M2018" s="88" t="n"/>
      <c r="N2018" s="89" t="n"/>
      <c r="O2018" s="88" t="n"/>
      <c r="P2018" s="88" t="n"/>
      <c r="Q2018" s="88" t="n"/>
      <c r="R2018" s="89" t="n"/>
      <c r="S2018" s="88" t="n"/>
      <c r="T2018" s="88" t="n"/>
      <c r="U2018" s="88" t="n"/>
      <c r="V2018" s="89" t="n"/>
      <c r="W2018" s="88" t="n"/>
      <c r="X2018" s="89" t="n"/>
      <c r="Y2018" s="88" t="n"/>
      <c r="Z2018" s="89" t="n"/>
      <c r="AB2018" s="25">
        <f>IF($B2018="","",(COUNTIF(C2018:E2018,"?*")&lt;N(INDEX(Setup!$L$6:$L$23,11)))+(COUNTIF(G2018:I2018,"?*")&lt;N(INDEX(Setup!$L$6:$L$23,11)))+(COUNTIF(K2018:M2018,"?*")&lt;N(INDEX(Setup!$L$6:$L$23,11)))+(COUNTIF(O2018:Q2018,"?*")&lt;N(INDEX(Setup!$L$6:$L$23,11)))+(COUNTIF(S2018:U2018,"?*")&lt;N(INDEX(Setup!$L$6:$L$23,11)))+((W2018="")*(INDEX(Setup!$M$6:$M$23,11)="Y"))+((Y2018="")*(INDEX(Setup!$M$6:$M$23,11)="Y")))</f>
        <v/>
      </c>
      <c r="AC2018" s="90">
        <f>IF($B2018="","",IF(AB2018=0,"✓ covered","⚠ "&amp;AB2018&amp;IF(AB2018=1," gap"," gaps")))</f>
        <v/>
      </c>
    </row>
    <row r="2019" ht="17" customHeight="1">
      <c r="A2019" t="n">
        <v>41</v>
      </c>
      <c r="B2019" s="29">
        <f>IF(Setup!$K$17="","",Setup!$K$17)</f>
        <v/>
      </c>
      <c r="C2019" s="88" t="n"/>
      <c r="D2019" s="88" t="n"/>
      <c r="E2019" s="88" t="n"/>
      <c r="F2019" s="89" t="n"/>
      <c r="G2019" s="88" t="n"/>
      <c r="H2019" s="88" t="n"/>
      <c r="I2019" s="88" t="n"/>
      <c r="J2019" s="89" t="n"/>
      <c r="K2019" s="88" t="n"/>
      <c r="L2019" s="88" t="n"/>
      <c r="M2019" s="88" t="n"/>
      <c r="N2019" s="89" t="n"/>
      <c r="O2019" s="88" t="n"/>
      <c r="P2019" s="88" t="n"/>
      <c r="Q2019" s="88" t="n"/>
      <c r="R2019" s="89" t="n"/>
      <c r="S2019" s="88" t="n"/>
      <c r="T2019" s="88" t="n"/>
      <c r="U2019" s="88" t="n"/>
      <c r="V2019" s="89" t="n"/>
      <c r="W2019" s="88" t="n"/>
      <c r="X2019" s="89" t="n"/>
      <c r="Y2019" s="88" t="n"/>
      <c r="Z2019" s="89" t="n"/>
      <c r="AB2019" s="30">
        <f>IF($B2019="","",(COUNTIF(C2019:E2019,"?*")&lt;N(INDEX(Setup!$L$6:$L$23,12)))+(COUNTIF(G2019:I2019,"?*")&lt;N(INDEX(Setup!$L$6:$L$23,12)))+(COUNTIF(K2019:M2019,"?*")&lt;N(INDEX(Setup!$L$6:$L$23,12)))+(COUNTIF(O2019:Q2019,"?*")&lt;N(INDEX(Setup!$L$6:$L$23,12)))+(COUNTIF(S2019:U2019,"?*")&lt;N(INDEX(Setup!$L$6:$L$23,12)))+((W2019="")*(INDEX(Setup!$M$6:$M$23,12)="Y"))+((Y2019="")*(INDEX(Setup!$M$6:$M$23,12)="Y")))</f>
        <v/>
      </c>
      <c r="AC2019" s="91">
        <f>IF($B2019="","",IF(AB2019=0,"✓ covered","⚠ "&amp;AB2019&amp;IF(AB2019=1," gap"," gaps")))</f>
        <v/>
      </c>
    </row>
    <row r="2020" ht="17" customHeight="1">
      <c r="A2020" t="n">
        <v>41</v>
      </c>
      <c r="B2020" s="24">
        <f>IF(Setup!$K$18="","",Setup!$K$18)</f>
        <v/>
      </c>
      <c r="C2020" s="88" t="n"/>
      <c r="D2020" s="88" t="n"/>
      <c r="E2020" s="88" t="n"/>
      <c r="F2020" s="89" t="n"/>
      <c r="G2020" s="88" t="n"/>
      <c r="H2020" s="88" t="n"/>
      <c r="I2020" s="88" t="n"/>
      <c r="J2020" s="89" t="n"/>
      <c r="K2020" s="88" t="n"/>
      <c r="L2020" s="88" t="n"/>
      <c r="M2020" s="88" t="n"/>
      <c r="N2020" s="89" t="n"/>
      <c r="O2020" s="88" t="n"/>
      <c r="P2020" s="88" t="n"/>
      <c r="Q2020" s="88" t="n"/>
      <c r="R2020" s="89" t="n"/>
      <c r="S2020" s="88" t="n"/>
      <c r="T2020" s="88" t="n"/>
      <c r="U2020" s="88" t="n"/>
      <c r="V2020" s="89" t="n"/>
      <c r="W2020" s="88" t="n"/>
      <c r="X2020" s="89" t="n"/>
      <c r="Y2020" s="88" t="n"/>
      <c r="Z2020" s="89" t="n"/>
      <c r="AB2020" s="25">
        <f>IF($B2020="","",(COUNTIF(C2020:E2020,"?*")&lt;N(INDEX(Setup!$L$6:$L$23,13)))+(COUNTIF(G2020:I2020,"?*")&lt;N(INDEX(Setup!$L$6:$L$23,13)))+(COUNTIF(K2020:M2020,"?*")&lt;N(INDEX(Setup!$L$6:$L$23,13)))+(COUNTIF(O2020:Q2020,"?*")&lt;N(INDEX(Setup!$L$6:$L$23,13)))+(COUNTIF(S2020:U2020,"?*")&lt;N(INDEX(Setup!$L$6:$L$23,13)))+((W2020="")*(INDEX(Setup!$M$6:$M$23,13)="Y"))+((Y2020="")*(INDEX(Setup!$M$6:$M$23,13)="Y")))</f>
        <v/>
      </c>
      <c r="AC2020" s="90">
        <f>IF($B2020="","",IF(AB2020=0,"✓ covered","⚠ "&amp;AB2020&amp;IF(AB2020=1," gap"," gaps")))</f>
        <v/>
      </c>
    </row>
    <row r="2021" ht="17" customHeight="1">
      <c r="A2021" t="n">
        <v>41</v>
      </c>
      <c r="B2021" s="29">
        <f>IF(Setup!$K$19="","",Setup!$K$19)</f>
        <v/>
      </c>
      <c r="C2021" s="88" t="n"/>
      <c r="D2021" s="88" t="n"/>
      <c r="E2021" s="88" t="n"/>
      <c r="F2021" s="89" t="n"/>
      <c r="G2021" s="88" t="n"/>
      <c r="H2021" s="88" t="n"/>
      <c r="I2021" s="88" t="n"/>
      <c r="J2021" s="89" t="n"/>
      <c r="K2021" s="88" t="n"/>
      <c r="L2021" s="88" t="n"/>
      <c r="M2021" s="88" t="n"/>
      <c r="N2021" s="89" t="n"/>
      <c r="O2021" s="88" t="n"/>
      <c r="P2021" s="88" t="n"/>
      <c r="Q2021" s="88" t="n"/>
      <c r="R2021" s="89" t="n"/>
      <c r="S2021" s="88" t="n"/>
      <c r="T2021" s="88" t="n"/>
      <c r="U2021" s="88" t="n"/>
      <c r="V2021" s="89" t="n"/>
      <c r="W2021" s="88" t="n"/>
      <c r="X2021" s="89" t="n"/>
      <c r="Y2021" s="88" t="n"/>
      <c r="Z2021" s="89" t="n"/>
      <c r="AB2021" s="30">
        <f>IF($B2021="","",(COUNTIF(C2021:E2021,"?*")&lt;N(INDEX(Setup!$L$6:$L$23,14)))+(COUNTIF(G2021:I2021,"?*")&lt;N(INDEX(Setup!$L$6:$L$23,14)))+(COUNTIF(K2021:M2021,"?*")&lt;N(INDEX(Setup!$L$6:$L$23,14)))+(COUNTIF(O2021:Q2021,"?*")&lt;N(INDEX(Setup!$L$6:$L$23,14)))+(COUNTIF(S2021:U2021,"?*")&lt;N(INDEX(Setup!$L$6:$L$23,14)))+((W2021="")*(INDEX(Setup!$M$6:$M$23,14)="Y"))+((Y2021="")*(INDEX(Setup!$M$6:$M$23,14)="Y")))</f>
        <v/>
      </c>
      <c r="AC2021" s="91">
        <f>IF($B2021="","",IF(AB2021=0,"✓ covered","⚠ "&amp;AB2021&amp;IF(AB2021=1," gap"," gaps")))</f>
        <v/>
      </c>
    </row>
    <row r="2022" ht="17" customHeight="1">
      <c r="A2022" t="n">
        <v>41</v>
      </c>
      <c r="B2022" s="24">
        <f>IF(Setup!$K$20="","",Setup!$K$20)</f>
        <v/>
      </c>
      <c r="C2022" s="88" t="n"/>
      <c r="D2022" s="88" t="n"/>
      <c r="E2022" s="88" t="n"/>
      <c r="F2022" s="89" t="n"/>
      <c r="G2022" s="88" t="n"/>
      <c r="H2022" s="88" t="n"/>
      <c r="I2022" s="88" t="n"/>
      <c r="J2022" s="89" t="n"/>
      <c r="K2022" s="88" t="n"/>
      <c r="L2022" s="88" t="n"/>
      <c r="M2022" s="88" t="n"/>
      <c r="N2022" s="89" t="n"/>
      <c r="O2022" s="88" t="n"/>
      <c r="P2022" s="88" t="n"/>
      <c r="Q2022" s="88" t="n"/>
      <c r="R2022" s="89" t="n"/>
      <c r="S2022" s="88" t="n"/>
      <c r="T2022" s="88" t="n"/>
      <c r="U2022" s="88" t="n"/>
      <c r="V2022" s="89" t="n"/>
      <c r="W2022" s="88" t="n"/>
      <c r="X2022" s="89" t="n"/>
      <c r="Y2022" s="88" t="n"/>
      <c r="Z2022" s="89" t="n"/>
      <c r="AB2022" s="25">
        <f>IF($B2022="","",(COUNTIF(C2022:E2022,"?*")&lt;N(INDEX(Setup!$L$6:$L$23,15)))+(COUNTIF(G2022:I2022,"?*")&lt;N(INDEX(Setup!$L$6:$L$23,15)))+(COUNTIF(K2022:M2022,"?*")&lt;N(INDEX(Setup!$L$6:$L$23,15)))+(COUNTIF(O2022:Q2022,"?*")&lt;N(INDEX(Setup!$L$6:$L$23,15)))+(COUNTIF(S2022:U2022,"?*")&lt;N(INDEX(Setup!$L$6:$L$23,15)))+((W2022="")*(INDEX(Setup!$M$6:$M$23,15)="Y"))+((Y2022="")*(INDEX(Setup!$M$6:$M$23,15)="Y")))</f>
        <v/>
      </c>
      <c r="AC2022" s="90">
        <f>IF($B2022="","",IF(AB2022=0,"✓ covered","⚠ "&amp;AB2022&amp;IF(AB2022=1," gap"," gaps")))</f>
        <v/>
      </c>
    </row>
    <row r="2023" ht="17" customHeight="1">
      <c r="A2023" t="n">
        <v>41</v>
      </c>
      <c r="B2023" s="29">
        <f>IF(Setup!$K$21="","",Setup!$K$21)</f>
        <v/>
      </c>
      <c r="C2023" s="88" t="n"/>
      <c r="D2023" s="88" t="n"/>
      <c r="E2023" s="88" t="n"/>
      <c r="F2023" s="89" t="n"/>
      <c r="G2023" s="88" t="n"/>
      <c r="H2023" s="88" t="n"/>
      <c r="I2023" s="88" t="n"/>
      <c r="J2023" s="89" t="n"/>
      <c r="K2023" s="88" t="n"/>
      <c r="L2023" s="88" t="n"/>
      <c r="M2023" s="88" t="n"/>
      <c r="N2023" s="89" t="n"/>
      <c r="O2023" s="88" t="n"/>
      <c r="P2023" s="88" t="n"/>
      <c r="Q2023" s="88" t="n"/>
      <c r="R2023" s="89" t="n"/>
      <c r="S2023" s="88" t="n"/>
      <c r="T2023" s="88" t="n"/>
      <c r="U2023" s="88" t="n"/>
      <c r="V2023" s="89" t="n"/>
      <c r="W2023" s="88" t="n"/>
      <c r="X2023" s="89" t="n"/>
      <c r="Y2023" s="88" t="n"/>
      <c r="Z2023" s="89" t="n"/>
      <c r="AB2023" s="30">
        <f>IF($B2023="","",(COUNTIF(C2023:E2023,"?*")&lt;N(INDEX(Setup!$L$6:$L$23,16)))+(COUNTIF(G2023:I2023,"?*")&lt;N(INDEX(Setup!$L$6:$L$23,16)))+(COUNTIF(K2023:M2023,"?*")&lt;N(INDEX(Setup!$L$6:$L$23,16)))+(COUNTIF(O2023:Q2023,"?*")&lt;N(INDEX(Setup!$L$6:$L$23,16)))+(COUNTIF(S2023:U2023,"?*")&lt;N(INDEX(Setup!$L$6:$L$23,16)))+((W2023="")*(INDEX(Setup!$M$6:$M$23,16)="Y"))+((Y2023="")*(INDEX(Setup!$M$6:$M$23,16)="Y")))</f>
        <v/>
      </c>
      <c r="AC2023" s="91">
        <f>IF($B2023="","",IF(AB2023=0,"✓ covered","⚠ "&amp;AB2023&amp;IF(AB2023=1," gap"," gaps")))</f>
        <v/>
      </c>
    </row>
    <row r="2024" ht="17" customHeight="1">
      <c r="A2024" t="n">
        <v>41</v>
      </c>
      <c r="B2024" s="24">
        <f>IF(Setup!$K$22="","",Setup!$K$22)</f>
        <v/>
      </c>
      <c r="C2024" s="88" t="n"/>
      <c r="D2024" s="88" t="n"/>
      <c r="E2024" s="88" t="n"/>
      <c r="F2024" s="89" t="n"/>
      <c r="G2024" s="88" t="n"/>
      <c r="H2024" s="88" t="n"/>
      <c r="I2024" s="88" t="n"/>
      <c r="J2024" s="89" t="n"/>
      <c r="K2024" s="88" t="n"/>
      <c r="L2024" s="88" t="n"/>
      <c r="M2024" s="88" t="n"/>
      <c r="N2024" s="89" t="n"/>
      <c r="O2024" s="88" t="n"/>
      <c r="P2024" s="88" t="n"/>
      <c r="Q2024" s="88" t="n"/>
      <c r="R2024" s="89" t="n"/>
      <c r="S2024" s="88" t="n"/>
      <c r="T2024" s="88" t="n"/>
      <c r="U2024" s="88" t="n"/>
      <c r="V2024" s="89" t="n"/>
      <c r="W2024" s="88" t="n"/>
      <c r="X2024" s="89" t="n"/>
      <c r="Y2024" s="88" t="n"/>
      <c r="Z2024" s="89" t="n"/>
      <c r="AB2024" s="25">
        <f>IF($B2024="","",(COUNTIF(C2024:E2024,"?*")&lt;N(INDEX(Setup!$L$6:$L$23,17)))+(COUNTIF(G2024:I2024,"?*")&lt;N(INDEX(Setup!$L$6:$L$23,17)))+(COUNTIF(K2024:M2024,"?*")&lt;N(INDEX(Setup!$L$6:$L$23,17)))+(COUNTIF(O2024:Q2024,"?*")&lt;N(INDEX(Setup!$L$6:$L$23,17)))+(COUNTIF(S2024:U2024,"?*")&lt;N(INDEX(Setup!$L$6:$L$23,17)))+((W2024="")*(INDEX(Setup!$M$6:$M$23,17)="Y"))+((Y2024="")*(INDEX(Setup!$M$6:$M$23,17)="Y")))</f>
        <v/>
      </c>
      <c r="AC2024" s="90">
        <f>IF($B2024="","",IF(AB2024=0,"✓ covered","⚠ "&amp;AB2024&amp;IF(AB2024=1," gap"," gaps")))</f>
        <v/>
      </c>
    </row>
    <row r="2025" ht="17" customHeight="1">
      <c r="A2025" t="n">
        <v>41</v>
      </c>
      <c r="B2025" s="29">
        <f>IF(Setup!$K$23="","",Setup!$K$23)</f>
        <v/>
      </c>
      <c r="C2025" s="88" t="n"/>
      <c r="D2025" s="88" t="n"/>
      <c r="E2025" s="88" t="n"/>
      <c r="F2025" s="89" t="n"/>
      <c r="G2025" s="88" t="n"/>
      <c r="H2025" s="88" t="n"/>
      <c r="I2025" s="88" t="n"/>
      <c r="J2025" s="89" t="n"/>
      <c r="K2025" s="88" t="n"/>
      <c r="L2025" s="88" t="n"/>
      <c r="M2025" s="88" t="n"/>
      <c r="N2025" s="89" t="n"/>
      <c r="O2025" s="88" t="n"/>
      <c r="P2025" s="88" t="n"/>
      <c r="Q2025" s="88" t="n"/>
      <c r="R2025" s="89" t="n"/>
      <c r="S2025" s="88" t="n"/>
      <c r="T2025" s="88" t="n"/>
      <c r="U2025" s="88" t="n"/>
      <c r="V2025" s="89" t="n"/>
      <c r="W2025" s="88" t="n"/>
      <c r="X2025" s="89" t="n"/>
      <c r="Y2025" s="88" t="n"/>
      <c r="Z2025" s="89" t="n"/>
      <c r="AB2025" s="30">
        <f>IF($B2025="","",(COUNTIF(C2025:E2025,"?*")&lt;N(INDEX(Setup!$L$6:$L$23,18)))+(COUNTIF(G2025:I2025,"?*")&lt;N(INDEX(Setup!$L$6:$L$23,18)))+(COUNTIF(K2025:M2025,"?*")&lt;N(INDEX(Setup!$L$6:$L$23,18)))+(COUNTIF(O2025:Q2025,"?*")&lt;N(INDEX(Setup!$L$6:$L$23,18)))+(COUNTIF(S2025:U2025,"?*")&lt;N(INDEX(Setup!$L$6:$L$23,18)))+((W2025="")*(INDEX(Setup!$M$6:$M$23,18)="Y"))+((Y2025="")*(INDEX(Setup!$M$6:$M$23,18)="Y")))</f>
        <v/>
      </c>
      <c r="AC2025" s="91">
        <f>IF($B2025="","",IF(AB2025=0,"✓ covered","⚠ "&amp;AB2025&amp;IF(AB2025=1," gap"," gaps")))</f>
        <v/>
      </c>
    </row>
    <row r="2026" ht="18" customHeight="1">
      <c r="A2026" t="n">
        <v>41</v>
      </c>
      <c r="B2026" s="78" t="inlineStr">
        <is>
          <t>TEAM AVAILABILITY</t>
        </is>
      </c>
      <c r="C2026" s="92" t="inlineStr">
        <is>
          <t>Mon</t>
        </is>
      </c>
      <c r="D2026" s="93" t="n"/>
      <c r="E2026" s="93" t="n"/>
      <c r="F2026" s="94" t="n"/>
      <c r="G2026" s="92" t="inlineStr">
        <is>
          <t>Tue</t>
        </is>
      </c>
      <c r="H2026" s="93" t="n"/>
      <c r="I2026" s="93" t="n"/>
      <c r="J2026" s="94" t="n"/>
      <c r="K2026" s="92" t="inlineStr">
        <is>
          <t>Wed</t>
        </is>
      </c>
      <c r="L2026" s="93" t="n"/>
      <c r="M2026" s="93" t="n"/>
      <c r="N2026" s="94" t="n"/>
      <c r="O2026" s="92" t="inlineStr">
        <is>
          <t>Thu</t>
        </is>
      </c>
      <c r="P2026" s="93" t="n"/>
      <c r="Q2026" s="93" t="n"/>
      <c r="R2026" s="94" t="n"/>
      <c r="S2026" s="92" t="inlineStr">
        <is>
          <t>Fri</t>
        </is>
      </c>
      <c r="T2026" s="93" t="n"/>
      <c r="U2026" s="93" t="n"/>
      <c r="V2026" s="94" t="n"/>
      <c r="W2026" s="95" t="inlineStr">
        <is>
          <t>Sat</t>
        </is>
      </c>
      <c r="X2026" s="96" t="n"/>
      <c r="Y2026" s="95" t="inlineStr">
        <is>
          <t>Sun</t>
        </is>
      </c>
      <c r="Z2026" s="96" t="n"/>
      <c r="AB2026" s="97" t="inlineStr">
        <is>
          <t>Days rostered</t>
        </is>
      </c>
      <c r="AC2026" s="97" t="inlineStr">
        <is>
          <t>Conflicts</t>
        </is>
      </c>
    </row>
    <row r="2027" ht="15" customHeight="1">
      <c r="A2027" t="n">
        <v>41</v>
      </c>
      <c r="B2027" s="35">
        <f>IF(Setup!$B$6="","",Setup!$B$6)</f>
        <v/>
      </c>
      <c r="C2027" s="98" t="n"/>
      <c r="D2027" s="99" t="n"/>
      <c r="E2027" s="99" t="n"/>
      <c r="F2027" s="100" t="n"/>
      <c r="G2027" s="98" t="n"/>
      <c r="H2027" s="99" t="n"/>
      <c r="I2027" s="99" t="n"/>
      <c r="J2027" s="100" t="n"/>
      <c r="K2027" s="98" t="n"/>
      <c r="L2027" s="99" t="n"/>
      <c r="M2027" s="99" t="n"/>
      <c r="N2027" s="100" t="n"/>
      <c r="O2027" s="98" t="n"/>
      <c r="P2027" s="99" t="n"/>
      <c r="Q2027" s="99" t="n"/>
      <c r="R2027" s="100" t="n"/>
      <c r="S2027" s="98" t="n"/>
      <c r="T2027" s="99" t="n"/>
      <c r="U2027" s="99" t="n"/>
      <c r="V2027" s="100" t="n"/>
      <c r="W2027" s="98" t="n"/>
      <c r="X2027" s="100" t="n"/>
      <c r="Y2027" s="98" t="n"/>
      <c r="Z2027" s="100" t="n"/>
      <c r="AB2027" s="101">
        <f>IF($B2027="","",(COUNTIF(C2008:E2025,$B2027)+COUNTIF(C2008:E2025,$B2027&amp;" ~*")&gt;0)+(COUNTIF(G2008:I2025,$B2027)+COUNTIF(G2008:I2025,$B2027&amp;" ~*")&gt;0)+(COUNTIF(K2008:M2025,$B2027)+COUNTIF(K2008:M2025,$B2027&amp;" ~*")&gt;0)+(COUNTIF(O2008:Q2025,$B2027)+COUNTIF(O2008:Q2025,$B2027&amp;" ~*")&gt;0)+(COUNTIF(S2008:U2025,$B2027)+COUNTIF(S2008:U2025,$B2027&amp;" ~*")&gt;0)+(COUNTIF(W2008:W2025,$B2027)+COUNTIF(W2008:W2025,$B2027&amp;" ~*")&gt;0)+(COUNTIF(Y2008:Y2025,$B2027)+COUNTIF(Y2008:Y2025,$B2027&amp;" ~*")&gt;0))</f>
        <v/>
      </c>
      <c r="AC2027" s="36">
        <f>IF($B2027="","",(IFERROR(INDEX(Setup!$G$33:$G$40,MATCH(C2027,Setup!$B$33:$B$40,0)),0)=1)*(COUNTIF(C2008:E2025,$B2027)+COUNTIF(C2008:E2025,$B2027&amp;" ~*")&gt;0)+(IFERROR(INDEX(Setup!$G$33:$G$40,MATCH(G2027,Setup!$B$33:$B$40,0)),0)=1)*(COUNTIF(G2008:I2025,$B2027)+COUNTIF(G2008:I2025,$B2027&amp;" ~*")&gt;0)+(IFERROR(INDEX(Setup!$G$33:$G$40,MATCH(K2027,Setup!$B$33:$B$40,0)),0)=1)*(COUNTIF(K2008:M2025,$B2027)+COUNTIF(K2008:M2025,$B2027&amp;" ~*")&gt;0)+(IFERROR(INDEX(Setup!$G$33:$G$40,MATCH(O2027,Setup!$B$33:$B$40,0)),0)=1)*(COUNTIF(O2008:Q2025,$B2027)+COUNTIF(O2008:Q2025,$B2027&amp;" ~*")&gt;0)+(IFERROR(INDEX(Setup!$G$33:$G$40,MATCH(S2027,Setup!$B$33:$B$40,0)),0)=1)*(COUNTIF(S2008:U2025,$B2027)+COUNTIF(S2008:U2025,$B2027&amp;" ~*")&gt;0)+(IFERROR(INDEX(Setup!$G$33:$G$40,MATCH(W2027,Setup!$B$33:$B$40,0)),0)=1)*(COUNTIF(W2008:W2025,$B2027)+COUNTIF(W2008:W2025,$B2027&amp;" ~*")&gt;0)+(IFERROR(INDEX(Setup!$G$33:$G$40,MATCH(Y2027,Setup!$B$33:$B$40,0)),0)=1)*(COUNTIF(Y2008:Y2025,$B2027)+COUNTIF(Y2008:Y2025,$B2027&amp;" ~*")&gt;0))</f>
        <v/>
      </c>
    </row>
    <row r="2028" ht="15" customHeight="1">
      <c r="A2028" t="n">
        <v>41</v>
      </c>
      <c r="B2028" s="37">
        <f>IF(Setup!$B$7="","",Setup!$B$7)</f>
        <v/>
      </c>
      <c r="C2028" s="102" t="n"/>
      <c r="D2028" s="103" t="n"/>
      <c r="E2028" s="103" t="n"/>
      <c r="F2028" s="104" t="n"/>
      <c r="G2028" s="102" t="n"/>
      <c r="H2028" s="103" t="n"/>
      <c r="I2028" s="103" t="n"/>
      <c r="J2028" s="104" t="n"/>
      <c r="K2028" s="102" t="n"/>
      <c r="L2028" s="103" t="n"/>
      <c r="M2028" s="103" t="n"/>
      <c r="N2028" s="104" t="n"/>
      <c r="O2028" s="102" t="n"/>
      <c r="P2028" s="103" t="n"/>
      <c r="Q2028" s="103" t="n"/>
      <c r="R2028" s="104" t="n"/>
      <c r="S2028" s="102" t="n"/>
      <c r="T2028" s="103" t="n"/>
      <c r="U2028" s="103" t="n"/>
      <c r="V2028" s="104" t="n"/>
      <c r="W2028" s="102" t="n"/>
      <c r="X2028" s="104" t="n"/>
      <c r="Y2028" s="102" t="n"/>
      <c r="Z2028" s="104" t="n"/>
      <c r="AB2028" s="105">
        <f>IF($B2028="","",(COUNTIF(C2008:E2025,$B2028)+COUNTIF(C2008:E2025,$B2028&amp;" ~*")&gt;0)+(COUNTIF(G2008:I2025,$B2028)+COUNTIF(G2008:I2025,$B2028&amp;" ~*")&gt;0)+(COUNTIF(K2008:M2025,$B2028)+COUNTIF(K2008:M2025,$B2028&amp;" ~*")&gt;0)+(COUNTIF(O2008:Q2025,$B2028)+COUNTIF(O2008:Q2025,$B2028&amp;" ~*")&gt;0)+(COUNTIF(S2008:U2025,$B2028)+COUNTIF(S2008:U2025,$B2028&amp;" ~*")&gt;0)+(COUNTIF(W2008:W2025,$B2028)+COUNTIF(W2008:W2025,$B2028&amp;" ~*")&gt;0)+(COUNTIF(Y2008:Y2025,$B2028)+COUNTIF(Y2008:Y2025,$B2028&amp;" ~*")&gt;0))</f>
        <v/>
      </c>
      <c r="AC2028" s="38">
        <f>IF($B2028="","",(IFERROR(INDEX(Setup!$G$33:$G$40,MATCH(C2028,Setup!$B$33:$B$40,0)),0)=1)*(COUNTIF(C2008:E2025,$B2028)+COUNTIF(C2008:E2025,$B2028&amp;" ~*")&gt;0)+(IFERROR(INDEX(Setup!$G$33:$G$40,MATCH(G2028,Setup!$B$33:$B$40,0)),0)=1)*(COUNTIF(G2008:I2025,$B2028)+COUNTIF(G2008:I2025,$B2028&amp;" ~*")&gt;0)+(IFERROR(INDEX(Setup!$G$33:$G$40,MATCH(K2028,Setup!$B$33:$B$40,0)),0)=1)*(COUNTIF(K2008:M2025,$B2028)+COUNTIF(K2008:M2025,$B2028&amp;" ~*")&gt;0)+(IFERROR(INDEX(Setup!$G$33:$G$40,MATCH(O2028,Setup!$B$33:$B$40,0)),0)=1)*(COUNTIF(O2008:Q2025,$B2028)+COUNTIF(O2008:Q2025,$B2028&amp;" ~*")&gt;0)+(IFERROR(INDEX(Setup!$G$33:$G$40,MATCH(S2028,Setup!$B$33:$B$40,0)),0)=1)*(COUNTIF(S2008:U2025,$B2028)+COUNTIF(S2008:U2025,$B2028&amp;" ~*")&gt;0)+(IFERROR(INDEX(Setup!$G$33:$G$40,MATCH(W2028,Setup!$B$33:$B$40,0)),0)=1)*(COUNTIF(W2008:W2025,$B2028)+COUNTIF(W2008:W2025,$B2028&amp;" ~*")&gt;0)+(IFERROR(INDEX(Setup!$G$33:$G$40,MATCH(Y2028,Setup!$B$33:$B$40,0)),0)=1)*(COUNTIF(Y2008:Y2025,$B2028)+COUNTIF(Y2008:Y2025,$B2028&amp;" ~*")&gt;0))</f>
        <v/>
      </c>
    </row>
    <row r="2029" ht="15" customHeight="1">
      <c r="A2029" t="n">
        <v>41</v>
      </c>
      <c r="B2029" s="35">
        <f>IF(Setup!$B$8="","",Setup!$B$8)</f>
        <v/>
      </c>
      <c r="C2029" s="98" t="n"/>
      <c r="D2029" s="99" t="n"/>
      <c r="E2029" s="99" t="n"/>
      <c r="F2029" s="100" t="n"/>
      <c r="G2029" s="98" t="n"/>
      <c r="H2029" s="99" t="n"/>
      <c r="I2029" s="99" t="n"/>
      <c r="J2029" s="100" t="n"/>
      <c r="K2029" s="98" t="n"/>
      <c r="L2029" s="99" t="n"/>
      <c r="M2029" s="99" t="n"/>
      <c r="N2029" s="100" t="n"/>
      <c r="O2029" s="98" t="n"/>
      <c r="P2029" s="99" t="n"/>
      <c r="Q2029" s="99" t="n"/>
      <c r="R2029" s="100" t="n"/>
      <c r="S2029" s="98" t="n"/>
      <c r="T2029" s="99" t="n"/>
      <c r="U2029" s="99" t="n"/>
      <c r="V2029" s="100" t="n"/>
      <c r="W2029" s="98" t="n"/>
      <c r="X2029" s="100" t="n"/>
      <c r="Y2029" s="98" t="n"/>
      <c r="Z2029" s="100" t="n"/>
      <c r="AB2029" s="101">
        <f>IF($B2029="","",(COUNTIF(C2008:E2025,$B2029)+COUNTIF(C2008:E2025,$B2029&amp;" ~*")&gt;0)+(COUNTIF(G2008:I2025,$B2029)+COUNTIF(G2008:I2025,$B2029&amp;" ~*")&gt;0)+(COUNTIF(K2008:M2025,$B2029)+COUNTIF(K2008:M2025,$B2029&amp;" ~*")&gt;0)+(COUNTIF(O2008:Q2025,$B2029)+COUNTIF(O2008:Q2025,$B2029&amp;" ~*")&gt;0)+(COUNTIF(S2008:U2025,$B2029)+COUNTIF(S2008:U2025,$B2029&amp;" ~*")&gt;0)+(COUNTIF(W2008:W2025,$B2029)+COUNTIF(W2008:W2025,$B2029&amp;" ~*")&gt;0)+(COUNTIF(Y2008:Y2025,$B2029)+COUNTIF(Y2008:Y2025,$B2029&amp;" ~*")&gt;0))</f>
        <v/>
      </c>
      <c r="AC2029" s="36">
        <f>IF($B2029="","",(IFERROR(INDEX(Setup!$G$33:$G$40,MATCH(C2029,Setup!$B$33:$B$40,0)),0)=1)*(COUNTIF(C2008:E2025,$B2029)+COUNTIF(C2008:E2025,$B2029&amp;" ~*")&gt;0)+(IFERROR(INDEX(Setup!$G$33:$G$40,MATCH(G2029,Setup!$B$33:$B$40,0)),0)=1)*(COUNTIF(G2008:I2025,$B2029)+COUNTIF(G2008:I2025,$B2029&amp;" ~*")&gt;0)+(IFERROR(INDEX(Setup!$G$33:$G$40,MATCH(K2029,Setup!$B$33:$B$40,0)),0)=1)*(COUNTIF(K2008:M2025,$B2029)+COUNTIF(K2008:M2025,$B2029&amp;" ~*")&gt;0)+(IFERROR(INDEX(Setup!$G$33:$G$40,MATCH(O2029,Setup!$B$33:$B$40,0)),0)=1)*(COUNTIF(O2008:Q2025,$B2029)+COUNTIF(O2008:Q2025,$B2029&amp;" ~*")&gt;0)+(IFERROR(INDEX(Setup!$G$33:$G$40,MATCH(S2029,Setup!$B$33:$B$40,0)),0)=1)*(COUNTIF(S2008:U2025,$B2029)+COUNTIF(S2008:U2025,$B2029&amp;" ~*")&gt;0)+(IFERROR(INDEX(Setup!$G$33:$G$40,MATCH(W2029,Setup!$B$33:$B$40,0)),0)=1)*(COUNTIF(W2008:W2025,$B2029)+COUNTIF(W2008:W2025,$B2029&amp;" ~*")&gt;0)+(IFERROR(INDEX(Setup!$G$33:$G$40,MATCH(Y2029,Setup!$B$33:$B$40,0)),0)=1)*(COUNTIF(Y2008:Y2025,$B2029)+COUNTIF(Y2008:Y2025,$B2029&amp;" ~*")&gt;0))</f>
        <v/>
      </c>
    </row>
    <row r="2030" ht="15" customHeight="1">
      <c r="A2030" t="n">
        <v>41</v>
      </c>
      <c r="B2030" s="37">
        <f>IF(Setup!$B$9="","",Setup!$B$9)</f>
        <v/>
      </c>
      <c r="C2030" s="102" t="n"/>
      <c r="D2030" s="103" t="n"/>
      <c r="E2030" s="103" t="n"/>
      <c r="F2030" s="104" t="n"/>
      <c r="G2030" s="102" t="n"/>
      <c r="H2030" s="103" t="n"/>
      <c r="I2030" s="103" t="n"/>
      <c r="J2030" s="104" t="n"/>
      <c r="K2030" s="102" t="n"/>
      <c r="L2030" s="103" t="n"/>
      <c r="M2030" s="103" t="n"/>
      <c r="N2030" s="104" t="n"/>
      <c r="O2030" s="102" t="n"/>
      <c r="P2030" s="103" t="n"/>
      <c r="Q2030" s="103" t="n"/>
      <c r="R2030" s="104" t="n"/>
      <c r="S2030" s="102" t="n"/>
      <c r="T2030" s="103" t="n"/>
      <c r="U2030" s="103" t="n"/>
      <c r="V2030" s="104" t="n"/>
      <c r="W2030" s="102" t="n"/>
      <c r="X2030" s="104" t="n"/>
      <c r="Y2030" s="102" t="n"/>
      <c r="Z2030" s="104" t="n"/>
      <c r="AB2030" s="105">
        <f>IF($B2030="","",(COUNTIF(C2008:E2025,$B2030)+COUNTIF(C2008:E2025,$B2030&amp;" ~*")&gt;0)+(COUNTIF(G2008:I2025,$B2030)+COUNTIF(G2008:I2025,$B2030&amp;" ~*")&gt;0)+(COUNTIF(K2008:M2025,$B2030)+COUNTIF(K2008:M2025,$B2030&amp;" ~*")&gt;0)+(COUNTIF(O2008:Q2025,$B2030)+COUNTIF(O2008:Q2025,$B2030&amp;" ~*")&gt;0)+(COUNTIF(S2008:U2025,$B2030)+COUNTIF(S2008:U2025,$B2030&amp;" ~*")&gt;0)+(COUNTIF(W2008:W2025,$B2030)+COUNTIF(W2008:W2025,$B2030&amp;" ~*")&gt;0)+(COUNTIF(Y2008:Y2025,$B2030)+COUNTIF(Y2008:Y2025,$B2030&amp;" ~*")&gt;0))</f>
        <v/>
      </c>
      <c r="AC2030" s="38">
        <f>IF($B2030="","",(IFERROR(INDEX(Setup!$G$33:$G$40,MATCH(C2030,Setup!$B$33:$B$40,0)),0)=1)*(COUNTIF(C2008:E2025,$B2030)+COUNTIF(C2008:E2025,$B2030&amp;" ~*")&gt;0)+(IFERROR(INDEX(Setup!$G$33:$G$40,MATCH(G2030,Setup!$B$33:$B$40,0)),0)=1)*(COUNTIF(G2008:I2025,$B2030)+COUNTIF(G2008:I2025,$B2030&amp;" ~*")&gt;0)+(IFERROR(INDEX(Setup!$G$33:$G$40,MATCH(K2030,Setup!$B$33:$B$40,0)),0)=1)*(COUNTIF(K2008:M2025,$B2030)+COUNTIF(K2008:M2025,$B2030&amp;" ~*")&gt;0)+(IFERROR(INDEX(Setup!$G$33:$G$40,MATCH(O2030,Setup!$B$33:$B$40,0)),0)=1)*(COUNTIF(O2008:Q2025,$B2030)+COUNTIF(O2008:Q2025,$B2030&amp;" ~*")&gt;0)+(IFERROR(INDEX(Setup!$G$33:$G$40,MATCH(S2030,Setup!$B$33:$B$40,0)),0)=1)*(COUNTIF(S2008:U2025,$B2030)+COUNTIF(S2008:U2025,$B2030&amp;" ~*")&gt;0)+(IFERROR(INDEX(Setup!$G$33:$G$40,MATCH(W2030,Setup!$B$33:$B$40,0)),0)=1)*(COUNTIF(W2008:W2025,$B2030)+COUNTIF(W2008:W2025,$B2030&amp;" ~*")&gt;0)+(IFERROR(INDEX(Setup!$G$33:$G$40,MATCH(Y2030,Setup!$B$33:$B$40,0)),0)=1)*(COUNTIF(Y2008:Y2025,$B2030)+COUNTIF(Y2008:Y2025,$B2030&amp;" ~*")&gt;0))</f>
        <v/>
      </c>
    </row>
    <row r="2031" ht="15" customHeight="1">
      <c r="A2031" t="n">
        <v>41</v>
      </c>
      <c r="B2031" s="35">
        <f>IF(Setup!$B$10="","",Setup!$B$10)</f>
        <v/>
      </c>
      <c r="C2031" s="98" t="n"/>
      <c r="D2031" s="99" t="n"/>
      <c r="E2031" s="99" t="n"/>
      <c r="F2031" s="100" t="n"/>
      <c r="G2031" s="98" t="n"/>
      <c r="H2031" s="99" t="n"/>
      <c r="I2031" s="99" t="n"/>
      <c r="J2031" s="100" t="n"/>
      <c r="K2031" s="98" t="n"/>
      <c r="L2031" s="99" t="n"/>
      <c r="M2031" s="99" t="n"/>
      <c r="N2031" s="100" t="n"/>
      <c r="O2031" s="98" t="n"/>
      <c r="P2031" s="99" t="n"/>
      <c r="Q2031" s="99" t="n"/>
      <c r="R2031" s="100" t="n"/>
      <c r="S2031" s="98" t="n"/>
      <c r="T2031" s="99" t="n"/>
      <c r="U2031" s="99" t="n"/>
      <c r="V2031" s="100" t="n"/>
      <c r="W2031" s="98" t="n"/>
      <c r="X2031" s="100" t="n"/>
      <c r="Y2031" s="98" t="n"/>
      <c r="Z2031" s="100" t="n"/>
      <c r="AB2031" s="101">
        <f>IF($B2031="","",(COUNTIF(C2008:E2025,$B2031)+COUNTIF(C2008:E2025,$B2031&amp;" ~*")&gt;0)+(COUNTIF(G2008:I2025,$B2031)+COUNTIF(G2008:I2025,$B2031&amp;" ~*")&gt;0)+(COUNTIF(K2008:M2025,$B2031)+COUNTIF(K2008:M2025,$B2031&amp;" ~*")&gt;0)+(COUNTIF(O2008:Q2025,$B2031)+COUNTIF(O2008:Q2025,$B2031&amp;" ~*")&gt;0)+(COUNTIF(S2008:U2025,$B2031)+COUNTIF(S2008:U2025,$B2031&amp;" ~*")&gt;0)+(COUNTIF(W2008:W2025,$B2031)+COUNTIF(W2008:W2025,$B2031&amp;" ~*")&gt;0)+(COUNTIF(Y2008:Y2025,$B2031)+COUNTIF(Y2008:Y2025,$B2031&amp;" ~*")&gt;0))</f>
        <v/>
      </c>
      <c r="AC2031" s="36">
        <f>IF($B2031="","",(IFERROR(INDEX(Setup!$G$33:$G$40,MATCH(C2031,Setup!$B$33:$B$40,0)),0)=1)*(COUNTIF(C2008:E2025,$B2031)+COUNTIF(C2008:E2025,$B2031&amp;" ~*")&gt;0)+(IFERROR(INDEX(Setup!$G$33:$G$40,MATCH(G2031,Setup!$B$33:$B$40,0)),0)=1)*(COUNTIF(G2008:I2025,$B2031)+COUNTIF(G2008:I2025,$B2031&amp;" ~*")&gt;0)+(IFERROR(INDEX(Setup!$G$33:$G$40,MATCH(K2031,Setup!$B$33:$B$40,0)),0)=1)*(COUNTIF(K2008:M2025,$B2031)+COUNTIF(K2008:M2025,$B2031&amp;" ~*")&gt;0)+(IFERROR(INDEX(Setup!$G$33:$G$40,MATCH(O2031,Setup!$B$33:$B$40,0)),0)=1)*(COUNTIF(O2008:Q2025,$B2031)+COUNTIF(O2008:Q2025,$B2031&amp;" ~*")&gt;0)+(IFERROR(INDEX(Setup!$G$33:$G$40,MATCH(S2031,Setup!$B$33:$B$40,0)),0)=1)*(COUNTIF(S2008:U2025,$B2031)+COUNTIF(S2008:U2025,$B2031&amp;" ~*")&gt;0)+(IFERROR(INDEX(Setup!$G$33:$G$40,MATCH(W2031,Setup!$B$33:$B$40,0)),0)=1)*(COUNTIF(W2008:W2025,$B2031)+COUNTIF(W2008:W2025,$B2031&amp;" ~*")&gt;0)+(IFERROR(INDEX(Setup!$G$33:$G$40,MATCH(Y2031,Setup!$B$33:$B$40,0)),0)=1)*(COUNTIF(Y2008:Y2025,$B2031)+COUNTIF(Y2008:Y2025,$B2031&amp;" ~*")&gt;0))</f>
        <v/>
      </c>
    </row>
    <row r="2032" ht="15" customHeight="1">
      <c r="A2032" t="n">
        <v>41</v>
      </c>
      <c r="B2032" s="37">
        <f>IF(Setup!$B$11="","",Setup!$B$11)</f>
        <v/>
      </c>
      <c r="C2032" s="102" t="n"/>
      <c r="D2032" s="103" t="n"/>
      <c r="E2032" s="103" t="n"/>
      <c r="F2032" s="104" t="n"/>
      <c r="G2032" s="102" t="n"/>
      <c r="H2032" s="103" t="n"/>
      <c r="I2032" s="103" t="n"/>
      <c r="J2032" s="104" t="n"/>
      <c r="K2032" s="102" t="n"/>
      <c r="L2032" s="103" t="n"/>
      <c r="M2032" s="103" t="n"/>
      <c r="N2032" s="104" t="n"/>
      <c r="O2032" s="102" t="n"/>
      <c r="P2032" s="103" t="n"/>
      <c r="Q2032" s="103" t="n"/>
      <c r="R2032" s="104" t="n"/>
      <c r="S2032" s="102" t="n"/>
      <c r="T2032" s="103" t="n"/>
      <c r="U2032" s="103" t="n"/>
      <c r="V2032" s="104" t="n"/>
      <c r="W2032" s="102" t="n"/>
      <c r="X2032" s="104" t="n"/>
      <c r="Y2032" s="102" t="n"/>
      <c r="Z2032" s="104" t="n"/>
      <c r="AB2032" s="105">
        <f>IF($B2032="","",(COUNTIF(C2008:E2025,$B2032)+COUNTIF(C2008:E2025,$B2032&amp;" ~*")&gt;0)+(COUNTIF(G2008:I2025,$B2032)+COUNTIF(G2008:I2025,$B2032&amp;" ~*")&gt;0)+(COUNTIF(K2008:M2025,$B2032)+COUNTIF(K2008:M2025,$B2032&amp;" ~*")&gt;0)+(COUNTIF(O2008:Q2025,$B2032)+COUNTIF(O2008:Q2025,$B2032&amp;" ~*")&gt;0)+(COUNTIF(S2008:U2025,$B2032)+COUNTIF(S2008:U2025,$B2032&amp;" ~*")&gt;0)+(COUNTIF(W2008:W2025,$B2032)+COUNTIF(W2008:W2025,$B2032&amp;" ~*")&gt;0)+(COUNTIF(Y2008:Y2025,$B2032)+COUNTIF(Y2008:Y2025,$B2032&amp;" ~*")&gt;0))</f>
        <v/>
      </c>
      <c r="AC2032" s="38">
        <f>IF($B2032="","",(IFERROR(INDEX(Setup!$G$33:$G$40,MATCH(C2032,Setup!$B$33:$B$40,0)),0)=1)*(COUNTIF(C2008:E2025,$B2032)+COUNTIF(C2008:E2025,$B2032&amp;" ~*")&gt;0)+(IFERROR(INDEX(Setup!$G$33:$G$40,MATCH(G2032,Setup!$B$33:$B$40,0)),0)=1)*(COUNTIF(G2008:I2025,$B2032)+COUNTIF(G2008:I2025,$B2032&amp;" ~*")&gt;0)+(IFERROR(INDEX(Setup!$G$33:$G$40,MATCH(K2032,Setup!$B$33:$B$40,0)),0)=1)*(COUNTIF(K2008:M2025,$B2032)+COUNTIF(K2008:M2025,$B2032&amp;" ~*")&gt;0)+(IFERROR(INDEX(Setup!$G$33:$G$40,MATCH(O2032,Setup!$B$33:$B$40,0)),0)=1)*(COUNTIF(O2008:Q2025,$B2032)+COUNTIF(O2008:Q2025,$B2032&amp;" ~*")&gt;0)+(IFERROR(INDEX(Setup!$G$33:$G$40,MATCH(S2032,Setup!$B$33:$B$40,0)),0)=1)*(COUNTIF(S2008:U2025,$B2032)+COUNTIF(S2008:U2025,$B2032&amp;" ~*")&gt;0)+(IFERROR(INDEX(Setup!$G$33:$G$40,MATCH(W2032,Setup!$B$33:$B$40,0)),0)=1)*(COUNTIF(W2008:W2025,$B2032)+COUNTIF(W2008:W2025,$B2032&amp;" ~*")&gt;0)+(IFERROR(INDEX(Setup!$G$33:$G$40,MATCH(Y2032,Setup!$B$33:$B$40,0)),0)=1)*(COUNTIF(Y2008:Y2025,$B2032)+COUNTIF(Y2008:Y2025,$B2032&amp;" ~*")&gt;0))</f>
        <v/>
      </c>
    </row>
    <row r="2033" ht="15" customHeight="1">
      <c r="A2033" t="n">
        <v>41</v>
      </c>
      <c r="B2033" s="35">
        <f>IF(Setup!$B$12="","",Setup!$B$12)</f>
        <v/>
      </c>
      <c r="C2033" s="98" t="n"/>
      <c r="D2033" s="99" t="n"/>
      <c r="E2033" s="99" t="n"/>
      <c r="F2033" s="100" t="n"/>
      <c r="G2033" s="98" t="n"/>
      <c r="H2033" s="99" t="n"/>
      <c r="I2033" s="99" t="n"/>
      <c r="J2033" s="100" t="n"/>
      <c r="K2033" s="98" t="n"/>
      <c r="L2033" s="99" t="n"/>
      <c r="M2033" s="99" t="n"/>
      <c r="N2033" s="100" t="n"/>
      <c r="O2033" s="98" t="n"/>
      <c r="P2033" s="99" t="n"/>
      <c r="Q2033" s="99" t="n"/>
      <c r="R2033" s="100" t="n"/>
      <c r="S2033" s="98" t="n"/>
      <c r="T2033" s="99" t="n"/>
      <c r="U2033" s="99" t="n"/>
      <c r="V2033" s="100" t="n"/>
      <c r="W2033" s="98" t="n"/>
      <c r="X2033" s="100" t="n"/>
      <c r="Y2033" s="98" t="n"/>
      <c r="Z2033" s="100" t="n"/>
      <c r="AB2033" s="101">
        <f>IF($B2033="","",(COUNTIF(C2008:E2025,$B2033)+COUNTIF(C2008:E2025,$B2033&amp;" ~*")&gt;0)+(COUNTIF(G2008:I2025,$B2033)+COUNTIF(G2008:I2025,$B2033&amp;" ~*")&gt;0)+(COUNTIF(K2008:M2025,$B2033)+COUNTIF(K2008:M2025,$B2033&amp;" ~*")&gt;0)+(COUNTIF(O2008:Q2025,$B2033)+COUNTIF(O2008:Q2025,$B2033&amp;" ~*")&gt;0)+(COUNTIF(S2008:U2025,$B2033)+COUNTIF(S2008:U2025,$B2033&amp;" ~*")&gt;0)+(COUNTIF(W2008:W2025,$B2033)+COUNTIF(W2008:W2025,$B2033&amp;" ~*")&gt;0)+(COUNTIF(Y2008:Y2025,$B2033)+COUNTIF(Y2008:Y2025,$B2033&amp;" ~*")&gt;0))</f>
        <v/>
      </c>
      <c r="AC2033" s="36">
        <f>IF($B2033="","",(IFERROR(INDEX(Setup!$G$33:$G$40,MATCH(C2033,Setup!$B$33:$B$40,0)),0)=1)*(COUNTIF(C2008:E2025,$B2033)+COUNTIF(C2008:E2025,$B2033&amp;" ~*")&gt;0)+(IFERROR(INDEX(Setup!$G$33:$G$40,MATCH(G2033,Setup!$B$33:$B$40,0)),0)=1)*(COUNTIF(G2008:I2025,$B2033)+COUNTIF(G2008:I2025,$B2033&amp;" ~*")&gt;0)+(IFERROR(INDEX(Setup!$G$33:$G$40,MATCH(K2033,Setup!$B$33:$B$40,0)),0)=1)*(COUNTIF(K2008:M2025,$B2033)+COUNTIF(K2008:M2025,$B2033&amp;" ~*")&gt;0)+(IFERROR(INDEX(Setup!$G$33:$G$40,MATCH(O2033,Setup!$B$33:$B$40,0)),0)=1)*(COUNTIF(O2008:Q2025,$B2033)+COUNTIF(O2008:Q2025,$B2033&amp;" ~*")&gt;0)+(IFERROR(INDEX(Setup!$G$33:$G$40,MATCH(S2033,Setup!$B$33:$B$40,0)),0)=1)*(COUNTIF(S2008:U2025,$B2033)+COUNTIF(S2008:U2025,$B2033&amp;" ~*")&gt;0)+(IFERROR(INDEX(Setup!$G$33:$G$40,MATCH(W2033,Setup!$B$33:$B$40,0)),0)=1)*(COUNTIF(W2008:W2025,$B2033)+COUNTIF(W2008:W2025,$B2033&amp;" ~*")&gt;0)+(IFERROR(INDEX(Setup!$G$33:$G$40,MATCH(Y2033,Setup!$B$33:$B$40,0)),0)=1)*(COUNTIF(Y2008:Y2025,$B2033)+COUNTIF(Y2008:Y2025,$B2033&amp;" ~*")&gt;0))</f>
        <v/>
      </c>
    </row>
    <row r="2034" ht="15" customHeight="1">
      <c r="A2034" t="n">
        <v>41</v>
      </c>
      <c r="B2034" s="37">
        <f>IF(Setup!$B$13="","",Setup!$B$13)</f>
        <v/>
      </c>
      <c r="C2034" s="102" t="n"/>
      <c r="D2034" s="103" t="n"/>
      <c r="E2034" s="103" t="n"/>
      <c r="F2034" s="104" t="n"/>
      <c r="G2034" s="102" t="n"/>
      <c r="H2034" s="103" t="n"/>
      <c r="I2034" s="103" t="n"/>
      <c r="J2034" s="104" t="n"/>
      <c r="K2034" s="102" t="n"/>
      <c r="L2034" s="103" t="n"/>
      <c r="M2034" s="103" t="n"/>
      <c r="N2034" s="104" t="n"/>
      <c r="O2034" s="102" t="n"/>
      <c r="P2034" s="103" t="n"/>
      <c r="Q2034" s="103" t="n"/>
      <c r="R2034" s="104" t="n"/>
      <c r="S2034" s="102" t="n"/>
      <c r="T2034" s="103" t="n"/>
      <c r="U2034" s="103" t="n"/>
      <c r="V2034" s="104" t="n"/>
      <c r="W2034" s="102" t="n"/>
      <c r="X2034" s="104" t="n"/>
      <c r="Y2034" s="102" t="n"/>
      <c r="Z2034" s="104" t="n"/>
      <c r="AB2034" s="105">
        <f>IF($B2034="","",(COUNTIF(C2008:E2025,$B2034)+COUNTIF(C2008:E2025,$B2034&amp;" ~*")&gt;0)+(COUNTIF(G2008:I2025,$B2034)+COUNTIF(G2008:I2025,$B2034&amp;" ~*")&gt;0)+(COUNTIF(K2008:M2025,$B2034)+COUNTIF(K2008:M2025,$B2034&amp;" ~*")&gt;0)+(COUNTIF(O2008:Q2025,$B2034)+COUNTIF(O2008:Q2025,$B2034&amp;" ~*")&gt;0)+(COUNTIF(S2008:U2025,$B2034)+COUNTIF(S2008:U2025,$B2034&amp;" ~*")&gt;0)+(COUNTIF(W2008:W2025,$B2034)+COUNTIF(W2008:W2025,$B2034&amp;" ~*")&gt;0)+(COUNTIF(Y2008:Y2025,$B2034)+COUNTIF(Y2008:Y2025,$B2034&amp;" ~*")&gt;0))</f>
        <v/>
      </c>
      <c r="AC2034" s="38">
        <f>IF($B2034="","",(IFERROR(INDEX(Setup!$G$33:$G$40,MATCH(C2034,Setup!$B$33:$B$40,0)),0)=1)*(COUNTIF(C2008:E2025,$B2034)+COUNTIF(C2008:E2025,$B2034&amp;" ~*")&gt;0)+(IFERROR(INDEX(Setup!$G$33:$G$40,MATCH(G2034,Setup!$B$33:$B$40,0)),0)=1)*(COUNTIF(G2008:I2025,$B2034)+COUNTIF(G2008:I2025,$B2034&amp;" ~*")&gt;0)+(IFERROR(INDEX(Setup!$G$33:$G$40,MATCH(K2034,Setup!$B$33:$B$40,0)),0)=1)*(COUNTIF(K2008:M2025,$B2034)+COUNTIF(K2008:M2025,$B2034&amp;" ~*")&gt;0)+(IFERROR(INDEX(Setup!$G$33:$G$40,MATCH(O2034,Setup!$B$33:$B$40,0)),0)=1)*(COUNTIF(O2008:Q2025,$B2034)+COUNTIF(O2008:Q2025,$B2034&amp;" ~*")&gt;0)+(IFERROR(INDEX(Setup!$G$33:$G$40,MATCH(S2034,Setup!$B$33:$B$40,0)),0)=1)*(COUNTIF(S2008:U2025,$B2034)+COUNTIF(S2008:U2025,$B2034&amp;" ~*")&gt;0)+(IFERROR(INDEX(Setup!$G$33:$G$40,MATCH(W2034,Setup!$B$33:$B$40,0)),0)=1)*(COUNTIF(W2008:W2025,$B2034)+COUNTIF(W2008:W2025,$B2034&amp;" ~*")&gt;0)+(IFERROR(INDEX(Setup!$G$33:$G$40,MATCH(Y2034,Setup!$B$33:$B$40,0)),0)=1)*(COUNTIF(Y2008:Y2025,$B2034)+COUNTIF(Y2008:Y2025,$B2034&amp;" ~*")&gt;0))</f>
        <v/>
      </c>
    </row>
    <row r="2035" ht="15" customHeight="1">
      <c r="A2035" t="n">
        <v>41</v>
      </c>
      <c r="B2035" s="35">
        <f>IF(Setup!$B$14="","",Setup!$B$14)</f>
        <v/>
      </c>
      <c r="C2035" s="98" t="n"/>
      <c r="D2035" s="99" t="n"/>
      <c r="E2035" s="99" t="n"/>
      <c r="F2035" s="100" t="n"/>
      <c r="G2035" s="98" t="n"/>
      <c r="H2035" s="99" t="n"/>
      <c r="I2035" s="99" t="n"/>
      <c r="J2035" s="100" t="n"/>
      <c r="K2035" s="98" t="n"/>
      <c r="L2035" s="99" t="n"/>
      <c r="M2035" s="99" t="n"/>
      <c r="N2035" s="100" t="n"/>
      <c r="O2035" s="98" t="n"/>
      <c r="P2035" s="99" t="n"/>
      <c r="Q2035" s="99" t="n"/>
      <c r="R2035" s="100" t="n"/>
      <c r="S2035" s="98" t="n"/>
      <c r="T2035" s="99" t="n"/>
      <c r="U2035" s="99" t="n"/>
      <c r="V2035" s="100" t="n"/>
      <c r="W2035" s="98" t="n"/>
      <c r="X2035" s="100" t="n"/>
      <c r="Y2035" s="98" t="n"/>
      <c r="Z2035" s="100" t="n"/>
      <c r="AB2035" s="101">
        <f>IF($B2035="","",(COUNTIF(C2008:E2025,$B2035)+COUNTIF(C2008:E2025,$B2035&amp;" ~*")&gt;0)+(COUNTIF(G2008:I2025,$B2035)+COUNTIF(G2008:I2025,$B2035&amp;" ~*")&gt;0)+(COUNTIF(K2008:M2025,$B2035)+COUNTIF(K2008:M2025,$B2035&amp;" ~*")&gt;0)+(COUNTIF(O2008:Q2025,$B2035)+COUNTIF(O2008:Q2025,$B2035&amp;" ~*")&gt;0)+(COUNTIF(S2008:U2025,$B2035)+COUNTIF(S2008:U2025,$B2035&amp;" ~*")&gt;0)+(COUNTIF(W2008:W2025,$B2035)+COUNTIF(W2008:W2025,$B2035&amp;" ~*")&gt;0)+(COUNTIF(Y2008:Y2025,$B2035)+COUNTIF(Y2008:Y2025,$B2035&amp;" ~*")&gt;0))</f>
        <v/>
      </c>
      <c r="AC2035" s="36">
        <f>IF($B2035="","",(IFERROR(INDEX(Setup!$G$33:$G$40,MATCH(C2035,Setup!$B$33:$B$40,0)),0)=1)*(COUNTIF(C2008:E2025,$B2035)+COUNTIF(C2008:E2025,$B2035&amp;" ~*")&gt;0)+(IFERROR(INDEX(Setup!$G$33:$G$40,MATCH(G2035,Setup!$B$33:$B$40,0)),0)=1)*(COUNTIF(G2008:I2025,$B2035)+COUNTIF(G2008:I2025,$B2035&amp;" ~*")&gt;0)+(IFERROR(INDEX(Setup!$G$33:$G$40,MATCH(K2035,Setup!$B$33:$B$40,0)),0)=1)*(COUNTIF(K2008:M2025,$B2035)+COUNTIF(K2008:M2025,$B2035&amp;" ~*")&gt;0)+(IFERROR(INDEX(Setup!$G$33:$G$40,MATCH(O2035,Setup!$B$33:$B$40,0)),0)=1)*(COUNTIF(O2008:Q2025,$B2035)+COUNTIF(O2008:Q2025,$B2035&amp;" ~*")&gt;0)+(IFERROR(INDEX(Setup!$G$33:$G$40,MATCH(S2035,Setup!$B$33:$B$40,0)),0)=1)*(COUNTIF(S2008:U2025,$B2035)+COUNTIF(S2008:U2025,$B2035&amp;" ~*")&gt;0)+(IFERROR(INDEX(Setup!$G$33:$G$40,MATCH(W2035,Setup!$B$33:$B$40,0)),0)=1)*(COUNTIF(W2008:W2025,$B2035)+COUNTIF(W2008:W2025,$B2035&amp;" ~*")&gt;0)+(IFERROR(INDEX(Setup!$G$33:$G$40,MATCH(Y2035,Setup!$B$33:$B$40,0)),0)=1)*(COUNTIF(Y2008:Y2025,$B2035)+COUNTIF(Y2008:Y2025,$B2035&amp;" ~*")&gt;0))</f>
        <v/>
      </c>
    </row>
    <row r="2036" ht="15" customHeight="1">
      <c r="A2036" t="n">
        <v>41</v>
      </c>
      <c r="B2036" s="37">
        <f>IF(Setup!$B$15="","",Setup!$B$15)</f>
        <v/>
      </c>
      <c r="C2036" s="102" t="n"/>
      <c r="D2036" s="103" t="n"/>
      <c r="E2036" s="103" t="n"/>
      <c r="F2036" s="104" t="n"/>
      <c r="G2036" s="102" t="n"/>
      <c r="H2036" s="103" t="n"/>
      <c r="I2036" s="103" t="n"/>
      <c r="J2036" s="104" t="n"/>
      <c r="K2036" s="102" t="n"/>
      <c r="L2036" s="103" t="n"/>
      <c r="M2036" s="103" t="n"/>
      <c r="N2036" s="104" t="n"/>
      <c r="O2036" s="102" t="n"/>
      <c r="P2036" s="103" t="n"/>
      <c r="Q2036" s="103" t="n"/>
      <c r="R2036" s="104" t="n"/>
      <c r="S2036" s="102" t="n"/>
      <c r="T2036" s="103" t="n"/>
      <c r="U2036" s="103" t="n"/>
      <c r="V2036" s="104" t="n"/>
      <c r="W2036" s="102" t="n"/>
      <c r="X2036" s="104" t="n"/>
      <c r="Y2036" s="102" t="n"/>
      <c r="Z2036" s="104" t="n"/>
      <c r="AB2036" s="105">
        <f>IF($B2036="","",(COUNTIF(C2008:E2025,$B2036)+COUNTIF(C2008:E2025,$B2036&amp;" ~*")&gt;0)+(COUNTIF(G2008:I2025,$B2036)+COUNTIF(G2008:I2025,$B2036&amp;" ~*")&gt;0)+(COUNTIF(K2008:M2025,$B2036)+COUNTIF(K2008:M2025,$B2036&amp;" ~*")&gt;0)+(COUNTIF(O2008:Q2025,$B2036)+COUNTIF(O2008:Q2025,$B2036&amp;" ~*")&gt;0)+(COUNTIF(S2008:U2025,$B2036)+COUNTIF(S2008:U2025,$B2036&amp;" ~*")&gt;0)+(COUNTIF(W2008:W2025,$B2036)+COUNTIF(W2008:W2025,$B2036&amp;" ~*")&gt;0)+(COUNTIF(Y2008:Y2025,$B2036)+COUNTIF(Y2008:Y2025,$B2036&amp;" ~*")&gt;0))</f>
        <v/>
      </c>
      <c r="AC2036" s="38">
        <f>IF($B2036="","",(IFERROR(INDEX(Setup!$G$33:$G$40,MATCH(C2036,Setup!$B$33:$B$40,0)),0)=1)*(COUNTIF(C2008:E2025,$B2036)+COUNTIF(C2008:E2025,$B2036&amp;" ~*")&gt;0)+(IFERROR(INDEX(Setup!$G$33:$G$40,MATCH(G2036,Setup!$B$33:$B$40,0)),0)=1)*(COUNTIF(G2008:I2025,$B2036)+COUNTIF(G2008:I2025,$B2036&amp;" ~*")&gt;0)+(IFERROR(INDEX(Setup!$G$33:$G$40,MATCH(K2036,Setup!$B$33:$B$40,0)),0)=1)*(COUNTIF(K2008:M2025,$B2036)+COUNTIF(K2008:M2025,$B2036&amp;" ~*")&gt;0)+(IFERROR(INDEX(Setup!$G$33:$G$40,MATCH(O2036,Setup!$B$33:$B$40,0)),0)=1)*(COUNTIF(O2008:Q2025,$B2036)+COUNTIF(O2008:Q2025,$B2036&amp;" ~*")&gt;0)+(IFERROR(INDEX(Setup!$G$33:$G$40,MATCH(S2036,Setup!$B$33:$B$40,0)),0)=1)*(COUNTIF(S2008:U2025,$B2036)+COUNTIF(S2008:U2025,$B2036&amp;" ~*")&gt;0)+(IFERROR(INDEX(Setup!$G$33:$G$40,MATCH(W2036,Setup!$B$33:$B$40,0)),0)=1)*(COUNTIF(W2008:W2025,$B2036)+COUNTIF(W2008:W2025,$B2036&amp;" ~*")&gt;0)+(IFERROR(INDEX(Setup!$G$33:$G$40,MATCH(Y2036,Setup!$B$33:$B$40,0)),0)=1)*(COUNTIF(Y2008:Y2025,$B2036)+COUNTIF(Y2008:Y2025,$B2036&amp;" ~*")&gt;0))</f>
        <v/>
      </c>
    </row>
    <row r="2037" ht="15" customHeight="1">
      <c r="A2037" t="n">
        <v>41</v>
      </c>
      <c r="B2037" s="35">
        <f>IF(Setup!$B$16="","",Setup!$B$16)</f>
        <v/>
      </c>
      <c r="C2037" s="98" t="n"/>
      <c r="D2037" s="99" t="n"/>
      <c r="E2037" s="99" t="n"/>
      <c r="F2037" s="100" t="n"/>
      <c r="G2037" s="98" t="n"/>
      <c r="H2037" s="99" t="n"/>
      <c r="I2037" s="99" t="n"/>
      <c r="J2037" s="100" t="n"/>
      <c r="K2037" s="98" t="n"/>
      <c r="L2037" s="99" t="n"/>
      <c r="M2037" s="99" t="n"/>
      <c r="N2037" s="100" t="n"/>
      <c r="O2037" s="98" t="n"/>
      <c r="P2037" s="99" t="n"/>
      <c r="Q2037" s="99" t="n"/>
      <c r="R2037" s="100" t="n"/>
      <c r="S2037" s="98" t="n"/>
      <c r="T2037" s="99" t="n"/>
      <c r="U2037" s="99" t="n"/>
      <c r="V2037" s="100" t="n"/>
      <c r="W2037" s="98" t="n"/>
      <c r="X2037" s="100" t="n"/>
      <c r="Y2037" s="98" t="n"/>
      <c r="Z2037" s="100" t="n"/>
      <c r="AB2037" s="101">
        <f>IF($B2037="","",(COUNTIF(C2008:E2025,$B2037)+COUNTIF(C2008:E2025,$B2037&amp;" ~*")&gt;0)+(COUNTIF(G2008:I2025,$B2037)+COUNTIF(G2008:I2025,$B2037&amp;" ~*")&gt;0)+(COUNTIF(K2008:M2025,$B2037)+COUNTIF(K2008:M2025,$B2037&amp;" ~*")&gt;0)+(COUNTIF(O2008:Q2025,$B2037)+COUNTIF(O2008:Q2025,$B2037&amp;" ~*")&gt;0)+(COUNTIF(S2008:U2025,$B2037)+COUNTIF(S2008:U2025,$B2037&amp;" ~*")&gt;0)+(COUNTIF(W2008:W2025,$B2037)+COUNTIF(W2008:W2025,$B2037&amp;" ~*")&gt;0)+(COUNTIF(Y2008:Y2025,$B2037)+COUNTIF(Y2008:Y2025,$B2037&amp;" ~*")&gt;0))</f>
        <v/>
      </c>
      <c r="AC2037" s="36">
        <f>IF($B2037="","",(IFERROR(INDEX(Setup!$G$33:$G$40,MATCH(C2037,Setup!$B$33:$B$40,0)),0)=1)*(COUNTIF(C2008:E2025,$B2037)+COUNTIF(C2008:E2025,$B2037&amp;" ~*")&gt;0)+(IFERROR(INDEX(Setup!$G$33:$G$40,MATCH(G2037,Setup!$B$33:$B$40,0)),0)=1)*(COUNTIF(G2008:I2025,$B2037)+COUNTIF(G2008:I2025,$B2037&amp;" ~*")&gt;0)+(IFERROR(INDEX(Setup!$G$33:$G$40,MATCH(K2037,Setup!$B$33:$B$40,0)),0)=1)*(COUNTIF(K2008:M2025,$B2037)+COUNTIF(K2008:M2025,$B2037&amp;" ~*")&gt;0)+(IFERROR(INDEX(Setup!$G$33:$G$40,MATCH(O2037,Setup!$B$33:$B$40,0)),0)=1)*(COUNTIF(O2008:Q2025,$B2037)+COUNTIF(O2008:Q2025,$B2037&amp;" ~*")&gt;0)+(IFERROR(INDEX(Setup!$G$33:$G$40,MATCH(S2037,Setup!$B$33:$B$40,0)),0)=1)*(COUNTIF(S2008:U2025,$B2037)+COUNTIF(S2008:U2025,$B2037&amp;" ~*")&gt;0)+(IFERROR(INDEX(Setup!$G$33:$G$40,MATCH(W2037,Setup!$B$33:$B$40,0)),0)=1)*(COUNTIF(W2008:W2025,$B2037)+COUNTIF(W2008:W2025,$B2037&amp;" ~*")&gt;0)+(IFERROR(INDEX(Setup!$G$33:$G$40,MATCH(Y2037,Setup!$B$33:$B$40,0)),0)=1)*(COUNTIF(Y2008:Y2025,$B2037)+COUNTIF(Y2008:Y2025,$B2037&amp;" ~*")&gt;0))</f>
        <v/>
      </c>
    </row>
    <row r="2038" ht="15" customHeight="1">
      <c r="A2038" t="n">
        <v>41</v>
      </c>
      <c r="B2038" s="37">
        <f>IF(Setup!$B$17="","",Setup!$B$17)</f>
        <v/>
      </c>
      <c r="C2038" s="102" t="n"/>
      <c r="D2038" s="103" t="n"/>
      <c r="E2038" s="103" t="n"/>
      <c r="F2038" s="104" t="n"/>
      <c r="G2038" s="102" t="n"/>
      <c r="H2038" s="103" t="n"/>
      <c r="I2038" s="103" t="n"/>
      <c r="J2038" s="104" t="n"/>
      <c r="K2038" s="102" t="n"/>
      <c r="L2038" s="103" t="n"/>
      <c r="M2038" s="103" t="n"/>
      <c r="N2038" s="104" t="n"/>
      <c r="O2038" s="102" t="n"/>
      <c r="P2038" s="103" t="n"/>
      <c r="Q2038" s="103" t="n"/>
      <c r="R2038" s="104" t="n"/>
      <c r="S2038" s="102" t="n"/>
      <c r="T2038" s="103" t="n"/>
      <c r="U2038" s="103" t="n"/>
      <c r="V2038" s="104" t="n"/>
      <c r="W2038" s="102" t="n"/>
      <c r="X2038" s="104" t="n"/>
      <c r="Y2038" s="102" t="n"/>
      <c r="Z2038" s="104" t="n"/>
      <c r="AB2038" s="105">
        <f>IF($B2038="","",(COUNTIF(C2008:E2025,$B2038)+COUNTIF(C2008:E2025,$B2038&amp;" ~*")&gt;0)+(COUNTIF(G2008:I2025,$B2038)+COUNTIF(G2008:I2025,$B2038&amp;" ~*")&gt;0)+(COUNTIF(K2008:M2025,$B2038)+COUNTIF(K2008:M2025,$B2038&amp;" ~*")&gt;0)+(COUNTIF(O2008:Q2025,$B2038)+COUNTIF(O2008:Q2025,$B2038&amp;" ~*")&gt;0)+(COUNTIF(S2008:U2025,$B2038)+COUNTIF(S2008:U2025,$B2038&amp;" ~*")&gt;0)+(COUNTIF(W2008:W2025,$B2038)+COUNTIF(W2008:W2025,$B2038&amp;" ~*")&gt;0)+(COUNTIF(Y2008:Y2025,$B2038)+COUNTIF(Y2008:Y2025,$B2038&amp;" ~*")&gt;0))</f>
        <v/>
      </c>
      <c r="AC2038" s="38">
        <f>IF($B2038="","",(IFERROR(INDEX(Setup!$G$33:$G$40,MATCH(C2038,Setup!$B$33:$B$40,0)),0)=1)*(COUNTIF(C2008:E2025,$B2038)+COUNTIF(C2008:E2025,$B2038&amp;" ~*")&gt;0)+(IFERROR(INDEX(Setup!$G$33:$G$40,MATCH(G2038,Setup!$B$33:$B$40,0)),0)=1)*(COUNTIF(G2008:I2025,$B2038)+COUNTIF(G2008:I2025,$B2038&amp;" ~*")&gt;0)+(IFERROR(INDEX(Setup!$G$33:$G$40,MATCH(K2038,Setup!$B$33:$B$40,0)),0)=1)*(COUNTIF(K2008:M2025,$B2038)+COUNTIF(K2008:M2025,$B2038&amp;" ~*")&gt;0)+(IFERROR(INDEX(Setup!$G$33:$G$40,MATCH(O2038,Setup!$B$33:$B$40,0)),0)=1)*(COUNTIF(O2008:Q2025,$B2038)+COUNTIF(O2008:Q2025,$B2038&amp;" ~*")&gt;0)+(IFERROR(INDEX(Setup!$G$33:$G$40,MATCH(S2038,Setup!$B$33:$B$40,0)),0)=1)*(COUNTIF(S2008:U2025,$B2038)+COUNTIF(S2008:U2025,$B2038&amp;" ~*")&gt;0)+(IFERROR(INDEX(Setup!$G$33:$G$40,MATCH(W2038,Setup!$B$33:$B$40,0)),0)=1)*(COUNTIF(W2008:W2025,$B2038)+COUNTIF(W2008:W2025,$B2038&amp;" ~*")&gt;0)+(IFERROR(INDEX(Setup!$G$33:$G$40,MATCH(Y2038,Setup!$B$33:$B$40,0)),0)=1)*(COUNTIF(Y2008:Y2025,$B2038)+COUNTIF(Y2008:Y2025,$B2038&amp;" ~*")&gt;0))</f>
        <v/>
      </c>
    </row>
    <row r="2039" ht="15" customHeight="1">
      <c r="A2039" t="n">
        <v>41</v>
      </c>
      <c r="B2039" s="35">
        <f>IF(Setup!$B$18="","",Setup!$B$18)</f>
        <v/>
      </c>
      <c r="C2039" s="98" t="n"/>
      <c r="D2039" s="99" t="n"/>
      <c r="E2039" s="99" t="n"/>
      <c r="F2039" s="100" t="n"/>
      <c r="G2039" s="98" t="n"/>
      <c r="H2039" s="99" t="n"/>
      <c r="I2039" s="99" t="n"/>
      <c r="J2039" s="100" t="n"/>
      <c r="K2039" s="98" t="n"/>
      <c r="L2039" s="99" t="n"/>
      <c r="M2039" s="99" t="n"/>
      <c r="N2039" s="100" t="n"/>
      <c r="O2039" s="98" t="n"/>
      <c r="P2039" s="99" t="n"/>
      <c r="Q2039" s="99" t="n"/>
      <c r="R2039" s="100" t="n"/>
      <c r="S2039" s="98" t="n"/>
      <c r="T2039" s="99" t="n"/>
      <c r="U2039" s="99" t="n"/>
      <c r="V2039" s="100" t="n"/>
      <c r="W2039" s="98" t="n"/>
      <c r="X2039" s="100" t="n"/>
      <c r="Y2039" s="98" t="n"/>
      <c r="Z2039" s="100" t="n"/>
      <c r="AB2039" s="101">
        <f>IF($B2039="","",(COUNTIF(C2008:E2025,$B2039)+COUNTIF(C2008:E2025,$B2039&amp;" ~*")&gt;0)+(COUNTIF(G2008:I2025,$B2039)+COUNTIF(G2008:I2025,$B2039&amp;" ~*")&gt;0)+(COUNTIF(K2008:M2025,$B2039)+COUNTIF(K2008:M2025,$B2039&amp;" ~*")&gt;0)+(COUNTIF(O2008:Q2025,$B2039)+COUNTIF(O2008:Q2025,$B2039&amp;" ~*")&gt;0)+(COUNTIF(S2008:U2025,$B2039)+COUNTIF(S2008:U2025,$B2039&amp;" ~*")&gt;0)+(COUNTIF(W2008:W2025,$B2039)+COUNTIF(W2008:W2025,$B2039&amp;" ~*")&gt;0)+(COUNTIF(Y2008:Y2025,$B2039)+COUNTIF(Y2008:Y2025,$B2039&amp;" ~*")&gt;0))</f>
        <v/>
      </c>
      <c r="AC2039" s="36">
        <f>IF($B2039="","",(IFERROR(INDEX(Setup!$G$33:$G$40,MATCH(C2039,Setup!$B$33:$B$40,0)),0)=1)*(COUNTIF(C2008:E2025,$B2039)+COUNTIF(C2008:E2025,$B2039&amp;" ~*")&gt;0)+(IFERROR(INDEX(Setup!$G$33:$G$40,MATCH(G2039,Setup!$B$33:$B$40,0)),0)=1)*(COUNTIF(G2008:I2025,$B2039)+COUNTIF(G2008:I2025,$B2039&amp;" ~*")&gt;0)+(IFERROR(INDEX(Setup!$G$33:$G$40,MATCH(K2039,Setup!$B$33:$B$40,0)),0)=1)*(COUNTIF(K2008:M2025,$B2039)+COUNTIF(K2008:M2025,$B2039&amp;" ~*")&gt;0)+(IFERROR(INDEX(Setup!$G$33:$G$40,MATCH(O2039,Setup!$B$33:$B$40,0)),0)=1)*(COUNTIF(O2008:Q2025,$B2039)+COUNTIF(O2008:Q2025,$B2039&amp;" ~*")&gt;0)+(IFERROR(INDEX(Setup!$G$33:$G$40,MATCH(S2039,Setup!$B$33:$B$40,0)),0)=1)*(COUNTIF(S2008:U2025,$B2039)+COUNTIF(S2008:U2025,$B2039&amp;" ~*")&gt;0)+(IFERROR(INDEX(Setup!$G$33:$G$40,MATCH(W2039,Setup!$B$33:$B$40,0)),0)=1)*(COUNTIF(W2008:W2025,$B2039)+COUNTIF(W2008:W2025,$B2039&amp;" ~*")&gt;0)+(IFERROR(INDEX(Setup!$G$33:$G$40,MATCH(Y2039,Setup!$B$33:$B$40,0)),0)=1)*(COUNTIF(Y2008:Y2025,$B2039)+COUNTIF(Y2008:Y2025,$B2039&amp;" ~*")&gt;0))</f>
        <v/>
      </c>
    </row>
    <row r="2040" ht="15" customHeight="1">
      <c r="A2040" t="n">
        <v>41</v>
      </c>
      <c r="B2040" s="37">
        <f>IF(Setup!$B$19="","",Setup!$B$19)</f>
        <v/>
      </c>
      <c r="C2040" s="102" t="n"/>
      <c r="D2040" s="103" t="n"/>
      <c r="E2040" s="103" t="n"/>
      <c r="F2040" s="104" t="n"/>
      <c r="G2040" s="102" t="n"/>
      <c r="H2040" s="103" t="n"/>
      <c r="I2040" s="103" t="n"/>
      <c r="J2040" s="104" t="n"/>
      <c r="K2040" s="102" t="n"/>
      <c r="L2040" s="103" t="n"/>
      <c r="M2040" s="103" t="n"/>
      <c r="N2040" s="104" t="n"/>
      <c r="O2040" s="102" t="n"/>
      <c r="P2040" s="103" t="n"/>
      <c r="Q2040" s="103" t="n"/>
      <c r="R2040" s="104" t="n"/>
      <c r="S2040" s="102" t="n"/>
      <c r="T2040" s="103" t="n"/>
      <c r="U2040" s="103" t="n"/>
      <c r="V2040" s="104" t="n"/>
      <c r="W2040" s="102" t="n"/>
      <c r="X2040" s="104" t="n"/>
      <c r="Y2040" s="102" t="n"/>
      <c r="Z2040" s="104" t="n"/>
      <c r="AB2040" s="105">
        <f>IF($B2040="","",(COUNTIF(C2008:E2025,$B2040)+COUNTIF(C2008:E2025,$B2040&amp;" ~*")&gt;0)+(COUNTIF(G2008:I2025,$B2040)+COUNTIF(G2008:I2025,$B2040&amp;" ~*")&gt;0)+(COUNTIF(K2008:M2025,$B2040)+COUNTIF(K2008:M2025,$B2040&amp;" ~*")&gt;0)+(COUNTIF(O2008:Q2025,$B2040)+COUNTIF(O2008:Q2025,$B2040&amp;" ~*")&gt;0)+(COUNTIF(S2008:U2025,$B2040)+COUNTIF(S2008:U2025,$B2040&amp;" ~*")&gt;0)+(COUNTIF(W2008:W2025,$B2040)+COUNTIF(W2008:W2025,$B2040&amp;" ~*")&gt;0)+(COUNTIF(Y2008:Y2025,$B2040)+COUNTIF(Y2008:Y2025,$B2040&amp;" ~*")&gt;0))</f>
        <v/>
      </c>
      <c r="AC2040" s="38">
        <f>IF($B2040="","",(IFERROR(INDEX(Setup!$G$33:$G$40,MATCH(C2040,Setup!$B$33:$B$40,0)),0)=1)*(COUNTIF(C2008:E2025,$B2040)+COUNTIF(C2008:E2025,$B2040&amp;" ~*")&gt;0)+(IFERROR(INDEX(Setup!$G$33:$G$40,MATCH(G2040,Setup!$B$33:$B$40,0)),0)=1)*(COUNTIF(G2008:I2025,$B2040)+COUNTIF(G2008:I2025,$B2040&amp;" ~*")&gt;0)+(IFERROR(INDEX(Setup!$G$33:$G$40,MATCH(K2040,Setup!$B$33:$B$40,0)),0)=1)*(COUNTIF(K2008:M2025,$B2040)+COUNTIF(K2008:M2025,$B2040&amp;" ~*")&gt;0)+(IFERROR(INDEX(Setup!$G$33:$G$40,MATCH(O2040,Setup!$B$33:$B$40,0)),0)=1)*(COUNTIF(O2008:Q2025,$B2040)+COUNTIF(O2008:Q2025,$B2040&amp;" ~*")&gt;0)+(IFERROR(INDEX(Setup!$G$33:$G$40,MATCH(S2040,Setup!$B$33:$B$40,0)),0)=1)*(COUNTIF(S2008:U2025,$B2040)+COUNTIF(S2008:U2025,$B2040&amp;" ~*")&gt;0)+(IFERROR(INDEX(Setup!$G$33:$G$40,MATCH(W2040,Setup!$B$33:$B$40,0)),0)=1)*(COUNTIF(W2008:W2025,$B2040)+COUNTIF(W2008:W2025,$B2040&amp;" ~*")&gt;0)+(IFERROR(INDEX(Setup!$G$33:$G$40,MATCH(Y2040,Setup!$B$33:$B$40,0)),0)=1)*(COUNTIF(Y2008:Y2025,$B2040)+COUNTIF(Y2008:Y2025,$B2040&amp;" ~*")&gt;0))</f>
        <v/>
      </c>
    </row>
    <row r="2041" ht="15" customHeight="1">
      <c r="A2041" t="n">
        <v>41</v>
      </c>
      <c r="B2041" s="35">
        <f>IF(Setup!$B$20="","",Setup!$B$20)</f>
        <v/>
      </c>
      <c r="C2041" s="98" t="n"/>
      <c r="D2041" s="99" t="n"/>
      <c r="E2041" s="99" t="n"/>
      <c r="F2041" s="100" t="n"/>
      <c r="G2041" s="98" t="n"/>
      <c r="H2041" s="99" t="n"/>
      <c r="I2041" s="99" t="n"/>
      <c r="J2041" s="100" t="n"/>
      <c r="K2041" s="98" t="n"/>
      <c r="L2041" s="99" t="n"/>
      <c r="M2041" s="99" t="n"/>
      <c r="N2041" s="100" t="n"/>
      <c r="O2041" s="98" t="n"/>
      <c r="P2041" s="99" t="n"/>
      <c r="Q2041" s="99" t="n"/>
      <c r="R2041" s="100" t="n"/>
      <c r="S2041" s="98" t="n"/>
      <c r="T2041" s="99" t="n"/>
      <c r="U2041" s="99" t="n"/>
      <c r="V2041" s="100" t="n"/>
      <c r="W2041" s="98" t="n"/>
      <c r="X2041" s="100" t="n"/>
      <c r="Y2041" s="98" t="n"/>
      <c r="Z2041" s="100" t="n"/>
      <c r="AB2041" s="101">
        <f>IF($B2041="","",(COUNTIF(C2008:E2025,$B2041)+COUNTIF(C2008:E2025,$B2041&amp;" ~*")&gt;0)+(COUNTIF(G2008:I2025,$B2041)+COUNTIF(G2008:I2025,$B2041&amp;" ~*")&gt;0)+(COUNTIF(K2008:M2025,$B2041)+COUNTIF(K2008:M2025,$B2041&amp;" ~*")&gt;0)+(COUNTIF(O2008:Q2025,$B2041)+COUNTIF(O2008:Q2025,$B2041&amp;" ~*")&gt;0)+(COUNTIF(S2008:U2025,$B2041)+COUNTIF(S2008:U2025,$B2041&amp;" ~*")&gt;0)+(COUNTIF(W2008:W2025,$B2041)+COUNTIF(W2008:W2025,$B2041&amp;" ~*")&gt;0)+(COUNTIF(Y2008:Y2025,$B2041)+COUNTIF(Y2008:Y2025,$B2041&amp;" ~*")&gt;0))</f>
        <v/>
      </c>
      <c r="AC2041" s="36">
        <f>IF($B2041="","",(IFERROR(INDEX(Setup!$G$33:$G$40,MATCH(C2041,Setup!$B$33:$B$40,0)),0)=1)*(COUNTIF(C2008:E2025,$B2041)+COUNTIF(C2008:E2025,$B2041&amp;" ~*")&gt;0)+(IFERROR(INDEX(Setup!$G$33:$G$40,MATCH(G2041,Setup!$B$33:$B$40,0)),0)=1)*(COUNTIF(G2008:I2025,$B2041)+COUNTIF(G2008:I2025,$B2041&amp;" ~*")&gt;0)+(IFERROR(INDEX(Setup!$G$33:$G$40,MATCH(K2041,Setup!$B$33:$B$40,0)),0)=1)*(COUNTIF(K2008:M2025,$B2041)+COUNTIF(K2008:M2025,$B2041&amp;" ~*")&gt;0)+(IFERROR(INDEX(Setup!$G$33:$G$40,MATCH(O2041,Setup!$B$33:$B$40,0)),0)=1)*(COUNTIF(O2008:Q2025,$B2041)+COUNTIF(O2008:Q2025,$B2041&amp;" ~*")&gt;0)+(IFERROR(INDEX(Setup!$G$33:$G$40,MATCH(S2041,Setup!$B$33:$B$40,0)),0)=1)*(COUNTIF(S2008:U2025,$B2041)+COUNTIF(S2008:U2025,$B2041&amp;" ~*")&gt;0)+(IFERROR(INDEX(Setup!$G$33:$G$40,MATCH(W2041,Setup!$B$33:$B$40,0)),0)=1)*(COUNTIF(W2008:W2025,$B2041)+COUNTIF(W2008:W2025,$B2041&amp;" ~*")&gt;0)+(IFERROR(INDEX(Setup!$G$33:$G$40,MATCH(Y2041,Setup!$B$33:$B$40,0)),0)=1)*(COUNTIF(Y2008:Y2025,$B2041)+COUNTIF(Y2008:Y2025,$B2041&amp;" ~*")&gt;0))</f>
        <v/>
      </c>
    </row>
    <row r="2042" ht="15" customHeight="1">
      <c r="A2042" t="n">
        <v>41</v>
      </c>
      <c r="B2042" s="37">
        <f>IF(Setup!$B$21="","",Setup!$B$21)</f>
        <v/>
      </c>
      <c r="C2042" s="102" t="n"/>
      <c r="D2042" s="103" t="n"/>
      <c r="E2042" s="103" t="n"/>
      <c r="F2042" s="104" t="n"/>
      <c r="G2042" s="102" t="n"/>
      <c r="H2042" s="103" t="n"/>
      <c r="I2042" s="103" t="n"/>
      <c r="J2042" s="104" t="n"/>
      <c r="K2042" s="102" t="n"/>
      <c r="L2042" s="103" t="n"/>
      <c r="M2042" s="103" t="n"/>
      <c r="N2042" s="104" t="n"/>
      <c r="O2042" s="102" t="n"/>
      <c r="P2042" s="103" t="n"/>
      <c r="Q2042" s="103" t="n"/>
      <c r="R2042" s="104" t="n"/>
      <c r="S2042" s="102" t="n"/>
      <c r="T2042" s="103" t="n"/>
      <c r="U2042" s="103" t="n"/>
      <c r="V2042" s="104" t="n"/>
      <c r="W2042" s="102" t="n"/>
      <c r="X2042" s="104" t="n"/>
      <c r="Y2042" s="102" t="n"/>
      <c r="Z2042" s="104" t="n"/>
      <c r="AB2042" s="105">
        <f>IF($B2042="","",(COUNTIF(C2008:E2025,$B2042)+COUNTIF(C2008:E2025,$B2042&amp;" ~*")&gt;0)+(COUNTIF(G2008:I2025,$B2042)+COUNTIF(G2008:I2025,$B2042&amp;" ~*")&gt;0)+(COUNTIF(K2008:M2025,$B2042)+COUNTIF(K2008:M2025,$B2042&amp;" ~*")&gt;0)+(COUNTIF(O2008:Q2025,$B2042)+COUNTIF(O2008:Q2025,$B2042&amp;" ~*")&gt;0)+(COUNTIF(S2008:U2025,$B2042)+COUNTIF(S2008:U2025,$B2042&amp;" ~*")&gt;0)+(COUNTIF(W2008:W2025,$B2042)+COUNTIF(W2008:W2025,$B2042&amp;" ~*")&gt;0)+(COUNTIF(Y2008:Y2025,$B2042)+COUNTIF(Y2008:Y2025,$B2042&amp;" ~*")&gt;0))</f>
        <v/>
      </c>
      <c r="AC2042" s="38">
        <f>IF($B2042="","",(IFERROR(INDEX(Setup!$G$33:$G$40,MATCH(C2042,Setup!$B$33:$B$40,0)),0)=1)*(COUNTIF(C2008:E2025,$B2042)+COUNTIF(C2008:E2025,$B2042&amp;" ~*")&gt;0)+(IFERROR(INDEX(Setup!$G$33:$G$40,MATCH(G2042,Setup!$B$33:$B$40,0)),0)=1)*(COUNTIF(G2008:I2025,$B2042)+COUNTIF(G2008:I2025,$B2042&amp;" ~*")&gt;0)+(IFERROR(INDEX(Setup!$G$33:$G$40,MATCH(K2042,Setup!$B$33:$B$40,0)),0)=1)*(COUNTIF(K2008:M2025,$B2042)+COUNTIF(K2008:M2025,$B2042&amp;" ~*")&gt;0)+(IFERROR(INDEX(Setup!$G$33:$G$40,MATCH(O2042,Setup!$B$33:$B$40,0)),0)=1)*(COUNTIF(O2008:Q2025,$B2042)+COUNTIF(O2008:Q2025,$B2042&amp;" ~*")&gt;0)+(IFERROR(INDEX(Setup!$G$33:$G$40,MATCH(S2042,Setup!$B$33:$B$40,0)),0)=1)*(COUNTIF(S2008:U2025,$B2042)+COUNTIF(S2008:U2025,$B2042&amp;" ~*")&gt;0)+(IFERROR(INDEX(Setup!$G$33:$G$40,MATCH(W2042,Setup!$B$33:$B$40,0)),0)=1)*(COUNTIF(W2008:W2025,$B2042)+COUNTIF(W2008:W2025,$B2042&amp;" ~*")&gt;0)+(IFERROR(INDEX(Setup!$G$33:$G$40,MATCH(Y2042,Setup!$B$33:$B$40,0)),0)=1)*(COUNTIF(Y2008:Y2025,$B2042)+COUNTIF(Y2008:Y2025,$B2042&amp;" ~*")&gt;0))</f>
        <v/>
      </c>
    </row>
    <row r="2043" ht="15" customHeight="1">
      <c r="A2043" t="n">
        <v>41</v>
      </c>
      <c r="B2043" s="35">
        <f>IF(Setup!$B$22="","",Setup!$B$22)</f>
        <v/>
      </c>
      <c r="C2043" s="98" t="n"/>
      <c r="D2043" s="99" t="n"/>
      <c r="E2043" s="99" t="n"/>
      <c r="F2043" s="100" t="n"/>
      <c r="G2043" s="98" t="n"/>
      <c r="H2043" s="99" t="n"/>
      <c r="I2043" s="99" t="n"/>
      <c r="J2043" s="100" t="n"/>
      <c r="K2043" s="98" t="n"/>
      <c r="L2043" s="99" t="n"/>
      <c r="M2043" s="99" t="n"/>
      <c r="N2043" s="100" t="n"/>
      <c r="O2043" s="98" t="n"/>
      <c r="P2043" s="99" t="n"/>
      <c r="Q2043" s="99" t="n"/>
      <c r="R2043" s="100" t="n"/>
      <c r="S2043" s="98" t="n"/>
      <c r="T2043" s="99" t="n"/>
      <c r="U2043" s="99" t="n"/>
      <c r="V2043" s="100" t="n"/>
      <c r="W2043" s="98" t="n"/>
      <c r="X2043" s="100" t="n"/>
      <c r="Y2043" s="98" t="n"/>
      <c r="Z2043" s="100" t="n"/>
      <c r="AB2043" s="101">
        <f>IF($B2043="","",(COUNTIF(C2008:E2025,$B2043)+COUNTIF(C2008:E2025,$B2043&amp;" ~*")&gt;0)+(COUNTIF(G2008:I2025,$B2043)+COUNTIF(G2008:I2025,$B2043&amp;" ~*")&gt;0)+(COUNTIF(K2008:M2025,$B2043)+COUNTIF(K2008:M2025,$B2043&amp;" ~*")&gt;0)+(COUNTIF(O2008:Q2025,$B2043)+COUNTIF(O2008:Q2025,$B2043&amp;" ~*")&gt;0)+(COUNTIF(S2008:U2025,$B2043)+COUNTIF(S2008:U2025,$B2043&amp;" ~*")&gt;0)+(COUNTIF(W2008:W2025,$B2043)+COUNTIF(W2008:W2025,$B2043&amp;" ~*")&gt;0)+(COUNTIF(Y2008:Y2025,$B2043)+COUNTIF(Y2008:Y2025,$B2043&amp;" ~*")&gt;0))</f>
        <v/>
      </c>
      <c r="AC2043" s="36">
        <f>IF($B2043="","",(IFERROR(INDEX(Setup!$G$33:$G$40,MATCH(C2043,Setup!$B$33:$B$40,0)),0)=1)*(COUNTIF(C2008:E2025,$B2043)+COUNTIF(C2008:E2025,$B2043&amp;" ~*")&gt;0)+(IFERROR(INDEX(Setup!$G$33:$G$40,MATCH(G2043,Setup!$B$33:$B$40,0)),0)=1)*(COUNTIF(G2008:I2025,$B2043)+COUNTIF(G2008:I2025,$B2043&amp;" ~*")&gt;0)+(IFERROR(INDEX(Setup!$G$33:$G$40,MATCH(K2043,Setup!$B$33:$B$40,0)),0)=1)*(COUNTIF(K2008:M2025,$B2043)+COUNTIF(K2008:M2025,$B2043&amp;" ~*")&gt;0)+(IFERROR(INDEX(Setup!$G$33:$G$40,MATCH(O2043,Setup!$B$33:$B$40,0)),0)=1)*(COUNTIF(O2008:Q2025,$B2043)+COUNTIF(O2008:Q2025,$B2043&amp;" ~*")&gt;0)+(IFERROR(INDEX(Setup!$G$33:$G$40,MATCH(S2043,Setup!$B$33:$B$40,0)),0)=1)*(COUNTIF(S2008:U2025,$B2043)+COUNTIF(S2008:U2025,$B2043&amp;" ~*")&gt;0)+(IFERROR(INDEX(Setup!$G$33:$G$40,MATCH(W2043,Setup!$B$33:$B$40,0)),0)=1)*(COUNTIF(W2008:W2025,$B2043)+COUNTIF(W2008:W2025,$B2043&amp;" ~*")&gt;0)+(IFERROR(INDEX(Setup!$G$33:$G$40,MATCH(Y2043,Setup!$B$33:$B$40,0)),0)=1)*(COUNTIF(Y2008:Y2025,$B2043)+COUNTIF(Y2008:Y2025,$B2043&amp;" ~*")&gt;0))</f>
        <v/>
      </c>
    </row>
    <row r="2044" ht="15" customHeight="1">
      <c r="A2044" t="n">
        <v>41</v>
      </c>
      <c r="B2044" s="37">
        <f>IF(Setup!$B$23="","",Setup!$B$23)</f>
        <v/>
      </c>
      <c r="C2044" s="102" t="n"/>
      <c r="D2044" s="103" t="n"/>
      <c r="E2044" s="103" t="n"/>
      <c r="F2044" s="104" t="n"/>
      <c r="G2044" s="102" t="n"/>
      <c r="H2044" s="103" t="n"/>
      <c r="I2044" s="103" t="n"/>
      <c r="J2044" s="104" t="n"/>
      <c r="K2044" s="102" t="n"/>
      <c r="L2044" s="103" t="n"/>
      <c r="M2044" s="103" t="n"/>
      <c r="N2044" s="104" t="n"/>
      <c r="O2044" s="102" t="n"/>
      <c r="P2044" s="103" t="n"/>
      <c r="Q2044" s="103" t="n"/>
      <c r="R2044" s="104" t="n"/>
      <c r="S2044" s="102" t="n"/>
      <c r="T2044" s="103" t="n"/>
      <c r="U2044" s="103" t="n"/>
      <c r="V2044" s="104" t="n"/>
      <c r="W2044" s="102" t="n"/>
      <c r="X2044" s="104" t="n"/>
      <c r="Y2044" s="102" t="n"/>
      <c r="Z2044" s="104" t="n"/>
      <c r="AB2044" s="105">
        <f>IF($B2044="","",(COUNTIF(C2008:E2025,$B2044)+COUNTIF(C2008:E2025,$B2044&amp;" ~*")&gt;0)+(COUNTIF(G2008:I2025,$B2044)+COUNTIF(G2008:I2025,$B2044&amp;" ~*")&gt;0)+(COUNTIF(K2008:M2025,$B2044)+COUNTIF(K2008:M2025,$B2044&amp;" ~*")&gt;0)+(COUNTIF(O2008:Q2025,$B2044)+COUNTIF(O2008:Q2025,$B2044&amp;" ~*")&gt;0)+(COUNTIF(S2008:U2025,$B2044)+COUNTIF(S2008:U2025,$B2044&amp;" ~*")&gt;0)+(COUNTIF(W2008:W2025,$B2044)+COUNTIF(W2008:W2025,$B2044&amp;" ~*")&gt;0)+(COUNTIF(Y2008:Y2025,$B2044)+COUNTIF(Y2008:Y2025,$B2044&amp;" ~*")&gt;0))</f>
        <v/>
      </c>
      <c r="AC2044" s="38">
        <f>IF($B2044="","",(IFERROR(INDEX(Setup!$G$33:$G$40,MATCH(C2044,Setup!$B$33:$B$40,0)),0)=1)*(COUNTIF(C2008:E2025,$B2044)+COUNTIF(C2008:E2025,$B2044&amp;" ~*")&gt;0)+(IFERROR(INDEX(Setup!$G$33:$G$40,MATCH(G2044,Setup!$B$33:$B$40,0)),0)=1)*(COUNTIF(G2008:I2025,$B2044)+COUNTIF(G2008:I2025,$B2044&amp;" ~*")&gt;0)+(IFERROR(INDEX(Setup!$G$33:$G$40,MATCH(K2044,Setup!$B$33:$B$40,0)),0)=1)*(COUNTIF(K2008:M2025,$B2044)+COUNTIF(K2008:M2025,$B2044&amp;" ~*")&gt;0)+(IFERROR(INDEX(Setup!$G$33:$G$40,MATCH(O2044,Setup!$B$33:$B$40,0)),0)=1)*(COUNTIF(O2008:Q2025,$B2044)+COUNTIF(O2008:Q2025,$B2044&amp;" ~*")&gt;0)+(IFERROR(INDEX(Setup!$G$33:$G$40,MATCH(S2044,Setup!$B$33:$B$40,0)),0)=1)*(COUNTIF(S2008:U2025,$B2044)+COUNTIF(S2008:U2025,$B2044&amp;" ~*")&gt;0)+(IFERROR(INDEX(Setup!$G$33:$G$40,MATCH(W2044,Setup!$B$33:$B$40,0)),0)=1)*(COUNTIF(W2008:W2025,$B2044)+COUNTIF(W2008:W2025,$B2044&amp;" ~*")&gt;0)+(IFERROR(INDEX(Setup!$G$33:$G$40,MATCH(Y2044,Setup!$B$33:$B$40,0)),0)=1)*(COUNTIF(Y2008:Y2025,$B2044)+COUNTIF(Y2008:Y2025,$B2044&amp;" ~*")&gt;0))</f>
        <v/>
      </c>
    </row>
    <row r="2045" ht="15" customHeight="1">
      <c r="A2045" t="n">
        <v>41</v>
      </c>
      <c r="B2045" s="35">
        <f>IF(Setup!$B$24="","",Setup!$B$24)</f>
        <v/>
      </c>
      <c r="C2045" s="98" t="n"/>
      <c r="D2045" s="99" t="n"/>
      <c r="E2045" s="99" t="n"/>
      <c r="F2045" s="100" t="n"/>
      <c r="G2045" s="98" t="n"/>
      <c r="H2045" s="99" t="n"/>
      <c r="I2045" s="99" t="n"/>
      <c r="J2045" s="100" t="n"/>
      <c r="K2045" s="98" t="n"/>
      <c r="L2045" s="99" t="n"/>
      <c r="M2045" s="99" t="n"/>
      <c r="N2045" s="100" t="n"/>
      <c r="O2045" s="98" t="n"/>
      <c r="P2045" s="99" t="n"/>
      <c r="Q2045" s="99" t="n"/>
      <c r="R2045" s="100" t="n"/>
      <c r="S2045" s="98" t="n"/>
      <c r="T2045" s="99" t="n"/>
      <c r="U2045" s="99" t="n"/>
      <c r="V2045" s="100" t="n"/>
      <c r="W2045" s="98" t="n"/>
      <c r="X2045" s="100" t="n"/>
      <c r="Y2045" s="98" t="n"/>
      <c r="Z2045" s="100" t="n"/>
      <c r="AB2045" s="101">
        <f>IF($B2045="","",(COUNTIF(C2008:E2025,$B2045)+COUNTIF(C2008:E2025,$B2045&amp;" ~*")&gt;0)+(COUNTIF(G2008:I2025,$B2045)+COUNTIF(G2008:I2025,$B2045&amp;" ~*")&gt;0)+(COUNTIF(K2008:M2025,$B2045)+COUNTIF(K2008:M2025,$B2045&amp;" ~*")&gt;0)+(COUNTIF(O2008:Q2025,$B2045)+COUNTIF(O2008:Q2025,$B2045&amp;" ~*")&gt;0)+(COUNTIF(S2008:U2025,$B2045)+COUNTIF(S2008:U2025,$B2045&amp;" ~*")&gt;0)+(COUNTIF(W2008:W2025,$B2045)+COUNTIF(W2008:W2025,$B2045&amp;" ~*")&gt;0)+(COUNTIF(Y2008:Y2025,$B2045)+COUNTIF(Y2008:Y2025,$B2045&amp;" ~*")&gt;0))</f>
        <v/>
      </c>
      <c r="AC2045" s="36">
        <f>IF($B2045="","",(IFERROR(INDEX(Setup!$G$33:$G$40,MATCH(C2045,Setup!$B$33:$B$40,0)),0)=1)*(COUNTIF(C2008:E2025,$B2045)+COUNTIF(C2008:E2025,$B2045&amp;" ~*")&gt;0)+(IFERROR(INDEX(Setup!$G$33:$G$40,MATCH(G2045,Setup!$B$33:$B$40,0)),0)=1)*(COUNTIF(G2008:I2025,$B2045)+COUNTIF(G2008:I2025,$B2045&amp;" ~*")&gt;0)+(IFERROR(INDEX(Setup!$G$33:$G$40,MATCH(K2045,Setup!$B$33:$B$40,0)),0)=1)*(COUNTIF(K2008:M2025,$B2045)+COUNTIF(K2008:M2025,$B2045&amp;" ~*")&gt;0)+(IFERROR(INDEX(Setup!$G$33:$G$40,MATCH(O2045,Setup!$B$33:$B$40,0)),0)=1)*(COUNTIF(O2008:Q2025,$B2045)+COUNTIF(O2008:Q2025,$B2045&amp;" ~*")&gt;0)+(IFERROR(INDEX(Setup!$G$33:$G$40,MATCH(S2045,Setup!$B$33:$B$40,0)),0)=1)*(COUNTIF(S2008:U2025,$B2045)+COUNTIF(S2008:U2025,$B2045&amp;" ~*")&gt;0)+(IFERROR(INDEX(Setup!$G$33:$G$40,MATCH(W2045,Setup!$B$33:$B$40,0)),0)=1)*(COUNTIF(W2008:W2025,$B2045)+COUNTIF(W2008:W2025,$B2045&amp;" ~*")&gt;0)+(IFERROR(INDEX(Setup!$G$33:$G$40,MATCH(Y2045,Setup!$B$33:$B$40,0)),0)=1)*(COUNTIF(Y2008:Y2025,$B2045)+COUNTIF(Y2008:Y2025,$B2045&amp;" ~*")&gt;0))</f>
        <v/>
      </c>
    </row>
    <row r="2046" ht="15" customHeight="1">
      <c r="A2046" t="n">
        <v>41</v>
      </c>
      <c r="B2046" s="37">
        <f>IF(Setup!$B$25="","",Setup!$B$25)</f>
        <v/>
      </c>
      <c r="C2046" s="102" t="n"/>
      <c r="D2046" s="103" t="n"/>
      <c r="E2046" s="103" t="n"/>
      <c r="F2046" s="104" t="n"/>
      <c r="G2046" s="102" t="n"/>
      <c r="H2046" s="103" t="n"/>
      <c r="I2046" s="103" t="n"/>
      <c r="J2046" s="104" t="n"/>
      <c r="K2046" s="102" t="n"/>
      <c r="L2046" s="103" t="n"/>
      <c r="M2046" s="103" t="n"/>
      <c r="N2046" s="104" t="n"/>
      <c r="O2046" s="102" t="n"/>
      <c r="P2046" s="103" t="n"/>
      <c r="Q2046" s="103" t="n"/>
      <c r="R2046" s="104" t="n"/>
      <c r="S2046" s="102" t="n"/>
      <c r="T2046" s="103" t="n"/>
      <c r="U2046" s="103" t="n"/>
      <c r="V2046" s="104" t="n"/>
      <c r="W2046" s="102" t="n"/>
      <c r="X2046" s="104" t="n"/>
      <c r="Y2046" s="102" t="n"/>
      <c r="Z2046" s="104" t="n"/>
      <c r="AB2046" s="105">
        <f>IF($B2046="","",(COUNTIF(C2008:E2025,$B2046)+COUNTIF(C2008:E2025,$B2046&amp;" ~*")&gt;0)+(COUNTIF(G2008:I2025,$B2046)+COUNTIF(G2008:I2025,$B2046&amp;" ~*")&gt;0)+(COUNTIF(K2008:M2025,$B2046)+COUNTIF(K2008:M2025,$B2046&amp;" ~*")&gt;0)+(COUNTIF(O2008:Q2025,$B2046)+COUNTIF(O2008:Q2025,$B2046&amp;" ~*")&gt;0)+(COUNTIF(S2008:U2025,$B2046)+COUNTIF(S2008:U2025,$B2046&amp;" ~*")&gt;0)+(COUNTIF(W2008:W2025,$B2046)+COUNTIF(W2008:W2025,$B2046&amp;" ~*")&gt;0)+(COUNTIF(Y2008:Y2025,$B2046)+COUNTIF(Y2008:Y2025,$B2046&amp;" ~*")&gt;0))</f>
        <v/>
      </c>
      <c r="AC2046" s="38">
        <f>IF($B2046="","",(IFERROR(INDEX(Setup!$G$33:$G$40,MATCH(C2046,Setup!$B$33:$B$40,0)),0)=1)*(COUNTIF(C2008:E2025,$B2046)+COUNTIF(C2008:E2025,$B2046&amp;" ~*")&gt;0)+(IFERROR(INDEX(Setup!$G$33:$G$40,MATCH(G2046,Setup!$B$33:$B$40,0)),0)=1)*(COUNTIF(G2008:I2025,$B2046)+COUNTIF(G2008:I2025,$B2046&amp;" ~*")&gt;0)+(IFERROR(INDEX(Setup!$G$33:$G$40,MATCH(K2046,Setup!$B$33:$B$40,0)),0)=1)*(COUNTIF(K2008:M2025,$B2046)+COUNTIF(K2008:M2025,$B2046&amp;" ~*")&gt;0)+(IFERROR(INDEX(Setup!$G$33:$G$40,MATCH(O2046,Setup!$B$33:$B$40,0)),0)=1)*(COUNTIF(O2008:Q2025,$B2046)+COUNTIF(O2008:Q2025,$B2046&amp;" ~*")&gt;0)+(IFERROR(INDEX(Setup!$G$33:$G$40,MATCH(S2046,Setup!$B$33:$B$40,0)),0)=1)*(COUNTIF(S2008:U2025,$B2046)+COUNTIF(S2008:U2025,$B2046&amp;" ~*")&gt;0)+(IFERROR(INDEX(Setup!$G$33:$G$40,MATCH(W2046,Setup!$B$33:$B$40,0)),0)=1)*(COUNTIF(W2008:W2025,$B2046)+COUNTIF(W2008:W2025,$B2046&amp;" ~*")&gt;0)+(IFERROR(INDEX(Setup!$G$33:$G$40,MATCH(Y2046,Setup!$B$33:$B$40,0)),0)=1)*(COUNTIF(Y2008:Y2025,$B2046)+COUNTIF(Y2008:Y2025,$B2046&amp;" ~*")&gt;0))</f>
        <v/>
      </c>
    </row>
    <row r="2047" ht="15" customHeight="1">
      <c r="A2047" t="n">
        <v>41</v>
      </c>
      <c r="B2047" s="35">
        <f>IF(Setup!$B$26="","",Setup!$B$26)</f>
        <v/>
      </c>
      <c r="C2047" s="98" t="n"/>
      <c r="D2047" s="99" t="n"/>
      <c r="E2047" s="99" t="n"/>
      <c r="F2047" s="100" t="n"/>
      <c r="G2047" s="98" t="n"/>
      <c r="H2047" s="99" t="n"/>
      <c r="I2047" s="99" t="n"/>
      <c r="J2047" s="100" t="n"/>
      <c r="K2047" s="98" t="n"/>
      <c r="L2047" s="99" t="n"/>
      <c r="M2047" s="99" t="n"/>
      <c r="N2047" s="100" t="n"/>
      <c r="O2047" s="98" t="n"/>
      <c r="P2047" s="99" t="n"/>
      <c r="Q2047" s="99" t="n"/>
      <c r="R2047" s="100" t="n"/>
      <c r="S2047" s="98" t="n"/>
      <c r="T2047" s="99" t="n"/>
      <c r="U2047" s="99" t="n"/>
      <c r="V2047" s="100" t="n"/>
      <c r="W2047" s="98" t="n"/>
      <c r="X2047" s="100" t="n"/>
      <c r="Y2047" s="98" t="n"/>
      <c r="Z2047" s="100" t="n"/>
      <c r="AB2047" s="101">
        <f>IF($B2047="","",(COUNTIF(C2008:E2025,$B2047)+COUNTIF(C2008:E2025,$B2047&amp;" ~*")&gt;0)+(COUNTIF(G2008:I2025,$B2047)+COUNTIF(G2008:I2025,$B2047&amp;" ~*")&gt;0)+(COUNTIF(K2008:M2025,$B2047)+COUNTIF(K2008:M2025,$B2047&amp;" ~*")&gt;0)+(COUNTIF(O2008:Q2025,$B2047)+COUNTIF(O2008:Q2025,$B2047&amp;" ~*")&gt;0)+(COUNTIF(S2008:U2025,$B2047)+COUNTIF(S2008:U2025,$B2047&amp;" ~*")&gt;0)+(COUNTIF(W2008:W2025,$B2047)+COUNTIF(W2008:W2025,$B2047&amp;" ~*")&gt;0)+(COUNTIF(Y2008:Y2025,$B2047)+COUNTIF(Y2008:Y2025,$B2047&amp;" ~*")&gt;0))</f>
        <v/>
      </c>
      <c r="AC2047" s="36">
        <f>IF($B2047="","",(IFERROR(INDEX(Setup!$G$33:$G$40,MATCH(C2047,Setup!$B$33:$B$40,0)),0)=1)*(COUNTIF(C2008:E2025,$B2047)+COUNTIF(C2008:E2025,$B2047&amp;" ~*")&gt;0)+(IFERROR(INDEX(Setup!$G$33:$G$40,MATCH(G2047,Setup!$B$33:$B$40,0)),0)=1)*(COUNTIF(G2008:I2025,$B2047)+COUNTIF(G2008:I2025,$B2047&amp;" ~*")&gt;0)+(IFERROR(INDEX(Setup!$G$33:$G$40,MATCH(K2047,Setup!$B$33:$B$40,0)),0)=1)*(COUNTIF(K2008:M2025,$B2047)+COUNTIF(K2008:M2025,$B2047&amp;" ~*")&gt;0)+(IFERROR(INDEX(Setup!$G$33:$G$40,MATCH(O2047,Setup!$B$33:$B$40,0)),0)=1)*(COUNTIF(O2008:Q2025,$B2047)+COUNTIF(O2008:Q2025,$B2047&amp;" ~*")&gt;0)+(IFERROR(INDEX(Setup!$G$33:$G$40,MATCH(S2047,Setup!$B$33:$B$40,0)),0)=1)*(COUNTIF(S2008:U2025,$B2047)+COUNTIF(S2008:U2025,$B2047&amp;" ~*")&gt;0)+(IFERROR(INDEX(Setup!$G$33:$G$40,MATCH(W2047,Setup!$B$33:$B$40,0)),0)=1)*(COUNTIF(W2008:W2025,$B2047)+COUNTIF(W2008:W2025,$B2047&amp;" ~*")&gt;0)+(IFERROR(INDEX(Setup!$G$33:$G$40,MATCH(Y2047,Setup!$B$33:$B$40,0)),0)=1)*(COUNTIF(Y2008:Y2025,$B2047)+COUNTIF(Y2008:Y2025,$B2047&amp;" ~*")&gt;0))</f>
        <v/>
      </c>
    </row>
    <row r="2048" ht="15" customHeight="1">
      <c r="A2048" t="n">
        <v>41</v>
      </c>
      <c r="B2048" s="37">
        <f>IF(Setup!$B$27="","",Setup!$B$27)</f>
        <v/>
      </c>
      <c r="C2048" s="102" t="n"/>
      <c r="D2048" s="103" t="n"/>
      <c r="E2048" s="103" t="n"/>
      <c r="F2048" s="104" t="n"/>
      <c r="G2048" s="102" t="n"/>
      <c r="H2048" s="103" t="n"/>
      <c r="I2048" s="103" t="n"/>
      <c r="J2048" s="104" t="n"/>
      <c r="K2048" s="102" t="n"/>
      <c r="L2048" s="103" t="n"/>
      <c r="M2048" s="103" t="n"/>
      <c r="N2048" s="104" t="n"/>
      <c r="O2048" s="102" t="n"/>
      <c r="P2048" s="103" t="n"/>
      <c r="Q2048" s="103" t="n"/>
      <c r="R2048" s="104" t="n"/>
      <c r="S2048" s="102" t="n"/>
      <c r="T2048" s="103" t="n"/>
      <c r="U2048" s="103" t="n"/>
      <c r="V2048" s="104" t="n"/>
      <c r="W2048" s="102" t="n"/>
      <c r="X2048" s="104" t="n"/>
      <c r="Y2048" s="102" t="n"/>
      <c r="Z2048" s="104" t="n"/>
      <c r="AB2048" s="105">
        <f>IF($B2048="","",(COUNTIF(C2008:E2025,$B2048)+COUNTIF(C2008:E2025,$B2048&amp;" ~*")&gt;0)+(COUNTIF(G2008:I2025,$B2048)+COUNTIF(G2008:I2025,$B2048&amp;" ~*")&gt;0)+(COUNTIF(K2008:M2025,$B2048)+COUNTIF(K2008:M2025,$B2048&amp;" ~*")&gt;0)+(COUNTIF(O2008:Q2025,$B2048)+COUNTIF(O2008:Q2025,$B2048&amp;" ~*")&gt;0)+(COUNTIF(S2008:U2025,$B2048)+COUNTIF(S2008:U2025,$B2048&amp;" ~*")&gt;0)+(COUNTIF(W2008:W2025,$B2048)+COUNTIF(W2008:W2025,$B2048&amp;" ~*")&gt;0)+(COUNTIF(Y2008:Y2025,$B2048)+COUNTIF(Y2008:Y2025,$B2048&amp;" ~*")&gt;0))</f>
        <v/>
      </c>
      <c r="AC2048" s="38">
        <f>IF($B2048="","",(IFERROR(INDEX(Setup!$G$33:$G$40,MATCH(C2048,Setup!$B$33:$B$40,0)),0)=1)*(COUNTIF(C2008:E2025,$B2048)+COUNTIF(C2008:E2025,$B2048&amp;" ~*")&gt;0)+(IFERROR(INDEX(Setup!$G$33:$G$40,MATCH(G2048,Setup!$B$33:$B$40,0)),0)=1)*(COUNTIF(G2008:I2025,$B2048)+COUNTIF(G2008:I2025,$B2048&amp;" ~*")&gt;0)+(IFERROR(INDEX(Setup!$G$33:$G$40,MATCH(K2048,Setup!$B$33:$B$40,0)),0)=1)*(COUNTIF(K2008:M2025,$B2048)+COUNTIF(K2008:M2025,$B2048&amp;" ~*")&gt;0)+(IFERROR(INDEX(Setup!$G$33:$G$40,MATCH(O2048,Setup!$B$33:$B$40,0)),0)=1)*(COUNTIF(O2008:Q2025,$B2048)+COUNTIF(O2008:Q2025,$B2048&amp;" ~*")&gt;0)+(IFERROR(INDEX(Setup!$G$33:$G$40,MATCH(S2048,Setup!$B$33:$B$40,0)),0)=1)*(COUNTIF(S2008:U2025,$B2048)+COUNTIF(S2008:U2025,$B2048&amp;" ~*")&gt;0)+(IFERROR(INDEX(Setup!$G$33:$G$40,MATCH(W2048,Setup!$B$33:$B$40,0)),0)=1)*(COUNTIF(W2008:W2025,$B2048)+COUNTIF(W2008:W2025,$B2048&amp;" ~*")&gt;0)+(IFERROR(INDEX(Setup!$G$33:$G$40,MATCH(Y2048,Setup!$B$33:$B$40,0)),0)=1)*(COUNTIF(Y2008:Y2025,$B2048)+COUNTIF(Y2008:Y2025,$B2048&amp;" ~*")&gt;0))</f>
        <v/>
      </c>
    </row>
    <row r="2049" ht="15" customHeight="1">
      <c r="A2049" t="n">
        <v>41</v>
      </c>
      <c r="B2049" s="35">
        <f>IF(Setup!$B$28="","",Setup!$B$28)</f>
        <v/>
      </c>
      <c r="C2049" s="98" t="n"/>
      <c r="D2049" s="99" t="n"/>
      <c r="E2049" s="99" t="n"/>
      <c r="F2049" s="100" t="n"/>
      <c r="G2049" s="98" t="n"/>
      <c r="H2049" s="99" t="n"/>
      <c r="I2049" s="99" t="n"/>
      <c r="J2049" s="100" t="n"/>
      <c r="K2049" s="98" t="n"/>
      <c r="L2049" s="99" t="n"/>
      <c r="M2049" s="99" t="n"/>
      <c r="N2049" s="100" t="n"/>
      <c r="O2049" s="98" t="n"/>
      <c r="P2049" s="99" t="n"/>
      <c r="Q2049" s="99" t="n"/>
      <c r="R2049" s="100" t="n"/>
      <c r="S2049" s="98" t="n"/>
      <c r="T2049" s="99" t="n"/>
      <c r="U2049" s="99" t="n"/>
      <c r="V2049" s="100" t="n"/>
      <c r="W2049" s="98" t="n"/>
      <c r="X2049" s="100" t="n"/>
      <c r="Y2049" s="98" t="n"/>
      <c r="Z2049" s="100" t="n"/>
      <c r="AB2049" s="101">
        <f>IF($B2049="","",(COUNTIF(C2008:E2025,$B2049)+COUNTIF(C2008:E2025,$B2049&amp;" ~*")&gt;0)+(COUNTIF(G2008:I2025,$B2049)+COUNTIF(G2008:I2025,$B2049&amp;" ~*")&gt;0)+(COUNTIF(K2008:M2025,$B2049)+COUNTIF(K2008:M2025,$B2049&amp;" ~*")&gt;0)+(COUNTIF(O2008:Q2025,$B2049)+COUNTIF(O2008:Q2025,$B2049&amp;" ~*")&gt;0)+(COUNTIF(S2008:U2025,$B2049)+COUNTIF(S2008:U2025,$B2049&amp;" ~*")&gt;0)+(COUNTIF(W2008:W2025,$B2049)+COUNTIF(W2008:W2025,$B2049&amp;" ~*")&gt;0)+(COUNTIF(Y2008:Y2025,$B2049)+COUNTIF(Y2008:Y2025,$B2049&amp;" ~*")&gt;0))</f>
        <v/>
      </c>
      <c r="AC2049" s="36">
        <f>IF($B2049="","",(IFERROR(INDEX(Setup!$G$33:$G$40,MATCH(C2049,Setup!$B$33:$B$40,0)),0)=1)*(COUNTIF(C2008:E2025,$B2049)+COUNTIF(C2008:E2025,$B2049&amp;" ~*")&gt;0)+(IFERROR(INDEX(Setup!$G$33:$G$40,MATCH(G2049,Setup!$B$33:$B$40,0)),0)=1)*(COUNTIF(G2008:I2025,$B2049)+COUNTIF(G2008:I2025,$B2049&amp;" ~*")&gt;0)+(IFERROR(INDEX(Setup!$G$33:$G$40,MATCH(K2049,Setup!$B$33:$B$40,0)),0)=1)*(COUNTIF(K2008:M2025,$B2049)+COUNTIF(K2008:M2025,$B2049&amp;" ~*")&gt;0)+(IFERROR(INDEX(Setup!$G$33:$G$40,MATCH(O2049,Setup!$B$33:$B$40,0)),0)=1)*(COUNTIF(O2008:Q2025,$B2049)+COUNTIF(O2008:Q2025,$B2049&amp;" ~*")&gt;0)+(IFERROR(INDEX(Setup!$G$33:$G$40,MATCH(S2049,Setup!$B$33:$B$40,0)),0)=1)*(COUNTIF(S2008:U2025,$B2049)+COUNTIF(S2008:U2025,$B2049&amp;" ~*")&gt;0)+(IFERROR(INDEX(Setup!$G$33:$G$40,MATCH(W2049,Setup!$B$33:$B$40,0)),0)=1)*(COUNTIF(W2008:W2025,$B2049)+COUNTIF(W2008:W2025,$B2049&amp;" ~*")&gt;0)+(IFERROR(INDEX(Setup!$G$33:$G$40,MATCH(Y2049,Setup!$B$33:$B$40,0)),0)=1)*(COUNTIF(Y2008:Y2025,$B2049)+COUNTIF(Y2008:Y2025,$B2049&amp;" ~*")&gt;0))</f>
        <v/>
      </c>
    </row>
    <row r="2050" ht="15" customHeight="1">
      <c r="A2050" t="n">
        <v>41</v>
      </c>
      <c r="B2050" s="37">
        <f>IF(Setup!$B$29="","",Setup!$B$29)</f>
        <v/>
      </c>
      <c r="C2050" s="102" t="n"/>
      <c r="D2050" s="103" t="n"/>
      <c r="E2050" s="103" t="n"/>
      <c r="F2050" s="104" t="n"/>
      <c r="G2050" s="102" t="n"/>
      <c r="H2050" s="103" t="n"/>
      <c r="I2050" s="103" t="n"/>
      <c r="J2050" s="104" t="n"/>
      <c r="K2050" s="102" t="n"/>
      <c r="L2050" s="103" t="n"/>
      <c r="M2050" s="103" t="n"/>
      <c r="N2050" s="104" t="n"/>
      <c r="O2050" s="102" t="n"/>
      <c r="P2050" s="103" t="n"/>
      <c r="Q2050" s="103" t="n"/>
      <c r="R2050" s="104" t="n"/>
      <c r="S2050" s="102" t="n"/>
      <c r="T2050" s="103" t="n"/>
      <c r="U2050" s="103" t="n"/>
      <c r="V2050" s="104" t="n"/>
      <c r="W2050" s="102" t="n"/>
      <c r="X2050" s="104" t="n"/>
      <c r="Y2050" s="102" t="n"/>
      <c r="Z2050" s="104" t="n"/>
      <c r="AB2050" s="105">
        <f>IF($B2050="","",(COUNTIF(C2008:E2025,$B2050)+COUNTIF(C2008:E2025,$B2050&amp;" ~*")&gt;0)+(COUNTIF(G2008:I2025,$B2050)+COUNTIF(G2008:I2025,$B2050&amp;" ~*")&gt;0)+(COUNTIF(K2008:M2025,$B2050)+COUNTIF(K2008:M2025,$B2050&amp;" ~*")&gt;0)+(COUNTIF(O2008:Q2025,$B2050)+COUNTIF(O2008:Q2025,$B2050&amp;" ~*")&gt;0)+(COUNTIF(S2008:U2025,$B2050)+COUNTIF(S2008:U2025,$B2050&amp;" ~*")&gt;0)+(COUNTIF(W2008:W2025,$B2050)+COUNTIF(W2008:W2025,$B2050&amp;" ~*")&gt;0)+(COUNTIF(Y2008:Y2025,$B2050)+COUNTIF(Y2008:Y2025,$B2050&amp;" ~*")&gt;0))</f>
        <v/>
      </c>
      <c r="AC2050" s="38">
        <f>IF($B2050="","",(IFERROR(INDEX(Setup!$G$33:$G$40,MATCH(C2050,Setup!$B$33:$B$40,0)),0)=1)*(COUNTIF(C2008:E2025,$B2050)+COUNTIF(C2008:E2025,$B2050&amp;" ~*")&gt;0)+(IFERROR(INDEX(Setup!$G$33:$G$40,MATCH(G2050,Setup!$B$33:$B$40,0)),0)=1)*(COUNTIF(G2008:I2025,$B2050)+COUNTIF(G2008:I2025,$B2050&amp;" ~*")&gt;0)+(IFERROR(INDEX(Setup!$G$33:$G$40,MATCH(K2050,Setup!$B$33:$B$40,0)),0)=1)*(COUNTIF(K2008:M2025,$B2050)+COUNTIF(K2008:M2025,$B2050&amp;" ~*")&gt;0)+(IFERROR(INDEX(Setup!$G$33:$G$40,MATCH(O2050,Setup!$B$33:$B$40,0)),0)=1)*(COUNTIF(O2008:Q2025,$B2050)+COUNTIF(O2008:Q2025,$B2050&amp;" ~*")&gt;0)+(IFERROR(INDEX(Setup!$G$33:$G$40,MATCH(S2050,Setup!$B$33:$B$40,0)),0)=1)*(COUNTIF(S2008:U2025,$B2050)+COUNTIF(S2008:U2025,$B2050&amp;" ~*")&gt;0)+(IFERROR(INDEX(Setup!$G$33:$G$40,MATCH(W2050,Setup!$B$33:$B$40,0)),0)=1)*(COUNTIF(W2008:W2025,$B2050)+COUNTIF(W2008:W2025,$B2050&amp;" ~*")&gt;0)+(IFERROR(INDEX(Setup!$G$33:$G$40,MATCH(Y2050,Setup!$B$33:$B$40,0)),0)=1)*(COUNTIF(Y2008:Y2025,$B2050)+COUNTIF(Y2008:Y2025,$B2050&amp;" ~*")&gt;0))</f>
        <v/>
      </c>
    </row>
    <row r="2051" ht="16" customHeight="1">
      <c r="A2051" t="n">
        <v>41</v>
      </c>
      <c r="B2051" s="106" t="inlineStr">
        <is>
          <t>Available people</t>
        </is>
      </c>
      <c r="C2051" s="107">
        <f>COUNTIFS(Setup!$E$6:$E$29,"Y",Setup!$B$6:$B$29,"?*")-SUMPRODUCT(COUNTIF(C2027:C2050,Setup!$F$33:$F$40))</f>
        <v/>
      </c>
      <c r="D2051" s="107" t="n"/>
      <c r="E2051" s="107" t="n"/>
      <c r="F2051" s="107" t="n"/>
      <c r="G2051" s="107">
        <f>COUNTIFS(Setup!$E$6:$E$29,"Y",Setup!$B$6:$B$29,"?*")-SUMPRODUCT(COUNTIF(G2027:G2050,Setup!$F$33:$F$40))</f>
        <v/>
      </c>
      <c r="H2051" s="107" t="n"/>
      <c r="I2051" s="107" t="n"/>
      <c r="J2051" s="107" t="n"/>
      <c r="K2051" s="107">
        <f>COUNTIFS(Setup!$E$6:$E$29,"Y",Setup!$B$6:$B$29,"?*")-SUMPRODUCT(COUNTIF(K2027:K2050,Setup!$F$33:$F$40))</f>
        <v/>
      </c>
      <c r="L2051" s="107" t="n"/>
      <c r="M2051" s="107" t="n"/>
      <c r="N2051" s="107" t="n"/>
      <c r="O2051" s="107">
        <f>COUNTIFS(Setup!$E$6:$E$29,"Y",Setup!$B$6:$B$29,"?*")-SUMPRODUCT(COUNTIF(O2027:O2050,Setup!$F$33:$F$40))</f>
        <v/>
      </c>
      <c r="P2051" s="107" t="n"/>
      <c r="Q2051" s="107" t="n"/>
      <c r="R2051" s="107" t="n"/>
      <c r="S2051" s="107">
        <f>COUNTIFS(Setup!$E$6:$E$29,"Y",Setup!$B$6:$B$29,"?*")-SUMPRODUCT(COUNTIF(S2027:S2050,Setup!$F$33:$F$40))</f>
        <v/>
      </c>
      <c r="T2051" s="107" t="n"/>
      <c r="U2051" s="107" t="n"/>
      <c r="V2051" s="107" t="n"/>
      <c r="W2051" s="107">
        <f>COUNTIFS(Setup!$E$6:$E$29,"Y",Setup!$B$6:$B$29,"?*")-SUMPRODUCT(COUNTIF(W2027:W2050,Setup!$F$33:$F$40))</f>
        <v/>
      </c>
      <c r="X2051" s="107" t="n"/>
      <c r="Y2051" s="107">
        <f>COUNTIFS(Setup!$E$6:$E$29,"Y",Setup!$B$6:$B$29,"?*")-SUMPRODUCT(COUNTIF(Y2027:Y2050,Setup!$F$33:$F$40))</f>
        <v/>
      </c>
      <c r="Z2051" s="107" t="n"/>
      <c r="AB2051" s="108">
        <f>SUM(AB2027:AB2050)</f>
        <v/>
      </c>
      <c r="AC2051" s="109">
        <f>SUM(AC2027:AC2050)</f>
        <v/>
      </c>
    </row>
    <row r="2052" ht="30" customHeight="1">
      <c r="A2052" t="n">
        <v>41</v>
      </c>
      <c r="B2052" s="110" t="inlineStr">
        <is>
          <t>Week notes</t>
        </is>
      </c>
      <c r="C2052" s="111" t="n"/>
      <c r="D2052" s="112" t="n"/>
      <c r="E2052" s="112" t="n"/>
      <c r="F2052" s="112" t="n"/>
      <c r="G2052" s="112" t="n"/>
      <c r="H2052" s="112" t="n"/>
      <c r="I2052" s="112" t="n"/>
      <c r="J2052" s="112" t="n"/>
      <c r="K2052" s="112" t="n"/>
      <c r="L2052" s="112" t="n"/>
      <c r="M2052" s="112" t="n"/>
      <c r="N2052" s="112" t="n"/>
      <c r="O2052" s="112" t="n"/>
      <c r="P2052" s="112" t="n"/>
      <c r="Q2052" s="112" t="n"/>
      <c r="R2052" s="112" t="n"/>
      <c r="S2052" s="112" t="n"/>
      <c r="T2052" s="112" t="n"/>
      <c r="U2052" s="112" t="n"/>
      <c r="V2052" s="112" t="n"/>
      <c r="W2052" s="112" t="n"/>
      <c r="X2052" s="112" t="n"/>
      <c r="Y2052" s="112" t="n"/>
      <c r="Z2052" s="113" t="n"/>
    </row>
    <row r="2053" ht="8" customHeight="1">
      <c r="A2053" t="n">
        <v>41</v>
      </c>
    </row>
    <row r="2054" ht="8" customHeight="1">
      <c r="A2054" t="n">
        <v>41</v>
      </c>
    </row>
    <row r="2055" ht="24" customHeight="1">
      <c r="A2055" t="n">
        <v>42</v>
      </c>
      <c r="B2055" s="73">
        <f>"WEEK 42     "&amp;TEXT(C2056,"ddd d mmm")&amp;"  –  "&amp;TEXT(C2056+6,"ddd d mmm yyyy")</f>
        <v/>
      </c>
      <c r="S2055" s="74">
        <f>IF(TODAY()&lt;C2056,"FUTURE",IF(TODAY()&gt;C2056+6,"PAST","THIS WEEK"))</f>
        <v/>
      </c>
      <c r="W2055" s="75">
        <f>IF(AND(Engine!$B$8=$AC$3,Engine!$B$9=$A2055),"◀ ACTIVE WEEK","")</f>
        <v/>
      </c>
      <c r="AA2055" s="76" t="n"/>
      <c r="AB2055" s="77" t="inlineStr">
        <is>
          <t>◀ Prev</t>
        </is>
      </c>
      <c r="AC2055" s="77" t="inlineStr">
        <is>
          <t>Next ▶</t>
        </is>
      </c>
    </row>
    <row r="2056" ht="18" customHeight="1">
      <c r="A2056" t="n">
        <v>42</v>
      </c>
      <c r="B2056" s="78" t="inlineStr">
        <is>
          <t>DUTY</t>
        </is>
      </c>
      <c r="C2056" s="79">
        <f>$AC$2+7*($A2056-1)</f>
        <v/>
      </c>
      <c r="D2056" s="80" t="n"/>
      <c r="E2056" s="80" t="n"/>
      <c r="F2056" s="81" t="n"/>
      <c r="G2056" s="79">
        <f>C2056+1</f>
        <v/>
      </c>
      <c r="H2056" s="80" t="n"/>
      <c r="I2056" s="80" t="n"/>
      <c r="J2056" s="81" t="n"/>
      <c r="K2056" s="79">
        <f>C2056+2</f>
        <v/>
      </c>
      <c r="L2056" s="80" t="n"/>
      <c r="M2056" s="80" t="n"/>
      <c r="N2056" s="81" t="n"/>
      <c r="O2056" s="79">
        <f>C2056+3</f>
        <v/>
      </c>
      <c r="P2056" s="80" t="n"/>
      <c r="Q2056" s="80" t="n"/>
      <c r="R2056" s="81" t="n"/>
      <c r="S2056" s="79">
        <f>C2056+4</f>
        <v/>
      </c>
      <c r="T2056" s="80" t="n"/>
      <c r="U2056" s="80" t="n"/>
      <c r="V2056" s="81" t="n"/>
      <c r="W2056" s="82">
        <f>C2056+5</f>
        <v/>
      </c>
      <c r="X2056" s="83" t="n"/>
      <c r="Y2056" s="82">
        <f>C2056+6</f>
        <v/>
      </c>
      <c r="Z2056" s="83" t="n"/>
      <c r="AB2056" s="72" t="inlineStr">
        <is>
          <t>Gaps</t>
        </is>
      </c>
      <c r="AC2056" s="72" t="inlineStr">
        <is>
          <t>Cover</t>
        </is>
      </c>
    </row>
    <row r="2057" ht="14" customHeight="1">
      <c r="A2057" t="n">
        <v>42</v>
      </c>
      <c r="B2057" s="84" t="inlineStr">
        <is>
          <t>(from Setup)</t>
        </is>
      </c>
      <c r="C2057" s="85" t="inlineStr">
        <is>
          <t>1</t>
        </is>
      </c>
      <c r="D2057" s="85" t="inlineStr">
        <is>
          <t>2</t>
        </is>
      </c>
      <c r="E2057" s="85" t="inlineStr">
        <is>
          <t>3</t>
        </is>
      </c>
      <c r="F2057" s="85" t="inlineStr">
        <is>
          <t>Notes</t>
        </is>
      </c>
      <c r="G2057" s="85" t="inlineStr">
        <is>
          <t>1</t>
        </is>
      </c>
      <c r="H2057" s="85" t="inlineStr">
        <is>
          <t>2</t>
        </is>
      </c>
      <c r="I2057" s="85" t="inlineStr">
        <is>
          <t>3</t>
        </is>
      </c>
      <c r="J2057" s="85" t="inlineStr">
        <is>
          <t>Notes</t>
        </is>
      </c>
      <c r="K2057" s="85" t="inlineStr">
        <is>
          <t>1</t>
        </is>
      </c>
      <c r="L2057" s="85" t="inlineStr">
        <is>
          <t>2</t>
        </is>
      </c>
      <c r="M2057" s="85" t="inlineStr">
        <is>
          <t>3</t>
        </is>
      </c>
      <c r="N2057" s="85" t="inlineStr">
        <is>
          <t>Notes</t>
        </is>
      </c>
      <c r="O2057" s="85" t="inlineStr">
        <is>
          <t>1</t>
        </is>
      </c>
      <c r="P2057" s="85" t="inlineStr">
        <is>
          <t>2</t>
        </is>
      </c>
      <c r="Q2057" s="85" t="inlineStr">
        <is>
          <t>3</t>
        </is>
      </c>
      <c r="R2057" s="85" t="inlineStr">
        <is>
          <t>Notes</t>
        </is>
      </c>
      <c r="S2057" s="85" t="inlineStr">
        <is>
          <t>1</t>
        </is>
      </c>
      <c r="T2057" s="85" t="inlineStr">
        <is>
          <t>2</t>
        </is>
      </c>
      <c r="U2057" s="85" t="inlineStr">
        <is>
          <t>3</t>
        </is>
      </c>
      <c r="V2057" s="85" t="inlineStr">
        <is>
          <t>Notes</t>
        </is>
      </c>
      <c r="W2057" s="85" t="inlineStr">
        <is>
          <t>Cover</t>
        </is>
      </c>
      <c r="X2057" s="85" t="inlineStr">
        <is>
          <t>Notes</t>
        </is>
      </c>
      <c r="Y2057" s="85" t="inlineStr">
        <is>
          <t>Cover</t>
        </is>
      </c>
      <c r="Z2057" s="85" t="inlineStr">
        <is>
          <t>Notes</t>
        </is>
      </c>
      <c r="AB2057" s="86" t="inlineStr">
        <is>
          <t>weekdays short</t>
        </is>
      </c>
      <c r="AC2057" s="87" t="inlineStr"/>
    </row>
    <row r="2058" ht="17" customHeight="1">
      <c r="A2058" t="n">
        <v>42</v>
      </c>
      <c r="B2058" s="24">
        <f>IF(Setup!$K$6="","",Setup!$K$6)</f>
        <v/>
      </c>
      <c r="C2058" s="88" t="n"/>
      <c r="D2058" s="88" t="n"/>
      <c r="E2058" s="88" t="n"/>
      <c r="F2058" s="89" t="n"/>
      <c r="G2058" s="88" t="n"/>
      <c r="H2058" s="88" t="n"/>
      <c r="I2058" s="88" t="n"/>
      <c r="J2058" s="89" t="n"/>
      <c r="K2058" s="88" t="n"/>
      <c r="L2058" s="88" t="n"/>
      <c r="M2058" s="88" t="n"/>
      <c r="N2058" s="89" t="n"/>
      <c r="O2058" s="88" t="n"/>
      <c r="P2058" s="88" t="n"/>
      <c r="Q2058" s="88" t="n"/>
      <c r="R2058" s="89" t="n"/>
      <c r="S2058" s="88" t="n"/>
      <c r="T2058" s="88" t="n"/>
      <c r="U2058" s="88" t="n"/>
      <c r="V2058" s="89" t="n"/>
      <c r="W2058" s="88" t="n"/>
      <c r="X2058" s="89" t="n"/>
      <c r="Y2058" s="88" t="n"/>
      <c r="Z2058" s="89" t="n"/>
      <c r="AB2058" s="25">
        <f>IF($B2058="","",(COUNTIF(C2058:E2058,"?*")&lt;N(INDEX(Setup!$L$6:$L$23,1)))+(COUNTIF(G2058:I2058,"?*")&lt;N(INDEX(Setup!$L$6:$L$23,1)))+(COUNTIF(K2058:M2058,"?*")&lt;N(INDEX(Setup!$L$6:$L$23,1)))+(COUNTIF(O2058:Q2058,"?*")&lt;N(INDEX(Setup!$L$6:$L$23,1)))+(COUNTIF(S2058:U2058,"?*")&lt;N(INDEX(Setup!$L$6:$L$23,1)))+((W2058="")*(INDEX(Setup!$M$6:$M$23,1)="Y"))+((Y2058="")*(INDEX(Setup!$M$6:$M$23,1)="Y")))</f>
        <v/>
      </c>
      <c r="AC2058" s="90">
        <f>IF($B2058="","",IF(AB2058=0,"✓ covered","⚠ "&amp;AB2058&amp;IF(AB2058=1," gap"," gaps")))</f>
        <v/>
      </c>
    </row>
    <row r="2059" ht="17" customHeight="1">
      <c r="A2059" t="n">
        <v>42</v>
      </c>
      <c r="B2059" s="29">
        <f>IF(Setup!$K$7="","",Setup!$K$7)</f>
        <v/>
      </c>
      <c r="C2059" s="88" t="n"/>
      <c r="D2059" s="88" t="n"/>
      <c r="E2059" s="88" t="n"/>
      <c r="F2059" s="89" t="n"/>
      <c r="G2059" s="88" t="n"/>
      <c r="H2059" s="88" t="n"/>
      <c r="I2059" s="88" t="n"/>
      <c r="J2059" s="89" t="n"/>
      <c r="K2059" s="88" t="n"/>
      <c r="L2059" s="88" t="n"/>
      <c r="M2059" s="88" t="n"/>
      <c r="N2059" s="89" t="n"/>
      <c r="O2059" s="88" t="n"/>
      <c r="P2059" s="88" t="n"/>
      <c r="Q2059" s="88" t="n"/>
      <c r="R2059" s="89" t="n"/>
      <c r="S2059" s="88" t="n"/>
      <c r="T2059" s="88" t="n"/>
      <c r="U2059" s="88" t="n"/>
      <c r="V2059" s="89" t="n"/>
      <c r="W2059" s="88" t="n"/>
      <c r="X2059" s="89" t="n"/>
      <c r="Y2059" s="88" t="n"/>
      <c r="Z2059" s="89" t="n"/>
      <c r="AB2059" s="30">
        <f>IF($B2059="","",(COUNTIF(C2059:E2059,"?*")&lt;N(INDEX(Setup!$L$6:$L$23,2)))+(COUNTIF(G2059:I2059,"?*")&lt;N(INDEX(Setup!$L$6:$L$23,2)))+(COUNTIF(K2059:M2059,"?*")&lt;N(INDEX(Setup!$L$6:$L$23,2)))+(COUNTIF(O2059:Q2059,"?*")&lt;N(INDEX(Setup!$L$6:$L$23,2)))+(COUNTIF(S2059:U2059,"?*")&lt;N(INDEX(Setup!$L$6:$L$23,2)))+((W2059="")*(INDEX(Setup!$M$6:$M$23,2)="Y"))+((Y2059="")*(INDEX(Setup!$M$6:$M$23,2)="Y")))</f>
        <v/>
      </c>
      <c r="AC2059" s="91">
        <f>IF($B2059="","",IF(AB2059=0,"✓ covered","⚠ "&amp;AB2059&amp;IF(AB2059=1," gap"," gaps")))</f>
        <v/>
      </c>
    </row>
    <row r="2060" ht="17" customHeight="1">
      <c r="A2060" t="n">
        <v>42</v>
      </c>
      <c r="B2060" s="24">
        <f>IF(Setup!$K$8="","",Setup!$K$8)</f>
        <v/>
      </c>
      <c r="C2060" s="88" t="n"/>
      <c r="D2060" s="88" t="n"/>
      <c r="E2060" s="88" t="n"/>
      <c r="F2060" s="89" t="n"/>
      <c r="G2060" s="88" t="n"/>
      <c r="H2060" s="88" t="n"/>
      <c r="I2060" s="88" t="n"/>
      <c r="J2060" s="89" t="n"/>
      <c r="K2060" s="88" t="n"/>
      <c r="L2060" s="88" t="n"/>
      <c r="M2060" s="88" t="n"/>
      <c r="N2060" s="89" t="n"/>
      <c r="O2060" s="88" t="n"/>
      <c r="P2060" s="88" t="n"/>
      <c r="Q2060" s="88" t="n"/>
      <c r="R2060" s="89" t="n"/>
      <c r="S2060" s="88" t="n"/>
      <c r="T2060" s="88" t="n"/>
      <c r="U2060" s="88" t="n"/>
      <c r="V2060" s="89" t="n"/>
      <c r="W2060" s="88" t="n"/>
      <c r="X2060" s="89" t="n"/>
      <c r="Y2060" s="88" t="n"/>
      <c r="Z2060" s="89" t="n"/>
      <c r="AB2060" s="25">
        <f>IF($B2060="","",(COUNTIF(C2060:E2060,"?*")&lt;N(INDEX(Setup!$L$6:$L$23,3)))+(COUNTIF(G2060:I2060,"?*")&lt;N(INDEX(Setup!$L$6:$L$23,3)))+(COUNTIF(K2060:M2060,"?*")&lt;N(INDEX(Setup!$L$6:$L$23,3)))+(COUNTIF(O2060:Q2060,"?*")&lt;N(INDEX(Setup!$L$6:$L$23,3)))+(COUNTIF(S2060:U2060,"?*")&lt;N(INDEX(Setup!$L$6:$L$23,3)))+((W2060="")*(INDEX(Setup!$M$6:$M$23,3)="Y"))+((Y2060="")*(INDEX(Setup!$M$6:$M$23,3)="Y")))</f>
        <v/>
      </c>
      <c r="AC2060" s="90">
        <f>IF($B2060="","",IF(AB2060=0,"✓ covered","⚠ "&amp;AB2060&amp;IF(AB2060=1," gap"," gaps")))</f>
        <v/>
      </c>
    </row>
    <row r="2061" ht="17" customHeight="1">
      <c r="A2061" t="n">
        <v>42</v>
      </c>
      <c r="B2061" s="29">
        <f>IF(Setup!$K$9="","",Setup!$K$9)</f>
        <v/>
      </c>
      <c r="C2061" s="88" t="n"/>
      <c r="D2061" s="88" t="n"/>
      <c r="E2061" s="88" t="n"/>
      <c r="F2061" s="89" t="n"/>
      <c r="G2061" s="88" t="n"/>
      <c r="H2061" s="88" t="n"/>
      <c r="I2061" s="88" t="n"/>
      <c r="J2061" s="89" t="n"/>
      <c r="K2061" s="88" t="n"/>
      <c r="L2061" s="88" t="n"/>
      <c r="M2061" s="88" t="n"/>
      <c r="N2061" s="89" t="n"/>
      <c r="O2061" s="88" t="n"/>
      <c r="P2061" s="88" t="n"/>
      <c r="Q2061" s="88" t="n"/>
      <c r="R2061" s="89" t="n"/>
      <c r="S2061" s="88" t="n"/>
      <c r="T2061" s="88" t="n"/>
      <c r="U2061" s="88" t="n"/>
      <c r="V2061" s="89" t="n"/>
      <c r="W2061" s="88" t="n"/>
      <c r="X2061" s="89" t="n"/>
      <c r="Y2061" s="88" t="n"/>
      <c r="Z2061" s="89" t="n"/>
      <c r="AB2061" s="30">
        <f>IF($B2061="","",(COUNTIF(C2061:E2061,"?*")&lt;N(INDEX(Setup!$L$6:$L$23,4)))+(COUNTIF(G2061:I2061,"?*")&lt;N(INDEX(Setup!$L$6:$L$23,4)))+(COUNTIF(K2061:M2061,"?*")&lt;N(INDEX(Setup!$L$6:$L$23,4)))+(COUNTIF(O2061:Q2061,"?*")&lt;N(INDEX(Setup!$L$6:$L$23,4)))+(COUNTIF(S2061:U2061,"?*")&lt;N(INDEX(Setup!$L$6:$L$23,4)))+((W2061="")*(INDEX(Setup!$M$6:$M$23,4)="Y"))+((Y2061="")*(INDEX(Setup!$M$6:$M$23,4)="Y")))</f>
        <v/>
      </c>
      <c r="AC2061" s="91">
        <f>IF($B2061="","",IF(AB2061=0,"✓ covered","⚠ "&amp;AB2061&amp;IF(AB2061=1," gap"," gaps")))</f>
        <v/>
      </c>
    </row>
    <row r="2062" ht="17" customHeight="1">
      <c r="A2062" t="n">
        <v>42</v>
      </c>
      <c r="B2062" s="24">
        <f>IF(Setup!$K$10="","",Setup!$K$10)</f>
        <v/>
      </c>
      <c r="C2062" s="88" t="n"/>
      <c r="D2062" s="88" t="n"/>
      <c r="E2062" s="88" t="n"/>
      <c r="F2062" s="89" t="n"/>
      <c r="G2062" s="88" t="n"/>
      <c r="H2062" s="88" t="n"/>
      <c r="I2062" s="88" t="n"/>
      <c r="J2062" s="89" t="n"/>
      <c r="K2062" s="88" t="n"/>
      <c r="L2062" s="88" t="n"/>
      <c r="M2062" s="88" t="n"/>
      <c r="N2062" s="89" t="n"/>
      <c r="O2062" s="88" t="n"/>
      <c r="P2062" s="88" t="n"/>
      <c r="Q2062" s="88" t="n"/>
      <c r="R2062" s="89" t="n"/>
      <c r="S2062" s="88" t="n"/>
      <c r="T2062" s="88" t="n"/>
      <c r="U2062" s="88" t="n"/>
      <c r="V2062" s="89" t="n"/>
      <c r="W2062" s="88" t="n"/>
      <c r="X2062" s="89" t="n"/>
      <c r="Y2062" s="88" t="n"/>
      <c r="Z2062" s="89" t="n"/>
      <c r="AB2062" s="25">
        <f>IF($B2062="","",(COUNTIF(C2062:E2062,"?*")&lt;N(INDEX(Setup!$L$6:$L$23,5)))+(COUNTIF(G2062:I2062,"?*")&lt;N(INDEX(Setup!$L$6:$L$23,5)))+(COUNTIF(K2062:M2062,"?*")&lt;N(INDEX(Setup!$L$6:$L$23,5)))+(COUNTIF(O2062:Q2062,"?*")&lt;N(INDEX(Setup!$L$6:$L$23,5)))+(COUNTIF(S2062:U2062,"?*")&lt;N(INDEX(Setup!$L$6:$L$23,5)))+((W2062="")*(INDEX(Setup!$M$6:$M$23,5)="Y"))+((Y2062="")*(INDEX(Setup!$M$6:$M$23,5)="Y")))</f>
        <v/>
      </c>
      <c r="AC2062" s="90">
        <f>IF($B2062="","",IF(AB2062=0,"✓ covered","⚠ "&amp;AB2062&amp;IF(AB2062=1," gap"," gaps")))</f>
        <v/>
      </c>
    </row>
    <row r="2063" ht="17" customHeight="1">
      <c r="A2063" t="n">
        <v>42</v>
      </c>
      <c r="B2063" s="29">
        <f>IF(Setup!$K$11="","",Setup!$K$11)</f>
        <v/>
      </c>
      <c r="C2063" s="88" t="n"/>
      <c r="D2063" s="88" t="n"/>
      <c r="E2063" s="88" t="n"/>
      <c r="F2063" s="89" t="n"/>
      <c r="G2063" s="88" t="n"/>
      <c r="H2063" s="88" t="n"/>
      <c r="I2063" s="88" t="n"/>
      <c r="J2063" s="89" t="n"/>
      <c r="K2063" s="88" t="n"/>
      <c r="L2063" s="88" t="n"/>
      <c r="M2063" s="88" t="n"/>
      <c r="N2063" s="89" t="n"/>
      <c r="O2063" s="88" t="n"/>
      <c r="P2063" s="88" t="n"/>
      <c r="Q2063" s="88" t="n"/>
      <c r="R2063" s="89" t="n"/>
      <c r="S2063" s="88" t="n"/>
      <c r="T2063" s="88" t="n"/>
      <c r="U2063" s="88" t="n"/>
      <c r="V2063" s="89" t="n"/>
      <c r="W2063" s="88" t="n"/>
      <c r="X2063" s="89" t="n"/>
      <c r="Y2063" s="88" t="n"/>
      <c r="Z2063" s="89" t="n"/>
      <c r="AB2063" s="30">
        <f>IF($B2063="","",(COUNTIF(C2063:E2063,"?*")&lt;N(INDEX(Setup!$L$6:$L$23,6)))+(COUNTIF(G2063:I2063,"?*")&lt;N(INDEX(Setup!$L$6:$L$23,6)))+(COUNTIF(K2063:M2063,"?*")&lt;N(INDEX(Setup!$L$6:$L$23,6)))+(COUNTIF(O2063:Q2063,"?*")&lt;N(INDEX(Setup!$L$6:$L$23,6)))+(COUNTIF(S2063:U2063,"?*")&lt;N(INDEX(Setup!$L$6:$L$23,6)))+((W2063="")*(INDEX(Setup!$M$6:$M$23,6)="Y"))+((Y2063="")*(INDEX(Setup!$M$6:$M$23,6)="Y")))</f>
        <v/>
      </c>
      <c r="AC2063" s="91">
        <f>IF($B2063="","",IF(AB2063=0,"✓ covered","⚠ "&amp;AB2063&amp;IF(AB2063=1," gap"," gaps")))</f>
        <v/>
      </c>
    </row>
    <row r="2064" ht="17" customHeight="1">
      <c r="A2064" t="n">
        <v>42</v>
      </c>
      <c r="B2064" s="24">
        <f>IF(Setup!$K$12="","",Setup!$K$12)</f>
        <v/>
      </c>
      <c r="C2064" s="88" t="n"/>
      <c r="D2064" s="88" t="n"/>
      <c r="E2064" s="88" t="n"/>
      <c r="F2064" s="89" t="n"/>
      <c r="G2064" s="88" t="n"/>
      <c r="H2064" s="88" t="n"/>
      <c r="I2064" s="88" t="n"/>
      <c r="J2064" s="89" t="n"/>
      <c r="K2064" s="88" t="n"/>
      <c r="L2064" s="88" t="n"/>
      <c r="M2064" s="88" t="n"/>
      <c r="N2064" s="89" t="n"/>
      <c r="O2064" s="88" t="n"/>
      <c r="P2064" s="88" t="n"/>
      <c r="Q2064" s="88" t="n"/>
      <c r="R2064" s="89" t="n"/>
      <c r="S2064" s="88" t="n"/>
      <c r="T2064" s="88" t="n"/>
      <c r="U2064" s="88" t="n"/>
      <c r="V2064" s="89" t="n"/>
      <c r="W2064" s="88" t="n"/>
      <c r="X2064" s="89" t="n"/>
      <c r="Y2064" s="88" t="n"/>
      <c r="Z2064" s="89" t="n"/>
      <c r="AB2064" s="25">
        <f>IF($B2064="","",(COUNTIF(C2064:E2064,"?*")&lt;N(INDEX(Setup!$L$6:$L$23,7)))+(COUNTIF(G2064:I2064,"?*")&lt;N(INDEX(Setup!$L$6:$L$23,7)))+(COUNTIF(K2064:M2064,"?*")&lt;N(INDEX(Setup!$L$6:$L$23,7)))+(COUNTIF(O2064:Q2064,"?*")&lt;N(INDEX(Setup!$L$6:$L$23,7)))+(COUNTIF(S2064:U2064,"?*")&lt;N(INDEX(Setup!$L$6:$L$23,7)))+((W2064="")*(INDEX(Setup!$M$6:$M$23,7)="Y"))+((Y2064="")*(INDEX(Setup!$M$6:$M$23,7)="Y")))</f>
        <v/>
      </c>
      <c r="AC2064" s="90">
        <f>IF($B2064="","",IF(AB2064=0,"✓ covered","⚠ "&amp;AB2064&amp;IF(AB2064=1," gap"," gaps")))</f>
        <v/>
      </c>
    </row>
    <row r="2065" ht="17" customHeight="1">
      <c r="A2065" t="n">
        <v>42</v>
      </c>
      <c r="B2065" s="29">
        <f>IF(Setup!$K$13="","",Setup!$K$13)</f>
        <v/>
      </c>
      <c r="C2065" s="88" t="n"/>
      <c r="D2065" s="88" t="n"/>
      <c r="E2065" s="88" t="n"/>
      <c r="F2065" s="89" t="n"/>
      <c r="G2065" s="88" t="n"/>
      <c r="H2065" s="88" t="n"/>
      <c r="I2065" s="88" t="n"/>
      <c r="J2065" s="89" t="n"/>
      <c r="K2065" s="88" t="n"/>
      <c r="L2065" s="88" t="n"/>
      <c r="M2065" s="88" t="n"/>
      <c r="N2065" s="89" t="n"/>
      <c r="O2065" s="88" t="n"/>
      <c r="P2065" s="88" t="n"/>
      <c r="Q2065" s="88" t="n"/>
      <c r="R2065" s="89" t="n"/>
      <c r="S2065" s="88" t="n"/>
      <c r="T2065" s="88" t="n"/>
      <c r="U2065" s="88" t="n"/>
      <c r="V2065" s="89" t="n"/>
      <c r="W2065" s="88" t="n"/>
      <c r="X2065" s="89" t="n"/>
      <c r="Y2065" s="88" t="n"/>
      <c r="Z2065" s="89" t="n"/>
      <c r="AB2065" s="30">
        <f>IF($B2065="","",(COUNTIF(C2065:E2065,"?*")&lt;N(INDEX(Setup!$L$6:$L$23,8)))+(COUNTIF(G2065:I2065,"?*")&lt;N(INDEX(Setup!$L$6:$L$23,8)))+(COUNTIF(K2065:M2065,"?*")&lt;N(INDEX(Setup!$L$6:$L$23,8)))+(COUNTIF(O2065:Q2065,"?*")&lt;N(INDEX(Setup!$L$6:$L$23,8)))+(COUNTIF(S2065:U2065,"?*")&lt;N(INDEX(Setup!$L$6:$L$23,8)))+((W2065="")*(INDEX(Setup!$M$6:$M$23,8)="Y"))+((Y2065="")*(INDEX(Setup!$M$6:$M$23,8)="Y")))</f>
        <v/>
      </c>
      <c r="AC2065" s="91">
        <f>IF($B2065="","",IF(AB2065=0,"✓ covered","⚠ "&amp;AB2065&amp;IF(AB2065=1," gap"," gaps")))</f>
        <v/>
      </c>
    </row>
    <row r="2066" ht="17" customHeight="1">
      <c r="A2066" t="n">
        <v>42</v>
      </c>
      <c r="B2066" s="24">
        <f>IF(Setup!$K$14="","",Setup!$K$14)</f>
        <v/>
      </c>
      <c r="C2066" s="88" t="n"/>
      <c r="D2066" s="88" t="n"/>
      <c r="E2066" s="88" t="n"/>
      <c r="F2066" s="89" t="n"/>
      <c r="G2066" s="88" t="n"/>
      <c r="H2066" s="88" t="n"/>
      <c r="I2066" s="88" t="n"/>
      <c r="J2066" s="89" t="n"/>
      <c r="K2066" s="88" t="n"/>
      <c r="L2066" s="88" t="n"/>
      <c r="M2066" s="88" t="n"/>
      <c r="N2066" s="89" t="n"/>
      <c r="O2066" s="88" t="n"/>
      <c r="P2066" s="88" t="n"/>
      <c r="Q2066" s="88" t="n"/>
      <c r="R2066" s="89" t="n"/>
      <c r="S2066" s="88" t="n"/>
      <c r="T2066" s="88" t="n"/>
      <c r="U2066" s="88" t="n"/>
      <c r="V2066" s="89" t="n"/>
      <c r="W2066" s="88" t="n"/>
      <c r="X2066" s="89" t="n"/>
      <c r="Y2066" s="88" t="n"/>
      <c r="Z2066" s="89" t="n"/>
      <c r="AB2066" s="25">
        <f>IF($B2066="","",(COUNTIF(C2066:E2066,"?*")&lt;N(INDEX(Setup!$L$6:$L$23,9)))+(COUNTIF(G2066:I2066,"?*")&lt;N(INDEX(Setup!$L$6:$L$23,9)))+(COUNTIF(K2066:M2066,"?*")&lt;N(INDEX(Setup!$L$6:$L$23,9)))+(COUNTIF(O2066:Q2066,"?*")&lt;N(INDEX(Setup!$L$6:$L$23,9)))+(COUNTIF(S2066:U2066,"?*")&lt;N(INDEX(Setup!$L$6:$L$23,9)))+((W2066="")*(INDEX(Setup!$M$6:$M$23,9)="Y"))+((Y2066="")*(INDEX(Setup!$M$6:$M$23,9)="Y")))</f>
        <v/>
      </c>
      <c r="AC2066" s="90">
        <f>IF($B2066="","",IF(AB2066=0,"✓ covered","⚠ "&amp;AB2066&amp;IF(AB2066=1," gap"," gaps")))</f>
        <v/>
      </c>
    </row>
    <row r="2067" ht="17" customHeight="1">
      <c r="A2067" t="n">
        <v>42</v>
      </c>
      <c r="B2067" s="29">
        <f>IF(Setup!$K$15="","",Setup!$K$15)</f>
        <v/>
      </c>
      <c r="C2067" s="88" t="n"/>
      <c r="D2067" s="88" t="n"/>
      <c r="E2067" s="88" t="n"/>
      <c r="F2067" s="89" t="n"/>
      <c r="G2067" s="88" t="n"/>
      <c r="H2067" s="88" t="n"/>
      <c r="I2067" s="88" t="n"/>
      <c r="J2067" s="89" t="n"/>
      <c r="K2067" s="88" t="n"/>
      <c r="L2067" s="88" t="n"/>
      <c r="M2067" s="88" t="n"/>
      <c r="N2067" s="89" t="n"/>
      <c r="O2067" s="88" t="n"/>
      <c r="P2067" s="88" t="n"/>
      <c r="Q2067" s="88" t="n"/>
      <c r="R2067" s="89" t="n"/>
      <c r="S2067" s="88" t="n"/>
      <c r="T2067" s="88" t="n"/>
      <c r="U2067" s="88" t="n"/>
      <c r="V2067" s="89" t="n"/>
      <c r="W2067" s="88" t="n"/>
      <c r="X2067" s="89" t="n"/>
      <c r="Y2067" s="88" t="n"/>
      <c r="Z2067" s="89" t="n"/>
      <c r="AB2067" s="30">
        <f>IF($B2067="","",(COUNTIF(C2067:E2067,"?*")&lt;N(INDEX(Setup!$L$6:$L$23,10)))+(COUNTIF(G2067:I2067,"?*")&lt;N(INDEX(Setup!$L$6:$L$23,10)))+(COUNTIF(K2067:M2067,"?*")&lt;N(INDEX(Setup!$L$6:$L$23,10)))+(COUNTIF(O2067:Q2067,"?*")&lt;N(INDEX(Setup!$L$6:$L$23,10)))+(COUNTIF(S2067:U2067,"?*")&lt;N(INDEX(Setup!$L$6:$L$23,10)))+((W2067="")*(INDEX(Setup!$M$6:$M$23,10)="Y"))+((Y2067="")*(INDEX(Setup!$M$6:$M$23,10)="Y")))</f>
        <v/>
      </c>
      <c r="AC2067" s="91">
        <f>IF($B2067="","",IF(AB2067=0,"✓ covered","⚠ "&amp;AB2067&amp;IF(AB2067=1," gap"," gaps")))</f>
        <v/>
      </c>
    </row>
    <row r="2068" ht="17" customHeight="1">
      <c r="A2068" t="n">
        <v>42</v>
      </c>
      <c r="B2068" s="24">
        <f>IF(Setup!$K$16="","",Setup!$K$16)</f>
        <v/>
      </c>
      <c r="C2068" s="88" t="n"/>
      <c r="D2068" s="88" t="n"/>
      <c r="E2068" s="88" t="n"/>
      <c r="F2068" s="89" t="n"/>
      <c r="G2068" s="88" t="n"/>
      <c r="H2068" s="88" t="n"/>
      <c r="I2068" s="88" t="n"/>
      <c r="J2068" s="89" t="n"/>
      <c r="K2068" s="88" t="n"/>
      <c r="L2068" s="88" t="n"/>
      <c r="M2068" s="88" t="n"/>
      <c r="N2068" s="89" t="n"/>
      <c r="O2068" s="88" t="n"/>
      <c r="P2068" s="88" t="n"/>
      <c r="Q2068" s="88" t="n"/>
      <c r="R2068" s="89" t="n"/>
      <c r="S2068" s="88" t="n"/>
      <c r="T2068" s="88" t="n"/>
      <c r="U2068" s="88" t="n"/>
      <c r="V2068" s="89" t="n"/>
      <c r="W2068" s="88" t="n"/>
      <c r="X2068" s="89" t="n"/>
      <c r="Y2068" s="88" t="n"/>
      <c r="Z2068" s="89" t="n"/>
      <c r="AB2068" s="25">
        <f>IF($B2068="","",(COUNTIF(C2068:E2068,"?*")&lt;N(INDEX(Setup!$L$6:$L$23,11)))+(COUNTIF(G2068:I2068,"?*")&lt;N(INDEX(Setup!$L$6:$L$23,11)))+(COUNTIF(K2068:M2068,"?*")&lt;N(INDEX(Setup!$L$6:$L$23,11)))+(COUNTIF(O2068:Q2068,"?*")&lt;N(INDEX(Setup!$L$6:$L$23,11)))+(COUNTIF(S2068:U2068,"?*")&lt;N(INDEX(Setup!$L$6:$L$23,11)))+((W2068="")*(INDEX(Setup!$M$6:$M$23,11)="Y"))+((Y2068="")*(INDEX(Setup!$M$6:$M$23,11)="Y")))</f>
        <v/>
      </c>
      <c r="AC2068" s="90">
        <f>IF($B2068="","",IF(AB2068=0,"✓ covered","⚠ "&amp;AB2068&amp;IF(AB2068=1," gap"," gaps")))</f>
        <v/>
      </c>
    </row>
    <row r="2069" ht="17" customHeight="1">
      <c r="A2069" t="n">
        <v>42</v>
      </c>
      <c r="B2069" s="29">
        <f>IF(Setup!$K$17="","",Setup!$K$17)</f>
        <v/>
      </c>
      <c r="C2069" s="88" t="n"/>
      <c r="D2069" s="88" t="n"/>
      <c r="E2069" s="88" t="n"/>
      <c r="F2069" s="89" t="n"/>
      <c r="G2069" s="88" t="n"/>
      <c r="H2069" s="88" t="n"/>
      <c r="I2069" s="88" t="n"/>
      <c r="J2069" s="89" t="n"/>
      <c r="K2069" s="88" t="n"/>
      <c r="L2069" s="88" t="n"/>
      <c r="M2069" s="88" t="n"/>
      <c r="N2069" s="89" t="n"/>
      <c r="O2069" s="88" t="n"/>
      <c r="P2069" s="88" t="n"/>
      <c r="Q2069" s="88" t="n"/>
      <c r="R2069" s="89" t="n"/>
      <c r="S2069" s="88" t="n"/>
      <c r="T2069" s="88" t="n"/>
      <c r="U2069" s="88" t="n"/>
      <c r="V2069" s="89" t="n"/>
      <c r="W2069" s="88" t="n"/>
      <c r="X2069" s="89" t="n"/>
      <c r="Y2069" s="88" t="n"/>
      <c r="Z2069" s="89" t="n"/>
      <c r="AB2069" s="30">
        <f>IF($B2069="","",(COUNTIF(C2069:E2069,"?*")&lt;N(INDEX(Setup!$L$6:$L$23,12)))+(COUNTIF(G2069:I2069,"?*")&lt;N(INDEX(Setup!$L$6:$L$23,12)))+(COUNTIF(K2069:M2069,"?*")&lt;N(INDEX(Setup!$L$6:$L$23,12)))+(COUNTIF(O2069:Q2069,"?*")&lt;N(INDEX(Setup!$L$6:$L$23,12)))+(COUNTIF(S2069:U2069,"?*")&lt;N(INDEX(Setup!$L$6:$L$23,12)))+((W2069="")*(INDEX(Setup!$M$6:$M$23,12)="Y"))+((Y2069="")*(INDEX(Setup!$M$6:$M$23,12)="Y")))</f>
        <v/>
      </c>
      <c r="AC2069" s="91">
        <f>IF($B2069="","",IF(AB2069=0,"✓ covered","⚠ "&amp;AB2069&amp;IF(AB2069=1," gap"," gaps")))</f>
        <v/>
      </c>
    </row>
    <row r="2070" ht="17" customHeight="1">
      <c r="A2070" t="n">
        <v>42</v>
      </c>
      <c r="B2070" s="24">
        <f>IF(Setup!$K$18="","",Setup!$K$18)</f>
        <v/>
      </c>
      <c r="C2070" s="88" t="n"/>
      <c r="D2070" s="88" t="n"/>
      <c r="E2070" s="88" t="n"/>
      <c r="F2070" s="89" t="n"/>
      <c r="G2070" s="88" t="n"/>
      <c r="H2070" s="88" t="n"/>
      <c r="I2070" s="88" t="n"/>
      <c r="J2070" s="89" t="n"/>
      <c r="K2070" s="88" t="n"/>
      <c r="L2070" s="88" t="n"/>
      <c r="M2070" s="88" t="n"/>
      <c r="N2070" s="89" t="n"/>
      <c r="O2070" s="88" t="n"/>
      <c r="P2070" s="88" t="n"/>
      <c r="Q2070" s="88" t="n"/>
      <c r="R2070" s="89" t="n"/>
      <c r="S2070" s="88" t="n"/>
      <c r="T2070" s="88" t="n"/>
      <c r="U2070" s="88" t="n"/>
      <c r="V2070" s="89" t="n"/>
      <c r="W2070" s="88" t="n"/>
      <c r="X2070" s="89" t="n"/>
      <c r="Y2070" s="88" t="n"/>
      <c r="Z2070" s="89" t="n"/>
      <c r="AB2070" s="25">
        <f>IF($B2070="","",(COUNTIF(C2070:E2070,"?*")&lt;N(INDEX(Setup!$L$6:$L$23,13)))+(COUNTIF(G2070:I2070,"?*")&lt;N(INDEX(Setup!$L$6:$L$23,13)))+(COUNTIF(K2070:M2070,"?*")&lt;N(INDEX(Setup!$L$6:$L$23,13)))+(COUNTIF(O2070:Q2070,"?*")&lt;N(INDEX(Setup!$L$6:$L$23,13)))+(COUNTIF(S2070:U2070,"?*")&lt;N(INDEX(Setup!$L$6:$L$23,13)))+((W2070="")*(INDEX(Setup!$M$6:$M$23,13)="Y"))+((Y2070="")*(INDEX(Setup!$M$6:$M$23,13)="Y")))</f>
        <v/>
      </c>
      <c r="AC2070" s="90">
        <f>IF($B2070="","",IF(AB2070=0,"✓ covered","⚠ "&amp;AB2070&amp;IF(AB2070=1," gap"," gaps")))</f>
        <v/>
      </c>
    </row>
    <row r="2071" ht="17" customHeight="1">
      <c r="A2071" t="n">
        <v>42</v>
      </c>
      <c r="B2071" s="29">
        <f>IF(Setup!$K$19="","",Setup!$K$19)</f>
        <v/>
      </c>
      <c r="C2071" s="88" t="n"/>
      <c r="D2071" s="88" t="n"/>
      <c r="E2071" s="88" t="n"/>
      <c r="F2071" s="89" t="n"/>
      <c r="G2071" s="88" t="n"/>
      <c r="H2071" s="88" t="n"/>
      <c r="I2071" s="88" t="n"/>
      <c r="J2071" s="89" t="n"/>
      <c r="K2071" s="88" t="n"/>
      <c r="L2071" s="88" t="n"/>
      <c r="M2071" s="88" t="n"/>
      <c r="N2071" s="89" t="n"/>
      <c r="O2071" s="88" t="n"/>
      <c r="P2071" s="88" t="n"/>
      <c r="Q2071" s="88" t="n"/>
      <c r="R2071" s="89" t="n"/>
      <c r="S2071" s="88" t="n"/>
      <c r="T2071" s="88" t="n"/>
      <c r="U2071" s="88" t="n"/>
      <c r="V2071" s="89" t="n"/>
      <c r="W2071" s="88" t="n"/>
      <c r="X2071" s="89" t="n"/>
      <c r="Y2071" s="88" t="n"/>
      <c r="Z2071" s="89" t="n"/>
      <c r="AB2071" s="30">
        <f>IF($B2071="","",(COUNTIF(C2071:E2071,"?*")&lt;N(INDEX(Setup!$L$6:$L$23,14)))+(COUNTIF(G2071:I2071,"?*")&lt;N(INDEX(Setup!$L$6:$L$23,14)))+(COUNTIF(K2071:M2071,"?*")&lt;N(INDEX(Setup!$L$6:$L$23,14)))+(COUNTIF(O2071:Q2071,"?*")&lt;N(INDEX(Setup!$L$6:$L$23,14)))+(COUNTIF(S2071:U2071,"?*")&lt;N(INDEX(Setup!$L$6:$L$23,14)))+((W2071="")*(INDEX(Setup!$M$6:$M$23,14)="Y"))+((Y2071="")*(INDEX(Setup!$M$6:$M$23,14)="Y")))</f>
        <v/>
      </c>
      <c r="AC2071" s="91">
        <f>IF($B2071="","",IF(AB2071=0,"✓ covered","⚠ "&amp;AB2071&amp;IF(AB2071=1," gap"," gaps")))</f>
        <v/>
      </c>
    </row>
    <row r="2072" ht="17" customHeight="1">
      <c r="A2072" t="n">
        <v>42</v>
      </c>
      <c r="B2072" s="24">
        <f>IF(Setup!$K$20="","",Setup!$K$20)</f>
        <v/>
      </c>
      <c r="C2072" s="88" t="n"/>
      <c r="D2072" s="88" t="n"/>
      <c r="E2072" s="88" t="n"/>
      <c r="F2072" s="89" t="n"/>
      <c r="G2072" s="88" t="n"/>
      <c r="H2072" s="88" t="n"/>
      <c r="I2072" s="88" t="n"/>
      <c r="J2072" s="89" t="n"/>
      <c r="K2072" s="88" t="n"/>
      <c r="L2072" s="88" t="n"/>
      <c r="M2072" s="88" t="n"/>
      <c r="N2072" s="89" t="n"/>
      <c r="O2072" s="88" t="n"/>
      <c r="P2072" s="88" t="n"/>
      <c r="Q2072" s="88" t="n"/>
      <c r="R2072" s="89" t="n"/>
      <c r="S2072" s="88" t="n"/>
      <c r="T2072" s="88" t="n"/>
      <c r="U2072" s="88" t="n"/>
      <c r="V2072" s="89" t="n"/>
      <c r="W2072" s="88" t="n"/>
      <c r="X2072" s="89" t="n"/>
      <c r="Y2072" s="88" t="n"/>
      <c r="Z2072" s="89" t="n"/>
      <c r="AB2072" s="25">
        <f>IF($B2072="","",(COUNTIF(C2072:E2072,"?*")&lt;N(INDEX(Setup!$L$6:$L$23,15)))+(COUNTIF(G2072:I2072,"?*")&lt;N(INDEX(Setup!$L$6:$L$23,15)))+(COUNTIF(K2072:M2072,"?*")&lt;N(INDEX(Setup!$L$6:$L$23,15)))+(COUNTIF(O2072:Q2072,"?*")&lt;N(INDEX(Setup!$L$6:$L$23,15)))+(COUNTIF(S2072:U2072,"?*")&lt;N(INDEX(Setup!$L$6:$L$23,15)))+((W2072="")*(INDEX(Setup!$M$6:$M$23,15)="Y"))+((Y2072="")*(INDEX(Setup!$M$6:$M$23,15)="Y")))</f>
        <v/>
      </c>
      <c r="AC2072" s="90">
        <f>IF($B2072="","",IF(AB2072=0,"✓ covered","⚠ "&amp;AB2072&amp;IF(AB2072=1," gap"," gaps")))</f>
        <v/>
      </c>
    </row>
    <row r="2073" ht="17" customHeight="1">
      <c r="A2073" t="n">
        <v>42</v>
      </c>
      <c r="B2073" s="29">
        <f>IF(Setup!$K$21="","",Setup!$K$21)</f>
        <v/>
      </c>
      <c r="C2073" s="88" t="n"/>
      <c r="D2073" s="88" t="n"/>
      <c r="E2073" s="88" t="n"/>
      <c r="F2073" s="89" t="n"/>
      <c r="G2073" s="88" t="n"/>
      <c r="H2073" s="88" t="n"/>
      <c r="I2073" s="88" t="n"/>
      <c r="J2073" s="89" t="n"/>
      <c r="K2073" s="88" t="n"/>
      <c r="L2073" s="88" t="n"/>
      <c r="M2073" s="88" t="n"/>
      <c r="N2073" s="89" t="n"/>
      <c r="O2073" s="88" t="n"/>
      <c r="P2073" s="88" t="n"/>
      <c r="Q2073" s="88" t="n"/>
      <c r="R2073" s="89" t="n"/>
      <c r="S2073" s="88" t="n"/>
      <c r="T2073" s="88" t="n"/>
      <c r="U2073" s="88" t="n"/>
      <c r="V2073" s="89" t="n"/>
      <c r="W2073" s="88" t="n"/>
      <c r="X2073" s="89" t="n"/>
      <c r="Y2073" s="88" t="n"/>
      <c r="Z2073" s="89" t="n"/>
      <c r="AB2073" s="30">
        <f>IF($B2073="","",(COUNTIF(C2073:E2073,"?*")&lt;N(INDEX(Setup!$L$6:$L$23,16)))+(COUNTIF(G2073:I2073,"?*")&lt;N(INDEX(Setup!$L$6:$L$23,16)))+(COUNTIF(K2073:M2073,"?*")&lt;N(INDEX(Setup!$L$6:$L$23,16)))+(COUNTIF(O2073:Q2073,"?*")&lt;N(INDEX(Setup!$L$6:$L$23,16)))+(COUNTIF(S2073:U2073,"?*")&lt;N(INDEX(Setup!$L$6:$L$23,16)))+((W2073="")*(INDEX(Setup!$M$6:$M$23,16)="Y"))+((Y2073="")*(INDEX(Setup!$M$6:$M$23,16)="Y")))</f>
        <v/>
      </c>
      <c r="AC2073" s="91">
        <f>IF($B2073="","",IF(AB2073=0,"✓ covered","⚠ "&amp;AB2073&amp;IF(AB2073=1," gap"," gaps")))</f>
        <v/>
      </c>
    </row>
    <row r="2074" ht="17" customHeight="1">
      <c r="A2074" t="n">
        <v>42</v>
      </c>
      <c r="B2074" s="24">
        <f>IF(Setup!$K$22="","",Setup!$K$22)</f>
        <v/>
      </c>
      <c r="C2074" s="88" t="n"/>
      <c r="D2074" s="88" t="n"/>
      <c r="E2074" s="88" t="n"/>
      <c r="F2074" s="89" t="n"/>
      <c r="G2074" s="88" t="n"/>
      <c r="H2074" s="88" t="n"/>
      <c r="I2074" s="88" t="n"/>
      <c r="J2074" s="89" t="n"/>
      <c r="K2074" s="88" t="n"/>
      <c r="L2074" s="88" t="n"/>
      <c r="M2074" s="88" t="n"/>
      <c r="N2074" s="89" t="n"/>
      <c r="O2074" s="88" t="n"/>
      <c r="P2074" s="88" t="n"/>
      <c r="Q2074" s="88" t="n"/>
      <c r="R2074" s="89" t="n"/>
      <c r="S2074" s="88" t="n"/>
      <c r="T2074" s="88" t="n"/>
      <c r="U2074" s="88" t="n"/>
      <c r="V2074" s="89" t="n"/>
      <c r="W2074" s="88" t="n"/>
      <c r="X2074" s="89" t="n"/>
      <c r="Y2074" s="88" t="n"/>
      <c r="Z2074" s="89" t="n"/>
      <c r="AB2074" s="25">
        <f>IF($B2074="","",(COUNTIF(C2074:E2074,"?*")&lt;N(INDEX(Setup!$L$6:$L$23,17)))+(COUNTIF(G2074:I2074,"?*")&lt;N(INDEX(Setup!$L$6:$L$23,17)))+(COUNTIF(K2074:M2074,"?*")&lt;N(INDEX(Setup!$L$6:$L$23,17)))+(COUNTIF(O2074:Q2074,"?*")&lt;N(INDEX(Setup!$L$6:$L$23,17)))+(COUNTIF(S2074:U2074,"?*")&lt;N(INDEX(Setup!$L$6:$L$23,17)))+((W2074="")*(INDEX(Setup!$M$6:$M$23,17)="Y"))+((Y2074="")*(INDEX(Setup!$M$6:$M$23,17)="Y")))</f>
        <v/>
      </c>
      <c r="AC2074" s="90">
        <f>IF($B2074="","",IF(AB2074=0,"✓ covered","⚠ "&amp;AB2074&amp;IF(AB2074=1," gap"," gaps")))</f>
        <v/>
      </c>
    </row>
    <row r="2075" ht="17" customHeight="1">
      <c r="A2075" t="n">
        <v>42</v>
      </c>
      <c r="B2075" s="29">
        <f>IF(Setup!$K$23="","",Setup!$K$23)</f>
        <v/>
      </c>
      <c r="C2075" s="88" t="n"/>
      <c r="D2075" s="88" t="n"/>
      <c r="E2075" s="88" t="n"/>
      <c r="F2075" s="89" t="n"/>
      <c r="G2075" s="88" t="n"/>
      <c r="H2075" s="88" t="n"/>
      <c r="I2075" s="88" t="n"/>
      <c r="J2075" s="89" t="n"/>
      <c r="K2075" s="88" t="n"/>
      <c r="L2075" s="88" t="n"/>
      <c r="M2075" s="88" t="n"/>
      <c r="N2075" s="89" t="n"/>
      <c r="O2075" s="88" t="n"/>
      <c r="P2075" s="88" t="n"/>
      <c r="Q2075" s="88" t="n"/>
      <c r="R2075" s="89" t="n"/>
      <c r="S2075" s="88" t="n"/>
      <c r="T2075" s="88" t="n"/>
      <c r="U2075" s="88" t="n"/>
      <c r="V2075" s="89" t="n"/>
      <c r="W2075" s="88" t="n"/>
      <c r="X2075" s="89" t="n"/>
      <c r="Y2075" s="88" t="n"/>
      <c r="Z2075" s="89" t="n"/>
      <c r="AB2075" s="30">
        <f>IF($B2075="","",(COUNTIF(C2075:E2075,"?*")&lt;N(INDEX(Setup!$L$6:$L$23,18)))+(COUNTIF(G2075:I2075,"?*")&lt;N(INDEX(Setup!$L$6:$L$23,18)))+(COUNTIF(K2075:M2075,"?*")&lt;N(INDEX(Setup!$L$6:$L$23,18)))+(COUNTIF(O2075:Q2075,"?*")&lt;N(INDEX(Setup!$L$6:$L$23,18)))+(COUNTIF(S2075:U2075,"?*")&lt;N(INDEX(Setup!$L$6:$L$23,18)))+((W2075="")*(INDEX(Setup!$M$6:$M$23,18)="Y"))+((Y2075="")*(INDEX(Setup!$M$6:$M$23,18)="Y")))</f>
        <v/>
      </c>
      <c r="AC2075" s="91">
        <f>IF($B2075="","",IF(AB2075=0,"✓ covered","⚠ "&amp;AB2075&amp;IF(AB2075=1," gap"," gaps")))</f>
        <v/>
      </c>
    </row>
    <row r="2076" ht="18" customHeight="1">
      <c r="A2076" t="n">
        <v>42</v>
      </c>
      <c r="B2076" s="78" t="inlineStr">
        <is>
          <t>TEAM AVAILABILITY</t>
        </is>
      </c>
      <c r="C2076" s="92" t="inlineStr">
        <is>
          <t>Mon</t>
        </is>
      </c>
      <c r="D2076" s="93" t="n"/>
      <c r="E2076" s="93" t="n"/>
      <c r="F2076" s="94" t="n"/>
      <c r="G2076" s="92" t="inlineStr">
        <is>
          <t>Tue</t>
        </is>
      </c>
      <c r="H2076" s="93" t="n"/>
      <c r="I2076" s="93" t="n"/>
      <c r="J2076" s="94" t="n"/>
      <c r="K2076" s="92" t="inlineStr">
        <is>
          <t>Wed</t>
        </is>
      </c>
      <c r="L2076" s="93" t="n"/>
      <c r="M2076" s="93" t="n"/>
      <c r="N2076" s="94" t="n"/>
      <c r="O2076" s="92" t="inlineStr">
        <is>
          <t>Thu</t>
        </is>
      </c>
      <c r="P2076" s="93" t="n"/>
      <c r="Q2076" s="93" t="n"/>
      <c r="R2076" s="94" t="n"/>
      <c r="S2076" s="92" t="inlineStr">
        <is>
          <t>Fri</t>
        </is>
      </c>
      <c r="T2076" s="93" t="n"/>
      <c r="U2076" s="93" t="n"/>
      <c r="V2076" s="94" t="n"/>
      <c r="W2076" s="95" t="inlineStr">
        <is>
          <t>Sat</t>
        </is>
      </c>
      <c r="X2076" s="96" t="n"/>
      <c r="Y2076" s="95" t="inlineStr">
        <is>
          <t>Sun</t>
        </is>
      </c>
      <c r="Z2076" s="96" t="n"/>
      <c r="AB2076" s="97" t="inlineStr">
        <is>
          <t>Days rostered</t>
        </is>
      </c>
      <c r="AC2076" s="97" t="inlineStr">
        <is>
          <t>Conflicts</t>
        </is>
      </c>
    </row>
    <row r="2077" ht="15" customHeight="1">
      <c r="A2077" t="n">
        <v>42</v>
      </c>
      <c r="B2077" s="35">
        <f>IF(Setup!$B$6="","",Setup!$B$6)</f>
        <v/>
      </c>
      <c r="C2077" s="98" t="n"/>
      <c r="D2077" s="99" t="n"/>
      <c r="E2077" s="99" t="n"/>
      <c r="F2077" s="100" t="n"/>
      <c r="G2077" s="98" t="n"/>
      <c r="H2077" s="99" t="n"/>
      <c r="I2077" s="99" t="n"/>
      <c r="J2077" s="100" t="n"/>
      <c r="K2077" s="98" t="n"/>
      <c r="L2077" s="99" t="n"/>
      <c r="M2077" s="99" t="n"/>
      <c r="N2077" s="100" t="n"/>
      <c r="O2077" s="98" t="n"/>
      <c r="P2077" s="99" t="n"/>
      <c r="Q2077" s="99" t="n"/>
      <c r="R2077" s="100" t="n"/>
      <c r="S2077" s="98" t="n"/>
      <c r="T2077" s="99" t="n"/>
      <c r="U2077" s="99" t="n"/>
      <c r="V2077" s="100" t="n"/>
      <c r="W2077" s="98" t="n"/>
      <c r="X2077" s="100" t="n"/>
      <c r="Y2077" s="98" t="n"/>
      <c r="Z2077" s="100" t="n"/>
      <c r="AB2077" s="101">
        <f>IF($B2077="","",(COUNTIF(C2058:E2075,$B2077)+COUNTIF(C2058:E2075,$B2077&amp;" ~*")&gt;0)+(COUNTIF(G2058:I2075,$B2077)+COUNTIF(G2058:I2075,$B2077&amp;" ~*")&gt;0)+(COUNTIF(K2058:M2075,$B2077)+COUNTIF(K2058:M2075,$B2077&amp;" ~*")&gt;0)+(COUNTIF(O2058:Q2075,$B2077)+COUNTIF(O2058:Q2075,$B2077&amp;" ~*")&gt;0)+(COUNTIF(S2058:U2075,$B2077)+COUNTIF(S2058:U2075,$B2077&amp;" ~*")&gt;0)+(COUNTIF(W2058:W2075,$B2077)+COUNTIF(W2058:W2075,$B2077&amp;" ~*")&gt;0)+(COUNTIF(Y2058:Y2075,$B2077)+COUNTIF(Y2058:Y2075,$B2077&amp;" ~*")&gt;0))</f>
        <v/>
      </c>
      <c r="AC2077" s="36">
        <f>IF($B2077="","",(IFERROR(INDEX(Setup!$G$33:$G$40,MATCH(C2077,Setup!$B$33:$B$40,0)),0)=1)*(COUNTIF(C2058:E2075,$B2077)+COUNTIF(C2058:E2075,$B2077&amp;" ~*")&gt;0)+(IFERROR(INDEX(Setup!$G$33:$G$40,MATCH(G2077,Setup!$B$33:$B$40,0)),0)=1)*(COUNTIF(G2058:I2075,$B2077)+COUNTIF(G2058:I2075,$B2077&amp;" ~*")&gt;0)+(IFERROR(INDEX(Setup!$G$33:$G$40,MATCH(K2077,Setup!$B$33:$B$40,0)),0)=1)*(COUNTIF(K2058:M2075,$B2077)+COUNTIF(K2058:M2075,$B2077&amp;" ~*")&gt;0)+(IFERROR(INDEX(Setup!$G$33:$G$40,MATCH(O2077,Setup!$B$33:$B$40,0)),0)=1)*(COUNTIF(O2058:Q2075,$B2077)+COUNTIF(O2058:Q2075,$B2077&amp;" ~*")&gt;0)+(IFERROR(INDEX(Setup!$G$33:$G$40,MATCH(S2077,Setup!$B$33:$B$40,0)),0)=1)*(COUNTIF(S2058:U2075,$B2077)+COUNTIF(S2058:U2075,$B2077&amp;" ~*")&gt;0)+(IFERROR(INDEX(Setup!$G$33:$G$40,MATCH(W2077,Setup!$B$33:$B$40,0)),0)=1)*(COUNTIF(W2058:W2075,$B2077)+COUNTIF(W2058:W2075,$B2077&amp;" ~*")&gt;0)+(IFERROR(INDEX(Setup!$G$33:$G$40,MATCH(Y2077,Setup!$B$33:$B$40,0)),0)=1)*(COUNTIF(Y2058:Y2075,$B2077)+COUNTIF(Y2058:Y2075,$B2077&amp;" ~*")&gt;0))</f>
        <v/>
      </c>
    </row>
    <row r="2078" ht="15" customHeight="1">
      <c r="A2078" t="n">
        <v>42</v>
      </c>
      <c r="B2078" s="37">
        <f>IF(Setup!$B$7="","",Setup!$B$7)</f>
        <v/>
      </c>
      <c r="C2078" s="102" t="n"/>
      <c r="D2078" s="103" t="n"/>
      <c r="E2078" s="103" t="n"/>
      <c r="F2078" s="104" t="n"/>
      <c r="G2078" s="102" t="n"/>
      <c r="H2078" s="103" t="n"/>
      <c r="I2078" s="103" t="n"/>
      <c r="J2078" s="104" t="n"/>
      <c r="K2078" s="102" t="n"/>
      <c r="L2078" s="103" t="n"/>
      <c r="M2078" s="103" t="n"/>
      <c r="N2078" s="104" t="n"/>
      <c r="O2078" s="102" t="n"/>
      <c r="P2078" s="103" t="n"/>
      <c r="Q2078" s="103" t="n"/>
      <c r="R2078" s="104" t="n"/>
      <c r="S2078" s="102" t="n"/>
      <c r="T2078" s="103" t="n"/>
      <c r="U2078" s="103" t="n"/>
      <c r="V2078" s="104" t="n"/>
      <c r="W2078" s="102" t="n"/>
      <c r="X2078" s="104" t="n"/>
      <c r="Y2078" s="102" t="n"/>
      <c r="Z2078" s="104" t="n"/>
      <c r="AB2078" s="105">
        <f>IF($B2078="","",(COUNTIF(C2058:E2075,$B2078)+COUNTIF(C2058:E2075,$B2078&amp;" ~*")&gt;0)+(COUNTIF(G2058:I2075,$B2078)+COUNTIF(G2058:I2075,$B2078&amp;" ~*")&gt;0)+(COUNTIF(K2058:M2075,$B2078)+COUNTIF(K2058:M2075,$B2078&amp;" ~*")&gt;0)+(COUNTIF(O2058:Q2075,$B2078)+COUNTIF(O2058:Q2075,$B2078&amp;" ~*")&gt;0)+(COUNTIF(S2058:U2075,$B2078)+COUNTIF(S2058:U2075,$B2078&amp;" ~*")&gt;0)+(COUNTIF(W2058:W2075,$B2078)+COUNTIF(W2058:W2075,$B2078&amp;" ~*")&gt;0)+(COUNTIF(Y2058:Y2075,$B2078)+COUNTIF(Y2058:Y2075,$B2078&amp;" ~*")&gt;0))</f>
        <v/>
      </c>
      <c r="AC2078" s="38">
        <f>IF($B2078="","",(IFERROR(INDEX(Setup!$G$33:$G$40,MATCH(C2078,Setup!$B$33:$B$40,0)),0)=1)*(COUNTIF(C2058:E2075,$B2078)+COUNTIF(C2058:E2075,$B2078&amp;" ~*")&gt;0)+(IFERROR(INDEX(Setup!$G$33:$G$40,MATCH(G2078,Setup!$B$33:$B$40,0)),0)=1)*(COUNTIF(G2058:I2075,$B2078)+COUNTIF(G2058:I2075,$B2078&amp;" ~*")&gt;0)+(IFERROR(INDEX(Setup!$G$33:$G$40,MATCH(K2078,Setup!$B$33:$B$40,0)),0)=1)*(COUNTIF(K2058:M2075,$B2078)+COUNTIF(K2058:M2075,$B2078&amp;" ~*")&gt;0)+(IFERROR(INDEX(Setup!$G$33:$G$40,MATCH(O2078,Setup!$B$33:$B$40,0)),0)=1)*(COUNTIF(O2058:Q2075,$B2078)+COUNTIF(O2058:Q2075,$B2078&amp;" ~*")&gt;0)+(IFERROR(INDEX(Setup!$G$33:$G$40,MATCH(S2078,Setup!$B$33:$B$40,0)),0)=1)*(COUNTIF(S2058:U2075,$B2078)+COUNTIF(S2058:U2075,$B2078&amp;" ~*")&gt;0)+(IFERROR(INDEX(Setup!$G$33:$G$40,MATCH(W2078,Setup!$B$33:$B$40,0)),0)=1)*(COUNTIF(W2058:W2075,$B2078)+COUNTIF(W2058:W2075,$B2078&amp;" ~*")&gt;0)+(IFERROR(INDEX(Setup!$G$33:$G$40,MATCH(Y2078,Setup!$B$33:$B$40,0)),0)=1)*(COUNTIF(Y2058:Y2075,$B2078)+COUNTIF(Y2058:Y2075,$B2078&amp;" ~*")&gt;0))</f>
        <v/>
      </c>
    </row>
    <row r="2079" ht="15" customHeight="1">
      <c r="A2079" t="n">
        <v>42</v>
      </c>
      <c r="B2079" s="35">
        <f>IF(Setup!$B$8="","",Setup!$B$8)</f>
        <v/>
      </c>
      <c r="C2079" s="98" t="n"/>
      <c r="D2079" s="99" t="n"/>
      <c r="E2079" s="99" t="n"/>
      <c r="F2079" s="100" t="n"/>
      <c r="G2079" s="98" t="n"/>
      <c r="H2079" s="99" t="n"/>
      <c r="I2079" s="99" t="n"/>
      <c r="J2079" s="100" t="n"/>
      <c r="K2079" s="98" t="n"/>
      <c r="L2079" s="99" t="n"/>
      <c r="M2079" s="99" t="n"/>
      <c r="N2079" s="100" t="n"/>
      <c r="O2079" s="98" t="n"/>
      <c r="P2079" s="99" t="n"/>
      <c r="Q2079" s="99" t="n"/>
      <c r="R2079" s="100" t="n"/>
      <c r="S2079" s="98" t="n"/>
      <c r="T2079" s="99" t="n"/>
      <c r="U2079" s="99" t="n"/>
      <c r="V2079" s="100" t="n"/>
      <c r="W2079" s="98" t="n"/>
      <c r="X2079" s="100" t="n"/>
      <c r="Y2079" s="98" t="n"/>
      <c r="Z2079" s="100" t="n"/>
      <c r="AB2079" s="101">
        <f>IF($B2079="","",(COUNTIF(C2058:E2075,$B2079)+COUNTIF(C2058:E2075,$B2079&amp;" ~*")&gt;0)+(COUNTIF(G2058:I2075,$B2079)+COUNTIF(G2058:I2075,$B2079&amp;" ~*")&gt;0)+(COUNTIF(K2058:M2075,$B2079)+COUNTIF(K2058:M2075,$B2079&amp;" ~*")&gt;0)+(COUNTIF(O2058:Q2075,$B2079)+COUNTIF(O2058:Q2075,$B2079&amp;" ~*")&gt;0)+(COUNTIF(S2058:U2075,$B2079)+COUNTIF(S2058:U2075,$B2079&amp;" ~*")&gt;0)+(COUNTIF(W2058:W2075,$B2079)+COUNTIF(W2058:W2075,$B2079&amp;" ~*")&gt;0)+(COUNTIF(Y2058:Y2075,$B2079)+COUNTIF(Y2058:Y2075,$B2079&amp;" ~*")&gt;0))</f>
        <v/>
      </c>
      <c r="AC2079" s="36">
        <f>IF($B2079="","",(IFERROR(INDEX(Setup!$G$33:$G$40,MATCH(C2079,Setup!$B$33:$B$40,0)),0)=1)*(COUNTIF(C2058:E2075,$B2079)+COUNTIF(C2058:E2075,$B2079&amp;" ~*")&gt;0)+(IFERROR(INDEX(Setup!$G$33:$G$40,MATCH(G2079,Setup!$B$33:$B$40,0)),0)=1)*(COUNTIF(G2058:I2075,$B2079)+COUNTIF(G2058:I2075,$B2079&amp;" ~*")&gt;0)+(IFERROR(INDEX(Setup!$G$33:$G$40,MATCH(K2079,Setup!$B$33:$B$40,0)),0)=1)*(COUNTIF(K2058:M2075,$B2079)+COUNTIF(K2058:M2075,$B2079&amp;" ~*")&gt;0)+(IFERROR(INDEX(Setup!$G$33:$G$40,MATCH(O2079,Setup!$B$33:$B$40,0)),0)=1)*(COUNTIF(O2058:Q2075,$B2079)+COUNTIF(O2058:Q2075,$B2079&amp;" ~*")&gt;0)+(IFERROR(INDEX(Setup!$G$33:$G$40,MATCH(S2079,Setup!$B$33:$B$40,0)),0)=1)*(COUNTIF(S2058:U2075,$B2079)+COUNTIF(S2058:U2075,$B2079&amp;" ~*")&gt;0)+(IFERROR(INDEX(Setup!$G$33:$G$40,MATCH(W2079,Setup!$B$33:$B$40,0)),0)=1)*(COUNTIF(W2058:W2075,$B2079)+COUNTIF(W2058:W2075,$B2079&amp;" ~*")&gt;0)+(IFERROR(INDEX(Setup!$G$33:$G$40,MATCH(Y2079,Setup!$B$33:$B$40,0)),0)=1)*(COUNTIF(Y2058:Y2075,$B2079)+COUNTIF(Y2058:Y2075,$B2079&amp;" ~*")&gt;0))</f>
        <v/>
      </c>
    </row>
    <row r="2080" ht="15" customHeight="1">
      <c r="A2080" t="n">
        <v>42</v>
      </c>
      <c r="B2080" s="37">
        <f>IF(Setup!$B$9="","",Setup!$B$9)</f>
        <v/>
      </c>
      <c r="C2080" s="102" t="n"/>
      <c r="D2080" s="103" t="n"/>
      <c r="E2080" s="103" t="n"/>
      <c r="F2080" s="104" t="n"/>
      <c r="G2080" s="102" t="n"/>
      <c r="H2080" s="103" t="n"/>
      <c r="I2080" s="103" t="n"/>
      <c r="J2080" s="104" t="n"/>
      <c r="K2080" s="102" t="n"/>
      <c r="L2080" s="103" t="n"/>
      <c r="M2080" s="103" t="n"/>
      <c r="N2080" s="104" t="n"/>
      <c r="O2080" s="102" t="n"/>
      <c r="P2080" s="103" t="n"/>
      <c r="Q2080" s="103" t="n"/>
      <c r="R2080" s="104" t="n"/>
      <c r="S2080" s="102" t="n"/>
      <c r="T2080" s="103" t="n"/>
      <c r="U2080" s="103" t="n"/>
      <c r="V2080" s="104" t="n"/>
      <c r="W2080" s="102" t="n"/>
      <c r="X2080" s="104" t="n"/>
      <c r="Y2080" s="102" t="n"/>
      <c r="Z2080" s="104" t="n"/>
      <c r="AB2080" s="105">
        <f>IF($B2080="","",(COUNTIF(C2058:E2075,$B2080)+COUNTIF(C2058:E2075,$B2080&amp;" ~*")&gt;0)+(COUNTIF(G2058:I2075,$B2080)+COUNTIF(G2058:I2075,$B2080&amp;" ~*")&gt;0)+(COUNTIF(K2058:M2075,$B2080)+COUNTIF(K2058:M2075,$B2080&amp;" ~*")&gt;0)+(COUNTIF(O2058:Q2075,$B2080)+COUNTIF(O2058:Q2075,$B2080&amp;" ~*")&gt;0)+(COUNTIF(S2058:U2075,$B2080)+COUNTIF(S2058:U2075,$B2080&amp;" ~*")&gt;0)+(COUNTIF(W2058:W2075,$B2080)+COUNTIF(W2058:W2075,$B2080&amp;" ~*")&gt;0)+(COUNTIF(Y2058:Y2075,$B2080)+COUNTIF(Y2058:Y2075,$B2080&amp;" ~*")&gt;0))</f>
        <v/>
      </c>
      <c r="AC2080" s="38">
        <f>IF($B2080="","",(IFERROR(INDEX(Setup!$G$33:$G$40,MATCH(C2080,Setup!$B$33:$B$40,0)),0)=1)*(COUNTIF(C2058:E2075,$B2080)+COUNTIF(C2058:E2075,$B2080&amp;" ~*")&gt;0)+(IFERROR(INDEX(Setup!$G$33:$G$40,MATCH(G2080,Setup!$B$33:$B$40,0)),0)=1)*(COUNTIF(G2058:I2075,$B2080)+COUNTIF(G2058:I2075,$B2080&amp;" ~*")&gt;0)+(IFERROR(INDEX(Setup!$G$33:$G$40,MATCH(K2080,Setup!$B$33:$B$40,0)),0)=1)*(COUNTIF(K2058:M2075,$B2080)+COUNTIF(K2058:M2075,$B2080&amp;" ~*")&gt;0)+(IFERROR(INDEX(Setup!$G$33:$G$40,MATCH(O2080,Setup!$B$33:$B$40,0)),0)=1)*(COUNTIF(O2058:Q2075,$B2080)+COUNTIF(O2058:Q2075,$B2080&amp;" ~*")&gt;0)+(IFERROR(INDEX(Setup!$G$33:$G$40,MATCH(S2080,Setup!$B$33:$B$40,0)),0)=1)*(COUNTIF(S2058:U2075,$B2080)+COUNTIF(S2058:U2075,$B2080&amp;" ~*")&gt;0)+(IFERROR(INDEX(Setup!$G$33:$G$40,MATCH(W2080,Setup!$B$33:$B$40,0)),0)=1)*(COUNTIF(W2058:W2075,$B2080)+COUNTIF(W2058:W2075,$B2080&amp;" ~*")&gt;0)+(IFERROR(INDEX(Setup!$G$33:$G$40,MATCH(Y2080,Setup!$B$33:$B$40,0)),0)=1)*(COUNTIF(Y2058:Y2075,$B2080)+COUNTIF(Y2058:Y2075,$B2080&amp;" ~*")&gt;0))</f>
        <v/>
      </c>
    </row>
    <row r="2081" ht="15" customHeight="1">
      <c r="A2081" t="n">
        <v>42</v>
      </c>
      <c r="B2081" s="35">
        <f>IF(Setup!$B$10="","",Setup!$B$10)</f>
        <v/>
      </c>
      <c r="C2081" s="98" t="n"/>
      <c r="D2081" s="99" t="n"/>
      <c r="E2081" s="99" t="n"/>
      <c r="F2081" s="100" t="n"/>
      <c r="G2081" s="98" t="n"/>
      <c r="H2081" s="99" t="n"/>
      <c r="I2081" s="99" t="n"/>
      <c r="J2081" s="100" t="n"/>
      <c r="K2081" s="98" t="n"/>
      <c r="L2081" s="99" t="n"/>
      <c r="M2081" s="99" t="n"/>
      <c r="N2081" s="100" t="n"/>
      <c r="O2081" s="98" t="n"/>
      <c r="P2081" s="99" t="n"/>
      <c r="Q2081" s="99" t="n"/>
      <c r="R2081" s="100" t="n"/>
      <c r="S2081" s="98" t="n"/>
      <c r="T2081" s="99" t="n"/>
      <c r="U2081" s="99" t="n"/>
      <c r="V2081" s="100" t="n"/>
      <c r="W2081" s="98" t="n"/>
      <c r="X2081" s="100" t="n"/>
      <c r="Y2081" s="98" t="n"/>
      <c r="Z2081" s="100" t="n"/>
      <c r="AB2081" s="101">
        <f>IF($B2081="","",(COUNTIF(C2058:E2075,$B2081)+COUNTIF(C2058:E2075,$B2081&amp;" ~*")&gt;0)+(COUNTIF(G2058:I2075,$B2081)+COUNTIF(G2058:I2075,$B2081&amp;" ~*")&gt;0)+(COUNTIF(K2058:M2075,$B2081)+COUNTIF(K2058:M2075,$B2081&amp;" ~*")&gt;0)+(COUNTIF(O2058:Q2075,$B2081)+COUNTIF(O2058:Q2075,$B2081&amp;" ~*")&gt;0)+(COUNTIF(S2058:U2075,$B2081)+COUNTIF(S2058:U2075,$B2081&amp;" ~*")&gt;0)+(COUNTIF(W2058:W2075,$B2081)+COUNTIF(W2058:W2075,$B2081&amp;" ~*")&gt;0)+(COUNTIF(Y2058:Y2075,$B2081)+COUNTIF(Y2058:Y2075,$B2081&amp;" ~*")&gt;0))</f>
        <v/>
      </c>
      <c r="AC2081" s="36">
        <f>IF($B2081="","",(IFERROR(INDEX(Setup!$G$33:$G$40,MATCH(C2081,Setup!$B$33:$B$40,0)),0)=1)*(COUNTIF(C2058:E2075,$B2081)+COUNTIF(C2058:E2075,$B2081&amp;" ~*")&gt;0)+(IFERROR(INDEX(Setup!$G$33:$G$40,MATCH(G2081,Setup!$B$33:$B$40,0)),0)=1)*(COUNTIF(G2058:I2075,$B2081)+COUNTIF(G2058:I2075,$B2081&amp;" ~*")&gt;0)+(IFERROR(INDEX(Setup!$G$33:$G$40,MATCH(K2081,Setup!$B$33:$B$40,0)),0)=1)*(COUNTIF(K2058:M2075,$B2081)+COUNTIF(K2058:M2075,$B2081&amp;" ~*")&gt;0)+(IFERROR(INDEX(Setup!$G$33:$G$40,MATCH(O2081,Setup!$B$33:$B$40,0)),0)=1)*(COUNTIF(O2058:Q2075,$B2081)+COUNTIF(O2058:Q2075,$B2081&amp;" ~*")&gt;0)+(IFERROR(INDEX(Setup!$G$33:$G$40,MATCH(S2081,Setup!$B$33:$B$40,0)),0)=1)*(COUNTIF(S2058:U2075,$B2081)+COUNTIF(S2058:U2075,$B2081&amp;" ~*")&gt;0)+(IFERROR(INDEX(Setup!$G$33:$G$40,MATCH(W2081,Setup!$B$33:$B$40,0)),0)=1)*(COUNTIF(W2058:W2075,$B2081)+COUNTIF(W2058:W2075,$B2081&amp;" ~*")&gt;0)+(IFERROR(INDEX(Setup!$G$33:$G$40,MATCH(Y2081,Setup!$B$33:$B$40,0)),0)=1)*(COUNTIF(Y2058:Y2075,$B2081)+COUNTIF(Y2058:Y2075,$B2081&amp;" ~*")&gt;0))</f>
        <v/>
      </c>
    </row>
    <row r="2082" ht="15" customHeight="1">
      <c r="A2082" t="n">
        <v>42</v>
      </c>
      <c r="B2082" s="37">
        <f>IF(Setup!$B$11="","",Setup!$B$11)</f>
        <v/>
      </c>
      <c r="C2082" s="102" t="n"/>
      <c r="D2082" s="103" t="n"/>
      <c r="E2082" s="103" t="n"/>
      <c r="F2082" s="104" t="n"/>
      <c r="G2082" s="102" t="n"/>
      <c r="H2082" s="103" t="n"/>
      <c r="I2082" s="103" t="n"/>
      <c r="J2082" s="104" t="n"/>
      <c r="K2082" s="102" t="n"/>
      <c r="L2082" s="103" t="n"/>
      <c r="M2082" s="103" t="n"/>
      <c r="N2082" s="104" t="n"/>
      <c r="O2082" s="102" t="n"/>
      <c r="P2082" s="103" t="n"/>
      <c r="Q2082" s="103" t="n"/>
      <c r="R2082" s="104" t="n"/>
      <c r="S2082" s="102" t="n"/>
      <c r="T2082" s="103" t="n"/>
      <c r="U2082" s="103" t="n"/>
      <c r="V2082" s="104" t="n"/>
      <c r="W2082" s="102" t="n"/>
      <c r="X2082" s="104" t="n"/>
      <c r="Y2082" s="102" t="n"/>
      <c r="Z2082" s="104" t="n"/>
      <c r="AB2082" s="105">
        <f>IF($B2082="","",(COUNTIF(C2058:E2075,$B2082)+COUNTIF(C2058:E2075,$B2082&amp;" ~*")&gt;0)+(COUNTIF(G2058:I2075,$B2082)+COUNTIF(G2058:I2075,$B2082&amp;" ~*")&gt;0)+(COUNTIF(K2058:M2075,$B2082)+COUNTIF(K2058:M2075,$B2082&amp;" ~*")&gt;0)+(COUNTIF(O2058:Q2075,$B2082)+COUNTIF(O2058:Q2075,$B2082&amp;" ~*")&gt;0)+(COUNTIF(S2058:U2075,$B2082)+COUNTIF(S2058:U2075,$B2082&amp;" ~*")&gt;0)+(COUNTIF(W2058:W2075,$B2082)+COUNTIF(W2058:W2075,$B2082&amp;" ~*")&gt;0)+(COUNTIF(Y2058:Y2075,$B2082)+COUNTIF(Y2058:Y2075,$B2082&amp;" ~*")&gt;0))</f>
        <v/>
      </c>
      <c r="AC2082" s="38">
        <f>IF($B2082="","",(IFERROR(INDEX(Setup!$G$33:$G$40,MATCH(C2082,Setup!$B$33:$B$40,0)),0)=1)*(COUNTIF(C2058:E2075,$B2082)+COUNTIF(C2058:E2075,$B2082&amp;" ~*")&gt;0)+(IFERROR(INDEX(Setup!$G$33:$G$40,MATCH(G2082,Setup!$B$33:$B$40,0)),0)=1)*(COUNTIF(G2058:I2075,$B2082)+COUNTIF(G2058:I2075,$B2082&amp;" ~*")&gt;0)+(IFERROR(INDEX(Setup!$G$33:$G$40,MATCH(K2082,Setup!$B$33:$B$40,0)),0)=1)*(COUNTIF(K2058:M2075,$B2082)+COUNTIF(K2058:M2075,$B2082&amp;" ~*")&gt;0)+(IFERROR(INDEX(Setup!$G$33:$G$40,MATCH(O2082,Setup!$B$33:$B$40,0)),0)=1)*(COUNTIF(O2058:Q2075,$B2082)+COUNTIF(O2058:Q2075,$B2082&amp;" ~*")&gt;0)+(IFERROR(INDEX(Setup!$G$33:$G$40,MATCH(S2082,Setup!$B$33:$B$40,0)),0)=1)*(COUNTIF(S2058:U2075,$B2082)+COUNTIF(S2058:U2075,$B2082&amp;" ~*")&gt;0)+(IFERROR(INDEX(Setup!$G$33:$G$40,MATCH(W2082,Setup!$B$33:$B$40,0)),0)=1)*(COUNTIF(W2058:W2075,$B2082)+COUNTIF(W2058:W2075,$B2082&amp;" ~*")&gt;0)+(IFERROR(INDEX(Setup!$G$33:$G$40,MATCH(Y2082,Setup!$B$33:$B$40,0)),0)=1)*(COUNTIF(Y2058:Y2075,$B2082)+COUNTIF(Y2058:Y2075,$B2082&amp;" ~*")&gt;0))</f>
        <v/>
      </c>
    </row>
    <row r="2083" ht="15" customHeight="1">
      <c r="A2083" t="n">
        <v>42</v>
      </c>
      <c r="B2083" s="35">
        <f>IF(Setup!$B$12="","",Setup!$B$12)</f>
        <v/>
      </c>
      <c r="C2083" s="98" t="n"/>
      <c r="D2083" s="99" t="n"/>
      <c r="E2083" s="99" t="n"/>
      <c r="F2083" s="100" t="n"/>
      <c r="G2083" s="98" t="n"/>
      <c r="H2083" s="99" t="n"/>
      <c r="I2083" s="99" t="n"/>
      <c r="J2083" s="100" t="n"/>
      <c r="K2083" s="98" t="n"/>
      <c r="L2083" s="99" t="n"/>
      <c r="M2083" s="99" t="n"/>
      <c r="N2083" s="100" t="n"/>
      <c r="O2083" s="98" t="n"/>
      <c r="P2083" s="99" t="n"/>
      <c r="Q2083" s="99" t="n"/>
      <c r="R2083" s="100" t="n"/>
      <c r="S2083" s="98" t="n"/>
      <c r="T2083" s="99" t="n"/>
      <c r="U2083" s="99" t="n"/>
      <c r="V2083" s="100" t="n"/>
      <c r="W2083" s="98" t="n"/>
      <c r="X2083" s="100" t="n"/>
      <c r="Y2083" s="98" t="n"/>
      <c r="Z2083" s="100" t="n"/>
      <c r="AB2083" s="101">
        <f>IF($B2083="","",(COUNTIF(C2058:E2075,$B2083)+COUNTIF(C2058:E2075,$B2083&amp;" ~*")&gt;0)+(COUNTIF(G2058:I2075,$B2083)+COUNTIF(G2058:I2075,$B2083&amp;" ~*")&gt;0)+(COUNTIF(K2058:M2075,$B2083)+COUNTIF(K2058:M2075,$B2083&amp;" ~*")&gt;0)+(COUNTIF(O2058:Q2075,$B2083)+COUNTIF(O2058:Q2075,$B2083&amp;" ~*")&gt;0)+(COUNTIF(S2058:U2075,$B2083)+COUNTIF(S2058:U2075,$B2083&amp;" ~*")&gt;0)+(COUNTIF(W2058:W2075,$B2083)+COUNTIF(W2058:W2075,$B2083&amp;" ~*")&gt;0)+(COUNTIF(Y2058:Y2075,$B2083)+COUNTIF(Y2058:Y2075,$B2083&amp;" ~*")&gt;0))</f>
        <v/>
      </c>
      <c r="AC2083" s="36">
        <f>IF($B2083="","",(IFERROR(INDEX(Setup!$G$33:$G$40,MATCH(C2083,Setup!$B$33:$B$40,0)),0)=1)*(COUNTIF(C2058:E2075,$B2083)+COUNTIF(C2058:E2075,$B2083&amp;" ~*")&gt;0)+(IFERROR(INDEX(Setup!$G$33:$G$40,MATCH(G2083,Setup!$B$33:$B$40,0)),0)=1)*(COUNTIF(G2058:I2075,$B2083)+COUNTIF(G2058:I2075,$B2083&amp;" ~*")&gt;0)+(IFERROR(INDEX(Setup!$G$33:$G$40,MATCH(K2083,Setup!$B$33:$B$40,0)),0)=1)*(COUNTIF(K2058:M2075,$B2083)+COUNTIF(K2058:M2075,$B2083&amp;" ~*")&gt;0)+(IFERROR(INDEX(Setup!$G$33:$G$40,MATCH(O2083,Setup!$B$33:$B$40,0)),0)=1)*(COUNTIF(O2058:Q2075,$B2083)+COUNTIF(O2058:Q2075,$B2083&amp;" ~*")&gt;0)+(IFERROR(INDEX(Setup!$G$33:$G$40,MATCH(S2083,Setup!$B$33:$B$40,0)),0)=1)*(COUNTIF(S2058:U2075,$B2083)+COUNTIF(S2058:U2075,$B2083&amp;" ~*")&gt;0)+(IFERROR(INDEX(Setup!$G$33:$G$40,MATCH(W2083,Setup!$B$33:$B$40,0)),0)=1)*(COUNTIF(W2058:W2075,$B2083)+COUNTIF(W2058:W2075,$B2083&amp;" ~*")&gt;0)+(IFERROR(INDEX(Setup!$G$33:$G$40,MATCH(Y2083,Setup!$B$33:$B$40,0)),0)=1)*(COUNTIF(Y2058:Y2075,$B2083)+COUNTIF(Y2058:Y2075,$B2083&amp;" ~*")&gt;0))</f>
        <v/>
      </c>
    </row>
    <row r="2084" ht="15" customHeight="1">
      <c r="A2084" t="n">
        <v>42</v>
      </c>
      <c r="B2084" s="37">
        <f>IF(Setup!$B$13="","",Setup!$B$13)</f>
        <v/>
      </c>
      <c r="C2084" s="102" t="n"/>
      <c r="D2084" s="103" t="n"/>
      <c r="E2084" s="103" t="n"/>
      <c r="F2084" s="104" t="n"/>
      <c r="G2084" s="102" t="n"/>
      <c r="H2084" s="103" t="n"/>
      <c r="I2084" s="103" t="n"/>
      <c r="J2084" s="104" t="n"/>
      <c r="K2084" s="102" t="n"/>
      <c r="L2084" s="103" t="n"/>
      <c r="M2084" s="103" t="n"/>
      <c r="N2084" s="104" t="n"/>
      <c r="O2084" s="102" t="n"/>
      <c r="P2084" s="103" t="n"/>
      <c r="Q2084" s="103" t="n"/>
      <c r="R2084" s="104" t="n"/>
      <c r="S2084" s="102" t="n"/>
      <c r="T2084" s="103" t="n"/>
      <c r="U2084" s="103" t="n"/>
      <c r="V2084" s="104" t="n"/>
      <c r="W2084" s="102" t="n"/>
      <c r="X2084" s="104" t="n"/>
      <c r="Y2084" s="102" t="n"/>
      <c r="Z2084" s="104" t="n"/>
      <c r="AB2084" s="105">
        <f>IF($B2084="","",(COUNTIF(C2058:E2075,$B2084)+COUNTIF(C2058:E2075,$B2084&amp;" ~*")&gt;0)+(COUNTIF(G2058:I2075,$B2084)+COUNTIF(G2058:I2075,$B2084&amp;" ~*")&gt;0)+(COUNTIF(K2058:M2075,$B2084)+COUNTIF(K2058:M2075,$B2084&amp;" ~*")&gt;0)+(COUNTIF(O2058:Q2075,$B2084)+COUNTIF(O2058:Q2075,$B2084&amp;" ~*")&gt;0)+(COUNTIF(S2058:U2075,$B2084)+COUNTIF(S2058:U2075,$B2084&amp;" ~*")&gt;0)+(COUNTIF(W2058:W2075,$B2084)+COUNTIF(W2058:W2075,$B2084&amp;" ~*")&gt;0)+(COUNTIF(Y2058:Y2075,$B2084)+COUNTIF(Y2058:Y2075,$B2084&amp;" ~*")&gt;0))</f>
        <v/>
      </c>
      <c r="AC2084" s="38">
        <f>IF($B2084="","",(IFERROR(INDEX(Setup!$G$33:$G$40,MATCH(C2084,Setup!$B$33:$B$40,0)),0)=1)*(COUNTIF(C2058:E2075,$B2084)+COUNTIF(C2058:E2075,$B2084&amp;" ~*")&gt;0)+(IFERROR(INDEX(Setup!$G$33:$G$40,MATCH(G2084,Setup!$B$33:$B$40,0)),0)=1)*(COUNTIF(G2058:I2075,$B2084)+COUNTIF(G2058:I2075,$B2084&amp;" ~*")&gt;0)+(IFERROR(INDEX(Setup!$G$33:$G$40,MATCH(K2084,Setup!$B$33:$B$40,0)),0)=1)*(COUNTIF(K2058:M2075,$B2084)+COUNTIF(K2058:M2075,$B2084&amp;" ~*")&gt;0)+(IFERROR(INDEX(Setup!$G$33:$G$40,MATCH(O2084,Setup!$B$33:$B$40,0)),0)=1)*(COUNTIF(O2058:Q2075,$B2084)+COUNTIF(O2058:Q2075,$B2084&amp;" ~*")&gt;0)+(IFERROR(INDEX(Setup!$G$33:$G$40,MATCH(S2084,Setup!$B$33:$B$40,0)),0)=1)*(COUNTIF(S2058:U2075,$B2084)+COUNTIF(S2058:U2075,$B2084&amp;" ~*")&gt;0)+(IFERROR(INDEX(Setup!$G$33:$G$40,MATCH(W2084,Setup!$B$33:$B$40,0)),0)=1)*(COUNTIF(W2058:W2075,$B2084)+COUNTIF(W2058:W2075,$B2084&amp;" ~*")&gt;0)+(IFERROR(INDEX(Setup!$G$33:$G$40,MATCH(Y2084,Setup!$B$33:$B$40,0)),0)=1)*(COUNTIF(Y2058:Y2075,$B2084)+COUNTIF(Y2058:Y2075,$B2084&amp;" ~*")&gt;0))</f>
        <v/>
      </c>
    </row>
    <row r="2085" ht="15" customHeight="1">
      <c r="A2085" t="n">
        <v>42</v>
      </c>
      <c r="B2085" s="35">
        <f>IF(Setup!$B$14="","",Setup!$B$14)</f>
        <v/>
      </c>
      <c r="C2085" s="98" t="n"/>
      <c r="D2085" s="99" t="n"/>
      <c r="E2085" s="99" t="n"/>
      <c r="F2085" s="100" t="n"/>
      <c r="G2085" s="98" t="n"/>
      <c r="H2085" s="99" t="n"/>
      <c r="I2085" s="99" t="n"/>
      <c r="J2085" s="100" t="n"/>
      <c r="K2085" s="98" t="n"/>
      <c r="L2085" s="99" t="n"/>
      <c r="M2085" s="99" t="n"/>
      <c r="N2085" s="100" t="n"/>
      <c r="O2085" s="98" t="n"/>
      <c r="P2085" s="99" t="n"/>
      <c r="Q2085" s="99" t="n"/>
      <c r="R2085" s="100" t="n"/>
      <c r="S2085" s="98" t="n"/>
      <c r="T2085" s="99" t="n"/>
      <c r="U2085" s="99" t="n"/>
      <c r="V2085" s="100" t="n"/>
      <c r="W2085" s="98" t="n"/>
      <c r="X2085" s="100" t="n"/>
      <c r="Y2085" s="98" t="n"/>
      <c r="Z2085" s="100" t="n"/>
      <c r="AB2085" s="101">
        <f>IF($B2085="","",(COUNTIF(C2058:E2075,$B2085)+COUNTIF(C2058:E2075,$B2085&amp;" ~*")&gt;0)+(COUNTIF(G2058:I2075,$B2085)+COUNTIF(G2058:I2075,$B2085&amp;" ~*")&gt;0)+(COUNTIF(K2058:M2075,$B2085)+COUNTIF(K2058:M2075,$B2085&amp;" ~*")&gt;0)+(COUNTIF(O2058:Q2075,$B2085)+COUNTIF(O2058:Q2075,$B2085&amp;" ~*")&gt;0)+(COUNTIF(S2058:U2075,$B2085)+COUNTIF(S2058:U2075,$B2085&amp;" ~*")&gt;0)+(COUNTIF(W2058:W2075,$B2085)+COUNTIF(W2058:W2075,$B2085&amp;" ~*")&gt;0)+(COUNTIF(Y2058:Y2075,$B2085)+COUNTIF(Y2058:Y2075,$B2085&amp;" ~*")&gt;0))</f>
        <v/>
      </c>
      <c r="AC2085" s="36">
        <f>IF($B2085="","",(IFERROR(INDEX(Setup!$G$33:$G$40,MATCH(C2085,Setup!$B$33:$B$40,0)),0)=1)*(COUNTIF(C2058:E2075,$B2085)+COUNTIF(C2058:E2075,$B2085&amp;" ~*")&gt;0)+(IFERROR(INDEX(Setup!$G$33:$G$40,MATCH(G2085,Setup!$B$33:$B$40,0)),0)=1)*(COUNTIF(G2058:I2075,$B2085)+COUNTIF(G2058:I2075,$B2085&amp;" ~*")&gt;0)+(IFERROR(INDEX(Setup!$G$33:$G$40,MATCH(K2085,Setup!$B$33:$B$40,0)),0)=1)*(COUNTIF(K2058:M2075,$B2085)+COUNTIF(K2058:M2075,$B2085&amp;" ~*")&gt;0)+(IFERROR(INDEX(Setup!$G$33:$G$40,MATCH(O2085,Setup!$B$33:$B$40,0)),0)=1)*(COUNTIF(O2058:Q2075,$B2085)+COUNTIF(O2058:Q2075,$B2085&amp;" ~*")&gt;0)+(IFERROR(INDEX(Setup!$G$33:$G$40,MATCH(S2085,Setup!$B$33:$B$40,0)),0)=1)*(COUNTIF(S2058:U2075,$B2085)+COUNTIF(S2058:U2075,$B2085&amp;" ~*")&gt;0)+(IFERROR(INDEX(Setup!$G$33:$G$40,MATCH(W2085,Setup!$B$33:$B$40,0)),0)=1)*(COUNTIF(W2058:W2075,$B2085)+COUNTIF(W2058:W2075,$B2085&amp;" ~*")&gt;0)+(IFERROR(INDEX(Setup!$G$33:$G$40,MATCH(Y2085,Setup!$B$33:$B$40,0)),0)=1)*(COUNTIF(Y2058:Y2075,$B2085)+COUNTIF(Y2058:Y2075,$B2085&amp;" ~*")&gt;0))</f>
        <v/>
      </c>
    </row>
    <row r="2086" ht="15" customHeight="1">
      <c r="A2086" t="n">
        <v>42</v>
      </c>
      <c r="B2086" s="37">
        <f>IF(Setup!$B$15="","",Setup!$B$15)</f>
        <v/>
      </c>
      <c r="C2086" s="102" t="n"/>
      <c r="D2086" s="103" t="n"/>
      <c r="E2086" s="103" t="n"/>
      <c r="F2086" s="104" t="n"/>
      <c r="G2086" s="102" t="n"/>
      <c r="H2086" s="103" t="n"/>
      <c r="I2086" s="103" t="n"/>
      <c r="J2086" s="104" t="n"/>
      <c r="K2086" s="102" t="n"/>
      <c r="L2086" s="103" t="n"/>
      <c r="M2086" s="103" t="n"/>
      <c r="N2086" s="104" t="n"/>
      <c r="O2086" s="102" t="n"/>
      <c r="P2086" s="103" t="n"/>
      <c r="Q2086" s="103" t="n"/>
      <c r="R2086" s="104" t="n"/>
      <c r="S2086" s="102" t="n"/>
      <c r="T2086" s="103" t="n"/>
      <c r="U2086" s="103" t="n"/>
      <c r="V2086" s="104" t="n"/>
      <c r="W2086" s="102" t="n"/>
      <c r="X2086" s="104" t="n"/>
      <c r="Y2086" s="102" t="n"/>
      <c r="Z2086" s="104" t="n"/>
      <c r="AB2086" s="105">
        <f>IF($B2086="","",(COUNTIF(C2058:E2075,$B2086)+COUNTIF(C2058:E2075,$B2086&amp;" ~*")&gt;0)+(COUNTIF(G2058:I2075,$B2086)+COUNTIF(G2058:I2075,$B2086&amp;" ~*")&gt;0)+(COUNTIF(K2058:M2075,$B2086)+COUNTIF(K2058:M2075,$B2086&amp;" ~*")&gt;0)+(COUNTIF(O2058:Q2075,$B2086)+COUNTIF(O2058:Q2075,$B2086&amp;" ~*")&gt;0)+(COUNTIF(S2058:U2075,$B2086)+COUNTIF(S2058:U2075,$B2086&amp;" ~*")&gt;0)+(COUNTIF(W2058:W2075,$B2086)+COUNTIF(W2058:W2075,$B2086&amp;" ~*")&gt;0)+(COUNTIF(Y2058:Y2075,$B2086)+COUNTIF(Y2058:Y2075,$B2086&amp;" ~*")&gt;0))</f>
        <v/>
      </c>
      <c r="AC2086" s="38">
        <f>IF($B2086="","",(IFERROR(INDEX(Setup!$G$33:$G$40,MATCH(C2086,Setup!$B$33:$B$40,0)),0)=1)*(COUNTIF(C2058:E2075,$B2086)+COUNTIF(C2058:E2075,$B2086&amp;" ~*")&gt;0)+(IFERROR(INDEX(Setup!$G$33:$G$40,MATCH(G2086,Setup!$B$33:$B$40,0)),0)=1)*(COUNTIF(G2058:I2075,$B2086)+COUNTIF(G2058:I2075,$B2086&amp;" ~*")&gt;0)+(IFERROR(INDEX(Setup!$G$33:$G$40,MATCH(K2086,Setup!$B$33:$B$40,0)),0)=1)*(COUNTIF(K2058:M2075,$B2086)+COUNTIF(K2058:M2075,$B2086&amp;" ~*")&gt;0)+(IFERROR(INDEX(Setup!$G$33:$G$40,MATCH(O2086,Setup!$B$33:$B$40,0)),0)=1)*(COUNTIF(O2058:Q2075,$B2086)+COUNTIF(O2058:Q2075,$B2086&amp;" ~*")&gt;0)+(IFERROR(INDEX(Setup!$G$33:$G$40,MATCH(S2086,Setup!$B$33:$B$40,0)),0)=1)*(COUNTIF(S2058:U2075,$B2086)+COUNTIF(S2058:U2075,$B2086&amp;" ~*")&gt;0)+(IFERROR(INDEX(Setup!$G$33:$G$40,MATCH(W2086,Setup!$B$33:$B$40,0)),0)=1)*(COUNTIF(W2058:W2075,$B2086)+COUNTIF(W2058:W2075,$B2086&amp;" ~*")&gt;0)+(IFERROR(INDEX(Setup!$G$33:$G$40,MATCH(Y2086,Setup!$B$33:$B$40,0)),0)=1)*(COUNTIF(Y2058:Y2075,$B2086)+COUNTIF(Y2058:Y2075,$B2086&amp;" ~*")&gt;0))</f>
        <v/>
      </c>
    </row>
    <row r="2087" ht="15" customHeight="1">
      <c r="A2087" t="n">
        <v>42</v>
      </c>
      <c r="B2087" s="35">
        <f>IF(Setup!$B$16="","",Setup!$B$16)</f>
        <v/>
      </c>
      <c r="C2087" s="98" t="n"/>
      <c r="D2087" s="99" t="n"/>
      <c r="E2087" s="99" t="n"/>
      <c r="F2087" s="100" t="n"/>
      <c r="G2087" s="98" t="n"/>
      <c r="H2087" s="99" t="n"/>
      <c r="I2087" s="99" t="n"/>
      <c r="J2087" s="100" t="n"/>
      <c r="K2087" s="98" t="n"/>
      <c r="L2087" s="99" t="n"/>
      <c r="M2087" s="99" t="n"/>
      <c r="N2087" s="100" t="n"/>
      <c r="O2087" s="98" t="n"/>
      <c r="P2087" s="99" t="n"/>
      <c r="Q2087" s="99" t="n"/>
      <c r="R2087" s="100" t="n"/>
      <c r="S2087" s="98" t="n"/>
      <c r="T2087" s="99" t="n"/>
      <c r="U2087" s="99" t="n"/>
      <c r="V2087" s="100" t="n"/>
      <c r="W2087" s="98" t="n"/>
      <c r="X2087" s="100" t="n"/>
      <c r="Y2087" s="98" t="n"/>
      <c r="Z2087" s="100" t="n"/>
      <c r="AB2087" s="101">
        <f>IF($B2087="","",(COUNTIF(C2058:E2075,$B2087)+COUNTIF(C2058:E2075,$B2087&amp;" ~*")&gt;0)+(COUNTIF(G2058:I2075,$B2087)+COUNTIF(G2058:I2075,$B2087&amp;" ~*")&gt;0)+(COUNTIF(K2058:M2075,$B2087)+COUNTIF(K2058:M2075,$B2087&amp;" ~*")&gt;0)+(COUNTIF(O2058:Q2075,$B2087)+COUNTIF(O2058:Q2075,$B2087&amp;" ~*")&gt;0)+(COUNTIF(S2058:U2075,$B2087)+COUNTIF(S2058:U2075,$B2087&amp;" ~*")&gt;0)+(COUNTIF(W2058:W2075,$B2087)+COUNTIF(W2058:W2075,$B2087&amp;" ~*")&gt;0)+(COUNTIF(Y2058:Y2075,$B2087)+COUNTIF(Y2058:Y2075,$B2087&amp;" ~*")&gt;0))</f>
        <v/>
      </c>
      <c r="AC2087" s="36">
        <f>IF($B2087="","",(IFERROR(INDEX(Setup!$G$33:$G$40,MATCH(C2087,Setup!$B$33:$B$40,0)),0)=1)*(COUNTIF(C2058:E2075,$B2087)+COUNTIF(C2058:E2075,$B2087&amp;" ~*")&gt;0)+(IFERROR(INDEX(Setup!$G$33:$G$40,MATCH(G2087,Setup!$B$33:$B$40,0)),0)=1)*(COUNTIF(G2058:I2075,$B2087)+COUNTIF(G2058:I2075,$B2087&amp;" ~*")&gt;0)+(IFERROR(INDEX(Setup!$G$33:$G$40,MATCH(K2087,Setup!$B$33:$B$40,0)),0)=1)*(COUNTIF(K2058:M2075,$B2087)+COUNTIF(K2058:M2075,$B2087&amp;" ~*")&gt;0)+(IFERROR(INDEX(Setup!$G$33:$G$40,MATCH(O2087,Setup!$B$33:$B$40,0)),0)=1)*(COUNTIF(O2058:Q2075,$B2087)+COUNTIF(O2058:Q2075,$B2087&amp;" ~*")&gt;0)+(IFERROR(INDEX(Setup!$G$33:$G$40,MATCH(S2087,Setup!$B$33:$B$40,0)),0)=1)*(COUNTIF(S2058:U2075,$B2087)+COUNTIF(S2058:U2075,$B2087&amp;" ~*")&gt;0)+(IFERROR(INDEX(Setup!$G$33:$G$40,MATCH(W2087,Setup!$B$33:$B$40,0)),0)=1)*(COUNTIF(W2058:W2075,$B2087)+COUNTIF(W2058:W2075,$B2087&amp;" ~*")&gt;0)+(IFERROR(INDEX(Setup!$G$33:$G$40,MATCH(Y2087,Setup!$B$33:$B$40,0)),0)=1)*(COUNTIF(Y2058:Y2075,$B2087)+COUNTIF(Y2058:Y2075,$B2087&amp;" ~*")&gt;0))</f>
        <v/>
      </c>
    </row>
    <row r="2088" ht="15" customHeight="1">
      <c r="A2088" t="n">
        <v>42</v>
      </c>
      <c r="B2088" s="37">
        <f>IF(Setup!$B$17="","",Setup!$B$17)</f>
        <v/>
      </c>
      <c r="C2088" s="102" t="n"/>
      <c r="D2088" s="103" t="n"/>
      <c r="E2088" s="103" t="n"/>
      <c r="F2088" s="104" t="n"/>
      <c r="G2088" s="102" t="n"/>
      <c r="H2088" s="103" t="n"/>
      <c r="I2088" s="103" t="n"/>
      <c r="J2088" s="104" t="n"/>
      <c r="K2088" s="102" t="n"/>
      <c r="L2088" s="103" t="n"/>
      <c r="M2088" s="103" t="n"/>
      <c r="N2088" s="104" t="n"/>
      <c r="O2088" s="102" t="n"/>
      <c r="P2088" s="103" t="n"/>
      <c r="Q2088" s="103" t="n"/>
      <c r="R2088" s="104" t="n"/>
      <c r="S2088" s="102" t="n"/>
      <c r="T2088" s="103" t="n"/>
      <c r="U2088" s="103" t="n"/>
      <c r="V2088" s="104" t="n"/>
      <c r="W2088" s="102" t="n"/>
      <c r="X2088" s="104" t="n"/>
      <c r="Y2088" s="102" t="n"/>
      <c r="Z2088" s="104" t="n"/>
      <c r="AB2088" s="105">
        <f>IF($B2088="","",(COUNTIF(C2058:E2075,$B2088)+COUNTIF(C2058:E2075,$B2088&amp;" ~*")&gt;0)+(COUNTIF(G2058:I2075,$B2088)+COUNTIF(G2058:I2075,$B2088&amp;" ~*")&gt;0)+(COUNTIF(K2058:M2075,$B2088)+COUNTIF(K2058:M2075,$B2088&amp;" ~*")&gt;0)+(COUNTIF(O2058:Q2075,$B2088)+COUNTIF(O2058:Q2075,$B2088&amp;" ~*")&gt;0)+(COUNTIF(S2058:U2075,$B2088)+COUNTIF(S2058:U2075,$B2088&amp;" ~*")&gt;0)+(COUNTIF(W2058:W2075,$B2088)+COUNTIF(W2058:W2075,$B2088&amp;" ~*")&gt;0)+(COUNTIF(Y2058:Y2075,$B2088)+COUNTIF(Y2058:Y2075,$B2088&amp;" ~*")&gt;0))</f>
        <v/>
      </c>
      <c r="AC2088" s="38">
        <f>IF($B2088="","",(IFERROR(INDEX(Setup!$G$33:$G$40,MATCH(C2088,Setup!$B$33:$B$40,0)),0)=1)*(COUNTIF(C2058:E2075,$B2088)+COUNTIF(C2058:E2075,$B2088&amp;" ~*")&gt;0)+(IFERROR(INDEX(Setup!$G$33:$G$40,MATCH(G2088,Setup!$B$33:$B$40,0)),0)=1)*(COUNTIF(G2058:I2075,$B2088)+COUNTIF(G2058:I2075,$B2088&amp;" ~*")&gt;0)+(IFERROR(INDEX(Setup!$G$33:$G$40,MATCH(K2088,Setup!$B$33:$B$40,0)),0)=1)*(COUNTIF(K2058:M2075,$B2088)+COUNTIF(K2058:M2075,$B2088&amp;" ~*")&gt;0)+(IFERROR(INDEX(Setup!$G$33:$G$40,MATCH(O2088,Setup!$B$33:$B$40,0)),0)=1)*(COUNTIF(O2058:Q2075,$B2088)+COUNTIF(O2058:Q2075,$B2088&amp;" ~*")&gt;0)+(IFERROR(INDEX(Setup!$G$33:$G$40,MATCH(S2088,Setup!$B$33:$B$40,0)),0)=1)*(COUNTIF(S2058:U2075,$B2088)+COUNTIF(S2058:U2075,$B2088&amp;" ~*")&gt;0)+(IFERROR(INDEX(Setup!$G$33:$G$40,MATCH(W2088,Setup!$B$33:$B$40,0)),0)=1)*(COUNTIF(W2058:W2075,$B2088)+COUNTIF(W2058:W2075,$B2088&amp;" ~*")&gt;0)+(IFERROR(INDEX(Setup!$G$33:$G$40,MATCH(Y2088,Setup!$B$33:$B$40,0)),0)=1)*(COUNTIF(Y2058:Y2075,$B2088)+COUNTIF(Y2058:Y2075,$B2088&amp;" ~*")&gt;0))</f>
        <v/>
      </c>
    </row>
    <row r="2089" ht="15" customHeight="1">
      <c r="A2089" t="n">
        <v>42</v>
      </c>
      <c r="B2089" s="35">
        <f>IF(Setup!$B$18="","",Setup!$B$18)</f>
        <v/>
      </c>
      <c r="C2089" s="98" t="n"/>
      <c r="D2089" s="99" t="n"/>
      <c r="E2089" s="99" t="n"/>
      <c r="F2089" s="100" t="n"/>
      <c r="G2089" s="98" t="n"/>
      <c r="H2089" s="99" t="n"/>
      <c r="I2089" s="99" t="n"/>
      <c r="J2089" s="100" t="n"/>
      <c r="K2089" s="98" t="n"/>
      <c r="L2089" s="99" t="n"/>
      <c r="M2089" s="99" t="n"/>
      <c r="N2089" s="100" t="n"/>
      <c r="O2089" s="98" t="n"/>
      <c r="P2089" s="99" t="n"/>
      <c r="Q2089" s="99" t="n"/>
      <c r="R2089" s="100" t="n"/>
      <c r="S2089" s="98" t="n"/>
      <c r="T2089" s="99" t="n"/>
      <c r="U2089" s="99" t="n"/>
      <c r="V2089" s="100" t="n"/>
      <c r="W2089" s="98" t="n"/>
      <c r="X2089" s="100" t="n"/>
      <c r="Y2089" s="98" t="n"/>
      <c r="Z2089" s="100" t="n"/>
      <c r="AB2089" s="101">
        <f>IF($B2089="","",(COUNTIF(C2058:E2075,$B2089)+COUNTIF(C2058:E2075,$B2089&amp;" ~*")&gt;0)+(COUNTIF(G2058:I2075,$B2089)+COUNTIF(G2058:I2075,$B2089&amp;" ~*")&gt;0)+(COUNTIF(K2058:M2075,$B2089)+COUNTIF(K2058:M2075,$B2089&amp;" ~*")&gt;0)+(COUNTIF(O2058:Q2075,$B2089)+COUNTIF(O2058:Q2075,$B2089&amp;" ~*")&gt;0)+(COUNTIF(S2058:U2075,$B2089)+COUNTIF(S2058:U2075,$B2089&amp;" ~*")&gt;0)+(COUNTIF(W2058:W2075,$B2089)+COUNTIF(W2058:W2075,$B2089&amp;" ~*")&gt;0)+(COUNTIF(Y2058:Y2075,$B2089)+COUNTIF(Y2058:Y2075,$B2089&amp;" ~*")&gt;0))</f>
        <v/>
      </c>
      <c r="AC2089" s="36">
        <f>IF($B2089="","",(IFERROR(INDEX(Setup!$G$33:$G$40,MATCH(C2089,Setup!$B$33:$B$40,0)),0)=1)*(COUNTIF(C2058:E2075,$B2089)+COUNTIF(C2058:E2075,$B2089&amp;" ~*")&gt;0)+(IFERROR(INDEX(Setup!$G$33:$G$40,MATCH(G2089,Setup!$B$33:$B$40,0)),0)=1)*(COUNTIF(G2058:I2075,$B2089)+COUNTIF(G2058:I2075,$B2089&amp;" ~*")&gt;0)+(IFERROR(INDEX(Setup!$G$33:$G$40,MATCH(K2089,Setup!$B$33:$B$40,0)),0)=1)*(COUNTIF(K2058:M2075,$B2089)+COUNTIF(K2058:M2075,$B2089&amp;" ~*")&gt;0)+(IFERROR(INDEX(Setup!$G$33:$G$40,MATCH(O2089,Setup!$B$33:$B$40,0)),0)=1)*(COUNTIF(O2058:Q2075,$B2089)+COUNTIF(O2058:Q2075,$B2089&amp;" ~*")&gt;0)+(IFERROR(INDEX(Setup!$G$33:$G$40,MATCH(S2089,Setup!$B$33:$B$40,0)),0)=1)*(COUNTIF(S2058:U2075,$B2089)+COUNTIF(S2058:U2075,$B2089&amp;" ~*")&gt;0)+(IFERROR(INDEX(Setup!$G$33:$G$40,MATCH(W2089,Setup!$B$33:$B$40,0)),0)=1)*(COUNTIF(W2058:W2075,$B2089)+COUNTIF(W2058:W2075,$B2089&amp;" ~*")&gt;0)+(IFERROR(INDEX(Setup!$G$33:$G$40,MATCH(Y2089,Setup!$B$33:$B$40,0)),0)=1)*(COUNTIF(Y2058:Y2075,$B2089)+COUNTIF(Y2058:Y2075,$B2089&amp;" ~*")&gt;0))</f>
        <v/>
      </c>
    </row>
    <row r="2090" ht="15" customHeight="1">
      <c r="A2090" t="n">
        <v>42</v>
      </c>
      <c r="B2090" s="37">
        <f>IF(Setup!$B$19="","",Setup!$B$19)</f>
        <v/>
      </c>
      <c r="C2090" s="102" t="n"/>
      <c r="D2090" s="103" t="n"/>
      <c r="E2090" s="103" t="n"/>
      <c r="F2090" s="104" t="n"/>
      <c r="G2090" s="102" t="n"/>
      <c r="H2090" s="103" t="n"/>
      <c r="I2090" s="103" t="n"/>
      <c r="J2090" s="104" t="n"/>
      <c r="K2090" s="102" t="n"/>
      <c r="L2090" s="103" t="n"/>
      <c r="M2090" s="103" t="n"/>
      <c r="N2090" s="104" t="n"/>
      <c r="O2090" s="102" t="n"/>
      <c r="P2090" s="103" t="n"/>
      <c r="Q2090" s="103" t="n"/>
      <c r="R2090" s="104" t="n"/>
      <c r="S2090" s="102" t="n"/>
      <c r="T2090" s="103" t="n"/>
      <c r="U2090" s="103" t="n"/>
      <c r="V2090" s="104" t="n"/>
      <c r="W2090" s="102" t="n"/>
      <c r="X2090" s="104" t="n"/>
      <c r="Y2090" s="102" t="n"/>
      <c r="Z2090" s="104" t="n"/>
      <c r="AB2090" s="105">
        <f>IF($B2090="","",(COUNTIF(C2058:E2075,$B2090)+COUNTIF(C2058:E2075,$B2090&amp;" ~*")&gt;0)+(COUNTIF(G2058:I2075,$B2090)+COUNTIF(G2058:I2075,$B2090&amp;" ~*")&gt;0)+(COUNTIF(K2058:M2075,$B2090)+COUNTIF(K2058:M2075,$B2090&amp;" ~*")&gt;0)+(COUNTIF(O2058:Q2075,$B2090)+COUNTIF(O2058:Q2075,$B2090&amp;" ~*")&gt;0)+(COUNTIF(S2058:U2075,$B2090)+COUNTIF(S2058:U2075,$B2090&amp;" ~*")&gt;0)+(COUNTIF(W2058:W2075,$B2090)+COUNTIF(W2058:W2075,$B2090&amp;" ~*")&gt;0)+(COUNTIF(Y2058:Y2075,$B2090)+COUNTIF(Y2058:Y2075,$B2090&amp;" ~*")&gt;0))</f>
        <v/>
      </c>
      <c r="AC2090" s="38">
        <f>IF($B2090="","",(IFERROR(INDEX(Setup!$G$33:$G$40,MATCH(C2090,Setup!$B$33:$B$40,0)),0)=1)*(COUNTIF(C2058:E2075,$B2090)+COUNTIF(C2058:E2075,$B2090&amp;" ~*")&gt;0)+(IFERROR(INDEX(Setup!$G$33:$G$40,MATCH(G2090,Setup!$B$33:$B$40,0)),0)=1)*(COUNTIF(G2058:I2075,$B2090)+COUNTIF(G2058:I2075,$B2090&amp;" ~*")&gt;0)+(IFERROR(INDEX(Setup!$G$33:$G$40,MATCH(K2090,Setup!$B$33:$B$40,0)),0)=1)*(COUNTIF(K2058:M2075,$B2090)+COUNTIF(K2058:M2075,$B2090&amp;" ~*")&gt;0)+(IFERROR(INDEX(Setup!$G$33:$G$40,MATCH(O2090,Setup!$B$33:$B$40,0)),0)=1)*(COUNTIF(O2058:Q2075,$B2090)+COUNTIF(O2058:Q2075,$B2090&amp;" ~*")&gt;0)+(IFERROR(INDEX(Setup!$G$33:$G$40,MATCH(S2090,Setup!$B$33:$B$40,0)),0)=1)*(COUNTIF(S2058:U2075,$B2090)+COUNTIF(S2058:U2075,$B2090&amp;" ~*")&gt;0)+(IFERROR(INDEX(Setup!$G$33:$G$40,MATCH(W2090,Setup!$B$33:$B$40,0)),0)=1)*(COUNTIF(W2058:W2075,$B2090)+COUNTIF(W2058:W2075,$B2090&amp;" ~*")&gt;0)+(IFERROR(INDEX(Setup!$G$33:$G$40,MATCH(Y2090,Setup!$B$33:$B$40,0)),0)=1)*(COUNTIF(Y2058:Y2075,$B2090)+COUNTIF(Y2058:Y2075,$B2090&amp;" ~*")&gt;0))</f>
        <v/>
      </c>
    </row>
    <row r="2091" ht="15" customHeight="1">
      <c r="A2091" t="n">
        <v>42</v>
      </c>
      <c r="B2091" s="35">
        <f>IF(Setup!$B$20="","",Setup!$B$20)</f>
        <v/>
      </c>
      <c r="C2091" s="98" t="n"/>
      <c r="D2091" s="99" t="n"/>
      <c r="E2091" s="99" t="n"/>
      <c r="F2091" s="100" t="n"/>
      <c r="G2091" s="98" t="n"/>
      <c r="H2091" s="99" t="n"/>
      <c r="I2091" s="99" t="n"/>
      <c r="J2091" s="100" t="n"/>
      <c r="K2091" s="98" t="n"/>
      <c r="L2091" s="99" t="n"/>
      <c r="M2091" s="99" t="n"/>
      <c r="N2091" s="100" t="n"/>
      <c r="O2091" s="98" t="n"/>
      <c r="P2091" s="99" t="n"/>
      <c r="Q2091" s="99" t="n"/>
      <c r="R2091" s="100" t="n"/>
      <c r="S2091" s="98" t="n"/>
      <c r="T2091" s="99" t="n"/>
      <c r="U2091" s="99" t="n"/>
      <c r="V2091" s="100" t="n"/>
      <c r="W2091" s="98" t="n"/>
      <c r="X2091" s="100" t="n"/>
      <c r="Y2091" s="98" t="n"/>
      <c r="Z2091" s="100" t="n"/>
      <c r="AB2091" s="101">
        <f>IF($B2091="","",(COUNTIF(C2058:E2075,$B2091)+COUNTIF(C2058:E2075,$B2091&amp;" ~*")&gt;0)+(COUNTIF(G2058:I2075,$B2091)+COUNTIF(G2058:I2075,$B2091&amp;" ~*")&gt;0)+(COUNTIF(K2058:M2075,$B2091)+COUNTIF(K2058:M2075,$B2091&amp;" ~*")&gt;0)+(COUNTIF(O2058:Q2075,$B2091)+COUNTIF(O2058:Q2075,$B2091&amp;" ~*")&gt;0)+(COUNTIF(S2058:U2075,$B2091)+COUNTIF(S2058:U2075,$B2091&amp;" ~*")&gt;0)+(COUNTIF(W2058:W2075,$B2091)+COUNTIF(W2058:W2075,$B2091&amp;" ~*")&gt;0)+(COUNTIF(Y2058:Y2075,$B2091)+COUNTIF(Y2058:Y2075,$B2091&amp;" ~*")&gt;0))</f>
        <v/>
      </c>
      <c r="AC2091" s="36">
        <f>IF($B2091="","",(IFERROR(INDEX(Setup!$G$33:$G$40,MATCH(C2091,Setup!$B$33:$B$40,0)),0)=1)*(COUNTIF(C2058:E2075,$B2091)+COUNTIF(C2058:E2075,$B2091&amp;" ~*")&gt;0)+(IFERROR(INDEX(Setup!$G$33:$G$40,MATCH(G2091,Setup!$B$33:$B$40,0)),0)=1)*(COUNTIF(G2058:I2075,$B2091)+COUNTIF(G2058:I2075,$B2091&amp;" ~*")&gt;0)+(IFERROR(INDEX(Setup!$G$33:$G$40,MATCH(K2091,Setup!$B$33:$B$40,0)),0)=1)*(COUNTIF(K2058:M2075,$B2091)+COUNTIF(K2058:M2075,$B2091&amp;" ~*")&gt;0)+(IFERROR(INDEX(Setup!$G$33:$G$40,MATCH(O2091,Setup!$B$33:$B$40,0)),0)=1)*(COUNTIF(O2058:Q2075,$B2091)+COUNTIF(O2058:Q2075,$B2091&amp;" ~*")&gt;0)+(IFERROR(INDEX(Setup!$G$33:$G$40,MATCH(S2091,Setup!$B$33:$B$40,0)),0)=1)*(COUNTIF(S2058:U2075,$B2091)+COUNTIF(S2058:U2075,$B2091&amp;" ~*")&gt;0)+(IFERROR(INDEX(Setup!$G$33:$G$40,MATCH(W2091,Setup!$B$33:$B$40,0)),0)=1)*(COUNTIF(W2058:W2075,$B2091)+COUNTIF(W2058:W2075,$B2091&amp;" ~*")&gt;0)+(IFERROR(INDEX(Setup!$G$33:$G$40,MATCH(Y2091,Setup!$B$33:$B$40,0)),0)=1)*(COUNTIF(Y2058:Y2075,$B2091)+COUNTIF(Y2058:Y2075,$B2091&amp;" ~*")&gt;0))</f>
        <v/>
      </c>
    </row>
    <row r="2092" ht="15" customHeight="1">
      <c r="A2092" t="n">
        <v>42</v>
      </c>
      <c r="B2092" s="37">
        <f>IF(Setup!$B$21="","",Setup!$B$21)</f>
        <v/>
      </c>
      <c r="C2092" s="102" t="n"/>
      <c r="D2092" s="103" t="n"/>
      <c r="E2092" s="103" t="n"/>
      <c r="F2092" s="104" t="n"/>
      <c r="G2092" s="102" t="n"/>
      <c r="H2092" s="103" t="n"/>
      <c r="I2092" s="103" t="n"/>
      <c r="J2092" s="104" t="n"/>
      <c r="K2092" s="102" t="n"/>
      <c r="L2092" s="103" t="n"/>
      <c r="M2092" s="103" t="n"/>
      <c r="N2092" s="104" t="n"/>
      <c r="O2092" s="102" t="n"/>
      <c r="P2092" s="103" t="n"/>
      <c r="Q2092" s="103" t="n"/>
      <c r="R2092" s="104" t="n"/>
      <c r="S2092" s="102" t="n"/>
      <c r="T2092" s="103" t="n"/>
      <c r="U2092" s="103" t="n"/>
      <c r="V2092" s="104" t="n"/>
      <c r="W2092" s="102" t="n"/>
      <c r="X2092" s="104" t="n"/>
      <c r="Y2092" s="102" t="n"/>
      <c r="Z2092" s="104" t="n"/>
      <c r="AB2092" s="105">
        <f>IF($B2092="","",(COUNTIF(C2058:E2075,$B2092)+COUNTIF(C2058:E2075,$B2092&amp;" ~*")&gt;0)+(COUNTIF(G2058:I2075,$B2092)+COUNTIF(G2058:I2075,$B2092&amp;" ~*")&gt;0)+(COUNTIF(K2058:M2075,$B2092)+COUNTIF(K2058:M2075,$B2092&amp;" ~*")&gt;0)+(COUNTIF(O2058:Q2075,$B2092)+COUNTIF(O2058:Q2075,$B2092&amp;" ~*")&gt;0)+(COUNTIF(S2058:U2075,$B2092)+COUNTIF(S2058:U2075,$B2092&amp;" ~*")&gt;0)+(COUNTIF(W2058:W2075,$B2092)+COUNTIF(W2058:W2075,$B2092&amp;" ~*")&gt;0)+(COUNTIF(Y2058:Y2075,$B2092)+COUNTIF(Y2058:Y2075,$B2092&amp;" ~*")&gt;0))</f>
        <v/>
      </c>
      <c r="AC2092" s="38">
        <f>IF($B2092="","",(IFERROR(INDEX(Setup!$G$33:$G$40,MATCH(C2092,Setup!$B$33:$B$40,0)),0)=1)*(COUNTIF(C2058:E2075,$B2092)+COUNTIF(C2058:E2075,$B2092&amp;" ~*")&gt;0)+(IFERROR(INDEX(Setup!$G$33:$G$40,MATCH(G2092,Setup!$B$33:$B$40,0)),0)=1)*(COUNTIF(G2058:I2075,$B2092)+COUNTIF(G2058:I2075,$B2092&amp;" ~*")&gt;0)+(IFERROR(INDEX(Setup!$G$33:$G$40,MATCH(K2092,Setup!$B$33:$B$40,0)),0)=1)*(COUNTIF(K2058:M2075,$B2092)+COUNTIF(K2058:M2075,$B2092&amp;" ~*")&gt;0)+(IFERROR(INDEX(Setup!$G$33:$G$40,MATCH(O2092,Setup!$B$33:$B$40,0)),0)=1)*(COUNTIF(O2058:Q2075,$B2092)+COUNTIF(O2058:Q2075,$B2092&amp;" ~*")&gt;0)+(IFERROR(INDEX(Setup!$G$33:$G$40,MATCH(S2092,Setup!$B$33:$B$40,0)),0)=1)*(COUNTIF(S2058:U2075,$B2092)+COUNTIF(S2058:U2075,$B2092&amp;" ~*")&gt;0)+(IFERROR(INDEX(Setup!$G$33:$G$40,MATCH(W2092,Setup!$B$33:$B$40,0)),0)=1)*(COUNTIF(W2058:W2075,$B2092)+COUNTIF(W2058:W2075,$B2092&amp;" ~*")&gt;0)+(IFERROR(INDEX(Setup!$G$33:$G$40,MATCH(Y2092,Setup!$B$33:$B$40,0)),0)=1)*(COUNTIF(Y2058:Y2075,$B2092)+COUNTIF(Y2058:Y2075,$B2092&amp;" ~*")&gt;0))</f>
        <v/>
      </c>
    </row>
    <row r="2093" ht="15" customHeight="1">
      <c r="A2093" t="n">
        <v>42</v>
      </c>
      <c r="B2093" s="35">
        <f>IF(Setup!$B$22="","",Setup!$B$22)</f>
        <v/>
      </c>
      <c r="C2093" s="98" t="n"/>
      <c r="D2093" s="99" t="n"/>
      <c r="E2093" s="99" t="n"/>
      <c r="F2093" s="100" t="n"/>
      <c r="G2093" s="98" t="n"/>
      <c r="H2093" s="99" t="n"/>
      <c r="I2093" s="99" t="n"/>
      <c r="J2093" s="100" t="n"/>
      <c r="K2093" s="98" t="n"/>
      <c r="L2093" s="99" t="n"/>
      <c r="M2093" s="99" t="n"/>
      <c r="N2093" s="100" t="n"/>
      <c r="O2093" s="98" t="n"/>
      <c r="P2093" s="99" t="n"/>
      <c r="Q2093" s="99" t="n"/>
      <c r="R2093" s="100" t="n"/>
      <c r="S2093" s="98" t="n"/>
      <c r="T2093" s="99" t="n"/>
      <c r="U2093" s="99" t="n"/>
      <c r="V2093" s="100" t="n"/>
      <c r="W2093" s="98" t="n"/>
      <c r="X2093" s="100" t="n"/>
      <c r="Y2093" s="98" t="n"/>
      <c r="Z2093" s="100" t="n"/>
      <c r="AB2093" s="101">
        <f>IF($B2093="","",(COUNTIF(C2058:E2075,$B2093)+COUNTIF(C2058:E2075,$B2093&amp;" ~*")&gt;0)+(COUNTIF(G2058:I2075,$B2093)+COUNTIF(G2058:I2075,$B2093&amp;" ~*")&gt;0)+(COUNTIF(K2058:M2075,$B2093)+COUNTIF(K2058:M2075,$B2093&amp;" ~*")&gt;0)+(COUNTIF(O2058:Q2075,$B2093)+COUNTIF(O2058:Q2075,$B2093&amp;" ~*")&gt;0)+(COUNTIF(S2058:U2075,$B2093)+COUNTIF(S2058:U2075,$B2093&amp;" ~*")&gt;0)+(COUNTIF(W2058:W2075,$B2093)+COUNTIF(W2058:W2075,$B2093&amp;" ~*")&gt;0)+(COUNTIF(Y2058:Y2075,$B2093)+COUNTIF(Y2058:Y2075,$B2093&amp;" ~*")&gt;0))</f>
        <v/>
      </c>
      <c r="AC2093" s="36">
        <f>IF($B2093="","",(IFERROR(INDEX(Setup!$G$33:$G$40,MATCH(C2093,Setup!$B$33:$B$40,0)),0)=1)*(COUNTIF(C2058:E2075,$B2093)+COUNTIF(C2058:E2075,$B2093&amp;" ~*")&gt;0)+(IFERROR(INDEX(Setup!$G$33:$G$40,MATCH(G2093,Setup!$B$33:$B$40,0)),0)=1)*(COUNTIF(G2058:I2075,$B2093)+COUNTIF(G2058:I2075,$B2093&amp;" ~*")&gt;0)+(IFERROR(INDEX(Setup!$G$33:$G$40,MATCH(K2093,Setup!$B$33:$B$40,0)),0)=1)*(COUNTIF(K2058:M2075,$B2093)+COUNTIF(K2058:M2075,$B2093&amp;" ~*")&gt;0)+(IFERROR(INDEX(Setup!$G$33:$G$40,MATCH(O2093,Setup!$B$33:$B$40,0)),0)=1)*(COUNTIF(O2058:Q2075,$B2093)+COUNTIF(O2058:Q2075,$B2093&amp;" ~*")&gt;0)+(IFERROR(INDEX(Setup!$G$33:$G$40,MATCH(S2093,Setup!$B$33:$B$40,0)),0)=1)*(COUNTIF(S2058:U2075,$B2093)+COUNTIF(S2058:U2075,$B2093&amp;" ~*")&gt;0)+(IFERROR(INDEX(Setup!$G$33:$G$40,MATCH(W2093,Setup!$B$33:$B$40,0)),0)=1)*(COUNTIF(W2058:W2075,$B2093)+COUNTIF(W2058:W2075,$B2093&amp;" ~*")&gt;0)+(IFERROR(INDEX(Setup!$G$33:$G$40,MATCH(Y2093,Setup!$B$33:$B$40,0)),0)=1)*(COUNTIF(Y2058:Y2075,$B2093)+COUNTIF(Y2058:Y2075,$B2093&amp;" ~*")&gt;0))</f>
        <v/>
      </c>
    </row>
    <row r="2094" ht="15" customHeight="1">
      <c r="A2094" t="n">
        <v>42</v>
      </c>
      <c r="B2094" s="37">
        <f>IF(Setup!$B$23="","",Setup!$B$23)</f>
        <v/>
      </c>
      <c r="C2094" s="102" t="n"/>
      <c r="D2094" s="103" t="n"/>
      <c r="E2094" s="103" t="n"/>
      <c r="F2094" s="104" t="n"/>
      <c r="G2094" s="102" t="n"/>
      <c r="H2094" s="103" t="n"/>
      <c r="I2094" s="103" t="n"/>
      <c r="J2094" s="104" t="n"/>
      <c r="K2094" s="102" t="n"/>
      <c r="L2094" s="103" t="n"/>
      <c r="M2094" s="103" t="n"/>
      <c r="N2094" s="104" t="n"/>
      <c r="O2094" s="102" t="n"/>
      <c r="P2094" s="103" t="n"/>
      <c r="Q2094" s="103" t="n"/>
      <c r="R2094" s="104" t="n"/>
      <c r="S2094" s="102" t="n"/>
      <c r="T2094" s="103" t="n"/>
      <c r="U2094" s="103" t="n"/>
      <c r="V2094" s="104" t="n"/>
      <c r="W2094" s="102" t="n"/>
      <c r="X2094" s="104" t="n"/>
      <c r="Y2094" s="102" t="n"/>
      <c r="Z2094" s="104" t="n"/>
      <c r="AB2094" s="105">
        <f>IF($B2094="","",(COUNTIF(C2058:E2075,$B2094)+COUNTIF(C2058:E2075,$B2094&amp;" ~*")&gt;0)+(COUNTIF(G2058:I2075,$B2094)+COUNTIF(G2058:I2075,$B2094&amp;" ~*")&gt;0)+(COUNTIF(K2058:M2075,$B2094)+COUNTIF(K2058:M2075,$B2094&amp;" ~*")&gt;0)+(COUNTIF(O2058:Q2075,$B2094)+COUNTIF(O2058:Q2075,$B2094&amp;" ~*")&gt;0)+(COUNTIF(S2058:U2075,$B2094)+COUNTIF(S2058:U2075,$B2094&amp;" ~*")&gt;0)+(COUNTIF(W2058:W2075,$B2094)+COUNTIF(W2058:W2075,$B2094&amp;" ~*")&gt;0)+(COUNTIF(Y2058:Y2075,$B2094)+COUNTIF(Y2058:Y2075,$B2094&amp;" ~*")&gt;0))</f>
        <v/>
      </c>
      <c r="AC2094" s="38">
        <f>IF($B2094="","",(IFERROR(INDEX(Setup!$G$33:$G$40,MATCH(C2094,Setup!$B$33:$B$40,0)),0)=1)*(COUNTIF(C2058:E2075,$B2094)+COUNTIF(C2058:E2075,$B2094&amp;" ~*")&gt;0)+(IFERROR(INDEX(Setup!$G$33:$G$40,MATCH(G2094,Setup!$B$33:$B$40,0)),0)=1)*(COUNTIF(G2058:I2075,$B2094)+COUNTIF(G2058:I2075,$B2094&amp;" ~*")&gt;0)+(IFERROR(INDEX(Setup!$G$33:$G$40,MATCH(K2094,Setup!$B$33:$B$40,0)),0)=1)*(COUNTIF(K2058:M2075,$B2094)+COUNTIF(K2058:M2075,$B2094&amp;" ~*")&gt;0)+(IFERROR(INDEX(Setup!$G$33:$G$40,MATCH(O2094,Setup!$B$33:$B$40,0)),0)=1)*(COUNTIF(O2058:Q2075,$B2094)+COUNTIF(O2058:Q2075,$B2094&amp;" ~*")&gt;0)+(IFERROR(INDEX(Setup!$G$33:$G$40,MATCH(S2094,Setup!$B$33:$B$40,0)),0)=1)*(COUNTIF(S2058:U2075,$B2094)+COUNTIF(S2058:U2075,$B2094&amp;" ~*")&gt;0)+(IFERROR(INDEX(Setup!$G$33:$G$40,MATCH(W2094,Setup!$B$33:$B$40,0)),0)=1)*(COUNTIF(W2058:W2075,$B2094)+COUNTIF(W2058:W2075,$B2094&amp;" ~*")&gt;0)+(IFERROR(INDEX(Setup!$G$33:$G$40,MATCH(Y2094,Setup!$B$33:$B$40,0)),0)=1)*(COUNTIF(Y2058:Y2075,$B2094)+COUNTIF(Y2058:Y2075,$B2094&amp;" ~*")&gt;0))</f>
        <v/>
      </c>
    </row>
    <row r="2095" ht="15" customHeight="1">
      <c r="A2095" t="n">
        <v>42</v>
      </c>
      <c r="B2095" s="35">
        <f>IF(Setup!$B$24="","",Setup!$B$24)</f>
        <v/>
      </c>
      <c r="C2095" s="98" t="n"/>
      <c r="D2095" s="99" t="n"/>
      <c r="E2095" s="99" t="n"/>
      <c r="F2095" s="100" t="n"/>
      <c r="G2095" s="98" t="n"/>
      <c r="H2095" s="99" t="n"/>
      <c r="I2095" s="99" t="n"/>
      <c r="J2095" s="100" t="n"/>
      <c r="K2095" s="98" t="n"/>
      <c r="L2095" s="99" t="n"/>
      <c r="M2095" s="99" t="n"/>
      <c r="N2095" s="100" t="n"/>
      <c r="O2095" s="98" t="n"/>
      <c r="P2095" s="99" t="n"/>
      <c r="Q2095" s="99" t="n"/>
      <c r="R2095" s="100" t="n"/>
      <c r="S2095" s="98" t="n"/>
      <c r="T2095" s="99" t="n"/>
      <c r="U2095" s="99" t="n"/>
      <c r="V2095" s="100" t="n"/>
      <c r="W2095" s="98" t="n"/>
      <c r="X2095" s="100" t="n"/>
      <c r="Y2095" s="98" t="n"/>
      <c r="Z2095" s="100" t="n"/>
      <c r="AB2095" s="101">
        <f>IF($B2095="","",(COUNTIF(C2058:E2075,$B2095)+COUNTIF(C2058:E2075,$B2095&amp;" ~*")&gt;0)+(COUNTIF(G2058:I2075,$B2095)+COUNTIF(G2058:I2075,$B2095&amp;" ~*")&gt;0)+(COUNTIF(K2058:M2075,$B2095)+COUNTIF(K2058:M2075,$B2095&amp;" ~*")&gt;0)+(COUNTIF(O2058:Q2075,$B2095)+COUNTIF(O2058:Q2075,$B2095&amp;" ~*")&gt;0)+(COUNTIF(S2058:U2075,$B2095)+COUNTIF(S2058:U2075,$B2095&amp;" ~*")&gt;0)+(COUNTIF(W2058:W2075,$B2095)+COUNTIF(W2058:W2075,$B2095&amp;" ~*")&gt;0)+(COUNTIF(Y2058:Y2075,$B2095)+COUNTIF(Y2058:Y2075,$B2095&amp;" ~*")&gt;0))</f>
        <v/>
      </c>
      <c r="AC2095" s="36">
        <f>IF($B2095="","",(IFERROR(INDEX(Setup!$G$33:$G$40,MATCH(C2095,Setup!$B$33:$B$40,0)),0)=1)*(COUNTIF(C2058:E2075,$B2095)+COUNTIF(C2058:E2075,$B2095&amp;" ~*")&gt;0)+(IFERROR(INDEX(Setup!$G$33:$G$40,MATCH(G2095,Setup!$B$33:$B$40,0)),0)=1)*(COUNTIF(G2058:I2075,$B2095)+COUNTIF(G2058:I2075,$B2095&amp;" ~*")&gt;0)+(IFERROR(INDEX(Setup!$G$33:$G$40,MATCH(K2095,Setup!$B$33:$B$40,0)),0)=1)*(COUNTIF(K2058:M2075,$B2095)+COUNTIF(K2058:M2075,$B2095&amp;" ~*")&gt;0)+(IFERROR(INDEX(Setup!$G$33:$G$40,MATCH(O2095,Setup!$B$33:$B$40,0)),0)=1)*(COUNTIF(O2058:Q2075,$B2095)+COUNTIF(O2058:Q2075,$B2095&amp;" ~*")&gt;0)+(IFERROR(INDEX(Setup!$G$33:$G$40,MATCH(S2095,Setup!$B$33:$B$40,0)),0)=1)*(COUNTIF(S2058:U2075,$B2095)+COUNTIF(S2058:U2075,$B2095&amp;" ~*")&gt;0)+(IFERROR(INDEX(Setup!$G$33:$G$40,MATCH(W2095,Setup!$B$33:$B$40,0)),0)=1)*(COUNTIF(W2058:W2075,$B2095)+COUNTIF(W2058:W2075,$B2095&amp;" ~*")&gt;0)+(IFERROR(INDEX(Setup!$G$33:$G$40,MATCH(Y2095,Setup!$B$33:$B$40,0)),0)=1)*(COUNTIF(Y2058:Y2075,$B2095)+COUNTIF(Y2058:Y2075,$B2095&amp;" ~*")&gt;0))</f>
        <v/>
      </c>
    </row>
    <row r="2096" ht="15" customHeight="1">
      <c r="A2096" t="n">
        <v>42</v>
      </c>
      <c r="B2096" s="37">
        <f>IF(Setup!$B$25="","",Setup!$B$25)</f>
        <v/>
      </c>
      <c r="C2096" s="102" t="n"/>
      <c r="D2096" s="103" t="n"/>
      <c r="E2096" s="103" t="n"/>
      <c r="F2096" s="104" t="n"/>
      <c r="G2096" s="102" t="n"/>
      <c r="H2096" s="103" t="n"/>
      <c r="I2096" s="103" t="n"/>
      <c r="J2096" s="104" t="n"/>
      <c r="K2096" s="102" t="n"/>
      <c r="L2096" s="103" t="n"/>
      <c r="M2096" s="103" t="n"/>
      <c r="N2096" s="104" t="n"/>
      <c r="O2096" s="102" t="n"/>
      <c r="P2096" s="103" t="n"/>
      <c r="Q2096" s="103" t="n"/>
      <c r="R2096" s="104" t="n"/>
      <c r="S2096" s="102" t="n"/>
      <c r="T2096" s="103" t="n"/>
      <c r="U2096" s="103" t="n"/>
      <c r="V2096" s="104" t="n"/>
      <c r="W2096" s="102" t="n"/>
      <c r="X2096" s="104" t="n"/>
      <c r="Y2096" s="102" t="n"/>
      <c r="Z2096" s="104" t="n"/>
      <c r="AB2096" s="105">
        <f>IF($B2096="","",(COUNTIF(C2058:E2075,$B2096)+COUNTIF(C2058:E2075,$B2096&amp;" ~*")&gt;0)+(COUNTIF(G2058:I2075,$B2096)+COUNTIF(G2058:I2075,$B2096&amp;" ~*")&gt;0)+(COUNTIF(K2058:M2075,$B2096)+COUNTIF(K2058:M2075,$B2096&amp;" ~*")&gt;0)+(COUNTIF(O2058:Q2075,$B2096)+COUNTIF(O2058:Q2075,$B2096&amp;" ~*")&gt;0)+(COUNTIF(S2058:U2075,$B2096)+COUNTIF(S2058:U2075,$B2096&amp;" ~*")&gt;0)+(COUNTIF(W2058:W2075,$B2096)+COUNTIF(W2058:W2075,$B2096&amp;" ~*")&gt;0)+(COUNTIF(Y2058:Y2075,$B2096)+COUNTIF(Y2058:Y2075,$B2096&amp;" ~*")&gt;0))</f>
        <v/>
      </c>
      <c r="AC2096" s="38">
        <f>IF($B2096="","",(IFERROR(INDEX(Setup!$G$33:$G$40,MATCH(C2096,Setup!$B$33:$B$40,0)),0)=1)*(COUNTIF(C2058:E2075,$B2096)+COUNTIF(C2058:E2075,$B2096&amp;" ~*")&gt;0)+(IFERROR(INDEX(Setup!$G$33:$G$40,MATCH(G2096,Setup!$B$33:$B$40,0)),0)=1)*(COUNTIF(G2058:I2075,$B2096)+COUNTIF(G2058:I2075,$B2096&amp;" ~*")&gt;0)+(IFERROR(INDEX(Setup!$G$33:$G$40,MATCH(K2096,Setup!$B$33:$B$40,0)),0)=1)*(COUNTIF(K2058:M2075,$B2096)+COUNTIF(K2058:M2075,$B2096&amp;" ~*")&gt;0)+(IFERROR(INDEX(Setup!$G$33:$G$40,MATCH(O2096,Setup!$B$33:$B$40,0)),0)=1)*(COUNTIF(O2058:Q2075,$B2096)+COUNTIF(O2058:Q2075,$B2096&amp;" ~*")&gt;0)+(IFERROR(INDEX(Setup!$G$33:$G$40,MATCH(S2096,Setup!$B$33:$B$40,0)),0)=1)*(COUNTIF(S2058:U2075,$B2096)+COUNTIF(S2058:U2075,$B2096&amp;" ~*")&gt;0)+(IFERROR(INDEX(Setup!$G$33:$G$40,MATCH(W2096,Setup!$B$33:$B$40,0)),0)=1)*(COUNTIF(W2058:W2075,$B2096)+COUNTIF(W2058:W2075,$B2096&amp;" ~*")&gt;0)+(IFERROR(INDEX(Setup!$G$33:$G$40,MATCH(Y2096,Setup!$B$33:$B$40,0)),0)=1)*(COUNTIF(Y2058:Y2075,$B2096)+COUNTIF(Y2058:Y2075,$B2096&amp;" ~*")&gt;0))</f>
        <v/>
      </c>
    </row>
    <row r="2097" ht="15" customHeight="1">
      <c r="A2097" t="n">
        <v>42</v>
      </c>
      <c r="B2097" s="35">
        <f>IF(Setup!$B$26="","",Setup!$B$26)</f>
        <v/>
      </c>
      <c r="C2097" s="98" t="n"/>
      <c r="D2097" s="99" t="n"/>
      <c r="E2097" s="99" t="n"/>
      <c r="F2097" s="100" t="n"/>
      <c r="G2097" s="98" t="n"/>
      <c r="H2097" s="99" t="n"/>
      <c r="I2097" s="99" t="n"/>
      <c r="J2097" s="100" t="n"/>
      <c r="K2097" s="98" t="n"/>
      <c r="L2097" s="99" t="n"/>
      <c r="M2097" s="99" t="n"/>
      <c r="N2097" s="100" t="n"/>
      <c r="O2097" s="98" t="n"/>
      <c r="P2097" s="99" t="n"/>
      <c r="Q2097" s="99" t="n"/>
      <c r="R2097" s="100" t="n"/>
      <c r="S2097" s="98" t="n"/>
      <c r="T2097" s="99" t="n"/>
      <c r="U2097" s="99" t="n"/>
      <c r="V2097" s="100" t="n"/>
      <c r="W2097" s="98" t="n"/>
      <c r="X2097" s="100" t="n"/>
      <c r="Y2097" s="98" t="n"/>
      <c r="Z2097" s="100" t="n"/>
      <c r="AB2097" s="101">
        <f>IF($B2097="","",(COUNTIF(C2058:E2075,$B2097)+COUNTIF(C2058:E2075,$B2097&amp;" ~*")&gt;0)+(COUNTIF(G2058:I2075,$B2097)+COUNTIF(G2058:I2075,$B2097&amp;" ~*")&gt;0)+(COUNTIF(K2058:M2075,$B2097)+COUNTIF(K2058:M2075,$B2097&amp;" ~*")&gt;0)+(COUNTIF(O2058:Q2075,$B2097)+COUNTIF(O2058:Q2075,$B2097&amp;" ~*")&gt;0)+(COUNTIF(S2058:U2075,$B2097)+COUNTIF(S2058:U2075,$B2097&amp;" ~*")&gt;0)+(COUNTIF(W2058:W2075,$B2097)+COUNTIF(W2058:W2075,$B2097&amp;" ~*")&gt;0)+(COUNTIF(Y2058:Y2075,$B2097)+COUNTIF(Y2058:Y2075,$B2097&amp;" ~*")&gt;0))</f>
        <v/>
      </c>
      <c r="AC2097" s="36">
        <f>IF($B2097="","",(IFERROR(INDEX(Setup!$G$33:$G$40,MATCH(C2097,Setup!$B$33:$B$40,0)),0)=1)*(COUNTIF(C2058:E2075,$B2097)+COUNTIF(C2058:E2075,$B2097&amp;" ~*")&gt;0)+(IFERROR(INDEX(Setup!$G$33:$G$40,MATCH(G2097,Setup!$B$33:$B$40,0)),0)=1)*(COUNTIF(G2058:I2075,$B2097)+COUNTIF(G2058:I2075,$B2097&amp;" ~*")&gt;0)+(IFERROR(INDEX(Setup!$G$33:$G$40,MATCH(K2097,Setup!$B$33:$B$40,0)),0)=1)*(COUNTIF(K2058:M2075,$B2097)+COUNTIF(K2058:M2075,$B2097&amp;" ~*")&gt;0)+(IFERROR(INDEX(Setup!$G$33:$G$40,MATCH(O2097,Setup!$B$33:$B$40,0)),0)=1)*(COUNTIF(O2058:Q2075,$B2097)+COUNTIF(O2058:Q2075,$B2097&amp;" ~*")&gt;0)+(IFERROR(INDEX(Setup!$G$33:$G$40,MATCH(S2097,Setup!$B$33:$B$40,0)),0)=1)*(COUNTIF(S2058:U2075,$B2097)+COUNTIF(S2058:U2075,$B2097&amp;" ~*")&gt;0)+(IFERROR(INDEX(Setup!$G$33:$G$40,MATCH(W2097,Setup!$B$33:$B$40,0)),0)=1)*(COUNTIF(W2058:W2075,$B2097)+COUNTIF(W2058:W2075,$B2097&amp;" ~*")&gt;0)+(IFERROR(INDEX(Setup!$G$33:$G$40,MATCH(Y2097,Setup!$B$33:$B$40,0)),0)=1)*(COUNTIF(Y2058:Y2075,$B2097)+COUNTIF(Y2058:Y2075,$B2097&amp;" ~*")&gt;0))</f>
        <v/>
      </c>
    </row>
    <row r="2098" ht="15" customHeight="1">
      <c r="A2098" t="n">
        <v>42</v>
      </c>
      <c r="B2098" s="37">
        <f>IF(Setup!$B$27="","",Setup!$B$27)</f>
        <v/>
      </c>
      <c r="C2098" s="102" t="n"/>
      <c r="D2098" s="103" t="n"/>
      <c r="E2098" s="103" t="n"/>
      <c r="F2098" s="104" t="n"/>
      <c r="G2098" s="102" t="n"/>
      <c r="H2098" s="103" t="n"/>
      <c r="I2098" s="103" t="n"/>
      <c r="J2098" s="104" t="n"/>
      <c r="K2098" s="102" t="n"/>
      <c r="L2098" s="103" t="n"/>
      <c r="M2098" s="103" t="n"/>
      <c r="N2098" s="104" t="n"/>
      <c r="O2098" s="102" t="n"/>
      <c r="P2098" s="103" t="n"/>
      <c r="Q2098" s="103" t="n"/>
      <c r="R2098" s="104" t="n"/>
      <c r="S2098" s="102" t="n"/>
      <c r="T2098" s="103" t="n"/>
      <c r="U2098" s="103" t="n"/>
      <c r="V2098" s="104" t="n"/>
      <c r="W2098" s="102" t="n"/>
      <c r="X2098" s="104" t="n"/>
      <c r="Y2098" s="102" t="n"/>
      <c r="Z2098" s="104" t="n"/>
      <c r="AB2098" s="105">
        <f>IF($B2098="","",(COUNTIF(C2058:E2075,$B2098)+COUNTIF(C2058:E2075,$B2098&amp;" ~*")&gt;0)+(COUNTIF(G2058:I2075,$B2098)+COUNTIF(G2058:I2075,$B2098&amp;" ~*")&gt;0)+(COUNTIF(K2058:M2075,$B2098)+COUNTIF(K2058:M2075,$B2098&amp;" ~*")&gt;0)+(COUNTIF(O2058:Q2075,$B2098)+COUNTIF(O2058:Q2075,$B2098&amp;" ~*")&gt;0)+(COUNTIF(S2058:U2075,$B2098)+COUNTIF(S2058:U2075,$B2098&amp;" ~*")&gt;0)+(COUNTIF(W2058:W2075,$B2098)+COUNTIF(W2058:W2075,$B2098&amp;" ~*")&gt;0)+(COUNTIF(Y2058:Y2075,$B2098)+COUNTIF(Y2058:Y2075,$B2098&amp;" ~*")&gt;0))</f>
        <v/>
      </c>
      <c r="AC2098" s="38">
        <f>IF($B2098="","",(IFERROR(INDEX(Setup!$G$33:$G$40,MATCH(C2098,Setup!$B$33:$B$40,0)),0)=1)*(COUNTIF(C2058:E2075,$B2098)+COUNTIF(C2058:E2075,$B2098&amp;" ~*")&gt;0)+(IFERROR(INDEX(Setup!$G$33:$G$40,MATCH(G2098,Setup!$B$33:$B$40,0)),0)=1)*(COUNTIF(G2058:I2075,$B2098)+COUNTIF(G2058:I2075,$B2098&amp;" ~*")&gt;0)+(IFERROR(INDEX(Setup!$G$33:$G$40,MATCH(K2098,Setup!$B$33:$B$40,0)),0)=1)*(COUNTIF(K2058:M2075,$B2098)+COUNTIF(K2058:M2075,$B2098&amp;" ~*")&gt;0)+(IFERROR(INDEX(Setup!$G$33:$G$40,MATCH(O2098,Setup!$B$33:$B$40,0)),0)=1)*(COUNTIF(O2058:Q2075,$B2098)+COUNTIF(O2058:Q2075,$B2098&amp;" ~*")&gt;0)+(IFERROR(INDEX(Setup!$G$33:$G$40,MATCH(S2098,Setup!$B$33:$B$40,0)),0)=1)*(COUNTIF(S2058:U2075,$B2098)+COUNTIF(S2058:U2075,$B2098&amp;" ~*")&gt;0)+(IFERROR(INDEX(Setup!$G$33:$G$40,MATCH(W2098,Setup!$B$33:$B$40,0)),0)=1)*(COUNTIF(W2058:W2075,$B2098)+COUNTIF(W2058:W2075,$B2098&amp;" ~*")&gt;0)+(IFERROR(INDEX(Setup!$G$33:$G$40,MATCH(Y2098,Setup!$B$33:$B$40,0)),0)=1)*(COUNTIF(Y2058:Y2075,$B2098)+COUNTIF(Y2058:Y2075,$B2098&amp;" ~*")&gt;0))</f>
        <v/>
      </c>
    </row>
    <row r="2099" ht="15" customHeight="1">
      <c r="A2099" t="n">
        <v>42</v>
      </c>
      <c r="B2099" s="35">
        <f>IF(Setup!$B$28="","",Setup!$B$28)</f>
        <v/>
      </c>
      <c r="C2099" s="98" t="n"/>
      <c r="D2099" s="99" t="n"/>
      <c r="E2099" s="99" t="n"/>
      <c r="F2099" s="100" t="n"/>
      <c r="G2099" s="98" t="n"/>
      <c r="H2099" s="99" t="n"/>
      <c r="I2099" s="99" t="n"/>
      <c r="J2099" s="100" t="n"/>
      <c r="K2099" s="98" t="n"/>
      <c r="L2099" s="99" t="n"/>
      <c r="M2099" s="99" t="n"/>
      <c r="N2099" s="100" t="n"/>
      <c r="O2099" s="98" t="n"/>
      <c r="P2099" s="99" t="n"/>
      <c r="Q2099" s="99" t="n"/>
      <c r="R2099" s="100" t="n"/>
      <c r="S2099" s="98" t="n"/>
      <c r="T2099" s="99" t="n"/>
      <c r="U2099" s="99" t="n"/>
      <c r="V2099" s="100" t="n"/>
      <c r="W2099" s="98" t="n"/>
      <c r="X2099" s="100" t="n"/>
      <c r="Y2099" s="98" t="n"/>
      <c r="Z2099" s="100" t="n"/>
      <c r="AB2099" s="101">
        <f>IF($B2099="","",(COUNTIF(C2058:E2075,$B2099)+COUNTIF(C2058:E2075,$B2099&amp;" ~*")&gt;0)+(COUNTIF(G2058:I2075,$B2099)+COUNTIF(G2058:I2075,$B2099&amp;" ~*")&gt;0)+(COUNTIF(K2058:M2075,$B2099)+COUNTIF(K2058:M2075,$B2099&amp;" ~*")&gt;0)+(COUNTIF(O2058:Q2075,$B2099)+COUNTIF(O2058:Q2075,$B2099&amp;" ~*")&gt;0)+(COUNTIF(S2058:U2075,$B2099)+COUNTIF(S2058:U2075,$B2099&amp;" ~*")&gt;0)+(COUNTIF(W2058:W2075,$B2099)+COUNTIF(W2058:W2075,$B2099&amp;" ~*")&gt;0)+(COUNTIF(Y2058:Y2075,$B2099)+COUNTIF(Y2058:Y2075,$B2099&amp;" ~*")&gt;0))</f>
        <v/>
      </c>
      <c r="AC2099" s="36">
        <f>IF($B2099="","",(IFERROR(INDEX(Setup!$G$33:$G$40,MATCH(C2099,Setup!$B$33:$B$40,0)),0)=1)*(COUNTIF(C2058:E2075,$B2099)+COUNTIF(C2058:E2075,$B2099&amp;" ~*")&gt;0)+(IFERROR(INDEX(Setup!$G$33:$G$40,MATCH(G2099,Setup!$B$33:$B$40,0)),0)=1)*(COUNTIF(G2058:I2075,$B2099)+COUNTIF(G2058:I2075,$B2099&amp;" ~*")&gt;0)+(IFERROR(INDEX(Setup!$G$33:$G$40,MATCH(K2099,Setup!$B$33:$B$40,0)),0)=1)*(COUNTIF(K2058:M2075,$B2099)+COUNTIF(K2058:M2075,$B2099&amp;" ~*")&gt;0)+(IFERROR(INDEX(Setup!$G$33:$G$40,MATCH(O2099,Setup!$B$33:$B$40,0)),0)=1)*(COUNTIF(O2058:Q2075,$B2099)+COUNTIF(O2058:Q2075,$B2099&amp;" ~*")&gt;0)+(IFERROR(INDEX(Setup!$G$33:$G$40,MATCH(S2099,Setup!$B$33:$B$40,0)),0)=1)*(COUNTIF(S2058:U2075,$B2099)+COUNTIF(S2058:U2075,$B2099&amp;" ~*")&gt;0)+(IFERROR(INDEX(Setup!$G$33:$G$40,MATCH(W2099,Setup!$B$33:$B$40,0)),0)=1)*(COUNTIF(W2058:W2075,$B2099)+COUNTIF(W2058:W2075,$B2099&amp;" ~*")&gt;0)+(IFERROR(INDEX(Setup!$G$33:$G$40,MATCH(Y2099,Setup!$B$33:$B$40,0)),0)=1)*(COUNTIF(Y2058:Y2075,$B2099)+COUNTIF(Y2058:Y2075,$B2099&amp;" ~*")&gt;0))</f>
        <v/>
      </c>
    </row>
    <row r="2100" ht="15" customHeight="1">
      <c r="A2100" t="n">
        <v>42</v>
      </c>
      <c r="B2100" s="37">
        <f>IF(Setup!$B$29="","",Setup!$B$29)</f>
        <v/>
      </c>
      <c r="C2100" s="102" t="n"/>
      <c r="D2100" s="103" t="n"/>
      <c r="E2100" s="103" t="n"/>
      <c r="F2100" s="104" t="n"/>
      <c r="G2100" s="102" t="n"/>
      <c r="H2100" s="103" t="n"/>
      <c r="I2100" s="103" t="n"/>
      <c r="J2100" s="104" t="n"/>
      <c r="K2100" s="102" t="n"/>
      <c r="L2100" s="103" t="n"/>
      <c r="M2100" s="103" t="n"/>
      <c r="N2100" s="104" t="n"/>
      <c r="O2100" s="102" t="n"/>
      <c r="P2100" s="103" t="n"/>
      <c r="Q2100" s="103" t="n"/>
      <c r="R2100" s="104" t="n"/>
      <c r="S2100" s="102" t="n"/>
      <c r="T2100" s="103" t="n"/>
      <c r="U2100" s="103" t="n"/>
      <c r="V2100" s="104" t="n"/>
      <c r="W2100" s="102" t="n"/>
      <c r="X2100" s="104" t="n"/>
      <c r="Y2100" s="102" t="n"/>
      <c r="Z2100" s="104" t="n"/>
      <c r="AB2100" s="105">
        <f>IF($B2100="","",(COUNTIF(C2058:E2075,$B2100)+COUNTIF(C2058:E2075,$B2100&amp;" ~*")&gt;0)+(COUNTIF(G2058:I2075,$B2100)+COUNTIF(G2058:I2075,$B2100&amp;" ~*")&gt;0)+(COUNTIF(K2058:M2075,$B2100)+COUNTIF(K2058:M2075,$B2100&amp;" ~*")&gt;0)+(COUNTIF(O2058:Q2075,$B2100)+COUNTIF(O2058:Q2075,$B2100&amp;" ~*")&gt;0)+(COUNTIF(S2058:U2075,$B2100)+COUNTIF(S2058:U2075,$B2100&amp;" ~*")&gt;0)+(COUNTIF(W2058:W2075,$B2100)+COUNTIF(W2058:W2075,$B2100&amp;" ~*")&gt;0)+(COUNTIF(Y2058:Y2075,$B2100)+COUNTIF(Y2058:Y2075,$B2100&amp;" ~*")&gt;0))</f>
        <v/>
      </c>
      <c r="AC2100" s="38">
        <f>IF($B2100="","",(IFERROR(INDEX(Setup!$G$33:$G$40,MATCH(C2100,Setup!$B$33:$B$40,0)),0)=1)*(COUNTIF(C2058:E2075,$B2100)+COUNTIF(C2058:E2075,$B2100&amp;" ~*")&gt;0)+(IFERROR(INDEX(Setup!$G$33:$G$40,MATCH(G2100,Setup!$B$33:$B$40,0)),0)=1)*(COUNTIF(G2058:I2075,$B2100)+COUNTIF(G2058:I2075,$B2100&amp;" ~*")&gt;0)+(IFERROR(INDEX(Setup!$G$33:$G$40,MATCH(K2100,Setup!$B$33:$B$40,0)),0)=1)*(COUNTIF(K2058:M2075,$B2100)+COUNTIF(K2058:M2075,$B2100&amp;" ~*")&gt;0)+(IFERROR(INDEX(Setup!$G$33:$G$40,MATCH(O2100,Setup!$B$33:$B$40,0)),0)=1)*(COUNTIF(O2058:Q2075,$B2100)+COUNTIF(O2058:Q2075,$B2100&amp;" ~*")&gt;0)+(IFERROR(INDEX(Setup!$G$33:$G$40,MATCH(S2100,Setup!$B$33:$B$40,0)),0)=1)*(COUNTIF(S2058:U2075,$B2100)+COUNTIF(S2058:U2075,$B2100&amp;" ~*")&gt;0)+(IFERROR(INDEX(Setup!$G$33:$G$40,MATCH(W2100,Setup!$B$33:$B$40,0)),0)=1)*(COUNTIF(W2058:W2075,$B2100)+COUNTIF(W2058:W2075,$B2100&amp;" ~*")&gt;0)+(IFERROR(INDEX(Setup!$G$33:$G$40,MATCH(Y2100,Setup!$B$33:$B$40,0)),0)=1)*(COUNTIF(Y2058:Y2075,$B2100)+COUNTIF(Y2058:Y2075,$B2100&amp;" ~*")&gt;0))</f>
        <v/>
      </c>
    </row>
    <row r="2101" ht="16" customHeight="1">
      <c r="A2101" t="n">
        <v>42</v>
      </c>
      <c r="B2101" s="106" t="inlineStr">
        <is>
          <t>Available people</t>
        </is>
      </c>
      <c r="C2101" s="107">
        <f>COUNTIFS(Setup!$E$6:$E$29,"Y",Setup!$B$6:$B$29,"?*")-SUMPRODUCT(COUNTIF(C2077:C2100,Setup!$F$33:$F$40))</f>
        <v/>
      </c>
      <c r="D2101" s="107" t="n"/>
      <c r="E2101" s="107" t="n"/>
      <c r="F2101" s="107" t="n"/>
      <c r="G2101" s="107">
        <f>COUNTIFS(Setup!$E$6:$E$29,"Y",Setup!$B$6:$B$29,"?*")-SUMPRODUCT(COUNTIF(G2077:G2100,Setup!$F$33:$F$40))</f>
        <v/>
      </c>
      <c r="H2101" s="107" t="n"/>
      <c r="I2101" s="107" t="n"/>
      <c r="J2101" s="107" t="n"/>
      <c r="K2101" s="107">
        <f>COUNTIFS(Setup!$E$6:$E$29,"Y",Setup!$B$6:$B$29,"?*")-SUMPRODUCT(COUNTIF(K2077:K2100,Setup!$F$33:$F$40))</f>
        <v/>
      </c>
      <c r="L2101" s="107" t="n"/>
      <c r="M2101" s="107" t="n"/>
      <c r="N2101" s="107" t="n"/>
      <c r="O2101" s="107">
        <f>COUNTIFS(Setup!$E$6:$E$29,"Y",Setup!$B$6:$B$29,"?*")-SUMPRODUCT(COUNTIF(O2077:O2100,Setup!$F$33:$F$40))</f>
        <v/>
      </c>
      <c r="P2101" s="107" t="n"/>
      <c r="Q2101" s="107" t="n"/>
      <c r="R2101" s="107" t="n"/>
      <c r="S2101" s="107">
        <f>COUNTIFS(Setup!$E$6:$E$29,"Y",Setup!$B$6:$B$29,"?*")-SUMPRODUCT(COUNTIF(S2077:S2100,Setup!$F$33:$F$40))</f>
        <v/>
      </c>
      <c r="T2101" s="107" t="n"/>
      <c r="U2101" s="107" t="n"/>
      <c r="V2101" s="107" t="n"/>
      <c r="W2101" s="107">
        <f>COUNTIFS(Setup!$E$6:$E$29,"Y",Setup!$B$6:$B$29,"?*")-SUMPRODUCT(COUNTIF(W2077:W2100,Setup!$F$33:$F$40))</f>
        <v/>
      </c>
      <c r="X2101" s="107" t="n"/>
      <c r="Y2101" s="107">
        <f>COUNTIFS(Setup!$E$6:$E$29,"Y",Setup!$B$6:$B$29,"?*")-SUMPRODUCT(COUNTIF(Y2077:Y2100,Setup!$F$33:$F$40))</f>
        <v/>
      </c>
      <c r="Z2101" s="107" t="n"/>
      <c r="AB2101" s="108">
        <f>SUM(AB2077:AB2100)</f>
        <v/>
      </c>
      <c r="AC2101" s="109">
        <f>SUM(AC2077:AC2100)</f>
        <v/>
      </c>
    </row>
    <row r="2102" ht="30" customHeight="1">
      <c r="A2102" t="n">
        <v>42</v>
      </c>
      <c r="B2102" s="110" t="inlineStr">
        <is>
          <t>Week notes</t>
        </is>
      </c>
      <c r="C2102" s="111" t="n"/>
      <c r="D2102" s="112" t="n"/>
      <c r="E2102" s="112" t="n"/>
      <c r="F2102" s="112" t="n"/>
      <c r="G2102" s="112" t="n"/>
      <c r="H2102" s="112" t="n"/>
      <c r="I2102" s="112" t="n"/>
      <c r="J2102" s="112" t="n"/>
      <c r="K2102" s="112" t="n"/>
      <c r="L2102" s="112" t="n"/>
      <c r="M2102" s="112" t="n"/>
      <c r="N2102" s="112" t="n"/>
      <c r="O2102" s="112" t="n"/>
      <c r="P2102" s="112" t="n"/>
      <c r="Q2102" s="112" t="n"/>
      <c r="R2102" s="112" t="n"/>
      <c r="S2102" s="112" t="n"/>
      <c r="T2102" s="112" t="n"/>
      <c r="U2102" s="112" t="n"/>
      <c r="V2102" s="112" t="n"/>
      <c r="W2102" s="112" t="n"/>
      <c r="X2102" s="112" t="n"/>
      <c r="Y2102" s="112" t="n"/>
      <c r="Z2102" s="113" t="n"/>
    </row>
    <row r="2103" ht="8" customHeight="1">
      <c r="A2103" t="n">
        <v>42</v>
      </c>
    </row>
    <row r="2104" ht="8" customHeight="1">
      <c r="A2104" t="n">
        <v>42</v>
      </c>
    </row>
    <row r="2105" ht="24" customHeight="1">
      <c r="A2105" t="n">
        <v>43</v>
      </c>
      <c r="B2105" s="73">
        <f>"WEEK 43     "&amp;TEXT(C2106,"ddd d mmm")&amp;"  –  "&amp;TEXT(C2106+6,"ddd d mmm yyyy")</f>
        <v/>
      </c>
      <c r="S2105" s="74">
        <f>IF(TODAY()&lt;C2106,"FUTURE",IF(TODAY()&gt;C2106+6,"PAST","THIS WEEK"))</f>
        <v/>
      </c>
      <c r="W2105" s="75">
        <f>IF(AND(Engine!$B$8=$AC$3,Engine!$B$9=$A2105),"◀ ACTIVE WEEK","")</f>
        <v/>
      </c>
      <c r="AA2105" s="76" t="n"/>
      <c r="AB2105" s="77" t="inlineStr">
        <is>
          <t>◀ Prev</t>
        </is>
      </c>
      <c r="AC2105" s="77" t="inlineStr">
        <is>
          <t>Next ▶</t>
        </is>
      </c>
    </row>
    <row r="2106" ht="18" customHeight="1">
      <c r="A2106" t="n">
        <v>43</v>
      </c>
      <c r="B2106" s="78" t="inlineStr">
        <is>
          <t>DUTY</t>
        </is>
      </c>
      <c r="C2106" s="79">
        <f>$AC$2+7*($A2106-1)</f>
        <v/>
      </c>
      <c r="D2106" s="80" t="n"/>
      <c r="E2106" s="80" t="n"/>
      <c r="F2106" s="81" t="n"/>
      <c r="G2106" s="79">
        <f>C2106+1</f>
        <v/>
      </c>
      <c r="H2106" s="80" t="n"/>
      <c r="I2106" s="80" t="n"/>
      <c r="J2106" s="81" t="n"/>
      <c r="K2106" s="79">
        <f>C2106+2</f>
        <v/>
      </c>
      <c r="L2106" s="80" t="n"/>
      <c r="M2106" s="80" t="n"/>
      <c r="N2106" s="81" t="n"/>
      <c r="O2106" s="79">
        <f>C2106+3</f>
        <v/>
      </c>
      <c r="P2106" s="80" t="n"/>
      <c r="Q2106" s="80" t="n"/>
      <c r="R2106" s="81" t="n"/>
      <c r="S2106" s="79">
        <f>C2106+4</f>
        <v/>
      </c>
      <c r="T2106" s="80" t="n"/>
      <c r="U2106" s="80" t="n"/>
      <c r="V2106" s="81" t="n"/>
      <c r="W2106" s="82">
        <f>C2106+5</f>
        <v/>
      </c>
      <c r="X2106" s="83" t="n"/>
      <c r="Y2106" s="82">
        <f>C2106+6</f>
        <v/>
      </c>
      <c r="Z2106" s="83" t="n"/>
      <c r="AB2106" s="72" t="inlineStr">
        <is>
          <t>Gaps</t>
        </is>
      </c>
      <c r="AC2106" s="72" t="inlineStr">
        <is>
          <t>Cover</t>
        </is>
      </c>
    </row>
    <row r="2107" ht="14" customHeight="1">
      <c r="A2107" t="n">
        <v>43</v>
      </c>
      <c r="B2107" s="84" t="inlineStr">
        <is>
          <t>(from Setup)</t>
        </is>
      </c>
      <c r="C2107" s="85" t="inlineStr">
        <is>
          <t>1</t>
        </is>
      </c>
      <c r="D2107" s="85" t="inlineStr">
        <is>
          <t>2</t>
        </is>
      </c>
      <c r="E2107" s="85" t="inlineStr">
        <is>
          <t>3</t>
        </is>
      </c>
      <c r="F2107" s="85" t="inlineStr">
        <is>
          <t>Notes</t>
        </is>
      </c>
      <c r="G2107" s="85" t="inlineStr">
        <is>
          <t>1</t>
        </is>
      </c>
      <c r="H2107" s="85" t="inlineStr">
        <is>
          <t>2</t>
        </is>
      </c>
      <c r="I2107" s="85" t="inlineStr">
        <is>
          <t>3</t>
        </is>
      </c>
      <c r="J2107" s="85" t="inlineStr">
        <is>
          <t>Notes</t>
        </is>
      </c>
      <c r="K2107" s="85" t="inlineStr">
        <is>
          <t>1</t>
        </is>
      </c>
      <c r="L2107" s="85" t="inlineStr">
        <is>
          <t>2</t>
        </is>
      </c>
      <c r="M2107" s="85" t="inlineStr">
        <is>
          <t>3</t>
        </is>
      </c>
      <c r="N2107" s="85" t="inlineStr">
        <is>
          <t>Notes</t>
        </is>
      </c>
      <c r="O2107" s="85" t="inlineStr">
        <is>
          <t>1</t>
        </is>
      </c>
      <c r="P2107" s="85" t="inlineStr">
        <is>
          <t>2</t>
        </is>
      </c>
      <c r="Q2107" s="85" t="inlineStr">
        <is>
          <t>3</t>
        </is>
      </c>
      <c r="R2107" s="85" t="inlineStr">
        <is>
          <t>Notes</t>
        </is>
      </c>
      <c r="S2107" s="85" t="inlineStr">
        <is>
          <t>1</t>
        </is>
      </c>
      <c r="T2107" s="85" t="inlineStr">
        <is>
          <t>2</t>
        </is>
      </c>
      <c r="U2107" s="85" t="inlineStr">
        <is>
          <t>3</t>
        </is>
      </c>
      <c r="V2107" s="85" t="inlineStr">
        <is>
          <t>Notes</t>
        </is>
      </c>
      <c r="W2107" s="85" t="inlineStr">
        <is>
          <t>Cover</t>
        </is>
      </c>
      <c r="X2107" s="85" t="inlineStr">
        <is>
          <t>Notes</t>
        </is>
      </c>
      <c r="Y2107" s="85" t="inlineStr">
        <is>
          <t>Cover</t>
        </is>
      </c>
      <c r="Z2107" s="85" t="inlineStr">
        <is>
          <t>Notes</t>
        </is>
      </c>
      <c r="AB2107" s="86" t="inlineStr">
        <is>
          <t>weekdays short</t>
        </is>
      </c>
      <c r="AC2107" s="87" t="inlineStr"/>
    </row>
    <row r="2108" ht="17" customHeight="1">
      <c r="A2108" t="n">
        <v>43</v>
      </c>
      <c r="B2108" s="24">
        <f>IF(Setup!$K$6="","",Setup!$K$6)</f>
        <v/>
      </c>
      <c r="C2108" s="88" t="n"/>
      <c r="D2108" s="88" t="n"/>
      <c r="E2108" s="88" t="n"/>
      <c r="F2108" s="89" t="n"/>
      <c r="G2108" s="88" t="n"/>
      <c r="H2108" s="88" t="n"/>
      <c r="I2108" s="88" t="n"/>
      <c r="J2108" s="89" t="n"/>
      <c r="K2108" s="88" t="n"/>
      <c r="L2108" s="88" t="n"/>
      <c r="M2108" s="88" t="n"/>
      <c r="N2108" s="89" t="n"/>
      <c r="O2108" s="88" t="n"/>
      <c r="P2108" s="88" t="n"/>
      <c r="Q2108" s="88" t="n"/>
      <c r="R2108" s="89" t="n"/>
      <c r="S2108" s="88" t="n"/>
      <c r="T2108" s="88" t="n"/>
      <c r="U2108" s="88" t="n"/>
      <c r="V2108" s="89" t="n"/>
      <c r="W2108" s="88" t="n"/>
      <c r="X2108" s="89" t="n"/>
      <c r="Y2108" s="88" t="n"/>
      <c r="Z2108" s="89" t="n"/>
      <c r="AB2108" s="25">
        <f>IF($B2108="","",(COUNTIF(C2108:E2108,"?*")&lt;N(INDEX(Setup!$L$6:$L$23,1)))+(COUNTIF(G2108:I2108,"?*")&lt;N(INDEX(Setup!$L$6:$L$23,1)))+(COUNTIF(K2108:M2108,"?*")&lt;N(INDEX(Setup!$L$6:$L$23,1)))+(COUNTIF(O2108:Q2108,"?*")&lt;N(INDEX(Setup!$L$6:$L$23,1)))+(COUNTIF(S2108:U2108,"?*")&lt;N(INDEX(Setup!$L$6:$L$23,1)))+((W2108="")*(INDEX(Setup!$M$6:$M$23,1)="Y"))+((Y2108="")*(INDEX(Setup!$M$6:$M$23,1)="Y")))</f>
        <v/>
      </c>
      <c r="AC2108" s="90">
        <f>IF($B2108="","",IF(AB2108=0,"✓ covered","⚠ "&amp;AB2108&amp;IF(AB2108=1," gap"," gaps")))</f>
        <v/>
      </c>
    </row>
    <row r="2109" ht="17" customHeight="1">
      <c r="A2109" t="n">
        <v>43</v>
      </c>
      <c r="B2109" s="29">
        <f>IF(Setup!$K$7="","",Setup!$K$7)</f>
        <v/>
      </c>
      <c r="C2109" s="88" t="n"/>
      <c r="D2109" s="88" t="n"/>
      <c r="E2109" s="88" t="n"/>
      <c r="F2109" s="89" t="n"/>
      <c r="G2109" s="88" t="n"/>
      <c r="H2109" s="88" t="n"/>
      <c r="I2109" s="88" t="n"/>
      <c r="J2109" s="89" t="n"/>
      <c r="K2109" s="88" t="n"/>
      <c r="L2109" s="88" t="n"/>
      <c r="M2109" s="88" t="n"/>
      <c r="N2109" s="89" t="n"/>
      <c r="O2109" s="88" t="n"/>
      <c r="P2109" s="88" t="n"/>
      <c r="Q2109" s="88" t="n"/>
      <c r="R2109" s="89" t="n"/>
      <c r="S2109" s="88" t="n"/>
      <c r="T2109" s="88" t="n"/>
      <c r="U2109" s="88" t="n"/>
      <c r="V2109" s="89" t="n"/>
      <c r="W2109" s="88" t="n"/>
      <c r="X2109" s="89" t="n"/>
      <c r="Y2109" s="88" t="n"/>
      <c r="Z2109" s="89" t="n"/>
      <c r="AB2109" s="30">
        <f>IF($B2109="","",(COUNTIF(C2109:E2109,"?*")&lt;N(INDEX(Setup!$L$6:$L$23,2)))+(COUNTIF(G2109:I2109,"?*")&lt;N(INDEX(Setup!$L$6:$L$23,2)))+(COUNTIF(K2109:M2109,"?*")&lt;N(INDEX(Setup!$L$6:$L$23,2)))+(COUNTIF(O2109:Q2109,"?*")&lt;N(INDEX(Setup!$L$6:$L$23,2)))+(COUNTIF(S2109:U2109,"?*")&lt;N(INDEX(Setup!$L$6:$L$23,2)))+((W2109="")*(INDEX(Setup!$M$6:$M$23,2)="Y"))+((Y2109="")*(INDEX(Setup!$M$6:$M$23,2)="Y")))</f>
        <v/>
      </c>
      <c r="AC2109" s="91">
        <f>IF($B2109="","",IF(AB2109=0,"✓ covered","⚠ "&amp;AB2109&amp;IF(AB2109=1," gap"," gaps")))</f>
        <v/>
      </c>
    </row>
    <row r="2110" ht="17" customHeight="1">
      <c r="A2110" t="n">
        <v>43</v>
      </c>
      <c r="B2110" s="24">
        <f>IF(Setup!$K$8="","",Setup!$K$8)</f>
        <v/>
      </c>
      <c r="C2110" s="88" t="n"/>
      <c r="D2110" s="88" t="n"/>
      <c r="E2110" s="88" t="n"/>
      <c r="F2110" s="89" t="n"/>
      <c r="G2110" s="88" t="n"/>
      <c r="H2110" s="88" t="n"/>
      <c r="I2110" s="88" t="n"/>
      <c r="J2110" s="89" t="n"/>
      <c r="K2110" s="88" t="n"/>
      <c r="L2110" s="88" t="n"/>
      <c r="M2110" s="88" t="n"/>
      <c r="N2110" s="89" t="n"/>
      <c r="O2110" s="88" t="n"/>
      <c r="P2110" s="88" t="n"/>
      <c r="Q2110" s="88" t="n"/>
      <c r="R2110" s="89" t="n"/>
      <c r="S2110" s="88" t="n"/>
      <c r="T2110" s="88" t="n"/>
      <c r="U2110" s="88" t="n"/>
      <c r="V2110" s="89" t="n"/>
      <c r="W2110" s="88" t="n"/>
      <c r="X2110" s="89" t="n"/>
      <c r="Y2110" s="88" t="n"/>
      <c r="Z2110" s="89" t="n"/>
      <c r="AB2110" s="25">
        <f>IF($B2110="","",(COUNTIF(C2110:E2110,"?*")&lt;N(INDEX(Setup!$L$6:$L$23,3)))+(COUNTIF(G2110:I2110,"?*")&lt;N(INDEX(Setup!$L$6:$L$23,3)))+(COUNTIF(K2110:M2110,"?*")&lt;N(INDEX(Setup!$L$6:$L$23,3)))+(COUNTIF(O2110:Q2110,"?*")&lt;N(INDEX(Setup!$L$6:$L$23,3)))+(COUNTIF(S2110:U2110,"?*")&lt;N(INDEX(Setup!$L$6:$L$23,3)))+((W2110="")*(INDEX(Setup!$M$6:$M$23,3)="Y"))+((Y2110="")*(INDEX(Setup!$M$6:$M$23,3)="Y")))</f>
        <v/>
      </c>
      <c r="AC2110" s="90">
        <f>IF($B2110="","",IF(AB2110=0,"✓ covered","⚠ "&amp;AB2110&amp;IF(AB2110=1," gap"," gaps")))</f>
        <v/>
      </c>
    </row>
    <row r="2111" ht="17" customHeight="1">
      <c r="A2111" t="n">
        <v>43</v>
      </c>
      <c r="B2111" s="29">
        <f>IF(Setup!$K$9="","",Setup!$K$9)</f>
        <v/>
      </c>
      <c r="C2111" s="88" t="n"/>
      <c r="D2111" s="88" t="n"/>
      <c r="E2111" s="88" t="n"/>
      <c r="F2111" s="89" t="n"/>
      <c r="G2111" s="88" t="n"/>
      <c r="H2111" s="88" t="n"/>
      <c r="I2111" s="88" t="n"/>
      <c r="J2111" s="89" t="n"/>
      <c r="K2111" s="88" t="n"/>
      <c r="L2111" s="88" t="n"/>
      <c r="M2111" s="88" t="n"/>
      <c r="N2111" s="89" t="n"/>
      <c r="O2111" s="88" t="n"/>
      <c r="P2111" s="88" t="n"/>
      <c r="Q2111" s="88" t="n"/>
      <c r="R2111" s="89" t="n"/>
      <c r="S2111" s="88" t="n"/>
      <c r="T2111" s="88" t="n"/>
      <c r="U2111" s="88" t="n"/>
      <c r="V2111" s="89" t="n"/>
      <c r="W2111" s="88" t="n"/>
      <c r="X2111" s="89" t="n"/>
      <c r="Y2111" s="88" t="n"/>
      <c r="Z2111" s="89" t="n"/>
      <c r="AB2111" s="30">
        <f>IF($B2111="","",(COUNTIF(C2111:E2111,"?*")&lt;N(INDEX(Setup!$L$6:$L$23,4)))+(COUNTIF(G2111:I2111,"?*")&lt;N(INDEX(Setup!$L$6:$L$23,4)))+(COUNTIF(K2111:M2111,"?*")&lt;N(INDEX(Setup!$L$6:$L$23,4)))+(COUNTIF(O2111:Q2111,"?*")&lt;N(INDEX(Setup!$L$6:$L$23,4)))+(COUNTIF(S2111:U2111,"?*")&lt;N(INDEX(Setup!$L$6:$L$23,4)))+((W2111="")*(INDEX(Setup!$M$6:$M$23,4)="Y"))+((Y2111="")*(INDEX(Setup!$M$6:$M$23,4)="Y")))</f>
        <v/>
      </c>
      <c r="AC2111" s="91">
        <f>IF($B2111="","",IF(AB2111=0,"✓ covered","⚠ "&amp;AB2111&amp;IF(AB2111=1," gap"," gaps")))</f>
        <v/>
      </c>
    </row>
    <row r="2112" ht="17" customHeight="1">
      <c r="A2112" t="n">
        <v>43</v>
      </c>
      <c r="B2112" s="24">
        <f>IF(Setup!$K$10="","",Setup!$K$10)</f>
        <v/>
      </c>
      <c r="C2112" s="88" t="n"/>
      <c r="D2112" s="88" t="n"/>
      <c r="E2112" s="88" t="n"/>
      <c r="F2112" s="89" t="n"/>
      <c r="G2112" s="88" t="n"/>
      <c r="H2112" s="88" t="n"/>
      <c r="I2112" s="88" t="n"/>
      <c r="J2112" s="89" t="n"/>
      <c r="K2112" s="88" t="n"/>
      <c r="L2112" s="88" t="n"/>
      <c r="M2112" s="88" t="n"/>
      <c r="N2112" s="89" t="n"/>
      <c r="O2112" s="88" t="n"/>
      <c r="P2112" s="88" t="n"/>
      <c r="Q2112" s="88" t="n"/>
      <c r="R2112" s="89" t="n"/>
      <c r="S2112" s="88" t="n"/>
      <c r="T2112" s="88" t="n"/>
      <c r="U2112" s="88" t="n"/>
      <c r="V2112" s="89" t="n"/>
      <c r="W2112" s="88" t="n"/>
      <c r="X2112" s="89" t="n"/>
      <c r="Y2112" s="88" t="n"/>
      <c r="Z2112" s="89" t="n"/>
      <c r="AB2112" s="25">
        <f>IF($B2112="","",(COUNTIF(C2112:E2112,"?*")&lt;N(INDEX(Setup!$L$6:$L$23,5)))+(COUNTIF(G2112:I2112,"?*")&lt;N(INDEX(Setup!$L$6:$L$23,5)))+(COUNTIF(K2112:M2112,"?*")&lt;N(INDEX(Setup!$L$6:$L$23,5)))+(COUNTIF(O2112:Q2112,"?*")&lt;N(INDEX(Setup!$L$6:$L$23,5)))+(COUNTIF(S2112:U2112,"?*")&lt;N(INDEX(Setup!$L$6:$L$23,5)))+((W2112="")*(INDEX(Setup!$M$6:$M$23,5)="Y"))+((Y2112="")*(INDEX(Setup!$M$6:$M$23,5)="Y")))</f>
        <v/>
      </c>
      <c r="AC2112" s="90">
        <f>IF($B2112="","",IF(AB2112=0,"✓ covered","⚠ "&amp;AB2112&amp;IF(AB2112=1," gap"," gaps")))</f>
        <v/>
      </c>
    </row>
    <row r="2113" ht="17" customHeight="1">
      <c r="A2113" t="n">
        <v>43</v>
      </c>
      <c r="B2113" s="29">
        <f>IF(Setup!$K$11="","",Setup!$K$11)</f>
        <v/>
      </c>
      <c r="C2113" s="88" t="n"/>
      <c r="D2113" s="88" t="n"/>
      <c r="E2113" s="88" t="n"/>
      <c r="F2113" s="89" t="n"/>
      <c r="G2113" s="88" t="n"/>
      <c r="H2113" s="88" t="n"/>
      <c r="I2113" s="88" t="n"/>
      <c r="J2113" s="89" t="n"/>
      <c r="K2113" s="88" t="n"/>
      <c r="L2113" s="88" t="n"/>
      <c r="M2113" s="88" t="n"/>
      <c r="N2113" s="89" t="n"/>
      <c r="O2113" s="88" t="n"/>
      <c r="P2113" s="88" t="n"/>
      <c r="Q2113" s="88" t="n"/>
      <c r="R2113" s="89" t="n"/>
      <c r="S2113" s="88" t="n"/>
      <c r="T2113" s="88" t="n"/>
      <c r="U2113" s="88" t="n"/>
      <c r="V2113" s="89" t="n"/>
      <c r="W2113" s="88" t="n"/>
      <c r="X2113" s="89" t="n"/>
      <c r="Y2113" s="88" t="n"/>
      <c r="Z2113" s="89" t="n"/>
      <c r="AB2113" s="30">
        <f>IF($B2113="","",(COUNTIF(C2113:E2113,"?*")&lt;N(INDEX(Setup!$L$6:$L$23,6)))+(COUNTIF(G2113:I2113,"?*")&lt;N(INDEX(Setup!$L$6:$L$23,6)))+(COUNTIF(K2113:M2113,"?*")&lt;N(INDEX(Setup!$L$6:$L$23,6)))+(COUNTIF(O2113:Q2113,"?*")&lt;N(INDEX(Setup!$L$6:$L$23,6)))+(COUNTIF(S2113:U2113,"?*")&lt;N(INDEX(Setup!$L$6:$L$23,6)))+((W2113="")*(INDEX(Setup!$M$6:$M$23,6)="Y"))+((Y2113="")*(INDEX(Setup!$M$6:$M$23,6)="Y")))</f>
        <v/>
      </c>
      <c r="AC2113" s="91">
        <f>IF($B2113="","",IF(AB2113=0,"✓ covered","⚠ "&amp;AB2113&amp;IF(AB2113=1," gap"," gaps")))</f>
        <v/>
      </c>
    </row>
    <row r="2114" ht="17" customHeight="1">
      <c r="A2114" t="n">
        <v>43</v>
      </c>
      <c r="B2114" s="24">
        <f>IF(Setup!$K$12="","",Setup!$K$12)</f>
        <v/>
      </c>
      <c r="C2114" s="88" t="n"/>
      <c r="D2114" s="88" t="n"/>
      <c r="E2114" s="88" t="n"/>
      <c r="F2114" s="89" t="n"/>
      <c r="G2114" s="88" t="n"/>
      <c r="H2114" s="88" t="n"/>
      <c r="I2114" s="88" t="n"/>
      <c r="J2114" s="89" t="n"/>
      <c r="K2114" s="88" t="n"/>
      <c r="L2114" s="88" t="n"/>
      <c r="M2114" s="88" t="n"/>
      <c r="N2114" s="89" t="n"/>
      <c r="O2114" s="88" t="n"/>
      <c r="P2114" s="88" t="n"/>
      <c r="Q2114" s="88" t="n"/>
      <c r="R2114" s="89" t="n"/>
      <c r="S2114" s="88" t="n"/>
      <c r="T2114" s="88" t="n"/>
      <c r="U2114" s="88" t="n"/>
      <c r="V2114" s="89" t="n"/>
      <c r="W2114" s="88" t="n"/>
      <c r="X2114" s="89" t="n"/>
      <c r="Y2114" s="88" t="n"/>
      <c r="Z2114" s="89" t="n"/>
      <c r="AB2114" s="25">
        <f>IF($B2114="","",(COUNTIF(C2114:E2114,"?*")&lt;N(INDEX(Setup!$L$6:$L$23,7)))+(COUNTIF(G2114:I2114,"?*")&lt;N(INDEX(Setup!$L$6:$L$23,7)))+(COUNTIF(K2114:M2114,"?*")&lt;N(INDEX(Setup!$L$6:$L$23,7)))+(COUNTIF(O2114:Q2114,"?*")&lt;N(INDEX(Setup!$L$6:$L$23,7)))+(COUNTIF(S2114:U2114,"?*")&lt;N(INDEX(Setup!$L$6:$L$23,7)))+((W2114="")*(INDEX(Setup!$M$6:$M$23,7)="Y"))+((Y2114="")*(INDEX(Setup!$M$6:$M$23,7)="Y")))</f>
        <v/>
      </c>
      <c r="AC2114" s="90">
        <f>IF($B2114="","",IF(AB2114=0,"✓ covered","⚠ "&amp;AB2114&amp;IF(AB2114=1," gap"," gaps")))</f>
        <v/>
      </c>
    </row>
    <row r="2115" ht="17" customHeight="1">
      <c r="A2115" t="n">
        <v>43</v>
      </c>
      <c r="B2115" s="29">
        <f>IF(Setup!$K$13="","",Setup!$K$13)</f>
        <v/>
      </c>
      <c r="C2115" s="88" t="n"/>
      <c r="D2115" s="88" t="n"/>
      <c r="E2115" s="88" t="n"/>
      <c r="F2115" s="89" t="n"/>
      <c r="G2115" s="88" t="n"/>
      <c r="H2115" s="88" t="n"/>
      <c r="I2115" s="88" t="n"/>
      <c r="J2115" s="89" t="n"/>
      <c r="K2115" s="88" t="n"/>
      <c r="L2115" s="88" t="n"/>
      <c r="M2115" s="88" t="n"/>
      <c r="N2115" s="89" t="n"/>
      <c r="O2115" s="88" t="n"/>
      <c r="P2115" s="88" t="n"/>
      <c r="Q2115" s="88" t="n"/>
      <c r="R2115" s="89" t="n"/>
      <c r="S2115" s="88" t="n"/>
      <c r="T2115" s="88" t="n"/>
      <c r="U2115" s="88" t="n"/>
      <c r="V2115" s="89" t="n"/>
      <c r="W2115" s="88" t="n"/>
      <c r="X2115" s="89" t="n"/>
      <c r="Y2115" s="88" t="n"/>
      <c r="Z2115" s="89" t="n"/>
      <c r="AB2115" s="30">
        <f>IF($B2115="","",(COUNTIF(C2115:E2115,"?*")&lt;N(INDEX(Setup!$L$6:$L$23,8)))+(COUNTIF(G2115:I2115,"?*")&lt;N(INDEX(Setup!$L$6:$L$23,8)))+(COUNTIF(K2115:M2115,"?*")&lt;N(INDEX(Setup!$L$6:$L$23,8)))+(COUNTIF(O2115:Q2115,"?*")&lt;N(INDEX(Setup!$L$6:$L$23,8)))+(COUNTIF(S2115:U2115,"?*")&lt;N(INDEX(Setup!$L$6:$L$23,8)))+((W2115="")*(INDEX(Setup!$M$6:$M$23,8)="Y"))+((Y2115="")*(INDEX(Setup!$M$6:$M$23,8)="Y")))</f>
        <v/>
      </c>
      <c r="AC2115" s="91">
        <f>IF($B2115="","",IF(AB2115=0,"✓ covered","⚠ "&amp;AB2115&amp;IF(AB2115=1," gap"," gaps")))</f>
        <v/>
      </c>
    </row>
    <row r="2116" ht="17" customHeight="1">
      <c r="A2116" t="n">
        <v>43</v>
      </c>
      <c r="B2116" s="24">
        <f>IF(Setup!$K$14="","",Setup!$K$14)</f>
        <v/>
      </c>
      <c r="C2116" s="88" t="n"/>
      <c r="D2116" s="88" t="n"/>
      <c r="E2116" s="88" t="n"/>
      <c r="F2116" s="89" t="n"/>
      <c r="G2116" s="88" t="n"/>
      <c r="H2116" s="88" t="n"/>
      <c r="I2116" s="88" t="n"/>
      <c r="J2116" s="89" t="n"/>
      <c r="K2116" s="88" t="n"/>
      <c r="L2116" s="88" t="n"/>
      <c r="M2116" s="88" t="n"/>
      <c r="N2116" s="89" t="n"/>
      <c r="O2116" s="88" t="n"/>
      <c r="P2116" s="88" t="n"/>
      <c r="Q2116" s="88" t="n"/>
      <c r="R2116" s="89" t="n"/>
      <c r="S2116" s="88" t="n"/>
      <c r="T2116" s="88" t="n"/>
      <c r="U2116" s="88" t="n"/>
      <c r="V2116" s="89" t="n"/>
      <c r="W2116" s="88" t="n"/>
      <c r="X2116" s="89" t="n"/>
      <c r="Y2116" s="88" t="n"/>
      <c r="Z2116" s="89" t="n"/>
      <c r="AB2116" s="25">
        <f>IF($B2116="","",(COUNTIF(C2116:E2116,"?*")&lt;N(INDEX(Setup!$L$6:$L$23,9)))+(COUNTIF(G2116:I2116,"?*")&lt;N(INDEX(Setup!$L$6:$L$23,9)))+(COUNTIF(K2116:M2116,"?*")&lt;N(INDEX(Setup!$L$6:$L$23,9)))+(COUNTIF(O2116:Q2116,"?*")&lt;N(INDEX(Setup!$L$6:$L$23,9)))+(COUNTIF(S2116:U2116,"?*")&lt;N(INDEX(Setup!$L$6:$L$23,9)))+((W2116="")*(INDEX(Setup!$M$6:$M$23,9)="Y"))+((Y2116="")*(INDEX(Setup!$M$6:$M$23,9)="Y")))</f>
        <v/>
      </c>
      <c r="AC2116" s="90">
        <f>IF($B2116="","",IF(AB2116=0,"✓ covered","⚠ "&amp;AB2116&amp;IF(AB2116=1," gap"," gaps")))</f>
        <v/>
      </c>
    </row>
    <row r="2117" ht="17" customHeight="1">
      <c r="A2117" t="n">
        <v>43</v>
      </c>
      <c r="B2117" s="29">
        <f>IF(Setup!$K$15="","",Setup!$K$15)</f>
        <v/>
      </c>
      <c r="C2117" s="88" t="n"/>
      <c r="D2117" s="88" t="n"/>
      <c r="E2117" s="88" t="n"/>
      <c r="F2117" s="89" t="n"/>
      <c r="G2117" s="88" t="n"/>
      <c r="H2117" s="88" t="n"/>
      <c r="I2117" s="88" t="n"/>
      <c r="J2117" s="89" t="n"/>
      <c r="K2117" s="88" t="n"/>
      <c r="L2117" s="88" t="n"/>
      <c r="M2117" s="88" t="n"/>
      <c r="N2117" s="89" t="n"/>
      <c r="O2117" s="88" t="n"/>
      <c r="P2117" s="88" t="n"/>
      <c r="Q2117" s="88" t="n"/>
      <c r="R2117" s="89" t="n"/>
      <c r="S2117" s="88" t="n"/>
      <c r="T2117" s="88" t="n"/>
      <c r="U2117" s="88" t="n"/>
      <c r="V2117" s="89" t="n"/>
      <c r="W2117" s="88" t="n"/>
      <c r="X2117" s="89" t="n"/>
      <c r="Y2117" s="88" t="n"/>
      <c r="Z2117" s="89" t="n"/>
      <c r="AB2117" s="30">
        <f>IF($B2117="","",(COUNTIF(C2117:E2117,"?*")&lt;N(INDEX(Setup!$L$6:$L$23,10)))+(COUNTIF(G2117:I2117,"?*")&lt;N(INDEX(Setup!$L$6:$L$23,10)))+(COUNTIF(K2117:M2117,"?*")&lt;N(INDEX(Setup!$L$6:$L$23,10)))+(COUNTIF(O2117:Q2117,"?*")&lt;N(INDEX(Setup!$L$6:$L$23,10)))+(COUNTIF(S2117:U2117,"?*")&lt;N(INDEX(Setup!$L$6:$L$23,10)))+((W2117="")*(INDEX(Setup!$M$6:$M$23,10)="Y"))+((Y2117="")*(INDEX(Setup!$M$6:$M$23,10)="Y")))</f>
        <v/>
      </c>
      <c r="AC2117" s="91">
        <f>IF($B2117="","",IF(AB2117=0,"✓ covered","⚠ "&amp;AB2117&amp;IF(AB2117=1," gap"," gaps")))</f>
        <v/>
      </c>
    </row>
    <row r="2118" ht="17" customHeight="1">
      <c r="A2118" t="n">
        <v>43</v>
      </c>
      <c r="B2118" s="24">
        <f>IF(Setup!$K$16="","",Setup!$K$16)</f>
        <v/>
      </c>
      <c r="C2118" s="88" t="n"/>
      <c r="D2118" s="88" t="n"/>
      <c r="E2118" s="88" t="n"/>
      <c r="F2118" s="89" t="n"/>
      <c r="G2118" s="88" t="n"/>
      <c r="H2118" s="88" t="n"/>
      <c r="I2118" s="88" t="n"/>
      <c r="J2118" s="89" t="n"/>
      <c r="K2118" s="88" t="n"/>
      <c r="L2118" s="88" t="n"/>
      <c r="M2118" s="88" t="n"/>
      <c r="N2118" s="89" t="n"/>
      <c r="O2118" s="88" t="n"/>
      <c r="P2118" s="88" t="n"/>
      <c r="Q2118" s="88" t="n"/>
      <c r="R2118" s="89" t="n"/>
      <c r="S2118" s="88" t="n"/>
      <c r="T2118" s="88" t="n"/>
      <c r="U2118" s="88" t="n"/>
      <c r="V2118" s="89" t="n"/>
      <c r="W2118" s="88" t="n"/>
      <c r="X2118" s="89" t="n"/>
      <c r="Y2118" s="88" t="n"/>
      <c r="Z2118" s="89" t="n"/>
      <c r="AB2118" s="25">
        <f>IF($B2118="","",(COUNTIF(C2118:E2118,"?*")&lt;N(INDEX(Setup!$L$6:$L$23,11)))+(COUNTIF(G2118:I2118,"?*")&lt;N(INDEX(Setup!$L$6:$L$23,11)))+(COUNTIF(K2118:M2118,"?*")&lt;N(INDEX(Setup!$L$6:$L$23,11)))+(COUNTIF(O2118:Q2118,"?*")&lt;N(INDEX(Setup!$L$6:$L$23,11)))+(COUNTIF(S2118:U2118,"?*")&lt;N(INDEX(Setup!$L$6:$L$23,11)))+((W2118="")*(INDEX(Setup!$M$6:$M$23,11)="Y"))+((Y2118="")*(INDEX(Setup!$M$6:$M$23,11)="Y")))</f>
        <v/>
      </c>
      <c r="AC2118" s="90">
        <f>IF($B2118="","",IF(AB2118=0,"✓ covered","⚠ "&amp;AB2118&amp;IF(AB2118=1," gap"," gaps")))</f>
        <v/>
      </c>
    </row>
    <row r="2119" ht="17" customHeight="1">
      <c r="A2119" t="n">
        <v>43</v>
      </c>
      <c r="B2119" s="29">
        <f>IF(Setup!$K$17="","",Setup!$K$17)</f>
        <v/>
      </c>
      <c r="C2119" s="88" t="n"/>
      <c r="D2119" s="88" t="n"/>
      <c r="E2119" s="88" t="n"/>
      <c r="F2119" s="89" t="n"/>
      <c r="G2119" s="88" t="n"/>
      <c r="H2119" s="88" t="n"/>
      <c r="I2119" s="88" t="n"/>
      <c r="J2119" s="89" t="n"/>
      <c r="K2119" s="88" t="n"/>
      <c r="L2119" s="88" t="n"/>
      <c r="M2119" s="88" t="n"/>
      <c r="N2119" s="89" t="n"/>
      <c r="O2119" s="88" t="n"/>
      <c r="P2119" s="88" t="n"/>
      <c r="Q2119" s="88" t="n"/>
      <c r="R2119" s="89" t="n"/>
      <c r="S2119" s="88" t="n"/>
      <c r="T2119" s="88" t="n"/>
      <c r="U2119" s="88" t="n"/>
      <c r="V2119" s="89" t="n"/>
      <c r="W2119" s="88" t="n"/>
      <c r="X2119" s="89" t="n"/>
      <c r="Y2119" s="88" t="n"/>
      <c r="Z2119" s="89" t="n"/>
      <c r="AB2119" s="30">
        <f>IF($B2119="","",(COUNTIF(C2119:E2119,"?*")&lt;N(INDEX(Setup!$L$6:$L$23,12)))+(COUNTIF(G2119:I2119,"?*")&lt;N(INDEX(Setup!$L$6:$L$23,12)))+(COUNTIF(K2119:M2119,"?*")&lt;N(INDEX(Setup!$L$6:$L$23,12)))+(COUNTIF(O2119:Q2119,"?*")&lt;N(INDEX(Setup!$L$6:$L$23,12)))+(COUNTIF(S2119:U2119,"?*")&lt;N(INDEX(Setup!$L$6:$L$23,12)))+((W2119="")*(INDEX(Setup!$M$6:$M$23,12)="Y"))+((Y2119="")*(INDEX(Setup!$M$6:$M$23,12)="Y")))</f>
        <v/>
      </c>
      <c r="AC2119" s="91">
        <f>IF($B2119="","",IF(AB2119=0,"✓ covered","⚠ "&amp;AB2119&amp;IF(AB2119=1," gap"," gaps")))</f>
        <v/>
      </c>
    </row>
    <row r="2120" ht="17" customHeight="1">
      <c r="A2120" t="n">
        <v>43</v>
      </c>
      <c r="B2120" s="24">
        <f>IF(Setup!$K$18="","",Setup!$K$18)</f>
        <v/>
      </c>
      <c r="C2120" s="88" t="n"/>
      <c r="D2120" s="88" t="n"/>
      <c r="E2120" s="88" t="n"/>
      <c r="F2120" s="89" t="n"/>
      <c r="G2120" s="88" t="n"/>
      <c r="H2120" s="88" t="n"/>
      <c r="I2120" s="88" t="n"/>
      <c r="J2120" s="89" t="n"/>
      <c r="K2120" s="88" t="n"/>
      <c r="L2120" s="88" t="n"/>
      <c r="M2120" s="88" t="n"/>
      <c r="N2120" s="89" t="n"/>
      <c r="O2120" s="88" t="n"/>
      <c r="P2120" s="88" t="n"/>
      <c r="Q2120" s="88" t="n"/>
      <c r="R2120" s="89" t="n"/>
      <c r="S2120" s="88" t="n"/>
      <c r="T2120" s="88" t="n"/>
      <c r="U2120" s="88" t="n"/>
      <c r="V2120" s="89" t="n"/>
      <c r="W2120" s="88" t="n"/>
      <c r="X2120" s="89" t="n"/>
      <c r="Y2120" s="88" t="n"/>
      <c r="Z2120" s="89" t="n"/>
      <c r="AB2120" s="25">
        <f>IF($B2120="","",(COUNTIF(C2120:E2120,"?*")&lt;N(INDEX(Setup!$L$6:$L$23,13)))+(COUNTIF(G2120:I2120,"?*")&lt;N(INDEX(Setup!$L$6:$L$23,13)))+(COUNTIF(K2120:M2120,"?*")&lt;N(INDEX(Setup!$L$6:$L$23,13)))+(COUNTIF(O2120:Q2120,"?*")&lt;N(INDEX(Setup!$L$6:$L$23,13)))+(COUNTIF(S2120:U2120,"?*")&lt;N(INDEX(Setup!$L$6:$L$23,13)))+((W2120="")*(INDEX(Setup!$M$6:$M$23,13)="Y"))+((Y2120="")*(INDEX(Setup!$M$6:$M$23,13)="Y")))</f>
        <v/>
      </c>
      <c r="AC2120" s="90">
        <f>IF($B2120="","",IF(AB2120=0,"✓ covered","⚠ "&amp;AB2120&amp;IF(AB2120=1," gap"," gaps")))</f>
        <v/>
      </c>
    </row>
    <row r="2121" ht="17" customHeight="1">
      <c r="A2121" t="n">
        <v>43</v>
      </c>
      <c r="B2121" s="29">
        <f>IF(Setup!$K$19="","",Setup!$K$19)</f>
        <v/>
      </c>
      <c r="C2121" s="88" t="n"/>
      <c r="D2121" s="88" t="n"/>
      <c r="E2121" s="88" t="n"/>
      <c r="F2121" s="89" t="n"/>
      <c r="G2121" s="88" t="n"/>
      <c r="H2121" s="88" t="n"/>
      <c r="I2121" s="88" t="n"/>
      <c r="J2121" s="89" t="n"/>
      <c r="K2121" s="88" t="n"/>
      <c r="L2121" s="88" t="n"/>
      <c r="M2121" s="88" t="n"/>
      <c r="N2121" s="89" t="n"/>
      <c r="O2121" s="88" t="n"/>
      <c r="P2121" s="88" t="n"/>
      <c r="Q2121" s="88" t="n"/>
      <c r="R2121" s="89" t="n"/>
      <c r="S2121" s="88" t="n"/>
      <c r="T2121" s="88" t="n"/>
      <c r="U2121" s="88" t="n"/>
      <c r="V2121" s="89" t="n"/>
      <c r="W2121" s="88" t="n"/>
      <c r="X2121" s="89" t="n"/>
      <c r="Y2121" s="88" t="n"/>
      <c r="Z2121" s="89" t="n"/>
      <c r="AB2121" s="30">
        <f>IF($B2121="","",(COUNTIF(C2121:E2121,"?*")&lt;N(INDEX(Setup!$L$6:$L$23,14)))+(COUNTIF(G2121:I2121,"?*")&lt;N(INDEX(Setup!$L$6:$L$23,14)))+(COUNTIF(K2121:M2121,"?*")&lt;N(INDEX(Setup!$L$6:$L$23,14)))+(COUNTIF(O2121:Q2121,"?*")&lt;N(INDEX(Setup!$L$6:$L$23,14)))+(COUNTIF(S2121:U2121,"?*")&lt;N(INDEX(Setup!$L$6:$L$23,14)))+((W2121="")*(INDEX(Setup!$M$6:$M$23,14)="Y"))+((Y2121="")*(INDEX(Setup!$M$6:$M$23,14)="Y")))</f>
        <v/>
      </c>
      <c r="AC2121" s="91">
        <f>IF($B2121="","",IF(AB2121=0,"✓ covered","⚠ "&amp;AB2121&amp;IF(AB2121=1," gap"," gaps")))</f>
        <v/>
      </c>
    </row>
    <row r="2122" ht="17" customHeight="1">
      <c r="A2122" t="n">
        <v>43</v>
      </c>
      <c r="B2122" s="24">
        <f>IF(Setup!$K$20="","",Setup!$K$20)</f>
        <v/>
      </c>
      <c r="C2122" s="88" t="n"/>
      <c r="D2122" s="88" t="n"/>
      <c r="E2122" s="88" t="n"/>
      <c r="F2122" s="89" t="n"/>
      <c r="G2122" s="88" t="n"/>
      <c r="H2122" s="88" t="n"/>
      <c r="I2122" s="88" t="n"/>
      <c r="J2122" s="89" t="n"/>
      <c r="K2122" s="88" t="n"/>
      <c r="L2122" s="88" t="n"/>
      <c r="M2122" s="88" t="n"/>
      <c r="N2122" s="89" t="n"/>
      <c r="O2122" s="88" t="n"/>
      <c r="P2122" s="88" t="n"/>
      <c r="Q2122" s="88" t="n"/>
      <c r="R2122" s="89" t="n"/>
      <c r="S2122" s="88" t="n"/>
      <c r="T2122" s="88" t="n"/>
      <c r="U2122" s="88" t="n"/>
      <c r="V2122" s="89" t="n"/>
      <c r="W2122" s="88" t="n"/>
      <c r="X2122" s="89" t="n"/>
      <c r="Y2122" s="88" t="n"/>
      <c r="Z2122" s="89" t="n"/>
      <c r="AB2122" s="25">
        <f>IF($B2122="","",(COUNTIF(C2122:E2122,"?*")&lt;N(INDEX(Setup!$L$6:$L$23,15)))+(COUNTIF(G2122:I2122,"?*")&lt;N(INDEX(Setup!$L$6:$L$23,15)))+(COUNTIF(K2122:M2122,"?*")&lt;N(INDEX(Setup!$L$6:$L$23,15)))+(COUNTIF(O2122:Q2122,"?*")&lt;N(INDEX(Setup!$L$6:$L$23,15)))+(COUNTIF(S2122:U2122,"?*")&lt;N(INDEX(Setup!$L$6:$L$23,15)))+((W2122="")*(INDEX(Setup!$M$6:$M$23,15)="Y"))+((Y2122="")*(INDEX(Setup!$M$6:$M$23,15)="Y")))</f>
        <v/>
      </c>
      <c r="AC2122" s="90">
        <f>IF($B2122="","",IF(AB2122=0,"✓ covered","⚠ "&amp;AB2122&amp;IF(AB2122=1," gap"," gaps")))</f>
        <v/>
      </c>
    </row>
    <row r="2123" ht="17" customHeight="1">
      <c r="A2123" t="n">
        <v>43</v>
      </c>
      <c r="B2123" s="29">
        <f>IF(Setup!$K$21="","",Setup!$K$21)</f>
        <v/>
      </c>
      <c r="C2123" s="88" t="n"/>
      <c r="D2123" s="88" t="n"/>
      <c r="E2123" s="88" t="n"/>
      <c r="F2123" s="89" t="n"/>
      <c r="G2123" s="88" t="n"/>
      <c r="H2123" s="88" t="n"/>
      <c r="I2123" s="88" t="n"/>
      <c r="J2123" s="89" t="n"/>
      <c r="K2123" s="88" t="n"/>
      <c r="L2123" s="88" t="n"/>
      <c r="M2123" s="88" t="n"/>
      <c r="N2123" s="89" t="n"/>
      <c r="O2123" s="88" t="n"/>
      <c r="P2123" s="88" t="n"/>
      <c r="Q2123" s="88" t="n"/>
      <c r="R2123" s="89" t="n"/>
      <c r="S2123" s="88" t="n"/>
      <c r="T2123" s="88" t="n"/>
      <c r="U2123" s="88" t="n"/>
      <c r="V2123" s="89" t="n"/>
      <c r="W2123" s="88" t="n"/>
      <c r="X2123" s="89" t="n"/>
      <c r="Y2123" s="88" t="n"/>
      <c r="Z2123" s="89" t="n"/>
      <c r="AB2123" s="30">
        <f>IF($B2123="","",(COUNTIF(C2123:E2123,"?*")&lt;N(INDEX(Setup!$L$6:$L$23,16)))+(COUNTIF(G2123:I2123,"?*")&lt;N(INDEX(Setup!$L$6:$L$23,16)))+(COUNTIF(K2123:M2123,"?*")&lt;N(INDEX(Setup!$L$6:$L$23,16)))+(COUNTIF(O2123:Q2123,"?*")&lt;N(INDEX(Setup!$L$6:$L$23,16)))+(COUNTIF(S2123:U2123,"?*")&lt;N(INDEX(Setup!$L$6:$L$23,16)))+((W2123="")*(INDEX(Setup!$M$6:$M$23,16)="Y"))+((Y2123="")*(INDEX(Setup!$M$6:$M$23,16)="Y")))</f>
        <v/>
      </c>
      <c r="AC2123" s="91">
        <f>IF($B2123="","",IF(AB2123=0,"✓ covered","⚠ "&amp;AB2123&amp;IF(AB2123=1," gap"," gaps")))</f>
        <v/>
      </c>
    </row>
    <row r="2124" ht="17" customHeight="1">
      <c r="A2124" t="n">
        <v>43</v>
      </c>
      <c r="B2124" s="24">
        <f>IF(Setup!$K$22="","",Setup!$K$22)</f>
        <v/>
      </c>
      <c r="C2124" s="88" t="n"/>
      <c r="D2124" s="88" t="n"/>
      <c r="E2124" s="88" t="n"/>
      <c r="F2124" s="89" t="n"/>
      <c r="G2124" s="88" t="n"/>
      <c r="H2124" s="88" t="n"/>
      <c r="I2124" s="88" t="n"/>
      <c r="J2124" s="89" t="n"/>
      <c r="K2124" s="88" t="n"/>
      <c r="L2124" s="88" t="n"/>
      <c r="M2124" s="88" t="n"/>
      <c r="N2124" s="89" t="n"/>
      <c r="O2124" s="88" t="n"/>
      <c r="P2124" s="88" t="n"/>
      <c r="Q2124" s="88" t="n"/>
      <c r="R2124" s="89" t="n"/>
      <c r="S2124" s="88" t="n"/>
      <c r="T2124" s="88" t="n"/>
      <c r="U2124" s="88" t="n"/>
      <c r="V2124" s="89" t="n"/>
      <c r="W2124" s="88" t="n"/>
      <c r="X2124" s="89" t="n"/>
      <c r="Y2124" s="88" t="n"/>
      <c r="Z2124" s="89" t="n"/>
      <c r="AB2124" s="25">
        <f>IF($B2124="","",(COUNTIF(C2124:E2124,"?*")&lt;N(INDEX(Setup!$L$6:$L$23,17)))+(COUNTIF(G2124:I2124,"?*")&lt;N(INDEX(Setup!$L$6:$L$23,17)))+(COUNTIF(K2124:M2124,"?*")&lt;N(INDEX(Setup!$L$6:$L$23,17)))+(COUNTIF(O2124:Q2124,"?*")&lt;N(INDEX(Setup!$L$6:$L$23,17)))+(COUNTIF(S2124:U2124,"?*")&lt;N(INDEX(Setup!$L$6:$L$23,17)))+((W2124="")*(INDEX(Setup!$M$6:$M$23,17)="Y"))+((Y2124="")*(INDEX(Setup!$M$6:$M$23,17)="Y")))</f>
        <v/>
      </c>
      <c r="AC2124" s="90">
        <f>IF($B2124="","",IF(AB2124=0,"✓ covered","⚠ "&amp;AB2124&amp;IF(AB2124=1," gap"," gaps")))</f>
        <v/>
      </c>
    </row>
    <row r="2125" ht="17" customHeight="1">
      <c r="A2125" t="n">
        <v>43</v>
      </c>
      <c r="B2125" s="29">
        <f>IF(Setup!$K$23="","",Setup!$K$23)</f>
        <v/>
      </c>
      <c r="C2125" s="88" t="n"/>
      <c r="D2125" s="88" t="n"/>
      <c r="E2125" s="88" t="n"/>
      <c r="F2125" s="89" t="n"/>
      <c r="G2125" s="88" t="n"/>
      <c r="H2125" s="88" t="n"/>
      <c r="I2125" s="88" t="n"/>
      <c r="J2125" s="89" t="n"/>
      <c r="K2125" s="88" t="n"/>
      <c r="L2125" s="88" t="n"/>
      <c r="M2125" s="88" t="n"/>
      <c r="N2125" s="89" t="n"/>
      <c r="O2125" s="88" t="n"/>
      <c r="P2125" s="88" t="n"/>
      <c r="Q2125" s="88" t="n"/>
      <c r="R2125" s="89" t="n"/>
      <c r="S2125" s="88" t="n"/>
      <c r="T2125" s="88" t="n"/>
      <c r="U2125" s="88" t="n"/>
      <c r="V2125" s="89" t="n"/>
      <c r="W2125" s="88" t="n"/>
      <c r="X2125" s="89" t="n"/>
      <c r="Y2125" s="88" t="n"/>
      <c r="Z2125" s="89" t="n"/>
      <c r="AB2125" s="30">
        <f>IF($B2125="","",(COUNTIF(C2125:E2125,"?*")&lt;N(INDEX(Setup!$L$6:$L$23,18)))+(COUNTIF(G2125:I2125,"?*")&lt;N(INDEX(Setup!$L$6:$L$23,18)))+(COUNTIF(K2125:M2125,"?*")&lt;N(INDEX(Setup!$L$6:$L$23,18)))+(COUNTIF(O2125:Q2125,"?*")&lt;N(INDEX(Setup!$L$6:$L$23,18)))+(COUNTIF(S2125:U2125,"?*")&lt;N(INDEX(Setup!$L$6:$L$23,18)))+((W2125="")*(INDEX(Setup!$M$6:$M$23,18)="Y"))+((Y2125="")*(INDEX(Setup!$M$6:$M$23,18)="Y")))</f>
        <v/>
      </c>
      <c r="AC2125" s="91">
        <f>IF($B2125="","",IF(AB2125=0,"✓ covered","⚠ "&amp;AB2125&amp;IF(AB2125=1," gap"," gaps")))</f>
        <v/>
      </c>
    </row>
    <row r="2126" ht="18" customHeight="1">
      <c r="A2126" t="n">
        <v>43</v>
      </c>
      <c r="B2126" s="78" t="inlineStr">
        <is>
          <t>TEAM AVAILABILITY</t>
        </is>
      </c>
      <c r="C2126" s="92" t="inlineStr">
        <is>
          <t>Mon</t>
        </is>
      </c>
      <c r="D2126" s="93" t="n"/>
      <c r="E2126" s="93" t="n"/>
      <c r="F2126" s="94" t="n"/>
      <c r="G2126" s="92" t="inlineStr">
        <is>
          <t>Tue</t>
        </is>
      </c>
      <c r="H2126" s="93" t="n"/>
      <c r="I2126" s="93" t="n"/>
      <c r="J2126" s="94" t="n"/>
      <c r="K2126" s="92" t="inlineStr">
        <is>
          <t>Wed</t>
        </is>
      </c>
      <c r="L2126" s="93" t="n"/>
      <c r="M2126" s="93" t="n"/>
      <c r="N2126" s="94" t="n"/>
      <c r="O2126" s="92" t="inlineStr">
        <is>
          <t>Thu</t>
        </is>
      </c>
      <c r="P2126" s="93" t="n"/>
      <c r="Q2126" s="93" t="n"/>
      <c r="R2126" s="94" t="n"/>
      <c r="S2126" s="92" t="inlineStr">
        <is>
          <t>Fri</t>
        </is>
      </c>
      <c r="T2126" s="93" t="n"/>
      <c r="U2126" s="93" t="n"/>
      <c r="V2126" s="94" t="n"/>
      <c r="W2126" s="95" t="inlineStr">
        <is>
          <t>Sat</t>
        </is>
      </c>
      <c r="X2126" s="96" t="n"/>
      <c r="Y2126" s="95" t="inlineStr">
        <is>
          <t>Sun</t>
        </is>
      </c>
      <c r="Z2126" s="96" t="n"/>
      <c r="AB2126" s="97" t="inlineStr">
        <is>
          <t>Days rostered</t>
        </is>
      </c>
      <c r="AC2126" s="97" t="inlineStr">
        <is>
          <t>Conflicts</t>
        </is>
      </c>
    </row>
    <row r="2127" ht="15" customHeight="1">
      <c r="A2127" t="n">
        <v>43</v>
      </c>
      <c r="B2127" s="35">
        <f>IF(Setup!$B$6="","",Setup!$B$6)</f>
        <v/>
      </c>
      <c r="C2127" s="98" t="n"/>
      <c r="D2127" s="99" t="n"/>
      <c r="E2127" s="99" t="n"/>
      <c r="F2127" s="100" t="n"/>
      <c r="G2127" s="98" t="n"/>
      <c r="H2127" s="99" t="n"/>
      <c r="I2127" s="99" t="n"/>
      <c r="J2127" s="100" t="n"/>
      <c r="K2127" s="98" t="n"/>
      <c r="L2127" s="99" t="n"/>
      <c r="M2127" s="99" t="n"/>
      <c r="N2127" s="100" t="n"/>
      <c r="O2127" s="98" t="n"/>
      <c r="P2127" s="99" t="n"/>
      <c r="Q2127" s="99" t="n"/>
      <c r="R2127" s="100" t="n"/>
      <c r="S2127" s="98" t="n"/>
      <c r="T2127" s="99" t="n"/>
      <c r="U2127" s="99" t="n"/>
      <c r="V2127" s="100" t="n"/>
      <c r="W2127" s="98" t="n"/>
      <c r="X2127" s="100" t="n"/>
      <c r="Y2127" s="98" t="n"/>
      <c r="Z2127" s="100" t="n"/>
      <c r="AB2127" s="101">
        <f>IF($B2127="","",(COUNTIF(C2108:E2125,$B2127)+COUNTIF(C2108:E2125,$B2127&amp;" ~*")&gt;0)+(COUNTIF(G2108:I2125,$B2127)+COUNTIF(G2108:I2125,$B2127&amp;" ~*")&gt;0)+(COUNTIF(K2108:M2125,$B2127)+COUNTIF(K2108:M2125,$B2127&amp;" ~*")&gt;0)+(COUNTIF(O2108:Q2125,$B2127)+COUNTIF(O2108:Q2125,$B2127&amp;" ~*")&gt;0)+(COUNTIF(S2108:U2125,$B2127)+COUNTIF(S2108:U2125,$B2127&amp;" ~*")&gt;0)+(COUNTIF(W2108:W2125,$B2127)+COUNTIF(W2108:W2125,$B2127&amp;" ~*")&gt;0)+(COUNTIF(Y2108:Y2125,$B2127)+COUNTIF(Y2108:Y2125,$B2127&amp;" ~*")&gt;0))</f>
        <v/>
      </c>
      <c r="AC2127" s="36">
        <f>IF($B2127="","",(IFERROR(INDEX(Setup!$G$33:$G$40,MATCH(C2127,Setup!$B$33:$B$40,0)),0)=1)*(COUNTIF(C2108:E2125,$B2127)+COUNTIF(C2108:E2125,$B2127&amp;" ~*")&gt;0)+(IFERROR(INDEX(Setup!$G$33:$G$40,MATCH(G2127,Setup!$B$33:$B$40,0)),0)=1)*(COUNTIF(G2108:I2125,$B2127)+COUNTIF(G2108:I2125,$B2127&amp;" ~*")&gt;0)+(IFERROR(INDEX(Setup!$G$33:$G$40,MATCH(K2127,Setup!$B$33:$B$40,0)),0)=1)*(COUNTIF(K2108:M2125,$B2127)+COUNTIF(K2108:M2125,$B2127&amp;" ~*")&gt;0)+(IFERROR(INDEX(Setup!$G$33:$G$40,MATCH(O2127,Setup!$B$33:$B$40,0)),0)=1)*(COUNTIF(O2108:Q2125,$B2127)+COUNTIF(O2108:Q2125,$B2127&amp;" ~*")&gt;0)+(IFERROR(INDEX(Setup!$G$33:$G$40,MATCH(S2127,Setup!$B$33:$B$40,0)),0)=1)*(COUNTIF(S2108:U2125,$B2127)+COUNTIF(S2108:U2125,$B2127&amp;" ~*")&gt;0)+(IFERROR(INDEX(Setup!$G$33:$G$40,MATCH(W2127,Setup!$B$33:$B$40,0)),0)=1)*(COUNTIF(W2108:W2125,$B2127)+COUNTIF(W2108:W2125,$B2127&amp;" ~*")&gt;0)+(IFERROR(INDEX(Setup!$G$33:$G$40,MATCH(Y2127,Setup!$B$33:$B$40,0)),0)=1)*(COUNTIF(Y2108:Y2125,$B2127)+COUNTIF(Y2108:Y2125,$B2127&amp;" ~*")&gt;0))</f>
        <v/>
      </c>
    </row>
    <row r="2128" ht="15" customHeight="1">
      <c r="A2128" t="n">
        <v>43</v>
      </c>
      <c r="B2128" s="37">
        <f>IF(Setup!$B$7="","",Setup!$B$7)</f>
        <v/>
      </c>
      <c r="C2128" s="102" t="n"/>
      <c r="D2128" s="103" t="n"/>
      <c r="E2128" s="103" t="n"/>
      <c r="F2128" s="104" t="n"/>
      <c r="G2128" s="102" t="n"/>
      <c r="H2128" s="103" t="n"/>
      <c r="I2128" s="103" t="n"/>
      <c r="J2128" s="104" t="n"/>
      <c r="K2128" s="102" t="n"/>
      <c r="L2128" s="103" t="n"/>
      <c r="M2128" s="103" t="n"/>
      <c r="N2128" s="104" t="n"/>
      <c r="O2128" s="102" t="n"/>
      <c r="P2128" s="103" t="n"/>
      <c r="Q2128" s="103" t="n"/>
      <c r="R2128" s="104" t="n"/>
      <c r="S2128" s="102" t="n"/>
      <c r="T2128" s="103" t="n"/>
      <c r="U2128" s="103" t="n"/>
      <c r="V2128" s="104" t="n"/>
      <c r="W2128" s="102" t="n"/>
      <c r="X2128" s="104" t="n"/>
      <c r="Y2128" s="102" t="n"/>
      <c r="Z2128" s="104" t="n"/>
      <c r="AB2128" s="105">
        <f>IF($B2128="","",(COUNTIF(C2108:E2125,$B2128)+COUNTIF(C2108:E2125,$B2128&amp;" ~*")&gt;0)+(COUNTIF(G2108:I2125,$B2128)+COUNTIF(G2108:I2125,$B2128&amp;" ~*")&gt;0)+(COUNTIF(K2108:M2125,$B2128)+COUNTIF(K2108:M2125,$B2128&amp;" ~*")&gt;0)+(COUNTIF(O2108:Q2125,$B2128)+COUNTIF(O2108:Q2125,$B2128&amp;" ~*")&gt;0)+(COUNTIF(S2108:U2125,$B2128)+COUNTIF(S2108:U2125,$B2128&amp;" ~*")&gt;0)+(COUNTIF(W2108:W2125,$B2128)+COUNTIF(W2108:W2125,$B2128&amp;" ~*")&gt;0)+(COUNTIF(Y2108:Y2125,$B2128)+COUNTIF(Y2108:Y2125,$B2128&amp;" ~*")&gt;0))</f>
        <v/>
      </c>
      <c r="AC2128" s="38">
        <f>IF($B2128="","",(IFERROR(INDEX(Setup!$G$33:$G$40,MATCH(C2128,Setup!$B$33:$B$40,0)),0)=1)*(COUNTIF(C2108:E2125,$B2128)+COUNTIF(C2108:E2125,$B2128&amp;" ~*")&gt;0)+(IFERROR(INDEX(Setup!$G$33:$G$40,MATCH(G2128,Setup!$B$33:$B$40,0)),0)=1)*(COUNTIF(G2108:I2125,$B2128)+COUNTIF(G2108:I2125,$B2128&amp;" ~*")&gt;0)+(IFERROR(INDEX(Setup!$G$33:$G$40,MATCH(K2128,Setup!$B$33:$B$40,0)),0)=1)*(COUNTIF(K2108:M2125,$B2128)+COUNTIF(K2108:M2125,$B2128&amp;" ~*")&gt;0)+(IFERROR(INDEX(Setup!$G$33:$G$40,MATCH(O2128,Setup!$B$33:$B$40,0)),0)=1)*(COUNTIF(O2108:Q2125,$B2128)+COUNTIF(O2108:Q2125,$B2128&amp;" ~*")&gt;0)+(IFERROR(INDEX(Setup!$G$33:$G$40,MATCH(S2128,Setup!$B$33:$B$40,0)),0)=1)*(COUNTIF(S2108:U2125,$B2128)+COUNTIF(S2108:U2125,$B2128&amp;" ~*")&gt;0)+(IFERROR(INDEX(Setup!$G$33:$G$40,MATCH(W2128,Setup!$B$33:$B$40,0)),0)=1)*(COUNTIF(W2108:W2125,$B2128)+COUNTIF(W2108:W2125,$B2128&amp;" ~*")&gt;0)+(IFERROR(INDEX(Setup!$G$33:$G$40,MATCH(Y2128,Setup!$B$33:$B$40,0)),0)=1)*(COUNTIF(Y2108:Y2125,$B2128)+COUNTIF(Y2108:Y2125,$B2128&amp;" ~*")&gt;0))</f>
        <v/>
      </c>
    </row>
    <row r="2129" ht="15" customHeight="1">
      <c r="A2129" t="n">
        <v>43</v>
      </c>
      <c r="B2129" s="35">
        <f>IF(Setup!$B$8="","",Setup!$B$8)</f>
        <v/>
      </c>
      <c r="C2129" s="98" t="n"/>
      <c r="D2129" s="99" t="n"/>
      <c r="E2129" s="99" t="n"/>
      <c r="F2129" s="100" t="n"/>
      <c r="G2129" s="98" t="n"/>
      <c r="H2129" s="99" t="n"/>
      <c r="I2129" s="99" t="n"/>
      <c r="J2129" s="100" t="n"/>
      <c r="K2129" s="98" t="n"/>
      <c r="L2129" s="99" t="n"/>
      <c r="M2129" s="99" t="n"/>
      <c r="N2129" s="100" t="n"/>
      <c r="O2129" s="98" t="n"/>
      <c r="P2129" s="99" t="n"/>
      <c r="Q2129" s="99" t="n"/>
      <c r="R2129" s="100" t="n"/>
      <c r="S2129" s="98" t="n"/>
      <c r="T2129" s="99" t="n"/>
      <c r="U2129" s="99" t="n"/>
      <c r="V2129" s="100" t="n"/>
      <c r="W2129" s="98" t="n"/>
      <c r="X2129" s="100" t="n"/>
      <c r="Y2129" s="98" t="n"/>
      <c r="Z2129" s="100" t="n"/>
      <c r="AB2129" s="101">
        <f>IF($B2129="","",(COUNTIF(C2108:E2125,$B2129)+COUNTIF(C2108:E2125,$B2129&amp;" ~*")&gt;0)+(COUNTIF(G2108:I2125,$B2129)+COUNTIF(G2108:I2125,$B2129&amp;" ~*")&gt;0)+(COUNTIF(K2108:M2125,$B2129)+COUNTIF(K2108:M2125,$B2129&amp;" ~*")&gt;0)+(COUNTIF(O2108:Q2125,$B2129)+COUNTIF(O2108:Q2125,$B2129&amp;" ~*")&gt;0)+(COUNTIF(S2108:U2125,$B2129)+COUNTIF(S2108:U2125,$B2129&amp;" ~*")&gt;0)+(COUNTIF(W2108:W2125,$B2129)+COUNTIF(W2108:W2125,$B2129&amp;" ~*")&gt;0)+(COUNTIF(Y2108:Y2125,$B2129)+COUNTIF(Y2108:Y2125,$B2129&amp;" ~*")&gt;0))</f>
        <v/>
      </c>
      <c r="AC2129" s="36">
        <f>IF($B2129="","",(IFERROR(INDEX(Setup!$G$33:$G$40,MATCH(C2129,Setup!$B$33:$B$40,0)),0)=1)*(COUNTIF(C2108:E2125,$B2129)+COUNTIF(C2108:E2125,$B2129&amp;" ~*")&gt;0)+(IFERROR(INDEX(Setup!$G$33:$G$40,MATCH(G2129,Setup!$B$33:$B$40,0)),0)=1)*(COUNTIF(G2108:I2125,$B2129)+COUNTIF(G2108:I2125,$B2129&amp;" ~*")&gt;0)+(IFERROR(INDEX(Setup!$G$33:$G$40,MATCH(K2129,Setup!$B$33:$B$40,0)),0)=1)*(COUNTIF(K2108:M2125,$B2129)+COUNTIF(K2108:M2125,$B2129&amp;" ~*")&gt;0)+(IFERROR(INDEX(Setup!$G$33:$G$40,MATCH(O2129,Setup!$B$33:$B$40,0)),0)=1)*(COUNTIF(O2108:Q2125,$B2129)+COUNTIF(O2108:Q2125,$B2129&amp;" ~*")&gt;0)+(IFERROR(INDEX(Setup!$G$33:$G$40,MATCH(S2129,Setup!$B$33:$B$40,0)),0)=1)*(COUNTIF(S2108:U2125,$B2129)+COUNTIF(S2108:U2125,$B2129&amp;" ~*")&gt;0)+(IFERROR(INDEX(Setup!$G$33:$G$40,MATCH(W2129,Setup!$B$33:$B$40,0)),0)=1)*(COUNTIF(W2108:W2125,$B2129)+COUNTIF(W2108:W2125,$B2129&amp;" ~*")&gt;0)+(IFERROR(INDEX(Setup!$G$33:$G$40,MATCH(Y2129,Setup!$B$33:$B$40,0)),0)=1)*(COUNTIF(Y2108:Y2125,$B2129)+COUNTIF(Y2108:Y2125,$B2129&amp;" ~*")&gt;0))</f>
        <v/>
      </c>
    </row>
    <row r="2130" ht="15" customHeight="1">
      <c r="A2130" t="n">
        <v>43</v>
      </c>
      <c r="B2130" s="37">
        <f>IF(Setup!$B$9="","",Setup!$B$9)</f>
        <v/>
      </c>
      <c r="C2130" s="102" t="n"/>
      <c r="D2130" s="103" t="n"/>
      <c r="E2130" s="103" t="n"/>
      <c r="F2130" s="104" t="n"/>
      <c r="G2130" s="102" t="n"/>
      <c r="H2130" s="103" t="n"/>
      <c r="I2130" s="103" t="n"/>
      <c r="J2130" s="104" t="n"/>
      <c r="K2130" s="102" t="n"/>
      <c r="L2130" s="103" t="n"/>
      <c r="M2130" s="103" t="n"/>
      <c r="N2130" s="104" t="n"/>
      <c r="O2130" s="102" t="n"/>
      <c r="P2130" s="103" t="n"/>
      <c r="Q2130" s="103" t="n"/>
      <c r="R2130" s="104" t="n"/>
      <c r="S2130" s="102" t="n"/>
      <c r="T2130" s="103" t="n"/>
      <c r="U2130" s="103" t="n"/>
      <c r="V2130" s="104" t="n"/>
      <c r="W2130" s="102" t="n"/>
      <c r="X2130" s="104" t="n"/>
      <c r="Y2130" s="102" t="n"/>
      <c r="Z2130" s="104" t="n"/>
      <c r="AB2130" s="105">
        <f>IF($B2130="","",(COUNTIF(C2108:E2125,$B2130)+COUNTIF(C2108:E2125,$B2130&amp;" ~*")&gt;0)+(COUNTIF(G2108:I2125,$B2130)+COUNTIF(G2108:I2125,$B2130&amp;" ~*")&gt;0)+(COUNTIF(K2108:M2125,$B2130)+COUNTIF(K2108:M2125,$B2130&amp;" ~*")&gt;0)+(COUNTIF(O2108:Q2125,$B2130)+COUNTIF(O2108:Q2125,$B2130&amp;" ~*")&gt;0)+(COUNTIF(S2108:U2125,$B2130)+COUNTIF(S2108:U2125,$B2130&amp;" ~*")&gt;0)+(COUNTIF(W2108:W2125,$B2130)+COUNTIF(W2108:W2125,$B2130&amp;" ~*")&gt;0)+(COUNTIF(Y2108:Y2125,$B2130)+COUNTIF(Y2108:Y2125,$B2130&amp;" ~*")&gt;0))</f>
        <v/>
      </c>
      <c r="AC2130" s="38">
        <f>IF($B2130="","",(IFERROR(INDEX(Setup!$G$33:$G$40,MATCH(C2130,Setup!$B$33:$B$40,0)),0)=1)*(COUNTIF(C2108:E2125,$B2130)+COUNTIF(C2108:E2125,$B2130&amp;" ~*")&gt;0)+(IFERROR(INDEX(Setup!$G$33:$G$40,MATCH(G2130,Setup!$B$33:$B$40,0)),0)=1)*(COUNTIF(G2108:I2125,$B2130)+COUNTIF(G2108:I2125,$B2130&amp;" ~*")&gt;0)+(IFERROR(INDEX(Setup!$G$33:$G$40,MATCH(K2130,Setup!$B$33:$B$40,0)),0)=1)*(COUNTIF(K2108:M2125,$B2130)+COUNTIF(K2108:M2125,$B2130&amp;" ~*")&gt;0)+(IFERROR(INDEX(Setup!$G$33:$G$40,MATCH(O2130,Setup!$B$33:$B$40,0)),0)=1)*(COUNTIF(O2108:Q2125,$B2130)+COUNTIF(O2108:Q2125,$B2130&amp;" ~*")&gt;0)+(IFERROR(INDEX(Setup!$G$33:$G$40,MATCH(S2130,Setup!$B$33:$B$40,0)),0)=1)*(COUNTIF(S2108:U2125,$B2130)+COUNTIF(S2108:U2125,$B2130&amp;" ~*")&gt;0)+(IFERROR(INDEX(Setup!$G$33:$G$40,MATCH(W2130,Setup!$B$33:$B$40,0)),0)=1)*(COUNTIF(W2108:W2125,$B2130)+COUNTIF(W2108:W2125,$B2130&amp;" ~*")&gt;0)+(IFERROR(INDEX(Setup!$G$33:$G$40,MATCH(Y2130,Setup!$B$33:$B$40,0)),0)=1)*(COUNTIF(Y2108:Y2125,$B2130)+COUNTIF(Y2108:Y2125,$B2130&amp;" ~*")&gt;0))</f>
        <v/>
      </c>
    </row>
    <row r="2131" ht="15" customHeight="1">
      <c r="A2131" t="n">
        <v>43</v>
      </c>
      <c r="B2131" s="35">
        <f>IF(Setup!$B$10="","",Setup!$B$10)</f>
        <v/>
      </c>
      <c r="C2131" s="98" t="n"/>
      <c r="D2131" s="99" t="n"/>
      <c r="E2131" s="99" t="n"/>
      <c r="F2131" s="100" t="n"/>
      <c r="G2131" s="98" t="n"/>
      <c r="H2131" s="99" t="n"/>
      <c r="I2131" s="99" t="n"/>
      <c r="J2131" s="100" t="n"/>
      <c r="K2131" s="98" t="n"/>
      <c r="L2131" s="99" t="n"/>
      <c r="M2131" s="99" t="n"/>
      <c r="N2131" s="100" t="n"/>
      <c r="O2131" s="98" t="n"/>
      <c r="P2131" s="99" t="n"/>
      <c r="Q2131" s="99" t="n"/>
      <c r="R2131" s="100" t="n"/>
      <c r="S2131" s="98" t="n"/>
      <c r="T2131" s="99" t="n"/>
      <c r="U2131" s="99" t="n"/>
      <c r="V2131" s="100" t="n"/>
      <c r="W2131" s="98" t="n"/>
      <c r="X2131" s="100" t="n"/>
      <c r="Y2131" s="98" t="n"/>
      <c r="Z2131" s="100" t="n"/>
      <c r="AB2131" s="101">
        <f>IF($B2131="","",(COUNTIF(C2108:E2125,$B2131)+COUNTIF(C2108:E2125,$B2131&amp;" ~*")&gt;0)+(COUNTIF(G2108:I2125,$B2131)+COUNTIF(G2108:I2125,$B2131&amp;" ~*")&gt;0)+(COUNTIF(K2108:M2125,$B2131)+COUNTIF(K2108:M2125,$B2131&amp;" ~*")&gt;0)+(COUNTIF(O2108:Q2125,$B2131)+COUNTIF(O2108:Q2125,$B2131&amp;" ~*")&gt;0)+(COUNTIF(S2108:U2125,$B2131)+COUNTIF(S2108:U2125,$B2131&amp;" ~*")&gt;0)+(COUNTIF(W2108:W2125,$B2131)+COUNTIF(W2108:W2125,$B2131&amp;" ~*")&gt;0)+(COUNTIF(Y2108:Y2125,$B2131)+COUNTIF(Y2108:Y2125,$B2131&amp;" ~*")&gt;0))</f>
        <v/>
      </c>
      <c r="AC2131" s="36">
        <f>IF($B2131="","",(IFERROR(INDEX(Setup!$G$33:$G$40,MATCH(C2131,Setup!$B$33:$B$40,0)),0)=1)*(COUNTIF(C2108:E2125,$B2131)+COUNTIF(C2108:E2125,$B2131&amp;" ~*")&gt;0)+(IFERROR(INDEX(Setup!$G$33:$G$40,MATCH(G2131,Setup!$B$33:$B$40,0)),0)=1)*(COUNTIF(G2108:I2125,$B2131)+COUNTIF(G2108:I2125,$B2131&amp;" ~*")&gt;0)+(IFERROR(INDEX(Setup!$G$33:$G$40,MATCH(K2131,Setup!$B$33:$B$40,0)),0)=1)*(COUNTIF(K2108:M2125,$B2131)+COUNTIF(K2108:M2125,$B2131&amp;" ~*")&gt;0)+(IFERROR(INDEX(Setup!$G$33:$G$40,MATCH(O2131,Setup!$B$33:$B$40,0)),0)=1)*(COUNTIF(O2108:Q2125,$B2131)+COUNTIF(O2108:Q2125,$B2131&amp;" ~*")&gt;0)+(IFERROR(INDEX(Setup!$G$33:$G$40,MATCH(S2131,Setup!$B$33:$B$40,0)),0)=1)*(COUNTIF(S2108:U2125,$B2131)+COUNTIF(S2108:U2125,$B2131&amp;" ~*")&gt;0)+(IFERROR(INDEX(Setup!$G$33:$G$40,MATCH(W2131,Setup!$B$33:$B$40,0)),0)=1)*(COUNTIF(W2108:W2125,$B2131)+COUNTIF(W2108:W2125,$B2131&amp;" ~*")&gt;0)+(IFERROR(INDEX(Setup!$G$33:$G$40,MATCH(Y2131,Setup!$B$33:$B$40,0)),0)=1)*(COUNTIF(Y2108:Y2125,$B2131)+COUNTIF(Y2108:Y2125,$B2131&amp;" ~*")&gt;0))</f>
        <v/>
      </c>
    </row>
    <row r="2132" ht="15" customHeight="1">
      <c r="A2132" t="n">
        <v>43</v>
      </c>
      <c r="B2132" s="37">
        <f>IF(Setup!$B$11="","",Setup!$B$11)</f>
        <v/>
      </c>
      <c r="C2132" s="102" t="n"/>
      <c r="D2132" s="103" t="n"/>
      <c r="E2132" s="103" t="n"/>
      <c r="F2132" s="104" t="n"/>
      <c r="G2132" s="102" t="n"/>
      <c r="H2132" s="103" t="n"/>
      <c r="I2132" s="103" t="n"/>
      <c r="J2132" s="104" t="n"/>
      <c r="K2132" s="102" t="n"/>
      <c r="L2132" s="103" t="n"/>
      <c r="M2132" s="103" t="n"/>
      <c r="N2132" s="104" t="n"/>
      <c r="O2132" s="102" t="n"/>
      <c r="P2132" s="103" t="n"/>
      <c r="Q2132" s="103" t="n"/>
      <c r="R2132" s="104" t="n"/>
      <c r="S2132" s="102" t="n"/>
      <c r="T2132" s="103" t="n"/>
      <c r="U2132" s="103" t="n"/>
      <c r="V2132" s="104" t="n"/>
      <c r="W2132" s="102" t="n"/>
      <c r="X2132" s="104" t="n"/>
      <c r="Y2132" s="102" t="n"/>
      <c r="Z2132" s="104" t="n"/>
      <c r="AB2132" s="105">
        <f>IF($B2132="","",(COUNTIF(C2108:E2125,$B2132)+COUNTIF(C2108:E2125,$B2132&amp;" ~*")&gt;0)+(COUNTIF(G2108:I2125,$B2132)+COUNTIF(G2108:I2125,$B2132&amp;" ~*")&gt;0)+(COUNTIF(K2108:M2125,$B2132)+COUNTIF(K2108:M2125,$B2132&amp;" ~*")&gt;0)+(COUNTIF(O2108:Q2125,$B2132)+COUNTIF(O2108:Q2125,$B2132&amp;" ~*")&gt;0)+(COUNTIF(S2108:U2125,$B2132)+COUNTIF(S2108:U2125,$B2132&amp;" ~*")&gt;0)+(COUNTIF(W2108:W2125,$B2132)+COUNTIF(W2108:W2125,$B2132&amp;" ~*")&gt;0)+(COUNTIF(Y2108:Y2125,$B2132)+COUNTIF(Y2108:Y2125,$B2132&amp;" ~*")&gt;0))</f>
        <v/>
      </c>
      <c r="AC2132" s="38">
        <f>IF($B2132="","",(IFERROR(INDEX(Setup!$G$33:$G$40,MATCH(C2132,Setup!$B$33:$B$40,0)),0)=1)*(COUNTIF(C2108:E2125,$B2132)+COUNTIF(C2108:E2125,$B2132&amp;" ~*")&gt;0)+(IFERROR(INDEX(Setup!$G$33:$G$40,MATCH(G2132,Setup!$B$33:$B$40,0)),0)=1)*(COUNTIF(G2108:I2125,$B2132)+COUNTIF(G2108:I2125,$B2132&amp;" ~*")&gt;0)+(IFERROR(INDEX(Setup!$G$33:$G$40,MATCH(K2132,Setup!$B$33:$B$40,0)),0)=1)*(COUNTIF(K2108:M2125,$B2132)+COUNTIF(K2108:M2125,$B2132&amp;" ~*")&gt;0)+(IFERROR(INDEX(Setup!$G$33:$G$40,MATCH(O2132,Setup!$B$33:$B$40,0)),0)=1)*(COUNTIF(O2108:Q2125,$B2132)+COUNTIF(O2108:Q2125,$B2132&amp;" ~*")&gt;0)+(IFERROR(INDEX(Setup!$G$33:$G$40,MATCH(S2132,Setup!$B$33:$B$40,0)),0)=1)*(COUNTIF(S2108:U2125,$B2132)+COUNTIF(S2108:U2125,$B2132&amp;" ~*")&gt;0)+(IFERROR(INDEX(Setup!$G$33:$G$40,MATCH(W2132,Setup!$B$33:$B$40,0)),0)=1)*(COUNTIF(W2108:W2125,$B2132)+COUNTIF(W2108:W2125,$B2132&amp;" ~*")&gt;0)+(IFERROR(INDEX(Setup!$G$33:$G$40,MATCH(Y2132,Setup!$B$33:$B$40,0)),0)=1)*(COUNTIF(Y2108:Y2125,$B2132)+COUNTIF(Y2108:Y2125,$B2132&amp;" ~*")&gt;0))</f>
        <v/>
      </c>
    </row>
    <row r="2133" ht="15" customHeight="1">
      <c r="A2133" t="n">
        <v>43</v>
      </c>
      <c r="B2133" s="35">
        <f>IF(Setup!$B$12="","",Setup!$B$12)</f>
        <v/>
      </c>
      <c r="C2133" s="98" t="inlineStr">
        <is>
          <t>AL</t>
        </is>
      </c>
      <c r="D2133" s="99" t="n"/>
      <c r="E2133" s="99" t="n"/>
      <c r="F2133" s="100" t="n"/>
      <c r="G2133" s="98" t="n"/>
      <c r="H2133" s="99" t="n"/>
      <c r="I2133" s="99" t="n"/>
      <c r="J2133" s="100" t="n"/>
      <c r="K2133" s="98" t="n"/>
      <c r="L2133" s="99" t="n"/>
      <c r="M2133" s="99" t="n"/>
      <c r="N2133" s="100" t="n"/>
      <c r="O2133" s="98" t="inlineStr">
        <is>
          <t>AL</t>
        </is>
      </c>
      <c r="P2133" s="99" t="n"/>
      <c r="Q2133" s="99" t="n"/>
      <c r="R2133" s="100" t="n"/>
      <c r="S2133" s="98" t="n"/>
      <c r="T2133" s="99" t="n"/>
      <c r="U2133" s="99" t="n"/>
      <c r="V2133" s="100" t="n"/>
      <c r="W2133" s="98" t="n"/>
      <c r="X2133" s="100" t="n"/>
      <c r="Y2133" s="98" t="n"/>
      <c r="Z2133" s="100" t="n"/>
      <c r="AB2133" s="101">
        <f>IF($B2133="","",(COUNTIF(C2108:E2125,$B2133)+COUNTIF(C2108:E2125,$B2133&amp;" ~*")&gt;0)+(COUNTIF(G2108:I2125,$B2133)+COUNTIF(G2108:I2125,$B2133&amp;" ~*")&gt;0)+(COUNTIF(K2108:M2125,$B2133)+COUNTIF(K2108:M2125,$B2133&amp;" ~*")&gt;0)+(COUNTIF(O2108:Q2125,$B2133)+COUNTIF(O2108:Q2125,$B2133&amp;" ~*")&gt;0)+(COUNTIF(S2108:U2125,$B2133)+COUNTIF(S2108:U2125,$B2133&amp;" ~*")&gt;0)+(COUNTIF(W2108:W2125,$B2133)+COUNTIF(W2108:W2125,$B2133&amp;" ~*")&gt;0)+(COUNTIF(Y2108:Y2125,$B2133)+COUNTIF(Y2108:Y2125,$B2133&amp;" ~*")&gt;0))</f>
        <v/>
      </c>
      <c r="AC2133" s="36">
        <f>IF($B2133="","",(IFERROR(INDEX(Setup!$G$33:$G$40,MATCH(C2133,Setup!$B$33:$B$40,0)),0)=1)*(COUNTIF(C2108:E2125,$B2133)+COUNTIF(C2108:E2125,$B2133&amp;" ~*")&gt;0)+(IFERROR(INDEX(Setup!$G$33:$G$40,MATCH(G2133,Setup!$B$33:$B$40,0)),0)=1)*(COUNTIF(G2108:I2125,$B2133)+COUNTIF(G2108:I2125,$B2133&amp;" ~*")&gt;0)+(IFERROR(INDEX(Setup!$G$33:$G$40,MATCH(K2133,Setup!$B$33:$B$40,0)),0)=1)*(COUNTIF(K2108:M2125,$B2133)+COUNTIF(K2108:M2125,$B2133&amp;" ~*")&gt;0)+(IFERROR(INDEX(Setup!$G$33:$G$40,MATCH(O2133,Setup!$B$33:$B$40,0)),0)=1)*(COUNTIF(O2108:Q2125,$B2133)+COUNTIF(O2108:Q2125,$B2133&amp;" ~*")&gt;0)+(IFERROR(INDEX(Setup!$G$33:$G$40,MATCH(S2133,Setup!$B$33:$B$40,0)),0)=1)*(COUNTIF(S2108:U2125,$B2133)+COUNTIF(S2108:U2125,$B2133&amp;" ~*")&gt;0)+(IFERROR(INDEX(Setup!$G$33:$G$40,MATCH(W2133,Setup!$B$33:$B$40,0)),0)=1)*(COUNTIF(W2108:W2125,$B2133)+COUNTIF(W2108:W2125,$B2133&amp;" ~*")&gt;0)+(IFERROR(INDEX(Setup!$G$33:$G$40,MATCH(Y2133,Setup!$B$33:$B$40,0)),0)=1)*(COUNTIF(Y2108:Y2125,$B2133)+COUNTIF(Y2108:Y2125,$B2133&amp;" ~*")&gt;0))</f>
        <v/>
      </c>
    </row>
    <row r="2134" ht="15" customHeight="1">
      <c r="A2134" t="n">
        <v>43</v>
      </c>
      <c r="B2134" s="37">
        <f>IF(Setup!$B$13="","",Setup!$B$13)</f>
        <v/>
      </c>
      <c r="C2134" s="102" t="n"/>
      <c r="D2134" s="103" t="n"/>
      <c r="E2134" s="103" t="n"/>
      <c r="F2134" s="104" t="n"/>
      <c r="G2134" s="102" t="n"/>
      <c r="H2134" s="103" t="n"/>
      <c r="I2134" s="103" t="n"/>
      <c r="J2134" s="104" t="n"/>
      <c r="K2134" s="102" t="n"/>
      <c r="L2134" s="103" t="n"/>
      <c r="M2134" s="103" t="n"/>
      <c r="N2134" s="104" t="n"/>
      <c r="O2134" s="102" t="n"/>
      <c r="P2134" s="103" t="n"/>
      <c r="Q2134" s="103" t="n"/>
      <c r="R2134" s="104" t="n"/>
      <c r="S2134" s="102" t="n"/>
      <c r="T2134" s="103" t="n"/>
      <c r="U2134" s="103" t="n"/>
      <c r="V2134" s="104" t="n"/>
      <c r="W2134" s="102" t="n"/>
      <c r="X2134" s="104" t="n"/>
      <c r="Y2134" s="102" t="n"/>
      <c r="Z2134" s="104" t="n"/>
      <c r="AB2134" s="105">
        <f>IF($B2134="","",(COUNTIF(C2108:E2125,$B2134)+COUNTIF(C2108:E2125,$B2134&amp;" ~*")&gt;0)+(COUNTIF(G2108:I2125,$B2134)+COUNTIF(G2108:I2125,$B2134&amp;" ~*")&gt;0)+(COUNTIF(K2108:M2125,$B2134)+COUNTIF(K2108:M2125,$B2134&amp;" ~*")&gt;0)+(COUNTIF(O2108:Q2125,$B2134)+COUNTIF(O2108:Q2125,$B2134&amp;" ~*")&gt;0)+(COUNTIF(S2108:U2125,$B2134)+COUNTIF(S2108:U2125,$B2134&amp;" ~*")&gt;0)+(COUNTIF(W2108:W2125,$B2134)+COUNTIF(W2108:W2125,$B2134&amp;" ~*")&gt;0)+(COUNTIF(Y2108:Y2125,$B2134)+COUNTIF(Y2108:Y2125,$B2134&amp;" ~*")&gt;0))</f>
        <v/>
      </c>
      <c r="AC2134" s="38">
        <f>IF($B2134="","",(IFERROR(INDEX(Setup!$G$33:$G$40,MATCH(C2134,Setup!$B$33:$B$40,0)),0)=1)*(COUNTIF(C2108:E2125,$B2134)+COUNTIF(C2108:E2125,$B2134&amp;" ~*")&gt;0)+(IFERROR(INDEX(Setup!$G$33:$G$40,MATCH(G2134,Setup!$B$33:$B$40,0)),0)=1)*(COUNTIF(G2108:I2125,$B2134)+COUNTIF(G2108:I2125,$B2134&amp;" ~*")&gt;0)+(IFERROR(INDEX(Setup!$G$33:$G$40,MATCH(K2134,Setup!$B$33:$B$40,0)),0)=1)*(COUNTIF(K2108:M2125,$B2134)+COUNTIF(K2108:M2125,$B2134&amp;" ~*")&gt;0)+(IFERROR(INDEX(Setup!$G$33:$G$40,MATCH(O2134,Setup!$B$33:$B$40,0)),0)=1)*(COUNTIF(O2108:Q2125,$B2134)+COUNTIF(O2108:Q2125,$B2134&amp;" ~*")&gt;0)+(IFERROR(INDEX(Setup!$G$33:$G$40,MATCH(S2134,Setup!$B$33:$B$40,0)),0)=1)*(COUNTIF(S2108:U2125,$B2134)+COUNTIF(S2108:U2125,$B2134&amp;" ~*")&gt;0)+(IFERROR(INDEX(Setup!$G$33:$G$40,MATCH(W2134,Setup!$B$33:$B$40,0)),0)=1)*(COUNTIF(W2108:W2125,$B2134)+COUNTIF(W2108:W2125,$B2134&amp;" ~*")&gt;0)+(IFERROR(INDEX(Setup!$G$33:$G$40,MATCH(Y2134,Setup!$B$33:$B$40,0)),0)=1)*(COUNTIF(Y2108:Y2125,$B2134)+COUNTIF(Y2108:Y2125,$B2134&amp;" ~*")&gt;0))</f>
        <v/>
      </c>
    </row>
    <row r="2135" ht="15" customHeight="1">
      <c r="A2135" t="n">
        <v>43</v>
      </c>
      <c r="B2135" s="35">
        <f>IF(Setup!$B$14="","",Setup!$B$14)</f>
        <v/>
      </c>
      <c r="C2135" s="98" t="n"/>
      <c r="D2135" s="99" t="n"/>
      <c r="E2135" s="99" t="n"/>
      <c r="F2135" s="100" t="n"/>
      <c r="G2135" s="98" t="n"/>
      <c r="H2135" s="99" t="n"/>
      <c r="I2135" s="99" t="n"/>
      <c r="J2135" s="100" t="n"/>
      <c r="K2135" s="98" t="n"/>
      <c r="L2135" s="99" t="n"/>
      <c r="M2135" s="99" t="n"/>
      <c r="N2135" s="100" t="n"/>
      <c r="O2135" s="98" t="n"/>
      <c r="P2135" s="99" t="n"/>
      <c r="Q2135" s="99" t="n"/>
      <c r="R2135" s="100" t="n"/>
      <c r="S2135" s="98" t="n"/>
      <c r="T2135" s="99" t="n"/>
      <c r="U2135" s="99" t="n"/>
      <c r="V2135" s="100" t="n"/>
      <c r="W2135" s="98" t="n"/>
      <c r="X2135" s="100" t="n"/>
      <c r="Y2135" s="98" t="n"/>
      <c r="Z2135" s="100" t="n"/>
      <c r="AB2135" s="101">
        <f>IF($B2135="","",(COUNTIF(C2108:E2125,$B2135)+COUNTIF(C2108:E2125,$B2135&amp;" ~*")&gt;0)+(COUNTIF(G2108:I2125,$B2135)+COUNTIF(G2108:I2125,$B2135&amp;" ~*")&gt;0)+(COUNTIF(K2108:M2125,$B2135)+COUNTIF(K2108:M2125,$B2135&amp;" ~*")&gt;0)+(COUNTIF(O2108:Q2125,$B2135)+COUNTIF(O2108:Q2125,$B2135&amp;" ~*")&gt;0)+(COUNTIF(S2108:U2125,$B2135)+COUNTIF(S2108:U2125,$B2135&amp;" ~*")&gt;0)+(COUNTIF(W2108:W2125,$B2135)+COUNTIF(W2108:W2125,$B2135&amp;" ~*")&gt;0)+(COUNTIF(Y2108:Y2125,$B2135)+COUNTIF(Y2108:Y2125,$B2135&amp;" ~*")&gt;0))</f>
        <v/>
      </c>
      <c r="AC2135" s="36">
        <f>IF($B2135="","",(IFERROR(INDEX(Setup!$G$33:$G$40,MATCH(C2135,Setup!$B$33:$B$40,0)),0)=1)*(COUNTIF(C2108:E2125,$B2135)+COUNTIF(C2108:E2125,$B2135&amp;" ~*")&gt;0)+(IFERROR(INDEX(Setup!$G$33:$G$40,MATCH(G2135,Setup!$B$33:$B$40,0)),0)=1)*(COUNTIF(G2108:I2125,$B2135)+COUNTIF(G2108:I2125,$B2135&amp;" ~*")&gt;0)+(IFERROR(INDEX(Setup!$G$33:$G$40,MATCH(K2135,Setup!$B$33:$B$40,0)),0)=1)*(COUNTIF(K2108:M2125,$B2135)+COUNTIF(K2108:M2125,$B2135&amp;" ~*")&gt;0)+(IFERROR(INDEX(Setup!$G$33:$G$40,MATCH(O2135,Setup!$B$33:$B$40,0)),0)=1)*(COUNTIF(O2108:Q2125,$B2135)+COUNTIF(O2108:Q2125,$B2135&amp;" ~*")&gt;0)+(IFERROR(INDEX(Setup!$G$33:$G$40,MATCH(S2135,Setup!$B$33:$B$40,0)),0)=1)*(COUNTIF(S2108:U2125,$B2135)+COUNTIF(S2108:U2125,$B2135&amp;" ~*")&gt;0)+(IFERROR(INDEX(Setup!$G$33:$G$40,MATCH(W2135,Setup!$B$33:$B$40,0)),0)=1)*(COUNTIF(W2108:W2125,$B2135)+COUNTIF(W2108:W2125,$B2135&amp;" ~*")&gt;0)+(IFERROR(INDEX(Setup!$G$33:$G$40,MATCH(Y2135,Setup!$B$33:$B$40,0)),0)=1)*(COUNTIF(Y2108:Y2125,$B2135)+COUNTIF(Y2108:Y2125,$B2135&amp;" ~*")&gt;0))</f>
        <v/>
      </c>
    </row>
    <row r="2136" ht="15" customHeight="1">
      <c r="A2136" t="n">
        <v>43</v>
      </c>
      <c r="B2136" s="37">
        <f>IF(Setup!$B$15="","",Setup!$B$15)</f>
        <v/>
      </c>
      <c r="C2136" s="102" t="n"/>
      <c r="D2136" s="103" t="n"/>
      <c r="E2136" s="103" t="n"/>
      <c r="F2136" s="104" t="n"/>
      <c r="G2136" s="102" t="n"/>
      <c r="H2136" s="103" t="n"/>
      <c r="I2136" s="103" t="n"/>
      <c r="J2136" s="104" t="n"/>
      <c r="K2136" s="102" t="n"/>
      <c r="L2136" s="103" t="n"/>
      <c r="M2136" s="103" t="n"/>
      <c r="N2136" s="104" t="n"/>
      <c r="O2136" s="102" t="n"/>
      <c r="P2136" s="103" t="n"/>
      <c r="Q2136" s="103" t="n"/>
      <c r="R2136" s="104" t="n"/>
      <c r="S2136" s="102" t="n"/>
      <c r="T2136" s="103" t="n"/>
      <c r="U2136" s="103" t="n"/>
      <c r="V2136" s="104" t="n"/>
      <c r="W2136" s="102" t="n"/>
      <c r="X2136" s="104" t="n"/>
      <c r="Y2136" s="102" t="n"/>
      <c r="Z2136" s="104" t="n"/>
      <c r="AB2136" s="105">
        <f>IF($B2136="","",(COUNTIF(C2108:E2125,$B2136)+COUNTIF(C2108:E2125,$B2136&amp;" ~*")&gt;0)+(COUNTIF(G2108:I2125,$B2136)+COUNTIF(G2108:I2125,$B2136&amp;" ~*")&gt;0)+(COUNTIF(K2108:M2125,$B2136)+COUNTIF(K2108:M2125,$B2136&amp;" ~*")&gt;0)+(COUNTIF(O2108:Q2125,$B2136)+COUNTIF(O2108:Q2125,$B2136&amp;" ~*")&gt;0)+(COUNTIF(S2108:U2125,$B2136)+COUNTIF(S2108:U2125,$B2136&amp;" ~*")&gt;0)+(COUNTIF(W2108:W2125,$B2136)+COUNTIF(W2108:W2125,$B2136&amp;" ~*")&gt;0)+(COUNTIF(Y2108:Y2125,$B2136)+COUNTIF(Y2108:Y2125,$B2136&amp;" ~*")&gt;0))</f>
        <v/>
      </c>
      <c r="AC2136" s="38">
        <f>IF($B2136="","",(IFERROR(INDEX(Setup!$G$33:$G$40,MATCH(C2136,Setup!$B$33:$B$40,0)),0)=1)*(COUNTIF(C2108:E2125,$B2136)+COUNTIF(C2108:E2125,$B2136&amp;" ~*")&gt;0)+(IFERROR(INDEX(Setup!$G$33:$G$40,MATCH(G2136,Setup!$B$33:$B$40,0)),0)=1)*(COUNTIF(G2108:I2125,$B2136)+COUNTIF(G2108:I2125,$B2136&amp;" ~*")&gt;0)+(IFERROR(INDEX(Setup!$G$33:$G$40,MATCH(K2136,Setup!$B$33:$B$40,0)),0)=1)*(COUNTIF(K2108:M2125,$B2136)+COUNTIF(K2108:M2125,$B2136&amp;" ~*")&gt;0)+(IFERROR(INDEX(Setup!$G$33:$G$40,MATCH(O2136,Setup!$B$33:$B$40,0)),0)=1)*(COUNTIF(O2108:Q2125,$B2136)+COUNTIF(O2108:Q2125,$B2136&amp;" ~*")&gt;0)+(IFERROR(INDEX(Setup!$G$33:$G$40,MATCH(S2136,Setup!$B$33:$B$40,0)),0)=1)*(COUNTIF(S2108:U2125,$B2136)+COUNTIF(S2108:U2125,$B2136&amp;" ~*")&gt;0)+(IFERROR(INDEX(Setup!$G$33:$G$40,MATCH(W2136,Setup!$B$33:$B$40,0)),0)=1)*(COUNTIF(W2108:W2125,$B2136)+COUNTIF(W2108:W2125,$B2136&amp;" ~*")&gt;0)+(IFERROR(INDEX(Setup!$G$33:$G$40,MATCH(Y2136,Setup!$B$33:$B$40,0)),0)=1)*(COUNTIF(Y2108:Y2125,$B2136)+COUNTIF(Y2108:Y2125,$B2136&amp;" ~*")&gt;0))</f>
        <v/>
      </c>
    </row>
    <row r="2137" ht="15" customHeight="1">
      <c r="A2137" t="n">
        <v>43</v>
      </c>
      <c r="B2137" s="35">
        <f>IF(Setup!$B$16="","",Setup!$B$16)</f>
        <v/>
      </c>
      <c r="C2137" s="98" t="n"/>
      <c r="D2137" s="99" t="n"/>
      <c r="E2137" s="99" t="n"/>
      <c r="F2137" s="100" t="n"/>
      <c r="G2137" s="98" t="n"/>
      <c r="H2137" s="99" t="n"/>
      <c r="I2137" s="99" t="n"/>
      <c r="J2137" s="100" t="n"/>
      <c r="K2137" s="98" t="n"/>
      <c r="L2137" s="99" t="n"/>
      <c r="M2137" s="99" t="n"/>
      <c r="N2137" s="100" t="n"/>
      <c r="O2137" s="98" t="n"/>
      <c r="P2137" s="99" t="n"/>
      <c r="Q2137" s="99" t="n"/>
      <c r="R2137" s="100" t="n"/>
      <c r="S2137" s="98" t="n"/>
      <c r="T2137" s="99" t="n"/>
      <c r="U2137" s="99" t="n"/>
      <c r="V2137" s="100" t="n"/>
      <c r="W2137" s="98" t="n"/>
      <c r="X2137" s="100" t="n"/>
      <c r="Y2137" s="98" t="n"/>
      <c r="Z2137" s="100" t="n"/>
      <c r="AB2137" s="101">
        <f>IF($B2137="","",(COUNTIF(C2108:E2125,$B2137)+COUNTIF(C2108:E2125,$B2137&amp;" ~*")&gt;0)+(COUNTIF(G2108:I2125,$B2137)+COUNTIF(G2108:I2125,$B2137&amp;" ~*")&gt;0)+(COUNTIF(K2108:M2125,$B2137)+COUNTIF(K2108:M2125,$B2137&amp;" ~*")&gt;0)+(COUNTIF(O2108:Q2125,$B2137)+COUNTIF(O2108:Q2125,$B2137&amp;" ~*")&gt;0)+(COUNTIF(S2108:U2125,$B2137)+COUNTIF(S2108:U2125,$B2137&amp;" ~*")&gt;0)+(COUNTIF(W2108:W2125,$B2137)+COUNTIF(W2108:W2125,$B2137&amp;" ~*")&gt;0)+(COUNTIF(Y2108:Y2125,$B2137)+COUNTIF(Y2108:Y2125,$B2137&amp;" ~*")&gt;0))</f>
        <v/>
      </c>
      <c r="AC2137" s="36">
        <f>IF($B2137="","",(IFERROR(INDEX(Setup!$G$33:$G$40,MATCH(C2137,Setup!$B$33:$B$40,0)),0)=1)*(COUNTIF(C2108:E2125,$B2137)+COUNTIF(C2108:E2125,$B2137&amp;" ~*")&gt;0)+(IFERROR(INDEX(Setup!$G$33:$G$40,MATCH(G2137,Setup!$B$33:$B$40,0)),0)=1)*(COUNTIF(G2108:I2125,$B2137)+COUNTIF(G2108:I2125,$B2137&amp;" ~*")&gt;0)+(IFERROR(INDEX(Setup!$G$33:$G$40,MATCH(K2137,Setup!$B$33:$B$40,0)),0)=1)*(COUNTIF(K2108:M2125,$B2137)+COUNTIF(K2108:M2125,$B2137&amp;" ~*")&gt;0)+(IFERROR(INDEX(Setup!$G$33:$G$40,MATCH(O2137,Setup!$B$33:$B$40,0)),0)=1)*(COUNTIF(O2108:Q2125,$B2137)+COUNTIF(O2108:Q2125,$B2137&amp;" ~*")&gt;0)+(IFERROR(INDEX(Setup!$G$33:$G$40,MATCH(S2137,Setup!$B$33:$B$40,0)),0)=1)*(COUNTIF(S2108:U2125,$B2137)+COUNTIF(S2108:U2125,$B2137&amp;" ~*")&gt;0)+(IFERROR(INDEX(Setup!$G$33:$G$40,MATCH(W2137,Setup!$B$33:$B$40,0)),0)=1)*(COUNTIF(W2108:W2125,$B2137)+COUNTIF(W2108:W2125,$B2137&amp;" ~*")&gt;0)+(IFERROR(INDEX(Setup!$G$33:$G$40,MATCH(Y2137,Setup!$B$33:$B$40,0)),0)=1)*(COUNTIF(Y2108:Y2125,$B2137)+COUNTIF(Y2108:Y2125,$B2137&amp;" ~*")&gt;0))</f>
        <v/>
      </c>
    </row>
    <row r="2138" ht="15" customHeight="1">
      <c r="A2138" t="n">
        <v>43</v>
      </c>
      <c r="B2138" s="37">
        <f>IF(Setup!$B$17="","",Setup!$B$17)</f>
        <v/>
      </c>
      <c r="C2138" s="102" t="n"/>
      <c r="D2138" s="103" t="n"/>
      <c r="E2138" s="103" t="n"/>
      <c r="F2138" s="104" t="n"/>
      <c r="G2138" s="102" t="n"/>
      <c r="H2138" s="103" t="n"/>
      <c r="I2138" s="103" t="n"/>
      <c r="J2138" s="104" t="n"/>
      <c r="K2138" s="102" t="n"/>
      <c r="L2138" s="103" t="n"/>
      <c r="M2138" s="103" t="n"/>
      <c r="N2138" s="104" t="n"/>
      <c r="O2138" s="102" t="n"/>
      <c r="P2138" s="103" t="n"/>
      <c r="Q2138" s="103" t="n"/>
      <c r="R2138" s="104" t="n"/>
      <c r="S2138" s="102" t="n"/>
      <c r="T2138" s="103" t="n"/>
      <c r="U2138" s="103" t="n"/>
      <c r="V2138" s="104" t="n"/>
      <c r="W2138" s="102" t="n"/>
      <c r="X2138" s="104" t="n"/>
      <c r="Y2138" s="102" t="n"/>
      <c r="Z2138" s="104" t="n"/>
      <c r="AB2138" s="105">
        <f>IF($B2138="","",(COUNTIF(C2108:E2125,$B2138)+COUNTIF(C2108:E2125,$B2138&amp;" ~*")&gt;0)+(COUNTIF(G2108:I2125,$B2138)+COUNTIF(G2108:I2125,$B2138&amp;" ~*")&gt;0)+(COUNTIF(K2108:M2125,$B2138)+COUNTIF(K2108:M2125,$B2138&amp;" ~*")&gt;0)+(COUNTIF(O2108:Q2125,$B2138)+COUNTIF(O2108:Q2125,$B2138&amp;" ~*")&gt;0)+(COUNTIF(S2108:U2125,$B2138)+COUNTIF(S2108:U2125,$B2138&amp;" ~*")&gt;0)+(COUNTIF(W2108:W2125,$B2138)+COUNTIF(W2108:W2125,$B2138&amp;" ~*")&gt;0)+(COUNTIF(Y2108:Y2125,$B2138)+COUNTIF(Y2108:Y2125,$B2138&amp;" ~*")&gt;0))</f>
        <v/>
      </c>
      <c r="AC2138" s="38">
        <f>IF($B2138="","",(IFERROR(INDEX(Setup!$G$33:$G$40,MATCH(C2138,Setup!$B$33:$B$40,0)),0)=1)*(COUNTIF(C2108:E2125,$B2138)+COUNTIF(C2108:E2125,$B2138&amp;" ~*")&gt;0)+(IFERROR(INDEX(Setup!$G$33:$G$40,MATCH(G2138,Setup!$B$33:$B$40,0)),0)=1)*(COUNTIF(G2108:I2125,$B2138)+COUNTIF(G2108:I2125,$B2138&amp;" ~*")&gt;0)+(IFERROR(INDEX(Setup!$G$33:$G$40,MATCH(K2138,Setup!$B$33:$B$40,0)),0)=1)*(COUNTIF(K2108:M2125,$B2138)+COUNTIF(K2108:M2125,$B2138&amp;" ~*")&gt;0)+(IFERROR(INDEX(Setup!$G$33:$G$40,MATCH(O2138,Setup!$B$33:$B$40,0)),0)=1)*(COUNTIF(O2108:Q2125,$B2138)+COUNTIF(O2108:Q2125,$B2138&amp;" ~*")&gt;0)+(IFERROR(INDEX(Setup!$G$33:$G$40,MATCH(S2138,Setup!$B$33:$B$40,0)),0)=1)*(COUNTIF(S2108:U2125,$B2138)+COUNTIF(S2108:U2125,$B2138&amp;" ~*")&gt;0)+(IFERROR(INDEX(Setup!$G$33:$G$40,MATCH(W2138,Setup!$B$33:$B$40,0)),0)=1)*(COUNTIF(W2108:W2125,$B2138)+COUNTIF(W2108:W2125,$B2138&amp;" ~*")&gt;0)+(IFERROR(INDEX(Setup!$G$33:$G$40,MATCH(Y2138,Setup!$B$33:$B$40,0)),0)=1)*(COUNTIF(Y2108:Y2125,$B2138)+COUNTIF(Y2108:Y2125,$B2138&amp;" ~*")&gt;0))</f>
        <v/>
      </c>
    </row>
    <row r="2139" ht="15" customHeight="1">
      <c r="A2139" t="n">
        <v>43</v>
      </c>
      <c r="B2139" s="35">
        <f>IF(Setup!$B$18="","",Setup!$B$18)</f>
        <v/>
      </c>
      <c r="C2139" s="98" t="n"/>
      <c r="D2139" s="99" t="n"/>
      <c r="E2139" s="99" t="n"/>
      <c r="F2139" s="100" t="n"/>
      <c r="G2139" s="98" t="n"/>
      <c r="H2139" s="99" t="n"/>
      <c r="I2139" s="99" t="n"/>
      <c r="J2139" s="100" t="n"/>
      <c r="K2139" s="98" t="n"/>
      <c r="L2139" s="99" t="n"/>
      <c r="M2139" s="99" t="n"/>
      <c r="N2139" s="100" t="n"/>
      <c r="O2139" s="98" t="n"/>
      <c r="P2139" s="99" t="n"/>
      <c r="Q2139" s="99" t="n"/>
      <c r="R2139" s="100" t="n"/>
      <c r="S2139" s="98" t="n"/>
      <c r="T2139" s="99" t="n"/>
      <c r="U2139" s="99" t="n"/>
      <c r="V2139" s="100" t="n"/>
      <c r="W2139" s="98" t="n"/>
      <c r="X2139" s="100" t="n"/>
      <c r="Y2139" s="98" t="n"/>
      <c r="Z2139" s="100" t="n"/>
      <c r="AB2139" s="101">
        <f>IF($B2139="","",(COUNTIF(C2108:E2125,$B2139)+COUNTIF(C2108:E2125,$B2139&amp;" ~*")&gt;0)+(COUNTIF(G2108:I2125,$B2139)+COUNTIF(G2108:I2125,$B2139&amp;" ~*")&gt;0)+(COUNTIF(K2108:M2125,$B2139)+COUNTIF(K2108:M2125,$B2139&amp;" ~*")&gt;0)+(COUNTIF(O2108:Q2125,$B2139)+COUNTIF(O2108:Q2125,$B2139&amp;" ~*")&gt;0)+(COUNTIF(S2108:U2125,$B2139)+COUNTIF(S2108:U2125,$B2139&amp;" ~*")&gt;0)+(COUNTIF(W2108:W2125,$B2139)+COUNTIF(W2108:W2125,$B2139&amp;" ~*")&gt;0)+(COUNTIF(Y2108:Y2125,$B2139)+COUNTIF(Y2108:Y2125,$B2139&amp;" ~*")&gt;0))</f>
        <v/>
      </c>
      <c r="AC2139" s="36">
        <f>IF($B2139="","",(IFERROR(INDEX(Setup!$G$33:$G$40,MATCH(C2139,Setup!$B$33:$B$40,0)),0)=1)*(COUNTIF(C2108:E2125,$B2139)+COUNTIF(C2108:E2125,$B2139&amp;" ~*")&gt;0)+(IFERROR(INDEX(Setup!$G$33:$G$40,MATCH(G2139,Setup!$B$33:$B$40,0)),0)=1)*(COUNTIF(G2108:I2125,$B2139)+COUNTIF(G2108:I2125,$B2139&amp;" ~*")&gt;0)+(IFERROR(INDEX(Setup!$G$33:$G$40,MATCH(K2139,Setup!$B$33:$B$40,0)),0)=1)*(COUNTIF(K2108:M2125,$B2139)+COUNTIF(K2108:M2125,$B2139&amp;" ~*")&gt;0)+(IFERROR(INDEX(Setup!$G$33:$G$40,MATCH(O2139,Setup!$B$33:$B$40,0)),0)=1)*(COUNTIF(O2108:Q2125,$B2139)+COUNTIF(O2108:Q2125,$B2139&amp;" ~*")&gt;0)+(IFERROR(INDEX(Setup!$G$33:$G$40,MATCH(S2139,Setup!$B$33:$B$40,0)),0)=1)*(COUNTIF(S2108:U2125,$B2139)+COUNTIF(S2108:U2125,$B2139&amp;" ~*")&gt;0)+(IFERROR(INDEX(Setup!$G$33:$G$40,MATCH(W2139,Setup!$B$33:$B$40,0)),0)=1)*(COUNTIF(W2108:W2125,$B2139)+COUNTIF(W2108:W2125,$B2139&amp;" ~*")&gt;0)+(IFERROR(INDEX(Setup!$G$33:$G$40,MATCH(Y2139,Setup!$B$33:$B$40,0)),0)=1)*(COUNTIF(Y2108:Y2125,$B2139)+COUNTIF(Y2108:Y2125,$B2139&amp;" ~*")&gt;0))</f>
        <v/>
      </c>
    </row>
    <row r="2140" ht="15" customHeight="1">
      <c r="A2140" t="n">
        <v>43</v>
      </c>
      <c r="B2140" s="37">
        <f>IF(Setup!$B$19="","",Setup!$B$19)</f>
        <v/>
      </c>
      <c r="C2140" s="102" t="n"/>
      <c r="D2140" s="103" t="n"/>
      <c r="E2140" s="103" t="n"/>
      <c r="F2140" s="104" t="n"/>
      <c r="G2140" s="102" t="n"/>
      <c r="H2140" s="103" t="n"/>
      <c r="I2140" s="103" t="n"/>
      <c r="J2140" s="104" t="n"/>
      <c r="K2140" s="102" t="n"/>
      <c r="L2140" s="103" t="n"/>
      <c r="M2140" s="103" t="n"/>
      <c r="N2140" s="104" t="n"/>
      <c r="O2140" s="102" t="n"/>
      <c r="P2140" s="103" t="n"/>
      <c r="Q2140" s="103" t="n"/>
      <c r="R2140" s="104" t="n"/>
      <c r="S2140" s="102" t="n"/>
      <c r="T2140" s="103" t="n"/>
      <c r="U2140" s="103" t="n"/>
      <c r="V2140" s="104" t="n"/>
      <c r="W2140" s="102" t="n"/>
      <c r="X2140" s="104" t="n"/>
      <c r="Y2140" s="102" t="n"/>
      <c r="Z2140" s="104" t="n"/>
      <c r="AB2140" s="105">
        <f>IF($B2140="","",(COUNTIF(C2108:E2125,$B2140)+COUNTIF(C2108:E2125,$B2140&amp;" ~*")&gt;0)+(COUNTIF(G2108:I2125,$B2140)+COUNTIF(G2108:I2125,$B2140&amp;" ~*")&gt;0)+(COUNTIF(K2108:M2125,$B2140)+COUNTIF(K2108:M2125,$B2140&amp;" ~*")&gt;0)+(COUNTIF(O2108:Q2125,$B2140)+COUNTIF(O2108:Q2125,$B2140&amp;" ~*")&gt;0)+(COUNTIF(S2108:U2125,$B2140)+COUNTIF(S2108:U2125,$B2140&amp;" ~*")&gt;0)+(COUNTIF(W2108:W2125,$B2140)+COUNTIF(W2108:W2125,$B2140&amp;" ~*")&gt;0)+(COUNTIF(Y2108:Y2125,$B2140)+COUNTIF(Y2108:Y2125,$B2140&amp;" ~*")&gt;0))</f>
        <v/>
      </c>
      <c r="AC2140" s="38">
        <f>IF($B2140="","",(IFERROR(INDEX(Setup!$G$33:$G$40,MATCH(C2140,Setup!$B$33:$B$40,0)),0)=1)*(COUNTIF(C2108:E2125,$B2140)+COUNTIF(C2108:E2125,$B2140&amp;" ~*")&gt;0)+(IFERROR(INDEX(Setup!$G$33:$G$40,MATCH(G2140,Setup!$B$33:$B$40,0)),0)=1)*(COUNTIF(G2108:I2125,$B2140)+COUNTIF(G2108:I2125,$B2140&amp;" ~*")&gt;0)+(IFERROR(INDEX(Setup!$G$33:$G$40,MATCH(K2140,Setup!$B$33:$B$40,0)),0)=1)*(COUNTIF(K2108:M2125,$B2140)+COUNTIF(K2108:M2125,$B2140&amp;" ~*")&gt;0)+(IFERROR(INDEX(Setup!$G$33:$G$40,MATCH(O2140,Setup!$B$33:$B$40,0)),0)=1)*(COUNTIF(O2108:Q2125,$B2140)+COUNTIF(O2108:Q2125,$B2140&amp;" ~*")&gt;0)+(IFERROR(INDEX(Setup!$G$33:$G$40,MATCH(S2140,Setup!$B$33:$B$40,0)),0)=1)*(COUNTIF(S2108:U2125,$B2140)+COUNTIF(S2108:U2125,$B2140&amp;" ~*")&gt;0)+(IFERROR(INDEX(Setup!$G$33:$G$40,MATCH(W2140,Setup!$B$33:$B$40,0)),0)=1)*(COUNTIF(W2108:W2125,$B2140)+COUNTIF(W2108:W2125,$B2140&amp;" ~*")&gt;0)+(IFERROR(INDEX(Setup!$G$33:$G$40,MATCH(Y2140,Setup!$B$33:$B$40,0)),0)=1)*(COUNTIF(Y2108:Y2125,$B2140)+COUNTIF(Y2108:Y2125,$B2140&amp;" ~*")&gt;0))</f>
        <v/>
      </c>
    </row>
    <row r="2141" ht="15" customHeight="1">
      <c r="A2141" t="n">
        <v>43</v>
      </c>
      <c r="B2141" s="35">
        <f>IF(Setup!$B$20="","",Setup!$B$20)</f>
        <v/>
      </c>
      <c r="C2141" s="98" t="n"/>
      <c r="D2141" s="99" t="n"/>
      <c r="E2141" s="99" t="n"/>
      <c r="F2141" s="100" t="n"/>
      <c r="G2141" s="98" t="n"/>
      <c r="H2141" s="99" t="n"/>
      <c r="I2141" s="99" t="n"/>
      <c r="J2141" s="100" t="n"/>
      <c r="K2141" s="98" t="n"/>
      <c r="L2141" s="99" t="n"/>
      <c r="M2141" s="99" t="n"/>
      <c r="N2141" s="100" t="n"/>
      <c r="O2141" s="98" t="n"/>
      <c r="P2141" s="99" t="n"/>
      <c r="Q2141" s="99" t="n"/>
      <c r="R2141" s="100" t="n"/>
      <c r="S2141" s="98" t="n"/>
      <c r="T2141" s="99" t="n"/>
      <c r="U2141" s="99" t="n"/>
      <c r="V2141" s="100" t="n"/>
      <c r="W2141" s="98" t="n"/>
      <c r="X2141" s="100" t="n"/>
      <c r="Y2141" s="98" t="n"/>
      <c r="Z2141" s="100" t="n"/>
      <c r="AB2141" s="101">
        <f>IF($B2141="","",(COUNTIF(C2108:E2125,$B2141)+COUNTIF(C2108:E2125,$B2141&amp;" ~*")&gt;0)+(COUNTIF(G2108:I2125,$B2141)+COUNTIF(G2108:I2125,$B2141&amp;" ~*")&gt;0)+(COUNTIF(K2108:M2125,$B2141)+COUNTIF(K2108:M2125,$B2141&amp;" ~*")&gt;0)+(COUNTIF(O2108:Q2125,$B2141)+COUNTIF(O2108:Q2125,$B2141&amp;" ~*")&gt;0)+(COUNTIF(S2108:U2125,$B2141)+COUNTIF(S2108:U2125,$B2141&amp;" ~*")&gt;0)+(COUNTIF(W2108:W2125,$B2141)+COUNTIF(W2108:W2125,$B2141&amp;" ~*")&gt;0)+(COUNTIF(Y2108:Y2125,$B2141)+COUNTIF(Y2108:Y2125,$B2141&amp;" ~*")&gt;0))</f>
        <v/>
      </c>
      <c r="AC2141" s="36">
        <f>IF($B2141="","",(IFERROR(INDEX(Setup!$G$33:$G$40,MATCH(C2141,Setup!$B$33:$B$40,0)),0)=1)*(COUNTIF(C2108:E2125,$B2141)+COUNTIF(C2108:E2125,$B2141&amp;" ~*")&gt;0)+(IFERROR(INDEX(Setup!$G$33:$G$40,MATCH(G2141,Setup!$B$33:$B$40,0)),0)=1)*(COUNTIF(G2108:I2125,$B2141)+COUNTIF(G2108:I2125,$B2141&amp;" ~*")&gt;0)+(IFERROR(INDEX(Setup!$G$33:$G$40,MATCH(K2141,Setup!$B$33:$B$40,0)),0)=1)*(COUNTIF(K2108:M2125,$B2141)+COUNTIF(K2108:M2125,$B2141&amp;" ~*")&gt;0)+(IFERROR(INDEX(Setup!$G$33:$G$40,MATCH(O2141,Setup!$B$33:$B$40,0)),0)=1)*(COUNTIF(O2108:Q2125,$B2141)+COUNTIF(O2108:Q2125,$B2141&amp;" ~*")&gt;0)+(IFERROR(INDEX(Setup!$G$33:$G$40,MATCH(S2141,Setup!$B$33:$B$40,0)),0)=1)*(COUNTIF(S2108:U2125,$B2141)+COUNTIF(S2108:U2125,$B2141&amp;" ~*")&gt;0)+(IFERROR(INDEX(Setup!$G$33:$G$40,MATCH(W2141,Setup!$B$33:$B$40,0)),0)=1)*(COUNTIF(W2108:W2125,$B2141)+COUNTIF(W2108:W2125,$B2141&amp;" ~*")&gt;0)+(IFERROR(INDEX(Setup!$G$33:$G$40,MATCH(Y2141,Setup!$B$33:$B$40,0)),0)=1)*(COUNTIF(Y2108:Y2125,$B2141)+COUNTIF(Y2108:Y2125,$B2141&amp;" ~*")&gt;0))</f>
        <v/>
      </c>
    </row>
    <row r="2142" ht="15" customHeight="1">
      <c r="A2142" t="n">
        <v>43</v>
      </c>
      <c r="B2142" s="37">
        <f>IF(Setup!$B$21="","",Setup!$B$21)</f>
        <v/>
      </c>
      <c r="C2142" s="102" t="inlineStr">
        <is>
          <t>AL</t>
        </is>
      </c>
      <c r="D2142" s="103" t="n"/>
      <c r="E2142" s="103" t="n"/>
      <c r="F2142" s="104" t="n"/>
      <c r="G2142" s="102" t="inlineStr">
        <is>
          <t>AL</t>
        </is>
      </c>
      <c r="H2142" s="103" t="n"/>
      <c r="I2142" s="103" t="n"/>
      <c r="J2142" s="104" t="n"/>
      <c r="K2142" s="102" t="inlineStr">
        <is>
          <t>AL</t>
        </is>
      </c>
      <c r="L2142" s="103" t="n"/>
      <c r="M2142" s="103" t="n"/>
      <c r="N2142" s="104" t="n"/>
      <c r="O2142" s="102" t="inlineStr">
        <is>
          <t>AL</t>
        </is>
      </c>
      <c r="P2142" s="103" t="n"/>
      <c r="Q2142" s="103" t="n"/>
      <c r="R2142" s="104" t="n"/>
      <c r="S2142" s="102" t="inlineStr">
        <is>
          <t>AL</t>
        </is>
      </c>
      <c r="T2142" s="103" t="n"/>
      <c r="U2142" s="103" t="n"/>
      <c r="V2142" s="104" t="n"/>
      <c r="W2142" s="102" t="n"/>
      <c r="X2142" s="104" t="n"/>
      <c r="Y2142" s="102" t="n"/>
      <c r="Z2142" s="104" t="n"/>
      <c r="AB2142" s="105">
        <f>IF($B2142="","",(COUNTIF(C2108:E2125,$B2142)+COUNTIF(C2108:E2125,$B2142&amp;" ~*")&gt;0)+(COUNTIF(G2108:I2125,$B2142)+COUNTIF(G2108:I2125,$B2142&amp;" ~*")&gt;0)+(COUNTIF(K2108:M2125,$B2142)+COUNTIF(K2108:M2125,$B2142&amp;" ~*")&gt;0)+(COUNTIF(O2108:Q2125,$B2142)+COUNTIF(O2108:Q2125,$B2142&amp;" ~*")&gt;0)+(COUNTIF(S2108:U2125,$B2142)+COUNTIF(S2108:U2125,$B2142&amp;" ~*")&gt;0)+(COUNTIF(W2108:W2125,$B2142)+COUNTIF(W2108:W2125,$B2142&amp;" ~*")&gt;0)+(COUNTIF(Y2108:Y2125,$B2142)+COUNTIF(Y2108:Y2125,$B2142&amp;" ~*")&gt;0))</f>
        <v/>
      </c>
      <c r="AC2142" s="38">
        <f>IF($B2142="","",(IFERROR(INDEX(Setup!$G$33:$G$40,MATCH(C2142,Setup!$B$33:$B$40,0)),0)=1)*(COUNTIF(C2108:E2125,$B2142)+COUNTIF(C2108:E2125,$B2142&amp;" ~*")&gt;0)+(IFERROR(INDEX(Setup!$G$33:$G$40,MATCH(G2142,Setup!$B$33:$B$40,0)),0)=1)*(COUNTIF(G2108:I2125,$B2142)+COUNTIF(G2108:I2125,$B2142&amp;" ~*")&gt;0)+(IFERROR(INDEX(Setup!$G$33:$G$40,MATCH(K2142,Setup!$B$33:$B$40,0)),0)=1)*(COUNTIF(K2108:M2125,$B2142)+COUNTIF(K2108:M2125,$B2142&amp;" ~*")&gt;0)+(IFERROR(INDEX(Setup!$G$33:$G$40,MATCH(O2142,Setup!$B$33:$B$40,0)),0)=1)*(COUNTIF(O2108:Q2125,$B2142)+COUNTIF(O2108:Q2125,$B2142&amp;" ~*")&gt;0)+(IFERROR(INDEX(Setup!$G$33:$G$40,MATCH(S2142,Setup!$B$33:$B$40,0)),0)=1)*(COUNTIF(S2108:U2125,$B2142)+COUNTIF(S2108:U2125,$B2142&amp;" ~*")&gt;0)+(IFERROR(INDEX(Setup!$G$33:$G$40,MATCH(W2142,Setup!$B$33:$B$40,0)),0)=1)*(COUNTIF(W2108:W2125,$B2142)+COUNTIF(W2108:W2125,$B2142&amp;" ~*")&gt;0)+(IFERROR(INDEX(Setup!$G$33:$G$40,MATCH(Y2142,Setup!$B$33:$B$40,0)),0)=1)*(COUNTIF(Y2108:Y2125,$B2142)+COUNTIF(Y2108:Y2125,$B2142&amp;" ~*")&gt;0))</f>
        <v/>
      </c>
    </row>
    <row r="2143" ht="15" customHeight="1">
      <c r="A2143" t="n">
        <v>43</v>
      </c>
      <c r="B2143" s="35">
        <f>IF(Setup!$B$22="","",Setup!$B$22)</f>
        <v/>
      </c>
      <c r="C2143" s="98" t="n"/>
      <c r="D2143" s="99" t="n"/>
      <c r="E2143" s="99" t="n"/>
      <c r="F2143" s="100" t="n"/>
      <c r="G2143" s="98" t="n"/>
      <c r="H2143" s="99" t="n"/>
      <c r="I2143" s="99" t="n"/>
      <c r="J2143" s="100" t="n"/>
      <c r="K2143" s="98" t="n"/>
      <c r="L2143" s="99" t="n"/>
      <c r="M2143" s="99" t="n"/>
      <c r="N2143" s="100" t="n"/>
      <c r="O2143" s="98" t="n"/>
      <c r="P2143" s="99" t="n"/>
      <c r="Q2143" s="99" t="n"/>
      <c r="R2143" s="100" t="n"/>
      <c r="S2143" s="98" t="n"/>
      <c r="T2143" s="99" t="n"/>
      <c r="U2143" s="99" t="n"/>
      <c r="V2143" s="100" t="n"/>
      <c r="W2143" s="98" t="n"/>
      <c r="X2143" s="100" t="n"/>
      <c r="Y2143" s="98" t="n"/>
      <c r="Z2143" s="100" t="n"/>
      <c r="AB2143" s="101">
        <f>IF($B2143="","",(COUNTIF(C2108:E2125,$B2143)+COUNTIF(C2108:E2125,$B2143&amp;" ~*")&gt;0)+(COUNTIF(G2108:I2125,$B2143)+COUNTIF(G2108:I2125,$B2143&amp;" ~*")&gt;0)+(COUNTIF(K2108:M2125,$B2143)+COUNTIF(K2108:M2125,$B2143&amp;" ~*")&gt;0)+(COUNTIF(O2108:Q2125,$B2143)+COUNTIF(O2108:Q2125,$B2143&amp;" ~*")&gt;0)+(COUNTIF(S2108:U2125,$B2143)+COUNTIF(S2108:U2125,$B2143&amp;" ~*")&gt;0)+(COUNTIF(W2108:W2125,$B2143)+COUNTIF(W2108:W2125,$B2143&amp;" ~*")&gt;0)+(COUNTIF(Y2108:Y2125,$B2143)+COUNTIF(Y2108:Y2125,$B2143&amp;" ~*")&gt;0))</f>
        <v/>
      </c>
      <c r="AC2143" s="36">
        <f>IF($B2143="","",(IFERROR(INDEX(Setup!$G$33:$G$40,MATCH(C2143,Setup!$B$33:$B$40,0)),0)=1)*(COUNTIF(C2108:E2125,$B2143)+COUNTIF(C2108:E2125,$B2143&amp;" ~*")&gt;0)+(IFERROR(INDEX(Setup!$G$33:$G$40,MATCH(G2143,Setup!$B$33:$B$40,0)),0)=1)*(COUNTIF(G2108:I2125,$B2143)+COUNTIF(G2108:I2125,$B2143&amp;" ~*")&gt;0)+(IFERROR(INDEX(Setup!$G$33:$G$40,MATCH(K2143,Setup!$B$33:$B$40,0)),0)=1)*(COUNTIF(K2108:M2125,$B2143)+COUNTIF(K2108:M2125,$B2143&amp;" ~*")&gt;0)+(IFERROR(INDEX(Setup!$G$33:$G$40,MATCH(O2143,Setup!$B$33:$B$40,0)),0)=1)*(COUNTIF(O2108:Q2125,$B2143)+COUNTIF(O2108:Q2125,$B2143&amp;" ~*")&gt;0)+(IFERROR(INDEX(Setup!$G$33:$G$40,MATCH(S2143,Setup!$B$33:$B$40,0)),0)=1)*(COUNTIF(S2108:U2125,$B2143)+COUNTIF(S2108:U2125,$B2143&amp;" ~*")&gt;0)+(IFERROR(INDEX(Setup!$G$33:$G$40,MATCH(W2143,Setup!$B$33:$B$40,0)),0)=1)*(COUNTIF(W2108:W2125,$B2143)+COUNTIF(W2108:W2125,$B2143&amp;" ~*")&gt;0)+(IFERROR(INDEX(Setup!$G$33:$G$40,MATCH(Y2143,Setup!$B$33:$B$40,0)),0)=1)*(COUNTIF(Y2108:Y2125,$B2143)+COUNTIF(Y2108:Y2125,$B2143&amp;" ~*")&gt;0))</f>
        <v/>
      </c>
    </row>
    <row r="2144" ht="15" customHeight="1">
      <c r="A2144" t="n">
        <v>43</v>
      </c>
      <c r="B2144" s="37">
        <f>IF(Setup!$B$23="","",Setup!$B$23)</f>
        <v/>
      </c>
      <c r="C2144" s="102" t="n"/>
      <c r="D2144" s="103" t="n"/>
      <c r="E2144" s="103" t="n"/>
      <c r="F2144" s="104" t="n"/>
      <c r="G2144" s="102" t="n"/>
      <c r="H2144" s="103" t="n"/>
      <c r="I2144" s="103" t="n"/>
      <c r="J2144" s="104" t="n"/>
      <c r="K2144" s="102" t="n"/>
      <c r="L2144" s="103" t="n"/>
      <c r="M2144" s="103" t="n"/>
      <c r="N2144" s="104" t="n"/>
      <c r="O2144" s="102" t="n"/>
      <c r="P2144" s="103" t="n"/>
      <c r="Q2144" s="103" t="n"/>
      <c r="R2144" s="104" t="n"/>
      <c r="S2144" s="102" t="n"/>
      <c r="T2144" s="103" t="n"/>
      <c r="U2144" s="103" t="n"/>
      <c r="V2144" s="104" t="n"/>
      <c r="W2144" s="102" t="n"/>
      <c r="X2144" s="104" t="n"/>
      <c r="Y2144" s="102" t="n"/>
      <c r="Z2144" s="104" t="n"/>
      <c r="AB2144" s="105">
        <f>IF($B2144="","",(COUNTIF(C2108:E2125,$B2144)+COUNTIF(C2108:E2125,$B2144&amp;" ~*")&gt;0)+(COUNTIF(G2108:I2125,$B2144)+COUNTIF(G2108:I2125,$B2144&amp;" ~*")&gt;0)+(COUNTIF(K2108:M2125,$B2144)+COUNTIF(K2108:M2125,$B2144&amp;" ~*")&gt;0)+(COUNTIF(O2108:Q2125,$B2144)+COUNTIF(O2108:Q2125,$B2144&amp;" ~*")&gt;0)+(COUNTIF(S2108:U2125,$B2144)+COUNTIF(S2108:U2125,$B2144&amp;" ~*")&gt;0)+(COUNTIF(W2108:W2125,$B2144)+COUNTIF(W2108:W2125,$B2144&amp;" ~*")&gt;0)+(COUNTIF(Y2108:Y2125,$B2144)+COUNTIF(Y2108:Y2125,$B2144&amp;" ~*")&gt;0))</f>
        <v/>
      </c>
      <c r="AC2144" s="38">
        <f>IF($B2144="","",(IFERROR(INDEX(Setup!$G$33:$G$40,MATCH(C2144,Setup!$B$33:$B$40,0)),0)=1)*(COUNTIF(C2108:E2125,$B2144)+COUNTIF(C2108:E2125,$B2144&amp;" ~*")&gt;0)+(IFERROR(INDEX(Setup!$G$33:$G$40,MATCH(G2144,Setup!$B$33:$B$40,0)),0)=1)*(COUNTIF(G2108:I2125,$B2144)+COUNTIF(G2108:I2125,$B2144&amp;" ~*")&gt;0)+(IFERROR(INDEX(Setup!$G$33:$G$40,MATCH(K2144,Setup!$B$33:$B$40,0)),0)=1)*(COUNTIF(K2108:M2125,$B2144)+COUNTIF(K2108:M2125,$B2144&amp;" ~*")&gt;0)+(IFERROR(INDEX(Setup!$G$33:$G$40,MATCH(O2144,Setup!$B$33:$B$40,0)),0)=1)*(COUNTIF(O2108:Q2125,$B2144)+COUNTIF(O2108:Q2125,$B2144&amp;" ~*")&gt;0)+(IFERROR(INDEX(Setup!$G$33:$G$40,MATCH(S2144,Setup!$B$33:$B$40,0)),0)=1)*(COUNTIF(S2108:U2125,$B2144)+COUNTIF(S2108:U2125,$B2144&amp;" ~*")&gt;0)+(IFERROR(INDEX(Setup!$G$33:$G$40,MATCH(W2144,Setup!$B$33:$B$40,0)),0)=1)*(COUNTIF(W2108:W2125,$B2144)+COUNTIF(W2108:W2125,$B2144&amp;" ~*")&gt;0)+(IFERROR(INDEX(Setup!$G$33:$G$40,MATCH(Y2144,Setup!$B$33:$B$40,0)),0)=1)*(COUNTIF(Y2108:Y2125,$B2144)+COUNTIF(Y2108:Y2125,$B2144&amp;" ~*")&gt;0))</f>
        <v/>
      </c>
    </row>
    <row r="2145" ht="15" customHeight="1">
      <c r="A2145" t="n">
        <v>43</v>
      </c>
      <c r="B2145" s="35">
        <f>IF(Setup!$B$24="","",Setup!$B$24)</f>
        <v/>
      </c>
      <c r="C2145" s="98" t="n"/>
      <c r="D2145" s="99" t="n"/>
      <c r="E2145" s="99" t="n"/>
      <c r="F2145" s="100" t="n"/>
      <c r="G2145" s="98" t="n"/>
      <c r="H2145" s="99" t="n"/>
      <c r="I2145" s="99" t="n"/>
      <c r="J2145" s="100" t="n"/>
      <c r="K2145" s="98" t="n"/>
      <c r="L2145" s="99" t="n"/>
      <c r="M2145" s="99" t="n"/>
      <c r="N2145" s="100" t="n"/>
      <c r="O2145" s="98" t="n"/>
      <c r="P2145" s="99" t="n"/>
      <c r="Q2145" s="99" t="n"/>
      <c r="R2145" s="100" t="n"/>
      <c r="S2145" s="98" t="n"/>
      <c r="T2145" s="99" t="n"/>
      <c r="U2145" s="99" t="n"/>
      <c r="V2145" s="100" t="n"/>
      <c r="W2145" s="98" t="n"/>
      <c r="X2145" s="100" t="n"/>
      <c r="Y2145" s="98" t="n"/>
      <c r="Z2145" s="100" t="n"/>
      <c r="AB2145" s="101">
        <f>IF($B2145="","",(COUNTIF(C2108:E2125,$B2145)+COUNTIF(C2108:E2125,$B2145&amp;" ~*")&gt;0)+(COUNTIF(G2108:I2125,$B2145)+COUNTIF(G2108:I2125,$B2145&amp;" ~*")&gt;0)+(COUNTIF(K2108:M2125,$B2145)+COUNTIF(K2108:M2125,$B2145&amp;" ~*")&gt;0)+(COUNTIF(O2108:Q2125,$B2145)+COUNTIF(O2108:Q2125,$B2145&amp;" ~*")&gt;0)+(COUNTIF(S2108:U2125,$B2145)+COUNTIF(S2108:U2125,$B2145&amp;" ~*")&gt;0)+(COUNTIF(W2108:W2125,$B2145)+COUNTIF(W2108:W2125,$B2145&amp;" ~*")&gt;0)+(COUNTIF(Y2108:Y2125,$B2145)+COUNTIF(Y2108:Y2125,$B2145&amp;" ~*")&gt;0))</f>
        <v/>
      </c>
      <c r="AC2145" s="36">
        <f>IF($B2145="","",(IFERROR(INDEX(Setup!$G$33:$G$40,MATCH(C2145,Setup!$B$33:$B$40,0)),0)=1)*(COUNTIF(C2108:E2125,$B2145)+COUNTIF(C2108:E2125,$B2145&amp;" ~*")&gt;0)+(IFERROR(INDEX(Setup!$G$33:$G$40,MATCH(G2145,Setup!$B$33:$B$40,0)),0)=1)*(COUNTIF(G2108:I2125,$B2145)+COUNTIF(G2108:I2125,$B2145&amp;" ~*")&gt;0)+(IFERROR(INDEX(Setup!$G$33:$G$40,MATCH(K2145,Setup!$B$33:$B$40,0)),0)=1)*(COUNTIF(K2108:M2125,$B2145)+COUNTIF(K2108:M2125,$B2145&amp;" ~*")&gt;0)+(IFERROR(INDEX(Setup!$G$33:$G$40,MATCH(O2145,Setup!$B$33:$B$40,0)),0)=1)*(COUNTIF(O2108:Q2125,$B2145)+COUNTIF(O2108:Q2125,$B2145&amp;" ~*")&gt;0)+(IFERROR(INDEX(Setup!$G$33:$G$40,MATCH(S2145,Setup!$B$33:$B$40,0)),0)=1)*(COUNTIF(S2108:U2125,$B2145)+COUNTIF(S2108:U2125,$B2145&amp;" ~*")&gt;0)+(IFERROR(INDEX(Setup!$G$33:$G$40,MATCH(W2145,Setup!$B$33:$B$40,0)),0)=1)*(COUNTIF(W2108:W2125,$B2145)+COUNTIF(W2108:W2125,$B2145&amp;" ~*")&gt;0)+(IFERROR(INDEX(Setup!$G$33:$G$40,MATCH(Y2145,Setup!$B$33:$B$40,0)),0)=1)*(COUNTIF(Y2108:Y2125,$B2145)+COUNTIF(Y2108:Y2125,$B2145&amp;" ~*")&gt;0))</f>
        <v/>
      </c>
    </row>
    <row r="2146" ht="15" customHeight="1">
      <c r="A2146" t="n">
        <v>43</v>
      </c>
      <c r="B2146" s="37">
        <f>IF(Setup!$B$25="","",Setup!$B$25)</f>
        <v/>
      </c>
      <c r="C2146" s="102" t="n"/>
      <c r="D2146" s="103" t="n"/>
      <c r="E2146" s="103" t="n"/>
      <c r="F2146" s="104" t="n"/>
      <c r="G2146" s="102" t="n"/>
      <c r="H2146" s="103" t="n"/>
      <c r="I2146" s="103" t="n"/>
      <c r="J2146" s="104" t="n"/>
      <c r="K2146" s="102" t="n"/>
      <c r="L2146" s="103" t="n"/>
      <c r="M2146" s="103" t="n"/>
      <c r="N2146" s="104" t="n"/>
      <c r="O2146" s="102" t="n"/>
      <c r="P2146" s="103" t="n"/>
      <c r="Q2146" s="103" t="n"/>
      <c r="R2146" s="104" t="n"/>
      <c r="S2146" s="102" t="n"/>
      <c r="T2146" s="103" t="n"/>
      <c r="U2146" s="103" t="n"/>
      <c r="V2146" s="104" t="n"/>
      <c r="W2146" s="102" t="n"/>
      <c r="X2146" s="104" t="n"/>
      <c r="Y2146" s="102" t="n"/>
      <c r="Z2146" s="104" t="n"/>
      <c r="AB2146" s="105">
        <f>IF($B2146="","",(COUNTIF(C2108:E2125,$B2146)+COUNTIF(C2108:E2125,$B2146&amp;" ~*")&gt;0)+(COUNTIF(G2108:I2125,$B2146)+COUNTIF(G2108:I2125,$B2146&amp;" ~*")&gt;0)+(COUNTIF(K2108:M2125,$B2146)+COUNTIF(K2108:M2125,$B2146&amp;" ~*")&gt;0)+(COUNTIF(O2108:Q2125,$B2146)+COUNTIF(O2108:Q2125,$B2146&amp;" ~*")&gt;0)+(COUNTIF(S2108:U2125,$B2146)+COUNTIF(S2108:U2125,$B2146&amp;" ~*")&gt;0)+(COUNTIF(W2108:W2125,$B2146)+COUNTIF(W2108:W2125,$B2146&amp;" ~*")&gt;0)+(COUNTIF(Y2108:Y2125,$B2146)+COUNTIF(Y2108:Y2125,$B2146&amp;" ~*")&gt;0))</f>
        <v/>
      </c>
      <c r="AC2146" s="38">
        <f>IF($B2146="","",(IFERROR(INDEX(Setup!$G$33:$G$40,MATCH(C2146,Setup!$B$33:$B$40,0)),0)=1)*(COUNTIF(C2108:E2125,$B2146)+COUNTIF(C2108:E2125,$B2146&amp;" ~*")&gt;0)+(IFERROR(INDEX(Setup!$G$33:$G$40,MATCH(G2146,Setup!$B$33:$B$40,0)),0)=1)*(COUNTIF(G2108:I2125,$B2146)+COUNTIF(G2108:I2125,$B2146&amp;" ~*")&gt;0)+(IFERROR(INDEX(Setup!$G$33:$G$40,MATCH(K2146,Setup!$B$33:$B$40,0)),0)=1)*(COUNTIF(K2108:M2125,$B2146)+COUNTIF(K2108:M2125,$B2146&amp;" ~*")&gt;0)+(IFERROR(INDEX(Setup!$G$33:$G$40,MATCH(O2146,Setup!$B$33:$B$40,0)),0)=1)*(COUNTIF(O2108:Q2125,$B2146)+COUNTIF(O2108:Q2125,$B2146&amp;" ~*")&gt;0)+(IFERROR(INDEX(Setup!$G$33:$G$40,MATCH(S2146,Setup!$B$33:$B$40,0)),0)=1)*(COUNTIF(S2108:U2125,$B2146)+COUNTIF(S2108:U2125,$B2146&amp;" ~*")&gt;0)+(IFERROR(INDEX(Setup!$G$33:$G$40,MATCH(W2146,Setup!$B$33:$B$40,0)),0)=1)*(COUNTIF(W2108:W2125,$B2146)+COUNTIF(W2108:W2125,$B2146&amp;" ~*")&gt;0)+(IFERROR(INDEX(Setup!$G$33:$G$40,MATCH(Y2146,Setup!$B$33:$B$40,0)),0)=1)*(COUNTIF(Y2108:Y2125,$B2146)+COUNTIF(Y2108:Y2125,$B2146&amp;" ~*")&gt;0))</f>
        <v/>
      </c>
    </row>
    <row r="2147" ht="15" customHeight="1">
      <c r="A2147" t="n">
        <v>43</v>
      </c>
      <c r="B2147" s="35">
        <f>IF(Setup!$B$26="","",Setup!$B$26)</f>
        <v/>
      </c>
      <c r="C2147" s="98" t="n"/>
      <c r="D2147" s="99" t="n"/>
      <c r="E2147" s="99" t="n"/>
      <c r="F2147" s="100" t="n"/>
      <c r="G2147" s="98" t="n"/>
      <c r="H2147" s="99" t="n"/>
      <c r="I2147" s="99" t="n"/>
      <c r="J2147" s="100" t="n"/>
      <c r="K2147" s="98" t="n"/>
      <c r="L2147" s="99" t="n"/>
      <c r="M2147" s="99" t="n"/>
      <c r="N2147" s="100" t="n"/>
      <c r="O2147" s="98" t="n"/>
      <c r="P2147" s="99" t="n"/>
      <c r="Q2147" s="99" t="n"/>
      <c r="R2147" s="100" t="n"/>
      <c r="S2147" s="98" t="n"/>
      <c r="T2147" s="99" t="n"/>
      <c r="U2147" s="99" t="n"/>
      <c r="V2147" s="100" t="n"/>
      <c r="W2147" s="98" t="n"/>
      <c r="X2147" s="100" t="n"/>
      <c r="Y2147" s="98" t="n"/>
      <c r="Z2147" s="100" t="n"/>
      <c r="AB2147" s="101">
        <f>IF($B2147="","",(COUNTIF(C2108:E2125,$B2147)+COUNTIF(C2108:E2125,$B2147&amp;" ~*")&gt;0)+(COUNTIF(G2108:I2125,$B2147)+COUNTIF(G2108:I2125,$B2147&amp;" ~*")&gt;0)+(COUNTIF(K2108:M2125,$B2147)+COUNTIF(K2108:M2125,$B2147&amp;" ~*")&gt;0)+(COUNTIF(O2108:Q2125,$B2147)+COUNTIF(O2108:Q2125,$B2147&amp;" ~*")&gt;0)+(COUNTIF(S2108:U2125,$B2147)+COUNTIF(S2108:U2125,$B2147&amp;" ~*")&gt;0)+(COUNTIF(W2108:W2125,$B2147)+COUNTIF(W2108:W2125,$B2147&amp;" ~*")&gt;0)+(COUNTIF(Y2108:Y2125,$B2147)+COUNTIF(Y2108:Y2125,$B2147&amp;" ~*")&gt;0))</f>
        <v/>
      </c>
      <c r="AC2147" s="36">
        <f>IF($B2147="","",(IFERROR(INDEX(Setup!$G$33:$G$40,MATCH(C2147,Setup!$B$33:$B$40,0)),0)=1)*(COUNTIF(C2108:E2125,$B2147)+COUNTIF(C2108:E2125,$B2147&amp;" ~*")&gt;0)+(IFERROR(INDEX(Setup!$G$33:$G$40,MATCH(G2147,Setup!$B$33:$B$40,0)),0)=1)*(COUNTIF(G2108:I2125,$B2147)+COUNTIF(G2108:I2125,$B2147&amp;" ~*")&gt;0)+(IFERROR(INDEX(Setup!$G$33:$G$40,MATCH(K2147,Setup!$B$33:$B$40,0)),0)=1)*(COUNTIF(K2108:M2125,$B2147)+COUNTIF(K2108:M2125,$B2147&amp;" ~*")&gt;0)+(IFERROR(INDEX(Setup!$G$33:$G$40,MATCH(O2147,Setup!$B$33:$B$40,0)),0)=1)*(COUNTIF(O2108:Q2125,$B2147)+COUNTIF(O2108:Q2125,$B2147&amp;" ~*")&gt;0)+(IFERROR(INDEX(Setup!$G$33:$G$40,MATCH(S2147,Setup!$B$33:$B$40,0)),0)=1)*(COUNTIF(S2108:U2125,$B2147)+COUNTIF(S2108:U2125,$B2147&amp;" ~*")&gt;0)+(IFERROR(INDEX(Setup!$G$33:$G$40,MATCH(W2147,Setup!$B$33:$B$40,0)),0)=1)*(COUNTIF(W2108:W2125,$B2147)+COUNTIF(W2108:W2125,$B2147&amp;" ~*")&gt;0)+(IFERROR(INDEX(Setup!$G$33:$G$40,MATCH(Y2147,Setup!$B$33:$B$40,0)),0)=1)*(COUNTIF(Y2108:Y2125,$B2147)+COUNTIF(Y2108:Y2125,$B2147&amp;" ~*")&gt;0))</f>
        <v/>
      </c>
    </row>
    <row r="2148" ht="15" customHeight="1">
      <c r="A2148" t="n">
        <v>43</v>
      </c>
      <c r="B2148" s="37">
        <f>IF(Setup!$B$27="","",Setup!$B$27)</f>
        <v/>
      </c>
      <c r="C2148" s="102" t="n"/>
      <c r="D2148" s="103" t="n"/>
      <c r="E2148" s="103" t="n"/>
      <c r="F2148" s="104" t="n"/>
      <c r="G2148" s="102" t="n"/>
      <c r="H2148" s="103" t="n"/>
      <c r="I2148" s="103" t="n"/>
      <c r="J2148" s="104" t="n"/>
      <c r="K2148" s="102" t="n"/>
      <c r="L2148" s="103" t="n"/>
      <c r="M2148" s="103" t="n"/>
      <c r="N2148" s="104" t="n"/>
      <c r="O2148" s="102" t="n"/>
      <c r="P2148" s="103" t="n"/>
      <c r="Q2148" s="103" t="n"/>
      <c r="R2148" s="104" t="n"/>
      <c r="S2148" s="102" t="n"/>
      <c r="T2148" s="103" t="n"/>
      <c r="U2148" s="103" t="n"/>
      <c r="V2148" s="104" t="n"/>
      <c r="W2148" s="102" t="n"/>
      <c r="X2148" s="104" t="n"/>
      <c r="Y2148" s="102" t="n"/>
      <c r="Z2148" s="104" t="n"/>
      <c r="AB2148" s="105">
        <f>IF($B2148="","",(COUNTIF(C2108:E2125,$B2148)+COUNTIF(C2108:E2125,$B2148&amp;" ~*")&gt;0)+(COUNTIF(G2108:I2125,$B2148)+COUNTIF(G2108:I2125,$B2148&amp;" ~*")&gt;0)+(COUNTIF(K2108:M2125,$B2148)+COUNTIF(K2108:M2125,$B2148&amp;" ~*")&gt;0)+(COUNTIF(O2108:Q2125,$B2148)+COUNTIF(O2108:Q2125,$B2148&amp;" ~*")&gt;0)+(COUNTIF(S2108:U2125,$B2148)+COUNTIF(S2108:U2125,$B2148&amp;" ~*")&gt;0)+(COUNTIF(W2108:W2125,$B2148)+COUNTIF(W2108:W2125,$B2148&amp;" ~*")&gt;0)+(COUNTIF(Y2108:Y2125,$B2148)+COUNTIF(Y2108:Y2125,$B2148&amp;" ~*")&gt;0))</f>
        <v/>
      </c>
      <c r="AC2148" s="38">
        <f>IF($B2148="","",(IFERROR(INDEX(Setup!$G$33:$G$40,MATCH(C2148,Setup!$B$33:$B$40,0)),0)=1)*(COUNTIF(C2108:E2125,$B2148)+COUNTIF(C2108:E2125,$B2148&amp;" ~*")&gt;0)+(IFERROR(INDEX(Setup!$G$33:$G$40,MATCH(G2148,Setup!$B$33:$B$40,0)),0)=1)*(COUNTIF(G2108:I2125,$B2148)+COUNTIF(G2108:I2125,$B2148&amp;" ~*")&gt;0)+(IFERROR(INDEX(Setup!$G$33:$G$40,MATCH(K2148,Setup!$B$33:$B$40,0)),0)=1)*(COUNTIF(K2108:M2125,$B2148)+COUNTIF(K2108:M2125,$B2148&amp;" ~*")&gt;0)+(IFERROR(INDEX(Setup!$G$33:$G$40,MATCH(O2148,Setup!$B$33:$B$40,0)),0)=1)*(COUNTIF(O2108:Q2125,$B2148)+COUNTIF(O2108:Q2125,$B2148&amp;" ~*")&gt;0)+(IFERROR(INDEX(Setup!$G$33:$G$40,MATCH(S2148,Setup!$B$33:$B$40,0)),0)=1)*(COUNTIF(S2108:U2125,$B2148)+COUNTIF(S2108:U2125,$B2148&amp;" ~*")&gt;0)+(IFERROR(INDEX(Setup!$G$33:$G$40,MATCH(W2148,Setup!$B$33:$B$40,0)),0)=1)*(COUNTIF(W2108:W2125,$B2148)+COUNTIF(W2108:W2125,$B2148&amp;" ~*")&gt;0)+(IFERROR(INDEX(Setup!$G$33:$G$40,MATCH(Y2148,Setup!$B$33:$B$40,0)),0)=1)*(COUNTIF(Y2108:Y2125,$B2148)+COUNTIF(Y2108:Y2125,$B2148&amp;" ~*")&gt;0))</f>
        <v/>
      </c>
    </row>
    <row r="2149" ht="15" customHeight="1">
      <c r="A2149" t="n">
        <v>43</v>
      </c>
      <c r="B2149" s="35">
        <f>IF(Setup!$B$28="","",Setup!$B$28)</f>
        <v/>
      </c>
      <c r="C2149" s="98" t="n"/>
      <c r="D2149" s="99" t="n"/>
      <c r="E2149" s="99" t="n"/>
      <c r="F2149" s="100" t="n"/>
      <c r="G2149" s="98" t="n"/>
      <c r="H2149" s="99" t="n"/>
      <c r="I2149" s="99" t="n"/>
      <c r="J2149" s="100" t="n"/>
      <c r="K2149" s="98" t="n"/>
      <c r="L2149" s="99" t="n"/>
      <c r="M2149" s="99" t="n"/>
      <c r="N2149" s="100" t="n"/>
      <c r="O2149" s="98" t="n"/>
      <c r="P2149" s="99" t="n"/>
      <c r="Q2149" s="99" t="n"/>
      <c r="R2149" s="100" t="n"/>
      <c r="S2149" s="98" t="n"/>
      <c r="T2149" s="99" t="n"/>
      <c r="U2149" s="99" t="n"/>
      <c r="V2149" s="100" t="n"/>
      <c r="W2149" s="98" t="n"/>
      <c r="X2149" s="100" t="n"/>
      <c r="Y2149" s="98" t="n"/>
      <c r="Z2149" s="100" t="n"/>
      <c r="AB2149" s="101">
        <f>IF($B2149="","",(COUNTIF(C2108:E2125,$B2149)+COUNTIF(C2108:E2125,$B2149&amp;" ~*")&gt;0)+(COUNTIF(G2108:I2125,$B2149)+COUNTIF(G2108:I2125,$B2149&amp;" ~*")&gt;0)+(COUNTIF(K2108:M2125,$B2149)+COUNTIF(K2108:M2125,$B2149&amp;" ~*")&gt;0)+(COUNTIF(O2108:Q2125,$B2149)+COUNTIF(O2108:Q2125,$B2149&amp;" ~*")&gt;0)+(COUNTIF(S2108:U2125,$B2149)+COUNTIF(S2108:U2125,$B2149&amp;" ~*")&gt;0)+(COUNTIF(W2108:W2125,$B2149)+COUNTIF(W2108:W2125,$B2149&amp;" ~*")&gt;0)+(COUNTIF(Y2108:Y2125,$B2149)+COUNTIF(Y2108:Y2125,$B2149&amp;" ~*")&gt;0))</f>
        <v/>
      </c>
      <c r="AC2149" s="36">
        <f>IF($B2149="","",(IFERROR(INDEX(Setup!$G$33:$G$40,MATCH(C2149,Setup!$B$33:$B$40,0)),0)=1)*(COUNTIF(C2108:E2125,$B2149)+COUNTIF(C2108:E2125,$B2149&amp;" ~*")&gt;0)+(IFERROR(INDEX(Setup!$G$33:$G$40,MATCH(G2149,Setup!$B$33:$B$40,0)),0)=1)*(COUNTIF(G2108:I2125,$B2149)+COUNTIF(G2108:I2125,$B2149&amp;" ~*")&gt;0)+(IFERROR(INDEX(Setup!$G$33:$G$40,MATCH(K2149,Setup!$B$33:$B$40,0)),0)=1)*(COUNTIF(K2108:M2125,$B2149)+COUNTIF(K2108:M2125,$B2149&amp;" ~*")&gt;0)+(IFERROR(INDEX(Setup!$G$33:$G$40,MATCH(O2149,Setup!$B$33:$B$40,0)),0)=1)*(COUNTIF(O2108:Q2125,$B2149)+COUNTIF(O2108:Q2125,$B2149&amp;" ~*")&gt;0)+(IFERROR(INDEX(Setup!$G$33:$G$40,MATCH(S2149,Setup!$B$33:$B$40,0)),0)=1)*(COUNTIF(S2108:U2125,$B2149)+COUNTIF(S2108:U2125,$B2149&amp;" ~*")&gt;0)+(IFERROR(INDEX(Setup!$G$33:$G$40,MATCH(W2149,Setup!$B$33:$B$40,0)),0)=1)*(COUNTIF(W2108:W2125,$B2149)+COUNTIF(W2108:W2125,$B2149&amp;" ~*")&gt;0)+(IFERROR(INDEX(Setup!$G$33:$G$40,MATCH(Y2149,Setup!$B$33:$B$40,0)),0)=1)*(COUNTIF(Y2108:Y2125,$B2149)+COUNTIF(Y2108:Y2125,$B2149&amp;" ~*")&gt;0))</f>
        <v/>
      </c>
    </row>
    <row r="2150" ht="15" customHeight="1">
      <c r="A2150" t="n">
        <v>43</v>
      </c>
      <c r="B2150" s="37">
        <f>IF(Setup!$B$29="","",Setup!$B$29)</f>
        <v/>
      </c>
      <c r="C2150" s="102" t="n"/>
      <c r="D2150" s="103" t="n"/>
      <c r="E2150" s="103" t="n"/>
      <c r="F2150" s="104" t="n"/>
      <c r="G2150" s="102" t="n"/>
      <c r="H2150" s="103" t="n"/>
      <c r="I2150" s="103" t="n"/>
      <c r="J2150" s="104" t="n"/>
      <c r="K2150" s="102" t="n"/>
      <c r="L2150" s="103" t="n"/>
      <c r="M2150" s="103" t="n"/>
      <c r="N2150" s="104" t="n"/>
      <c r="O2150" s="102" t="n"/>
      <c r="P2150" s="103" t="n"/>
      <c r="Q2150" s="103" t="n"/>
      <c r="R2150" s="104" t="n"/>
      <c r="S2150" s="102" t="n"/>
      <c r="T2150" s="103" t="n"/>
      <c r="U2150" s="103" t="n"/>
      <c r="V2150" s="104" t="n"/>
      <c r="W2150" s="102" t="n"/>
      <c r="X2150" s="104" t="n"/>
      <c r="Y2150" s="102" t="n"/>
      <c r="Z2150" s="104" t="n"/>
      <c r="AB2150" s="105">
        <f>IF($B2150="","",(COUNTIF(C2108:E2125,$B2150)+COUNTIF(C2108:E2125,$B2150&amp;" ~*")&gt;0)+(COUNTIF(G2108:I2125,$B2150)+COUNTIF(G2108:I2125,$B2150&amp;" ~*")&gt;0)+(COUNTIF(K2108:M2125,$B2150)+COUNTIF(K2108:M2125,$B2150&amp;" ~*")&gt;0)+(COUNTIF(O2108:Q2125,$B2150)+COUNTIF(O2108:Q2125,$B2150&amp;" ~*")&gt;0)+(COUNTIF(S2108:U2125,$B2150)+COUNTIF(S2108:U2125,$B2150&amp;" ~*")&gt;0)+(COUNTIF(W2108:W2125,$B2150)+COUNTIF(W2108:W2125,$B2150&amp;" ~*")&gt;0)+(COUNTIF(Y2108:Y2125,$B2150)+COUNTIF(Y2108:Y2125,$B2150&amp;" ~*")&gt;0))</f>
        <v/>
      </c>
      <c r="AC2150" s="38">
        <f>IF($B2150="","",(IFERROR(INDEX(Setup!$G$33:$G$40,MATCH(C2150,Setup!$B$33:$B$40,0)),0)=1)*(COUNTIF(C2108:E2125,$B2150)+COUNTIF(C2108:E2125,$B2150&amp;" ~*")&gt;0)+(IFERROR(INDEX(Setup!$G$33:$G$40,MATCH(G2150,Setup!$B$33:$B$40,0)),0)=1)*(COUNTIF(G2108:I2125,$B2150)+COUNTIF(G2108:I2125,$B2150&amp;" ~*")&gt;0)+(IFERROR(INDEX(Setup!$G$33:$G$40,MATCH(K2150,Setup!$B$33:$B$40,0)),0)=1)*(COUNTIF(K2108:M2125,$B2150)+COUNTIF(K2108:M2125,$B2150&amp;" ~*")&gt;0)+(IFERROR(INDEX(Setup!$G$33:$G$40,MATCH(O2150,Setup!$B$33:$B$40,0)),0)=1)*(COUNTIF(O2108:Q2125,$B2150)+COUNTIF(O2108:Q2125,$B2150&amp;" ~*")&gt;0)+(IFERROR(INDEX(Setup!$G$33:$G$40,MATCH(S2150,Setup!$B$33:$B$40,0)),0)=1)*(COUNTIF(S2108:U2125,$B2150)+COUNTIF(S2108:U2125,$B2150&amp;" ~*")&gt;0)+(IFERROR(INDEX(Setup!$G$33:$G$40,MATCH(W2150,Setup!$B$33:$B$40,0)),0)=1)*(COUNTIF(W2108:W2125,$B2150)+COUNTIF(W2108:W2125,$B2150&amp;" ~*")&gt;0)+(IFERROR(INDEX(Setup!$G$33:$G$40,MATCH(Y2150,Setup!$B$33:$B$40,0)),0)=1)*(COUNTIF(Y2108:Y2125,$B2150)+COUNTIF(Y2108:Y2125,$B2150&amp;" ~*")&gt;0))</f>
        <v/>
      </c>
    </row>
    <row r="2151" ht="16" customHeight="1">
      <c r="A2151" t="n">
        <v>43</v>
      </c>
      <c r="B2151" s="106" t="inlineStr">
        <is>
          <t>Available people</t>
        </is>
      </c>
      <c r="C2151" s="107">
        <f>COUNTIFS(Setup!$E$6:$E$29,"Y",Setup!$B$6:$B$29,"?*")-SUMPRODUCT(COUNTIF(C2127:C2150,Setup!$F$33:$F$40))</f>
        <v/>
      </c>
      <c r="D2151" s="107" t="n"/>
      <c r="E2151" s="107" t="n"/>
      <c r="F2151" s="107" t="n"/>
      <c r="G2151" s="107">
        <f>COUNTIFS(Setup!$E$6:$E$29,"Y",Setup!$B$6:$B$29,"?*")-SUMPRODUCT(COUNTIF(G2127:G2150,Setup!$F$33:$F$40))</f>
        <v/>
      </c>
      <c r="H2151" s="107" t="n"/>
      <c r="I2151" s="107" t="n"/>
      <c r="J2151" s="107" t="n"/>
      <c r="K2151" s="107">
        <f>COUNTIFS(Setup!$E$6:$E$29,"Y",Setup!$B$6:$B$29,"?*")-SUMPRODUCT(COUNTIF(K2127:K2150,Setup!$F$33:$F$40))</f>
        <v/>
      </c>
      <c r="L2151" s="107" t="n"/>
      <c r="M2151" s="107" t="n"/>
      <c r="N2151" s="107" t="n"/>
      <c r="O2151" s="107">
        <f>COUNTIFS(Setup!$E$6:$E$29,"Y",Setup!$B$6:$B$29,"?*")-SUMPRODUCT(COUNTIF(O2127:O2150,Setup!$F$33:$F$40))</f>
        <v/>
      </c>
      <c r="P2151" s="107" t="n"/>
      <c r="Q2151" s="107" t="n"/>
      <c r="R2151" s="107" t="n"/>
      <c r="S2151" s="107">
        <f>COUNTIFS(Setup!$E$6:$E$29,"Y",Setup!$B$6:$B$29,"?*")-SUMPRODUCT(COUNTIF(S2127:S2150,Setup!$F$33:$F$40))</f>
        <v/>
      </c>
      <c r="T2151" s="107" t="n"/>
      <c r="U2151" s="107" t="n"/>
      <c r="V2151" s="107" t="n"/>
      <c r="W2151" s="107">
        <f>COUNTIFS(Setup!$E$6:$E$29,"Y",Setup!$B$6:$B$29,"?*")-SUMPRODUCT(COUNTIF(W2127:W2150,Setup!$F$33:$F$40))</f>
        <v/>
      </c>
      <c r="X2151" s="107" t="n"/>
      <c r="Y2151" s="107">
        <f>COUNTIFS(Setup!$E$6:$E$29,"Y",Setup!$B$6:$B$29,"?*")-SUMPRODUCT(COUNTIF(Y2127:Y2150,Setup!$F$33:$F$40))</f>
        <v/>
      </c>
      <c r="Z2151" s="107" t="n"/>
      <c r="AB2151" s="108">
        <f>SUM(AB2127:AB2150)</f>
        <v/>
      </c>
      <c r="AC2151" s="109">
        <f>SUM(AC2127:AC2150)</f>
        <v/>
      </c>
    </row>
    <row r="2152" ht="30" customHeight="1">
      <c r="A2152" t="n">
        <v>43</v>
      </c>
      <c r="B2152" s="110" t="inlineStr">
        <is>
          <t>Week notes</t>
        </is>
      </c>
      <c r="C2152" s="111" t="n"/>
      <c r="D2152" s="112" t="n"/>
      <c r="E2152" s="112" t="n"/>
      <c r="F2152" s="112" t="n"/>
      <c r="G2152" s="112" t="n"/>
      <c r="H2152" s="112" t="n"/>
      <c r="I2152" s="112" t="n"/>
      <c r="J2152" s="112" t="n"/>
      <c r="K2152" s="112" t="n"/>
      <c r="L2152" s="112" t="n"/>
      <c r="M2152" s="112" t="n"/>
      <c r="N2152" s="112" t="n"/>
      <c r="O2152" s="112" t="n"/>
      <c r="P2152" s="112" t="n"/>
      <c r="Q2152" s="112" t="n"/>
      <c r="R2152" s="112" t="n"/>
      <c r="S2152" s="112" t="n"/>
      <c r="T2152" s="112" t="n"/>
      <c r="U2152" s="112" t="n"/>
      <c r="V2152" s="112" t="n"/>
      <c r="W2152" s="112" t="n"/>
      <c r="X2152" s="112" t="n"/>
      <c r="Y2152" s="112" t="n"/>
      <c r="Z2152" s="113" t="n"/>
    </row>
    <row r="2153" ht="8" customHeight="1">
      <c r="A2153" t="n">
        <v>43</v>
      </c>
    </row>
    <row r="2154" ht="8" customHeight="1">
      <c r="A2154" t="n">
        <v>43</v>
      </c>
    </row>
    <row r="2155" ht="24" customHeight="1">
      <c r="A2155" t="n">
        <v>44</v>
      </c>
      <c r="B2155" s="73">
        <f>"WEEK 44     "&amp;TEXT(C2156,"ddd d mmm")&amp;"  –  "&amp;TEXT(C2156+6,"ddd d mmm yyyy")</f>
        <v/>
      </c>
      <c r="S2155" s="74">
        <f>IF(TODAY()&lt;C2156,"FUTURE",IF(TODAY()&gt;C2156+6,"PAST","THIS WEEK"))</f>
        <v/>
      </c>
      <c r="W2155" s="75">
        <f>IF(AND(Engine!$B$8=$AC$3,Engine!$B$9=$A2155),"◀ ACTIVE WEEK","")</f>
        <v/>
      </c>
      <c r="AA2155" s="76" t="n"/>
      <c r="AB2155" s="77" t="inlineStr">
        <is>
          <t>◀ Prev</t>
        </is>
      </c>
      <c r="AC2155" s="77" t="inlineStr">
        <is>
          <t>Next ▶</t>
        </is>
      </c>
    </row>
    <row r="2156" ht="18" customHeight="1">
      <c r="A2156" t="n">
        <v>44</v>
      </c>
      <c r="B2156" s="78" t="inlineStr">
        <is>
          <t>DUTY</t>
        </is>
      </c>
      <c r="C2156" s="79">
        <f>$AC$2+7*($A2156-1)</f>
        <v/>
      </c>
      <c r="D2156" s="80" t="n"/>
      <c r="E2156" s="80" t="n"/>
      <c r="F2156" s="81" t="n"/>
      <c r="G2156" s="79">
        <f>C2156+1</f>
        <v/>
      </c>
      <c r="H2156" s="80" t="n"/>
      <c r="I2156" s="80" t="n"/>
      <c r="J2156" s="81" t="n"/>
      <c r="K2156" s="79">
        <f>C2156+2</f>
        <v/>
      </c>
      <c r="L2156" s="80" t="n"/>
      <c r="M2156" s="80" t="n"/>
      <c r="N2156" s="81" t="n"/>
      <c r="O2156" s="79">
        <f>C2156+3</f>
        <v/>
      </c>
      <c r="P2156" s="80" t="n"/>
      <c r="Q2156" s="80" t="n"/>
      <c r="R2156" s="81" t="n"/>
      <c r="S2156" s="79">
        <f>C2156+4</f>
        <v/>
      </c>
      <c r="T2156" s="80" t="n"/>
      <c r="U2156" s="80" t="n"/>
      <c r="V2156" s="81" t="n"/>
      <c r="W2156" s="82">
        <f>C2156+5</f>
        <v/>
      </c>
      <c r="X2156" s="83" t="n"/>
      <c r="Y2156" s="82">
        <f>C2156+6</f>
        <v/>
      </c>
      <c r="Z2156" s="83" t="n"/>
      <c r="AB2156" s="72" t="inlineStr">
        <is>
          <t>Gaps</t>
        </is>
      </c>
      <c r="AC2156" s="72" t="inlineStr">
        <is>
          <t>Cover</t>
        </is>
      </c>
    </row>
    <row r="2157" ht="14" customHeight="1">
      <c r="A2157" t="n">
        <v>44</v>
      </c>
      <c r="B2157" s="84" t="inlineStr">
        <is>
          <t>(from Setup)</t>
        </is>
      </c>
      <c r="C2157" s="85" t="inlineStr">
        <is>
          <t>1</t>
        </is>
      </c>
      <c r="D2157" s="85" t="inlineStr">
        <is>
          <t>2</t>
        </is>
      </c>
      <c r="E2157" s="85" t="inlineStr">
        <is>
          <t>3</t>
        </is>
      </c>
      <c r="F2157" s="85" t="inlineStr">
        <is>
          <t>Notes</t>
        </is>
      </c>
      <c r="G2157" s="85" t="inlineStr">
        <is>
          <t>1</t>
        </is>
      </c>
      <c r="H2157" s="85" t="inlineStr">
        <is>
          <t>2</t>
        </is>
      </c>
      <c r="I2157" s="85" t="inlineStr">
        <is>
          <t>3</t>
        </is>
      </c>
      <c r="J2157" s="85" t="inlineStr">
        <is>
          <t>Notes</t>
        </is>
      </c>
      <c r="K2157" s="85" t="inlineStr">
        <is>
          <t>1</t>
        </is>
      </c>
      <c r="L2157" s="85" t="inlineStr">
        <is>
          <t>2</t>
        </is>
      </c>
      <c r="M2157" s="85" t="inlineStr">
        <is>
          <t>3</t>
        </is>
      </c>
      <c r="N2157" s="85" t="inlineStr">
        <is>
          <t>Notes</t>
        </is>
      </c>
      <c r="O2157" s="85" t="inlineStr">
        <is>
          <t>1</t>
        </is>
      </c>
      <c r="P2157" s="85" t="inlineStr">
        <is>
          <t>2</t>
        </is>
      </c>
      <c r="Q2157" s="85" t="inlineStr">
        <is>
          <t>3</t>
        </is>
      </c>
      <c r="R2157" s="85" t="inlineStr">
        <is>
          <t>Notes</t>
        </is>
      </c>
      <c r="S2157" s="85" t="inlineStr">
        <is>
          <t>1</t>
        </is>
      </c>
      <c r="T2157" s="85" t="inlineStr">
        <is>
          <t>2</t>
        </is>
      </c>
      <c r="U2157" s="85" t="inlineStr">
        <is>
          <t>3</t>
        </is>
      </c>
      <c r="V2157" s="85" t="inlineStr">
        <is>
          <t>Notes</t>
        </is>
      </c>
      <c r="W2157" s="85" t="inlineStr">
        <is>
          <t>Cover</t>
        </is>
      </c>
      <c r="X2157" s="85" t="inlineStr">
        <is>
          <t>Notes</t>
        </is>
      </c>
      <c r="Y2157" s="85" t="inlineStr">
        <is>
          <t>Cover</t>
        </is>
      </c>
      <c r="Z2157" s="85" t="inlineStr">
        <is>
          <t>Notes</t>
        </is>
      </c>
      <c r="AB2157" s="86" t="inlineStr">
        <is>
          <t>weekdays short</t>
        </is>
      </c>
      <c r="AC2157" s="87" t="inlineStr"/>
    </row>
    <row r="2158" ht="17" customHeight="1">
      <c r="A2158" t="n">
        <v>44</v>
      </c>
      <c r="B2158" s="24">
        <f>IF(Setup!$K$6="","",Setup!$K$6)</f>
        <v/>
      </c>
      <c r="C2158" s="88" t="n"/>
      <c r="D2158" s="88" t="n"/>
      <c r="E2158" s="88" t="n"/>
      <c r="F2158" s="89" t="n"/>
      <c r="G2158" s="88" t="n"/>
      <c r="H2158" s="88" t="n"/>
      <c r="I2158" s="88" t="n"/>
      <c r="J2158" s="89" t="n"/>
      <c r="K2158" s="88" t="n"/>
      <c r="L2158" s="88" t="n"/>
      <c r="M2158" s="88" t="n"/>
      <c r="N2158" s="89" t="n"/>
      <c r="O2158" s="88" t="n"/>
      <c r="P2158" s="88" t="n"/>
      <c r="Q2158" s="88" t="n"/>
      <c r="R2158" s="89" t="n"/>
      <c r="S2158" s="88" t="n"/>
      <c r="T2158" s="88" t="n"/>
      <c r="U2158" s="88" t="n"/>
      <c r="V2158" s="89" t="n"/>
      <c r="W2158" s="88" t="n"/>
      <c r="X2158" s="89" t="n"/>
      <c r="Y2158" s="88" t="n"/>
      <c r="Z2158" s="89" t="n"/>
      <c r="AB2158" s="25">
        <f>IF($B2158="","",(COUNTIF(C2158:E2158,"?*")&lt;N(INDEX(Setup!$L$6:$L$23,1)))+(COUNTIF(G2158:I2158,"?*")&lt;N(INDEX(Setup!$L$6:$L$23,1)))+(COUNTIF(K2158:M2158,"?*")&lt;N(INDEX(Setup!$L$6:$L$23,1)))+(COUNTIF(O2158:Q2158,"?*")&lt;N(INDEX(Setup!$L$6:$L$23,1)))+(COUNTIF(S2158:U2158,"?*")&lt;N(INDEX(Setup!$L$6:$L$23,1)))+((W2158="")*(INDEX(Setup!$M$6:$M$23,1)="Y"))+((Y2158="")*(INDEX(Setup!$M$6:$M$23,1)="Y")))</f>
        <v/>
      </c>
      <c r="AC2158" s="90">
        <f>IF($B2158="","",IF(AB2158=0,"✓ covered","⚠ "&amp;AB2158&amp;IF(AB2158=1," gap"," gaps")))</f>
        <v/>
      </c>
    </row>
    <row r="2159" ht="17" customHeight="1">
      <c r="A2159" t="n">
        <v>44</v>
      </c>
      <c r="B2159" s="29">
        <f>IF(Setup!$K$7="","",Setup!$K$7)</f>
        <v/>
      </c>
      <c r="C2159" s="88" t="n"/>
      <c r="D2159" s="88" t="n"/>
      <c r="E2159" s="88" t="n"/>
      <c r="F2159" s="89" t="n"/>
      <c r="G2159" s="88" t="n"/>
      <c r="H2159" s="88" t="n"/>
      <c r="I2159" s="88" t="n"/>
      <c r="J2159" s="89" t="n"/>
      <c r="K2159" s="88" t="n"/>
      <c r="L2159" s="88" t="n"/>
      <c r="M2159" s="88" t="n"/>
      <c r="N2159" s="89" t="n"/>
      <c r="O2159" s="88" t="n"/>
      <c r="P2159" s="88" t="n"/>
      <c r="Q2159" s="88" t="n"/>
      <c r="R2159" s="89" t="n"/>
      <c r="S2159" s="88" t="n"/>
      <c r="T2159" s="88" t="n"/>
      <c r="U2159" s="88" t="n"/>
      <c r="V2159" s="89" t="n"/>
      <c r="W2159" s="88" t="n"/>
      <c r="X2159" s="89" t="n"/>
      <c r="Y2159" s="88" t="n"/>
      <c r="Z2159" s="89" t="n"/>
      <c r="AB2159" s="30">
        <f>IF($B2159="","",(COUNTIF(C2159:E2159,"?*")&lt;N(INDEX(Setup!$L$6:$L$23,2)))+(COUNTIF(G2159:I2159,"?*")&lt;N(INDEX(Setup!$L$6:$L$23,2)))+(COUNTIF(K2159:M2159,"?*")&lt;N(INDEX(Setup!$L$6:$L$23,2)))+(COUNTIF(O2159:Q2159,"?*")&lt;N(INDEX(Setup!$L$6:$L$23,2)))+(COUNTIF(S2159:U2159,"?*")&lt;N(INDEX(Setup!$L$6:$L$23,2)))+((W2159="")*(INDEX(Setup!$M$6:$M$23,2)="Y"))+((Y2159="")*(INDEX(Setup!$M$6:$M$23,2)="Y")))</f>
        <v/>
      </c>
      <c r="AC2159" s="91">
        <f>IF($B2159="","",IF(AB2159=0,"✓ covered","⚠ "&amp;AB2159&amp;IF(AB2159=1," gap"," gaps")))</f>
        <v/>
      </c>
    </row>
    <row r="2160" ht="17" customHeight="1">
      <c r="A2160" t="n">
        <v>44</v>
      </c>
      <c r="B2160" s="24">
        <f>IF(Setup!$K$8="","",Setup!$K$8)</f>
        <v/>
      </c>
      <c r="C2160" s="88" t="n"/>
      <c r="D2160" s="88" t="n"/>
      <c r="E2160" s="88" t="n"/>
      <c r="F2160" s="89" t="n"/>
      <c r="G2160" s="88" t="n"/>
      <c r="H2160" s="88" t="n"/>
      <c r="I2160" s="88" t="n"/>
      <c r="J2160" s="89" t="n"/>
      <c r="K2160" s="88" t="n"/>
      <c r="L2160" s="88" t="n"/>
      <c r="M2160" s="88" t="n"/>
      <c r="N2160" s="89" t="n"/>
      <c r="O2160" s="88" t="n"/>
      <c r="P2160" s="88" t="n"/>
      <c r="Q2160" s="88" t="n"/>
      <c r="R2160" s="89" t="n"/>
      <c r="S2160" s="88" t="n"/>
      <c r="T2160" s="88" t="n"/>
      <c r="U2160" s="88" t="n"/>
      <c r="V2160" s="89" t="n"/>
      <c r="W2160" s="88" t="n"/>
      <c r="X2160" s="89" t="n"/>
      <c r="Y2160" s="88" t="n"/>
      <c r="Z2160" s="89" t="n"/>
      <c r="AB2160" s="25">
        <f>IF($B2160="","",(COUNTIF(C2160:E2160,"?*")&lt;N(INDEX(Setup!$L$6:$L$23,3)))+(COUNTIF(G2160:I2160,"?*")&lt;N(INDEX(Setup!$L$6:$L$23,3)))+(COUNTIF(K2160:M2160,"?*")&lt;N(INDEX(Setup!$L$6:$L$23,3)))+(COUNTIF(O2160:Q2160,"?*")&lt;N(INDEX(Setup!$L$6:$L$23,3)))+(COUNTIF(S2160:U2160,"?*")&lt;N(INDEX(Setup!$L$6:$L$23,3)))+((W2160="")*(INDEX(Setup!$M$6:$M$23,3)="Y"))+((Y2160="")*(INDEX(Setup!$M$6:$M$23,3)="Y")))</f>
        <v/>
      </c>
      <c r="AC2160" s="90">
        <f>IF($B2160="","",IF(AB2160=0,"✓ covered","⚠ "&amp;AB2160&amp;IF(AB2160=1," gap"," gaps")))</f>
        <v/>
      </c>
    </row>
    <row r="2161" ht="17" customHeight="1">
      <c r="A2161" t="n">
        <v>44</v>
      </c>
      <c r="B2161" s="29">
        <f>IF(Setup!$K$9="","",Setup!$K$9)</f>
        <v/>
      </c>
      <c r="C2161" s="88" t="n"/>
      <c r="D2161" s="88" t="n"/>
      <c r="E2161" s="88" t="n"/>
      <c r="F2161" s="89" t="n"/>
      <c r="G2161" s="88" t="n"/>
      <c r="H2161" s="88" t="n"/>
      <c r="I2161" s="88" t="n"/>
      <c r="J2161" s="89" t="n"/>
      <c r="K2161" s="88" t="n"/>
      <c r="L2161" s="88" t="n"/>
      <c r="M2161" s="88" t="n"/>
      <c r="N2161" s="89" t="n"/>
      <c r="O2161" s="88" t="n"/>
      <c r="P2161" s="88" t="n"/>
      <c r="Q2161" s="88" t="n"/>
      <c r="R2161" s="89" t="n"/>
      <c r="S2161" s="88" t="n"/>
      <c r="T2161" s="88" t="n"/>
      <c r="U2161" s="88" t="n"/>
      <c r="V2161" s="89" t="n"/>
      <c r="W2161" s="88" t="n"/>
      <c r="X2161" s="89" t="n"/>
      <c r="Y2161" s="88" t="n"/>
      <c r="Z2161" s="89" t="n"/>
      <c r="AB2161" s="30">
        <f>IF($B2161="","",(COUNTIF(C2161:E2161,"?*")&lt;N(INDEX(Setup!$L$6:$L$23,4)))+(COUNTIF(G2161:I2161,"?*")&lt;N(INDEX(Setup!$L$6:$L$23,4)))+(COUNTIF(K2161:M2161,"?*")&lt;N(INDEX(Setup!$L$6:$L$23,4)))+(COUNTIF(O2161:Q2161,"?*")&lt;N(INDEX(Setup!$L$6:$L$23,4)))+(COUNTIF(S2161:U2161,"?*")&lt;N(INDEX(Setup!$L$6:$L$23,4)))+((W2161="")*(INDEX(Setup!$M$6:$M$23,4)="Y"))+((Y2161="")*(INDEX(Setup!$M$6:$M$23,4)="Y")))</f>
        <v/>
      </c>
      <c r="AC2161" s="91">
        <f>IF($B2161="","",IF(AB2161=0,"✓ covered","⚠ "&amp;AB2161&amp;IF(AB2161=1," gap"," gaps")))</f>
        <v/>
      </c>
    </row>
    <row r="2162" ht="17" customHeight="1">
      <c r="A2162" t="n">
        <v>44</v>
      </c>
      <c r="B2162" s="24">
        <f>IF(Setup!$K$10="","",Setup!$K$10)</f>
        <v/>
      </c>
      <c r="C2162" s="88" t="n"/>
      <c r="D2162" s="88" t="n"/>
      <c r="E2162" s="88" t="n"/>
      <c r="F2162" s="89" t="n"/>
      <c r="G2162" s="88" t="n"/>
      <c r="H2162" s="88" t="n"/>
      <c r="I2162" s="88" t="n"/>
      <c r="J2162" s="89" t="n"/>
      <c r="K2162" s="88" t="n"/>
      <c r="L2162" s="88" t="n"/>
      <c r="M2162" s="88" t="n"/>
      <c r="N2162" s="89" t="n"/>
      <c r="O2162" s="88" t="n"/>
      <c r="P2162" s="88" t="n"/>
      <c r="Q2162" s="88" t="n"/>
      <c r="R2162" s="89" t="n"/>
      <c r="S2162" s="88" t="n"/>
      <c r="T2162" s="88" t="n"/>
      <c r="U2162" s="88" t="n"/>
      <c r="V2162" s="89" t="n"/>
      <c r="W2162" s="88" t="n"/>
      <c r="X2162" s="89" t="n"/>
      <c r="Y2162" s="88" t="n"/>
      <c r="Z2162" s="89" t="n"/>
      <c r="AB2162" s="25">
        <f>IF($B2162="","",(COUNTIF(C2162:E2162,"?*")&lt;N(INDEX(Setup!$L$6:$L$23,5)))+(COUNTIF(G2162:I2162,"?*")&lt;N(INDEX(Setup!$L$6:$L$23,5)))+(COUNTIF(K2162:M2162,"?*")&lt;N(INDEX(Setup!$L$6:$L$23,5)))+(COUNTIF(O2162:Q2162,"?*")&lt;N(INDEX(Setup!$L$6:$L$23,5)))+(COUNTIF(S2162:U2162,"?*")&lt;N(INDEX(Setup!$L$6:$L$23,5)))+((W2162="")*(INDEX(Setup!$M$6:$M$23,5)="Y"))+((Y2162="")*(INDEX(Setup!$M$6:$M$23,5)="Y")))</f>
        <v/>
      </c>
      <c r="AC2162" s="90">
        <f>IF($B2162="","",IF(AB2162=0,"✓ covered","⚠ "&amp;AB2162&amp;IF(AB2162=1," gap"," gaps")))</f>
        <v/>
      </c>
    </row>
    <row r="2163" ht="17" customHeight="1">
      <c r="A2163" t="n">
        <v>44</v>
      </c>
      <c r="B2163" s="29">
        <f>IF(Setup!$K$11="","",Setup!$K$11)</f>
        <v/>
      </c>
      <c r="C2163" s="88" t="n"/>
      <c r="D2163" s="88" t="n"/>
      <c r="E2163" s="88" t="n"/>
      <c r="F2163" s="89" t="n"/>
      <c r="G2163" s="88" t="n"/>
      <c r="H2163" s="88" t="n"/>
      <c r="I2163" s="88" t="n"/>
      <c r="J2163" s="89" t="n"/>
      <c r="K2163" s="88" t="n"/>
      <c r="L2163" s="88" t="n"/>
      <c r="M2163" s="88" t="n"/>
      <c r="N2163" s="89" t="n"/>
      <c r="O2163" s="88" t="n"/>
      <c r="P2163" s="88" t="n"/>
      <c r="Q2163" s="88" t="n"/>
      <c r="R2163" s="89" t="n"/>
      <c r="S2163" s="88" t="n"/>
      <c r="T2163" s="88" t="n"/>
      <c r="U2163" s="88" t="n"/>
      <c r="V2163" s="89" t="n"/>
      <c r="W2163" s="88" t="n"/>
      <c r="X2163" s="89" t="n"/>
      <c r="Y2163" s="88" t="n"/>
      <c r="Z2163" s="89" t="n"/>
      <c r="AB2163" s="30">
        <f>IF($B2163="","",(COUNTIF(C2163:E2163,"?*")&lt;N(INDEX(Setup!$L$6:$L$23,6)))+(COUNTIF(G2163:I2163,"?*")&lt;N(INDEX(Setup!$L$6:$L$23,6)))+(COUNTIF(K2163:M2163,"?*")&lt;N(INDEX(Setup!$L$6:$L$23,6)))+(COUNTIF(O2163:Q2163,"?*")&lt;N(INDEX(Setup!$L$6:$L$23,6)))+(COUNTIF(S2163:U2163,"?*")&lt;N(INDEX(Setup!$L$6:$L$23,6)))+((W2163="")*(INDEX(Setup!$M$6:$M$23,6)="Y"))+((Y2163="")*(INDEX(Setup!$M$6:$M$23,6)="Y")))</f>
        <v/>
      </c>
      <c r="AC2163" s="91">
        <f>IF($B2163="","",IF(AB2163=0,"✓ covered","⚠ "&amp;AB2163&amp;IF(AB2163=1," gap"," gaps")))</f>
        <v/>
      </c>
    </row>
    <row r="2164" ht="17" customHeight="1">
      <c r="A2164" t="n">
        <v>44</v>
      </c>
      <c r="B2164" s="24">
        <f>IF(Setup!$K$12="","",Setup!$K$12)</f>
        <v/>
      </c>
      <c r="C2164" s="88" t="n"/>
      <c r="D2164" s="88" t="n"/>
      <c r="E2164" s="88" t="n"/>
      <c r="F2164" s="89" t="n"/>
      <c r="G2164" s="88" t="n"/>
      <c r="H2164" s="88" t="n"/>
      <c r="I2164" s="88" t="n"/>
      <c r="J2164" s="89" t="n"/>
      <c r="K2164" s="88" t="n"/>
      <c r="L2164" s="88" t="n"/>
      <c r="M2164" s="88" t="n"/>
      <c r="N2164" s="89" t="n"/>
      <c r="O2164" s="88" t="n"/>
      <c r="P2164" s="88" t="n"/>
      <c r="Q2164" s="88" t="n"/>
      <c r="R2164" s="89" t="n"/>
      <c r="S2164" s="88" t="n"/>
      <c r="T2164" s="88" t="n"/>
      <c r="U2164" s="88" t="n"/>
      <c r="V2164" s="89" t="n"/>
      <c r="W2164" s="88" t="n"/>
      <c r="X2164" s="89" t="n"/>
      <c r="Y2164" s="88" t="n"/>
      <c r="Z2164" s="89" t="n"/>
      <c r="AB2164" s="25">
        <f>IF($B2164="","",(COUNTIF(C2164:E2164,"?*")&lt;N(INDEX(Setup!$L$6:$L$23,7)))+(COUNTIF(G2164:I2164,"?*")&lt;N(INDEX(Setup!$L$6:$L$23,7)))+(COUNTIF(K2164:M2164,"?*")&lt;N(INDEX(Setup!$L$6:$L$23,7)))+(COUNTIF(O2164:Q2164,"?*")&lt;N(INDEX(Setup!$L$6:$L$23,7)))+(COUNTIF(S2164:U2164,"?*")&lt;N(INDEX(Setup!$L$6:$L$23,7)))+((W2164="")*(INDEX(Setup!$M$6:$M$23,7)="Y"))+((Y2164="")*(INDEX(Setup!$M$6:$M$23,7)="Y")))</f>
        <v/>
      </c>
      <c r="AC2164" s="90">
        <f>IF($B2164="","",IF(AB2164=0,"✓ covered","⚠ "&amp;AB2164&amp;IF(AB2164=1," gap"," gaps")))</f>
        <v/>
      </c>
    </row>
    <row r="2165" ht="17" customHeight="1">
      <c r="A2165" t="n">
        <v>44</v>
      </c>
      <c r="B2165" s="29">
        <f>IF(Setup!$K$13="","",Setup!$K$13)</f>
        <v/>
      </c>
      <c r="C2165" s="88" t="n"/>
      <c r="D2165" s="88" t="n"/>
      <c r="E2165" s="88" t="n"/>
      <c r="F2165" s="89" t="n"/>
      <c r="G2165" s="88" t="n"/>
      <c r="H2165" s="88" t="n"/>
      <c r="I2165" s="88" t="n"/>
      <c r="J2165" s="89" t="n"/>
      <c r="K2165" s="88" t="n"/>
      <c r="L2165" s="88" t="n"/>
      <c r="M2165" s="88" t="n"/>
      <c r="N2165" s="89" t="n"/>
      <c r="O2165" s="88" t="n"/>
      <c r="P2165" s="88" t="n"/>
      <c r="Q2165" s="88" t="n"/>
      <c r="R2165" s="89" t="n"/>
      <c r="S2165" s="88" t="n"/>
      <c r="T2165" s="88" t="n"/>
      <c r="U2165" s="88" t="n"/>
      <c r="V2165" s="89" t="n"/>
      <c r="W2165" s="88" t="n"/>
      <c r="X2165" s="89" t="n"/>
      <c r="Y2165" s="88" t="n"/>
      <c r="Z2165" s="89" t="n"/>
      <c r="AB2165" s="30">
        <f>IF($B2165="","",(COUNTIF(C2165:E2165,"?*")&lt;N(INDEX(Setup!$L$6:$L$23,8)))+(COUNTIF(G2165:I2165,"?*")&lt;N(INDEX(Setup!$L$6:$L$23,8)))+(COUNTIF(K2165:M2165,"?*")&lt;N(INDEX(Setup!$L$6:$L$23,8)))+(COUNTIF(O2165:Q2165,"?*")&lt;N(INDEX(Setup!$L$6:$L$23,8)))+(COUNTIF(S2165:U2165,"?*")&lt;N(INDEX(Setup!$L$6:$L$23,8)))+((W2165="")*(INDEX(Setup!$M$6:$M$23,8)="Y"))+((Y2165="")*(INDEX(Setup!$M$6:$M$23,8)="Y")))</f>
        <v/>
      </c>
      <c r="AC2165" s="91">
        <f>IF($B2165="","",IF(AB2165=0,"✓ covered","⚠ "&amp;AB2165&amp;IF(AB2165=1," gap"," gaps")))</f>
        <v/>
      </c>
    </row>
    <row r="2166" ht="17" customHeight="1">
      <c r="A2166" t="n">
        <v>44</v>
      </c>
      <c r="B2166" s="24">
        <f>IF(Setup!$K$14="","",Setup!$K$14)</f>
        <v/>
      </c>
      <c r="C2166" s="88" t="n"/>
      <c r="D2166" s="88" t="n"/>
      <c r="E2166" s="88" t="n"/>
      <c r="F2166" s="89" t="n"/>
      <c r="G2166" s="88" t="n"/>
      <c r="H2166" s="88" t="n"/>
      <c r="I2166" s="88" t="n"/>
      <c r="J2166" s="89" t="n"/>
      <c r="K2166" s="88" t="n"/>
      <c r="L2166" s="88" t="n"/>
      <c r="M2166" s="88" t="n"/>
      <c r="N2166" s="89" t="n"/>
      <c r="O2166" s="88" t="n"/>
      <c r="P2166" s="88" t="n"/>
      <c r="Q2166" s="88" t="n"/>
      <c r="R2166" s="89" t="n"/>
      <c r="S2166" s="88" t="n"/>
      <c r="T2166" s="88" t="n"/>
      <c r="U2166" s="88" t="n"/>
      <c r="V2166" s="89" t="n"/>
      <c r="W2166" s="88" t="n"/>
      <c r="X2166" s="89" t="n"/>
      <c r="Y2166" s="88" t="n"/>
      <c r="Z2166" s="89" t="n"/>
      <c r="AB2166" s="25">
        <f>IF($B2166="","",(COUNTIF(C2166:E2166,"?*")&lt;N(INDEX(Setup!$L$6:$L$23,9)))+(COUNTIF(G2166:I2166,"?*")&lt;N(INDEX(Setup!$L$6:$L$23,9)))+(COUNTIF(K2166:M2166,"?*")&lt;N(INDEX(Setup!$L$6:$L$23,9)))+(COUNTIF(O2166:Q2166,"?*")&lt;N(INDEX(Setup!$L$6:$L$23,9)))+(COUNTIF(S2166:U2166,"?*")&lt;N(INDEX(Setup!$L$6:$L$23,9)))+((W2166="")*(INDEX(Setup!$M$6:$M$23,9)="Y"))+((Y2166="")*(INDEX(Setup!$M$6:$M$23,9)="Y")))</f>
        <v/>
      </c>
      <c r="AC2166" s="90">
        <f>IF($B2166="","",IF(AB2166=0,"✓ covered","⚠ "&amp;AB2166&amp;IF(AB2166=1," gap"," gaps")))</f>
        <v/>
      </c>
    </row>
    <row r="2167" ht="17" customHeight="1">
      <c r="A2167" t="n">
        <v>44</v>
      </c>
      <c r="B2167" s="29">
        <f>IF(Setup!$K$15="","",Setup!$K$15)</f>
        <v/>
      </c>
      <c r="C2167" s="88" t="n"/>
      <c r="D2167" s="88" t="n"/>
      <c r="E2167" s="88" t="n"/>
      <c r="F2167" s="89" t="n"/>
      <c r="G2167" s="88" t="n"/>
      <c r="H2167" s="88" t="n"/>
      <c r="I2167" s="88" t="n"/>
      <c r="J2167" s="89" t="n"/>
      <c r="K2167" s="88" t="n"/>
      <c r="L2167" s="88" t="n"/>
      <c r="M2167" s="88" t="n"/>
      <c r="N2167" s="89" t="n"/>
      <c r="O2167" s="88" t="n"/>
      <c r="P2167" s="88" t="n"/>
      <c r="Q2167" s="88" t="n"/>
      <c r="R2167" s="89" t="n"/>
      <c r="S2167" s="88" t="n"/>
      <c r="T2167" s="88" t="n"/>
      <c r="U2167" s="88" t="n"/>
      <c r="V2167" s="89" t="n"/>
      <c r="W2167" s="88" t="n"/>
      <c r="X2167" s="89" t="n"/>
      <c r="Y2167" s="88" t="n"/>
      <c r="Z2167" s="89" t="n"/>
      <c r="AB2167" s="30">
        <f>IF($B2167="","",(COUNTIF(C2167:E2167,"?*")&lt;N(INDEX(Setup!$L$6:$L$23,10)))+(COUNTIF(G2167:I2167,"?*")&lt;N(INDEX(Setup!$L$6:$L$23,10)))+(COUNTIF(K2167:M2167,"?*")&lt;N(INDEX(Setup!$L$6:$L$23,10)))+(COUNTIF(O2167:Q2167,"?*")&lt;N(INDEX(Setup!$L$6:$L$23,10)))+(COUNTIF(S2167:U2167,"?*")&lt;N(INDEX(Setup!$L$6:$L$23,10)))+((W2167="")*(INDEX(Setup!$M$6:$M$23,10)="Y"))+((Y2167="")*(INDEX(Setup!$M$6:$M$23,10)="Y")))</f>
        <v/>
      </c>
      <c r="AC2167" s="91">
        <f>IF($B2167="","",IF(AB2167=0,"✓ covered","⚠ "&amp;AB2167&amp;IF(AB2167=1," gap"," gaps")))</f>
        <v/>
      </c>
    </row>
    <row r="2168" ht="17" customHeight="1">
      <c r="A2168" t="n">
        <v>44</v>
      </c>
      <c r="B2168" s="24">
        <f>IF(Setup!$K$16="","",Setup!$K$16)</f>
        <v/>
      </c>
      <c r="C2168" s="88" t="n"/>
      <c r="D2168" s="88" t="n"/>
      <c r="E2168" s="88" t="n"/>
      <c r="F2168" s="89" t="n"/>
      <c r="G2168" s="88" t="n"/>
      <c r="H2168" s="88" t="n"/>
      <c r="I2168" s="88" t="n"/>
      <c r="J2168" s="89" t="n"/>
      <c r="K2168" s="88" t="n"/>
      <c r="L2168" s="88" t="n"/>
      <c r="M2168" s="88" t="n"/>
      <c r="N2168" s="89" t="n"/>
      <c r="O2168" s="88" t="n"/>
      <c r="P2168" s="88" t="n"/>
      <c r="Q2168" s="88" t="n"/>
      <c r="R2168" s="89" t="n"/>
      <c r="S2168" s="88" t="n"/>
      <c r="T2168" s="88" t="n"/>
      <c r="U2168" s="88" t="n"/>
      <c r="V2168" s="89" t="n"/>
      <c r="W2168" s="88" t="n"/>
      <c r="X2168" s="89" t="n"/>
      <c r="Y2168" s="88" t="n"/>
      <c r="Z2168" s="89" t="n"/>
      <c r="AB2168" s="25">
        <f>IF($B2168="","",(COUNTIF(C2168:E2168,"?*")&lt;N(INDEX(Setup!$L$6:$L$23,11)))+(COUNTIF(G2168:I2168,"?*")&lt;N(INDEX(Setup!$L$6:$L$23,11)))+(COUNTIF(K2168:M2168,"?*")&lt;N(INDEX(Setup!$L$6:$L$23,11)))+(COUNTIF(O2168:Q2168,"?*")&lt;N(INDEX(Setup!$L$6:$L$23,11)))+(COUNTIF(S2168:U2168,"?*")&lt;N(INDEX(Setup!$L$6:$L$23,11)))+((W2168="")*(INDEX(Setup!$M$6:$M$23,11)="Y"))+((Y2168="")*(INDEX(Setup!$M$6:$M$23,11)="Y")))</f>
        <v/>
      </c>
      <c r="AC2168" s="90">
        <f>IF($B2168="","",IF(AB2168=0,"✓ covered","⚠ "&amp;AB2168&amp;IF(AB2168=1," gap"," gaps")))</f>
        <v/>
      </c>
    </row>
    <row r="2169" ht="17" customHeight="1">
      <c r="A2169" t="n">
        <v>44</v>
      </c>
      <c r="B2169" s="29">
        <f>IF(Setup!$K$17="","",Setup!$K$17)</f>
        <v/>
      </c>
      <c r="C2169" s="88" t="n"/>
      <c r="D2169" s="88" t="n"/>
      <c r="E2169" s="88" t="n"/>
      <c r="F2169" s="89" t="n"/>
      <c r="G2169" s="88" t="n"/>
      <c r="H2169" s="88" t="n"/>
      <c r="I2169" s="88" t="n"/>
      <c r="J2169" s="89" t="n"/>
      <c r="K2169" s="88" t="n"/>
      <c r="L2169" s="88" t="n"/>
      <c r="M2169" s="88" t="n"/>
      <c r="N2169" s="89" t="n"/>
      <c r="O2169" s="88" t="n"/>
      <c r="P2169" s="88" t="n"/>
      <c r="Q2169" s="88" t="n"/>
      <c r="R2169" s="89" t="n"/>
      <c r="S2169" s="88" t="n"/>
      <c r="T2169" s="88" t="n"/>
      <c r="U2169" s="88" t="n"/>
      <c r="V2169" s="89" t="n"/>
      <c r="W2169" s="88" t="n"/>
      <c r="X2169" s="89" t="n"/>
      <c r="Y2169" s="88" t="n"/>
      <c r="Z2169" s="89" t="n"/>
      <c r="AB2169" s="30">
        <f>IF($B2169="","",(COUNTIF(C2169:E2169,"?*")&lt;N(INDEX(Setup!$L$6:$L$23,12)))+(COUNTIF(G2169:I2169,"?*")&lt;N(INDEX(Setup!$L$6:$L$23,12)))+(COUNTIF(K2169:M2169,"?*")&lt;N(INDEX(Setup!$L$6:$L$23,12)))+(COUNTIF(O2169:Q2169,"?*")&lt;N(INDEX(Setup!$L$6:$L$23,12)))+(COUNTIF(S2169:U2169,"?*")&lt;N(INDEX(Setup!$L$6:$L$23,12)))+((W2169="")*(INDEX(Setup!$M$6:$M$23,12)="Y"))+((Y2169="")*(INDEX(Setup!$M$6:$M$23,12)="Y")))</f>
        <v/>
      </c>
      <c r="AC2169" s="91">
        <f>IF($B2169="","",IF(AB2169=0,"✓ covered","⚠ "&amp;AB2169&amp;IF(AB2169=1," gap"," gaps")))</f>
        <v/>
      </c>
    </row>
    <row r="2170" ht="17" customHeight="1">
      <c r="A2170" t="n">
        <v>44</v>
      </c>
      <c r="B2170" s="24">
        <f>IF(Setup!$K$18="","",Setup!$K$18)</f>
        <v/>
      </c>
      <c r="C2170" s="88" t="n"/>
      <c r="D2170" s="88" t="n"/>
      <c r="E2170" s="88" t="n"/>
      <c r="F2170" s="89" t="n"/>
      <c r="G2170" s="88" t="n"/>
      <c r="H2170" s="88" t="n"/>
      <c r="I2170" s="88" t="n"/>
      <c r="J2170" s="89" t="n"/>
      <c r="K2170" s="88" t="n"/>
      <c r="L2170" s="88" t="n"/>
      <c r="M2170" s="88" t="n"/>
      <c r="N2170" s="89" t="n"/>
      <c r="O2170" s="88" t="n"/>
      <c r="P2170" s="88" t="n"/>
      <c r="Q2170" s="88" t="n"/>
      <c r="R2170" s="89" t="n"/>
      <c r="S2170" s="88" t="n"/>
      <c r="T2170" s="88" t="n"/>
      <c r="U2170" s="88" t="n"/>
      <c r="V2170" s="89" t="n"/>
      <c r="W2170" s="88" t="n"/>
      <c r="X2170" s="89" t="n"/>
      <c r="Y2170" s="88" t="n"/>
      <c r="Z2170" s="89" t="n"/>
      <c r="AB2170" s="25">
        <f>IF($B2170="","",(COUNTIF(C2170:E2170,"?*")&lt;N(INDEX(Setup!$L$6:$L$23,13)))+(COUNTIF(G2170:I2170,"?*")&lt;N(INDEX(Setup!$L$6:$L$23,13)))+(COUNTIF(K2170:M2170,"?*")&lt;N(INDEX(Setup!$L$6:$L$23,13)))+(COUNTIF(O2170:Q2170,"?*")&lt;N(INDEX(Setup!$L$6:$L$23,13)))+(COUNTIF(S2170:U2170,"?*")&lt;N(INDEX(Setup!$L$6:$L$23,13)))+((W2170="")*(INDEX(Setup!$M$6:$M$23,13)="Y"))+((Y2170="")*(INDEX(Setup!$M$6:$M$23,13)="Y")))</f>
        <v/>
      </c>
      <c r="AC2170" s="90">
        <f>IF($B2170="","",IF(AB2170=0,"✓ covered","⚠ "&amp;AB2170&amp;IF(AB2170=1," gap"," gaps")))</f>
        <v/>
      </c>
    </row>
    <row r="2171" ht="17" customHeight="1">
      <c r="A2171" t="n">
        <v>44</v>
      </c>
      <c r="B2171" s="29">
        <f>IF(Setup!$K$19="","",Setup!$K$19)</f>
        <v/>
      </c>
      <c r="C2171" s="88" t="n"/>
      <c r="D2171" s="88" t="n"/>
      <c r="E2171" s="88" t="n"/>
      <c r="F2171" s="89" t="n"/>
      <c r="G2171" s="88" t="n"/>
      <c r="H2171" s="88" t="n"/>
      <c r="I2171" s="88" t="n"/>
      <c r="J2171" s="89" t="n"/>
      <c r="K2171" s="88" t="n"/>
      <c r="L2171" s="88" t="n"/>
      <c r="M2171" s="88" t="n"/>
      <c r="N2171" s="89" t="n"/>
      <c r="O2171" s="88" t="n"/>
      <c r="P2171" s="88" t="n"/>
      <c r="Q2171" s="88" t="n"/>
      <c r="R2171" s="89" t="n"/>
      <c r="S2171" s="88" t="n"/>
      <c r="T2171" s="88" t="n"/>
      <c r="U2171" s="88" t="n"/>
      <c r="V2171" s="89" t="n"/>
      <c r="W2171" s="88" t="n"/>
      <c r="X2171" s="89" t="n"/>
      <c r="Y2171" s="88" t="n"/>
      <c r="Z2171" s="89" t="n"/>
      <c r="AB2171" s="30">
        <f>IF($B2171="","",(COUNTIF(C2171:E2171,"?*")&lt;N(INDEX(Setup!$L$6:$L$23,14)))+(COUNTIF(G2171:I2171,"?*")&lt;N(INDEX(Setup!$L$6:$L$23,14)))+(COUNTIF(K2171:M2171,"?*")&lt;N(INDEX(Setup!$L$6:$L$23,14)))+(COUNTIF(O2171:Q2171,"?*")&lt;N(INDEX(Setup!$L$6:$L$23,14)))+(COUNTIF(S2171:U2171,"?*")&lt;N(INDEX(Setup!$L$6:$L$23,14)))+((W2171="")*(INDEX(Setup!$M$6:$M$23,14)="Y"))+((Y2171="")*(INDEX(Setup!$M$6:$M$23,14)="Y")))</f>
        <v/>
      </c>
      <c r="AC2171" s="91">
        <f>IF($B2171="","",IF(AB2171=0,"✓ covered","⚠ "&amp;AB2171&amp;IF(AB2171=1," gap"," gaps")))</f>
        <v/>
      </c>
    </row>
    <row r="2172" ht="17" customHeight="1">
      <c r="A2172" t="n">
        <v>44</v>
      </c>
      <c r="B2172" s="24">
        <f>IF(Setup!$K$20="","",Setup!$K$20)</f>
        <v/>
      </c>
      <c r="C2172" s="88" t="n"/>
      <c r="D2172" s="88" t="n"/>
      <c r="E2172" s="88" t="n"/>
      <c r="F2172" s="89" t="n"/>
      <c r="G2172" s="88" t="n"/>
      <c r="H2172" s="88" t="n"/>
      <c r="I2172" s="88" t="n"/>
      <c r="J2172" s="89" t="n"/>
      <c r="K2172" s="88" t="n"/>
      <c r="L2172" s="88" t="n"/>
      <c r="M2172" s="88" t="n"/>
      <c r="N2172" s="89" t="n"/>
      <c r="O2172" s="88" t="n"/>
      <c r="P2172" s="88" t="n"/>
      <c r="Q2172" s="88" t="n"/>
      <c r="R2172" s="89" t="n"/>
      <c r="S2172" s="88" t="n"/>
      <c r="T2172" s="88" t="n"/>
      <c r="U2172" s="88" t="n"/>
      <c r="V2172" s="89" t="n"/>
      <c r="W2172" s="88" t="n"/>
      <c r="X2172" s="89" t="n"/>
      <c r="Y2172" s="88" t="n"/>
      <c r="Z2172" s="89" t="n"/>
      <c r="AB2172" s="25">
        <f>IF($B2172="","",(COUNTIF(C2172:E2172,"?*")&lt;N(INDEX(Setup!$L$6:$L$23,15)))+(COUNTIF(G2172:I2172,"?*")&lt;N(INDEX(Setup!$L$6:$L$23,15)))+(COUNTIF(K2172:M2172,"?*")&lt;N(INDEX(Setup!$L$6:$L$23,15)))+(COUNTIF(O2172:Q2172,"?*")&lt;N(INDEX(Setup!$L$6:$L$23,15)))+(COUNTIF(S2172:U2172,"?*")&lt;N(INDEX(Setup!$L$6:$L$23,15)))+((W2172="")*(INDEX(Setup!$M$6:$M$23,15)="Y"))+((Y2172="")*(INDEX(Setup!$M$6:$M$23,15)="Y")))</f>
        <v/>
      </c>
      <c r="AC2172" s="90">
        <f>IF($B2172="","",IF(AB2172=0,"✓ covered","⚠ "&amp;AB2172&amp;IF(AB2172=1," gap"," gaps")))</f>
        <v/>
      </c>
    </row>
    <row r="2173" ht="17" customHeight="1">
      <c r="A2173" t="n">
        <v>44</v>
      </c>
      <c r="B2173" s="29">
        <f>IF(Setup!$K$21="","",Setup!$K$21)</f>
        <v/>
      </c>
      <c r="C2173" s="88" t="n"/>
      <c r="D2173" s="88" t="n"/>
      <c r="E2173" s="88" t="n"/>
      <c r="F2173" s="89" t="n"/>
      <c r="G2173" s="88" t="n"/>
      <c r="H2173" s="88" t="n"/>
      <c r="I2173" s="88" t="n"/>
      <c r="J2173" s="89" t="n"/>
      <c r="K2173" s="88" t="n"/>
      <c r="L2173" s="88" t="n"/>
      <c r="M2173" s="88" t="n"/>
      <c r="N2173" s="89" t="n"/>
      <c r="O2173" s="88" t="n"/>
      <c r="P2173" s="88" t="n"/>
      <c r="Q2173" s="88" t="n"/>
      <c r="R2173" s="89" t="n"/>
      <c r="S2173" s="88" t="n"/>
      <c r="T2173" s="88" t="n"/>
      <c r="U2173" s="88" t="n"/>
      <c r="V2173" s="89" t="n"/>
      <c r="W2173" s="88" t="n"/>
      <c r="X2173" s="89" t="n"/>
      <c r="Y2173" s="88" t="n"/>
      <c r="Z2173" s="89" t="n"/>
      <c r="AB2173" s="30">
        <f>IF($B2173="","",(COUNTIF(C2173:E2173,"?*")&lt;N(INDEX(Setup!$L$6:$L$23,16)))+(COUNTIF(G2173:I2173,"?*")&lt;N(INDEX(Setup!$L$6:$L$23,16)))+(COUNTIF(K2173:M2173,"?*")&lt;N(INDEX(Setup!$L$6:$L$23,16)))+(COUNTIF(O2173:Q2173,"?*")&lt;N(INDEX(Setup!$L$6:$L$23,16)))+(COUNTIF(S2173:U2173,"?*")&lt;N(INDEX(Setup!$L$6:$L$23,16)))+((W2173="")*(INDEX(Setup!$M$6:$M$23,16)="Y"))+((Y2173="")*(INDEX(Setup!$M$6:$M$23,16)="Y")))</f>
        <v/>
      </c>
      <c r="AC2173" s="91">
        <f>IF($B2173="","",IF(AB2173=0,"✓ covered","⚠ "&amp;AB2173&amp;IF(AB2173=1," gap"," gaps")))</f>
        <v/>
      </c>
    </row>
    <row r="2174" ht="17" customHeight="1">
      <c r="A2174" t="n">
        <v>44</v>
      </c>
      <c r="B2174" s="24">
        <f>IF(Setup!$K$22="","",Setup!$K$22)</f>
        <v/>
      </c>
      <c r="C2174" s="88" t="n"/>
      <c r="D2174" s="88" t="n"/>
      <c r="E2174" s="88" t="n"/>
      <c r="F2174" s="89" t="n"/>
      <c r="G2174" s="88" t="n"/>
      <c r="H2174" s="88" t="n"/>
      <c r="I2174" s="88" t="n"/>
      <c r="J2174" s="89" t="n"/>
      <c r="K2174" s="88" t="n"/>
      <c r="L2174" s="88" t="n"/>
      <c r="M2174" s="88" t="n"/>
      <c r="N2174" s="89" t="n"/>
      <c r="O2174" s="88" t="n"/>
      <c r="P2174" s="88" t="n"/>
      <c r="Q2174" s="88" t="n"/>
      <c r="R2174" s="89" t="n"/>
      <c r="S2174" s="88" t="n"/>
      <c r="T2174" s="88" t="n"/>
      <c r="U2174" s="88" t="n"/>
      <c r="V2174" s="89" t="n"/>
      <c r="W2174" s="88" t="n"/>
      <c r="X2174" s="89" t="n"/>
      <c r="Y2174" s="88" t="n"/>
      <c r="Z2174" s="89" t="n"/>
      <c r="AB2174" s="25">
        <f>IF($B2174="","",(COUNTIF(C2174:E2174,"?*")&lt;N(INDEX(Setup!$L$6:$L$23,17)))+(COUNTIF(G2174:I2174,"?*")&lt;N(INDEX(Setup!$L$6:$L$23,17)))+(COUNTIF(K2174:M2174,"?*")&lt;N(INDEX(Setup!$L$6:$L$23,17)))+(COUNTIF(O2174:Q2174,"?*")&lt;N(INDEX(Setup!$L$6:$L$23,17)))+(COUNTIF(S2174:U2174,"?*")&lt;N(INDEX(Setup!$L$6:$L$23,17)))+((W2174="")*(INDEX(Setup!$M$6:$M$23,17)="Y"))+((Y2174="")*(INDEX(Setup!$M$6:$M$23,17)="Y")))</f>
        <v/>
      </c>
      <c r="AC2174" s="90">
        <f>IF($B2174="","",IF(AB2174=0,"✓ covered","⚠ "&amp;AB2174&amp;IF(AB2174=1," gap"," gaps")))</f>
        <v/>
      </c>
    </row>
    <row r="2175" ht="17" customHeight="1">
      <c r="A2175" t="n">
        <v>44</v>
      </c>
      <c r="B2175" s="29">
        <f>IF(Setup!$K$23="","",Setup!$K$23)</f>
        <v/>
      </c>
      <c r="C2175" s="88" t="n"/>
      <c r="D2175" s="88" t="n"/>
      <c r="E2175" s="88" t="n"/>
      <c r="F2175" s="89" t="n"/>
      <c r="G2175" s="88" t="n"/>
      <c r="H2175" s="88" t="n"/>
      <c r="I2175" s="88" t="n"/>
      <c r="J2175" s="89" t="n"/>
      <c r="K2175" s="88" t="n"/>
      <c r="L2175" s="88" t="n"/>
      <c r="M2175" s="88" t="n"/>
      <c r="N2175" s="89" t="n"/>
      <c r="O2175" s="88" t="n"/>
      <c r="P2175" s="88" t="n"/>
      <c r="Q2175" s="88" t="n"/>
      <c r="R2175" s="89" t="n"/>
      <c r="S2175" s="88" t="n"/>
      <c r="T2175" s="88" t="n"/>
      <c r="U2175" s="88" t="n"/>
      <c r="V2175" s="89" t="n"/>
      <c r="W2175" s="88" t="n"/>
      <c r="X2175" s="89" t="n"/>
      <c r="Y2175" s="88" t="n"/>
      <c r="Z2175" s="89" t="n"/>
      <c r="AB2175" s="30">
        <f>IF($B2175="","",(COUNTIF(C2175:E2175,"?*")&lt;N(INDEX(Setup!$L$6:$L$23,18)))+(COUNTIF(G2175:I2175,"?*")&lt;N(INDEX(Setup!$L$6:$L$23,18)))+(COUNTIF(K2175:M2175,"?*")&lt;N(INDEX(Setup!$L$6:$L$23,18)))+(COUNTIF(O2175:Q2175,"?*")&lt;N(INDEX(Setup!$L$6:$L$23,18)))+(COUNTIF(S2175:U2175,"?*")&lt;N(INDEX(Setup!$L$6:$L$23,18)))+((W2175="")*(INDEX(Setup!$M$6:$M$23,18)="Y"))+((Y2175="")*(INDEX(Setup!$M$6:$M$23,18)="Y")))</f>
        <v/>
      </c>
      <c r="AC2175" s="91">
        <f>IF($B2175="","",IF(AB2175=0,"✓ covered","⚠ "&amp;AB2175&amp;IF(AB2175=1," gap"," gaps")))</f>
        <v/>
      </c>
    </row>
    <row r="2176" ht="18" customHeight="1">
      <c r="A2176" t="n">
        <v>44</v>
      </c>
      <c r="B2176" s="78" t="inlineStr">
        <is>
          <t>TEAM AVAILABILITY</t>
        </is>
      </c>
      <c r="C2176" s="92" t="inlineStr">
        <is>
          <t>Mon</t>
        </is>
      </c>
      <c r="D2176" s="93" t="n"/>
      <c r="E2176" s="93" t="n"/>
      <c r="F2176" s="94" t="n"/>
      <c r="G2176" s="92" t="inlineStr">
        <is>
          <t>Tue</t>
        </is>
      </c>
      <c r="H2176" s="93" t="n"/>
      <c r="I2176" s="93" t="n"/>
      <c r="J2176" s="94" t="n"/>
      <c r="K2176" s="92" t="inlineStr">
        <is>
          <t>Wed</t>
        </is>
      </c>
      <c r="L2176" s="93" t="n"/>
      <c r="M2176" s="93" t="n"/>
      <c r="N2176" s="94" t="n"/>
      <c r="O2176" s="92" t="inlineStr">
        <is>
          <t>Thu</t>
        </is>
      </c>
      <c r="P2176" s="93" t="n"/>
      <c r="Q2176" s="93" t="n"/>
      <c r="R2176" s="94" t="n"/>
      <c r="S2176" s="92" t="inlineStr">
        <is>
          <t>Fri</t>
        </is>
      </c>
      <c r="T2176" s="93" t="n"/>
      <c r="U2176" s="93" t="n"/>
      <c r="V2176" s="94" t="n"/>
      <c r="W2176" s="95" t="inlineStr">
        <is>
          <t>Sat</t>
        </is>
      </c>
      <c r="X2176" s="96" t="n"/>
      <c r="Y2176" s="95" t="inlineStr">
        <is>
          <t>Sun</t>
        </is>
      </c>
      <c r="Z2176" s="96" t="n"/>
      <c r="AB2176" s="97" t="inlineStr">
        <is>
          <t>Days rostered</t>
        </is>
      </c>
      <c r="AC2176" s="97" t="inlineStr">
        <is>
          <t>Conflicts</t>
        </is>
      </c>
    </row>
    <row r="2177" ht="15" customHeight="1">
      <c r="A2177" t="n">
        <v>44</v>
      </c>
      <c r="B2177" s="35">
        <f>IF(Setup!$B$6="","",Setup!$B$6)</f>
        <v/>
      </c>
      <c r="C2177" s="98" t="n"/>
      <c r="D2177" s="99" t="n"/>
      <c r="E2177" s="99" t="n"/>
      <c r="F2177" s="100" t="n"/>
      <c r="G2177" s="98" t="n"/>
      <c r="H2177" s="99" t="n"/>
      <c r="I2177" s="99" t="n"/>
      <c r="J2177" s="100" t="n"/>
      <c r="K2177" s="98" t="n"/>
      <c r="L2177" s="99" t="n"/>
      <c r="M2177" s="99" t="n"/>
      <c r="N2177" s="100" t="n"/>
      <c r="O2177" s="98" t="n"/>
      <c r="P2177" s="99" t="n"/>
      <c r="Q2177" s="99" t="n"/>
      <c r="R2177" s="100" t="n"/>
      <c r="S2177" s="98" t="n"/>
      <c r="T2177" s="99" t="n"/>
      <c r="U2177" s="99" t="n"/>
      <c r="V2177" s="100" t="n"/>
      <c r="W2177" s="98" t="n"/>
      <c r="X2177" s="100" t="n"/>
      <c r="Y2177" s="98" t="n"/>
      <c r="Z2177" s="100" t="n"/>
      <c r="AB2177" s="101">
        <f>IF($B2177="","",(COUNTIF(C2158:E2175,$B2177)+COUNTIF(C2158:E2175,$B2177&amp;" ~*")&gt;0)+(COUNTIF(G2158:I2175,$B2177)+COUNTIF(G2158:I2175,$B2177&amp;" ~*")&gt;0)+(COUNTIF(K2158:M2175,$B2177)+COUNTIF(K2158:M2175,$B2177&amp;" ~*")&gt;0)+(COUNTIF(O2158:Q2175,$B2177)+COUNTIF(O2158:Q2175,$B2177&amp;" ~*")&gt;0)+(COUNTIF(S2158:U2175,$B2177)+COUNTIF(S2158:U2175,$B2177&amp;" ~*")&gt;0)+(COUNTIF(W2158:W2175,$B2177)+COUNTIF(W2158:W2175,$B2177&amp;" ~*")&gt;0)+(COUNTIF(Y2158:Y2175,$B2177)+COUNTIF(Y2158:Y2175,$B2177&amp;" ~*")&gt;0))</f>
        <v/>
      </c>
      <c r="AC2177" s="36">
        <f>IF($B2177="","",(IFERROR(INDEX(Setup!$G$33:$G$40,MATCH(C2177,Setup!$B$33:$B$40,0)),0)=1)*(COUNTIF(C2158:E2175,$B2177)+COUNTIF(C2158:E2175,$B2177&amp;" ~*")&gt;0)+(IFERROR(INDEX(Setup!$G$33:$G$40,MATCH(G2177,Setup!$B$33:$B$40,0)),0)=1)*(COUNTIF(G2158:I2175,$B2177)+COUNTIF(G2158:I2175,$B2177&amp;" ~*")&gt;0)+(IFERROR(INDEX(Setup!$G$33:$G$40,MATCH(K2177,Setup!$B$33:$B$40,0)),0)=1)*(COUNTIF(K2158:M2175,$B2177)+COUNTIF(K2158:M2175,$B2177&amp;" ~*")&gt;0)+(IFERROR(INDEX(Setup!$G$33:$G$40,MATCH(O2177,Setup!$B$33:$B$40,0)),0)=1)*(COUNTIF(O2158:Q2175,$B2177)+COUNTIF(O2158:Q2175,$B2177&amp;" ~*")&gt;0)+(IFERROR(INDEX(Setup!$G$33:$G$40,MATCH(S2177,Setup!$B$33:$B$40,0)),0)=1)*(COUNTIF(S2158:U2175,$B2177)+COUNTIF(S2158:U2175,$B2177&amp;" ~*")&gt;0)+(IFERROR(INDEX(Setup!$G$33:$G$40,MATCH(W2177,Setup!$B$33:$B$40,0)),0)=1)*(COUNTIF(W2158:W2175,$B2177)+COUNTIF(W2158:W2175,$B2177&amp;" ~*")&gt;0)+(IFERROR(INDEX(Setup!$G$33:$G$40,MATCH(Y2177,Setup!$B$33:$B$40,0)),0)=1)*(COUNTIF(Y2158:Y2175,$B2177)+COUNTIF(Y2158:Y2175,$B2177&amp;" ~*")&gt;0))</f>
        <v/>
      </c>
    </row>
    <row r="2178" ht="15" customHeight="1">
      <c r="A2178" t="n">
        <v>44</v>
      </c>
      <c r="B2178" s="37">
        <f>IF(Setup!$B$7="","",Setup!$B$7)</f>
        <v/>
      </c>
      <c r="C2178" s="102" t="n"/>
      <c r="D2178" s="103" t="n"/>
      <c r="E2178" s="103" t="n"/>
      <c r="F2178" s="104" t="n"/>
      <c r="G2178" s="102" t="n"/>
      <c r="H2178" s="103" t="n"/>
      <c r="I2178" s="103" t="n"/>
      <c r="J2178" s="104" t="n"/>
      <c r="K2178" s="102" t="n"/>
      <c r="L2178" s="103" t="n"/>
      <c r="M2178" s="103" t="n"/>
      <c r="N2178" s="104" t="n"/>
      <c r="O2178" s="102" t="n"/>
      <c r="P2178" s="103" t="n"/>
      <c r="Q2178" s="103" t="n"/>
      <c r="R2178" s="104" t="n"/>
      <c r="S2178" s="102" t="n"/>
      <c r="T2178" s="103" t="n"/>
      <c r="U2178" s="103" t="n"/>
      <c r="V2178" s="104" t="n"/>
      <c r="W2178" s="102" t="n"/>
      <c r="X2178" s="104" t="n"/>
      <c r="Y2178" s="102" t="n"/>
      <c r="Z2178" s="104" t="n"/>
      <c r="AB2178" s="105">
        <f>IF($B2178="","",(COUNTIF(C2158:E2175,$B2178)+COUNTIF(C2158:E2175,$B2178&amp;" ~*")&gt;0)+(COUNTIF(G2158:I2175,$B2178)+COUNTIF(G2158:I2175,$B2178&amp;" ~*")&gt;0)+(COUNTIF(K2158:M2175,$B2178)+COUNTIF(K2158:M2175,$B2178&amp;" ~*")&gt;0)+(COUNTIF(O2158:Q2175,$B2178)+COUNTIF(O2158:Q2175,$B2178&amp;" ~*")&gt;0)+(COUNTIF(S2158:U2175,$B2178)+COUNTIF(S2158:U2175,$B2178&amp;" ~*")&gt;0)+(COUNTIF(W2158:W2175,$B2178)+COUNTIF(W2158:W2175,$B2178&amp;" ~*")&gt;0)+(COUNTIF(Y2158:Y2175,$B2178)+COUNTIF(Y2158:Y2175,$B2178&amp;" ~*")&gt;0))</f>
        <v/>
      </c>
      <c r="AC2178" s="38">
        <f>IF($B2178="","",(IFERROR(INDEX(Setup!$G$33:$G$40,MATCH(C2178,Setup!$B$33:$B$40,0)),0)=1)*(COUNTIF(C2158:E2175,$B2178)+COUNTIF(C2158:E2175,$B2178&amp;" ~*")&gt;0)+(IFERROR(INDEX(Setup!$G$33:$G$40,MATCH(G2178,Setup!$B$33:$B$40,0)),0)=1)*(COUNTIF(G2158:I2175,$B2178)+COUNTIF(G2158:I2175,$B2178&amp;" ~*")&gt;0)+(IFERROR(INDEX(Setup!$G$33:$G$40,MATCH(K2178,Setup!$B$33:$B$40,0)),0)=1)*(COUNTIF(K2158:M2175,$B2178)+COUNTIF(K2158:M2175,$B2178&amp;" ~*")&gt;0)+(IFERROR(INDEX(Setup!$G$33:$G$40,MATCH(O2178,Setup!$B$33:$B$40,0)),0)=1)*(COUNTIF(O2158:Q2175,$B2178)+COUNTIF(O2158:Q2175,$B2178&amp;" ~*")&gt;0)+(IFERROR(INDEX(Setup!$G$33:$G$40,MATCH(S2178,Setup!$B$33:$B$40,0)),0)=1)*(COUNTIF(S2158:U2175,$B2178)+COUNTIF(S2158:U2175,$B2178&amp;" ~*")&gt;0)+(IFERROR(INDEX(Setup!$G$33:$G$40,MATCH(W2178,Setup!$B$33:$B$40,0)),0)=1)*(COUNTIF(W2158:W2175,$B2178)+COUNTIF(W2158:W2175,$B2178&amp;" ~*")&gt;0)+(IFERROR(INDEX(Setup!$G$33:$G$40,MATCH(Y2178,Setup!$B$33:$B$40,0)),0)=1)*(COUNTIF(Y2158:Y2175,$B2178)+COUNTIF(Y2158:Y2175,$B2178&amp;" ~*")&gt;0))</f>
        <v/>
      </c>
    </row>
    <row r="2179" ht="15" customHeight="1">
      <c r="A2179" t="n">
        <v>44</v>
      </c>
      <c r="B2179" s="35">
        <f>IF(Setup!$B$8="","",Setup!$B$8)</f>
        <v/>
      </c>
      <c r="C2179" s="98" t="n"/>
      <c r="D2179" s="99" t="n"/>
      <c r="E2179" s="99" t="n"/>
      <c r="F2179" s="100" t="n"/>
      <c r="G2179" s="98" t="n"/>
      <c r="H2179" s="99" t="n"/>
      <c r="I2179" s="99" t="n"/>
      <c r="J2179" s="100" t="n"/>
      <c r="K2179" s="98" t="n"/>
      <c r="L2179" s="99" t="n"/>
      <c r="M2179" s="99" t="n"/>
      <c r="N2179" s="100" t="n"/>
      <c r="O2179" s="98" t="n"/>
      <c r="P2179" s="99" t="n"/>
      <c r="Q2179" s="99" t="n"/>
      <c r="R2179" s="100" t="n"/>
      <c r="S2179" s="98" t="n"/>
      <c r="T2179" s="99" t="n"/>
      <c r="U2179" s="99" t="n"/>
      <c r="V2179" s="100" t="n"/>
      <c r="W2179" s="98" t="n"/>
      <c r="X2179" s="100" t="n"/>
      <c r="Y2179" s="98" t="n"/>
      <c r="Z2179" s="100" t="n"/>
      <c r="AB2179" s="101">
        <f>IF($B2179="","",(COUNTIF(C2158:E2175,$B2179)+COUNTIF(C2158:E2175,$B2179&amp;" ~*")&gt;0)+(COUNTIF(G2158:I2175,$B2179)+COUNTIF(G2158:I2175,$B2179&amp;" ~*")&gt;0)+(COUNTIF(K2158:M2175,$B2179)+COUNTIF(K2158:M2175,$B2179&amp;" ~*")&gt;0)+(COUNTIF(O2158:Q2175,$B2179)+COUNTIF(O2158:Q2175,$B2179&amp;" ~*")&gt;0)+(COUNTIF(S2158:U2175,$B2179)+COUNTIF(S2158:U2175,$B2179&amp;" ~*")&gt;0)+(COUNTIF(W2158:W2175,$B2179)+COUNTIF(W2158:W2175,$B2179&amp;" ~*")&gt;0)+(COUNTIF(Y2158:Y2175,$B2179)+COUNTIF(Y2158:Y2175,$B2179&amp;" ~*")&gt;0))</f>
        <v/>
      </c>
      <c r="AC2179" s="36">
        <f>IF($B2179="","",(IFERROR(INDEX(Setup!$G$33:$G$40,MATCH(C2179,Setup!$B$33:$B$40,0)),0)=1)*(COUNTIF(C2158:E2175,$B2179)+COUNTIF(C2158:E2175,$B2179&amp;" ~*")&gt;0)+(IFERROR(INDEX(Setup!$G$33:$G$40,MATCH(G2179,Setup!$B$33:$B$40,0)),0)=1)*(COUNTIF(G2158:I2175,$B2179)+COUNTIF(G2158:I2175,$B2179&amp;" ~*")&gt;0)+(IFERROR(INDEX(Setup!$G$33:$G$40,MATCH(K2179,Setup!$B$33:$B$40,0)),0)=1)*(COUNTIF(K2158:M2175,$B2179)+COUNTIF(K2158:M2175,$B2179&amp;" ~*")&gt;0)+(IFERROR(INDEX(Setup!$G$33:$G$40,MATCH(O2179,Setup!$B$33:$B$40,0)),0)=1)*(COUNTIF(O2158:Q2175,$B2179)+COUNTIF(O2158:Q2175,$B2179&amp;" ~*")&gt;0)+(IFERROR(INDEX(Setup!$G$33:$G$40,MATCH(S2179,Setup!$B$33:$B$40,0)),0)=1)*(COUNTIF(S2158:U2175,$B2179)+COUNTIF(S2158:U2175,$B2179&amp;" ~*")&gt;0)+(IFERROR(INDEX(Setup!$G$33:$G$40,MATCH(W2179,Setup!$B$33:$B$40,0)),0)=1)*(COUNTIF(W2158:W2175,$B2179)+COUNTIF(W2158:W2175,$B2179&amp;" ~*")&gt;0)+(IFERROR(INDEX(Setup!$G$33:$G$40,MATCH(Y2179,Setup!$B$33:$B$40,0)),0)=1)*(COUNTIF(Y2158:Y2175,$B2179)+COUNTIF(Y2158:Y2175,$B2179&amp;" ~*")&gt;0))</f>
        <v/>
      </c>
    </row>
    <row r="2180" ht="15" customHeight="1">
      <c r="A2180" t="n">
        <v>44</v>
      </c>
      <c r="B2180" s="37">
        <f>IF(Setup!$B$9="","",Setup!$B$9)</f>
        <v/>
      </c>
      <c r="C2180" s="102" t="n"/>
      <c r="D2180" s="103" t="n"/>
      <c r="E2180" s="103" t="n"/>
      <c r="F2180" s="104" t="n"/>
      <c r="G2180" s="102" t="n"/>
      <c r="H2180" s="103" t="n"/>
      <c r="I2180" s="103" t="n"/>
      <c r="J2180" s="104" t="n"/>
      <c r="K2180" s="102" t="n"/>
      <c r="L2180" s="103" t="n"/>
      <c r="M2180" s="103" t="n"/>
      <c r="N2180" s="104" t="n"/>
      <c r="O2180" s="102" t="n"/>
      <c r="P2180" s="103" t="n"/>
      <c r="Q2180" s="103" t="n"/>
      <c r="R2180" s="104" t="n"/>
      <c r="S2180" s="102" t="n"/>
      <c r="T2180" s="103" t="n"/>
      <c r="U2180" s="103" t="n"/>
      <c r="V2180" s="104" t="n"/>
      <c r="W2180" s="102" t="n"/>
      <c r="X2180" s="104" t="n"/>
      <c r="Y2180" s="102" t="n"/>
      <c r="Z2180" s="104" t="n"/>
      <c r="AB2180" s="105">
        <f>IF($B2180="","",(COUNTIF(C2158:E2175,$B2180)+COUNTIF(C2158:E2175,$B2180&amp;" ~*")&gt;0)+(COUNTIF(G2158:I2175,$B2180)+COUNTIF(G2158:I2175,$B2180&amp;" ~*")&gt;0)+(COUNTIF(K2158:M2175,$B2180)+COUNTIF(K2158:M2175,$B2180&amp;" ~*")&gt;0)+(COUNTIF(O2158:Q2175,$B2180)+COUNTIF(O2158:Q2175,$B2180&amp;" ~*")&gt;0)+(COUNTIF(S2158:U2175,$B2180)+COUNTIF(S2158:U2175,$B2180&amp;" ~*")&gt;0)+(COUNTIF(W2158:W2175,$B2180)+COUNTIF(W2158:W2175,$B2180&amp;" ~*")&gt;0)+(COUNTIF(Y2158:Y2175,$B2180)+COUNTIF(Y2158:Y2175,$B2180&amp;" ~*")&gt;0))</f>
        <v/>
      </c>
      <c r="AC2180" s="38">
        <f>IF($B2180="","",(IFERROR(INDEX(Setup!$G$33:$G$40,MATCH(C2180,Setup!$B$33:$B$40,0)),0)=1)*(COUNTIF(C2158:E2175,$B2180)+COUNTIF(C2158:E2175,$B2180&amp;" ~*")&gt;0)+(IFERROR(INDEX(Setup!$G$33:$G$40,MATCH(G2180,Setup!$B$33:$B$40,0)),0)=1)*(COUNTIF(G2158:I2175,$B2180)+COUNTIF(G2158:I2175,$B2180&amp;" ~*")&gt;0)+(IFERROR(INDEX(Setup!$G$33:$G$40,MATCH(K2180,Setup!$B$33:$B$40,0)),0)=1)*(COUNTIF(K2158:M2175,$B2180)+COUNTIF(K2158:M2175,$B2180&amp;" ~*")&gt;0)+(IFERROR(INDEX(Setup!$G$33:$G$40,MATCH(O2180,Setup!$B$33:$B$40,0)),0)=1)*(COUNTIF(O2158:Q2175,$B2180)+COUNTIF(O2158:Q2175,$B2180&amp;" ~*")&gt;0)+(IFERROR(INDEX(Setup!$G$33:$G$40,MATCH(S2180,Setup!$B$33:$B$40,0)),0)=1)*(COUNTIF(S2158:U2175,$B2180)+COUNTIF(S2158:U2175,$B2180&amp;" ~*")&gt;0)+(IFERROR(INDEX(Setup!$G$33:$G$40,MATCH(W2180,Setup!$B$33:$B$40,0)),0)=1)*(COUNTIF(W2158:W2175,$B2180)+COUNTIF(W2158:W2175,$B2180&amp;" ~*")&gt;0)+(IFERROR(INDEX(Setup!$G$33:$G$40,MATCH(Y2180,Setup!$B$33:$B$40,0)),0)=1)*(COUNTIF(Y2158:Y2175,$B2180)+COUNTIF(Y2158:Y2175,$B2180&amp;" ~*")&gt;0))</f>
        <v/>
      </c>
    </row>
    <row r="2181" ht="15" customHeight="1">
      <c r="A2181" t="n">
        <v>44</v>
      </c>
      <c r="B2181" s="35">
        <f>IF(Setup!$B$10="","",Setup!$B$10)</f>
        <v/>
      </c>
      <c r="C2181" s="98" t="n"/>
      <c r="D2181" s="99" t="n"/>
      <c r="E2181" s="99" t="n"/>
      <c r="F2181" s="100" t="n"/>
      <c r="G2181" s="98" t="n"/>
      <c r="H2181" s="99" t="n"/>
      <c r="I2181" s="99" t="n"/>
      <c r="J2181" s="100" t="n"/>
      <c r="K2181" s="98" t="n"/>
      <c r="L2181" s="99" t="n"/>
      <c r="M2181" s="99" t="n"/>
      <c r="N2181" s="100" t="n"/>
      <c r="O2181" s="98" t="n"/>
      <c r="P2181" s="99" t="n"/>
      <c r="Q2181" s="99" t="n"/>
      <c r="R2181" s="100" t="n"/>
      <c r="S2181" s="98" t="n"/>
      <c r="T2181" s="99" t="n"/>
      <c r="U2181" s="99" t="n"/>
      <c r="V2181" s="100" t="n"/>
      <c r="W2181" s="98" t="n"/>
      <c r="X2181" s="100" t="n"/>
      <c r="Y2181" s="98" t="n"/>
      <c r="Z2181" s="100" t="n"/>
      <c r="AB2181" s="101">
        <f>IF($B2181="","",(COUNTIF(C2158:E2175,$B2181)+COUNTIF(C2158:E2175,$B2181&amp;" ~*")&gt;0)+(COUNTIF(G2158:I2175,$B2181)+COUNTIF(G2158:I2175,$B2181&amp;" ~*")&gt;0)+(COUNTIF(K2158:M2175,$B2181)+COUNTIF(K2158:M2175,$B2181&amp;" ~*")&gt;0)+(COUNTIF(O2158:Q2175,$B2181)+COUNTIF(O2158:Q2175,$B2181&amp;" ~*")&gt;0)+(COUNTIF(S2158:U2175,$B2181)+COUNTIF(S2158:U2175,$B2181&amp;" ~*")&gt;0)+(COUNTIF(W2158:W2175,$B2181)+COUNTIF(W2158:W2175,$B2181&amp;" ~*")&gt;0)+(COUNTIF(Y2158:Y2175,$B2181)+COUNTIF(Y2158:Y2175,$B2181&amp;" ~*")&gt;0))</f>
        <v/>
      </c>
      <c r="AC2181" s="36">
        <f>IF($B2181="","",(IFERROR(INDEX(Setup!$G$33:$G$40,MATCH(C2181,Setup!$B$33:$B$40,0)),0)=1)*(COUNTIF(C2158:E2175,$B2181)+COUNTIF(C2158:E2175,$B2181&amp;" ~*")&gt;0)+(IFERROR(INDEX(Setup!$G$33:$G$40,MATCH(G2181,Setup!$B$33:$B$40,0)),0)=1)*(COUNTIF(G2158:I2175,$B2181)+COUNTIF(G2158:I2175,$B2181&amp;" ~*")&gt;0)+(IFERROR(INDEX(Setup!$G$33:$G$40,MATCH(K2181,Setup!$B$33:$B$40,0)),0)=1)*(COUNTIF(K2158:M2175,$B2181)+COUNTIF(K2158:M2175,$B2181&amp;" ~*")&gt;0)+(IFERROR(INDEX(Setup!$G$33:$G$40,MATCH(O2181,Setup!$B$33:$B$40,0)),0)=1)*(COUNTIF(O2158:Q2175,$B2181)+COUNTIF(O2158:Q2175,$B2181&amp;" ~*")&gt;0)+(IFERROR(INDEX(Setup!$G$33:$G$40,MATCH(S2181,Setup!$B$33:$B$40,0)),0)=1)*(COUNTIF(S2158:U2175,$B2181)+COUNTIF(S2158:U2175,$B2181&amp;" ~*")&gt;0)+(IFERROR(INDEX(Setup!$G$33:$G$40,MATCH(W2181,Setup!$B$33:$B$40,0)),0)=1)*(COUNTIF(W2158:W2175,$B2181)+COUNTIF(W2158:W2175,$B2181&amp;" ~*")&gt;0)+(IFERROR(INDEX(Setup!$G$33:$G$40,MATCH(Y2181,Setup!$B$33:$B$40,0)),0)=1)*(COUNTIF(Y2158:Y2175,$B2181)+COUNTIF(Y2158:Y2175,$B2181&amp;" ~*")&gt;0))</f>
        <v/>
      </c>
    </row>
    <row r="2182" ht="15" customHeight="1">
      <c r="A2182" t="n">
        <v>44</v>
      </c>
      <c r="B2182" s="37">
        <f>IF(Setup!$B$11="","",Setup!$B$11)</f>
        <v/>
      </c>
      <c r="C2182" s="102" t="n"/>
      <c r="D2182" s="103" t="n"/>
      <c r="E2182" s="103" t="n"/>
      <c r="F2182" s="104" t="n"/>
      <c r="G2182" s="102" t="n"/>
      <c r="H2182" s="103" t="n"/>
      <c r="I2182" s="103" t="n"/>
      <c r="J2182" s="104" t="n"/>
      <c r="K2182" s="102" t="n"/>
      <c r="L2182" s="103" t="n"/>
      <c r="M2182" s="103" t="n"/>
      <c r="N2182" s="104" t="n"/>
      <c r="O2182" s="102" t="n"/>
      <c r="P2182" s="103" t="n"/>
      <c r="Q2182" s="103" t="n"/>
      <c r="R2182" s="104" t="n"/>
      <c r="S2182" s="102" t="n"/>
      <c r="T2182" s="103" t="n"/>
      <c r="U2182" s="103" t="n"/>
      <c r="V2182" s="104" t="n"/>
      <c r="W2182" s="102" t="n"/>
      <c r="X2182" s="104" t="n"/>
      <c r="Y2182" s="102" t="n"/>
      <c r="Z2182" s="104" t="n"/>
      <c r="AB2182" s="105">
        <f>IF($B2182="","",(COUNTIF(C2158:E2175,$B2182)+COUNTIF(C2158:E2175,$B2182&amp;" ~*")&gt;0)+(COUNTIF(G2158:I2175,$B2182)+COUNTIF(G2158:I2175,$B2182&amp;" ~*")&gt;0)+(COUNTIF(K2158:M2175,$B2182)+COUNTIF(K2158:M2175,$B2182&amp;" ~*")&gt;0)+(COUNTIF(O2158:Q2175,$B2182)+COUNTIF(O2158:Q2175,$B2182&amp;" ~*")&gt;0)+(COUNTIF(S2158:U2175,$B2182)+COUNTIF(S2158:U2175,$B2182&amp;" ~*")&gt;0)+(COUNTIF(W2158:W2175,$B2182)+COUNTIF(W2158:W2175,$B2182&amp;" ~*")&gt;0)+(COUNTIF(Y2158:Y2175,$B2182)+COUNTIF(Y2158:Y2175,$B2182&amp;" ~*")&gt;0))</f>
        <v/>
      </c>
      <c r="AC2182" s="38">
        <f>IF($B2182="","",(IFERROR(INDEX(Setup!$G$33:$G$40,MATCH(C2182,Setup!$B$33:$B$40,0)),0)=1)*(COUNTIF(C2158:E2175,$B2182)+COUNTIF(C2158:E2175,$B2182&amp;" ~*")&gt;0)+(IFERROR(INDEX(Setup!$G$33:$G$40,MATCH(G2182,Setup!$B$33:$B$40,0)),0)=1)*(COUNTIF(G2158:I2175,$B2182)+COUNTIF(G2158:I2175,$B2182&amp;" ~*")&gt;0)+(IFERROR(INDEX(Setup!$G$33:$G$40,MATCH(K2182,Setup!$B$33:$B$40,0)),0)=1)*(COUNTIF(K2158:M2175,$B2182)+COUNTIF(K2158:M2175,$B2182&amp;" ~*")&gt;0)+(IFERROR(INDEX(Setup!$G$33:$G$40,MATCH(O2182,Setup!$B$33:$B$40,0)),0)=1)*(COUNTIF(O2158:Q2175,$B2182)+COUNTIF(O2158:Q2175,$B2182&amp;" ~*")&gt;0)+(IFERROR(INDEX(Setup!$G$33:$G$40,MATCH(S2182,Setup!$B$33:$B$40,0)),0)=1)*(COUNTIF(S2158:U2175,$B2182)+COUNTIF(S2158:U2175,$B2182&amp;" ~*")&gt;0)+(IFERROR(INDEX(Setup!$G$33:$G$40,MATCH(W2182,Setup!$B$33:$B$40,0)),0)=1)*(COUNTIF(W2158:W2175,$B2182)+COUNTIF(W2158:W2175,$B2182&amp;" ~*")&gt;0)+(IFERROR(INDEX(Setup!$G$33:$G$40,MATCH(Y2182,Setup!$B$33:$B$40,0)),0)=1)*(COUNTIF(Y2158:Y2175,$B2182)+COUNTIF(Y2158:Y2175,$B2182&amp;" ~*")&gt;0))</f>
        <v/>
      </c>
    </row>
    <row r="2183" ht="15" customHeight="1">
      <c r="A2183" t="n">
        <v>44</v>
      </c>
      <c r="B2183" s="35">
        <f>IF(Setup!$B$12="","",Setup!$B$12)</f>
        <v/>
      </c>
      <c r="C2183" s="98" t="n"/>
      <c r="D2183" s="99" t="n"/>
      <c r="E2183" s="99" t="n"/>
      <c r="F2183" s="100" t="n"/>
      <c r="G2183" s="98" t="n"/>
      <c r="H2183" s="99" t="n"/>
      <c r="I2183" s="99" t="n"/>
      <c r="J2183" s="100" t="n"/>
      <c r="K2183" s="98" t="n"/>
      <c r="L2183" s="99" t="n"/>
      <c r="M2183" s="99" t="n"/>
      <c r="N2183" s="100" t="n"/>
      <c r="O2183" s="98" t="n"/>
      <c r="P2183" s="99" t="n"/>
      <c r="Q2183" s="99" t="n"/>
      <c r="R2183" s="100" t="n"/>
      <c r="S2183" s="98" t="n"/>
      <c r="T2183" s="99" t="n"/>
      <c r="U2183" s="99" t="n"/>
      <c r="V2183" s="100" t="n"/>
      <c r="W2183" s="98" t="n"/>
      <c r="X2183" s="100" t="n"/>
      <c r="Y2183" s="98" t="n"/>
      <c r="Z2183" s="100" t="n"/>
      <c r="AB2183" s="101">
        <f>IF($B2183="","",(COUNTIF(C2158:E2175,$B2183)+COUNTIF(C2158:E2175,$B2183&amp;" ~*")&gt;0)+(COUNTIF(G2158:I2175,$B2183)+COUNTIF(G2158:I2175,$B2183&amp;" ~*")&gt;0)+(COUNTIF(K2158:M2175,$B2183)+COUNTIF(K2158:M2175,$B2183&amp;" ~*")&gt;0)+(COUNTIF(O2158:Q2175,$B2183)+COUNTIF(O2158:Q2175,$B2183&amp;" ~*")&gt;0)+(COUNTIF(S2158:U2175,$B2183)+COUNTIF(S2158:U2175,$B2183&amp;" ~*")&gt;0)+(COUNTIF(W2158:W2175,$B2183)+COUNTIF(W2158:W2175,$B2183&amp;" ~*")&gt;0)+(COUNTIF(Y2158:Y2175,$B2183)+COUNTIF(Y2158:Y2175,$B2183&amp;" ~*")&gt;0))</f>
        <v/>
      </c>
      <c r="AC2183" s="36">
        <f>IF($B2183="","",(IFERROR(INDEX(Setup!$G$33:$G$40,MATCH(C2183,Setup!$B$33:$B$40,0)),0)=1)*(COUNTIF(C2158:E2175,$B2183)+COUNTIF(C2158:E2175,$B2183&amp;" ~*")&gt;0)+(IFERROR(INDEX(Setup!$G$33:$G$40,MATCH(G2183,Setup!$B$33:$B$40,0)),0)=1)*(COUNTIF(G2158:I2175,$B2183)+COUNTIF(G2158:I2175,$B2183&amp;" ~*")&gt;0)+(IFERROR(INDEX(Setup!$G$33:$G$40,MATCH(K2183,Setup!$B$33:$B$40,0)),0)=1)*(COUNTIF(K2158:M2175,$B2183)+COUNTIF(K2158:M2175,$B2183&amp;" ~*")&gt;0)+(IFERROR(INDEX(Setup!$G$33:$G$40,MATCH(O2183,Setup!$B$33:$B$40,0)),0)=1)*(COUNTIF(O2158:Q2175,$B2183)+COUNTIF(O2158:Q2175,$B2183&amp;" ~*")&gt;0)+(IFERROR(INDEX(Setup!$G$33:$G$40,MATCH(S2183,Setup!$B$33:$B$40,0)),0)=1)*(COUNTIF(S2158:U2175,$B2183)+COUNTIF(S2158:U2175,$B2183&amp;" ~*")&gt;0)+(IFERROR(INDEX(Setup!$G$33:$G$40,MATCH(W2183,Setup!$B$33:$B$40,0)),0)=1)*(COUNTIF(W2158:W2175,$B2183)+COUNTIF(W2158:W2175,$B2183&amp;" ~*")&gt;0)+(IFERROR(INDEX(Setup!$G$33:$G$40,MATCH(Y2183,Setup!$B$33:$B$40,0)),0)=1)*(COUNTIF(Y2158:Y2175,$B2183)+COUNTIF(Y2158:Y2175,$B2183&amp;" ~*")&gt;0))</f>
        <v/>
      </c>
    </row>
    <row r="2184" ht="15" customHeight="1">
      <c r="A2184" t="n">
        <v>44</v>
      </c>
      <c r="B2184" s="37">
        <f>IF(Setup!$B$13="","",Setup!$B$13)</f>
        <v/>
      </c>
      <c r="C2184" s="102" t="n"/>
      <c r="D2184" s="103" t="n"/>
      <c r="E2184" s="103" t="n"/>
      <c r="F2184" s="104" t="n"/>
      <c r="G2184" s="102" t="n"/>
      <c r="H2184" s="103" t="n"/>
      <c r="I2184" s="103" t="n"/>
      <c r="J2184" s="104" t="n"/>
      <c r="K2184" s="102" t="n"/>
      <c r="L2184" s="103" t="n"/>
      <c r="M2184" s="103" t="n"/>
      <c r="N2184" s="104" t="n"/>
      <c r="O2184" s="102" t="n"/>
      <c r="P2184" s="103" t="n"/>
      <c r="Q2184" s="103" t="n"/>
      <c r="R2184" s="104" t="n"/>
      <c r="S2184" s="102" t="n"/>
      <c r="T2184" s="103" t="n"/>
      <c r="U2184" s="103" t="n"/>
      <c r="V2184" s="104" t="n"/>
      <c r="W2184" s="102" t="n"/>
      <c r="X2184" s="104" t="n"/>
      <c r="Y2184" s="102" t="n"/>
      <c r="Z2184" s="104" t="n"/>
      <c r="AB2184" s="105">
        <f>IF($B2184="","",(COUNTIF(C2158:E2175,$B2184)+COUNTIF(C2158:E2175,$B2184&amp;" ~*")&gt;0)+(COUNTIF(G2158:I2175,$B2184)+COUNTIF(G2158:I2175,$B2184&amp;" ~*")&gt;0)+(COUNTIF(K2158:M2175,$B2184)+COUNTIF(K2158:M2175,$B2184&amp;" ~*")&gt;0)+(COUNTIF(O2158:Q2175,$B2184)+COUNTIF(O2158:Q2175,$B2184&amp;" ~*")&gt;0)+(COUNTIF(S2158:U2175,$B2184)+COUNTIF(S2158:U2175,$B2184&amp;" ~*")&gt;0)+(COUNTIF(W2158:W2175,$B2184)+COUNTIF(W2158:W2175,$B2184&amp;" ~*")&gt;0)+(COUNTIF(Y2158:Y2175,$B2184)+COUNTIF(Y2158:Y2175,$B2184&amp;" ~*")&gt;0))</f>
        <v/>
      </c>
      <c r="AC2184" s="38">
        <f>IF($B2184="","",(IFERROR(INDEX(Setup!$G$33:$G$40,MATCH(C2184,Setup!$B$33:$B$40,0)),0)=1)*(COUNTIF(C2158:E2175,$B2184)+COUNTIF(C2158:E2175,$B2184&amp;" ~*")&gt;0)+(IFERROR(INDEX(Setup!$G$33:$G$40,MATCH(G2184,Setup!$B$33:$B$40,0)),0)=1)*(COUNTIF(G2158:I2175,$B2184)+COUNTIF(G2158:I2175,$B2184&amp;" ~*")&gt;0)+(IFERROR(INDEX(Setup!$G$33:$G$40,MATCH(K2184,Setup!$B$33:$B$40,0)),0)=1)*(COUNTIF(K2158:M2175,$B2184)+COUNTIF(K2158:M2175,$B2184&amp;" ~*")&gt;0)+(IFERROR(INDEX(Setup!$G$33:$G$40,MATCH(O2184,Setup!$B$33:$B$40,0)),0)=1)*(COUNTIF(O2158:Q2175,$B2184)+COUNTIF(O2158:Q2175,$B2184&amp;" ~*")&gt;0)+(IFERROR(INDEX(Setup!$G$33:$G$40,MATCH(S2184,Setup!$B$33:$B$40,0)),0)=1)*(COUNTIF(S2158:U2175,$B2184)+COUNTIF(S2158:U2175,$B2184&amp;" ~*")&gt;0)+(IFERROR(INDEX(Setup!$G$33:$G$40,MATCH(W2184,Setup!$B$33:$B$40,0)),0)=1)*(COUNTIF(W2158:W2175,$B2184)+COUNTIF(W2158:W2175,$B2184&amp;" ~*")&gt;0)+(IFERROR(INDEX(Setup!$G$33:$G$40,MATCH(Y2184,Setup!$B$33:$B$40,0)),0)=1)*(COUNTIF(Y2158:Y2175,$B2184)+COUNTIF(Y2158:Y2175,$B2184&amp;" ~*")&gt;0))</f>
        <v/>
      </c>
    </row>
    <row r="2185" ht="15" customHeight="1">
      <c r="A2185" t="n">
        <v>44</v>
      </c>
      <c r="B2185" s="35">
        <f>IF(Setup!$B$14="","",Setup!$B$14)</f>
        <v/>
      </c>
      <c r="C2185" s="98" t="n"/>
      <c r="D2185" s="99" t="n"/>
      <c r="E2185" s="99" t="n"/>
      <c r="F2185" s="100" t="n"/>
      <c r="G2185" s="98" t="n"/>
      <c r="H2185" s="99" t="n"/>
      <c r="I2185" s="99" t="n"/>
      <c r="J2185" s="100" t="n"/>
      <c r="K2185" s="98" t="n"/>
      <c r="L2185" s="99" t="n"/>
      <c r="M2185" s="99" t="n"/>
      <c r="N2185" s="100" t="n"/>
      <c r="O2185" s="98" t="n"/>
      <c r="P2185" s="99" t="n"/>
      <c r="Q2185" s="99" t="n"/>
      <c r="R2185" s="100" t="n"/>
      <c r="S2185" s="98" t="n"/>
      <c r="T2185" s="99" t="n"/>
      <c r="U2185" s="99" t="n"/>
      <c r="V2185" s="100" t="n"/>
      <c r="W2185" s="98" t="n"/>
      <c r="X2185" s="100" t="n"/>
      <c r="Y2185" s="98" t="n"/>
      <c r="Z2185" s="100" t="n"/>
      <c r="AB2185" s="101">
        <f>IF($B2185="","",(COUNTIF(C2158:E2175,$B2185)+COUNTIF(C2158:E2175,$B2185&amp;" ~*")&gt;0)+(COUNTIF(G2158:I2175,$B2185)+COUNTIF(G2158:I2175,$B2185&amp;" ~*")&gt;0)+(COUNTIF(K2158:M2175,$B2185)+COUNTIF(K2158:M2175,$B2185&amp;" ~*")&gt;0)+(COUNTIF(O2158:Q2175,$B2185)+COUNTIF(O2158:Q2175,$B2185&amp;" ~*")&gt;0)+(COUNTIF(S2158:U2175,$B2185)+COUNTIF(S2158:U2175,$B2185&amp;" ~*")&gt;0)+(COUNTIF(W2158:W2175,$B2185)+COUNTIF(W2158:W2175,$B2185&amp;" ~*")&gt;0)+(COUNTIF(Y2158:Y2175,$B2185)+COUNTIF(Y2158:Y2175,$B2185&amp;" ~*")&gt;0))</f>
        <v/>
      </c>
      <c r="AC2185" s="36">
        <f>IF($B2185="","",(IFERROR(INDEX(Setup!$G$33:$G$40,MATCH(C2185,Setup!$B$33:$B$40,0)),0)=1)*(COUNTIF(C2158:E2175,$B2185)+COUNTIF(C2158:E2175,$B2185&amp;" ~*")&gt;0)+(IFERROR(INDEX(Setup!$G$33:$G$40,MATCH(G2185,Setup!$B$33:$B$40,0)),0)=1)*(COUNTIF(G2158:I2175,$B2185)+COUNTIF(G2158:I2175,$B2185&amp;" ~*")&gt;0)+(IFERROR(INDEX(Setup!$G$33:$G$40,MATCH(K2185,Setup!$B$33:$B$40,0)),0)=1)*(COUNTIF(K2158:M2175,$B2185)+COUNTIF(K2158:M2175,$B2185&amp;" ~*")&gt;0)+(IFERROR(INDEX(Setup!$G$33:$G$40,MATCH(O2185,Setup!$B$33:$B$40,0)),0)=1)*(COUNTIF(O2158:Q2175,$B2185)+COUNTIF(O2158:Q2175,$B2185&amp;" ~*")&gt;0)+(IFERROR(INDEX(Setup!$G$33:$G$40,MATCH(S2185,Setup!$B$33:$B$40,0)),0)=1)*(COUNTIF(S2158:U2175,$B2185)+COUNTIF(S2158:U2175,$B2185&amp;" ~*")&gt;0)+(IFERROR(INDEX(Setup!$G$33:$G$40,MATCH(W2185,Setup!$B$33:$B$40,0)),0)=1)*(COUNTIF(W2158:W2175,$B2185)+COUNTIF(W2158:W2175,$B2185&amp;" ~*")&gt;0)+(IFERROR(INDEX(Setup!$G$33:$G$40,MATCH(Y2185,Setup!$B$33:$B$40,0)),0)=1)*(COUNTIF(Y2158:Y2175,$B2185)+COUNTIF(Y2158:Y2175,$B2185&amp;" ~*")&gt;0))</f>
        <v/>
      </c>
    </row>
    <row r="2186" ht="15" customHeight="1">
      <c r="A2186" t="n">
        <v>44</v>
      </c>
      <c r="B2186" s="37">
        <f>IF(Setup!$B$15="","",Setup!$B$15)</f>
        <v/>
      </c>
      <c r="C2186" s="102" t="n"/>
      <c r="D2186" s="103" t="n"/>
      <c r="E2186" s="103" t="n"/>
      <c r="F2186" s="104" t="n"/>
      <c r="G2186" s="102" t="n"/>
      <c r="H2186" s="103" t="n"/>
      <c r="I2186" s="103" t="n"/>
      <c r="J2186" s="104" t="n"/>
      <c r="K2186" s="102" t="n"/>
      <c r="L2186" s="103" t="n"/>
      <c r="M2186" s="103" t="n"/>
      <c r="N2186" s="104" t="n"/>
      <c r="O2186" s="102" t="n"/>
      <c r="P2186" s="103" t="n"/>
      <c r="Q2186" s="103" t="n"/>
      <c r="R2186" s="104" t="n"/>
      <c r="S2186" s="102" t="n"/>
      <c r="T2186" s="103" t="n"/>
      <c r="U2186" s="103" t="n"/>
      <c r="V2186" s="104" t="n"/>
      <c r="W2186" s="102" t="n"/>
      <c r="X2186" s="104" t="n"/>
      <c r="Y2186" s="102" t="n"/>
      <c r="Z2186" s="104" t="n"/>
      <c r="AB2186" s="105">
        <f>IF($B2186="","",(COUNTIF(C2158:E2175,$B2186)+COUNTIF(C2158:E2175,$B2186&amp;" ~*")&gt;0)+(COUNTIF(G2158:I2175,$B2186)+COUNTIF(G2158:I2175,$B2186&amp;" ~*")&gt;0)+(COUNTIF(K2158:M2175,$B2186)+COUNTIF(K2158:M2175,$B2186&amp;" ~*")&gt;0)+(COUNTIF(O2158:Q2175,$B2186)+COUNTIF(O2158:Q2175,$B2186&amp;" ~*")&gt;0)+(COUNTIF(S2158:U2175,$B2186)+COUNTIF(S2158:U2175,$B2186&amp;" ~*")&gt;0)+(COUNTIF(W2158:W2175,$B2186)+COUNTIF(W2158:W2175,$B2186&amp;" ~*")&gt;0)+(COUNTIF(Y2158:Y2175,$B2186)+COUNTIF(Y2158:Y2175,$B2186&amp;" ~*")&gt;0))</f>
        <v/>
      </c>
      <c r="AC2186" s="38">
        <f>IF($B2186="","",(IFERROR(INDEX(Setup!$G$33:$G$40,MATCH(C2186,Setup!$B$33:$B$40,0)),0)=1)*(COUNTIF(C2158:E2175,$B2186)+COUNTIF(C2158:E2175,$B2186&amp;" ~*")&gt;0)+(IFERROR(INDEX(Setup!$G$33:$G$40,MATCH(G2186,Setup!$B$33:$B$40,0)),0)=1)*(COUNTIF(G2158:I2175,$B2186)+COUNTIF(G2158:I2175,$B2186&amp;" ~*")&gt;0)+(IFERROR(INDEX(Setup!$G$33:$G$40,MATCH(K2186,Setup!$B$33:$B$40,0)),0)=1)*(COUNTIF(K2158:M2175,$B2186)+COUNTIF(K2158:M2175,$B2186&amp;" ~*")&gt;0)+(IFERROR(INDEX(Setup!$G$33:$G$40,MATCH(O2186,Setup!$B$33:$B$40,0)),0)=1)*(COUNTIF(O2158:Q2175,$B2186)+COUNTIF(O2158:Q2175,$B2186&amp;" ~*")&gt;0)+(IFERROR(INDEX(Setup!$G$33:$G$40,MATCH(S2186,Setup!$B$33:$B$40,0)),0)=1)*(COUNTIF(S2158:U2175,$B2186)+COUNTIF(S2158:U2175,$B2186&amp;" ~*")&gt;0)+(IFERROR(INDEX(Setup!$G$33:$G$40,MATCH(W2186,Setup!$B$33:$B$40,0)),0)=1)*(COUNTIF(W2158:W2175,$B2186)+COUNTIF(W2158:W2175,$B2186&amp;" ~*")&gt;0)+(IFERROR(INDEX(Setup!$G$33:$G$40,MATCH(Y2186,Setup!$B$33:$B$40,0)),0)=1)*(COUNTIF(Y2158:Y2175,$B2186)+COUNTIF(Y2158:Y2175,$B2186&amp;" ~*")&gt;0))</f>
        <v/>
      </c>
    </row>
    <row r="2187" ht="15" customHeight="1">
      <c r="A2187" t="n">
        <v>44</v>
      </c>
      <c r="B2187" s="35">
        <f>IF(Setup!$B$16="","",Setup!$B$16)</f>
        <v/>
      </c>
      <c r="C2187" s="98" t="n"/>
      <c r="D2187" s="99" t="n"/>
      <c r="E2187" s="99" t="n"/>
      <c r="F2187" s="100" t="n"/>
      <c r="G2187" s="98" t="n"/>
      <c r="H2187" s="99" t="n"/>
      <c r="I2187" s="99" t="n"/>
      <c r="J2187" s="100" t="n"/>
      <c r="K2187" s="98" t="n"/>
      <c r="L2187" s="99" t="n"/>
      <c r="M2187" s="99" t="n"/>
      <c r="N2187" s="100" t="n"/>
      <c r="O2187" s="98" t="n"/>
      <c r="P2187" s="99" t="n"/>
      <c r="Q2187" s="99" t="n"/>
      <c r="R2187" s="100" t="n"/>
      <c r="S2187" s="98" t="n"/>
      <c r="T2187" s="99" t="n"/>
      <c r="U2187" s="99" t="n"/>
      <c r="V2187" s="100" t="n"/>
      <c r="W2187" s="98" t="n"/>
      <c r="X2187" s="100" t="n"/>
      <c r="Y2187" s="98" t="n"/>
      <c r="Z2187" s="100" t="n"/>
      <c r="AB2187" s="101">
        <f>IF($B2187="","",(COUNTIF(C2158:E2175,$B2187)+COUNTIF(C2158:E2175,$B2187&amp;" ~*")&gt;0)+(COUNTIF(G2158:I2175,$B2187)+COUNTIF(G2158:I2175,$B2187&amp;" ~*")&gt;0)+(COUNTIF(K2158:M2175,$B2187)+COUNTIF(K2158:M2175,$B2187&amp;" ~*")&gt;0)+(COUNTIF(O2158:Q2175,$B2187)+COUNTIF(O2158:Q2175,$B2187&amp;" ~*")&gt;0)+(COUNTIF(S2158:U2175,$B2187)+COUNTIF(S2158:U2175,$B2187&amp;" ~*")&gt;0)+(COUNTIF(W2158:W2175,$B2187)+COUNTIF(W2158:W2175,$B2187&amp;" ~*")&gt;0)+(COUNTIF(Y2158:Y2175,$B2187)+COUNTIF(Y2158:Y2175,$B2187&amp;" ~*")&gt;0))</f>
        <v/>
      </c>
      <c r="AC2187" s="36">
        <f>IF($B2187="","",(IFERROR(INDEX(Setup!$G$33:$G$40,MATCH(C2187,Setup!$B$33:$B$40,0)),0)=1)*(COUNTIF(C2158:E2175,$B2187)+COUNTIF(C2158:E2175,$B2187&amp;" ~*")&gt;0)+(IFERROR(INDEX(Setup!$G$33:$G$40,MATCH(G2187,Setup!$B$33:$B$40,0)),0)=1)*(COUNTIF(G2158:I2175,$B2187)+COUNTIF(G2158:I2175,$B2187&amp;" ~*")&gt;0)+(IFERROR(INDEX(Setup!$G$33:$G$40,MATCH(K2187,Setup!$B$33:$B$40,0)),0)=1)*(COUNTIF(K2158:M2175,$B2187)+COUNTIF(K2158:M2175,$B2187&amp;" ~*")&gt;0)+(IFERROR(INDEX(Setup!$G$33:$G$40,MATCH(O2187,Setup!$B$33:$B$40,0)),0)=1)*(COUNTIF(O2158:Q2175,$B2187)+COUNTIF(O2158:Q2175,$B2187&amp;" ~*")&gt;0)+(IFERROR(INDEX(Setup!$G$33:$G$40,MATCH(S2187,Setup!$B$33:$B$40,0)),0)=1)*(COUNTIF(S2158:U2175,$B2187)+COUNTIF(S2158:U2175,$B2187&amp;" ~*")&gt;0)+(IFERROR(INDEX(Setup!$G$33:$G$40,MATCH(W2187,Setup!$B$33:$B$40,0)),0)=1)*(COUNTIF(W2158:W2175,$B2187)+COUNTIF(W2158:W2175,$B2187&amp;" ~*")&gt;0)+(IFERROR(INDEX(Setup!$G$33:$G$40,MATCH(Y2187,Setup!$B$33:$B$40,0)),0)=1)*(COUNTIF(Y2158:Y2175,$B2187)+COUNTIF(Y2158:Y2175,$B2187&amp;" ~*")&gt;0))</f>
        <v/>
      </c>
    </row>
    <row r="2188" ht="15" customHeight="1">
      <c r="A2188" t="n">
        <v>44</v>
      </c>
      <c r="B2188" s="37">
        <f>IF(Setup!$B$17="","",Setup!$B$17)</f>
        <v/>
      </c>
      <c r="C2188" s="102" t="n"/>
      <c r="D2188" s="103" t="n"/>
      <c r="E2188" s="103" t="n"/>
      <c r="F2188" s="104" t="n"/>
      <c r="G2188" s="102" t="n"/>
      <c r="H2188" s="103" t="n"/>
      <c r="I2188" s="103" t="n"/>
      <c r="J2188" s="104" t="n"/>
      <c r="K2188" s="102" t="n"/>
      <c r="L2188" s="103" t="n"/>
      <c r="M2188" s="103" t="n"/>
      <c r="N2188" s="104" t="n"/>
      <c r="O2188" s="102" t="n"/>
      <c r="P2188" s="103" t="n"/>
      <c r="Q2188" s="103" t="n"/>
      <c r="R2188" s="104" t="n"/>
      <c r="S2188" s="102" t="n"/>
      <c r="T2188" s="103" t="n"/>
      <c r="U2188" s="103" t="n"/>
      <c r="V2188" s="104" t="n"/>
      <c r="W2188" s="102" t="n"/>
      <c r="X2188" s="104" t="n"/>
      <c r="Y2188" s="102" t="n"/>
      <c r="Z2188" s="104" t="n"/>
      <c r="AB2188" s="105">
        <f>IF($B2188="","",(COUNTIF(C2158:E2175,$B2188)+COUNTIF(C2158:E2175,$B2188&amp;" ~*")&gt;0)+(COUNTIF(G2158:I2175,$B2188)+COUNTIF(G2158:I2175,$B2188&amp;" ~*")&gt;0)+(COUNTIF(K2158:M2175,$B2188)+COUNTIF(K2158:M2175,$B2188&amp;" ~*")&gt;0)+(COUNTIF(O2158:Q2175,$B2188)+COUNTIF(O2158:Q2175,$B2188&amp;" ~*")&gt;0)+(COUNTIF(S2158:U2175,$B2188)+COUNTIF(S2158:U2175,$B2188&amp;" ~*")&gt;0)+(COUNTIF(W2158:W2175,$B2188)+COUNTIF(W2158:W2175,$B2188&amp;" ~*")&gt;0)+(COUNTIF(Y2158:Y2175,$B2188)+COUNTIF(Y2158:Y2175,$B2188&amp;" ~*")&gt;0))</f>
        <v/>
      </c>
      <c r="AC2188" s="38">
        <f>IF($B2188="","",(IFERROR(INDEX(Setup!$G$33:$G$40,MATCH(C2188,Setup!$B$33:$B$40,0)),0)=1)*(COUNTIF(C2158:E2175,$B2188)+COUNTIF(C2158:E2175,$B2188&amp;" ~*")&gt;0)+(IFERROR(INDEX(Setup!$G$33:$G$40,MATCH(G2188,Setup!$B$33:$B$40,0)),0)=1)*(COUNTIF(G2158:I2175,$B2188)+COUNTIF(G2158:I2175,$B2188&amp;" ~*")&gt;0)+(IFERROR(INDEX(Setup!$G$33:$G$40,MATCH(K2188,Setup!$B$33:$B$40,0)),0)=1)*(COUNTIF(K2158:M2175,$B2188)+COUNTIF(K2158:M2175,$B2188&amp;" ~*")&gt;0)+(IFERROR(INDEX(Setup!$G$33:$G$40,MATCH(O2188,Setup!$B$33:$B$40,0)),0)=1)*(COUNTIF(O2158:Q2175,$B2188)+COUNTIF(O2158:Q2175,$B2188&amp;" ~*")&gt;0)+(IFERROR(INDEX(Setup!$G$33:$G$40,MATCH(S2188,Setup!$B$33:$B$40,0)),0)=1)*(COUNTIF(S2158:U2175,$B2188)+COUNTIF(S2158:U2175,$B2188&amp;" ~*")&gt;0)+(IFERROR(INDEX(Setup!$G$33:$G$40,MATCH(W2188,Setup!$B$33:$B$40,0)),0)=1)*(COUNTIF(W2158:W2175,$B2188)+COUNTIF(W2158:W2175,$B2188&amp;" ~*")&gt;0)+(IFERROR(INDEX(Setup!$G$33:$G$40,MATCH(Y2188,Setup!$B$33:$B$40,0)),0)=1)*(COUNTIF(Y2158:Y2175,$B2188)+COUNTIF(Y2158:Y2175,$B2188&amp;" ~*")&gt;0))</f>
        <v/>
      </c>
    </row>
    <row r="2189" ht="15" customHeight="1">
      <c r="A2189" t="n">
        <v>44</v>
      </c>
      <c r="B2189" s="35">
        <f>IF(Setup!$B$18="","",Setup!$B$18)</f>
        <v/>
      </c>
      <c r="C2189" s="98" t="n"/>
      <c r="D2189" s="99" t="n"/>
      <c r="E2189" s="99" t="n"/>
      <c r="F2189" s="100" t="n"/>
      <c r="G2189" s="98" t="n"/>
      <c r="H2189" s="99" t="n"/>
      <c r="I2189" s="99" t="n"/>
      <c r="J2189" s="100" t="n"/>
      <c r="K2189" s="98" t="n"/>
      <c r="L2189" s="99" t="n"/>
      <c r="M2189" s="99" t="n"/>
      <c r="N2189" s="100" t="n"/>
      <c r="O2189" s="98" t="n"/>
      <c r="P2189" s="99" t="n"/>
      <c r="Q2189" s="99" t="n"/>
      <c r="R2189" s="100" t="n"/>
      <c r="S2189" s="98" t="n"/>
      <c r="T2189" s="99" t="n"/>
      <c r="U2189" s="99" t="n"/>
      <c r="V2189" s="100" t="n"/>
      <c r="W2189" s="98" t="n"/>
      <c r="X2189" s="100" t="n"/>
      <c r="Y2189" s="98" t="n"/>
      <c r="Z2189" s="100" t="n"/>
      <c r="AB2189" s="101">
        <f>IF($B2189="","",(COUNTIF(C2158:E2175,$B2189)+COUNTIF(C2158:E2175,$B2189&amp;" ~*")&gt;0)+(COUNTIF(G2158:I2175,$B2189)+COUNTIF(G2158:I2175,$B2189&amp;" ~*")&gt;0)+(COUNTIF(K2158:M2175,$B2189)+COUNTIF(K2158:M2175,$B2189&amp;" ~*")&gt;0)+(COUNTIF(O2158:Q2175,$B2189)+COUNTIF(O2158:Q2175,$B2189&amp;" ~*")&gt;0)+(COUNTIF(S2158:U2175,$B2189)+COUNTIF(S2158:U2175,$B2189&amp;" ~*")&gt;0)+(COUNTIF(W2158:W2175,$B2189)+COUNTIF(W2158:W2175,$B2189&amp;" ~*")&gt;0)+(COUNTIF(Y2158:Y2175,$B2189)+COUNTIF(Y2158:Y2175,$B2189&amp;" ~*")&gt;0))</f>
        <v/>
      </c>
      <c r="AC2189" s="36">
        <f>IF($B2189="","",(IFERROR(INDEX(Setup!$G$33:$G$40,MATCH(C2189,Setup!$B$33:$B$40,0)),0)=1)*(COUNTIF(C2158:E2175,$B2189)+COUNTIF(C2158:E2175,$B2189&amp;" ~*")&gt;0)+(IFERROR(INDEX(Setup!$G$33:$G$40,MATCH(G2189,Setup!$B$33:$B$40,0)),0)=1)*(COUNTIF(G2158:I2175,$B2189)+COUNTIF(G2158:I2175,$B2189&amp;" ~*")&gt;0)+(IFERROR(INDEX(Setup!$G$33:$G$40,MATCH(K2189,Setup!$B$33:$B$40,0)),0)=1)*(COUNTIF(K2158:M2175,$B2189)+COUNTIF(K2158:M2175,$B2189&amp;" ~*")&gt;0)+(IFERROR(INDEX(Setup!$G$33:$G$40,MATCH(O2189,Setup!$B$33:$B$40,0)),0)=1)*(COUNTIF(O2158:Q2175,$B2189)+COUNTIF(O2158:Q2175,$B2189&amp;" ~*")&gt;0)+(IFERROR(INDEX(Setup!$G$33:$G$40,MATCH(S2189,Setup!$B$33:$B$40,0)),0)=1)*(COUNTIF(S2158:U2175,$B2189)+COUNTIF(S2158:U2175,$B2189&amp;" ~*")&gt;0)+(IFERROR(INDEX(Setup!$G$33:$G$40,MATCH(W2189,Setup!$B$33:$B$40,0)),0)=1)*(COUNTIF(W2158:W2175,$B2189)+COUNTIF(W2158:W2175,$B2189&amp;" ~*")&gt;0)+(IFERROR(INDEX(Setup!$G$33:$G$40,MATCH(Y2189,Setup!$B$33:$B$40,0)),0)=1)*(COUNTIF(Y2158:Y2175,$B2189)+COUNTIF(Y2158:Y2175,$B2189&amp;" ~*")&gt;0))</f>
        <v/>
      </c>
    </row>
    <row r="2190" ht="15" customHeight="1">
      <c r="A2190" t="n">
        <v>44</v>
      </c>
      <c r="B2190" s="37">
        <f>IF(Setup!$B$19="","",Setup!$B$19)</f>
        <v/>
      </c>
      <c r="C2190" s="102" t="n"/>
      <c r="D2190" s="103" t="n"/>
      <c r="E2190" s="103" t="n"/>
      <c r="F2190" s="104" t="n"/>
      <c r="G2190" s="102" t="n"/>
      <c r="H2190" s="103" t="n"/>
      <c r="I2190" s="103" t="n"/>
      <c r="J2190" s="104" t="n"/>
      <c r="K2190" s="102" t="n"/>
      <c r="L2190" s="103" t="n"/>
      <c r="M2190" s="103" t="n"/>
      <c r="N2190" s="104" t="n"/>
      <c r="O2190" s="102" t="n"/>
      <c r="P2190" s="103" t="n"/>
      <c r="Q2190" s="103" t="n"/>
      <c r="R2190" s="104" t="n"/>
      <c r="S2190" s="102" t="n"/>
      <c r="T2190" s="103" t="n"/>
      <c r="U2190" s="103" t="n"/>
      <c r="V2190" s="104" t="n"/>
      <c r="W2190" s="102" t="n"/>
      <c r="X2190" s="104" t="n"/>
      <c r="Y2190" s="102" t="n"/>
      <c r="Z2190" s="104" t="n"/>
      <c r="AB2190" s="105">
        <f>IF($B2190="","",(COUNTIF(C2158:E2175,$B2190)+COUNTIF(C2158:E2175,$B2190&amp;" ~*")&gt;0)+(COUNTIF(G2158:I2175,$B2190)+COUNTIF(G2158:I2175,$B2190&amp;" ~*")&gt;0)+(COUNTIF(K2158:M2175,$B2190)+COUNTIF(K2158:M2175,$B2190&amp;" ~*")&gt;0)+(COUNTIF(O2158:Q2175,$B2190)+COUNTIF(O2158:Q2175,$B2190&amp;" ~*")&gt;0)+(COUNTIF(S2158:U2175,$B2190)+COUNTIF(S2158:U2175,$B2190&amp;" ~*")&gt;0)+(COUNTIF(W2158:W2175,$B2190)+COUNTIF(W2158:W2175,$B2190&amp;" ~*")&gt;0)+(COUNTIF(Y2158:Y2175,$B2190)+COUNTIF(Y2158:Y2175,$B2190&amp;" ~*")&gt;0))</f>
        <v/>
      </c>
      <c r="AC2190" s="38">
        <f>IF($B2190="","",(IFERROR(INDEX(Setup!$G$33:$G$40,MATCH(C2190,Setup!$B$33:$B$40,0)),0)=1)*(COUNTIF(C2158:E2175,$B2190)+COUNTIF(C2158:E2175,$B2190&amp;" ~*")&gt;0)+(IFERROR(INDEX(Setup!$G$33:$G$40,MATCH(G2190,Setup!$B$33:$B$40,0)),0)=1)*(COUNTIF(G2158:I2175,$B2190)+COUNTIF(G2158:I2175,$B2190&amp;" ~*")&gt;0)+(IFERROR(INDEX(Setup!$G$33:$G$40,MATCH(K2190,Setup!$B$33:$B$40,0)),0)=1)*(COUNTIF(K2158:M2175,$B2190)+COUNTIF(K2158:M2175,$B2190&amp;" ~*")&gt;0)+(IFERROR(INDEX(Setup!$G$33:$G$40,MATCH(O2190,Setup!$B$33:$B$40,0)),0)=1)*(COUNTIF(O2158:Q2175,$B2190)+COUNTIF(O2158:Q2175,$B2190&amp;" ~*")&gt;0)+(IFERROR(INDEX(Setup!$G$33:$G$40,MATCH(S2190,Setup!$B$33:$B$40,0)),0)=1)*(COUNTIF(S2158:U2175,$B2190)+COUNTIF(S2158:U2175,$B2190&amp;" ~*")&gt;0)+(IFERROR(INDEX(Setup!$G$33:$G$40,MATCH(W2190,Setup!$B$33:$B$40,0)),0)=1)*(COUNTIF(W2158:W2175,$B2190)+COUNTIF(W2158:W2175,$B2190&amp;" ~*")&gt;0)+(IFERROR(INDEX(Setup!$G$33:$G$40,MATCH(Y2190,Setup!$B$33:$B$40,0)),0)=1)*(COUNTIF(Y2158:Y2175,$B2190)+COUNTIF(Y2158:Y2175,$B2190&amp;" ~*")&gt;0))</f>
        <v/>
      </c>
    </row>
    <row r="2191" ht="15" customHeight="1">
      <c r="A2191" t="n">
        <v>44</v>
      </c>
      <c r="B2191" s="35">
        <f>IF(Setup!$B$20="","",Setup!$B$20)</f>
        <v/>
      </c>
      <c r="C2191" s="98" t="n"/>
      <c r="D2191" s="99" t="n"/>
      <c r="E2191" s="99" t="n"/>
      <c r="F2191" s="100" t="n"/>
      <c r="G2191" s="98" t="n"/>
      <c r="H2191" s="99" t="n"/>
      <c r="I2191" s="99" t="n"/>
      <c r="J2191" s="100" t="n"/>
      <c r="K2191" s="98" t="n"/>
      <c r="L2191" s="99" t="n"/>
      <c r="M2191" s="99" t="n"/>
      <c r="N2191" s="100" t="n"/>
      <c r="O2191" s="98" t="n"/>
      <c r="P2191" s="99" t="n"/>
      <c r="Q2191" s="99" t="n"/>
      <c r="R2191" s="100" t="n"/>
      <c r="S2191" s="98" t="n"/>
      <c r="T2191" s="99" t="n"/>
      <c r="U2191" s="99" t="n"/>
      <c r="V2191" s="100" t="n"/>
      <c r="W2191" s="98" t="n"/>
      <c r="X2191" s="100" t="n"/>
      <c r="Y2191" s="98" t="n"/>
      <c r="Z2191" s="100" t="n"/>
      <c r="AB2191" s="101">
        <f>IF($B2191="","",(COUNTIF(C2158:E2175,$B2191)+COUNTIF(C2158:E2175,$B2191&amp;" ~*")&gt;0)+(COUNTIF(G2158:I2175,$B2191)+COUNTIF(G2158:I2175,$B2191&amp;" ~*")&gt;0)+(COUNTIF(K2158:M2175,$B2191)+COUNTIF(K2158:M2175,$B2191&amp;" ~*")&gt;0)+(COUNTIF(O2158:Q2175,$B2191)+COUNTIF(O2158:Q2175,$B2191&amp;" ~*")&gt;0)+(COUNTIF(S2158:U2175,$B2191)+COUNTIF(S2158:U2175,$B2191&amp;" ~*")&gt;0)+(COUNTIF(W2158:W2175,$B2191)+COUNTIF(W2158:W2175,$B2191&amp;" ~*")&gt;0)+(COUNTIF(Y2158:Y2175,$B2191)+COUNTIF(Y2158:Y2175,$B2191&amp;" ~*")&gt;0))</f>
        <v/>
      </c>
      <c r="AC2191" s="36">
        <f>IF($B2191="","",(IFERROR(INDEX(Setup!$G$33:$G$40,MATCH(C2191,Setup!$B$33:$B$40,0)),0)=1)*(COUNTIF(C2158:E2175,$B2191)+COUNTIF(C2158:E2175,$B2191&amp;" ~*")&gt;0)+(IFERROR(INDEX(Setup!$G$33:$G$40,MATCH(G2191,Setup!$B$33:$B$40,0)),0)=1)*(COUNTIF(G2158:I2175,$B2191)+COUNTIF(G2158:I2175,$B2191&amp;" ~*")&gt;0)+(IFERROR(INDEX(Setup!$G$33:$G$40,MATCH(K2191,Setup!$B$33:$B$40,0)),0)=1)*(COUNTIF(K2158:M2175,$B2191)+COUNTIF(K2158:M2175,$B2191&amp;" ~*")&gt;0)+(IFERROR(INDEX(Setup!$G$33:$G$40,MATCH(O2191,Setup!$B$33:$B$40,0)),0)=1)*(COUNTIF(O2158:Q2175,$B2191)+COUNTIF(O2158:Q2175,$B2191&amp;" ~*")&gt;0)+(IFERROR(INDEX(Setup!$G$33:$G$40,MATCH(S2191,Setup!$B$33:$B$40,0)),0)=1)*(COUNTIF(S2158:U2175,$B2191)+COUNTIF(S2158:U2175,$B2191&amp;" ~*")&gt;0)+(IFERROR(INDEX(Setup!$G$33:$G$40,MATCH(W2191,Setup!$B$33:$B$40,0)),0)=1)*(COUNTIF(W2158:W2175,$B2191)+COUNTIF(W2158:W2175,$B2191&amp;" ~*")&gt;0)+(IFERROR(INDEX(Setup!$G$33:$G$40,MATCH(Y2191,Setup!$B$33:$B$40,0)),0)=1)*(COUNTIF(Y2158:Y2175,$B2191)+COUNTIF(Y2158:Y2175,$B2191&amp;" ~*")&gt;0))</f>
        <v/>
      </c>
    </row>
    <row r="2192" ht="15" customHeight="1">
      <c r="A2192" t="n">
        <v>44</v>
      </c>
      <c r="B2192" s="37">
        <f>IF(Setup!$B$21="","",Setup!$B$21)</f>
        <v/>
      </c>
      <c r="C2192" s="102" t="n"/>
      <c r="D2192" s="103" t="n"/>
      <c r="E2192" s="103" t="n"/>
      <c r="F2192" s="104" t="n"/>
      <c r="G2192" s="102" t="n"/>
      <c r="H2192" s="103" t="n"/>
      <c r="I2192" s="103" t="n"/>
      <c r="J2192" s="104" t="n"/>
      <c r="K2192" s="102" t="n"/>
      <c r="L2192" s="103" t="n"/>
      <c r="M2192" s="103" t="n"/>
      <c r="N2192" s="104" t="n"/>
      <c r="O2192" s="102" t="n"/>
      <c r="P2192" s="103" t="n"/>
      <c r="Q2192" s="103" t="n"/>
      <c r="R2192" s="104" t="n"/>
      <c r="S2192" s="102" t="n"/>
      <c r="T2192" s="103" t="n"/>
      <c r="U2192" s="103" t="n"/>
      <c r="V2192" s="104" t="n"/>
      <c r="W2192" s="102" t="n"/>
      <c r="X2192" s="104" t="n"/>
      <c r="Y2192" s="102" t="n"/>
      <c r="Z2192" s="104" t="n"/>
      <c r="AB2192" s="105">
        <f>IF($B2192="","",(COUNTIF(C2158:E2175,$B2192)+COUNTIF(C2158:E2175,$B2192&amp;" ~*")&gt;0)+(COUNTIF(G2158:I2175,$B2192)+COUNTIF(G2158:I2175,$B2192&amp;" ~*")&gt;0)+(COUNTIF(K2158:M2175,$B2192)+COUNTIF(K2158:M2175,$B2192&amp;" ~*")&gt;0)+(COUNTIF(O2158:Q2175,$B2192)+COUNTIF(O2158:Q2175,$B2192&amp;" ~*")&gt;0)+(COUNTIF(S2158:U2175,$B2192)+COUNTIF(S2158:U2175,$B2192&amp;" ~*")&gt;0)+(COUNTIF(W2158:W2175,$B2192)+COUNTIF(W2158:W2175,$B2192&amp;" ~*")&gt;0)+(COUNTIF(Y2158:Y2175,$B2192)+COUNTIF(Y2158:Y2175,$B2192&amp;" ~*")&gt;0))</f>
        <v/>
      </c>
      <c r="AC2192" s="38">
        <f>IF($B2192="","",(IFERROR(INDEX(Setup!$G$33:$G$40,MATCH(C2192,Setup!$B$33:$B$40,0)),0)=1)*(COUNTIF(C2158:E2175,$B2192)+COUNTIF(C2158:E2175,$B2192&amp;" ~*")&gt;0)+(IFERROR(INDEX(Setup!$G$33:$G$40,MATCH(G2192,Setup!$B$33:$B$40,0)),0)=1)*(COUNTIF(G2158:I2175,$B2192)+COUNTIF(G2158:I2175,$B2192&amp;" ~*")&gt;0)+(IFERROR(INDEX(Setup!$G$33:$G$40,MATCH(K2192,Setup!$B$33:$B$40,0)),0)=1)*(COUNTIF(K2158:M2175,$B2192)+COUNTIF(K2158:M2175,$B2192&amp;" ~*")&gt;0)+(IFERROR(INDEX(Setup!$G$33:$G$40,MATCH(O2192,Setup!$B$33:$B$40,0)),0)=1)*(COUNTIF(O2158:Q2175,$B2192)+COUNTIF(O2158:Q2175,$B2192&amp;" ~*")&gt;0)+(IFERROR(INDEX(Setup!$G$33:$G$40,MATCH(S2192,Setup!$B$33:$B$40,0)),0)=1)*(COUNTIF(S2158:U2175,$B2192)+COUNTIF(S2158:U2175,$B2192&amp;" ~*")&gt;0)+(IFERROR(INDEX(Setup!$G$33:$G$40,MATCH(W2192,Setup!$B$33:$B$40,0)),0)=1)*(COUNTIF(W2158:W2175,$B2192)+COUNTIF(W2158:W2175,$B2192&amp;" ~*")&gt;0)+(IFERROR(INDEX(Setup!$G$33:$G$40,MATCH(Y2192,Setup!$B$33:$B$40,0)),0)=1)*(COUNTIF(Y2158:Y2175,$B2192)+COUNTIF(Y2158:Y2175,$B2192&amp;" ~*")&gt;0))</f>
        <v/>
      </c>
    </row>
    <row r="2193" ht="15" customHeight="1">
      <c r="A2193" t="n">
        <v>44</v>
      </c>
      <c r="B2193" s="35">
        <f>IF(Setup!$B$22="","",Setup!$B$22)</f>
        <v/>
      </c>
      <c r="C2193" s="98" t="n"/>
      <c r="D2193" s="99" t="n"/>
      <c r="E2193" s="99" t="n"/>
      <c r="F2193" s="100" t="n"/>
      <c r="G2193" s="98" t="n"/>
      <c r="H2193" s="99" t="n"/>
      <c r="I2193" s="99" t="n"/>
      <c r="J2193" s="100" t="n"/>
      <c r="K2193" s="98" t="n"/>
      <c r="L2193" s="99" t="n"/>
      <c r="M2193" s="99" t="n"/>
      <c r="N2193" s="100" t="n"/>
      <c r="O2193" s="98" t="n"/>
      <c r="P2193" s="99" t="n"/>
      <c r="Q2193" s="99" t="n"/>
      <c r="R2193" s="100" t="n"/>
      <c r="S2193" s="98" t="n"/>
      <c r="T2193" s="99" t="n"/>
      <c r="U2193" s="99" t="n"/>
      <c r="V2193" s="100" t="n"/>
      <c r="W2193" s="98" t="n"/>
      <c r="X2193" s="100" t="n"/>
      <c r="Y2193" s="98" t="n"/>
      <c r="Z2193" s="100" t="n"/>
      <c r="AB2193" s="101">
        <f>IF($B2193="","",(COUNTIF(C2158:E2175,$B2193)+COUNTIF(C2158:E2175,$B2193&amp;" ~*")&gt;0)+(COUNTIF(G2158:I2175,$B2193)+COUNTIF(G2158:I2175,$B2193&amp;" ~*")&gt;0)+(COUNTIF(K2158:M2175,$B2193)+COUNTIF(K2158:M2175,$B2193&amp;" ~*")&gt;0)+(COUNTIF(O2158:Q2175,$B2193)+COUNTIF(O2158:Q2175,$B2193&amp;" ~*")&gt;0)+(COUNTIF(S2158:U2175,$B2193)+COUNTIF(S2158:U2175,$B2193&amp;" ~*")&gt;0)+(COUNTIF(W2158:W2175,$B2193)+COUNTIF(W2158:W2175,$B2193&amp;" ~*")&gt;0)+(COUNTIF(Y2158:Y2175,$B2193)+COUNTIF(Y2158:Y2175,$B2193&amp;" ~*")&gt;0))</f>
        <v/>
      </c>
      <c r="AC2193" s="36">
        <f>IF($B2193="","",(IFERROR(INDEX(Setup!$G$33:$G$40,MATCH(C2193,Setup!$B$33:$B$40,0)),0)=1)*(COUNTIF(C2158:E2175,$B2193)+COUNTIF(C2158:E2175,$B2193&amp;" ~*")&gt;0)+(IFERROR(INDEX(Setup!$G$33:$G$40,MATCH(G2193,Setup!$B$33:$B$40,0)),0)=1)*(COUNTIF(G2158:I2175,$B2193)+COUNTIF(G2158:I2175,$B2193&amp;" ~*")&gt;0)+(IFERROR(INDEX(Setup!$G$33:$G$40,MATCH(K2193,Setup!$B$33:$B$40,0)),0)=1)*(COUNTIF(K2158:M2175,$B2193)+COUNTIF(K2158:M2175,$B2193&amp;" ~*")&gt;0)+(IFERROR(INDEX(Setup!$G$33:$G$40,MATCH(O2193,Setup!$B$33:$B$40,0)),0)=1)*(COUNTIF(O2158:Q2175,$B2193)+COUNTIF(O2158:Q2175,$B2193&amp;" ~*")&gt;0)+(IFERROR(INDEX(Setup!$G$33:$G$40,MATCH(S2193,Setup!$B$33:$B$40,0)),0)=1)*(COUNTIF(S2158:U2175,$B2193)+COUNTIF(S2158:U2175,$B2193&amp;" ~*")&gt;0)+(IFERROR(INDEX(Setup!$G$33:$G$40,MATCH(W2193,Setup!$B$33:$B$40,0)),0)=1)*(COUNTIF(W2158:W2175,$B2193)+COUNTIF(W2158:W2175,$B2193&amp;" ~*")&gt;0)+(IFERROR(INDEX(Setup!$G$33:$G$40,MATCH(Y2193,Setup!$B$33:$B$40,0)),0)=1)*(COUNTIF(Y2158:Y2175,$B2193)+COUNTIF(Y2158:Y2175,$B2193&amp;" ~*")&gt;0))</f>
        <v/>
      </c>
    </row>
    <row r="2194" ht="15" customHeight="1">
      <c r="A2194" t="n">
        <v>44</v>
      </c>
      <c r="B2194" s="37">
        <f>IF(Setup!$B$23="","",Setup!$B$23)</f>
        <v/>
      </c>
      <c r="C2194" s="102" t="n"/>
      <c r="D2194" s="103" t="n"/>
      <c r="E2194" s="103" t="n"/>
      <c r="F2194" s="104" t="n"/>
      <c r="G2194" s="102" t="n"/>
      <c r="H2194" s="103" t="n"/>
      <c r="I2194" s="103" t="n"/>
      <c r="J2194" s="104" t="n"/>
      <c r="K2194" s="102" t="n"/>
      <c r="L2194" s="103" t="n"/>
      <c r="M2194" s="103" t="n"/>
      <c r="N2194" s="104" t="n"/>
      <c r="O2194" s="102" t="n"/>
      <c r="P2194" s="103" t="n"/>
      <c r="Q2194" s="103" t="n"/>
      <c r="R2194" s="104" t="n"/>
      <c r="S2194" s="102" t="n"/>
      <c r="T2194" s="103" t="n"/>
      <c r="U2194" s="103" t="n"/>
      <c r="V2194" s="104" t="n"/>
      <c r="W2194" s="102" t="n"/>
      <c r="X2194" s="104" t="n"/>
      <c r="Y2194" s="102" t="n"/>
      <c r="Z2194" s="104" t="n"/>
      <c r="AB2194" s="105">
        <f>IF($B2194="","",(COUNTIF(C2158:E2175,$B2194)+COUNTIF(C2158:E2175,$B2194&amp;" ~*")&gt;0)+(COUNTIF(G2158:I2175,$B2194)+COUNTIF(G2158:I2175,$B2194&amp;" ~*")&gt;0)+(COUNTIF(K2158:M2175,$B2194)+COUNTIF(K2158:M2175,$B2194&amp;" ~*")&gt;0)+(COUNTIF(O2158:Q2175,$B2194)+COUNTIF(O2158:Q2175,$B2194&amp;" ~*")&gt;0)+(COUNTIF(S2158:U2175,$B2194)+COUNTIF(S2158:U2175,$B2194&amp;" ~*")&gt;0)+(COUNTIF(W2158:W2175,$B2194)+COUNTIF(W2158:W2175,$B2194&amp;" ~*")&gt;0)+(COUNTIF(Y2158:Y2175,$B2194)+COUNTIF(Y2158:Y2175,$B2194&amp;" ~*")&gt;0))</f>
        <v/>
      </c>
      <c r="AC2194" s="38">
        <f>IF($B2194="","",(IFERROR(INDEX(Setup!$G$33:$G$40,MATCH(C2194,Setup!$B$33:$B$40,0)),0)=1)*(COUNTIF(C2158:E2175,$B2194)+COUNTIF(C2158:E2175,$B2194&amp;" ~*")&gt;0)+(IFERROR(INDEX(Setup!$G$33:$G$40,MATCH(G2194,Setup!$B$33:$B$40,0)),0)=1)*(COUNTIF(G2158:I2175,$B2194)+COUNTIF(G2158:I2175,$B2194&amp;" ~*")&gt;0)+(IFERROR(INDEX(Setup!$G$33:$G$40,MATCH(K2194,Setup!$B$33:$B$40,0)),0)=1)*(COUNTIF(K2158:M2175,$B2194)+COUNTIF(K2158:M2175,$B2194&amp;" ~*")&gt;0)+(IFERROR(INDEX(Setup!$G$33:$G$40,MATCH(O2194,Setup!$B$33:$B$40,0)),0)=1)*(COUNTIF(O2158:Q2175,$B2194)+COUNTIF(O2158:Q2175,$B2194&amp;" ~*")&gt;0)+(IFERROR(INDEX(Setup!$G$33:$G$40,MATCH(S2194,Setup!$B$33:$B$40,0)),0)=1)*(COUNTIF(S2158:U2175,$B2194)+COUNTIF(S2158:U2175,$B2194&amp;" ~*")&gt;0)+(IFERROR(INDEX(Setup!$G$33:$G$40,MATCH(W2194,Setup!$B$33:$B$40,0)),0)=1)*(COUNTIF(W2158:W2175,$B2194)+COUNTIF(W2158:W2175,$B2194&amp;" ~*")&gt;0)+(IFERROR(INDEX(Setup!$G$33:$G$40,MATCH(Y2194,Setup!$B$33:$B$40,0)),0)=1)*(COUNTIF(Y2158:Y2175,$B2194)+COUNTIF(Y2158:Y2175,$B2194&amp;" ~*")&gt;0))</f>
        <v/>
      </c>
    </row>
    <row r="2195" ht="15" customHeight="1">
      <c r="A2195" t="n">
        <v>44</v>
      </c>
      <c r="B2195" s="35">
        <f>IF(Setup!$B$24="","",Setup!$B$24)</f>
        <v/>
      </c>
      <c r="C2195" s="98" t="n"/>
      <c r="D2195" s="99" t="n"/>
      <c r="E2195" s="99" t="n"/>
      <c r="F2195" s="100" t="n"/>
      <c r="G2195" s="98" t="n"/>
      <c r="H2195" s="99" t="n"/>
      <c r="I2195" s="99" t="n"/>
      <c r="J2195" s="100" t="n"/>
      <c r="K2195" s="98" t="n"/>
      <c r="L2195" s="99" t="n"/>
      <c r="M2195" s="99" t="n"/>
      <c r="N2195" s="100" t="n"/>
      <c r="O2195" s="98" t="n"/>
      <c r="P2195" s="99" t="n"/>
      <c r="Q2195" s="99" t="n"/>
      <c r="R2195" s="100" t="n"/>
      <c r="S2195" s="98" t="n"/>
      <c r="T2195" s="99" t="n"/>
      <c r="U2195" s="99" t="n"/>
      <c r="V2195" s="100" t="n"/>
      <c r="W2195" s="98" t="n"/>
      <c r="X2195" s="100" t="n"/>
      <c r="Y2195" s="98" t="n"/>
      <c r="Z2195" s="100" t="n"/>
      <c r="AB2195" s="101">
        <f>IF($B2195="","",(COUNTIF(C2158:E2175,$B2195)+COUNTIF(C2158:E2175,$B2195&amp;" ~*")&gt;0)+(COUNTIF(G2158:I2175,$B2195)+COUNTIF(G2158:I2175,$B2195&amp;" ~*")&gt;0)+(COUNTIF(K2158:M2175,$B2195)+COUNTIF(K2158:M2175,$B2195&amp;" ~*")&gt;0)+(COUNTIF(O2158:Q2175,$B2195)+COUNTIF(O2158:Q2175,$B2195&amp;" ~*")&gt;0)+(COUNTIF(S2158:U2175,$B2195)+COUNTIF(S2158:U2175,$B2195&amp;" ~*")&gt;0)+(COUNTIF(W2158:W2175,$B2195)+COUNTIF(W2158:W2175,$B2195&amp;" ~*")&gt;0)+(COUNTIF(Y2158:Y2175,$B2195)+COUNTIF(Y2158:Y2175,$B2195&amp;" ~*")&gt;0))</f>
        <v/>
      </c>
      <c r="AC2195" s="36">
        <f>IF($B2195="","",(IFERROR(INDEX(Setup!$G$33:$G$40,MATCH(C2195,Setup!$B$33:$B$40,0)),0)=1)*(COUNTIF(C2158:E2175,$B2195)+COUNTIF(C2158:E2175,$B2195&amp;" ~*")&gt;0)+(IFERROR(INDEX(Setup!$G$33:$G$40,MATCH(G2195,Setup!$B$33:$B$40,0)),0)=1)*(COUNTIF(G2158:I2175,$B2195)+COUNTIF(G2158:I2175,$B2195&amp;" ~*")&gt;0)+(IFERROR(INDEX(Setup!$G$33:$G$40,MATCH(K2195,Setup!$B$33:$B$40,0)),0)=1)*(COUNTIF(K2158:M2175,$B2195)+COUNTIF(K2158:M2175,$B2195&amp;" ~*")&gt;0)+(IFERROR(INDEX(Setup!$G$33:$G$40,MATCH(O2195,Setup!$B$33:$B$40,0)),0)=1)*(COUNTIF(O2158:Q2175,$B2195)+COUNTIF(O2158:Q2175,$B2195&amp;" ~*")&gt;0)+(IFERROR(INDEX(Setup!$G$33:$G$40,MATCH(S2195,Setup!$B$33:$B$40,0)),0)=1)*(COUNTIF(S2158:U2175,$B2195)+COUNTIF(S2158:U2175,$B2195&amp;" ~*")&gt;0)+(IFERROR(INDEX(Setup!$G$33:$G$40,MATCH(W2195,Setup!$B$33:$B$40,0)),0)=1)*(COUNTIF(W2158:W2175,$B2195)+COUNTIF(W2158:W2175,$B2195&amp;" ~*")&gt;0)+(IFERROR(INDEX(Setup!$G$33:$G$40,MATCH(Y2195,Setup!$B$33:$B$40,0)),0)=1)*(COUNTIF(Y2158:Y2175,$B2195)+COUNTIF(Y2158:Y2175,$B2195&amp;" ~*")&gt;0))</f>
        <v/>
      </c>
    </row>
    <row r="2196" ht="15" customHeight="1">
      <c r="A2196" t="n">
        <v>44</v>
      </c>
      <c r="B2196" s="37">
        <f>IF(Setup!$B$25="","",Setup!$B$25)</f>
        <v/>
      </c>
      <c r="C2196" s="102" t="n"/>
      <c r="D2196" s="103" t="n"/>
      <c r="E2196" s="103" t="n"/>
      <c r="F2196" s="104" t="n"/>
      <c r="G2196" s="102" t="n"/>
      <c r="H2196" s="103" t="n"/>
      <c r="I2196" s="103" t="n"/>
      <c r="J2196" s="104" t="n"/>
      <c r="K2196" s="102" t="n"/>
      <c r="L2196" s="103" t="n"/>
      <c r="M2196" s="103" t="n"/>
      <c r="N2196" s="104" t="n"/>
      <c r="O2196" s="102" t="n"/>
      <c r="P2196" s="103" t="n"/>
      <c r="Q2196" s="103" t="n"/>
      <c r="R2196" s="104" t="n"/>
      <c r="S2196" s="102" t="n"/>
      <c r="T2196" s="103" t="n"/>
      <c r="U2196" s="103" t="n"/>
      <c r="V2196" s="104" t="n"/>
      <c r="W2196" s="102" t="n"/>
      <c r="X2196" s="104" t="n"/>
      <c r="Y2196" s="102" t="n"/>
      <c r="Z2196" s="104" t="n"/>
      <c r="AB2196" s="105">
        <f>IF($B2196="","",(COUNTIF(C2158:E2175,$B2196)+COUNTIF(C2158:E2175,$B2196&amp;" ~*")&gt;0)+(COUNTIF(G2158:I2175,$B2196)+COUNTIF(G2158:I2175,$B2196&amp;" ~*")&gt;0)+(COUNTIF(K2158:M2175,$B2196)+COUNTIF(K2158:M2175,$B2196&amp;" ~*")&gt;0)+(COUNTIF(O2158:Q2175,$B2196)+COUNTIF(O2158:Q2175,$B2196&amp;" ~*")&gt;0)+(COUNTIF(S2158:U2175,$B2196)+COUNTIF(S2158:U2175,$B2196&amp;" ~*")&gt;0)+(COUNTIF(W2158:W2175,$B2196)+COUNTIF(W2158:W2175,$B2196&amp;" ~*")&gt;0)+(COUNTIF(Y2158:Y2175,$B2196)+COUNTIF(Y2158:Y2175,$B2196&amp;" ~*")&gt;0))</f>
        <v/>
      </c>
      <c r="AC2196" s="38">
        <f>IF($B2196="","",(IFERROR(INDEX(Setup!$G$33:$G$40,MATCH(C2196,Setup!$B$33:$B$40,0)),0)=1)*(COUNTIF(C2158:E2175,$B2196)+COUNTIF(C2158:E2175,$B2196&amp;" ~*")&gt;0)+(IFERROR(INDEX(Setup!$G$33:$G$40,MATCH(G2196,Setup!$B$33:$B$40,0)),0)=1)*(COUNTIF(G2158:I2175,$B2196)+COUNTIF(G2158:I2175,$B2196&amp;" ~*")&gt;0)+(IFERROR(INDEX(Setup!$G$33:$G$40,MATCH(K2196,Setup!$B$33:$B$40,0)),0)=1)*(COUNTIF(K2158:M2175,$B2196)+COUNTIF(K2158:M2175,$B2196&amp;" ~*")&gt;0)+(IFERROR(INDEX(Setup!$G$33:$G$40,MATCH(O2196,Setup!$B$33:$B$40,0)),0)=1)*(COUNTIF(O2158:Q2175,$B2196)+COUNTIF(O2158:Q2175,$B2196&amp;" ~*")&gt;0)+(IFERROR(INDEX(Setup!$G$33:$G$40,MATCH(S2196,Setup!$B$33:$B$40,0)),0)=1)*(COUNTIF(S2158:U2175,$B2196)+COUNTIF(S2158:U2175,$B2196&amp;" ~*")&gt;0)+(IFERROR(INDEX(Setup!$G$33:$G$40,MATCH(W2196,Setup!$B$33:$B$40,0)),0)=1)*(COUNTIF(W2158:W2175,$B2196)+COUNTIF(W2158:W2175,$B2196&amp;" ~*")&gt;0)+(IFERROR(INDEX(Setup!$G$33:$G$40,MATCH(Y2196,Setup!$B$33:$B$40,0)),0)=1)*(COUNTIF(Y2158:Y2175,$B2196)+COUNTIF(Y2158:Y2175,$B2196&amp;" ~*")&gt;0))</f>
        <v/>
      </c>
    </row>
    <row r="2197" ht="15" customHeight="1">
      <c r="A2197" t="n">
        <v>44</v>
      </c>
      <c r="B2197" s="35">
        <f>IF(Setup!$B$26="","",Setup!$B$26)</f>
        <v/>
      </c>
      <c r="C2197" s="98" t="n"/>
      <c r="D2197" s="99" t="n"/>
      <c r="E2197" s="99" t="n"/>
      <c r="F2197" s="100" t="n"/>
      <c r="G2197" s="98" t="n"/>
      <c r="H2197" s="99" t="n"/>
      <c r="I2197" s="99" t="n"/>
      <c r="J2197" s="100" t="n"/>
      <c r="K2197" s="98" t="n"/>
      <c r="L2197" s="99" t="n"/>
      <c r="M2197" s="99" t="n"/>
      <c r="N2197" s="100" t="n"/>
      <c r="O2197" s="98" t="n"/>
      <c r="P2197" s="99" t="n"/>
      <c r="Q2197" s="99" t="n"/>
      <c r="R2197" s="100" t="n"/>
      <c r="S2197" s="98" t="n"/>
      <c r="T2197" s="99" t="n"/>
      <c r="U2197" s="99" t="n"/>
      <c r="V2197" s="100" t="n"/>
      <c r="W2197" s="98" t="n"/>
      <c r="X2197" s="100" t="n"/>
      <c r="Y2197" s="98" t="n"/>
      <c r="Z2197" s="100" t="n"/>
      <c r="AB2197" s="101">
        <f>IF($B2197="","",(COUNTIF(C2158:E2175,$B2197)+COUNTIF(C2158:E2175,$B2197&amp;" ~*")&gt;0)+(COUNTIF(G2158:I2175,$B2197)+COUNTIF(G2158:I2175,$B2197&amp;" ~*")&gt;0)+(COUNTIF(K2158:M2175,$B2197)+COUNTIF(K2158:M2175,$B2197&amp;" ~*")&gt;0)+(COUNTIF(O2158:Q2175,$B2197)+COUNTIF(O2158:Q2175,$B2197&amp;" ~*")&gt;0)+(COUNTIF(S2158:U2175,$B2197)+COUNTIF(S2158:U2175,$B2197&amp;" ~*")&gt;0)+(COUNTIF(W2158:W2175,$B2197)+COUNTIF(W2158:W2175,$B2197&amp;" ~*")&gt;0)+(COUNTIF(Y2158:Y2175,$B2197)+COUNTIF(Y2158:Y2175,$B2197&amp;" ~*")&gt;0))</f>
        <v/>
      </c>
      <c r="AC2197" s="36">
        <f>IF($B2197="","",(IFERROR(INDEX(Setup!$G$33:$G$40,MATCH(C2197,Setup!$B$33:$B$40,0)),0)=1)*(COUNTIF(C2158:E2175,$B2197)+COUNTIF(C2158:E2175,$B2197&amp;" ~*")&gt;0)+(IFERROR(INDEX(Setup!$G$33:$G$40,MATCH(G2197,Setup!$B$33:$B$40,0)),0)=1)*(COUNTIF(G2158:I2175,$B2197)+COUNTIF(G2158:I2175,$B2197&amp;" ~*")&gt;0)+(IFERROR(INDEX(Setup!$G$33:$G$40,MATCH(K2197,Setup!$B$33:$B$40,0)),0)=1)*(COUNTIF(K2158:M2175,$B2197)+COUNTIF(K2158:M2175,$B2197&amp;" ~*")&gt;0)+(IFERROR(INDEX(Setup!$G$33:$G$40,MATCH(O2197,Setup!$B$33:$B$40,0)),0)=1)*(COUNTIF(O2158:Q2175,$B2197)+COUNTIF(O2158:Q2175,$B2197&amp;" ~*")&gt;0)+(IFERROR(INDEX(Setup!$G$33:$G$40,MATCH(S2197,Setup!$B$33:$B$40,0)),0)=1)*(COUNTIF(S2158:U2175,$B2197)+COUNTIF(S2158:U2175,$B2197&amp;" ~*")&gt;0)+(IFERROR(INDEX(Setup!$G$33:$G$40,MATCH(W2197,Setup!$B$33:$B$40,0)),0)=1)*(COUNTIF(W2158:W2175,$B2197)+COUNTIF(W2158:W2175,$B2197&amp;" ~*")&gt;0)+(IFERROR(INDEX(Setup!$G$33:$G$40,MATCH(Y2197,Setup!$B$33:$B$40,0)),0)=1)*(COUNTIF(Y2158:Y2175,$B2197)+COUNTIF(Y2158:Y2175,$B2197&amp;" ~*")&gt;0))</f>
        <v/>
      </c>
    </row>
    <row r="2198" ht="15" customHeight="1">
      <c r="A2198" t="n">
        <v>44</v>
      </c>
      <c r="B2198" s="37">
        <f>IF(Setup!$B$27="","",Setup!$B$27)</f>
        <v/>
      </c>
      <c r="C2198" s="102" t="n"/>
      <c r="D2198" s="103" t="n"/>
      <c r="E2198" s="103" t="n"/>
      <c r="F2198" s="104" t="n"/>
      <c r="G2198" s="102" t="n"/>
      <c r="H2198" s="103" t="n"/>
      <c r="I2198" s="103" t="n"/>
      <c r="J2198" s="104" t="n"/>
      <c r="K2198" s="102" t="n"/>
      <c r="L2198" s="103" t="n"/>
      <c r="M2198" s="103" t="n"/>
      <c r="N2198" s="104" t="n"/>
      <c r="O2198" s="102" t="n"/>
      <c r="P2198" s="103" t="n"/>
      <c r="Q2198" s="103" t="n"/>
      <c r="R2198" s="104" t="n"/>
      <c r="S2198" s="102" t="n"/>
      <c r="T2198" s="103" t="n"/>
      <c r="U2198" s="103" t="n"/>
      <c r="V2198" s="104" t="n"/>
      <c r="W2198" s="102" t="n"/>
      <c r="X2198" s="104" t="n"/>
      <c r="Y2198" s="102" t="n"/>
      <c r="Z2198" s="104" t="n"/>
      <c r="AB2198" s="105">
        <f>IF($B2198="","",(COUNTIF(C2158:E2175,$B2198)+COUNTIF(C2158:E2175,$B2198&amp;" ~*")&gt;0)+(COUNTIF(G2158:I2175,$B2198)+COUNTIF(G2158:I2175,$B2198&amp;" ~*")&gt;0)+(COUNTIF(K2158:M2175,$B2198)+COUNTIF(K2158:M2175,$B2198&amp;" ~*")&gt;0)+(COUNTIF(O2158:Q2175,$B2198)+COUNTIF(O2158:Q2175,$B2198&amp;" ~*")&gt;0)+(COUNTIF(S2158:U2175,$B2198)+COUNTIF(S2158:U2175,$B2198&amp;" ~*")&gt;0)+(COUNTIF(W2158:W2175,$B2198)+COUNTIF(W2158:W2175,$B2198&amp;" ~*")&gt;0)+(COUNTIF(Y2158:Y2175,$B2198)+COUNTIF(Y2158:Y2175,$B2198&amp;" ~*")&gt;0))</f>
        <v/>
      </c>
      <c r="AC2198" s="38">
        <f>IF($B2198="","",(IFERROR(INDEX(Setup!$G$33:$G$40,MATCH(C2198,Setup!$B$33:$B$40,0)),0)=1)*(COUNTIF(C2158:E2175,$B2198)+COUNTIF(C2158:E2175,$B2198&amp;" ~*")&gt;0)+(IFERROR(INDEX(Setup!$G$33:$G$40,MATCH(G2198,Setup!$B$33:$B$40,0)),0)=1)*(COUNTIF(G2158:I2175,$B2198)+COUNTIF(G2158:I2175,$B2198&amp;" ~*")&gt;0)+(IFERROR(INDEX(Setup!$G$33:$G$40,MATCH(K2198,Setup!$B$33:$B$40,0)),0)=1)*(COUNTIF(K2158:M2175,$B2198)+COUNTIF(K2158:M2175,$B2198&amp;" ~*")&gt;0)+(IFERROR(INDEX(Setup!$G$33:$G$40,MATCH(O2198,Setup!$B$33:$B$40,0)),0)=1)*(COUNTIF(O2158:Q2175,$B2198)+COUNTIF(O2158:Q2175,$B2198&amp;" ~*")&gt;0)+(IFERROR(INDEX(Setup!$G$33:$G$40,MATCH(S2198,Setup!$B$33:$B$40,0)),0)=1)*(COUNTIF(S2158:U2175,$B2198)+COUNTIF(S2158:U2175,$B2198&amp;" ~*")&gt;0)+(IFERROR(INDEX(Setup!$G$33:$G$40,MATCH(W2198,Setup!$B$33:$B$40,0)),0)=1)*(COUNTIF(W2158:W2175,$B2198)+COUNTIF(W2158:W2175,$B2198&amp;" ~*")&gt;0)+(IFERROR(INDEX(Setup!$G$33:$G$40,MATCH(Y2198,Setup!$B$33:$B$40,0)),0)=1)*(COUNTIF(Y2158:Y2175,$B2198)+COUNTIF(Y2158:Y2175,$B2198&amp;" ~*")&gt;0))</f>
        <v/>
      </c>
    </row>
    <row r="2199" ht="15" customHeight="1">
      <c r="A2199" t="n">
        <v>44</v>
      </c>
      <c r="B2199" s="35">
        <f>IF(Setup!$B$28="","",Setup!$B$28)</f>
        <v/>
      </c>
      <c r="C2199" s="98" t="n"/>
      <c r="D2199" s="99" t="n"/>
      <c r="E2199" s="99" t="n"/>
      <c r="F2199" s="100" t="n"/>
      <c r="G2199" s="98" t="n"/>
      <c r="H2199" s="99" t="n"/>
      <c r="I2199" s="99" t="n"/>
      <c r="J2199" s="100" t="n"/>
      <c r="K2199" s="98" t="n"/>
      <c r="L2199" s="99" t="n"/>
      <c r="M2199" s="99" t="n"/>
      <c r="N2199" s="100" t="n"/>
      <c r="O2199" s="98" t="n"/>
      <c r="P2199" s="99" t="n"/>
      <c r="Q2199" s="99" t="n"/>
      <c r="R2199" s="100" t="n"/>
      <c r="S2199" s="98" t="n"/>
      <c r="T2199" s="99" t="n"/>
      <c r="U2199" s="99" t="n"/>
      <c r="V2199" s="100" t="n"/>
      <c r="W2199" s="98" t="n"/>
      <c r="X2199" s="100" t="n"/>
      <c r="Y2199" s="98" t="n"/>
      <c r="Z2199" s="100" t="n"/>
      <c r="AB2199" s="101">
        <f>IF($B2199="","",(COUNTIF(C2158:E2175,$B2199)+COUNTIF(C2158:E2175,$B2199&amp;" ~*")&gt;0)+(COUNTIF(G2158:I2175,$B2199)+COUNTIF(G2158:I2175,$B2199&amp;" ~*")&gt;0)+(COUNTIF(K2158:M2175,$B2199)+COUNTIF(K2158:M2175,$B2199&amp;" ~*")&gt;0)+(COUNTIF(O2158:Q2175,$B2199)+COUNTIF(O2158:Q2175,$B2199&amp;" ~*")&gt;0)+(COUNTIF(S2158:U2175,$B2199)+COUNTIF(S2158:U2175,$B2199&amp;" ~*")&gt;0)+(COUNTIF(W2158:W2175,$B2199)+COUNTIF(W2158:W2175,$B2199&amp;" ~*")&gt;0)+(COUNTIF(Y2158:Y2175,$B2199)+COUNTIF(Y2158:Y2175,$B2199&amp;" ~*")&gt;0))</f>
        <v/>
      </c>
      <c r="AC2199" s="36">
        <f>IF($B2199="","",(IFERROR(INDEX(Setup!$G$33:$G$40,MATCH(C2199,Setup!$B$33:$B$40,0)),0)=1)*(COUNTIF(C2158:E2175,$B2199)+COUNTIF(C2158:E2175,$B2199&amp;" ~*")&gt;0)+(IFERROR(INDEX(Setup!$G$33:$G$40,MATCH(G2199,Setup!$B$33:$B$40,0)),0)=1)*(COUNTIF(G2158:I2175,$B2199)+COUNTIF(G2158:I2175,$B2199&amp;" ~*")&gt;0)+(IFERROR(INDEX(Setup!$G$33:$G$40,MATCH(K2199,Setup!$B$33:$B$40,0)),0)=1)*(COUNTIF(K2158:M2175,$B2199)+COUNTIF(K2158:M2175,$B2199&amp;" ~*")&gt;0)+(IFERROR(INDEX(Setup!$G$33:$G$40,MATCH(O2199,Setup!$B$33:$B$40,0)),0)=1)*(COUNTIF(O2158:Q2175,$B2199)+COUNTIF(O2158:Q2175,$B2199&amp;" ~*")&gt;0)+(IFERROR(INDEX(Setup!$G$33:$G$40,MATCH(S2199,Setup!$B$33:$B$40,0)),0)=1)*(COUNTIF(S2158:U2175,$B2199)+COUNTIF(S2158:U2175,$B2199&amp;" ~*")&gt;0)+(IFERROR(INDEX(Setup!$G$33:$G$40,MATCH(W2199,Setup!$B$33:$B$40,0)),0)=1)*(COUNTIF(W2158:W2175,$B2199)+COUNTIF(W2158:W2175,$B2199&amp;" ~*")&gt;0)+(IFERROR(INDEX(Setup!$G$33:$G$40,MATCH(Y2199,Setup!$B$33:$B$40,0)),0)=1)*(COUNTIF(Y2158:Y2175,$B2199)+COUNTIF(Y2158:Y2175,$B2199&amp;" ~*")&gt;0))</f>
        <v/>
      </c>
    </row>
    <row r="2200" ht="15" customHeight="1">
      <c r="A2200" t="n">
        <v>44</v>
      </c>
      <c r="B2200" s="37">
        <f>IF(Setup!$B$29="","",Setup!$B$29)</f>
        <v/>
      </c>
      <c r="C2200" s="102" t="n"/>
      <c r="D2200" s="103" t="n"/>
      <c r="E2200" s="103" t="n"/>
      <c r="F2200" s="104" t="n"/>
      <c r="G2200" s="102" t="n"/>
      <c r="H2200" s="103" t="n"/>
      <c r="I2200" s="103" t="n"/>
      <c r="J2200" s="104" t="n"/>
      <c r="K2200" s="102" t="n"/>
      <c r="L2200" s="103" t="n"/>
      <c r="M2200" s="103" t="n"/>
      <c r="N2200" s="104" t="n"/>
      <c r="O2200" s="102" t="n"/>
      <c r="P2200" s="103" t="n"/>
      <c r="Q2200" s="103" t="n"/>
      <c r="R2200" s="104" t="n"/>
      <c r="S2200" s="102" t="n"/>
      <c r="T2200" s="103" t="n"/>
      <c r="U2200" s="103" t="n"/>
      <c r="V2200" s="104" t="n"/>
      <c r="W2200" s="102" t="n"/>
      <c r="X2200" s="104" t="n"/>
      <c r="Y2200" s="102" t="n"/>
      <c r="Z2200" s="104" t="n"/>
      <c r="AB2200" s="105">
        <f>IF($B2200="","",(COUNTIF(C2158:E2175,$B2200)+COUNTIF(C2158:E2175,$B2200&amp;" ~*")&gt;0)+(COUNTIF(G2158:I2175,$B2200)+COUNTIF(G2158:I2175,$B2200&amp;" ~*")&gt;0)+(COUNTIF(K2158:M2175,$B2200)+COUNTIF(K2158:M2175,$B2200&amp;" ~*")&gt;0)+(COUNTIF(O2158:Q2175,$B2200)+COUNTIF(O2158:Q2175,$B2200&amp;" ~*")&gt;0)+(COUNTIF(S2158:U2175,$B2200)+COUNTIF(S2158:U2175,$B2200&amp;" ~*")&gt;0)+(COUNTIF(W2158:W2175,$B2200)+COUNTIF(W2158:W2175,$B2200&amp;" ~*")&gt;0)+(COUNTIF(Y2158:Y2175,$B2200)+COUNTIF(Y2158:Y2175,$B2200&amp;" ~*")&gt;0))</f>
        <v/>
      </c>
      <c r="AC2200" s="38">
        <f>IF($B2200="","",(IFERROR(INDEX(Setup!$G$33:$G$40,MATCH(C2200,Setup!$B$33:$B$40,0)),0)=1)*(COUNTIF(C2158:E2175,$B2200)+COUNTIF(C2158:E2175,$B2200&amp;" ~*")&gt;0)+(IFERROR(INDEX(Setup!$G$33:$G$40,MATCH(G2200,Setup!$B$33:$B$40,0)),0)=1)*(COUNTIF(G2158:I2175,$B2200)+COUNTIF(G2158:I2175,$B2200&amp;" ~*")&gt;0)+(IFERROR(INDEX(Setup!$G$33:$G$40,MATCH(K2200,Setup!$B$33:$B$40,0)),0)=1)*(COUNTIF(K2158:M2175,$B2200)+COUNTIF(K2158:M2175,$B2200&amp;" ~*")&gt;0)+(IFERROR(INDEX(Setup!$G$33:$G$40,MATCH(O2200,Setup!$B$33:$B$40,0)),0)=1)*(COUNTIF(O2158:Q2175,$B2200)+COUNTIF(O2158:Q2175,$B2200&amp;" ~*")&gt;0)+(IFERROR(INDEX(Setup!$G$33:$G$40,MATCH(S2200,Setup!$B$33:$B$40,0)),0)=1)*(COUNTIF(S2158:U2175,$B2200)+COUNTIF(S2158:U2175,$B2200&amp;" ~*")&gt;0)+(IFERROR(INDEX(Setup!$G$33:$G$40,MATCH(W2200,Setup!$B$33:$B$40,0)),0)=1)*(COUNTIF(W2158:W2175,$B2200)+COUNTIF(W2158:W2175,$B2200&amp;" ~*")&gt;0)+(IFERROR(INDEX(Setup!$G$33:$G$40,MATCH(Y2200,Setup!$B$33:$B$40,0)),0)=1)*(COUNTIF(Y2158:Y2175,$B2200)+COUNTIF(Y2158:Y2175,$B2200&amp;" ~*")&gt;0))</f>
        <v/>
      </c>
    </row>
    <row r="2201" ht="16" customHeight="1">
      <c r="A2201" t="n">
        <v>44</v>
      </c>
      <c r="B2201" s="106" t="inlineStr">
        <is>
          <t>Available people</t>
        </is>
      </c>
      <c r="C2201" s="107">
        <f>COUNTIFS(Setup!$E$6:$E$29,"Y",Setup!$B$6:$B$29,"?*")-SUMPRODUCT(COUNTIF(C2177:C2200,Setup!$F$33:$F$40))</f>
        <v/>
      </c>
      <c r="D2201" s="107" t="n"/>
      <c r="E2201" s="107" t="n"/>
      <c r="F2201" s="107" t="n"/>
      <c r="G2201" s="107">
        <f>COUNTIFS(Setup!$E$6:$E$29,"Y",Setup!$B$6:$B$29,"?*")-SUMPRODUCT(COUNTIF(G2177:G2200,Setup!$F$33:$F$40))</f>
        <v/>
      </c>
      <c r="H2201" s="107" t="n"/>
      <c r="I2201" s="107" t="n"/>
      <c r="J2201" s="107" t="n"/>
      <c r="K2201" s="107">
        <f>COUNTIFS(Setup!$E$6:$E$29,"Y",Setup!$B$6:$B$29,"?*")-SUMPRODUCT(COUNTIF(K2177:K2200,Setup!$F$33:$F$40))</f>
        <v/>
      </c>
      <c r="L2201" s="107" t="n"/>
      <c r="M2201" s="107" t="n"/>
      <c r="N2201" s="107" t="n"/>
      <c r="O2201" s="107">
        <f>COUNTIFS(Setup!$E$6:$E$29,"Y",Setup!$B$6:$B$29,"?*")-SUMPRODUCT(COUNTIF(O2177:O2200,Setup!$F$33:$F$40))</f>
        <v/>
      </c>
      <c r="P2201" s="107" t="n"/>
      <c r="Q2201" s="107" t="n"/>
      <c r="R2201" s="107" t="n"/>
      <c r="S2201" s="107">
        <f>COUNTIFS(Setup!$E$6:$E$29,"Y",Setup!$B$6:$B$29,"?*")-SUMPRODUCT(COUNTIF(S2177:S2200,Setup!$F$33:$F$40))</f>
        <v/>
      </c>
      <c r="T2201" s="107" t="n"/>
      <c r="U2201" s="107" t="n"/>
      <c r="V2201" s="107" t="n"/>
      <c r="W2201" s="107">
        <f>COUNTIFS(Setup!$E$6:$E$29,"Y",Setup!$B$6:$B$29,"?*")-SUMPRODUCT(COUNTIF(W2177:W2200,Setup!$F$33:$F$40))</f>
        <v/>
      </c>
      <c r="X2201" s="107" t="n"/>
      <c r="Y2201" s="107">
        <f>COUNTIFS(Setup!$E$6:$E$29,"Y",Setup!$B$6:$B$29,"?*")-SUMPRODUCT(COUNTIF(Y2177:Y2200,Setup!$F$33:$F$40))</f>
        <v/>
      </c>
      <c r="Z2201" s="107" t="n"/>
      <c r="AB2201" s="108">
        <f>SUM(AB2177:AB2200)</f>
        <v/>
      </c>
      <c r="AC2201" s="109">
        <f>SUM(AC2177:AC2200)</f>
        <v/>
      </c>
    </row>
    <row r="2202" ht="30" customHeight="1">
      <c r="A2202" t="n">
        <v>44</v>
      </c>
      <c r="B2202" s="110" t="inlineStr">
        <is>
          <t>Week notes</t>
        </is>
      </c>
      <c r="C2202" s="111" t="n"/>
      <c r="D2202" s="112" t="n"/>
      <c r="E2202" s="112" t="n"/>
      <c r="F2202" s="112" t="n"/>
      <c r="G2202" s="112" t="n"/>
      <c r="H2202" s="112" t="n"/>
      <c r="I2202" s="112" t="n"/>
      <c r="J2202" s="112" t="n"/>
      <c r="K2202" s="112" t="n"/>
      <c r="L2202" s="112" t="n"/>
      <c r="M2202" s="112" t="n"/>
      <c r="N2202" s="112" t="n"/>
      <c r="O2202" s="112" t="n"/>
      <c r="P2202" s="112" t="n"/>
      <c r="Q2202" s="112" t="n"/>
      <c r="R2202" s="112" t="n"/>
      <c r="S2202" s="112" t="n"/>
      <c r="T2202" s="112" t="n"/>
      <c r="U2202" s="112" t="n"/>
      <c r="V2202" s="112" t="n"/>
      <c r="W2202" s="112" t="n"/>
      <c r="X2202" s="112" t="n"/>
      <c r="Y2202" s="112" t="n"/>
      <c r="Z2202" s="113" t="n"/>
    </row>
    <row r="2203" ht="8" customHeight="1">
      <c r="A2203" t="n">
        <v>44</v>
      </c>
    </row>
    <row r="2204" ht="8" customHeight="1">
      <c r="A2204" t="n">
        <v>44</v>
      </c>
    </row>
    <row r="2205" ht="24" customHeight="1">
      <c r="A2205" t="n">
        <v>45</v>
      </c>
      <c r="B2205" s="73">
        <f>"WEEK 45     "&amp;TEXT(C2206,"ddd d mmm")&amp;"  –  "&amp;TEXT(C2206+6,"ddd d mmm yyyy")</f>
        <v/>
      </c>
      <c r="S2205" s="74">
        <f>IF(TODAY()&lt;C2206,"FUTURE",IF(TODAY()&gt;C2206+6,"PAST","THIS WEEK"))</f>
        <v/>
      </c>
      <c r="W2205" s="75">
        <f>IF(AND(Engine!$B$8=$AC$3,Engine!$B$9=$A2205),"◀ ACTIVE WEEK","")</f>
        <v/>
      </c>
      <c r="AA2205" s="76" t="n"/>
      <c r="AB2205" s="77" t="inlineStr">
        <is>
          <t>◀ Prev</t>
        </is>
      </c>
      <c r="AC2205" s="77" t="inlineStr">
        <is>
          <t>Next ▶</t>
        </is>
      </c>
    </row>
    <row r="2206" ht="18" customHeight="1">
      <c r="A2206" t="n">
        <v>45</v>
      </c>
      <c r="B2206" s="78" t="inlineStr">
        <is>
          <t>DUTY</t>
        </is>
      </c>
      <c r="C2206" s="79">
        <f>$AC$2+7*($A2206-1)</f>
        <v/>
      </c>
      <c r="D2206" s="80" t="n"/>
      <c r="E2206" s="80" t="n"/>
      <c r="F2206" s="81" t="n"/>
      <c r="G2206" s="79">
        <f>C2206+1</f>
        <v/>
      </c>
      <c r="H2206" s="80" t="n"/>
      <c r="I2206" s="80" t="n"/>
      <c r="J2206" s="81" t="n"/>
      <c r="K2206" s="79">
        <f>C2206+2</f>
        <v/>
      </c>
      <c r="L2206" s="80" t="n"/>
      <c r="M2206" s="80" t="n"/>
      <c r="N2206" s="81" t="n"/>
      <c r="O2206" s="79">
        <f>C2206+3</f>
        <v/>
      </c>
      <c r="P2206" s="80" t="n"/>
      <c r="Q2206" s="80" t="n"/>
      <c r="R2206" s="81" t="n"/>
      <c r="S2206" s="79">
        <f>C2206+4</f>
        <v/>
      </c>
      <c r="T2206" s="80" t="n"/>
      <c r="U2206" s="80" t="n"/>
      <c r="V2206" s="81" t="n"/>
      <c r="W2206" s="82">
        <f>C2206+5</f>
        <v/>
      </c>
      <c r="X2206" s="83" t="n"/>
      <c r="Y2206" s="82">
        <f>C2206+6</f>
        <v/>
      </c>
      <c r="Z2206" s="83" t="n"/>
      <c r="AB2206" s="72" t="inlineStr">
        <is>
          <t>Gaps</t>
        </is>
      </c>
      <c r="AC2206" s="72" t="inlineStr">
        <is>
          <t>Cover</t>
        </is>
      </c>
    </row>
    <row r="2207" ht="14" customHeight="1">
      <c r="A2207" t="n">
        <v>45</v>
      </c>
      <c r="B2207" s="84" t="inlineStr">
        <is>
          <t>(from Setup)</t>
        </is>
      </c>
      <c r="C2207" s="85" t="inlineStr">
        <is>
          <t>1</t>
        </is>
      </c>
      <c r="D2207" s="85" t="inlineStr">
        <is>
          <t>2</t>
        </is>
      </c>
      <c r="E2207" s="85" t="inlineStr">
        <is>
          <t>3</t>
        </is>
      </c>
      <c r="F2207" s="85" t="inlineStr">
        <is>
          <t>Notes</t>
        </is>
      </c>
      <c r="G2207" s="85" t="inlineStr">
        <is>
          <t>1</t>
        </is>
      </c>
      <c r="H2207" s="85" t="inlineStr">
        <is>
          <t>2</t>
        </is>
      </c>
      <c r="I2207" s="85" t="inlineStr">
        <is>
          <t>3</t>
        </is>
      </c>
      <c r="J2207" s="85" t="inlineStr">
        <is>
          <t>Notes</t>
        </is>
      </c>
      <c r="K2207" s="85" t="inlineStr">
        <is>
          <t>1</t>
        </is>
      </c>
      <c r="L2207" s="85" t="inlineStr">
        <is>
          <t>2</t>
        </is>
      </c>
      <c r="M2207" s="85" t="inlineStr">
        <is>
          <t>3</t>
        </is>
      </c>
      <c r="N2207" s="85" t="inlineStr">
        <is>
          <t>Notes</t>
        </is>
      </c>
      <c r="O2207" s="85" t="inlineStr">
        <is>
          <t>1</t>
        </is>
      </c>
      <c r="P2207" s="85" t="inlineStr">
        <is>
          <t>2</t>
        </is>
      </c>
      <c r="Q2207" s="85" t="inlineStr">
        <is>
          <t>3</t>
        </is>
      </c>
      <c r="R2207" s="85" t="inlineStr">
        <is>
          <t>Notes</t>
        </is>
      </c>
      <c r="S2207" s="85" t="inlineStr">
        <is>
          <t>1</t>
        </is>
      </c>
      <c r="T2207" s="85" t="inlineStr">
        <is>
          <t>2</t>
        </is>
      </c>
      <c r="U2207" s="85" t="inlineStr">
        <is>
          <t>3</t>
        </is>
      </c>
      <c r="V2207" s="85" t="inlineStr">
        <is>
          <t>Notes</t>
        </is>
      </c>
      <c r="W2207" s="85" t="inlineStr">
        <is>
          <t>Cover</t>
        </is>
      </c>
      <c r="X2207" s="85" t="inlineStr">
        <is>
          <t>Notes</t>
        </is>
      </c>
      <c r="Y2207" s="85" t="inlineStr">
        <is>
          <t>Cover</t>
        </is>
      </c>
      <c r="Z2207" s="85" t="inlineStr">
        <is>
          <t>Notes</t>
        </is>
      </c>
      <c r="AB2207" s="86" t="inlineStr">
        <is>
          <t>weekdays short</t>
        </is>
      </c>
      <c r="AC2207" s="87" t="inlineStr"/>
    </row>
    <row r="2208" ht="17" customHeight="1">
      <c r="A2208" t="n">
        <v>45</v>
      </c>
      <c r="B2208" s="24">
        <f>IF(Setup!$K$6="","",Setup!$K$6)</f>
        <v/>
      </c>
      <c r="C2208" s="88" t="n"/>
      <c r="D2208" s="88" t="n"/>
      <c r="E2208" s="88" t="n"/>
      <c r="F2208" s="89" t="n"/>
      <c r="G2208" s="88" t="n"/>
      <c r="H2208" s="88" t="n"/>
      <c r="I2208" s="88" t="n"/>
      <c r="J2208" s="89" t="n"/>
      <c r="K2208" s="88" t="n"/>
      <c r="L2208" s="88" t="n"/>
      <c r="M2208" s="88" t="n"/>
      <c r="N2208" s="89" t="n"/>
      <c r="O2208" s="88" t="n"/>
      <c r="P2208" s="88" t="n"/>
      <c r="Q2208" s="88" t="n"/>
      <c r="R2208" s="89" t="n"/>
      <c r="S2208" s="88" t="n"/>
      <c r="T2208" s="88" t="n"/>
      <c r="U2208" s="88" t="n"/>
      <c r="V2208" s="89" t="n"/>
      <c r="W2208" s="88" t="n"/>
      <c r="X2208" s="89" t="n"/>
      <c r="Y2208" s="88" t="n"/>
      <c r="Z2208" s="89" t="n"/>
      <c r="AB2208" s="25">
        <f>IF($B2208="","",(COUNTIF(C2208:E2208,"?*")&lt;N(INDEX(Setup!$L$6:$L$23,1)))+(COUNTIF(G2208:I2208,"?*")&lt;N(INDEX(Setup!$L$6:$L$23,1)))+(COUNTIF(K2208:M2208,"?*")&lt;N(INDEX(Setup!$L$6:$L$23,1)))+(COUNTIF(O2208:Q2208,"?*")&lt;N(INDEX(Setup!$L$6:$L$23,1)))+(COUNTIF(S2208:U2208,"?*")&lt;N(INDEX(Setup!$L$6:$L$23,1)))+((W2208="")*(INDEX(Setup!$M$6:$M$23,1)="Y"))+((Y2208="")*(INDEX(Setup!$M$6:$M$23,1)="Y")))</f>
        <v/>
      </c>
      <c r="AC2208" s="90">
        <f>IF($B2208="","",IF(AB2208=0,"✓ covered","⚠ "&amp;AB2208&amp;IF(AB2208=1," gap"," gaps")))</f>
        <v/>
      </c>
    </row>
    <row r="2209" ht="17" customHeight="1">
      <c r="A2209" t="n">
        <v>45</v>
      </c>
      <c r="B2209" s="29">
        <f>IF(Setup!$K$7="","",Setup!$K$7)</f>
        <v/>
      </c>
      <c r="C2209" s="88" t="n"/>
      <c r="D2209" s="88" t="n"/>
      <c r="E2209" s="88" t="n"/>
      <c r="F2209" s="89" t="n"/>
      <c r="G2209" s="88" t="n"/>
      <c r="H2209" s="88" t="n"/>
      <c r="I2209" s="88" t="n"/>
      <c r="J2209" s="89" t="n"/>
      <c r="K2209" s="88" t="n"/>
      <c r="L2209" s="88" t="n"/>
      <c r="M2209" s="88" t="n"/>
      <c r="N2209" s="89" t="n"/>
      <c r="O2209" s="88" t="n"/>
      <c r="P2209" s="88" t="n"/>
      <c r="Q2209" s="88" t="n"/>
      <c r="R2209" s="89" t="n"/>
      <c r="S2209" s="88" t="n"/>
      <c r="T2209" s="88" t="n"/>
      <c r="U2209" s="88" t="n"/>
      <c r="V2209" s="89" t="n"/>
      <c r="W2209" s="88" t="n"/>
      <c r="X2209" s="89" t="n"/>
      <c r="Y2209" s="88" t="n"/>
      <c r="Z2209" s="89" t="n"/>
      <c r="AB2209" s="30">
        <f>IF($B2209="","",(COUNTIF(C2209:E2209,"?*")&lt;N(INDEX(Setup!$L$6:$L$23,2)))+(COUNTIF(G2209:I2209,"?*")&lt;N(INDEX(Setup!$L$6:$L$23,2)))+(COUNTIF(K2209:M2209,"?*")&lt;N(INDEX(Setup!$L$6:$L$23,2)))+(COUNTIF(O2209:Q2209,"?*")&lt;N(INDEX(Setup!$L$6:$L$23,2)))+(COUNTIF(S2209:U2209,"?*")&lt;N(INDEX(Setup!$L$6:$L$23,2)))+((W2209="")*(INDEX(Setup!$M$6:$M$23,2)="Y"))+((Y2209="")*(INDEX(Setup!$M$6:$M$23,2)="Y")))</f>
        <v/>
      </c>
      <c r="AC2209" s="91">
        <f>IF($B2209="","",IF(AB2209=0,"✓ covered","⚠ "&amp;AB2209&amp;IF(AB2209=1," gap"," gaps")))</f>
        <v/>
      </c>
    </row>
    <row r="2210" ht="17" customHeight="1">
      <c r="A2210" t="n">
        <v>45</v>
      </c>
      <c r="B2210" s="24">
        <f>IF(Setup!$K$8="","",Setup!$K$8)</f>
        <v/>
      </c>
      <c r="C2210" s="88" t="n"/>
      <c r="D2210" s="88" t="n"/>
      <c r="E2210" s="88" t="n"/>
      <c r="F2210" s="89" t="n"/>
      <c r="G2210" s="88" t="n"/>
      <c r="H2210" s="88" t="n"/>
      <c r="I2210" s="88" t="n"/>
      <c r="J2210" s="89" t="n"/>
      <c r="K2210" s="88" t="n"/>
      <c r="L2210" s="88" t="n"/>
      <c r="M2210" s="88" t="n"/>
      <c r="N2210" s="89" t="n"/>
      <c r="O2210" s="88" t="n"/>
      <c r="P2210" s="88" t="n"/>
      <c r="Q2210" s="88" t="n"/>
      <c r="R2210" s="89" t="n"/>
      <c r="S2210" s="88" t="n"/>
      <c r="T2210" s="88" t="n"/>
      <c r="U2210" s="88" t="n"/>
      <c r="V2210" s="89" t="n"/>
      <c r="W2210" s="88" t="n"/>
      <c r="X2210" s="89" t="n"/>
      <c r="Y2210" s="88" t="n"/>
      <c r="Z2210" s="89" t="n"/>
      <c r="AB2210" s="25">
        <f>IF($B2210="","",(COUNTIF(C2210:E2210,"?*")&lt;N(INDEX(Setup!$L$6:$L$23,3)))+(COUNTIF(G2210:I2210,"?*")&lt;N(INDEX(Setup!$L$6:$L$23,3)))+(COUNTIF(K2210:M2210,"?*")&lt;N(INDEX(Setup!$L$6:$L$23,3)))+(COUNTIF(O2210:Q2210,"?*")&lt;N(INDEX(Setup!$L$6:$L$23,3)))+(COUNTIF(S2210:U2210,"?*")&lt;N(INDEX(Setup!$L$6:$L$23,3)))+((W2210="")*(INDEX(Setup!$M$6:$M$23,3)="Y"))+((Y2210="")*(INDEX(Setup!$M$6:$M$23,3)="Y")))</f>
        <v/>
      </c>
      <c r="AC2210" s="90">
        <f>IF($B2210="","",IF(AB2210=0,"✓ covered","⚠ "&amp;AB2210&amp;IF(AB2210=1," gap"," gaps")))</f>
        <v/>
      </c>
    </row>
    <row r="2211" ht="17" customHeight="1">
      <c r="A2211" t="n">
        <v>45</v>
      </c>
      <c r="B2211" s="29">
        <f>IF(Setup!$K$9="","",Setup!$K$9)</f>
        <v/>
      </c>
      <c r="C2211" s="88" t="n"/>
      <c r="D2211" s="88" t="n"/>
      <c r="E2211" s="88" t="n"/>
      <c r="F2211" s="89" t="n"/>
      <c r="G2211" s="88" t="n"/>
      <c r="H2211" s="88" t="n"/>
      <c r="I2211" s="88" t="n"/>
      <c r="J2211" s="89" t="n"/>
      <c r="K2211" s="88" t="n"/>
      <c r="L2211" s="88" t="n"/>
      <c r="M2211" s="88" t="n"/>
      <c r="N2211" s="89" t="n"/>
      <c r="O2211" s="88" t="n"/>
      <c r="P2211" s="88" t="n"/>
      <c r="Q2211" s="88" t="n"/>
      <c r="R2211" s="89" t="n"/>
      <c r="S2211" s="88" t="n"/>
      <c r="T2211" s="88" t="n"/>
      <c r="U2211" s="88" t="n"/>
      <c r="V2211" s="89" t="n"/>
      <c r="W2211" s="88" t="n"/>
      <c r="X2211" s="89" t="n"/>
      <c r="Y2211" s="88" t="n"/>
      <c r="Z2211" s="89" t="n"/>
      <c r="AB2211" s="30">
        <f>IF($B2211="","",(COUNTIF(C2211:E2211,"?*")&lt;N(INDEX(Setup!$L$6:$L$23,4)))+(COUNTIF(G2211:I2211,"?*")&lt;N(INDEX(Setup!$L$6:$L$23,4)))+(COUNTIF(K2211:M2211,"?*")&lt;N(INDEX(Setup!$L$6:$L$23,4)))+(COUNTIF(O2211:Q2211,"?*")&lt;N(INDEX(Setup!$L$6:$L$23,4)))+(COUNTIF(S2211:U2211,"?*")&lt;N(INDEX(Setup!$L$6:$L$23,4)))+((W2211="")*(INDEX(Setup!$M$6:$M$23,4)="Y"))+((Y2211="")*(INDEX(Setup!$M$6:$M$23,4)="Y")))</f>
        <v/>
      </c>
      <c r="AC2211" s="91">
        <f>IF($B2211="","",IF(AB2211=0,"✓ covered","⚠ "&amp;AB2211&amp;IF(AB2211=1," gap"," gaps")))</f>
        <v/>
      </c>
    </row>
    <row r="2212" ht="17" customHeight="1">
      <c r="A2212" t="n">
        <v>45</v>
      </c>
      <c r="B2212" s="24">
        <f>IF(Setup!$K$10="","",Setup!$K$10)</f>
        <v/>
      </c>
      <c r="C2212" s="88" t="n"/>
      <c r="D2212" s="88" t="n"/>
      <c r="E2212" s="88" t="n"/>
      <c r="F2212" s="89" t="n"/>
      <c r="G2212" s="88" t="n"/>
      <c r="H2212" s="88" t="n"/>
      <c r="I2212" s="88" t="n"/>
      <c r="J2212" s="89" t="n"/>
      <c r="K2212" s="88" t="n"/>
      <c r="L2212" s="88" t="n"/>
      <c r="M2212" s="88" t="n"/>
      <c r="N2212" s="89" t="n"/>
      <c r="O2212" s="88" t="n"/>
      <c r="P2212" s="88" t="n"/>
      <c r="Q2212" s="88" t="n"/>
      <c r="R2212" s="89" t="n"/>
      <c r="S2212" s="88" t="n"/>
      <c r="T2212" s="88" t="n"/>
      <c r="U2212" s="88" t="n"/>
      <c r="V2212" s="89" t="n"/>
      <c r="W2212" s="88" t="n"/>
      <c r="X2212" s="89" t="n"/>
      <c r="Y2212" s="88" t="n"/>
      <c r="Z2212" s="89" t="n"/>
      <c r="AB2212" s="25">
        <f>IF($B2212="","",(COUNTIF(C2212:E2212,"?*")&lt;N(INDEX(Setup!$L$6:$L$23,5)))+(COUNTIF(G2212:I2212,"?*")&lt;N(INDEX(Setup!$L$6:$L$23,5)))+(COUNTIF(K2212:M2212,"?*")&lt;N(INDEX(Setup!$L$6:$L$23,5)))+(COUNTIF(O2212:Q2212,"?*")&lt;N(INDEX(Setup!$L$6:$L$23,5)))+(COUNTIF(S2212:U2212,"?*")&lt;N(INDEX(Setup!$L$6:$L$23,5)))+((W2212="")*(INDEX(Setup!$M$6:$M$23,5)="Y"))+((Y2212="")*(INDEX(Setup!$M$6:$M$23,5)="Y")))</f>
        <v/>
      </c>
      <c r="AC2212" s="90">
        <f>IF($B2212="","",IF(AB2212=0,"✓ covered","⚠ "&amp;AB2212&amp;IF(AB2212=1," gap"," gaps")))</f>
        <v/>
      </c>
    </row>
    <row r="2213" ht="17" customHeight="1">
      <c r="A2213" t="n">
        <v>45</v>
      </c>
      <c r="B2213" s="29">
        <f>IF(Setup!$K$11="","",Setup!$K$11)</f>
        <v/>
      </c>
      <c r="C2213" s="88" t="n"/>
      <c r="D2213" s="88" t="n"/>
      <c r="E2213" s="88" t="n"/>
      <c r="F2213" s="89" t="n"/>
      <c r="G2213" s="88" t="n"/>
      <c r="H2213" s="88" t="n"/>
      <c r="I2213" s="88" t="n"/>
      <c r="J2213" s="89" t="n"/>
      <c r="K2213" s="88" t="n"/>
      <c r="L2213" s="88" t="n"/>
      <c r="M2213" s="88" t="n"/>
      <c r="N2213" s="89" t="n"/>
      <c r="O2213" s="88" t="n"/>
      <c r="P2213" s="88" t="n"/>
      <c r="Q2213" s="88" t="n"/>
      <c r="R2213" s="89" t="n"/>
      <c r="S2213" s="88" t="n"/>
      <c r="T2213" s="88" t="n"/>
      <c r="U2213" s="88" t="n"/>
      <c r="V2213" s="89" t="n"/>
      <c r="W2213" s="88" t="n"/>
      <c r="X2213" s="89" t="n"/>
      <c r="Y2213" s="88" t="n"/>
      <c r="Z2213" s="89" t="n"/>
      <c r="AB2213" s="30">
        <f>IF($B2213="","",(COUNTIF(C2213:E2213,"?*")&lt;N(INDEX(Setup!$L$6:$L$23,6)))+(COUNTIF(G2213:I2213,"?*")&lt;N(INDEX(Setup!$L$6:$L$23,6)))+(COUNTIF(K2213:M2213,"?*")&lt;N(INDEX(Setup!$L$6:$L$23,6)))+(COUNTIF(O2213:Q2213,"?*")&lt;N(INDEX(Setup!$L$6:$L$23,6)))+(COUNTIF(S2213:U2213,"?*")&lt;N(INDEX(Setup!$L$6:$L$23,6)))+((W2213="")*(INDEX(Setup!$M$6:$M$23,6)="Y"))+((Y2213="")*(INDEX(Setup!$M$6:$M$23,6)="Y")))</f>
        <v/>
      </c>
      <c r="AC2213" s="91">
        <f>IF($B2213="","",IF(AB2213=0,"✓ covered","⚠ "&amp;AB2213&amp;IF(AB2213=1," gap"," gaps")))</f>
        <v/>
      </c>
    </row>
    <row r="2214" ht="17" customHeight="1">
      <c r="A2214" t="n">
        <v>45</v>
      </c>
      <c r="B2214" s="24">
        <f>IF(Setup!$K$12="","",Setup!$K$12)</f>
        <v/>
      </c>
      <c r="C2214" s="88" t="n"/>
      <c r="D2214" s="88" t="n"/>
      <c r="E2214" s="88" t="n"/>
      <c r="F2214" s="89" t="n"/>
      <c r="G2214" s="88" t="n"/>
      <c r="H2214" s="88" t="n"/>
      <c r="I2214" s="88" t="n"/>
      <c r="J2214" s="89" t="n"/>
      <c r="K2214" s="88" t="n"/>
      <c r="L2214" s="88" t="n"/>
      <c r="M2214" s="88" t="n"/>
      <c r="N2214" s="89" t="n"/>
      <c r="O2214" s="88" t="n"/>
      <c r="P2214" s="88" t="n"/>
      <c r="Q2214" s="88" t="n"/>
      <c r="R2214" s="89" t="n"/>
      <c r="S2214" s="88" t="n"/>
      <c r="T2214" s="88" t="n"/>
      <c r="U2214" s="88" t="n"/>
      <c r="V2214" s="89" t="n"/>
      <c r="W2214" s="88" t="n"/>
      <c r="X2214" s="89" t="n"/>
      <c r="Y2214" s="88" t="n"/>
      <c r="Z2214" s="89" t="n"/>
      <c r="AB2214" s="25">
        <f>IF($B2214="","",(COUNTIF(C2214:E2214,"?*")&lt;N(INDEX(Setup!$L$6:$L$23,7)))+(COUNTIF(G2214:I2214,"?*")&lt;N(INDEX(Setup!$L$6:$L$23,7)))+(COUNTIF(K2214:M2214,"?*")&lt;N(INDEX(Setup!$L$6:$L$23,7)))+(COUNTIF(O2214:Q2214,"?*")&lt;N(INDEX(Setup!$L$6:$L$23,7)))+(COUNTIF(S2214:U2214,"?*")&lt;N(INDEX(Setup!$L$6:$L$23,7)))+((W2214="")*(INDEX(Setup!$M$6:$M$23,7)="Y"))+((Y2214="")*(INDEX(Setup!$M$6:$M$23,7)="Y")))</f>
        <v/>
      </c>
      <c r="AC2214" s="90">
        <f>IF($B2214="","",IF(AB2214=0,"✓ covered","⚠ "&amp;AB2214&amp;IF(AB2214=1," gap"," gaps")))</f>
        <v/>
      </c>
    </row>
    <row r="2215" ht="17" customHeight="1">
      <c r="A2215" t="n">
        <v>45</v>
      </c>
      <c r="B2215" s="29">
        <f>IF(Setup!$K$13="","",Setup!$K$13)</f>
        <v/>
      </c>
      <c r="C2215" s="88" t="n"/>
      <c r="D2215" s="88" t="n"/>
      <c r="E2215" s="88" t="n"/>
      <c r="F2215" s="89" t="n"/>
      <c r="G2215" s="88" t="n"/>
      <c r="H2215" s="88" t="n"/>
      <c r="I2215" s="88" t="n"/>
      <c r="J2215" s="89" t="n"/>
      <c r="K2215" s="88" t="n"/>
      <c r="L2215" s="88" t="n"/>
      <c r="M2215" s="88" t="n"/>
      <c r="N2215" s="89" t="n"/>
      <c r="O2215" s="88" t="n"/>
      <c r="P2215" s="88" t="n"/>
      <c r="Q2215" s="88" t="n"/>
      <c r="R2215" s="89" t="n"/>
      <c r="S2215" s="88" t="n"/>
      <c r="T2215" s="88" t="n"/>
      <c r="U2215" s="88" t="n"/>
      <c r="V2215" s="89" t="n"/>
      <c r="W2215" s="88" t="n"/>
      <c r="X2215" s="89" t="n"/>
      <c r="Y2215" s="88" t="n"/>
      <c r="Z2215" s="89" t="n"/>
      <c r="AB2215" s="30">
        <f>IF($B2215="","",(COUNTIF(C2215:E2215,"?*")&lt;N(INDEX(Setup!$L$6:$L$23,8)))+(COUNTIF(G2215:I2215,"?*")&lt;N(INDEX(Setup!$L$6:$L$23,8)))+(COUNTIF(K2215:M2215,"?*")&lt;N(INDEX(Setup!$L$6:$L$23,8)))+(COUNTIF(O2215:Q2215,"?*")&lt;N(INDEX(Setup!$L$6:$L$23,8)))+(COUNTIF(S2215:U2215,"?*")&lt;N(INDEX(Setup!$L$6:$L$23,8)))+((W2215="")*(INDEX(Setup!$M$6:$M$23,8)="Y"))+((Y2215="")*(INDEX(Setup!$M$6:$M$23,8)="Y")))</f>
        <v/>
      </c>
      <c r="AC2215" s="91">
        <f>IF($B2215="","",IF(AB2215=0,"✓ covered","⚠ "&amp;AB2215&amp;IF(AB2215=1," gap"," gaps")))</f>
        <v/>
      </c>
    </row>
    <row r="2216" ht="17" customHeight="1">
      <c r="A2216" t="n">
        <v>45</v>
      </c>
      <c r="B2216" s="24">
        <f>IF(Setup!$K$14="","",Setup!$K$14)</f>
        <v/>
      </c>
      <c r="C2216" s="88" t="n"/>
      <c r="D2216" s="88" t="n"/>
      <c r="E2216" s="88" t="n"/>
      <c r="F2216" s="89" t="n"/>
      <c r="G2216" s="88" t="n"/>
      <c r="H2216" s="88" t="n"/>
      <c r="I2216" s="88" t="n"/>
      <c r="J2216" s="89" t="n"/>
      <c r="K2216" s="88" t="n"/>
      <c r="L2216" s="88" t="n"/>
      <c r="M2216" s="88" t="n"/>
      <c r="N2216" s="89" t="n"/>
      <c r="O2216" s="88" t="n"/>
      <c r="P2216" s="88" t="n"/>
      <c r="Q2216" s="88" t="n"/>
      <c r="R2216" s="89" t="n"/>
      <c r="S2216" s="88" t="n"/>
      <c r="T2216" s="88" t="n"/>
      <c r="U2216" s="88" t="n"/>
      <c r="V2216" s="89" t="n"/>
      <c r="W2216" s="88" t="n"/>
      <c r="X2216" s="89" t="n"/>
      <c r="Y2216" s="88" t="n"/>
      <c r="Z2216" s="89" t="n"/>
      <c r="AB2216" s="25">
        <f>IF($B2216="","",(COUNTIF(C2216:E2216,"?*")&lt;N(INDEX(Setup!$L$6:$L$23,9)))+(COUNTIF(G2216:I2216,"?*")&lt;N(INDEX(Setup!$L$6:$L$23,9)))+(COUNTIF(K2216:M2216,"?*")&lt;N(INDEX(Setup!$L$6:$L$23,9)))+(COUNTIF(O2216:Q2216,"?*")&lt;N(INDEX(Setup!$L$6:$L$23,9)))+(COUNTIF(S2216:U2216,"?*")&lt;N(INDEX(Setup!$L$6:$L$23,9)))+((W2216="")*(INDEX(Setup!$M$6:$M$23,9)="Y"))+((Y2216="")*(INDEX(Setup!$M$6:$M$23,9)="Y")))</f>
        <v/>
      </c>
      <c r="AC2216" s="90">
        <f>IF($B2216="","",IF(AB2216=0,"✓ covered","⚠ "&amp;AB2216&amp;IF(AB2216=1," gap"," gaps")))</f>
        <v/>
      </c>
    </row>
    <row r="2217" ht="17" customHeight="1">
      <c r="A2217" t="n">
        <v>45</v>
      </c>
      <c r="B2217" s="29">
        <f>IF(Setup!$K$15="","",Setup!$K$15)</f>
        <v/>
      </c>
      <c r="C2217" s="88" t="n"/>
      <c r="D2217" s="88" t="n"/>
      <c r="E2217" s="88" t="n"/>
      <c r="F2217" s="89" t="n"/>
      <c r="G2217" s="88" t="n"/>
      <c r="H2217" s="88" t="n"/>
      <c r="I2217" s="88" t="n"/>
      <c r="J2217" s="89" t="n"/>
      <c r="K2217" s="88" t="n"/>
      <c r="L2217" s="88" t="n"/>
      <c r="M2217" s="88" t="n"/>
      <c r="N2217" s="89" t="n"/>
      <c r="O2217" s="88" t="n"/>
      <c r="P2217" s="88" t="n"/>
      <c r="Q2217" s="88" t="n"/>
      <c r="R2217" s="89" t="n"/>
      <c r="S2217" s="88" t="n"/>
      <c r="T2217" s="88" t="n"/>
      <c r="U2217" s="88" t="n"/>
      <c r="V2217" s="89" t="n"/>
      <c r="W2217" s="88" t="n"/>
      <c r="X2217" s="89" t="n"/>
      <c r="Y2217" s="88" t="n"/>
      <c r="Z2217" s="89" t="n"/>
      <c r="AB2217" s="30">
        <f>IF($B2217="","",(COUNTIF(C2217:E2217,"?*")&lt;N(INDEX(Setup!$L$6:$L$23,10)))+(COUNTIF(G2217:I2217,"?*")&lt;N(INDEX(Setup!$L$6:$L$23,10)))+(COUNTIF(K2217:M2217,"?*")&lt;N(INDEX(Setup!$L$6:$L$23,10)))+(COUNTIF(O2217:Q2217,"?*")&lt;N(INDEX(Setup!$L$6:$L$23,10)))+(COUNTIF(S2217:U2217,"?*")&lt;N(INDEX(Setup!$L$6:$L$23,10)))+((W2217="")*(INDEX(Setup!$M$6:$M$23,10)="Y"))+((Y2217="")*(INDEX(Setup!$M$6:$M$23,10)="Y")))</f>
        <v/>
      </c>
      <c r="AC2217" s="91">
        <f>IF($B2217="","",IF(AB2217=0,"✓ covered","⚠ "&amp;AB2217&amp;IF(AB2217=1," gap"," gaps")))</f>
        <v/>
      </c>
    </row>
    <row r="2218" ht="17" customHeight="1">
      <c r="A2218" t="n">
        <v>45</v>
      </c>
      <c r="B2218" s="24">
        <f>IF(Setup!$K$16="","",Setup!$K$16)</f>
        <v/>
      </c>
      <c r="C2218" s="88" t="n"/>
      <c r="D2218" s="88" t="n"/>
      <c r="E2218" s="88" t="n"/>
      <c r="F2218" s="89" t="n"/>
      <c r="G2218" s="88" t="n"/>
      <c r="H2218" s="88" t="n"/>
      <c r="I2218" s="88" t="n"/>
      <c r="J2218" s="89" t="n"/>
      <c r="K2218" s="88" t="n"/>
      <c r="L2218" s="88" t="n"/>
      <c r="M2218" s="88" t="n"/>
      <c r="N2218" s="89" t="n"/>
      <c r="O2218" s="88" t="n"/>
      <c r="P2218" s="88" t="n"/>
      <c r="Q2218" s="88" t="n"/>
      <c r="R2218" s="89" t="n"/>
      <c r="S2218" s="88" t="n"/>
      <c r="T2218" s="88" t="n"/>
      <c r="U2218" s="88" t="n"/>
      <c r="V2218" s="89" t="n"/>
      <c r="W2218" s="88" t="n"/>
      <c r="X2218" s="89" t="n"/>
      <c r="Y2218" s="88" t="n"/>
      <c r="Z2218" s="89" t="n"/>
      <c r="AB2218" s="25">
        <f>IF($B2218="","",(COUNTIF(C2218:E2218,"?*")&lt;N(INDEX(Setup!$L$6:$L$23,11)))+(COUNTIF(G2218:I2218,"?*")&lt;N(INDEX(Setup!$L$6:$L$23,11)))+(COUNTIF(K2218:M2218,"?*")&lt;N(INDEX(Setup!$L$6:$L$23,11)))+(COUNTIF(O2218:Q2218,"?*")&lt;N(INDEX(Setup!$L$6:$L$23,11)))+(COUNTIF(S2218:U2218,"?*")&lt;N(INDEX(Setup!$L$6:$L$23,11)))+((W2218="")*(INDEX(Setup!$M$6:$M$23,11)="Y"))+((Y2218="")*(INDEX(Setup!$M$6:$M$23,11)="Y")))</f>
        <v/>
      </c>
      <c r="AC2218" s="90">
        <f>IF($B2218="","",IF(AB2218=0,"✓ covered","⚠ "&amp;AB2218&amp;IF(AB2218=1," gap"," gaps")))</f>
        <v/>
      </c>
    </row>
    <row r="2219" ht="17" customHeight="1">
      <c r="A2219" t="n">
        <v>45</v>
      </c>
      <c r="B2219" s="29">
        <f>IF(Setup!$K$17="","",Setup!$K$17)</f>
        <v/>
      </c>
      <c r="C2219" s="88" t="n"/>
      <c r="D2219" s="88" t="n"/>
      <c r="E2219" s="88" t="n"/>
      <c r="F2219" s="89" t="n"/>
      <c r="G2219" s="88" t="n"/>
      <c r="H2219" s="88" t="n"/>
      <c r="I2219" s="88" t="n"/>
      <c r="J2219" s="89" t="n"/>
      <c r="K2219" s="88" t="n"/>
      <c r="L2219" s="88" t="n"/>
      <c r="M2219" s="88" t="n"/>
      <c r="N2219" s="89" t="n"/>
      <c r="O2219" s="88" t="n"/>
      <c r="P2219" s="88" t="n"/>
      <c r="Q2219" s="88" t="n"/>
      <c r="R2219" s="89" t="n"/>
      <c r="S2219" s="88" t="n"/>
      <c r="T2219" s="88" t="n"/>
      <c r="U2219" s="88" t="n"/>
      <c r="V2219" s="89" t="n"/>
      <c r="W2219" s="88" t="n"/>
      <c r="X2219" s="89" t="n"/>
      <c r="Y2219" s="88" t="n"/>
      <c r="Z2219" s="89" t="n"/>
      <c r="AB2219" s="30">
        <f>IF($B2219="","",(COUNTIF(C2219:E2219,"?*")&lt;N(INDEX(Setup!$L$6:$L$23,12)))+(COUNTIF(G2219:I2219,"?*")&lt;N(INDEX(Setup!$L$6:$L$23,12)))+(COUNTIF(K2219:M2219,"?*")&lt;N(INDEX(Setup!$L$6:$L$23,12)))+(COUNTIF(O2219:Q2219,"?*")&lt;N(INDEX(Setup!$L$6:$L$23,12)))+(COUNTIF(S2219:U2219,"?*")&lt;N(INDEX(Setup!$L$6:$L$23,12)))+((W2219="")*(INDEX(Setup!$M$6:$M$23,12)="Y"))+((Y2219="")*(INDEX(Setup!$M$6:$M$23,12)="Y")))</f>
        <v/>
      </c>
      <c r="AC2219" s="91">
        <f>IF($B2219="","",IF(AB2219=0,"✓ covered","⚠ "&amp;AB2219&amp;IF(AB2219=1," gap"," gaps")))</f>
        <v/>
      </c>
    </row>
    <row r="2220" ht="17" customHeight="1">
      <c r="A2220" t="n">
        <v>45</v>
      </c>
      <c r="B2220" s="24">
        <f>IF(Setup!$K$18="","",Setup!$K$18)</f>
        <v/>
      </c>
      <c r="C2220" s="88" t="n"/>
      <c r="D2220" s="88" t="n"/>
      <c r="E2220" s="88" t="n"/>
      <c r="F2220" s="89" t="n"/>
      <c r="G2220" s="88" t="n"/>
      <c r="H2220" s="88" t="n"/>
      <c r="I2220" s="88" t="n"/>
      <c r="J2220" s="89" t="n"/>
      <c r="K2220" s="88" t="n"/>
      <c r="L2220" s="88" t="n"/>
      <c r="M2220" s="88" t="n"/>
      <c r="N2220" s="89" t="n"/>
      <c r="O2220" s="88" t="n"/>
      <c r="P2220" s="88" t="n"/>
      <c r="Q2220" s="88" t="n"/>
      <c r="R2220" s="89" t="n"/>
      <c r="S2220" s="88" t="n"/>
      <c r="T2220" s="88" t="n"/>
      <c r="U2220" s="88" t="n"/>
      <c r="V2220" s="89" t="n"/>
      <c r="W2220" s="88" t="n"/>
      <c r="X2220" s="89" t="n"/>
      <c r="Y2220" s="88" t="n"/>
      <c r="Z2220" s="89" t="n"/>
      <c r="AB2220" s="25">
        <f>IF($B2220="","",(COUNTIF(C2220:E2220,"?*")&lt;N(INDEX(Setup!$L$6:$L$23,13)))+(COUNTIF(G2220:I2220,"?*")&lt;N(INDEX(Setup!$L$6:$L$23,13)))+(COUNTIF(K2220:M2220,"?*")&lt;N(INDEX(Setup!$L$6:$L$23,13)))+(COUNTIF(O2220:Q2220,"?*")&lt;N(INDEX(Setup!$L$6:$L$23,13)))+(COUNTIF(S2220:U2220,"?*")&lt;N(INDEX(Setup!$L$6:$L$23,13)))+((W2220="")*(INDEX(Setup!$M$6:$M$23,13)="Y"))+((Y2220="")*(INDEX(Setup!$M$6:$M$23,13)="Y")))</f>
        <v/>
      </c>
      <c r="AC2220" s="90">
        <f>IF($B2220="","",IF(AB2220=0,"✓ covered","⚠ "&amp;AB2220&amp;IF(AB2220=1," gap"," gaps")))</f>
        <v/>
      </c>
    </row>
    <row r="2221" ht="17" customHeight="1">
      <c r="A2221" t="n">
        <v>45</v>
      </c>
      <c r="B2221" s="29">
        <f>IF(Setup!$K$19="","",Setup!$K$19)</f>
        <v/>
      </c>
      <c r="C2221" s="88" t="n"/>
      <c r="D2221" s="88" t="n"/>
      <c r="E2221" s="88" t="n"/>
      <c r="F2221" s="89" t="n"/>
      <c r="G2221" s="88" t="n"/>
      <c r="H2221" s="88" t="n"/>
      <c r="I2221" s="88" t="n"/>
      <c r="J2221" s="89" t="n"/>
      <c r="K2221" s="88" t="n"/>
      <c r="L2221" s="88" t="n"/>
      <c r="M2221" s="88" t="n"/>
      <c r="N2221" s="89" t="n"/>
      <c r="O2221" s="88" t="n"/>
      <c r="P2221" s="88" t="n"/>
      <c r="Q2221" s="88" t="n"/>
      <c r="R2221" s="89" t="n"/>
      <c r="S2221" s="88" t="n"/>
      <c r="T2221" s="88" t="n"/>
      <c r="U2221" s="88" t="n"/>
      <c r="V2221" s="89" t="n"/>
      <c r="W2221" s="88" t="n"/>
      <c r="X2221" s="89" t="n"/>
      <c r="Y2221" s="88" t="n"/>
      <c r="Z2221" s="89" t="n"/>
      <c r="AB2221" s="30">
        <f>IF($B2221="","",(COUNTIF(C2221:E2221,"?*")&lt;N(INDEX(Setup!$L$6:$L$23,14)))+(COUNTIF(G2221:I2221,"?*")&lt;N(INDEX(Setup!$L$6:$L$23,14)))+(COUNTIF(K2221:M2221,"?*")&lt;N(INDEX(Setup!$L$6:$L$23,14)))+(COUNTIF(O2221:Q2221,"?*")&lt;N(INDEX(Setup!$L$6:$L$23,14)))+(COUNTIF(S2221:U2221,"?*")&lt;N(INDEX(Setup!$L$6:$L$23,14)))+((W2221="")*(INDEX(Setup!$M$6:$M$23,14)="Y"))+((Y2221="")*(INDEX(Setup!$M$6:$M$23,14)="Y")))</f>
        <v/>
      </c>
      <c r="AC2221" s="91">
        <f>IF($B2221="","",IF(AB2221=0,"✓ covered","⚠ "&amp;AB2221&amp;IF(AB2221=1," gap"," gaps")))</f>
        <v/>
      </c>
    </row>
    <row r="2222" ht="17" customHeight="1">
      <c r="A2222" t="n">
        <v>45</v>
      </c>
      <c r="B2222" s="24">
        <f>IF(Setup!$K$20="","",Setup!$K$20)</f>
        <v/>
      </c>
      <c r="C2222" s="88" t="n"/>
      <c r="D2222" s="88" t="n"/>
      <c r="E2222" s="88" t="n"/>
      <c r="F2222" s="89" t="n"/>
      <c r="G2222" s="88" t="n"/>
      <c r="H2222" s="88" t="n"/>
      <c r="I2222" s="88" t="n"/>
      <c r="J2222" s="89" t="n"/>
      <c r="K2222" s="88" t="n"/>
      <c r="L2222" s="88" t="n"/>
      <c r="M2222" s="88" t="n"/>
      <c r="N2222" s="89" t="n"/>
      <c r="O2222" s="88" t="n"/>
      <c r="P2222" s="88" t="n"/>
      <c r="Q2222" s="88" t="n"/>
      <c r="R2222" s="89" t="n"/>
      <c r="S2222" s="88" t="n"/>
      <c r="T2222" s="88" t="n"/>
      <c r="U2222" s="88" t="n"/>
      <c r="V2222" s="89" t="n"/>
      <c r="W2222" s="88" t="n"/>
      <c r="X2222" s="89" t="n"/>
      <c r="Y2222" s="88" t="n"/>
      <c r="Z2222" s="89" t="n"/>
      <c r="AB2222" s="25">
        <f>IF($B2222="","",(COUNTIF(C2222:E2222,"?*")&lt;N(INDEX(Setup!$L$6:$L$23,15)))+(COUNTIF(G2222:I2222,"?*")&lt;N(INDEX(Setup!$L$6:$L$23,15)))+(COUNTIF(K2222:M2222,"?*")&lt;N(INDEX(Setup!$L$6:$L$23,15)))+(COUNTIF(O2222:Q2222,"?*")&lt;N(INDEX(Setup!$L$6:$L$23,15)))+(COUNTIF(S2222:U2222,"?*")&lt;N(INDEX(Setup!$L$6:$L$23,15)))+((W2222="")*(INDEX(Setup!$M$6:$M$23,15)="Y"))+((Y2222="")*(INDEX(Setup!$M$6:$M$23,15)="Y")))</f>
        <v/>
      </c>
      <c r="AC2222" s="90">
        <f>IF($B2222="","",IF(AB2222=0,"✓ covered","⚠ "&amp;AB2222&amp;IF(AB2222=1," gap"," gaps")))</f>
        <v/>
      </c>
    </row>
    <row r="2223" ht="17" customHeight="1">
      <c r="A2223" t="n">
        <v>45</v>
      </c>
      <c r="B2223" s="29">
        <f>IF(Setup!$K$21="","",Setup!$K$21)</f>
        <v/>
      </c>
      <c r="C2223" s="88" t="n"/>
      <c r="D2223" s="88" t="n"/>
      <c r="E2223" s="88" t="n"/>
      <c r="F2223" s="89" t="n"/>
      <c r="G2223" s="88" t="n"/>
      <c r="H2223" s="88" t="n"/>
      <c r="I2223" s="88" t="n"/>
      <c r="J2223" s="89" t="n"/>
      <c r="K2223" s="88" t="n"/>
      <c r="L2223" s="88" t="n"/>
      <c r="M2223" s="88" t="n"/>
      <c r="N2223" s="89" t="n"/>
      <c r="O2223" s="88" t="n"/>
      <c r="P2223" s="88" t="n"/>
      <c r="Q2223" s="88" t="n"/>
      <c r="R2223" s="89" t="n"/>
      <c r="S2223" s="88" t="n"/>
      <c r="T2223" s="88" t="n"/>
      <c r="U2223" s="88" t="n"/>
      <c r="V2223" s="89" t="n"/>
      <c r="W2223" s="88" t="n"/>
      <c r="X2223" s="89" t="n"/>
      <c r="Y2223" s="88" t="n"/>
      <c r="Z2223" s="89" t="n"/>
      <c r="AB2223" s="30">
        <f>IF($B2223="","",(COUNTIF(C2223:E2223,"?*")&lt;N(INDEX(Setup!$L$6:$L$23,16)))+(COUNTIF(G2223:I2223,"?*")&lt;N(INDEX(Setup!$L$6:$L$23,16)))+(COUNTIF(K2223:M2223,"?*")&lt;N(INDEX(Setup!$L$6:$L$23,16)))+(COUNTIF(O2223:Q2223,"?*")&lt;N(INDEX(Setup!$L$6:$L$23,16)))+(COUNTIF(S2223:U2223,"?*")&lt;N(INDEX(Setup!$L$6:$L$23,16)))+((W2223="")*(INDEX(Setup!$M$6:$M$23,16)="Y"))+((Y2223="")*(INDEX(Setup!$M$6:$M$23,16)="Y")))</f>
        <v/>
      </c>
      <c r="AC2223" s="91">
        <f>IF($B2223="","",IF(AB2223=0,"✓ covered","⚠ "&amp;AB2223&amp;IF(AB2223=1," gap"," gaps")))</f>
        <v/>
      </c>
    </row>
    <row r="2224" ht="17" customHeight="1">
      <c r="A2224" t="n">
        <v>45</v>
      </c>
      <c r="B2224" s="24">
        <f>IF(Setup!$K$22="","",Setup!$K$22)</f>
        <v/>
      </c>
      <c r="C2224" s="88" t="n"/>
      <c r="D2224" s="88" t="n"/>
      <c r="E2224" s="88" t="n"/>
      <c r="F2224" s="89" t="n"/>
      <c r="G2224" s="88" t="n"/>
      <c r="H2224" s="88" t="n"/>
      <c r="I2224" s="88" t="n"/>
      <c r="J2224" s="89" t="n"/>
      <c r="K2224" s="88" t="n"/>
      <c r="L2224" s="88" t="n"/>
      <c r="M2224" s="88" t="n"/>
      <c r="N2224" s="89" t="n"/>
      <c r="O2224" s="88" t="n"/>
      <c r="P2224" s="88" t="n"/>
      <c r="Q2224" s="88" t="n"/>
      <c r="R2224" s="89" t="n"/>
      <c r="S2224" s="88" t="n"/>
      <c r="T2224" s="88" t="n"/>
      <c r="U2224" s="88" t="n"/>
      <c r="V2224" s="89" t="n"/>
      <c r="W2224" s="88" t="n"/>
      <c r="X2224" s="89" t="n"/>
      <c r="Y2224" s="88" t="n"/>
      <c r="Z2224" s="89" t="n"/>
      <c r="AB2224" s="25">
        <f>IF($B2224="","",(COUNTIF(C2224:E2224,"?*")&lt;N(INDEX(Setup!$L$6:$L$23,17)))+(COUNTIF(G2224:I2224,"?*")&lt;N(INDEX(Setup!$L$6:$L$23,17)))+(COUNTIF(K2224:M2224,"?*")&lt;N(INDEX(Setup!$L$6:$L$23,17)))+(COUNTIF(O2224:Q2224,"?*")&lt;N(INDEX(Setup!$L$6:$L$23,17)))+(COUNTIF(S2224:U2224,"?*")&lt;N(INDEX(Setup!$L$6:$L$23,17)))+((W2224="")*(INDEX(Setup!$M$6:$M$23,17)="Y"))+((Y2224="")*(INDEX(Setup!$M$6:$M$23,17)="Y")))</f>
        <v/>
      </c>
      <c r="AC2224" s="90">
        <f>IF($B2224="","",IF(AB2224=0,"✓ covered","⚠ "&amp;AB2224&amp;IF(AB2224=1," gap"," gaps")))</f>
        <v/>
      </c>
    </row>
    <row r="2225" ht="17" customHeight="1">
      <c r="A2225" t="n">
        <v>45</v>
      </c>
      <c r="B2225" s="29">
        <f>IF(Setup!$K$23="","",Setup!$K$23)</f>
        <v/>
      </c>
      <c r="C2225" s="88" t="n"/>
      <c r="D2225" s="88" t="n"/>
      <c r="E2225" s="88" t="n"/>
      <c r="F2225" s="89" t="n"/>
      <c r="G2225" s="88" t="n"/>
      <c r="H2225" s="88" t="n"/>
      <c r="I2225" s="88" t="n"/>
      <c r="J2225" s="89" t="n"/>
      <c r="K2225" s="88" t="n"/>
      <c r="L2225" s="88" t="n"/>
      <c r="M2225" s="88" t="n"/>
      <c r="N2225" s="89" t="n"/>
      <c r="O2225" s="88" t="n"/>
      <c r="P2225" s="88" t="n"/>
      <c r="Q2225" s="88" t="n"/>
      <c r="R2225" s="89" t="n"/>
      <c r="S2225" s="88" t="n"/>
      <c r="T2225" s="88" t="n"/>
      <c r="U2225" s="88" t="n"/>
      <c r="V2225" s="89" t="n"/>
      <c r="W2225" s="88" t="n"/>
      <c r="X2225" s="89" t="n"/>
      <c r="Y2225" s="88" t="n"/>
      <c r="Z2225" s="89" t="n"/>
      <c r="AB2225" s="30">
        <f>IF($B2225="","",(COUNTIF(C2225:E2225,"?*")&lt;N(INDEX(Setup!$L$6:$L$23,18)))+(COUNTIF(G2225:I2225,"?*")&lt;N(INDEX(Setup!$L$6:$L$23,18)))+(COUNTIF(K2225:M2225,"?*")&lt;N(INDEX(Setup!$L$6:$L$23,18)))+(COUNTIF(O2225:Q2225,"?*")&lt;N(INDEX(Setup!$L$6:$L$23,18)))+(COUNTIF(S2225:U2225,"?*")&lt;N(INDEX(Setup!$L$6:$L$23,18)))+((W2225="")*(INDEX(Setup!$M$6:$M$23,18)="Y"))+((Y2225="")*(INDEX(Setup!$M$6:$M$23,18)="Y")))</f>
        <v/>
      </c>
      <c r="AC2225" s="91">
        <f>IF($B2225="","",IF(AB2225=0,"✓ covered","⚠ "&amp;AB2225&amp;IF(AB2225=1," gap"," gaps")))</f>
        <v/>
      </c>
    </row>
    <row r="2226" ht="18" customHeight="1">
      <c r="A2226" t="n">
        <v>45</v>
      </c>
      <c r="B2226" s="78" t="inlineStr">
        <is>
          <t>TEAM AVAILABILITY</t>
        </is>
      </c>
      <c r="C2226" s="92" t="inlineStr">
        <is>
          <t>Mon</t>
        </is>
      </c>
      <c r="D2226" s="93" t="n"/>
      <c r="E2226" s="93" t="n"/>
      <c r="F2226" s="94" t="n"/>
      <c r="G2226" s="92" t="inlineStr">
        <is>
          <t>Tue</t>
        </is>
      </c>
      <c r="H2226" s="93" t="n"/>
      <c r="I2226" s="93" t="n"/>
      <c r="J2226" s="94" t="n"/>
      <c r="K2226" s="92" t="inlineStr">
        <is>
          <t>Wed</t>
        </is>
      </c>
      <c r="L2226" s="93" t="n"/>
      <c r="M2226" s="93" t="n"/>
      <c r="N2226" s="94" t="n"/>
      <c r="O2226" s="92" t="inlineStr">
        <is>
          <t>Thu</t>
        </is>
      </c>
      <c r="P2226" s="93" t="n"/>
      <c r="Q2226" s="93" t="n"/>
      <c r="R2226" s="94" t="n"/>
      <c r="S2226" s="92" t="inlineStr">
        <is>
          <t>Fri</t>
        </is>
      </c>
      <c r="T2226" s="93" t="n"/>
      <c r="U2226" s="93" t="n"/>
      <c r="V2226" s="94" t="n"/>
      <c r="W2226" s="95" t="inlineStr">
        <is>
          <t>Sat</t>
        </is>
      </c>
      <c r="X2226" s="96" t="n"/>
      <c r="Y2226" s="95" t="inlineStr">
        <is>
          <t>Sun</t>
        </is>
      </c>
      <c r="Z2226" s="96" t="n"/>
      <c r="AB2226" s="97" t="inlineStr">
        <is>
          <t>Days rostered</t>
        </is>
      </c>
      <c r="AC2226" s="97" t="inlineStr">
        <is>
          <t>Conflicts</t>
        </is>
      </c>
    </row>
    <row r="2227" ht="15" customHeight="1">
      <c r="A2227" t="n">
        <v>45</v>
      </c>
      <c r="B2227" s="35">
        <f>IF(Setup!$B$6="","",Setup!$B$6)</f>
        <v/>
      </c>
      <c r="C2227" s="98" t="n"/>
      <c r="D2227" s="99" t="n"/>
      <c r="E2227" s="99" t="n"/>
      <c r="F2227" s="100" t="n"/>
      <c r="G2227" s="98" t="n"/>
      <c r="H2227" s="99" t="n"/>
      <c r="I2227" s="99" t="n"/>
      <c r="J2227" s="100" t="n"/>
      <c r="K2227" s="98" t="n"/>
      <c r="L2227" s="99" t="n"/>
      <c r="M2227" s="99" t="n"/>
      <c r="N2227" s="100" t="n"/>
      <c r="O2227" s="98" t="n"/>
      <c r="P2227" s="99" t="n"/>
      <c r="Q2227" s="99" t="n"/>
      <c r="R2227" s="100" t="n"/>
      <c r="S2227" s="98" t="n"/>
      <c r="T2227" s="99" t="n"/>
      <c r="U2227" s="99" t="n"/>
      <c r="V2227" s="100" t="n"/>
      <c r="W2227" s="98" t="n"/>
      <c r="X2227" s="100" t="n"/>
      <c r="Y2227" s="98" t="n"/>
      <c r="Z2227" s="100" t="n"/>
      <c r="AB2227" s="101">
        <f>IF($B2227="","",(COUNTIF(C2208:E2225,$B2227)+COUNTIF(C2208:E2225,$B2227&amp;" ~*")&gt;0)+(COUNTIF(G2208:I2225,$B2227)+COUNTIF(G2208:I2225,$B2227&amp;" ~*")&gt;0)+(COUNTIF(K2208:M2225,$B2227)+COUNTIF(K2208:M2225,$B2227&amp;" ~*")&gt;0)+(COUNTIF(O2208:Q2225,$B2227)+COUNTIF(O2208:Q2225,$B2227&amp;" ~*")&gt;0)+(COUNTIF(S2208:U2225,$B2227)+COUNTIF(S2208:U2225,$B2227&amp;" ~*")&gt;0)+(COUNTIF(W2208:W2225,$B2227)+COUNTIF(W2208:W2225,$B2227&amp;" ~*")&gt;0)+(COUNTIF(Y2208:Y2225,$B2227)+COUNTIF(Y2208:Y2225,$B2227&amp;" ~*")&gt;0))</f>
        <v/>
      </c>
      <c r="AC2227" s="36">
        <f>IF($B2227="","",(IFERROR(INDEX(Setup!$G$33:$G$40,MATCH(C2227,Setup!$B$33:$B$40,0)),0)=1)*(COUNTIF(C2208:E2225,$B2227)+COUNTIF(C2208:E2225,$B2227&amp;" ~*")&gt;0)+(IFERROR(INDEX(Setup!$G$33:$G$40,MATCH(G2227,Setup!$B$33:$B$40,0)),0)=1)*(COUNTIF(G2208:I2225,$B2227)+COUNTIF(G2208:I2225,$B2227&amp;" ~*")&gt;0)+(IFERROR(INDEX(Setup!$G$33:$G$40,MATCH(K2227,Setup!$B$33:$B$40,0)),0)=1)*(COUNTIF(K2208:M2225,$B2227)+COUNTIF(K2208:M2225,$B2227&amp;" ~*")&gt;0)+(IFERROR(INDEX(Setup!$G$33:$G$40,MATCH(O2227,Setup!$B$33:$B$40,0)),0)=1)*(COUNTIF(O2208:Q2225,$B2227)+COUNTIF(O2208:Q2225,$B2227&amp;" ~*")&gt;0)+(IFERROR(INDEX(Setup!$G$33:$G$40,MATCH(S2227,Setup!$B$33:$B$40,0)),0)=1)*(COUNTIF(S2208:U2225,$B2227)+COUNTIF(S2208:U2225,$B2227&amp;" ~*")&gt;0)+(IFERROR(INDEX(Setup!$G$33:$G$40,MATCH(W2227,Setup!$B$33:$B$40,0)),0)=1)*(COUNTIF(W2208:W2225,$B2227)+COUNTIF(W2208:W2225,$B2227&amp;" ~*")&gt;0)+(IFERROR(INDEX(Setup!$G$33:$G$40,MATCH(Y2227,Setup!$B$33:$B$40,0)),0)=1)*(COUNTIF(Y2208:Y2225,$B2227)+COUNTIF(Y2208:Y2225,$B2227&amp;" ~*")&gt;0))</f>
        <v/>
      </c>
    </row>
    <row r="2228" ht="15" customHeight="1">
      <c r="A2228" t="n">
        <v>45</v>
      </c>
      <c r="B2228" s="37">
        <f>IF(Setup!$B$7="","",Setup!$B$7)</f>
        <v/>
      </c>
      <c r="C2228" s="102" t="n"/>
      <c r="D2228" s="103" t="n"/>
      <c r="E2228" s="103" t="n"/>
      <c r="F2228" s="104" t="n"/>
      <c r="G2228" s="102" t="n"/>
      <c r="H2228" s="103" t="n"/>
      <c r="I2228" s="103" t="n"/>
      <c r="J2228" s="104" t="n"/>
      <c r="K2228" s="102" t="n"/>
      <c r="L2228" s="103" t="n"/>
      <c r="M2228" s="103" t="n"/>
      <c r="N2228" s="104" t="n"/>
      <c r="O2228" s="102" t="n"/>
      <c r="P2228" s="103" t="n"/>
      <c r="Q2228" s="103" t="n"/>
      <c r="R2228" s="104" t="n"/>
      <c r="S2228" s="102" t="n"/>
      <c r="T2228" s="103" t="n"/>
      <c r="U2228" s="103" t="n"/>
      <c r="V2228" s="104" t="n"/>
      <c r="W2228" s="102" t="n"/>
      <c r="X2228" s="104" t="n"/>
      <c r="Y2228" s="102" t="n"/>
      <c r="Z2228" s="104" t="n"/>
      <c r="AB2228" s="105">
        <f>IF($B2228="","",(COUNTIF(C2208:E2225,$B2228)+COUNTIF(C2208:E2225,$B2228&amp;" ~*")&gt;0)+(COUNTIF(G2208:I2225,$B2228)+COUNTIF(G2208:I2225,$B2228&amp;" ~*")&gt;0)+(COUNTIF(K2208:M2225,$B2228)+COUNTIF(K2208:M2225,$B2228&amp;" ~*")&gt;0)+(COUNTIF(O2208:Q2225,$B2228)+COUNTIF(O2208:Q2225,$B2228&amp;" ~*")&gt;0)+(COUNTIF(S2208:U2225,$B2228)+COUNTIF(S2208:U2225,$B2228&amp;" ~*")&gt;0)+(COUNTIF(W2208:W2225,$B2228)+COUNTIF(W2208:W2225,$B2228&amp;" ~*")&gt;0)+(COUNTIF(Y2208:Y2225,$B2228)+COUNTIF(Y2208:Y2225,$B2228&amp;" ~*")&gt;0))</f>
        <v/>
      </c>
      <c r="AC2228" s="38">
        <f>IF($B2228="","",(IFERROR(INDEX(Setup!$G$33:$G$40,MATCH(C2228,Setup!$B$33:$B$40,0)),0)=1)*(COUNTIF(C2208:E2225,$B2228)+COUNTIF(C2208:E2225,$B2228&amp;" ~*")&gt;0)+(IFERROR(INDEX(Setup!$G$33:$G$40,MATCH(G2228,Setup!$B$33:$B$40,0)),0)=1)*(COUNTIF(G2208:I2225,$B2228)+COUNTIF(G2208:I2225,$B2228&amp;" ~*")&gt;0)+(IFERROR(INDEX(Setup!$G$33:$G$40,MATCH(K2228,Setup!$B$33:$B$40,0)),0)=1)*(COUNTIF(K2208:M2225,$B2228)+COUNTIF(K2208:M2225,$B2228&amp;" ~*")&gt;0)+(IFERROR(INDEX(Setup!$G$33:$G$40,MATCH(O2228,Setup!$B$33:$B$40,0)),0)=1)*(COUNTIF(O2208:Q2225,$B2228)+COUNTIF(O2208:Q2225,$B2228&amp;" ~*")&gt;0)+(IFERROR(INDEX(Setup!$G$33:$G$40,MATCH(S2228,Setup!$B$33:$B$40,0)),0)=1)*(COUNTIF(S2208:U2225,$B2228)+COUNTIF(S2208:U2225,$B2228&amp;" ~*")&gt;0)+(IFERROR(INDEX(Setup!$G$33:$G$40,MATCH(W2228,Setup!$B$33:$B$40,0)),0)=1)*(COUNTIF(W2208:W2225,$B2228)+COUNTIF(W2208:W2225,$B2228&amp;" ~*")&gt;0)+(IFERROR(INDEX(Setup!$G$33:$G$40,MATCH(Y2228,Setup!$B$33:$B$40,0)),0)=1)*(COUNTIF(Y2208:Y2225,$B2228)+COUNTIF(Y2208:Y2225,$B2228&amp;" ~*")&gt;0))</f>
        <v/>
      </c>
    </row>
    <row r="2229" ht="15" customHeight="1">
      <c r="A2229" t="n">
        <v>45</v>
      </c>
      <c r="B2229" s="35">
        <f>IF(Setup!$B$8="","",Setup!$B$8)</f>
        <v/>
      </c>
      <c r="C2229" s="98" t="n"/>
      <c r="D2229" s="99" t="n"/>
      <c r="E2229" s="99" t="n"/>
      <c r="F2229" s="100" t="n"/>
      <c r="G2229" s="98" t="n"/>
      <c r="H2229" s="99" t="n"/>
      <c r="I2229" s="99" t="n"/>
      <c r="J2229" s="100" t="n"/>
      <c r="K2229" s="98" t="n"/>
      <c r="L2229" s="99" t="n"/>
      <c r="M2229" s="99" t="n"/>
      <c r="N2229" s="100" t="n"/>
      <c r="O2229" s="98" t="n"/>
      <c r="P2229" s="99" t="n"/>
      <c r="Q2229" s="99" t="n"/>
      <c r="R2229" s="100" t="n"/>
      <c r="S2229" s="98" t="n"/>
      <c r="T2229" s="99" t="n"/>
      <c r="U2229" s="99" t="n"/>
      <c r="V2229" s="100" t="n"/>
      <c r="W2229" s="98" t="n"/>
      <c r="X2229" s="100" t="n"/>
      <c r="Y2229" s="98" t="n"/>
      <c r="Z2229" s="100" t="n"/>
      <c r="AB2229" s="101">
        <f>IF($B2229="","",(COUNTIF(C2208:E2225,$B2229)+COUNTIF(C2208:E2225,$B2229&amp;" ~*")&gt;0)+(COUNTIF(G2208:I2225,$B2229)+COUNTIF(G2208:I2225,$B2229&amp;" ~*")&gt;0)+(COUNTIF(K2208:M2225,$B2229)+COUNTIF(K2208:M2225,$B2229&amp;" ~*")&gt;0)+(COUNTIF(O2208:Q2225,$B2229)+COUNTIF(O2208:Q2225,$B2229&amp;" ~*")&gt;0)+(COUNTIF(S2208:U2225,$B2229)+COUNTIF(S2208:U2225,$B2229&amp;" ~*")&gt;0)+(COUNTIF(W2208:W2225,$B2229)+COUNTIF(W2208:W2225,$B2229&amp;" ~*")&gt;0)+(COUNTIF(Y2208:Y2225,$B2229)+COUNTIF(Y2208:Y2225,$B2229&amp;" ~*")&gt;0))</f>
        <v/>
      </c>
      <c r="AC2229" s="36">
        <f>IF($B2229="","",(IFERROR(INDEX(Setup!$G$33:$G$40,MATCH(C2229,Setup!$B$33:$B$40,0)),0)=1)*(COUNTIF(C2208:E2225,$B2229)+COUNTIF(C2208:E2225,$B2229&amp;" ~*")&gt;0)+(IFERROR(INDEX(Setup!$G$33:$G$40,MATCH(G2229,Setup!$B$33:$B$40,0)),0)=1)*(COUNTIF(G2208:I2225,$B2229)+COUNTIF(G2208:I2225,$B2229&amp;" ~*")&gt;0)+(IFERROR(INDEX(Setup!$G$33:$G$40,MATCH(K2229,Setup!$B$33:$B$40,0)),0)=1)*(COUNTIF(K2208:M2225,$B2229)+COUNTIF(K2208:M2225,$B2229&amp;" ~*")&gt;0)+(IFERROR(INDEX(Setup!$G$33:$G$40,MATCH(O2229,Setup!$B$33:$B$40,0)),0)=1)*(COUNTIF(O2208:Q2225,$B2229)+COUNTIF(O2208:Q2225,$B2229&amp;" ~*")&gt;0)+(IFERROR(INDEX(Setup!$G$33:$G$40,MATCH(S2229,Setup!$B$33:$B$40,0)),0)=1)*(COUNTIF(S2208:U2225,$B2229)+COUNTIF(S2208:U2225,$B2229&amp;" ~*")&gt;0)+(IFERROR(INDEX(Setup!$G$33:$G$40,MATCH(W2229,Setup!$B$33:$B$40,0)),0)=1)*(COUNTIF(W2208:W2225,$B2229)+COUNTIF(W2208:W2225,$B2229&amp;" ~*")&gt;0)+(IFERROR(INDEX(Setup!$G$33:$G$40,MATCH(Y2229,Setup!$B$33:$B$40,0)),0)=1)*(COUNTIF(Y2208:Y2225,$B2229)+COUNTIF(Y2208:Y2225,$B2229&amp;" ~*")&gt;0))</f>
        <v/>
      </c>
    </row>
    <row r="2230" ht="15" customHeight="1">
      <c r="A2230" t="n">
        <v>45</v>
      </c>
      <c r="B2230" s="37">
        <f>IF(Setup!$B$9="","",Setup!$B$9)</f>
        <v/>
      </c>
      <c r="C2230" s="102" t="n"/>
      <c r="D2230" s="103" t="n"/>
      <c r="E2230" s="103" t="n"/>
      <c r="F2230" s="104" t="n"/>
      <c r="G2230" s="102" t="n"/>
      <c r="H2230" s="103" t="n"/>
      <c r="I2230" s="103" t="n"/>
      <c r="J2230" s="104" t="n"/>
      <c r="K2230" s="102" t="n"/>
      <c r="L2230" s="103" t="n"/>
      <c r="M2230" s="103" t="n"/>
      <c r="N2230" s="104" t="n"/>
      <c r="O2230" s="102" t="n"/>
      <c r="P2230" s="103" t="n"/>
      <c r="Q2230" s="103" t="n"/>
      <c r="R2230" s="104" t="n"/>
      <c r="S2230" s="102" t="n"/>
      <c r="T2230" s="103" t="n"/>
      <c r="U2230" s="103" t="n"/>
      <c r="V2230" s="104" t="n"/>
      <c r="W2230" s="102" t="n"/>
      <c r="X2230" s="104" t="n"/>
      <c r="Y2230" s="102" t="n"/>
      <c r="Z2230" s="104" t="n"/>
      <c r="AB2230" s="105">
        <f>IF($B2230="","",(COUNTIF(C2208:E2225,$B2230)+COUNTIF(C2208:E2225,$B2230&amp;" ~*")&gt;0)+(COUNTIF(G2208:I2225,$B2230)+COUNTIF(G2208:I2225,$B2230&amp;" ~*")&gt;0)+(COUNTIF(K2208:M2225,$B2230)+COUNTIF(K2208:M2225,$B2230&amp;" ~*")&gt;0)+(COUNTIF(O2208:Q2225,$B2230)+COUNTIF(O2208:Q2225,$B2230&amp;" ~*")&gt;0)+(COUNTIF(S2208:U2225,$B2230)+COUNTIF(S2208:U2225,$B2230&amp;" ~*")&gt;0)+(COUNTIF(W2208:W2225,$B2230)+COUNTIF(W2208:W2225,$B2230&amp;" ~*")&gt;0)+(COUNTIF(Y2208:Y2225,$B2230)+COUNTIF(Y2208:Y2225,$B2230&amp;" ~*")&gt;0))</f>
        <v/>
      </c>
      <c r="AC2230" s="38">
        <f>IF($B2230="","",(IFERROR(INDEX(Setup!$G$33:$G$40,MATCH(C2230,Setup!$B$33:$B$40,0)),0)=1)*(COUNTIF(C2208:E2225,$B2230)+COUNTIF(C2208:E2225,$B2230&amp;" ~*")&gt;0)+(IFERROR(INDEX(Setup!$G$33:$G$40,MATCH(G2230,Setup!$B$33:$B$40,0)),0)=1)*(COUNTIF(G2208:I2225,$B2230)+COUNTIF(G2208:I2225,$B2230&amp;" ~*")&gt;0)+(IFERROR(INDEX(Setup!$G$33:$G$40,MATCH(K2230,Setup!$B$33:$B$40,0)),0)=1)*(COUNTIF(K2208:M2225,$B2230)+COUNTIF(K2208:M2225,$B2230&amp;" ~*")&gt;0)+(IFERROR(INDEX(Setup!$G$33:$G$40,MATCH(O2230,Setup!$B$33:$B$40,0)),0)=1)*(COUNTIF(O2208:Q2225,$B2230)+COUNTIF(O2208:Q2225,$B2230&amp;" ~*")&gt;0)+(IFERROR(INDEX(Setup!$G$33:$G$40,MATCH(S2230,Setup!$B$33:$B$40,0)),0)=1)*(COUNTIF(S2208:U2225,$B2230)+COUNTIF(S2208:U2225,$B2230&amp;" ~*")&gt;0)+(IFERROR(INDEX(Setup!$G$33:$G$40,MATCH(W2230,Setup!$B$33:$B$40,0)),0)=1)*(COUNTIF(W2208:W2225,$B2230)+COUNTIF(W2208:W2225,$B2230&amp;" ~*")&gt;0)+(IFERROR(INDEX(Setup!$G$33:$G$40,MATCH(Y2230,Setup!$B$33:$B$40,0)),0)=1)*(COUNTIF(Y2208:Y2225,$B2230)+COUNTIF(Y2208:Y2225,$B2230&amp;" ~*")&gt;0))</f>
        <v/>
      </c>
    </row>
    <row r="2231" ht="15" customHeight="1">
      <c r="A2231" t="n">
        <v>45</v>
      </c>
      <c r="B2231" s="35">
        <f>IF(Setup!$B$10="","",Setup!$B$10)</f>
        <v/>
      </c>
      <c r="C2231" s="98" t="n"/>
      <c r="D2231" s="99" t="n"/>
      <c r="E2231" s="99" t="n"/>
      <c r="F2231" s="100" t="n"/>
      <c r="G2231" s="98" t="n"/>
      <c r="H2231" s="99" t="n"/>
      <c r="I2231" s="99" t="n"/>
      <c r="J2231" s="100" t="n"/>
      <c r="K2231" s="98" t="n"/>
      <c r="L2231" s="99" t="n"/>
      <c r="M2231" s="99" t="n"/>
      <c r="N2231" s="100" t="n"/>
      <c r="O2231" s="98" t="n"/>
      <c r="P2231" s="99" t="n"/>
      <c r="Q2231" s="99" t="n"/>
      <c r="R2231" s="100" t="n"/>
      <c r="S2231" s="98" t="n"/>
      <c r="T2231" s="99" t="n"/>
      <c r="U2231" s="99" t="n"/>
      <c r="V2231" s="100" t="n"/>
      <c r="W2231" s="98" t="n"/>
      <c r="X2231" s="100" t="n"/>
      <c r="Y2231" s="98" t="n"/>
      <c r="Z2231" s="100" t="n"/>
      <c r="AB2231" s="101">
        <f>IF($B2231="","",(COUNTIF(C2208:E2225,$B2231)+COUNTIF(C2208:E2225,$B2231&amp;" ~*")&gt;0)+(COUNTIF(G2208:I2225,$B2231)+COUNTIF(G2208:I2225,$B2231&amp;" ~*")&gt;0)+(COUNTIF(K2208:M2225,$B2231)+COUNTIF(K2208:M2225,$B2231&amp;" ~*")&gt;0)+(COUNTIF(O2208:Q2225,$B2231)+COUNTIF(O2208:Q2225,$B2231&amp;" ~*")&gt;0)+(COUNTIF(S2208:U2225,$B2231)+COUNTIF(S2208:U2225,$B2231&amp;" ~*")&gt;0)+(COUNTIF(W2208:W2225,$B2231)+COUNTIF(W2208:W2225,$B2231&amp;" ~*")&gt;0)+(COUNTIF(Y2208:Y2225,$B2231)+COUNTIF(Y2208:Y2225,$B2231&amp;" ~*")&gt;0))</f>
        <v/>
      </c>
      <c r="AC2231" s="36">
        <f>IF($B2231="","",(IFERROR(INDEX(Setup!$G$33:$G$40,MATCH(C2231,Setup!$B$33:$B$40,0)),0)=1)*(COUNTIF(C2208:E2225,$B2231)+COUNTIF(C2208:E2225,$B2231&amp;" ~*")&gt;0)+(IFERROR(INDEX(Setup!$G$33:$G$40,MATCH(G2231,Setup!$B$33:$B$40,0)),0)=1)*(COUNTIF(G2208:I2225,$B2231)+COUNTIF(G2208:I2225,$B2231&amp;" ~*")&gt;0)+(IFERROR(INDEX(Setup!$G$33:$G$40,MATCH(K2231,Setup!$B$33:$B$40,0)),0)=1)*(COUNTIF(K2208:M2225,$B2231)+COUNTIF(K2208:M2225,$B2231&amp;" ~*")&gt;0)+(IFERROR(INDEX(Setup!$G$33:$G$40,MATCH(O2231,Setup!$B$33:$B$40,0)),0)=1)*(COUNTIF(O2208:Q2225,$B2231)+COUNTIF(O2208:Q2225,$B2231&amp;" ~*")&gt;0)+(IFERROR(INDEX(Setup!$G$33:$G$40,MATCH(S2231,Setup!$B$33:$B$40,0)),0)=1)*(COUNTIF(S2208:U2225,$B2231)+COUNTIF(S2208:U2225,$B2231&amp;" ~*")&gt;0)+(IFERROR(INDEX(Setup!$G$33:$G$40,MATCH(W2231,Setup!$B$33:$B$40,0)),0)=1)*(COUNTIF(W2208:W2225,$B2231)+COUNTIF(W2208:W2225,$B2231&amp;" ~*")&gt;0)+(IFERROR(INDEX(Setup!$G$33:$G$40,MATCH(Y2231,Setup!$B$33:$B$40,0)),0)=1)*(COUNTIF(Y2208:Y2225,$B2231)+COUNTIF(Y2208:Y2225,$B2231&amp;" ~*")&gt;0))</f>
        <v/>
      </c>
    </row>
    <row r="2232" ht="15" customHeight="1">
      <c r="A2232" t="n">
        <v>45</v>
      </c>
      <c r="B2232" s="37">
        <f>IF(Setup!$B$11="","",Setup!$B$11)</f>
        <v/>
      </c>
      <c r="C2232" s="102" t="n"/>
      <c r="D2232" s="103" t="n"/>
      <c r="E2232" s="103" t="n"/>
      <c r="F2232" s="104" t="n"/>
      <c r="G2232" s="102" t="n"/>
      <c r="H2232" s="103" t="n"/>
      <c r="I2232" s="103" t="n"/>
      <c r="J2232" s="104" t="n"/>
      <c r="K2232" s="102" t="n"/>
      <c r="L2232" s="103" t="n"/>
      <c r="M2232" s="103" t="n"/>
      <c r="N2232" s="104" t="n"/>
      <c r="O2232" s="102" t="n"/>
      <c r="P2232" s="103" t="n"/>
      <c r="Q2232" s="103" t="n"/>
      <c r="R2232" s="104" t="n"/>
      <c r="S2232" s="102" t="n"/>
      <c r="T2232" s="103" t="n"/>
      <c r="U2232" s="103" t="n"/>
      <c r="V2232" s="104" t="n"/>
      <c r="W2232" s="102" t="n"/>
      <c r="X2232" s="104" t="n"/>
      <c r="Y2232" s="102" t="n"/>
      <c r="Z2232" s="104" t="n"/>
      <c r="AB2232" s="105">
        <f>IF($B2232="","",(COUNTIF(C2208:E2225,$B2232)+COUNTIF(C2208:E2225,$B2232&amp;" ~*")&gt;0)+(COUNTIF(G2208:I2225,$B2232)+COUNTIF(G2208:I2225,$B2232&amp;" ~*")&gt;0)+(COUNTIF(K2208:M2225,$B2232)+COUNTIF(K2208:M2225,$B2232&amp;" ~*")&gt;0)+(COUNTIF(O2208:Q2225,$B2232)+COUNTIF(O2208:Q2225,$B2232&amp;" ~*")&gt;0)+(COUNTIF(S2208:U2225,$B2232)+COUNTIF(S2208:U2225,$B2232&amp;" ~*")&gt;0)+(COUNTIF(W2208:W2225,$B2232)+COUNTIF(W2208:W2225,$B2232&amp;" ~*")&gt;0)+(COUNTIF(Y2208:Y2225,$B2232)+COUNTIF(Y2208:Y2225,$B2232&amp;" ~*")&gt;0))</f>
        <v/>
      </c>
      <c r="AC2232" s="38">
        <f>IF($B2232="","",(IFERROR(INDEX(Setup!$G$33:$G$40,MATCH(C2232,Setup!$B$33:$B$40,0)),0)=1)*(COUNTIF(C2208:E2225,$B2232)+COUNTIF(C2208:E2225,$B2232&amp;" ~*")&gt;0)+(IFERROR(INDEX(Setup!$G$33:$G$40,MATCH(G2232,Setup!$B$33:$B$40,0)),0)=1)*(COUNTIF(G2208:I2225,$B2232)+COUNTIF(G2208:I2225,$B2232&amp;" ~*")&gt;0)+(IFERROR(INDEX(Setup!$G$33:$G$40,MATCH(K2232,Setup!$B$33:$B$40,0)),0)=1)*(COUNTIF(K2208:M2225,$B2232)+COUNTIF(K2208:M2225,$B2232&amp;" ~*")&gt;0)+(IFERROR(INDEX(Setup!$G$33:$G$40,MATCH(O2232,Setup!$B$33:$B$40,0)),0)=1)*(COUNTIF(O2208:Q2225,$B2232)+COUNTIF(O2208:Q2225,$B2232&amp;" ~*")&gt;0)+(IFERROR(INDEX(Setup!$G$33:$G$40,MATCH(S2232,Setup!$B$33:$B$40,0)),0)=1)*(COUNTIF(S2208:U2225,$B2232)+COUNTIF(S2208:U2225,$B2232&amp;" ~*")&gt;0)+(IFERROR(INDEX(Setup!$G$33:$G$40,MATCH(W2232,Setup!$B$33:$B$40,0)),0)=1)*(COUNTIF(W2208:W2225,$B2232)+COUNTIF(W2208:W2225,$B2232&amp;" ~*")&gt;0)+(IFERROR(INDEX(Setup!$G$33:$G$40,MATCH(Y2232,Setup!$B$33:$B$40,0)),0)=1)*(COUNTIF(Y2208:Y2225,$B2232)+COUNTIF(Y2208:Y2225,$B2232&amp;" ~*")&gt;0))</f>
        <v/>
      </c>
    </row>
    <row r="2233" ht="15" customHeight="1">
      <c r="A2233" t="n">
        <v>45</v>
      </c>
      <c r="B2233" s="35">
        <f>IF(Setup!$B$12="","",Setup!$B$12)</f>
        <v/>
      </c>
      <c r="C2233" s="98" t="n"/>
      <c r="D2233" s="99" t="n"/>
      <c r="E2233" s="99" t="n"/>
      <c r="F2233" s="100" t="n"/>
      <c r="G2233" s="98" t="n"/>
      <c r="H2233" s="99" t="n"/>
      <c r="I2233" s="99" t="n"/>
      <c r="J2233" s="100" t="n"/>
      <c r="K2233" s="98" t="n"/>
      <c r="L2233" s="99" t="n"/>
      <c r="M2233" s="99" t="n"/>
      <c r="N2233" s="100" t="n"/>
      <c r="O2233" s="98" t="n"/>
      <c r="P2233" s="99" t="n"/>
      <c r="Q2233" s="99" t="n"/>
      <c r="R2233" s="100" t="n"/>
      <c r="S2233" s="98" t="n"/>
      <c r="T2233" s="99" t="n"/>
      <c r="U2233" s="99" t="n"/>
      <c r="V2233" s="100" t="n"/>
      <c r="W2233" s="98" t="n"/>
      <c r="X2233" s="100" t="n"/>
      <c r="Y2233" s="98" t="n"/>
      <c r="Z2233" s="100" t="n"/>
      <c r="AB2233" s="101">
        <f>IF($B2233="","",(COUNTIF(C2208:E2225,$B2233)+COUNTIF(C2208:E2225,$B2233&amp;" ~*")&gt;0)+(COUNTIF(G2208:I2225,$B2233)+COUNTIF(G2208:I2225,$B2233&amp;" ~*")&gt;0)+(COUNTIF(K2208:M2225,$B2233)+COUNTIF(K2208:M2225,$B2233&amp;" ~*")&gt;0)+(COUNTIF(O2208:Q2225,$B2233)+COUNTIF(O2208:Q2225,$B2233&amp;" ~*")&gt;0)+(COUNTIF(S2208:U2225,$B2233)+COUNTIF(S2208:U2225,$B2233&amp;" ~*")&gt;0)+(COUNTIF(W2208:W2225,$B2233)+COUNTIF(W2208:W2225,$B2233&amp;" ~*")&gt;0)+(COUNTIF(Y2208:Y2225,$B2233)+COUNTIF(Y2208:Y2225,$B2233&amp;" ~*")&gt;0))</f>
        <v/>
      </c>
      <c r="AC2233" s="36">
        <f>IF($B2233="","",(IFERROR(INDEX(Setup!$G$33:$G$40,MATCH(C2233,Setup!$B$33:$B$40,0)),0)=1)*(COUNTIF(C2208:E2225,$B2233)+COUNTIF(C2208:E2225,$B2233&amp;" ~*")&gt;0)+(IFERROR(INDEX(Setup!$G$33:$G$40,MATCH(G2233,Setup!$B$33:$B$40,0)),0)=1)*(COUNTIF(G2208:I2225,$B2233)+COUNTIF(G2208:I2225,$B2233&amp;" ~*")&gt;0)+(IFERROR(INDEX(Setup!$G$33:$G$40,MATCH(K2233,Setup!$B$33:$B$40,0)),0)=1)*(COUNTIF(K2208:M2225,$B2233)+COUNTIF(K2208:M2225,$B2233&amp;" ~*")&gt;0)+(IFERROR(INDEX(Setup!$G$33:$G$40,MATCH(O2233,Setup!$B$33:$B$40,0)),0)=1)*(COUNTIF(O2208:Q2225,$B2233)+COUNTIF(O2208:Q2225,$B2233&amp;" ~*")&gt;0)+(IFERROR(INDEX(Setup!$G$33:$G$40,MATCH(S2233,Setup!$B$33:$B$40,0)),0)=1)*(COUNTIF(S2208:U2225,$B2233)+COUNTIF(S2208:U2225,$B2233&amp;" ~*")&gt;0)+(IFERROR(INDEX(Setup!$G$33:$G$40,MATCH(W2233,Setup!$B$33:$B$40,0)),0)=1)*(COUNTIF(W2208:W2225,$B2233)+COUNTIF(W2208:W2225,$B2233&amp;" ~*")&gt;0)+(IFERROR(INDEX(Setup!$G$33:$G$40,MATCH(Y2233,Setup!$B$33:$B$40,0)),0)=1)*(COUNTIF(Y2208:Y2225,$B2233)+COUNTIF(Y2208:Y2225,$B2233&amp;" ~*")&gt;0))</f>
        <v/>
      </c>
    </row>
    <row r="2234" ht="15" customHeight="1">
      <c r="A2234" t="n">
        <v>45</v>
      </c>
      <c r="B2234" s="37">
        <f>IF(Setup!$B$13="","",Setup!$B$13)</f>
        <v/>
      </c>
      <c r="C2234" s="102" t="inlineStr">
        <is>
          <t>AL</t>
        </is>
      </c>
      <c r="D2234" s="103" t="n"/>
      <c r="E2234" s="103" t="n"/>
      <c r="F2234" s="104" t="n"/>
      <c r="G2234" s="102" t="inlineStr">
        <is>
          <t>AL</t>
        </is>
      </c>
      <c r="H2234" s="103" t="n"/>
      <c r="I2234" s="103" t="n"/>
      <c r="J2234" s="104" t="n"/>
      <c r="K2234" s="102" t="inlineStr">
        <is>
          <t>AL</t>
        </is>
      </c>
      <c r="L2234" s="103" t="n"/>
      <c r="M2234" s="103" t="n"/>
      <c r="N2234" s="104" t="n"/>
      <c r="O2234" s="102" t="inlineStr">
        <is>
          <t>AL</t>
        </is>
      </c>
      <c r="P2234" s="103" t="n"/>
      <c r="Q2234" s="103" t="n"/>
      <c r="R2234" s="104" t="n"/>
      <c r="S2234" s="102" t="inlineStr">
        <is>
          <t>AL</t>
        </is>
      </c>
      <c r="T2234" s="103" t="n"/>
      <c r="U2234" s="103" t="n"/>
      <c r="V2234" s="104" t="n"/>
      <c r="W2234" s="102" t="n"/>
      <c r="X2234" s="104" t="n"/>
      <c r="Y2234" s="102" t="n"/>
      <c r="Z2234" s="104" t="n"/>
      <c r="AB2234" s="105">
        <f>IF($B2234="","",(COUNTIF(C2208:E2225,$B2234)+COUNTIF(C2208:E2225,$B2234&amp;" ~*")&gt;0)+(COUNTIF(G2208:I2225,$B2234)+COUNTIF(G2208:I2225,$B2234&amp;" ~*")&gt;0)+(COUNTIF(K2208:M2225,$B2234)+COUNTIF(K2208:M2225,$B2234&amp;" ~*")&gt;0)+(COUNTIF(O2208:Q2225,$B2234)+COUNTIF(O2208:Q2225,$B2234&amp;" ~*")&gt;0)+(COUNTIF(S2208:U2225,$B2234)+COUNTIF(S2208:U2225,$B2234&amp;" ~*")&gt;0)+(COUNTIF(W2208:W2225,$B2234)+COUNTIF(W2208:W2225,$B2234&amp;" ~*")&gt;0)+(COUNTIF(Y2208:Y2225,$B2234)+COUNTIF(Y2208:Y2225,$B2234&amp;" ~*")&gt;0))</f>
        <v/>
      </c>
      <c r="AC2234" s="38">
        <f>IF($B2234="","",(IFERROR(INDEX(Setup!$G$33:$G$40,MATCH(C2234,Setup!$B$33:$B$40,0)),0)=1)*(COUNTIF(C2208:E2225,$B2234)+COUNTIF(C2208:E2225,$B2234&amp;" ~*")&gt;0)+(IFERROR(INDEX(Setup!$G$33:$G$40,MATCH(G2234,Setup!$B$33:$B$40,0)),0)=1)*(COUNTIF(G2208:I2225,$B2234)+COUNTIF(G2208:I2225,$B2234&amp;" ~*")&gt;0)+(IFERROR(INDEX(Setup!$G$33:$G$40,MATCH(K2234,Setup!$B$33:$B$40,0)),0)=1)*(COUNTIF(K2208:M2225,$B2234)+COUNTIF(K2208:M2225,$B2234&amp;" ~*")&gt;0)+(IFERROR(INDEX(Setup!$G$33:$G$40,MATCH(O2234,Setup!$B$33:$B$40,0)),0)=1)*(COUNTIF(O2208:Q2225,$B2234)+COUNTIF(O2208:Q2225,$B2234&amp;" ~*")&gt;0)+(IFERROR(INDEX(Setup!$G$33:$G$40,MATCH(S2234,Setup!$B$33:$B$40,0)),0)=1)*(COUNTIF(S2208:U2225,$B2234)+COUNTIF(S2208:U2225,$B2234&amp;" ~*")&gt;0)+(IFERROR(INDEX(Setup!$G$33:$G$40,MATCH(W2234,Setup!$B$33:$B$40,0)),0)=1)*(COUNTIF(W2208:W2225,$B2234)+COUNTIF(W2208:W2225,$B2234&amp;" ~*")&gt;0)+(IFERROR(INDEX(Setup!$G$33:$G$40,MATCH(Y2234,Setup!$B$33:$B$40,0)),0)=1)*(COUNTIF(Y2208:Y2225,$B2234)+COUNTIF(Y2208:Y2225,$B2234&amp;" ~*")&gt;0))</f>
        <v/>
      </c>
    </row>
    <row r="2235" ht="15" customHeight="1">
      <c r="A2235" t="n">
        <v>45</v>
      </c>
      <c r="B2235" s="35">
        <f>IF(Setup!$B$14="","",Setup!$B$14)</f>
        <v/>
      </c>
      <c r="C2235" s="98" t="n"/>
      <c r="D2235" s="99" t="n"/>
      <c r="E2235" s="99" t="n"/>
      <c r="F2235" s="100" t="n"/>
      <c r="G2235" s="98" t="n"/>
      <c r="H2235" s="99" t="n"/>
      <c r="I2235" s="99" t="n"/>
      <c r="J2235" s="100" t="n"/>
      <c r="K2235" s="98" t="n"/>
      <c r="L2235" s="99" t="n"/>
      <c r="M2235" s="99" t="n"/>
      <c r="N2235" s="100" t="n"/>
      <c r="O2235" s="98" t="n"/>
      <c r="P2235" s="99" t="n"/>
      <c r="Q2235" s="99" t="n"/>
      <c r="R2235" s="100" t="n"/>
      <c r="S2235" s="98" t="n"/>
      <c r="T2235" s="99" t="n"/>
      <c r="U2235" s="99" t="n"/>
      <c r="V2235" s="100" t="n"/>
      <c r="W2235" s="98" t="n"/>
      <c r="X2235" s="100" t="n"/>
      <c r="Y2235" s="98" t="n"/>
      <c r="Z2235" s="100" t="n"/>
      <c r="AB2235" s="101">
        <f>IF($B2235="","",(COUNTIF(C2208:E2225,$B2235)+COUNTIF(C2208:E2225,$B2235&amp;" ~*")&gt;0)+(COUNTIF(G2208:I2225,$B2235)+COUNTIF(G2208:I2225,$B2235&amp;" ~*")&gt;0)+(COUNTIF(K2208:M2225,$B2235)+COUNTIF(K2208:M2225,$B2235&amp;" ~*")&gt;0)+(COUNTIF(O2208:Q2225,$B2235)+COUNTIF(O2208:Q2225,$B2235&amp;" ~*")&gt;0)+(COUNTIF(S2208:U2225,$B2235)+COUNTIF(S2208:U2225,$B2235&amp;" ~*")&gt;0)+(COUNTIF(W2208:W2225,$B2235)+COUNTIF(W2208:W2225,$B2235&amp;" ~*")&gt;0)+(COUNTIF(Y2208:Y2225,$B2235)+COUNTIF(Y2208:Y2225,$B2235&amp;" ~*")&gt;0))</f>
        <v/>
      </c>
      <c r="AC2235" s="36">
        <f>IF($B2235="","",(IFERROR(INDEX(Setup!$G$33:$G$40,MATCH(C2235,Setup!$B$33:$B$40,0)),0)=1)*(COUNTIF(C2208:E2225,$B2235)+COUNTIF(C2208:E2225,$B2235&amp;" ~*")&gt;0)+(IFERROR(INDEX(Setup!$G$33:$G$40,MATCH(G2235,Setup!$B$33:$B$40,0)),0)=1)*(COUNTIF(G2208:I2225,$B2235)+COUNTIF(G2208:I2225,$B2235&amp;" ~*")&gt;0)+(IFERROR(INDEX(Setup!$G$33:$G$40,MATCH(K2235,Setup!$B$33:$B$40,0)),0)=1)*(COUNTIF(K2208:M2225,$B2235)+COUNTIF(K2208:M2225,$B2235&amp;" ~*")&gt;0)+(IFERROR(INDEX(Setup!$G$33:$G$40,MATCH(O2235,Setup!$B$33:$B$40,0)),0)=1)*(COUNTIF(O2208:Q2225,$B2235)+COUNTIF(O2208:Q2225,$B2235&amp;" ~*")&gt;0)+(IFERROR(INDEX(Setup!$G$33:$G$40,MATCH(S2235,Setup!$B$33:$B$40,0)),0)=1)*(COUNTIF(S2208:U2225,$B2235)+COUNTIF(S2208:U2225,$B2235&amp;" ~*")&gt;0)+(IFERROR(INDEX(Setup!$G$33:$G$40,MATCH(W2235,Setup!$B$33:$B$40,0)),0)=1)*(COUNTIF(W2208:W2225,$B2235)+COUNTIF(W2208:W2225,$B2235&amp;" ~*")&gt;0)+(IFERROR(INDEX(Setup!$G$33:$G$40,MATCH(Y2235,Setup!$B$33:$B$40,0)),0)=1)*(COUNTIF(Y2208:Y2225,$B2235)+COUNTIF(Y2208:Y2225,$B2235&amp;" ~*")&gt;0))</f>
        <v/>
      </c>
    </row>
    <row r="2236" ht="15" customHeight="1">
      <c r="A2236" t="n">
        <v>45</v>
      </c>
      <c r="B2236" s="37">
        <f>IF(Setup!$B$15="","",Setup!$B$15)</f>
        <v/>
      </c>
      <c r="C2236" s="102" t="n"/>
      <c r="D2236" s="103" t="n"/>
      <c r="E2236" s="103" t="n"/>
      <c r="F2236" s="104" t="n"/>
      <c r="G2236" s="102" t="n"/>
      <c r="H2236" s="103" t="n"/>
      <c r="I2236" s="103" t="n"/>
      <c r="J2236" s="104" t="n"/>
      <c r="K2236" s="102" t="n"/>
      <c r="L2236" s="103" t="n"/>
      <c r="M2236" s="103" t="n"/>
      <c r="N2236" s="104" t="n"/>
      <c r="O2236" s="102" t="n"/>
      <c r="P2236" s="103" t="n"/>
      <c r="Q2236" s="103" t="n"/>
      <c r="R2236" s="104" t="n"/>
      <c r="S2236" s="102" t="n"/>
      <c r="T2236" s="103" t="n"/>
      <c r="U2236" s="103" t="n"/>
      <c r="V2236" s="104" t="n"/>
      <c r="W2236" s="102" t="n"/>
      <c r="X2236" s="104" t="n"/>
      <c r="Y2236" s="102" t="n"/>
      <c r="Z2236" s="104" t="n"/>
      <c r="AB2236" s="105">
        <f>IF($B2236="","",(COUNTIF(C2208:E2225,$B2236)+COUNTIF(C2208:E2225,$B2236&amp;" ~*")&gt;0)+(COUNTIF(G2208:I2225,$B2236)+COUNTIF(G2208:I2225,$B2236&amp;" ~*")&gt;0)+(COUNTIF(K2208:M2225,$B2236)+COUNTIF(K2208:M2225,$B2236&amp;" ~*")&gt;0)+(COUNTIF(O2208:Q2225,$B2236)+COUNTIF(O2208:Q2225,$B2236&amp;" ~*")&gt;0)+(COUNTIF(S2208:U2225,$B2236)+COUNTIF(S2208:U2225,$B2236&amp;" ~*")&gt;0)+(COUNTIF(W2208:W2225,$B2236)+COUNTIF(W2208:W2225,$B2236&amp;" ~*")&gt;0)+(COUNTIF(Y2208:Y2225,$B2236)+COUNTIF(Y2208:Y2225,$B2236&amp;" ~*")&gt;0))</f>
        <v/>
      </c>
      <c r="AC2236" s="38">
        <f>IF($B2236="","",(IFERROR(INDEX(Setup!$G$33:$G$40,MATCH(C2236,Setup!$B$33:$B$40,0)),0)=1)*(COUNTIF(C2208:E2225,$B2236)+COUNTIF(C2208:E2225,$B2236&amp;" ~*")&gt;0)+(IFERROR(INDEX(Setup!$G$33:$G$40,MATCH(G2236,Setup!$B$33:$B$40,0)),0)=1)*(COUNTIF(G2208:I2225,$B2236)+COUNTIF(G2208:I2225,$B2236&amp;" ~*")&gt;0)+(IFERROR(INDEX(Setup!$G$33:$G$40,MATCH(K2236,Setup!$B$33:$B$40,0)),0)=1)*(COUNTIF(K2208:M2225,$B2236)+COUNTIF(K2208:M2225,$B2236&amp;" ~*")&gt;0)+(IFERROR(INDEX(Setup!$G$33:$G$40,MATCH(O2236,Setup!$B$33:$B$40,0)),0)=1)*(COUNTIF(O2208:Q2225,$B2236)+COUNTIF(O2208:Q2225,$B2236&amp;" ~*")&gt;0)+(IFERROR(INDEX(Setup!$G$33:$G$40,MATCH(S2236,Setup!$B$33:$B$40,0)),0)=1)*(COUNTIF(S2208:U2225,$B2236)+COUNTIF(S2208:U2225,$B2236&amp;" ~*")&gt;0)+(IFERROR(INDEX(Setup!$G$33:$G$40,MATCH(W2236,Setup!$B$33:$B$40,0)),0)=1)*(COUNTIF(W2208:W2225,$B2236)+COUNTIF(W2208:W2225,$B2236&amp;" ~*")&gt;0)+(IFERROR(INDEX(Setup!$G$33:$G$40,MATCH(Y2236,Setup!$B$33:$B$40,0)),0)=1)*(COUNTIF(Y2208:Y2225,$B2236)+COUNTIF(Y2208:Y2225,$B2236&amp;" ~*")&gt;0))</f>
        <v/>
      </c>
    </row>
    <row r="2237" ht="15" customHeight="1">
      <c r="A2237" t="n">
        <v>45</v>
      </c>
      <c r="B2237" s="35">
        <f>IF(Setup!$B$16="","",Setup!$B$16)</f>
        <v/>
      </c>
      <c r="C2237" s="98" t="n"/>
      <c r="D2237" s="99" t="n"/>
      <c r="E2237" s="99" t="n"/>
      <c r="F2237" s="100" t="n"/>
      <c r="G2237" s="98" t="n"/>
      <c r="H2237" s="99" t="n"/>
      <c r="I2237" s="99" t="n"/>
      <c r="J2237" s="100" t="n"/>
      <c r="K2237" s="98" t="n"/>
      <c r="L2237" s="99" t="n"/>
      <c r="M2237" s="99" t="n"/>
      <c r="N2237" s="100" t="n"/>
      <c r="O2237" s="98" t="n"/>
      <c r="P2237" s="99" t="n"/>
      <c r="Q2237" s="99" t="n"/>
      <c r="R2237" s="100" t="n"/>
      <c r="S2237" s="98" t="n"/>
      <c r="T2237" s="99" t="n"/>
      <c r="U2237" s="99" t="n"/>
      <c r="V2237" s="100" t="n"/>
      <c r="W2237" s="98" t="n"/>
      <c r="X2237" s="100" t="n"/>
      <c r="Y2237" s="98" t="n"/>
      <c r="Z2237" s="100" t="n"/>
      <c r="AB2237" s="101">
        <f>IF($B2237="","",(COUNTIF(C2208:E2225,$B2237)+COUNTIF(C2208:E2225,$B2237&amp;" ~*")&gt;0)+(COUNTIF(G2208:I2225,$B2237)+COUNTIF(G2208:I2225,$B2237&amp;" ~*")&gt;0)+(COUNTIF(K2208:M2225,$B2237)+COUNTIF(K2208:M2225,$B2237&amp;" ~*")&gt;0)+(COUNTIF(O2208:Q2225,$B2237)+COUNTIF(O2208:Q2225,$B2237&amp;" ~*")&gt;0)+(COUNTIF(S2208:U2225,$B2237)+COUNTIF(S2208:U2225,$B2237&amp;" ~*")&gt;0)+(COUNTIF(W2208:W2225,$B2237)+COUNTIF(W2208:W2225,$B2237&amp;" ~*")&gt;0)+(COUNTIF(Y2208:Y2225,$B2237)+COUNTIF(Y2208:Y2225,$B2237&amp;" ~*")&gt;0))</f>
        <v/>
      </c>
      <c r="AC2237" s="36">
        <f>IF($B2237="","",(IFERROR(INDEX(Setup!$G$33:$G$40,MATCH(C2237,Setup!$B$33:$B$40,0)),0)=1)*(COUNTIF(C2208:E2225,$B2237)+COUNTIF(C2208:E2225,$B2237&amp;" ~*")&gt;0)+(IFERROR(INDEX(Setup!$G$33:$G$40,MATCH(G2237,Setup!$B$33:$B$40,0)),0)=1)*(COUNTIF(G2208:I2225,$B2237)+COUNTIF(G2208:I2225,$B2237&amp;" ~*")&gt;0)+(IFERROR(INDEX(Setup!$G$33:$G$40,MATCH(K2237,Setup!$B$33:$B$40,0)),0)=1)*(COUNTIF(K2208:M2225,$B2237)+COUNTIF(K2208:M2225,$B2237&amp;" ~*")&gt;0)+(IFERROR(INDEX(Setup!$G$33:$G$40,MATCH(O2237,Setup!$B$33:$B$40,0)),0)=1)*(COUNTIF(O2208:Q2225,$B2237)+COUNTIF(O2208:Q2225,$B2237&amp;" ~*")&gt;0)+(IFERROR(INDEX(Setup!$G$33:$G$40,MATCH(S2237,Setup!$B$33:$B$40,0)),0)=1)*(COUNTIF(S2208:U2225,$B2237)+COUNTIF(S2208:U2225,$B2237&amp;" ~*")&gt;0)+(IFERROR(INDEX(Setup!$G$33:$G$40,MATCH(W2237,Setup!$B$33:$B$40,0)),0)=1)*(COUNTIF(W2208:W2225,$B2237)+COUNTIF(W2208:W2225,$B2237&amp;" ~*")&gt;0)+(IFERROR(INDEX(Setup!$G$33:$G$40,MATCH(Y2237,Setup!$B$33:$B$40,0)),0)=1)*(COUNTIF(Y2208:Y2225,$B2237)+COUNTIF(Y2208:Y2225,$B2237&amp;" ~*")&gt;0))</f>
        <v/>
      </c>
    </row>
    <row r="2238" ht="15" customHeight="1">
      <c r="A2238" t="n">
        <v>45</v>
      </c>
      <c r="B2238" s="37">
        <f>IF(Setup!$B$17="","",Setup!$B$17)</f>
        <v/>
      </c>
      <c r="C2238" s="102" t="n"/>
      <c r="D2238" s="103" t="n"/>
      <c r="E2238" s="103" t="n"/>
      <c r="F2238" s="104" t="n"/>
      <c r="G2238" s="102" t="n"/>
      <c r="H2238" s="103" t="n"/>
      <c r="I2238" s="103" t="n"/>
      <c r="J2238" s="104" t="n"/>
      <c r="K2238" s="102" t="n"/>
      <c r="L2238" s="103" t="n"/>
      <c r="M2238" s="103" t="n"/>
      <c r="N2238" s="104" t="n"/>
      <c r="O2238" s="102" t="n"/>
      <c r="P2238" s="103" t="n"/>
      <c r="Q2238" s="103" t="n"/>
      <c r="R2238" s="104" t="n"/>
      <c r="S2238" s="102" t="n"/>
      <c r="T2238" s="103" t="n"/>
      <c r="U2238" s="103" t="n"/>
      <c r="V2238" s="104" t="n"/>
      <c r="W2238" s="102" t="n"/>
      <c r="X2238" s="104" t="n"/>
      <c r="Y2238" s="102" t="n"/>
      <c r="Z2238" s="104" t="n"/>
      <c r="AB2238" s="105">
        <f>IF($B2238="","",(COUNTIF(C2208:E2225,$B2238)+COUNTIF(C2208:E2225,$B2238&amp;" ~*")&gt;0)+(COUNTIF(G2208:I2225,$B2238)+COUNTIF(G2208:I2225,$B2238&amp;" ~*")&gt;0)+(COUNTIF(K2208:M2225,$B2238)+COUNTIF(K2208:M2225,$B2238&amp;" ~*")&gt;0)+(COUNTIF(O2208:Q2225,$B2238)+COUNTIF(O2208:Q2225,$B2238&amp;" ~*")&gt;0)+(COUNTIF(S2208:U2225,$B2238)+COUNTIF(S2208:U2225,$B2238&amp;" ~*")&gt;0)+(COUNTIF(W2208:W2225,$B2238)+COUNTIF(W2208:W2225,$B2238&amp;" ~*")&gt;0)+(COUNTIF(Y2208:Y2225,$B2238)+COUNTIF(Y2208:Y2225,$B2238&amp;" ~*")&gt;0))</f>
        <v/>
      </c>
      <c r="AC2238" s="38">
        <f>IF($B2238="","",(IFERROR(INDEX(Setup!$G$33:$G$40,MATCH(C2238,Setup!$B$33:$B$40,0)),0)=1)*(COUNTIF(C2208:E2225,$B2238)+COUNTIF(C2208:E2225,$B2238&amp;" ~*")&gt;0)+(IFERROR(INDEX(Setup!$G$33:$G$40,MATCH(G2238,Setup!$B$33:$B$40,0)),0)=1)*(COUNTIF(G2208:I2225,$B2238)+COUNTIF(G2208:I2225,$B2238&amp;" ~*")&gt;0)+(IFERROR(INDEX(Setup!$G$33:$G$40,MATCH(K2238,Setup!$B$33:$B$40,0)),0)=1)*(COUNTIF(K2208:M2225,$B2238)+COUNTIF(K2208:M2225,$B2238&amp;" ~*")&gt;0)+(IFERROR(INDEX(Setup!$G$33:$G$40,MATCH(O2238,Setup!$B$33:$B$40,0)),0)=1)*(COUNTIF(O2208:Q2225,$B2238)+COUNTIF(O2208:Q2225,$B2238&amp;" ~*")&gt;0)+(IFERROR(INDEX(Setup!$G$33:$G$40,MATCH(S2238,Setup!$B$33:$B$40,0)),0)=1)*(COUNTIF(S2208:U2225,$B2238)+COUNTIF(S2208:U2225,$B2238&amp;" ~*")&gt;0)+(IFERROR(INDEX(Setup!$G$33:$G$40,MATCH(W2238,Setup!$B$33:$B$40,0)),0)=1)*(COUNTIF(W2208:W2225,$B2238)+COUNTIF(W2208:W2225,$B2238&amp;" ~*")&gt;0)+(IFERROR(INDEX(Setup!$G$33:$G$40,MATCH(Y2238,Setup!$B$33:$B$40,0)),0)=1)*(COUNTIF(Y2208:Y2225,$B2238)+COUNTIF(Y2208:Y2225,$B2238&amp;" ~*")&gt;0))</f>
        <v/>
      </c>
    </row>
    <row r="2239" ht="15" customHeight="1">
      <c r="A2239" t="n">
        <v>45</v>
      </c>
      <c r="B2239" s="35">
        <f>IF(Setup!$B$18="","",Setup!$B$18)</f>
        <v/>
      </c>
      <c r="C2239" s="98" t="n"/>
      <c r="D2239" s="99" t="n"/>
      <c r="E2239" s="99" t="n"/>
      <c r="F2239" s="100" t="n"/>
      <c r="G2239" s="98" t="n"/>
      <c r="H2239" s="99" t="n"/>
      <c r="I2239" s="99" t="n"/>
      <c r="J2239" s="100" t="n"/>
      <c r="K2239" s="98" t="n"/>
      <c r="L2239" s="99" t="n"/>
      <c r="M2239" s="99" t="n"/>
      <c r="N2239" s="100" t="n"/>
      <c r="O2239" s="98" t="n"/>
      <c r="P2239" s="99" t="n"/>
      <c r="Q2239" s="99" t="n"/>
      <c r="R2239" s="100" t="n"/>
      <c r="S2239" s="98" t="n"/>
      <c r="T2239" s="99" t="n"/>
      <c r="U2239" s="99" t="n"/>
      <c r="V2239" s="100" t="n"/>
      <c r="W2239" s="98" t="n"/>
      <c r="X2239" s="100" t="n"/>
      <c r="Y2239" s="98" t="n"/>
      <c r="Z2239" s="100" t="n"/>
      <c r="AB2239" s="101">
        <f>IF($B2239="","",(COUNTIF(C2208:E2225,$B2239)+COUNTIF(C2208:E2225,$B2239&amp;" ~*")&gt;0)+(COUNTIF(G2208:I2225,$B2239)+COUNTIF(G2208:I2225,$B2239&amp;" ~*")&gt;0)+(COUNTIF(K2208:M2225,$B2239)+COUNTIF(K2208:M2225,$B2239&amp;" ~*")&gt;0)+(COUNTIF(O2208:Q2225,$B2239)+COUNTIF(O2208:Q2225,$B2239&amp;" ~*")&gt;0)+(COUNTIF(S2208:U2225,$B2239)+COUNTIF(S2208:U2225,$B2239&amp;" ~*")&gt;0)+(COUNTIF(W2208:W2225,$B2239)+COUNTIF(W2208:W2225,$B2239&amp;" ~*")&gt;0)+(COUNTIF(Y2208:Y2225,$B2239)+COUNTIF(Y2208:Y2225,$B2239&amp;" ~*")&gt;0))</f>
        <v/>
      </c>
      <c r="AC2239" s="36">
        <f>IF($B2239="","",(IFERROR(INDEX(Setup!$G$33:$G$40,MATCH(C2239,Setup!$B$33:$B$40,0)),0)=1)*(COUNTIF(C2208:E2225,$B2239)+COUNTIF(C2208:E2225,$B2239&amp;" ~*")&gt;0)+(IFERROR(INDEX(Setup!$G$33:$G$40,MATCH(G2239,Setup!$B$33:$B$40,0)),0)=1)*(COUNTIF(G2208:I2225,$B2239)+COUNTIF(G2208:I2225,$B2239&amp;" ~*")&gt;0)+(IFERROR(INDEX(Setup!$G$33:$G$40,MATCH(K2239,Setup!$B$33:$B$40,0)),0)=1)*(COUNTIF(K2208:M2225,$B2239)+COUNTIF(K2208:M2225,$B2239&amp;" ~*")&gt;0)+(IFERROR(INDEX(Setup!$G$33:$G$40,MATCH(O2239,Setup!$B$33:$B$40,0)),0)=1)*(COUNTIF(O2208:Q2225,$B2239)+COUNTIF(O2208:Q2225,$B2239&amp;" ~*")&gt;0)+(IFERROR(INDEX(Setup!$G$33:$G$40,MATCH(S2239,Setup!$B$33:$B$40,0)),0)=1)*(COUNTIF(S2208:U2225,$B2239)+COUNTIF(S2208:U2225,$B2239&amp;" ~*")&gt;0)+(IFERROR(INDEX(Setup!$G$33:$G$40,MATCH(W2239,Setup!$B$33:$B$40,0)),0)=1)*(COUNTIF(W2208:W2225,$B2239)+COUNTIF(W2208:W2225,$B2239&amp;" ~*")&gt;0)+(IFERROR(INDEX(Setup!$G$33:$G$40,MATCH(Y2239,Setup!$B$33:$B$40,0)),0)=1)*(COUNTIF(Y2208:Y2225,$B2239)+COUNTIF(Y2208:Y2225,$B2239&amp;" ~*")&gt;0))</f>
        <v/>
      </c>
    </row>
    <row r="2240" ht="15" customHeight="1">
      <c r="A2240" t="n">
        <v>45</v>
      </c>
      <c r="B2240" s="37">
        <f>IF(Setup!$B$19="","",Setup!$B$19)</f>
        <v/>
      </c>
      <c r="C2240" s="102" t="n"/>
      <c r="D2240" s="103" t="n"/>
      <c r="E2240" s="103" t="n"/>
      <c r="F2240" s="104" t="n"/>
      <c r="G2240" s="102" t="n"/>
      <c r="H2240" s="103" t="n"/>
      <c r="I2240" s="103" t="n"/>
      <c r="J2240" s="104" t="n"/>
      <c r="K2240" s="102" t="n"/>
      <c r="L2240" s="103" t="n"/>
      <c r="M2240" s="103" t="n"/>
      <c r="N2240" s="104" t="n"/>
      <c r="O2240" s="102" t="n"/>
      <c r="P2240" s="103" t="n"/>
      <c r="Q2240" s="103" t="n"/>
      <c r="R2240" s="104" t="n"/>
      <c r="S2240" s="102" t="n"/>
      <c r="T2240" s="103" t="n"/>
      <c r="U2240" s="103" t="n"/>
      <c r="V2240" s="104" t="n"/>
      <c r="W2240" s="102" t="n"/>
      <c r="X2240" s="104" t="n"/>
      <c r="Y2240" s="102" t="n"/>
      <c r="Z2240" s="104" t="n"/>
      <c r="AB2240" s="105">
        <f>IF($B2240="","",(COUNTIF(C2208:E2225,$B2240)+COUNTIF(C2208:E2225,$B2240&amp;" ~*")&gt;0)+(COUNTIF(G2208:I2225,$B2240)+COUNTIF(G2208:I2225,$B2240&amp;" ~*")&gt;0)+(COUNTIF(K2208:M2225,$B2240)+COUNTIF(K2208:M2225,$B2240&amp;" ~*")&gt;0)+(COUNTIF(O2208:Q2225,$B2240)+COUNTIF(O2208:Q2225,$B2240&amp;" ~*")&gt;0)+(COUNTIF(S2208:U2225,$B2240)+COUNTIF(S2208:U2225,$B2240&amp;" ~*")&gt;0)+(COUNTIF(W2208:W2225,$B2240)+COUNTIF(W2208:W2225,$B2240&amp;" ~*")&gt;0)+(COUNTIF(Y2208:Y2225,$B2240)+COUNTIF(Y2208:Y2225,$B2240&amp;" ~*")&gt;0))</f>
        <v/>
      </c>
      <c r="AC2240" s="38">
        <f>IF($B2240="","",(IFERROR(INDEX(Setup!$G$33:$G$40,MATCH(C2240,Setup!$B$33:$B$40,0)),0)=1)*(COUNTIF(C2208:E2225,$B2240)+COUNTIF(C2208:E2225,$B2240&amp;" ~*")&gt;0)+(IFERROR(INDEX(Setup!$G$33:$G$40,MATCH(G2240,Setup!$B$33:$B$40,0)),0)=1)*(COUNTIF(G2208:I2225,$B2240)+COUNTIF(G2208:I2225,$B2240&amp;" ~*")&gt;0)+(IFERROR(INDEX(Setup!$G$33:$G$40,MATCH(K2240,Setup!$B$33:$B$40,0)),0)=1)*(COUNTIF(K2208:M2225,$B2240)+COUNTIF(K2208:M2225,$B2240&amp;" ~*")&gt;0)+(IFERROR(INDEX(Setup!$G$33:$G$40,MATCH(O2240,Setup!$B$33:$B$40,0)),0)=1)*(COUNTIF(O2208:Q2225,$B2240)+COUNTIF(O2208:Q2225,$B2240&amp;" ~*")&gt;0)+(IFERROR(INDEX(Setup!$G$33:$G$40,MATCH(S2240,Setup!$B$33:$B$40,0)),0)=1)*(COUNTIF(S2208:U2225,$B2240)+COUNTIF(S2208:U2225,$B2240&amp;" ~*")&gt;0)+(IFERROR(INDEX(Setup!$G$33:$G$40,MATCH(W2240,Setup!$B$33:$B$40,0)),0)=1)*(COUNTIF(W2208:W2225,$B2240)+COUNTIF(W2208:W2225,$B2240&amp;" ~*")&gt;0)+(IFERROR(INDEX(Setup!$G$33:$G$40,MATCH(Y2240,Setup!$B$33:$B$40,0)),0)=1)*(COUNTIF(Y2208:Y2225,$B2240)+COUNTIF(Y2208:Y2225,$B2240&amp;" ~*")&gt;0))</f>
        <v/>
      </c>
    </row>
    <row r="2241" ht="15" customHeight="1">
      <c r="A2241" t="n">
        <v>45</v>
      </c>
      <c r="B2241" s="35">
        <f>IF(Setup!$B$20="","",Setup!$B$20)</f>
        <v/>
      </c>
      <c r="C2241" s="98" t="n"/>
      <c r="D2241" s="99" t="n"/>
      <c r="E2241" s="99" t="n"/>
      <c r="F2241" s="100" t="n"/>
      <c r="G2241" s="98" t="n"/>
      <c r="H2241" s="99" t="n"/>
      <c r="I2241" s="99" t="n"/>
      <c r="J2241" s="100" t="n"/>
      <c r="K2241" s="98" t="n"/>
      <c r="L2241" s="99" t="n"/>
      <c r="M2241" s="99" t="n"/>
      <c r="N2241" s="100" t="n"/>
      <c r="O2241" s="98" t="n"/>
      <c r="P2241" s="99" t="n"/>
      <c r="Q2241" s="99" t="n"/>
      <c r="R2241" s="100" t="n"/>
      <c r="S2241" s="98" t="n"/>
      <c r="T2241" s="99" t="n"/>
      <c r="U2241" s="99" t="n"/>
      <c r="V2241" s="100" t="n"/>
      <c r="W2241" s="98" t="n"/>
      <c r="X2241" s="100" t="n"/>
      <c r="Y2241" s="98" t="n"/>
      <c r="Z2241" s="100" t="n"/>
      <c r="AB2241" s="101">
        <f>IF($B2241="","",(COUNTIF(C2208:E2225,$B2241)+COUNTIF(C2208:E2225,$B2241&amp;" ~*")&gt;0)+(COUNTIF(G2208:I2225,$B2241)+COUNTIF(G2208:I2225,$B2241&amp;" ~*")&gt;0)+(COUNTIF(K2208:M2225,$B2241)+COUNTIF(K2208:M2225,$B2241&amp;" ~*")&gt;0)+(COUNTIF(O2208:Q2225,$B2241)+COUNTIF(O2208:Q2225,$B2241&amp;" ~*")&gt;0)+(COUNTIF(S2208:U2225,$B2241)+COUNTIF(S2208:U2225,$B2241&amp;" ~*")&gt;0)+(COUNTIF(W2208:W2225,$B2241)+COUNTIF(W2208:W2225,$B2241&amp;" ~*")&gt;0)+(COUNTIF(Y2208:Y2225,$B2241)+COUNTIF(Y2208:Y2225,$B2241&amp;" ~*")&gt;0))</f>
        <v/>
      </c>
      <c r="AC2241" s="36">
        <f>IF($B2241="","",(IFERROR(INDEX(Setup!$G$33:$G$40,MATCH(C2241,Setup!$B$33:$B$40,0)),0)=1)*(COUNTIF(C2208:E2225,$B2241)+COUNTIF(C2208:E2225,$B2241&amp;" ~*")&gt;0)+(IFERROR(INDEX(Setup!$G$33:$G$40,MATCH(G2241,Setup!$B$33:$B$40,0)),0)=1)*(COUNTIF(G2208:I2225,$B2241)+COUNTIF(G2208:I2225,$B2241&amp;" ~*")&gt;0)+(IFERROR(INDEX(Setup!$G$33:$G$40,MATCH(K2241,Setup!$B$33:$B$40,0)),0)=1)*(COUNTIF(K2208:M2225,$B2241)+COUNTIF(K2208:M2225,$B2241&amp;" ~*")&gt;0)+(IFERROR(INDEX(Setup!$G$33:$G$40,MATCH(O2241,Setup!$B$33:$B$40,0)),0)=1)*(COUNTIF(O2208:Q2225,$B2241)+COUNTIF(O2208:Q2225,$B2241&amp;" ~*")&gt;0)+(IFERROR(INDEX(Setup!$G$33:$G$40,MATCH(S2241,Setup!$B$33:$B$40,0)),0)=1)*(COUNTIF(S2208:U2225,$B2241)+COUNTIF(S2208:U2225,$B2241&amp;" ~*")&gt;0)+(IFERROR(INDEX(Setup!$G$33:$G$40,MATCH(W2241,Setup!$B$33:$B$40,0)),0)=1)*(COUNTIF(W2208:W2225,$B2241)+COUNTIF(W2208:W2225,$B2241&amp;" ~*")&gt;0)+(IFERROR(INDEX(Setup!$G$33:$G$40,MATCH(Y2241,Setup!$B$33:$B$40,0)),0)=1)*(COUNTIF(Y2208:Y2225,$B2241)+COUNTIF(Y2208:Y2225,$B2241&amp;" ~*")&gt;0))</f>
        <v/>
      </c>
    </row>
    <row r="2242" ht="15" customHeight="1">
      <c r="A2242" t="n">
        <v>45</v>
      </c>
      <c r="B2242" s="37">
        <f>IF(Setup!$B$21="","",Setup!$B$21)</f>
        <v/>
      </c>
      <c r="C2242" s="102" t="n"/>
      <c r="D2242" s="103" t="n"/>
      <c r="E2242" s="103" t="n"/>
      <c r="F2242" s="104" t="n"/>
      <c r="G2242" s="102" t="n"/>
      <c r="H2242" s="103" t="n"/>
      <c r="I2242" s="103" t="n"/>
      <c r="J2242" s="104" t="n"/>
      <c r="K2242" s="102" t="n"/>
      <c r="L2242" s="103" t="n"/>
      <c r="M2242" s="103" t="n"/>
      <c r="N2242" s="104" t="n"/>
      <c r="O2242" s="102" t="n"/>
      <c r="P2242" s="103" t="n"/>
      <c r="Q2242" s="103" t="n"/>
      <c r="R2242" s="104" t="n"/>
      <c r="S2242" s="102" t="n"/>
      <c r="T2242" s="103" t="n"/>
      <c r="U2242" s="103" t="n"/>
      <c r="V2242" s="104" t="n"/>
      <c r="W2242" s="102" t="n"/>
      <c r="X2242" s="104" t="n"/>
      <c r="Y2242" s="102" t="n"/>
      <c r="Z2242" s="104" t="n"/>
      <c r="AB2242" s="105">
        <f>IF($B2242="","",(COUNTIF(C2208:E2225,$B2242)+COUNTIF(C2208:E2225,$B2242&amp;" ~*")&gt;0)+(COUNTIF(G2208:I2225,$B2242)+COUNTIF(G2208:I2225,$B2242&amp;" ~*")&gt;0)+(COUNTIF(K2208:M2225,$B2242)+COUNTIF(K2208:M2225,$B2242&amp;" ~*")&gt;0)+(COUNTIF(O2208:Q2225,$B2242)+COUNTIF(O2208:Q2225,$B2242&amp;" ~*")&gt;0)+(COUNTIF(S2208:U2225,$B2242)+COUNTIF(S2208:U2225,$B2242&amp;" ~*")&gt;0)+(COUNTIF(W2208:W2225,$B2242)+COUNTIF(W2208:W2225,$B2242&amp;" ~*")&gt;0)+(COUNTIF(Y2208:Y2225,$B2242)+COUNTIF(Y2208:Y2225,$B2242&amp;" ~*")&gt;0))</f>
        <v/>
      </c>
      <c r="AC2242" s="38">
        <f>IF($B2242="","",(IFERROR(INDEX(Setup!$G$33:$G$40,MATCH(C2242,Setup!$B$33:$B$40,0)),0)=1)*(COUNTIF(C2208:E2225,$B2242)+COUNTIF(C2208:E2225,$B2242&amp;" ~*")&gt;0)+(IFERROR(INDEX(Setup!$G$33:$G$40,MATCH(G2242,Setup!$B$33:$B$40,0)),0)=1)*(COUNTIF(G2208:I2225,$B2242)+COUNTIF(G2208:I2225,$B2242&amp;" ~*")&gt;0)+(IFERROR(INDEX(Setup!$G$33:$G$40,MATCH(K2242,Setup!$B$33:$B$40,0)),0)=1)*(COUNTIF(K2208:M2225,$B2242)+COUNTIF(K2208:M2225,$B2242&amp;" ~*")&gt;0)+(IFERROR(INDEX(Setup!$G$33:$G$40,MATCH(O2242,Setup!$B$33:$B$40,0)),0)=1)*(COUNTIF(O2208:Q2225,$B2242)+COUNTIF(O2208:Q2225,$B2242&amp;" ~*")&gt;0)+(IFERROR(INDEX(Setup!$G$33:$G$40,MATCH(S2242,Setup!$B$33:$B$40,0)),0)=1)*(COUNTIF(S2208:U2225,$B2242)+COUNTIF(S2208:U2225,$B2242&amp;" ~*")&gt;0)+(IFERROR(INDEX(Setup!$G$33:$G$40,MATCH(W2242,Setup!$B$33:$B$40,0)),0)=1)*(COUNTIF(W2208:W2225,$B2242)+COUNTIF(W2208:W2225,$B2242&amp;" ~*")&gt;0)+(IFERROR(INDEX(Setup!$G$33:$G$40,MATCH(Y2242,Setup!$B$33:$B$40,0)),0)=1)*(COUNTIF(Y2208:Y2225,$B2242)+COUNTIF(Y2208:Y2225,$B2242&amp;" ~*")&gt;0))</f>
        <v/>
      </c>
    </row>
    <row r="2243" ht="15" customHeight="1">
      <c r="A2243" t="n">
        <v>45</v>
      </c>
      <c r="B2243" s="35">
        <f>IF(Setup!$B$22="","",Setup!$B$22)</f>
        <v/>
      </c>
      <c r="C2243" s="98" t="n"/>
      <c r="D2243" s="99" t="n"/>
      <c r="E2243" s="99" t="n"/>
      <c r="F2243" s="100" t="n"/>
      <c r="G2243" s="98" t="n"/>
      <c r="H2243" s="99" t="n"/>
      <c r="I2243" s="99" t="n"/>
      <c r="J2243" s="100" t="n"/>
      <c r="K2243" s="98" t="n"/>
      <c r="L2243" s="99" t="n"/>
      <c r="M2243" s="99" t="n"/>
      <c r="N2243" s="100" t="n"/>
      <c r="O2243" s="98" t="n"/>
      <c r="P2243" s="99" t="n"/>
      <c r="Q2243" s="99" t="n"/>
      <c r="R2243" s="100" t="n"/>
      <c r="S2243" s="98" t="n"/>
      <c r="T2243" s="99" t="n"/>
      <c r="U2243" s="99" t="n"/>
      <c r="V2243" s="100" t="n"/>
      <c r="W2243" s="98" t="n"/>
      <c r="X2243" s="100" t="n"/>
      <c r="Y2243" s="98" t="n"/>
      <c r="Z2243" s="100" t="n"/>
      <c r="AB2243" s="101">
        <f>IF($B2243="","",(COUNTIF(C2208:E2225,$B2243)+COUNTIF(C2208:E2225,$B2243&amp;" ~*")&gt;0)+(COUNTIF(G2208:I2225,$B2243)+COUNTIF(G2208:I2225,$B2243&amp;" ~*")&gt;0)+(COUNTIF(K2208:M2225,$B2243)+COUNTIF(K2208:M2225,$B2243&amp;" ~*")&gt;0)+(COUNTIF(O2208:Q2225,$B2243)+COUNTIF(O2208:Q2225,$B2243&amp;" ~*")&gt;0)+(COUNTIF(S2208:U2225,$B2243)+COUNTIF(S2208:U2225,$B2243&amp;" ~*")&gt;0)+(COUNTIF(W2208:W2225,$B2243)+COUNTIF(W2208:W2225,$B2243&amp;" ~*")&gt;0)+(COUNTIF(Y2208:Y2225,$B2243)+COUNTIF(Y2208:Y2225,$B2243&amp;" ~*")&gt;0))</f>
        <v/>
      </c>
      <c r="AC2243" s="36">
        <f>IF($B2243="","",(IFERROR(INDEX(Setup!$G$33:$G$40,MATCH(C2243,Setup!$B$33:$B$40,0)),0)=1)*(COUNTIF(C2208:E2225,$B2243)+COUNTIF(C2208:E2225,$B2243&amp;" ~*")&gt;0)+(IFERROR(INDEX(Setup!$G$33:$G$40,MATCH(G2243,Setup!$B$33:$B$40,0)),0)=1)*(COUNTIF(G2208:I2225,$B2243)+COUNTIF(G2208:I2225,$B2243&amp;" ~*")&gt;0)+(IFERROR(INDEX(Setup!$G$33:$G$40,MATCH(K2243,Setup!$B$33:$B$40,0)),0)=1)*(COUNTIF(K2208:M2225,$B2243)+COUNTIF(K2208:M2225,$B2243&amp;" ~*")&gt;0)+(IFERROR(INDEX(Setup!$G$33:$G$40,MATCH(O2243,Setup!$B$33:$B$40,0)),0)=1)*(COUNTIF(O2208:Q2225,$B2243)+COUNTIF(O2208:Q2225,$B2243&amp;" ~*")&gt;0)+(IFERROR(INDEX(Setup!$G$33:$G$40,MATCH(S2243,Setup!$B$33:$B$40,0)),0)=1)*(COUNTIF(S2208:U2225,$B2243)+COUNTIF(S2208:U2225,$B2243&amp;" ~*")&gt;0)+(IFERROR(INDEX(Setup!$G$33:$G$40,MATCH(W2243,Setup!$B$33:$B$40,0)),0)=1)*(COUNTIF(W2208:W2225,$B2243)+COUNTIF(W2208:W2225,$B2243&amp;" ~*")&gt;0)+(IFERROR(INDEX(Setup!$G$33:$G$40,MATCH(Y2243,Setup!$B$33:$B$40,0)),0)=1)*(COUNTIF(Y2208:Y2225,$B2243)+COUNTIF(Y2208:Y2225,$B2243&amp;" ~*")&gt;0))</f>
        <v/>
      </c>
    </row>
    <row r="2244" ht="15" customHeight="1">
      <c r="A2244" t="n">
        <v>45</v>
      </c>
      <c r="B2244" s="37">
        <f>IF(Setup!$B$23="","",Setup!$B$23)</f>
        <v/>
      </c>
      <c r="C2244" s="102" t="n"/>
      <c r="D2244" s="103" t="n"/>
      <c r="E2244" s="103" t="n"/>
      <c r="F2244" s="104" t="n"/>
      <c r="G2244" s="102" t="n"/>
      <c r="H2244" s="103" t="n"/>
      <c r="I2244" s="103" t="n"/>
      <c r="J2244" s="104" t="n"/>
      <c r="K2244" s="102" t="n"/>
      <c r="L2244" s="103" t="n"/>
      <c r="M2244" s="103" t="n"/>
      <c r="N2244" s="104" t="n"/>
      <c r="O2244" s="102" t="n"/>
      <c r="P2244" s="103" t="n"/>
      <c r="Q2244" s="103" t="n"/>
      <c r="R2244" s="104" t="n"/>
      <c r="S2244" s="102" t="n"/>
      <c r="T2244" s="103" t="n"/>
      <c r="U2244" s="103" t="n"/>
      <c r="V2244" s="104" t="n"/>
      <c r="W2244" s="102" t="n"/>
      <c r="X2244" s="104" t="n"/>
      <c r="Y2244" s="102" t="n"/>
      <c r="Z2244" s="104" t="n"/>
      <c r="AB2244" s="105">
        <f>IF($B2244="","",(COUNTIF(C2208:E2225,$B2244)+COUNTIF(C2208:E2225,$B2244&amp;" ~*")&gt;0)+(COUNTIF(G2208:I2225,$B2244)+COUNTIF(G2208:I2225,$B2244&amp;" ~*")&gt;0)+(COUNTIF(K2208:M2225,$B2244)+COUNTIF(K2208:M2225,$B2244&amp;" ~*")&gt;0)+(COUNTIF(O2208:Q2225,$B2244)+COUNTIF(O2208:Q2225,$B2244&amp;" ~*")&gt;0)+(COUNTIF(S2208:U2225,$B2244)+COUNTIF(S2208:U2225,$B2244&amp;" ~*")&gt;0)+(COUNTIF(W2208:W2225,$B2244)+COUNTIF(W2208:W2225,$B2244&amp;" ~*")&gt;0)+(COUNTIF(Y2208:Y2225,$B2244)+COUNTIF(Y2208:Y2225,$B2244&amp;" ~*")&gt;0))</f>
        <v/>
      </c>
      <c r="AC2244" s="38">
        <f>IF($B2244="","",(IFERROR(INDEX(Setup!$G$33:$G$40,MATCH(C2244,Setup!$B$33:$B$40,0)),0)=1)*(COUNTIF(C2208:E2225,$B2244)+COUNTIF(C2208:E2225,$B2244&amp;" ~*")&gt;0)+(IFERROR(INDEX(Setup!$G$33:$G$40,MATCH(G2244,Setup!$B$33:$B$40,0)),0)=1)*(COUNTIF(G2208:I2225,$B2244)+COUNTIF(G2208:I2225,$B2244&amp;" ~*")&gt;0)+(IFERROR(INDEX(Setup!$G$33:$G$40,MATCH(K2244,Setup!$B$33:$B$40,0)),0)=1)*(COUNTIF(K2208:M2225,$B2244)+COUNTIF(K2208:M2225,$B2244&amp;" ~*")&gt;0)+(IFERROR(INDEX(Setup!$G$33:$G$40,MATCH(O2244,Setup!$B$33:$B$40,0)),0)=1)*(COUNTIF(O2208:Q2225,$B2244)+COUNTIF(O2208:Q2225,$B2244&amp;" ~*")&gt;0)+(IFERROR(INDEX(Setup!$G$33:$G$40,MATCH(S2244,Setup!$B$33:$B$40,0)),0)=1)*(COUNTIF(S2208:U2225,$B2244)+COUNTIF(S2208:U2225,$B2244&amp;" ~*")&gt;0)+(IFERROR(INDEX(Setup!$G$33:$G$40,MATCH(W2244,Setup!$B$33:$B$40,0)),0)=1)*(COUNTIF(W2208:W2225,$B2244)+COUNTIF(W2208:W2225,$B2244&amp;" ~*")&gt;0)+(IFERROR(INDEX(Setup!$G$33:$G$40,MATCH(Y2244,Setup!$B$33:$B$40,0)),0)=1)*(COUNTIF(Y2208:Y2225,$B2244)+COUNTIF(Y2208:Y2225,$B2244&amp;" ~*")&gt;0))</f>
        <v/>
      </c>
    </row>
    <row r="2245" ht="15" customHeight="1">
      <c r="A2245" t="n">
        <v>45</v>
      </c>
      <c r="B2245" s="35">
        <f>IF(Setup!$B$24="","",Setup!$B$24)</f>
        <v/>
      </c>
      <c r="C2245" s="98" t="n"/>
      <c r="D2245" s="99" t="n"/>
      <c r="E2245" s="99" t="n"/>
      <c r="F2245" s="100" t="n"/>
      <c r="G2245" s="98" t="n"/>
      <c r="H2245" s="99" t="n"/>
      <c r="I2245" s="99" t="n"/>
      <c r="J2245" s="100" t="n"/>
      <c r="K2245" s="98" t="n"/>
      <c r="L2245" s="99" t="n"/>
      <c r="M2245" s="99" t="n"/>
      <c r="N2245" s="100" t="n"/>
      <c r="O2245" s="98" t="n"/>
      <c r="P2245" s="99" t="n"/>
      <c r="Q2245" s="99" t="n"/>
      <c r="R2245" s="100" t="n"/>
      <c r="S2245" s="98" t="n"/>
      <c r="T2245" s="99" t="n"/>
      <c r="U2245" s="99" t="n"/>
      <c r="V2245" s="100" t="n"/>
      <c r="W2245" s="98" t="n"/>
      <c r="X2245" s="100" t="n"/>
      <c r="Y2245" s="98" t="n"/>
      <c r="Z2245" s="100" t="n"/>
      <c r="AB2245" s="101">
        <f>IF($B2245="","",(COUNTIF(C2208:E2225,$B2245)+COUNTIF(C2208:E2225,$B2245&amp;" ~*")&gt;0)+(COUNTIF(G2208:I2225,$B2245)+COUNTIF(G2208:I2225,$B2245&amp;" ~*")&gt;0)+(COUNTIF(K2208:M2225,$B2245)+COUNTIF(K2208:M2225,$B2245&amp;" ~*")&gt;0)+(COUNTIF(O2208:Q2225,$B2245)+COUNTIF(O2208:Q2225,$B2245&amp;" ~*")&gt;0)+(COUNTIF(S2208:U2225,$B2245)+COUNTIF(S2208:U2225,$B2245&amp;" ~*")&gt;0)+(COUNTIF(W2208:W2225,$B2245)+COUNTIF(W2208:W2225,$B2245&amp;" ~*")&gt;0)+(COUNTIF(Y2208:Y2225,$B2245)+COUNTIF(Y2208:Y2225,$B2245&amp;" ~*")&gt;0))</f>
        <v/>
      </c>
      <c r="AC2245" s="36">
        <f>IF($B2245="","",(IFERROR(INDEX(Setup!$G$33:$G$40,MATCH(C2245,Setup!$B$33:$B$40,0)),0)=1)*(COUNTIF(C2208:E2225,$B2245)+COUNTIF(C2208:E2225,$B2245&amp;" ~*")&gt;0)+(IFERROR(INDEX(Setup!$G$33:$G$40,MATCH(G2245,Setup!$B$33:$B$40,0)),0)=1)*(COUNTIF(G2208:I2225,$B2245)+COUNTIF(G2208:I2225,$B2245&amp;" ~*")&gt;0)+(IFERROR(INDEX(Setup!$G$33:$G$40,MATCH(K2245,Setup!$B$33:$B$40,0)),0)=1)*(COUNTIF(K2208:M2225,$B2245)+COUNTIF(K2208:M2225,$B2245&amp;" ~*")&gt;0)+(IFERROR(INDEX(Setup!$G$33:$G$40,MATCH(O2245,Setup!$B$33:$B$40,0)),0)=1)*(COUNTIF(O2208:Q2225,$B2245)+COUNTIF(O2208:Q2225,$B2245&amp;" ~*")&gt;0)+(IFERROR(INDEX(Setup!$G$33:$G$40,MATCH(S2245,Setup!$B$33:$B$40,0)),0)=1)*(COUNTIF(S2208:U2225,$B2245)+COUNTIF(S2208:U2225,$B2245&amp;" ~*")&gt;0)+(IFERROR(INDEX(Setup!$G$33:$G$40,MATCH(W2245,Setup!$B$33:$B$40,0)),0)=1)*(COUNTIF(W2208:W2225,$B2245)+COUNTIF(W2208:W2225,$B2245&amp;" ~*")&gt;0)+(IFERROR(INDEX(Setup!$G$33:$G$40,MATCH(Y2245,Setup!$B$33:$B$40,0)),0)=1)*(COUNTIF(Y2208:Y2225,$B2245)+COUNTIF(Y2208:Y2225,$B2245&amp;" ~*")&gt;0))</f>
        <v/>
      </c>
    </row>
    <row r="2246" ht="15" customHeight="1">
      <c r="A2246" t="n">
        <v>45</v>
      </c>
      <c r="B2246" s="37">
        <f>IF(Setup!$B$25="","",Setup!$B$25)</f>
        <v/>
      </c>
      <c r="C2246" s="102" t="n"/>
      <c r="D2246" s="103" t="n"/>
      <c r="E2246" s="103" t="n"/>
      <c r="F2246" s="104" t="n"/>
      <c r="G2246" s="102" t="n"/>
      <c r="H2246" s="103" t="n"/>
      <c r="I2246" s="103" t="n"/>
      <c r="J2246" s="104" t="n"/>
      <c r="K2246" s="102" t="n"/>
      <c r="L2246" s="103" t="n"/>
      <c r="M2246" s="103" t="n"/>
      <c r="N2246" s="104" t="n"/>
      <c r="O2246" s="102" t="n"/>
      <c r="P2246" s="103" t="n"/>
      <c r="Q2246" s="103" t="n"/>
      <c r="R2246" s="104" t="n"/>
      <c r="S2246" s="102" t="n"/>
      <c r="T2246" s="103" t="n"/>
      <c r="U2246" s="103" t="n"/>
      <c r="V2246" s="104" t="n"/>
      <c r="W2246" s="102" t="n"/>
      <c r="X2246" s="104" t="n"/>
      <c r="Y2246" s="102" t="n"/>
      <c r="Z2246" s="104" t="n"/>
      <c r="AB2246" s="105">
        <f>IF($B2246="","",(COUNTIF(C2208:E2225,$B2246)+COUNTIF(C2208:E2225,$B2246&amp;" ~*")&gt;0)+(COUNTIF(G2208:I2225,$B2246)+COUNTIF(G2208:I2225,$B2246&amp;" ~*")&gt;0)+(COUNTIF(K2208:M2225,$B2246)+COUNTIF(K2208:M2225,$B2246&amp;" ~*")&gt;0)+(COUNTIF(O2208:Q2225,$B2246)+COUNTIF(O2208:Q2225,$B2246&amp;" ~*")&gt;0)+(COUNTIF(S2208:U2225,$B2246)+COUNTIF(S2208:U2225,$B2246&amp;" ~*")&gt;0)+(COUNTIF(W2208:W2225,$B2246)+COUNTIF(W2208:W2225,$B2246&amp;" ~*")&gt;0)+(COUNTIF(Y2208:Y2225,$B2246)+COUNTIF(Y2208:Y2225,$B2246&amp;" ~*")&gt;0))</f>
        <v/>
      </c>
      <c r="AC2246" s="38">
        <f>IF($B2246="","",(IFERROR(INDEX(Setup!$G$33:$G$40,MATCH(C2246,Setup!$B$33:$B$40,0)),0)=1)*(COUNTIF(C2208:E2225,$B2246)+COUNTIF(C2208:E2225,$B2246&amp;" ~*")&gt;0)+(IFERROR(INDEX(Setup!$G$33:$G$40,MATCH(G2246,Setup!$B$33:$B$40,0)),0)=1)*(COUNTIF(G2208:I2225,$B2246)+COUNTIF(G2208:I2225,$B2246&amp;" ~*")&gt;0)+(IFERROR(INDEX(Setup!$G$33:$G$40,MATCH(K2246,Setup!$B$33:$B$40,0)),0)=1)*(COUNTIF(K2208:M2225,$B2246)+COUNTIF(K2208:M2225,$B2246&amp;" ~*")&gt;0)+(IFERROR(INDEX(Setup!$G$33:$G$40,MATCH(O2246,Setup!$B$33:$B$40,0)),0)=1)*(COUNTIF(O2208:Q2225,$B2246)+COUNTIF(O2208:Q2225,$B2246&amp;" ~*")&gt;0)+(IFERROR(INDEX(Setup!$G$33:$G$40,MATCH(S2246,Setup!$B$33:$B$40,0)),0)=1)*(COUNTIF(S2208:U2225,$B2246)+COUNTIF(S2208:U2225,$B2246&amp;" ~*")&gt;0)+(IFERROR(INDEX(Setup!$G$33:$G$40,MATCH(W2246,Setup!$B$33:$B$40,0)),0)=1)*(COUNTIF(W2208:W2225,$B2246)+COUNTIF(W2208:W2225,$B2246&amp;" ~*")&gt;0)+(IFERROR(INDEX(Setup!$G$33:$G$40,MATCH(Y2246,Setup!$B$33:$B$40,0)),0)=1)*(COUNTIF(Y2208:Y2225,$B2246)+COUNTIF(Y2208:Y2225,$B2246&amp;" ~*")&gt;0))</f>
        <v/>
      </c>
    </row>
    <row r="2247" ht="15" customHeight="1">
      <c r="A2247" t="n">
        <v>45</v>
      </c>
      <c r="B2247" s="35">
        <f>IF(Setup!$B$26="","",Setup!$B$26)</f>
        <v/>
      </c>
      <c r="C2247" s="98" t="n"/>
      <c r="D2247" s="99" t="n"/>
      <c r="E2247" s="99" t="n"/>
      <c r="F2247" s="100" t="n"/>
      <c r="G2247" s="98" t="n"/>
      <c r="H2247" s="99" t="n"/>
      <c r="I2247" s="99" t="n"/>
      <c r="J2247" s="100" t="n"/>
      <c r="K2247" s="98" t="n"/>
      <c r="L2247" s="99" t="n"/>
      <c r="M2247" s="99" t="n"/>
      <c r="N2247" s="100" t="n"/>
      <c r="O2247" s="98" t="n"/>
      <c r="P2247" s="99" t="n"/>
      <c r="Q2247" s="99" t="n"/>
      <c r="R2247" s="100" t="n"/>
      <c r="S2247" s="98" t="n"/>
      <c r="T2247" s="99" t="n"/>
      <c r="U2247" s="99" t="n"/>
      <c r="V2247" s="100" t="n"/>
      <c r="W2247" s="98" t="n"/>
      <c r="X2247" s="100" t="n"/>
      <c r="Y2247" s="98" t="n"/>
      <c r="Z2247" s="100" t="n"/>
      <c r="AB2247" s="101">
        <f>IF($B2247="","",(COUNTIF(C2208:E2225,$B2247)+COUNTIF(C2208:E2225,$B2247&amp;" ~*")&gt;0)+(COUNTIF(G2208:I2225,$B2247)+COUNTIF(G2208:I2225,$B2247&amp;" ~*")&gt;0)+(COUNTIF(K2208:M2225,$B2247)+COUNTIF(K2208:M2225,$B2247&amp;" ~*")&gt;0)+(COUNTIF(O2208:Q2225,$B2247)+COUNTIF(O2208:Q2225,$B2247&amp;" ~*")&gt;0)+(COUNTIF(S2208:U2225,$B2247)+COUNTIF(S2208:U2225,$B2247&amp;" ~*")&gt;0)+(COUNTIF(W2208:W2225,$B2247)+COUNTIF(W2208:W2225,$B2247&amp;" ~*")&gt;0)+(COUNTIF(Y2208:Y2225,$B2247)+COUNTIF(Y2208:Y2225,$B2247&amp;" ~*")&gt;0))</f>
        <v/>
      </c>
      <c r="AC2247" s="36">
        <f>IF($B2247="","",(IFERROR(INDEX(Setup!$G$33:$G$40,MATCH(C2247,Setup!$B$33:$B$40,0)),0)=1)*(COUNTIF(C2208:E2225,$B2247)+COUNTIF(C2208:E2225,$B2247&amp;" ~*")&gt;0)+(IFERROR(INDEX(Setup!$G$33:$G$40,MATCH(G2247,Setup!$B$33:$B$40,0)),0)=1)*(COUNTIF(G2208:I2225,$B2247)+COUNTIF(G2208:I2225,$B2247&amp;" ~*")&gt;0)+(IFERROR(INDEX(Setup!$G$33:$G$40,MATCH(K2247,Setup!$B$33:$B$40,0)),0)=1)*(COUNTIF(K2208:M2225,$B2247)+COUNTIF(K2208:M2225,$B2247&amp;" ~*")&gt;0)+(IFERROR(INDEX(Setup!$G$33:$G$40,MATCH(O2247,Setup!$B$33:$B$40,0)),0)=1)*(COUNTIF(O2208:Q2225,$B2247)+COUNTIF(O2208:Q2225,$B2247&amp;" ~*")&gt;0)+(IFERROR(INDEX(Setup!$G$33:$G$40,MATCH(S2247,Setup!$B$33:$B$40,0)),0)=1)*(COUNTIF(S2208:U2225,$B2247)+COUNTIF(S2208:U2225,$B2247&amp;" ~*")&gt;0)+(IFERROR(INDEX(Setup!$G$33:$G$40,MATCH(W2247,Setup!$B$33:$B$40,0)),0)=1)*(COUNTIF(W2208:W2225,$B2247)+COUNTIF(W2208:W2225,$B2247&amp;" ~*")&gt;0)+(IFERROR(INDEX(Setup!$G$33:$G$40,MATCH(Y2247,Setup!$B$33:$B$40,0)),0)=1)*(COUNTIF(Y2208:Y2225,$B2247)+COUNTIF(Y2208:Y2225,$B2247&amp;" ~*")&gt;0))</f>
        <v/>
      </c>
    </row>
    <row r="2248" ht="15" customHeight="1">
      <c r="A2248" t="n">
        <v>45</v>
      </c>
      <c r="B2248" s="37">
        <f>IF(Setup!$B$27="","",Setup!$B$27)</f>
        <v/>
      </c>
      <c r="C2248" s="102" t="n"/>
      <c r="D2248" s="103" t="n"/>
      <c r="E2248" s="103" t="n"/>
      <c r="F2248" s="104" t="n"/>
      <c r="G2248" s="102" t="n"/>
      <c r="H2248" s="103" t="n"/>
      <c r="I2248" s="103" t="n"/>
      <c r="J2248" s="104" t="n"/>
      <c r="K2248" s="102" t="n"/>
      <c r="L2248" s="103" t="n"/>
      <c r="M2248" s="103" t="n"/>
      <c r="N2248" s="104" t="n"/>
      <c r="O2248" s="102" t="n"/>
      <c r="P2248" s="103" t="n"/>
      <c r="Q2248" s="103" t="n"/>
      <c r="R2248" s="104" t="n"/>
      <c r="S2248" s="102" t="n"/>
      <c r="T2248" s="103" t="n"/>
      <c r="U2248" s="103" t="n"/>
      <c r="V2248" s="104" t="n"/>
      <c r="W2248" s="102" t="n"/>
      <c r="X2248" s="104" t="n"/>
      <c r="Y2248" s="102" t="n"/>
      <c r="Z2248" s="104" t="n"/>
      <c r="AB2248" s="105">
        <f>IF($B2248="","",(COUNTIF(C2208:E2225,$B2248)+COUNTIF(C2208:E2225,$B2248&amp;" ~*")&gt;0)+(COUNTIF(G2208:I2225,$B2248)+COUNTIF(G2208:I2225,$B2248&amp;" ~*")&gt;0)+(COUNTIF(K2208:M2225,$B2248)+COUNTIF(K2208:M2225,$B2248&amp;" ~*")&gt;0)+(COUNTIF(O2208:Q2225,$B2248)+COUNTIF(O2208:Q2225,$B2248&amp;" ~*")&gt;0)+(COUNTIF(S2208:U2225,$B2248)+COUNTIF(S2208:U2225,$B2248&amp;" ~*")&gt;0)+(COUNTIF(W2208:W2225,$B2248)+COUNTIF(W2208:W2225,$B2248&amp;" ~*")&gt;0)+(COUNTIF(Y2208:Y2225,$B2248)+COUNTIF(Y2208:Y2225,$B2248&amp;" ~*")&gt;0))</f>
        <v/>
      </c>
      <c r="AC2248" s="38">
        <f>IF($B2248="","",(IFERROR(INDEX(Setup!$G$33:$G$40,MATCH(C2248,Setup!$B$33:$B$40,0)),0)=1)*(COUNTIF(C2208:E2225,$B2248)+COUNTIF(C2208:E2225,$B2248&amp;" ~*")&gt;0)+(IFERROR(INDEX(Setup!$G$33:$G$40,MATCH(G2248,Setup!$B$33:$B$40,0)),0)=1)*(COUNTIF(G2208:I2225,$B2248)+COUNTIF(G2208:I2225,$B2248&amp;" ~*")&gt;0)+(IFERROR(INDEX(Setup!$G$33:$G$40,MATCH(K2248,Setup!$B$33:$B$40,0)),0)=1)*(COUNTIF(K2208:M2225,$B2248)+COUNTIF(K2208:M2225,$B2248&amp;" ~*")&gt;0)+(IFERROR(INDEX(Setup!$G$33:$G$40,MATCH(O2248,Setup!$B$33:$B$40,0)),0)=1)*(COUNTIF(O2208:Q2225,$B2248)+COUNTIF(O2208:Q2225,$B2248&amp;" ~*")&gt;0)+(IFERROR(INDEX(Setup!$G$33:$G$40,MATCH(S2248,Setup!$B$33:$B$40,0)),0)=1)*(COUNTIF(S2208:U2225,$B2248)+COUNTIF(S2208:U2225,$B2248&amp;" ~*")&gt;0)+(IFERROR(INDEX(Setup!$G$33:$G$40,MATCH(W2248,Setup!$B$33:$B$40,0)),0)=1)*(COUNTIF(W2208:W2225,$B2248)+COUNTIF(W2208:W2225,$B2248&amp;" ~*")&gt;0)+(IFERROR(INDEX(Setup!$G$33:$G$40,MATCH(Y2248,Setup!$B$33:$B$40,0)),0)=1)*(COUNTIF(Y2208:Y2225,$B2248)+COUNTIF(Y2208:Y2225,$B2248&amp;" ~*")&gt;0))</f>
        <v/>
      </c>
    </row>
    <row r="2249" ht="15" customHeight="1">
      <c r="A2249" t="n">
        <v>45</v>
      </c>
      <c r="B2249" s="35">
        <f>IF(Setup!$B$28="","",Setup!$B$28)</f>
        <v/>
      </c>
      <c r="C2249" s="98" t="n"/>
      <c r="D2249" s="99" t="n"/>
      <c r="E2249" s="99" t="n"/>
      <c r="F2249" s="100" t="n"/>
      <c r="G2249" s="98" t="n"/>
      <c r="H2249" s="99" t="n"/>
      <c r="I2249" s="99" t="n"/>
      <c r="J2249" s="100" t="n"/>
      <c r="K2249" s="98" t="n"/>
      <c r="L2249" s="99" t="n"/>
      <c r="M2249" s="99" t="n"/>
      <c r="N2249" s="100" t="n"/>
      <c r="O2249" s="98" t="n"/>
      <c r="P2249" s="99" t="n"/>
      <c r="Q2249" s="99" t="n"/>
      <c r="R2249" s="100" t="n"/>
      <c r="S2249" s="98" t="n"/>
      <c r="T2249" s="99" t="n"/>
      <c r="U2249" s="99" t="n"/>
      <c r="V2249" s="100" t="n"/>
      <c r="W2249" s="98" t="n"/>
      <c r="X2249" s="100" t="n"/>
      <c r="Y2249" s="98" t="n"/>
      <c r="Z2249" s="100" t="n"/>
      <c r="AB2249" s="101">
        <f>IF($B2249="","",(COUNTIF(C2208:E2225,$B2249)+COUNTIF(C2208:E2225,$B2249&amp;" ~*")&gt;0)+(COUNTIF(G2208:I2225,$B2249)+COUNTIF(G2208:I2225,$B2249&amp;" ~*")&gt;0)+(COUNTIF(K2208:M2225,$B2249)+COUNTIF(K2208:M2225,$B2249&amp;" ~*")&gt;0)+(COUNTIF(O2208:Q2225,$B2249)+COUNTIF(O2208:Q2225,$B2249&amp;" ~*")&gt;0)+(COUNTIF(S2208:U2225,$B2249)+COUNTIF(S2208:U2225,$B2249&amp;" ~*")&gt;0)+(COUNTIF(W2208:W2225,$B2249)+COUNTIF(W2208:W2225,$B2249&amp;" ~*")&gt;0)+(COUNTIF(Y2208:Y2225,$B2249)+COUNTIF(Y2208:Y2225,$B2249&amp;" ~*")&gt;0))</f>
        <v/>
      </c>
      <c r="AC2249" s="36">
        <f>IF($B2249="","",(IFERROR(INDEX(Setup!$G$33:$G$40,MATCH(C2249,Setup!$B$33:$B$40,0)),0)=1)*(COUNTIF(C2208:E2225,$B2249)+COUNTIF(C2208:E2225,$B2249&amp;" ~*")&gt;0)+(IFERROR(INDEX(Setup!$G$33:$G$40,MATCH(G2249,Setup!$B$33:$B$40,0)),0)=1)*(COUNTIF(G2208:I2225,$B2249)+COUNTIF(G2208:I2225,$B2249&amp;" ~*")&gt;0)+(IFERROR(INDEX(Setup!$G$33:$G$40,MATCH(K2249,Setup!$B$33:$B$40,0)),0)=1)*(COUNTIF(K2208:M2225,$B2249)+COUNTIF(K2208:M2225,$B2249&amp;" ~*")&gt;0)+(IFERROR(INDEX(Setup!$G$33:$G$40,MATCH(O2249,Setup!$B$33:$B$40,0)),0)=1)*(COUNTIF(O2208:Q2225,$B2249)+COUNTIF(O2208:Q2225,$B2249&amp;" ~*")&gt;0)+(IFERROR(INDEX(Setup!$G$33:$G$40,MATCH(S2249,Setup!$B$33:$B$40,0)),0)=1)*(COUNTIF(S2208:U2225,$B2249)+COUNTIF(S2208:U2225,$B2249&amp;" ~*")&gt;0)+(IFERROR(INDEX(Setup!$G$33:$G$40,MATCH(W2249,Setup!$B$33:$B$40,0)),0)=1)*(COUNTIF(W2208:W2225,$B2249)+COUNTIF(W2208:W2225,$B2249&amp;" ~*")&gt;0)+(IFERROR(INDEX(Setup!$G$33:$G$40,MATCH(Y2249,Setup!$B$33:$B$40,0)),0)=1)*(COUNTIF(Y2208:Y2225,$B2249)+COUNTIF(Y2208:Y2225,$B2249&amp;" ~*")&gt;0))</f>
        <v/>
      </c>
    </row>
    <row r="2250" ht="15" customHeight="1">
      <c r="A2250" t="n">
        <v>45</v>
      </c>
      <c r="B2250" s="37">
        <f>IF(Setup!$B$29="","",Setup!$B$29)</f>
        <v/>
      </c>
      <c r="C2250" s="102" t="n"/>
      <c r="D2250" s="103" t="n"/>
      <c r="E2250" s="103" t="n"/>
      <c r="F2250" s="104" t="n"/>
      <c r="G2250" s="102" t="n"/>
      <c r="H2250" s="103" t="n"/>
      <c r="I2250" s="103" t="n"/>
      <c r="J2250" s="104" t="n"/>
      <c r="K2250" s="102" t="n"/>
      <c r="L2250" s="103" t="n"/>
      <c r="M2250" s="103" t="n"/>
      <c r="N2250" s="104" t="n"/>
      <c r="O2250" s="102" t="n"/>
      <c r="P2250" s="103" t="n"/>
      <c r="Q2250" s="103" t="n"/>
      <c r="R2250" s="104" t="n"/>
      <c r="S2250" s="102" t="n"/>
      <c r="T2250" s="103" t="n"/>
      <c r="U2250" s="103" t="n"/>
      <c r="V2250" s="104" t="n"/>
      <c r="W2250" s="102" t="n"/>
      <c r="X2250" s="104" t="n"/>
      <c r="Y2250" s="102" t="n"/>
      <c r="Z2250" s="104" t="n"/>
      <c r="AB2250" s="105">
        <f>IF($B2250="","",(COUNTIF(C2208:E2225,$B2250)+COUNTIF(C2208:E2225,$B2250&amp;" ~*")&gt;0)+(COUNTIF(G2208:I2225,$B2250)+COUNTIF(G2208:I2225,$B2250&amp;" ~*")&gt;0)+(COUNTIF(K2208:M2225,$B2250)+COUNTIF(K2208:M2225,$B2250&amp;" ~*")&gt;0)+(COUNTIF(O2208:Q2225,$B2250)+COUNTIF(O2208:Q2225,$B2250&amp;" ~*")&gt;0)+(COUNTIF(S2208:U2225,$B2250)+COUNTIF(S2208:U2225,$B2250&amp;" ~*")&gt;0)+(COUNTIF(W2208:W2225,$B2250)+COUNTIF(W2208:W2225,$B2250&amp;" ~*")&gt;0)+(COUNTIF(Y2208:Y2225,$B2250)+COUNTIF(Y2208:Y2225,$B2250&amp;" ~*")&gt;0))</f>
        <v/>
      </c>
      <c r="AC2250" s="38">
        <f>IF($B2250="","",(IFERROR(INDEX(Setup!$G$33:$G$40,MATCH(C2250,Setup!$B$33:$B$40,0)),0)=1)*(COUNTIF(C2208:E2225,$B2250)+COUNTIF(C2208:E2225,$B2250&amp;" ~*")&gt;0)+(IFERROR(INDEX(Setup!$G$33:$G$40,MATCH(G2250,Setup!$B$33:$B$40,0)),0)=1)*(COUNTIF(G2208:I2225,$B2250)+COUNTIF(G2208:I2225,$B2250&amp;" ~*")&gt;0)+(IFERROR(INDEX(Setup!$G$33:$G$40,MATCH(K2250,Setup!$B$33:$B$40,0)),0)=1)*(COUNTIF(K2208:M2225,$B2250)+COUNTIF(K2208:M2225,$B2250&amp;" ~*")&gt;0)+(IFERROR(INDEX(Setup!$G$33:$G$40,MATCH(O2250,Setup!$B$33:$B$40,0)),0)=1)*(COUNTIF(O2208:Q2225,$B2250)+COUNTIF(O2208:Q2225,$B2250&amp;" ~*")&gt;0)+(IFERROR(INDEX(Setup!$G$33:$G$40,MATCH(S2250,Setup!$B$33:$B$40,0)),0)=1)*(COUNTIF(S2208:U2225,$B2250)+COUNTIF(S2208:U2225,$B2250&amp;" ~*")&gt;0)+(IFERROR(INDEX(Setup!$G$33:$G$40,MATCH(W2250,Setup!$B$33:$B$40,0)),0)=1)*(COUNTIF(W2208:W2225,$B2250)+COUNTIF(W2208:W2225,$B2250&amp;" ~*")&gt;0)+(IFERROR(INDEX(Setup!$G$33:$G$40,MATCH(Y2250,Setup!$B$33:$B$40,0)),0)=1)*(COUNTIF(Y2208:Y2225,$B2250)+COUNTIF(Y2208:Y2225,$B2250&amp;" ~*")&gt;0))</f>
        <v/>
      </c>
    </row>
    <row r="2251" ht="16" customHeight="1">
      <c r="A2251" t="n">
        <v>45</v>
      </c>
      <c r="B2251" s="106" t="inlineStr">
        <is>
          <t>Available people</t>
        </is>
      </c>
      <c r="C2251" s="107">
        <f>COUNTIFS(Setup!$E$6:$E$29,"Y",Setup!$B$6:$B$29,"?*")-SUMPRODUCT(COUNTIF(C2227:C2250,Setup!$F$33:$F$40))</f>
        <v/>
      </c>
      <c r="D2251" s="107" t="n"/>
      <c r="E2251" s="107" t="n"/>
      <c r="F2251" s="107" t="n"/>
      <c r="G2251" s="107">
        <f>COUNTIFS(Setup!$E$6:$E$29,"Y",Setup!$B$6:$B$29,"?*")-SUMPRODUCT(COUNTIF(G2227:G2250,Setup!$F$33:$F$40))</f>
        <v/>
      </c>
      <c r="H2251" s="107" t="n"/>
      <c r="I2251" s="107" t="n"/>
      <c r="J2251" s="107" t="n"/>
      <c r="K2251" s="107">
        <f>COUNTIFS(Setup!$E$6:$E$29,"Y",Setup!$B$6:$B$29,"?*")-SUMPRODUCT(COUNTIF(K2227:K2250,Setup!$F$33:$F$40))</f>
        <v/>
      </c>
      <c r="L2251" s="107" t="n"/>
      <c r="M2251" s="107" t="n"/>
      <c r="N2251" s="107" t="n"/>
      <c r="O2251" s="107">
        <f>COUNTIFS(Setup!$E$6:$E$29,"Y",Setup!$B$6:$B$29,"?*")-SUMPRODUCT(COUNTIF(O2227:O2250,Setup!$F$33:$F$40))</f>
        <v/>
      </c>
      <c r="P2251" s="107" t="n"/>
      <c r="Q2251" s="107" t="n"/>
      <c r="R2251" s="107" t="n"/>
      <c r="S2251" s="107">
        <f>COUNTIFS(Setup!$E$6:$E$29,"Y",Setup!$B$6:$B$29,"?*")-SUMPRODUCT(COUNTIF(S2227:S2250,Setup!$F$33:$F$40))</f>
        <v/>
      </c>
      <c r="T2251" s="107" t="n"/>
      <c r="U2251" s="107" t="n"/>
      <c r="V2251" s="107" t="n"/>
      <c r="W2251" s="107">
        <f>COUNTIFS(Setup!$E$6:$E$29,"Y",Setup!$B$6:$B$29,"?*")-SUMPRODUCT(COUNTIF(W2227:W2250,Setup!$F$33:$F$40))</f>
        <v/>
      </c>
      <c r="X2251" s="107" t="n"/>
      <c r="Y2251" s="107">
        <f>COUNTIFS(Setup!$E$6:$E$29,"Y",Setup!$B$6:$B$29,"?*")-SUMPRODUCT(COUNTIF(Y2227:Y2250,Setup!$F$33:$F$40))</f>
        <v/>
      </c>
      <c r="Z2251" s="107" t="n"/>
      <c r="AB2251" s="108">
        <f>SUM(AB2227:AB2250)</f>
        <v/>
      </c>
      <c r="AC2251" s="109">
        <f>SUM(AC2227:AC2250)</f>
        <v/>
      </c>
    </row>
    <row r="2252" ht="30" customHeight="1">
      <c r="A2252" t="n">
        <v>45</v>
      </c>
      <c r="B2252" s="110" t="inlineStr">
        <is>
          <t>Week notes</t>
        </is>
      </c>
      <c r="C2252" s="111" t="n"/>
      <c r="D2252" s="112" t="n"/>
      <c r="E2252" s="112" t="n"/>
      <c r="F2252" s="112" t="n"/>
      <c r="G2252" s="112" t="n"/>
      <c r="H2252" s="112" t="n"/>
      <c r="I2252" s="112" t="n"/>
      <c r="J2252" s="112" t="n"/>
      <c r="K2252" s="112" t="n"/>
      <c r="L2252" s="112" t="n"/>
      <c r="M2252" s="112" t="n"/>
      <c r="N2252" s="112" t="n"/>
      <c r="O2252" s="112" t="n"/>
      <c r="P2252" s="112" t="n"/>
      <c r="Q2252" s="112" t="n"/>
      <c r="R2252" s="112" t="n"/>
      <c r="S2252" s="112" t="n"/>
      <c r="T2252" s="112" t="n"/>
      <c r="U2252" s="112" t="n"/>
      <c r="V2252" s="112" t="n"/>
      <c r="W2252" s="112" t="n"/>
      <c r="X2252" s="112" t="n"/>
      <c r="Y2252" s="112" t="n"/>
      <c r="Z2252" s="113" t="n"/>
    </row>
    <row r="2253" ht="8" customHeight="1">
      <c r="A2253" t="n">
        <v>45</v>
      </c>
    </row>
    <row r="2254" ht="8" customHeight="1">
      <c r="A2254" t="n">
        <v>45</v>
      </c>
    </row>
    <row r="2255" ht="24" customHeight="1">
      <c r="A2255" t="n">
        <v>46</v>
      </c>
      <c r="B2255" s="73">
        <f>"WEEK 46     "&amp;TEXT(C2256,"ddd d mmm")&amp;"  –  "&amp;TEXT(C2256+6,"ddd d mmm yyyy")</f>
        <v/>
      </c>
      <c r="S2255" s="74">
        <f>IF(TODAY()&lt;C2256,"FUTURE",IF(TODAY()&gt;C2256+6,"PAST","THIS WEEK"))</f>
        <v/>
      </c>
      <c r="W2255" s="75">
        <f>IF(AND(Engine!$B$8=$AC$3,Engine!$B$9=$A2255),"◀ ACTIVE WEEK","")</f>
        <v/>
      </c>
      <c r="AA2255" s="76" t="n"/>
      <c r="AB2255" s="77" t="inlineStr">
        <is>
          <t>◀ Prev</t>
        </is>
      </c>
      <c r="AC2255" s="77" t="inlineStr">
        <is>
          <t>Next ▶</t>
        </is>
      </c>
    </row>
    <row r="2256" ht="18" customHeight="1">
      <c r="A2256" t="n">
        <v>46</v>
      </c>
      <c r="B2256" s="78" t="inlineStr">
        <is>
          <t>DUTY</t>
        </is>
      </c>
      <c r="C2256" s="79">
        <f>$AC$2+7*($A2256-1)</f>
        <v/>
      </c>
      <c r="D2256" s="80" t="n"/>
      <c r="E2256" s="80" t="n"/>
      <c r="F2256" s="81" t="n"/>
      <c r="G2256" s="79">
        <f>C2256+1</f>
        <v/>
      </c>
      <c r="H2256" s="80" t="n"/>
      <c r="I2256" s="80" t="n"/>
      <c r="J2256" s="81" t="n"/>
      <c r="K2256" s="79">
        <f>C2256+2</f>
        <v/>
      </c>
      <c r="L2256" s="80" t="n"/>
      <c r="M2256" s="80" t="n"/>
      <c r="N2256" s="81" t="n"/>
      <c r="O2256" s="79">
        <f>C2256+3</f>
        <v/>
      </c>
      <c r="P2256" s="80" t="n"/>
      <c r="Q2256" s="80" t="n"/>
      <c r="R2256" s="81" t="n"/>
      <c r="S2256" s="79">
        <f>C2256+4</f>
        <v/>
      </c>
      <c r="T2256" s="80" t="n"/>
      <c r="U2256" s="80" t="n"/>
      <c r="V2256" s="81" t="n"/>
      <c r="W2256" s="82">
        <f>C2256+5</f>
        <v/>
      </c>
      <c r="X2256" s="83" t="n"/>
      <c r="Y2256" s="82">
        <f>C2256+6</f>
        <v/>
      </c>
      <c r="Z2256" s="83" t="n"/>
      <c r="AB2256" s="72" t="inlineStr">
        <is>
          <t>Gaps</t>
        </is>
      </c>
      <c r="AC2256" s="72" t="inlineStr">
        <is>
          <t>Cover</t>
        </is>
      </c>
    </row>
    <row r="2257" ht="14" customHeight="1">
      <c r="A2257" t="n">
        <v>46</v>
      </c>
      <c r="B2257" s="84" t="inlineStr">
        <is>
          <t>(from Setup)</t>
        </is>
      </c>
      <c r="C2257" s="85" t="inlineStr">
        <is>
          <t>1</t>
        </is>
      </c>
      <c r="D2257" s="85" t="inlineStr">
        <is>
          <t>2</t>
        </is>
      </c>
      <c r="E2257" s="85" t="inlineStr">
        <is>
          <t>3</t>
        </is>
      </c>
      <c r="F2257" s="85" t="inlineStr">
        <is>
          <t>Notes</t>
        </is>
      </c>
      <c r="G2257" s="85" t="inlineStr">
        <is>
          <t>1</t>
        </is>
      </c>
      <c r="H2257" s="85" t="inlineStr">
        <is>
          <t>2</t>
        </is>
      </c>
      <c r="I2257" s="85" t="inlineStr">
        <is>
          <t>3</t>
        </is>
      </c>
      <c r="J2257" s="85" t="inlineStr">
        <is>
          <t>Notes</t>
        </is>
      </c>
      <c r="K2257" s="85" t="inlineStr">
        <is>
          <t>1</t>
        </is>
      </c>
      <c r="L2257" s="85" t="inlineStr">
        <is>
          <t>2</t>
        </is>
      </c>
      <c r="M2257" s="85" t="inlineStr">
        <is>
          <t>3</t>
        </is>
      </c>
      <c r="N2257" s="85" t="inlineStr">
        <is>
          <t>Notes</t>
        </is>
      </c>
      <c r="O2257" s="85" t="inlineStr">
        <is>
          <t>1</t>
        </is>
      </c>
      <c r="P2257" s="85" t="inlineStr">
        <is>
          <t>2</t>
        </is>
      </c>
      <c r="Q2257" s="85" t="inlineStr">
        <is>
          <t>3</t>
        </is>
      </c>
      <c r="R2257" s="85" t="inlineStr">
        <is>
          <t>Notes</t>
        </is>
      </c>
      <c r="S2257" s="85" t="inlineStr">
        <is>
          <t>1</t>
        </is>
      </c>
      <c r="T2257" s="85" t="inlineStr">
        <is>
          <t>2</t>
        </is>
      </c>
      <c r="U2257" s="85" t="inlineStr">
        <is>
          <t>3</t>
        </is>
      </c>
      <c r="V2257" s="85" t="inlineStr">
        <is>
          <t>Notes</t>
        </is>
      </c>
      <c r="W2257" s="85" t="inlineStr">
        <is>
          <t>Cover</t>
        </is>
      </c>
      <c r="X2257" s="85" t="inlineStr">
        <is>
          <t>Notes</t>
        </is>
      </c>
      <c r="Y2257" s="85" t="inlineStr">
        <is>
          <t>Cover</t>
        </is>
      </c>
      <c r="Z2257" s="85" t="inlineStr">
        <is>
          <t>Notes</t>
        </is>
      </c>
      <c r="AB2257" s="86" t="inlineStr">
        <is>
          <t>weekdays short</t>
        </is>
      </c>
      <c r="AC2257" s="87" t="inlineStr"/>
    </row>
    <row r="2258" ht="17" customHeight="1">
      <c r="A2258" t="n">
        <v>46</v>
      </c>
      <c r="B2258" s="24">
        <f>IF(Setup!$K$6="","",Setup!$K$6)</f>
        <v/>
      </c>
      <c r="C2258" s="88" t="n"/>
      <c r="D2258" s="88" t="n"/>
      <c r="E2258" s="88" t="n"/>
      <c r="F2258" s="89" t="n"/>
      <c r="G2258" s="88" t="n"/>
      <c r="H2258" s="88" t="n"/>
      <c r="I2258" s="88" t="n"/>
      <c r="J2258" s="89" t="n"/>
      <c r="K2258" s="88" t="n"/>
      <c r="L2258" s="88" t="n"/>
      <c r="M2258" s="88" t="n"/>
      <c r="N2258" s="89" t="n"/>
      <c r="O2258" s="88" t="n"/>
      <c r="P2258" s="88" t="n"/>
      <c r="Q2258" s="88" t="n"/>
      <c r="R2258" s="89" t="n"/>
      <c r="S2258" s="88" t="n"/>
      <c r="T2258" s="88" t="n"/>
      <c r="U2258" s="88" t="n"/>
      <c r="V2258" s="89" t="n"/>
      <c r="W2258" s="88" t="n"/>
      <c r="X2258" s="89" t="n"/>
      <c r="Y2258" s="88" t="n"/>
      <c r="Z2258" s="89" t="n"/>
      <c r="AB2258" s="25">
        <f>IF($B2258="","",(COUNTIF(C2258:E2258,"?*")&lt;N(INDEX(Setup!$L$6:$L$23,1)))+(COUNTIF(G2258:I2258,"?*")&lt;N(INDEX(Setup!$L$6:$L$23,1)))+(COUNTIF(K2258:M2258,"?*")&lt;N(INDEX(Setup!$L$6:$L$23,1)))+(COUNTIF(O2258:Q2258,"?*")&lt;N(INDEX(Setup!$L$6:$L$23,1)))+(COUNTIF(S2258:U2258,"?*")&lt;N(INDEX(Setup!$L$6:$L$23,1)))+((W2258="")*(INDEX(Setup!$M$6:$M$23,1)="Y"))+((Y2258="")*(INDEX(Setup!$M$6:$M$23,1)="Y")))</f>
        <v/>
      </c>
      <c r="AC2258" s="90">
        <f>IF($B2258="","",IF(AB2258=0,"✓ covered","⚠ "&amp;AB2258&amp;IF(AB2258=1," gap"," gaps")))</f>
        <v/>
      </c>
    </row>
    <row r="2259" ht="17" customHeight="1">
      <c r="A2259" t="n">
        <v>46</v>
      </c>
      <c r="B2259" s="29">
        <f>IF(Setup!$K$7="","",Setup!$K$7)</f>
        <v/>
      </c>
      <c r="C2259" s="88" t="n"/>
      <c r="D2259" s="88" t="n"/>
      <c r="E2259" s="88" t="n"/>
      <c r="F2259" s="89" t="n"/>
      <c r="G2259" s="88" t="n"/>
      <c r="H2259" s="88" t="n"/>
      <c r="I2259" s="88" t="n"/>
      <c r="J2259" s="89" t="n"/>
      <c r="K2259" s="88" t="n"/>
      <c r="L2259" s="88" t="n"/>
      <c r="M2259" s="88" t="n"/>
      <c r="N2259" s="89" t="n"/>
      <c r="O2259" s="88" t="n"/>
      <c r="P2259" s="88" t="n"/>
      <c r="Q2259" s="88" t="n"/>
      <c r="R2259" s="89" t="n"/>
      <c r="S2259" s="88" t="n"/>
      <c r="T2259" s="88" t="n"/>
      <c r="U2259" s="88" t="n"/>
      <c r="V2259" s="89" t="n"/>
      <c r="W2259" s="88" t="n"/>
      <c r="X2259" s="89" t="n"/>
      <c r="Y2259" s="88" t="n"/>
      <c r="Z2259" s="89" t="n"/>
      <c r="AB2259" s="30">
        <f>IF($B2259="","",(COUNTIF(C2259:E2259,"?*")&lt;N(INDEX(Setup!$L$6:$L$23,2)))+(COUNTIF(G2259:I2259,"?*")&lt;N(INDEX(Setup!$L$6:$L$23,2)))+(COUNTIF(K2259:M2259,"?*")&lt;N(INDEX(Setup!$L$6:$L$23,2)))+(COUNTIF(O2259:Q2259,"?*")&lt;N(INDEX(Setup!$L$6:$L$23,2)))+(COUNTIF(S2259:U2259,"?*")&lt;N(INDEX(Setup!$L$6:$L$23,2)))+((W2259="")*(INDEX(Setup!$M$6:$M$23,2)="Y"))+((Y2259="")*(INDEX(Setup!$M$6:$M$23,2)="Y")))</f>
        <v/>
      </c>
      <c r="AC2259" s="91">
        <f>IF($B2259="","",IF(AB2259=0,"✓ covered","⚠ "&amp;AB2259&amp;IF(AB2259=1," gap"," gaps")))</f>
        <v/>
      </c>
    </row>
    <row r="2260" ht="17" customHeight="1">
      <c r="A2260" t="n">
        <v>46</v>
      </c>
      <c r="B2260" s="24">
        <f>IF(Setup!$K$8="","",Setup!$K$8)</f>
        <v/>
      </c>
      <c r="C2260" s="88" t="n"/>
      <c r="D2260" s="88" t="n"/>
      <c r="E2260" s="88" t="n"/>
      <c r="F2260" s="89" t="n"/>
      <c r="G2260" s="88" t="n"/>
      <c r="H2260" s="88" t="n"/>
      <c r="I2260" s="88" t="n"/>
      <c r="J2260" s="89" t="n"/>
      <c r="K2260" s="88" t="n"/>
      <c r="L2260" s="88" t="n"/>
      <c r="M2260" s="88" t="n"/>
      <c r="N2260" s="89" t="n"/>
      <c r="O2260" s="88" t="n"/>
      <c r="P2260" s="88" t="n"/>
      <c r="Q2260" s="88" t="n"/>
      <c r="R2260" s="89" t="n"/>
      <c r="S2260" s="88" t="n"/>
      <c r="T2260" s="88" t="n"/>
      <c r="U2260" s="88" t="n"/>
      <c r="V2260" s="89" t="n"/>
      <c r="W2260" s="88" t="n"/>
      <c r="X2260" s="89" t="n"/>
      <c r="Y2260" s="88" t="n"/>
      <c r="Z2260" s="89" t="n"/>
      <c r="AB2260" s="25">
        <f>IF($B2260="","",(COUNTIF(C2260:E2260,"?*")&lt;N(INDEX(Setup!$L$6:$L$23,3)))+(COUNTIF(G2260:I2260,"?*")&lt;N(INDEX(Setup!$L$6:$L$23,3)))+(COUNTIF(K2260:M2260,"?*")&lt;N(INDEX(Setup!$L$6:$L$23,3)))+(COUNTIF(O2260:Q2260,"?*")&lt;N(INDEX(Setup!$L$6:$L$23,3)))+(COUNTIF(S2260:U2260,"?*")&lt;N(INDEX(Setup!$L$6:$L$23,3)))+((W2260="")*(INDEX(Setup!$M$6:$M$23,3)="Y"))+((Y2260="")*(INDEX(Setup!$M$6:$M$23,3)="Y")))</f>
        <v/>
      </c>
      <c r="AC2260" s="90">
        <f>IF($B2260="","",IF(AB2260=0,"✓ covered","⚠ "&amp;AB2260&amp;IF(AB2260=1," gap"," gaps")))</f>
        <v/>
      </c>
    </row>
    <row r="2261" ht="17" customHeight="1">
      <c r="A2261" t="n">
        <v>46</v>
      </c>
      <c r="B2261" s="29">
        <f>IF(Setup!$K$9="","",Setup!$K$9)</f>
        <v/>
      </c>
      <c r="C2261" s="88" t="n"/>
      <c r="D2261" s="88" t="n"/>
      <c r="E2261" s="88" t="n"/>
      <c r="F2261" s="89" t="n"/>
      <c r="G2261" s="88" t="n"/>
      <c r="H2261" s="88" t="n"/>
      <c r="I2261" s="88" t="n"/>
      <c r="J2261" s="89" t="n"/>
      <c r="K2261" s="88" t="n"/>
      <c r="L2261" s="88" t="n"/>
      <c r="M2261" s="88" t="n"/>
      <c r="N2261" s="89" t="n"/>
      <c r="O2261" s="88" t="n"/>
      <c r="P2261" s="88" t="n"/>
      <c r="Q2261" s="88" t="n"/>
      <c r="R2261" s="89" t="n"/>
      <c r="S2261" s="88" t="n"/>
      <c r="T2261" s="88" t="n"/>
      <c r="U2261" s="88" t="n"/>
      <c r="V2261" s="89" t="n"/>
      <c r="W2261" s="88" t="n"/>
      <c r="X2261" s="89" t="n"/>
      <c r="Y2261" s="88" t="n"/>
      <c r="Z2261" s="89" t="n"/>
      <c r="AB2261" s="30">
        <f>IF($B2261="","",(COUNTIF(C2261:E2261,"?*")&lt;N(INDEX(Setup!$L$6:$L$23,4)))+(COUNTIF(G2261:I2261,"?*")&lt;N(INDEX(Setup!$L$6:$L$23,4)))+(COUNTIF(K2261:M2261,"?*")&lt;N(INDEX(Setup!$L$6:$L$23,4)))+(COUNTIF(O2261:Q2261,"?*")&lt;N(INDEX(Setup!$L$6:$L$23,4)))+(COUNTIF(S2261:U2261,"?*")&lt;N(INDEX(Setup!$L$6:$L$23,4)))+((W2261="")*(INDEX(Setup!$M$6:$M$23,4)="Y"))+((Y2261="")*(INDEX(Setup!$M$6:$M$23,4)="Y")))</f>
        <v/>
      </c>
      <c r="AC2261" s="91">
        <f>IF($B2261="","",IF(AB2261=0,"✓ covered","⚠ "&amp;AB2261&amp;IF(AB2261=1," gap"," gaps")))</f>
        <v/>
      </c>
    </row>
    <row r="2262" ht="17" customHeight="1">
      <c r="A2262" t="n">
        <v>46</v>
      </c>
      <c r="B2262" s="24">
        <f>IF(Setup!$K$10="","",Setup!$K$10)</f>
        <v/>
      </c>
      <c r="C2262" s="88" t="n"/>
      <c r="D2262" s="88" t="n"/>
      <c r="E2262" s="88" t="n"/>
      <c r="F2262" s="89" t="n"/>
      <c r="G2262" s="88" t="n"/>
      <c r="H2262" s="88" t="n"/>
      <c r="I2262" s="88" t="n"/>
      <c r="J2262" s="89" t="n"/>
      <c r="K2262" s="88" t="n"/>
      <c r="L2262" s="88" t="n"/>
      <c r="M2262" s="88" t="n"/>
      <c r="N2262" s="89" t="n"/>
      <c r="O2262" s="88" t="n"/>
      <c r="P2262" s="88" t="n"/>
      <c r="Q2262" s="88" t="n"/>
      <c r="R2262" s="89" t="n"/>
      <c r="S2262" s="88" t="n"/>
      <c r="T2262" s="88" t="n"/>
      <c r="U2262" s="88" t="n"/>
      <c r="V2262" s="89" t="n"/>
      <c r="W2262" s="88" t="n"/>
      <c r="X2262" s="89" t="n"/>
      <c r="Y2262" s="88" t="n"/>
      <c r="Z2262" s="89" t="n"/>
      <c r="AB2262" s="25">
        <f>IF($B2262="","",(COUNTIF(C2262:E2262,"?*")&lt;N(INDEX(Setup!$L$6:$L$23,5)))+(COUNTIF(G2262:I2262,"?*")&lt;N(INDEX(Setup!$L$6:$L$23,5)))+(COUNTIF(K2262:M2262,"?*")&lt;N(INDEX(Setup!$L$6:$L$23,5)))+(COUNTIF(O2262:Q2262,"?*")&lt;N(INDEX(Setup!$L$6:$L$23,5)))+(COUNTIF(S2262:U2262,"?*")&lt;N(INDEX(Setup!$L$6:$L$23,5)))+((W2262="")*(INDEX(Setup!$M$6:$M$23,5)="Y"))+((Y2262="")*(INDEX(Setup!$M$6:$M$23,5)="Y")))</f>
        <v/>
      </c>
      <c r="AC2262" s="90">
        <f>IF($B2262="","",IF(AB2262=0,"✓ covered","⚠ "&amp;AB2262&amp;IF(AB2262=1," gap"," gaps")))</f>
        <v/>
      </c>
    </row>
    <row r="2263" ht="17" customHeight="1">
      <c r="A2263" t="n">
        <v>46</v>
      </c>
      <c r="B2263" s="29">
        <f>IF(Setup!$K$11="","",Setup!$K$11)</f>
        <v/>
      </c>
      <c r="C2263" s="88" t="n"/>
      <c r="D2263" s="88" t="n"/>
      <c r="E2263" s="88" t="n"/>
      <c r="F2263" s="89" t="n"/>
      <c r="G2263" s="88" t="n"/>
      <c r="H2263" s="88" t="n"/>
      <c r="I2263" s="88" t="n"/>
      <c r="J2263" s="89" t="n"/>
      <c r="K2263" s="88" t="n"/>
      <c r="L2263" s="88" t="n"/>
      <c r="M2263" s="88" t="n"/>
      <c r="N2263" s="89" t="n"/>
      <c r="O2263" s="88" t="n"/>
      <c r="P2263" s="88" t="n"/>
      <c r="Q2263" s="88" t="n"/>
      <c r="R2263" s="89" t="n"/>
      <c r="S2263" s="88" t="n"/>
      <c r="T2263" s="88" t="n"/>
      <c r="U2263" s="88" t="n"/>
      <c r="V2263" s="89" t="n"/>
      <c r="W2263" s="88" t="n"/>
      <c r="X2263" s="89" t="n"/>
      <c r="Y2263" s="88" t="n"/>
      <c r="Z2263" s="89" t="n"/>
      <c r="AB2263" s="30">
        <f>IF($B2263="","",(COUNTIF(C2263:E2263,"?*")&lt;N(INDEX(Setup!$L$6:$L$23,6)))+(COUNTIF(G2263:I2263,"?*")&lt;N(INDEX(Setup!$L$6:$L$23,6)))+(COUNTIF(K2263:M2263,"?*")&lt;N(INDEX(Setup!$L$6:$L$23,6)))+(COUNTIF(O2263:Q2263,"?*")&lt;N(INDEX(Setup!$L$6:$L$23,6)))+(COUNTIF(S2263:U2263,"?*")&lt;N(INDEX(Setup!$L$6:$L$23,6)))+((W2263="")*(INDEX(Setup!$M$6:$M$23,6)="Y"))+((Y2263="")*(INDEX(Setup!$M$6:$M$23,6)="Y")))</f>
        <v/>
      </c>
      <c r="AC2263" s="91">
        <f>IF($B2263="","",IF(AB2263=0,"✓ covered","⚠ "&amp;AB2263&amp;IF(AB2263=1," gap"," gaps")))</f>
        <v/>
      </c>
    </row>
    <row r="2264" ht="17" customHeight="1">
      <c r="A2264" t="n">
        <v>46</v>
      </c>
      <c r="B2264" s="24">
        <f>IF(Setup!$K$12="","",Setup!$K$12)</f>
        <v/>
      </c>
      <c r="C2264" s="88" t="n"/>
      <c r="D2264" s="88" t="n"/>
      <c r="E2264" s="88" t="n"/>
      <c r="F2264" s="89" t="n"/>
      <c r="G2264" s="88" t="n"/>
      <c r="H2264" s="88" t="n"/>
      <c r="I2264" s="88" t="n"/>
      <c r="J2264" s="89" t="n"/>
      <c r="K2264" s="88" t="n"/>
      <c r="L2264" s="88" t="n"/>
      <c r="M2264" s="88" t="n"/>
      <c r="N2264" s="89" t="n"/>
      <c r="O2264" s="88" t="n"/>
      <c r="P2264" s="88" t="n"/>
      <c r="Q2264" s="88" t="n"/>
      <c r="R2264" s="89" t="n"/>
      <c r="S2264" s="88" t="n"/>
      <c r="T2264" s="88" t="n"/>
      <c r="U2264" s="88" t="n"/>
      <c r="V2264" s="89" t="n"/>
      <c r="W2264" s="88" t="n"/>
      <c r="X2264" s="89" t="n"/>
      <c r="Y2264" s="88" t="n"/>
      <c r="Z2264" s="89" t="n"/>
      <c r="AB2264" s="25">
        <f>IF($B2264="","",(COUNTIF(C2264:E2264,"?*")&lt;N(INDEX(Setup!$L$6:$L$23,7)))+(COUNTIF(G2264:I2264,"?*")&lt;N(INDEX(Setup!$L$6:$L$23,7)))+(COUNTIF(K2264:M2264,"?*")&lt;N(INDEX(Setup!$L$6:$L$23,7)))+(COUNTIF(O2264:Q2264,"?*")&lt;N(INDEX(Setup!$L$6:$L$23,7)))+(COUNTIF(S2264:U2264,"?*")&lt;N(INDEX(Setup!$L$6:$L$23,7)))+((W2264="")*(INDEX(Setup!$M$6:$M$23,7)="Y"))+((Y2264="")*(INDEX(Setup!$M$6:$M$23,7)="Y")))</f>
        <v/>
      </c>
      <c r="AC2264" s="90">
        <f>IF($B2264="","",IF(AB2264=0,"✓ covered","⚠ "&amp;AB2264&amp;IF(AB2264=1," gap"," gaps")))</f>
        <v/>
      </c>
    </row>
    <row r="2265" ht="17" customHeight="1">
      <c r="A2265" t="n">
        <v>46</v>
      </c>
      <c r="B2265" s="29">
        <f>IF(Setup!$K$13="","",Setup!$K$13)</f>
        <v/>
      </c>
      <c r="C2265" s="88" t="n"/>
      <c r="D2265" s="88" t="n"/>
      <c r="E2265" s="88" t="n"/>
      <c r="F2265" s="89" t="n"/>
      <c r="G2265" s="88" t="n"/>
      <c r="H2265" s="88" t="n"/>
      <c r="I2265" s="88" t="n"/>
      <c r="J2265" s="89" t="n"/>
      <c r="K2265" s="88" t="n"/>
      <c r="L2265" s="88" t="n"/>
      <c r="M2265" s="88" t="n"/>
      <c r="N2265" s="89" t="n"/>
      <c r="O2265" s="88" t="n"/>
      <c r="P2265" s="88" t="n"/>
      <c r="Q2265" s="88" t="n"/>
      <c r="R2265" s="89" t="n"/>
      <c r="S2265" s="88" t="n"/>
      <c r="T2265" s="88" t="n"/>
      <c r="U2265" s="88" t="n"/>
      <c r="V2265" s="89" t="n"/>
      <c r="W2265" s="88" t="n"/>
      <c r="X2265" s="89" t="n"/>
      <c r="Y2265" s="88" t="n"/>
      <c r="Z2265" s="89" t="n"/>
      <c r="AB2265" s="30">
        <f>IF($B2265="","",(COUNTIF(C2265:E2265,"?*")&lt;N(INDEX(Setup!$L$6:$L$23,8)))+(COUNTIF(G2265:I2265,"?*")&lt;N(INDEX(Setup!$L$6:$L$23,8)))+(COUNTIF(K2265:M2265,"?*")&lt;N(INDEX(Setup!$L$6:$L$23,8)))+(COUNTIF(O2265:Q2265,"?*")&lt;N(INDEX(Setup!$L$6:$L$23,8)))+(COUNTIF(S2265:U2265,"?*")&lt;N(INDEX(Setup!$L$6:$L$23,8)))+((W2265="")*(INDEX(Setup!$M$6:$M$23,8)="Y"))+((Y2265="")*(INDEX(Setup!$M$6:$M$23,8)="Y")))</f>
        <v/>
      </c>
      <c r="AC2265" s="91">
        <f>IF($B2265="","",IF(AB2265=0,"✓ covered","⚠ "&amp;AB2265&amp;IF(AB2265=1," gap"," gaps")))</f>
        <v/>
      </c>
    </row>
    <row r="2266" ht="17" customHeight="1">
      <c r="A2266" t="n">
        <v>46</v>
      </c>
      <c r="B2266" s="24">
        <f>IF(Setup!$K$14="","",Setup!$K$14)</f>
        <v/>
      </c>
      <c r="C2266" s="88" t="n"/>
      <c r="D2266" s="88" t="n"/>
      <c r="E2266" s="88" t="n"/>
      <c r="F2266" s="89" t="n"/>
      <c r="G2266" s="88" t="n"/>
      <c r="H2266" s="88" t="n"/>
      <c r="I2266" s="88" t="n"/>
      <c r="J2266" s="89" t="n"/>
      <c r="K2266" s="88" t="n"/>
      <c r="L2266" s="88" t="n"/>
      <c r="M2266" s="88" t="n"/>
      <c r="N2266" s="89" t="n"/>
      <c r="O2266" s="88" t="n"/>
      <c r="P2266" s="88" t="n"/>
      <c r="Q2266" s="88" t="n"/>
      <c r="R2266" s="89" t="n"/>
      <c r="S2266" s="88" t="n"/>
      <c r="T2266" s="88" t="n"/>
      <c r="U2266" s="88" t="n"/>
      <c r="V2266" s="89" t="n"/>
      <c r="W2266" s="88" t="n"/>
      <c r="X2266" s="89" t="n"/>
      <c r="Y2266" s="88" t="n"/>
      <c r="Z2266" s="89" t="n"/>
      <c r="AB2266" s="25">
        <f>IF($B2266="","",(COUNTIF(C2266:E2266,"?*")&lt;N(INDEX(Setup!$L$6:$L$23,9)))+(COUNTIF(G2266:I2266,"?*")&lt;N(INDEX(Setup!$L$6:$L$23,9)))+(COUNTIF(K2266:M2266,"?*")&lt;N(INDEX(Setup!$L$6:$L$23,9)))+(COUNTIF(O2266:Q2266,"?*")&lt;N(INDEX(Setup!$L$6:$L$23,9)))+(COUNTIF(S2266:U2266,"?*")&lt;N(INDEX(Setup!$L$6:$L$23,9)))+((W2266="")*(INDEX(Setup!$M$6:$M$23,9)="Y"))+((Y2266="")*(INDEX(Setup!$M$6:$M$23,9)="Y")))</f>
        <v/>
      </c>
      <c r="AC2266" s="90">
        <f>IF($B2266="","",IF(AB2266=0,"✓ covered","⚠ "&amp;AB2266&amp;IF(AB2266=1," gap"," gaps")))</f>
        <v/>
      </c>
    </row>
    <row r="2267" ht="17" customHeight="1">
      <c r="A2267" t="n">
        <v>46</v>
      </c>
      <c r="B2267" s="29">
        <f>IF(Setup!$K$15="","",Setup!$K$15)</f>
        <v/>
      </c>
      <c r="C2267" s="88" t="n"/>
      <c r="D2267" s="88" t="n"/>
      <c r="E2267" s="88" t="n"/>
      <c r="F2267" s="89" t="n"/>
      <c r="G2267" s="88" t="n"/>
      <c r="H2267" s="88" t="n"/>
      <c r="I2267" s="88" t="n"/>
      <c r="J2267" s="89" t="n"/>
      <c r="K2267" s="88" t="n"/>
      <c r="L2267" s="88" t="n"/>
      <c r="M2267" s="88" t="n"/>
      <c r="N2267" s="89" t="n"/>
      <c r="O2267" s="88" t="n"/>
      <c r="P2267" s="88" t="n"/>
      <c r="Q2267" s="88" t="n"/>
      <c r="R2267" s="89" t="n"/>
      <c r="S2267" s="88" t="n"/>
      <c r="T2267" s="88" t="n"/>
      <c r="U2267" s="88" t="n"/>
      <c r="V2267" s="89" t="n"/>
      <c r="W2267" s="88" t="n"/>
      <c r="X2267" s="89" t="n"/>
      <c r="Y2267" s="88" t="n"/>
      <c r="Z2267" s="89" t="n"/>
      <c r="AB2267" s="30">
        <f>IF($B2267="","",(COUNTIF(C2267:E2267,"?*")&lt;N(INDEX(Setup!$L$6:$L$23,10)))+(COUNTIF(G2267:I2267,"?*")&lt;N(INDEX(Setup!$L$6:$L$23,10)))+(COUNTIF(K2267:M2267,"?*")&lt;N(INDEX(Setup!$L$6:$L$23,10)))+(COUNTIF(O2267:Q2267,"?*")&lt;N(INDEX(Setup!$L$6:$L$23,10)))+(COUNTIF(S2267:U2267,"?*")&lt;N(INDEX(Setup!$L$6:$L$23,10)))+((W2267="")*(INDEX(Setup!$M$6:$M$23,10)="Y"))+((Y2267="")*(INDEX(Setup!$M$6:$M$23,10)="Y")))</f>
        <v/>
      </c>
      <c r="AC2267" s="91">
        <f>IF($B2267="","",IF(AB2267=0,"✓ covered","⚠ "&amp;AB2267&amp;IF(AB2267=1," gap"," gaps")))</f>
        <v/>
      </c>
    </row>
    <row r="2268" ht="17" customHeight="1">
      <c r="A2268" t="n">
        <v>46</v>
      </c>
      <c r="B2268" s="24">
        <f>IF(Setup!$K$16="","",Setup!$K$16)</f>
        <v/>
      </c>
      <c r="C2268" s="88" t="n"/>
      <c r="D2268" s="88" t="n"/>
      <c r="E2268" s="88" t="n"/>
      <c r="F2268" s="89" t="n"/>
      <c r="G2268" s="88" t="n"/>
      <c r="H2268" s="88" t="n"/>
      <c r="I2268" s="88" t="n"/>
      <c r="J2268" s="89" t="n"/>
      <c r="K2268" s="88" t="n"/>
      <c r="L2268" s="88" t="n"/>
      <c r="M2268" s="88" t="n"/>
      <c r="N2268" s="89" t="n"/>
      <c r="O2268" s="88" t="n"/>
      <c r="P2268" s="88" t="n"/>
      <c r="Q2268" s="88" t="n"/>
      <c r="R2268" s="89" t="n"/>
      <c r="S2268" s="88" t="n"/>
      <c r="T2268" s="88" t="n"/>
      <c r="U2268" s="88" t="n"/>
      <c r="V2268" s="89" t="n"/>
      <c r="W2268" s="88" t="n"/>
      <c r="X2268" s="89" t="n"/>
      <c r="Y2268" s="88" t="n"/>
      <c r="Z2268" s="89" t="n"/>
      <c r="AB2268" s="25">
        <f>IF($B2268="","",(COUNTIF(C2268:E2268,"?*")&lt;N(INDEX(Setup!$L$6:$L$23,11)))+(COUNTIF(G2268:I2268,"?*")&lt;N(INDEX(Setup!$L$6:$L$23,11)))+(COUNTIF(K2268:M2268,"?*")&lt;N(INDEX(Setup!$L$6:$L$23,11)))+(COUNTIF(O2268:Q2268,"?*")&lt;N(INDEX(Setup!$L$6:$L$23,11)))+(COUNTIF(S2268:U2268,"?*")&lt;N(INDEX(Setup!$L$6:$L$23,11)))+((W2268="")*(INDEX(Setup!$M$6:$M$23,11)="Y"))+((Y2268="")*(INDEX(Setup!$M$6:$M$23,11)="Y")))</f>
        <v/>
      </c>
      <c r="AC2268" s="90">
        <f>IF($B2268="","",IF(AB2268=0,"✓ covered","⚠ "&amp;AB2268&amp;IF(AB2268=1," gap"," gaps")))</f>
        <v/>
      </c>
    </row>
    <row r="2269" ht="17" customHeight="1">
      <c r="A2269" t="n">
        <v>46</v>
      </c>
      <c r="B2269" s="29">
        <f>IF(Setup!$K$17="","",Setup!$K$17)</f>
        <v/>
      </c>
      <c r="C2269" s="88" t="n"/>
      <c r="D2269" s="88" t="n"/>
      <c r="E2269" s="88" t="n"/>
      <c r="F2269" s="89" t="n"/>
      <c r="G2269" s="88" t="n"/>
      <c r="H2269" s="88" t="n"/>
      <c r="I2269" s="88" t="n"/>
      <c r="J2269" s="89" t="n"/>
      <c r="K2269" s="88" t="n"/>
      <c r="L2269" s="88" t="n"/>
      <c r="M2269" s="88" t="n"/>
      <c r="N2269" s="89" t="n"/>
      <c r="O2269" s="88" t="n"/>
      <c r="P2269" s="88" t="n"/>
      <c r="Q2269" s="88" t="n"/>
      <c r="R2269" s="89" t="n"/>
      <c r="S2269" s="88" t="n"/>
      <c r="T2269" s="88" t="n"/>
      <c r="U2269" s="88" t="n"/>
      <c r="V2269" s="89" t="n"/>
      <c r="W2269" s="88" t="n"/>
      <c r="X2269" s="89" t="n"/>
      <c r="Y2269" s="88" t="n"/>
      <c r="Z2269" s="89" t="n"/>
      <c r="AB2269" s="30">
        <f>IF($B2269="","",(COUNTIF(C2269:E2269,"?*")&lt;N(INDEX(Setup!$L$6:$L$23,12)))+(COUNTIF(G2269:I2269,"?*")&lt;N(INDEX(Setup!$L$6:$L$23,12)))+(COUNTIF(K2269:M2269,"?*")&lt;N(INDEX(Setup!$L$6:$L$23,12)))+(COUNTIF(O2269:Q2269,"?*")&lt;N(INDEX(Setup!$L$6:$L$23,12)))+(COUNTIF(S2269:U2269,"?*")&lt;N(INDEX(Setup!$L$6:$L$23,12)))+((W2269="")*(INDEX(Setup!$M$6:$M$23,12)="Y"))+((Y2269="")*(INDEX(Setup!$M$6:$M$23,12)="Y")))</f>
        <v/>
      </c>
      <c r="AC2269" s="91">
        <f>IF($B2269="","",IF(AB2269=0,"✓ covered","⚠ "&amp;AB2269&amp;IF(AB2269=1," gap"," gaps")))</f>
        <v/>
      </c>
    </row>
    <row r="2270" ht="17" customHeight="1">
      <c r="A2270" t="n">
        <v>46</v>
      </c>
      <c r="B2270" s="24">
        <f>IF(Setup!$K$18="","",Setup!$K$18)</f>
        <v/>
      </c>
      <c r="C2270" s="88" t="n"/>
      <c r="D2270" s="88" t="n"/>
      <c r="E2270" s="88" t="n"/>
      <c r="F2270" s="89" t="n"/>
      <c r="G2270" s="88" t="n"/>
      <c r="H2270" s="88" t="n"/>
      <c r="I2270" s="88" t="n"/>
      <c r="J2270" s="89" t="n"/>
      <c r="K2270" s="88" t="n"/>
      <c r="L2270" s="88" t="n"/>
      <c r="M2270" s="88" t="n"/>
      <c r="N2270" s="89" t="n"/>
      <c r="O2270" s="88" t="n"/>
      <c r="P2270" s="88" t="n"/>
      <c r="Q2270" s="88" t="n"/>
      <c r="R2270" s="89" t="n"/>
      <c r="S2270" s="88" t="n"/>
      <c r="T2270" s="88" t="n"/>
      <c r="U2270" s="88" t="n"/>
      <c r="V2270" s="89" t="n"/>
      <c r="W2270" s="88" t="n"/>
      <c r="X2270" s="89" t="n"/>
      <c r="Y2270" s="88" t="n"/>
      <c r="Z2270" s="89" t="n"/>
      <c r="AB2270" s="25">
        <f>IF($B2270="","",(COUNTIF(C2270:E2270,"?*")&lt;N(INDEX(Setup!$L$6:$L$23,13)))+(COUNTIF(G2270:I2270,"?*")&lt;N(INDEX(Setup!$L$6:$L$23,13)))+(COUNTIF(K2270:M2270,"?*")&lt;N(INDEX(Setup!$L$6:$L$23,13)))+(COUNTIF(O2270:Q2270,"?*")&lt;N(INDEX(Setup!$L$6:$L$23,13)))+(COUNTIF(S2270:U2270,"?*")&lt;N(INDEX(Setup!$L$6:$L$23,13)))+((W2270="")*(INDEX(Setup!$M$6:$M$23,13)="Y"))+((Y2270="")*(INDEX(Setup!$M$6:$M$23,13)="Y")))</f>
        <v/>
      </c>
      <c r="AC2270" s="90">
        <f>IF($B2270="","",IF(AB2270=0,"✓ covered","⚠ "&amp;AB2270&amp;IF(AB2270=1," gap"," gaps")))</f>
        <v/>
      </c>
    </row>
    <row r="2271" ht="17" customHeight="1">
      <c r="A2271" t="n">
        <v>46</v>
      </c>
      <c r="B2271" s="29">
        <f>IF(Setup!$K$19="","",Setup!$K$19)</f>
        <v/>
      </c>
      <c r="C2271" s="88" t="n"/>
      <c r="D2271" s="88" t="n"/>
      <c r="E2271" s="88" t="n"/>
      <c r="F2271" s="89" t="n"/>
      <c r="G2271" s="88" t="n"/>
      <c r="H2271" s="88" t="n"/>
      <c r="I2271" s="88" t="n"/>
      <c r="J2271" s="89" t="n"/>
      <c r="K2271" s="88" t="n"/>
      <c r="L2271" s="88" t="n"/>
      <c r="M2271" s="88" t="n"/>
      <c r="N2271" s="89" t="n"/>
      <c r="O2271" s="88" t="n"/>
      <c r="P2271" s="88" t="n"/>
      <c r="Q2271" s="88" t="n"/>
      <c r="R2271" s="89" t="n"/>
      <c r="S2271" s="88" t="n"/>
      <c r="T2271" s="88" t="n"/>
      <c r="U2271" s="88" t="n"/>
      <c r="V2271" s="89" t="n"/>
      <c r="W2271" s="88" t="n"/>
      <c r="X2271" s="89" t="n"/>
      <c r="Y2271" s="88" t="n"/>
      <c r="Z2271" s="89" t="n"/>
      <c r="AB2271" s="30">
        <f>IF($B2271="","",(COUNTIF(C2271:E2271,"?*")&lt;N(INDEX(Setup!$L$6:$L$23,14)))+(COUNTIF(G2271:I2271,"?*")&lt;N(INDEX(Setup!$L$6:$L$23,14)))+(COUNTIF(K2271:M2271,"?*")&lt;N(INDEX(Setup!$L$6:$L$23,14)))+(COUNTIF(O2271:Q2271,"?*")&lt;N(INDEX(Setup!$L$6:$L$23,14)))+(COUNTIF(S2271:U2271,"?*")&lt;N(INDEX(Setup!$L$6:$L$23,14)))+((W2271="")*(INDEX(Setup!$M$6:$M$23,14)="Y"))+((Y2271="")*(INDEX(Setup!$M$6:$M$23,14)="Y")))</f>
        <v/>
      </c>
      <c r="AC2271" s="91">
        <f>IF($B2271="","",IF(AB2271=0,"✓ covered","⚠ "&amp;AB2271&amp;IF(AB2271=1," gap"," gaps")))</f>
        <v/>
      </c>
    </row>
    <row r="2272" ht="17" customHeight="1">
      <c r="A2272" t="n">
        <v>46</v>
      </c>
      <c r="B2272" s="24">
        <f>IF(Setup!$K$20="","",Setup!$K$20)</f>
        <v/>
      </c>
      <c r="C2272" s="88" t="n"/>
      <c r="D2272" s="88" t="n"/>
      <c r="E2272" s="88" t="n"/>
      <c r="F2272" s="89" t="n"/>
      <c r="G2272" s="88" t="n"/>
      <c r="H2272" s="88" t="n"/>
      <c r="I2272" s="88" t="n"/>
      <c r="J2272" s="89" t="n"/>
      <c r="K2272" s="88" t="n"/>
      <c r="L2272" s="88" t="n"/>
      <c r="M2272" s="88" t="n"/>
      <c r="N2272" s="89" t="n"/>
      <c r="O2272" s="88" t="n"/>
      <c r="P2272" s="88" t="n"/>
      <c r="Q2272" s="88" t="n"/>
      <c r="R2272" s="89" t="n"/>
      <c r="S2272" s="88" t="n"/>
      <c r="T2272" s="88" t="n"/>
      <c r="U2272" s="88" t="n"/>
      <c r="V2272" s="89" t="n"/>
      <c r="W2272" s="88" t="n"/>
      <c r="X2272" s="89" t="n"/>
      <c r="Y2272" s="88" t="n"/>
      <c r="Z2272" s="89" t="n"/>
      <c r="AB2272" s="25">
        <f>IF($B2272="","",(COUNTIF(C2272:E2272,"?*")&lt;N(INDEX(Setup!$L$6:$L$23,15)))+(COUNTIF(G2272:I2272,"?*")&lt;N(INDEX(Setup!$L$6:$L$23,15)))+(COUNTIF(K2272:M2272,"?*")&lt;N(INDEX(Setup!$L$6:$L$23,15)))+(COUNTIF(O2272:Q2272,"?*")&lt;N(INDEX(Setup!$L$6:$L$23,15)))+(COUNTIF(S2272:U2272,"?*")&lt;N(INDEX(Setup!$L$6:$L$23,15)))+((W2272="")*(INDEX(Setup!$M$6:$M$23,15)="Y"))+((Y2272="")*(INDEX(Setup!$M$6:$M$23,15)="Y")))</f>
        <v/>
      </c>
      <c r="AC2272" s="90">
        <f>IF($B2272="","",IF(AB2272=0,"✓ covered","⚠ "&amp;AB2272&amp;IF(AB2272=1," gap"," gaps")))</f>
        <v/>
      </c>
    </row>
    <row r="2273" ht="17" customHeight="1">
      <c r="A2273" t="n">
        <v>46</v>
      </c>
      <c r="B2273" s="29">
        <f>IF(Setup!$K$21="","",Setup!$K$21)</f>
        <v/>
      </c>
      <c r="C2273" s="88" t="n"/>
      <c r="D2273" s="88" t="n"/>
      <c r="E2273" s="88" t="n"/>
      <c r="F2273" s="89" t="n"/>
      <c r="G2273" s="88" t="n"/>
      <c r="H2273" s="88" t="n"/>
      <c r="I2273" s="88" t="n"/>
      <c r="J2273" s="89" t="n"/>
      <c r="K2273" s="88" t="n"/>
      <c r="L2273" s="88" t="n"/>
      <c r="M2273" s="88" t="n"/>
      <c r="N2273" s="89" t="n"/>
      <c r="O2273" s="88" t="n"/>
      <c r="P2273" s="88" t="n"/>
      <c r="Q2273" s="88" t="n"/>
      <c r="R2273" s="89" t="n"/>
      <c r="S2273" s="88" t="n"/>
      <c r="T2273" s="88" t="n"/>
      <c r="U2273" s="88" t="n"/>
      <c r="V2273" s="89" t="n"/>
      <c r="W2273" s="88" t="n"/>
      <c r="X2273" s="89" t="n"/>
      <c r="Y2273" s="88" t="n"/>
      <c r="Z2273" s="89" t="n"/>
      <c r="AB2273" s="30">
        <f>IF($B2273="","",(COUNTIF(C2273:E2273,"?*")&lt;N(INDEX(Setup!$L$6:$L$23,16)))+(COUNTIF(G2273:I2273,"?*")&lt;N(INDEX(Setup!$L$6:$L$23,16)))+(COUNTIF(K2273:M2273,"?*")&lt;N(INDEX(Setup!$L$6:$L$23,16)))+(COUNTIF(O2273:Q2273,"?*")&lt;N(INDEX(Setup!$L$6:$L$23,16)))+(COUNTIF(S2273:U2273,"?*")&lt;N(INDEX(Setup!$L$6:$L$23,16)))+((W2273="")*(INDEX(Setup!$M$6:$M$23,16)="Y"))+((Y2273="")*(INDEX(Setup!$M$6:$M$23,16)="Y")))</f>
        <v/>
      </c>
      <c r="AC2273" s="91">
        <f>IF($B2273="","",IF(AB2273=0,"✓ covered","⚠ "&amp;AB2273&amp;IF(AB2273=1," gap"," gaps")))</f>
        <v/>
      </c>
    </row>
    <row r="2274" ht="17" customHeight="1">
      <c r="A2274" t="n">
        <v>46</v>
      </c>
      <c r="B2274" s="24">
        <f>IF(Setup!$K$22="","",Setup!$K$22)</f>
        <v/>
      </c>
      <c r="C2274" s="88" t="n"/>
      <c r="D2274" s="88" t="n"/>
      <c r="E2274" s="88" t="n"/>
      <c r="F2274" s="89" t="n"/>
      <c r="G2274" s="88" t="n"/>
      <c r="H2274" s="88" t="n"/>
      <c r="I2274" s="88" t="n"/>
      <c r="J2274" s="89" t="n"/>
      <c r="K2274" s="88" t="n"/>
      <c r="L2274" s="88" t="n"/>
      <c r="M2274" s="88" t="n"/>
      <c r="N2274" s="89" t="n"/>
      <c r="O2274" s="88" t="n"/>
      <c r="P2274" s="88" t="n"/>
      <c r="Q2274" s="88" t="n"/>
      <c r="R2274" s="89" t="n"/>
      <c r="S2274" s="88" t="n"/>
      <c r="T2274" s="88" t="n"/>
      <c r="U2274" s="88" t="n"/>
      <c r="V2274" s="89" t="n"/>
      <c r="W2274" s="88" t="n"/>
      <c r="X2274" s="89" t="n"/>
      <c r="Y2274" s="88" t="n"/>
      <c r="Z2274" s="89" t="n"/>
      <c r="AB2274" s="25">
        <f>IF($B2274="","",(COUNTIF(C2274:E2274,"?*")&lt;N(INDEX(Setup!$L$6:$L$23,17)))+(COUNTIF(G2274:I2274,"?*")&lt;N(INDEX(Setup!$L$6:$L$23,17)))+(COUNTIF(K2274:M2274,"?*")&lt;N(INDEX(Setup!$L$6:$L$23,17)))+(COUNTIF(O2274:Q2274,"?*")&lt;N(INDEX(Setup!$L$6:$L$23,17)))+(COUNTIF(S2274:U2274,"?*")&lt;N(INDEX(Setup!$L$6:$L$23,17)))+((W2274="")*(INDEX(Setup!$M$6:$M$23,17)="Y"))+((Y2274="")*(INDEX(Setup!$M$6:$M$23,17)="Y")))</f>
        <v/>
      </c>
      <c r="AC2274" s="90">
        <f>IF($B2274="","",IF(AB2274=0,"✓ covered","⚠ "&amp;AB2274&amp;IF(AB2274=1," gap"," gaps")))</f>
        <v/>
      </c>
    </row>
    <row r="2275" ht="17" customHeight="1">
      <c r="A2275" t="n">
        <v>46</v>
      </c>
      <c r="B2275" s="29">
        <f>IF(Setup!$K$23="","",Setup!$K$23)</f>
        <v/>
      </c>
      <c r="C2275" s="88" t="n"/>
      <c r="D2275" s="88" t="n"/>
      <c r="E2275" s="88" t="n"/>
      <c r="F2275" s="89" t="n"/>
      <c r="G2275" s="88" t="n"/>
      <c r="H2275" s="88" t="n"/>
      <c r="I2275" s="88" t="n"/>
      <c r="J2275" s="89" t="n"/>
      <c r="K2275" s="88" t="n"/>
      <c r="L2275" s="88" t="n"/>
      <c r="M2275" s="88" t="n"/>
      <c r="N2275" s="89" t="n"/>
      <c r="O2275" s="88" t="n"/>
      <c r="P2275" s="88" t="n"/>
      <c r="Q2275" s="88" t="n"/>
      <c r="R2275" s="89" t="n"/>
      <c r="S2275" s="88" t="n"/>
      <c r="T2275" s="88" t="n"/>
      <c r="U2275" s="88" t="n"/>
      <c r="V2275" s="89" t="n"/>
      <c r="W2275" s="88" t="n"/>
      <c r="X2275" s="89" t="n"/>
      <c r="Y2275" s="88" t="n"/>
      <c r="Z2275" s="89" t="n"/>
      <c r="AB2275" s="30">
        <f>IF($B2275="","",(COUNTIF(C2275:E2275,"?*")&lt;N(INDEX(Setup!$L$6:$L$23,18)))+(COUNTIF(G2275:I2275,"?*")&lt;N(INDEX(Setup!$L$6:$L$23,18)))+(COUNTIF(K2275:M2275,"?*")&lt;N(INDEX(Setup!$L$6:$L$23,18)))+(COUNTIF(O2275:Q2275,"?*")&lt;N(INDEX(Setup!$L$6:$L$23,18)))+(COUNTIF(S2275:U2275,"?*")&lt;N(INDEX(Setup!$L$6:$L$23,18)))+((W2275="")*(INDEX(Setup!$M$6:$M$23,18)="Y"))+((Y2275="")*(INDEX(Setup!$M$6:$M$23,18)="Y")))</f>
        <v/>
      </c>
      <c r="AC2275" s="91">
        <f>IF($B2275="","",IF(AB2275=0,"✓ covered","⚠ "&amp;AB2275&amp;IF(AB2275=1," gap"," gaps")))</f>
        <v/>
      </c>
    </row>
    <row r="2276" ht="18" customHeight="1">
      <c r="A2276" t="n">
        <v>46</v>
      </c>
      <c r="B2276" s="78" t="inlineStr">
        <is>
          <t>TEAM AVAILABILITY</t>
        </is>
      </c>
      <c r="C2276" s="92" t="inlineStr">
        <is>
          <t>Mon</t>
        </is>
      </c>
      <c r="D2276" s="93" t="n"/>
      <c r="E2276" s="93" t="n"/>
      <c r="F2276" s="94" t="n"/>
      <c r="G2276" s="92" t="inlineStr">
        <is>
          <t>Tue</t>
        </is>
      </c>
      <c r="H2276" s="93" t="n"/>
      <c r="I2276" s="93" t="n"/>
      <c r="J2276" s="94" t="n"/>
      <c r="K2276" s="92" t="inlineStr">
        <is>
          <t>Wed</t>
        </is>
      </c>
      <c r="L2276" s="93" t="n"/>
      <c r="M2276" s="93" t="n"/>
      <c r="N2276" s="94" t="n"/>
      <c r="O2276" s="92" t="inlineStr">
        <is>
          <t>Thu</t>
        </is>
      </c>
      <c r="P2276" s="93" t="n"/>
      <c r="Q2276" s="93" t="n"/>
      <c r="R2276" s="94" t="n"/>
      <c r="S2276" s="92" t="inlineStr">
        <is>
          <t>Fri</t>
        </is>
      </c>
      <c r="T2276" s="93" t="n"/>
      <c r="U2276" s="93" t="n"/>
      <c r="V2276" s="94" t="n"/>
      <c r="W2276" s="95" t="inlineStr">
        <is>
          <t>Sat</t>
        </is>
      </c>
      <c r="X2276" s="96" t="n"/>
      <c r="Y2276" s="95" t="inlineStr">
        <is>
          <t>Sun</t>
        </is>
      </c>
      <c r="Z2276" s="96" t="n"/>
      <c r="AB2276" s="97" t="inlineStr">
        <is>
          <t>Days rostered</t>
        </is>
      </c>
      <c r="AC2276" s="97" t="inlineStr">
        <is>
          <t>Conflicts</t>
        </is>
      </c>
    </row>
    <row r="2277" ht="15" customHeight="1">
      <c r="A2277" t="n">
        <v>46</v>
      </c>
      <c r="B2277" s="35">
        <f>IF(Setup!$B$6="","",Setup!$B$6)</f>
        <v/>
      </c>
      <c r="C2277" s="98" t="n"/>
      <c r="D2277" s="99" t="n"/>
      <c r="E2277" s="99" t="n"/>
      <c r="F2277" s="100" t="n"/>
      <c r="G2277" s="98" t="n"/>
      <c r="H2277" s="99" t="n"/>
      <c r="I2277" s="99" t="n"/>
      <c r="J2277" s="100" t="n"/>
      <c r="K2277" s="98" t="n"/>
      <c r="L2277" s="99" t="n"/>
      <c r="M2277" s="99" t="n"/>
      <c r="N2277" s="100" t="n"/>
      <c r="O2277" s="98" t="n"/>
      <c r="P2277" s="99" t="n"/>
      <c r="Q2277" s="99" t="n"/>
      <c r="R2277" s="100" t="n"/>
      <c r="S2277" s="98" t="n"/>
      <c r="T2277" s="99" t="n"/>
      <c r="U2277" s="99" t="n"/>
      <c r="V2277" s="100" t="n"/>
      <c r="W2277" s="98" t="n"/>
      <c r="X2277" s="100" t="n"/>
      <c r="Y2277" s="98" t="n"/>
      <c r="Z2277" s="100" t="n"/>
      <c r="AB2277" s="101">
        <f>IF($B2277="","",(COUNTIF(C2258:E2275,$B2277)+COUNTIF(C2258:E2275,$B2277&amp;" ~*")&gt;0)+(COUNTIF(G2258:I2275,$B2277)+COUNTIF(G2258:I2275,$B2277&amp;" ~*")&gt;0)+(COUNTIF(K2258:M2275,$B2277)+COUNTIF(K2258:M2275,$B2277&amp;" ~*")&gt;0)+(COUNTIF(O2258:Q2275,$B2277)+COUNTIF(O2258:Q2275,$B2277&amp;" ~*")&gt;0)+(COUNTIF(S2258:U2275,$B2277)+COUNTIF(S2258:U2275,$B2277&amp;" ~*")&gt;0)+(COUNTIF(W2258:W2275,$B2277)+COUNTIF(W2258:W2275,$B2277&amp;" ~*")&gt;0)+(COUNTIF(Y2258:Y2275,$B2277)+COUNTIF(Y2258:Y2275,$B2277&amp;" ~*")&gt;0))</f>
        <v/>
      </c>
      <c r="AC2277" s="36">
        <f>IF($B2277="","",(IFERROR(INDEX(Setup!$G$33:$G$40,MATCH(C2277,Setup!$B$33:$B$40,0)),0)=1)*(COUNTIF(C2258:E2275,$B2277)+COUNTIF(C2258:E2275,$B2277&amp;" ~*")&gt;0)+(IFERROR(INDEX(Setup!$G$33:$G$40,MATCH(G2277,Setup!$B$33:$B$40,0)),0)=1)*(COUNTIF(G2258:I2275,$B2277)+COUNTIF(G2258:I2275,$B2277&amp;" ~*")&gt;0)+(IFERROR(INDEX(Setup!$G$33:$G$40,MATCH(K2277,Setup!$B$33:$B$40,0)),0)=1)*(COUNTIF(K2258:M2275,$B2277)+COUNTIF(K2258:M2275,$B2277&amp;" ~*")&gt;0)+(IFERROR(INDEX(Setup!$G$33:$G$40,MATCH(O2277,Setup!$B$33:$B$40,0)),0)=1)*(COUNTIF(O2258:Q2275,$B2277)+COUNTIF(O2258:Q2275,$B2277&amp;" ~*")&gt;0)+(IFERROR(INDEX(Setup!$G$33:$G$40,MATCH(S2277,Setup!$B$33:$B$40,0)),0)=1)*(COUNTIF(S2258:U2275,$B2277)+COUNTIF(S2258:U2275,$B2277&amp;" ~*")&gt;0)+(IFERROR(INDEX(Setup!$G$33:$G$40,MATCH(W2277,Setup!$B$33:$B$40,0)),0)=1)*(COUNTIF(W2258:W2275,$B2277)+COUNTIF(W2258:W2275,$B2277&amp;" ~*")&gt;0)+(IFERROR(INDEX(Setup!$G$33:$G$40,MATCH(Y2277,Setup!$B$33:$B$40,0)),0)=1)*(COUNTIF(Y2258:Y2275,$B2277)+COUNTIF(Y2258:Y2275,$B2277&amp;" ~*")&gt;0))</f>
        <v/>
      </c>
    </row>
    <row r="2278" ht="15" customHeight="1">
      <c r="A2278" t="n">
        <v>46</v>
      </c>
      <c r="B2278" s="37">
        <f>IF(Setup!$B$7="","",Setup!$B$7)</f>
        <v/>
      </c>
      <c r="C2278" s="102" t="n"/>
      <c r="D2278" s="103" t="n"/>
      <c r="E2278" s="103" t="n"/>
      <c r="F2278" s="104" t="n"/>
      <c r="G2278" s="102" t="n"/>
      <c r="H2278" s="103" t="n"/>
      <c r="I2278" s="103" t="n"/>
      <c r="J2278" s="104" t="n"/>
      <c r="K2278" s="102" t="n"/>
      <c r="L2278" s="103" t="n"/>
      <c r="M2278" s="103" t="n"/>
      <c r="N2278" s="104" t="n"/>
      <c r="O2278" s="102" t="n"/>
      <c r="P2278" s="103" t="n"/>
      <c r="Q2278" s="103" t="n"/>
      <c r="R2278" s="104" t="n"/>
      <c r="S2278" s="102" t="n"/>
      <c r="T2278" s="103" t="n"/>
      <c r="U2278" s="103" t="n"/>
      <c r="V2278" s="104" t="n"/>
      <c r="W2278" s="102" t="n"/>
      <c r="X2278" s="104" t="n"/>
      <c r="Y2278" s="102" t="n"/>
      <c r="Z2278" s="104" t="n"/>
      <c r="AB2278" s="105">
        <f>IF($B2278="","",(COUNTIF(C2258:E2275,$B2278)+COUNTIF(C2258:E2275,$B2278&amp;" ~*")&gt;0)+(COUNTIF(G2258:I2275,$B2278)+COUNTIF(G2258:I2275,$B2278&amp;" ~*")&gt;0)+(COUNTIF(K2258:M2275,$B2278)+COUNTIF(K2258:M2275,$B2278&amp;" ~*")&gt;0)+(COUNTIF(O2258:Q2275,$B2278)+COUNTIF(O2258:Q2275,$B2278&amp;" ~*")&gt;0)+(COUNTIF(S2258:U2275,$B2278)+COUNTIF(S2258:U2275,$B2278&amp;" ~*")&gt;0)+(COUNTIF(W2258:W2275,$B2278)+COUNTIF(W2258:W2275,$B2278&amp;" ~*")&gt;0)+(COUNTIF(Y2258:Y2275,$B2278)+COUNTIF(Y2258:Y2275,$B2278&amp;" ~*")&gt;0))</f>
        <v/>
      </c>
      <c r="AC2278" s="38">
        <f>IF($B2278="","",(IFERROR(INDEX(Setup!$G$33:$G$40,MATCH(C2278,Setup!$B$33:$B$40,0)),0)=1)*(COUNTIF(C2258:E2275,$B2278)+COUNTIF(C2258:E2275,$B2278&amp;" ~*")&gt;0)+(IFERROR(INDEX(Setup!$G$33:$G$40,MATCH(G2278,Setup!$B$33:$B$40,0)),0)=1)*(COUNTIF(G2258:I2275,$B2278)+COUNTIF(G2258:I2275,$B2278&amp;" ~*")&gt;0)+(IFERROR(INDEX(Setup!$G$33:$G$40,MATCH(K2278,Setup!$B$33:$B$40,0)),0)=1)*(COUNTIF(K2258:M2275,$B2278)+COUNTIF(K2258:M2275,$B2278&amp;" ~*")&gt;0)+(IFERROR(INDEX(Setup!$G$33:$G$40,MATCH(O2278,Setup!$B$33:$B$40,0)),0)=1)*(COUNTIF(O2258:Q2275,$B2278)+COUNTIF(O2258:Q2275,$B2278&amp;" ~*")&gt;0)+(IFERROR(INDEX(Setup!$G$33:$G$40,MATCH(S2278,Setup!$B$33:$B$40,0)),0)=1)*(COUNTIF(S2258:U2275,$B2278)+COUNTIF(S2258:U2275,$B2278&amp;" ~*")&gt;0)+(IFERROR(INDEX(Setup!$G$33:$G$40,MATCH(W2278,Setup!$B$33:$B$40,0)),0)=1)*(COUNTIF(W2258:W2275,$B2278)+COUNTIF(W2258:W2275,$B2278&amp;" ~*")&gt;0)+(IFERROR(INDEX(Setup!$G$33:$G$40,MATCH(Y2278,Setup!$B$33:$B$40,0)),0)=1)*(COUNTIF(Y2258:Y2275,$B2278)+COUNTIF(Y2258:Y2275,$B2278&amp;" ~*")&gt;0))</f>
        <v/>
      </c>
    </row>
    <row r="2279" ht="15" customHeight="1">
      <c r="A2279" t="n">
        <v>46</v>
      </c>
      <c r="B2279" s="35">
        <f>IF(Setup!$B$8="","",Setup!$B$8)</f>
        <v/>
      </c>
      <c r="C2279" s="98" t="n"/>
      <c r="D2279" s="99" t="n"/>
      <c r="E2279" s="99" t="n"/>
      <c r="F2279" s="100" t="n"/>
      <c r="G2279" s="98" t="n"/>
      <c r="H2279" s="99" t="n"/>
      <c r="I2279" s="99" t="n"/>
      <c r="J2279" s="100" t="n"/>
      <c r="K2279" s="98" t="n"/>
      <c r="L2279" s="99" t="n"/>
      <c r="M2279" s="99" t="n"/>
      <c r="N2279" s="100" t="n"/>
      <c r="O2279" s="98" t="n"/>
      <c r="P2279" s="99" t="n"/>
      <c r="Q2279" s="99" t="n"/>
      <c r="R2279" s="100" t="n"/>
      <c r="S2279" s="98" t="n"/>
      <c r="T2279" s="99" t="n"/>
      <c r="U2279" s="99" t="n"/>
      <c r="V2279" s="100" t="n"/>
      <c r="W2279" s="98" t="n"/>
      <c r="X2279" s="100" t="n"/>
      <c r="Y2279" s="98" t="n"/>
      <c r="Z2279" s="100" t="n"/>
      <c r="AB2279" s="101">
        <f>IF($B2279="","",(COUNTIF(C2258:E2275,$B2279)+COUNTIF(C2258:E2275,$B2279&amp;" ~*")&gt;0)+(COUNTIF(G2258:I2275,$B2279)+COUNTIF(G2258:I2275,$B2279&amp;" ~*")&gt;0)+(COUNTIF(K2258:M2275,$B2279)+COUNTIF(K2258:M2275,$B2279&amp;" ~*")&gt;0)+(COUNTIF(O2258:Q2275,$B2279)+COUNTIF(O2258:Q2275,$B2279&amp;" ~*")&gt;0)+(COUNTIF(S2258:U2275,$B2279)+COUNTIF(S2258:U2275,$B2279&amp;" ~*")&gt;0)+(COUNTIF(W2258:W2275,$B2279)+COUNTIF(W2258:W2275,$B2279&amp;" ~*")&gt;0)+(COUNTIF(Y2258:Y2275,$B2279)+COUNTIF(Y2258:Y2275,$B2279&amp;" ~*")&gt;0))</f>
        <v/>
      </c>
      <c r="AC2279" s="36">
        <f>IF($B2279="","",(IFERROR(INDEX(Setup!$G$33:$G$40,MATCH(C2279,Setup!$B$33:$B$40,0)),0)=1)*(COUNTIF(C2258:E2275,$B2279)+COUNTIF(C2258:E2275,$B2279&amp;" ~*")&gt;0)+(IFERROR(INDEX(Setup!$G$33:$G$40,MATCH(G2279,Setup!$B$33:$B$40,0)),0)=1)*(COUNTIF(G2258:I2275,$B2279)+COUNTIF(G2258:I2275,$B2279&amp;" ~*")&gt;0)+(IFERROR(INDEX(Setup!$G$33:$G$40,MATCH(K2279,Setup!$B$33:$B$40,0)),0)=1)*(COUNTIF(K2258:M2275,$B2279)+COUNTIF(K2258:M2275,$B2279&amp;" ~*")&gt;0)+(IFERROR(INDEX(Setup!$G$33:$G$40,MATCH(O2279,Setup!$B$33:$B$40,0)),0)=1)*(COUNTIF(O2258:Q2275,$B2279)+COUNTIF(O2258:Q2275,$B2279&amp;" ~*")&gt;0)+(IFERROR(INDEX(Setup!$G$33:$G$40,MATCH(S2279,Setup!$B$33:$B$40,0)),0)=1)*(COUNTIF(S2258:U2275,$B2279)+COUNTIF(S2258:U2275,$B2279&amp;" ~*")&gt;0)+(IFERROR(INDEX(Setup!$G$33:$G$40,MATCH(W2279,Setup!$B$33:$B$40,0)),0)=1)*(COUNTIF(W2258:W2275,$B2279)+COUNTIF(W2258:W2275,$B2279&amp;" ~*")&gt;0)+(IFERROR(INDEX(Setup!$G$33:$G$40,MATCH(Y2279,Setup!$B$33:$B$40,0)),0)=1)*(COUNTIF(Y2258:Y2275,$B2279)+COUNTIF(Y2258:Y2275,$B2279&amp;" ~*")&gt;0))</f>
        <v/>
      </c>
    </row>
    <row r="2280" ht="15" customHeight="1">
      <c r="A2280" t="n">
        <v>46</v>
      </c>
      <c r="B2280" s="37">
        <f>IF(Setup!$B$9="","",Setup!$B$9)</f>
        <v/>
      </c>
      <c r="C2280" s="102" t="n"/>
      <c r="D2280" s="103" t="n"/>
      <c r="E2280" s="103" t="n"/>
      <c r="F2280" s="104" t="n"/>
      <c r="G2280" s="102" t="n"/>
      <c r="H2280" s="103" t="n"/>
      <c r="I2280" s="103" t="n"/>
      <c r="J2280" s="104" t="n"/>
      <c r="K2280" s="102" t="n"/>
      <c r="L2280" s="103" t="n"/>
      <c r="M2280" s="103" t="n"/>
      <c r="N2280" s="104" t="n"/>
      <c r="O2280" s="102" t="n"/>
      <c r="P2280" s="103" t="n"/>
      <c r="Q2280" s="103" t="n"/>
      <c r="R2280" s="104" t="n"/>
      <c r="S2280" s="102" t="n"/>
      <c r="T2280" s="103" t="n"/>
      <c r="U2280" s="103" t="n"/>
      <c r="V2280" s="104" t="n"/>
      <c r="W2280" s="102" t="n"/>
      <c r="X2280" s="104" t="n"/>
      <c r="Y2280" s="102" t="n"/>
      <c r="Z2280" s="104" t="n"/>
      <c r="AB2280" s="105">
        <f>IF($B2280="","",(COUNTIF(C2258:E2275,$B2280)+COUNTIF(C2258:E2275,$B2280&amp;" ~*")&gt;0)+(COUNTIF(G2258:I2275,$B2280)+COUNTIF(G2258:I2275,$B2280&amp;" ~*")&gt;0)+(COUNTIF(K2258:M2275,$B2280)+COUNTIF(K2258:M2275,$B2280&amp;" ~*")&gt;0)+(COUNTIF(O2258:Q2275,$B2280)+COUNTIF(O2258:Q2275,$B2280&amp;" ~*")&gt;0)+(COUNTIF(S2258:U2275,$B2280)+COUNTIF(S2258:U2275,$B2280&amp;" ~*")&gt;0)+(COUNTIF(W2258:W2275,$B2280)+COUNTIF(W2258:W2275,$B2280&amp;" ~*")&gt;0)+(COUNTIF(Y2258:Y2275,$B2280)+COUNTIF(Y2258:Y2275,$B2280&amp;" ~*")&gt;0))</f>
        <v/>
      </c>
      <c r="AC2280" s="38">
        <f>IF($B2280="","",(IFERROR(INDEX(Setup!$G$33:$G$40,MATCH(C2280,Setup!$B$33:$B$40,0)),0)=1)*(COUNTIF(C2258:E2275,$B2280)+COUNTIF(C2258:E2275,$B2280&amp;" ~*")&gt;0)+(IFERROR(INDEX(Setup!$G$33:$G$40,MATCH(G2280,Setup!$B$33:$B$40,0)),0)=1)*(COUNTIF(G2258:I2275,$B2280)+COUNTIF(G2258:I2275,$B2280&amp;" ~*")&gt;0)+(IFERROR(INDEX(Setup!$G$33:$G$40,MATCH(K2280,Setup!$B$33:$B$40,0)),0)=1)*(COUNTIF(K2258:M2275,$B2280)+COUNTIF(K2258:M2275,$B2280&amp;" ~*")&gt;0)+(IFERROR(INDEX(Setup!$G$33:$G$40,MATCH(O2280,Setup!$B$33:$B$40,0)),0)=1)*(COUNTIF(O2258:Q2275,$B2280)+COUNTIF(O2258:Q2275,$B2280&amp;" ~*")&gt;0)+(IFERROR(INDEX(Setup!$G$33:$G$40,MATCH(S2280,Setup!$B$33:$B$40,0)),0)=1)*(COUNTIF(S2258:U2275,$B2280)+COUNTIF(S2258:U2275,$B2280&amp;" ~*")&gt;0)+(IFERROR(INDEX(Setup!$G$33:$G$40,MATCH(W2280,Setup!$B$33:$B$40,0)),0)=1)*(COUNTIF(W2258:W2275,$B2280)+COUNTIF(W2258:W2275,$B2280&amp;" ~*")&gt;0)+(IFERROR(INDEX(Setup!$G$33:$G$40,MATCH(Y2280,Setup!$B$33:$B$40,0)),0)=1)*(COUNTIF(Y2258:Y2275,$B2280)+COUNTIF(Y2258:Y2275,$B2280&amp;" ~*")&gt;0))</f>
        <v/>
      </c>
    </row>
    <row r="2281" ht="15" customHeight="1">
      <c r="A2281" t="n">
        <v>46</v>
      </c>
      <c r="B2281" s="35">
        <f>IF(Setup!$B$10="","",Setup!$B$10)</f>
        <v/>
      </c>
      <c r="C2281" s="98" t="n"/>
      <c r="D2281" s="99" t="n"/>
      <c r="E2281" s="99" t="n"/>
      <c r="F2281" s="100" t="n"/>
      <c r="G2281" s="98" t="n"/>
      <c r="H2281" s="99" t="n"/>
      <c r="I2281" s="99" t="n"/>
      <c r="J2281" s="100" t="n"/>
      <c r="K2281" s="98" t="n"/>
      <c r="L2281" s="99" t="n"/>
      <c r="M2281" s="99" t="n"/>
      <c r="N2281" s="100" t="n"/>
      <c r="O2281" s="98" t="n"/>
      <c r="P2281" s="99" t="n"/>
      <c r="Q2281" s="99" t="n"/>
      <c r="R2281" s="100" t="n"/>
      <c r="S2281" s="98" t="n"/>
      <c r="T2281" s="99" t="n"/>
      <c r="U2281" s="99" t="n"/>
      <c r="V2281" s="100" t="n"/>
      <c r="W2281" s="98" t="n"/>
      <c r="X2281" s="100" t="n"/>
      <c r="Y2281" s="98" t="n"/>
      <c r="Z2281" s="100" t="n"/>
      <c r="AB2281" s="101">
        <f>IF($B2281="","",(COUNTIF(C2258:E2275,$B2281)+COUNTIF(C2258:E2275,$B2281&amp;" ~*")&gt;0)+(COUNTIF(G2258:I2275,$B2281)+COUNTIF(G2258:I2275,$B2281&amp;" ~*")&gt;0)+(COUNTIF(K2258:M2275,$B2281)+COUNTIF(K2258:M2275,$B2281&amp;" ~*")&gt;0)+(COUNTIF(O2258:Q2275,$B2281)+COUNTIF(O2258:Q2275,$B2281&amp;" ~*")&gt;0)+(COUNTIF(S2258:U2275,$B2281)+COUNTIF(S2258:U2275,$B2281&amp;" ~*")&gt;0)+(COUNTIF(W2258:W2275,$B2281)+COUNTIF(W2258:W2275,$B2281&amp;" ~*")&gt;0)+(COUNTIF(Y2258:Y2275,$B2281)+COUNTIF(Y2258:Y2275,$B2281&amp;" ~*")&gt;0))</f>
        <v/>
      </c>
      <c r="AC2281" s="36">
        <f>IF($B2281="","",(IFERROR(INDEX(Setup!$G$33:$G$40,MATCH(C2281,Setup!$B$33:$B$40,0)),0)=1)*(COUNTIF(C2258:E2275,$B2281)+COUNTIF(C2258:E2275,$B2281&amp;" ~*")&gt;0)+(IFERROR(INDEX(Setup!$G$33:$G$40,MATCH(G2281,Setup!$B$33:$B$40,0)),0)=1)*(COUNTIF(G2258:I2275,$B2281)+COUNTIF(G2258:I2275,$B2281&amp;" ~*")&gt;0)+(IFERROR(INDEX(Setup!$G$33:$G$40,MATCH(K2281,Setup!$B$33:$B$40,0)),0)=1)*(COUNTIF(K2258:M2275,$B2281)+COUNTIF(K2258:M2275,$B2281&amp;" ~*")&gt;0)+(IFERROR(INDEX(Setup!$G$33:$G$40,MATCH(O2281,Setup!$B$33:$B$40,0)),0)=1)*(COUNTIF(O2258:Q2275,$B2281)+COUNTIF(O2258:Q2275,$B2281&amp;" ~*")&gt;0)+(IFERROR(INDEX(Setup!$G$33:$G$40,MATCH(S2281,Setup!$B$33:$B$40,0)),0)=1)*(COUNTIF(S2258:U2275,$B2281)+COUNTIF(S2258:U2275,$B2281&amp;" ~*")&gt;0)+(IFERROR(INDEX(Setup!$G$33:$G$40,MATCH(W2281,Setup!$B$33:$B$40,0)),0)=1)*(COUNTIF(W2258:W2275,$B2281)+COUNTIF(W2258:W2275,$B2281&amp;" ~*")&gt;0)+(IFERROR(INDEX(Setup!$G$33:$G$40,MATCH(Y2281,Setup!$B$33:$B$40,0)),0)=1)*(COUNTIF(Y2258:Y2275,$B2281)+COUNTIF(Y2258:Y2275,$B2281&amp;" ~*")&gt;0))</f>
        <v/>
      </c>
    </row>
    <row r="2282" ht="15" customHeight="1">
      <c r="A2282" t="n">
        <v>46</v>
      </c>
      <c r="B2282" s="37">
        <f>IF(Setup!$B$11="","",Setup!$B$11)</f>
        <v/>
      </c>
      <c r="C2282" s="102" t="n"/>
      <c r="D2282" s="103" t="n"/>
      <c r="E2282" s="103" t="n"/>
      <c r="F2282" s="104" t="n"/>
      <c r="G2282" s="102" t="n"/>
      <c r="H2282" s="103" t="n"/>
      <c r="I2282" s="103" t="n"/>
      <c r="J2282" s="104" t="n"/>
      <c r="K2282" s="102" t="n"/>
      <c r="L2282" s="103" t="n"/>
      <c r="M2282" s="103" t="n"/>
      <c r="N2282" s="104" t="n"/>
      <c r="O2282" s="102" t="n"/>
      <c r="P2282" s="103" t="n"/>
      <c r="Q2282" s="103" t="n"/>
      <c r="R2282" s="104" t="n"/>
      <c r="S2282" s="102" t="n"/>
      <c r="T2282" s="103" t="n"/>
      <c r="U2282" s="103" t="n"/>
      <c r="V2282" s="104" t="n"/>
      <c r="W2282" s="102" t="n"/>
      <c r="X2282" s="104" t="n"/>
      <c r="Y2282" s="102" t="n"/>
      <c r="Z2282" s="104" t="n"/>
      <c r="AB2282" s="105">
        <f>IF($B2282="","",(COUNTIF(C2258:E2275,$B2282)+COUNTIF(C2258:E2275,$B2282&amp;" ~*")&gt;0)+(COUNTIF(G2258:I2275,$B2282)+COUNTIF(G2258:I2275,$B2282&amp;" ~*")&gt;0)+(COUNTIF(K2258:M2275,$B2282)+COUNTIF(K2258:M2275,$B2282&amp;" ~*")&gt;0)+(COUNTIF(O2258:Q2275,$B2282)+COUNTIF(O2258:Q2275,$B2282&amp;" ~*")&gt;0)+(COUNTIF(S2258:U2275,$B2282)+COUNTIF(S2258:U2275,$B2282&amp;" ~*")&gt;0)+(COUNTIF(W2258:W2275,$B2282)+COUNTIF(W2258:W2275,$B2282&amp;" ~*")&gt;0)+(COUNTIF(Y2258:Y2275,$B2282)+COUNTIF(Y2258:Y2275,$B2282&amp;" ~*")&gt;0))</f>
        <v/>
      </c>
      <c r="AC2282" s="38">
        <f>IF($B2282="","",(IFERROR(INDEX(Setup!$G$33:$G$40,MATCH(C2282,Setup!$B$33:$B$40,0)),0)=1)*(COUNTIF(C2258:E2275,$B2282)+COUNTIF(C2258:E2275,$B2282&amp;" ~*")&gt;0)+(IFERROR(INDEX(Setup!$G$33:$G$40,MATCH(G2282,Setup!$B$33:$B$40,0)),0)=1)*(COUNTIF(G2258:I2275,$B2282)+COUNTIF(G2258:I2275,$B2282&amp;" ~*")&gt;0)+(IFERROR(INDEX(Setup!$G$33:$G$40,MATCH(K2282,Setup!$B$33:$B$40,0)),0)=1)*(COUNTIF(K2258:M2275,$B2282)+COUNTIF(K2258:M2275,$B2282&amp;" ~*")&gt;0)+(IFERROR(INDEX(Setup!$G$33:$G$40,MATCH(O2282,Setup!$B$33:$B$40,0)),0)=1)*(COUNTIF(O2258:Q2275,$B2282)+COUNTIF(O2258:Q2275,$B2282&amp;" ~*")&gt;0)+(IFERROR(INDEX(Setup!$G$33:$G$40,MATCH(S2282,Setup!$B$33:$B$40,0)),0)=1)*(COUNTIF(S2258:U2275,$B2282)+COUNTIF(S2258:U2275,$B2282&amp;" ~*")&gt;0)+(IFERROR(INDEX(Setup!$G$33:$G$40,MATCH(W2282,Setup!$B$33:$B$40,0)),0)=1)*(COUNTIF(W2258:W2275,$B2282)+COUNTIF(W2258:W2275,$B2282&amp;" ~*")&gt;0)+(IFERROR(INDEX(Setup!$G$33:$G$40,MATCH(Y2282,Setup!$B$33:$B$40,0)),0)=1)*(COUNTIF(Y2258:Y2275,$B2282)+COUNTIF(Y2258:Y2275,$B2282&amp;" ~*")&gt;0))</f>
        <v/>
      </c>
    </row>
    <row r="2283" ht="15" customHeight="1">
      <c r="A2283" t="n">
        <v>46</v>
      </c>
      <c r="B2283" s="35">
        <f>IF(Setup!$B$12="","",Setup!$B$12)</f>
        <v/>
      </c>
      <c r="C2283" s="98" t="n"/>
      <c r="D2283" s="99" t="n"/>
      <c r="E2283" s="99" t="n"/>
      <c r="F2283" s="100" t="n"/>
      <c r="G2283" s="98" t="n"/>
      <c r="H2283" s="99" t="n"/>
      <c r="I2283" s="99" t="n"/>
      <c r="J2283" s="100" t="n"/>
      <c r="K2283" s="98" t="n"/>
      <c r="L2283" s="99" t="n"/>
      <c r="M2283" s="99" t="n"/>
      <c r="N2283" s="100" t="n"/>
      <c r="O2283" s="98" t="n"/>
      <c r="P2283" s="99" t="n"/>
      <c r="Q2283" s="99" t="n"/>
      <c r="R2283" s="100" t="n"/>
      <c r="S2283" s="98" t="n"/>
      <c r="T2283" s="99" t="n"/>
      <c r="U2283" s="99" t="n"/>
      <c r="V2283" s="100" t="n"/>
      <c r="W2283" s="98" t="n"/>
      <c r="X2283" s="100" t="n"/>
      <c r="Y2283" s="98" t="n"/>
      <c r="Z2283" s="100" t="n"/>
      <c r="AB2283" s="101">
        <f>IF($B2283="","",(COUNTIF(C2258:E2275,$B2283)+COUNTIF(C2258:E2275,$B2283&amp;" ~*")&gt;0)+(COUNTIF(G2258:I2275,$B2283)+COUNTIF(G2258:I2275,$B2283&amp;" ~*")&gt;0)+(COUNTIF(K2258:M2275,$B2283)+COUNTIF(K2258:M2275,$B2283&amp;" ~*")&gt;0)+(COUNTIF(O2258:Q2275,$B2283)+COUNTIF(O2258:Q2275,$B2283&amp;" ~*")&gt;0)+(COUNTIF(S2258:U2275,$B2283)+COUNTIF(S2258:U2275,$B2283&amp;" ~*")&gt;0)+(COUNTIF(W2258:W2275,$B2283)+COUNTIF(W2258:W2275,$B2283&amp;" ~*")&gt;0)+(COUNTIF(Y2258:Y2275,$B2283)+COUNTIF(Y2258:Y2275,$B2283&amp;" ~*")&gt;0))</f>
        <v/>
      </c>
      <c r="AC2283" s="36">
        <f>IF($B2283="","",(IFERROR(INDEX(Setup!$G$33:$G$40,MATCH(C2283,Setup!$B$33:$B$40,0)),0)=1)*(COUNTIF(C2258:E2275,$B2283)+COUNTIF(C2258:E2275,$B2283&amp;" ~*")&gt;0)+(IFERROR(INDEX(Setup!$G$33:$G$40,MATCH(G2283,Setup!$B$33:$B$40,0)),0)=1)*(COUNTIF(G2258:I2275,$B2283)+COUNTIF(G2258:I2275,$B2283&amp;" ~*")&gt;0)+(IFERROR(INDEX(Setup!$G$33:$G$40,MATCH(K2283,Setup!$B$33:$B$40,0)),0)=1)*(COUNTIF(K2258:M2275,$B2283)+COUNTIF(K2258:M2275,$B2283&amp;" ~*")&gt;0)+(IFERROR(INDEX(Setup!$G$33:$G$40,MATCH(O2283,Setup!$B$33:$B$40,0)),0)=1)*(COUNTIF(O2258:Q2275,$B2283)+COUNTIF(O2258:Q2275,$B2283&amp;" ~*")&gt;0)+(IFERROR(INDEX(Setup!$G$33:$G$40,MATCH(S2283,Setup!$B$33:$B$40,0)),0)=1)*(COUNTIF(S2258:U2275,$B2283)+COUNTIF(S2258:U2275,$B2283&amp;" ~*")&gt;0)+(IFERROR(INDEX(Setup!$G$33:$G$40,MATCH(W2283,Setup!$B$33:$B$40,0)),0)=1)*(COUNTIF(W2258:W2275,$B2283)+COUNTIF(W2258:W2275,$B2283&amp;" ~*")&gt;0)+(IFERROR(INDEX(Setup!$G$33:$G$40,MATCH(Y2283,Setup!$B$33:$B$40,0)),0)=1)*(COUNTIF(Y2258:Y2275,$B2283)+COUNTIF(Y2258:Y2275,$B2283&amp;" ~*")&gt;0))</f>
        <v/>
      </c>
    </row>
    <row r="2284" ht="15" customHeight="1">
      <c r="A2284" t="n">
        <v>46</v>
      </c>
      <c r="B2284" s="37">
        <f>IF(Setup!$B$13="","",Setup!$B$13)</f>
        <v/>
      </c>
      <c r="C2284" s="102" t="inlineStr">
        <is>
          <t>AL</t>
        </is>
      </c>
      <c r="D2284" s="103" t="n"/>
      <c r="E2284" s="103" t="n"/>
      <c r="F2284" s="104" t="n"/>
      <c r="G2284" s="102" t="inlineStr">
        <is>
          <t>AL</t>
        </is>
      </c>
      <c r="H2284" s="103" t="n"/>
      <c r="I2284" s="103" t="n"/>
      <c r="J2284" s="104" t="n"/>
      <c r="K2284" s="102" t="inlineStr">
        <is>
          <t>AL</t>
        </is>
      </c>
      <c r="L2284" s="103" t="n"/>
      <c r="M2284" s="103" t="n"/>
      <c r="N2284" s="104" t="n"/>
      <c r="O2284" s="102" t="inlineStr">
        <is>
          <t>AL</t>
        </is>
      </c>
      <c r="P2284" s="103" t="n"/>
      <c r="Q2284" s="103" t="n"/>
      <c r="R2284" s="104" t="n"/>
      <c r="S2284" s="102" t="inlineStr">
        <is>
          <t>AL</t>
        </is>
      </c>
      <c r="T2284" s="103" t="n"/>
      <c r="U2284" s="103" t="n"/>
      <c r="V2284" s="104" t="n"/>
      <c r="W2284" s="102" t="n"/>
      <c r="X2284" s="104" t="n"/>
      <c r="Y2284" s="102" t="n"/>
      <c r="Z2284" s="104" t="n"/>
      <c r="AB2284" s="105">
        <f>IF($B2284="","",(COUNTIF(C2258:E2275,$B2284)+COUNTIF(C2258:E2275,$B2284&amp;" ~*")&gt;0)+(COUNTIF(G2258:I2275,$B2284)+COUNTIF(G2258:I2275,$B2284&amp;" ~*")&gt;0)+(COUNTIF(K2258:M2275,$B2284)+COUNTIF(K2258:M2275,$B2284&amp;" ~*")&gt;0)+(COUNTIF(O2258:Q2275,$B2284)+COUNTIF(O2258:Q2275,$B2284&amp;" ~*")&gt;0)+(COUNTIF(S2258:U2275,$B2284)+COUNTIF(S2258:U2275,$B2284&amp;" ~*")&gt;0)+(COUNTIF(W2258:W2275,$B2284)+COUNTIF(W2258:W2275,$B2284&amp;" ~*")&gt;0)+(COUNTIF(Y2258:Y2275,$B2284)+COUNTIF(Y2258:Y2275,$B2284&amp;" ~*")&gt;0))</f>
        <v/>
      </c>
      <c r="AC2284" s="38">
        <f>IF($B2284="","",(IFERROR(INDEX(Setup!$G$33:$G$40,MATCH(C2284,Setup!$B$33:$B$40,0)),0)=1)*(COUNTIF(C2258:E2275,$B2284)+COUNTIF(C2258:E2275,$B2284&amp;" ~*")&gt;0)+(IFERROR(INDEX(Setup!$G$33:$G$40,MATCH(G2284,Setup!$B$33:$B$40,0)),0)=1)*(COUNTIF(G2258:I2275,$B2284)+COUNTIF(G2258:I2275,$B2284&amp;" ~*")&gt;0)+(IFERROR(INDEX(Setup!$G$33:$G$40,MATCH(K2284,Setup!$B$33:$B$40,0)),0)=1)*(COUNTIF(K2258:M2275,$B2284)+COUNTIF(K2258:M2275,$B2284&amp;" ~*")&gt;0)+(IFERROR(INDEX(Setup!$G$33:$G$40,MATCH(O2284,Setup!$B$33:$B$40,0)),0)=1)*(COUNTIF(O2258:Q2275,$B2284)+COUNTIF(O2258:Q2275,$B2284&amp;" ~*")&gt;0)+(IFERROR(INDEX(Setup!$G$33:$G$40,MATCH(S2284,Setup!$B$33:$B$40,0)),0)=1)*(COUNTIF(S2258:U2275,$B2284)+COUNTIF(S2258:U2275,$B2284&amp;" ~*")&gt;0)+(IFERROR(INDEX(Setup!$G$33:$G$40,MATCH(W2284,Setup!$B$33:$B$40,0)),0)=1)*(COUNTIF(W2258:W2275,$B2284)+COUNTIF(W2258:W2275,$B2284&amp;" ~*")&gt;0)+(IFERROR(INDEX(Setup!$G$33:$G$40,MATCH(Y2284,Setup!$B$33:$B$40,0)),0)=1)*(COUNTIF(Y2258:Y2275,$B2284)+COUNTIF(Y2258:Y2275,$B2284&amp;" ~*")&gt;0))</f>
        <v/>
      </c>
    </row>
    <row r="2285" ht="15" customHeight="1">
      <c r="A2285" t="n">
        <v>46</v>
      </c>
      <c r="B2285" s="35">
        <f>IF(Setup!$B$14="","",Setup!$B$14)</f>
        <v/>
      </c>
      <c r="C2285" s="98" t="n"/>
      <c r="D2285" s="99" t="n"/>
      <c r="E2285" s="99" t="n"/>
      <c r="F2285" s="100" t="n"/>
      <c r="G2285" s="98" t="n"/>
      <c r="H2285" s="99" t="n"/>
      <c r="I2285" s="99" t="n"/>
      <c r="J2285" s="100" t="n"/>
      <c r="K2285" s="98" t="n"/>
      <c r="L2285" s="99" t="n"/>
      <c r="M2285" s="99" t="n"/>
      <c r="N2285" s="100" t="n"/>
      <c r="O2285" s="98" t="n"/>
      <c r="P2285" s="99" t="n"/>
      <c r="Q2285" s="99" t="n"/>
      <c r="R2285" s="100" t="n"/>
      <c r="S2285" s="98" t="n"/>
      <c r="T2285" s="99" t="n"/>
      <c r="U2285" s="99" t="n"/>
      <c r="V2285" s="100" t="n"/>
      <c r="W2285" s="98" t="n"/>
      <c r="X2285" s="100" t="n"/>
      <c r="Y2285" s="98" t="n"/>
      <c r="Z2285" s="100" t="n"/>
      <c r="AB2285" s="101">
        <f>IF($B2285="","",(COUNTIF(C2258:E2275,$B2285)+COUNTIF(C2258:E2275,$B2285&amp;" ~*")&gt;0)+(COUNTIF(G2258:I2275,$B2285)+COUNTIF(G2258:I2275,$B2285&amp;" ~*")&gt;0)+(COUNTIF(K2258:M2275,$B2285)+COUNTIF(K2258:M2275,$B2285&amp;" ~*")&gt;0)+(COUNTIF(O2258:Q2275,$B2285)+COUNTIF(O2258:Q2275,$B2285&amp;" ~*")&gt;0)+(COUNTIF(S2258:U2275,$B2285)+COUNTIF(S2258:U2275,$B2285&amp;" ~*")&gt;0)+(COUNTIF(W2258:W2275,$B2285)+COUNTIF(W2258:W2275,$B2285&amp;" ~*")&gt;0)+(COUNTIF(Y2258:Y2275,$B2285)+COUNTIF(Y2258:Y2275,$B2285&amp;" ~*")&gt;0))</f>
        <v/>
      </c>
      <c r="AC2285" s="36">
        <f>IF($B2285="","",(IFERROR(INDEX(Setup!$G$33:$G$40,MATCH(C2285,Setup!$B$33:$B$40,0)),0)=1)*(COUNTIF(C2258:E2275,$B2285)+COUNTIF(C2258:E2275,$B2285&amp;" ~*")&gt;0)+(IFERROR(INDEX(Setup!$G$33:$G$40,MATCH(G2285,Setup!$B$33:$B$40,0)),0)=1)*(COUNTIF(G2258:I2275,$B2285)+COUNTIF(G2258:I2275,$B2285&amp;" ~*")&gt;0)+(IFERROR(INDEX(Setup!$G$33:$G$40,MATCH(K2285,Setup!$B$33:$B$40,0)),0)=1)*(COUNTIF(K2258:M2275,$B2285)+COUNTIF(K2258:M2275,$B2285&amp;" ~*")&gt;0)+(IFERROR(INDEX(Setup!$G$33:$G$40,MATCH(O2285,Setup!$B$33:$B$40,0)),0)=1)*(COUNTIF(O2258:Q2275,$B2285)+COUNTIF(O2258:Q2275,$B2285&amp;" ~*")&gt;0)+(IFERROR(INDEX(Setup!$G$33:$G$40,MATCH(S2285,Setup!$B$33:$B$40,0)),0)=1)*(COUNTIF(S2258:U2275,$B2285)+COUNTIF(S2258:U2275,$B2285&amp;" ~*")&gt;0)+(IFERROR(INDEX(Setup!$G$33:$G$40,MATCH(W2285,Setup!$B$33:$B$40,0)),0)=1)*(COUNTIF(W2258:W2275,$B2285)+COUNTIF(W2258:W2275,$B2285&amp;" ~*")&gt;0)+(IFERROR(INDEX(Setup!$G$33:$G$40,MATCH(Y2285,Setup!$B$33:$B$40,0)),0)=1)*(COUNTIF(Y2258:Y2275,$B2285)+COUNTIF(Y2258:Y2275,$B2285&amp;" ~*")&gt;0))</f>
        <v/>
      </c>
    </row>
    <row r="2286" ht="15" customHeight="1">
      <c r="A2286" t="n">
        <v>46</v>
      </c>
      <c r="B2286" s="37">
        <f>IF(Setup!$B$15="","",Setup!$B$15)</f>
        <v/>
      </c>
      <c r="C2286" s="102" t="n"/>
      <c r="D2286" s="103" t="n"/>
      <c r="E2286" s="103" t="n"/>
      <c r="F2286" s="104" t="n"/>
      <c r="G2286" s="102" t="n"/>
      <c r="H2286" s="103" t="n"/>
      <c r="I2286" s="103" t="n"/>
      <c r="J2286" s="104" t="n"/>
      <c r="K2286" s="102" t="n"/>
      <c r="L2286" s="103" t="n"/>
      <c r="M2286" s="103" t="n"/>
      <c r="N2286" s="104" t="n"/>
      <c r="O2286" s="102" t="n"/>
      <c r="P2286" s="103" t="n"/>
      <c r="Q2286" s="103" t="n"/>
      <c r="R2286" s="104" t="n"/>
      <c r="S2286" s="102" t="n"/>
      <c r="T2286" s="103" t="n"/>
      <c r="U2286" s="103" t="n"/>
      <c r="V2286" s="104" t="n"/>
      <c r="W2286" s="102" t="n"/>
      <c r="X2286" s="104" t="n"/>
      <c r="Y2286" s="102" t="n"/>
      <c r="Z2286" s="104" t="n"/>
      <c r="AB2286" s="105">
        <f>IF($B2286="","",(COUNTIF(C2258:E2275,$B2286)+COUNTIF(C2258:E2275,$B2286&amp;" ~*")&gt;0)+(COUNTIF(G2258:I2275,$B2286)+COUNTIF(G2258:I2275,$B2286&amp;" ~*")&gt;0)+(COUNTIF(K2258:M2275,$B2286)+COUNTIF(K2258:M2275,$B2286&amp;" ~*")&gt;0)+(COUNTIF(O2258:Q2275,$B2286)+COUNTIF(O2258:Q2275,$B2286&amp;" ~*")&gt;0)+(COUNTIF(S2258:U2275,$B2286)+COUNTIF(S2258:U2275,$B2286&amp;" ~*")&gt;0)+(COUNTIF(W2258:W2275,$B2286)+COUNTIF(W2258:W2275,$B2286&amp;" ~*")&gt;0)+(COUNTIF(Y2258:Y2275,$B2286)+COUNTIF(Y2258:Y2275,$B2286&amp;" ~*")&gt;0))</f>
        <v/>
      </c>
      <c r="AC2286" s="38">
        <f>IF($B2286="","",(IFERROR(INDEX(Setup!$G$33:$G$40,MATCH(C2286,Setup!$B$33:$B$40,0)),0)=1)*(COUNTIF(C2258:E2275,$B2286)+COUNTIF(C2258:E2275,$B2286&amp;" ~*")&gt;0)+(IFERROR(INDEX(Setup!$G$33:$G$40,MATCH(G2286,Setup!$B$33:$B$40,0)),0)=1)*(COUNTIF(G2258:I2275,$B2286)+COUNTIF(G2258:I2275,$B2286&amp;" ~*")&gt;0)+(IFERROR(INDEX(Setup!$G$33:$G$40,MATCH(K2286,Setup!$B$33:$B$40,0)),0)=1)*(COUNTIF(K2258:M2275,$B2286)+COUNTIF(K2258:M2275,$B2286&amp;" ~*")&gt;0)+(IFERROR(INDEX(Setup!$G$33:$G$40,MATCH(O2286,Setup!$B$33:$B$40,0)),0)=1)*(COUNTIF(O2258:Q2275,$B2286)+COUNTIF(O2258:Q2275,$B2286&amp;" ~*")&gt;0)+(IFERROR(INDEX(Setup!$G$33:$G$40,MATCH(S2286,Setup!$B$33:$B$40,0)),0)=1)*(COUNTIF(S2258:U2275,$B2286)+COUNTIF(S2258:U2275,$B2286&amp;" ~*")&gt;0)+(IFERROR(INDEX(Setup!$G$33:$G$40,MATCH(W2286,Setup!$B$33:$B$40,0)),0)=1)*(COUNTIF(W2258:W2275,$B2286)+COUNTIF(W2258:W2275,$B2286&amp;" ~*")&gt;0)+(IFERROR(INDEX(Setup!$G$33:$G$40,MATCH(Y2286,Setup!$B$33:$B$40,0)),0)=1)*(COUNTIF(Y2258:Y2275,$B2286)+COUNTIF(Y2258:Y2275,$B2286&amp;" ~*")&gt;0))</f>
        <v/>
      </c>
    </row>
    <row r="2287" ht="15" customHeight="1">
      <c r="A2287" t="n">
        <v>46</v>
      </c>
      <c r="B2287" s="35">
        <f>IF(Setup!$B$16="","",Setup!$B$16)</f>
        <v/>
      </c>
      <c r="C2287" s="98" t="n"/>
      <c r="D2287" s="99" t="n"/>
      <c r="E2287" s="99" t="n"/>
      <c r="F2287" s="100" t="n"/>
      <c r="G2287" s="98" t="n"/>
      <c r="H2287" s="99" t="n"/>
      <c r="I2287" s="99" t="n"/>
      <c r="J2287" s="100" t="n"/>
      <c r="K2287" s="98" t="n"/>
      <c r="L2287" s="99" t="n"/>
      <c r="M2287" s="99" t="n"/>
      <c r="N2287" s="100" t="n"/>
      <c r="O2287" s="98" t="n"/>
      <c r="P2287" s="99" t="n"/>
      <c r="Q2287" s="99" t="n"/>
      <c r="R2287" s="100" t="n"/>
      <c r="S2287" s="98" t="n"/>
      <c r="T2287" s="99" t="n"/>
      <c r="U2287" s="99" t="n"/>
      <c r="V2287" s="100" t="n"/>
      <c r="W2287" s="98" t="n"/>
      <c r="X2287" s="100" t="n"/>
      <c r="Y2287" s="98" t="n"/>
      <c r="Z2287" s="100" t="n"/>
      <c r="AB2287" s="101">
        <f>IF($B2287="","",(COUNTIF(C2258:E2275,$B2287)+COUNTIF(C2258:E2275,$B2287&amp;" ~*")&gt;0)+(COUNTIF(G2258:I2275,$B2287)+COUNTIF(G2258:I2275,$B2287&amp;" ~*")&gt;0)+(COUNTIF(K2258:M2275,$B2287)+COUNTIF(K2258:M2275,$B2287&amp;" ~*")&gt;0)+(COUNTIF(O2258:Q2275,$B2287)+COUNTIF(O2258:Q2275,$B2287&amp;" ~*")&gt;0)+(COUNTIF(S2258:U2275,$B2287)+COUNTIF(S2258:U2275,$B2287&amp;" ~*")&gt;0)+(COUNTIF(W2258:W2275,$B2287)+COUNTIF(W2258:W2275,$B2287&amp;" ~*")&gt;0)+(COUNTIF(Y2258:Y2275,$B2287)+COUNTIF(Y2258:Y2275,$B2287&amp;" ~*")&gt;0))</f>
        <v/>
      </c>
      <c r="AC2287" s="36">
        <f>IF($B2287="","",(IFERROR(INDEX(Setup!$G$33:$G$40,MATCH(C2287,Setup!$B$33:$B$40,0)),0)=1)*(COUNTIF(C2258:E2275,$B2287)+COUNTIF(C2258:E2275,$B2287&amp;" ~*")&gt;0)+(IFERROR(INDEX(Setup!$G$33:$G$40,MATCH(G2287,Setup!$B$33:$B$40,0)),0)=1)*(COUNTIF(G2258:I2275,$B2287)+COUNTIF(G2258:I2275,$B2287&amp;" ~*")&gt;0)+(IFERROR(INDEX(Setup!$G$33:$G$40,MATCH(K2287,Setup!$B$33:$B$40,0)),0)=1)*(COUNTIF(K2258:M2275,$B2287)+COUNTIF(K2258:M2275,$B2287&amp;" ~*")&gt;0)+(IFERROR(INDEX(Setup!$G$33:$G$40,MATCH(O2287,Setup!$B$33:$B$40,0)),0)=1)*(COUNTIF(O2258:Q2275,$B2287)+COUNTIF(O2258:Q2275,$B2287&amp;" ~*")&gt;0)+(IFERROR(INDEX(Setup!$G$33:$G$40,MATCH(S2287,Setup!$B$33:$B$40,0)),0)=1)*(COUNTIF(S2258:U2275,$B2287)+COUNTIF(S2258:U2275,$B2287&amp;" ~*")&gt;0)+(IFERROR(INDEX(Setup!$G$33:$G$40,MATCH(W2287,Setup!$B$33:$B$40,0)),0)=1)*(COUNTIF(W2258:W2275,$B2287)+COUNTIF(W2258:W2275,$B2287&amp;" ~*")&gt;0)+(IFERROR(INDEX(Setup!$G$33:$G$40,MATCH(Y2287,Setup!$B$33:$B$40,0)),0)=1)*(COUNTIF(Y2258:Y2275,$B2287)+COUNTIF(Y2258:Y2275,$B2287&amp;" ~*")&gt;0))</f>
        <v/>
      </c>
    </row>
    <row r="2288" ht="15" customHeight="1">
      <c r="A2288" t="n">
        <v>46</v>
      </c>
      <c r="B2288" s="37">
        <f>IF(Setup!$B$17="","",Setup!$B$17)</f>
        <v/>
      </c>
      <c r="C2288" s="102" t="n"/>
      <c r="D2288" s="103" t="n"/>
      <c r="E2288" s="103" t="n"/>
      <c r="F2288" s="104" t="n"/>
      <c r="G2288" s="102" t="n"/>
      <c r="H2288" s="103" t="n"/>
      <c r="I2288" s="103" t="n"/>
      <c r="J2288" s="104" t="n"/>
      <c r="K2288" s="102" t="n"/>
      <c r="L2288" s="103" t="n"/>
      <c r="M2288" s="103" t="n"/>
      <c r="N2288" s="104" t="n"/>
      <c r="O2288" s="102" t="n"/>
      <c r="P2288" s="103" t="n"/>
      <c r="Q2288" s="103" t="n"/>
      <c r="R2288" s="104" t="n"/>
      <c r="S2288" s="102" t="n"/>
      <c r="T2288" s="103" t="n"/>
      <c r="U2288" s="103" t="n"/>
      <c r="V2288" s="104" t="n"/>
      <c r="W2288" s="102" t="n"/>
      <c r="X2288" s="104" t="n"/>
      <c r="Y2288" s="102" t="n"/>
      <c r="Z2288" s="104" t="n"/>
      <c r="AB2288" s="105">
        <f>IF($B2288="","",(COUNTIF(C2258:E2275,$B2288)+COUNTIF(C2258:E2275,$B2288&amp;" ~*")&gt;0)+(COUNTIF(G2258:I2275,$B2288)+COUNTIF(G2258:I2275,$B2288&amp;" ~*")&gt;0)+(COUNTIF(K2258:M2275,$B2288)+COUNTIF(K2258:M2275,$B2288&amp;" ~*")&gt;0)+(COUNTIF(O2258:Q2275,$B2288)+COUNTIF(O2258:Q2275,$B2288&amp;" ~*")&gt;0)+(COUNTIF(S2258:U2275,$B2288)+COUNTIF(S2258:U2275,$B2288&amp;" ~*")&gt;0)+(COUNTIF(W2258:W2275,$B2288)+COUNTIF(W2258:W2275,$B2288&amp;" ~*")&gt;0)+(COUNTIF(Y2258:Y2275,$B2288)+COUNTIF(Y2258:Y2275,$B2288&amp;" ~*")&gt;0))</f>
        <v/>
      </c>
      <c r="AC2288" s="38">
        <f>IF($B2288="","",(IFERROR(INDEX(Setup!$G$33:$G$40,MATCH(C2288,Setup!$B$33:$B$40,0)),0)=1)*(COUNTIF(C2258:E2275,$B2288)+COUNTIF(C2258:E2275,$B2288&amp;" ~*")&gt;0)+(IFERROR(INDEX(Setup!$G$33:$G$40,MATCH(G2288,Setup!$B$33:$B$40,0)),0)=1)*(COUNTIF(G2258:I2275,$B2288)+COUNTIF(G2258:I2275,$B2288&amp;" ~*")&gt;0)+(IFERROR(INDEX(Setup!$G$33:$G$40,MATCH(K2288,Setup!$B$33:$B$40,0)),0)=1)*(COUNTIF(K2258:M2275,$B2288)+COUNTIF(K2258:M2275,$B2288&amp;" ~*")&gt;0)+(IFERROR(INDEX(Setup!$G$33:$G$40,MATCH(O2288,Setup!$B$33:$B$40,0)),0)=1)*(COUNTIF(O2258:Q2275,$B2288)+COUNTIF(O2258:Q2275,$B2288&amp;" ~*")&gt;0)+(IFERROR(INDEX(Setup!$G$33:$G$40,MATCH(S2288,Setup!$B$33:$B$40,0)),0)=1)*(COUNTIF(S2258:U2275,$B2288)+COUNTIF(S2258:U2275,$B2288&amp;" ~*")&gt;0)+(IFERROR(INDEX(Setup!$G$33:$G$40,MATCH(W2288,Setup!$B$33:$B$40,0)),0)=1)*(COUNTIF(W2258:W2275,$B2288)+COUNTIF(W2258:W2275,$B2288&amp;" ~*")&gt;0)+(IFERROR(INDEX(Setup!$G$33:$G$40,MATCH(Y2288,Setup!$B$33:$B$40,0)),0)=1)*(COUNTIF(Y2258:Y2275,$B2288)+COUNTIF(Y2258:Y2275,$B2288&amp;" ~*")&gt;0))</f>
        <v/>
      </c>
    </row>
    <row r="2289" ht="15" customHeight="1">
      <c r="A2289" t="n">
        <v>46</v>
      </c>
      <c r="B2289" s="35">
        <f>IF(Setup!$B$18="","",Setup!$B$18)</f>
        <v/>
      </c>
      <c r="C2289" s="98" t="n"/>
      <c r="D2289" s="99" t="n"/>
      <c r="E2289" s="99" t="n"/>
      <c r="F2289" s="100" t="n"/>
      <c r="G2289" s="98" t="n"/>
      <c r="H2289" s="99" t="n"/>
      <c r="I2289" s="99" t="n"/>
      <c r="J2289" s="100" t="n"/>
      <c r="K2289" s="98" t="n"/>
      <c r="L2289" s="99" t="n"/>
      <c r="M2289" s="99" t="n"/>
      <c r="N2289" s="100" t="n"/>
      <c r="O2289" s="98" t="n"/>
      <c r="P2289" s="99" t="n"/>
      <c r="Q2289" s="99" t="n"/>
      <c r="R2289" s="100" t="n"/>
      <c r="S2289" s="98" t="n"/>
      <c r="T2289" s="99" t="n"/>
      <c r="U2289" s="99" t="n"/>
      <c r="V2289" s="100" t="n"/>
      <c r="W2289" s="98" t="n"/>
      <c r="X2289" s="100" t="n"/>
      <c r="Y2289" s="98" t="n"/>
      <c r="Z2289" s="100" t="n"/>
      <c r="AB2289" s="101">
        <f>IF($B2289="","",(COUNTIF(C2258:E2275,$B2289)+COUNTIF(C2258:E2275,$B2289&amp;" ~*")&gt;0)+(COUNTIF(G2258:I2275,$B2289)+COUNTIF(G2258:I2275,$B2289&amp;" ~*")&gt;0)+(COUNTIF(K2258:M2275,$B2289)+COUNTIF(K2258:M2275,$B2289&amp;" ~*")&gt;0)+(COUNTIF(O2258:Q2275,$B2289)+COUNTIF(O2258:Q2275,$B2289&amp;" ~*")&gt;0)+(COUNTIF(S2258:U2275,$B2289)+COUNTIF(S2258:U2275,$B2289&amp;" ~*")&gt;0)+(COUNTIF(W2258:W2275,$B2289)+COUNTIF(W2258:W2275,$B2289&amp;" ~*")&gt;0)+(COUNTIF(Y2258:Y2275,$B2289)+COUNTIF(Y2258:Y2275,$B2289&amp;" ~*")&gt;0))</f>
        <v/>
      </c>
      <c r="AC2289" s="36">
        <f>IF($B2289="","",(IFERROR(INDEX(Setup!$G$33:$G$40,MATCH(C2289,Setup!$B$33:$B$40,0)),0)=1)*(COUNTIF(C2258:E2275,$B2289)+COUNTIF(C2258:E2275,$B2289&amp;" ~*")&gt;0)+(IFERROR(INDEX(Setup!$G$33:$G$40,MATCH(G2289,Setup!$B$33:$B$40,0)),0)=1)*(COUNTIF(G2258:I2275,$B2289)+COUNTIF(G2258:I2275,$B2289&amp;" ~*")&gt;0)+(IFERROR(INDEX(Setup!$G$33:$G$40,MATCH(K2289,Setup!$B$33:$B$40,0)),0)=1)*(COUNTIF(K2258:M2275,$B2289)+COUNTIF(K2258:M2275,$B2289&amp;" ~*")&gt;0)+(IFERROR(INDEX(Setup!$G$33:$G$40,MATCH(O2289,Setup!$B$33:$B$40,0)),0)=1)*(COUNTIF(O2258:Q2275,$B2289)+COUNTIF(O2258:Q2275,$B2289&amp;" ~*")&gt;0)+(IFERROR(INDEX(Setup!$G$33:$G$40,MATCH(S2289,Setup!$B$33:$B$40,0)),0)=1)*(COUNTIF(S2258:U2275,$B2289)+COUNTIF(S2258:U2275,$B2289&amp;" ~*")&gt;0)+(IFERROR(INDEX(Setup!$G$33:$G$40,MATCH(W2289,Setup!$B$33:$B$40,0)),0)=1)*(COUNTIF(W2258:W2275,$B2289)+COUNTIF(W2258:W2275,$B2289&amp;" ~*")&gt;0)+(IFERROR(INDEX(Setup!$G$33:$G$40,MATCH(Y2289,Setup!$B$33:$B$40,0)),0)=1)*(COUNTIF(Y2258:Y2275,$B2289)+COUNTIF(Y2258:Y2275,$B2289&amp;" ~*")&gt;0))</f>
        <v/>
      </c>
    </row>
    <row r="2290" ht="15" customHeight="1">
      <c r="A2290" t="n">
        <v>46</v>
      </c>
      <c r="B2290" s="37">
        <f>IF(Setup!$B$19="","",Setup!$B$19)</f>
        <v/>
      </c>
      <c r="C2290" s="102" t="n"/>
      <c r="D2290" s="103" t="n"/>
      <c r="E2290" s="103" t="n"/>
      <c r="F2290" s="104" t="n"/>
      <c r="G2290" s="102" t="n"/>
      <c r="H2290" s="103" t="n"/>
      <c r="I2290" s="103" t="n"/>
      <c r="J2290" s="104" t="n"/>
      <c r="K2290" s="102" t="n"/>
      <c r="L2290" s="103" t="n"/>
      <c r="M2290" s="103" t="n"/>
      <c r="N2290" s="104" t="n"/>
      <c r="O2290" s="102" t="n"/>
      <c r="P2290" s="103" t="n"/>
      <c r="Q2290" s="103" t="n"/>
      <c r="R2290" s="104" t="n"/>
      <c r="S2290" s="102" t="n"/>
      <c r="T2290" s="103" t="n"/>
      <c r="U2290" s="103" t="n"/>
      <c r="V2290" s="104" t="n"/>
      <c r="W2290" s="102" t="n"/>
      <c r="X2290" s="104" t="n"/>
      <c r="Y2290" s="102" t="n"/>
      <c r="Z2290" s="104" t="n"/>
      <c r="AB2290" s="105">
        <f>IF($B2290="","",(COUNTIF(C2258:E2275,$B2290)+COUNTIF(C2258:E2275,$B2290&amp;" ~*")&gt;0)+(COUNTIF(G2258:I2275,$B2290)+COUNTIF(G2258:I2275,$B2290&amp;" ~*")&gt;0)+(COUNTIF(K2258:M2275,$B2290)+COUNTIF(K2258:M2275,$B2290&amp;" ~*")&gt;0)+(COUNTIF(O2258:Q2275,$B2290)+COUNTIF(O2258:Q2275,$B2290&amp;" ~*")&gt;0)+(COUNTIF(S2258:U2275,$B2290)+COUNTIF(S2258:U2275,$B2290&amp;" ~*")&gt;0)+(COUNTIF(W2258:W2275,$B2290)+COUNTIF(W2258:W2275,$B2290&amp;" ~*")&gt;0)+(COUNTIF(Y2258:Y2275,$B2290)+COUNTIF(Y2258:Y2275,$B2290&amp;" ~*")&gt;0))</f>
        <v/>
      </c>
      <c r="AC2290" s="38">
        <f>IF($B2290="","",(IFERROR(INDEX(Setup!$G$33:$G$40,MATCH(C2290,Setup!$B$33:$B$40,0)),0)=1)*(COUNTIF(C2258:E2275,$B2290)+COUNTIF(C2258:E2275,$B2290&amp;" ~*")&gt;0)+(IFERROR(INDEX(Setup!$G$33:$G$40,MATCH(G2290,Setup!$B$33:$B$40,0)),0)=1)*(COUNTIF(G2258:I2275,$B2290)+COUNTIF(G2258:I2275,$B2290&amp;" ~*")&gt;0)+(IFERROR(INDEX(Setup!$G$33:$G$40,MATCH(K2290,Setup!$B$33:$B$40,0)),0)=1)*(COUNTIF(K2258:M2275,$B2290)+COUNTIF(K2258:M2275,$B2290&amp;" ~*")&gt;0)+(IFERROR(INDEX(Setup!$G$33:$G$40,MATCH(O2290,Setup!$B$33:$B$40,0)),0)=1)*(COUNTIF(O2258:Q2275,$B2290)+COUNTIF(O2258:Q2275,$B2290&amp;" ~*")&gt;0)+(IFERROR(INDEX(Setup!$G$33:$G$40,MATCH(S2290,Setup!$B$33:$B$40,0)),0)=1)*(COUNTIF(S2258:U2275,$B2290)+COUNTIF(S2258:U2275,$B2290&amp;" ~*")&gt;0)+(IFERROR(INDEX(Setup!$G$33:$G$40,MATCH(W2290,Setup!$B$33:$B$40,0)),0)=1)*(COUNTIF(W2258:W2275,$B2290)+COUNTIF(W2258:W2275,$B2290&amp;" ~*")&gt;0)+(IFERROR(INDEX(Setup!$G$33:$G$40,MATCH(Y2290,Setup!$B$33:$B$40,0)),0)=1)*(COUNTIF(Y2258:Y2275,$B2290)+COUNTIF(Y2258:Y2275,$B2290&amp;" ~*")&gt;0))</f>
        <v/>
      </c>
    </row>
    <row r="2291" ht="15" customHeight="1">
      <c r="A2291" t="n">
        <v>46</v>
      </c>
      <c r="B2291" s="35">
        <f>IF(Setup!$B$20="","",Setup!$B$20)</f>
        <v/>
      </c>
      <c r="C2291" s="98" t="n"/>
      <c r="D2291" s="99" t="n"/>
      <c r="E2291" s="99" t="n"/>
      <c r="F2291" s="100" t="n"/>
      <c r="G2291" s="98" t="n"/>
      <c r="H2291" s="99" t="n"/>
      <c r="I2291" s="99" t="n"/>
      <c r="J2291" s="100" t="n"/>
      <c r="K2291" s="98" t="n"/>
      <c r="L2291" s="99" t="n"/>
      <c r="M2291" s="99" t="n"/>
      <c r="N2291" s="100" t="n"/>
      <c r="O2291" s="98" t="n"/>
      <c r="P2291" s="99" t="n"/>
      <c r="Q2291" s="99" t="n"/>
      <c r="R2291" s="100" t="n"/>
      <c r="S2291" s="98" t="n"/>
      <c r="T2291" s="99" t="n"/>
      <c r="U2291" s="99" t="n"/>
      <c r="V2291" s="100" t="n"/>
      <c r="W2291" s="98" t="n"/>
      <c r="X2291" s="100" t="n"/>
      <c r="Y2291" s="98" t="n"/>
      <c r="Z2291" s="100" t="n"/>
      <c r="AB2291" s="101">
        <f>IF($B2291="","",(COUNTIF(C2258:E2275,$B2291)+COUNTIF(C2258:E2275,$B2291&amp;" ~*")&gt;0)+(COUNTIF(G2258:I2275,$B2291)+COUNTIF(G2258:I2275,$B2291&amp;" ~*")&gt;0)+(COUNTIF(K2258:M2275,$B2291)+COUNTIF(K2258:M2275,$B2291&amp;" ~*")&gt;0)+(COUNTIF(O2258:Q2275,$B2291)+COUNTIF(O2258:Q2275,$B2291&amp;" ~*")&gt;0)+(COUNTIF(S2258:U2275,$B2291)+COUNTIF(S2258:U2275,$B2291&amp;" ~*")&gt;0)+(COUNTIF(W2258:W2275,$B2291)+COUNTIF(W2258:W2275,$B2291&amp;" ~*")&gt;0)+(COUNTIF(Y2258:Y2275,$B2291)+COUNTIF(Y2258:Y2275,$B2291&amp;" ~*")&gt;0))</f>
        <v/>
      </c>
      <c r="AC2291" s="36">
        <f>IF($B2291="","",(IFERROR(INDEX(Setup!$G$33:$G$40,MATCH(C2291,Setup!$B$33:$B$40,0)),0)=1)*(COUNTIF(C2258:E2275,$B2291)+COUNTIF(C2258:E2275,$B2291&amp;" ~*")&gt;0)+(IFERROR(INDEX(Setup!$G$33:$G$40,MATCH(G2291,Setup!$B$33:$B$40,0)),0)=1)*(COUNTIF(G2258:I2275,$B2291)+COUNTIF(G2258:I2275,$B2291&amp;" ~*")&gt;0)+(IFERROR(INDEX(Setup!$G$33:$G$40,MATCH(K2291,Setup!$B$33:$B$40,0)),0)=1)*(COUNTIF(K2258:M2275,$B2291)+COUNTIF(K2258:M2275,$B2291&amp;" ~*")&gt;0)+(IFERROR(INDEX(Setup!$G$33:$G$40,MATCH(O2291,Setup!$B$33:$B$40,0)),0)=1)*(COUNTIF(O2258:Q2275,$B2291)+COUNTIF(O2258:Q2275,$B2291&amp;" ~*")&gt;0)+(IFERROR(INDEX(Setup!$G$33:$G$40,MATCH(S2291,Setup!$B$33:$B$40,0)),0)=1)*(COUNTIF(S2258:U2275,$B2291)+COUNTIF(S2258:U2275,$B2291&amp;" ~*")&gt;0)+(IFERROR(INDEX(Setup!$G$33:$G$40,MATCH(W2291,Setup!$B$33:$B$40,0)),0)=1)*(COUNTIF(W2258:W2275,$B2291)+COUNTIF(W2258:W2275,$B2291&amp;" ~*")&gt;0)+(IFERROR(INDEX(Setup!$G$33:$G$40,MATCH(Y2291,Setup!$B$33:$B$40,0)),0)=1)*(COUNTIF(Y2258:Y2275,$B2291)+COUNTIF(Y2258:Y2275,$B2291&amp;" ~*")&gt;0))</f>
        <v/>
      </c>
    </row>
    <row r="2292" ht="15" customHeight="1">
      <c r="A2292" t="n">
        <v>46</v>
      </c>
      <c r="B2292" s="37">
        <f>IF(Setup!$B$21="","",Setup!$B$21)</f>
        <v/>
      </c>
      <c r="C2292" s="102" t="n"/>
      <c r="D2292" s="103" t="n"/>
      <c r="E2292" s="103" t="n"/>
      <c r="F2292" s="104" t="n"/>
      <c r="G2292" s="102" t="n"/>
      <c r="H2292" s="103" t="n"/>
      <c r="I2292" s="103" t="n"/>
      <c r="J2292" s="104" t="n"/>
      <c r="K2292" s="102" t="n"/>
      <c r="L2292" s="103" t="n"/>
      <c r="M2292" s="103" t="n"/>
      <c r="N2292" s="104" t="n"/>
      <c r="O2292" s="102" t="n"/>
      <c r="P2292" s="103" t="n"/>
      <c r="Q2292" s="103" t="n"/>
      <c r="R2292" s="104" t="n"/>
      <c r="S2292" s="102" t="n"/>
      <c r="T2292" s="103" t="n"/>
      <c r="U2292" s="103" t="n"/>
      <c r="V2292" s="104" t="n"/>
      <c r="W2292" s="102" t="n"/>
      <c r="X2292" s="104" t="n"/>
      <c r="Y2292" s="102" t="n"/>
      <c r="Z2292" s="104" t="n"/>
      <c r="AB2292" s="105">
        <f>IF($B2292="","",(COUNTIF(C2258:E2275,$B2292)+COUNTIF(C2258:E2275,$B2292&amp;" ~*")&gt;0)+(COUNTIF(G2258:I2275,$B2292)+COUNTIF(G2258:I2275,$B2292&amp;" ~*")&gt;0)+(COUNTIF(K2258:M2275,$B2292)+COUNTIF(K2258:M2275,$B2292&amp;" ~*")&gt;0)+(COUNTIF(O2258:Q2275,$B2292)+COUNTIF(O2258:Q2275,$B2292&amp;" ~*")&gt;0)+(COUNTIF(S2258:U2275,$B2292)+COUNTIF(S2258:U2275,$B2292&amp;" ~*")&gt;0)+(COUNTIF(W2258:W2275,$B2292)+COUNTIF(W2258:W2275,$B2292&amp;" ~*")&gt;0)+(COUNTIF(Y2258:Y2275,$B2292)+COUNTIF(Y2258:Y2275,$B2292&amp;" ~*")&gt;0))</f>
        <v/>
      </c>
      <c r="AC2292" s="38">
        <f>IF($B2292="","",(IFERROR(INDEX(Setup!$G$33:$G$40,MATCH(C2292,Setup!$B$33:$B$40,0)),0)=1)*(COUNTIF(C2258:E2275,$B2292)+COUNTIF(C2258:E2275,$B2292&amp;" ~*")&gt;0)+(IFERROR(INDEX(Setup!$G$33:$G$40,MATCH(G2292,Setup!$B$33:$B$40,0)),0)=1)*(COUNTIF(G2258:I2275,$B2292)+COUNTIF(G2258:I2275,$B2292&amp;" ~*")&gt;0)+(IFERROR(INDEX(Setup!$G$33:$G$40,MATCH(K2292,Setup!$B$33:$B$40,0)),0)=1)*(COUNTIF(K2258:M2275,$B2292)+COUNTIF(K2258:M2275,$B2292&amp;" ~*")&gt;0)+(IFERROR(INDEX(Setup!$G$33:$G$40,MATCH(O2292,Setup!$B$33:$B$40,0)),0)=1)*(COUNTIF(O2258:Q2275,$B2292)+COUNTIF(O2258:Q2275,$B2292&amp;" ~*")&gt;0)+(IFERROR(INDEX(Setup!$G$33:$G$40,MATCH(S2292,Setup!$B$33:$B$40,0)),0)=1)*(COUNTIF(S2258:U2275,$B2292)+COUNTIF(S2258:U2275,$B2292&amp;" ~*")&gt;0)+(IFERROR(INDEX(Setup!$G$33:$G$40,MATCH(W2292,Setup!$B$33:$B$40,0)),0)=1)*(COUNTIF(W2258:W2275,$B2292)+COUNTIF(W2258:W2275,$B2292&amp;" ~*")&gt;0)+(IFERROR(INDEX(Setup!$G$33:$G$40,MATCH(Y2292,Setup!$B$33:$B$40,0)),0)=1)*(COUNTIF(Y2258:Y2275,$B2292)+COUNTIF(Y2258:Y2275,$B2292&amp;" ~*")&gt;0))</f>
        <v/>
      </c>
    </row>
    <row r="2293" ht="15" customHeight="1">
      <c r="A2293" t="n">
        <v>46</v>
      </c>
      <c r="B2293" s="35">
        <f>IF(Setup!$B$22="","",Setup!$B$22)</f>
        <v/>
      </c>
      <c r="C2293" s="98" t="n"/>
      <c r="D2293" s="99" t="n"/>
      <c r="E2293" s="99" t="n"/>
      <c r="F2293" s="100" t="n"/>
      <c r="G2293" s="98" t="n"/>
      <c r="H2293" s="99" t="n"/>
      <c r="I2293" s="99" t="n"/>
      <c r="J2293" s="100" t="n"/>
      <c r="K2293" s="98" t="n"/>
      <c r="L2293" s="99" t="n"/>
      <c r="M2293" s="99" t="n"/>
      <c r="N2293" s="100" t="n"/>
      <c r="O2293" s="98" t="n"/>
      <c r="P2293" s="99" t="n"/>
      <c r="Q2293" s="99" t="n"/>
      <c r="R2293" s="100" t="n"/>
      <c r="S2293" s="98" t="n"/>
      <c r="T2293" s="99" t="n"/>
      <c r="U2293" s="99" t="n"/>
      <c r="V2293" s="100" t="n"/>
      <c r="W2293" s="98" t="n"/>
      <c r="X2293" s="100" t="n"/>
      <c r="Y2293" s="98" t="n"/>
      <c r="Z2293" s="100" t="n"/>
      <c r="AB2293" s="101">
        <f>IF($B2293="","",(COUNTIF(C2258:E2275,$B2293)+COUNTIF(C2258:E2275,$B2293&amp;" ~*")&gt;0)+(COUNTIF(G2258:I2275,$B2293)+COUNTIF(G2258:I2275,$B2293&amp;" ~*")&gt;0)+(COUNTIF(K2258:M2275,$B2293)+COUNTIF(K2258:M2275,$B2293&amp;" ~*")&gt;0)+(COUNTIF(O2258:Q2275,$B2293)+COUNTIF(O2258:Q2275,$B2293&amp;" ~*")&gt;0)+(COUNTIF(S2258:U2275,$B2293)+COUNTIF(S2258:U2275,$B2293&amp;" ~*")&gt;0)+(COUNTIF(W2258:W2275,$B2293)+COUNTIF(W2258:W2275,$B2293&amp;" ~*")&gt;0)+(COUNTIF(Y2258:Y2275,$B2293)+COUNTIF(Y2258:Y2275,$B2293&amp;" ~*")&gt;0))</f>
        <v/>
      </c>
      <c r="AC2293" s="36">
        <f>IF($B2293="","",(IFERROR(INDEX(Setup!$G$33:$G$40,MATCH(C2293,Setup!$B$33:$B$40,0)),0)=1)*(COUNTIF(C2258:E2275,$B2293)+COUNTIF(C2258:E2275,$B2293&amp;" ~*")&gt;0)+(IFERROR(INDEX(Setup!$G$33:$G$40,MATCH(G2293,Setup!$B$33:$B$40,0)),0)=1)*(COUNTIF(G2258:I2275,$B2293)+COUNTIF(G2258:I2275,$B2293&amp;" ~*")&gt;0)+(IFERROR(INDEX(Setup!$G$33:$G$40,MATCH(K2293,Setup!$B$33:$B$40,0)),0)=1)*(COUNTIF(K2258:M2275,$B2293)+COUNTIF(K2258:M2275,$B2293&amp;" ~*")&gt;0)+(IFERROR(INDEX(Setup!$G$33:$G$40,MATCH(O2293,Setup!$B$33:$B$40,0)),0)=1)*(COUNTIF(O2258:Q2275,$B2293)+COUNTIF(O2258:Q2275,$B2293&amp;" ~*")&gt;0)+(IFERROR(INDEX(Setup!$G$33:$G$40,MATCH(S2293,Setup!$B$33:$B$40,0)),0)=1)*(COUNTIF(S2258:U2275,$B2293)+COUNTIF(S2258:U2275,$B2293&amp;" ~*")&gt;0)+(IFERROR(INDEX(Setup!$G$33:$G$40,MATCH(W2293,Setup!$B$33:$B$40,0)),0)=1)*(COUNTIF(W2258:W2275,$B2293)+COUNTIF(W2258:W2275,$B2293&amp;" ~*")&gt;0)+(IFERROR(INDEX(Setup!$G$33:$G$40,MATCH(Y2293,Setup!$B$33:$B$40,0)),0)=1)*(COUNTIF(Y2258:Y2275,$B2293)+COUNTIF(Y2258:Y2275,$B2293&amp;" ~*")&gt;0))</f>
        <v/>
      </c>
    </row>
    <row r="2294" ht="15" customHeight="1">
      <c r="A2294" t="n">
        <v>46</v>
      </c>
      <c r="B2294" s="37">
        <f>IF(Setup!$B$23="","",Setup!$B$23)</f>
        <v/>
      </c>
      <c r="C2294" s="102" t="n"/>
      <c r="D2294" s="103" t="n"/>
      <c r="E2294" s="103" t="n"/>
      <c r="F2294" s="104" t="n"/>
      <c r="G2294" s="102" t="n"/>
      <c r="H2294" s="103" t="n"/>
      <c r="I2294" s="103" t="n"/>
      <c r="J2294" s="104" t="n"/>
      <c r="K2294" s="102" t="n"/>
      <c r="L2294" s="103" t="n"/>
      <c r="M2294" s="103" t="n"/>
      <c r="N2294" s="104" t="n"/>
      <c r="O2294" s="102" t="n"/>
      <c r="P2294" s="103" t="n"/>
      <c r="Q2294" s="103" t="n"/>
      <c r="R2294" s="104" t="n"/>
      <c r="S2294" s="102" t="n"/>
      <c r="T2294" s="103" t="n"/>
      <c r="U2294" s="103" t="n"/>
      <c r="V2294" s="104" t="n"/>
      <c r="W2294" s="102" t="n"/>
      <c r="X2294" s="104" t="n"/>
      <c r="Y2294" s="102" t="n"/>
      <c r="Z2294" s="104" t="n"/>
      <c r="AB2294" s="105">
        <f>IF($B2294="","",(COUNTIF(C2258:E2275,$B2294)+COUNTIF(C2258:E2275,$B2294&amp;" ~*")&gt;0)+(COUNTIF(G2258:I2275,$B2294)+COUNTIF(G2258:I2275,$B2294&amp;" ~*")&gt;0)+(COUNTIF(K2258:M2275,$B2294)+COUNTIF(K2258:M2275,$B2294&amp;" ~*")&gt;0)+(COUNTIF(O2258:Q2275,$B2294)+COUNTIF(O2258:Q2275,$B2294&amp;" ~*")&gt;0)+(COUNTIF(S2258:U2275,$B2294)+COUNTIF(S2258:U2275,$B2294&amp;" ~*")&gt;0)+(COUNTIF(W2258:W2275,$B2294)+COUNTIF(W2258:W2275,$B2294&amp;" ~*")&gt;0)+(COUNTIF(Y2258:Y2275,$B2294)+COUNTIF(Y2258:Y2275,$B2294&amp;" ~*")&gt;0))</f>
        <v/>
      </c>
      <c r="AC2294" s="38">
        <f>IF($B2294="","",(IFERROR(INDEX(Setup!$G$33:$G$40,MATCH(C2294,Setup!$B$33:$B$40,0)),0)=1)*(COUNTIF(C2258:E2275,$B2294)+COUNTIF(C2258:E2275,$B2294&amp;" ~*")&gt;0)+(IFERROR(INDEX(Setup!$G$33:$G$40,MATCH(G2294,Setup!$B$33:$B$40,0)),0)=1)*(COUNTIF(G2258:I2275,$B2294)+COUNTIF(G2258:I2275,$B2294&amp;" ~*")&gt;0)+(IFERROR(INDEX(Setup!$G$33:$G$40,MATCH(K2294,Setup!$B$33:$B$40,0)),0)=1)*(COUNTIF(K2258:M2275,$B2294)+COUNTIF(K2258:M2275,$B2294&amp;" ~*")&gt;0)+(IFERROR(INDEX(Setup!$G$33:$G$40,MATCH(O2294,Setup!$B$33:$B$40,0)),0)=1)*(COUNTIF(O2258:Q2275,$B2294)+COUNTIF(O2258:Q2275,$B2294&amp;" ~*")&gt;0)+(IFERROR(INDEX(Setup!$G$33:$G$40,MATCH(S2294,Setup!$B$33:$B$40,0)),0)=1)*(COUNTIF(S2258:U2275,$B2294)+COUNTIF(S2258:U2275,$B2294&amp;" ~*")&gt;0)+(IFERROR(INDEX(Setup!$G$33:$G$40,MATCH(W2294,Setup!$B$33:$B$40,0)),0)=1)*(COUNTIF(W2258:W2275,$B2294)+COUNTIF(W2258:W2275,$B2294&amp;" ~*")&gt;0)+(IFERROR(INDEX(Setup!$G$33:$G$40,MATCH(Y2294,Setup!$B$33:$B$40,0)),0)=1)*(COUNTIF(Y2258:Y2275,$B2294)+COUNTIF(Y2258:Y2275,$B2294&amp;" ~*")&gt;0))</f>
        <v/>
      </c>
    </row>
    <row r="2295" ht="15" customHeight="1">
      <c r="A2295" t="n">
        <v>46</v>
      </c>
      <c r="B2295" s="35">
        <f>IF(Setup!$B$24="","",Setup!$B$24)</f>
        <v/>
      </c>
      <c r="C2295" s="98" t="n"/>
      <c r="D2295" s="99" t="n"/>
      <c r="E2295" s="99" t="n"/>
      <c r="F2295" s="100" t="n"/>
      <c r="G2295" s="98" t="n"/>
      <c r="H2295" s="99" t="n"/>
      <c r="I2295" s="99" t="n"/>
      <c r="J2295" s="100" t="n"/>
      <c r="K2295" s="98" t="n"/>
      <c r="L2295" s="99" t="n"/>
      <c r="M2295" s="99" t="n"/>
      <c r="N2295" s="100" t="n"/>
      <c r="O2295" s="98" t="n"/>
      <c r="P2295" s="99" t="n"/>
      <c r="Q2295" s="99" t="n"/>
      <c r="R2295" s="100" t="n"/>
      <c r="S2295" s="98" t="n"/>
      <c r="T2295" s="99" t="n"/>
      <c r="U2295" s="99" t="n"/>
      <c r="V2295" s="100" t="n"/>
      <c r="W2295" s="98" t="n"/>
      <c r="X2295" s="100" t="n"/>
      <c r="Y2295" s="98" t="n"/>
      <c r="Z2295" s="100" t="n"/>
      <c r="AB2295" s="101">
        <f>IF($B2295="","",(COUNTIF(C2258:E2275,$B2295)+COUNTIF(C2258:E2275,$B2295&amp;" ~*")&gt;0)+(COUNTIF(G2258:I2275,$B2295)+COUNTIF(G2258:I2275,$B2295&amp;" ~*")&gt;0)+(COUNTIF(K2258:M2275,$B2295)+COUNTIF(K2258:M2275,$B2295&amp;" ~*")&gt;0)+(COUNTIF(O2258:Q2275,$B2295)+COUNTIF(O2258:Q2275,$B2295&amp;" ~*")&gt;0)+(COUNTIF(S2258:U2275,$B2295)+COUNTIF(S2258:U2275,$B2295&amp;" ~*")&gt;0)+(COUNTIF(W2258:W2275,$B2295)+COUNTIF(W2258:W2275,$B2295&amp;" ~*")&gt;0)+(COUNTIF(Y2258:Y2275,$B2295)+COUNTIF(Y2258:Y2275,$B2295&amp;" ~*")&gt;0))</f>
        <v/>
      </c>
      <c r="AC2295" s="36">
        <f>IF($B2295="","",(IFERROR(INDEX(Setup!$G$33:$G$40,MATCH(C2295,Setup!$B$33:$B$40,0)),0)=1)*(COUNTIF(C2258:E2275,$B2295)+COUNTIF(C2258:E2275,$B2295&amp;" ~*")&gt;0)+(IFERROR(INDEX(Setup!$G$33:$G$40,MATCH(G2295,Setup!$B$33:$B$40,0)),0)=1)*(COUNTIF(G2258:I2275,$B2295)+COUNTIF(G2258:I2275,$B2295&amp;" ~*")&gt;0)+(IFERROR(INDEX(Setup!$G$33:$G$40,MATCH(K2295,Setup!$B$33:$B$40,0)),0)=1)*(COUNTIF(K2258:M2275,$B2295)+COUNTIF(K2258:M2275,$B2295&amp;" ~*")&gt;0)+(IFERROR(INDEX(Setup!$G$33:$G$40,MATCH(O2295,Setup!$B$33:$B$40,0)),0)=1)*(COUNTIF(O2258:Q2275,$B2295)+COUNTIF(O2258:Q2275,$B2295&amp;" ~*")&gt;0)+(IFERROR(INDEX(Setup!$G$33:$G$40,MATCH(S2295,Setup!$B$33:$B$40,0)),0)=1)*(COUNTIF(S2258:U2275,$B2295)+COUNTIF(S2258:U2275,$B2295&amp;" ~*")&gt;0)+(IFERROR(INDEX(Setup!$G$33:$G$40,MATCH(W2295,Setup!$B$33:$B$40,0)),0)=1)*(COUNTIF(W2258:W2275,$B2295)+COUNTIF(W2258:W2275,$B2295&amp;" ~*")&gt;0)+(IFERROR(INDEX(Setup!$G$33:$G$40,MATCH(Y2295,Setup!$B$33:$B$40,0)),0)=1)*(COUNTIF(Y2258:Y2275,$B2295)+COUNTIF(Y2258:Y2275,$B2295&amp;" ~*")&gt;0))</f>
        <v/>
      </c>
    </row>
    <row r="2296" ht="15" customHeight="1">
      <c r="A2296" t="n">
        <v>46</v>
      </c>
      <c r="B2296" s="37">
        <f>IF(Setup!$B$25="","",Setup!$B$25)</f>
        <v/>
      </c>
      <c r="C2296" s="102" t="n"/>
      <c r="D2296" s="103" t="n"/>
      <c r="E2296" s="103" t="n"/>
      <c r="F2296" s="104" t="n"/>
      <c r="G2296" s="102" t="n"/>
      <c r="H2296" s="103" t="n"/>
      <c r="I2296" s="103" t="n"/>
      <c r="J2296" s="104" t="n"/>
      <c r="K2296" s="102" t="n"/>
      <c r="L2296" s="103" t="n"/>
      <c r="M2296" s="103" t="n"/>
      <c r="N2296" s="104" t="n"/>
      <c r="O2296" s="102" t="n"/>
      <c r="P2296" s="103" t="n"/>
      <c r="Q2296" s="103" t="n"/>
      <c r="R2296" s="104" t="n"/>
      <c r="S2296" s="102" t="n"/>
      <c r="T2296" s="103" t="n"/>
      <c r="U2296" s="103" t="n"/>
      <c r="V2296" s="104" t="n"/>
      <c r="W2296" s="102" t="n"/>
      <c r="X2296" s="104" t="n"/>
      <c r="Y2296" s="102" t="n"/>
      <c r="Z2296" s="104" t="n"/>
      <c r="AB2296" s="105">
        <f>IF($B2296="","",(COUNTIF(C2258:E2275,$B2296)+COUNTIF(C2258:E2275,$B2296&amp;" ~*")&gt;0)+(COUNTIF(G2258:I2275,$B2296)+COUNTIF(G2258:I2275,$B2296&amp;" ~*")&gt;0)+(COUNTIF(K2258:M2275,$B2296)+COUNTIF(K2258:M2275,$B2296&amp;" ~*")&gt;0)+(COUNTIF(O2258:Q2275,$B2296)+COUNTIF(O2258:Q2275,$B2296&amp;" ~*")&gt;0)+(COUNTIF(S2258:U2275,$B2296)+COUNTIF(S2258:U2275,$B2296&amp;" ~*")&gt;0)+(COUNTIF(W2258:W2275,$B2296)+COUNTIF(W2258:W2275,$B2296&amp;" ~*")&gt;0)+(COUNTIF(Y2258:Y2275,$B2296)+COUNTIF(Y2258:Y2275,$B2296&amp;" ~*")&gt;0))</f>
        <v/>
      </c>
      <c r="AC2296" s="38">
        <f>IF($B2296="","",(IFERROR(INDEX(Setup!$G$33:$G$40,MATCH(C2296,Setup!$B$33:$B$40,0)),0)=1)*(COUNTIF(C2258:E2275,$B2296)+COUNTIF(C2258:E2275,$B2296&amp;" ~*")&gt;0)+(IFERROR(INDEX(Setup!$G$33:$G$40,MATCH(G2296,Setup!$B$33:$B$40,0)),0)=1)*(COUNTIF(G2258:I2275,$B2296)+COUNTIF(G2258:I2275,$B2296&amp;" ~*")&gt;0)+(IFERROR(INDEX(Setup!$G$33:$G$40,MATCH(K2296,Setup!$B$33:$B$40,0)),0)=1)*(COUNTIF(K2258:M2275,$B2296)+COUNTIF(K2258:M2275,$B2296&amp;" ~*")&gt;0)+(IFERROR(INDEX(Setup!$G$33:$G$40,MATCH(O2296,Setup!$B$33:$B$40,0)),0)=1)*(COUNTIF(O2258:Q2275,$B2296)+COUNTIF(O2258:Q2275,$B2296&amp;" ~*")&gt;0)+(IFERROR(INDEX(Setup!$G$33:$G$40,MATCH(S2296,Setup!$B$33:$B$40,0)),0)=1)*(COUNTIF(S2258:U2275,$B2296)+COUNTIF(S2258:U2275,$B2296&amp;" ~*")&gt;0)+(IFERROR(INDEX(Setup!$G$33:$G$40,MATCH(W2296,Setup!$B$33:$B$40,0)),0)=1)*(COUNTIF(W2258:W2275,$B2296)+COUNTIF(W2258:W2275,$B2296&amp;" ~*")&gt;0)+(IFERROR(INDEX(Setup!$G$33:$G$40,MATCH(Y2296,Setup!$B$33:$B$40,0)),0)=1)*(COUNTIF(Y2258:Y2275,$B2296)+COUNTIF(Y2258:Y2275,$B2296&amp;" ~*")&gt;0))</f>
        <v/>
      </c>
    </row>
    <row r="2297" ht="15" customHeight="1">
      <c r="A2297" t="n">
        <v>46</v>
      </c>
      <c r="B2297" s="35">
        <f>IF(Setup!$B$26="","",Setup!$B$26)</f>
        <v/>
      </c>
      <c r="C2297" s="98" t="n"/>
      <c r="D2297" s="99" t="n"/>
      <c r="E2297" s="99" t="n"/>
      <c r="F2297" s="100" t="n"/>
      <c r="G2297" s="98" t="n"/>
      <c r="H2297" s="99" t="n"/>
      <c r="I2297" s="99" t="n"/>
      <c r="J2297" s="100" t="n"/>
      <c r="K2297" s="98" t="n"/>
      <c r="L2297" s="99" t="n"/>
      <c r="M2297" s="99" t="n"/>
      <c r="N2297" s="100" t="n"/>
      <c r="O2297" s="98" t="n"/>
      <c r="P2297" s="99" t="n"/>
      <c r="Q2297" s="99" t="n"/>
      <c r="R2297" s="100" t="n"/>
      <c r="S2297" s="98" t="n"/>
      <c r="T2297" s="99" t="n"/>
      <c r="U2297" s="99" t="n"/>
      <c r="V2297" s="100" t="n"/>
      <c r="W2297" s="98" t="n"/>
      <c r="X2297" s="100" t="n"/>
      <c r="Y2297" s="98" t="n"/>
      <c r="Z2297" s="100" t="n"/>
      <c r="AB2297" s="101">
        <f>IF($B2297="","",(COUNTIF(C2258:E2275,$B2297)+COUNTIF(C2258:E2275,$B2297&amp;" ~*")&gt;0)+(COUNTIF(G2258:I2275,$B2297)+COUNTIF(G2258:I2275,$B2297&amp;" ~*")&gt;0)+(COUNTIF(K2258:M2275,$B2297)+COUNTIF(K2258:M2275,$B2297&amp;" ~*")&gt;0)+(COUNTIF(O2258:Q2275,$B2297)+COUNTIF(O2258:Q2275,$B2297&amp;" ~*")&gt;0)+(COUNTIF(S2258:U2275,$B2297)+COUNTIF(S2258:U2275,$B2297&amp;" ~*")&gt;0)+(COUNTIF(W2258:W2275,$B2297)+COUNTIF(W2258:W2275,$B2297&amp;" ~*")&gt;0)+(COUNTIF(Y2258:Y2275,$B2297)+COUNTIF(Y2258:Y2275,$B2297&amp;" ~*")&gt;0))</f>
        <v/>
      </c>
      <c r="AC2297" s="36">
        <f>IF($B2297="","",(IFERROR(INDEX(Setup!$G$33:$G$40,MATCH(C2297,Setup!$B$33:$B$40,0)),0)=1)*(COUNTIF(C2258:E2275,$B2297)+COUNTIF(C2258:E2275,$B2297&amp;" ~*")&gt;0)+(IFERROR(INDEX(Setup!$G$33:$G$40,MATCH(G2297,Setup!$B$33:$B$40,0)),0)=1)*(COUNTIF(G2258:I2275,$B2297)+COUNTIF(G2258:I2275,$B2297&amp;" ~*")&gt;0)+(IFERROR(INDEX(Setup!$G$33:$G$40,MATCH(K2297,Setup!$B$33:$B$40,0)),0)=1)*(COUNTIF(K2258:M2275,$B2297)+COUNTIF(K2258:M2275,$B2297&amp;" ~*")&gt;0)+(IFERROR(INDEX(Setup!$G$33:$G$40,MATCH(O2297,Setup!$B$33:$B$40,0)),0)=1)*(COUNTIF(O2258:Q2275,$B2297)+COUNTIF(O2258:Q2275,$B2297&amp;" ~*")&gt;0)+(IFERROR(INDEX(Setup!$G$33:$G$40,MATCH(S2297,Setup!$B$33:$B$40,0)),0)=1)*(COUNTIF(S2258:U2275,$B2297)+COUNTIF(S2258:U2275,$B2297&amp;" ~*")&gt;0)+(IFERROR(INDEX(Setup!$G$33:$G$40,MATCH(W2297,Setup!$B$33:$B$40,0)),0)=1)*(COUNTIF(W2258:W2275,$B2297)+COUNTIF(W2258:W2275,$B2297&amp;" ~*")&gt;0)+(IFERROR(INDEX(Setup!$G$33:$G$40,MATCH(Y2297,Setup!$B$33:$B$40,0)),0)=1)*(COUNTIF(Y2258:Y2275,$B2297)+COUNTIF(Y2258:Y2275,$B2297&amp;" ~*")&gt;0))</f>
        <v/>
      </c>
    </row>
    <row r="2298" ht="15" customHeight="1">
      <c r="A2298" t="n">
        <v>46</v>
      </c>
      <c r="B2298" s="37">
        <f>IF(Setup!$B$27="","",Setup!$B$27)</f>
        <v/>
      </c>
      <c r="C2298" s="102" t="n"/>
      <c r="D2298" s="103" t="n"/>
      <c r="E2298" s="103" t="n"/>
      <c r="F2298" s="104" t="n"/>
      <c r="G2298" s="102" t="n"/>
      <c r="H2298" s="103" t="n"/>
      <c r="I2298" s="103" t="n"/>
      <c r="J2298" s="104" t="n"/>
      <c r="K2298" s="102" t="n"/>
      <c r="L2298" s="103" t="n"/>
      <c r="M2298" s="103" t="n"/>
      <c r="N2298" s="104" t="n"/>
      <c r="O2298" s="102" t="n"/>
      <c r="P2298" s="103" t="n"/>
      <c r="Q2298" s="103" t="n"/>
      <c r="R2298" s="104" t="n"/>
      <c r="S2298" s="102" t="n"/>
      <c r="T2298" s="103" t="n"/>
      <c r="U2298" s="103" t="n"/>
      <c r="V2298" s="104" t="n"/>
      <c r="W2298" s="102" t="n"/>
      <c r="X2298" s="104" t="n"/>
      <c r="Y2298" s="102" t="n"/>
      <c r="Z2298" s="104" t="n"/>
      <c r="AB2298" s="105">
        <f>IF($B2298="","",(COUNTIF(C2258:E2275,$B2298)+COUNTIF(C2258:E2275,$B2298&amp;" ~*")&gt;0)+(COUNTIF(G2258:I2275,$B2298)+COUNTIF(G2258:I2275,$B2298&amp;" ~*")&gt;0)+(COUNTIF(K2258:M2275,$B2298)+COUNTIF(K2258:M2275,$B2298&amp;" ~*")&gt;0)+(COUNTIF(O2258:Q2275,$B2298)+COUNTIF(O2258:Q2275,$B2298&amp;" ~*")&gt;0)+(COUNTIF(S2258:U2275,$B2298)+COUNTIF(S2258:U2275,$B2298&amp;" ~*")&gt;0)+(COUNTIF(W2258:W2275,$B2298)+COUNTIF(W2258:W2275,$B2298&amp;" ~*")&gt;0)+(COUNTIF(Y2258:Y2275,$B2298)+COUNTIF(Y2258:Y2275,$B2298&amp;" ~*")&gt;0))</f>
        <v/>
      </c>
      <c r="AC2298" s="38">
        <f>IF($B2298="","",(IFERROR(INDEX(Setup!$G$33:$G$40,MATCH(C2298,Setup!$B$33:$B$40,0)),0)=1)*(COUNTIF(C2258:E2275,$B2298)+COUNTIF(C2258:E2275,$B2298&amp;" ~*")&gt;0)+(IFERROR(INDEX(Setup!$G$33:$G$40,MATCH(G2298,Setup!$B$33:$B$40,0)),0)=1)*(COUNTIF(G2258:I2275,$B2298)+COUNTIF(G2258:I2275,$B2298&amp;" ~*")&gt;0)+(IFERROR(INDEX(Setup!$G$33:$G$40,MATCH(K2298,Setup!$B$33:$B$40,0)),0)=1)*(COUNTIF(K2258:M2275,$B2298)+COUNTIF(K2258:M2275,$B2298&amp;" ~*")&gt;0)+(IFERROR(INDEX(Setup!$G$33:$G$40,MATCH(O2298,Setup!$B$33:$B$40,0)),0)=1)*(COUNTIF(O2258:Q2275,$B2298)+COUNTIF(O2258:Q2275,$B2298&amp;" ~*")&gt;0)+(IFERROR(INDEX(Setup!$G$33:$G$40,MATCH(S2298,Setup!$B$33:$B$40,0)),0)=1)*(COUNTIF(S2258:U2275,$B2298)+COUNTIF(S2258:U2275,$B2298&amp;" ~*")&gt;0)+(IFERROR(INDEX(Setup!$G$33:$G$40,MATCH(W2298,Setup!$B$33:$B$40,0)),0)=1)*(COUNTIF(W2258:W2275,$B2298)+COUNTIF(W2258:W2275,$B2298&amp;" ~*")&gt;0)+(IFERROR(INDEX(Setup!$G$33:$G$40,MATCH(Y2298,Setup!$B$33:$B$40,0)),0)=1)*(COUNTIF(Y2258:Y2275,$B2298)+COUNTIF(Y2258:Y2275,$B2298&amp;" ~*")&gt;0))</f>
        <v/>
      </c>
    </row>
    <row r="2299" ht="15" customHeight="1">
      <c r="A2299" t="n">
        <v>46</v>
      </c>
      <c r="B2299" s="35">
        <f>IF(Setup!$B$28="","",Setup!$B$28)</f>
        <v/>
      </c>
      <c r="C2299" s="98" t="n"/>
      <c r="D2299" s="99" t="n"/>
      <c r="E2299" s="99" t="n"/>
      <c r="F2299" s="100" t="n"/>
      <c r="G2299" s="98" t="n"/>
      <c r="H2299" s="99" t="n"/>
      <c r="I2299" s="99" t="n"/>
      <c r="J2299" s="100" t="n"/>
      <c r="K2299" s="98" t="n"/>
      <c r="L2299" s="99" t="n"/>
      <c r="M2299" s="99" t="n"/>
      <c r="N2299" s="100" t="n"/>
      <c r="O2299" s="98" t="n"/>
      <c r="P2299" s="99" t="n"/>
      <c r="Q2299" s="99" t="n"/>
      <c r="R2299" s="100" t="n"/>
      <c r="S2299" s="98" t="n"/>
      <c r="T2299" s="99" t="n"/>
      <c r="U2299" s="99" t="n"/>
      <c r="V2299" s="100" t="n"/>
      <c r="W2299" s="98" t="n"/>
      <c r="X2299" s="100" t="n"/>
      <c r="Y2299" s="98" t="n"/>
      <c r="Z2299" s="100" t="n"/>
      <c r="AB2299" s="101">
        <f>IF($B2299="","",(COUNTIF(C2258:E2275,$B2299)+COUNTIF(C2258:E2275,$B2299&amp;" ~*")&gt;0)+(COUNTIF(G2258:I2275,$B2299)+COUNTIF(G2258:I2275,$B2299&amp;" ~*")&gt;0)+(COUNTIF(K2258:M2275,$B2299)+COUNTIF(K2258:M2275,$B2299&amp;" ~*")&gt;0)+(COUNTIF(O2258:Q2275,$B2299)+COUNTIF(O2258:Q2275,$B2299&amp;" ~*")&gt;0)+(COUNTIF(S2258:U2275,$B2299)+COUNTIF(S2258:U2275,$B2299&amp;" ~*")&gt;0)+(COUNTIF(W2258:W2275,$B2299)+COUNTIF(W2258:W2275,$B2299&amp;" ~*")&gt;0)+(COUNTIF(Y2258:Y2275,$B2299)+COUNTIF(Y2258:Y2275,$B2299&amp;" ~*")&gt;0))</f>
        <v/>
      </c>
      <c r="AC2299" s="36">
        <f>IF($B2299="","",(IFERROR(INDEX(Setup!$G$33:$G$40,MATCH(C2299,Setup!$B$33:$B$40,0)),0)=1)*(COUNTIF(C2258:E2275,$B2299)+COUNTIF(C2258:E2275,$B2299&amp;" ~*")&gt;0)+(IFERROR(INDEX(Setup!$G$33:$G$40,MATCH(G2299,Setup!$B$33:$B$40,0)),0)=1)*(COUNTIF(G2258:I2275,$B2299)+COUNTIF(G2258:I2275,$B2299&amp;" ~*")&gt;0)+(IFERROR(INDEX(Setup!$G$33:$G$40,MATCH(K2299,Setup!$B$33:$B$40,0)),0)=1)*(COUNTIF(K2258:M2275,$B2299)+COUNTIF(K2258:M2275,$B2299&amp;" ~*")&gt;0)+(IFERROR(INDEX(Setup!$G$33:$G$40,MATCH(O2299,Setup!$B$33:$B$40,0)),0)=1)*(COUNTIF(O2258:Q2275,$B2299)+COUNTIF(O2258:Q2275,$B2299&amp;" ~*")&gt;0)+(IFERROR(INDEX(Setup!$G$33:$G$40,MATCH(S2299,Setup!$B$33:$B$40,0)),0)=1)*(COUNTIF(S2258:U2275,$B2299)+COUNTIF(S2258:U2275,$B2299&amp;" ~*")&gt;0)+(IFERROR(INDEX(Setup!$G$33:$G$40,MATCH(W2299,Setup!$B$33:$B$40,0)),0)=1)*(COUNTIF(W2258:W2275,$B2299)+COUNTIF(W2258:W2275,$B2299&amp;" ~*")&gt;0)+(IFERROR(INDEX(Setup!$G$33:$G$40,MATCH(Y2299,Setup!$B$33:$B$40,0)),0)=1)*(COUNTIF(Y2258:Y2275,$B2299)+COUNTIF(Y2258:Y2275,$B2299&amp;" ~*")&gt;0))</f>
        <v/>
      </c>
    </row>
    <row r="2300" ht="15" customHeight="1">
      <c r="A2300" t="n">
        <v>46</v>
      </c>
      <c r="B2300" s="37">
        <f>IF(Setup!$B$29="","",Setup!$B$29)</f>
        <v/>
      </c>
      <c r="C2300" s="102" t="n"/>
      <c r="D2300" s="103" t="n"/>
      <c r="E2300" s="103" t="n"/>
      <c r="F2300" s="104" t="n"/>
      <c r="G2300" s="102" t="n"/>
      <c r="H2300" s="103" t="n"/>
      <c r="I2300" s="103" t="n"/>
      <c r="J2300" s="104" t="n"/>
      <c r="K2300" s="102" t="n"/>
      <c r="L2300" s="103" t="n"/>
      <c r="M2300" s="103" t="n"/>
      <c r="N2300" s="104" t="n"/>
      <c r="O2300" s="102" t="n"/>
      <c r="P2300" s="103" t="n"/>
      <c r="Q2300" s="103" t="n"/>
      <c r="R2300" s="104" t="n"/>
      <c r="S2300" s="102" t="n"/>
      <c r="T2300" s="103" t="n"/>
      <c r="U2300" s="103" t="n"/>
      <c r="V2300" s="104" t="n"/>
      <c r="W2300" s="102" t="n"/>
      <c r="X2300" s="104" t="n"/>
      <c r="Y2300" s="102" t="n"/>
      <c r="Z2300" s="104" t="n"/>
      <c r="AB2300" s="105">
        <f>IF($B2300="","",(COUNTIF(C2258:E2275,$B2300)+COUNTIF(C2258:E2275,$B2300&amp;" ~*")&gt;0)+(COUNTIF(G2258:I2275,$B2300)+COUNTIF(G2258:I2275,$B2300&amp;" ~*")&gt;0)+(COUNTIF(K2258:M2275,$B2300)+COUNTIF(K2258:M2275,$B2300&amp;" ~*")&gt;0)+(COUNTIF(O2258:Q2275,$B2300)+COUNTIF(O2258:Q2275,$B2300&amp;" ~*")&gt;0)+(COUNTIF(S2258:U2275,$B2300)+COUNTIF(S2258:U2275,$B2300&amp;" ~*")&gt;0)+(COUNTIF(W2258:W2275,$B2300)+COUNTIF(W2258:W2275,$B2300&amp;" ~*")&gt;0)+(COUNTIF(Y2258:Y2275,$B2300)+COUNTIF(Y2258:Y2275,$B2300&amp;" ~*")&gt;0))</f>
        <v/>
      </c>
      <c r="AC2300" s="38">
        <f>IF($B2300="","",(IFERROR(INDEX(Setup!$G$33:$G$40,MATCH(C2300,Setup!$B$33:$B$40,0)),0)=1)*(COUNTIF(C2258:E2275,$B2300)+COUNTIF(C2258:E2275,$B2300&amp;" ~*")&gt;0)+(IFERROR(INDEX(Setup!$G$33:$G$40,MATCH(G2300,Setup!$B$33:$B$40,0)),0)=1)*(COUNTIF(G2258:I2275,$B2300)+COUNTIF(G2258:I2275,$B2300&amp;" ~*")&gt;0)+(IFERROR(INDEX(Setup!$G$33:$G$40,MATCH(K2300,Setup!$B$33:$B$40,0)),0)=1)*(COUNTIF(K2258:M2275,$B2300)+COUNTIF(K2258:M2275,$B2300&amp;" ~*")&gt;0)+(IFERROR(INDEX(Setup!$G$33:$G$40,MATCH(O2300,Setup!$B$33:$B$40,0)),0)=1)*(COUNTIF(O2258:Q2275,$B2300)+COUNTIF(O2258:Q2275,$B2300&amp;" ~*")&gt;0)+(IFERROR(INDEX(Setup!$G$33:$G$40,MATCH(S2300,Setup!$B$33:$B$40,0)),0)=1)*(COUNTIF(S2258:U2275,$B2300)+COUNTIF(S2258:U2275,$B2300&amp;" ~*")&gt;0)+(IFERROR(INDEX(Setup!$G$33:$G$40,MATCH(W2300,Setup!$B$33:$B$40,0)),0)=1)*(COUNTIF(W2258:W2275,$B2300)+COUNTIF(W2258:W2275,$B2300&amp;" ~*")&gt;0)+(IFERROR(INDEX(Setup!$G$33:$G$40,MATCH(Y2300,Setup!$B$33:$B$40,0)),0)=1)*(COUNTIF(Y2258:Y2275,$B2300)+COUNTIF(Y2258:Y2275,$B2300&amp;" ~*")&gt;0))</f>
        <v/>
      </c>
    </row>
    <row r="2301" ht="16" customHeight="1">
      <c r="A2301" t="n">
        <v>46</v>
      </c>
      <c r="B2301" s="106" t="inlineStr">
        <is>
          <t>Available people</t>
        </is>
      </c>
      <c r="C2301" s="107">
        <f>COUNTIFS(Setup!$E$6:$E$29,"Y",Setup!$B$6:$B$29,"?*")-SUMPRODUCT(COUNTIF(C2277:C2300,Setup!$F$33:$F$40))</f>
        <v/>
      </c>
      <c r="D2301" s="107" t="n"/>
      <c r="E2301" s="107" t="n"/>
      <c r="F2301" s="107" t="n"/>
      <c r="G2301" s="107">
        <f>COUNTIFS(Setup!$E$6:$E$29,"Y",Setup!$B$6:$B$29,"?*")-SUMPRODUCT(COUNTIF(G2277:G2300,Setup!$F$33:$F$40))</f>
        <v/>
      </c>
      <c r="H2301" s="107" t="n"/>
      <c r="I2301" s="107" t="n"/>
      <c r="J2301" s="107" t="n"/>
      <c r="K2301" s="107">
        <f>COUNTIFS(Setup!$E$6:$E$29,"Y",Setup!$B$6:$B$29,"?*")-SUMPRODUCT(COUNTIF(K2277:K2300,Setup!$F$33:$F$40))</f>
        <v/>
      </c>
      <c r="L2301" s="107" t="n"/>
      <c r="M2301" s="107" t="n"/>
      <c r="N2301" s="107" t="n"/>
      <c r="O2301" s="107">
        <f>COUNTIFS(Setup!$E$6:$E$29,"Y",Setup!$B$6:$B$29,"?*")-SUMPRODUCT(COUNTIF(O2277:O2300,Setup!$F$33:$F$40))</f>
        <v/>
      </c>
      <c r="P2301" s="107" t="n"/>
      <c r="Q2301" s="107" t="n"/>
      <c r="R2301" s="107" t="n"/>
      <c r="S2301" s="107">
        <f>COUNTIFS(Setup!$E$6:$E$29,"Y",Setup!$B$6:$B$29,"?*")-SUMPRODUCT(COUNTIF(S2277:S2300,Setup!$F$33:$F$40))</f>
        <v/>
      </c>
      <c r="T2301" s="107" t="n"/>
      <c r="U2301" s="107" t="n"/>
      <c r="V2301" s="107" t="n"/>
      <c r="W2301" s="107">
        <f>COUNTIFS(Setup!$E$6:$E$29,"Y",Setup!$B$6:$B$29,"?*")-SUMPRODUCT(COUNTIF(W2277:W2300,Setup!$F$33:$F$40))</f>
        <v/>
      </c>
      <c r="X2301" s="107" t="n"/>
      <c r="Y2301" s="107">
        <f>COUNTIFS(Setup!$E$6:$E$29,"Y",Setup!$B$6:$B$29,"?*")-SUMPRODUCT(COUNTIF(Y2277:Y2300,Setup!$F$33:$F$40))</f>
        <v/>
      </c>
      <c r="Z2301" s="107" t="n"/>
      <c r="AB2301" s="108">
        <f>SUM(AB2277:AB2300)</f>
        <v/>
      </c>
      <c r="AC2301" s="109">
        <f>SUM(AC2277:AC2300)</f>
        <v/>
      </c>
    </row>
    <row r="2302" ht="30" customHeight="1">
      <c r="A2302" t="n">
        <v>46</v>
      </c>
      <c r="B2302" s="110" t="inlineStr">
        <is>
          <t>Week notes</t>
        </is>
      </c>
      <c r="C2302" s="111" t="n"/>
      <c r="D2302" s="112" t="n"/>
      <c r="E2302" s="112" t="n"/>
      <c r="F2302" s="112" t="n"/>
      <c r="G2302" s="112" t="n"/>
      <c r="H2302" s="112" t="n"/>
      <c r="I2302" s="112" t="n"/>
      <c r="J2302" s="112" t="n"/>
      <c r="K2302" s="112" t="n"/>
      <c r="L2302" s="112" t="n"/>
      <c r="M2302" s="112" t="n"/>
      <c r="N2302" s="112" t="n"/>
      <c r="O2302" s="112" t="n"/>
      <c r="P2302" s="112" t="n"/>
      <c r="Q2302" s="112" t="n"/>
      <c r="R2302" s="112" t="n"/>
      <c r="S2302" s="112" t="n"/>
      <c r="T2302" s="112" t="n"/>
      <c r="U2302" s="112" t="n"/>
      <c r="V2302" s="112" t="n"/>
      <c r="W2302" s="112" t="n"/>
      <c r="X2302" s="112" t="n"/>
      <c r="Y2302" s="112" t="n"/>
      <c r="Z2302" s="113" t="n"/>
    </row>
    <row r="2303" ht="8" customHeight="1">
      <c r="A2303" t="n">
        <v>46</v>
      </c>
    </row>
    <row r="2304" ht="8" customHeight="1">
      <c r="A2304" t="n">
        <v>46</v>
      </c>
    </row>
    <row r="2305" ht="24" customHeight="1">
      <c r="A2305" t="n">
        <v>47</v>
      </c>
      <c r="B2305" s="73">
        <f>"WEEK 47     "&amp;TEXT(C2306,"ddd d mmm")&amp;"  –  "&amp;TEXT(C2306+6,"ddd d mmm yyyy")</f>
        <v/>
      </c>
      <c r="S2305" s="74">
        <f>IF(TODAY()&lt;C2306,"FUTURE",IF(TODAY()&gt;C2306+6,"PAST","THIS WEEK"))</f>
        <v/>
      </c>
      <c r="W2305" s="75">
        <f>IF(AND(Engine!$B$8=$AC$3,Engine!$B$9=$A2305),"◀ ACTIVE WEEK","")</f>
        <v/>
      </c>
      <c r="AA2305" s="76" t="n"/>
      <c r="AB2305" s="77" t="inlineStr">
        <is>
          <t>◀ Prev</t>
        </is>
      </c>
      <c r="AC2305" s="77" t="inlineStr">
        <is>
          <t>Next ▶</t>
        </is>
      </c>
    </row>
    <row r="2306" ht="18" customHeight="1">
      <c r="A2306" t="n">
        <v>47</v>
      </c>
      <c r="B2306" s="78" t="inlineStr">
        <is>
          <t>DUTY</t>
        </is>
      </c>
      <c r="C2306" s="79">
        <f>$AC$2+7*($A2306-1)</f>
        <v/>
      </c>
      <c r="D2306" s="80" t="n"/>
      <c r="E2306" s="80" t="n"/>
      <c r="F2306" s="81" t="n"/>
      <c r="G2306" s="79">
        <f>C2306+1</f>
        <v/>
      </c>
      <c r="H2306" s="80" t="n"/>
      <c r="I2306" s="80" t="n"/>
      <c r="J2306" s="81" t="n"/>
      <c r="K2306" s="79">
        <f>C2306+2</f>
        <v/>
      </c>
      <c r="L2306" s="80" t="n"/>
      <c r="M2306" s="80" t="n"/>
      <c r="N2306" s="81" t="n"/>
      <c r="O2306" s="79">
        <f>C2306+3</f>
        <v/>
      </c>
      <c r="P2306" s="80" t="n"/>
      <c r="Q2306" s="80" t="n"/>
      <c r="R2306" s="81" t="n"/>
      <c r="S2306" s="79">
        <f>C2306+4</f>
        <v/>
      </c>
      <c r="T2306" s="80" t="n"/>
      <c r="U2306" s="80" t="n"/>
      <c r="V2306" s="81" t="n"/>
      <c r="W2306" s="82">
        <f>C2306+5</f>
        <v/>
      </c>
      <c r="X2306" s="83" t="n"/>
      <c r="Y2306" s="82">
        <f>C2306+6</f>
        <v/>
      </c>
      <c r="Z2306" s="83" t="n"/>
      <c r="AB2306" s="72" t="inlineStr">
        <is>
          <t>Gaps</t>
        </is>
      </c>
      <c r="AC2306" s="72" t="inlineStr">
        <is>
          <t>Cover</t>
        </is>
      </c>
    </row>
    <row r="2307" ht="14" customHeight="1">
      <c r="A2307" t="n">
        <v>47</v>
      </c>
      <c r="B2307" s="84" t="inlineStr">
        <is>
          <t>(from Setup)</t>
        </is>
      </c>
      <c r="C2307" s="85" t="inlineStr">
        <is>
          <t>1</t>
        </is>
      </c>
      <c r="D2307" s="85" t="inlineStr">
        <is>
          <t>2</t>
        </is>
      </c>
      <c r="E2307" s="85" t="inlineStr">
        <is>
          <t>3</t>
        </is>
      </c>
      <c r="F2307" s="85" t="inlineStr">
        <is>
          <t>Notes</t>
        </is>
      </c>
      <c r="G2307" s="85" t="inlineStr">
        <is>
          <t>1</t>
        </is>
      </c>
      <c r="H2307" s="85" t="inlineStr">
        <is>
          <t>2</t>
        </is>
      </c>
      <c r="I2307" s="85" t="inlineStr">
        <is>
          <t>3</t>
        </is>
      </c>
      <c r="J2307" s="85" t="inlineStr">
        <is>
          <t>Notes</t>
        </is>
      </c>
      <c r="K2307" s="85" t="inlineStr">
        <is>
          <t>1</t>
        </is>
      </c>
      <c r="L2307" s="85" t="inlineStr">
        <is>
          <t>2</t>
        </is>
      </c>
      <c r="M2307" s="85" t="inlineStr">
        <is>
          <t>3</t>
        </is>
      </c>
      <c r="N2307" s="85" t="inlineStr">
        <is>
          <t>Notes</t>
        </is>
      </c>
      <c r="O2307" s="85" t="inlineStr">
        <is>
          <t>1</t>
        </is>
      </c>
      <c r="P2307" s="85" t="inlineStr">
        <is>
          <t>2</t>
        </is>
      </c>
      <c r="Q2307" s="85" t="inlineStr">
        <is>
          <t>3</t>
        </is>
      </c>
      <c r="R2307" s="85" t="inlineStr">
        <is>
          <t>Notes</t>
        </is>
      </c>
      <c r="S2307" s="85" t="inlineStr">
        <is>
          <t>1</t>
        </is>
      </c>
      <c r="T2307" s="85" t="inlineStr">
        <is>
          <t>2</t>
        </is>
      </c>
      <c r="U2307" s="85" t="inlineStr">
        <is>
          <t>3</t>
        </is>
      </c>
      <c r="V2307" s="85" t="inlineStr">
        <is>
          <t>Notes</t>
        </is>
      </c>
      <c r="W2307" s="85" t="inlineStr">
        <is>
          <t>Cover</t>
        </is>
      </c>
      <c r="X2307" s="85" t="inlineStr">
        <is>
          <t>Notes</t>
        </is>
      </c>
      <c r="Y2307" s="85" t="inlineStr">
        <is>
          <t>Cover</t>
        </is>
      </c>
      <c r="Z2307" s="85" t="inlineStr">
        <is>
          <t>Notes</t>
        </is>
      </c>
      <c r="AB2307" s="86" t="inlineStr">
        <is>
          <t>weekdays short</t>
        </is>
      </c>
      <c r="AC2307" s="87" t="inlineStr"/>
    </row>
    <row r="2308" ht="17" customHeight="1">
      <c r="A2308" t="n">
        <v>47</v>
      </c>
      <c r="B2308" s="24">
        <f>IF(Setup!$K$6="","",Setup!$K$6)</f>
        <v/>
      </c>
      <c r="C2308" s="88" t="n"/>
      <c r="D2308" s="88" t="n"/>
      <c r="E2308" s="88" t="n"/>
      <c r="F2308" s="89" t="n"/>
      <c r="G2308" s="88" t="n"/>
      <c r="H2308" s="88" t="n"/>
      <c r="I2308" s="88" t="n"/>
      <c r="J2308" s="89" t="n"/>
      <c r="K2308" s="88" t="n"/>
      <c r="L2308" s="88" t="n"/>
      <c r="M2308" s="88" t="n"/>
      <c r="N2308" s="89" t="n"/>
      <c r="O2308" s="88" t="n"/>
      <c r="P2308" s="88" t="n"/>
      <c r="Q2308" s="88" t="n"/>
      <c r="R2308" s="89" t="n"/>
      <c r="S2308" s="88" t="n"/>
      <c r="T2308" s="88" t="n"/>
      <c r="U2308" s="88" t="n"/>
      <c r="V2308" s="89" t="n"/>
      <c r="W2308" s="88" t="n"/>
      <c r="X2308" s="89" t="n"/>
      <c r="Y2308" s="88" t="n"/>
      <c r="Z2308" s="89" t="n"/>
      <c r="AB2308" s="25">
        <f>IF($B2308="","",(COUNTIF(C2308:E2308,"?*")&lt;N(INDEX(Setup!$L$6:$L$23,1)))+(COUNTIF(G2308:I2308,"?*")&lt;N(INDEX(Setup!$L$6:$L$23,1)))+(COUNTIF(K2308:M2308,"?*")&lt;N(INDEX(Setup!$L$6:$L$23,1)))+(COUNTIF(O2308:Q2308,"?*")&lt;N(INDEX(Setup!$L$6:$L$23,1)))+(COUNTIF(S2308:U2308,"?*")&lt;N(INDEX(Setup!$L$6:$L$23,1)))+((W2308="")*(INDEX(Setup!$M$6:$M$23,1)="Y"))+((Y2308="")*(INDEX(Setup!$M$6:$M$23,1)="Y")))</f>
        <v/>
      </c>
      <c r="AC2308" s="90">
        <f>IF($B2308="","",IF(AB2308=0,"✓ covered","⚠ "&amp;AB2308&amp;IF(AB2308=1," gap"," gaps")))</f>
        <v/>
      </c>
    </row>
    <row r="2309" ht="17" customHeight="1">
      <c r="A2309" t="n">
        <v>47</v>
      </c>
      <c r="B2309" s="29">
        <f>IF(Setup!$K$7="","",Setup!$K$7)</f>
        <v/>
      </c>
      <c r="C2309" s="88" t="n"/>
      <c r="D2309" s="88" t="n"/>
      <c r="E2309" s="88" t="n"/>
      <c r="F2309" s="89" t="n"/>
      <c r="G2309" s="88" t="n"/>
      <c r="H2309" s="88" t="n"/>
      <c r="I2309" s="88" t="n"/>
      <c r="J2309" s="89" t="n"/>
      <c r="K2309" s="88" t="n"/>
      <c r="L2309" s="88" t="n"/>
      <c r="M2309" s="88" t="n"/>
      <c r="N2309" s="89" t="n"/>
      <c r="O2309" s="88" t="n"/>
      <c r="P2309" s="88" t="n"/>
      <c r="Q2309" s="88" t="n"/>
      <c r="R2309" s="89" t="n"/>
      <c r="S2309" s="88" t="n"/>
      <c r="T2309" s="88" t="n"/>
      <c r="U2309" s="88" t="n"/>
      <c r="V2309" s="89" t="n"/>
      <c r="W2309" s="88" t="n"/>
      <c r="X2309" s="89" t="n"/>
      <c r="Y2309" s="88" t="n"/>
      <c r="Z2309" s="89" t="n"/>
      <c r="AB2309" s="30">
        <f>IF($B2309="","",(COUNTIF(C2309:E2309,"?*")&lt;N(INDEX(Setup!$L$6:$L$23,2)))+(COUNTIF(G2309:I2309,"?*")&lt;N(INDEX(Setup!$L$6:$L$23,2)))+(COUNTIF(K2309:M2309,"?*")&lt;N(INDEX(Setup!$L$6:$L$23,2)))+(COUNTIF(O2309:Q2309,"?*")&lt;N(INDEX(Setup!$L$6:$L$23,2)))+(COUNTIF(S2309:U2309,"?*")&lt;N(INDEX(Setup!$L$6:$L$23,2)))+((W2309="")*(INDEX(Setup!$M$6:$M$23,2)="Y"))+((Y2309="")*(INDEX(Setup!$M$6:$M$23,2)="Y")))</f>
        <v/>
      </c>
      <c r="AC2309" s="91">
        <f>IF($B2309="","",IF(AB2309=0,"✓ covered","⚠ "&amp;AB2309&amp;IF(AB2309=1," gap"," gaps")))</f>
        <v/>
      </c>
    </row>
    <row r="2310" ht="17" customHeight="1">
      <c r="A2310" t="n">
        <v>47</v>
      </c>
      <c r="B2310" s="24">
        <f>IF(Setup!$K$8="","",Setup!$K$8)</f>
        <v/>
      </c>
      <c r="C2310" s="88" t="n"/>
      <c r="D2310" s="88" t="n"/>
      <c r="E2310" s="88" t="n"/>
      <c r="F2310" s="89" t="n"/>
      <c r="G2310" s="88" t="n"/>
      <c r="H2310" s="88" t="n"/>
      <c r="I2310" s="88" t="n"/>
      <c r="J2310" s="89" t="n"/>
      <c r="K2310" s="88" t="n"/>
      <c r="L2310" s="88" t="n"/>
      <c r="M2310" s="88" t="n"/>
      <c r="N2310" s="89" t="n"/>
      <c r="O2310" s="88" t="n"/>
      <c r="P2310" s="88" t="n"/>
      <c r="Q2310" s="88" t="n"/>
      <c r="R2310" s="89" t="n"/>
      <c r="S2310" s="88" t="n"/>
      <c r="T2310" s="88" t="n"/>
      <c r="U2310" s="88" t="n"/>
      <c r="V2310" s="89" t="n"/>
      <c r="W2310" s="88" t="n"/>
      <c r="X2310" s="89" t="n"/>
      <c r="Y2310" s="88" t="n"/>
      <c r="Z2310" s="89" t="n"/>
      <c r="AB2310" s="25">
        <f>IF($B2310="","",(COUNTIF(C2310:E2310,"?*")&lt;N(INDEX(Setup!$L$6:$L$23,3)))+(COUNTIF(G2310:I2310,"?*")&lt;N(INDEX(Setup!$L$6:$L$23,3)))+(COUNTIF(K2310:M2310,"?*")&lt;N(INDEX(Setup!$L$6:$L$23,3)))+(COUNTIF(O2310:Q2310,"?*")&lt;N(INDEX(Setup!$L$6:$L$23,3)))+(COUNTIF(S2310:U2310,"?*")&lt;N(INDEX(Setup!$L$6:$L$23,3)))+((W2310="")*(INDEX(Setup!$M$6:$M$23,3)="Y"))+((Y2310="")*(INDEX(Setup!$M$6:$M$23,3)="Y")))</f>
        <v/>
      </c>
      <c r="AC2310" s="90">
        <f>IF($B2310="","",IF(AB2310=0,"✓ covered","⚠ "&amp;AB2310&amp;IF(AB2310=1," gap"," gaps")))</f>
        <v/>
      </c>
    </row>
    <row r="2311" ht="17" customHeight="1">
      <c r="A2311" t="n">
        <v>47</v>
      </c>
      <c r="B2311" s="29">
        <f>IF(Setup!$K$9="","",Setup!$K$9)</f>
        <v/>
      </c>
      <c r="C2311" s="88" t="n"/>
      <c r="D2311" s="88" t="n"/>
      <c r="E2311" s="88" t="n"/>
      <c r="F2311" s="89" t="n"/>
      <c r="G2311" s="88" t="n"/>
      <c r="H2311" s="88" t="n"/>
      <c r="I2311" s="88" t="n"/>
      <c r="J2311" s="89" t="n"/>
      <c r="K2311" s="88" t="n"/>
      <c r="L2311" s="88" t="n"/>
      <c r="M2311" s="88" t="n"/>
      <c r="N2311" s="89" t="n"/>
      <c r="O2311" s="88" t="n"/>
      <c r="P2311" s="88" t="n"/>
      <c r="Q2311" s="88" t="n"/>
      <c r="R2311" s="89" t="n"/>
      <c r="S2311" s="88" t="n"/>
      <c r="T2311" s="88" t="n"/>
      <c r="U2311" s="88" t="n"/>
      <c r="V2311" s="89" t="n"/>
      <c r="W2311" s="88" t="n"/>
      <c r="X2311" s="89" t="n"/>
      <c r="Y2311" s="88" t="n"/>
      <c r="Z2311" s="89" t="n"/>
      <c r="AB2311" s="30">
        <f>IF($B2311="","",(COUNTIF(C2311:E2311,"?*")&lt;N(INDEX(Setup!$L$6:$L$23,4)))+(COUNTIF(G2311:I2311,"?*")&lt;N(INDEX(Setup!$L$6:$L$23,4)))+(COUNTIF(K2311:M2311,"?*")&lt;N(INDEX(Setup!$L$6:$L$23,4)))+(COUNTIF(O2311:Q2311,"?*")&lt;N(INDEX(Setup!$L$6:$L$23,4)))+(COUNTIF(S2311:U2311,"?*")&lt;N(INDEX(Setup!$L$6:$L$23,4)))+((W2311="")*(INDEX(Setup!$M$6:$M$23,4)="Y"))+((Y2311="")*(INDEX(Setup!$M$6:$M$23,4)="Y")))</f>
        <v/>
      </c>
      <c r="AC2311" s="91">
        <f>IF($B2311="","",IF(AB2311=0,"✓ covered","⚠ "&amp;AB2311&amp;IF(AB2311=1," gap"," gaps")))</f>
        <v/>
      </c>
    </row>
    <row r="2312" ht="17" customHeight="1">
      <c r="A2312" t="n">
        <v>47</v>
      </c>
      <c r="B2312" s="24">
        <f>IF(Setup!$K$10="","",Setup!$K$10)</f>
        <v/>
      </c>
      <c r="C2312" s="88" t="n"/>
      <c r="D2312" s="88" t="n"/>
      <c r="E2312" s="88" t="n"/>
      <c r="F2312" s="89" t="n"/>
      <c r="G2312" s="88" t="n"/>
      <c r="H2312" s="88" t="n"/>
      <c r="I2312" s="88" t="n"/>
      <c r="J2312" s="89" t="n"/>
      <c r="K2312" s="88" t="n"/>
      <c r="L2312" s="88" t="n"/>
      <c r="M2312" s="88" t="n"/>
      <c r="N2312" s="89" t="n"/>
      <c r="O2312" s="88" t="n"/>
      <c r="P2312" s="88" t="n"/>
      <c r="Q2312" s="88" t="n"/>
      <c r="R2312" s="89" t="n"/>
      <c r="S2312" s="88" t="n"/>
      <c r="T2312" s="88" t="n"/>
      <c r="U2312" s="88" t="n"/>
      <c r="V2312" s="89" t="n"/>
      <c r="W2312" s="88" t="n"/>
      <c r="X2312" s="89" t="n"/>
      <c r="Y2312" s="88" t="n"/>
      <c r="Z2312" s="89" t="n"/>
      <c r="AB2312" s="25">
        <f>IF($B2312="","",(COUNTIF(C2312:E2312,"?*")&lt;N(INDEX(Setup!$L$6:$L$23,5)))+(COUNTIF(G2312:I2312,"?*")&lt;N(INDEX(Setup!$L$6:$L$23,5)))+(COUNTIF(K2312:M2312,"?*")&lt;N(INDEX(Setup!$L$6:$L$23,5)))+(COUNTIF(O2312:Q2312,"?*")&lt;N(INDEX(Setup!$L$6:$L$23,5)))+(COUNTIF(S2312:U2312,"?*")&lt;N(INDEX(Setup!$L$6:$L$23,5)))+((W2312="")*(INDEX(Setup!$M$6:$M$23,5)="Y"))+((Y2312="")*(INDEX(Setup!$M$6:$M$23,5)="Y")))</f>
        <v/>
      </c>
      <c r="AC2312" s="90">
        <f>IF($B2312="","",IF(AB2312=0,"✓ covered","⚠ "&amp;AB2312&amp;IF(AB2312=1," gap"," gaps")))</f>
        <v/>
      </c>
    </row>
    <row r="2313" ht="17" customHeight="1">
      <c r="A2313" t="n">
        <v>47</v>
      </c>
      <c r="B2313" s="29">
        <f>IF(Setup!$K$11="","",Setup!$K$11)</f>
        <v/>
      </c>
      <c r="C2313" s="88" t="n"/>
      <c r="D2313" s="88" t="n"/>
      <c r="E2313" s="88" t="n"/>
      <c r="F2313" s="89" t="n"/>
      <c r="G2313" s="88" t="n"/>
      <c r="H2313" s="88" t="n"/>
      <c r="I2313" s="88" t="n"/>
      <c r="J2313" s="89" t="n"/>
      <c r="K2313" s="88" t="n"/>
      <c r="L2313" s="88" t="n"/>
      <c r="M2313" s="88" t="n"/>
      <c r="N2313" s="89" t="n"/>
      <c r="O2313" s="88" t="n"/>
      <c r="P2313" s="88" t="n"/>
      <c r="Q2313" s="88" t="n"/>
      <c r="R2313" s="89" t="n"/>
      <c r="S2313" s="88" t="n"/>
      <c r="T2313" s="88" t="n"/>
      <c r="U2313" s="88" t="n"/>
      <c r="V2313" s="89" t="n"/>
      <c r="W2313" s="88" t="n"/>
      <c r="X2313" s="89" t="n"/>
      <c r="Y2313" s="88" t="n"/>
      <c r="Z2313" s="89" t="n"/>
      <c r="AB2313" s="30">
        <f>IF($B2313="","",(COUNTIF(C2313:E2313,"?*")&lt;N(INDEX(Setup!$L$6:$L$23,6)))+(COUNTIF(G2313:I2313,"?*")&lt;N(INDEX(Setup!$L$6:$L$23,6)))+(COUNTIF(K2313:M2313,"?*")&lt;N(INDEX(Setup!$L$6:$L$23,6)))+(COUNTIF(O2313:Q2313,"?*")&lt;N(INDEX(Setup!$L$6:$L$23,6)))+(COUNTIF(S2313:U2313,"?*")&lt;N(INDEX(Setup!$L$6:$L$23,6)))+((W2313="")*(INDEX(Setup!$M$6:$M$23,6)="Y"))+((Y2313="")*(INDEX(Setup!$M$6:$M$23,6)="Y")))</f>
        <v/>
      </c>
      <c r="AC2313" s="91">
        <f>IF($B2313="","",IF(AB2313=0,"✓ covered","⚠ "&amp;AB2313&amp;IF(AB2313=1," gap"," gaps")))</f>
        <v/>
      </c>
    </row>
    <row r="2314" ht="17" customHeight="1">
      <c r="A2314" t="n">
        <v>47</v>
      </c>
      <c r="B2314" s="24">
        <f>IF(Setup!$K$12="","",Setup!$K$12)</f>
        <v/>
      </c>
      <c r="C2314" s="88" t="n"/>
      <c r="D2314" s="88" t="n"/>
      <c r="E2314" s="88" t="n"/>
      <c r="F2314" s="89" t="n"/>
      <c r="G2314" s="88" t="n"/>
      <c r="H2314" s="88" t="n"/>
      <c r="I2314" s="88" t="n"/>
      <c r="J2314" s="89" t="n"/>
      <c r="K2314" s="88" t="n"/>
      <c r="L2314" s="88" t="n"/>
      <c r="M2314" s="88" t="n"/>
      <c r="N2314" s="89" t="n"/>
      <c r="O2314" s="88" t="n"/>
      <c r="P2314" s="88" t="n"/>
      <c r="Q2314" s="88" t="n"/>
      <c r="R2314" s="89" t="n"/>
      <c r="S2314" s="88" t="n"/>
      <c r="T2314" s="88" t="n"/>
      <c r="U2314" s="88" t="n"/>
      <c r="V2314" s="89" t="n"/>
      <c r="W2314" s="88" t="n"/>
      <c r="X2314" s="89" t="n"/>
      <c r="Y2314" s="88" t="n"/>
      <c r="Z2314" s="89" t="n"/>
      <c r="AB2314" s="25">
        <f>IF($B2314="","",(COUNTIF(C2314:E2314,"?*")&lt;N(INDEX(Setup!$L$6:$L$23,7)))+(COUNTIF(G2314:I2314,"?*")&lt;N(INDEX(Setup!$L$6:$L$23,7)))+(COUNTIF(K2314:M2314,"?*")&lt;N(INDEX(Setup!$L$6:$L$23,7)))+(COUNTIF(O2314:Q2314,"?*")&lt;N(INDEX(Setup!$L$6:$L$23,7)))+(COUNTIF(S2314:U2314,"?*")&lt;N(INDEX(Setup!$L$6:$L$23,7)))+((W2314="")*(INDEX(Setup!$M$6:$M$23,7)="Y"))+((Y2314="")*(INDEX(Setup!$M$6:$M$23,7)="Y")))</f>
        <v/>
      </c>
      <c r="AC2314" s="90">
        <f>IF($B2314="","",IF(AB2314=0,"✓ covered","⚠ "&amp;AB2314&amp;IF(AB2314=1," gap"," gaps")))</f>
        <v/>
      </c>
    </row>
    <row r="2315" ht="17" customHeight="1">
      <c r="A2315" t="n">
        <v>47</v>
      </c>
      <c r="B2315" s="29">
        <f>IF(Setup!$K$13="","",Setup!$K$13)</f>
        <v/>
      </c>
      <c r="C2315" s="88" t="n"/>
      <c r="D2315" s="88" t="n"/>
      <c r="E2315" s="88" t="n"/>
      <c r="F2315" s="89" t="n"/>
      <c r="G2315" s="88" t="n"/>
      <c r="H2315" s="88" t="n"/>
      <c r="I2315" s="88" t="n"/>
      <c r="J2315" s="89" t="n"/>
      <c r="K2315" s="88" t="n"/>
      <c r="L2315" s="88" t="n"/>
      <c r="M2315" s="88" t="n"/>
      <c r="N2315" s="89" t="n"/>
      <c r="O2315" s="88" t="n"/>
      <c r="P2315" s="88" t="n"/>
      <c r="Q2315" s="88" t="n"/>
      <c r="R2315" s="89" t="n"/>
      <c r="S2315" s="88" t="n"/>
      <c r="T2315" s="88" t="n"/>
      <c r="U2315" s="88" t="n"/>
      <c r="V2315" s="89" t="n"/>
      <c r="W2315" s="88" t="n"/>
      <c r="X2315" s="89" t="n"/>
      <c r="Y2315" s="88" t="n"/>
      <c r="Z2315" s="89" t="n"/>
      <c r="AB2315" s="30">
        <f>IF($B2315="","",(COUNTIF(C2315:E2315,"?*")&lt;N(INDEX(Setup!$L$6:$L$23,8)))+(COUNTIF(G2315:I2315,"?*")&lt;N(INDEX(Setup!$L$6:$L$23,8)))+(COUNTIF(K2315:M2315,"?*")&lt;N(INDEX(Setup!$L$6:$L$23,8)))+(COUNTIF(O2315:Q2315,"?*")&lt;N(INDEX(Setup!$L$6:$L$23,8)))+(COUNTIF(S2315:U2315,"?*")&lt;N(INDEX(Setup!$L$6:$L$23,8)))+((W2315="")*(INDEX(Setup!$M$6:$M$23,8)="Y"))+((Y2315="")*(INDEX(Setup!$M$6:$M$23,8)="Y")))</f>
        <v/>
      </c>
      <c r="AC2315" s="91">
        <f>IF($B2315="","",IF(AB2315=0,"✓ covered","⚠ "&amp;AB2315&amp;IF(AB2315=1," gap"," gaps")))</f>
        <v/>
      </c>
    </row>
    <row r="2316" ht="17" customHeight="1">
      <c r="A2316" t="n">
        <v>47</v>
      </c>
      <c r="B2316" s="24">
        <f>IF(Setup!$K$14="","",Setup!$K$14)</f>
        <v/>
      </c>
      <c r="C2316" s="88" t="n"/>
      <c r="D2316" s="88" t="n"/>
      <c r="E2316" s="88" t="n"/>
      <c r="F2316" s="89" t="n"/>
      <c r="G2316" s="88" t="n"/>
      <c r="H2316" s="88" t="n"/>
      <c r="I2316" s="88" t="n"/>
      <c r="J2316" s="89" t="n"/>
      <c r="K2316" s="88" t="n"/>
      <c r="L2316" s="88" t="n"/>
      <c r="M2316" s="88" t="n"/>
      <c r="N2316" s="89" t="n"/>
      <c r="O2316" s="88" t="n"/>
      <c r="P2316" s="88" t="n"/>
      <c r="Q2316" s="88" t="n"/>
      <c r="R2316" s="89" t="n"/>
      <c r="S2316" s="88" t="n"/>
      <c r="T2316" s="88" t="n"/>
      <c r="U2316" s="88" t="n"/>
      <c r="V2316" s="89" t="n"/>
      <c r="W2316" s="88" t="n"/>
      <c r="X2316" s="89" t="n"/>
      <c r="Y2316" s="88" t="n"/>
      <c r="Z2316" s="89" t="n"/>
      <c r="AB2316" s="25">
        <f>IF($B2316="","",(COUNTIF(C2316:E2316,"?*")&lt;N(INDEX(Setup!$L$6:$L$23,9)))+(COUNTIF(G2316:I2316,"?*")&lt;N(INDEX(Setup!$L$6:$L$23,9)))+(COUNTIF(K2316:M2316,"?*")&lt;N(INDEX(Setup!$L$6:$L$23,9)))+(COUNTIF(O2316:Q2316,"?*")&lt;N(INDEX(Setup!$L$6:$L$23,9)))+(COUNTIF(S2316:U2316,"?*")&lt;N(INDEX(Setup!$L$6:$L$23,9)))+((W2316="")*(INDEX(Setup!$M$6:$M$23,9)="Y"))+((Y2316="")*(INDEX(Setup!$M$6:$M$23,9)="Y")))</f>
        <v/>
      </c>
      <c r="AC2316" s="90">
        <f>IF($B2316="","",IF(AB2316=0,"✓ covered","⚠ "&amp;AB2316&amp;IF(AB2316=1," gap"," gaps")))</f>
        <v/>
      </c>
    </row>
    <row r="2317" ht="17" customHeight="1">
      <c r="A2317" t="n">
        <v>47</v>
      </c>
      <c r="B2317" s="29">
        <f>IF(Setup!$K$15="","",Setup!$K$15)</f>
        <v/>
      </c>
      <c r="C2317" s="88" t="n"/>
      <c r="D2317" s="88" t="n"/>
      <c r="E2317" s="88" t="n"/>
      <c r="F2317" s="89" t="n"/>
      <c r="G2317" s="88" t="n"/>
      <c r="H2317" s="88" t="n"/>
      <c r="I2317" s="88" t="n"/>
      <c r="J2317" s="89" t="n"/>
      <c r="K2317" s="88" t="n"/>
      <c r="L2317" s="88" t="n"/>
      <c r="M2317" s="88" t="n"/>
      <c r="N2317" s="89" t="n"/>
      <c r="O2317" s="88" t="n"/>
      <c r="P2317" s="88" t="n"/>
      <c r="Q2317" s="88" t="n"/>
      <c r="R2317" s="89" t="n"/>
      <c r="S2317" s="88" t="n"/>
      <c r="T2317" s="88" t="n"/>
      <c r="U2317" s="88" t="n"/>
      <c r="V2317" s="89" t="n"/>
      <c r="W2317" s="88" t="n"/>
      <c r="X2317" s="89" t="n"/>
      <c r="Y2317" s="88" t="n"/>
      <c r="Z2317" s="89" t="n"/>
      <c r="AB2317" s="30">
        <f>IF($B2317="","",(COUNTIF(C2317:E2317,"?*")&lt;N(INDEX(Setup!$L$6:$L$23,10)))+(COUNTIF(G2317:I2317,"?*")&lt;N(INDEX(Setup!$L$6:$L$23,10)))+(COUNTIF(K2317:M2317,"?*")&lt;N(INDEX(Setup!$L$6:$L$23,10)))+(COUNTIF(O2317:Q2317,"?*")&lt;N(INDEX(Setup!$L$6:$L$23,10)))+(COUNTIF(S2317:U2317,"?*")&lt;N(INDEX(Setup!$L$6:$L$23,10)))+((W2317="")*(INDEX(Setup!$M$6:$M$23,10)="Y"))+((Y2317="")*(INDEX(Setup!$M$6:$M$23,10)="Y")))</f>
        <v/>
      </c>
      <c r="AC2317" s="91">
        <f>IF($B2317="","",IF(AB2317=0,"✓ covered","⚠ "&amp;AB2317&amp;IF(AB2317=1," gap"," gaps")))</f>
        <v/>
      </c>
    </row>
    <row r="2318" ht="17" customHeight="1">
      <c r="A2318" t="n">
        <v>47</v>
      </c>
      <c r="B2318" s="24">
        <f>IF(Setup!$K$16="","",Setup!$K$16)</f>
        <v/>
      </c>
      <c r="C2318" s="88" t="n"/>
      <c r="D2318" s="88" t="n"/>
      <c r="E2318" s="88" t="n"/>
      <c r="F2318" s="89" t="n"/>
      <c r="G2318" s="88" t="n"/>
      <c r="H2318" s="88" t="n"/>
      <c r="I2318" s="88" t="n"/>
      <c r="J2318" s="89" t="n"/>
      <c r="K2318" s="88" t="n"/>
      <c r="L2318" s="88" t="n"/>
      <c r="M2318" s="88" t="n"/>
      <c r="N2318" s="89" t="n"/>
      <c r="O2318" s="88" t="n"/>
      <c r="P2318" s="88" t="n"/>
      <c r="Q2318" s="88" t="n"/>
      <c r="R2318" s="89" t="n"/>
      <c r="S2318" s="88" t="n"/>
      <c r="T2318" s="88" t="n"/>
      <c r="U2318" s="88" t="n"/>
      <c r="V2318" s="89" t="n"/>
      <c r="W2318" s="88" t="n"/>
      <c r="X2318" s="89" t="n"/>
      <c r="Y2318" s="88" t="n"/>
      <c r="Z2318" s="89" t="n"/>
      <c r="AB2318" s="25">
        <f>IF($B2318="","",(COUNTIF(C2318:E2318,"?*")&lt;N(INDEX(Setup!$L$6:$L$23,11)))+(COUNTIF(G2318:I2318,"?*")&lt;N(INDEX(Setup!$L$6:$L$23,11)))+(COUNTIF(K2318:M2318,"?*")&lt;N(INDEX(Setup!$L$6:$L$23,11)))+(COUNTIF(O2318:Q2318,"?*")&lt;N(INDEX(Setup!$L$6:$L$23,11)))+(COUNTIF(S2318:U2318,"?*")&lt;N(INDEX(Setup!$L$6:$L$23,11)))+((W2318="")*(INDEX(Setup!$M$6:$M$23,11)="Y"))+((Y2318="")*(INDEX(Setup!$M$6:$M$23,11)="Y")))</f>
        <v/>
      </c>
      <c r="AC2318" s="90">
        <f>IF($B2318="","",IF(AB2318=0,"✓ covered","⚠ "&amp;AB2318&amp;IF(AB2318=1," gap"," gaps")))</f>
        <v/>
      </c>
    </row>
    <row r="2319" ht="17" customHeight="1">
      <c r="A2319" t="n">
        <v>47</v>
      </c>
      <c r="B2319" s="29">
        <f>IF(Setup!$K$17="","",Setup!$K$17)</f>
        <v/>
      </c>
      <c r="C2319" s="88" t="n"/>
      <c r="D2319" s="88" t="n"/>
      <c r="E2319" s="88" t="n"/>
      <c r="F2319" s="89" t="n"/>
      <c r="G2319" s="88" t="n"/>
      <c r="H2319" s="88" t="n"/>
      <c r="I2319" s="88" t="n"/>
      <c r="J2319" s="89" t="n"/>
      <c r="K2319" s="88" t="n"/>
      <c r="L2319" s="88" t="n"/>
      <c r="M2319" s="88" t="n"/>
      <c r="N2319" s="89" t="n"/>
      <c r="O2319" s="88" t="n"/>
      <c r="P2319" s="88" t="n"/>
      <c r="Q2319" s="88" t="n"/>
      <c r="R2319" s="89" t="n"/>
      <c r="S2319" s="88" t="n"/>
      <c r="T2319" s="88" t="n"/>
      <c r="U2319" s="88" t="n"/>
      <c r="V2319" s="89" t="n"/>
      <c r="W2319" s="88" t="n"/>
      <c r="X2319" s="89" t="n"/>
      <c r="Y2319" s="88" t="n"/>
      <c r="Z2319" s="89" t="n"/>
      <c r="AB2319" s="30">
        <f>IF($B2319="","",(COUNTIF(C2319:E2319,"?*")&lt;N(INDEX(Setup!$L$6:$L$23,12)))+(COUNTIF(G2319:I2319,"?*")&lt;N(INDEX(Setup!$L$6:$L$23,12)))+(COUNTIF(K2319:M2319,"?*")&lt;N(INDEX(Setup!$L$6:$L$23,12)))+(COUNTIF(O2319:Q2319,"?*")&lt;N(INDEX(Setup!$L$6:$L$23,12)))+(COUNTIF(S2319:U2319,"?*")&lt;N(INDEX(Setup!$L$6:$L$23,12)))+((W2319="")*(INDEX(Setup!$M$6:$M$23,12)="Y"))+((Y2319="")*(INDEX(Setup!$M$6:$M$23,12)="Y")))</f>
        <v/>
      </c>
      <c r="AC2319" s="91">
        <f>IF($B2319="","",IF(AB2319=0,"✓ covered","⚠ "&amp;AB2319&amp;IF(AB2319=1," gap"," gaps")))</f>
        <v/>
      </c>
    </row>
    <row r="2320" ht="17" customHeight="1">
      <c r="A2320" t="n">
        <v>47</v>
      </c>
      <c r="B2320" s="24">
        <f>IF(Setup!$K$18="","",Setup!$K$18)</f>
        <v/>
      </c>
      <c r="C2320" s="88" t="n"/>
      <c r="D2320" s="88" t="n"/>
      <c r="E2320" s="88" t="n"/>
      <c r="F2320" s="89" t="n"/>
      <c r="G2320" s="88" t="n"/>
      <c r="H2320" s="88" t="n"/>
      <c r="I2320" s="88" t="n"/>
      <c r="J2320" s="89" t="n"/>
      <c r="K2320" s="88" t="n"/>
      <c r="L2320" s="88" t="n"/>
      <c r="M2320" s="88" t="n"/>
      <c r="N2320" s="89" t="n"/>
      <c r="O2320" s="88" t="n"/>
      <c r="P2320" s="88" t="n"/>
      <c r="Q2320" s="88" t="n"/>
      <c r="R2320" s="89" t="n"/>
      <c r="S2320" s="88" t="n"/>
      <c r="T2320" s="88" t="n"/>
      <c r="U2320" s="88" t="n"/>
      <c r="V2320" s="89" t="n"/>
      <c r="W2320" s="88" t="n"/>
      <c r="X2320" s="89" t="n"/>
      <c r="Y2320" s="88" t="n"/>
      <c r="Z2320" s="89" t="n"/>
      <c r="AB2320" s="25">
        <f>IF($B2320="","",(COUNTIF(C2320:E2320,"?*")&lt;N(INDEX(Setup!$L$6:$L$23,13)))+(COUNTIF(G2320:I2320,"?*")&lt;N(INDEX(Setup!$L$6:$L$23,13)))+(COUNTIF(K2320:M2320,"?*")&lt;N(INDEX(Setup!$L$6:$L$23,13)))+(COUNTIF(O2320:Q2320,"?*")&lt;N(INDEX(Setup!$L$6:$L$23,13)))+(COUNTIF(S2320:U2320,"?*")&lt;N(INDEX(Setup!$L$6:$L$23,13)))+((W2320="")*(INDEX(Setup!$M$6:$M$23,13)="Y"))+((Y2320="")*(INDEX(Setup!$M$6:$M$23,13)="Y")))</f>
        <v/>
      </c>
      <c r="AC2320" s="90">
        <f>IF($B2320="","",IF(AB2320=0,"✓ covered","⚠ "&amp;AB2320&amp;IF(AB2320=1," gap"," gaps")))</f>
        <v/>
      </c>
    </row>
    <row r="2321" ht="17" customHeight="1">
      <c r="A2321" t="n">
        <v>47</v>
      </c>
      <c r="B2321" s="29">
        <f>IF(Setup!$K$19="","",Setup!$K$19)</f>
        <v/>
      </c>
      <c r="C2321" s="88" t="n"/>
      <c r="D2321" s="88" t="n"/>
      <c r="E2321" s="88" t="n"/>
      <c r="F2321" s="89" t="n"/>
      <c r="G2321" s="88" t="n"/>
      <c r="H2321" s="88" t="n"/>
      <c r="I2321" s="88" t="n"/>
      <c r="J2321" s="89" t="n"/>
      <c r="K2321" s="88" t="n"/>
      <c r="L2321" s="88" t="n"/>
      <c r="M2321" s="88" t="n"/>
      <c r="N2321" s="89" t="n"/>
      <c r="O2321" s="88" t="n"/>
      <c r="P2321" s="88" t="n"/>
      <c r="Q2321" s="88" t="n"/>
      <c r="R2321" s="89" t="n"/>
      <c r="S2321" s="88" t="n"/>
      <c r="T2321" s="88" t="n"/>
      <c r="U2321" s="88" t="n"/>
      <c r="V2321" s="89" t="n"/>
      <c r="W2321" s="88" t="n"/>
      <c r="X2321" s="89" t="n"/>
      <c r="Y2321" s="88" t="n"/>
      <c r="Z2321" s="89" t="n"/>
      <c r="AB2321" s="30">
        <f>IF($B2321="","",(COUNTIF(C2321:E2321,"?*")&lt;N(INDEX(Setup!$L$6:$L$23,14)))+(COUNTIF(G2321:I2321,"?*")&lt;N(INDEX(Setup!$L$6:$L$23,14)))+(COUNTIF(K2321:M2321,"?*")&lt;N(INDEX(Setup!$L$6:$L$23,14)))+(COUNTIF(O2321:Q2321,"?*")&lt;N(INDEX(Setup!$L$6:$L$23,14)))+(COUNTIF(S2321:U2321,"?*")&lt;N(INDEX(Setup!$L$6:$L$23,14)))+((W2321="")*(INDEX(Setup!$M$6:$M$23,14)="Y"))+((Y2321="")*(INDEX(Setup!$M$6:$M$23,14)="Y")))</f>
        <v/>
      </c>
      <c r="AC2321" s="91">
        <f>IF($B2321="","",IF(AB2321=0,"✓ covered","⚠ "&amp;AB2321&amp;IF(AB2321=1," gap"," gaps")))</f>
        <v/>
      </c>
    </row>
    <row r="2322" ht="17" customHeight="1">
      <c r="A2322" t="n">
        <v>47</v>
      </c>
      <c r="B2322" s="24">
        <f>IF(Setup!$K$20="","",Setup!$K$20)</f>
        <v/>
      </c>
      <c r="C2322" s="88" t="n"/>
      <c r="D2322" s="88" t="n"/>
      <c r="E2322" s="88" t="n"/>
      <c r="F2322" s="89" t="n"/>
      <c r="G2322" s="88" t="n"/>
      <c r="H2322" s="88" t="n"/>
      <c r="I2322" s="88" t="n"/>
      <c r="J2322" s="89" t="n"/>
      <c r="K2322" s="88" t="n"/>
      <c r="L2322" s="88" t="n"/>
      <c r="M2322" s="88" t="n"/>
      <c r="N2322" s="89" t="n"/>
      <c r="O2322" s="88" t="n"/>
      <c r="P2322" s="88" t="n"/>
      <c r="Q2322" s="88" t="n"/>
      <c r="R2322" s="89" t="n"/>
      <c r="S2322" s="88" t="n"/>
      <c r="T2322" s="88" t="n"/>
      <c r="U2322" s="88" t="n"/>
      <c r="V2322" s="89" t="n"/>
      <c r="W2322" s="88" t="n"/>
      <c r="X2322" s="89" t="n"/>
      <c r="Y2322" s="88" t="n"/>
      <c r="Z2322" s="89" t="n"/>
      <c r="AB2322" s="25">
        <f>IF($B2322="","",(COUNTIF(C2322:E2322,"?*")&lt;N(INDEX(Setup!$L$6:$L$23,15)))+(COUNTIF(G2322:I2322,"?*")&lt;N(INDEX(Setup!$L$6:$L$23,15)))+(COUNTIF(K2322:M2322,"?*")&lt;N(INDEX(Setup!$L$6:$L$23,15)))+(COUNTIF(O2322:Q2322,"?*")&lt;N(INDEX(Setup!$L$6:$L$23,15)))+(COUNTIF(S2322:U2322,"?*")&lt;N(INDEX(Setup!$L$6:$L$23,15)))+((W2322="")*(INDEX(Setup!$M$6:$M$23,15)="Y"))+((Y2322="")*(INDEX(Setup!$M$6:$M$23,15)="Y")))</f>
        <v/>
      </c>
      <c r="AC2322" s="90">
        <f>IF($B2322="","",IF(AB2322=0,"✓ covered","⚠ "&amp;AB2322&amp;IF(AB2322=1," gap"," gaps")))</f>
        <v/>
      </c>
    </row>
    <row r="2323" ht="17" customHeight="1">
      <c r="A2323" t="n">
        <v>47</v>
      </c>
      <c r="B2323" s="29">
        <f>IF(Setup!$K$21="","",Setup!$K$21)</f>
        <v/>
      </c>
      <c r="C2323" s="88" t="n"/>
      <c r="D2323" s="88" t="n"/>
      <c r="E2323" s="88" t="n"/>
      <c r="F2323" s="89" t="n"/>
      <c r="G2323" s="88" t="n"/>
      <c r="H2323" s="88" t="n"/>
      <c r="I2323" s="88" t="n"/>
      <c r="J2323" s="89" t="n"/>
      <c r="K2323" s="88" t="n"/>
      <c r="L2323" s="88" t="n"/>
      <c r="M2323" s="88" t="n"/>
      <c r="N2323" s="89" t="n"/>
      <c r="O2323" s="88" t="n"/>
      <c r="P2323" s="88" t="n"/>
      <c r="Q2323" s="88" t="n"/>
      <c r="R2323" s="89" t="n"/>
      <c r="S2323" s="88" t="n"/>
      <c r="T2323" s="88" t="n"/>
      <c r="U2323" s="88" t="n"/>
      <c r="V2323" s="89" t="n"/>
      <c r="W2323" s="88" t="n"/>
      <c r="X2323" s="89" t="n"/>
      <c r="Y2323" s="88" t="n"/>
      <c r="Z2323" s="89" t="n"/>
      <c r="AB2323" s="30">
        <f>IF($B2323="","",(COUNTIF(C2323:E2323,"?*")&lt;N(INDEX(Setup!$L$6:$L$23,16)))+(COUNTIF(G2323:I2323,"?*")&lt;N(INDEX(Setup!$L$6:$L$23,16)))+(COUNTIF(K2323:M2323,"?*")&lt;N(INDEX(Setup!$L$6:$L$23,16)))+(COUNTIF(O2323:Q2323,"?*")&lt;N(INDEX(Setup!$L$6:$L$23,16)))+(COUNTIF(S2323:U2323,"?*")&lt;N(INDEX(Setup!$L$6:$L$23,16)))+((W2323="")*(INDEX(Setup!$M$6:$M$23,16)="Y"))+((Y2323="")*(INDEX(Setup!$M$6:$M$23,16)="Y")))</f>
        <v/>
      </c>
      <c r="AC2323" s="91">
        <f>IF($B2323="","",IF(AB2323=0,"✓ covered","⚠ "&amp;AB2323&amp;IF(AB2323=1," gap"," gaps")))</f>
        <v/>
      </c>
    </row>
    <row r="2324" ht="17" customHeight="1">
      <c r="A2324" t="n">
        <v>47</v>
      </c>
      <c r="B2324" s="24">
        <f>IF(Setup!$K$22="","",Setup!$K$22)</f>
        <v/>
      </c>
      <c r="C2324" s="88" t="n"/>
      <c r="D2324" s="88" t="n"/>
      <c r="E2324" s="88" t="n"/>
      <c r="F2324" s="89" t="n"/>
      <c r="G2324" s="88" t="n"/>
      <c r="H2324" s="88" t="n"/>
      <c r="I2324" s="88" t="n"/>
      <c r="J2324" s="89" t="n"/>
      <c r="K2324" s="88" t="n"/>
      <c r="L2324" s="88" t="n"/>
      <c r="M2324" s="88" t="n"/>
      <c r="N2324" s="89" t="n"/>
      <c r="O2324" s="88" t="n"/>
      <c r="P2324" s="88" t="n"/>
      <c r="Q2324" s="88" t="n"/>
      <c r="R2324" s="89" t="n"/>
      <c r="S2324" s="88" t="n"/>
      <c r="T2324" s="88" t="n"/>
      <c r="U2324" s="88" t="n"/>
      <c r="V2324" s="89" t="n"/>
      <c r="W2324" s="88" t="n"/>
      <c r="X2324" s="89" t="n"/>
      <c r="Y2324" s="88" t="n"/>
      <c r="Z2324" s="89" t="n"/>
      <c r="AB2324" s="25">
        <f>IF($B2324="","",(COUNTIF(C2324:E2324,"?*")&lt;N(INDEX(Setup!$L$6:$L$23,17)))+(COUNTIF(G2324:I2324,"?*")&lt;N(INDEX(Setup!$L$6:$L$23,17)))+(COUNTIF(K2324:M2324,"?*")&lt;N(INDEX(Setup!$L$6:$L$23,17)))+(COUNTIF(O2324:Q2324,"?*")&lt;N(INDEX(Setup!$L$6:$L$23,17)))+(COUNTIF(S2324:U2324,"?*")&lt;N(INDEX(Setup!$L$6:$L$23,17)))+((W2324="")*(INDEX(Setup!$M$6:$M$23,17)="Y"))+((Y2324="")*(INDEX(Setup!$M$6:$M$23,17)="Y")))</f>
        <v/>
      </c>
      <c r="AC2324" s="90">
        <f>IF($B2324="","",IF(AB2324=0,"✓ covered","⚠ "&amp;AB2324&amp;IF(AB2324=1," gap"," gaps")))</f>
        <v/>
      </c>
    </row>
    <row r="2325" ht="17" customHeight="1">
      <c r="A2325" t="n">
        <v>47</v>
      </c>
      <c r="B2325" s="29">
        <f>IF(Setup!$K$23="","",Setup!$K$23)</f>
        <v/>
      </c>
      <c r="C2325" s="88" t="n"/>
      <c r="D2325" s="88" t="n"/>
      <c r="E2325" s="88" t="n"/>
      <c r="F2325" s="89" t="n"/>
      <c r="G2325" s="88" t="n"/>
      <c r="H2325" s="88" t="n"/>
      <c r="I2325" s="88" t="n"/>
      <c r="J2325" s="89" t="n"/>
      <c r="K2325" s="88" t="n"/>
      <c r="L2325" s="88" t="n"/>
      <c r="M2325" s="88" t="n"/>
      <c r="N2325" s="89" t="n"/>
      <c r="O2325" s="88" t="n"/>
      <c r="P2325" s="88" t="n"/>
      <c r="Q2325" s="88" t="n"/>
      <c r="R2325" s="89" t="n"/>
      <c r="S2325" s="88" t="n"/>
      <c r="T2325" s="88" t="n"/>
      <c r="U2325" s="88" t="n"/>
      <c r="V2325" s="89" t="n"/>
      <c r="W2325" s="88" t="n"/>
      <c r="X2325" s="89" t="n"/>
      <c r="Y2325" s="88" t="n"/>
      <c r="Z2325" s="89" t="n"/>
      <c r="AB2325" s="30">
        <f>IF($B2325="","",(COUNTIF(C2325:E2325,"?*")&lt;N(INDEX(Setup!$L$6:$L$23,18)))+(COUNTIF(G2325:I2325,"?*")&lt;N(INDEX(Setup!$L$6:$L$23,18)))+(COUNTIF(K2325:M2325,"?*")&lt;N(INDEX(Setup!$L$6:$L$23,18)))+(COUNTIF(O2325:Q2325,"?*")&lt;N(INDEX(Setup!$L$6:$L$23,18)))+(COUNTIF(S2325:U2325,"?*")&lt;N(INDEX(Setup!$L$6:$L$23,18)))+((W2325="")*(INDEX(Setup!$M$6:$M$23,18)="Y"))+((Y2325="")*(INDEX(Setup!$M$6:$M$23,18)="Y")))</f>
        <v/>
      </c>
      <c r="AC2325" s="91">
        <f>IF($B2325="","",IF(AB2325=0,"✓ covered","⚠ "&amp;AB2325&amp;IF(AB2325=1," gap"," gaps")))</f>
        <v/>
      </c>
    </row>
    <row r="2326" ht="18" customHeight="1">
      <c r="A2326" t="n">
        <v>47</v>
      </c>
      <c r="B2326" s="78" t="inlineStr">
        <is>
          <t>TEAM AVAILABILITY</t>
        </is>
      </c>
      <c r="C2326" s="92" t="inlineStr">
        <is>
          <t>Mon</t>
        </is>
      </c>
      <c r="D2326" s="93" t="n"/>
      <c r="E2326" s="93" t="n"/>
      <c r="F2326" s="94" t="n"/>
      <c r="G2326" s="92" t="inlineStr">
        <is>
          <t>Tue</t>
        </is>
      </c>
      <c r="H2326" s="93" t="n"/>
      <c r="I2326" s="93" t="n"/>
      <c r="J2326" s="94" t="n"/>
      <c r="K2326" s="92" t="inlineStr">
        <is>
          <t>Wed</t>
        </is>
      </c>
      <c r="L2326" s="93" t="n"/>
      <c r="M2326" s="93" t="n"/>
      <c r="N2326" s="94" t="n"/>
      <c r="O2326" s="92" t="inlineStr">
        <is>
          <t>Thu</t>
        </is>
      </c>
      <c r="P2326" s="93" t="n"/>
      <c r="Q2326" s="93" t="n"/>
      <c r="R2326" s="94" t="n"/>
      <c r="S2326" s="92" t="inlineStr">
        <is>
          <t>Fri</t>
        </is>
      </c>
      <c r="T2326" s="93" t="n"/>
      <c r="U2326" s="93" t="n"/>
      <c r="V2326" s="94" t="n"/>
      <c r="W2326" s="95" t="inlineStr">
        <is>
          <t>Sat</t>
        </is>
      </c>
      <c r="X2326" s="96" t="n"/>
      <c r="Y2326" s="95" t="inlineStr">
        <is>
          <t>Sun</t>
        </is>
      </c>
      <c r="Z2326" s="96" t="n"/>
      <c r="AB2326" s="97" t="inlineStr">
        <is>
          <t>Days rostered</t>
        </is>
      </c>
      <c r="AC2326" s="97" t="inlineStr">
        <is>
          <t>Conflicts</t>
        </is>
      </c>
    </row>
    <row r="2327" ht="15" customHeight="1">
      <c r="A2327" t="n">
        <v>47</v>
      </c>
      <c r="B2327" s="35">
        <f>IF(Setup!$B$6="","",Setup!$B$6)</f>
        <v/>
      </c>
      <c r="C2327" s="98" t="n"/>
      <c r="D2327" s="99" t="n"/>
      <c r="E2327" s="99" t="n"/>
      <c r="F2327" s="100" t="n"/>
      <c r="G2327" s="98" t="n"/>
      <c r="H2327" s="99" t="n"/>
      <c r="I2327" s="99" t="n"/>
      <c r="J2327" s="100" t="n"/>
      <c r="K2327" s="98" t="n"/>
      <c r="L2327" s="99" t="n"/>
      <c r="M2327" s="99" t="n"/>
      <c r="N2327" s="100" t="n"/>
      <c r="O2327" s="98" t="n"/>
      <c r="P2327" s="99" t="n"/>
      <c r="Q2327" s="99" t="n"/>
      <c r="R2327" s="100" t="n"/>
      <c r="S2327" s="98" t="n"/>
      <c r="T2327" s="99" t="n"/>
      <c r="U2327" s="99" t="n"/>
      <c r="V2327" s="100" t="n"/>
      <c r="W2327" s="98" t="n"/>
      <c r="X2327" s="100" t="n"/>
      <c r="Y2327" s="98" t="n"/>
      <c r="Z2327" s="100" t="n"/>
      <c r="AB2327" s="101">
        <f>IF($B2327="","",(COUNTIF(C2308:E2325,$B2327)+COUNTIF(C2308:E2325,$B2327&amp;" ~*")&gt;0)+(COUNTIF(G2308:I2325,$B2327)+COUNTIF(G2308:I2325,$B2327&amp;" ~*")&gt;0)+(COUNTIF(K2308:M2325,$B2327)+COUNTIF(K2308:M2325,$B2327&amp;" ~*")&gt;0)+(COUNTIF(O2308:Q2325,$B2327)+COUNTIF(O2308:Q2325,$B2327&amp;" ~*")&gt;0)+(COUNTIF(S2308:U2325,$B2327)+COUNTIF(S2308:U2325,$B2327&amp;" ~*")&gt;0)+(COUNTIF(W2308:W2325,$B2327)+COUNTIF(W2308:W2325,$B2327&amp;" ~*")&gt;0)+(COUNTIF(Y2308:Y2325,$B2327)+COUNTIF(Y2308:Y2325,$B2327&amp;" ~*")&gt;0))</f>
        <v/>
      </c>
      <c r="AC2327" s="36">
        <f>IF($B2327="","",(IFERROR(INDEX(Setup!$G$33:$G$40,MATCH(C2327,Setup!$B$33:$B$40,0)),0)=1)*(COUNTIF(C2308:E2325,$B2327)+COUNTIF(C2308:E2325,$B2327&amp;" ~*")&gt;0)+(IFERROR(INDEX(Setup!$G$33:$G$40,MATCH(G2327,Setup!$B$33:$B$40,0)),0)=1)*(COUNTIF(G2308:I2325,$B2327)+COUNTIF(G2308:I2325,$B2327&amp;" ~*")&gt;0)+(IFERROR(INDEX(Setup!$G$33:$G$40,MATCH(K2327,Setup!$B$33:$B$40,0)),0)=1)*(COUNTIF(K2308:M2325,$B2327)+COUNTIF(K2308:M2325,$B2327&amp;" ~*")&gt;0)+(IFERROR(INDEX(Setup!$G$33:$G$40,MATCH(O2327,Setup!$B$33:$B$40,0)),0)=1)*(COUNTIF(O2308:Q2325,$B2327)+COUNTIF(O2308:Q2325,$B2327&amp;" ~*")&gt;0)+(IFERROR(INDEX(Setup!$G$33:$G$40,MATCH(S2327,Setup!$B$33:$B$40,0)),0)=1)*(COUNTIF(S2308:U2325,$B2327)+COUNTIF(S2308:U2325,$B2327&amp;" ~*")&gt;0)+(IFERROR(INDEX(Setup!$G$33:$G$40,MATCH(W2327,Setup!$B$33:$B$40,0)),0)=1)*(COUNTIF(W2308:W2325,$B2327)+COUNTIF(W2308:W2325,$B2327&amp;" ~*")&gt;0)+(IFERROR(INDEX(Setup!$G$33:$G$40,MATCH(Y2327,Setup!$B$33:$B$40,0)),0)=1)*(COUNTIF(Y2308:Y2325,$B2327)+COUNTIF(Y2308:Y2325,$B2327&amp;" ~*")&gt;0))</f>
        <v/>
      </c>
    </row>
    <row r="2328" ht="15" customHeight="1">
      <c r="A2328" t="n">
        <v>47</v>
      </c>
      <c r="B2328" s="37">
        <f>IF(Setup!$B$7="","",Setup!$B$7)</f>
        <v/>
      </c>
      <c r="C2328" s="102" t="n"/>
      <c r="D2328" s="103" t="n"/>
      <c r="E2328" s="103" t="n"/>
      <c r="F2328" s="104" t="n"/>
      <c r="G2328" s="102" t="n"/>
      <c r="H2328" s="103" t="n"/>
      <c r="I2328" s="103" t="n"/>
      <c r="J2328" s="104" t="n"/>
      <c r="K2328" s="102" t="n"/>
      <c r="L2328" s="103" t="n"/>
      <c r="M2328" s="103" t="n"/>
      <c r="N2328" s="104" t="n"/>
      <c r="O2328" s="102" t="n"/>
      <c r="P2328" s="103" t="n"/>
      <c r="Q2328" s="103" t="n"/>
      <c r="R2328" s="104" t="n"/>
      <c r="S2328" s="102" t="n"/>
      <c r="T2328" s="103" t="n"/>
      <c r="U2328" s="103" t="n"/>
      <c r="V2328" s="104" t="n"/>
      <c r="W2328" s="102" t="n"/>
      <c r="X2328" s="104" t="n"/>
      <c r="Y2328" s="102" t="n"/>
      <c r="Z2328" s="104" t="n"/>
      <c r="AB2328" s="105">
        <f>IF($B2328="","",(COUNTIF(C2308:E2325,$B2328)+COUNTIF(C2308:E2325,$B2328&amp;" ~*")&gt;0)+(COUNTIF(G2308:I2325,$B2328)+COUNTIF(G2308:I2325,$B2328&amp;" ~*")&gt;0)+(COUNTIF(K2308:M2325,$B2328)+COUNTIF(K2308:M2325,$B2328&amp;" ~*")&gt;0)+(COUNTIF(O2308:Q2325,$B2328)+COUNTIF(O2308:Q2325,$B2328&amp;" ~*")&gt;0)+(COUNTIF(S2308:U2325,$B2328)+COUNTIF(S2308:U2325,$B2328&amp;" ~*")&gt;0)+(COUNTIF(W2308:W2325,$B2328)+COUNTIF(W2308:W2325,$B2328&amp;" ~*")&gt;0)+(COUNTIF(Y2308:Y2325,$B2328)+COUNTIF(Y2308:Y2325,$B2328&amp;" ~*")&gt;0))</f>
        <v/>
      </c>
      <c r="AC2328" s="38">
        <f>IF($B2328="","",(IFERROR(INDEX(Setup!$G$33:$G$40,MATCH(C2328,Setup!$B$33:$B$40,0)),0)=1)*(COUNTIF(C2308:E2325,$B2328)+COUNTIF(C2308:E2325,$B2328&amp;" ~*")&gt;0)+(IFERROR(INDEX(Setup!$G$33:$G$40,MATCH(G2328,Setup!$B$33:$B$40,0)),0)=1)*(COUNTIF(G2308:I2325,$B2328)+COUNTIF(G2308:I2325,$B2328&amp;" ~*")&gt;0)+(IFERROR(INDEX(Setup!$G$33:$G$40,MATCH(K2328,Setup!$B$33:$B$40,0)),0)=1)*(COUNTIF(K2308:M2325,$B2328)+COUNTIF(K2308:M2325,$B2328&amp;" ~*")&gt;0)+(IFERROR(INDEX(Setup!$G$33:$G$40,MATCH(O2328,Setup!$B$33:$B$40,0)),0)=1)*(COUNTIF(O2308:Q2325,$B2328)+COUNTIF(O2308:Q2325,$B2328&amp;" ~*")&gt;0)+(IFERROR(INDEX(Setup!$G$33:$G$40,MATCH(S2328,Setup!$B$33:$B$40,0)),0)=1)*(COUNTIF(S2308:U2325,$B2328)+COUNTIF(S2308:U2325,$B2328&amp;" ~*")&gt;0)+(IFERROR(INDEX(Setup!$G$33:$G$40,MATCH(W2328,Setup!$B$33:$B$40,0)),0)=1)*(COUNTIF(W2308:W2325,$B2328)+COUNTIF(W2308:W2325,$B2328&amp;" ~*")&gt;0)+(IFERROR(INDEX(Setup!$G$33:$G$40,MATCH(Y2328,Setup!$B$33:$B$40,0)),0)=1)*(COUNTIF(Y2308:Y2325,$B2328)+COUNTIF(Y2308:Y2325,$B2328&amp;" ~*")&gt;0))</f>
        <v/>
      </c>
    </row>
    <row r="2329" ht="15" customHeight="1">
      <c r="A2329" t="n">
        <v>47</v>
      </c>
      <c r="B2329" s="35">
        <f>IF(Setup!$B$8="","",Setup!$B$8)</f>
        <v/>
      </c>
      <c r="C2329" s="98" t="n"/>
      <c r="D2329" s="99" t="n"/>
      <c r="E2329" s="99" t="n"/>
      <c r="F2329" s="100" t="n"/>
      <c r="G2329" s="98" t="n"/>
      <c r="H2329" s="99" t="n"/>
      <c r="I2329" s="99" t="n"/>
      <c r="J2329" s="100" t="n"/>
      <c r="K2329" s="98" t="n"/>
      <c r="L2329" s="99" t="n"/>
      <c r="M2329" s="99" t="n"/>
      <c r="N2329" s="100" t="n"/>
      <c r="O2329" s="98" t="n"/>
      <c r="P2329" s="99" t="n"/>
      <c r="Q2329" s="99" t="n"/>
      <c r="R2329" s="100" t="n"/>
      <c r="S2329" s="98" t="n"/>
      <c r="T2329" s="99" t="n"/>
      <c r="U2329" s="99" t="n"/>
      <c r="V2329" s="100" t="n"/>
      <c r="W2329" s="98" t="n"/>
      <c r="X2329" s="100" t="n"/>
      <c r="Y2329" s="98" t="n"/>
      <c r="Z2329" s="100" t="n"/>
      <c r="AB2329" s="101">
        <f>IF($B2329="","",(COUNTIF(C2308:E2325,$B2329)+COUNTIF(C2308:E2325,$B2329&amp;" ~*")&gt;0)+(COUNTIF(G2308:I2325,$B2329)+COUNTIF(G2308:I2325,$B2329&amp;" ~*")&gt;0)+(COUNTIF(K2308:M2325,$B2329)+COUNTIF(K2308:M2325,$B2329&amp;" ~*")&gt;0)+(COUNTIF(O2308:Q2325,$B2329)+COUNTIF(O2308:Q2325,$B2329&amp;" ~*")&gt;0)+(COUNTIF(S2308:U2325,$B2329)+COUNTIF(S2308:U2325,$B2329&amp;" ~*")&gt;0)+(COUNTIF(W2308:W2325,$B2329)+COUNTIF(W2308:W2325,$B2329&amp;" ~*")&gt;0)+(COUNTIF(Y2308:Y2325,$B2329)+COUNTIF(Y2308:Y2325,$B2329&amp;" ~*")&gt;0))</f>
        <v/>
      </c>
      <c r="AC2329" s="36">
        <f>IF($B2329="","",(IFERROR(INDEX(Setup!$G$33:$G$40,MATCH(C2329,Setup!$B$33:$B$40,0)),0)=1)*(COUNTIF(C2308:E2325,$B2329)+COUNTIF(C2308:E2325,$B2329&amp;" ~*")&gt;0)+(IFERROR(INDEX(Setup!$G$33:$G$40,MATCH(G2329,Setup!$B$33:$B$40,0)),0)=1)*(COUNTIF(G2308:I2325,$B2329)+COUNTIF(G2308:I2325,$B2329&amp;" ~*")&gt;0)+(IFERROR(INDEX(Setup!$G$33:$G$40,MATCH(K2329,Setup!$B$33:$B$40,0)),0)=1)*(COUNTIF(K2308:M2325,$B2329)+COUNTIF(K2308:M2325,$B2329&amp;" ~*")&gt;0)+(IFERROR(INDEX(Setup!$G$33:$G$40,MATCH(O2329,Setup!$B$33:$B$40,0)),0)=1)*(COUNTIF(O2308:Q2325,$B2329)+COUNTIF(O2308:Q2325,$B2329&amp;" ~*")&gt;0)+(IFERROR(INDEX(Setup!$G$33:$G$40,MATCH(S2329,Setup!$B$33:$B$40,0)),0)=1)*(COUNTIF(S2308:U2325,$B2329)+COUNTIF(S2308:U2325,$B2329&amp;" ~*")&gt;0)+(IFERROR(INDEX(Setup!$G$33:$G$40,MATCH(W2329,Setup!$B$33:$B$40,0)),0)=1)*(COUNTIF(W2308:W2325,$B2329)+COUNTIF(W2308:W2325,$B2329&amp;" ~*")&gt;0)+(IFERROR(INDEX(Setup!$G$33:$G$40,MATCH(Y2329,Setup!$B$33:$B$40,0)),0)=1)*(COUNTIF(Y2308:Y2325,$B2329)+COUNTIF(Y2308:Y2325,$B2329&amp;" ~*")&gt;0))</f>
        <v/>
      </c>
    </row>
    <row r="2330" ht="15" customHeight="1">
      <c r="A2330" t="n">
        <v>47</v>
      </c>
      <c r="B2330" s="37">
        <f>IF(Setup!$B$9="","",Setup!$B$9)</f>
        <v/>
      </c>
      <c r="C2330" s="102" t="n"/>
      <c r="D2330" s="103" t="n"/>
      <c r="E2330" s="103" t="n"/>
      <c r="F2330" s="104" t="n"/>
      <c r="G2330" s="102" t="n"/>
      <c r="H2330" s="103" t="n"/>
      <c r="I2330" s="103" t="n"/>
      <c r="J2330" s="104" t="n"/>
      <c r="K2330" s="102" t="n"/>
      <c r="L2330" s="103" t="n"/>
      <c r="M2330" s="103" t="n"/>
      <c r="N2330" s="104" t="n"/>
      <c r="O2330" s="102" t="n"/>
      <c r="P2330" s="103" t="n"/>
      <c r="Q2330" s="103" t="n"/>
      <c r="R2330" s="104" t="n"/>
      <c r="S2330" s="102" t="n"/>
      <c r="T2330" s="103" t="n"/>
      <c r="U2330" s="103" t="n"/>
      <c r="V2330" s="104" t="n"/>
      <c r="W2330" s="102" t="n"/>
      <c r="X2330" s="104" t="n"/>
      <c r="Y2330" s="102" t="n"/>
      <c r="Z2330" s="104" t="n"/>
      <c r="AB2330" s="105">
        <f>IF($B2330="","",(COUNTIF(C2308:E2325,$B2330)+COUNTIF(C2308:E2325,$B2330&amp;" ~*")&gt;0)+(COUNTIF(G2308:I2325,$B2330)+COUNTIF(G2308:I2325,$B2330&amp;" ~*")&gt;0)+(COUNTIF(K2308:M2325,$B2330)+COUNTIF(K2308:M2325,$B2330&amp;" ~*")&gt;0)+(COUNTIF(O2308:Q2325,$B2330)+COUNTIF(O2308:Q2325,$B2330&amp;" ~*")&gt;0)+(COUNTIF(S2308:U2325,$B2330)+COUNTIF(S2308:U2325,$B2330&amp;" ~*")&gt;0)+(COUNTIF(W2308:W2325,$B2330)+COUNTIF(W2308:W2325,$B2330&amp;" ~*")&gt;0)+(COUNTIF(Y2308:Y2325,$B2330)+COUNTIF(Y2308:Y2325,$B2330&amp;" ~*")&gt;0))</f>
        <v/>
      </c>
      <c r="AC2330" s="38">
        <f>IF($B2330="","",(IFERROR(INDEX(Setup!$G$33:$G$40,MATCH(C2330,Setup!$B$33:$B$40,0)),0)=1)*(COUNTIF(C2308:E2325,$B2330)+COUNTIF(C2308:E2325,$B2330&amp;" ~*")&gt;0)+(IFERROR(INDEX(Setup!$G$33:$G$40,MATCH(G2330,Setup!$B$33:$B$40,0)),0)=1)*(COUNTIF(G2308:I2325,$B2330)+COUNTIF(G2308:I2325,$B2330&amp;" ~*")&gt;0)+(IFERROR(INDEX(Setup!$G$33:$G$40,MATCH(K2330,Setup!$B$33:$B$40,0)),0)=1)*(COUNTIF(K2308:M2325,$B2330)+COUNTIF(K2308:M2325,$B2330&amp;" ~*")&gt;0)+(IFERROR(INDEX(Setup!$G$33:$G$40,MATCH(O2330,Setup!$B$33:$B$40,0)),0)=1)*(COUNTIF(O2308:Q2325,$B2330)+COUNTIF(O2308:Q2325,$B2330&amp;" ~*")&gt;0)+(IFERROR(INDEX(Setup!$G$33:$G$40,MATCH(S2330,Setup!$B$33:$B$40,0)),0)=1)*(COUNTIF(S2308:U2325,$B2330)+COUNTIF(S2308:U2325,$B2330&amp;" ~*")&gt;0)+(IFERROR(INDEX(Setup!$G$33:$G$40,MATCH(W2330,Setup!$B$33:$B$40,0)),0)=1)*(COUNTIF(W2308:W2325,$B2330)+COUNTIF(W2308:W2325,$B2330&amp;" ~*")&gt;0)+(IFERROR(INDEX(Setup!$G$33:$G$40,MATCH(Y2330,Setup!$B$33:$B$40,0)),0)=1)*(COUNTIF(Y2308:Y2325,$B2330)+COUNTIF(Y2308:Y2325,$B2330&amp;" ~*")&gt;0))</f>
        <v/>
      </c>
    </row>
    <row r="2331" ht="15" customHeight="1">
      <c r="A2331" t="n">
        <v>47</v>
      </c>
      <c r="B2331" s="35">
        <f>IF(Setup!$B$10="","",Setup!$B$10)</f>
        <v/>
      </c>
      <c r="C2331" s="98" t="n"/>
      <c r="D2331" s="99" t="n"/>
      <c r="E2331" s="99" t="n"/>
      <c r="F2331" s="100" t="n"/>
      <c r="G2331" s="98" t="n"/>
      <c r="H2331" s="99" t="n"/>
      <c r="I2331" s="99" t="n"/>
      <c r="J2331" s="100" t="n"/>
      <c r="K2331" s="98" t="n"/>
      <c r="L2331" s="99" t="n"/>
      <c r="M2331" s="99" t="n"/>
      <c r="N2331" s="100" t="n"/>
      <c r="O2331" s="98" t="n"/>
      <c r="P2331" s="99" t="n"/>
      <c r="Q2331" s="99" t="n"/>
      <c r="R2331" s="100" t="n"/>
      <c r="S2331" s="98" t="n"/>
      <c r="T2331" s="99" t="n"/>
      <c r="U2331" s="99" t="n"/>
      <c r="V2331" s="100" t="n"/>
      <c r="W2331" s="98" t="n"/>
      <c r="X2331" s="100" t="n"/>
      <c r="Y2331" s="98" t="n"/>
      <c r="Z2331" s="100" t="n"/>
      <c r="AB2331" s="101">
        <f>IF($B2331="","",(COUNTIF(C2308:E2325,$B2331)+COUNTIF(C2308:E2325,$B2331&amp;" ~*")&gt;0)+(COUNTIF(G2308:I2325,$B2331)+COUNTIF(G2308:I2325,$B2331&amp;" ~*")&gt;0)+(COUNTIF(K2308:M2325,$B2331)+COUNTIF(K2308:M2325,$B2331&amp;" ~*")&gt;0)+(COUNTIF(O2308:Q2325,$B2331)+COUNTIF(O2308:Q2325,$B2331&amp;" ~*")&gt;0)+(COUNTIF(S2308:U2325,$B2331)+COUNTIF(S2308:U2325,$B2331&amp;" ~*")&gt;0)+(COUNTIF(W2308:W2325,$B2331)+COUNTIF(W2308:W2325,$B2331&amp;" ~*")&gt;0)+(COUNTIF(Y2308:Y2325,$B2331)+COUNTIF(Y2308:Y2325,$B2331&amp;" ~*")&gt;0))</f>
        <v/>
      </c>
      <c r="AC2331" s="36">
        <f>IF($B2331="","",(IFERROR(INDEX(Setup!$G$33:$G$40,MATCH(C2331,Setup!$B$33:$B$40,0)),0)=1)*(COUNTIF(C2308:E2325,$B2331)+COUNTIF(C2308:E2325,$B2331&amp;" ~*")&gt;0)+(IFERROR(INDEX(Setup!$G$33:$G$40,MATCH(G2331,Setup!$B$33:$B$40,0)),0)=1)*(COUNTIF(G2308:I2325,$B2331)+COUNTIF(G2308:I2325,$B2331&amp;" ~*")&gt;0)+(IFERROR(INDEX(Setup!$G$33:$G$40,MATCH(K2331,Setup!$B$33:$B$40,0)),0)=1)*(COUNTIF(K2308:M2325,$B2331)+COUNTIF(K2308:M2325,$B2331&amp;" ~*")&gt;0)+(IFERROR(INDEX(Setup!$G$33:$G$40,MATCH(O2331,Setup!$B$33:$B$40,0)),0)=1)*(COUNTIF(O2308:Q2325,$B2331)+COUNTIF(O2308:Q2325,$B2331&amp;" ~*")&gt;0)+(IFERROR(INDEX(Setup!$G$33:$G$40,MATCH(S2331,Setup!$B$33:$B$40,0)),0)=1)*(COUNTIF(S2308:U2325,$B2331)+COUNTIF(S2308:U2325,$B2331&amp;" ~*")&gt;0)+(IFERROR(INDEX(Setup!$G$33:$G$40,MATCH(W2331,Setup!$B$33:$B$40,0)),0)=1)*(COUNTIF(W2308:W2325,$B2331)+COUNTIF(W2308:W2325,$B2331&amp;" ~*")&gt;0)+(IFERROR(INDEX(Setup!$G$33:$G$40,MATCH(Y2331,Setup!$B$33:$B$40,0)),0)=1)*(COUNTIF(Y2308:Y2325,$B2331)+COUNTIF(Y2308:Y2325,$B2331&amp;" ~*")&gt;0))</f>
        <v/>
      </c>
    </row>
    <row r="2332" ht="15" customHeight="1">
      <c r="A2332" t="n">
        <v>47</v>
      </c>
      <c r="B2332" s="37">
        <f>IF(Setup!$B$11="","",Setup!$B$11)</f>
        <v/>
      </c>
      <c r="C2332" s="102" t="n"/>
      <c r="D2332" s="103" t="n"/>
      <c r="E2332" s="103" t="n"/>
      <c r="F2332" s="104" t="n"/>
      <c r="G2332" s="102" t="n"/>
      <c r="H2332" s="103" t="n"/>
      <c r="I2332" s="103" t="n"/>
      <c r="J2332" s="104" t="n"/>
      <c r="K2332" s="102" t="n"/>
      <c r="L2332" s="103" t="n"/>
      <c r="M2332" s="103" t="n"/>
      <c r="N2332" s="104" t="n"/>
      <c r="O2332" s="102" t="n"/>
      <c r="P2332" s="103" t="n"/>
      <c r="Q2332" s="103" t="n"/>
      <c r="R2332" s="104" t="n"/>
      <c r="S2332" s="102" t="n"/>
      <c r="T2332" s="103" t="n"/>
      <c r="U2332" s="103" t="n"/>
      <c r="V2332" s="104" t="n"/>
      <c r="W2332" s="102" t="n"/>
      <c r="X2332" s="104" t="n"/>
      <c r="Y2332" s="102" t="n"/>
      <c r="Z2332" s="104" t="n"/>
      <c r="AB2332" s="105">
        <f>IF($B2332="","",(COUNTIF(C2308:E2325,$B2332)+COUNTIF(C2308:E2325,$B2332&amp;" ~*")&gt;0)+(COUNTIF(G2308:I2325,$B2332)+COUNTIF(G2308:I2325,$B2332&amp;" ~*")&gt;0)+(COUNTIF(K2308:M2325,$B2332)+COUNTIF(K2308:M2325,$B2332&amp;" ~*")&gt;0)+(COUNTIF(O2308:Q2325,$B2332)+COUNTIF(O2308:Q2325,$B2332&amp;" ~*")&gt;0)+(COUNTIF(S2308:U2325,$B2332)+COUNTIF(S2308:U2325,$B2332&amp;" ~*")&gt;0)+(COUNTIF(W2308:W2325,$B2332)+COUNTIF(W2308:W2325,$B2332&amp;" ~*")&gt;0)+(COUNTIF(Y2308:Y2325,$B2332)+COUNTIF(Y2308:Y2325,$B2332&amp;" ~*")&gt;0))</f>
        <v/>
      </c>
      <c r="AC2332" s="38">
        <f>IF($B2332="","",(IFERROR(INDEX(Setup!$G$33:$G$40,MATCH(C2332,Setup!$B$33:$B$40,0)),0)=1)*(COUNTIF(C2308:E2325,$B2332)+COUNTIF(C2308:E2325,$B2332&amp;" ~*")&gt;0)+(IFERROR(INDEX(Setup!$G$33:$G$40,MATCH(G2332,Setup!$B$33:$B$40,0)),0)=1)*(COUNTIF(G2308:I2325,$B2332)+COUNTIF(G2308:I2325,$B2332&amp;" ~*")&gt;0)+(IFERROR(INDEX(Setup!$G$33:$G$40,MATCH(K2332,Setup!$B$33:$B$40,0)),0)=1)*(COUNTIF(K2308:M2325,$B2332)+COUNTIF(K2308:M2325,$B2332&amp;" ~*")&gt;0)+(IFERROR(INDEX(Setup!$G$33:$G$40,MATCH(O2332,Setup!$B$33:$B$40,0)),0)=1)*(COUNTIF(O2308:Q2325,$B2332)+COUNTIF(O2308:Q2325,$B2332&amp;" ~*")&gt;0)+(IFERROR(INDEX(Setup!$G$33:$G$40,MATCH(S2332,Setup!$B$33:$B$40,0)),0)=1)*(COUNTIF(S2308:U2325,$B2332)+COUNTIF(S2308:U2325,$B2332&amp;" ~*")&gt;0)+(IFERROR(INDEX(Setup!$G$33:$G$40,MATCH(W2332,Setup!$B$33:$B$40,0)),0)=1)*(COUNTIF(W2308:W2325,$B2332)+COUNTIF(W2308:W2325,$B2332&amp;" ~*")&gt;0)+(IFERROR(INDEX(Setup!$G$33:$G$40,MATCH(Y2332,Setup!$B$33:$B$40,0)),0)=1)*(COUNTIF(Y2308:Y2325,$B2332)+COUNTIF(Y2308:Y2325,$B2332&amp;" ~*")&gt;0))</f>
        <v/>
      </c>
    </row>
    <row r="2333" ht="15" customHeight="1">
      <c r="A2333" t="n">
        <v>47</v>
      </c>
      <c r="B2333" s="35">
        <f>IF(Setup!$B$12="","",Setup!$B$12)</f>
        <v/>
      </c>
      <c r="C2333" s="98" t="n"/>
      <c r="D2333" s="99" t="n"/>
      <c r="E2333" s="99" t="n"/>
      <c r="F2333" s="100" t="n"/>
      <c r="G2333" s="98" t="n"/>
      <c r="H2333" s="99" t="n"/>
      <c r="I2333" s="99" t="n"/>
      <c r="J2333" s="100" t="n"/>
      <c r="K2333" s="98" t="n"/>
      <c r="L2333" s="99" t="n"/>
      <c r="M2333" s="99" t="n"/>
      <c r="N2333" s="100" t="n"/>
      <c r="O2333" s="98" t="n"/>
      <c r="P2333" s="99" t="n"/>
      <c r="Q2333" s="99" t="n"/>
      <c r="R2333" s="100" t="n"/>
      <c r="S2333" s="98" t="n"/>
      <c r="T2333" s="99" t="n"/>
      <c r="U2333" s="99" t="n"/>
      <c r="V2333" s="100" t="n"/>
      <c r="W2333" s="98" t="n"/>
      <c r="X2333" s="100" t="n"/>
      <c r="Y2333" s="98" t="n"/>
      <c r="Z2333" s="100" t="n"/>
      <c r="AB2333" s="101">
        <f>IF($B2333="","",(COUNTIF(C2308:E2325,$B2333)+COUNTIF(C2308:E2325,$B2333&amp;" ~*")&gt;0)+(COUNTIF(G2308:I2325,$B2333)+COUNTIF(G2308:I2325,$B2333&amp;" ~*")&gt;0)+(COUNTIF(K2308:M2325,$B2333)+COUNTIF(K2308:M2325,$B2333&amp;" ~*")&gt;0)+(COUNTIF(O2308:Q2325,$B2333)+COUNTIF(O2308:Q2325,$B2333&amp;" ~*")&gt;0)+(COUNTIF(S2308:U2325,$B2333)+COUNTIF(S2308:U2325,$B2333&amp;" ~*")&gt;0)+(COUNTIF(W2308:W2325,$B2333)+COUNTIF(W2308:W2325,$B2333&amp;" ~*")&gt;0)+(COUNTIF(Y2308:Y2325,$B2333)+COUNTIF(Y2308:Y2325,$B2333&amp;" ~*")&gt;0))</f>
        <v/>
      </c>
      <c r="AC2333" s="36">
        <f>IF($B2333="","",(IFERROR(INDEX(Setup!$G$33:$G$40,MATCH(C2333,Setup!$B$33:$B$40,0)),0)=1)*(COUNTIF(C2308:E2325,$B2333)+COUNTIF(C2308:E2325,$B2333&amp;" ~*")&gt;0)+(IFERROR(INDEX(Setup!$G$33:$G$40,MATCH(G2333,Setup!$B$33:$B$40,0)),0)=1)*(COUNTIF(G2308:I2325,$B2333)+COUNTIF(G2308:I2325,$B2333&amp;" ~*")&gt;0)+(IFERROR(INDEX(Setup!$G$33:$G$40,MATCH(K2333,Setup!$B$33:$B$40,0)),0)=1)*(COUNTIF(K2308:M2325,$B2333)+COUNTIF(K2308:M2325,$B2333&amp;" ~*")&gt;0)+(IFERROR(INDEX(Setup!$G$33:$G$40,MATCH(O2333,Setup!$B$33:$B$40,0)),0)=1)*(COUNTIF(O2308:Q2325,$B2333)+COUNTIF(O2308:Q2325,$B2333&amp;" ~*")&gt;0)+(IFERROR(INDEX(Setup!$G$33:$G$40,MATCH(S2333,Setup!$B$33:$B$40,0)),0)=1)*(COUNTIF(S2308:U2325,$B2333)+COUNTIF(S2308:U2325,$B2333&amp;" ~*")&gt;0)+(IFERROR(INDEX(Setup!$G$33:$G$40,MATCH(W2333,Setup!$B$33:$B$40,0)),0)=1)*(COUNTIF(W2308:W2325,$B2333)+COUNTIF(W2308:W2325,$B2333&amp;" ~*")&gt;0)+(IFERROR(INDEX(Setup!$G$33:$G$40,MATCH(Y2333,Setup!$B$33:$B$40,0)),0)=1)*(COUNTIF(Y2308:Y2325,$B2333)+COUNTIF(Y2308:Y2325,$B2333&amp;" ~*")&gt;0))</f>
        <v/>
      </c>
    </row>
    <row r="2334" ht="15" customHeight="1">
      <c r="A2334" t="n">
        <v>47</v>
      </c>
      <c r="B2334" s="37">
        <f>IF(Setup!$B$13="","",Setup!$B$13)</f>
        <v/>
      </c>
      <c r="C2334" s="102" t="n"/>
      <c r="D2334" s="103" t="n"/>
      <c r="E2334" s="103" t="n"/>
      <c r="F2334" s="104" t="n"/>
      <c r="G2334" s="102" t="n"/>
      <c r="H2334" s="103" t="n"/>
      <c r="I2334" s="103" t="n"/>
      <c r="J2334" s="104" t="n"/>
      <c r="K2334" s="102" t="n"/>
      <c r="L2334" s="103" t="n"/>
      <c r="M2334" s="103" t="n"/>
      <c r="N2334" s="104" t="n"/>
      <c r="O2334" s="102" t="n"/>
      <c r="P2334" s="103" t="n"/>
      <c r="Q2334" s="103" t="n"/>
      <c r="R2334" s="104" t="n"/>
      <c r="S2334" s="102" t="n"/>
      <c r="T2334" s="103" t="n"/>
      <c r="U2334" s="103" t="n"/>
      <c r="V2334" s="104" t="n"/>
      <c r="W2334" s="102" t="n"/>
      <c r="X2334" s="104" t="n"/>
      <c r="Y2334" s="102" t="n"/>
      <c r="Z2334" s="104" t="n"/>
      <c r="AB2334" s="105">
        <f>IF($B2334="","",(COUNTIF(C2308:E2325,$B2334)+COUNTIF(C2308:E2325,$B2334&amp;" ~*")&gt;0)+(COUNTIF(G2308:I2325,$B2334)+COUNTIF(G2308:I2325,$B2334&amp;" ~*")&gt;0)+(COUNTIF(K2308:M2325,$B2334)+COUNTIF(K2308:M2325,$B2334&amp;" ~*")&gt;0)+(COUNTIF(O2308:Q2325,$B2334)+COUNTIF(O2308:Q2325,$B2334&amp;" ~*")&gt;0)+(COUNTIF(S2308:U2325,$B2334)+COUNTIF(S2308:U2325,$B2334&amp;" ~*")&gt;0)+(COUNTIF(W2308:W2325,$B2334)+COUNTIF(W2308:W2325,$B2334&amp;" ~*")&gt;0)+(COUNTIF(Y2308:Y2325,$B2334)+COUNTIF(Y2308:Y2325,$B2334&amp;" ~*")&gt;0))</f>
        <v/>
      </c>
      <c r="AC2334" s="38">
        <f>IF($B2334="","",(IFERROR(INDEX(Setup!$G$33:$G$40,MATCH(C2334,Setup!$B$33:$B$40,0)),0)=1)*(COUNTIF(C2308:E2325,$B2334)+COUNTIF(C2308:E2325,$B2334&amp;" ~*")&gt;0)+(IFERROR(INDEX(Setup!$G$33:$G$40,MATCH(G2334,Setup!$B$33:$B$40,0)),0)=1)*(COUNTIF(G2308:I2325,$B2334)+COUNTIF(G2308:I2325,$B2334&amp;" ~*")&gt;0)+(IFERROR(INDEX(Setup!$G$33:$G$40,MATCH(K2334,Setup!$B$33:$B$40,0)),0)=1)*(COUNTIF(K2308:M2325,$B2334)+COUNTIF(K2308:M2325,$B2334&amp;" ~*")&gt;0)+(IFERROR(INDEX(Setup!$G$33:$G$40,MATCH(O2334,Setup!$B$33:$B$40,0)),0)=1)*(COUNTIF(O2308:Q2325,$B2334)+COUNTIF(O2308:Q2325,$B2334&amp;" ~*")&gt;0)+(IFERROR(INDEX(Setup!$G$33:$G$40,MATCH(S2334,Setup!$B$33:$B$40,0)),0)=1)*(COUNTIF(S2308:U2325,$B2334)+COUNTIF(S2308:U2325,$B2334&amp;" ~*")&gt;0)+(IFERROR(INDEX(Setup!$G$33:$G$40,MATCH(W2334,Setup!$B$33:$B$40,0)),0)=1)*(COUNTIF(W2308:W2325,$B2334)+COUNTIF(W2308:W2325,$B2334&amp;" ~*")&gt;0)+(IFERROR(INDEX(Setup!$G$33:$G$40,MATCH(Y2334,Setup!$B$33:$B$40,0)),0)=1)*(COUNTIF(Y2308:Y2325,$B2334)+COUNTIF(Y2308:Y2325,$B2334&amp;" ~*")&gt;0))</f>
        <v/>
      </c>
    </row>
    <row r="2335" ht="15" customHeight="1">
      <c r="A2335" t="n">
        <v>47</v>
      </c>
      <c r="B2335" s="35">
        <f>IF(Setup!$B$14="","",Setup!$B$14)</f>
        <v/>
      </c>
      <c r="C2335" s="98" t="n"/>
      <c r="D2335" s="99" t="n"/>
      <c r="E2335" s="99" t="n"/>
      <c r="F2335" s="100" t="n"/>
      <c r="G2335" s="98" t="n"/>
      <c r="H2335" s="99" t="n"/>
      <c r="I2335" s="99" t="n"/>
      <c r="J2335" s="100" t="n"/>
      <c r="K2335" s="98" t="n"/>
      <c r="L2335" s="99" t="n"/>
      <c r="M2335" s="99" t="n"/>
      <c r="N2335" s="100" t="n"/>
      <c r="O2335" s="98" t="n"/>
      <c r="P2335" s="99" t="n"/>
      <c r="Q2335" s="99" t="n"/>
      <c r="R2335" s="100" t="n"/>
      <c r="S2335" s="98" t="n"/>
      <c r="T2335" s="99" t="n"/>
      <c r="U2335" s="99" t="n"/>
      <c r="V2335" s="100" t="n"/>
      <c r="W2335" s="98" t="n"/>
      <c r="X2335" s="100" t="n"/>
      <c r="Y2335" s="98" t="n"/>
      <c r="Z2335" s="100" t="n"/>
      <c r="AB2335" s="101">
        <f>IF($B2335="","",(COUNTIF(C2308:E2325,$B2335)+COUNTIF(C2308:E2325,$B2335&amp;" ~*")&gt;0)+(COUNTIF(G2308:I2325,$B2335)+COUNTIF(G2308:I2325,$B2335&amp;" ~*")&gt;0)+(COUNTIF(K2308:M2325,$B2335)+COUNTIF(K2308:M2325,$B2335&amp;" ~*")&gt;0)+(COUNTIF(O2308:Q2325,$B2335)+COUNTIF(O2308:Q2325,$B2335&amp;" ~*")&gt;0)+(COUNTIF(S2308:U2325,$B2335)+COUNTIF(S2308:U2325,$B2335&amp;" ~*")&gt;0)+(COUNTIF(W2308:W2325,$B2335)+COUNTIF(W2308:W2325,$B2335&amp;" ~*")&gt;0)+(COUNTIF(Y2308:Y2325,$B2335)+COUNTIF(Y2308:Y2325,$B2335&amp;" ~*")&gt;0))</f>
        <v/>
      </c>
      <c r="AC2335" s="36">
        <f>IF($B2335="","",(IFERROR(INDEX(Setup!$G$33:$G$40,MATCH(C2335,Setup!$B$33:$B$40,0)),0)=1)*(COUNTIF(C2308:E2325,$B2335)+COUNTIF(C2308:E2325,$B2335&amp;" ~*")&gt;0)+(IFERROR(INDEX(Setup!$G$33:$G$40,MATCH(G2335,Setup!$B$33:$B$40,0)),0)=1)*(COUNTIF(G2308:I2325,$B2335)+COUNTIF(G2308:I2325,$B2335&amp;" ~*")&gt;0)+(IFERROR(INDEX(Setup!$G$33:$G$40,MATCH(K2335,Setup!$B$33:$B$40,0)),0)=1)*(COUNTIF(K2308:M2325,$B2335)+COUNTIF(K2308:M2325,$B2335&amp;" ~*")&gt;0)+(IFERROR(INDEX(Setup!$G$33:$G$40,MATCH(O2335,Setup!$B$33:$B$40,0)),0)=1)*(COUNTIF(O2308:Q2325,$B2335)+COUNTIF(O2308:Q2325,$B2335&amp;" ~*")&gt;0)+(IFERROR(INDEX(Setup!$G$33:$G$40,MATCH(S2335,Setup!$B$33:$B$40,0)),0)=1)*(COUNTIF(S2308:U2325,$B2335)+COUNTIF(S2308:U2325,$B2335&amp;" ~*")&gt;0)+(IFERROR(INDEX(Setup!$G$33:$G$40,MATCH(W2335,Setup!$B$33:$B$40,0)),0)=1)*(COUNTIF(W2308:W2325,$B2335)+COUNTIF(W2308:W2325,$B2335&amp;" ~*")&gt;0)+(IFERROR(INDEX(Setup!$G$33:$G$40,MATCH(Y2335,Setup!$B$33:$B$40,0)),0)=1)*(COUNTIF(Y2308:Y2325,$B2335)+COUNTIF(Y2308:Y2325,$B2335&amp;" ~*")&gt;0))</f>
        <v/>
      </c>
    </row>
    <row r="2336" ht="15" customHeight="1">
      <c r="A2336" t="n">
        <v>47</v>
      </c>
      <c r="B2336" s="37">
        <f>IF(Setup!$B$15="","",Setup!$B$15)</f>
        <v/>
      </c>
      <c r="C2336" s="102" t="n"/>
      <c r="D2336" s="103" t="n"/>
      <c r="E2336" s="103" t="n"/>
      <c r="F2336" s="104" t="n"/>
      <c r="G2336" s="102" t="n"/>
      <c r="H2336" s="103" t="n"/>
      <c r="I2336" s="103" t="n"/>
      <c r="J2336" s="104" t="n"/>
      <c r="K2336" s="102" t="n"/>
      <c r="L2336" s="103" t="n"/>
      <c r="M2336" s="103" t="n"/>
      <c r="N2336" s="104" t="n"/>
      <c r="O2336" s="102" t="n"/>
      <c r="P2336" s="103" t="n"/>
      <c r="Q2336" s="103" t="n"/>
      <c r="R2336" s="104" t="n"/>
      <c r="S2336" s="102" t="n"/>
      <c r="T2336" s="103" t="n"/>
      <c r="U2336" s="103" t="n"/>
      <c r="V2336" s="104" t="n"/>
      <c r="W2336" s="102" t="n"/>
      <c r="X2336" s="104" t="n"/>
      <c r="Y2336" s="102" t="n"/>
      <c r="Z2336" s="104" t="n"/>
      <c r="AB2336" s="105">
        <f>IF($B2336="","",(COUNTIF(C2308:E2325,$B2336)+COUNTIF(C2308:E2325,$B2336&amp;" ~*")&gt;0)+(COUNTIF(G2308:I2325,$B2336)+COUNTIF(G2308:I2325,$B2336&amp;" ~*")&gt;0)+(COUNTIF(K2308:M2325,$B2336)+COUNTIF(K2308:M2325,$B2336&amp;" ~*")&gt;0)+(COUNTIF(O2308:Q2325,$B2336)+COUNTIF(O2308:Q2325,$B2336&amp;" ~*")&gt;0)+(COUNTIF(S2308:U2325,$B2336)+COUNTIF(S2308:U2325,$B2336&amp;" ~*")&gt;0)+(COUNTIF(W2308:W2325,$B2336)+COUNTIF(W2308:W2325,$B2336&amp;" ~*")&gt;0)+(COUNTIF(Y2308:Y2325,$B2336)+COUNTIF(Y2308:Y2325,$B2336&amp;" ~*")&gt;0))</f>
        <v/>
      </c>
      <c r="AC2336" s="38">
        <f>IF($B2336="","",(IFERROR(INDEX(Setup!$G$33:$G$40,MATCH(C2336,Setup!$B$33:$B$40,0)),0)=1)*(COUNTIF(C2308:E2325,$B2336)+COUNTIF(C2308:E2325,$B2336&amp;" ~*")&gt;0)+(IFERROR(INDEX(Setup!$G$33:$G$40,MATCH(G2336,Setup!$B$33:$B$40,0)),0)=1)*(COUNTIF(G2308:I2325,$B2336)+COUNTIF(G2308:I2325,$B2336&amp;" ~*")&gt;0)+(IFERROR(INDEX(Setup!$G$33:$G$40,MATCH(K2336,Setup!$B$33:$B$40,0)),0)=1)*(COUNTIF(K2308:M2325,$B2336)+COUNTIF(K2308:M2325,$B2336&amp;" ~*")&gt;0)+(IFERROR(INDEX(Setup!$G$33:$G$40,MATCH(O2336,Setup!$B$33:$B$40,0)),0)=1)*(COUNTIF(O2308:Q2325,$B2336)+COUNTIF(O2308:Q2325,$B2336&amp;" ~*")&gt;0)+(IFERROR(INDEX(Setup!$G$33:$G$40,MATCH(S2336,Setup!$B$33:$B$40,0)),0)=1)*(COUNTIF(S2308:U2325,$B2336)+COUNTIF(S2308:U2325,$B2336&amp;" ~*")&gt;0)+(IFERROR(INDEX(Setup!$G$33:$G$40,MATCH(W2336,Setup!$B$33:$B$40,0)),0)=1)*(COUNTIF(W2308:W2325,$B2336)+COUNTIF(W2308:W2325,$B2336&amp;" ~*")&gt;0)+(IFERROR(INDEX(Setup!$G$33:$G$40,MATCH(Y2336,Setup!$B$33:$B$40,0)),0)=1)*(COUNTIF(Y2308:Y2325,$B2336)+COUNTIF(Y2308:Y2325,$B2336&amp;" ~*")&gt;0))</f>
        <v/>
      </c>
    </row>
    <row r="2337" ht="15" customHeight="1">
      <c r="A2337" t="n">
        <v>47</v>
      </c>
      <c r="B2337" s="35">
        <f>IF(Setup!$B$16="","",Setup!$B$16)</f>
        <v/>
      </c>
      <c r="C2337" s="98" t="n"/>
      <c r="D2337" s="99" t="n"/>
      <c r="E2337" s="99" t="n"/>
      <c r="F2337" s="100" t="n"/>
      <c r="G2337" s="98" t="n"/>
      <c r="H2337" s="99" t="n"/>
      <c r="I2337" s="99" t="n"/>
      <c r="J2337" s="100" t="n"/>
      <c r="K2337" s="98" t="n"/>
      <c r="L2337" s="99" t="n"/>
      <c r="M2337" s="99" t="n"/>
      <c r="N2337" s="100" t="n"/>
      <c r="O2337" s="98" t="n"/>
      <c r="P2337" s="99" t="n"/>
      <c r="Q2337" s="99" t="n"/>
      <c r="R2337" s="100" t="n"/>
      <c r="S2337" s="98" t="n"/>
      <c r="T2337" s="99" t="n"/>
      <c r="U2337" s="99" t="n"/>
      <c r="V2337" s="100" t="n"/>
      <c r="W2337" s="98" t="n"/>
      <c r="X2337" s="100" t="n"/>
      <c r="Y2337" s="98" t="n"/>
      <c r="Z2337" s="100" t="n"/>
      <c r="AB2337" s="101">
        <f>IF($B2337="","",(COUNTIF(C2308:E2325,$B2337)+COUNTIF(C2308:E2325,$B2337&amp;" ~*")&gt;0)+(COUNTIF(G2308:I2325,$B2337)+COUNTIF(G2308:I2325,$B2337&amp;" ~*")&gt;0)+(COUNTIF(K2308:M2325,$B2337)+COUNTIF(K2308:M2325,$B2337&amp;" ~*")&gt;0)+(COUNTIF(O2308:Q2325,$B2337)+COUNTIF(O2308:Q2325,$B2337&amp;" ~*")&gt;0)+(COUNTIF(S2308:U2325,$B2337)+COUNTIF(S2308:U2325,$B2337&amp;" ~*")&gt;0)+(COUNTIF(W2308:W2325,$B2337)+COUNTIF(W2308:W2325,$B2337&amp;" ~*")&gt;0)+(COUNTIF(Y2308:Y2325,$B2337)+COUNTIF(Y2308:Y2325,$B2337&amp;" ~*")&gt;0))</f>
        <v/>
      </c>
      <c r="AC2337" s="36">
        <f>IF($B2337="","",(IFERROR(INDEX(Setup!$G$33:$G$40,MATCH(C2337,Setup!$B$33:$B$40,0)),0)=1)*(COUNTIF(C2308:E2325,$B2337)+COUNTIF(C2308:E2325,$B2337&amp;" ~*")&gt;0)+(IFERROR(INDEX(Setup!$G$33:$G$40,MATCH(G2337,Setup!$B$33:$B$40,0)),0)=1)*(COUNTIF(G2308:I2325,$B2337)+COUNTIF(G2308:I2325,$B2337&amp;" ~*")&gt;0)+(IFERROR(INDEX(Setup!$G$33:$G$40,MATCH(K2337,Setup!$B$33:$B$40,0)),0)=1)*(COUNTIF(K2308:M2325,$B2337)+COUNTIF(K2308:M2325,$B2337&amp;" ~*")&gt;0)+(IFERROR(INDEX(Setup!$G$33:$G$40,MATCH(O2337,Setup!$B$33:$B$40,0)),0)=1)*(COUNTIF(O2308:Q2325,$B2337)+COUNTIF(O2308:Q2325,$B2337&amp;" ~*")&gt;0)+(IFERROR(INDEX(Setup!$G$33:$G$40,MATCH(S2337,Setup!$B$33:$B$40,0)),0)=1)*(COUNTIF(S2308:U2325,$B2337)+COUNTIF(S2308:U2325,$B2337&amp;" ~*")&gt;0)+(IFERROR(INDEX(Setup!$G$33:$G$40,MATCH(W2337,Setup!$B$33:$B$40,0)),0)=1)*(COUNTIF(W2308:W2325,$B2337)+COUNTIF(W2308:W2325,$B2337&amp;" ~*")&gt;0)+(IFERROR(INDEX(Setup!$G$33:$G$40,MATCH(Y2337,Setup!$B$33:$B$40,0)),0)=1)*(COUNTIF(Y2308:Y2325,$B2337)+COUNTIF(Y2308:Y2325,$B2337&amp;" ~*")&gt;0))</f>
        <v/>
      </c>
    </row>
    <row r="2338" ht="15" customHeight="1">
      <c r="A2338" t="n">
        <v>47</v>
      </c>
      <c r="B2338" s="37">
        <f>IF(Setup!$B$17="","",Setup!$B$17)</f>
        <v/>
      </c>
      <c r="C2338" s="102" t="n"/>
      <c r="D2338" s="103" t="n"/>
      <c r="E2338" s="103" t="n"/>
      <c r="F2338" s="104" t="n"/>
      <c r="G2338" s="102" t="n"/>
      <c r="H2338" s="103" t="n"/>
      <c r="I2338" s="103" t="n"/>
      <c r="J2338" s="104" t="n"/>
      <c r="K2338" s="102" t="n"/>
      <c r="L2338" s="103" t="n"/>
      <c r="M2338" s="103" t="n"/>
      <c r="N2338" s="104" t="n"/>
      <c r="O2338" s="102" t="n"/>
      <c r="P2338" s="103" t="n"/>
      <c r="Q2338" s="103" t="n"/>
      <c r="R2338" s="104" t="n"/>
      <c r="S2338" s="102" t="n"/>
      <c r="T2338" s="103" t="n"/>
      <c r="U2338" s="103" t="n"/>
      <c r="V2338" s="104" t="n"/>
      <c r="W2338" s="102" t="n"/>
      <c r="X2338" s="104" t="n"/>
      <c r="Y2338" s="102" t="n"/>
      <c r="Z2338" s="104" t="n"/>
      <c r="AB2338" s="105">
        <f>IF($B2338="","",(COUNTIF(C2308:E2325,$B2338)+COUNTIF(C2308:E2325,$B2338&amp;" ~*")&gt;0)+(COUNTIF(G2308:I2325,$B2338)+COUNTIF(G2308:I2325,$B2338&amp;" ~*")&gt;0)+(COUNTIF(K2308:M2325,$B2338)+COUNTIF(K2308:M2325,$B2338&amp;" ~*")&gt;0)+(COUNTIF(O2308:Q2325,$B2338)+COUNTIF(O2308:Q2325,$B2338&amp;" ~*")&gt;0)+(COUNTIF(S2308:U2325,$B2338)+COUNTIF(S2308:U2325,$B2338&amp;" ~*")&gt;0)+(COUNTIF(W2308:W2325,$B2338)+COUNTIF(W2308:W2325,$B2338&amp;" ~*")&gt;0)+(COUNTIF(Y2308:Y2325,$B2338)+COUNTIF(Y2308:Y2325,$B2338&amp;" ~*")&gt;0))</f>
        <v/>
      </c>
      <c r="AC2338" s="38">
        <f>IF($B2338="","",(IFERROR(INDEX(Setup!$G$33:$G$40,MATCH(C2338,Setup!$B$33:$B$40,0)),0)=1)*(COUNTIF(C2308:E2325,$B2338)+COUNTIF(C2308:E2325,$B2338&amp;" ~*")&gt;0)+(IFERROR(INDEX(Setup!$G$33:$G$40,MATCH(G2338,Setup!$B$33:$B$40,0)),0)=1)*(COUNTIF(G2308:I2325,$B2338)+COUNTIF(G2308:I2325,$B2338&amp;" ~*")&gt;0)+(IFERROR(INDEX(Setup!$G$33:$G$40,MATCH(K2338,Setup!$B$33:$B$40,0)),0)=1)*(COUNTIF(K2308:M2325,$B2338)+COUNTIF(K2308:M2325,$B2338&amp;" ~*")&gt;0)+(IFERROR(INDEX(Setup!$G$33:$G$40,MATCH(O2338,Setup!$B$33:$B$40,0)),0)=1)*(COUNTIF(O2308:Q2325,$B2338)+COUNTIF(O2308:Q2325,$B2338&amp;" ~*")&gt;0)+(IFERROR(INDEX(Setup!$G$33:$G$40,MATCH(S2338,Setup!$B$33:$B$40,0)),0)=1)*(COUNTIF(S2308:U2325,$B2338)+COUNTIF(S2308:U2325,$B2338&amp;" ~*")&gt;0)+(IFERROR(INDEX(Setup!$G$33:$G$40,MATCH(W2338,Setup!$B$33:$B$40,0)),0)=1)*(COUNTIF(W2308:W2325,$B2338)+COUNTIF(W2308:W2325,$B2338&amp;" ~*")&gt;0)+(IFERROR(INDEX(Setup!$G$33:$G$40,MATCH(Y2338,Setup!$B$33:$B$40,0)),0)=1)*(COUNTIF(Y2308:Y2325,$B2338)+COUNTIF(Y2308:Y2325,$B2338&amp;" ~*")&gt;0))</f>
        <v/>
      </c>
    </row>
    <row r="2339" ht="15" customHeight="1">
      <c r="A2339" t="n">
        <v>47</v>
      </c>
      <c r="B2339" s="35">
        <f>IF(Setup!$B$18="","",Setup!$B$18)</f>
        <v/>
      </c>
      <c r="C2339" s="98" t="n"/>
      <c r="D2339" s="99" t="n"/>
      <c r="E2339" s="99" t="n"/>
      <c r="F2339" s="100" t="n"/>
      <c r="G2339" s="98" t="n"/>
      <c r="H2339" s="99" t="n"/>
      <c r="I2339" s="99" t="n"/>
      <c r="J2339" s="100" t="n"/>
      <c r="K2339" s="98" t="n"/>
      <c r="L2339" s="99" t="n"/>
      <c r="M2339" s="99" t="n"/>
      <c r="N2339" s="100" t="n"/>
      <c r="O2339" s="98" t="n"/>
      <c r="P2339" s="99" t="n"/>
      <c r="Q2339" s="99" t="n"/>
      <c r="R2339" s="100" t="n"/>
      <c r="S2339" s="98" t="n"/>
      <c r="T2339" s="99" t="n"/>
      <c r="U2339" s="99" t="n"/>
      <c r="V2339" s="100" t="n"/>
      <c r="W2339" s="98" t="n"/>
      <c r="X2339" s="100" t="n"/>
      <c r="Y2339" s="98" t="n"/>
      <c r="Z2339" s="100" t="n"/>
      <c r="AB2339" s="101">
        <f>IF($B2339="","",(COUNTIF(C2308:E2325,$B2339)+COUNTIF(C2308:E2325,$B2339&amp;" ~*")&gt;0)+(COUNTIF(G2308:I2325,$B2339)+COUNTIF(G2308:I2325,$B2339&amp;" ~*")&gt;0)+(COUNTIF(K2308:M2325,$B2339)+COUNTIF(K2308:M2325,$B2339&amp;" ~*")&gt;0)+(COUNTIF(O2308:Q2325,$B2339)+COUNTIF(O2308:Q2325,$B2339&amp;" ~*")&gt;0)+(COUNTIF(S2308:U2325,$B2339)+COUNTIF(S2308:U2325,$B2339&amp;" ~*")&gt;0)+(COUNTIF(W2308:W2325,$B2339)+COUNTIF(W2308:W2325,$B2339&amp;" ~*")&gt;0)+(COUNTIF(Y2308:Y2325,$B2339)+COUNTIF(Y2308:Y2325,$B2339&amp;" ~*")&gt;0))</f>
        <v/>
      </c>
      <c r="AC2339" s="36">
        <f>IF($B2339="","",(IFERROR(INDEX(Setup!$G$33:$G$40,MATCH(C2339,Setup!$B$33:$B$40,0)),0)=1)*(COUNTIF(C2308:E2325,$B2339)+COUNTIF(C2308:E2325,$B2339&amp;" ~*")&gt;0)+(IFERROR(INDEX(Setup!$G$33:$G$40,MATCH(G2339,Setup!$B$33:$B$40,0)),0)=1)*(COUNTIF(G2308:I2325,$B2339)+COUNTIF(G2308:I2325,$B2339&amp;" ~*")&gt;0)+(IFERROR(INDEX(Setup!$G$33:$G$40,MATCH(K2339,Setup!$B$33:$B$40,0)),0)=1)*(COUNTIF(K2308:M2325,$B2339)+COUNTIF(K2308:M2325,$B2339&amp;" ~*")&gt;0)+(IFERROR(INDEX(Setup!$G$33:$G$40,MATCH(O2339,Setup!$B$33:$B$40,0)),0)=1)*(COUNTIF(O2308:Q2325,$B2339)+COUNTIF(O2308:Q2325,$B2339&amp;" ~*")&gt;0)+(IFERROR(INDEX(Setup!$G$33:$G$40,MATCH(S2339,Setup!$B$33:$B$40,0)),0)=1)*(COUNTIF(S2308:U2325,$B2339)+COUNTIF(S2308:U2325,$B2339&amp;" ~*")&gt;0)+(IFERROR(INDEX(Setup!$G$33:$G$40,MATCH(W2339,Setup!$B$33:$B$40,0)),0)=1)*(COUNTIF(W2308:W2325,$B2339)+COUNTIF(W2308:W2325,$B2339&amp;" ~*")&gt;0)+(IFERROR(INDEX(Setup!$G$33:$G$40,MATCH(Y2339,Setup!$B$33:$B$40,0)),0)=1)*(COUNTIF(Y2308:Y2325,$B2339)+COUNTIF(Y2308:Y2325,$B2339&amp;" ~*")&gt;0))</f>
        <v/>
      </c>
    </row>
    <row r="2340" ht="15" customHeight="1">
      <c r="A2340" t="n">
        <v>47</v>
      </c>
      <c r="B2340" s="37">
        <f>IF(Setup!$B$19="","",Setup!$B$19)</f>
        <v/>
      </c>
      <c r="C2340" s="102" t="n"/>
      <c r="D2340" s="103" t="n"/>
      <c r="E2340" s="103" t="n"/>
      <c r="F2340" s="104" t="n"/>
      <c r="G2340" s="102" t="n"/>
      <c r="H2340" s="103" t="n"/>
      <c r="I2340" s="103" t="n"/>
      <c r="J2340" s="104" t="n"/>
      <c r="K2340" s="102" t="n"/>
      <c r="L2340" s="103" t="n"/>
      <c r="M2340" s="103" t="n"/>
      <c r="N2340" s="104" t="n"/>
      <c r="O2340" s="102" t="n"/>
      <c r="P2340" s="103" t="n"/>
      <c r="Q2340" s="103" t="n"/>
      <c r="R2340" s="104" t="n"/>
      <c r="S2340" s="102" t="n"/>
      <c r="T2340" s="103" t="n"/>
      <c r="U2340" s="103" t="n"/>
      <c r="V2340" s="104" t="n"/>
      <c r="W2340" s="102" t="n"/>
      <c r="X2340" s="104" t="n"/>
      <c r="Y2340" s="102" t="n"/>
      <c r="Z2340" s="104" t="n"/>
      <c r="AB2340" s="105">
        <f>IF($B2340="","",(COUNTIF(C2308:E2325,$B2340)+COUNTIF(C2308:E2325,$B2340&amp;" ~*")&gt;0)+(COUNTIF(G2308:I2325,$B2340)+COUNTIF(G2308:I2325,$B2340&amp;" ~*")&gt;0)+(COUNTIF(K2308:M2325,$B2340)+COUNTIF(K2308:M2325,$B2340&amp;" ~*")&gt;0)+(COUNTIF(O2308:Q2325,$B2340)+COUNTIF(O2308:Q2325,$B2340&amp;" ~*")&gt;0)+(COUNTIF(S2308:U2325,$B2340)+COUNTIF(S2308:U2325,$B2340&amp;" ~*")&gt;0)+(COUNTIF(W2308:W2325,$B2340)+COUNTIF(W2308:W2325,$B2340&amp;" ~*")&gt;0)+(COUNTIF(Y2308:Y2325,$B2340)+COUNTIF(Y2308:Y2325,$B2340&amp;" ~*")&gt;0))</f>
        <v/>
      </c>
      <c r="AC2340" s="38">
        <f>IF($B2340="","",(IFERROR(INDEX(Setup!$G$33:$G$40,MATCH(C2340,Setup!$B$33:$B$40,0)),0)=1)*(COUNTIF(C2308:E2325,$B2340)+COUNTIF(C2308:E2325,$B2340&amp;" ~*")&gt;0)+(IFERROR(INDEX(Setup!$G$33:$G$40,MATCH(G2340,Setup!$B$33:$B$40,0)),0)=1)*(COUNTIF(G2308:I2325,$B2340)+COUNTIF(G2308:I2325,$B2340&amp;" ~*")&gt;0)+(IFERROR(INDEX(Setup!$G$33:$G$40,MATCH(K2340,Setup!$B$33:$B$40,0)),0)=1)*(COUNTIF(K2308:M2325,$B2340)+COUNTIF(K2308:M2325,$B2340&amp;" ~*")&gt;0)+(IFERROR(INDEX(Setup!$G$33:$G$40,MATCH(O2340,Setup!$B$33:$B$40,0)),0)=1)*(COUNTIF(O2308:Q2325,$B2340)+COUNTIF(O2308:Q2325,$B2340&amp;" ~*")&gt;0)+(IFERROR(INDEX(Setup!$G$33:$G$40,MATCH(S2340,Setup!$B$33:$B$40,0)),0)=1)*(COUNTIF(S2308:U2325,$B2340)+COUNTIF(S2308:U2325,$B2340&amp;" ~*")&gt;0)+(IFERROR(INDEX(Setup!$G$33:$G$40,MATCH(W2340,Setup!$B$33:$B$40,0)),0)=1)*(COUNTIF(W2308:W2325,$B2340)+COUNTIF(W2308:W2325,$B2340&amp;" ~*")&gt;0)+(IFERROR(INDEX(Setup!$G$33:$G$40,MATCH(Y2340,Setup!$B$33:$B$40,0)),0)=1)*(COUNTIF(Y2308:Y2325,$B2340)+COUNTIF(Y2308:Y2325,$B2340&amp;" ~*")&gt;0))</f>
        <v/>
      </c>
    </row>
    <row r="2341" ht="15" customHeight="1">
      <c r="A2341" t="n">
        <v>47</v>
      </c>
      <c r="B2341" s="35">
        <f>IF(Setup!$B$20="","",Setup!$B$20)</f>
        <v/>
      </c>
      <c r="C2341" s="98" t="n"/>
      <c r="D2341" s="99" t="n"/>
      <c r="E2341" s="99" t="n"/>
      <c r="F2341" s="100" t="n"/>
      <c r="G2341" s="98" t="n"/>
      <c r="H2341" s="99" t="n"/>
      <c r="I2341" s="99" t="n"/>
      <c r="J2341" s="100" t="n"/>
      <c r="K2341" s="98" t="n"/>
      <c r="L2341" s="99" t="n"/>
      <c r="M2341" s="99" t="n"/>
      <c r="N2341" s="100" t="n"/>
      <c r="O2341" s="98" t="n"/>
      <c r="P2341" s="99" t="n"/>
      <c r="Q2341" s="99" t="n"/>
      <c r="R2341" s="100" t="n"/>
      <c r="S2341" s="98" t="n"/>
      <c r="T2341" s="99" t="n"/>
      <c r="U2341" s="99" t="n"/>
      <c r="V2341" s="100" t="n"/>
      <c r="W2341" s="98" t="n"/>
      <c r="X2341" s="100" t="n"/>
      <c r="Y2341" s="98" t="n"/>
      <c r="Z2341" s="100" t="n"/>
      <c r="AB2341" s="101">
        <f>IF($B2341="","",(COUNTIF(C2308:E2325,$B2341)+COUNTIF(C2308:E2325,$B2341&amp;" ~*")&gt;0)+(COUNTIF(G2308:I2325,$B2341)+COUNTIF(G2308:I2325,$B2341&amp;" ~*")&gt;0)+(COUNTIF(K2308:M2325,$B2341)+COUNTIF(K2308:M2325,$B2341&amp;" ~*")&gt;0)+(COUNTIF(O2308:Q2325,$B2341)+COUNTIF(O2308:Q2325,$B2341&amp;" ~*")&gt;0)+(COUNTIF(S2308:U2325,$B2341)+COUNTIF(S2308:U2325,$B2341&amp;" ~*")&gt;0)+(COUNTIF(W2308:W2325,$B2341)+COUNTIF(W2308:W2325,$B2341&amp;" ~*")&gt;0)+(COUNTIF(Y2308:Y2325,$B2341)+COUNTIF(Y2308:Y2325,$B2341&amp;" ~*")&gt;0))</f>
        <v/>
      </c>
      <c r="AC2341" s="36">
        <f>IF($B2341="","",(IFERROR(INDEX(Setup!$G$33:$G$40,MATCH(C2341,Setup!$B$33:$B$40,0)),0)=1)*(COUNTIF(C2308:E2325,$B2341)+COUNTIF(C2308:E2325,$B2341&amp;" ~*")&gt;0)+(IFERROR(INDEX(Setup!$G$33:$G$40,MATCH(G2341,Setup!$B$33:$B$40,0)),0)=1)*(COUNTIF(G2308:I2325,$B2341)+COUNTIF(G2308:I2325,$B2341&amp;" ~*")&gt;0)+(IFERROR(INDEX(Setup!$G$33:$G$40,MATCH(K2341,Setup!$B$33:$B$40,0)),0)=1)*(COUNTIF(K2308:M2325,$B2341)+COUNTIF(K2308:M2325,$B2341&amp;" ~*")&gt;0)+(IFERROR(INDEX(Setup!$G$33:$G$40,MATCH(O2341,Setup!$B$33:$B$40,0)),0)=1)*(COUNTIF(O2308:Q2325,$B2341)+COUNTIF(O2308:Q2325,$B2341&amp;" ~*")&gt;0)+(IFERROR(INDEX(Setup!$G$33:$G$40,MATCH(S2341,Setup!$B$33:$B$40,0)),0)=1)*(COUNTIF(S2308:U2325,$B2341)+COUNTIF(S2308:U2325,$B2341&amp;" ~*")&gt;0)+(IFERROR(INDEX(Setup!$G$33:$G$40,MATCH(W2341,Setup!$B$33:$B$40,0)),0)=1)*(COUNTIF(W2308:W2325,$B2341)+COUNTIF(W2308:W2325,$B2341&amp;" ~*")&gt;0)+(IFERROR(INDEX(Setup!$G$33:$G$40,MATCH(Y2341,Setup!$B$33:$B$40,0)),0)=1)*(COUNTIF(Y2308:Y2325,$B2341)+COUNTIF(Y2308:Y2325,$B2341&amp;" ~*")&gt;0))</f>
        <v/>
      </c>
    </row>
    <row r="2342" ht="15" customHeight="1">
      <c r="A2342" t="n">
        <v>47</v>
      </c>
      <c r="B2342" s="37">
        <f>IF(Setup!$B$21="","",Setup!$B$21)</f>
        <v/>
      </c>
      <c r="C2342" s="102" t="n"/>
      <c r="D2342" s="103" t="n"/>
      <c r="E2342" s="103" t="n"/>
      <c r="F2342" s="104" t="n"/>
      <c r="G2342" s="102" t="n"/>
      <c r="H2342" s="103" t="n"/>
      <c r="I2342" s="103" t="n"/>
      <c r="J2342" s="104" t="n"/>
      <c r="K2342" s="102" t="n"/>
      <c r="L2342" s="103" t="n"/>
      <c r="M2342" s="103" t="n"/>
      <c r="N2342" s="104" t="n"/>
      <c r="O2342" s="102" t="n"/>
      <c r="P2342" s="103" t="n"/>
      <c r="Q2342" s="103" t="n"/>
      <c r="R2342" s="104" t="n"/>
      <c r="S2342" s="102" t="n"/>
      <c r="T2342" s="103" t="n"/>
      <c r="U2342" s="103" t="n"/>
      <c r="V2342" s="104" t="n"/>
      <c r="W2342" s="102" t="n"/>
      <c r="X2342" s="104" t="n"/>
      <c r="Y2342" s="102" t="n"/>
      <c r="Z2342" s="104" t="n"/>
      <c r="AB2342" s="105">
        <f>IF($B2342="","",(COUNTIF(C2308:E2325,$B2342)+COUNTIF(C2308:E2325,$B2342&amp;" ~*")&gt;0)+(COUNTIF(G2308:I2325,$B2342)+COUNTIF(G2308:I2325,$B2342&amp;" ~*")&gt;0)+(COUNTIF(K2308:M2325,$B2342)+COUNTIF(K2308:M2325,$B2342&amp;" ~*")&gt;0)+(COUNTIF(O2308:Q2325,$B2342)+COUNTIF(O2308:Q2325,$B2342&amp;" ~*")&gt;0)+(COUNTIF(S2308:U2325,$B2342)+COUNTIF(S2308:U2325,$B2342&amp;" ~*")&gt;0)+(COUNTIF(W2308:W2325,$B2342)+COUNTIF(W2308:W2325,$B2342&amp;" ~*")&gt;0)+(COUNTIF(Y2308:Y2325,$B2342)+COUNTIF(Y2308:Y2325,$B2342&amp;" ~*")&gt;0))</f>
        <v/>
      </c>
      <c r="AC2342" s="38">
        <f>IF($B2342="","",(IFERROR(INDEX(Setup!$G$33:$G$40,MATCH(C2342,Setup!$B$33:$B$40,0)),0)=1)*(COUNTIF(C2308:E2325,$B2342)+COUNTIF(C2308:E2325,$B2342&amp;" ~*")&gt;0)+(IFERROR(INDEX(Setup!$G$33:$G$40,MATCH(G2342,Setup!$B$33:$B$40,0)),0)=1)*(COUNTIF(G2308:I2325,$B2342)+COUNTIF(G2308:I2325,$B2342&amp;" ~*")&gt;0)+(IFERROR(INDEX(Setup!$G$33:$G$40,MATCH(K2342,Setup!$B$33:$B$40,0)),0)=1)*(COUNTIF(K2308:M2325,$B2342)+COUNTIF(K2308:M2325,$B2342&amp;" ~*")&gt;0)+(IFERROR(INDEX(Setup!$G$33:$G$40,MATCH(O2342,Setup!$B$33:$B$40,0)),0)=1)*(COUNTIF(O2308:Q2325,$B2342)+COUNTIF(O2308:Q2325,$B2342&amp;" ~*")&gt;0)+(IFERROR(INDEX(Setup!$G$33:$G$40,MATCH(S2342,Setup!$B$33:$B$40,0)),0)=1)*(COUNTIF(S2308:U2325,$B2342)+COUNTIF(S2308:U2325,$B2342&amp;" ~*")&gt;0)+(IFERROR(INDEX(Setup!$G$33:$G$40,MATCH(W2342,Setup!$B$33:$B$40,0)),0)=1)*(COUNTIF(W2308:W2325,$B2342)+COUNTIF(W2308:W2325,$B2342&amp;" ~*")&gt;0)+(IFERROR(INDEX(Setup!$G$33:$G$40,MATCH(Y2342,Setup!$B$33:$B$40,0)),0)=1)*(COUNTIF(Y2308:Y2325,$B2342)+COUNTIF(Y2308:Y2325,$B2342&amp;" ~*")&gt;0))</f>
        <v/>
      </c>
    </row>
    <row r="2343" ht="15" customHeight="1">
      <c r="A2343" t="n">
        <v>47</v>
      </c>
      <c r="B2343" s="35">
        <f>IF(Setup!$B$22="","",Setup!$B$22)</f>
        <v/>
      </c>
      <c r="C2343" s="98" t="n"/>
      <c r="D2343" s="99" t="n"/>
      <c r="E2343" s="99" t="n"/>
      <c r="F2343" s="100" t="n"/>
      <c r="G2343" s="98" t="n"/>
      <c r="H2343" s="99" t="n"/>
      <c r="I2343" s="99" t="n"/>
      <c r="J2343" s="100" t="n"/>
      <c r="K2343" s="98" t="n"/>
      <c r="L2343" s="99" t="n"/>
      <c r="M2343" s="99" t="n"/>
      <c r="N2343" s="100" t="n"/>
      <c r="O2343" s="98" t="n"/>
      <c r="P2343" s="99" t="n"/>
      <c r="Q2343" s="99" t="n"/>
      <c r="R2343" s="100" t="n"/>
      <c r="S2343" s="98" t="n"/>
      <c r="T2343" s="99" t="n"/>
      <c r="U2343" s="99" t="n"/>
      <c r="V2343" s="100" t="n"/>
      <c r="W2343" s="98" t="n"/>
      <c r="X2343" s="100" t="n"/>
      <c r="Y2343" s="98" t="n"/>
      <c r="Z2343" s="100" t="n"/>
      <c r="AB2343" s="101">
        <f>IF($B2343="","",(COUNTIF(C2308:E2325,$B2343)+COUNTIF(C2308:E2325,$B2343&amp;" ~*")&gt;0)+(COUNTIF(G2308:I2325,$B2343)+COUNTIF(G2308:I2325,$B2343&amp;" ~*")&gt;0)+(COUNTIF(K2308:M2325,$B2343)+COUNTIF(K2308:M2325,$B2343&amp;" ~*")&gt;0)+(COUNTIF(O2308:Q2325,$B2343)+COUNTIF(O2308:Q2325,$B2343&amp;" ~*")&gt;0)+(COUNTIF(S2308:U2325,$B2343)+COUNTIF(S2308:U2325,$B2343&amp;" ~*")&gt;0)+(COUNTIF(W2308:W2325,$B2343)+COUNTIF(W2308:W2325,$B2343&amp;" ~*")&gt;0)+(COUNTIF(Y2308:Y2325,$B2343)+COUNTIF(Y2308:Y2325,$B2343&amp;" ~*")&gt;0))</f>
        <v/>
      </c>
      <c r="AC2343" s="36">
        <f>IF($B2343="","",(IFERROR(INDEX(Setup!$G$33:$G$40,MATCH(C2343,Setup!$B$33:$B$40,0)),0)=1)*(COUNTIF(C2308:E2325,$B2343)+COUNTIF(C2308:E2325,$B2343&amp;" ~*")&gt;0)+(IFERROR(INDEX(Setup!$G$33:$G$40,MATCH(G2343,Setup!$B$33:$B$40,0)),0)=1)*(COUNTIF(G2308:I2325,$B2343)+COUNTIF(G2308:I2325,$B2343&amp;" ~*")&gt;0)+(IFERROR(INDEX(Setup!$G$33:$G$40,MATCH(K2343,Setup!$B$33:$B$40,0)),0)=1)*(COUNTIF(K2308:M2325,$B2343)+COUNTIF(K2308:M2325,$B2343&amp;" ~*")&gt;0)+(IFERROR(INDEX(Setup!$G$33:$G$40,MATCH(O2343,Setup!$B$33:$B$40,0)),0)=1)*(COUNTIF(O2308:Q2325,$B2343)+COUNTIF(O2308:Q2325,$B2343&amp;" ~*")&gt;0)+(IFERROR(INDEX(Setup!$G$33:$G$40,MATCH(S2343,Setup!$B$33:$B$40,0)),0)=1)*(COUNTIF(S2308:U2325,$B2343)+COUNTIF(S2308:U2325,$B2343&amp;" ~*")&gt;0)+(IFERROR(INDEX(Setup!$G$33:$G$40,MATCH(W2343,Setup!$B$33:$B$40,0)),0)=1)*(COUNTIF(W2308:W2325,$B2343)+COUNTIF(W2308:W2325,$B2343&amp;" ~*")&gt;0)+(IFERROR(INDEX(Setup!$G$33:$G$40,MATCH(Y2343,Setup!$B$33:$B$40,0)),0)=1)*(COUNTIF(Y2308:Y2325,$B2343)+COUNTIF(Y2308:Y2325,$B2343&amp;" ~*")&gt;0))</f>
        <v/>
      </c>
    </row>
    <row r="2344" ht="15" customHeight="1">
      <c r="A2344" t="n">
        <v>47</v>
      </c>
      <c r="B2344" s="37">
        <f>IF(Setup!$B$23="","",Setup!$B$23)</f>
        <v/>
      </c>
      <c r="C2344" s="102" t="n"/>
      <c r="D2344" s="103" t="n"/>
      <c r="E2344" s="103" t="n"/>
      <c r="F2344" s="104" t="n"/>
      <c r="G2344" s="102" t="n"/>
      <c r="H2344" s="103" t="n"/>
      <c r="I2344" s="103" t="n"/>
      <c r="J2344" s="104" t="n"/>
      <c r="K2344" s="102" t="n"/>
      <c r="L2344" s="103" t="n"/>
      <c r="M2344" s="103" t="n"/>
      <c r="N2344" s="104" t="n"/>
      <c r="O2344" s="102" t="n"/>
      <c r="P2344" s="103" t="n"/>
      <c r="Q2344" s="103" t="n"/>
      <c r="R2344" s="104" t="n"/>
      <c r="S2344" s="102" t="n"/>
      <c r="T2344" s="103" t="n"/>
      <c r="U2344" s="103" t="n"/>
      <c r="V2344" s="104" t="n"/>
      <c r="W2344" s="102" t="n"/>
      <c r="X2344" s="104" t="n"/>
      <c r="Y2344" s="102" t="n"/>
      <c r="Z2344" s="104" t="n"/>
      <c r="AB2344" s="105">
        <f>IF($B2344="","",(COUNTIF(C2308:E2325,$B2344)+COUNTIF(C2308:E2325,$B2344&amp;" ~*")&gt;0)+(COUNTIF(G2308:I2325,$B2344)+COUNTIF(G2308:I2325,$B2344&amp;" ~*")&gt;0)+(COUNTIF(K2308:M2325,$B2344)+COUNTIF(K2308:M2325,$B2344&amp;" ~*")&gt;0)+(COUNTIF(O2308:Q2325,$B2344)+COUNTIF(O2308:Q2325,$B2344&amp;" ~*")&gt;0)+(COUNTIF(S2308:U2325,$B2344)+COUNTIF(S2308:U2325,$B2344&amp;" ~*")&gt;0)+(COUNTIF(W2308:W2325,$B2344)+COUNTIF(W2308:W2325,$B2344&amp;" ~*")&gt;0)+(COUNTIF(Y2308:Y2325,$B2344)+COUNTIF(Y2308:Y2325,$B2344&amp;" ~*")&gt;0))</f>
        <v/>
      </c>
      <c r="AC2344" s="38">
        <f>IF($B2344="","",(IFERROR(INDEX(Setup!$G$33:$G$40,MATCH(C2344,Setup!$B$33:$B$40,0)),0)=1)*(COUNTIF(C2308:E2325,$B2344)+COUNTIF(C2308:E2325,$B2344&amp;" ~*")&gt;0)+(IFERROR(INDEX(Setup!$G$33:$G$40,MATCH(G2344,Setup!$B$33:$B$40,0)),0)=1)*(COUNTIF(G2308:I2325,$B2344)+COUNTIF(G2308:I2325,$B2344&amp;" ~*")&gt;0)+(IFERROR(INDEX(Setup!$G$33:$G$40,MATCH(K2344,Setup!$B$33:$B$40,0)),0)=1)*(COUNTIF(K2308:M2325,$B2344)+COUNTIF(K2308:M2325,$B2344&amp;" ~*")&gt;0)+(IFERROR(INDEX(Setup!$G$33:$G$40,MATCH(O2344,Setup!$B$33:$B$40,0)),0)=1)*(COUNTIF(O2308:Q2325,$B2344)+COUNTIF(O2308:Q2325,$B2344&amp;" ~*")&gt;0)+(IFERROR(INDEX(Setup!$G$33:$G$40,MATCH(S2344,Setup!$B$33:$B$40,0)),0)=1)*(COUNTIF(S2308:U2325,$B2344)+COUNTIF(S2308:U2325,$B2344&amp;" ~*")&gt;0)+(IFERROR(INDEX(Setup!$G$33:$G$40,MATCH(W2344,Setup!$B$33:$B$40,0)),0)=1)*(COUNTIF(W2308:W2325,$B2344)+COUNTIF(W2308:W2325,$B2344&amp;" ~*")&gt;0)+(IFERROR(INDEX(Setup!$G$33:$G$40,MATCH(Y2344,Setup!$B$33:$B$40,0)),0)=1)*(COUNTIF(Y2308:Y2325,$B2344)+COUNTIF(Y2308:Y2325,$B2344&amp;" ~*")&gt;0))</f>
        <v/>
      </c>
    </row>
    <row r="2345" ht="15" customHeight="1">
      <c r="A2345" t="n">
        <v>47</v>
      </c>
      <c r="B2345" s="35">
        <f>IF(Setup!$B$24="","",Setup!$B$24)</f>
        <v/>
      </c>
      <c r="C2345" s="98" t="n"/>
      <c r="D2345" s="99" t="n"/>
      <c r="E2345" s="99" t="n"/>
      <c r="F2345" s="100" t="n"/>
      <c r="G2345" s="98" t="n"/>
      <c r="H2345" s="99" t="n"/>
      <c r="I2345" s="99" t="n"/>
      <c r="J2345" s="100" t="n"/>
      <c r="K2345" s="98" t="n"/>
      <c r="L2345" s="99" t="n"/>
      <c r="M2345" s="99" t="n"/>
      <c r="N2345" s="100" t="n"/>
      <c r="O2345" s="98" t="n"/>
      <c r="P2345" s="99" t="n"/>
      <c r="Q2345" s="99" t="n"/>
      <c r="R2345" s="100" t="n"/>
      <c r="S2345" s="98" t="n"/>
      <c r="T2345" s="99" t="n"/>
      <c r="U2345" s="99" t="n"/>
      <c r="V2345" s="100" t="n"/>
      <c r="W2345" s="98" t="n"/>
      <c r="X2345" s="100" t="n"/>
      <c r="Y2345" s="98" t="n"/>
      <c r="Z2345" s="100" t="n"/>
      <c r="AB2345" s="101">
        <f>IF($B2345="","",(COUNTIF(C2308:E2325,$B2345)+COUNTIF(C2308:E2325,$B2345&amp;" ~*")&gt;0)+(COUNTIF(G2308:I2325,$B2345)+COUNTIF(G2308:I2325,$B2345&amp;" ~*")&gt;0)+(COUNTIF(K2308:M2325,$B2345)+COUNTIF(K2308:M2325,$B2345&amp;" ~*")&gt;0)+(COUNTIF(O2308:Q2325,$B2345)+COUNTIF(O2308:Q2325,$B2345&amp;" ~*")&gt;0)+(COUNTIF(S2308:U2325,$B2345)+COUNTIF(S2308:U2325,$B2345&amp;" ~*")&gt;0)+(COUNTIF(W2308:W2325,$B2345)+COUNTIF(W2308:W2325,$B2345&amp;" ~*")&gt;0)+(COUNTIF(Y2308:Y2325,$B2345)+COUNTIF(Y2308:Y2325,$B2345&amp;" ~*")&gt;0))</f>
        <v/>
      </c>
      <c r="AC2345" s="36">
        <f>IF($B2345="","",(IFERROR(INDEX(Setup!$G$33:$G$40,MATCH(C2345,Setup!$B$33:$B$40,0)),0)=1)*(COUNTIF(C2308:E2325,$B2345)+COUNTIF(C2308:E2325,$B2345&amp;" ~*")&gt;0)+(IFERROR(INDEX(Setup!$G$33:$G$40,MATCH(G2345,Setup!$B$33:$B$40,0)),0)=1)*(COUNTIF(G2308:I2325,$B2345)+COUNTIF(G2308:I2325,$B2345&amp;" ~*")&gt;0)+(IFERROR(INDEX(Setup!$G$33:$G$40,MATCH(K2345,Setup!$B$33:$B$40,0)),0)=1)*(COUNTIF(K2308:M2325,$B2345)+COUNTIF(K2308:M2325,$B2345&amp;" ~*")&gt;0)+(IFERROR(INDEX(Setup!$G$33:$G$40,MATCH(O2345,Setup!$B$33:$B$40,0)),0)=1)*(COUNTIF(O2308:Q2325,$B2345)+COUNTIF(O2308:Q2325,$B2345&amp;" ~*")&gt;0)+(IFERROR(INDEX(Setup!$G$33:$G$40,MATCH(S2345,Setup!$B$33:$B$40,0)),0)=1)*(COUNTIF(S2308:U2325,$B2345)+COUNTIF(S2308:U2325,$B2345&amp;" ~*")&gt;0)+(IFERROR(INDEX(Setup!$G$33:$G$40,MATCH(W2345,Setup!$B$33:$B$40,0)),0)=1)*(COUNTIF(W2308:W2325,$B2345)+COUNTIF(W2308:W2325,$B2345&amp;" ~*")&gt;0)+(IFERROR(INDEX(Setup!$G$33:$G$40,MATCH(Y2345,Setup!$B$33:$B$40,0)),0)=1)*(COUNTIF(Y2308:Y2325,$B2345)+COUNTIF(Y2308:Y2325,$B2345&amp;" ~*")&gt;0))</f>
        <v/>
      </c>
    </row>
    <row r="2346" ht="15" customHeight="1">
      <c r="A2346" t="n">
        <v>47</v>
      </c>
      <c r="B2346" s="37">
        <f>IF(Setup!$B$25="","",Setup!$B$25)</f>
        <v/>
      </c>
      <c r="C2346" s="102" t="n"/>
      <c r="D2346" s="103" t="n"/>
      <c r="E2346" s="103" t="n"/>
      <c r="F2346" s="104" t="n"/>
      <c r="G2346" s="102" t="n"/>
      <c r="H2346" s="103" t="n"/>
      <c r="I2346" s="103" t="n"/>
      <c r="J2346" s="104" t="n"/>
      <c r="K2346" s="102" t="n"/>
      <c r="L2346" s="103" t="n"/>
      <c r="M2346" s="103" t="n"/>
      <c r="N2346" s="104" t="n"/>
      <c r="O2346" s="102" t="n"/>
      <c r="P2346" s="103" t="n"/>
      <c r="Q2346" s="103" t="n"/>
      <c r="R2346" s="104" t="n"/>
      <c r="S2346" s="102" t="n"/>
      <c r="T2346" s="103" t="n"/>
      <c r="U2346" s="103" t="n"/>
      <c r="V2346" s="104" t="n"/>
      <c r="W2346" s="102" t="n"/>
      <c r="X2346" s="104" t="n"/>
      <c r="Y2346" s="102" t="n"/>
      <c r="Z2346" s="104" t="n"/>
      <c r="AB2346" s="105">
        <f>IF($B2346="","",(COUNTIF(C2308:E2325,$B2346)+COUNTIF(C2308:E2325,$B2346&amp;" ~*")&gt;0)+(COUNTIF(G2308:I2325,$B2346)+COUNTIF(G2308:I2325,$B2346&amp;" ~*")&gt;0)+(COUNTIF(K2308:M2325,$B2346)+COUNTIF(K2308:M2325,$B2346&amp;" ~*")&gt;0)+(COUNTIF(O2308:Q2325,$B2346)+COUNTIF(O2308:Q2325,$B2346&amp;" ~*")&gt;0)+(COUNTIF(S2308:U2325,$B2346)+COUNTIF(S2308:U2325,$B2346&amp;" ~*")&gt;0)+(COUNTIF(W2308:W2325,$B2346)+COUNTIF(W2308:W2325,$B2346&amp;" ~*")&gt;0)+(COUNTIF(Y2308:Y2325,$B2346)+COUNTIF(Y2308:Y2325,$B2346&amp;" ~*")&gt;0))</f>
        <v/>
      </c>
      <c r="AC2346" s="38">
        <f>IF($B2346="","",(IFERROR(INDEX(Setup!$G$33:$G$40,MATCH(C2346,Setup!$B$33:$B$40,0)),0)=1)*(COUNTIF(C2308:E2325,$B2346)+COUNTIF(C2308:E2325,$B2346&amp;" ~*")&gt;0)+(IFERROR(INDEX(Setup!$G$33:$G$40,MATCH(G2346,Setup!$B$33:$B$40,0)),0)=1)*(COUNTIF(G2308:I2325,$B2346)+COUNTIF(G2308:I2325,$B2346&amp;" ~*")&gt;0)+(IFERROR(INDEX(Setup!$G$33:$G$40,MATCH(K2346,Setup!$B$33:$B$40,0)),0)=1)*(COUNTIF(K2308:M2325,$B2346)+COUNTIF(K2308:M2325,$B2346&amp;" ~*")&gt;0)+(IFERROR(INDEX(Setup!$G$33:$G$40,MATCH(O2346,Setup!$B$33:$B$40,0)),0)=1)*(COUNTIF(O2308:Q2325,$B2346)+COUNTIF(O2308:Q2325,$B2346&amp;" ~*")&gt;0)+(IFERROR(INDEX(Setup!$G$33:$G$40,MATCH(S2346,Setup!$B$33:$B$40,0)),0)=1)*(COUNTIF(S2308:U2325,$B2346)+COUNTIF(S2308:U2325,$B2346&amp;" ~*")&gt;0)+(IFERROR(INDEX(Setup!$G$33:$G$40,MATCH(W2346,Setup!$B$33:$B$40,0)),0)=1)*(COUNTIF(W2308:W2325,$B2346)+COUNTIF(W2308:W2325,$B2346&amp;" ~*")&gt;0)+(IFERROR(INDEX(Setup!$G$33:$G$40,MATCH(Y2346,Setup!$B$33:$B$40,0)),0)=1)*(COUNTIF(Y2308:Y2325,$B2346)+COUNTIF(Y2308:Y2325,$B2346&amp;" ~*")&gt;0))</f>
        <v/>
      </c>
    </row>
    <row r="2347" ht="15" customHeight="1">
      <c r="A2347" t="n">
        <v>47</v>
      </c>
      <c r="B2347" s="35">
        <f>IF(Setup!$B$26="","",Setup!$B$26)</f>
        <v/>
      </c>
      <c r="C2347" s="98" t="n"/>
      <c r="D2347" s="99" t="n"/>
      <c r="E2347" s="99" t="n"/>
      <c r="F2347" s="100" t="n"/>
      <c r="G2347" s="98" t="n"/>
      <c r="H2347" s="99" t="n"/>
      <c r="I2347" s="99" t="n"/>
      <c r="J2347" s="100" t="n"/>
      <c r="K2347" s="98" t="n"/>
      <c r="L2347" s="99" t="n"/>
      <c r="M2347" s="99" t="n"/>
      <c r="N2347" s="100" t="n"/>
      <c r="O2347" s="98" t="n"/>
      <c r="P2347" s="99" t="n"/>
      <c r="Q2347" s="99" t="n"/>
      <c r="R2347" s="100" t="n"/>
      <c r="S2347" s="98" t="n"/>
      <c r="T2347" s="99" t="n"/>
      <c r="U2347" s="99" t="n"/>
      <c r="V2347" s="100" t="n"/>
      <c r="W2347" s="98" t="n"/>
      <c r="X2347" s="100" t="n"/>
      <c r="Y2347" s="98" t="n"/>
      <c r="Z2347" s="100" t="n"/>
      <c r="AB2347" s="101">
        <f>IF($B2347="","",(COUNTIF(C2308:E2325,$B2347)+COUNTIF(C2308:E2325,$B2347&amp;" ~*")&gt;0)+(COUNTIF(G2308:I2325,$B2347)+COUNTIF(G2308:I2325,$B2347&amp;" ~*")&gt;0)+(COUNTIF(K2308:M2325,$B2347)+COUNTIF(K2308:M2325,$B2347&amp;" ~*")&gt;0)+(COUNTIF(O2308:Q2325,$B2347)+COUNTIF(O2308:Q2325,$B2347&amp;" ~*")&gt;0)+(COUNTIF(S2308:U2325,$B2347)+COUNTIF(S2308:U2325,$B2347&amp;" ~*")&gt;0)+(COUNTIF(W2308:W2325,$B2347)+COUNTIF(W2308:W2325,$B2347&amp;" ~*")&gt;0)+(COUNTIF(Y2308:Y2325,$B2347)+COUNTIF(Y2308:Y2325,$B2347&amp;" ~*")&gt;0))</f>
        <v/>
      </c>
      <c r="AC2347" s="36">
        <f>IF($B2347="","",(IFERROR(INDEX(Setup!$G$33:$G$40,MATCH(C2347,Setup!$B$33:$B$40,0)),0)=1)*(COUNTIF(C2308:E2325,$B2347)+COUNTIF(C2308:E2325,$B2347&amp;" ~*")&gt;0)+(IFERROR(INDEX(Setup!$G$33:$G$40,MATCH(G2347,Setup!$B$33:$B$40,0)),0)=1)*(COUNTIF(G2308:I2325,$B2347)+COUNTIF(G2308:I2325,$B2347&amp;" ~*")&gt;0)+(IFERROR(INDEX(Setup!$G$33:$G$40,MATCH(K2347,Setup!$B$33:$B$40,0)),0)=1)*(COUNTIF(K2308:M2325,$B2347)+COUNTIF(K2308:M2325,$B2347&amp;" ~*")&gt;0)+(IFERROR(INDEX(Setup!$G$33:$G$40,MATCH(O2347,Setup!$B$33:$B$40,0)),0)=1)*(COUNTIF(O2308:Q2325,$B2347)+COUNTIF(O2308:Q2325,$B2347&amp;" ~*")&gt;0)+(IFERROR(INDEX(Setup!$G$33:$G$40,MATCH(S2347,Setup!$B$33:$B$40,0)),0)=1)*(COUNTIF(S2308:U2325,$B2347)+COUNTIF(S2308:U2325,$B2347&amp;" ~*")&gt;0)+(IFERROR(INDEX(Setup!$G$33:$G$40,MATCH(W2347,Setup!$B$33:$B$40,0)),0)=1)*(COUNTIF(W2308:W2325,$B2347)+COUNTIF(W2308:W2325,$B2347&amp;" ~*")&gt;0)+(IFERROR(INDEX(Setup!$G$33:$G$40,MATCH(Y2347,Setup!$B$33:$B$40,0)),0)=1)*(COUNTIF(Y2308:Y2325,$B2347)+COUNTIF(Y2308:Y2325,$B2347&amp;" ~*")&gt;0))</f>
        <v/>
      </c>
    </row>
    <row r="2348" ht="15" customHeight="1">
      <c r="A2348" t="n">
        <v>47</v>
      </c>
      <c r="B2348" s="37">
        <f>IF(Setup!$B$27="","",Setup!$B$27)</f>
        <v/>
      </c>
      <c r="C2348" s="102" t="n"/>
      <c r="D2348" s="103" t="n"/>
      <c r="E2348" s="103" t="n"/>
      <c r="F2348" s="104" t="n"/>
      <c r="G2348" s="102" t="n"/>
      <c r="H2348" s="103" t="n"/>
      <c r="I2348" s="103" t="n"/>
      <c r="J2348" s="104" t="n"/>
      <c r="K2348" s="102" t="n"/>
      <c r="L2348" s="103" t="n"/>
      <c r="M2348" s="103" t="n"/>
      <c r="N2348" s="104" t="n"/>
      <c r="O2348" s="102" t="n"/>
      <c r="P2348" s="103" t="n"/>
      <c r="Q2348" s="103" t="n"/>
      <c r="R2348" s="104" t="n"/>
      <c r="S2348" s="102" t="n"/>
      <c r="T2348" s="103" t="n"/>
      <c r="U2348" s="103" t="n"/>
      <c r="V2348" s="104" t="n"/>
      <c r="W2348" s="102" t="n"/>
      <c r="X2348" s="104" t="n"/>
      <c r="Y2348" s="102" t="n"/>
      <c r="Z2348" s="104" t="n"/>
      <c r="AB2348" s="105">
        <f>IF($B2348="","",(COUNTIF(C2308:E2325,$B2348)+COUNTIF(C2308:E2325,$B2348&amp;" ~*")&gt;0)+(COUNTIF(G2308:I2325,$B2348)+COUNTIF(G2308:I2325,$B2348&amp;" ~*")&gt;0)+(COUNTIF(K2308:M2325,$B2348)+COUNTIF(K2308:M2325,$B2348&amp;" ~*")&gt;0)+(COUNTIF(O2308:Q2325,$B2348)+COUNTIF(O2308:Q2325,$B2348&amp;" ~*")&gt;0)+(COUNTIF(S2308:U2325,$B2348)+COUNTIF(S2308:U2325,$B2348&amp;" ~*")&gt;0)+(COUNTIF(W2308:W2325,$B2348)+COUNTIF(W2308:W2325,$B2348&amp;" ~*")&gt;0)+(COUNTIF(Y2308:Y2325,$B2348)+COUNTIF(Y2308:Y2325,$B2348&amp;" ~*")&gt;0))</f>
        <v/>
      </c>
      <c r="AC2348" s="38">
        <f>IF($B2348="","",(IFERROR(INDEX(Setup!$G$33:$G$40,MATCH(C2348,Setup!$B$33:$B$40,0)),0)=1)*(COUNTIF(C2308:E2325,$B2348)+COUNTIF(C2308:E2325,$B2348&amp;" ~*")&gt;0)+(IFERROR(INDEX(Setup!$G$33:$G$40,MATCH(G2348,Setup!$B$33:$B$40,0)),0)=1)*(COUNTIF(G2308:I2325,$B2348)+COUNTIF(G2308:I2325,$B2348&amp;" ~*")&gt;0)+(IFERROR(INDEX(Setup!$G$33:$G$40,MATCH(K2348,Setup!$B$33:$B$40,0)),0)=1)*(COUNTIF(K2308:M2325,$B2348)+COUNTIF(K2308:M2325,$B2348&amp;" ~*")&gt;0)+(IFERROR(INDEX(Setup!$G$33:$G$40,MATCH(O2348,Setup!$B$33:$B$40,0)),0)=1)*(COUNTIF(O2308:Q2325,$B2348)+COUNTIF(O2308:Q2325,$B2348&amp;" ~*")&gt;0)+(IFERROR(INDEX(Setup!$G$33:$G$40,MATCH(S2348,Setup!$B$33:$B$40,0)),0)=1)*(COUNTIF(S2308:U2325,$B2348)+COUNTIF(S2308:U2325,$B2348&amp;" ~*")&gt;0)+(IFERROR(INDEX(Setup!$G$33:$G$40,MATCH(W2348,Setup!$B$33:$B$40,0)),0)=1)*(COUNTIF(W2308:W2325,$B2348)+COUNTIF(W2308:W2325,$B2348&amp;" ~*")&gt;0)+(IFERROR(INDEX(Setup!$G$33:$G$40,MATCH(Y2348,Setup!$B$33:$B$40,0)),0)=1)*(COUNTIF(Y2308:Y2325,$B2348)+COUNTIF(Y2308:Y2325,$B2348&amp;" ~*")&gt;0))</f>
        <v/>
      </c>
    </row>
    <row r="2349" ht="15" customHeight="1">
      <c r="A2349" t="n">
        <v>47</v>
      </c>
      <c r="B2349" s="35">
        <f>IF(Setup!$B$28="","",Setup!$B$28)</f>
        <v/>
      </c>
      <c r="C2349" s="98" t="n"/>
      <c r="D2349" s="99" t="n"/>
      <c r="E2349" s="99" t="n"/>
      <c r="F2349" s="100" t="n"/>
      <c r="G2349" s="98" t="n"/>
      <c r="H2349" s="99" t="n"/>
      <c r="I2349" s="99" t="n"/>
      <c r="J2349" s="100" t="n"/>
      <c r="K2349" s="98" t="n"/>
      <c r="L2349" s="99" t="n"/>
      <c r="M2349" s="99" t="n"/>
      <c r="N2349" s="100" t="n"/>
      <c r="O2349" s="98" t="n"/>
      <c r="P2349" s="99" t="n"/>
      <c r="Q2349" s="99" t="n"/>
      <c r="R2349" s="100" t="n"/>
      <c r="S2349" s="98" t="n"/>
      <c r="T2349" s="99" t="n"/>
      <c r="U2349" s="99" t="n"/>
      <c r="V2349" s="100" t="n"/>
      <c r="W2349" s="98" t="n"/>
      <c r="X2349" s="100" t="n"/>
      <c r="Y2349" s="98" t="n"/>
      <c r="Z2349" s="100" t="n"/>
      <c r="AB2349" s="101">
        <f>IF($B2349="","",(COUNTIF(C2308:E2325,$B2349)+COUNTIF(C2308:E2325,$B2349&amp;" ~*")&gt;0)+(COUNTIF(G2308:I2325,$B2349)+COUNTIF(G2308:I2325,$B2349&amp;" ~*")&gt;0)+(COUNTIF(K2308:M2325,$B2349)+COUNTIF(K2308:M2325,$B2349&amp;" ~*")&gt;0)+(COUNTIF(O2308:Q2325,$B2349)+COUNTIF(O2308:Q2325,$B2349&amp;" ~*")&gt;0)+(COUNTIF(S2308:U2325,$B2349)+COUNTIF(S2308:U2325,$B2349&amp;" ~*")&gt;0)+(COUNTIF(W2308:W2325,$B2349)+COUNTIF(W2308:W2325,$B2349&amp;" ~*")&gt;0)+(COUNTIF(Y2308:Y2325,$B2349)+COUNTIF(Y2308:Y2325,$B2349&amp;" ~*")&gt;0))</f>
        <v/>
      </c>
      <c r="AC2349" s="36">
        <f>IF($B2349="","",(IFERROR(INDEX(Setup!$G$33:$G$40,MATCH(C2349,Setup!$B$33:$B$40,0)),0)=1)*(COUNTIF(C2308:E2325,$B2349)+COUNTIF(C2308:E2325,$B2349&amp;" ~*")&gt;0)+(IFERROR(INDEX(Setup!$G$33:$G$40,MATCH(G2349,Setup!$B$33:$B$40,0)),0)=1)*(COUNTIF(G2308:I2325,$B2349)+COUNTIF(G2308:I2325,$B2349&amp;" ~*")&gt;0)+(IFERROR(INDEX(Setup!$G$33:$G$40,MATCH(K2349,Setup!$B$33:$B$40,0)),0)=1)*(COUNTIF(K2308:M2325,$B2349)+COUNTIF(K2308:M2325,$B2349&amp;" ~*")&gt;0)+(IFERROR(INDEX(Setup!$G$33:$G$40,MATCH(O2349,Setup!$B$33:$B$40,0)),0)=1)*(COUNTIF(O2308:Q2325,$B2349)+COUNTIF(O2308:Q2325,$B2349&amp;" ~*")&gt;0)+(IFERROR(INDEX(Setup!$G$33:$G$40,MATCH(S2349,Setup!$B$33:$B$40,0)),0)=1)*(COUNTIF(S2308:U2325,$B2349)+COUNTIF(S2308:U2325,$B2349&amp;" ~*")&gt;0)+(IFERROR(INDEX(Setup!$G$33:$G$40,MATCH(W2349,Setup!$B$33:$B$40,0)),0)=1)*(COUNTIF(W2308:W2325,$B2349)+COUNTIF(W2308:W2325,$B2349&amp;" ~*")&gt;0)+(IFERROR(INDEX(Setup!$G$33:$G$40,MATCH(Y2349,Setup!$B$33:$B$40,0)),0)=1)*(COUNTIF(Y2308:Y2325,$B2349)+COUNTIF(Y2308:Y2325,$B2349&amp;" ~*")&gt;0))</f>
        <v/>
      </c>
    </row>
    <row r="2350" ht="15" customHeight="1">
      <c r="A2350" t="n">
        <v>47</v>
      </c>
      <c r="B2350" s="37">
        <f>IF(Setup!$B$29="","",Setup!$B$29)</f>
        <v/>
      </c>
      <c r="C2350" s="102" t="n"/>
      <c r="D2350" s="103" t="n"/>
      <c r="E2350" s="103" t="n"/>
      <c r="F2350" s="104" t="n"/>
      <c r="G2350" s="102" t="n"/>
      <c r="H2350" s="103" t="n"/>
      <c r="I2350" s="103" t="n"/>
      <c r="J2350" s="104" t="n"/>
      <c r="K2350" s="102" t="n"/>
      <c r="L2350" s="103" t="n"/>
      <c r="M2350" s="103" t="n"/>
      <c r="N2350" s="104" t="n"/>
      <c r="O2350" s="102" t="n"/>
      <c r="P2350" s="103" t="n"/>
      <c r="Q2350" s="103" t="n"/>
      <c r="R2350" s="104" t="n"/>
      <c r="S2350" s="102" t="n"/>
      <c r="T2350" s="103" t="n"/>
      <c r="U2350" s="103" t="n"/>
      <c r="V2350" s="104" t="n"/>
      <c r="W2350" s="102" t="n"/>
      <c r="X2350" s="104" t="n"/>
      <c r="Y2350" s="102" t="n"/>
      <c r="Z2350" s="104" t="n"/>
      <c r="AB2350" s="105">
        <f>IF($B2350="","",(COUNTIF(C2308:E2325,$B2350)+COUNTIF(C2308:E2325,$B2350&amp;" ~*")&gt;0)+(COUNTIF(G2308:I2325,$B2350)+COUNTIF(G2308:I2325,$B2350&amp;" ~*")&gt;0)+(COUNTIF(K2308:M2325,$B2350)+COUNTIF(K2308:M2325,$B2350&amp;" ~*")&gt;0)+(COUNTIF(O2308:Q2325,$B2350)+COUNTIF(O2308:Q2325,$B2350&amp;" ~*")&gt;0)+(COUNTIF(S2308:U2325,$B2350)+COUNTIF(S2308:U2325,$B2350&amp;" ~*")&gt;0)+(COUNTIF(W2308:W2325,$B2350)+COUNTIF(W2308:W2325,$B2350&amp;" ~*")&gt;0)+(COUNTIF(Y2308:Y2325,$B2350)+COUNTIF(Y2308:Y2325,$B2350&amp;" ~*")&gt;0))</f>
        <v/>
      </c>
      <c r="AC2350" s="38">
        <f>IF($B2350="","",(IFERROR(INDEX(Setup!$G$33:$G$40,MATCH(C2350,Setup!$B$33:$B$40,0)),0)=1)*(COUNTIF(C2308:E2325,$B2350)+COUNTIF(C2308:E2325,$B2350&amp;" ~*")&gt;0)+(IFERROR(INDEX(Setup!$G$33:$G$40,MATCH(G2350,Setup!$B$33:$B$40,0)),0)=1)*(COUNTIF(G2308:I2325,$B2350)+COUNTIF(G2308:I2325,$B2350&amp;" ~*")&gt;0)+(IFERROR(INDEX(Setup!$G$33:$G$40,MATCH(K2350,Setup!$B$33:$B$40,0)),0)=1)*(COUNTIF(K2308:M2325,$B2350)+COUNTIF(K2308:M2325,$B2350&amp;" ~*")&gt;0)+(IFERROR(INDEX(Setup!$G$33:$G$40,MATCH(O2350,Setup!$B$33:$B$40,0)),0)=1)*(COUNTIF(O2308:Q2325,$B2350)+COUNTIF(O2308:Q2325,$B2350&amp;" ~*")&gt;0)+(IFERROR(INDEX(Setup!$G$33:$G$40,MATCH(S2350,Setup!$B$33:$B$40,0)),0)=1)*(COUNTIF(S2308:U2325,$B2350)+COUNTIF(S2308:U2325,$B2350&amp;" ~*")&gt;0)+(IFERROR(INDEX(Setup!$G$33:$G$40,MATCH(W2350,Setup!$B$33:$B$40,0)),0)=1)*(COUNTIF(W2308:W2325,$B2350)+COUNTIF(W2308:W2325,$B2350&amp;" ~*")&gt;0)+(IFERROR(INDEX(Setup!$G$33:$G$40,MATCH(Y2350,Setup!$B$33:$B$40,0)),0)=1)*(COUNTIF(Y2308:Y2325,$B2350)+COUNTIF(Y2308:Y2325,$B2350&amp;" ~*")&gt;0))</f>
        <v/>
      </c>
    </row>
    <row r="2351" ht="16" customHeight="1">
      <c r="A2351" t="n">
        <v>47</v>
      </c>
      <c r="B2351" s="106" t="inlineStr">
        <is>
          <t>Available people</t>
        </is>
      </c>
      <c r="C2351" s="107">
        <f>COUNTIFS(Setup!$E$6:$E$29,"Y",Setup!$B$6:$B$29,"?*")-SUMPRODUCT(COUNTIF(C2327:C2350,Setup!$F$33:$F$40))</f>
        <v/>
      </c>
      <c r="D2351" s="107" t="n"/>
      <c r="E2351" s="107" t="n"/>
      <c r="F2351" s="107" t="n"/>
      <c r="G2351" s="107">
        <f>COUNTIFS(Setup!$E$6:$E$29,"Y",Setup!$B$6:$B$29,"?*")-SUMPRODUCT(COUNTIF(G2327:G2350,Setup!$F$33:$F$40))</f>
        <v/>
      </c>
      <c r="H2351" s="107" t="n"/>
      <c r="I2351" s="107" t="n"/>
      <c r="J2351" s="107" t="n"/>
      <c r="K2351" s="107">
        <f>COUNTIFS(Setup!$E$6:$E$29,"Y",Setup!$B$6:$B$29,"?*")-SUMPRODUCT(COUNTIF(K2327:K2350,Setup!$F$33:$F$40))</f>
        <v/>
      </c>
      <c r="L2351" s="107" t="n"/>
      <c r="M2351" s="107" t="n"/>
      <c r="N2351" s="107" t="n"/>
      <c r="O2351" s="107">
        <f>COUNTIFS(Setup!$E$6:$E$29,"Y",Setup!$B$6:$B$29,"?*")-SUMPRODUCT(COUNTIF(O2327:O2350,Setup!$F$33:$F$40))</f>
        <v/>
      </c>
      <c r="P2351" s="107" t="n"/>
      <c r="Q2351" s="107" t="n"/>
      <c r="R2351" s="107" t="n"/>
      <c r="S2351" s="107">
        <f>COUNTIFS(Setup!$E$6:$E$29,"Y",Setup!$B$6:$B$29,"?*")-SUMPRODUCT(COUNTIF(S2327:S2350,Setup!$F$33:$F$40))</f>
        <v/>
      </c>
      <c r="T2351" s="107" t="n"/>
      <c r="U2351" s="107" t="n"/>
      <c r="V2351" s="107" t="n"/>
      <c r="W2351" s="107">
        <f>COUNTIFS(Setup!$E$6:$E$29,"Y",Setup!$B$6:$B$29,"?*")-SUMPRODUCT(COUNTIF(W2327:W2350,Setup!$F$33:$F$40))</f>
        <v/>
      </c>
      <c r="X2351" s="107" t="n"/>
      <c r="Y2351" s="107">
        <f>COUNTIFS(Setup!$E$6:$E$29,"Y",Setup!$B$6:$B$29,"?*")-SUMPRODUCT(COUNTIF(Y2327:Y2350,Setup!$F$33:$F$40))</f>
        <v/>
      </c>
      <c r="Z2351" s="107" t="n"/>
      <c r="AB2351" s="108">
        <f>SUM(AB2327:AB2350)</f>
        <v/>
      </c>
      <c r="AC2351" s="109">
        <f>SUM(AC2327:AC2350)</f>
        <v/>
      </c>
    </row>
    <row r="2352" ht="30" customHeight="1">
      <c r="A2352" t="n">
        <v>47</v>
      </c>
      <c r="B2352" s="110" t="inlineStr">
        <is>
          <t>Week notes</t>
        </is>
      </c>
      <c r="C2352" s="111" t="n"/>
      <c r="D2352" s="112" t="n"/>
      <c r="E2352" s="112" t="n"/>
      <c r="F2352" s="112" t="n"/>
      <c r="G2352" s="112" t="n"/>
      <c r="H2352" s="112" t="n"/>
      <c r="I2352" s="112" t="n"/>
      <c r="J2352" s="112" t="n"/>
      <c r="K2352" s="112" t="n"/>
      <c r="L2352" s="112" t="n"/>
      <c r="M2352" s="112" t="n"/>
      <c r="N2352" s="112" t="n"/>
      <c r="O2352" s="112" t="n"/>
      <c r="P2352" s="112" t="n"/>
      <c r="Q2352" s="112" t="n"/>
      <c r="R2352" s="112" t="n"/>
      <c r="S2352" s="112" t="n"/>
      <c r="T2352" s="112" t="n"/>
      <c r="U2352" s="112" t="n"/>
      <c r="V2352" s="112" t="n"/>
      <c r="W2352" s="112" t="n"/>
      <c r="X2352" s="112" t="n"/>
      <c r="Y2352" s="112" t="n"/>
      <c r="Z2352" s="113" t="n"/>
    </row>
    <row r="2353" ht="8" customHeight="1">
      <c r="A2353" t="n">
        <v>47</v>
      </c>
    </row>
    <row r="2354" ht="8" customHeight="1">
      <c r="A2354" t="n">
        <v>47</v>
      </c>
    </row>
    <row r="2355" ht="24" customHeight="1">
      <c r="A2355" t="n">
        <v>48</v>
      </c>
      <c r="B2355" s="73">
        <f>"WEEK 48     "&amp;TEXT(C2356,"ddd d mmm")&amp;"  –  "&amp;TEXT(C2356+6,"ddd d mmm yyyy")</f>
        <v/>
      </c>
      <c r="S2355" s="74">
        <f>IF(TODAY()&lt;C2356,"FUTURE",IF(TODAY()&gt;C2356+6,"PAST","THIS WEEK"))</f>
        <v/>
      </c>
      <c r="W2355" s="75">
        <f>IF(AND(Engine!$B$8=$AC$3,Engine!$B$9=$A2355),"◀ ACTIVE WEEK","")</f>
        <v/>
      </c>
      <c r="AA2355" s="76" t="n"/>
      <c r="AB2355" s="77" t="inlineStr">
        <is>
          <t>◀ Prev</t>
        </is>
      </c>
      <c r="AC2355" s="77" t="inlineStr">
        <is>
          <t>Next ▶</t>
        </is>
      </c>
    </row>
    <row r="2356" ht="18" customHeight="1">
      <c r="A2356" t="n">
        <v>48</v>
      </c>
      <c r="B2356" s="78" t="inlineStr">
        <is>
          <t>DUTY</t>
        </is>
      </c>
      <c r="C2356" s="79">
        <f>$AC$2+7*($A2356-1)</f>
        <v/>
      </c>
      <c r="D2356" s="80" t="n"/>
      <c r="E2356" s="80" t="n"/>
      <c r="F2356" s="81" t="n"/>
      <c r="G2356" s="79">
        <f>C2356+1</f>
        <v/>
      </c>
      <c r="H2356" s="80" t="n"/>
      <c r="I2356" s="80" t="n"/>
      <c r="J2356" s="81" t="n"/>
      <c r="K2356" s="79">
        <f>C2356+2</f>
        <v/>
      </c>
      <c r="L2356" s="80" t="n"/>
      <c r="M2356" s="80" t="n"/>
      <c r="N2356" s="81" t="n"/>
      <c r="O2356" s="79">
        <f>C2356+3</f>
        <v/>
      </c>
      <c r="P2356" s="80" t="n"/>
      <c r="Q2356" s="80" t="n"/>
      <c r="R2356" s="81" t="n"/>
      <c r="S2356" s="79">
        <f>C2356+4</f>
        <v/>
      </c>
      <c r="T2356" s="80" t="n"/>
      <c r="U2356" s="80" t="n"/>
      <c r="V2356" s="81" t="n"/>
      <c r="W2356" s="82">
        <f>C2356+5</f>
        <v/>
      </c>
      <c r="X2356" s="83" t="n"/>
      <c r="Y2356" s="82">
        <f>C2356+6</f>
        <v/>
      </c>
      <c r="Z2356" s="83" t="n"/>
      <c r="AB2356" s="72" t="inlineStr">
        <is>
          <t>Gaps</t>
        </is>
      </c>
      <c r="AC2356" s="72" t="inlineStr">
        <is>
          <t>Cover</t>
        </is>
      </c>
    </row>
    <row r="2357" ht="14" customHeight="1">
      <c r="A2357" t="n">
        <v>48</v>
      </c>
      <c r="B2357" s="84" t="inlineStr">
        <is>
          <t>(from Setup)</t>
        </is>
      </c>
      <c r="C2357" s="85" t="inlineStr">
        <is>
          <t>1</t>
        </is>
      </c>
      <c r="D2357" s="85" t="inlineStr">
        <is>
          <t>2</t>
        </is>
      </c>
      <c r="E2357" s="85" t="inlineStr">
        <is>
          <t>3</t>
        </is>
      </c>
      <c r="F2357" s="85" t="inlineStr">
        <is>
          <t>Notes</t>
        </is>
      </c>
      <c r="G2357" s="85" t="inlineStr">
        <is>
          <t>1</t>
        </is>
      </c>
      <c r="H2357" s="85" t="inlineStr">
        <is>
          <t>2</t>
        </is>
      </c>
      <c r="I2357" s="85" t="inlineStr">
        <is>
          <t>3</t>
        </is>
      </c>
      <c r="J2357" s="85" t="inlineStr">
        <is>
          <t>Notes</t>
        </is>
      </c>
      <c r="K2357" s="85" t="inlineStr">
        <is>
          <t>1</t>
        </is>
      </c>
      <c r="L2357" s="85" t="inlineStr">
        <is>
          <t>2</t>
        </is>
      </c>
      <c r="M2357" s="85" t="inlineStr">
        <is>
          <t>3</t>
        </is>
      </c>
      <c r="N2357" s="85" t="inlineStr">
        <is>
          <t>Notes</t>
        </is>
      </c>
      <c r="O2357" s="85" t="inlineStr">
        <is>
          <t>1</t>
        </is>
      </c>
      <c r="P2357" s="85" t="inlineStr">
        <is>
          <t>2</t>
        </is>
      </c>
      <c r="Q2357" s="85" t="inlineStr">
        <is>
          <t>3</t>
        </is>
      </c>
      <c r="R2357" s="85" t="inlineStr">
        <is>
          <t>Notes</t>
        </is>
      </c>
      <c r="S2357" s="85" t="inlineStr">
        <is>
          <t>1</t>
        </is>
      </c>
      <c r="T2357" s="85" t="inlineStr">
        <is>
          <t>2</t>
        </is>
      </c>
      <c r="U2357" s="85" t="inlineStr">
        <is>
          <t>3</t>
        </is>
      </c>
      <c r="V2357" s="85" t="inlineStr">
        <is>
          <t>Notes</t>
        </is>
      </c>
      <c r="W2357" s="85" t="inlineStr">
        <is>
          <t>Cover</t>
        </is>
      </c>
      <c r="X2357" s="85" t="inlineStr">
        <is>
          <t>Notes</t>
        </is>
      </c>
      <c r="Y2357" s="85" t="inlineStr">
        <is>
          <t>Cover</t>
        </is>
      </c>
      <c r="Z2357" s="85" t="inlineStr">
        <is>
          <t>Notes</t>
        </is>
      </c>
      <c r="AB2357" s="86" t="inlineStr">
        <is>
          <t>weekdays short</t>
        </is>
      </c>
      <c r="AC2357" s="87" t="inlineStr"/>
    </row>
    <row r="2358" ht="17" customHeight="1">
      <c r="A2358" t="n">
        <v>48</v>
      </c>
      <c r="B2358" s="24">
        <f>IF(Setup!$K$6="","",Setup!$K$6)</f>
        <v/>
      </c>
      <c r="C2358" s="88" t="n"/>
      <c r="D2358" s="88" t="n"/>
      <c r="E2358" s="88" t="n"/>
      <c r="F2358" s="89" t="n"/>
      <c r="G2358" s="88" t="n"/>
      <c r="H2358" s="88" t="n"/>
      <c r="I2358" s="88" t="n"/>
      <c r="J2358" s="89" t="n"/>
      <c r="K2358" s="88" t="n"/>
      <c r="L2358" s="88" t="n"/>
      <c r="M2358" s="88" t="n"/>
      <c r="N2358" s="89" t="n"/>
      <c r="O2358" s="88" t="n"/>
      <c r="P2358" s="88" t="n"/>
      <c r="Q2358" s="88" t="n"/>
      <c r="R2358" s="89" t="n"/>
      <c r="S2358" s="88" t="n"/>
      <c r="T2358" s="88" t="n"/>
      <c r="U2358" s="88" t="n"/>
      <c r="V2358" s="89" t="n"/>
      <c r="W2358" s="88" t="n"/>
      <c r="X2358" s="89" t="n"/>
      <c r="Y2358" s="88" t="n"/>
      <c r="Z2358" s="89" t="n"/>
      <c r="AB2358" s="25">
        <f>IF($B2358="","",(COUNTIF(C2358:E2358,"?*")&lt;N(INDEX(Setup!$L$6:$L$23,1)))+(COUNTIF(G2358:I2358,"?*")&lt;N(INDEX(Setup!$L$6:$L$23,1)))+(COUNTIF(K2358:M2358,"?*")&lt;N(INDEX(Setup!$L$6:$L$23,1)))+(COUNTIF(O2358:Q2358,"?*")&lt;N(INDEX(Setup!$L$6:$L$23,1)))+(COUNTIF(S2358:U2358,"?*")&lt;N(INDEX(Setup!$L$6:$L$23,1)))+((W2358="")*(INDEX(Setup!$M$6:$M$23,1)="Y"))+((Y2358="")*(INDEX(Setup!$M$6:$M$23,1)="Y")))</f>
        <v/>
      </c>
      <c r="AC2358" s="90">
        <f>IF($B2358="","",IF(AB2358=0,"✓ covered","⚠ "&amp;AB2358&amp;IF(AB2358=1," gap"," gaps")))</f>
        <v/>
      </c>
    </row>
    <row r="2359" ht="17" customHeight="1">
      <c r="A2359" t="n">
        <v>48</v>
      </c>
      <c r="B2359" s="29">
        <f>IF(Setup!$K$7="","",Setup!$K$7)</f>
        <v/>
      </c>
      <c r="C2359" s="88" t="n"/>
      <c r="D2359" s="88" t="n"/>
      <c r="E2359" s="88" t="n"/>
      <c r="F2359" s="89" t="n"/>
      <c r="G2359" s="88" t="n"/>
      <c r="H2359" s="88" t="n"/>
      <c r="I2359" s="88" t="n"/>
      <c r="J2359" s="89" t="n"/>
      <c r="K2359" s="88" t="n"/>
      <c r="L2359" s="88" t="n"/>
      <c r="M2359" s="88" t="n"/>
      <c r="N2359" s="89" t="n"/>
      <c r="O2359" s="88" t="n"/>
      <c r="P2359" s="88" t="n"/>
      <c r="Q2359" s="88" t="n"/>
      <c r="R2359" s="89" t="n"/>
      <c r="S2359" s="88" t="n"/>
      <c r="T2359" s="88" t="n"/>
      <c r="U2359" s="88" t="n"/>
      <c r="V2359" s="89" t="n"/>
      <c r="W2359" s="88" t="n"/>
      <c r="X2359" s="89" t="n"/>
      <c r="Y2359" s="88" t="n"/>
      <c r="Z2359" s="89" t="n"/>
      <c r="AB2359" s="30">
        <f>IF($B2359="","",(COUNTIF(C2359:E2359,"?*")&lt;N(INDEX(Setup!$L$6:$L$23,2)))+(COUNTIF(G2359:I2359,"?*")&lt;N(INDEX(Setup!$L$6:$L$23,2)))+(COUNTIF(K2359:M2359,"?*")&lt;N(INDEX(Setup!$L$6:$L$23,2)))+(COUNTIF(O2359:Q2359,"?*")&lt;N(INDEX(Setup!$L$6:$L$23,2)))+(COUNTIF(S2359:U2359,"?*")&lt;N(INDEX(Setup!$L$6:$L$23,2)))+((W2359="")*(INDEX(Setup!$M$6:$M$23,2)="Y"))+((Y2359="")*(INDEX(Setup!$M$6:$M$23,2)="Y")))</f>
        <v/>
      </c>
      <c r="AC2359" s="91">
        <f>IF($B2359="","",IF(AB2359=0,"✓ covered","⚠ "&amp;AB2359&amp;IF(AB2359=1," gap"," gaps")))</f>
        <v/>
      </c>
    </row>
    <row r="2360" ht="17" customHeight="1">
      <c r="A2360" t="n">
        <v>48</v>
      </c>
      <c r="B2360" s="24">
        <f>IF(Setup!$K$8="","",Setup!$K$8)</f>
        <v/>
      </c>
      <c r="C2360" s="88" t="n"/>
      <c r="D2360" s="88" t="n"/>
      <c r="E2360" s="88" t="n"/>
      <c r="F2360" s="89" t="n"/>
      <c r="G2360" s="88" t="n"/>
      <c r="H2360" s="88" t="n"/>
      <c r="I2360" s="88" t="n"/>
      <c r="J2360" s="89" t="n"/>
      <c r="K2360" s="88" t="n"/>
      <c r="L2360" s="88" t="n"/>
      <c r="M2360" s="88" t="n"/>
      <c r="N2360" s="89" t="n"/>
      <c r="O2360" s="88" t="n"/>
      <c r="P2360" s="88" t="n"/>
      <c r="Q2360" s="88" t="n"/>
      <c r="R2360" s="89" t="n"/>
      <c r="S2360" s="88" t="n"/>
      <c r="T2360" s="88" t="n"/>
      <c r="U2360" s="88" t="n"/>
      <c r="V2360" s="89" t="n"/>
      <c r="W2360" s="88" t="n"/>
      <c r="X2360" s="89" t="n"/>
      <c r="Y2360" s="88" t="n"/>
      <c r="Z2360" s="89" t="n"/>
      <c r="AB2360" s="25">
        <f>IF($B2360="","",(COUNTIF(C2360:E2360,"?*")&lt;N(INDEX(Setup!$L$6:$L$23,3)))+(COUNTIF(G2360:I2360,"?*")&lt;N(INDEX(Setup!$L$6:$L$23,3)))+(COUNTIF(K2360:M2360,"?*")&lt;N(INDEX(Setup!$L$6:$L$23,3)))+(COUNTIF(O2360:Q2360,"?*")&lt;N(INDEX(Setup!$L$6:$L$23,3)))+(COUNTIF(S2360:U2360,"?*")&lt;N(INDEX(Setup!$L$6:$L$23,3)))+((W2360="")*(INDEX(Setup!$M$6:$M$23,3)="Y"))+((Y2360="")*(INDEX(Setup!$M$6:$M$23,3)="Y")))</f>
        <v/>
      </c>
      <c r="AC2360" s="90">
        <f>IF($B2360="","",IF(AB2360=0,"✓ covered","⚠ "&amp;AB2360&amp;IF(AB2360=1," gap"," gaps")))</f>
        <v/>
      </c>
    </row>
    <row r="2361" ht="17" customHeight="1">
      <c r="A2361" t="n">
        <v>48</v>
      </c>
      <c r="B2361" s="29">
        <f>IF(Setup!$K$9="","",Setup!$K$9)</f>
        <v/>
      </c>
      <c r="C2361" s="88" t="n"/>
      <c r="D2361" s="88" t="n"/>
      <c r="E2361" s="88" t="n"/>
      <c r="F2361" s="89" t="n"/>
      <c r="G2361" s="88" t="n"/>
      <c r="H2361" s="88" t="n"/>
      <c r="I2361" s="88" t="n"/>
      <c r="J2361" s="89" t="n"/>
      <c r="K2361" s="88" t="n"/>
      <c r="L2361" s="88" t="n"/>
      <c r="M2361" s="88" t="n"/>
      <c r="N2361" s="89" t="n"/>
      <c r="O2361" s="88" t="n"/>
      <c r="P2361" s="88" t="n"/>
      <c r="Q2361" s="88" t="n"/>
      <c r="R2361" s="89" t="n"/>
      <c r="S2361" s="88" t="n"/>
      <c r="T2361" s="88" t="n"/>
      <c r="U2361" s="88" t="n"/>
      <c r="V2361" s="89" t="n"/>
      <c r="W2361" s="88" t="n"/>
      <c r="X2361" s="89" t="n"/>
      <c r="Y2361" s="88" t="n"/>
      <c r="Z2361" s="89" t="n"/>
      <c r="AB2361" s="30">
        <f>IF($B2361="","",(COUNTIF(C2361:E2361,"?*")&lt;N(INDEX(Setup!$L$6:$L$23,4)))+(COUNTIF(G2361:I2361,"?*")&lt;N(INDEX(Setup!$L$6:$L$23,4)))+(COUNTIF(K2361:M2361,"?*")&lt;N(INDEX(Setup!$L$6:$L$23,4)))+(COUNTIF(O2361:Q2361,"?*")&lt;N(INDEX(Setup!$L$6:$L$23,4)))+(COUNTIF(S2361:U2361,"?*")&lt;N(INDEX(Setup!$L$6:$L$23,4)))+((W2361="")*(INDEX(Setup!$M$6:$M$23,4)="Y"))+((Y2361="")*(INDEX(Setup!$M$6:$M$23,4)="Y")))</f>
        <v/>
      </c>
      <c r="AC2361" s="91">
        <f>IF($B2361="","",IF(AB2361=0,"✓ covered","⚠ "&amp;AB2361&amp;IF(AB2361=1," gap"," gaps")))</f>
        <v/>
      </c>
    </row>
    <row r="2362" ht="17" customHeight="1">
      <c r="A2362" t="n">
        <v>48</v>
      </c>
      <c r="B2362" s="24">
        <f>IF(Setup!$K$10="","",Setup!$K$10)</f>
        <v/>
      </c>
      <c r="C2362" s="88" t="n"/>
      <c r="D2362" s="88" t="n"/>
      <c r="E2362" s="88" t="n"/>
      <c r="F2362" s="89" t="n"/>
      <c r="G2362" s="88" t="n"/>
      <c r="H2362" s="88" t="n"/>
      <c r="I2362" s="88" t="n"/>
      <c r="J2362" s="89" t="n"/>
      <c r="K2362" s="88" t="n"/>
      <c r="L2362" s="88" t="n"/>
      <c r="M2362" s="88" t="n"/>
      <c r="N2362" s="89" t="n"/>
      <c r="O2362" s="88" t="n"/>
      <c r="P2362" s="88" t="n"/>
      <c r="Q2362" s="88" t="n"/>
      <c r="R2362" s="89" t="n"/>
      <c r="S2362" s="88" t="n"/>
      <c r="T2362" s="88" t="n"/>
      <c r="U2362" s="88" t="n"/>
      <c r="V2362" s="89" t="n"/>
      <c r="W2362" s="88" t="n"/>
      <c r="X2362" s="89" t="n"/>
      <c r="Y2362" s="88" t="n"/>
      <c r="Z2362" s="89" t="n"/>
      <c r="AB2362" s="25">
        <f>IF($B2362="","",(COUNTIF(C2362:E2362,"?*")&lt;N(INDEX(Setup!$L$6:$L$23,5)))+(COUNTIF(G2362:I2362,"?*")&lt;N(INDEX(Setup!$L$6:$L$23,5)))+(COUNTIF(K2362:M2362,"?*")&lt;N(INDEX(Setup!$L$6:$L$23,5)))+(COUNTIF(O2362:Q2362,"?*")&lt;N(INDEX(Setup!$L$6:$L$23,5)))+(COUNTIF(S2362:U2362,"?*")&lt;N(INDEX(Setup!$L$6:$L$23,5)))+((W2362="")*(INDEX(Setup!$M$6:$M$23,5)="Y"))+((Y2362="")*(INDEX(Setup!$M$6:$M$23,5)="Y")))</f>
        <v/>
      </c>
      <c r="AC2362" s="90">
        <f>IF($B2362="","",IF(AB2362=0,"✓ covered","⚠ "&amp;AB2362&amp;IF(AB2362=1," gap"," gaps")))</f>
        <v/>
      </c>
    </row>
    <row r="2363" ht="17" customHeight="1">
      <c r="A2363" t="n">
        <v>48</v>
      </c>
      <c r="B2363" s="29">
        <f>IF(Setup!$K$11="","",Setup!$K$11)</f>
        <v/>
      </c>
      <c r="C2363" s="88" t="n"/>
      <c r="D2363" s="88" t="n"/>
      <c r="E2363" s="88" t="n"/>
      <c r="F2363" s="89" t="n"/>
      <c r="G2363" s="88" t="n"/>
      <c r="H2363" s="88" t="n"/>
      <c r="I2363" s="88" t="n"/>
      <c r="J2363" s="89" t="n"/>
      <c r="K2363" s="88" t="n"/>
      <c r="L2363" s="88" t="n"/>
      <c r="M2363" s="88" t="n"/>
      <c r="N2363" s="89" t="n"/>
      <c r="O2363" s="88" t="n"/>
      <c r="P2363" s="88" t="n"/>
      <c r="Q2363" s="88" t="n"/>
      <c r="R2363" s="89" t="n"/>
      <c r="S2363" s="88" t="n"/>
      <c r="T2363" s="88" t="n"/>
      <c r="U2363" s="88" t="n"/>
      <c r="V2363" s="89" t="n"/>
      <c r="W2363" s="88" t="n"/>
      <c r="X2363" s="89" t="n"/>
      <c r="Y2363" s="88" t="n"/>
      <c r="Z2363" s="89" t="n"/>
      <c r="AB2363" s="30">
        <f>IF($B2363="","",(COUNTIF(C2363:E2363,"?*")&lt;N(INDEX(Setup!$L$6:$L$23,6)))+(COUNTIF(G2363:I2363,"?*")&lt;N(INDEX(Setup!$L$6:$L$23,6)))+(COUNTIF(K2363:M2363,"?*")&lt;N(INDEX(Setup!$L$6:$L$23,6)))+(COUNTIF(O2363:Q2363,"?*")&lt;N(INDEX(Setup!$L$6:$L$23,6)))+(COUNTIF(S2363:U2363,"?*")&lt;N(INDEX(Setup!$L$6:$L$23,6)))+((W2363="")*(INDEX(Setup!$M$6:$M$23,6)="Y"))+((Y2363="")*(INDEX(Setup!$M$6:$M$23,6)="Y")))</f>
        <v/>
      </c>
      <c r="AC2363" s="91">
        <f>IF($B2363="","",IF(AB2363=0,"✓ covered","⚠ "&amp;AB2363&amp;IF(AB2363=1," gap"," gaps")))</f>
        <v/>
      </c>
    </row>
    <row r="2364" ht="17" customHeight="1">
      <c r="A2364" t="n">
        <v>48</v>
      </c>
      <c r="B2364" s="24">
        <f>IF(Setup!$K$12="","",Setup!$K$12)</f>
        <v/>
      </c>
      <c r="C2364" s="88" t="n"/>
      <c r="D2364" s="88" t="n"/>
      <c r="E2364" s="88" t="n"/>
      <c r="F2364" s="89" t="n"/>
      <c r="G2364" s="88" t="n"/>
      <c r="H2364" s="88" t="n"/>
      <c r="I2364" s="88" t="n"/>
      <c r="J2364" s="89" t="n"/>
      <c r="K2364" s="88" t="n"/>
      <c r="L2364" s="88" t="n"/>
      <c r="M2364" s="88" t="n"/>
      <c r="N2364" s="89" t="n"/>
      <c r="O2364" s="88" t="n"/>
      <c r="P2364" s="88" t="n"/>
      <c r="Q2364" s="88" t="n"/>
      <c r="R2364" s="89" t="n"/>
      <c r="S2364" s="88" t="n"/>
      <c r="T2364" s="88" t="n"/>
      <c r="U2364" s="88" t="n"/>
      <c r="V2364" s="89" t="n"/>
      <c r="W2364" s="88" t="n"/>
      <c r="X2364" s="89" t="n"/>
      <c r="Y2364" s="88" t="n"/>
      <c r="Z2364" s="89" t="n"/>
      <c r="AB2364" s="25">
        <f>IF($B2364="","",(COUNTIF(C2364:E2364,"?*")&lt;N(INDEX(Setup!$L$6:$L$23,7)))+(COUNTIF(G2364:I2364,"?*")&lt;N(INDEX(Setup!$L$6:$L$23,7)))+(COUNTIF(K2364:M2364,"?*")&lt;N(INDEX(Setup!$L$6:$L$23,7)))+(COUNTIF(O2364:Q2364,"?*")&lt;N(INDEX(Setup!$L$6:$L$23,7)))+(COUNTIF(S2364:U2364,"?*")&lt;N(INDEX(Setup!$L$6:$L$23,7)))+((W2364="")*(INDEX(Setup!$M$6:$M$23,7)="Y"))+((Y2364="")*(INDEX(Setup!$M$6:$M$23,7)="Y")))</f>
        <v/>
      </c>
      <c r="AC2364" s="90">
        <f>IF($B2364="","",IF(AB2364=0,"✓ covered","⚠ "&amp;AB2364&amp;IF(AB2364=1," gap"," gaps")))</f>
        <v/>
      </c>
    </row>
    <row r="2365" ht="17" customHeight="1">
      <c r="A2365" t="n">
        <v>48</v>
      </c>
      <c r="B2365" s="29">
        <f>IF(Setup!$K$13="","",Setup!$K$13)</f>
        <v/>
      </c>
      <c r="C2365" s="88" t="n"/>
      <c r="D2365" s="88" t="n"/>
      <c r="E2365" s="88" t="n"/>
      <c r="F2365" s="89" t="n"/>
      <c r="G2365" s="88" t="n"/>
      <c r="H2365" s="88" t="n"/>
      <c r="I2365" s="88" t="n"/>
      <c r="J2365" s="89" t="n"/>
      <c r="K2365" s="88" t="n"/>
      <c r="L2365" s="88" t="n"/>
      <c r="M2365" s="88" t="n"/>
      <c r="N2365" s="89" t="n"/>
      <c r="O2365" s="88" t="n"/>
      <c r="P2365" s="88" t="n"/>
      <c r="Q2365" s="88" t="n"/>
      <c r="R2365" s="89" t="n"/>
      <c r="S2365" s="88" t="n"/>
      <c r="T2365" s="88" t="n"/>
      <c r="U2365" s="88" t="n"/>
      <c r="V2365" s="89" t="n"/>
      <c r="W2365" s="88" t="n"/>
      <c r="X2365" s="89" t="n"/>
      <c r="Y2365" s="88" t="n"/>
      <c r="Z2365" s="89" t="n"/>
      <c r="AB2365" s="30">
        <f>IF($B2365="","",(COUNTIF(C2365:E2365,"?*")&lt;N(INDEX(Setup!$L$6:$L$23,8)))+(COUNTIF(G2365:I2365,"?*")&lt;N(INDEX(Setup!$L$6:$L$23,8)))+(COUNTIF(K2365:M2365,"?*")&lt;N(INDEX(Setup!$L$6:$L$23,8)))+(COUNTIF(O2365:Q2365,"?*")&lt;N(INDEX(Setup!$L$6:$L$23,8)))+(COUNTIF(S2365:U2365,"?*")&lt;N(INDEX(Setup!$L$6:$L$23,8)))+((W2365="")*(INDEX(Setup!$M$6:$M$23,8)="Y"))+((Y2365="")*(INDEX(Setup!$M$6:$M$23,8)="Y")))</f>
        <v/>
      </c>
      <c r="AC2365" s="91">
        <f>IF($B2365="","",IF(AB2365=0,"✓ covered","⚠ "&amp;AB2365&amp;IF(AB2365=1," gap"," gaps")))</f>
        <v/>
      </c>
    </row>
    <row r="2366" ht="17" customHeight="1">
      <c r="A2366" t="n">
        <v>48</v>
      </c>
      <c r="B2366" s="24">
        <f>IF(Setup!$K$14="","",Setup!$K$14)</f>
        <v/>
      </c>
      <c r="C2366" s="88" t="n"/>
      <c r="D2366" s="88" t="n"/>
      <c r="E2366" s="88" t="n"/>
      <c r="F2366" s="89" t="n"/>
      <c r="G2366" s="88" t="n"/>
      <c r="H2366" s="88" t="n"/>
      <c r="I2366" s="88" t="n"/>
      <c r="J2366" s="89" t="n"/>
      <c r="K2366" s="88" t="n"/>
      <c r="L2366" s="88" t="n"/>
      <c r="M2366" s="88" t="n"/>
      <c r="N2366" s="89" t="n"/>
      <c r="O2366" s="88" t="n"/>
      <c r="P2366" s="88" t="n"/>
      <c r="Q2366" s="88" t="n"/>
      <c r="R2366" s="89" t="n"/>
      <c r="S2366" s="88" t="n"/>
      <c r="T2366" s="88" t="n"/>
      <c r="U2366" s="88" t="n"/>
      <c r="V2366" s="89" t="n"/>
      <c r="W2366" s="88" t="n"/>
      <c r="X2366" s="89" t="n"/>
      <c r="Y2366" s="88" t="n"/>
      <c r="Z2366" s="89" t="n"/>
      <c r="AB2366" s="25">
        <f>IF($B2366="","",(COUNTIF(C2366:E2366,"?*")&lt;N(INDEX(Setup!$L$6:$L$23,9)))+(COUNTIF(G2366:I2366,"?*")&lt;N(INDEX(Setup!$L$6:$L$23,9)))+(COUNTIF(K2366:M2366,"?*")&lt;N(INDEX(Setup!$L$6:$L$23,9)))+(COUNTIF(O2366:Q2366,"?*")&lt;N(INDEX(Setup!$L$6:$L$23,9)))+(COUNTIF(S2366:U2366,"?*")&lt;N(INDEX(Setup!$L$6:$L$23,9)))+((W2366="")*(INDEX(Setup!$M$6:$M$23,9)="Y"))+((Y2366="")*(INDEX(Setup!$M$6:$M$23,9)="Y")))</f>
        <v/>
      </c>
      <c r="AC2366" s="90">
        <f>IF($B2366="","",IF(AB2366=0,"✓ covered","⚠ "&amp;AB2366&amp;IF(AB2366=1," gap"," gaps")))</f>
        <v/>
      </c>
    </row>
    <row r="2367" ht="17" customHeight="1">
      <c r="A2367" t="n">
        <v>48</v>
      </c>
      <c r="B2367" s="29">
        <f>IF(Setup!$K$15="","",Setup!$K$15)</f>
        <v/>
      </c>
      <c r="C2367" s="88" t="n"/>
      <c r="D2367" s="88" t="n"/>
      <c r="E2367" s="88" t="n"/>
      <c r="F2367" s="89" t="n"/>
      <c r="G2367" s="88" t="n"/>
      <c r="H2367" s="88" t="n"/>
      <c r="I2367" s="88" t="n"/>
      <c r="J2367" s="89" t="n"/>
      <c r="K2367" s="88" t="n"/>
      <c r="L2367" s="88" t="n"/>
      <c r="M2367" s="88" t="n"/>
      <c r="N2367" s="89" t="n"/>
      <c r="O2367" s="88" t="n"/>
      <c r="P2367" s="88" t="n"/>
      <c r="Q2367" s="88" t="n"/>
      <c r="R2367" s="89" t="n"/>
      <c r="S2367" s="88" t="n"/>
      <c r="T2367" s="88" t="n"/>
      <c r="U2367" s="88" t="n"/>
      <c r="V2367" s="89" t="n"/>
      <c r="W2367" s="88" t="n"/>
      <c r="X2367" s="89" t="n"/>
      <c r="Y2367" s="88" t="n"/>
      <c r="Z2367" s="89" t="n"/>
      <c r="AB2367" s="30">
        <f>IF($B2367="","",(COUNTIF(C2367:E2367,"?*")&lt;N(INDEX(Setup!$L$6:$L$23,10)))+(COUNTIF(G2367:I2367,"?*")&lt;N(INDEX(Setup!$L$6:$L$23,10)))+(COUNTIF(K2367:M2367,"?*")&lt;N(INDEX(Setup!$L$6:$L$23,10)))+(COUNTIF(O2367:Q2367,"?*")&lt;N(INDEX(Setup!$L$6:$L$23,10)))+(COUNTIF(S2367:U2367,"?*")&lt;N(INDEX(Setup!$L$6:$L$23,10)))+((W2367="")*(INDEX(Setup!$M$6:$M$23,10)="Y"))+((Y2367="")*(INDEX(Setup!$M$6:$M$23,10)="Y")))</f>
        <v/>
      </c>
      <c r="AC2367" s="91">
        <f>IF($B2367="","",IF(AB2367=0,"✓ covered","⚠ "&amp;AB2367&amp;IF(AB2367=1," gap"," gaps")))</f>
        <v/>
      </c>
    </row>
    <row r="2368" ht="17" customHeight="1">
      <c r="A2368" t="n">
        <v>48</v>
      </c>
      <c r="B2368" s="24">
        <f>IF(Setup!$K$16="","",Setup!$K$16)</f>
        <v/>
      </c>
      <c r="C2368" s="88" t="n"/>
      <c r="D2368" s="88" t="n"/>
      <c r="E2368" s="88" t="n"/>
      <c r="F2368" s="89" t="n"/>
      <c r="G2368" s="88" t="n"/>
      <c r="H2368" s="88" t="n"/>
      <c r="I2368" s="88" t="n"/>
      <c r="J2368" s="89" t="n"/>
      <c r="K2368" s="88" t="n"/>
      <c r="L2368" s="88" t="n"/>
      <c r="M2368" s="88" t="n"/>
      <c r="N2368" s="89" t="n"/>
      <c r="O2368" s="88" t="n"/>
      <c r="P2368" s="88" t="n"/>
      <c r="Q2368" s="88" t="n"/>
      <c r="R2368" s="89" t="n"/>
      <c r="S2368" s="88" t="n"/>
      <c r="T2368" s="88" t="n"/>
      <c r="U2368" s="88" t="n"/>
      <c r="V2368" s="89" t="n"/>
      <c r="W2368" s="88" t="n"/>
      <c r="X2368" s="89" t="n"/>
      <c r="Y2368" s="88" t="n"/>
      <c r="Z2368" s="89" t="n"/>
      <c r="AB2368" s="25">
        <f>IF($B2368="","",(COUNTIF(C2368:E2368,"?*")&lt;N(INDEX(Setup!$L$6:$L$23,11)))+(COUNTIF(G2368:I2368,"?*")&lt;N(INDEX(Setup!$L$6:$L$23,11)))+(COUNTIF(K2368:M2368,"?*")&lt;N(INDEX(Setup!$L$6:$L$23,11)))+(COUNTIF(O2368:Q2368,"?*")&lt;N(INDEX(Setup!$L$6:$L$23,11)))+(COUNTIF(S2368:U2368,"?*")&lt;N(INDEX(Setup!$L$6:$L$23,11)))+((W2368="")*(INDEX(Setup!$M$6:$M$23,11)="Y"))+((Y2368="")*(INDEX(Setup!$M$6:$M$23,11)="Y")))</f>
        <v/>
      </c>
      <c r="AC2368" s="90">
        <f>IF($B2368="","",IF(AB2368=0,"✓ covered","⚠ "&amp;AB2368&amp;IF(AB2368=1," gap"," gaps")))</f>
        <v/>
      </c>
    </row>
    <row r="2369" ht="17" customHeight="1">
      <c r="A2369" t="n">
        <v>48</v>
      </c>
      <c r="B2369" s="29">
        <f>IF(Setup!$K$17="","",Setup!$K$17)</f>
        <v/>
      </c>
      <c r="C2369" s="88" t="n"/>
      <c r="D2369" s="88" t="n"/>
      <c r="E2369" s="88" t="n"/>
      <c r="F2369" s="89" t="n"/>
      <c r="G2369" s="88" t="n"/>
      <c r="H2369" s="88" t="n"/>
      <c r="I2369" s="88" t="n"/>
      <c r="J2369" s="89" t="n"/>
      <c r="K2369" s="88" t="n"/>
      <c r="L2369" s="88" t="n"/>
      <c r="M2369" s="88" t="n"/>
      <c r="N2369" s="89" t="n"/>
      <c r="O2369" s="88" t="n"/>
      <c r="P2369" s="88" t="n"/>
      <c r="Q2369" s="88" t="n"/>
      <c r="R2369" s="89" t="n"/>
      <c r="S2369" s="88" t="n"/>
      <c r="T2369" s="88" t="n"/>
      <c r="U2369" s="88" t="n"/>
      <c r="V2369" s="89" t="n"/>
      <c r="W2369" s="88" t="n"/>
      <c r="X2369" s="89" t="n"/>
      <c r="Y2369" s="88" t="n"/>
      <c r="Z2369" s="89" t="n"/>
      <c r="AB2369" s="30">
        <f>IF($B2369="","",(COUNTIF(C2369:E2369,"?*")&lt;N(INDEX(Setup!$L$6:$L$23,12)))+(COUNTIF(G2369:I2369,"?*")&lt;N(INDEX(Setup!$L$6:$L$23,12)))+(COUNTIF(K2369:M2369,"?*")&lt;N(INDEX(Setup!$L$6:$L$23,12)))+(COUNTIF(O2369:Q2369,"?*")&lt;N(INDEX(Setup!$L$6:$L$23,12)))+(COUNTIF(S2369:U2369,"?*")&lt;N(INDEX(Setup!$L$6:$L$23,12)))+((W2369="")*(INDEX(Setup!$M$6:$M$23,12)="Y"))+((Y2369="")*(INDEX(Setup!$M$6:$M$23,12)="Y")))</f>
        <v/>
      </c>
      <c r="AC2369" s="91">
        <f>IF($B2369="","",IF(AB2369=0,"✓ covered","⚠ "&amp;AB2369&amp;IF(AB2369=1," gap"," gaps")))</f>
        <v/>
      </c>
    </row>
    <row r="2370" ht="17" customHeight="1">
      <c r="A2370" t="n">
        <v>48</v>
      </c>
      <c r="B2370" s="24">
        <f>IF(Setup!$K$18="","",Setup!$K$18)</f>
        <v/>
      </c>
      <c r="C2370" s="88" t="n"/>
      <c r="D2370" s="88" t="n"/>
      <c r="E2370" s="88" t="n"/>
      <c r="F2370" s="89" t="n"/>
      <c r="G2370" s="88" t="n"/>
      <c r="H2370" s="88" t="n"/>
      <c r="I2370" s="88" t="n"/>
      <c r="J2370" s="89" t="n"/>
      <c r="K2370" s="88" t="n"/>
      <c r="L2370" s="88" t="n"/>
      <c r="M2370" s="88" t="n"/>
      <c r="N2370" s="89" t="n"/>
      <c r="O2370" s="88" t="n"/>
      <c r="P2370" s="88" t="n"/>
      <c r="Q2370" s="88" t="n"/>
      <c r="R2370" s="89" t="n"/>
      <c r="S2370" s="88" t="n"/>
      <c r="T2370" s="88" t="n"/>
      <c r="U2370" s="88" t="n"/>
      <c r="V2370" s="89" t="n"/>
      <c r="W2370" s="88" t="n"/>
      <c r="X2370" s="89" t="n"/>
      <c r="Y2370" s="88" t="n"/>
      <c r="Z2370" s="89" t="n"/>
      <c r="AB2370" s="25">
        <f>IF($B2370="","",(COUNTIF(C2370:E2370,"?*")&lt;N(INDEX(Setup!$L$6:$L$23,13)))+(COUNTIF(G2370:I2370,"?*")&lt;N(INDEX(Setup!$L$6:$L$23,13)))+(COUNTIF(K2370:M2370,"?*")&lt;N(INDEX(Setup!$L$6:$L$23,13)))+(COUNTIF(O2370:Q2370,"?*")&lt;N(INDEX(Setup!$L$6:$L$23,13)))+(COUNTIF(S2370:U2370,"?*")&lt;N(INDEX(Setup!$L$6:$L$23,13)))+((W2370="")*(INDEX(Setup!$M$6:$M$23,13)="Y"))+((Y2370="")*(INDEX(Setup!$M$6:$M$23,13)="Y")))</f>
        <v/>
      </c>
      <c r="AC2370" s="90">
        <f>IF($B2370="","",IF(AB2370=0,"✓ covered","⚠ "&amp;AB2370&amp;IF(AB2370=1," gap"," gaps")))</f>
        <v/>
      </c>
    </row>
    <row r="2371" ht="17" customHeight="1">
      <c r="A2371" t="n">
        <v>48</v>
      </c>
      <c r="B2371" s="29">
        <f>IF(Setup!$K$19="","",Setup!$K$19)</f>
        <v/>
      </c>
      <c r="C2371" s="88" t="n"/>
      <c r="D2371" s="88" t="n"/>
      <c r="E2371" s="88" t="n"/>
      <c r="F2371" s="89" t="n"/>
      <c r="G2371" s="88" t="n"/>
      <c r="H2371" s="88" t="n"/>
      <c r="I2371" s="88" t="n"/>
      <c r="J2371" s="89" t="n"/>
      <c r="K2371" s="88" t="n"/>
      <c r="L2371" s="88" t="n"/>
      <c r="M2371" s="88" t="n"/>
      <c r="N2371" s="89" t="n"/>
      <c r="O2371" s="88" t="n"/>
      <c r="P2371" s="88" t="n"/>
      <c r="Q2371" s="88" t="n"/>
      <c r="R2371" s="89" t="n"/>
      <c r="S2371" s="88" t="n"/>
      <c r="T2371" s="88" t="n"/>
      <c r="U2371" s="88" t="n"/>
      <c r="V2371" s="89" t="n"/>
      <c r="W2371" s="88" t="n"/>
      <c r="X2371" s="89" t="n"/>
      <c r="Y2371" s="88" t="n"/>
      <c r="Z2371" s="89" t="n"/>
      <c r="AB2371" s="30">
        <f>IF($B2371="","",(COUNTIF(C2371:E2371,"?*")&lt;N(INDEX(Setup!$L$6:$L$23,14)))+(COUNTIF(G2371:I2371,"?*")&lt;N(INDEX(Setup!$L$6:$L$23,14)))+(COUNTIF(K2371:M2371,"?*")&lt;N(INDEX(Setup!$L$6:$L$23,14)))+(COUNTIF(O2371:Q2371,"?*")&lt;N(INDEX(Setup!$L$6:$L$23,14)))+(COUNTIF(S2371:U2371,"?*")&lt;N(INDEX(Setup!$L$6:$L$23,14)))+((W2371="")*(INDEX(Setup!$M$6:$M$23,14)="Y"))+((Y2371="")*(INDEX(Setup!$M$6:$M$23,14)="Y")))</f>
        <v/>
      </c>
      <c r="AC2371" s="91">
        <f>IF($B2371="","",IF(AB2371=0,"✓ covered","⚠ "&amp;AB2371&amp;IF(AB2371=1," gap"," gaps")))</f>
        <v/>
      </c>
    </row>
    <row r="2372" ht="17" customHeight="1">
      <c r="A2372" t="n">
        <v>48</v>
      </c>
      <c r="B2372" s="24">
        <f>IF(Setup!$K$20="","",Setup!$K$20)</f>
        <v/>
      </c>
      <c r="C2372" s="88" t="n"/>
      <c r="D2372" s="88" t="n"/>
      <c r="E2372" s="88" t="n"/>
      <c r="F2372" s="89" t="n"/>
      <c r="G2372" s="88" t="n"/>
      <c r="H2372" s="88" t="n"/>
      <c r="I2372" s="88" t="n"/>
      <c r="J2372" s="89" t="n"/>
      <c r="K2372" s="88" t="n"/>
      <c r="L2372" s="88" t="n"/>
      <c r="M2372" s="88" t="n"/>
      <c r="N2372" s="89" t="n"/>
      <c r="O2372" s="88" t="n"/>
      <c r="P2372" s="88" t="n"/>
      <c r="Q2372" s="88" t="n"/>
      <c r="R2372" s="89" t="n"/>
      <c r="S2372" s="88" t="n"/>
      <c r="T2372" s="88" t="n"/>
      <c r="U2372" s="88" t="n"/>
      <c r="V2372" s="89" t="n"/>
      <c r="W2372" s="88" t="n"/>
      <c r="X2372" s="89" t="n"/>
      <c r="Y2372" s="88" t="n"/>
      <c r="Z2372" s="89" t="n"/>
      <c r="AB2372" s="25">
        <f>IF($B2372="","",(COUNTIF(C2372:E2372,"?*")&lt;N(INDEX(Setup!$L$6:$L$23,15)))+(COUNTIF(G2372:I2372,"?*")&lt;N(INDEX(Setup!$L$6:$L$23,15)))+(COUNTIF(K2372:M2372,"?*")&lt;N(INDEX(Setup!$L$6:$L$23,15)))+(COUNTIF(O2372:Q2372,"?*")&lt;N(INDEX(Setup!$L$6:$L$23,15)))+(COUNTIF(S2372:U2372,"?*")&lt;N(INDEX(Setup!$L$6:$L$23,15)))+((W2372="")*(INDEX(Setup!$M$6:$M$23,15)="Y"))+((Y2372="")*(INDEX(Setup!$M$6:$M$23,15)="Y")))</f>
        <v/>
      </c>
      <c r="AC2372" s="90">
        <f>IF($B2372="","",IF(AB2372=0,"✓ covered","⚠ "&amp;AB2372&amp;IF(AB2372=1," gap"," gaps")))</f>
        <v/>
      </c>
    </row>
    <row r="2373" ht="17" customHeight="1">
      <c r="A2373" t="n">
        <v>48</v>
      </c>
      <c r="B2373" s="29">
        <f>IF(Setup!$K$21="","",Setup!$K$21)</f>
        <v/>
      </c>
      <c r="C2373" s="88" t="n"/>
      <c r="D2373" s="88" t="n"/>
      <c r="E2373" s="88" t="n"/>
      <c r="F2373" s="89" t="n"/>
      <c r="G2373" s="88" t="n"/>
      <c r="H2373" s="88" t="n"/>
      <c r="I2373" s="88" t="n"/>
      <c r="J2373" s="89" t="n"/>
      <c r="K2373" s="88" t="n"/>
      <c r="L2373" s="88" t="n"/>
      <c r="M2373" s="88" t="n"/>
      <c r="N2373" s="89" t="n"/>
      <c r="O2373" s="88" t="n"/>
      <c r="P2373" s="88" t="n"/>
      <c r="Q2373" s="88" t="n"/>
      <c r="R2373" s="89" t="n"/>
      <c r="S2373" s="88" t="n"/>
      <c r="T2373" s="88" t="n"/>
      <c r="U2373" s="88" t="n"/>
      <c r="V2373" s="89" t="n"/>
      <c r="W2373" s="88" t="n"/>
      <c r="X2373" s="89" t="n"/>
      <c r="Y2373" s="88" t="n"/>
      <c r="Z2373" s="89" t="n"/>
      <c r="AB2373" s="30">
        <f>IF($B2373="","",(COUNTIF(C2373:E2373,"?*")&lt;N(INDEX(Setup!$L$6:$L$23,16)))+(COUNTIF(G2373:I2373,"?*")&lt;N(INDEX(Setup!$L$6:$L$23,16)))+(COUNTIF(K2373:M2373,"?*")&lt;N(INDEX(Setup!$L$6:$L$23,16)))+(COUNTIF(O2373:Q2373,"?*")&lt;N(INDEX(Setup!$L$6:$L$23,16)))+(COUNTIF(S2373:U2373,"?*")&lt;N(INDEX(Setup!$L$6:$L$23,16)))+((W2373="")*(INDEX(Setup!$M$6:$M$23,16)="Y"))+((Y2373="")*(INDEX(Setup!$M$6:$M$23,16)="Y")))</f>
        <v/>
      </c>
      <c r="AC2373" s="91">
        <f>IF($B2373="","",IF(AB2373=0,"✓ covered","⚠ "&amp;AB2373&amp;IF(AB2373=1," gap"," gaps")))</f>
        <v/>
      </c>
    </row>
    <row r="2374" ht="17" customHeight="1">
      <c r="A2374" t="n">
        <v>48</v>
      </c>
      <c r="B2374" s="24">
        <f>IF(Setup!$K$22="","",Setup!$K$22)</f>
        <v/>
      </c>
      <c r="C2374" s="88" t="n"/>
      <c r="D2374" s="88" t="n"/>
      <c r="E2374" s="88" t="n"/>
      <c r="F2374" s="89" t="n"/>
      <c r="G2374" s="88" t="n"/>
      <c r="H2374" s="88" t="n"/>
      <c r="I2374" s="88" t="n"/>
      <c r="J2374" s="89" t="n"/>
      <c r="K2374" s="88" t="n"/>
      <c r="L2374" s="88" t="n"/>
      <c r="M2374" s="88" t="n"/>
      <c r="N2374" s="89" t="n"/>
      <c r="O2374" s="88" t="n"/>
      <c r="P2374" s="88" t="n"/>
      <c r="Q2374" s="88" t="n"/>
      <c r="R2374" s="89" t="n"/>
      <c r="S2374" s="88" t="n"/>
      <c r="T2374" s="88" t="n"/>
      <c r="U2374" s="88" t="n"/>
      <c r="V2374" s="89" t="n"/>
      <c r="W2374" s="88" t="n"/>
      <c r="X2374" s="89" t="n"/>
      <c r="Y2374" s="88" t="n"/>
      <c r="Z2374" s="89" t="n"/>
      <c r="AB2374" s="25">
        <f>IF($B2374="","",(COUNTIF(C2374:E2374,"?*")&lt;N(INDEX(Setup!$L$6:$L$23,17)))+(COUNTIF(G2374:I2374,"?*")&lt;N(INDEX(Setup!$L$6:$L$23,17)))+(COUNTIF(K2374:M2374,"?*")&lt;N(INDEX(Setup!$L$6:$L$23,17)))+(COUNTIF(O2374:Q2374,"?*")&lt;N(INDEX(Setup!$L$6:$L$23,17)))+(COUNTIF(S2374:U2374,"?*")&lt;N(INDEX(Setup!$L$6:$L$23,17)))+((W2374="")*(INDEX(Setup!$M$6:$M$23,17)="Y"))+((Y2374="")*(INDEX(Setup!$M$6:$M$23,17)="Y")))</f>
        <v/>
      </c>
      <c r="AC2374" s="90">
        <f>IF($B2374="","",IF(AB2374=0,"✓ covered","⚠ "&amp;AB2374&amp;IF(AB2374=1," gap"," gaps")))</f>
        <v/>
      </c>
    </row>
    <row r="2375" ht="17" customHeight="1">
      <c r="A2375" t="n">
        <v>48</v>
      </c>
      <c r="B2375" s="29">
        <f>IF(Setup!$K$23="","",Setup!$K$23)</f>
        <v/>
      </c>
      <c r="C2375" s="88" t="n"/>
      <c r="D2375" s="88" t="n"/>
      <c r="E2375" s="88" t="n"/>
      <c r="F2375" s="89" t="n"/>
      <c r="G2375" s="88" t="n"/>
      <c r="H2375" s="88" t="n"/>
      <c r="I2375" s="88" t="n"/>
      <c r="J2375" s="89" t="n"/>
      <c r="K2375" s="88" t="n"/>
      <c r="L2375" s="88" t="n"/>
      <c r="M2375" s="88" t="n"/>
      <c r="N2375" s="89" t="n"/>
      <c r="O2375" s="88" t="n"/>
      <c r="P2375" s="88" t="n"/>
      <c r="Q2375" s="88" t="n"/>
      <c r="R2375" s="89" t="n"/>
      <c r="S2375" s="88" t="n"/>
      <c r="T2375" s="88" t="n"/>
      <c r="U2375" s="88" t="n"/>
      <c r="V2375" s="89" t="n"/>
      <c r="W2375" s="88" t="n"/>
      <c r="X2375" s="89" t="n"/>
      <c r="Y2375" s="88" t="n"/>
      <c r="Z2375" s="89" t="n"/>
      <c r="AB2375" s="30">
        <f>IF($B2375="","",(COUNTIF(C2375:E2375,"?*")&lt;N(INDEX(Setup!$L$6:$L$23,18)))+(COUNTIF(G2375:I2375,"?*")&lt;N(INDEX(Setup!$L$6:$L$23,18)))+(COUNTIF(K2375:M2375,"?*")&lt;N(INDEX(Setup!$L$6:$L$23,18)))+(COUNTIF(O2375:Q2375,"?*")&lt;N(INDEX(Setup!$L$6:$L$23,18)))+(COUNTIF(S2375:U2375,"?*")&lt;N(INDEX(Setup!$L$6:$L$23,18)))+((W2375="")*(INDEX(Setup!$M$6:$M$23,18)="Y"))+((Y2375="")*(INDEX(Setup!$M$6:$M$23,18)="Y")))</f>
        <v/>
      </c>
      <c r="AC2375" s="91">
        <f>IF($B2375="","",IF(AB2375=0,"✓ covered","⚠ "&amp;AB2375&amp;IF(AB2375=1," gap"," gaps")))</f>
        <v/>
      </c>
    </row>
    <row r="2376" ht="18" customHeight="1">
      <c r="A2376" t="n">
        <v>48</v>
      </c>
      <c r="B2376" s="78" t="inlineStr">
        <is>
          <t>TEAM AVAILABILITY</t>
        </is>
      </c>
      <c r="C2376" s="92" t="inlineStr">
        <is>
          <t>Mon</t>
        </is>
      </c>
      <c r="D2376" s="93" t="n"/>
      <c r="E2376" s="93" t="n"/>
      <c r="F2376" s="94" t="n"/>
      <c r="G2376" s="92" t="inlineStr">
        <is>
          <t>Tue</t>
        </is>
      </c>
      <c r="H2376" s="93" t="n"/>
      <c r="I2376" s="93" t="n"/>
      <c r="J2376" s="94" t="n"/>
      <c r="K2376" s="92" t="inlineStr">
        <is>
          <t>Wed</t>
        </is>
      </c>
      <c r="L2376" s="93" t="n"/>
      <c r="M2376" s="93" t="n"/>
      <c r="N2376" s="94" t="n"/>
      <c r="O2376" s="92" t="inlineStr">
        <is>
          <t>Thu</t>
        </is>
      </c>
      <c r="P2376" s="93" t="n"/>
      <c r="Q2376" s="93" t="n"/>
      <c r="R2376" s="94" t="n"/>
      <c r="S2376" s="92" t="inlineStr">
        <is>
          <t>Fri</t>
        </is>
      </c>
      <c r="T2376" s="93" t="n"/>
      <c r="U2376" s="93" t="n"/>
      <c r="V2376" s="94" t="n"/>
      <c r="W2376" s="95" t="inlineStr">
        <is>
          <t>Sat</t>
        </is>
      </c>
      <c r="X2376" s="96" t="n"/>
      <c r="Y2376" s="95" t="inlineStr">
        <is>
          <t>Sun</t>
        </is>
      </c>
      <c r="Z2376" s="96" t="n"/>
      <c r="AB2376" s="97" t="inlineStr">
        <is>
          <t>Days rostered</t>
        </is>
      </c>
      <c r="AC2376" s="97" t="inlineStr">
        <is>
          <t>Conflicts</t>
        </is>
      </c>
    </row>
    <row r="2377" ht="15" customHeight="1">
      <c r="A2377" t="n">
        <v>48</v>
      </c>
      <c r="B2377" s="35">
        <f>IF(Setup!$B$6="","",Setup!$B$6)</f>
        <v/>
      </c>
      <c r="C2377" s="98" t="n"/>
      <c r="D2377" s="99" t="n"/>
      <c r="E2377" s="99" t="n"/>
      <c r="F2377" s="100" t="n"/>
      <c r="G2377" s="98" t="n"/>
      <c r="H2377" s="99" t="n"/>
      <c r="I2377" s="99" t="n"/>
      <c r="J2377" s="100" t="n"/>
      <c r="K2377" s="98" t="n"/>
      <c r="L2377" s="99" t="n"/>
      <c r="M2377" s="99" t="n"/>
      <c r="N2377" s="100" t="n"/>
      <c r="O2377" s="98" t="n"/>
      <c r="P2377" s="99" t="n"/>
      <c r="Q2377" s="99" t="n"/>
      <c r="R2377" s="100" t="n"/>
      <c r="S2377" s="98" t="n"/>
      <c r="T2377" s="99" t="n"/>
      <c r="U2377" s="99" t="n"/>
      <c r="V2377" s="100" t="n"/>
      <c r="W2377" s="98" t="n"/>
      <c r="X2377" s="100" t="n"/>
      <c r="Y2377" s="98" t="n"/>
      <c r="Z2377" s="100" t="n"/>
      <c r="AB2377" s="101">
        <f>IF($B2377="","",(COUNTIF(C2358:E2375,$B2377)+COUNTIF(C2358:E2375,$B2377&amp;" ~*")&gt;0)+(COUNTIF(G2358:I2375,$B2377)+COUNTIF(G2358:I2375,$B2377&amp;" ~*")&gt;0)+(COUNTIF(K2358:M2375,$B2377)+COUNTIF(K2358:M2375,$B2377&amp;" ~*")&gt;0)+(COUNTIF(O2358:Q2375,$B2377)+COUNTIF(O2358:Q2375,$B2377&amp;" ~*")&gt;0)+(COUNTIF(S2358:U2375,$B2377)+COUNTIF(S2358:U2375,$B2377&amp;" ~*")&gt;0)+(COUNTIF(W2358:W2375,$B2377)+COUNTIF(W2358:W2375,$B2377&amp;" ~*")&gt;0)+(COUNTIF(Y2358:Y2375,$B2377)+COUNTIF(Y2358:Y2375,$B2377&amp;" ~*")&gt;0))</f>
        <v/>
      </c>
      <c r="AC2377" s="36">
        <f>IF($B2377="","",(IFERROR(INDEX(Setup!$G$33:$G$40,MATCH(C2377,Setup!$B$33:$B$40,0)),0)=1)*(COUNTIF(C2358:E2375,$B2377)+COUNTIF(C2358:E2375,$B2377&amp;" ~*")&gt;0)+(IFERROR(INDEX(Setup!$G$33:$G$40,MATCH(G2377,Setup!$B$33:$B$40,0)),0)=1)*(COUNTIF(G2358:I2375,$B2377)+COUNTIF(G2358:I2375,$B2377&amp;" ~*")&gt;0)+(IFERROR(INDEX(Setup!$G$33:$G$40,MATCH(K2377,Setup!$B$33:$B$40,0)),0)=1)*(COUNTIF(K2358:M2375,$B2377)+COUNTIF(K2358:M2375,$B2377&amp;" ~*")&gt;0)+(IFERROR(INDEX(Setup!$G$33:$G$40,MATCH(O2377,Setup!$B$33:$B$40,0)),0)=1)*(COUNTIF(O2358:Q2375,$B2377)+COUNTIF(O2358:Q2375,$B2377&amp;" ~*")&gt;0)+(IFERROR(INDEX(Setup!$G$33:$G$40,MATCH(S2377,Setup!$B$33:$B$40,0)),0)=1)*(COUNTIF(S2358:U2375,$B2377)+COUNTIF(S2358:U2375,$B2377&amp;" ~*")&gt;0)+(IFERROR(INDEX(Setup!$G$33:$G$40,MATCH(W2377,Setup!$B$33:$B$40,0)),0)=1)*(COUNTIF(W2358:W2375,$B2377)+COUNTIF(W2358:W2375,$B2377&amp;" ~*")&gt;0)+(IFERROR(INDEX(Setup!$G$33:$G$40,MATCH(Y2377,Setup!$B$33:$B$40,0)),0)=1)*(COUNTIF(Y2358:Y2375,$B2377)+COUNTIF(Y2358:Y2375,$B2377&amp;" ~*")&gt;0))</f>
        <v/>
      </c>
    </row>
    <row r="2378" ht="15" customHeight="1">
      <c r="A2378" t="n">
        <v>48</v>
      </c>
      <c r="B2378" s="37">
        <f>IF(Setup!$B$7="","",Setup!$B$7)</f>
        <v/>
      </c>
      <c r="C2378" s="102" t="n"/>
      <c r="D2378" s="103" t="n"/>
      <c r="E2378" s="103" t="n"/>
      <c r="F2378" s="104" t="n"/>
      <c r="G2378" s="102" t="n"/>
      <c r="H2378" s="103" t="n"/>
      <c r="I2378" s="103" t="n"/>
      <c r="J2378" s="104" t="n"/>
      <c r="K2378" s="102" t="n"/>
      <c r="L2378" s="103" t="n"/>
      <c r="M2378" s="103" t="n"/>
      <c r="N2378" s="104" t="n"/>
      <c r="O2378" s="102" t="n"/>
      <c r="P2378" s="103" t="n"/>
      <c r="Q2378" s="103" t="n"/>
      <c r="R2378" s="104" t="n"/>
      <c r="S2378" s="102" t="n"/>
      <c r="T2378" s="103" t="n"/>
      <c r="U2378" s="103" t="n"/>
      <c r="V2378" s="104" t="n"/>
      <c r="W2378" s="102" t="n"/>
      <c r="X2378" s="104" t="n"/>
      <c r="Y2378" s="102" t="n"/>
      <c r="Z2378" s="104" t="n"/>
      <c r="AB2378" s="105">
        <f>IF($B2378="","",(COUNTIF(C2358:E2375,$B2378)+COUNTIF(C2358:E2375,$B2378&amp;" ~*")&gt;0)+(COUNTIF(G2358:I2375,$B2378)+COUNTIF(G2358:I2375,$B2378&amp;" ~*")&gt;0)+(COUNTIF(K2358:M2375,$B2378)+COUNTIF(K2358:M2375,$B2378&amp;" ~*")&gt;0)+(COUNTIF(O2358:Q2375,$B2378)+COUNTIF(O2358:Q2375,$B2378&amp;" ~*")&gt;0)+(COUNTIF(S2358:U2375,$B2378)+COUNTIF(S2358:U2375,$B2378&amp;" ~*")&gt;0)+(COUNTIF(W2358:W2375,$B2378)+COUNTIF(W2358:W2375,$B2378&amp;" ~*")&gt;0)+(COUNTIF(Y2358:Y2375,$B2378)+COUNTIF(Y2358:Y2375,$B2378&amp;" ~*")&gt;0))</f>
        <v/>
      </c>
      <c r="AC2378" s="38">
        <f>IF($B2378="","",(IFERROR(INDEX(Setup!$G$33:$G$40,MATCH(C2378,Setup!$B$33:$B$40,0)),0)=1)*(COUNTIF(C2358:E2375,$B2378)+COUNTIF(C2358:E2375,$B2378&amp;" ~*")&gt;0)+(IFERROR(INDEX(Setup!$G$33:$G$40,MATCH(G2378,Setup!$B$33:$B$40,0)),0)=1)*(COUNTIF(G2358:I2375,$B2378)+COUNTIF(G2358:I2375,$B2378&amp;" ~*")&gt;0)+(IFERROR(INDEX(Setup!$G$33:$G$40,MATCH(K2378,Setup!$B$33:$B$40,0)),0)=1)*(COUNTIF(K2358:M2375,$B2378)+COUNTIF(K2358:M2375,$B2378&amp;" ~*")&gt;0)+(IFERROR(INDEX(Setup!$G$33:$G$40,MATCH(O2378,Setup!$B$33:$B$40,0)),0)=1)*(COUNTIF(O2358:Q2375,$B2378)+COUNTIF(O2358:Q2375,$B2378&amp;" ~*")&gt;0)+(IFERROR(INDEX(Setup!$G$33:$G$40,MATCH(S2378,Setup!$B$33:$B$40,0)),0)=1)*(COUNTIF(S2358:U2375,$B2378)+COUNTIF(S2358:U2375,$B2378&amp;" ~*")&gt;0)+(IFERROR(INDEX(Setup!$G$33:$G$40,MATCH(W2378,Setup!$B$33:$B$40,0)),0)=1)*(COUNTIF(W2358:W2375,$B2378)+COUNTIF(W2358:W2375,$B2378&amp;" ~*")&gt;0)+(IFERROR(INDEX(Setup!$G$33:$G$40,MATCH(Y2378,Setup!$B$33:$B$40,0)),0)=1)*(COUNTIF(Y2358:Y2375,$B2378)+COUNTIF(Y2358:Y2375,$B2378&amp;" ~*")&gt;0))</f>
        <v/>
      </c>
    </row>
    <row r="2379" ht="15" customHeight="1">
      <c r="A2379" t="n">
        <v>48</v>
      </c>
      <c r="B2379" s="35">
        <f>IF(Setup!$B$8="","",Setup!$B$8)</f>
        <v/>
      </c>
      <c r="C2379" s="98" t="n"/>
      <c r="D2379" s="99" t="n"/>
      <c r="E2379" s="99" t="n"/>
      <c r="F2379" s="100" t="n"/>
      <c r="G2379" s="98" t="n"/>
      <c r="H2379" s="99" t="n"/>
      <c r="I2379" s="99" t="n"/>
      <c r="J2379" s="100" t="n"/>
      <c r="K2379" s="98" t="n"/>
      <c r="L2379" s="99" t="n"/>
      <c r="M2379" s="99" t="n"/>
      <c r="N2379" s="100" t="n"/>
      <c r="O2379" s="98" t="n"/>
      <c r="P2379" s="99" t="n"/>
      <c r="Q2379" s="99" t="n"/>
      <c r="R2379" s="100" t="n"/>
      <c r="S2379" s="98" t="n"/>
      <c r="T2379" s="99" t="n"/>
      <c r="U2379" s="99" t="n"/>
      <c r="V2379" s="100" t="n"/>
      <c r="W2379" s="98" t="n"/>
      <c r="X2379" s="100" t="n"/>
      <c r="Y2379" s="98" t="n"/>
      <c r="Z2379" s="100" t="n"/>
      <c r="AB2379" s="101">
        <f>IF($B2379="","",(COUNTIF(C2358:E2375,$B2379)+COUNTIF(C2358:E2375,$B2379&amp;" ~*")&gt;0)+(COUNTIF(G2358:I2375,$B2379)+COUNTIF(G2358:I2375,$B2379&amp;" ~*")&gt;0)+(COUNTIF(K2358:M2375,$B2379)+COUNTIF(K2358:M2375,$B2379&amp;" ~*")&gt;0)+(COUNTIF(O2358:Q2375,$B2379)+COUNTIF(O2358:Q2375,$B2379&amp;" ~*")&gt;0)+(COUNTIF(S2358:U2375,$B2379)+COUNTIF(S2358:U2375,$B2379&amp;" ~*")&gt;0)+(COUNTIF(W2358:W2375,$B2379)+COUNTIF(W2358:W2375,$B2379&amp;" ~*")&gt;0)+(COUNTIF(Y2358:Y2375,$B2379)+COUNTIF(Y2358:Y2375,$B2379&amp;" ~*")&gt;0))</f>
        <v/>
      </c>
      <c r="AC2379" s="36">
        <f>IF($B2379="","",(IFERROR(INDEX(Setup!$G$33:$G$40,MATCH(C2379,Setup!$B$33:$B$40,0)),0)=1)*(COUNTIF(C2358:E2375,$B2379)+COUNTIF(C2358:E2375,$B2379&amp;" ~*")&gt;0)+(IFERROR(INDEX(Setup!$G$33:$G$40,MATCH(G2379,Setup!$B$33:$B$40,0)),0)=1)*(COUNTIF(G2358:I2375,$B2379)+COUNTIF(G2358:I2375,$B2379&amp;" ~*")&gt;0)+(IFERROR(INDEX(Setup!$G$33:$G$40,MATCH(K2379,Setup!$B$33:$B$40,0)),0)=1)*(COUNTIF(K2358:M2375,$B2379)+COUNTIF(K2358:M2375,$B2379&amp;" ~*")&gt;0)+(IFERROR(INDEX(Setup!$G$33:$G$40,MATCH(O2379,Setup!$B$33:$B$40,0)),0)=1)*(COUNTIF(O2358:Q2375,$B2379)+COUNTIF(O2358:Q2375,$B2379&amp;" ~*")&gt;0)+(IFERROR(INDEX(Setup!$G$33:$G$40,MATCH(S2379,Setup!$B$33:$B$40,0)),0)=1)*(COUNTIF(S2358:U2375,$B2379)+COUNTIF(S2358:U2375,$B2379&amp;" ~*")&gt;0)+(IFERROR(INDEX(Setup!$G$33:$G$40,MATCH(W2379,Setup!$B$33:$B$40,0)),0)=1)*(COUNTIF(W2358:W2375,$B2379)+COUNTIF(W2358:W2375,$B2379&amp;" ~*")&gt;0)+(IFERROR(INDEX(Setup!$G$33:$G$40,MATCH(Y2379,Setup!$B$33:$B$40,0)),0)=1)*(COUNTIF(Y2358:Y2375,$B2379)+COUNTIF(Y2358:Y2375,$B2379&amp;" ~*")&gt;0))</f>
        <v/>
      </c>
    </row>
    <row r="2380" ht="15" customHeight="1">
      <c r="A2380" t="n">
        <v>48</v>
      </c>
      <c r="B2380" s="37">
        <f>IF(Setup!$B$9="","",Setup!$B$9)</f>
        <v/>
      </c>
      <c r="C2380" s="102" t="n"/>
      <c r="D2380" s="103" t="n"/>
      <c r="E2380" s="103" t="n"/>
      <c r="F2380" s="104" t="n"/>
      <c r="G2380" s="102" t="n"/>
      <c r="H2380" s="103" t="n"/>
      <c r="I2380" s="103" t="n"/>
      <c r="J2380" s="104" t="n"/>
      <c r="K2380" s="102" t="n"/>
      <c r="L2380" s="103" t="n"/>
      <c r="M2380" s="103" t="n"/>
      <c r="N2380" s="104" t="n"/>
      <c r="O2380" s="102" t="n"/>
      <c r="P2380" s="103" t="n"/>
      <c r="Q2380" s="103" t="n"/>
      <c r="R2380" s="104" t="n"/>
      <c r="S2380" s="102" t="n"/>
      <c r="T2380" s="103" t="n"/>
      <c r="U2380" s="103" t="n"/>
      <c r="V2380" s="104" t="n"/>
      <c r="W2380" s="102" t="n"/>
      <c r="X2380" s="104" t="n"/>
      <c r="Y2380" s="102" t="n"/>
      <c r="Z2380" s="104" t="n"/>
      <c r="AB2380" s="105">
        <f>IF($B2380="","",(COUNTIF(C2358:E2375,$B2380)+COUNTIF(C2358:E2375,$B2380&amp;" ~*")&gt;0)+(COUNTIF(G2358:I2375,$B2380)+COUNTIF(G2358:I2375,$B2380&amp;" ~*")&gt;0)+(COUNTIF(K2358:M2375,$B2380)+COUNTIF(K2358:M2375,$B2380&amp;" ~*")&gt;0)+(COUNTIF(O2358:Q2375,$B2380)+COUNTIF(O2358:Q2375,$B2380&amp;" ~*")&gt;0)+(COUNTIF(S2358:U2375,$B2380)+COUNTIF(S2358:U2375,$B2380&amp;" ~*")&gt;0)+(COUNTIF(W2358:W2375,$B2380)+COUNTIF(W2358:W2375,$B2380&amp;" ~*")&gt;0)+(COUNTIF(Y2358:Y2375,$B2380)+COUNTIF(Y2358:Y2375,$B2380&amp;" ~*")&gt;0))</f>
        <v/>
      </c>
      <c r="AC2380" s="38">
        <f>IF($B2380="","",(IFERROR(INDEX(Setup!$G$33:$G$40,MATCH(C2380,Setup!$B$33:$B$40,0)),0)=1)*(COUNTIF(C2358:E2375,$B2380)+COUNTIF(C2358:E2375,$B2380&amp;" ~*")&gt;0)+(IFERROR(INDEX(Setup!$G$33:$G$40,MATCH(G2380,Setup!$B$33:$B$40,0)),0)=1)*(COUNTIF(G2358:I2375,$B2380)+COUNTIF(G2358:I2375,$B2380&amp;" ~*")&gt;0)+(IFERROR(INDEX(Setup!$G$33:$G$40,MATCH(K2380,Setup!$B$33:$B$40,0)),0)=1)*(COUNTIF(K2358:M2375,$B2380)+COUNTIF(K2358:M2375,$B2380&amp;" ~*")&gt;0)+(IFERROR(INDEX(Setup!$G$33:$G$40,MATCH(O2380,Setup!$B$33:$B$40,0)),0)=1)*(COUNTIF(O2358:Q2375,$B2380)+COUNTIF(O2358:Q2375,$B2380&amp;" ~*")&gt;0)+(IFERROR(INDEX(Setup!$G$33:$G$40,MATCH(S2380,Setup!$B$33:$B$40,0)),0)=1)*(COUNTIF(S2358:U2375,$B2380)+COUNTIF(S2358:U2375,$B2380&amp;" ~*")&gt;0)+(IFERROR(INDEX(Setup!$G$33:$G$40,MATCH(W2380,Setup!$B$33:$B$40,0)),0)=1)*(COUNTIF(W2358:W2375,$B2380)+COUNTIF(W2358:W2375,$B2380&amp;" ~*")&gt;0)+(IFERROR(INDEX(Setup!$G$33:$G$40,MATCH(Y2380,Setup!$B$33:$B$40,0)),0)=1)*(COUNTIF(Y2358:Y2375,$B2380)+COUNTIF(Y2358:Y2375,$B2380&amp;" ~*")&gt;0))</f>
        <v/>
      </c>
    </row>
    <row r="2381" ht="15" customHeight="1">
      <c r="A2381" t="n">
        <v>48</v>
      </c>
      <c r="B2381" s="35">
        <f>IF(Setup!$B$10="","",Setup!$B$10)</f>
        <v/>
      </c>
      <c r="C2381" s="98" t="n"/>
      <c r="D2381" s="99" t="n"/>
      <c r="E2381" s="99" t="n"/>
      <c r="F2381" s="100" t="n"/>
      <c r="G2381" s="98" t="n"/>
      <c r="H2381" s="99" t="n"/>
      <c r="I2381" s="99" t="n"/>
      <c r="J2381" s="100" t="n"/>
      <c r="K2381" s="98" t="n"/>
      <c r="L2381" s="99" t="n"/>
      <c r="M2381" s="99" t="n"/>
      <c r="N2381" s="100" t="n"/>
      <c r="O2381" s="98" t="n"/>
      <c r="P2381" s="99" t="n"/>
      <c r="Q2381" s="99" t="n"/>
      <c r="R2381" s="100" t="n"/>
      <c r="S2381" s="98" t="n"/>
      <c r="T2381" s="99" t="n"/>
      <c r="U2381" s="99" t="n"/>
      <c r="V2381" s="100" t="n"/>
      <c r="W2381" s="98" t="n"/>
      <c r="X2381" s="100" t="n"/>
      <c r="Y2381" s="98" t="n"/>
      <c r="Z2381" s="100" t="n"/>
      <c r="AB2381" s="101">
        <f>IF($B2381="","",(COUNTIF(C2358:E2375,$B2381)+COUNTIF(C2358:E2375,$B2381&amp;" ~*")&gt;0)+(COUNTIF(G2358:I2375,$B2381)+COUNTIF(G2358:I2375,$B2381&amp;" ~*")&gt;0)+(COUNTIF(K2358:M2375,$B2381)+COUNTIF(K2358:M2375,$B2381&amp;" ~*")&gt;0)+(COUNTIF(O2358:Q2375,$B2381)+COUNTIF(O2358:Q2375,$B2381&amp;" ~*")&gt;0)+(COUNTIF(S2358:U2375,$B2381)+COUNTIF(S2358:U2375,$B2381&amp;" ~*")&gt;0)+(COUNTIF(W2358:W2375,$B2381)+COUNTIF(W2358:W2375,$B2381&amp;" ~*")&gt;0)+(COUNTIF(Y2358:Y2375,$B2381)+COUNTIF(Y2358:Y2375,$B2381&amp;" ~*")&gt;0))</f>
        <v/>
      </c>
      <c r="AC2381" s="36">
        <f>IF($B2381="","",(IFERROR(INDEX(Setup!$G$33:$G$40,MATCH(C2381,Setup!$B$33:$B$40,0)),0)=1)*(COUNTIF(C2358:E2375,$B2381)+COUNTIF(C2358:E2375,$B2381&amp;" ~*")&gt;0)+(IFERROR(INDEX(Setup!$G$33:$G$40,MATCH(G2381,Setup!$B$33:$B$40,0)),0)=1)*(COUNTIF(G2358:I2375,$B2381)+COUNTIF(G2358:I2375,$B2381&amp;" ~*")&gt;0)+(IFERROR(INDEX(Setup!$G$33:$G$40,MATCH(K2381,Setup!$B$33:$B$40,0)),0)=1)*(COUNTIF(K2358:M2375,$B2381)+COUNTIF(K2358:M2375,$B2381&amp;" ~*")&gt;0)+(IFERROR(INDEX(Setup!$G$33:$G$40,MATCH(O2381,Setup!$B$33:$B$40,0)),0)=1)*(COUNTIF(O2358:Q2375,$B2381)+COUNTIF(O2358:Q2375,$B2381&amp;" ~*")&gt;0)+(IFERROR(INDEX(Setup!$G$33:$G$40,MATCH(S2381,Setup!$B$33:$B$40,0)),0)=1)*(COUNTIF(S2358:U2375,$B2381)+COUNTIF(S2358:U2375,$B2381&amp;" ~*")&gt;0)+(IFERROR(INDEX(Setup!$G$33:$G$40,MATCH(W2381,Setup!$B$33:$B$40,0)),0)=1)*(COUNTIF(W2358:W2375,$B2381)+COUNTIF(W2358:W2375,$B2381&amp;" ~*")&gt;0)+(IFERROR(INDEX(Setup!$G$33:$G$40,MATCH(Y2381,Setup!$B$33:$B$40,0)),0)=1)*(COUNTIF(Y2358:Y2375,$B2381)+COUNTIF(Y2358:Y2375,$B2381&amp;" ~*")&gt;0))</f>
        <v/>
      </c>
    </row>
    <row r="2382" ht="15" customHeight="1">
      <c r="A2382" t="n">
        <v>48</v>
      </c>
      <c r="B2382" s="37">
        <f>IF(Setup!$B$11="","",Setup!$B$11)</f>
        <v/>
      </c>
      <c r="C2382" s="102" t="n"/>
      <c r="D2382" s="103" t="n"/>
      <c r="E2382" s="103" t="n"/>
      <c r="F2382" s="104" t="n"/>
      <c r="G2382" s="102" t="n"/>
      <c r="H2382" s="103" t="n"/>
      <c r="I2382" s="103" t="n"/>
      <c r="J2382" s="104" t="n"/>
      <c r="K2382" s="102" t="n"/>
      <c r="L2382" s="103" t="n"/>
      <c r="M2382" s="103" t="n"/>
      <c r="N2382" s="104" t="n"/>
      <c r="O2382" s="102" t="n"/>
      <c r="P2382" s="103" t="n"/>
      <c r="Q2382" s="103" t="n"/>
      <c r="R2382" s="104" t="n"/>
      <c r="S2382" s="102" t="n"/>
      <c r="T2382" s="103" t="n"/>
      <c r="U2382" s="103" t="n"/>
      <c r="V2382" s="104" t="n"/>
      <c r="W2382" s="102" t="n"/>
      <c r="X2382" s="104" t="n"/>
      <c r="Y2382" s="102" t="n"/>
      <c r="Z2382" s="104" t="n"/>
      <c r="AB2382" s="105">
        <f>IF($B2382="","",(COUNTIF(C2358:E2375,$B2382)+COUNTIF(C2358:E2375,$B2382&amp;" ~*")&gt;0)+(COUNTIF(G2358:I2375,$B2382)+COUNTIF(G2358:I2375,$B2382&amp;" ~*")&gt;0)+(COUNTIF(K2358:M2375,$B2382)+COUNTIF(K2358:M2375,$B2382&amp;" ~*")&gt;0)+(COUNTIF(O2358:Q2375,$B2382)+COUNTIF(O2358:Q2375,$B2382&amp;" ~*")&gt;0)+(COUNTIF(S2358:U2375,$B2382)+COUNTIF(S2358:U2375,$B2382&amp;" ~*")&gt;0)+(COUNTIF(W2358:W2375,$B2382)+COUNTIF(W2358:W2375,$B2382&amp;" ~*")&gt;0)+(COUNTIF(Y2358:Y2375,$B2382)+COUNTIF(Y2358:Y2375,$B2382&amp;" ~*")&gt;0))</f>
        <v/>
      </c>
      <c r="AC2382" s="38">
        <f>IF($B2382="","",(IFERROR(INDEX(Setup!$G$33:$G$40,MATCH(C2382,Setup!$B$33:$B$40,0)),0)=1)*(COUNTIF(C2358:E2375,$B2382)+COUNTIF(C2358:E2375,$B2382&amp;" ~*")&gt;0)+(IFERROR(INDEX(Setup!$G$33:$G$40,MATCH(G2382,Setup!$B$33:$B$40,0)),0)=1)*(COUNTIF(G2358:I2375,$B2382)+COUNTIF(G2358:I2375,$B2382&amp;" ~*")&gt;0)+(IFERROR(INDEX(Setup!$G$33:$G$40,MATCH(K2382,Setup!$B$33:$B$40,0)),0)=1)*(COUNTIF(K2358:M2375,$B2382)+COUNTIF(K2358:M2375,$B2382&amp;" ~*")&gt;0)+(IFERROR(INDEX(Setup!$G$33:$G$40,MATCH(O2382,Setup!$B$33:$B$40,0)),0)=1)*(COUNTIF(O2358:Q2375,$B2382)+COUNTIF(O2358:Q2375,$B2382&amp;" ~*")&gt;0)+(IFERROR(INDEX(Setup!$G$33:$G$40,MATCH(S2382,Setup!$B$33:$B$40,0)),0)=1)*(COUNTIF(S2358:U2375,$B2382)+COUNTIF(S2358:U2375,$B2382&amp;" ~*")&gt;0)+(IFERROR(INDEX(Setup!$G$33:$G$40,MATCH(W2382,Setup!$B$33:$B$40,0)),0)=1)*(COUNTIF(W2358:W2375,$B2382)+COUNTIF(W2358:W2375,$B2382&amp;" ~*")&gt;0)+(IFERROR(INDEX(Setup!$G$33:$G$40,MATCH(Y2382,Setup!$B$33:$B$40,0)),0)=1)*(COUNTIF(Y2358:Y2375,$B2382)+COUNTIF(Y2358:Y2375,$B2382&amp;" ~*")&gt;0))</f>
        <v/>
      </c>
    </row>
    <row r="2383" ht="15" customHeight="1">
      <c r="A2383" t="n">
        <v>48</v>
      </c>
      <c r="B2383" s="35">
        <f>IF(Setup!$B$12="","",Setup!$B$12)</f>
        <v/>
      </c>
      <c r="C2383" s="98" t="n"/>
      <c r="D2383" s="99" t="n"/>
      <c r="E2383" s="99" t="n"/>
      <c r="F2383" s="100" t="n"/>
      <c r="G2383" s="98" t="n"/>
      <c r="H2383" s="99" t="n"/>
      <c r="I2383" s="99" t="n"/>
      <c r="J2383" s="100" t="n"/>
      <c r="K2383" s="98" t="n"/>
      <c r="L2383" s="99" t="n"/>
      <c r="M2383" s="99" t="n"/>
      <c r="N2383" s="100" t="n"/>
      <c r="O2383" s="98" t="n"/>
      <c r="P2383" s="99" t="n"/>
      <c r="Q2383" s="99" t="n"/>
      <c r="R2383" s="100" t="n"/>
      <c r="S2383" s="98" t="n"/>
      <c r="T2383" s="99" t="n"/>
      <c r="U2383" s="99" t="n"/>
      <c r="V2383" s="100" t="n"/>
      <c r="W2383" s="98" t="n"/>
      <c r="X2383" s="100" t="n"/>
      <c r="Y2383" s="98" t="n"/>
      <c r="Z2383" s="100" t="n"/>
      <c r="AB2383" s="101">
        <f>IF($B2383="","",(COUNTIF(C2358:E2375,$B2383)+COUNTIF(C2358:E2375,$B2383&amp;" ~*")&gt;0)+(COUNTIF(G2358:I2375,$B2383)+COUNTIF(G2358:I2375,$B2383&amp;" ~*")&gt;0)+(COUNTIF(K2358:M2375,$B2383)+COUNTIF(K2358:M2375,$B2383&amp;" ~*")&gt;0)+(COUNTIF(O2358:Q2375,$B2383)+COUNTIF(O2358:Q2375,$B2383&amp;" ~*")&gt;0)+(COUNTIF(S2358:U2375,$B2383)+COUNTIF(S2358:U2375,$B2383&amp;" ~*")&gt;0)+(COUNTIF(W2358:W2375,$B2383)+COUNTIF(W2358:W2375,$B2383&amp;" ~*")&gt;0)+(COUNTIF(Y2358:Y2375,$B2383)+COUNTIF(Y2358:Y2375,$B2383&amp;" ~*")&gt;0))</f>
        <v/>
      </c>
      <c r="AC2383" s="36">
        <f>IF($B2383="","",(IFERROR(INDEX(Setup!$G$33:$G$40,MATCH(C2383,Setup!$B$33:$B$40,0)),0)=1)*(COUNTIF(C2358:E2375,$B2383)+COUNTIF(C2358:E2375,$B2383&amp;" ~*")&gt;0)+(IFERROR(INDEX(Setup!$G$33:$G$40,MATCH(G2383,Setup!$B$33:$B$40,0)),0)=1)*(COUNTIF(G2358:I2375,$B2383)+COUNTIF(G2358:I2375,$B2383&amp;" ~*")&gt;0)+(IFERROR(INDEX(Setup!$G$33:$G$40,MATCH(K2383,Setup!$B$33:$B$40,0)),0)=1)*(COUNTIF(K2358:M2375,$B2383)+COUNTIF(K2358:M2375,$B2383&amp;" ~*")&gt;0)+(IFERROR(INDEX(Setup!$G$33:$G$40,MATCH(O2383,Setup!$B$33:$B$40,0)),0)=1)*(COUNTIF(O2358:Q2375,$B2383)+COUNTIF(O2358:Q2375,$B2383&amp;" ~*")&gt;0)+(IFERROR(INDEX(Setup!$G$33:$G$40,MATCH(S2383,Setup!$B$33:$B$40,0)),0)=1)*(COUNTIF(S2358:U2375,$B2383)+COUNTIF(S2358:U2375,$B2383&amp;" ~*")&gt;0)+(IFERROR(INDEX(Setup!$G$33:$G$40,MATCH(W2383,Setup!$B$33:$B$40,0)),0)=1)*(COUNTIF(W2358:W2375,$B2383)+COUNTIF(W2358:W2375,$B2383&amp;" ~*")&gt;0)+(IFERROR(INDEX(Setup!$G$33:$G$40,MATCH(Y2383,Setup!$B$33:$B$40,0)),0)=1)*(COUNTIF(Y2358:Y2375,$B2383)+COUNTIF(Y2358:Y2375,$B2383&amp;" ~*")&gt;0))</f>
        <v/>
      </c>
    </row>
    <row r="2384" ht="15" customHeight="1">
      <c r="A2384" t="n">
        <v>48</v>
      </c>
      <c r="B2384" s="37">
        <f>IF(Setup!$B$13="","",Setup!$B$13)</f>
        <v/>
      </c>
      <c r="C2384" s="102" t="n"/>
      <c r="D2384" s="103" t="n"/>
      <c r="E2384" s="103" t="n"/>
      <c r="F2384" s="104" t="n"/>
      <c r="G2384" s="102" t="n"/>
      <c r="H2384" s="103" t="n"/>
      <c r="I2384" s="103" t="n"/>
      <c r="J2384" s="104" t="n"/>
      <c r="K2384" s="102" t="n"/>
      <c r="L2384" s="103" t="n"/>
      <c r="M2384" s="103" t="n"/>
      <c r="N2384" s="104" t="n"/>
      <c r="O2384" s="102" t="inlineStr">
        <is>
          <t>AL</t>
        </is>
      </c>
      <c r="P2384" s="103" t="n"/>
      <c r="Q2384" s="103" t="n"/>
      <c r="R2384" s="104" t="n"/>
      <c r="S2384" s="102" t="inlineStr">
        <is>
          <t>AL</t>
        </is>
      </c>
      <c r="T2384" s="103" t="n"/>
      <c r="U2384" s="103" t="n"/>
      <c r="V2384" s="104" t="n"/>
      <c r="W2384" s="102" t="n"/>
      <c r="X2384" s="104" t="n"/>
      <c r="Y2384" s="102" t="n"/>
      <c r="Z2384" s="104" t="n"/>
      <c r="AB2384" s="105">
        <f>IF($B2384="","",(COUNTIF(C2358:E2375,$B2384)+COUNTIF(C2358:E2375,$B2384&amp;" ~*")&gt;0)+(COUNTIF(G2358:I2375,$B2384)+COUNTIF(G2358:I2375,$B2384&amp;" ~*")&gt;0)+(COUNTIF(K2358:M2375,$B2384)+COUNTIF(K2358:M2375,$B2384&amp;" ~*")&gt;0)+(COUNTIF(O2358:Q2375,$B2384)+COUNTIF(O2358:Q2375,$B2384&amp;" ~*")&gt;0)+(COUNTIF(S2358:U2375,$B2384)+COUNTIF(S2358:U2375,$B2384&amp;" ~*")&gt;0)+(COUNTIF(W2358:W2375,$B2384)+COUNTIF(W2358:W2375,$B2384&amp;" ~*")&gt;0)+(COUNTIF(Y2358:Y2375,$B2384)+COUNTIF(Y2358:Y2375,$B2384&amp;" ~*")&gt;0))</f>
        <v/>
      </c>
      <c r="AC2384" s="38">
        <f>IF($B2384="","",(IFERROR(INDEX(Setup!$G$33:$G$40,MATCH(C2384,Setup!$B$33:$B$40,0)),0)=1)*(COUNTIF(C2358:E2375,$B2384)+COUNTIF(C2358:E2375,$B2384&amp;" ~*")&gt;0)+(IFERROR(INDEX(Setup!$G$33:$G$40,MATCH(G2384,Setup!$B$33:$B$40,0)),0)=1)*(COUNTIF(G2358:I2375,$B2384)+COUNTIF(G2358:I2375,$B2384&amp;" ~*")&gt;0)+(IFERROR(INDEX(Setup!$G$33:$G$40,MATCH(K2384,Setup!$B$33:$B$40,0)),0)=1)*(COUNTIF(K2358:M2375,$B2384)+COUNTIF(K2358:M2375,$B2384&amp;" ~*")&gt;0)+(IFERROR(INDEX(Setup!$G$33:$G$40,MATCH(O2384,Setup!$B$33:$B$40,0)),0)=1)*(COUNTIF(O2358:Q2375,$B2384)+COUNTIF(O2358:Q2375,$B2384&amp;" ~*")&gt;0)+(IFERROR(INDEX(Setup!$G$33:$G$40,MATCH(S2384,Setup!$B$33:$B$40,0)),0)=1)*(COUNTIF(S2358:U2375,$B2384)+COUNTIF(S2358:U2375,$B2384&amp;" ~*")&gt;0)+(IFERROR(INDEX(Setup!$G$33:$G$40,MATCH(W2384,Setup!$B$33:$B$40,0)),0)=1)*(COUNTIF(W2358:W2375,$B2384)+COUNTIF(W2358:W2375,$B2384&amp;" ~*")&gt;0)+(IFERROR(INDEX(Setup!$G$33:$G$40,MATCH(Y2384,Setup!$B$33:$B$40,0)),0)=1)*(COUNTIF(Y2358:Y2375,$B2384)+COUNTIF(Y2358:Y2375,$B2384&amp;" ~*")&gt;0))</f>
        <v/>
      </c>
    </row>
    <row r="2385" ht="15" customHeight="1">
      <c r="A2385" t="n">
        <v>48</v>
      </c>
      <c r="B2385" s="35">
        <f>IF(Setup!$B$14="","",Setup!$B$14)</f>
        <v/>
      </c>
      <c r="C2385" s="98" t="n"/>
      <c r="D2385" s="99" t="n"/>
      <c r="E2385" s="99" t="n"/>
      <c r="F2385" s="100" t="n"/>
      <c r="G2385" s="98" t="n"/>
      <c r="H2385" s="99" t="n"/>
      <c r="I2385" s="99" t="n"/>
      <c r="J2385" s="100" t="n"/>
      <c r="K2385" s="98" t="n"/>
      <c r="L2385" s="99" t="n"/>
      <c r="M2385" s="99" t="n"/>
      <c r="N2385" s="100" t="n"/>
      <c r="O2385" s="98" t="n"/>
      <c r="P2385" s="99" t="n"/>
      <c r="Q2385" s="99" t="n"/>
      <c r="R2385" s="100" t="n"/>
      <c r="S2385" s="98" t="n"/>
      <c r="T2385" s="99" t="n"/>
      <c r="U2385" s="99" t="n"/>
      <c r="V2385" s="100" t="n"/>
      <c r="W2385" s="98" t="n"/>
      <c r="X2385" s="100" t="n"/>
      <c r="Y2385" s="98" t="n"/>
      <c r="Z2385" s="100" t="n"/>
      <c r="AB2385" s="101">
        <f>IF($B2385="","",(COUNTIF(C2358:E2375,$B2385)+COUNTIF(C2358:E2375,$B2385&amp;" ~*")&gt;0)+(COUNTIF(G2358:I2375,$B2385)+COUNTIF(G2358:I2375,$B2385&amp;" ~*")&gt;0)+(COUNTIF(K2358:M2375,$B2385)+COUNTIF(K2358:M2375,$B2385&amp;" ~*")&gt;0)+(COUNTIF(O2358:Q2375,$B2385)+COUNTIF(O2358:Q2375,$B2385&amp;" ~*")&gt;0)+(COUNTIF(S2358:U2375,$B2385)+COUNTIF(S2358:U2375,$B2385&amp;" ~*")&gt;0)+(COUNTIF(W2358:W2375,$B2385)+COUNTIF(W2358:W2375,$B2385&amp;" ~*")&gt;0)+(COUNTIF(Y2358:Y2375,$B2385)+COUNTIF(Y2358:Y2375,$B2385&amp;" ~*")&gt;0))</f>
        <v/>
      </c>
      <c r="AC2385" s="36">
        <f>IF($B2385="","",(IFERROR(INDEX(Setup!$G$33:$G$40,MATCH(C2385,Setup!$B$33:$B$40,0)),0)=1)*(COUNTIF(C2358:E2375,$B2385)+COUNTIF(C2358:E2375,$B2385&amp;" ~*")&gt;0)+(IFERROR(INDEX(Setup!$G$33:$G$40,MATCH(G2385,Setup!$B$33:$B$40,0)),0)=1)*(COUNTIF(G2358:I2375,$B2385)+COUNTIF(G2358:I2375,$B2385&amp;" ~*")&gt;0)+(IFERROR(INDEX(Setup!$G$33:$G$40,MATCH(K2385,Setup!$B$33:$B$40,0)),0)=1)*(COUNTIF(K2358:M2375,$B2385)+COUNTIF(K2358:M2375,$B2385&amp;" ~*")&gt;0)+(IFERROR(INDEX(Setup!$G$33:$G$40,MATCH(O2385,Setup!$B$33:$B$40,0)),0)=1)*(COUNTIF(O2358:Q2375,$B2385)+COUNTIF(O2358:Q2375,$B2385&amp;" ~*")&gt;0)+(IFERROR(INDEX(Setup!$G$33:$G$40,MATCH(S2385,Setup!$B$33:$B$40,0)),0)=1)*(COUNTIF(S2358:U2375,$B2385)+COUNTIF(S2358:U2375,$B2385&amp;" ~*")&gt;0)+(IFERROR(INDEX(Setup!$G$33:$G$40,MATCH(W2385,Setup!$B$33:$B$40,0)),0)=1)*(COUNTIF(W2358:W2375,$B2385)+COUNTIF(W2358:W2375,$B2385&amp;" ~*")&gt;0)+(IFERROR(INDEX(Setup!$G$33:$G$40,MATCH(Y2385,Setup!$B$33:$B$40,0)),0)=1)*(COUNTIF(Y2358:Y2375,$B2385)+COUNTIF(Y2358:Y2375,$B2385&amp;" ~*")&gt;0))</f>
        <v/>
      </c>
    </row>
    <row r="2386" ht="15" customHeight="1">
      <c r="A2386" t="n">
        <v>48</v>
      </c>
      <c r="B2386" s="37">
        <f>IF(Setup!$B$15="","",Setup!$B$15)</f>
        <v/>
      </c>
      <c r="C2386" s="102" t="n"/>
      <c r="D2386" s="103" t="n"/>
      <c r="E2386" s="103" t="n"/>
      <c r="F2386" s="104" t="n"/>
      <c r="G2386" s="102" t="n"/>
      <c r="H2386" s="103" t="n"/>
      <c r="I2386" s="103" t="n"/>
      <c r="J2386" s="104" t="n"/>
      <c r="K2386" s="102" t="n"/>
      <c r="L2386" s="103" t="n"/>
      <c r="M2386" s="103" t="n"/>
      <c r="N2386" s="104" t="n"/>
      <c r="O2386" s="102" t="n"/>
      <c r="P2386" s="103" t="n"/>
      <c r="Q2386" s="103" t="n"/>
      <c r="R2386" s="104" t="n"/>
      <c r="S2386" s="102" t="n"/>
      <c r="T2386" s="103" t="n"/>
      <c r="U2386" s="103" t="n"/>
      <c r="V2386" s="104" t="n"/>
      <c r="W2386" s="102" t="n"/>
      <c r="X2386" s="104" t="n"/>
      <c r="Y2386" s="102" t="n"/>
      <c r="Z2386" s="104" t="n"/>
      <c r="AB2386" s="105">
        <f>IF($B2386="","",(COUNTIF(C2358:E2375,$B2386)+COUNTIF(C2358:E2375,$B2386&amp;" ~*")&gt;0)+(COUNTIF(G2358:I2375,$B2386)+COUNTIF(G2358:I2375,$B2386&amp;" ~*")&gt;0)+(COUNTIF(K2358:M2375,$B2386)+COUNTIF(K2358:M2375,$B2386&amp;" ~*")&gt;0)+(COUNTIF(O2358:Q2375,$B2386)+COUNTIF(O2358:Q2375,$B2386&amp;" ~*")&gt;0)+(COUNTIF(S2358:U2375,$B2386)+COUNTIF(S2358:U2375,$B2386&amp;" ~*")&gt;0)+(COUNTIF(W2358:W2375,$B2386)+COUNTIF(W2358:W2375,$B2386&amp;" ~*")&gt;0)+(COUNTIF(Y2358:Y2375,$B2386)+COUNTIF(Y2358:Y2375,$B2386&amp;" ~*")&gt;0))</f>
        <v/>
      </c>
      <c r="AC2386" s="38">
        <f>IF($B2386="","",(IFERROR(INDEX(Setup!$G$33:$G$40,MATCH(C2386,Setup!$B$33:$B$40,0)),0)=1)*(COUNTIF(C2358:E2375,$B2386)+COUNTIF(C2358:E2375,$B2386&amp;" ~*")&gt;0)+(IFERROR(INDEX(Setup!$G$33:$G$40,MATCH(G2386,Setup!$B$33:$B$40,0)),0)=1)*(COUNTIF(G2358:I2375,$B2386)+COUNTIF(G2358:I2375,$B2386&amp;" ~*")&gt;0)+(IFERROR(INDEX(Setup!$G$33:$G$40,MATCH(K2386,Setup!$B$33:$B$40,0)),0)=1)*(COUNTIF(K2358:M2375,$B2386)+COUNTIF(K2358:M2375,$B2386&amp;" ~*")&gt;0)+(IFERROR(INDEX(Setup!$G$33:$G$40,MATCH(O2386,Setup!$B$33:$B$40,0)),0)=1)*(COUNTIF(O2358:Q2375,$B2386)+COUNTIF(O2358:Q2375,$B2386&amp;" ~*")&gt;0)+(IFERROR(INDEX(Setup!$G$33:$G$40,MATCH(S2386,Setup!$B$33:$B$40,0)),0)=1)*(COUNTIF(S2358:U2375,$B2386)+COUNTIF(S2358:U2375,$B2386&amp;" ~*")&gt;0)+(IFERROR(INDEX(Setup!$G$33:$G$40,MATCH(W2386,Setup!$B$33:$B$40,0)),0)=1)*(COUNTIF(W2358:W2375,$B2386)+COUNTIF(W2358:W2375,$B2386&amp;" ~*")&gt;0)+(IFERROR(INDEX(Setup!$G$33:$G$40,MATCH(Y2386,Setup!$B$33:$B$40,0)),0)=1)*(COUNTIF(Y2358:Y2375,$B2386)+COUNTIF(Y2358:Y2375,$B2386&amp;" ~*")&gt;0))</f>
        <v/>
      </c>
    </row>
    <row r="2387" ht="15" customHeight="1">
      <c r="A2387" t="n">
        <v>48</v>
      </c>
      <c r="B2387" s="35">
        <f>IF(Setup!$B$16="","",Setup!$B$16)</f>
        <v/>
      </c>
      <c r="C2387" s="98" t="n"/>
      <c r="D2387" s="99" t="n"/>
      <c r="E2387" s="99" t="n"/>
      <c r="F2387" s="100" t="n"/>
      <c r="G2387" s="98" t="n"/>
      <c r="H2387" s="99" t="n"/>
      <c r="I2387" s="99" t="n"/>
      <c r="J2387" s="100" t="n"/>
      <c r="K2387" s="98" t="n"/>
      <c r="L2387" s="99" t="n"/>
      <c r="M2387" s="99" t="n"/>
      <c r="N2387" s="100" t="n"/>
      <c r="O2387" s="98" t="n"/>
      <c r="P2387" s="99" t="n"/>
      <c r="Q2387" s="99" t="n"/>
      <c r="R2387" s="100" t="n"/>
      <c r="S2387" s="98" t="n"/>
      <c r="T2387" s="99" t="n"/>
      <c r="U2387" s="99" t="n"/>
      <c r="V2387" s="100" t="n"/>
      <c r="W2387" s="98" t="n"/>
      <c r="X2387" s="100" t="n"/>
      <c r="Y2387" s="98" t="n"/>
      <c r="Z2387" s="100" t="n"/>
      <c r="AB2387" s="101">
        <f>IF($B2387="","",(COUNTIF(C2358:E2375,$B2387)+COUNTIF(C2358:E2375,$B2387&amp;" ~*")&gt;0)+(COUNTIF(G2358:I2375,$B2387)+COUNTIF(G2358:I2375,$B2387&amp;" ~*")&gt;0)+(COUNTIF(K2358:M2375,$B2387)+COUNTIF(K2358:M2375,$B2387&amp;" ~*")&gt;0)+(COUNTIF(O2358:Q2375,$B2387)+COUNTIF(O2358:Q2375,$B2387&amp;" ~*")&gt;0)+(COUNTIF(S2358:U2375,$B2387)+COUNTIF(S2358:U2375,$B2387&amp;" ~*")&gt;0)+(COUNTIF(W2358:W2375,$B2387)+COUNTIF(W2358:W2375,$B2387&amp;" ~*")&gt;0)+(COUNTIF(Y2358:Y2375,$B2387)+COUNTIF(Y2358:Y2375,$B2387&amp;" ~*")&gt;0))</f>
        <v/>
      </c>
      <c r="AC2387" s="36">
        <f>IF($B2387="","",(IFERROR(INDEX(Setup!$G$33:$G$40,MATCH(C2387,Setup!$B$33:$B$40,0)),0)=1)*(COUNTIF(C2358:E2375,$B2387)+COUNTIF(C2358:E2375,$B2387&amp;" ~*")&gt;0)+(IFERROR(INDEX(Setup!$G$33:$G$40,MATCH(G2387,Setup!$B$33:$B$40,0)),0)=1)*(COUNTIF(G2358:I2375,$B2387)+COUNTIF(G2358:I2375,$B2387&amp;" ~*")&gt;0)+(IFERROR(INDEX(Setup!$G$33:$G$40,MATCH(K2387,Setup!$B$33:$B$40,0)),0)=1)*(COUNTIF(K2358:M2375,$B2387)+COUNTIF(K2358:M2375,$B2387&amp;" ~*")&gt;0)+(IFERROR(INDEX(Setup!$G$33:$G$40,MATCH(O2387,Setup!$B$33:$B$40,0)),0)=1)*(COUNTIF(O2358:Q2375,$B2387)+COUNTIF(O2358:Q2375,$B2387&amp;" ~*")&gt;0)+(IFERROR(INDEX(Setup!$G$33:$G$40,MATCH(S2387,Setup!$B$33:$B$40,0)),0)=1)*(COUNTIF(S2358:U2375,$B2387)+COUNTIF(S2358:U2375,$B2387&amp;" ~*")&gt;0)+(IFERROR(INDEX(Setup!$G$33:$G$40,MATCH(W2387,Setup!$B$33:$B$40,0)),0)=1)*(COUNTIF(W2358:W2375,$B2387)+COUNTIF(W2358:W2375,$B2387&amp;" ~*")&gt;0)+(IFERROR(INDEX(Setup!$G$33:$G$40,MATCH(Y2387,Setup!$B$33:$B$40,0)),0)=1)*(COUNTIF(Y2358:Y2375,$B2387)+COUNTIF(Y2358:Y2375,$B2387&amp;" ~*")&gt;0))</f>
        <v/>
      </c>
    </row>
    <row r="2388" ht="15" customHeight="1">
      <c r="A2388" t="n">
        <v>48</v>
      </c>
      <c r="B2388" s="37">
        <f>IF(Setup!$B$17="","",Setup!$B$17)</f>
        <v/>
      </c>
      <c r="C2388" s="102" t="n"/>
      <c r="D2388" s="103" t="n"/>
      <c r="E2388" s="103" t="n"/>
      <c r="F2388" s="104" t="n"/>
      <c r="G2388" s="102" t="n"/>
      <c r="H2388" s="103" t="n"/>
      <c r="I2388" s="103" t="n"/>
      <c r="J2388" s="104" t="n"/>
      <c r="K2388" s="102" t="n"/>
      <c r="L2388" s="103" t="n"/>
      <c r="M2388" s="103" t="n"/>
      <c r="N2388" s="104" t="n"/>
      <c r="O2388" s="102" t="n"/>
      <c r="P2388" s="103" t="n"/>
      <c r="Q2388" s="103" t="n"/>
      <c r="R2388" s="104" t="n"/>
      <c r="S2388" s="102" t="n"/>
      <c r="T2388" s="103" t="n"/>
      <c r="U2388" s="103" t="n"/>
      <c r="V2388" s="104" t="n"/>
      <c r="W2388" s="102" t="n"/>
      <c r="X2388" s="104" t="n"/>
      <c r="Y2388" s="102" t="n"/>
      <c r="Z2388" s="104" t="n"/>
      <c r="AB2388" s="105">
        <f>IF($B2388="","",(COUNTIF(C2358:E2375,$B2388)+COUNTIF(C2358:E2375,$B2388&amp;" ~*")&gt;0)+(COUNTIF(G2358:I2375,$B2388)+COUNTIF(G2358:I2375,$B2388&amp;" ~*")&gt;0)+(COUNTIF(K2358:M2375,$B2388)+COUNTIF(K2358:M2375,$B2388&amp;" ~*")&gt;0)+(COUNTIF(O2358:Q2375,$B2388)+COUNTIF(O2358:Q2375,$B2388&amp;" ~*")&gt;0)+(COUNTIF(S2358:U2375,$B2388)+COUNTIF(S2358:U2375,$B2388&amp;" ~*")&gt;0)+(COUNTIF(W2358:W2375,$B2388)+COUNTIF(W2358:W2375,$B2388&amp;" ~*")&gt;0)+(COUNTIF(Y2358:Y2375,$B2388)+COUNTIF(Y2358:Y2375,$B2388&amp;" ~*")&gt;0))</f>
        <v/>
      </c>
      <c r="AC2388" s="38">
        <f>IF($B2388="","",(IFERROR(INDEX(Setup!$G$33:$G$40,MATCH(C2388,Setup!$B$33:$B$40,0)),0)=1)*(COUNTIF(C2358:E2375,$B2388)+COUNTIF(C2358:E2375,$B2388&amp;" ~*")&gt;0)+(IFERROR(INDEX(Setup!$G$33:$G$40,MATCH(G2388,Setup!$B$33:$B$40,0)),0)=1)*(COUNTIF(G2358:I2375,$B2388)+COUNTIF(G2358:I2375,$B2388&amp;" ~*")&gt;0)+(IFERROR(INDEX(Setup!$G$33:$G$40,MATCH(K2388,Setup!$B$33:$B$40,0)),0)=1)*(COUNTIF(K2358:M2375,$B2388)+COUNTIF(K2358:M2375,$B2388&amp;" ~*")&gt;0)+(IFERROR(INDEX(Setup!$G$33:$G$40,MATCH(O2388,Setup!$B$33:$B$40,0)),0)=1)*(COUNTIF(O2358:Q2375,$B2388)+COUNTIF(O2358:Q2375,$B2388&amp;" ~*")&gt;0)+(IFERROR(INDEX(Setup!$G$33:$G$40,MATCH(S2388,Setup!$B$33:$B$40,0)),0)=1)*(COUNTIF(S2358:U2375,$B2388)+COUNTIF(S2358:U2375,$B2388&amp;" ~*")&gt;0)+(IFERROR(INDEX(Setup!$G$33:$G$40,MATCH(W2388,Setup!$B$33:$B$40,0)),0)=1)*(COUNTIF(W2358:W2375,$B2388)+COUNTIF(W2358:W2375,$B2388&amp;" ~*")&gt;0)+(IFERROR(INDEX(Setup!$G$33:$G$40,MATCH(Y2388,Setup!$B$33:$B$40,0)),0)=1)*(COUNTIF(Y2358:Y2375,$B2388)+COUNTIF(Y2358:Y2375,$B2388&amp;" ~*")&gt;0))</f>
        <v/>
      </c>
    </row>
    <row r="2389" ht="15" customHeight="1">
      <c r="A2389" t="n">
        <v>48</v>
      </c>
      <c r="B2389" s="35">
        <f>IF(Setup!$B$18="","",Setup!$B$18)</f>
        <v/>
      </c>
      <c r="C2389" s="98" t="n"/>
      <c r="D2389" s="99" t="n"/>
      <c r="E2389" s="99" t="n"/>
      <c r="F2389" s="100" t="n"/>
      <c r="G2389" s="98" t="n"/>
      <c r="H2389" s="99" t="n"/>
      <c r="I2389" s="99" t="n"/>
      <c r="J2389" s="100" t="n"/>
      <c r="K2389" s="98" t="n"/>
      <c r="L2389" s="99" t="n"/>
      <c r="M2389" s="99" t="n"/>
      <c r="N2389" s="100" t="n"/>
      <c r="O2389" s="98" t="n"/>
      <c r="P2389" s="99" t="n"/>
      <c r="Q2389" s="99" t="n"/>
      <c r="R2389" s="100" t="n"/>
      <c r="S2389" s="98" t="n"/>
      <c r="T2389" s="99" t="n"/>
      <c r="U2389" s="99" t="n"/>
      <c r="V2389" s="100" t="n"/>
      <c r="W2389" s="98" t="n"/>
      <c r="X2389" s="100" t="n"/>
      <c r="Y2389" s="98" t="n"/>
      <c r="Z2389" s="100" t="n"/>
      <c r="AB2389" s="101">
        <f>IF($B2389="","",(COUNTIF(C2358:E2375,$B2389)+COUNTIF(C2358:E2375,$B2389&amp;" ~*")&gt;0)+(COUNTIF(G2358:I2375,$B2389)+COUNTIF(G2358:I2375,$B2389&amp;" ~*")&gt;0)+(COUNTIF(K2358:M2375,$B2389)+COUNTIF(K2358:M2375,$B2389&amp;" ~*")&gt;0)+(COUNTIF(O2358:Q2375,$B2389)+COUNTIF(O2358:Q2375,$B2389&amp;" ~*")&gt;0)+(COUNTIF(S2358:U2375,$B2389)+COUNTIF(S2358:U2375,$B2389&amp;" ~*")&gt;0)+(COUNTIF(W2358:W2375,$B2389)+COUNTIF(W2358:W2375,$B2389&amp;" ~*")&gt;0)+(COUNTIF(Y2358:Y2375,$B2389)+COUNTIF(Y2358:Y2375,$B2389&amp;" ~*")&gt;0))</f>
        <v/>
      </c>
      <c r="AC2389" s="36">
        <f>IF($B2389="","",(IFERROR(INDEX(Setup!$G$33:$G$40,MATCH(C2389,Setup!$B$33:$B$40,0)),0)=1)*(COUNTIF(C2358:E2375,$B2389)+COUNTIF(C2358:E2375,$B2389&amp;" ~*")&gt;0)+(IFERROR(INDEX(Setup!$G$33:$G$40,MATCH(G2389,Setup!$B$33:$B$40,0)),0)=1)*(COUNTIF(G2358:I2375,$B2389)+COUNTIF(G2358:I2375,$B2389&amp;" ~*")&gt;0)+(IFERROR(INDEX(Setup!$G$33:$G$40,MATCH(K2389,Setup!$B$33:$B$40,0)),0)=1)*(COUNTIF(K2358:M2375,$B2389)+COUNTIF(K2358:M2375,$B2389&amp;" ~*")&gt;0)+(IFERROR(INDEX(Setup!$G$33:$G$40,MATCH(O2389,Setup!$B$33:$B$40,0)),0)=1)*(COUNTIF(O2358:Q2375,$B2389)+COUNTIF(O2358:Q2375,$B2389&amp;" ~*")&gt;0)+(IFERROR(INDEX(Setup!$G$33:$G$40,MATCH(S2389,Setup!$B$33:$B$40,0)),0)=1)*(COUNTIF(S2358:U2375,$B2389)+COUNTIF(S2358:U2375,$B2389&amp;" ~*")&gt;0)+(IFERROR(INDEX(Setup!$G$33:$G$40,MATCH(W2389,Setup!$B$33:$B$40,0)),0)=1)*(COUNTIF(W2358:W2375,$B2389)+COUNTIF(W2358:W2375,$B2389&amp;" ~*")&gt;0)+(IFERROR(INDEX(Setup!$G$33:$G$40,MATCH(Y2389,Setup!$B$33:$B$40,0)),0)=1)*(COUNTIF(Y2358:Y2375,$B2389)+COUNTIF(Y2358:Y2375,$B2389&amp;" ~*")&gt;0))</f>
        <v/>
      </c>
    </row>
    <row r="2390" ht="15" customHeight="1">
      <c r="A2390" t="n">
        <v>48</v>
      </c>
      <c r="B2390" s="37">
        <f>IF(Setup!$B$19="","",Setup!$B$19)</f>
        <v/>
      </c>
      <c r="C2390" s="102" t="n"/>
      <c r="D2390" s="103" t="n"/>
      <c r="E2390" s="103" t="n"/>
      <c r="F2390" s="104" t="n"/>
      <c r="G2390" s="102" t="n"/>
      <c r="H2390" s="103" t="n"/>
      <c r="I2390" s="103" t="n"/>
      <c r="J2390" s="104" t="n"/>
      <c r="K2390" s="102" t="n"/>
      <c r="L2390" s="103" t="n"/>
      <c r="M2390" s="103" t="n"/>
      <c r="N2390" s="104" t="n"/>
      <c r="O2390" s="102" t="n"/>
      <c r="P2390" s="103" t="n"/>
      <c r="Q2390" s="103" t="n"/>
      <c r="R2390" s="104" t="n"/>
      <c r="S2390" s="102" t="n"/>
      <c r="T2390" s="103" t="n"/>
      <c r="U2390" s="103" t="n"/>
      <c r="V2390" s="104" t="n"/>
      <c r="W2390" s="102" t="n"/>
      <c r="X2390" s="104" t="n"/>
      <c r="Y2390" s="102" t="n"/>
      <c r="Z2390" s="104" t="n"/>
      <c r="AB2390" s="105">
        <f>IF($B2390="","",(COUNTIF(C2358:E2375,$B2390)+COUNTIF(C2358:E2375,$B2390&amp;" ~*")&gt;0)+(COUNTIF(G2358:I2375,$B2390)+COUNTIF(G2358:I2375,$B2390&amp;" ~*")&gt;0)+(COUNTIF(K2358:M2375,$B2390)+COUNTIF(K2358:M2375,$B2390&amp;" ~*")&gt;0)+(COUNTIF(O2358:Q2375,$B2390)+COUNTIF(O2358:Q2375,$B2390&amp;" ~*")&gt;0)+(COUNTIF(S2358:U2375,$B2390)+COUNTIF(S2358:U2375,$B2390&amp;" ~*")&gt;0)+(COUNTIF(W2358:W2375,$B2390)+COUNTIF(W2358:W2375,$B2390&amp;" ~*")&gt;0)+(COUNTIF(Y2358:Y2375,$B2390)+COUNTIF(Y2358:Y2375,$B2390&amp;" ~*")&gt;0))</f>
        <v/>
      </c>
      <c r="AC2390" s="38">
        <f>IF($B2390="","",(IFERROR(INDEX(Setup!$G$33:$G$40,MATCH(C2390,Setup!$B$33:$B$40,0)),0)=1)*(COUNTIF(C2358:E2375,$B2390)+COUNTIF(C2358:E2375,$B2390&amp;" ~*")&gt;0)+(IFERROR(INDEX(Setup!$G$33:$G$40,MATCH(G2390,Setup!$B$33:$B$40,0)),0)=1)*(COUNTIF(G2358:I2375,$B2390)+COUNTIF(G2358:I2375,$B2390&amp;" ~*")&gt;0)+(IFERROR(INDEX(Setup!$G$33:$G$40,MATCH(K2390,Setup!$B$33:$B$40,0)),0)=1)*(COUNTIF(K2358:M2375,$B2390)+COUNTIF(K2358:M2375,$B2390&amp;" ~*")&gt;0)+(IFERROR(INDEX(Setup!$G$33:$G$40,MATCH(O2390,Setup!$B$33:$B$40,0)),0)=1)*(COUNTIF(O2358:Q2375,$B2390)+COUNTIF(O2358:Q2375,$B2390&amp;" ~*")&gt;0)+(IFERROR(INDEX(Setup!$G$33:$G$40,MATCH(S2390,Setup!$B$33:$B$40,0)),0)=1)*(COUNTIF(S2358:U2375,$B2390)+COUNTIF(S2358:U2375,$B2390&amp;" ~*")&gt;0)+(IFERROR(INDEX(Setup!$G$33:$G$40,MATCH(W2390,Setup!$B$33:$B$40,0)),0)=1)*(COUNTIF(W2358:W2375,$B2390)+COUNTIF(W2358:W2375,$B2390&amp;" ~*")&gt;0)+(IFERROR(INDEX(Setup!$G$33:$G$40,MATCH(Y2390,Setup!$B$33:$B$40,0)),0)=1)*(COUNTIF(Y2358:Y2375,$B2390)+COUNTIF(Y2358:Y2375,$B2390&amp;" ~*")&gt;0))</f>
        <v/>
      </c>
    </row>
    <row r="2391" ht="15" customHeight="1">
      <c r="A2391" t="n">
        <v>48</v>
      </c>
      <c r="B2391" s="35">
        <f>IF(Setup!$B$20="","",Setup!$B$20)</f>
        <v/>
      </c>
      <c r="C2391" s="98" t="n"/>
      <c r="D2391" s="99" t="n"/>
      <c r="E2391" s="99" t="n"/>
      <c r="F2391" s="100" t="n"/>
      <c r="G2391" s="98" t="n"/>
      <c r="H2391" s="99" t="n"/>
      <c r="I2391" s="99" t="n"/>
      <c r="J2391" s="100" t="n"/>
      <c r="K2391" s="98" t="n"/>
      <c r="L2391" s="99" t="n"/>
      <c r="M2391" s="99" t="n"/>
      <c r="N2391" s="100" t="n"/>
      <c r="O2391" s="98" t="n"/>
      <c r="P2391" s="99" t="n"/>
      <c r="Q2391" s="99" t="n"/>
      <c r="R2391" s="100" t="n"/>
      <c r="S2391" s="98" t="n"/>
      <c r="T2391" s="99" t="n"/>
      <c r="U2391" s="99" t="n"/>
      <c r="V2391" s="100" t="n"/>
      <c r="W2391" s="98" t="n"/>
      <c r="X2391" s="100" t="n"/>
      <c r="Y2391" s="98" t="n"/>
      <c r="Z2391" s="100" t="n"/>
      <c r="AB2391" s="101">
        <f>IF($B2391="","",(COUNTIF(C2358:E2375,$B2391)+COUNTIF(C2358:E2375,$B2391&amp;" ~*")&gt;0)+(COUNTIF(G2358:I2375,$B2391)+COUNTIF(G2358:I2375,$B2391&amp;" ~*")&gt;0)+(COUNTIF(K2358:M2375,$B2391)+COUNTIF(K2358:M2375,$B2391&amp;" ~*")&gt;0)+(COUNTIF(O2358:Q2375,$B2391)+COUNTIF(O2358:Q2375,$B2391&amp;" ~*")&gt;0)+(COUNTIF(S2358:U2375,$B2391)+COUNTIF(S2358:U2375,$B2391&amp;" ~*")&gt;0)+(COUNTIF(W2358:W2375,$B2391)+COUNTIF(W2358:W2375,$B2391&amp;" ~*")&gt;0)+(COUNTIF(Y2358:Y2375,$B2391)+COUNTIF(Y2358:Y2375,$B2391&amp;" ~*")&gt;0))</f>
        <v/>
      </c>
      <c r="AC2391" s="36">
        <f>IF($B2391="","",(IFERROR(INDEX(Setup!$G$33:$G$40,MATCH(C2391,Setup!$B$33:$B$40,0)),0)=1)*(COUNTIF(C2358:E2375,$B2391)+COUNTIF(C2358:E2375,$B2391&amp;" ~*")&gt;0)+(IFERROR(INDEX(Setup!$G$33:$G$40,MATCH(G2391,Setup!$B$33:$B$40,0)),0)=1)*(COUNTIF(G2358:I2375,$B2391)+COUNTIF(G2358:I2375,$B2391&amp;" ~*")&gt;0)+(IFERROR(INDEX(Setup!$G$33:$G$40,MATCH(K2391,Setup!$B$33:$B$40,0)),0)=1)*(COUNTIF(K2358:M2375,$B2391)+COUNTIF(K2358:M2375,$B2391&amp;" ~*")&gt;0)+(IFERROR(INDEX(Setup!$G$33:$G$40,MATCH(O2391,Setup!$B$33:$B$40,0)),0)=1)*(COUNTIF(O2358:Q2375,$B2391)+COUNTIF(O2358:Q2375,$B2391&amp;" ~*")&gt;0)+(IFERROR(INDEX(Setup!$G$33:$G$40,MATCH(S2391,Setup!$B$33:$B$40,0)),0)=1)*(COUNTIF(S2358:U2375,$B2391)+COUNTIF(S2358:U2375,$B2391&amp;" ~*")&gt;0)+(IFERROR(INDEX(Setup!$G$33:$G$40,MATCH(W2391,Setup!$B$33:$B$40,0)),0)=1)*(COUNTIF(W2358:W2375,$B2391)+COUNTIF(W2358:W2375,$B2391&amp;" ~*")&gt;0)+(IFERROR(INDEX(Setup!$G$33:$G$40,MATCH(Y2391,Setup!$B$33:$B$40,0)),0)=1)*(COUNTIF(Y2358:Y2375,$B2391)+COUNTIF(Y2358:Y2375,$B2391&amp;" ~*")&gt;0))</f>
        <v/>
      </c>
    </row>
    <row r="2392" ht="15" customHeight="1">
      <c r="A2392" t="n">
        <v>48</v>
      </c>
      <c r="B2392" s="37">
        <f>IF(Setup!$B$21="","",Setup!$B$21)</f>
        <v/>
      </c>
      <c r="C2392" s="102" t="n"/>
      <c r="D2392" s="103" t="n"/>
      <c r="E2392" s="103" t="n"/>
      <c r="F2392" s="104" t="n"/>
      <c r="G2392" s="102" t="n"/>
      <c r="H2392" s="103" t="n"/>
      <c r="I2392" s="103" t="n"/>
      <c r="J2392" s="104" t="n"/>
      <c r="K2392" s="102" t="n"/>
      <c r="L2392" s="103" t="n"/>
      <c r="M2392" s="103" t="n"/>
      <c r="N2392" s="104" t="n"/>
      <c r="O2392" s="102" t="n"/>
      <c r="P2392" s="103" t="n"/>
      <c r="Q2392" s="103" t="n"/>
      <c r="R2392" s="104" t="n"/>
      <c r="S2392" s="102" t="n"/>
      <c r="T2392" s="103" t="n"/>
      <c r="U2392" s="103" t="n"/>
      <c r="V2392" s="104" t="n"/>
      <c r="W2392" s="102" t="n"/>
      <c r="X2392" s="104" t="n"/>
      <c r="Y2392" s="102" t="n"/>
      <c r="Z2392" s="104" t="n"/>
      <c r="AB2392" s="105">
        <f>IF($B2392="","",(COUNTIF(C2358:E2375,$B2392)+COUNTIF(C2358:E2375,$B2392&amp;" ~*")&gt;0)+(COUNTIF(G2358:I2375,$B2392)+COUNTIF(G2358:I2375,$B2392&amp;" ~*")&gt;0)+(COUNTIF(K2358:M2375,$B2392)+COUNTIF(K2358:M2375,$B2392&amp;" ~*")&gt;0)+(COUNTIF(O2358:Q2375,$B2392)+COUNTIF(O2358:Q2375,$B2392&amp;" ~*")&gt;0)+(COUNTIF(S2358:U2375,$B2392)+COUNTIF(S2358:U2375,$B2392&amp;" ~*")&gt;0)+(COUNTIF(W2358:W2375,$B2392)+COUNTIF(W2358:W2375,$B2392&amp;" ~*")&gt;0)+(COUNTIF(Y2358:Y2375,$B2392)+COUNTIF(Y2358:Y2375,$B2392&amp;" ~*")&gt;0))</f>
        <v/>
      </c>
      <c r="AC2392" s="38">
        <f>IF($B2392="","",(IFERROR(INDEX(Setup!$G$33:$G$40,MATCH(C2392,Setup!$B$33:$B$40,0)),0)=1)*(COUNTIF(C2358:E2375,$B2392)+COUNTIF(C2358:E2375,$B2392&amp;" ~*")&gt;0)+(IFERROR(INDEX(Setup!$G$33:$G$40,MATCH(G2392,Setup!$B$33:$B$40,0)),0)=1)*(COUNTIF(G2358:I2375,$B2392)+COUNTIF(G2358:I2375,$B2392&amp;" ~*")&gt;0)+(IFERROR(INDEX(Setup!$G$33:$G$40,MATCH(K2392,Setup!$B$33:$B$40,0)),0)=1)*(COUNTIF(K2358:M2375,$B2392)+COUNTIF(K2358:M2375,$B2392&amp;" ~*")&gt;0)+(IFERROR(INDEX(Setup!$G$33:$G$40,MATCH(O2392,Setup!$B$33:$B$40,0)),0)=1)*(COUNTIF(O2358:Q2375,$B2392)+COUNTIF(O2358:Q2375,$B2392&amp;" ~*")&gt;0)+(IFERROR(INDEX(Setup!$G$33:$G$40,MATCH(S2392,Setup!$B$33:$B$40,0)),0)=1)*(COUNTIF(S2358:U2375,$B2392)+COUNTIF(S2358:U2375,$B2392&amp;" ~*")&gt;0)+(IFERROR(INDEX(Setup!$G$33:$G$40,MATCH(W2392,Setup!$B$33:$B$40,0)),0)=1)*(COUNTIF(W2358:W2375,$B2392)+COUNTIF(W2358:W2375,$B2392&amp;" ~*")&gt;0)+(IFERROR(INDEX(Setup!$G$33:$G$40,MATCH(Y2392,Setup!$B$33:$B$40,0)),0)=1)*(COUNTIF(Y2358:Y2375,$B2392)+COUNTIF(Y2358:Y2375,$B2392&amp;" ~*")&gt;0))</f>
        <v/>
      </c>
    </row>
    <row r="2393" ht="15" customHeight="1">
      <c r="A2393" t="n">
        <v>48</v>
      </c>
      <c r="B2393" s="35">
        <f>IF(Setup!$B$22="","",Setup!$B$22)</f>
        <v/>
      </c>
      <c r="C2393" s="98" t="n"/>
      <c r="D2393" s="99" t="n"/>
      <c r="E2393" s="99" t="n"/>
      <c r="F2393" s="100" t="n"/>
      <c r="G2393" s="98" t="n"/>
      <c r="H2393" s="99" t="n"/>
      <c r="I2393" s="99" t="n"/>
      <c r="J2393" s="100" t="n"/>
      <c r="K2393" s="98" t="n"/>
      <c r="L2393" s="99" t="n"/>
      <c r="M2393" s="99" t="n"/>
      <c r="N2393" s="100" t="n"/>
      <c r="O2393" s="98" t="n"/>
      <c r="P2393" s="99" t="n"/>
      <c r="Q2393" s="99" t="n"/>
      <c r="R2393" s="100" t="n"/>
      <c r="S2393" s="98" t="n"/>
      <c r="T2393" s="99" t="n"/>
      <c r="U2393" s="99" t="n"/>
      <c r="V2393" s="100" t="n"/>
      <c r="W2393" s="98" t="n"/>
      <c r="X2393" s="100" t="n"/>
      <c r="Y2393" s="98" t="n"/>
      <c r="Z2393" s="100" t="n"/>
      <c r="AB2393" s="101">
        <f>IF($B2393="","",(COUNTIF(C2358:E2375,$B2393)+COUNTIF(C2358:E2375,$B2393&amp;" ~*")&gt;0)+(COUNTIF(G2358:I2375,$B2393)+COUNTIF(G2358:I2375,$B2393&amp;" ~*")&gt;0)+(COUNTIF(K2358:M2375,$B2393)+COUNTIF(K2358:M2375,$B2393&amp;" ~*")&gt;0)+(COUNTIF(O2358:Q2375,$B2393)+COUNTIF(O2358:Q2375,$B2393&amp;" ~*")&gt;0)+(COUNTIF(S2358:U2375,$B2393)+COUNTIF(S2358:U2375,$B2393&amp;" ~*")&gt;0)+(COUNTIF(W2358:W2375,$B2393)+COUNTIF(W2358:W2375,$B2393&amp;" ~*")&gt;0)+(COUNTIF(Y2358:Y2375,$B2393)+COUNTIF(Y2358:Y2375,$B2393&amp;" ~*")&gt;0))</f>
        <v/>
      </c>
      <c r="AC2393" s="36">
        <f>IF($B2393="","",(IFERROR(INDEX(Setup!$G$33:$G$40,MATCH(C2393,Setup!$B$33:$B$40,0)),0)=1)*(COUNTIF(C2358:E2375,$B2393)+COUNTIF(C2358:E2375,$B2393&amp;" ~*")&gt;0)+(IFERROR(INDEX(Setup!$G$33:$G$40,MATCH(G2393,Setup!$B$33:$B$40,0)),0)=1)*(COUNTIF(G2358:I2375,$B2393)+COUNTIF(G2358:I2375,$B2393&amp;" ~*")&gt;0)+(IFERROR(INDEX(Setup!$G$33:$G$40,MATCH(K2393,Setup!$B$33:$B$40,0)),0)=1)*(COUNTIF(K2358:M2375,$B2393)+COUNTIF(K2358:M2375,$B2393&amp;" ~*")&gt;0)+(IFERROR(INDEX(Setup!$G$33:$G$40,MATCH(O2393,Setup!$B$33:$B$40,0)),0)=1)*(COUNTIF(O2358:Q2375,$B2393)+COUNTIF(O2358:Q2375,$B2393&amp;" ~*")&gt;0)+(IFERROR(INDEX(Setup!$G$33:$G$40,MATCH(S2393,Setup!$B$33:$B$40,0)),0)=1)*(COUNTIF(S2358:U2375,$B2393)+COUNTIF(S2358:U2375,$B2393&amp;" ~*")&gt;0)+(IFERROR(INDEX(Setup!$G$33:$G$40,MATCH(W2393,Setup!$B$33:$B$40,0)),0)=1)*(COUNTIF(W2358:W2375,$B2393)+COUNTIF(W2358:W2375,$B2393&amp;" ~*")&gt;0)+(IFERROR(INDEX(Setup!$G$33:$G$40,MATCH(Y2393,Setup!$B$33:$B$40,0)),0)=1)*(COUNTIF(Y2358:Y2375,$B2393)+COUNTIF(Y2358:Y2375,$B2393&amp;" ~*")&gt;0))</f>
        <v/>
      </c>
    </row>
    <row r="2394" ht="15" customHeight="1">
      <c r="A2394" t="n">
        <v>48</v>
      </c>
      <c r="B2394" s="37">
        <f>IF(Setup!$B$23="","",Setup!$B$23)</f>
        <v/>
      </c>
      <c r="C2394" s="102" t="n"/>
      <c r="D2394" s="103" t="n"/>
      <c r="E2394" s="103" t="n"/>
      <c r="F2394" s="104" t="n"/>
      <c r="G2394" s="102" t="n"/>
      <c r="H2394" s="103" t="n"/>
      <c r="I2394" s="103" t="n"/>
      <c r="J2394" s="104" t="n"/>
      <c r="K2394" s="102" t="n"/>
      <c r="L2394" s="103" t="n"/>
      <c r="M2394" s="103" t="n"/>
      <c r="N2394" s="104" t="n"/>
      <c r="O2394" s="102" t="n"/>
      <c r="P2394" s="103" t="n"/>
      <c r="Q2394" s="103" t="n"/>
      <c r="R2394" s="104" t="n"/>
      <c r="S2394" s="102" t="n"/>
      <c r="T2394" s="103" t="n"/>
      <c r="U2394" s="103" t="n"/>
      <c r="V2394" s="104" t="n"/>
      <c r="W2394" s="102" t="n"/>
      <c r="X2394" s="104" t="n"/>
      <c r="Y2394" s="102" t="n"/>
      <c r="Z2394" s="104" t="n"/>
      <c r="AB2394" s="105">
        <f>IF($B2394="","",(COUNTIF(C2358:E2375,$B2394)+COUNTIF(C2358:E2375,$B2394&amp;" ~*")&gt;0)+(COUNTIF(G2358:I2375,$B2394)+COUNTIF(G2358:I2375,$B2394&amp;" ~*")&gt;0)+(COUNTIF(K2358:M2375,$B2394)+COUNTIF(K2358:M2375,$B2394&amp;" ~*")&gt;0)+(COUNTIF(O2358:Q2375,$B2394)+COUNTIF(O2358:Q2375,$B2394&amp;" ~*")&gt;0)+(COUNTIF(S2358:U2375,$B2394)+COUNTIF(S2358:U2375,$B2394&amp;" ~*")&gt;0)+(COUNTIF(W2358:W2375,$B2394)+COUNTIF(W2358:W2375,$B2394&amp;" ~*")&gt;0)+(COUNTIF(Y2358:Y2375,$B2394)+COUNTIF(Y2358:Y2375,$B2394&amp;" ~*")&gt;0))</f>
        <v/>
      </c>
      <c r="AC2394" s="38">
        <f>IF($B2394="","",(IFERROR(INDEX(Setup!$G$33:$G$40,MATCH(C2394,Setup!$B$33:$B$40,0)),0)=1)*(COUNTIF(C2358:E2375,$B2394)+COUNTIF(C2358:E2375,$B2394&amp;" ~*")&gt;0)+(IFERROR(INDEX(Setup!$G$33:$G$40,MATCH(G2394,Setup!$B$33:$B$40,0)),0)=1)*(COUNTIF(G2358:I2375,$B2394)+COUNTIF(G2358:I2375,$B2394&amp;" ~*")&gt;0)+(IFERROR(INDEX(Setup!$G$33:$G$40,MATCH(K2394,Setup!$B$33:$B$40,0)),0)=1)*(COUNTIF(K2358:M2375,$B2394)+COUNTIF(K2358:M2375,$B2394&amp;" ~*")&gt;0)+(IFERROR(INDEX(Setup!$G$33:$G$40,MATCH(O2394,Setup!$B$33:$B$40,0)),0)=1)*(COUNTIF(O2358:Q2375,$B2394)+COUNTIF(O2358:Q2375,$B2394&amp;" ~*")&gt;0)+(IFERROR(INDEX(Setup!$G$33:$G$40,MATCH(S2394,Setup!$B$33:$B$40,0)),0)=1)*(COUNTIF(S2358:U2375,$B2394)+COUNTIF(S2358:U2375,$B2394&amp;" ~*")&gt;0)+(IFERROR(INDEX(Setup!$G$33:$G$40,MATCH(W2394,Setup!$B$33:$B$40,0)),0)=1)*(COUNTIF(W2358:W2375,$B2394)+COUNTIF(W2358:W2375,$B2394&amp;" ~*")&gt;0)+(IFERROR(INDEX(Setup!$G$33:$G$40,MATCH(Y2394,Setup!$B$33:$B$40,0)),0)=1)*(COUNTIF(Y2358:Y2375,$B2394)+COUNTIF(Y2358:Y2375,$B2394&amp;" ~*")&gt;0))</f>
        <v/>
      </c>
    </row>
    <row r="2395" ht="15" customHeight="1">
      <c r="A2395" t="n">
        <v>48</v>
      </c>
      <c r="B2395" s="35">
        <f>IF(Setup!$B$24="","",Setup!$B$24)</f>
        <v/>
      </c>
      <c r="C2395" s="98" t="n"/>
      <c r="D2395" s="99" t="n"/>
      <c r="E2395" s="99" t="n"/>
      <c r="F2395" s="100" t="n"/>
      <c r="G2395" s="98" t="n"/>
      <c r="H2395" s="99" t="n"/>
      <c r="I2395" s="99" t="n"/>
      <c r="J2395" s="100" t="n"/>
      <c r="K2395" s="98" t="n"/>
      <c r="L2395" s="99" t="n"/>
      <c r="M2395" s="99" t="n"/>
      <c r="N2395" s="100" t="n"/>
      <c r="O2395" s="98" t="n"/>
      <c r="P2395" s="99" t="n"/>
      <c r="Q2395" s="99" t="n"/>
      <c r="R2395" s="100" t="n"/>
      <c r="S2395" s="98" t="n"/>
      <c r="T2395" s="99" t="n"/>
      <c r="U2395" s="99" t="n"/>
      <c r="V2395" s="100" t="n"/>
      <c r="W2395" s="98" t="n"/>
      <c r="X2395" s="100" t="n"/>
      <c r="Y2395" s="98" t="n"/>
      <c r="Z2395" s="100" t="n"/>
      <c r="AB2395" s="101">
        <f>IF($B2395="","",(COUNTIF(C2358:E2375,$B2395)+COUNTIF(C2358:E2375,$B2395&amp;" ~*")&gt;0)+(COUNTIF(G2358:I2375,$B2395)+COUNTIF(G2358:I2375,$B2395&amp;" ~*")&gt;0)+(COUNTIF(K2358:M2375,$B2395)+COUNTIF(K2358:M2375,$B2395&amp;" ~*")&gt;0)+(COUNTIF(O2358:Q2375,$B2395)+COUNTIF(O2358:Q2375,$B2395&amp;" ~*")&gt;0)+(COUNTIF(S2358:U2375,$B2395)+COUNTIF(S2358:U2375,$B2395&amp;" ~*")&gt;0)+(COUNTIF(W2358:W2375,$B2395)+COUNTIF(W2358:W2375,$B2395&amp;" ~*")&gt;0)+(COUNTIF(Y2358:Y2375,$B2395)+COUNTIF(Y2358:Y2375,$B2395&amp;" ~*")&gt;0))</f>
        <v/>
      </c>
      <c r="AC2395" s="36">
        <f>IF($B2395="","",(IFERROR(INDEX(Setup!$G$33:$G$40,MATCH(C2395,Setup!$B$33:$B$40,0)),0)=1)*(COUNTIF(C2358:E2375,$B2395)+COUNTIF(C2358:E2375,$B2395&amp;" ~*")&gt;0)+(IFERROR(INDEX(Setup!$G$33:$G$40,MATCH(G2395,Setup!$B$33:$B$40,0)),0)=1)*(COUNTIF(G2358:I2375,$B2395)+COUNTIF(G2358:I2375,$B2395&amp;" ~*")&gt;0)+(IFERROR(INDEX(Setup!$G$33:$G$40,MATCH(K2395,Setup!$B$33:$B$40,0)),0)=1)*(COUNTIF(K2358:M2375,$B2395)+COUNTIF(K2358:M2375,$B2395&amp;" ~*")&gt;0)+(IFERROR(INDEX(Setup!$G$33:$G$40,MATCH(O2395,Setup!$B$33:$B$40,0)),0)=1)*(COUNTIF(O2358:Q2375,$B2395)+COUNTIF(O2358:Q2375,$B2395&amp;" ~*")&gt;0)+(IFERROR(INDEX(Setup!$G$33:$G$40,MATCH(S2395,Setup!$B$33:$B$40,0)),0)=1)*(COUNTIF(S2358:U2375,$B2395)+COUNTIF(S2358:U2375,$B2395&amp;" ~*")&gt;0)+(IFERROR(INDEX(Setup!$G$33:$G$40,MATCH(W2395,Setup!$B$33:$B$40,0)),0)=1)*(COUNTIF(W2358:W2375,$B2395)+COUNTIF(W2358:W2375,$B2395&amp;" ~*")&gt;0)+(IFERROR(INDEX(Setup!$G$33:$G$40,MATCH(Y2395,Setup!$B$33:$B$40,0)),0)=1)*(COUNTIF(Y2358:Y2375,$B2395)+COUNTIF(Y2358:Y2375,$B2395&amp;" ~*")&gt;0))</f>
        <v/>
      </c>
    </row>
    <row r="2396" ht="15" customHeight="1">
      <c r="A2396" t="n">
        <v>48</v>
      </c>
      <c r="B2396" s="37">
        <f>IF(Setup!$B$25="","",Setup!$B$25)</f>
        <v/>
      </c>
      <c r="C2396" s="102" t="n"/>
      <c r="D2396" s="103" t="n"/>
      <c r="E2396" s="103" t="n"/>
      <c r="F2396" s="104" t="n"/>
      <c r="G2396" s="102" t="n"/>
      <c r="H2396" s="103" t="n"/>
      <c r="I2396" s="103" t="n"/>
      <c r="J2396" s="104" t="n"/>
      <c r="K2396" s="102" t="n"/>
      <c r="L2396" s="103" t="n"/>
      <c r="M2396" s="103" t="n"/>
      <c r="N2396" s="104" t="n"/>
      <c r="O2396" s="102" t="n"/>
      <c r="P2396" s="103" t="n"/>
      <c r="Q2396" s="103" t="n"/>
      <c r="R2396" s="104" t="n"/>
      <c r="S2396" s="102" t="n"/>
      <c r="T2396" s="103" t="n"/>
      <c r="U2396" s="103" t="n"/>
      <c r="V2396" s="104" t="n"/>
      <c r="W2396" s="102" t="n"/>
      <c r="X2396" s="104" t="n"/>
      <c r="Y2396" s="102" t="n"/>
      <c r="Z2396" s="104" t="n"/>
      <c r="AB2396" s="105">
        <f>IF($B2396="","",(COUNTIF(C2358:E2375,$B2396)+COUNTIF(C2358:E2375,$B2396&amp;" ~*")&gt;0)+(COUNTIF(G2358:I2375,$B2396)+COUNTIF(G2358:I2375,$B2396&amp;" ~*")&gt;0)+(COUNTIF(K2358:M2375,$B2396)+COUNTIF(K2358:M2375,$B2396&amp;" ~*")&gt;0)+(COUNTIF(O2358:Q2375,$B2396)+COUNTIF(O2358:Q2375,$B2396&amp;" ~*")&gt;0)+(COUNTIF(S2358:U2375,$B2396)+COUNTIF(S2358:U2375,$B2396&amp;" ~*")&gt;0)+(COUNTIF(W2358:W2375,$B2396)+COUNTIF(W2358:W2375,$B2396&amp;" ~*")&gt;0)+(COUNTIF(Y2358:Y2375,$B2396)+COUNTIF(Y2358:Y2375,$B2396&amp;" ~*")&gt;0))</f>
        <v/>
      </c>
      <c r="AC2396" s="38">
        <f>IF($B2396="","",(IFERROR(INDEX(Setup!$G$33:$G$40,MATCH(C2396,Setup!$B$33:$B$40,0)),0)=1)*(COUNTIF(C2358:E2375,$B2396)+COUNTIF(C2358:E2375,$B2396&amp;" ~*")&gt;0)+(IFERROR(INDEX(Setup!$G$33:$G$40,MATCH(G2396,Setup!$B$33:$B$40,0)),0)=1)*(COUNTIF(G2358:I2375,$B2396)+COUNTIF(G2358:I2375,$B2396&amp;" ~*")&gt;0)+(IFERROR(INDEX(Setup!$G$33:$G$40,MATCH(K2396,Setup!$B$33:$B$40,0)),0)=1)*(COUNTIF(K2358:M2375,$B2396)+COUNTIF(K2358:M2375,$B2396&amp;" ~*")&gt;0)+(IFERROR(INDEX(Setup!$G$33:$G$40,MATCH(O2396,Setup!$B$33:$B$40,0)),0)=1)*(COUNTIF(O2358:Q2375,$B2396)+COUNTIF(O2358:Q2375,$B2396&amp;" ~*")&gt;0)+(IFERROR(INDEX(Setup!$G$33:$G$40,MATCH(S2396,Setup!$B$33:$B$40,0)),0)=1)*(COUNTIF(S2358:U2375,$B2396)+COUNTIF(S2358:U2375,$B2396&amp;" ~*")&gt;0)+(IFERROR(INDEX(Setup!$G$33:$G$40,MATCH(W2396,Setup!$B$33:$B$40,0)),0)=1)*(COUNTIF(W2358:W2375,$B2396)+COUNTIF(W2358:W2375,$B2396&amp;" ~*")&gt;0)+(IFERROR(INDEX(Setup!$G$33:$G$40,MATCH(Y2396,Setup!$B$33:$B$40,0)),0)=1)*(COUNTIF(Y2358:Y2375,$B2396)+COUNTIF(Y2358:Y2375,$B2396&amp;" ~*")&gt;0))</f>
        <v/>
      </c>
    </row>
    <row r="2397" ht="15" customHeight="1">
      <c r="A2397" t="n">
        <v>48</v>
      </c>
      <c r="B2397" s="35">
        <f>IF(Setup!$B$26="","",Setup!$B$26)</f>
        <v/>
      </c>
      <c r="C2397" s="98" t="n"/>
      <c r="D2397" s="99" t="n"/>
      <c r="E2397" s="99" t="n"/>
      <c r="F2397" s="100" t="n"/>
      <c r="G2397" s="98" t="n"/>
      <c r="H2397" s="99" t="n"/>
      <c r="I2397" s="99" t="n"/>
      <c r="J2397" s="100" t="n"/>
      <c r="K2397" s="98" t="n"/>
      <c r="L2397" s="99" t="n"/>
      <c r="M2397" s="99" t="n"/>
      <c r="N2397" s="100" t="n"/>
      <c r="O2397" s="98" t="n"/>
      <c r="P2397" s="99" t="n"/>
      <c r="Q2397" s="99" t="n"/>
      <c r="R2397" s="100" t="n"/>
      <c r="S2397" s="98" t="n"/>
      <c r="T2397" s="99" t="n"/>
      <c r="U2397" s="99" t="n"/>
      <c r="V2397" s="100" t="n"/>
      <c r="W2397" s="98" t="n"/>
      <c r="X2397" s="100" t="n"/>
      <c r="Y2397" s="98" t="n"/>
      <c r="Z2397" s="100" t="n"/>
      <c r="AB2397" s="101">
        <f>IF($B2397="","",(COUNTIF(C2358:E2375,$B2397)+COUNTIF(C2358:E2375,$B2397&amp;" ~*")&gt;0)+(COUNTIF(G2358:I2375,$B2397)+COUNTIF(G2358:I2375,$B2397&amp;" ~*")&gt;0)+(COUNTIF(K2358:M2375,$B2397)+COUNTIF(K2358:M2375,$B2397&amp;" ~*")&gt;0)+(COUNTIF(O2358:Q2375,$B2397)+COUNTIF(O2358:Q2375,$B2397&amp;" ~*")&gt;0)+(COUNTIF(S2358:U2375,$B2397)+COUNTIF(S2358:U2375,$B2397&amp;" ~*")&gt;0)+(COUNTIF(W2358:W2375,$B2397)+COUNTIF(W2358:W2375,$B2397&amp;" ~*")&gt;0)+(COUNTIF(Y2358:Y2375,$B2397)+COUNTIF(Y2358:Y2375,$B2397&amp;" ~*")&gt;0))</f>
        <v/>
      </c>
      <c r="AC2397" s="36">
        <f>IF($B2397="","",(IFERROR(INDEX(Setup!$G$33:$G$40,MATCH(C2397,Setup!$B$33:$B$40,0)),0)=1)*(COUNTIF(C2358:E2375,$B2397)+COUNTIF(C2358:E2375,$B2397&amp;" ~*")&gt;0)+(IFERROR(INDEX(Setup!$G$33:$G$40,MATCH(G2397,Setup!$B$33:$B$40,0)),0)=1)*(COUNTIF(G2358:I2375,$B2397)+COUNTIF(G2358:I2375,$B2397&amp;" ~*")&gt;0)+(IFERROR(INDEX(Setup!$G$33:$G$40,MATCH(K2397,Setup!$B$33:$B$40,0)),0)=1)*(COUNTIF(K2358:M2375,$B2397)+COUNTIF(K2358:M2375,$B2397&amp;" ~*")&gt;0)+(IFERROR(INDEX(Setup!$G$33:$G$40,MATCH(O2397,Setup!$B$33:$B$40,0)),0)=1)*(COUNTIF(O2358:Q2375,$B2397)+COUNTIF(O2358:Q2375,$B2397&amp;" ~*")&gt;0)+(IFERROR(INDEX(Setup!$G$33:$G$40,MATCH(S2397,Setup!$B$33:$B$40,0)),0)=1)*(COUNTIF(S2358:U2375,$B2397)+COUNTIF(S2358:U2375,$B2397&amp;" ~*")&gt;0)+(IFERROR(INDEX(Setup!$G$33:$G$40,MATCH(W2397,Setup!$B$33:$B$40,0)),0)=1)*(COUNTIF(W2358:W2375,$B2397)+COUNTIF(W2358:W2375,$B2397&amp;" ~*")&gt;0)+(IFERROR(INDEX(Setup!$G$33:$G$40,MATCH(Y2397,Setup!$B$33:$B$40,0)),0)=1)*(COUNTIF(Y2358:Y2375,$B2397)+COUNTIF(Y2358:Y2375,$B2397&amp;" ~*")&gt;0))</f>
        <v/>
      </c>
    </row>
    <row r="2398" ht="15" customHeight="1">
      <c r="A2398" t="n">
        <v>48</v>
      </c>
      <c r="B2398" s="37">
        <f>IF(Setup!$B$27="","",Setup!$B$27)</f>
        <v/>
      </c>
      <c r="C2398" s="102" t="n"/>
      <c r="D2398" s="103" t="n"/>
      <c r="E2398" s="103" t="n"/>
      <c r="F2398" s="104" t="n"/>
      <c r="G2398" s="102" t="n"/>
      <c r="H2398" s="103" t="n"/>
      <c r="I2398" s="103" t="n"/>
      <c r="J2398" s="104" t="n"/>
      <c r="K2398" s="102" t="n"/>
      <c r="L2398" s="103" t="n"/>
      <c r="M2398" s="103" t="n"/>
      <c r="N2398" s="104" t="n"/>
      <c r="O2398" s="102" t="n"/>
      <c r="P2398" s="103" t="n"/>
      <c r="Q2398" s="103" t="n"/>
      <c r="R2398" s="104" t="n"/>
      <c r="S2398" s="102" t="n"/>
      <c r="T2398" s="103" t="n"/>
      <c r="U2398" s="103" t="n"/>
      <c r="V2398" s="104" t="n"/>
      <c r="W2398" s="102" t="n"/>
      <c r="X2398" s="104" t="n"/>
      <c r="Y2398" s="102" t="n"/>
      <c r="Z2398" s="104" t="n"/>
      <c r="AB2398" s="105">
        <f>IF($B2398="","",(COUNTIF(C2358:E2375,$B2398)+COUNTIF(C2358:E2375,$B2398&amp;" ~*")&gt;0)+(COUNTIF(G2358:I2375,$B2398)+COUNTIF(G2358:I2375,$B2398&amp;" ~*")&gt;0)+(COUNTIF(K2358:M2375,$B2398)+COUNTIF(K2358:M2375,$B2398&amp;" ~*")&gt;0)+(COUNTIF(O2358:Q2375,$B2398)+COUNTIF(O2358:Q2375,$B2398&amp;" ~*")&gt;0)+(COUNTIF(S2358:U2375,$B2398)+COUNTIF(S2358:U2375,$B2398&amp;" ~*")&gt;0)+(COUNTIF(W2358:W2375,$B2398)+COUNTIF(W2358:W2375,$B2398&amp;" ~*")&gt;0)+(COUNTIF(Y2358:Y2375,$B2398)+COUNTIF(Y2358:Y2375,$B2398&amp;" ~*")&gt;0))</f>
        <v/>
      </c>
      <c r="AC2398" s="38">
        <f>IF($B2398="","",(IFERROR(INDEX(Setup!$G$33:$G$40,MATCH(C2398,Setup!$B$33:$B$40,0)),0)=1)*(COUNTIF(C2358:E2375,$B2398)+COUNTIF(C2358:E2375,$B2398&amp;" ~*")&gt;0)+(IFERROR(INDEX(Setup!$G$33:$G$40,MATCH(G2398,Setup!$B$33:$B$40,0)),0)=1)*(COUNTIF(G2358:I2375,$B2398)+COUNTIF(G2358:I2375,$B2398&amp;" ~*")&gt;0)+(IFERROR(INDEX(Setup!$G$33:$G$40,MATCH(K2398,Setup!$B$33:$B$40,0)),0)=1)*(COUNTIF(K2358:M2375,$B2398)+COUNTIF(K2358:M2375,$B2398&amp;" ~*")&gt;0)+(IFERROR(INDEX(Setup!$G$33:$G$40,MATCH(O2398,Setup!$B$33:$B$40,0)),0)=1)*(COUNTIF(O2358:Q2375,$B2398)+COUNTIF(O2358:Q2375,$B2398&amp;" ~*")&gt;0)+(IFERROR(INDEX(Setup!$G$33:$G$40,MATCH(S2398,Setup!$B$33:$B$40,0)),0)=1)*(COUNTIF(S2358:U2375,$B2398)+COUNTIF(S2358:U2375,$B2398&amp;" ~*")&gt;0)+(IFERROR(INDEX(Setup!$G$33:$G$40,MATCH(W2398,Setup!$B$33:$B$40,0)),0)=1)*(COUNTIF(W2358:W2375,$B2398)+COUNTIF(W2358:W2375,$B2398&amp;" ~*")&gt;0)+(IFERROR(INDEX(Setup!$G$33:$G$40,MATCH(Y2398,Setup!$B$33:$B$40,0)),0)=1)*(COUNTIF(Y2358:Y2375,$B2398)+COUNTIF(Y2358:Y2375,$B2398&amp;" ~*")&gt;0))</f>
        <v/>
      </c>
    </row>
    <row r="2399" ht="15" customHeight="1">
      <c r="A2399" t="n">
        <v>48</v>
      </c>
      <c r="B2399" s="35">
        <f>IF(Setup!$B$28="","",Setup!$B$28)</f>
        <v/>
      </c>
      <c r="C2399" s="98" t="n"/>
      <c r="D2399" s="99" t="n"/>
      <c r="E2399" s="99" t="n"/>
      <c r="F2399" s="100" t="n"/>
      <c r="G2399" s="98" t="n"/>
      <c r="H2399" s="99" t="n"/>
      <c r="I2399" s="99" t="n"/>
      <c r="J2399" s="100" t="n"/>
      <c r="K2399" s="98" t="n"/>
      <c r="L2399" s="99" t="n"/>
      <c r="M2399" s="99" t="n"/>
      <c r="N2399" s="100" t="n"/>
      <c r="O2399" s="98" t="n"/>
      <c r="P2399" s="99" t="n"/>
      <c r="Q2399" s="99" t="n"/>
      <c r="R2399" s="100" t="n"/>
      <c r="S2399" s="98" t="n"/>
      <c r="T2399" s="99" t="n"/>
      <c r="U2399" s="99" t="n"/>
      <c r="V2399" s="100" t="n"/>
      <c r="W2399" s="98" t="n"/>
      <c r="X2399" s="100" t="n"/>
      <c r="Y2399" s="98" t="n"/>
      <c r="Z2399" s="100" t="n"/>
      <c r="AB2399" s="101">
        <f>IF($B2399="","",(COUNTIF(C2358:E2375,$B2399)+COUNTIF(C2358:E2375,$B2399&amp;" ~*")&gt;0)+(COUNTIF(G2358:I2375,$B2399)+COUNTIF(G2358:I2375,$B2399&amp;" ~*")&gt;0)+(COUNTIF(K2358:M2375,$B2399)+COUNTIF(K2358:M2375,$B2399&amp;" ~*")&gt;0)+(COUNTIF(O2358:Q2375,$B2399)+COUNTIF(O2358:Q2375,$B2399&amp;" ~*")&gt;0)+(COUNTIF(S2358:U2375,$B2399)+COUNTIF(S2358:U2375,$B2399&amp;" ~*")&gt;0)+(COUNTIF(W2358:W2375,$B2399)+COUNTIF(W2358:W2375,$B2399&amp;" ~*")&gt;0)+(COUNTIF(Y2358:Y2375,$B2399)+COUNTIF(Y2358:Y2375,$B2399&amp;" ~*")&gt;0))</f>
        <v/>
      </c>
      <c r="AC2399" s="36">
        <f>IF($B2399="","",(IFERROR(INDEX(Setup!$G$33:$G$40,MATCH(C2399,Setup!$B$33:$B$40,0)),0)=1)*(COUNTIF(C2358:E2375,$B2399)+COUNTIF(C2358:E2375,$B2399&amp;" ~*")&gt;0)+(IFERROR(INDEX(Setup!$G$33:$G$40,MATCH(G2399,Setup!$B$33:$B$40,0)),0)=1)*(COUNTIF(G2358:I2375,$B2399)+COUNTIF(G2358:I2375,$B2399&amp;" ~*")&gt;0)+(IFERROR(INDEX(Setup!$G$33:$G$40,MATCH(K2399,Setup!$B$33:$B$40,0)),0)=1)*(COUNTIF(K2358:M2375,$B2399)+COUNTIF(K2358:M2375,$B2399&amp;" ~*")&gt;0)+(IFERROR(INDEX(Setup!$G$33:$G$40,MATCH(O2399,Setup!$B$33:$B$40,0)),0)=1)*(COUNTIF(O2358:Q2375,$B2399)+COUNTIF(O2358:Q2375,$B2399&amp;" ~*")&gt;0)+(IFERROR(INDEX(Setup!$G$33:$G$40,MATCH(S2399,Setup!$B$33:$B$40,0)),0)=1)*(COUNTIF(S2358:U2375,$B2399)+COUNTIF(S2358:U2375,$B2399&amp;" ~*")&gt;0)+(IFERROR(INDEX(Setup!$G$33:$G$40,MATCH(W2399,Setup!$B$33:$B$40,0)),0)=1)*(COUNTIF(W2358:W2375,$B2399)+COUNTIF(W2358:W2375,$B2399&amp;" ~*")&gt;0)+(IFERROR(INDEX(Setup!$G$33:$G$40,MATCH(Y2399,Setup!$B$33:$B$40,0)),0)=1)*(COUNTIF(Y2358:Y2375,$B2399)+COUNTIF(Y2358:Y2375,$B2399&amp;" ~*")&gt;0))</f>
        <v/>
      </c>
    </row>
    <row r="2400" ht="15" customHeight="1">
      <c r="A2400" t="n">
        <v>48</v>
      </c>
      <c r="B2400" s="37">
        <f>IF(Setup!$B$29="","",Setup!$B$29)</f>
        <v/>
      </c>
      <c r="C2400" s="102" t="n"/>
      <c r="D2400" s="103" t="n"/>
      <c r="E2400" s="103" t="n"/>
      <c r="F2400" s="104" t="n"/>
      <c r="G2400" s="102" t="n"/>
      <c r="H2400" s="103" t="n"/>
      <c r="I2400" s="103" t="n"/>
      <c r="J2400" s="104" t="n"/>
      <c r="K2400" s="102" t="n"/>
      <c r="L2400" s="103" t="n"/>
      <c r="M2400" s="103" t="n"/>
      <c r="N2400" s="104" t="n"/>
      <c r="O2400" s="102" t="n"/>
      <c r="P2400" s="103" t="n"/>
      <c r="Q2400" s="103" t="n"/>
      <c r="R2400" s="104" t="n"/>
      <c r="S2400" s="102" t="n"/>
      <c r="T2400" s="103" t="n"/>
      <c r="U2400" s="103" t="n"/>
      <c r="V2400" s="104" t="n"/>
      <c r="W2400" s="102" t="n"/>
      <c r="X2400" s="104" t="n"/>
      <c r="Y2400" s="102" t="n"/>
      <c r="Z2400" s="104" t="n"/>
      <c r="AB2400" s="105">
        <f>IF($B2400="","",(COUNTIF(C2358:E2375,$B2400)+COUNTIF(C2358:E2375,$B2400&amp;" ~*")&gt;0)+(COUNTIF(G2358:I2375,$B2400)+COUNTIF(G2358:I2375,$B2400&amp;" ~*")&gt;0)+(COUNTIF(K2358:M2375,$B2400)+COUNTIF(K2358:M2375,$B2400&amp;" ~*")&gt;0)+(COUNTIF(O2358:Q2375,$B2400)+COUNTIF(O2358:Q2375,$B2400&amp;" ~*")&gt;0)+(COUNTIF(S2358:U2375,$B2400)+COUNTIF(S2358:U2375,$B2400&amp;" ~*")&gt;0)+(COUNTIF(W2358:W2375,$B2400)+COUNTIF(W2358:W2375,$B2400&amp;" ~*")&gt;0)+(COUNTIF(Y2358:Y2375,$B2400)+COUNTIF(Y2358:Y2375,$B2400&amp;" ~*")&gt;0))</f>
        <v/>
      </c>
      <c r="AC2400" s="38">
        <f>IF($B2400="","",(IFERROR(INDEX(Setup!$G$33:$G$40,MATCH(C2400,Setup!$B$33:$B$40,0)),0)=1)*(COUNTIF(C2358:E2375,$B2400)+COUNTIF(C2358:E2375,$B2400&amp;" ~*")&gt;0)+(IFERROR(INDEX(Setup!$G$33:$G$40,MATCH(G2400,Setup!$B$33:$B$40,0)),0)=1)*(COUNTIF(G2358:I2375,$B2400)+COUNTIF(G2358:I2375,$B2400&amp;" ~*")&gt;0)+(IFERROR(INDEX(Setup!$G$33:$G$40,MATCH(K2400,Setup!$B$33:$B$40,0)),0)=1)*(COUNTIF(K2358:M2375,$B2400)+COUNTIF(K2358:M2375,$B2400&amp;" ~*")&gt;0)+(IFERROR(INDEX(Setup!$G$33:$G$40,MATCH(O2400,Setup!$B$33:$B$40,0)),0)=1)*(COUNTIF(O2358:Q2375,$B2400)+COUNTIF(O2358:Q2375,$B2400&amp;" ~*")&gt;0)+(IFERROR(INDEX(Setup!$G$33:$G$40,MATCH(S2400,Setup!$B$33:$B$40,0)),0)=1)*(COUNTIF(S2358:U2375,$B2400)+COUNTIF(S2358:U2375,$B2400&amp;" ~*")&gt;0)+(IFERROR(INDEX(Setup!$G$33:$G$40,MATCH(W2400,Setup!$B$33:$B$40,0)),0)=1)*(COUNTIF(W2358:W2375,$B2400)+COUNTIF(W2358:W2375,$B2400&amp;" ~*")&gt;0)+(IFERROR(INDEX(Setup!$G$33:$G$40,MATCH(Y2400,Setup!$B$33:$B$40,0)),0)=1)*(COUNTIF(Y2358:Y2375,$B2400)+COUNTIF(Y2358:Y2375,$B2400&amp;" ~*")&gt;0))</f>
        <v/>
      </c>
    </row>
    <row r="2401" ht="16" customHeight="1">
      <c r="A2401" t="n">
        <v>48</v>
      </c>
      <c r="B2401" s="106" t="inlineStr">
        <is>
          <t>Available people</t>
        </is>
      </c>
      <c r="C2401" s="107">
        <f>COUNTIFS(Setup!$E$6:$E$29,"Y",Setup!$B$6:$B$29,"?*")-SUMPRODUCT(COUNTIF(C2377:C2400,Setup!$F$33:$F$40))</f>
        <v/>
      </c>
      <c r="D2401" s="107" t="n"/>
      <c r="E2401" s="107" t="n"/>
      <c r="F2401" s="107" t="n"/>
      <c r="G2401" s="107">
        <f>COUNTIFS(Setup!$E$6:$E$29,"Y",Setup!$B$6:$B$29,"?*")-SUMPRODUCT(COUNTIF(G2377:G2400,Setup!$F$33:$F$40))</f>
        <v/>
      </c>
      <c r="H2401" s="107" t="n"/>
      <c r="I2401" s="107" t="n"/>
      <c r="J2401" s="107" t="n"/>
      <c r="K2401" s="107">
        <f>COUNTIFS(Setup!$E$6:$E$29,"Y",Setup!$B$6:$B$29,"?*")-SUMPRODUCT(COUNTIF(K2377:K2400,Setup!$F$33:$F$40))</f>
        <v/>
      </c>
      <c r="L2401" s="107" t="n"/>
      <c r="M2401" s="107" t="n"/>
      <c r="N2401" s="107" t="n"/>
      <c r="O2401" s="107">
        <f>COUNTIFS(Setup!$E$6:$E$29,"Y",Setup!$B$6:$B$29,"?*")-SUMPRODUCT(COUNTIF(O2377:O2400,Setup!$F$33:$F$40))</f>
        <v/>
      </c>
      <c r="P2401" s="107" t="n"/>
      <c r="Q2401" s="107" t="n"/>
      <c r="R2401" s="107" t="n"/>
      <c r="S2401" s="107">
        <f>COUNTIFS(Setup!$E$6:$E$29,"Y",Setup!$B$6:$B$29,"?*")-SUMPRODUCT(COUNTIF(S2377:S2400,Setup!$F$33:$F$40))</f>
        <v/>
      </c>
      <c r="T2401" s="107" t="n"/>
      <c r="U2401" s="107" t="n"/>
      <c r="V2401" s="107" t="n"/>
      <c r="W2401" s="107">
        <f>COUNTIFS(Setup!$E$6:$E$29,"Y",Setup!$B$6:$B$29,"?*")-SUMPRODUCT(COUNTIF(W2377:W2400,Setup!$F$33:$F$40))</f>
        <v/>
      </c>
      <c r="X2401" s="107" t="n"/>
      <c r="Y2401" s="107">
        <f>COUNTIFS(Setup!$E$6:$E$29,"Y",Setup!$B$6:$B$29,"?*")-SUMPRODUCT(COUNTIF(Y2377:Y2400,Setup!$F$33:$F$40))</f>
        <v/>
      </c>
      <c r="Z2401" s="107" t="n"/>
      <c r="AB2401" s="108">
        <f>SUM(AB2377:AB2400)</f>
        <v/>
      </c>
      <c r="AC2401" s="109">
        <f>SUM(AC2377:AC2400)</f>
        <v/>
      </c>
    </row>
    <row r="2402" ht="30" customHeight="1">
      <c r="A2402" t="n">
        <v>48</v>
      </c>
      <c r="B2402" s="110" t="inlineStr">
        <is>
          <t>Week notes</t>
        </is>
      </c>
      <c r="C2402" s="111" t="n"/>
      <c r="D2402" s="112" t="n"/>
      <c r="E2402" s="112" t="n"/>
      <c r="F2402" s="112" t="n"/>
      <c r="G2402" s="112" t="n"/>
      <c r="H2402" s="112" t="n"/>
      <c r="I2402" s="112" t="n"/>
      <c r="J2402" s="112" t="n"/>
      <c r="K2402" s="112" t="n"/>
      <c r="L2402" s="112" t="n"/>
      <c r="M2402" s="112" t="n"/>
      <c r="N2402" s="112" t="n"/>
      <c r="O2402" s="112" t="n"/>
      <c r="P2402" s="112" t="n"/>
      <c r="Q2402" s="112" t="n"/>
      <c r="R2402" s="112" t="n"/>
      <c r="S2402" s="112" t="n"/>
      <c r="T2402" s="112" t="n"/>
      <c r="U2402" s="112" t="n"/>
      <c r="V2402" s="112" t="n"/>
      <c r="W2402" s="112" t="n"/>
      <c r="X2402" s="112" t="n"/>
      <c r="Y2402" s="112" t="n"/>
      <c r="Z2402" s="113" t="n"/>
    </row>
    <row r="2403" ht="8" customHeight="1">
      <c r="A2403" t="n">
        <v>48</v>
      </c>
    </row>
    <row r="2404" ht="8" customHeight="1">
      <c r="A2404" t="n">
        <v>48</v>
      </c>
    </row>
    <row r="2405" ht="24" customHeight="1">
      <c r="A2405" t="n">
        <v>49</v>
      </c>
      <c r="B2405" s="73">
        <f>"WEEK 49     "&amp;TEXT(C2406,"ddd d mmm")&amp;"  –  "&amp;TEXT(C2406+6,"ddd d mmm yyyy")</f>
        <v/>
      </c>
      <c r="S2405" s="74">
        <f>IF(TODAY()&lt;C2406,"FUTURE",IF(TODAY()&gt;C2406+6,"PAST","THIS WEEK"))</f>
        <v/>
      </c>
      <c r="W2405" s="75">
        <f>IF(AND(Engine!$B$8=$AC$3,Engine!$B$9=$A2405),"◀ ACTIVE WEEK","")</f>
        <v/>
      </c>
      <c r="AA2405" s="76" t="n"/>
      <c r="AB2405" s="77" t="inlineStr">
        <is>
          <t>◀ Prev</t>
        </is>
      </c>
      <c r="AC2405" s="77" t="inlineStr">
        <is>
          <t>Next ▶</t>
        </is>
      </c>
    </row>
    <row r="2406" ht="18" customHeight="1">
      <c r="A2406" t="n">
        <v>49</v>
      </c>
      <c r="B2406" s="78" t="inlineStr">
        <is>
          <t>DUTY</t>
        </is>
      </c>
      <c r="C2406" s="79">
        <f>$AC$2+7*($A2406-1)</f>
        <v/>
      </c>
      <c r="D2406" s="80" t="n"/>
      <c r="E2406" s="80" t="n"/>
      <c r="F2406" s="81" t="n"/>
      <c r="G2406" s="79">
        <f>C2406+1</f>
        <v/>
      </c>
      <c r="H2406" s="80" t="n"/>
      <c r="I2406" s="80" t="n"/>
      <c r="J2406" s="81" t="n"/>
      <c r="K2406" s="79">
        <f>C2406+2</f>
        <v/>
      </c>
      <c r="L2406" s="80" t="n"/>
      <c r="M2406" s="80" t="n"/>
      <c r="N2406" s="81" t="n"/>
      <c r="O2406" s="79">
        <f>C2406+3</f>
        <v/>
      </c>
      <c r="P2406" s="80" t="n"/>
      <c r="Q2406" s="80" t="n"/>
      <c r="R2406" s="81" t="n"/>
      <c r="S2406" s="79">
        <f>C2406+4</f>
        <v/>
      </c>
      <c r="T2406" s="80" t="n"/>
      <c r="U2406" s="80" t="n"/>
      <c r="V2406" s="81" t="n"/>
      <c r="W2406" s="82">
        <f>C2406+5</f>
        <v/>
      </c>
      <c r="X2406" s="83" t="n"/>
      <c r="Y2406" s="82">
        <f>C2406+6</f>
        <v/>
      </c>
      <c r="Z2406" s="83" t="n"/>
      <c r="AB2406" s="72" t="inlineStr">
        <is>
          <t>Gaps</t>
        </is>
      </c>
      <c r="AC2406" s="72" t="inlineStr">
        <is>
          <t>Cover</t>
        </is>
      </c>
    </row>
    <row r="2407" ht="14" customHeight="1">
      <c r="A2407" t="n">
        <v>49</v>
      </c>
      <c r="B2407" s="84" t="inlineStr">
        <is>
          <t>(from Setup)</t>
        </is>
      </c>
      <c r="C2407" s="85" t="inlineStr">
        <is>
          <t>1</t>
        </is>
      </c>
      <c r="D2407" s="85" t="inlineStr">
        <is>
          <t>2</t>
        </is>
      </c>
      <c r="E2407" s="85" t="inlineStr">
        <is>
          <t>3</t>
        </is>
      </c>
      <c r="F2407" s="85" t="inlineStr">
        <is>
          <t>Notes</t>
        </is>
      </c>
      <c r="G2407" s="85" t="inlineStr">
        <is>
          <t>1</t>
        </is>
      </c>
      <c r="H2407" s="85" t="inlineStr">
        <is>
          <t>2</t>
        </is>
      </c>
      <c r="I2407" s="85" t="inlineStr">
        <is>
          <t>3</t>
        </is>
      </c>
      <c r="J2407" s="85" t="inlineStr">
        <is>
          <t>Notes</t>
        </is>
      </c>
      <c r="K2407" s="85" t="inlineStr">
        <is>
          <t>1</t>
        </is>
      </c>
      <c r="L2407" s="85" t="inlineStr">
        <is>
          <t>2</t>
        </is>
      </c>
      <c r="M2407" s="85" t="inlineStr">
        <is>
          <t>3</t>
        </is>
      </c>
      <c r="N2407" s="85" t="inlineStr">
        <is>
          <t>Notes</t>
        </is>
      </c>
      <c r="O2407" s="85" t="inlineStr">
        <is>
          <t>1</t>
        </is>
      </c>
      <c r="P2407" s="85" t="inlineStr">
        <is>
          <t>2</t>
        </is>
      </c>
      <c r="Q2407" s="85" t="inlineStr">
        <is>
          <t>3</t>
        </is>
      </c>
      <c r="R2407" s="85" t="inlineStr">
        <is>
          <t>Notes</t>
        </is>
      </c>
      <c r="S2407" s="85" t="inlineStr">
        <is>
          <t>1</t>
        </is>
      </c>
      <c r="T2407" s="85" t="inlineStr">
        <is>
          <t>2</t>
        </is>
      </c>
      <c r="U2407" s="85" t="inlineStr">
        <is>
          <t>3</t>
        </is>
      </c>
      <c r="V2407" s="85" t="inlineStr">
        <is>
          <t>Notes</t>
        </is>
      </c>
      <c r="W2407" s="85" t="inlineStr">
        <is>
          <t>Cover</t>
        </is>
      </c>
      <c r="X2407" s="85" t="inlineStr">
        <is>
          <t>Notes</t>
        </is>
      </c>
      <c r="Y2407" s="85" t="inlineStr">
        <is>
          <t>Cover</t>
        </is>
      </c>
      <c r="Z2407" s="85" t="inlineStr">
        <is>
          <t>Notes</t>
        </is>
      </c>
      <c r="AB2407" s="86" t="inlineStr">
        <is>
          <t>weekdays short</t>
        </is>
      </c>
      <c r="AC2407" s="87" t="inlineStr"/>
    </row>
    <row r="2408" ht="17" customHeight="1">
      <c r="A2408" t="n">
        <v>49</v>
      </c>
      <c r="B2408" s="24">
        <f>IF(Setup!$K$6="","",Setup!$K$6)</f>
        <v/>
      </c>
      <c r="C2408" s="88" t="n"/>
      <c r="D2408" s="88" t="n"/>
      <c r="E2408" s="88" t="n"/>
      <c r="F2408" s="89" t="n"/>
      <c r="G2408" s="88" t="n"/>
      <c r="H2408" s="88" t="n"/>
      <c r="I2408" s="88" t="n"/>
      <c r="J2408" s="89" t="n"/>
      <c r="K2408" s="88" t="n"/>
      <c r="L2408" s="88" t="n"/>
      <c r="M2408" s="88" t="n"/>
      <c r="N2408" s="89" t="n"/>
      <c r="O2408" s="88" t="n"/>
      <c r="P2408" s="88" t="n"/>
      <c r="Q2408" s="88" t="n"/>
      <c r="R2408" s="89" t="n"/>
      <c r="S2408" s="88" t="n"/>
      <c r="T2408" s="88" t="n"/>
      <c r="U2408" s="88" t="n"/>
      <c r="V2408" s="89" t="n"/>
      <c r="W2408" s="88" t="n"/>
      <c r="X2408" s="89" t="n"/>
      <c r="Y2408" s="88" t="n"/>
      <c r="Z2408" s="89" t="n"/>
      <c r="AB2408" s="25">
        <f>IF($B2408="","",(COUNTIF(C2408:E2408,"?*")&lt;N(INDEX(Setup!$L$6:$L$23,1)))+(COUNTIF(G2408:I2408,"?*")&lt;N(INDEX(Setup!$L$6:$L$23,1)))+(COUNTIF(K2408:M2408,"?*")&lt;N(INDEX(Setup!$L$6:$L$23,1)))+(COUNTIF(O2408:Q2408,"?*")&lt;N(INDEX(Setup!$L$6:$L$23,1)))+(COUNTIF(S2408:U2408,"?*")&lt;N(INDEX(Setup!$L$6:$L$23,1)))+((W2408="")*(INDEX(Setup!$M$6:$M$23,1)="Y"))+((Y2408="")*(INDEX(Setup!$M$6:$M$23,1)="Y")))</f>
        <v/>
      </c>
      <c r="AC2408" s="90">
        <f>IF($B2408="","",IF(AB2408=0,"✓ covered","⚠ "&amp;AB2408&amp;IF(AB2408=1," gap"," gaps")))</f>
        <v/>
      </c>
    </row>
    <row r="2409" ht="17" customHeight="1">
      <c r="A2409" t="n">
        <v>49</v>
      </c>
      <c r="B2409" s="29">
        <f>IF(Setup!$K$7="","",Setup!$K$7)</f>
        <v/>
      </c>
      <c r="C2409" s="88" t="n"/>
      <c r="D2409" s="88" t="n"/>
      <c r="E2409" s="88" t="n"/>
      <c r="F2409" s="89" t="n"/>
      <c r="G2409" s="88" t="n"/>
      <c r="H2409" s="88" t="n"/>
      <c r="I2409" s="88" t="n"/>
      <c r="J2409" s="89" t="n"/>
      <c r="K2409" s="88" t="n"/>
      <c r="L2409" s="88" t="n"/>
      <c r="M2409" s="88" t="n"/>
      <c r="N2409" s="89" t="n"/>
      <c r="O2409" s="88" t="n"/>
      <c r="P2409" s="88" t="n"/>
      <c r="Q2409" s="88" t="n"/>
      <c r="R2409" s="89" t="n"/>
      <c r="S2409" s="88" t="n"/>
      <c r="T2409" s="88" t="n"/>
      <c r="U2409" s="88" t="n"/>
      <c r="V2409" s="89" t="n"/>
      <c r="W2409" s="88" t="n"/>
      <c r="X2409" s="89" t="n"/>
      <c r="Y2409" s="88" t="n"/>
      <c r="Z2409" s="89" t="n"/>
      <c r="AB2409" s="30">
        <f>IF($B2409="","",(COUNTIF(C2409:E2409,"?*")&lt;N(INDEX(Setup!$L$6:$L$23,2)))+(COUNTIF(G2409:I2409,"?*")&lt;N(INDEX(Setup!$L$6:$L$23,2)))+(COUNTIF(K2409:M2409,"?*")&lt;N(INDEX(Setup!$L$6:$L$23,2)))+(COUNTIF(O2409:Q2409,"?*")&lt;N(INDEX(Setup!$L$6:$L$23,2)))+(COUNTIF(S2409:U2409,"?*")&lt;N(INDEX(Setup!$L$6:$L$23,2)))+((W2409="")*(INDEX(Setup!$M$6:$M$23,2)="Y"))+((Y2409="")*(INDEX(Setup!$M$6:$M$23,2)="Y")))</f>
        <v/>
      </c>
      <c r="AC2409" s="91">
        <f>IF($B2409="","",IF(AB2409=0,"✓ covered","⚠ "&amp;AB2409&amp;IF(AB2409=1," gap"," gaps")))</f>
        <v/>
      </c>
    </row>
    <row r="2410" ht="17" customHeight="1">
      <c r="A2410" t="n">
        <v>49</v>
      </c>
      <c r="B2410" s="24">
        <f>IF(Setup!$K$8="","",Setup!$K$8)</f>
        <v/>
      </c>
      <c r="C2410" s="88" t="n"/>
      <c r="D2410" s="88" t="n"/>
      <c r="E2410" s="88" t="n"/>
      <c r="F2410" s="89" t="n"/>
      <c r="G2410" s="88" t="n"/>
      <c r="H2410" s="88" t="n"/>
      <c r="I2410" s="88" t="n"/>
      <c r="J2410" s="89" t="n"/>
      <c r="K2410" s="88" t="n"/>
      <c r="L2410" s="88" t="n"/>
      <c r="M2410" s="88" t="n"/>
      <c r="N2410" s="89" t="n"/>
      <c r="O2410" s="88" t="n"/>
      <c r="P2410" s="88" t="n"/>
      <c r="Q2410" s="88" t="n"/>
      <c r="R2410" s="89" t="n"/>
      <c r="S2410" s="88" t="n"/>
      <c r="T2410" s="88" t="n"/>
      <c r="U2410" s="88" t="n"/>
      <c r="V2410" s="89" t="n"/>
      <c r="W2410" s="88" t="n"/>
      <c r="X2410" s="89" t="n"/>
      <c r="Y2410" s="88" t="n"/>
      <c r="Z2410" s="89" t="n"/>
      <c r="AB2410" s="25">
        <f>IF($B2410="","",(COUNTIF(C2410:E2410,"?*")&lt;N(INDEX(Setup!$L$6:$L$23,3)))+(COUNTIF(G2410:I2410,"?*")&lt;N(INDEX(Setup!$L$6:$L$23,3)))+(COUNTIF(K2410:M2410,"?*")&lt;N(INDEX(Setup!$L$6:$L$23,3)))+(COUNTIF(O2410:Q2410,"?*")&lt;N(INDEX(Setup!$L$6:$L$23,3)))+(COUNTIF(S2410:U2410,"?*")&lt;N(INDEX(Setup!$L$6:$L$23,3)))+((W2410="")*(INDEX(Setup!$M$6:$M$23,3)="Y"))+((Y2410="")*(INDEX(Setup!$M$6:$M$23,3)="Y")))</f>
        <v/>
      </c>
      <c r="AC2410" s="90">
        <f>IF($B2410="","",IF(AB2410=0,"✓ covered","⚠ "&amp;AB2410&amp;IF(AB2410=1," gap"," gaps")))</f>
        <v/>
      </c>
    </row>
    <row r="2411" ht="17" customHeight="1">
      <c r="A2411" t="n">
        <v>49</v>
      </c>
      <c r="B2411" s="29">
        <f>IF(Setup!$K$9="","",Setup!$K$9)</f>
        <v/>
      </c>
      <c r="C2411" s="88" t="n"/>
      <c r="D2411" s="88" t="n"/>
      <c r="E2411" s="88" t="n"/>
      <c r="F2411" s="89" t="n"/>
      <c r="G2411" s="88" t="n"/>
      <c r="H2411" s="88" t="n"/>
      <c r="I2411" s="88" t="n"/>
      <c r="J2411" s="89" t="n"/>
      <c r="K2411" s="88" t="n"/>
      <c r="L2411" s="88" t="n"/>
      <c r="M2411" s="88" t="n"/>
      <c r="N2411" s="89" t="n"/>
      <c r="O2411" s="88" t="n"/>
      <c r="P2411" s="88" t="n"/>
      <c r="Q2411" s="88" t="n"/>
      <c r="R2411" s="89" t="n"/>
      <c r="S2411" s="88" t="n"/>
      <c r="T2411" s="88" t="n"/>
      <c r="U2411" s="88" t="n"/>
      <c r="V2411" s="89" t="n"/>
      <c r="W2411" s="88" t="n"/>
      <c r="X2411" s="89" t="n"/>
      <c r="Y2411" s="88" t="n"/>
      <c r="Z2411" s="89" t="n"/>
      <c r="AB2411" s="30">
        <f>IF($B2411="","",(COUNTIF(C2411:E2411,"?*")&lt;N(INDEX(Setup!$L$6:$L$23,4)))+(COUNTIF(G2411:I2411,"?*")&lt;N(INDEX(Setup!$L$6:$L$23,4)))+(COUNTIF(K2411:M2411,"?*")&lt;N(INDEX(Setup!$L$6:$L$23,4)))+(COUNTIF(O2411:Q2411,"?*")&lt;N(INDEX(Setup!$L$6:$L$23,4)))+(COUNTIF(S2411:U2411,"?*")&lt;N(INDEX(Setup!$L$6:$L$23,4)))+((W2411="")*(INDEX(Setup!$M$6:$M$23,4)="Y"))+((Y2411="")*(INDEX(Setup!$M$6:$M$23,4)="Y")))</f>
        <v/>
      </c>
      <c r="AC2411" s="91">
        <f>IF($B2411="","",IF(AB2411=0,"✓ covered","⚠ "&amp;AB2411&amp;IF(AB2411=1," gap"," gaps")))</f>
        <v/>
      </c>
    </row>
    <row r="2412" ht="17" customHeight="1">
      <c r="A2412" t="n">
        <v>49</v>
      </c>
      <c r="B2412" s="24">
        <f>IF(Setup!$K$10="","",Setup!$K$10)</f>
        <v/>
      </c>
      <c r="C2412" s="88" t="n"/>
      <c r="D2412" s="88" t="n"/>
      <c r="E2412" s="88" t="n"/>
      <c r="F2412" s="89" t="n"/>
      <c r="G2412" s="88" t="n"/>
      <c r="H2412" s="88" t="n"/>
      <c r="I2412" s="88" t="n"/>
      <c r="J2412" s="89" t="n"/>
      <c r="K2412" s="88" t="n"/>
      <c r="L2412" s="88" t="n"/>
      <c r="M2412" s="88" t="n"/>
      <c r="N2412" s="89" t="n"/>
      <c r="O2412" s="88" t="n"/>
      <c r="P2412" s="88" t="n"/>
      <c r="Q2412" s="88" t="n"/>
      <c r="R2412" s="89" t="n"/>
      <c r="S2412" s="88" t="n"/>
      <c r="T2412" s="88" t="n"/>
      <c r="U2412" s="88" t="n"/>
      <c r="V2412" s="89" t="n"/>
      <c r="W2412" s="88" t="n"/>
      <c r="X2412" s="89" t="n"/>
      <c r="Y2412" s="88" t="n"/>
      <c r="Z2412" s="89" t="n"/>
      <c r="AB2412" s="25">
        <f>IF($B2412="","",(COUNTIF(C2412:E2412,"?*")&lt;N(INDEX(Setup!$L$6:$L$23,5)))+(COUNTIF(G2412:I2412,"?*")&lt;N(INDEX(Setup!$L$6:$L$23,5)))+(COUNTIF(K2412:M2412,"?*")&lt;N(INDEX(Setup!$L$6:$L$23,5)))+(COUNTIF(O2412:Q2412,"?*")&lt;N(INDEX(Setup!$L$6:$L$23,5)))+(COUNTIF(S2412:U2412,"?*")&lt;N(INDEX(Setup!$L$6:$L$23,5)))+((W2412="")*(INDEX(Setup!$M$6:$M$23,5)="Y"))+((Y2412="")*(INDEX(Setup!$M$6:$M$23,5)="Y")))</f>
        <v/>
      </c>
      <c r="AC2412" s="90">
        <f>IF($B2412="","",IF(AB2412=0,"✓ covered","⚠ "&amp;AB2412&amp;IF(AB2412=1," gap"," gaps")))</f>
        <v/>
      </c>
    </row>
    <row r="2413" ht="17" customHeight="1">
      <c r="A2413" t="n">
        <v>49</v>
      </c>
      <c r="B2413" s="29">
        <f>IF(Setup!$K$11="","",Setup!$K$11)</f>
        <v/>
      </c>
      <c r="C2413" s="88" t="n"/>
      <c r="D2413" s="88" t="n"/>
      <c r="E2413" s="88" t="n"/>
      <c r="F2413" s="89" t="n"/>
      <c r="G2413" s="88" t="n"/>
      <c r="H2413" s="88" t="n"/>
      <c r="I2413" s="88" t="n"/>
      <c r="J2413" s="89" t="n"/>
      <c r="K2413" s="88" t="n"/>
      <c r="L2413" s="88" t="n"/>
      <c r="M2413" s="88" t="n"/>
      <c r="N2413" s="89" t="n"/>
      <c r="O2413" s="88" t="n"/>
      <c r="P2413" s="88" t="n"/>
      <c r="Q2413" s="88" t="n"/>
      <c r="R2413" s="89" t="n"/>
      <c r="S2413" s="88" t="n"/>
      <c r="T2413" s="88" t="n"/>
      <c r="U2413" s="88" t="n"/>
      <c r="V2413" s="89" t="n"/>
      <c r="W2413" s="88" t="n"/>
      <c r="X2413" s="89" t="n"/>
      <c r="Y2413" s="88" t="n"/>
      <c r="Z2413" s="89" t="n"/>
      <c r="AB2413" s="30">
        <f>IF($B2413="","",(COUNTIF(C2413:E2413,"?*")&lt;N(INDEX(Setup!$L$6:$L$23,6)))+(COUNTIF(G2413:I2413,"?*")&lt;N(INDEX(Setup!$L$6:$L$23,6)))+(COUNTIF(K2413:M2413,"?*")&lt;N(INDEX(Setup!$L$6:$L$23,6)))+(COUNTIF(O2413:Q2413,"?*")&lt;N(INDEX(Setup!$L$6:$L$23,6)))+(COUNTIF(S2413:U2413,"?*")&lt;N(INDEX(Setup!$L$6:$L$23,6)))+((W2413="")*(INDEX(Setup!$M$6:$M$23,6)="Y"))+((Y2413="")*(INDEX(Setup!$M$6:$M$23,6)="Y")))</f>
        <v/>
      </c>
      <c r="AC2413" s="91">
        <f>IF($B2413="","",IF(AB2413=0,"✓ covered","⚠ "&amp;AB2413&amp;IF(AB2413=1," gap"," gaps")))</f>
        <v/>
      </c>
    </row>
    <row r="2414" ht="17" customHeight="1">
      <c r="A2414" t="n">
        <v>49</v>
      </c>
      <c r="B2414" s="24">
        <f>IF(Setup!$K$12="","",Setup!$K$12)</f>
        <v/>
      </c>
      <c r="C2414" s="88" t="n"/>
      <c r="D2414" s="88" t="n"/>
      <c r="E2414" s="88" t="n"/>
      <c r="F2414" s="89" t="n"/>
      <c r="G2414" s="88" t="n"/>
      <c r="H2414" s="88" t="n"/>
      <c r="I2414" s="88" t="n"/>
      <c r="J2414" s="89" t="n"/>
      <c r="K2414" s="88" t="n"/>
      <c r="L2414" s="88" t="n"/>
      <c r="M2414" s="88" t="n"/>
      <c r="N2414" s="89" t="n"/>
      <c r="O2414" s="88" t="n"/>
      <c r="P2414" s="88" t="n"/>
      <c r="Q2414" s="88" t="n"/>
      <c r="R2414" s="89" t="n"/>
      <c r="S2414" s="88" t="n"/>
      <c r="T2414" s="88" t="n"/>
      <c r="U2414" s="88" t="n"/>
      <c r="V2414" s="89" t="n"/>
      <c r="W2414" s="88" t="n"/>
      <c r="X2414" s="89" t="n"/>
      <c r="Y2414" s="88" t="n"/>
      <c r="Z2414" s="89" t="n"/>
      <c r="AB2414" s="25">
        <f>IF($B2414="","",(COUNTIF(C2414:E2414,"?*")&lt;N(INDEX(Setup!$L$6:$L$23,7)))+(COUNTIF(G2414:I2414,"?*")&lt;N(INDEX(Setup!$L$6:$L$23,7)))+(COUNTIF(K2414:M2414,"?*")&lt;N(INDEX(Setup!$L$6:$L$23,7)))+(COUNTIF(O2414:Q2414,"?*")&lt;N(INDEX(Setup!$L$6:$L$23,7)))+(COUNTIF(S2414:U2414,"?*")&lt;N(INDEX(Setup!$L$6:$L$23,7)))+((W2414="")*(INDEX(Setup!$M$6:$M$23,7)="Y"))+((Y2414="")*(INDEX(Setup!$M$6:$M$23,7)="Y")))</f>
        <v/>
      </c>
      <c r="AC2414" s="90">
        <f>IF($B2414="","",IF(AB2414=0,"✓ covered","⚠ "&amp;AB2414&amp;IF(AB2414=1," gap"," gaps")))</f>
        <v/>
      </c>
    </row>
    <row r="2415" ht="17" customHeight="1">
      <c r="A2415" t="n">
        <v>49</v>
      </c>
      <c r="B2415" s="29">
        <f>IF(Setup!$K$13="","",Setup!$K$13)</f>
        <v/>
      </c>
      <c r="C2415" s="88" t="n"/>
      <c r="D2415" s="88" t="n"/>
      <c r="E2415" s="88" t="n"/>
      <c r="F2415" s="89" t="n"/>
      <c r="G2415" s="88" t="n"/>
      <c r="H2415" s="88" t="n"/>
      <c r="I2415" s="88" t="n"/>
      <c r="J2415" s="89" t="n"/>
      <c r="K2415" s="88" t="n"/>
      <c r="L2415" s="88" t="n"/>
      <c r="M2415" s="88" t="n"/>
      <c r="N2415" s="89" t="n"/>
      <c r="O2415" s="88" t="n"/>
      <c r="P2415" s="88" t="n"/>
      <c r="Q2415" s="88" t="n"/>
      <c r="R2415" s="89" t="n"/>
      <c r="S2415" s="88" t="n"/>
      <c r="T2415" s="88" t="n"/>
      <c r="U2415" s="88" t="n"/>
      <c r="V2415" s="89" t="n"/>
      <c r="W2415" s="88" t="n"/>
      <c r="X2415" s="89" t="n"/>
      <c r="Y2415" s="88" t="n"/>
      <c r="Z2415" s="89" t="n"/>
      <c r="AB2415" s="30">
        <f>IF($B2415="","",(COUNTIF(C2415:E2415,"?*")&lt;N(INDEX(Setup!$L$6:$L$23,8)))+(COUNTIF(G2415:I2415,"?*")&lt;N(INDEX(Setup!$L$6:$L$23,8)))+(COUNTIF(K2415:M2415,"?*")&lt;N(INDEX(Setup!$L$6:$L$23,8)))+(COUNTIF(O2415:Q2415,"?*")&lt;N(INDEX(Setup!$L$6:$L$23,8)))+(COUNTIF(S2415:U2415,"?*")&lt;N(INDEX(Setup!$L$6:$L$23,8)))+((W2415="")*(INDEX(Setup!$M$6:$M$23,8)="Y"))+((Y2415="")*(INDEX(Setup!$M$6:$M$23,8)="Y")))</f>
        <v/>
      </c>
      <c r="AC2415" s="91">
        <f>IF($B2415="","",IF(AB2415=0,"✓ covered","⚠ "&amp;AB2415&amp;IF(AB2415=1," gap"," gaps")))</f>
        <v/>
      </c>
    </row>
    <row r="2416" ht="17" customHeight="1">
      <c r="A2416" t="n">
        <v>49</v>
      </c>
      <c r="B2416" s="24">
        <f>IF(Setup!$K$14="","",Setup!$K$14)</f>
        <v/>
      </c>
      <c r="C2416" s="88" t="n"/>
      <c r="D2416" s="88" t="n"/>
      <c r="E2416" s="88" t="n"/>
      <c r="F2416" s="89" t="n"/>
      <c r="G2416" s="88" t="n"/>
      <c r="H2416" s="88" t="n"/>
      <c r="I2416" s="88" t="n"/>
      <c r="J2416" s="89" t="n"/>
      <c r="K2416" s="88" t="n"/>
      <c r="L2416" s="88" t="n"/>
      <c r="M2416" s="88" t="n"/>
      <c r="N2416" s="89" t="n"/>
      <c r="O2416" s="88" t="n"/>
      <c r="P2416" s="88" t="n"/>
      <c r="Q2416" s="88" t="n"/>
      <c r="R2416" s="89" t="n"/>
      <c r="S2416" s="88" t="n"/>
      <c r="T2416" s="88" t="n"/>
      <c r="U2416" s="88" t="n"/>
      <c r="V2416" s="89" t="n"/>
      <c r="W2416" s="88" t="n"/>
      <c r="X2416" s="89" t="n"/>
      <c r="Y2416" s="88" t="n"/>
      <c r="Z2416" s="89" t="n"/>
      <c r="AB2416" s="25">
        <f>IF($B2416="","",(COUNTIF(C2416:E2416,"?*")&lt;N(INDEX(Setup!$L$6:$L$23,9)))+(COUNTIF(G2416:I2416,"?*")&lt;N(INDEX(Setup!$L$6:$L$23,9)))+(COUNTIF(K2416:M2416,"?*")&lt;N(INDEX(Setup!$L$6:$L$23,9)))+(COUNTIF(O2416:Q2416,"?*")&lt;N(INDEX(Setup!$L$6:$L$23,9)))+(COUNTIF(S2416:U2416,"?*")&lt;N(INDEX(Setup!$L$6:$L$23,9)))+((W2416="")*(INDEX(Setup!$M$6:$M$23,9)="Y"))+((Y2416="")*(INDEX(Setup!$M$6:$M$23,9)="Y")))</f>
        <v/>
      </c>
      <c r="AC2416" s="90">
        <f>IF($B2416="","",IF(AB2416=0,"✓ covered","⚠ "&amp;AB2416&amp;IF(AB2416=1," gap"," gaps")))</f>
        <v/>
      </c>
    </row>
    <row r="2417" ht="17" customHeight="1">
      <c r="A2417" t="n">
        <v>49</v>
      </c>
      <c r="B2417" s="29">
        <f>IF(Setup!$K$15="","",Setup!$K$15)</f>
        <v/>
      </c>
      <c r="C2417" s="88" t="n"/>
      <c r="D2417" s="88" t="n"/>
      <c r="E2417" s="88" t="n"/>
      <c r="F2417" s="89" t="n"/>
      <c r="G2417" s="88" t="n"/>
      <c r="H2417" s="88" t="n"/>
      <c r="I2417" s="88" t="n"/>
      <c r="J2417" s="89" t="n"/>
      <c r="K2417" s="88" t="n"/>
      <c r="L2417" s="88" t="n"/>
      <c r="M2417" s="88" t="n"/>
      <c r="N2417" s="89" t="n"/>
      <c r="O2417" s="88" t="n"/>
      <c r="P2417" s="88" t="n"/>
      <c r="Q2417" s="88" t="n"/>
      <c r="R2417" s="89" t="n"/>
      <c r="S2417" s="88" t="n"/>
      <c r="T2417" s="88" t="n"/>
      <c r="U2417" s="88" t="n"/>
      <c r="V2417" s="89" t="n"/>
      <c r="W2417" s="88" t="n"/>
      <c r="X2417" s="89" t="n"/>
      <c r="Y2417" s="88" t="n"/>
      <c r="Z2417" s="89" t="n"/>
      <c r="AB2417" s="30">
        <f>IF($B2417="","",(COUNTIF(C2417:E2417,"?*")&lt;N(INDEX(Setup!$L$6:$L$23,10)))+(COUNTIF(G2417:I2417,"?*")&lt;N(INDEX(Setup!$L$6:$L$23,10)))+(COUNTIF(K2417:M2417,"?*")&lt;N(INDEX(Setup!$L$6:$L$23,10)))+(COUNTIF(O2417:Q2417,"?*")&lt;N(INDEX(Setup!$L$6:$L$23,10)))+(COUNTIF(S2417:U2417,"?*")&lt;N(INDEX(Setup!$L$6:$L$23,10)))+((W2417="")*(INDEX(Setup!$M$6:$M$23,10)="Y"))+((Y2417="")*(INDEX(Setup!$M$6:$M$23,10)="Y")))</f>
        <v/>
      </c>
      <c r="AC2417" s="91">
        <f>IF($B2417="","",IF(AB2417=0,"✓ covered","⚠ "&amp;AB2417&amp;IF(AB2417=1," gap"," gaps")))</f>
        <v/>
      </c>
    </row>
    <row r="2418" ht="17" customHeight="1">
      <c r="A2418" t="n">
        <v>49</v>
      </c>
      <c r="B2418" s="24">
        <f>IF(Setup!$K$16="","",Setup!$K$16)</f>
        <v/>
      </c>
      <c r="C2418" s="88" t="n"/>
      <c r="D2418" s="88" t="n"/>
      <c r="E2418" s="88" t="n"/>
      <c r="F2418" s="89" t="n"/>
      <c r="G2418" s="88" t="n"/>
      <c r="H2418" s="88" t="n"/>
      <c r="I2418" s="88" t="n"/>
      <c r="J2418" s="89" t="n"/>
      <c r="K2418" s="88" t="n"/>
      <c r="L2418" s="88" t="n"/>
      <c r="M2418" s="88" t="n"/>
      <c r="N2418" s="89" t="n"/>
      <c r="O2418" s="88" t="n"/>
      <c r="P2418" s="88" t="n"/>
      <c r="Q2418" s="88" t="n"/>
      <c r="R2418" s="89" t="n"/>
      <c r="S2418" s="88" t="n"/>
      <c r="T2418" s="88" t="n"/>
      <c r="U2418" s="88" t="n"/>
      <c r="V2418" s="89" t="n"/>
      <c r="W2418" s="88" t="n"/>
      <c r="X2418" s="89" t="n"/>
      <c r="Y2418" s="88" t="n"/>
      <c r="Z2418" s="89" t="n"/>
      <c r="AB2418" s="25">
        <f>IF($B2418="","",(COUNTIF(C2418:E2418,"?*")&lt;N(INDEX(Setup!$L$6:$L$23,11)))+(COUNTIF(G2418:I2418,"?*")&lt;N(INDEX(Setup!$L$6:$L$23,11)))+(COUNTIF(K2418:M2418,"?*")&lt;N(INDEX(Setup!$L$6:$L$23,11)))+(COUNTIF(O2418:Q2418,"?*")&lt;N(INDEX(Setup!$L$6:$L$23,11)))+(COUNTIF(S2418:U2418,"?*")&lt;N(INDEX(Setup!$L$6:$L$23,11)))+((W2418="")*(INDEX(Setup!$M$6:$M$23,11)="Y"))+((Y2418="")*(INDEX(Setup!$M$6:$M$23,11)="Y")))</f>
        <v/>
      </c>
      <c r="AC2418" s="90">
        <f>IF($B2418="","",IF(AB2418=0,"✓ covered","⚠ "&amp;AB2418&amp;IF(AB2418=1," gap"," gaps")))</f>
        <v/>
      </c>
    </row>
    <row r="2419" ht="17" customHeight="1">
      <c r="A2419" t="n">
        <v>49</v>
      </c>
      <c r="B2419" s="29">
        <f>IF(Setup!$K$17="","",Setup!$K$17)</f>
        <v/>
      </c>
      <c r="C2419" s="88" t="n"/>
      <c r="D2419" s="88" t="n"/>
      <c r="E2419" s="88" t="n"/>
      <c r="F2419" s="89" t="n"/>
      <c r="G2419" s="88" t="n"/>
      <c r="H2419" s="88" t="n"/>
      <c r="I2419" s="88" t="n"/>
      <c r="J2419" s="89" t="n"/>
      <c r="K2419" s="88" t="n"/>
      <c r="L2419" s="88" t="n"/>
      <c r="M2419" s="88" t="n"/>
      <c r="N2419" s="89" t="n"/>
      <c r="O2419" s="88" t="n"/>
      <c r="P2419" s="88" t="n"/>
      <c r="Q2419" s="88" t="n"/>
      <c r="R2419" s="89" t="n"/>
      <c r="S2419" s="88" t="n"/>
      <c r="T2419" s="88" t="n"/>
      <c r="U2419" s="88" t="n"/>
      <c r="V2419" s="89" t="n"/>
      <c r="W2419" s="88" t="n"/>
      <c r="X2419" s="89" t="n"/>
      <c r="Y2419" s="88" t="n"/>
      <c r="Z2419" s="89" t="n"/>
      <c r="AB2419" s="30">
        <f>IF($B2419="","",(COUNTIF(C2419:E2419,"?*")&lt;N(INDEX(Setup!$L$6:$L$23,12)))+(COUNTIF(G2419:I2419,"?*")&lt;N(INDEX(Setup!$L$6:$L$23,12)))+(COUNTIF(K2419:M2419,"?*")&lt;N(INDEX(Setup!$L$6:$L$23,12)))+(COUNTIF(O2419:Q2419,"?*")&lt;N(INDEX(Setup!$L$6:$L$23,12)))+(COUNTIF(S2419:U2419,"?*")&lt;N(INDEX(Setup!$L$6:$L$23,12)))+((W2419="")*(INDEX(Setup!$M$6:$M$23,12)="Y"))+((Y2419="")*(INDEX(Setup!$M$6:$M$23,12)="Y")))</f>
        <v/>
      </c>
      <c r="AC2419" s="91">
        <f>IF($B2419="","",IF(AB2419=0,"✓ covered","⚠ "&amp;AB2419&amp;IF(AB2419=1," gap"," gaps")))</f>
        <v/>
      </c>
    </row>
    <row r="2420" ht="17" customHeight="1">
      <c r="A2420" t="n">
        <v>49</v>
      </c>
      <c r="B2420" s="24">
        <f>IF(Setup!$K$18="","",Setup!$K$18)</f>
        <v/>
      </c>
      <c r="C2420" s="88" t="n"/>
      <c r="D2420" s="88" t="n"/>
      <c r="E2420" s="88" t="n"/>
      <c r="F2420" s="89" t="n"/>
      <c r="G2420" s="88" t="n"/>
      <c r="H2420" s="88" t="n"/>
      <c r="I2420" s="88" t="n"/>
      <c r="J2420" s="89" t="n"/>
      <c r="K2420" s="88" t="n"/>
      <c r="L2420" s="88" t="n"/>
      <c r="M2420" s="88" t="n"/>
      <c r="N2420" s="89" t="n"/>
      <c r="O2420" s="88" t="n"/>
      <c r="P2420" s="88" t="n"/>
      <c r="Q2420" s="88" t="n"/>
      <c r="R2420" s="89" t="n"/>
      <c r="S2420" s="88" t="n"/>
      <c r="T2420" s="88" t="n"/>
      <c r="U2420" s="88" t="n"/>
      <c r="V2420" s="89" t="n"/>
      <c r="W2420" s="88" t="n"/>
      <c r="X2420" s="89" t="n"/>
      <c r="Y2420" s="88" t="n"/>
      <c r="Z2420" s="89" t="n"/>
      <c r="AB2420" s="25">
        <f>IF($B2420="","",(COUNTIF(C2420:E2420,"?*")&lt;N(INDEX(Setup!$L$6:$L$23,13)))+(COUNTIF(G2420:I2420,"?*")&lt;N(INDEX(Setup!$L$6:$L$23,13)))+(COUNTIF(K2420:M2420,"?*")&lt;N(INDEX(Setup!$L$6:$L$23,13)))+(COUNTIF(O2420:Q2420,"?*")&lt;N(INDEX(Setup!$L$6:$L$23,13)))+(COUNTIF(S2420:U2420,"?*")&lt;N(INDEX(Setup!$L$6:$L$23,13)))+((W2420="")*(INDEX(Setup!$M$6:$M$23,13)="Y"))+((Y2420="")*(INDEX(Setup!$M$6:$M$23,13)="Y")))</f>
        <v/>
      </c>
      <c r="AC2420" s="90">
        <f>IF($B2420="","",IF(AB2420=0,"✓ covered","⚠ "&amp;AB2420&amp;IF(AB2420=1," gap"," gaps")))</f>
        <v/>
      </c>
    </row>
    <row r="2421" ht="17" customHeight="1">
      <c r="A2421" t="n">
        <v>49</v>
      </c>
      <c r="B2421" s="29">
        <f>IF(Setup!$K$19="","",Setup!$K$19)</f>
        <v/>
      </c>
      <c r="C2421" s="88" t="n"/>
      <c r="D2421" s="88" t="n"/>
      <c r="E2421" s="88" t="n"/>
      <c r="F2421" s="89" t="n"/>
      <c r="G2421" s="88" t="n"/>
      <c r="H2421" s="88" t="n"/>
      <c r="I2421" s="88" t="n"/>
      <c r="J2421" s="89" t="n"/>
      <c r="K2421" s="88" t="n"/>
      <c r="L2421" s="88" t="n"/>
      <c r="M2421" s="88" t="n"/>
      <c r="N2421" s="89" t="n"/>
      <c r="O2421" s="88" t="n"/>
      <c r="P2421" s="88" t="n"/>
      <c r="Q2421" s="88" t="n"/>
      <c r="R2421" s="89" t="n"/>
      <c r="S2421" s="88" t="n"/>
      <c r="T2421" s="88" t="n"/>
      <c r="U2421" s="88" t="n"/>
      <c r="V2421" s="89" t="n"/>
      <c r="W2421" s="88" t="n"/>
      <c r="X2421" s="89" t="n"/>
      <c r="Y2421" s="88" t="n"/>
      <c r="Z2421" s="89" t="n"/>
      <c r="AB2421" s="30">
        <f>IF($B2421="","",(COUNTIF(C2421:E2421,"?*")&lt;N(INDEX(Setup!$L$6:$L$23,14)))+(COUNTIF(G2421:I2421,"?*")&lt;N(INDEX(Setup!$L$6:$L$23,14)))+(COUNTIF(K2421:M2421,"?*")&lt;N(INDEX(Setup!$L$6:$L$23,14)))+(COUNTIF(O2421:Q2421,"?*")&lt;N(INDEX(Setup!$L$6:$L$23,14)))+(COUNTIF(S2421:U2421,"?*")&lt;N(INDEX(Setup!$L$6:$L$23,14)))+((W2421="")*(INDEX(Setup!$M$6:$M$23,14)="Y"))+((Y2421="")*(INDEX(Setup!$M$6:$M$23,14)="Y")))</f>
        <v/>
      </c>
      <c r="AC2421" s="91">
        <f>IF($B2421="","",IF(AB2421=0,"✓ covered","⚠ "&amp;AB2421&amp;IF(AB2421=1," gap"," gaps")))</f>
        <v/>
      </c>
    </row>
    <row r="2422" ht="17" customHeight="1">
      <c r="A2422" t="n">
        <v>49</v>
      </c>
      <c r="B2422" s="24">
        <f>IF(Setup!$K$20="","",Setup!$K$20)</f>
        <v/>
      </c>
      <c r="C2422" s="88" t="n"/>
      <c r="D2422" s="88" t="n"/>
      <c r="E2422" s="88" t="n"/>
      <c r="F2422" s="89" t="n"/>
      <c r="G2422" s="88" t="n"/>
      <c r="H2422" s="88" t="n"/>
      <c r="I2422" s="88" t="n"/>
      <c r="J2422" s="89" t="n"/>
      <c r="K2422" s="88" t="n"/>
      <c r="L2422" s="88" t="n"/>
      <c r="M2422" s="88" t="n"/>
      <c r="N2422" s="89" t="n"/>
      <c r="O2422" s="88" t="n"/>
      <c r="P2422" s="88" t="n"/>
      <c r="Q2422" s="88" t="n"/>
      <c r="R2422" s="89" t="n"/>
      <c r="S2422" s="88" t="n"/>
      <c r="T2422" s="88" t="n"/>
      <c r="U2422" s="88" t="n"/>
      <c r="V2422" s="89" t="n"/>
      <c r="W2422" s="88" t="n"/>
      <c r="X2422" s="89" t="n"/>
      <c r="Y2422" s="88" t="n"/>
      <c r="Z2422" s="89" t="n"/>
      <c r="AB2422" s="25">
        <f>IF($B2422="","",(COUNTIF(C2422:E2422,"?*")&lt;N(INDEX(Setup!$L$6:$L$23,15)))+(COUNTIF(G2422:I2422,"?*")&lt;N(INDEX(Setup!$L$6:$L$23,15)))+(COUNTIF(K2422:M2422,"?*")&lt;N(INDEX(Setup!$L$6:$L$23,15)))+(COUNTIF(O2422:Q2422,"?*")&lt;N(INDEX(Setup!$L$6:$L$23,15)))+(COUNTIF(S2422:U2422,"?*")&lt;N(INDEX(Setup!$L$6:$L$23,15)))+((W2422="")*(INDEX(Setup!$M$6:$M$23,15)="Y"))+((Y2422="")*(INDEX(Setup!$M$6:$M$23,15)="Y")))</f>
        <v/>
      </c>
      <c r="AC2422" s="90">
        <f>IF($B2422="","",IF(AB2422=0,"✓ covered","⚠ "&amp;AB2422&amp;IF(AB2422=1," gap"," gaps")))</f>
        <v/>
      </c>
    </row>
    <row r="2423" ht="17" customHeight="1">
      <c r="A2423" t="n">
        <v>49</v>
      </c>
      <c r="B2423" s="29">
        <f>IF(Setup!$K$21="","",Setup!$K$21)</f>
        <v/>
      </c>
      <c r="C2423" s="88" t="n"/>
      <c r="D2423" s="88" t="n"/>
      <c r="E2423" s="88" t="n"/>
      <c r="F2423" s="89" t="n"/>
      <c r="G2423" s="88" t="n"/>
      <c r="H2423" s="88" t="n"/>
      <c r="I2423" s="88" t="n"/>
      <c r="J2423" s="89" t="n"/>
      <c r="K2423" s="88" t="n"/>
      <c r="L2423" s="88" t="n"/>
      <c r="M2423" s="88" t="n"/>
      <c r="N2423" s="89" t="n"/>
      <c r="O2423" s="88" t="n"/>
      <c r="P2423" s="88" t="n"/>
      <c r="Q2423" s="88" t="n"/>
      <c r="R2423" s="89" t="n"/>
      <c r="S2423" s="88" t="n"/>
      <c r="T2423" s="88" t="n"/>
      <c r="U2423" s="88" t="n"/>
      <c r="V2423" s="89" t="n"/>
      <c r="W2423" s="88" t="n"/>
      <c r="X2423" s="89" t="n"/>
      <c r="Y2423" s="88" t="n"/>
      <c r="Z2423" s="89" t="n"/>
      <c r="AB2423" s="30">
        <f>IF($B2423="","",(COUNTIF(C2423:E2423,"?*")&lt;N(INDEX(Setup!$L$6:$L$23,16)))+(COUNTIF(G2423:I2423,"?*")&lt;N(INDEX(Setup!$L$6:$L$23,16)))+(COUNTIF(K2423:M2423,"?*")&lt;N(INDEX(Setup!$L$6:$L$23,16)))+(COUNTIF(O2423:Q2423,"?*")&lt;N(INDEX(Setup!$L$6:$L$23,16)))+(COUNTIF(S2423:U2423,"?*")&lt;N(INDEX(Setup!$L$6:$L$23,16)))+((W2423="")*(INDEX(Setup!$M$6:$M$23,16)="Y"))+((Y2423="")*(INDEX(Setup!$M$6:$M$23,16)="Y")))</f>
        <v/>
      </c>
      <c r="AC2423" s="91">
        <f>IF($B2423="","",IF(AB2423=0,"✓ covered","⚠ "&amp;AB2423&amp;IF(AB2423=1," gap"," gaps")))</f>
        <v/>
      </c>
    </row>
    <row r="2424" ht="17" customHeight="1">
      <c r="A2424" t="n">
        <v>49</v>
      </c>
      <c r="B2424" s="24">
        <f>IF(Setup!$K$22="","",Setup!$K$22)</f>
        <v/>
      </c>
      <c r="C2424" s="88" t="n"/>
      <c r="D2424" s="88" t="n"/>
      <c r="E2424" s="88" t="n"/>
      <c r="F2424" s="89" t="n"/>
      <c r="G2424" s="88" t="n"/>
      <c r="H2424" s="88" t="n"/>
      <c r="I2424" s="88" t="n"/>
      <c r="J2424" s="89" t="n"/>
      <c r="K2424" s="88" t="n"/>
      <c r="L2424" s="88" t="n"/>
      <c r="M2424" s="88" t="n"/>
      <c r="N2424" s="89" t="n"/>
      <c r="O2424" s="88" t="n"/>
      <c r="P2424" s="88" t="n"/>
      <c r="Q2424" s="88" t="n"/>
      <c r="R2424" s="89" t="n"/>
      <c r="S2424" s="88" t="n"/>
      <c r="T2424" s="88" t="n"/>
      <c r="U2424" s="88" t="n"/>
      <c r="V2424" s="89" t="n"/>
      <c r="W2424" s="88" t="n"/>
      <c r="X2424" s="89" t="n"/>
      <c r="Y2424" s="88" t="n"/>
      <c r="Z2424" s="89" t="n"/>
      <c r="AB2424" s="25">
        <f>IF($B2424="","",(COUNTIF(C2424:E2424,"?*")&lt;N(INDEX(Setup!$L$6:$L$23,17)))+(COUNTIF(G2424:I2424,"?*")&lt;N(INDEX(Setup!$L$6:$L$23,17)))+(COUNTIF(K2424:M2424,"?*")&lt;N(INDEX(Setup!$L$6:$L$23,17)))+(COUNTIF(O2424:Q2424,"?*")&lt;N(INDEX(Setup!$L$6:$L$23,17)))+(COUNTIF(S2424:U2424,"?*")&lt;N(INDEX(Setup!$L$6:$L$23,17)))+((W2424="")*(INDEX(Setup!$M$6:$M$23,17)="Y"))+((Y2424="")*(INDEX(Setup!$M$6:$M$23,17)="Y")))</f>
        <v/>
      </c>
      <c r="AC2424" s="90">
        <f>IF($B2424="","",IF(AB2424=0,"✓ covered","⚠ "&amp;AB2424&amp;IF(AB2424=1," gap"," gaps")))</f>
        <v/>
      </c>
    </row>
    <row r="2425" ht="17" customHeight="1">
      <c r="A2425" t="n">
        <v>49</v>
      </c>
      <c r="B2425" s="29">
        <f>IF(Setup!$K$23="","",Setup!$K$23)</f>
        <v/>
      </c>
      <c r="C2425" s="88" t="n"/>
      <c r="D2425" s="88" t="n"/>
      <c r="E2425" s="88" t="n"/>
      <c r="F2425" s="89" t="n"/>
      <c r="G2425" s="88" t="n"/>
      <c r="H2425" s="88" t="n"/>
      <c r="I2425" s="88" t="n"/>
      <c r="J2425" s="89" t="n"/>
      <c r="K2425" s="88" t="n"/>
      <c r="L2425" s="88" t="n"/>
      <c r="M2425" s="88" t="n"/>
      <c r="N2425" s="89" t="n"/>
      <c r="O2425" s="88" t="n"/>
      <c r="P2425" s="88" t="n"/>
      <c r="Q2425" s="88" t="n"/>
      <c r="R2425" s="89" t="n"/>
      <c r="S2425" s="88" t="n"/>
      <c r="T2425" s="88" t="n"/>
      <c r="U2425" s="88" t="n"/>
      <c r="V2425" s="89" t="n"/>
      <c r="W2425" s="88" t="n"/>
      <c r="X2425" s="89" t="n"/>
      <c r="Y2425" s="88" t="n"/>
      <c r="Z2425" s="89" t="n"/>
      <c r="AB2425" s="30">
        <f>IF($B2425="","",(COUNTIF(C2425:E2425,"?*")&lt;N(INDEX(Setup!$L$6:$L$23,18)))+(COUNTIF(G2425:I2425,"?*")&lt;N(INDEX(Setup!$L$6:$L$23,18)))+(COUNTIF(K2425:M2425,"?*")&lt;N(INDEX(Setup!$L$6:$L$23,18)))+(COUNTIF(O2425:Q2425,"?*")&lt;N(INDEX(Setup!$L$6:$L$23,18)))+(COUNTIF(S2425:U2425,"?*")&lt;N(INDEX(Setup!$L$6:$L$23,18)))+((W2425="")*(INDEX(Setup!$M$6:$M$23,18)="Y"))+((Y2425="")*(INDEX(Setup!$M$6:$M$23,18)="Y")))</f>
        <v/>
      </c>
      <c r="AC2425" s="91">
        <f>IF($B2425="","",IF(AB2425=0,"✓ covered","⚠ "&amp;AB2425&amp;IF(AB2425=1," gap"," gaps")))</f>
        <v/>
      </c>
    </row>
    <row r="2426" ht="18" customHeight="1">
      <c r="A2426" t="n">
        <v>49</v>
      </c>
      <c r="B2426" s="78" t="inlineStr">
        <is>
          <t>TEAM AVAILABILITY</t>
        </is>
      </c>
      <c r="C2426" s="92" t="inlineStr">
        <is>
          <t>Mon</t>
        </is>
      </c>
      <c r="D2426" s="93" t="n"/>
      <c r="E2426" s="93" t="n"/>
      <c r="F2426" s="94" t="n"/>
      <c r="G2426" s="92" t="inlineStr">
        <is>
          <t>Tue</t>
        </is>
      </c>
      <c r="H2426" s="93" t="n"/>
      <c r="I2426" s="93" t="n"/>
      <c r="J2426" s="94" t="n"/>
      <c r="K2426" s="92" t="inlineStr">
        <is>
          <t>Wed</t>
        </is>
      </c>
      <c r="L2426" s="93" t="n"/>
      <c r="M2426" s="93" t="n"/>
      <c r="N2426" s="94" t="n"/>
      <c r="O2426" s="92" t="inlineStr">
        <is>
          <t>Thu</t>
        </is>
      </c>
      <c r="P2426" s="93" t="n"/>
      <c r="Q2426" s="93" t="n"/>
      <c r="R2426" s="94" t="n"/>
      <c r="S2426" s="92" t="inlineStr">
        <is>
          <t>Fri</t>
        </is>
      </c>
      <c r="T2426" s="93" t="n"/>
      <c r="U2426" s="93" t="n"/>
      <c r="V2426" s="94" t="n"/>
      <c r="W2426" s="95" t="inlineStr">
        <is>
          <t>Sat</t>
        </is>
      </c>
      <c r="X2426" s="96" t="n"/>
      <c r="Y2426" s="95" t="inlineStr">
        <is>
          <t>Sun</t>
        </is>
      </c>
      <c r="Z2426" s="96" t="n"/>
      <c r="AB2426" s="97" t="inlineStr">
        <is>
          <t>Days rostered</t>
        </is>
      </c>
      <c r="AC2426" s="97" t="inlineStr">
        <is>
          <t>Conflicts</t>
        </is>
      </c>
    </row>
    <row r="2427" ht="15" customHeight="1">
      <c r="A2427" t="n">
        <v>49</v>
      </c>
      <c r="B2427" s="35">
        <f>IF(Setup!$B$6="","",Setup!$B$6)</f>
        <v/>
      </c>
      <c r="C2427" s="98" t="n"/>
      <c r="D2427" s="99" t="n"/>
      <c r="E2427" s="99" t="n"/>
      <c r="F2427" s="100" t="n"/>
      <c r="G2427" s="98" t="n"/>
      <c r="H2427" s="99" t="n"/>
      <c r="I2427" s="99" t="n"/>
      <c r="J2427" s="100" t="n"/>
      <c r="K2427" s="98" t="n"/>
      <c r="L2427" s="99" t="n"/>
      <c r="M2427" s="99" t="n"/>
      <c r="N2427" s="100" t="n"/>
      <c r="O2427" s="98" t="n"/>
      <c r="P2427" s="99" t="n"/>
      <c r="Q2427" s="99" t="n"/>
      <c r="R2427" s="100" t="n"/>
      <c r="S2427" s="98" t="n"/>
      <c r="T2427" s="99" t="n"/>
      <c r="U2427" s="99" t="n"/>
      <c r="V2427" s="100" t="n"/>
      <c r="W2427" s="98" t="n"/>
      <c r="X2427" s="100" t="n"/>
      <c r="Y2427" s="98" t="n"/>
      <c r="Z2427" s="100" t="n"/>
      <c r="AB2427" s="101">
        <f>IF($B2427="","",(COUNTIF(C2408:E2425,$B2427)+COUNTIF(C2408:E2425,$B2427&amp;" ~*")&gt;0)+(COUNTIF(G2408:I2425,$B2427)+COUNTIF(G2408:I2425,$B2427&amp;" ~*")&gt;0)+(COUNTIF(K2408:M2425,$B2427)+COUNTIF(K2408:M2425,$B2427&amp;" ~*")&gt;0)+(COUNTIF(O2408:Q2425,$B2427)+COUNTIF(O2408:Q2425,$B2427&amp;" ~*")&gt;0)+(COUNTIF(S2408:U2425,$B2427)+COUNTIF(S2408:U2425,$B2427&amp;" ~*")&gt;0)+(COUNTIF(W2408:W2425,$B2427)+COUNTIF(W2408:W2425,$B2427&amp;" ~*")&gt;0)+(COUNTIF(Y2408:Y2425,$B2427)+COUNTIF(Y2408:Y2425,$B2427&amp;" ~*")&gt;0))</f>
        <v/>
      </c>
      <c r="AC2427" s="36">
        <f>IF($B2427="","",(IFERROR(INDEX(Setup!$G$33:$G$40,MATCH(C2427,Setup!$B$33:$B$40,0)),0)=1)*(COUNTIF(C2408:E2425,$B2427)+COUNTIF(C2408:E2425,$B2427&amp;" ~*")&gt;0)+(IFERROR(INDEX(Setup!$G$33:$G$40,MATCH(G2427,Setup!$B$33:$B$40,0)),0)=1)*(COUNTIF(G2408:I2425,$B2427)+COUNTIF(G2408:I2425,$B2427&amp;" ~*")&gt;0)+(IFERROR(INDEX(Setup!$G$33:$G$40,MATCH(K2427,Setup!$B$33:$B$40,0)),0)=1)*(COUNTIF(K2408:M2425,$B2427)+COUNTIF(K2408:M2425,$B2427&amp;" ~*")&gt;0)+(IFERROR(INDEX(Setup!$G$33:$G$40,MATCH(O2427,Setup!$B$33:$B$40,0)),0)=1)*(COUNTIF(O2408:Q2425,$B2427)+COUNTIF(O2408:Q2425,$B2427&amp;" ~*")&gt;0)+(IFERROR(INDEX(Setup!$G$33:$G$40,MATCH(S2427,Setup!$B$33:$B$40,0)),0)=1)*(COUNTIF(S2408:U2425,$B2427)+COUNTIF(S2408:U2425,$B2427&amp;" ~*")&gt;0)+(IFERROR(INDEX(Setup!$G$33:$G$40,MATCH(W2427,Setup!$B$33:$B$40,0)),0)=1)*(COUNTIF(W2408:W2425,$B2427)+COUNTIF(W2408:W2425,$B2427&amp;" ~*")&gt;0)+(IFERROR(INDEX(Setup!$G$33:$G$40,MATCH(Y2427,Setup!$B$33:$B$40,0)),0)=1)*(COUNTIF(Y2408:Y2425,$B2427)+COUNTIF(Y2408:Y2425,$B2427&amp;" ~*")&gt;0))</f>
        <v/>
      </c>
    </row>
    <row r="2428" ht="15" customHeight="1">
      <c r="A2428" t="n">
        <v>49</v>
      </c>
      <c r="B2428" s="37">
        <f>IF(Setup!$B$7="","",Setup!$B$7)</f>
        <v/>
      </c>
      <c r="C2428" s="102" t="n"/>
      <c r="D2428" s="103" t="n"/>
      <c r="E2428" s="103" t="n"/>
      <c r="F2428" s="104" t="n"/>
      <c r="G2428" s="102" t="n"/>
      <c r="H2428" s="103" t="n"/>
      <c r="I2428" s="103" t="n"/>
      <c r="J2428" s="104" t="n"/>
      <c r="K2428" s="102" t="n"/>
      <c r="L2428" s="103" t="n"/>
      <c r="M2428" s="103" t="n"/>
      <c r="N2428" s="104" t="n"/>
      <c r="O2428" s="102" t="n"/>
      <c r="P2428" s="103" t="n"/>
      <c r="Q2428" s="103" t="n"/>
      <c r="R2428" s="104" t="n"/>
      <c r="S2428" s="102" t="n"/>
      <c r="T2428" s="103" t="n"/>
      <c r="U2428" s="103" t="n"/>
      <c r="V2428" s="104" t="n"/>
      <c r="W2428" s="102" t="n"/>
      <c r="X2428" s="104" t="n"/>
      <c r="Y2428" s="102" t="n"/>
      <c r="Z2428" s="104" t="n"/>
      <c r="AB2428" s="105">
        <f>IF($B2428="","",(COUNTIF(C2408:E2425,$B2428)+COUNTIF(C2408:E2425,$B2428&amp;" ~*")&gt;0)+(COUNTIF(G2408:I2425,$B2428)+COUNTIF(G2408:I2425,$B2428&amp;" ~*")&gt;0)+(COUNTIF(K2408:M2425,$B2428)+COUNTIF(K2408:M2425,$B2428&amp;" ~*")&gt;0)+(COUNTIF(O2408:Q2425,$B2428)+COUNTIF(O2408:Q2425,$B2428&amp;" ~*")&gt;0)+(COUNTIF(S2408:U2425,$B2428)+COUNTIF(S2408:U2425,$B2428&amp;" ~*")&gt;0)+(COUNTIF(W2408:W2425,$B2428)+COUNTIF(W2408:W2425,$B2428&amp;" ~*")&gt;0)+(COUNTIF(Y2408:Y2425,$B2428)+COUNTIF(Y2408:Y2425,$B2428&amp;" ~*")&gt;0))</f>
        <v/>
      </c>
      <c r="AC2428" s="38">
        <f>IF($B2428="","",(IFERROR(INDEX(Setup!$G$33:$G$40,MATCH(C2428,Setup!$B$33:$B$40,0)),0)=1)*(COUNTIF(C2408:E2425,$B2428)+COUNTIF(C2408:E2425,$B2428&amp;" ~*")&gt;0)+(IFERROR(INDEX(Setup!$G$33:$G$40,MATCH(G2428,Setup!$B$33:$B$40,0)),0)=1)*(COUNTIF(G2408:I2425,$B2428)+COUNTIF(G2408:I2425,$B2428&amp;" ~*")&gt;0)+(IFERROR(INDEX(Setup!$G$33:$G$40,MATCH(K2428,Setup!$B$33:$B$40,0)),0)=1)*(COUNTIF(K2408:M2425,$B2428)+COUNTIF(K2408:M2425,$B2428&amp;" ~*")&gt;0)+(IFERROR(INDEX(Setup!$G$33:$G$40,MATCH(O2428,Setup!$B$33:$B$40,0)),0)=1)*(COUNTIF(O2408:Q2425,$B2428)+COUNTIF(O2408:Q2425,$B2428&amp;" ~*")&gt;0)+(IFERROR(INDEX(Setup!$G$33:$G$40,MATCH(S2428,Setup!$B$33:$B$40,0)),0)=1)*(COUNTIF(S2408:U2425,$B2428)+COUNTIF(S2408:U2425,$B2428&amp;" ~*")&gt;0)+(IFERROR(INDEX(Setup!$G$33:$G$40,MATCH(W2428,Setup!$B$33:$B$40,0)),0)=1)*(COUNTIF(W2408:W2425,$B2428)+COUNTIF(W2408:W2425,$B2428&amp;" ~*")&gt;0)+(IFERROR(INDEX(Setup!$G$33:$G$40,MATCH(Y2428,Setup!$B$33:$B$40,0)),0)=1)*(COUNTIF(Y2408:Y2425,$B2428)+COUNTIF(Y2408:Y2425,$B2428&amp;" ~*")&gt;0))</f>
        <v/>
      </c>
    </row>
    <row r="2429" ht="15" customHeight="1">
      <c r="A2429" t="n">
        <v>49</v>
      </c>
      <c r="B2429" s="35">
        <f>IF(Setup!$B$8="","",Setup!$B$8)</f>
        <v/>
      </c>
      <c r="C2429" s="98" t="n"/>
      <c r="D2429" s="99" t="n"/>
      <c r="E2429" s="99" t="n"/>
      <c r="F2429" s="100" t="n"/>
      <c r="G2429" s="98" t="n"/>
      <c r="H2429" s="99" t="n"/>
      <c r="I2429" s="99" t="n"/>
      <c r="J2429" s="100" t="n"/>
      <c r="K2429" s="98" t="n"/>
      <c r="L2429" s="99" t="n"/>
      <c r="M2429" s="99" t="n"/>
      <c r="N2429" s="100" t="n"/>
      <c r="O2429" s="98" t="n"/>
      <c r="P2429" s="99" t="n"/>
      <c r="Q2429" s="99" t="n"/>
      <c r="R2429" s="100" t="n"/>
      <c r="S2429" s="98" t="n"/>
      <c r="T2429" s="99" t="n"/>
      <c r="U2429" s="99" t="n"/>
      <c r="V2429" s="100" t="n"/>
      <c r="W2429" s="98" t="n"/>
      <c r="X2429" s="100" t="n"/>
      <c r="Y2429" s="98" t="n"/>
      <c r="Z2429" s="100" t="n"/>
      <c r="AB2429" s="101">
        <f>IF($B2429="","",(COUNTIF(C2408:E2425,$B2429)+COUNTIF(C2408:E2425,$B2429&amp;" ~*")&gt;0)+(COUNTIF(G2408:I2425,$B2429)+COUNTIF(G2408:I2425,$B2429&amp;" ~*")&gt;0)+(COUNTIF(K2408:M2425,$B2429)+COUNTIF(K2408:M2425,$B2429&amp;" ~*")&gt;0)+(COUNTIF(O2408:Q2425,$B2429)+COUNTIF(O2408:Q2425,$B2429&amp;" ~*")&gt;0)+(COUNTIF(S2408:U2425,$B2429)+COUNTIF(S2408:U2425,$B2429&amp;" ~*")&gt;0)+(COUNTIF(W2408:W2425,$B2429)+COUNTIF(W2408:W2425,$B2429&amp;" ~*")&gt;0)+(COUNTIF(Y2408:Y2425,$B2429)+COUNTIF(Y2408:Y2425,$B2429&amp;" ~*")&gt;0))</f>
        <v/>
      </c>
      <c r="AC2429" s="36">
        <f>IF($B2429="","",(IFERROR(INDEX(Setup!$G$33:$G$40,MATCH(C2429,Setup!$B$33:$B$40,0)),0)=1)*(COUNTIF(C2408:E2425,$B2429)+COUNTIF(C2408:E2425,$B2429&amp;" ~*")&gt;0)+(IFERROR(INDEX(Setup!$G$33:$G$40,MATCH(G2429,Setup!$B$33:$B$40,0)),0)=1)*(COUNTIF(G2408:I2425,$B2429)+COUNTIF(G2408:I2425,$B2429&amp;" ~*")&gt;0)+(IFERROR(INDEX(Setup!$G$33:$G$40,MATCH(K2429,Setup!$B$33:$B$40,0)),0)=1)*(COUNTIF(K2408:M2425,$B2429)+COUNTIF(K2408:M2425,$B2429&amp;" ~*")&gt;0)+(IFERROR(INDEX(Setup!$G$33:$G$40,MATCH(O2429,Setup!$B$33:$B$40,0)),0)=1)*(COUNTIF(O2408:Q2425,$B2429)+COUNTIF(O2408:Q2425,$B2429&amp;" ~*")&gt;0)+(IFERROR(INDEX(Setup!$G$33:$G$40,MATCH(S2429,Setup!$B$33:$B$40,0)),0)=1)*(COUNTIF(S2408:U2425,$B2429)+COUNTIF(S2408:U2425,$B2429&amp;" ~*")&gt;0)+(IFERROR(INDEX(Setup!$G$33:$G$40,MATCH(W2429,Setup!$B$33:$B$40,0)),0)=1)*(COUNTIF(W2408:W2425,$B2429)+COUNTIF(W2408:W2425,$B2429&amp;" ~*")&gt;0)+(IFERROR(INDEX(Setup!$G$33:$G$40,MATCH(Y2429,Setup!$B$33:$B$40,0)),0)=1)*(COUNTIF(Y2408:Y2425,$B2429)+COUNTIF(Y2408:Y2425,$B2429&amp;" ~*")&gt;0))</f>
        <v/>
      </c>
    </row>
    <row r="2430" ht="15" customHeight="1">
      <c r="A2430" t="n">
        <v>49</v>
      </c>
      <c r="B2430" s="37">
        <f>IF(Setup!$B$9="","",Setup!$B$9)</f>
        <v/>
      </c>
      <c r="C2430" s="102" t="n"/>
      <c r="D2430" s="103" t="n"/>
      <c r="E2430" s="103" t="n"/>
      <c r="F2430" s="104" t="n"/>
      <c r="G2430" s="102" t="n"/>
      <c r="H2430" s="103" t="n"/>
      <c r="I2430" s="103" t="n"/>
      <c r="J2430" s="104" t="n"/>
      <c r="K2430" s="102" t="n"/>
      <c r="L2430" s="103" t="n"/>
      <c r="M2430" s="103" t="n"/>
      <c r="N2430" s="104" t="n"/>
      <c r="O2430" s="102" t="n"/>
      <c r="P2430" s="103" t="n"/>
      <c r="Q2430" s="103" t="n"/>
      <c r="R2430" s="104" t="n"/>
      <c r="S2430" s="102" t="n"/>
      <c r="T2430" s="103" t="n"/>
      <c r="U2430" s="103" t="n"/>
      <c r="V2430" s="104" t="n"/>
      <c r="W2430" s="102" t="n"/>
      <c r="X2430" s="104" t="n"/>
      <c r="Y2430" s="102" t="n"/>
      <c r="Z2430" s="104" t="n"/>
      <c r="AB2430" s="105">
        <f>IF($B2430="","",(COUNTIF(C2408:E2425,$B2430)+COUNTIF(C2408:E2425,$B2430&amp;" ~*")&gt;0)+(COUNTIF(G2408:I2425,$B2430)+COUNTIF(G2408:I2425,$B2430&amp;" ~*")&gt;0)+(COUNTIF(K2408:M2425,$B2430)+COUNTIF(K2408:M2425,$B2430&amp;" ~*")&gt;0)+(COUNTIF(O2408:Q2425,$B2430)+COUNTIF(O2408:Q2425,$B2430&amp;" ~*")&gt;0)+(COUNTIF(S2408:U2425,$B2430)+COUNTIF(S2408:U2425,$B2430&amp;" ~*")&gt;0)+(COUNTIF(W2408:W2425,$B2430)+COUNTIF(W2408:W2425,$B2430&amp;" ~*")&gt;0)+(COUNTIF(Y2408:Y2425,$B2430)+COUNTIF(Y2408:Y2425,$B2430&amp;" ~*")&gt;0))</f>
        <v/>
      </c>
      <c r="AC2430" s="38">
        <f>IF($B2430="","",(IFERROR(INDEX(Setup!$G$33:$G$40,MATCH(C2430,Setup!$B$33:$B$40,0)),0)=1)*(COUNTIF(C2408:E2425,$B2430)+COUNTIF(C2408:E2425,$B2430&amp;" ~*")&gt;0)+(IFERROR(INDEX(Setup!$G$33:$G$40,MATCH(G2430,Setup!$B$33:$B$40,0)),0)=1)*(COUNTIF(G2408:I2425,$B2430)+COUNTIF(G2408:I2425,$B2430&amp;" ~*")&gt;0)+(IFERROR(INDEX(Setup!$G$33:$G$40,MATCH(K2430,Setup!$B$33:$B$40,0)),0)=1)*(COUNTIF(K2408:M2425,$B2430)+COUNTIF(K2408:M2425,$B2430&amp;" ~*")&gt;0)+(IFERROR(INDEX(Setup!$G$33:$G$40,MATCH(O2430,Setup!$B$33:$B$40,0)),0)=1)*(COUNTIF(O2408:Q2425,$B2430)+COUNTIF(O2408:Q2425,$B2430&amp;" ~*")&gt;0)+(IFERROR(INDEX(Setup!$G$33:$G$40,MATCH(S2430,Setup!$B$33:$B$40,0)),0)=1)*(COUNTIF(S2408:U2425,$B2430)+COUNTIF(S2408:U2425,$B2430&amp;" ~*")&gt;0)+(IFERROR(INDEX(Setup!$G$33:$G$40,MATCH(W2430,Setup!$B$33:$B$40,0)),0)=1)*(COUNTIF(W2408:W2425,$B2430)+COUNTIF(W2408:W2425,$B2430&amp;" ~*")&gt;0)+(IFERROR(INDEX(Setup!$G$33:$G$40,MATCH(Y2430,Setup!$B$33:$B$40,0)),0)=1)*(COUNTIF(Y2408:Y2425,$B2430)+COUNTIF(Y2408:Y2425,$B2430&amp;" ~*")&gt;0))</f>
        <v/>
      </c>
    </row>
    <row r="2431" ht="15" customHeight="1">
      <c r="A2431" t="n">
        <v>49</v>
      </c>
      <c r="B2431" s="35">
        <f>IF(Setup!$B$10="","",Setup!$B$10)</f>
        <v/>
      </c>
      <c r="C2431" s="98" t="n"/>
      <c r="D2431" s="99" t="n"/>
      <c r="E2431" s="99" t="n"/>
      <c r="F2431" s="100" t="n"/>
      <c r="G2431" s="98" t="n"/>
      <c r="H2431" s="99" t="n"/>
      <c r="I2431" s="99" t="n"/>
      <c r="J2431" s="100" t="n"/>
      <c r="K2431" s="98" t="n"/>
      <c r="L2431" s="99" t="n"/>
      <c r="M2431" s="99" t="n"/>
      <c r="N2431" s="100" t="n"/>
      <c r="O2431" s="98" t="n"/>
      <c r="P2431" s="99" t="n"/>
      <c r="Q2431" s="99" t="n"/>
      <c r="R2431" s="100" t="n"/>
      <c r="S2431" s="98" t="n"/>
      <c r="T2431" s="99" t="n"/>
      <c r="U2431" s="99" t="n"/>
      <c r="V2431" s="100" t="n"/>
      <c r="W2431" s="98" t="n"/>
      <c r="X2431" s="100" t="n"/>
      <c r="Y2431" s="98" t="n"/>
      <c r="Z2431" s="100" t="n"/>
      <c r="AB2431" s="101">
        <f>IF($B2431="","",(COUNTIF(C2408:E2425,$B2431)+COUNTIF(C2408:E2425,$B2431&amp;" ~*")&gt;0)+(COUNTIF(G2408:I2425,$B2431)+COUNTIF(G2408:I2425,$B2431&amp;" ~*")&gt;0)+(COUNTIF(K2408:M2425,$B2431)+COUNTIF(K2408:M2425,$B2431&amp;" ~*")&gt;0)+(COUNTIF(O2408:Q2425,$B2431)+COUNTIF(O2408:Q2425,$B2431&amp;" ~*")&gt;0)+(COUNTIF(S2408:U2425,$B2431)+COUNTIF(S2408:U2425,$B2431&amp;" ~*")&gt;0)+(COUNTIF(W2408:W2425,$B2431)+COUNTIF(W2408:W2425,$B2431&amp;" ~*")&gt;0)+(COUNTIF(Y2408:Y2425,$B2431)+COUNTIF(Y2408:Y2425,$B2431&amp;" ~*")&gt;0))</f>
        <v/>
      </c>
      <c r="AC2431" s="36">
        <f>IF($B2431="","",(IFERROR(INDEX(Setup!$G$33:$G$40,MATCH(C2431,Setup!$B$33:$B$40,0)),0)=1)*(COUNTIF(C2408:E2425,$B2431)+COUNTIF(C2408:E2425,$B2431&amp;" ~*")&gt;0)+(IFERROR(INDEX(Setup!$G$33:$G$40,MATCH(G2431,Setup!$B$33:$B$40,0)),0)=1)*(COUNTIF(G2408:I2425,$B2431)+COUNTIF(G2408:I2425,$B2431&amp;" ~*")&gt;0)+(IFERROR(INDEX(Setup!$G$33:$G$40,MATCH(K2431,Setup!$B$33:$B$40,0)),0)=1)*(COUNTIF(K2408:M2425,$B2431)+COUNTIF(K2408:M2425,$B2431&amp;" ~*")&gt;0)+(IFERROR(INDEX(Setup!$G$33:$G$40,MATCH(O2431,Setup!$B$33:$B$40,0)),0)=1)*(COUNTIF(O2408:Q2425,$B2431)+COUNTIF(O2408:Q2425,$B2431&amp;" ~*")&gt;0)+(IFERROR(INDEX(Setup!$G$33:$G$40,MATCH(S2431,Setup!$B$33:$B$40,0)),0)=1)*(COUNTIF(S2408:U2425,$B2431)+COUNTIF(S2408:U2425,$B2431&amp;" ~*")&gt;0)+(IFERROR(INDEX(Setup!$G$33:$G$40,MATCH(W2431,Setup!$B$33:$B$40,0)),0)=1)*(COUNTIF(W2408:W2425,$B2431)+COUNTIF(W2408:W2425,$B2431&amp;" ~*")&gt;0)+(IFERROR(INDEX(Setup!$G$33:$G$40,MATCH(Y2431,Setup!$B$33:$B$40,0)),0)=1)*(COUNTIF(Y2408:Y2425,$B2431)+COUNTIF(Y2408:Y2425,$B2431&amp;" ~*")&gt;0))</f>
        <v/>
      </c>
    </row>
    <row r="2432" ht="15" customHeight="1">
      <c r="A2432" t="n">
        <v>49</v>
      </c>
      <c r="B2432" s="37">
        <f>IF(Setup!$B$11="","",Setup!$B$11)</f>
        <v/>
      </c>
      <c r="C2432" s="102" t="n"/>
      <c r="D2432" s="103" t="n"/>
      <c r="E2432" s="103" t="n"/>
      <c r="F2432" s="104" t="n"/>
      <c r="G2432" s="102" t="n"/>
      <c r="H2432" s="103" t="n"/>
      <c r="I2432" s="103" t="n"/>
      <c r="J2432" s="104" t="n"/>
      <c r="K2432" s="102" t="n"/>
      <c r="L2432" s="103" t="n"/>
      <c r="M2432" s="103" t="n"/>
      <c r="N2432" s="104" t="n"/>
      <c r="O2432" s="102" t="n"/>
      <c r="P2432" s="103" t="n"/>
      <c r="Q2432" s="103" t="n"/>
      <c r="R2432" s="104" t="n"/>
      <c r="S2432" s="102" t="n"/>
      <c r="T2432" s="103" t="n"/>
      <c r="U2432" s="103" t="n"/>
      <c r="V2432" s="104" t="n"/>
      <c r="W2432" s="102" t="n"/>
      <c r="X2432" s="104" t="n"/>
      <c r="Y2432" s="102" t="n"/>
      <c r="Z2432" s="104" t="n"/>
      <c r="AB2432" s="105">
        <f>IF($B2432="","",(COUNTIF(C2408:E2425,$B2432)+COUNTIF(C2408:E2425,$B2432&amp;" ~*")&gt;0)+(COUNTIF(G2408:I2425,$B2432)+COUNTIF(G2408:I2425,$B2432&amp;" ~*")&gt;0)+(COUNTIF(K2408:M2425,$B2432)+COUNTIF(K2408:M2425,$B2432&amp;" ~*")&gt;0)+(COUNTIF(O2408:Q2425,$B2432)+COUNTIF(O2408:Q2425,$B2432&amp;" ~*")&gt;0)+(COUNTIF(S2408:U2425,$B2432)+COUNTIF(S2408:U2425,$B2432&amp;" ~*")&gt;0)+(COUNTIF(W2408:W2425,$B2432)+COUNTIF(W2408:W2425,$B2432&amp;" ~*")&gt;0)+(COUNTIF(Y2408:Y2425,$B2432)+COUNTIF(Y2408:Y2425,$B2432&amp;" ~*")&gt;0))</f>
        <v/>
      </c>
      <c r="AC2432" s="38">
        <f>IF($B2432="","",(IFERROR(INDEX(Setup!$G$33:$G$40,MATCH(C2432,Setup!$B$33:$B$40,0)),0)=1)*(COUNTIF(C2408:E2425,$B2432)+COUNTIF(C2408:E2425,$B2432&amp;" ~*")&gt;0)+(IFERROR(INDEX(Setup!$G$33:$G$40,MATCH(G2432,Setup!$B$33:$B$40,0)),0)=1)*(COUNTIF(G2408:I2425,$B2432)+COUNTIF(G2408:I2425,$B2432&amp;" ~*")&gt;0)+(IFERROR(INDEX(Setup!$G$33:$G$40,MATCH(K2432,Setup!$B$33:$B$40,0)),0)=1)*(COUNTIF(K2408:M2425,$B2432)+COUNTIF(K2408:M2425,$B2432&amp;" ~*")&gt;0)+(IFERROR(INDEX(Setup!$G$33:$G$40,MATCH(O2432,Setup!$B$33:$B$40,0)),0)=1)*(COUNTIF(O2408:Q2425,$B2432)+COUNTIF(O2408:Q2425,$B2432&amp;" ~*")&gt;0)+(IFERROR(INDEX(Setup!$G$33:$G$40,MATCH(S2432,Setup!$B$33:$B$40,0)),0)=1)*(COUNTIF(S2408:U2425,$B2432)+COUNTIF(S2408:U2425,$B2432&amp;" ~*")&gt;0)+(IFERROR(INDEX(Setup!$G$33:$G$40,MATCH(W2432,Setup!$B$33:$B$40,0)),0)=1)*(COUNTIF(W2408:W2425,$B2432)+COUNTIF(W2408:W2425,$B2432&amp;" ~*")&gt;0)+(IFERROR(INDEX(Setup!$G$33:$G$40,MATCH(Y2432,Setup!$B$33:$B$40,0)),0)=1)*(COUNTIF(Y2408:Y2425,$B2432)+COUNTIF(Y2408:Y2425,$B2432&amp;" ~*")&gt;0))</f>
        <v/>
      </c>
    </row>
    <row r="2433" ht="15" customHeight="1">
      <c r="A2433" t="n">
        <v>49</v>
      </c>
      <c r="B2433" s="35">
        <f>IF(Setup!$B$12="","",Setup!$B$12)</f>
        <v/>
      </c>
      <c r="C2433" s="98" t="n"/>
      <c r="D2433" s="99" t="n"/>
      <c r="E2433" s="99" t="n"/>
      <c r="F2433" s="100" t="n"/>
      <c r="G2433" s="98" t="n"/>
      <c r="H2433" s="99" t="n"/>
      <c r="I2433" s="99" t="n"/>
      <c r="J2433" s="100" t="n"/>
      <c r="K2433" s="98" t="n"/>
      <c r="L2433" s="99" t="n"/>
      <c r="M2433" s="99" t="n"/>
      <c r="N2433" s="100" t="n"/>
      <c r="O2433" s="98" t="n"/>
      <c r="P2433" s="99" t="n"/>
      <c r="Q2433" s="99" t="n"/>
      <c r="R2433" s="100" t="n"/>
      <c r="S2433" s="98" t="n"/>
      <c r="T2433" s="99" t="n"/>
      <c r="U2433" s="99" t="n"/>
      <c r="V2433" s="100" t="n"/>
      <c r="W2433" s="98" t="n"/>
      <c r="X2433" s="100" t="n"/>
      <c r="Y2433" s="98" t="n"/>
      <c r="Z2433" s="100" t="n"/>
      <c r="AB2433" s="101">
        <f>IF($B2433="","",(COUNTIF(C2408:E2425,$B2433)+COUNTIF(C2408:E2425,$B2433&amp;" ~*")&gt;0)+(COUNTIF(G2408:I2425,$B2433)+COUNTIF(G2408:I2425,$B2433&amp;" ~*")&gt;0)+(COUNTIF(K2408:M2425,$B2433)+COUNTIF(K2408:M2425,$B2433&amp;" ~*")&gt;0)+(COUNTIF(O2408:Q2425,$B2433)+COUNTIF(O2408:Q2425,$B2433&amp;" ~*")&gt;0)+(COUNTIF(S2408:U2425,$B2433)+COUNTIF(S2408:U2425,$B2433&amp;" ~*")&gt;0)+(COUNTIF(W2408:W2425,$B2433)+COUNTIF(W2408:W2425,$B2433&amp;" ~*")&gt;0)+(COUNTIF(Y2408:Y2425,$B2433)+COUNTIF(Y2408:Y2425,$B2433&amp;" ~*")&gt;0))</f>
        <v/>
      </c>
      <c r="AC2433" s="36">
        <f>IF($B2433="","",(IFERROR(INDEX(Setup!$G$33:$G$40,MATCH(C2433,Setup!$B$33:$B$40,0)),0)=1)*(COUNTIF(C2408:E2425,$B2433)+COUNTIF(C2408:E2425,$B2433&amp;" ~*")&gt;0)+(IFERROR(INDEX(Setup!$G$33:$G$40,MATCH(G2433,Setup!$B$33:$B$40,0)),0)=1)*(COUNTIF(G2408:I2425,$B2433)+COUNTIF(G2408:I2425,$B2433&amp;" ~*")&gt;0)+(IFERROR(INDEX(Setup!$G$33:$G$40,MATCH(K2433,Setup!$B$33:$B$40,0)),0)=1)*(COUNTIF(K2408:M2425,$B2433)+COUNTIF(K2408:M2425,$B2433&amp;" ~*")&gt;0)+(IFERROR(INDEX(Setup!$G$33:$G$40,MATCH(O2433,Setup!$B$33:$B$40,0)),0)=1)*(COUNTIF(O2408:Q2425,$B2433)+COUNTIF(O2408:Q2425,$B2433&amp;" ~*")&gt;0)+(IFERROR(INDEX(Setup!$G$33:$G$40,MATCH(S2433,Setup!$B$33:$B$40,0)),0)=1)*(COUNTIF(S2408:U2425,$B2433)+COUNTIF(S2408:U2425,$B2433&amp;" ~*")&gt;0)+(IFERROR(INDEX(Setup!$G$33:$G$40,MATCH(W2433,Setup!$B$33:$B$40,0)),0)=1)*(COUNTIF(W2408:W2425,$B2433)+COUNTIF(W2408:W2425,$B2433&amp;" ~*")&gt;0)+(IFERROR(INDEX(Setup!$G$33:$G$40,MATCH(Y2433,Setup!$B$33:$B$40,0)),0)=1)*(COUNTIF(Y2408:Y2425,$B2433)+COUNTIF(Y2408:Y2425,$B2433&amp;" ~*")&gt;0))</f>
        <v/>
      </c>
    </row>
    <row r="2434" ht="15" customHeight="1">
      <c r="A2434" t="n">
        <v>49</v>
      </c>
      <c r="B2434" s="37">
        <f>IF(Setup!$B$13="","",Setup!$B$13)</f>
        <v/>
      </c>
      <c r="C2434" s="102" t="n"/>
      <c r="D2434" s="103" t="n"/>
      <c r="E2434" s="103" t="n"/>
      <c r="F2434" s="104" t="n"/>
      <c r="G2434" s="102" t="n"/>
      <c r="H2434" s="103" t="n"/>
      <c r="I2434" s="103" t="n"/>
      <c r="J2434" s="104" t="n"/>
      <c r="K2434" s="102" t="n"/>
      <c r="L2434" s="103" t="n"/>
      <c r="M2434" s="103" t="n"/>
      <c r="N2434" s="104" t="n"/>
      <c r="O2434" s="102" t="n"/>
      <c r="P2434" s="103" t="n"/>
      <c r="Q2434" s="103" t="n"/>
      <c r="R2434" s="104" t="n"/>
      <c r="S2434" s="102" t="n"/>
      <c r="T2434" s="103" t="n"/>
      <c r="U2434" s="103" t="n"/>
      <c r="V2434" s="104" t="n"/>
      <c r="W2434" s="102" t="n"/>
      <c r="X2434" s="104" t="n"/>
      <c r="Y2434" s="102" t="n"/>
      <c r="Z2434" s="104" t="n"/>
      <c r="AB2434" s="105">
        <f>IF($B2434="","",(COUNTIF(C2408:E2425,$B2434)+COUNTIF(C2408:E2425,$B2434&amp;" ~*")&gt;0)+(COUNTIF(G2408:I2425,$B2434)+COUNTIF(G2408:I2425,$B2434&amp;" ~*")&gt;0)+(COUNTIF(K2408:M2425,$B2434)+COUNTIF(K2408:M2425,$B2434&amp;" ~*")&gt;0)+(COUNTIF(O2408:Q2425,$B2434)+COUNTIF(O2408:Q2425,$B2434&amp;" ~*")&gt;0)+(COUNTIF(S2408:U2425,$B2434)+COUNTIF(S2408:U2425,$B2434&amp;" ~*")&gt;0)+(COUNTIF(W2408:W2425,$B2434)+COUNTIF(W2408:W2425,$B2434&amp;" ~*")&gt;0)+(COUNTIF(Y2408:Y2425,$B2434)+COUNTIF(Y2408:Y2425,$B2434&amp;" ~*")&gt;0))</f>
        <v/>
      </c>
      <c r="AC2434" s="38">
        <f>IF($B2434="","",(IFERROR(INDEX(Setup!$G$33:$G$40,MATCH(C2434,Setup!$B$33:$B$40,0)),0)=1)*(COUNTIF(C2408:E2425,$B2434)+COUNTIF(C2408:E2425,$B2434&amp;" ~*")&gt;0)+(IFERROR(INDEX(Setup!$G$33:$G$40,MATCH(G2434,Setup!$B$33:$B$40,0)),0)=1)*(COUNTIF(G2408:I2425,$B2434)+COUNTIF(G2408:I2425,$B2434&amp;" ~*")&gt;0)+(IFERROR(INDEX(Setup!$G$33:$G$40,MATCH(K2434,Setup!$B$33:$B$40,0)),0)=1)*(COUNTIF(K2408:M2425,$B2434)+COUNTIF(K2408:M2425,$B2434&amp;" ~*")&gt;0)+(IFERROR(INDEX(Setup!$G$33:$G$40,MATCH(O2434,Setup!$B$33:$B$40,0)),0)=1)*(COUNTIF(O2408:Q2425,$B2434)+COUNTIF(O2408:Q2425,$B2434&amp;" ~*")&gt;0)+(IFERROR(INDEX(Setup!$G$33:$G$40,MATCH(S2434,Setup!$B$33:$B$40,0)),0)=1)*(COUNTIF(S2408:U2425,$B2434)+COUNTIF(S2408:U2425,$B2434&amp;" ~*")&gt;0)+(IFERROR(INDEX(Setup!$G$33:$G$40,MATCH(W2434,Setup!$B$33:$B$40,0)),0)=1)*(COUNTIF(W2408:W2425,$B2434)+COUNTIF(W2408:W2425,$B2434&amp;" ~*")&gt;0)+(IFERROR(INDEX(Setup!$G$33:$G$40,MATCH(Y2434,Setup!$B$33:$B$40,0)),0)=1)*(COUNTIF(Y2408:Y2425,$B2434)+COUNTIF(Y2408:Y2425,$B2434&amp;" ~*")&gt;0))</f>
        <v/>
      </c>
    </row>
    <row r="2435" ht="15" customHeight="1">
      <c r="A2435" t="n">
        <v>49</v>
      </c>
      <c r="B2435" s="35">
        <f>IF(Setup!$B$14="","",Setup!$B$14)</f>
        <v/>
      </c>
      <c r="C2435" s="98" t="n"/>
      <c r="D2435" s="99" t="n"/>
      <c r="E2435" s="99" t="n"/>
      <c r="F2435" s="100" t="n"/>
      <c r="G2435" s="98" t="n"/>
      <c r="H2435" s="99" t="n"/>
      <c r="I2435" s="99" t="n"/>
      <c r="J2435" s="100" t="n"/>
      <c r="K2435" s="98" t="n"/>
      <c r="L2435" s="99" t="n"/>
      <c r="M2435" s="99" t="n"/>
      <c r="N2435" s="100" t="n"/>
      <c r="O2435" s="98" t="n"/>
      <c r="P2435" s="99" t="n"/>
      <c r="Q2435" s="99" t="n"/>
      <c r="R2435" s="100" t="n"/>
      <c r="S2435" s="98" t="n"/>
      <c r="T2435" s="99" t="n"/>
      <c r="U2435" s="99" t="n"/>
      <c r="V2435" s="100" t="n"/>
      <c r="W2435" s="98" t="n"/>
      <c r="X2435" s="100" t="n"/>
      <c r="Y2435" s="98" t="n"/>
      <c r="Z2435" s="100" t="n"/>
      <c r="AB2435" s="101">
        <f>IF($B2435="","",(COUNTIF(C2408:E2425,$B2435)+COUNTIF(C2408:E2425,$B2435&amp;" ~*")&gt;0)+(COUNTIF(G2408:I2425,$B2435)+COUNTIF(G2408:I2425,$B2435&amp;" ~*")&gt;0)+(COUNTIF(K2408:M2425,$B2435)+COUNTIF(K2408:M2425,$B2435&amp;" ~*")&gt;0)+(COUNTIF(O2408:Q2425,$B2435)+COUNTIF(O2408:Q2425,$B2435&amp;" ~*")&gt;0)+(COUNTIF(S2408:U2425,$B2435)+COUNTIF(S2408:U2425,$B2435&amp;" ~*")&gt;0)+(COUNTIF(W2408:W2425,$B2435)+COUNTIF(W2408:W2425,$B2435&amp;" ~*")&gt;0)+(COUNTIF(Y2408:Y2425,$B2435)+COUNTIF(Y2408:Y2425,$B2435&amp;" ~*")&gt;0))</f>
        <v/>
      </c>
      <c r="AC2435" s="36">
        <f>IF($B2435="","",(IFERROR(INDEX(Setup!$G$33:$G$40,MATCH(C2435,Setup!$B$33:$B$40,0)),0)=1)*(COUNTIF(C2408:E2425,$B2435)+COUNTIF(C2408:E2425,$B2435&amp;" ~*")&gt;0)+(IFERROR(INDEX(Setup!$G$33:$G$40,MATCH(G2435,Setup!$B$33:$B$40,0)),0)=1)*(COUNTIF(G2408:I2425,$B2435)+COUNTIF(G2408:I2425,$B2435&amp;" ~*")&gt;0)+(IFERROR(INDEX(Setup!$G$33:$G$40,MATCH(K2435,Setup!$B$33:$B$40,0)),0)=1)*(COUNTIF(K2408:M2425,$B2435)+COUNTIF(K2408:M2425,$B2435&amp;" ~*")&gt;0)+(IFERROR(INDEX(Setup!$G$33:$G$40,MATCH(O2435,Setup!$B$33:$B$40,0)),0)=1)*(COUNTIF(O2408:Q2425,$B2435)+COUNTIF(O2408:Q2425,$B2435&amp;" ~*")&gt;0)+(IFERROR(INDEX(Setup!$G$33:$G$40,MATCH(S2435,Setup!$B$33:$B$40,0)),0)=1)*(COUNTIF(S2408:U2425,$B2435)+COUNTIF(S2408:U2425,$B2435&amp;" ~*")&gt;0)+(IFERROR(INDEX(Setup!$G$33:$G$40,MATCH(W2435,Setup!$B$33:$B$40,0)),0)=1)*(COUNTIF(W2408:W2425,$B2435)+COUNTIF(W2408:W2425,$B2435&amp;" ~*")&gt;0)+(IFERROR(INDEX(Setup!$G$33:$G$40,MATCH(Y2435,Setup!$B$33:$B$40,0)),0)=1)*(COUNTIF(Y2408:Y2425,$B2435)+COUNTIF(Y2408:Y2425,$B2435&amp;" ~*")&gt;0))</f>
        <v/>
      </c>
    </row>
    <row r="2436" ht="15" customHeight="1">
      <c r="A2436" t="n">
        <v>49</v>
      </c>
      <c r="B2436" s="37">
        <f>IF(Setup!$B$15="","",Setup!$B$15)</f>
        <v/>
      </c>
      <c r="C2436" s="102" t="n"/>
      <c r="D2436" s="103" t="n"/>
      <c r="E2436" s="103" t="n"/>
      <c r="F2436" s="104" t="n"/>
      <c r="G2436" s="102" t="n"/>
      <c r="H2436" s="103" t="n"/>
      <c r="I2436" s="103" t="n"/>
      <c r="J2436" s="104" t="n"/>
      <c r="K2436" s="102" t="n"/>
      <c r="L2436" s="103" t="n"/>
      <c r="M2436" s="103" t="n"/>
      <c r="N2436" s="104" t="n"/>
      <c r="O2436" s="102" t="n"/>
      <c r="P2436" s="103" t="n"/>
      <c r="Q2436" s="103" t="n"/>
      <c r="R2436" s="104" t="n"/>
      <c r="S2436" s="102" t="n"/>
      <c r="T2436" s="103" t="n"/>
      <c r="U2436" s="103" t="n"/>
      <c r="V2436" s="104" t="n"/>
      <c r="W2436" s="102" t="n"/>
      <c r="X2436" s="104" t="n"/>
      <c r="Y2436" s="102" t="n"/>
      <c r="Z2436" s="104" t="n"/>
      <c r="AB2436" s="105">
        <f>IF($B2436="","",(COUNTIF(C2408:E2425,$B2436)+COUNTIF(C2408:E2425,$B2436&amp;" ~*")&gt;0)+(COUNTIF(G2408:I2425,$B2436)+COUNTIF(G2408:I2425,$B2436&amp;" ~*")&gt;0)+(COUNTIF(K2408:M2425,$B2436)+COUNTIF(K2408:M2425,$B2436&amp;" ~*")&gt;0)+(COUNTIF(O2408:Q2425,$B2436)+COUNTIF(O2408:Q2425,$B2436&amp;" ~*")&gt;0)+(COUNTIF(S2408:U2425,$B2436)+COUNTIF(S2408:U2425,$B2436&amp;" ~*")&gt;0)+(COUNTIF(W2408:W2425,$B2436)+COUNTIF(W2408:W2425,$B2436&amp;" ~*")&gt;0)+(COUNTIF(Y2408:Y2425,$B2436)+COUNTIF(Y2408:Y2425,$B2436&amp;" ~*")&gt;0))</f>
        <v/>
      </c>
      <c r="AC2436" s="38">
        <f>IF($B2436="","",(IFERROR(INDEX(Setup!$G$33:$G$40,MATCH(C2436,Setup!$B$33:$B$40,0)),0)=1)*(COUNTIF(C2408:E2425,$B2436)+COUNTIF(C2408:E2425,$B2436&amp;" ~*")&gt;0)+(IFERROR(INDEX(Setup!$G$33:$G$40,MATCH(G2436,Setup!$B$33:$B$40,0)),0)=1)*(COUNTIF(G2408:I2425,$B2436)+COUNTIF(G2408:I2425,$B2436&amp;" ~*")&gt;0)+(IFERROR(INDEX(Setup!$G$33:$G$40,MATCH(K2436,Setup!$B$33:$B$40,0)),0)=1)*(COUNTIF(K2408:M2425,$B2436)+COUNTIF(K2408:M2425,$B2436&amp;" ~*")&gt;0)+(IFERROR(INDEX(Setup!$G$33:$G$40,MATCH(O2436,Setup!$B$33:$B$40,0)),0)=1)*(COUNTIF(O2408:Q2425,$B2436)+COUNTIF(O2408:Q2425,$B2436&amp;" ~*")&gt;0)+(IFERROR(INDEX(Setup!$G$33:$G$40,MATCH(S2436,Setup!$B$33:$B$40,0)),0)=1)*(COUNTIF(S2408:U2425,$B2436)+COUNTIF(S2408:U2425,$B2436&amp;" ~*")&gt;0)+(IFERROR(INDEX(Setup!$G$33:$G$40,MATCH(W2436,Setup!$B$33:$B$40,0)),0)=1)*(COUNTIF(W2408:W2425,$B2436)+COUNTIF(W2408:W2425,$B2436&amp;" ~*")&gt;0)+(IFERROR(INDEX(Setup!$G$33:$G$40,MATCH(Y2436,Setup!$B$33:$B$40,0)),0)=1)*(COUNTIF(Y2408:Y2425,$B2436)+COUNTIF(Y2408:Y2425,$B2436&amp;" ~*")&gt;0))</f>
        <v/>
      </c>
    </row>
    <row r="2437" ht="15" customHeight="1">
      <c r="A2437" t="n">
        <v>49</v>
      </c>
      <c r="B2437" s="35">
        <f>IF(Setup!$B$16="","",Setup!$B$16)</f>
        <v/>
      </c>
      <c r="C2437" s="98" t="n"/>
      <c r="D2437" s="99" t="n"/>
      <c r="E2437" s="99" t="n"/>
      <c r="F2437" s="100" t="n"/>
      <c r="G2437" s="98" t="n"/>
      <c r="H2437" s="99" t="n"/>
      <c r="I2437" s="99" t="n"/>
      <c r="J2437" s="100" t="n"/>
      <c r="K2437" s="98" t="n"/>
      <c r="L2437" s="99" t="n"/>
      <c r="M2437" s="99" t="n"/>
      <c r="N2437" s="100" t="n"/>
      <c r="O2437" s="98" t="n"/>
      <c r="P2437" s="99" t="n"/>
      <c r="Q2437" s="99" t="n"/>
      <c r="R2437" s="100" t="n"/>
      <c r="S2437" s="98" t="n"/>
      <c r="T2437" s="99" t="n"/>
      <c r="U2437" s="99" t="n"/>
      <c r="V2437" s="100" t="n"/>
      <c r="W2437" s="98" t="n"/>
      <c r="X2437" s="100" t="n"/>
      <c r="Y2437" s="98" t="n"/>
      <c r="Z2437" s="100" t="n"/>
      <c r="AB2437" s="101">
        <f>IF($B2437="","",(COUNTIF(C2408:E2425,$B2437)+COUNTIF(C2408:E2425,$B2437&amp;" ~*")&gt;0)+(COUNTIF(G2408:I2425,$B2437)+COUNTIF(G2408:I2425,$B2437&amp;" ~*")&gt;0)+(COUNTIF(K2408:M2425,$B2437)+COUNTIF(K2408:M2425,$B2437&amp;" ~*")&gt;0)+(COUNTIF(O2408:Q2425,$B2437)+COUNTIF(O2408:Q2425,$B2437&amp;" ~*")&gt;0)+(COUNTIF(S2408:U2425,$B2437)+COUNTIF(S2408:U2425,$B2437&amp;" ~*")&gt;0)+(COUNTIF(W2408:W2425,$B2437)+COUNTIF(W2408:W2425,$B2437&amp;" ~*")&gt;0)+(COUNTIF(Y2408:Y2425,$B2437)+COUNTIF(Y2408:Y2425,$B2437&amp;" ~*")&gt;0))</f>
        <v/>
      </c>
      <c r="AC2437" s="36">
        <f>IF($B2437="","",(IFERROR(INDEX(Setup!$G$33:$G$40,MATCH(C2437,Setup!$B$33:$B$40,0)),0)=1)*(COUNTIF(C2408:E2425,$B2437)+COUNTIF(C2408:E2425,$B2437&amp;" ~*")&gt;0)+(IFERROR(INDEX(Setup!$G$33:$G$40,MATCH(G2437,Setup!$B$33:$B$40,0)),0)=1)*(COUNTIF(G2408:I2425,$B2437)+COUNTIF(G2408:I2425,$B2437&amp;" ~*")&gt;0)+(IFERROR(INDEX(Setup!$G$33:$G$40,MATCH(K2437,Setup!$B$33:$B$40,0)),0)=1)*(COUNTIF(K2408:M2425,$B2437)+COUNTIF(K2408:M2425,$B2437&amp;" ~*")&gt;0)+(IFERROR(INDEX(Setup!$G$33:$G$40,MATCH(O2437,Setup!$B$33:$B$40,0)),0)=1)*(COUNTIF(O2408:Q2425,$B2437)+COUNTIF(O2408:Q2425,$B2437&amp;" ~*")&gt;0)+(IFERROR(INDEX(Setup!$G$33:$G$40,MATCH(S2437,Setup!$B$33:$B$40,0)),0)=1)*(COUNTIF(S2408:U2425,$B2437)+COUNTIF(S2408:U2425,$B2437&amp;" ~*")&gt;0)+(IFERROR(INDEX(Setup!$G$33:$G$40,MATCH(W2437,Setup!$B$33:$B$40,0)),0)=1)*(COUNTIF(W2408:W2425,$B2437)+COUNTIF(W2408:W2425,$B2437&amp;" ~*")&gt;0)+(IFERROR(INDEX(Setup!$G$33:$G$40,MATCH(Y2437,Setup!$B$33:$B$40,0)),0)=1)*(COUNTIF(Y2408:Y2425,$B2437)+COUNTIF(Y2408:Y2425,$B2437&amp;" ~*")&gt;0))</f>
        <v/>
      </c>
    </row>
    <row r="2438" ht="15" customHeight="1">
      <c r="A2438" t="n">
        <v>49</v>
      </c>
      <c r="B2438" s="37">
        <f>IF(Setup!$B$17="","",Setup!$B$17)</f>
        <v/>
      </c>
      <c r="C2438" s="102" t="n"/>
      <c r="D2438" s="103" t="n"/>
      <c r="E2438" s="103" t="n"/>
      <c r="F2438" s="104" t="n"/>
      <c r="G2438" s="102" t="n"/>
      <c r="H2438" s="103" t="n"/>
      <c r="I2438" s="103" t="n"/>
      <c r="J2438" s="104" t="n"/>
      <c r="K2438" s="102" t="n"/>
      <c r="L2438" s="103" t="n"/>
      <c r="M2438" s="103" t="n"/>
      <c r="N2438" s="104" t="n"/>
      <c r="O2438" s="102" t="n"/>
      <c r="P2438" s="103" t="n"/>
      <c r="Q2438" s="103" t="n"/>
      <c r="R2438" s="104" t="n"/>
      <c r="S2438" s="102" t="n"/>
      <c r="T2438" s="103" t="n"/>
      <c r="U2438" s="103" t="n"/>
      <c r="V2438" s="104" t="n"/>
      <c r="W2438" s="102" t="n"/>
      <c r="X2438" s="104" t="n"/>
      <c r="Y2438" s="102" t="n"/>
      <c r="Z2438" s="104" t="n"/>
      <c r="AB2438" s="105">
        <f>IF($B2438="","",(COUNTIF(C2408:E2425,$B2438)+COUNTIF(C2408:E2425,$B2438&amp;" ~*")&gt;0)+(COUNTIF(G2408:I2425,$B2438)+COUNTIF(G2408:I2425,$B2438&amp;" ~*")&gt;0)+(COUNTIF(K2408:M2425,$B2438)+COUNTIF(K2408:M2425,$B2438&amp;" ~*")&gt;0)+(COUNTIF(O2408:Q2425,$B2438)+COUNTIF(O2408:Q2425,$B2438&amp;" ~*")&gt;0)+(COUNTIF(S2408:U2425,$B2438)+COUNTIF(S2408:U2425,$B2438&amp;" ~*")&gt;0)+(COUNTIF(W2408:W2425,$B2438)+COUNTIF(W2408:W2425,$B2438&amp;" ~*")&gt;0)+(COUNTIF(Y2408:Y2425,$B2438)+COUNTIF(Y2408:Y2425,$B2438&amp;" ~*")&gt;0))</f>
        <v/>
      </c>
      <c r="AC2438" s="38">
        <f>IF($B2438="","",(IFERROR(INDEX(Setup!$G$33:$G$40,MATCH(C2438,Setup!$B$33:$B$40,0)),0)=1)*(COUNTIF(C2408:E2425,$B2438)+COUNTIF(C2408:E2425,$B2438&amp;" ~*")&gt;0)+(IFERROR(INDEX(Setup!$G$33:$G$40,MATCH(G2438,Setup!$B$33:$B$40,0)),0)=1)*(COUNTIF(G2408:I2425,$B2438)+COUNTIF(G2408:I2425,$B2438&amp;" ~*")&gt;0)+(IFERROR(INDEX(Setup!$G$33:$G$40,MATCH(K2438,Setup!$B$33:$B$40,0)),0)=1)*(COUNTIF(K2408:M2425,$B2438)+COUNTIF(K2408:M2425,$B2438&amp;" ~*")&gt;0)+(IFERROR(INDEX(Setup!$G$33:$G$40,MATCH(O2438,Setup!$B$33:$B$40,0)),0)=1)*(COUNTIF(O2408:Q2425,$B2438)+COUNTIF(O2408:Q2425,$B2438&amp;" ~*")&gt;0)+(IFERROR(INDEX(Setup!$G$33:$G$40,MATCH(S2438,Setup!$B$33:$B$40,0)),0)=1)*(COUNTIF(S2408:U2425,$B2438)+COUNTIF(S2408:U2425,$B2438&amp;" ~*")&gt;0)+(IFERROR(INDEX(Setup!$G$33:$G$40,MATCH(W2438,Setup!$B$33:$B$40,0)),0)=1)*(COUNTIF(W2408:W2425,$B2438)+COUNTIF(W2408:W2425,$B2438&amp;" ~*")&gt;0)+(IFERROR(INDEX(Setup!$G$33:$G$40,MATCH(Y2438,Setup!$B$33:$B$40,0)),0)=1)*(COUNTIF(Y2408:Y2425,$B2438)+COUNTIF(Y2408:Y2425,$B2438&amp;" ~*")&gt;0))</f>
        <v/>
      </c>
    </row>
    <row r="2439" ht="15" customHeight="1">
      <c r="A2439" t="n">
        <v>49</v>
      </c>
      <c r="B2439" s="35">
        <f>IF(Setup!$B$18="","",Setup!$B$18)</f>
        <v/>
      </c>
      <c r="C2439" s="98" t="n"/>
      <c r="D2439" s="99" t="n"/>
      <c r="E2439" s="99" t="n"/>
      <c r="F2439" s="100" t="n"/>
      <c r="G2439" s="98" t="n"/>
      <c r="H2439" s="99" t="n"/>
      <c r="I2439" s="99" t="n"/>
      <c r="J2439" s="100" t="n"/>
      <c r="K2439" s="98" t="n"/>
      <c r="L2439" s="99" t="n"/>
      <c r="M2439" s="99" t="n"/>
      <c r="N2439" s="100" t="n"/>
      <c r="O2439" s="98" t="n"/>
      <c r="P2439" s="99" t="n"/>
      <c r="Q2439" s="99" t="n"/>
      <c r="R2439" s="100" t="n"/>
      <c r="S2439" s="98" t="n"/>
      <c r="T2439" s="99" t="n"/>
      <c r="U2439" s="99" t="n"/>
      <c r="V2439" s="100" t="n"/>
      <c r="W2439" s="98" t="n"/>
      <c r="X2439" s="100" t="n"/>
      <c r="Y2439" s="98" t="n"/>
      <c r="Z2439" s="100" t="n"/>
      <c r="AB2439" s="101">
        <f>IF($B2439="","",(COUNTIF(C2408:E2425,$B2439)+COUNTIF(C2408:E2425,$B2439&amp;" ~*")&gt;0)+(COUNTIF(G2408:I2425,$B2439)+COUNTIF(G2408:I2425,$B2439&amp;" ~*")&gt;0)+(COUNTIF(K2408:M2425,$B2439)+COUNTIF(K2408:M2425,$B2439&amp;" ~*")&gt;0)+(COUNTIF(O2408:Q2425,$B2439)+COUNTIF(O2408:Q2425,$B2439&amp;" ~*")&gt;0)+(COUNTIF(S2408:U2425,$B2439)+COUNTIF(S2408:U2425,$B2439&amp;" ~*")&gt;0)+(COUNTIF(W2408:W2425,$B2439)+COUNTIF(W2408:W2425,$B2439&amp;" ~*")&gt;0)+(COUNTIF(Y2408:Y2425,$B2439)+COUNTIF(Y2408:Y2425,$B2439&amp;" ~*")&gt;0))</f>
        <v/>
      </c>
      <c r="AC2439" s="36">
        <f>IF($B2439="","",(IFERROR(INDEX(Setup!$G$33:$G$40,MATCH(C2439,Setup!$B$33:$B$40,0)),0)=1)*(COUNTIF(C2408:E2425,$B2439)+COUNTIF(C2408:E2425,$B2439&amp;" ~*")&gt;0)+(IFERROR(INDEX(Setup!$G$33:$G$40,MATCH(G2439,Setup!$B$33:$B$40,0)),0)=1)*(COUNTIF(G2408:I2425,$B2439)+COUNTIF(G2408:I2425,$B2439&amp;" ~*")&gt;0)+(IFERROR(INDEX(Setup!$G$33:$G$40,MATCH(K2439,Setup!$B$33:$B$40,0)),0)=1)*(COUNTIF(K2408:M2425,$B2439)+COUNTIF(K2408:M2425,$B2439&amp;" ~*")&gt;0)+(IFERROR(INDEX(Setup!$G$33:$G$40,MATCH(O2439,Setup!$B$33:$B$40,0)),0)=1)*(COUNTIF(O2408:Q2425,$B2439)+COUNTIF(O2408:Q2425,$B2439&amp;" ~*")&gt;0)+(IFERROR(INDEX(Setup!$G$33:$G$40,MATCH(S2439,Setup!$B$33:$B$40,0)),0)=1)*(COUNTIF(S2408:U2425,$B2439)+COUNTIF(S2408:U2425,$B2439&amp;" ~*")&gt;0)+(IFERROR(INDEX(Setup!$G$33:$G$40,MATCH(W2439,Setup!$B$33:$B$40,0)),0)=1)*(COUNTIF(W2408:W2425,$B2439)+COUNTIF(W2408:W2425,$B2439&amp;" ~*")&gt;0)+(IFERROR(INDEX(Setup!$G$33:$G$40,MATCH(Y2439,Setup!$B$33:$B$40,0)),0)=1)*(COUNTIF(Y2408:Y2425,$B2439)+COUNTIF(Y2408:Y2425,$B2439&amp;" ~*")&gt;0))</f>
        <v/>
      </c>
    </row>
    <row r="2440" ht="15" customHeight="1">
      <c r="A2440" t="n">
        <v>49</v>
      </c>
      <c r="B2440" s="37">
        <f>IF(Setup!$B$19="","",Setup!$B$19)</f>
        <v/>
      </c>
      <c r="C2440" s="102" t="n"/>
      <c r="D2440" s="103" t="n"/>
      <c r="E2440" s="103" t="n"/>
      <c r="F2440" s="104" t="n"/>
      <c r="G2440" s="102" t="n"/>
      <c r="H2440" s="103" t="n"/>
      <c r="I2440" s="103" t="n"/>
      <c r="J2440" s="104" t="n"/>
      <c r="K2440" s="102" t="n"/>
      <c r="L2440" s="103" t="n"/>
      <c r="M2440" s="103" t="n"/>
      <c r="N2440" s="104" t="n"/>
      <c r="O2440" s="102" t="n"/>
      <c r="P2440" s="103" t="n"/>
      <c r="Q2440" s="103" t="n"/>
      <c r="R2440" s="104" t="n"/>
      <c r="S2440" s="102" t="n"/>
      <c r="T2440" s="103" t="n"/>
      <c r="U2440" s="103" t="n"/>
      <c r="V2440" s="104" t="n"/>
      <c r="W2440" s="102" t="n"/>
      <c r="X2440" s="104" t="n"/>
      <c r="Y2440" s="102" t="n"/>
      <c r="Z2440" s="104" t="n"/>
      <c r="AB2440" s="105">
        <f>IF($B2440="","",(COUNTIF(C2408:E2425,$B2440)+COUNTIF(C2408:E2425,$B2440&amp;" ~*")&gt;0)+(COUNTIF(G2408:I2425,$B2440)+COUNTIF(G2408:I2425,$B2440&amp;" ~*")&gt;0)+(COUNTIF(K2408:M2425,$B2440)+COUNTIF(K2408:M2425,$B2440&amp;" ~*")&gt;0)+(COUNTIF(O2408:Q2425,$B2440)+COUNTIF(O2408:Q2425,$B2440&amp;" ~*")&gt;0)+(COUNTIF(S2408:U2425,$B2440)+COUNTIF(S2408:U2425,$B2440&amp;" ~*")&gt;0)+(COUNTIF(W2408:W2425,$B2440)+COUNTIF(W2408:W2425,$B2440&amp;" ~*")&gt;0)+(COUNTIF(Y2408:Y2425,$B2440)+COUNTIF(Y2408:Y2425,$B2440&amp;" ~*")&gt;0))</f>
        <v/>
      </c>
      <c r="AC2440" s="38">
        <f>IF($B2440="","",(IFERROR(INDEX(Setup!$G$33:$G$40,MATCH(C2440,Setup!$B$33:$B$40,0)),0)=1)*(COUNTIF(C2408:E2425,$B2440)+COUNTIF(C2408:E2425,$B2440&amp;" ~*")&gt;0)+(IFERROR(INDEX(Setup!$G$33:$G$40,MATCH(G2440,Setup!$B$33:$B$40,0)),0)=1)*(COUNTIF(G2408:I2425,$B2440)+COUNTIF(G2408:I2425,$B2440&amp;" ~*")&gt;0)+(IFERROR(INDEX(Setup!$G$33:$G$40,MATCH(K2440,Setup!$B$33:$B$40,0)),0)=1)*(COUNTIF(K2408:M2425,$B2440)+COUNTIF(K2408:M2425,$B2440&amp;" ~*")&gt;0)+(IFERROR(INDEX(Setup!$G$33:$G$40,MATCH(O2440,Setup!$B$33:$B$40,0)),0)=1)*(COUNTIF(O2408:Q2425,$B2440)+COUNTIF(O2408:Q2425,$B2440&amp;" ~*")&gt;0)+(IFERROR(INDEX(Setup!$G$33:$G$40,MATCH(S2440,Setup!$B$33:$B$40,0)),0)=1)*(COUNTIF(S2408:U2425,$B2440)+COUNTIF(S2408:U2425,$B2440&amp;" ~*")&gt;0)+(IFERROR(INDEX(Setup!$G$33:$G$40,MATCH(W2440,Setup!$B$33:$B$40,0)),0)=1)*(COUNTIF(W2408:W2425,$B2440)+COUNTIF(W2408:W2425,$B2440&amp;" ~*")&gt;0)+(IFERROR(INDEX(Setup!$G$33:$G$40,MATCH(Y2440,Setup!$B$33:$B$40,0)),0)=1)*(COUNTIF(Y2408:Y2425,$B2440)+COUNTIF(Y2408:Y2425,$B2440&amp;" ~*")&gt;0))</f>
        <v/>
      </c>
    </row>
    <row r="2441" ht="15" customHeight="1">
      <c r="A2441" t="n">
        <v>49</v>
      </c>
      <c r="B2441" s="35">
        <f>IF(Setup!$B$20="","",Setup!$B$20)</f>
        <v/>
      </c>
      <c r="C2441" s="98" t="n"/>
      <c r="D2441" s="99" t="n"/>
      <c r="E2441" s="99" t="n"/>
      <c r="F2441" s="100" t="n"/>
      <c r="G2441" s="98" t="n"/>
      <c r="H2441" s="99" t="n"/>
      <c r="I2441" s="99" t="n"/>
      <c r="J2441" s="100" t="n"/>
      <c r="K2441" s="98" t="n"/>
      <c r="L2441" s="99" t="n"/>
      <c r="M2441" s="99" t="n"/>
      <c r="N2441" s="100" t="n"/>
      <c r="O2441" s="98" t="n"/>
      <c r="P2441" s="99" t="n"/>
      <c r="Q2441" s="99" t="n"/>
      <c r="R2441" s="100" t="n"/>
      <c r="S2441" s="98" t="n"/>
      <c r="T2441" s="99" t="n"/>
      <c r="U2441" s="99" t="n"/>
      <c r="V2441" s="100" t="n"/>
      <c r="W2441" s="98" t="n"/>
      <c r="X2441" s="100" t="n"/>
      <c r="Y2441" s="98" t="n"/>
      <c r="Z2441" s="100" t="n"/>
      <c r="AB2441" s="101">
        <f>IF($B2441="","",(COUNTIF(C2408:E2425,$B2441)+COUNTIF(C2408:E2425,$B2441&amp;" ~*")&gt;0)+(COUNTIF(G2408:I2425,$B2441)+COUNTIF(G2408:I2425,$B2441&amp;" ~*")&gt;0)+(COUNTIF(K2408:M2425,$B2441)+COUNTIF(K2408:M2425,$B2441&amp;" ~*")&gt;0)+(COUNTIF(O2408:Q2425,$B2441)+COUNTIF(O2408:Q2425,$B2441&amp;" ~*")&gt;0)+(COUNTIF(S2408:U2425,$B2441)+COUNTIF(S2408:U2425,$B2441&amp;" ~*")&gt;0)+(COUNTIF(W2408:W2425,$B2441)+COUNTIF(W2408:W2425,$B2441&amp;" ~*")&gt;0)+(COUNTIF(Y2408:Y2425,$B2441)+COUNTIF(Y2408:Y2425,$B2441&amp;" ~*")&gt;0))</f>
        <v/>
      </c>
      <c r="AC2441" s="36">
        <f>IF($B2441="","",(IFERROR(INDEX(Setup!$G$33:$G$40,MATCH(C2441,Setup!$B$33:$B$40,0)),0)=1)*(COUNTIF(C2408:E2425,$B2441)+COUNTIF(C2408:E2425,$B2441&amp;" ~*")&gt;0)+(IFERROR(INDEX(Setup!$G$33:$G$40,MATCH(G2441,Setup!$B$33:$B$40,0)),0)=1)*(COUNTIF(G2408:I2425,$B2441)+COUNTIF(G2408:I2425,$B2441&amp;" ~*")&gt;0)+(IFERROR(INDEX(Setup!$G$33:$G$40,MATCH(K2441,Setup!$B$33:$B$40,0)),0)=1)*(COUNTIF(K2408:M2425,$B2441)+COUNTIF(K2408:M2425,$B2441&amp;" ~*")&gt;0)+(IFERROR(INDEX(Setup!$G$33:$G$40,MATCH(O2441,Setup!$B$33:$B$40,0)),0)=1)*(COUNTIF(O2408:Q2425,$B2441)+COUNTIF(O2408:Q2425,$B2441&amp;" ~*")&gt;0)+(IFERROR(INDEX(Setup!$G$33:$G$40,MATCH(S2441,Setup!$B$33:$B$40,0)),0)=1)*(COUNTIF(S2408:U2425,$B2441)+COUNTIF(S2408:U2425,$B2441&amp;" ~*")&gt;0)+(IFERROR(INDEX(Setup!$G$33:$G$40,MATCH(W2441,Setup!$B$33:$B$40,0)),0)=1)*(COUNTIF(W2408:W2425,$B2441)+COUNTIF(W2408:W2425,$B2441&amp;" ~*")&gt;0)+(IFERROR(INDEX(Setup!$G$33:$G$40,MATCH(Y2441,Setup!$B$33:$B$40,0)),0)=1)*(COUNTIF(Y2408:Y2425,$B2441)+COUNTIF(Y2408:Y2425,$B2441&amp;" ~*")&gt;0))</f>
        <v/>
      </c>
    </row>
    <row r="2442" ht="15" customHeight="1">
      <c r="A2442" t="n">
        <v>49</v>
      </c>
      <c r="B2442" s="37">
        <f>IF(Setup!$B$21="","",Setup!$B$21)</f>
        <v/>
      </c>
      <c r="C2442" s="102" t="n"/>
      <c r="D2442" s="103" t="n"/>
      <c r="E2442" s="103" t="n"/>
      <c r="F2442" s="104" t="n"/>
      <c r="G2442" s="102" t="n"/>
      <c r="H2442" s="103" t="n"/>
      <c r="I2442" s="103" t="n"/>
      <c r="J2442" s="104" t="n"/>
      <c r="K2442" s="102" t="n"/>
      <c r="L2442" s="103" t="n"/>
      <c r="M2442" s="103" t="n"/>
      <c r="N2442" s="104" t="n"/>
      <c r="O2442" s="102" t="n"/>
      <c r="P2442" s="103" t="n"/>
      <c r="Q2442" s="103" t="n"/>
      <c r="R2442" s="104" t="n"/>
      <c r="S2442" s="102" t="n"/>
      <c r="T2442" s="103" t="n"/>
      <c r="U2442" s="103" t="n"/>
      <c r="V2442" s="104" t="n"/>
      <c r="W2442" s="102" t="n"/>
      <c r="X2442" s="104" t="n"/>
      <c r="Y2442" s="102" t="n"/>
      <c r="Z2442" s="104" t="n"/>
      <c r="AB2442" s="105">
        <f>IF($B2442="","",(COUNTIF(C2408:E2425,$B2442)+COUNTIF(C2408:E2425,$B2442&amp;" ~*")&gt;0)+(COUNTIF(G2408:I2425,$B2442)+COUNTIF(G2408:I2425,$B2442&amp;" ~*")&gt;0)+(COUNTIF(K2408:M2425,$B2442)+COUNTIF(K2408:M2425,$B2442&amp;" ~*")&gt;0)+(COUNTIF(O2408:Q2425,$B2442)+COUNTIF(O2408:Q2425,$B2442&amp;" ~*")&gt;0)+(COUNTIF(S2408:U2425,$B2442)+COUNTIF(S2408:U2425,$B2442&amp;" ~*")&gt;0)+(COUNTIF(W2408:W2425,$B2442)+COUNTIF(W2408:W2425,$B2442&amp;" ~*")&gt;0)+(COUNTIF(Y2408:Y2425,$B2442)+COUNTIF(Y2408:Y2425,$B2442&amp;" ~*")&gt;0))</f>
        <v/>
      </c>
      <c r="AC2442" s="38">
        <f>IF($B2442="","",(IFERROR(INDEX(Setup!$G$33:$G$40,MATCH(C2442,Setup!$B$33:$B$40,0)),0)=1)*(COUNTIF(C2408:E2425,$B2442)+COUNTIF(C2408:E2425,$B2442&amp;" ~*")&gt;0)+(IFERROR(INDEX(Setup!$G$33:$G$40,MATCH(G2442,Setup!$B$33:$B$40,0)),0)=1)*(COUNTIF(G2408:I2425,$B2442)+COUNTIF(G2408:I2425,$B2442&amp;" ~*")&gt;0)+(IFERROR(INDEX(Setup!$G$33:$G$40,MATCH(K2442,Setup!$B$33:$B$40,0)),0)=1)*(COUNTIF(K2408:M2425,$B2442)+COUNTIF(K2408:M2425,$B2442&amp;" ~*")&gt;0)+(IFERROR(INDEX(Setup!$G$33:$G$40,MATCH(O2442,Setup!$B$33:$B$40,0)),0)=1)*(COUNTIF(O2408:Q2425,$B2442)+COUNTIF(O2408:Q2425,$B2442&amp;" ~*")&gt;0)+(IFERROR(INDEX(Setup!$G$33:$G$40,MATCH(S2442,Setup!$B$33:$B$40,0)),0)=1)*(COUNTIF(S2408:U2425,$B2442)+COUNTIF(S2408:U2425,$B2442&amp;" ~*")&gt;0)+(IFERROR(INDEX(Setup!$G$33:$G$40,MATCH(W2442,Setup!$B$33:$B$40,0)),0)=1)*(COUNTIF(W2408:W2425,$B2442)+COUNTIF(W2408:W2425,$B2442&amp;" ~*")&gt;0)+(IFERROR(INDEX(Setup!$G$33:$G$40,MATCH(Y2442,Setup!$B$33:$B$40,0)),0)=1)*(COUNTIF(Y2408:Y2425,$B2442)+COUNTIF(Y2408:Y2425,$B2442&amp;" ~*")&gt;0))</f>
        <v/>
      </c>
    </row>
    <row r="2443" ht="15" customHeight="1">
      <c r="A2443" t="n">
        <v>49</v>
      </c>
      <c r="B2443" s="35">
        <f>IF(Setup!$B$22="","",Setup!$B$22)</f>
        <v/>
      </c>
      <c r="C2443" s="98" t="n"/>
      <c r="D2443" s="99" t="n"/>
      <c r="E2443" s="99" t="n"/>
      <c r="F2443" s="100" t="n"/>
      <c r="G2443" s="98" t="n"/>
      <c r="H2443" s="99" t="n"/>
      <c r="I2443" s="99" t="n"/>
      <c r="J2443" s="100" t="n"/>
      <c r="K2443" s="98" t="n"/>
      <c r="L2443" s="99" t="n"/>
      <c r="M2443" s="99" t="n"/>
      <c r="N2443" s="100" t="n"/>
      <c r="O2443" s="98" t="n"/>
      <c r="P2443" s="99" t="n"/>
      <c r="Q2443" s="99" t="n"/>
      <c r="R2443" s="100" t="n"/>
      <c r="S2443" s="98" t="n"/>
      <c r="T2443" s="99" t="n"/>
      <c r="U2443" s="99" t="n"/>
      <c r="V2443" s="100" t="n"/>
      <c r="W2443" s="98" t="n"/>
      <c r="X2443" s="100" t="n"/>
      <c r="Y2443" s="98" t="n"/>
      <c r="Z2443" s="100" t="n"/>
      <c r="AB2443" s="101">
        <f>IF($B2443="","",(COUNTIF(C2408:E2425,$B2443)+COUNTIF(C2408:E2425,$B2443&amp;" ~*")&gt;0)+(COUNTIF(G2408:I2425,$B2443)+COUNTIF(G2408:I2425,$B2443&amp;" ~*")&gt;0)+(COUNTIF(K2408:M2425,$B2443)+COUNTIF(K2408:M2425,$B2443&amp;" ~*")&gt;0)+(COUNTIF(O2408:Q2425,$B2443)+COUNTIF(O2408:Q2425,$B2443&amp;" ~*")&gt;0)+(COUNTIF(S2408:U2425,$B2443)+COUNTIF(S2408:U2425,$B2443&amp;" ~*")&gt;0)+(COUNTIF(W2408:W2425,$B2443)+COUNTIF(W2408:W2425,$B2443&amp;" ~*")&gt;0)+(COUNTIF(Y2408:Y2425,$B2443)+COUNTIF(Y2408:Y2425,$B2443&amp;" ~*")&gt;0))</f>
        <v/>
      </c>
      <c r="AC2443" s="36">
        <f>IF($B2443="","",(IFERROR(INDEX(Setup!$G$33:$G$40,MATCH(C2443,Setup!$B$33:$B$40,0)),0)=1)*(COUNTIF(C2408:E2425,$B2443)+COUNTIF(C2408:E2425,$B2443&amp;" ~*")&gt;0)+(IFERROR(INDEX(Setup!$G$33:$G$40,MATCH(G2443,Setup!$B$33:$B$40,0)),0)=1)*(COUNTIF(G2408:I2425,$B2443)+COUNTIF(G2408:I2425,$B2443&amp;" ~*")&gt;0)+(IFERROR(INDEX(Setup!$G$33:$G$40,MATCH(K2443,Setup!$B$33:$B$40,0)),0)=1)*(COUNTIF(K2408:M2425,$B2443)+COUNTIF(K2408:M2425,$B2443&amp;" ~*")&gt;0)+(IFERROR(INDEX(Setup!$G$33:$G$40,MATCH(O2443,Setup!$B$33:$B$40,0)),0)=1)*(COUNTIF(O2408:Q2425,$B2443)+COUNTIF(O2408:Q2425,$B2443&amp;" ~*")&gt;0)+(IFERROR(INDEX(Setup!$G$33:$G$40,MATCH(S2443,Setup!$B$33:$B$40,0)),0)=1)*(COUNTIF(S2408:U2425,$B2443)+COUNTIF(S2408:U2425,$B2443&amp;" ~*")&gt;0)+(IFERROR(INDEX(Setup!$G$33:$G$40,MATCH(W2443,Setup!$B$33:$B$40,0)),0)=1)*(COUNTIF(W2408:W2425,$B2443)+COUNTIF(W2408:W2425,$B2443&amp;" ~*")&gt;0)+(IFERROR(INDEX(Setup!$G$33:$G$40,MATCH(Y2443,Setup!$B$33:$B$40,0)),0)=1)*(COUNTIF(Y2408:Y2425,$B2443)+COUNTIF(Y2408:Y2425,$B2443&amp;" ~*")&gt;0))</f>
        <v/>
      </c>
    </row>
    <row r="2444" ht="15" customHeight="1">
      <c r="A2444" t="n">
        <v>49</v>
      </c>
      <c r="B2444" s="37">
        <f>IF(Setup!$B$23="","",Setup!$B$23)</f>
        <v/>
      </c>
      <c r="C2444" s="102" t="n"/>
      <c r="D2444" s="103" t="n"/>
      <c r="E2444" s="103" t="n"/>
      <c r="F2444" s="104" t="n"/>
      <c r="G2444" s="102" t="n"/>
      <c r="H2444" s="103" t="n"/>
      <c r="I2444" s="103" t="n"/>
      <c r="J2444" s="104" t="n"/>
      <c r="K2444" s="102" t="n"/>
      <c r="L2444" s="103" t="n"/>
      <c r="M2444" s="103" t="n"/>
      <c r="N2444" s="104" t="n"/>
      <c r="O2444" s="102" t="n"/>
      <c r="P2444" s="103" t="n"/>
      <c r="Q2444" s="103" t="n"/>
      <c r="R2444" s="104" t="n"/>
      <c r="S2444" s="102" t="n"/>
      <c r="T2444" s="103" t="n"/>
      <c r="U2444" s="103" t="n"/>
      <c r="V2444" s="104" t="n"/>
      <c r="W2444" s="102" t="n"/>
      <c r="X2444" s="104" t="n"/>
      <c r="Y2444" s="102" t="n"/>
      <c r="Z2444" s="104" t="n"/>
      <c r="AB2444" s="105">
        <f>IF($B2444="","",(COUNTIF(C2408:E2425,$B2444)+COUNTIF(C2408:E2425,$B2444&amp;" ~*")&gt;0)+(COUNTIF(G2408:I2425,$B2444)+COUNTIF(G2408:I2425,$B2444&amp;" ~*")&gt;0)+(COUNTIF(K2408:M2425,$B2444)+COUNTIF(K2408:M2425,$B2444&amp;" ~*")&gt;0)+(COUNTIF(O2408:Q2425,$B2444)+COUNTIF(O2408:Q2425,$B2444&amp;" ~*")&gt;0)+(COUNTIF(S2408:U2425,$B2444)+COUNTIF(S2408:U2425,$B2444&amp;" ~*")&gt;0)+(COUNTIF(W2408:W2425,$B2444)+COUNTIF(W2408:W2425,$B2444&amp;" ~*")&gt;0)+(COUNTIF(Y2408:Y2425,$B2444)+COUNTIF(Y2408:Y2425,$B2444&amp;" ~*")&gt;0))</f>
        <v/>
      </c>
      <c r="AC2444" s="38">
        <f>IF($B2444="","",(IFERROR(INDEX(Setup!$G$33:$G$40,MATCH(C2444,Setup!$B$33:$B$40,0)),0)=1)*(COUNTIF(C2408:E2425,$B2444)+COUNTIF(C2408:E2425,$B2444&amp;" ~*")&gt;0)+(IFERROR(INDEX(Setup!$G$33:$G$40,MATCH(G2444,Setup!$B$33:$B$40,0)),0)=1)*(COUNTIF(G2408:I2425,$B2444)+COUNTIF(G2408:I2425,$B2444&amp;" ~*")&gt;0)+(IFERROR(INDEX(Setup!$G$33:$G$40,MATCH(K2444,Setup!$B$33:$B$40,0)),0)=1)*(COUNTIF(K2408:M2425,$B2444)+COUNTIF(K2408:M2425,$B2444&amp;" ~*")&gt;0)+(IFERROR(INDEX(Setup!$G$33:$G$40,MATCH(O2444,Setup!$B$33:$B$40,0)),0)=1)*(COUNTIF(O2408:Q2425,$B2444)+COUNTIF(O2408:Q2425,$B2444&amp;" ~*")&gt;0)+(IFERROR(INDEX(Setup!$G$33:$G$40,MATCH(S2444,Setup!$B$33:$B$40,0)),0)=1)*(COUNTIF(S2408:U2425,$B2444)+COUNTIF(S2408:U2425,$B2444&amp;" ~*")&gt;0)+(IFERROR(INDEX(Setup!$G$33:$G$40,MATCH(W2444,Setup!$B$33:$B$40,0)),0)=1)*(COUNTIF(W2408:W2425,$B2444)+COUNTIF(W2408:W2425,$B2444&amp;" ~*")&gt;0)+(IFERROR(INDEX(Setup!$G$33:$G$40,MATCH(Y2444,Setup!$B$33:$B$40,0)),0)=1)*(COUNTIF(Y2408:Y2425,$B2444)+COUNTIF(Y2408:Y2425,$B2444&amp;" ~*")&gt;0))</f>
        <v/>
      </c>
    </row>
    <row r="2445" ht="15" customHeight="1">
      <c r="A2445" t="n">
        <v>49</v>
      </c>
      <c r="B2445" s="35">
        <f>IF(Setup!$B$24="","",Setup!$B$24)</f>
        <v/>
      </c>
      <c r="C2445" s="98" t="n"/>
      <c r="D2445" s="99" t="n"/>
      <c r="E2445" s="99" t="n"/>
      <c r="F2445" s="100" t="n"/>
      <c r="G2445" s="98" t="n"/>
      <c r="H2445" s="99" t="n"/>
      <c r="I2445" s="99" t="n"/>
      <c r="J2445" s="100" t="n"/>
      <c r="K2445" s="98" t="n"/>
      <c r="L2445" s="99" t="n"/>
      <c r="M2445" s="99" t="n"/>
      <c r="N2445" s="100" t="n"/>
      <c r="O2445" s="98" t="n"/>
      <c r="P2445" s="99" t="n"/>
      <c r="Q2445" s="99" t="n"/>
      <c r="R2445" s="100" t="n"/>
      <c r="S2445" s="98" t="n"/>
      <c r="T2445" s="99" t="n"/>
      <c r="U2445" s="99" t="n"/>
      <c r="V2445" s="100" t="n"/>
      <c r="W2445" s="98" t="n"/>
      <c r="X2445" s="100" t="n"/>
      <c r="Y2445" s="98" t="n"/>
      <c r="Z2445" s="100" t="n"/>
      <c r="AB2445" s="101">
        <f>IF($B2445="","",(COUNTIF(C2408:E2425,$B2445)+COUNTIF(C2408:E2425,$B2445&amp;" ~*")&gt;0)+(COUNTIF(G2408:I2425,$B2445)+COUNTIF(G2408:I2425,$B2445&amp;" ~*")&gt;0)+(COUNTIF(K2408:M2425,$B2445)+COUNTIF(K2408:M2425,$B2445&amp;" ~*")&gt;0)+(COUNTIF(O2408:Q2425,$B2445)+COUNTIF(O2408:Q2425,$B2445&amp;" ~*")&gt;0)+(COUNTIF(S2408:U2425,$B2445)+COUNTIF(S2408:U2425,$B2445&amp;" ~*")&gt;0)+(COUNTIF(W2408:W2425,$B2445)+COUNTIF(W2408:W2425,$B2445&amp;" ~*")&gt;0)+(COUNTIF(Y2408:Y2425,$B2445)+COUNTIF(Y2408:Y2425,$B2445&amp;" ~*")&gt;0))</f>
        <v/>
      </c>
      <c r="AC2445" s="36">
        <f>IF($B2445="","",(IFERROR(INDEX(Setup!$G$33:$G$40,MATCH(C2445,Setup!$B$33:$B$40,0)),0)=1)*(COUNTIF(C2408:E2425,$B2445)+COUNTIF(C2408:E2425,$B2445&amp;" ~*")&gt;0)+(IFERROR(INDEX(Setup!$G$33:$G$40,MATCH(G2445,Setup!$B$33:$B$40,0)),0)=1)*(COUNTIF(G2408:I2425,$B2445)+COUNTIF(G2408:I2425,$B2445&amp;" ~*")&gt;0)+(IFERROR(INDEX(Setup!$G$33:$G$40,MATCH(K2445,Setup!$B$33:$B$40,0)),0)=1)*(COUNTIF(K2408:M2425,$B2445)+COUNTIF(K2408:M2425,$B2445&amp;" ~*")&gt;0)+(IFERROR(INDEX(Setup!$G$33:$G$40,MATCH(O2445,Setup!$B$33:$B$40,0)),0)=1)*(COUNTIF(O2408:Q2425,$B2445)+COUNTIF(O2408:Q2425,$B2445&amp;" ~*")&gt;0)+(IFERROR(INDEX(Setup!$G$33:$G$40,MATCH(S2445,Setup!$B$33:$B$40,0)),0)=1)*(COUNTIF(S2408:U2425,$B2445)+COUNTIF(S2408:U2425,$B2445&amp;" ~*")&gt;0)+(IFERROR(INDEX(Setup!$G$33:$G$40,MATCH(W2445,Setup!$B$33:$B$40,0)),0)=1)*(COUNTIF(W2408:W2425,$B2445)+COUNTIF(W2408:W2425,$B2445&amp;" ~*")&gt;0)+(IFERROR(INDEX(Setup!$G$33:$G$40,MATCH(Y2445,Setup!$B$33:$B$40,0)),0)=1)*(COUNTIF(Y2408:Y2425,$B2445)+COUNTIF(Y2408:Y2425,$B2445&amp;" ~*")&gt;0))</f>
        <v/>
      </c>
    </row>
    <row r="2446" ht="15" customHeight="1">
      <c r="A2446" t="n">
        <v>49</v>
      </c>
      <c r="B2446" s="37">
        <f>IF(Setup!$B$25="","",Setup!$B$25)</f>
        <v/>
      </c>
      <c r="C2446" s="102" t="n"/>
      <c r="D2446" s="103" t="n"/>
      <c r="E2446" s="103" t="n"/>
      <c r="F2446" s="104" t="n"/>
      <c r="G2446" s="102" t="n"/>
      <c r="H2446" s="103" t="n"/>
      <c r="I2446" s="103" t="n"/>
      <c r="J2446" s="104" t="n"/>
      <c r="K2446" s="102" t="n"/>
      <c r="L2446" s="103" t="n"/>
      <c r="M2446" s="103" t="n"/>
      <c r="N2446" s="104" t="n"/>
      <c r="O2446" s="102" t="n"/>
      <c r="P2446" s="103" t="n"/>
      <c r="Q2446" s="103" t="n"/>
      <c r="R2446" s="104" t="n"/>
      <c r="S2446" s="102" t="n"/>
      <c r="T2446" s="103" t="n"/>
      <c r="U2446" s="103" t="n"/>
      <c r="V2446" s="104" t="n"/>
      <c r="W2446" s="102" t="n"/>
      <c r="X2446" s="104" t="n"/>
      <c r="Y2446" s="102" t="n"/>
      <c r="Z2446" s="104" t="n"/>
      <c r="AB2446" s="105">
        <f>IF($B2446="","",(COUNTIF(C2408:E2425,$B2446)+COUNTIF(C2408:E2425,$B2446&amp;" ~*")&gt;0)+(COUNTIF(G2408:I2425,$B2446)+COUNTIF(G2408:I2425,$B2446&amp;" ~*")&gt;0)+(COUNTIF(K2408:M2425,$B2446)+COUNTIF(K2408:M2425,$B2446&amp;" ~*")&gt;0)+(COUNTIF(O2408:Q2425,$B2446)+COUNTIF(O2408:Q2425,$B2446&amp;" ~*")&gt;0)+(COUNTIF(S2408:U2425,$B2446)+COUNTIF(S2408:U2425,$B2446&amp;" ~*")&gt;0)+(COUNTIF(W2408:W2425,$B2446)+COUNTIF(W2408:W2425,$B2446&amp;" ~*")&gt;0)+(COUNTIF(Y2408:Y2425,$B2446)+COUNTIF(Y2408:Y2425,$B2446&amp;" ~*")&gt;0))</f>
        <v/>
      </c>
      <c r="AC2446" s="38">
        <f>IF($B2446="","",(IFERROR(INDEX(Setup!$G$33:$G$40,MATCH(C2446,Setup!$B$33:$B$40,0)),0)=1)*(COUNTIF(C2408:E2425,$B2446)+COUNTIF(C2408:E2425,$B2446&amp;" ~*")&gt;0)+(IFERROR(INDEX(Setup!$G$33:$G$40,MATCH(G2446,Setup!$B$33:$B$40,0)),0)=1)*(COUNTIF(G2408:I2425,$B2446)+COUNTIF(G2408:I2425,$B2446&amp;" ~*")&gt;0)+(IFERROR(INDEX(Setup!$G$33:$G$40,MATCH(K2446,Setup!$B$33:$B$40,0)),0)=1)*(COUNTIF(K2408:M2425,$B2446)+COUNTIF(K2408:M2425,$B2446&amp;" ~*")&gt;0)+(IFERROR(INDEX(Setup!$G$33:$G$40,MATCH(O2446,Setup!$B$33:$B$40,0)),0)=1)*(COUNTIF(O2408:Q2425,$B2446)+COUNTIF(O2408:Q2425,$B2446&amp;" ~*")&gt;0)+(IFERROR(INDEX(Setup!$G$33:$G$40,MATCH(S2446,Setup!$B$33:$B$40,0)),0)=1)*(COUNTIF(S2408:U2425,$B2446)+COUNTIF(S2408:U2425,$B2446&amp;" ~*")&gt;0)+(IFERROR(INDEX(Setup!$G$33:$G$40,MATCH(W2446,Setup!$B$33:$B$40,0)),0)=1)*(COUNTIF(W2408:W2425,$B2446)+COUNTIF(W2408:W2425,$B2446&amp;" ~*")&gt;0)+(IFERROR(INDEX(Setup!$G$33:$G$40,MATCH(Y2446,Setup!$B$33:$B$40,0)),0)=1)*(COUNTIF(Y2408:Y2425,$B2446)+COUNTIF(Y2408:Y2425,$B2446&amp;" ~*")&gt;0))</f>
        <v/>
      </c>
    </row>
    <row r="2447" ht="15" customHeight="1">
      <c r="A2447" t="n">
        <v>49</v>
      </c>
      <c r="B2447" s="35">
        <f>IF(Setup!$B$26="","",Setup!$B$26)</f>
        <v/>
      </c>
      <c r="C2447" s="98" t="n"/>
      <c r="D2447" s="99" t="n"/>
      <c r="E2447" s="99" t="n"/>
      <c r="F2447" s="100" t="n"/>
      <c r="G2447" s="98" t="n"/>
      <c r="H2447" s="99" t="n"/>
      <c r="I2447" s="99" t="n"/>
      <c r="J2447" s="100" t="n"/>
      <c r="K2447" s="98" t="n"/>
      <c r="L2447" s="99" t="n"/>
      <c r="M2447" s="99" t="n"/>
      <c r="N2447" s="100" t="n"/>
      <c r="O2447" s="98" t="n"/>
      <c r="P2447" s="99" t="n"/>
      <c r="Q2447" s="99" t="n"/>
      <c r="R2447" s="100" t="n"/>
      <c r="S2447" s="98" t="n"/>
      <c r="T2447" s="99" t="n"/>
      <c r="U2447" s="99" t="n"/>
      <c r="V2447" s="100" t="n"/>
      <c r="W2447" s="98" t="n"/>
      <c r="X2447" s="100" t="n"/>
      <c r="Y2447" s="98" t="n"/>
      <c r="Z2447" s="100" t="n"/>
      <c r="AB2447" s="101">
        <f>IF($B2447="","",(COUNTIF(C2408:E2425,$B2447)+COUNTIF(C2408:E2425,$B2447&amp;" ~*")&gt;0)+(COUNTIF(G2408:I2425,$B2447)+COUNTIF(G2408:I2425,$B2447&amp;" ~*")&gt;0)+(COUNTIF(K2408:M2425,$B2447)+COUNTIF(K2408:M2425,$B2447&amp;" ~*")&gt;0)+(COUNTIF(O2408:Q2425,$B2447)+COUNTIF(O2408:Q2425,$B2447&amp;" ~*")&gt;0)+(COUNTIF(S2408:U2425,$B2447)+COUNTIF(S2408:U2425,$B2447&amp;" ~*")&gt;0)+(COUNTIF(W2408:W2425,$B2447)+COUNTIF(W2408:W2425,$B2447&amp;" ~*")&gt;0)+(COUNTIF(Y2408:Y2425,$B2447)+COUNTIF(Y2408:Y2425,$B2447&amp;" ~*")&gt;0))</f>
        <v/>
      </c>
      <c r="AC2447" s="36">
        <f>IF($B2447="","",(IFERROR(INDEX(Setup!$G$33:$G$40,MATCH(C2447,Setup!$B$33:$B$40,0)),0)=1)*(COUNTIF(C2408:E2425,$B2447)+COUNTIF(C2408:E2425,$B2447&amp;" ~*")&gt;0)+(IFERROR(INDEX(Setup!$G$33:$G$40,MATCH(G2447,Setup!$B$33:$B$40,0)),0)=1)*(COUNTIF(G2408:I2425,$B2447)+COUNTIF(G2408:I2425,$B2447&amp;" ~*")&gt;0)+(IFERROR(INDEX(Setup!$G$33:$G$40,MATCH(K2447,Setup!$B$33:$B$40,0)),0)=1)*(COUNTIF(K2408:M2425,$B2447)+COUNTIF(K2408:M2425,$B2447&amp;" ~*")&gt;0)+(IFERROR(INDEX(Setup!$G$33:$G$40,MATCH(O2447,Setup!$B$33:$B$40,0)),0)=1)*(COUNTIF(O2408:Q2425,$B2447)+COUNTIF(O2408:Q2425,$B2447&amp;" ~*")&gt;0)+(IFERROR(INDEX(Setup!$G$33:$G$40,MATCH(S2447,Setup!$B$33:$B$40,0)),0)=1)*(COUNTIF(S2408:U2425,$B2447)+COUNTIF(S2408:U2425,$B2447&amp;" ~*")&gt;0)+(IFERROR(INDEX(Setup!$G$33:$G$40,MATCH(W2447,Setup!$B$33:$B$40,0)),0)=1)*(COUNTIF(W2408:W2425,$B2447)+COUNTIF(W2408:W2425,$B2447&amp;" ~*")&gt;0)+(IFERROR(INDEX(Setup!$G$33:$G$40,MATCH(Y2447,Setup!$B$33:$B$40,0)),0)=1)*(COUNTIF(Y2408:Y2425,$B2447)+COUNTIF(Y2408:Y2425,$B2447&amp;" ~*")&gt;0))</f>
        <v/>
      </c>
    </row>
    <row r="2448" ht="15" customHeight="1">
      <c r="A2448" t="n">
        <v>49</v>
      </c>
      <c r="B2448" s="37">
        <f>IF(Setup!$B$27="","",Setup!$B$27)</f>
        <v/>
      </c>
      <c r="C2448" s="102" t="n"/>
      <c r="D2448" s="103" t="n"/>
      <c r="E2448" s="103" t="n"/>
      <c r="F2448" s="104" t="n"/>
      <c r="G2448" s="102" t="n"/>
      <c r="H2448" s="103" t="n"/>
      <c r="I2448" s="103" t="n"/>
      <c r="J2448" s="104" t="n"/>
      <c r="K2448" s="102" t="n"/>
      <c r="L2448" s="103" t="n"/>
      <c r="M2448" s="103" t="n"/>
      <c r="N2448" s="104" t="n"/>
      <c r="O2448" s="102" t="n"/>
      <c r="P2448" s="103" t="n"/>
      <c r="Q2448" s="103" t="n"/>
      <c r="R2448" s="104" t="n"/>
      <c r="S2448" s="102" t="n"/>
      <c r="T2448" s="103" t="n"/>
      <c r="U2448" s="103" t="n"/>
      <c r="V2448" s="104" t="n"/>
      <c r="W2448" s="102" t="n"/>
      <c r="X2448" s="104" t="n"/>
      <c r="Y2448" s="102" t="n"/>
      <c r="Z2448" s="104" t="n"/>
      <c r="AB2448" s="105">
        <f>IF($B2448="","",(COUNTIF(C2408:E2425,$B2448)+COUNTIF(C2408:E2425,$B2448&amp;" ~*")&gt;0)+(COUNTIF(G2408:I2425,$B2448)+COUNTIF(G2408:I2425,$B2448&amp;" ~*")&gt;0)+(COUNTIF(K2408:M2425,$B2448)+COUNTIF(K2408:M2425,$B2448&amp;" ~*")&gt;0)+(COUNTIF(O2408:Q2425,$B2448)+COUNTIF(O2408:Q2425,$B2448&amp;" ~*")&gt;0)+(COUNTIF(S2408:U2425,$B2448)+COUNTIF(S2408:U2425,$B2448&amp;" ~*")&gt;0)+(COUNTIF(W2408:W2425,$B2448)+COUNTIF(W2408:W2425,$B2448&amp;" ~*")&gt;0)+(COUNTIF(Y2408:Y2425,$B2448)+COUNTIF(Y2408:Y2425,$B2448&amp;" ~*")&gt;0))</f>
        <v/>
      </c>
      <c r="AC2448" s="38">
        <f>IF($B2448="","",(IFERROR(INDEX(Setup!$G$33:$G$40,MATCH(C2448,Setup!$B$33:$B$40,0)),0)=1)*(COUNTIF(C2408:E2425,$B2448)+COUNTIF(C2408:E2425,$B2448&amp;" ~*")&gt;0)+(IFERROR(INDEX(Setup!$G$33:$G$40,MATCH(G2448,Setup!$B$33:$B$40,0)),0)=1)*(COUNTIF(G2408:I2425,$B2448)+COUNTIF(G2408:I2425,$B2448&amp;" ~*")&gt;0)+(IFERROR(INDEX(Setup!$G$33:$G$40,MATCH(K2448,Setup!$B$33:$B$40,0)),0)=1)*(COUNTIF(K2408:M2425,$B2448)+COUNTIF(K2408:M2425,$B2448&amp;" ~*")&gt;0)+(IFERROR(INDEX(Setup!$G$33:$G$40,MATCH(O2448,Setup!$B$33:$B$40,0)),0)=1)*(COUNTIF(O2408:Q2425,$B2448)+COUNTIF(O2408:Q2425,$B2448&amp;" ~*")&gt;0)+(IFERROR(INDEX(Setup!$G$33:$G$40,MATCH(S2448,Setup!$B$33:$B$40,0)),0)=1)*(COUNTIF(S2408:U2425,$B2448)+COUNTIF(S2408:U2425,$B2448&amp;" ~*")&gt;0)+(IFERROR(INDEX(Setup!$G$33:$G$40,MATCH(W2448,Setup!$B$33:$B$40,0)),0)=1)*(COUNTIF(W2408:W2425,$B2448)+COUNTIF(W2408:W2425,$B2448&amp;" ~*")&gt;0)+(IFERROR(INDEX(Setup!$G$33:$G$40,MATCH(Y2448,Setup!$B$33:$B$40,0)),0)=1)*(COUNTIF(Y2408:Y2425,$B2448)+COUNTIF(Y2408:Y2425,$B2448&amp;" ~*")&gt;0))</f>
        <v/>
      </c>
    </row>
    <row r="2449" ht="15" customHeight="1">
      <c r="A2449" t="n">
        <v>49</v>
      </c>
      <c r="B2449" s="35">
        <f>IF(Setup!$B$28="","",Setup!$B$28)</f>
        <v/>
      </c>
      <c r="C2449" s="98" t="n"/>
      <c r="D2449" s="99" t="n"/>
      <c r="E2449" s="99" t="n"/>
      <c r="F2449" s="100" t="n"/>
      <c r="G2449" s="98" t="n"/>
      <c r="H2449" s="99" t="n"/>
      <c r="I2449" s="99" t="n"/>
      <c r="J2449" s="100" t="n"/>
      <c r="K2449" s="98" t="n"/>
      <c r="L2449" s="99" t="n"/>
      <c r="M2449" s="99" t="n"/>
      <c r="N2449" s="100" t="n"/>
      <c r="O2449" s="98" t="n"/>
      <c r="P2449" s="99" t="n"/>
      <c r="Q2449" s="99" t="n"/>
      <c r="R2449" s="100" t="n"/>
      <c r="S2449" s="98" t="n"/>
      <c r="T2449" s="99" t="n"/>
      <c r="U2449" s="99" t="n"/>
      <c r="V2449" s="100" t="n"/>
      <c r="W2449" s="98" t="n"/>
      <c r="X2449" s="100" t="n"/>
      <c r="Y2449" s="98" t="n"/>
      <c r="Z2449" s="100" t="n"/>
      <c r="AB2449" s="101">
        <f>IF($B2449="","",(COUNTIF(C2408:E2425,$B2449)+COUNTIF(C2408:E2425,$B2449&amp;" ~*")&gt;0)+(COUNTIF(G2408:I2425,$B2449)+COUNTIF(G2408:I2425,$B2449&amp;" ~*")&gt;0)+(COUNTIF(K2408:M2425,$B2449)+COUNTIF(K2408:M2425,$B2449&amp;" ~*")&gt;0)+(COUNTIF(O2408:Q2425,$B2449)+COUNTIF(O2408:Q2425,$B2449&amp;" ~*")&gt;0)+(COUNTIF(S2408:U2425,$B2449)+COUNTIF(S2408:U2425,$B2449&amp;" ~*")&gt;0)+(COUNTIF(W2408:W2425,$B2449)+COUNTIF(W2408:W2425,$B2449&amp;" ~*")&gt;0)+(COUNTIF(Y2408:Y2425,$B2449)+COUNTIF(Y2408:Y2425,$B2449&amp;" ~*")&gt;0))</f>
        <v/>
      </c>
      <c r="AC2449" s="36">
        <f>IF($B2449="","",(IFERROR(INDEX(Setup!$G$33:$G$40,MATCH(C2449,Setup!$B$33:$B$40,0)),0)=1)*(COUNTIF(C2408:E2425,$B2449)+COUNTIF(C2408:E2425,$B2449&amp;" ~*")&gt;0)+(IFERROR(INDEX(Setup!$G$33:$G$40,MATCH(G2449,Setup!$B$33:$B$40,0)),0)=1)*(COUNTIF(G2408:I2425,$B2449)+COUNTIF(G2408:I2425,$B2449&amp;" ~*")&gt;0)+(IFERROR(INDEX(Setup!$G$33:$G$40,MATCH(K2449,Setup!$B$33:$B$40,0)),0)=1)*(COUNTIF(K2408:M2425,$B2449)+COUNTIF(K2408:M2425,$B2449&amp;" ~*")&gt;0)+(IFERROR(INDEX(Setup!$G$33:$G$40,MATCH(O2449,Setup!$B$33:$B$40,0)),0)=1)*(COUNTIF(O2408:Q2425,$B2449)+COUNTIF(O2408:Q2425,$B2449&amp;" ~*")&gt;0)+(IFERROR(INDEX(Setup!$G$33:$G$40,MATCH(S2449,Setup!$B$33:$B$40,0)),0)=1)*(COUNTIF(S2408:U2425,$B2449)+COUNTIF(S2408:U2425,$B2449&amp;" ~*")&gt;0)+(IFERROR(INDEX(Setup!$G$33:$G$40,MATCH(W2449,Setup!$B$33:$B$40,0)),0)=1)*(COUNTIF(W2408:W2425,$B2449)+COUNTIF(W2408:W2425,$B2449&amp;" ~*")&gt;0)+(IFERROR(INDEX(Setup!$G$33:$G$40,MATCH(Y2449,Setup!$B$33:$B$40,0)),0)=1)*(COUNTIF(Y2408:Y2425,$B2449)+COUNTIF(Y2408:Y2425,$B2449&amp;" ~*")&gt;0))</f>
        <v/>
      </c>
    </row>
    <row r="2450" ht="15" customHeight="1">
      <c r="A2450" t="n">
        <v>49</v>
      </c>
      <c r="B2450" s="37">
        <f>IF(Setup!$B$29="","",Setup!$B$29)</f>
        <v/>
      </c>
      <c r="C2450" s="102" t="n"/>
      <c r="D2450" s="103" t="n"/>
      <c r="E2450" s="103" t="n"/>
      <c r="F2450" s="104" t="n"/>
      <c r="G2450" s="102" t="n"/>
      <c r="H2450" s="103" t="n"/>
      <c r="I2450" s="103" t="n"/>
      <c r="J2450" s="104" t="n"/>
      <c r="K2450" s="102" t="n"/>
      <c r="L2450" s="103" t="n"/>
      <c r="M2450" s="103" t="n"/>
      <c r="N2450" s="104" t="n"/>
      <c r="O2450" s="102" t="n"/>
      <c r="P2450" s="103" t="n"/>
      <c r="Q2450" s="103" t="n"/>
      <c r="R2450" s="104" t="n"/>
      <c r="S2450" s="102" t="n"/>
      <c r="T2450" s="103" t="n"/>
      <c r="U2450" s="103" t="n"/>
      <c r="V2450" s="104" t="n"/>
      <c r="W2450" s="102" t="n"/>
      <c r="X2450" s="104" t="n"/>
      <c r="Y2450" s="102" t="n"/>
      <c r="Z2450" s="104" t="n"/>
      <c r="AB2450" s="105">
        <f>IF($B2450="","",(COUNTIF(C2408:E2425,$B2450)+COUNTIF(C2408:E2425,$B2450&amp;" ~*")&gt;0)+(COUNTIF(G2408:I2425,$B2450)+COUNTIF(G2408:I2425,$B2450&amp;" ~*")&gt;0)+(COUNTIF(K2408:M2425,$B2450)+COUNTIF(K2408:M2425,$B2450&amp;" ~*")&gt;0)+(COUNTIF(O2408:Q2425,$B2450)+COUNTIF(O2408:Q2425,$B2450&amp;" ~*")&gt;0)+(COUNTIF(S2408:U2425,$B2450)+COUNTIF(S2408:U2425,$B2450&amp;" ~*")&gt;0)+(COUNTIF(W2408:W2425,$B2450)+COUNTIF(W2408:W2425,$B2450&amp;" ~*")&gt;0)+(COUNTIF(Y2408:Y2425,$B2450)+COUNTIF(Y2408:Y2425,$B2450&amp;" ~*")&gt;0))</f>
        <v/>
      </c>
      <c r="AC2450" s="38">
        <f>IF($B2450="","",(IFERROR(INDEX(Setup!$G$33:$G$40,MATCH(C2450,Setup!$B$33:$B$40,0)),0)=1)*(COUNTIF(C2408:E2425,$B2450)+COUNTIF(C2408:E2425,$B2450&amp;" ~*")&gt;0)+(IFERROR(INDEX(Setup!$G$33:$G$40,MATCH(G2450,Setup!$B$33:$B$40,0)),0)=1)*(COUNTIF(G2408:I2425,$B2450)+COUNTIF(G2408:I2425,$B2450&amp;" ~*")&gt;0)+(IFERROR(INDEX(Setup!$G$33:$G$40,MATCH(K2450,Setup!$B$33:$B$40,0)),0)=1)*(COUNTIF(K2408:M2425,$B2450)+COUNTIF(K2408:M2425,$B2450&amp;" ~*")&gt;0)+(IFERROR(INDEX(Setup!$G$33:$G$40,MATCH(O2450,Setup!$B$33:$B$40,0)),0)=1)*(COUNTIF(O2408:Q2425,$B2450)+COUNTIF(O2408:Q2425,$B2450&amp;" ~*")&gt;0)+(IFERROR(INDEX(Setup!$G$33:$G$40,MATCH(S2450,Setup!$B$33:$B$40,0)),0)=1)*(COUNTIF(S2408:U2425,$B2450)+COUNTIF(S2408:U2425,$B2450&amp;" ~*")&gt;0)+(IFERROR(INDEX(Setup!$G$33:$G$40,MATCH(W2450,Setup!$B$33:$B$40,0)),0)=1)*(COUNTIF(W2408:W2425,$B2450)+COUNTIF(W2408:W2425,$B2450&amp;" ~*")&gt;0)+(IFERROR(INDEX(Setup!$G$33:$G$40,MATCH(Y2450,Setup!$B$33:$B$40,0)),0)=1)*(COUNTIF(Y2408:Y2425,$B2450)+COUNTIF(Y2408:Y2425,$B2450&amp;" ~*")&gt;0))</f>
        <v/>
      </c>
    </row>
    <row r="2451" ht="16" customHeight="1">
      <c r="A2451" t="n">
        <v>49</v>
      </c>
      <c r="B2451" s="106" t="inlineStr">
        <is>
          <t>Available people</t>
        </is>
      </c>
      <c r="C2451" s="107">
        <f>COUNTIFS(Setup!$E$6:$E$29,"Y",Setup!$B$6:$B$29,"?*")-SUMPRODUCT(COUNTIF(C2427:C2450,Setup!$F$33:$F$40))</f>
        <v/>
      </c>
      <c r="D2451" s="107" t="n"/>
      <c r="E2451" s="107" t="n"/>
      <c r="F2451" s="107" t="n"/>
      <c r="G2451" s="107">
        <f>COUNTIFS(Setup!$E$6:$E$29,"Y",Setup!$B$6:$B$29,"?*")-SUMPRODUCT(COUNTIF(G2427:G2450,Setup!$F$33:$F$40))</f>
        <v/>
      </c>
      <c r="H2451" s="107" t="n"/>
      <c r="I2451" s="107" t="n"/>
      <c r="J2451" s="107" t="n"/>
      <c r="K2451" s="107">
        <f>COUNTIFS(Setup!$E$6:$E$29,"Y",Setup!$B$6:$B$29,"?*")-SUMPRODUCT(COUNTIF(K2427:K2450,Setup!$F$33:$F$40))</f>
        <v/>
      </c>
      <c r="L2451" s="107" t="n"/>
      <c r="M2451" s="107" t="n"/>
      <c r="N2451" s="107" t="n"/>
      <c r="O2451" s="107">
        <f>COUNTIFS(Setup!$E$6:$E$29,"Y",Setup!$B$6:$B$29,"?*")-SUMPRODUCT(COUNTIF(O2427:O2450,Setup!$F$33:$F$40))</f>
        <v/>
      </c>
      <c r="P2451" s="107" t="n"/>
      <c r="Q2451" s="107" t="n"/>
      <c r="R2451" s="107" t="n"/>
      <c r="S2451" s="107">
        <f>COUNTIFS(Setup!$E$6:$E$29,"Y",Setup!$B$6:$B$29,"?*")-SUMPRODUCT(COUNTIF(S2427:S2450,Setup!$F$33:$F$40))</f>
        <v/>
      </c>
      <c r="T2451" s="107" t="n"/>
      <c r="U2451" s="107" t="n"/>
      <c r="V2451" s="107" t="n"/>
      <c r="W2451" s="107">
        <f>COUNTIFS(Setup!$E$6:$E$29,"Y",Setup!$B$6:$B$29,"?*")-SUMPRODUCT(COUNTIF(W2427:W2450,Setup!$F$33:$F$40))</f>
        <v/>
      </c>
      <c r="X2451" s="107" t="n"/>
      <c r="Y2451" s="107">
        <f>COUNTIFS(Setup!$E$6:$E$29,"Y",Setup!$B$6:$B$29,"?*")-SUMPRODUCT(COUNTIF(Y2427:Y2450,Setup!$F$33:$F$40))</f>
        <v/>
      </c>
      <c r="Z2451" s="107" t="n"/>
      <c r="AB2451" s="108">
        <f>SUM(AB2427:AB2450)</f>
        <v/>
      </c>
      <c r="AC2451" s="109">
        <f>SUM(AC2427:AC2450)</f>
        <v/>
      </c>
    </row>
    <row r="2452" ht="30" customHeight="1">
      <c r="A2452" t="n">
        <v>49</v>
      </c>
      <c r="B2452" s="110" t="inlineStr">
        <is>
          <t>Week notes</t>
        </is>
      </c>
      <c r="C2452" s="111" t="n"/>
      <c r="D2452" s="112" t="n"/>
      <c r="E2452" s="112" t="n"/>
      <c r="F2452" s="112" t="n"/>
      <c r="G2452" s="112" t="n"/>
      <c r="H2452" s="112" t="n"/>
      <c r="I2452" s="112" t="n"/>
      <c r="J2452" s="112" t="n"/>
      <c r="K2452" s="112" t="n"/>
      <c r="L2452" s="112" t="n"/>
      <c r="M2452" s="112" t="n"/>
      <c r="N2452" s="112" t="n"/>
      <c r="O2452" s="112" t="n"/>
      <c r="P2452" s="112" t="n"/>
      <c r="Q2452" s="112" t="n"/>
      <c r="R2452" s="112" t="n"/>
      <c r="S2452" s="112" t="n"/>
      <c r="T2452" s="112" t="n"/>
      <c r="U2452" s="112" t="n"/>
      <c r="V2452" s="112" t="n"/>
      <c r="W2452" s="112" t="n"/>
      <c r="X2452" s="112" t="n"/>
      <c r="Y2452" s="112" t="n"/>
      <c r="Z2452" s="113" t="n"/>
    </row>
    <row r="2453" ht="8" customHeight="1">
      <c r="A2453" t="n">
        <v>49</v>
      </c>
    </row>
    <row r="2454" ht="8" customHeight="1">
      <c r="A2454" t="n">
        <v>49</v>
      </c>
    </row>
    <row r="2455" ht="24" customHeight="1">
      <c r="A2455" t="n">
        <v>50</v>
      </c>
      <c r="B2455" s="73">
        <f>"WEEK 50     "&amp;TEXT(C2456,"ddd d mmm")&amp;"  –  "&amp;TEXT(C2456+6,"ddd d mmm yyyy")</f>
        <v/>
      </c>
      <c r="S2455" s="74">
        <f>IF(TODAY()&lt;C2456,"FUTURE",IF(TODAY()&gt;C2456+6,"PAST","THIS WEEK"))</f>
        <v/>
      </c>
      <c r="W2455" s="75">
        <f>IF(AND(Engine!$B$8=$AC$3,Engine!$B$9=$A2455),"◀ ACTIVE WEEK","")</f>
        <v/>
      </c>
      <c r="AA2455" s="76" t="n"/>
      <c r="AB2455" s="77" t="inlineStr">
        <is>
          <t>◀ Prev</t>
        </is>
      </c>
      <c r="AC2455" s="77" t="inlineStr">
        <is>
          <t>Next ▶</t>
        </is>
      </c>
    </row>
    <row r="2456" ht="18" customHeight="1">
      <c r="A2456" t="n">
        <v>50</v>
      </c>
      <c r="B2456" s="78" t="inlineStr">
        <is>
          <t>DUTY</t>
        </is>
      </c>
      <c r="C2456" s="79">
        <f>$AC$2+7*($A2456-1)</f>
        <v/>
      </c>
      <c r="D2456" s="80" t="n"/>
      <c r="E2456" s="80" t="n"/>
      <c r="F2456" s="81" t="n"/>
      <c r="G2456" s="79">
        <f>C2456+1</f>
        <v/>
      </c>
      <c r="H2456" s="80" t="n"/>
      <c r="I2456" s="80" t="n"/>
      <c r="J2456" s="81" t="n"/>
      <c r="K2456" s="79">
        <f>C2456+2</f>
        <v/>
      </c>
      <c r="L2456" s="80" t="n"/>
      <c r="M2456" s="80" t="n"/>
      <c r="N2456" s="81" t="n"/>
      <c r="O2456" s="79">
        <f>C2456+3</f>
        <v/>
      </c>
      <c r="P2456" s="80" t="n"/>
      <c r="Q2456" s="80" t="n"/>
      <c r="R2456" s="81" t="n"/>
      <c r="S2456" s="79">
        <f>C2456+4</f>
        <v/>
      </c>
      <c r="T2456" s="80" t="n"/>
      <c r="U2456" s="80" t="n"/>
      <c r="V2456" s="81" t="n"/>
      <c r="W2456" s="82">
        <f>C2456+5</f>
        <v/>
      </c>
      <c r="X2456" s="83" t="n"/>
      <c r="Y2456" s="82">
        <f>C2456+6</f>
        <v/>
      </c>
      <c r="Z2456" s="83" t="n"/>
      <c r="AB2456" s="72" t="inlineStr">
        <is>
          <t>Gaps</t>
        </is>
      </c>
      <c r="AC2456" s="72" t="inlineStr">
        <is>
          <t>Cover</t>
        </is>
      </c>
    </row>
    <row r="2457" ht="14" customHeight="1">
      <c r="A2457" t="n">
        <v>50</v>
      </c>
      <c r="B2457" s="84" t="inlineStr">
        <is>
          <t>(from Setup)</t>
        </is>
      </c>
      <c r="C2457" s="85" t="inlineStr">
        <is>
          <t>1</t>
        </is>
      </c>
      <c r="D2457" s="85" t="inlineStr">
        <is>
          <t>2</t>
        </is>
      </c>
      <c r="E2457" s="85" t="inlineStr">
        <is>
          <t>3</t>
        </is>
      </c>
      <c r="F2457" s="85" t="inlineStr">
        <is>
          <t>Notes</t>
        </is>
      </c>
      <c r="G2457" s="85" t="inlineStr">
        <is>
          <t>1</t>
        </is>
      </c>
      <c r="H2457" s="85" t="inlineStr">
        <is>
          <t>2</t>
        </is>
      </c>
      <c r="I2457" s="85" t="inlineStr">
        <is>
          <t>3</t>
        </is>
      </c>
      <c r="J2457" s="85" t="inlineStr">
        <is>
          <t>Notes</t>
        </is>
      </c>
      <c r="K2457" s="85" t="inlineStr">
        <is>
          <t>1</t>
        </is>
      </c>
      <c r="L2457" s="85" t="inlineStr">
        <is>
          <t>2</t>
        </is>
      </c>
      <c r="M2457" s="85" t="inlineStr">
        <is>
          <t>3</t>
        </is>
      </c>
      <c r="N2457" s="85" t="inlineStr">
        <is>
          <t>Notes</t>
        </is>
      </c>
      <c r="O2457" s="85" t="inlineStr">
        <is>
          <t>1</t>
        </is>
      </c>
      <c r="P2457" s="85" t="inlineStr">
        <is>
          <t>2</t>
        </is>
      </c>
      <c r="Q2457" s="85" t="inlineStr">
        <is>
          <t>3</t>
        </is>
      </c>
      <c r="R2457" s="85" t="inlineStr">
        <is>
          <t>Notes</t>
        </is>
      </c>
      <c r="S2457" s="85" t="inlineStr">
        <is>
          <t>1</t>
        </is>
      </c>
      <c r="T2457" s="85" t="inlineStr">
        <is>
          <t>2</t>
        </is>
      </c>
      <c r="U2457" s="85" t="inlineStr">
        <is>
          <t>3</t>
        </is>
      </c>
      <c r="V2457" s="85" t="inlineStr">
        <is>
          <t>Notes</t>
        </is>
      </c>
      <c r="W2457" s="85" t="inlineStr">
        <is>
          <t>Cover</t>
        </is>
      </c>
      <c r="X2457" s="85" t="inlineStr">
        <is>
          <t>Notes</t>
        </is>
      </c>
      <c r="Y2457" s="85" t="inlineStr">
        <is>
          <t>Cover</t>
        </is>
      </c>
      <c r="Z2457" s="85" t="inlineStr">
        <is>
          <t>Notes</t>
        </is>
      </c>
      <c r="AB2457" s="86" t="inlineStr">
        <is>
          <t>weekdays short</t>
        </is>
      </c>
      <c r="AC2457" s="87" t="inlineStr"/>
    </row>
    <row r="2458" ht="17" customHeight="1">
      <c r="A2458" t="n">
        <v>50</v>
      </c>
      <c r="B2458" s="24">
        <f>IF(Setup!$K$6="","",Setup!$K$6)</f>
        <v/>
      </c>
      <c r="C2458" s="88" t="n"/>
      <c r="D2458" s="88" t="n"/>
      <c r="E2458" s="88" t="n"/>
      <c r="F2458" s="89" t="n"/>
      <c r="G2458" s="88" t="n"/>
      <c r="H2458" s="88" t="n"/>
      <c r="I2458" s="88" t="n"/>
      <c r="J2458" s="89" t="n"/>
      <c r="K2458" s="88" t="n"/>
      <c r="L2458" s="88" t="n"/>
      <c r="M2458" s="88" t="n"/>
      <c r="N2458" s="89" t="n"/>
      <c r="O2458" s="88" t="n"/>
      <c r="P2458" s="88" t="n"/>
      <c r="Q2458" s="88" t="n"/>
      <c r="R2458" s="89" t="n"/>
      <c r="S2458" s="88" t="n"/>
      <c r="T2458" s="88" t="n"/>
      <c r="U2458" s="88" t="n"/>
      <c r="V2458" s="89" t="n"/>
      <c r="W2458" s="88" t="n"/>
      <c r="X2458" s="89" t="n"/>
      <c r="Y2458" s="88" t="n"/>
      <c r="Z2458" s="89" t="n"/>
      <c r="AB2458" s="25">
        <f>IF($B2458="","",(COUNTIF(C2458:E2458,"?*")&lt;N(INDEX(Setup!$L$6:$L$23,1)))+(COUNTIF(G2458:I2458,"?*")&lt;N(INDEX(Setup!$L$6:$L$23,1)))+(COUNTIF(K2458:M2458,"?*")&lt;N(INDEX(Setup!$L$6:$L$23,1)))+(COUNTIF(O2458:Q2458,"?*")&lt;N(INDEX(Setup!$L$6:$L$23,1)))+(COUNTIF(S2458:U2458,"?*")&lt;N(INDEX(Setup!$L$6:$L$23,1)))+((W2458="")*(INDEX(Setup!$M$6:$M$23,1)="Y"))+((Y2458="")*(INDEX(Setup!$M$6:$M$23,1)="Y")))</f>
        <v/>
      </c>
      <c r="AC2458" s="90">
        <f>IF($B2458="","",IF(AB2458=0,"✓ covered","⚠ "&amp;AB2458&amp;IF(AB2458=1," gap"," gaps")))</f>
        <v/>
      </c>
    </row>
    <row r="2459" ht="17" customHeight="1">
      <c r="A2459" t="n">
        <v>50</v>
      </c>
      <c r="B2459" s="29">
        <f>IF(Setup!$K$7="","",Setup!$K$7)</f>
        <v/>
      </c>
      <c r="C2459" s="88" t="n"/>
      <c r="D2459" s="88" t="n"/>
      <c r="E2459" s="88" t="n"/>
      <c r="F2459" s="89" t="n"/>
      <c r="G2459" s="88" t="n"/>
      <c r="H2459" s="88" t="n"/>
      <c r="I2459" s="88" t="n"/>
      <c r="J2459" s="89" t="n"/>
      <c r="K2459" s="88" t="n"/>
      <c r="L2459" s="88" t="n"/>
      <c r="M2459" s="88" t="n"/>
      <c r="N2459" s="89" t="n"/>
      <c r="O2459" s="88" t="n"/>
      <c r="P2459" s="88" t="n"/>
      <c r="Q2459" s="88" t="n"/>
      <c r="R2459" s="89" t="n"/>
      <c r="S2459" s="88" t="n"/>
      <c r="T2459" s="88" t="n"/>
      <c r="U2459" s="88" t="n"/>
      <c r="V2459" s="89" t="n"/>
      <c r="W2459" s="88" t="n"/>
      <c r="X2459" s="89" t="n"/>
      <c r="Y2459" s="88" t="n"/>
      <c r="Z2459" s="89" t="n"/>
      <c r="AB2459" s="30">
        <f>IF($B2459="","",(COUNTIF(C2459:E2459,"?*")&lt;N(INDEX(Setup!$L$6:$L$23,2)))+(COUNTIF(G2459:I2459,"?*")&lt;N(INDEX(Setup!$L$6:$L$23,2)))+(COUNTIF(K2459:M2459,"?*")&lt;N(INDEX(Setup!$L$6:$L$23,2)))+(COUNTIF(O2459:Q2459,"?*")&lt;N(INDEX(Setup!$L$6:$L$23,2)))+(COUNTIF(S2459:U2459,"?*")&lt;N(INDEX(Setup!$L$6:$L$23,2)))+((W2459="")*(INDEX(Setup!$M$6:$M$23,2)="Y"))+((Y2459="")*(INDEX(Setup!$M$6:$M$23,2)="Y")))</f>
        <v/>
      </c>
      <c r="AC2459" s="91">
        <f>IF($B2459="","",IF(AB2459=0,"✓ covered","⚠ "&amp;AB2459&amp;IF(AB2459=1," gap"," gaps")))</f>
        <v/>
      </c>
    </row>
    <row r="2460" ht="17" customHeight="1">
      <c r="A2460" t="n">
        <v>50</v>
      </c>
      <c r="B2460" s="24">
        <f>IF(Setup!$K$8="","",Setup!$K$8)</f>
        <v/>
      </c>
      <c r="C2460" s="88" t="n"/>
      <c r="D2460" s="88" t="n"/>
      <c r="E2460" s="88" t="n"/>
      <c r="F2460" s="89" t="n"/>
      <c r="G2460" s="88" t="n"/>
      <c r="H2460" s="88" t="n"/>
      <c r="I2460" s="88" t="n"/>
      <c r="J2460" s="89" t="n"/>
      <c r="K2460" s="88" t="n"/>
      <c r="L2460" s="88" t="n"/>
      <c r="M2460" s="88" t="n"/>
      <c r="N2460" s="89" t="n"/>
      <c r="O2460" s="88" t="n"/>
      <c r="P2460" s="88" t="n"/>
      <c r="Q2460" s="88" t="n"/>
      <c r="R2460" s="89" t="n"/>
      <c r="S2460" s="88" t="n"/>
      <c r="T2460" s="88" t="n"/>
      <c r="U2460" s="88" t="n"/>
      <c r="V2460" s="89" t="n"/>
      <c r="W2460" s="88" t="n"/>
      <c r="X2460" s="89" t="n"/>
      <c r="Y2460" s="88" t="n"/>
      <c r="Z2460" s="89" t="n"/>
      <c r="AB2460" s="25">
        <f>IF($B2460="","",(COUNTIF(C2460:E2460,"?*")&lt;N(INDEX(Setup!$L$6:$L$23,3)))+(COUNTIF(G2460:I2460,"?*")&lt;N(INDEX(Setup!$L$6:$L$23,3)))+(COUNTIF(K2460:M2460,"?*")&lt;N(INDEX(Setup!$L$6:$L$23,3)))+(COUNTIF(O2460:Q2460,"?*")&lt;N(INDEX(Setup!$L$6:$L$23,3)))+(COUNTIF(S2460:U2460,"?*")&lt;N(INDEX(Setup!$L$6:$L$23,3)))+((W2460="")*(INDEX(Setup!$M$6:$M$23,3)="Y"))+((Y2460="")*(INDEX(Setup!$M$6:$M$23,3)="Y")))</f>
        <v/>
      </c>
      <c r="AC2460" s="90">
        <f>IF($B2460="","",IF(AB2460=0,"✓ covered","⚠ "&amp;AB2460&amp;IF(AB2460=1," gap"," gaps")))</f>
        <v/>
      </c>
    </row>
    <row r="2461" ht="17" customHeight="1">
      <c r="A2461" t="n">
        <v>50</v>
      </c>
      <c r="B2461" s="29">
        <f>IF(Setup!$K$9="","",Setup!$K$9)</f>
        <v/>
      </c>
      <c r="C2461" s="88" t="n"/>
      <c r="D2461" s="88" t="n"/>
      <c r="E2461" s="88" t="n"/>
      <c r="F2461" s="89" t="n"/>
      <c r="G2461" s="88" t="n"/>
      <c r="H2461" s="88" t="n"/>
      <c r="I2461" s="88" t="n"/>
      <c r="J2461" s="89" t="n"/>
      <c r="K2461" s="88" t="n"/>
      <c r="L2461" s="88" t="n"/>
      <c r="M2461" s="88" t="n"/>
      <c r="N2461" s="89" t="n"/>
      <c r="O2461" s="88" t="n"/>
      <c r="P2461" s="88" t="n"/>
      <c r="Q2461" s="88" t="n"/>
      <c r="R2461" s="89" t="n"/>
      <c r="S2461" s="88" t="n"/>
      <c r="T2461" s="88" t="n"/>
      <c r="U2461" s="88" t="n"/>
      <c r="V2461" s="89" t="n"/>
      <c r="W2461" s="88" t="n"/>
      <c r="X2461" s="89" t="n"/>
      <c r="Y2461" s="88" t="n"/>
      <c r="Z2461" s="89" t="n"/>
      <c r="AB2461" s="30">
        <f>IF($B2461="","",(COUNTIF(C2461:E2461,"?*")&lt;N(INDEX(Setup!$L$6:$L$23,4)))+(COUNTIF(G2461:I2461,"?*")&lt;N(INDEX(Setup!$L$6:$L$23,4)))+(COUNTIF(K2461:M2461,"?*")&lt;N(INDEX(Setup!$L$6:$L$23,4)))+(COUNTIF(O2461:Q2461,"?*")&lt;N(INDEX(Setup!$L$6:$L$23,4)))+(COUNTIF(S2461:U2461,"?*")&lt;N(INDEX(Setup!$L$6:$L$23,4)))+((W2461="")*(INDEX(Setup!$M$6:$M$23,4)="Y"))+((Y2461="")*(INDEX(Setup!$M$6:$M$23,4)="Y")))</f>
        <v/>
      </c>
      <c r="AC2461" s="91">
        <f>IF($B2461="","",IF(AB2461=0,"✓ covered","⚠ "&amp;AB2461&amp;IF(AB2461=1," gap"," gaps")))</f>
        <v/>
      </c>
    </row>
    <row r="2462" ht="17" customHeight="1">
      <c r="A2462" t="n">
        <v>50</v>
      </c>
      <c r="B2462" s="24">
        <f>IF(Setup!$K$10="","",Setup!$K$10)</f>
        <v/>
      </c>
      <c r="C2462" s="88" t="n"/>
      <c r="D2462" s="88" t="n"/>
      <c r="E2462" s="88" t="n"/>
      <c r="F2462" s="89" t="n"/>
      <c r="G2462" s="88" t="n"/>
      <c r="H2462" s="88" t="n"/>
      <c r="I2462" s="88" t="n"/>
      <c r="J2462" s="89" t="n"/>
      <c r="K2462" s="88" t="n"/>
      <c r="L2462" s="88" t="n"/>
      <c r="M2462" s="88" t="n"/>
      <c r="N2462" s="89" t="n"/>
      <c r="O2462" s="88" t="n"/>
      <c r="P2462" s="88" t="n"/>
      <c r="Q2462" s="88" t="n"/>
      <c r="R2462" s="89" t="n"/>
      <c r="S2462" s="88" t="n"/>
      <c r="T2462" s="88" t="n"/>
      <c r="U2462" s="88" t="n"/>
      <c r="V2462" s="89" t="n"/>
      <c r="W2462" s="88" t="n"/>
      <c r="X2462" s="89" t="n"/>
      <c r="Y2462" s="88" t="n"/>
      <c r="Z2462" s="89" t="n"/>
      <c r="AB2462" s="25">
        <f>IF($B2462="","",(COUNTIF(C2462:E2462,"?*")&lt;N(INDEX(Setup!$L$6:$L$23,5)))+(COUNTIF(G2462:I2462,"?*")&lt;N(INDEX(Setup!$L$6:$L$23,5)))+(COUNTIF(K2462:M2462,"?*")&lt;N(INDEX(Setup!$L$6:$L$23,5)))+(COUNTIF(O2462:Q2462,"?*")&lt;N(INDEX(Setup!$L$6:$L$23,5)))+(COUNTIF(S2462:U2462,"?*")&lt;N(INDEX(Setup!$L$6:$L$23,5)))+((W2462="")*(INDEX(Setup!$M$6:$M$23,5)="Y"))+((Y2462="")*(INDEX(Setup!$M$6:$M$23,5)="Y")))</f>
        <v/>
      </c>
      <c r="AC2462" s="90">
        <f>IF($B2462="","",IF(AB2462=0,"✓ covered","⚠ "&amp;AB2462&amp;IF(AB2462=1," gap"," gaps")))</f>
        <v/>
      </c>
    </row>
    <row r="2463" ht="17" customHeight="1">
      <c r="A2463" t="n">
        <v>50</v>
      </c>
      <c r="B2463" s="29">
        <f>IF(Setup!$K$11="","",Setup!$K$11)</f>
        <v/>
      </c>
      <c r="C2463" s="88" t="n"/>
      <c r="D2463" s="88" t="n"/>
      <c r="E2463" s="88" t="n"/>
      <c r="F2463" s="89" t="n"/>
      <c r="G2463" s="88" t="n"/>
      <c r="H2463" s="88" t="n"/>
      <c r="I2463" s="88" t="n"/>
      <c r="J2463" s="89" t="n"/>
      <c r="K2463" s="88" t="n"/>
      <c r="L2463" s="88" t="n"/>
      <c r="M2463" s="88" t="n"/>
      <c r="N2463" s="89" t="n"/>
      <c r="O2463" s="88" t="n"/>
      <c r="P2463" s="88" t="n"/>
      <c r="Q2463" s="88" t="n"/>
      <c r="R2463" s="89" t="n"/>
      <c r="S2463" s="88" t="n"/>
      <c r="T2463" s="88" t="n"/>
      <c r="U2463" s="88" t="n"/>
      <c r="V2463" s="89" t="n"/>
      <c r="W2463" s="88" t="n"/>
      <c r="X2463" s="89" t="n"/>
      <c r="Y2463" s="88" t="n"/>
      <c r="Z2463" s="89" t="n"/>
      <c r="AB2463" s="30">
        <f>IF($B2463="","",(COUNTIF(C2463:E2463,"?*")&lt;N(INDEX(Setup!$L$6:$L$23,6)))+(COUNTIF(G2463:I2463,"?*")&lt;N(INDEX(Setup!$L$6:$L$23,6)))+(COUNTIF(K2463:M2463,"?*")&lt;N(INDEX(Setup!$L$6:$L$23,6)))+(COUNTIF(O2463:Q2463,"?*")&lt;N(INDEX(Setup!$L$6:$L$23,6)))+(COUNTIF(S2463:U2463,"?*")&lt;N(INDEX(Setup!$L$6:$L$23,6)))+((W2463="")*(INDEX(Setup!$M$6:$M$23,6)="Y"))+((Y2463="")*(INDEX(Setup!$M$6:$M$23,6)="Y")))</f>
        <v/>
      </c>
      <c r="AC2463" s="91">
        <f>IF($B2463="","",IF(AB2463=0,"✓ covered","⚠ "&amp;AB2463&amp;IF(AB2463=1," gap"," gaps")))</f>
        <v/>
      </c>
    </row>
    <row r="2464" ht="17" customHeight="1">
      <c r="A2464" t="n">
        <v>50</v>
      </c>
      <c r="B2464" s="24">
        <f>IF(Setup!$K$12="","",Setup!$K$12)</f>
        <v/>
      </c>
      <c r="C2464" s="88" t="n"/>
      <c r="D2464" s="88" t="n"/>
      <c r="E2464" s="88" t="n"/>
      <c r="F2464" s="89" t="n"/>
      <c r="G2464" s="88" t="n"/>
      <c r="H2464" s="88" t="n"/>
      <c r="I2464" s="88" t="n"/>
      <c r="J2464" s="89" t="n"/>
      <c r="K2464" s="88" t="n"/>
      <c r="L2464" s="88" t="n"/>
      <c r="M2464" s="88" t="n"/>
      <c r="N2464" s="89" t="n"/>
      <c r="O2464" s="88" t="n"/>
      <c r="P2464" s="88" t="n"/>
      <c r="Q2464" s="88" t="n"/>
      <c r="R2464" s="89" t="n"/>
      <c r="S2464" s="88" t="n"/>
      <c r="T2464" s="88" t="n"/>
      <c r="U2464" s="88" t="n"/>
      <c r="V2464" s="89" t="n"/>
      <c r="W2464" s="88" t="n"/>
      <c r="X2464" s="89" t="n"/>
      <c r="Y2464" s="88" t="n"/>
      <c r="Z2464" s="89" t="n"/>
      <c r="AB2464" s="25">
        <f>IF($B2464="","",(COUNTIF(C2464:E2464,"?*")&lt;N(INDEX(Setup!$L$6:$L$23,7)))+(COUNTIF(G2464:I2464,"?*")&lt;N(INDEX(Setup!$L$6:$L$23,7)))+(COUNTIF(K2464:M2464,"?*")&lt;N(INDEX(Setup!$L$6:$L$23,7)))+(COUNTIF(O2464:Q2464,"?*")&lt;N(INDEX(Setup!$L$6:$L$23,7)))+(COUNTIF(S2464:U2464,"?*")&lt;N(INDEX(Setup!$L$6:$L$23,7)))+((W2464="")*(INDEX(Setup!$M$6:$M$23,7)="Y"))+((Y2464="")*(INDEX(Setup!$M$6:$M$23,7)="Y")))</f>
        <v/>
      </c>
      <c r="AC2464" s="90">
        <f>IF($B2464="","",IF(AB2464=0,"✓ covered","⚠ "&amp;AB2464&amp;IF(AB2464=1," gap"," gaps")))</f>
        <v/>
      </c>
    </row>
    <row r="2465" ht="17" customHeight="1">
      <c r="A2465" t="n">
        <v>50</v>
      </c>
      <c r="B2465" s="29">
        <f>IF(Setup!$K$13="","",Setup!$K$13)</f>
        <v/>
      </c>
      <c r="C2465" s="88" t="n"/>
      <c r="D2465" s="88" t="n"/>
      <c r="E2465" s="88" t="n"/>
      <c r="F2465" s="89" t="n"/>
      <c r="G2465" s="88" t="n"/>
      <c r="H2465" s="88" t="n"/>
      <c r="I2465" s="88" t="n"/>
      <c r="J2465" s="89" t="n"/>
      <c r="K2465" s="88" t="n"/>
      <c r="L2465" s="88" t="n"/>
      <c r="M2465" s="88" t="n"/>
      <c r="N2465" s="89" t="n"/>
      <c r="O2465" s="88" t="n"/>
      <c r="P2465" s="88" t="n"/>
      <c r="Q2465" s="88" t="n"/>
      <c r="R2465" s="89" t="n"/>
      <c r="S2465" s="88" t="n"/>
      <c r="T2465" s="88" t="n"/>
      <c r="U2465" s="88" t="n"/>
      <c r="V2465" s="89" t="n"/>
      <c r="W2465" s="88" t="n"/>
      <c r="X2465" s="89" t="n"/>
      <c r="Y2465" s="88" t="n"/>
      <c r="Z2465" s="89" t="n"/>
      <c r="AB2465" s="30">
        <f>IF($B2465="","",(COUNTIF(C2465:E2465,"?*")&lt;N(INDEX(Setup!$L$6:$L$23,8)))+(COUNTIF(G2465:I2465,"?*")&lt;N(INDEX(Setup!$L$6:$L$23,8)))+(COUNTIF(K2465:M2465,"?*")&lt;N(INDEX(Setup!$L$6:$L$23,8)))+(COUNTIF(O2465:Q2465,"?*")&lt;N(INDEX(Setup!$L$6:$L$23,8)))+(COUNTIF(S2465:U2465,"?*")&lt;N(INDEX(Setup!$L$6:$L$23,8)))+((W2465="")*(INDEX(Setup!$M$6:$M$23,8)="Y"))+((Y2465="")*(INDEX(Setup!$M$6:$M$23,8)="Y")))</f>
        <v/>
      </c>
      <c r="AC2465" s="91">
        <f>IF($B2465="","",IF(AB2465=0,"✓ covered","⚠ "&amp;AB2465&amp;IF(AB2465=1," gap"," gaps")))</f>
        <v/>
      </c>
    </row>
    <row r="2466" ht="17" customHeight="1">
      <c r="A2466" t="n">
        <v>50</v>
      </c>
      <c r="B2466" s="24">
        <f>IF(Setup!$K$14="","",Setup!$K$14)</f>
        <v/>
      </c>
      <c r="C2466" s="88" t="n"/>
      <c r="D2466" s="88" t="n"/>
      <c r="E2466" s="88" t="n"/>
      <c r="F2466" s="89" t="n"/>
      <c r="G2466" s="88" t="n"/>
      <c r="H2466" s="88" t="n"/>
      <c r="I2466" s="88" t="n"/>
      <c r="J2466" s="89" t="n"/>
      <c r="K2466" s="88" t="n"/>
      <c r="L2466" s="88" t="n"/>
      <c r="M2466" s="88" t="n"/>
      <c r="N2466" s="89" t="n"/>
      <c r="O2466" s="88" t="n"/>
      <c r="P2466" s="88" t="n"/>
      <c r="Q2466" s="88" t="n"/>
      <c r="R2466" s="89" t="n"/>
      <c r="S2466" s="88" t="n"/>
      <c r="T2466" s="88" t="n"/>
      <c r="U2466" s="88" t="n"/>
      <c r="V2466" s="89" t="n"/>
      <c r="W2466" s="88" t="n"/>
      <c r="X2466" s="89" t="n"/>
      <c r="Y2466" s="88" t="n"/>
      <c r="Z2466" s="89" t="n"/>
      <c r="AB2466" s="25">
        <f>IF($B2466="","",(COUNTIF(C2466:E2466,"?*")&lt;N(INDEX(Setup!$L$6:$L$23,9)))+(COUNTIF(G2466:I2466,"?*")&lt;N(INDEX(Setup!$L$6:$L$23,9)))+(COUNTIF(K2466:M2466,"?*")&lt;N(INDEX(Setup!$L$6:$L$23,9)))+(COUNTIF(O2466:Q2466,"?*")&lt;N(INDEX(Setup!$L$6:$L$23,9)))+(COUNTIF(S2466:U2466,"?*")&lt;N(INDEX(Setup!$L$6:$L$23,9)))+((W2466="")*(INDEX(Setup!$M$6:$M$23,9)="Y"))+((Y2466="")*(INDEX(Setup!$M$6:$M$23,9)="Y")))</f>
        <v/>
      </c>
      <c r="AC2466" s="90">
        <f>IF($B2466="","",IF(AB2466=0,"✓ covered","⚠ "&amp;AB2466&amp;IF(AB2466=1," gap"," gaps")))</f>
        <v/>
      </c>
    </row>
    <row r="2467" ht="17" customHeight="1">
      <c r="A2467" t="n">
        <v>50</v>
      </c>
      <c r="B2467" s="29">
        <f>IF(Setup!$K$15="","",Setup!$K$15)</f>
        <v/>
      </c>
      <c r="C2467" s="88" t="n"/>
      <c r="D2467" s="88" t="n"/>
      <c r="E2467" s="88" t="n"/>
      <c r="F2467" s="89" t="n"/>
      <c r="G2467" s="88" t="n"/>
      <c r="H2467" s="88" t="n"/>
      <c r="I2467" s="88" t="n"/>
      <c r="J2467" s="89" t="n"/>
      <c r="K2467" s="88" t="n"/>
      <c r="L2467" s="88" t="n"/>
      <c r="M2467" s="88" t="n"/>
      <c r="N2467" s="89" t="n"/>
      <c r="O2467" s="88" t="n"/>
      <c r="P2467" s="88" t="n"/>
      <c r="Q2467" s="88" t="n"/>
      <c r="R2467" s="89" t="n"/>
      <c r="S2467" s="88" t="n"/>
      <c r="T2467" s="88" t="n"/>
      <c r="U2467" s="88" t="n"/>
      <c r="V2467" s="89" t="n"/>
      <c r="W2467" s="88" t="n"/>
      <c r="X2467" s="89" t="n"/>
      <c r="Y2467" s="88" t="n"/>
      <c r="Z2467" s="89" t="n"/>
      <c r="AB2467" s="30">
        <f>IF($B2467="","",(COUNTIF(C2467:E2467,"?*")&lt;N(INDEX(Setup!$L$6:$L$23,10)))+(COUNTIF(G2467:I2467,"?*")&lt;N(INDEX(Setup!$L$6:$L$23,10)))+(COUNTIF(K2467:M2467,"?*")&lt;N(INDEX(Setup!$L$6:$L$23,10)))+(COUNTIF(O2467:Q2467,"?*")&lt;N(INDEX(Setup!$L$6:$L$23,10)))+(COUNTIF(S2467:U2467,"?*")&lt;N(INDEX(Setup!$L$6:$L$23,10)))+((W2467="")*(INDEX(Setup!$M$6:$M$23,10)="Y"))+((Y2467="")*(INDEX(Setup!$M$6:$M$23,10)="Y")))</f>
        <v/>
      </c>
      <c r="AC2467" s="91">
        <f>IF($B2467="","",IF(AB2467=0,"✓ covered","⚠ "&amp;AB2467&amp;IF(AB2467=1," gap"," gaps")))</f>
        <v/>
      </c>
    </row>
    <row r="2468" ht="17" customHeight="1">
      <c r="A2468" t="n">
        <v>50</v>
      </c>
      <c r="B2468" s="24">
        <f>IF(Setup!$K$16="","",Setup!$K$16)</f>
        <v/>
      </c>
      <c r="C2468" s="88" t="n"/>
      <c r="D2468" s="88" t="n"/>
      <c r="E2468" s="88" t="n"/>
      <c r="F2468" s="89" t="n"/>
      <c r="G2468" s="88" t="n"/>
      <c r="H2468" s="88" t="n"/>
      <c r="I2468" s="88" t="n"/>
      <c r="J2468" s="89" t="n"/>
      <c r="K2468" s="88" t="n"/>
      <c r="L2468" s="88" t="n"/>
      <c r="M2468" s="88" t="n"/>
      <c r="N2468" s="89" t="n"/>
      <c r="O2468" s="88" t="n"/>
      <c r="P2468" s="88" t="n"/>
      <c r="Q2468" s="88" t="n"/>
      <c r="R2468" s="89" t="n"/>
      <c r="S2468" s="88" t="n"/>
      <c r="T2468" s="88" t="n"/>
      <c r="U2468" s="88" t="n"/>
      <c r="V2468" s="89" t="n"/>
      <c r="W2468" s="88" t="n"/>
      <c r="X2468" s="89" t="n"/>
      <c r="Y2468" s="88" t="n"/>
      <c r="Z2468" s="89" t="n"/>
      <c r="AB2468" s="25">
        <f>IF($B2468="","",(COUNTIF(C2468:E2468,"?*")&lt;N(INDEX(Setup!$L$6:$L$23,11)))+(COUNTIF(G2468:I2468,"?*")&lt;N(INDEX(Setup!$L$6:$L$23,11)))+(COUNTIF(K2468:M2468,"?*")&lt;N(INDEX(Setup!$L$6:$L$23,11)))+(COUNTIF(O2468:Q2468,"?*")&lt;N(INDEX(Setup!$L$6:$L$23,11)))+(COUNTIF(S2468:U2468,"?*")&lt;N(INDEX(Setup!$L$6:$L$23,11)))+((W2468="")*(INDEX(Setup!$M$6:$M$23,11)="Y"))+((Y2468="")*(INDEX(Setup!$M$6:$M$23,11)="Y")))</f>
        <v/>
      </c>
      <c r="AC2468" s="90">
        <f>IF($B2468="","",IF(AB2468=0,"✓ covered","⚠ "&amp;AB2468&amp;IF(AB2468=1," gap"," gaps")))</f>
        <v/>
      </c>
    </row>
    <row r="2469" ht="17" customHeight="1">
      <c r="A2469" t="n">
        <v>50</v>
      </c>
      <c r="B2469" s="29">
        <f>IF(Setup!$K$17="","",Setup!$K$17)</f>
        <v/>
      </c>
      <c r="C2469" s="88" t="n"/>
      <c r="D2469" s="88" t="n"/>
      <c r="E2469" s="88" t="n"/>
      <c r="F2469" s="89" t="n"/>
      <c r="G2469" s="88" t="n"/>
      <c r="H2469" s="88" t="n"/>
      <c r="I2469" s="88" t="n"/>
      <c r="J2469" s="89" t="n"/>
      <c r="K2469" s="88" t="n"/>
      <c r="L2469" s="88" t="n"/>
      <c r="M2469" s="88" t="n"/>
      <c r="N2469" s="89" t="n"/>
      <c r="O2469" s="88" t="n"/>
      <c r="P2469" s="88" t="n"/>
      <c r="Q2469" s="88" t="n"/>
      <c r="R2469" s="89" t="n"/>
      <c r="S2469" s="88" t="n"/>
      <c r="T2469" s="88" t="n"/>
      <c r="U2469" s="88" t="n"/>
      <c r="V2469" s="89" t="n"/>
      <c r="W2469" s="88" t="n"/>
      <c r="X2469" s="89" t="n"/>
      <c r="Y2469" s="88" t="n"/>
      <c r="Z2469" s="89" t="n"/>
      <c r="AB2469" s="30">
        <f>IF($B2469="","",(COUNTIF(C2469:E2469,"?*")&lt;N(INDEX(Setup!$L$6:$L$23,12)))+(COUNTIF(G2469:I2469,"?*")&lt;N(INDEX(Setup!$L$6:$L$23,12)))+(COUNTIF(K2469:M2469,"?*")&lt;N(INDEX(Setup!$L$6:$L$23,12)))+(COUNTIF(O2469:Q2469,"?*")&lt;N(INDEX(Setup!$L$6:$L$23,12)))+(COUNTIF(S2469:U2469,"?*")&lt;N(INDEX(Setup!$L$6:$L$23,12)))+((W2469="")*(INDEX(Setup!$M$6:$M$23,12)="Y"))+((Y2469="")*(INDEX(Setup!$M$6:$M$23,12)="Y")))</f>
        <v/>
      </c>
      <c r="AC2469" s="91">
        <f>IF($B2469="","",IF(AB2469=0,"✓ covered","⚠ "&amp;AB2469&amp;IF(AB2469=1," gap"," gaps")))</f>
        <v/>
      </c>
    </row>
    <row r="2470" ht="17" customHeight="1">
      <c r="A2470" t="n">
        <v>50</v>
      </c>
      <c r="B2470" s="24">
        <f>IF(Setup!$K$18="","",Setup!$K$18)</f>
        <v/>
      </c>
      <c r="C2470" s="88" t="n"/>
      <c r="D2470" s="88" t="n"/>
      <c r="E2470" s="88" t="n"/>
      <c r="F2470" s="89" t="n"/>
      <c r="G2470" s="88" t="n"/>
      <c r="H2470" s="88" t="n"/>
      <c r="I2470" s="88" t="n"/>
      <c r="J2470" s="89" t="n"/>
      <c r="K2470" s="88" t="n"/>
      <c r="L2470" s="88" t="n"/>
      <c r="M2470" s="88" t="n"/>
      <c r="N2470" s="89" t="n"/>
      <c r="O2470" s="88" t="n"/>
      <c r="P2470" s="88" t="n"/>
      <c r="Q2470" s="88" t="n"/>
      <c r="R2470" s="89" t="n"/>
      <c r="S2470" s="88" t="n"/>
      <c r="T2470" s="88" t="n"/>
      <c r="U2470" s="88" t="n"/>
      <c r="V2470" s="89" t="n"/>
      <c r="W2470" s="88" t="n"/>
      <c r="X2470" s="89" t="n"/>
      <c r="Y2470" s="88" t="n"/>
      <c r="Z2470" s="89" t="n"/>
      <c r="AB2470" s="25">
        <f>IF($B2470="","",(COUNTIF(C2470:E2470,"?*")&lt;N(INDEX(Setup!$L$6:$L$23,13)))+(COUNTIF(G2470:I2470,"?*")&lt;N(INDEX(Setup!$L$6:$L$23,13)))+(COUNTIF(K2470:M2470,"?*")&lt;N(INDEX(Setup!$L$6:$L$23,13)))+(COUNTIF(O2470:Q2470,"?*")&lt;N(INDEX(Setup!$L$6:$L$23,13)))+(COUNTIF(S2470:U2470,"?*")&lt;N(INDEX(Setup!$L$6:$L$23,13)))+((W2470="")*(INDEX(Setup!$M$6:$M$23,13)="Y"))+((Y2470="")*(INDEX(Setup!$M$6:$M$23,13)="Y")))</f>
        <v/>
      </c>
      <c r="AC2470" s="90">
        <f>IF($B2470="","",IF(AB2470=0,"✓ covered","⚠ "&amp;AB2470&amp;IF(AB2470=1," gap"," gaps")))</f>
        <v/>
      </c>
    </row>
    <row r="2471" ht="17" customHeight="1">
      <c r="A2471" t="n">
        <v>50</v>
      </c>
      <c r="B2471" s="29">
        <f>IF(Setup!$K$19="","",Setup!$K$19)</f>
        <v/>
      </c>
      <c r="C2471" s="88" t="n"/>
      <c r="D2471" s="88" t="n"/>
      <c r="E2471" s="88" t="n"/>
      <c r="F2471" s="89" t="n"/>
      <c r="G2471" s="88" t="n"/>
      <c r="H2471" s="88" t="n"/>
      <c r="I2471" s="88" t="n"/>
      <c r="J2471" s="89" t="n"/>
      <c r="K2471" s="88" t="n"/>
      <c r="L2471" s="88" t="n"/>
      <c r="M2471" s="88" t="n"/>
      <c r="N2471" s="89" t="n"/>
      <c r="O2471" s="88" t="n"/>
      <c r="P2471" s="88" t="n"/>
      <c r="Q2471" s="88" t="n"/>
      <c r="R2471" s="89" t="n"/>
      <c r="S2471" s="88" t="n"/>
      <c r="T2471" s="88" t="n"/>
      <c r="U2471" s="88" t="n"/>
      <c r="V2471" s="89" t="n"/>
      <c r="W2471" s="88" t="n"/>
      <c r="X2471" s="89" t="n"/>
      <c r="Y2471" s="88" t="n"/>
      <c r="Z2471" s="89" t="n"/>
      <c r="AB2471" s="30">
        <f>IF($B2471="","",(COUNTIF(C2471:E2471,"?*")&lt;N(INDEX(Setup!$L$6:$L$23,14)))+(COUNTIF(G2471:I2471,"?*")&lt;N(INDEX(Setup!$L$6:$L$23,14)))+(COUNTIF(K2471:M2471,"?*")&lt;N(INDEX(Setup!$L$6:$L$23,14)))+(COUNTIF(O2471:Q2471,"?*")&lt;N(INDEX(Setup!$L$6:$L$23,14)))+(COUNTIF(S2471:U2471,"?*")&lt;N(INDEX(Setup!$L$6:$L$23,14)))+((W2471="")*(INDEX(Setup!$M$6:$M$23,14)="Y"))+((Y2471="")*(INDEX(Setup!$M$6:$M$23,14)="Y")))</f>
        <v/>
      </c>
      <c r="AC2471" s="91">
        <f>IF($B2471="","",IF(AB2471=0,"✓ covered","⚠ "&amp;AB2471&amp;IF(AB2471=1," gap"," gaps")))</f>
        <v/>
      </c>
    </row>
    <row r="2472" ht="17" customHeight="1">
      <c r="A2472" t="n">
        <v>50</v>
      </c>
      <c r="B2472" s="24">
        <f>IF(Setup!$K$20="","",Setup!$K$20)</f>
        <v/>
      </c>
      <c r="C2472" s="88" t="n"/>
      <c r="D2472" s="88" t="n"/>
      <c r="E2472" s="88" t="n"/>
      <c r="F2472" s="89" t="n"/>
      <c r="G2472" s="88" t="n"/>
      <c r="H2472" s="88" t="n"/>
      <c r="I2472" s="88" t="n"/>
      <c r="J2472" s="89" t="n"/>
      <c r="K2472" s="88" t="n"/>
      <c r="L2472" s="88" t="n"/>
      <c r="M2472" s="88" t="n"/>
      <c r="N2472" s="89" t="n"/>
      <c r="O2472" s="88" t="n"/>
      <c r="P2472" s="88" t="n"/>
      <c r="Q2472" s="88" t="n"/>
      <c r="R2472" s="89" t="n"/>
      <c r="S2472" s="88" t="n"/>
      <c r="T2472" s="88" t="n"/>
      <c r="U2472" s="88" t="n"/>
      <c r="V2472" s="89" t="n"/>
      <c r="W2472" s="88" t="n"/>
      <c r="X2472" s="89" t="n"/>
      <c r="Y2472" s="88" t="n"/>
      <c r="Z2472" s="89" t="n"/>
      <c r="AB2472" s="25">
        <f>IF($B2472="","",(COUNTIF(C2472:E2472,"?*")&lt;N(INDEX(Setup!$L$6:$L$23,15)))+(COUNTIF(G2472:I2472,"?*")&lt;N(INDEX(Setup!$L$6:$L$23,15)))+(COUNTIF(K2472:M2472,"?*")&lt;N(INDEX(Setup!$L$6:$L$23,15)))+(COUNTIF(O2472:Q2472,"?*")&lt;N(INDEX(Setup!$L$6:$L$23,15)))+(COUNTIF(S2472:U2472,"?*")&lt;N(INDEX(Setup!$L$6:$L$23,15)))+((W2472="")*(INDEX(Setup!$M$6:$M$23,15)="Y"))+((Y2472="")*(INDEX(Setup!$M$6:$M$23,15)="Y")))</f>
        <v/>
      </c>
      <c r="AC2472" s="90">
        <f>IF($B2472="","",IF(AB2472=0,"✓ covered","⚠ "&amp;AB2472&amp;IF(AB2472=1," gap"," gaps")))</f>
        <v/>
      </c>
    </row>
    <row r="2473" ht="17" customHeight="1">
      <c r="A2473" t="n">
        <v>50</v>
      </c>
      <c r="B2473" s="29">
        <f>IF(Setup!$K$21="","",Setup!$K$21)</f>
        <v/>
      </c>
      <c r="C2473" s="88" t="n"/>
      <c r="D2473" s="88" t="n"/>
      <c r="E2473" s="88" t="n"/>
      <c r="F2473" s="89" t="n"/>
      <c r="G2473" s="88" t="n"/>
      <c r="H2473" s="88" t="n"/>
      <c r="I2473" s="88" t="n"/>
      <c r="J2473" s="89" t="n"/>
      <c r="K2473" s="88" t="n"/>
      <c r="L2473" s="88" t="n"/>
      <c r="M2473" s="88" t="n"/>
      <c r="N2473" s="89" t="n"/>
      <c r="O2473" s="88" t="n"/>
      <c r="P2473" s="88" t="n"/>
      <c r="Q2473" s="88" t="n"/>
      <c r="R2473" s="89" t="n"/>
      <c r="S2473" s="88" t="n"/>
      <c r="T2473" s="88" t="n"/>
      <c r="U2473" s="88" t="n"/>
      <c r="V2473" s="89" t="n"/>
      <c r="W2473" s="88" t="n"/>
      <c r="X2473" s="89" t="n"/>
      <c r="Y2473" s="88" t="n"/>
      <c r="Z2473" s="89" t="n"/>
      <c r="AB2473" s="30">
        <f>IF($B2473="","",(COUNTIF(C2473:E2473,"?*")&lt;N(INDEX(Setup!$L$6:$L$23,16)))+(COUNTIF(G2473:I2473,"?*")&lt;N(INDEX(Setup!$L$6:$L$23,16)))+(COUNTIF(K2473:M2473,"?*")&lt;N(INDEX(Setup!$L$6:$L$23,16)))+(COUNTIF(O2473:Q2473,"?*")&lt;N(INDEX(Setup!$L$6:$L$23,16)))+(COUNTIF(S2473:U2473,"?*")&lt;N(INDEX(Setup!$L$6:$L$23,16)))+((W2473="")*(INDEX(Setup!$M$6:$M$23,16)="Y"))+((Y2473="")*(INDEX(Setup!$M$6:$M$23,16)="Y")))</f>
        <v/>
      </c>
      <c r="AC2473" s="91">
        <f>IF($B2473="","",IF(AB2473=0,"✓ covered","⚠ "&amp;AB2473&amp;IF(AB2473=1," gap"," gaps")))</f>
        <v/>
      </c>
    </row>
    <row r="2474" ht="17" customHeight="1">
      <c r="A2474" t="n">
        <v>50</v>
      </c>
      <c r="B2474" s="24">
        <f>IF(Setup!$K$22="","",Setup!$K$22)</f>
        <v/>
      </c>
      <c r="C2474" s="88" t="n"/>
      <c r="D2474" s="88" t="n"/>
      <c r="E2474" s="88" t="n"/>
      <c r="F2474" s="89" t="n"/>
      <c r="G2474" s="88" t="n"/>
      <c r="H2474" s="88" t="n"/>
      <c r="I2474" s="88" t="n"/>
      <c r="J2474" s="89" t="n"/>
      <c r="K2474" s="88" t="n"/>
      <c r="L2474" s="88" t="n"/>
      <c r="M2474" s="88" t="n"/>
      <c r="N2474" s="89" t="n"/>
      <c r="O2474" s="88" t="n"/>
      <c r="P2474" s="88" t="n"/>
      <c r="Q2474" s="88" t="n"/>
      <c r="R2474" s="89" t="n"/>
      <c r="S2474" s="88" t="n"/>
      <c r="T2474" s="88" t="n"/>
      <c r="U2474" s="88" t="n"/>
      <c r="V2474" s="89" t="n"/>
      <c r="W2474" s="88" t="n"/>
      <c r="X2474" s="89" t="n"/>
      <c r="Y2474" s="88" t="n"/>
      <c r="Z2474" s="89" t="n"/>
      <c r="AB2474" s="25">
        <f>IF($B2474="","",(COUNTIF(C2474:E2474,"?*")&lt;N(INDEX(Setup!$L$6:$L$23,17)))+(COUNTIF(G2474:I2474,"?*")&lt;N(INDEX(Setup!$L$6:$L$23,17)))+(COUNTIF(K2474:M2474,"?*")&lt;N(INDEX(Setup!$L$6:$L$23,17)))+(COUNTIF(O2474:Q2474,"?*")&lt;N(INDEX(Setup!$L$6:$L$23,17)))+(COUNTIF(S2474:U2474,"?*")&lt;N(INDEX(Setup!$L$6:$L$23,17)))+((W2474="")*(INDEX(Setup!$M$6:$M$23,17)="Y"))+((Y2474="")*(INDEX(Setup!$M$6:$M$23,17)="Y")))</f>
        <v/>
      </c>
      <c r="AC2474" s="90">
        <f>IF($B2474="","",IF(AB2474=0,"✓ covered","⚠ "&amp;AB2474&amp;IF(AB2474=1," gap"," gaps")))</f>
        <v/>
      </c>
    </row>
    <row r="2475" ht="17" customHeight="1">
      <c r="A2475" t="n">
        <v>50</v>
      </c>
      <c r="B2475" s="29">
        <f>IF(Setup!$K$23="","",Setup!$K$23)</f>
        <v/>
      </c>
      <c r="C2475" s="88" t="n"/>
      <c r="D2475" s="88" t="n"/>
      <c r="E2475" s="88" t="n"/>
      <c r="F2475" s="89" t="n"/>
      <c r="G2475" s="88" t="n"/>
      <c r="H2475" s="88" t="n"/>
      <c r="I2475" s="88" t="n"/>
      <c r="J2475" s="89" t="n"/>
      <c r="K2475" s="88" t="n"/>
      <c r="L2475" s="88" t="n"/>
      <c r="M2475" s="88" t="n"/>
      <c r="N2475" s="89" t="n"/>
      <c r="O2475" s="88" t="n"/>
      <c r="P2475" s="88" t="n"/>
      <c r="Q2475" s="88" t="n"/>
      <c r="R2475" s="89" t="n"/>
      <c r="S2475" s="88" t="n"/>
      <c r="T2475" s="88" t="n"/>
      <c r="U2475" s="88" t="n"/>
      <c r="V2475" s="89" t="n"/>
      <c r="W2475" s="88" t="n"/>
      <c r="X2475" s="89" t="n"/>
      <c r="Y2475" s="88" t="n"/>
      <c r="Z2475" s="89" t="n"/>
      <c r="AB2475" s="30">
        <f>IF($B2475="","",(COUNTIF(C2475:E2475,"?*")&lt;N(INDEX(Setup!$L$6:$L$23,18)))+(COUNTIF(G2475:I2475,"?*")&lt;N(INDEX(Setup!$L$6:$L$23,18)))+(COUNTIF(K2475:M2475,"?*")&lt;N(INDEX(Setup!$L$6:$L$23,18)))+(COUNTIF(O2475:Q2475,"?*")&lt;N(INDEX(Setup!$L$6:$L$23,18)))+(COUNTIF(S2475:U2475,"?*")&lt;N(INDEX(Setup!$L$6:$L$23,18)))+((W2475="")*(INDEX(Setup!$M$6:$M$23,18)="Y"))+((Y2475="")*(INDEX(Setup!$M$6:$M$23,18)="Y")))</f>
        <v/>
      </c>
      <c r="AC2475" s="91">
        <f>IF($B2475="","",IF(AB2475=0,"✓ covered","⚠ "&amp;AB2475&amp;IF(AB2475=1," gap"," gaps")))</f>
        <v/>
      </c>
    </row>
    <row r="2476" ht="18" customHeight="1">
      <c r="A2476" t="n">
        <v>50</v>
      </c>
      <c r="B2476" s="78" t="inlineStr">
        <is>
          <t>TEAM AVAILABILITY</t>
        </is>
      </c>
      <c r="C2476" s="92" t="inlineStr">
        <is>
          <t>Mon</t>
        </is>
      </c>
      <c r="D2476" s="93" t="n"/>
      <c r="E2476" s="93" t="n"/>
      <c r="F2476" s="94" t="n"/>
      <c r="G2476" s="92" t="inlineStr">
        <is>
          <t>Tue</t>
        </is>
      </c>
      <c r="H2476" s="93" t="n"/>
      <c r="I2476" s="93" t="n"/>
      <c r="J2476" s="94" t="n"/>
      <c r="K2476" s="92" t="inlineStr">
        <is>
          <t>Wed</t>
        </is>
      </c>
      <c r="L2476" s="93" t="n"/>
      <c r="M2476" s="93" t="n"/>
      <c r="N2476" s="94" t="n"/>
      <c r="O2476" s="92" t="inlineStr">
        <is>
          <t>Thu</t>
        </is>
      </c>
      <c r="P2476" s="93" t="n"/>
      <c r="Q2476" s="93" t="n"/>
      <c r="R2476" s="94" t="n"/>
      <c r="S2476" s="92" t="inlineStr">
        <is>
          <t>Fri</t>
        </is>
      </c>
      <c r="T2476" s="93" t="n"/>
      <c r="U2476" s="93" t="n"/>
      <c r="V2476" s="94" t="n"/>
      <c r="W2476" s="95" t="inlineStr">
        <is>
          <t>Sat</t>
        </is>
      </c>
      <c r="X2476" s="96" t="n"/>
      <c r="Y2476" s="95" t="inlineStr">
        <is>
          <t>Sun</t>
        </is>
      </c>
      <c r="Z2476" s="96" t="n"/>
      <c r="AB2476" s="97" t="inlineStr">
        <is>
          <t>Days rostered</t>
        </is>
      </c>
      <c r="AC2476" s="97" t="inlineStr">
        <is>
          <t>Conflicts</t>
        </is>
      </c>
    </row>
    <row r="2477" ht="15" customHeight="1">
      <c r="A2477" t="n">
        <v>50</v>
      </c>
      <c r="B2477" s="35">
        <f>IF(Setup!$B$6="","",Setup!$B$6)</f>
        <v/>
      </c>
      <c r="C2477" s="98" t="n"/>
      <c r="D2477" s="99" t="n"/>
      <c r="E2477" s="99" t="n"/>
      <c r="F2477" s="100" t="n"/>
      <c r="G2477" s="98" t="n"/>
      <c r="H2477" s="99" t="n"/>
      <c r="I2477" s="99" t="n"/>
      <c r="J2477" s="100" t="n"/>
      <c r="K2477" s="98" t="n"/>
      <c r="L2477" s="99" t="n"/>
      <c r="M2477" s="99" t="n"/>
      <c r="N2477" s="100" t="n"/>
      <c r="O2477" s="98" t="n"/>
      <c r="P2477" s="99" t="n"/>
      <c r="Q2477" s="99" t="n"/>
      <c r="R2477" s="100" t="n"/>
      <c r="S2477" s="98" t="n"/>
      <c r="T2477" s="99" t="n"/>
      <c r="U2477" s="99" t="n"/>
      <c r="V2477" s="100" t="n"/>
      <c r="W2477" s="98" t="n"/>
      <c r="X2477" s="100" t="n"/>
      <c r="Y2477" s="98" t="n"/>
      <c r="Z2477" s="100" t="n"/>
      <c r="AB2477" s="101">
        <f>IF($B2477="","",(COUNTIF(C2458:E2475,$B2477)+COUNTIF(C2458:E2475,$B2477&amp;" ~*")&gt;0)+(COUNTIF(G2458:I2475,$B2477)+COUNTIF(G2458:I2475,$B2477&amp;" ~*")&gt;0)+(COUNTIF(K2458:M2475,$B2477)+COUNTIF(K2458:M2475,$B2477&amp;" ~*")&gt;0)+(COUNTIF(O2458:Q2475,$B2477)+COUNTIF(O2458:Q2475,$B2477&amp;" ~*")&gt;0)+(COUNTIF(S2458:U2475,$B2477)+COUNTIF(S2458:U2475,$B2477&amp;" ~*")&gt;0)+(COUNTIF(W2458:W2475,$B2477)+COUNTIF(W2458:W2475,$B2477&amp;" ~*")&gt;0)+(COUNTIF(Y2458:Y2475,$B2477)+COUNTIF(Y2458:Y2475,$B2477&amp;" ~*")&gt;0))</f>
        <v/>
      </c>
      <c r="AC2477" s="36">
        <f>IF($B2477="","",(IFERROR(INDEX(Setup!$G$33:$G$40,MATCH(C2477,Setup!$B$33:$B$40,0)),0)=1)*(COUNTIF(C2458:E2475,$B2477)+COUNTIF(C2458:E2475,$B2477&amp;" ~*")&gt;0)+(IFERROR(INDEX(Setup!$G$33:$G$40,MATCH(G2477,Setup!$B$33:$B$40,0)),0)=1)*(COUNTIF(G2458:I2475,$B2477)+COUNTIF(G2458:I2475,$B2477&amp;" ~*")&gt;0)+(IFERROR(INDEX(Setup!$G$33:$G$40,MATCH(K2477,Setup!$B$33:$B$40,0)),0)=1)*(COUNTIF(K2458:M2475,$B2477)+COUNTIF(K2458:M2475,$B2477&amp;" ~*")&gt;0)+(IFERROR(INDEX(Setup!$G$33:$G$40,MATCH(O2477,Setup!$B$33:$B$40,0)),0)=1)*(COUNTIF(O2458:Q2475,$B2477)+COUNTIF(O2458:Q2475,$B2477&amp;" ~*")&gt;0)+(IFERROR(INDEX(Setup!$G$33:$G$40,MATCH(S2477,Setup!$B$33:$B$40,0)),0)=1)*(COUNTIF(S2458:U2475,$B2477)+COUNTIF(S2458:U2475,$B2477&amp;" ~*")&gt;0)+(IFERROR(INDEX(Setup!$G$33:$G$40,MATCH(W2477,Setup!$B$33:$B$40,0)),0)=1)*(COUNTIF(W2458:W2475,$B2477)+COUNTIF(W2458:W2475,$B2477&amp;" ~*")&gt;0)+(IFERROR(INDEX(Setup!$G$33:$G$40,MATCH(Y2477,Setup!$B$33:$B$40,0)),0)=1)*(COUNTIF(Y2458:Y2475,$B2477)+COUNTIF(Y2458:Y2475,$B2477&amp;" ~*")&gt;0))</f>
        <v/>
      </c>
    </row>
    <row r="2478" ht="15" customHeight="1">
      <c r="A2478" t="n">
        <v>50</v>
      </c>
      <c r="B2478" s="37">
        <f>IF(Setup!$B$7="","",Setup!$B$7)</f>
        <v/>
      </c>
      <c r="C2478" s="102" t="n"/>
      <c r="D2478" s="103" t="n"/>
      <c r="E2478" s="103" t="n"/>
      <c r="F2478" s="104" t="n"/>
      <c r="G2478" s="102" t="n"/>
      <c r="H2478" s="103" t="n"/>
      <c r="I2478" s="103" t="n"/>
      <c r="J2478" s="104" t="n"/>
      <c r="K2478" s="102" t="n"/>
      <c r="L2478" s="103" t="n"/>
      <c r="M2478" s="103" t="n"/>
      <c r="N2478" s="104" t="n"/>
      <c r="O2478" s="102" t="n"/>
      <c r="P2478" s="103" t="n"/>
      <c r="Q2478" s="103" t="n"/>
      <c r="R2478" s="104" t="n"/>
      <c r="S2478" s="102" t="n"/>
      <c r="T2478" s="103" t="n"/>
      <c r="U2478" s="103" t="n"/>
      <c r="V2478" s="104" t="n"/>
      <c r="W2478" s="102" t="n"/>
      <c r="X2478" s="104" t="n"/>
      <c r="Y2478" s="102" t="n"/>
      <c r="Z2478" s="104" t="n"/>
      <c r="AB2478" s="105">
        <f>IF($B2478="","",(COUNTIF(C2458:E2475,$B2478)+COUNTIF(C2458:E2475,$B2478&amp;" ~*")&gt;0)+(COUNTIF(G2458:I2475,$B2478)+COUNTIF(G2458:I2475,$B2478&amp;" ~*")&gt;0)+(COUNTIF(K2458:M2475,$B2478)+COUNTIF(K2458:M2475,$B2478&amp;" ~*")&gt;0)+(COUNTIF(O2458:Q2475,$B2478)+COUNTIF(O2458:Q2475,$B2478&amp;" ~*")&gt;0)+(COUNTIF(S2458:U2475,$B2478)+COUNTIF(S2458:U2475,$B2478&amp;" ~*")&gt;0)+(COUNTIF(W2458:W2475,$B2478)+COUNTIF(W2458:W2475,$B2478&amp;" ~*")&gt;0)+(COUNTIF(Y2458:Y2475,$B2478)+COUNTIF(Y2458:Y2475,$B2478&amp;" ~*")&gt;0))</f>
        <v/>
      </c>
      <c r="AC2478" s="38">
        <f>IF($B2478="","",(IFERROR(INDEX(Setup!$G$33:$G$40,MATCH(C2478,Setup!$B$33:$B$40,0)),0)=1)*(COUNTIF(C2458:E2475,$B2478)+COUNTIF(C2458:E2475,$B2478&amp;" ~*")&gt;0)+(IFERROR(INDEX(Setup!$G$33:$G$40,MATCH(G2478,Setup!$B$33:$B$40,0)),0)=1)*(COUNTIF(G2458:I2475,$B2478)+COUNTIF(G2458:I2475,$B2478&amp;" ~*")&gt;0)+(IFERROR(INDEX(Setup!$G$33:$G$40,MATCH(K2478,Setup!$B$33:$B$40,0)),0)=1)*(COUNTIF(K2458:M2475,$B2478)+COUNTIF(K2458:M2475,$B2478&amp;" ~*")&gt;0)+(IFERROR(INDEX(Setup!$G$33:$G$40,MATCH(O2478,Setup!$B$33:$B$40,0)),0)=1)*(COUNTIF(O2458:Q2475,$B2478)+COUNTIF(O2458:Q2475,$B2478&amp;" ~*")&gt;0)+(IFERROR(INDEX(Setup!$G$33:$G$40,MATCH(S2478,Setup!$B$33:$B$40,0)),0)=1)*(COUNTIF(S2458:U2475,$B2478)+COUNTIF(S2458:U2475,$B2478&amp;" ~*")&gt;0)+(IFERROR(INDEX(Setup!$G$33:$G$40,MATCH(W2478,Setup!$B$33:$B$40,0)),0)=1)*(COUNTIF(W2458:W2475,$B2478)+COUNTIF(W2458:W2475,$B2478&amp;" ~*")&gt;0)+(IFERROR(INDEX(Setup!$G$33:$G$40,MATCH(Y2478,Setup!$B$33:$B$40,0)),0)=1)*(COUNTIF(Y2458:Y2475,$B2478)+COUNTIF(Y2458:Y2475,$B2478&amp;" ~*")&gt;0))</f>
        <v/>
      </c>
    </row>
    <row r="2479" ht="15" customHeight="1">
      <c r="A2479" t="n">
        <v>50</v>
      </c>
      <c r="B2479" s="35">
        <f>IF(Setup!$B$8="","",Setup!$B$8)</f>
        <v/>
      </c>
      <c r="C2479" s="98" t="n"/>
      <c r="D2479" s="99" t="n"/>
      <c r="E2479" s="99" t="n"/>
      <c r="F2479" s="100" t="n"/>
      <c r="G2479" s="98" t="n"/>
      <c r="H2479" s="99" t="n"/>
      <c r="I2479" s="99" t="n"/>
      <c r="J2479" s="100" t="n"/>
      <c r="K2479" s="98" t="n"/>
      <c r="L2479" s="99" t="n"/>
      <c r="M2479" s="99" t="n"/>
      <c r="N2479" s="100" t="n"/>
      <c r="O2479" s="98" t="n"/>
      <c r="P2479" s="99" t="n"/>
      <c r="Q2479" s="99" t="n"/>
      <c r="R2479" s="100" t="n"/>
      <c r="S2479" s="98" t="n"/>
      <c r="T2479" s="99" t="n"/>
      <c r="U2479" s="99" t="n"/>
      <c r="V2479" s="100" t="n"/>
      <c r="W2479" s="98" t="n"/>
      <c r="X2479" s="100" t="n"/>
      <c r="Y2479" s="98" t="n"/>
      <c r="Z2479" s="100" t="n"/>
      <c r="AB2479" s="101">
        <f>IF($B2479="","",(COUNTIF(C2458:E2475,$B2479)+COUNTIF(C2458:E2475,$B2479&amp;" ~*")&gt;0)+(COUNTIF(G2458:I2475,$B2479)+COUNTIF(G2458:I2475,$B2479&amp;" ~*")&gt;0)+(COUNTIF(K2458:M2475,$B2479)+COUNTIF(K2458:M2475,$B2479&amp;" ~*")&gt;0)+(COUNTIF(O2458:Q2475,$B2479)+COUNTIF(O2458:Q2475,$B2479&amp;" ~*")&gt;0)+(COUNTIF(S2458:U2475,$B2479)+COUNTIF(S2458:U2475,$B2479&amp;" ~*")&gt;0)+(COUNTIF(W2458:W2475,$B2479)+COUNTIF(W2458:W2475,$B2479&amp;" ~*")&gt;0)+(COUNTIF(Y2458:Y2475,$B2479)+COUNTIF(Y2458:Y2475,$B2479&amp;" ~*")&gt;0))</f>
        <v/>
      </c>
      <c r="AC2479" s="36">
        <f>IF($B2479="","",(IFERROR(INDEX(Setup!$G$33:$G$40,MATCH(C2479,Setup!$B$33:$B$40,0)),0)=1)*(COUNTIF(C2458:E2475,$B2479)+COUNTIF(C2458:E2475,$B2479&amp;" ~*")&gt;0)+(IFERROR(INDEX(Setup!$G$33:$G$40,MATCH(G2479,Setup!$B$33:$B$40,0)),0)=1)*(COUNTIF(G2458:I2475,$B2479)+COUNTIF(G2458:I2475,$B2479&amp;" ~*")&gt;0)+(IFERROR(INDEX(Setup!$G$33:$G$40,MATCH(K2479,Setup!$B$33:$B$40,0)),0)=1)*(COUNTIF(K2458:M2475,$B2479)+COUNTIF(K2458:M2475,$B2479&amp;" ~*")&gt;0)+(IFERROR(INDEX(Setup!$G$33:$G$40,MATCH(O2479,Setup!$B$33:$B$40,0)),0)=1)*(COUNTIF(O2458:Q2475,$B2479)+COUNTIF(O2458:Q2475,$B2479&amp;" ~*")&gt;0)+(IFERROR(INDEX(Setup!$G$33:$G$40,MATCH(S2479,Setup!$B$33:$B$40,0)),0)=1)*(COUNTIF(S2458:U2475,$B2479)+COUNTIF(S2458:U2475,$B2479&amp;" ~*")&gt;0)+(IFERROR(INDEX(Setup!$G$33:$G$40,MATCH(W2479,Setup!$B$33:$B$40,0)),0)=1)*(COUNTIF(W2458:W2475,$B2479)+COUNTIF(W2458:W2475,$B2479&amp;" ~*")&gt;0)+(IFERROR(INDEX(Setup!$G$33:$G$40,MATCH(Y2479,Setup!$B$33:$B$40,0)),0)=1)*(COUNTIF(Y2458:Y2475,$B2479)+COUNTIF(Y2458:Y2475,$B2479&amp;" ~*")&gt;0))</f>
        <v/>
      </c>
    </row>
    <row r="2480" ht="15" customHeight="1">
      <c r="A2480" t="n">
        <v>50</v>
      </c>
      <c r="B2480" s="37">
        <f>IF(Setup!$B$9="","",Setup!$B$9)</f>
        <v/>
      </c>
      <c r="C2480" s="102" t="n"/>
      <c r="D2480" s="103" t="n"/>
      <c r="E2480" s="103" t="n"/>
      <c r="F2480" s="104" t="n"/>
      <c r="G2480" s="102" t="n"/>
      <c r="H2480" s="103" t="n"/>
      <c r="I2480" s="103" t="n"/>
      <c r="J2480" s="104" t="n"/>
      <c r="K2480" s="102" t="n"/>
      <c r="L2480" s="103" t="n"/>
      <c r="M2480" s="103" t="n"/>
      <c r="N2480" s="104" t="n"/>
      <c r="O2480" s="102" t="n"/>
      <c r="P2480" s="103" t="n"/>
      <c r="Q2480" s="103" t="n"/>
      <c r="R2480" s="104" t="n"/>
      <c r="S2480" s="102" t="n"/>
      <c r="T2480" s="103" t="n"/>
      <c r="U2480" s="103" t="n"/>
      <c r="V2480" s="104" t="n"/>
      <c r="W2480" s="102" t="n"/>
      <c r="X2480" s="104" t="n"/>
      <c r="Y2480" s="102" t="n"/>
      <c r="Z2480" s="104" t="n"/>
      <c r="AB2480" s="105">
        <f>IF($B2480="","",(COUNTIF(C2458:E2475,$B2480)+COUNTIF(C2458:E2475,$B2480&amp;" ~*")&gt;0)+(COUNTIF(G2458:I2475,$B2480)+COUNTIF(G2458:I2475,$B2480&amp;" ~*")&gt;0)+(COUNTIF(K2458:M2475,$B2480)+COUNTIF(K2458:M2475,$B2480&amp;" ~*")&gt;0)+(COUNTIF(O2458:Q2475,$B2480)+COUNTIF(O2458:Q2475,$B2480&amp;" ~*")&gt;0)+(COUNTIF(S2458:U2475,$B2480)+COUNTIF(S2458:U2475,$B2480&amp;" ~*")&gt;0)+(COUNTIF(W2458:W2475,$B2480)+COUNTIF(W2458:W2475,$B2480&amp;" ~*")&gt;0)+(COUNTIF(Y2458:Y2475,$B2480)+COUNTIF(Y2458:Y2475,$B2480&amp;" ~*")&gt;0))</f>
        <v/>
      </c>
      <c r="AC2480" s="38">
        <f>IF($B2480="","",(IFERROR(INDEX(Setup!$G$33:$G$40,MATCH(C2480,Setup!$B$33:$B$40,0)),0)=1)*(COUNTIF(C2458:E2475,$B2480)+COUNTIF(C2458:E2475,$B2480&amp;" ~*")&gt;0)+(IFERROR(INDEX(Setup!$G$33:$G$40,MATCH(G2480,Setup!$B$33:$B$40,0)),0)=1)*(COUNTIF(G2458:I2475,$B2480)+COUNTIF(G2458:I2475,$B2480&amp;" ~*")&gt;0)+(IFERROR(INDEX(Setup!$G$33:$G$40,MATCH(K2480,Setup!$B$33:$B$40,0)),0)=1)*(COUNTIF(K2458:M2475,$B2480)+COUNTIF(K2458:M2475,$B2480&amp;" ~*")&gt;0)+(IFERROR(INDEX(Setup!$G$33:$G$40,MATCH(O2480,Setup!$B$33:$B$40,0)),0)=1)*(COUNTIF(O2458:Q2475,$B2480)+COUNTIF(O2458:Q2475,$B2480&amp;" ~*")&gt;0)+(IFERROR(INDEX(Setup!$G$33:$G$40,MATCH(S2480,Setup!$B$33:$B$40,0)),0)=1)*(COUNTIF(S2458:U2475,$B2480)+COUNTIF(S2458:U2475,$B2480&amp;" ~*")&gt;0)+(IFERROR(INDEX(Setup!$G$33:$G$40,MATCH(W2480,Setup!$B$33:$B$40,0)),0)=1)*(COUNTIF(W2458:W2475,$B2480)+COUNTIF(W2458:W2475,$B2480&amp;" ~*")&gt;0)+(IFERROR(INDEX(Setup!$G$33:$G$40,MATCH(Y2480,Setup!$B$33:$B$40,0)),0)=1)*(COUNTIF(Y2458:Y2475,$B2480)+COUNTIF(Y2458:Y2475,$B2480&amp;" ~*")&gt;0))</f>
        <v/>
      </c>
    </row>
    <row r="2481" ht="15" customHeight="1">
      <c r="A2481" t="n">
        <v>50</v>
      </c>
      <c r="B2481" s="35">
        <f>IF(Setup!$B$10="","",Setup!$B$10)</f>
        <v/>
      </c>
      <c r="C2481" s="98" t="n"/>
      <c r="D2481" s="99" t="n"/>
      <c r="E2481" s="99" t="n"/>
      <c r="F2481" s="100" t="n"/>
      <c r="G2481" s="98" t="n"/>
      <c r="H2481" s="99" t="n"/>
      <c r="I2481" s="99" t="n"/>
      <c r="J2481" s="100" t="n"/>
      <c r="K2481" s="98" t="n"/>
      <c r="L2481" s="99" t="n"/>
      <c r="M2481" s="99" t="n"/>
      <c r="N2481" s="100" t="n"/>
      <c r="O2481" s="98" t="n"/>
      <c r="P2481" s="99" t="n"/>
      <c r="Q2481" s="99" t="n"/>
      <c r="R2481" s="100" t="n"/>
      <c r="S2481" s="98" t="n"/>
      <c r="T2481" s="99" t="n"/>
      <c r="U2481" s="99" t="n"/>
      <c r="V2481" s="100" t="n"/>
      <c r="W2481" s="98" t="n"/>
      <c r="X2481" s="100" t="n"/>
      <c r="Y2481" s="98" t="n"/>
      <c r="Z2481" s="100" t="n"/>
      <c r="AB2481" s="101">
        <f>IF($B2481="","",(COUNTIF(C2458:E2475,$B2481)+COUNTIF(C2458:E2475,$B2481&amp;" ~*")&gt;0)+(COUNTIF(G2458:I2475,$B2481)+COUNTIF(G2458:I2475,$B2481&amp;" ~*")&gt;0)+(COUNTIF(K2458:M2475,$B2481)+COUNTIF(K2458:M2475,$B2481&amp;" ~*")&gt;0)+(COUNTIF(O2458:Q2475,$B2481)+COUNTIF(O2458:Q2475,$B2481&amp;" ~*")&gt;0)+(COUNTIF(S2458:U2475,$B2481)+COUNTIF(S2458:U2475,$B2481&amp;" ~*")&gt;0)+(COUNTIF(W2458:W2475,$B2481)+COUNTIF(W2458:W2475,$B2481&amp;" ~*")&gt;0)+(COUNTIF(Y2458:Y2475,$B2481)+COUNTIF(Y2458:Y2475,$B2481&amp;" ~*")&gt;0))</f>
        <v/>
      </c>
      <c r="AC2481" s="36">
        <f>IF($B2481="","",(IFERROR(INDEX(Setup!$G$33:$G$40,MATCH(C2481,Setup!$B$33:$B$40,0)),0)=1)*(COUNTIF(C2458:E2475,$B2481)+COUNTIF(C2458:E2475,$B2481&amp;" ~*")&gt;0)+(IFERROR(INDEX(Setup!$G$33:$G$40,MATCH(G2481,Setup!$B$33:$B$40,0)),0)=1)*(COUNTIF(G2458:I2475,$B2481)+COUNTIF(G2458:I2475,$B2481&amp;" ~*")&gt;0)+(IFERROR(INDEX(Setup!$G$33:$G$40,MATCH(K2481,Setup!$B$33:$B$40,0)),0)=1)*(COUNTIF(K2458:M2475,$B2481)+COUNTIF(K2458:M2475,$B2481&amp;" ~*")&gt;0)+(IFERROR(INDEX(Setup!$G$33:$G$40,MATCH(O2481,Setup!$B$33:$B$40,0)),0)=1)*(COUNTIF(O2458:Q2475,$B2481)+COUNTIF(O2458:Q2475,$B2481&amp;" ~*")&gt;0)+(IFERROR(INDEX(Setup!$G$33:$G$40,MATCH(S2481,Setup!$B$33:$B$40,0)),0)=1)*(COUNTIF(S2458:U2475,$B2481)+COUNTIF(S2458:U2475,$B2481&amp;" ~*")&gt;0)+(IFERROR(INDEX(Setup!$G$33:$G$40,MATCH(W2481,Setup!$B$33:$B$40,0)),0)=1)*(COUNTIF(W2458:W2475,$B2481)+COUNTIF(W2458:W2475,$B2481&amp;" ~*")&gt;0)+(IFERROR(INDEX(Setup!$G$33:$G$40,MATCH(Y2481,Setup!$B$33:$B$40,0)),0)=1)*(COUNTIF(Y2458:Y2475,$B2481)+COUNTIF(Y2458:Y2475,$B2481&amp;" ~*")&gt;0))</f>
        <v/>
      </c>
    </row>
    <row r="2482" ht="15" customHeight="1">
      <c r="A2482" t="n">
        <v>50</v>
      </c>
      <c r="B2482" s="37">
        <f>IF(Setup!$B$11="","",Setup!$B$11)</f>
        <v/>
      </c>
      <c r="C2482" s="102" t="n"/>
      <c r="D2482" s="103" t="n"/>
      <c r="E2482" s="103" t="n"/>
      <c r="F2482" s="104" t="n"/>
      <c r="G2482" s="102" t="n"/>
      <c r="H2482" s="103" t="n"/>
      <c r="I2482" s="103" t="n"/>
      <c r="J2482" s="104" t="n"/>
      <c r="K2482" s="102" t="n"/>
      <c r="L2482" s="103" t="n"/>
      <c r="M2482" s="103" t="n"/>
      <c r="N2482" s="104" t="n"/>
      <c r="O2482" s="102" t="n"/>
      <c r="P2482" s="103" t="n"/>
      <c r="Q2482" s="103" t="n"/>
      <c r="R2482" s="104" t="n"/>
      <c r="S2482" s="102" t="n"/>
      <c r="T2482" s="103" t="n"/>
      <c r="U2482" s="103" t="n"/>
      <c r="V2482" s="104" t="n"/>
      <c r="W2482" s="102" t="n"/>
      <c r="X2482" s="104" t="n"/>
      <c r="Y2482" s="102" t="n"/>
      <c r="Z2482" s="104" t="n"/>
      <c r="AB2482" s="105">
        <f>IF($B2482="","",(COUNTIF(C2458:E2475,$B2482)+COUNTIF(C2458:E2475,$B2482&amp;" ~*")&gt;0)+(COUNTIF(G2458:I2475,$B2482)+COUNTIF(G2458:I2475,$B2482&amp;" ~*")&gt;0)+(COUNTIF(K2458:M2475,$B2482)+COUNTIF(K2458:M2475,$B2482&amp;" ~*")&gt;0)+(COUNTIF(O2458:Q2475,$B2482)+COUNTIF(O2458:Q2475,$B2482&amp;" ~*")&gt;0)+(COUNTIF(S2458:U2475,$B2482)+COUNTIF(S2458:U2475,$B2482&amp;" ~*")&gt;0)+(COUNTIF(W2458:W2475,$B2482)+COUNTIF(W2458:W2475,$B2482&amp;" ~*")&gt;0)+(COUNTIF(Y2458:Y2475,$B2482)+COUNTIF(Y2458:Y2475,$B2482&amp;" ~*")&gt;0))</f>
        <v/>
      </c>
      <c r="AC2482" s="38">
        <f>IF($B2482="","",(IFERROR(INDEX(Setup!$G$33:$G$40,MATCH(C2482,Setup!$B$33:$B$40,0)),0)=1)*(COUNTIF(C2458:E2475,$B2482)+COUNTIF(C2458:E2475,$B2482&amp;" ~*")&gt;0)+(IFERROR(INDEX(Setup!$G$33:$G$40,MATCH(G2482,Setup!$B$33:$B$40,0)),0)=1)*(COUNTIF(G2458:I2475,$B2482)+COUNTIF(G2458:I2475,$B2482&amp;" ~*")&gt;0)+(IFERROR(INDEX(Setup!$G$33:$G$40,MATCH(K2482,Setup!$B$33:$B$40,0)),0)=1)*(COUNTIF(K2458:M2475,$B2482)+COUNTIF(K2458:M2475,$B2482&amp;" ~*")&gt;0)+(IFERROR(INDEX(Setup!$G$33:$G$40,MATCH(O2482,Setup!$B$33:$B$40,0)),0)=1)*(COUNTIF(O2458:Q2475,$B2482)+COUNTIF(O2458:Q2475,$B2482&amp;" ~*")&gt;0)+(IFERROR(INDEX(Setup!$G$33:$G$40,MATCH(S2482,Setup!$B$33:$B$40,0)),0)=1)*(COUNTIF(S2458:U2475,$B2482)+COUNTIF(S2458:U2475,$B2482&amp;" ~*")&gt;0)+(IFERROR(INDEX(Setup!$G$33:$G$40,MATCH(W2482,Setup!$B$33:$B$40,0)),0)=1)*(COUNTIF(W2458:W2475,$B2482)+COUNTIF(W2458:W2475,$B2482&amp;" ~*")&gt;0)+(IFERROR(INDEX(Setup!$G$33:$G$40,MATCH(Y2482,Setup!$B$33:$B$40,0)),0)=1)*(COUNTIF(Y2458:Y2475,$B2482)+COUNTIF(Y2458:Y2475,$B2482&amp;" ~*")&gt;0))</f>
        <v/>
      </c>
    </row>
    <row r="2483" ht="15" customHeight="1">
      <c r="A2483" t="n">
        <v>50</v>
      </c>
      <c r="B2483" s="35">
        <f>IF(Setup!$B$12="","",Setup!$B$12)</f>
        <v/>
      </c>
      <c r="C2483" s="98" t="n"/>
      <c r="D2483" s="99" t="n"/>
      <c r="E2483" s="99" t="n"/>
      <c r="F2483" s="100" t="n"/>
      <c r="G2483" s="98" t="n"/>
      <c r="H2483" s="99" t="n"/>
      <c r="I2483" s="99" t="n"/>
      <c r="J2483" s="100" t="n"/>
      <c r="K2483" s="98" t="n"/>
      <c r="L2483" s="99" t="n"/>
      <c r="M2483" s="99" t="n"/>
      <c r="N2483" s="100" t="n"/>
      <c r="O2483" s="98" t="n"/>
      <c r="P2483" s="99" t="n"/>
      <c r="Q2483" s="99" t="n"/>
      <c r="R2483" s="100" t="n"/>
      <c r="S2483" s="98" t="n"/>
      <c r="T2483" s="99" t="n"/>
      <c r="U2483" s="99" t="n"/>
      <c r="V2483" s="100" t="n"/>
      <c r="W2483" s="98" t="n"/>
      <c r="X2483" s="100" t="n"/>
      <c r="Y2483" s="98" t="n"/>
      <c r="Z2483" s="100" t="n"/>
      <c r="AB2483" s="101">
        <f>IF($B2483="","",(COUNTIF(C2458:E2475,$B2483)+COUNTIF(C2458:E2475,$B2483&amp;" ~*")&gt;0)+(COUNTIF(G2458:I2475,$B2483)+COUNTIF(G2458:I2475,$B2483&amp;" ~*")&gt;0)+(COUNTIF(K2458:M2475,$B2483)+COUNTIF(K2458:M2475,$B2483&amp;" ~*")&gt;0)+(COUNTIF(O2458:Q2475,$B2483)+COUNTIF(O2458:Q2475,$B2483&amp;" ~*")&gt;0)+(COUNTIF(S2458:U2475,$B2483)+COUNTIF(S2458:U2475,$B2483&amp;" ~*")&gt;0)+(COUNTIF(W2458:W2475,$B2483)+COUNTIF(W2458:W2475,$B2483&amp;" ~*")&gt;0)+(COUNTIF(Y2458:Y2475,$B2483)+COUNTIF(Y2458:Y2475,$B2483&amp;" ~*")&gt;0))</f>
        <v/>
      </c>
      <c r="AC2483" s="36">
        <f>IF($B2483="","",(IFERROR(INDEX(Setup!$G$33:$G$40,MATCH(C2483,Setup!$B$33:$B$40,0)),0)=1)*(COUNTIF(C2458:E2475,$B2483)+COUNTIF(C2458:E2475,$B2483&amp;" ~*")&gt;0)+(IFERROR(INDEX(Setup!$G$33:$G$40,MATCH(G2483,Setup!$B$33:$B$40,0)),0)=1)*(COUNTIF(G2458:I2475,$B2483)+COUNTIF(G2458:I2475,$B2483&amp;" ~*")&gt;0)+(IFERROR(INDEX(Setup!$G$33:$G$40,MATCH(K2483,Setup!$B$33:$B$40,0)),0)=1)*(COUNTIF(K2458:M2475,$B2483)+COUNTIF(K2458:M2475,$B2483&amp;" ~*")&gt;0)+(IFERROR(INDEX(Setup!$G$33:$G$40,MATCH(O2483,Setup!$B$33:$B$40,0)),0)=1)*(COUNTIF(O2458:Q2475,$B2483)+COUNTIF(O2458:Q2475,$B2483&amp;" ~*")&gt;0)+(IFERROR(INDEX(Setup!$G$33:$G$40,MATCH(S2483,Setup!$B$33:$B$40,0)),0)=1)*(COUNTIF(S2458:U2475,$B2483)+COUNTIF(S2458:U2475,$B2483&amp;" ~*")&gt;0)+(IFERROR(INDEX(Setup!$G$33:$G$40,MATCH(W2483,Setup!$B$33:$B$40,0)),0)=1)*(COUNTIF(W2458:W2475,$B2483)+COUNTIF(W2458:W2475,$B2483&amp;" ~*")&gt;0)+(IFERROR(INDEX(Setup!$G$33:$G$40,MATCH(Y2483,Setup!$B$33:$B$40,0)),0)=1)*(COUNTIF(Y2458:Y2475,$B2483)+COUNTIF(Y2458:Y2475,$B2483&amp;" ~*")&gt;0))</f>
        <v/>
      </c>
    </row>
    <row r="2484" ht="15" customHeight="1">
      <c r="A2484" t="n">
        <v>50</v>
      </c>
      <c r="B2484" s="37">
        <f>IF(Setup!$B$13="","",Setup!$B$13)</f>
        <v/>
      </c>
      <c r="C2484" s="102" t="n"/>
      <c r="D2484" s="103" t="n"/>
      <c r="E2484" s="103" t="n"/>
      <c r="F2484" s="104" t="n"/>
      <c r="G2484" s="102" t="n"/>
      <c r="H2484" s="103" t="n"/>
      <c r="I2484" s="103" t="n"/>
      <c r="J2484" s="104" t="n"/>
      <c r="K2484" s="102" t="n"/>
      <c r="L2484" s="103" t="n"/>
      <c r="M2484" s="103" t="n"/>
      <c r="N2484" s="104" t="n"/>
      <c r="O2484" s="102" t="n"/>
      <c r="P2484" s="103" t="n"/>
      <c r="Q2484" s="103" t="n"/>
      <c r="R2484" s="104" t="n"/>
      <c r="S2484" s="102" t="n"/>
      <c r="T2484" s="103" t="n"/>
      <c r="U2484" s="103" t="n"/>
      <c r="V2484" s="104" t="n"/>
      <c r="W2484" s="102" t="n"/>
      <c r="X2484" s="104" t="n"/>
      <c r="Y2484" s="102" t="n"/>
      <c r="Z2484" s="104" t="n"/>
      <c r="AB2484" s="105">
        <f>IF($B2484="","",(COUNTIF(C2458:E2475,$B2484)+COUNTIF(C2458:E2475,$B2484&amp;" ~*")&gt;0)+(COUNTIF(G2458:I2475,$B2484)+COUNTIF(G2458:I2475,$B2484&amp;" ~*")&gt;0)+(COUNTIF(K2458:M2475,$B2484)+COUNTIF(K2458:M2475,$B2484&amp;" ~*")&gt;0)+(COUNTIF(O2458:Q2475,$B2484)+COUNTIF(O2458:Q2475,$B2484&amp;" ~*")&gt;0)+(COUNTIF(S2458:U2475,$B2484)+COUNTIF(S2458:U2475,$B2484&amp;" ~*")&gt;0)+(COUNTIF(W2458:W2475,$B2484)+COUNTIF(W2458:W2475,$B2484&amp;" ~*")&gt;0)+(COUNTIF(Y2458:Y2475,$B2484)+COUNTIF(Y2458:Y2475,$B2484&amp;" ~*")&gt;0))</f>
        <v/>
      </c>
      <c r="AC2484" s="38">
        <f>IF($B2484="","",(IFERROR(INDEX(Setup!$G$33:$G$40,MATCH(C2484,Setup!$B$33:$B$40,0)),0)=1)*(COUNTIF(C2458:E2475,$B2484)+COUNTIF(C2458:E2475,$B2484&amp;" ~*")&gt;0)+(IFERROR(INDEX(Setup!$G$33:$G$40,MATCH(G2484,Setup!$B$33:$B$40,0)),0)=1)*(COUNTIF(G2458:I2475,$B2484)+COUNTIF(G2458:I2475,$B2484&amp;" ~*")&gt;0)+(IFERROR(INDEX(Setup!$G$33:$G$40,MATCH(K2484,Setup!$B$33:$B$40,0)),0)=1)*(COUNTIF(K2458:M2475,$B2484)+COUNTIF(K2458:M2475,$B2484&amp;" ~*")&gt;0)+(IFERROR(INDEX(Setup!$G$33:$G$40,MATCH(O2484,Setup!$B$33:$B$40,0)),0)=1)*(COUNTIF(O2458:Q2475,$B2484)+COUNTIF(O2458:Q2475,$B2484&amp;" ~*")&gt;0)+(IFERROR(INDEX(Setup!$G$33:$G$40,MATCH(S2484,Setup!$B$33:$B$40,0)),0)=1)*(COUNTIF(S2458:U2475,$B2484)+COUNTIF(S2458:U2475,$B2484&amp;" ~*")&gt;0)+(IFERROR(INDEX(Setup!$G$33:$G$40,MATCH(W2484,Setup!$B$33:$B$40,0)),0)=1)*(COUNTIF(W2458:W2475,$B2484)+COUNTIF(W2458:W2475,$B2484&amp;" ~*")&gt;0)+(IFERROR(INDEX(Setup!$G$33:$G$40,MATCH(Y2484,Setup!$B$33:$B$40,0)),0)=1)*(COUNTIF(Y2458:Y2475,$B2484)+COUNTIF(Y2458:Y2475,$B2484&amp;" ~*")&gt;0))</f>
        <v/>
      </c>
    </row>
    <row r="2485" ht="15" customHeight="1">
      <c r="A2485" t="n">
        <v>50</v>
      </c>
      <c r="B2485" s="35">
        <f>IF(Setup!$B$14="","",Setup!$B$14)</f>
        <v/>
      </c>
      <c r="C2485" s="98" t="n"/>
      <c r="D2485" s="99" t="n"/>
      <c r="E2485" s="99" t="n"/>
      <c r="F2485" s="100" t="n"/>
      <c r="G2485" s="98" t="n"/>
      <c r="H2485" s="99" t="n"/>
      <c r="I2485" s="99" t="n"/>
      <c r="J2485" s="100" t="n"/>
      <c r="K2485" s="98" t="n"/>
      <c r="L2485" s="99" t="n"/>
      <c r="M2485" s="99" t="n"/>
      <c r="N2485" s="100" t="n"/>
      <c r="O2485" s="98" t="n"/>
      <c r="P2485" s="99" t="n"/>
      <c r="Q2485" s="99" t="n"/>
      <c r="R2485" s="100" t="n"/>
      <c r="S2485" s="98" t="n"/>
      <c r="T2485" s="99" t="n"/>
      <c r="U2485" s="99" t="n"/>
      <c r="V2485" s="100" t="n"/>
      <c r="W2485" s="98" t="n"/>
      <c r="X2485" s="100" t="n"/>
      <c r="Y2485" s="98" t="n"/>
      <c r="Z2485" s="100" t="n"/>
      <c r="AB2485" s="101">
        <f>IF($B2485="","",(COUNTIF(C2458:E2475,$B2485)+COUNTIF(C2458:E2475,$B2485&amp;" ~*")&gt;0)+(COUNTIF(G2458:I2475,$B2485)+COUNTIF(G2458:I2475,$B2485&amp;" ~*")&gt;0)+(COUNTIF(K2458:M2475,$B2485)+COUNTIF(K2458:M2475,$B2485&amp;" ~*")&gt;0)+(COUNTIF(O2458:Q2475,$B2485)+COUNTIF(O2458:Q2475,$B2485&amp;" ~*")&gt;0)+(COUNTIF(S2458:U2475,$B2485)+COUNTIF(S2458:U2475,$B2485&amp;" ~*")&gt;0)+(COUNTIF(W2458:W2475,$B2485)+COUNTIF(W2458:W2475,$B2485&amp;" ~*")&gt;0)+(COUNTIF(Y2458:Y2475,$B2485)+COUNTIF(Y2458:Y2475,$B2485&amp;" ~*")&gt;0))</f>
        <v/>
      </c>
      <c r="AC2485" s="36">
        <f>IF($B2485="","",(IFERROR(INDEX(Setup!$G$33:$G$40,MATCH(C2485,Setup!$B$33:$B$40,0)),0)=1)*(COUNTIF(C2458:E2475,$B2485)+COUNTIF(C2458:E2475,$B2485&amp;" ~*")&gt;0)+(IFERROR(INDEX(Setup!$G$33:$G$40,MATCH(G2485,Setup!$B$33:$B$40,0)),0)=1)*(COUNTIF(G2458:I2475,$B2485)+COUNTIF(G2458:I2475,$B2485&amp;" ~*")&gt;0)+(IFERROR(INDEX(Setup!$G$33:$G$40,MATCH(K2485,Setup!$B$33:$B$40,0)),0)=1)*(COUNTIF(K2458:M2475,$B2485)+COUNTIF(K2458:M2475,$B2485&amp;" ~*")&gt;0)+(IFERROR(INDEX(Setup!$G$33:$G$40,MATCH(O2485,Setup!$B$33:$B$40,0)),0)=1)*(COUNTIF(O2458:Q2475,$B2485)+COUNTIF(O2458:Q2475,$B2485&amp;" ~*")&gt;0)+(IFERROR(INDEX(Setup!$G$33:$G$40,MATCH(S2485,Setup!$B$33:$B$40,0)),0)=1)*(COUNTIF(S2458:U2475,$B2485)+COUNTIF(S2458:U2475,$B2485&amp;" ~*")&gt;0)+(IFERROR(INDEX(Setup!$G$33:$G$40,MATCH(W2485,Setup!$B$33:$B$40,0)),0)=1)*(COUNTIF(W2458:W2475,$B2485)+COUNTIF(W2458:W2475,$B2485&amp;" ~*")&gt;0)+(IFERROR(INDEX(Setup!$G$33:$G$40,MATCH(Y2485,Setup!$B$33:$B$40,0)),0)=1)*(COUNTIF(Y2458:Y2475,$B2485)+COUNTIF(Y2458:Y2475,$B2485&amp;" ~*")&gt;0))</f>
        <v/>
      </c>
    </row>
    <row r="2486" ht="15" customHeight="1">
      <c r="A2486" t="n">
        <v>50</v>
      </c>
      <c r="B2486" s="37">
        <f>IF(Setup!$B$15="","",Setup!$B$15)</f>
        <v/>
      </c>
      <c r="C2486" s="102" t="n"/>
      <c r="D2486" s="103" t="n"/>
      <c r="E2486" s="103" t="n"/>
      <c r="F2486" s="104" t="n"/>
      <c r="G2486" s="102" t="n"/>
      <c r="H2486" s="103" t="n"/>
      <c r="I2486" s="103" t="n"/>
      <c r="J2486" s="104" t="n"/>
      <c r="K2486" s="102" t="n"/>
      <c r="L2486" s="103" t="n"/>
      <c r="M2486" s="103" t="n"/>
      <c r="N2486" s="104" t="n"/>
      <c r="O2486" s="102" t="n"/>
      <c r="P2486" s="103" t="n"/>
      <c r="Q2486" s="103" t="n"/>
      <c r="R2486" s="104" t="n"/>
      <c r="S2486" s="102" t="n"/>
      <c r="T2486" s="103" t="n"/>
      <c r="U2486" s="103" t="n"/>
      <c r="V2486" s="104" t="n"/>
      <c r="W2486" s="102" t="n"/>
      <c r="X2486" s="104" t="n"/>
      <c r="Y2486" s="102" t="n"/>
      <c r="Z2486" s="104" t="n"/>
      <c r="AB2486" s="105">
        <f>IF($B2486="","",(COUNTIF(C2458:E2475,$B2486)+COUNTIF(C2458:E2475,$B2486&amp;" ~*")&gt;0)+(COUNTIF(G2458:I2475,$B2486)+COUNTIF(G2458:I2475,$B2486&amp;" ~*")&gt;0)+(COUNTIF(K2458:M2475,$B2486)+COUNTIF(K2458:M2475,$B2486&amp;" ~*")&gt;0)+(COUNTIF(O2458:Q2475,$B2486)+COUNTIF(O2458:Q2475,$B2486&amp;" ~*")&gt;0)+(COUNTIF(S2458:U2475,$B2486)+COUNTIF(S2458:U2475,$B2486&amp;" ~*")&gt;0)+(COUNTIF(W2458:W2475,$B2486)+COUNTIF(W2458:W2475,$B2486&amp;" ~*")&gt;0)+(COUNTIF(Y2458:Y2475,$B2486)+COUNTIF(Y2458:Y2475,$B2486&amp;" ~*")&gt;0))</f>
        <v/>
      </c>
      <c r="AC2486" s="38">
        <f>IF($B2486="","",(IFERROR(INDEX(Setup!$G$33:$G$40,MATCH(C2486,Setup!$B$33:$B$40,0)),0)=1)*(COUNTIF(C2458:E2475,$B2486)+COUNTIF(C2458:E2475,$B2486&amp;" ~*")&gt;0)+(IFERROR(INDEX(Setup!$G$33:$G$40,MATCH(G2486,Setup!$B$33:$B$40,0)),0)=1)*(COUNTIF(G2458:I2475,$B2486)+COUNTIF(G2458:I2475,$B2486&amp;" ~*")&gt;0)+(IFERROR(INDEX(Setup!$G$33:$G$40,MATCH(K2486,Setup!$B$33:$B$40,0)),0)=1)*(COUNTIF(K2458:M2475,$B2486)+COUNTIF(K2458:M2475,$B2486&amp;" ~*")&gt;0)+(IFERROR(INDEX(Setup!$G$33:$G$40,MATCH(O2486,Setup!$B$33:$B$40,0)),0)=1)*(COUNTIF(O2458:Q2475,$B2486)+COUNTIF(O2458:Q2475,$B2486&amp;" ~*")&gt;0)+(IFERROR(INDEX(Setup!$G$33:$G$40,MATCH(S2486,Setup!$B$33:$B$40,0)),0)=1)*(COUNTIF(S2458:U2475,$B2486)+COUNTIF(S2458:U2475,$B2486&amp;" ~*")&gt;0)+(IFERROR(INDEX(Setup!$G$33:$G$40,MATCH(W2486,Setup!$B$33:$B$40,0)),0)=1)*(COUNTIF(W2458:W2475,$B2486)+COUNTIF(W2458:W2475,$B2486&amp;" ~*")&gt;0)+(IFERROR(INDEX(Setup!$G$33:$G$40,MATCH(Y2486,Setup!$B$33:$B$40,0)),0)=1)*(COUNTIF(Y2458:Y2475,$B2486)+COUNTIF(Y2458:Y2475,$B2486&amp;" ~*")&gt;0))</f>
        <v/>
      </c>
    </row>
    <row r="2487" ht="15" customHeight="1">
      <c r="A2487" t="n">
        <v>50</v>
      </c>
      <c r="B2487" s="35">
        <f>IF(Setup!$B$16="","",Setup!$B$16)</f>
        <v/>
      </c>
      <c r="C2487" s="98" t="n"/>
      <c r="D2487" s="99" t="n"/>
      <c r="E2487" s="99" t="n"/>
      <c r="F2487" s="100" t="n"/>
      <c r="G2487" s="98" t="n"/>
      <c r="H2487" s="99" t="n"/>
      <c r="I2487" s="99" t="n"/>
      <c r="J2487" s="100" t="n"/>
      <c r="K2487" s="98" t="n"/>
      <c r="L2487" s="99" t="n"/>
      <c r="M2487" s="99" t="n"/>
      <c r="N2487" s="100" t="n"/>
      <c r="O2487" s="98" t="n"/>
      <c r="P2487" s="99" t="n"/>
      <c r="Q2487" s="99" t="n"/>
      <c r="R2487" s="100" t="n"/>
      <c r="S2487" s="98" t="n"/>
      <c r="T2487" s="99" t="n"/>
      <c r="U2487" s="99" t="n"/>
      <c r="V2487" s="100" t="n"/>
      <c r="W2487" s="98" t="n"/>
      <c r="X2487" s="100" t="n"/>
      <c r="Y2487" s="98" t="n"/>
      <c r="Z2487" s="100" t="n"/>
      <c r="AB2487" s="101">
        <f>IF($B2487="","",(COUNTIF(C2458:E2475,$B2487)+COUNTIF(C2458:E2475,$B2487&amp;" ~*")&gt;0)+(COUNTIF(G2458:I2475,$B2487)+COUNTIF(G2458:I2475,$B2487&amp;" ~*")&gt;0)+(COUNTIF(K2458:M2475,$B2487)+COUNTIF(K2458:M2475,$B2487&amp;" ~*")&gt;0)+(COUNTIF(O2458:Q2475,$B2487)+COUNTIF(O2458:Q2475,$B2487&amp;" ~*")&gt;0)+(COUNTIF(S2458:U2475,$B2487)+COUNTIF(S2458:U2475,$B2487&amp;" ~*")&gt;0)+(COUNTIF(W2458:W2475,$B2487)+COUNTIF(W2458:W2475,$B2487&amp;" ~*")&gt;0)+(COUNTIF(Y2458:Y2475,$B2487)+COUNTIF(Y2458:Y2475,$B2487&amp;" ~*")&gt;0))</f>
        <v/>
      </c>
      <c r="AC2487" s="36">
        <f>IF($B2487="","",(IFERROR(INDEX(Setup!$G$33:$G$40,MATCH(C2487,Setup!$B$33:$B$40,0)),0)=1)*(COUNTIF(C2458:E2475,$B2487)+COUNTIF(C2458:E2475,$B2487&amp;" ~*")&gt;0)+(IFERROR(INDEX(Setup!$G$33:$G$40,MATCH(G2487,Setup!$B$33:$B$40,0)),0)=1)*(COUNTIF(G2458:I2475,$B2487)+COUNTIF(G2458:I2475,$B2487&amp;" ~*")&gt;0)+(IFERROR(INDEX(Setup!$G$33:$G$40,MATCH(K2487,Setup!$B$33:$B$40,0)),0)=1)*(COUNTIF(K2458:M2475,$B2487)+COUNTIF(K2458:M2475,$B2487&amp;" ~*")&gt;0)+(IFERROR(INDEX(Setup!$G$33:$G$40,MATCH(O2487,Setup!$B$33:$B$40,0)),0)=1)*(COUNTIF(O2458:Q2475,$B2487)+COUNTIF(O2458:Q2475,$B2487&amp;" ~*")&gt;0)+(IFERROR(INDEX(Setup!$G$33:$G$40,MATCH(S2487,Setup!$B$33:$B$40,0)),0)=1)*(COUNTIF(S2458:U2475,$B2487)+COUNTIF(S2458:U2475,$B2487&amp;" ~*")&gt;0)+(IFERROR(INDEX(Setup!$G$33:$G$40,MATCH(W2487,Setup!$B$33:$B$40,0)),0)=1)*(COUNTIF(W2458:W2475,$B2487)+COUNTIF(W2458:W2475,$B2487&amp;" ~*")&gt;0)+(IFERROR(INDEX(Setup!$G$33:$G$40,MATCH(Y2487,Setup!$B$33:$B$40,0)),0)=1)*(COUNTIF(Y2458:Y2475,$B2487)+COUNTIF(Y2458:Y2475,$B2487&amp;" ~*")&gt;0))</f>
        <v/>
      </c>
    </row>
    <row r="2488" ht="15" customHeight="1">
      <c r="A2488" t="n">
        <v>50</v>
      </c>
      <c r="B2488" s="37">
        <f>IF(Setup!$B$17="","",Setup!$B$17)</f>
        <v/>
      </c>
      <c r="C2488" s="102" t="n"/>
      <c r="D2488" s="103" t="n"/>
      <c r="E2488" s="103" t="n"/>
      <c r="F2488" s="104" t="n"/>
      <c r="G2488" s="102" t="n"/>
      <c r="H2488" s="103" t="n"/>
      <c r="I2488" s="103" t="n"/>
      <c r="J2488" s="104" t="n"/>
      <c r="K2488" s="102" t="n"/>
      <c r="L2488" s="103" t="n"/>
      <c r="M2488" s="103" t="n"/>
      <c r="N2488" s="104" t="n"/>
      <c r="O2488" s="102" t="n"/>
      <c r="P2488" s="103" t="n"/>
      <c r="Q2488" s="103" t="n"/>
      <c r="R2488" s="104" t="n"/>
      <c r="S2488" s="102" t="n"/>
      <c r="T2488" s="103" t="n"/>
      <c r="U2488" s="103" t="n"/>
      <c r="V2488" s="104" t="n"/>
      <c r="W2488" s="102" t="n"/>
      <c r="X2488" s="104" t="n"/>
      <c r="Y2488" s="102" t="n"/>
      <c r="Z2488" s="104" t="n"/>
      <c r="AB2488" s="105">
        <f>IF($B2488="","",(COUNTIF(C2458:E2475,$B2488)+COUNTIF(C2458:E2475,$B2488&amp;" ~*")&gt;0)+(COUNTIF(G2458:I2475,$B2488)+COUNTIF(G2458:I2475,$B2488&amp;" ~*")&gt;0)+(COUNTIF(K2458:M2475,$B2488)+COUNTIF(K2458:M2475,$B2488&amp;" ~*")&gt;0)+(COUNTIF(O2458:Q2475,$B2488)+COUNTIF(O2458:Q2475,$B2488&amp;" ~*")&gt;0)+(COUNTIF(S2458:U2475,$B2488)+COUNTIF(S2458:U2475,$B2488&amp;" ~*")&gt;0)+(COUNTIF(W2458:W2475,$B2488)+COUNTIF(W2458:W2475,$B2488&amp;" ~*")&gt;0)+(COUNTIF(Y2458:Y2475,$B2488)+COUNTIF(Y2458:Y2475,$B2488&amp;" ~*")&gt;0))</f>
        <v/>
      </c>
      <c r="AC2488" s="38">
        <f>IF($B2488="","",(IFERROR(INDEX(Setup!$G$33:$G$40,MATCH(C2488,Setup!$B$33:$B$40,0)),0)=1)*(COUNTIF(C2458:E2475,$B2488)+COUNTIF(C2458:E2475,$B2488&amp;" ~*")&gt;0)+(IFERROR(INDEX(Setup!$G$33:$G$40,MATCH(G2488,Setup!$B$33:$B$40,0)),0)=1)*(COUNTIF(G2458:I2475,$B2488)+COUNTIF(G2458:I2475,$B2488&amp;" ~*")&gt;0)+(IFERROR(INDEX(Setup!$G$33:$G$40,MATCH(K2488,Setup!$B$33:$B$40,0)),0)=1)*(COUNTIF(K2458:M2475,$B2488)+COUNTIF(K2458:M2475,$B2488&amp;" ~*")&gt;0)+(IFERROR(INDEX(Setup!$G$33:$G$40,MATCH(O2488,Setup!$B$33:$B$40,0)),0)=1)*(COUNTIF(O2458:Q2475,$B2488)+COUNTIF(O2458:Q2475,$B2488&amp;" ~*")&gt;0)+(IFERROR(INDEX(Setup!$G$33:$G$40,MATCH(S2488,Setup!$B$33:$B$40,0)),0)=1)*(COUNTIF(S2458:U2475,$B2488)+COUNTIF(S2458:U2475,$B2488&amp;" ~*")&gt;0)+(IFERROR(INDEX(Setup!$G$33:$G$40,MATCH(W2488,Setup!$B$33:$B$40,0)),0)=1)*(COUNTIF(W2458:W2475,$B2488)+COUNTIF(W2458:W2475,$B2488&amp;" ~*")&gt;0)+(IFERROR(INDEX(Setup!$G$33:$G$40,MATCH(Y2488,Setup!$B$33:$B$40,0)),0)=1)*(COUNTIF(Y2458:Y2475,$B2488)+COUNTIF(Y2458:Y2475,$B2488&amp;" ~*")&gt;0))</f>
        <v/>
      </c>
    </row>
    <row r="2489" ht="15" customHeight="1">
      <c r="A2489" t="n">
        <v>50</v>
      </c>
      <c r="B2489" s="35">
        <f>IF(Setup!$B$18="","",Setup!$B$18)</f>
        <v/>
      </c>
      <c r="C2489" s="98" t="n"/>
      <c r="D2489" s="99" t="n"/>
      <c r="E2489" s="99" t="n"/>
      <c r="F2489" s="100" t="n"/>
      <c r="G2489" s="98" t="n"/>
      <c r="H2489" s="99" t="n"/>
      <c r="I2489" s="99" t="n"/>
      <c r="J2489" s="100" t="n"/>
      <c r="K2489" s="98" t="n"/>
      <c r="L2489" s="99" t="n"/>
      <c r="M2489" s="99" t="n"/>
      <c r="N2489" s="100" t="n"/>
      <c r="O2489" s="98" t="n"/>
      <c r="P2489" s="99" t="n"/>
      <c r="Q2489" s="99" t="n"/>
      <c r="R2489" s="100" t="n"/>
      <c r="S2489" s="98" t="n"/>
      <c r="T2489" s="99" t="n"/>
      <c r="U2489" s="99" t="n"/>
      <c r="V2489" s="100" t="n"/>
      <c r="W2489" s="98" t="n"/>
      <c r="X2489" s="100" t="n"/>
      <c r="Y2489" s="98" t="n"/>
      <c r="Z2489" s="100" t="n"/>
      <c r="AB2489" s="101">
        <f>IF($B2489="","",(COUNTIF(C2458:E2475,$B2489)+COUNTIF(C2458:E2475,$B2489&amp;" ~*")&gt;0)+(COUNTIF(G2458:I2475,$B2489)+COUNTIF(G2458:I2475,$B2489&amp;" ~*")&gt;0)+(COUNTIF(K2458:M2475,$B2489)+COUNTIF(K2458:M2475,$B2489&amp;" ~*")&gt;0)+(COUNTIF(O2458:Q2475,$B2489)+COUNTIF(O2458:Q2475,$B2489&amp;" ~*")&gt;0)+(COUNTIF(S2458:U2475,$B2489)+COUNTIF(S2458:U2475,$B2489&amp;" ~*")&gt;0)+(COUNTIF(W2458:W2475,$B2489)+COUNTIF(W2458:W2475,$B2489&amp;" ~*")&gt;0)+(COUNTIF(Y2458:Y2475,$B2489)+COUNTIF(Y2458:Y2475,$B2489&amp;" ~*")&gt;0))</f>
        <v/>
      </c>
      <c r="AC2489" s="36">
        <f>IF($B2489="","",(IFERROR(INDEX(Setup!$G$33:$G$40,MATCH(C2489,Setup!$B$33:$B$40,0)),0)=1)*(COUNTIF(C2458:E2475,$B2489)+COUNTIF(C2458:E2475,$B2489&amp;" ~*")&gt;0)+(IFERROR(INDEX(Setup!$G$33:$G$40,MATCH(G2489,Setup!$B$33:$B$40,0)),0)=1)*(COUNTIF(G2458:I2475,$B2489)+COUNTIF(G2458:I2475,$B2489&amp;" ~*")&gt;0)+(IFERROR(INDEX(Setup!$G$33:$G$40,MATCH(K2489,Setup!$B$33:$B$40,0)),0)=1)*(COUNTIF(K2458:M2475,$B2489)+COUNTIF(K2458:M2475,$B2489&amp;" ~*")&gt;0)+(IFERROR(INDEX(Setup!$G$33:$G$40,MATCH(O2489,Setup!$B$33:$B$40,0)),0)=1)*(COUNTIF(O2458:Q2475,$B2489)+COUNTIF(O2458:Q2475,$B2489&amp;" ~*")&gt;0)+(IFERROR(INDEX(Setup!$G$33:$G$40,MATCH(S2489,Setup!$B$33:$B$40,0)),0)=1)*(COUNTIF(S2458:U2475,$B2489)+COUNTIF(S2458:U2475,$B2489&amp;" ~*")&gt;0)+(IFERROR(INDEX(Setup!$G$33:$G$40,MATCH(W2489,Setup!$B$33:$B$40,0)),0)=1)*(COUNTIF(W2458:W2475,$B2489)+COUNTIF(W2458:W2475,$B2489&amp;" ~*")&gt;0)+(IFERROR(INDEX(Setup!$G$33:$G$40,MATCH(Y2489,Setup!$B$33:$B$40,0)),0)=1)*(COUNTIF(Y2458:Y2475,$B2489)+COUNTIF(Y2458:Y2475,$B2489&amp;" ~*")&gt;0))</f>
        <v/>
      </c>
    </row>
    <row r="2490" ht="15" customHeight="1">
      <c r="A2490" t="n">
        <v>50</v>
      </c>
      <c r="B2490" s="37">
        <f>IF(Setup!$B$19="","",Setup!$B$19)</f>
        <v/>
      </c>
      <c r="C2490" s="102" t="n"/>
      <c r="D2490" s="103" t="n"/>
      <c r="E2490" s="103" t="n"/>
      <c r="F2490" s="104" t="n"/>
      <c r="G2490" s="102" t="n"/>
      <c r="H2490" s="103" t="n"/>
      <c r="I2490" s="103" t="n"/>
      <c r="J2490" s="104" t="n"/>
      <c r="K2490" s="102" t="n"/>
      <c r="L2490" s="103" t="n"/>
      <c r="M2490" s="103" t="n"/>
      <c r="N2490" s="104" t="n"/>
      <c r="O2490" s="102" t="n"/>
      <c r="P2490" s="103" t="n"/>
      <c r="Q2490" s="103" t="n"/>
      <c r="R2490" s="104" t="n"/>
      <c r="S2490" s="102" t="n"/>
      <c r="T2490" s="103" t="n"/>
      <c r="U2490" s="103" t="n"/>
      <c r="V2490" s="104" t="n"/>
      <c r="W2490" s="102" t="n"/>
      <c r="X2490" s="104" t="n"/>
      <c r="Y2490" s="102" t="n"/>
      <c r="Z2490" s="104" t="n"/>
      <c r="AB2490" s="105">
        <f>IF($B2490="","",(COUNTIF(C2458:E2475,$B2490)+COUNTIF(C2458:E2475,$B2490&amp;" ~*")&gt;0)+(COUNTIF(G2458:I2475,$B2490)+COUNTIF(G2458:I2475,$B2490&amp;" ~*")&gt;0)+(COUNTIF(K2458:M2475,$B2490)+COUNTIF(K2458:M2475,$B2490&amp;" ~*")&gt;0)+(COUNTIF(O2458:Q2475,$B2490)+COUNTIF(O2458:Q2475,$B2490&amp;" ~*")&gt;0)+(COUNTIF(S2458:U2475,$B2490)+COUNTIF(S2458:U2475,$B2490&amp;" ~*")&gt;0)+(COUNTIF(W2458:W2475,$B2490)+COUNTIF(W2458:W2475,$B2490&amp;" ~*")&gt;0)+(COUNTIF(Y2458:Y2475,$B2490)+COUNTIF(Y2458:Y2475,$B2490&amp;" ~*")&gt;0))</f>
        <v/>
      </c>
      <c r="AC2490" s="38">
        <f>IF($B2490="","",(IFERROR(INDEX(Setup!$G$33:$G$40,MATCH(C2490,Setup!$B$33:$B$40,0)),0)=1)*(COUNTIF(C2458:E2475,$B2490)+COUNTIF(C2458:E2475,$B2490&amp;" ~*")&gt;0)+(IFERROR(INDEX(Setup!$G$33:$G$40,MATCH(G2490,Setup!$B$33:$B$40,0)),0)=1)*(COUNTIF(G2458:I2475,$B2490)+COUNTIF(G2458:I2475,$B2490&amp;" ~*")&gt;0)+(IFERROR(INDEX(Setup!$G$33:$G$40,MATCH(K2490,Setup!$B$33:$B$40,0)),0)=1)*(COUNTIF(K2458:M2475,$B2490)+COUNTIF(K2458:M2475,$B2490&amp;" ~*")&gt;0)+(IFERROR(INDEX(Setup!$G$33:$G$40,MATCH(O2490,Setup!$B$33:$B$40,0)),0)=1)*(COUNTIF(O2458:Q2475,$B2490)+COUNTIF(O2458:Q2475,$B2490&amp;" ~*")&gt;0)+(IFERROR(INDEX(Setup!$G$33:$G$40,MATCH(S2490,Setup!$B$33:$B$40,0)),0)=1)*(COUNTIF(S2458:U2475,$B2490)+COUNTIF(S2458:U2475,$B2490&amp;" ~*")&gt;0)+(IFERROR(INDEX(Setup!$G$33:$G$40,MATCH(W2490,Setup!$B$33:$B$40,0)),0)=1)*(COUNTIF(W2458:W2475,$B2490)+COUNTIF(W2458:W2475,$B2490&amp;" ~*")&gt;0)+(IFERROR(INDEX(Setup!$G$33:$G$40,MATCH(Y2490,Setup!$B$33:$B$40,0)),0)=1)*(COUNTIF(Y2458:Y2475,$B2490)+COUNTIF(Y2458:Y2475,$B2490&amp;" ~*")&gt;0))</f>
        <v/>
      </c>
    </row>
    <row r="2491" ht="15" customHeight="1">
      <c r="A2491" t="n">
        <v>50</v>
      </c>
      <c r="B2491" s="35">
        <f>IF(Setup!$B$20="","",Setup!$B$20)</f>
        <v/>
      </c>
      <c r="C2491" s="98" t="n"/>
      <c r="D2491" s="99" t="n"/>
      <c r="E2491" s="99" t="n"/>
      <c r="F2491" s="100" t="n"/>
      <c r="G2491" s="98" t="n"/>
      <c r="H2491" s="99" t="n"/>
      <c r="I2491" s="99" t="n"/>
      <c r="J2491" s="100" t="n"/>
      <c r="K2491" s="98" t="n"/>
      <c r="L2491" s="99" t="n"/>
      <c r="M2491" s="99" t="n"/>
      <c r="N2491" s="100" t="n"/>
      <c r="O2491" s="98" t="n"/>
      <c r="P2491" s="99" t="n"/>
      <c r="Q2491" s="99" t="n"/>
      <c r="R2491" s="100" t="n"/>
      <c r="S2491" s="98" t="n"/>
      <c r="T2491" s="99" t="n"/>
      <c r="U2491" s="99" t="n"/>
      <c r="V2491" s="100" t="n"/>
      <c r="W2491" s="98" t="n"/>
      <c r="X2491" s="100" t="n"/>
      <c r="Y2491" s="98" t="n"/>
      <c r="Z2491" s="100" t="n"/>
      <c r="AB2491" s="101">
        <f>IF($B2491="","",(COUNTIF(C2458:E2475,$B2491)+COUNTIF(C2458:E2475,$B2491&amp;" ~*")&gt;0)+(COUNTIF(G2458:I2475,$B2491)+COUNTIF(G2458:I2475,$B2491&amp;" ~*")&gt;0)+(COUNTIF(K2458:M2475,$B2491)+COUNTIF(K2458:M2475,$B2491&amp;" ~*")&gt;0)+(COUNTIF(O2458:Q2475,$B2491)+COUNTIF(O2458:Q2475,$B2491&amp;" ~*")&gt;0)+(COUNTIF(S2458:U2475,$B2491)+COUNTIF(S2458:U2475,$B2491&amp;" ~*")&gt;0)+(COUNTIF(W2458:W2475,$B2491)+COUNTIF(W2458:W2475,$B2491&amp;" ~*")&gt;0)+(COUNTIF(Y2458:Y2475,$B2491)+COUNTIF(Y2458:Y2475,$B2491&amp;" ~*")&gt;0))</f>
        <v/>
      </c>
      <c r="AC2491" s="36">
        <f>IF($B2491="","",(IFERROR(INDEX(Setup!$G$33:$G$40,MATCH(C2491,Setup!$B$33:$B$40,0)),0)=1)*(COUNTIF(C2458:E2475,$B2491)+COUNTIF(C2458:E2475,$B2491&amp;" ~*")&gt;0)+(IFERROR(INDEX(Setup!$G$33:$G$40,MATCH(G2491,Setup!$B$33:$B$40,0)),0)=1)*(COUNTIF(G2458:I2475,$B2491)+COUNTIF(G2458:I2475,$B2491&amp;" ~*")&gt;0)+(IFERROR(INDEX(Setup!$G$33:$G$40,MATCH(K2491,Setup!$B$33:$B$40,0)),0)=1)*(COUNTIF(K2458:M2475,$B2491)+COUNTIF(K2458:M2475,$B2491&amp;" ~*")&gt;0)+(IFERROR(INDEX(Setup!$G$33:$G$40,MATCH(O2491,Setup!$B$33:$B$40,0)),0)=1)*(COUNTIF(O2458:Q2475,$B2491)+COUNTIF(O2458:Q2475,$B2491&amp;" ~*")&gt;0)+(IFERROR(INDEX(Setup!$G$33:$G$40,MATCH(S2491,Setup!$B$33:$B$40,0)),0)=1)*(COUNTIF(S2458:U2475,$B2491)+COUNTIF(S2458:U2475,$B2491&amp;" ~*")&gt;0)+(IFERROR(INDEX(Setup!$G$33:$G$40,MATCH(W2491,Setup!$B$33:$B$40,0)),0)=1)*(COUNTIF(W2458:W2475,$B2491)+COUNTIF(W2458:W2475,$B2491&amp;" ~*")&gt;0)+(IFERROR(INDEX(Setup!$G$33:$G$40,MATCH(Y2491,Setup!$B$33:$B$40,0)),0)=1)*(COUNTIF(Y2458:Y2475,$B2491)+COUNTIF(Y2458:Y2475,$B2491&amp;" ~*")&gt;0))</f>
        <v/>
      </c>
    </row>
    <row r="2492" ht="15" customHeight="1">
      <c r="A2492" t="n">
        <v>50</v>
      </c>
      <c r="B2492" s="37">
        <f>IF(Setup!$B$21="","",Setup!$B$21)</f>
        <v/>
      </c>
      <c r="C2492" s="102" t="n"/>
      <c r="D2492" s="103" t="n"/>
      <c r="E2492" s="103" t="n"/>
      <c r="F2492" s="104" t="n"/>
      <c r="G2492" s="102" t="n"/>
      <c r="H2492" s="103" t="n"/>
      <c r="I2492" s="103" t="n"/>
      <c r="J2492" s="104" t="n"/>
      <c r="K2492" s="102" t="n"/>
      <c r="L2492" s="103" t="n"/>
      <c r="M2492" s="103" t="n"/>
      <c r="N2492" s="104" t="n"/>
      <c r="O2492" s="102" t="n"/>
      <c r="P2492" s="103" t="n"/>
      <c r="Q2492" s="103" t="n"/>
      <c r="R2492" s="104" t="n"/>
      <c r="S2492" s="102" t="n"/>
      <c r="T2492" s="103" t="n"/>
      <c r="U2492" s="103" t="n"/>
      <c r="V2492" s="104" t="n"/>
      <c r="W2492" s="102" t="n"/>
      <c r="X2492" s="104" t="n"/>
      <c r="Y2492" s="102" t="n"/>
      <c r="Z2492" s="104" t="n"/>
      <c r="AB2492" s="105">
        <f>IF($B2492="","",(COUNTIF(C2458:E2475,$B2492)+COUNTIF(C2458:E2475,$B2492&amp;" ~*")&gt;0)+(COUNTIF(G2458:I2475,$B2492)+COUNTIF(G2458:I2475,$B2492&amp;" ~*")&gt;0)+(COUNTIF(K2458:M2475,$B2492)+COUNTIF(K2458:M2475,$B2492&amp;" ~*")&gt;0)+(COUNTIF(O2458:Q2475,$B2492)+COUNTIF(O2458:Q2475,$B2492&amp;" ~*")&gt;0)+(COUNTIF(S2458:U2475,$B2492)+COUNTIF(S2458:U2475,$B2492&amp;" ~*")&gt;0)+(COUNTIF(W2458:W2475,$B2492)+COUNTIF(W2458:W2475,$B2492&amp;" ~*")&gt;0)+(COUNTIF(Y2458:Y2475,$B2492)+COUNTIF(Y2458:Y2475,$B2492&amp;" ~*")&gt;0))</f>
        <v/>
      </c>
      <c r="AC2492" s="38">
        <f>IF($B2492="","",(IFERROR(INDEX(Setup!$G$33:$G$40,MATCH(C2492,Setup!$B$33:$B$40,0)),0)=1)*(COUNTIF(C2458:E2475,$B2492)+COUNTIF(C2458:E2475,$B2492&amp;" ~*")&gt;0)+(IFERROR(INDEX(Setup!$G$33:$G$40,MATCH(G2492,Setup!$B$33:$B$40,0)),0)=1)*(COUNTIF(G2458:I2475,$B2492)+COUNTIF(G2458:I2475,$B2492&amp;" ~*")&gt;0)+(IFERROR(INDEX(Setup!$G$33:$G$40,MATCH(K2492,Setup!$B$33:$B$40,0)),0)=1)*(COUNTIF(K2458:M2475,$B2492)+COUNTIF(K2458:M2475,$B2492&amp;" ~*")&gt;0)+(IFERROR(INDEX(Setup!$G$33:$G$40,MATCH(O2492,Setup!$B$33:$B$40,0)),0)=1)*(COUNTIF(O2458:Q2475,$B2492)+COUNTIF(O2458:Q2475,$B2492&amp;" ~*")&gt;0)+(IFERROR(INDEX(Setup!$G$33:$G$40,MATCH(S2492,Setup!$B$33:$B$40,0)),0)=1)*(COUNTIF(S2458:U2475,$B2492)+COUNTIF(S2458:U2475,$B2492&amp;" ~*")&gt;0)+(IFERROR(INDEX(Setup!$G$33:$G$40,MATCH(W2492,Setup!$B$33:$B$40,0)),0)=1)*(COUNTIF(W2458:W2475,$B2492)+COUNTIF(W2458:W2475,$B2492&amp;" ~*")&gt;0)+(IFERROR(INDEX(Setup!$G$33:$G$40,MATCH(Y2492,Setup!$B$33:$B$40,0)),0)=1)*(COUNTIF(Y2458:Y2475,$B2492)+COUNTIF(Y2458:Y2475,$B2492&amp;" ~*")&gt;0))</f>
        <v/>
      </c>
    </row>
    <row r="2493" ht="15" customHeight="1">
      <c r="A2493" t="n">
        <v>50</v>
      </c>
      <c r="B2493" s="35">
        <f>IF(Setup!$B$22="","",Setup!$B$22)</f>
        <v/>
      </c>
      <c r="C2493" s="98" t="n"/>
      <c r="D2493" s="99" t="n"/>
      <c r="E2493" s="99" t="n"/>
      <c r="F2493" s="100" t="n"/>
      <c r="G2493" s="98" t="n"/>
      <c r="H2493" s="99" t="n"/>
      <c r="I2493" s="99" t="n"/>
      <c r="J2493" s="100" t="n"/>
      <c r="K2493" s="98" t="n"/>
      <c r="L2493" s="99" t="n"/>
      <c r="M2493" s="99" t="n"/>
      <c r="N2493" s="100" t="n"/>
      <c r="O2493" s="98" t="n"/>
      <c r="P2493" s="99" t="n"/>
      <c r="Q2493" s="99" t="n"/>
      <c r="R2493" s="100" t="n"/>
      <c r="S2493" s="98" t="n"/>
      <c r="T2493" s="99" t="n"/>
      <c r="U2493" s="99" t="n"/>
      <c r="V2493" s="100" t="n"/>
      <c r="W2493" s="98" t="n"/>
      <c r="X2493" s="100" t="n"/>
      <c r="Y2493" s="98" t="n"/>
      <c r="Z2493" s="100" t="n"/>
      <c r="AB2493" s="101">
        <f>IF($B2493="","",(COUNTIF(C2458:E2475,$B2493)+COUNTIF(C2458:E2475,$B2493&amp;" ~*")&gt;0)+(COUNTIF(G2458:I2475,$B2493)+COUNTIF(G2458:I2475,$B2493&amp;" ~*")&gt;0)+(COUNTIF(K2458:M2475,$B2493)+COUNTIF(K2458:M2475,$B2493&amp;" ~*")&gt;0)+(COUNTIF(O2458:Q2475,$B2493)+COUNTIF(O2458:Q2475,$B2493&amp;" ~*")&gt;0)+(COUNTIF(S2458:U2475,$B2493)+COUNTIF(S2458:U2475,$B2493&amp;" ~*")&gt;0)+(COUNTIF(W2458:W2475,$B2493)+COUNTIF(W2458:W2475,$B2493&amp;" ~*")&gt;0)+(COUNTIF(Y2458:Y2475,$B2493)+COUNTIF(Y2458:Y2475,$B2493&amp;" ~*")&gt;0))</f>
        <v/>
      </c>
      <c r="AC2493" s="36">
        <f>IF($B2493="","",(IFERROR(INDEX(Setup!$G$33:$G$40,MATCH(C2493,Setup!$B$33:$B$40,0)),0)=1)*(COUNTIF(C2458:E2475,$B2493)+COUNTIF(C2458:E2475,$B2493&amp;" ~*")&gt;0)+(IFERROR(INDEX(Setup!$G$33:$G$40,MATCH(G2493,Setup!$B$33:$B$40,0)),0)=1)*(COUNTIF(G2458:I2475,$B2493)+COUNTIF(G2458:I2475,$B2493&amp;" ~*")&gt;0)+(IFERROR(INDEX(Setup!$G$33:$G$40,MATCH(K2493,Setup!$B$33:$B$40,0)),0)=1)*(COUNTIF(K2458:M2475,$B2493)+COUNTIF(K2458:M2475,$B2493&amp;" ~*")&gt;0)+(IFERROR(INDEX(Setup!$G$33:$G$40,MATCH(O2493,Setup!$B$33:$B$40,0)),0)=1)*(COUNTIF(O2458:Q2475,$B2493)+COUNTIF(O2458:Q2475,$B2493&amp;" ~*")&gt;0)+(IFERROR(INDEX(Setup!$G$33:$G$40,MATCH(S2493,Setup!$B$33:$B$40,0)),0)=1)*(COUNTIF(S2458:U2475,$B2493)+COUNTIF(S2458:U2475,$B2493&amp;" ~*")&gt;0)+(IFERROR(INDEX(Setup!$G$33:$G$40,MATCH(W2493,Setup!$B$33:$B$40,0)),0)=1)*(COUNTIF(W2458:W2475,$B2493)+COUNTIF(W2458:W2475,$B2493&amp;" ~*")&gt;0)+(IFERROR(INDEX(Setup!$G$33:$G$40,MATCH(Y2493,Setup!$B$33:$B$40,0)),0)=1)*(COUNTIF(Y2458:Y2475,$B2493)+COUNTIF(Y2458:Y2475,$B2493&amp;" ~*")&gt;0))</f>
        <v/>
      </c>
    </row>
    <row r="2494" ht="15" customHeight="1">
      <c r="A2494" t="n">
        <v>50</v>
      </c>
      <c r="B2494" s="37">
        <f>IF(Setup!$B$23="","",Setup!$B$23)</f>
        <v/>
      </c>
      <c r="C2494" s="102" t="n"/>
      <c r="D2494" s="103" t="n"/>
      <c r="E2494" s="103" t="n"/>
      <c r="F2494" s="104" t="n"/>
      <c r="G2494" s="102" t="n"/>
      <c r="H2494" s="103" t="n"/>
      <c r="I2494" s="103" t="n"/>
      <c r="J2494" s="104" t="n"/>
      <c r="K2494" s="102" t="n"/>
      <c r="L2494" s="103" t="n"/>
      <c r="M2494" s="103" t="n"/>
      <c r="N2494" s="104" t="n"/>
      <c r="O2494" s="102" t="n"/>
      <c r="P2494" s="103" t="n"/>
      <c r="Q2494" s="103" t="n"/>
      <c r="R2494" s="104" t="n"/>
      <c r="S2494" s="102" t="n"/>
      <c r="T2494" s="103" t="n"/>
      <c r="U2494" s="103" t="n"/>
      <c r="V2494" s="104" t="n"/>
      <c r="W2494" s="102" t="n"/>
      <c r="X2494" s="104" t="n"/>
      <c r="Y2494" s="102" t="n"/>
      <c r="Z2494" s="104" t="n"/>
      <c r="AB2494" s="105">
        <f>IF($B2494="","",(COUNTIF(C2458:E2475,$B2494)+COUNTIF(C2458:E2475,$B2494&amp;" ~*")&gt;0)+(COUNTIF(G2458:I2475,$B2494)+COUNTIF(G2458:I2475,$B2494&amp;" ~*")&gt;0)+(COUNTIF(K2458:M2475,$B2494)+COUNTIF(K2458:M2475,$B2494&amp;" ~*")&gt;0)+(COUNTIF(O2458:Q2475,$B2494)+COUNTIF(O2458:Q2475,$B2494&amp;" ~*")&gt;0)+(COUNTIF(S2458:U2475,$B2494)+COUNTIF(S2458:U2475,$B2494&amp;" ~*")&gt;0)+(COUNTIF(W2458:W2475,$B2494)+COUNTIF(W2458:W2475,$B2494&amp;" ~*")&gt;0)+(COUNTIF(Y2458:Y2475,$B2494)+COUNTIF(Y2458:Y2475,$B2494&amp;" ~*")&gt;0))</f>
        <v/>
      </c>
      <c r="AC2494" s="38">
        <f>IF($B2494="","",(IFERROR(INDEX(Setup!$G$33:$G$40,MATCH(C2494,Setup!$B$33:$B$40,0)),0)=1)*(COUNTIF(C2458:E2475,$B2494)+COUNTIF(C2458:E2475,$B2494&amp;" ~*")&gt;0)+(IFERROR(INDEX(Setup!$G$33:$G$40,MATCH(G2494,Setup!$B$33:$B$40,0)),0)=1)*(COUNTIF(G2458:I2475,$B2494)+COUNTIF(G2458:I2475,$B2494&amp;" ~*")&gt;0)+(IFERROR(INDEX(Setup!$G$33:$G$40,MATCH(K2494,Setup!$B$33:$B$40,0)),0)=1)*(COUNTIF(K2458:M2475,$B2494)+COUNTIF(K2458:M2475,$B2494&amp;" ~*")&gt;0)+(IFERROR(INDEX(Setup!$G$33:$G$40,MATCH(O2494,Setup!$B$33:$B$40,0)),0)=1)*(COUNTIF(O2458:Q2475,$B2494)+COUNTIF(O2458:Q2475,$B2494&amp;" ~*")&gt;0)+(IFERROR(INDEX(Setup!$G$33:$G$40,MATCH(S2494,Setup!$B$33:$B$40,0)),0)=1)*(COUNTIF(S2458:U2475,$B2494)+COUNTIF(S2458:U2475,$B2494&amp;" ~*")&gt;0)+(IFERROR(INDEX(Setup!$G$33:$G$40,MATCH(W2494,Setup!$B$33:$B$40,0)),0)=1)*(COUNTIF(W2458:W2475,$B2494)+COUNTIF(W2458:W2475,$B2494&amp;" ~*")&gt;0)+(IFERROR(INDEX(Setup!$G$33:$G$40,MATCH(Y2494,Setup!$B$33:$B$40,0)),0)=1)*(COUNTIF(Y2458:Y2475,$B2494)+COUNTIF(Y2458:Y2475,$B2494&amp;" ~*")&gt;0))</f>
        <v/>
      </c>
    </row>
    <row r="2495" ht="15" customHeight="1">
      <c r="A2495" t="n">
        <v>50</v>
      </c>
      <c r="B2495" s="35">
        <f>IF(Setup!$B$24="","",Setup!$B$24)</f>
        <v/>
      </c>
      <c r="C2495" s="98" t="n"/>
      <c r="D2495" s="99" t="n"/>
      <c r="E2495" s="99" t="n"/>
      <c r="F2495" s="100" t="n"/>
      <c r="G2495" s="98" t="n"/>
      <c r="H2495" s="99" t="n"/>
      <c r="I2495" s="99" t="n"/>
      <c r="J2495" s="100" t="n"/>
      <c r="K2495" s="98" t="n"/>
      <c r="L2495" s="99" t="n"/>
      <c r="M2495" s="99" t="n"/>
      <c r="N2495" s="100" t="n"/>
      <c r="O2495" s="98" t="n"/>
      <c r="P2495" s="99" t="n"/>
      <c r="Q2495" s="99" t="n"/>
      <c r="R2495" s="100" t="n"/>
      <c r="S2495" s="98" t="n"/>
      <c r="T2495" s="99" t="n"/>
      <c r="U2495" s="99" t="n"/>
      <c r="V2495" s="100" t="n"/>
      <c r="W2495" s="98" t="n"/>
      <c r="X2495" s="100" t="n"/>
      <c r="Y2495" s="98" t="n"/>
      <c r="Z2495" s="100" t="n"/>
      <c r="AB2495" s="101">
        <f>IF($B2495="","",(COUNTIF(C2458:E2475,$B2495)+COUNTIF(C2458:E2475,$B2495&amp;" ~*")&gt;0)+(COUNTIF(G2458:I2475,$B2495)+COUNTIF(G2458:I2475,$B2495&amp;" ~*")&gt;0)+(COUNTIF(K2458:M2475,$B2495)+COUNTIF(K2458:M2475,$B2495&amp;" ~*")&gt;0)+(COUNTIF(O2458:Q2475,$B2495)+COUNTIF(O2458:Q2475,$B2495&amp;" ~*")&gt;0)+(COUNTIF(S2458:U2475,$B2495)+COUNTIF(S2458:U2475,$B2495&amp;" ~*")&gt;0)+(COUNTIF(W2458:W2475,$B2495)+COUNTIF(W2458:W2475,$B2495&amp;" ~*")&gt;0)+(COUNTIF(Y2458:Y2475,$B2495)+COUNTIF(Y2458:Y2475,$B2495&amp;" ~*")&gt;0))</f>
        <v/>
      </c>
      <c r="AC2495" s="36">
        <f>IF($B2495="","",(IFERROR(INDEX(Setup!$G$33:$G$40,MATCH(C2495,Setup!$B$33:$B$40,0)),0)=1)*(COUNTIF(C2458:E2475,$B2495)+COUNTIF(C2458:E2475,$B2495&amp;" ~*")&gt;0)+(IFERROR(INDEX(Setup!$G$33:$G$40,MATCH(G2495,Setup!$B$33:$B$40,0)),0)=1)*(COUNTIF(G2458:I2475,$B2495)+COUNTIF(G2458:I2475,$B2495&amp;" ~*")&gt;0)+(IFERROR(INDEX(Setup!$G$33:$G$40,MATCH(K2495,Setup!$B$33:$B$40,0)),0)=1)*(COUNTIF(K2458:M2475,$B2495)+COUNTIF(K2458:M2475,$B2495&amp;" ~*")&gt;0)+(IFERROR(INDEX(Setup!$G$33:$G$40,MATCH(O2495,Setup!$B$33:$B$40,0)),0)=1)*(COUNTIF(O2458:Q2475,$B2495)+COUNTIF(O2458:Q2475,$B2495&amp;" ~*")&gt;0)+(IFERROR(INDEX(Setup!$G$33:$G$40,MATCH(S2495,Setup!$B$33:$B$40,0)),0)=1)*(COUNTIF(S2458:U2475,$B2495)+COUNTIF(S2458:U2475,$B2495&amp;" ~*")&gt;0)+(IFERROR(INDEX(Setup!$G$33:$G$40,MATCH(W2495,Setup!$B$33:$B$40,0)),0)=1)*(COUNTIF(W2458:W2475,$B2495)+COUNTIF(W2458:W2475,$B2495&amp;" ~*")&gt;0)+(IFERROR(INDEX(Setup!$G$33:$G$40,MATCH(Y2495,Setup!$B$33:$B$40,0)),0)=1)*(COUNTIF(Y2458:Y2475,$B2495)+COUNTIF(Y2458:Y2475,$B2495&amp;" ~*")&gt;0))</f>
        <v/>
      </c>
    </row>
    <row r="2496" ht="15" customHeight="1">
      <c r="A2496" t="n">
        <v>50</v>
      </c>
      <c r="B2496" s="37">
        <f>IF(Setup!$B$25="","",Setup!$B$25)</f>
        <v/>
      </c>
      <c r="C2496" s="102" t="n"/>
      <c r="D2496" s="103" t="n"/>
      <c r="E2496" s="103" t="n"/>
      <c r="F2496" s="104" t="n"/>
      <c r="G2496" s="102" t="n"/>
      <c r="H2496" s="103" t="n"/>
      <c r="I2496" s="103" t="n"/>
      <c r="J2496" s="104" t="n"/>
      <c r="K2496" s="102" t="n"/>
      <c r="L2496" s="103" t="n"/>
      <c r="M2496" s="103" t="n"/>
      <c r="N2496" s="104" t="n"/>
      <c r="O2496" s="102" t="n"/>
      <c r="P2496" s="103" t="n"/>
      <c r="Q2496" s="103" t="n"/>
      <c r="R2496" s="104" t="n"/>
      <c r="S2496" s="102" t="n"/>
      <c r="T2496" s="103" t="n"/>
      <c r="U2496" s="103" t="n"/>
      <c r="V2496" s="104" t="n"/>
      <c r="W2496" s="102" t="n"/>
      <c r="X2496" s="104" t="n"/>
      <c r="Y2496" s="102" t="n"/>
      <c r="Z2496" s="104" t="n"/>
      <c r="AB2496" s="105">
        <f>IF($B2496="","",(COUNTIF(C2458:E2475,$B2496)+COUNTIF(C2458:E2475,$B2496&amp;" ~*")&gt;0)+(COUNTIF(G2458:I2475,$B2496)+COUNTIF(G2458:I2475,$B2496&amp;" ~*")&gt;0)+(COUNTIF(K2458:M2475,$B2496)+COUNTIF(K2458:M2475,$B2496&amp;" ~*")&gt;0)+(COUNTIF(O2458:Q2475,$B2496)+COUNTIF(O2458:Q2475,$B2496&amp;" ~*")&gt;0)+(COUNTIF(S2458:U2475,$B2496)+COUNTIF(S2458:U2475,$B2496&amp;" ~*")&gt;0)+(COUNTIF(W2458:W2475,$B2496)+COUNTIF(W2458:W2475,$B2496&amp;" ~*")&gt;0)+(COUNTIF(Y2458:Y2475,$B2496)+COUNTIF(Y2458:Y2475,$B2496&amp;" ~*")&gt;0))</f>
        <v/>
      </c>
      <c r="AC2496" s="38">
        <f>IF($B2496="","",(IFERROR(INDEX(Setup!$G$33:$G$40,MATCH(C2496,Setup!$B$33:$B$40,0)),0)=1)*(COUNTIF(C2458:E2475,$B2496)+COUNTIF(C2458:E2475,$B2496&amp;" ~*")&gt;0)+(IFERROR(INDEX(Setup!$G$33:$G$40,MATCH(G2496,Setup!$B$33:$B$40,0)),0)=1)*(COUNTIF(G2458:I2475,$B2496)+COUNTIF(G2458:I2475,$B2496&amp;" ~*")&gt;0)+(IFERROR(INDEX(Setup!$G$33:$G$40,MATCH(K2496,Setup!$B$33:$B$40,0)),0)=1)*(COUNTIF(K2458:M2475,$B2496)+COUNTIF(K2458:M2475,$B2496&amp;" ~*")&gt;0)+(IFERROR(INDEX(Setup!$G$33:$G$40,MATCH(O2496,Setup!$B$33:$B$40,0)),0)=1)*(COUNTIF(O2458:Q2475,$B2496)+COUNTIF(O2458:Q2475,$B2496&amp;" ~*")&gt;0)+(IFERROR(INDEX(Setup!$G$33:$G$40,MATCH(S2496,Setup!$B$33:$B$40,0)),0)=1)*(COUNTIF(S2458:U2475,$B2496)+COUNTIF(S2458:U2475,$B2496&amp;" ~*")&gt;0)+(IFERROR(INDEX(Setup!$G$33:$G$40,MATCH(W2496,Setup!$B$33:$B$40,0)),0)=1)*(COUNTIF(W2458:W2475,$B2496)+COUNTIF(W2458:W2475,$B2496&amp;" ~*")&gt;0)+(IFERROR(INDEX(Setup!$G$33:$G$40,MATCH(Y2496,Setup!$B$33:$B$40,0)),0)=1)*(COUNTIF(Y2458:Y2475,$B2496)+COUNTIF(Y2458:Y2475,$B2496&amp;" ~*")&gt;0))</f>
        <v/>
      </c>
    </row>
    <row r="2497" ht="15" customHeight="1">
      <c r="A2497" t="n">
        <v>50</v>
      </c>
      <c r="B2497" s="35">
        <f>IF(Setup!$B$26="","",Setup!$B$26)</f>
        <v/>
      </c>
      <c r="C2497" s="98" t="n"/>
      <c r="D2497" s="99" t="n"/>
      <c r="E2497" s="99" t="n"/>
      <c r="F2497" s="100" t="n"/>
      <c r="G2497" s="98" t="n"/>
      <c r="H2497" s="99" t="n"/>
      <c r="I2497" s="99" t="n"/>
      <c r="J2497" s="100" t="n"/>
      <c r="K2497" s="98" t="n"/>
      <c r="L2497" s="99" t="n"/>
      <c r="M2497" s="99" t="n"/>
      <c r="N2497" s="100" t="n"/>
      <c r="O2497" s="98" t="n"/>
      <c r="P2497" s="99" t="n"/>
      <c r="Q2497" s="99" t="n"/>
      <c r="R2497" s="100" t="n"/>
      <c r="S2497" s="98" t="n"/>
      <c r="T2497" s="99" t="n"/>
      <c r="U2497" s="99" t="n"/>
      <c r="V2497" s="100" t="n"/>
      <c r="W2497" s="98" t="n"/>
      <c r="X2497" s="100" t="n"/>
      <c r="Y2497" s="98" t="n"/>
      <c r="Z2497" s="100" t="n"/>
      <c r="AB2497" s="101">
        <f>IF($B2497="","",(COUNTIF(C2458:E2475,$B2497)+COUNTIF(C2458:E2475,$B2497&amp;" ~*")&gt;0)+(COUNTIF(G2458:I2475,$B2497)+COUNTIF(G2458:I2475,$B2497&amp;" ~*")&gt;0)+(COUNTIF(K2458:M2475,$B2497)+COUNTIF(K2458:M2475,$B2497&amp;" ~*")&gt;0)+(COUNTIF(O2458:Q2475,$B2497)+COUNTIF(O2458:Q2475,$B2497&amp;" ~*")&gt;0)+(COUNTIF(S2458:U2475,$B2497)+COUNTIF(S2458:U2475,$B2497&amp;" ~*")&gt;0)+(COUNTIF(W2458:W2475,$B2497)+COUNTIF(W2458:W2475,$B2497&amp;" ~*")&gt;0)+(COUNTIF(Y2458:Y2475,$B2497)+COUNTIF(Y2458:Y2475,$B2497&amp;" ~*")&gt;0))</f>
        <v/>
      </c>
      <c r="AC2497" s="36">
        <f>IF($B2497="","",(IFERROR(INDEX(Setup!$G$33:$G$40,MATCH(C2497,Setup!$B$33:$B$40,0)),0)=1)*(COUNTIF(C2458:E2475,$B2497)+COUNTIF(C2458:E2475,$B2497&amp;" ~*")&gt;0)+(IFERROR(INDEX(Setup!$G$33:$G$40,MATCH(G2497,Setup!$B$33:$B$40,0)),0)=1)*(COUNTIF(G2458:I2475,$B2497)+COUNTIF(G2458:I2475,$B2497&amp;" ~*")&gt;0)+(IFERROR(INDEX(Setup!$G$33:$G$40,MATCH(K2497,Setup!$B$33:$B$40,0)),0)=1)*(COUNTIF(K2458:M2475,$B2497)+COUNTIF(K2458:M2475,$B2497&amp;" ~*")&gt;0)+(IFERROR(INDEX(Setup!$G$33:$G$40,MATCH(O2497,Setup!$B$33:$B$40,0)),0)=1)*(COUNTIF(O2458:Q2475,$B2497)+COUNTIF(O2458:Q2475,$B2497&amp;" ~*")&gt;0)+(IFERROR(INDEX(Setup!$G$33:$G$40,MATCH(S2497,Setup!$B$33:$B$40,0)),0)=1)*(COUNTIF(S2458:U2475,$B2497)+COUNTIF(S2458:U2475,$B2497&amp;" ~*")&gt;0)+(IFERROR(INDEX(Setup!$G$33:$G$40,MATCH(W2497,Setup!$B$33:$B$40,0)),0)=1)*(COUNTIF(W2458:W2475,$B2497)+COUNTIF(W2458:W2475,$B2497&amp;" ~*")&gt;0)+(IFERROR(INDEX(Setup!$G$33:$G$40,MATCH(Y2497,Setup!$B$33:$B$40,0)),0)=1)*(COUNTIF(Y2458:Y2475,$B2497)+COUNTIF(Y2458:Y2475,$B2497&amp;" ~*")&gt;0))</f>
        <v/>
      </c>
    </row>
    <row r="2498" ht="15" customHeight="1">
      <c r="A2498" t="n">
        <v>50</v>
      </c>
      <c r="B2498" s="37">
        <f>IF(Setup!$B$27="","",Setup!$B$27)</f>
        <v/>
      </c>
      <c r="C2498" s="102" t="n"/>
      <c r="D2498" s="103" t="n"/>
      <c r="E2498" s="103" t="n"/>
      <c r="F2498" s="104" t="n"/>
      <c r="G2498" s="102" t="n"/>
      <c r="H2498" s="103" t="n"/>
      <c r="I2498" s="103" t="n"/>
      <c r="J2498" s="104" t="n"/>
      <c r="K2498" s="102" t="n"/>
      <c r="L2498" s="103" t="n"/>
      <c r="M2498" s="103" t="n"/>
      <c r="N2498" s="104" t="n"/>
      <c r="O2498" s="102" t="n"/>
      <c r="P2498" s="103" t="n"/>
      <c r="Q2498" s="103" t="n"/>
      <c r="R2498" s="104" t="n"/>
      <c r="S2498" s="102" t="n"/>
      <c r="T2498" s="103" t="n"/>
      <c r="U2498" s="103" t="n"/>
      <c r="V2498" s="104" t="n"/>
      <c r="W2498" s="102" t="n"/>
      <c r="X2498" s="104" t="n"/>
      <c r="Y2498" s="102" t="n"/>
      <c r="Z2498" s="104" t="n"/>
      <c r="AB2498" s="105">
        <f>IF($B2498="","",(COUNTIF(C2458:E2475,$B2498)+COUNTIF(C2458:E2475,$B2498&amp;" ~*")&gt;0)+(COUNTIF(G2458:I2475,$B2498)+COUNTIF(G2458:I2475,$B2498&amp;" ~*")&gt;0)+(COUNTIF(K2458:M2475,$B2498)+COUNTIF(K2458:M2475,$B2498&amp;" ~*")&gt;0)+(COUNTIF(O2458:Q2475,$B2498)+COUNTIF(O2458:Q2475,$B2498&amp;" ~*")&gt;0)+(COUNTIF(S2458:U2475,$B2498)+COUNTIF(S2458:U2475,$B2498&amp;" ~*")&gt;0)+(COUNTIF(W2458:W2475,$B2498)+COUNTIF(W2458:W2475,$B2498&amp;" ~*")&gt;0)+(COUNTIF(Y2458:Y2475,$B2498)+COUNTIF(Y2458:Y2475,$B2498&amp;" ~*")&gt;0))</f>
        <v/>
      </c>
      <c r="AC2498" s="38">
        <f>IF($B2498="","",(IFERROR(INDEX(Setup!$G$33:$G$40,MATCH(C2498,Setup!$B$33:$B$40,0)),0)=1)*(COUNTIF(C2458:E2475,$B2498)+COUNTIF(C2458:E2475,$B2498&amp;" ~*")&gt;0)+(IFERROR(INDEX(Setup!$G$33:$G$40,MATCH(G2498,Setup!$B$33:$B$40,0)),0)=1)*(COUNTIF(G2458:I2475,$B2498)+COUNTIF(G2458:I2475,$B2498&amp;" ~*")&gt;0)+(IFERROR(INDEX(Setup!$G$33:$G$40,MATCH(K2498,Setup!$B$33:$B$40,0)),0)=1)*(COUNTIF(K2458:M2475,$B2498)+COUNTIF(K2458:M2475,$B2498&amp;" ~*")&gt;0)+(IFERROR(INDEX(Setup!$G$33:$G$40,MATCH(O2498,Setup!$B$33:$B$40,0)),0)=1)*(COUNTIF(O2458:Q2475,$B2498)+COUNTIF(O2458:Q2475,$B2498&amp;" ~*")&gt;0)+(IFERROR(INDEX(Setup!$G$33:$G$40,MATCH(S2498,Setup!$B$33:$B$40,0)),0)=1)*(COUNTIF(S2458:U2475,$B2498)+COUNTIF(S2458:U2475,$B2498&amp;" ~*")&gt;0)+(IFERROR(INDEX(Setup!$G$33:$G$40,MATCH(W2498,Setup!$B$33:$B$40,0)),0)=1)*(COUNTIF(W2458:W2475,$B2498)+COUNTIF(W2458:W2475,$B2498&amp;" ~*")&gt;0)+(IFERROR(INDEX(Setup!$G$33:$G$40,MATCH(Y2498,Setup!$B$33:$B$40,0)),0)=1)*(COUNTIF(Y2458:Y2475,$B2498)+COUNTIF(Y2458:Y2475,$B2498&amp;" ~*")&gt;0))</f>
        <v/>
      </c>
    </row>
    <row r="2499" ht="15" customHeight="1">
      <c r="A2499" t="n">
        <v>50</v>
      </c>
      <c r="B2499" s="35">
        <f>IF(Setup!$B$28="","",Setup!$B$28)</f>
        <v/>
      </c>
      <c r="C2499" s="98" t="n"/>
      <c r="D2499" s="99" t="n"/>
      <c r="E2499" s="99" t="n"/>
      <c r="F2499" s="100" t="n"/>
      <c r="G2499" s="98" t="n"/>
      <c r="H2499" s="99" t="n"/>
      <c r="I2499" s="99" t="n"/>
      <c r="J2499" s="100" t="n"/>
      <c r="K2499" s="98" t="n"/>
      <c r="L2499" s="99" t="n"/>
      <c r="M2499" s="99" t="n"/>
      <c r="N2499" s="100" t="n"/>
      <c r="O2499" s="98" t="n"/>
      <c r="P2499" s="99" t="n"/>
      <c r="Q2499" s="99" t="n"/>
      <c r="R2499" s="100" t="n"/>
      <c r="S2499" s="98" t="n"/>
      <c r="T2499" s="99" t="n"/>
      <c r="U2499" s="99" t="n"/>
      <c r="V2499" s="100" t="n"/>
      <c r="W2499" s="98" t="n"/>
      <c r="X2499" s="100" t="n"/>
      <c r="Y2499" s="98" t="n"/>
      <c r="Z2499" s="100" t="n"/>
      <c r="AB2499" s="101">
        <f>IF($B2499="","",(COUNTIF(C2458:E2475,$B2499)+COUNTIF(C2458:E2475,$B2499&amp;" ~*")&gt;0)+(COUNTIF(G2458:I2475,$B2499)+COUNTIF(G2458:I2475,$B2499&amp;" ~*")&gt;0)+(COUNTIF(K2458:M2475,$B2499)+COUNTIF(K2458:M2475,$B2499&amp;" ~*")&gt;0)+(COUNTIF(O2458:Q2475,$B2499)+COUNTIF(O2458:Q2475,$B2499&amp;" ~*")&gt;0)+(COUNTIF(S2458:U2475,$B2499)+COUNTIF(S2458:U2475,$B2499&amp;" ~*")&gt;0)+(COUNTIF(W2458:W2475,$B2499)+COUNTIF(W2458:W2475,$B2499&amp;" ~*")&gt;0)+(COUNTIF(Y2458:Y2475,$B2499)+COUNTIF(Y2458:Y2475,$B2499&amp;" ~*")&gt;0))</f>
        <v/>
      </c>
      <c r="AC2499" s="36">
        <f>IF($B2499="","",(IFERROR(INDEX(Setup!$G$33:$G$40,MATCH(C2499,Setup!$B$33:$B$40,0)),0)=1)*(COUNTIF(C2458:E2475,$B2499)+COUNTIF(C2458:E2475,$B2499&amp;" ~*")&gt;0)+(IFERROR(INDEX(Setup!$G$33:$G$40,MATCH(G2499,Setup!$B$33:$B$40,0)),0)=1)*(COUNTIF(G2458:I2475,$B2499)+COUNTIF(G2458:I2475,$B2499&amp;" ~*")&gt;0)+(IFERROR(INDEX(Setup!$G$33:$G$40,MATCH(K2499,Setup!$B$33:$B$40,0)),0)=1)*(COUNTIF(K2458:M2475,$B2499)+COUNTIF(K2458:M2475,$B2499&amp;" ~*")&gt;0)+(IFERROR(INDEX(Setup!$G$33:$G$40,MATCH(O2499,Setup!$B$33:$B$40,0)),0)=1)*(COUNTIF(O2458:Q2475,$B2499)+COUNTIF(O2458:Q2475,$B2499&amp;" ~*")&gt;0)+(IFERROR(INDEX(Setup!$G$33:$G$40,MATCH(S2499,Setup!$B$33:$B$40,0)),0)=1)*(COUNTIF(S2458:U2475,$B2499)+COUNTIF(S2458:U2475,$B2499&amp;" ~*")&gt;0)+(IFERROR(INDEX(Setup!$G$33:$G$40,MATCH(W2499,Setup!$B$33:$B$40,0)),0)=1)*(COUNTIF(W2458:W2475,$B2499)+COUNTIF(W2458:W2475,$B2499&amp;" ~*")&gt;0)+(IFERROR(INDEX(Setup!$G$33:$G$40,MATCH(Y2499,Setup!$B$33:$B$40,0)),0)=1)*(COUNTIF(Y2458:Y2475,$B2499)+COUNTIF(Y2458:Y2475,$B2499&amp;" ~*")&gt;0))</f>
        <v/>
      </c>
    </row>
    <row r="2500" ht="15" customHeight="1">
      <c r="A2500" t="n">
        <v>50</v>
      </c>
      <c r="B2500" s="37">
        <f>IF(Setup!$B$29="","",Setup!$B$29)</f>
        <v/>
      </c>
      <c r="C2500" s="102" t="n"/>
      <c r="D2500" s="103" t="n"/>
      <c r="E2500" s="103" t="n"/>
      <c r="F2500" s="104" t="n"/>
      <c r="G2500" s="102" t="n"/>
      <c r="H2500" s="103" t="n"/>
      <c r="I2500" s="103" t="n"/>
      <c r="J2500" s="104" t="n"/>
      <c r="K2500" s="102" t="n"/>
      <c r="L2500" s="103" t="n"/>
      <c r="M2500" s="103" t="n"/>
      <c r="N2500" s="104" t="n"/>
      <c r="O2500" s="102" t="n"/>
      <c r="P2500" s="103" t="n"/>
      <c r="Q2500" s="103" t="n"/>
      <c r="R2500" s="104" t="n"/>
      <c r="S2500" s="102" t="n"/>
      <c r="T2500" s="103" t="n"/>
      <c r="U2500" s="103" t="n"/>
      <c r="V2500" s="104" t="n"/>
      <c r="W2500" s="102" t="n"/>
      <c r="X2500" s="104" t="n"/>
      <c r="Y2500" s="102" t="n"/>
      <c r="Z2500" s="104" t="n"/>
      <c r="AB2500" s="105">
        <f>IF($B2500="","",(COUNTIF(C2458:E2475,$B2500)+COUNTIF(C2458:E2475,$B2500&amp;" ~*")&gt;0)+(COUNTIF(G2458:I2475,$B2500)+COUNTIF(G2458:I2475,$B2500&amp;" ~*")&gt;0)+(COUNTIF(K2458:M2475,$B2500)+COUNTIF(K2458:M2475,$B2500&amp;" ~*")&gt;0)+(COUNTIF(O2458:Q2475,$B2500)+COUNTIF(O2458:Q2475,$B2500&amp;" ~*")&gt;0)+(COUNTIF(S2458:U2475,$B2500)+COUNTIF(S2458:U2475,$B2500&amp;" ~*")&gt;0)+(COUNTIF(W2458:W2475,$B2500)+COUNTIF(W2458:W2475,$B2500&amp;" ~*")&gt;0)+(COUNTIF(Y2458:Y2475,$B2500)+COUNTIF(Y2458:Y2475,$B2500&amp;" ~*")&gt;0))</f>
        <v/>
      </c>
      <c r="AC2500" s="38">
        <f>IF($B2500="","",(IFERROR(INDEX(Setup!$G$33:$G$40,MATCH(C2500,Setup!$B$33:$B$40,0)),0)=1)*(COUNTIF(C2458:E2475,$B2500)+COUNTIF(C2458:E2475,$B2500&amp;" ~*")&gt;0)+(IFERROR(INDEX(Setup!$G$33:$G$40,MATCH(G2500,Setup!$B$33:$B$40,0)),0)=1)*(COUNTIF(G2458:I2475,$B2500)+COUNTIF(G2458:I2475,$B2500&amp;" ~*")&gt;0)+(IFERROR(INDEX(Setup!$G$33:$G$40,MATCH(K2500,Setup!$B$33:$B$40,0)),0)=1)*(COUNTIF(K2458:M2475,$B2500)+COUNTIF(K2458:M2475,$B2500&amp;" ~*")&gt;0)+(IFERROR(INDEX(Setup!$G$33:$G$40,MATCH(O2500,Setup!$B$33:$B$40,0)),0)=1)*(COUNTIF(O2458:Q2475,$B2500)+COUNTIF(O2458:Q2475,$B2500&amp;" ~*")&gt;0)+(IFERROR(INDEX(Setup!$G$33:$G$40,MATCH(S2500,Setup!$B$33:$B$40,0)),0)=1)*(COUNTIF(S2458:U2475,$B2500)+COUNTIF(S2458:U2475,$B2500&amp;" ~*")&gt;0)+(IFERROR(INDEX(Setup!$G$33:$G$40,MATCH(W2500,Setup!$B$33:$B$40,0)),0)=1)*(COUNTIF(W2458:W2475,$B2500)+COUNTIF(W2458:W2475,$B2500&amp;" ~*")&gt;0)+(IFERROR(INDEX(Setup!$G$33:$G$40,MATCH(Y2500,Setup!$B$33:$B$40,0)),0)=1)*(COUNTIF(Y2458:Y2475,$B2500)+COUNTIF(Y2458:Y2475,$B2500&amp;" ~*")&gt;0))</f>
        <v/>
      </c>
    </row>
    <row r="2501" ht="16" customHeight="1">
      <c r="A2501" t="n">
        <v>50</v>
      </c>
      <c r="B2501" s="106" t="inlineStr">
        <is>
          <t>Available people</t>
        </is>
      </c>
      <c r="C2501" s="107">
        <f>COUNTIFS(Setup!$E$6:$E$29,"Y",Setup!$B$6:$B$29,"?*")-SUMPRODUCT(COUNTIF(C2477:C2500,Setup!$F$33:$F$40))</f>
        <v/>
      </c>
      <c r="D2501" s="107" t="n"/>
      <c r="E2501" s="107" t="n"/>
      <c r="F2501" s="107" t="n"/>
      <c r="G2501" s="107">
        <f>COUNTIFS(Setup!$E$6:$E$29,"Y",Setup!$B$6:$B$29,"?*")-SUMPRODUCT(COUNTIF(G2477:G2500,Setup!$F$33:$F$40))</f>
        <v/>
      </c>
      <c r="H2501" s="107" t="n"/>
      <c r="I2501" s="107" t="n"/>
      <c r="J2501" s="107" t="n"/>
      <c r="K2501" s="107">
        <f>COUNTIFS(Setup!$E$6:$E$29,"Y",Setup!$B$6:$B$29,"?*")-SUMPRODUCT(COUNTIF(K2477:K2500,Setup!$F$33:$F$40))</f>
        <v/>
      </c>
      <c r="L2501" s="107" t="n"/>
      <c r="M2501" s="107" t="n"/>
      <c r="N2501" s="107" t="n"/>
      <c r="O2501" s="107">
        <f>COUNTIFS(Setup!$E$6:$E$29,"Y",Setup!$B$6:$B$29,"?*")-SUMPRODUCT(COUNTIF(O2477:O2500,Setup!$F$33:$F$40))</f>
        <v/>
      </c>
      <c r="P2501" s="107" t="n"/>
      <c r="Q2501" s="107" t="n"/>
      <c r="R2501" s="107" t="n"/>
      <c r="S2501" s="107">
        <f>COUNTIFS(Setup!$E$6:$E$29,"Y",Setup!$B$6:$B$29,"?*")-SUMPRODUCT(COUNTIF(S2477:S2500,Setup!$F$33:$F$40))</f>
        <v/>
      </c>
      <c r="T2501" s="107" t="n"/>
      <c r="U2501" s="107" t="n"/>
      <c r="V2501" s="107" t="n"/>
      <c r="W2501" s="107">
        <f>COUNTIFS(Setup!$E$6:$E$29,"Y",Setup!$B$6:$B$29,"?*")-SUMPRODUCT(COUNTIF(W2477:W2500,Setup!$F$33:$F$40))</f>
        <v/>
      </c>
      <c r="X2501" s="107" t="n"/>
      <c r="Y2501" s="107">
        <f>COUNTIFS(Setup!$E$6:$E$29,"Y",Setup!$B$6:$B$29,"?*")-SUMPRODUCT(COUNTIF(Y2477:Y2500,Setup!$F$33:$F$40))</f>
        <v/>
      </c>
      <c r="Z2501" s="107" t="n"/>
      <c r="AB2501" s="108">
        <f>SUM(AB2477:AB2500)</f>
        <v/>
      </c>
      <c r="AC2501" s="109">
        <f>SUM(AC2477:AC2500)</f>
        <v/>
      </c>
    </row>
    <row r="2502" ht="30" customHeight="1">
      <c r="A2502" t="n">
        <v>50</v>
      </c>
      <c r="B2502" s="110" t="inlineStr">
        <is>
          <t>Week notes</t>
        </is>
      </c>
      <c r="C2502" s="111" t="n"/>
      <c r="D2502" s="112" t="n"/>
      <c r="E2502" s="112" t="n"/>
      <c r="F2502" s="112" t="n"/>
      <c r="G2502" s="112" t="n"/>
      <c r="H2502" s="112" t="n"/>
      <c r="I2502" s="112" t="n"/>
      <c r="J2502" s="112" t="n"/>
      <c r="K2502" s="112" t="n"/>
      <c r="L2502" s="112" t="n"/>
      <c r="M2502" s="112" t="n"/>
      <c r="N2502" s="112" t="n"/>
      <c r="O2502" s="112" t="n"/>
      <c r="P2502" s="112" t="n"/>
      <c r="Q2502" s="112" t="n"/>
      <c r="R2502" s="112" t="n"/>
      <c r="S2502" s="112" t="n"/>
      <c r="T2502" s="112" t="n"/>
      <c r="U2502" s="112" t="n"/>
      <c r="V2502" s="112" t="n"/>
      <c r="W2502" s="112" t="n"/>
      <c r="X2502" s="112" t="n"/>
      <c r="Y2502" s="112" t="n"/>
      <c r="Z2502" s="113" t="n"/>
    </row>
    <row r="2503" ht="8" customHeight="1">
      <c r="A2503" t="n">
        <v>50</v>
      </c>
    </row>
    <row r="2504" ht="8" customHeight="1">
      <c r="A2504" t="n">
        <v>50</v>
      </c>
    </row>
    <row r="2505" ht="24" customHeight="1">
      <c r="A2505" t="n">
        <v>51</v>
      </c>
      <c r="B2505" s="73">
        <f>"WEEK 51     "&amp;TEXT(C2506,"ddd d mmm")&amp;"  –  "&amp;TEXT(C2506+6,"ddd d mmm yyyy")</f>
        <v/>
      </c>
      <c r="S2505" s="74">
        <f>IF(TODAY()&lt;C2506,"FUTURE",IF(TODAY()&gt;C2506+6,"PAST","THIS WEEK"))</f>
        <v/>
      </c>
      <c r="W2505" s="75">
        <f>IF(AND(Engine!$B$8=$AC$3,Engine!$B$9=$A2505),"◀ ACTIVE WEEK","")</f>
        <v/>
      </c>
      <c r="AA2505" s="76" t="n"/>
      <c r="AB2505" s="77" t="inlineStr">
        <is>
          <t>◀ Prev</t>
        </is>
      </c>
      <c r="AC2505" s="77" t="inlineStr">
        <is>
          <t>Next ▶</t>
        </is>
      </c>
    </row>
    <row r="2506" ht="18" customHeight="1">
      <c r="A2506" t="n">
        <v>51</v>
      </c>
      <c r="B2506" s="78" t="inlineStr">
        <is>
          <t>DUTY</t>
        </is>
      </c>
      <c r="C2506" s="79">
        <f>$AC$2+7*($A2506-1)</f>
        <v/>
      </c>
      <c r="D2506" s="80" t="n"/>
      <c r="E2506" s="80" t="n"/>
      <c r="F2506" s="81" t="n"/>
      <c r="G2506" s="79">
        <f>C2506+1</f>
        <v/>
      </c>
      <c r="H2506" s="80" t="n"/>
      <c r="I2506" s="80" t="n"/>
      <c r="J2506" s="81" t="n"/>
      <c r="K2506" s="79">
        <f>C2506+2</f>
        <v/>
      </c>
      <c r="L2506" s="80" t="n"/>
      <c r="M2506" s="80" t="n"/>
      <c r="N2506" s="81" t="n"/>
      <c r="O2506" s="79">
        <f>C2506+3</f>
        <v/>
      </c>
      <c r="P2506" s="80" t="n"/>
      <c r="Q2506" s="80" t="n"/>
      <c r="R2506" s="81" t="n"/>
      <c r="S2506" s="79">
        <f>C2506+4</f>
        <v/>
      </c>
      <c r="T2506" s="80" t="n"/>
      <c r="U2506" s="80" t="n"/>
      <c r="V2506" s="81" t="n"/>
      <c r="W2506" s="82">
        <f>C2506+5</f>
        <v/>
      </c>
      <c r="X2506" s="83" t="n"/>
      <c r="Y2506" s="82">
        <f>C2506+6</f>
        <v/>
      </c>
      <c r="Z2506" s="83" t="n"/>
      <c r="AB2506" s="72" t="inlineStr">
        <is>
          <t>Gaps</t>
        </is>
      </c>
      <c r="AC2506" s="72" t="inlineStr">
        <is>
          <t>Cover</t>
        </is>
      </c>
    </row>
    <row r="2507" ht="14" customHeight="1">
      <c r="A2507" t="n">
        <v>51</v>
      </c>
      <c r="B2507" s="84" t="inlineStr">
        <is>
          <t>(from Setup)</t>
        </is>
      </c>
      <c r="C2507" s="85" t="inlineStr">
        <is>
          <t>1</t>
        </is>
      </c>
      <c r="D2507" s="85" t="inlineStr">
        <is>
          <t>2</t>
        </is>
      </c>
      <c r="E2507" s="85" t="inlineStr">
        <is>
          <t>3</t>
        </is>
      </c>
      <c r="F2507" s="85" t="inlineStr">
        <is>
          <t>Notes</t>
        </is>
      </c>
      <c r="G2507" s="85" t="inlineStr">
        <is>
          <t>1</t>
        </is>
      </c>
      <c r="H2507" s="85" t="inlineStr">
        <is>
          <t>2</t>
        </is>
      </c>
      <c r="I2507" s="85" t="inlineStr">
        <is>
          <t>3</t>
        </is>
      </c>
      <c r="J2507" s="85" t="inlineStr">
        <is>
          <t>Notes</t>
        </is>
      </c>
      <c r="K2507" s="85" t="inlineStr">
        <is>
          <t>1</t>
        </is>
      </c>
      <c r="L2507" s="85" t="inlineStr">
        <is>
          <t>2</t>
        </is>
      </c>
      <c r="M2507" s="85" t="inlineStr">
        <is>
          <t>3</t>
        </is>
      </c>
      <c r="N2507" s="85" t="inlineStr">
        <is>
          <t>Notes</t>
        </is>
      </c>
      <c r="O2507" s="85" t="inlineStr">
        <is>
          <t>1</t>
        </is>
      </c>
      <c r="P2507" s="85" t="inlineStr">
        <is>
          <t>2</t>
        </is>
      </c>
      <c r="Q2507" s="85" t="inlineStr">
        <is>
          <t>3</t>
        </is>
      </c>
      <c r="R2507" s="85" t="inlineStr">
        <is>
          <t>Notes</t>
        </is>
      </c>
      <c r="S2507" s="85" t="inlineStr">
        <is>
          <t>1</t>
        </is>
      </c>
      <c r="T2507" s="85" t="inlineStr">
        <is>
          <t>2</t>
        </is>
      </c>
      <c r="U2507" s="85" t="inlineStr">
        <is>
          <t>3</t>
        </is>
      </c>
      <c r="V2507" s="85" t="inlineStr">
        <is>
          <t>Notes</t>
        </is>
      </c>
      <c r="W2507" s="85" t="inlineStr">
        <is>
          <t>Cover</t>
        </is>
      </c>
      <c r="X2507" s="85" t="inlineStr">
        <is>
          <t>Notes</t>
        </is>
      </c>
      <c r="Y2507" s="85" t="inlineStr">
        <is>
          <t>Cover</t>
        </is>
      </c>
      <c r="Z2507" s="85" t="inlineStr">
        <is>
          <t>Notes</t>
        </is>
      </c>
      <c r="AB2507" s="86" t="inlineStr">
        <is>
          <t>weekdays short</t>
        </is>
      </c>
      <c r="AC2507" s="87" t="inlineStr"/>
    </row>
    <row r="2508" ht="17" customHeight="1">
      <c r="A2508" t="n">
        <v>51</v>
      </c>
      <c r="B2508" s="24">
        <f>IF(Setup!$K$6="","",Setup!$K$6)</f>
        <v/>
      </c>
      <c r="C2508" s="88" t="n"/>
      <c r="D2508" s="88" t="n"/>
      <c r="E2508" s="88" t="n"/>
      <c r="F2508" s="89" t="n"/>
      <c r="G2508" s="88" t="n"/>
      <c r="H2508" s="88" t="n"/>
      <c r="I2508" s="88" t="n"/>
      <c r="J2508" s="89" t="n"/>
      <c r="K2508" s="88" t="n"/>
      <c r="L2508" s="88" t="n"/>
      <c r="M2508" s="88" t="n"/>
      <c r="N2508" s="89" t="n"/>
      <c r="O2508" s="88" t="n"/>
      <c r="P2508" s="88" t="n"/>
      <c r="Q2508" s="88" t="n"/>
      <c r="R2508" s="89" t="n"/>
      <c r="S2508" s="88" t="n"/>
      <c r="T2508" s="88" t="n"/>
      <c r="U2508" s="88" t="n"/>
      <c r="V2508" s="89" t="n"/>
      <c r="W2508" s="88" t="n"/>
      <c r="X2508" s="89" t="n"/>
      <c r="Y2508" s="88" t="n"/>
      <c r="Z2508" s="89" t="n"/>
      <c r="AB2508" s="25">
        <f>IF($B2508="","",(COUNTIF(C2508:E2508,"?*")&lt;N(INDEX(Setup!$L$6:$L$23,1)))+(COUNTIF(G2508:I2508,"?*")&lt;N(INDEX(Setup!$L$6:$L$23,1)))+(COUNTIF(K2508:M2508,"?*")&lt;N(INDEX(Setup!$L$6:$L$23,1)))+(COUNTIF(O2508:Q2508,"?*")&lt;N(INDEX(Setup!$L$6:$L$23,1)))+(COUNTIF(S2508:U2508,"?*")&lt;N(INDEX(Setup!$L$6:$L$23,1)))+((W2508="")*(INDEX(Setup!$M$6:$M$23,1)="Y"))+((Y2508="")*(INDEX(Setup!$M$6:$M$23,1)="Y")))</f>
        <v/>
      </c>
      <c r="AC2508" s="90">
        <f>IF($B2508="","",IF(AB2508=0,"✓ covered","⚠ "&amp;AB2508&amp;IF(AB2508=1," gap"," gaps")))</f>
        <v/>
      </c>
    </row>
    <row r="2509" ht="17" customHeight="1">
      <c r="A2509" t="n">
        <v>51</v>
      </c>
      <c r="B2509" s="29">
        <f>IF(Setup!$K$7="","",Setup!$K$7)</f>
        <v/>
      </c>
      <c r="C2509" s="88" t="n"/>
      <c r="D2509" s="88" t="n"/>
      <c r="E2509" s="88" t="n"/>
      <c r="F2509" s="89" t="n"/>
      <c r="G2509" s="88" t="n"/>
      <c r="H2509" s="88" t="n"/>
      <c r="I2509" s="88" t="n"/>
      <c r="J2509" s="89" t="n"/>
      <c r="K2509" s="88" t="n"/>
      <c r="L2509" s="88" t="n"/>
      <c r="M2509" s="88" t="n"/>
      <c r="N2509" s="89" t="n"/>
      <c r="O2509" s="88" t="n"/>
      <c r="P2509" s="88" t="n"/>
      <c r="Q2509" s="88" t="n"/>
      <c r="R2509" s="89" t="n"/>
      <c r="S2509" s="88" t="n"/>
      <c r="T2509" s="88" t="n"/>
      <c r="U2509" s="88" t="n"/>
      <c r="V2509" s="89" t="n"/>
      <c r="W2509" s="88" t="n"/>
      <c r="X2509" s="89" t="n"/>
      <c r="Y2509" s="88" t="n"/>
      <c r="Z2509" s="89" t="n"/>
      <c r="AB2509" s="30">
        <f>IF($B2509="","",(COUNTIF(C2509:E2509,"?*")&lt;N(INDEX(Setup!$L$6:$L$23,2)))+(COUNTIF(G2509:I2509,"?*")&lt;N(INDEX(Setup!$L$6:$L$23,2)))+(COUNTIF(K2509:M2509,"?*")&lt;N(INDEX(Setup!$L$6:$L$23,2)))+(COUNTIF(O2509:Q2509,"?*")&lt;N(INDEX(Setup!$L$6:$L$23,2)))+(COUNTIF(S2509:U2509,"?*")&lt;N(INDEX(Setup!$L$6:$L$23,2)))+((W2509="")*(INDEX(Setup!$M$6:$M$23,2)="Y"))+((Y2509="")*(INDEX(Setup!$M$6:$M$23,2)="Y")))</f>
        <v/>
      </c>
      <c r="AC2509" s="91">
        <f>IF($B2509="","",IF(AB2509=0,"✓ covered","⚠ "&amp;AB2509&amp;IF(AB2509=1," gap"," gaps")))</f>
        <v/>
      </c>
    </row>
    <row r="2510" ht="17" customHeight="1">
      <c r="A2510" t="n">
        <v>51</v>
      </c>
      <c r="B2510" s="24">
        <f>IF(Setup!$K$8="","",Setup!$K$8)</f>
        <v/>
      </c>
      <c r="C2510" s="88" t="n"/>
      <c r="D2510" s="88" t="n"/>
      <c r="E2510" s="88" t="n"/>
      <c r="F2510" s="89" t="n"/>
      <c r="G2510" s="88" t="n"/>
      <c r="H2510" s="88" t="n"/>
      <c r="I2510" s="88" t="n"/>
      <c r="J2510" s="89" t="n"/>
      <c r="K2510" s="88" t="n"/>
      <c r="L2510" s="88" t="n"/>
      <c r="M2510" s="88" t="n"/>
      <c r="N2510" s="89" t="n"/>
      <c r="O2510" s="88" t="n"/>
      <c r="P2510" s="88" t="n"/>
      <c r="Q2510" s="88" t="n"/>
      <c r="R2510" s="89" t="n"/>
      <c r="S2510" s="88" t="n"/>
      <c r="T2510" s="88" t="n"/>
      <c r="U2510" s="88" t="n"/>
      <c r="V2510" s="89" t="n"/>
      <c r="W2510" s="88" t="n"/>
      <c r="X2510" s="89" t="n"/>
      <c r="Y2510" s="88" t="n"/>
      <c r="Z2510" s="89" t="n"/>
      <c r="AB2510" s="25">
        <f>IF($B2510="","",(COUNTIF(C2510:E2510,"?*")&lt;N(INDEX(Setup!$L$6:$L$23,3)))+(COUNTIF(G2510:I2510,"?*")&lt;N(INDEX(Setup!$L$6:$L$23,3)))+(COUNTIF(K2510:M2510,"?*")&lt;N(INDEX(Setup!$L$6:$L$23,3)))+(COUNTIF(O2510:Q2510,"?*")&lt;N(INDEX(Setup!$L$6:$L$23,3)))+(COUNTIF(S2510:U2510,"?*")&lt;N(INDEX(Setup!$L$6:$L$23,3)))+((W2510="")*(INDEX(Setup!$M$6:$M$23,3)="Y"))+((Y2510="")*(INDEX(Setup!$M$6:$M$23,3)="Y")))</f>
        <v/>
      </c>
      <c r="AC2510" s="90">
        <f>IF($B2510="","",IF(AB2510=0,"✓ covered","⚠ "&amp;AB2510&amp;IF(AB2510=1," gap"," gaps")))</f>
        <v/>
      </c>
    </row>
    <row r="2511" ht="17" customHeight="1">
      <c r="A2511" t="n">
        <v>51</v>
      </c>
      <c r="B2511" s="29">
        <f>IF(Setup!$K$9="","",Setup!$K$9)</f>
        <v/>
      </c>
      <c r="C2511" s="88" t="n"/>
      <c r="D2511" s="88" t="n"/>
      <c r="E2511" s="88" t="n"/>
      <c r="F2511" s="89" t="n"/>
      <c r="G2511" s="88" t="n"/>
      <c r="H2511" s="88" t="n"/>
      <c r="I2511" s="88" t="n"/>
      <c r="J2511" s="89" t="n"/>
      <c r="K2511" s="88" t="n"/>
      <c r="L2511" s="88" t="n"/>
      <c r="M2511" s="88" t="n"/>
      <c r="N2511" s="89" t="n"/>
      <c r="O2511" s="88" t="n"/>
      <c r="P2511" s="88" t="n"/>
      <c r="Q2511" s="88" t="n"/>
      <c r="R2511" s="89" t="n"/>
      <c r="S2511" s="88" t="n"/>
      <c r="T2511" s="88" t="n"/>
      <c r="U2511" s="88" t="n"/>
      <c r="V2511" s="89" t="n"/>
      <c r="W2511" s="88" t="n"/>
      <c r="X2511" s="89" t="n"/>
      <c r="Y2511" s="88" t="n"/>
      <c r="Z2511" s="89" t="n"/>
      <c r="AB2511" s="30">
        <f>IF($B2511="","",(COUNTIF(C2511:E2511,"?*")&lt;N(INDEX(Setup!$L$6:$L$23,4)))+(COUNTIF(G2511:I2511,"?*")&lt;N(INDEX(Setup!$L$6:$L$23,4)))+(COUNTIF(K2511:M2511,"?*")&lt;N(INDEX(Setup!$L$6:$L$23,4)))+(COUNTIF(O2511:Q2511,"?*")&lt;N(INDEX(Setup!$L$6:$L$23,4)))+(COUNTIF(S2511:U2511,"?*")&lt;N(INDEX(Setup!$L$6:$L$23,4)))+((W2511="")*(INDEX(Setup!$M$6:$M$23,4)="Y"))+((Y2511="")*(INDEX(Setup!$M$6:$M$23,4)="Y")))</f>
        <v/>
      </c>
      <c r="AC2511" s="91">
        <f>IF($B2511="","",IF(AB2511=0,"✓ covered","⚠ "&amp;AB2511&amp;IF(AB2511=1," gap"," gaps")))</f>
        <v/>
      </c>
    </row>
    <row r="2512" ht="17" customHeight="1">
      <c r="A2512" t="n">
        <v>51</v>
      </c>
      <c r="B2512" s="24">
        <f>IF(Setup!$K$10="","",Setup!$K$10)</f>
        <v/>
      </c>
      <c r="C2512" s="88" t="n"/>
      <c r="D2512" s="88" t="n"/>
      <c r="E2512" s="88" t="n"/>
      <c r="F2512" s="89" t="n"/>
      <c r="G2512" s="88" t="n"/>
      <c r="H2512" s="88" t="n"/>
      <c r="I2512" s="88" t="n"/>
      <c r="J2512" s="89" t="n"/>
      <c r="K2512" s="88" t="n"/>
      <c r="L2512" s="88" t="n"/>
      <c r="M2512" s="88" t="n"/>
      <c r="N2512" s="89" t="n"/>
      <c r="O2512" s="88" t="n"/>
      <c r="P2512" s="88" t="n"/>
      <c r="Q2512" s="88" t="n"/>
      <c r="R2512" s="89" t="n"/>
      <c r="S2512" s="88" t="n"/>
      <c r="T2512" s="88" t="n"/>
      <c r="U2512" s="88" t="n"/>
      <c r="V2512" s="89" t="n"/>
      <c r="W2512" s="88" t="n"/>
      <c r="X2512" s="89" t="n"/>
      <c r="Y2512" s="88" t="n"/>
      <c r="Z2512" s="89" t="n"/>
      <c r="AB2512" s="25">
        <f>IF($B2512="","",(COUNTIF(C2512:E2512,"?*")&lt;N(INDEX(Setup!$L$6:$L$23,5)))+(COUNTIF(G2512:I2512,"?*")&lt;N(INDEX(Setup!$L$6:$L$23,5)))+(COUNTIF(K2512:M2512,"?*")&lt;N(INDEX(Setup!$L$6:$L$23,5)))+(COUNTIF(O2512:Q2512,"?*")&lt;N(INDEX(Setup!$L$6:$L$23,5)))+(COUNTIF(S2512:U2512,"?*")&lt;N(INDEX(Setup!$L$6:$L$23,5)))+((W2512="")*(INDEX(Setup!$M$6:$M$23,5)="Y"))+((Y2512="")*(INDEX(Setup!$M$6:$M$23,5)="Y")))</f>
        <v/>
      </c>
      <c r="AC2512" s="90">
        <f>IF($B2512="","",IF(AB2512=0,"✓ covered","⚠ "&amp;AB2512&amp;IF(AB2512=1," gap"," gaps")))</f>
        <v/>
      </c>
    </row>
    <row r="2513" ht="17" customHeight="1">
      <c r="A2513" t="n">
        <v>51</v>
      </c>
      <c r="B2513" s="29">
        <f>IF(Setup!$K$11="","",Setup!$K$11)</f>
        <v/>
      </c>
      <c r="C2513" s="88" t="n"/>
      <c r="D2513" s="88" t="n"/>
      <c r="E2513" s="88" t="n"/>
      <c r="F2513" s="89" t="n"/>
      <c r="G2513" s="88" t="n"/>
      <c r="H2513" s="88" t="n"/>
      <c r="I2513" s="88" t="n"/>
      <c r="J2513" s="89" t="n"/>
      <c r="K2513" s="88" t="n"/>
      <c r="L2513" s="88" t="n"/>
      <c r="M2513" s="88" t="n"/>
      <c r="N2513" s="89" t="n"/>
      <c r="O2513" s="88" t="n"/>
      <c r="P2513" s="88" t="n"/>
      <c r="Q2513" s="88" t="n"/>
      <c r="R2513" s="89" t="n"/>
      <c r="S2513" s="88" t="n"/>
      <c r="T2513" s="88" t="n"/>
      <c r="U2513" s="88" t="n"/>
      <c r="V2513" s="89" t="n"/>
      <c r="W2513" s="88" t="n"/>
      <c r="X2513" s="89" t="n"/>
      <c r="Y2513" s="88" t="n"/>
      <c r="Z2513" s="89" t="n"/>
      <c r="AB2513" s="30">
        <f>IF($B2513="","",(COUNTIF(C2513:E2513,"?*")&lt;N(INDEX(Setup!$L$6:$L$23,6)))+(COUNTIF(G2513:I2513,"?*")&lt;N(INDEX(Setup!$L$6:$L$23,6)))+(COUNTIF(K2513:M2513,"?*")&lt;N(INDEX(Setup!$L$6:$L$23,6)))+(COUNTIF(O2513:Q2513,"?*")&lt;N(INDEX(Setup!$L$6:$L$23,6)))+(COUNTIF(S2513:U2513,"?*")&lt;N(INDEX(Setup!$L$6:$L$23,6)))+((W2513="")*(INDEX(Setup!$M$6:$M$23,6)="Y"))+((Y2513="")*(INDEX(Setup!$M$6:$M$23,6)="Y")))</f>
        <v/>
      </c>
      <c r="AC2513" s="91">
        <f>IF($B2513="","",IF(AB2513=0,"✓ covered","⚠ "&amp;AB2513&amp;IF(AB2513=1," gap"," gaps")))</f>
        <v/>
      </c>
    </row>
    <row r="2514" ht="17" customHeight="1">
      <c r="A2514" t="n">
        <v>51</v>
      </c>
      <c r="B2514" s="24">
        <f>IF(Setup!$K$12="","",Setup!$K$12)</f>
        <v/>
      </c>
      <c r="C2514" s="88" t="n"/>
      <c r="D2514" s="88" t="n"/>
      <c r="E2514" s="88" t="n"/>
      <c r="F2514" s="89" t="n"/>
      <c r="G2514" s="88" t="n"/>
      <c r="H2514" s="88" t="n"/>
      <c r="I2514" s="88" t="n"/>
      <c r="J2514" s="89" t="n"/>
      <c r="K2514" s="88" t="n"/>
      <c r="L2514" s="88" t="n"/>
      <c r="M2514" s="88" t="n"/>
      <c r="N2514" s="89" t="n"/>
      <c r="O2514" s="88" t="n"/>
      <c r="P2514" s="88" t="n"/>
      <c r="Q2514" s="88" t="n"/>
      <c r="R2514" s="89" t="n"/>
      <c r="S2514" s="88" t="n"/>
      <c r="T2514" s="88" t="n"/>
      <c r="U2514" s="88" t="n"/>
      <c r="V2514" s="89" t="n"/>
      <c r="W2514" s="88" t="n"/>
      <c r="X2514" s="89" t="n"/>
      <c r="Y2514" s="88" t="n"/>
      <c r="Z2514" s="89" t="n"/>
      <c r="AB2514" s="25">
        <f>IF($B2514="","",(COUNTIF(C2514:E2514,"?*")&lt;N(INDEX(Setup!$L$6:$L$23,7)))+(COUNTIF(G2514:I2514,"?*")&lt;N(INDEX(Setup!$L$6:$L$23,7)))+(COUNTIF(K2514:M2514,"?*")&lt;N(INDEX(Setup!$L$6:$L$23,7)))+(COUNTIF(O2514:Q2514,"?*")&lt;N(INDEX(Setup!$L$6:$L$23,7)))+(COUNTIF(S2514:U2514,"?*")&lt;N(INDEX(Setup!$L$6:$L$23,7)))+((W2514="")*(INDEX(Setup!$M$6:$M$23,7)="Y"))+((Y2514="")*(INDEX(Setup!$M$6:$M$23,7)="Y")))</f>
        <v/>
      </c>
      <c r="AC2514" s="90">
        <f>IF($B2514="","",IF(AB2514=0,"✓ covered","⚠ "&amp;AB2514&amp;IF(AB2514=1," gap"," gaps")))</f>
        <v/>
      </c>
    </row>
    <row r="2515" ht="17" customHeight="1">
      <c r="A2515" t="n">
        <v>51</v>
      </c>
      <c r="B2515" s="29">
        <f>IF(Setup!$K$13="","",Setup!$K$13)</f>
        <v/>
      </c>
      <c r="C2515" s="88" t="n"/>
      <c r="D2515" s="88" t="n"/>
      <c r="E2515" s="88" t="n"/>
      <c r="F2515" s="89" t="n"/>
      <c r="G2515" s="88" t="n"/>
      <c r="H2515" s="88" t="n"/>
      <c r="I2515" s="88" t="n"/>
      <c r="J2515" s="89" t="n"/>
      <c r="K2515" s="88" t="n"/>
      <c r="L2515" s="88" t="n"/>
      <c r="M2515" s="88" t="n"/>
      <c r="N2515" s="89" t="n"/>
      <c r="O2515" s="88" t="n"/>
      <c r="P2515" s="88" t="n"/>
      <c r="Q2515" s="88" t="n"/>
      <c r="R2515" s="89" t="n"/>
      <c r="S2515" s="88" t="n"/>
      <c r="T2515" s="88" t="n"/>
      <c r="U2515" s="88" t="n"/>
      <c r="V2515" s="89" t="n"/>
      <c r="W2515" s="88" t="n"/>
      <c r="X2515" s="89" t="n"/>
      <c r="Y2515" s="88" t="n"/>
      <c r="Z2515" s="89" t="n"/>
      <c r="AB2515" s="30">
        <f>IF($B2515="","",(COUNTIF(C2515:E2515,"?*")&lt;N(INDEX(Setup!$L$6:$L$23,8)))+(COUNTIF(G2515:I2515,"?*")&lt;N(INDEX(Setup!$L$6:$L$23,8)))+(COUNTIF(K2515:M2515,"?*")&lt;N(INDEX(Setup!$L$6:$L$23,8)))+(COUNTIF(O2515:Q2515,"?*")&lt;N(INDEX(Setup!$L$6:$L$23,8)))+(COUNTIF(S2515:U2515,"?*")&lt;N(INDEX(Setup!$L$6:$L$23,8)))+((W2515="")*(INDEX(Setup!$M$6:$M$23,8)="Y"))+((Y2515="")*(INDEX(Setup!$M$6:$M$23,8)="Y")))</f>
        <v/>
      </c>
      <c r="AC2515" s="91">
        <f>IF($B2515="","",IF(AB2515=0,"✓ covered","⚠ "&amp;AB2515&amp;IF(AB2515=1," gap"," gaps")))</f>
        <v/>
      </c>
    </row>
    <row r="2516" ht="17" customHeight="1">
      <c r="A2516" t="n">
        <v>51</v>
      </c>
      <c r="B2516" s="24">
        <f>IF(Setup!$K$14="","",Setup!$K$14)</f>
        <v/>
      </c>
      <c r="C2516" s="88" t="n"/>
      <c r="D2516" s="88" t="n"/>
      <c r="E2516" s="88" t="n"/>
      <c r="F2516" s="89" t="n"/>
      <c r="G2516" s="88" t="n"/>
      <c r="H2516" s="88" t="n"/>
      <c r="I2516" s="88" t="n"/>
      <c r="J2516" s="89" t="n"/>
      <c r="K2516" s="88" t="n"/>
      <c r="L2516" s="88" t="n"/>
      <c r="M2516" s="88" t="n"/>
      <c r="N2516" s="89" t="n"/>
      <c r="O2516" s="88" t="n"/>
      <c r="P2516" s="88" t="n"/>
      <c r="Q2516" s="88" t="n"/>
      <c r="R2516" s="89" t="n"/>
      <c r="S2516" s="88" t="n"/>
      <c r="T2516" s="88" t="n"/>
      <c r="U2516" s="88" t="n"/>
      <c r="V2516" s="89" t="n"/>
      <c r="W2516" s="88" t="n"/>
      <c r="X2516" s="89" t="n"/>
      <c r="Y2516" s="88" t="n"/>
      <c r="Z2516" s="89" t="n"/>
      <c r="AB2516" s="25">
        <f>IF($B2516="","",(COUNTIF(C2516:E2516,"?*")&lt;N(INDEX(Setup!$L$6:$L$23,9)))+(COUNTIF(G2516:I2516,"?*")&lt;N(INDEX(Setup!$L$6:$L$23,9)))+(COUNTIF(K2516:M2516,"?*")&lt;N(INDEX(Setup!$L$6:$L$23,9)))+(COUNTIF(O2516:Q2516,"?*")&lt;N(INDEX(Setup!$L$6:$L$23,9)))+(COUNTIF(S2516:U2516,"?*")&lt;N(INDEX(Setup!$L$6:$L$23,9)))+((W2516="")*(INDEX(Setup!$M$6:$M$23,9)="Y"))+((Y2516="")*(INDEX(Setup!$M$6:$M$23,9)="Y")))</f>
        <v/>
      </c>
      <c r="AC2516" s="90">
        <f>IF($B2516="","",IF(AB2516=0,"✓ covered","⚠ "&amp;AB2516&amp;IF(AB2516=1," gap"," gaps")))</f>
        <v/>
      </c>
    </row>
    <row r="2517" ht="17" customHeight="1">
      <c r="A2517" t="n">
        <v>51</v>
      </c>
      <c r="B2517" s="29">
        <f>IF(Setup!$K$15="","",Setup!$K$15)</f>
        <v/>
      </c>
      <c r="C2517" s="88" t="n"/>
      <c r="D2517" s="88" t="n"/>
      <c r="E2517" s="88" t="n"/>
      <c r="F2517" s="89" t="n"/>
      <c r="G2517" s="88" t="n"/>
      <c r="H2517" s="88" t="n"/>
      <c r="I2517" s="88" t="n"/>
      <c r="J2517" s="89" t="n"/>
      <c r="K2517" s="88" t="n"/>
      <c r="L2517" s="88" t="n"/>
      <c r="M2517" s="88" t="n"/>
      <c r="N2517" s="89" t="n"/>
      <c r="O2517" s="88" t="n"/>
      <c r="P2517" s="88" t="n"/>
      <c r="Q2517" s="88" t="n"/>
      <c r="R2517" s="89" t="n"/>
      <c r="S2517" s="88" t="n"/>
      <c r="T2517" s="88" t="n"/>
      <c r="U2517" s="88" t="n"/>
      <c r="V2517" s="89" t="n"/>
      <c r="W2517" s="88" t="n"/>
      <c r="X2517" s="89" t="n"/>
      <c r="Y2517" s="88" t="n"/>
      <c r="Z2517" s="89" t="n"/>
      <c r="AB2517" s="30">
        <f>IF($B2517="","",(COUNTIF(C2517:E2517,"?*")&lt;N(INDEX(Setup!$L$6:$L$23,10)))+(COUNTIF(G2517:I2517,"?*")&lt;N(INDEX(Setup!$L$6:$L$23,10)))+(COUNTIF(K2517:M2517,"?*")&lt;N(INDEX(Setup!$L$6:$L$23,10)))+(COUNTIF(O2517:Q2517,"?*")&lt;N(INDEX(Setup!$L$6:$L$23,10)))+(COUNTIF(S2517:U2517,"?*")&lt;N(INDEX(Setup!$L$6:$L$23,10)))+((W2517="")*(INDEX(Setup!$M$6:$M$23,10)="Y"))+((Y2517="")*(INDEX(Setup!$M$6:$M$23,10)="Y")))</f>
        <v/>
      </c>
      <c r="AC2517" s="91">
        <f>IF($B2517="","",IF(AB2517=0,"✓ covered","⚠ "&amp;AB2517&amp;IF(AB2517=1," gap"," gaps")))</f>
        <v/>
      </c>
    </row>
    <row r="2518" ht="17" customHeight="1">
      <c r="A2518" t="n">
        <v>51</v>
      </c>
      <c r="B2518" s="24">
        <f>IF(Setup!$K$16="","",Setup!$K$16)</f>
        <v/>
      </c>
      <c r="C2518" s="88" t="n"/>
      <c r="D2518" s="88" t="n"/>
      <c r="E2518" s="88" t="n"/>
      <c r="F2518" s="89" t="n"/>
      <c r="G2518" s="88" t="n"/>
      <c r="H2518" s="88" t="n"/>
      <c r="I2518" s="88" t="n"/>
      <c r="J2518" s="89" t="n"/>
      <c r="K2518" s="88" t="n"/>
      <c r="L2518" s="88" t="n"/>
      <c r="M2518" s="88" t="n"/>
      <c r="N2518" s="89" t="n"/>
      <c r="O2518" s="88" t="n"/>
      <c r="P2518" s="88" t="n"/>
      <c r="Q2518" s="88" t="n"/>
      <c r="R2518" s="89" t="n"/>
      <c r="S2518" s="88" t="n"/>
      <c r="T2518" s="88" t="n"/>
      <c r="U2518" s="88" t="n"/>
      <c r="V2518" s="89" t="n"/>
      <c r="W2518" s="88" t="n"/>
      <c r="X2518" s="89" t="n"/>
      <c r="Y2518" s="88" t="n"/>
      <c r="Z2518" s="89" t="n"/>
      <c r="AB2518" s="25">
        <f>IF($B2518="","",(COUNTIF(C2518:E2518,"?*")&lt;N(INDEX(Setup!$L$6:$L$23,11)))+(COUNTIF(G2518:I2518,"?*")&lt;N(INDEX(Setup!$L$6:$L$23,11)))+(COUNTIF(K2518:M2518,"?*")&lt;N(INDEX(Setup!$L$6:$L$23,11)))+(COUNTIF(O2518:Q2518,"?*")&lt;N(INDEX(Setup!$L$6:$L$23,11)))+(COUNTIF(S2518:U2518,"?*")&lt;N(INDEX(Setup!$L$6:$L$23,11)))+((W2518="")*(INDEX(Setup!$M$6:$M$23,11)="Y"))+((Y2518="")*(INDEX(Setup!$M$6:$M$23,11)="Y")))</f>
        <v/>
      </c>
      <c r="AC2518" s="90">
        <f>IF($B2518="","",IF(AB2518=0,"✓ covered","⚠ "&amp;AB2518&amp;IF(AB2518=1," gap"," gaps")))</f>
        <v/>
      </c>
    </row>
    <row r="2519" ht="17" customHeight="1">
      <c r="A2519" t="n">
        <v>51</v>
      </c>
      <c r="B2519" s="29">
        <f>IF(Setup!$K$17="","",Setup!$K$17)</f>
        <v/>
      </c>
      <c r="C2519" s="88" t="n"/>
      <c r="D2519" s="88" t="n"/>
      <c r="E2519" s="88" t="n"/>
      <c r="F2519" s="89" t="n"/>
      <c r="G2519" s="88" t="n"/>
      <c r="H2519" s="88" t="n"/>
      <c r="I2519" s="88" t="n"/>
      <c r="J2519" s="89" t="n"/>
      <c r="K2519" s="88" t="n"/>
      <c r="L2519" s="88" t="n"/>
      <c r="M2519" s="88" t="n"/>
      <c r="N2519" s="89" t="n"/>
      <c r="O2519" s="88" t="n"/>
      <c r="P2519" s="88" t="n"/>
      <c r="Q2519" s="88" t="n"/>
      <c r="R2519" s="89" t="n"/>
      <c r="S2519" s="88" t="n"/>
      <c r="T2519" s="88" t="n"/>
      <c r="U2519" s="88" t="n"/>
      <c r="V2519" s="89" t="n"/>
      <c r="W2519" s="88" t="n"/>
      <c r="X2519" s="89" t="n"/>
      <c r="Y2519" s="88" t="n"/>
      <c r="Z2519" s="89" t="n"/>
      <c r="AB2519" s="30">
        <f>IF($B2519="","",(COUNTIF(C2519:E2519,"?*")&lt;N(INDEX(Setup!$L$6:$L$23,12)))+(COUNTIF(G2519:I2519,"?*")&lt;N(INDEX(Setup!$L$6:$L$23,12)))+(COUNTIF(K2519:M2519,"?*")&lt;N(INDEX(Setup!$L$6:$L$23,12)))+(COUNTIF(O2519:Q2519,"?*")&lt;N(INDEX(Setup!$L$6:$L$23,12)))+(COUNTIF(S2519:U2519,"?*")&lt;N(INDEX(Setup!$L$6:$L$23,12)))+((W2519="")*(INDEX(Setup!$M$6:$M$23,12)="Y"))+((Y2519="")*(INDEX(Setup!$M$6:$M$23,12)="Y")))</f>
        <v/>
      </c>
      <c r="AC2519" s="91">
        <f>IF($B2519="","",IF(AB2519=0,"✓ covered","⚠ "&amp;AB2519&amp;IF(AB2519=1," gap"," gaps")))</f>
        <v/>
      </c>
    </row>
    <row r="2520" ht="17" customHeight="1">
      <c r="A2520" t="n">
        <v>51</v>
      </c>
      <c r="B2520" s="24">
        <f>IF(Setup!$K$18="","",Setup!$K$18)</f>
        <v/>
      </c>
      <c r="C2520" s="88" t="n"/>
      <c r="D2520" s="88" t="n"/>
      <c r="E2520" s="88" t="n"/>
      <c r="F2520" s="89" t="n"/>
      <c r="G2520" s="88" t="n"/>
      <c r="H2520" s="88" t="n"/>
      <c r="I2520" s="88" t="n"/>
      <c r="J2520" s="89" t="n"/>
      <c r="K2520" s="88" t="n"/>
      <c r="L2520" s="88" t="n"/>
      <c r="M2520" s="88" t="n"/>
      <c r="N2520" s="89" t="n"/>
      <c r="O2520" s="88" t="n"/>
      <c r="P2520" s="88" t="n"/>
      <c r="Q2520" s="88" t="n"/>
      <c r="R2520" s="89" t="n"/>
      <c r="S2520" s="88" t="n"/>
      <c r="T2520" s="88" t="n"/>
      <c r="U2520" s="88" t="n"/>
      <c r="V2520" s="89" t="n"/>
      <c r="W2520" s="88" t="n"/>
      <c r="X2520" s="89" t="n"/>
      <c r="Y2520" s="88" t="n"/>
      <c r="Z2520" s="89" t="n"/>
      <c r="AB2520" s="25">
        <f>IF($B2520="","",(COUNTIF(C2520:E2520,"?*")&lt;N(INDEX(Setup!$L$6:$L$23,13)))+(COUNTIF(G2520:I2520,"?*")&lt;N(INDEX(Setup!$L$6:$L$23,13)))+(COUNTIF(K2520:M2520,"?*")&lt;N(INDEX(Setup!$L$6:$L$23,13)))+(COUNTIF(O2520:Q2520,"?*")&lt;N(INDEX(Setup!$L$6:$L$23,13)))+(COUNTIF(S2520:U2520,"?*")&lt;N(INDEX(Setup!$L$6:$L$23,13)))+((W2520="")*(INDEX(Setup!$M$6:$M$23,13)="Y"))+((Y2520="")*(INDEX(Setup!$M$6:$M$23,13)="Y")))</f>
        <v/>
      </c>
      <c r="AC2520" s="90">
        <f>IF($B2520="","",IF(AB2520=0,"✓ covered","⚠ "&amp;AB2520&amp;IF(AB2520=1," gap"," gaps")))</f>
        <v/>
      </c>
    </row>
    <row r="2521" ht="17" customHeight="1">
      <c r="A2521" t="n">
        <v>51</v>
      </c>
      <c r="B2521" s="29">
        <f>IF(Setup!$K$19="","",Setup!$K$19)</f>
        <v/>
      </c>
      <c r="C2521" s="88" t="n"/>
      <c r="D2521" s="88" t="n"/>
      <c r="E2521" s="88" t="n"/>
      <c r="F2521" s="89" t="n"/>
      <c r="G2521" s="88" t="n"/>
      <c r="H2521" s="88" t="n"/>
      <c r="I2521" s="88" t="n"/>
      <c r="J2521" s="89" t="n"/>
      <c r="K2521" s="88" t="n"/>
      <c r="L2521" s="88" t="n"/>
      <c r="M2521" s="88" t="n"/>
      <c r="N2521" s="89" t="n"/>
      <c r="O2521" s="88" t="n"/>
      <c r="P2521" s="88" t="n"/>
      <c r="Q2521" s="88" t="n"/>
      <c r="R2521" s="89" t="n"/>
      <c r="S2521" s="88" t="n"/>
      <c r="T2521" s="88" t="n"/>
      <c r="U2521" s="88" t="n"/>
      <c r="V2521" s="89" t="n"/>
      <c r="W2521" s="88" t="n"/>
      <c r="X2521" s="89" t="n"/>
      <c r="Y2521" s="88" t="n"/>
      <c r="Z2521" s="89" t="n"/>
      <c r="AB2521" s="30">
        <f>IF($B2521="","",(COUNTIF(C2521:E2521,"?*")&lt;N(INDEX(Setup!$L$6:$L$23,14)))+(COUNTIF(G2521:I2521,"?*")&lt;N(INDEX(Setup!$L$6:$L$23,14)))+(COUNTIF(K2521:M2521,"?*")&lt;N(INDEX(Setup!$L$6:$L$23,14)))+(COUNTIF(O2521:Q2521,"?*")&lt;N(INDEX(Setup!$L$6:$L$23,14)))+(COUNTIF(S2521:U2521,"?*")&lt;N(INDEX(Setup!$L$6:$L$23,14)))+((W2521="")*(INDEX(Setup!$M$6:$M$23,14)="Y"))+((Y2521="")*(INDEX(Setup!$M$6:$M$23,14)="Y")))</f>
        <v/>
      </c>
      <c r="AC2521" s="91">
        <f>IF($B2521="","",IF(AB2521=0,"✓ covered","⚠ "&amp;AB2521&amp;IF(AB2521=1," gap"," gaps")))</f>
        <v/>
      </c>
    </row>
    <row r="2522" ht="17" customHeight="1">
      <c r="A2522" t="n">
        <v>51</v>
      </c>
      <c r="B2522" s="24">
        <f>IF(Setup!$K$20="","",Setup!$K$20)</f>
        <v/>
      </c>
      <c r="C2522" s="88" t="n"/>
      <c r="D2522" s="88" t="n"/>
      <c r="E2522" s="88" t="n"/>
      <c r="F2522" s="89" t="n"/>
      <c r="G2522" s="88" t="n"/>
      <c r="H2522" s="88" t="n"/>
      <c r="I2522" s="88" t="n"/>
      <c r="J2522" s="89" t="n"/>
      <c r="K2522" s="88" t="n"/>
      <c r="L2522" s="88" t="n"/>
      <c r="M2522" s="88" t="n"/>
      <c r="N2522" s="89" t="n"/>
      <c r="O2522" s="88" t="n"/>
      <c r="P2522" s="88" t="n"/>
      <c r="Q2522" s="88" t="n"/>
      <c r="R2522" s="89" t="n"/>
      <c r="S2522" s="88" t="n"/>
      <c r="T2522" s="88" t="n"/>
      <c r="U2522" s="88" t="n"/>
      <c r="V2522" s="89" t="n"/>
      <c r="W2522" s="88" t="n"/>
      <c r="X2522" s="89" t="n"/>
      <c r="Y2522" s="88" t="n"/>
      <c r="Z2522" s="89" t="n"/>
      <c r="AB2522" s="25">
        <f>IF($B2522="","",(COUNTIF(C2522:E2522,"?*")&lt;N(INDEX(Setup!$L$6:$L$23,15)))+(COUNTIF(G2522:I2522,"?*")&lt;N(INDEX(Setup!$L$6:$L$23,15)))+(COUNTIF(K2522:M2522,"?*")&lt;N(INDEX(Setup!$L$6:$L$23,15)))+(COUNTIF(O2522:Q2522,"?*")&lt;N(INDEX(Setup!$L$6:$L$23,15)))+(COUNTIF(S2522:U2522,"?*")&lt;N(INDEX(Setup!$L$6:$L$23,15)))+((W2522="")*(INDEX(Setup!$M$6:$M$23,15)="Y"))+((Y2522="")*(INDEX(Setup!$M$6:$M$23,15)="Y")))</f>
        <v/>
      </c>
      <c r="AC2522" s="90">
        <f>IF($B2522="","",IF(AB2522=0,"✓ covered","⚠ "&amp;AB2522&amp;IF(AB2522=1," gap"," gaps")))</f>
        <v/>
      </c>
    </row>
    <row r="2523" ht="17" customHeight="1">
      <c r="A2523" t="n">
        <v>51</v>
      </c>
      <c r="B2523" s="29">
        <f>IF(Setup!$K$21="","",Setup!$K$21)</f>
        <v/>
      </c>
      <c r="C2523" s="88" t="n"/>
      <c r="D2523" s="88" t="n"/>
      <c r="E2523" s="88" t="n"/>
      <c r="F2523" s="89" t="n"/>
      <c r="G2523" s="88" t="n"/>
      <c r="H2523" s="88" t="n"/>
      <c r="I2523" s="88" t="n"/>
      <c r="J2523" s="89" t="n"/>
      <c r="K2523" s="88" t="n"/>
      <c r="L2523" s="88" t="n"/>
      <c r="M2523" s="88" t="n"/>
      <c r="N2523" s="89" t="n"/>
      <c r="O2523" s="88" t="n"/>
      <c r="P2523" s="88" t="n"/>
      <c r="Q2523" s="88" t="n"/>
      <c r="R2523" s="89" t="n"/>
      <c r="S2523" s="88" t="n"/>
      <c r="T2523" s="88" t="n"/>
      <c r="U2523" s="88" t="n"/>
      <c r="V2523" s="89" t="n"/>
      <c r="W2523" s="88" t="n"/>
      <c r="X2523" s="89" t="n"/>
      <c r="Y2523" s="88" t="n"/>
      <c r="Z2523" s="89" t="n"/>
      <c r="AB2523" s="30">
        <f>IF($B2523="","",(COUNTIF(C2523:E2523,"?*")&lt;N(INDEX(Setup!$L$6:$L$23,16)))+(COUNTIF(G2523:I2523,"?*")&lt;N(INDEX(Setup!$L$6:$L$23,16)))+(COUNTIF(K2523:M2523,"?*")&lt;N(INDEX(Setup!$L$6:$L$23,16)))+(COUNTIF(O2523:Q2523,"?*")&lt;N(INDEX(Setup!$L$6:$L$23,16)))+(COUNTIF(S2523:U2523,"?*")&lt;N(INDEX(Setup!$L$6:$L$23,16)))+((W2523="")*(INDEX(Setup!$M$6:$M$23,16)="Y"))+((Y2523="")*(INDEX(Setup!$M$6:$M$23,16)="Y")))</f>
        <v/>
      </c>
      <c r="AC2523" s="91">
        <f>IF($B2523="","",IF(AB2523=0,"✓ covered","⚠ "&amp;AB2523&amp;IF(AB2523=1," gap"," gaps")))</f>
        <v/>
      </c>
    </row>
    <row r="2524" ht="17" customHeight="1">
      <c r="A2524" t="n">
        <v>51</v>
      </c>
      <c r="B2524" s="24">
        <f>IF(Setup!$K$22="","",Setup!$K$22)</f>
        <v/>
      </c>
      <c r="C2524" s="88" t="n"/>
      <c r="D2524" s="88" t="n"/>
      <c r="E2524" s="88" t="n"/>
      <c r="F2524" s="89" t="n"/>
      <c r="G2524" s="88" t="n"/>
      <c r="H2524" s="88" t="n"/>
      <c r="I2524" s="88" t="n"/>
      <c r="J2524" s="89" t="n"/>
      <c r="K2524" s="88" t="n"/>
      <c r="L2524" s="88" t="n"/>
      <c r="M2524" s="88" t="n"/>
      <c r="N2524" s="89" t="n"/>
      <c r="O2524" s="88" t="n"/>
      <c r="P2524" s="88" t="n"/>
      <c r="Q2524" s="88" t="n"/>
      <c r="R2524" s="89" t="n"/>
      <c r="S2524" s="88" t="n"/>
      <c r="T2524" s="88" t="n"/>
      <c r="U2524" s="88" t="n"/>
      <c r="V2524" s="89" t="n"/>
      <c r="W2524" s="88" t="n"/>
      <c r="X2524" s="89" t="n"/>
      <c r="Y2524" s="88" t="n"/>
      <c r="Z2524" s="89" t="n"/>
      <c r="AB2524" s="25">
        <f>IF($B2524="","",(COUNTIF(C2524:E2524,"?*")&lt;N(INDEX(Setup!$L$6:$L$23,17)))+(COUNTIF(G2524:I2524,"?*")&lt;N(INDEX(Setup!$L$6:$L$23,17)))+(COUNTIF(K2524:M2524,"?*")&lt;N(INDEX(Setup!$L$6:$L$23,17)))+(COUNTIF(O2524:Q2524,"?*")&lt;N(INDEX(Setup!$L$6:$L$23,17)))+(COUNTIF(S2524:U2524,"?*")&lt;N(INDEX(Setup!$L$6:$L$23,17)))+((W2524="")*(INDEX(Setup!$M$6:$M$23,17)="Y"))+((Y2524="")*(INDEX(Setup!$M$6:$M$23,17)="Y")))</f>
        <v/>
      </c>
      <c r="AC2524" s="90">
        <f>IF($B2524="","",IF(AB2524=0,"✓ covered","⚠ "&amp;AB2524&amp;IF(AB2524=1," gap"," gaps")))</f>
        <v/>
      </c>
    </row>
    <row r="2525" ht="17" customHeight="1">
      <c r="A2525" t="n">
        <v>51</v>
      </c>
      <c r="B2525" s="29">
        <f>IF(Setup!$K$23="","",Setup!$K$23)</f>
        <v/>
      </c>
      <c r="C2525" s="88" t="n"/>
      <c r="D2525" s="88" t="n"/>
      <c r="E2525" s="88" t="n"/>
      <c r="F2525" s="89" t="n"/>
      <c r="G2525" s="88" t="n"/>
      <c r="H2525" s="88" t="n"/>
      <c r="I2525" s="88" t="n"/>
      <c r="J2525" s="89" t="n"/>
      <c r="K2525" s="88" t="n"/>
      <c r="L2525" s="88" t="n"/>
      <c r="M2525" s="88" t="n"/>
      <c r="N2525" s="89" t="n"/>
      <c r="O2525" s="88" t="n"/>
      <c r="P2525" s="88" t="n"/>
      <c r="Q2525" s="88" t="n"/>
      <c r="R2525" s="89" t="n"/>
      <c r="S2525" s="88" t="n"/>
      <c r="T2525" s="88" t="n"/>
      <c r="U2525" s="88" t="n"/>
      <c r="V2525" s="89" t="n"/>
      <c r="W2525" s="88" t="n"/>
      <c r="X2525" s="89" t="n"/>
      <c r="Y2525" s="88" t="n"/>
      <c r="Z2525" s="89" t="n"/>
      <c r="AB2525" s="30">
        <f>IF($B2525="","",(COUNTIF(C2525:E2525,"?*")&lt;N(INDEX(Setup!$L$6:$L$23,18)))+(COUNTIF(G2525:I2525,"?*")&lt;N(INDEX(Setup!$L$6:$L$23,18)))+(COUNTIF(K2525:M2525,"?*")&lt;N(INDEX(Setup!$L$6:$L$23,18)))+(COUNTIF(O2525:Q2525,"?*")&lt;N(INDEX(Setup!$L$6:$L$23,18)))+(COUNTIF(S2525:U2525,"?*")&lt;N(INDEX(Setup!$L$6:$L$23,18)))+((W2525="")*(INDEX(Setup!$M$6:$M$23,18)="Y"))+((Y2525="")*(INDEX(Setup!$M$6:$M$23,18)="Y")))</f>
        <v/>
      </c>
      <c r="AC2525" s="91">
        <f>IF($B2525="","",IF(AB2525=0,"✓ covered","⚠ "&amp;AB2525&amp;IF(AB2525=1," gap"," gaps")))</f>
        <v/>
      </c>
    </row>
    <row r="2526" ht="18" customHeight="1">
      <c r="A2526" t="n">
        <v>51</v>
      </c>
      <c r="B2526" s="78" t="inlineStr">
        <is>
          <t>TEAM AVAILABILITY</t>
        </is>
      </c>
      <c r="C2526" s="92" t="inlineStr">
        <is>
          <t>Mon</t>
        </is>
      </c>
      <c r="D2526" s="93" t="n"/>
      <c r="E2526" s="93" t="n"/>
      <c r="F2526" s="94" t="n"/>
      <c r="G2526" s="92" t="inlineStr">
        <is>
          <t>Tue</t>
        </is>
      </c>
      <c r="H2526" s="93" t="n"/>
      <c r="I2526" s="93" t="n"/>
      <c r="J2526" s="94" t="n"/>
      <c r="K2526" s="92" t="inlineStr">
        <is>
          <t>Wed</t>
        </is>
      </c>
      <c r="L2526" s="93" t="n"/>
      <c r="M2526" s="93" t="n"/>
      <c r="N2526" s="94" t="n"/>
      <c r="O2526" s="92" t="inlineStr">
        <is>
          <t>Thu</t>
        </is>
      </c>
      <c r="P2526" s="93" t="n"/>
      <c r="Q2526" s="93" t="n"/>
      <c r="R2526" s="94" t="n"/>
      <c r="S2526" s="92" t="inlineStr">
        <is>
          <t>Fri</t>
        </is>
      </c>
      <c r="T2526" s="93" t="n"/>
      <c r="U2526" s="93" t="n"/>
      <c r="V2526" s="94" t="n"/>
      <c r="W2526" s="95" t="inlineStr">
        <is>
          <t>Sat</t>
        </is>
      </c>
      <c r="X2526" s="96" t="n"/>
      <c r="Y2526" s="95" t="inlineStr">
        <is>
          <t>Sun</t>
        </is>
      </c>
      <c r="Z2526" s="96" t="n"/>
      <c r="AB2526" s="97" t="inlineStr">
        <is>
          <t>Days rostered</t>
        </is>
      </c>
      <c r="AC2526" s="97" t="inlineStr">
        <is>
          <t>Conflicts</t>
        </is>
      </c>
    </row>
    <row r="2527" ht="15" customHeight="1">
      <c r="A2527" t="n">
        <v>51</v>
      </c>
      <c r="B2527" s="35">
        <f>IF(Setup!$B$6="","",Setup!$B$6)</f>
        <v/>
      </c>
      <c r="C2527" s="98" t="n"/>
      <c r="D2527" s="99" t="n"/>
      <c r="E2527" s="99" t="n"/>
      <c r="F2527" s="100" t="n"/>
      <c r="G2527" s="98" t="n"/>
      <c r="H2527" s="99" t="n"/>
      <c r="I2527" s="99" t="n"/>
      <c r="J2527" s="100" t="n"/>
      <c r="K2527" s="98" t="n"/>
      <c r="L2527" s="99" t="n"/>
      <c r="M2527" s="99" t="n"/>
      <c r="N2527" s="100" t="n"/>
      <c r="O2527" s="98" t="n"/>
      <c r="P2527" s="99" t="n"/>
      <c r="Q2527" s="99" t="n"/>
      <c r="R2527" s="100" t="n"/>
      <c r="S2527" s="98" t="n"/>
      <c r="T2527" s="99" t="n"/>
      <c r="U2527" s="99" t="n"/>
      <c r="V2527" s="100" t="n"/>
      <c r="W2527" s="98" t="n"/>
      <c r="X2527" s="100" t="n"/>
      <c r="Y2527" s="98" t="n"/>
      <c r="Z2527" s="100" t="n"/>
      <c r="AB2527" s="101">
        <f>IF($B2527="","",(COUNTIF(C2508:E2525,$B2527)+COUNTIF(C2508:E2525,$B2527&amp;" ~*")&gt;0)+(COUNTIF(G2508:I2525,$B2527)+COUNTIF(G2508:I2525,$B2527&amp;" ~*")&gt;0)+(COUNTIF(K2508:M2525,$B2527)+COUNTIF(K2508:M2525,$B2527&amp;" ~*")&gt;0)+(COUNTIF(O2508:Q2525,$B2527)+COUNTIF(O2508:Q2525,$B2527&amp;" ~*")&gt;0)+(COUNTIF(S2508:U2525,$B2527)+COUNTIF(S2508:U2525,$B2527&amp;" ~*")&gt;0)+(COUNTIF(W2508:W2525,$B2527)+COUNTIF(W2508:W2525,$B2527&amp;" ~*")&gt;0)+(COUNTIF(Y2508:Y2525,$B2527)+COUNTIF(Y2508:Y2525,$B2527&amp;" ~*")&gt;0))</f>
        <v/>
      </c>
      <c r="AC2527" s="36">
        <f>IF($B2527="","",(IFERROR(INDEX(Setup!$G$33:$G$40,MATCH(C2527,Setup!$B$33:$B$40,0)),0)=1)*(COUNTIF(C2508:E2525,$B2527)+COUNTIF(C2508:E2525,$B2527&amp;" ~*")&gt;0)+(IFERROR(INDEX(Setup!$G$33:$G$40,MATCH(G2527,Setup!$B$33:$B$40,0)),0)=1)*(COUNTIF(G2508:I2525,$B2527)+COUNTIF(G2508:I2525,$B2527&amp;" ~*")&gt;0)+(IFERROR(INDEX(Setup!$G$33:$G$40,MATCH(K2527,Setup!$B$33:$B$40,0)),0)=1)*(COUNTIF(K2508:M2525,$B2527)+COUNTIF(K2508:M2525,$B2527&amp;" ~*")&gt;0)+(IFERROR(INDEX(Setup!$G$33:$G$40,MATCH(O2527,Setup!$B$33:$B$40,0)),0)=1)*(COUNTIF(O2508:Q2525,$B2527)+COUNTIF(O2508:Q2525,$B2527&amp;" ~*")&gt;0)+(IFERROR(INDEX(Setup!$G$33:$G$40,MATCH(S2527,Setup!$B$33:$B$40,0)),0)=1)*(COUNTIF(S2508:U2525,$B2527)+COUNTIF(S2508:U2525,$B2527&amp;" ~*")&gt;0)+(IFERROR(INDEX(Setup!$G$33:$G$40,MATCH(W2527,Setup!$B$33:$B$40,0)),0)=1)*(COUNTIF(W2508:W2525,$B2527)+COUNTIF(W2508:W2525,$B2527&amp;" ~*")&gt;0)+(IFERROR(INDEX(Setup!$G$33:$G$40,MATCH(Y2527,Setup!$B$33:$B$40,0)),0)=1)*(COUNTIF(Y2508:Y2525,$B2527)+COUNTIF(Y2508:Y2525,$B2527&amp;" ~*")&gt;0))</f>
        <v/>
      </c>
    </row>
    <row r="2528" ht="15" customHeight="1">
      <c r="A2528" t="n">
        <v>51</v>
      </c>
      <c r="B2528" s="37">
        <f>IF(Setup!$B$7="","",Setup!$B$7)</f>
        <v/>
      </c>
      <c r="C2528" s="102" t="n"/>
      <c r="D2528" s="103" t="n"/>
      <c r="E2528" s="103" t="n"/>
      <c r="F2528" s="104" t="n"/>
      <c r="G2528" s="102" t="n"/>
      <c r="H2528" s="103" t="n"/>
      <c r="I2528" s="103" t="n"/>
      <c r="J2528" s="104" t="n"/>
      <c r="K2528" s="102" t="n"/>
      <c r="L2528" s="103" t="n"/>
      <c r="M2528" s="103" t="n"/>
      <c r="N2528" s="104" t="n"/>
      <c r="O2528" s="102" t="n"/>
      <c r="P2528" s="103" t="n"/>
      <c r="Q2528" s="103" t="n"/>
      <c r="R2528" s="104" t="n"/>
      <c r="S2528" s="102" t="n"/>
      <c r="T2528" s="103" t="n"/>
      <c r="U2528" s="103" t="n"/>
      <c r="V2528" s="104" t="n"/>
      <c r="W2528" s="102" t="n"/>
      <c r="X2528" s="104" t="n"/>
      <c r="Y2528" s="102" t="n"/>
      <c r="Z2528" s="104" t="n"/>
      <c r="AB2528" s="105">
        <f>IF($B2528="","",(COUNTIF(C2508:E2525,$B2528)+COUNTIF(C2508:E2525,$B2528&amp;" ~*")&gt;0)+(COUNTIF(G2508:I2525,$B2528)+COUNTIF(G2508:I2525,$B2528&amp;" ~*")&gt;0)+(COUNTIF(K2508:M2525,$B2528)+COUNTIF(K2508:M2525,$B2528&amp;" ~*")&gt;0)+(COUNTIF(O2508:Q2525,$B2528)+COUNTIF(O2508:Q2525,$B2528&amp;" ~*")&gt;0)+(COUNTIF(S2508:U2525,$B2528)+COUNTIF(S2508:U2525,$B2528&amp;" ~*")&gt;0)+(COUNTIF(W2508:W2525,$B2528)+COUNTIF(W2508:W2525,$B2528&amp;" ~*")&gt;0)+(COUNTIF(Y2508:Y2525,$B2528)+COUNTIF(Y2508:Y2525,$B2528&amp;" ~*")&gt;0))</f>
        <v/>
      </c>
      <c r="AC2528" s="38">
        <f>IF($B2528="","",(IFERROR(INDEX(Setup!$G$33:$G$40,MATCH(C2528,Setup!$B$33:$B$40,0)),0)=1)*(COUNTIF(C2508:E2525,$B2528)+COUNTIF(C2508:E2525,$B2528&amp;" ~*")&gt;0)+(IFERROR(INDEX(Setup!$G$33:$G$40,MATCH(G2528,Setup!$B$33:$B$40,0)),0)=1)*(COUNTIF(G2508:I2525,$B2528)+COUNTIF(G2508:I2525,$B2528&amp;" ~*")&gt;0)+(IFERROR(INDEX(Setup!$G$33:$G$40,MATCH(K2528,Setup!$B$33:$B$40,0)),0)=1)*(COUNTIF(K2508:M2525,$B2528)+COUNTIF(K2508:M2525,$B2528&amp;" ~*")&gt;0)+(IFERROR(INDEX(Setup!$G$33:$G$40,MATCH(O2528,Setup!$B$33:$B$40,0)),0)=1)*(COUNTIF(O2508:Q2525,$B2528)+COUNTIF(O2508:Q2525,$B2528&amp;" ~*")&gt;0)+(IFERROR(INDEX(Setup!$G$33:$G$40,MATCH(S2528,Setup!$B$33:$B$40,0)),0)=1)*(COUNTIF(S2508:U2525,$B2528)+COUNTIF(S2508:U2525,$B2528&amp;" ~*")&gt;0)+(IFERROR(INDEX(Setup!$G$33:$G$40,MATCH(W2528,Setup!$B$33:$B$40,0)),0)=1)*(COUNTIF(W2508:W2525,$B2528)+COUNTIF(W2508:W2525,$B2528&amp;" ~*")&gt;0)+(IFERROR(INDEX(Setup!$G$33:$G$40,MATCH(Y2528,Setup!$B$33:$B$40,0)),0)=1)*(COUNTIF(Y2508:Y2525,$B2528)+COUNTIF(Y2508:Y2525,$B2528&amp;" ~*")&gt;0))</f>
        <v/>
      </c>
    </row>
    <row r="2529" ht="15" customHeight="1">
      <c r="A2529" t="n">
        <v>51</v>
      </c>
      <c r="B2529" s="35">
        <f>IF(Setup!$B$8="","",Setup!$B$8)</f>
        <v/>
      </c>
      <c r="C2529" s="98" t="n"/>
      <c r="D2529" s="99" t="n"/>
      <c r="E2529" s="99" t="n"/>
      <c r="F2529" s="100" t="n"/>
      <c r="G2529" s="98" t="n"/>
      <c r="H2529" s="99" t="n"/>
      <c r="I2529" s="99" t="n"/>
      <c r="J2529" s="100" t="n"/>
      <c r="K2529" s="98" t="n"/>
      <c r="L2529" s="99" t="n"/>
      <c r="M2529" s="99" t="n"/>
      <c r="N2529" s="100" t="n"/>
      <c r="O2529" s="98" t="n"/>
      <c r="P2529" s="99" t="n"/>
      <c r="Q2529" s="99" t="n"/>
      <c r="R2529" s="100" t="n"/>
      <c r="S2529" s="98" t="n"/>
      <c r="T2529" s="99" t="n"/>
      <c r="U2529" s="99" t="n"/>
      <c r="V2529" s="100" t="n"/>
      <c r="W2529" s="98" t="n"/>
      <c r="X2529" s="100" t="n"/>
      <c r="Y2529" s="98" t="n"/>
      <c r="Z2529" s="100" t="n"/>
      <c r="AB2529" s="101">
        <f>IF($B2529="","",(COUNTIF(C2508:E2525,$B2529)+COUNTIF(C2508:E2525,$B2529&amp;" ~*")&gt;0)+(COUNTIF(G2508:I2525,$B2529)+COUNTIF(G2508:I2525,$B2529&amp;" ~*")&gt;0)+(COUNTIF(K2508:M2525,$B2529)+COUNTIF(K2508:M2525,$B2529&amp;" ~*")&gt;0)+(COUNTIF(O2508:Q2525,$B2529)+COUNTIF(O2508:Q2525,$B2529&amp;" ~*")&gt;0)+(COUNTIF(S2508:U2525,$B2529)+COUNTIF(S2508:U2525,$B2529&amp;" ~*")&gt;0)+(COUNTIF(W2508:W2525,$B2529)+COUNTIF(W2508:W2525,$B2529&amp;" ~*")&gt;0)+(COUNTIF(Y2508:Y2525,$B2529)+COUNTIF(Y2508:Y2525,$B2529&amp;" ~*")&gt;0))</f>
        <v/>
      </c>
      <c r="AC2529" s="36">
        <f>IF($B2529="","",(IFERROR(INDEX(Setup!$G$33:$G$40,MATCH(C2529,Setup!$B$33:$B$40,0)),0)=1)*(COUNTIF(C2508:E2525,$B2529)+COUNTIF(C2508:E2525,$B2529&amp;" ~*")&gt;0)+(IFERROR(INDEX(Setup!$G$33:$G$40,MATCH(G2529,Setup!$B$33:$B$40,0)),0)=1)*(COUNTIF(G2508:I2525,$B2529)+COUNTIF(G2508:I2525,$B2529&amp;" ~*")&gt;0)+(IFERROR(INDEX(Setup!$G$33:$G$40,MATCH(K2529,Setup!$B$33:$B$40,0)),0)=1)*(COUNTIF(K2508:M2525,$B2529)+COUNTIF(K2508:M2525,$B2529&amp;" ~*")&gt;0)+(IFERROR(INDEX(Setup!$G$33:$G$40,MATCH(O2529,Setup!$B$33:$B$40,0)),0)=1)*(COUNTIF(O2508:Q2525,$B2529)+COUNTIF(O2508:Q2525,$B2529&amp;" ~*")&gt;0)+(IFERROR(INDEX(Setup!$G$33:$G$40,MATCH(S2529,Setup!$B$33:$B$40,0)),0)=1)*(COUNTIF(S2508:U2525,$B2529)+COUNTIF(S2508:U2525,$B2529&amp;" ~*")&gt;0)+(IFERROR(INDEX(Setup!$G$33:$G$40,MATCH(W2529,Setup!$B$33:$B$40,0)),0)=1)*(COUNTIF(W2508:W2525,$B2529)+COUNTIF(W2508:W2525,$B2529&amp;" ~*")&gt;0)+(IFERROR(INDEX(Setup!$G$33:$G$40,MATCH(Y2529,Setup!$B$33:$B$40,0)),0)=1)*(COUNTIF(Y2508:Y2525,$B2529)+COUNTIF(Y2508:Y2525,$B2529&amp;" ~*")&gt;0))</f>
        <v/>
      </c>
    </row>
    <row r="2530" ht="15" customHeight="1">
      <c r="A2530" t="n">
        <v>51</v>
      </c>
      <c r="B2530" s="37">
        <f>IF(Setup!$B$9="","",Setup!$B$9)</f>
        <v/>
      </c>
      <c r="C2530" s="102" t="n"/>
      <c r="D2530" s="103" t="n"/>
      <c r="E2530" s="103" t="n"/>
      <c r="F2530" s="104" t="n"/>
      <c r="G2530" s="102" t="n"/>
      <c r="H2530" s="103" t="n"/>
      <c r="I2530" s="103" t="n"/>
      <c r="J2530" s="104" t="n"/>
      <c r="K2530" s="102" t="n"/>
      <c r="L2530" s="103" t="n"/>
      <c r="M2530" s="103" t="n"/>
      <c r="N2530" s="104" t="n"/>
      <c r="O2530" s="102" t="n"/>
      <c r="P2530" s="103" t="n"/>
      <c r="Q2530" s="103" t="n"/>
      <c r="R2530" s="104" t="n"/>
      <c r="S2530" s="102" t="n"/>
      <c r="T2530" s="103" t="n"/>
      <c r="U2530" s="103" t="n"/>
      <c r="V2530" s="104" t="n"/>
      <c r="W2530" s="102" t="n"/>
      <c r="X2530" s="104" t="n"/>
      <c r="Y2530" s="102" t="n"/>
      <c r="Z2530" s="104" t="n"/>
      <c r="AB2530" s="105">
        <f>IF($B2530="","",(COUNTIF(C2508:E2525,$B2530)+COUNTIF(C2508:E2525,$B2530&amp;" ~*")&gt;0)+(COUNTIF(G2508:I2525,$B2530)+COUNTIF(G2508:I2525,$B2530&amp;" ~*")&gt;0)+(COUNTIF(K2508:M2525,$B2530)+COUNTIF(K2508:M2525,$B2530&amp;" ~*")&gt;0)+(COUNTIF(O2508:Q2525,$B2530)+COUNTIF(O2508:Q2525,$B2530&amp;" ~*")&gt;0)+(COUNTIF(S2508:U2525,$B2530)+COUNTIF(S2508:U2525,$B2530&amp;" ~*")&gt;0)+(COUNTIF(W2508:W2525,$B2530)+COUNTIF(W2508:W2525,$B2530&amp;" ~*")&gt;0)+(COUNTIF(Y2508:Y2525,$B2530)+COUNTIF(Y2508:Y2525,$B2530&amp;" ~*")&gt;0))</f>
        <v/>
      </c>
      <c r="AC2530" s="38">
        <f>IF($B2530="","",(IFERROR(INDEX(Setup!$G$33:$G$40,MATCH(C2530,Setup!$B$33:$B$40,0)),0)=1)*(COUNTIF(C2508:E2525,$B2530)+COUNTIF(C2508:E2525,$B2530&amp;" ~*")&gt;0)+(IFERROR(INDEX(Setup!$G$33:$G$40,MATCH(G2530,Setup!$B$33:$B$40,0)),0)=1)*(COUNTIF(G2508:I2525,$B2530)+COUNTIF(G2508:I2525,$B2530&amp;" ~*")&gt;0)+(IFERROR(INDEX(Setup!$G$33:$G$40,MATCH(K2530,Setup!$B$33:$B$40,0)),0)=1)*(COUNTIF(K2508:M2525,$B2530)+COUNTIF(K2508:M2525,$B2530&amp;" ~*")&gt;0)+(IFERROR(INDEX(Setup!$G$33:$G$40,MATCH(O2530,Setup!$B$33:$B$40,0)),0)=1)*(COUNTIF(O2508:Q2525,$B2530)+COUNTIF(O2508:Q2525,$B2530&amp;" ~*")&gt;0)+(IFERROR(INDEX(Setup!$G$33:$G$40,MATCH(S2530,Setup!$B$33:$B$40,0)),0)=1)*(COUNTIF(S2508:U2525,$B2530)+COUNTIF(S2508:U2525,$B2530&amp;" ~*")&gt;0)+(IFERROR(INDEX(Setup!$G$33:$G$40,MATCH(W2530,Setup!$B$33:$B$40,0)),0)=1)*(COUNTIF(W2508:W2525,$B2530)+COUNTIF(W2508:W2525,$B2530&amp;" ~*")&gt;0)+(IFERROR(INDEX(Setup!$G$33:$G$40,MATCH(Y2530,Setup!$B$33:$B$40,0)),0)=1)*(COUNTIF(Y2508:Y2525,$B2530)+COUNTIF(Y2508:Y2525,$B2530&amp;" ~*")&gt;0))</f>
        <v/>
      </c>
    </row>
    <row r="2531" ht="15" customHeight="1">
      <c r="A2531" t="n">
        <v>51</v>
      </c>
      <c r="B2531" s="35">
        <f>IF(Setup!$B$10="","",Setup!$B$10)</f>
        <v/>
      </c>
      <c r="C2531" s="98" t="n"/>
      <c r="D2531" s="99" t="n"/>
      <c r="E2531" s="99" t="n"/>
      <c r="F2531" s="100" t="n"/>
      <c r="G2531" s="98" t="n"/>
      <c r="H2531" s="99" t="n"/>
      <c r="I2531" s="99" t="n"/>
      <c r="J2531" s="100" t="n"/>
      <c r="K2531" s="98" t="n"/>
      <c r="L2531" s="99" t="n"/>
      <c r="M2531" s="99" t="n"/>
      <c r="N2531" s="100" t="n"/>
      <c r="O2531" s="98" t="n"/>
      <c r="P2531" s="99" t="n"/>
      <c r="Q2531" s="99" t="n"/>
      <c r="R2531" s="100" t="n"/>
      <c r="S2531" s="98" t="n"/>
      <c r="T2531" s="99" t="n"/>
      <c r="U2531" s="99" t="n"/>
      <c r="V2531" s="100" t="n"/>
      <c r="W2531" s="98" t="n"/>
      <c r="X2531" s="100" t="n"/>
      <c r="Y2531" s="98" t="n"/>
      <c r="Z2531" s="100" t="n"/>
      <c r="AB2531" s="101">
        <f>IF($B2531="","",(COUNTIF(C2508:E2525,$B2531)+COUNTIF(C2508:E2525,$B2531&amp;" ~*")&gt;0)+(COUNTIF(G2508:I2525,$B2531)+COUNTIF(G2508:I2525,$B2531&amp;" ~*")&gt;0)+(COUNTIF(K2508:M2525,$B2531)+COUNTIF(K2508:M2525,$B2531&amp;" ~*")&gt;0)+(COUNTIF(O2508:Q2525,$B2531)+COUNTIF(O2508:Q2525,$B2531&amp;" ~*")&gt;0)+(COUNTIF(S2508:U2525,$B2531)+COUNTIF(S2508:U2525,$B2531&amp;" ~*")&gt;0)+(COUNTIF(W2508:W2525,$B2531)+COUNTIF(W2508:W2525,$B2531&amp;" ~*")&gt;0)+(COUNTIF(Y2508:Y2525,$B2531)+COUNTIF(Y2508:Y2525,$B2531&amp;" ~*")&gt;0))</f>
        <v/>
      </c>
      <c r="AC2531" s="36">
        <f>IF($B2531="","",(IFERROR(INDEX(Setup!$G$33:$G$40,MATCH(C2531,Setup!$B$33:$B$40,0)),0)=1)*(COUNTIF(C2508:E2525,$B2531)+COUNTIF(C2508:E2525,$B2531&amp;" ~*")&gt;0)+(IFERROR(INDEX(Setup!$G$33:$G$40,MATCH(G2531,Setup!$B$33:$B$40,0)),0)=1)*(COUNTIF(G2508:I2525,$B2531)+COUNTIF(G2508:I2525,$B2531&amp;" ~*")&gt;0)+(IFERROR(INDEX(Setup!$G$33:$G$40,MATCH(K2531,Setup!$B$33:$B$40,0)),0)=1)*(COUNTIF(K2508:M2525,$B2531)+COUNTIF(K2508:M2525,$B2531&amp;" ~*")&gt;0)+(IFERROR(INDEX(Setup!$G$33:$G$40,MATCH(O2531,Setup!$B$33:$B$40,0)),0)=1)*(COUNTIF(O2508:Q2525,$B2531)+COUNTIF(O2508:Q2525,$B2531&amp;" ~*")&gt;0)+(IFERROR(INDEX(Setup!$G$33:$G$40,MATCH(S2531,Setup!$B$33:$B$40,0)),0)=1)*(COUNTIF(S2508:U2525,$B2531)+COUNTIF(S2508:U2525,$B2531&amp;" ~*")&gt;0)+(IFERROR(INDEX(Setup!$G$33:$G$40,MATCH(W2531,Setup!$B$33:$B$40,0)),0)=1)*(COUNTIF(W2508:W2525,$B2531)+COUNTIF(W2508:W2525,$B2531&amp;" ~*")&gt;0)+(IFERROR(INDEX(Setup!$G$33:$G$40,MATCH(Y2531,Setup!$B$33:$B$40,0)),0)=1)*(COUNTIF(Y2508:Y2525,$B2531)+COUNTIF(Y2508:Y2525,$B2531&amp;" ~*")&gt;0))</f>
        <v/>
      </c>
    </row>
    <row r="2532" ht="15" customHeight="1">
      <c r="A2532" t="n">
        <v>51</v>
      </c>
      <c r="B2532" s="37">
        <f>IF(Setup!$B$11="","",Setup!$B$11)</f>
        <v/>
      </c>
      <c r="C2532" s="102" t="n"/>
      <c r="D2532" s="103" t="n"/>
      <c r="E2532" s="103" t="n"/>
      <c r="F2532" s="104" t="n"/>
      <c r="G2532" s="102" t="n"/>
      <c r="H2532" s="103" t="n"/>
      <c r="I2532" s="103" t="n"/>
      <c r="J2532" s="104" t="n"/>
      <c r="K2532" s="102" t="n"/>
      <c r="L2532" s="103" t="n"/>
      <c r="M2532" s="103" t="n"/>
      <c r="N2532" s="104" t="n"/>
      <c r="O2532" s="102" t="n"/>
      <c r="P2532" s="103" t="n"/>
      <c r="Q2532" s="103" t="n"/>
      <c r="R2532" s="104" t="n"/>
      <c r="S2532" s="102" t="n"/>
      <c r="T2532" s="103" t="n"/>
      <c r="U2532" s="103" t="n"/>
      <c r="V2532" s="104" t="n"/>
      <c r="W2532" s="102" t="n"/>
      <c r="X2532" s="104" t="n"/>
      <c r="Y2532" s="102" t="n"/>
      <c r="Z2532" s="104" t="n"/>
      <c r="AB2532" s="105">
        <f>IF($B2532="","",(COUNTIF(C2508:E2525,$B2532)+COUNTIF(C2508:E2525,$B2532&amp;" ~*")&gt;0)+(COUNTIF(G2508:I2525,$B2532)+COUNTIF(G2508:I2525,$B2532&amp;" ~*")&gt;0)+(COUNTIF(K2508:M2525,$B2532)+COUNTIF(K2508:M2525,$B2532&amp;" ~*")&gt;0)+(COUNTIF(O2508:Q2525,$B2532)+COUNTIF(O2508:Q2525,$B2532&amp;" ~*")&gt;0)+(COUNTIF(S2508:U2525,$B2532)+COUNTIF(S2508:U2525,$B2532&amp;" ~*")&gt;0)+(COUNTIF(W2508:W2525,$B2532)+COUNTIF(W2508:W2525,$B2532&amp;" ~*")&gt;0)+(COUNTIF(Y2508:Y2525,$B2532)+COUNTIF(Y2508:Y2525,$B2532&amp;" ~*")&gt;0))</f>
        <v/>
      </c>
      <c r="AC2532" s="38">
        <f>IF($B2532="","",(IFERROR(INDEX(Setup!$G$33:$G$40,MATCH(C2532,Setup!$B$33:$B$40,0)),0)=1)*(COUNTIF(C2508:E2525,$B2532)+COUNTIF(C2508:E2525,$B2532&amp;" ~*")&gt;0)+(IFERROR(INDEX(Setup!$G$33:$G$40,MATCH(G2532,Setup!$B$33:$B$40,0)),0)=1)*(COUNTIF(G2508:I2525,$B2532)+COUNTIF(G2508:I2525,$B2532&amp;" ~*")&gt;0)+(IFERROR(INDEX(Setup!$G$33:$G$40,MATCH(K2532,Setup!$B$33:$B$40,0)),0)=1)*(COUNTIF(K2508:M2525,$B2532)+COUNTIF(K2508:M2525,$B2532&amp;" ~*")&gt;0)+(IFERROR(INDEX(Setup!$G$33:$G$40,MATCH(O2532,Setup!$B$33:$B$40,0)),0)=1)*(COUNTIF(O2508:Q2525,$B2532)+COUNTIF(O2508:Q2525,$B2532&amp;" ~*")&gt;0)+(IFERROR(INDEX(Setup!$G$33:$G$40,MATCH(S2532,Setup!$B$33:$B$40,0)),0)=1)*(COUNTIF(S2508:U2525,$B2532)+COUNTIF(S2508:U2525,$B2532&amp;" ~*")&gt;0)+(IFERROR(INDEX(Setup!$G$33:$G$40,MATCH(W2532,Setup!$B$33:$B$40,0)),0)=1)*(COUNTIF(W2508:W2525,$B2532)+COUNTIF(W2508:W2525,$B2532&amp;" ~*")&gt;0)+(IFERROR(INDEX(Setup!$G$33:$G$40,MATCH(Y2532,Setup!$B$33:$B$40,0)),0)=1)*(COUNTIF(Y2508:Y2525,$B2532)+COUNTIF(Y2508:Y2525,$B2532&amp;" ~*")&gt;0))</f>
        <v/>
      </c>
    </row>
    <row r="2533" ht="15" customHeight="1">
      <c r="A2533" t="n">
        <v>51</v>
      </c>
      <c r="B2533" s="35">
        <f>IF(Setup!$B$12="","",Setup!$B$12)</f>
        <v/>
      </c>
      <c r="C2533" s="98" t="n"/>
      <c r="D2533" s="99" t="n"/>
      <c r="E2533" s="99" t="n"/>
      <c r="F2533" s="100" t="n"/>
      <c r="G2533" s="98" t="n"/>
      <c r="H2533" s="99" t="n"/>
      <c r="I2533" s="99" t="n"/>
      <c r="J2533" s="100" t="n"/>
      <c r="K2533" s="98" t="n"/>
      <c r="L2533" s="99" t="n"/>
      <c r="M2533" s="99" t="n"/>
      <c r="N2533" s="100" t="n"/>
      <c r="O2533" s="98" t="n"/>
      <c r="P2533" s="99" t="n"/>
      <c r="Q2533" s="99" t="n"/>
      <c r="R2533" s="100" t="n"/>
      <c r="S2533" s="98" t="inlineStr">
        <is>
          <t>AL</t>
        </is>
      </c>
      <c r="T2533" s="99" t="n"/>
      <c r="U2533" s="99" t="n"/>
      <c r="V2533" s="100" t="n"/>
      <c r="W2533" s="98" t="n"/>
      <c r="X2533" s="100" t="n"/>
      <c r="Y2533" s="98" t="n"/>
      <c r="Z2533" s="100" t="n"/>
      <c r="AB2533" s="101">
        <f>IF($B2533="","",(COUNTIF(C2508:E2525,$B2533)+COUNTIF(C2508:E2525,$B2533&amp;" ~*")&gt;0)+(COUNTIF(G2508:I2525,$B2533)+COUNTIF(G2508:I2525,$B2533&amp;" ~*")&gt;0)+(COUNTIF(K2508:M2525,$B2533)+COUNTIF(K2508:M2525,$B2533&amp;" ~*")&gt;0)+(COUNTIF(O2508:Q2525,$B2533)+COUNTIF(O2508:Q2525,$B2533&amp;" ~*")&gt;0)+(COUNTIF(S2508:U2525,$B2533)+COUNTIF(S2508:U2525,$B2533&amp;" ~*")&gt;0)+(COUNTIF(W2508:W2525,$B2533)+COUNTIF(W2508:W2525,$B2533&amp;" ~*")&gt;0)+(COUNTIF(Y2508:Y2525,$B2533)+COUNTIF(Y2508:Y2525,$B2533&amp;" ~*")&gt;0))</f>
        <v/>
      </c>
      <c r="AC2533" s="36">
        <f>IF($B2533="","",(IFERROR(INDEX(Setup!$G$33:$G$40,MATCH(C2533,Setup!$B$33:$B$40,0)),0)=1)*(COUNTIF(C2508:E2525,$B2533)+COUNTIF(C2508:E2525,$B2533&amp;" ~*")&gt;0)+(IFERROR(INDEX(Setup!$G$33:$G$40,MATCH(G2533,Setup!$B$33:$B$40,0)),0)=1)*(COUNTIF(G2508:I2525,$B2533)+COUNTIF(G2508:I2525,$B2533&amp;" ~*")&gt;0)+(IFERROR(INDEX(Setup!$G$33:$G$40,MATCH(K2533,Setup!$B$33:$B$40,0)),0)=1)*(COUNTIF(K2508:M2525,$B2533)+COUNTIF(K2508:M2525,$B2533&amp;" ~*")&gt;0)+(IFERROR(INDEX(Setup!$G$33:$G$40,MATCH(O2533,Setup!$B$33:$B$40,0)),0)=1)*(COUNTIF(O2508:Q2525,$B2533)+COUNTIF(O2508:Q2525,$B2533&amp;" ~*")&gt;0)+(IFERROR(INDEX(Setup!$G$33:$G$40,MATCH(S2533,Setup!$B$33:$B$40,0)),0)=1)*(COUNTIF(S2508:U2525,$B2533)+COUNTIF(S2508:U2525,$B2533&amp;" ~*")&gt;0)+(IFERROR(INDEX(Setup!$G$33:$G$40,MATCH(W2533,Setup!$B$33:$B$40,0)),0)=1)*(COUNTIF(W2508:W2525,$B2533)+COUNTIF(W2508:W2525,$B2533&amp;" ~*")&gt;0)+(IFERROR(INDEX(Setup!$G$33:$G$40,MATCH(Y2533,Setup!$B$33:$B$40,0)),0)=1)*(COUNTIF(Y2508:Y2525,$B2533)+COUNTIF(Y2508:Y2525,$B2533&amp;" ~*")&gt;0))</f>
        <v/>
      </c>
    </row>
    <row r="2534" ht="15" customHeight="1">
      <c r="A2534" t="n">
        <v>51</v>
      </c>
      <c r="B2534" s="37">
        <f>IF(Setup!$B$13="","",Setup!$B$13)</f>
        <v/>
      </c>
      <c r="C2534" s="102" t="n"/>
      <c r="D2534" s="103" t="n"/>
      <c r="E2534" s="103" t="n"/>
      <c r="F2534" s="104" t="n"/>
      <c r="G2534" s="102" t="n"/>
      <c r="H2534" s="103" t="n"/>
      <c r="I2534" s="103" t="n"/>
      <c r="J2534" s="104" t="n"/>
      <c r="K2534" s="102" t="inlineStr">
        <is>
          <t>AL</t>
        </is>
      </c>
      <c r="L2534" s="103" t="n"/>
      <c r="M2534" s="103" t="n"/>
      <c r="N2534" s="104" t="n"/>
      <c r="O2534" s="102" t="inlineStr">
        <is>
          <t>AL</t>
        </is>
      </c>
      <c r="P2534" s="103" t="n"/>
      <c r="Q2534" s="103" t="n"/>
      <c r="R2534" s="104" t="n"/>
      <c r="S2534" s="102" t="inlineStr">
        <is>
          <t>AL</t>
        </is>
      </c>
      <c r="T2534" s="103" t="n"/>
      <c r="U2534" s="103" t="n"/>
      <c r="V2534" s="104" t="n"/>
      <c r="W2534" s="102" t="n"/>
      <c r="X2534" s="104" t="n"/>
      <c r="Y2534" s="102" t="n"/>
      <c r="Z2534" s="104" t="n"/>
      <c r="AB2534" s="105">
        <f>IF($B2534="","",(COUNTIF(C2508:E2525,$B2534)+COUNTIF(C2508:E2525,$B2534&amp;" ~*")&gt;0)+(COUNTIF(G2508:I2525,$B2534)+COUNTIF(G2508:I2525,$B2534&amp;" ~*")&gt;0)+(COUNTIF(K2508:M2525,$B2534)+COUNTIF(K2508:M2525,$B2534&amp;" ~*")&gt;0)+(COUNTIF(O2508:Q2525,$B2534)+COUNTIF(O2508:Q2525,$B2534&amp;" ~*")&gt;0)+(COUNTIF(S2508:U2525,$B2534)+COUNTIF(S2508:U2525,$B2534&amp;" ~*")&gt;0)+(COUNTIF(W2508:W2525,$B2534)+COUNTIF(W2508:W2525,$B2534&amp;" ~*")&gt;0)+(COUNTIF(Y2508:Y2525,$B2534)+COUNTIF(Y2508:Y2525,$B2534&amp;" ~*")&gt;0))</f>
        <v/>
      </c>
      <c r="AC2534" s="38">
        <f>IF($B2534="","",(IFERROR(INDEX(Setup!$G$33:$G$40,MATCH(C2534,Setup!$B$33:$B$40,0)),0)=1)*(COUNTIF(C2508:E2525,$B2534)+COUNTIF(C2508:E2525,$B2534&amp;" ~*")&gt;0)+(IFERROR(INDEX(Setup!$G$33:$G$40,MATCH(G2534,Setup!$B$33:$B$40,0)),0)=1)*(COUNTIF(G2508:I2525,$B2534)+COUNTIF(G2508:I2525,$B2534&amp;" ~*")&gt;0)+(IFERROR(INDEX(Setup!$G$33:$G$40,MATCH(K2534,Setup!$B$33:$B$40,0)),0)=1)*(COUNTIF(K2508:M2525,$B2534)+COUNTIF(K2508:M2525,$B2534&amp;" ~*")&gt;0)+(IFERROR(INDEX(Setup!$G$33:$G$40,MATCH(O2534,Setup!$B$33:$B$40,0)),0)=1)*(COUNTIF(O2508:Q2525,$B2534)+COUNTIF(O2508:Q2525,$B2534&amp;" ~*")&gt;0)+(IFERROR(INDEX(Setup!$G$33:$G$40,MATCH(S2534,Setup!$B$33:$B$40,0)),0)=1)*(COUNTIF(S2508:U2525,$B2534)+COUNTIF(S2508:U2525,$B2534&amp;" ~*")&gt;0)+(IFERROR(INDEX(Setup!$G$33:$G$40,MATCH(W2534,Setup!$B$33:$B$40,0)),0)=1)*(COUNTIF(W2508:W2525,$B2534)+COUNTIF(W2508:W2525,$B2534&amp;" ~*")&gt;0)+(IFERROR(INDEX(Setup!$G$33:$G$40,MATCH(Y2534,Setup!$B$33:$B$40,0)),0)=1)*(COUNTIF(Y2508:Y2525,$B2534)+COUNTIF(Y2508:Y2525,$B2534&amp;" ~*")&gt;0))</f>
        <v/>
      </c>
    </row>
    <row r="2535" ht="15" customHeight="1">
      <c r="A2535" t="n">
        <v>51</v>
      </c>
      <c r="B2535" s="35">
        <f>IF(Setup!$B$14="","",Setup!$B$14)</f>
        <v/>
      </c>
      <c r="C2535" s="98" t="n"/>
      <c r="D2535" s="99" t="n"/>
      <c r="E2535" s="99" t="n"/>
      <c r="F2535" s="100" t="n"/>
      <c r="G2535" s="98" t="n"/>
      <c r="H2535" s="99" t="n"/>
      <c r="I2535" s="99" t="n"/>
      <c r="J2535" s="100" t="n"/>
      <c r="K2535" s="98" t="n"/>
      <c r="L2535" s="99" t="n"/>
      <c r="M2535" s="99" t="n"/>
      <c r="N2535" s="100" t="n"/>
      <c r="O2535" s="98" t="n"/>
      <c r="P2535" s="99" t="n"/>
      <c r="Q2535" s="99" t="n"/>
      <c r="R2535" s="100" t="n"/>
      <c r="S2535" s="98" t="n"/>
      <c r="T2535" s="99" t="n"/>
      <c r="U2535" s="99" t="n"/>
      <c r="V2535" s="100" t="n"/>
      <c r="W2535" s="98" t="n"/>
      <c r="X2535" s="100" t="n"/>
      <c r="Y2535" s="98" t="n"/>
      <c r="Z2535" s="100" t="n"/>
      <c r="AB2535" s="101">
        <f>IF($B2535="","",(COUNTIF(C2508:E2525,$B2535)+COUNTIF(C2508:E2525,$B2535&amp;" ~*")&gt;0)+(COUNTIF(G2508:I2525,$B2535)+COUNTIF(G2508:I2525,$B2535&amp;" ~*")&gt;0)+(COUNTIF(K2508:M2525,$B2535)+COUNTIF(K2508:M2525,$B2535&amp;" ~*")&gt;0)+(COUNTIF(O2508:Q2525,$B2535)+COUNTIF(O2508:Q2525,$B2535&amp;" ~*")&gt;0)+(COUNTIF(S2508:U2525,$B2535)+COUNTIF(S2508:U2525,$B2535&amp;" ~*")&gt;0)+(COUNTIF(W2508:W2525,$B2535)+COUNTIF(W2508:W2525,$B2535&amp;" ~*")&gt;0)+(COUNTIF(Y2508:Y2525,$B2535)+COUNTIF(Y2508:Y2525,$B2535&amp;" ~*")&gt;0))</f>
        <v/>
      </c>
      <c r="AC2535" s="36">
        <f>IF($B2535="","",(IFERROR(INDEX(Setup!$G$33:$G$40,MATCH(C2535,Setup!$B$33:$B$40,0)),0)=1)*(COUNTIF(C2508:E2525,$B2535)+COUNTIF(C2508:E2525,$B2535&amp;" ~*")&gt;0)+(IFERROR(INDEX(Setup!$G$33:$G$40,MATCH(G2535,Setup!$B$33:$B$40,0)),0)=1)*(COUNTIF(G2508:I2525,$B2535)+COUNTIF(G2508:I2525,$B2535&amp;" ~*")&gt;0)+(IFERROR(INDEX(Setup!$G$33:$G$40,MATCH(K2535,Setup!$B$33:$B$40,0)),0)=1)*(COUNTIF(K2508:M2525,$B2535)+COUNTIF(K2508:M2525,$B2535&amp;" ~*")&gt;0)+(IFERROR(INDEX(Setup!$G$33:$G$40,MATCH(O2535,Setup!$B$33:$B$40,0)),0)=1)*(COUNTIF(O2508:Q2525,$B2535)+COUNTIF(O2508:Q2525,$B2535&amp;" ~*")&gt;0)+(IFERROR(INDEX(Setup!$G$33:$G$40,MATCH(S2535,Setup!$B$33:$B$40,0)),0)=1)*(COUNTIF(S2508:U2525,$B2535)+COUNTIF(S2508:U2525,$B2535&amp;" ~*")&gt;0)+(IFERROR(INDEX(Setup!$G$33:$G$40,MATCH(W2535,Setup!$B$33:$B$40,0)),0)=1)*(COUNTIF(W2508:W2525,$B2535)+COUNTIF(W2508:W2525,$B2535&amp;" ~*")&gt;0)+(IFERROR(INDEX(Setup!$G$33:$G$40,MATCH(Y2535,Setup!$B$33:$B$40,0)),0)=1)*(COUNTIF(Y2508:Y2525,$B2535)+COUNTIF(Y2508:Y2525,$B2535&amp;" ~*")&gt;0))</f>
        <v/>
      </c>
    </row>
    <row r="2536" ht="15" customHeight="1">
      <c r="A2536" t="n">
        <v>51</v>
      </c>
      <c r="B2536" s="37">
        <f>IF(Setup!$B$15="","",Setup!$B$15)</f>
        <v/>
      </c>
      <c r="C2536" s="102" t="inlineStr">
        <is>
          <t>AL</t>
        </is>
      </c>
      <c r="D2536" s="103" t="n"/>
      <c r="E2536" s="103" t="n"/>
      <c r="F2536" s="104" t="n"/>
      <c r="G2536" s="102" t="inlineStr">
        <is>
          <t>AL</t>
        </is>
      </c>
      <c r="H2536" s="103" t="n"/>
      <c r="I2536" s="103" t="n"/>
      <c r="J2536" s="104" t="n"/>
      <c r="K2536" s="102" t="inlineStr">
        <is>
          <t>AL</t>
        </is>
      </c>
      <c r="L2536" s="103" t="n"/>
      <c r="M2536" s="103" t="n"/>
      <c r="N2536" s="104" t="n"/>
      <c r="O2536" s="102" t="inlineStr">
        <is>
          <t>AL</t>
        </is>
      </c>
      <c r="P2536" s="103" t="n"/>
      <c r="Q2536" s="103" t="n"/>
      <c r="R2536" s="104" t="n"/>
      <c r="S2536" s="102" t="inlineStr">
        <is>
          <t>AL</t>
        </is>
      </c>
      <c r="T2536" s="103" t="n"/>
      <c r="U2536" s="103" t="n"/>
      <c r="V2536" s="104" t="n"/>
      <c r="W2536" s="102" t="n"/>
      <c r="X2536" s="104" t="n"/>
      <c r="Y2536" s="102" t="n"/>
      <c r="Z2536" s="104" t="n"/>
      <c r="AB2536" s="105">
        <f>IF($B2536="","",(COUNTIF(C2508:E2525,$B2536)+COUNTIF(C2508:E2525,$B2536&amp;" ~*")&gt;0)+(COUNTIF(G2508:I2525,$B2536)+COUNTIF(G2508:I2525,$B2536&amp;" ~*")&gt;0)+(COUNTIF(K2508:M2525,$B2536)+COUNTIF(K2508:M2525,$B2536&amp;" ~*")&gt;0)+(COUNTIF(O2508:Q2525,$B2536)+COUNTIF(O2508:Q2525,$B2536&amp;" ~*")&gt;0)+(COUNTIF(S2508:U2525,$B2536)+COUNTIF(S2508:U2525,$B2536&amp;" ~*")&gt;0)+(COUNTIF(W2508:W2525,$B2536)+COUNTIF(W2508:W2525,$B2536&amp;" ~*")&gt;0)+(COUNTIF(Y2508:Y2525,$B2536)+COUNTIF(Y2508:Y2525,$B2536&amp;" ~*")&gt;0))</f>
        <v/>
      </c>
      <c r="AC2536" s="38">
        <f>IF($B2536="","",(IFERROR(INDEX(Setup!$G$33:$G$40,MATCH(C2536,Setup!$B$33:$B$40,0)),0)=1)*(COUNTIF(C2508:E2525,$B2536)+COUNTIF(C2508:E2525,$B2536&amp;" ~*")&gt;0)+(IFERROR(INDEX(Setup!$G$33:$G$40,MATCH(G2536,Setup!$B$33:$B$40,0)),0)=1)*(COUNTIF(G2508:I2525,$B2536)+COUNTIF(G2508:I2525,$B2536&amp;" ~*")&gt;0)+(IFERROR(INDEX(Setup!$G$33:$G$40,MATCH(K2536,Setup!$B$33:$B$40,0)),0)=1)*(COUNTIF(K2508:M2525,$B2536)+COUNTIF(K2508:M2525,$B2536&amp;" ~*")&gt;0)+(IFERROR(INDEX(Setup!$G$33:$G$40,MATCH(O2536,Setup!$B$33:$B$40,0)),0)=1)*(COUNTIF(O2508:Q2525,$B2536)+COUNTIF(O2508:Q2525,$B2536&amp;" ~*")&gt;0)+(IFERROR(INDEX(Setup!$G$33:$G$40,MATCH(S2536,Setup!$B$33:$B$40,0)),0)=1)*(COUNTIF(S2508:U2525,$B2536)+COUNTIF(S2508:U2525,$B2536&amp;" ~*")&gt;0)+(IFERROR(INDEX(Setup!$G$33:$G$40,MATCH(W2536,Setup!$B$33:$B$40,0)),0)=1)*(COUNTIF(W2508:W2525,$B2536)+COUNTIF(W2508:W2525,$B2536&amp;" ~*")&gt;0)+(IFERROR(INDEX(Setup!$G$33:$G$40,MATCH(Y2536,Setup!$B$33:$B$40,0)),0)=1)*(COUNTIF(Y2508:Y2525,$B2536)+COUNTIF(Y2508:Y2525,$B2536&amp;" ~*")&gt;0))</f>
        <v/>
      </c>
    </row>
    <row r="2537" ht="15" customHeight="1">
      <c r="A2537" t="n">
        <v>51</v>
      </c>
      <c r="B2537" s="35">
        <f>IF(Setup!$B$16="","",Setup!$B$16)</f>
        <v/>
      </c>
      <c r="C2537" s="98" t="n"/>
      <c r="D2537" s="99" t="n"/>
      <c r="E2537" s="99" t="n"/>
      <c r="F2537" s="100" t="n"/>
      <c r="G2537" s="98" t="n"/>
      <c r="H2537" s="99" t="n"/>
      <c r="I2537" s="99" t="n"/>
      <c r="J2537" s="100" t="n"/>
      <c r="K2537" s="98" t="n"/>
      <c r="L2537" s="99" t="n"/>
      <c r="M2537" s="99" t="n"/>
      <c r="N2537" s="100" t="n"/>
      <c r="O2537" s="98" t="n"/>
      <c r="P2537" s="99" t="n"/>
      <c r="Q2537" s="99" t="n"/>
      <c r="R2537" s="100" t="n"/>
      <c r="S2537" s="98" t="n"/>
      <c r="T2537" s="99" t="n"/>
      <c r="U2537" s="99" t="n"/>
      <c r="V2537" s="100" t="n"/>
      <c r="W2537" s="98" t="n"/>
      <c r="X2537" s="100" t="n"/>
      <c r="Y2537" s="98" t="n"/>
      <c r="Z2537" s="100" t="n"/>
      <c r="AB2537" s="101">
        <f>IF($B2537="","",(COUNTIF(C2508:E2525,$B2537)+COUNTIF(C2508:E2525,$B2537&amp;" ~*")&gt;0)+(COUNTIF(G2508:I2525,$B2537)+COUNTIF(G2508:I2525,$B2537&amp;" ~*")&gt;0)+(COUNTIF(K2508:M2525,$B2537)+COUNTIF(K2508:M2525,$B2537&amp;" ~*")&gt;0)+(COUNTIF(O2508:Q2525,$B2537)+COUNTIF(O2508:Q2525,$B2537&amp;" ~*")&gt;0)+(COUNTIF(S2508:U2525,$B2537)+COUNTIF(S2508:U2525,$B2537&amp;" ~*")&gt;0)+(COUNTIF(W2508:W2525,$B2537)+COUNTIF(W2508:W2525,$B2537&amp;" ~*")&gt;0)+(COUNTIF(Y2508:Y2525,$B2537)+COUNTIF(Y2508:Y2525,$B2537&amp;" ~*")&gt;0))</f>
        <v/>
      </c>
      <c r="AC2537" s="36">
        <f>IF($B2537="","",(IFERROR(INDEX(Setup!$G$33:$G$40,MATCH(C2537,Setup!$B$33:$B$40,0)),0)=1)*(COUNTIF(C2508:E2525,$B2537)+COUNTIF(C2508:E2525,$B2537&amp;" ~*")&gt;0)+(IFERROR(INDEX(Setup!$G$33:$G$40,MATCH(G2537,Setup!$B$33:$B$40,0)),0)=1)*(COUNTIF(G2508:I2525,$B2537)+COUNTIF(G2508:I2525,$B2537&amp;" ~*")&gt;0)+(IFERROR(INDEX(Setup!$G$33:$G$40,MATCH(K2537,Setup!$B$33:$B$40,0)),0)=1)*(COUNTIF(K2508:M2525,$B2537)+COUNTIF(K2508:M2525,$B2537&amp;" ~*")&gt;0)+(IFERROR(INDEX(Setup!$G$33:$G$40,MATCH(O2537,Setup!$B$33:$B$40,0)),0)=1)*(COUNTIF(O2508:Q2525,$B2537)+COUNTIF(O2508:Q2525,$B2537&amp;" ~*")&gt;0)+(IFERROR(INDEX(Setup!$G$33:$G$40,MATCH(S2537,Setup!$B$33:$B$40,0)),0)=1)*(COUNTIF(S2508:U2525,$B2537)+COUNTIF(S2508:U2525,$B2537&amp;" ~*")&gt;0)+(IFERROR(INDEX(Setup!$G$33:$G$40,MATCH(W2537,Setup!$B$33:$B$40,0)),0)=1)*(COUNTIF(W2508:W2525,$B2537)+COUNTIF(W2508:W2525,$B2537&amp;" ~*")&gt;0)+(IFERROR(INDEX(Setup!$G$33:$G$40,MATCH(Y2537,Setup!$B$33:$B$40,0)),0)=1)*(COUNTIF(Y2508:Y2525,$B2537)+COUNTIF(Y2508:Y2525,$B2537&amp;" ~*")&gt;0))</f>
        <v/>
      </c>
    </row>
    <row r="2538" ht="15" customHeight="1">
      <c r="A2538" t="n">
        <v>51</v>
      </c>
      <c r="B2538" s="37">
        <f>IF(Setup!$B$17="","",Setup!$B$17)</f>
        <v/>
      </c>
      <c r="C2538" s="102" t="n"/>
      <c r="D2538" s="103" t="n"/>
      <c r="E2538" s="103" t="n"/>
      <c r="F2538" s="104" t="n"/>
      <c r="G2538" s="102" t="n"/>
      <c r="H2538" s="103" t="n"/>
      <c r="I2538" s="103" t="n"/>
      <c r="J2538" s="104" t="n"/>
      <c r="K2538" s="102" t="n"/>
      <c r="L2538" s="103" t="n"/>
      <c r="M2538" s="103" t="n"/>
      <c r="N2538" s="104" t="n"/>
      <c r="O2538" s="102" t="n"/>
      <c r="P2538" s="103" t="n"/>
      <c r="Q2538" s="103" t="n"/>
      <c r="R2538" s="104" t="n"/>
      <c r="S2538" s="102" t="n"/>
      <c r="T2538" s="103" t="n"/>
      <c r="U2538" s="103" t="n"/>
      <c r="V2538" s="104" t="n"/>
      <c r="W2538" s="102" t="n"/>
      <c r="X2538" s="104" t="n"/>
      <c r="Y2538" s="102" t="n"/>
      <c r="Z2538" s="104" t="n"/>
      <c r="AB2538" s="105">
        <f>IF($B2538="","",(COUNTIF(C2508:E2525,$B2538)+COUNTIF(C2508:E2525,$B2538&amp;" ~*")&gt;0)+(COUNTIF(G2508:I2525,$B2538)+COUNTIF(G2508:I2525,$B2538&amp;" ~*")&gt;0)+(COUNTIF(K2508:M2525,$B2538)+COUNTIF(K2508:M2525,$B2538&amp;" ~*")&gt;0)+(COUNTIF(O2508:Q2525,$B2538)+COUNTIF(O2508:Q2525,$B2538&amp;" ~*")&gt;0)+(COUNTIF(S2508:U2525,$B2538)+COUNTIF(S2508:U2525,$B2538&amp;" ~*")&gt;0)+(COUNTIF(W2508:W2525,$B2538)+COUNTIF(W2508:W2525,$B2538&amp;" ~*")&gt;0)+(COUNTIF(Y2508:Y2525,$B2538)+COUNTIF(Y2508:Y2525,$B2538&amp;" ~*")&gt;0))</f>
        <v/>
      </c>
      <c r="AC2538" s="38">
        <f>IF($B2538="","",(IFERROR(INDEX(Setup!$G$33:$G$40,MATCH(C2538,Setup!$B$33:$B$40,0)),0)=1)*(COUNTIF(C2508:E2525,$B2538)+COUNTIF(C2508:E2525,$B2538&amp;" ~*")&gt;0)+(IFERROR(INDEX(Setup!$G$33:$G$40,MATCH(G2538,Setup!$B$33:$B$40,0)),0)=1)*(COUNTIF(G2508:I2525,$B2538)+COUNTIF(G2508:I2525,$B2538&amp;" ~*")&gt;0)+(IFERROR(INDEX(Setup!$G$33:$G$40,MATCH(K2538,Setup!$B$33:$B$40,0)),0)=1)*(COUNTIF(K2508:M2525,$B2538)+COUNTIF(K2508:M2525,$B2538&amp;" ~*")&gt;0)+(IFERROR(INDEX(Setup!$G$33:$G$40,MATCH(O2538,Setup!$B$33:$B$40,0)),0)=1)*(COUNTIF(O2508:Q2525,$B2538)+COUNTIF(O2508:Q2525,$B2538&amp;" ~*")&gt;0)+(IFERROR(INDEX(Setup!$G$33:$G$40,MATCH(S2538,Setup!$B$33:$B$40,0)),0)=1)*(COUNTIF(S2508:U2525,$B2538)+COUNTIF(S2508:U2525,$B2538&amp;" ~*")&gt;0)+(IFERROR(INDEX(Setup!$G$33:$G$40,MATCH(W2538,Setup!$B$33:$B$40,0)),0)=1)*(COUNTIF(W2508:W2525,$B2538)+COUNTIF(W2508:W2525,$B2538&amp;" ~*")&gt;0)+(IFERROR(INDEX(Setup!$G$33:$G$40,MATCH(Y2538,Setup!$B$33:$B$40,0)),0)=1)*(COUNTIF(Y2508:Y2525,$B2538)+COUNTIF(Y2508:Y2525,$B2538&amp;" ~*")&gt;0))</f>
        <v/>
      </c>
    </row>
    <row r="2539" ht="15" customHeight="1">
      <c r="A2539" t="n">
        <v>51</v>
      </c>
      <c r="B2539" s="35">
        <f>IF(Setup!$B$18="","",Setup!$B$18)</f>
        <v/>
      </c>
      <c r="C2539" s="98" t="n"/>
      <c r="D2539" s="99" t="n"/>
      <c r="E2539" s="99" t="n"/>
      <c r="F2539" s="100" t="n"/>
      <c r="G2539" s="98" t="n"/>
      <c r="H2539" s="99" t="n"/>
      <c r="I2539" s="99" t="n"/>
      <c r="J2539" s="100" t="n"/>
      <c r="K2539" s="98" t="n"/>
      <c r="L2539" s="99" t="n"/>
      <c r="M2539" s="99" t="n"/>
      <c r="N2539" s="100" t="n"/>
      <c r="O2539" s="98" t="n"/>
      <c r="P2539" s="99" t="n"/>
      <c r="Q2539" s="99" t="n"/>
      <c r="R2539" s="100" t="n"/>
      <c r="S2539" s="98" t="n"/>
      <c r="T2539" s="99" t="n"/>
      <c r="U2539" s="99" t="n"/>
      <c r="V2539" s="100" t="n"/>
      <c r="W2539" s="98" t="n"/>
      <c r="X2539" s="100" t="n"/>
      <c r="Y2539" s="98" t="n"/>
      <c r="Z2539" s="100" t="n"/>
      <c r="AB2539" s="101">
        <f>IF($B2539="","",(COUNTIF(C2508:E2525,$B2539)+COUNTIF(C2508:E2525,$B2539&amp;" ~*")&gt;0)+(COUNTIF(G2508:I2525,$B2539)+COUNTIF(G2508:I2525,$B2539&amp;" ~*")&gt;0)+(COUNTIF(K2508:M2525,$B2539)+COUNTIF(K2508:M2525,$B2539&amp;" ~*")&gt;0)+(COUNTIF(O2508:Q2525,$B2539)+COUNTIF(O2508:Q2525,$B2539&amp;" ~*")&gt;0)+(COUNTIF(S2508:U2525,$B2539)+COUNTIF(S2508:U2525,$B2539&amp;" ~*")&gt;0)+(COUNTIF(W2508:W2525,$B2539)+COUNTIF(W2508:W2525,$B2539&amp;" ~*")&gt;0)+(COUNTIF(Y2508:Y2525,$B2539)+COUNTIF(Y2508:Y2525,$B2539&amp;" ~*")&gt;0))</f>
        <v/>
      </c>
      <c r="AC2539" s="36">
        <f>IF($B2539="","",(IFERROR(INDEX(Setup!$G$33:$G$40,MATCH(C2539,Setup!$B$33:$B$40,0)),0)=1)*(COUNTIF(C2508:E2525,$B2539)+COUNTIF(C2508:E2525,$B2539&amp;" ~*")&gt;0)+(IFERROR(INDEX(Setup!$G$33:$G$40,MATCH(G2539,Setup!$B$33:$B$40,0)),0)=1)*(COUNTIF(G2508:I2525,$B2539)+COUNTIF(G2508:I2525,$B2539&amp;" ~*")&gt;0)+(IFERROR(INDEX(Setup!$G$33:$G$40,MATCH(K2539,Setup!$B$33:$B$40,0)),0)=1)*(COUNTIF(K2508:M2525,$B2539)+COUNTIF(K2508:M2525,$B2539&amp;" ~*")&gt;0)+(IFERROR(INDEX(Setup!$G$33:$G$40,MATCH(O2539,Setup!$B$33:$B$40,0)),0)=1)*(COUNTIF(O2508:Q2525,$B2539)+COUNTIF(O2508:Q2525,$B2539&amp;" ~*")&gt;0)+(IFERROR(INDEX(Setup!$G$33:$G$40,MATCH(S2539,Setup!$B$33:$B$40,0)),0)=1)*(COUNTIF(S2508:U2525,$B2539)+COUNTIF(S2508:U2525,$B2539&amp;" ~*")&gt;0)+(IFERROR(INDEX(Setup!$G$33:$G$40,MATCH(W2539,Setup!$B$33:$B$40,0)),0)=1)*(COUNTIF(W2508:W2525,$B2539)+COUNTIF(W2508:W2525,$B2539&amp;" ~*")&gt;0)+(IFERROR(INDEX(Setup!$G$33:$G$40,MATCH(Y2539,Setup!$B$33:$B$40,0)),0)=1)*(COUNTIF(Y2508:Y2525,$B2539)+COUNTIF(Y2508:Y2525,$B2539&amp;" ~*")&gt;0))</f>
        <v/>
      </c>
    </row>
    <row r="2540" ht="15" customHeight="1">
      <c r="A2540" t="n">
        <v>51</v>
      </c>
      <c r="B2540" s="37">
        <f>IF(Setup!$B$19="","",Setup!$B$19)</f>
        <v/>
      </c>
      <c r="C2540" s="102" t="n"/>
      <c r="D2540" s="103" t="n"/>
      <c r="E2540" s="103" t="n"/>
      <c r="F2540" s="104" t="n"/>
      <c r="G2540" s="102" t="n"/>
      <c r="H2540" s="103" t="n"/>
      <c r="I2540" s="103" t="n"/>
      <c r="J2540" s="104" t="n"/>
      <c r="K2540" s="102" t="n"/>
      <c r="L2540" s="103" t="n"/>
      <c r="M2540" s="103" t="n"/>
      <c r="N2540" s="104" t="n"/>
      <c r="O2540" s="102" t="n"/>
      <c r="P2540" s="103" t="n"/>
      <c r="Q2540" s="103" t="n"/>
      <c r="R2540" s="104" t="n"/>
      <c r="S2540" s="102" t="inlineStr">
        <is>
          <t>AL</t>
        </is>
      </c>
      <c r="T2540" s="103" t="n"/>
      <c r="U2540" s="103" t="n"/>
      <c r="V2540" s="104" t="n"/>
      <c r="W2540" s="102" t="n"/>
      <c r="X2540" s="104" t="n"/>
      <c r="Y2540" s="102" t="n"/>
      <c r="Z2540" s="104" t="n"/>
      <c r="AB2540" s="105">
        <f>IF($B2540="","",(COUNTIF(C2508:E2525,$B2540)+COUNTIF(C2508:E2525,$B2540&amp;" ~*")&gt;0)+(COUNTIF(G2508:I2525,$B2540)+COUNTIF(G2508:I2525,$B2540&amp;" ~*")&gt;0)+(COUNTIF(K2508:M2525,$B2540)+COUNTIF(K2508:M2525,$B2540&amp;" ~*")&gt;0)+(COUNTIF(O2508:Q2525,$B2540)+COUNTIF(O2508:Q2525,$B2540&amp;" ~*")&gt;0)+(COUNTIF(S2508:U2525,$B2540)+COUNTIF(S2508:U2525,$B2540&amp;" ~*")&gt;0)+(COUNTIF(W2508:W2525,$B2540)+COUNTIF(W2508:W2525,$B2540&amp;" ~*")&gt;0)+(COUNTIF(Y2508:Y2525,$B2540)+COUNTIF(Y2508:Y2525,$B2540&amp;" ~*")&gt;0))</f>
        <v/>
      </c>
      <c r="AC2540" s="38">
        <f>IF($B2540="","",(IFERROR(INDEX(Setup!$G$33:$G$40,MATCH(C2540,Setup!$B$33:$B$40,0)),0)=1)*(COUNTIF(C2508:E2525,$B2540)+COUNTIF(C2508:E2525,$B2540&amp;" ~*")&gt;0)+(IFERROR(INDEX(Setup!$G$33:$G$40,MATCH(G2540,Setup!$B$33:$B$40,0)),0)=1)*(COUNTIF(G2508:I2525,$B2540)+COUNTIF(G2508:I2525,$B2540&amp;" ~*")&gt;0)+(IFERROR(INDEX(Setup!$G$33:$G$40,MATCH(K2540,Setup!$B$33:$B$40,0)),0)=1)*(COUNTIF(K2508:M2525,$B2540)+COUNTIF(K2508:M2525,$B2540&amp;" ~*")&gt;0)+(IFERROR(INDEX(Setup!$G$33:$G$40,MATCH(O2540,Setup!$B$33:$B$40,0)),0)=1)*(COUNTIF(O2508:Q2525,$B2540)+COUNTIF(O2508:Q2525,$B2540&amp;" ~*")&gt;0)+(IFERROR(INDEX(Setup!$G$33:$G$40,MATCH(S2540,Setup!$B$33:$B$40,0)),0)=1)*(COUNTIF(S2508:U2525,$B2540)+COUNTIF(S2508:U2525,$B2540&amp;" ~*")&gt;0)+(IFERROR(INDEX(Setup!$G$33:$G$40,MATCH(W2540,Setup!$B$33:$B$40,0)),0)=1)*(COUNTIF(W2508:W2525,$B2540)+COUNTIF(W2508:W2525,$B2540&amp;" ~*")&gt;0)+(IFERROR(INDEX(Setup!$G$33:$G$40,MATCH(Y2540,Setup!$B$33:$B$40,0)),0)=1)*(COUNTIF(Y2508:Y2525,$B2540)+COUNTIF(Y2508:Y2525,$B2540&amp;" ~*")&gt;0))</f>
        <v/>
      </c>
    </row>
    <row r="2541" ht="15" customHeight="1">
      <c r="A2541" t="n">
        <v>51</v>
      </c>
      <c r="B2541" s="35">
        <f>IF(Setup!$B$20="","",Setup!$B$20)</f>
        <v/>
      </c>
      <c r="C2541" s="98" t="n"/>
      <c r="D2541" s="99" t="n"/>
      <c r="E2541" s="99" t="n"/>
      <c r="F2541" s="100" t="n"/>
      <c r="G2541" s="98" t="n"/>
      <c r="H2541" s="99" t="n"/>
      <c r="I2541" s="99" t="n"/>
      <c r="J2541" s="100" t="n"/>
      <c r="K2541" s="98" t="n"/>
      <c r="L2541" s="99" t="n"/>
      <c r="M2541" s="99" t="n"/>
      <c r="N2541" s="100" t="n"/>
      <c r="O2541" s="98" t="n"/>
      <c r="P2541" s="99" t="n"/>
      <c r="Q2541" s="99" t="n"/>
      <c r="R2541" s="100" t="n"/>
      <c r="S2541" s="98" t="n"/>
      <c r="T2541" s="99" t="n"/>
      <c r="U2541" s="99" t="n"/>
      <c r="V2541" s="100" t="n"/>
      <c r="W2541" s="98" t="n"/>
      <c r="X2541" s="100" t="n"/>
      <c r="Y2541" s="98" t="n"/>
      <c r="Z2541" s="100" t="n"/>
      <c r="AB2541" s="101">
        <f>IF($B2541="","",(COUNTIF(C2508:E2525,$B2541)+COUNTIF(C2508:E2525,$B2541&amp;" ~*")&gt;0)+(COUNTIF(G2508:I2525,$B2541)+COUNTIF(G2508:I2525,$B2541&amp;" ~*")&gt;0)+(COUNTIF(K2508:M2525,$B2541)+COUNTIF(K2508:M2525,$B2541&amp;" ~*")&gt;0)+(COUNTIF(O2508:Q2525,$B2541)+COUNTIF(O2508:Q2525,$B2541&amp;" ~*")&gt;0)+(COUNTIF(S2508:U2525,$B2541)+COUNTIF(S2508:U2525,$B2541&amp;" ~*")&gt;0)+(COUNTIF(W2508:W2525,$B2541)+COUNTIF(W2508:W2525,$B2541&amp;" ~*")&gt;0)+(COUNTIF(Y2508:Y2525,$B2541)+COUNTIF(Y2508:Y2525,$B2541&amp;" ~*")&gt;0))</f>
        <v/>
      </c>
      <c r="AC2541" s="36">
        <f>IF($B2541="","",(IFERROR(INDEX(Setup!$G$33:$G$40,MATCH(C2541,Setup!$B$33:$B$40,0)),0)=1)*(COUNTIF(C2508:E2525,$B2541)+COUNTIF(C2508:E2525,$B2541&amp;" ~*")&gt;0)+(IFERROR(INDEX(Setup!$G$33:$G$40,MATCH(G2541,Setup!$B$33:$B$40,0)),0)=1)*(COUNTIF(G2508:I2525,$B2541)+COUNTIF(G2508:I2525,$B2541&amp;" ~*")&gt;0)+(IFERROR(INDEX(Setup!$G$33:$G$40,MATCH(K2541,Setup!$B$33:$B$40,0)),0)=1)*(COUNTIF(K2508:M2525,$B2541)+COUNTIF(K2508:M2525,$B2541&amp;" ~*")&gt;0)+(IFERROR(INDEX(Setup!$G$33:$G$40,MATCH(O2541,Setup!$B$33:$B$40,0)),0)=1)*(COUNTIF(O2508:Q2525,$B2541)+COUNTIF(O2508:Q2525,$B2541&amp;" ~*")&gt;0)+(IFERROR(INDEX(Setup!$G$33:$G$40,MATCH(S2541,Setup!$B$33:$B$40,0)),0)=1)*(COUNTIF(S2508:U2525,$B2541)+COUNTIF(S2508:U2525,$B2541&amp;" ~*")&gt;0)+(IFERROR(INDEX(Setup!$G$33:$G$40,MATCH(W2541,Setup!$B$33:$B$40,0)),0)=1)*(COUNTIF(W2508:W2525,$B2541)+COUNTIF(W2508:W2525,$B2541&amp;" ~*")&gt;0)+(IFERROR(INDEX(Setup!$G$33:$G$40,MATCH(Y2541,Setup!$B$33:$B$40,0)),0)=1)*(COUNTIF(Y2508:Y2525,$B2541)+COUNTIF(Y2508:Y2525,$B2541&amp;" ~*")&gt;0))</f>
        <v/>
      </c>
    </row>
    <row r="2542" ht="15" customHeight="1">
      <c r="A2542" t="n">
        <v>51</v>
      </c>
      <c r="B2542" s="37">
        <f>IF(Setup!$B$21="","",Setup!$B$21)</f>
        <v/>
      </c>
      <c r="C2542" s="102" t="n"/>
      <c r="D2542" s="103" t="n"/>
      <c r="E2542" s="103" t="n"/>
      <c r="F2542" s="104" t="n"/>
      <c r="G2542" s="102" t="n"/>
      <c r="H2542" s="103" t="n"/>
      <c r="I2542" s="103" t="n"/>
      <c r="J2542" s="104" t="n"/>
      <c r="K2542" s="102" t="n"/>
      <c r="L2542" s="103" t="n"/>
      <c r="M2542" s="103" t="n"/>
      <c r="N2542" s="104" t="n"/>
      <c r="O2542" s="102" t="n"/>
      <c r="P2542" s="103" t="n"/>
      <c r="Q2542" s="103" t="n"/>
      <c r="R2542" s="104" t="n"/>
      <c r="S2542" s="102" t="n"/>
      <c r="T2542" s="103" t="n"/>
      <c r="U2542" s="103" t="n"/>
      <c r="V2542" s="104" t="n"/>
      <c r="W2542" s="102" t="n"/>
      <c r="X2542" s="104" t="n"/>
      <c r="Y2542" s="102" t="n"/>
      <c r="Z2542" s="104" t="n"/>
      <c r="AB2542" s="105">
        <f>IF($B2542="","",(COUNTIF(C2508:E2525,$B2542)+COUNTIF(C2508:E2525,$B2542&amp;" ~*")&gt;0)+(COUNTIF(G2508:I2525,$B2542)+COUNTIF(G2508:I2525,$B2542&amp;" ~*")&gt;0)+(COUNTIF(K2508:M2525,$B2542)+COUNTIF(K2508:M2525,$B2542&amp;" ~*")&gt;0)+(COUNTIF(O2508:Q2525,$B2542)+COUNTIF(O2508:Q2525,$B2542&amp;" ~*")&gt;0)+(COUNTIF(S2508:U2525,$B2542)+COUNTIF(S2508:U2525,$B2542&amp;" ~*")&gt;0)+(COUNTIF(W2508:W2525,$B2542)+COUNTIF(W2508:W2525,$B2542&amp;" ~*")&gt;0)+(COUNTIF(Y2508:Y2525,$B2542)+COUNTIF(Y2508:Y2525,$B2542&amp;" ~*")&gt;0))</f>
        <v/>
      </c>
      <c r="AC2542" s="38">
        <f>IF($B2542="","",(IFERROR(INDEX(Setup!$G$33:$G$40,MATCH(C2542,Setup!$B$33:$B$40,0)),0)=1)*(COUNTIF(C2508:E2525,$B2542)+COUNTIF(C2508:E2525,$B2542&amp;" ~*")&gt;0)+(IFERROR(INDEX(Setup!$G$33:$G$40,MATCH(G2542,Setup!$B$33:$B$40,0)),0)=1)*(COUNTIF(G2508:I2525,$B2542)+COUNTIF(G2508:I2525,$B2542&amp;" ~*")&gt;0)+(IFERROR(INDEX(Setup!$G$33:$G$40,MATCH(K2542,Setup!$B$33:$B$40,0)),0)=1)*(COUNTIF(K2508:M2525,$B2542)+COUNTIF(K2508:M2525,$B2542&amp;" ~*")&gt;0)+(IFERROR(INDEX(Setup!$G$33:$G$40,MATCH(O2542,Setup!$B$33:$B$40,0)),0)=1)*(COUNTIF(O2508:Q2525,$B2542)+COUNTIF(O2508:Q2525,$B2542&amp;" ~*")&gt;0)+(IFERROR(INDEX(Setup!$G$33:$G$40,MATCH(S2542,Setup!$B$33:$B$40,0)),0)=1)*(COUNTIF(S2508:U2525,$B2542)+COUNTIF(S2508:U2525,$B2542&amp;" ~*")&gt;0)+(IFERROR(INDEX(Setup!$G$33:$G$40,MATCH(W2542,Setup!$B$33:$B$40,0)),0)=1)*(COUNTIF(W2508:W2525,$B2542)+COUNTIF(W2508:W2525,$B2542&amp;" ~*")&gt;0)+(IFERROR(INDEX(Setup!$G$33:$G$40,MATCH(Y2542,Setup!$B$33:$B$40,0)),0)=1)*(COUNTIF(Y2508:Y2525,$B2542)+COUNTIF(Y2508:Y2525,$B2542&amp;" ~*")&gt;0))</f>
        <v/>
      </c>
    </row>
    <row r="2543" ht="15" customHeight="1">
      <c r="A2543" t="n">
        <v>51</v>
      </c>
      <c r="B2543" s="35">
        <f>IF(Setup!$B$22="","",Setup!$B$22)</f>
        <v/>
      </c>
      <c r="C2543" s="98" t="inlineStr">
        <is>
          <t>AL</t>
        </is>
      </c>
      <c r="D2543" s="99" t="n"/>
      <c r="E2543" s="99" t="n"/>
      <c r="F2543" s="100" t="n"/>
      <c r="G2543" s="98" t="inlineStr">
        <is>
          <t>AL</t>
        </is>
      </c>
      <c r="H2543" s="99" t="n"/>
      <c r="I2543" s="99" t="n"/>
      <c r="J2543" s="100" t="n"/>
      <c r="K2543" s="98" t="inlineStr">
        <is>
          <t>AL</t>
        </is>
      </c>
      <c r="L2543" s="99" t="n"/>
      <c r="M2543" s="99" t="n"/>
      <c r="N2543" s="100" t="n"/>
      <c r="O2543" s="98" t="inlineStr">
        <is>
          <t>AL</t>
        </is>
      </c>
      <c r="P2543" s="99" t="n"/>
      <c r="Q2543" s="99" t="n"/>
      <c r="R2543" s="100" t="n"/>
      <c r="S2543" s="98" t="inlineStr">
        <is>
          <t>AL</t>
        </is>
      </c>
      <c r="T2543" s="99" t="n"/>
      <c r="U2543" s="99" t="n"/>
      <c r="V2543" s="100" t="n"/>
      <c r="W2543" s="98" t="n"/>
      <c r="X2543" s="100" t="n"/>
      <c r="Y2543" s="98" t="n"/>
      <c r="Z2543" s="100" t="n"/>
      <c r="AB2543" s="101">
        <f>IF($B2543="","",(COUNTIF(C2508:E2525,$B2543)+COUNTIF(C2508:E2525,$B2543&amp;" ~*")&gt;0)+(COUNTIF(G2508:I2525,$B2543)+COUNTIF(G2508:I2525,$B2543&amp;" ~*")&gt;0)+(COUNTIF(K2508:M2525,$B2543)+COUNTIF(K2508:M2525,$B2543&amp;" ~*")&gt;0)+(COUNTIF(O2508:Q2525,$B2543)+COUNTIF(O2508:Q2525,$B2543&amp;" ~*")&gt;0)+(COUNTIF(S2508:U2525,$B2543)+COUNTIF(S2508:U2525,$B2543&amp;" ~*")&gt;0)+(COUNTIF(W2508:W2525,$B2543)+COUNTIF(W2508:W2525,$B2543&amp;" ~*")&gt;0)+(COUNTIF(Y2508:Y2525,$B2543)+COUNTIF(Y2508:Y2525,$B2543&amp;" ~*")&gt;0))</f>
        <v/>
      </c>
      <c r="AC2543" s="36">
        <f>IF($B2543="","",(IFERROR(INDEX(Setup!$G$33:$G$40,MATCH(C2543,Setup!$B$33:$B$40,0)),0)=1)*(COUNTIF(C2508:E2525,$B2543)+COUNTIF(C2508:E2525,$B2543&amp;" ~*")&gt;0)+(IFERROR(INDEX(Setup!$G$33:$G$40,MATCH(G2543,Setup!$B$33:$B$40,0)),0)=1)*(COUNTIF(G2508:I2525,$B2543)+COUNTIF(G2508:I2525,$B2543&amp;" ~*")&gt;0)+(IFERROR(INDEX(Setup!$G$33:$G$40,MATCH(K2543,Setup!$B$33:$B$40,0)),0)=1)*(COUNTIF(K2508:M2525,$B2543)+COUNTIF(K2508:M2525,$B2543&amp;" ~*")&gt;0)+(IFERROR(INDEX(Setup!$G$33:$G$40,MATCH(O2543,Setup!$B$33:$B$40,0)),0)=1)*(COUNTIF(O2508:Q2525,$B2543)+COUNTIF(O2508:Q2525,$B2543&amp;" ~*")&gt;0)+(IFERROR(INDEX(Setup!$G$33:$G$40,MATCH(S2543,Setup!$B$33:$B$40,0)),0)=1)*(COUNTIF(S2508:U2525,$B2543)+COUNTIF(S2508:U2525,$B2543&amp;" ~*")&gt;0)+(IFERROR(INDEX(Setup!$G$33:$G$40,MATCH(W2543,Setup!$B$33:$B$40,0)),0)=1)*(COUNTIF(W2508:W2525,$B2543)+COUNTIF(W2508:W2525,$B2543&amp;" ~*")&gt;0)+(IFERROR(INDEX(Setup!$G$33:$G$40,MATCH(Y2543,Setup!$B$33:$B$40,0)),0)=1)*(COUNTIF(Y2508:Y2525,$B2543)+COUNTIF(Y2508:Y2525,$B2543&amp;" ~*")&gt;0))</f>
        <v/>
      </c>
    </row>
    <row r="2544" ht="15" customHeight="1">
      <c r="A2544" t="n">
        <v>51</v>
      </c>
      <c r="B2544" s="37">
        <f>IF(Setup!$B$23="","",Setup!$B$23)</f>
        <v/>
      </c>
      <c r="C2544" s="102" t="n"/>
      <c r="D2544" s="103" t="n"/>
      <c r="E2544" s="103" t="n"/>
      <c r="F2544" s="104" t="n"/>
      <c r="G2544" s="102" t="inlineStr">
        <is>
          <t>AL</t>
        </is>
      </c>
      <c r="H2544" s="103" t="n"/>
      <c r="I2544" s="103" t="n"/>
      <c r="J2544" s="104" t="n"/>
      <c r="K2544" s="102" t="inlineStr">
        <is>
          <t>AL</t>
        </is>
      </c>
      <c r="L2544" s="103" t="n"/>
      <c r="M2544" s="103" t="n"/>
      <c r="N2544" s="104" t="n"/>
      <c r="O2544" s="102" t="inlineStr">
        <is>
          <t>AL</t>
        </is>
      </c>
      <c r="P2544" s="103" t="n"/>
      <c r="Q2544" s="103" t="n"/>
      <c r="R2544" s="104" t="n"/>
      <c r="S2544" s="102" t="n"/>
      <c r="T2544" s="103" t="n"/>
      <c r="U2544" s="103" t="n"/>
      <c r="V2544" s="104" t="n"/>
      <c r="W2544" s="102" t="n"/>
      <c r="X2544" s="104" t="n"/>
      <c r="Y2544" s="102" t="n"/>
      <c r="Z2544" s="104" t="n"/>
      <c r="AB2544" s="105">
        <f>IF($B2544="","",(COUNTIF(C2508:E2525,$B2544)+COUNTIF(C2508:E2525,$B2544&amp;" ~*")&gt;0)+(COUNTIF(G2508:I2525,$B2544)+COUNTIF(G2508:I2525,$B2544&amp;" ~*")&gt;0)+(COUNTIF(K2508:M2525,$B2544)+COUNTIF(K2508:M2525,$B2544&amp;" ~*")&gt;0)+(COUNTIF(O2508:Q2525,$B2544)+COUNTIF(O2508:Q2525,$B2544&amp;" ~*")&gt;0)+(COUNTIF(S2508:U2525,$B2544)+COUNTIF(S2508:U2525,$B2544&amp;" ~*")&gt;0)+(COUNTIF(W2508:W2525,$B2544)+COUNTIF(W2508:W2525,$B2544&amp;" ~*")&gt;0)+(COUNTIF(Y2508:Y2525,$B2544)+COUNTIF(Y2508:Y2525,$B2544&amp;" ~*")&gt;0))</f>
        <v/>
      </c>
      <c r="AC2544" s="38">
        <f>IF($B2544="","",(IFERROR(INDEX(Setup!$G$33:$G$40,MATCH(C2544,Setup!$B$33:$B$40,0)),0)=1)*(COUNTIF(C2508:E2525,$B2544)+COUNTIF(C2508:E2525,$B2544&amp;" ~*")&gt;0)+(IFERROR(INDEX(Setup!$G$33:$G$40,MATCH(G2544,Setup!$B$33:$B$40,0)),0)=1)*(COUNTIF(G2508:I2525,$B2544)+COUNTIF(G2508:I2525,$B2544&amp;" ~*")&gt;0)+(IFERROR(INDEX(Setup!$G$33:$G$40,MATCH(K2544,Setup!$B$33:$B$40,0)),0)=1)*(COUNTIF(K2508:M2525,$B2544)+COUNTIF(K2508:M2525,$B2544&amp;" ~*")&gt;0)+(IFERROR(INDEX(Setup!$G$33:$G$40,MATCH(O2544,Setup!$B$33:$B$40,0)),0)=1)*(COUNTIF(O2508:Q2525,$B2544)+COUNTIF(O2508:Q2525,$B2544&amp;" ~*")&gt;0)+(IFERROR(INDEX(Setup!$G$33:$G$40,MATCH(S2544,Setup!$B$33:$B$40,0)),0)=1)*(COUNTIF(S2508:U2525,$B2544)+COUNTIF(S2508:U2525,$B2544&amp;" ~*")&gt;0)+(IFERROR(INDEX(Setup!$G$33:$G$40,MATCH(W2544,Setup!$B$33:$B$40,0)),0)=1)*(COUNTIF(W2508:W2525,$B2544)+COUNTIF(W2508:W2525,$B2544&amp;" ~*")&gt;0)+(IFERROR(INDEX(Setup!$G$33:$G$40,MATCH(Y2544,Setup!$B$33:$B$40,0)),0)=1)*(COUNTIF(Y2508:Y2525,$B2544)+COUNTIF(Y2508:Y2525,$B2544&amp;" ~*")&gt;0))</f>
        <v/>
      </c>
    </row>
    <row r="2545" ht="15" customHeight="1">
      <c r="A2545" t="n">
        <v>51</v>
      </c>
      <c r="B2545" s="35">
        <f>IF(Setup!$B$24="","",Setup!$B$24)</f>
        <v/>
      </c>
      <c r="C2545" s="98" t="n"/>
      <c r="D2545" s="99" t="n"/>
      <c r="E2545" s="99" t="n"/>
      <c r="F2545" s="100" t="n"/>
      <c r="G2545" s="98" t="n"/>
      <c r="H2545" s="99" t="n"/>
      <c r="I2545" s="99" t="n"/>
      <c r="J2545" s="100" t="n"/>
      <c r="K2545" s="98" t="n"/>
      <c r="L2545" s="99" t="n"/>
      <c r="M2545" s="99" t="n"/>
      <c r="N2545" s="100" t="n"/>
      <c r="O2545" s="98" t="n"/>
      <c r="P2545" s="99" t="n"/>
      <c r="Q2545" s="99" t="n"/>
      <c r="R2545" s="100" t="n"/>
      <c r="S2545" s="98" t="n"/>
      <c r="T2545" s="99" t="n"/>
      <c r="U2545" s="99" t="n"/>
      <c r="V2545" s="100" t="n"/>
      <c r="W2545" s="98" t="n"/>
      <c r="X2545" s="100" t="n"/>
      <c r="Y2545" s="98" t="n"/>
      <c r="Z2545" s="100" t="n"/>
      <c r="AB2545" s="101">
        <f>IF($B2545="","",(COUNTIF(C2508:E2525,$B2545)+COUNTIF(C2508:E2525,$B2545&amp;" ~*")&gt;0)+(COUNTIF(G2508:I2525,$B2545)+COUNTIF(G2508:I2525,$B2545&amp;" ~*")&gt;0)+(COUNTIF(K2508:M2525,$B2545)+COUNTIF(K2508:M2525,$B2545&amp;" ~*")&gt;0)+(COUNTIF(O2508:Q2525,$B2545)+COUNTIF(O2508:Q2525,$B2545&amp;" ~*")&gt;0)+(COUNTIF(S2508:U2525,$B2545)+COUNTIF(S2508:U2525,$B2545&amp;" ~*")&gt;0)+(COUNTIF(W2508:W2525,$B2545)+COUNTIF(W2508:W2525,$B2545&amp;" ~*")&gt;0)+(COUNTIF(Y2508:Y2525,$B2545)+COUNTIF(Y2508:Y2525,$B2545&amp;" ~*")&gt;0))</f>
        <v/>
      </c>
      <c r="AC2545" s="36">
        <f>IF($B2545="","",(IFERROR(INDEX(Setup!$G$33:$G$40,MATCH(C2545,Setup!$B$33:$B$40,0)),0)=1)*(COUNTIF(C2508:E2525,$B2545)+COUNTIF(C2508:E2525,$B2545&amp;" ~*")&gt;0)+(IFERROR(INDEX(Setup!$G$33:$G$40,MATCH(G2545,Setup!$B$33:$B$40,0)),0)=1)*(COUNTIF(G2508:I2525,$B2545)+COUNTIF(G2508:I2525,$B2545&amp;" ~*")&gt;0)+(IFERROR(INDEX(Setup!$G$33:$G$40,MATCH(K2545,Setup!$B$33:$B$40,0)),0)=1)*(COUNTIF(K2508:M2525,$B2545)+COUNTIF(K2508:M2525,$B2545&amp;" ~*")&gt;0)+(IFERROR(INDEX(Setup!$G$33:$G$40,MATCH(O2545,Setup!$B$33:$B$40,0)),0)=1)*(COUNTIF(O2508:Q2525,$B2545)+COUNTIF(O2508:Q2525,$B2545&amp;" ~*")&gt;0)+(IFERROR(INDEX(Setup!$G$33:$G$40,MATCH(S2545,Setup!$B$33:$B$40,0)),0)=1)*(COUNTIF(S2508:U2525,$B2545)+COUNTIF(S2508:U2525,$B2545&amp;" ~*")&gt;0)+(IFERROR(INDEX(Setup!$G$33:$G$40,MATCH(W2545,Setup!$B$33:$B$40,0)),0)=1)*(COUNTIF(W2508:W2525,$B2545)+COUNTIF(W2508:W2525,$B2545&amp;" ~*")&gt;0)+(IFERROR(INDEX(Setup!$G$33:$G$40,MATCH(Y2545,Setup!$B$33:$B$40,0)),0)=1)*(COUNTIF(Y2508:Y2525,$B2545)+COUNTIF(Y2508:Y2525,$B2545&amp;" ~*")&gt;0))</f>
        <v/>
      </c>
    </row>
    <row r="2546" ht="15" customHeight="1">
      <c r="A2546" t="n">
        <v>51</v>
      </c>
      <c r="B2546" s="37">
        <f>IF(Setup!$B$25="","",Setup!$B$25)</f>
        <v/>
      </c>
      <c r="C2546" s="102" t="n"/>
      <c r="D2546" s="103" t="n"/>
      <c r="E2546" s="103" t="n"/>
      <c r="F2546" s="104" t="n"/>
      <c r="G2546" s="102" t="n"/>
      <c r="H2546" s="103" t="n"/>
      <c r="I2546" s="103" t="n"/>
      <c r="J2546" s="104" t="n"/>
      <c r="K2546" s="102" t="n"/>
      <c r="L2546" s="103" t="n"/>
      <c r="M2546" s="103" t="n"/>
      <c r="N2546" s="104" t="n"/>
      <c r="O2546" s="102" t="n"/>
      <c r="P2546" s="103" t="n"/>
      <c r="Q2546" s="103" t="n"/>
      <c r="R2546" s="104" t="n"/>
      <c r="S2546" s="102" t="n"/>
      <c r="T2546" s="103" t="n"/>
      <c r="U2546" s="103" t="n"/>
      <c r="V2546" s="104" t="n"/>
      <c r="W2546" s="102" t="n"/>
      <c r="X2546" s="104" t="n"/>
      <c r="Y2546" s="102" t="n"/>
      <c r="Z2546" s="104" t="n"/>
      <c r="AB2546" s="105">
        <f>IF($B2546="","",(COUNTIF(C2508:E2525,$B2546)+COUNTIF(C2508:E2525,$B2546&amp;" ~*")&gt;0)+(COUNTIF(G2508:I2525,$B2546)+COUNTIF(G2508:I2525,$B2546&amp;" ~*")&gt;0)+(COUNTIF(K2508:M2525,$B2546)+COUNTIF(K2508:M2525,$B2546&amp;" ~*")&gt;0)+(COUNTIF(O2508:Q2525,$B2546)+COUNTIF(O2508:Q2525,$B2546&amp;" ~*")&gt;0)+(COUNTIF(S2508:U2525,$B2546)+COUNTIF(S2508:U2525,$B2546&amp;" ~*")&gt;0)+(COUNTIF(W2508:W2525,$B2546)+COUNTIF(W2508:W2525,$B2546&amp;" ~*")&gt;0)+(COUNTIF(Y2508:Y2525,$B2546)+COUNTIF(Y2508:Y2525,$B2546&amp;" ~*")&gt;0))</f>
        <v/>
      </c>
      <c r="AC2546" s="38">
        <f>IF($B2546="","",(IFERROR(INDEX(Setup!$G$33:$G$40,MATCH(C2546,Setup!$B$33:$B$40,0)),0)=1)*(COUNTIF(C2508:E2525,$B2546)+COUNTIF(C2508:E2525,$B2546&amp;" ~*")&gt;0)+(IFERROR(INDEX(Setup!$G$33:$G$40,MATCH(G2546,Setup!$B$33:$B$40,0)),0)=1)*(COUNTIF(G2508:I2525,$B2546)+COUNTIF(G2508:I2525,$B2546&amp;" ~*")&gt;0)+(IFERROR(INDEX(Setup!$G$33:$G$40,MATCH(K2546,Setup!$B$33:$B$40,0)),0)=1)*(COUNTIF(K2508:M2525,$B2546)+COUNTIF(K2508:M2525,$B2546&amp;" ~*")&gt;0)+(IFERROR(INDEX(Setup!$G$33:$G$40,MATCH(O2546,Setup!$B$33:$B$40,0)),0)=1)*(COUNTIF(O2508:Q2525,$B2546)+COUNTIF(O2508:Q2525,$B2546&amp;" ~*")&gt;0)+(IFERROR(INDEX(Setup!$G$33:$G$40,MATCH(S2546,Setup!$B$33:$B$40,0)),0)=1)*(COUNTIF(S2508:U2525,$B2546)+COUNTIF(S2508:U2525,$B2546&amp;" ~*")&gt;0)+(IFERROR(INDEX(Setup!$G$33:$G$40,MATCH(W2546,Setup!$B$33:$B$40,0)),0)=1)*(COUNTIF(W2508:W2525,$B2546)+COUNTIF(W2508:W2525,$B2546&amp;" ~*")&gt;0)+(IFERROR(INDEX(Setup!$G$33:$G$40,MATCH(Y2546,Setup!$B$33:$B$40,0)),0)=1)*(COUNTIF(Y2508:Y2525,$B2546)+COUNTIF(Y2508:Y2525,$B2546&amp;" ~*")&gt;0))</f>
        <v/>
      </c>
    </row>
    <row r="2547" ht="15" customHeight="1">
      <c r="A2547" t="n">
        <v>51</v>
      </c>
      <c r="B2547" s="35">
        <f>IF(Setup!$B$26="","",Setup!$B$26)</f>
        <v/>
      </c>
      <c r="C2547" s="98" t="n"/>
      <c r="D2547" s="99" t="n"/>
      <c r="E2547" s="99" t="n"/>
      <c r="F2547" s="100" t="n"/>
      <c r="G2547" s="98" t="n"/>
      <c r="H2547" s="99" t="n"/>
      <c r="I2547" s="99" t="n"/>
      <c r="J2547" s="100" t="n"/>
      <c r="K2547" s="98" t="n"/>
      <c r="L2547" s="99" t="n"/>
      <c r="M2547" s="99" t="n"/>
      <c r="N2547" s="100" t="n"/>
      <c r="O2547" s="98" t="n"/>
      <c r="P2547" s="99" t="n"/>
      <c r="Q2547" s="99" t="n"/>
      <c r="R2547" s="100" t="n"/>
      <c r="S2547" s="98" t="n"/>
      <c r="T2547" s="99" t="n"/>
      <c r="U2547" s="99" t="n"/>
      <c r="V2547" s="100" t="n"/>
      <c r="W2547" s="98" t="n"/>
      <c r="X2547" s="100" t="n"/>
      <c r="Y2547" s="98" t="n"/>
      <c r="Z2547" s="100" t="n"/>
      <c r="AB2547" s="101">
        <f>IF($B2547="","",(COUNTIF(C2508:E2525,$B2547)+COUNTIF(C2508:E2525,$B2547&amp;" ~*")&gt;0)+(COUNTIF(G2508:I2525,$B2547)+COUNTIF(G2508:I2525,$B2547&amp;" ~*")&gt;0)+(COUNTIF(K2508:M2525,$B2547)+COUNTIF(K2508:M2525,$B2547&amp;" ~*")&gt;0)+(COUNTIF(O2508:Q2525,$B2547)+COUNTIF(O2508:Q2525,$B2547&amp;" ~*")&gt;0)+(COUNTIF(S2508:U2525,$B2547)+COUNTIF(S2508:U2525,$B2547&amp;" ~*")&gt;0)+(COUNTIF(W2508:W2525,$B2547)+COUNTIF(W2508:W2525,$B2547&amp;" ~*")&gt;0)+(COUNTIF(Y2508:Y2525,$B2547)+COUNTIF(Y2508:Y2525,$B2547&amp;" ~*")&gt;0))</f>
        <v/>
      </c>
      <c r="AC2547" s="36">
        <f>IF($B2547="","",(IFERROR(INDEX(Setup!$G$33:$G$40,MATCH(C2547,Setup!$B$33:$B$40,0)),0)=1)*(COUNTIF(C2508:E2525,$B2547)+COUNTIF(C2508:E2525,$B2547&amp;" ~*")&gt;0)+(IFERROR(INDEX(Setup!$G$33:$G$40,MATCH(G2547,Setup!$B$33:$B$40,0)),0)=1)*(COUNTIF(G2508:I2525,$B2547)+COUNTIF(G2508:I2525,$B2547&amp;" ~*")&gt;0)+(IFERROR(INDEX(Setup!$G$33:$G$40,MATCH(K2547,Setup!$B$33:$B$40,0)),0)=1)*(COUNTIF(K2508:M2525,$B2547)+COUNTIF(K2508:M2525,$B2547&amp;" ~*")&gt;0)+(IFERROR(INDEX(Setup!$G$33:$G$40,MATCH(O2547,Setup!$B$33:$B$40,0)),0)=1)*(COUNTIF(O2508:Q2525,$B2547)+COUNTIF(O2508:Q2525,$B2547&amp;" ~*")&gt;0)+(IFERROR(INDEX(Setup!$G$33:$G$40,MATCH(S2547,Setup!$B$33:$B$40,0)),0)=1)*(COUNTIF(S2508:U2525,$B2547)+COUNTIF(S2508:U2525,$B2547&amp;" ~*")&gt;0)+(IFERROR(INDEX(Setup!$G$33:$G$40,MATCH(W2547,Setup!$B$33:$B$40,0)),0)=1)*(COUNTIF(W2508:W2525,$B2547)+COUNTIF(W2508:W2525,$B2547&amp;" ~*")&gt;0)+(IFERROR(INDEX(Setup!$G$33:$G$40,MATCH(Y2547,Setup!$B$33:$B$40,0)),0)=1)*(COUNTIF(Y2508:Y2525,$B2547)+COUNTIF(Y2508:Y2525,$B2547&amp;" ~*")&gt;0))</f>
        <v/>
      </c>
    </row>
    <row r="2548" ht="15" customHeight="1">
      <c r="A2548" t="n">
        <v>51</v>
      </c>
      <c r="B2548" s="37">
        <f>IF(Setup!$B$27="","",Setup!$B$27)</f>
        <v/>
      </c>
      <c r="C2548" s="102" t="n"/>
      <c r="D2548" s="103" t="n"/>
      <c r="E2548" s="103" t="n"/>
      <c r="F2548" s="104" t="n"/>
      <c r="G2548" s="102" t="n"/>
      <c r="H2548" s="103" t="n"/>
      <c r="I2548" s="103" t="n"/>
      <c r="J2548" s="104" t="n"/>
      <c r="K2548" s="102" t="n"/>
      <c r="L2548" s="103" t="n"/>
      <c r="M2548" s="103" t="n"/>
      <c r="N2548" s="104" t="n"/>
      <c r="O2548" s="102" t="n"/>
      <c r="P2548" s="103" t="n"/>
      <c r="Q2548" s="103" t="n"/>
      <c r="R2548" s="104" t="n"/>
      <c r="S2548" s="102" t="n"/>
      <c r="T2548" s="103" t="n"/>
      <c r="U2548" s="103" t="n"/>
      <c r="V2548" s="104" t="n"/>
      <c r="W2548" s="102" t="n"/>
      <c r="X2548" s="104" t="n"/>
      <c r="Y2548" s="102" t="n"/>
      <c r="Z2548" s="104" t="n"/>
      <c r="AB2548" s="105">
        <f>IF($B2548="","",(COUNTIF(C2508:E2525,$B2548)+COUNTIF(C2508:E2525,$B2548&amp;" ~*")&gt;0)+(COUNTIF(G2508:I2525,$B2548)+COUNTIF(G2508:I2525,$B2548&amp;" ~*")&gt;0)+(COUNTIF(K2508:M2525,$B2548)+COUNTIF(K2508:M2525,$B2548&amp;" ~*")&gt;0)+(COUNTIF(O2508:Q2525,$B2548)+COUNTIF(O2508:Q2525,$B2548&amp;" ~*")&gt;0)+(COUNTIF(S2508:U2525,$B2548)+COUNTIF(S2508:U2525,$B2548&amp;" ~*")&gt;0)+(COUNTIF(W2508:W2525,$B2548)+COUNTIF(W2508:W2525,$B2548&amp;" ~*")&gt;0)+(COUNTIF(Y2508:Y2525,$B2548)+COUNTIF(Y2508:Y2525,$B2548&amp;" ~*")&gt;0))</f>
        <v/>
      </c>
      <c r="AC2548" s="38">
        <f>IF($B2548="","",(IFERROR(INDEX(Setup!$G$33:$G$40,MATCH(C2548,Setup!$B$33:$B$40,0)),0)=1)*(COUNTIF(C2508:E2525,$B2548)+COUNTIF(C2508:E2525,$B2548&amp;" ~*")&gt;0)+(IFERROR(INDEX(Setup!$G$33:$G$40,MATCH(G2548,Setup!$B$33:$B$40,0)),0)=1)*(COUNTIF(G2508:I2525,$B2548)+COUNTIF(G2508:I2525,$B2548&amp;" ~*")&gt;0)+(IFERROR(INDEX(Setup!$G$33:$G$40,MATCH(K2548,Setup!$B$33:$B$40,0)),0)=1)*(COUNTIF(K2508:M2525,$B2548)+COUNTIF(K2508:M2525,$B2548&amp;" ~*")&gt;0)+(IFERROR(INDEX(Setup!$G$33:$G$40,MATCH(O2548,Setup!$B$33:$B$40,0)),0)=1)*(COUNTIF(O2508:Q2525,$B2548)+COUNTIF(O2508:Q2525,$B2548&amp;" ~*")&gt;0)+(IFERROR(INDEX(Setup!$G$33:$G$40,MATCH(S2548,Setup!$B$33:$B$40,0)),0)=1)*(COUNTIF(S2508:U2525,$B2548)+COUNTIF(S2508:U2525,$B2548&amp;" ~*")&gt;0)+(IFERROR(INDEX(Setup!$G$33:$G$40,MATCH(W2548,Setup!$B$33:$B$40,0)),0)=1)*(COUNTIF(W2508:W2525,$B2548)+COUNTIF(W2508:W2525,$B2548&amp;" ~*")&gt;0)+(IFERROR(INDEX(Setup!$G$33:$G$40,MATCH(Y2548,Setup!$B$33:$B$40,0)),0)=1)*(COUNTIF(Y2508:Y2525,$B2548)+COUNTIF(Y2508:Y2525,$B2548&amp;" ~*")&gt;0))</f>
        <v/>
      </c>
    </row>
    <row r="2549" ht="15" customHeight="1">
      <c r="A2549" t="n">
        <v>51</v>
      </c>
      <c r="B2549" s="35">
        <f>IF(Setup!$B$28="","",Setup!$B$28)</f>
        <v/>
      </c>
      <c r="C2549" s="98" t="n"/>
      <c r="D2549" s="99" t="n"/>
      <c r="E2549" s="99" t="n"/>
      <c r="F2549" s="100" t="n"/>
      <c r="G2549" s="98" t="n"/>
      <c r="H2549" s="99" t="n"/>
      <c r="I2549" s="99" t="n"/>
      <c r="J2549" s="100" t="n"/>
      <c r="K2549" s="98" t="n"/>
      <c r="L2549" s="99" t="n"/>
      <c r="M2549" s="99" t="n"/>
      <c r="N2549" s="100" t="n"/>
      <c r="O2549" s="98" t="n"/>
      <c r="P2549" s="99" t="n"/>
      <c r="Q2549" s="99" t="n"/>
      <c r="R2549" s="100" t="n"/>
      <c r="S2549" s="98" t="n"/>
      <c r="T2549" s="99" t="n"/>
      <c r="U2549" s="99" t="n"/>
      <c r="V2549" s="100" t="n"/>
      <c r="W2549" s="98" t="n"/>
      <c r="X2549" s="100" t="n"/>
      <c r="Y2549" s="98" t="n"/>
      <c r="Z2549" s="100" t="n"/>
      <c r="AB2549" s="101">
        <f>IF($B2549="","",(COUNTIF(C2508:E2525,$B2549)+COUNTIF(C2508:E2525,$B2549&amp;" ~*")&gt;0)+(COUNTIF(G2508:I2525,$B2549)+COUNTIF(G2508:I2525,$B2549&amp;" ~*")&gt;0)+(COUNTIF(K2508:M2525,$B2549)+COUNTIF(K2508:M2525,$B2549&amp;" ~*")&gt;0)+(COUNTIF(O2508:Q2525,$B2549)+COUNTIF(O2508:Q2525,$B2549&amp;" ~*")&gt;0)+(COUNTIF(S2508:U2525,$B2549)+COUNTIF(S2508:U2525,$B2549&amp;" ~*")&gt;0)+(COUNTIF(W2508:W2525,$B2549)+COUNTIF(W2508:W2525,$B2549&amp;" ~*")&gt;0)+(COUNTIF(Y2508:Y2525,$B2549)+COUNTIF(Y2508:Y2525,$B2549&amp;" ~*")&gt;0))</f>
        <v/>
      </c>
      <c r="AC2549" s="36">
        <f>IF($B2549="","",(IFERROR(INDEX(Setup!$G$33:$G$40,MATCH(C2549,Setup!$B$33:$B$40,0)),0)=1)*(COUNTIF(C2508:E2525,$B2549)+COUNTIF(C2508:E2525,$B2549&amp;" ~*")&gt;0)+(IFERROR(INDEX(Setup!$G$33:$G$40,MATCH(G2549,Setup!$B$33:$B$40,0)),0)=1)*(COUNTIF(G2508:I2525,$B2549)+COUNTIF(G2508:I2525,$B2549&amp;" ~*")&gt;0)+(IFERROR(INDEX(Setup!$G$33:$G$40,MATCH(K2549,Setup!$B$33:$B$40,0)),0)=1)*(COUNTIF(K2508:M2525,$B2549)+COUNTIF(K2508:M2525,$B2549&amp;" ~*")&gt;0)+(IFERROR(INDEX(Setup!$G$33:$G$40,MATCH(O2549,Setup!$B$33:$B$40,0)),0)=1)*(COUNTIF(O2508:Q2525,$B2549)+COUNTIF(O2508:Q2525,$B2549&amp;" ~*")&gt;0)+(IFERROR(INDEX(Setup!$G$33:$G$40,MATCH(S2549,Setup!$B$33:$B$40,0)),0)=1)*(COUNTIF(S2508:U2525,$B2549)+COUNTIF(S2508:U2525,$B2549&amp;" ~*")&gt;0)+(IFERROR(INDEX(Setup!$G$33:$G$40,MATCH(W2549,Setup!$B$33:$B$40,0)),0)=1)*(COUNTIF(W2508:W2525,$B2549)+COUNTIF(W2508:W2525,$B2549&amp;" ~*")&gt;0)+(IFERROR(INDEX(Setup!$G$33:$G$40,MATCH(Y2549,Setup!$B$33:$B$40,0)),0)=1)*(COUNTIF(Y2508:Y2525,$B2549)+COUNTIF(Y2508:Y2525,$B2549&amp;" ~*")&gt;0))</f>
        <v/>
      </c>
    </row>
    <row r="2550" ht="15" customHeight="1">
      <c r="A2550" t="n">
        <v>51</v>
      </c>
      <c r="B2550" s="37">
        <f>IF(Setup!$B$29="","",Setup!$B$29)</f>
        <v/>
      </c>
      <c r="C2550" s="102" t="n"/>
      <c r="D2550" s="103" t="n"/>
      <c r="E2550" s="103" t="n"/>
      <c r="F2550" s="104" t="n"/>
      <c r="G2550" s="102" t="n"/>
      <c r="H2550" s="103" t="n"/>
      <c r="I2550" s="103" t="n"/>
      <c r="J2550" s="104" t="n"/>
      <c r="K2550" s="102" t="n"/>
      <c r="L2550" s="103" t="n"/>
      <c r="M2550" s="103" t="n"/>
      <c r="N2550" s="104" t="n"/>
      <c r="O2550" s="102" t="n"/>
      <c r="P2550" s="103" t="n"/>
      <c r="Q2550" s="103" t="n"/>
      <c r="R2550" s="104" t="n"/>
      <c r="S2550" s="102" t="n"/>
      <c r="T2550" s="103" t="n"/>
      <c r="U2550" s="103" t="n"/>
      <c r="V2550" s="104" t="n"/>
      <c r="W2550" s="102" t="n"/>
      <c r="X2550" s="104" t="n"/>
      <c r="Y2550" s="102" t="n"/>
      <c r="Z2550" s="104" t="n"/>
      <c r="AB2550" s="105">
        <f>IF($B2550="","",(COUNTIF(C2508:E2525,$B2550)+COUNTIF(C2508:E2525,$B2550&amp;" ~*")&gt;0)+(COUNTIF(G2508:I2525,$B2550)+COUNTIF(G2508:I2525,$B2550&amp;" ~*")&gt;0)+(COUNTIF(K2508:M2525,$B2550)+COUNTIF(K2508:M2525,$B2550&amp;" ~*")&gt;0)+(COUNTIF(O2508:Q2525,$B2550)+COUNTIF(O2508:Q2525,$B2550&amp;" ~*")&gt;0)+(COUNTIF(S2508:U2525,$B2550)+COUNTIF(S2508:U2525,$B2550&amp;" ~*")&gt;0)+(COUNTIF(W2508:W2525,$B2550)+COUNTIF(W2508:W2525,$B2550&amp;" ~*")&gt;0)+(COUNTIF(Y2508:Y2525,$B2550)+COUNTIF(Y2508:Y2525,$B2550&amp;" ~*")&gt;0))</f>
        <v/>
      </c>
      <c r="AC2550" s="38">
        <f>IF($B2550="","",(IFERROR(INDEX(Setup!$G$33:$G$40,MATCH(C2550,Setup!$B$33:$B$40,0)),0)=1)*(COUNTIF(C2508:E2525,$B2550)+COUNTIF(C2508:E2525,$B2550&amp;" ~*")&gt;0)+(IFERROR(INDEX(Setup!$G$33:$G$40,MATCH(G2550,Setup!$B$33:$B$40,0)),0)=1)*(COUNTIF(G2508:I2525,$B2550)+COUNTIF(G2508:I2525,$B2550&amp;" ~*")&gt;0)+(IFERROR(INDEX(Setup!$G$33:$G$40,MATCH(K2550,Setup!$B$33:$B$40,0)),0)=1)*(COUNTIF(K2508:M2525,$B2550)+COUNTIF(K2508:M2525,$B2550&amp;" ~*")&gt;0)+(IFERROR(INDEX(Setup!$G$33:$G$40,MATCH(O2550,Setup!$B$33:$B$40,0)),0)=1)*(COUNTIF(O2508:Q2525,$B2550)+COUNTIF(O2508:Q2525,$B2550&amp;" ~*")&gt;0)+(IFERROR(INDEX(Setup!$G$33:$G$40,MATCH(S2550,Setup!$B$33:$B$40,0)),0)=1)*(COUNTIF(S2508:U2525,$B2550)+COUNTIF(S2508:U2525,$B2550&amp;" ~*")&gt;0)+(IFERROR(INDEX(Setup!$G$33:$G$40,MATCH(W2550,Setup!$B$33:$B$40,0)),0)=1)*(COUNTIF(W2508:W2525,$B2550)+COUNTIF(W2508:W2525,$B2550&amp;" ~*")&gt;0)+(IFERROR(INDEX(Setup!$G$33:$G$40,MATCH(Y2550,Setup!$B$33:$B$40,0)),0)=1)*(COUNTIF(Y2508:Y2525,$B2550)+COUNTIF(Y2508:Y2525,$B2550&amp;" ~*")&gt;0))</f>
        <v/>
      </c>
    </row>
    <row r="2551" ht="16" customHeight="1">
      <c r="A2551" t="n">
        <v>51</v>
      </c>
      <c r="B2551" s="106" t="inlineStr">
        <is>
          <t>Available people</t>
        </is>
      </c>
      <c r="C2551" s="107">
        <f>COUNTIFS(Setup!$E$6:$E$29,"Y",Setup!$B$6:$B$29,"?*")-SUMPRODUCT(COUNTIF(C2527:C2550,Setup!$F$33:$F$40))</f>
        <v/>
      </c>
      <c r="D2551" s="107" t="n"/>
      <c r="E2551" s="107" t="n"/>
      <c r="F2551" s="107" t="n"/>
      <c r="G2551" s="107">
        <f>COUNTIFS(Setup!$E$6:$E$29,"Y",Setup!$B$6:$B$29,"?*")-SUMPRODUCT(COUNTIF(G2527:G2550,Setup!$F$33:$F$40))</f>
        <v/>
      </c>
      <c r="H2551" s="107" t="n"/>
      <c r="I2551" s="107" t="n"/>
      <c r="J2551" s="107" t="n"/>
      <c r="K2551" s="107">
        <f>COUNTIFS(Setup!$E$6:$E$29,"Y",Setup!$B$6:$B$29,"?*")-SUMPRODUCT(COUNTIF(K2527:K2550,Setup!$F$33:$F$40))</f>
        <v/>
      </c>
      <c r="L2551" s="107" t="n"/>
      <c r="M2551" s="107" t="n"/>
      <c r="N2551" s="107" t="n"/>
      <c r="O2551" s="107">
        <f>COUNTIFS(Setup!$E$6:$E$29,"Y",Setup!$B$6:$B$29,"?*")-SUMPRODUCT(COUNTIF(O2527:O2550,Setup!$F$33:$F$40))</f>
        <v/>
      </c>
      <c r="P2551" s="107" t="n"/>
      <c r="Q2551" s="107" t="n"/>
      <c r="R2551" s="107" t="n"/>
      <c r="S2551" s="107">
        <f>COUNTIFS(Setup!$E$6:$E$29,"Y",Setup!$B$6:$B$29,"?*")-SUMPRODUCT(COUNTIF(S2527:S2550,Setup!$F$33:$F$40))</f>
        <v/>
      </c>
      <c r="T2551" s="107" t="n"/>
      <c r="U2551" s="107" t="n"/>
      <c r="V2551" s="107" t="n"/>
      <c r="W2551" s="107">
        <f>COUNTIFS(Setup!$E$6:$E$29,"Y",Setup!$B$6:$B$29,"?*")-SUMPRODUCT(COUNTIF(W2527:W2550,Setup!$F$33:$F$40))</f>
        <v/>
      </c>
      <c r="X2551" s="107" t="n"/>
      <c r="Y2551" s="107">
        <f>COUNTIFS(Setup!$E$6:$E$29,"Y",Setup!$B$6:$B$29,"?*")-SUMPRODUCT(COUNTIF(Y2527:Y2550,Setup!$F$33:$F$40))</f>
        <v/>
      </c>
      <c r="Z2551" s="107" t="n"/>
      <c r="AB2551" s="108">
        <f>SUM(AB2527:AB2550)</f>
        <v/>
      </c>
      <c r="AC2551" s="109">
        <f>SUM(AC2527:AC2550)</f>
        <v/>
      </c>
    </row>
    <row r="2552" ht="30" customHeight="1">
      <c r="A2552" t="n">
        <v>51</v>
      </c>
      <c r="B2552" s="110" t="inlineStr">
        <is>
          <t>Week notes</t>
        </is>
      </c>
      <c r="C2552" s="111" t="n"/>
      <c r="D2552" s="112" t="n"/>
      <c r="E2552" s="112" t="n"/>
      <c r="F2552" s="112" t="n"/>
      <c r="G2552" s="112" t="n"/>
      <c r="H2552" s="112" t="n"/>
      <c r="I2552" s="112" t="n"/>
      <c r="J2552" s="112" t="n"/>
      <c r="K2552" s="112" t="n"/>
      <c r="L2552" s="112" t="n"/>
      <c r="M2552" s="112" t="n"/>
      <c r="N2552" s="112" t="n"/>
      <c r="O2552" s="112" t="n"/>
      <c r="P2552" s="112" t="n"/>
      <c r="Q2552" s="112" t="n"/>
      <c r="R2552" s="112" t="n"/>
      <c r="S2552" s="112" t="n"/>
      <c r="T2552" s="112" t="n"/>
      <c r="U2552" s="112" t="n"/>
      <c r="V2552" s="112" t="n"/>
      <c r="W2552" s="112" t="n"/>
      <c r="X2552" s="112" t="n"/>
      <c r="Y2552" s="112" t="n"/>
      <c r="Z2552" s="113" t="n"/>
    </row>
    <row r="2553" ht="8" customHeight="1">
      <c r="A2553" t="n">
        <v>51</v>
      </c>
    </row>
    <row r="2554" ht="8" customHeight="1">
      <c r="A2554" t="n">
        <v>51</v>
      </c>
    </row>
    <row r="2555" ht="24" customHeight="1">
      <c r="A2555" t="n">
        <v>52</v>
      </c>
      <c r="B2555" s="73">
        <f>"WEEK 52     "&amp;TEXT(C2556,"ddd d mmm")&amp;"  –  "&amp;TEXT(C2556+6,"ddd d mmm yyyy")</f>
        <v/>
      </c>
      <c r="S2555" s="74">
        <f>IF(TODAY()&lt;C2556,"FUTURE",IF(TODAY()&gt;C2556+6,"PAST","THIS WEEK"))</f>
        <v/>
      </c>
      <c r="W2555" s="75">
        <f>IF(AND(Engine!$B$8=$AC$3,Engine!$B$9=$A2555),"◀ ACTIVE WEEK","")</f>
        <v/>
      </c>
      <c r="AA2555" s="76" t="n"/>
      <c r="AB2555" s="77" t="inlineStr">
        <is>
          <t>◀ Prev</t>
        </is>
      </c>
      <c r="AC2555" s="77" t="inlineStr">
        <is>
          <t>Next ▶</t>
        </is>
      </c>
    </row>
    <row r="2556" ht="18" customHeight="1">
      <c r="A2556" t="n">
        <v>52</v>
      </c>
      <c r="B2556" s="78" t="inlineStr">
        <is>
          <t>DUTY</t>
        </is>
      </c>
      <c r="C2556" s="79">
        <f>$AC$2+7*($A2556-1)</f>
        <v/>
      </c>
      <c r="D2556" s="80" t="n"/>
      <c r="E2556" s="80" t="n"/>
      <c r="F2556" s="81" t="n"/>
      <c r="G2556" s="79">
        <f>C2556+1</f>
        <v/>
      </c>
      <c r="H2556" s="80" t="n"/>
      <c r="I2556" s="80" t="n"/>
      <c r="J2556" s="81" t="n"/>
      <c r="K2556" s="79">
        <f>C2556+2</f>
        <v/>
      </c>
      <c r="L2556" s="80" t="n"/>
      <c r="M2556" s="80" t="n"/>
      <c r="N2556" s="81" t="n"/>
      <c r="O2556" s="79">
        <f>C2556+3</f>
        <v/>
      </c>
      <c r="P2556" s="80" t="n"/>
      <c r="Q2556" s="80" t="n"/>
      <c r="R2556" s="81" t="n"/>
      <c r="S2556" s="79">
        <f>C2556+4</f>
        <v/>
      </c>
      <c r="T2556" s="80" t="n"/>
      <c r="U2556" s="80" t="n"/>
      <c r="V2556" s="81" t="n"/>
      <c r="W2556" s="82">
        <f>C2556+5</f>
        <v/>
      </c>
      <c r="X2556" s="83" t="n"/>
      <c r="Y2556" s="82">
        <f>C2556+6</f>
        <v/>
      </c>
      <c r="Z2556" s="83" t="n"/>
      <c r="AB2556" s="72" t="inlineStr">
        <is>
          <t>Gaps</t>
        </is>
      </c>
      <c r="AC2556" s="72" t="inlineStr">
        <is>
          <t>Cover</t>
        </is>
      </c>
    </row>
    <row r="2557" ht="14" customHeight="1">
      <c r="A2557" t="n">
        <v>52</v>
      </c>
      <c r="B2557" s="84" t="inlineStr">
        <is>
          <t>(from Setup)</t>
        </is>
      </c>
      <c r="C2557" s="85" t="inlineStr">
        <is>
          <t>1</t>
        </is>
      </c>
      <c r="D2557" s="85" t="inlineStr">
        <is>
          <t>2</t>
        </is>
      </c>
      <c r="E2557" s="85" t="inlineStr">
        <is>
          <t>3</t>
        </is>
      </c>
      <c r="F2557" s="85" t="inlineStr">
        <is>
          <t>Notes</t>
        </is>
      </c>
      <c r="G2557" s="85" t="inlineStr">
        <is>
          <t>1</t>
        </is>
      </c>
      <c r="H2557" s="85" t="inlineStr">
        <is>
          <t>2</t>
        </is>
      </c>
      <c r="I2557" s="85" t="inlineStr">
        <is>
          <t>3</t>
        </is>
      </c>
      <c r="J2557" s="85" t="inlineStr">
        <is>
          <t>Notes</t>
        </is>
      </c>
      <c r="K2557" s="85" t="inlineStr">
        <is>
          <t>1</t>
        </is>
      </c>
      <c r="L2557" s="85" t="inlineStr">
        <is>
          <t>2</t>
        </is>
      </c>
      <c r="M2557" s="85" t="inlineStr">
        <is>
          <t>3</t>
        </is>
      </c>
      <c r="N2557" s="85" t="inlineStr">
        <is>
          <t>Notes</t>
        </is>
      </c>
      <c r="O2557" s="85" t="inlineStr">
        <is>
          <t>1</t>
        </is>
      </c>
      <c r="P2557" s="85" t="inlineStr">
        <is>
          <t>2</t>
        </is>
      </c>
      <c r="Q2557" s="85" t="inlineStr">
        <is>
          <t>3</t>
        </is>
      </c>
      <c r="R2557" s="85" t="inlineStr">
        <is>
          <t>Notes</t>
        </is>
      </c>
      <c r="S2557" s="85" t="inlineStr">
        <is>
          <t>1</t>
        </is>
      </c>
      <c r="T2557" s="85" t="inlineStr">
        <is>
          <t>2</t>
        </is>
      </c>
      <c r="U2557" s="85" t="inlineStr">
        <is>
          <t>3</t>
        </is>
      </c>
      <c r="V2557" s="85" t="inlineStr">
        <is>
          <t>Notes</t>
        </is>
      </c>
      <c r="W2557" s="85" t="inlineStr">
        <is>
          <t>Cover</t>
        </is>
      </c>
      <c r="X2557" s="85" t="inlineStr">
        <is>
          <t>Notes</t>
        </is>
      </c>
      <c r="Y2557" s="85" t="inlineStr">
        <is>
          <t>Cover</t>
        </is>
      </c>
      <c r="Z2557" s="85" t="inlineStr">
        <is>
          <t>Notes</t>
        </is>
      </c>
      <c r="AB2557" s="86" t="inlineStr">
        <is>
          <t>weekdays short</t>
        </is>
      </c>
      <c r="AC2557" s="87" t="inlineStr"/>
    </row>
    <row r="2558" ht="17" customHeight="1">
      <c r="A2558" t="n">
        <v>52</v>
      </c>
      <c r="B2558" s="24">
        <f>IF(Setup!$K$6="","",Setup!$K$6)</f>
        <v/>
      </c>
      <c r="C2558" s="88" t="n"/>
      <c r="D2558" s="88" t="n"/>
      <c r="E2558" s="88" t="n"/>
      <c r="F2558" s="89" t="n"/>
      <c r="G2558" s="88" t="n"/>
      <c r="H2558" s="88" t="n"/>
      <c r="I2558" s="88" t="n"/>
      <c r="J2558" s="89" t="n"/>
      <c r="K2558" s="88" t="n"/>
      <c r="L2558" s="88" t="n"/>
      <c r="M2558" s="88" t="n"/>
      <c r="N2558" s="89" t="n"/>
      <c r="O2558" s="88" t="n"/>
      <c r="P2558" s="88" t="n"/>
      <c r="Q2558" s="88" t="n"/>
      <c r="R2558" s="89" t="n"/>
      <c r="S2558" s="88" t="n"/>
      <c r="T2558" s="88" t="n"/>
      <c r="U2558" s="88" t="n"/>
      <c r="V2558" s="89" t="n"/>
      <c r="W2558" s="88" t="n"/>
      <c r="X2558" s="89" t="n"/>
      <c r="Y2558" s="88" t="n"/>
      <c r="Z2558" s="89" t="n"/>
      <c r="AB2558" s="25">
        <f>IF($B2558="","",(COUNTIF(C2558:E2558,"?*")&lt;N(INDEX(Setup!$L$6:$L$23,1)))+(COUNTIF(G2558:I2558,"?*")&lt;N(INDEX(Setup!$L$6:$L$23,1)))+(COUNTIF(K2558:M2558,"?*")&lt;N(INDEX(Setup!$L$6:$L$23,1)))+(COUNTIF(O2558:Q2558,"?*")&lt;N(INDEX(Setup!$L$6:$L$23,1)))+(COUNTIF(S2558:U2558,"?*")&lt;N(INDEX(Setup!$L$6:$L$23,1)))+((W2558="")*(INDEX(Setup!$M$6:$M$23,1)="Y"))+((Y2558="")*(INDEX(Setup!$M$6:$M$23,1)="Y")))</f>
        <v/>
      </c>
      <c r="AC2558" s="90">
        <f>IF($B2558="","",IF(AB2558=0,"✓ covered","⚠ "&amp;AB2558&amp;IF(AB2558=1," gap"," gaps")))</f>
        <v/>
      </c>
    </row>
    <row r="2559" ht="17" customHeight="1">
      <c r="A2559" t="n">
        <v>52</v>
      </c>
      <c r="B2559" s="29">
        <f>IF(Setup!$K$7="","",Setup!$K$7)</f>
        <v/>
      </c>
      <c r="C2559" s="88" t="n"/>
      <c r="D2559" s="88" t="n"/>
      <c r="E2559" s="88" t="n"/>
      <c r="F2559" s="89" t="n"/>
      <c r="G2559" s="88" t="n"/>
      <c r="H2559" s="88" t="n"/>
      <c r="I2559" s="88" t="n"/>
      <c r="J2559" s="89" t="n"/>
      <c r="K2559" s="88" t="n"/>
      <c r="L2559" s="88" t="n"/>
      <c r="M2559" s="88" t="n"/>
      <c r="N2559" s="89" t="n"/>
      <c r="O2559" s="88" t="n"/>
      <c r="P2559" s="88" t="n"/>
      <c r="Q2559" s="88" t="n"/>
      <c r="R2559" s="89" t="n"/>
      <c r="S2559" s="88" t="n"/>
      <c r="T2559" s="88" t="n"/>
      <c r="U2559" s="88" t="n"/>
      <c r="V2559" s="89" t="n"/>
      <c r="W2559" s="88" t="n"/>
      <c r="X2559" s="89" t="n"/>
      <c r="Y2559" s="88" t="n"/>
      <c r="Z2559" s="89" t="n"/>
      <c r="AB2559" s="30">
        <f>IF($B2559="","",(COUNTIF(C2559:E2559,"?*")&lt;N(INDEX(Setup!$L$6:$L$23,2)))+(COUNTIF(G2559:I2559,"?*")&lt;N(INDEX(Setup!$L$6:$L$23,2)))+(COUNTIF(K2559:M2559,"?*")&lt;N(INDEX(Setup!$L$6:$L$23,2)))+(COUNTIF(O2559:Q2559,"?*")&lt;N(INDEX(Setup!$L$6:$L$23,2)))+(COUNTIF(S2559:U2559,"?*")&lt;N(INDEX(Setup!$L$6:$L$23,2)))+((W2559="")*(INDEX(Setup!$M$6:$M$23,2)="Y"))+((Y2559="")*(INDEX(Setup!$M$6:$M$23,2)="Y")))</f>
        <v/>
      </c>
      <c r="AC2559" s="91">
        <f>IF($B2559="","",IF(AB2559=0,"✓ covered","⚠ "&amp;AB2559&amp;IF(AB2559=1," gap"," gaps")))</f>
        <v/>
      </c>
    </row>
    <row r="2560" ht="17" customHeight="1">
      <c r="A2560" t="n">
        <v>52</v>
      </c>
      <c r="B2560" s="24">
        <f>IF(Setup!$K$8="","",Setup!$K$8)</f>
        <v/>
      </c>
      <c r="C2560" s="88" t="n"/>
      <c r="D2560" s="88" t="n"/>
      <c r="E2560" s="88" t="n"/>
      <c r="F2560" s="89" t="n"/>
      <c r="G2560" s="88" t="n"/>
      <c r="H2560" s="88" t="n"/>
      <c r="I2560" s="88" t="n"/>
      <c r="J2560" s="89" t="n"/>
      <c r="K2560" s="88" t="n"/>
      <c r="L2560" s="88" t="n"/>
      <c r="M2560" s="88" t="n"/>
      <c r="N2560" s="89" t="n"/>
      <c r="O2560" s="88" t="n"/>
      <c r="P2560" s="88" t="n"/>
      <c r="Q2560" s="88" t="n"/>
      <c r="R2560" s="89" t="n"/>
      <c r="S2560" s="88" t="n"/>
      <c r="T2560" s="88" t="n"/>
      <c r="U2560" s="88" t="n"/>
      <c r="V2560" s="89" t="n"/>
      <c r="W2560" s="88" t="n"/>
      <c r="X2560" s="89" t="n"/>
      <c r="Y2560" s="88" t="n"/>
      <c r="Z2560" s="89" t="n"/>
      <c r="AB2560" s="25">
        <f>IF($B2560="","",(COUNTIF(C2560:E2560,"?*")&lt;N(INDEX(Setup!$L$6:$L$23,3)))+(COUNTIF(G2560:I2560,"?*")&lt;N(INDEX(Setup!$L$6:$L$23,3)))+(COUNTIF(K2560:M2560,"?*")&lt;N(INDEX(Setup!$L$6:$L$23,3)))+(COUNTIF(O2560:Q2560,"?*")&lt;N(INDEX(Setup!$L$6:$L$23,3)))+(COUNTIF(S2560:U2560,"?*")&lt;N(INDEX(Setup!$L$6:$L$23,3)))+((W2560="")*(INDEX(Setup!$M$6:$M$23,3)="Y"))+((Y2560="")*(INDEX(Setup!$M$6:$M$23,3)="Y")))</f>
        <v/>
      </c>
      <c r="AC2560" s="90">
        <f>IF($B2560="","",IF(AB2560=0,"✓ covered","⚠ "&amp;AB2560&amp;IF(AB2560=1," gap"," gaps")))</f>
        <v/>
      </c>
    </row>
    <row r="2561" ht="17" customHeight="1">
      <c r="A2561" t="n">
        <v>52</v>
      </c>
      <c r="B2561" s="29">
        <f>IF(Setup!$K$9="","",Setup!$K$9)</f>
        <v/>
      </c>
      <c r="C2561" s="88" t="n"/>
      <c r="D2561" s="88" t="n"/>
      <c r="E2561" s="88" t="n"/>
      <c r="F2561" s="89" t="n"/>
      <c r="G2561" s="88" t="n"/>
      <c r="H2561" s="88" t="n"/>
      <c r="I2561" s="88" t="n"/>
      <c r="J2561" s="89" t="n"/>
      <c r="K2561" s="88" t="n"/>
      <c r="L2561" s="88" t="n"/>
      <c r="M2561" s="88" t="n"/>
      <c r="N2561" s="89" t="n"/>
      <c r="O2561" s="88" t="n"/>
      <c r="P2561" s="88" t="n"/>
      <c r="Q2561" s="88" t="n"/>
      <c r="R2561" s="89" t="n"/>
      <c r="S2561" s="88" t="n"/>
      <c r="T2561" s="88" t="n"/>
      <c r="U2561" s="88" t="n"/>
      <c r="V2561" s="89" t="n"/>
      <c r="W2561" s="88" t="n"/>
      <c r="X2561" s="89" t="n"/>
      <c r="Y2561" s="88" t="n"/>
      <c r="Z2561" s="89" t="n"/>
      <c r="AB2561" s="30">
        <f>IF($B2561="","",(COUNTIF(C2561:E2561,"?*")&lt;N(INDEX(Setup!$L$6:$L$23,4)))+(COUNTIF(G2561:I2561,"?*")&lt;N(INDEX(Setup!$L$6:$L$23,4)))+(COUNTIF(K2561:M2561,"?*")&lt;N(INDEX(Setup!$L$6:$L$23,4)))+(COUNTIF(O2561:Q2561,"?*")&lt;N(INDEX(Setup!$L$6:$L$23,4)))+(COUNTIF(S2561:U2561,"?*")&lt;N(INDEX(Setup!$L$6:$L$23,4)))+((W2561="")*(INDEX(Setup!$M$6:$M$23,4)="Y"))+((Y2561="")*(INDEX(Setup!$M$6:$M$23,4)="Y")))</f>
        <v/>
      </c>
      <c r="AC2561" s="91">
        <f>IF($B2561="","",IF(AB2561=0,"✓ covered","⚠ "&amp;AB2561&amp;IF(AB2561=1," gap"," gaps")))</f>
        <v/>
      </c>
    </row>
    <row r="2562" ht="17" customHeight="1">
      <c r="A2562" t="n">
        <v>52</v>
      </c>
      <c r="B2562" s="24">
        <f>IF(Setup!$K$10="","",Setup!$K$10)</f>
        <v/>
      </c>
      <c r="C2562" s="88" t="n"/>
      <c r="D2562" s="88" t="n"/>
      <c r="E2562" s="88" t="n"/>
      <c r="F2562" s="89" t="n"/>
      <c r="G2562" s="88" t="n"/>
      <c r="H2562" s="88" t="n"/>
      <c r="I2562" s="88" t="n"/>
      <c r="J2562" s="89" t="n"/>
      <c r="K2562" s="88" t="n"/>
      <c r="L2562" s="88" t="n"/>
      <c r="M2562" s="88" t="n"/>
      <c r="N2562" s="89" t="n"/>
      <c r="O2562" s="88" t="n"/>
      <c r="P2562" s="88" t="n"/>
      <c r="Q2562" s="88" t="n"/>
      <c r="R2562" s="89" t="n"/>
      <c r="S2562" s="88" t="n"/>
      <c r="T2562" s="88" t="n"/>
      <c r="U2562" s="88" t="n"/>
      <c r="V2562" s="89" t="n"/>
      <c r="W2562" s="88" t="n"/>
      <c r="X2562" s="89" t="n"/>
      <c r="Y2562" s="88" t="n"/>
      <c r="Z2562" s="89" t="n"/>
      <c r="AB2562" s="25">
        <f>IF($B2562="","",(COUNTIF(C2562:E2562,"?*")&lt;N(INDEX(Setup!$L$6:$L$23,5)))+(COUNTIF(G2562:I2562,"?*")&lt;N(INDEX(Setup!$L$6:$L$23,5)))+(COUNTIF(K2562:M2562,"?*")&lt;N(INDEX(Setup!$L$6:$L$23,5)))+(COUNTIF(O2562:Q2562,"?*")&lt;N(INDEX(Setup!$L$6:$L$23,5)))+(COUNTIF(S2562:U2562,"?*")&lt;N(INDEX(Setup!$L$6:$L$23,5)))+((W2562="")*(INDEX(Setup!$M$6:$M$23,5)="Y"))+((Y2562="")*(INDEX(Setup!$M$6:$M$23,5)="Y")))</f>
        <v/>
      </c>
      <c r="AC2562" s="90">
        <f>IF($B2562="","",IF(AB2562=0,"✓ covered","⚠ "&amp;AB2562&amp;IF(AB2562=1," gap"," gaps")))</f>
        <v/>
      </c>
    </row>
    <row r="2563" ht="17" customHeight="1">
      <c r="A2563" t="n">
        <v>52</v>
      </c>
      <c r="B2563" s="29">
        <f>IF(Setup!$K$11="","",Setup!$K$11)</f>
        <v/>
      </c>
      <c r="C2563" s="88" t="n"/>
      <c r="D2563" s="88" t="n"/>
      <c r="E2563" s="88" t="n"/>
      <c r="F2563" s="89" t="n"/>
      <c r="G2563" s="88" t="n"/>
      <c r="H2563" s="88" t="n"/>
      <c r="I2563" s="88" t="n"/>
      <c r="J2563" s="89" t="n"/>
      <c r="K2563" s="88" t="n"/>
      <c r="L2563" s="88" t="n"/>
      <c r="M2563" s="88" t="n"/>
      <c r="N2563" s="89" t="n"/>
      <c r="O2563" s="88" t="n"/>
      <c r="P2563" s="88" t="n"/>
      <c r="Q2563" s="88" t="n"/>
      <c r="R2563" s="89" t="n"/>
      <c r="S2563" s="88" t="n"/>
      <c r="T2563" s="88" t="n"/>
      <c r="U2563" s="88" t="n"/>
      <c r="V2563" s="89" t="n"/>
      <c r="W2563" s="88" t="n"/>
      <c r="X2563" s="89" t="n"/>
      <c r="Y2563" s="88" t="n"/>
      <c r="Z2563" s="89" t="n"/>
      <c r="AB2563" s="30">
        <f>IF($B2563="","",(COUNTIF(C2563:E2563,"?*")&lt;N(INDEX(Setup!$L$6:$L$23,6)))+(COUNTIF(G2563:I2563,"?*")&lt;N(INDEX(Setup!$L$6:$L$23,6)))+(COUNTIF(K2563:M2563,"?*")&lt;N(INDEX(Setup!$L$6:$L$23,6)))+(COUNTIF(O2563:Q2563,"?*")&lt;N(INDEX(Setup!$L$6:$L$23,6)))+(COUNTIF(S2563:U2563,"?*")&lt;N(INDEX(Setup!$L$6:$L$23,6)))+((W2563="")*(INDEX(Setup!$M$6:$M$23,6)="Y"))+((Y2563="")*(INDEX(Setup!$M$6:$M$23,6)="Y")))</f>
        <v/>
      </c>
      <c r="AC2563" s="91">
        <f>IF($B2563="","",IF(AB2563=0,"✓ covered","⚠ "&amp;AB2563&amp;IF(AB2563=1," gap"," gaps")))</f>
        <v/>
      </c>
    </row>
    <row r="2564" ht="17" customHeight="1">
      <c r="A2564" t="n">
        <v>52</v>
      </c>
      <c r="B2564" s="24">
        <f>IF(Setup!$K$12="","",Setup!$K$12)</f>
        <v/>
      </c>
      <c r="C2564" s="88" t="n"/>
      <c r="D2564" s="88" t="n"/>
      <c r="E2564" s="88" t="n"/>
      <c r="F2564" s="89" t="n"/>
      <c r="G2564" s="88" t="n"/>
      <c r="H2564" s="88" t="n"/>
      <c r="I2564" s="88" t="n"/>
      <c r="J2564" s="89" t="n"/>
      <c r="K2564" s="88" t="n"/>
      <c r="L2564" s="88" t="n"/>
      <c r="M2564" s="88" t="n"/>
      <c r="N2564" s="89" t="n"/>
      <c r="O2564" s="88" t="n"/>
      <c r="P2564" s="88" t="n"/>
      <c r="Q2564" s="88" t="n"/>
      <c r="R2564" s="89" t="n"/>
      <c r="S2564" s="88" t="n"/>
      <c r="T2564" s="88" t="n"/>
      <c r="U2564" s="88" t="n"/>
      <c r="V2564" s="89" t="n"/>
      <c r="W2564" s="88" t="n"/>
      <c r="X2564" s="89" t="n"/>
      <c r="Y2564" s="88" t="n"/>
      <c r="Z2564" s="89" t="n"/>
      <c r="AB2564" s="25">
        <f>IF($B2564="","",(COUNTIF(C2564:E2564,"?*")&lt;N(INDEX(Setup!$L$6:$L$23,7)))+(COUNTIF(G2564:I2564,"?*")&lt;N(INDEX(Setup!$L$6:$L$23,7)))+(COUNTIF(K2564:M2564,"?*")&lt;N(INDEX(Setup!$L$6:$L$23,7)))+(COUNTIF(O2564:Q2564,"?*")&lt;N(INDEX(Setup!$L$6:$L$23,7)))+(COUNTIF(S2564:U2564,"?*")&lt;N(INDEX(Setup!$L$6:$L$23,7)))+((W2564="")*(INDEX(Setup!$M$6:$M$23,7)="Y"))+((Y2564="")*(INDEX(Setup!$M$6:$M$23,7)="Y")))</f>
        <v/>
      </c>
      <c r="AC2564" s="90">
        <f>IF($B2564="","",IF(AB2564=0,"✓ covered","⚠ "&amp;AB2564&amp;IF(AB2564=1," gap"," gaps")))</f>
        <v/>
      </c>
    </row>
    <row r="2565" ht="17" customHeight="1">
      <c r="A2565" t="n">
        <v>52</v>
      </c>
      <c r="B2565" s="29">
        <f>IF(Setup!$K$13="","",Setup!$K$13)</f>
        <v/>
      </c>
      <c r="C2565" s="88" t="n"/>
      <c r="D2565" s="88" t="n"/>
      <c r="E2565" s="88" t="n"/>
      <c r="F2565" s="89" t="n"/>
      <c r="G2565" s="88" t="n"/>
      <c r="H2565" s="88" t="n"/>
      <c r="I2565" s="88" t="n"/>
      <c r="J2565" s="89" t="n"/>
      <c r="K2565" s="88" t="n"/>
      <c r="L2565" s="88" t="n"/>
      <c r="M2565" s="88" t="n"/>
      <c r="N2565" s="89" t="n"/>
      <c r="O2565" s="88" t="n"/>
      <c r="P2565" s="88" t="n"/>
      <c r="Q2565" s="88" t="n"/>
      <c r="R2565" s="89" t="n"/>
      <c r="S2565" s="88" t="n"/>
      <c r="T2565" s="88" t="n"/>
      <c r="U2565" s="88" t="n"/>
      <c r="V2565" s="89" t="n"/>
      <c r="W2565" s="88" t="n"/>
      <c r="X2565" s="89" t="n"/>
      <c r="Y2565" s="88" t="n"/>
      <c r="Z2565" s="89" t="n"/>
      <c r="AB2565" s="30">
        <f>IF($B2565="","",(COUNTIF(C2565:E2565,"?*")&lt;N(INDEX(Setup!$L$6:$L$23,8)))+(COUNTIF(G2565:I2565,"?*")&lt;N(INDEX(Setup!$L$6:$L$23,8)))+(COUNTIF(K2565:M2565,"?*")&lt;N(INDEX(Setup!$L$6:$L$23,8)))+(COUNTIF(O2565:Q2565,"?*")&lt;N(INDEX(Setup!$L$6:$L$23,8)))+(COUNTIF(S2565:U2565,"?*")&lt;N(INDEX(Setup!$L$6:$L$23,8)))+((W2565="")*(INDEX(Setup!$M$6:$M$23,8)="Y"))+((Y2565="")*(INDEX(Setup!$M$6:$M$23,8)="Y")))</f>
        <v/>
      </c>
      <c r="AC2565" s="91">
        <f>IF($B2565="","",IF(AB2565=0,"✓ covered","⚠ "&amp;AB2565&amp;IF(AB2565=1," gap"," gaps")))</f>
        <v/>
      </c>
    </row>
    <row r="2566" ht="17" customHeight="1">
      <c r="A2566" t="n">
        <v>52</v>
      </c>
      <c r="B2566" s="24">
        <f>IF(Setup!$K$14="","",Setup!$K$14)</f>
        <v/>
      </c>
      <c r="C2566" s="88" t="n"/>
      <c r="D2566" s="88" t="n"/>
      <c r="E2566" s="88" t="n"/>
      <c r="F2566" s="89" t="n"/>
      <c r="G2566" s="88" t="n"/>
      <c r="H2566" s="88" t="n"/>
      <c r="I2566" s="88" t="n"/>
      <c r="J2566" s="89" t="n"/>
      <c r="K2566" s="88" t="n"/>
      <c r="L2566" s="88" t="n"/>
      <c r="M2566" s="88" t="n"/>
      <c r="N2566" s="89" t="n"/>
      <c r="O2566" s="88" t="n"/>
      <c r="P2566" s="88" t="n"/>
      <c r="Q2566" s="88" t="n"/>
      <c r="R2566" s="89" t="n"/>
      <c r="S2566" s="88" t="n"/>
      <c r="T2566" s="88" t="n"/>
      <c r="U2566" s="88" t="n"/>
      <c r="V2566" s="89" t="n"/>
      <c r="W2566" s="88" t="n"/>
      <c r="X2566" s="89" t="n"/>
      <c r="Y2566" s="88" t="n"/>
      <c r="Z2566" s="89" t="n"/>
      <c r="AB2566" s="25">
        <f>IF($B2566="","",(COUNTIF(C2566:E2566,"?*")&lt;N(INDEX(Setup!$L$6:$L$23,9)))+(COUNTIF(G2566:I2566,"?*")&lt;N(INDEX(Setup!$L$6:$L$23,9)))+(COUNTIF(K2566:M2566,"?*")&lt;N(INDEX(Setup!$L$6:$L$23,9)))+(COUNTIF(O2566:Q2566,"?*")&lt;N(INDEX(Setup!$L$6:$L$23,9)))+(COUNTIF(S2566:U2566,"?*")&lt;N(INDEX(Setup!$L$6:$L$23,9)))+((W2566="")*(INDEX(Setup!$M$6:$M$23,9)="Y"))+((Y2566="")*(INDEX(Setup!$M$6:$M$23,9)="Y")))</f>
        <v/>
      </c>
      <c r="AC2566" s="90">
        <f>IF($B2566="","",IF(AB2566=0,"✓ covered","⚠ "&amp;AB2566&amp;IF(AB2566=1," gap"," gaps")))</f>
        <v/>
      </c>
    </row>
    <row r="2567" ht="17" customHeight="1">
      <c r="A2567" t="n">
        <v>52</v>
      </c>
      <c r="B2567" s="29">
        <f>IF(Setup!$K$15="","",Setup!$K$15)</f>
        <v/>
      </c>
      <c r="C2567" s="88" t="n"/>
      <c r="D2567" s="88" t="n"/>
      <c r="E2567" s="88" t="n"/>
      <c r="F2567" s="89" t="n"/>
      <c r="G2567" s="88" t="n"/>
      <c r="H2567" s="88" t="n"/>
      <c r="I2567" s="88" t="n"/>
      <c r="J2567" s="89" t="n"/>
      <c r="K2567" s="88" t="n"/>
      <c r="L2567" s="88" t="n"/>
      <c r="M2567" s="88" t="n"/>
      <c r="N2567" s="89" t="n"/>
      <c r="O2567" s="88" t="n"/>
      <c r="P2567" s="88" t="n"/>
      <c r="Q2567" s="88" t="n"/>
      <c r="R2567" s="89" t="n"/>
      <c r="S2567" s="88" t="n"/>
      <c r="T2567" s="88" t="n"/>
      <c r="U2567" s="88" t="n"/>
      <c r="V2567" s="89" t="n"/>
      <c r="W2567" s="88" t="n"/>
      <c r="X2567" s="89" t="n"/>
      <c r="Y2567" s="88" t="n"/>
      <c r="Z2567" s="89" t="n"/>
      <c r="AB2567" s="30">
        <f>IF($B2567="","",(COUNTIF(C2567:E2567,"?*")&lt;N(INDEX(Setup!$L$6:$L$23,10)))+(COUNTIF(G2567:I2567,"?*")&lt;N(INDEX(Setup!$L$6:$L$23,10)))+(COUNTIF(K2567:M2567,"?*")&lt;N(INDEX(Setup!$L$6:$L$23,10)))+(COUNTIF(O2567:Q2567,"?*")&lt;N(INDEX(Setup!$L$6:$L$23,10)))+(COUNTIF(S2567:U2567,"?*")&lt;N(INDEX(Setup!$L$6:$L$23,10)))+((W2567="")*(INDEX(Setup!$M$6:$M$23,10)="Y"))+((Y2567="")*(INDEX(Setup!$M$6:$M$23,10)="Y")))</f>
        <v/>
      </c>
      <c r="AC2567" s="91">
        <f>IF($B2567="","",IF(AB2567=0,"✓ covered","⚠ "&amp;AB2567&amp;IF(AB2567=1," gap"," gaps")))</f>
        <v/>
      </c>
    </row>
    <row r="2568" ht="17" customHeight="1">
      <c r="A2568" t="n">
        <v>52</v>
      </c>
      <c r="B2568" s="24">
        <f>IF(Setup!$K$16="","",Setup!$K$16)</f>
        <v/>
      </c>
      <c r="C2568" s="88" t="n"/>
      <c r="D2568" s="88" t="n"/>
      <c r="E2568" s="88" t="n"/>
      <c r="F2568" s="89" t="n"/>
      <c r="G2568" s="88" t="n"/>
      <c r="H2568" s="88" t="n"/>
      <c r="I2568" s="88" t="n"/>
      <c r="J2568" s="89" t="n"/>
      <c r="K2568" s="88" t="n"/>
      <c r="L2568" s="88" t="n"/>
      <c r="M2568" s="88" t="n"/>
      <c r="N2568" s="89" t="n"/>
      <c r="O2568" s="88" t="n"/>
      <c r="P2568" s="88" t="n"/>
      <c r="Q2568" s="88" t="n"/>
      <c r="R2568" s="89" t="n"/>
      <c r="S2568" s="88" t="n"/>
      <c r="T2568" s="88" t="n"/>
      <c r="U2568" s="88" t="n"/>
      <c r="V2568" s="89" t="n"/>
      <c r="W2568" s="88" t="n"/>
      <c r="X2568" s="89" t="n"/>
      <c r="Y2568" s="88" t="n"/>
      <c r="Z2568" s="89" t="n"/>
      <c r="AB2568" s="25">
        <f>IF($B2568="","",(COUNTIF(C2568:E2568,"?*")&lt;N(INDEX(Setup!$L$6:$L$23,11)))+(COUNTIF(G2568:I2568,"?*")&lt;N(INDEX(Setup!$L$6:$L$23,11)))+(COUNTIF(K2568:M2568,"?*")&lt;N(INDEX(Setup!$L$6:$L$23,11)))+(COUNTIF(O2568:Q2568,"?*")&lt;N(INDEX(Setup!$L$6:$L$23,11)))+(COUNTIF(S2568:U2568,"?*")&lt;N(INDEX(Setup!$L$6:$L$23,11)))+((W2568="")*(INDEX(Setup!$M$6:$M$23,11)="Y"))+((Y2568="")*(INDEX(Setup!$M$6:$M$23,11)="Y")))</f>
        <v/>
      </c>
      <c r="AC2568" s="90">
        <f>IF($B2568="","",IF(AB2568=0,"✓ covered","⚠ "&amp;AB2568&amp;IF(AB2568=1," gap"," gaps")))</f>
        <v/>
      </c>
    </row>
    <row r="2569" ht="17" customHeight="1">
      <c r="A2569" t="n">
        <v>52</v>
      </c>
      <c r="B2569" s="29">
        <f>IF(Setup!$K$17="","",Setup!$K$17)</f>
        <v/>
      </c>
      <c r="C2569" s="88" t="n"/>
      <c r="D2569" s="88" t="n"/>
      <c r="E2569" s="88" t="n"/>
      <c r="F2569" s="89" t="n"/>
      <c r="G2569" s="88" t="n"/>
      <c r="H2569" s="88" t="n"/>
      <c r="I2569" s="88" t="n"/>
      <c r="J2569" s="89" t="n"/>
      <c r="K2569" s="88" t="n"/>
      <c r="L2569" s="88" t="n"/>
      <c r="M2569" s="88" t="n"/>
      <c r="N2569" s="89" t="n"/>
      <c r="O2569" s="88" t="n"/>
      <c r="P2569" s="88" t="n"/>
      <c r="Q2569" s="88" t="n"/>
      <c r="R2569" s="89" t="n"/>
      <c r="S2569" s="88" t="n"/>
      <c r="T2569" s="88" t="n"/>
      <c r="U2569" s="88" t="n"/>
      <c r="V2569" s="89" t="n"/>
      <c r="W2569" s="88" t="n"/>
      <c r="X2569" s="89" t="n"/>
      <c r="Y2569" s="88" t="n"/>
      <c r="Z2569" s="89" t="n"/>
      <c r="AB2569" s="30">
        <f>IF($B2569="","",(COUNTIF(C2569:E2569,"?*")&lt;N(INDEX(Setup!$L$6:$L$23,12)))+(COUNTIF(G2569:I2569,"?*")&lt;N(INDEX(Setup!$L$6:$L$23,12)))+(COUNTIF(K2569:M2569,"?*")&lt;N(INDEX(Setup!$L$6:$L$23,12)))+(COUNTIF(O2569:Q2569,"?*")&lt;N(INDEX(Setup!$L$6:$L$23,12)))+(COUNTIF(S2569:U2569,"?*")&lt;N(INDEX(Setup!$L$6:$L$23,12)))+((W2569="")*(INDEX(Setup!$M$6:$M$23,12)="Y"))+((Y2569="")*(INDEX(Setup!$M$6:$M$23,12)="Y")))</f>
        <v/>
      </c>
      <c r="AC2569" s="91">
        <f>IF($B2569="","",IF(AB2569=0,"✓ covered","⚠ "&amp;AB2569&amp;IF(AB2569=1," gap"," gaps")))</f>
        <v/>
      </c>
    </row>
    <row r="2570" ht="17" customHeight="1">
      <c r="A2570" t="n">
        <v>52</v>
      </c>
      <c r="B2570" s="24">
        <f>IF(Setup!$K$18="","",Setup!$K$18)</f>
        <v/>
      </c>
      <c r="C2570" s="88" t="n"/>
      <c r="D2570" s="88" t="n"/>
      <c r="E2570" s="88" t="n"/>
      <c r="F2570" s="89" t="n"/>
      <c r="G2570" s="88" t="n"/>
      <c r="H2570" s="88" t="n"/>
      <c r="I2570" s="88" t="n"/>
      <c r="J2570" s="89" t="n"/>
      <c r="K2570" s="88" t="n"/>
      <c r="L2570" s="88" t="n"/>
      <c r="M2570" s="88" t="n"/>
      <c r="N2570" s="89" t="n"/>
      <c r="O2570" s="88" t="n"/>
      <c r="P2570" s="88" t="n"/>
      <c r="Q2570" s="88" t="n"/>
      <c r="R2570" s="89" t="n"/>
      <c r="S2570" s="88" t="n"/>
      <c r="T2570" s="88" t="n"/>
      <c r="U2570" s="88" t="n"/>
      <c r="V2570" s="89" t="n"/>
      <c r="W2570" s="88" t="n"/>
      <c r="X2570" s="89" t="n"/>
      <c r="Y2570" s="88" t="n"/>
      <c r="Z2570" s="89" t="n"/>
      <c r="AB2570" s="25">
        <f>IF($B2570="","",(COUNTIF(C2570:E2570,"?*")&lt;N(INDEX(Setup!$L$6:$L$23,13)))+(COUNTIF(G2570:I2570,"?*")&lt;N(INDEX(Setup!$L$6:$L$23,13)))+(COUNTIF(K2570:M2570,"?*")&lt;N(INDEX(Setup!$L$6:$L$23,13)))+(COUNTIF(O2570:Q2570,"?*")&lt;N(INDEX(Setup!$L$6:$L$23,13)))+(COUNTIF(S2570:U2570,"?*")&lt;N(INDEX(Setup!$L$6:$L$23,13)))+((W2570="")*(INDEX(Setup!$M$6:$M$23,13)="Y"))+((Y2570="")*(INDEX(Setup!$M$6:$M$23,13)="Y")))</f>
        <v/>
      </c>
      <c r="AC2570" s="90">
        <f>IF($B2570="","",IF(AB2570=0,"✓ covered","⚠ "&amp;AB2570&amp;IF(AB2570=1," gap"," gaps")))</f>
        <v/>
      </c>
    </row>
    <row r="2571" ht="17" customHeight="1">
      <c r="A2571" t="n">
        <v>52</v>
      </c>
      <c r="B2571" s="29">
        <f>IF(Setup!$K$19="","",Setup!$K$19)</f>
        <v/>
      </c>
      <c r="C2571" s="88" t="n"/>
      <c r="D2571" s="88" t="n"/>
      <c r="E2571" s="88" t="n"/>
      <c r="F2571" s="89" t="n"/>
      <c r="G2571" s="88" t="n"/>
      <c r="H2571" s="88" t="n"/>
      <c r="I2571" s="88" t="n"/>
      <c r="J2571" s="89" t="n"/>
      <c r="K2571" s="88" t="n"/>
      <c r="L2571" s="88" t="n"/>
      <c r="M2571" s="88" t="n"/>
      <c r="N2571" s="89" t="n"/>
      <c r="O2571" s="88" t="n"/>
      <c r="P2571" s="88" t="n"/>
      <c r="Q2571" s="88" t="n"/>
      <c r="R2571" s="89" t="n"/>
      <c r="S2571" s="88" t="n"/>
      <c r="T2571" s="88" t="n"/>
      <c r="U2571" s="88" t="n"/>
      <c r="V2571" s="89" t="n"/>
      <c r="W2571" s="88" t="n"/>
      <c r="X2571" s="89" t="n"/>
      <c r="Y2571" s="88" t="n"/>
      <c r="Z2571" s="89" t="n"/>
      <c r="AB2571" s="30">
        <f>IF($B2571="","",(COUNTIF(C2571:E2571,"?*")&lt;N(INDEX(Setup!$L$6:$L$23,14)))+(COUNTIF(G2571:I2571,"?*")&lt;N(INDEX(Setup!$L$6:$L$23,14)))+(COUNTIF(K2571:M2571,"?*")&lt;N(INDEX(Setup!$L$6:$L$23,14)))+(COUNTIF(O2571:Q2571,"?*")&lt;N(INDEX(Setup!$L$6:$L$23,14)))+(COUNTIF(S2571:U2571,"?*")&lt;N(INDEX(Setup!$L$6:$L$23,14)))+((W2571="")*(INDEX(Setup!$M$6:$M$23,14)="Y"))+((Y2571="")*(INDEX(Setup!$M$6:$M$23,14)="Y")))</f>
        <v/>
      </c>
      <c r="AC2571" s="91">
        <f>IF($B2571="","",IF(AB2571=0,"✓ covered","⚠ "&amp;AB2571&amp;IF(AB2571=1," gap"," gaps")))</f>
        <v/>
      </c>
    </row>
    <row r="2572" ht="17" customHeight="1">
      <c r="A2572" t="n">
        <v>52</v>
      </c>
      <c r="B2572" s="24">
        <f>IF(Setup!$K$20="","",Setup!$K$20)</f>
        <v/>
      </c>
      <c r="C2572" s="88" t="n"/>
      <c r="D2572" s="88" t="n"/>
      <c r="E2572" s="88" t="n"/>
      <c r="F2572" s="89" t="n"/>
      <c r="G2572" s="88" t="n"/>
      <c r="H2572" s="88" t="n"/>
      <c r="I2572" s="88" t="n"/>
      <c r="J2572" s="89" t="n"/>
      <c r="K2572" s="88" t="n"/>
      <c r="L2572" s="88" t="n"/>
      <c r="M2572" s="88" t="n"/>
      <c r="N2572" s="89" t="n"/>
      <c r="O2572" s="88" t="n"/>
      <c r="P2572" s="88" t="n"/>
      <c r="Q2572" s="88" t="n"/>
      <c r="R2572" s="89" t="n"/>
      <c r="S2572" s="88" t="n"/>
      <c r="T2572" s="88" t="n"/>
      <c r="U2572" s="88" t="n"/>
      <c r="V2572" s="89" t="n"/>
      <c r="W2572" s="88" t="n"/>
      <c r="X2572" s="89" t="n"/>
      <c r="Y2572" s="88" t="n"/>
      <c r="Z2572" s="89" t="n"/>
      <c r="AB2572" s="25">
        <f>IF($B2572="","",(COUNTIF(C2572:E2572,"?*")&lt;N(INDEX(Setup!$L$6:$L$23,15)))+(COUNTIF(G2572:I2572,"?*")&lt;N(INDEX(Setup!$L$6:$L$23,15)))+(COUNTIF(K2572:M2572,"?*")&lt;N(INDEX(Setup!$L$6:$L$23,15)))+(COUNTIF(O2572:Q2572,"?*")&lt;N(INDEX(Setup!$L$6:$L$23,15)))+(COUNTIF(S2572:U2572,"?*")&lt;N(INDEX(Setup!$L$6:$L$23,15)))+((W2572="")*(INDEX(Setup!$M$6:$M$23,15)="Y"))+((Y2572="")*(INDEX(Setup!$M$6:$M$23,15)="Y")))</f>
        <v/>
      </c>
      <c r="AC2572" s="90">
        <f>IF($B2572="","",IF(AB2572=0,"✓ covered","⚠ "&amp;AB2572&amp;IF(AB2572=1," gap"," gaps")))</f>
        <v/>
      </c>
    </row>
    <row r="2573" ht="17" customHeight="1">
      <c r="A2573" t="n">
        <v>52</v>
      </c>
      <c r="B2573" s="29">
        <f>IF(Setup!$K$21="","",Setup!$K$21)</f>
        <v/>
      </c>
      <c r="C2573" s="88" t="n"/>
      <c r="D2573" s="88" t="n"/>
      <c r="E2573" s="88" t="n"/>
      <c r="F2573" s="89" t="n"/>
      <c r="G2573" s="88" t="n"/>
      <c r="H2573" s="88" t="n"/>
      <c r="I2573" s="88" t="n"/>
      <c r="J2573" s="89" t="n"/>
      <c r="K2573" s="88" t="n"/>
      <c r="L2573" s="88" t="n"/>
      <c r="M2573" s="88" t="n"/>
      <c r="N2573" s="89" t="n"/>
      <c r="O2573" s="88" t="n"/>
      <c r="P2573" s="88" t="n"/>
      <c r="Q2573" s="88" t="n"/>
      <c r="R2573" s="89" t="n"/>
      <c r="S2573" s="88" t="n"/>
      <c r="T2573" s="88" t="n"/>
      <c r="U2573" s="88" t="n"/>
      <c r="V2573" s="89" t="n"/>
      <c r="W2573" s="88" t="n"/>
      <c r="X2573" s="89" t="n"/>
      <c r="Y2573" s="88" t="n"/>
      <c r="Z2573" s="89" t="n"/>
      <c r="AB2573" s="30">
        <f>IF($B2573="","",(COUNTIF(C2573:E2573,"?*")&lt;N(INDEX(Setup!$L$6:$L$23,16)))+(COUNTIF(G2573:I2573,"?*")&lt;N(INDEX(Setup!$L$6:$L$23,16)))+(COUNTIF(K2573:M2573,"?*")&lt;N(INDEX(Setup!$L$6:$L$23,16)))+(COUNTIF(O2573:Q2573,"?*")&lt;N(INDEX(Setup!$L$6:$L$23,16)))+(COUNTIF(S2573:U2573,"?*")&lt;N(INDEX(Setup!$L$6:$L$23,16)))+((W2573="")*(INDEX(Setup!$M$6:$M$23,16)="Y"))+((Y2573="")*(INDEX(Setup!$M$6:$M$23,16)="Y")))</f>
        <v/>
      </c>
      <c r="AC2573" s="91">
        <f>IF($B2573="","",IF(AB2573=0,"✓ covered","⚠ "&amp;AB2573&amp;IF(AB2573=1," gap"," gaps")))</f>
        <v/>
      </c>
    </row>
    <row r="2574" ht="17" customHeight="1">
      <c r="A2574" t="n">
        <v>52</v>
      </c>
      <c r="B2574" s="24">
        <f>IF(Setup!$K$22="","",Setup!$K$22)</f>
        <v/>
      </c>
      <c r="C2574" s="88" t="n"/>
      <c r="D2574" s="88" t="n"/>
      <c r="E2574" s="88" t="n"/>
      <c r="F2574" s="89" t="n"/>
      <c r="G2574" s="88" t="n"/>
      <c r="H2574" s="88" t="n"/>
      <c r="I2574" s="88" t="n"/>
      <c r="J2574" s="89" t="n"/>
      <c r="K2574" s="88" t="n"/>
      <c r="L2574" s="88" t="n"/>
      <c r="M2574" s="88" t="n"/>
      <c r="N2574" s="89" t="n"/>
      <c r="O2574" s="88" t="n"/>
      <c r="P2574" s="88" t="n"/>
      <c r="Q2574" s="88" t="n"/>
      <c r="R2574" s="89" t="n"/>
      <c r="S2574" s="88" t="n"/>
      <c r="T2574" s="88" t="n"/>
      <c r="U2574" s="88" t="n"/>
      <c r="V2574" s="89" t="n"/>
      <c r="W2574" s="88" t="n"/>
      <c r="X2574" s="89" t="n"/>
      <c r="Y2574" s="88" t="n"/>
      <c r="Z2574" s="89" t="n"/>
      <c r="AB2574" s="25">
        <f>IF($B2574="","",(COUNTIF(C2574:E2574,"?*")&lt;N(INDEX(Setup!$L$6:$L$23,17)))+(COUNTIF(G2574:I2574,"?*")&lt;N(INDEX(Setup!$L$6:$L$23,17)))+(COUNTIF(K2574:M2574,"?*")&lt;N(INDEX(Setup!$L$6:$L$23,17)))+(COUNTIF(O2574:Q2574,"?*")&lt;N(INDEX(Setup!$L$6:$L$23,17)))+(COUNTIF(S2574:U2574,"?*")&lt;N(INDEX(Setup!$L$6:$L$23,17)))+((W2574="")*(INDEX(Setup!$M$6:$M$23,17)="Y"))+((Y2574="")*(INDEX(Setup!$M$6:$M$23,17)="Y")))</f>
        <v/>
      </c>
      <c r="AC2574" s="90">
        <f>IF($B2574="","",IF(AB2574=0,"✓ covered","⚠ "&amp;AB2574&amp;IF(AB2574=1," gap"," gaps")))</f>
        <v/>
      </c>
    </row>
    <row r="2575" ht="17" customHeight="1">
      <c r="A2575" t="n">
        <v>52</v>
      </c>
      <c r="B2575" s="29">
        <f>IF(Setup!$K$23="","",Setup!$K$23)</f>
        <v/>
      </c>
      <c r="C2575" s="88" t="n"/>
      <c r="D2575" s="88" t="n"/>
      <c r="E2575" s="88" t="n"/>
      <c r="F2575" s="89" t="n"/>
      <c r="G2575" s="88" t="n"/>
      <c r="H2575" s="88" t="n"/>
      <c r="I2575" s="88" t="n"/>
      <c r="J2575" s="89" t="n"/>
      <c r="K2575" s="88" t="n"/>
      <c r="L2575" s="88" t="n"/>
      <c r="M2575" s="88" t="n"/>
      <c r="N2575" s="89" t="n"/>
      <c r="O2575" s="88" t="n"/>
      <c r="P2575" s="88" t="n"/>
      <c r="Q2575" s="88" t="n"/>
      <c r="R2575" s="89" t="n"/>
      <c r="S2575" s="88" t="n"/>
      <c r="T2575" s="88" t="n"/>
      <c r="U2575" s="88" t="n"/>
      <c r="V2575" s="89" t="n"/>
      <c r="W2575" s="88" t="n"/>
      <c r="X2575" s="89" t="n"/>
      <c r="Y2575" s="88" t="n"/>
      <c r="Z2575" s="89" t="n"/>
      <c r="AB2575" s="30">
        <f>IF($B2575="","",(COUNTIF(C2575:E2575,"?*")&lt;N(INDEX(Setup!$L$6:$L$23,18)))+(COUNTIF(G2575:I2575,"?*")&lt;N(INDEX(Setup!$L$6:$L$23,18)))+(COUNTIF(K2575:M2575,"?*")&lt;N(INDEX(Setup!$L$6:$L$23,18)))+(COUNTIF(O2575:Q2575,"?*")&lt;N(INDEX(Setup!$L$6:$L$23,18)))+(COUNTIF(S2575:U2575,"?*")&lt;N(INDEX(Setup!$L$6:$L$23,18)))+((W2575="")*(INDEX(Setup!$M$6:$M$23,18)="Y"))+((Y2575="")*(INDEX(Setup!$M$6:$M$23,18)="Y")))</f>
        <v/>
      </c>
      <c r="AC2575" s="91">
        <f>IF($B2575="","",IF(AB2575=0,"✓ covered","⚠ "&amp;AB2575&amp;IF(AB2575=1," gap"," gaps")))</f>
        <v/>
      </c>
    </row>
    <row r="2576" ht="18" customHeight="1">
      <c r="A2576" t="n">
        <v>52</v>
      </c>
      <c r="B2576" s="78" t="inlineStr">
        <is>
          <t>TEAM AVAILABILITY</t>
        </is>
      </c>
      <c r="C2576" s="92" t="inlineStr">
        <is>
          <t>Mon</t>
        </is>
      </c>
      <c r="D2576" s="93" t="n"/>
      <c r="E2576" s="93" t="n"/>
      <c r="F2576" s="94" t="n"/>
      <c r="G2576" s="92" t="inlineStr">
        <is>
          <t>Tue</t>
        </is>
      </c>
      <c r="H2576" s="93" t="n"/>
      <c r="I2576" s="93" t="n"/>
      <c r="J2576" s="94" t="n"/>
      <c r="K2576" s="92" t="inlineStr">
        <is>
          <t>Wed</t>
        </is>
      </c>
      <c r="L2576" s="93" t="n"/>
      <c r="M2576" s="93" t="n"/>
      <c r="N2576" s="94" t="n"/>
      <c r="O2576" s="92" t="inlineStr">
        <is>
          <t>Thu</t>
        </is>
      </c>
      <c r="P2576" s="93" t="n"/>
      <c r="Q2576" s="93" t="n"/>
      <c r="R2576" s="94" t="n"/>
      <c r="S2576" s="92" t="inlineStr">
        <is>
          <t>Fri</t>
        </is>
      </c>
      <c r="T2576" s="93" t="n"/>
      <c r="U2576" s="93" t="n"/>
      <c r="V2576" s="94" t="n"/>
      <c r="W2576" s="95" t="inlineStr">
        <is>
          <t>Sat</t>
        </is>
      </c>
      <c r="X2576" s="96" t="n"/>
      <c r="Y2576" s="95" t="inlineStr">
        <is>
          <t>Sun</t>
        </is>
      </c>
      <c r="Z2576" s="96" t="n"/>
      <c r="AB2576" s="97" t="inlineStr">
        <is>
          <t>Days rostered</t>
        </is>
      </c>
      <c r="AC2576" s="97" t="inlineStr">
        <is>
          <t>Conflicts</t>
        </is>
      </c>
    </row>
    <row r="2577" ht="15" customHeight="1">
      <c r="A2577" t="n">
        <v>52</v>
      </c>
      <c r="B2577" s="35">
        <f>IF(Setup!$B$6="","",Setup!$B$6)</f>
        <v/>
      </c>
      <c r="C2577" s="98" t="n"/>
      <c r="D2577" s="99" t="n"/>
      <c r="E2577" s="99" t="n"/>
      <c r="F2577" s="100" t="n"/>
      <c r="G2577" s="98" t="n"/>
      <c r="H2577" s="99" t="n"/>
      <c r="I2577" s="99" t="n"/>
      <c r="J2577" s="100" t="n"/>
      <c r="K2577" s="98" t="n"/>
      <c r="L2577" s="99" t="n"/>
      <c r="M2577" s="99" t="n"/>
      <c r="N2577" s="100" t="n"/>
      <c r="O2577" s="98" t="n"/>
      <c r="P2577" s="99" t="n"/>
      <c r="Q2577" s="99" t="n"/>
      <c r="R2577" s="100" t="n"/>
      <c r="S2577" s="98" t="n"/>
      <c r="T2577" s="99" t="n"/>
      <c r="U2577" s="99" t="n"/>
      <c r="V2577" s="100" t="n"/>
      <c r="W2577" s="98" t="n"/>
      <c r="X2577" s="100" t="n"/>
      <c r="Y2577" s="98" t="n"/>
      <c r="Z2577" s="100" t="n"/>
      <c r="AB2577" s="101">
        <f>IF($B2577="","",(COUNTIF(C2558:E2575,$B2577)+COUNTIF(C2558:E2575,$B2577&amp;" ~*")&gt;0)+(COUNTIF(G2558:I2575,$B2577)+COUNTIF(G2558:I2575,$B2577&amp;" ~*")&gt;0)+(COUNTIF(K2558:M2575,$B2577)+COUNTIF(K2558:M2575,$B2577&amp;" ~*")&gt;0)+(COUNTIF(O2558:Q2575,$B2577)+COUNTIF(O2558:Q2575,$B2577&amp;" ~*")&gt;0)+(COUNTIF(S2558:U2575,$B2577)+COUNTIF(S2558:U2575,$B2577&amp;" ~*")&gt;0)+(COUNTIF(W2558:W2575,$B2577)+COUNTIF(W2558:W2575,$B2577&amp;" ~*")&gt;0)+(COUNTIF(Y2558:Y2575,$B2577)+COUNTIF(Y2558:Y2575,$B2577&amp;" ~*")&gt;0))</f>
        <v/>
      </c>
      <c r="AC2577" s="36">
        <f>IF($B2577="","",(IFERROR(INDEX(Setup!$G$33:$G$40,MATCH(C2577,Setup!$B$33:$B$40,0)),0)=1)*(COUNTIF(C2558:E2575,$B2577)+COUNTIF(C2558:E2575,$B2577&amp;" ~*")&gt;0)+(IFERROR(INDEX(Setup!$G$33:$G$40,MATCH(G2577,Setup!$B$33:$B$40,0)),0)=1)*(COUNTIF(G2558:I2575,$B2577)+COUNTIF(G2558:I2575,$B2577&amp;" ~*")&gt;0)+(IFERROR(INDEX(Setup!$G$33:$G$40,MATCH(K2577,Setup!$B$33:$B$40,0)),0)=1)*(COUNTIF(K2558:M2575,$B2577)+COUNTIF(K2558:M2575,$B2577&amp;" ~*")&gt;0)+(IFERROR(INDEX(Setup!$G$33:$G$40,MATCH(O2577,Setup!$B$33:$B$40,0)),0)=1)*(COUNTIF(O2558:Q2575,$B2577)+COUNTIF(O2558:Q2575,$B2577&amp;" ~*")&gt;0)+(IFERROR(INDEX(Setup!$G$33:$G$40,MATCH(S2577,Setup!$B$33:$B$40,0)),0)=1)*(COUNTIF(S2558:U2575,$B2577)+COUNTIF(S2558:U2575,$B2577&amp;" ~*")&gt;0)+(IFERROR(INDEX(Setup!$G$33:$G$40,MATCH(W2577,Setup!$B$33:$B$40,0)),0)=1)*(COUNTIF(W2558:W2575,$B2577)+COUNTIF(W2558:W2575,$B2577&amp;" ~*")&gt;0)+(IFERROR(INDEX(Setup!$G$33:$G$40,MATCH(Y2577,Setup!$B$33:$B$40,0)),0)=1)*(COUNTIF(Y2558:Y2575,$B2577)+COUNTIF(Y2558:Y2575,$B2577&amp;" ~*")&gt;0))</f>
        <v/>
      </c>
    </row>
    <row r="2578" ht="15" customHeight="1">
      <c r="A2578" t="n">
        <v>52</v>
      </c>
      <c r="B2578" s="37">
        <f>IF(Setup!$B$7="","",Setup!$B$7)</f>
        <v/>
      </c>
      <c r="C2578" s="102" t="n"/>
      <c r="D2578" s="103" t="n"/>
      <c r="E2578" s="103" t="n"/>
      <c r="F2578" s="104" t="n"/>
      <c r="G2578" s="102" t="n"/>
      <c r="H2578" s="103" t="n"/>
      <c r="I2578" s="103" t="n"/>
      <c r="J2578" s="104" t="n"/>
      <c r="K2578" s="102" t="n"/>
      <c r="L2578" s="103" t="n"/>
      <c r="M2578" s="103" t="n"/>
      <c r="N2578" s="104" t="n"/>
      <c r="O2578" s="102" t="n"/>
      <c r="P2578" s="103" t="n"/>
      <c r="Q2578" s="103" t="n"/>
      <c r="R2578" s="104" t="n"/>
      <c r="S2578" s="102" t="n"/>
      <c r="T2578" s="103" t="n"/>
      <c r="U2578" s="103" t="n"/>
      <c r="V2578" s="104" t="n"/>
      <c r="W2578" s="102" t="n"/>
      <c r="X2578" s="104" t="n"/>
      <c r="Y2578" s="102" t="n"/>
      <c r="Z2578" s="104" t="n"/>
      <c r="AB2578" s="105">
        <f>IF($B2578="","",(COUNTIF(C2558:E2575,$B2578)+COUNTIF(C2558:E2575,$B2578&amp;" ~*")&gt;0)+(COUNTIF(G2558:I2575,$B2578)+COUNTIF(G2558:I2575,$B2578&amp;" ~*")&gt;0)+(COUNTIF(K2558:M2575,$B2578)+COUNTIF(K2558:M2575,$B2578&amp;" ~*")&gt;0)+(COUNTIF(O2558:Q2575,$B2578)+COUNTIF(O2558:Q2575,$B2578&amp;" ~*")&gt;0)+(COUNTIF(S2558:U2575,$B2578)+COUNTIF(S2558:U2575,$B2578&amp;" ~*")&gt;0)+(COUNTIF(W2558:W2575,$B2578)+COUNTIF(W2558:W2575,$B2578&amp;" ~*")&gt;0)+(COUNTIF(Y2558:Y2575,$B2578)+COUNTIF(Y2558:Y2575,$B2578&amp;" ~*")&gt;0))</f>
        <v/>
      </c>
      <c r="AC2578" s="38">
        <f>IF($B2578="","",(IFERROR(INDEX(Setup!$G$33:$G$40,MATCH(C2578,Setup!$B$33:$B$40,0)),0)=1)*(COUNTIF(C2558:E2575,$B2578)+COUNTIF(C2558:E2575,$B2578&amp;" ~*")&gt;0)+(IFERROR(INDEX(Setup!$G$33:$G$40,MATCH(G2578,Setup!$B$33:$B$40,0)),0)=1)*(COUNTIF(G2558:I2575,$B2578)+COUNTIF(G2558:I2575,$B2578&amp;" ~*")&gt;0)+(IFERROR(INDEX(Setup!$G$33:$G$40,MATCH(K2578,Setup!$B$33:$B$40,0)),0)=1)*(COUNTIF(K2558:M2575,$B2578)+COUNTIF(K2558:M2575,$B2578&amp;" ~*")&gt;0)+(IFERROR(INDEX(Setup!$G$33:$G$40,MATCH(O2578,Setup!$B$33:$B$40,0)),0)=1)*(COUNTIF(O2558:Q2575,$B2578)+COUNTIF(O2558:Q2575,$B2578&amp;" ~*")&gt;0)+(IFERROR(INDEX(Setup!$G$33:$G$40,MATCH(S2578,Setup!$B$33:$B$40,0)),0)=1)*(COUNTIF(S2558:U2575,$B2578)+COUNTIF(S2558:U2575,$B2578&amp;" ~*")&gt;0)+(IFERROR(INDEX(Setup!$G$33:$G$40,MATCH(W2578,Setup!$B$33:$B$40,0)),0)=1)*(COUNTIF(W2558:W2575,$B2578)+COUNTIF(W2558:W2575,$B2578&amp;" ~*")&gt;0)+(IFERROR(INDEX(Setup!$G$33:$G$40,MATCH(Y2578,Setup!$B$33:$B$40,0)),0)=1)*(COUNTIF(Y2558:Y2575,$B2578)+COUNTIF(Y2558:Y2575,$B2578&amp;" ~*")&gt;0))</f>
        <v/>
      </c>
    </row>
    <row r="2579" ht="15" customHeight="1">
      <c r="A2579" t="n">
        <v>52</v>
      </c>
      <c r="B2579" s="35">
        <f>IF(Setup!$B$8="","",Setup!$B$8)</f>
        <v/>
      </c>
      <c r="C2579" s="98" t="n"/>
      <c r="D2579" s="99" t="n"/>
      <c r="E2579" s="99" t="n"/>
      <c r="F2579" s="100" t="n"/>
      <c r="G2579" s="98" t="n"/>
      <c r="H2579" s="99" t="n"/>
      <c r="I2579" s="99" t="n"/>
      <c r="J2579" s="100" t="n"/>
      <c r="K2579" s="98" t="n"/>
      <c r="L2579" s="99" t="n"/>
      <c r="M2579" s="99" t="n"/>
      <c r="N2579" s="100" t="n"/>
      <c r="O2579" s="98" t="n"/>
      <c r="P2579" s="99" t="n"/>
      <c r="Q2579" s="99" t="n"/>
      <c r="R2579" s="100" t="n"/>
      <c r="S2579" s="98" t="n"/>
      <c r="T2579" s="99" t="n"/>
      <c r="U2579" s="99" t="n"/>
      <c r="V2579" s="100" t="n"/>
      <c r="W2579" s="98" t="n"/>
      <c r="X2579" s="100" t="n"/>
      <c r="Y2579" s="98" t="n"/>
      <c r="Z2579" s="100" t="n"/>
      <c r="AB2579" s="101">
        <f>IF($B2579="","",(COUNTIF(C2558:E2575,$B2579)+COUNTIF(C2558:E2575,$B2579&amp;" ~*")&gt;0)+(COUNTIF(G2558:I2575,$B2579)+COUNTIF(G2558:I2575,$B2579&amp;" ~*")&gt;0)+(COUNTIF(K2558:M2575,$B2579)+COUNTIF(K2558:M2575,$B2579&amp;" ~*")&gt;0)+(COUNTIF(O2558:Q2575,$B2579)+COUNTIF(O2558:Q2575,$B2579&amp;" ~*")&gt;0)+(COUNTIF(S2558:U2575,$B2579)+COUNTIF(S2558:U2575,$B2579&amp;" ~*")&gt;0)+(COUNTIF(W2558:W2575,$B2579)+COUNTIF(W2558:W2575,$B2579&amp;" ~*")&gt;0)+(COUNTIF(Y2558:Y2575,$B2579)+COUNTIF(Y2558:Y2575,$B2579&amp;" ~*")&gt;0))</f>
        <v/>
      </c>
      <c r="AC2579" s="36">
        <f>IF($B2579="","",(IFERROR(INDEX(Setup!$G$33:$G$40,MATCH(C2579,Setup!$B$33:$B$40,0)),0)=1)*(COUNTIF(C2558:E2575,$B2579)+COUNTIF(C2558:E2575,$B2579&amp;" ~*")&gt;0)+(IFERROR(INDEX(Setup!$G$33:$G$40,MATCH(G2579,Setup!$B$33:$B$40,0)),0)=1)*(COUNTIF(G2558:I2575,$B2579)+COUNTIF(G2558:I2575,$B2579&amp;" ~*")&gt;0)+(IFERROR(INDEX(Setup!$G$33:$G$40,MATCH(K2579,Setup!$B$33:$B$40,0)),0)=1)*(COUNTIF(K2558:M2575,$B2579)+COUNTIF(K2558:M2575,$B2579&amp;" ~*")&gt;0)+(IFERROR(INDEX(Setup!$G$33:$G$40,MATCH(O2579,Setup!$B$33:$B$40,0)),0)=1)*(COUNTIF(O2558:Q2575,$B2579)+COUNTIF(O2558:Q2575,$B2579&amp;" ~*")&gt;0)+(IFERROR(INDEX(Setup!$G$33:$G$40,MATCH(S2579,Setup!$B$33:$B$40,0)),0)=1)*(COUNTIF(S2558:U2575,$B2579)+COUNTIF(S2558:U2575,$B2579&amp;" ~*")&gt;0)+(IFERROR(INDEX(Setup!$G$33:$G$40,MATCH(W2579,Setup!$B$33:$B$40,0)),0)=1)*(COUNTIF(W2558:W2575,$B2579)+COUNTIF(W2558:W2575,$B2579&amp;" ~*")&gt;0)+(IFERROR(INDEX(Setup!$G$33:$G$40,MATCH(Y2579,Setup!$B$33:$B$40,0)),0)=1)*(COUNTIF(Y2558:Y2575,$B2579)+COUNTIF(Y2558:Y2575,$B2579&amp;" ~*")&gt;0))</f>
        <v/>
      </c>
    </row>
    <row r="2580" ht="15" customHeight="1">
      <c r="A2580" t="n">
        <v>52</v>
      </c>
      <c r="B2580" s="37">
        <f>IF(Setup!$B$9="","",Setup!$B$9)</f>
        <v/>
      </c>
      <c r="C2580" s="102" t="n"/>
      <c r="D2580" s="103" t="n"/>
      <c r="E2580" s="103" t="n"/>
      <c r="F2580" s="104" t="n"/>
      <c r="G2580" s="102" t="n"/>
      <c r="H2580" s="103" t="n"/>
      <c r="I2580" s="103" t="n"/>
      <c r="J2580" s="104" t="n"/>
      <c r="K2580" s="102" t="n"/>
      <c r="L2580" s="103" t="n"/>
      <c r="M2580" s="103" t="n"/>
      <c r="N2580" s="104" t="n"/>
      <c r="O2580" s="102" t="n"/>
      <c r="P2580" s="103" t="n"/>
      <c r="Q2580" s="103" t="n"/>
      <c r="R2580" s="104" t="n"/>
      <c r="S2580" s="102" t="n"/>
      <c r="T2580" s="103" t="n"/>
      <c r="U2580" s="103" t="n"/>
      <c r="V2580" s="104" t="n"/>
      <c r="W2580" s="102" t="n"/>
      <c r="X2580" s="104" t="n"/>
      <c r="Y2580" s="102" t="n"/>
      <c r="Z2580" s="104" t="n"/>
      <c r="AB2580" s="105">
        <f>IF($B2580="","",(COUNTIF(C2558:E2575,$B2580)+COUNTIF(C2558:E2575,$B2580&amp;" ~*")&gt;0)+(COUNTIF(G2558:I2575,$B2580)+COUNTIF(G2558:I2575,$B2580&amp;" ~*")&gt;0)+(COUNTIF(K2558:M2575,$B2580)+COUNTIF(K2558:M2575,$B2580&amp;" ~*")&gt;0)+(COUNTIF(O2558:Q2575,$B2580)+COUNTIF(O2558:Q2575,$B2580&amp;" ~*")&gt;0)+(COUNTIF(S2558:U2575,$B2580)+COUNTIF(S2558:U2575,$B2580&amp;" ~*")&gt;0)+(COUNTIF(W2558:W2575,$B2580)+COUNTIF(W2558:W2575,$B2580&amp;" ~*")&gt;0)+(COUNTIF(Y2558:Y2575,$B2580)+COUNTIF(Y2558:Y2575,$B2580&amp;" ~*")&gt;0))</f>
        <v/>
      </c>
      <c r="AC2580" s="38">
        <f>IF($B2580="","",(IFERROR(INDEX(Setup!$G$33:$G$40,MATCH(C2580,Setup!$B$33:$B$40,0)),0)=1)*(COUNTIF(C2558:E2575,$B2580)+COUNTIF(C2558:E2575,$B2580&amp;" ~*")&gt;0)+(IFERROR(INDEX(Setup!$G$33:$G$40,MATCH(G2580,Setup!$B$33:$B$40,0)),0)=1)*(COUNTIF(G2558:I2575,$B2580)+COUNTIF(G2558:I2575,$B2580&amp;" ~*")&gt;0)+(IFERROR(INDEX(Setup!$G$33:$G$40,MATCH(K2580,Setup!$B$33:$B$40,0)),0)=1)*(COUNTIF(K2558:M2575,$B2580)+COUNTIF(K2558:M2575,$B2580&amp;" ~*")&gt;0)+(IFERROR(INDEX(Setup!$G$33:$G$40,MATCH(O2580,Setup!$B$33:$B$40,0)),0)=1)*(COUNTIF(O2558:Q2575,$B2580)+COUNTIF(O2558:Q2575,$B2580&amp;" ~*")&gt;0)+(IFERROR(INDEX(Setup!$G$33:$G$40,MATCH(S2580,Setup!$B$33:$B$40,0)),0)=1)*(COUNTIF(S2558:U2575,$B2580)+COUNTIF(S2558:U2575,$B2580&amp;" ~*")&gt;0)+(IFERROR(INDEX(Setup!$G$33:$G$40,MATCH(W2580,Setup!$B$33:$B$40,0)),0)=1)*(COUNTIF(W2558:W2575,$B2580)+COUNTIF(W2558:W2575,$B2580&amp;" ~*")&gt;0)+(IFERROR(INDEX(Setup!$G$33:$G$40,MATCH(Y2580,Setup!$B$33:$B$40,0)),0)=1)*(COUNTIF(Y2558:Y2575,$B2580)+COUNTIF(Y2558:Y2575,$B2580&amp;" ~*")&gt;0))</f>
        <v/>
      </c>
    </row>
    <row r="2581" ht="15" customHeight="1">
      <c r="A2581" t="n">
        <v>52</v>
      </c>
      <c r="B2581" s="35">
        <f>IF(Setup!$B$10="","",Setup!$B$10)</f>
        <v/>
      </c>
      <c r="C2581" s="98" t="n"/>
      <c r="D2581" s="99" t="n"/>
      <c r="E2581" s="99" t="n"/>
      <c r="F2581" s="100" t="n"/>
      <c r="G2581" s="98" t="n"/>
      <c r="H2581" s="99" t="n"/>
      <c r="I2581" s="99" t="n"/>
      <c r="J2581" s="100" t="n"/>
      <c r="K2581" s="98" t="n"/>
      <c r="L2581" s="99" t="n"/>
      <c r="M2581" s="99" t="n"/>
      <c r="N2581" s="100" t="n"/>
      <c r="O2581" s="98" t="n"/>
      <c r="P2581" s="99" t="n"/>
      <c r="Q2581" s="99" t="n"/>
      <c r="R2581" s="100" t="n"/>
      <c r="S2581" s="98" t="n"/>
      <c r="T2581" s="99" t="n"/>
      <c r="U2581" s="99" t="n"/>
      <c r="V2581" s="100" t="n"/>
      <c r="W2581" s="98" t="n"/>
      <c r="X2581" s="100" t="n"/>
      <c r="Y2581" s="98" t="n"/>
      <c r="Z2581" s="100" t="n"/>
      <c r="AB2581" s="101">
        <f>IF($B2581="","",(COUNTIF(C2558:E2575,$B2581)+COUNTIF(C2558:E2575,$B2581&amp;" ~*")&gt;0)+(COUNTIF(G2558:I2575,$B2581)+COUNTIF(G2558:I2575,$B2581&amp;" ~*")&gt;0)+(COUNTIF(K2558:M2575,$B2581)+COUNTIF(K2558:M2575,$B2581&amp;" ~*")&gt;0)+(COUNTIF(O2558:Q2575,$B2581)+COUNTIF(O2558:Q2575,$B2581&amp;" ~*")&gt;0)+(COUNTIF(S2558:U2575,$B2581)+COUNTIF(S2558:U2575,$B2581&amp;" ~*")&gt;0)+(COUNTIF(W2558:W2575,$B2581)+COUNTIF(W2558:W2575,$B2581&amp;" ~*")&gt;0)+(COUNTIF(Y2558:Y2575,$B2581)+COUNTIF(Y2558:Y2575,$B2581&amp;" ~*")&gt;0))</f>
        <v/>
      </c>
      <c r="AC2581" s="36">
        <f>IF($B2581="","",(IFERROR(INDEX(Setup!$G$33:$G$40,MATCH(C2581,Setup!$B$33:$B$40,0)),0)=1)*(COUNTIF(C2558:E2575,$B2581)+COUNTIF(C2558:E2575,$B2581&amp;" ~*")&gt;0)+(IFERROR(INDEX(Setup!$G$33:$G$40,MATCH(G2581,Setup!$B$33:$B$40,0)),0)=1)*(COUNTIF(G2558:I2575,$B2581)+COUNTIF(G2558:I2575,$B2581&amp;" ~*")&gt;0)+(IFERROR(INDEX(Setup!$G$33:$G$40,MATCH(K2581,Setup!$B$33:$B$40,0)),0)=1)*(COUNTIF(K2558:M2575,$B2581)+COUNTIF(K2558:M2575,$B2581&amp;" ~*")&gt;0)+(IFERROR(INDEX(Setup!$G$33:$G$40,MATCH(O2581,Setup!$B$33:$B$40,0)),0)=1)*(COUNTIF(O2558:Q2575,$B2581)+COUNTIF(O2558:Q2575,$B2581&amp;" ~*")&gt;0)+(IFERROR(INDEX(Setup!$G$33:$G$40,MATCH(S2581,Setup!$B$33:$B$40,0)),0)=1)*(COUNTIF(S2558:U2575,$B2581)+COUNTIF(S2558:U2575,$B2581&amp;" ~*")&gt;0)+(IFERROR(INDEX(Setup!$G$33:$G$40,MATCH(W2581,Setup!$B$33:$B$40,0)),0)=1)*(COUNTIF(W2558:W2575,$B2581)+COUNTIF(W2558:W2575,$B2581&amp;" ~*")&gt;0)+(IFERROR(INDEX(Setup!$G$33:$G$40,MATCH(Y2581,Setup!$B$33:$B$40,0)),0)=1)*(COUNTIF(Y2558:Y2575,$B2581)+COUNTIF(Y2558:Y2575,$B2581&amp;" ~*")&gt;0))</f>
        <v/>
      </c>
    </row>
    <row r="2582" ht="15" customHeight="1">
      <c r="A2582" t="n">
        <v>52</v>
      </c>
      <c r="B2582" s="37">
        <f>IF(Setup!$B$11="","",Setup!$B$11)</f>
        <v/>
      </c>
      <c r="C2582" s="102" t="n"/>
      <c r="D2582" s="103" t="n"/>
      <c r="E2582" s="103" t="n"/>
      <c r="F2582" s="104" t="n"/>
      <c r="G2582" s="102" t="n"/>
      <c r="H2582" s="103" t="n"/>
      <c r="I2582" s="103" t="n"/>
      <c r="J2582" s="104" t="n"/>
      <c r="K2582" s="102" t="n"/>
      <c r="L2582" s="103" t="n"/>
      <c r="M2582" s="103" t="n"/>
      <c r="N2582" s="104" t="n"/>
      <c r="O2582" s="102" t="n"/>
      <c r="P2582" s="103" t="n"/>
      <c r="Q2582" s="103" t="n"/>
      <c r="R2582" s="104" t="n"/>
      <c r="S2582" s="102" t="n"/>
      <c r="T2582" s="103" t="n"/>
      <c r="U2582" s="103" t="n"/>
      <c r="V2582" s="104" t="n"/>
      <c r="W2582" s="102" t="n"/>
      <c r="X2582" s="104" t="n"/>
      <c r="Y2582" s="102" t="n"/>
      <c r="Z2582" s="104" t="n"/>
      <c r="AB2582" s="105">
        <f>IF($B2582="","",(COUNTIF(C2558:E2575,$B2582)+COUNTIF(C2558:E2575,$B2582&amp;" ~*")&gt;0)+(COUNTIF(G2558:I2575,$B2582)+COUNTIF(G2558:I2575,$B2582&amp;" ~*")&gt;0)+(COUNTIF(K2558:M2575,$B2582)+COUNTIF(K2558:M2575,$B2582&amp;" ~*")&gt;0)+(COUNTIF(O2558:Q2575,$B2582)+COUNTIF(O2558:Q2575,$B2582&amp;" ~*")&gt;0)+(COUNTIF(S2558:U2575,$B2582)+COUNTIF(S2558:U2575,$B2582&amp;" ~*")&gt;0)+(COUNTIF(W2558:W2575,$B2582)+COUNTIF(W2558:W2575,$B2582&amp;" ~*")&gt;0)+(COUNTIF(Y2558:Y2575,$B2582)+COUNTIF(Y2558:Y2575,$B2582&amp;" ~*")&gt;0))</f>
        <v/>
      </c>
      <c r="AC2582" s="38">
        <f>IF($B2582="","",(IFERROR(INDEX(Setup!$G$33:$G$40,MATCH(C2582,Setup!$B$33:$B$40,0)),0)=1)*(COUNTIF(C2558:E2575,$B2582)+COUNTIF(C2558:E2575,$B2582&amp;" ~*")&gt;0)+(IFERROR(INDEX(Setup!$G$33:$G$40,MATCH(G2582,Setup!$B$33:$B$40,0)),0)=1)*(COUNTIF(G2558:I2575,$B2582)+COUNTIF(G2558:I2575,$B2582&amp;" ~*")&gt;0)+(IFERROR(INDEX(Setup!$G$33:$G$40,MATCH(K2582,Setup!$B$33:$B$40,0)),0)=1)*(COUNTIF(K2558:M2575,$B2582)+COUNTIF(K2558:M2575,$B2582&amp;" ~*")&gt;0)+(IFERROR(INDEX(Setup!$G$33:$G$40,MATCH(O2582,Setup!$B$33:$B$40,0)),0)=1)*(COUNTIF(O2558:Q2575,$B2582)+COUNTIF(O2558:Q2575,$B2582&amp;" ~*")&gt;0)+(IFERROR(INDEX(Setup!$G$33:$G$40,MATCH(S2582,Setup!$B$33:$B$40,0)),0)=1)*(COUNTIF(S2558:U2575,$B2582)+COUNTIF(S2558:U2575,$B2582&amp;" ~*")&gt;0)+(IFERROR(INDEX(Setup!$G$33:$G$40,MATCH(W2582,Setup!$B$33:$B$40,0)),0)=1)*(COUNTIF(W2558:W2575,$B2582)+COUNTIF(W2558:W2575,$B2582&amp;" ~*")&gt;0)+(IFERROR(INDEX(Setup!$G$33:$G$40,MATCH(Y2582,Setup!$B$33:$B$40,0)),0)=1)*(COUNTIF(Y2558:Y2575,$B2582)+COUNTIF(Y2558:Y2575,$B2582&amp;" ~*")&gt;0))</f>
        <v/>
      </c>
    </row>
    <row r="2583" ht="15" customHeight="1">
      <c r="A2583" t="n">
        <v>52</v>
      </c>
      <c r="B2583" s="35">
        <f>IF(Setup!$B$12="","",Setup!$B$12)</f>
        <v/>
      </c>
      <c r="C2583" s="98" t="n"/>
      <c r="D2583" s="99" t="n"/>
      <c r="E2583" s="99" t="n"/>
      <c r="F2583" s="100" t="n"/>
      <c r="G2583" s="98" t="n"/>
      <c r="H2583" s="99" t="n"/>
      <c r="I2583" s="99" t="n"/>
      <c r="J2583" s="100" t="n"/>
      <c r="K2583" s="98" t="n"/>
      <c r="L2583" s="99" t="n"/>
      <c r="M2583" s="99" t="n"/>
      <c r="N2583" s="100" t="n"/>
      <c r="O2583" s="98" t="n"/>
      <c r="P2583" s="99" t="n"/>
      <c r="Q2583" s="99" t="n"/>
      <c r="R2583" s="100" t="n"/>
      <c r="S2583" s="98" t="n"/>
      <c r="T2583" s="99" t="n"/>
      <c r="U2583" s="99" t="n"/>
      <c r="V2583" s="100" t="n"/>
      <c r="W2583" s="98" t="n"/>
      <c r="X2583" s="100" t="n"/>
      <c r="Y2583" s="98" t="n"/>
      <c r="Z2583" s="100" t="n"/>
      <c r="AB2583" s="101">
        <f>IF($B2583="","",(COUNTIF(C2558:E2575,$B2583)+COUNTIF(C2558:E2575,$B2583&amp;" ~*")&gt;0)+(COUNTIF(G2558:I2575,$B2583)+COUNTIF(G2558:I2575,$B2583&amp;" ~*")&gt;0)+(COUNTIF(K2558:M2575,$B2583)+COUNTIF(K2558:M2575,$B2583&amp;" ~*")&gt;0)+(COUNTIF(O2558:Q2575,$B2583)+COUNTIF(O2558:Q2575,$B2583&amp;" ~*")&gt;0)+(COUNTIF(S2558:U2575,$B2583)+COUNTIF(S2558:U2575,$B2583&amp;" ~*")&gt;0)+(COUNTIF(W2558:W2575,$B2583)+COUNTIF(W2558:W2575,$B2583&amp;" ~*")&gt;0)+(COUNTIF(Y2558:Y2575,$B2583)+COUNTIF(Y2558:Y2575,$B2583&amp;" ~*")&gt;0))</f>
        <v/>
      </c>
      <c r="AC2583" s="36">
        <f>IF($B2583="","",(IFERROR(INDEX(Setup!$G$33:$G$40,MATCH(C2583,Setup!$B$33:$B$40,0)),0)=1)*(COUNTIF(C2558:E2575,$B2583)+COUNTIF(C2558:E2575,$B2583&amp;" ~*")&gt;0)+(IFERROR(INDEX(Setup!$G$33:$G$40,MATCH(G2583,Setup!$B$33:$B$40,0)),0)=1)*(COUNTIF(G2558:I2575,$B2583)+COUNTIF(G2558:I2575,$B2583&amp;" ~*")&gt;0)+(IFERROR(INDEX(Setup!$G$33:$G$40,MATCH(K2583,Setup!$B$33:$B$40,0)),0)=1)*(COUNTIF(K2558:M2575,$B2583)+COUNTIF(K2558:M2575,$B2583&amp;" ~*")&gt;0)+(IFERROR(INDEX(Setup!$G$33:$G$40,MATCH(O2583,Setup!$B$33:$B$40,0)),0)=1)*(COUNTIF(O2558:Q2575,$B2583)+COUNTIF(O2558:Q2575,$B2583&amp;" ~*")&gt;0)+(IFERROR(INDEX(Setup!$G$33:$G$40,MATCH(S2583,Setup!$B$33:$B$40,0)),0)=1)*(COUNTIF(S2558:U2575,$B2583)+COUNTIF(S2558:U2575,$B2583&amp;" ~*")&gt;0)+(IFERROR(INDEX(Setup!$G$33:$G$40,MATCH(W2583,Setup!$B$33:$B$40,0)),0)=1)*(COUNTIF(W2558:W2575,$B2583)+COUNTIF(W2558:W2575,$B2583&amp;" ~*")&gt;0)+(IFERROR(INDEX(Setup!$G$33:$G$40,MATCH(Y2583,Setup!$B$33:$B$40,0)),0)=1)*(COUNTIF(Y2558:Y2575,$B2583)+COUNTIF(Y2558:Y2575,$B2583&amp;" ~*")&gt;0))</f>
        <v/>
      </c>
    </row>
    <row r="2584" ht="15" customHeight="1">
      <c r="A2584" t="n">
        <v>52</v>
      </c>
      <c r="B2584" s="37">
        <f>IF(Setup!$B$13="","",Setup!$B$13)</f>
        <v/>
      </c>
      <c r="C2584" s="102" t="n"/>
      <c r="D2584" s="103" t="n"/>
      <c r="E2584" s="103" t="n"/>
      <c r="F2584" s="104" t="n"/>
      <c r="G2584" s="102" t="n"/>
      <c r="H2584" s="103" t="n"/>
      <c r="I2584" s="103" t="n"/>
      <c r="J2584" s="104" t="n"/>
      <c r="K2584" s="102" t="n"/>
      <c r="L2584" s="103" t="n"/>
      <c r="M2584" s="103" t="n"/>
      <c r="N2584" s="104" t="n"/>
      <c r="O2584" s="102" t="n"/>
      <c r="P2584" s="103" t="n"/>
      <c r="Q2584" s="103" t="n"/>
      <c r="R2584" s="104" t="n"/>
      <c r="S2584" s="102" t="n"/>
      <c r="T2584" s="103" t="n"/>
      <c r="U2584" s="103" t="n"/>
      <c r="V2584" s="104" t="n"/>
      <c r="W2584" s="102" t="n"/>
      <c r="X2584" s="104" t="n"/>
      <c r="Y2584" s="102" t="n"/>
      <c r="Z2584" s="104" t="n"/>
      <c r="AB2584" s="105">
        <f>IF($B2584="","",(COUNTIF(C2558:E2575,$B2584)+COUNTIF(C2558:E2575,$B2584&amp;" ~*")&gt;0)+(COUNTIF(G2558:I2575,$B2584)+COUNTIF(G2558:I2575,$B2584&amp;" ~*")&gt;0)+(COUNTIF(K2558:M2575,$B2584)+COUNTIF(K2558:M2575,$B2584&amp;" ~*")&gt;0)+(COUNTIF(O2558:Q2575,$B2584)+COUNTIF(O2558:Q2575,$B2584&amp;" ~*")&gt;0)+(COUNTIF(S2558:U2575,$B2584)+COUNTIF(S2558:U2575,$B2584&amp;" ~*")&gt;0)+(COUNTIF(W2558:W2575,$B2584)+COUNTIF(W2558:W2575,$B2584&amp;" ~*")&gt;0)+(COUNTIF(Y2558:Y2575,$B2584)+COUNTIF(Y2558:Y2575,$B2584&amp;" ~*")&gt;0))</f>
        <v/>
      </c>
      <c r="AC2584" s="38">
        <f>IF($B2584="","",(IFERROR(INDEX(Setup!$G$33:$G$40,MATCH(C2584,Setup!$B$33:$B$40,0)),0)=1)*(COUNTIF(C2558:E2575,$B2584)+COUNTIF(C2558:E2575,$B2584&amp;" ~*")&gt;0)+(IFERROR(INDEX(Setup!$G$33:$G$40,MATCH(G2584,Setup!$B$33:$B$40,0)),0)=1)*(COUNTIF(G2558:I2575,$B2584)+COUNTIF(G2558:I2575,$B2584&amp;" ~*")&gt;0)+(IFERROR(INDEX(Setup!$G$33:$G$40,MATCH(K2584,Setup!$B$33:$B$40,0)),0)=1)*(COUNTIF(K2558:M2575,$B2584)+COUNTIF(K2558:M2575,$B2584&amp;" ~*")&gt;0)+(IFERROR(INDEX(Setup!$G$33:$G$40,MATCH(O2584,Setup!$B$33:$B$40,0)),0)=1)*(COUNTIF(O2558:Q2575,$B2584)+COUNTIF(O2558:Q2575,$B2584&amp;" ~*")&gt;0)+(IFERROR(INDEX(Setup!$G$33:$G$40,MATCH(S2584,Setup!$B$33:$B$40,0)),0)=1)*(COUNTIF(S2558:U2575,$B2584)+COUNTIF(S2558:U2575,$B2584&amp;" ~*")&gt;0)+(IFERROR(INDEX(Setup!$G$33:$G$40,MATCH(W2584,Setup!$B$33:$B$40,0)),0)=1)*(COUNTIF(W2558:W2575,$B2584)+COUNTIF(W2558:W2575,$B2584&amp;" ~*")&gt;0)+(IFERROR(INDEX(Setup!$G$33:$G$40,MATCH(Y2584,Setup!$B$33:$B$40,0)),0)=1)*(COUNTIF(Y2558:Y2575,$B2584)+COUNTIF(Y2558:Y2575,$B2584&amp;" ~*")&gt;0))</f>
        <v/>
      </c>
    </row>
    <row r="2585" ht="15" customHeight="1">
      <c r="A2585" t="n">
        <v>52</v>
      </c>
      <c r="B2585" s="35">
        <f>IF(Setup!$B$14="","",Setup!$B$14)</f>
        <v/>
      </c>
      <c r="C2585" s="98" t="n"/>
      <c r="D2585" s="99" t="n"/>
      <c r="E2585" s="99" t="n"/>
      <c r="F2585" s="100" t="n"/>
      <c r="G2585" s="98" t="n"/>
      <c r="H2585" s="99" t="n"/>
      <c r="I2585" s="99" t="n"/>
      <c r="J2585" s="100" t="n"/>
      <c r="K2585" s="98" t="n"/>
      <c r="L2585" s="99" t="n"/>
      <c r="M2585" s="99" t="n"/>
      <c r="N2585" s="100" t="n"/>
      <c r="O2585" s="98" t="n"/>
      <c r="P2585" s="99" t="n"/>
      <c r="Q2585" s="99" t="n"/>
      <c r="R2585" s="100" t="n"/>
      <c r="S2585" s="98" t="n"/>
      <c r="T2585" s="99" t="n"/>
      <c r="U2585" s="99" t="n"/>
      <c r="V2585" s="100" t="n"/>
      <c r="W2585" s="98" t="n"/>
      <c r="X2585" s="100" t="n"/>
      <c r="Y2585" s="98" t="n"/>
      <c r="Z2585" s="100" t="n"/>
      <c r="AB2585" s="101">
        <f>IF($B2585="","",(COUNTIF(C2558:E2575,$B2585)+COUNTIF(C2558:E2575,$B2585&amp;" ~*")&gt;0)+(COUNTIF(G2558:I2575,$B2585)+COUNTIF(G2558:I2575,$B2585&amp;" ~*")&gt;0)+(COUNTIF(K2558:M2575,$B2585)+COUNTIF(K2558:M2575,$B2585&amp;" ~*")&gt;0)+(COUNTIF(O2558:Q2575,$B2585)+COUNTIF(O2558:Q2575,$B2585&amp;" ~*")&gt;0)+(COUNTIF(S2558:U2575,$B2585)+COUNTIF(S2558:U2575,$B2585&amp;" ~*")&gt;0)+(COUNTIF(W2558:W2575,$B2585)+COUNTIF(W2558:W2575,$B2585&amp;" ~*")&gt;0)+(COUNTIF(Y2558:Y2575,$B2585)+COUNTIF(Y2558:Y2575,$B2585&amp;" ~*")&gt;0))</f>
        <v/>
      </c>
      <c r="AC2585" s="36">
        <f>IF($B2585="","",(IFERROR(INDEX(Setup!$G$33:$G$40,MATCH(C2585,Setup!$B$33:$B$40,0)),0)=1)*(COUNTIF(C2558:E2575,$B2585)+COUNTIF(C2558:E2575,$B2585&amp;" ~*")&gt;0)+(IFERROR(INDEX(Setup!$G$33:$G$40,MATCH(G2585,Setup!$B$33:$B$40,0)),0)=1)*(COUNTIF(G2558:I2575,$B2585)+COUNTIF(G2558:I2575,$B2585&amp;" ~*")&gt;0)+(IFERROR(INDEX(Setup!$G$33:$G$40,MATCH(K2585,Setup!$B$33:$B$40,0)),0)=1)*(COUNTIF(K2558:M2575,$B2585)+COUNTIF(K2558:M2575,$B2585&amp;" ~*")&gt;0)+(IFERROR(INDEX(Setup!$G$33:$G$40,MATCH(O2585,Setup!$B$33:$B$40,0)),0)=1)*(COUNTIF(O2558:Q2575,$B2585)+COUNTIF(O2558:Q2575,$B2585&amp;" ~*")&gt;0)+(IFERROR(INDEX(Setup!$G$33:$G$40,MATCH(S2585,Setup!$B$33:$B$40,0)),0)=1)*(COUNTIF(S2558:U2575,$B2585)+COUNTIF(S2558:U2575,$B2585&amp;" ~*")&gt;0)+(IFERROR(INDEX(Setup!$G$33:$G$40,MATCH(W2585,Setup!$B$33:$B$40,0)),0)=1)*(COUNTIF(W2558:W2575,$B2585)+COUNTIF(W2558:W2575,$B2585&amp;" ~*")&gt;0)+(IFERROR(INDEX(Setup!$G$33:$G$40,MATCH(Y2585,Setup!$B$33:$B$40,0)),0)=1)*(COUNTIF(Y2558:Y2575,$B2585)+COUNTIF(Y2558:Y2575,$B2585&amp;" ~*")&gt;0))</f>
        <v/>
      </c>
    </row>
    <row r="2586" ht="15" customHeight="1">
      <c r="A2586" t="n">
        <v>52</v>
      </c>
      <c r="B2586" s="37">
        <f>IF(Setup!$B$15="","",Setup!$B$15)</f>
        <v/>
      </c>
      <c r="C2586" s="102" t="n"/>
      <c r="D2586" s="103" t="n"/>
      <c r="E2586" s="103" t="n"/>
      <c r="F2586" s="104" t="n"/>
      <c r="G2586" s="102" t="n"/>
      <c r="H2586" s="103" t="n"/>
      <c r="I2586" s="103" t="n"/>
      <c r="J2586" s="104" t="n"/>
      <c r="K2586" s="102" t="n"/>
      <c r="L2586" s="103" t="n"/>
      <c r="M2586" s="103" t="n"/>
      <c r="N2586" s="104" t="n"/>
      <c r="O2586" s="102" t="n"/>
      <c r="P2586" s="103" t="n"/>
      <c r="Q2586" s="103" t="n"/>
      <c r="R2586" s="104" t="n"/>
      <c r="S2586" s="102" t="n"/>
      <c r="T2586" s="103" t="n"/>
      <c r="U2586" s="103" t="n"/>
      <c r="V2586" s="104" t="n"/>
      <c r="W2586" s="102" t="n"/>
      <c r="X2586" s="104" t="n"/>
      <c r="Y2586" s="102" t="n"/>
      <c r="Z2586" s="104" t="n"/>
      <c r="AB2586" s="105">
        <f>IF($B2586="","",(COUNTIF(C2558:E2575,$B2586)+COUNTIF(C2558:E2575,$B2586&amp;" ~*")&gt;0)+(COUNTIF(G2558:I2575,$B2586)+COUNTIF(G2558:I2575,$B2586&amp;" ~*")&gt;0)+(COUNTIF(K2558:M2575,$B2586)+COUNTIF(K2558:M2575,$B2586&amp;" ~*")&gt;0)+(COUNTIF(O2558:Q2575,$B2586)+COUNTIF(O2558:Q2575,$B2586&amp;" ~*")&gt;0)+(COUNTIF(S2558:U2575,$B2586)+COUNTIF(S2558:U2575,$B2586&amp;" ~*")&gt;0)+(COUNTIF(W2558:W2575,$B2586)+COUNTIF(W2558:W2575,$B2586&amp;" ~*")&gt;0)+(COUNTIF(Y2558:Y2575,$B2586)+COUNTIF(Y2558:Y2575,$B2586&amp;" ~*")&gt;0))</f>
        <v/>
      </c>
      <c r="AC2586" s="38">
        <f>IF($B2586="","",(IFERROR(INDEX(Setup!$G$33:$G$40,MATCH(C2586,Setup!$B$33:$B$40,0)),0)=1)*(COUNTIF(C2558:E2575,$B2586)+COUNTIF(C2558:E2575,$B2586&amp;" ~*")&gt;0)+(IFERROR(INDEX(Setup!$G$33:$G$40,MATCH(G2586,Setup!$B$33:$B$40,0)),0)=1)*(COUNTIF(G2558:I2575,$B2586)+COUNTIF(G2558:I2575,$B2586&amp;" ~*")&gt;0)+(IFERROR(INDEX(Setup!$G$33:$G$40,MATCH(K2586,Setup!$B$33:$B$40,0)),0)=1)*(COUNTIF(K2558:M2575,$B2586)+COUNTIF(K2558:M2575,$B2586&amp;" ~*")&gt;0)+(IFERROR(INDEX(Setup!$G$33:$G$40,MATCH(O2586,Setup!$B$33:$B$40,0)),0)=1)*(COUNTIF(O2558:Q2575,$B2586)+COUNTIF(O2558:Q2575,$B2586&amp;" ~*")&gt;0)+(IFERROR(INDEX(Setup!$G$33:$G$40,MATCH(S2586,Setup!$B$33:$B$40,0)),0)=1)*(COUNTIF(S2558:U2575,$B2586)+COUNTIF(S2558:U2575,$B2586&amp;" ~*")&gt;0)+(IFERROR(INDEX(Setup!$G$33:$G$40,MATCH(W2586,Setup!$B$33:$B$40,0)),0)=1)*(COUNTIF(W2558:W2575,$B2586)+COUNTIF(W2558:W2575,$B2586&amp;" ~*")&gt;0)+(IFERROR(INDEX(Setup!$G$33:$G$40,MATCH(Y2586,Setup!$B$33:$B$40,0)),0)=1)*(COUNTIF(Y2558:Y2575,$B2586)+COUNTIF(Y2558:Y2575,$B2586&amp;" ~*")&gt;0))</f>
        <v/>
      </c>
    </row>
    <row r="2587" ht="15" customHeight="1">
      <c r="A2587" t="n">
        <v>52</v>
      </c>
      <c r="B2587" s="35">
        <f>IF(Setup!$B$16="","",Setup!$B$16)</f>
        <v/>
      </c>
      <c r="C2587" s="98" t="n"/>
      <c r="D2587" s="99" t="n"/>
      <c r="E2587" s="99" t="n"/>
      <c r="F2587" s="100" t="n"/>
      <c r="G2587" s="98" t="n"/>
      <c r="H2587" s="99" t="n"/>
      <c r="I2587" s="99" t="n"/>
      <c r="J2587" s="100" t="n"/>
      <c r="K2587" s="98" t="n"/>
      <c r="L2587" s="99" t="n"/>
      <c r="M2587" s="99" t="n"/>
      <c r="N2587" s="100" t="n"/>
      <c r="O2587" s="98" t="n"/>
      <c r="P2587" s="99" t="n"/>
      <c r="Q2587" s="99" t="n"/>
      <c r="R2587" s="100" t="n"/>
      <c r="S2587" s="98" t="n"/>
      <c r="T2587" s="99" t="n"/>
      <c r="U2587" s="99" t="n"/>
      <c r="V2587" s="100" t="n"/>
      <c r="W2587" s="98" t="n"/>
      <c r="X2587" s="100" t="n"/>
      <c r="Y2587" s="98" t="n"/>
      <c r="Z2587" s="100" t="n"/>
      <c r="AB2587" s="101">
        <f>IF($B2587="","",(COUNTIF(C2558:E2575,$B2587)+COUNTIF(C2558:E2575,$B2587&amp;" ~*")&gt;0)+(COUNTIF(G2558:I2575,$B2587)+COUNTIF(G2558:I2575,$B2587&amp;" ~*")&gt;0)+(COUNTIF(K2558:M2575,$B2587)+COUNTIF(K2558:M2575,$B2587&amp;" ~*")&gt;0)+(COUNTIF(O2558:Q2575,$B2587)+COUNTIF(O2558:Q2575,$B2587&amp;" ~*")&gt;0)+(COUNTIF(S2558:U2575,$B2587)+COUNTIF(S2558:U2575,$B2587&amp;" ~*")&gt;0)+(COUNTIF(W2558:W2575,$B2587)+COUNTIF(W2558:W2575,$B2587&amp;" ~*")&gt;0)+(COUNTIF(Y2558:Y2575,$B2587)+COUNTIF(Y2558:Y2575,$B2587&amp;" ~*")&gt;0))</f>
        <v/>
      </c>
      <c r="AC2587" s="36">
        <f>IF($B2587="","",(IFERROR(INDEX(Setup!$G$33:$G$40,MATCH(C2587,Setup!$B$33:$B$40,0)),0)=1)*(COUNTIF(C2558:E2575,$B2587)+COUNTIF(C2558:E2575,$B2587&amp;" ~*")&gt;0)+(IFERROR(INDEX(Setup!$G$33:$G$40,MATCH(G2587,Setup!$B$33:$B$40,0)),0)=1)*(COUNTIF(G2558:I2575,$B2587)+COUNTIF(G2558:I2575,$B2587&amp;" ~*")&gt;0)+(IFERROR(INDEX(Setup!$G$33:$G$40,MATCH(K2587,Setup!$B$33:$B$40,0)),0)=1)*(COUNTIF(K2558:M2575,$B2587)+COUNTIF(K2558:M2575,$B2587&amp;" ~*")&gt;0)+(IFERROR(INDEX(Setup!$G$33:$G$40,MATCH(O2587,Setup!$B$33:$B$40,0)),0)=1)*(COUNTIF(O2558:Q2575,$B2587)+COUNTIF(O2558:Q2575,$B2587&amp;" ~*")&gt;0)+(IFERROR(INDEX(Setup!$G$33:$G$40,MATCH(S2587,Setup!$B$33:$B$40,0)),0)=1)*(COUNTIF(S2558:U2575,$B2587)+COUNTIF(S2558:U2575,$B2587&amp;" ~*")&gt;0)+(IFERROR(INDEX(Setup!$G$33:$G$40,MATCH(W2587,Setup!$B$33:$B$40,0)),0)=1)*(COUNTIF(W2558:W2575,$B2587)+COUNTIF(W2558:W2575,$B2587&amp;" ~*")&gt;0)+(IFERROR(INDEX(Setup!$G$33:$G$40,MATCH(Y2587,Setup!$B$33:$B$40,0)),0)=1)*(COUNTIF(Y2558:Y2575,$B2587)+COUNTIF(Y2558:Y2575,$B2587&amp;" ~*")&gt;0))</f>
        <v/>
      </c>
    </row>
    <row r="2588" ht="15" customHeight="1">
      <c r="A2588" t="n">
        <v>52</v>
      </c>
      <c r="B2588" s="37">
        <f>IF(Setup!$B$17="","",Setup!$B$17)</f>
        <v/>
      </c>
      <c r="C2588" s="102" t="n"/>
      <c r="D2588" s="103" t="n"/>
      <c r="E2588" s="103" t="n"/>
      <c r="F2588" s="104" t="n"/>
      <c r="G2588" s="102" t="n"/>
      <c r="H2588" s="103" t="n"/>
      <c r="I2588" s="103" t="n"/>
      <c r="J2588" s="104" t="n"/>
      <c r="K2588" s="102" t="n"/>
      <c r="L2588" s="103" t="n"/>
      <c r="M2588" s="103" t="n"/>
      <c r="N2588" s="104" t="n"/>
      <c r="O2588" s="102" t="n"/>
      <c r="P2588" s="103" t="n"/>
      <c r="Q2588" s="103" t="n"/>
      <c r="R2588" s="104" t="n"/>
      <c r="S2588" s="102" t="n"/>
      <c r="T2588" s="103" t="n"/>
      <c r="U2588" s="103" t="n"/>
      <c r="V2588" s="104" t="n"/>
      <c r="W2588" s="102" t="n"/>
      <c r="X2588" s="104" t="n"/>
      <c r="Y2588" s="102" t="n"/>
      <c r="Z2588" s="104" t="n"/>
      <c r="AB2588" s="105">
        <f>IF($B2588="","",(COUNTIF(C2558:E2575,$B2588)+COUNTIF(C2558:E2575,$B2588&amp;" ~*")&gt;0)+(COUNTIF(G2558:I2575,$B2588)+COUNTIF(G2558:I2575,$B2588&amp;" ~*")&gt;0)+(COUNTIF(K2558:M2575,$B2588)+COUNTIF(K2558:M2575,$B2588&amp;" ~*")&gt;0)+(COUNTIF(O2558:Q2575,$B2588)+COUNTIF(O2558:Q2575,$B2588&amp;" ~*")&gt;0)+(COUNTIF(S2558:U2575,$B2588)+COUNTIF(S2558:U2575,$B2588&amp;" ~*")&gt;0)+(COUNTIF(W2558:W2575,$B2588)+COUNTIF(W2558:W2575,$B2588&amp;" ~*")&gt;0)+(COUNTIF(Y2558:Y2575,$B2588)+COUNTIF(Y2558:Y2575,$B2588&amp;" ~*")&gt;0))</f>
        <v/>
      </c>
      <c r="AC2588" s="38">
        <f>IF($B2588="","",(IFERROR(INDEX(Setup!$G$33:$G$40,MATCH(C2588,Setup!$B$33:$B$40,0)),0)=1)*(COUNTIF(C2558:E2575,$B2588)+COUNTIF(C2558:E2575,$B2588&amp;" ~*")&gt;0)+(IFERROR(INDEX(Setup!$G$33:$G$40,MATCH(G2588,Setup!$B$33:$B$40,0)),0)=1)*(COUNTIF(G2558:I2575,$B2588)+COUNTIF(G2558:I2575,$B2588&amp;" ~*")&gt;0)+(IFERROR(INDEX(Setup!$G$33:$G$40,MATCH(K2588,Setup!$B$33:$B$40,0)),0)=1)*(COUNTIF(K2558:M2575,$B2588)+COUNTIF(K2558:M2575,$B2588&amp;" ~*")&gt;0)+(IFERROR(INDEX(Setup!$G$33:$G$40,MATCH(O2588,Setup!$B$33:$B$40,0)),0)=1)*(COUNTIF(O2558:Q2575,$B2588)+COUNTIF(O2558:Q2575,$B2588&amp;" ~*")&gt;0)+(IFERROR(INDEX(Setup!$G$33:$G$40,MATCH(S2588,Setup!$B$33:$B$40,0)),0)=1)*(COUNTIF(S2558:U2575,$B2588)+COUNTIF(S2558:U2575,$B2588&amp;" ~*")&gt;0)+(IFERROR(INDEX(Setup!$G$33:$G$40,MATCH(W2588,Setup!$B$33:$B$40,0)),0)=1)*(COUNTIF(W2558:W2575,$B2588)+COUNTIF(W2558:W2575,$B2588&amp;" ~*")&gt;0)+(IFERROR(INDEX(Setup!$G$33:$G$40,MATCH(Y2588,Setup!$B$33:$B$40,0)),0)=1)*(COUNTIF(Y2558:Y2575,$B2588)+COUNTIF(Y2558:Y2575,$B2588&amp;" ~*")&gt;0))</f>
        <v/>
      </c>
    </row>
    <row r="2589" ht="15" customHeight="1">
      <c r="A2589" t="n">
        <v>52</v>
      </c>
      <c r="B2589" s="35">
        <f>IF(Setup!$B$18="","",Setup!$B$18)</f>
        <v/>
      </c>
      <c r="C2589" s="98" t="n"/>
      <c r="D2589" s="99" t="n"/>
      <c r="E2589" s="99" t="n"/>
      <c r="F2589" s="100" t="n"/>
      <c r="G2589" s="98" t="n"/>
      <c r="H2589" s="99" t="n"/>
      <c r="I2589" s="99" t="n"/>
      <c r="J2589" s="100" t="n"/>
      <c r="K2589" s="98" t="n"/>
      <c r="L2589" s="99" t="n"/>
      <c r="M2589" s="99" t="n"/>
      <c r="N2589" s="100" t="n"/>
      <c r="O2589" s="98" t="n"/>
      <c r="P2589" s="99" t="n"/>
      <c r="Q2589" s="99" t="n"/>
      <c r="R2589" s="100" t="n"/>
      <c r="S2589" s="98" t="n"/>
      <c r="T2589" s="99" t="n"/>
      <c r="U2589" s="99" t="n"/>
      <c r="V2589" s="100" t="n"/>
      <c r="W2589" s="98" t="n"/>
      <c r="X2589" s="100" t="n"/>
      <c r="Y2589" s="98" t="n"/>
      <c r="Z2589" s="100" t="n"/>
      <c r="AB2589" s="101">
        <f>IF($B2589="","",(COUNTIF(C2558:E2575,$B2589)+COUNTIF(C2558:E2575,$B2589&amp;" ~*")&gt;0)+(COUNTIF(G2558:I2575,$B2589)+COUNTIF(G2558:I2575,$B2589&amp;" ~*")&gt;0)+(COUNTIF(K2558:M2575,$B2589)+COUNTIF(K2558:M2575,$B2589&amp;" ~*")&gt;0)+(COUNTIF(O2558:Q2575,$B2589)+COUNTIF(O2558:Q2575,$B2589&amp;" ~*")&gt;0)+(COUNTIF(S2558:U2575,$B2589)+COUNTIF(S2558:U2575,$B2589&amp;" ~*")&gt;0)+(COUNTIF(W2558:W2575,$B2589)+COUNTIF(W2558:W2575,$B2589&amp;" ~*")&gt;0)+(COUNTIF(Y2558:Y2575,$B2589)+COUNTIF(Y2558:Y2575,$B2589&amp;" ~*")&gt;0))</f>
        <v/>
      </c>
      <c r="AC2589" s="36">
        <f>IF($B2589="","",(IFERROR(INDEX(Setup!$G$33:$G$40,MATCH(C2589,Setup!$B$33:$B$40,0)),0)=1)*(COUNTIF(C2558:E2575,$B2589)+COUNTIF(C2558:E2575,$B2589&amp;" ~*")&gt;0)+(IFERROR(INDEX(Setup!$G$33:$G$40,MATCH(G2589,Setup!$B$33:$B$40,0)),0)=1)*(COUNTIF(G2558:I2575,$B2589)+COUNTIF(G2558:I2575,$B2589&amp;" ~*")&gt;0)+(IFERROR(INDEX(Setup!$G$33:$G$40,MATCH(K2589,Setup!$B$33:$B$40,0)),0)=1)*(COUNTIF(K2558:M2575,$B2589)+COUNTIF(K2558:M2575,$B2589&amp;" ~*")&gt;0)+(IFERROR(INDEX(Setup!$G$33:$G$40,MATCH(O2589,Setup!$B$33:$B$40,0)),0)=1)*(COUNTIF(O2558:Q2575,$B2589)+COUNTIF(O2558:Q2575,$B2589&amp;" ~*")&gt;0)+(IFERROR(INDEX(Setup!$G$33:$G$40,MATCH(S2589,Setup!$B$33:$B$40,0)),0)=1)*(COUNTIF(S2558:U2575,$B2589)+COUNTIF(S2558:U2575,$B2589&amp;" ~*")&gt;0)+(IFERROR(INDEX(Setup!$G$33:$G$40,MATCH(W2589,Setup!$B$33:$B$40,0)),0)=1)*(COUNTIF(W2558:W2575,$B2589)+COUNTIF(W2558:W2575,$B2589&amp;" ~*")&gt;0)+(IFERROR(INDEX(Setup!$G$33:$G$40,MATCH(Y2589,Setup!$B$33:$B$40,0)),0)=1)*(COUNTIF(Y2558:Y2575,$B2589)+COUNTIF(Y2558:Y2575,$B2589&amp;" ~*")&gt;0))</f>
        <v/>
      </c>
    </row>
    <row r="2590" ht="15" customHeight="1">
      <c r="A2590" t="n">
        <v>52</v>
      </c>
      <c r="B2590" s="37">
        <f>IF(Setup!$B$19="","",Setup!$B$19)</f>
        <v/>
      </c>
      <c r="C2590" s="102" t="n"/>
      <c r="D2590" s="103" t="n"/>
      <c r="E2590" s="103" t="n"/>
      <c r="F2590" s="104" t="n"/>
      <c r="G2590" s="102" t="n"/>
      <c r="H2590" s="103" t="n"/>
      <c r="I2590" s="103" t="n"/>
      <c r="J2590" s="104" t="n"/>
      <c r="K2590" s="102" t="n"/>
      <c r="L2590" s="103" t="n"/>
      <c r="M2590" s="103" t="n"/>
      <c r="N2590" s="104" t="n"/>
      <c r="O2590" s="102" t="n"/>
      <c r="P2590" s="103" t="n"/>
      <c r="Q2590" s="103" t="n"/>
      <c r="R2590" s="104" t="n"/>
      <c r="S2590" s="102" t="n"/>
      <c r="T2590" s="103" t="n"/>
      <c r="U2590" s="103" t="n"/>
      <c r="V2590" s="104" t="n"/>
      <c r="W2590" s="102" t="n"/>
      <c r="X2590" s="104" t="n"/>
      <c r="Y2590" s="102" t="n"/>
      <c r="Z2590" s="104" t="n"/>
      <c r="AB2590" s="105">
        <f>IF($B2590="","",(COUNTIF(C2558:E2575,$B2590)+COUNTIF(C2558:E2575,$B2590&amp;" ~*")&gt;0)+(COUNTIF(G2558:I2575,$B2590)+COUNTIF(G2558:I2575,$B2590&amp;" ~*")&gt;0)+(COUNTIF(K2558:M2575,$B2590)+COUNTIF(K2558:M2575,$B2590&amp;" ~*")&gt;0)+(COUNTIF(O2558:Q2575,$B2590)+COUNTIF(O2558:Q2575,$B2590&amp;" ~*")&gt;0)+(COUNTIF(S2558:U2575,$B2590)+COUNTIF(S2558:U2575,$B2590&amp;" ~*")&gt;0)+(COUNTIF(W2558:W2575,$B2590)+COUNTIF(W2558:W2575,$B2590&amp;" ~*")&gt;0)+(COUNTIF(Y2558:Y2575,$B2590)+COUNTIF(Y2558:Y2575,$B2590&amp;" ~*")&gt;0))</f>
        <v/>
      </c>
      <c r="AC2590" s="38">
        <f>IF($B2590="","",(IFERROR(INDEX(Setup!$G$33:$G$40,MATCH(C2590,Setup!$B$33:$B$40,0)),0)=1)*(COUNTIF(C2558:E2575,$B2590)+COUNTIF(C2558:E2575,$B2590&amp;" ~*")&gt;0)+(IFERROR(INDEX(Setup!$G$33:$G$40,MATCH(G2590,Setup!$B$33:$B$40,0)),0)=1)*(COUNTIF(G2558:I2575,$B2590)+COUNTIF(G2558:I2575,$B2590&amp;" ~*")&gt;0)+(IFERROR(INDEX(Setup!$G$33:$G$40,MATCH(K2590,Setup!$B$33:$B$40,0)),0)=1)*(COUNTIF(K2558:M2575,$B2590)+COUNTIF(K2558:M2575,$B2590&amp;" ~*")&gt;0)+(IFERROR(INDEX(Setup!$G$33:$G$40,MATCH(O2590,Setup!$B$33:$B$40,0)),0)=1)*(COUNTIF(O2558:Q2575,$B2590)+COUNTIF(O2558:Q2575,$B2590&amp;" ~*")&gt;0)+(IFERROR(INDEX(Setup!$G$33:$G$40,MATCH(S2590,Setup!$B$33:$B$40,0)),0)=1)*(COUNTIF(S2558:U2575,$B2590)+COUNTIF(S2558:U2575,$B2590&amp;" ~*")&gt;0)+(IFERROR(INDEX(Setup!$G$33:$G$40,MATCH(W2590,Setup!$B$33:$B$40,0)),0)=1)*(COUNTIF(W2558:W2575,$B2590)+COUNTIF(W2558:W2575,$B2590&amp;" ~*")&gt;0)+(IFERROR(INDEX(Setup!$G$33:$G$40,MATCH(Y2590,Setup!$B$33:$B$40,0)),0)=1)*(COUNTIF(Y2558:Y2575,$B2590)+COUNTIF(Y2558:Y2575,$B2590&amp;" ~*")&gt;0))</f>
        <v/>
      </c>
    </row>
    <row r="2591" ht="15" customHeight="1">
      <c r="A2591" t="n">
        <v>52</v>
      </c>
      <c r="B2591" s="35">
        <f>IF(Setup!$B$20="","",Setup!$B$20)</f>
        <v/>
      </c>
      <c r="C2591" s="98" t="n"/>
      <c r="D2591" s="99" t="n"/>
      <c r="E2591" s="99" t="n"/>
      <c r="F2591" s="100" t="n"/>
      <c r="G2591" s="98" t="n"/>
      <c r="H2591" s="99" t="n"/>
      <c r="I2591" s="99" t="n"/>
      <c r="J2591" s="100" t="n"/>
      <c r="K2591" s="98" t="n"/>
      <c r="L2591" s="99" t="n"/>
      <c r="M2591" s="99" t="n"/>
      <c r="N2591" s="100" t="n"/>
      <c r="O2591" s="98" t="n"/>
      <c r="P2591" s="99" t="n"/>
      <c r="Q2591" s="99" t="n"/>
      <c r="R2591" s="100" t="n"/>
      <c r="S2591" s="98" t="n"/>
      <c r="T2591" s="99" t="n"/>
      <c r="U2591" s="99" t="n"/>
      <c r="V2591" s="100" t="n"/>
      <c r="W2591" s="98" t="n"/>
      <c r="X2591" s="100" t="n"/>
      <c r="Y2591" s="98" t="n"/>
      <c r="Z2591" s="100" t="n"/>
      <c r="AB2591" s="101">
        <f>IF($B2591="","",(COUNTIF(C2558:E2575,$B2591)+COUNTIF(C2558:E2575,$B2591&amp;" ~*")&gt;0)+(COUNTIF(G2558:I2575,$B2591)+COUNTIF(G2558:I2575,$B2591&amp;" ~*")&gt;0)+(COUNTIF(K2558:M2575,$B2591)+COUNTIF(K2558:M2575,$B2591&amp;" ~*")&gt;0)+(COUNTIF(O2558:Q2575,$B2591)+COUNTIF(O2558:Q2575,$B2591&amp;" ~*")&gt;0)+(COUNTIF(S2558:U2575,$B2591)+COUNTIF(S2558:U2575,$B2591&amp;" ~*")&gt;0)+(COUNTIF(W2558:W2575,$B2591)+COUNTIF(W2558:W2575,$B2591&amp;" ~*")&gt;0)+(COUNTIF(Y2558:Y2575,$B2591)+COUNTIF(Y2558:Y2575,$B2591&amp;" ~*")&gt;0))</f>
        <v/>
      </c>
      <c r="AC2591" s="36">
        <f>IF($B2591="","",(IFERROR(INDEX(Setup!$G$33:$G$40,MATCH(C2591,Setup!$B$33:$B$40,0)),0)=1)*(COUNTIF(C2558:E2575,$B2591)+COUNTIF(C2558:E2575,$B2591&amp;" ~*")&gt;0)+(IFERROR(INDEX(Setup!$G$33:$G$40,MATCH(G2591,Setup!$B$33:$B$40,0)),0)=1)*(COUNTIF(G2558:I2575,$B2591)+COUNTIF(G2558:I2575,$B2591&amp;" ~*")&gt;0)+(IFERROR(INDEX(Setup!$G$33:$G$40,MATCH(K2591,Setup!$B$33:$B$40,0)),0)=1)*(COUNTIF(K2558:M2575,$B2591)+COUNTIF(K2558:M2575,$B2591&amp;" ~*")&gt;0)+(IFERROR(INDEX(Setup!$G$33:$G$40,MATCH(O2591,Setup!$B$33:$B$40,0)),0)=1)*(COUNTIF(O2558:Q2575,$B2591)+COUNTIF(O2558:Q2575,$B2591&amp;" ~*")&gt;0)+(IFERROR(INDEX(Setup!$G$33:$G$40,MATCH(S2591,Setup!$B$33:$B$40,0)),0)=1)*(COUNTIF(S2558:U2575,$B2591)+COUNTIF(S2558:U2575,$B2591&amp;" ~*")&gt;0)+(IFERROR(INDEX(Setup!$G$33:$G$40,MATCH(W2591,Setup!$B$33:$B$40,0)),0)=1)*(COUNTIF(W2558:W2575,$B2591)+COUNTIF(W2558:W2575,$B2591&amp;" ~*")&gt;0)+(IFERROR(INDEX(Setup!$G$33:$G$40,MATCH(Y2591,Setup!$B$33:$B$40,0)),0)=1)*(COUNTIF(Y2558:Y2575,$B2591)+COUNTIF(Y2558:Y2575,$B2591&amp;" ~*")&gt;0))</f>
        <v/>
      </c>
    </row>
    <row r="2592" ht="15" customHeight="1">
      <c r="A2592" t="n">
        <v>52</v>
      </c>
      <c r="B2592" s="37">
        <f>IF(Setup!$B$21="","",Setup!$B$21)</f>
        <v/>
      </c>
      <c r="C2592" s="102" t="n"/>
      <c r="D2592" s="103" t="n"/>
      <c r="E2592" s="103" t="n"/>
      <c r="F2592" s="104" t="n"/>
      <c r="G2592" s="102" t="n"/>
      <c r="H2592" s="103" t="n"/>
      <c r="I2592" s="103" t="n"/>
      <c r="J2592" s="104" t="n"/>
      <c r="K2592" s="102" t="inlineStr">
        <is>
          <t>AL</t>
        </is>
      </c>
      <c r="L2592" s="103" t="n"/>
      <c r="M2592" s="103" t="n"/>
      <c r="N2592" s="104" t="n"/>
      <c r="O2592" s="102" t="inlineStr">
        <is>
          <t>AL</t>
        </is>
      </c>
      <c r="P2592" s="103" t="n"/>
      <c r="Q2592" s="103" t="n"/>
      <c r="R2592" s="104" t="n"/>
      <c r="S2592" s="102" t="inlineStr">
        <is>
          <t>AL</t>
        </is>
      </c>
      <c r="T2592" s="103" t="n"/>
      <c r="U2592" s="103" t="n"/>
      <c r="V2592" s="104" t="n"/>
      <c r="W2592" s="102" t="n"/>
      <c r="X2592" s="104" t="n"/>
      <c r="Y2592" s="102" t="n"/>
      <c r="Z2592" s="104" t="n"/>
      <c r="AB2592" s="105">
        <f>IF($B2592="","",(COUNTIF(C2558:E2575,$B2592)+COUNTIF(C2558:E2575,$B2592&amp;" ~*")&gt;0)+(COUNTIF(G2558:I2575,$B2592)+COUNTIF(G2558:I2575,$B2592&amp;" ~*")&gt;0)+(COUNTIF(K2558:M2575,$B2592)+COUNTIF(K2558:M2575,$B2592&amp;" ~*")&gt;0)+(COUNTIF(O2558:Q2575,$B2592)+COUNTIF(O2558:Q2575,$B2592&amp;" ~*")&gt;0)+(COUNTIF(S2558:U2575,$B2592)+COUNTIF(S2558:U2575,$B2592&amp;" ~*")&gt;0)+(COUNTIF(W2558:W2575,$B2592)+COUNTIF(W2558:W2575,$B2592&amp;" ~*")&gt;0)+(COUNTIF(Y2558:Y2575,$B2592)+COUNTIF(Y2558:Y2575,$B2592&amp;" ~*")&gt;0))</f>
        <v/>
      </c>
      <c r="AC2592" s="38">
        <f>IF($B2592="","",(IFERROR(INDEX(Setup!$G$33:$G$40,MATCH(C2592,Setup!$B$33:$B$40,0)),0)=1)*(COUNTIF(C2558:E2575,$B2592)+COUNTIF(C2558:E2575,$B2592&amp;" ~*")&gt;0)+(IFERROR(INDEX(Setup!$G$33:$G$40,MATCH(G2592,Setup!$B$33:$B$40,0)),0)=1)*(COUNTIF(G2558:I2575,$B2592)+COUNTIF(G2558:I2575,$B2592&amp;" ~*")&gt;0)+(IFERROR(INDEX(Setup!$G$33:$G$40,MATCH(K2592,Setup!$B$33:$B$40,0)),0)=1)*(COUNTIF(K2558:M2575,$B2592)+COUNTIF(K2558:M2575,$B2592&amp;" ~*")&gt;0)+(IFERROR(INDEX(Setup!$G$33:$G$40,MATCH(O2592,Setup!$B$33:$B$40,0)),0)=1)*(COUNTIF(O2558:Q2575,$B2592)+COUNTIF(O2558:Q2575,$B2592&amp;" ~*")&gt;0)+(IFERROR(INDEX(Setup!$G$33:$G$40,MATCH(S2592,Setup!$B$33:$B$40,0)),0)=1)*(COUNTIF(S2558:U2575,$B2592)+COUNTIF(S2558:U2575,$B2592&amp;" ~*")&gt;0)+(IFERROR(INDEX(Setup!$G$33:$G$40,MATCH(W2592,Setup!$B$33:$B$40,0)),0)=1)*(COUNTIF(W2558:W2575,$B2592)+COUNTIF(W2558:W2575,$B2592&amp;" ~*")&gt;0)+(IFERROR(INDEX(Setup!$G$33:$G$40,MATCH(Y2592,Setup!$B$33:$B$40,0)),0)=1)*(COUNTIF(Y2558:Y2575,$B2592)+COUNTIF(Y2558:Y2575,$B2592&amp;" ~*")&gt;0))</f>
        <v/>
      </c>
    </row>
    <row r="2593" ht="15" customHeight="1">
      <c r="A2593" t="n">
        <v>52</v>
      </c>
      <c r="B2593" s="35">
        <f>IF(Setup!$B$22="","",Setup!$B$22)</f>
        <v/>
      </c>
      <c r="C2593" s="98" t="n"/>
      <c r="D2593" s="99" t="n"/>
      <c r="E2593" s="99" t="n"/>
      <c r="F2593" s="100" t="n"/>
      <c r="G2593" s="98" t="n"/>
      <c r="H2593" s="99" t="n"/>
      <c r="I2593" s="99" t="n"/>
      <c r="J2593" s="100" t="n"/>
      <c r="K2593" s="98" t="n"/>
      <c r="L2593" s="99" t="n"/>
      <c r="M2593" s="99" t="n"/>
      <c r="N2593" s="100" t="n"/>
      <c r="O2593" s="98" t="n"/>
      <c r="P2593" s="99" t="n"/>
      <c r="Q2593" s="99" t="n"/>
      <c r="R2593" s="100" t="n"/>
      <c r="S2593" s="98" t="n"/>
      <c r="T2593" s="99" t="n"/>
      <c r="U2593" s="99" t="n"/>
      <c r="V2593" s="100" t="n"/>
      <c r="W2593" s="98" t="n"/>
      <c r="X2593" s="100" t="n"/>
      <c r="Y2593" s="98" t="n"/>
      <c r="Z2593" s="100" t="n"/>
      <c r="AB2593" s="101">
        <f>IF($B2593="","",(COUNTIF(C2558:E2575,$B2593)+COUNTIF(C2558:E2575,$B2593&amp;" ~*")&gt;0)+(COUNTIF(G2558:I2575,$B2593)+COUNTIF(G2558:I2575,$B2593&amp;" ~*")&gt;0)+(COUNTIF(K2558:M2575,$B2593)+COUNTIF(K2558:M2575,$B2593&amp;" ~*")&gt;0)+(COUNTIF(O2558:Q2575,$B2593)+COUNTIF(O2558:Q2575,$B2593&amp;" ~*")&gt;0)+(COUNTIF(S2558:U2575,$B2593)+COUNTIF(S2558:U2575,$B2593&amp;" ~*")&gt;0)+(COUNTIF(W2558:W2575,$B2593)+COUNTIF(W2558:W2575,$B2593&amp;" ~*")&gt;0)+(COUNTIF(Y2558:Y2575,$B2593)+COUNTIF(Y2558:Y2575,$B2593&amp;" ~*")&gt;0))</f>
        <v/>
      </c>
      <c r="AC2593" s="36">
        <f>IF($B2593="","",(IFERROR(INDEX(Setup!$G$33:$G$40,MATCH(C2593,Setup!$B$33:$B$40,0)),0)=1)*(COUNTIF(C2558:E2575,$B2593)+COUNTIF(C2558:E2575,$B2593&amp;" ~*")&gt;0)+(IFERROR(INDEX(Setup!$G$33:$G$40,MATCH(G2593,Setup!$B$33:$B$40,0)),0)=1)*(COUNTIF(G2558:I2575,$B2593)+COUNTIF(G2558:I2575,$B2593&amp;" ~*")&gt;0)+(IFERROR(INDEX(Setup!$G$33:$G$40,MATCH(K2593,Setup!$B$33:$B$40,0)),0)=1)*(COUNTIF(K2558:M2575,$B2593)+COUNTIF(K2558:M2575,$B2593&amp;" ~*")&gt;0)+(IFERROR(INDEX(Setup!$G$33:$G$40,MATCH(O2593,Setup!$B$33:$B$40,0)),0)=1)*(COUNTIF(O2558:Q2575,$B2593)+COUNTIF(O2558:Q2575,$B2593&amp;" ~*")&gt;0)+(IFERROR(INDEX(Setup!$G$33:$G$40,MATCH(S2593,Setup!$B$33:$B$40,0)),0)=1)*(COUNTIF(S2558:U2575,$B2593)+COUNTIF(S2558:U2575,$B2593&amp;" ~*")&gt;0)+(IFERROR(INDEX(Setup!$G$33:$G$40,MATCH(W2593,Setup!$B$33:$B$40,0)),0)=1)*(COUNTIF(W2558:W2575,$B2593)+COUNTIF(W2558:W2575,$B2593&amp;" ~*")&gt;0)+(IFERROR(INDEX(Setup!$G$33:$G$40,MATCH(Y2593,Setup!$B$33:$B$40,0)),0)=1)*(COUNTIF(Y2558:Y2575,$B2593)+COUNTIF(Y2558:Y2575,$B2593&amp;" ~*")&gt;0))</f>
        <v/>
      </c>
    </row>
    <row r="2594" ht="15" customHeight="1">
      <c r="A2594" t="n">
        <v>52</v>
      </c>
      <c r="B2594" s="37">
        <f>IF(Setup!$B$23="","",Setup!$B$23)</f>
        <v/>
      </c>
      <c r="C2594" s="102" t="n"/>
      <c r="D2594" s="103" t="n"/>
      <c r="E2594" s="103" t="n"/>
      <c r="F2594" s="104" t="n"/>
      <c r="G2594" s="102" t="n"/>
      <c r="H2594" s="103" t="n"/>
      <c r="I2594" s="103" t="n"/>
      <c r="J2594" s="104" t="n"/>
      <c r="K2594" s="102" t="n"/>
      <c r="L2594" s="103" t="n"/>
      <c r="M2594" s="103" t="n"/>
      <c r="N2594" s="104" t="n"/>
      <c r="O2594" s="102" t="n"/>
      <c r="P2594" s="103" t="n"/>
      <c r="Q2594" s="103" t="n"/>
      <c r="R2594" s="104" t="n"/>
      <c r="S2594" s="102" t="n"/>
      <c r="T2594" s="103" t="n"/>
      <c r="U2594" s="103" t="n"/>
      <c r="V2594" s="104" t="n"/>
      <c r="W2594" s="102" t="n"/>
      <c r="X2594" s="104" t="n"/>
      <c r="Y2594" s="102" t="n"/>
      <c r="Z2594" s="104" t="n"/>
      <c r="AB2594" s="105">
        <f>IF($B2594="","",(COUNTIF(C2558:E2575,$B2594)+COUNTIF(C2558:E2575,$B2594&amp;" ~*")&gt;0)+(COUNTIF(G2558:I2575,$B2594)+COUNTIF(G2558:I2575,$B2594&amp;" ~*")&gt;0)+(COUNTIF(K2558:M2575,$B2594)+COUNTIF(K2558:M2575,$B2594&amp;" ~*")&gt;0)+(COUNTIF(O2558:Q2575,$B2594)+COUNTIF(O2558:Q2575,$B2594&amp;" ~*")&gt;0)+(COUNTIF(S2558:U2575,$B2594)+COUNTIF(S2558:U2575,$B2594&amp;" ~*")&gt;0)+(COUNTIF(W2558:W2575,$B2594)+COUNTIF(W2558:W2575,$B2594&amp;" ~*")&gt;0)+(COUNTIF(Y2558:Y2575,$B2594)+COUNTIF(Y2558:Y2575,$B2594&amp;" ~*")&gt;0))</f>
        <v/>
      </c>
      <c r="AC2594" s="38">
        <f>IF($B2594="","",(IFERROR(INDEX(Setup!$G$33:$G$40,MATCH(C2594,Setup!$B$33:$B$40,0)),0)=1)*(COUNTIF(C2558:E2575,$B2594)+COUNTIF(C2558:E2575,$B2594&amp;" ~*")&gt;0)+(IFERROR(INDEX(Setup!$G$33:$G$40,MATCH(G2594,Setup!$B$33:$B$40,0)),0)=1)*(COUNTIF(G2558:I2575,$B2594)+COUNTIF(G2558:I2575,$B2594&amp;" ~*")&gt;0)+(IFERROR(INDEX(Setup!$G$33:$G$40,MATCH(K2594,Setup!$B$33:$B$40,0)),0)=1)*(COUNTIF(K2558:M2575,$B2594)+COUNTIF(K2558:M2575,$B2594&amp;" ~*")&gt;0)+(IFERROR(INDEX(Setup!$G$33:$G$40,MATCH(O2594,Setup!$B$33:$B$40,0)),0)=1)*(COUNTIF(O2558:Q2575,$B2594)+COUNTIF(O2558:Q2575,$B2594&amp;" ~*")&gt;0)+(IFERROR(INDEX(Setup!$G$33:$G$40,MATCH(S2594,Setup!$B$33:$B$40,0)),0)=1)*(COUNTIF(S2558:U2575,$B2594)+COUNTIF(S2558:U2575,$B2594&amp;" ~*")&gt;0)+(IFERROR(INDEX(Setup!$G$33:$G$40,MATCH(W2594,Setup!$B$33:$B$40,0)),0)=1)*(COUNTIF(W2558:W2575,$B2594)+COUNTIF(W2558:W2575,$B2594&amp;" ~*")&gt;0)+(IFERROR(INDEX(Setup!$G$33:$G$40,MATCH(Y2594,Setup!$B$33:$B$40,0)),0)=1)*(COUNTIF(Y2558:Y2575,$B2594)+COUNTIF(Y2558:Y2575,$B2594&amp;" ~*")&gt;0))</f>
        <v/>
      </c>
    </row>
    <row r="2595" ht="15" customHeight="1">
      <c r="A2595" t="n">
        <v>52</v>
      </c>
      <c r="B2595" s="35">
        <f>IF(Setup!$B$24="","",Setup!$B$24)</f>
        <v/>
      </c>
      <c r="C2595" s="98" t="n"/>
      <c r="D2595" s="99" t="n"/>
      <c r="E2595" s="99" t="n"/>
      <c r="F2595" s="100" t="n"/>
      <c r="G2595" s="98" t="n"/>
      <c r="H2595" s="99" t="n"/>
      <c r="I2595" s="99" t="n"/>
      <c r="J2595" s="100" t="n"/>
      <c r="K2595" s="98" t="n"/>
      <c r="L2595" s="99" t="n"/>
      <c r="M2595" s="99" t="n"/>
      <c r="N2595" s="100" t="n"/>
      <c r="O2595" s="98" t="n"/>
      <c r="P2595" s="99" t="n"/>
      <c r="Q2595" s="99" t="n"/>
      <c r="R2595" s="100" t="n"/>
      <c r="S2595" s="98" t="n"/>
      <c r="T2595" s="99" t="n"/>
      <c r="U2595" s="99" t="n"/>
      <c r="V2595" s="100" t="n"/>
      <c r="W2595" s="98" t="n"/>
      <c r="X2595" s="100" t="n"/>
      <c r="Y2595" s="98" t="n"/>
      <c r="Z2595" s="100" t="n"/>
      <c r="AB2595" s="101">
        <f>IF($B2595="","",(COUNTIF(C2558:E2575,$B2595)+COUNTIF(C2558:E2575,$B2595&amp;" ~*")&gt;0)+(COUNTIF(G2558:I2575,$B2595)+COUNTIF(G2558:I2575,$B2595&amp;" ~*")&gt;0)+(COUNTIF(K2558:M2575,$B2595)+COUNTIF(K2558:M2575,$B2595&amp;" ~*")&gt;0)+(COUNTIF(O2558:Q2575,$B2595)+COUNTIF(O2558:Q2575,$B2595&amp;" ~*")&gt;0)+(COUNTIF(S2558:U2575,$B2595)+COUNTIF(S2558:U2575,$B2595&amp;" ~*")&gt;0)+(COUNTIF(W2558:W2575,$B2595)+COUNTIF(W2558:W2575,$B2595&amp;" ~*")&gt;0)+(COUNTIF(Y2558:Y2575,$B2595)+COUNTIF(Y2558:Y2575,$B2595&amp;" ~*")&gt;0))</f>
        <v/>
      </c>
      <c r="AC2595" s="36">
        <f>IF($B2595="","",(IFERROR(INDEX(Setup!$G$33:$G$40,MATCH(C2595,Setup!$B$33:$B$40,0)),0)=1)*(COUNTIF(C2558:E2575,$B2595)+COUNTIF(C2558:E2575,$B2595&amp;" ~*")&gt;0)+(IFERROR(INDEX(Setup!$G$33:$G$40,MATCH(G2595,Setup!$B$33:$B$40,0)),0)=1)*(COUNTIF(G2558:I2575,$B2595)+COUNTIF(G2558:I2575,$B2595&amp;" ~*")&gt;0)+(IFERROR(INDEX(Setup!$G$33:$G$40,MATCH(K2595,Setup!$B$33:$B$40,0)),0)=1)*(COUNTIF(K2558:M2575,$B2595)+COUNTIF(K2558:M2575,$B2595&amp;" ~*")&gt;0)+(IFERROR(INDEX(Setup!$G$33:$G$40,MATCH(O2595,Setup!$B$33:$B$40,0)),0)=1)*(COUNTIF(O2558:Q2575,$B2595)+COUNTIF(O2558:Q2575,$B2595&amp;" ~*")&gt;0)+(IFERROR(INDEX(Setup!$G$33:$G$40,MATCH(S2595,Setup!$B$33:$B$40,0)),0)=1)*(COUNTIF(S2558:U2575,$B2595)+COUNTIF(S2558:U2575,$B2595&amp;" ~*")&gt;0)+(IFERROR(INDEX(Setup!$G$33:$G$40,MATCH(W2595,Setup!$B$33:$B$40,0)),0)=1)*(COUNTIF(W2558:W2575,$B2595)+COUNTIF(W2558:W2575,$B2595&amp;" ~*")&gt;0)+(IFERROR(INDEX(Setup!$G$33:$G$40,MATCH(Y2595,Setup!$B$33:$B$40,0)),0)=1)*(COUNTIF(Y2558:Y2575,$B2595)+COUNTIF(Y2558:Y2575,$B2595&amp;" ~*")&gt;0))</f>
        <v/>
      </c>
    </row>
    <row r="2596" ht="15" customHeight="1">
      <c r="A2596" t="n">
        <v>52</v>
      </c>
      <c r="B2596" s="37">
        <f>IF(Setup!$B$25="","",Setup!$B$25)</f>
        <v/>
      </c>
      <c r="C2596" s="102" t="n"/>
      <c r="D2596" s="103" t="n"/>
      <c r="E2596" s="103" t="n"/>
      <c r="F2596" s="104" t="n"/>
      <c r="G2596" s="102" t="n"/>
      <c r="H2596" s="103" t="n"/>
      <c r="I2596" s="103" t="n"/>
      <c r="J2596" s="104" t="n"/>
      <c r="K2596" s="102" t="n"/>
      <c r="L2596" s="103" t="n"/>
      <c r="M2596" s="103" t="n"/>
      <c r="N2596" s="104" t="n"/>
      <c r="O2596" s="102" t="n"/>
      <c r="P2596" s="103" t="n"/>
      <c r="Q2596" s="103" t="n"/>
      <c r="R2596" s="104" t="n"/>
      <c r="S2596" s="102" t="n"/>
      <c r="T2596" s="103" t="n"/>
      <c r="U2596" s="103" t="n"/>
      <c r="V2596" s="104" t="n"/>
      <c r="W2596" s="102" t="n"/>
      <c r="X2596" s="104" t="n"/>
      <c r="Y2596" s="102" t="n"/>
      <c r="Z2596" s="104" t="n"/>
      <c r="AB2596" s="105">
        <f>IF($B2596="","",(COUNTIF(C2558:E2575,$B2596)+COUNTIF(C2558:E2575,$B2596&amp;" ~*")&gt;0)+(COUNTIF(G2558:I2575,$B2596)+COUNTIF(G2558:I2575,$B2596&amp;" ~*")&gt;0)+(COUNTIF(K2558:M2575,$B2596)+COUNTIF(K2558:M2575,$B2596&amp;" ~*")&gt;0)+(COUNTIF(O2558:Q2575,$B2596)+COUNTIF(O2558:Q2575,$B2596&amp;" ~*")&gt;0)+(COUNTIF(S2558:U2575,$B2596)+COUNTIF(S2558:U2575,$B2596&amp;" ~*")&gt;0)+(COUNTIF(W2558:W2575,$B2596)+COUNTIF(W2558:W2575,$B2596&amp;" ~*")&gt;0)+(COUNTIF(Y2558:Y2575,$B2596)+COUNTIF(Y2558:Y2575,$B2596&amp;" ~*")&gt;0))</f>
        <v/>
      </c>
      <c r="AC2596" s="38">
        <f>IF($B2596="","",(IFERROR(INDEX(Setup!$G$33:$G$40,MATCH(C2596,Setup!$B$33:$B$40,0)),0)=1)*(COUNTIF(C2558:E2575,$B2596)+COUNTIF(C2558:E2575,$B2596&amp;" ~*")&gt;0)+(IFERROR(INDEX(Setup!$G$33:$G$40,MATCH(G2596,Setup!$B$33:$B$40,0)),0)=1)*(COUNTIF(G2558:I2575,$B2596)+COUNTIF(G2558:I2575,$B2596&amp;" ~*")&gt;0)+(IFERROR(INDEX(Setup!$G$33:$G$40,MATCH(K2596,Setup!$B$33:$B$40,0)),0)=1)*(COUNTIF(K2558:M2575,$B2596)+COUNTIF(K2558:M2575,$B2596&amp;" ~*")&gt;0)+(IFERROR(INDEX(Setup!$G$33:$G$40,MATCH(O2596,Setup!$B$33:$B$40,0)),0)=1)*(COUNTIF(O2558:Q2575,$B2596)+COUNTIF(O2558:Q2575,$B2596&amp;" ~*")&gt;0)+(IFERROR(INDEX(Setup!$G$33:$G$40,MATCH(S2596,Setup!$B$33:$B$40,0)),0)=1)*(COUNTIF(S2558:U2575,$B2596)+COUNTIF(S2558:U2575,$B2596&amp;" ~*")&gt;0)+(IFERROR(INDEX(Setup!$G$33:$G$40,MATCH(W2596,Setup!$B$33:$B$40,0)),0)=1)*(COUNTIF(W2558:W2575,$B2596)+COUNTIF(W2558:W2575,$B2596&amp;" ~*")&gt;0)+(IFERROR(INDEX(Setup!$G$33:$G$40,MATCH(Y2596,Setup!$B$33:$B$40,0)),0)=1)*(COUNTIF(Y2558:Y2575,$B2596)+COUNTIF(Y2558:Y2575,$B2596&amp;" ~*")&gt;0))</f>
        <v/>
      </c>
    </row>
    <row r="2597" ht="15" customHeight="1">
      <c r="A2597" t="n">
        <v>52</v>
      </c>
      <c r="B2597" s="35">
        <f>IF(Setup!$B$26="","",Setup!$B$26)</f>
        <v/>
      </c>
      <c r="C2597" s="98" t="n"/>
      <c r="D2597" s="99" t="n"/>
      <c r="E2597" s="99" t="n"/>
      <c r="F2597" s="100" t="n"/>
      <c r="G2597" s="98" t="n"/>
      <c r="H2597" s="99" t="n"/>
      <c r="I2597" s="99" t="n"/>
      <c r="J2597" s="100" t="n"/>
      <c r="K2597" s="98" t="n"/>
      <c r="L2597" s="99" t="n"/>
      <c r="M2597" s="99" t="n"/>
      <c r="N2597" s="100" t="n"/>
      <c r="O2597" s="98" t="n"/>
      <c r="P2597" s="99" t="n"/>
      <c r="Q2597" s="99" t="n"/>
      <c r="R2597" s="100" t="n"/>
      <c r="S2597" s="98" t="n"/>
      <c r="T2597" s="99" t="n"/>
      <c r="U2597" s="99" t="n"/>
      <c r="V2597" s="100" t="n"/>
      <c r="W2597" s="98" t="n"/>
      <c r="X2597" s="100" t="n"/>
      <c r="Y2597" s="98" t="n"/>
      <c r="Z2597" s="100" t="n"/>
      <c r="AB2597" s="101">
        <f>IF($B2597="","",(COUNTIF(C2558:E2575,$B2597)+COUNTIF(C2558:E2575,$B2597&amp;" ~*")&gt;0)+(COUNTIF(G2558:I2575,$B2597)+COUNTIF(G2558:I2575,$B2597&amp;" ~*")&gt;0)+(COUNTIF(K2558:M2575,$B2597)+COUNTIF(K2558:M2575,$B2597&amp;" ~*")&gt;0)+(COUNTIF(O2558:Q2575,$B2597)+COUNTIF(O2558:Q2575,$B2597&amp;" ~*")&gt;0)+(COUNTIF(S2558:U2575,$B2597)+COUNTIF(S2558:U2575,$B2597&amp;" ~*")&gt;0)+(COUNTIF(W2558:W2575,$B2597)+COUNTIF(W2558:W2575,$B2597&amp;" ~*")&gt;0)+(COUNTIF(Y2558:Y2575,$B2597)+COUNTIF(Y2558:Y2575,$B2597&amp;" ~*")&gt;0))</f>
        <v/>
      </c>
      <c r="AC2597" s="36">
        <f>IF($B2597="","",(IFERROR(INDEX(Setup!$G$33:$G$40,MATCH(C2597,Setup!$B$33:$B$40,0)),0)=1)*(COUNTIF(C2558:E2575,$B2597)+COUNTIF(C2558:E2575,$B2597&amp;" ~*")&gt;0)+(IFERROR(INDEX(Setup!$G$33:$G$40,MATCH(G2597,Setup!$B$33:$B$40,0)),0)=1)*(COUNTIF(G2558:I2575,$B2597)+COUNTIF(G2558:I2575,$B2597&amp;" ~*")&gt;0)+(IFERROR(INDEX(Setup!$G$33:$G$40,MATCH(K2597,Setup!$B$33:$B$40,0)),0)=1)*(COUNTIF(K2558:M2575,$B2597)+COUNTIF(K2558:M2575,$B2597&amp;" ~*")&gt;0)+(IFERROR(INDEX(Setup!$G$33:$G$40,MATCH(O2597,Setup!$B$33:$B$40,0)),0)=1)*(COUNTIF(O2558:Q2575,$B2597)+COUNTIF(O2558:Q2575,$B2597&amp;" ~*")&gt;0)+(IFERROR(INDEX(Setup!$G$33:$G$40,MATCH(S2597,Setup!$B$33:$B$40,0)),0)=1)*(COUNTIF(S2558:U2575,$B2597)+COUNTIF(S2558:U2575,$B2597&amp;" ~*")&gt;0)+(IFERROR(INDEX(Setup!$G$33:$G$40,MATCH(W2597,Setup!$B$33:$B$40,0)),0)=1)*(COUNTIF(W2558:W2575,$B2597)+COUNTIF(W2558:W2575,$B2597&amp;" ~*")&gt;0)+(IFERROR(INDEX(Setup!$G$33:$G$40,MATCH(Y2597,Setup!$B$33:$B$40,0)),0)=1)*(COUNTIF(Y2558:Y2575,$B2597)+COUNTIF(Y2558:Y2575,$B2597&amp;" ~*")&gt;0))</f>
        <v/>
      </c>
    </row>
    <row r="2598" ht="15" customHeight="1">
      <c r="A2598" t="n">
        <v>52</v>
      </c>
      <c r="B2598" s="37">
        <f>IF(Setup!$B$27="","",Setup!$B$27)</f>
        <v/>
      </c>
      <c r="C2598" s="102" t="n"/>
      <c r="D2598" s="103" t="n"/>
      <c r="E2598" s="103" t="n"/>
      <c r="F2598" s="104" t="n"/>
      <c r="G2598" s="102" t="n"/>
      <c r="H2598" s="103" t="n"/>
      <c r="I2598" s="103" t="n"/>
      <c r="J2598" s="104" t="n"/>
      <c r="K2598" s="102" t="n"/>
      <c r="L2598" s="103" t="n"/>
      <c r="M2598" s="103" t="n"/>
      <c r="N2598" s="104" t="n"/>
      <c r="O2598" s="102" t="n"/>
      <c r="P2598" s="103" t="n"/>
      <c r="Q2598" s="103" t="n"/>
      <c r="R2598" s="104" t="n"/>
      <c r="S2598" s="102" t="n"/>
      <c r="T2598" s="103" t="n"/>
      <c r="U2598" s="103" t="n"/>
      <c r="V2598" s="104" t="n"/>
      <c r="W2598" s="102" t="n"/>
      <c r="X2598" s="104" t="n"/>
      <c r="Y2598" s="102" t="n"/>
      <c r="Z2598" s="104" t="n"/>
      <c r="AB2598" s="105">
        <f>IF($B2598="","",(COUNTIF(C2558:E2575,$B2598)+COUNTIF(C2558:E2575,$B2598&amp;" ~*")&gt;0)+(COUNTIF(G2558:I2575,$B2598)+COUNTIF(G2558:I2575,$B2598&amp;" ~*")&gt;0)+(COUNTIF(K2558:M2575,$B2598)+COUNTIF(K2558:M2575,$B2598&amp;" ~*")&gt;0)+(COUNTIF(O2558:Q2575,$B2598)+COUNTIF(O2558:Q2575,$B2598&amp;" ~*")&gt;0)+(COUNTIF(S2558:U2575,$B2598)+COUNTIF(S2558:U2575,$B2598&amp;" ~*")&gt;0)+(COUNTIF(W2558:W2575,$B2598)+COUNTIF(W2558:W2575,$B2598&amp;" ~*")&gt;0)+(COUNTIF(Y2558:Y2575,$B2598)+COUNTIF(Y2558:Y2575,$B2598&amp;" ~*")&gt;0))</f>
        <v/>
      </c>
      <c r="AC2598" s="38">
        <f>IF($B2598="","",(IFERROR(INDEX(Setup!$G$33:$G$40,MATCH(C2598,Setup!$B$33:$B$40,0)),0)=1)*(COUNTIF(C2558:E2575,$B2598)+COUNTIF(C2558:E2575,$B2598&amp;" ~*")&gt;0)+(IFERROR(INDEX(Setup!$G$33:$G$40,MATCH(G2598,Setup!$B$33:$B$40,0)),0)=1)*(COUNTIF(G2558:I2575,$B2598)+COUNTIF(G2558:I2575,$B2598&amp;" ~*")&gt;0)+(IFERROR(INDEX(Setup!$G$33:$G$40,MATCH(K2598,Setup!$B$33:$B$40,0)),0)=1)*(COUNTIF(K2558:M2575,$B2598)+COUNTIF(K2558:M2575,$B2598&amp;" ~*")&gt;0)+(IFERROR(INDEX(Setup!$G$33:$G$40,MATCH(O2598,Setup!$B$33:$B$40,0)),0)=1)*(COUNTIF(O2558:Q2575,$B2598)+COUNTIF(O2558:Q2575,$B2598&amp;" ~*")&gt;0)+(IFERROR(INDEX(Setup!$G$33:$G$40,MATCH(S2598,Setup!$B$33:$B$40,0)),0)=1)*(COUNTIF(S2558:U2575,$B2598)+COUNTIF(S2558:U2575,$B2598&amp;" ~*")&gt;0)+(IFERROR(INDEX(Setup!$G$33:$G$40,MATCH(W2598,Setup!$B$33:$B$40,0)),0)=1)*(COUNTIF(W2558:W2575,$B2598)+COUNTIF(W2558:W2575,$B2598&amp;" ~*")&gt;0)+(IFERROR(INDEX(Setup!$G$33:$G$40,MATCH(Y2598,Setup!$B$33:$B$40,0)),0)=1)*(COUNTIF(Y2558:Y2575,$B2598)+COUNTIF(Y2558:Y2575,$B2598&amp;" ~*")&gt;0))</f>
        <v/>
      </c>
    </row>
    <row r="2599" ht="15" customHeight="1">
      <c r="A2599" t="n">
        <v>52</v>
      </c>
      <c r="B2599" s="35">
        <f>IF(Setup!$B$28="","",Setup!$B$28)</f>
        <v/>
      </c>
      <c r="C2599" s="98" t="n"/>
      <c r="D2599" s="99" t="n"/>
      <c r="E2599" s="99" t="n"/>
      <c r="F2599" s="100" t="n"/>
      <c r="G2599" s="98" t="n"/>
      <c r="H2599" s="99" t="n"/>
      <c r="I2599" s="99" t="n"/>
      <c r="J2599" s="100" t="n"/>
      <c r="K2599" s="98" t="n"/>
      <c r="L2599" s="99" t="n"/>
      <c r="M2599" s="99" t="n"/>
      <c r="N2599" s="100" t="n"/>
      <c r="O2599" s="98" t="n"/>
      <c r="P2599" s="99" t="n"/>
      <c r="Q2599" s="99" t="n"/>
      <c r="R2599" s="100" t="n"/>
      <c r="S2599" s="98" t="n"/>
      <c r="T2599" s="99" t="n"/>
      <c r="U2599" s="99" t="n"/>
      <c r="V2599" s="100" t="n"/>
      <c r="W2599" s="98" t="n"/>
      <c r="X2599" s="100" t="n"/>
      <c r="Y2599" s="98" t="n"/>
      <c r="Z2599" s="100" t="n"/>
      <c r="AB2599" s="101">
        <f>IF($B2599="","",(COUNTIF(C2558:E2575,$B2599)+COUNTIF(C2558:E2575,$B2599&amp;" ~*")&gt;0)+(COUNTIF(G2558:I2575,$B2599)+COUNTIF(G2558:I2575,$B2599&amp;" ~*")&gt;0)+(COUNTIF(K2558:M2575,$B2599)+COUNTIF(K2558:M2575,$B2599&amp;" ~*")&gt;0)+(COUNTIF(O2558:Q2575,$B2599)+COUNTIF(O2558:Q2575,$B2599&amp;" ~*")&gt;0)+(COUNTIF(S2558:U2575,$B2599)+COUNTIF(S2558:U2575,$B2599&amp;" ~*")&gt;0)+(COUNTIF(W2558:W2575,$B2599)+COUNTIF(W2558:W2575,$B2599&amp;" ~*")&gt;0)+(COUNTIF(Y2558:Y2575,$B2599)+COUNTIF(Y2558:Y2575,$B2599&amp;" ~*")&gt;0))</f>
        <v/>
      </c>
      <c r="AC2599" s="36">
        <f>IF($B2599="","",(IFERROR(INDEX(Setup!$G$33:$G$40,MATCH(C2599,Setup!$B$33:$B$40,0)),0)=1)*(COUNTIF(C2558:E2575,$B2599)+COUNTIF(C2558:E2575,$B2599&amp;" ~*")&gt;0)+(IFERROR(INDEX(Setup!$G$33:$G$40,MATCH(G2599,Setup!$B$33:$B$40,0)),0)=1)*(COUNTIF(G2558:I2575,$B2599)+COUNTIF(G2558:I2575,$B2599&amp;" ~*")&gt;0)+(IFERROR(INDEX(Setup!$G$33:$G$40,MATCH(K2599,Setup!$B$33:$B$40,0)),0)=1)*(COUNTIF(K2558:M2575,$B2599)+COUNTIF(K2558:M2575,$B2599&amp;" ~*")&gt;0)+(IFERROR(INDEX(Setup!$G$33:$G$40,MATCH(O2599,Setup!$B$33:$B$40,0)),0)=1)*(COUNTIF(O2558:Q2575,$B2599)+COUNTIF(O2558:Q2575,$B2599&amp;" ~*")&gt;0)+(IFERROR(INDEX(Setup!$G$33:$G$40,MATCH(S2599,Setup!$B$33:$B$40,0)),0)=1)*(COUNTIF(S2558:U2575,$B2599)+COUNTIF(S2558:U2575,$B2599&amp;" ~*")&gt;0)+(IFERROR(INDEX(Setup!$G$33:$G$40,MATCH(W2599,Setup!$B$33:$B$40,0)),0)=1)*(COUNTIF(W2558:W2575,$B2599)+COUNTIF(W2558:W2575,$B2599&amp;" ~*")&gt;0)+(IFERROR(INDEX(Setup!$G$33:$G$40,MATCH(Y2599,Setup!$B$33:$B$40,0)),0)=1)*(COUNTIF(Y2558:Y2575,$B2599)+COUNTIF(Y2558:Y2575,$B2599&amp;" ~*")&gt;0))</f>
        <v/>
      </c>
    </row>
    <row r="2600" ht="15" customHeight="1">
      <c r="A2600" t="n">
        <v>52</v>
      </c>
      <c r="B2600" s="37">
        <f>IF(Setup!$B$29="","",Setup!$B$29)</f>
        <v/>
      </c>
      <c r="C2600" s="102" t="n"/>
      <c r="D2600" s="103" t="n"/>
      <c r="E2600" s="103" t="n"/>
      <c r="F2600" s="104" t="n"/>
      <c r="G2600" s="102" t="n"/>
      <c r="H2600" s="103" t="n"/>
      <c r="I2600" s="103" t="n"/>
      <c r="J2600" s="104" t="n"/>
      <c r="K2600" s="102" t="n"/>
      <c r="L2600" s="103" t="n"/>
      <c r="M2600" s="103" t="n"/>
      <c r="N2600" s="104" t="n"/>
      <c r="O2600" s="102" t="n"/>
      <c r="P2600" s="103" t="n"/>
      <c r="Q2600" s="103" t="n"/>
      <c r="R2600" s="104" t="n"/>
      <c r="S2600" s="102" t="n"/>
      <c r="T2600" s="103" t="n"/>
      <c r="U2600" s="103" t="n"/>
      <c r="V2600" s="104" t="n"/>
      <c r="W2600" s="102" t="n"/>
      <c r="X2600" s="104" t="n"/>
      <c r="Y2600" s="102" t="n"/>
      <c r="Z2600" s="104" t="n"/>
      <c r="AB2600" s="105">
        <f>IF($B2600="","",(COUNTIF(C2558:E2575,$B2600)+COUNTIF(C2558:E2575,$B2600&amp;" ~*")&gt;0)+(COUNTIF(G2558:I2575,$B2600)+COUNTIF(G2558:I2575,$B2600&amp;" ~*")&gt;0)+(COUNTIF(K2558:M2575,$B2600)+COUNTIF(K2558:M2575,$B2600&amp;" ~*")&gt;0)+(COUNTIF(O2558:Q2575,$B2600)+COUNTIF(O2558:Q2575,$B2600&amp;" ~*")&gt;0)+(COUNTIF(S2558:U2575,$B2600)+COUNTIF(S2558:U2575,$B2600&amp;" ~*")&gt;0)+(COUNTIF(W2558:W2575,$B2600)+COUNTIF(W2558:W2575,$B2600&amp;" ~*")&gt;0)+(COUNTIF(Y2558:Y2575,$B2600)+COUNTIF(Y2558:Y2575,$B2600&amp;" ~*")&gt;0))</f>
        <v/>
      </c>
      <c r="AC2600" s="38">
        <f>IF($B2600="","",(IFERROR(INDEX(Setup!$G$33:$G$40,MATCH(C2600,Setup!$B$33:$B$40,0)),0)=1)*(COUNTIF(C2558:E2575,$B2600)+COUNTIF(C2558:E2575,$B2600&amp;" ~*")&gt;0)+(IFERROR(INDEX(Setup!$G$33:$G$40,MATCH(G2600,Setup!$B$33:$B$40,0)),0)=1)*(COUNTIF(G2558:I2575,$B2600)+COUNTIF(G2558:I2575,$B2600&amp;" ~*")&gt;0)+(IFERROR(INDEX(Setup!$G$33:$G$40,MATCH(K2600,Setup!$B$33:$B$40,0)),0)=1)*(COUNTIF(K2558:M2575,$B2600)+COUNTIF(K2558:M2575,$B2600&amp;" ~*")&gt;0)+(IFERROR(INDEX(Setup!$G$33:$G$40,MATCH(O2600,Setup!$B$33:$B$40,0)),0)=1)*(COUNTIF(O2558:Q2575,$B2600)+COUNTIF(O2558:Q2575,$B2600&amp;" ~*")&gt;0)+(IFERROR(INDEX(Setup!$G$33:$G$40,MATCH(S2600,Setup!$B$33:$B$40,0)),0)=1)*(COUNTIF(S2558:U2575,$B2600)+COUNTIF(S2558:U2575,$B2600&amp;" ~*")&gt;0)+(IFERROR(INDEX(Setup!$G$33:$G$40,MATCH(W2600,Setup!$B$33:$B$40,0)),0)=1)*(COUNTIF(W2558:W2575,$B2600)+COUNTIF(W2558:W2575,$B2600&amp;" ~*")&gt;0)+(IFERROR(INDEX(Setup!$G$33:$G$40,MATCH(Y2600,Setup!$B$33:$B$40,0)),0)=1)*(COUNTIF(Y2558:Y2575,$B2600)+COUNTIF(Y2558:Y2575,$B2600&amp;" ~*")&gt;0))</f>
        <v/>
      </c>
    </row>
    <row r="2601" ht="16" customHeight="1">
      <c r="A2601" t="n">
        <v>52</v>
      </c>
      <c r="B2601" s="106" t="inlineStr">
        <is>
          <t>Available people</t>
        </is>
      </c>
      <c r="C2601" s="107">
        <f>COUNTIFS(Setup!$E$6:$E$29,"Y",Setup!$B$6:$B$29,"?*")-SUMPRODUCT(COUNTIF(C2577:C2600,Setup!$F$33:$F$40))</f>
        <v/>
      </c>
      <c r="D2601" s="107" t="n"/>
      <c r="E2601" s="107" t="n"/>
      <c r="F2601" s="107" t="n"/>
      <c r="G2601" s="107">
        <f>COUNTIFS(Setup!$E$6:$E$29,"Y",Setup!$B$6:$B$29,"?*")-SUMPRODUCT(COUNTIF(G2577:G2600,Setup!$F$33:$F$40))</f>
        <v/>
      </c>
      <c r="H2601" s="107" t="n"/>
      <c r="I2601" s="107" t="n"/>
      <c r="J2601" s="107" t="n"/>
      <c r="K2601" s="107">
        <f>COUNTIFS(Setup!$E$6:$E$29,"Y",Setup!$B$6:$B$29,"?*")-SUMPRODUCT(COUNTIF(K2577:K2600,Setup!$F$33:$F$40))</f>
        <v/>
      </c>
      <c r="L2601" s="107" t="n"/>
      <c r="M2601" s="107" t="n"/>
      <c r="N2601" s="107" t="n"/>
      <c r="O2601" s="107">
        <f>COUNTIFS(Setup!$E$6:$E$29,"Y",Setup!$B$6:$B$29,"?*")-SUMPRODUCT(COUNTIF(O2577:O2600,Setup!$F$33:$F$40))</f>
        <v/>
      </c>
      <c r="P2601" s="107" t="n"/>
      <c r="Q2601" s="107" t="n"/>
      <c r="R2601" s="107" t="n"/>
      <c r="S2601" s="107">
        <f>COUNTIFS(Setup!$E$6:$E$29,"Y",Setup!$B$6:$B$29,"?*")-SUMPRODUCT(COUNTIF(S2577:S2600,Setup!$F$33:$F$40))</f>
        <v/>
      </c>
      <c r="T2601" s="107" t="n"/>
      <c r="U2601" s="107" t="n"/>
      <c r="V2601" s="107" t="n"/>
      <c r="W2601" s="107">
        <f>COUNTIFS(Setup!$E$6:$E$29,"Y",Setup!$B$6:$B$29,"?*")-SUMPRODUCT(COUNTIF(W2577:W2600,Setup!$F$33:$F$40))</f>
        <v/>
      </c>
      <c r="X2601" s="107" t="n"/>
      <c r="Y2601" s="107">
        <f>COUNTIFS(Setup!$E$6:$E$29,"Y",Setup!$B$6:$B$29,"?*")-SUMPRODUCT(COUNTIF(Y2577:Y2600,Setup!$F$33:$F$40))</f>
        <v/>
      </c>
      <c r="Z2601" s="107" t="n"/>
      <c r="AB2601" s="108">
        <f>SUM(AB2577:AB2600)</f>
        <v/>
      </c>
      <c r="AC2601" s="109">
        <f>SUM(AC2577:AC2600)</f>
        <v/>
      </c>
    </row>
    <row r="2602" ht="30" customHeight="1">
      <c r="A2602" t="n">
        <v>52</v>
      </c>
      <c r="B2602" s="110" t="inlineStr">
        <is>
          <t>Week notes</t>
        </is>
      </c>
      <c r="C2602" s="111" t="n"/>
      <c r="D2602" s="112" t="n"/>
      <c r="E2602" s="112" t="n"/>
      <c r="F2602" s="112" t="n"/>
      <c r="G2602" s="112" t="n"/>
      <c r="H2602" s="112" t="n"/>
      <c r="I2602" s="112" t="n"/>
      <c r="J2602" s="112" t="n"/>
      <c r="K2602" s="112" t="n"/>
      <c r="L2602" s="112" t="n"/>
      <c r="M2602" s="112" t="n"/>
      <c r="N2602" s="112" t="n"/>
      <c r="O2602" s="112" t="n"/>
      <c r="P2602" s="112" t="n"/>
      <c r="Q2602" s="112" t="n"/>
      <c r="R2602" s="112" t="n"/>
      <c r="S2602" s="112" t="n"/>
      <c r="T2602" s="112" t="n"/>
      <c r="U2602" s="112" t="n"/>
      <c r="V2602" s="112" t="n"/>
      <c r="W2602" s="112" t="n"/>
      <c r="X2602" s="112" t="n"/>
      <c r="Y2602" s="112" t="n"/>
      <c r="Z2602" s="113" t="n"/>
    </row>
    <row r="2603" ht="8" customHeight="1">
      <c r="A2603" t="n">
        <v>52</v>
      </c>
    </row>
    <row r="2604" ht="8" customHeight="1">
      <c r="A2604" t="n">
        <v>52</v>
      </c>
    </row>
    <row r="2605" ht="24" customHeight="1">
      <c r="A2605" t="n">
        <v>53</v>
      </c>
      <c r="B2605" s="73">
        <f>"WEEK 53     "&amp;TEXT(C2606,"ddd d mmm")&amp;"  –  "&amp;TEXT(C2606+6,"ddd d mmm yyyy")&amp;"   (week 53 - only used in 53-week years)"</f>
        <v/>
      </c>
      <c r="S2605" s="74">
        <f>IF(TODAY()&lt;C2606,"FUTURE",IF(TODAY()&gt;C2606+6,"PAST","THIS WEEK"))</f>
        <v/>
      </c>
      <c r="W2605" s="75">
        <f>IF(AND(Engine!$B$8=$AC$3,Engine!$B$9=$A2605),"◀ ACTIVE WEEK","")</f>
        <v/>
      </c>
      <c r="AA2605" s="76" t="n"/>
      <c r="AB2605" s="77" t="inlineStr">
        <is>
          <t>◀ Prev</t>
        </is>
      </c>
      <c r="AC2605" s="77" t="inlineStr">
        <is>
          <t>▲ Top</t>
        </is>
      </c>
    </row>
    <row r="2606" ht="18" customHeight="1">
      <c r="A2606" t="n">
        <v>53</v>
      </c>
      <c r="B2606" s="78" t="inlineStr">
        <is>
          <t>DUTY</t>
        </is>
      </c>
      <c r="C2606" s="79">
        <f>$AC$2+7*($A2606-1)</f>
        <v/>
      </c>
      <c r="D2606" s="80" t="n"/>
      <c r="E2606" s="80" t="n"/>
      <c r="F2606" s="81" t="n"/>
      <c r="G2606" s="79">
        <f>C2606+1</f>
        <v/>
      </c>
      <c r="H2606" s="80" t="n"/>
      <c r="I2606" s="80" t="n"/>
      <c r="J2606" s="81" t="n"/>
      <c r="K2606" s="79">
        <f>C2606+2</f>
        <v/>
      </c>
      <c r="L2606" s="80" t="n"/>
      <c r="M2606" s="80" t="n"/>
      <c r="N2606" s="81" t="n"/>
      <c r="O2606" s="79">
        <f>C2606+3</f>
        <v/>
      </c>
      <c r="P2606" s="80" t="n"/>
      <c r="Q2606" s="80" t="n"/>
      <c r="R2606" s="81" t="n"/>
      <c r="S2606" s="79">
        <f>C2606+4</f>
        <v/>
      </c>
      <c r="T2606" s="80" t="n"/>
      <c r="U2606" s="80" t="n"/>
      <c r="V2606" s="81" t="n"/>
      <c r="W2606" s="82">
        <f>C2606+5</f>
        <v/>
      </c>
      <c r="X2606" s="83" t="n"/>
      <c r="Y2606" s="82">
        <f>C2606+6</f>
        <v/>
      </c>
      <c r="Z2606" s="83" t="n"/>
      <c r="AB2606" s="72" t="inlineStr">
        <is>
          <t>Gaps</t>
        </is>
      </c>
      <c r="AC2606" s="72" t="inlineStr">
        <is>
          <t>Cover</t>
        </is>
      </c>
    </row>
    <row r="2607" ht="14" customHeight="1">
      <c r="A2607" t="n">
        <v>53</v>
      </c>
      <c r="B2607" s="84" t="inlineStr">
        <is>
          <t>(from Setup)</t>
        </is>
      </c>
      <c r="C2607" s="85" t="inlineStr">
        <is>
          <t>1</t>
        </is>
      </c>
      <c r="D2607" s="85" t="inlineStr">
        <is>
          <t>2</t>
        </is>
      </c>
      <c r="E2607" s="85" t="inlineStr">
        <is>
          <t>3</t>
        </is>
      </c>
      <c r="F2607" s="85" t="inlineStr">
        <is>
          <t>Notes</t>
        </is>
      </c>
      <c r="G2607" s="85" t="inlineStr">
        <is>
          <t>1</t>
        </is>
      </c>
      <c r="H2607" s="85" t="inlineStr">
        <is>
          <t>2</t>
        </is>
      </c>
      <c r="I2607" s="85" t="inlineStr">
        <is>
          <t>3</t>
        </is>
      </c>
      <c r="J2607" s="85" t="inlineStr">
        <is>
          <t>Notes</t>
        </is>
      </c>
      <c r="K2607" s="85" t="inlineStr">
        <is>
          <t>1</t>
        </is>
      </c>
      <c r="L2607" s="85" t="inlineStr">
        <is>
          <t>2</t>
        </is>
      </c>
      <c r="M2607" s="85" t="inlineStr">
        <is>
          <t>3</t>
        </is>
      </c>
      <c r="N2607" s="85" t="inlineStr">
        <is>
          <t>Notes</t>
        </is>
      </c>
      <c r="O2607" s="85" t="inlineStr">
        <is>
          <t>1</t>
        </is>
      </c>
      <c r="P2607" s="85" t="inlineStr">
        <is>
          <t>2</t>
        </is>
      </c>
      <c r="Q2607" s="85" t="inlineStr">
        <is>
          <t>3</t>
        </is>
      </c>
      <c r="R2607" s="85" t="inlineStr">
        <is>
          <t>Notes</t>
        </is>
      </c>
      <c r="S2607" s="85" t="inlineStr">
        <is>
          <t>1</t>
        </is>
      </c>
      <c r="T2607" s="85" t="inlineStr">
        <is>
          <t>2</t>
        </is>
      </c>
      <c r="U2607" s="85" t="inlineStr">
        <is>
          <t>3</t>
        </is>
      </c>
      <c r="V2607" s="85" t="inlineStr">
        <is>
          <t>Notes</t>
        </is>
      </c>
      <c r="W2607" s="85" t="inlineStr">
        <is>
          <t>Cover</t>
        </is>
      </c>
      <c r="X2607" s="85" t="inlineStr">
        <is>
          <t>Notes</t>
        </is>
      </c>
      <c r="Y2607" s="85" t="inlineStr">
        <is>
          <t>Cover</t>
        </is>
      </c>
      <c r="Z2607" s="85" t="inlineStr">
        <is>
          <t>Notes</t>
        </is>
      </c>
      <c r="AB2607" s="86" t="inlineStr">
        <is>
          <t>weekdays short</t>
        </is>
      </c>
      <c r="AC2607" s="87" t="inlineStr"/>
    </row>
    <row r="2608" ht="17" customHeight="1">
      <c r="A2608" t="n">
        <v>53</v>
      </c>
      <c r="B2608" s="24">
        <f>IF(Setup!$K$6="","",Setup!$K$6)</f>
        <v/>
      </c>
      <c r="C2608" s="88" t="n"/>
      <c r="D2608" s="88" t="n"/>
      <c r="E2608" s="88" t="n"/>
      <c r="F2608" s="89" t="n"/>
      <c r="G2608" s="88" t="n"/>
      <c r="H2608" s="88" t="n"/>
      <c r="I2608" s="88" t="n"/>
      <c r="J2608" s="89" t="n"/>
      <c r="K2608" s="88" t="n"/>
      <c r="L2608" s="88" t="n"/>
      <c r="M2608" s="88" t="n"/>
      <c r="N2608" s="89" t="n"/>
      <c r="O2608" s="88" t="n"/>
      <c r="P2608" s="88" t="n"/>
      <c r="Q2608" s="88" t="n"/>
      <c r="R2608" s="89" t="n"/>
      <c r="S2608" s="88" t="n"/>
      <c r="T2608" s="88" t="n"/>
      <c r="U2608" s="88" t="n"/>
      <c r="V2608" s="89" t="n"/>
      <c r="W2608" s="88" t="n"/>
      <c r="X2608" s="89" t="n"/>
      <c r="Y2608" s="88" t="n"/>
      <c r="Z2608" s="89" t="n"/>
      <c r="AB2608" s="25">
        <f>IF($B2608="","",(COUNTIF(C2608:E2608,"?*")&lt;N(INDEX(Setup!$L$6:$L$23,1)))+(COUNTIF(G2608:I2608,"?*")&lt;N(INDEX(Setup!$L$6:$L$23,1)))+(COUNTIF(K2608:M2608,"?*")&lt;N(INDEX(Setup!$L$6:$L$23,1)))+(COUNTIF(O2608:Q2608,"?*")&lt;N(INDEX(Setup!$L$6:$L$23,1)))+(COUNTIF(S2608:U2608,"?*")&lt;N(INDEX(Setup!$L$6:$L$23,1)))+((W2608="")*(INDEX(Setup!$M$6:$M$23,1)="Y"))+((Y2608="")*(INDEX(Setup!$M$6:$M$23,1)="Y")))</f>
        <v/>
      </c>
      <c r="AC2608" s="90">
        <f>IF($B2608="","",IF(AB2608=0,"✓ covered","⚠ "&amp;AB2608&amp;IF(AB2608=1," gap"," gaps")))</f>
        <v/>
      </c>
    </row>
    <row r="2609" ht="17" customHeight="1">
      <c r="A2609" t="n">
        <v>53</v>
      </c>
      <c r="B2609" s="29">
        <f>IF(Setup!$K$7="","",Setup!$K$7)</f>
        <v/>
      </c>
      <c r="C2609" s="88" t="n"/>
      <c r="D2609" s="88" t="n"/>
      <c r="E2609" s="88" t="n"/>
      <c r="F2609" s="89" t="n"/>
      <c r="G2609" s="88" t="n"/>
      <c r="H2609" s="88" t="n"/>
      <c r="I2609" s="88" t="n"/>
      <c r="J2609" s="89" t="n"/>
      <c r="K2609" s="88" t="n"/>
      <c r="L2609" s="88" t="n"/>
      <c r="M2609" s="88" t="n"/>
      <c r="N2609" s="89" t="n"/>
      <c r="O2609" s="88" t="n"/>
      <c r="P2609" s="88" t="n"/>
      <c r="Q2609" s="88" t="n"/>
      <c r="R2609" s="89" t="n"/>
      <c r="S2609" s="88" t="n"/>
      <c r="T2609" s="88" t="n"/>
      <c r="U2609" s="88" t="n"/>
      <c r="V2609" s="89" t="n"/>
      <c r="W2609" s="88" t="n"/>
      <c r="X2609" s="89" t="n"/>
      <c r="Y2609" s="88" t="n"/>
      <c r="Z2609" s="89" t="n"/>
      <c r="AB2609" s="30">
        <f>IF($B2609="","",(COUNTIF(C2609:E2609,"?*")&lt;N(INDEX(Setup!$L$6:$L$23,2)))+(COUNTIF(G2609:I2609,"?*")&lt;N(INDEX(Setup!$L$6:$L$23,2)))+(COUNTIF(K2609:M2609,"?*")&lt;N(INDEX(Setup!$L$6:$L$23,2)))+(COUNTIF(O2609:Q2609,"?*")&lt;N(INDEX(Setup!$L$6:$L$23,2)))+(COUNTIF(S2609:U2609,"?*")&lt;N(INDEX(Setup!$L$6:$L$23,2)))+((W2609="")*(INDEX(Setup!$M$6:$M$23,2)="Y"))+((Y2609="")*(INDEX(Setup!$M$6:$M$23,2)="Y")))</f>
        <v/>
      </c>
      <c r="AC2609" s="91">
        <f>IF($B2609="","",IF(AB2609=0,"✓ covered","⚠ "&amp;AB2609&amp;IF(AB2609=1," gap"," gaps")))</f>
        <v/>
      </c>
    </row>
    <row r="2610" ht="17" customHeight="1">
      <c r="A2610" t="n">
        <v>53</v>
      </c>
      <c r="B2610" s="24">
        <f>IF(Setup!$K$8="","",Setup!$K$8)</f>
        <v/>
      </c>
      <c r="C2610" s="88" t="n"/>
      <c r="D2610" s="88" t="n"/>
      <c r="E2610" s="88" t="n"/>
      <c r="F2610" s="89" t="n"/>
      <c r="G2610" s="88" t="n"/>
      <c r="H2610" s="88" t="n"/>
      <c r="I2610" s="88" t="n"/>
      <c r="J2610" s="89" t="n"/>
      <c r="K2610" s="88" t="n"/>
      <c r="L2610" s="88" t="n"/>
      <c r="M2610" s="88" t="n"/>
      <c r="N2610" s="89" t="n"/>
      <c r="O2610" s="88" t="n"/>
      <c r="P2610" s="88" t="n"/>
      <c r="Q2610" s="88" t="n"/>
      <c r="R2610" s="89" t="n"/>
      <c r="S2610" s="88" t="n"/>
      <c r="T2610" s="88" t="n"/>
      <c r="U2610" s="88" t="n"/>
      <c r="V2610" s="89" t="n"/>
      <c r="W2610" s="88" t="n"/>
      <c r="X2610" s="89" t="n"/>
      <c r="Y2610" s="88" t="n"/>
      <c r="Z2610" s="89" t="n"/>
      <c r="AB2610" s="25">
        <f>IF($B2610="","",(COUNTIF(C2610:E2610,"?*")&lt;N(INDEX(Setup!$L$6:$L$23,3)))+(COUNTIF(G2610:I2610,"?*")&lt;N(INDEX(Setup!$L$6:$L$23,3)))+(COUNTIF(K2610:M2610,"?*")&lt;N(INDEX(Setup!$L$6:$L$23,3)))+(COUNTIF(O2610:Q2610,"?*")&lt;N(INDEX(Setup!$L$6:$L$23,3)))+(COUNTIF(S2610:U2610,"?*")&lt;N(INDEX(Setup!$L$6:$L$23,3)))+((W2610="")*(INDEX(Setup!$M$6:$M$23,3)="Y"))+((Y2610="")*(INDEX(Setup!$M$6:$M$23,3)="Y")))</f>
        <v/>
      </c>
      <c r="AC2610" s="90">
        <f>IF($B2610="","",IF(AB2610=0,"✓ covered","⚠ "&amp;AB2610&amp;IF(AB2610=1," gap"," gaps")))</f>
        <v/>
      </c>
    </row>
    <row r="2611" ht="17" customHeight="1">
      <c r="A2611" t="n">
        <v>53</v>
      </c>
      <c r="B2611" s="29">
        <f>IF(Setup!$K$9="","",Setup!$K$9)</f>
        <v/>
      </c>
      <c r="C2611" s="88" t="n"/>
      <c r="D2611" s="88" t="n"/>
      <c r="E2611" s="88" t="n"/>
      <c r="F2611" s="89" t="n"/>
      <c r="G2611" s="88" t="n"/>
      <c r="H2611" s="88" t="n"/>
      <c r="I2611" s="88" t="n"/>
      <c r="J2611" s="89" t="n"/>
      <c r="K2611" s="88" t="n"/>
      <c r="L2611" s="88" t="n"/>
      <c r="M2611" s="88" t="n"/>
      <c r="N2611" s="89" t="n"/>
      <c r="O2611" s="88" t="n"/>
      <c r="P2611" s="88" t="n"/>
      <c r="Q2611" s="88" t="n"/>
      <c r="R2611" s="89" t="n"/>
      <c r="S2611" s="88" t="n"/>
      <c r="T2611" s="88" t="n"/>
      <c r="U2611" s="88" t="n"/>
      <c r="V2611" s="89" t="n"/>
      <c r="W2611" s="88" t="n"/>
      <c r="X2611" s="89" t="n"/>
      <c r="Y2611" s="88" t="n"/>
      <c r="Z2611" s="89" t="n"/>
      <c r="AB2611" s="30">
        <f>IF($B2611="","",(COUNTIF(C2611:E2611,"?*")&lt;N(INDEX(Setup!$L$6:$L$23,4)))+(COUNTIF(G2611:I2611,"?*")&lt;N(INDEX(Setup!$L$6:$L$23,4)))+(COUNTIF(K2611:M2611,"?*")&lt;N(INDEX(Setup!$L$6:$L$23,4)))+(COUNTIF(O2611:Q2611,"?*")&lt;N(INDEX(Setup!$L$6:$L$23,4)))+(COUNTIF(S2611:U2611,"?*")&lt;N(INDEX(Setup!$L$6:$L$23,4)))+((W2611="")*(INDEX(Setup!$M$6:$M$23,4)="Y"))+((Y2611="")*(INDEX(Setup!$M$6:$M$23,4)="Y")))</f>
        <v/>
      </c>
      <c r="AC2611" s="91">
        <f>IF($B2611="","",IF(AB2611=0,"✓ covered","⚠ "&amp;AB2611&amp;IF(AB2611=1," gap"," gaps")))</f>
        <v/>
      </c>
    </row>
    <row r="2612" ht="17" customHeight="1">
      <c r="A2612" t="n">
        <v>53</v>
      </c>
      <c r="B2612" s="24">
        <f>IF(Setup!$K$10="","",Setup!$K$10)</f>
        <v/>
      </c>
      <c r="C2612" s="88" t="n"/>
      <c r="D2612" s="88" t="n"/>
      <c r="E2612" s="88" t="n"/>
      <c r="F2612" s="89" t="n"/>
      <c r="G2612" s="88" t="n"/>
      <c r="H2612" s="88" t="n"/>
      <c r="I2612" s="88" t="n"/>
      <c r="J2612" s="89" t="n"/>
      <c r="K2612" s="88" t="n"/>
      <c r="L2612" s="88" t="n"/>
      <c r="M2612" s="88" t="n"/>
      <c r="N2612" s="89" t="n"/>
      <c r="O2612" s="88" t="n"/>
      <c r="P2612" s="88" t="n"/>
      <c r="Q2612" s="88" t="n"/>
      <c r="R2612" s="89" t="n"/>
      <c r="S2612" s="88" t="n"/>
      <c r="T2612" s="88" t="n"/>
      <c r="U2612" s="88" t="n"/>
      <c r="V2612" s="89" t="n"/>
      <c r="W2612" s="88" t="n"/>
      <c r="X2612" s="89" t="n"/>
      <c r="Y2612" s="88" t="n"/>
      <c r="Z2612" s="89" t="n"/>
      <c r="AB2612" s="25">
        <f>IF($B2612="","",(COUNTIF(C2612:E2612,"?*")&lt;N(INDEX(Setup!$L$6:$L$23,5)))+(COUNTIF(G2612:I2612,"?*")&lt;N(INDEX(Setup!$L$6:$L$23,5)))+(COUNTIF(K2612:M2612,"?*")&lt;N(INDEX(Setup!$L$6:$L$23,5)))+(COUNTIF(O2612:Q2612,"?*")&lt;N(INDEX(Setup!$L$6:$L$23,5)))+(COUNTIF(S2612:U2612,"?*")&lt;N(INDEX(Setup!$L$6:$L$23,5)))+((W2612="")*(INDEX(Setup!$M$6:$M$23,5)="Y"))+((Y2612="")*(INDEX(Setup!$M$6:$M$23,5)="Y")))</f>
        <v/>
      </c>
      <c r="AC2612" s="90">
        <f>IF($B2612="","",IF(AB2612=0,"✓ covered","⚠ "&amp;AB2612&amp;IF(AB2612=1," gap"," gaps")))</f>
        <v/>
      </c>
    </row>
    <row r="2613" ht="17" customHeight="1">
      <c r="A2613" t="n">
        <v>53</v>
      </c>
      <c r="B2613" s="29">
        <f>IF(Setup!$K$11="","",Setup!$K$11)</f>
        <v/>
      </c>
      <c r="C2613" s="88" t="n"/>
      <c r="D2613" s="88" t="n"/>
      <c r="E2613" s="88" t="n"/>
      <c r="F2613" s="89" t="n"/>
      <c r="G2613" s="88" t="n"/>
      <c r="H2613" s="88" t="n"/>
      <c r="I2613" s="88" t="n"/>
      <c r="J2613" s="89" t="n"/>
      <c r="K2613" s="88" t="n"/>
      <c r="L2613" s="88" t="n"/>
      <c r="M2613" s="88" t="n"/>
      <c r="N2613" s="89" t="n"/>
      <c r="O2613" s="88" t="n"/>
      <c r="P2613" s="88" t="n"/>
      <c r="Q2613" s="88" t="n"/>
      <c r="R2613" s="89" t="n"/>
      <c r="S2613" s="88" t="n"/>
      <c r="T2613" s="88" t="n"/>
      <c r="U2613" s="88" t="n"/>
      <c r="V2613" s="89" t="n"/>
      <c r="W2613" s="88" t="n"/>
      <c r="X2613" s="89" t="n"/>
      <c r="Y2613" s="88" t="n"/>
      <c r="Z2613" s="89" t="n"/>
      <c r="AB2613" s="30">
        <f>IF($B2613="","",(COUNTIF(C2613:E2613,"?*")&lt;N(INDEX(Setup!$L$6:$L$23,6)))+(COUNTIF(G2613:I2613,"?*")&lt;N(INDEX(Setup!$L$6:$L$23,6)))+(COUNTIF(K2613:M2613,"?*")&lt;N(INDEX(Setup!$L$6:$L$23,6)))+(COUNTIF(O2613:Q2613,"?*")&lt;N(INDEX(Setup!$L$6:$L$23,6)))+(COUNTIF(S2613:U2613,"?*")&lt;N(INDEX(Setup!$L$6:$L$23,6)))+((W2613="")*(INDEX(Setup!$M$6:$M$23,6)="Y"))+((Y2613="")*(INDEX(Setup!$M$6:$M$23,6)="Y")))</f>
        <v/>
      </c>
      <c r="AC2613" s="91">
        <f>IF($B2613="","",IF(AB2613=0,"✓ covered","⚠ "&amp;AB2613&amp;IF(AB2613=1," gap"," gaps")))</f>
        <v/>
      </c>
    </row>
    <row r="2614" ht="17" customHeight="1">
      <c r="A2614" t="n">
        <v>53</v>
      </c>
      <c r="B2614" s="24">
        <f>IF(Setup!$K$12="","",Setup!$K$12)</f>
        <v/>
      </c>
      <c r="C2614" s="88" t="n"/>
      <c r="D2614" s="88" t="n"/>
      <c r="E2614" s="88" t="n"/>
      <c r="F2614" s="89" t="n"/>
      <c r="G2614" s="88" t="n"/>
      <c r="H2614" s="88" t="n"/>
      <c r="I2614" s="88" t="n"/>
      <c r="J2614" s="89" t="n"/>
      <c r="K2614" s="88" t="n"/>
      <c r="L2614" s="88" t="n"/>
      <c r="M2614" s="88" t="n"/>
      <c r="N2614" s="89" t="n"/>
      <c r="O2614" s="88" t="n"/>
      <c r="P2614" s="88" t="n"/>
      <c r="Q2614" s="88" t="n"/>
      <c r="R2614" s="89" t="n"/>
      <c r="S2614" s="88" t="n"/>
      <c r="T2614" s="88" t="n"/>
      <c r="U2614" s="88" t="n"/>
      <c r="V2614" s="89" t="n"/>
      <c r="W2614" s="88" t="n"/>
      <c r="X2614" s="89" t="n"/>
      <c r="Y2614" s="88" t="n"/>
      <c r="Z2614" s="89" t="n"/>
      <c r="AB2614" s="25">
        <f>IF($B2614="","",(COUNTIF(C2614:E2614,"?*")&lt;N(INDEX(Setup!$L$6:$L$23,7)))+(COUNTIF(G2614:I2614,"?*")&lt;N(INDEX(Setup!$L$6:$L$23,7)))+(COUNTIF(K2614:M2614,"?*")&lt;N(INDEX(Setup!$L$6:$L$23,7)))+(COUNTIF(O2614:Q2614,"?*")&lt;N(INDEX(Setup!$L$6:$L$23,7)))+(COUNTIF(S2614:U2614,"?*")&lt;N(INDEX(Setup!$L$6:$L$23,7)))+((W2614="")*(INDEX(Setup!$M$6:$M$23,7)="Y"))+((Y2614="")*(INDEX(Setup!$M$6:$M$23,7)="Y")))</f>
        <v/>
      </c>
      <c r="AC2614" s="90">
        <f>IF($B2614="","",IF(AB2614=0,"✓ covered","⚠ "&amp;AB2614&amp;IF(AB2614=1," gap"," gaps")))</f>
        <v/>
      </c>
    </row>
    <row r="2615" ht="17" customHeight="1">
      <c r="A2615" t="n">
        <v>53</v>
      </c>
      <c r="B2615" s="29">
        <f>IF(Setup!$K$13="","",Setup!$K$13)</f>
        <v/>
      </c>
      <c r="C2615" s="88" t="n"/>
      <c r="D2615" s="88" t="n"/>
      <c r="E2615" s="88" t="n"/>
      <c r="F2615" s="89" t="n"/>
      <c r="G2615" s="88" t="n"/>
      <c r="H2615" s="88" t="n"/>
      <c r="I2615" s="88" t="n"/>
      <c r="J2615" s="89" t="n"/>
      <c r="K2615" s="88" t="n"/>
      <c r="L2615" s="88" t="n"/>
      <c r="M2615" s="88" t="n"/>
      <c r="N2615" s="89" t="n"/>
      <c r="O2615" s="88" t="n"/>
      <c r="P2615" s="88" t="n"/>
      <c r="Q2615" s="88" t="n"/>
      <c r="R2615" s="89" t="n"/>
      <c r="S2615" s="88" t="n"/>
      <c r="T2615" s="88" t="n"/>
      <c r="U2615" s="88" t="n"/>
      <c r="V2615" s="89" t="n"/>
      <c r="W2615" s="88" t="n"/>
      <c r="X2615" s="89" t="n"/>
      <c r="Y2615" s="88" t="n"/>
      <c r="Z2615" s="89" t="n"/>
      <c r="AB2615" s="30">
        <f>IF($B2615="","",(COUNTIF(C2615:E2615,"?*")&lt;N(INDEX(Setup!$L$6:$L$23,8)))+(COUNTIF(G2615:I2615,"?*")&lt;N(INDEX(Setup!$L$6:$L$23,8)))+(COUNTIF(K2615:M2615,"?*")&lt;N(INDEX(Setup!$L$6:$L$23,8)))+(COUNTIF(O2615:Q2615,"?*")&lt;N(INDEX(Setup!$L$6:$L$23,8)))+(COUNTIF(S2615:U2615,"?*")&lt;N(INDEX(Setup!$L$6:$L$23,8)))+((W2615="")*(INDEX(Setup!$M$6:$M$23,8)="Y"))+((Y2615="")*(INDEX(Setup!$M$6:$M$23,8)="Y")))</f>
        <v/>
      </c>
      <c r="AC2615" s="91">
        <f>IF($B2615="","",IF(AB2615=0,"✓ covered","⚠ "&amp;AB2615&amp;IF(AB2615=1," gap"," gaps")))</f>
        <v/>
      </c>
    </row>
    <row r="2616" ht="17" customHeight="1">
      <c r="A2616" t="n">
        <v>53</v>
      </c>
      <c r="B2616" s="24">
        <f>IF(Setup!$K$14="","",Setup!$K$14)</f>
        <v/>
      </c>
      <c r="C2616" s="88" t="n"/>
      <c r="D2616" s="88" t="n"/>
      <c r="E2616" s="88" t="n"/>
      <c r="F2616" s="89" t="n"/>
      <c r="G2616" s="88" t="n"/>
      <c r="H2616" s="88" t="n"/>
      <c r="I2616" s="88" t="n"/>
      <c r="J2616" s="89" t="n"/>
      <c r="K2616" s="88" t="n"/>
      <c r="L2616" s="88" t="n"/>
      <c r="M2616" s="88" t="n"/>
      <c r="N2616" s="89" t="n"/>
      <c r="O2616" s="88" t="n"/>
      <c r="P2616" s="88" t="n"/>
      <c r="Q2616" s="88" t="n"/>
      <c r="R2616" s="89" t="n"/>
      <c r="S2616" s="88" t="n"/>
      <c r="T2616" s="88" t="n"/>
      <c r="U2616" s="88" t="n"/>
      <c r="V2616" s="89" t="n"/>
      <c r="W2616" s="88" t="n"/>
      <c r="X2616" s="89" t="n"/>
      <c r="Y2616" s="88" t="n"/>
      <c r="Z2616" s="89" t="n"/>
      <c r="AB2616" s="25">
        <f>IF($B2616="","",(COUNTIF(C2616:E2616,"?*")&lt;N(INDEX(Setup!$L$6:$L$23,9)))+(COUNTIF(G2616:I2616,"?*")&lt;N(INDEX(Setup!$L$6:$L$23,9)))+(COUNTIF(K2616:M2616,"?*")&lt;N(INDEX(Setup!$L$6:$L$23,9)))+(COUNTIF(O2616:Q2616,"?*")&lt;N(INDEX(Setup!$L$6:$L$23,9)))+(COUNTIF(S2616:U2616,"?*")&lt;N(INDEX(Setup!$L$6:$L$23,9)))+((W2616="")*(INDEX(Setup!$M$6:$M$23,9)="Y"))+((Y2616="")*(INDEX(Setup!$M$6:$M$23,9)="Y")))</f>
        <v/>
      </c>
      <c r="AC2616" s="90">
        <f>IF($B2616="","",IF(AB2616=0,"✓ covered","⚠ "&amp;AB2616&amp;IF(AB2616=1," gap"," gaps")))</f>
        <v/>
      </c>
    </row>
    <row r="2617" ht="17" customHeight="1">
      <c r="A2617" t="n">
        <v>53</v>
      </c>
      <c r="B2617" s="29">
        <f>IF(Setup!$K$15="","",Setup!$K$15)</f>
        <v/>
      </c>
      <c r="C2617" s="88" t="n"/>
      <c r="D2617" s="88" t="n"/>
      <c r="E2617" s="88" t="n"/>
      <c r="F2617" s="89" t="n"/>
      <c r="G2617" s="88" t="n"/>
      <c r="H2617" s="88" t="n"/>
      <c r="I2617" s="88" t="n"/>
      <c r="J2617" s="89" t="n"/>
      <c r="K2617" s="88" t="n"/>
      <c r="L2617" s="88" t="n"/>
      <c r="M2617" s="88" t="n"/>
      <c r="N2617" s="89" t="n"/>
      <c r="O2617" s="88" t="n"/>
      <c r="P2617" s="88" t="n"/>
      <c r="Q2617" s="88" t="n"/>
      <c r="R2617" s="89" t="n"/>
      <c r="S2617" s="88" t="n"/>
      <c r="T2617" s="88" t="n"/>
      <c r="U2617" s="88" t="n"/>
      <c r="V2617" s="89" t="n"/>
      <c r="W2617" s="88" t="n"/>
      <c r="X2617" s="89" t="n"/>
      <c r="Y2617" s="88" t="n"/>
      <c r="Z2617" s="89" t="n"/>
      <c r="AB2617" s="30">
        <f>IF($B2617="","",(COUNTIF(C2617:E2617,"?*")&lt;N(INDEX(Setup!$L$6:$L$23,10)))+(COUNTIF(G2617:I2617,"?*")&lt;N(INDEX(Setup!$L$6:$L$23,10)))+(COUNTIF(K2617:M2617,"?*")&lt;N(INDEX(Setup!$L$6:$L$23,10)))+(COUNTIF(O2617:Q2617,"?*")&lt;N(INDEX(Setup!$L$6:$L$23,10)))+(COUNTIF(S2617:U2617,"?*")&lt;N(INDEX(Setup!$L$6:$L$23,10)))+((W2617="")*(INDEX(Setup!$M$6:$M$23,10)="Y"))+((Y2617="")*(INDEX(Setup!$M$6:$M$23,10)="Y")))</f>
        <v/>
      </c>
      <c r="AC2617" s="91">
        <f>IF($B2617="","",IF(AB2617=0,"✓ covered","⚠ "&amp;AB2617&amp;IF(AB2617=1," gap"," gaps")))</f>
        <v/>
      </c>
    </row>
    <row r="2618" ht="17" customHeight="1">
      <c r="A2618" t="n">
        <v>53</v>
      </c>
      <c r="B2618" s="24">
        <f>IF(Setup!$K$16="","",Setup!$K$16)</f>
        <v/>
      </c>
      <c r="C2618" s="88" t="n"/>
      <c r="D2618" s="88" t="n"/>
      <c r="E2618" s="88" t="n"/>
      <c r="F2618" s="89" t="n"/>
      <c r="G2618" s="88" t="n"/>
      <c r="H2618" s="88" t="n"/>
      <c r="I2618" s="88" t="n"/>
      <c r="J2618" s="89" t="n"/>
      <c r="K2618" s="88" t="n"/>
      <c r="L2618" s="88" t="n"/>
      <c r="M2618" s="88" t="n"/>
      <c r="N2618" s="89" t="n"/>
      <c r="O2618" s="88" t="n"/>
      <c r="P2618" s="88" t="n"/>
      <c r="Q2618" s="88" t="n"/>
      <c r="R2618" s="89" t="n"/>
      <c r="S2618" s="88" t="n"/>
      <c r="T2618" s="88" t="n"/>
      <c r="U2618" s="88" t="n"/>
      <c r="V2618" s="89" t="n"/>
      <c r="W2618" s="88" t="n"/>
      <c r="X2618" s="89" t="n"/>
      <c r="Y2618" s="88" t="n"/>
      <c r="Z2618" s="89" t="n"/>
      <c r="AB2618" s="25">
        <f>IF($B2618="","",(COUNTIF(C2618:E2618,"?*")&lt;N(INDEX(Setup!$L$6:$L$23,11)))+(COUNTIF(G2618:I2618,"?*")&lt;N(INDEX(Setup!$L$6:$L$23,11)))+(COUNTIF(K2618:M2618,"?*")&lt;N(INDEX(Setup!$L$6:$L$23,11)))+(COUNTIF(O2618:Q2618,"?*")&lt;N(INDEX(Setup!$L$6:$L$23,11)))+(COUNTIF(S2618:U2618,"?*")&lt;N(INDEX(Setup!$L$6:$L$23,11)))+((W2618="")*(INDEX(Setup!$M$6:$M$23,11)="Y"))+((Y2618="")*(INDEX(Setup!$M$6:$M$23,11)="Y")))</f>
        <v/>
      </c>
      <c r="AC2618" s="90">
        <f>IF($B2618="","",IF(AB2618=0,"✓ covered","⚠ "&amp;AB2618&amp;IF(AB2618=1," gap"," gaps")))</f>
        <v/>
      </c>
    </row>
    <row r="2619" ht="17" customHeight="1">
      <c r="A2619" t="n">
        <v>53</v>
      </c>
      <c r="B2619" s="29">
        <f>IF(Setup!$K$17="","",Setup!$K$17)</f>
        <v/>
      </c>
      <c r="C2619" s="88" t="n"/>
      <c r="D2619" s="88" t="n"/>
      <c r="E2619" s="88" t="n"/>
      <c r="F2619" s="89" t="n"/>
      <c r="G2619" s="88" t="n"/>
      <c r="H2619" s="88" t="n"/>
      <c r="I2619" s="88" t="n"/>
      <c r="J2619" s="89" t="n"/>
      <c r="K2619" s="88" t="n"/>
      <c r="L2619" s="88" t="n"/>
      <c r="M2619" s="88" t="n"/>
      <c r="N2619" s="89" t="n"/>
      <c r="O2619" s="88" t="n"/>
      <c r="P2619" s="88" t="n"/>
      <c r="Q2619" s="88" t="n"/>
      <c r="R2619" s="89" t="n"/>
      <c r="S2619" s="88" t="n"/>
      <c r="T2619" s="88" t="n"/>
      <c r="U2619" s="88" t="n"/>
      <c r="V2619" s="89" t="n"/>
      <c r="W2619" s="88" t="n"/>
      <c r="X2619" s="89" t="n"/>
      <c r="Y2619" s="88" t="n"/>
      <c r="Z2619" s="89" t="n"/>
      <c r="AB2619" s="30">
        <f>IF($B2619="","",(COUNTIF(C2619:E2619,"?*")&lt;N(INDEX(Setup!$L$6:$L$23,12)))+(COUNTIF(G2619:I2619,"?*")&lt;N(INDEX(Setup!$L$6:$L$23,12)))+(COUNTIF(K2619:M2619,"?*")&lt;N(INDEX(Setup!$L$6:$L$23,12)))+(COUNTIF(O2619:Q2619,"?*")&lt;N(INDEX(Setup!$L$6:$L$23,12)))+(COUNTIF(S2619:U2619,"?*")&lt;N(INDEX(Setup!$L$6:$L$23,12)))+((W2619="")*(INDEX(Setup!$M$6:$M$23,12)="Y"))+((Y2619="")*(INDEX(Setup!$M$6:$M$23,12)="Y")))</f>
        <v/>
      </c>
      <c r="AC2619" s="91">
        <f>IF($B2619="","",IF(AB2619=0,"✓ covered","⚠ "&amp;AB2619&amp;IF(AB2619=1," gap"," gaps")))</f>
        <v/>
      </c>
    </row>
    <row r="2620" ht="17" customHeight="1">
      <c r="A2620" t="n">
        <v>53</v>
      </c>
      <c r="B2620" s="24">
        <f>IF(Setup!$K$18="","",Setup!$K$18)</f>
        <v/>
      </c>
      <c r="C2620" s="88" t="n"/>
      <c r="D2620" s="88" t="n"/>
      <c r="E2620" s="88" t="n"/>
      <c r="F2620" s="89" t="n"/>
      <c r="G2620" s="88" t="n"/>
      <c r="H2620" s="88" t="n"/>
      <c r="I2620" s="88" t="n"/>
      <c r="J2620" s="89" t="n"/>
      <c r="K2620" s="88" t="n"/>
      <c r="L2620" s="88" t="n"/>
      <c r="M2620" s="88" t="n"/>
      <c r="N2620" s="89" t="n"/>
      <c r="O2620" s="88" t="n"/>
      <c r="P2620" s="88" t="n"/>
      <c r="Q2620" s="88" t="n"/>
      <c r="R2620" s="89" t="n"/>
      <c r="S2620" s="88" t="n"/>
      <c r="T2620" s="88" t="n"/>
      <c r="U2620" s="88" t="n"/>
      <c r="V2620" s="89" t="n"/>
      <c r="W2620" s="88" t="n"/>
      <c r="X2620" s="89" t="n"/>
      <c r="Y2620" s="88" t="n"/>
      <c r="Z2620" s="89" t="n"/>
      <c r="AB2620" s="25">
        <f>IF($B2620="","",(COUNTIF(C2620:E2620,"?*")&lt;N(INDEX(Setup!$L$6:$L$23,13)))+(COUNTIF(G2620:I2620,"?*")&lt;N(INDEX(Setup!$L$6:$L$23,13)))+(COUNTIF(K2620:M2620,"?*")&lt;N(INDEX(Setup!$L$6:$L$23,13)))+(COUNTIF(O2620:Q2620,"?*")&lt;N(INDEX(Setup!$L$6:$L$23,13)))+(COUNTIF(S2620:U2620,"?*")&lt;N(INDEX(Setup!$L$6:$L$23,13)))+((W2620="")*(INDEX(Setup!$M$6:$M$23,13)="Y"))+((Y2620="")*(INDEX(Setup!$M$6:$M$23,13)="Y")))</f>
        <v/>
      </c>
      <c r="AC2620" s="90">
        <f>IF($B2620="","",IF(AB2620=0,"✓ covered","⚠ "&amp;AB2620&amp;IF(AB2620=1," gap"," gaps")))</f>
        <v/>
      </c>
    </row>
    <row r="2621" ht="17" customHeight="1">
      <c r="A2621" t="n">
        <v>53</v>
      </c>
      <c r="B2621" s="29">
        <f>IF(Setup!$K$19="","",Setup!$K$19)</f>
        <v/>
      </c>
      <c r="C2621" s="88" t="n"/>
      <c r="D2621" s="88" t="n"/>
      <c r="E2621" s="88" t="n"/>
      <c r="F2621" s="89" t="n"/>
      <c r="G2621" s="88" t="n"/>
      <c r="H2621" s="88" t="n"/>
      <c r="I2621" s="88" t="n"/>
      <c r="J2621" s="89" t="n"/>
      <c r="K2621" s="88" t="n"/>
      <c r="L2621" s="88" t="n"/>
      <c r="M2621" s="88" t="n"/>
      <c r="N2621" s="89" t="n"/>
      <c r="O2621" s="88" t="n"/>
      <c r="P2621" s="88" t="n"/>
      <c r="Q2621" s="88" t="n"/>
      <c r="R2621" s="89" t="n"/>
      <c r="S2621" s="88" t="n"/>
      <c r="T2621" s="88" t="n"/>
      <c r="U2621" s="88" t="n"/>
      <c r="V2621" s="89" t="n"/>
      <c r="W2621" s="88" t="n"/>
      <c r="X2621" s="89" t="n"/>
      <c r="Y2621" s="88" t="n"/>
      <c r="Z2621" s="89" t="n"/>
      <c r="AB2621" s="30">
        <f>IF($B2621="","",(COUNTIF(C2621:E2621,"?*")&lt;N(INDEX(Setup!$L$6:$L$23,14)))+(COUNTIF(G2621:I2621,"?*")&lt;N(INDEX(Setup!$L$6:$L$23,14)))+(COUNTIF(K2621:M2621,"?*")&lt;N(INDEX(Setup!$L$6:$L$23,14)))+(COUNTIF(O2621:Q2621,"?*")&lt;N(INDEX(Setup!$L$6:$L$23,14)))+(COUNTIF(S2621:U2621,"?*")&lt;N(INDEX(Setup!$L$6:$L$23,14)))+((W2621="")*(INDEX(Setup!$M$6:$M$23,14)="Y"))+((Y2621="")*(INDEX(Setup!$M$6:$M$23,14)="Y")))</f>
        <v/>
      </c>
      <c r="AC2621" s="91">
        <f>IF($B2621="","",IF(AB2621=0,"✓ covered","⚠ "&amp;AB2621&amp;IF(AB2621=1," gap"," gaps")))</f>
        <v/>
      </c>
    </row>
    <row r="2622" ht="17" customHeight="1">
      <c r="A2622" t="n">
        <v>53</v>
      </c>
      <c r="B2622" s="24">
        <f>IF(Setup!$K$20="","",Setup!$K$20)</f>
        <v/>
      </c>
      <c r="C2622" s="88" t="n"/>
      <c r="D2622" s="88" t="n"/>
      <c r="E2622" s="88" t="n"/>
      <c r="F2622" s="89" t="n"/>
      <c r="G2622" s="88" t="n"/>
      <c r="H2622" s="88" t="n"/>
      <c r="I2622" s="88" t="n"/>
      <c r="J2622" s="89" t="n"/>
      <c r="K2622" s="88" t="n"/>
      <c r="L2622" s="88" t="n"/>
      <c r="M2622" s="88" t="n"/>
      <c r="N2622" s="89" t="n"/>
      <c r="O2622" s="88" t="n"/>
      <c r="P2622" s="88" t="n"/>
      <c r="Q2622" s="88" t="n"/>
      <c r="R2622" s="89" t="n"/>
      <c r="S2622" s="88" t="n"/>
      <c r="T2622" s="88" t="n"/>
      <c r="U2622" s="88" t="n"/>
      <c r="V2622" s="89" t="n"/>
      <c r="W2622" s="88" t="n"/>
      <c r="X2622" s="89" t="n"/>
      <c r="Y2622" s="88" t="n"/>
      <c r="Z2622" s="89" t="n"/>
      <c r="AB2622" s="25">
        <f>IF($B2622="","",(COUNTIF(C2622:E2622,"?*")&lt;N(INDEX(Setup!$L$6:$L$23,15)))+(COUNTIF(G2622:I2622,"?*")&lt;N(INDEX(Setup!$L$6:$L$23,15)))+(COUNTIF(K2622:M2622,"?*")&lt;N(INDEX(Setup!$L$6:$L$23,15)))+(COUNTIF(O2622:Q2622,"?*")&lt;N(INDEX(Setup!$L$6:$L$23,15)))+(COUNTIF(S2622:U2622,"?*")&lt;N(INDEX(Setup!$L$6:$L$23,15)))+((W2622="")*(INDEX(Setup!$M$6:$M$23,15)="Y"))+((Y2622="")*(INDEX(Setup!$M$6:$M$23,15)="Y")))</f>
        <v/>
      </c>
      <c r="AC2622" s="90">
        <f>IF($B2622="","",IF(AB2622=0,"✓ covered","⚠ "&amp;AB2622&amp;IF(AB2622=1," gap"," gaps")))</f>
        <v/>
      </c>
    </row>
    <row r="2623" ht="17" customHeight="1">
      <c r="A2623" t="n">
        <v>53</v>
      </c>
      <c r="B2623" s="29">
        <f>IF(Setup!$K$21="","",Setup!$K$21)</f>
        <v/>
      </c>
      <c r="C2623" s="88" t="n"/>
      <c r="D2623" s="88" t="n"/>
      <c r="E2623" s="88" t="n"/>
      <c r="F2623" s="89" t="n"/>
      <c r="G2623" s="88" t="n"/>
      <c r="H2623" s="88" t="n"/>
      <c r="I2623" s="88" t="n"/>
      <c r="J2623" s="89" t="n"/>
      <c r="K2623" s="88" t="n"/>
      <c r="L2623" s="88" t="n"/>
      <c r="M2623" s="88" t="n"/>
      <c r="N2623" s="89" t="n"/>
      <c r="O2623" s="88" t="n"/>
      <c r="P2623" s="88" t="n"/>
      <c r="Q2623" s="88" t="n"/>
      <c r="R2623" s="89" t="n"/>
      <c r="S2623" s="88" t="n"/>
      <c r="T2623" s="88" t="n"/>
      <c r="U2623" s="88" t="n"/>
      <c r="V2623" s="89" t="n"/>
      <c r="W2623" s="88" t="n"/>
      <c r="X2623" s="89" t="n"/>
      <c r="Y2623" s="88" t="n"/>
      <c r="Z2623" s="89" t="n"/>
      <c r="AB2623" s="30">
        <f>IF($B2623="","",(COUNTIF(C2623:E2623,"?*")&lt;N(INDEX(Setup!$L$6:$L$23,16)))+(COUNTIF(G2623:I2623,"?*")&lt;N(INDEX(Setup!$L$6:$L$23,16)))+(COUNTIF(K2623:M2623,"?*")&lt;N(INDEX(Setup!$L$6:$L$23,16)))+(COUNTIF(O2623:Q2623,"?*")&lt;N(INDEX(Setup!$L$6:$L$23,16)))+(COUNTIF(S2623:U2623,"?*")&lt;N(INDEX(Setup!$L$6:$L$23,16)))+((W2623="")*(INDEX(Setup!$M$6:$M$23,16)="Y"))+((Y2623="")*(INDEX(Setup!$M$6:$M$23,16)="Y")))</f>
        <v/>
      </c>
      <c r="AC2623" s="91">
        <f>IF($B2623="","",IF(AB2623=0,"✓ covered","⚠ "&amp;AB2623&amp;IF(AB2623=1," gap"," gaps")))</f>
        <v/>
      </c>
    </row>
    <row r="2624" ht="17" customHeight="1">
      <c r="A2624" t="n">
        <v>53</v>
      </c>
      <c r="B2624" s="24">
        <f>IF(Setup!$K$22="","",Setup!$K$22)</f>
        <v/>
      </c>
      <c r="C2624" s="88" t="n"/>
      <c r="D2624" s="88" t="n"/>
      <c r="E2624" s="88" t="n"/>
      <c r="F2624" s="89" t="n"/>
      <c r="G2624" s="88" t="n"/>
      <c r="H2624" s="88" t="n"/>
      <c r="I2624" s="88" t="n"/>
      <c r="J2624" s="89" t="n"/>
      <c r="K2624" s="88" t="n"/>
      <c r="L2624" s="88" t="n"/>
      <c r="M2624" s="88" t="n"/>
      <c r="N2624" s="89" t="n"/>
      <c r="O2624" s="88" t="n"/>
      <c r="P2624" s="88" t="n"/>
      <c r="Q2624" s="88" t="n"/>
      <c r="R2624" s="89" t="n"/>
      <c r="S2624" s="88" t="n"/>
      <c r="T2624" s="88" t="n"/>
      <c r="U2624" s="88" t="n"/>
      <c r="V2624" s="89" t="n"/>
      <c r="W2624" s="88" t="n"/>
      <c r="X2624" s="89" t="n"/>
      <c r="Y2624" s="88" t="n"/>
      <c r="Z2624" s="89" t="n"/>
      <c r="AB2624" s="25">
        <f>IF($B2624="","",(COUNTIF(C2624:E2624,"?*")&lt;N(INDEX(Setup!$L$6:$L$23,17)))+(COUNTIF(G2624:I2624,"?*")&lt;N(INDEX(Setup!$L$6:$L$23,17)))+(COUNTIF(K2624:M2624,"?*")&lt;N(INDEX(Setup!$L$6:$L$23,17)))+(COUNTIF(O2624:Q2624,"?*")&lt;N(INDEX(Setup!$L$6:$L$23,17)))+(COUNTIF(S2624:U2624,"?*")&lt;N(INDEX(Setup!$L$6:$L$23,17)))+((W2624="")*(INDEX(Setup!$M$6:$M$23,17)="Y"))+((Y2624="")*(INDEX(Setup!$M$6:$M$23,17)="Y")))</f>
        <v/>
      </c>
      <c r="AC2624" s="90">
        <f>IF($B2624="","",IF(AB2624=0,"✓ covered","⚠ "&amp;AB2624&amp;IF(AB2624=1," gap"," gaps")))</f>
        <v/>
      </c>
    </row>
    <row r="2625" ht="17" customHeight="1">
      <c r="A2625" t="n">
        <v>53</v>
      </c>
      <c r="B2625" s="29">
        <f>IF(Setup!$K$23="","",Setup!$K$23)</f>
        <v/>
      </c>
      <c r="C2625" s="88" t="n"/>
      <c r="D2625" s="88" t="n"/>
      <c r="E2625" s="88" t="n"/>
      <c r="F2625" s="89" t="n"/>
      <c r="G2625" s="88" t="n"/>
      <c r="H2625" s="88" t="n"/>
      <c r="I2625" s="88" t="n"/>
      <c r="J2625" s="89" t="n"/>
      <c r="K2625" s="88" t="n"/>
      <c r="L2625" s="88" t="n"/>
      <c r="M2625" s="88" t="n"/>
      <c r="N2625" s="89" t="n"/>
      <c r="O2625" s="88" t="n"/>
      <c r="P2625" s="88" t="n"/>
      <c r="Q2625" s="88" t="n"/>
      <c r="R2625" s="89" t="n"/>
      <c r="S2625" s="88" t="n"/>
      <c r="T2625" s="88" t="n"/>
      <c r="U2625" s="88" t="n"/>
      <c r="V2625" s="89" t="n"/>
      <c r="W2625" s="88" t="n"/>
      <c r="X2625" s="89" t="n"/>
      <c r="Y2625" s="88" t="n"/>
      <c r="Z2625" s="89" t="n"/>
      <c r="AB2625" s="30">
        <f>IF($B2625="","",(COUNTIF(C2625:E2625,"?*")&lt;N(INDEX(Setup!$L$6:$L$23,18)))+(COUNTIF(G2625:I2625,"?*")&lt;N(INDEX(Setup!$L$6:$L$23,18)))+(COUNTIF(K2625:M2625,"?*")&lt;N(INDEX(Setup!$L$6:$L$23,18)))+(COUNTIF(O2625:Q2625,"?*")&lt;N(INDEX(Setup!$L$6:$L$23,18)))+(COUNTIF(S2625:U2625,"?*")&lt;N(INDEX(Setup!$L$6:$L$23,18)))+((W2625="")*(INDEX(Setup!$M$6:$M$23,18)="Y"))+((Y2625="")*(INDEX(Setup!$M$6:$M$23,18)="Y")))</f>
        <v/>
      </c>
      <c r="AC2625" s="91">
        <f>IF($B2625="","",IF(AB2625=0,"✓ covered","⚠ "&amp;AB2625&amp;IF(AB2625=1," gap"," gaps")))</f>
        <v/>
      </c>
    </row>
    <row r="2626" ht="18" customHeight="1">
      <c r="A2626" t="n">
        <v>53</v>
      </c>
      <c r="B2626" s="78" t="inlineStr">
        <is>
          <t>TEAM AVAILABILITY</t>
        </is>
      </c>
      <c r="C2626" s="92" t="inlineStr">
        <is>
          <t>Mon</t>
        </is>
      </c>
      <c r="D2626" s="93" t="n"/>
      <c r="E2626" s="93" t="n"/>
      <c r="F2626" s="94" t="n"/>
      <c r="G2626" s="92" t="inlineStr">
        <is>
          <t>Tue</t>
        </is>
      </c>
      <c r="H2626" s="93" t="n"/>
      <c r="I2626" s="93" t="n"/>
      <c r="J2626" s="94" t="n"/>
      <c r="K2626" s="92" t="inlineStr">
        <is>
          <t>Wed</t>
        </is>
      </c>
      <c r="L2626" s="93" t="n"/>
      <c r="M2626" s="93" t="n"/>
      <c r="N2626" s="94" t="n"/>
      <c r="O2626" s="92" t="inlineStr">
        <is>
          <t>Thu</t>
        </is>
      </c>
      <c r="P2626" s="93" t="n"/>
      <c r="Q2626" s="93" t="n"/>
      <c r="R2626" s="94" t="n"/>
      <c r="S2626" s="92" t="inlineStr">
        <is>
          <t>Fri</t>
        </is>
      </c>
      <c r="T2626" s="93" t="n"/>
      <c r="U2626" s="93" t="n"/>
      <c r="V2626" s="94" t="n"/>
      <c r="W2626" s="95" t="inlineStr">
        <is>
          <t>Sat</t>
        </is>
      </c>
      <c r="X2626" s="96" t="n"/>
      <c r="Y2626" s="95" t="inlineStr">
        <is>
          <t>Sun</t>
        </is>
      </c>
      <c r="Z2626" s="96" t="n"/>
      <c r="AB2626" s="97" t="inlineStr">
        <is>
          <t>Days rostered</t>
        </is>
      </c>
      <c r="AC2626" s="97" t="inlineStr">
        <is>
          <t>Conflicts</t>
        </is>
      </c>
    </row>
    <row r="2627" ht="15" customHeight="1">
      <c r="A2627" t="n">
        <v>53</v>
      </c>
      <c r="B2627" s="35">
        <f>IF(Setup!$B$6="","",Setup!$B$6)</f>
        <v/>
      </c>
      <c r="C2627" s="98" t="n"/>
      <c r="D2627" s="99" t="n"/>
      <c r="E2627" s="99" t="n"/>
      <c r="F2627" s="100" t="n"/>
      <c r="G2627" s="98" t="n"/>
      <c r="H2627" s="99" t="n"/>
      <c r="I2627" s="99" t="n"/>
      <c r="J2627" s="100" t="n"/>
      <c r="K2627" s="98" t="n"/>
      <c r="L2627" s="99" t="n"/>
      <c r="M2627" s="99" t="n"/>
      <c r="N2627" s="100" t="n"/>
      <c r="O2627" s="98" t="n"/>
      <c r="P2627" s="99" t="n"/>
      <c r="Q2627" s="99" t="n"/>
      <c r="R2627" s="100" t="n"/>
      <c r="S2627" s="98" t="n"/>
      <c r="T2627" s="99" t="n"/>
      <c r="U2627" s="99" t="n"/>
      <c r="V2627" s="100" t="n"/>
      <c r="W2627" s="98" t="n"/>
      <c r="X2627" s="100" t="n"/>
      <c r="Y2627" s="98" t="n"/>
      <c r="Z2627" s="100" t="n"/>
      <c r="AB2627" s="101">
        <f>IF($B2627="","",(COUNTIF(C2608:E2625,$B2627)+COUNTIF(C2608:E2625,$B2627&amp;" ~*")&gt;0)+(COUNTIF(G2608:I2625,$B2627)+COUNTIF(G2608:I2625,$B2627&amp;" ~*")&gt;0)+(COUNTIF(K2608:M2625,$B2627)+COUNTIF(K2608:M2625,$B2627&amp;" ~*")&gt;0)+(COUNTIF(O2608:Q2625,$B2627)+COUNTIF(O2608:Q2625,$B2627&amp;" ~*")&gt;0)+(COUNTIF(S2608:U2625,$B2627)+COUNTIF(S2608:U2625,$B2627&amp;" ~*")&gt;0)+(COUNTIF(W2608:W2625,$B2627)+COUNTIF(W2608:W2625,$B2627&amp;" ~*")&gt;0)+(COUNTIF(Y2608:Y2625,$B2627)+COUNTIF(Y2608:Y2625,$B2627&amp;" ~*")&gt;0))</f>
        <v/>
      </c>
      <c r="AC2627" s="36">
        <f>IF($B2627="","",(IFERROR(INDEX(Setup!$G$33:$G$40,MATCH(C2627,Setup!$B$33:$B$40,0)),0)=1)*(COUNTIF(C2608:E2625,$B2627)+COUNTIF(C2608:E2625,$B2627&amp;" ~*")&gt;0)+(IFERROR(INDEX(Setup!$G$33:$G$40,MATCH(G2627,Setup!$B$33:$B$40,0)),0)=1)*(COUNTIF(G2608:I2625,$B2627)+COUNTIF(G2608:I2625,$B2627&amp;" ~*")&gt;0)+(IFERROR(INDEX(Setup!$G$33:$G$40,MATCH(K2627,Setup!$B$33:$B$40,0)),0)=1)*(COUNTIF(K2608:M2625,$B2627)+COUNTIF(K2608:M2625,$B2627&amp;" ~*")&gt;0)+(IFERROR(INDEX(Setup!$G$33:$G$40,MATCH(O2627,Setup!$B$33:$B$40,0)),0)=1)*(COUNTIF(O2608:Q2625,$B2627)+COUNTIF(O2608:Q2625,$B2627&amp;" ~*")&gt;0)+(IFERROR(INDEX(Setup!$G$33:$G$40,MATCH(S2627,Setup!$B$33:$B$40,0)),0)=1)*(COUNTIF(S2608:U2625,$B2627)+COUNTIF(S2608:U2625,$B2627&amp;" ~*")&gt;0)+(IFERROR(INDEX(Setup!$G$33:$G$40,MATCH(W2627,Setup!$B$33:$B$40,0)),0)=1)*(COUNTIF(W2608:W2625,$B2627)+COUNTIF(W2608:W2625,$B2627&amp;" ~*")&gt;0)+(IFERROR(INDEX(Setup!$G$33:$G$40,MATCH(Y2627,Setup!$B$33:$B$40,0)),0)=1)*(COUNTIF(Y2608:Y2625,$B2627)+COUNTIF(Y2608:Y2625,$B2627&amp;" ~*")&gt;0))</f>
        <v/>
      </c>
    </row>
    <row r="2628" ht="15" customHeight="1">
      <c r="A2628" t="n">
        <v>53</v>
      </c>
      <c r="B2628" s="37">
        <f>IF(Setup!$B$7="","",Setup!$B$7)</f>
        <v/>
      </c>
      <c r="C2628" s="102" t="n"/>
      <c r="D2628" s="103" t="n"/>
      <c r="E2628" s="103" t="n"/>
      <c r="F2628" s="104" t="n"/>
      <c r="G2628" s="102" t="n"/>
      <c r="H2628" s="103" t="n"/>
      <c r="I2628" s="103" t="n"/>
      <c r="J2628" s="104" t="n"/>
      <c r="K2628" s="102" t="n"/>
      <c r="L2628" s="103" t="n"/>
      <c r="M2628" s="103" t="n"/>
      <c r="N2628" s="104" t="n"/>
      <c r="O2628" s="102" t="n"/>
      <c r="P2628" s="103" t="n"/>
      <c r="Q2628" s="103" t="n"/>
      <c r="R2628" s="104" t="n"/>
      <c r="S2628" s="102" t="n"/>
      <c r="T2628" s="103" t="n"/>
      <c r="U2628" s="103" t="n"/>
      <c r="V2628" s="104" t="n"/>
      <c r="W2628" s="102" t="n"/>
      <c r="X2628" s="104" t="n"/>
      <c r="Y2628" s="102" t="n"/>
      <c r="Z2628" s="104" t="n"/>
      <c r="AB2628" s="105">
        <f>IF($B2628="","",(COUNTIF(C2608:E2625,$B2628)+COUNTIF(C2608:E2625,$B2628&amp;" ~*")&gt;0)+(COUNTIF(G2608:I2625,$B2628)+COUNTIF(G2608:I2625,$B2628&amp;" ~*")&gt;0)+(COUNTIF(K2608:M2625,$B2628)+COUNTIF(K2608:M2625,$B2628&amp;" ~*")&gt;0)+(COUNTIF(O2608:Q2625,$B2628)+COUNTIF(O2608:Q2625,$B2628&amp;" ~*")&gt;0)+(COUNTIF(S2608:U2625,$B2628)+COUNTIF(S2608:U2625,$B2628&amp;" ~*")&gt;0)+(COUNTIF(W2608:W2625,$B2628)+COUNTIF(W2608:W2625,$B2628&amp;" ~*")&gt;0)+(COUNTIF(Y2608:Y2625,$B2628)+COUNTIF(Y2608:Y2625,$B2628&amp;" ~*")&gt;0))</f>
        <v/>
      </c>
      <c r="AC2628" s="38">
        <f>IF($B2628="","",(IFERROR(INDEX(Setup!$G$33:$G$40,MATCH(C2628,Setup!$B$33:$B$40,0)),0)=1)*(COUNTIF(C2608:E2625,$B2628)+COUNTIF(C2608:E2625,$B2628&amp;" ~*")&gt;0)+(IFERROR(INDEX(Setup!$G$33:$G$40,MATCH(G2628,Setup!$B$33:$B$40,0)),0)=1)*(COUNTIF(G2608:I2625,$B2628)+COUNTIF(G2608:I2625,$B2628&amp;" ~*")&gt;0)+(IFERROR(INDEX(Setup!$G$33:$G$40,MATCH(K2628,Setup!$B$33:$B$40,0)),0)=1)*(COUNTIF(K2608:M2625,$B2628)+COUNTIF(K2608:M2625,$B2628&amp;" ~*")&gt;0)+(IFERROR(INDEX(Setup!$G$33:$G$40,MATCH(O2628,Setup!$B$33:$B$40,0)),0)=1)*(COUNTIF(O2608:Q2625,$B2628)+COUNTIF(O2608:Q2625,$B2628&amp;" ~*")&gt;0)+(IFERROR(INDEX(Setup!$G$33:$G$40,MATCH(S2628,Setup!$B$33:$B$40,0)),0)=1)*(COUNTIF(S2608:U2625,$B2628)+COUNTIF(S2608:U2625,$B2628&amp;" ~*")&gt;0)+(IFERROR(INDEX(Setup!$G$33:$G$40,MATCH(W2628,Setup!$B$33:$B$40,0)),0)=1)*(COUNTIF(W2608:W2625,$B2628)+COUNTIF(W2608:W2625,$B2628&amp;" ~*")&gt;0)+(IFERROR(INDEX(Setup!$G$33:$G$40,MATCH(Y2628,Setup!$B$33:$B$40,0)),0)=1)*(COUNTIF(Y2608:Y2625,$B2628)+COUNTIF(Y2608:Y2625,$B2628&amp;" ~*")&gt;0))</f>
        <v/>
      </c>
    </row>
    <row r="2629" ht="15" customHeight="1">
      <c r="A2629" t="n">
        <v>53</v>
      </c>
      <c r="B2629" s="35">
        <f>IF(Setup!$B$8="","",Setup!$B$8)</f>
        <v/>
      </c>
      <c r="C2629" s="98" t="n"/>
      <c r="D2629" s="99" t="n"/>
      <c r="E2629" s="99" t="n"/>
      <c r="F2629" s="100" t="n"/>
      <c r="G2629" s="98" t="n"/>
      <c r="H2629" s="99" t="n"/>
      <c r="I2629" s="99" t="n"/>
      <c r="J2629" s="100" t="n"/>
      <c r="K2629" s="98" t="n"/>
      <c r="L2629" s="99" t="n"/>
      <c r="M2629" s="99" t="n"/>
      <c r="N2629" s="100" t="n"/>
      <c r="O2629" s="98" t="n"/>
      <c r="P2629" s="99" t="n"/>
      <c r="Q2629" s="99" t="n"/>
      <c r="R2629" s="100" t="n"/>
      <c r="S2629" s="98" t="n"/>
      <c r="T2629" s="99" t="n"/>
      <c r="U2629" s="99" t="n"/>
      <c r="V2629" s="100" t="n"/>
      <c r="W2629" s="98" t="n"/>
      <c r="X2629" s="100" t="n"/>
      <c r="Y2629" s="98" t="n"/>
      <c r="Z2629" s="100" t="n"/>
      <c r="AB2629" s="101">
        <f>IF($B2629="","",(COUNTIF(C2608:E2625,$B2629)+COUNTIF(C2608:E2625,$B2629&amp;" ~*")&gt;0)+(COUNTIF(G2608:I2625,$B2629)+COUNTIF(G2608:I2625,$B2629&amp;" ~*")&gt;0)+(COUNTIF(K2608:M2625,$B2629)+COUNTIF(K2608:M2625,$B2629&amp;" ~*")&gt;0)+(COUNTIF(O2608:Q2625,$B2629)+COUNTIF(O2608:Q2625,$B2629&amp;" ~*")&gt;0)+(COUNTIF(S2608:U2625,$B2629)+COUNTIF(S2608:U2625,$B2629&amp;" ~*")&gt;0)+(COUNTIF(W2608:W2625,$B2629)+COUNTIF(W2608:W2625,$B2629&amp;" ~*")&gt;0)+(COUNTIF(Y2608:Y2625,$B2629)+COUNTIF(Y2608:Y2625,$B2629&amp;" ~*")&gt;0))</f>
        <v/>
      </c>
      <c r="AC2629" s="36">
        <f>IF($B2629="","",(IFERROR(INDEX(Setup!$G$33:$G$40,MATCH(C2629,Setup!$B$33:$B$40,0)),0)=1)*(COUNTIF(C2608:E2625,$B2629)+COUNTIF(C2608:E2625,$B2629&amp;" ~*")&gt;0)+(IFERROR(INDEX(Setup!$G$33:$G$40,MATCH(G2629,Setup!$B$33:$B$40,0)),0)=1)*(COUNTIF(G2608:I2625,$B2629)+COUNTIF(G2608:I2625,$B2629&amp;" ~*")&gt;0)+(IFERROR(INDEX(Setup!$G$33:$G$40,MATCH(K2629,Setup!$B$33:$B$40,0)),0)=1)*(COUNTIF(K2608:M2625,$B2629)+COUNTIF(K2608:M2625,$B2629&amp;" ~*")&gt;0)+(IFERROR(INDEX(Setup!$G$33:$G$40,MATCH(O2629,Setup!$B$33:$B$40,0)),0)=1)*(COUNTIF(O2608:Q2625,$B2629)+COUNTIF(O2608:Q2625,$B2629&amp;" ~*")&gt;0)+(IFERROR(INDEX(Setup!$G$33:$G$40,MATCH(S2629,Setup!$B$33:$B$40,0)),0)=1)*(COUNTIF(S2608:U2625,$B2629)+COUNTIF(S2608:U2625,$B2629&amp;" ~*")&gt;0)+(IFERROR(INDEX(Setup!$G$33:$G$40,MATCH(W2629,Setup!$B$33:$B$40,0)),0)=1)*(COUNTIF(W2608:W2625,$B2629)+COUNTIF(W2608:W2625,$B2629&amp;" ~*")&gt;0)+(IFERROR(INDEX(Setup!$G$33:$G$40,MATCH(Y2629,Setup!$B$33:$B$40,0)),0)=1)*(COUNTIF(Y2608:Y2625,$B2629)+COUNTIF(Y2608:Y2625,$B2629&amp;" ~*")&gt;0))</f>
        <v/>
      </c>
    </row>
    <row r="2630" ht="15" customHeight="1">
      <c r="A2630" t="n">
        <v>53</v>
      </c>
      <c r="B2630" s="37">
        <f>IF(Setup!$B$9="","",Setup!$B$9)</f>
        <v/>
      </c>
      <c r="C2630" s="102" t="n"/>
      <c r="D2630" s="103" t="n"/>
      <c r="E2630" s="103" t="n"/>
      <c r="F2630" s="104" t="n"/>
      <c r="G2630" s="102" t="n"/>
      <c r="H2630" s="103" t="n"/>
      <c r="I2630" s="103" t="n"/>
      <c r="J2630" s="104" t="n"/>
      <c r="K2630" s="102" t="n"/>
      <c r="L2630" s="103" t="n"/>
      <c r="M2630" s="103" t="n"/>
      <c r="N2630" s="104" t="n"/>
      <c r="O2630" s="102" t="n"/>
      <c r="P2630" s="103" t="n"/>
      <c r="Q2630" s="103" t="n"/>
      <c r="R2630" s="104" t="n"/>
      <c r="S2630" s="102" t="n"/>
      <c r="T2630" s="103" t="n"/>
      <c r="U2630" s="103" t="n"/>
      <c r="V2630" s="104" t="n"/>
      <c r="W2630" s="102" t="n"/>
      <c r="X2630" s="104" t="n"/>
      <c r="Y2630" s="102" t="n"/>
      <c r="Z2630" s="104" t="n"/>
      <c r="AB2630" s="105">
        <f>IF($B2630="","",(COUNTIF(C2608:E2625,$B2630)+COUNTIF(C2608:E2625,$B2630&amp;" ~*")&gt;0)+(COUNTIF(G2608:I2625,$B2630)+COUNTIF(G2608:I2625,$B2630&amp;" ~*")&gt;0)+(COUNTIF(K2608:M2625,$B2630)+COUNTIF(K2608:M2625,$B2630&amp;" ~*")&gt;0)+(COUNTIF(O2608:Q2625,$B2630)+COUNTIF(O2608:Q2625,$B2630&amp;" ~*")&gt;0)+(COUNTIF(S2608:U2625,$B2630)+COUNTIF(S2608:U2625,$B2630&amp;" ~*")&gt;0)+(COUNTIF(W2608:W2625,$B2630)+COUNTIF(W2608:W2625,$B2630&amp;" ~*")&gt;0)+(COUNTIF(Y2608:Y2625,$B2630)+COUNTIF(Y2608:Y2625,$B2630&amp;" ~*")&gt;0))</f>
        <v/>
      </c>
      <c r="AC2630" s="38">
        <f>IF($B2630="","",(IFERROR(INDEX(Setup!$G$33:$G$40,MATCH(C2630,Setup!$B$33:$B$40,0)),0)=1)*(COUNTIF(C2608:E2625,$B2630)+COUNTIF(C2608:E2625,$B2630&amp;" ~*")&gt;0)+(IFERROR(INDEX(Setup!$G$33:$G$40,MATCH(G2630,Setup!$B$33:$B$40,0)),0)=1)*(COUNTIF(G2608:I2625,$B2630)+COUNTIF(G2608:I2625,$B2630&amp;" ~*")&gt;0)+(IFERROR(INDEX(Setup!$G$33:$G$40,MATCH(K2630,Setup!$B$33:$B$40,0)),0)=1)*(COUNTIF(K2608:M2625,$B2630)+COUNTIF(K2608:M2625,$B2630&amp;" ~*")&gt;0)+(IFERROR(INDEX(Setup!$G$33:$G$40,MATCH(O2630,Setup!$B$33:$B$40,0)),0)=1)*(COUNTIF(O2608:Q2625,$B2630)+COUNTIF(O2608:Q2625,$B2630&amp;" ~*")&gt;0)+(IFERROR(INDEX(Setup!$G$33:$G$40,MATCH(S2630,Setup!$B$33:$B$40,0)),0)=1)*(COUNTIF(S2608:U2625,$B2630)+COUNTIF(S2608:U2625,$B2630&amp;" ~*")&gt;0)+(IFERROR(INDEX(Setup!$G$33:$G$40,MATCH(W2630,Setup!$B$33:$B$40,0)),0)=1)*(COUNTIF(W2608:W2625,$B2630)+COUNTIF(W2608:W2625,$B2630&amp;" ~*")&gt;0)+(IFERROR(INDEX(Setup!$G$33:$G$40,MATCH(Y2630,Setup!$B$33:$B$40,0)),0)=1)*(COUNTIF(Y2608:Y2625,$B2630)+COUNTIF(Y2608:Y2625,$B2630&amp;" ~*")&gt;0))</f>
        <v/>
      </c>
    </row>
    <row r="2631" ht="15" customHeight="1">
      <c r="A2631" t="n">
        <v>53</v>
      </c>
      <c r="B2631" s="35">
        <f>IF(Setup!$B$10="","",Setup!$B$10)</f>
        <v/>
      </c>
      <c r="C2631" s="98" t="n"/>
      <c r="D2631" s="99" t="n"/>
      <c r="E2631" s="99" t="n"/>
      <c r="F2631" s="100" t="n"/>
      <c r="G2631" s="98" t="n"/>
      <c r="H2631" s="99" t="n"/>
      <c r="I2631" s="99" t="n"/>
      <c r="J2631" s="100" t="n"/>
      <c r="K2631" s="98" t="n"/>
      <c r="L2631" s="99" t="n"/>
      <c r="M2631" s="99" t="n"/>
      <c r="N2631" s="100" t="n"/>
      <c r="O2631" s="98" t="n"/>
      <c r="P2631" s="99" t="n"/>
      <c r="Q2631" s="99" t="n"/>
      <c r="R2631" s="100" t="n"/>
      <c r="S2631" s="98" t="n"/>
      <c r="T2631" s="99" t="n"/>
      <c r="U2631" s="99" t="n"/>
      <c r="V2631" s="100" t="n"/>
      <c r="W2631" s="98" t="n"/>
      <c r="X2631" s="100" t="n"/>
      <c r="Y2631" s="98" t="n"/>
      <c r="Z2631" s="100" t="n"/>
      <c r="AB2631" s="101">
        <f>IF($B2631="","",(COUNTIF(C2608:E2625,$B2631)+COUNTIF(C2608:E2625,$B2631&amp;" ~*")&gt;0)+(COUNTIF(G2608:I2625,$B2631)+COUNTIF(G2608:I2625,$B2631&amp;" ~*")&gt;0)+(COUNTIF(K2608:M2625,$B2631)+COUNTIF(K2608:M2625,$B2631&amp;" ~*")&gt;0)+(COUNTIF(O2608:Q2625,$B2631)+COUNTIF(O2608:Q2625,$B2631&amp;" ~*")&gt;0)+(COUNTIF(S2608:U2625,$B2631)+COUNTIF(S2608:U2625,$B2631&amp;" ~*")&gt;0)+(COUNTIF(W2608:W2625,$B2631)+COUNTIF(W2608:W2625,$B2631&amp;" ~*")&gt;0)+(COUNTIF(Y2608:Y2625,$B2631)+COUNTIF(Y2608:Y2625,$B2631&amp;" ~*")&gt;0))</f>
        <v/>
      </c>
      <c r="AC2631" s="36">
        <f>IF($B2631="","",(IFERROR(INDEX(Setup!$G$33:$G$40,MATCH(C2631,Setup!$B$33:$B$40,0)),0)=1)*(COUNTIF(C2608:E2625,$B2631)+COUNTIF(C2608:E2625,$B2631&amp;" ~*")&gt;0)+(IFERROR(INDEX(Setup!$G$33:$G$40,MATCH(G2631,Setup!$B$33:$B$40,0)),0)=1)*(COUNTIF(G2608:I2625,$B2631)+COUNTIF(G2608:I2625,$B2631&amp;" ~*")&gt;0)+(IFERROR(INDEX(Setup!$G$33:$G$40,MATCH(K2631,Setup!$B$33:$B$40,0)),0)=1)*(COUNTIF(K2608:M2625,$B2631)+COUNTIF(K2608:M2625,$B2631&amp;" ~*")&gt;0)+(IFERROR(INDEX(Setup!$G$33:$G$40,MATCH(O2631,Setup!$B$33:$B$40,0)),0)=1)*(COUNTIF(O2608:Q2625,$B2631)+COUNTIF(O2608:Q2625,$B2631&amp;" ~*")&gt;0)+(IFERROR(INDEX(Setup!$G$33:$G$40,MATCH(S2631,Setup!$B$33:$B$40,0)),0)=1)*(COUNTIF(S2608:U2625,$B2631)+COUNTIF(S2608:U2625,$B2631&amp;" ~*")&gt;0)+(IFERROR(INDEX(Setup!$G$33:$G$40,MATCH(W2631,Setup!$B$33:$B$40,0)),0)=1)*(COUNTIF(W2608:W2625,$B2631)+COUNTIF(W2608:W2625,$B2631&amp;" ~*")&gt;0)+(IFERROR(INDEX(Setup!$G$33:$G$40,MATCH(Y2631,Setup!$B$33:$B$40,0)),0)=1)*(COUNTIF(Y2608:Y2625,$B2631)+COUNTIF(Y2608:Y2625,$B2631&amp;" ~*")&gt;0))</f>
        <v/>
      </c>
    </row>
    <row r="2632" ht="15" customHeight="1">
      <c r="A2632" t="n">
        <v>53</v>
      </c>
      <c r="B2632" s="37">
        <f>IF(Setup!$B$11="","",Setup!$B$11)</f>
        <v/>
      </c>
      <c r="C2632" s="102" t="n"/>
      <c r="D2632" s="103" t="n"/>
      <c r="E2632" s="103" t="n"/>
      <c r="F2632" s="104" t="n"/>
      <c r="G2632" s="102" t="n"/>
      <c r="H2632" s="103" t="n"/>
      <c r="I2632" s="103" t="n"/>
      <c r="J2632" s="104" t="n"/>
      <c r="K2632" s="102" t="n"/>
      <c r="L2632" s="103" t="n"/>
      <c r="M2632" s="103" t="n"/>
      <c r="N2632" s="104" t="n"/>
      <c r="O2632" s="102" t="n"/>
      <c r="P2632" s="103" t="n"/>
      <c r="Q2632" s="103" t="n"/>
      <c r="R2632" s="104" t="n"/>
      <c r="S2632" s="102" t="n"/>
      <c r="T2632" s="103" t="n"/>
      <c r="U2632" s="103" t="n"/>
      <c r="V2632" s="104" t="n"/>
      <c r="W2632" s="102" t="n"/>
      <c r="X2632" s="104" t="n"/>
      <c r="Y2632" s="102" t="n"/>
      <c r="Z2632" s="104" t="n"/>
      <c r="AB2632" s="105">
        <f>IF($B2632="","",(COUNTIF(C2608:E2625,$B2632)+COUNTIF(C2608:E2625,$B2632&amp;" ~*")&gt;0)+(COUNTIF(G2608:I2625,$B2632)+COUNTIF(G2608:I2625,$B2632&amp;" ~*")&gt;0)+(COUNTIF(K2608:M2625,$B2632)+COUNTIF(K2608:M2625,$B2632&amp;" ~*")&gt;0)+(COUNTIF(O2608:Q2625,$B2632)+COUNTIF(O2608:Q2625,$B2632&amp;" ~*")&gt;0)+(COUNTIF(S2608:U2625,$B2632)+COUNTIF(S2608:U2625,$B2632&amp;" ~*")&gt;0)+(COUNTIF(W2608:W2625,$B2632)+COUNTIF(W2608:W2625,$B2632&amp;" ~*")&gt;0)+(COUNTIF(Y2608:Y2625,$B2632)+COUNTIF(Y2608:Y2625,$B2632&amp;" ~*")&gt;0))</f>
        <v/>
      </c>
      <c r="AC2632" s="38">
        <f>IF($B2632="","",(IFERROR(INDEX(Setup!$G$33:$G$40,MATCH(C2632,Setup!$B$33:$B$40,0)),0)=1)*(COUNTIF(C2608:E2625,$B2632)+COUNTIF(C2608:E2625,$B2632&amp;" ~*")&gt;0)+(IFERROR(INDEX(Setup!$G$33:$G$40,MATCH(G2632,Setup!$B$33:$B$40,0)),0)=1)*(COUNTIF(G2608:I2625,$B2632)+COUNTIF(G2608:I2625,$B2632&amp;" ~*")&gt;0)+(IFERROR(INDEX(Setup!$G$33:$G$40,MATCH(K2632,Setup!$B$33:$B$40,0)),0)=1)*(COUNTIF(K2608:M2625,$B2632)+COUNTIF(K2608:M2625,$B2632&amp;" ~*")&gt;0)+(IFERROR(INDEX(Setup!$G$33:$G$40,MATCH(O2632,Setup!$B$33:$B$40,0)),0)=1)*(COUNTIF(O2608:Q2625,$B2632)+COUNTIF(O2608:Q2625,$B2632&amp;" ~*")&gt;0)+(IFERROR(INDEX(Setup!$G$33:$G$40,MATCH(S2632,Setup!$B$33:$B$40,0)),0)=1)*(COUNTIF(S2608:U2625,$B2632)+COUNTIF(S2608:U2625,$B2632&amp;" ~*")&gt;0)+(IFERROR(INDEX(Setup!$G$33:$G$40,MATCH(W2632,Setup!$B$33:$B$40,0)),0)=1)*(COUNTIF(W2608:W2625,$B2632)+COUNTIF(W2608:W2625,$B2632&amp;" ~*")&gt;0)+(IFERROR(INDEX(Setup!$G$33:$G$40,MATCH(Y2632,Setup!$B$33:$B$40,0)),0)=1)*(COUNTIF(Y2608:Y2625,$B2632)+COUNTIF(Y2608:Y2625,$B2632&amp;" ~*")&gt;0))</f>
        <v/>
      </c>
    </row>
    <row r="2633" ht="15" customHeight="1">
      <c r="A2633" t="n">
        <v>53</v>
      </c>
      <c r="B2633" s="35">
        <f>IF(Setup!$B$12="","",Setup!$B$12)</f>
        <v/>
      </c>
      <c r="C2633" s="98" t="n"/>
      <c r="D2633" s="99" t="n"/>
      <c r="E2633" s="99" t="n"/>
      <c r="F2633" s="100" t="n"/>
      <c r="G2633" s="98" t="n"/>
      <c r="H2633" s="99" t="n"/>
      <c r="I2633" s="99" t="n"/>
      <c r="J2633" s="100" t="n"/>
      <c r="K2633" s="98" t="n"/>
      <c r="L2633" s="99" t="n"/>
      <c r="M2633" s="99" t="n"/>
      <c r="N2633" s="100" t="n"/>
      <c r="O2633" s="98" t="n"/>
      <c r="P2633" s="99" t="n"/>
      <c r="Q2633" s="99" t="n"/>
      <c r="R2633" s="100" t="n"/>
      <c r="S2633" s="98" t="n"/>
      <c r="T2633" s="99" t="n"/>
      <c r="U2633" s="99" t="n"/>
      <c r="V2633" s="100" t="n"/>
      <c r="W2633" s="98" t="n"/>
      <c r="X2633" s="100" t="n"/>
      <c r="Y2633" s="98" t="n"/>
      <c r="Z2633" s="100" t="n"/>
      <c r="AB2633" s="101">
        <f>IF($B2633="","",(COUNTIF(C2608:E2625,$B2633)+COUNTIF(C2608:E2625,$B2633&amp;" ~*")&gt;0)+(COUNTIF(G2608:I2625,$B2633)+COUNTIF(G2608:I2625,$B2633&amp;" ~*")&gt;0)+(COUNTIF(K2608:M2625,$B2633)+COUNTIF(K2608:M2625,$B2633&amp;" ~*")&gt;0)+(COUNTIF(O2608:Q2625,$B2633)+COUNTIF(O2608:Q2625,$B2633&amp;" ~*")&gt;0)+(COUNTIF(S2608:U2625,$B2633)+COUNTIF(S2608:U2625,$B2633&amp;" ~*")&gt;0)+(COUNTIF(W2608:W2625,$B2633)+COUNTIF(W2608:W2625,$B2633&amp;" ~*")&gt;0)+(COUNTIF(Y2608:Y2625,$B2633)+COUNTIF(Y2608:Y2625,$B2633&amp;" ~*")&gt;0))</f>
        <v/>
      </c>
      <c r="AC2633" s="36">
        <f>IF($B2633="","",(IFERROR(INDEX(Setup!$G$33:$G$40,MATCH(C2633,Setup!$B$33:$B$40,0)),0)=1)*(COUNTIF(C2608:E2625,$B2633)+COUNTIF(C2608:E2625,$B2633&amp;" ~*")&gt;0)+(IFERROR(INDEX(Setup!$G$33:$G$40,MATCH(G2633,Setup!$B$33:$B$40,0)),0)=1)*(COUNTIF(G2608:I2625,$B2633)+COUNTIF(G2608:I2625,$B2633&amp;" ~*")&gt;0)+(IFERROR(INDEX(Setup!$G$33:$G$40,MATCH(K2633,Setup!$B$33:$B$40,0)),0)=1)*(COUNTIF(K2608:M2625,$B2633)+COUNTIF(K2608:M2625,$B2633&amp;" ~*")&gt;0)+(IFERROR(INDEX(Setup!$G$33:$G$40,MATCH(O2633,Setup!$B$33:$B$40,0)),0)=1)*(COUNTIF(O2608:Q2625,$B2633)+COUNTIF(O2608:Q2625,$B2633&amp;" ~*")&gt;0)+(IFERROR(INDEX(Setup!$G$33:$G$40,MATCH(S2633,Setup!$B$33:$B$40,0)),0)=1)*(COUNTIF(S2608:U2625,$B2633)+COUNTIF(S2608:U2625,$B2633&amp;" ~*")&gt;0)+(IFERROR(INDEX(Setup!$G$33:$G$40,MATCH(W2633,Setup!$B$33:$B$40,0)),0)=1)*(COUNTIF(W2608:W2625,$B2633)+COUNTIF(W2608:W2625,$B2633&amp;" ~*")&gt;0)+(IFERROR(INDEX(Setup!$G$33:$G$40,MATCH(Y2633,Setup!$B$33:$B$40,0)),0)=1)*(COUNTIF(Y2608:Y2625,$B2633)+COUNTIF(Y2608:Y2625,$B2633&amp;" ~*")&gt;0))</f>
        <v/>
      </c>
    </row>
    <row r="2634" ht="15" customHeight="1">
      <c r="A2634" t="n">
        <v>53</v>
      </c>
      <c r="B2634" s="37">
        <f>IF(Setup!$B$13="","",Setup!$B$13)</f>
        <v/>
      </c>
      <c r="C2634" s="102" t="n"/>
      <c r="D2634" s="103" t="n"/>
      <c r="E2634" s="103" t="n"/>
      <c r="F2634" s="104" t="n"/>
      <c r="G2634" s="102" t="n"/>
      <c r="H2634" s="103" t="n"/>
      <c r="I2634" s="103" t="n"/>
      <c r="J2634" s="104" t="n"/>
      <c r="K2634" s="102" t="n"/>
      <c r="L2634" s="103" t="n"/>
      <c r="M2634" s="103" t="n"/>
      <c r="N2634" s="104" t="n"/>
      <c r="O2634" s="102" t="n"/>
      <c r="P2634" s="103" t="n"/>
      <c r="Q2634" s="103" t="n"/>
      <c r="R2634" s="104" t="n"/>
      <c r="S2634" s="102" t="n"/>
      <c r="T2634" s="103" t="n"/>
      <c r="U2634" s="103" t="n"/>
      <c r="V2634" s="104" t="n"/>
      <c r="W2634" s="102" t="n"/>
      <c r="X2634" s="104" t="n"/>
      <c r="Y2634" s="102" t="n"/>
      <c r="Z2634" s="104" t="n"/>
      <c r="AB2634" s="105">
        <f>IF($B2634="","",(COUNTIF(C2608:E2625,$B2634)+COUNTIF(C2608:E2625,$B2634&amp;" ~*")&gt;0)+(COUNTIF(G2608:I2625,$B2634)+COUNTIF(G2608:I2625,$B2634&amp;" ~*")&gt;0)+(COUNTIF(K2608:M2625,$B2634)+COUNTIF(K2608:M2625,$B2634&amp;" ~*")&gt;0)+(COUNTIF(O2608:Q2625,$B2634)+COUNTIF(O2608:Q2625,$B2634&amp;" ~*")&gt;0)+(COUNTIF(S2608:U2625,$B2634)+COUNTIF(S2608:U2625,$B2634&amp;" ~*")&gt;0)+(COUNTIF(W2608:W2625,$B2634)+COUNTIF(W2608:W2625,$B2634&amp;" ~*")&gt;0)+(COUNTIF(Y2608:Y2625,$B2634)+COUNTIF(Y2608:Y2625,$B2634&amp;" ~*")&gt;0))</f>
        <v/>
      </c>
      <c r="AC2634" s="38">
        <f>IF($B2634="","",(IFERROR(INDEX(Setup!$G$33:$G$40,MATCH(C2634,Setup!$B$33:$B$40,0)),0)=1)*(COUNTIF(C2608:E2625,$B2634)+COUNTIF(C2608:E2625,$B2634&amp;" ~*")&gt;0)+(IFERROR(INDEX(Setup!$G$33:$G$40,MATCH(G2634,Setup!$B$33:$B$40,0)),0)=1)*(COUNTIF(G2608:I2625,$B2634)+COUNTIF(G2608:I2625,$B2634&amp;" ~*")&gt;0)+(IFERROR(INDEX(Setup!$G$33:$G$40,MATCH(K2634,Setup!$B$33:$B$40,0)),0)=1)*(COUNTIF(K2608:M2625,$B2634)+COUNTIF(K2608:M2625,$B2634&amp;" ~*")&gt;0)+(IFERROR(INDEX(Setup!$G$33:$G$40,MATCH(O2634,Setup!$B$33:$B$40,0)),0)=1)*(COUNTIF(O2608:Q2625,$B2634)+COUNTIF(O2608:Q2625,$B2634&amp;" ~*")&gt;0)+(IFERROR(INDEX(Setup!$G$33:$G$40,MATCH(S2634,Setup!$B$33:$B$40,0)),0)=1)*(COUNTIF(S2608:U2625,$B2634)+COUNTIF(S2608:U2625,$B2634&amp;" ~*")&gt;0)+(IFERROR(INDEX(Setup!$G$33:$G$40,MATCH(W2634,Setup!$B$33:$B$40,0)),0)=1)*(COUNTIF(W2608:W2625,$B2634)+COUNTIF(W2608:W2625,$B2634&amp;" ~*")&gt;0)+(IFERROR(INDEX(Setup!$G$33:$G$40,MATCH(Y2634,Setup!$B$33:$B$40,0)),0)=1)*(COUNTIF(Y2608:Y2625,$B2634)+COUNTIF(Y2608:Y2625,$B2634&amp;" ~*")&gt;0))</f>
        <v/>
      </c>
    </row>
    <row r="2635" ht="15" customHeight="1">
      <c r="A2635" t="n">
        <v>53</v>
      </c>
      <c r="B2635" s="35">
        <f>IF(Setup!$B$14="","",Setup!$B$14)</f>
        <v/>
      </c>
      <c r="C2635" s="98" t="n"/>
      <c r="D2635" s="99" t="n"/>
      <c r="E2635" s="99" t="n"/>
      <c r="F2635" s="100" t="n"/>
      <c r="G2635" s="98" t="n"/>
      <c r="H2635" s="99" t="n"/>
      <c r="I2635" s="99" t="n"/>
      <c r="J2635" s="100" t="n"/>
      <c r="K2635" s="98" t="n"/>
      <c r="L2635" s="99" t="n"/>
      <c r="M2635" s="99" t="n"/>
      <c r="N2635" s="100" t="n"/>
      <c r="O2635" s="98" t="n"/>
      <c r="P2635" s="99" t="n"/>
      <c r="Q2635" s="99" t="n"/>
      <c r="R2635" s="100" t="n"/>
      <c r="S2635" s="98" t="n"/>
      <c r="T2635" s="99" t="n"/>
      <c r="U2635" s="99" t="n"/>
      <c r="V2635" s="100" t="n"/>
      <c r="W2635" s="98" t="n"/>
      <c r="X2635" s="100" t="n"/>
      <c r="Y2635" s="98" t="n"/>
      <c r="Z2635" s="100" t="n"/>
      <c r="AB2635" s="101">
        <f>IF($B2635="","",(COUNTIF(C2608:E2625,$B2635)+COUNTIF(C2608:E2625,$B2635&amp;" ~*")&gt;0)+(COUNTIF(G2608:I2625,$B2635)+COUNTIF(G2608:I2625,$B2635&amp;" ~*")&gt;0)+(COUNTIF(K2608:M2625,$B2635)+COUNTIF(K2608:M2625,$B2635&amp;" ~*")&gt;0)+(COUNTIF(O2608:Q2625,$B2635)+COUNTIF(O2608:Q2625,$B2635&amp;" ~*")&gt;0)+(COUNTIF(S2608:U2625,$B2635)+COUNTIF(S2608:U2625,$B2635&amp;" ~*")&gt;0)+(COUNTIF(W2608:W2625,$B2635)+COUNTIF(W2608:W2625,$B2635&amp;" ~*")&gt;0)+(COUNTIF(Y2608:Y2625,$B2635)+COUNTIF(Y2608:Y2625,$B2635&amp;" ~*")&gt;0))</f>
        <v/>
      </c>
      <c r="AC2635" s="36">
        <f>IF($B2635="","",(IFERROR(INDEX(Setup!$G$33:$G$40,MATCH(C2635,Setup!$B$33:$B$40,0)),0)=1)*(COUNTIF(C2608:E2625,$B2635)+COUNTIF(C2608:E2625,$B2635&amp;" ~*")&gt;0)+(IFERROR(INDEX(Setup!$G$33:$G$40,MATCH(G2635,Setup!$B$33:$B$40,0)),0)=1)*(COUNTIF(G2608:I2625,$B2635)+COUNTIF(G2608:I2625,$B2635&amp;" ~*")&gt;0)+(IFERROR(INDEX(Setup!$G$33:$G$40,MATCH(K2635,Setup!$B$33:$B$40,0)),0)=1)*(COUNTIF(K2608:M2625,$B2635)+COUNTIF(K2608:M2625,$B2635&amp;" ~*")&gt;0)+(IFERROR(INDEX(Setup!$G$33:$G$40,MATCH(O2635,Setup!$B$33:$B$40,0)),0)=1)*(COUNTIF(O2608:Q2625,$B2635)+COUNTIF(O2608:Q2625,$B2635&amp;" ~*")&gt;0)+(IFERROR(INDEX(Setup!$G$33:$G$40,MATCH(S2635,Setup!$B$33:$B$40,0)),0)=1)*(COUNTIF(S2608:U2625,$B2635)+COUNTIF(S2608:U2625,$B2635&amp;" ~*")&gt;0)+(IFERROR(INDEX(Setup!$G$33:$G$40,MATCH(W2635,Setup!$B$33:$B$40,0)),0)=1)*(COUNTIF(W2608:W2625,$B2635)+COUNTIF(W2608:W2625,$B2635&amp;" ~*")&gt;0)+(IFERROR(INDEX(Setup!$G$33:$G$40,MATCH(Y2635,Setup!$B$33:$B$40,0)),0)=1)*(COUNTIF(Y2608:Y2625,$B2635)+COUNTIF(Y2608:Y2625,$B2635&amp;" ~*")&gt;0))</f>
        <v/>
      </c>
    </row>
    <row r="2636" ht="15" customHeight="1">
      <c r="A2636" t="n">
        <v>53</v>
      </c>
      <c r="B2636" s="37">
        <f>IF(Setup!$B$15="","",Setup!$B$15)</f>
        <v/>
      </c>
      <c r="C2636" s="102" t="n"/>
      <c r="D2636" s="103" t="n"/>
      <c r="E2636" s="103" t="n"/>
      <c r="F2636" s="104" t="n"/>
      <c r="G2636" s="102" t="n"/>
      <c r="H2636" s="103" t="n"/>
      <c r="I2636" s="103" t="n"/>
      <c r="J2636" s="104" t="n"/>
      <c r="K2636" s="102" t="n"/>
      <c r="L2636" s="103" t="n"/>
      <c r="M2636" s="103" t="n"/>
      <c r="N2636" s="104" t="n"/>
      <c r="O2636" s="102" t="n"/>
      <c r="P2636" s="103" t="n"/>
      <c r="Q2636" s="103" t="n"/>
      <c r="R2636" s="104" t="n"/>
      <c r="S2636" s="102" t="n"/>
      <c r="T2636" s="103" t="n"/>
      <c r="U2636" s="103" t="n"/>
      <c r="V2636" s="104" t="n"/>
      <c r="W2636" s="102" t="n"/>
      <c r="X2636" s="104" t="n"/>
      <c r="Y2636" s="102" t="n"/>
      <c r="Z2636" s="104" t="n"/>
      <c r="AB2636" s="105">
        <f>IF($B2636="","",(COUNTIF(C2608:E2625,$B2636)+COUNTIF(C2608:E2625,$B2636&amp;" ~*")&gt;0)+(COUNTIF(G2608:I2625,$B2636)+COUNTIF(G2608:I2625,$B2636&amp;" ~*")&gt;0)+(COUNTIF(K2608:M2625,$B2636)+COUNTIF(K2608:M2625,$B2636&amp;" ~*")&gt;0)+(COUNTIF(O2608:Q2625,$B2636)+COUNTIF(O2608:Q2625,$B2636&amp;" ~*")&gt;0)+(COUNTIF(S2608:U2625,$B2636)+COUNTIF(S2608:U2625,$B2636&amp;" ~*")&gt;0)+(COUNTIF(W2608:W2625,$B2636)+COUNTIF(W2608:W2625,$B2636&amp;" ~*")&gt;0)+(COUNTIF(Y2608:Y2625,$B2636)+COUNTIF(Y2608:Y2625,$B2636&amp;" ~*")&gt;0))</f>
        <v/>
      </c>
      <c r="AC2636" s="38">
        <f>IF($B2636="","",(IFERROR(INDEX(Setup!$G$33:$G$40,MATCH(C2636,Setup!$B$33:$B$40,0)),0)=1)*(COUNTIF(C2608:E2625,$B2636)+COUNTIF(C2608:E2625,$B2636&amp;" ~*")&gt;0)+(IFERROR(INDEX(Setup!$G$33:$G$40,MATCH(G2636,Setup!$B$33:$B$40,0)),0)=1)*(COUNTIF(G2608:I2625,$B2636)+COUNTIF(G2608:I2625,$B2636&amp;" ~*")&gt;0)+(IFERROR(INDEX(Setup!$G$33:$G$40,MATCH(K2636,Setup!$B$33:$B$40,0)),0)=1)*(COUNTIF(K2608:M2625,$B2636)+COUNTIF(K2608:M2625,$B2636&amp;" ~*")&gt;0)+(IFERROR(INDEX(Setup!$G$33:$G$40,MATCH(O2636,Setup!$B$33:$B$40,0)),0)=1)*(COUNTIF(O2608:Q2625,$B2636)+COUNTIF(O2608:Q2625,$B2636&amp;" ~*")&gt;0)+(IFERROR(INDEX(Setup!$G$33:$G$40,MATCH(S2636,Setup!$B$33:$B$40,0)),0)=1)*(COUNTIF(S2608:U2625,$B2636)+COUNTIF(S2608:U2625,$B2636&amp;" ~*")&gt;0)+(IFERROR(INDEX(Setup!$G$33:$G$40,MATCH(W2636,Setup!$B$33:$B$40,0)),0)=1)*(COUNTIF(W2608:W2625,$B2636)+COUNTIF(W2608:W2625,$B2636&amp;" ~*")&gt;0)+(IFERROR(INDEX(Setup!$G$33:$G$40,MATCH(Y2636,Setup!$B$33:$B$40,0)),0)=1)*(COUNTIF(Y2608:Y2625,$B2636)+COUNTIF(Y2608:Y2625,$B2636&amp;" ~*")&gt;0))</f>
        <v/>
      </c>
    </row>
    <row r="2637" ht="15" customHeight="1">
      <c r="A2637" t="n">
        <v>53</v>
      </c>
      <c r="B2637" s="35">
        <f>IF(Setup!$B$16="","",Setup!$B$16)</f>
        <v/>
      </c>
      <c r="C2637" s="98" t="n"/>
      <c r="D2637" s="99" t="n"/>
      <c r="E2637" s="99" t="n"/>
      <c r="F2637" s="100" t="n"/>
      <c r="G2637" s="98" t="n"/>
      <c r="H2637" s="99" t="n"/>
      <c r="I2637" s="99" t="n"/>
      <c r="J2637" s="100" t="n"/>
      <c r="K2637" s="98" t="n"/>
      <c r="L2637" s="99" t="n"/>
      <c r="M2637" s="99" t="n"/>
      <c r="N2637" s="100" t="n"/>
      <c r="O2637" s="98" t="n"/>
      <c r="P2637" s="99" t="n"/>
      <c r="Q2637" s="99" t="n"/>
      <c r="R2637" s="100" t="n"/>
      <c r="S2637" s="98" t="n"/>
      <c r="T2637" s="99" t="n"/>
      <c r="U2637" s="99" t="n"/>
      <c r="V2637" s="100" t="n"/>
      <c r="W2637" s="98" t="n"/>
      <c r="X2637" s="100" t="n"/>
      <c r="Y2637" s="98" t="n"/>
      <c r="Z2637" s="100" t="n"/>
      <c r="AB2637" s="101">
        <f>IF($B2637="","",(COUNTIF(C2608:E2625,$B2637)+COUNTIF(C2608:E2625,$B2637&amp;" ~*")&gt;0)+(COUNTIF(G2608:I2625,$B2637)+COUNTIF(G2608:I2625,$B2637&amp;" ~*")&gt;0)+(COUNTIF(K2608:M2625,$B2637)+COUNTIF(K2608:M2625,$B2637&amp;" ~*")&gt;0)+(COUNTIF(O2608:Q2625,$B2637)+COUNTIF(O2608:Q2625,$B2637&amp;" ~*")&gt;0)+(COUNTIF(S2608:U2625,$B2637)+COUNTIF(S2608:U2625,$B2637&amp;" ~*")&gt;0)+(COUNTIF(W2608:W2625,$B2637)+COUNTIF(W2608:W2625,$B2637&amp;" ~*")&gt;0)+(COUNTIF(Y2608:Y2625,$B2637)+COUNTIF(Y2608:Y2625,$B2637&amp;" ~*")&gt;0))</f>
        <v/>
      </c>
      <c r="AC2637" s="36">
        <f>IF($B2637="","",(IFERROR(INDEX(Setup!$G$33:$G$40,MATCH(C2637,Setup!$B$33:$B$40,0)),0)=1)*(COUNTIF(C2608:E2625,$B2637)+COUNTIF(C2608:E2625,$B2637&amp;" ~*")&gt;0)+(IFERROR(INDEX(Setup!$G$33:$G$40,MATCH(G2637,Setup!$B$33:$B$40,0)),0)=1)*(COUNTIF(G2608:I2625,$B2637)+COUNTIF(G2608:I2625,$B2637&amp;" ~*")&gt;0)+(IFERROR(INDEX(Setup!$G$33:$G$40,MATCH(K2637,Setup!$B$33:$B$40,0)),0)=1)*(COUNTIF(K2608:M2625,$B2637)+COUNTIF(K2608:M2625,$B2637&amp;" ~*")&gt;0)+(IFERROR(INDEX(Setup!$G$33:$G$40,MATCH(O2637,Setup!$B$33:$B$40,0)),0)=1)*(COUNTIF(O2608:Q2625,$B2637)+COUNTIF(O2608:Q2625,$B2637&amp;" ~*")&gt;0)+(IFERROR(INDEX(Setup!$G$33:$G$40,MATCH(S2637,Setup!$B$33:$B$40,0)),0)=1)*(COUNTIF(S2608:U2625,$B2637)+COUNTIF(S2608:U2625,$B2637&amp;" ~*")&gt;0)+(IFERROR(INDEX(Setup!$G$33:$G$40,MATCH(W2637,Setup!$B$33:$B$40,0)),0)=1)*(COUNTIF(W2608:W2625,$B2637)+COUNTIF(W2608:W2625,$B2637&amp;" ~*")&gt;0)+(IFERROR(INDEX(Setup!$G$33:$G$40,MATCH(Y2637,Setup!$B$33:$B$40,0)),0)=1)*(COUNTIF(Y2608:Y2625,$B2637)+COUNTIF(Y2608:Y2625,$B2637&amp;" ~*")&gt;0))</f>
        <v/>
      </c>
    </row>
    <row r="2638" ht="15" customHeight="1">
      <c r="A2638" t="n">
        <v>53</v>
      </c>
      <c r="B2638" s="37">
        <f>IF(Setup!$B$17="","",Setup!$B$17)</f>
        <v/>
      </c>
      <c r="C2638" s="102" t="n"/>
      <c r="D2638" s="103" t="n"/>
      <c r="E2638" s="103" t="n"/>
      <c r="F2638" s="104" t="n"/>
      <c r="G2638" s="102" t="n"/>
      <c r="H2638" s="103" t="n"/>
      <c r="I2638" s="103" t="n"/>
      <c r="J2638" s="104" t="n"/>
      <c r="K2638" s="102" t="n"/>
      <c r="L2638" s="103" t="n"/>
      <c r="M2638" s="103" t="n"/>
      <c r="N2638" s="104" t="n"/>
      <c r="O2638" s="102" t="n"/>
      <c r="P2638" s="103" t="n"/>
      <c r="Q2638" s="103" t="n"/>
      <c r="R2638" s="104" t="n"/>
      <c r="S2638" s="102" t="n"/>
      <c r="T2638" s="103" t="n"/>
      <c r="U2638" s="103" t="n"/>
      <c r="V2638" s="104" t="n"/>
      <c r="W2638" s="102" t="n"/>
      <c r="X2638" s="104" t="n"/>
      <c r="Y2638" s="102" t="n"/>
      <c r="Z2638" s="104" t="n"/>
      <c r="AB2638" s="105">
        <f>IF($B2638="","",(COUNTIF(C2608:E2625,$B2638)+COUNTIF(C2608:E2625,$B2638&amp;" ~*")&gt;0)+(COUNTIF(G2608:I2625,$B2638)+COUNTIF(G2608:I2625,$B2638&amp;" ~*")&gt;0)+(COUNTIF(K2608:M2625,$B2638)+COUNTIF(K2608:M2625,$B2638&amp;" ~*")&gt;0)+(COUNTIF(O2608:Q2625,$B2638)+COUNTIF(O2608:Q2625,$B2638&amp;" ~*")&gt;0)+(COUNTIF(S2608:U2625,$B2638)+COUNTIF(S2608:U2625,$B2638&amp;" ~*")&gt;0)+(COUNTIF(W2608:W2625,$B2638)+COUNTIF(W2608:W2625,$B2638&amp;" ~*")&gt;0)+(COUNTIF(Y2608:Y2625,$B2638)+COUNTIF(Y2608:Y2625,$B2638&amp;" ~*")&gt;0))</f>
        <v/>
      </c>
      <c r="AC2638" s="38">
        <f>IF($B2638="","",(IFERROR(INDEX(Setup!$G$33:$G$40,MATCH(C2638,Setup!$B$33:$B$40,0)),0)=1)*(COUNTIF(C2608:E2625,$B2638)+COUNTIF(C2608:E2625,$B2638&amp;" ~*")&gt;0)+(IFERROR(INDEX(Setup!$G$33:$G$40,MATCH(G2638,Setup!$B$33:$B$40,0)),0)=1)*(COUNTIF(G2608:I2625,$B2638)+COUNTIF(G2608:I2625,$B2638&amp;" ~*")&gt;0)+(IFERROR(INDEX(Setup!$G$33:$G$40,MATCH(K2638,Setup!$B$33:$B$40,0)),0)=1)*(COUNTIF(K2608:M2625,$B2638)+COUNTIF(K2608:M2625,$B2638&amp;" ~*")&gt;0)+(IFERROR(INDEX(Setup!$G$33:$G$40,MATCH(O2638,Setup!$B$33:$B$40,0)),0)=1)*(COUNTIF(O2608:Q2625,$B2638)+COUNTIF(O2608:Q2625,$B2638&amp;" ~*")&gt;0)+(IFERROR(INDEX(Setup!$G$33:$G$40,MATCH(S2638,Setup!$B$33:$B$40,0)),0)=1)*(COUNTIF(S2608:U2625,$B2638)+COUNTIF(S2608:U2625,$B2638&amp;" ~*")&gt;0)+(IFERROR(INDEX(Setup!$G$33:$G$40,MATCH(W2638,Setup!$B$33:$B$40,0)),0)=1)*(COUNTIF(W2608:W2625,$B2638)+COUNTIF(W2608:W2625,$B2638&amp;" ~*")&gt;0)+(IFERROR(INDEX(Setup!$G$33:$G$40,MATCH(Y2638,Setup!$B$33:$B$40,0)),0)=1)*(COUNTIF(Y2608:Y2625,$B2638)+COUNTIF(Y2608:Y2625,$B2638&amp;" ~*")&gt;0))</f>
        <v/>
      </c>
    </row>
    <row r="2639" ht="15" customHeight="1">
      <c r="A2639" t="n">
        <v>53</v>
      </c>
      <c r="B2639" s="35">
        <f>IF(Setup!$B$18="","",Setup!$B$18)</f>
        <v/>
      </c>
      <c r="C2639" s="98" t="n"/>
      <c r="D2639" s="99" t="n"/>
      <c r="E2639" s="99" t="n"/>
      <c r="F2639" s="100" t="n"/>
      <c r="G2639" s="98" t="n"/>
      <c r="H2639" s="99" t="n"/>
      <c r="I2639" s="99" t="n"/>
      <c r="J2639" s="100" t="n"/>
      <c r="K2639" s="98" t="n"/>
      <c r="L2639" s="99" t="n"/>
      <c r="M2639" s="99" t="n"/>
      <c r="N2639" s="100" t="n"/>
      <c r="O2639" s="98" t="n"/>
      <c r="P2639" s="99" t="n"/>
      <c r="Q2639" s="99" t="n"/>
      <c r="R2639" s="100" t="n"/>
      <c r="S2639" s="98" t="n"/>
      <c r="T2639" s="99" t="n"/>
      <c r="U2639" s="99" t="n"/>
      <c r="V2639" s="100" t="n"/>
      <c r="W2639" s="98" t="n"/>
      <c r="X2639" s="100" t="n"/>
      <c r="Y2639" s="98" t="n"/>
      <c r="Z2639" s="100" t="n"/>
      <c r="AB2639" s="101">
        <f>IF($B2639="","",(COUNTIF(C2608:E2625,$B2639)+COUNTIF(C2608:E2625,$B2639&amp;" ~*")&gt;0)+(COUNTIF(G2608:I2625,$B2639)+COUNTIF(G2608:I2625,$B2639&amp;" ~*")&gt;0)+(COUNTIF(K2608:M2625,$B2639)+COUNTIF(K2608:M2625,$B2639&amp;" ~*")&gt;0)+(COUNTIF(O2608:Q2625,$B2639)+COUNTIF(O2608:Q2625,$B2639&amp;" ~*")&gt;0)+(COUNTIF(S2608:U2625,$B2639)+COUNTIF(S2608:U2625,$B2639&amp;" ~*")&gt;0)+(COUNTIF(W2608:W2625,$B2639)+COUNTIF(W2608:W2625,$B2639&amp;" ~*")&gt;0)+(COUNTIF(Y2608:Y2625,$B2639)+COUNTIF(Y2608:Y2625,$B2639&amp;" ~*")&gt;0))</f>
        <v/>
      </c>
      <c r="AC2639" s="36">
        <f>IF($B2639="","",(IFERROR(INDEX(Setup!$G$33:$G$40,MATCH(C2639,Setup!$B$33:$B$40,0)),0)=1)*(COUNTIF(C2608:E2625,$B2639)+COUNTIF(C2608:E2625,$B2639&amp;" ~*")&gt;0)+(IFERROR(INDEX(Setup!$G$33:$G$40,MATCH(G2639,Setup!$B$33:$B$40,0)),0)=1)*(COUNTIF(G2608:I2625,$B2639)+COUNTIF(G2608:I2625,$B2639&amp;" ~*")&gt;0)+(IFERROR(INDEX(Setup!$G$33:$G$40,MATCH(K2639,Setup!$B$33:$B$40,0)),0)=1)*(COUNTIF(K2608:M2625,$B2639)+COUNTIF(K2608:M2625,$B2639&amp;" ~*")&gt;0)+(IFERROR(INDEX(Setup!$G$33:$G$40,MATCH(O2639,Setup!$B$33:$B$40,0)),0)=1)*(COUNTIF(O2608:Q2625,$B2639)+COUNTIF(O2608:Q2625,$B2639&amp;" ~*")&gt;0)+(IFERROR(INDEX(Setup!$G$33:$G$40,MATCH(S2639,Setup!$B$33:$B$40,0)),0)=1)*(COUNTIF(S2608:U2625,$B2639)+COUNTIF(S2608:U2625,$B2639&amp;" ~*")&gt;0)+(IFERROR(INDEX(Setup!$G$33:$G$40,MATCH(W2639,Setup!$B$33:$B$40,0)),0)=1)*(COUNTIF(W2608:W2625,$B2639)+COUNTIF(W2608:W2625,$B2639&amp;" ~*")&gt;0)+(IFERROR(INDEX(Setup!$G$33:$G$40,MATCH(Y2639,Setup!$B$33:$B$40,0)),0)=1)*(COUNTIF(Y2608:Y2625,$B2639)+COUNTIF(Y2608:Y2625,$B2639&amp;" ~*")&gt;0))</f>
        <v/>
      </c>
    </row>
    <row r="2640" ht="15" customHeight="1">
      <c r="A2640" t="n">
        <v>53</v>
      </c>
      <c r="B2640" s="37">
        <f>IF(Setup!$B$19="","",Setup!$B$19)</f>
        <v/>
      </c>
      <c r="C2640" s="102" t="n"/>
      <c r="D2640" s="103" t="n"/>
      <c r="E2640" s="103" t="n"/>
      <c r="F2640" s="104" t="n"/>
      <c r="G2640" s="102" t="n"/>
      <c r="H2640" s="103" t="n"/>
      <c r="I2640" s="103" t="n"/>
      <c r="J2640" s="104" t="n"/>
      <c r="K2640" s="102" t="n"/>
      <c r="L2640" s="103" t="n"/>
      <c r="M2640" s="103" t="n"/>
      <c r="N2640" s="104" t="n"/>
      <c r="O2640" s="102" t="n"/>
      <c r="P2640" s="103" t="n"/>
      <c r="Q2640" s="103" t="n"/>
      <c r="R2640" s="104" t="n"/>
      <c r="S2640" s="102" t="n"/>
      <c r="T2640" s="103" t="n"/>
      <c r="U2640" s="103" t="n"/>
      <c r="V2640" s="104" t="n"/>
      <c r="W2640" s="102" t="n"/>
      <c r="X2640" s="104" t="n"/>
      <c r="Y2640" s="102" t="n"/>
      <c r="Z2640" s="104" t="n"/>
      <c r="AB2640" s="105">
        <f>IF($B2640="","",(COUNTIF(C2608:E2625,$B2640)+COUNTIF(C2608:E2625,$B2640&amp;" ~*")&gt;0)+(COUNTIF(G2608:I2625,$B2640)+COUNTIF(G2608:I2625,$B2640&amp;" ~*")&gt;0)+(COUNTIF(K2608:M2625,$B2640)+COUNTIF(K2608:M2625,$B2640&amp;" ~*")&gt;0)+(COUNTIF(O2608:Q2625,$B2640)+COUNTIF(O2608:Q2625,$B2640&amp;" ~*")&gt;0)+(COUNTIF(S2608:U2625,$B2640)+COUNTIF(S2608:U2625,$B2640&amp;" ~*")&gt;0)+(COUNTIF(W2608:W2625,$B2640)+COUNTIF(W2608:W2625,$B2640&amp;" ~*")&gt;0)+(COUNTIF(Y2608:Y2625,$B2640)+COUNTIF(Y2608:Y2625,$B2640&amp;" ~*")&gt;0))</f>
        <v/>
      </c>
      <c r="AC2640" s="38">
        <f>IF($B2640="","",(IFERROR(INDEX(Setup!$G$33:$G$40,MATCH(C2640,Setup!$B$33:$B$40,0)),0)=1)*(COUNTIF(C2608:E2625,$B2640)+COUNTIF(C2608:E2625,$B2640&amp;" ~*")&gt;0)+(IFERROR(INDEX(Setup!$G$33:$G$40,MATCH(G2640,Setup!$B$33:$B$40,0)),0)=1)*(COUNTIF(G2608:I2625,$B2640)+COUNTIF(G2608:I2625,$B2640&amp;" ~*")&gt;0)+(IFERROR(INDEX(Setup!$G$33:$G$40,MATCH(K2640,Setup!$B$33:$B$40,0)),0)=1)*(COUNTIF(K2608:M2625,$B2640)+COUNTIF(K2608:M2625,$B2640&amp;" ~*")&gt;0)+(IFERROR(INDEX(Setup!$G$33:$G$40,MATCH(O2640,Setup!$B$33:$B$40,0)),0)=1)*(COUNTIF(O2608:Q2625,$B2640)+COUNTIF(O2608:Q2625,$B2640&amp;" ~*")&gt;0)+(IFERROR(INDEX(Setup!$G$33:$G$40,MATCH(S2640,Setup!$B$33:$B$40,0)),0)=1)*(COUNTIF(S2608:U2625,$B2640)+COUNTIF(S2608:U2625,$B2640&amp;" ~*")&gt;0)+(IFERROR(INDEX(Setup!$G$33:$G$40,MATCH(W2640,Setup!$B$33:$B$40,0)),0)=1)*(COUNTIF(W2608:W2625,$B2640)+COUNTIF(W2608:W2625,$B2640&amp;" ~*")&gt;0)+(IFERROR(INDEX(Setup!$G$33:$G$40,MATCH(Y2640,Setup!$B$33:$B$40,0)),0)=1)*(COUNTIF(Y2608:Y2625,$B2640)+COUNTIF(Y2608:Y2625,$B2640&amp;" ~*")&gt;0))</f>
        <v/>
      </c>
    </row>
    <row r="2641" ht="15" customHeight="1">
      <c r="A2641" t="n">
        <v>53</v>
      </c>
      <c r="B2641" s="35">
        <f>IF(Setup!$B$20="","",Setup!$B$20)</f>
        <v/>
      </c>
      <c r="C2641" s="98" t="n"/>
      <c r="D2641" s="99" t="n"/>
      <c r="E2641" s="99" t="n"/>
      <c r="F2641" s="100" t="n"/>
      <c r="G2641" s="98" t="n"/>
      <c r="H2641" s="99" t="n"/>
      <c r="I2641" s="99" t="n"/>
      <c r="J2641" s="100" t="n"/>
      <c r="K2641" s="98" t="n"/>
      <c r="L2641" s="99" t="n"/>
      <c r="M2641" s="99" t="n"/>
      <c r="N2641" s="100" t="n"/>
      <c r="O2641" s="98" t="n"/>
      <c r="P2641" s="99" t="n"/>
      <c r="Q2641" s="99" t="n"/>
      <c r="R2641" s="100" t="n"/>
      <c r="S2641" s="98" t="n"/>
      <c r="T2641" s="99" t="n"/>
      <c r="U2641" s="99" t="n"/>
      <c r="V2641" s="100" t="n"/>
      <c r="W2641" s="98" t="n"/>
      <c r="X2641" s="100" t="n"/>
      <c r="Y2641" s="98" t="n"/>
      <c r="Z2641" s="100" t="n"/>
      <c r="AB2641" s="101">
        <f>IF($B2641="","",(COUNTIF(C2608:E2625,$B2641)+COUNTIF(C2608:E2625,$B2641&amp;" ~*")&gt;0)+(COUNTIF(G2608:I2625,$B2641)+COUNTIF(G2608:I2625,$B2641&amp;" ~*")&gt;0)+(COUNTIF(K2608:M2625,$B2641)+COUNTIF(K2608:M2625,$B2641&amp;" ~*")&gt;0)+(COUNTIF(O2608:Q2625,$B2641)+COUNTIF(O2608:Q2625,$B2641&amp;" ~*")&gt;0)+(COUNTIF(S2608:U2625,$B2641)+COUNTIF(S2608:U2625,$B2641&amp;" ~*")&gt;0)+(COUNTIF(W2608:W2625,$B2641)+COUNTIF(W2608:W2625,$B2641&amp;" ~*")&gt;0)+(COUNTIF(Y2608:Y2625,$B2641)+COUNTIF(Y2608:Y2625,$B2641&amp;" ~*")&gt;0))</f>
        <v/>
      </c>
      <c r="AC2641" s="36">
        <f>IF($B2641="","",(IFERROR(INDEX(Setup!$G$33:$G$40,MATCH(C2641,Setup!$B$33:$B$40,0)),0)=1)*(COUNTIF(C2608:E2625,$B2641)+COUNTIF(C2608:E2625,$B2641&amp;" ~*")&gt;0)+(IFERROR(INDEX(Setup!$G$33:$G$40,MATCH(G2641,Setup!$B$33:$B$40,0)),0)=1)*(COUNTIF(G2608:I2625,$B2641)+COUNTIF(G2608:I2625,$B2641&amp;" ~*")&gt;0)+(IFERROR(INDEX(Setup!$G$33:$G$40,MATCH(K2641,Setup!$B$33:$B$40,0)),0)=1)*(COUNTIF(K2608:M2625,$B2641)+COUNTIF(K2608:M2625,$B2641&amp;" ~*")&gt;0)+(IFERROR(INDEX(Setup!$G$33:$G$40,MATCH(O2641,Setup!$B$33:$B$40,0)),0)=1)*(COUNTIF(O2608:Q2625,$B2641)+COUNTIF(O2608:Q2625,$B2641&amp;" ~*")&gt;0)+(IFERROR(INDEX(Setup!$G$33:$G$40,MATCH(S2641,Setup!$B$33:$B$40,0)),0)=1)*(COUNTIF(S2608:U2625,$B2641)+COUNTIF(S2608:U2625,$B2641&amp;" ~*")&gt;0)+(IFERROR(INDEX(Setup!$G$33:$G$40,MATCH(W2641,Setup!$B$33:$B$40,0)),0)=1)*(COUNTIF(W2608:W2625,$B2641)+COUNTIF(W2608:W2625,$B2641&amp;" ~*")&gt;0)+(IFERROR(INDEX(Setup!$G$33:$G$40,MATCH(Y2641,Setup!$B$33:$B$40,0)),0)=1)*(COUNTIF(Y2608:Y2625,$B2641)+COUNTIF(Y2608:Y2625,$B2641&amp;" ~*")&gt;0))</f>
        <v/>
      </c>
    </row>
    <row r="2642" ht="15" customHeight="1">
      <c r="A2642" t="n">
        <v>53</v>
      </c>
      <c r="B2642" s="37">
        <f>IF(Setup!$B$21="","",Setup!$B$21)</f>
        <v/>
      </c>
      <c r="C2642" s="102" t="n"/>
      <c r="D2642" s="103" t="n"/>
      <c r="E2642" s="103" t="n"/>
      <c r="F2642" s="104" t="n"/>
      <c r="G2642" s="102" t="n"/>
      <c r="H2642" s="103" t="n"/>
      <c r="I2642" s="103" t="n"/>
      <c r="J2642" s="104" t="n"/>
      <c r="K2642" s="102" t="n"/>
      <c r="L2642" s="103" t="n"/>
      <c r="M2642" s="103" t="n"/>
      <c r="N2642" s="104" t="n"/>
      <c r="O2642" s="102" t="n"/>
      <c r="P2642" s="103" t="n"/>
      <c r="Q2642" s="103" t="n"/>
      <c r="R2642" s="104" t="n"/>
      <c r="S2642" s="102" t="n"/>
      <c r="T2642" s="103" t="n"/>
      <c r="U2642" s="103" t="n"/>
      <c r="V2642" s="104" t="n"/>
      <c r="W2642" s="102" t="n"/>
      <c r="X2642" s="104" t="n"/>
      <c r="Y2642" s="102" t="n"/>
      <c r="Z2642" s="104" t="n"/>
      <c r="AB2642" s="105">
        <f>IF($B2642="","",(COUNTIF(C2608:E2625,$B2642)+COUNTIF(C2608:E2625,$B2642&amp;" ~*")&gt;0)+(COUNTIF(G2608:I2625,$B2642)+COUNTIF(G2608:I2625,$B2642&amp;" ~*")&gt;0)+(COUNTIF(K2608:M2625,$B2642)+COUNTIF(K2608:M2625,$B2642&amp;" ~*")&gt;0)+(COUNTIF(O2608:Q2625,$B2642)+COUNTIF(O2608:Q2625,$B2642&amp;" ~*")&gt;0)+(COUNTIF(S2608:U2625,$B2642)+COUNTIF(S2608:U2625,$B2642&amp;" ~*")&gt;0)+(COUNTIF(W2608:W2625,$B2642)+COUNTIF(W2608:W2625,$B2642&amp;" ~*")&gt;0)+(COUNTIF(Y2608:Y2625,$B2642)+COUNTIF(Y2608:Y2625,$B2642&amp;" ~*")&gt;0))</f>
        <v/>
      </c>
      <c r="AC2642" s="38">
        <f>IF($B2642="","",(IFERROR(INDEX(Setup!$G$33:$G$40,MATCH(C2642,Setup!$B$33:$B$40,0)),0)=1)*(COUNTIF(C2608:E2625,$B2642)+COUNTIF(C2608:E2625,$B2642&amp;" ~*")&gt;0)+(IFERROR(INDEX(Setup!$G$33:$G$40,MATCH(G2642,Setup!$B$33:$B$40,0)),0)=1)*(COUNTIF(G2608:I2625,$B2642)+COUNTIF(G2608:I2625,$B2642&amp;" ~*")&gt;0)+(IFERROR(INDEX(Setup!$G$33:$G$40,MATCH(K2642,Setup!$B$33:$B$40,0)),0)=1)*(COUNTIF(K2608:M2625,$B2642)+COUNTIF(K2608:M2625,$B2642&amp;" ~*")&gt;0)+(IFERROR(INDEX(Setup!$G$33:$G$40,MATCH(O2642,Setup!$B$33:$B$40,0)),0)=1)*(COUNTIF(O2608:Q2625,$B2642)+COUNTIF(O2608:Q2625,$B2642&amp;" ~*")&gt;0)+(IFERROR(INDEX(Setup!$G$33:$G$40,MATCH(S2642,Setup!$B$33:$B$40,0)),0)=1)*(COUNTIF(S2608:U2625,$B2642)+COUNTIF(S2608:U2625,$B2642&amp;" ~*")&gt;0)+(IFERROR(INDEX(Setup!$G$33:$G$40,MATCH(W2642,Setup!$B$33:$B$40,0)),0)=1)*(COUNTIF(W2608:W2625,$B2642)+COUNTIF(W2608:W2625,$B2642&amp;" ~*")&gt;0)+(IFERROR(INDEX(Setup!$G$33:$G$40,MATCH(Y2642,Setup!$B$33:$B$40,0)),0)=1)*(COUNTIF(Y2608:Y2625,$B2642)+COUNTIF(Y2608:Y2625,$B2642&amp;" ~*")&gt;0))</f>
        <v/>
      </c>
    </row>
    <row r="2643" ht="15" customHeight="1">
      <c r="A2643" t="n">
        <v>53</v>
      </c>
      <c r="B2643" s="35">
        <f>IF(Setup!$B$22="","",Setup!$B$22)</f>
        <v/>
      </c>
      <c r="C2643" s="98" t="n"/>
      <c r="D2643" s="99" t="n"/>
      <c r="E2643" s="99" t="n"/>
      <c r="F2643" s="100" t="n"/>
      <c r="G2643" s="98" t="n"/>
      <c r="H2643" s="99" t="n"/>
      <c r="I2643" s="99" t="n"/>
      <c r="J2643" s="100" t="n"/>
      <c r="K2643" s="98" t="n"/>
      <c r="L2643" s="99" t="n"/>
      <c r="M2643" s="99" t="n"/>
      <c r="N2643" s="100" t="n"/>
      <c r="O2643" s="98" t="n"/>
      <c r="P2643" s="99" t="n"/>
      <c r="Q2643" s="99" t="n"/>
      <c r="R2643" s="100" t="n"/>
      <c r="S2643" s="98" t="n"/>
      <c r="T2643" s="99" t="n"/>
      <c r="U2643" s="99" t="n"/>
      <c r="V2643" s="100" t="n"/>
      <c r="W2643" s="98" t="n"/>
      <c r="X2643" s="100" t="n"/>
      <c r="Y2643" s="98" t="n"/>
      <c r="Z2643" s="100" t="n"/>
      <c r="AB2643" s="101">
        <f>IF($B2643="","",(COUNTIF(C2608:E2625,$B2643)+COUNTIF(C2608:E2625,$B2643&amp;" ~*")&gt;0)+(COUNTIF(G2608:I2625,$B2643)+COUNTIF(G2608:I2625,$B2643&amp;" ~*")&gt;0)+(COUNTIF(K2608:M2625,$B2643)+COUNTIF(K2608:M2625,$B2643&amp;" ~*")&gt;0)+(COUNTIF(O2608:Q2625,$B2643)+COUNTIF(O2608:Q2625,$B2643&amp;" ~*")&gt;0)+(COUNTIF(S2608:U2625,$B2643)+COUNTIF(S2608:U2625,$B2643&amp;" ~*")&gt;0)+(COUNTIF(W2608:W2625,$B2643)+COUNTIF(W2608:W2625,$B2643&amp;" ~*")&gt;0)+(COUNTIF(Y2608:Y2625,$B2643)+COUNTIF(Y2608:Y2625,$B2643&amp;" ~*")&gt;0))</f>
        <v/>
      </c>
      <c r="AC2643" s="36">
        <f>IF($B2643="","",(IFERROR(INDEX(Setup!$G$33:$G$40,MATCH(C2643,Setup!$B$33:$B$40,0)),0)=1)*(COUNTIF(C2608:E2625,$B2643)+COUNTIF(C2608:E2625,$B2643&amp;" ~*")&gt;0)+(IFERROR(INDEX(Setup!$G$33:$G$40,MATCH(G2643,Setup!$B$33:$B$40,0)),0)=1)*(COUNTIF(G2608:I2625,$B2643)+COUNTIF(G2608:I2625,$B2643&amp;" ~*")&gt;0)+(IFERROR(INDEX(Setup!$G$33:$G$40,MATCH(K2643,Setup!$B$33:$B$40,0)),0)=1)*(COUNTIF(K2608:M2625,$B2643)+COUNTIF(K2608:M2625,$B2643&amp;" ~*")&gt;0)+(IFERROR(INDEX(Setup!$G$33:$G$40,MATCH(O2643,Setup!$B$33:$B$40,0)),0)=1)*(COUNTIF(O2608:Q2625,$B2643)+COUNTIF(O2608:Q2625,$B2643&amp;" ~*")&gt;0)+(IFERROR(INDEX(Setup!$G$33:$G$40,MATCH(S2643,Setup!$B$33:$B$40,0)),0)=1)*(COUNTIF(S2608:U2625,$B2643)+COUNTIF(S2608:U2625,$B2643&amp;" ~*")&gt;0)+(IFERROR(INDEX(Setup!$G$33:$G$40,MATCH(W2643,Setup!$B$33:$B$40,0)),0)=1)*(COUNTIF(W2608:W2625,$B2643)+COUNTIF(W2608:W2625,$B2643&amp;" ~*")&gt;0)+(IFERROR(INDEX(Setup!$G$33:$G$40,MATCH(Y2643,Setup!$B$33:$B$40,0)),0)=1)*(COUNTIF(Y2608:Y2625,$B2643)+COUNTIF(Y2608:Y2625,$B2643&amp;" ~*")&gt;0))</f>
        <v/>
      </c>
    </row>
    <row r="2644" ht="15" customHeight="1">
      <c r="A2644" t="n">
        <v>53</v>
      </c>
      <c r="B2644" s="37">
        <f>IF(Setup!$B$23="","",Setup!$B$23)</f>
        <v/>
      </c>
      <c r="C2644" s="102" t="n"/>
      <c r="D2644" s="103" t="n"/>
      <c r="E2644" s="103" t="n"/>
      <c r="F2644" s="104" t="n"/>
      <c r="G2644" s="102" t="n"/>
      <c r="H2644" s="103" t="n"/>
      <c r="I2644" s="103" t="n"/>
      <c r="J2644" s="104" t="n"/>
      <c r="K2644" s="102" t="n"/>
      <c r="L2644" s="103" t="n"/>
      <c r="M2644" s="103" t="n"/>
      <c r="N2644" s="104" t="n"/>
      <c r="O2644" s="102" t="n"/>
      <c r="P2644" s="103" t="n"/>
      <c r="Q2644" s="103" t="n"/>
      <c r="R2644" s="104" t="n"/>
      <c r="S2644" s="102" t="n"/>
      <c r="T2644" s="103" t="n"/>
      <c r="U2644" s="103" t="n"/>
      <c r="V2644" s="104" t="n"/>
      <c r="W2644" s="102" t="n"/>
      <c r="X2644" s="104" t="n"/>
      <c r="Y2644" s="102" t="n"/>
      <c r="Z2644" s="104" t="n"/>
      <c r="AB2644" s="105">
        <f>IF($B2644="","",(COUNTIF(C2608:E2625,$B2644)+COUNTIF(C2608:E2625,$B2644&amp;" ~*")&gt;0)+(COUNTIF(G2608:I2625,$B2644)+COUNTIF(G2608:I2625,$B2644&amp;" ~*")&gt;0)+(COUNTIF(K2608:M2625,$B2644)+COUNTIF(K2608:M2625,$B2644&amp;" ~*")&gt;0)+(COUNTIF(O2608:Q2625,$B2644)+COUNTIF(O2608:Q2625,$B2644&amp;" ~*")&gt;0)+(COUNTIF(S2608:U2625,$B2644)+COUNTIF(S2608:U2625,$B2644&amp;" ~*")&gt;0)+(COUNTIF(W2608:W2625,$B2644)+COUNTIF(W2608:W2625,$B2644&amp;" ~*")&gt;0)+(COUNTIF(Y2608:Y2625,$B2644)+COUNTIF(Y2608:Y2625,$B2644&amp;" ~*")&gt;0))</f>
        <v/>
      </c>
      <c r="AC2644" s="38">
        <f>IF($B2644="","",(IFERROR(INDEX(Setup!$G$33:$G$40,MATCH(C2644,Setup!$B$33:$B$40,0)),0)=1)*(COUNTIF(C2608:E2625,$B2644)+COUNTIF(C2608:E2625,$B2644&amp;" ~*")&gt;0)+(IFERROR(INDEX(Setup!$G$33:$G$40,MATCH(G2644,Setup!$B$33:$B$40,0)),0)=1)*(COUNTIF(G2608:I2625,$B2644)+COUNTIF(G2608:I2625,$B2644&amp;" ~*")&gt;0)+(IFERROR(INDEX(Setup!$G$33:$G$40,MATCH(K2644,Setup!$B$33:$B$40,0)),0)=1)*(COUNTIF(K2608:M2625,$B2644)+COUNTIF(K2608:M2625,$B2644&amp;" ~*")&gt;0)+(IFERROR(INDEX(Setup!$G$33:$G$40,MATCH(O2644,Setup!$B$33:$B$40,0)),0)=1)*(COUNTIF(O2608:Q2625,$B2644)+COUNTIF(O2608:Q2625,$B2644&amp;" ~*")&gt;0)+(IFERROR(INDEX(Setup!$G$33:$G$40,MATCH(S2644,Setup!$B$33:$B$40,0)),0)=1)*(COUNTIF(S2608:U2625,$B2644)+COUNTIF(S2608:U2625,$B2644&amp;" ~*")&gt;0)+(IFERROR(INDEX(Setup!$G$33:$G$40,MATCH(W2644,Setup!$B$33:$B$40,0)),0)=1)*(COUNTIF(W2608:W2625,$B2644)+COUNTIF(W2608:W2625,$B2644&amp;" ~*")&gt;0)+(IFERROR(INDEX(Setup!$G$33:$G$40,MATCH(Y2644,Setup!$B$33:$B$40,0)),0)=1)*(COUNTIF(Y2608:Y2625,$B2644)+COUNTIF(Y2608:Y2625,$B2644&amp;" ~*")&gt;0))</f>
        <v/>
      </c>
    </row>
    <row r="2645" ht="15" customHeight="1">
      <c r="A2645" t="n">
        <v>53</v>
      </c>
      <c r="B2645" s="35">
        <f>IF(Setup!$B$24="","",Setup!$B$24)</f>
        <v/>
      </c>
      <c r="C2645" s="98" t="n"/>
      <c r="D2645" s="99" t="n"/>
      <c r="E2645" s="99" t="n"/>
      <c r="F2645" s="100" t="n"/>
      <c r="G2645" s="98" t="n"/>
      <c r="H2645" s="99" t="n"/>
      <c r="I2645" s="99" t="n"/>
      <c r="J2645" s="100" t="n"/>
      <c r="K2645" s="98" t="n"/>
      <c r="L2645" s="99" t="n"/>
      <c r="M2645" s="99" t="n"/>
      <c r="N2645" s="100" t="n"/>
      <c r="O2645" s="98" t="n"/>
      <c r="P2645" s="99" t="n"/>
      <c r="Q2645" s="99" t="n"/>
      <c r="R2645" s="100" t="n"/>
      <c r="S2645" s="98" t="n"/>
      <c r="T2645" s="99" t="n"/>
      <c r="U2645" s="99" t="n"/>
      <c r="V2645" s="100" t="n"/>
      <c r="W2645" s="98" t="n"/>
      <c r="X2645" s="100" t="n"/>
      <c r="Y2645" s="98" t="n"/>
      <c r="Z2645" s="100" t="n"/>
      <c r="AB2645" s="101">
        <f>IF($B2645="","",(COUNTIF(C2608:E2625,$B2645)+COUNTIF(C2608:E2625,$B2645&amp;" ~*")&gt;0)+(COUNTIF(G2608:I2625,$B2645)+COUNTIF(G2608:I2625,$B2645&amp;" ~*")&gt;0)+(COUNTIF(K2608:M2625,$B2645)+COUNTIF(K2608:M2625,$B2645&amp;" ~*")&gt;0)+(COUNTIF(O2608:Q2625,$B2645)+COUNTIF(O2608:Q2625,$B2645&amp;" ~*")&gt;0)+(COUNTIF(S2608:U2625,$B2645)+COUNTIF(S2608:U2625,$B2645&amp;" ~*")&gt;0)+(COUNTIF(W2608:W2625,$B2645)+COUNTIF(W2608:W2625,$B2645&amp;" ~*")&gt;0)+(COUNTIF(Y2608:Y2625,$B2645)+COUNTIF(Y2608:Y2625,$B2645&amp;" ~*")&gt;0))</f>
        <v/>
      </c>
      <c r="AC2645" s="36">
        <f>IF($B2645="","",(IFERROR(INDEX(Setup!$G$33:$G$40,MATCH(C2645,Setup!$B$33:$B$40,0)),0)=1)*(COUNTIF(C2608:E2625,$B2645)+COUNTIF(C2608:E2625,$B2645&amp;" ~*")&gt;0)+(IFERROR(INDEX(Setup!$G$33:$G$40,MATCH(G2645,Setup!$B$33:$B$40,0)),0)=1)*(COUNTIF(G2608:I2625,$B2645)+COUNTIF(G2608:I2625,$B2645&amp;" ~*")&gt;0)+(IFERROR(INDEX(Setup!$G$33:$G$40,MATCH(K2645,Setup!$B$33:$B$40,0)),0)=1)*(COUNTIF(K2608:M2625,$B2645)+COUNTIF(K2608:M2625,$B2645&amp;" ~*")&gt;0)+(IFERROR(INDEX(Setup!$G$33:$G$40,MATCH(O2645,Setup!$B$33:$B$40,0)),0)=1)*(COUNTIF(O2608:Q2625,$B2645)+COUNTIF(O2608:Q2625,$B2645&amp;" ~*")&gt;0)+(IFERROR(INDEX(Setup!$G$33:$G$40,MATCH(S2645,Setup!$B$33:$B$40,0)),0)=1)*(COUNTIF(S2608:U2625,$B2645)+COUNTIF(S2608:U2625,$B2645&amp;" ~*")&gt;0)+(IFERROR(INDEX(Setup!$G$33:$G$40,MATCH(W2645,Setup!$B$33:$B$40,0)),0)=1)*(COUNTIF(W2608:W2625,$B2645)+COUNTIF(W2608:W2625,$B2645&amp;" ~*")&gt;0)+(IFERROR(INDEX(Setup!$G$33:$G$40,MATCH(Y2645,Setup!$B$33:$B$40,0)),0)=1)*(COUNTIF(Y2608:Y2625,$B2645)+COUNTIF(Y2608:Y2625,$B2645&amp;" ~*")&gt;0))</f>
        <v/>
      </c>
    </row>
    <row r="2646" ht="15" customHeight="1">
      <c r="A2646" t="n">
        <v>53</v>
      </c>
      <c r="B2646" s="37">
        <f>IF(Setup!$B$25="","",Setup!$B$25)</f>
        <v/>
      </c>
      <c r="C2646" s="102" t="n"/>
      <c r="D2646" s="103" t="n"/>
      <c r="E2646" s="103" t="n"/>
      <c r="F2646" s="104" t="n"/>
      <c r="G2646" s="102" t="n"/>
      <c r="H2646" s="103" t="n"/>
      <c r="I2646" s="103" t="n"/>
      <c r="J2646" s="104" t="n"/>
      <c r="K2646" s="102" t="n"/>
      <c r="L2646" s="103" t="n"/>
      <c r="M2646" s="103" t="n"/>
      <c r="N2646" s="104" t="n"/>
      <c r="O2646" s="102" t="n"/>
      <c r="P2646" s="103" t="n"/>
      <c r="Q2646" s="103" t="n"/>
      <c r="R2646" s="104" t="n"/>
      <c r="S2646" s="102" t="n"/>
      <c r="T2646" s="103" t="n"/>
      <c r="U2646" s="103" t="n"/>
      <c r="V2646" s="104" t="n"/>
      <c r="W2646" s="102" t="n"/>
      <c r="X2646" s="104" t="n"/>
      <c r="Y2646" s="102" t="n"/>
      <c r="Z2646" s="104" t="n"/>
      <c r="AB2646" s="105">
        <f>IF($B2646="","",(COUNTIF(C2608:E2625,$B2646)+COUNTIF(C2608:E2625,$B2646&amp;" ~*")&gt;0)+(COUNTIF(G2608:I2625,$B2646)+COUNTIF(G2608:I2625,$B2646&amp;" ~*")&gt;0)+(COUNTIF(K2608:M2625,$B2646)+COUNTIF(K2608:M2625,$B2646&amp;" ~*")&gt;0)+(COUNTIF(O2608:Q2625,$B2646)+COUNTIF(O2608:Q2625,$B2646&amp;" ~*")&gt;0)+(COUNTIF(S2608:U2625,$B2646)+COUNTIF(S2608:U2625,$B2646&amp;" ~*")&gt;0)+(COUNTIF(W2608:W2625,$B2646)+COUNTIF(W2608:W2625,$B2646&amp;" ~*")&gt;0)+(COUNTIF(Y2608:Y2625,$B2646)+COUNTIF(Y2608:Y2625,$B2646&amp;" ~*")&gt;0))</f>
        <v/>
      </c>
      <c r="AC2646" s="38">
        <f>IF($B2646="","",(IFERROR(INDEX(Setup!$G$33:$G$40,MATCH(C2646,Setup!$B$33:$B$40,0)),0)=1)*(COUNTIF(C2608:E2625,$B2646)+COUNTIF(C2608:E2625,$B2646&amp;" ~*")&gt;0)+(IFERROR(INDEX(Setup!$G$33:$G$40,MATCH(G2646,Setup!$B$33:$B$40,0)),0)=1)*(COUNTIF(G2608:I2625,$B2646)+COUNTIF(G2608:I2625,$B2646&amp;" ~*")&gt;0)+(IFERROR(INDEX(Setup!$G$33:$G$40,MATCH(K2646,Setup!$B$33:$B$40,0)),0)=1)*(COUNTIF(K2608:M2625,$B2646)+COUNTIF(K2608:M2625,$B2646&amp;" ~*")&gt;0)+(IFERROR(INDEX(Setup!$G$33:$G$40,MATCH(O2646,Setup!$B$33:$B$40,0)),0)=1)*(COUNTIF(O2608:Q2625,$B2646)+COUNTIF(O2608:Q2625,$B2646&amp;" ~*")&gt;0)+(IFERROR(INDEX(Setup!$G$33:$G$40,MATCH(S2646,Setup!$B$33:$B$40,0)),0)=1)*(COUNTIF(S2608:U2625,$B2646)+COUNTIF(S2608:U2625,$B2646&amp;" ~*")&gt;0)+(IFERROR(INDEX(Setup!$G$33:$G$40,MATCH(W2646,Setup!$B$33:$B$40,0)),0)=1)*(COUNTIF(W2608:W2625,$B2646)+COUNTIF(W2608:W2625,$B2646&amp;" ~*")&gt;0)+(IFERROR(INDEX(Setup!$G$33:$G$40,MATCH(Y2646,Setup!$B$33:$B$40,0)),0)=1)*(COUNTIF(Y2608:Y2625,$B2646)+COUNTIF(Y2608:Y2625,$B2646&amp;" ~*")&gt;0))</f>
        <v/>
      </c>
    </row>
    <row r="2647" ht="15" customHeight="1">
      <c r="A2647" t="n">
        <v>53</v>
      </c>
      <c r="B2647" s="35">
        <f>IF(Setup!$B$26="","",Setup!$B$26)</f>
        <v/>
      </c>
      <c r="C2647" s="98" t="n"/>
      <c r="D2647" s="99" t="n"/>
      <c r="E2647" s="99" t="n"/>
      <c r="F2647" s="100" t="n"/>
      <c r="G2647" s="98" t="n"/>
      <c r="H2647" s="99" t="n"/>
      <c r="I2647" s="99" t="n"/>
      <c r="J2647" s="100" t="n"/>
      <c r="K2647" s="98" t="n"/>
      <c r="L2647" s="99" t="n"/>
      <c r="M2647" s="99" t="n"/>
      <c r="N2647" s="100" t="n"/>
      <c r="O2647" s="98" t="n"/>
      <c r="P2647" s="99" t="n"/>
      <c r="Q2647" s="99" t="n"/>
      <c r="R2647" s="100" t="n"/>
      <c r="S2647" s="98" t="n"/>
      <c r="T2647" s="99" t="n"/>
      <c r="U2647" s="99" t="n"/>
      <c r="V2647" s="100" t="n"/>
      <c r="W2647" s="98" t="n"/>
      <c r="X2647" s="100" t="n"/>
      <c r="Y2647" s="98" t="n"/>
      <c r="Z2647" s="100" t="n"/>
      <c r="AB2647" s="101">
        <f>IF($B2647="","",(COUNTIF(C2608:E2625,$B2647)+COUNTIF(C2608:E2625,$B2647&amp;" ~*")&gt;0)+(COUNTIF(G2608:I2625,$B2647)+COUNTIF(G2608:I2625,$B2647&amp;" ~*")&gt;0)+(COUNTIF(K2608:M2625,$B2647)+COUNTIF(K2608:M2625,$B2647&amp;" ~*")&gt;0)+(COUNTIF(O2608:Q2625,$B2647)+COUNTIF(O2608:Q2625,$B2647&amp;" ~*")&gt;0)+(COUNTIF(S2608:U2625,$B2647)+COUNTIF(S2608:U2625,$B2647&amp;" ~*")&gt;0)+(COUNTIF(W2608:W2625,$B2647)+COUNTIF(W2608:W2625,$B2647&amp;" ~*")&gt;0)+(COUNTIF(Y2608:Y2625,$B2647)+COUNTIF(Y2608:Y2625,$B2647&amp;" ~*")&gt;0))</f>
        <v/>
      </c>
      <c r="AC2647" s="36">
        <f>IF($B2647="","",(IFERROR(INDEX(Setup!$G$33:$G$40,MATCH(C2647,Setup!$B$33:$B$40,0)),0)=1)*(COUNTIF(C2608:E2625,$B2647)+COUNTIF(C2608:E2625,$B2647&amp;" ~*")&gt;0)+(IFERROR(INDEX(Setup!$G$33:$G$40,MATCH(G2647,Setup!$B$33:$B$40,0)),0)=1)*(COUNTIF(G2608:I2625,$B2647)+COUNTIF(G2608:I2625,$B2647&amp;" ~*")&gt;0)+(IFERROR(INDEX(Setup!$G$33:$G$40,MATCH(K2647,Setup!$B$33:$B$40,0)),0)=1)*(COUNTIF(K2608:M2625,$B2647)+COUNTIF(K2608:M2625,$B2647&amp;" ~*")&gt;0)+(IFERROR(INDEX(Setup!$G$33:$G$40,MATCH(O2647,Setup!$B$33:$B$40,0)),0)=1)*(COUNTIF(O2608:Q2625,$B2647)+COUNTIF(O2608:Q2625,$B2647&amp;" ~*")&gt;0)+(IFERROR(INDEX(Setup!$G$33:$G$40,MATCH(S2647,Setup!$B$33:$B$40,0)),0)=1)*(COUNTIF(S2608:U2625,$B2647)+COUNTIF(S2608:U2625,$B2647&amp;" ~*")&gt;0)+(IFERROR(INDEX(Setup!$G$33:$G$40,MATCH(W2647,Setup!$B$33:$B$40,0)),0)=1)*(COUNTIF(W2608:W2625,$B2647)+COUNTIF(W2608:W2625,$B2647&amp;" ~*")&gt;0)+(IFERROR(INDEX(Setup!$G$33:$G$40,MATCH(Y2647,Setup!$B$33:$B$40,0)),0)=1)*(COUNTIF(Y2608:Y2625,$B2647)+COUNTIF(Y2608:Y2625,$B2647&amp;" ~*")&gt;0))</f>
        <v/>
      </c>
    </row>
    <row r="2648" ht="15" customHeight="1">
      <c r="A2648" t="n">
        <v>53</v>
      </c>
      <c r="B2648" s="37">
        <f>IF(Setup!$B$27="","",Setup!$B$27)</f>
        <v/>
      </c>
      <c r="C2648" s="102" t="n"/>
      <c r="D2648" s="103" t="n"/>
      <c r="E2648" s="103" t="n"/>
      <c r="F2648" s="104" t="n"/>
      <c r="G2648" s="102" t="n"/>
      <c r="H2648" s="103" t="n"/>
      <c r="I2648" s="103" t="n"/>
      <c r="J2648" s="104" t="n"/>
      <c r="K2648" s="102" t="n"/>
      <c r="L2648" s="103" t="n"/>
      <c r="M2648" s="103" t="n"/>
      <c r="N2648" s="104" t="n"/>
      <c r="O2648" s="102" t="n"/>
      <c r="P2648" s="103" t="n"/>
      <c r="Q2648" s="103" t="n"/>
      <c r="R2648" s="104" t="n"/>
      <c r="S2648" s="102" t="n"/>
      <c r="T2648" s="103" t="n"/>
      <c r="U2648" s="103" t="n"/>
      <c r="V2648" s="104" t="n"/>
      <c r="W2648" s="102" t="n"/>
      <c r="X2648" s="104" t="n"/>
      <c r="Y2648" s="102" t="n"/>
      <c r="Z2648" s="104" t="n"/>
      <c r="AB2648" s="105">
        <f>IF($B2648="","",(COUNTIF(C2608:E2625,$B2648)+COUNTIF(C2608:E2625,$B2648&amp;" ~*")&gt;0)+(COUNTIF(G2608:I2625,$B2648)+COUNTIF(G2608:I2625,$B2648&amp;" ~*")&gt;0)+(COUNTIF(K2608:M2625,$B2648)+COUNTIF(K2608:M2625,$B2648&amp;" ~*")&gt;0)+(COUNTIF(O2608:Q2625,$B2648)+COUNTIF(O2608:Q2625,$B2648&amp;" ~*")&gt;0)+(COUNTIF(S2608:U2625,$B2648)+COUNTIF(S2608:U2625,$B2648&amp;" ~*")&gt;0)+(COUNTIF(W2608:W2625,$B2648)+COUNTIF(W2608:W2625,$B2648&amp;" ~*")&gt;0)+(COUNTIF(Y2608:Y2625,$B2648)+COUNTIF(Y2608:Y2625,$B2648&amp;" ~*")&gt;0))</f>
        <v/>
      </c>
      <c r="AC2648" s="38">
        <f>IF($B2648="","",(IFERROR(INDEX(Setup!$G$33:$G$40,MATCH(C2648,Setup!$B$33:$B$40,0)),0)=1)*(COUNTIF(C2608:E2625,$B2648)+COUNTIF(C2608:E2625,$B2648&amp;" ~*")&gt;0)+(IFERROR(INDEX(Setup!$G$33:$G$40,MATCH(G2648,Setup!$B$33:$B$40,0)),0)=1)*(COUNTIF(G2608:I2625,$B2648)+COUNTIF(G2608:I2625,$B2648&amp;" ~*")&gt;0)+(IFERROR(INDEX(Setup!$G$33:$G$40,MATCH(K2648,Setup!$B$33:$B$40,0)),0)=1)*(COUNTIF(K2608:M2625,$B2648)+COUNTIF(K2608:M2625,$B2648&amp;" ~*")&gt;0)+(IFERROR(INDEX(Setup!$G$33:$G$40,MATCH(O2648,Setup!$B$33:$B$40,0)),0)=1)*(COUNTIF(O2608:Q2625,$B2648)+COUNTIF(O2608:Q2625,$B2648&amp;" ~*")&gt;0)+(IFERROR(INDEX(Setup!$G$33:$G$40,MATCH(S2648,Setup!$B$33:$B$40,0)),0)=1)*(COUNTIF(S2608:U2625,$B2648)+COUNTIF(S2608:U2625,$B2648&amp;" ~*")&gt;0)+(IFERROR(INDEX(Setup!$G$33:$G$40,MATCH(W2648,Setup!$B$33:$B$40,0)),0)=1)*(COUNTIF(W2608:W2625,$B2648)+COUNTIF(W2608:W2625,$B2648&amp;" ~*")&gt;0)+(IFERROR(INDEX(Setup!$G$33:$G$40,MATCH(Y2648,Setup!$B$33:$B$40,0)),0)=1)*(COUNTIF(Y2608:Y2625,$B2648)+COUNTIF(Y2608:Y2625,$B2648&amp;" ~*")&gt;0))</f>
        <v/>
      </c>
    </row>
    <row r="2649" ht="15" customHeight="1">
      <c r="A2649" t="n">
        <v>53</v>
      </c>
      <c r="B2649" s="35">
        <f>IF(Setup!$B$28="","",Setup!$B$28)</f>
        <v/>
      </c>
      <c r="C2649" s="98" t="n"/>
      <c r="D2649" s="99" t="n"/>
      <c r="E2649" s="99" t="n"/>
      <c r="F2649" s="100" t="n"/>
      <c r="G2649" s="98" t="n"/>
      <c r="H2649" s="99" t="n"/>
      <c r="I2649" s="99" t="n"/>
      <c r="J2649" s="100" t="n"/>
      <c r="K2649" s="98" t="n"/>
      <c r="L2649" s="99" t="n"/>
      <c r="M2649" s="99" t="n"/>
      <c r="N2649" s="100" t="n"/>
      <c r="O2649" s="98" t="n"/>
      <c r="P2649" s="99" t="n"/>
      <c r="Q2649" s="99" t="n"/>
      <c r="R2649" s="100" t="n"/>
      <c r="S2649" s="98" t="n"/>
      <c r="T2649" s="99" t="n"/>
      <c r="U2649" s="99" t="n"/>
      <c r="V2649" s="100" t="n"/>
      <c r="W2649" s="98" t="n"/>
      <c r="X2649" s="100" t="n"/>
      <c r="Y2649" s="98" t="n"/>
      <c r="Z2649" s="100" t="n"/>
      <c r="AB2649" s="101">
        <f>IF($B2649="","",(COUNTIF(C2608:E2625,$B2649)+COUNTIF(C2608:E2625,$B2649&amp;" ~*")&gt;0)+(COUNTIF(G2608:I2625,$B2649)+COUNTIF(G2608:I2625,$B2649&amp;" ~*")&gt;0)+(COUNTIF(K2608:M2625,$B2649)+COUNTIF(K2608:M2625,$B2649&amp;" ~*")&gt;0)+(COUNTIF(O2608:Q2625,$B2649)+COUNTIF(O2608:Q2625,$B2649&amp;" ~*")&gt;0)+(COUNTIF(S2608:U2625,$B2649)+COUNTIF(S2608:U2625,$B2649&amp;" ~*")&gt;0)+(COUNTIF(W2608:W2625,$B2649)+COUNTIF(W2608:W2625,$B2649&amp;" ~*")&gt;0)+(COUNTIF(Y2608:Y2625,$B2649)+COUNTIF(Y2608:Y2625,$B2649&amp;" ~*")&gt;0))</f>
        <v/>
      </c>
      <c r="AC2649" s="36">
        <f>IF($B2649="","",(IFERROR(INDEX(Setup!$G$33:$G$40,MATCH(C2649,Setup!$B$33:$B$40,0)),0)=1)*(COUNTIF(C2608:E2625,$B2649)+COUNTIF(C2608:E2625,$B2649&amp;" ~*")&gt;0)+(IFERROR(INDEX(Setup!$G$33:$G$40,MATCH(G2649,Setup!$B$33:$B$40,0)),0)=1)*(COUNTIF(G2608:I2625,$B2649)+COUNTIF(G2608:I2625,$B2649&amp;" ~*")&gt;0)+(IFERROR(INDEX(Setup!$G$33:$G$40,MATCH(K2649,Setup!$B$33:$B$40,0)),0)=1)*(COUNTIF(K2608:M2625,$B2649)+COUNTIF(K2608:M2625,$B2649&amp;" ~*")&gt;0)+(IFERROR(INDEX(Setup!$G$33:$G$40,MATCH(O2649,Setup!$B$33:$B$40,0)),0)=1)*(COUNTIF(O2608:Q2625,$B2649)+COUNTIF(O2608:Q2625,$B2649&amp;" ~*")&gt;0)+(IFERROR(INDEX(Setup!$G$33:$G$40,MATCH(S2649,Setup!$B$33:$B$40,0)),0)=1)*(COUNTIF(S2608:U2625,$B2649)+COUNTIF(S2608:U2625,$B2649&amp;" ~*")&gt;0)+(IFERROR(INDEX(Setup!$G$33:$G$40,MATCH(W2649,Setup!$B$33:$B$40,0)),0)=1)*(COUNTIF(W2608:W2625,$B2649)+COUNTIF(W2608:W2625,$B2649&amp;" ~*")&gt;0)+(IFERROR(INDEX(Setup!$G$33:$G$40,MATCH(Y2649,Setup!$B$33:$B$40,0)),0)=1)*(COUNTIF(Y2608:Y2625,$B2649)+COUNTIF(Y2608:Y2625,$B2649&amp;" ~*")&gt;0))</f>
        <v/>
      </c>
    </row>
    <row r="2650" ht="15" customHeight="1">
      <c r="A2650" t="n">
        <v>53</v>
      </c>
      <c r="B2650" s="37">
        <f>IF(Setup!$B$29="","",Setup!$B$29)</f>
        <v/>
      </c>
      <c r="C2650" s="102" t="n"/>
      <c r="D2650" s="103" t="n"/>
      <c r="E2650" s="103" t="n"/>
      <c r="F2650" s="104" t="n"/>
      <c r="G2650" s="102" t="n"/>
      <c r="H2650" s="103" t="n"/>
      <c r="I2650" s="103" t="n"/>
      <c r="J2650" s="104" t="n"/>
      <c r="K2650" s="102" t="n"/>
      <c r="L2650" s="103" t="n"/>
      <c r="M2650" s="103" t="n"/>
      <c r="N2650" s="104" t="n"/>
      <c r="O2650" s="102" t="n"/>
      <c r="P2650" s="103" t="n"/>
      <c r="Q2650" s="103" t="n"/>
      <c r="R2650" s="104" t="n"/>
      <c r="S2650" s="102" t="n"/>
      <c r="T2650" s="103" t="n"/>
      <c r="U2650" s="103" t="n"/>
      <c r="V2650" s="104" t="n"/>
      <c r="W2650" s="102" t="n"/>
      <c r="X2650" s="104" t="n"/>
      <c r="Y2650" s="102" t="n"/>
      <c r="Z2650" s="104" t="n"/>
      <c r="AB2650" s="105">
        <f>IF($B2650="","",(COUNTIF(C2608:E2625,$B2650)+COUNTIF(C2608:E2625,$B2650&amp;" ~*")&gt;0)+(COUNTIF(G2608:I2625,$B2650)+COUNTIF(G2608:I2625,$B2650&amp;" ~*")&gt;0)+(COUNTIF(K2608:M2625,$B2650)+COUNTIF(K2608:M2625,$B2650&amp;" ~*")&gt;0)+(COUNTIF(O2608:Q2625,$B2650)+COUNTIF(O2608:Q2625,$B2650&amp;" ~*")&gt;0)+(COUNTIF(S2608:U2625,$B2650)+COUNTIF(S2608:U2625,$B2650&amp;" ~*")&gt;0)+(COUNTIF(W2608:W2625,$B2650)+COUNTIF(W2608:W2625,$B2650&amp;" ~*")&gt;0)+(COUNTIF(Y2608:Y2625,$B2650)+COUNTIF(Y2608:Y2625,$B2650&amp;" ~*")&gt;0))</f>
        <v/>
      </c>
      <c r="AC2650" s="38">
        <f>IF($B2650="","",(IFERROR(INDEX(Setup!$G$33:$G$40,MATCH(C2650,Setup!$B$33:$B$40,0)),0)=1)*(COUNTIF(C2608:E2625,$B2650)+COUNTIF(C2608:E2625,$B2650&amp;" ~*")&gt;0)+(IFERROR(INDEX(Setup!$G$33:$G$40,MATCH(G2650,Setup!$B$33:$B$40,0)),0)=1)*(COUNTIF(G2608:I2625,$B2650)+COUNTIF(G2608:I2625,$B2650&amp;" ~*")&gt;0)+(IFERROR(INDEX(Setup!$G$33:$G$40,MATCH(K2650,Setup!$B$33:$B$40,0)),0)=1)*(COUNTIF(K2608:M2625,$B2650)+COUNTIF(K2608:M2625,$B2650&amp;" ~*")&gt;0)+(IFERROR(INDEX(Setup!$G$33:$G$40,MATCH(O2650,Setup!$B$33:$B$40,0)),0)=1)*(COUNTIF(O2608:Q2625,$B2650)+COUNTIF(O2608:Q2625,$B2650&amp;" ~*")&gt;0)+(IFERROR(INDEX(Setup!$G$33:$G$40,MATCH(S2650,Setup!$B$33:$B$40,0)),0)=1)*(COUNTIF(S2608:U2625,$B2650)+COUNTIF(S2608:U2625,$B2650&amp;" ~*")&gt;0)+(IFERROR(INDEX(Setup!$G$33:$G$40,MATCH(W2650,Setup!$B$33:$B$40,0)),0)=1)*(COUNTIF(W2608:W2625,$B2650)+COUNTIF(W2608:W2625,$B2650&amp;" ~*")&gt;0)+(IFERROR(INDEX(Setup!$G$33:$G$40,MATCH(Y2650,Setup!$B$33:$B$40,0)),0)=1)*(COUNTIF(Y2608:Y2625,$B2650)+COUNTIF(Y2608:Y2625,$B2650&amp;" ~*")&gt;0))</f>
        <v/>
      </c>
    </row>
    <row r="2651" ht="16" customHeight="1">
      <c r="A2651" t="n">
        <v>53</v>
      </c>
      <c r="B2651" s="106" t="inlineStr">
        <is>
          <t>Available people</t>
        </is>
      </c>
      <c r="C2651" s="107">
        <f>COUNTIFS(Setup!$E$6:$E$29,"Y",Setup!$B$6:$B$29,"?*")-SUMPRODUCT(COUNTIF(C2627:C2650,Setup!$F$33:$F$40))</f>
        <v/>
      </c>
      <c r="D2651" s="107" t="n"/>
      <c r="E2651" s="107" t="n"/>
      <c r="F2651" s="107" t="n"/>
      <c r="G2651" s="107">
        <f>COUNTIFS(Setup!$E$6:$E$29,"Y",Setup!$B$6:$B$29,"?*")-SUMPRODUCT(COUNTIF(G2627:G2650,Setup!$F$33:$F$40))</f>
        <v/>
      </c>
      <c r="H2651" s="107" t="n"/>
      <c r="I2651" s="107" t="n"/>
      <c r="J2651" s="107" t="n"/>
      <c r="K2651" s="107">
        <f>COUNTIFS(Setup!$E$6:$E$29,"Y",Setup!$B$6:$B$29,"?*")-SUMPRODUCT(COUNTIF(K2627:K2650,Setup!$F$33:$F$40))</f>
        <v/>
      </c>
      <c r="L2651" s="107" t="n"/>
      <c r="M2651" s="107" t="n"/>
      <c r="N2651" s="107" t="n"/>
      <c r="O2651" s="107">
        <f>COUNTIFS(Setup!$E$6:$E$29,"Y",Setup!$B$6:$B$29,"?*")-SUMPRODUCT(COUNTIF(O2627:O2650,Setup!$F$33:$F$40))</f>
        <v/>
      </c>
      <c r="P2651" s="107" t="n"/>
      <c r="Q2651" s="107" t="n"/>
      <c r="R2651" s="107" t="n"/>
      <c r="S2651" s="107">
        <f>COUNTIFS(Setup!$E$6:$E$29,"Y",Setup!$B$6:$B$29,"?*")-SUMPRODUCT(COUNTIF(S2627:S2650,Setup!$F$33:$F$40))</f>
        <v/>
      </c>
      <c r="T2651" s="107" t="n"/>
      <c r="U2651" s="107" t="n"/>
      <c r="V2651" s="107" t="n"/>
      <c r="W2651" s="107">
        <f>COUNTIFS(Setup!$E$6:$E$29,"Y",Setup!$B$6:$B$29,"?*")-SUMPRODUCT(COUNTIF(W2627:W2650,Setup!$F$33:$F$40))</f>
        <v/>
      </c>
      <c r="X2651" s="107" t="n"/>
      <c r="Y2651" s="107">
        <f>COUNTIFS(Setup!$E$6:$E$29,"Y",Setup!$B$6:$B$29,"?*")-SUMPRODUCT(COUNTIF(Y2627:Y2650,Setup!$F$33:$F$40))</f>
        <v/>
      </c>
      <c r="Z2651" s="107" t="n"/>
      <c r="AB2651" s="108">
        <f>SUM(AB2627:AB2650)</f>
        <v/>
      </c>
      <c r="AC2651" s="109">
        <f>SUM(AC2627:AC2650)</f>
        <v/>
      </c>
    </row>
    <row r="2652" ht="30" customHeight="1">
      <c r="A2652" t="n">
        <v>53</v>
      </c>
      <c r="B2652" s="110" t="inlineStr">
        <is>
          <t>Week notes</t>
        </is>
      </c>
      <c r="C2652" s="111" t="n"/>
      <c r="D2652" s="112" t="n"/>
      <c r="E2652" s="112" t="n"/>
      <c r="F2652" s="112" t="n"/>
      <c r="G2652" s="112" t="n"/>
      <c r="H2652" s="112" t="n"/>
      <c r="I2652" s="112" t="n"/>
      <c r="J2652" s="112" t="n"/>
      <c r="K2652" s="112" t="n"/>
      <c r="L2652" s="112" t="n"/>
      <c r="M2652" s="112" t="n"/>
      <c r="N2652" s="112" t="n"/>
      <c r="O2652" s="112" t="n"/>
      <c r="P2652" s="112" t="n"/>
      <c r="Q2652" s="112" t="n"/>
      <c r="R2652" s="112" t="n"/>
      <c r="S2652" s="112" t="n"/>
      <c r="T2652" s="112" t="n"/>
      <c r="U2652" s="112" t="n"/>
      <c r="V2652" s="112" t="n"/>
      <c r="W2652" s="112" t="n"/>
      <c r="X2652" s="112" t="n"/>
      <c r="Y2652" s="112" t="n"/>
      <c r="Z2652" s="113" t="n"/>
    </row>
    <row r="2653" ht="8" customHeight="1">
      <c r="A2653" t="n">
        <v>53</v>
      </c>
    </row>
    <row r="2654" ht="8" customHeight="1">
      <c r="A2654" t="n">
        <v>53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7">
    <mergeCell ref="B2155:R2155"/>
    <mergeCell ref="B1955:R1955"/>
    <mergeCell ref="B905:R905"/>
    <mergeCell ref="S505:V505"/>
    <mergeCell ref="C2552:Z2552"/>
    <mergeCell ref="S605:V605"/>
    <mergeCell ref="B355:R355"/>
    <mergeCell ref="B2505:R2505"/>
    <mergeCell ref="C152:Z152"/>
    <mergeCell ref="W1605:Z1605"/>
    <mergeCell ref="S855:V855"/>
    <mergeCell ref="W1055:Z1055"/>
    <mergeCell ref="C2352:Z2352"/>
    <mergeCell ref="S1455:V1455"/>
    <mergeCell ref="B1205:R1205"/>
    <mergeCell ref="S2155:V2155"/>
    <mergeCell ref="S1955:V1955"/>
    <mergeCell ref="B655:R655"/>
    <mergeCell ref="W1655:Z1655"/>
    <mergeCell ref="S905:V905"/>
    <mergeCell ref="S255:V255"/>
    <mergeCell ref="B105:R105"/>
    <mergeCell ref="S1155:V1155"/>
    <mergeCell ref="W1:X1"/>
    <mergeCell ref="S305:V305"/>
    <mergeCell ref="W805:Z805"/>
    <mergeCell ref="W1955:Z1955"/>
    <mergeCell ref="C2102:Z2102"/>
    <mergeCell ref="S2255:V2255"/>
    <mergeCell ref="S1205:V1205"/>
    <mergeCell ref="S655:V655"/>
    <mergeCell ref="B405:R405"/>
    <mergeCell ref="C2602:Z2602"/>
    <mergeCell ref="S2305:V2305"/>
    <mergeCell ref="B1905:R1905"/>
    <mergeCell ref="W2255:Z2255"/>
    <mergeCell ref="B2405:R2405"/>
    <mergeCell ref="S2005:V2005"/>
    <mergeCell ref="C1:F1"/>
    <mergeCell ref="C1852:Z1852"/>
    <mergeCell ref="W955:Z955"/>
    <mergeCell ref="S2605:V2605"/>
    <mergeCell ref="S405:V405"/>
    <mergeCell ref="S2055:V2055"/>
    <mergeCell ref="C1802:Z1802"/>
    <mergeCell ref="B1655:R1655"/>
    <mergeCell ref="W2555:Z2555"/>
    <mergeCell ref="W1405:Z1405"/>
    <mergeCell ref="B1105:R1105"/>
    <mergeCell ref="W1905:Z1905"/>
    <mergeCell ref="C2052:Z2052"/>
    <mergeCell ref="S1305:V1305"/>
    <mergeCell ref="S2355:V2355"/>
    <mergeCell ref="B5:R5"/>
    <mergeCell ref="W705:Z705"/>
    <mergeCell ref="W155:Z155"/>
    <mergeCell ref="W1705:Z1705"/>
    <mergeCell ref="B1405:R1405"/>
    <mergeCell ref="C2502:Z2502"/>
    <mergeCell ref="C302:Z302"/>
    <mergeCell ref="B1355:R1355"/>
    <mergeCell ref="S2405:V2405"/>
    <mergeCell ref="S1605:V1605"/>
    <mergeCell ref="B1455:R1455"/>
    <mergeCell ref="S5:V5"/>
    <mergeCell ref="W455:Z455"/>
    <mergeCell ref="B1705:R1705"/>
    <mergeCell ref="S2105:V2105"/>
    <mergeCell ref="B1155:R1155"/>
    <mergeCell ref="W505:Z505"/>
    <mergeCell ref="W2455:Z2455"/>
    <mergeCell ref="B1755:R1755"/>
    <mergeCell ref="B2255:R2255"/>
    <mergeCell ref="O1:V1"/>
    <mergeCell ref="W205:Z205"/>
    <mergeCell ref="C52:Z52"/>
    <mergeCell ref="B505:R505"/>
    <mergeCell ref="W605:Z605"/>
    <mergeCell ref="B2555:R2555"/>
    <mergeCell ref="W255:Z255"/>
    <mergeCell ref="S1755:V1755"/>
    <mergeCell ref="C1452:Z1452"/>
    <mergeCell ref="S1555:V1555"/>
    <mergeCell ref="C802:Z802"/>
    <mergeCell ref="B2005:R2005"/>
    <mergeCell ref="W2205:Z2205"/>
    <mergeCell ref="C2452:Z2452"/>
    <mergeCell ref="W55:Z55"/>
    <mergeCell ref="C352:Z352"/>
    <mergeCell ref="B805:R805"/>
    <mergeCell ref="W355:Z355"/>
    <mergeCell ref="B255:R255"/>
    <mergeCell ref="C1752:Z1752"/>
    <mergeCell ref="S1855:V1855"/>
    <mergeCell ref="S2555:V2555"/>
    <mergeCell ref="C1202:Z1202"/>
    <mergeCell ref="B1055:R1055"/>
    <mergeCell ref="W1505:Z1505"/>
    <mergeCell ref="C652:Z652"/>
    <mergeCell ref="C2202:Z2202"/>
    <mergeCell ref="B2355:R2355"/>
    <mergeCell ref="S1905:V1905"/>
    <mergeCell ref="W105:Z105"/>
    <mergeCell ref="C1502:Z1502"/>
    <mergeCell ref="W1805:Z1805"/>
    <mergeCell ref="C952:Z952"/>
    <mergeCell ref="C752:Z752"/>
    <mergeCell ref="W2305:Z2305"/>
    <mergeCell ref="W1255:Z1255"/>
    <mergeCell ref="S1005:V1005"/>
    <mergeCell ref="S1655:V1655"/>
    <mergeCell ref="W1855:Z1855"/>
    <mergeCell ref="B1555:R1555"/>
    <mergeCell ref="C1252:Z1252"/>
    <mergeCell ref="S1055:V1055"/>
    <mergeCell ref="W2605:Z2605"/>
    <mergeCell ref="S955:V955"/>
    <mergeCell ref="B705:R705"/>
    <mergeCell ref="B155:R155"/>
    <mergeCell ref="W1005:Z1005"/>
    <mergeCell ref="C252:Z252"/>
    <mergeCell ref="W2055:Z2055"/>
    <mergeCell ref="S2455:V2455"/>
    <mergeCell ref="B1855:R1855"/>
    <mergeCell ref="S1405:V1405"/>
    <mergeCell ref="C1102:Z1102"/>
    <mergeCell ref="B1305:R1305"/>
    <mergeCell ref="M3:O3"/>
    <mergeCell ref="S1355:V1355"/>
    <mergeCell ref="S805:V805"/>
    <mergeCell ref="C552:Z552"/>
    <mergeCell ref="S705:V705"/>
    <mergeCell ref="W1105:Z1105"/>
    <mergeCell ref="C2652:Z2652"/>
    <mergeCell ref="S155:V155"/>
    <mergeCell ref="C1402:Z1402"/>
    <mergeCell ref="W755:Z755"/>
    <mergeCell ref="W555:Z555"/>
    <mergeCell ref="S1705:V1705"/>
    <mergeCell ref="S2205:V2205"/>
    <mergeCell ref="B1605:R1605"/>
    <mergeCell ref="W5:Z5"/>
    <mergeCell ref="C852:Z852"/>
    <mergeCell ref="W1355:Z1355"/>
    <mergeCell ref="C2002:Z2002"/>
    <mergeCell ref="S455:V455"/>
    <mergeCell ref="B205:R205"/>
    <mergeCell ref="W855:Z855"/>
    <mergeCell ref="C102:Z102"/>
    <mergeCell ref="S2505:V2505"/>
    <mergeCell ref="W1455:Z1455"/>
    <mergeCell ref="W2155:Z2155"/>
    <mergeCell ref="C602:Z602"/>
    <mergeCell ref="W905:Z905"/>
    <mergeCell ref="C2302:Z2302"/>
    <mergeCell ref="B55:R55"/>
    <mergeCell ref="C402:Z402"/>
    <mergeCell ref="W1155:Z1155"/>
    <mergeCell ref="W2505:Z2505"/>
    <mergeCell ref="S205:V205"/>
    <mergeCell ref="W1755:Z1755"/>
    <mergeCell ref="W305:Z305"/>
    <mergeCell ref="C902:Z902"/>
    <mergeCell ref="W1205:Z1205"/>
    <mergeCell ref="C452:Z452"/>
    <mergeCell ref="C2402:Z2402"/>
    <mergeCell ref="W655:Z655"/>
    <mergeCell ref="B1505:R1505"/>
    <mergeCell ref="S55:V55"/>
    <mergeCell ref="B955:R955"/>
    <mergeCell ref="W2005:Z2005"/>
    <mergeCell ref="C202:Z202"/>
    <mergeCell ref="S355:V355"/>
    <mergeCell ref="C702:Z702"/>
    <mergeCell ref="B1805:R1805"/>
    <mergeCell ref="C2152:Z2152"/>
    <mergeCell ref="W405:Z405"/>
    <mergeCell ref="B2305:R2305"/>
    <mergeCell ref="C1602:Z1602"/>
    <mergeCell ref="S1505:V1505"/>
    <mergeCell ref="B1255:R1255"/>
    <mergeCell ref="C1052:Z1052"/>
    <mergeCell ref="C1552:Z1552"/>
    <mergeCell ref="C502:Z502"/>
    <mergeCell ref="C1652:Z1652"/>
    <mergeCell ref="W2405:Z2405"/>
    <mergeCell ref="C1002:Z1002"/>
    <mergeCell ref="S105:V105"/>
    <mergeCell ref="B2605:R2605"/>
    <mergeCell ref="C1902:Z1902"/>
    <mergeCell ref="W2355:Z2355"/>
    <mergeCell ref="S1805:V1805"/>
    <mergeCell ref="B2055:R2055"/>
    <mergeCell ref="B1005:R1005"/>
    <mergeCell ref="C1352:Z1352"/>
    <mergeCell ref="S1255:V1255"/>
    <mergeCell ref="B455:R455"/>
    <mergeCell ref="C1952:Z1952"/>
    <mergeCell ref="C1302:Z1302"/>
    <mergeCell ref="W2105:Z2105"/>
    <mergeCell ref="B2455:R2455"/>
    <mergeCell ref="W1555:Z1555"/>
    <mergeCell ref="B755:R755"/>
    <mergeCell ref="B555:R555"/>
    <mergeCell ref="C2252:Z2252"/>
    <mergeCell ref="C1702:Z1702"/>
    <mergeCell ref="C1152:Z1152"/>
    <mergeCell ref="G1:N1"/>
    <mergeCell ref="B605:R605"/>
    <mergeCell ref="B2105:R2105"/>
    <mergeCell ref="B2205:R2205"/>
    <mergeCell ref="S1105:V1105"/>
    <mergeCell ref="B855:R855"/>
    <mergeCell ref="W1305:Z1305"/>
    <mergeCell ref="S755:V755"/>
    <mergeCell ref="S555:V555"/>
    <mergeCell ref="B305:R305"/>
  </mergeCells>
  <conditionalFormatting sqref="B8:AC25 B58:AC75 B108:AC125 B158:AC175 B208:AC225 B258:AC275 B308:AC325 B358:AC375 B408:AC425 B458:AC475 B508:AC525 B558:AC575 B608:AC625 B658:AC675 B708:AC725 B758:AC775 B808:AC825 B858:AC875 B908:AC925 B958:AC975 B1008:AC1025 B1058:AC1075 B1108:AC1125 B1158:AC1175 B1208:AC1225 B1258:AC1275 B1308:AC1325 B1358:AC1375 B1408:AC1425 B1458:AC1475 B1508:AC1525 B1558:AC1575 B1608:AC1625 B1658:AC1675 B1708:AC1725 B1758:AC1775 B1808:AC1825 B1858:AC1875 B1908:AC1925 B1958:AC1975 B2008:AC2025 B2058:AC2075 B2108:AC2125 B2158:AC2175 B2208:AC2225 B2258:AC2275 B2308:AC2325 B2358:AC2375 B2408:AC2425 B2458:AC2475 B2508:AC2525 B2558:AC2575 B2608:AC2625">
    <cfRule type="expression" priority="1" dxfId="2" stopIfTrue="1">
      <formula>$B8=""</formula>
    </cfRule>
  </conditionalFormatting>
  <conditionalFormatting sqref="B27:AC50 B77:AC100 B127:AC150 B177:AC200 B227:AC250 B277:AC300 B327:AC350 B377:AC400 B427:AC450 B477:AC500 B527:AC550 B577:AC600 B627:AC650 B677:AC700 B727:AC750 B777:AC800 B827:AC850 B877:AC900 B927:AC950 B977:AC1000 B1027:AC1050 B1077:AC1100 B1127:AC1150 B1177:AC1200 B1227:AC1250 B1277:AC1300 B1327:AC1350 B1377:AC1400 B1427:AC1450 B1477:AC1500 B1527:AC1550 B1577:AC1600 B1627:AC1650 B1677:AC1700 B1727:AC1750 B1777:AC1800 B1827:AC1850 B1877:AC1900 B1927:AC1950 B1977:AC2000 B2027:AC2050 B2077:AC2100 B2127:AC2150 B2177:AC2200 B2227:AC2250 B2277:AC2300 B2327:AC2350 B2377:AC2400 B2427:AC2450 B2477:AC2500 B2527:AC2550 B2577:AC2600 B2627:AC2650">
    <cfRule type="expression" priority="2" dxfId="2" stopIfTrue="1">
      <formula>$B27=""</formula>
    </cfRule>
  </conditionalFormatting>
  <conditionalFormatting sqref="C8:Z25 C58:Z75 C108:Z125 C158:Z175 C208:Z225 C258:Z275 C308:Z325 C358:Z375 C408:Z425 C458:Z475 C508:Z525 C558:Z575 C608:Z625 C658:Z675 C708:Z725 C758:Z775 C808:Z825 C858:Z875 C908:Z925 C958:Z975 C1008:Z1025 C1058:Z1075 C1108:Z1125 C1158:Z1175 C1208:Z1225 C1258:Z1275 C1308:Z1325 C1358:Z1375 C1408:Z1425 C1458:Z1475 C1508:Z1525 C1558:Z1575 C1608:Z1625 C1658:Z1675 C1708:Z1725 C1758:Z1775 C1808:Z1825 C1858:Z1875 C1908:Z1925 C1958:Z1975 C2008:Z2025 C2058:Z2075 C2108:Z2125 C2158:Z2175 C2208:Z2225 C2258:Z2275 C2308:Z2325 C2358:Z2375 C2408:Z2425 C2458:Z2475 C2508:Z2525 C2558:Z2575 C2608:Z2625">
    <cfRule type="expression" priority="3" dxfId="3" stopIfTrue="1">
      <formula>AND(C8&lt;&gt;"",INDEX(Engine!$A$5:$AC$5,COLUMN())=1,$B8&lt;&gt;"",IFERROR(INDEX(Setup!$O$6:$AL$23,MATCH($B8,Setup!$K$6:$K$23,0),MATCH(SUBSTITUTE(C8," *",""),Setup!$B$6:$B$29,0)),"")="")</formula>
    </cfRule>
    <cfRule type="expression" priority="4" dxfId="3" stopIfTrue="1">
      <formula>AND(C8&lt;&gt;"",INDEX(Engine!$A$5:$AC$5,COLUMN())=1,IFERROR(INDEX(Setup!$G$33:$G$40,MATCH(IFERROR(INDEX($A:$Z,(5+50*QUOTIENT(ROW()-5,50))+21+MATCH(SUBSTITUTE(C8," *",""),INDEX($B:$B,(5+50*QUOTIENT(ROW()-5,50))+22):INDEX($B:$B,(5+50*QUOTIENT(ROW()-5,50))+45),0),INDEX(Engine!$A$4:$AC$4,COLUMN())),""),Setup!$B$33:$B$40,0)),0)=1)</formula>
    </cfRule>
    <cfRule type="expression" priority="5" dxfId="5" stopIfTrue="1">
      <formula>AND(INDEX(Engine!$A$5:$AC$5,COLUMN())=1,INDEX(Engine!$A$3:$AC$3,COLUMN())&gt;=6,$B8&lt;&gt;"",INDEX(Setup!$M$6:$M$23,MATCH($B8,Setup!$K$6:$K$23,0))&lt;&gt;"Y")</formula>
    </cfRule>
    <cfRule type="expression" priority="6" dxfId="18">
      <formula>AND(C8="",INDEX(Engine!$A$5:$AC$5,COLUMN())=1,$B8&lt;&gt;"",COUNTIF(INDEX($A:$Z,ROW(),INDEX(Engine!$A$4:$AC$4,COLUMN())):INDEX($A:$Z,ROW(),INDEX(Engine!$A$4:$AC$4,COLUMN())+INDEX(Engine!$A$6:$AC$6,COLUMN())-1),"?*")&lt;IF(INDEX(Engine!$A$3:$AC$3,COLUMN())&lt;=5,N(INDEX(Setup!$L$6:$L$23,MATCH($B8,Setup!$K$6:$K$23,0))),--(INDEX(Setup!$M$6:$M$23,MATCH($B8,Setup!$K$6:$K$23,0))="Y")))</formula>
    </cfRule>
    <cfRule type="expression" priority="7" dxfId="9">
      <formula>AND(INDEX(Engine!$A$5:$AC$5,COLUMN())=1,ISNUMBER(SEARCH("~*",C8)))</formula>
    </cfRule>
    <cfRule type="expression" priority="8" dxfId="10">
      <formula>AND(C8&lt;&gt;"",INDEX(Engine!$A$5:$AC$5,COLUMN())=1,Setup!$B$33&lt;&gt;"",IFERROR(INDEX($A:$Z,(5+50*QUOTIENT(ROW()-5,50))+21+MATCH(SUBSTITUTE(C8," *",""),INDEX($B:$B,(5+50*QUOTIENT(ROW()-5,50))+22):INDEX($B:$B,(5+50*QUOTIENT(ROW()-5,50))+45),0),INDEX(Engine!$A$4:$AC$4,COLUMN())),"")=Setup!$B$33)</formula>
    </cfRule>
    <cfRule type="expression" priority="9" dxfId="11">
      <formula>AND(C8&lt;&gt;"",INDEX(Engine!$A$5:$AC$5,COLUMN())=1,Setup!$B$34&lt;&gt;"",IFERROR(INDEX($A:$Z,(5+50*QUOTIENT(ROW()-5,50))+21+MATCH(SUBSTITUTE(C8," *",""),INDEX($B:$B,(5+50*QUOTIENT(ROW()-5,50))+22):INDEX($B:$B,(5+50*QUOTIENT(ROW()-5,50))+45),0),INDEX(Engine!$A$4:$AC$4,COLUMN())),"")=Setup!$B$34)</formula>
    </cfRule>
    <cfRule type="expression" priority="10" dxfId="12">
      <formula>AND(C8&lt;&gt;"",INDEX(Engine!$A$5:$AC$5,COLUMN())=1,Setup!$B$35&lt;&gt;"",IFERROR(INDEX($A:$Z,(5+50*QUOTIENT(ROW()-5,50))+21+MATCH(SUBSTITUTE(C8," *",""),INDEX($B:$B,(5+50*QUOTIENT(ROW()-5,50))+22):INDEX($B:$B,(5+50*QUOTIENT(ROW()-5,50))+45),0),INDEX(Engine!$A$4:$AC$4,COLUMN())),"")=Setup!$B$35)</formula>
    </cfRule>
    <cfRule type="expression" priority="11" dxfId="13">
      <formula>AND(C8&lt;&gt;"",INDEX(Engine!$A$5:$AC$5,COLUMN())=1,Setup!$B$36&lt;&gt;"",IFERROR(INDEX($A:$Z,(5+50*QUOTIENT(ROW()-5,50))+21+MATCH(SUBSTITUTE(C8," *",""),INDEX($B:$B,(5+50*QUOTIENT(ROW()-5,50))+22):INDEX($B:$B,(5+50*QUOTIENT(ROW()-5,50))+45),0),INDEX(Engine!$A$4:$AC$4,COLUMN())),"")=Setup!$B$36)</formula>
    </cfRule>
    <cfRule type="expression" priority="12" dxfId="14">
      <formula>AND(C8&lt;&gt;"",INDEX(Engine!$A$5:$AC$5,COLUMN())=1,Setup!$B$37&lt;&gt;"",IFERROR(INDEX($A:$Z,(5+50*QUOTIENT(ROW()-5,50))+21+MATCH(SUBSTITUTE(C8," *",""),INDEX($B:$B,(5+50*QUOTIENT(ROW()-5,50))+22):INDEX($B:$B,(5+50*QUOTIENT(ROW()-5,50))+45),0),INDEX(Engine!$A$4:$AC$4,COLUMN())),"")=Setup!$B$37)</formula>
    </cfRule>
    <cfRule type="expression" priority="13" dxfId="15">
      <formula>AND(C8&lt;&gt;"",INDEX(Engine!$A$5:$AC$5,COLUMN())=1,Setup!$B$38&lt;&gt;"",IFERROR(INDEX($A:$Z,(5+50*QUOTIENT(ROW()-5,50))+21+MATCH(SUBSTITUTE(C8," *",""),INDEX($B:$B,(5+50*QUOTIENT(ROW()-5,50))+22):INDEX($B:$B,(5+50*QUOTIENT(ROW()-5,50))+45),0),INDEX(Engine!$A$4:$AC$4,COLUMN())),"")=Setup!$B$38)</formula>
    </cfRule>
    <cfRule type="expression" priority="14" dxfId="16">
      <formula>AND(C8&lt;&gt;"",INDEX(Engine!$A$5:$AC$5,COLUMN())=1,Setup!$B$39&lt;&gt;"",IFERROR(INDEX($A:$Z,(5+50*QUOTIENT(ROW()-5,50))+21+MATCH(SUBSTITUTE(C8," *",""),INDEX($B:$B,(5+50*QUOTIENT(ROW()-5,50))+22):INDEX($B:$B,(5+50*QUOTIENT(ROW()-5,50))+45),0),INDEX(Engine!$A$4:$AC$4,COLUMN())),"")=Setup!$B$39)</formula>
    </cfRule>
    <cfRule type="expression" priority="15" dxfId="17">
      <formula>AND(C8&lt;&gt;"",INDEX(Engine!$A$5:$AC$5,COLUMN())=1,Setup!$B$40&lt;&gt;"",IFERROR(INDEX($A:$Z,(5+50*QUOTIENT(ROW()-5,50))+21+MATCH(SUBSTITUTE(C8," *",""),INDEX($B:$B,(5+50*QUOTIENT(ROW()-5,50))+22):INDEX($B:$B,(5+50*QUOTIENT(ROW()-5,50))+45),0),INDEX(Engine!$A$4:$AC$4,COLUMN())),"")=Setup!$B$40)</formula>
    </cfRule>
  </conditionalFormatting>
  <conditionalFormatting sqref="C6:Z51 C56:Z101 C106:Z151 C156:Z201 C206:Z251 C256:Z301 C306:Z351 C356:Z401 C406:Z451 C456:Z501 C506:Z551 C556:Z601 C606:Z651 C656:Z701 C706:Z751 C756:Z801 C806:Z851 C856:Z901 C906:Z951 C956:Z1001 C1006:Z1051 C1056:Z1101 C1106:Z1151 C1156:Z1201 C1206:Z1251 C1256:Z1301 C1306:Z1351 C1356:Z1401 C1406:Z1451 C1456:Z1501 C1506:Z1551 C1556:Z1601 C1606:Z1651 C1656:Z1701 C1706:Z1751 C1756:Z1801 C1806:Z1851 C1856:Z1901 C1906:Z1951 C1956:Z2001 C2006:Z2051 C2056:Z2101 C2106:Z2151 C2156:Z2201 C2206:Z2251 C2256:Z2301 C2306:Z2351 C2356:Z2401 C2406:Z2451 C2456:Z2501 C2506:Z2551 C2556:Z2601 C2606:Z2651">
    <cfRule type="expression" priority="16" dxfId="6">
      <formula>AND(INDEX(Engine!$A$4:$AC$4,COLUMN())&gt;0,INDEX($A:$Z,(5+50*QUOTIENT(ROW()-5,50))+1,INDEX(Engine!$A$4:$AC$4,COLUMN()))=TODAY())</formula>
    </cfRule>
  </conditionalFormatting>
  <conditionalFormatting sqref="C27:Z50 C77:Z100 C127:Z150 C177:Z200 C227:Z250 C277:Z300 C327:Z350 C377:Z400 C427:Z450 C477:Z500 C527:Z550 C577:Z600 C627:Z650 C677:Z700 C727:Z750 C777:Z800 C827:Z850 C877:Z900 C927:Z950 C977:Z1000 C1027:Z1050 C1077:Z1100 C1127:Z1150 C1177:Z1200 C1227:Z1250 C1277:Z1300 C1327:Z1350 C1377:Z1400 C1427:Z1450 C1477:Z1500 C1527:Z1550 C1577:Z1600 C1627:Z1650 C1677:Z1700 C1727:Z1750 C1777:Z1800 C1827:Z1850 C1877:Z1900 C1927:Z1950 C1977:Z2000 C2027:Z2050 C2077:Z2100 C2127:Z2150 C2177:Z2200 C2227:Z2250 C2277:Z2300 C2327:Z2350 C2377:Z2400 C2427:Z2450 C2477:Z2500 C2527:Z2550 C2577:Z2600 C2627:Z2650">
    <cfRule type="expression" priority="17" dxfId="3" stopIfTrue="1">
      <formula>AND(IFERROR(INDEX(Setup!$G$33:$G$40,MATCH(INDEX($A:$Z,ROW(),INDEX(Engine!$A$4:$AC$4,COLUMN())),Setup!$B$33:$B$40,0)),0)=1,COUNTIF(INDEX($A:$Z,(5+50*QUOTIENT(ROW()-5,50))+3,INDEX(Engine!$A$4:$AC$4,COLUMN())):INDEX($A:$Z,(5+50*QUOTIENT(ROW()-5,50))+20,INDEX(Engine!$A$4:$AC$4,COLUMN())+INDEX(Engine!$A$6:$AC$6,COLUMN())-1),$B27)+COUNTIF(INDEX($A:$Z,(5+50*QUOTIENT(ROW()-5,50))+3,INDEX(Engine!$A$4:$AC$4,COLUMN())):INDEX($A:$Z,(5+50*QUOTIENT(ROW()-5,50))+20,INDEX(Engine!$A$4:$AC$4,COLUMN())+INDEX(Engine!$A$6:$AC$6,COLUMN())-1),$B27&amp;" ~*")&gt;0)</formula>
    </cfRule>
    <cfRule type="expression" priority="18" dxfId="10">
      <formula>AND(Setup!$B$33&lt;&gt;"",INDEX($A:$Z,ROW(),INDEX(Engine!$A$4:$AC$4,COLUMN()))=Setup!$B$33)</formula>
    </cfRule>
    <cfRule type="expression" priority="19" dxfId="11">
      <formula>AND(Setup!$B$34&lt;&gt;"",INDEX($A:$Z,ROW(),INDEX(Engine!$A$4:$AC$4,COLUMN()))=Setup!$B$34)</formula>
    </cfRule>
    <cfRule type="expression" priority="20" dxfId="12">
      <formula>AND(Setup!$B$35&lt;&gt;"",INDEX($A:$Z,ROW(),INDEX(Engine!$A$4:$AC$4,COLUMN()))=Setup!$B$35)</formula>
    </cfRule>
    <cfRule type="expression" priority="21" dxfId="13">
      <formula>AND(Setup!$B$36&lt;&gt;"",INDEX($A:$Z,ROW(),INDEX(Engine!$A$4:$AC$4,COLUMN()))=Setup!$B$36)</formula>
    </cfRule>
    <cfRule type="expression" priority="22" dxfId="14">
      <formula>AND(Setup!$B$37&lt;&gt;"",INDEX($A:$Z,ROW(),INDEX(Engine!$A$4:$AC$4,COLUMN()))=Setup!$B$37)</formula>
    </cfRule>
    <cfRule type="expression" priority="23" dxfId="15">
      <formula>AND(Setup!$B$38&lt;&gt;"",INDEX($A:$Z,ROW(),INDEX(Engine!$A$4:$AC$4,COLUMN()))=Setup!$B$38)</formula>
    </cfRule>
    <cfRule type="expression" priority="24" dxfId="16">
      <formula>AND(Setup!$B$39&lt;&gt;"",INDEX($A:$Z,ROW(),INDEX(Engine!$A$4:$AC$4,COLUMN()))=Setup!$B$39)</formula>
    </cfRule>
    <cfRule type="expression" priority="25" dxfId="17">
      <formula>AND(Setup!$B$40&lt;&gt;"",INDEX($A:$Z,ROW(),INDEX(Engine!$A$4:$AC$4,COLUMN()))=Setup!$B$40)</formula>
    </cfRule>
    <cfRule type="expression" priority="26" dxfId="4">
      <formula>AND(INDEX($A:$Z,ROW(),INDEX(Engine!$A$4:$AC$4,COLUMN()))&lt;&gt;"",ISNA(MATCH(INDEX($A:$Z,ROW(),INDEX(Engine!$A$4:$AC$4,COLUMN())),Setup!$B$33:$B$40,0)))</formula>
    </cfRule>
  </conditionalFormatting>
  <conditionalFormatting sqref="B27:B50 B77:B100 B127:B150 B177:B200 B227:B250 B277:B300 B327:B350 B377:B400 B427:B450 B477:B500 B527:B550 B577:B600 B627:B650 B677:B700 B727:B750 B777:B800 B827:B850 B877:B900 B927:B950 B977:B1000 B1027:B1050 B1077:B1100 B1127:B1150 B1177:B1200 B1227:B1250 B1277:B1300 B1327:B1350 B1377:B1400 B1427:B1450 B1477:B1500 B1527:B1550 B1577:B1600 B1627:B1650 B1677:B1700 B1727:B1750 B1777:B1800 B1827:B1850 B1877:B1900 B1927:B1950 B1977:B2000 B2027:B2050 B2077:B2100 B2127:B2150 B2177:B2200 B2227:B2250 B2277:B2300 B2327:B2350 B2377:B2400 B2427:B2450 B2477:B2500 B2527:B2550 B2577:B2600 B2627:B2650">
    <cfRule type="expression" priority="27" dxfId="19">
      <formula>AND($B27&lt;&gt;"",IFERROR(INDEX(Setup!$E$6:$E$29,MATCH($B27,Setup!$B$6:$B$29,0)),"")&lt;&gt;"Y")</formula>
    </cfRule>
  </conditionalFormatting>
  <conditionalFormatting sqref="AB8:AB25 AB58:AB75 AB108:AB125 AB158:AB175 AB208:AB225 AB258:AB275 AB308:AB325 AB358:AB375 AB408:AB425 AB458:AB475 AB508:AB525 AB558:AB575 AB608:AB625 AB658:AB675 AB708:AB725 AB758:AB775 AB808:AB825 AB858:AB875 AB908:AB925 AB958:AB975 AB1008:AB1025 AB1058:AB1075 AB1108:AB1125 AB1158:AB1175 AB1208:AB1225 AB1258:AB1275 AB1308:AB1325 AB1358:AB1375 AB1408:AB1425 AB1458:AB1475 AB1508:AB1525 AB1558:AB1575 AB1608:AB1625 AB1658:AB1675 AB1708:AB1725 AB1758:AB1775 AB1808:AB1825 AB1858:AB1875 AB1908:AB1925 AB1958:AB1975 AB2008:AB2025 AB2058:AB2075 AB2108:AB2125 AB2158:AB2175 AB2208:AB2225 AB2258:AB2275 AB2308:AB2325 AB2358:AB2375 AB2408:AB2425 AB2458:AB2475 AB2508:AB2525 AB2558:AB2575 AB2608:AB2625">
    <cfRule type="expression" priority="28" dxfId="4">
      <formula>AND(ISNUMBER(AB8),AB8&gt;0)</formula>
    </cfRule>
  </conditionalFormatting>
  <conditionalFormatting sqref="AC8:AC25 AC58:AC75 AC108:AC125 AC158:AC175 AC208:AC225 AC258:AC275 AC308:AC325 AC358:AC375 AC408:AC425 AC458:AC475 AC508:AC525 AC558:AC575 AC608:AC625 AC658:AC675 AC708:AC725 AC758:AC775 AC808:AC825 AC858:AC875 AC908:AC925 AC958:AC975 AC1008:AC1025 AC1058:AC1075 AC1108:AC1125 AC1158:AC1175 AC1208:AC1225 AC1258:AC1275 AC1308:AC1325 AC1358:AC1375 AC1408:AC1425 AC1458:AC1475 AC1508:AC1525 AC1558:AC1575 AC1608:AC1625 AC1658:AC1675 AC1708:AC1725 AC1758:AC1775 AC1808:AC1825 AC1858:AC1875 AC1908:AC1925 AC1958:AC1975 AC2008:AC2025 AC2058:AC2075 AC2108:AC2125 AC2158:AC2175 AC2208:AC2225 AC2258:AC2275 AC2308:AC2325 AC2358:AC2375 AC2408:AC2425 AC2458:AC2475 AC2508:AC2525 AC2558:AC2575 AC2608:AC2625">
    <cfRule type="expression" priority="29" dxfId="4">
      <formula>LEFT(AC8,1)="⚠"</formula>
    </cfRule>
  </conditionalFormatting>
  <conditionalFormatting sqref="AC27:AC50 AC77:AC100 AC127:AC150 AC177:AC200 AC227:AC250 AC277:AC300 AC327:AC350 AC377:AC400 AC427:AC450 AC477:AC500 AC527:AC550 AC577:AC600 AC627:AC650 AC677:AC700 AC727:AC750 AC777:AC800 AC827:AC850 AC877:AC900 AC927:AC950 AC977:AC1000 AC1027:AC1050 AC1077:AC1100 AC1127:AC1150 AC1177:AC1200 AC1227:AC1250 AC1277:AC1300 AC1327:AC1350 AC1377:AC1400 AC1427:AC1450 AC1477:AC1500 AC1527:AC1550 AC1577:AC1600 AC1627:AC1650 AC1677:AC1700 AC1727:AC1750 AC1777:AC1800 AC1827:AC1850 AC1877:AC1900 AC1927:AC1950 AC1977:AC2000 AC2027:AC2050 AC2077:AC2100 AC2127:AC2150 AC2177:AC2200 AC2227:AC2250 AC2277:AC2300 AC2327:AC2350 AC2377:AC2400 AC2427:AC2450 AC2477:AC2500 AC2527:AC2550 AC2577:AC2600 AC2627:AC2650">
    <cfRule type="expression" priority="30" dxfId="3">
      <formula>AND(ISNUMBER(AC27),AC27&gt;0)</formula>
    </cfRule>
    <cfRule type="expression" priority="31" dxfId="20">
      <formula>AND(ISNUMBER(AC27),AC27=0)</formula>
    </cfRule>
  </conditionalFormatting>
  <conditionalFormatting sqref="S5:V5 S55:V55 S105:V105 S155:V155 S205:V205 S255:V255 S305:V305 S355:V355 S405:V405 S455:V455 S505:V505 S555:V555 S605:V605 S655:V655 S705:V705 S755:V755 S805:V805 S855:V855 S905:V905 S955:V955 S1005:V1005 S1055:V1055 S1105:V1105 S1155:V1155 S1205:V1205 S1255:V1255 S1305:V1305 S1355:V1355 S1405:V1405 S1455:V1455 S1505:V1505 S1555:V1555 S1605:V1605 S1655:V1655 S1705:V1705 S1755:V1755 S1805:V1805 S1855:V1855 S1905:V1905 S1955:V1955 S2005:V2005 S2055:V2055 S2105:V2105 S2155:V2155 S2205:V2205 S2255:V2255 S2305:V2305 S2355:V2355 S2405:V2405 S2455:V2455 S2505:V2505 S2555:V2555 S2605:V2605">
    <cfRule type="cellIs" priority="32" operator="equal" dxfId="21">
      <formula>"THIS WEEK"</formula>
    </cfRule>
    <cfRule type="cellIs" priority="33" operator="equal" dxfId="22">
      <formula>"PAST"</formula>
    </cfRule>
  </conditionalFormatting>
  <conditionalFormatting sqref="W5:Z5 W55:Z55 W105:Z105 W155:Z155 W205:Z205 W255:Z255 W305:Z305 W355:Z355 W405:Z405 W455:Z455 W505:Z505 W555:Z555 W605:Z605 W655:Z655 W705:Z705 W755:Z755 W805:Z805 W855:Z855 W905:Z905 W955:Z955 W1005:Z1005 W1055:Z1055 W1105:Z1105 W1155:Z1155 W1205:Z1205 W1255:Z1255 W1305:Z1305 W1355:Z1355 W1405:Z1405 W1455:Z1455 W1505:Z1505 W1555:Z1555 W1605:Z1605 W1655:Z1655 W1705:Z1705 W1755:Z1755 W1805:Z1805 W1855:Z1855 W1905:Z1905 W1955:Z1955 W2005:Z2005 W2055:Z2055 W2105:Z2105 W2155:Z2155 W2205:Z2205 W2255:Z2255 W2305:Z2305 W2355:Z2355 W2405:Z2405 W2455:Z2455 W2505:Z2505 W2555:Z2555 W2605:Z2605">
    <cfRule type="expression" priority="34" dxfId="7">
      <formula>W5&lt;&gt;""</formula>
    </cfRule>
  </conditionalFormatting>
  <conditionalFormatting sqref="B5:R5 B55:R55 B105:R105 B155:R155 B205:R205 B255:R255 B305:R305 B355:R355 B405:R405 B455:R455 B505:R505 B555:R555 B605:R605 B655:R655 B705:R705 B755:R755 B805:R805 B855:R855 B905:R905 B955:R955 B1005:R1005 B1055:R1055 B1105:R1105 B1155:R1155 B1205:R1205 B1255:R1255 B1305:R1305 B1355:R1355 B1405:R1405 B1455:R1455 B1505:R1505 B1555:R1555 B1605:R1605 B1655:R1655 B1705:R1705 B1755:R1755 B1805:R1805 B1855:R1855 B1905:R1905 B1955:R1955 B2005:R2005 B2055:R2055 B2105:R2105 B2155:R2155 B2205:R2205 B2255:R2255 B2305:R2305 B2355:R2355 B2405:R2405 B2455:R2455 B2505:R2505 B2555:R2555 B2605:R2605">
    <cfRule type="expression" priority="35" dxfId="23">
      <formula>$W5&lt;&gt;""</formula>
    </cfRule>
  </conditionalFormatting>
  <dataValidations count="3">
    <dataValidation sqref="Y1" showDropDown="0" showInputMessage="0" showErrorMessage="0" allowBlank="0" errorTitle="Week" error="Enter a week number from 1 to 53." type="whole" operator="between">
      <formula1>1</formula1>
      <formula2>53</formula2>
    </dataValidation>
    <dataValidation sqref="C8:E25 C58:E75 C108:E125 C158:E175 C208:E225 C258:E275 C308:E325 C358:E375 C408:E425 C458:E475 C508:E525 C558:E575 C608:E625 C658:E675 C708:E725 C758:E775 C808:E825 C858:E875 C908:E925 C958:E975 C1008:E1025 C1058:E1075 C1108:E1125 C1158:E1175 C1208:E1225 C1258:E1275 C1308:E1325 C1358:E1375 C1408:E1425 C1458:E1475 C1508:E1525 C1558:E1575 C1608:E1625 C1658:E1675 C1708:E1725 C1758:E1775 C1808:E1825 C1858:E1875 C1908:E1925 C1958:E1975 C2008:E2025 C2058:E2075 C2108:E2125 C2158:E2175 C2208:E2225 C2258:E2275 C2308:E2325 C2358:E2375 C2408:E2425 C2458:E2475 C2508:E2525 C2558:E2575 C2608:E2625 G8:I25 G58:I75 G108:I125 G158:I175 G208:I225 G258:I275 G308:I325 G358:I375 G408:I425 G458:I475 G508:I525 G558:I575 G608:I625 G658:I675 G708:I725 G758:I775 G808:I825 G858:I875 G908:I925 G958:I975 G1008:I1025 G1058:I1075 G1108:I1125 G1158:I1175 G1208:I1225 G1258:I1275 G1308:I1325 G1358:I1375 G1408:I1425 G1458:I1475 G1508:I1525 G1558:I1575 G1608:I1625 G1658:I1675 G1708:I1725 G1758:I1775 G1808:I1825 G1858:I1875 G1908:I1925 G1958:I1975 G2008:I2025 G2058:I2075 G2108:I2125 G2158:I2175 G2208:I2225 G2258:I2275 G2308:I2325 G2358:I2375 G2408:I2425 G2458:I2475 G2508:I2525 G2558:I2575 G2608:I2625 K8:M25 K58:M75 K108:M125 K158:M175 K208:M225 K258:M275 K308:M325 K358:M375 K408:M425 K458:M475 K508:M525 K558:M575 K608:M625 K658:M675 K708:M725 K758:M775 K808:M825 K858:M875 K908:M925 K958:M975 K1008:M1025 K1058:M1075 K1108:M1125 K1158:M1175 K1208:M1225 K1258:M1275 K1308:M1325 K1358:M1375 K1408:M1425 K1458:M1475 K1508:M1525 K1558:M1575 K1608:M1625 K1658:M1675 K1708:M1725 K1758:M1775 K1808:M1825 K1858:M1875 K1908:M1925 K1958:M1975 K2008:M2025 K2058:M2075 K2108:M2125 K2158:M2175 K2208:M2225 K2258:M2275 K2308:M2325 K2358:M2375 K2408:M2425 K2458:M2475 K2508:M2525 K2558:M2575 K2608:M2625 O8:Q25 O58:Q75 O108:Q125 O158:Q175 O208:Q225 O258:Q275 O308:Q325 O358:Q375 O408:Q425 O458:Q475 O508:Q525 O558:Q575 O608:Q625 O658:Q675 O708:Q725 O758:Q775 O808:Q825 O858:Q875 O908:Q925 O958:Q975 O1008:Q1025 O1058:Q1075 O1108:Q1125 O1158:Q1175 O1208:Q1225 O1258:Q1275 O1308:Q1325 O1358:Q1375 O1408:Q1425 O1458:Q1475 O1508:Q1525 O1558:Q1575 O1608:Q1625 O1658:Q1675 O1708:Q1725 O1758:Q1775 O1808:Q1825 O1858:Q1875 O1908:Q1925 O1958:Q1975 O2008:Q2025 O2058:Q2075 O2108:Q2125 O2158:Q2175 O2208:Q2225 O2258:Q2275 O2308:Q2325 O2358:Q2375 O2408:Q2425 O2458:Q2475 O2508:Q2525 O2558:Q2575 O2608:Q2625 S8:U25 S58:U75 S108:U125 S158:U175 S208:U225 S258:U275 S308:U325 S358:U375 S408:U425 S458:U475 S508:U525 S558:U575 S608:U625 S658:U675 S708:U725 S758:U775 S808:U825 S858:U875 S908:U925 S958:U975 S1008:U1025 S1058:U1075 S1108:U1125 S1158:U1175 S1208:U1225 S1258:U1275 S1308:U1325 S1358:U1375 S1408:U1425 S1458:U1475 S1508:U1525 S1558:U1575 S1608:U1625 S1658:U1675 S1708:U1725 S1758:U1775 S1808:U1825 S1858:U1875 S1908:U1925 S1958:U1975 S2008:U2025 S2058:U2075 S2108:U2125 S2158:U2175 S2208:U2225 S2258:U2275 S2308:U2325 S2358:U2375 S2408:U2425 S2458:U2475 S2508:U2525 S2558:U2575 S2608:U2625 W8:W25 W58:W75 W108:W125 W158:W175 W208:W225 W258:W275 W308:W325 W358:W375 W408:W425 W458:W475 W508:W525 W558:W575 W608:W625 W658:W675 W708:W725 W758:W775 W808:W825 W858:W875 W908:W925 W958:W975 W1008:W1025 W1058:W1075 W1108:W1125 W1158:W1175 W1208:W1225 W1258:W1275 W1308:W1325 W1358:W1375 W1408:W1425 W1458:W1475 W1508:W1525 W1558:W1575 W1608:W1625 W1658:W1675 W1708:W1725 W1758:W1775 W1808:W1825 W1858:W1875 W1908:W1925 W1958:W1975 W2008:W2025 W2058:W2075 W2108:W2125 W2158:W2175 W2208:W2225 W2258:W2275 W2308:W2325 W2358:W2375 W2408:W2425 W2458:W2475 W2508:W2525 W2558:W2575 W2608:W2625 Y8:Y25 Y58:Y75 Y108:Y125 Y158:Y175 Y208:Y225 Y258:Y275 Y308:Y325 Y358:Y375 Y408:Y425 Y458:Y475 Y508:Y525 Y558:Y575 Y608:Y625 Y658:Y675 Y708:Y725 Y758:Y775 Y808:Y825 Y858:Y875 Y908:Y925 Y958:Y975 Y1008:Y1025 Y1058:Y1075 Y1108:Y1125 Y1158:Y1175 Y1208:Y1225 Y1258:Y1275 Y1308:Y1325 Y1358:Y1375 Y1408:Y1425 Y1458:Y1475 Y1508:Y1525 Y1558:Y1575 Y1608:Y1625 Y1658:Y1675 Y1708:Y1725 Y1758:Y1775 Y1808:Y1825 Y1858:Y1875 Y1908:Y1925 Y1958:Y1975 Y2008:Y2025 Y2058:Y2075 Y2108:Y2125 Y2158:Y2175 Y2208:Y2225 Y2258:Y2275 Y2308:Y2325 Y2358:Y2375 Y2408:Y2425 Y2458:Y2475 Y2508:Y2525 Y2558:Y2575 Y2608:Y2625" showDropDown="0" showInputMessage="0" showErrorMessage="0" allowBlank="1" type="list">
      <formula1>OFFSET(Engine!$O$68,(INDEX(Engine!$A$3:$AC$3,COLUMN())-1)*18+MOD(ROW()-5,50)-3,0,1,MAX(1,INDEX(Engine!$N$68:$N$193,(INDEX(Engine!$A$3:$AC$3,COLUMN())-1)*18+MOD(ROW()-5,50)-2)))</formula1>
    </dataValidation>
    <dataValidation sqref="C27:C50 C77:C100 C127:C150 C177:C200 C227:C250 C277:C300 C327:C350 C377:C400 C427:C450 C477:C500 C527:C550 C577:C600 C627:C650 C677:C700 C727:C750 C777:C800 C827:C850 C877:C900 C927:C950 C977:C1000 C1027:C1050 C1077:C1100 C1127:C1150 C1177:C1200 C1227:C1250 C1277:C1300 C1327:C1350 C1377:C1400 C1427:C1450 C1477:C1500 C1527:C1550 C1577:C1600 C1627:C1650 C1677:C1700 C1727:C1750 C1777:C1800 C1827:C1850 C1877:C1900 C1927:C1950 C1977:C2000 C2027:C2050 C2077:C2100 C2127:C2150 C2177:C2200 C2227:C2250 C2277:C2300 C2327:C2350 C2377:C2400 C2427:C2450 C2477:C2500 C2527:C2550 C2577:C2600 C2627:C2650 G27:G50 G77:G100 G127:G150 G177:G200 G227:G250 G277:G300 G327:G350 G377:G400 G427:G450 G477:G500 G527:G550 G577:G600 G627:G650 G677:G700 G727:G750 G777:G800 G827:G850 G877:G900 G927:G950 G977:G1000 G1027:G1050 G1077:G1100 G1127:G1150 G1177:G1200 G1227:G1250 G1277:G1300 G1327:G1350 G1377:G1400 G1427:G1450 G1477:G1500 G1527:G1550 G1577:G1600 G1627:G1650 G1677:G1700 G1727:G1750 G1777:G1800 G1827:G1850 G1877:G1900 G1927:G1950 G1977:G2000 G2027:G2050 G2077:G2100 G2127:G2150 G2177:G2200 G2227:G2250 G2277:G2300 G2327:G2350 G2377:G2400 G2427:G2450 G2477:G2500 G2527:G2550 G2577:G2600 G2627:G2650 K27:K50 K77:K100 K127:K150 K177:K200 K227:K250 K277:K300 K327:K350 K377:K400 K427:K450 K477:K500 K527:K550 K577:K600 K627:K650 K677:K700 K727:K750 K777:K800 K827:K850 K877:K900 K927:K950 K977:K1000 K1027:K1050 K1077:K1100 K1127:K1150 K1177:K1200 K1227:K1250 K1277:K1300 K1327:K1350 K1377:K1400 K1427:K1450 K1477:K1500 K1527:K1550 K1577:K1600 K1627:K1650 K1677:K1700 K1727:K1750 K1777:K1800 K1827:K1850 K1877:K1900 K1927:K1950 K1977:K2000 K2027:K2050 K2077:K2100 K2127:K2150 K2177:K2200 K2227:K2250 K2277:K2300 K2327:K2350 K2377:K2400 K2427:K2450 K2477:K2500 K2527:K2550 K2577:K2600 K2627:K2650 O27:O50 O77:O100 O127:O150 O177:O200 O227:O250 O277:O300 O327:O350 O377:O400 O427:O450 O477:O500 O527:O550 O577:O600 O627:O650 O677:O700 O727:O750 O777:O800 O827:O850 O877:O900 O927:O950 O977:O1000 O1027:O1050 O1077:O1100 O1127:O1150 O1177:O1200 O1227:O1250 O1277:O1300 O1327:O1350 O1377:O1400 O1427:O1450 O1477:O1500 O1527:O1550 O1577:O1600 O1627:O1650 O1677:O1700 O1727:O1750 O1777:O1800 O1827:O1850 O1877:O1900 O1927:O1950 O1977:O2000 O2027:O2050 O2077:O2100 O2127:O2150 O2177:O2200 O2227:O2250 O2277:O2300 O2327:O2350 O2377:O2400 O2427:O2450 O2477:O2500 O2527:O2550 O2577:O2600 O2627:O2650 S27:S50 S77:S100 S127:S150 S177:S200 S227:S250 S277:S300 S327:S350 S377:S400 S427:S450 S477:S500 S527:S550 S577:S600 S627:S650 S677:S700 S727:S750 S777:S800 S827:S850 S877:S900 S927:S950 S977:S1000 S1027:S1050 S1077:S1100 S1127:S1150 S1177:S1200 S1227:S1250 S1277:S1300 S1327:S1350 S1377:S1400 S1427:S1450 S1477:S1500 S1527:S1550 S1577:S1600 S1627:S1650 S1677:S1700 S1727:S1750 S1777:S1800 S1827:S1850 S1877:S1900 S1927:S1950 S1977:S2000 S2027:S2050 S2077:S2100 S2127:S2150 S2177:S2200 S2227:S2250 S2277:S2300 S2327:S2350 S2377:S2400 S2427:S2450 S2477:S2500 S2527:S2550 S2577:S2600 S2627:S2650 W27:W50 W77:W100 W127:W150 W177:W200 W227:W250 W277:W300 W327:W350 W377:W400 W427:W450 W477:W500 W527:W550 W577:W600 W627:W650 W677:W700 W727:W750 W777:W800 W827:W850 W877:W900 W927:W950 W977:W1000 W1027:W1050 W1077:W1100 W1127:W1150 W1177:W1200 W1227:W1250 W1277:W1300 W1327:W1350 W1377:W1400 W1427:W1450 W1477:W1500 W1527:W1550 W1577:W1600 W1627:W1650 W1677:W1700 W1727:W1750 W1777:W1800 W1827:W1850 W1877:W1900 W1927:W1950 W1977:W2000 W2027:W2050 W2077:W2100 W2127:W2150 W2177:W2200 W2227:W2250 W2277:W2300 W2327:W2350 W2377:W2400 W2427:W2450 W2477:W2500 W2527:W2550 W2577:W2600 W2627:W2650 Y27:Y50 Y77:Y100 Y127:Y150 Y177:Y200 Y227:Y250 Y277:Y300 Y327:Y350 Y377:Y400 Y427:Y450 Y477:Y500 Y527:Y550 Y577:Y600 Y627:Y650 Y677:Y700 Y727:Y750 Y777:Y800 Y827:Y850 Y877:Y900 Y927:Y950 Y977:Y1000 Y1027:Y1050 Y1077:Y1100 Y1127:Y1150 Y1177:Y1200 Y1227:Y1250 Y1277:Y1300 Y1327:Y1350 Y1377:Y1400 Y1427:Y1450 Y1477:Y1500 Y1527:Y1550 Y1577:Y1600 Y1627:Y1650 Y1677:Y1700 Y1727:Y1750 Y1777:Y1800 Y1827:Y1850 Y1877:Y1900 Y1927:Y1950 Y1977:Y2000 Y2027:Y2050 Y2077:Y2100 Y2127:Y2150 Y2177:Y2200 Y2227:Y2250 Y2277:Y2300 Y2327:Y2350 Y2377:Y2400 Y2427:Y2450 Y2477:Y2500 Y2527:Y2550 Y2577:Y2600 Y2627:Y2650" showDropDown="0" showInputMessage="0" showErrorMessage="1" allowBlank="1" errorTitle="Status code" error="That is not one of the status codes on the Setup sheet. Keep it anyway?" type="list" errorStyle="warning">
      <formula1>OFFSET(Setup!$B$33,0,0,MAX(1,COUNTIF(Setup!$B$33:$B$40,"?*")),1)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AB5" r:id="rId2"/>
    <hyperlink xmlns:r="http://schemas.openxmlformats.org/officeDocument/2006/relationships" ref="AC5" r:id="rId3"/>
    <hyperlink xmlns:r="http://schemas.openxmlformats.org/officeDocument/2006/relationships" ref="AB55" r:id="rId4"/>
    <hyperlink xmlns:r="http://schemas.openxmlformats.org/officeDocument/2006/relationships" ref="AC55" r:id="rId5"/>
    <hyperlink xmlns:r="http://schemas.openxmlformats.org/officeDocument/2006/relationships" ref="AB105" r:id="rId6"/>
    <hyperlink xmlns:r="http://schemas.openxmlformats.org/officeDocument/2006/relationships" ref="AC105" r:id="rId7"/>
    <hyperlink xmlns:r="http://schemas.openxmlformats.org/officeDocument/2006/relationships" ref="AB155" r:id="rId8"/>
    <hyperlink xmlns:r="http://schemas.openxmlformats.org/officeDocument/2006/relationships" ref="AC155" r:id="rId9"/>
    <hyperlink xmlns:r="http://schemas.openxmlformats.org/officeDocument/2006/relationships" ref="AB205" r:id="rId10"/>
    <hyperlink xmlns:r="http://schemas.openxmlformats.org/officeDocument/2006/relationships" ref="AC205" r:id="rId11"/>
    <hyperlink xmlns:r="http://schemas.openxmlformats.org/officeDocument/2006/relationships" ref="AB255" r:id="rId12"/>
    <hyperlink xmlns:r="http://schemas.openxmlformats.org/officeDocument/2006/relationships" ref="AC255" r:id="rId13"/>
    <hyperlink xmlns:r="http://schemas.openxmlformats.org/officeDocument/2006/relationships" ref="AB305" r:id="rId14"/>
    <hyperlink xmlns:r="http://schemas.openxmlformats.org/officeDocument/2006/relationships" ref="AC305" r:id="rId15"/>
    <hyperlink xmlns:r="http://schemas.openxmlformats.org/officeDocument/2006/relationships" ref="AB355" r:id="rId16"/>
    <hyperlink xmlns:r="http://schemas.openxmlformats.org/officeDocument/2006/relationships" ref="AC355" r:id="rId17"/>
    <hyperlink xmlns:r="http://schemas.openxmlformats.org/officeDocument/2006/relationships" ref="AB405" r:id="rId18"/>
    <hyperlink xmlns:r="http://schemas.openxmlformats.org/officeDocument/2006/relationships" ref="AC405" r:id="rId19"/>
    <hyperlink xmlns:r="http://schemas.openxmlformats.org/officeDocument/2006/relationships" ref="AB455" r:id="rId20"/>
    <hyperlink xmlns:r="http://schemas.openxmlformats.org/officeDocument/2006/relationships" ref="AC455" r:id="rId21"/>
    <hyperlink xmlns:r="http://schemas.openxmlformats.org/officeDocument/2006/relationships" ref="AB505" r:id="rId22"/>
    <hyperlink xmlns:r="http://schemas.openxmlformats.org/officeDocument/2006/relationships" ref="AC505" r:id="rId23"/>
    <hyperlink xmlns:r="http://schemas.openxmlformats.org/officeDocument/2006/relationships" ref="AB555" r:id="rId24"/>
    <hyperlink xmlns:r="http://schemas.openxmlformats.org/officeDocument/2006/relationships" ref="AC555" r:id="rId25"/>
    <hyperlink xmlns:r="http://schemas.openxmlformats.org/officeDocument/2006/relationships" ref="AB605" r:id="rId26"/>
    <hyperlink xmlns:r="http://schemas.openxmlformats.org/officeDocument/2006/relationships" ref="AC605" r:id="rId27"/>
    <hyperlink xmlns:r="http://schemas.openxmlformats.org/officeDocument/2006/relationships" ref="AB655" r:id="rId28"/>
    <hyperlink xmlns:r="http://schemas.openxmlformats.org/officeDocument/2006/relationships" ref="AC655" r:id="rId29"/>
    <hyperlink xmlns:r="http://schemas.openxmlformats.org/officeDocument/2006/relationships" ref="AB705" r:id="rId30"/>
    <hyperlink xmlns:r="http://schemas.openxmlformats.org/officeDocument/2006/relationships" ref="AC705" r:id="rId31"/>
    <hyperlink xmlns:r="http://schemas.openxmlformats.org/officeDocument/2006/relationships" ref="AB755" r:id="rId32"/>
    <hyperlink xmlns:r="http://schemas.openxmlformats.org/officeDocument/2006/relationships" ref="AC755" r:id="rId33"/>
    <hyperlink xmlns:r="http://schemas.openxmlformats.org/officeDocument/2006/relationships" ref="AB805" r:id="rId34"/>
    <hyperlink xmlns:r="http://schemas.openxmlformats.org/officeDocument/2006/relationships" ref="AC805" r:id="rId35"/>
    <hyperlink xmlns:r="http://schemas.openxmlformats.org/officeDocument/2006/relationships" ref="AB855" r:id="rId36"/>
    <hyperlink xmlns:r="http://schemas.openxmlformats.org/officeDocument/2006/relationships" ref="AC855" r:id="rId37"/>
    <hyperlink xmlns:r="http://schemas.openxmlformats.org/officeDocument/2006/relationships" ref="AB905" r:id="rId38"/>
    <hyperlink xmlns:r="http://schemas.openxmlformats.org/officeDocument/2006/relationships" ref="AC905" r:id="rId39"/>
    <hyperlink xmlns:r="http://schemas.openxmlformats.org/officeDocument/2006/relationships" ref="AB955" r:id="rId40"/>
    <hyperlink xmlns:r="http://schemas.openxmlformats.org/officeDocument/2006/relationships" ref="AC955" r:id="rId41"/>
    <hyperlink xmlns:r="http://schemas.openxmlformats.org/officeDocument/2006/relationships" ref="AB1005" r:id="rId42"/>
    <hyperlink xmlns:r="http://schemas.openxmlformats.org/officeDocument/2006/relationships" ref="AC1005" r:id="rId43"/>
    <hyperlink xmlns:r="http://schemas.openxmlformats.org/officeDocument/2006/relationships" ref="AB1055" r:id="rId44"/>
    <hyperlink xmlns:r="http://schemas.openxmlformats.org/officeDocument/2006/relationships" ref="AC1055" r:id="rId45"/>
    <hyperlink xmlns:r="http://schemas.openxmlformats.org/officeDocument/2006/relationships" ref="AB1105" r:id="rId46"/>
    <hyperlink xmlns:r="http://schemas.openxmlformats.org/officeDocument/2006/relationships" ref="AC1105" r:id="rId47"/>
    <hyperlink xmlns:r="http://schemas.openxmlformats.org/officeDocument/2006/relationships" ref="AB1155" r:id="rId48"/>
    <hyperlink xmlns:r="http://schemas.openxmlformats.org/officeDocument/2006/relationships" ref="AC1155" r:id="rId49"/>
    <hyperlink xmlns:r="http://schemas.openxmlformats.org/officeDocument/2006/relationships" ref="AB1205" r:id="rId50"/>
    <hyperlink xmlns:r="http://schemas.openxmlformats.org/officeDocument/2006/relationships" ref="AC1205" r:id="rId51"/>
    <hyperlink xmlns:r="http://schemas.openxmlformats.org/officeDocument/2006/relationships" ref="AB1255" r:id="rId52"/>
    <hyperlink xmlns:r="http://schemas.openxmlformats.org/officeDocument/2006/relationships" ref="AC1255" r:id="rId53"/>
    <hyperlink xmlns:r="http://schemas.openxmlformats.org/officeDocument/2006/relationships" ref="AB1305" r:id="rId54"/>
    <hyperlink xmlns:r="http://schemas.openxmlformats.org/officeDocument/2006/relationships" ref="AC1305" r:id="rId55"/>
    <hyperlink xmlns:r="http://schemas.openxmlformats.org/officeDocument/2006/relationships" ref="AB1355" r:id="rId56"/>
    <hyperlink xmlns:r="http://schemas.openxmlformats.org/officeDocument/2006/relationships" ref="AC1355" r:id="rId57"/>
    <hyperlink xmlns:r="http://schemas.openxmlformats.org/officeDocument/2006/relationships" ref="AB1405" r:id="rId58"/>
    <hyperlink xmlns:r="http://schemas.openxmlformats.org/officeDocument/2006/relationships" ref="AC1405" r:id="rId59"/>
    <hyperlink xmlns:r="http://schemas.openxmlformats.org/officeDocument/2006/relationships" ref="AB1455" r:id="rId60"/>
    <hyperlink xmlns:r="http://schemas.openxmlformats.org/officeDocument/2006/relationships" ref="AC1455" r:id="rId61"/>
    <hyperlink xmlns:r="http://schemas.openxmlformats.org/officeDocument/2006/relationships" ref="AB1505" r:id="rId62"/>
    <hyperlink xmlns:r="http://schemas.openxmlformats.org/officeDocument/2006/relationships" ref="AC1505" r:id="rId63"/>
    <hyperlink xmlns:r="http://schemas.openxmlformats.org/officeDocument/2006/relationships" ref="AB1555" r:id="rId64"/>
    <hyperlink xmlns:r="http://schemas.openxmlformats.org/officeDocument/2006/relationships" ref="AC1555" r:id="rId65"/>
    <hyperlink xmlns:r="http://schemas.openxmlformats.org/officeDocument/2006/relationships" ref="AB1605" r:id="rId66"/>
    <hyperlink xmlns:r="http://schemas.openxmlformats.org/officeDocument/2006/relationships" ref="AC1605" r:id="rId67"/>
    <hyperlink xmlns:r="http://schemas.openxmlformats.org/officeDocument/2006/relationships" ref="AB1655" r:id="rId68"/>
    <hyperlink xmlns:r="http://schemas.openxmlformats.org/officeDocument/2006/relationships" ref="AC1655" r:id="rId69"/>
    <hyperlink xmlns:r="http://schemas.openxmlformats.org/officeDocument/2006/relationships" ref="AB1705" r:id="rId70"/>
    <hyperlink xmlns:r="http://schemas.openxmlformats.org/officeDocument/2006/relationships" ref="AC1705" r:id="rId71"/>
    <hyperlink xmlns:r="http://schemas.openxmlformats.org/officeDocument/2006/relationships" ref="AB1755" r:id="rId72"/>
    <hyperlink xmlns:r="http://schemas.openxmlformats.org/officeDocument/2006/relationships" ref="AC1755" r:id="rId73"/>
    <hyperlink xmlns:r="http://schemas.openxmlformats.org/officeDocument/2006/relationships" ref="AB1805" r:id="rId74"/>
    <hyperlink xmlns:r="http://schemas.openxmlformats.org/officeDocument/2006/relationships" ref="AC1805" r:id="rId75"/>
    <hyperlink xmlns:r="http://schemas.openxmlformats.org/officeDocument/2006/relationships" ref="AB1855" r:id="rId76"/>
    <hyperlink xmlns:r="http://schemas.openxmlformats.org/officeDocument/2006/relationships" ref="AC1855" r:id="rId77"/>
    <hyperlink xmlns:r="http://schemas.openxmlformats.org/officeDocument/2006/relationships" ref="AB1905" r:id="rId78"/>
    <hyperlink xmlns:r="http://schemas.openxmlformats.org/officeDocument/2006/relationships" ref="AC1905" r:id="rId79"/>
    <hyperlink xmlns:r="http://schemas.openxmlformats.org/officeDocument/2006/relationships" ref="AB1955" r:id="rId80"/>
    <hyperlink xmlns:r="http://schemas.openxmlformats.org/officeDocument/2006/relationships" ref="AC1955" r:id="rId81"/>
    <hyperlink xmlns:r="http://schemas.openxmlformats.org/officeDocument/2006/relationships" ref="AB2005" r:id="rId82"/>
    <hyperlink xmlns:r="http://schemas.openxmlformats.org/officeDocument/2006/relationships" ref="AC2005" r:id="rId83"/>
    <hyperlink xmlns:r="http://schemas.openxmlformats.org/officeDocument/2006/relationships" ref="AB2055" r:id="rId84"/>
    <hyperlink xmlns:r="http://schemas.openxmlformats.org/officeDocument/2006/relationships" ref="AC2055" r:id="rId85"/>
    <hyperlink xmlns:r="http://schemas.openxmlformats.org/officeDocument/2006/relationships" ref="AB2105" r:id="rId86"/>
    <hyperlink xmlns:r="http://schemas.openxmlformats.org/officeDocument/2006/relationships" ref="AC2105" r:id="rId87"/>
    <hyperlink xmlns:r="http://schemas.openxmlformats.org/officeDocument/2006/relationships" ref="AB2155" r:id="rId88"/>
    <hyperlink xmlns:r="http://schemas.openxmlformats.org/officeDocument/2006/relationships" ref="AC2155" r:id="rId89"/>
    <hyperlink xmlns:r="http://schemas.openxmlformats.org/officeDocument/2006/relationships" ref="AB2205" r:id="rId90"/>
    <hyperlink xmlns:r="http://schemas.openxmlformats.org/officeDocument/2006/relationships" ref="AC2205" r:id="rId91"/>
    <hyperlink xmlns:r="http://schemas.openxmlformats.org/officeDocument/2006/relationships" ref="AB2255" r:id="rId92"/>
    <hyperlink xmlns:r="http://schemas.openxmlformats.org/officeDocument/2006/relationships" ref="AC2255" r:id="rId93"/>
    <hyperlink xmlns:r="http://schemas.openxmlformats.org/officeDocument/2006/relationships" ref="AB2305" r:id="rId94"/>
    <hyperlink xmlns:r="http://schemas.openxmlformats.org/officeDocument/2006/relationships" ref="AC2305" r:id="rId95"/>
    <hyperlink xmlns:r="http://schemas.openxmlformats.org/officeDocument/2006/relationships" ref="AB2355" r:id="rId96"/>
    <hyperlink xmlns:r="http://schemas.openxmlformats.org/officeDocument/2006/relationships" ref="AC2355" r:id="rId97"/>
    <hyperlink xmlns:r="http://schemas.openxmlformats.org/officeDocument/2006/relationships" ref="AB2405" r:id="rId98"/>
    <hyperlink xmlns:r="http://schemas.openxmlformats.org/officeDocument/2006/relationships" ref="AC2405" r:id="rId99"/>
    <hyperlink xmlns:r="http://schemas.openxmlformats.org/officeDocument/2006/relationships" ref="AB2455" r:id="rId100"/>
    <hyperlink xmlns:r="http://schemas.openxmlformats.org/officeDocument/2006/relationships" ref="AC2455" r:id="rId101"/>
    <hyperlink xmlns:r="http://schemas.openxmlformats.org/officeDocument/2006/relationships" ref="AB2505" r:id="rId102"/>
    <hyperlink xmlns:r="http://schemas.openxmlformats.org/officeDocument/2006/relationships" ref="AC2505" r:id="rId103"/>
    <hyperlink xmlns:r="http://schemas.openxmlformats.org/officeDocument/2006/relationships" ref="AB2555" r:id="rId104"/>
    <hyperlink xmlns:r="http://schemas.openxmlformats.org/officeDocument/2006/relationships" ref="AC2555" r:id="rId105"/>
    <hyperlink xmlns:r="http://schemas.openxmlformats.org/officeDocument/2006/relationships" ref="AB2605" r:id="rId106"/>
    <hyperlink xmlns:r="http://schemas.openxmlformats.org/officeDocument/2006/relationships" ref="AC2605" r:id="rId107"/>
  </hyperlinks>
  <pageMargins left="0.75" right="0.75" top="1" bottom="1" header="0.5" footer="0.5"/>
  <pageSetup orientation="landscape" fitToHeight="0" fitToWidth="1"/>
  <rowBreaks count="52" manualBreakCount="52">
    <brk id="54" min="0" max="16383" man="1"/>
    <brk id="104" min="0" max="16383" man="1"/>
    <brk id="154" min="0" max="16383" man="1"/>
    <brk id="204" min="0" max="16383" man="1"/>
    <brk id="254" min="0" max="16383" man="1"/>
    <brk id="304" min="0" max="16383" man="1"/>
    <brk id="354" min="0" max="16383" man="1"/>
    <brk id="404" min="0" max="16383" man="1"/>
    <brk id="454" min="0" max="16383" man="1"/>
    <brk id="504" min="0" max="16383" man="1"/>
    <brk id="554" min="0" max="16383" man="1"/>
    <brk id="604" min="0" max="16383" man="1"/>
    <brk id="654" min="0" max="16383" man="1"/>
    <brk id="704" min="0" max="16383" man="1"/>
    <brk id="754" min="0" max="16383" man="1"/>
    <brk id="804" min="0" max="16383" man="1"/>
    <brk id="854" min="0" max="16383" man="1"/>
    <brk id="904" min="0" max="16383" man="1"/>
    <brk id="954" min="0" max="16383" man="1"/>
    <brk id="1004" min="0" max="16383" man="1"/>
    <brk id="1054" min="0" max="16383" man="1"/>
    <brk id="1104" min="0" max="16383" man="1"/>
    <brk id="1154" min="0" max="16383" man="1"/>
    <brk id="1204" min="0" max="16383" man="1"/>
    <brk id="1254" min="0" max="16383" man="1"/>
    <brk id="1304" min="0" max="16383" man="1"/>
    <brk id="1354" min="0" max="16383" man="1"/>
    <brk id="1404" min="0" max="16383" man="1"/>
    <brk id="1454" min="0" max="16383" man="1"/>
    <brk id="1504" min="0" max="16383" man="1"/>
    <brk id="1554" min="0" max="16383" man="1"/>
    <brk id="1604" min="0" max="16383" man="1"/>
    <brk id="1654" min="0" max="16383" man="1"/>
    <brk id="1704" min="0" max="16383" man="1"/>
    <brk id="1754" min="0" max="16383" man="1"/>
    <brk id="1804" min="0" max="16383" man="1"/>
    <brk id="1854" min="0" max="16383" man="1"/>
    <brk id="1904" min="0" max="16383" man="1"/>
    <brk id="1954" min="0" max="16383" man="1"/>
    <brk id="2004" min="0" max="16383" man="1"/>
    <brk id="2054" min="0" max="16383" man="1"/>
    <brk id="2104" min="0" max="16383" man="1"/>
    <brk id="2154" min="0" max="16383" man="1"/>
    <brk id="2204" min="0" max="16383" man="1"/>
    <brk id="2254" min="0" max="16383" man="1"/>
    <brk id="2304" min="0" max="16383" man="1"/>
    <brk id="2354" min="0" max="16383" man="1"/>
    <brk id="2404" min="0" max="16383" man="1"/>
    <brk id="2454" min="0" max="16383" man="1"/>
    <brk id="2504" min="0" max="16383" man="1"/>
    <brk id="2554" min="0" max="16383" man="1"/>
    <brk id="2604" min="0" max="16383" man="1"/>
  </rowBreaks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AC265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3" customWidth="1" min="1" max="1"/>
    <col width="24" customWidth="1" min="2" max="2"/>
    <col width="6.5" customWidth="1" min="3" max="3"/>
    <col width="6.5" customWidth="1" min="4" max="4"/>
    <col width="6.5" customWidth="1" min="5" max="5"/>
    <col width="15" customWidth="1" min="6" max="6"/>
    <col width="6.5" customWidth="1" min="7" max="7"/>
    <col width="6.5" customWidth="1" min="8" max="8"/>
    <col width="6.5" customWidth="1" min="9" max="9"/>
    <col width="15" customWidth="1" min="10" max="10"/>
    <col width="6.5" customWidth="1" min="11" max="11"/>
    <col width="6.5" customWidth="1" min="12" max="12"/>
    <col width="6.5" customWidth="1" min="13" max="13"/>
    <col width="15" customWidth="1" min="14" max="14"/>
    <col width="6.5" customWidth="1" min="15" max="15"/>
    <col width="6.5" customWidth="1" min="16" max="16"/>
    <col width="6.5" customWidth="1" min="17" max="17"/>
    <col width="15" customWidth="1" min="18" max="18"/>
    <col width="6.5" customWidth="1" min="19" max="19"/>
    <col width="6.5" customWidth="1" min="20" max="20"/>
    <col width="6.5" customWidth="1" min="21" max="21"/>
    <col width="15" customWidth="1" min="22" max="22"/>
    <col width="7.5" customWidth="1" min="23" max="23"/>
    <col width="11" customWidth="1" min="24" max="24"/>
    <col width="7.5" customWidth="1" min="25" max="25"/>
    <col width="11" customWidth="1" min="26" max="26"/>
    <col width="2" customWidth="1" min="27" max="27"/>
    <col width="11" customWidth="1" min="28" max="28"/>
    <col width="13" customWidth="1" min="29" max="29"/>
  </cols>
  <sheetData>
    <row r="1" ht="30" customHeight="1">
      <c r="A1" s="1" t="n"/>
      <c r="B1" s="52" t="inlineStr">
        <is>
          <t>2030  PLANNER</t>
        </is>
      </c>
      <c r="C1" s="53" t="inlineStr">
        <is>
          <t>◀ Dashboard</t>
        </is>
      </c>
      <c r="G1" s="54">
        <f>HYPERLINK("#'"&amp;Engine!$B$11&amp;"'!B"&amp;Engine!$B$10,"Active week: W"&amp;Engine!$B$9&amp;" of "&amp;Engine!$B$11&amp;" ▶")</f>
        <v/>
      </c>
      <c r="O1" s="53">
        <f>IF(AND(Engine!$B$17&gt;=2027,Engine!$B$17&lt;=2030),HYPERLINK("#'"&amp;Engine!$B$17&amp;"'!B"&amp;(5+50*(Engine!$B$18-1)),"Today's week ▶"),"Today is outside 2027-2030")</f>
        <v/>
      </c>
      <c r="W1" s="55" t="inlineStr">
        <is>
          <t>Jump to week:</t>
        </is>
      </c>
      <c r="Y1" s="56" t="n">
        <v>1</v>
      </c>
      <c r="Z1" s="54">
        <f>HYPERLINK("#'2030'!B"&amp;(5+50*(MAX(1,MIN(53,N($Y$1)))-1)),"Go ▶")</f>
        <v/>
      </c>
      <c r="AA1" s="1" t="n"/>
      <c r="AB1" s="57" t="inlineStr">
        <is>
          <t>Year</t>
        </is>
      </c>
      <c r="AC1" s="58" t="n">
        <v>2030</v>
      </c>
    </row>
    <row r="2" ht="16" customHeight="1">
      <c r="A2" s="1" t="n"/>
      <c r="B2" s="59" t="inlineStr">
        <is>
          <t>Pick people from the dropdowns (they only list qualified, available staff for the active week). Type a status code against a person to mark leave, training or sickness.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57" t="inlineStr">
        <is>
          <t>Week 1 starts</t>
        </is>
      </c>
      <c r="AC2" s="60">
        <f>INDEX(Setup!$L$33:$L$36,MATCH($AC$1,Setup!$K$33:$K$36,0))</f>
        <v/>
      </c>
    </row>
    <row r="3" ht="18" customHeight="1">
      <c r="A3" s="1" t="n"/>
      <c r="B3" s="61" t="inlineStr">
        <is>
          <t>Legend:</t>
        </is>
      </c>
      <c r="C3" s="62">
        <f>IF(Setup!$B$33="","",Setup!$B$33)</f>
        <v/>
      </c>
      <c r="D3" s="63">
        <f>IF(Setup!$B$34="","",Setup!$B$34)</f>
        <v/>
      </c>
      <c r="E3" s="64">
        <f>IF(Setup!$B$35="","",Setup!$B$35)</f>
        <v/>
      </c>
      <c r="F3" s="65">
        <f>IF(Setup!$B$36="","",Setup!$B$36)</f>
        <v/>
      </c>
      <c r="G3" s="66">
        <f>IF(Setup!$B$37="","",Setup!$B$37)</f>
        <v/>
      </c>
      <c r="H3" s="67">
        <f>IF(Setup!$B$38="","",Setup!$B$38)</f>
        <v/>
      </c>
      <c r="I3" s="68">
        <f>IF(Setup!$B$39="","",Setup!$B$39)</f>
        <v/>
      </c>
      <c r="J3" s="69">
        <f>IF(Setup!$B$40="","",Setup!$B$40)</f>
        <v/>
      </c>
      <c r="K3" s="70" t="inlineStr">
        <is>
          <t>* trainee</t>
        </is>
      </c>
      <c r="L3" s="48" t="inlineStr">
        <is>
          <t>gap</t>
        </is>
      </c>
      <c r="M3" s="49" t="inlineStr">
        <is>
          <t>not SQEP / conflict</t>
        </is>
      </c>
      <c r="P3" s="50" t="inlineStr">
        <is>
          <t>today</t>
        </is>
      </c>
      <c r="Q3" s="71" t="inlineStr">
        <is>
          <t>n/a weekend</t>
        </is>
      </c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57" t="inlineStr">
        <is>
          <t>Year index</t>
        </is>
      </c>
      <c r="AC3" s="72">
        <f>$AC$1-2026</f>
        <v/>
      </c>
    </row>
    <row r="4" ht="6" customHeight="1"/>
    <row r="5" ht="24" customHeight="1">
      <c r="A5" t="n">
        <v>1</v>
      </c>
      <c r="B5" s="73">
        <f>"WEEK 1     "&amp;TEXT(C6,"ddd d mmm")&amp;"  –  "&amp;TEXT(C6+6,"ddd d mmm yyyy")</f>
        <v/>
      </c>
      <c r="S5" s="74">
        <f>IF(TODAY()&lt;C6,"FUTURE",IF(TODAY()&gt;C6+6,"PAST","THIS WEEK"))</f>
        <v/>
      </c>
      <c r="W5" s="75">
        <f>IF(AND(Engine!$B$8=$AC$3,Engine!$B$9=$A5),"◀ ACTIVE WEEK","")</f>
        <v/>
      </c>
      <c r="AA5" s="76" t="n"/>
      <c r="AB5" s="77" t="inlineStr">
        <is>
          <t>▲ Top</t>
        </is>
      </c>
      <c r="AC5" s="77" t="inlineStr">
        <is>
          <t>Next ▶</t>
        </is>
      </c>
    </row>
    <row r="6" ht="18" customHeight="1">
      <c r="A6" t="n">
        <v>1</v>
      </c>
      <c r="B6" s="78" t="inlineStr">
        <is>
          <t>DUTY</t>
        </is>
      </c>
      <c r="C6" s="79">
        <f>$AC$2+7*($A6-1)</f>
        <v/>
      </c>
      <c r="D6" s="80" t="n"/>
      <c r="E6" s="80" t="n"/>
      <c r="F6" s="81" t="n"/>
      <c r="G6" s="79">
        <f>C6+1</f>
        <v/>
      </c>
      <c r="H6" s="80" t="n"/>
      <c r="I6" s="80" t="n"/>
      <c r="J6" s="81" t="n"/>
      <c r="K6" s="79">
        <f>C6+2</f>
        <v/>
      </c>
      <c r="L6" s="80" t="n"/>
      <c r="M6" s="80" t="n"/>
      <c r="N6" s="81" t="n"/>
      <c r="O6" s="79">
        <f>C6+3</f>
        <v/>
      </c>
      <c r="P6" s="80" t="n"/>
      <c r="Q6" s="80" t="n"/>
      <c r="R6" s="81" t="n"/>
      <c r="S6" s="79">
        <f>C6+4</f>
        <v/>
      </c>
      <c r="T6" s="80" t="n"/>
      <c r="U6" s="80" t="n"/>
      <c r="V6" s="81" t="n"/>
      <c r="W6" s="82">
        <f>C6+5</f>
        <v/>
      </c>
      <c r="X6" s="83" t="n"/>
      <c r="Y6" s="82">
        <f>C6+6</f>
        <v/>
      </c>
      <c r="Z6" s="83" t="n"/>
      <c r="AB6" s="72" t="inlineStr">
        <is>
          <t>Gaps</t>
        </is>
      </c>
      <c r="AC6" s="72" t="inlineStr">
        <is>
          <t>Cover</t>
        </is>
      </c>
    </row>
    <row r="7" ht="14" customHeight="1">
      <c r="A7" t="n">
        <v>1</v>
      </c>
      <c r="B7" s="84" t="inlineStr">
        <is>
          <t>(from Setup)</t>
        </is>
      </c>
      <c r="C7" s="85" t="inlineStr">
        <is>
          <t>1</t>
        </is>
      </c>
      <c r="D7" s="85" t="inlineStr">
        <is>
          <t>2</t>
        </is>
      </c>
      <c r="E7" s="85" t="inlineStr">
        <is>
          <t>3</t>
        </is>
      </c>
      <c r="F7" s="85" t="inlineStr">
        <is>
          <t>Notes</t>
        </is>
      </c>
      <c r="G7" s="85" t="inlineStr">
        <is>
          <t>1</t>
        </is>
      </c>
      <c r="H7" s="85" t="inlineStr">
        <is>
          <t>2</t>
        </is>
      </c>
      <c r="I7" s="85" t="inlineStr">
        <is>
          <t>3</t>
        </is>
      </c>
      <c r="J7" s="85" t="inlineStr">
        <is>
          <t>Notes</t>
        </is>
      </c>
      <c r="K7" s="85" t="inlineStr">
        <is>
          <t>1</t>
        </is>
      </c>
      <c r="L7" s="85" t="inlineStr">
        <is>
          <t>2</t>
        </is>
      </c>
      <c r="M7" s="85" t="inlineStr">
        <is>
          <t>3</t>
        </is>
      </c>
      <c r="N7" s="85" t="inlineStr">
        <is>
          <t>Notes</t>
        </is>
      </c>
      <c r="O7" s="85" t="inlineStr">
        <is>
          <t>1</t>
        </is>
      </c>
      <c r="P7" s="85" t="inlineStr">
        <is>
          <t>2</t>
        </is>
      </c>
      <c r="Q7" s="85" t="inlineStr">
        <is>
          <t>3</t>
        </is>
      </c>
      <c r="R7" s="85" t="inlineStr">
        <is>
          <t>Notes</t>
        </is>
      </c>
      <c r="S7" s="85" t="inlineStr">
        <is>
          <t>1</t>
        </is>
      </c>
      <c r="T7" s="85" t="inlineStr">
        <is>
          <t>2</t>
        </is>
      </c>
      <c r="U7" s="85" t="inlineStr">
        <is>
          <t>3</t>
        </is>
      </c>
      <c r="V7" s="85" t="inlineStr">
        <is>
          <t>Notes</t>
        </is>
      </c>
      <c r="W7" s="85" t="inlineStr">
        <is>
          <t>Cover</t>
        </is>
      </c>
      <c r="X7" s="85" t="inlineStr">
        <is>
          <t>Notes</t>
        </is>
      </c>
      <c r="Y7" s="85" t="inlineStr">
        <is>
          <t>Cover</t>
        </is>
      </c>
      <c r="Z7" s="85" t="inlineStr">
        <is>
          <t>Notes</t>
        </is>
      </c>
      <c r="AB7" s="86" t="inlineStr">
        <is>
          <t>weekdays short</t>
        </is>
      </c>
      <c r="AC7" s="87" t="inlineStr"/>
    </row>
    <row r="8" ht="17" customHeight="1">
      <c r="A8" t="n">
        <v>1</v>
      </c>
      <c r="B8" s="24">
        <f>IF(Setup!$K$6="","",Setup!$K$6)</f>
        <v/>
      </c>
      <c r="C8" s="88" t="n"/>
      <c r="D8" s="88" t="n"/>
      <c r="E8" s="88" t="n"/>
      <c r="F8" s="89" t="n"/>
      <c r="G8" s="88" t="n"/>
      <c r="H8" s="88" t="n"/>
      <c r="I8" s="88" t="n"/>
      <c r="J8" s="89" t="n"/>
      <c r="K8" s="88" t="n"/>
      <c r="L8" s="88" t="n"/>
      <c r="M8" s="88" t="n"/>
      <c r="N8" s="89" t="n"/>
      <c r="O8" s="88" t="n"/>
      <c r="P8" s="88" t="n"/>
      <c r="Q8" s="88" t="n"/>
      <c r="R8" s="89" t="n"/>
      <c r="S8" s="88" t="n"/>
      <c r="T8" s="88" t="n"/>
      <c r="U8" s="88" t="n"/>
      <c r="V8" s="89" t="n"/>
      <c r="W8" s="88" t="n"/>
      <c r="X8" s="89" t="n"/>
      <c r="Y8" s="88" t="n"/>
      <c r="Z8" s="89" t="n"/>
      <c r="AB8" s="25">
        <f>IF($B8="","",(COUNTIF(C8:E8,"?*")&lt;N(INDEX(Setup!$L$6:$L$23,1)))+(COUNTIF(G8:I8,"?*")&lt;N(INDEX(Setup!$L$6:$L$23,1)))+(COUNTIF(K8:M8,"?*")&lt;N(INDEX(Setup!$L$6:$L$23,1)))+(COUNTIF(O8:Q8,"?*")&lt;N(INDEX(Setup!$L$6:$L$23,1)))+(COUNTIF(S8:U8,"?*")&lt;N(INDEX(Setup!$L$6:$L$23,1)))+((W8="")*(INDEX(Setup!$M$6:$M$23,1)="Y"))+((Y8="")*(INDEX(Setup!$M$6:$M$23,1)="Y")))</f>
        <v/>
      </c>
      <c r="AC8" s="90">
        <f>IF($B8="","",IF(AB8=0,"✓ covered","⚠ "&amp;AB8&amp;IF(AB8=1," gap"," gaps")))</f>
        <v/>
      </c>
    </row>
    <row r="9" ht="17" customHeight="1">
      <c r="A9" t="n">
        <v>1</v>
      </c>
      <c r="B9" s="29">
        <f>IF(Setup!$K$7="","",Setup!$K$7)</f>
        <v/>
      </c>
      <c r="C9" s="88" t="n"/>
      <c r="D9" s="88" t="n"/>
      <c r="E9" s="88" t="n"/>
      <c r="F9" s="89" t="n"/>
      <c r="G9" s="88" t="n"/>
      <c r="H9" s="88" t="n"/>
      <c r="I9" s="88" t="n"/>
      <c r="J9" s="89" t="n"/>
      <c r="K9" s="88" t="n"/>
      <c r="L9" s="88" t="n"/>
      <c r="M9" s="88" t="n"/>
      <c r="N9" s="89" t="n"/>
      <c r="O9" s="88" t="n"/>
      <c r="P9" s="88" t="n"/>
      <c r="Q9" s="88" t="n"/>
      <c r="R9" s="89" t="n"/>
      <c r="S9" s="88" t="n"/>
      <c r="T9" s="88" t="n"/>
      <c r="U9" s="88" t="n"/>
      <c r="V9" s="89" t="n"/>
      <c r="W9" s="88" t="n"/>
      <c r="X9" s="89" t="n"/>
      <c r="Y9" s="88" t="n"/>
      <c r="Z9" s="89" t="n"/>
      <c r="AB9" s="30">
        <f>IF($B9="","",(COUNTIF(C9:E9,"?*")&lt;N(INDEX(Setup!$L$6:$L$23,2)))+(COUNTIF(G9:I9,"?*")&lt;N(INDEX(Setup!$L$6:$L$23,2)))+(COUNTIF(K9:M9,"?*")&lt;N(INDEX(Setup!$L$6:$L$23,2)))+(COUNTIF(O9:Q9,"?*")&lt;N(INDEX(Setup!$L$6:$L$23,2)))+(COUNTIF(S9:U9,"?*")&lt;N(INDEX(Setup!$L$6:$L$23,2)))+((W9="")*(INDEX(Setup!$M$6:$M$23,2)="Y"))+((Y9="")*(INDEX(Setup!$M$6:$M$23,2)="Y")))</f>
        <v/>
      </c>
      <c r="AC9" s="91">
        <f>IF($B9="","",IF(AB9=0,"✓ covered","⚠ "&amp;AB9&amp;IF(AB9=1," gap"," gaps")))</f>
        <v/>
      </c>
    </row>
    <row r="10" ht="17" customHeight="1">
      <c r="A10" t="n">
        <v>1</v>
      </c>
      <c r="B10" s="24">
        <f>IF(Setup!$K$8="","",Setup!$K$8)</f>
        <v/>
      </c>
      <c r="C10" s="88" t="n"/>
      <c r="D10" s="88" t="n"/>
      <c r="E10" s="88" t="n"/>
      <c r="F10" s="89" t="n"/>
      <c r="G10" s="88" t="n"/>
      <c r="H10" s="88" t="n"/>
      <c r="I10" s="88" t="n"/>
      <c r="J10" s="89" t="n"/>
      <c r="K10" s="88" t="n"/>
      <c r="L10" s="88" t="n"/>
      <c r="M10" s="88" t="n"/>
      <c r="N10" s="89" t="n"/>
      <c r="O10" s="88" t="n"/>
      <c r="P10" s="88" t="n"/>
      <c r="Q10" s="88" t="n"/>
      <c r="R10" s="89" t="n"/>
      <c r="S10" s="88" t="n"/>
      <c r="T10" s="88" t="n"/>
      <c r="U10" s="88" t="n"/>
      <c r="V10" s="89" t="n"/>
      <c r="W10" s="88" t="n"/>
      <c r="X10" s="89" t="n"/>
      <c r="Y10" s="88" t="n"/>
      <c r="Z10" s="89" t="n"/>
      <c r="AB10" s="25">
        <f>IF($B10="","",(COUNTIF(C10:E10,"?*")&lt;N(INDEX(Setup!$L$6:$L$23,3)))+(COUNTIF(G10:I10,"?*")&lt;N(INDEX(Setup!$L$6:$L$23,3)))+(COUNTIF(K10:M10,"?*")&lt;N(INDEX(Setup!$L$6:$L$23,3)))+(COUNTIF(O10:Q10,"?*")&lt;N(INDEX(Setup!$L$6:$L$23,3)))+(COUNTIF(S10:U10,"?*")&lt;N(INDEX(Setup!$L$6:$L$23,3)))+((W10="")*(INDEX(Setup!$M$6:$M$23,3)="Y"))+((Y10="")*(INDEX(Setup!$M$6:$M$23,3)="Y")))</f>
        <v/>
      </c>
      <c r="AC10" s="90">
        <f>IF($B10="","",IF(AB10=0,"✓ covered","⚠ "&amp;AB10&amp;IF(AB10=1," gap"," gaps")))</f>
        <v/>
      </c>
    </row>
    <row r="11" ht="17" customHeight="1">
      <c r="A11" t="n">
        <v>1</v>
      </c>
      <c r="B11" s="29">
        <f>IF(Setup!$K$9="","",Setup!$K$9)</f>
        <v/>
      </c>
      <c r="C11" s="88" t="n"/>
      <c r="D11" s="88" t="n"/>
      <c r="E11" s="88" t="n"/>
      <c r="F11" s="89" t="n"/>
      <c r="G11" s="88" t="n"/>
      <c r="H11" s="88" t="n"/>
      <c r="I11" s="88" t="n"/>
      <c r="J11" s="89" t="n"/>
      <c r="K11" s="88" t="n"/>
      <c r="L11" s="88" t="n"/>
      <c r="M11" s="88" t="n"/>
      <c r="N11" s="89" t="n"/>
      <c r="O11" s="88" t="n"/>
      <c r="P11" s="88" t="n"/>
      <c r="Q11" s="88" t="n"/>
      <c r="R11" s="89" t="n"/>
      <c r="S11" s="88" t="n"/>
      <c r="T11" s="88" t="n"/>
      <c r="U11" s="88" t="n"/>
      <c r="V11" s="89" t="n"/>
      <c r="W11" s="88" t="n"/>
      <c r="X11" s="89" t="n"/>
      <c r="Y11" s="88" t="n"/>
      <c r="Z11" s="89" t="n"/>
      <c r="AB11" s="30">
        <f>IF($B11="","",(COUNTIF(C11:E11,"?*")&lt;N(INDEX(Setup!$L$6:$L$23,4)))+(COUNTIF(G11:I11,"?*")&lt;N(INDEX(Setup!$L$6:$L$23,4)))+(COUNTIF(K11:M11,"?*")&lt;N(INDEX(Setup!$L$6:$L$23,4)))+(COUNTIF(O11:Q11,"?*")&lt;N(INDEX(Setup!$L$6:$L$23,4)))+(COUNTIF(S11:U11,"?*")&lt;N(INDEX(Setup!$L$6:$L$23,4)))+((W11="")*(INDEX(Setup!$M$6:$M$23,4)="Y"))+((Y11="")*(INDEX(Setup!$M$6:$M$23,4)="Y")))</f>
        <v/>
      </c>
      <c r="AC11" s="91">
        <f>IF($B11="","",IF(AB11=0,"✓ covered","⚠ "&amp;AB11&amp;IF(AB11=1," gap"," gaps")))</f>
        <v/>
      </c>
    </row>
    <row r="12" ht="17" customHeight="1">
      <c r="A12" t="n">
        <v>1</v>
      </c>
      <c r="B12" s="24">
        <f>IF(Setup!$K$10="","",Setup!$K$10)</f>
        <v/>
      </c>
      <c r="C12" s="88" t="n"/>
      <c r="D12" s="88" t="n"/>
      <c r="E12" s="88" t="n"/>
      <c r="F12" s="89" t="n"/>
      <c r="G12" s="88" t="n"/>
      <c r="H12" s="88" t="n"/>
      <c r="I12" s="88" t="n"/>
      <c r="J12" s="89" t="n"/>
      <c r="K12" s="88" t="n"/>
      <c r="L12" s="88" t="n"/>
      <c r="M12" s="88" t="n"/>
      <c r="N12" s="89" t="n"/>
      <c r="O12" s="88" t="n"/>
      <c r="P12" s="88" t="n"/>
      <c r="Q12" s="88" t="n"/>
      <c r="R12" s="89" t="n"/>
      <c r="S12" s="88" t="n"/>
      <c r="T12" s="88" t="n"/>
      <c r="U12" s="88" t="n"/>
      <c r="V12" s="89" t="n"/>
      <c r="W12" s="88" t="n"/>
      <c r="X12" s="89" t="n"/>
      <c r="Y12" s="88" t="n"/>
      <c r="Z12" s="89" t="n"/>
      <c r="AB12" s="25">
        <f>IF($B12="","",(COUNTIF(C12:E12,"?*")&lt;N(INDEX(Setup!$L$6:$L$23,5)))+(COUNTIF(G12:I12,"?*")&lt;N(INDEX(Setup!$L$6:$L$23,5)))+(COUNTIF(K12:M12,"?*")&lt;N(INDEX(Setup!$L$6:$L$23,5)))+(COUNTIF(O12:Q12,"?*")&lt;N(INDEX(Setup!$L$6:$L$23,5)))+(COUNTIF(S12:U12,"?*")&lt;N(INDEX(Setup!$L$6:$L$23,5)))+((W12="")*(INDEX(Setup!$M$6:$M$23,5)="Y"))+((Y12="")*(INDEX(Setup!$M$6:$M$23,5)="Y")))</f>
        <v/>
      </c>
      <c r="AC12" s="90">
        <f>IF($B12="","",IF(AB12=0,"✓ covered","⚠ "&amp;AB12&amp;IF(AB12=1," gap"," gaps")))</f>
        <v/>
      </c>
    </row>
    <row r="13" ht="17" customHeight="1">
      <c r="A13" t="n">
        <v>1</v>
      </c>
      <c r="B13" s="29">
        <f>IF(Setup!$K$11="","",Setup!$K$11)</f>
        <v/>
      </c>
      <c r="C13" s="88" t="n"/>
      <c r="D13" s="88" t="n"/>
      <c r="E13" s="88" t="n"/>
      <c r="F13" s="89" t="n"/>
      <c r="G13" s="88" t="n"/>
      <c r="H13" s="88" t="n"/>
      <c r="I13" s="88" t="n"/>
      <c r="J13" s="89" t="n"/>
      <c r="K13" s="88" t="n"/>
      <c r="L13" s="88" t="n"/>
      <c r="M13" s="88" t="n"/>
      <c r="N13" s="89" t="n"/>
      <c r="O13" s="88" t="n"/>
      <c r="P13" s="88" t="n"/>
      <c r="Q13" s="88" t="n"/>
      <c r="R13" s="89" t="n"/>
      <c r="S13" s="88" t="n"/>
      <c r="T13" s="88" t="n"/>
      <c r="U13" s="88" t="n"/>
      <c r="V13" s="89" t="n"/>
      <c r="W13" s="88" t="n"/>
      <c r="X13" s="89" t="n"/>
      <c r="Y13" s="88" t="n"/>
      <c r="Z13" s="89" t="n"/>
      <c r="AB13" s="30">
        <f>IF($B13="","",(COUNTIF(C13:E13,"?*")&lt;N(INDEX(Setup!$L$6:$L$23,6)))+(COUNTIF(G13:I13,"?*")&lt;N(INDEX(Setup!$L$6:$L$23,6)))+(COUNTIF(K13:M13,"?*")&lt;N(INDEX(Setup!$L$6:$L$23,6)))+(COUNTIF(O13:Q13,"?*")&lt;N(INDEX(Setup!$L$6:$L$23,6)))+(COUNTIF(S13:U13,"?*")&lt;N(INDEX(Setup!$L$6:$L$23,6)))+((W13="")*(INDEX(Setup!$M$6:$M$23,6)="Y"))+((Y13="")*(INDEX(Setup!$M$6:$M$23,6)="Y")))</f>
        <v/>
      </c>
      <c r="AC13" s="91">
        <f>IF($B13="","",IF(AB13=0,"✓ covered","⚠ "&amp;AB13&amp;IF(AB13=1," gap"," gaps")))</f>
        <v/>
      </c>
    </row>
    <row r="14" ht="17" customHeight="1">
      <c r="A14" t="n">
        <v>1</v>
      </c>
      <c r="B14" s="24">
        <f>IF(Setup!$K$12="","",Setup!$K$12)</f>
        <v/>
      </c>
      <c r="C14" s="88" t="n"/>
      <c r="D14" s="88" t="n"/>
      <c r="E14" s="88" t="n"/>
      <c r="F14" s="89" t="n"/>
      <c r="G14" s="88" t="n"/>
      <c r="H14" s="88" t="n"/>
      <c r="I14" s="88" t="n"/>
      <c r="J14" s="89" t="n"/>
      <c r="K14" s="88" t="n"/>
      <c r="L14" s="88" t="n"/>
      <c r="M14" s="88" t="n"/>
      <c r="N14" s="89" t="n"/>
      <c r="O14" s="88" t="n"/>
      <c r="P14" s="88" t="n"/>
      <c r="Q14" s="88" t="n"/>
      <c r="R14" s="89" t="n"/>
      <c r="S14" s="88" t="n"/>
      <c r="T14" s="88" t="n"/>
      <c r="U14" s="88" t="n"/>
      <c r="V14" s="89" t="n"/>
      <c r="W14" s="88" t="n"/>
      <c r="X14" s="89" t="n"/>
      <c r="Y14" s="88" t="n"/>
      <c r="Z14" s="89" t="n"/>
      <c r="AB14" s="25">
        <f>IF($B14="","",(COUNTIF(C14:E14,"?*")&lt;N(INDEX(Setup!$L$6:$L$23,7)))+(COUNTIF(G14:I14,"?*")&lt;N(INDEX(Setup!$L$6:$L$23,7)))+(COUNTIF(K14:M14,"?*")&lt;N(INDEX(Setup!$L$6:$L$23,7)))+(COUNTIF(O14:Q14,"?*")&lt;N(INDEX(Setup!$L$6:$L$23,7)))+(COUNTIF(S14:U14,"?*")&lt;N(INDEX(Setup!$L$6:$L$23,7)))+((W14="")*(INDEX(Setup!$M$6:$M$23,7)="Y"))+((Y14="")*(INDEX(Setup!$M$6:$M$23,7)="Y")))</f>
        <v/>
      </c>
      <c r="AC14" s="90">
        <f>IF($B14="","",IF(AB14=0,"✓ covered","⚠ "&amp;AB14&amp;IF(AB14=1," gap"," gaps")))</f>
        <v/>
      </c>
    </row>
    <row r="15" ht="17" customHeight="1">
      <c r="A15" t="n">
        <v>1</v>
      </c>
      <c r="B15" s="29">
        <f>IF(Setup!$K$13="","",Setup!$K$13)</f>
        <v/>
      </c>
      <c r="C15" s="88" t="n"/>
      <c r="D15" s="88" t="n"/>
      <c r="E15" s="88" t="n"/>
      <c r="F15" s="89" t="n"/>
      <c r="G15" s="88" t="n"/>
      <c r="H15" s="88" t="n"/>
      <c r="I15" s="88" t="n"/>
      <c r="J15" s="89" t="n"/>
      <c r="K15" s="88" t="n"/>
      <c r="L15" s="88" t="n"/>
      <c r="M15" s="88" t="n"/>
      <c r="N15" s="89" t="n"/>
      <c r="O15" s="88" t="n"/>
      <c r="P15" s="88" t="n"/>
      <c r="Q15" s="88" t="n"/>
      <c r="R15" s="89" t="n"/>
      <c r="S15" s="88" t="n"/>
      <c r="T15" s="88" t="n"/>
      <c r="U15" s="88" t="n"/>
      <c r="V15" s="89" t="n"/>
      <c r="W15" s="88" t="n"/>
      <c r="X15" s="89" t="n"/>
      <c r="Y15" s="88" t="n"/>
      <c r="Z15" s="89" t="n"/>
      <c r="AB15" s="30">
        <f>IF($B15="","",(COUNTIF(C15:E15,"?*")&lt;N(INDEX(Setup!$L$6:$L$23,8)))+(COUNTIF(G15:I15,"?*")&lt;N(INDEX(Setup!$L$6:$L$23,8)))+(COUNTIF(K15:M15,"?*")&lt;N(INDEX(Setup!$L$6:$L$23,8)))+(COUNTIF(O15:Q15,"?*")&lt;N(INDEX(Setup!$L$6:$L$23,8)))+(COUNTIF(S15:U15,"?*")&lt;N(INDEX(Setup!$L$6:$L$23,8)))+((W15="")*(INDEX(Setup!$M$6:$M$23,8)="Y"))+((Y15="")*(INDEX(Setup!$M$6:$M$23,8)="Y")))</f>
        <v/>
      </c>
      <c r="AC15" s="91">
        <f>IF($B15="","",IF(AB15=0,"✓ covered","⚠ "&amp;AB15&amp;IF(AB15=1," gap"," gaps")))</f>
        <v/>
      </c>
    </row>
    <row r="16" ht="17" customHeight="1">
      <c r="A16" t="n">
        <v>1</v>
      </c>
      <c r="B16" s="24">
        <f>IF(Setup!$K$14="","",Setup!$K$14)</f>
        <v/>
      </c>
      <c r="C16" s="88" t="n"/>
      <c r="D16" s="88" t="n"/>
      <c r="E16" s="88" t="n"/>
      <c r="F16" s="89" t="n"/>
      <c r="G16" s="88" t="n"/>
      <c r="H16" s="88" t="n"/>
      <c r="I16" s="88" t="n"/>
      <c r="J16" s="89" t="n"/>
      <c r="K16" s="88" t="n"/>
      <c r="L16" s="88" t="n"/>
      <c r="M16" s="88" t="n"/>
      <c r="N16" s="89" t="n"/>
      <c r="O16" s="88" t="n"/>
      <c r="P16" s="88" t="n"/>
      <c r="Q16" s="88" t="n"/>
      <c r="R16" s="89" t="n"/>
      <c r="S16" s="88" t="n"/>
      <c r="T16" s="88" t="n"/>
      <c r="U16" s="88" t="n"/>
      <c r="V16" s="89" t="n"/>
      <c r="W16" s="88" t="n"/>
      <c r="X16" s="89" t="n"/>
      <c r="Y16" s="88" t="n"/>
      <c r="Z16" s="89" t="n"/>
      <c r="AB16" s="25">
        <f>IF($B16="","",(COUNTIF(C16:E16,"?*")&lt;N(INDEX(Setup!$L$6:$L$23,9)))+(COUNTIF(G16:I16,"?*")&lt;N(INDEX(Setup!$L$6:$L$23,9)))+(COUNTIF(K16:M16,"?*")&lt;N(INDEX(Setup!$L$6:$L$23,9)))+(COUNTIF(O16:Q16,"?*")&lt;N(INDEX(Setup!$L$6:$L$23,9)))+(COUNTIF(S16:U16,"?*")&lt;N(INDEX(Setup!$L$6:$L$23,9)))+((W16="")*(INDEX(Setup!$M$6:$M$23,9)="Y"))+((Y16="")*(INDEX(Setup!$M$6:$M$23,9)="Y")))</f>
        <v/>
      </c>
      <c r="AC16" s="90">
        <f>IF($B16="","",IF(AB16=0,"✓ covered","⚠ "&amp;AB16&amp;IF(AB16=1," gap"," gaps")))</f>
        <v/>
      </c>
    </row>
    <row r="17" ht="17" customHeight="1">
      <c r="A17" t="n">
        <v>1</v>
      </c>
      <c r="B17" s="29">
        <f>IF(Setup!$K$15="","",Setup!$K$15)</f>
        <v/>
      </c>
      <c r="C17" s="88" t="n"/>
      <c r="D17" s="88" t="n"/>
      <c r="E17" s="88" t="n"/>
      <c r="F17" s="89" t="n"/>
      <c r="G17" s="88" t="n"/>
      <c r="H17" s="88" t="n"/>
      <c r="I17" s="88" t="n"/>
      <c r="J17" s="89" t="n"/>
      <c r="K17" s="88" t="n"/>
      <c r="L17" s="88" t="n"/>
      <c r="M17" s="88" t="n"/>
      <c r="N17" s="89" t="n"/>
      <c r="O17" s="88" t="n"/>
      <c r="P17" s="88" t="n"/>
      <c r="Q17" s="88" t="n"/>
      <c r="R17" s="89" t="n"/>
      <c r="S17" s="88" t="n"/>
      <c r="T17" s="88" t="n"/>
      <c r="U17" s="88" t="n"/>
      <c r="V17" s="89" t="n"/>
      <c r="W17" s="88" t="n"/>
      <c r="X17" s="89" t="n"/>
      <c r="Y17" s="88" t="n"/>
      <c r="Z17" s="89" t="n"/>
      <c r="AB17" s="30">
        <f>IF($B17="","",(COUNTIF(C17:E17,"?*")&lt;N(INDEX(Setup!$L$6:$L$23,10)))+(COUNTIF(G17:I17,"?*")&lt;N(INDEX(Setup!$L$6:$L$23,10)))+(COUNTIF(K17:M17,"?*")&lt;N(INDEX(Setup!$L$6:$L$23,10)))+(COUNTIF(O17:Q17,"?*")&lt;N(INDEX(Setup!$L$6:$L$23,10)))+(COUNTIF(S17:U17,"?*")&lt;N(INDEX(Setup!$L$6:$L$23,10)))+((W17="")*(INDEX(Setup!$M$6:$M$23,10)="Y"))+((Y17="")*(INDEX(Setup!$M$6:$M$23,10)="Y")))</f>
        <v/>
      </c>
      <c r="AC17" s="91">
        <f>IF($B17="","",IF(AB17=0,"✓ covered","⚠ "&amp;AB17&amp;IF(AB17=1," gap"," gaps")))</f>
        <v/>
      </c>
    </row>
    <row r="18" ht="17" customHeight="1">
      <c r="A18" t="n">
        <v>1</v>
      </c>
      <c r="B18" s="24">
        <f>IF(Setup!$K$16="","",Setup!$K$16)</f>
        <v/>
      </c>
      <c r="C18" s="88" t="n"/>
      <c r="D18" s="88" t="n"/>
      <c r="E18" s="88" t="n"/>
      <c r="F18" s="89" t="n"/>
      <c r="G18" s="88" t="n"/>
      <c r="H18" s="88" t="n"/>
      <c r="I18" s="88" t="n"/>
      <c r="J18" s="89" t="n"/>
      <c r="K18" s="88" t="n"/>
      <c r="L18" s="88" t="n"/>
      <c r="M18" s="88" t="n"/>
      <c r="N18" s="89" t="n"/>
      <c r="O18" s="88" t="n"/>
      <c r="P18" s="88" t="n"/>
      <c r="Q18" s="88" t="n"/>
      <c r="R18" s="89" t="n"/>
      <c r="S18" s="88" t="n"/>
      <c r="T18" s="88" t="n"/>
      <c r="U18" s="88" t="n"/>
      <c r="V18" s="89" t="n"/>
      <c r="W18" s="88" t="n"/>
      <c r="X18" s="89" t="n"/>
      <c r="Y18" s="88" t="n"/>
      <c r="Z18" s="89" t="n"/>
      <c r="AB18" s="25">
        <f>IF($B18="","",(COUNTIF(C18:E18,"?*")&lt;N(INDEX(Setup!$L$6:$L$23,11)))+(COUNTIF(G18:I18,"?*")&lt;N(INDEX(Setup!$L$6:$L$23,11)))+(COUNTIF(K18:M18,"?*")&lt;N(INDEX(Setup!$L$6:$L$23,11)))+(COUNTIF(O18:Q18,"?*")&lt;N(INDEX(Setup!$L$6:$L$23,11)))+(COUNTIF(S18:U18,"?*")&lt;N(INDEX(Setup!$L$6:$L$23,11)))+((W18="")*(INDEX(Setup!$M$6:$M$23,11)="Y"))+((Y18="")*(INDEX(Setup!$M$6:$M$23,11)="Y")))</f>
        <v/>
      </c>
      <c r="AC18" s="90">
        <f>IF($B18="","",IF(AB18=0,"✓ covered","⚠ "&amp;AB18&amp;IF(AB18=1," gap"," gaps")))</f>
        <v/>
      </c>
    </row>
    <row r="19" ht="17" customHeight="1">
      <c r="A19" t="n">
        <v>1</v>
      </c>
      <c r="B19" s="29">
        <f>IF(Setup!$K$17="","",Setup!$K$17)</f>
        <v/>
      </c>
      <c r="C19" s="88" t="n"/>
      <c r="D19" s="88" t="n"/>
      <c r="E19" s="88" t="n"/>
      <c r="F19" s="89" t="n"/>
      <c r="G19" s="88" t="n"/>
      <c r="H19" s="88" t="n"/>
      <c r="I19" s="88" t="n"/>
      <c r="J19" s="89" t="n"/>
      <c r="K19" s="88" t="n"/>
      <c r="L19" s="88" t="n"/>
      <c r="M19" s="88" t="n"/>
      <c r="N19" s="89" t="n"/>
      <c r="O19" s="88" t="n"/>
      <c r="P19" s="88" t="n"/>
      <c r="Q19" s="88" t="n"/>
      <c r="R19" s="89" t="n"/>
      <c r="S19" s="88" t="n"/>
      <c r="T19" s="88" t="n"/>
      <c r="U19" s="88" t="n"/>
      <c r="V19" s="89" t="n"/>
      <c r="W19" s="88" t="n"/>
      <c r="X19" s="89" t="n"/>
      <c r="Y19" s="88" t="n"/>
      <c r="Z19" s="89" t="n"/>
      <c r="AB19" s="30">
        <f>IF($B19="","",(COUNTIF(C19:E19,"?*")&lt;N(INDEX(Setup!$L$6:$L$23,12)))+(COUNTIF(G19:I19,"?*")&lt;N(INDEX(Setup!$L$6:$L$23,12)))+(COUNTIF(K19:M19,"?*")&lt;N(INDEX(Setup!$L$6:$L$23,12)))+(COUNTIF(O19:Q19,"?*")&lt;N(INDEX(Setup!$L$6:$L$23,12)))+(COUNTIF(S19:U19,"?*")&lt;N(INDEX(Setup!$L$6:$L$23,12)))+((W19="")*(INDEX(Setup!$M$6:$M$23,12)="Y"))+((Y19="")*(INDEX(Setup!$M$6:$M$23,12)="Y")))</f>
        <v/>
      </c>
      <c r="AC19" s="91">
        <f>IF($B19="","",IF(AB19=0,"✓ covered","⚠ "&amp;AB19&amp;IF(AB19=1," gap"," gaps")))</f>
        <v/>
      </c>
    </row>
    <row r="20" ht="17" customHeight="1">
      <c r="A20" t="n">
        <v>1</v>
      </c>
      <c r="B20" s="24">
        <f>IF(Setup!$K$18="","",Setup!$K$18)</f>
        <v/>
      </c>
      <c r="C20" s="88" t="n"/>
      <c r="D20" s="88" t="n"/>
      <c r="E20" s="88" t="n"/>
      <c r="F20" s="89" t="n"/>
      <c r="G20" s="88" t="n"/>
      <c r="H20" s="88" t="n"/>
      <c r="I20" s="88" t="n"/>
      <c r="J20" s="89" t="n"/>
      <c r="K20" s="88" t="n"/>
      <c r="L20" s="88" t="n"/>
      <c r="M20" s="88" t="n"/>
      <c r="N20" s="89" t="n"/>
      <c r="O20" s="88" t="n"/>
      <c r="P20" s="88" t="n"/>
      <c r="Q20" s="88" t="n"/>
      <c r="R20" s="89" t="n"/>
      <c r="S20" s="88" t="n"/>
      <c r="T20" s="88" t="n"/>
      <c r="U20" s="88" t="n"/>
      <c r="V20" s="89" t="n"/>
      <c r="W20" s="88" t="n"/>
      <c r="X20" s="89" t="n"/>
      <c r="Y20" s="88" t="n"/>
      <c r="Z20" s="89" t="n"/>
      <c r="AB20" s="25">
        <f>IF($B20="","",(COUNTIF(C20:E20,"?*")&lt;N(INDEX(Setup!$L$6:$L$23,13)))+(COUNTIF(G20:I20,"?*")&lt;N(INDEX(Setup!$L$6:$L$23,13)))+(COUNTIF(K20:M20,"?*")&lt;N(INDEX(Setup!$L$6:$L$23,13)))+(COUNTIF(O20:Q20,"?*")&lt;N(INDEX(Setup!$L$6:$L$23,13)))+(COUNTIF(S20:U20,"?*")&lt;N(INDEX(Setup!$L$6:$L$23,13)))+((W20="")*(INDEX(Setup!$M$6:$M$23,13)="Y"))+((Y20="")*(INDEX(Setup!$M$6:$M$23,13)="Y")))</f>
        <v/>
      </c>
      <c r="AC20" s="90">
        <f>IF($B20="","",IF(AB20=0,"✓ covered","⚠ "&amp;AB20&amp;IF(AB20=1," gap"," gaps")))</f>
        <v/>
      </c>
    </row>
    <row r="21" ht="17" customHeight="1">
      <c r="A21" t="n">
        <v>1</v>
      </c>
      <c r="B21" s="29">
        <f>IF(Setup!$K$19="","",Setup!$K$19)</f>
        <v/>
      </c>
      <c r="C21" s="88" t="n"/>
      <c r="D21" s="88" t="n"/>
      <c r="E21" s="88" t="n"/>
      <c r="F21" s="89" t="n"/>
      <c r="G21" s="88" t="n"/>
      <c r="H21" s="88" t="n"/>
      <c r="I21" s="88" t="n"/>
      <c r="J21" s="89" t="n"/>
      <c r="K21" s="88" t="n"/>
      <c r="L21" s="88" t="n"/>
      <c r="M21" s="88" t="n"/>
      <c r="N21" s="89" t="n"/>
      <c r="O21" s="88" t="n"/>
      <c r="P21" s="88" t="n"/>
      <c r="Q21" s="88" t="n"/>
      <c r="R21" s="89" t="n"/>
      <c r="S21" s="88" t="n"/>
      <c r="T21" s="88" t="n"/>
      <c r="U21" s="88" t="n"/>
      <c r="V21" s="89" t="n"/>
      <c r="W21" s="88" t="n"/>
      <c r="X21" s="89" t="n"/>
      <c r="Y21" s="88" t="n"/>
      <c r="Z21" s="89" t="n"/>
      <c r="AB21" s="30">
        <f>IF($B21="","",(COUNTIF(C21:E21,"?*")&lt;N(INDEX(Setup!$L$6:$L$23,14)))+(COUNTIF(G21:I21,"?*")&lt;N(INDEX(Setup!$L$6:$L$23,14)))+(COUNTIF(K21:M21,"?*")&lt;N(INDEX(Setup!$L$6:$L$23,14)))+(COUNTIF(O21:Q21,"?*")&lt;N(INDEX(Setup!$L$6:$L$23,14)))+(COUNTIF(S21:U21,"?*")&lt;N(INDEX(Setup!$L$6:$L$23,14)))+((W21="")*(INDEX(Setup!$M$6:$M$23,14)="Y"))+((Y21="")*(INDEX(Setup!$M$6:$M$23,14)="Y")))</f>
        <v/>
      </c>
      <c r="AC21" s="91">
        <f>IF($B21="","",IF(AB21=0,"✓ covered","⚠ "&amp;AB21&amp;IF(AB21=1," gap"," gaps")))</f>
        <v/>
      </c>
    </row>
    <row r="22" ht="17" customHeight="1">
      <c r="A22" t="n">
        <v>1</v>
      </c>
      <c r="B22" s="24">
        <f>IF(Setup!$K$20="","",Setup!$K$20)</f>
        <v/>
      </c>
      <c r="C22" s="88" t="n"/>
      <c r="D22" s="88" t="n"/>
      <c r="E22" s="88" t="n"/>
      <c r="F22" s="89" t="n"/>
      <c r="G22" s="88" t="n"/>
      <c r="H22" s="88" t="n"/>
      <c r="I22" s="88" t="n"/>
      <c r="J22" s="89" t="n"/>
      <c r="K22" s="88" t="n"/>
      <c r="L22" s="88" t="n"/>
      <c r="M22" s="88" t="n"/>
      <c r="N22" s="89" t="n"/>
      <c r="O22" s="88" t="n"/>
      <c r="P22" s="88" t="n"/>
      <c r="Q22" s="88" t="n"/>
      <c r="R22" s="89" t="n"/>
      <c r="S22" s="88" t="n"/>
      <c r="T22" s="88" t="n"/>
      <c r="U22" s="88" t="n"/>
      <c r="V22" s="89" t="n"/>
      <c r="W22" s="88" t="n"/>
      <c r="X22" s="89" t="n"/>
      <c r="Y22" s="88" t="n"/>
      <c r="Z22" s="89" t="n"/>
      <c r="AB22" s="25">
        <f>IF($B22="","",(COUNTIF(C22:E22,"?*")&lt;N(INDEX(Setup!$L$6:$L$23,15)))+(COUNTIF(G22:I22,"?*")&lt;N(INDEX(Setup!$L$6:$L$23,15)))+(COUNTIF(K22:M22,"?*")&lt;N(INDEX(Setup!$L$6:$L$23,15)))+(COUNTIF(O22:Q22,"?*")&lt;N(INDEX(Setup!$L$6:$L$23,15)))+(COUNTIF(S22:U22,"?*")&lt;N(INDEX(Setup!$L$6:$L$23,15)))+((W22="")*(INDEX(Setup!$M$6:$M$23,15)="Y"))+((Y22="")*(INDEX(Setup!$M$6:$M$23,15)="Y")))</f>
        <v/>
      </c>
      <c r="AC22" s="90">
        <f>IF($B22="","",IF(AB22=0,"✓ covered","⚠ "&amp;AB22&amp;IF(AB22=1," gap"," gaps")))</f>
        <v/>
      </c>
    </row>
    <row r="23" ht="17" customHeight="1">
      <c r="A23" t="n">
        <v>1</v>
      </c>
      <c r="B23" s="29">
        <f>IF(Setup!$K$21="","",Setup!$K$21)</f>
        <v/>
      </c>
      <c r="C23" s="88" t="n"/>
      <c r="D23" s="88" t="n"/>
      <c r="E23" s="88" t="n"/>
      <c r="F23" s="89" t="n"/>
      <c r="G23" s="88" t="n"/>
      <c r="H23" s="88" t="n"/>
      <c r="I23" s="88" t="n"/>
      <c r="J23" s="89" t="n"/>
      <c r="K23" s="88" t="n"/>
      <c r="L23" s="88" t="n"/>
      <c r="M23" s="88" t="n"/>
      <c r="N23" s="89" t="n"/>
      <c r="O23" s="88" t="n"/>
      <c r="P23" s="88" t="n"/>
      <c r="Q23" s="88" t="n"/>
      <c r="R23" s="89" t="n"/>
      <c r="S23" s="88" t="n"/>
      <c r="T23" s="88" t="n"/>
      <c r="U23" s="88" t="n"/>
      <c r="V23" s="89" t="n"/>
      <c r="W23" s="88" t="n"/>
      <c r="X23" s="89" t="n"/>
      <c r="Y23" s="88" t="n"/>
      <c r="Z23" s="89" t="n"/>
      <c r="AB23" s="30">
        <f>IF($B23="","",(COUNTIF(C23:E23,"?*")&lt;N(INDEX(Setup!$L$6:$L$23,16)))+(COUNTIF(G23:I23,"?*")&lt;N(INDEX(Setup!$L$6:$L$23,16)))+(COUNTIF(K23:M23,"?*")&lt;N(INDEX(Setup!$L$6:$L$23,16)))+(COUNTIF(O23:Q23,"?*")&lt;N(INDEX(Setup!$L$6:$L$23,16)))+(COUNTIF(S23:U23,"?*")&lt;N(INDEX(Setup!$L$6:$L$23,16)))+((W23="")*(INDEX(Setup!$M$6:$M$23,16)="Y"))+((Y23="")*(INDEX(Setup!$M$6:$M$23,16)="Y")))</f>
        <v/>
      </c>
      <c r="AC23" s="91">
        <f>IF($B23="","",IF(AB23=0,"✓ covered","⚠ "&amp;AB23&amp;IF(AB23=1," gap"," gaps")))</f>
        <v/>
      </c>
    </row>
    <row r="24" ht="17" customHeight="1">
      <c r="A24" t="n">
        <v>1</v>
      </c>
      <c r="B24" s="24">
        <f>IF(Setup!$K$22="","",Setup!$K$22)</f>
        <v/>
      </c>
      <c r="C24" s="88" t="n"/>
      <c r="D24" s="88" t="n"/>
      <c r="E24" s="88" t="n"/>
      <c r="F24" s="89" t="n"/>
      <c r="G24" s="88" t="n"/>
      <c r="H24" s="88" t="n"/>
      <c r="I24" s="88" t="n"/>
      <c r="J24" s="89" t="n"/>
      <c r="K24" s="88" t="n"/>
      <c r="L24" s="88" t="n"/>
      <c r="M24" s="88" t="n"/>
      <c r="N24" s="89" t="n"/>
      <c r="O24" s="88" t="n"/>
      <c r="P24" s="88" t="n"/>
      <c r="Q24" s="88" t="n"/>
      <c r="R24" s="89" t="n"/>
      <c r="S24" s="88" t="n"/>
      <c r="T24" s="88" t="n"/>
      <c r="U24" s="88" t="n"/>
      <c r="V24" s="89" t="n"/>
      <c r="W24" s="88" t="n"/>
      <c r="X24" s="89" t="n"/>
      <c r="Y24" s="88" t="n"/>
      <c r="Z24" s="89" t="n"/>
      <c r="AB24" s="25">
        <f>IF($B24="","",(COUNTIF(C24:E24,"?*")&lt;N(INDEX(Setup!$L$6:$L$23,17)))+(COUNTIF(G24:I24,"?*")&lt;N(INDEX(Setup!$L$6:$L$23,17)))+(COUNTIF(K24:M24,"?*")&lt;N(INDEX(Setup!$L$6:$L$23,17)))+(COUNTIF(O24:Q24,"?*")&lt;N(INDEX(Setup!$L$6:$L$23,17)))+(COUNTIF(S24:U24,"?*")&lt;N(INDEX(Setup!$L$6:$L$23,17)))+((W24="")*(INDEX(Setup!$M$6:$M$23,17)="Y"))+((Y24="")*(INDEX(Setup!$M$6:$M$23,17)="Y")))</f>
        <v/>
      </c>
      <c r="AC24" s="90">
        <f>IF($B24="","",IF(AB24=0,"✓ covered","⚠ "&amp;AB24&amp;IF(AB24=1," gap"," gaps")))</f>
        <v/>
      </c>
    </row>
    <row r="25" ht="17" customHeight="1">
      <c r="A25" t="n">
        <v>1</v>
      </c>
      <c r="B25" s="29">
        <f>IF(Setup!$K$23="","",Setup!$K$23)</f>
        <v/>
      </c>
      <c r="C25" s="88" t="n"/>
      <c r="D25" s="88" t="n"/>
      <c r="E25" s="88" t="n"/>
      <c r="F25" s="89" t="n"/>
      <c r="G25" s="88" t="n"/>
      <c r="H25" s="88" t="n"/>
      <c r="I25" s="88" t="n"/>
      <c r="J25" s="89" t="n"/>
      <c r="K25" s="88" t="n"/>
      <c r="L25" s="88" t="n"/>
      <c r="M25" s="88" t="n"/>
      <c r="N25" s="89" t="n"/>
      <c r="O25" s="88" t="n"/>
      <c r="P25" s="88" t="n"/>
      <c r="Q25" s="88" t="n"/>
      <c r="R25" s="89" t="n"/>
      <c r="S25" s="88" t="n"/>
      <c r="T25" s="88" t="n"/>
      <c r="U25" s="88" t="n"/>
      <c r="V25" s="89" t="n"/>
      <c r="W25" s="88" t="n"/>
      <c r="X25" s="89" t="n"/>
      <c r="Y25" s="88" t="n"/>
      <c r="Z25" s="89" t="n"/>
      <c r="AB25" s="30">
        <f>IF($B25="","",(COUNTIF(C25:E25,"?*")&lt;N(INDEX(Setup!$L$6:$L$23,18)))+(COUNTIF(G25:I25,"?*")&lt;N(INDEX(Setup!$L$6:$L$23,18)))+(COUNTIF(K25:M25,"?*")&lt;N(INDEX(Setup!$L$6:$L$23,18)))+(COUNTIF(O25:Q25,"?*")&lt;N(INDEX(Setup!$L$6:$L$23,18)))+(COUNTIF(S25:U25,"?*")&lt;N(INDEX(Setup!$L$6:$L$23,18)))+((W25="")*(INDEX(Setup!$M$6:$M$23,18)="Y"))+((Y25="")*(INDEX(Setup!$M$6:$M$23,18)="Y")))</f>
        <v/>
      </c>
      <c r="AC25" s="91">
        <f>IF($B25="","",IF(AB25=0,"✓ covered","⚠ "&amp;AB25&amp;IF(AB25=1," gap"," gaps")))</f>
        <v/>
      </c>
    </row>
    <row r="26" ht="18" customHeight="1">
      <c r="A26" t="n">
        <v>1</v>
      </c>
      <c r="B26" s="78" t="inlineStr">
        <is>
          <t>TEAM AVAILABILITY</t>
        </is>
      </c>
      <c r="C26" s="92" t="inlineStr">
        <is>
          <t>Mon</t>
        </is>
      </c>
      <c r="D26" s="93" t="n"/>
      <c r="E26" s="93" t="n"/>
      <c r="F26" s="94" t="n"/>
      <c r="G26" s="92" t="inlineStr">
        <is>
          <t>Tue</t>
        </is>
      </c>
      <c r="H26" s="93" t="n"/>
      <c r="I26" s="93" t="n"/>
      <c r="J26" s="94" t="n"/>
      <c r="K26" s="92" t="inlineStr">
        <is>
          <t>Wed</t>
        </is>
      </c>
      <c r="L26" s="93" t="n"/>
      <c r="M26" s="93" t="n"/>
      <c r="N26" s="94" t="n"/>
      <c r="O26" s="92" t="inlineStr">
        <is>
          <t>Thu</t>
        </is>
      </c>
      <c r="P26" s="93" t="n"/>
      <c r="Q26" s="93" t="n"/>
      <c r="R26" s="94" t="n"/>
      <c r="S26" s="92" t="inlineStr">
        <is>
          <t>Fri</t>
        </is>
      </c>
      <c r="T26" s="93" t="n"/>
      <c r="U26" s="93" t="n"/>
      <c r="V26" s="94" t="n"/>
      <c r="W26" s="95" t="inlineStr">
        <is>
          <t>Sat</t>
        </is>
      </c>
      <c r="X26" s="96" t="n"/>
      <c r="Y26" s="95" t="inlineStr">
        <is>
          <t>Sun</t>
        </is>
      </c>
      <c r="Z26" s="96" t="n"/>
      <c r="AB26" s="97" t="inlineStr">
        <is>
          <t>Days rostered</t>
        </is>
      </c>
      <c r="AC26" s="97" t="inlineStr">
        <is>
          <t>Conflicts</t>
        </is>
      </c>
    </row>
    <row r="27" ht="15" customHeight="1">
      <c r="A27" t="n">
        <v>1</v>
      </c>
      <c r="B27" s="35">
        <f>IF(Setup!$B$6="","",Setup!$B$6)</f>
        <v/>
      </c>
      <c r="C27" s="98" t="n"/>
      <c r="D27" s="99" t="n"/>
      <c r="E27" s="99" t="n"/>
      <c r="F27" s="100" t="n"/>
      <c r="G27" s="98" t="n"/>
      <c r="H27" s="99" t="n"/>
      <c r="I27" s="99" t="n"/>
      <c r="J27" s="100" t="n"/>
      <c r="K27" s="98" t="n"/>
      <c r="L27" s="99" t="n"/>
      <c r="M27" s="99" t="n"/>
      <c r="N27" s="100" t="n"/>
      <c r="O27" s="98" t="n"/>
      <c r="P27" s="99" t="n"/>
      <c r="Q27" s="99" t="n"/>
      <c r="R27" s="100" t="n"/>
      <c r="S27" s="98" t="n"/>
      <c r="T27" s="99" t="n"/>
      <c r="U27" s="99" t="n"/>
      <c r="V27" s="100" t="n"/>
      <c r="W27" s="98" t="n"/>
      <c r="X27" s="100" t="n"/>
      <c r="Y27" s="98" t="n"/>
      <c r="Z27" s="100" t="n"/>
      <c r="AB27" s="101">
        <f>IF($B27="","",(COUNTIF(C8:E25,$B27)+COUNTIF(C8:E25,$B27&amp;" ~*")&gt;0)+(COUNTIF(G8:I25,$B27)+COUNTIF(G8:I25,$B27&amp;" ~*")&gt;0)+(COUNTIF(K8:M25,$B27)+COUNTIF(K8:M25,$B27&amp;" ~*")&gt;0)+(COUNTIF(O8:Q25,$B27)+COUNTIF(O8:Q25,$B27&amp;" ~*")&gt;0)+(COUNTIF(S8:U25,$B27)+COUNTIF(S8:U25,$B27&amp;" ~*")&gt;0)+(COUNTIF(W8:W25,$B27)+COUNTIF(W8:W25,$B27&amp;" ~*")&gt;0)+(COUNTIF(Y8:Y25,$B27)+COUNTIF(Y8:Y25,$B27&amp;" ~*")&gt;0))</f>
        <v/>
      </c>
      <c r="AC27" s="36">
        <f>IF($B27="","",(IFERROR(INDEX(Setup!$G$33:$G$40,MATCH(C27,Setup!$B$33:$B$40,0)),0)=1)*(COUNTIF(C8:E25,$B27)+COUNTIF(C8:E25,$B27&amp;" ~*")&gt;0)+(IFERROR(INDEX(Setup!$G$33:$G$40,MATCH(G27,Setup!$B$33:$B$40,0)),0)=1)*(COUNTIF(G8:I25,$B27)+COUNTIF(G8:I25,$B27&amp;" ~*")&gt;0)+(IFERROR(INDEX(Setup!$G$33:$G$40,MATCH(K27,Setup!$B$33:$B$40,0)),0)=1)*(COUNTIF(K8:M25,$B27)+COUNTIF(K8:M25,$B27&amp;" ~*")&gt;0)+(IFERROR(INDEX(Setup!$G$33:$G$40,MATCH(O27,Setup!$B$33:$B$40,0)),0)=1)*(COUNTIF(O8:Q25,$B27)+COUNTIF(O8:Q25,$B27&amp;" ~*")&gt;0)+(IFERROR(INDEX(Setup!$G$33:$G$40,MATCH(S27,Setup!$B$33:$B$40,0)),0)=1)*(COUNTIF(S8:U25,$B27)+COUNTIF(S8:U25,$B27&amp;" ~*")&gt;0)+(IFERROR(INDEX(Setup!$G$33:$G$40,MATCH(W27,Setup!$B$33:$B$40,0)),0)=1)*(COUNTIF(W8:W25,$B27)+COUNTIF(W8:W25,$B27&amp;" ~*")&gt;0)+(IFERROR(INDEX(Setup!$G$33:$G$40,MATCH(Y27,Setup!$B$33:$B$40,0)),0)=1)*(COUNTIF(Y8:Y25,$B27)+COUNTIF(Y8:Y25,$B27&amp;" ~*")&gt;0))</f>
        <v/>
      </c>
    </row>
    <row r="28" ht="15" customHeight="1">
      <c r="A28" t="n">
        <v>1</v>
      </c>
      <c r="B28" s="37">
        <f>IF(Setup!$B$7="","",Setup!$B$7)</f>
        <v/>
      </c>
      <c r="C28" s="102" t="n"/>
      <c r="D28" s="103" t="n"/>
      <c r="E28" s="103" t="n"/>
      <c r="F28" s="104" t="n"/>
      <c r="G28" s="102" t="n"/>
      <c r="H28" s="103" t="n"/>
      <c r="I28" s="103" t="n"/>
      <c r="J28" s="104" t="n"/>
      <c r="K28" s="102" t="n"/>
      <c r="L28" s="103" t="n"/>
      <c r="M28" s="103" t="n"/>
      <c r="N28" s="104" t="n"/>
      <c r="O28" s="102" t="n"/>
      <c r="P28" s="103" t="n"/>
      <c r="Q28" s="103" t="n"/>
      <c r="R28" s="104" t="n"/>
      <c r="S28" s="102" t="n"/>
      <c r="T28" s="103" t="n"/>
      <c r="U28" s="103" t="n"/>
      <c r="V28" s="104" t="n"/>
      <c r="W28" s="102" t="n"/>
      <c r="X28" s="104" t="n"/>
      <c r="Y28" s="102" t="n"/>
      <c r="Z28" s="104" t="n"/>
      <c r="AB28" s="105">
        <f>IF($B28="","",(COUNTIF(C8:E25,$B28)+COUNTIF(C8:E25,$B28&amp;" ~*")&gt;0)+(COUNTIF(G8:I25,$B28)+COUNTIF(G8:I25,$B28&amp;" ~*")&gt;0)+(COUNTIF(K8:M25,$B28)+COUNTIF(K8:M25,$B28&amp;" ~*")&gt;0)+(COUNTIF(O8:Q25,$B28)+COUNTIF(O8:Q25,$B28&amp;" ~*")&gt;0)+(COUNTIF(S8:U25,$B28)+COUNTIF(S8:U25,$B28&amp;" ~*")&gt;0)+(COUNTIF(W8:W25,$B28)+COUNTIF(W8:W25,$B28&amp;" ~*")&gt;0)+(COUNTIF(Y8:Y25,$B28)+COUNTIF(Y8:Y25,$B28&amp;" ~*")&gt;0))</f>
        <v/>
      </c>
      <c r="AC28" s="38">
        <f>IF($B28="","",(IFERROR(INDEX(Setup!$G$33:$G$40,MATCH(C28,Setup!$B$33:$B$40,0)),0)=1)*(COUNTIF(C8:E25,$B28)+COUNTIF(C8:E25,$B28&amp;" ~*")&gt;0)+(IFERROR(INDEX(Setup!$G$33:$G$40,MATCH(G28,Setup!$B$33:$B$40,0)),0)=1)*(COUNTIF(G8:I25,$B28)+COUNTIF(G8:I25,$B28&amp;" ~*")&gt;0)+(IFERROR(INDEX(Setup!$G$33:$G$40,MATCH(K28,Setup!$B$33:$B$40,0)),0)=1)*(COUNTIF(K8:M25,$B28)+COUNTIF(K8:M25,$B28&amp;" ~*")&gt;0)+(IFERROR(INDEX(Setup!$G$33:$G$40,MATCH(O28,Setup!$B$33:$B$40,0)),0)=1)*(COUNTIF(O8:Q25,$B28)+COUNTIF(O8:Q25,$B28&amp;" ~*")&gt;0)+(IFERROR(INDEX(Setup!$G$33:$G$40,MATCH(S28,Setup!$B$33:$B$40,0)),0)=1)*(COUNTIF(S8:U25,$B28)+COUNTIF(S8:U25,$B28&amp;" ~*")&gt;0)+(IFERROR(INDEX(Setup!$G$33:$G$40,MATCH(W28,Setup!$B$33:$B$40,0)),0)=1)*(COUNTIF(W8:W25,$B28)+COUNTIF(W8:W25,$B28&amp;" ~*")&gt;0)+(IFERROR(INDEX(Setup!$G$33:$G$40,MATCH(Y28,Setup!$B$33:$B$40,0)),0)=1)*(COUNTIF(Y8:Y25,$B28)+COUNTIF(Y8:Y25,$B28&amp;" ~*")&gt;0))</f>
        <v/>
      </c>
    </row>
    <row r="29" ht="15" customHeight="1">
      <c r="A29" t="n">
        <v>1</v>
      </c>
      <c r="B29" s="35">
        <f>IF(Setup!$B$8="","",Setup!$B$8)</f>
        <v/>
      </c>
      <c r="C29" s="98" t="n"/>
      <c r="D29" s="99" t="n"/>
      <c r="E29" s="99" t="n"/>
      <c r="F29" s="100" t="n"/>
      <c r="G29" s="98" t="n"/>
      <c r="H29" s="99" t="n"/>
      <c r="I29" s="99" t="n"/>
      <c r="J29" s="100" t="n"/>
      <c r="K29" s="98" t="n"/>
      <c r="L29" s="99" t="n"/>
      <c r="M29" s="99" t="n"/>
      <c r="N29" s="100" t="n"/>
      <c r="O29" s="98" t="n"/>
      <c r="P29" s="99" t="n"/>
      <c r="Q29" s="99" t="n"/>
      <c r="R29" s="100" t="n"/>
      <c r="S29" s="98" t="n"/>
      <c r="T29" s="99" t="n"/>
      <c r="U29" s="99" t="n"/>
      <c r="V29" s="100" t="n"/>
      <c r="W29" s="98" t="n"/>
      <c r="X29" s="100" t="n"/>
      <c r="Y29" s="98" t="n"/>
      <c r="Z29" s="100" t="n"/>
      <c r="AB29" s="101">
        <f>IF($B29="","",(COUNTIF(C8:E25,$B29)+COUNTIF(C8:E25,$B29&amp;" ~*")&gt;0)+(COUNTIF(G8:I25,$B29)+COUNTIF(G8:I25,$B29&amp;" ~*")&gt;0)+(COUNTIF(K8:M25,$B29)+COUNTIF(K8:M25,$B29&amp;" ~*")&gt;0)+(COUNTIF(O8:Q25,$B29)+COUNTIF(O8:Q25,$B29&amp;" ~*")&gt;0)+(COUNTIF(S8:U25,$B29)+COUNTIF(S8:U25,$B29&amp;" ~*")&gt;0)+(COUNTIF(W8:W25,$B29)+COUNTIF(W8:W25,$B29&amp;" ~*")&gt;0)+(COUNTIF(Y8:Y25,$B29)+COUNTIF(Y8:Y25,$B29&amp;" ~*")&gt;0))</f>
        <v/>
      </c>
      <c r="AC29" s="36">
        <f>IF($B29="","",(IFERROR(INDEX(Setup!$G$33:$G$40,MATCH(C29,Setup!$B$33:$B$40,0)),0)=1)*(COUNTIF(C8:E25,$B29)+COUNTIF(C8:E25,$B29&amp;" ~*")&gt;0)+(IFERROR(INDEX(Setup!$G$33:$G$40,MATCH(G29,Setup!$B$33:$B$40,0)),0)=1)*(COUNTIF(G8:I25,$B29)+COUNTIF(G8:I25,$B29&amp;" ~*")&gt;0)+(IFERROR(INDEX(Setup!$G$33:$G$40,MATCH(K29,Setup!$B$33:$B$40,0)),0)=1)*(COUNTIF(K8:M25,$B29)+COUNTIF(K8:M25,$B29&amp;" ~*")&gt;0)+(IFERROR(INDEX(Setup!$G$33:$G$40,MATCH(O29,Setup!$B$33:$B$40,0)),0)=1)*(COUNTIF(O8:Q25,$B29)+COUNTIF(O8:Q25,$B29&amp;" ~*")&gt;0)+(IFERROR(INDEX(Setup!$G$33:$G$40,MATCH(S29,Setup!$B$33:$B$40,0)),0)=1)*(COUNTIF(S8:U25,$B29)+COUNTIF(S8:U25,$B29&amp;" ~*")&gt;0)+(IFERROR(INDEX(Setup!$G$33:$G$40,MATCH(W29,Setup!$B$33:$B$40,0)),0)=1)*(COUNTIF(W8:W25,$B29)+COUNTIF(W8:W25,$B29&amp;" ~*")&gt;0)+(IFERROR(INDEX(Setup!$G$33:$G$40,MATCH(Y29,Setup!$B$33:$B$40,0)),0)=1)*(COUNTIF(Y8:Y25,$B29)+COUNTIF(Y8:Y25,$B29&amp;" ~*")&gt;0))</f>
        <v/>
      </c>
    </row>
    <row r="30" ht="15" customHeight="1">
      <c r="A30" t="n">
        <v>1</v>
      </c>
      <c r="B30" s="37">
        <f>IF(Setup!$B$9="","",Setup!$B$9)</f>
        <v/>
      </c>
      <c r="C30" s="102" t="n"/>
      <c r="D30" s="103" t="n"/>
      <c r="E30" s="103" t="n"/>
      <c r="F30" s="104" t="n"/>
      <c r="G30" s="102" t="n"/>
      <c r="H30" s="103" t="n"/>
      <c r="I30" s="103" t="n"/>
      <c r="J30" s="104" t="n"/>
      <c r="K30" s="102" t="n"/>
      <c r="L30" s="103" t="n"/>
      <c r="M30" s="103" t="n"/>
      <c r="N30" s="104" t="n"/>
      <c r="O30" s="102" t="n"/>
      <c r="P30" s="103" t="n"/>
      <c r="Q30" s="103" t="n"/>
      <c r="R30" s="104" t="n"/>
      <c r="S30" s="102" t="n"/>
      <c r="T30" s="103" t="n"/>
      <c r="U30" s="103" t="n"/>
      <c r="V30" s="104" t="n"/>
      <c r="W30" s="102" t="n"/>
      <c r="X30" s="104" t="n"/>
      <c r="Y30" s="102" t="n"/>
      <c r="Z30" s="104" t="n"/>
      <c r="AB30" s="105">
        <f>IF($B30="","",(COUNTIF(C8:E25,$B30)+COUNTIF(C8:E25,$B30&amp;" ~*")&gt;0)+(COUNTIF(G8:I25,$B30)+COUNTIF(G8:I25,$B30&amp;" ~*")&gt;0)+(COUNTIF(K8:M25,$B30)+COUNTIF(K8:M25,$B30&amp;" ~*")&gt;0)+(COUNTIF(O8:Q25,$B30)+COUNTIF(O8:Q25,$B30&amp;" ~*")&gt;0)+(COUNTIF(S8:U25,$B30)+COUNTIF(S8:U25,$B30&amp;" ~*")&gt;0)+(COUNTIF(W8:W25,$B30)+COUNTIF(W8:W25,$B30&amp;" ~*")&gt;0)+(COUNTIF(Y8:Y25,$B30)+COUNTIF(Y8:Y25,$B30&amp;" ~*")&gt;0))</f>
        <v/>
      </c>
      <c r="AC30" s="38">
        <f>IF($B30="","",(IFERROR(INDEX(Setup!$G$33:$G$40,MATCH(C30,Setup!$B$33:$B$40,0)),0)=1)*(COUNTIF(C8:E25,$B30)+COUNTIF(C8:E25,$B30&amp;" ~*")&gt;0)+(IFERROR(INDEX(Setup!$G$33:$G$40,MATCH(G30,Setup!$B$33:$B$40,0)),0)=1)*(COUNTIF(G8:I25,$B30)+COUNTIF(G8:I25,$B30&amp;" ~*")&gt;0)+(IFERROR(INDEX(Setup!$G$33:$G$40,MATCH(K30,Setup!$B$33:$B$40,0)),0)=1)*(COUNTIF(K8:M25,$B30)+COUNTIF(K8:M25,$B30&amp;" ~*")&gt;0)+(IFERROR(INDEX(Setup!$G$33:$G$40,MATCH(O30,Setup!$B$33:$B$40,0)),0)=1)*(COUNTIF(O8:Q25,$B30)+COUNTIF(O8:Q25,$B30&amp;" ~*")&gt;0)+(IFERROR(INDEX(Setup!$G$33:$G$40,MATCH(S30,Setup!$B$33:$B$40,0)),0)=1)*(COUNTIF(S8:U25,$B30)+COUNTIF(S8:U25,$B30&amp;" ~*")&gt;0)+(IFERROR(INDEX(Setup!$G$33:$G$40,MATCH(W30,Setup!$B$33:$B$40,0)),0)=1)*(COUNTIF(W8:W25,$B30)+COUNTIF(W8:W25,$B30&amp;" ~*")&gt;0)+(IFERROR(INDEX(Setup!$G$33:$G$40,MATCH(Y30,Setup!$B$33:$B$40,0)),0)=1)*(COUNTIF(Y8:Y25,$B30)+COUNTIF(Y8:Y25,$B30&amp;" ~*")&gt;0))</f>
        <v/>
      </c>
    </row>
    <row r="31" ht="15" customHeight="1">
      <c r="A31" t="n">
        <v>1</v>
      </c>
      <c r="B31" s="35">
        <f>IF(Setup!$B$10="","",Setup!$B$10)</f>
        <v/>
      </c>
      <c r="C31" s="98" t="n"/>
      <c r="D31" s="99" t="n"/>
      <c r="E31" s="99" t="n"/>
      <c r="F31" s="100" t="n"/>
      <c r="G31" s="98" t="n"/>
      <c r="H31" s="99" t="n"/>
      <c r="I31" s="99" t="n"/>
      <c r="J31" s="100" t="n"/>
      <c r="K31" s="98" t="n"/>
      <c r="L31" s="99" t="n"/>
      <c r="M31" s="99" t="n"/>
      <c r="N31" s="100" t="n"/>
      <c r="O31" s="98" t="n"/>
      <c r="P31" s="99" t="n"/>
      <c r="Q31" s="99" t="n"/>
      <c r="R31" s="100" t="n"/>
      <c r="S31" s="98" t="n"/>
      <c r="T31" s="99" t="n"/>
      <c r="U31" s="99" t="n"/>
      <c r="V31" s="100" t="n"/>
      <c r="W31" s="98" t="n"/>
      <c r="X31" s="100" t="n"/>
      <c r="Y31" s="98" t="n"/>
      <c r="Z31" s="100" t="n"/>
      <c r="AB31" s="101">
        <f>IF($B31="","",(COUNTIF(C8:E25,$B31)+COUNTIF(C8:E25,$B31&amp;" ~*")&gt;0)+(COUNTIF(G8:I25,$B31)+COUNTIF(G8:I25,$B31&amp;" ~*")&gt;0)+(COUNTIF(K8:M25,$B31)+COUNTIF(K8:M25,$B31&amp;" ~*")&gt;0)+(COUNTIF(O8:Q25,$B31)+COUNTIF(O8:Q25,$B31&amp;" ~*")&gt;0)+(COUNTIF(S8:U25,$B31)+COUNTIF(S8:U25,$B31&amp;" ~*")&gt;0)+(COUNTIF(W8:W25,$B31)+COUNTIF(W8:W25,$B31&amp;" ~*")&gt;0)+(COUNTIF(Y8:Y25,$B31)+COUNTIF(Y8:Y25,$B31&amp;" ~*")&gt;0))</f>
        <v/>
      </c>
      <c r="AC31" s="36">
        <f>IF($B31="","",(IFERROR(INDEX(Setup!$G$33:$G$40,MATCH(C31,Setup!$B$33:$B$40,0)),0)=1)*(COUNTIF(C8:E25,$B31)+COUNTIF(C8:E25,$B31&amp;" ~*")&gt;0)+(IFERROR(INDEX(Setup!$G$33:$G$40,MATCH(G31,Setup!$B$33:$B$40,0)),0)=1)*(COUNTIF(G8:I25,$B31)+COUNTIF(G8:I25,$B31&amp;" ~*")&gt;0)+(IFERROR(INDEX(Setup!$G$33:$G$40,MATCH(K31,Setup!$B$33:$B$40,0)),0)=1)*(COUNTIF(K8:M25,$B31)+COUNTIF(K8:M25,$B31&amp;" ~*")&gt;0)+(IFERROR(INDEX(Setup!$G$33:$G$40,MATCH(O31,Setup!$B$33:$B$40,0)),0)=1)*(COUNTIF(O8:Q25,$B31)+COUNTIF(O8:Q25,$B31&amp;" ~*")&gt;0)+(IFERROR(INDEX(Setup!$G$33:$G$40,MATCH(S31,Setup!$B$33:$B$40,0)),0)=1)*(COUNTIF(S8:U25,$B31)+COUNTIF(S8:U25,$B31&amp;" ~*")&gt;0)+(IFERROR(INDEX(Setup!$G$33:$G$40,MATCH(W31,Setup!$B$33:$B$40,0)),0)=1)*(COUNTIF(W8:W25,$B31)+COUNTIF(W8:W25,$B31&amp;" ~*")&gt;0)+(IFERROR(INDEX(Setup!$G$33:$G$40,MATCH(Y31,Setup!$B$33:$B$40,0)),0)=1)*(COUNTIF(Y8:Y25,$B31)+COUNTIF(Y8:Y25,$B31&amp;" ~*")&gt;0))</f>
        <v/>
      </c>
    </row>
    <row r="32" ht="15" customHeight="1">
      <c r="A32" t="n">
        <v>1</v>
      </c>
      <c r="B32" s="37">
        <f>IF(Setup!$B$11="","",Setup!$B$11)</f>
        <v/>
      </c>
      <c r="C32" s="102" t="n"/>
      <c r="D32" s="103" t="n"/>
      <c r="E32" s="103" t="n"/>
      <c r="F32" s="104" t="n"/>
      <c r="G32" s="102" t="n"/>
      <c r="H32" s="103" t="n"/>
      <c r="I32" s="103" t="n"/>
      <c r="J32" s="104" t="n"/>
      <c r="K32" s="102" t="n"/>
      <c r="L32" s="103" t="n"/>
      <c r="M32" s="103" t="n"/>
      <c r="N32" s="104" t="n"/>
      <c r="O32" s="102" t="n"/>
      <c r="P32" s="103" t="n"/>
      <c r="Q32" s="103" t="n"/>
      <c r="R32" s="104" t="n"/>
      <c r="S32" s="102" t="n"/>
      <c r="T32" s="103" t="n"/>
      <c r="U32" s="103" t="n"/>
      <c r="V32" s="104" t="n"/>
      <c r="W32" s="102" t="n"/>
      <c r="X32" s="104" t="n"/>
      <c r="Y32" s="102" t="n"/>
      <c r="Z32" s="104" t="n"/>
      <c r="AB32" s="105">
        <f>IF($B32="","",(COUNTIF(C8:E25,$B32)+COUNTIF(C8:E25,$B32&amp;" ~*")&gt;0)+(COUNTIF(G8:I25,$B32)+COUNTIF(G8:I25,$B32&amp;" ~*")&gt;0)+(COUNTIF(K8:M25,$B32)+COUNTIF(K8:M25,$B32&amp;" ~*")&gt;0)+(COUNTIF(O8:Q25,$B32)+COUNTIF(O8:Q25,$B32&amp;" ~*")&gt;0)+(COUNTIF(S8:U25,$B32)+COUNTIF(S8:U25,$B32&amp;" ~*")&gt;0)+(COUNTIF(W8:W25,$B32)+COUNTIF(W8:W25,$B32&amp;" ~*")&gt;0)+(COUNTIF(Y8:Y25,$B32)+COUNTIF(Y8:Y25,$B32&amp;" ~*")&gt;0))</f>
        <v/>
      </c>
      <c r="AC32" s="38">
        <f>IF($B32="","",(IFERROR(INDEX(Setup!$G$33:$G$40,MATCH(C32,Setup!$B$33:$B$40,0)),0)=1)*(COUNTIF(C8:E25,$B32)+COUNTIF(C8:E25,$B32&amp;" ~*")&gt;0)+(IFERROR(INDEX(Setup!$G$33:$G$40,MATCH(G32,Setup!$B$33:$B$40,0)),0)=1)*(COUNTIF(G8:I25,$B32)+COUNTIF(G8:I25,$B32&amp;" ~*")&gt;0)+(IFERROR(INDEX(Setup!$G$33:$G$40,MATCH(K32,Setup!$B$33:$B$40,0)),0)=1)*(COUNTIF(K8:M25,$B32)+COUNTIF(K8:M25,$B32&amp;" ~*")&gt;0)+(IFERROR(INDEX(Setup!$G$33:$G$40,MATCH(O32,Setup!$B$33:$B$40,0)),0)=1)*(COUNTIF(O8:Q25,$B32)+COUNTIF(O8:Q25,$B32&amp;" ~*")&gt;0)+(IFERROR(INDEX(Setup!$G$33:$G$40,MATCH(S32,Setup!$B$33:$B$40,0)),0)=1)*(COUNTIF(S8:U25,$B32)+COUNTIF(S8:U25,$B32&amp;" ~*")&gt;0)+(IFERROR(INDEX(Setup!$G$33:$G$40,MATCH(W32,Setup!$B$33:$B$40,0)),0)=1)*(COUNTIF(W8:W25,$B32)+COUNTIF(W8:W25,$B32&amp;" ~*")&gt;0)+(IFERROR(INDEX(Setup!$G$33:$G$40,MATCH(Y32,Setup!$B$33:$B$40,0)),0)=1)*(COUNTIF(Y8:Y25,$B32)+COUNTIF(Y8:Y25,$B32&amp;" ~*")&gt;0))</f>
        <v/>
      </c>
    </row>
    <row r="33" ht="15" customHeight="1">
      <c r="A33" t="n">
        <v>1</v>
      </c>
      <c r="B33" s="35">
        <f>IF(Setup!$B$12="","",Setup!$B$12)</f>
        <v/>
      </c>
      <c r="C33" s="98" t="n"/>
      <c r="D33" s="99" t="n"/>
      <c r="E33" s="99" t="n"/>
      <c r="F33" s="100" t="n"/>
      <c r="G33" s="98" t="n"/>
      <c r="H33" s="99" t="n"/>
      <c r="I33" s="99" t="n"/>
      <c r="J33" s="100" t="n"/>
      <c r="K33" s="98" t="n"/>
      <c r="L33" s="99" t="n"/>
      <c r="M33" s="99" t="n"/>
      <c r="N33" s="100" t="n"/>
      <c r="O33" s="98" t="n"/>
      <c r="P33" s="99" t="n"/>
      <c r="Q33" s="99" t="n"/>
      <c r="R33" s="100" t="n"/>
      <c r="S33" s="98" t="n"/>
      <c r="T33" s="99" t="n"/>
      <c r="U33" s="99" t="n"/>
      <c r="V33" s="100" t="n"/>
      <c r="W33" s="98" t="n"/>
      <c r="X33" s="100" t="n"/>
      <c r="Y33" s="98" t="n"/>
      <c r="Z33" s="100" t="n"/>
      <c r="AB33" s="101">
        <f>IF($B33="","",(COUNTIF(C8:E25,$B33)+COUNTIF(C8:E25,$B33&amp;" ~*")&gt;0)+(COUNTIF(G8:I25,$B33)+COUNTIF(G8:I25,$B33&amp;" ~*")&gt;0)+(COUNTIF(K8:M25,$B33)+COUNTIF(K8:M25,$B33&amp;" ~*")&gt;0)+(COUNTIF(O8:Q25,$B33)+COUNTIF(O8:Q25,$B33&amp;" ~*")&gt;0)+(COUNTIF(S8:U25,$B33)+COUNTIF(S8:U25,$B33&amp;" ~*")&gt;0)+(COUNTIF(W8:W25,$B33)+COUNTIF(W8:W25,$B33&amp;" ~*")&gt;0)+(COUNTIF(Y8:Y25,$B33)+COUNTIF(Y8:Y25,$B33&amp;" ~*")&gt;0))</f>
        <v/>
      </c>
      <c r="AC33" s="36">
        <f>IF($B33="","",(IFERROR(INDEX(Setup!$G$33:$G$40,MATCH(C33,Setup!$B$33:$B$40,0)),0)=1)*(COUNTIF(C8:E25,$B33)+COUNTIF(C8:E25,$B33&amp;" ~*")&gt;0)+(IFERROR(INDEX(Setup!$G$33:$G$40,MATCH(G33,Setup!$B$33:$B$40,0)),0)=1)*(COUNTIF(G8:I25,$B33)+COUNTIF(G8:I25,$B33&amp;" ~*")&gt;0)+(IFERROR(INDEX(Setup!$G$33:$G$40,MATCH(K33,Setup!$B$33:$B$40,0)),0)=1)*(COUNTIF(K8:M25,$B33)+COUNTIF(K8:M25,$B33&amp;" ~*")&gt;0)+(IFERROR(INDEX(Setup!$G$33:$G$40,MATCH(O33,Setup!$B$33:$B$40,0)),0)=1)*(COUNTIF(O8:Q25,$B33)+COUNTIF(O8:Q25,$B33&amp;" ~*")&gt;0)+(IFERROR(INDEX(Setup!$G$33:$G$40,MATCH(S33,Setup!$B$33:$B$40,0)),0)=1)*(COUNTIF(S8:U25,$B33)+COUNTIF(S8:U25,$B33&amp;" ~*")&gt;0)+(IFERROR(INDEX(Setup!$G$33:$G$40,MATCH(W33,Setup!$B$33:$B$40,0)),0)=1)*(COUNTIF(W8:W25,$B33)+COUNTIF(W8:W25,$B33&amp;" ~*")&gt;0)+(IFERROR(INDEX(Setup!$G$33:$G$40,MATCH(Y33,Setup!$B$33:$B$40,0)),0)=1)*(COUNTIF(Y8:Y25,$B33)+COUNTIF(Y8:Y25,$B33&amp;" ~*")&gt;0))</f>
        <v/>
      </c>
    </row>
    <row r="34" ht="15" customHeight="1">
      <c r="A34" t="n">
        <v>1</v>
      </c>
      <c r="B34" s="37">
        <f>IF(Setup!$B$13="","",Setup!$B$13)</f>
        <v/>
      </c>
      <c r="C34" s="102" t="inlineStr">
        <is>
          <t>AL</t>
        </is>
      </c>
      <c r="D34" s="103" t="n"/>
      <c r="E34" s="103" t="n"/>
      <c r="F34" s="104" t="n"/>
      <c r="G34" s="102" t="inlineStr">
        <is>
          <t>AL</t>
        </is>
      </c>
      <c r="H34" s="103" t="n"/>
      <c r="I34" s="103" t="n"/>
      <c r="J34" s="104" t="n"/>
      <c r="K34" s="102" t="inlineStr">
        <is>
          <t>AL</t>
        </is>
      </c>
      <c r="L34" s="103" t="n"/>
      <c r="M34" s="103" t="n"/>
      <c r="N34" s="104" t="n"/>
      <c r="O34" s="102" t="inlineStr">
        <is>
          <t>AL</t>
        </is>
      </c>
      <c r="P34" s="103" t="n"/>
      <c r="Q34" s="103" t="n"/>
      <c r="R34" s="104" t="n"/>
      <c r="S34" s="102" t="inlineStr">
        <is>
          <t>AL</t>
        </is>
      </c>
      <c r="T34" s="103" t="n"/>
      <c r="U34" s="103" t="n"/>
      <c r="V34" s="104" t="n"/>
      <c r="W34" s="102" t="n"/>
      <c r="X34" s="104" t="n"/>
      <c r="Y34" s="102" t="n"/>
      <c r="Z34" s="104" t="n"/>
      <c r="AB34" s="105">
        <f>IF($B34="","",(COUNTIF(C8:E25,$B34)+COUNTIF(C8:E25,$B34&amp;" ~*")&gt;0)+(COUNTIF(G8:I25,$B34)+COUNTIF(G8:I25,$B34&amp;" ~*")&gt;0)+(COUNTIF(K8:M25,$B34)+COUNTIF(K8:M25,$B34&amp;" ~*")&gt;0)+(COUNTIF(O8:Q25,$B34)+COUNTIF(O8:Q25,$B34&amp;" ~*")&gt;0)+(COUNTIF(S8:U25,$B34)+COUNTIF(S8:U25,$B34&amp;" ~*")&gt;0)+(COUNTIF(W8:W25,$B34)+COUNTIF(W8:W25,$B34&amp;" ~*")&gt;0)+(COUNTIF(Y8:Y25,$B34)+COUNTIF(Y8:Y25,$B34&amp;" ~*")&gt;0))</f>
        <v/>
      </c>
      <c r="AC34" s="38">
        <f>IF($B34="","",(IFERROR(INDEX(Setup!$G$33:$G$40,MATCH(C34,Setup!$B$33:$B$40,0)),0)=1)*(COUNTIF(C8:E25,$B34)+COUNTIF(C8:E25,$B34&amp;" ~*")&gt;0)+(IFERROR(INDEX(Setup!$G$33:$G$40,MATCH(G34,Setup!$B$33:$B$40,0)),0)=1)*(COUNTIF(G8:I25,$B34)+COUNTIF(G8:I25,$B34&amp;" ~*")&gt;0)+(IFERROR(INDEX(Setup!$G$33:$G$40,MATCH(K34,Setup!$B$33:$B$40,0)),0)=1)*(COUNTIF(K8:M25,$B34)+COUNTIF(K8:M25,$B34&amp;" ~*")&gt;0)+(IFERROR(INDEX(Setup!$G$33:$G$40,MATCH(O34,Setup!$B$33:$B$40,0)),0)=1)*(COUNTIF(O8:Q25,$B34)+COUNTIF(O8:Q25,$B34&amp;" ~*")&gt;0)+(IFERROR(INDEX(Setup!$G$33:$G$40,MATCH(S34,Setup!$B$33:$B$40,0)),0)=1)*(COUNTIF(S8:U25,$B34)+COUNTIF(S8:U25,$B34&amp;" ~*")&gt;0)+(IFERROR(INDEX(Setup!$G$33:$G$40,MATCH(W34,Setup!$B$33:$B$40,0)),0)=1)*(COUNTIF(W8:W25,$B34)+COUNTIF(W8:W25,$B34&amp;" ~*")&gt;0)+(IFERROR(INDEX(Setup!$G$33:$G$40,MATCH(Y34,Setup!$B$33:$B$40,0)),0)=1)*(COUNTIF(Y8:Y25,$B34)+COUNTIF(Y8:Y25,$B34&amp;" ~*")&gt;0))</f>
        <v/>
      </c>
    </row>
    <row r="35" ht="15" customHeight="1">
      <c r="A35" t="n">
        <v>1</v>
      </c>
      <c r="B35" s="35">
        <f>IF(Setup!$B$14="","",Setup!$B$14)</f>
        <v/>
      </c>
      <c r="C35" s="98" t="n"/>
      <c r="D35" s="99" t="n"/>
      <c r="E35" s="99" t="n"/>
      <c r="F35" s="100" t="n"/>
      <c r="G35" s="98" t="n"/>
      <c r="H35" s="99" t="n"/>
      <c r="I35" s="99" t="n"/>
      <c r="J35" s="100" t="n"/>
      <c r="K35" s="98" t="n"/>
      <c r="L35" s="99" t="n"/>
      <c r="M35" s="99" t="n"/>
      <c r="N35" s="100" t="n"/>
      <c r="O35" s="98" t="n"/>
      <c r="P35" s="99" t="n"/>
      <c r="Q35" s="99" t="n"/>
      <c r="R35" s="100" t="n"/>
      <c r="S35" s="98" t="n"/>
      <c r="T35" s="99" t="n"/>
      <c r="U35" s="99" t="n"/>
      <c r="V35" s="100" t="n"/>
      <c r="W35" s="98" t="n"/>
      <c r="X35" s="100" t="n"/>
      <c r="Y35" s="98" t="n"/>
      <c r="Z35" s="100" t="n"/>
      <c r="AB35" s="101">
        <f>IF($B35="","",(COUNTIF(C8:E25,$B35)+COUNTIF(C8:E25,$B35&amp;" ~*")&gt;0)+(COUNTIF(G8:I25,$B35)+COUNTIF(G8:I25,$B35&amp;" ~*")&gt;0)+(COUNTIF(K8:M25,$B35)+COUNTIF(K8:M25,$B35&amp;" ~*")&gt;0)+(COUNTIF(O8:Q25,$B35)+COUNTIF(O8:Q25,$B35&amp;" ~*")&gt;0)+(COUNTIF(S8:U25,$B35)+COUNTIF(S8:U25,$B35&amp;" ~*")&gt;0)+(COUNTIF(W8:W25,$B35)+COUNTIF(W8:W25,$B35&amp;" ~*")&gt;0)+(COUNTIF(Y8:Y25,$B35)+COUNTIF(Y8:Y25,$B35&amp;" ~*")&gt;0))</f>
        <v/>
      </c>
      <c r="AC35" s="36">
        <f>IF($B35="","",(IFERROR(INDEX(Setup!$G$33:$G$40,MATCH(C35,Setup!$B$33:$B$40,0)),0)=1)*(COUNTIF(C8:E25,$B35)+COUNTIF(C8:E25,$B35&amp;" ~*")&gt;0)+(IFERROR(INDEX(Setup!$G$33:$G$40,MATCH(G35,Setup!$B$33:$B$40,0)),0)=1)*(COUNTIF(G8:I25,$B35)+COUNTIF(G8:I25,$B35&amp;" ~*")&gt;0)+(IFERROR(INDEX(Setup!$G$33:$G$40,MATCH(K35,Setup!$B$33:$B$40,0)),0)=1)*(COUNTIF(K8:M25,$B35)+COUNTIF(K8:M25,$B35&amp;" ~*")&gt;0)+(IFERROR(INDEX(Setup!$G$33:$G$40,MATCH(O35,Setup!$B$33:$B$40,0)),0)=1)*(COUNTIF(O8:Q25,$B35)+COUNTIF(O8:Q25,$B35&amp;" ~*")&gt;0)+(IFERROR(INDEX(Setup!$G$33:$G$40,MATCH(S35,Setup!$B$33:$B$40,0)),0)=1)*(COUNTIF(S8:U25,$B35)+COUNTIF(S8:U25,$B35&amp;" ~*")&gt;0)+(IFERROR(INDEX(Setup!$G$33:$G$40,MATCH(W35,Setup!$B$33:$B$40,0)),0)=1)*(COUNTIF(W8:W25,$B35)+COUNTIF(W8:W25,$B35&amp;" ~*")&gt;0)+(IFERROR(INDEX(Setup!$G$33:$G$40,MATCH(Y35,Setup!$B$33:$B$40,0)),0)=1)*(COUNTIF(Y8:Y25,$B35)+COUNTIF(Y8:Y25,$B35&amp;" ~*")&gt;0))</f>
        <v/>
      </c>
    </row>
    <row r="36" ht="15" customHeight="1">
      <c r="A36" t="n">
        <v>1</v>
      </c>
      <c r="B36" s="37">
        <f>IF(Setup!$B$15="","",Setup!$B$15)</f>
        <v/>
      </c>
      <c r="C36" s="102" t="n"/>
      <c r="D36" s="103" t="n"/>
      <c r="E36" s="103" t="n"/>
      <c r="F36" s="104" t="n"/>
      <c r="G36" s="102" t="n"/>
      <c r="H36" s="103" t="n"/>
      <c r="I36" s="103" t="n"/>
      <c r="J36" s="104" t="n"/>
      <c r="K36" s="102" t="n"/>
      <c r="L36" s="103" t="n"/>
      <c r="M36" s="103" t="n"/>
      <c r="N36" s="104" t="n"/>
      <c r="O36" s="102" t="n"/>
      <c r="P36" s="103" t="n"/>
      <c r="Q36" s="103" t="n"/>
      <c r="R36" s="104" t="n"/>
      <c r="S36" s="102" t="n"/>
      <c r="T36" s="103" t="n"/>
      <c r="U36" s="103" t="n"/>
      <c r="V36" s="104" t="n"/>
      <c r="W36" s="102" t="n"/>
      <c r="X36" s="104" t="n"/>
      <c r="Y36" s="102" t="n"/>
      <c r="Z36" s="104" t="n"/>
      <c r="AB36" s="105">
        <f>IF($B36="","",(COUNTIF(C8:E25,$B36)+COUNTIF(C8:E25,$B36&amp;" ~*")&gt;0)+(COUNTIF(G8:I25,$B36)+COUNTIF(G8:I25,$B36&amp;" ~*")&gt;0)+(COUNTIF(K8:M25,$B36)+COUNTIF(K8:M25,$B36&amp;" ~*")&gt;0)+(COUNTIF(O8:Q25,$B36)+COUNTIF(O8:Q25,$B36&amp;" ~*")&gt;0)+(COUNTIF(S8:U25,$B36)+COUNTIF(S8:U25,$B36&amp;" ~*")&gt;0)+(COUNTIF(W8:W25,$B36)+COUNTIF(W8:W25,$B36&amp;" ~*")&gt;0)+(COUNTIF(Y8:Y25,$B36)+COUNTIF(Y8:Y25,$B36&amp;" ~*")&gt;0))</f>
        <v/>
      </c>
      <c r="AC36" s="38">
        <f>IF($B36="","",(IFERROR(INDEX(Setup!$G$33:$G$40,MATCH(C36,Setup!$B$33:$B$40,0)),0)=1)*(COUNTIF(C8:E25,$B36)+COUNTIF(C8:E25,$B36&amp;" ~*")&gt;0)+(IFERROR(INDEX(Setup!$G$33:$G$40,MATCH(G36,Setup!$B$33:$B$40,0)),0)=1)*(COUNTIF(G8:I25,$B36)+COUNTIF(G8:I25,$B36&amp;" ~*")&gt;0)+(IFERROR(INDEX(Setup!$G$33:$G$40,MATCH(K36,Setup!$B$33:$B$40,0)),0)=1)*(COUNTIF(K8:M25,$B36)+COUNTIF(K8:M25,$B36&amp;" ~*")&gt;0)+(IFERROR(INDEX(Setup!$G$33:$G$40,MATCH(O36,Setup!$B$33:$B$40,0)),0)=1)*(COUNTIF(O8:Q25,$B36)+COUNTIF(O8:Q25,$B36&amp;" ~*")&gt;0)+(IFERROR(INDEX(Setup!$G$33:$G$40,MATCH(S36,Setup!$B$33:$B$40,0)),0)=1)*(COUNTIF(S8:U25,$B36)+COUNTIF(S8:U25,$B36&amp;" ~*")&gt;0)+(IFERROR(INDEX(Setup!$G$33:$G$40,MATCH(W36,Setup!$B$33:$B$40,0)),0)=1)*(COUNTIF(W8:W25,$B36)+COUNTIF(W8:W25,$B36&amp;" ~*")&gt;0)+(IFERROR(INDEX(Setup!$G$33:$G$40,MATCH(Y36,Setup!$B$33:$B$40,0)),0)=1)*(COUNTIF(Y8:Y25,$B36)+COUNTIF(Y8:Y25,$B36&amp;" ~*")&gt;0))</f>
        <v/>
      </c>
    </row>
    <row r="37" ht="15" customHeight="1">
      <c r="A37" t="n">
        <v>1</v>
      </c>
      <c r="B37" s="35">
        <f>IF(Setup!$B$16="","",Setup!$B$16)</f>
        <v/>
      </c>
      <c r="C37" s="98" t="n"/>
      <c r="D37" s="99" t="n"/>
      <c r="E37" s="99" t="n"/>
      <c r="F37" s="100" t="n"/>
      <c r="G37" s="98" t="n"/>
      <c r="H37" s="99" t="n"/>
      <c r="I37" s="99" t="n"/>
      <c r="J37" s="100" t="n"/>
      <c r="K37" s="98" t="n"/>
      <c r="L37" s="99" t="n"/>
      <c r="M37" s="99" t="n"/>
      <c r="N37" s="100" t="n"/>
      <c r="O37" s="98" t="n"/>
      <c r="P37" s="99" t="n"/>
      <c r="Q37" s="99" t="n"/>
      <c r="R37" s="100" t="n"/>
      <c r="S37" s="98" t="n"/>
      <c r="T37" s="99" t="n"/>
      <c r="U37" s="99" t="n"/>
      <c r="V37" s="100" t="n"/>
      <c r="W37" s="98" t="n"/>
      <c r="X37" s="100" t="n"/>
      <c r="Y37" s="98" t="n"/>
      <c r="Z37" s="100" t="n"/>
      <c r="AB37" s="101">
        <f>IF($B37="","",(COUNTIF(C8:E25,$B37)+COUNTIF(C8:E25,$B37&amp;" ~*")&gt;0)+(COUNTIF(G8:I25,$B37)+COUNTIF(G8:I25,$B37&amp;" ~*")&gt;0)+(COUNTIF(K8:M25,$B37)+COUNTIF(K8:M25,$B37&amp;" ~*")&gt;0)+(COUNTIF(O8:Q25,$B37)+COUNTIF(O8:Q25,$B37&amp;" ~*")&gt;0)+(COUNTIF(S8:U25,$B37)+COUNTIF(S8:U25,$B37&amp;" ~*")&gt;0)+(COUNTIF(W8:W25,$B37)+COUNTIF(W8:W25,$B37&amp;" ~*")&gt;0)+(COUNTIF(Y8:Y25,$B37)+COUNTIF(Y8:Y25,$B37&amp;" ~*")&gt;0))</f>
        <v/>
      </c>
      <c r="AC37" s="36">
        <f>IF($B37="","",(IFERROR(INDEX(Setup!$G$33:$G$40,MATCH(C37,Setup!$B$33:$B$40,0)),0)=1)*(COUNTIF(C8:E25,$B37)+COUNTIF(C8:E25,$B37&amp;" ~*")&gt;0)+(IFERROR(INDEX(Setup!$G$33:$G$40,MATCH(G37,Setup!$B$33:$B$40,0)),0)=1)*(COUNTIF(G8:I25,$B37)+COUNTIF(G8:I25,$B37&amp;" ~*")&gt;0)+(IFERROR(INDEX(Setup!$G$33:$G$40,MATCH(K37,Setup!$B$33:$B$40,0)),0)=1)*(COUNTIF(K8:M25,$B37)+COUNTIF(K8:M25,$B37&amp;" ~*")&gt;0)+(IFERROR(INDEX(Setup!$G$33:$G$40,MATCH(O37,Setup!$B$33:$B$40,0)),0)=1)*(COUNTIF(O8:Q25,$B37)+COUNTIF(O8:Q25,$B37&amp;" ~*")&gt;0)+(IFERROR(INDEX(Setup!$G$33:$G$40,MATCH(S37,Setup!$B$33:$B$40,0)),0)=1)*(COUNTIF(S8:U25,$B37)+COUNTIF(S8:U25,$B37&amp;" ~*")&gt;0)+(IFERROR(INDEX(Setup!$G$33:$G$40,MATCH(W37,Setup!$B$33:$B$40,0)),0)=1)*(COUNTIF(W8:W25,$B37)+COUNTIF(W8:W25,$B37&amp;" ~*")&gt;0)+(IFERROR(INDEX(Setup!$G$33:$G$40,MATCH(Y37,Setup!$B$33:$B$40,0)),0)=1)*(COUNTIF(Y8:Y25,$B37)+COUNTIF(Y8:Y25,$B37&amp;" ~*")&gt;0))</f>
        <v/>
      </c>
    </row>
    <row r="38" ht="15" customHeight="1">
      <c r="A38" t="n">
        <v>1</v>
      </c>
      <c r="B38" s="37">
        <f>IF(Setup!$B$17="","",Setup!$B$17)</f>
        <v/>
      </c>
      <c r="C38" s="102" t="n"/>
      <c r="D38" s="103" t="n"/>
      <c r="E38" s="103" t="n"/>
      <c r="F38" s="104" t="n"/>
      <c r="G38" s="102" t="n"/>
      <c r="H38" s="103" t="n"/>
      <c r="I38" s="103" t="n"/>
      <c r="J38" s="104" t="n"/>
      <c r="K38" s="102" t="n"/>
      <c r="L38" s="103" t="n"/>
      <c r="M38" s="103" t="n"/>
      <c r="N38" s="104" t="n"/>
      <c r="O38" s="102" t="n"/>
      <c r="P38" s="103" t="n"/>
      <c r="Q38" s="103" t="n"/>
      <c r="R38" s="104" t="n"/>
      <c r="S38" s="102" t="n"/>
      <c r="T38" s="103" t="n"/>
      <c r="U38" s="103" t="n"/>
      <c r="V38" s="104" t="n"/>
      <c r="W38" s="102" t="n"/>
      <c r="X38" s="104" t="n"/>
      <c r="Y38" s="102" t="n"/>
      <c r="Z38" s="104" t="n"/>
      <c r="AB38" s="105">
        <f>IF($B38="","",(COUNTIF(C8:E25,$B38)+COUNTIF(C8:E25,$B38&amp;" ~*")&gt;0)+(COUNTIF(G8:I25,$B38)+COUNTIF(G8:I25,$B38&amp;" ~*")&gt;0)+(COUNTIF(K8:M25,$B38)+COUNTIF(K8:M25,$B38&amp;" ~*")&gt;0)+(COUNTIF(O8:Q25,$B38)+COUNTIF(O8:Q25,$B38&amp;" ~*")&gt;0)+(COUNTIF(S8:U25,$B38)+COUNTIF(S8:U25,$B38&amp;" ~*")&gt;0)+(COUNTIF(W8:W25,$B38)+COUNTIF(W8:W25,$B38&amp;" ~*")&gt;0)+(COUNTIF(Y8:Y25,$B38)+COUNTIF(Y8:Y25,$B38&amp;" ~*")&gt;0))</f>
        <v/>
      </c>
      <c r="AC38" s="38">
        <f>IF($B38="","",(IFERROR(INDEX(Setup!$G$33:$G$40,MATCH(C38,Setup!$B$33:$B$40,0)),0)=1)*(COUNTIF(C8:E25,$B38)+COUNTIF(C8:E25,$B38&amp;" ~*")&gt;0)+(IFERROR(INDEX(Setup!$G$33:$G$40,MATCH(G38,Setup!$B$33:$B$40,0)),0)=1)*(COUNTIF(G8:I25,$B38)+COUNTIF(G8:I25,$B38&amp;" ~*")&gt;0)+(IFERROR(INDEX(Setup!$G$33:$G$40,MATCH(K38,Setup!$B$33:$B$40,0)),0)=1)*(COUNTIF(K8:M25,$B38)+COUNTIF(K8:M25,$B38&amp;" ~*")&gt;0)+(IFERROR(INDEX(Setup!$G$33:$G$40,MATCH(O38,Setup!$B$33:$B$40,0)),0)=1)*(COUNTIF(O8:Q25,$B38)+COUNTIF(O8:Q25,$B38&amp;" ~*")&gt;0)+(IFERROR(INDEX(Setup!$G$33:$G$40,MATCH(S38,Setup!$B$33:$B$40,0)),0)=1)*(COUNTIF(S8:U25,$B38)+COUNTIF(S8:U25,$B38&amp;" ~*")&gt;0)+(IFERROR(INDEX(Setup!$G$33:$G$40,MATCH(W38,Setup!$B$33:$B$40,0)),0)=1)*(COUNTIF(W8:W25,$B38)+COUNTIF(W8:W25,$B38&amp;" ~*")&gt;0)+(IFERROR(INDEX(Setup!$G$33:$G$40,MATCH(Y38,Setup!$B$33:$B$40,0)),0)=1)*(COUNTIF(Y8:Y25,$B38)+COUNTIF(Y8:Y25,$B38&amp;" ~*")&gt;0))</f>
        <v/>
      </c>
    </row>
    <row r="39" ht="15" customHeight="1">
      <c r="A39" t="n">
        <v>1</v>
      </c>
      <c r="B39" s="35">
        <f>IF(Setup!$B$18="","",Setup!$B$18)</f>
        <v/>
      </c>
      <c r="C39" s="98" t="n"/>
      <c r="D39" s="99" t="n"/>
      <c r="E39" s="99" t="n"/>
      <c r="F39" s="100" t="n"/>
      <c r="G39" s="98" t="n"/>
      <c r="H39" s="99" t="n"/>
      <c r="I39" s="99" t="n"/>
      <c r="J39" s="100" t="n"/>
      <c r="K39" s="98" t="n"/>
      <c r="L39" s="99" t="n"/>
      <c r="M39" s="99" t="n"/>
      <c r="N39" s="100" t="n"/>
      <c r="O39" s="98" t="n"/>
      <c r="P39" s="99" t="n"/>
      <c r="Q39" s="99" t="n"/>
      <c r="R39" s="100" t="n"/>
      <c r="S39" s="98" t="n"/>
      <c r="T39" s="99" t="n"/>
      <c r="U39" s="99" t="n"/>
      <c r="V39" s="100" t="n"/>
      <c r="W39" s="98" t="n"/>
      <c r="X39" s="100" t="n"/>
      <c r="Y39" s="98" t="n"/>
      <c r="Z39" s="100" t="n"/>
      <c r="AB39" s="101">
        <f>IF($B39="","",(COUNTIF(C8:E25,$B39)+COUNTIF(C8:E25,$B39&amp;" ~*")&gt;0)+(COUNTIF(G8:I25,$B39)+COUNTIF(G8:I25,$B39&amp;" ~*")&gt;0)+(COUNTIF(K8:M25,$B39)+COUNTIF(K8:M25,$B39&amp;" ~*")&gt;0)+(COUNTIF(O8:Q25,$B39)+COUNTIF(O8:Q25,$B39&amp;" ~*")&gt;0)+(COUNTIF(S8:U25,$B39)+COUNTIF(S8:U25,$B39&amp;" ~*")&gt;0)+(COUNTIF(W8:W25,$B39)+COUNTIF(W8:W25,$B39&amp;" ~*")&gt;0)+(COUNTIF(Y8:Y25,$B39)+COUNTIF(Y8:Y25,$B39&amp;" ~*")&gt;0))</f>
        <v/>
      </c>
      <c r="AC39" s="36">
        <f>IF($B39="","",(IFERROR(INDEX(Setup!$G$33:$G$40,MATCH(C39,Setup!$B$33:$B$40,0)),0)=1)*(COUNTIF(C8:E25,$B39)+COUNTIF(C8:E25,$B39&amp;" ~*")&gt;0)+(IFERROR(INDEX(Setup!$G$33:$G$40,MATCH(G39,Setup!$B$33:$B$40,0)),0)=1)*(COUNTIF(G8:I25,$B39)+COUNTIF(G8:I25,$B39&amp;" ~*")&gt;0)+(IFERROR(INDEX(Setup!$G$33:$G$40,MATCH(K39,Setup!$B$33:$B$40,0)),0)=1)*(COUNTIF(K8:M25,$B39)+COUNTIF(K8:M25,$B39&amp;" ~*")&gt;0)+(IFERROR(INDEX(Setup!$G$33:$G$40,MATCH(O39,Setup!$B$33:$B$40,0)),0)=1)*(COUNTIF(O8:Q25,$B39)+COUNTIF(O8:Q25,$B39&amp;" ~*")&gt;0)+(IFERROR(INDEX(Setup!$G$33:$G$40,MATCH(S39,Setup!$B$33:$B$40,0)),0)=1)*(COUNTIF(S8:U25,$B39)+COUNTIF(S8:U25,$B39&amp;" ~*")&gt;0)+(IFERROR(INDEX(Setup!$G$33:$G$40,MATCH(W39,Setup!$B$33:$B$40,0)),0)=1)*(COUNTIF(W8:W25,$B39)+COUNTIF(W8:W25,$B39&amp;" ~*")&gt;0)+(IFERROR(INDEX(Setup!$G$33:$G$40,MATCH(Y39,Setup!$B$33:$B$40,0)),0)=1)*(COUNTIF(Y8:Y25,$B39)+COUNTIF(Y8:Y25,$B39&amp;" ~*")&gt;0))</f>
        <v/>
      </c>
    </row>
    <row r="40" ht="15" customHeight="1">
      <c r="A40" t="n">
        <v>1</v>
      </c>
      <c r="B40" s="37">
        <f>IF(Setup!$B$19="","",Setup!$B$19)</f>
        <v/>
      </c>
      <c r="C40" s="102" t="n"/>
      <c r="D40" s="103" t="n"/>
      <c r="E40" s="103" t="n"/>
      <c r="F40" s="104" t="n"/>
      <c r="G40" s="102" t="n"/>
      <c r="H40" s="103" t="n"/>
      <c r="I40" s="103" t="n"/>
      <c r="J40" s="104" t="n"/>
      <c r="K40" s="102" t="n"/>
      <c r="L40" s="103" t="n"/>
      <c r="M40" s="103" t="n"/>
      <c r="N40" s="104" t="n"/>
      <c r="O40" s="102" t="n"/>
      <c r="P40" s="103" t="n"/>
      <c r="Q40" s="103" t="n"/>
      <c r="R40" s="104" t="n"/>
      <c r="S40" s="102" t="n"/>
      <c r="T40" s="103" t="n"/>
      <c r="U40" s="103" t="n"/>
      <c r="V40" s="104" t="n"/>
      <c r="W40" s="102" t="n"/>
      <c r="X40" s="104" t="n"/>
      <c r="Y40" s="102" t="n"/>
      <c r="Z40" s="104" t="n"/>
      <c r="AB40" s="105">
        <f>IF($B40="","",(COUNTIF(C8:E25,$B40)+COUNTIF(C8:E25,$B40&amp;" ~*")&gt;0)+(COUNTIF(G8:I25,$B40)+COUNTIF(G8:I25,$B40&amp;" ~*")&gt;0)+(COUNTIF(K8:M25,$B40)+COUNTIF(K8:M25,$B40&amp;" ~*")&gt;0)+(COUNTIF(O8:Q25,$B40)+COUNTIF(O8:Q25,$B40&amp;" ~*")&gt;0)+(COUNTIF(S8:U25,$B40)+COUNTIF(S8:U25,$B40&amp;" ~*")&gt;0)+(COUNTIF(W8:W25,$B40)+COUNTIF(W8:W25,$B40&amp;" ~*")&gt;0)+(COUNTIF(Y8:Y25,$B40)+COUNTIF(Y8:Y25,$B40&amp;" ~*")&gt;0))</f>
        <v/>
      </c>
      <c r="AC40" s="38">
        <f>IF($B40="","",(IFERROR(INDEX(Setup!$G$33:$G$40,MATCH(C40,Setup!$B$33:$B$40,0)),0)=1)*(COUNTIF(C8:E25,$B40)+COUNTIF(C8:E25,$B40&amp;" ~*")&gt;0)+(IFERROR(INDEX(Setup!$G$33:$G$40,MATCH(G40,Setup!$B$33:$B$40,0)),0)=1)*(COUNTIF(G8:I25,$B40)+COUNTIF(G8:I25,$B40&amp;" ~*")&gt;0)+(IFERROR(INDEX(Setup!$G$33:$G$40,MATCH(K40,Setup!$B$33:$B$40,0)),0)=1)*(COUNTIF(K8:M25,$B40)+COUNTIF(K8:M25,$B40&amp;" ~*")&gt;0)+(IFERROR(INDEX(Setup!$G$33:$G$40,MATCH(O40,Setup!$B$33:$B$40,0)),0)=1)*(COUNTIF(O8:Q25,$B40)+COUNTIF(O8:Q25,$B40&amp;" ~*")&gt;0)+(IFERROR(INDEX(Setup!$G$33:$G$40,MATCH(S40,Setup!$B$33:$B$40,0)),0)=1)*(COUNTIF(S8:U25,$B40)+COUNTIF(S8:U25,$B40&amp;" ~*")&gt;0)+(IFERROR(INDEX(Setup!$G$33:$G$40,MATCH(W40,Setup!$B$33:$B$40,0)),0)=1)*(COUNTIF(W8:W25,$B40)+COUNTIF(W8:W25,$B40&amp;" ~*")&gt;0)+(IFERROR(INDEX(Setup!$G$33:$G$40,MATCH(Y40,Setup!$B$33:$B$40,0)),0)=1)*(COUNTIF(Y8:Y25,$B40)+COUNTIF(Y8:Y25,$B40&amp;" ~*")&gt;0))</f>
        <v/>
      </c>
    </row>
    <row r="41" ht="15" customHeight="1">
      <c r="A41" t="n">
        <v>1</v>
      </c>
      <c r="B41" s="35">
        <f>IF(Setup!$B$20="","",Setup!$B$20)</f>
        <v/>
      </c>
      <c r="C41" s="98" t="n"/>
      <c r="D41" s="99" t="n"/>
      <c r="E41" s="99" t="n"/>
      <c r="F41" s="100" t="n"/>
      <c r="G41" s="98" t="n"/>
      <c r="H41" s="99" t="n"/>
      <c r="I41" s="99" t="n"/>
      <c r="J41" s="100" t="n"/>
      <c r="K41" s="98" t="n"/>
      <c r="L41" s="99" t="n"/>
      <c r="M41" s="99" t="n"/>
      <c r="N41" s="100" t="n"/>
      <c r="O41" s="98" t="n"/>
      <c r="P41" s="99" t="n"/>
      <c r="Q41" s="99" t="n"/>
      <c r="R41" s="100" t="n"/>
      <c r="S41" s="98" t="n"/>
      <c r="T41" s="99" t="n"/>
      <c r="U41" s="99" t="n"/>
      <c r="V41" s="100" t="n"/>
      <c r="W41" s="98" t="n"/>
      <c r="X41" s="100" t="n"/>
      <c r="Y41" s="98" t="n"/>
      <c r="Z41" s="100" t="n"/>
      <c r="AB41" s="101">
        <f>IF($B41="","",(COUNTIF(C8:E25,$B41)+COUNTIF(C8:E25,$B41&amp;" ~*")&gt;0)+(COUNTIF(G8:I25,$B41)+COUNTIF(G8:I25,$B41&amp;" ~*")&gt;0)+(COUNTIF(K8:M25,$B41)+COUNTIF(K8:M25,$B41&amp;" ~*")&gt;0)+(COUNTIF(O8:Q25,$B41)+COUNTIF(O8:Q25,$B41&amp;" ~*")&gt;0)+(COUNTIF(S8:U25,$B41)+COUNTIF(S8:U25,$B41&amp;" ~*")&gt;0)+(COUNTIF(W8:W25,$B41)+COUNTIF(W8:W25,$B41&amp;" ~*")&gt;0)+(COUNTIF(Y8:Y25,$B41)+COUNTIF(Y8:Y25,$B41&amp;" ~*")&gt;0))</f>
        <v/>
      </c>
      <c r="AC41" s="36">
        <f>IF($B41="","",(IFERROR(INDEX(Setup!$G$33:$G$40,MATCH(C41,Setup!$B$33:$B$40,0)),0)=1)*(COUNTIF(C8:E25,$B41)+COUNTIF(C8:E25,$B41&amp;" ~*")&gt;0)+(IFERROR(INDEX(Setup!$G$33:$G$40,MATCH(G41,Setup!$B$33:$B$40,0)),0)=1)*(COUNTIF(G8:I25,$B41)+COUNTIF(G8:I25,$B41&amp;" ~*")&gt;0)+(IFERROR(INDEX(Setup!$G$33:$G$40,MATCH(K41,Setup!$B$33:$B$40,0)),0)=1)*(COUNTIF(K8:M25,$B41)+COUNTIF(K8:M25,$B41&amp;" ~*")&gt;0)+(IFERROR(INDEX(Setup!$G$33:$G$40,MATCH(O41,Setup!$B$33:$B$40,0)),0)=1)*(COUNTIF(O8:Q25,$B41)+COUNTIF(O8:Q25,$B41&amp;" ~*")&gt;0)+(IFERROR(INDEX(Setup!$G$33:$G$40,MATCH(S41,Setup!$B$33:$B$40,0)),0)=1)*(COUNTIF(S8:U25,$B41)+COUNTIF(S8:U25,$B41&amp;" ~*")&gt;0)+(IFERROR(INDEX(Setup!$G$33:$G$40,MATCH(W41,Setup!$B$33:$B$40,0)),0)=1)*(COUNTIF(W8:W25,$B41)+COUNTIF(W8:W25,$B41&amp;" ~*")&gt;0)+(IFERROR(INDEX(Setup!$G$33:$G$40,MATCH(Y41,Setup!$B$33:$B$40,0)),0)=1)*(COUNTIF(Y8:Y25,$B41)+COUNTIF(Y8:Y25,$B41&amp;" ~*")&gt;0))</f>
        <v/>
      </c>
    </row>
    <row r="42" ht="15" customHeight="1">
      <c r="A42" t="n">
        <v>1</v>
      </c>
      <c r="B42" s="37">
        <f>IF(Setup!$B$21="","",Setup!$B$21)</f>
        <v/>
      </c>
      <c r="C42" s="102" t="n"/>
      <c r="D42" s="103" t="n"/>
      <c r="E42" s="103" t="n"/>
      <c r="F42" s="104" t="n"/>
      <c r="G42" s="102" t="n"/>
      <c r="H42" s="103" t="n"/>
      <c r="I42" s="103" t="n"/>
      <c r="J42" s="104" t="n"/>
      <c r="K42" s="102" t="n"/>
      <c r="L42" s="103" t="n"/>
      <c r="M42" s="103" t="n"/>
      <c r="N42" s="104" t="n"/>
      <c r="O42" s="102" t="n"/>
      <c r="P42" s="103" t="n"/>
      <c r="Q42" s="103" t="n"/>
      <c r="R42" s="104" t="n"/>
      <c r="S42" s="102" t="n"/>
      <c r="T42" s="103" t="n"/>
      <c r="U42" s="103" t="n"/>
      <c r="V42" s="104" t="n"/>
      <c r="W42" s="102" t="n"/>
      <c r="X42" s="104" t="n"/>
      <c r="Y42" s="102" t="n"/>
      <c r="Z42" s="104" t="n"/>
      <c r="AB42" s="105">
        <f>IF($B42="","",(COUNTIF(C8:E25,$B42)+COUNTIF(C8:E25,$B42&amp;" ~*")&gt;0)+(COUNTIF(G8:I25,$B42)+COUNTIF(G8:I25,$B42&amp;" ~*")&gt;0)+(COUNTIF(K8:M25,$B42)+COUNTIF(K8:M25,$B42&amp;" ~*")&gt;0)+(COUNTIF(O8:Q25,$B42)+COUNTIF(O8:Q25,$B42&amp;" ~*")&gt;0)+(COUNTIF(S8:U25,$B42)+COUNTIF(S8:U25,$B42&amp;" ~*")&gt;0)+(COUNTIF(W8:W25,$B42)+COUNTIF(W8:W25,$B42&amp;" ~*")&gt;0)+(COUNTIF(Y8:Y25,$B42)+COUNTIF(Y8:Y25,$B42&amp;" ~*")&gt;0))</f>
        <v/>
      </c>
      <c r="AC42" s="38">
        <f>IF($B42="","",(IFERROR(INDEX(Setup!$G$33:$G$40,MATCH(C42,Setup!$B$33:$B$40,0)),0)=1)*(COUNTIF(C8:E25,$B42)+COUNTIF(C8:E25,$B42&amp;" ~*")&gt;0)+(IFERROR(INDEX(Setup!$G$33:$G$40,MATCH(G42,Setup!$B$33:$B$40,0)),0)=1)*(COUNTIF(G8:I25,$B42)+COUNTIF(G8:I25,$B42&amp;" ~*")&gt;0)+(IFERROR(INDEX(Setup!$G$33:$G$40,MATCH(K42,Setup!$B$33:$B$40,0)),0)=1)*(COUNTIF(K8:M25,$B42)+COUNTIF(K8:M25,$B42&amp;" ~*")&gt;0)+(IFERROR(INDEX(Setup!$G$33:$G$40,MATCH(O42,Setup!$B$33:$B$40,0)),0)=1)*(COUNTIF(O8:Q25,$B42)+COUNTIF(O8:Q25,$B42&amp;" ~*")&gt;0)+(IFERROR(INDEX(Setup!$G$33:$G$40,MATCH(S42,Setup!$B$33:$B$40,0)),0)=1)*(COUNTIF(S8:U25,$B42)+COUNTIF(S8:U25,$B42&amp;" ~*")&gt;0)+(IFERROR(INDEX(Setup!$G$33:$G$40,MATCH(W42,Setup!$B$33:$B$40,0)),0)=1)*(COUNTIF(W8:W25,$B42)+COUNTIF(W8:W25,$B42&amp;" ~*")&gt;0)+(IFERROR(INDEX(Setup!$G$33:$G$40,MATCH(Y42,Setup!$B$33:$B$40,0)),0)=1)*(COUNTIF(Y8:Y25,$B42)+COUNTIF(Y8:Y25,$B42&amp;" ~*")&gt;0))</f>
        <v/>
      </c>
    </row>
    <row r="43" ht="15" customHeight="1">
      <c r="A43" t="n">
        <v>1</v>
      </c>
      <c r="B43" s="35">
        <f>IF(Setup!$B$22="","",Setup!$B$22)</f>
        <v/>
      </c>
      <c r="C43" s="98" t="inlineStr">
        <is>
          <t>AL</t>
        </is>
      </c>
      <c r="D43" s="99" t="n"/>
      <c r="E43" s="99" t="n"/>
      <c r="F43" s="100" t="n"/>
      <c r="G43" s="98" t="n"/>
      <c r="H43" s="99" t="n"/>
      <c r="I43" s="99" t="n"/>
      <c r="J43" s="100" t="n"/>
      <c r="K43" s="98" t="n"/>
      <c r="L43" s="99" t="n"/>
      <c r="M43" s="99" t="n"/>
      <c r="N43" s="100" t="n"/>
      <c r="O43" s="98" t="n"/>
      <c r="P43" s="99" t="n"/>
      <c r="Q43" s="99" t="n"/>
      <c r="R43" s="100" t="n"/>
      <c r="S43" s="98" t="n"/>
      <c r="T43" s="99" t="n"/>
      <c r="U43" s="99" t="n"/>
      <c r="V43" s="100" t="n"/>
      <c r="W43" s="98" t="n"/>
      <c r="X43" s="100" t="n"/>
      <c r="Y43" s="98" t="n"/>
      <c r="Z43" s="100" t="n"/>
      <c r="AB43" s="101">
        <f>IF($B43="","",(COUNTIF(C8:E25,$B43)+COUNTIF(C8:E25,$B43&amp;" ~*")&gt;0)+(COUNTIF(G8:I25,$B43)+COUNTIF(G8:I25,$B43&amp;" ~*")&gt;0)+(COUNTIF(K8:M25,$B43)+COUNTIF(K8:M25,$B43&amp;" ~*")&gt;0)+(COUNTIF(O8:Q25,$B43)+COUNTIF(O8:Q25,$B43&amp;" ~*")&gt;0)+(COUNTIF(S8:U25,$B43)+COUNTIF(S8:U25,$B43&amp;" ~*")&gt;0)+(COUNTIF(W8:W25,$B43)+COUNTIF(W8:W25,$B43&amp;" ~*")&gt;0)+(COUNTIF(Y8:Y25,$B43)+COUNTIF(Y8:Y25,$B43&amp;" ~*")&gt;0))</f>
        <v/>
      </c>
      <c r="AC43" s="36">
        <f>IF($B43="","",(IFERROR(INDEX(Setup!$G$33:$G$40,MATCH(C43,Setup!$B$33:$B$40,0)),0)=1)*(COUNTIF(C8:E25,$B43)+COUNTIF(C8:E25,$B43&amp;" ~*")&gt;0)+(IFERROR(INDEX(Setup!$G$33:$G$40,MATCH(G43,Setup!$B$33:$B$40,0)),0)=1)*(COUNTIF(G8:I25,$B43)+COUNTIF(G8:I25,$B43&amp;" ~*")&gt;0)+(IFERROR(INDEX(Setup!$G$33:$G$40,MATCH(K43,Setup!$B$33:$B$40,0)),0)=1)*(COUNTIF(K8:M25,$B43)+COUNTIF(K8:M25,$B43&amp;" ~*")&gt;0)+(IFERROR(INDEX(Setup!$G$33:$G$40,MATCH(O43,Setup!$B$33:$B$40,0)),0)=1)*(COUNTIF(O8:Q25,$B43)+COUNTIF(O8:Q25,$B43&amp;" ~*")&gt;0)+(IFERROR(INDEX(Setup!$G$33:$G$40,MATCH(S43,Setup!$B$33:$B$40,0)),0)=1)*(COUNTIF(S8:U25,$B43)+COUNTIF(S8:U25,$B43&amp;" ~*")&gt;0)+(IFERROR(INDEX(Setup!$G$33:$G$40,MATCH(W43,Setup!$B$33:$B$40,0)),0)=1)*(COUNTIF(W8:W25,$B43)+COUNTIF(W8:W25,$B43&amp;" ~*")&gt;0)+(IFERROR(INDEX(Setup!$G$33:$G$40,MATCH(Y43,Setup!$B$33:$B$40,0)),0)=1)*(COUNTIF(Y8:Y25,$B43)+COUNTIF(Y8:Y25,$B43&amp;" ~*")&gt;0))</f>
        <v/>
      </c>
    </row>
    <row r="44" ht="15" customHeight="1">
      <c r="A44" t="n">
        <v>1</v>
      </c>
      <c r="B44" s="37">
        <f>IF(Setup!$B$23="","",Setup!$B$23)</f>
        <v/>
      </c>
      <c r="C44" s="102" t="n"/>
      <c r="D44" s="103" t="n"/>
      <c r="E44" s="103" t="n"/>
      <c r="F44" s="104" t="n"/>
      <c r="G44" s="102" t="n"/>
      <c r="H44" s="103" t="n"/>
      <c r="I44" s="103" t="n"/>
      <c r="J44" s="104" t="n"/>
      <c r="K44" s="102" t="n"/>
      <c r="L44" s="103" t="n"/>
      <c r="M44" s="103" t="n"/>
      <c r="N44" s="104" t="n"/>
      <c r="O44" s="102" t="n"/>
      <c r="P44" s="103" t="n"/>
      <c r="Q44" s="103" t="n"/>
      <c r="R44" s="104" t="n"/>
      <c r="S44" s="102" t="n"/>
      <c r="T44" s="103" t="n"/>
      <c r="U44" s="103" t="n"/>
      <c r="V44" s="104" t="n"/>
      <c r="W44" s="102" t="n"/>
      <c r="X44" s="104" t="n"/>
      <c r="Y44" s="102" t="n"/>
      <c r="Z44" s="104" t="n"/>
      <c r="AB44" s="105">
        <f>IF($B44="","",(COUNTIF(C8:E25,$B44)+COUNTIF(C8:E25,$B44&amp;" ~*")&gt;0)+(COUNTIF(G8:I25,$B44)+COUNTIF(G8:I25,$B44&amp;" ~*")&gt;0)+(COUNTIF(K8:M25,$B44)+COUNTIF(K8:M25,$B44&amp;" ~*")&gt;0)+(COUNTIF(O8:Q25,$B44)+COUNTIF(O8:Q25,$B44&amp;" ~*")&gt;0)+(COUNTIF(S8:U25,$B44)+COUNTIF(S8:U25,$B44&amp;" ~*")&gt;0)+(COUNTIF(W8:W25,$B44)+COUNTIF(W8:W25,$B44&amp;" ~*")&gt;0)+(COUNTIF(Y8:Y25,$B44)+COUNTIF(Y8:Y25,$B44&amp;" ~*")&gt;0))</f>
        <v/>
      </c>
      <c r="AC44" s="38">
        <f>IF($B44="","",(IFERROR(INDEX(Setup!$G$33:$G$40,MATCH(C44,Setup!$B$33:$B$40,0)),0)=1)*(COUNTIF(C8:E25,$B44)+COUNTIF(C8:E25,$B44&amp;" ~*")&gt;0)+(IFERROR(INDEX(Setup!$G$33:$G$40,MATCH(G44,Setup!$B$33:$B$40,0)),0)=1)*(COUNTIF(G8:I25,$B44)+COUNTIF(G8:I25,$B44&amp;" ~*")&gt;0)+(IFERROR(INDEX(Setup!$G$33:$G$40,MATCH(K44,Setup!$B$33:$B$40,0)),0)=1)*(COUNTIF(K8:M25,$B44)+COUNTIF(K8:M25,$B44&amp;" ~*")&gt;0)+(IFERROR(INDEX(Setup!$G$33:$G$40,MATCH(O44,Setup!$B$33:$B$40,0)),0)=1)*(COUNTIF(O8:Q25,$B44)+COUNTIF(O8:Q25,$B44&amp;" ~*")&gt;0)+(IFERROR(INDEX(Setup!$G$33:$G$40,MATCH(S44,Setup!$B$33:$B$40,0)),0)=1)*(COUNTIF(S8:U25,$B44)+COUNTIF(S8:U25,$B44&amp;" ~*")&gt;0)+(IFERROR(INDEX(Setup!$G$33:$G$40,MATCH(W44,Setup!$B$33:$B$40,0)),0)=1)*(COUNTIF(W8:W25,$B44)+COUNTIF(W8:W25,$B44&amp;" ~*")&gt;0)+(IFERROR(INDEX(Setup!$G$33:$G$40,MATCH(Y44,Setup!$B$33:$B$40,0)),0)=1)*(COUNTIF(Y8:Y25,$B44)+COUNTIF(Y8:Y25,$B44&amp;" ~*")&gt;0))</f>
        <v/>
      </c>
    </row>
    <row r="45" ht="15" customHeight="1">
      <c r="A45" t="n">
        <v>1</v>
      </c>
      <c r="B45" s="35">
        <f>IF(Setup!$B$24="","",Setup!$B$24)</f>
        <v/>
      </c>
      <c r="C45" s="98" t="n"/>
      <c r="D45" s="99" t="n"/>
      <c r="E45" s="99" t="n"/>
      <c r="F45" s="100" t="n"/>
      <c r="G45" s="98" t="n"/>
      <c r="H45" s="99" t="n"/>
      <c r="I45" s="99" t="n"/>
      <c r="J45" s="100" t="n"/>
      <c r="K45" s="98" t="n"/>
      <c r="L45" s="99" t="n"/>
      <c r="M45" s="99" t="n"/>
      <c r="N45" s="100" t="n"/>
      <c r="O45" s="98" t="n"/>
      <c r="P45" s="99" t="n"/>
      <c r="Q45" s="99" t="n"/>
      <c r="R45" s="100" t="n"/>
      <c r="S45" s="98" t="n"/>
      <c r="T45" s="99" t="n"/>
      <c r="U45" s="99" t="n"/>
      <c r="V45" s="100" t="n"/>
      <c r="W45" s="98" t="n"/>
      <c r="X45" s="100" t="n"/>
      <c r="Y45" s="98" t="n"/>
      <c r="Z45" s="100" t="n"/>
      <c r="AB45" s="101">
        <f>IF($B45="","",(COUNTIF(C8:E25,$B45)+COUNTIF(C8:E25,$B45&amp;" ~*")&gt;0)+(COUNTIF(G8:I25,$B45)+COUNTIF(G8:I25,$B45&amp;" ~*")&gt;0)+(COUNTIF(K8:M25,$B45)+COUNTIF(K8:M25,$B45&amp;" ~*")&gt;0)+(COUNTIF(O8:Q25,$B45)+COUNTIF(O8:Q25,$B45&amp;" ~*")&gt;0)+(COUNTIF(S8:U25,$B45)+COUNTIF(S8:U25,$B45&amp;" ~*")&gt;0)+(COUNTIF(W8:W25,$B45)+COUNTIF(W8:W25,$B45&amp;" ~*")&gt;0)+(COUNTIF(Y8:Y25,$B45)+COUNTIF(Y8:Y25,$B45&amp;" ~*")&gt;0))</f>
        <v/>
      </c>
      <c r="AC45" s="36">
        <f>IF($B45="","",(IFERROR(INDEX(Setup!$G$33:$G$40,MATCH(C45,Setup!$B$33:$B$40,0)),0)=1)*(COUNTIF(C8:E25,$B45)+COUNTIF(C8:E25,$B45&amp;" ~*")&gt;0)+(IFERROR(INDEX(Setup!$G$33:$G$40,MATCH(G45,Setup!$B$33:$B$40,0)),0)=1)*(COUNTIF(G8:I25,$B45)+COUNTIF(G8:I25,$B45&amp;" ~*")&gt;0)+(IFERROR(INDEX(Setup!$G$33:$G$40,MATCH(K45,Setup!$B$33:$B$40,0)),0)=1)*(COUNTIF(K8:M25,$B45)+COUNTIF(K8:M25,$B45&amp;" ~*")&gt;0)+(IFERROR(INDEX(Setup!$G$33:$G$40,MATCH(O45,Setup!$B$33:$B$40,0)),0)=1)*(COUNTIF(O8:Q25,$B45)+COUNTIF(O8:Q25,$B45&amp;" ~*")&gt;0)+(IFERROR(INDEX(Setup!$G$33:$G$40,MATCH(S45,Setup!$B$33:$B$40,0)),0)=1)*(COUNTIF(S8:U25,$B45)+COUNTIF(S8:U25,$B45&amp;" ~*")&gt;0)+(IFERROR(INDEX(Setup!$G$33:$G$40,MATCH(W45,Setup!$B$33:$B$40,0)),0)=1)*(COUNTIF(W8:W25,$B45)+COUNTIF(W8:W25,$B45&amp;" ~*")&gt;0)+(IFERROR(INDEX(Setup!$G$33:$G$40,MATCH(Y45,Setup!$B$33:$B$40,0)),0)=1)*(COUNTIF(Y8:Y25,$B45)+COUNTIF(Y8:Y25,$B45&amp;" ~*")&gt;0))</f>
        <v/>
      </c>
    </row>
    <row r="46" ht="15" customHeight="1">
      <c r="A46" t="n">
        <v>1</v>
      </c>
      <c r="B46" s="37">
        <f>IF(Setup!$B$25="","",Setup!$B$25)</f>
        <v/>
      </c>
      <c r="C46" s="102" t="n"/>
      <c r="D46" s="103" t="n"/>
      <c r="E46" s="103" t="n"/>
      <c r="F46" s="104" t="n"/>
      <c r="G46" s="102" t="n"/>
      <c r="H46" s="103" t="n"/>
      <c r="I46" s="103" t="n"/>
      <c r="J46" s="104" t="n"/>
      <c r="K46" s="102" t="n"/>
      <c r="L46" s="103" t="n"/>
      <c r="M46" s="103" t="n"/>
      <c r="N46" s="104" t="n"/>
      <c r="O46" s="102" t="n"/>
      <c r="P46" s="103" t="n"/>
      <c r="Q46" s="103" t="n"/>
      <c r="R46" s="104" t="n"/>
      <c r="S46" s="102" t="n"/>
      <c r="T46" s="103" t="n"/>
      <c r="U46" s="103" t="n"/>
      <c r="V46" s="104" t="n"/>
      <c r="W46" s="102" t="n"/>
      <c r="X46" s="104" t="n"/>
      <c r="Y46" s="102" t="n"/>
      <c r="Z46" s="104" t="n"/>
      <c r="AB46" s="105">
        <f>IF($B46="","",(COUNTIF(C8:E25,$B46)+COUNTIF(C8:E25,$B46&amp;" ~*")&gt;0)+(COUNTIF(G8:I25,$B46)+COUNTIF(G8:I25,$B46&amp;" ~*")&gt;0)+(COUNTIF(K8:M25,$B46)+COUNTIF(K8:M25,$B46&amp;" ~*")&gt;0)+(COUNTIF(O8:Q25,$B46)+COUNTIF(O8:Q25,$B46&amp;" ~*")&gt;0)+(COUNTIF(S8:U25,$B46)+COUNTIF(S8:U25,$B46&amp;" ~*")&gt;0)+(COUNTIF(W8:W25,$B46)+COUNTIF(W8:W25,$B46&amp;" ~*")&gt;0)+(COUNTIF(Y8:Y25,$B46)+COUNTIF(Y8:Y25,$B46&amp;" ~*")&gt;0))</f>
        <v/>
      </c>
      <c r="AC46" s="38">
        <f>IF($B46="","",(IFERROR(INDEX(Setup!$G$33:$G$40,MATCH(C46,Setup!$B$33:$B$40,0)),0)=1)*(COUNTIF(C8:E25,$B46)+COUNTIF(C8:E25,$B46&amp;" ~*")&gt;0)+(IFERROR(INDEX(Setup!$G$33:$G$40,MATCH(G46,Setup!$B$33:$B$40,0)),0)=1)*(COUNTIF(G8:I25,$B46)+COUNTIF(G8:I25,$B46&amp;" ~*")&gt;0)+(IFERROR(INDEX(Setup!$G$33:$G$40,MATCH(K46,Setup!$B$33:$B$40,0)),0)=1)*(COUNTIF(K8:M25,$B46)+COUNTIF(K8:M25,$B46&amp;" ~*")&gt;0)+(IFERROR(INDEX(Setup!$G$33:$G$40,MATCH(O46,Setup!$B$33:$B$40,0)),0)=1)*(COUNTIF(O8:Q25,$B46)+COUNTIF(O8:Q25,$B46&amp;" ~*")&gt;0)+(IFERROR(INDEX(Setup!$G$33:$G$40,MATCH(S46,Setup!$B$33:$B$40,0)),0)=1)*(COUNTIF(S8:U25,$B46)+COUNTIF(S8:U25,$B46&amp;" ~*")&gt;0)+(IFERROR(INDEX(Setup!$G$33:$G$40,MATCH(W46,Setup!$B$33:$B$40,0)),0)=1)*(COUNTIF(W8:W25,$B46)+COUNTIF(W8:W25,$B46&amp;" ~*")&gt;0)+(IFERROR(INDEX(Setup!$G$33:$G$40,MATCH(Y46,Setup!$B$33:$B$40,0)),0)=1)*(COUNTIF(Y8:Y25,$B46)+COUNTIF(Y8:Y25,$B46&amp;" ~*")&gt;0))</f>
        <v/>
      </c>
    </row>
    <row r="47" ht="15" customHeight="1">
      <c r="A47" t="n">
        <v>1</v>
      </c>
      <c r="B47" s="35">
        <f>IF(Setup!$B$26="","",Setup!$B$26)</f>
        <v/>
      </c>
      <c r="C47" s="98" t="n"/>
      <c r="D47" s="99" t="n"/>
      <c r="E47" s="99" t="n"/>
      <c r="F47" s="100" t="n"/>
      <c r="G47" s="98" t="n"/>
      <c r="H47" s="99" t="n"/>
      <c r="I47" s="99" t="n"/>
      <c r="J47" s="100" t="n"/>
      <c r="K47" s="98" t="n"/>
      <c r="L47" s="99" t="n"/>
      <c r="M47" s="99" t="n"/>
      <c r="N47" s="100" t="n"/>
      <c r="O47" s="98" t="n"/>
      <c r="P47" s="99" t="n"/>
      <c r="Q47" s="99" t="n"/>
      <c r="R47" s="100" t="n"/>
      <c r="S47" s="98" t="n"/>
      <c r="T47" s="99" t="n"/>
      <c r="U47" s="99" t="n"/>
      <c r="V47" s="100" t="n"/>
      <c r="W47" s="98" t="n"/>
      <c r="X47" s="100" t="n"/>
      <c r="Y47" s="98" t="n"/>
      <c r="Z47" s="100" t="n"/>
      <c r="AB47" s="101">
        <f>IF($B47="","",(COUNTIF(C8:E25,$B47)+COUNTIF(C8:E25,$B47&amp;" ~*")&gt;0)+(COUNTIF(G8:I25,$B47)+COUNTIF(G8:I25,$B47&amp;" ~*")&gt;0)+(COUNTIF(K8:M25,$B47)+COUNTIF(K8:M25,$B47&amp;" ~*")&gt;0)+(COUNTIF(O8:Q25,$B47)+COUNTIF(O8:Q25,$B47&amp;" ~*")&gt;0)+(COUNTIF(S8:U25,$B47)+COUNTIF(S8:U25,$B47&amp;" ~*")&gt;0)+(COUNTIF(W8:W25,$B47)+COUNTIF(W8:W25,$B47&amp;" ~*")&gt;0)+(COUNTIF(Y8:Y25,$B47)+COUNTIF(Y8:Y25,$B47&amp;" ~*")&gt;0))</f>
        <v/>
      </c>
      <c r="AC47" s="36">
        <f>IF($B47="","",(IFERROR(INDEX(Setup!$G$33:$G$40,MATCH(C47,Setup!$B$33:$B$40,0)),0)=1)*(COUNTIF(C8:E25,$B47)+COUNTIF(C8:E25,$B47&amp;" ~*")&gt;0)+(IFERROR(INDEX(Setup!$G$33:$G$40,MATCH(G47,Setup!$B$33:$B$40,0)),0)=1)*(COUNTIF(G8:I25,$B47)+COUNTIF(G8:I25,$B47&amp;" ~*")&gt;0)+(IFERROR(INDEX(Setup!$G$33:$G$40,MATCH(K47,Setup!$B$33:$B$40,0)),0)=1)*(COUNTIF(K8:M25,$B47)+COUNTIF(K8:M25,$B47&amp;" ~*")&gt;0)+(IFERROR(INDEX(Setup!$G$33:$G$40,MATCH(O47,Setup!$B$33:$B$40,0)),0)=1)*(COUNTIF(O8:Q25,$B47)+COUNTIF(O8:Q25,$B47&amp;" ~*")&gt;0)+(IFERROR(INDEX(Setup!$G$33:$G$40,MATCH(S47,Setup!$B$33:$B$40,0)),0)=1)*(COUNTIF(S8:U25,$B47)+COUNTIF(S8:U25,$B47&amp;" ~*")&gt;0)+(IFERROR(INDEX(Setup!$G$33:$G$40,MATCH(W47,Setup!$B$33:$B$40,0)),0)=1)*(COUNTIF(W8:W25,$B47)+COUNTIF(W8:W25,$B47&amp;" ~*")&gt;0)+(IFERROR(INDEX(Setup!$G$33:$G$40,MATCH(Y47,Setup!$B$33:$B$40,0)),0)=1)*(COUNTIF(Y8:Y25,$B47)+COUNTIF(Y8:Y25,$B47&amp;" ~*")&gt;0))</f>
        <v/>
      </c>
    </row>
    <row r="48" ht="15" customHeight="1">
      <c r="A48" t="n">
        <v>1</v>
      </c>
      <c r="B48" s="37">
        <f>IF(Setup!$B$27="","",Setup!$B$27)</f>
        <v/>
      </c>
      <c r="C48" s="102" t="n"/>
      <c r="D48" s="103" t="n"/>
      <c r="E48" s="103" t="n"/>
      <c r="F48" s="104" t="n"/>
      <c r="G48" s="102" t="n"/>
      <c r="H48" s="103" t="n"/>
      <c r="I48" s="103" t="n"/>
      <c r="J48" s="104" t="n"/>
      <c r="K48" s="102" t="n"/>
      <c r="L48" s="103" t="n"/>
      <c r="M48" s="103" t="n"/>
      <c r="N48" s="104" t="n"/>
      <c r="O48" s="102" t="n"/>
      <c r="P48" s="103" t="n"/>
      <c r="Q48" s="103" t="n"/>
      <c r="R48" s="104" t="n"/>
      <c r="S48" s="102" t="n"/>
      <c r="T48" s="103" t="n"/>
      <c r="U48" s="103" t="n"/>
      <c r="V48" s="104" t="n"/>
      <c r="W48" s="102" t="n"/>
      <c r="X48" s="104" t="n"/>
      <c r="Y48" s="102" t="n"/>
      <c r="Z48" s="104" t="n"/>
      <c r="AB48" s="105">
        <f>IF($B48="","",(COUNTIF(C8:E25,$B48)+COUNTIF(C8:E25,$B48&amp;" ~*")&gt;0)+(COUNTIF(G8:I25,$B48)+COUNTIF(G8:I25,$B48&amp;" ~*")&gt;0)+(COUNTIF(K8:M25,$B48)+COUNTIF(K8:M25,$B48&amp;" ~*")&gt;0)+(COUNTIF(O8:Q25,$B48)+COUNTIF(O8:Q25,$B48&amp;" ~*")&gt;0)+(COUNTIF(S8:U25,$B48)+COUNTIF(S8:U25,$B48&amp;" ~*")&gt;0)+(COUNTIF(W8:W25,$B48)+COUNTIF(W8:W25,$B48&amp;" ~*")&gt;0)+(COUNTIF(Y8:Y25,$B48)+COUNTIF(Y8:Y25,$B48&amp;" ~*")&gt;0))</f>
        <v/>
      </c>
      <c r="AC48" s="38">
        <f>IF($B48="","",(IFERROR(INDEX(Setup!$G$33:$G$40,MATCH(C48,Setup!$B$33:$B$40,0)),0)=1)*(COUNTIF(C8:E25,$B48)+COUNTIF(C8:E25,$B48&amp;" ~*")&gt;0)+(IFERROR(INDEX(Setup!$G$33:$G$40,MATCH(G48,Setup!$B$33:$B$40,0)),0)=1)*(COUNTIF(G8:I25,$B48)+COUNTIF(G8:I25,$B48&amp;" ~*")&gt;0)+(IFERROR(INDEX(Setup!$G$33:$G$40,MATCH(K48,Setup!$B$33:$B$40,0)),0)=1)*(COUNTIF(K8:M25,$B48)+COUNTIF(K8:M25,$B48&amp;" ~*")&gt;0)+(IFERROR(INDEX(Setup!$G$33:$G$40,MATCH(O48,Setup!$B$33:$B$40,0)),0)=1)*(COUNTIF(O8:Q25,$B48)+COUNTIF(O8:Q25,$B48&amp;" ~*")&gt;0)+(IFERROR(INDEX(Setup!$G$33:$G$40,MATCH(S48,Setup!$B$33:$B$40,0)),0)=1)*(COUNTIF(S8:U25,$B48)+COUNTIF(S8:U25,$B48&amp;" ~*")&gt;0)+(IFERROR(INDEX(Setup!$G$33:$G$40,MATCH(W48,Setup!$B$33:$B$40,0)),0)=1)*(COUNTIF(W8:W25,$B48)+COUNTIF(W8:W25,$B48&amp;" ~*")&gt;0)+(IFERROR(INDEX(Setup!$G$33:$G$40,MATCH(Y48,Setup!$B$33:$B$40,0)),0)=1)*(COUNTIF(Y8:Y25,$B48)+COUNTIF(Y8:Y25,$B48&amp;" ~*")&gt;0))</f>
        <v/>
      </c>
    </row>
    <row r="49" ht="15" customHeight="1">
      <c r="A49" t="n">
        <v>1</v>
      </c>
      <c r="B49" s="35">
        <f>IF(Setup!$B$28="","",Setup!$B$28)</f>
        <v/>
      </c>
      <c r="C49" s="98" t="n"/>
      <c r="D49" s="99" t="n"/>
      <c r="E49" s="99" t="n"/>
      <c r="F49" s="100" t="n"/>
      <c r="G49" s="98" t="n"/>
      <c r="H49" s="99" t="n"/>
      <c r="I49" s="99" t="n"/>
      <c r="J49" s="100" t="n"/>
      <c r="K49" s="98" t="n"/>
      <c r="L49" s="99" t="n"/>
      <c r="M49" s="99" t="n"/>
      <c r="N49" s="100" t="n"/>
      <c r="O49" s="98" t="n"/>
      <c r="P49" s="99" t="n"/>
      <c r="Q49" s="99" t="n"/>
      <c r="R49" s="100" t="n"/>
      <c r="S49" s="98" t="n"/>
      <c r="T49" s="99" t="n"/>
      <c r="U49" s="99" t="n"/>
      <c r="V49" s="100" t="n"/>
      <c r="W49" s="98" t="n"/>
      <c r="X49" s="100" t="n"/>
      <c r="Y49" s="98" t="n"/>
      <c r="Z49" s="100" t="n"/>
      <c r="AB49" s="101">
        <f>IF($B49="","",(COUNTIF(C8:E25,$B49)+COUNTIF(C8:E25,$B49&amp;" ~*")&gt;0)+(COUNTIF(G8:I25,$B49)+COUNTIF(G8:I25,$B49&amp;" ~*")&gt;0)+(COUNTIF(K8:M25,$B49)+COUNTIF(K8:M25,$B49&amp;" ~*")&gt;0)+(COUNTIF(O8:Q25,$B49)+COUNTIF(O8:Q25,$B49&amp;" ~*")&gt;0)+(COUNTIF(S8:U25,$B49)+COUNTIF(S8:U25,$B49&amp;" ~*")&gt;0)+(COUNTIF(W8:W25,$B49)+COUNTIF(W8:W25,$B49&amp;" ~*")&gt;0)+(COUNTIF(Y8:Y25,$B49)+COUNTIF(Y8:Y25,$B49&amp;" ~*")&gt;0))</f>
        <v/>
      </c>
      <c r="AC49" s="36">
        <f>IF($B49="","",(IFERROR(INDEX(Setup!$G$33:$G$40,MATCH(C49,Setup!$B$33:$B$40,0)),0)=1)*(COUNTIF(C8:E25,$B49)+COUNTIF(C8:E25,$B49&amp;" ~*")&gt;0)+(IFERROR(INDEX(Setup!$G$33:$G$40,MATCH(G49,Setup!$B$33:$B$40,0)),0)=1)*(COUNTIF(G8:I25,$B49)+COUNTIF(G8:I25,$B49&amp;" ~*")&gt;0)+(IFERROR(INDEX(Setup!$G$33:$G$40,MATCH(K49,Setup!$B$33:$B$40,0)),0)=1)*(COUNTIF(K8:M25,$B49)+COUNTIF(K8:M25,$B49&amp;" ~*")&gt;0)+(IFERROR(INDEX(Setup!$G$33:$G$40,MATCH(O49,Setup!$B$33:$B$40,0)),0)=1)*(COUNTIF(O8:Q25,$B49)+COUNTIF(O8:Q25,$B49&amp;" ~*")&gt;0)+(IFERROR(INDEX(Setup!$G$33:$G$40,MATCH(S49,Setup!$B$33:$B$40,0)),0)=1)*(COUNTIF(S8:U25,$B49)+COUNTIF(S8:U25,$B49&amp;" ~*")&gt;0)+(IFERROR(INDEX(Setup!$G$33:$G$40,MATCH(W49,Setup!$B$33:$B$40,0)),0)=1)*(COUNTIF(W8:W25,$B49)+COUNTIF(W8:W25,$B49&amp;" ~*")&gt;0)+(IFERROR(INDEX(Setup!$G$33:$G$40,MATCH(Y49,Setup!$B$33:$B$40,0)),0)=1)*(COUNTIF(Y8:Y25,$B49)+COUNTIF(Y8:Y25,$B49&amp;" ~*")&gt;0))</f>
        <v/>
      </c>
    </row>
    <row r="50" ht="15" customHeight="1">
      <c r="A50" t="n">
        <v>1</v>
      </c>
      <c r="B50" s="37">
        <f>IF(Setup!$B$29="","",Setup!$B$29)</f>
        <v/>
      </c>
      <c r="C50" s="102" t="n"/>
      <c r="D50" s="103" t="n"/>
      <c r="E50" s="103" t="n"/>
      <c r="F50" s="104" t="n"/>
      <c r="G50" s="102" t="n"/>
      <c r="H50" s="103" t="n"/>
      <c r="I50" s="103" t="n"/>
      <c r="J50" s="104" t="n"/>
      <c r="K50" s="102" t="n"/>
      <c r="L50" s="103" t="n"/>
      <c r="M50" s="103" t="n"/>
      <c r="N50" s="104" t="n"/>
      <c r="O50" s="102" t="n"/>
      <c r="P50" s="103" t="n"/>
      <c r="Q50" s="103" t="n"/>
      <c r="R50" s="104" t="n"/>
      <c r="S50" s="102" t="n"/>
      <c r="T50" s="103" t="n"/>
      <c r="U50" s="103" t="n"/>
      <c r="V50" s="104" t="n"/>
      <c r="W50" s="102" t="n"/>
      <c r="X50" s="104" t="n"/>
      <c r="Y50" s="102" t="n"/>
      <c r="Z50" s="104" t="n"/>
      <c r="AB50" s="105">
        <f>IF($B50="","",(COUNTIF(C8:E25,$B50)+COUNTIF(C8:E25,$B50&amp;" ~*")&gt;0)+(COUNTIF(G8:I25,$B50)+COUNTIF(G8:I25,$B50&amp;" ~*")&gt;0)+(COUNTIF(K8:M25,$B50)+COUNTIF(K8:M25,$B50&amp;" ~*")&gt;0)+(COUNTIF(O8:Q25,$B50)+COUNTIF(O8:Q25,$B50&amp;" ~*")&gt;0)+(COUNTIF(S8:U25,$B50)+COUNTIF(S8:U25,$B50&amp;" ~*")&gt;0)+(COUNTIF(W8:W25,$B50)+COUNTIF(W8:W25,$B50&amp;" ~*")&gt;0)+(COUNTIF(Y8:Y25,$B50)+COUNTIF(Y8:Y25,$B50&amp;" ~*")&gt;0))</f>
        <v/>
      </c>
      <c r="AC50" s="38">
        <f>IF($B50="","",(IFERROR(INDEX(Setup!$G$33:$G$40,MATCH(C50,Setup!$B$33:$B$40,0)),0)=1)*(COUNTIF(C8:E25,$B50)+COUNTIF(C8:E25,$B50&amp;" ~*")&gt;0)+(IFERROR(INDEX(Setup!$G$33:$G$40,MATCH(G50,Setup!$B$33:$B$40,0)),0)=1)*(COUNTIF(G8:I25,$B50)+COUNTIF(G8:I25,$B50&amp;" ~*")&gt;0)+(IFERROR(INDEX(Setup!$G$33:$G$40,MATCH(K50,Setup!$B$33:$B$40,0)),0)=1)*(COUNTIF(K8:M25,$B50)+COUNTIF(K8:M25,$B50&amp;" ~*")&gt;0)+(IFERROR(INDEX(Setup!$G$33:$G$40,MATCH(O50,Setup!$B$33:$B$40,0)),0)=1)*(COUNTIF(O8:Q25,$B50)+COUNTIF(O8:Q25,$B50&amp;" ~*")&gt;0)+(IFERROR(INDEX(Setup!$G$33:$G$40,MATCH(S50,Setup!$B$33:$B$40,0)),0)=1)*(COUNTIF(S8:U25,$B50)+COUNTIF(S8:U25,$B50&amp;" ~*")&gt;0)+(IFERROR(INDEX(Setup!$G$33:$G$40,MATCH(W50,Setup!$B$33:$B$40,0)),0)=1)*(COUNTIF(W8:W25,$B50)+COUNTIF(W8:W25,$B50&amp;" ~*")&gt;0)+(IFERROR(INDEX(Setup!$G$33:$G$40,MATCH(Y50,Setup!$B$33:$B$40,0)),0)=1)*(COUNTIF(Y8:Y25,$B50)+COUNTIF(Y8:Y25,$B50&amp;" ~*")&gt;0))</f>
        <v/>
      </c>
    </row>
    <row r="51" ht="16" customHeight="1">
      <c r="A51" t="n">
        <v>1</v>
      </c>
      <c r="B51" s="106" t="inlineStr">
        <is>
          <t>Available people</t>
        </is>
      </c>
      <c r="C51" s="107">
        <f>COUNTIFS(Setup!$E$6:$E$29,"Y",Setup!$B$6:$B$29,"?*")-SUMPRODUCT(COUNTIF(C27:C50,Setup!$F$33:$F$40))</f>
        <v/>
      </c>
      <c r="D51" s="107" t="n"/>
      <c r="E51" s="107" t="n"/>
      <c r="F51" s="107" t="n"/>
      <c r="G51" s="107">
        <f>COUNTIFS(Setup!$E$6:$E$29,"Y",Setup!$B$6:$B$29,"?*")-SUMPRODUCT(COUNTIF(G27:G50,Setup!$F$33:$F$40))</f>
        <v/>
      </c>
      <c r="H51" s="107" t="n"/>
      <c r="I51" s="107" t="n"/>
      <c r="J51" s="107" t="n"/>
      <c r="K51" s="107">
        <f>COUNTIFS(Setup!$E$6:$E$29,"Y",Setup!$B$6:$B$29,"?*")-SUMPRODUCT(COUNTIF(K27:K50,Setup!$F$33:$F$40))</f>
        <v/>
      </c>
      <c r="L51" s="107" t="n"/>
      <c r="M51" s="107" t="n"/>
      <c r="N51" s="107" t="n"/>
      <c r="O51" s="107">
        <f>COUNTIFS(Setup!$E$6:$E$29,"Y",Setup!$B$6:$B$29,"?*")-SUMPRODUCT(COUNTIF(O27:O50,Setup!$F$33:$F$40))</f>
        <v/>
      </c>
      <c r="P51" s="107" t="n"/>
      <c r="Q51" s="107" t="n"/>
      <c r="R51" s="107" t="n"/>
      <c r="S51" s="107">
        <f>COUNTIFS(Setup!$E$6:$E$29,"Y",Setup!$B$6:$B$29,"?*")-SUMPRODUCT(COUNTIF(S27:S50,Setup!$F$33:$F$40))</f>
        <v/>
      </c>
      <c r="T51" s="107" t="n"/>
      <c r="U51" s="107" t="n"/>
      <c r="V51" s="107" t="n"/>
      <c r="W51" s="107">
        <f>COUNTIFS(Setup!$E$6:$E$29,"Y",Setup!$B$6:$B$29,"?*")-SUMPRODUCT(COUNTIF(W27:W50,Setup!$F$33:$F$40))</f>
        <v/>
      </c>
      <c r="X51" s="107" t="n"/>
      <c r="Y51" s="107">
        <f>COUNTIFS(Setup!$E$6:$E$29,"Y",Setup!$B$6:$B$29,"?*")-SUMPRODUCT(COUNTIF(Y27:Y50,Setup!$F$33:$F$40))</f>
        <v/>
      </c>
      <c r="Z51" s="107" t="n"/>
      <c r="AB51" s="108">
        <f>SUM(AB27:AB50)</f>
        <v/>
      </c>
      <c r="AC51" s="109">
        <f>SUM(AC27:AC50)</f>
        <v/>
      </c>
    </row>
    <row r="52" ht="30" customHeight="1">
      <c r="A52" t="n">
        <v>1</v>
      </c>
      <c r="B52" s="110" t="inlineStr">
        <is>
          <t>Week notes</t>
        </is>
      </c>
      <c r="C52" s="111" t="n"/>
      <c r="D52" s="112" t="n"/>
      <c r="E52" s="112" t="n"/>
      <c r="F52" s="112" t="n"/>
      <c r="G52" s="112" t="n"/>
      <c r="H52" s="112" t="n"/>
      <c r="I52" s="112" t="n"/>
      <c r="J52" s="112" t="n"/>
      <c r="K52" s="112" t="n"/>
      <c r="L52" s="112" t="n"/>
      <c r="M52" s="112" t="n"/>
      <c r="N52" s="112" t="n"/>
      <c r="O52" s="112" t="n"/>
      <c r="P52" s="112" t="n"/>
      <c r="Q52" s="112" t="n"/>
      <c r="R52" s="112" t="n"/>
      <c r="S52" s="112" t="n"/>
      <c r="T52" s="112" t="n"/>
      <c r="U52" s="112" t="n"/>
      <c r="V52" s="112" t="n"/>
      <c r="W52" s="112" t="n"/>
      <c r="X52" s="112" t="n"/>
      <c r="Y52" s="112" t="n"/>
      <c r="Z52" s="113" t="n"/>
    </row>
    <row r="53" ht="8" customHeight="1">
      <c r="A53" t="n">
        <v>1</v>
      </c>
    </row>
    <row r="54" ht="8" customHeight="1">
      <c r="A54" t="n">
        <v>1</v>
      </c>
    </row>
    <row r="55" ht="24" customHeight="1">
      <c r="A55" t="n">
        <v>2</v>
      </c>
      <c r="B55" s="73">
        <f>"WEEK 2     "&amp;TEXT(C56,"ddd d mmm")&amp;"  –  "&amp;TEXT(C56+6,"ddd d mmm yyyy")</f>
        <v/>
      </c>
      <c r="S55" s="74">
        <f>IF(TODAY()&lt;C56,"FUTURE",IF(TODAY()&gt;C56+6,"PAST","THIS WEEK"))</f>
        <v/>
      </c>
      <c r="W55" s="75">
        <f>IF(AND(Engine!$B$8=$AC$3,Engine!$B$9=$A55),"◀ ACTIVE WEEK","")</f>
        <v/>
      </c>
      <c r="AA55" s="76" t="n"/>
      <c r="AB55" s="77" t="inlineStr">
        <is>
          <t>◀ Prev</t>
        </is>
      </c>
      <c r="AC55" s="77" t="inlineStr">
        <is>
          <t>Next ▶</t>
        </is>
      </c>
    </row>
    <row r="56" ht="18" customHeight="1">
      <c r="A56" t="n">
        <v>2</v>
      </c>
      <c r="B56" s="78" t="inlineStr">
        <is>
          <t>DUTY</t>
        </is>
      </c>
      <c r="C56" s="79">
        <f>$AC$2+7*($A56-1)</f>
        <v/>
      </c>
      <c r="D56" s="80" t="n"/>
      <c r="E56" s="80" t="n"/>
      <c r="F56" s="81" t="n"/>
      <c r="G56" s="79">
        <f>C56+1</f>
        <v/>
      </c>
      <c r="H56" s="80" t="n"/>
      <c r="I56" s="80" t="n"/>
      <c r="J56" s="81" t="n"/>
      <c r="K56" s="79">
        <f>C56+2</f>
        <v/>
      </c>
      <c r="L56" s="80" t="n"/>
      <c r="M56" s="80" t="n"/>
      <c r="N56" s="81" t="n"/>
      <c r="O56" s="79">
        <f>C56+3</f>
        <v/>
      </c>
      <c r="P56" s="80" t="n"/>
      <c r="Q56" s="80" t="n"/>
      <c r="R56" s="81" t="n"/>
      <c r="S56" s="79">
        <f>C56+4</f>
        <v/>
      </c>
      <c r="T56" s="80" t="n"/>
      <c r="U56" s="80" t="n"/>
      <c r="V56" s="81" t="n"/>
      <c r="W56" s="82">
        <f>C56+5</f>
        <v/>
      </c>
      <c r="X56" s="83" t="n"/>
      <c r="Y56" s="82">
        <f>C56+6</f>
        <v/>
      </c>
      <c r="Z56" s="83" t="n"/>
      <c r="AB56" s="72" t="inlineStr">
        <is>
          <t>Gaps</t>
        </is>
      </c>
      <c r="AC56" s="72" t="inlineStr">
        <is>
          <t>Cover</t>
        </is>
      </c>
    </row>
    <row r="57" ht="14" customHeight="1">
      <c r="A57" t="n">
        <v>2</v>
      </c>
      <c r="B57" s="84" t="inlineStr">
        <is>
          <t>(from Setup)</t>
        </is>
      </c>
      <c r="C57" s="85" t="inlineStr">
        <is>
          <t>1</t>
        </is>
      </c>
      <c r="D57" s="85" t="inlineStr">
        <is>
          <t>2</t>
        </is>
      </c>
      <c r="E57" s="85" t="inlineStr">
        <is>
          <t>3</t>
        </is>
      </c>
      <c r="F57" s="85" t="inlineStr">
        <is>
          <t>Notes</t>
        </is>
      </c>
      <c r="G57" s="85" t="inlineStr">
        <is>
          <t>1</t>
        </is>
      </c>
      <c r="H57" s="85" t="inlineStr">
        <is>
          <t>2</t>
        </is>
      </c>
      <c r="I57" s="85" t="inlineStr">
        <is>
          <t>3</t>
        </is>
      </c>
      <c r="J57" s="85" t="inlineStr">
        <is>
          <t>Notes</t>
        </is>
      </c>
      <c r="K57" s="85" t="inlineStr">
        <is>
          <t>1</t>
        </is>
      </c>
      <c r="L57" s="85" t="inlineStr">
        <is>
          <t>2</t>
        </is>
      </c>
      <c r="M57" s="85" t="inlineStr">
        <is>
          <t>3</t>
        </is>
      </c>
      <c r="N57" s="85" t="inlineStr">
        <is>
          <t>Notes</t>
        </is>
      </c>
      <c r="O57" s="85" t="inlineStr">
        <is>
          <t>1</t>
        </is>
      </c>
      <c r="P57" s="85" t="inlineStr">
        <is>
          <t>2</t>
        </is>
      </c>
      <c r="Q57" s="85" t="inlineStr">
        <is>
          <t>3</t>
        </is>
      </c>
      <c r="R57" s="85" t="inlineStr">
        <is>
          <t>Notes</t>
        </is>
      </c>
      <c r="S57" s="85" t="inlineStr">
        <is>
          <t>1</t>
        </is>
      </c>
      <c r="T57" s="85" t="inlineStr">
        <is>
          <t>2</t>
        </is>
      </c>
      <c r="U57" s="85" t="inlineStr">
        <is>
          <t>3</t>
        </is>
      </c>
      <c r="V57" s="85" t="inlineStr">
        <is>
          <t>Notes</t>
        </is>
      </c>
      <c r="W57" s="85" t="inlineStr">
        <is>
          <t>Cover</t>
        </is>
      </c>
      <c r="X57" s="85" t="inlineStr">
        <is>
          <t>Notes</t>
        </is>
      </c>
      <c r="Y57" s="85" t="inlineStr">
        <is>
          <t>Cover</t>
        </is>
      </c>
      <c r="Z57" s="85" t="inlineStr">
        <is>
          <t>Notes</t>
        </is>
      </c>
      <c r="AB57" s="86" t="inlineStr">
        <is>
          <t>weekdays short</t>
        </is>
      </c>
      <c r="AC57" s="87" t="inlineStr"/>
    </row>
    <row r="58" ht="17" customHeight="1">
      <c r="A58" t="n">
        <v>2</v>
      </c>
      <c r="B58" s="24">
        <f>IF(Setup!$K$6="","",Setup!$K$6)</f>
        <v/>
      </c>
      <c r="C58" s="88" t="n"/>
      <c r="D58" s="88" t="n"/>
      <c r="E58" s="88" t="n"/>
      <c r="F58" s="89" t="n"/>
      <c r="G58" s="88" t="n"/>
      <c r="H58" s="88" t="n"/>
      <c r="I58" s="88" t="n"/>
      <c r="J58" s="89" t="n"/>
      <c r="K58" s="88" t="n"/>
      <c r="L58" s="88" t="n"/>
      <c r="M58" s="88" t="n"/>
      <c r="N58" s="89" t="n"/>
      <c r="O58" s="88" t="n"/>
      <c r="P58" s="88" t="n"/>
      <c r="Q58" s="88" t="n"/>
      <c r="R58" s="89" t="n"/>
      <c r="S58" s="88" t="n"/>
      <c r="T58" s="88" t="n"/>
      <c r="U58" s="88" t="n"/>
      <c r="V58" s="89" t="n"/>
      <c r="W58" s="88" t="n"/>
      <c r="X58" s="89" t="n"/>
      <c r="Y58" s="88" t="n"/>
      <c r="Z58" s="89" t="n"/>
      <c r="AB58" s="25">
        <f>IF($B58="","",(COUNTIF(C58:E58,"?*")&lt;N(INDEX(Setup!$L$6:$L$23,1)))+(COUNTIF(G58:I58,"?*")&lt;N(INDEX(Setup!$L$6:$L$23,1)))+(COUNTIF(K58:M58,"?*")&lt;N(INDEX(Setup!$L$6:$L$23,1)))+(COUNTIF(O58:Q58,"?*")&lt;N(INDEX(Setup!$L$6:$L$23,1)))+(COUNTIF(S58:U58,"?*")&lt;N(INDEX(Setup!$L$6:$L$23,1)))+((W58="")*(INDEX(Setup!$M$6:$M$23,1)="Y"))+((Y58="")*(INDEX(Setup!$M$6:$M$23,1)="Y")))</f>
        <v/>
      </c>
      <c r="AC58" s="90">
        <f>IF($B58="","",IF(AB58=0,"✓ covered","⚠ "&amp;AB58&amp;IF(AB58=1," gap"," gaps")))</f>
        <v/>
      </c>
    </row>
    <row r="59" ht="17" customHeight="1">
      <c r="A59" t="n">
        <v>2</v>
      </c>
      <c r="B59" s="29">
        <f>IF(Setup!$K$7="","",Setup!$K$7)</f>
        <v/>
      </c>
      <c r="C59" s="88" t="n"/>
      <c r="D59" s="88" t="n"/>
      <c r="E59" s="88" t="n"/>
      <c r="F59" s="89" t="n"/>
      <c r="G59" s="88" t="n"/>
      <c r="H59" s="88" t="n"/>
      <c r="I59" s="88" t="n"/>
      <c r="J59" s="89" t="n"/>
      <c r="K59" s="88" t="n"/>
      <c r="L59" s="88" t="n"/>
      <c r="M59" s="88" t="n"/>
      <c r="N59" s="89" t="n"/>
      <c r="O59" s="88" t="n"/>
      <c r="P59" s="88" t="n"/>
      <c r="Q59" s="88" t="n"/>
      <c r="R59" s="89" t="n"/>
      <c r="S59" s="88" t="n"/>
      <c r="T59" s="88" t="n"/>
      <c r="U59" s="88" t="n"/>
      <c r="V59" s="89" t="n"/>
      <c r="W59" s="88" t="n"/>
      <c r="X59" s="89" t="n"/>
      <c r="Y59" s="88" t="n"/>
      <c r="Z59" s="89" t="n"/>
      <c r="AB59" s="30">
        <f>IF($B59="","",(COUNTIF(C59:E59,"?*")&lt;N(INDEX(Setup!$L$6:$L$23,2)))+(COUNTIF(G59:I59,"?*")&lt;N(INDEX(Setup!$L$6:$L$23,2)))+(COUNTIF(K59:M59,"?*")&lt;N(INDEX(Setup!$L$6:$L$23,2)))+(COUNTIF(O59:Q59,"?*")&lt;N(INDEX(Setup!$L$6:$L$23,2)))+(COUNTIF(S59:U59,"?*")&lt;N(INDEX(Setup!$L$6:$L$23,2)))+((W59="")*(INDEX(Setup!$M$6:$M$23,2)="Y"))+((Y59="")*(INDEX(Setup!$M$6:$M$23,2)="Y")))</f>
        <v/>
      </c>
      <c r="AC59" s="91">
        <f>IF($B59="","",IF(AB59=0,"✓ covered","⚠ "&amp;AB59&amp;IF(AB59=1," gap"," gaps")))</f>
        <v/>
      </c>
    </row>
    <row r="60" ht="17" customHeight="1">
      <c r="A60" t="n">
        <v>2</v>
      </c>
      <c r="B60" s="24">
        <f>IF(Setup!$K$8="","",Setup!$K$8)</f>
        <v/>
      </c>
      <c r="C60" s="88" t="n"/>
      <c r="D60" s="88" t="n"/>
      <c r="E60" s="88" t="n"/>
      <c r="F60" s="89" t="n"/>
      <c r="G60" s="88" t="n"/>
      <c r="H60" s="88" t="n"/>
      <c r="I60" s="88" t="n"/>
      <c r="J60" s="89" t="n"/>
      <c r="K60" s="88" t="n"/>
      <c r="L60" s="88" t="n"/>
      <c r="M60" s="88" t="n"/>
      <c r="N60" s="89" t="n"/>
      <c r="O60" s="88" t="n"/>
      <c r="P60" s="88" t="n"/>
      <c r="Q60" s="88" t="n"/>
      <c r="R60" s="89" t="n"/>
      <c r="S60" s="88" t="n"/>
      <c r="T60" s="88" t="n"/>
      <c r="U60" s="88" t="n"/>
      <c r="V60" s="89" t="n"/>
      <c r="W60" s="88" t="n"/>
      <c r="X60" s="89" t="n"/>
      <c r="Y60" s="88" t="n"/>
      <c r="Z60" s="89" t="n"/>
      <c r="AB60" s="25">
        <f>IF($B60="","",(COUNTIF(C60:E60,"?*")&lt;N(INDEX(Setup!$L$6:$L$23,3)))+(COUNTIF(G60:I60,"?*")&lt;N(INDEX(Setup!$L$6:$L$23,3)))+(COUNTIF(K60:M60,"?*")&lt;N(INDEX(Setup!$L$6:$L$23,3)))+(COUNTIF(O60:Q60,"?*")&lt;N(INDEX(Setup!$L$6:$L$23,3)))+(COUNTIF(S60:U60,"?*")&lt;N(INDEX(Setup!$L$6:$L$23,3)))+((W60="")*(INDEX(Setup!$M$6:$M$23,3)="Y"))+((Y60="")*(INDEX(Setup!$M$6:$M$23,3)="Y")))</f>
        <v/>
      </c>
      <c r="AC60" s="90">
        <f>IF($B60="","",IF(AB60=0,"✓ covered","⚠ "&amp;AB60&amp;IF(AB60=1," gap"," gaps")))</f>
        <v/>
      </c>
    </row>
    <row r="61" ht="17" customHeight="1">
      <c r="A61" t="n">
        <v>2</v>
      </c>
      <c r="B61" s="29">
        <f>IF(Setup!$K$9="","",Setup!$K$9)</f>
        <v/>
      </c>
      <c r="C61" s="88" t="n"/>
      <c r="D61" s="88" t="n"/>
      <c r="E61" s="88" t="n"/>
      <c r="F61" s="89" t="n"/>
      <c r="G61" s="88" t="n"/>
      <c r="H61" s="88" t="n"/>
      <c r="I61" s="88" t="n"/>
      <c r="J61" s="89" t="n"/>
      <c r="K61" s="88" t="n"/>
      <c r="L61" s="88" t="n"/>
      <c r="M61" s="88" t="n"/>
      <c r="N61" s="89" t="n"/>
      <c r="O61" s="88" t="n"/>
      <c r="P61" s="88" t="n"/>
      <c r="Q61" s="88" t="n"/>
      <c r="R61" s="89" t="n"/>
      <c r="S61" s="88" t="n"/>
      <c r="T61" s="88" t="n"/>
      <c r="U61" s="88" t="n"/>
      <c r="V61" s="89" t="n"/>
      <c r="W61" s="88" t="n"/>
      <c r="X61" s="89" t="n"/>
      <c r="Y61" s="88" t="n"/>
      <c r="Z61" s="89" t="n"/>
      <c r="AB61" s="30">
        <f>IF($B61="","",(COUNTIF(C61:E61,"?*")&lt;N(INDEX(Setup!$L$6:$L$23,4)))+(COUNTIF(G61:I61,"?*")&lt;N(INDEX(Setup!$L$6:$L$23,4)))+(COUNTIF(K61:M61,"?*")&lt;N(INDEX(Setup!$L$6:$L$23,4)))+(COUNTIF(O61:Q61,"?*")&lt;N(INDEX(Setup!$L$6:$L$23,4)))+(COUNTIF(S61:U61,"?*")&lt;N(INDEX(Setup!$L$6:$L$23,4)))+((W61="")*(INDEX(Setup!$M$6:$M$23,4)="Y"))+((Y61="")*(INDEX(Setup!$M$6:$M$23,4)="Y")))</f>
        <v/>
      </c>
      <c r="AC61" s="91">
        <f>IF($B61="","",IF(AB61=0,"✓ covered","⚠ "&amp;AB61&amp;IF(AB61=1," gap"," gaps")))</f>
        <v/>
      </c>
    </row>
    <row r="62" ht="17" customHeight="1">
      <c r="A62" t="n">
        <v>2</v>
      </c>
      <c r="B62" s="24">
        <f>IF(Setup!$K$10="","",Setup!$K$10)</f>
        <v/>
      </c>
      <c r="C62" s="88" t="n"/>
      <c r="D62" s="88" t="n"/>
      <c r="E62" s="88" t="n"/>
      <c r="F62" s="89" t="n"/>
      <c r="G62" s="88" t="n"/>
      <c r="H62" s="88" t="n"/>
      <c r="I62" s="88" t="n"/>
      <c r="J62" s="89" t="n"/>
      <c r="K62" s="88" t="n"/>
      <c r="L62" s="88" t="n"/>
      <c r="M62" s="88" t="n"/>
      <c r="N62" s="89" t="n"/>
      <c r="O62" s="88" t="n"/>
      <c r="P62" s="88" t="n"/>
      <c r="Q62" s="88" t="n"/>
      <c r="R62" s="89" t="n"/>
      <c r="S62" s="88" t="n"/>
      <c r="T62" s="88" t="n"/>
      <c r="U62" s="88" t="n"/>
      <c r="V62" s="89" t="n"/>
      <c r="W62" s="88" t="n"/>
      <c r="X62" s="89" t="n"/>
      <c r="Y62" s="88" t="n"/>
      <c r="Z62" s="89" t="n"/>
      <c r="AB62" s="25">
        <f>IF($B62="","",(COUNTIF(C62:E62,"?*")&lt;N(INDEX(Setup!$L$6:$L$23,5)))+(COUNTIF(G62:I62,"?*")&lt;N(INDEX(Setup!$L$6:$L$23,5)))+(COUNTIF(K62:M62,"?*")&lt;N(INDEX(Setup!$L$6:$L$23,5)))+(COUNTIF(O62:Q62,"?*")&lt;N(INDEX(Setup!$L$6:$L$23,5)))+(COUNTIF(S62:U62,"?*")&lt;N(INDEX(Setup!$L$6:$L$23,5)))+((W62="")*(INDEX(Setup!$M$6:$M$23,5)="Y"))+((Y62="")*(INDEX(Setup!$M$6:$M$23,5)="Y")))</f>
        <v/>
      </c>
      <c r="AC62" s="90">
        <f>IF($B62="","",IF(AB62=0,"✓ covered","⚠ "&amp;AB62&amp;IF(AB62=1," gap"," gaps")))</f>
        <v/>
      </c>
    </row>
    <row r="63" ht="17" customHeight="1">
      <c r="A63" t="n">
        <v>2</v>
      </c>
      <c r="B63" s="29">
        <f>IF(Setup!$K$11="","",Setup!$K$11)</f>
        <v/>
      </c>
      <c r="C63" s="88" t="n"/>
      <c r="D63" s="88" t="n"/>
      <c r="E63" s="88" t="n"/>
      <c r="F63" s="89" t="n"/>
      <c r="G63" s="88" t="n"/>
      <c r="H63" s="88" t="n"/>
      <c r="I63" s="88" t="n"/>
      <c r="J63" s="89" t="n"/>
      <c r="K63" s="88" t="n"/>
      <c r="L63" s="88" t="n"/>
      <c r="M63" s="88" t="n"/>
      <c r="N63" s="89" t="n"/>
      <c r="O63" s="88" t="n"/>
      <c r="P63" s="88" t="n"/>
      <c r="Q63" s="88" t="n"/>
      <c r="R63" s="89" t="n"/>
      <c r="S63" s="88" t="n"/>
      <c r="T63" s="88" t="n"/>
      <c r="U63" s="88" t="n"/>
      <c r="V63" s="89" t="n"/>
      <c r="W63" s="88" t="n"/>
      <c r="X63" s="89" t="n"/>
      <c r="Y63" s="88" t="n"/>
      <c r="Z63" s="89" t="n"/>
      <c r="AB63" s="30">
        <f>IF($B63="","",(COUNTIF(C63:E63,"?*")&lt;N(INDEX(Setup!$L$6:$L$23,6)))+(COUNTIF(G63:I63,"?*")&lt;N(INDEX(Setup!$L$6:$L$23,6)))+(COUNTIF(K63:M63,"?*")&lt;N(INDEX(Setup!$L$6:$L$23,6)))+(COUNTIF(O63:Q63,"?*")&lt;N(INDEX(Setup!$L$6:$L$23,6)))+(COUNTIF(S63:U63,"?*")&lt;N(INDEX(Setup!$L$6:$L$23,6)))+((W63="")*(INDEX(Setup!$M$6:$M$23,6)="Y"))+((Y63="")*(INDEX(Setup!$M$6:$M$23,6)="Y")))</f>
        <v/>
      </c>
      <c r="AC63" s="91">
        <f>IF($B63="","",IF(AB63=0,"✓ covered","⚠ "&amp;AB63&amp;IF(AB63=1," gap"," gaps")))</f>
        <v/>
      </c>
    </row>
    <row r="64" ht="17" customHeight="1">
      <c r="A64" t="n">
        <v>2</v>
      </c>
      <c r="B64" s="24">
        <f>IF(Setup!$K$12="","",Setup!$K$12)</f>
        <v/>
      </c>
      <c r="C64" s="88" t="n"/>
      <c r="D64" s="88" t="n"/>
      <c r="E64" s="88" t="n"/>
      <c r="F64" s="89" t="n"/>
      <c r="G64" s="88" t="n"/>
      <c r="H64" s="88" t="n"/>
      <c r="I64" s="88" t="n"/>
      <c r="J64" s="89" t="n"/>
      <c r="K64" s="88" t="n"/>
      <c r="L64" s="88" t="n"/>
      <c r="M64" s="88" t="n"/>
      <c r="N64" s="89" t="n"/>
      <c r="O64" s="88" t="n"/>
      <c r="P64" s="88" t="n"/>
      <c r="Q64" s="88" t="n"/>
      <c r="R64" s="89" t="n"/>
      <c r="S64" s="88" t="n"/>
      <c r="T64" s="88" t="n"/>
      <c r="U64" s="88" t="n"/>
      <c r="V64" s="89" t="n"/>
      <c r="W64" s="88" t="n"/>
      <c r="X64" s="89" t="n"/>
      <c r="Y64" s="88" t="n"/>
      <c r="Z64" s="89" t="n"/>
      <c r="AB64" s="25">
        <f>IF($B64="","",(COUNTIF(C64:E64,"?*")&lt;N(INDEX(Setup!$L$6:$L$23,7)))+(COUNTIF(G64:I64,"?*")&lt;N(INDEX(Setup!$L$6:$L$23,7)))+(COUNTIF(K64:M64,"?*")&lt;N(INDEX(Setup!$L$6:$L$23,7)))+(COUNTIF(O64:Q64,"?*")&lt;N(INDEX(Setup!$L$6:$L$23,7)))+(COUNTIF(S64:U64,"?*")&lt;N(INDEX(Setup!$L$6:$L$23,7)))+((W64="")*(INDEX(Setup!$M$6:$M$23,7)="Y"))+((Y64="")*(INDEX(Setup!$M$6:$M$23,7)="Y")))</f>
        <v/>
      </c>
      <c r="AC64" s="90">
        <f>IF($B64="","",IF(AB64=0,"✓ covered","⚠ "&amp;AB64&amp;IF(AB64=1," gap"," gaps")))</f>
        <v/>
      </c>
    </row>
    <row r="65" ht="17" customHeight="1">
      <c r="A65" t="n">
        <v>2</v>
      </c>
      <c r="B65" s="29">
        <f>IF(Setup!$K$13="","",Setup!$K$13)</f>
        <v/>
      </c>
      <c r="C65" s="88" t="n"/>
      <c r="D65" s="88" t="n"/>
      <c r="E65" s="88" t="n"/>
      <c r="F65" s="89" t="n"/>
      <c r="G65" s="88" t="n"/>
      <c r="H65" s="88" t="n"/>
      <c r="I65" s="88" t="n"/>
      <c r="J65" s="89" t="n"/>
      <c r="K65" s="88" t="n"/>
      <c r="L65" s="88" t="n"/>
      <c r="M65" s="88" t="n"/>
      <c r="N65" s="89" t="n"/>
      <c r="O65" s="88" t="n"/>
      <c r="P65" s="88" t="n"/>
      <c r="Q65" s="88" t="n"/>
      <c r="R65" s="89" t="n"/>
      <c r="S65" s="88" t="n"/>
      <c r="T65" s="88" t="n"/>
      <c r="U65" s="88" t="n"/>
      <c r="V65" s="89" t="n"/>
      <c r="W65" s="88" t="n"/>
      <c r="X65" s="89" t="n"/>
      <c r="Y65" s="88" t="n"/>
      <c r="Z65" s="89" t="n"/>
      <c r="AB65" s="30">
        <f>IF($B65="","",(COUNTIF(C65:E65,"?*")&lt;N(INDEX(Setup!$L$6:$L$23,8)))+(COUNTIF(G65:I65,"?*")&lt;N(INDEX(Setup!$L$6:$L$23,8)))+(COUNTIF(K65:M65,"?*")&lt;N(INDEX(Setup!$L$6:$L$23,8)))+(COUNTIF(O65:Q65,"?*")&lt;N(INDEX(Setup!$L$6:$L$23,8)))+(COUNTIF(S65:U65,"?*")&lt;N(INDEX(Setup!$L$6:$L$23,8)))+((W65="")*(INDEX(Setup!$M$6:$M$23,8)="Y"))+((Y65="")*(INDEX(Setup!$M$6:$M$23,8)="Y")))</f>
        <v/>
      </c>
      <c r="AC65" s="91">
        <f>IF($B65="","",IF(AB65=0,"✓ covered","⚠ "&amp;AB65&amp;IF(AB65=1," gap"," gaps")))</f>
        <v/>
      </c>
    </row>
    <row r="66" ht="17" customHeight="1">
      <c r="A66" t="n">
        <v>2</v>
      </c>
      <c r="B66" s="24">
        <f>IF(Setup!$K$14="","",Setup!$K$14)</f>
        <v/>
      </c>
      <c r="C66" s="88" t="n"/>
      <c r="D66" s="88" t="n"/>
      <c r="E66" s="88" t="n"/>
      <c r="F66" s="89" t="n"/>
      <c r="G66" s="88" t="n"/>
      <c r="H66" s="88" t="n"/>
      <c r="I66" s="88" t="n"/>
      <c r="J66" s="89" t="n"/>
      <c r="K66" s="88" t="n"/>
      <c r="L66" s="88" t="n"/>
      <c r="M66" s="88" t="n"/>
      <c r="N66" s="89" t="n"/>
      <c r="O66" s="88" t="n"/>
      <c r="P66" s="88" t="n"/>
      <c r="Q66" s="88" t="n"/>
      <c r="R66" s="89" t="n"/>
      <c r="S66" s="88" t="n"/>
      <c r="T66" s="88" t="n"/>
      <c r="U66" s="88" t="n"/>
      <c r="V66" s="89" t="n"/>
      <c r="W66" s="88" t="n"/>
      <c r="X66" s="89" t="n"/>
      <c r="Y66" s="88" t="n"/>
      <c r="Z66" s="89" t="n"/>
      <c r="AB66" s="25">
        <f>IF($B66="","",(COUNTIF(C66:E66,"?*")&lt;N(INDEX(Setup!$L$6:$L$23,9)))+(COUNTIF(G66:I66,"?*")&lt;N(INDEX(Setup!$L$6:$L$23,9)))+(COUNTIF(K66:M66,"?*")&lt;N(INDEX(Setup!$L$6:$L$23,9)))+(COUNTIF(O66:Q66,"?*")&lt;N(INDEX(Setup!$L$6:$L$23,9)))+(COUNTIF(S66:U66,"?*")&lt;N(INDEX(Setup!$L$6:$L$23,9)))+((W66="")*(INDEX(Setup!$M$6:$M$23,9)="Y"))+((Y66="")*(INDEX(Setup!$M$6:$M$23,9)="Y")))</f>
        <v/>
      </c>
      <c r="AC66" s="90">
        <f>IF($B66="","",IF(AB66=0,"✓ covered","⚠ "&amp;AB66&amp;IF(AB66=1," gap"," gaps")))</f>
        <v/>
      </c>
    </row>
    <row r="67" ht="17" customHeight="1">
      <c r="A67" t="n">
        <v>2</v>
      </c>
      <c r="B67" s="29">
        <f>IF(Setup!$K$15="","",Setup!$K$15)</f>
        <v/>
      </c>
      <c r="C67" s="88" t="n"/>
      <c r="D67" s="88" t="n"/>
      <c r="E67" s="88" t="n"/>
      <c r="F67" s="89" t="n"/>
      <c r="G67" s="88" t="n"/>
      <c r="H67" s="88" t="n"/>
      <c r="I67" s="88" t="n"/>
      <c r="J67" s="89" t="n"/>
      <c r="K67" s="88" t="n"/>
      <c r="L67" s="88" t="n"/>
      <c r="M67" s="88" t="n"/>
      <c r="N67" s="89" t="n"/>
      <c r="O67" s="88" t="n"/>
      <c r="P67" s="88" t="n"/>
      <c r="Q67" s="88" t="n"/>
      <c r="R67" s="89" t="n"/>
      <c r="S67" s="88" t="n"/>
      <c r="T67" s="88" t="n"/>
      <c r="U67" s="88" t="n"/>
      <c r="V67" s="89" t="n"/>
      <c r="W67" s="88" t="n"/>
      <c r="X67" s="89" t="n"/>
      <c r="Y67" s="88" t="n"/>
      <c r="Z67" s="89" t="n"/>
      <c r="AB67" s="30">
        <f>IF($B67="","",(COUNTIF(C67:E67,"?*")&lt;N(INDEX(Setup!$L$6:$L$23,10)))+(COUNTIF(G67:I67,"?*")&lt;N(INDEX(Setup!$L$6:$L$23,10)))+(COUNTIF(K67:M67,"?*")&lt;N(INDEX(Setup!$L$6:$L$23,10)))+(COUNTIF(O67:Q67,"?*")&lt;N(INDEX(Setup!$L$6:$L$23,10)))+(COUNTIF(S67:U67,"?*")&lt;N(INDEX(Setup!$L$6:$L$23,10)))+((W67="")*(INDEX(Setup!$M$6:$M$23,10)="Y"))+((Y67="")*(INDEX(Setup!$M$6:$M$23,10)="Y")))</f>
        <v/>
      </c>
      <c r="AC67" s="91">
        <f>IF($B67="","",IF(AB67=0,"✓ covered","⚠ "&amp;AB67&amp;IF(AB67=1," gap"," gaps")))</f>
        <v/>
      </c>
    </row>
    <row r="68" ht="17" customHeight="1">
      <c r="A68" t="n">
        <v>2</v>
      </c>
      <c r="B68" s="24">
        <f>IF(Setup!$K$16="","",Setup!$K$16)</f>
        <v/>
      </c>
      <c r="C68" s="88" t="n"/>
      <c r="D68" s="88" t="n"/>
      <c r="E68" s="88" t="n"/>
      <c r="F68" s="89" t="n"/>
      <c r="G68" s="88" t="n"/>
      <c r="H68" s="88" t="n"/>
      <c r="I68" s="88" t="n"/>
      <c r="J68" s="89" t="n"/>
      <c r="K68" s="88" t="n"/>
      <c r="L68" s="88" t="n"/>
      <c r="M68" s="88" t="n"/>
      <c r="N68" s="89" t="n"/>
      <c r="O68" s="88" t="n"/>
      <c r="P68" s="88" t="n"/>
      <c r="Q68" s="88" t="n"/>
      <c r="R68" s="89" t="n"/>
      <c r="S68" s="88" t="n"/>
      <c r="T68" s="88" t="n"/>
      <c r="U68" s="88" t="n"/>
      <c r="V68" s="89" t="n"/>
      <c r="W68" s="88" t="n"/>
      <c r="X68" s="89" t="n"/>
      <c r="Y68" s="88" t="n"/>
      <c r="Z68" s="89" t="n"/>
      <c r="AB68" s="25">
        <f>IF($B68="","",(COUNTIF(C68:E68,"?*")&lt;N(INDEX(Setup!$L$6:$L$23,11)))+(COUNTIF(G68:I68,"?*")&lt;N(INDEX(Setup!$L$6:$L$23,11)))+(COUNTIF(K68:M68,"?*")&lt;N(INDEX(Setup!$L$6:$L$23,11)))+(COUNTIF(O68:Q68,"?*")&lt;N(INDEX(Setup!$L$6:$L$23,11)))+(COUNTIF(S68:U68,"?*")&lt;N(INDEX(Setup!$L$6:$L$23,11)))+((W68="")*(INDEX(Setup!$M$6:$M$23,11)="Y"))+((Y68="")*(INDEX(Setup!$M$6:$M$23,11)="Y")))</f>
        <v/>
      </c>
      <c r="AC68" s="90">
        <f>IF($B68="","",IF(AB68=0,"✓ covered","⚠ "&amp;AB68&amp;IF(AB68=1," gap"," gaps")))</f>
        <v/>
      </c>
    </row>
    <row r="69" ht="17" customHeight="1">
      <c r="A69" t="n">
        <v>2</v>
      </c>
      <c r="B69" s="29">
        <f>IF(Setup!$K$17="","",Setup!$K$17)</f>
        <v/>
      </c>
      <c r="C69" s="88" t="n"/>
      <c r="D69" s="88" t="n"/>
      <c r="E69" s="88" t="n"/>
      <c r="F69" s="89" t="n"/>
      <c r="G69" s="88" t="n"/>
      <c r="H69" s="88" t="n"/>
      <c r="I69" s="88" t="n"/>
      <c r="J69" s="89" t="n"/>
      <c r="K69" s="88" t="n"/>
      <c r="L69" s="88" t="n"/>
      <c r="M69" s="88" t="n"/>
      <c r="N69" s="89" t="n"/>
      <c r="O69" s="88" t="n"/>
      <c r="P69" s="88" t="n"/>
      <c r="Q69" s="88" t="n"/>
      <c r="R69" s="89" t="n"/>
      <c r="S69" s="88" t="n"/>
      <c r="T69" s="88" t="n"/>
      <c r="U69" s="88" t="n"/>
      <c r="V69" s="89" t="n"/>
      <c r="W69" s="88" t="n"/>
      <c r="X69" s="89" t="n"/>
      <c r="Y69" s="88" t="n"/>
      <c r="Z69" s="89" t="n"/>
      <c r="AB69" s="30">
        <f>IF($B69="","",(COUNTIF(C69:E69,"?*")&lt;N(INDEX(Setup!$L$6:$L$23,12)))+(COUNTIF(G69:I69,"?*")&lt;N(INDEX(Setup!$L$6:$L$23,12)))+(COUNTIF(K69:M69,"?*")&lt;N(INDEX(Setup!$L$6:$L$23,12)))+(COUNTIF(O69:Q69,"?*")&lt;N(INDEX(Setup!$L$6:$L$23,12)))+(COUNTIF(S69:U69,"?*")&lt;N(INDEX(Setup!$L$6:$L$23,12)))+((W69="")*(INDEX(Setup!$M$6:$M$23,12)="Y"))+((Y69="")*(INDEX(Setup!$M$6:$M$23,12)="Y")))</f>
        <v/>
      </c>
      <c r="AC69" s="91">
        <f>IF($B69="","",IF(AB69=0,"✓ covered","⚠ "&amp;AB69&amp;IF(AB69=1," gap"," gaps")))</f>
        <v/>
      </c>
    </row>
    <row r="70" ht="17" customHeight="1">
      <c r="A70" t="n">
        <v>2</v>
      </c>
      <c r="B70" s="24">
        <f>IF(Setup!$K$18="","",Setup!$K$18)</f>
        <v/>
      </c>
      <c r="C70" s="88" t="n"/>
      <c r="D70" s="88" t="n"/>
      <c r="E70" s="88" t="n"/>
      <c r="F70" s="89" t="n"/>
      <c r="G70" s="88" t="n"/>
      <c r="H70" s="88" t="n"/>
      <c r="I70" s="88" t="n"/>
      <c r="J70" s="89" t="n"/>
      <c r="K70" s="88" t="n"/>
      <c r="L70" s="88" t="n"/>
      <c r="M70" s="88" t="n"/>
      <c r="N70" s="89" t="n"/>
      <c r="O70" s="88" t="n"/>
      <c r="P70" s="88" t="n"/>
      <c r="Q70" s="88" t="n"/>
      <c r="R70" s="89" t="n"/>
      <c r="S70" s="88" t="n"/>
      <c r="T70" s="88" t="n"/>
      <c r="U70" s="88" t="n"/>
      <c r="V70" s="89" t="n"/>
      <c r="W70" s="88" t="n"/>
      <c r="X70" s="89" t="n"/>
      <c r="Y70" s="88" t="n"/>
      <c r="Z70" s="89" t="n"/>
      <c r="AB70" s="25">
        <f>IF($B70="","",(COUNTIF(C70:E70,"?*")&lt;N(INDEX(Setup!$L$6:$L$23,13)))+(COUNTIF(G70:I70,"?*")&lt;N(INDEX(Setup!$L$6:$L$23,13)))+(COUNTIF(K70:M70,"?*")&lt;N(INDEX(Setup!$L$6:$L$23,13)))+(COUNTIF(O70:Q70,"?*")&lt;N(INDEX(Setup!$L$6:$L$23,13)))+(COUNTIF(S70:U70,"?*")&lt;N(INDEX(Setup!$L$6:$L$23,13)))+((W70="")*(INDEX(Setup!$M$6:$M$23,13)="Y"))+((Y70="")*(INDEX(Setup!$M$6:$M$23,13)="Y")))</f>
        <v/>
      </c>
      <c r="AC70" s="90">
        <f>IF($B70="","",IF(AB70=0,"✓ covered","⚠ "&amp;AB70&amp;IF(AB70=1," gap"," gaps")))</f>
        <v/>
      </c>
    </row>
    <row r="71" ht="17" customHeight="1">
      <c r="A71" t="n">
        <v>2</v>
      </c>
      <c r="B71" s="29">
        <f>IF(Setup!$K$19="","",Setup!$K$19)</f>
        <v/>
      </c>
      <c r="C71" s="88" t="n"/>
      <c r="D71" s="88" t="n"/>
      <c r="E71" s="88" t="n"/>
      <c r="F71" s="89" t="n"/>
      <c r="G71" s="88" t="n"/>
      <c r="H71" s="88" t="n"/>
      <c r="I71" s="88" t="n"/>
      <c r="J71" s="89" t="n"/>
      <c r="K71" s="88" t="n"/>
      <c r="L71" s="88" t="n"/>
      <c r="M71" s="88" t="n"/>
      <c r="N71" s="89" t="n"/>
      <c r="O71" s="88" t="n"/>
      <c r="P71" s="88" t="n"/>
      <c r="Q71" s="88" t="n"/>
      <c r="R71" s="89" t="n"/>
      <c r="S71" s="88" t="n"/>
      <c r="T71" s="88" t="n"/>
      <c r="U71" s="88" t="n"/>
      <c r="V71" s="89" t="n"/>
      <c r="W71" s="88" t="n"/>
      <c r="X71" s="89" t="n"/>
      <c r="Y71" s="88" t="n"/>
      <c r="Z71" s="89" t="n"/>
      <c r="AB71" s="30">
        <f>IF($B71="","",(COUNTIF(C71:E71,"?*")&lt;N(INDEX(Setup!$L$6:$L$23,14)))+(COUNTIF(G71:I71,"?*")&lt;N(INDEX(Setup!$L$6:$L$23,14)))+(COUNTIF(K71:M71,"?*")&lt;N(INDEX(Setup!$L$6:$L$23,14)))+(COUNTIF(O71:Q71,"?*")&lt;N(INDEX(Setup!$L$6:$L$23,14)))+(COUNTIF(S71:U71,"?*")&lt;N(INDEX(Setup!$L$6:$L$23,14)))+((W71="")*(INDEX(Setup!$M$6:$M$23,14)="Y"))+((Y71="")*(INDEX(Setup!$M$6:$M$23,14)="Y")))</f>
        <v/>
      </c>
      <c r="AC71" s="91">
        <f>IF($B71="","",IF(AB71=0,"✓ covered","⚠ "&amp;AB71&amp;IF(AB71=1," gap"," gaps")))</f>
        <v/>
      </c>
    </row>
    <row r="72" ht="17" customHeight="1">
      <c r="A72" t="n">
        <v>2</v>
      </c>
      <c r="B72" s="24">
        <f>IF(Setup!$K$20="","",Setup!$K$20)</f>
        <v/>
      </c>
      <c r="C72" s="88" t="n"/>
      <c r="D72" s="88" t="n"/>
      <c r="E72" s="88" t="n"/>
      <c r="F72" s="89" t="n"/>
      <c r="G72" s="88" t="n"/>
      <c r="H72" s="88" t="n"/>
      <c r="I72" s="88" t="n"/>
      <c r="J72" s="89" t="n"/>
      <c r="K72" s="88" t="n"/>
      <c r="L72" s="88" t="n"/>
      <c r="M72" s="88" t="n"/>
      <c r="N72" s="89" t="n"/>
      <c r="O72" s="88" t="n"/>
      <c r="P72" s="88" t="n"/>
      <c r="Q72" s="88" t="n"/>
      <c r="R72" s="89" t="n"/>
      <c r="S72" s="88" t="n"/>
      <c r="T72" s="88" t="n"/>
      <c r="U72" s="88" t="n"/>
      <c r="V72" s="89" t="n"/>
      <c r="W72" s="88" t="n"/>
      <c r="X72" s="89" t="n"/>
      <c r="Y72" s="88" t="n"/>
      <c r="Z72" s="89" t="n"/>
      <c r="AB72" s="25">
        <f>IF($B72="","",(COUNTIF(C72:E72,"?*")&lt;N(INDEX(Setup!$L$6:$L$23,15)))+(COUNTIF(G72:I72,"?*")&lt;N(INDEX(Setup!$L$6:$L$23,15)))+(COUNTIF(K72:M72,"?*")&lt;N(INDEX(Setup!$L$6:$L$23,15)))+(COUNTIF(O72:Q72,"?*")&lt;N(INDEX(Setup!$L$6:$L$23,15)))+(COUNTIF(S72:U72,"?*")&lt;N(INDEX(Setup!$L$6:$L$23,15)))+((W72="")*(INDEX(Setup!$M$6:$M$23,15)="Y"))+((Y72="")*(INDEX(Setup!$M$6:$M$23,15)="Y")))</f>
        <v/>
      </c>
      <c r="AC72" s="90">
        <f>IF($B72="","",IF(AB72=0,"✓ covered","⚠ "&amp;AB72&amp;IF(AB72=1," gap"," gaps")))</f>
        <v/>
      </c>
    </row>
    <row r="73" ht="17" customHeight="1">
      <c r="A73" t="n">
        <v>2</v>
      </c>
      <c r="B73" s="29">
        <f>IF(Setup!$K$21="","",Setup!$K$21)</f>
        <v/>
      </c>
      <c r="C73" s="88" t="n"/>
      <c r="D73" s="88" t="n"/>
      <c r="E73" s="88" t="n"/>
      <c r="F73" s="89" t="n"/>
      <c r="G73" s="88" t="n"/>
      <c r="H73" s="88" t="n"/>
      <c r="I73" s="88" t="n"/>
      <c r="J73" s="89" t="n"/>
      <c r="K73" s="88" t="n"/>
      <c r="L73" s="88" t="n"/>
      <c r="M73" s="88" t="n"/>
      <c r="N73" s="89" t="n"/>
      <c r="O73" s="88" t="n"/>
      <c r="P73" s="88" t="n"/>
      <c r="Q73" s="88" t="n"/>
      <c r="R73" s="89" t="n"/>
      <c r="S73" s="88" t="n"/>
      <c r="T73" s="88" t="n"/>
      <c r="U73" s="88" t="n"/>
      <c r="V73" s="89" t="n"/>
      <c r="W73" s="88" t="n"/>
      <c r="X73" s="89" t="n"/>
      <c r="Y73" s="88" t="n"/>
      <c r="Z73" s="89" t="n"/>
      <c r="AB73" s="30">
        <f>IF($B73="","",(COUNTIF(C73:E73,"?*")&lt;N(INDEX(Setup!$L$6:$L$23,16)))+(COUNTIF(G73:I73,"?*")&lt;N(INDEX(Setup!$L$6:$L$23,16)))+(COUNTIF(K73:M73,"?*")&lt;N(INDEX(Setup!$L$6:$L$23,16)))+(COUNTIF(O73:Q73,"?*")&lt;N(INDEX(Setup!$L$6:$L$23,16)))+(COUNTIF(S73:U73,"?*")&lt;N(INDEX(Setup!$L$6:$L$23,16)))+((W73="")*(INDEX(Setup!$M$6:$M$23,16)="Y"))+((Y73="")*(INDEX(Setup!$M$6:$M$23,16)="Y")))</f>
        <v/>
      </c>
      <c r="AC73" s="91">
        <f>IF($B73="","",IF(AB73=0,"✓ covered","⚠ "&amp;AB73&amp;IF(AB73=1," gap"," gaps")))</f>
        <v/>
      </c>
    </row>
    <row r="74" ht="17" customHeight="1">
      <c r="A74" t="n">
        <v>2</v>
      </c>
      <c r="B74" s="24">
        <f>IF(Setup!$K$22="","",Setup!$K$22)</f>
        <v/>
      </c>
      <c r="C74" s="88" t="n"/>
      <c r="D74" s="88" t="n"/>
      <c r="E74" s="88" t="n"/>
      <c r="F74" s="89" t="n"/>
      <c r="G74" s="88" t="n"/>
      <c r="H74" s="88" t="n"/>
      <c r="I74" s="88" t="n"/>
      <c r="J74" s="89" t="n"/>
      <c r="K74" s="88" t="n"/>
      <c r="L74" s="88" t="n"/>
      <c r="M74" s="88" t="n"/>
      <c r="N74" s="89" t="n"/>
      <c r="O74" s="88" t="n"/>
      <c r="P74" s="88" t="n"/>
      <c r="Q74" s="88" t="n"/>
      <c r="R74" s="89" t="n"/>
      <c r="S74" s="88" t="n"/>
      <c r="T74" s="88" t="n"/>
      <c r="U74" s="88" t="n"/>
      <c r="V74" s="89" t="n"/>
      <c r="W74" s="88" t="n"/>
      <c r="X74" s="89" t="n"/>
      <c r="Y74" s="88" t="n"/>
      <c r="Z74" s="89" t="n"/>
      <c r="AB74" s="25">
        <f>IF($B74="","",(COUNTIF(C74:E74,"?*")&lt;N(INDEX(Setup!$L$6:$L$23,17)))+(COUNTIF(G74:I74,"?*")&lt;N(INDEX(Setup!$L$6:$L$23,17)))+(COUNTIF(K74:M74,"?*")&lt;N(INDEX(Setup!$L$6:$L$23,17)))+(COUNTIF(O74:Q74,"?*")&lt;N(INDEX(Setup!$L$6:$L$23,17)))+(COUNTIF(S74:U74,"?*")&lt;N(INDEX(Setup!$L$6:$L$23,17)))+((W74="")*(INDEX(Setup!$M$6:$M$23,17)="Y"))+((Y74="")*(INDEX(Setup!$M$6:$M$23,17)="Y")))</f>
        <v/>
      </c>
      <c r="AC74" s="90">
        <f>IF($B74="","",IF(AB74=0,"✓ covered","⚠ "&amp;AB74&amp;IF(AB74=1," gap"," gaps")))</f>
        <v/>
      </c>
    </row>
    <row r="75" ht="17" customHeight="1">
      <c r="A75" t="n">
        <v>2</v>
      </c>
      <c r="B75" s="29">
        <f>IF(Setup!$K$23="","",Setup!$K$23)</f>
        <v/>
      </c>
      <c r="C75" s="88" t="n"/>
      <c r="D75" s="88" t="n"/>
      <c r="E75" s="88" t="n"/>
      <c r="F75" s="89" t="n"/>
      <c r="G75" s="88" t="n"/>
      <c r="H75" s="88" t="n"/>
      <c r="I75" s="88" t="n"/>
      <c r="J75" s="89" t="n"/>
      <c r="K75" s="88" t="n"/>
      <c r="L75" s="88" t="n"/>
      <c r="M75" s="88" t="n"/>
      <c r="N75" s="89" t="n"/>
      <c r="O75" s="88" t="n"/>
      <c r="P75" s="88" t="n"/>
      <c r="Q75" s="88" t="n"/>
      <c r="R75" s="89" t="n"/>
      <c r="S75" s="88" t="n"/>
      <c r="T75" s="88" t="n"/>
      <c r="U75" s="88" t="n"/>
      <c r="V75" s="89" t="n"/>
      <c r="W75" s="88" t="n"/>
      <c r="X75" s="89" t="n"/>
      <c r="Y75" s="88" t="n"/>
      <c r="Z75" s="89" t="n"/>
      <c r="AB75" s="30">
        <f>IF($B75="","",(COUNTIF(C75:E75,"?*")&lt;N(INDEX(Setup!$L$6:$L$23,18)))+(COUNTIF(G75:I75,"?*")&lt;N(INDEX(Setup!$L$6:$L$23,18)))+(COUNTIF(K75:M75,"?*")&lt;N(INDEX(Setup!$L$6:$L$23,18)))+(COUNTIF(O75:Q75,"?*")&lt;N(INDEX(Setup!$L$6:$L$23,18)))+(COUNTIF(S75:U75,"?*")&lt;N(INDEX(Setup!$L$6:$L$23,18)))+((W75="")*(INDEX(Setup!$M$6:$M$23,18)="Y"))+((Y75="")*(INDEX(Setup!$M$6:$M$23,18)="Y")))</f>
        <v/>
      </c>
      <c r="AC75" s="91">
        <f>IF($B75="","",IF(AB75=0,"✓ covered","⚠ "&amp;AB75&amp;IF(AB75=1," gap"," gaps")))</f>
        <v/>
      </c>
    </row>
    <row r="76" ht="18" customHeight="1">
      <c r="A76" t="n">
        <v>2</v>
      </c>
      <c r="B76" s="78" t="inlineStr">
        <is>
          <t>TEAM AVAILABILITY</t>
        </is>
      </c>
      <c r="C76" s="92" t="inlineStr">
        <is>
          <t>Mon</t>
        </is>
      </c>
      <c r="D76" s="93" t="n"/>
      <c r="E76" s="93" t="n"/>
      <c r="F76" s="94" t="n"/>
      <c r="G76" s="92" t="inlineStr">
        <is>
          <t>Tue</t>
        </is>
      </c>
      <c r="H76" s="93" t="n"/>
      <c r="I76" s="93" t="n"/>
      <c r="J76" s="94" t="n"/>
      <c r="K76" s="92" t="inlineStr">
        <is>
          <t>Wed</t>
        </is>
      </c>
      <c r="L76" s="93" t="n"/>
      <c r="M76" s="93" t="n"/>
      <c r="N76" s="94" t="n"/>
      <c r="O76" s="92" t="inlineStr">
        <is>
          <t>Thu</t>
        </is>
      </c>
      <c r="P76" s="93" t="n"/>
      <c r="Q76" s="93" t="n"/>
      <c r="R76" s="94" t="n"/>
      <c r="S76" s="92" t="inlineStr">
        <is>
          <t>Fri</t>
        </is>
      </c>
      <c r="T76" s="93" t="n"/>
      <c r="U76" s="93" t="n"/>
      <c r="V76" s="94" t="n"/>
      <c r="W76" s="95" t="inlineStr">
        <is>
          <t>Sat</t>
        </is>
      </c>
      <c r="X76" s="96" t="n"/>
      <c r="Y76" s="95" t="inlineStr">
        <is>
          <t>Sun</t>
        </is>
      </c>
      <c r="Z76" s="96" t="n"/>
      <c r="AB76" s="97" t="inlineStr">
        <is>
          <t>Days rostered</t>
        </is>
      </c>
      <c r="AC76" s="97" t="inlineStr">
        <is>
          <t>Conflicts</t>
        </is>
      </c>
    </row>
    <row r="77" ht="15" customHeight="1">
      <c r="A77" t="n">
        <v>2</v>
      </c>
      <c r="B77" s="35">
        <f>IF(Setup!$B$6="","",Setup!$B$6)</f>
        <v/>
      </c>
      <c r="C77" s="98" t="inlineStr">
        <is>
          <t>AL</t>
        </is>
      </c>
      <c r="D77" s="99" t="n"/>
      <c r="E77" s="99" t="n"/>
      <c r="F77" s="100" t="n"/>
      <c r="G77" s="98" t="n"/>
      <c r="H77" s="99" t="n"/>
      <c r="I77" s="99" t="n"/>
      <c r="J77" s="100" t="n"/>
      <c r="K77" s="98" t="n"/>
      <c r="L77" s="99" t="n"/>
      <c r="M77" s="99" t="n"/>
      <c r="N77" s="100" t="n"/>
      <c r="O77" s="98" t="n"/>
      <c r="P77" s="99" t="n"/>
      <c r="Q77" s="99" t="n"/>
      <c r="R77" s="100" t="n"/>
      <c r="S77" s="98" t="n"/>
      <c r="T77" s="99" t="n"/>
      <c r="U77" s="99" t="n"/>
      <c r="V77" s="100" t="n"/>
      <c r="W77" s="98" t="n"/>
      <c r="X77" s="100" t="n"/>
      <c r="Y77" s="98" t="n"/>
      <c r="Z77" s="100" t="n"/>
      <c r="AB77" s="101">
        <f>IF($B77="","",(COUNTIF(C58:E75,$B77)+COUNTIF(C58:E75,$B77&amp;" ~*")&gt;0)+(COUNTIF(G58:I75,$B77)+COUNTIF(G58:I75,$B77&amp;" ~*")&gt;0)+(COUNTIF(K58:M75,$B77)+COUNTIF(K58:M75,$B77&amp;" ~*")&gt;0)+(COUNTIF(O58:Q75,$B77)+COUNTIF(O58:Q75,$B77&amp;" ~*")&gt;0)+(COUNTIF(S58:U75,$B77)+COUNTIF(S58:U75,$B77&amp;" ~*")&gt;0)+(COUNTIF(W58:W75,$B77)+COUNTIF(W58:W75,$B77&amp;" ~*")&gt;0)+(COUNTIF(Y58:Y75,$B77)+COUNTIF(Y58:Y75,$B77&amp;" ~*")&gt;0))</f>
        <v/>
      </c>
      <c r="AC77" s="36">
        <f>IF($B77="","",(IFERROR(INDEX(Setup!$G$33:$G$40,MATCH(C77,Setup!$B$33:$B$40,0)),0)=1)*(COUNTIF(C58:E75,$B77)+COUNTIF(C58:E75,$B77&amp;" ~*")&gt;0)+(IFERROR(INDEX(Setup!$G$33:$G$40,MATCH(G77,Setup!$B$33:$B$40,0)),0)=1)*(COUNTIF(G58:I75,$B77)+COUNTIF(G58:I75,$B77&amp;" ~*")&gt;0)+(IFERROR(INDEX(Setup!$G$33:$G$40,MATCH(K77,Setup!$B$33:$B$40,0)),0)=1)*(COUNTIF(K58:M75,$B77)+COUNTIF(K58:M75,$B77&amp;" ~*")&gt;0)+(IFERROR(INDEX(Setup!$G$33:$G$40,MATCH(O77,Setup!$B$33:$B$40,0)),0)=1)*(COUNTIF(O58:Q75,$B77)+COUNTIF(O58:Q75,$B77&amp;" ~*")&gt;0)+(IFERROR(INDEX(Setup!$G$33:$G$40,MATCH(S77,Setup!$B$33:$B$40,0)),0)=1)*(COUNTIF(S58:U75,$B77)+COUNTIF(S58:U75,$B77&amp;" ~*")&gt;0)+(IFERROR(INDEX(Setup!$G$33:$G$40,MATCH(W77,Setup!$B$33:$B$40,0)),0)=1)*(COUNTIF(W58:W75,$B77)+COUNTIF(W58:W75,$B77&amp;" ~*")&gt;0)+(IFERROR(INDEX(Setup!$G$33:$G$40,MATCH(Y77,Setup!$B$33:$B$40,0)),0)=1)*(COUNTIF(Y58:Y75,$B77)+COUNTIF(Y58:Y75,$B77&amp;" ~*")&gt;0))</f>
        <v/>
      </c>
    </row>
    <row r="78" ht="15" customHeight="1">
      <c r="A78" t="n">
        <v>2</v>
      </c>
      <c r="B78" s="37">
        <f>IF(Setup!$B$7="","",Setup!$B$7)</f>
        <v/>
      </c>
      <c r="C78" s="102" t="n"/>
      <c r="D78" s="103" t="n"/>
      <c r="E78" s="103" t="n"/>
      <c r="F78" s="104" t="n"/>
      <c r="G78" s="102" t="n"/>
      <c r="H78" s="103" t="n"/>
      <c r="I78" s="103" t="n"/>
      <c r="J78" s="104" t="n"/>
      <c r="K78" s="102" t="n"/>
      <c r="L78" s="103" t="n"/>
      <c r="M78" s="103" t="n"/>
      <c r="N78" s="104" t="n"/>
      <c r="O78" s="102" t="n"/>
      <c r="P78" s="103" t="n"/>
      <c r="Q78" s="103" t="n"/>
      <c r="R78" s="104" t="n"/>
      <c r="S78" s="102" t="n"/>
      <c r="T78" s="103" t="n"/>
      <c r="U78" s="103" t="n"/>
      <c r="V78" s="104" t="n"/>
      <c r="W78" s="102" t="n"/>
      <c r="X78" s="104" t="n"/>
      <c r="Y78" s="102" t="n"/>
      <c r="Z78" s="104" t="n"/>
      <c r="AB78" s="105">
        <f>IF($B78="","",(COUNTIF(C58:E75,$B78)+COUNTIF(C58:E75,$B78&amp;" ~*")&gt;0)+(COUNTIF(G58:I75,$B78)+COUNTIF(G58:I75,$B78&amp;" ~*")&gt;0)+(COUNTIF(K58:M75,$B78)+COUNTIF(K58:M75,$B78&amp;" ~*")&gt;0)+(COUNTIF(O58:Q75,$B78)+COUNTIF(O58:Q75,$B78&amp;" ~*")&gt;0)+(COUNTIF(S58:U75,$B78)+COUNTIF(S58:U75,$B78&amp;" ~*")&gt;0)+(COUNTIF(W58:W75,$B78)+COUNTIF(W58:W75,$B78&amp;" ~*")&gt;0)+(COUNTIF(Y58:Y75,$B78)+COUNTIF(Y58:Y75,$B78&amp;" ~*")&gt;0))</f>
        <v/>
      </c>
      <c r="AC78" s="38">
        <f>IF($B78="","",(IFERROR(INDEX(Setup!$G$33:$G$40,MATCH(C78,Setup!$B$33:$B$40,0)),0)=1)*(COUNTIF(C58:E75,$B78)+COUNTIF(C58:E75,$B78&amp;" ~*")&gt;0)+(IFERROR(INDEX(Setup!$G$33:$G$40,MATCH(G78,Setup!$B$33:$B$40,0)),0)=1)*(COUNTIF(G58:I75,$B78)+COUNTIF(G58:I75,$B78&amp;" ~*")&gt;0)+(IFERROR(INDEX(Setup!$G$33:$G$40,MATCH(K78,Setup!$B$33:$B$40,0)),0)=1)*(COUNTIF(K58:M75,$B78)+COUNTIF(K58:M75,$B78&amp;" ~*")&gt;0)+(IFERROR(INDEX(Setup!$G$33:$G$40,MATCH(O78,Setup!$B$33:$B$40,0)),0)=1)*(COUNTIF(O58:Q75,$B78)+COUNTIF(O58:Q75,$B78&amp;" ~*")&gt;0)+(IFERROR(INDEX(Setup!$G$33:$G$40,MATCH(S78,Setup!$B$33:$B$40,0)),0)=1)*(COUNTIF(S58:U75,$B78)+COUNTIF(S58:U75,$B78&amp;" ~*")&gt;0)+(IFERROR(INDEX(Setup!$G$33:$G$40,MATCH(W78,Setup!$B$33:$B$40,0)),0)=1)*(COUNTIF(W58:W75,$B78)+COUNTIF(W58:W75,$B78&amp;" ~*")&gt;0)+(IFERROR(INDEX(Setup!$G$33:$G$40,MATCH(Y78,Setup!$B$33:$B$40,0)),0)=1)*(COUNTIF(Y58:Y75,$B78)+COUNTIF(Y58:Y75,$B78&amp;" ~*")&gt;0))</f>
        <v/>
      </c>
    </row>
    <row r="79" ht="15" customHeight="1">
      <c r="A79" t="n">
        <v>2</v>
      </c>
      <c r="B79" s="35">
        <f>IF(Setup!$B$8="","",Setup!$B$8)</f>
        <v/>
      </c>
      <c r="C79" s="98" t="n"/>
      <c r="D79" s="99" t="n"/>
      <c r="E79" s="99" t="n"/>
      <c r="F79" s="100" t="n"/>
      <c r="G79" s="98" t="n"/>
      <c r="H79" s="99" t="n"/>
      <c r="I79" s="99" t="n"/>
      <c r="J79" s="100" t="n"/>
      <c r="K79" s="98" t="n"/>
      <c r="L79" s="99" t="n"/>
      <c r="M79" s="99" t="n"/>
      <c r="N79" s="100" t="n"/>
      <c r="O79" s="98" t="n"/>
      <c r="P79" s="99" t="n"/>
      <c r="Q79" s="99" t="n"/>
      <c r="R79" s="100" t="n"/>
      <c r="S79" s="98" t="n"/>
      <c r="T79" s="99" t="n"/>
      <c r="U79" s="99" t="n"/>
      <c r="V79" s="100" t="n"/>
      <c r="W79" s="98" t="n"/>
      <c r="X79" s="100" t="n"/>
      <c r="Y79" s="98" t="n"/>
      <c r="Z79" s="100" t="n"/>
      <c r="AB79" s="101">
        <f>IF($B79="","",(COUNTIF(C58:E75,$B79)+COUNTIF(C58:E75,$B79&amp;" ~*")&gt;0)+(COUNTIF(G58:I75,$B79)+COUNTIF(G58:I75,$B79&amp;" ~*")&gt;0)+(COUNTIF(K58:M75,$B79)+COUNTIF(K58:M75,$B79&amp;" ~*")&gt;0)+(COUNTIF(O58:Q75,$B79)+COUNTIF(O58:Q75,$B79&amp;" ~*")&gt;0)+(COUNTIF(S58:U75,$B79)+COUNTIF(S58:U75,$B79&amp;" ~*")&gt;0)+(COUNTIF(W58:W75,$B79)+COUNTIF(W58:W75,$B79&amp;" ~*")&gt;0)+(COUNTIF(Y58:Y75,$B79)+COUNTIF(Y58:Y75,$B79&amp;" ~*")&gt;0))</f>
        <v/>
      </c>
      <c r="AC79" s="36">
        <f>IF($B79="","",(IFERROR(INDEX(Setup!$G$33:$G$40,MATCH(C79,Setup!$B$33:$B$40,0)),0)=1)*(COUNTIF(C58:E75,$B79)+COUNTIF(C58:E75,$B79&amp;" ~*")&gt;0)+(IFERROR(INDEX(Setup!$G$33:$G$40,MATCH(G79,Setup!$B$33:$B$40,0)),0)=1)*(COUNTIF(G58:I75,$B79)+COUNTIF(G58:I75,$B79&amp;" ~*")&gt;0)+(IFERROR(INDEX(Setup!$G$33:$G$40,MATCH(K79,Setup!$B$33:$B$40,0)),0)=1)*(COUNTIF(K58:M75,$B79)+COUNTIF(K58:M75,$B79&amp;" ~*")&gt;0)+(IFERROR(INDEX(Setup!$G$33:$G$40,MATCH(O79,Setup!$B$33:$B$40,0)),0)=1)*(COUNTIF(O58:Q75,$B79)+COUNTIF(O58:Q75,$B79&amp;" ~*")&gt;0)+(IFERROR(INDEX(Setup!$G$33:$G$40,MATCH(S79,Setup!$B$33:$B$40,0)),0)=1)*(COUNTIF(S58:U75,$B79)+COUNTIF(S58:U75,$B79&amp;" ~*")&gt;0)+(IFERROR(INDEX(Setup!$G$33:$G$40,MATCH(W79,Setup!$B$33:$B$40,0)),0)=1)*(COUNTIF(W58:W75,$B79)+COUNTIF(W58:W75,$B79&amp;" ~*")&gt;0)+(IFERROR(INDEX(Setup!$G$33:$G$40,MATCH(Y79,Setup!$B$33:$B$40,0)),0)=1)*(COUNTIF(Y58:Y75,$B79)+COUNTIF(Y58:Y75,$B79&amp;" ~*")&gt;0))</f>
        <v/>
      </c>
    </row>
    <row r="80" ht="15" customHeight="1">
      <c r="A80" t="n">
        <v>2</v>
      </c>
      <c r="B80" s="37">
        <f>IF(Setup!$B$9="","",Setup!$B$9)</f>
        <v/>
      </c>
      <c r="C80" s="102" t="n"/>
      <c r="D80" s="103" t="n"/>
      <c r="E80" s="103" t="n"/>
      <c r="F80" s="104" t="n"/>
      <c r="G80" s="102" t="n"/>
      <c r="H80" s="103" t="n"/>
      <c r="I80" s="103" t="n"/>
      <c r="J80" s="104" t="n"/>
      <c r="K80" s="102" t="n"/>
      <c r="L80" s="103" t="n"/>
      <c r="M80" s="103" t="n"/>
      <c r="N80" s="104" t="n"/>
      <c r="O80" s="102" t="n"/>
      <c r="P80" s="103" t="n"/>
      <c r="Q80" s="103" t="n"/>
      <c r="R80" s="104" t="n"/>
      <c r="S80" s="102" t="n"/>
      <c r="T80" s="103" t="n"/>
      <c r="U80" s="103" t="n"/>
      <c r="V80" s="104" t="n"/>
      <c r="W80" s="102" t="n"/>
      <c r="X80" s="104" t="n"/>
      <c r="Y80" s="102" t="n"/>
      <c r="Z80" s="104" t="n"/>
      <c r="AB80" s="105">
        <f>IF($B80="","",(COUNTIF(C58:E75,$B80)+COUNTIF(C58:E75,$B80&amp;" ~*")&gt;0)+(COUNTIF(G58:I75,$B80)+COUNTIF(G58:I75,$B80&amp;" ~*")&gt;0)+(COUNTIF(K58:M75,$B80)+COUNTIF(K58:M75,$B80&amp;" ~*")&gt;0)+(COUNTIF(O58:Q75,$B80)+COUNTIF(O58:Q75,$B80&amp;" ~*")&gt;0)+(COUNTIF(S58:U75,$B80)+COUNTIF(S58:U75,$B80&amp;" ~*")&gt;0)+(COUNTIF(W58:W75,$B80)+COUNTIF(W58:W75,$B80&amp;" ~*")&gt;0)+(COUNTIF(Y58:Y75,$B80)+COUNTIF(Y58:Y75,$B80&amp;" ~*")&gt;0))</f>
        <v/>
      </c>
      <c r="AC80" s="38">
        <f>IF($B80="","",(IFERROR(INDEX(Setup!$G$33:$G$40,MATCH(C80,Setup!$B$33:$B$40,0)),0)=1)*(COUNTIF(C58:E75,$B80)+COUNTIF(C58:E75,$B80&amp;" ~*")&gt;0)+(IFERROR(INDEX(Setup!$G$33:$G$40,MATCH(G80,Setup!$B$33:$B$40,0)),0)=1)*(COUNTIF(G58:I75,$B80)+COUNTIF(G58:I75,$B80&amp;" ~*")&gt;0)+(IFERROR(INDEX(Setup!$G$33:$G$40,MATCH(K80,Setup!$B$33:$B$40,0)),0)=1)*(COUNTIF(K58:M75,$B80)+COUNTIF(K58:M75,$B80&amp;" ~*")&gt;0)+(IFERROR(INDEX(Setup!$G$33:$G$40,MATCH(O80,Setup!$B$33:$B$40,0)),0)=1)*(COUNTIF(O58:Q75,$B80)+COUNTIF(O58:Q75,$B80&amp;" ~*")&gt;0)+(IFERROR(INDEX(Setup!$G$33:$G$40,MATCH(S80,Setup!$B$33:$B$40,0)),0)=1)*(COUNTIF(S58:U75,$B80)+COUNTIF(S58:U75,$B80&amp;" ~*")&gt;0)+(IFERROR(INDEX(Setup!$G$33:$G$40,MATCH(W80,Setup!$B$33:$B$40,0)),0)=1)*(COUNTIF(W58:W75,$B80)+COUNTIF(W58:W75,$B80&amp;" ~*")&gt;0)+(IFERROR(INDEX(Setup!$G$33:$G$40,MATCH(Y80,Setup!$B$33:$B$40,0)),0)=1)*(COUNTIF(Y58:Y75,$B80)+COUNTIF(Y58:Y75,$B80&amp;" ~*")&gt;0))</f>
        <v/>
      </c>
    </row>
    <row r="81" ht="15" customHeight="1">
      <c r="A81" t="n">
        <v>2</v>
      </c>
      <c r="B81" s="35">
        <f>IF(Setup!$B$10="","",Setup!$B$10)</f>
        <v/>
      </c>
      <c r="C81" s="98" t="n"/>
      <c r="D81" s="99" t="n"/>
      <c r="E81" s="99" t="n"/>
      <c r="F81" s="100" t="n"/>
      <c r="G81" s="98" t="n"/>
      <c r="H81" s="99" t="n"/>
      <c r="I81" s="99" t="n"/>
      <c r="J81" s="100" t="n"/>
      <c r="K81" s="98" t="n"/>
      <c r="L81" s="99" t="n"/>
      <c r="M81" s="99" t="n"/>
      <c r="N81" s="100" t="n"/>
      <c r="O81" s="98" t="n"/>
      <c r="P81" s="99" t="n"/>
      <c r="Q81" s="99" t="n"/>
      <c r="R81" s="100" t="n"/>
      <c r="S81" s="98" t="n"/>
      <c r="T81" s="99" t="n"/>
      <c r="U81" s="99" t="n"/>
      <c r="V81" s="100" t="n"/>
      <c r="W81" s="98" t="n"/>
      <c r="X81" s="100" t="n"/>
      <c r="Y81" s="98" t="n"/>
      <c r="Z81" s="100" t="n"/>
      <c r="AB81" s="101">
        <f>IF($B81="","",(COUNTIF(C58:E75,$B81)+COUNTIF(C58:E75,$B81&amp;" ~*")&gt;0)+(COUNTIF(G58:I75,$B81)+COUNTIF(G58:I75,$B81&amp;" ~*")&gt;0)+(COUNTIF(K58:M75,$B81)+COUNTIF(K58:M75,$B81&amp;" ~*")&gt;0)+(COUNTIF(O58:Q75,$B81)+COUNTIF(O58:Q75,$B81&amp;" ~*")&gt;0)+(COUNTIF(S58:U75,$B81)+COUNTIF(S58:U75,$B81&amp;" ~*")&gt;0)+(COUNTIF(W58:W75,$B81)+COUNTIF(W58:W75,$B81&amp;" ~*")&gt;0)+(COUNTIF(Y58:Y75,$B81)+COUNTIF(Y58:Y75,$B81&amp;" ~*")&gt;0))</f>
        <v/>
      </c>
      <c r="AC81" s="36">
        <f>IF($B81="","",(IFERROR(INDEX(Setup!$G$33:$G$40,MATCH(C81,Setup!$B$33:$B$40,0)),0)=1)*(COUNTIF(C58:E75,$B81)+COUNTIF(C58:E75,$B81&amp;" ~*")&gt;0)+(IFERROR(INDEX(Setup!$G$33:$G$40,MATCH(G81,Setup!$B$33:$B$40,0)),0)=1)*(COUNTIF(G58:I75,$B81)+COUNTIF(G58:I75,$B81&amp;" ~*")&gt;0)+(IFERROR(INDEX(Setup!$G$33:$G$40,MATCH(K81,Setup!$B$33:$B$40,0)),0)=1)*(COUNTIF(K58:M75,$B81)+COUNTIF(K58:M75,$B81&amp;" ~*")&gt;0)+(IFERROR(INDEX(Setup!$G$33:$G$40,MATCH(O81,Setup!$B$33:$B$40,0)),0)=1)*(COUNTIF(O58:Q75,$B81)+COUNTIF(O58:Q75,$B81&amp;" ~*")&gt;0)+(IFERROR(INDEX(Setup!$G$33:$G$40,MATCH(S81,Setup!$B$33:$B$40,0)),0)=1)*(COUNTIF(S58:U75,$B81)+COUNTIF(S58:U75,$B81&amp;" ~*")&gt;0)+(IFERROR(INDEX(Setup!$G$33:$G$40,MATCH(W81,Setup!$B$33:$B$40,0)),0)=1)*(COUNTIF(W58:W75,$B81)+COUNTIF(W58:W75,$B81&amp;" ~*")&gt;0)+(IFERROR(INDEX(Setup!$G$33:$G$40,MATCH(Y81,Setup!$B$33:$B$40,0)),0)=1)*(COUNTIF(Y58:Y75,$B81)+COUNTIF(Y58:Y75,$B81&amp;" ~*")&gt;0))</f>
        <v/>
      </c>
    </row>
    <row r="82" ht="15" customHeight="1">
      <c r="A82" t="n">
        <v>2</v>
      </c>
      <c r="B82" s="37">
        <f>IF(Setup!$B$11="","",Setup!$B$11)</f>
        <v/>
      </c>
      <c r="C82" s="102" t="n"/>
      <c r="D82" s="103" t="n"/>
      <c r="E82" s="103" t="n"/>
      <c r="F82" s="104" t="n"/>
      <c r="G82" s="102" t="n"/>
      <c r="H82" s="103" t="n"/>
      <c r="I82" s="103" t="n"/>
      <c r="J82" s="104" t="n"/>
      <c r="K82" s="102" t="n"/>
      <c r="L82" s="103" t="n"/>
      <c r="M82" s="103" t="n"/>
      <c r="N82" s="104" t="n"/>
      <c r="O82" s="102" t="n"/>
      <c r="P82" s="103" t="n"/>
      <c r="Q82" s="103" t="n"/>
      <c r="R82" s="104" t="n"/>
      <c r="S82" s="102" t="n"/>
      <c r="T82" s="103" t="n"/>
      <c r="U82" s="103" t="n"/>
      <c r="V82" s="104" t="n"/>
      <c r="W82" s="102" t="n"/>
      <c r="X82" s="104" t="n"/>
      <c r="Y82" s="102" t="n"/>
      <c r="Z82" s="104" t="n"/>
      <c r="AB82" s="105">
        <f>IF($B82="","",(COUNTIF(C58:E75,$B82)+COUNTIF(C58:E75,$B82&amp;" ~*")&gt;0)+(COUNTIF(G58:I75,$B82)+COUNTIF(G58:I75,$B82&amp;" ~*")&gt;0)+(COUNTIF(K58:M75,$B82)+COUNTIF(K58:M75,$B82&amp;" ~*")&gt;0)+(COUNTIF(O58:Q75,$B82)+COUNTIF(O58:Q75,$B82&amp;" ~*")&gt;0)+(COUNTIF(S58:U75,$B82)+COUNTIF(S58:U75,$B82&amp;" ~*")&gt;0)+(COUNTIF(W58:W75,$B82)+COUNTIF(W58:W75,$B82&amp;" ~*")&gt;0)+(COUNTIF(Y58:Y75,$B82)+COUNTIF(Y58:Y75,$B82&amp;" ~*")&gt;0))</f>
        <v/>
      </c>
      <c r="AC82" s="38">
        <f>IF($B82="","",(IFERROR(INDEX(Setup!$G$33:$G$40,MATCH(C82,Setup!$B$33:$B$40,0)),0)=1)*(COUNTIF(C58:E75,$B82)+COUNTIF(C58:E75,$B82&amp;" ~*")&gt;0)+(IFERROR(INDEX(Setup!$G$33:$G$40,MATCH(G82,Setup!$B$33:$B$40,0)),0)=1)*(COUNTIF(G58:I75,$B82)+COUNTIF(G58:I75,$B82&amp;" ~*")&gt;0)+(IFERROR(INDEX(Setup!$G$33:$G$40,MATCH(K82,Setup!$B$33:$B$40,0)),0)=1)*(COUNTIF(K58:M75,$B82)+COUNTIF(K58:M75,$B82&amp;" ~*")&gt;0)+(IFERROR(INDEX(Setup!$G$33:$G$40,MATCH(O82,Setup!$B$33:$B$40,0)),0)=1)*(COUNTIF(O58:Q75,$B82)+COUNTIF(O58:Q75,$B82&amp;" ~*")&gt;0)+(IFERROR(INDEX(Setup!$G$33:$G$40,MATCH(S82,Setup!$B$33:$B$40,0)),0)=1)*(COUNTIF(S58:U75,$B82)+COUNTIF(S58:U75,$B82&amp;" ~*")&gt;0)+(IFERROR(INDEX(Setup!$G$33:$G$40,MATCH(W82,Setup!$B$33:$B$40,0)),0)=1)*(COUNTIF(W58:W75,$B82)+COUNTIF(W58:W75,$B82&amp;" ~*")&gt;0)+(IFERROR(INDEX(Setup!$G$33:$G$40,MATCH(Y82,Setup!$B$33:$B$40,0)),0)=1)*(COUNTIF(Y58:Y75,$B82)+COUNTIF(Y58:Y75,$B82&amp;" ~*")&gt;0))</f>
        <v/>
      </c>
    </row>
    <row r="83" ht="15" customHeight="1">
      <c r="A83" t="n">
        <v>2</v>
      </c>
      <c r="B83" s="35">
        <f>IF(Setup!$B$12="","",Setup!$B$12)</f>
        <v/>
      </c>
      <c r="C83" s="98" t="n"/>
      <c r="D83" s="99" t="n"/>
      <c r="E83" s="99" t="n"/>
      <c r="F83" s="100" t="n"/>
      <c r="G83" s="98" t="n"/>
      <c r="H83" s="99" t="n"/>
      <c r="I83" s="99" t="n"/>
      <c r="J83" s="100" t="n"/>
      <c r="K83" s="98" t="n"/>
      <c r="L83" s="99" t="n"/>
      <c r="M83" s="99" t="n"/>
      <c r="N83" s="100" t="n"/>
      <c r="O83" s="98" t="n"/>
      <c r="P83" s="99" t="n"/>
      <c r="Q83" s="99" t="n"/>
      <c r="R83" s="100" t="n"/>
      <c r="S83" s="98" t="inlineStr">
        <is>
          <t>AL</t>
        </is>
      </c>
      <c r="T83" s="99" t="n"/>
      <c r="U83" s="99" t="n"/>
      <c r="V83" s="100" t="n"/>
      <c r="W83" s="98" t="n"/>
      <c r="X83" s="100" t="n"/>
      <c r="Y83" s="98" t="n"/>
      <c r="Z83" s="100" t="n"/>
      <c r="AB83" s="101">
        <f>IF($B83="","",(COUNTIF(C58:E75,$B83)+COUNTIF(C58:E75,$B83&amp;" ~*")&gt;0)+(COUNTIF(G58:I75,$B83)+COUNTIF(G58:I75,$B83&amp;" ~*")&gt;0)+(COUNTIF(K58:M75,$B83)+COUNTIF(K58:M75,$B83&amp;" ~*")&gt;0)+(COUNTIF(O58:Q75,$B83)+COUNTIF(O58:Q75,$B83&amp;" ~*")&gt;0)+(COUNTIF(S58:U75,$B83)+COUNTIF(S58:U75,$B83&amp;" ~*")&gt;0)+(COUNTIF(W58:W75,$B83)+COUNTIF(W58:W75,$B83&amp;" ~*")&gt;0)+(COUNTIF(Y58:Y75,$B83)+COUNTIF(Y58:Y75,$B83&amp;" ~*")&gt;0))</f>
        <v/>
      </c>
      <c r="AC83" s="36">
        <f>IF($B83="","",(IFERROR(INDEX(Setup!$G$33:$G$40,MATCH(C83,Setup!$B$33:$B$40,0)),0)=1)*(COUNTIF(C58:E75,$B83)+COUNTIF(C58:E75,$B83&amp;" ~*")&gt;0)+(IFERROR(INDEX(Setup!$G$33:$G$40,MATCH(G83,Setup!$B$33:$B$40,0)),0)=1)*(COUNTIF(G58:I75,$B83)+COUNTIF(G58:I75,$B83&amp;" ~*")&gt;0)+(IFERROR(INDEX(Setup!$G$33:$G$40,MATCH(K83,Setup!$B$33:$B$40,0)),0)=1)*(COUNTIF(K58:M75,$B83)+COUNTIF(K58:M75,$B83&amp;" ~*")&gt;0)+(IFERROR(INDEX(Setup!$G$33:$G$40,MATCH(O83,Setup!$B$33:$B$40,0)),0)=1)*(COUNTIF(O58:Q75,$B83)+COUNTIF(O58:Q75,$B83&amp;" ~*")&gt;0)+(IFERROR(INDEX(Setup!$G$33:$G$40,MATCH(S83,Setup!$B$33:$B$40,0)),0)=1)*(COUNTIF(S58:U75,$B83)+COUNTIF(S58:U75,$B83&amp;" ~*")&gt;0)+(IFERROR(INDEX(Setup!$G$33:$G$40,MATCH(W83,Setup!$B$33:$B$40,0)),0)=1)*(COUNTIF(W58:W75,$B83)+COUNTIF(W58:W75,$B83&amp;" ~*")&gt;0)+(IFERROR(INDEX(Setup!$G$33:$G$40,MATCH(Y83,Setup!$B$33:$B$40,0)),0)=1)*(COUNTIF(Y58:Y75,$B83)+COUNTIF(Y58:Y75,$B83&amp;" ~*")&gt;0))</f>
        <v/>
      </c>
    </row>
    <row r="84" ht="15" customHeight="1">
      <c r="A84" t="n">
        <v>2</v>
      </c>
      <c r="B84" s="37">
        <f>IF(Setup!$B$13="","",Setup!$B$13)</f>
        <v/>
      </c>
      <c r="C84" s="102" t="n"/>
      <c r="D84" s="103" t="n"/>
      <c r="E84" s="103" t="n"/>
      <c r="F84" s="104" t="n"/>
      <c r="G84" s="102" t="n"/>
      <c r="H84" s="103" t="n"/>
      <c r="I84" s="103" t="n"/>
      <c r="J84" s="104" t="n"/>
      <c r="K84" s="102" t="n"/>
      <c r="L84" s="103" t="n"/>
      <c r="M84" s="103" t="n"/>
      <c r="N84" s="104" t="n"/>
      <c r="O84" s="102" t="n"/>
      <c r="P84" s="103" t="n"/>
      <c r="Q84" s="103" t="n"/>
      <c r="R84" s="104" t="n"/>
      <c r="S84" s="102" t="n"/>
      <c r="T84" s="103" t="n"/>
      <c r="U84" s="103" t="n"/>
      <c r="V84" s="104" t="n"/>
      <c r="W84" s="102" t="n"/>
      <c r="X84" s="104" t="n"/>
      <c r="Y84" s="102" t="n"/>
      <c r="Z84" s="104" t="n"/>
      <c r="AB84" s="105">
        <f>IF($B84="","",(COUNTIF(C58:E75,$B84)+COUNTIF(C58:E75,$B84&amp;" ~*")&gt;0)+(COUNTIF(G58:I75,$B84)+COUNTIF(G58:I75,$B84&amp;" ~*")&gt;0)+(COUNTIF(K58:M75,$B84)+COUNTIF(K58:M75,$B84&amp;" ~*")&gt;0)+(COUNTIF(O58:Q75,$B84)+COUNTIF(O58:Q75,$B84&amp;" ~*")&gt;0)+(COUNTIF(S58:U75,$B84)+COUNTIF(S58:U75,$B84&amp;" ~*")&gt;0)+(COUNTIF(W58:W75,$B84)+COUNTIF(W58:W75,$B84&amp;" ~*")&gt;0)+(COUNTIF(Y58:Y75,$B84)+COUNTIF(Y58:Y75,$B84&amp;" ~*")&gt;0))</f>
        <v/>
      </c>
      <c r="AC84" s="38">
        <f>IF($B84="","",(IFERROR(INDEX(Setup!$G$33:$G$40,MATCH(C84,Setup!$B$33:$B$40,0)),0)=1)*(COUNTIF(C58:E75,$B84)+COUNTIF(C58:E75,$B84&amp;" ~*")&gt;0)+(IFERROR(INDEX(Setup!$G$33:$G$40,MATCH(G84,Setup!$B$33:$B$40,0)),0)=1)*(COUNTIF(G58:I75,$B84)+COUNTIF(G58:I75,$B84&amp;" ~*")&gt;0)+(IFERROR(INDEX(Setup!$G$33:$G$40,MATCH(K84,Setup!$B$33:$B$40,0)),0)=1)*(COUNTIF(K58:M75,$B84)+COUNTIF(K58:M75,$B84&amp;" ~*")&gt;0)+(IFERROR(INDEX(Setup!$G$33:$G$40,MATCH(O84,Setup!$B$33:$B$40,0)),0)=1)*(COUNTIF(O58:Q75,$B84)+COUNTIF(O58:Q75,$B84&amp;" ~*")&gt;0)+(IFERROR(INDEX(Setup!$G$33:$G$40,MATCH(S84,Setup!$B$33:$B$40,0)),0)=1)*(COUNTIF(S58:U75,$B84)+COUNTIF(S58:U75,$B84&amp;" ~*")&gt;0)+(IFERROR(INDEX(Setup!$G$33:$G$40,MATCH(W84,Setup!$B$33:$B$40,0)),0)=1)*(COUNTIF(W58:W75,$B84)+COUNTIF(W58:W75,$B84&amp;" ~*")&gt;0)+(IFERROR(INDEX(Setup!$G$33:$G$40,MATCH(Y84,Setup!$B$33:$B$40,0)),0)=1)*(COUNTIF(Y58:Y75,$B84)+COUNTIF(Y58:Y75,$B84&amp;" ~*")&gt;0))</f>
        <v/>
      </c>
    </row>
    <row r="85" ht="15" customHeight="1">
      <c r="A85" t="n">
        <v>2</v>
      </c>
      <c r="B85" s="35">
        <f>IF(Setup!$B$14="","",Setup!$B$14)</f>
        <v/>
      </c>
      <c r="C85" s="98" t="n"/>
      <c r="D85" s="99" t="n"/>
      <c r="E85" s="99" t="n"/>
      <c r="F85" s="100" t="n"/>
      <c r="G85" s="98" t="n"/>
      <c r="H85" s="99" t="n"/>
      <c r="I85" s="99" t="n"/>
      <c r="J85" s="100" t="n"/>
      <c r="K85" s="98" t="n"/>
      <c r="L85" s="99" t="n"/>
      <c r="M85" s="99" t="n"/>
      <c r="N85" s="100" t="n"/>
      <c r="O85" s="98" t="n"/>
      <c r="P85" s="99" t="n"/>
      <c r="Q85" s="99" t="n"/>
      <c r="R85" s="100" t="n"/>
      <c r="S85" s="98" t="n"/>
      <c r="T85" s="99" t="n"/>
      <c r="U85" s="99" t="n"/>
      <c r="V85" s="100" t="n"/>
      <c r="W85" s="98" t="n"/>
      <c r="X85" s="100" t="n"/>
      <c r="Y85" s="98" t="n"/>
      <c r="Z85" s="100" t="n"/>
      <c r="AB85" s="101">
        <f>IF($B85="","",(COUNTIF(C58:E75,$B85)+COUNTIF(C58:E75,$B85&amp;" ~*")&gt;0)+(COUNTIF(G58:I75,$B85)+COUNTIF(G58:I75,$B85&amp;" ~*")&gt;0)+(COUNTIF(K58:M75,$B85)+COUNTIF(K58:M75,$B85&amp;" ~*")&gt;0)+(COUNTIF(O58:Q75,$B85)+COUNTIF(O58:Q75,$B85&amp;" ~*")&gt;0)+(COUNTIF(S58:U75,$B85)+COUNTIF(S58:U75,$B85&amp;" ~*")&gt;0)+(COUNTIF(W58:W75,$B85)+COUNTIF(W58:W75,$B85&amp;" ~*")&gt;0)+(COUNTIF(Y58:Y75,$B85)+COUNTIF(Y58:Y75,$B85&amp;" ~*")&gt;0))</f>
        <v/>
      </c>
      <c r="AC85" s="36">
        <f>IF($B85="","",(IFERROR(INDEX(Setup!$G$33:$G$40,MATCH(C85,Setup!$B$33:$B$40,0)),0)=1)*(COUNTIF(C58:E75,$B85)+COUNTIF(C58:E75,$B85&amp;" ~*")&gt;0)+(IFERROR(INDEX(Setup!$G$33:$G$40,MATCH(G85,Setup!$B$33:$B$40,0)),0)=1)*(COUNTIF(G58:I75,$B85)+COUNTIF(G58:I75,$B85&amp;" ~*")&gt;0)+(IFERROR(INDEX(Setup!$G$33:$G$40,MATCH(K85,Setup!$B$33:$B$40,0)),0)=1)*(COUNTIF(K58:M75,$B85)+COUNTIF(K58:M75,$B85&amp;" ~*")&gt;0)+(IFERROR(INDEX(Setup!$G$33:$G$40,MATCH(O85,Setup!$B$33:$B$40,0)),0)=1)*(COUNTIF(O58:Q75,$B85)+COUNTIF(O58:Q75,$B85&amp;" ~*")&gt;0)+(IFERROR(INDEX(Setup!$G$33:$G$40,MATCH(S85,Setup!$B$33:$B$40,0)),0)=1)*(COUNTIF(S58:U75,$B85)+COUNTIF(S58:U75,$B85&amp;" ~*")&gt;0)+(IFERROR(INDEX(Setup!$G$33:$G$40,MATCH(W85,Setup!$B$33:$B$40,0)),0)=1)*(COUNTIF(W58:W75,$B85)+COUNTIF(W58:W75,$B85&amp;" ~*")&gt;0)+(IFERROR(INDEX(Setup!$G$33:$G$40,MATCH(Y85,Setup!$B$33:$B$40,0)),0)=1)*(COUNTIF(Y58:Y75,$B85)+COUNTIF(Y58:Y75,$B85&amp;" ~*")&gt;0))</f>
        <v/>
      </c>
    </row>
    <row r="86" ht="15" customHeight="1">
      <c r="A86" t="n">
        <v>2</v>
      </c>
      <c r="B86" s="37">
        <f>IF(Setup!$B$15="","",Setup!$B$15)</f>
        <v/>
      </c>
      <c r="C86" s="102" t="n"/>
      <c r="D86" s="103" t="n"/>
      <c r="E86" s="103" t="n"/>
      <c r="F86" s="104" t="n"/>
      <c r="G86" s="102" t="n"/>
      <c r="H86" s="103" t="n"/>
      <c r="I86" s="103" t="n"/>
      <c r="J86" s="104" t="n"/>
      <c r="K86" s="102" t="n"/>
      <c r="L86" s="103" t="n"/>
      <c r="M86" s="103" t="n"/>
      <c r="N86" s="104" t="n"/>
      <c r="O86" s="102" t="n"/>
      <c r="P86" s="103" t="n"/>
      <c r="Q86" s="103" t="n"/>
      <c r="R86" s="104" t="n"/>
      <c r="S86" s="102" t="n"/>
      <c r="T86" s="103" t="n"/>
      <c r="U86" s="103" t="n"/>
      <c r="V86" s="104" t="n"/>
      <c r="W86" s="102" t="n"/>
      <c r="X86" s="104" t="n"/>
      <c r="Y86" s="102" t="n"/>
      <c r="Z86" s="104" t="n"/>
      <c r="AB86" s="105">
        <f>IF($B86="","",(COUNTIF(C58:E75,$B86)+COUNTIF(C58:E75,$B86&amp;" ~*")&gt;0)+(COUNTIF(G58:I75,$B86)+COUNTIF(G58:I75,$B86&amp;" ~*")&gt;0)+(COUNTIF(K58:M75,$B86)+COUNTIF(K58:M75,$B86&amp;" ~*")&gt;0)+(COUNTIF(O58:Q75,$B86)+COUNTIF(O58:Q75,$B86&amp;" ~*")&gt;0)+(COUNTIF(S58:U75,$B86)+COUNTIF(S58:U75,$B86&amp;" ~*")&gt;0)+(COUNTIF(W58:W75,$B86)+COUNTIF(W58:W75,$B86&amp;" ~*")&gt;0)+(COUNTIF(Y58:Y75,$B86)+COUNTIF(Y58:Y75,$B86&amp;" ~*")&gt;0))</f>
        <v/>
      </c>
      <c r="AC86" s="38">
        <f>IF($B86="","",(IFERROR(INDEX(Setup!$G$33:$G$40,MATCH(C86,Setup!$B$33:$B$40,0)),0)=1)*(COUNTIF(C58:E75,$B86)+COUNTIF(C58:E75,$B86&amp;" ~*")&gt;0)+(IFERROR(INDEX(Setup!$G$33:$G$40,MATCH(G86,Setup!$B$33:$B$40,0)),0)=1)*(COUNTIF(G58:I75,$B86)+COUNTIF(G58:I75,$B86&amp;" ~*")&gt;0)+(IFERROR(INDEX(Setup!$G$33:$G$40,MATCH(K86,Setup!$B$33:$B$40,0)),0)=1)*(COUNTIF(K58:M75,$B86)+COUNTIF(K58:M75,$B86&amp;" ~*")&gt;0)+(IFERROR(INDEX(Setup!$G$33:$G$40,MATCH(O86,Setup!$B$33:$B$40,0)),0)=1)*(COUNTIF(O58:Q75,$B86)+COUNTIF(O58:Q75,$B86&amp;" ~*")&gt;0)+(IFERROR(INDEX(Setup!$G$33:$G$40,MATCH(S86,Setup!$B$33:$B$40,0)),0)=1)*(COUNTIF(S58:U75,$B86)+COUNTIF(S58:U75,$B86&amp;" ~*")&gt;0)+(IFERROR(INDEX(Setup!$G$33:$G$40,MATCH(W86,Setup!$B$33:$B$40,0)),0)=1)*(COUNTIF(W58:W75,$B86)+COUNTIF(W58:W75,$B86&amp;" ~*")&gt;0)+(IFERROR(INDEX(Setup!$G$33:$G$40,MATCH(Y86,Setup!$B$33:$B$40,0)),0)=1)*(COUNTIF(Y58:Y75,$B86)+COUNTIF(Y58:Y75,$B86&amp;" ~*")&gt;0))</f>
        <v/>
      </c>
    </row>
    <row r="87" ht="15" customHeight="1">
      <c r="A87" t="n">
        <v>2</v>
      </c>
      <c r="B87" s="35">
        <f>IF(Setup!$B$16="","",Setup!$B$16)</f>
        <v/>
      </c>
      <c r="C87" s="98" t="n"/>
      <c r="D87" s="99" t="n"/>
      <c r="E87" s="99" t="n"/>
      <c r="F87" s="100" t="n"/>
      <c r="G87" s="98" t="n"/>
      <c r="H87" s="99" t="n"/>
      <c r="I87" s="99" t="n"/>
      <c r="J87" s="100" t="n"/>
      <c r="K87" s="98" t="n"/>
      <c r="L87" s="99" t="n"/>
      <c r="M87" s="99" t="n"/>
      <c r="N87" s="100" t="n"/>
      <c r="O87" s="98" t="n"/>
      <c r="P87" s="99" t="n"/>
      <c r="Q87" s="99" t="n"/>
      <c r="R87" s="100" t="n"/>
      <c r="S87" s="98" t="n"/>
      <c r="T87" s="99" t="n"/>
      <c r="U87" s="99" t="n"/>
      <c r="V87" s="100" t="n"/>
      <c r="W87" s="98" t="n"/>
      <c r="X87" s="100" t="n"/>
      <c r="Y87" s="98" t="n"/>
      <c r="Z87" s="100" t="n"/>
      <c r="AB87" s="101">
        <f>IF($B87="","",(COUNTIF(C58:E75,$B87)+COUNTIF(C58:E75,$B87&amp;" ~*")&gt;0)+(COUNTIF(G58:I75,$B87)+COUNTIF(G58:I75,$B87&amp;" ~*")&gt;0)+(COUNTIF(K58:M75,$B87)+COUNTIF(K58:M75,$B87&amp;" ~*")&gt;0)+(COUNTIF(O58:Q75,$B87)+COUNTIF(O58:Q75,$B87&amp;" ~*")&gt;0)+(COUNTIF(S58:U75,$B87)+COUNTIF(S58:U75,$B87&amp;" ~*")&gt;0)+(COUNTIF(W58:W75,$B87)+COUNTIF(W58:W75,$B87&amp;" ~*")&gt;0)+(COUNTIF(Y58:Y75,$B87)+COUNTIF(Y58:Y75,$B87&amp;" ~*")&gt;0))</f>
        <v/>
      </c>
      <c r="AC87" s="36">
        <f>IF($B87="","",(IFERROR(INDEX(Setup!$G$33:$G$40,MATCH(C87,Setup!$B$33:$B$40,0)),0)=1)*(COUNTIF(C58:E75,$B87)+COUNTIF(C58:E75,$B87&amp;" ~*")&gt;0)+(IFERROR(INDEX(Setup!$G$33:$G$40,MATCH(G87,Setup!$B$33:$B$40,0)),0)=1)*(COUNTIF(G58:I75,$B87)+COUNTIF(G58:I75,$B87&amp;" ~*")&gt;0)+(IFERROR(INDEX(Setup!$G$33:$G$40,MATCH(K87,Setup!$B$33:$B$40,0)),0)=1)*(COUNTIF(K58:M75,$B87)+COUNTIF(K58:M75,$B87&amp;" ~*")&gt;0)+(IFERROR(INDEX(Setup!$G$33:$G$40,MATCH(O87,Setup!$B$33:$B$40,0)),0)=1)*(COUNTIF(O58:Q75,$B87)+COUNTIF(O58:Q75,$B87&amp;" ~*")&gt;0)+(IFERROR(INDEX(Setup!$G$33:$G$40,MATCH(S87,Setup!$B$33:$B$40,0)),0)=1)*(COUNTIF(S58:U75,$B87)+COUNTIF(S58:U75,$B87&amp;" ~*")&gt;0)+(IFERROR(INDEX(Setup!$G$33:$G$40,MATCH(W87,Setup!$B$33:$B$40,0)),0)=1)*(COUNTIF(W58:W75,$B87)+COUNTIF(W58:W75,$B87&amp;" ~*")&gt;0)+(IFERROR(INDEX(Setup!$G$33:$G$40,MATCH(Y87,Setup!$B$33:$B$40,0)),0)=1)*(COUNTIF(Y58:Y75,$B87)+COUNTIF(Y58:Y75,$B87&amp;" ~*")&gt;0))</f>
        <v/>
      </c>
    </row>
    <row r="88" ht="15" customHeight="1">
      <c r="A88" t="n">
        <v>2</v>
      </c>
      <c r="B88" s="37">
        <f>IF(Setup!$B$17="","",Setup!$B$17)</f>
        <v/>
      </c>
      <c r="C88" s="102" t="n"/>
      <c r="D88" s="103" t="n"/>
      <c r="E88" s="103" t="n"/>
      <c r="F88" s="104" t="n"/>
      <c r="G88" s="102" t="n"/>
      <c r="H88" s="103" t="n"/>
      <c r="I88" s="103" t="n"/>
      <c r="J88" s="104" t="n"/>
      <c r="K88" s="102" t="n"/>
      <c r="L88" s="103" t="n"/>
      <c r="M88" s="103" t="n"/>
      <c r="N88" s="104" t="n"/>
      <c r="O88" s="102" t="n"/>
      <c r="P88" s="103" t="n"/>
      <c r="Q88" s="103" t="n"/>
      <c r="R88" s="104" t="n"/>
      <c r="S88" s="102" t="n"/>
      <c r="T88" s="103" t="n"/>
      <c r="U88" s="103" t="n"/>
      <c r="V88" s="104" t="n"/>
      <c r="W88" s="102" t="n"/>
      <c r="X88" s="104" t="n"/>
      <c r="Y88" s="102" t="n"/>
      <c r="Z88" s="104" t="n"/>
      <c r="AB88" s="105">
        <f>IF($B88="","",(COUNTIF(C58:E75,$B88)+COUNTIF(C58:E75,$B88&amp;" ~*")&gt;0)+(COUNTIF(G58:I75,$B88)+COUNTIF(G58:I75,$B88&amp;" ~*")&gt;0)+(COUNTIF(K58:M75,$B88)+COUNTIF(K58:M75,$B88&amp;" ~*")&gt;0)+(COUNTIF(O58:Q75,$B88)+COUNTIF(O58:Q75,$B88&amp;" ~*")&gt;0)+(COUNTIF(S58:U75,$B88)+COUNTIF(S58:U75,$B88&amp;" ~*")&gt;0)+(COUNTIF(W58:W75,$B88)+COUNTIF(W58:W75,$B88&amp;" ~*")&gt;0)+(COUNTIF(Y58:Y75,$B88)+COUNTIF(Y58:Y75,$B88&amp;" ~*")&gt;0))</f>
        <v/>
      </c>
      <c r="AC88" s="38">
        <f>IF($B88="","",(IFERROR(INDEX(Setup!$G$33:$G$40,MATCH(C88,Setup!$B$33:$B$40,0)),0)=1)*(COUNTIF(C58:E75,$B88)+COUNTIF(C58:E75,$B88&amp;" ~*")&gt;0)+(IFERROR(INDEX(Setup!$G$33:$G$40,MATCH(G88,Setup!$B$33:$B$40,0)),0)=1)*(COUNTIF(G58:I75,$B88)+COUNTIF(G58:I75,$B88&amp;" ~*")&gt;0)+(IFERROR(INDEX(Setup!$G$33:$G$40,MATCH(K88,Setup!$B$33:$B$40,0)),0)=1)*(COUNTIF(K58:M75,$B88)+COUNTIF(K58:M75,$B88&amp;" ~*")&gt;0)+(IFERROR(INDEX(Setup!$G$33:$G$40,MATCH(O88,Setup!$B$33:$B$40,0)),0)=1)*(COUNTIF(O58:Q75,$B88)+COUNTIF(O58:Q75,$B88&amp;" ~*")&gt;0)+(IFERROR(INDEX(Setup!$G$33:$G$40,MATCH(S88,Setup!$B$33:$B$40,0)),0)=1)*(COUNTIF(S58:U75,$B88)+COUNTIF(S58:U75,$B88&amp;" ~*")&gt;0)+(IFERROR(INDEX(Setup!$G$33:$G$40,MATCH(W88,Setup!$B$33:$B$40,0)),0)=1)*(COUNTIF(W58:W75,$B88)+COUNTIF(W58:W75,$B88&amp;" ~*")&gt;0)+(IFERROR(INDEX(Setup!$G$33:$G$40,MATCH(Y88,Setup!$B$33:$B$40,0)),0)=1)*(COUNTIF(Y58:Y75,$B88)+COUNTIF(Y58:Y75,$B88&amp;" ~*")&gt;0))</f>
        <v/>
      </c>
    </row>
    <row r="89" ht="15" customHeight="1">
      <c r="A89" t="n">
        <v>2</v>
      </c>
      <c r="B89" s="35">
        <f>IF(Setup!$B$18="","",Setup!$B$18)</f>
        <v/>
      </c>
      <c r="C89" s="98" t="n"/>
      <c r="D89" s="99" t="n"/>
      <c r="E89" s="99" t="n"/>
      <c r="F89" s="100" t="n"/>
      <c r="G89" s="98" t="n"/>
      <c r="H89" s="99" t="n"/>
      <c r="I89" s="99" t="n"/>
      <c r="J89" s="100" t="n"/>
      <c r="K89" s="98" t="n"/>
      <c r="L89" s="99" t="n"/>
      <c r="M89" s="99" t="n"/>
      <c r="N89" s="100" t="n"/>
      <c r="O89" s="98" t="n"/>
      <c r="P89" s="99" t="n"/>
      <c r="Q89" s="99" t="n"/>
      <c r="R89" s="100" t="n"/>
      <c r="S89" s="98" t="n"/>
      <c r="T89" s="99" t="n"/>
      <c r="U89" s="99" t="n"/>
      <c r="V89" s="100" t="n"/>
      <c r="W89" s="98" t="n"/>
      <c r="X89" s="100" t="n"/>
      <c r="Y89" s="98" t="n"/>
      <c r="Z89" s="100" t="n"/>
      <c r="AB89" s="101">
        <f>IF($B89="","",(COUNTIF(C58:E75,$B89)+COUNTIF(C58:E75,$B89&amp;" ~*")&gt;0)+(COUNTIF(G58:I75,$B89)+COUNTIF(G58:I75,$B89&amp;" ~*")&gt;0)+(COUNTIF(K58:M75,$B89)+COUNTIF(K58:M75,$B89&amp;" ~*")&gt;0)+(COUNTIF(O58:Q75,$B89)+COUNTIF(O58:Q75,$B89&amp;" ~*")&gt;0)+(COUNTIF(S58:U75,$B89)+COUNTIF(S58:U75,$B89&amp;" ~*")&gt;0)+(COUNTIF(W58:W75,$B89)+COUNTIF(W58:W75,$B89&amp;" ~*")&gt;0)+(COUNTIF(Y58:Y75,$B89)+COUNTIF(Y58:Y75,$B89&amp;" ~*")&gt;0))</f>
        <v/>
      </c>
      <c r="AC89" s="36">
        <f>IF($B89="","",(IFERROR(INDEX(Setup!$G$33:$G$40,MATCH(C89,Setup!$B$33:$B$40,0)),0)=1)*(COUNTIF(C58:E75,$B89)+COUNTIF(C58:E75,$B89&amp;" ~*")&gt;0)+(IFERROR(INDEX(Setup!$G$33:$G$40,MATCH(G89,Setup!$B$33:$B$40,0)),0)=1)*(COUNTIF(G58:I75,$B89)+COUNTIF(G58:I75,$B89&amp;" ~*")&gt;0)+(IFERROR(INDEX(Setup!$G$33:$G$40,MATCH(K89,Setup!$B$33:$B$40,0)),0)=1)*(COUNTIF(K58:M75,$B89)+COUNTIF(K58:M75,$B89&amp;" ~*")&gt;0)+(IFERROR(INDEX(Setup!$G$33:$G$40,MATCH(O89,Setup!$B$33:$B$40,0)),0)=1)*(COUNTIF(O58:Q75,$B89)+COUNTIF(O58:Q75,$B89&amp;" ~*")&gt;0)+(IFERROR(INDEX(Setup!$G$33:$G$40,MATCH(S89,Setup!$B$33:$B$40,0)),0)=1)*(COUNTIF(S58:U75,$B89)+COUNTIF(S58:U75,$B89&amp;" ~*")&gt;0)+(IFERROR(INDEX(Setup!$G$33:$G$40,MATCH(W89,Setup!$B$33:$B$40,0)),0)=1)*(COUNTIF(W58:W75,$B89)+COUNTIF(W58:W75,$B89&amp;" ~*")&gt;0)+(IFERROR(INDEX(Setup!$G$33:$G$40,MATCH(Y89,Setup!$B$33:$B$40,0)),0)=1)*(COUNTIF(Y58:Y75,$B89)+COUNTIF(Y58:Y75,$B89&amp;" ~*")&gt;0))</f>
        <v/>
      </c>
    </row>
    <row r="90" ht="15" customHeight="1">
      <c r="A90" t="n">
        <v>2</v>
      </c>
      <c r="B90" s="37">
        <f>IF(Setup!$B$19="","",Setup!$B$19)</f>
        <v/>
      </c>
      <c r="C90" s="102" t="n"/>
      <c r="D90" s="103" t="n"/>
      <c r="E90" s="103" t="n"/>
      <c r="F90" s="104" t="n"/>
      <c r="G90" s="102" t="n"/>
      <c r="H90" s="103" t="n"/>
      <c r="I90" s="103" t="n"/>
      <c r="J90" s="104" t="n"/>
      <c r="K90" s="102" t="n"/>
      <c r="L90" s="103" t="n"/>
      <c r="M90" s="103" t="n"/>
      <c r="N90" s="104" t="n"/>
      <c r="O90" s="102" t="n"/>
      <c r="P90" s="103" t="n"/>
      <c r="Q90" s="103" t="n"/>
      <c r="R90" s="104" t="n"/>
      <c r="S90" s="102" t="n"/>
      <c r="T90" s="103" t="n"/>
      <c r="U90" s="103" t="n"/>
      <c r="V90" s="104" t="n"/>
      <c r="W90" s="102" t="n"/>
      <c r="X90" s="104" t="n"/>
      <c r="Y90" s="102" t="n"/>
      <c r="Z90" s="104" t="n"/>
      <c r="AB90" s="105">
        <f>IF($B90="","",(COUNTIF(C58:E75,$B90)+COUNTIF(C58:E75,$B90&amp;" ~*")&gt;0)+(COUNTIF(G58:I75,$B90)+COUNTIF(G58:I75,$B90&amp;" ~*")&gt;0)+(COUNTIF(K58:M75,$B90)+COUNTIF(K58:M75,$B90&amp;" ~*")&gt;0)+(COUNTIF(O58:Q75,$B90)+COUNTIF(O58:Q75,$B90&amp;" ~*")&gt;0)+(COUNTIF(S58:U75,$B90)+COUNTIF(S58:U75,$B90&amp;" ~*")&gt;0)+(COUNTIF(W58:W75,$B90)+COUNTIF(W58:W75,$B90&amp;" ~*")&gt;0)+(COUNTIF(Y58:Y75,$B90)+COUNTIF(Y58:Y75,$B90&amp;" ~*")&gt;0))</f>
        <v/>
      </c>
      <c r="AC90" s="38">
        <f>IF($B90="","",(IFERROR(INDEX(Setup!$G$33:$G$40,MATCH(C90,Setup!$B$33:$B$40,0)),0)=1)*(COUNTIF(C58:E75,$B90)+COUNTIF(C58:E75,$B90&amp;" ~*")&gt;0)+(IFERROR(INDEX(Setup!$G$33:$G$40,MATCH(G90,Setup!$B$33:$B$40,0)),0)=1)*(COUNTIF(G58:I75,$B90)+COUNTIF(G58:I75,$B90&amp;" ~*")&gt;0)+(IFERROR(INDEX(Setup!$G$33:$G$40,MATCH(K90,Setup!$B$33:$B$40,0)),0)=1)*(COUNTIF(K58:M75,$B90)+COUNTIF(K58:M75,$B90&amp;" ~*")&gt;0)+(IFERROR(INDEX(Setup!$G$33:$G$40,MATCH(O90,Setup!$B$33:$B$40,0)),0)=1)*(COUNTIF(O58:Q75,$B90)+COUNTIF(O58:Q75,$B90&amp;" ~*")&gt;0)+(IFERROR(INDEX(Setup!$G$33:$G$40,MATCH(S90,Setup!$B$33:$B$40,0)),0)=1)*(COUNTIF(S58:U75,$B90)+COUNTIF(S58:U75,$B90&amp;" ~*")&gt;0)+(IFERROR(INDEX(Setup!$G$33:$G$40,MATCH(W90,Setup!$B$33:$B$40,0)),0)=1)*(COUNTIF(W58:W75,$B90)+COUNTIF(W58:W75,$B90&amp;" ~*")&gt;0)+(IFERROR(INDEX(Setup!$G$33:$G$40,MATCH(Y90,Setup!$B$33:$B$40,0)),0)=1)*(COUNTIF(Y58:Y75,$B90)+COUNTIF(Y58:Y75,$B90&amp;" ~*")&gt;0))</f>
        <v/>
      </c>
    </row>
    <row r="91" ht="15" customHeight="1">
      <c r="A91" t="n">
        <v>2</v>
      </c>
      <c r="B91" s="35">
        <f>IF(Setup!$B$20="","",Setup!$B$20)</f>
        <v/>
      </c>
      <c r="C91" s="98" t="n"/>
      <c r="D91" s="99" t="n"/>
      <c r="E91" s="99" t="n"/>
      <c r="F91" s="100" t="n"/>
      <c r="G91" s="98" t="n"/>
      <c r="H91" s="99" t="n"/>
      <c r="I91" s="99" t="n"/>
      <c r="J91" s="100" t="n"/>
      <c r="K91" s="98" t="n"/>
      <c r="L91" s="99" t="n"/>
      <c r="M91" s="99" t="n"/>
      <c r="N91" s="100" t="n"/>
      <c r="O91" s="98" t="n"/>
      <c r="P91" s="99" t="n"/>
      <c r="Q91" s="99" t="n"/>
      <c r="R91" s="100" t="n"/>
      <c r="S91" s="98" t="n"/>
      <c r="T91" s="99" t="n"/>
      <c r="U91" s="99" t="n"/>
      <c r="V91" s="100" t="n"/>
      <c r="W91" s="98" t="n"/>
      <c r="X91" s="100" t="n"/>
      <c r="Y91" s="98" t="n"/>
      <c r="Z91" s="100" t="n"/>
      <c r="AB91" s="101">
        <f>IF($B91="","",(COUNTIF(C58:E75,$B91)+COUNTIF(C58:E75,$B91&amp;" ~*")&gt;0)+(COUNTIF(G58:I75,$B91)+COUNTIF(G58:I75,$B91&amp;" ~*")&gt;0)+(COUNTIF(K58:M75,$B91)+COUNTIF(K58:M75,$B91&amp;" ~*")&gt;0)+(COUNTIF(O58:Q75,$B91)+COUNTIF(O58:Q75,$B91&amp;" ~*")&gt;0)+(COUNTIF(S58:U75,$B91)+COUNTIF(S58:U75,$B91&amp;" ~*")&gt;0)+(COUNTIF(W58:W75,$B91)+COUNTIF(W58:W75,$B91&amp;" ~*")&gt;0)+(COUNTIF(Y58:Y75,$B91)+COUNTIF(Y58:Y75,$B91&amp;" ~*")&gt;0))</f>
        <v/>
      </c>
      <c r="AC91" s="36">
        <f>IF($B91="","",(IFERROR(INDEX(Setup!$G$33:$G$40,MATCH(C91,Setup!$B$33:$B$40,0)),0)=1)*(COUNTIF(C58:E75,$B91)+COUNTIF(C58:E75,$B91&amp;" ~*")&gt;0)+(IFERROR(INDEX(Setup!$G$33:$G$40,MATCH(G91,Setup!$B$33:$B$40,0)),0)=1)*(COUNTIF(G58:I75,$B91)+COUNTIF(G58:I75,$B91&amp;" ~*")&gt;0)+(IFERROR(INDEX(Setup!$G$33:$G$40,MATCH(K91,Setup!$B$33:$B$40,0)),0)=1)*(COUNTIF(K58:M75,$B91)+COUNTIF(K58:M75,$B91&amp;" ~*")&gt;0)+(IFERROR(INDEX(Setup!$G$33:$G$40,MATCH(O91,Setup!$B$33:$B$40,0)),0)=1)*(COUNTIF(O58:Q75,$B91)+COUNTIF(O58:Q75,$B91&amp;" ~*")&gt;0)+(IFERROR(INDEX(Setup!$G$33:$G$40,MATCH(S91,Setup!$B$33:$B$40,0)),0)=1)*(COUNTIF(S58:U75,$B91)+COUNTIF(S58:U75,$B91&amp;" ~*")&gt;0)+(IFERROR(INDEX(Setup!$G$33:$G$40,MATCH(W91,Setup!$B$33:$B$40,0)),0)=1)*(COUNTIF(W58:W75,$B91)+COUNTIF(W58:W75,$B91&amp;" ~*")&gt;0)+(IFERROR(INDEX(Setup!$G$33:$G$40,MATCH(Y91,Setup!$B$33:$B$40,0)),0)=1)*(COUNTIF(Y58:Y75,$B91)+COUNTIF(Y58:Y75,$B91&amp;" ~*")&gt;0))</f>
        <v/>
      </c>
    </row>
    <row r="92" ht="15" customHeight="1">
      <c r="A92" t="n">
        <v>2</v>
      </c>
      <c r="B92" s="37">
        <f>IF(Setup!$B$21="","",Setup!$B$21)</f>
        <v/>
      </c>
      <c r="C92" s="102" t="n"/>
      <c r="D92" s="103" t="n"/>
      <c r="E92" s="103" t="n"/>
      <c r="F92" s="104" t="n"/>
      <c r="G92" s="102" t="n"/>
      <c r="H92" s="103" t="n"/>
      <c r="I92" s="103" t="n"/>
      <c r="J92" s="104" t="n"/>
      <c r="K92" s="102" t="n"/>
      <c r="L92" s="103" t="n"/>
      <c r="M92" s="103" t="n"/>
      <c r="N92" s="104" t="n"/>
      <c r="O92" s="102" t="n"/>
      <c r="P92" s="103" t="n"/>
      <c r="Q92" s="103" t="n"/>
      <c r="R92" s="104" t="n"/>
      <c r="S92" s="102" t="n"/>
      <c r="T92" s="103" t="n"/>
      <c r="U92" s="103" t="n"/>
      <c r="V92" s="104" t="n"/>
      <c r="W92" s="102" t="n"/>
      <c r="X92" s="104" t="n"/>
      <c r="Y92" s="102" t="n"/>
      <c r="Z92" s="104" t="n"/>
      <c r="AB92" s="105">
        <f>IF($B92="","",(COUNTIF(C58:E75,$B92)+COUNTIF(C58:E75,$B92&amp;" ~*")&gt;0)+(COUNTIF(G58:I75,$B92)+COUNTIF(G58:I75,$B92&amp;" ~*")&gt;0)+(COUNTIF(K58:M75,$B92)+COUNTIF(K58:M75,$B92&amp;" ~*")&gt;0)+(COUNTIF(O58:Q75,$B92)+COUNTIF(O58:Q75,$B92&amp;" ~*")&gt;0)+(COUNTIF(S58:U75,$B92)+COUNTIF(S58:U75,$B92&amp;" ~*")&gt;0)+(COUNTIF(W58:W75,$B92)+COUNTIF(W58:W75,$B92&amp;" ~*")&gt;0)+(COUNTIF(Y58:Y75,$B92)+COUNTIF(Y58:Y75,$B92&amp;" ~*")&gt;0))</f>
        <v/>
      </c>
      <c r="AC92" s="38">
        <f>IF($B92="","",(IFERROR(INDEX(Setup!$G$33:$G$40,MATCH(C92,Setup!$B$33:$B$40,0)),0)=1)*(COUNTIF(C58:E75,$B92)+COUNTIF(C58:E75,$B92&amp;" ~*")&gt;0)+(IFERROR(INDEX(Setup!$G$33:$G$40,MATCH(G92,Setup!$B$33:$B$40,0)),0)=1)*(COUNTIF(G58:I75,$B92)+COUNTIF(G58:I75,$B92&amp;" ~*")&gt;0)+(IFERROR(INDEX(Setup!$G$33:$G$40,MATCH(K92,Setup!$B$33:$B$40,0)),0)=1)*(COUNTIF(K58:M75,$B92)+COUNTIF(K58:M75,$B92&amp;" ~*")&gt;0)+(IFERROR(INDEX(Setup!$G$33:$G$40,MATCH(O92,Setup!$B$33:$B$40,0)),0)=1)*(COUNTIF(O58:Q75,$B92)+COUNTIF(O58:Q75,$B92&amp;" ~*")&gt;0)+(IFERROR(INDEX(Setup!$G$33:$G$40,MATCH(S92,Setup!$B$33:$B$40,0)),0)=1)*(COUNTIF(S58:U75,$B92)+COUNTIF(S58:U75,$B92&amp;" ~*")&gt;0)+(IFERROR(INDEX(Setup!$G$33:$G$40,MATCH(W92,Setup!$B$33:$B$40,0)),0)=1)*(COUNTIF(W58:W75,$B92)+COUNTIF(W58:W75,$B92&amp;" ~*")&gt;0)+(IFERROR(INDEX(Setup!$G$33:$G$40,MATCH(Y92,Setup!$B$33:$B$40,0)),0)=1)*(COUNTIF(Y58:Y75,$B92)+COUNTIF(Y58:Y75,$B92&amp;" ~*")&gt;0))</f>
        <v/>
      </c>
    </row>
    <row r="93" ht="15" customHeight="1">
      <c r="A93" t="n">
        <v>2</v>
      </c>
      <c r="B93" s="35">
        <f>IF(Setup!$B$22="","",Setup!$B$22)</f>
        <v/>
      </c>
      <c r="C93" s="98" t="n"/>
      <c r="D93" s="99" t="n"/>
      <c r="E93" s="99" t="n"/>
      <c r="F93" s="100" t="n"/>
      <c r="G93" s="98" t="n"/>
      <c r="H93" s="99" t="n"/>
      <c r="I93" s="99" t="n"/>
      <c r="J93" s="100" t="n"/>
      <c r="K93" s="98" t="n"/>
      <c r="L93" s="99" t="n"/>
      <c r="M93" s="99" t="n"/>
      <c r="N93" s="100" t="n"/>
      <c r="O93" s="98" t="n"/>
      <c r="P93" s="99" t="n"/>
      <c r="Q93" s="99" t="n"/>
      <c r="R93" s="100" t="n"/>
      <c r="S93" s="98" t="n"/>
      <c r="T93" s="99" t="n"/>
      <c r="U93" s="99" t="n"/>
      <c r="V93" s="100" t="n"/>
      <c r="W93" s="98" t="n"/>
      <c r="X93" s="100" t="n"/>
      <c r="Y93" s="98" t="n"/>
      <c r="Z93" s="100" t="n"/>
      <c r="AB93" s="101">
        <f>IF($B93="","",(COUNTIF(C58:E75,$B93)+COUNTIF(C58:E75,$B93&amp;" ~*")&gt;0)+(COUNTIF(G58:I75,$B93)+COUNTIF(G58:I75,$B93&amp;" ~*")&gt;0)+(COUNTIF(K58:M75,$B93)+COUNTIF(K58:M75,$B93&amp;" ~*")&gt;0)+(COUNTIF(O58:Q75,$B93)+COUNTIF(O58:Q75,$B93&amp;" ~*")&gt;0)+(COUNTIF(S58:U75,$B93)+COUNTIF(S58:U75,$B93&amp;" ~*")&gt;0)+(COUNTIF(W58:W75,$B93)+COUNTIF(W58:W75,$B93&amp;" ~*")&gt;0)+(COUNTIF(Y58:Y75,$B93)+COUNTIF(Y58:Y75,$B93&amp;" ~*")&gt;0))</f>
        <v/>
      </c>
      <c r="AC93" s="36">
        <f>IF($B93="","",(IFERROR(INDEX(Setup!$G$33:$G$40,MATCH(C93,Setup!$B$33:$B$40,0)),0)=1)*(COUNTIF(C58:E75,$B93)+COUNTIF(C58:E75,$B93&amp;" ~*")&gt;0)+(IFERROR(INDEX(Setup!$G$33:$G$40,MATCH(G93,Setup!$B$33:$B$40,0)),0)=1)*(COUNTIF(G58:I75,$B93)+COUNTIF(G58:I75,$B93&amp;" ~*")&gt;0)+(IFERROR(INDEX(Setup!$G$33:$G$40,MATCH(K93,Setup!$B$33:$B$40,0)),0)=1)*(COUNTIF(K58:M75,$B93)+COUNTIF(K58:M75,$B93&amp;" ~*")&gt;0)+(IFERROR(INDEX(Setup!$G$33:$G$40,MATCH(O93,Setup!$B$33:$B$40,0)),0)=1)*(COUNTIF(O58:Q75,$B93)+COUNTIF(O58:Q75,$B93&amp;" ~*")&gt;0)+(IFERROR(INDEX(Setup!$G$33:$G$40,MATCH(S93,Setup!$B$33:$B$40,0)),0)=1)*(COUNTIF(S58:U75,$B93)+COUNTIF(S58:U75,$B93&amp;" ~*")&gt;0)+(IFERROR(INDEX(Setup!$G$33:$G$40,MATCH(W93,Setup!$B$33:$B$40,0)),0)=1)*(COUNTIF(W58:W75,$B93)+COUNTIF(W58:W75,$B93&amp;" ~*")&gt;0)+(IFERROR(INDEX(Setup!$G$33:$G$40,MATCH(Y93,Setup!$B$33:$B$40,0)),0)=1)*(COUNTIF(Y58:Y75,$B93)+COUNTIF(Y58:Y75,$B93&amp;" ~*")&gt;0))</f>
        <v/>
      </c>
    </row>
    <row r="94" ht="15" customHeight="1">
      <c r="A94" t="n">
        <v>2</v>
      </c>
      <c r="B94" s="37">
        <f>IF(Setup!$B$23="","",Setup!$B$23)</f>
        <v/>
      </c>
      <c r="C94" s="102" t="n"/>
      <c r="D94" s="103" t="n"/>
      <c r="E94" s="103" t="n"/>
      <c r="F94" s="104" t="n"/>
      <c r="G94" s="102" t="n"/>
      <c r="H94" s="103" t="n"/>
      <c r="I94" s="103" t="n"/>
      <c r="J94" s="104" t="n"/>
      <c r="K94" s="102" t="n"/>
      <c r="L94" s="103" t="n"/>
      <c r="M94" s="103" t="n"/>
      <c r="N94" s="104" t="n"/>
      <c r="O94" s="102" t="n"/>
      <c r="P94" s="103" t="n"/>
      <c r="Q94" s="103" t="n"/>
      <c r="R94" s="104" t="n"/>
      <c r="S94" s="102" t="n"/>
      <c r="T94" s="103" t="n"/>
      <c r="U94" s="103" t="n"/>
      <c r="V94" s="104" t="n"/>
      <c r="W94" s="102" t="n"/>
      <c r="X94" s="104" t="n"/>
      <c r="Y94" s="102" t="n"/>
      <c r="Z94" s="104" t="n"/>
      <c r="AB94" s="105">
        <f>IF($B94="","",(COUNTIF(C58:E75,$B94)+COUNTIF(C58:E75,$B94&amp;" ~*")&gt;0)+(COUNTIF(G58:I75,$B94)+COUNTIF(G58:I75,$B94&amp;" ~*")&gt;0)+(COUNTIF(K58:M75,$B94)+COUNTIF(K58:M75,$B94&amp;" ~*")&gt;0)+(COUNTIF(O58:Q75,$B94)+COUNTIF(O58:Q75,$B94&amp;" ~*")&gt;0)+(COUNTIF(S58:U75,$B94)+COUNTIF(S58:U75,$B94&amp;" ~*")&gt;0)+(COUNTIF(W58:W75,$B94)+COUNTIF(W58:W75,$B94&amp;" ~*")&gt;0)+(COUNTIF(Y58:Y75,$B94)+COUNTIF(Y58:Y75,$B94&amp;" ~*")&gt;0))</f>
        <v/>
      </c>
      <c r="AC94" s="38">
        <f>IF($B94="","",(IFERROR(INDEX(Setup!$G$33:$G$40,MATCH(C94,Setup!$B$33:$B$40,0)),0)=1)*(COUNTIF(C58:E75,$B94)+COUNTIF(C58:E75,$B94&amp;" ~*")&gt;0)+(IFERROR(INDEX(Setup!$G$33:$G$40,MATCH(G94,Setup!$B$33:$B$40,0)),0)=1)*(COUNTIF(G58:I75,$B94)+COUNTIF(G58:I75,$B94&amp;" ~*")&gt;0)+(IFERROR(INDEX(Setup!$G$33:$G$40,MATCH(K94,Setup!$B$33:$B$40,0)),0)=1)*(COUNTIF(K58:M75,$B94)+COUNTIF(K58:M75,$B94&amp;" ~*")&gt;0)+(IFERROR(INDEX(Setup!$G$33:$G$40,MATCH(O94,Setup!$B$33:$B$40,0)),0)=1)*(COUNTIF(O58:Q75,$B94)+COUNTIF(O58:Q75,$B94&amp;" ~*")&gt;0)+(IFERROR(INDEX(Setup!$G$33:$G$40,MATCH(S94,Setup!$B$33:$B$40,0)),0)=1)*(COUNTIF(S58:U75,$B94)+COUNTIF(S58:U75,$B94&amp;" ~*")&gt;0)+(IFERROR(INDEX(Setup!$G$33:$G$40,MATCH(W94,Setup!$B$33:$B$40,0)),0)=1)*(COUNTIF(W58:W75,$B94)+COUNTIF(W58:W75,$B94&amp;" ~*")&gt;0)+(IFERROR(INDEX(Setup!$G$33:$G$40,MATCH(Y94,Setup!$B$33:$B$40,0)),0)=1)*(COUNTIF(Y58:Y75,$B94)+COUNTIF(Y58:Y75,$B94&amp;" ~*")&gt;0))</f>
        <v/>
      </c>
    </row>
    <row r="95" ht="15" customHeight="1">
      <c r="A95" t="n">
        <v>2</v>
      </c>
      <c r="B95" s="35">
        <f>IF(Setup!$B$24="","",Setup!$B$24)</f>
        <v/>
      </c>
      <c r="C95" s="98" t="n"/>
      <c r="D95" s="99" t="n"/>
      <c r="E95" s="99" t="n"/>
      <c r="F95" s="100" t="n"/>
      <c r="G95" s="98" t="n"/>
      <c r="H95" s="99" t="n"/>
      <c r="I95" s="99" t="n"/>
      <c r="J95" s="100" t="n"/>
      <c r="K95" s="98" t="n"/>
      <c r="L95" s="99" t="n"/>
      <c r="M95" s="99" t="n"/>
      <c r="N95" s="100" t="n"/>
      <c r="O95" s="98" t="n"/>
      <c r="P95" s="99" t="n"/>
      <c r="Q95" s="99" t="n"/>
      <c r="R95" s="100" t="n"/>
      <c r="S95" s="98" t="n"/>
      <c r="T95" s="99" t="n"/>
      <c r="U95" s="99" t="n"/>
      <c r="V95" s="100" t="n"/>
      <c r="W95" s="98" t="n"/>
      <c r="X95" s="100" t="n"/>
      <c r="Y95" s="98" t="n"/>
      <c r="Z95" s="100" t="n"/>
      <c r="AB95" s="101">
        <f>IF($B95="","",(COUNTIF(C58:E75,$B95)+COUNTIF(C58:E75,$B95&amp;" ~*")&gt;0)+(COUNTIF(G58:I75,$B95)+COUNTIF(G58:I75,$B95&amp;" ~*")&gt;0)+(COUNTIF(K58:M75,$B95)+COUNTIF(K58:M75,$B95&amp;" ~*")&gt;0)+(COUNTIF(O58:Q75,$B95)+COUNTIF(O58:Q75,$B95&amp;" ~*")&gt;0)+(COUNTIF(S58:U75,$B95)+COUNTIF(S58:U75,$B95&amp;" ~*")&gt;0)+(COUNTIF(W58:W75,$B95)+COUNTIF(W58:W75,$B95&amp;" ~*")&gt;0)+(COUNTIF(Y58:Y75,$B95)+COUNTIF(Y58:Y75,$B95&amp;" ~*")&gt;0))</f>
        <v/>
      </c>
      <c r="AC95" s="36">
        <f>IF($B95="","",(IFERROR(INDEX(Setup!$G$33:$G$40,MATCH(C95,Setup!$B$33:$B$40,0)),0)=1)*(COUNTIF(C58:E75,$B95)+COUNTIF(C58:E75,$B95&amp;" ~*")&gt;0)+(IFERROR(INDEX(Setup!$G$33:$G$40,MATCH(G95,Setup!$B$33:$B$40,0)),0)=1)*(COUNTIF(G58:I75,$B95)+COUNTIF(G58:I75,$B95&amp;" ~*")&gt;0)+(IFERROR(INDEX(Setup!$G$33:$G$40,MATCH(K95,Setup!$B$33:$B$40,0)),0)=1)*(COUNTIF(K58:M75,$B95)+COUNTIF(K58:M75,$B95&amp;" ~*")&gt;0)+(IFERROR(INDEX(Setup!$G$33:$G$40,MATCH(O95,Setup!$B$33:$B$40,0)),0)=1)*(COUNTIF(O58:Q75,$B95)+COUNTIF(O58:Q75,$B95&amp;" ~*")&gt;0)+(IFERROR(INDEX(Setup!$G$33:$G$40,MATCH(S95,Setup!$B$33:$B$40,0)),0)=1)*(COUNTIF(S58:U75,$B95)+COUNTIF(S58:U75,$B95&amp;" ~*")&gt;0)+(IFERROR(INDEX(Setup!$G$33:$G$40,MATCH(W95,Setup!$B$33:$B$40,0)),0)=1)*(COUNTIF(W58:W75,$B95)+COUNTIF(W58:W75,$B95&amp;" ~*")&gt;0)+(IFERROR(INDEX(Setup!$G$33:$G$40,MATCH(Y95,Setup!$B$33:$B$40,0)),0)=1)*(COUNTIF(Y58:Y75,$B95)+COUNTIF(Y58:Y75,$B95&amp;" ~*")&gt;0))</f>
        <v/>
      </c>
    </row>
    <row r="96" ht="15" customHeight="1">
      <c r="A96" t="n">
        <v>2</v>
      </c>
      <c r="B96" s="37">
        <f>IF(Setup!$B$25="","",Setup!$B$25)</f>
        <v/>
      </c>
      <c r="C96" s="102" t="n"/>
      <c r="D96" s="103" t="n"/>
      <c r="E96" s="103" t="n"/>
      <c r="F96" s="104" t="n"/>
      <c r="G96" s="102" t="n"/>
      <c r="H96" s="103" t="n"/>
      <c r="I96" s="103" t="n"/>
      <c r="J96" s="104" t="n"/>
      <c r="K96" s="102" t="n"/>
      <c r="L96" s="103" t="n"/>
      <c r="M96" s="103" t="n"/>
      <c r="N96" s="104" t="n"/>
      <c r="O96" s="102" t="n"/>
      <c r="P96" s="103" t="n"/>
      <c r="Q96" s="103" t="n"/>
      <c r="R96" s="104" t="n"/>
      <c r="S96" s="102" t="n"/>
      <c r="T96" s="103" t="n"/>
      <c r="U96" s="103" t="n"/>
      <c r="V96" s="104" t="n"/>
      <c r="W96" s="102" t="n"/>
      <c r="X96" s="104" t="n"/>
      <c r="Y96" s="102" t="n"/>
      <c r="Z96" s="104" t="n"/>
      <c r="AB96" s="105">
        <f>IF($B96="","",(COUNTIF(C58:E75,$B96)+COUNTIF(C58:E75,$B96&amp;" ~*")&gt;0)+(COUNTIF(G58:I75,$B96)+COUNTIF(G58:I75,$B96&amp;" ~*")&gt;0)+(COUNTIF(K58:M75,$B96)+COUNTIF(K58:M75,$B96&amp;" ~*")&gt;0)+(COUNTIF(O58:Q75,$B96)+COUNTIF(O58:Q75,$B96&amp;" ~*")&gt;0)+(COUNTIF(S58:U75,$B96)+COUNTIF(S58:U75,$B96&amp;" ~*")&gt;0)+(COUNTIF(W58:W75,$B96)+COUNTIF(W58:W75,$B96&amp;" ~*")&gt;0)+(COUNTIF(Y58:Y75,$B96)+COUNTIF(Y58:Y75,$B96&amp;" ~*")&gt;0))</f>
        <v/>
      </c>
      <c r="AC96" s="38">
        <f>IF($B96="","",(IFERROR(INDEX(Setup!$G$33:$G$40,MATCH(C96,Setup!$B$33:$B$40,0)),0)=1)*(COUNTIF(C58:E75,$B96)+COUNTIF(C58:E75,$B96&amp;" ~*")&gt;0)+(IFERROR(INDEX(Setup!$G$33:$G$40,MATCH(G96,Setup!$B$33:$B$40,0)),0)=1)*(COUNTIF(G58:I75,$B96)+COUNTIF(G58:I75,$B96&amp;" ~*")&gt;0)+(IFERROR(INDEX(Setup!$G$33:$G$40,MATCH(K96,Setup!$B$33:$B$40,0)),0)=1)*(COUNTIF(K58:M75,$B96)+COUNTIF(K58:M75,$B96&amp;" ~*")&gt;0)+(IFERROR(INDEX(Setup!$G$33:$G$40,MATCH(O96,Setup!$B$33:$B$40,0)),0)=1)*(COUNTIF(O58:Q75,$B96)+COUNTIF(O58:Q75,$B96&amp;" ~*")&gt;0)+(IFERROR(INDEX(Setup!$G$33:$G$40,MATCH(S96,Setup!$B$33:$B$40,0)),0)=1)*(COUNTIF(S58:U75,$B96)+COUNTIF(S58:U75,$B96&amp;" ~*")&gt;0)+(IFERROR(INDEX(Setup!$G$33:$G$40,MATCH(W96,Setup!$B$33:$B$40,0)),0)=1)*(COUNTIF(W58:W75,$B96)+COUNTIF(W58:W75,$B96&amp;" ~*")&gt;0)+(IFERROR(INDEX(Setup!$G$33:$G$40,MATCH(Y96,Setup!$B$33:$B$40,0)),0)=1)*(COUNTIF(Y58:Y75,$B96)+COUNTIF(Y58:Y75,$B96&amp;" ~*")&gt;0))</f>
        <v/>
      </c>
    </row>
    <row r="97" ht="15" customHeight="1">
      <c r="A97" t="n">
        <v>2</v>
      </c>
      <c r="B97" s="35">
        <f>IF(Setup!$B$26="","",Setup!$B$26)</f>
        <v/>
      </c>
      <c r="C97" s="98" t="n"/>
      <c r="D97" s="99" t="n"/>
      <c r="E97" s="99" t="n"/>
      <c r="F97" s="100" t="n"/>
      <c r="G97" s="98" t="n"/>
      <c r="H97" s="99" t="n"/>
      <c r="I97" s="99" t="n"/>
      <c r="J97" s="100" t="n"/>
      <c r="K97" s="98" t="n"/>
      <c r="L97" s="99" t="n"/>
      <c r="M97" s="99" t="n"/>
      <c r="N97" s="100" t="n"/>
      <c r="O97" s="98" t="n"/>
      <c r="P97" s="99" t="n"/>
      <c r="Q97" s="99" t="n"/>
      <c r="R97" s="100" t="n"/>
      <c r="S97" s="98" t="n"/>
      <c r="T97" s="99" t="n"/>
      <c r="U97" s="99" t="n"/>
      <c r="V97" s="100" t="n"/>
      <c r="W97" s="98" t="n"/>
      <c r="X97" s="100" t="n"/>
      <c r="Y97" s="98" t="n"/>
      <c r="Z97" s="100" t="n"/>
      <c r="AB97" s="101">
        <f>IF($B97="","",(COUNTIF(C58:E75,$B97)+COUNTIF(C58:E75,$B97&amp;" ~*")&gt;0)+(COUNTIF(G58:I75,$B97)+COUNTIF(G58:I75,$B97&amp;" ~*")&gt;0)+(COUNTIF(K58:M75,$B97)+COUNTIF(K58:M75,$B97&amp;" ~*")&gt;0)+(COUNTIF(O58:Q75,$B97)+COUNTIF(O58:Q75,$B97&amp;" ~*")&gt;0)+(COUNTIF(S58:U75,$B97)+COUNTIF(S58:U75,$B97&amp;" ~*")&gt;0)+(COUNTIF(W58:W75,$B97)+COUNTIF(W58:W75,$B97&amp;" ~*")&gt;0)+(COUNTIF(Y58:Y75,$B97)+COUNTIF(Y58:Y75,$B97&amp;" ~*")&gt;0))</f>
        <v/>
      </c>
      <c r="AC97" s="36">
        <f>IF($B97="","",(IFERROR(INDEX(Setup!$G$33:$G$40,MATCH(C97,Setup!$B$33:$B$40,0)),0)=1)*(COUNTIF(C58:E75,$B97)+COUNTIF(C58:E75,$B97&amp;" ~*")&gt;0)+(IFERROR(INDEX(Setup!$G$33:$G$40,MATCH(G97,Setup!$B$33:$B$40,0)),0)=1)*(COUNTIF(G58:I75,$B97)+COUNTIF(G58:I75,$B97&amp;" ~*")&gt;0)+(IFERROR(INDEX(Setup!$G$33:$G$40,MATCH(K97,Setup!$B$33:$B$40,0)),0)=1)*(COUNTIF(K58:M75,$B97)+COUNTIF(K58:M75,$B97&amp;" ~*")&gt;0)+(IFERROR(INDEX(Setup!$G$33:$G$40,MATCH(O97,Setup!$B$33:$B$40,0)),0)=1)*(COUNTIF(O58:Q75,$B97)+COUNTIF(O58:Q75,$B97&amp;" ~*")&gt;0)+(IFERROR(INDEX(Setup!$G$33:$G$40,MATCH(S97,Setup!$B$33:$B$40,0)),0)=1)*(COUNTIF(S58:U75,$B97)+COUNTIF(S58:U75,$B97&amp;" ~*")&gt;0)+(IFERROR(INDEX(Setup!$G$33:$G$40,MATCH(W97,Setup!$B$33:$B$40,0)),0)=1)*(COUNTIF(W58:W75,$B97)+COUNTIF(W58:W75,$B97&amp;" ~*")&gt;0)+(IFERROR(INDEX(Setup!$G$33:$G$40,MATCH(Y97,Setup!$B$33:$B$40,0)),0)=1)*(COUNTIF(Y58:Y75,$B97)+COUNTIF(Y58:Y75,$B97&amp;" ~*")&gt;0))</f>
        <v/>
      </c>
    </row>
    <row r="98" ht="15" customHeight="1">
      <c r="A98" t="n">
        <v>2</v>
      </c>
      <c r="B98" s="37">
        <f>IF(Setup!$B$27="","",Setup!$B$27)</f>
        <v/>
      </c>
      <c r="C98" s="102" t="n"/>
      <c r="D98" s="103" t="n"/>
      <c r="E98" s="103" t="n"/>
      <c r="F98" s="104" t="n"/>
      <c r="G98" s="102" t="n"/>
      <c r="H98" s="103" t="n"/>
      <c r="I98" s="103" t="n"/>
      <c r="J98" s="104" t="n"/>
      <c r="K98" s="102" t="n"/>
      <c r="L98" s="103" t="n"/>
      <c r="M98" s="103" t="n"/>
      <c r="N98" s="104" t="n"/>
      <c r="O98" s="102" t="n"/>
      <c r="P98" s="103" t="n"/>
      <c r="Q98" s="103" t="n"/>
      <c r="R98" s="104" t="n"/>
      <c r="S98" s="102" t="n"/>
      <c r="T98" s="103" t="n"/>
      <c r="U98" s="103" t="n"/>
      <c r="V98" s="104" t="n"/>
      <c r="W98" s="102" t="n"/>
      <c r="X98" s="104" t="n"/>
      <c r="Y98" s="102" t="n"/>
      <c r="Z98" s="104" t="n"/>
      <c r="AB98" s="105">
        <f>IF($B98="","",(COUNTIF(C58:E75,$B98)+COUNTIF(C58:E75,$B98&amp;" ~*")&gt;0)+(COUNTIF(G58:I75,$B98)+COUNTIF(G58:I75,$B98&amp;" ~*")&gt;0)+(COUNTIF(K58:M75,$B98)+COUNTIF(K58:M75,$B98&amp;" ~*")&gt;0)+(COUNTIF(O58:Q75,$B98)+COUNTIF(O58:Q75,$B98&amp;" ~*")&gt;0)+(COUNTIF(S58:U75,$B98)+COUNTIF(S58:U75,$B98&amp;" ~*")&gt;0)+(COUNTIF(W58:W75,$B98)+COUNTIF(W58:W75,$B98&amp;" ~*")&gt;0)+(COUNTIF(Y58:Y75,$B98)+COUNTIF(Y58:Y75,$B98&amp;" ~*")&gt;0))</f>
        <v/>
      </c>
      <c r="AC98" s="38">
        <f>IF($B98="","",(IFERROR(INDEX(Setup!$G$33:$G$40,MATCH(C98,Setup!$B$33:$B$40,0)),0)=1)*(COUNTIF(C58:E75,$B98)+COUNTIF(C58:E75,$B98&amp;" ~*")&gt;0)+(IFERROR(INDEX(Setup!$G$33:$G$40,MATCH(G98,Setup!$B$33:$B$40,0)),0)=1)*(COUNTIF(G58:I75,$B98)+COUNTIF(G58:I75,$B98&amp;" ~*")&gt;0)+(IFERROR(INDEX(Setup!$G$33:$G$40,MATCH(K98,Setup!$B$33:$B$40,0)),0)=1)*(COUNTIF(K58:M75,$B98)+COUNTIF(K58:M75,$B98&amp;" ~*")&gt;0)+(IFERROR(INDEX(Setup!$G$33:$G$40,MATCH(O98,Setup!$B$33:$B$40,0)),0)=1)*(COUNTIF(O58:Q75,$B98)+COUNTIF(O58:Q75,$B98&amp;" ~*")&gt;0)+(IFERROR(INDEX(Setup!$G$33:$G$40,MATCH(S98,Setup!$B$33:$B$40,0)),0)=1)*(COUNTIF(S58:U75,$B98)+COUNTIF(S58:U75,$B98&amp;" ~*")&gt;0)+(IFERROR(INDEX(Setup!$G$33:$G$40,MATCH(W98,Setup!$B$33:$B$40,0)),0)=1)*(COUNTIF(W58:W75,$B98)+COUNTIF(W58:W75,$B98&amp;" ~*")&gt;0)+(IFERROR(INDEX(Setup!$G$33:$G$40,MATCH(Y98,Setup!$B$33:$B$40,0)),0)=1)*(COUNTIF(Y58:Y75,$B98)+COUNTIF(Y58:Y75,$B98&amp;" ~*")&gt;0))</f>
        <v/>
      </c>
    </row>
    <row r="99" ht="15" customHeight="1">
      <c r="A99" t="n">
        <v>2</v>
      </c>
      <c r="B99" s="35">
        <f>IF(Setup!$B$28="","",Setup!$B$28)</f>
        <v/>
      </c>
      <c r="C99" s="98" t="n"/>
      <c r="D99" s="99" t="n"/>
      <c r="E99" s="99" t="n"/>
      <c r="F99" s="100" t="n"/>
      <c r="G99" s="98" t="n"/>
      <c r="H99" s="99" t="n"/>
      <c r="I99" s="99" t="n"/>
      <c r="J99" s="100" t="n"/>
      <c r="K99" s="98" t="n"/>
      <c r="L99" s="99" t="n"/>
      <c r="M99" s="99" t="n"/>
      <c r="N99" s="100" t="n"/>
      <c r="O99" s="98" t="n"/>
      <c r="P99" s="99" t="n"/>
      <c r="Q99" s="99" t="n"/>
      <c r="R99" s="100" t="n"/>
      <c r="S99" s="98" t="n"/>
      <c r="T99" s="99" t="n"/>
      <c r="U99" s="99" t="n"/>
      <c r="V99" s="100" t="n"/>
      <c r="W99" s="98" t="n"/>
      <c r="X99" s="100" t="n"/>
      <c r="Y99" s="98" t="n"/>
      <c r="Z99" s="100" t="n"/>
      <c r="AB99" s="101">
        <f>IF($B99="","",(COUNTIF(C58:E75,$B99)+COUNTIF(C58:E75,$B99&amp;" ~*")&gt;0)+(COUNTIF(G58:I75,$B99)+COUNTIF(G58:I75,$B99&amp;" ~*")&gt;0)+(COUNTIF(K58:M75,$B99)+COUNTIF(K58:M75,$B99&amp;" ~*")&gt;0)+(COUNTIF(O58:Q75,$B99)+COUNTIF(O58:Q75,$B99&amp;" ~*")&gt;0)+(COUNTIF(S58:U75,$B99)+COUNTIF(S58:U75,$B99&amp;" ~*")&gt;0)+(COUNTIF(W58:W75,$B99)+COUNTIF(W58:W75,$B99&amp;" ~*")&gt;0)+(COUNTIF(Y58:Y75,$B99)+COUNTIF(Y58:Y75,$B99&amp;" ~*")&gt;0))</f>
        <v/>
      </c>
      <c r="AC99" s="36">
        <f>IF($B99="","",(IFERROR(INDEX(Setup!$G$33:$G$40,MATCH(C99,Setup!$B$33:$B$40,0)),0)=1)*(COUNTIF(C58:E75,$B99)+COUNTIF(C58:E75,$B99&amp;" ~*")&gt;0)+(IFERROR(INDEX(Setup!$G$33:$G$40,MATCH(G99,Setup!$B$33:$B$40,0)),0)=1)*(COUNTIF(G58:I75,$B99)+COUNTIF(G58:I75,$B99&amp;" ~*")&gt;0)+(IFERROR(INDEX(Setup!$G$33:$G$40,MATCH(K99,Setup!$B$33:$B$40,0)),0)=1)*(COUNTIF(K58:M75,$B99)+COUNTIF(K58:M75,$B99&amp;" ~*")&gt;0)+(IFERROR(INDEX(Setup!$G$33:$G$40,MATCH(O99,Setup!$B$33:$B$40,0)),0)=1)*(COUNTIF(O58:Q75,$B99)+COUNTIF(O58:Q75,$B99&amp;" ~*")&gt;0)+(IFERROR(INDEX(Setup!$G$33:$G$40,MATCH(S99,Setup!$B$33:$B$40,0)),0)=1)*(COUNTIF(S58:U75,$B99)+COUNTIF(S58:U75,$B99&amp;" ~*")&gt;0)+(IFERROR(INDEX(Setup!$G$33:$G$40,MATCH(W99,Setup!$B$33:$B$40,0)),0)=1)*(COUNTIF(W58:W75,$B99)+COUNTIF(W58:W75,$B99&amp;" ~*")&gt;0)+(IFERROR(INDEX(Setup!$G$33:$G$40,MATCH(Y99,Setup!$B$33:$B$40,0)),0)=1)*(COUNTIF(Y58:Y75,$B99)+COUNTIF(Y58:Y75,$B99&amp;" ~*")&gt;0))</f>
        <v/>
      </c>
    </row>
    <row r="100" ht="15" customHeight="1">
      <c r="A100" t="n">
        <v>2</v>
      </c>
      <c r="B100" s="37">
        <f>IF(Setup!$B$29="","",Setup!$B$29)</f>
        <v/>
      </c>
      <c r="C100" s="102" t="n"/>
      <c r="D100" s="103" t="n"/>
      <c r="E100" s="103" t="n"/>
      <c r="F100" s="104" t="n"/>
      <c r="G100" s="102" t="n"/>
      <c r="H100" s="103" t="n"/>
      <c r="I100" s="103" t="n"/>
      <c r="J100" s="104" t="n"/>
      <c r="K100" s="102" t="n"/>
      <c r="L100" s="103" t="n"/>
      <c r="M100" s="103" t="n"/>
      <c r="N100" s="104" t="n"/>
      <c r="O100" s="102" t="n"/>
      <c r="P100" s="103" t="n"/>
      <c r="Q100" s="103" t="n"/>
      <c r="R100" s="104" t="n"/>
      <c r="S100" s="102" t="n"/>
      <c r="T100" s="103" t="n"/>
      <c r="U100" s="103" t="n"/>
      <c r="V100" s="104" t="n"/>
      <c r="W100" s="102" t="n"/>
      <c r="X100" s="104" t="n"/>
      <c r="Y100" s="102" t="n"/>
      <c r="Z100" s="104" t="n"/>
      <c r="AB100" s="105">
        <f>IF($B100="","",(COUNTIF(C58:E75,$B100)+COUNTIF(C58:E75,$B100&amp;" ~*")&gt;0)+(COUNTIF(G58:I75,$B100)+COUNTIF(G58:I75,$B100&amp;" ~*")&gt;0)+(COUNTIF(K58:M75,$B100)+COUNTIF(K58:M75,$B100&amp;" ~*")&gt;0)+(COUNTIF(O58:Q75,$B100)+COUNTIF(O58:Q75,$B100&amp;" ~*")&gt;0)+(COUNTIF(S58:U75,$B100)+COUNTIF(S58:U75,$B100&amp;" ~*")&gt;0)+(COUNTIF(W58:W75,$B100)+COUNTIF(W58:W75,$B100&amp;" ~*")&gt;0)+(COUNTIF(Y58:Y75,$B100)+COUNTIF(Y58:Y75,$B100&amp;" ~*")&gt;0))</f>
        <v/>
      </c>
      <c r="AC100" s="38">
        <f>IF($B100="","",(IFERROR(INDEX(Setup!$G$33:$G$40,MATCH(C100,Setup!$B$33:$B$40,0)),0)=1)*(COUNTIF(C58:E75,$B100)+COUNTIF(C58:E75,$B100&amp;" ~*")&gt;0)+(IFERROR(INDEX(Setup!$G$33:$G$40,MATCH(G100,Setup!$B$33:$B$40,0)),0)=1)*(COUNTIF(G58:I75,$B100)+COUNTIF(G58:I75,$B100&amp;" ~*")&gt;0)+(IFERROR(INDEX(Setup!$G$33:$G$40,MATCH(K100,Setup!$B$33:$B$40,0)),0)=1)*(COUNTIF(K58:M75,$B100)+COUNTIF(K58:M75,$B100&amp;" ~*")&gt;0)+(IFERROR(INDEX(Setup!$G$33:$G$40,MATCH(O100,Setup!$B$33:$B$40,0)),0)=1)*(COUNTIF(O58:Q75,$B100)+COUNTIF(O58:Q75,$B100&amp;" ~*")&gt;0)+(IFERROR(INDEX(Setup!$G$33:$G$40,MATCH(S100,Setup!$B$33:$B$40,0)),0)=1)*(COUNTIF(S58:U75,$B100)+COUNTIF(S58:U75,$B100&amp;" ~*")&gt;0)+(IFERROR(INDEX(Setup!$G$33:$G$40,MATCH(W100,Setup!$B$33:$B$40,0)),0)=1)*(COUNTIF(W58:W75,$B100)+COUNTIF(W58:W75,$B100&amp;" ~*")&gt;0)+(IFERROR(INDEX(Setup!$G$33:$G$40,MATCH(Y100,Setup!$B$33:$B$40,0)),0)=1)*(COUNTIF(Y58:Y75,$B100)+COUNTIF(Y58:Y75,$B100&amp;" ~*")&gt;0))</f>
        <v/>
      </c>
    </row>
    <row r="101" ht="16" customHeight="1">
      <c r="A101" t="n">
        <v>2</v>
      </c>
      <c r="B101" s="106" t="inlineStr">
        <is>
          <t>Available people</t>
        </is>
      </c>
      <c r="C101" s="107">
        <f>COUNTIFS(Setup!$E$6:$E$29,"Y",Setup!$B$6:$B$29,"?*")-SUMPRODUCT(COUNTIF(C77:C100,Setup!$F$33:$F$40))</f>
        <v/>
      </c>
      <c r="D101" s="107" t="n"/>
      <c r="E101" s="107" t="n"/>
      <c r="F101" s="107" t="n"/>
      <c r="G101" s="107">
        <f>COUNTIFS(Setup!$E$6:$E$29,"Y",Setup!$B$6:$B$29,"?*")-SUMPRODUCT(COUNTIF(G77:G100,Setup!$F$33:$F$40))</f>
        <v/>
      </c>
      <c r="H101" s="107" t="n"/>
      <c r="I101" s="107" t="n"/>
      <c r="J101" s="107" t="n"/>
      <c r="K101" s="107">
        <f>COUNTIFS(Setup!$E$6:$E$29,"Y",Setup!$B$6:$B$29,"?*")-SUMPRODUCT(COUNTIF(K77:K100,Setup!$F$33:$F$40))</f>
        <v/>
      </c>
      <c r="L101" s="107" t="n"/>
      <c r="M101" s="107" t="n"/>
      <c r="N101" s="107" t="n"/>
      <c r="O101" s="107">
        <f>COUNTIFS(Setup!$E$6:$E$29,"Y",Setup!$B$6:$B$29,"?*")-SUMPRODUCT(COUNTIF(O77:O100,Setup!$F$33:$F$40))</f>
        <v/>
      </c>
      <c r="P101" s="107" t="n"/>
      <c r="Q101" s="107" t="n"/>
      <c r="R101" s="107" t="n"/>
      <c r="S101" s="107">
        <f>COUNTIFS(Setup!$E$6:$E$29,"Y",Setup!$B$6:$B$29,"?*")-SUMPRODUCT(COUNTIF(S77:S100,Setup!$F$33:$F$40))</f>
        <v/>
      </c>
      <c r="T101" s="107" t="n"/>
      <c r="U101" s="107" t="n"/>
      <c r="V101" s="107" t="n"/>
      <c r="W101" s="107">
        <f>COUNTIFS(Setup!$E$6:$E$29,"Y",Setup!$B$6:$B$29,"?*")-SUMPRODUCT(COUNTIF(W77:W100,Setup!$F$33:$F$40))</f>
        <v/>
      </c>
      <c r="X101" s="107" t="n"/>
      <c r="Y101" s="107">
        <f>COUNTIFS(Setup!$E$6:$E$29,"Y",Setup!$B$6:$B$29,"?*")-SUMPRODUCT(COUNTIF(Y77:Y100,Setup!$F$33:$F$40))</f>
        <v/>
      </c>
      <c r="Z101" s="107" t="n"/>
      <c r="AB101" s="108">
        <f>SUM(AB77:AB100)</f>
        <v/>
      </c>
      <c r="AC101" s="109">
        <f>SUM(AC77:AC100)</f>
        <v/>
      </c>
    </row>
    <row r="102" ht="30" customHeight="1">
      <c r="A102" t="n">
        <v>2</v>
      </c>
      <c r="B102" s="110" t="inlineStr">
        <is>
          <t>Week notes</t>
        </is>
      </c>
      <c r="C102" s="111" t="n"/>
      <c r="D102" s="112" t="n"/>
      <c r="E102" s="112" t="n"/>
      <c r="F102" s="112" t="n"/>
      <c r="G102" s="112" t="n"/>
      <c r="H102" s="112" t="n"/>
      <c r="I102" s="112" t="n"/>
      <c r="J102" s="112" t="n"/>
      <c r="K102" s="112" t="n"/>
      <c r="L102" s="112" t="n"/>
      <c r="M102" s="112" t="n"/>
      <c r="N102" s="112" t="n"/>
      <c r="O102" s="112" t="n"/>
      <c r="P102" s="112" t="n"/>
      <c r="Q102" s="112" t="n"/>
      <c r="R102" s="112" t="n"/>
      <c r="S102" s="112" t="n"/>
      <c r="T102" s="112" t="n"/>
      <c r="U102" s="112" t="n"/>
      <c r="V102" s="112" t="n"/>
      <c r="W102" s="112" t="n"/>
      <c r="X102" s="112" t="n"/>
      <c r="Y102" s="112" t="n"/>
      <c r="Z102" s="113" t="n"/>
    </row>
    <row r="103" ht="8" customHeight="1">
      <c r="A103" t="n">
        <v>2</v>
      </c>
    </row>
    <row r="104" ht="8" customHeight="1">
      <c r="A104" t="n">
        <v>2</v>
      </c>
    </row>
    <row r="105" ht="24" customHeight="1">
      <c r="A105" t="n">
        <v>3</v>
      </c>
      <c r="B105" s="73">
        <f>"WEEK 3     "&amp;TEXT(C106,"ddd d mmm")&amp;"  –  "&amp;TEXT(C106+6,"ddd d mmm yyyy")</f>
        <v/>
      </c>
      <c r="S105" s="74">
        <f>IF(TODAY()&lt;C106,"FUTURE",IF(TODAY()&gt;C106+6,"PAST","THIS WEEK"))</f>
        <v/>
      </c>
      <c r="W105" s="75">
        <f>IF(AND(Engine!$B$8=$AC$3,Engine!$B$9=$A105),"◀ ACTIVE WEEK","")</f>
        <v/>
      </c>
      <c r="AA105" s="76" t="n"/>
      <c r="AB105" s="77" t="inlineStr">
        <is>
          <t>◀ Prev</t>
        </is>
      </c>
      <c r="AC105" s="77" t="inlineStr">
        <is>
          <t>Next ▶</t>
        </is>
      </c>
    </row>
    <row r="106" ht="18" customHeight="1">
      <c r="A106" t="n">
        <v>3</v>
      </c>
      <c r="B106" s="78" t="inlineStr">
        <is>
          <t>DUTY</t>
        </is>
      </c>
      <c r="C106" s="79">
        <f>$AC$2+7*($A106-1)</f>
        <v/>
      </c>
      <c r="D106" s="80" t="n"/>
      <c r="E106" s="80" t="n"/>
      <c r="F106" s="81" t="n"/>
      <c r="G106" s="79">
        <f>C106+1</f>
        <v/>
      </c>
      <c r="H106" s="80" t="n"/>
      <c r="I106" s="80" t="n"/>
      <c r="J106" s="81" t="n"/>
      <c r="K106" s="79">
        <f>C106+2</f>
        <v/>
      </c>
      <c r="L106" s="80" t="n"/>
      <c r="M106" s="80" t="n"/>
      <c r="N106" s="81" t="n"/>
      <c r="O106" s="79">
        <f>C106+3</f>
        <v/>
      </c>
      <c r="P106" s="80" t="n"/>
      <c r="Q106" s="80" t="n"/>
      <c r="R106" s="81" t="n"/>
      <c r="S106" s="79">
        <f>C106+4</f>
        <v/>
      </c>
      <c r="T106" s="80" t="n"/>
      <c r="U106" s="80" t="n"/>
      <c r="V106" s="81" t="n"/>
      <c r="W106" s="82">
        <f>C106+5</f>
        <v/>
      </c>
      <c r="X106" s="83" t="n"/>
      <c r="Y106" s="82">
        <f>C106+6</f>
        <v/>
      </c>
      <c r="Z106" s="83" t="n"/>
      <c r="AB106" s="72" t="inlineStr">
        <is>
          <t>Gaps</t>
        </is>
      </c>
      <c r="AC106" s="72" t="inlineStr">
        <is>
          <t>Cover</t>
        </is>
      </c>
    </row>
    <row r="107" ht="14" customHeight="1">
      <c r="A107" t="n">
        <v>3</v>
      </c>
      <c r="B107" s="84" t="inlineStr">
        <is>
          <t>(from Setup)</t>
        </is>
      </c>
      <c r="C107" s="85" t="inlineStr">
        <is>
          <t>1</t>
        </is>
      </c>
      <c r="D107" s="85" t="inlineStr">
        <is>
          <t>2</t>
        </is>
      </c>
      <c r="E107" s="85" t="inlineStr">
        <is>
          <t>3</t>
        </is>
      </c>
      <c r="F107" s="85" t="inlineStr">
        <is>
          <t>Notes</t>
        </is>
      </c>
      <c r="G107" s="85" t="inlineStr">
        <is>
          <t>1</t>
        </is>
      </c>
      <c r="H107" s="85" t="inlineStr">
        <is>
          <t>2</t>
        </is>
      </c>
      <c r="I107" s="85" t="inlineStr">
        <is>
          <t>3</t>
        </is>
      </c>
      <c r="J107" s="85" t="inlineStr">
        <is>
          <t>Notes</t>
        </is>
      </c>
      <c r="K107" s="85" t="inlineStr">
        <is>
          <t>1</t>
        </is>
      </c>
      <c r="L107" s="85" t="inlineStr">
        <is>
          <t>2</t>
        </is>
      </c>
      <c r="M107" s="85" t="inlineStr">
        <is>
          <t>3</t>
        </is>
      </c>
      <c r="N107" s="85" t="inlineStr">
        <is>
          <t>Notes</t>
        </is>
      </c>
      <c r="O107" s="85" t="inlineStr">
        <is>
          <t>1</t>
        </is>
      </c>
      <c r="P107" s="85" t="inlineStr">
        <is>
          <t>2</t>
        </is>
      </c>
      <c r="Q107" s="85" t="inlineStr">
        <is>
          <t>3</t>
        </is>
      </c>
      <c r="R107" s="85" t="inlineStr">
        <is>
          <t>Notes</t>
        </is>
      </c>
      <c r="S107" s="85" t="inlineStr">
        <is>
          <t>1</t>
        </is>
      </c>
      <c r="T107" s="85" t="inlineStr">
        <is>
          <t>2</t>
        </is>
      </c>
      <c r="U107" s="85" t="inlineStr">
        <is>
          <t>3</t>
        </is>
      </c>
      <c r="V107" s="85" t="inlineStr">
        <is>
          <t>Notes</t>
        </is>
      </c>
      <c r="W107" s="85" t="inlineStr">
        <is>
          <t>Cover</t>
        </is>
      </c>
      <c r="X107" s="85" t="inlineStr">
        <is>
          <t>Notes</t>
        </is>
      </c>
      <c r="Y107" s="85" t="inlineStr">
        <is>
          <t>Cover</t>
        </is>
      </c>
      <c r="Z107" s="85" t="inlineStr">
        <is>
          <t>Notes</t>
        </is>
      </c>
      <c r="AB107" s="86" t="inlineStr">
        <is>
          <t>weekdays short</t>
        </is>
      </c>
      <c r="AC107" s="87" t="inlineStr"/>
    </row>
    <row r="108" ht="17" customHeight="1">
      <c r="A108" t="n">
        <v>3</v>
      </c>
      <c r="B108" s="24">
        <f>IF(Setup!$K$6="","",Setup!$K$6)</f>
        <v/>
      </c>
      <c r="C108" s="88" t="n"/>
      <c r="D108" s="88" t="n"/>
      <c r="E108" s="88" t="n"/>
      <c r="F108" s="89" t="n"/>
      <c r="G108" s="88" t="n"/>
      <c r="H108" s="88" t="n"/>
      <c r="I108" s="88" t="n"/>
      <c r="J108" s="89" t="n"/>
      <c r="K108" s="88" t="n"/>
      <c r="L108" s="88" t="n"/>
      <c r="M108" s="88" t="n"/>
      <c r="N108" s="89" t="n"/>
      <c r="O108" s="88" t="n"/>
      <c r="P108" s="88" t="n"/>
      <c r="Q108" s="88" t="n"/>
      <c r="R108" s="89" t="n"/>
      <c r="S108" s="88" t="n"/>
      <c r="T108" s="88" t="n"/>
      <c r="U108" s="88" t="n"/>
      <c r="V108" s="89" t="n"/>
      <c r="W108" s="88" t="n"/>
      <c r="X108" s="89" t="n"/>
      <c r="Y108" s="88" t="n"/>
      <c r="Z108" s="89" t="n"/>
      <c r="AB108" s="25">
        <f>IF($B108="","",(COUNTIF(C108:E108,"?*")&lt;N(INDEX(Setup!$L$6:$L$23,1)))+(COUNTIF(G108:I108,"?*")&lt;N(INDEX(Setup!$L$6:$L$23,1)))+(COUNTIF(K108:M108,"?*")&lt;N(INDEX(Setup!$L$6:$L$23,1)))+(COUNTIF(O108:Q108,"?*")&lt;N(INDEX(Setup!$L$6:$L$23,1)))+(COUNTIF(S108:U108,"?*")&lt;N(INDEX(Setup!$L$6:$L$23,1)))+((W108="")*(INDEX(Setup!$M$6:$M$23,1)="Y"))+((Y108="")*(INDEX(Setup!$M$6:$M$23,1)="Y")))</f>
        <v/>
      </c>
      <c r="AC108" s="90">
        <f>IF($B108="","",IF(AB108=0,"✓ covered","⚠ "&amp;AB108&amp;IF(AB108=1," gap"," gaps")))</f>
        <v/>
      </c>
    </row>
    <row r="109" ht="17" customHeight="1">
      <c r="A109" t="n">
        <v>3</v>
      </c>
      <c r="B109" s="29">
        <f>IF(Setup!$K$7="","",Setup!$K$7)</f>
        <v/>
      </c>
      <c r="C109" s="88" t="n"/>
      <c r="D109" s="88" t="n"/>
      <c r="E109" s="88" t="n"/>
      <c r="F109" s="89" t="n"/>
      <c r="G109" s="88" t="n"/>
      <c r="H109" s="88" t="n"/>
      <c r="I109" s="88" t="n"/>
      <c r="J109" s="89" t="n"/>
      <c r="K109" s="88" t="n"/>
      <c r="L109" s="88" t="n"/>
      <c r="M109" s="88" t="n"/>
      <c r="N109" s="89" t="n"/>
      <c r="O109" s="88" t="n"/>
      <c r="P109" s="88" t="n"/>
      <c r="Q109" s="88" t="n"/>
      <c r="R109" s="89" t="n"/>
      <c r="S109" s="88" t="n"/>
      <c r="T109" s="88" t="n"/>
      <c r="U109" s="88" t="n"/>
      <c r="V109" s="89" t="n"/>
      <c r="W109" s="88" t="n"/>
      <c r="X109" s="89" t="n"/>
      <c r="Y109" s="88" t="n"/>
      <c r="Z109" s="89" t="n"/>
      <c r="AB109" s="30">
        <f>IF($B109="","",(COUNTIF(C109:E109,"?*")&lt;N(INDEX(Setup!$L$6:$L$23,2)))+(COUNTIF(G109:I109,"?*")&lt;N(INDEX(Setup!$L$6:$L$23,2)))+(COUNTIF(K109:M109,"?*")&lt;N(INDEX(Setup!$L$6:$L$23,2)))+(COUNTIF(O109:Q109,"?*")&lt;N(INDEX(Setup!$L$6:$L$23,2)))+(COUNTIF(S109:U109,"?*")&lt;N(INDEX(Setup!$L$6:$L$23,2)))+((W109="")*(INDEX(Setup!$M$6:$M$23,2)="Y"))+((Y109="")*(INDEX(Setup!$M$6:$M$23,2)="Y")))</f>
        <v/>
      </c>
      <c r="AC109" s="91">
        <f>IF($B109="","",IF(AB109=0,"✓ covered","⚠ "&amp;AB109&amp;IF(AB109=1," gap"," gaps")))</f>
        <v/>
      </c>
    </row>
    <row r="110" ht="17" customHeight="1">
      <c r="A110" t="n">
        <v>3</v>
      </c>
      <c r="B110" s="24">
        <f>IF(Setup!$K$8="","",Setup!$K$8)</f>
        <v/>
      </c>
      <c r="C110" s="88" t="n"/>
      <c r="D110" s="88" t="n"/>
      <c r="E110" s="88" t="n"/>
      <c r="F110" s="89" t="n"/>
      <c r="G110" s="88" t="n"/>
      <c r="H110" s="88" t="n"/>
      <c r="I110" s="88" t="n"/>
      <c r="J110" s="89" t="n"/>
      <c r="K110" s="88" t="n"/>
      <c r="L110" s="88" t="n"/>
      <c r="M110" s="88" t="n"/>
      <c r="N110" s="89" t="n"/>
      <c r="O110" s="88" t="n"/>
      <c r="P110" s="88" t="n"/>
      <c r="Q110" s="88" t="n"/>
      <c r="R110" s="89" t="n"/>
      <c r="S110" s="88" t="n"/>
      <c r="T110" s="88" t="n"/>
      <c r="U110" s="88" t="n"/>
      <c r="V110" s="89" t="n"/>
      <c r="W110" s="88" t="n"/>
      <c r="X110" s="89" t="n"/>
      <c r="Y110" s="88" t="n"/>
      <c r="Z110" s="89" t="n"/>
      <c r="AB110" s="25">
        <f>IF($B110="","",(COUNTIF(C110:E110,"?*")&lt;N(INDEX(Setup!$L$6:$L$23,3)))+(COUNTIF(G110:I110,"?*")&lt;N(INDEX(Setup!$L$6:$L$23,3)))+(COUNTIF(K110:M110,"?*")&lt;N(INDEX(Setup!$L$6:$L$23,3)))+(COUNTIF(O110:Q110,"?*")&lt;N(INDEX(Setup!$L$6:$L$23,3)))+(COUNTIF(S110:U110,"?*")&lt;N(INDEX(Setup!$L$6:$L$23,3)))+((W110="")*(INDEX(Setup!$M$6:$M$23,3)="Y"))+((Y110="")*(INDEX(Setup!$M$6:$M$23,3)="Y")))</f>
        <v/>
      </c>
      <c r="AC110" s="90">
        <f>IF($B110="","",IF(AB110=0,"✓ covered","⚠ "&amp;AB110&amp;IF(AB110=1," gap"," gaps")))</f>
        <v/>
      </c>
    </row>
    <row r="111" ht="17" customHeight="1">
      <c r="A111" t="n">
        <v>3</v>
      </c>
      <c r="B111" s="29">
        <f>IF(Setup!$K$9="","",Setup!$K$9)</f>
        <v/>
      </c>
      <c r="C111" s="88" t="n"/>
      <c r="D111" s="88" t="n"/>
      <c r="E111" s="88" t="n"/>
      <c r="F111" s="89" t="n"/>
      <c r="G111" s="88" t="n"/>
      <c r="H111" s="88" t="n"/>
      <c r="I111" s="88" t="n"/>
      <c r="J111" s="89" t="n"/>
      <c r="K111" s="88" t="n"/>
      <c r="L111" s="88" t="n"/>
      <c r="M111" s="88" t="n"/>
      <c r="N111" s="89" t="n"/>
      <c r="O111" s="88" t="n"/>
      <c r="P111" s="88" t="n"/>
      <c r="Q111" s="88" t="n"/>
      <c r="R111" s="89" t="n"/>
      <c r="S111" s="88" t="n"/>
      <c r="T111" s="88" t="n"/>
      <c r="U111" s="88" t="n"/>
      <c r="V111" s="89" t="n"/>
      <c r="W111" s="88" t="n"/>
      <c r="X111" s="89" t="n"/>
      <c r="Y111" s="88" t="n"/>
      <c r="Z111" s="89" t="n"/>
      <c r="AB111" s="30">
        <f>IF($B111="","",(COUNTIF(C111:E111,"?*")&lt;N(INDEX(Setup!$L$6:$L$23,4)))+(COUNTIF(G111:I111,"?*")&lt;N(INDEX(Setup!$L$6:$L$23,4)))+(COUNTIF(K111:M111,"?*")&lt;N(INDEX(Setup!$L$6:$L$23,4)))+(COUNTIF(O111:Q111,"?*")&lt;N(INDEX(Setup!$L$6:$L$23,4)))+(COUNTIF(S111:U111,"?*")&lt;N(INDEX(Setup!$L$6:$L$23,4)))+((W111="")*(INDEX(Setup!$M$6:$M$23,4)="Y"))+((Y111="")*(INDEX(Setup!$M$6:$M$23,4)="Y")))</f>
        <v/>
      </c>
      <c r="AC111" s="91">
        <f>IF($B111="","",IF(AB111=0,"✓ covered","⚠ "&amp;AB111&amp;IF(AB111=1," gap"," gaps")))</f>
        <v/>
      </c>
    </row>
    <row r="112" ht="17" customHeight="1">
      <c r="A112" t="n">
        <v>3</v>
      </c>
      <c r="B112" s="24">
        <f>IF(Setup!$K$10="","",Setup!$K$10)</f>
        <v/>
      </c>
      <c r="C112" s="88" t="n"/>
      <c r="D112" s="88" t="n"/>
      <c r="E112" s="88" t="n"/>
      <c r="F112" s="89" t="n"/>
      <c r="G112" s="88" t="n"/>
      <c r="H112" s="88" t="n"/>
      <c r="I112" s="88" t="n"/>
      <c r="J112" s="89" t="n"/>
      <c r="K112" s="88" t="n"/>
      <c r="L112" s="88" t="n"/>
      <c r="M112" s="88" t="n"/>
      <c r="N112" s="89" t="n"/>
      <c r="O112" s="88" t="n"/>
      <c r="P112" s="88" t="n"/>
      <c r="Q112" s="88" t="n"/>
      <c r="R112" s="89" t="n"/>
      <c r="S112" s="88" t="n"/>
      <c r="T112" s="88" t="n"/>
      <c r="U112" s="88" t="n"/>
      <c r="V112" s="89" t="n"/>
      <c r="W112" s="88" t="n"/>
      <c r="X112" s="89" t="n"/>
      <c r="Y112" s="88" t="n"/>
      <c r="Z112" s="89" t="n"/>
      <c r="AB112" s="25">
        <f>IF($B112="","",(COUNTIF(C112:E112,"?*")&lt;N(INDEX(Setup!$L$6:$L$23,5)))+(COUNTIF(G112:I112,"?*")&lt;N(INDEX(Setup!$L$6:$L$23,5)))+(COUNTIF(K112:M112,"?*")&lt;N(INDEX(Setup!$L$6:$L$23,5)))+(COUNTIF(O112:Q112,"?*")&lt;N(INDEX(Setup!$L$6:$L$23,5)))+(COUNTIF(S112:U112,"?*")&lt;N(INDEX(Setup!$L$6:$L$23,5)))+((W112="")*(INDEX(Setup!$M$6:$M$23,5)="Y"))+((Y112="")*(INDEX(Setup!$M$6:$M$23,5)="Y")))</f>
        <v/>
      </c>
      <c r="AC112" s="90">
        <f>IF($B112="","",IF(AB112=0,"✓ covered","⚠ "&amp;AB112&amp;IF(AB112=1," gap"," gaps")))</f>
        <v/>
      </c>
    </row>
    <row r="113" ht="17" customHeight="1">
      <c r="A113" t="n">
        <v>3</v>
      </c>
      <c r="B113" s="29">
        <f>IF(Setup!$K$11="","",Setup!$K$11)</f>
        <v/>
      </c>
      <c r="C113" s="88" t="n"/>
      <c r="D113" s="88" t="n"/>
      <c r="E113" s="88" t="n"/>
      <c r="F113" s="89" t="n"/>
      <c r="G113" s="88" t="n"/>
      <c r="H113" s="88" t="n"/>
      <c r="I113" s="88" t="n"/>
      <c r="J113" s="89" t="n"/>
      <c r="K113" s="88" t="n"/>
      <c r="L113" s="88" t="n"/>
      <c r="M113" s="88" t="n"/>
      <c r="N113" s="89" t="n"/>
      <c r="O113" s="88" t="n"/>
      <c r="P113" s="88" t="n"/>
      <c r="Q113" s="88" t="n"/>
      <c r="R113" s="89" t="n"/>
      <c r="S113" s="88" t="n"/>
      <c r="T113" s="88" t="n"/>
      <c r="U113" s="88" t="n"/>
      <c r="V113" s="89" t="n"/>
      <c r="W113" s="88" t="n"/>
      <c r="X113" s="89" t="n"/>
      <c r="Y113" s="88" t="n"/>
      <c r="Z113" s="89" t="n"/>
      <c r="AB113" s="30">
        <f>IF($B113="","",(COUNTIF(C113:E113,"?*")&lt;N(INDEX(Setup!$L$6:$L$23,6)))+(COUNTIF(G113:I113,"?*")&lt;N(INDEX(Setup!$L$6:$L$23,6)))+(COUNTIF(K113:M113,"?*")&lt;N(INDEX(Setup!$L$6:$L$23,6)))+(COUNTIF(O113:Q113,"?*")&lt;N(INDEX(Setup!$L$6:$L$23,6)))+(COUNTIF(S113:U113,"?*")&lt;N(INDEX(Setup!$L$6:$L$23,6)))+((W113="")*(INDEX(Setup!$M$6:$M$23,6)="Y"))+((Y113="")*(INDEX(Setup!$M$6:$M$23,6)="Y")))</f>
        <v/>
      </c>
      <c r="AC113" s="91">
        <f>IF($B113="","",IF(AB113=0,"✓ covered","⚠ "&amp;AB113&amp;IF(AB113=1," gap"," gaps")))</f>
        <v/>
      </c>
    </row>
    <row r="114" ht="17" customHeight="1">
      <c r="A114" t="n">
        <v>3</v>
      </c>
      <c r="B114" s="24">
        <f>IF(Setup!$K$12="","",Setup!$K$12)</f>
        <v/>
      </c>
      <c r="C114" s="88" t="n"/>
      <c r="D114" s="88" t="n"/>
      <c r="E114" s="88" t="n"/>
      <c r="F114" s="89" t="n"/>
      <c r="G114" s="88" t="n"/>
      <c r="H114" s="88" t="n"/>
      <c r="I114" s="88" t="n"/>
      <c r="J114" s="89" t="n"/>
      <c r="K114" s="88" t="n"/>
      <c r="L114" s="88" t="n"/>
      <c r="M114" s="88" t="n"/>
      <c r="N114" s="89" t="n"/>
      <c r="O114" s="88" t="n"/>
      <c r="P114" s="88" t="n"/>
      <c r="Q114" s="88" t="n"/>
      <c r="R114" s="89" t="n"/>
      <c r="S114" s="88" t="n"/>
      <c r="T114" s="88" t="n"/>
      <c r="U114" s="88" t="n"/>
      <c r="V114" s="89" t="n"/>
      <c r="W114" s="88" t="n"/>
      <c r="X114" s="89" t="n"/>
      <c r="Y114" s="88" t="n"/>
      <c r="Z114" s="89" t="n"/>
      <c r="AB114" s="25">
        <f>IF($B114="","",(COUNTIF(C114:E114,"?*")&lt;N(INDEX(Setup!$L$6:$L$23,7)))+(COUNTIF(G114:I114,"?*")&lt;N(INDEX(Setup!$L$6:$L$23,7)))+(COUNTIF(K114:M114,"?*")&lt;N(INDEX(Setup!$L$6:$L$23,7)))+(COUNTIF(O114:Q114,"?*")&lt;N(INDEX(Setup!$L$6:$L$23,7)))+(COUNTIF(S114:U114,"?*")&lt;N(INDEX(Setup!$L$6:$L$23,7)))+((W114="")*(INDEX(Setup!$M$6:$M$23,7)="Y"))+((Y114="")*(INDEX(Setup!$M$6:$M$23,7)="Y")))</f>
        <v/>
      </c>
      <c r="AC114" s="90">
        <f>IF($B114="","",IF(AB114=0,"✓ covered","⚠ "&amp;AB114&amp;IF(AB114=1," gap"," gaps")))</f>
        <v/>
      </c>
    </row>
    <row r="115" ht="17" customHeight="1">
      <c r="A115" t="n">
        <v>3</v>
      </c>
      <c r="B115" s="29">
        <f>IF(Setup!$K$13="","",Setup!$K$13)</f>
        <v/>
      </c>
      <c r="C115" s="88" t="n"/>
      <c r="D115" s="88" t="n"/>
      <c r="E115" s="88" t="n"/>
      <c r="F115" s="89" t="n"/>
      <c r="G115" s="88" t="n"/>
      <c r="H115" s="88" t="n"/>
      <c r="I115" s="88" t="n"/>
      <c r="J115" s="89" t="n"/>
      <c r="K115" s="88" t="n"/>
      <c r="L115" s="88" t="n"/>
      <c r="M115" s="88" t="n"/>
      <c r="N115" s="89" t="n"/>
      <c r="O115" s="88" t="n"/>
      <c r="P115" s="88" t="n"/>
      <c r="Q115" s="88" t="n"/>
      <c r="R115" s="89" t="n"/>
      <c r="S115" s="88" t="n"/>
      <c r="T115" s="88" t="n"/>
      <c r="U115" s="88" t="n"/>
      <c r="V115" s="89" t="n"/>
      <c r="W115" s="88" t="n"/>
      <c r="X115" s="89" t="n"/>
      <c r="Y115" s="88" t="n"/>
      <c r="Z115" s="89" t="n"/>
      <c r="AB115" s="30">
        <f>IF($B115="","",(COUNTIF(C115:E115,"?*")&lt;N(INDEX(Setup!$L$6:$L$23,8)))+(COUNTIF(G115:I115,"?*")&lt;N(INDEX(Setup!$L$6:$L$23,8)))+(COUNTIF(K115:M115,"?*")&lt;N(INDEX(Setup!$L$6:$L$23,8)))+(COUNTIF(O115:Q115,"?*")&lt;N(INDEX(Setup!$L$6:$L$23,8)))+(COUNTIF(S115:U115,"?*")&lt;N(INDEX(Setup!$L$6:$L$23,8)))+((W115="")*(INDEX(Setup!$M$6:$M$23,8)="Y"))+((Y115="")*(INDEX(Setup!$M$6:$M$23,8)="Y")))</f>
        <v/>
      </c>
      <c r="AC115" s="91">
        <f>IF($B115="","",IF(AB115=0,"✓ covered","⚠ "&amp;AB115&amp;IF(AB115=1," gap"," gaps")))</f>
        <v/>
      </c>
    </row>
    <row r="116" ht="17" customHeight="1">
      <c r="A116" t="n">
        <v>3</v>
      </c>
      <c r="B116" s="24">
        <f>IF(Setup!$K$14="","",Setup!$K$14)</f>
        <v/>
      </c>
      <c r="C116" s="88" t="n"/>
      <c r="D116" s="88" t="n"/>
      <c r="E116" s="88" t="n"/>
      <c r="F116" s="89" t="n"/>
      <c r="G116" s="88" t="n"/>
      <c r="H116" s="88" t="n"/>
      <c r="I116" s="88" t="n"/>
      <c r="J116" s="89" t="n"/>
      <c r="K116" s="88" t="n"/>
      <c r="L116" s="88" t="n"/>
      <c r="M116" s="88" t="n"/>
      <c r="N116" s="89" t="n"/>
      <c r="O116" s="88" t="n"/>
      <c r="P116" s="88" t="n"/>
      <c r="Q116" s="88" t="n"/>
      <c r="R116" s="89" t="n"/>
      <c r="S116" s="88" t="n"/>
      <c r="T116" s="88" t="n"/>
      <c r="U116" s="88" t="n"/>
      <c r="V116" s="89" t="n"/>
      <c r="W116" s="88" t="n"/>
      <c r="X116" s="89" t="n"/>
      <c r="Y116" s="88" t="n"/>
      <c r="Z116" s="89" t="n"/>
      <c r="AB116" s="25">
        <f>IF($B116="","",(COUNTIF(C116:E116,"?*")&lt;N(INDEX(Setup!$L$6:$L$23,9)))+(COUNTIF(G116:I116,"?*")&lt;N(INDEX(Setup!$L$6:$L$23,9)))+(COUNTIF(K116:M116,"?*")&lt;N(INDEX(Setup!$L$6:$L$23,9)))+(COUNTIF(O116:Q116,"?*")&lt;N(INDEX(Setup!$L$6:$L$23,9)))+(COUNTIF(S116:U116,"?*")&lt;N(INDEX(Setup!$L$6:$L$23,9)))+((W116="")*(INDEX(Setup!$M$6:$M$23,9)="Y"))+((Y116="")*(INDEX(Setup!$M$6:$M$23,9)="Y")))</f>
        <v/>
      </c>
      <c r="AC116" s="90">
        <f>IF($B116="","",IF(AB116=0,"✓ covered","⚠ "&amp;AB116&amp;IF(AB116=1," gap"," gaps")))</f>
        <v/>
      </c>
    </row>
    <row r="117" ht="17" customHeight="1">
      <c r="A117" t="n">
        <v>3</v>
      </c>
      <c r="B117" s="29">
        <f>IF(Setup!$K$15="","",Setup!$K$15)</f>
        <v/>
      </c>
      <c r="C117" s="88" t="n"/>
      <c r="D117" s="88" t="n"/>
      <c r="E117" s="88" t="n"/>
      <c r="F117" s="89" t="n"/>
      <c r="G117" s="88" t="n"/>
      <c r="H117" s="88" t="n"/>
      <c r="I117" s="88" t="n"/>
      <c r="J117" s="89" t="n"/>
      <c r="K117" s="88" t="n"/>
      <c r="L117" s="88" t="n"/>
      <c r="M117" s="88" t="n"/>
      <c r="N117" s="89" t="n"/>
      <c r="O117" s="88" t="n"/>
      <c r="P117" s="88" t="n"/>
      <c r="Q117" s="88" t="n"/>
      <c r="R117" s="89" t="n"/>
      <c r="S117" s="88" t="n"/>
      <c r="T117" s="88" t="n"/>
      <c r="U117" s="88" t="n"/>
      <c r="V117" s="89" t="n"/>
      <c r="W117" s="88" t="n"/>
      <c r="X117" s="89" t="n"/>
      <c r="Y117" s="88" t="n"/>
      <c r="Z117" s="89" t="n"/>
      <c r="AB117" s="30">
        <f>IF($B117="","",(COUNTIF(C117:E117,"?*")&lt;N(INDEX(Setup!$L$6:$L$23,10)))+(COUNTIF(G117:I117,"?*")&lt;N(INDEX(Setup!$L$6:$L$23,10)))+(COUNTIF(K117:M117,"?*")&lt;N(INDEX(Setup!$L$6:$L$23,10)))+(COUNTIF(O117:Q117,"?*")&lt;N(INDEX(Setup!$L$6:$L$23,10)))+(COUNTIF(S117:U117,"?*")&lt;N(INDEX(Setup!$L$6:$L$23,10)))+((W117="")*(INDEX(Setup!$M$6:$M$23,10)="Y"))+((Y117="")*(INDEX(Setup!$M$6:$M$23,10)="Y")))</f>
        <v/>
      </c>
      <c r="AC117" s="91">
        <f>IF($B117="","",IF(AB117=0,"✓ covered","⚠ "&amp;AB117&amp;IF(AB117=1," gap"," gaps")))</f>
        <v/>
      </c>
    </row>
    <row r="118" ht="17" customHeight="1">
      <c r="A118" t="n">
        <v>3</v>
      </c>
      <c r="B118" s="24">
        <f>IF(Setup!$K$16="","",Setup!$K$16)</f>
        <v/>
      </c>
      <c r="C118" s="88" t="n"/>
      <c r="D118" s="88" t="n"/>
      <c r="E118" s="88" t="n"/>
      <c r="F118" s="89" t="n"/>
      <c r="G118" s="88" t="n"/>
      <c r="H118" s="88" t="n"/>
      <c r="I118" s="88" t="n"/>
      <c r="J118" s="89" t="n"/>
      <c r="K118" s="88" t="n"/>
      <c r="L118" s="88" t="n"/>
      <c r="M118" s="88" t="n"/>
      <c r="N118" s="89" t="n"/>
      <c r="O118" s="88" t="n"/>
      <c r="P118" s="88" t="n"/>
      <c r="Q118" s="88" t="n"/>
      <c r="R118" s="89" t="n"/>
      <c r="S118" s="88" t="n"/>
      <c r="T118" s="88" t="n"/>
      <c r="U118" s="88" t="n"/>
      <c r="V118" s="89" t="n"/>
      <c r="W118" s="88" t="n"/>
      <c r="X118" s="89" t="n"/>
      <c r="Y118" s="88" t="n"/>
      <c r="Z118" s="89" t="n"/>
      <c r="AB118" s="25">
        <f>IF($B118="","",(COUNTIF(C118:E118,"?*")&lt;N(INDEX(Setup!$L$6:$L$23,11)))+(COUNTIF(G118:I118,"?*")&lt;N(INDEX(Setup!$L$6:$L$23,11)))+(COUNTIF(K118:M118,"?*")&lt;N(INDEX(Setup!$L$6:$L$23,11)))+(COUNTIF(O118:Q118,"?*")&lt;N(INDEX(Setup!$L$6:$L$23,11)))+(COUNTIF(S118:U118,"?*")&lt;N(INDEX(Setup!$L$6:$L$23,11)))+((W118="")*(INDEX(Setup!$M$6:$M$23,11)="Y"))+((Y118="")*(INDEX(Setup!$M$6:$M$23,11)="Y")))</f>
        <v/>
      </c>
      <c r="AC118" s="90">
        <f>IF($B118="","",IF(AB118=0,"✓ covered","⚠ "&amp;AB118&amp;IF(AB118=1," gap"," gaps")))</f>
        <v/>
      </c>
    </row>
    <row r="119" ht="17" customHeight="1">
      <c r="A119" t="n">
        <v>3</v>
      </c>
      <c r="B119" s="29">
        <f>IF(Setup!$K$17="","",Setup!$K$17)</f>
        <v/>
      </c>
      <c r="C119" s="88" t="n"/>
      <c r="D119" s="88" t="n"/>
      <c r="E119" s="88" t="n"/>
      <c r="F119" s="89" t="n"/>
      <c r="G119" s="88" t="n"/>
      <c r="H119" s="88" t="n"/>
      <c r="I119" s="88" t="n"/>
      <c r="J119" s="89" t="n"/>
      <c r="K119" s="88" t="n"/>
      <c r="L119" s="88" t="n"/>
      <c r="M119" s="88" t="n"/>
      <c r="N119" s="89" t="n"/>
      <c r="O119" s="88" t="n"/>
      <c r="P119" s="88" t="n"/>
      <c r="Q119" s="88" t="n"/>
      <c r="R119" s="89" t="n"/>
      <c r="S119" s="88" t="n"/>
      <c r="T119" s="88" t="n"/>
      <c r="U119" s="88" t="n"/>
      <c r="V119" s="89" t="n"/>
      <c r="W119" s="88" t="n"/>
      <c r="X119" s="89" t="n"/>
      <c r="Y119" s="88" t="n"/>
      <c r="Z119" s="89" t="n"/>
      <c r="AB119" s="30">
        <f>IF($B119="","",(COUNTIF(C119:E119,"?*")&lt;N(INDEX(Setup!$L$6:$L$23,12)))+(COUNTIF(G119:I119,"?*")&lt;N(INDEX(Setup!$L$6:$L$23,12)))+(COUNTIF(K119:M119,"?*")&lt;N(INDEX(Setup!$L$6:$L$23,12)))+(COUNTIF(O119:Q119,"?*")&lt;N(INDEX(Setup!$L$6:$L$23,12)))+(COUNTIF(S119:U119,"?*")&lt;N(INDEX(Setup!$L$6:$L$23,12)))+((W119="")*(INDEX(Setup!$M$6:$M$23,12)="Y"))+((Y119="")*(INDEX(Setup!$M$6:$M$23,12)="Y")))</f>
        <v/>
      </c>
      <c r="AC119" s="91">
        <f>IF($B119="","",IF(AB119=0,"✓ covered","⚠ "&amp;AB119&amp;IF(AB119=1," gap"," gaps")))</f>
        <v/>
      </c>
    </row>
    <row r="120" ht="17" customHeight="1">
      <c r="A120" t="n">
        <v>3</v>
      </c>
      <c r="B120" s="24">
        <f>IF(Setup!$K$18="","",Setup!$K$18)</f>
        <v/>
      </c>
      <c r="C120" s="88" t="n"/>
      <c r="D120" s="88" t="n"/>
      <c r="E120" s="88" t="n"/>
      <c r="F120" s="89" t="n"/>
      <c r="G120" s="88" t="n"/>
      <c r="H120" s="88" t="n"/>
      <c r="I120" s="88" t="n"/>
      <c r="J120" s="89" t="n"/>
      <c r="K120" s="88" t="n"/>
      <c r="L120" s="88" t="n"/>
      <c r="M120" s="88" t="n"/>
      <c r="N120" s="89" t="n"/>
      <c r="O120" s="88" t="n"/>
      <c r="P120" s="88" t="n"/>
      <c r="Q120" s="88" t="n"/>
      <c r="R120" s="89" t="n"/>
      <c r="S120" s="88" t="n"/>
      <c r="T120" s="88" t="n"/>
      <c r="U120" s="88" t="n"/>
      <c r="V120" s="89" t="n"/>
      <c r="W120" s="88" t="n"/>
      <c r="X120" s="89" t="n"/>
      <c r="Y120" s="88" t="n"/>
      <c r="Z120" s="89" t="n"/>
      <c r="AB120" s="25">
        <f>IF($B120="","",(COUNTIF(C120:E120,"?*")&lt;N(INDEX(Setup!$L$6:$L$23,13)))+(COUNTIF(G120:I120,"?*")&lt;N(INDEX(Setup!$L$6:$L$23,13)))+(COUNTIF(K120:M120,"?*")&lt;N(INDEX(Setup!$L$6:$L$23,13)))+(COUNTIF(O120:Q120,"?*")&lt;N(INDEX(Setup!$L$6:$L$23,13)))+(COUNTIF(S120:U120,"?*")&lt;N(INDEX(Setup!$L$6:$L$23,13)))+((W120="")*(INDEX(Setup!$M$6:$M$23,13)="Y"))+((Y120="")*(INDEX(Setup!$M$6:$M$23,13)="Y")))</f>
        <v/>
      </c>
      <c r="AC120" s="90">
        <f>IF($B120="","",IF(AB120=0,"✓ covered","⚠ "&amp;AB120&amp;IF(AB120=1," gap"," gaps")))</f>
        <v/>
      </c>
    </row>
    <row r="121" ht="17" customHeight="1">
      <c r="A121" t="n">
        <v>3</v>
      </c>
      <c r="B121" s="29">
        <f>IF(Setup!$K$19="","",Setup!$K$19)</f>
        <v/>
      </c>
      <c r="C121" s="88" t="n"/>
      <c r="D121" s="88" t="n"/>
      <c r="E121" s="88" t="n"/>
      <c r="F121" s="89" t="n"/>
      <c r="G121" s="88" t="n"/>
      <c r="H121" s="88" t="n"/>
      <c r="I121" s="88" t="n"/>
      <c r="J121" s="89" t="n"/>
      <c r="K121" s="88" t="n"/>
      <c r="L121" s="88" t="n"/>
      <c r="M121" s="88" t="n"/>
      <c r="N121" s="89" t="n"/>
      <c r="O121" s="88" t="n"/>
      <c r="P121" s="88" t="n"/>
      <c r="Q121" s="88" t="n"/>
      <c r="R121" s="89" t="n"/>
      <c r="S121" s="88" t="n"/>
      <c r="T121" s="88" t="n"/>
      <c r="U121" s="88" t="n"/>
      <c r="V121" s="89" t="n"/>
      <c r="W121" s="88" t="n"/>
      <c r="X121" s="89" t="n"/>
      <c r="Y121" s="88" t="n"/>
      <c r="Z121" s="89" t="n"/>
      <c r="AB121" s="30">
        <f>IF($B121="","",(COUNTIF(C121:E121,"?*")&lt;N(INDEX(Setup!$L$6:$L$23,14)))+(COUNTIF(G121:I121,"?*")&lt;N(INDEX(Setup!$L$6:$L$23,14)))+(COUNTIF(K121:M121,"?*")&lt;N(INDEX(Setup!$L$6:$L$23,14)))+(COUNTIF(O121:Q121,"?*")&lt;N(INDEX(Setup!$L$6:$L$23,14)))+(COUNTIF(S121:U121,"?*")&lt;N(INDEX(Setup!$L$6:$L$23,14)))+((W121="")*(INDEX(Setup!$M$6:$M$23,14)="Y"))+((Y121="")*(INDEX(Setup!$M$6:$M$23,14)="Y")))</f>
        <v/>
      </c>
      <c r="AC121" s="91">
        <f>IF($B121="","",IF(AB121=0,"✓ covered","⚠ "&amp;AB121&amp;IF(AB121=1," gap"," gaps")))</f>
        <v/>
      </c>
    </row>
    <row r="122" ht="17" customHeight="1">
      <c r="A122" t="n">
        <v>3</v>
      </c>
      <c r="B122" s="24">
        <f>IF(Setup!$K$20="","",Setup!$K$20)</f>
        <v/>
      </c>
      <c r="C122" s="88" t="n"/>
      <c r="D122" s="88" t="n"/>
      <c r="E122" s="88" t="n"/>
      <c r="F122" s="89" t="n"/>
      <c r="G122" s="88" t="n"/>
      <c r="H122" s="88" t="n"/>
      <c r="I122" s="88" t="n"/>
      <c r="J122" s="89" t="n"/>
      <c r="K122" s="88" t="n"/>
      <c r="L122" s="88" t="n"/>
      <c r="M122" s="88" t="n"/>
      <c r="N122" s="89" t="n"/>
      <c r="O122" s="88" t="n"/>
      <c r="P122" s="88" t="n"/>
      <c r="Q122" s="88" t="n"/>
      <c r="R122" s="89" t="n"/>
      <c r="S122" s="88" t="n"/>
      <c r="T122" s="88" t="n"/>
      <c r="U122" s="88" t="n"/>
      <c r="V122" s="89" t="n"/>
      <c r="W122" s="88" t="n"/>
      <c r="X122" s="89" t="n"/>
      <c r="Y122" s="88" t="n"/>
      <c r="Z122" s="89" t="n"/>
      <c r="AB122" s="25">
        <f>IF($B122="","",(COUNTIF(C122:E122,"?*")&lt;N(INDEX(Setup!$L$6:$L$23,15)))+(COUNTIF(G122:I122,"?*")&lt;N(INDEX(Setup!$L$6:$L$23,15)))+(COUNTIF(K122:M122,"?*")&lt;N(INDEX(Setup!$L$6:$L$23,15)))+(COUNTIF(O122:Q122,"?*")&lt;N(INDEX(Setup!$L$6:$L$23,15)))+(COUNTIF(S122:U122,"?*")&lt;N(INDEX(Setup!$L$6:$L$23,15)))+((W122="")*(INDEX(Setup!$M$6:$M$23,15)="Y"))+((Y122="")*(INDEX(Setup!$M$6:$M$23,15)="Y")))</f>
        <v/>
      </c>
      <c r="AC122" s="90">
        <f>IF($B122="","",IF(AB122=0,"✓ covered","⚠ "&amp;AB122&amp;IF(AB122=1," gap"," gaps")))</f>
        <v/>
      </c>
    </row>
    <row r="123" ht="17" customHeight="1">
      <c r="A123" t="n">
        <v>3</v>
      </c>
      <c r="B123" s="29">
        <f>IF(Setup!$K$21="","",Setup!$K$21)</f>
        <v/>
      </c>
      <c r="C123" s="88" t="n"/>
      <c r="D123" s="88" t="n"/>
      <c r="E123" s="88" t="n"/>
      <c r="F123" s="89" t="n"/>
      <c r="G123" s="88" t="n"/>
      <c r="H123" s="88" t="n"/>
      <c r="I123" s="88" t="n"/>
      <c r="J123" s="89" t="n"/>
      <c r="K123" s="88" t="n"/>
      <c r="L123" s="88" t="n"/>
      <c r="M123" s="88" t="n"/>
      <c r="N123" s="89" t="n"/>
      <c r="O123" s="88" t="n"/>
      <c r="P123" s="88" t="n"/>
      <c r="Q123" s="88" t="n"/>
      <c r="R123" s="89" t="n"/>
      <c r="S123" s="88" t="n"/>
      <c r="T123" s="88" t="n"/>
      <c r="U123" s="88" t="n"/>
      <c r="V123" s="89" t="n"/>
      <c r="W123" s="88" t="n"/>
      <c r="X123" s="89" t="n"/>
      <c r="Y123" s="88" t="n"/>
      <c r="Z123" s="89" t="n"/>
      <c r="AB123" s="30">
        <f>IF($B123="","",(COUNTIF(C123:E123,"?*")&lt;N(INDEX(Setup!$L$6:$L$23,16)))+(COUNTIF(G123:I123,"?*")&lt;N(INDEX(Setup!$L$6:$L$23,16)))+(COUNTIF(K123:M123,"?*")&lt;N(INDEX(Setup!$L$6:$L$23,16)))+(COUNTIF(O123:Q123,"?*")&lt;N(INDEX(Setup!$L$6:$L$23,16)))+(COUNTIF(S123:U123,"?*")&lt;N(INDEX(Setup!$L$6:$L$23,16)))+((W123="")*(INDEX(Setup!$M$6:$M$23,16)="Y"))+((Y123="")*(INDEX(Setup!$M$6:$M$23,16)="Y")))</f>
        <v/>
      </c>
      <c r="AC123" s="91">
        <f>IF($B123="","",IF(AB123=0,"✓ covered","⚠ "&amp;AB123&amp;IF(AB123=1," gap"," gaps")))</f>
        <v/>
      </c>
    </row>
    <row r="124" ht="17" customHeight="1">
      <c r="A124" t="n">
        <v>3</v>
      </c>
      <c r="B124" s="24">
        <f>IF(Setup!$K$22="","",Setup!$K$22)</f>
        <v/>
      </c>
      <c r="C124" s="88" t="n"/>
      <c r="D124" s="88" t="n"/>
      <c r="E124" s="88" t="n"/>
      <c r="F124" s="89" t="n"/>
      <c r="G124" s="88" t="n"/>
      <c r="H124" s="88" t="n"/>
      <c r="I124" s="88" t="n"/>
      <c r="J124" s="89" t="n"/>
      <c r="K124" s="88" t="n"/>
      <c r="L124" s="88" t="n"/>
      <c r="M124" s="88" t="n"/>
      <c r="N124" s="89" t="n"/>
      <c r="O124" s="88" t="n"/>
      <c r="P124" s="88" t="n"/>
      <c r="Q124" s="88" t="n"/>
      <c r="R124" s="89" t="n"/>
      <c r="S124" s="88" t="n"/>
      <c r="T124" s="88" t="n"/>
      <c r="U124" s="88" t="n"/>
      <c r="V124" s="89" t="n"/>
      <c r="W124" s="88" t="n"/>
      <c r="X124" s="89" t="n"/>
      <c r="Y124" s="88" t="n"/>
      <c r="Z124" s="89" t="n"/>
      <c r="AB124" s="25">
        <f>IF($B124="","",(COUNTIF(C124:E124,"?*")&lt;N(INDEX(Setup!$L$6:$L$23,17)))+(COUNTIF(G124:I124,"?*")&lt;N(INDEX(Setup!$L$6:$L$23,17)))+(COUNTIF(K124:M124,"?*")&lt;N(INDEX(Setup!$L$6:$L$23,17)))+(COUNTIF(O124:Q124,"?*")&lt;N(INDEX(Setup!$L$6:$L$23,17)))+(COUNTIF(S124:U124,"?*")&lt;N(INDEX(Setup!$L$6:$L$23,17)))+((W124="")*(INDEX(Setup!$M$6:$M$23,17)="Y"))+((Y124="")*(INDEX(Setup!$M$6:$M$23,17)="Y")))</f>
        <v/>
      </c>
      <c r="AC124" s="90">
        <f>IF($B124="","",IF(AB124=0,"✓ covered","⚠ "&amp;AB124&amp;IF(AB124=1," gap"," gaps")))</f>
        <v/>
      </c>
    </row>
    <row r="125" ht="17" customHeight="1">
      <c r="A125" t="n">
        <v>3</v>
      </c>
      <c r="B125" s="29">
        <f>IF(Setup!$K$23="","",Setup!$K$23)</f>
        <v/>
      </c>
      <c r="C125" s="88" t="n"/>
      <c r="D125" s="88" t="n"/>
      <c r="E125" s="88" t="n"/>
      <c r="F125" s="89" t="n"/>
      <c r="G125" s="88" t="n"/>
      <c r="H125" s="88" t="n"/>
      <c r="I125" s="88" t="n"/>
      <c r="J125" s="89" t="n"/>
      <c r="K125" s="88" t="n"/>
      <c r="L125" s="88" t="n"/>
      <c r="M125" s="88" t="n"/>
      <c r="N125" s="89" t="n"/>
      <c r="O125" s="88" t="n"/>
      <c r="P125" s="88" t="n"/>
      <c r="Q125" s="88" t="n"/>
      <c r="R125" s="89" t="n"/>
      <c r="S125" s="88" t="n"/>
      <c r="T125" s="88" t="n"/>
      <c r="U125" s="88" t="n"/>
      <c r="V125" s="89" t="n"/>
      <c r="W125" s="88" t="n"/>
      <c r="X125" s="89" t="n"/>
      <c r="Y125" s="88" t="n"/>
      <c r="Z125" s="89" t="n"/>
      <c r="AB125" s="30">
        <f>IF($B125="","",(COUNTIF(C125:E125,"?*")&lt;N(INDEX(Setup!$L$6:$L$23,18)))+(COUNTIF(G125:I125,"?*")&lt;N(INDEX(Setup!$L$6:$L$23,18)))+(COUNTIF(K125:M125,"?*")&lt;N(INDEX(Setup!$L$6:$L$23,18)))+(COUNTIF(O125:Q125,"?*")&lt;N(INDEX(Setup!$L$6:$L$23,18)))+(COUNTIF(S125:U125,"?*")&lt;N(INDEX(Setup!$L$6:$L$23,18)))+((W125="")*(INDEX(Setup!$M$6:$M$23,18)="Y"))+((Y125="")*(INDEX(Setup!$M$6:$M$23,18)="Y")))</f>
        <v/>
      </c>
      <c r="AC125" s="91">
        <f>IF($B125="","",IF(AB125=0,"✓ covered","⚠ "&amp;AB125&amp;IF(AB125=1," gap"," gaps")))</f>
        <v/>
      </c>
    </row>
    <row r="126" ht="18" customHeight="1">
      <c r="A126" t="n">
        <v>3</v>
      </c>
      <c r="B126" s="78" t="inlineStr">
        <is>
          <t>TEAM AVAILABILITY</t>
        </is>
      </c>
      <c r="C126" s="92" t="inlineStr">
        <is>
          <t>Mon</t>
        </is>
      </c>
      <c r="D126" s="93" t="n"/>
      <c r="E126" s="93" t="n"/>
      <c r="F126" s="94" t="n"/>
      <c r="G126" s="92" t="inlineStr">
        <is>
          <t>Tue</t>
        </is>
      </c>
      <c r="H126" s="93" t="n"/>
      <c r="I126" s="93" t="n"/>
      <c r="J126" s="94" t="n"/>
      <c r="K126" s="92" t="inlineStr">
        <is>
          <t>Wed</t>
        </is>
      </c>
      <c r="L126" s="93" t="n"/>
      <c r="M126" s="93" t="n"/>
      <c r="N126" s="94" t="n"/>
      <c r="O126" s="92" t="inlineStr">
        <is>
          <t>Thu</t>
        </is>
      </c>
      <c r="P126" s="93" t="n"/>
      <c r="Q126" s="93" t="n"/>
      <c r="R126" s="94" t="n"/>
      <c r="S126" s="92" t="inlineStr">
        <is>
          <t>Fri</t>
        </is>
      </c>
      <c r="T126" s="93" t="n"/>
      <c r="U126" s="93" t="n"/>
      <c r="V126" s="94" t="n"/>
      <c r="W126" s="95" t="inlineStr">
        <is>
          <t>Sat</t>
        </is>
      </c>
      <c r="X126" s="96" t="n"/>
      <c r="Y126" s="95" t="inlineStr">
        <is>
          <t>Sun</t>
        </is>
      </c>
      <c r="Z126" s="96" t="n"/>
      <c r="AB126" s="97" t="inlineStr">
        <is>
          <t>Days rostered</t>
        </is>
      </c>
      <c r="AC126" s="97" t="inlineStr">
        <is>
          <t>Conflicts</t>
        </is>
      </c>
    </row>
    <row r="127" ht="15" customHeight="1">
      <c r="A127" t="n">
        <v>3</v>
      </c>
      <c r="B127" s="35">
        <f>IF(Setup!$B$6="","",Setup!$B$6)</f>
        <v/>
      </c>
      <c r="C127" s="98" t="n"/>
      <c r="D127" s="99" t="n"/>
      <c r="E127" s="99" t="n"/>
      <c r="F127" s="100" t="n"/>
      <c r="G127" s="98" t="n"/>
      <c r="H127" s="99" t="n"/>
      <c r="I127" s="99" t="n"/>
      <c r="J127" s="100" t="n"/>
      <c r="K127" s="98" t="n"/>
      <c r="L127" s="99" t="n"/>
      <c r="M127" s="99" t="n"/>
      <c r="N127" s="100" t="n"/>
      <c r="O127" s="98" t="n"/>
      <c r="P127" s="99" t="n"/>
      <c r="Q127" s="99" t="n"/>
      <c r="R127" s="100" t="n"/>
      <c r="S127" s="98" t="n"/>
      <c r="T127" s="99" t="n"/>
      <c r="U127" s="99" t="n"/>
      <c r="V127" s="100" t="n"/>
      <c r="W127" s="98" t="n"/>
      <c r="X127" s="100" t="n"/>
      <c r="Y127" s="98" t="n"/>
      <c r="Z127" s="100" t="n"/>
      <c r="AB127" s="101">
        <f>IF($B127="","",(COUNTIF(C108:E125,$B127)+COUNTIF(C108:E125,$B127&amp;" ~*")&gt;0)+(COUNTIF(G108:I125,$B127)+COUNTIF(G108:I125,$B127&amp;" ~*")&gt;0)+(COUNTIF(K108:M125,$B127)+COUNTIF(K108:M125,$B127&amp;" ~*")&gt;0)+(COUNTIF(O108:Q125,$B127)+COUNTIF(O108:Q125,$B127&amp;" ~*")&gt;0)+(COUNTIF(S108:U125,$B127)+COUNTIF(S108:U125,$B127&amp;" ~*")&gt;0)+(COUNTIF(W108:W125,$B127)+COUNTIF(W108:W125,$B127&amp;" ~*")&gt;0)+(COUNTIF(Y108:Y125,$B127)+COUNTIF(Y108:Y125,$B127&amp;" ~*")&gt;0))</f>
        <v/>
      </c>
      <c r="AC127" s="36">
        <f>IF($B127="","",(IFERROR(INDEX(Setup!$G$33:$G$40,MATCH(C127,Setup!$B$33:$B$40,0)),0)=1)*(COUNTIF(C108:E125,$B127)+COUNTIF(C108:E125,$B127&amp;" ~*")&gt;0)+(IFERROR(INDEX(Setup!$G$33:$G$40,MATCH(G127,Setup!$B$33:$B$40,0)),0)=1)*(COUNTIF(G108:I125,$B127)+COUNTIF(G108:I125,$B127&amp;" ~*")&gt;0)+(IFERROR(INDEX(Setup!$G$33:$G$40,MATCH(K127,Setup!$B$33:$B$40,0)),0)=1)*(COUNTIF(K108:M125,$B127)+COUNTIF(K108:M125,$B127&amp;" ~*")&gt;0)+(IFERROR(INDEX(Setup!$G$33:$G$40,MATCH(O127,Setup!$B$33:$B$40,0)),0)=1)*(COUNTIF(O108:Q125,$B127)+COUNTIF(O108:Q125,$B127&amp;" ~*")&gt;0)+(IFERROR(INDEX(Setup!$G$33:$G$40,MATCH(S127,Setup!$B$33:$B$40,0)),0)=1)*(COUNTIF(S108:U125,$B127)+COUNTIF(S108:U125,$B127&amp;" ~*")&gt;0)+(IFERROR(INDEX(Setup!$G$33:$G$40,MATCH(W127,Setup!$B$33:$B$40,0)),0)=1)*(COUNTIF(W108:W125,$B127)+COUNTIF(W108:W125,$B127&amp;" ~*")&gt;0)+(IFERROR(INDEX(Setup!$G$33:$G$40,MATCH(Y127,Setup!$B$33:$B$40,0)),0)=1)*(COUNTIF(Y108:Y125,$B127)+COUNTIF(Y108:Y125,$B127&amp;" ~*")&gt;0))</f>
        <v/>
      </c>
    </row>
    <row r="128" ht="15" customHeight="1">
      <c r="A128" t="n">
        <v>3</v>
      </c>
      <c r="B128" s="37">
        <f>IF(Setup!$B$7="","",Setup!$B$7)</f>
        <v/>
      </c>
      <c r="C128" s="102" t="n"/>
      <c r="D128" s="103" t="n"/>
      <c r="E128" s="103" t="n"/>
      <c r="F128" s="104" t="n"/>
      <c r="G128" s="102" t="n"/>
      <c r="H128" s="103" t="n"/>
      <c r="I128" s="103" t="n"/>
      <c r="J128" s="104" t="n"/>
      <c r="K128" s="102" t="n"/>
      <c r="L128" s="103" t="n"/>
      <c r="M128" s="103" t="n"/>
      <c r="N128" s="104" t="n"/>
      <c r="O128" s="102" t="n"/>
      <c r="P128" s="103" t="n"/>
      <c r="Q128" s="103" t="n"/>
      <c r="R128" s="104" t="n"/>
      <c r="S128" s="102" t="n"/>
      <c r="T128" s="103" t="n"/>
      <c r="U128" s="103" t="n"/>
      <c r="V128" s="104" t="n"/>
      <c r="W128" s="102" t="n"/>
      <c r="X128" s="104" t="n"/>
      <c r="Y128" s="102" t="n"/>
      <c r="Z128" s="104" t="n"/>
      <c r="AB128" s="105">
        <f>IF($B128="","",(COUNTIF(C108:E125,$B128)+COUNTIF(C108:E125,$B128&amp;" ~*")&gt;0)+(COUNTIF(G108:I125,$B128)+COUNTIF(G108:I125,$B128&amp;" ~*")&gt;0)+(COUNTIF(K108:M125,$B128)+COUNTIF(K108:M125,$B128&amp;" ~*")&gt;0)+(COUNTIF(O108:Q125,$B128)+COUNTIF(O108:Q125,$B128&amp;" ~*")&gt;0)+(COUNTIF(S108:U125,$B128)+COUNTIF(S108:U125,$B128&amp;" ~*")&gt;0)+(COUNTIF(W108:W125,$B128)+COUNTIF(W108:W125,$B128&amp;" ~*")&gt;0)+(COUNTIF(Y108:Y125,$B128)+COUNTIF(Y108:Y125,$B128&amp;" ~*")&gt;0))</f>
        <v/>
      </c>
      <c r="AC128" s="38">
        <f>IF($B128="","",(IFERROR(INDEX(Setup!$G$33:$G$40,MATCH(C128,Setup!$B$33:$B$40,0)),0)=1)*(COUNTIF(C108:E125,$B128)+COUNTIF(C108:E125,$B128&amp;" ~*")&gt;0)+(IFERROR(INDEX(Setup!$G$33:$G$40,MATCH(G128,Setup!$B$33:$B$40,0)),0)=1)*(COUNTIF(G108:I125,$B128)+COUNTIF(G108:I125,$B128&amp;" ~*")&gt;0)+(IFERROR(INDEX(Setup!$G$33:$G$40,MATCH(K128,Setup!$B$33:$B$40,0)),0)=1)*(COUNTIF(K108:M125,$B128)+COUNTIF(K108:M125,$B128&amp;" ~*")&gt;0)+(IFERROR(INDEX(Setup!$G$33:$G$40,MATCH(O128,Setup!$B$33:$B$40,0)),0)=1)*(COUNTIF(O108:Q125,$B128)+COUNTIF(O108:Q125,$B128&amp;" ~*")&gt;0)+(IFERROR(INDEX(Setup!$G$33:$G$40,MATCH(S128,Setup!$B$33:$B$40,0)),0)=1)*(COUNTIF(S108:U125,$B128)+COUNTIF(S108:U125,$B128&amp;" ~*")&gt;0)+(IFERROR(INDEX(Setup!$G$33:$G$40,MATCH(W128,Setup!$B$33:$B$40,0)),0)=1)*(COUNTIF(W108:W125,$B128)+COUNTIF(W108:W125,$B128&amp;" ~*")&gt;0)+(IFERROR(INDEX(Setup!$G$33:$G$40,MATCH(Y128,Setup!$B$33:$B$40,0)),0)=1)*(COUNTIF(Y108:Y125,$B128)+COUNTIF(Y108:Y125,$B128&amp;" ~*")&gt;0))</f>
        <v/>
      </c>
    </row>
    <row r="129" ht="15" customHeight="1">
      <c r="A129" t="n">
        <v>3</v>
      </c>
      <c r="B129" s="35">
        <f>IF(Setup!$B$8="","",Setup!$B$8)</f>
        <v/>
      </c>
      <c r="C129" s="98" t="n"/>
      <c r="D129" s="99" t="n"/>
      <c r="E129" s="99" t="n"/>
      <c r="F129" s="100" t="n"/>
      <c r="G129" s="98" t="n"/>
      <c r="H129" s="99" t="n"/>
      <c r="I129" s="99" t="n"/>
      <c r="J129" s="100" t="n"/>
      <c r="K129" s="98" t="n"/>
      <c r="L129" s="99" t="n"/>
      <c r="M129" s="99" t="n"/>
      <c r="N129" s="100" t="n"/>
      <c r="O129" s="98" t="n"/>
      <c r="P129" s="99" t="n"/>
      <c r="Q129" s="99" t="n"/>
      <c r="R129" s="100" t="n"/>
      <c r="S129" s="98" t="n"/>
      <c r="T129" s="99" t="n"/>
      <c r="U129" s="99" t="n"/>
      <c r="V129" s="100" t="n"/>
      <c r="W129" s="98" t="n"/>
      <c r="X129" s="100" t="n"/>
      <c r="Y129" s="98" t="n"/>
      <c r="Z129" s="100" t="n"/>
      <c r="AB129" s="101">
        <f>IF($B129="","",(COUNTIF(C108:E125,$B129)+COUNTIF(C108:E125,$B129&amp;" ~*")&gt;0)+(COUNTIF(G108:I125,$B129)+COUNTIF(G108:I125,$B129&amp;" ~*")&gt;0)+(COUNTIF(K108:M125,$B129)+COUNTIF(K108:M125,$B129&amp;" ~*")&gt;0)+(COUNTIF(O108:Q125,$B129)+COUNTIF(O108:Q125,$B129&amp;" ~*")&gt;0)+(COUNTIF(S108:U125,$B129)+COUNTIF(S108:U125,$B129&amp;" ~*")&gt;0)+(COUNTIF(W108:W125,$B129)+COUNTIF(W108:W125,$B129&amp;" ~*")&gt;0)+(COUNTIF(Y108:Y125,$B129)+COUNTIF(Y108:Y125,$B129&amp;" ~*")&gt;0))</f>
        <v/>
      </c>
      <c r="AC129" s="36">
        <f>IF($B129="","",(IFERROR(INDEX(Setup!$G$33:$G$40,MATCH(C129,Setup!$B$33:$B$40,0)),0)=1)*(COUNTIF(C108:E125,$B129)+COUNTIF(C108:E125,$B129&amp;" ~*")&gt;0)+(IFERROR(INDEX(Setup!$G$33:$G$40,MATCH(G129,Setup!$B$33:$B$40,0)),0)=1)*(COUNTIF(G108:I125,$B129)+COUNTIF(G108:I125,$B129&amp;" ~*")&gt;0)+(IFERROR(INDEX(Setup!$G$33:$G$40,MATCH(K129,Setup!$B$33:$B$40,0)),0)=1)*(COUNTIF(K108:M125,$B129)+COUNTIF(K108:M125,$B129&amp;" ~*")&gt;0)+(IFERROR(INDEX(Setup!$G$33:$G$40,MATCH(O129,Setup!$B$33:$B$40,0)),0)=1)*(COUNTIF(O108:Q125,$B129)+COUNTIF(O108:Q125,$B129&amp;" ~*")&gt;0)+(IFERROR(INDEX(Setup!$G$33:$G$40,MATCH(S129,Setup!$B$33:$B$40,0)),0)=1)*(COUNTIF(S108:U125,$B129)+COUNTIF(S108:U125,$B129&amp;" ~*")&gt;0)+(IFERROR(INDEX(Setup!$G$33:$G$40,MATCH(W129,Setup!$B$33:$B$40,0)),0)=1)*(COUNTIF(W108:W125,$B129)+COUNTIF(W108:W125,$B129&amp;" ~*")&gt;0)+(IFERROR(INDEX(Setup!$G$33:$G$40,MATCH(Y129,Setup!$B$33:$B$40,0)),0)=1)*(COUNTIF(Y108:Y125,$B129)+COUNTIF(Y108:Y125,$B129&amp;" ~*")&gt;0))</f>
        <v/>
      </c>
    </row>
    <row r="130" ht="15" customHeight="1">
      <c r="A130" t="n">
        <v>3</v>
      </c>
      <c r="B130" s="37">
        <f>IF(Setup!$B$9="","",Setup!$B$9)</f>
        <v/>
      </c>
      <c r="C130" s="102" t="n"/>
      <c r="D130" s="103" t="n"/>
      <c r="E130" s="103" t="n"/>
      <c r="F130" s="104" t="n"/>
      <c r="G130" s="102" t="n"/>
      <c r="H130" s="103" t="n"/>
      <c r="I130" s="103" t="n"/>
      <c r="J130" s="104" t="n"/>
      <c r="K130" s="102" t="n"/>
      <c r="L130" s="103" t="n"/>
      <c r="M130" s="103" t="n"/>
      <c r="N130" s="104" t="n"/>
      <c r="O130" s="102" t="n"/>
      <c r="P130" s="103" t="n"/>
      <c r="Q130" s="103" t="n"/>
      <c r="R130" s="104" t="n"/>
      <c r="S130" s="102" t="n"/>
      <c r="T130" s="103" t="n"/>
      <c r="U130" s="103" t="n"/>
      <c r="V130" s="104" t="n"/>
      <c r="W130" s="102" t="n"/>
      <c r="X130" s="104" t="n"/>
      <c r="Y130" s="102" t="n"/>
      <c r="Z130" s="104" t="n"/>
      <c r="AB130" s="105">
        <f>IF($B130="","",(COUNTIF(C108:E125,$B130)+COUNTIF(C108:E125,$B130&amp;" ~*")&gt;0)+(COUNTIF(G108:I125,$B130)+COUNTIF(G108:I125,$B130&amp;" ~*")&gt;0)+(COUNTIF(K108:M125,$B130)+COUNTIF(K108:M125,$B130&amp;" ~*")&gt;0)+(COUNTIF(O108:Q125,$B130)+COUNTIF(O108:Q125,$B130&amp;" ~*")&gt;0)+(COUNTIF(S108:U125,$B130)+COUNTIF(S108:U125,$B130&amp;" ~*")&gt;0)+(COUNTIF(W108:W125,$B130)+COUNTIF(W108:W125,$B130&amp;" ~*")&gt;0)+(COUNTIF(Y108:Y125,$B130)+COUNTIF(Y108:Y125,$B130&amp;" ~*")&gt;0))</f>
        <v/>
      </c>
      <c r="AC130" s="38">
        <f>IF($B130="","",(IFERROR(INDEX(Setup!$G$33:$G$40,MATCH(C130,Setup!$B$33:$B$40,0)),0)=1)*(COUNTIF(C108:E125,$B130)+COUNTIF(C108:E125,$B130&amp;" ~*")&gt;0)+(IFERROR(INDEX(Setup!$G$33:$G$40,MATCH(G130,Setup!$B$33:$B$40,0)),0)=1)*(COUNTIF(G108:I125,$B130)+COUNTIF(G108:I125,$B130&amp;" ~*")&gt;0)+(IFERROR(INDEX(Setup!$G$33:$G$40,MATCH(K130,Setup!$B$33:$B$40,0)),0)=1)*(COUNTIF(K108:M125,$B130)+COUNTIF(K108:M125,$B130&amp;" ~*")&gt;0)+(IFERROR(INDEX(Setup!$G$33:$G$40,MATCH(O130,Setup!$B$33:$B$40,0)),0)=1)*(COUNTIF(O108:Q125,$B130)+COUNTIF(O108:Q125,$B130&amp;" ~*")&gt;0)+(IFERROR(INDEX(Setup!$G$33:$G$40,MATCH(S130,Setup!$B$33:$B$40,0)),0)=1)*(COUNTIF(S108:U125,$B130)+COUNTIF(S108:U125,$B130&amp;" ~*")&gt;0)+(IFERROR(INDEX(Setup!$G$33:$G$40,MATCH(W130,Setup!$B$33:$B$40,0)),0)=1)*(COUNTIF(W108:W125,$B130)+COUNTIF(W108:W125,$B130&amp;" ~*")&gt;0)+(IFERROR(INDEX(Setup!$G$33:$G$40,MATCH(Y130,Setup!$B$33:$B$40,0)),0)=1)*(COUNTIF(Y108:Y125,$B130)+COUNTIF(Y108:Y125,$B130&amp;" ~*")&gt;0))</f>
        <v/>
      </c>
    </row>
    <row r="131" ht="15" customHeight="1">
      <c r="A131" t="n">
        <v>3</v>
      </c>
      <c r="B131" s="35">
        <f>IF(Setup!$B$10="","",Setup!$B$10)</f>
        <v/>
      </c>
      <c r="C131" s="98" t="n"/>
      <c r="D131" s="99" t="n"/>
      <c r="E131" s="99" t="n"/>
      <c r="F131" s="100" t="n"/>
      <c r="G131" s="98" t="n"/>
      <c r="H131" s="99" t="n"/>
      <c r="I131" s="99" t="n"/>
      <c r="J131" s="100" t="n"/>
      <c r="K131" s="98" t="n"/>
      <c r="L131" s="99" t="n"/>
      <c r="M131" s="99" t="n"/>
      <c r="N131" s="100" t="n"/>
      <c r="O131" s="98" t="n"/>
      <c r="P131" s="99" t="n"/>
      <c r="Q131" s="99" t="n"/>
      <c r="R131" s="100" t="n"/>
      <c r="S131" s="98" t="n"/>
      <c r="T131" s="99" t="n"/>
      <c r="U131" s="99" t="n"/>
      <c r="V131" s="100" t="n"/>
      <c r="W131" s="98" t="n"/>
      <c r="X131" s="100" t="n"/>
      <c r="Y131" s="98" t="n"/>
      <c r="Z131" s="100" t="n"/>
      <c r="AB131" s="101">
        <f>IF($B131="","",(COUNTIF(C108:E125,$B131)+COUNTIF(C108:E125,$B131&amp;" ~*")&gt;0)+(COUNTIF(G108:I125,$B131)+COUNTIF(G108:I125,$B131&amp;" ~*")&gt;0)+(COUNTIF(K108:M125,$B131)+COUNTIF(K108:M125,$B131&amp;" ~*")&gt;0)+(COUNTIF(O108:Q125,$B131)+COUNTIF(O108:Q125,$B131&amp;" ~*")&gt;0)+(COUNTIF(S108:U125,$B131)+COUNTIF(S108:U125,$B131&amp;" ~*")&gt;0)+(COUNTIF(W108:W125,$B131)+COUNTIF(W108:W125,$B131&amp;" ~*")&gt;0)+(COUNTIF(Y108:Y125,$B131)+COUNTIF(Y108:Y125,$B131&amp;" ~*")&gt;0))</f>
        <v/>
      </c>
      <c r="AC131" s="36">
        <f>IF($B131="","",(IFERROR(INDEX(Setup!$G$33:$G$40,MATCH(C131,Setup!$B$33:$B$40,0)),0)=1)*(COUNTIF(C108:E125,$B131)+COUNTIF(C108:E125,$B131&amp;" ~*")&gt;0)+(IFERROR(INDEX(Setup!$G$33:$G$40,MATCH(G131,Setup!$B$33:$B$40,0)),0)=1)*(COUNTIF(G108:I125,$B131)+COUNTIF(G108:I125,$B131&amp;" ~*")&gt;0)+(IFERROR(INDEX(Setup!$G$33:$G$40,MATCH(K131,Setup!$B$33:$B$40,0)),0)=1)*(COUNTIF(K108:M125,$B131)+COUNTIF(K108:M125,$B131&amp;" ~*")&gt;0)+(IFERROR(INDEX(Setup!$G$33:$G$40,MATCH(O131,Setup!$B$33:$B$40,0)),0)=1)*(COUNTIF(O108:Q125,$B131)+COUNTIF(O108:Q125,$B131&amp;" ~*")&gt;0)+(IFERROR(INDEX(Setup!$G$33:$G$40,MATCH(S131,Setup!$B$33:$B$40,0)),0)=1)*(COUNTIF(S108:U125,$B131)+COUNTIF(S108:U125,$B131&amp;" ~*")&gt;0)+(IFERROR(INDEX(Setup!$G$33:$G$40,MATCH(W131,Setup!$B$33:$B$40,0)),0)=1)*(COUNTIF(W108:W125,$B131)+COUNTIF(W108:W125,$B131&amp;" ~*")&gt;0)+(IFERROR(INDEX(Setup!$G$33:$G$40,MATCH(Y131,Setup!$B$33:$B$40,0)),0)=1)*(COUNTIF(Y108:Y125,$B131)+COUNTIF(Y108:Y125,$B131&amp;" ~*")&gt;0))</f>
        <v/>
      </c>
    </row>
    <row r="132" ht="15" customHeight="1">
      <c r="A132" t="n">
        <v>3</v>
      </c>
      <c r="B132" s="37">
        <f>IF(Setup!$B$11="","",Setup!$B$11)</f>
        <v/>
      </c>
      <c r="C132" s="102" t="n"/>
      <c r="D132" s="103" t="n"/>
      <c r="E132" s="103" t="n"/>
      <c r="F132" s="104" t="n"/>
      <c r="G132" s="102" t="n"/>
      <c r="H132" s="103" t="n"/>
      <c r="I132" s="103" t="n"/>
      <c r="J132" s="104" t="n"/>
      <c r="K132" s="102" t="n"/>
      <c r="L132" s="103" t="n"/>
      <c r="M132" s="103" t="n"/>
      <c r="N132" s="104" t="n"/>
      <c r="O132" s="102" t="n"/>
      <c r="P132" s="103" t="n"/>
      <c r="Q132" s="103" t="n"/>
      <c r="R132" s="104" t="n"/>
      <c r="S132" s="102" t="n"/>
      <c r="T132" s="103" t="n"/>
      <c r="U132" s="103" t="n"/>
      <c r="V132" s="104" t="n"/>
      <c r="W132" s="102" t="n"/>
      <c r="X132" s="104" t="n"/>
      <c r="Y132" s="102" t="n"/>
      <c r="Z132" s="104" t="n"/>
      <c r="AB132" s="105">
        <f>IF($B132="","",(COUNTIF(C108:E125,$B132)+COUNTIF(C108:E125,$B132&amp;" ~*")&gt;0)+(COUNTIF(G108:I125,$B132)+COUNTIF(G108:I125,$B132&amp;" ~*")&gt;0)+(COUNTIF(K108:M125,$B132)+COUNTIF(K108:M125,$B132&amp;" ~*")&gt;0)+(COUNTIF(O108:Q125,$B132)+COUNTIF(O108:Q125,$B132&amp;" ~*")&gt;0)+(COUNTIF(S108:U125,$B132)+COUNTIF(S108:U125,$B132&amp;" ~*")&gt;0)+(COUNTIF(W108:W125,$B132)+COUNTIF(W108:W125,$B132&amp;" ~*")&gt;0)+(COUNTIF(Y108:Y125,$B132)+COUNTIF(Y108:Y125,$B132&amp;" ~*")&gt;0))</f>
        <v/>
      </c>
      <c r="AC132" s="38">
        <f>IF($B132="","",(IFERROR(INDEX(Setup!$G$33:$G$40,MATCH(C132,Setup!$B$33:$B$40,0)),0)=1)*(COUNTIF(C108:E125,$B132)+COUNTIF(C108:E125,$B132&amp;" ~*")&gt;0)+(IFERROR(INDEX(Setup!$G$33:$G$40,MATCH(G132,Setup!$B$33:$B$40,0)),0)=1)*(COUNTIF(G108:I125,$B132)+COUNTIF(G108:I125,$B132&amp;" ~*")&gt;0)+(IFERROR(INDEX(Setup!$G$33:$G$40,MATCH(K132,Setup!$B$33:$B$40,0)),0)=1)*(COUNTIF(K108:M125,$B132)+COUNTIF(K108:M125,$B132&amp;" ~*")&gt;0)+(IFERROR(INDEX(Setup!$G$33:$G$40,MATCH(O132,Setup!$B$33:$B$40,0)),0)=1)*(COUNTIF(O108:Q125,$B132)+COUNTIF(O108:Q125,$B132&amp;" ~*")&gt;0)+(IFERROR(INDEX(Setup!$G$33:$G$40,MATCH(S132,Setup!$B$33:$B$40,0)),0)=1)*(COUNTIF(S108:U125,$B132)+COUNTIF(S108:U125,$B132&amp;" ~*")&gt;0)+(IFERROR(INDEX(Setup!$G$33:$G$40,MATCH(W132,Setup!$B$33:$B$40,0)),0)=1)*(COUNTIF(W108:W125,$B132)+COUNTIF(W108:W125,$B132&amp;" ~*")&gt;0)+(IFERROR(INDEX(Setup!$G$33:$G$40,MATCH(Y132,Setup!$B$33:$B$40,0)),0)=1)*(COUNTIF(Y108:Y125,$B132)+COUNTIF(Y108:Y125,$B132&amp;" ~*")&gt;0))</f>
        <v/>
      </c>
    </row>
    <row r="133" ht="15" customHeight="1">
      <c r="A133" t="n">
        <v>3</v>
      </c>
      <c r="B133" s="35">
        <f>IF(Setup!$B$12="","",Setup!$B$12)</f>
        <v/>
      </c>
      <c r="C133" s="98" t="inlineStr">
        <is>
          <t>AL</t>
        </is>
      </c>
      <c r="D133" s="99" t="n"/>
      <c r="E133" s="99" t="n"/>
      <c r="F133" s="100" t="n"/>
      <c r="G133" s="98" t="n"/>
      <c r="H133" s="99" t="n"/>
      <c r="I133" s="99" t="n"/>
      <c r="J133" s="100" t="n"/>
      <c r="K133" s="98" t="n"/>
      <c r="L133" s="99" t="n"/>
      <c r="M133" s="99" t="n"/>
      <c r="N133" s="100" t="n"/>
      <c r="O133" s="98" t="n"/>
      <c r="P133" s="99" t="n"/>
      <c r="Q133" s="99" t="n"/>
      <c r="R133" s="100" t="n"/>
      <c r="S133" s="98" t="n"/>
      <c r="T133" s="99" t="n"/>
      <c r="U133" s="99" t="n"/>
      <c r="V133" s="100" t="n"/>
      <c r="W133" s="98" t="n"/>
      <c r="X133" s="100" t="n"/>
      <c r="Y133" s="98" t="n"/>
      <c r="Z133" s="100" t="n"/>
      <c r="AB133" s="101">
        <f>IF($B133="","",(COUNTIF(C108:E125,$B133)+COUNTIF(C108:E125,$B133&amp;" ~*")&gt;0)+(COUNTIF(G108:I125,$B133)+COUNTIF(G108:I125,$B133&amp;" ~*")&gt;0)+(COUNTIF(K108:M125,$B133)+COUNTIF(K108:M125,$B133&amp;" ~*")&gt;0)+(COUNTIF(O108:Q125,$B133)+COUNTIF(O108:Q125,$B133&amp;" ~*")&gt;0)+(COUNTIF(S108:U125,$B133)+COUNTIF(S108:U125,$B133&amp;" ~*")&gt;0)+(COUNTIF(W108:W125,$B133)+COUNTIF(W108:W125,$B133&amp;" ~*")&gt;0)+(COUNTIF(Y108:Y125,$B133)+COUNTIF(Y108:Y125,$B133&amp;" ~*")&gt;0))</f>
        <v/>
      </c>
      <c r="AC133" s="36">
        <f>IF($B133="","",(IFERROR(INDEX(Setup!$G$33:$G$40,MATCH(C133,Setup!$B$33:$B$40,0)),0)=1)*(COUNTIF(C108:E125,$B133)+COUNTIF(C108:E125,$B133&amp;" ~*")&gt;0)+(IFERROR(INDEX(Setup!$G$33:$G$40,MATCH(G133,Setup!$B$33:$B$40,0)),0)=1)*(COUNTIF(G108:I125,$B133)+COUNTIF(G108:I125,$B133&amp;" ~*")&gt;0)+(IFERROR(INDEX(Setup!$G$33:$G$40,MATCH(K133,Setup!$B$33:$B$40,0)),0)=1)*(COUNTIF(K108:M125,$B133)+COUNTIF(K108:M125,$B133&amp;" ~*")&gt;0)+(IFERROR(INDEX(Setup!$G$33:$G$40,MATCH(O133,Setup!$B$33:$B$40,0)),0)=1)*(COUNTIF(O108:Q125,$B133)+COUNTIF(O108:Q125,$B133&amp;" ~*")&gt;0)+(IFERROR(INDEX(Setup!$G$33:$G$40,MATCH(S133,Setup!$B$33:$B$40,0)),0)=1)*(COUNTIF(S108:U125,$B133)+COUNTIF(S108:U125,$B133&amp;" ~*")&gt;0)+(IFERROR(INDEX(Setup!$G$33:$G$40,MATCH(W133,Setup!$B$33:$B$40,0)),0)=1)*(COUNTIF(W108:W125,$B133)+COUNTIF(W108:W125,$B133&amp;" ~*")&gt;0)+(IFERROR(INDEX(Setup!$G$33:$G$40,MATCH(Y133,Setup!$B$33:$B$40,0)),0)=1)*(COUNTIF(Y108:Y125,$B133)+COUNTIF(Y108:Y125,$B133&amp;" ~*")&gt;0))</f>
        <v/>
      </c>
    </row>
    <row r="134" ht="15" customHeight="1">
      <c r="A134" t="n">
        <v>3</v>
      </c>
      <c r="B134" s="37">
        <f>IF(Setup!$B$13="","",Setup!$B$13)</f>
        <v/>
      </c>
      <c r="C134" s="102" t="n"/>
      <c r="D134" s="103" t="n"/>
      <c r="E134" s="103" t="n"/>
      <c r="F134" s="104" t="n"/>
      <c r="G134" s="102" t="n"/>
      <c r="H134" s="103" t="n"/>
      <c r="I134" s="103" t="n"/>
      <c r="J134" s="104" t="n"/>
      <c r="K134" s="102" t="n"/>
      <c r="L134" s="103" t="n"/>
      <c r="M134" s="103" t="n"/>
      <c r="N134" s="104" t="n"/>
      <c r="O134" s="102" t="n"/>
      <c r="P134" s="103" t="n"/>
      <c r="Q134" s="103" t="n"/>
      <c r="R134" s="104" t="n"/>
      <c r="S134" s="102" t="n"/>
      <c r="T134" s="103" t="n"/>
      <c r="U134" s="103" t="n"/>
      <c r="V134" s="104" t="n"/>
      <c r="W134" s="102" t="n"/>
      <c r="X134" s="104" t="n"/>
      <c r="Y134" s="102" t="n"/>
      <c r="Z134" s="104" t="n"/>
      <c r="AB134" s="105">
        <f>IF($B134="","",(COUNTIF(C108:E125,$B134)+COUNTIF(C108:E125,$B134&amp;" ~*")&gt;0)+(COUNTIF(G108:I125,$B134)+COUNTIF(G108:I125,$B134&amp;" ~*")&gt;0)+(COUNTIF(K108:M125,$B134)+COUNTIF(K108:M125,$B134&amp;" ~*")&gt;0)+(COUNTIF(O108:Q125,$B134)+COUNTIF(O108:Q125,$B134&amp;" ~*")&gt;0)+(COUNTIF(S108:U125,$B134)+COUNTIF(S108:U125,$B134&amp;" ~*")&gt;0)+(COUNTIF(W108:W125,$B134)+COUNTIF(W108:W125,$B134&amp;" ~*")&gt;0)+(COUNTIF(Y108:Y125,$B134)+COUNTIF(Y108:Y125,$B134&amp;" ~*")&gt;0))</f>
        <v/>
      </c>
      <c r="AC134" s="38">
        <f>IF($B134="","",(IFERROR(INDEX(Setup!$G$33:$G$40,MATCH(C134,Setup!$B$33:$B$40,0)),0)=1)*(COUNTIF(C108:E125,$B134)+COUNTIF(C108:E125,$B134&amp;" ~*")&gt;0)+(IFERROR(INDEX(Setup!$G$33:$G$40,MATCH(G134,Setup!$B$33:$B$40,0)),0)=1)*(COUNTIF(G108:I125,$B134)+COUNTIF(G108:I125,$B134&amp;" ~*")&gt;0)+(IFERROR(INDEX(Setup!$G$33:$G$40,MATCH(K134,Setup!$B$33:$B$40,0)),0)=1)*(COUNTIF(K108:M125,$B134)+COUNTIF(K108:M125,$B134&amp;" ~*")&gt;0)+(IFERROR(INDEX(Setup!$G$33:$G$40,MATCH(O134,Setup!$B$33:$B$40,0)),0)=1)*(COUNTIF(O108:Q125,$B134)+COUNTIF(O108:Q125,$B134&amp;" ~*")&gt;0)+(IFERROR(INDEX(Setup!$G$33:$G$40,MATCH(S134,Setup!$B$33:$B$40,0)),0)=1)*(COUNTIF(S108:U125,$B134)+COUNTIF(S108:U125,$B134&amp;" ~*")&gt;0)+(IFERROR(INDEX(Setup!$G$33:$G$40,MATCH(W134,Setup!$B$33:$B$40,0)),0)=1)*(COUNTIF(W108:W125,$B134)+COUNTIF(W108:W125,$B134&amp;" ~*")&gt;0)+(IFERROR(INDEX(Setup!$G$33:$G$40,MATCH(Y134,Setup!$B$33:$B$40,0)),0)=1)*(COUNTIF(Y108:Y125,$B134)+COUNTIF(Y108:Y125,$B134&amp;" ~*")&gt;0))</f>
        <v/>
      </c>
    </row>
    <row r="135" ht="15" customHeight="1">
      <c r="A135" t="n">
        <v>3</v>
      </c>
      <c r="B135" s="35">
        <f>IF(Setup!$B$14="","",Setup!$B$14)</f>
        <v/>
      </c>
      <c r="C135" s="98" t="inlineStr">
        <is>
          <t>AL</t>
        </is>
      </c>
      <c r="D135" s="99" t="n"/>
      <c r="E135" s="99" t="n"/>
      <c r="F135" s="100" t="n"/>
      <c r="G135" s="98" t="inlineStr">
        <is>
          <t>AL</t>
        </is>
      </c>
      <c r="H135" s="99" t="n"/>
      <c r="I135" s="99" t="n"/>
      <c r="J135" s="100" t="n"/>
      <c r="K135" s="98" t="inlineStr">
        <is>
          <t>AL</t>
        </is>
      </c>
      <c r="L135" s="99" t="n"/>
      <c r="M135" s="99" t="n"/>
      <c r="N135" s="100" t="n"/>
      <c r="O135" s="98" t="inlineStr">
        <is>
          <t>AL</t>
        </is>
      </c>
      <c r="P135" s="99" t="n"/>
      <c r="Q135" s="99" t="n"/>
      <c r="R135" s="100" t="n"/>
      <c r="S135" s="98" t="inlineStr">
        <is>
          <t>AL</t>
        </is>
      </c>
      <c r="T135" s="99" t="n"/>
      <c r="U135" s="99" t="n"/>
      <c r="V135" s="100" t="n"/>
      <c r="W135" s="98" t="n"/>
      <c r="X135" s="100" t="n"/>
      <c r="Y135" s="98" t="n"/>
      <c r="Z135" s="100" t="n"/>
      <c r="AB135" s="101">
        <f>IF($B135="","",(COUNTIF(C108:E125,$B135)+COUNTIF(C108:E125,$B135&amp;" ~*")&gt;0)+(COUNTIF(G108:I125,$B135)+COUNTIF(G108:I125,$B135&amp;" ~*")&gt;0)+(COUNTIF(K108:M125,$B135)+COUNTIF(K108:M125,$B135&amp;" ~*")&gt;0)+(COUNTIF(O108:Q125,$B135)+COUNTIF(O108:Q125,$B135&amp;" ~*")&gt;0)+(COUNTIF(S108:U125,$B135)+COUNTIF(S108:U125,$B135&amp;" ~*")&gt;0)+(COUNTIF(W108:W125,$B135)+COUNTIF(W108:W125,$B135&amp;" ~*")&gt;0)+(COUNTIF(Y108:Y125,$B135)+COUNTIF(Y108:Y125,$B135&amp;" ~*")&gt;0))</f>
        <v/>
      </c>
      <c r="AC135" s="36">
        <f>IF($B135="","",(IFERROR(INDEX(Setup!$G$33:$G$40,MATCH(C135,Setup!$B$33:$B$40,0)),0)=1)*(COUNTIF(C108:E125,$B135)+COUNTIF(C108:E125,$B135&amp;" ~*")&gt;0)+(IFERROR(INDEX(Setup!$G$33:$G$40,MATCH(G135,Setup!$B$33:$B$40,0)),0)=1)*(COUNTIF(G108:I125,$B135)+COUNTIF(G108:I125,$B135&amp;" ~*")&gt;0)+(IFERROR(INDEX(Setup!$G$33:$G$40,MATCH(K135,Setup!$B$33:$B$40,0)),0)=1)*(COUNTIF(K108:M125,$B135)+COUNTIF(K108:M125,$B135&amp;" ~*")&gt;0)+(IFERROR(INDEX(Setup!$G$33:$G$40,MATCH(O135,Setup!$B$33:$B$40,0)),0)=1)*(COUNTIF(O108:Q125,$B135)+COUNTIF(O108:Q125,$B135&amp;" ~*")&gt;0)+(IFERROR(INDEX(Setup!$G$33:$G$40,MATCH(S135,Setup!$B$33:$B$40,0)),0)=1)*(COUNTIF(S108:U125,$B135)+COUNTIF(S108:U125,$B135&amp;" ~*")&gt;0)+(IFERROR(INDEX(Setup!$G$33:$G$40,MATCH(W135,Setup!$B$33:$B$40,0)),0)=1)*(COUNTIF(W108:W125,$B135)+COUNTIF(W108:W125,$B135&amp;" ~*")&gt;0)+(IFERROR(INDEX(Setup!$G$33:$G$40,MATCH(Y135,Setup!$B$33:$B$40,0)),0)=1)*(COUNTIF(Y108:Y125,$B135)+COUNTIF(Y108:Y125,$B135&amp;" ~*")&gt;0))</f>
        <v/>
      </c>
    </row>
    <row r="136" ht="15" customHeight="1">
      <c r="A136" t="n">
        <v>3</v>
      </c>
      <c r="B136" s="37">
        <f>IF(Setup!$B$15="","",Setup!$B$15)</f>
        <v/>
      </c>
      <c r="C136" s="102" t="n"/>
      <c r="D136" s="103" t="n"/>
      <c r="E136" s="103" t="n"/>
      <c r="F136" s="104" t="n"/>
      <c r="G136" s="102" t="n"/>
      <c r="H136" s="103" t="n"/>
      <c r="I136" s="103" t="n"/>
      <c r="J136" s="104" t="n"/>
      <c r="K136" s="102" t="n"/>
      <c r="L136" s="103" t="n"/>
      <c r="M136" s="103" t="n"/>
      <c r="N136" s="104" t="n"/>
      <c r="O136" s="102" t="n"/>
      <c r="P136" s="103" t="n"/>
      <c r="Q136" s="103" t="n"/>
      <c r="R136" s="104" t="n"/>
      <c r="S136" s="102" t="n"/>
      <c r="T136" s="103" t="n"/>
      <c r="U136" s="103" t="n"/>
      <c r="V136" s="104" t="n"/>
      <c r="W136" s="102" t="n"/>
      <c r="X136" s="104" t="n"/>
      <c r="Y136" s="102" t="n"/>
      <c r="Z136" s="104" t="n"/>
      <c r="AB136" s="105">
        <f>IF($B136="","",(COUNTIF(C108:E125,$B136)+COUNTIF(C108:E125,$B136&amp;" ~*")&gt;0)+(COUNTIF(G108:I125,$B136)+COUNTIF(G108:I125,$B136&amp;" ~*")&gt;0)+(COUNTIF(K108:M125,$B136)+COUNTIF(K108:M125,$B136&amp;" ~*")&gt;0)+(COUNTIF(O108:Q125,$B136)+COUNTIF(O108:Q125,$B136&amp;" ~*")&gt;0)+(COUNTIF(S108:U125,$B136)+COUNTIF(S108:U125,$B136&amp;" ~*")&gt;0)+(COUNTIF(W108:W125,$B136)+COUNTIF(W108:W125,$B136&amp;" ~*")&gt;0)+(COUNTIF(Y108:Y125,$B136)+COUNTIF(Y108:Y125,$B136&amp;" ~*")&gt;0))</f>
        <v/>
      </c>
      <c r="AC136" s="38">
        <f>IF($B136="","",(IFERROR(INDEX(Setup!$G$33:$G$40,MATCH(C136,Setup!$B$33:$B$40,0)),0)=1)*(COUNTIF(C108:E125,$B136)+COUNTIF(C108:E125,$B136&amp;" ~*")&gt;0)+(IFERROR(INDEX(Setup!$G$33:$G$40,MATCH(G136,Setup!$B$33:$B$40,0)),0)=1)*(COUNTIF(G108:I125,$B136)+COUNTIF(G108:I125,$B136&amp;" ~*")&gt;0)+(IFERROR(INDEX(Setup!$G$33:$G$40,MATCH(K136,Setup!$B$33:$B$40,0)),0)=1)*(COUNTIF(K108:M125,$B136)+COUNTIF(K108:M125,$B136&amp;" ~*")&gt;0)+(IFERROR(INDEX(Setup!$G$33:$G$40,MATCH(O136,Setup!$B$33:$B$40,0)),0)=1)*(COUNTIF(O108:Q125,$B136)+COUNTIF(O108:Q125,$B136&amp;" ~*")&gt;0)+(IFERROR(INDEX(Setup!$G$33:$G$40,MATCH(S136,Setup!$B$33:$B$40,0)),0)=1)*(COUNTIF(S108:U125,$B136)+COUNTIF(S108:U125,$B136&amp;" ~*")&gt;0)+(IFERROR(INDEX(Setup!$G$33:$G$40,MATCH(W136,Setup!$B$33:$B$40,0)),0)=1)*(COUNTIF(W108:W125,$B136)+COUNTIF(W108:W125,$B136&amp;" ~*")&gt;0)+(IFERROR(INDEX(Setup!$G$33:$G$40,MATCH(Y136,Setup!$B$33:$B$40,0)),0)=1)*(COUNTIF(Y108:Y125,$B136)+COUNTIF(Y108:Y125,$B136&amp;" ~*")&gt;0))</f>
        <v/>
      </c>
    </row>
    <row r="137" ht="15" customHeight="1">
      <c r="A137" t="n">
        <v>3</v>
      </c>
      <c r="B137" s="35">
        <f>IF(Setup!$B$16="","",Setup!$B$16)</f>
        <v/>
      </c>
      <c r="C137" s="98" t="n"/>
      <c r="D137" s="99" t="n"/>
      <c r="E137" s="99" t="n"/>
      <c r="F137" s="100" t="n"/>
      <c r="G137" s="98" t="n"/>
      <c r="H137" s="99" t="n"/>
      <c r="I137" s="99" t="n"/>
      <c r="J137" s="100" t="n"/>
      <c r="K137" s="98" t="n"/>
      <c r="L137" s="99" t="n"/>
      <c r="M137" s="99" t="n"/>
      <c r="N137" s="100" t="n"/>
      <c r="O137" s="98" t="n"/>
      <c r="P137" s="99" t="n"/>
      <c r="Q137" s="99" t="n"/>
      <c r="R137" s="100" t="n"/>
      <c r="S137" s="98" t="n"/>
      <c r="T137" s="99" t="n"/>
      <c r="U137" s="99" t="n"/>
      <c r="V137" s="100" t="n"/>
      <c r="W137" s="98" t="n"/>
      <c r="X137" s="100" t="n"/>
      <c r="Y137" s="98" t="n"/>
      <c r="Z137" s="100" t="n"/>
      <c r="AB137" s="101">
        <f>IF($B137="","",(COUNTIF(C108:E125,$B137)+COUNTIF(C108:E125,$B137&amp;" ~*")&gt;0)+(COUNTIF(G108:I125,$B137)+COUNTIF(G108:I125,$B137&amp;" ~*")&gt;0)+(COUNTIF(K108:M125,$B137)+COUNTIF(K108:M125,$B137&amp;" ~*")&gt;0)+(COUNTIF(O108:Q125,$B137)+COUNTIF(O108:Q125,$B137&amp;" ~*")&gt;0)+(COUNTIF(S108:U125,$B137)+COUNTIF(S108:U125,$B137&amp;" ~*")&gt;0)+(COUNTIF(W108:W125,$B137)+COUNTIF(W108:W125,$B137&amp;" ~*")&gt;0)+(COUNTIF(Y108:Y125,$B137)+COUNTIF(Y108:Y125,$B137&amp;" ~*")&gt;0))</f>
        <v/>
      </c>
      <c r="AC137" s="36">
        <f>IF($B137="","",(IFERROR(INDEX(Setup!$G$33:$G$40,MATCH(C137,Setup!$B$33:$B$40,0)),0)=1)*(COUNTIF(C108:E125,$B137)+COUNTIF(C108:E125,$B137&amp;" ~*")&gt;0)+(IFERROR(INDEX(Setup!$G$33:$G$40,MATCH(G137,Setup!$B$33:$B$40,0)),0)=1)*(COUNTIF(G108:I125,$B137)+COUNTIF(G108:I125,$B137&amp;" ~*")&gt;0)+(IFERROR(INDEX(Setup!$G$33:$G$40,MATCH(K137,Setup!$B$33:$B$40,0)),0)=1)*(COUNTIF(K108:M125,$B137)+COUNTIF(K108:M125,$B137&amp;" ~*")&gt;0)+(IFERROR(INDEX(Setup!$G$33:$G$40,MATCH(O137,Setup!$B$33:$B$40,0)),0)=1)*(COUNTIF(O108:Q125,$B137)+COUNTIF(O108:Q125,$B137&amp;" ~*")&gt;0)+(IFERROR(INDEX(Setup!$G$33:$G$40,MATCH(S137,Setup!$B$33:$B$40,0)),0)=1)*(COUNTIF(S108:U125,$B137)+COUNTIF(S108:U125,$B137&amp;" ~*")&gt;0)+(IFERROR(INDEX(Setup!$G$33:$G$40,MATCH(W137,Setup!$B$33:$B$40,0)),0)=1)*(COUNTIF(W108:W125,$B137)+COUNTIF(W108:W125,$B137&amp;" ~*")&gt;0)+(IFERROR(INDEX(Setup!$G$33:$G$40,MATCH(Y137,Setup!$B$33:$B$40,0)),0)=1)*(COUNTIF(Y108:Y125,$B137)+COUNTIF(Y108:Y125,$B137&amp;" ~*")&gt;0))</f>
        <v/>
      </c>
    </row>
    <row r="138" ht="15" customHeight="1">
      <c r="A138" t="n">
        <v>3</v>
      </c>
      <c r="B138" s="37">
        <f>IF(Setup!$B$17="","",Setup!$B$17)</f>
        <v/>
      </c>
      <c r="C138" s="102" t="n"/>
      <c r="D138" s="103" t="n"/>
      <c r="E138" s="103" t="n"/>
      <c r="F138" s="104" t="n"/>
      <c r="G138" s="102" t="n"/>
      <c r="H138" s="103" t="n"/>
      <c r="I138" s="103" t="n"/>
      <c r="J138" s="104" t="n"/>
      <c r="K138" s="102" t="n"/>
      <c r="L138" s="103" t="n"/>
      <c r="M138" s="103" t="n"/>
      <c r="N138" s="104" t="n"/>
      <c r="O138" s="102" t="n"/>
      <c r="P138" s="103" t="n"/>
      <c r="Q138" s="103" t="n"/>
      <c r="R138" s="104" t="n"/>
      <c r="S138" s="102" t="n"/>
      <c r="T138" s="103" t="n"/>
      <c r="U138" s="103" t="n"/>
      <c r="V138" s="104" t="n"/>
      <c r="W138" s="102" t="n"/>
      <c r="X138" s="104" t="n"/>
      <c r="Y138" s="102" t="n"/>
      <c r="Z138" s="104" t="n"/>
      <c r="AB138" s="105">
        <f>IF($B138="","",(COUNTIF(C108:E125,$B138)+COUNTIF(C108:E125,$B138&amp;" ~*")&gt;0)+(COUNTIF(G108:I125,$B138)+COUNTIF(G108:I125,$B138&amp;" ~*")&gt;0)+(COUNTIF(K108:M125,$B138)+COUNTIF(K108:M125,$B138&amp;" ~*")&gt;0)+(COUNTIF(O108:Q125,$B138)+COUNTIF(O108:Q125,$B138&amp;" ~*")&gt;0)+(COUNTIF(S108:U125,$B138)+COUNTIF(S108:U125,$B138&amp;" ~*")&gt;0)+(COUNTIF(W108:W125,$B138)+COUNTIF(W108:W125,$B138&amp;" ~*")&gt;0)+(COUNTIF(Y108:Y125,$B138)+COUNTIF(Y108:Y125,$B138&amp;" ~*")&gt;0))</f>
        <v/>
      </c>
      <c r="AC138" s="38">
        <f>IF($B138="","",(IFERROR(INDEX(Setup!$G$33:$G$40,MATCH(C138,Setup!$B$33:$B$40,0)),0)=1)*(COUNTIF(C108:E125,$B138)+COUNTIF(C108:E125,$B138&amp;" ~*")&gt;0)+(IFERROR(INDEX(Setup!$G$33:$G$40,MATCH(G138,Setup!$B$33:$B$40,0)),0)=1)*(COUNTIF(G108:I125,$B138)+COUNTIF(G108:I125,$B138&amp;" ~*")&gt;0)+(IFERROR(INDEX(Setup!$G$33:$G$40,MATCH(K138,Setup!$B$33:$B$40,0)),0)=1)*(COUNTIF(K108:M125,$B138)+COUNTIF(K108:M125,$B138&amp;" ~*")&gt;0)+(IFERROR(INDEX(Setup!$G$33:$G$40,MATCH(O138,Setup!$B$33:$B$40,0)),0)=1)*(COUNTIF(O108:Q125,$B138)+COUNTIF(O108:Q125,$B138&amp;" ~*")&gt;0)+(IFERROR(INDEX(Setup!$G$33:$G$40,MATCH(S138,Setup!$B$33:$B$40,0)),0)=1)*(COUNTIF(S108:U125,$B138)+COUNTIF(S108:U125,$B138&amp;" ~*")&gt;0)+(IFERROR(INDEX(Setup!$G$33:$G$40,MATCH(W138,Setup!$B$33:$B$40,0)),0)=1)*(COUNTIF(W108:W125,$B138)+COUNTIF(W108:W125,$B138&amp;" ~*")&gt;0)+(IFERROR(INDEX(Setup!$G$33:$G$40,MATCH(Y138,Setup!$B$33:$B$40,0)),0)=1)*(COUNTIF(Y108:Y125,$B138)+COUNTIF(Y108:Y125,$B138&amp;" ~*")&gt;0))</f>
        <v/>
      </c>
    </row>
    <row r="139" ht="15" customHeight="1">
      <c r="A139" t="n">
        <v>3</v>
      </c>
      <c r="B139" s="35">
        <f>IF(Setup!$B$18="","",Setup!$B$18)</f>
        <v/>
      </c>
      <c r="C139" s="98" t="n"/>
      <c r="D139" s="99" t="n"/>
      <c r="E139" s="99" t="n"/>
      <c r="F139" s="100" t="n"/>
      <c r="G139" s="98" t="n"/>
      <c r="H139" s="99" t="n"/>
      <c r="I139" s="99" t="n"/>
      <c r="J139" s="100" t="n"/>
      <c r="K139" s="98" t="n"/>
      <c r="L139" s="99" t="n"/>
      <c r="M139" s="99" t="n"/>
      <c r="N139" s="100" t="n"/>
      <c r="O139" s="98" t="n"/>
      <c r="P139" s="99" t="n"/>
      <c r="Q139" s="99" t="n"/>
      <c r="R139" s="100" t="n"/>
      <c r="S139" s="98" t="n"/>
      <c r="T139" s="99" t="n"/>
      <c r="U139" s="99" t="n"/>
      <c r="V139" s="100" t="n"/>
      <c r="W139" s="98" t="n"/>
      <c r="X139" s="100" t="n"/>
      <c r="Y139" s="98" t="n"/>
      <c r="Z139" s="100" t="n"/>
      <c r="AB139" s="101">
        <f>IF($B139="","",(COUNTIF(C108:E125,$B139)+COUNTIF(C108:E125,$B139&amp;" ~*")&gt;0)+(COUNTIF(G108:I125,$B139)+COUNTIF(G108:I125,$B139&amp;" ~*")&gt;0)+(COUNTIF(K108:M125,$B139)+COUNTIF(K108:M125,$B139&amp;" ~*")&gt;0)+(COUNTIF(O108:Q125,$B139)+COUNTIF(O108:Q125,$B139&amp;" ~*")&gt;0)+(COUNTIF(S108:U125,$B139)+COUNTIF(S108:U125,$B139&amp;" ~*")&gt;0)+(COUNTIF(W108:W125,$B139)+COUNTIF(W108:W125,$B139&amp;" ~*")&gt;0)+(COUNTIF(Y108:Y125,$B139)+COUNTIF(Y108:Y125,$B139&amp;" ~*")&gt;0))</f>
        <v/>
      </c>
      <c r="AC139" s="36">
        <f>IF($B139="","",(IFERROR(INDEX(Setup!$G$33:$G$40,MATCH(C139,Setup!$B$33:$B$40,0)),0)=1)*(COUNTIF(C108:E125,$B139)+COUNTIF(C108:E125,$B139&amp;" ~*")&gt;0)+(IFERROR(INDEX(Setup!$G$33:$G$40,MATCH(G139,Setup!$B$33:$B$40,0)),0)=1)*(COUNTIF(G108:I125,$B139)+COUNTIF(G108:I125,$B139&amp;" ~*")&gt;0)+(IFERROR(INDEX(Setup!$G$33:$G$40,MATCH(K139,Setup!$B$33:$B$40,0)),0)=1)*(COUNTIF(K108:M125,$B139)+COUNTIF(K108:M125,$B139&amp;" ~*")&gt;0)+(IFERROR(INDEX(Setup!$G$33:$G$40,MATCH(O139,Setup!$B$33:$B$40,0)),0)=1)*(COUNTIF(O108:Q125,$B139)+COUNTIF(O108:Q125,$B139&amp;" ~*")&gt;0)+(IFERROR(INDEX(Setup!$G$33:$G$40,MATCH(S139,Setup!$B$33:$B$40,0)),0)=1)*(COUNTIF(S108:U125,$B139)+COUNTIF(S108:U125,$B139&amp;" ~*")&gt;0)+(IFERROR(INDEX(Setup!$G$33:$G$40,MATCH(W139,Setup!$B$33:$B$40,0)),0)=1)*(COUNTIF(W108:W125,$B139)+COUNTIF(W108:W125,$B139&amp;" ~*")&gt;0)+(IFERROR(INDEX(Setup!$G$33:$G$40,MATCH(Y139,Setup!$B$33:$B$40,0)),0)=1)*(COUNTIF(Y108:Y125,$B139)+COUNTIF(Y108:Y125,$B139&amp;" ~*")&gt;0))</f>
        <v/>
      </c>
    </row>
    <row r="140" ht="15" customHeight="1">
      <c r="A140" t="n">
        <v>3</v>
      </c>
      <c r="B140" s="37">
        <f>IF(Setup!$B$19="","",Setup!$B$19)</f>
        <v/>
      </c>
      <c r="C140" s="102" t="n"/>
      <c r="D140" s="103" t="n"/>
      <c r="E140" s="103" t="n"/>
      <c r="F140" s="104" t="n"/>
      <c r="G140" s="102" t="n"/>
      <c r="H140" s="103" t="n"/>
      <c r="I140" s="103" t="n"/>
      <c r="J140" s="104" t="n"/>
      <c r="K140" s="102" t="n"/>
      <c r="L140" s="103" t="n"/>
      <c r="M140" s="103" t="n"/>
      <c r="N140" s="104" t="n"/>
      <c r="O140" s="102" t="n"/>
      <c r="P140" s="103" t="n"/>
      <c r="Q140" s="103" t="n"/>
      <c r="R140" s="104" t="n"/>
      <c r="S140" s="102" t="n"/>
      <c r="T140" s="103" t="n"/>
      <c r="U140" s="103" t="n"/>
      <c r="V140" s="104" t="n"/>
      <c r="W140" s="102" t="n"/>
      <c r="X140" s="104" t="n"/>
      <c r="Y140" s="102" t="n"/>
      <c r="Z140" s="104" t="n"/>
      <c r="AB140" s="105">
        <f>IF($B140="","",(COUNTIF(C108:E125,$B140)+COUNTIF(C108:E125,$B140&amp;" ~*")&gt;0)+(COUNTIF(G108:I125,$B140)+COUNTIF(G108:I125,$B140&amp;" ~*")&gt;0)+(COUNTIF(K108:M125,$B140)+COUNTIF(K108:M125,$B140&amp;" ~*")&gt;0)+(COUNTIF(O108:Q125,$B140)+COUNTIF(O108:Q125,$B140&amp;" ~*")&gt;0)+(COUNTIF(S108:U125,$B140)+COUNTIF(S108:U125,$B140&amp;" ~*")&gt;0)+(COUNTIF(W108:W125,$B140)+COUNTIF(W108:W125,$B140&amp;" ~*")&gt;0)+(COUNTIF(Y108:Y125,$B140)+COUNTIF(Y108:Y125,$B140&amp;" ~*")&gt;0))</f>
        <v/>
      </c>
      <c r="AC140" s="38">
        <f>IF($B140="","",(IFERROR(INDEX(Setup!$G$33:$G$40,MATCH(C140,Setup!$B$33:$B$40,0)),0)=1)*(COUNTIF(C108:E125,$B140)+COUNTIF(C108:E125,$B140&amp;" ~*")&gt;0)+(IFERROR(INDEX(Setup!$G$33:$G$40,MATCH(G140,Setup!$B$33:$B$40,0)),0)=1)*(COUNTIF(G108:I125,$B140)+COUNTIF(G108:I125,$B140&amp;" ~*")&gt;0)+(IFERROR(INDEX(Setup!$G$33:$G$40,MATCH(K140,Setup!$B$33:$B$40,0)),0)=1)*(COUNTIF(K108:M125,$B140)+COUNTIF(K108:M125,$B140&amp;" ~*")&gt;0)+(IFERROR(INDEX(Setup!$G$33:$G$40,MATCH(O140,Setup!$B$33:$B$40,0)),0)=1)*(COUNTIF(O108:Q125,$B140)+COUNTIF(O108:Q125,$B140&amp;" ~*")&gt;0)+(IFERROR(INDEX(Setup!$G$33:$G$40,MATCH(S140,Setup!$B$33:$B$40,0)),0)=1)*(COUNTIF(S108:U125,$B140)+COUNTIF(S108:U125,$B140&amp;" ~*")&gt;0)+(IFERROR(INDEX(Setup!$G$33:$G$40,MATCH(W140,Setup!$B$33:$B$40,0)),0)=1)*(COUNTIF(W108:W125,$B140)+COUNTIF(W108:W125,$B140&amp;" ~*")&gt;0)+(IFERROR(INDEX(Setup!$G$33:$G$40,MATCH(Y140,Setup!$B$33:$B$40,0)),0)=1)*(COUNTIF(Y108:Y125,$B140)+COUNTIF(Y108:Y125,$B140&amp;" ~*")&gt;0))</f>
        <v/>
      </c>
    </row>
    <row r="141" ht="15" customHeight="1">
      <c r="A141" t="n">
        <v>3</v>
      </c>
      <c r="B141" s="35">
        <f>IF(Setup!$B$20="","",Setup!$B$20)</f>
        <v/>
      </c>
      <c r="C141" s="98" t="n"/>
      <c r="D141" s="99" t="n"/>
      <c r="E141" s="99" t="n"/>
      <c r="F141" s="100" t="n"/>
      <c r="G141" s="98" t="n"/>
      <c r="H141" s="99" t="n"/>
      <c r="I141" s="99" t="n"/>
      <c r="J141" s="100" t="n"/>
      <c r="K141" s="98" t="n"/>
      <c r="L141" s="99" t="n"/>
      <c r="M141" s="99" t="n"/>
      <c r="N141" s="100" t="n"/>
      <c r="O141" s="98" t="n"/>
      <c r="P141" s="99" t="n"/>
      <c r="Q141" s="99" t="n"/>
      <c r="R141" s="100" t="n"/>
      <c r="S141" s="98" t="n"/>
      <c r="T141" s="99" t="n"/>
      <c r="U141" s="99" t="n"/>
      <c r="V141" s="100" t="n"/>
      <c r="W141" s="98" t="n"/>
      <c r="X141" s="100" t="n"/>
      <c r="Y141" s="98" t="n"/>
      <c r="Z141" s="100" t="n"/>
      <c r="AB141" s="101">
        <f>IF($B141="","",(COUNTIF(C108:E125,$B141)+COUNTIF(C108:E125,$B141&amp;" ~*")&gt;0)+(COUNTIF(G108:I125,$B141)+COUNTIF(G108:I125,$B141&amp;" ~*")&gt;0)+(COUNTIF(K108:M125,$B141)+COUNTIF(K108:M125,$B141&amp;" ~*")&gt;0)+(COUNTIF(O108:Q125,$B141)+COUNTIF(O108:Q125,$B141&amp;" ~*")&gt;0)+(COUNTIF(S108:U125,$B141)+COUNTIF(S108:U125,$B141&amp;" ~*")&gt;0)+(COUNTIF(W108:W125,$B141)+COUNTIF(W108:W125,$B141&amp;" ~*")&gt;0)+(COUNTIF(Y108:Y125,$B141)+COUNTIF(Y108:Y125,$B141&amp;" ~*")&gt;0))</f>
        <v/>
      </c>
      <c r="AC141" s="36">
        <f>IF($B141="","",(IFERROR(INDEX(Setup!$G$33:$G$40,MATCH(C141,Setup!$B$33:$B$40,0)),0)=1)*(COUNTIF(C108:E125,$B141)+COUNTIF(C108:E125,$B141&amp;" ~*")&gt;0)+(IFERROR(INDEX(Setup!$G$33:$G$40,MATCH(G141,Setup!$B$33:$B$40,0)),0)=1)*(COUNTIF(G108:I125,$B141)+COUNTIF(G108:I125,$B141&amp;" ~*")&gt;0)+(IFERROR(INDEX(Setup!$G$33:$G$40,MATCH(K141,Setup!$B$33:$B$40,0)),0)=1)*(COUNTIF(K108:M125,$B141)+COUNTIF(K108:M125,$B141&amp;" ~*")&gt;0)+(IFERROR(INDEX(Setup!$G$33:$G$40,MATCH(O141,Setup!$B$33:$B$40,0)),0)=1)*(COUNTIF(O108:Q125,$B141)+COUNTIF(O108:Q125,$B141&amp;" ~*")&gt;0)+(IFERROR(INDEX(Setup!$G$33:$G$40,MATCH(S141,Setup!$B$33:$B$40,0)),0)=1)*(COUNTIF(S108:U125,$B141)+COUNTIF(S108:U125,$B141&amp;" ~*")&gt;0)+(IFERROR(INDEX(Setup!$G$33:$G$40,MATCH(W141,Setup!$B$33:$B$40,0)),0)=1)*(COUNTIF(W108:W125,$B141)+COUNTIF(W108:W125,$B141&amp;" ~*")&gt;0)+(IFERROR(INDEX(Setup!$G$33:$G$40,MATCH(Y141,Setup!$B$33:$B$40,0)),0)=1)*(COUNTIF(Y108:Y125,$B141)+COUNTIF(Y108:Y125,$B141&amp;" ~*")&gt;0))</f>
        <v/>
      </c>
    </row>
    <row r="142" ht="15" customHeight="1">
      <c r="A142" t="n">
        <v>3</v>
      </c>
      <c r="B142" s="37">
        <f>IF(Setup!$B$21="","",Setup!$B$21)</f>
        <v/>
      </c>
      <c r="C142" s="102" t="n"/>
      <c r="D142" s="103" t="n"/>
      <c r="E142" s="103" t="n"/>
      <c r="F142" s="104" t="n"/>
      <c r="G142" s="102" t="n"/>
      <c r="H142" s="103" t="n"/>
      <c r="I142" s="103" t="n"/>
      <c r="J142" s="104" t="n"/>
      <c r="K142" s="102" t="n"/>
      <c r="L142" s="103" t="n"/>
      <c r="M142" s="103" t="n"/>
      <c r="N142" s="104" t="n"/>
      <c r="O142" s="102" t="n"/>
      <c r="P142" s="103" t="n"/>
      <c r="Q142" s="103" t="n"/>
      <c r="R142" s="104" t="n"/>
      <c r="S142" s="102" t="n"/>
      <c r="T142" s="103" t="n"/>
      <c r="U142" s="103" t="n"/>
      <c r="V142" s="104" t="n"/>
      <c r="W142" s="102" t="n"/>
      <c r="X142" s="104" t="n"/>
      <c r="Y142" s="102" t="n"/>
      <c r="Z142" s="104" t="n"/>
      <c r="AB142" s="105">
        <f>IF($B142="","",(COUNTIF(C108:E125,$B142)+COUNTIF(C108:E125,$B142&amp;" ~*")&gt;0)+(COUNTIF(G108:I125,$B142)+COUNTIF(G108:I125,$B142&amp;" ~*")&gt;0)+(COUNTIF(K108:M125,$B142)+COUNTIF(K108:M125,$B142&amp;" ~*")&gt;0)+(COUNTIF(O108:Q125,$B142)+COUNTIF(O108:Q125,$B142&amp;" ~*")&gt;0)+(COUNTIF(S108:U125,$B142)+COUNTIF(S108:U125,$B142&amp;" ~*")&gt;0)+(COUNTIF(W108:W125,$B142)+COUNTIF(W108:W125,$B142&amp;" ~*")&gt;0)+(COUNTIF(Y108:Y125,$B142)+COUNTIF(Y108:Y125,$B142&amp;" ~*")&gt;0))</f>
        <v/>
      </c>
      <c r="AC142" s="38">
        <f>IF($B142="","",(IFERROR(INDEX(Setup!$G$33:$G$40,MATCH(C142,Setup!$B$33:$B$40,0)),0)=1)*(COUNTIF(C108:E125,$B142)+COUNTIF(C108:E125,$B142&amp;" ~*")&gt;0)+(IFERROR(INDEX(Setup!$G$33:$G$40,MATCH(G142,Setup!$B$33:$B$40,0)),0)=1)*(COUNTIF(G108:I125,$B142)+COUNTIF(G108:I125,$B142&amp;" ~*")&gt;0)+(IFERROR(INDEX(Setup!$G$33:$G$40,MATCH(K142,Setup!$B$33:$B$40,0)),0)=1)*(COUNTIF(K108:M125,$B142)+COUNTIF(K108:M125,$B142&amp;" ~*")&gt;0)+(IFERROR(INDEX(Setup!$G$33:$G$40,MATCH(O142,Setup!$B$33:$B$40,0)),0)=1)*(COUNTIF(O108:Q125,$B142)+COUNTIF(O108:Q125,$B142&amp;" ~*")&gt;0)+(IFERROR(INDEX(Setup!$G$33:$G$40,MATCH(S142,Setup!$B$33:$B$40,0)),0)=1)*(COUNTIF(S108:U125,$B142)+COUNTIF(S108:U125,$B142&amp;" ~*")&gt;0)+(IFERROR(INDEX(Setup!$G$33:$G$40,MATCH(W142,Setup!$B$33:$B$40,0)),0)=1)*(COUNTIF(W108:W125,$B142)+COUNTIF(W108:W125,$B142&amp;" ~*")&gt;0)+(IFERROR(INDEX(Setup!$G$33:$G$40,MATCH(Y142,Setup!$B$33:$B$40,0)),0)=1)*(COUNTIF(Y108:Y125,$B142)+COUNTIF(Y108:Y125,$B142&amp;" ~*")&gt;0))</f>
        <v/>
      </c>
    </row>
    <row r="143" ht="15" customHeight="1">
      <c r="A143" t="n">
        <v>3</v>
      </c>
      <c r="B143" s="35">
        <f>IF(Setup!$B$22="","",Setup!$B$22)</f>
        <v/>
      </c>
      <c r="C143" s="98" t="n"/>
      <c r="D143" s="99" t="n"/>
      <c r="E143" s="99" t="n"/>
      <c r="F143" s="100" t="n"/>
      <c r="G143" s="98" t="n"/>
      <c r="H143" s="99" t="n"/>
      <c r="I143" s="99" t="n"/>
      <c r="J143" s="100" t="n"/>
      <c r="K143" s="98" t="n"/>
      <c r="L143" s="99" t="n"/>
      <c r="M143" s="99" t="n"/>
      <c r="N143" s="100" t="n"/>
      <c r="O143" s="98" t="n"/>
      <c r="P143" s="99" t="n"/>
      <c r="Q143" s="99" t="n"/>
      <c r="R143" s="100" t="n"/>
      <c r="S143" s="98" t="n"/>
      <c r="T143" s="99" t="n"/>
      <c r="U143" s="99" t="n"/>
      <c r="V143" s="100" t="n"/>
      <c r="W143" s="98" t="n"/>
      <c r="X143" s="100" t="n"/>
      <c r="Y143" s="98" t="n"/>
      <c r="Z143" s="100" t="n"/>
      <c r="AB143" s="101">
        <f>IF($B143="","",(COUNTIF(C108:E125,$B143)+COUNTIF(C108:E125,$B143&amp;" ~*")&gt;0)+(COUNTIF(G108:I125,$B143)+COUNTIF(G108:I125,$B143&amp;" ~*")&gt;0)+(COUNTIF(K108:M125,$B143)+COUNTIF(K108:M125,$B143&amp;" ~*")&gt;0)+(COUNTIF(O108:Q125,$B143)+COUNTIF(O108:Q125,$B143&amp;" ~*")&gt;0)+(COUNTIF(S108:U125,$B143)+COUNTIF(S108:U125,$B143&amp;" ~*")&gt;0)+(COUNTIF(W108:W125,$B143)+COUNTIF(W108:W125,$B143&amp;" ~*")&gt;0)+(COUNTIF(Y108:Y125,$B143)+COUNTIF(Y108:Y125,$B143&amp;" ~*")&gt;0))</f>
        <v/>
      </c>
      <c r="AC143" s="36">
        <f>IF($B143="","",(IFERROR(INDEX(Setup!$G$33:$G$40,MATCH(C143,Setup!$B$33:$B$40,0)),0)=1)*(COUNTIF(C108:E125,$B143)+COUNTIF(C108:E125,$B143&amp;" ~*")&gt;0)+(IFERROR(INDEX(Setup!$G$33:$G$40,MATCH(G143,Setup!$B$33:$B$40,0)),0)=1)*(COUNTIF(G108:I125,$B143)+COUNTIF(G108:I125,$B143&amp;" ~*")&gt;0)+(IFERROR(INDEX(Setup!$G$33:$G$40,MATCH(K143,Setup!$B$33:$B$40,0)),0)=1)*(COUNTIF(K108:M125,$B143)+COUNTIF(K108:M125,$B143&amp;" ~*")&gt;0)+(IFERROR(INDEX(Setup!$G$33:$G$40,MATCH(O143,Setup!$B$33:$B$40,0)),0)=1)*(COUNTIF(O108:Q125,$B143)+COUNTIF(O108:Q125,$B143&amp;" ~*")&gt;0)+(IFERROR(INDEX(Setup!$G$33:$G$40,MATCH(S143,Setup!$B$33:$B$40,0)),0)=1)*(COUNTIF(S108:U125,$B143)+COUNTIF(S108:U125,$B143&amp;" ~*")&gt;0)+(IFERROR(INDEX(Setup!$G$33:$G$40,MATCH(W143,Setup!$B$33:$B$40,0)),0)=1)*(COUNTIF(W108:W125,$B143)+COUNTIF(W108:W125,$B143&amp;" ~*")&gt;0)+(IFERROR(INDEX(Setup!$G$33:$G$40,MATCH(Y143,Setup!$B$33:$B$40,0)),0)=1)*(COUNTIF(Y108:Y125,$B143)+COUNTIF(Y108:Y125,$B143&amp;" ~*")&gt;0))</f>
        <v/>
      </c>
    </row>
    <row r="144" ht="15" customHeight="1">
      <c r="A144" t="n">
        <v>3</v>
      </c>
      <c r="B144" s="37">
        <f>IF(Setup!$B$23="","",Setup!$B$23)</f>
        <v/>
      </c>
      <c r="C144" s="102" t="n"/>
      <c r="D144" s="103" t="n"/>
      <c r="E144" s="103" t="n"/>
      <c r="F144" s="104" t="n"/>
      <c r="G144" s="102" t="n"/>
      <c r="H144" s="103" t="n"/>
      <c r="I144" s="103" t="n"/>
      <c r="J144" s="104" t="n"/>
      <c r="K144" s="102" t="n"/>
      <c r="L144" s="103" t="n"/>
      <c r="M144" s="103" t="n"/>
      <c r="N144" s="104" t="n"/>
      <c r="O144" s="102" t="n"/>
      <c r="P144" s="103" t="n"/>
      <c r="Q144" s="103" t="n"/>
      <c r="R144" s="104" t="n"/>
      <c r="S144" s="102" t="n"/>
      <c r="T144" s="103" t="n"/>
      <c r="U144" s="103" t="n"/>
      <c r="V144" s="104" t="n"/>
      <c r="W144" s="102" t="n"/>
      <c r="X144" s="104" t="n"/>
      <c r="Y144" s="102" t="n"/>
      <c r="Z144" s="104" t="n"/>
      <c r="AB144" s="105">
        <f>IF($B144="","",(COUNTIF(C108:E125,$B144)+COUNTIF(C108:E125,$B144&amp;" ~*")&gt;0)+(COUNTIF(G108:I125,$B144)+COUNTIF(G108:I125,$B144&amp;" ~*")&gt;0)+(COUNTIF(K108:M125,$B144)+COUNTIF(K108:M125,$B144&amp;" ~*")&gt;0)+(COUNTIF(O108:Q125,$B144)+COUNTIF(O108:Q125,$B144&amp;" ~*")&gt;0)+(COUNTIF(S108:U125,$B144)+COUNTIF(S108:U125,$B144&amp;" ~*")&gt;0)+(COUNTIF(W108:W125,$B144)+COUNTIF(W108:W125,$B144&amp;" ~*")&gt;0)+(COUNTIF(Y108:Y125,$B144)+COUNTIF(Y108:Y125,$B144&amp;" ~*")&gt;0))</f>
        <v/>
      </c>
      <c r="AC144" s="38">
        <f>IF($B144="","",(IFERROR(INDEX(Setup!$G$33:$G$40,MATCH(C144,Setup!$B$33:$B$40,0)),0)=1)*(COUNTIF(C108:E125,$B144)+COUNTIF(C108:E125,$B144&amp;" ~*")&gt;0)+(IFERROR(INDEX(Setup!$G$33:$G$40,MATCH(G144,Setup!$B$33:$B$40,0)),0)=1)*(COUNTIF(G108:I125,$B144)+COUNTIF(G108:I125,$B144&amp;" ~*")&gt;0)+(IFERROR(INDEX(Setup!$G$33:$G$40,MATCH(K144,Setup!$B$33:$B$40,0)),0)=1)*(COUNTIF(K108:M125,$B144)+COUNTIF(K108:M125,$B144&amp;" ~*")&gt;0)+(IFERROR(INDEX(Setup!$G$33:$G$40,MATCH(O144,Setup!$B$33:$B$40,0)),0)=1)*(COUNTIF(O108:Q125,$B144)+COUNTIF(O108:Q125,$B144&amp;" ~*")&gt;0)+(IFERROR(INDEX(Setup!$G$33:$G$40,MATCH(S144,Setup!$B$33:$B$40,0)),0)=1)*(COUNTIF(S108:U125,$B144)+COUNTIF(S108:U125,$B144&amp;" ~*")&gt;0)+(IFERROR(INDEX(Setup!$G$33:$G$40,MATCH(W144,Setup!$B$33:$B$40,0)),0)=1)*(COUNTIF(W108:W125,$B144)+COUNTIF(W108:W125,$B144&amp;" ~*")&gt;0)+(IFERROR(INDEX(Setup!$G$33:$G$40,MATCH(Y144,Setup!$B$33:$B$40,0)),0)=1)*(COUNTIF(Y108:Y125,$B144)+COUNTIF(Y108:Y125,$B144&amp;" ~*")&gt;0))</f>
        <v/>
      </c>
    </row>
    <row r="145" ht="15" customHeight="1">
      <c r="A145" t="n">
        <v>3</v>
      </c>
      <c r="B145" s="35">
        <f>IF(Setup!$B$24="","",Setup!$B$24)</f>
        <v/>
      </c>
      <c r="C145" s="98" t="n"/>
      <c r="D145" s="99" t="n"/>
      <c r="E145" s="99" t="n"/>
      <c r="F145" s="100" t="n"/>
      <c r="G145" s="98" t="n"/>
      <c r="H145" s="99" t="n"/>
      <c r="I145" s="99" t="n"/>
      <c r="J145" s="100" t="n"/>
      <c r="K145" s="98" t="n"/>
      <c r="L145" s="99" t="n"/>
      <c r="M145" s="99" t="n"/>
      <c r="N145" s="100" t="n"/>
      <c r="O145" s="98" t="n"/>
      <c r="P145" s="99" t="n"/>
      <c r="Q145" s="99" t="n"/>
      <c r="R145" s="100" t="n"/>
      <c r="S145" s="98" t="n"/>
      <c r="T145" s="99" t="n"/>
      <c r="U145" s="99" t="n"/>
      <c r="V145" s="100" t="n"/>
      <c r="W145" s="98" t="n"/>
      <c r="X145" s="100" t="n"/>
      <c r="Y145" s="98" t="n"/>
      <c r="Z145" s="100" t="n"/>
      <c r="AB145" s="101">
        <f>IF($B145="","",(COUNTIF(C108:E125,$B145)+COUNTIF(C108:E125,$B145&amp;" ~*")&gt;0)+(COUNTIF(G108:I125,$B145)+COUNTIF(G108:I125,$B145&amp;" ~*")&gt;0)+(COUNTIF(K108:M125,$B145)+COUNTIF(K108:M125,$B145&amp;" ~*")&gt;0)+(COUNTIF(O108:Q125,$B145)+COUNTIF(O108:Q125,$B145&amp;" ~*")&gt;0)+(COUNTIF(S108:U125,$B145)+COUNTIF(S108:U125,$B145&amp;" ~*")&gt;0)+(COUNTIF(W108:W125,$B145)+COUNTIF(W108:W125,$B145&amp;" ~*")&gt;0)+(COUNTIF(Y108:Y125,$B145)+COUNTIF(Y108:Y125,$B145&amp;" ~*")&gt;0))</f>
        <v/>
      </c>
      <c r="AC145" s="36">
        <f>IF($B145="","",(IFERROR(INDEX(Setup!$G$33:$G$40,MATCH(C145,Setup!$B$33:$B$40,0)),0)=1)*(COUNTIF(C108:E125,$B145)+COUNTIF(C108:E125,$B145&amp;" ~*")&gt;0)+(IFERROR(INDEX(Setup!$G$33:$G$40,MATCH(G145,Setup!$B$33:$B$40,0)),0)=1)*(COUNTIF(G108:I125,$B145)+COUNTIF(G108:I125,$B145&amp;" ~*")&gt;0)+(IFERROR(INDEX(Setup!$G$33:$G$40,MATCH(K145,Setup!$B$33:$B$40,0)),0)=1)*(COUNTIF(K108:M125,$B145)+COUNTIF(K108:M125,$B145&amp;" ~*")&gt;0)+(IFERROR(INDEX(Setup!$G$33:$G$40,MATCH(O145,Setup!$B$33:$B$40,0)),0)=1)*(COUNTIF(O108:Q125,$B145)+COUNTIF(O108:Q125,$B145&amp;" ~*")&gt;0)+(IFERROR(INDEX(Setup!$G$33:$G$40,MATCH(S145,Setup!$B$33:$B$40,0)),0)=1)*(COUNTIF(S108:U125,$B145)+COUNTIF(S108:U125,$B145&amp;" ~*")&gt;0)+(IFERROR(INDEX(Setup!$G$33:$G$40,MATCH(W145,Setup!$B$33:$B$40,0)),0)=1)*(COUNTIF(W108:W125,$B145)+COUNTIF(W108:W125,$B145&amp;" ~*")&gt;0)+(IFERROR(INDEX(Setup!$G$33:$G$40,MATCH(Y145,Setup!$B$33:$B$40,0)),0)=1)*(COUNTIF(Y108:Y125,$B145)+COUNTIF(Y108:Y125,$B145&amp;" ~*")&gt;0))</f>
        <v/>
      </c>
    </row>
    <row r="146" ht="15" customHeight="1">
      <c r="A146" t="n">
        <v>3</v>
      </c>
      <c r="B146" s="37">
        <f>IF(Setup!$B$25="","",Setup!$B$25)</f>
        <v/>
      </c>
      <c r="C146" s="102" t="n"/>
      <c r="D146" s="103" t="n"/>
      <c r="E146" s="103" t="n"/>
      <c r="F146" s="104" t="n"/>
      <c r="G146" s="102" t="n"/>
      <c r="H146" s="103" t="n"/>
      <c r="I146" s="103" t="n"/>
      <c r="J146" s="104" t="n"/>
      <c r="K146" s="102" t="n"/>
      <c r="L146" s="103" t="n"/>
      <c r="M146" s="103" t="n"/>
      <c r="N146" s="104" t="n"/>
      <c r="O146" s="102" t="n"/>
      <c r="P146" s="103" t="n"/>
      <c r="Q146" s="103" t="n"/>
      <c r="R146" s="104" t="n"/>
      <c r="S146" s="102" t="n"/>
      <c r="T146" s="103" t="n"/>
      <c r="U146" s="103" t="n"/>
      <c r="V146" s="104" t="n"/>
      <c r="W146" s="102" t="n"/>
      <c r="X146" s="104" t="n"/>
      <c r="Y146" s="102" t="n"/>
      <c r="Z146" s="104" t="n"/>
      <c r="AB146" s="105">
        <f>IF($B146="","",(COUNTIF(C108:E125,$B146)+COUNTIF(C108:E125,$B146&amp;" ~*")&gt;0)+(COUNTIF(G108:I125,$B146)+COUNTIF(G108:I125,$B146&amp;" ~*")&gt;0)+(COUNTIF(K108:M125,$B146)+COUNTIF(K108:M125,$B146&amp;" ~*")&gt;0)+(COUNTIF(O108:Q125,$B146)+COUNTIF(O108:Q125,$B146&amp;" ~*")&gt;0)+(COUNTIF(S108:U125,$B146)+COUNTIF(S108:U125,$B146&amp;" ~*")&gt;0)+(COUNTIF(W108:W125,$B146)+COUNTIF(W108:W125,$B146&amp;" ~*")&gt;0)+(COUNTIF(Y108:Y125,$B146)+COUNTIF(Y108:Y125,$B146&amp;" ~*")&gt;0))</f>
        <v/>
      </c>
      <c r="AC146" s="38">
        <f>IF($B146="","",(IFERROR(INDEX(Setup!$G$33:$G$40,MATCH(C146,Setup!$B$33:$B$40,0)),0)=1)*(COUNTIF(C108:E125,$B146)+COUNTIF(C108:E125,$B146&amp;" ~*")&gt;0)+(IFERROR(INDEX(Setup!$G$33:$G$40,MATCH(G146,Setup!$B$33:$B$40,0)),0)=1)*(COUNTIF(G108:I125,$B146)+COUNTIF(G108:I125,$B146&amp;" ~*")&gt;0)+(IFERROR(INDEX(Setup!$G$33:$G$40,MATCH(K146,Setup!$B$33:$B$40,0)),0)=1)*(COUNTIF(K108:M125,$B146)+COUNTIF(K108:M125,$B146&amp;" ~*")&gt;0)+(IFERROR(INDEX(Setup!$G$33:$G$40,MATCH(O146,Setup!$B$33:$B$40,0)),0)=1)*(COUNTIF(O108:Q125,$B146)+COUNTIF(O108:Q125,$B146&amp;" ~*")&gt;0)+(IFERROR(INDEX(Setup!$G$33:$G$40,MATCH(S146,Setup!$B$33:$B$40,0)),0)=1)*(COUNTIF(S108:U125,$B146)+COUNTIF(S108:U125,$B146&amp;" ~*")&gt;0)+(IFERROR(INDEX(Setup!$G$33:$G$40,MATCH(W146,Setup!$B$33:$B$40,0)),0)=1)*(COUNTIF(W108:W125,$B146)+COUNTIF(W108:W125,$B146&amp;" ~*")&gt;0)+(IFERROR(INDEX(Setup!$G$33:$G$40,MATCH(Y146,Setup!$B$33:$B$40,0)),0)=1)*(COUNTIF(Y108:Y125,$B146)+COUNTIF(Y108:Y125,$B146&amp;" ~*")&gt;0))</f>
        <v/>
      </c>
    </row>
    <row r="147" ht="15" customHeight="1">
      <c r="A147" t="n">
        <v>3</v>
      </c>
      <c r="B147" s="35">
        <f>IF(Setup!$B$26="","",Setup!$B$26)</f>
        <v/>
      </c>
      <c r="C147" s="98" t="n"/>
      <c r="D147" s="99" t="n"/>
      <c r="E147" s="99" t="n"/>
      <c r="F147" s="100" t="n"/>
      <c r="G147" s="98" t="n"/>
      <c r="H147" s="99" t="n"/>
      <c r="I147" s="99" t="n"/>
      <c r="J147" s="100" t="n"/>
      <c r="K147" s="98" t="n"/>
      <c r="L147" s="99" t="n"/>
      <c r="M147" s="99" t="n"/>
      <c r="N147" s="100" t="n"/>
      <c r="O147" s="98" t="n"/>
      <c r="P147" s="99" t="n"/>
      <c r="Q147" s="99" t="n"/>
      <c r="R147" s="100" t="n"/>
      <c r="S147" s="98" t="n"/>
      <c r="T147" s="99" t="n"/>
      <c r="U147" s="99" t="n"/>
      <c r="V147" s="100" t="n"/>
      <c r="W147" s="98" t="n"/>
      <c r="X147" s="100" t="n"/>
      <c r="Y147" s="98" t="n"/>
      <c r="Z147" s="100" t="n"/>
      <c r="AB147" s="101">
        <f>IF($B147="","",(COUNTIF(C108:E125,$B147)+COUNTIF(C108:E125,$B147&amp;" ~*")&gt;0)+(COUNTIF(G108:I125,$B147)+COUNTIF(G108:I125,$B147&amp;" ~*")&gt;0)+(COUNTIF(K108:M125,$B147)+COUNTIF(K108:M125,$B147&amp;" ~*")&gt;0)+(COUNTIF(O108:Q125,$B147)+COUNTIF(O108:Q125,$B147&amp;" ~*")&gt;0)+(COUNTIF(S108:U125,$B147)+COUNTIF(S108:U125,$B147&amp;" ~*")&gt;0)+(COUNTIF(W108:W125,$B147)+COUNTIF(W108:W125,$B147&amp;" ~*")&gt;0)+(COUNTIF(Y108:Y125,$B147)+COUNTIF(Y108:Y125,$B147&amp;" ~*")&gt;0))</f>
        <v/>
      </c>
      <c r="AC147" s="36">
        <f>IF($B147="","",(IFERROR(INDEX(Setup!$G$33:$G$40,MATCH(C147,Setup!$B$33:$B$40,0)),0)=1)*(COUNTIF(C108:E125,$B147)+COUNTIF(C108:E125,$B147&amp;" ~*")&gt;0)+(IFERROR(INDEX(Setup!$G$33:$G$40,MATCH(G147,Setup!$B$33:$B$40,0)),0)=1)*(COUNTIF(G108:I125,$B147)+COUNTIF(G108:I125,$B147&amp;" ~*")&gt;0)+(IFERROR(INDEX(Setup!$G$33:$G$40,MATCH(K147,Setup!$B$33:$B$40,0)),0)=1)*(COUNTIF(K108:M125,$B147)+COUNTIF(K108:M125,$B147&amp;" ~*")&gt;0)+(IFERROR(INDEX(Setup!$G$33:$G$40,MATCH(O147,Setup!$B$33:$B$40,0)),0)=1)*(COUNTIF(O108:Q125,$B147)+COUNTIF(O108:Q125,$B147&amp;" ~*")&gt;0)+(IFERROR(INDEX(Setup!$G$33:$G$40,MATCH(S147,Setup!$B$33:$B$40,0)),0)=1)*(COUNTIF(S108:U125,$B147)+COUNTIF(S108:U125,$B147&amp;" ~*")&gt;0)+(IFERROR(INDEX(Setup!$G$33:$G$40,MATCH(W147,Setup!$B$33:$B$40,0)),0)=1)*(COUNTIF(W108:W125,$B147)+COUNTIF(W108:W125,$B147&amp;" ~*")&gt;0)+(IFERROR(INDEX(Setup!$G$33:$G$40,MATCH(Y147,Setup!$B$33:$B$40,0)),0)=1)*(COUNTIF(Y108:Y125,$B147)+COUNTIF(Y108:Y125,$B147&amp;" ~*")&gt;0))</f>
        <v/>
      </c>
    </row>
    <row r="148" ht="15" customHeight="1">
      <c r="A148" t="n">
        <v>3</v>
      </c>
      <c r="B148" s="37">
        <f>IF(Setup!$B$27="","",Setup!$B$27)</f>
        <v/>
      </c>
      <c r="C148" s="102" t="n"/>
      <c r="D148" s="103" t="n"/>
      <c r="E148" s="103" t="n"/>
      <c r="F148" s="104" t="n"/>
      <c r="G148" s="102" t="n"/>
      <c r="H148" s="103" t="n"/>
      <c r="I148" s="103" t="n"/>
      <c r="J148" s="104" t="n"/>
      <c r="K148" s="102" t="n"/>
      <c r="L148" s="103" t="n"/>
      <c r="M148" s="103" t="n"/>
      <c r="N148" s="104" t="n"/>
      <c r="O148" s="102" t="n"/>
      <c r="P148" s="103" t="n"/>
      <c r="Q148" s="103" t="n"/>
      <c r="R148" s="104" t="n"/>
      <c r="S148" s="102" t="n"/>
      <c r="T148" s="103" t="n"/>
      <c r="U148" s="103" t="n"/>
      <c r="V148" s="104" t="n"/>
      <c r="W148" s="102" t="n"/>
      <c r="X148" s="104" t="n"/>
      <c r="Y148" s="102" t="n"/>
      <c r="Z148" s="104" t="n"/>
      <c r="AB148" s="105">
        <f>IF($B148="","",(COUNTIF(C108:E125,$B148)+COUNTIF(C108:E125,$B148&amp;" ~*")&gt;0)+(COUNTIF(G108:I125,$B148)+COUNTIF(G108:I125,$B148&amp;" ~*")&gt;0)+(COUNTIF(K108:M125,$B148)+COUNTIF(K108:M125,$B148&amp;" ~*")&gt;0)+(COUNTIF(O108:Q125,$B148)+COUNTIF(O108:Q125,$B148&amp;" ~*")&gt;0)+(COUNTIF(S108:U125,$B148)+COUNTIF(S108:U125,$B148&amp;" ~*")&gt;0)+(COUNTIF(W108:W125,$B148)+COUNTIF(W108:W125,$B148&amp;" ~*")&gt;0)+(COUNTIF(Y108:Y125,$B148)+COUNTIF(Y108:Y125,$B148&amp;" ~*")&gt;0))</f>
        <v/>
      </c>
      <c r="AC148" s="38">
        <f>IF($B148="","",(IFERROR(INDEX(Setup!$G$33:$G$40,MATCH(C148,Setup!$B$33:$B$40,0)),0)=1)*(COUNTIF(C108:E125,$B148)+COUNTIF(C108:E125,$B148&amp;" ~*")&gt;0)+(IFERROR(INDEX(Setup!$G$33:$G$40,MATCH(G148,Setup!$B$33:$B$40,0)),0)=1)*(COUNTIF(G108:I125,$B148)+COUNTIF(G108:I125,$B148&amp;" ~*")&gt;0)+(IFERROR(INDEX(Setup!$G$33:$G$40,MATCH(K148,Setup!$B$33:$B$40,0)),0)=1)*(COUNTIF(K108:M125,$B148)+COUNTIF(K108:M125,$B148&amp;" ~*")&gt;0)+(IFERROR(INDEX(Setup!$G$33:$G$40,MATCH(O148,Setup!$B$33:$B$40,0)),0)=1)*(COUNTIF(O108:Q125,$B148)+COUNTIF(O108:Q125,$B148&amp;" ~*")&gt;0)+(IFERROR(INDEX(Setup!$G$33:$G$40,MATCH(S148,Setup!$B$33:$B$40,0)),0)=1)*(COUNTIF(S108:U125,$B148)+COUNTIF(S108:U125,$B148&amp;" ~*")&gt;0)+(IFERROR(INDEX(Setup!$G$33:$G$40,MATCH(W148,Setup!$B$33:$B$40,0)),0)=1)*(COUNTIF(W108:W125,$B148)+COUNTIF(W108:W125,$B148&amp;" ~*")&gt;0)+(IFERROR(INDEX(Setup!$G$33:$G$40,MATCH(Y148,Setup!$B$33:$B$40,0)),0)=1)*(COUNTIF(Y108:Y125,$B148)+COUNTIF(Y108:Y125,$B148&amp;" ~*")&gt;0))</f>
        <v/>
      </c>
    </row>
    <row r="149" ht="15" customHeight="1">
      <c r="A149" t="n">
        <v>3</v>
      </c>
      <c r="B149" s="35">
        <f>IF(Setup!$B$28="","",Setup!$B$28)</f>
        <v/>
      </c>
      <c r="C149" s="98" t="n"/>
      <c r="D149" s="99" t="n"/>
      <c r="E149" s="99" t="n"/>
      <c r="F149" s="100" t="n"/>
      <c r="G149" s="98" t="n"/>
      <c r="H149" s="99" t="n"/>
      <c r="I149" s="99" t="n"/>
      <c r="J149" s="100" t="n"/>
      <c r="K149" s="98" t="n"/>
      <c r="L149" s="99" t="n"/>
      <c r="M149" s="99" t="n"/>
      <c r="N149" s="100" t="n"/>
      <c r="O149" s="98" t="n"/>
      <c r="P149" s="99" t="n"/>
      <c r="Q149" s="99" t="n"/>
      <c r="R149" s="100" t="n"/>
      <c r="S149" s="98" t="n"/>
      <c r="T149" s="99" t="n"/>
      <c r="U149" s="99" t="n"/>
      <c r="V149" s="100" t="n"/>
      <c r="W149" s="98" t="n"/>
      <c r="X149" s="100" t="n"/>
      <c r="Y149" s="98" t="n"/>
      <c r="Z149" s="100" t="n"/>
      <c r="AB149" s="101">
        <f>IF($B149="","",(COUNTIF(C108:E125,$B149)+COUNTIF(C108:E125,$B149&amp;" ~*")&gt;0)+(COUNTIF(G108:I125,$B149)+COUNTIF(G108:I125,$B149&amp;" ~*")&gt;0)+(COUNTIF(K108:M125,$B149)+COUNTIF(K108:M125,$B149&amp;" ~*")&gt;0)+(COUNTIF(O108:Q125,$B149)+COUNTIF(O108:Q125,$B149&amp;" ~*")&gt;0)+(COUNTIF(S108:U125,$B149)+COUNTIF(S108:U125,$B149&amp;" ~*")&gt;0)+(COUNTIF(W108:W125,$B149)+COUNTIF(W108:W125,$B149&amp;" ~*")&gt;0)+(COUNTIF(Y108:Y125,$B149)+COUNTIF(Y108:Y125,$B149&amp;" ~*")&gt;0))</f>
        <v/>
      </c>
      <c r="AC149" s="36">
        <f>IF($B149="","",(IFERROR(INDEX(Setup!$G$33:$G$40,MATCH(C149,Setup!$B$33:$B$40,0)),0)=1)*(COUNTIF(C108:E125,$B149)+COUNTIF(C108:E125,$B149&amp;" ~*")&gt;0)+(IFERROR(INDEX(Setup!$G$33:$G$40,MATCH(G149,Setup!$B$33:$B$40,0)),0)=1)*(COUNTIF(G108:I125,$B149)+COUNTIF(G108:I125,$B149&amp;" ~*")&gt;0)+(IFERROR(INDEX(Setup!$G$33:$G$40,MATCH(K149,Setup!$B$33:$B$40,0)),0)=1)*(COUNTIF(K108:M125,$B149)+COUNTIF(K108:M125,$B149&amp;" ~*")&gt;0)+(IFERROR(INDEX(Setup!$G$33:$G$40,MATCH(O149,Setup!$B$33:$B$40,0)),0)=1)*(COUNTIF(O108:Q125,$B149)+COUNTIF(O108:Q125,$B149&amp;" ~*")&gt;0)+(IFERROR(INDEX(Setup!$G$33:$G$40,MATCH(S149,Setup!$B$33:$B$40,0)),0)=1)*(COUNTIF(S108:U125,$B149)+COUNTIF(S108:U125,$B149&amp;" ~*")&gt;0)+(IFERROR(INDEX(Setup!$G$33:$G$40,MATCH(W149,Setup!$B$33:$B$40,0)),0)=1)*(COUNTIF(W108:W125,$B149)+COUNTIF(W108:W125,$B149&amp;" ~*")&gt;0)+(IFERROR(INDEX(Setup!$G$33:$G$40,MATCH(Y149,Setup!$B$33:$B$40,0)),0)=1)*(COUNTIF(Y108:Y125,$B149)+COUNTIF(Y108:Y125,$B149&amp;" ~*")&gt;0))</f>
        <v/>
      </c>
    </row>
    <row r="150" ht="15" customHeight="1">
      <c r="A150" t="n">
        <v>3</v>
      </c>
      <c r="B150" s="37">
        <f>IF(Setup!$B$29="","",Setup!$B$29)</f>
        <v/>
      </c>
      <c r="C150" s="102" t="n"/>
      <c r="D150" s="103" t="n"/>
      <c r="E150" s="103" t="n"/>
      <c r="F150" s="104" t="n"/>
      <c r="G150" s="102" t="n"/>
      <c r="H150" s="103" t="n"/>
      <c r="I150" s="103" t="n"/>
      <c r="J150" s="104" t="n"/>
      <c r="K150" s="102" t="n"/>
      <c r="L150" s="103" t="n"/>
      <c r="M150" s="103" t="n"/>
      <c r="N150" s="104" t="n"/>
      <c r="O150" s="102" t="n"/>
      <c r="P150" s="103" t="n"/>
      <c r="Q150" s="103" t="n"/>
      <c r="R150" s="104" t="n"/>
      <c r="S150" s="102" t="n"/>
      <c r="T150" s="103" t="n"/>
      <c r="U150" s="103" t="n"/>
      <c r="V150" s="104" t="n"/>
      <c r="W150" s="102" t="n"/>
      <c r="X150" s="104" t="n"/>
      <c r="Y150" s="102" t="n"/>
      <c r="Z150" s="104" t="n"/>
      <c r="AB150" s="105">
        <f>IF($B150="","",(COUNTIF(C108:E125,$B150)+COUNTIF(C108:E125,$B150&amp;" ~*")&gt;0)+(COUNTIF(G108:I125,$B150)+COUNTIF(G108:I125,$B150&amp;" ~*")&gt;0)+(COUNTIF(K108:M125,$B150)+COUNTIF(K108:M125,$B150&amp;" ~*")&gt;0)+(COUNTIF(O108:Q125,$B150)+COUNTIF(O108:Q125,$B150&amp;" ~*")&gt;0)+(COUNTIF(S108:U125,$B150)+COUNTIF(S108:U125,$B150&amp;" ~*")&gt;0)+(COUNTIF(W108:W125,$B150)+COUNTIF(W108:W125,$B150&amp;" ~*")&gt;0)+(COUNTIF(Y108:Y125,$B150)+COUNTIF(Y108:Y125,$B150&amp;" ~*")&gt;0))</f>
        <v/>
      </c>
      <c r="AC150" s="38">
        <f>IF($B150="","",(IFERROR(INDEX(Setup!$G$33:$G$40,MATCH(C150,Setup!$B$33:$B$40,0)),0)=1)*(COUNTIF(C108:E125,$B150)+COUNTIF(C108:E125,$B150&amp;" ~*")&gt;0)+(IFERROR(INDEX(Setup!$G$33:$G$40,MATCH(G150,Setup!$B$33:$B$40,0)),0)=1)*(COUNTIF(G108:I125,$B150)+COUNTIF(G108:I125,$B150&amp;" ~*")&gt;0)+(IFERROR(INDEX(Setup!$G$33:$G$40,MATCH(K150,Setup!$B$33:$B$40,0)),0)=1)*(COUNTIF(K108:M125,$B150)+COUNTIF(K108:M125,$B150&amp;" ~*")&gt;0)+(IFERROR(INDEX(Setup!$G$33:$G$40,MATCH(O150,Setup!$B$33:$B$40,0)),0)=1)*(COUNTIF(O108:Q125,$B150)+COUNTIF(O108:Q125,$B150&amp;" ~*")&gt;0)+(IFERROR(INDEX(Setup!$G$33:$G$40,MATCH(S150,Setup!$B$33:$B$40,0)),0)=1)*(COUNTIF(S108:U125,$B150)+COUNTIF(S108:U125,$B150&amp;" ~*")&gt;0)+(IFERROR(INDEX(Setup!$G$33:$G$40,MATCH(W150,Setup!$B$33:$B$40,0)),0)=1)*(COUNTIF(W108:W125,$B150)+COUNTIF(W108:W125,$B150&amp;" ~*")&gt;0)+(IFERROR(INDEX(Setup!$G$33:$G$40,MATCH(Y150,Setup!$B$33:$B$40,0)),0)=1)*(COUNTIF(Y108:Y125,$B150)+COUNTIF(Y108:Y125,$B150&amp;" ~*")&gt;0))</f>
        <v/>
      </c>
    </row>
    <row r="151" ht="16" customHeight="1">
      <c r="A151" t="n">
        <v>3</v>
      </c>
      <c r="B151" s="106" t="inlineStr">
        <is>
          <t>Available people</t>
        </is>
      </c>
      <c r="C151" s="107">
        <f>COUNTIFS(Setup!$E$6:$E$29,"Y",Setup!$B$6:$B$29,"?*")-SUMPRODUCT(COUNTIF(C127:C150,Setup!$F$33:$F$40))</f>
        <v/>
      </c>
      <c r="D151" s="107" t="n"/>
      <c r="E151" s="107" t="n"/>
      <c r="F151" s="107" t="n"/>
      <c r="G151" s="107">
        <f>COUNTIFS(Setup!$E$6:$E$29,"Y",Setup!$B$6:$B$29,"?*")-SUMPRODUCT(COUNTIF(G127:G150,Setup!$F$33:$F$40))</f>
        <v/>
      </c>
      <c r="H151" s="107" t="n"/>
      <c r="I151" s="107" t="n"/>
      <c r="J151" s="107" t="n"/>
      <c r="K151" s="107">
        <f>COUNTIFS(Setup!$E$6:$E$29,"Y",Setup!$B$6:$B$29,"?*")-SUMPRODUCT(COUNTIF(K127:K150,Setup!$F$33:$F$40))</f>
        <v/>
      </c>
      <c r="L151" s="107" t="n"/>
      <c r="M151" s="107" t="n"/>
      <c r="N151" s="107" t="n"/>
      <c r="O151" s="107">
        <f>COUNTIFS(Setup!$E$6:$E$29,"Y",Setup!$B$6:$B$29,"?*")-SUMPRODUCT(COUNTIF(O127:O150,Setup!$F$33:$F$40))</f>
        <v/>
      </c>
      <c r="P151" s="107" t="n"/>
      <c r="Q151" s="107" t="n"/>
      <c r="R151" s="107" t="n"/>
      <c r="S151" s="107">
        <f>COUNTIFS(Setup!$E$6:$E$29,"Y",Setup!$B$6:$B$29,"?*")-SUMPRODUCT(COUNTIF(S127:S150,Setup!$F$33:$F$40))</f>
        <v/>
      </c>
      <c r="T151" s="107" t="n"/>
      <c r="U151" s="107" t="n"/>
      <c r="V151" s="107" t="n"/>
      <c r="W151" s="107">
        <f>COUNTIFS(Setup!$E$6:$E$29,"Y",Setup!$B$6:$B$29,"?*")-SUMPRODUCT(COUNTIF(W127:W150,Setup!$F$33:$F$40))</f>
        <v/>
      </c>
      <c r="X151" s="107" t="n"/>
      <c r="Y151" s="107">
        <f>COUNTIFS(Setup!$E$6:$E$29,"Y",Setup!$B$6:$B$29,"?*")-SUMPRODUCT(COUNTIF(Y127:Y150,Setup!$F$33:$F$40))</f>
        <v/>
      </c>
      <c r="Z151" s="107" t="n"/>
      <c r="AB151" s="108">
        <f>SUM(AB127:AB150)</f>
        <v/>
      </c>
      <c r="AC151" s="109">
        <f>SUM(AC127:AC150)</f>
        <v/>
      </c>
    </row>
    <row r="152" ht="30" customHeight="1">
      <c r="A152" t="n">
        <v>3</v>
      </c>
      <c r="B152" s="110" t="inlineStr">
        <is>
          <t>Week notes</t>
        </is>
      </c>
      <c r="C152" s="111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112" t="n"/>
      <c r="R152" s="112" t="n"/>
      <c r="S152" s="112" t="n"/>
      <c r="T152" s="112" t="n"/>
      <c r="U152" s="112" t="n"/>
      <c r="V152" s="112" t="n"/>
      <c r="W152" s="112" t="n"/>
      <c r="X152" s="112" t="n"/>
      <c r="Y152" s="112" t="n"/>
      <c r="Z152" s="113" t="n"/>
    </row>
    <row r="153" ht="8" customHeight="1">
      <c r="A153" t="n">
        <v>3</v>
      </c>
    </row>
    <row r="154" ht="8" customHeight="1">
      <c r="A154" t="n">
        <v>3</v>
      </c>
    </row>
    <row r="155" ht="24" customHeight="1">
      <c r="A155" t="n">
        <v>4</v>
      </c>
      <c r="B155" s="73">
        <f>"WEEK 4     "&amp;TEXT(C156,"ddd d mmm")&amp;"  –  "&amp;TEXT(C156+6,"ddd d mmm yyyy")</f>
        <v/>
      </c>
      <c r="S155" s="74">
        <f>IF(TODAY()&lt;C156,"FUTURE",IF(TODAY()&gt;C156+6,"PAST","THIS WEEK"))</f>
        <v/>
      </c>
      <c r="W155" s="75">
        <f>IF(AND(Engine!$B$8=$AC$3,Engine!$B$9=$A155),"◀ ACTIVE WEEK","")</f>
        <v/>
      </c>
      <c r="AA155" s="76" t="n"/>
      <c r="AB155" s="77" t="inlineStr">
        <is>
          <t>◀ Prev</t>
        </is>
      </c>
      <c r="AC155" s="77" t="inlineStr">
        <is>
          <t>Next ▶</t>
        </is>
      </c>
    </row>
    <row r="156" ht="18" customHeight="1">
      <c r="A156" t="n">
        <v>4</v>
      </c>
      <c r="B156" s="78" t="inlineStr">
        <is>
          <t>DUTY</t>
        </is>
      </c>
      <c r="C156" s="79">
        <f>$AC$2+7*($A156-1)</f>
        <v/>
      </c>
      <c r="D156" s="80" t="n"/>
      <c r="E156" s="80" t="n"/>
      <c r="F156" s="81" t="n"/>
      <c r="G156" s="79">
        <f>C156+1</f>
        <v/>
      </c>
      <c r="H156" s="80" t="n"/>
      <c r="I156" s="80" t="n"/>
      <c r="J156" s="81" t="n"/>
      <c r="K156" s="79">
        <f>C156+2</f>
        <v/>
      </c>
      <c r="L156" s="80" t="n"/>
      <c r="M156" s="80" t="n"/>
      <c r="N156" s="81" t="n"/>
      <c r="O156" s="79">
        <f>C156+3</f>
        <v/>
      </c>
      <c r="P156" s="80" t="n"/>
      <c r="Q156" s="80" t="n"/>
      <c r="R156" s="81" t="n"/>
      <c r="S156" s="79">
        <f>C156+4</f>
        <v/>
      </c>
      <c r="T156" s="80" t="n"/>
      <c r="U156" s="80" t="n"/>
      <c r="V156" s="81" t="n"/>
      <c r="W156" s="82">
        <f>C156+5</f>
        <v/>
      </c>
      <c r="X156" s="83" t="n"/>
      <c r="Y156" s="82">
        <f>C156+6</f>
        <v/>
      </c>
      <c r="Z156" s="83" t="n"/>
      <c r="AB156" s="72" t="inlineStr">
        <is>
          <t>Gaps</t>
        </is>
      </c>
      <c r="AC156" s="72" t="inlineStr">
        <is>
          <t>Cover</t>
        </is>
      </c>
    </row>
    <row r="157" ht="14" customHeight="1">
      <c r="A157" t="n">
        <v>4</v>
      </c>
      <c r="B157" s="84" t="inlineStr">
        <is>
          <t>(from Setup)</t>
        </is>
      </c>
      <c r="C157" s="85" t="inlineStr">
        <is>
          <t>1</t>
        </is>
      </c>
      <c r="D157" s="85" t="inlineStr">
        <is>
          <t>2</t>
        </is>
      </c>
      <c r="E157" s="85" t="inlineStr">
        <is>
          <t>3</t>
        </is>
      </c>
      <c r="F157" s="85" t="inlineStr">
        <is>
          <t>Notes</t>
        </is>
      </c>
      <c r="G157" s="85" t="inlineStr">
        <is>
          <t>1</t>
        </is>
      </c>
      <c r="H157" s="85" t="inlineStr">
        <is>
          <t>2</t>
        </is>
      </c>
      <c r="I157" s="85" t="inlineStr">
        <is>
          <t>3</t>
        </is>
      </c>
      <c r="J157" s="85" t="inlineStr">
        <is>
          <t>Notes</t>
        </is>
      </c>
      <c r="K157" s="85" t="inlineStr">
        <is>
          <t>1</t>
        </is>
      </c>
      <c r="L157" s="85" t="inlineStr">
        <is>
          <t>2</t>
        </is>
      </c>
      <c r="M157" s="85" t="inlineStr">
        <is>
          <t>3</t>
        </is>
      </c>
      <c r="N157" s="85" t="inlineStr">
        <is>
          <t>Notes</t>
        </is>
      </c>
      <c r="O157" s="85" t="inlineStr">
        <is>
          <t>1</t>
        </is>
      </c>
      <c r="P157" s="85" t="inlineStr">
        <is>
          <t>2</t>
        </is>
      </c>
      <c r="Q157" s="85" t="inlineStr">
        <is>
          <t>3</t>
        </is>
      </c>
      <c r="R157" s="85" t="inlineStr">
        <is>
          <t>Notes</t>
        </is>
      </c>
      <c r="S157" s="85" t="inlineStr">
        <is>
          <t>1</t>
        </is>
      </c>
      <c r="T157" s="85" t="inlineStr">
        <is>
          <t>2</t>
        </is>
      </c>
      <c r="U157" s="85" t="inlineStr">
        <is>
          <t>3</t>
        </is>
      </c>
      <c r="V157" s="85" t="inlineStr">
        <is>
          <t>Notes</t>
        </is>
      </c>
      <c r="W157" s="85" t="inlineStr">
        <is>
          <t>Cover</t>
        </is>
      </c>
      <c r="X157" s="85" t="inlineStr">
        <is>
          <t>Notes</t>
        </is>
      </c>
      <c r="Y157" s="85" t="inlineStr">
        <is>
          <t>Cover</t>
        </is>
      </c>
      <c r="Z157" s="85" t="inlineStr">
        <is>
          <t>Notes</t>
        </is>
      </c>
      <c r="AB157" s="86" t="inlineStr">
        <is>
          <t>weekdays short</t>
        </is>
      </c>
      <c r="AC157" s="87" t="inlineStr"/>
    </row>
    <row r="158" ht="17" customHeight="1">
      <c r="A158" t="n">
        <v>4</v>
      </c>
      <c r="B158" s="24">
        <f>IF(Setup!$K$6="","",Setup!$K$6)</f>
        <v/>
      </c>
      <c r="C158" s="88" t="n"/>
      <c r="D158" s="88" t="n"/>
      <c r="E158" s="88" t="n"/>
      <c r="F158" s="89" t="n"/>
      <c r="G158" s="88" t="n"/>
      <c r="H158" s="88" t="n"/>
      <c r="I158" s="88" t="n"/>
      <c r="J158" s="89" t="n"/>
      <c r="K158" s="88" t="n"/>
      <c r="L158" s="88" t="n"/>
      <c r="M158" s="88" t="n"/>
      <c r="N158" s="89" t="n"/>
      <c r="O158" s="88" t="n"/>
      <c r="P158" s="88" t="n"/>
      <c r="Q158" s="88" t="n"/>
      <c r="R158" s="89" t="n"/>
      <c r="S158" s="88" t="n"/>
      <c r="T158" s="88" t="n"/>
      <c r="U158" s="88" t="n"/>
      <c r="V158" s="89" t="n"/>
      <c r="W158" s="88" t="n"/>
      <c r="X158" s="89" t="n"/>
      <c r="Y158" s="88" t="n"/>
      <c r="Z158" s="89" t="n"/>
      <c r="AB158" s="25">
        <f>IF($B158="","",(COUNTIF(C158:E158,"?*")&lt;N(INDEX(Setup!$L$6:$L$23,1)))+(COUNTIF(G158:I158,"?*")&lt;N(INDEX(Setup!$L$6:$L$23,1)))+(COUNTIF(K158:M158,"?*")&lt;N(INDEX(Setup!$L$6:$L$23,1)))+(COUNTIF(O158:Q158,"?*")&lt;N(INDEX(Setup!$L$6:$L$23,1)))+(COUNTIF(S158:U158,"?*")&lt;N(INDEX(Setup!$L$6:$L$23,1)))+((W158="")*(INDEX(Setup!$M$6:$M$23,1)="Y"))+((Y158="")*(INDEX(Setup!$M$6:$M$23,1)="Y")))</f>
        <v/>
      </c>
      <c r="AC158" s="90">
        <f>IF($B158="","",IF(AB158=0,"✓ covered","⚠ "&amp;AB158&amp;IF(AB158=1," gap"," gaps")))</f>
        <v/>
      </c>
    </row>
    <row r="159" ht="17" customHeight="1">
      <c r="A159" t="n">
        <v>4</v>
      </c>
      <c r="B159" s="29">
        <f>IF(Setup!$K$7="","",Setup!$K$7)</f>
        <v/>
      </c>
      <c r="C159" s="88" t="n"/>
      <c r="D159" s="88" t="n"/>
      <c r="E159" s="88" t="n"/>
      <c r="F159" s="89" t="n"/>
      <c r="G159" s="88" t="n"/>
      <c r="H159" s="88" t="n"/>
      <c r="I159" s="88" t="n"/>
      <c r="J159" s="89" t="n"/>
      <c r="K159" s="88" t="n"/>
      <c r="L159" s="88" t="n"/>
      <c r="M159" s="88" t="n"/>
      <c r="N159" s="89" t="n"/>
      <c r="O159" s="88" t="n"/>
      <c r="P159" s="88" t="n"/>
      <c r="Q159" s="88" t="n"/>
      <c r="R159" s="89" t="n"/>
      <c r="S159" s="88" t="n"/>
      <c r="T159" s="88" t="n"/>
      <c r="U159" s="88" t="n"/>
      <c r="V159" s="89" t="n"/>
      <c r="W159" s="88" t="n"/>
      <c r="X159" s="89" t="n"/>
      <c r="Y159" s="88" t="n"/>
      <c r="Z159" s="89" t="n"/>
      <c r="AB159" s="30">
        <f>IF($B159="","",(COUNTIF(C159:E159,"?*")&lt;N(INDEX(Setup!$L$6:$L$23,2)))+(COUNTIF(G159:I159,"?*")&lt;N(INDEX(Setup!$L$6:$L$23,2)))+(COUNTIF(K159:M159,"?*")&lt;N(INDEX(Setup!$L$6:$L$23,2)))+(COUNTIF(O159:Q159,"?*")&lt;N(INDEX(Setup!$L$6:$L$23,2)))+(COUNTIF(S159:U159,"?*")&lt;N(INDEX(Setup!$L$6:$L$23,2)))+((W159="")*(INDEX(Setup!$M$6:$M$23,2)="Y"))+((Y159="")*(INDEX(Setup!$M$6:$M$23,2)="Y")))</f>
        <v/>
      </c>
      <c r="AC159" s="91">
        <f>IF($B159="","",IF(AB159=0,"✓ covered","⚠ "&amp;AB159&amp;IF(AB159=1," gap"," gaps")))</f>
        <v/>
      </c>
    </row>
    <row r="160" ht="17" customHeight="1">
      <c r="A160" t="n">
        <v>4</v>
      </c>
      <c r="B160" s="24">
        <f>IF(Setup!$K$8="","",Setup!$K$8)</f>
        <v/>
      </c>
      <c r="C160" s="88" t="n"/>
      <c r="D160" s="88" t="n"/>
      <c r="E160" s="88" t="n"/>
      <c r="F160" s="89" t="n"/>
      <c r="G160" s="88" t="n"/>
      <c r="H160" s="88" t="n"/>
      <c r="I160" s="88" t="n"/>
      <c r="J160" s="89" t="n"/>
      <c r="K160" s="88" t="n"/>
      <c r="L160" s="88" t="n"/>
      <c r="M160" s="88" t="n"/>
      <c r="N160" s="89" t="n"/>
      <c r="O160" s="88" t="n"/>
      <c r="P160" s="88" t="n"/>
      <c r="Q160" s="88" t="n"/>
      <c r="R160" s="89" t="n"/>
      <c r="S160" s="88" t="n"/>
      <c r="T160" s="88" t="n"/>
      <c r="U160" s="88" t="n"/>
      <c r="V160" s="89" t="n"/>
      <c r="W160" s="88" t="n"/>
      <c r="X160" s="89" t="n"/>
      <c r="Y160" s="88" t="n"/>
      <c r="Z160" s="89" t="n"/>
      <c r="AB160" s="25">
        <f>IF($B160="","",(COUNTIF(C160:E160,"?*")&lt;N(INDEX(Setup!$L$6:$L$23,3)))+(COUNTIF(G160:I160,"?*")&lt;N(INDEX(Setup!$L$6:$L$23,3)))+(COUNTIF(K160:M160,"?*")&lt;N(INDEX(Setup!$L$6:$L$23,3)))+(COUNTIF(O160:Q160,"?*")&lt;N(INDEX(Setup!$L$6:$L$23,3)))+(COUNTIF(S160:U160,"?*")&lt;N(INDEX(Setup!$L$6:$L$23,3)))+((W160="")*(INDEX(Setup!$M$6:$M$23,3)="Y"))+((Y160="")*(INDEX(Setup!$M$6:$M$23,3)="Y")))</f>
        <v/>
      </c>
      <c r="AC160" s="90">
        <f>IF($B160="","",IF(AB160=0,"✓ covered","⚠ "&amp;AB160&amp;IF(AB160=1," gap"," gaps")))</f>
        <v/>
      </c>
    </row>
    <row r="161" ht="17" customHeight="1">
      <c r="A161" t="n">
        <v>4</v>
      </c>
      <c r="B161" s="29">
        <f>IF(Setup!$K$9="","",Setup!$K$9)</f>
        <v/>
      </c>
      <c r="C161" s="88" t="n"/>
      <c r="D161" s="88" t="n"/>
      <c r="E161" s="88" t="n"/>
      <c r="F161" s="89" t="n"/>
      <c r="G161" s="88" t="n"/>
      <c r="H161" s="88" t="n"/>
      <c r="I161" s="88" t="n"/>
      <c r="J161" s="89" t="n"/>
      <c r="K161" s="88" t="n"/>
      <c r="L161" s="88" t="n"/>
      <c r="M161" s="88" t="n"/>
      <c r="N161" s="89" t="n"/>
      <c r="O161" s="88" t="n"/>
      <c r="P161" s="88" t="n"/>
      <c r="Q161" s="88" t="n"/>
      <c r="R161" s="89" t="n"/>
      <c r="S161" s="88" t="n"/>
      <c r="T161" s="88" t="n"/>
      <c r="U161" s="88" t="n"/>
      <c r="V161" s="89" t="n"/>
      <c r="W161" s="88" t="n"/>
      <c r="X161" s="89" t="n"/>
      <c r="Y161" s="88" t="n"/>
      <c r="Z161" s="89" t="n"/>
      <c r="AB161" s="30">
        <f>IF($B161="","",(COUNTIF(C161:E161,"?*")&lt;N(INDEX(Setup!$L$6:$L$23,4)))+(COUNTIF(G161:I161,"?*")&lt;N(INDEX(Setup!$L$6:$L$23,4)))+(COUNTIF(K161:M161,"?*")&lt;N(INDEX(Setup!$L$6:$L$23,4)))+(COUNTIF(O161:Q161,"?*")&lt;N(INDEX(Setup!$L$6:$L$23,4)))+(COUNTIF(S161:U161,"?*")&lt;N(INDEX(Setup!$L$6:$L$23,4)))+((W161="")*(INDEX(Setup!$M$6:$M$23,4)="Y"))+((Y161="")*(INDEX(Setup!$M$6:$M$23,4)="Y")))</f>
        <v/>
      </c>
      <c r="AC161" s="91">
        <f>IF($B161="","",IF(AB161=0,"✓ covered","⚠ "&amp;AB161&amp;IF(AB161=1," gap"," gaps")))</f>
        <v/>
      </c>
    </row>
    <row r="162" ht="17" customHeight="1">
      <c r="A162" t="n">
        <v>4</v>
      </c>
      <c r="B162" s="24">
        <f>IF(Setup!$K$10="","",Setup!$K$10)</f>
        <v/>
      </c>
      <c r="C162" s="88" t="n"/>
      <c r="D162" s="88" t="n"/>
      <c r="E162" s="88" t="n"/>
      <c r="F162" s="89" t="n"/>
      <c r="G162" s="88" t="n"/>
      <c r="H162" s="88" t="n"/>
      <c r="I162" s="88" t="n"/>
      <c r="J162" s="89" t="n"/>
      <c r="K162" s="88" t="n"/>
      <c r="L162" s="88" t="n"/>
      <c r="M162" s="88" t="n"/>
      <c r="N162" s="89" t="n"/>
      <c r="O162" s="88" t="n"/>
      <c r="P162" s="88" t="n"/>
      <c r="Q162" s="88" t="n"/>
      <c r="R162" s="89" t="n"/>
      <c r="S162" s="88" t="n"/>
      <c r="T162" s="88" t="n"/>
      <c r="U162" s="88" t="n"/>
      <c r="V162" s="89" t="n"/>
      <c r="W162" s="88" t="n"/>
      <c r="X162" s="89" t="n"/>
      <c r="Y162" s="88" t="n"/>
      <c r="Z162" s="89" t="n"/>
      <c r="AB162" s="25">
        <f>IF($B162="","",(COUNTIF(C162:E162,"?*")&lt;N(INDEX(Setup!$L$6:$L$23,5)))+(COUNTIF(G162:I162,"?*")&lt;N(INDEX(Setup!$L$6:$L$23,5)))+(COUNTIF(K162:M162,"?*")&lt;N(INDEX(Setup!$L$6:$L$23,5)))+(COUNTIF(O162:Q162,"?*")&lt;N(INDEX(Setup!$L$6:$L$23,5)))+(COUNTIF(S162:U162,"?*")&lt;N(INDEX(Setup!$L$6:$L$23,5)))+((W162="")*(INDEX(Setup!$M$6:$M$23,5)="Y"))+((Y162="")*(INDEX(Setup!$M$6:$M$23,5)="Y")))</f>
        <v/>
      </c>
      <c r="AC162" s="90">
        <f>IF($B162="","",IF(AB162=0,"✓ covered","⚠ "&amp;AB162&amp;IF(AB162=1," gap"," gaps")))</f>
        <v/>
      </c>
    </row>
    <row r="163" ht="17" customHeight="1">
      <c r="A163" t="n">
        <v>4</v>
      </c>
      <c r="B163" s="29">
        <f>IF(Setup!$K$11="","",Setup!$K$11)</f>
        <v/>
      </c>
      <c r="C163" s="88" t="n"/>
      <c r="D163" s="88" t="n"/>
      <c r="E163" s="88" t="n"/>
      <c r="F163" s="89" t="n"/>
      <c r="G163" s="88" t="n"/>
      <c r="H163" s="88" t="n"/>
      <c r="I163" s="88" t="n"/>
      <c r="J163" s="89" t="n"/>
      <c r="K163" s="88" t="n"/>
      <c r="L163" s="88" t="n"/>
      <c r="M163" s="88" t="n"/>
      <c r="N163" s="89" t="n"/>
      <c r="O163" s="88" t="n"/>
      <c r="P163" s="88" t="n"/>
      <c r="Q163" s="88" t="n"/>
      <c r="R163" s="89" t="n"/>
      <c r="S163" s="88" t="n"/>
      <c r="T163" s="88" t="n"/>
      <c r="U163" s="88" t="n"/>
      <c r="V163" s="89" t="n"/>
      <c r="W163" s="88" t="n"/>
      <c r="X163" s="89" t="n"/>
      <c r="Y163" s="88" t="n"/>
      <c r="Z163" s="89" t="n"/>
      <c r="AB163" s="30">
        <f>IF($B163="","",(COUNTIF(C163:E163,"?*")&lt;N(INDEX(Setup!$L$6:$L$23,6)))+(COUNTIF(G163:I163,"?*")&lt;N(INDEX(Setup!$L$6:$L$23,6)))+(COUNTIF(K163:M163,"?*")&lt;N(INDEX(Setup!$L$6:$L$23,6)))+(COUNTIF(O163:Q163,"?*")&lt;N(INDEX(Setup!$L$6:$L$23,6)))+(COUNTIF(S163:U163,"?*")&lt;N(INDEX(Setup!$L$6:$L$23,6)))+((W163="")*(INDEX(Setup!$M$6:$M$23,6)="Y"))+((Y163="")*(INDEX(Setup!$M$6:$M$23,6)="Y")))</f>
        <v/>
      </c>
      <c r="AC163" s="91">
        <f>IF($B163="","",IF(AB163=0,"✓ covered","⚠ "&amp;AB163&amp;IF(AB163=1," gap"," gaps")))</f>
        <v/>
      </c>
    </row>
    <row r="164" ht="17" customHeight="1">
      <c r="A164" t="n">
        <v>4</v>
      </c>
      <c r="B164" s="24">
        <f>IF(Setup!$K$12="","",Setup!$K$12)</f>
        <v/>
      </c>
      <c r="C164" s="88" t="n"/>
      <c r="D164" s="88" t="n"/>
      <c r="E164" s="88" t="n"/>
      <c r="F164" s="89" t="n"/>
      <c r="G164" s="88" t="n"/>
      <c r="H164" s="88" t="n"/>
      <c r="I164" s="88" t="n"/>
      <c r="J164" s="89" t="n"/>
      <c r="K164" s="88" t="n"/>
      <c r="L164" s="88" t="n"/>
      <c r="M164" s="88" t="n"/>
      <c r="N164" s="89" t="n"/>
      <c r="O164" s="88" t="n"/>
      <c r="P164" s="88" t="n"/>
      <c r="Q164" s="88" t="n"/>
      <c r="R164" s="89" t="n"/>
      <c r="S164" s="88" t="n"/>
      <c r="T164" s="88" t="n"/>
      <c r="U164" s="88" t="n"/>
      <c r="V164" s="89" t="n"/>
      <c r="W164" s="88" t="n"/>
      <c r="X164" s="89" t="n"/>
      <c r="Y164" s="88" t="n"/>
      <c r="Z164" s="89" t="n"/>
      <c r="AB164" s="25">
        <f>IF($B164="","",(COUNTIF(C164:E164,"?*")&lt;N(INDEX(Setup!$L$6:$L$23,7)))+(COUNTIF(G164:I164,"?*")&lt;N(INDEX(Setup!$L$6:$L$23,7)))+(COUNTIF(K164:M164,"?*")&lt;N(INDEX(Setup!$L$6:$L$23,7)))+(COUNTIF(O164:Q164,"?*")&lt;N(INDEX(Setup!$L$6:$L$23,7)))+(COUNTIF(S164:U164,"?*")&lt;N(INDEX(Setup!$L$6:$L$23,7)))+((W164="")*(INDEX(Setup!$M$6:$M$23,7)="Y"))+((Y164="")*(INDEX(Setup!$M$6:$M$23,7)="Y")))</f>
        <v/>
      </c>
      <c r="AC164" s="90">
        <f>IF($B164="","",IF(AB164=0,"✓ covered","⚠ "&amp;AB164&amp;IF(AB164=1," gap"," gaps")))</f>
        <v/>
      </c>
    </row>
    <row r="165" ht="17" customHeight="1">
      <c r="A165" t="n">
        <v>4</v>
      </c>
      <c r="B165" s="29">
        <f>IF(Setup!$K$13="","",Setup!$K$13)</f>
        <v/>
      </c>
      <c r="C165" s="88" t="n"/>
      <c r="D165" s="88" t="n"/>
      <c r="E165" s="88" t="n"/>
      <c r="F165" s="89" t="n"/>
      <c r="G165" s="88" t="n"/>
      <c r="H165" s="88" t="n"/>
      <c r="I165" s="88" t="n"/>
      <c r="J165" s="89" t="n"/>
      <c r="K165" s="88" t="n"/>
      <c r="L165" s="88" t="n"/>
      <c r="M165" s="88" t="n"/>
      <c r="N165" s="89" t="n"/>
      <c r="O165" s="88" t="n"/>
      <c r="P165" s="88" t="n"/>
      <c r="Q165" s="88" t="n"/>
      <c r="R165" s="89" t="n"/>
      <c r="S165" s="88" t="n"/>
      <c r="T165" s="88" t="n"/>
      <c r="U165" s="88" t="n"/>
      <c r="V165" s="89" t="n"/>
      <c r="W165" s="88" t="n"/>
      <c r="X165" s="89" t="n"/>
      <c r="Y165" s="88" t="n"/>
      <c r="Z165" s="89" t="n"/>
      <c r="AB165" s="30">
        <f>IF($B165="","",(COUNTIF(C165:E165,"?*")&lt;N(INDEX(Setup!$L$6:$L$23,8)))+(COUNTIF(G165:I165,"?*")&lt;N(INDEX(Setup!$L$6:$L$23,8)))+(COUNTIF(K165:M165,"?*")&lt;N(INDEX(Setup!$L$6:$L$23,8)))+(COUNTIF(O165:Q165,"?*")&lt;N(INDEX(Setup!$L$6:$L$23,8)))+(COUNTIF(S165:U165,"?*")&lt;N(INDEX(Setup!$L$6:$L$23,8)))+((W165="")*(INDEX(Setup!$M$6:$M$23,8)="Y"))+((Y165="")*(INDEX(Setup!$M$6:$M$23,8)="Y")))</f>
        <v/>
      </c>
      <c r="AC165" s="91">
        <f>IF($B165="","",IF(AB165=0,"✓ covered","⚠ "&amp;AB165&amp;IF(AB165=1," gap"," gaps")))</f>
        <v/>
      </c>
    </row>
    <row r="166" ht="17" customHeight="1">
      <c r="A166" t="n">
        <v>4</v>
      </c>
      <c r="B166" s="24">
        <f>IF(Setup!$K$14="","",Setup!$K$14)</f>
        <v/>
      </c>
      <c r="C166" s="88" t="n"/>
      <c r="D166" s="88" t="n"/>
      <c r="E166" s="88" t="n"/>
      <c r="F166" s="89" t="n"/>
      <c r="G166" s="88" t="n"/>
      <c r="H166" s="88" t="n"/>
      <c r="I166" s="88" t="n"/>
      <c r="J166" s="89" t="n"/>
      <c r="K166" s="88" t="n"/>
      <c r="L166" s="88" t="n"/>
      <c r="M166" s="88" t="n"/>
      <c r="N166" s="89" t="n"/>
      <c r="O166" s="88" t="n"/>
      <c r="P166" s="88" t="n"/>
      <c r="Q166" s="88" t="n"/>
      <c r="R166" s="89" t="n"/>
      <c r="S166" s="88" t="n"/>
      <c r="T166" s="88" t="n"/>
      <c r="U166" s="88" t="n"/>
      <c r="V166" s="89" t="n"/>
      <c r="W166" s="88" t="n"/>
      <c r="X166" s="89" t="n"/>
      <c r="Y166" s="88" t="n"/>
      <c r="Z166" s="89" t="n"/>
      <c r="AB166" s="25">
        <f>IF($B166="","",(COUNTIF(C166:E166,"?*")&lt;N(INDEX(Setup!$L$6:$L$23,9)))+(COUNTIF(G166:I166,"?*")&lt;N(INDEX(Setup!$L$6:$L$23,9)))+(COUNTIF(K166:M166,"?*")&lt;N(INDEX(Setup!$L$6:$L$23,9)))+(COUNTIF(O166:Q166,"?*")&lt;N(INDEX(Setup!$L$6:$L$23,9)))+(COUNTIF(S166:U166,"?*")&lt;N(INDEX(Setup!$L$6:$L$23,9)))+((W166="")*(INDEX(Setup!$M$6:$M$23,9)="Y"))+((Y166="")*(INDEX(Setup!$M$6:$M$23,9)="Y")))</f>
        <v/>
      </c>
      <c r="AC166" s="90">
        <f>IF($B166="","",IF(AB166=0,"✓ covered","⚠ "&amp;AB166&amp;IF(AB166=1," gap"," gaps")))</f>
        <v/>
      </c>
    </row>
    <row r="167" ht="17" customHeight="1">
      <c r="A167" t="n">
        <v>4</v>
      </c>
      <c r="B167" s="29">
        <f>IF(Setup!$K$15="","",Setup!$K$15)</f>
        <v/>
      </c>
      <c r="C167" s="88" t="n"/>
      <c r="D167" s="88" t="n"/>
      <c r="E167" s="88" t="n"/>
      <c r="F167" s="89" t="n"/>
      <c r="G167" s="88" t="n"/>
      <c r="H167" s="88" t="n"/>
      <c r="I167" s="88" t="n"/>
      <c r="J167" s="89" t="n"/>
      <c r="K167" s="88" t="n"/>
      <c r="L167" s="88" t="n"/>
      <c r="M167" s="88" t="n"/>
      <c r="N167" s="89" t="n"/>
      <c r="O167" s="88" t="n"/>
      <c r="P167" s="88" t="n"/>
      <c r="Q167" s="88" t="n"/>
      <c r="R167" s="89" t="n"/>
      <c r="S167" s="88" t="n"/>
      <c r="T167" s="88" t="n"/>
      <c r="U167" s="88" t="n"/>
      <c r="V167" s="89" t="n"/>
      <c r="W167" s="88" t="n"/>
      <c r="X167" s="89" t="n"/>
      <c r="Y167" s="88" t="n"/>
      <c r="Z167" s="89" t="n"/>
      <c r="AB167" s="30">
        <f>IF($B167="","",(COUNTIF(C167:E167,"?*")&lt;N(INDEX(Setup!$L$6:$L$23,10)))+(COUNTIF(G167:I167,"?*")&lt;N(INDEX(Setup!$L$6:$L$23,10)))+(COUNTIF(K167:M167,"?*")&lt;N(INDEX(Setup!$L$6:$L$23,10)))+(COUNTIF(O167:Q167,"?*")&lt;N(INDEX(Setup!$L$6:$L$23,10)))+(COUNTIF(S167:U167,"?*")&lt;N(INDEX(Setup!$L$6:$L$23,10)))+((W167="")*(INDEX(Setup!$M$6:$M$23,10)="Y"))+((Y167="")*(INDEX(Setup!$M$6:$M$23,10)="Y")))</f>
        <v/>
      </c>
      <c r="AC167" s="91">
        <f>IF($B167="","",IF(AB167=0,"✓ covered","⚠ "&amp;AB167&amp;IF(AB167=1," gap"," gaps")))</f>
        <v/>
      </c>
    </row>
    <row r="168" ht="17" customHeight="1">
      <c r="A168" t="n">
        <v>4</v>
      </c>
      <c r="B168" s="24">
        <f>IF(Setup!$K$16="","",Setup!$K$16)</f>
        <v/>
      </c>
      <c r="C168" s="88" t="n"/>
      <c r="D168" s="88" t="n"/>
      <c r="E168" s="88" t="n"/>
      <c r="F168" s="89" t="n"/>
      <c r="G168" s="88" t="n"/>
      <c r="H168" s="88" t="n"/>
      <c r="I168" s="88" t="n"/>
      <c r="J168" s="89" t="n"/>
      <c r="K168" s="88" t="n"/>
      <c r="L168" s="88" t="n"/>
      <c r="M168" s="88" t="n"/>
      <c r="N168" s="89" t="n"/>
      <c r="O168" s="88" t="n"/>
      <c r="P168" s="88" t="n"/>
      <c r="Q168" s="88" t="n"/>
      <c r="R168" s="89" t="n"/>
      <c r="S168" s="88" t="n"/>
      <c r="T168" s="88" t="n"/>
      <c r="U168" s="88" t="n"/>
      <c r="V168" s="89" t="n"/>
      <c r="W168" s="88" t="n"/>
      <c r="X168" s="89" t="n"/>
      <c r="Y168" s="88" t="n"/>
      <c r="Z168" s="89" t="n"/>
      <c r="AB168" s="25">
        <f>IF($B168="","",(COUNTIF(C168:E168,"?*")&lt;N(INDEX(Setup!$L$6:$L$23,11)))+(COUNTIF(G168:I168,"?*")&lt;N(INDEX(Setup!$L$6:$L$23,11)))+(COUNTIF(K168:M168,"?*")&lt;N(INDEX(Setup!$L$6:$L$23,11)))+(COUNTIF(O168:Q168,"?*")&lt;N(INDEX(Setup!$L$6:$L$23,11)))+(COUNTIF(S168:U168,"?*")&lt;N(INDEX(Setup!$L$6:$L$23,11)))+((W168="")*(INDEX(Setup!$M$6:$M$23,11)="Y"))+((Y168="")*(INDEX(Setup!$M$6:$M$23,11)="Y")))</f>
        <v/>
      </c>
      <c r="AC168" s="90">
        <f>IF($B168="","",IF(AB168=0,"✓ covered","⚠ "&amp;AB168&amp;IF(AB168=1," gap"," gaps")))</f>
        <v/>
      </c>
    </row>
    <row r="169" ht="17" customHeight="1">
      <c r="A169" t="n">
        <v>4</v>
      </c>
      <c r="B169" s="29">
        <f>IF(Setup!$K$17="","",Setup!$K$17)</f>
        <v/>
      </c>
      <c r="C169" s="88" t="n"/>
      <c r="D169" s="88" t="n"/>
      <c r="E169" s="88" t="n"/>
      <c r="F169" s="89" t="n"/>
      <c r="G169" s="88" t="n"/>
      <c r="H169" s="88" t="n"/>
      <c r="I169" s="88" t="n"/>
      <c r="J169" s="89" t="n"/>
      <c r="K169" s="88" t="n"/>
      <c r="L169" s="88" t="n"/>
      <c r="M169" s="88" t="n"/>
      <c r="N169" s="89" t="n"/>
      <c r="O169" s="88" t="n"/>
      <c r="P169" s="88" t="n"/>
      <c r="Q169" s="88" t="n"/>
      <c r="R169" s="89" t="n"/>
      <c r="S169" s="88" t="n"/>
      <c r="T169" s="88" t="n"/>
      <c r="U169" s="88" t="n"/>
      <c r="V169" s="89" t="n"/>
      <c r="W169" s="88" t="n"/>
      <c r="X169" s="89" t="n"/>
      <c r="Y169" s="88" t="n"/>
      <c r="Z169" s="89" t="n"/>
      <c r="AB169" s="30">
        <f>IF($B169="","",(COUNTIF(C169:E169,"?*")&lt;N(INDEX(Setup!$L$6:$L$23,12)))+(COUNTIF(G169:I169,"?*")&lt;N(INDEX(Setup!$L$6:$L$23,12)))+(COUNTIF(K169:M169,"?*")&lt;N(INDEX(Setup!$L$6:$L$23,12)))+(COUNTIF(O169:Q169,"?*")&lt;N(INDEX(Setup!$L$6:$L$23,12)))+(COUNTIF(S169:U169,"?*")&lt;N(INDEX(Setup!$L$6:$L$23,12)))+((W169="")*(INDEX(Setup!$M$6:$M$23,12)="Y"))+((Y169="")*(INDEX(Setup!$M$6:$M$23,12)="Y")))</f>
        <v/>
      </c>
      <c r="AC169" s="91">
        <f>IF($B169="","",IF(AB169=0,"✓ covered","⚠ "&amp;AB169&amp;IF(AB169=1," gap"," gaps")))</f>
        <v/>
      </c>
    </row>
    <row r="170" ht="17" customHeight="1">
      <c r="A170" t="n">
        <v>4</v>
      </c>
      <c r="B170" s="24">
        <f>IF(Setup!$K$18="","",Setup!$K$18)</f>
        <v/>
      </c>
      <c r="C170" s="88" t="n"/>
      <c r="D170" s="88" t="n"/>
      <c r="E170" s="88" t="n"/>
      <c r="F170" s="89" t="n"/>
      <c r="G170" s="88" t="n"/>
      <c r="H170" s="88" t="n"/>
      <c r="I170" s="88" t="n"/>
      <c r="J170" s="89" t="n"/>
      <c r="K170" s="88" t="n"/>
      <c r="L170" s="88" t="n"/>
      <c r="M170" s="88" t="n"/>
      <c r="N170" s="89" t="n"/>
      <c r="O170" s="88" t="n"/>
      <c r="P170" s="88" t="n"/>
      <c r="Q170" s="88" t="n"/>
      <c r="R170" s="89" t="n"/>
      <c r="S170" s="88" t="n"/>
      <c r="T170" s="88" t="n"/>
      <c r="U170" s="88" t="n"/>
      <c r="V170" s="89" t="n"/>
      <c r="W170" s="88" t="n"/>
      <c r="X170" s="89" t="n"/>
      <c r="Y170" s="88" t="n"/>
      <c r="Z170" s="89" t="n"/>
      <c r="AB170" s="25">
        <f>IF($B170="","",(COUNTIF(C170:E170,"?*")&lt;N(INDEX(Setup!$L$6:$L$23,13)))+(COUNTIF(G170:I170,"?*")&lt;N(INDEX(Setup!$L$6:$L$23,13)))+(COUNTIF(K170:M170,"?*")&lt;N(INDEX(Setup!$L$6:$L$23,13)))+(COUNTIF(O170:Q170,"?*")&lt;N(INDEX(Setup!$L$6:$L$23,13)))+(COUNTIF(S170:U170,"?*")&lt;N(INDEX(Setup!$L$6:$L$23,13)))+((W170="")*(INDEX(Setup!$M$6:$M$23,13)="Y"))+((Y170="")*(INDEX(Setup!$M$6:$M$23,13)="Y")))</f>
        <v/>
      </c>
      <c r="AC170" s="90">
        <f>IF($B170="","",IF(AB170=0,"✓ covered","⚠ "&amp;AB170&amp;IF(AB170=1," gap"," gaps")))</f>
        <v/>
      </c>
    </row>
    <row r="171" ht="17" customHeight="1">
      <c r="A171" t="n">
        <v>4</v>
      </c>
      <c r="B171" s="29">
        <f>IF(Setup!$K$19="","",Setup!$K$19)</f>
        <v/>
      </c>
      <c r="C171" s="88" t="n"/>
      <c r="D171" s="88" t="n"/>
      <c r="E171" s="88" t="n"/>
      <c r="F171" s="89" t="n"/>
      <c r="G171" s="88" t="n"/>
      <c r="H171" s="88" t="n"/>
      <c r="I171" s="88" t="n"/>
      <c r="J171" s="89" t="n"/>
      <c r="K171" s="88" t="n"/>
      <c r="L171" s="88" t="n"/>
      <c r="M171" s="88" t="n"/>
      <c r="N171" s="89" t="n"/>
      <c r="O171" s="88" t="n"/>
      <c r="P171" s="88" t="n"/>
      <c r="Q171" s="88" t="n"/>
      <c r="R171" s="89" t="n"/>
      <c r="S171" s="88" t="n"/>
      <c r="T171" s="88" t="n"/>
      <c r="U171" s="88" t="n"/>
      <c r="V171" s="89" t="n"/>
      <c r="W171" s="88" t="n"/>
      <c r="X171" s="89" t="n"/>
      <c r="Y171" s="88" t="n"/>
      <c r="Z171" s="89" t="n"/>
      <c r="AB171" s="30">
        <f>IF($B171="","",(COUNTIF(C171:E171,"?*")&lt;N(INDEX(Setup!$L$6:$L$23,14)))+(COUNTIF(G171:I171,"?*")&lt;N(INDEX(Setup!$L$6:$L$23,14)))+(COUNTIF(K171:M171,"?*")&lt;N(INDEX(Setup!$L$6:$L$23,14)))+(COUNTIF(O171:Q171,"?*")&lt;N(INDEX(Setup!$L$6:$L$23,14)))+(COUNTIF(S171:U171,"?*")&lt;N(INDEX(Setup!$L$6:$L$23,14)))+((W171="")*(INDEX(Setup!$M$6:$M$23,14)="Y"))+((Y171="")*(INDEX(Setup!$M$6:$M$23,14)="Y")))</f>
        <v/>
      </c>
      <c r="AC171" s="91">
        <f>IF($B171="","",IF(AB171=0,"✓ covered","⚠ "&amp;AB171&amp;IF(AB171=1," gap"," gaps")))</f>
        <v/>
      </c>
    </row>
    <row r="172" ht="17" customHeight="1">
      <c r="A172" t="n">
        <v>4</v>
      </c>
      <c r="B172" s="24">
        <f>IF(Setup!$K$20="","",Setup!$K$20)</f>
        <v/>
      </c>
      <c r="C172" s="88" t="n"/>
      <c r="D172" s="88" t="n"/>
      <c r="E172" s="88" t="n"/>
      <c r="F172" s="89" t="n"/>
      <c r="G172" s="88" t="n"/>
      <c r="H172" s="88" t="n"/>
      <c r="I172" s="88" t="n"/>
      <c r="J172" s="89" t="n"/>
      <c r="K172" s="88" t="n"/>
      <c r="L172" s="88" t="n"/>
      <c r="M172" s="88" t="n"/>
      <c r="N172" s="89" t="n"/>
      <c r="O172" s="88" t="n"/>
      <c r="P172" s="88" t="n"/>
      <c r="Q172" s="88" t="n"/>
      <c r="R172" s="89" t="n"/>
      <c r="S172" s="88" t="n"/>
      <c r="T172" s="88" t="n"/>
      <c r="U172" s="88" t="n"/>
      <c r="V172" s="89" t="n"/>
      <c r="W172" s="88" t="n"/>
      <c r="X172" s="89" t="n"/>
      <c r="Y172" s="88" t="n"/>
      <c r="Z172" s="89" t="n"/>
      <c r="AB172" s="25">
        <f>IF($B172="","",(COUNTIF(C172:E172,"?*")&lt;N(INDEX(Setup!$L$6:$L$23,15)))+(COUNTIF(G172:I172,"?*")&lt;N(INDEX(Setup!$L$6:$L$23,15)))+(COUNTIF(K172:M172,"?*")&lt;N(INDEX(Setup!$L$6:$L$23,15)))+(COUNTIF(O172:Q172,"?*")&lt;N(INDEX(Setup!$L$6:$L$23,15)))+(COUNTIF(S172:U172,"?*")&lt;N(INDEX(Setup!$L$6:$L$23,15)))+((W172="")*(INDEX(Setup!$M$6:$M$23,15)="Y"))+((Y172="")*(INDEX(Setup!$M$6:$M$23,15)="Y")))</f>
        <v/>
      </c>
      <c r="AC172" s="90">
        <f>IF($B172="","",IF(AB172=0,"✓ covered","⚠ "&amp;AB172&amp;IF(AB172=1," gap"," gaps")))</f>
        <v/>
      </c>
    </row>
    <row r="173" ht="17" customHeight="1">
      <c r="A173" t="n">
        <v>4</v>
      </c>
      <c r="B173" s="29">
        <f>IF(Setup!$K$21="","",Setup!$K$21)</f>
        <v/>
      </c>
      <c r="C173" s="88" t="n"/>
      <c r="D173" s="88" t="n"/>
      <c r="E173" s="88" t="n"/>
      <c r="F173" s="89" t="n"/>
      <c r="G173" s="88" t="n"/>
      <c r="H173" s="88" t="n"/>
      <c r="I173" s="88" t="n"/>
      <c r="J173" s="89" t="n"/>
      <c r="K173" s="88" t="n"/>
      <c r="L173" s="88" t="n"/>
      <c r="M173" s="88" t="n"/>
      <c r="N173" s="89" t="n"/>
      <c r="O173" s="88" t="n"/>
      <c r="P173" s="88" t="n"/>
      <c r="Q173" s="88" t="n"/>
      <c r="R173" s="89" t="n"/>
      <c r="S173" s="88" t="n"/>
      <c r="T173" s="88" t="n"/>
      <c r="U173" s="88" t="n"/>
      <c r="V173" s="89" t="n"/>
      <c r="W173" s="88" t="n"/>
      <c r="X173" s="89" t="n"/>
      <c r="Y173" s="88" t="n"/>
      <c r="Z173" s="89" t="n"/>
      <c r="AB173" s="30">
        <f>IF($B173="","",(COUNTIF(C173:E173,"?*")&lt;N(INDEX(Setup!$L$6:$L$23,16)))+(COUNTIF(G173:I173,"?*")&lt;N(INDEX(Setup!$L$6:$L$23,16)))+(COUNTIF(K173:M173,"?*")&lt;N(INDEX(Setup!$L$6:$L$23,16)))+(COUNTIF(O173:Q173,"?*")&lt;N(INDEX(Setup!$L$6:$L$23,16)))+(COUNTIF(S173:U173,"?*")&lt;N(INDEX(Setup!$L$6:$L$23,16)))+((W173="")*(INDEX(Setup!$M$6:$M$23,16)="Y"))+((Y173="")*(INDEX(Setup!$M$6:$M$23,16)="Y")))</f>
        <v/>
      </c>
      <c r="AC173" s="91">
        <f>IF($B173="","",IF(AB173=0,"✓ covered","⚠ "&amp;AB173&amp;IF(AB173=1," gap"," gaps")))</f>
        <v/>
      </c>
    </row>
    <row r="174" ht="17" customHeight="1">
      <c r="A174" t="n">
        <v>4</v>
      </c>
      <c r="B174" s="24">
        <f>IF(Setup!$K$22="","",Setup!$K$22)</f>
        <v/>
      </c>
      <c r="C174" s="88" t="n"/>
      <c r="D174" s="88" t="n"/>
      <c r="E174" s="88" t="n"/>
      <c r="F174" s="89" t="n"/>
      <c r="G174" s="88" t="n"/>
      <c r="H174" s="88" t="n"/>
      <c r="I174" s="88" t="n"/>
      <c r="J174" s="89" t="n"/>
      <c r="K174" s="88" t="n"/>
      <c r="L174" s="88" t="n"/>
      <c r="M174" s="88" t="n"/>
      <c r="N174" s="89" t="n"/>
      <c r="O174" s="88" t="n"/>
      <c r="P174" s="88" t="n"/>
      <c r="Q174" s="88" t="n"/>
      <c r="R174" s="89" t="n"/>
      <c r="S174" s="88" t="n"/>
      <c r="T174" s="88" t="n"/>
      <c r="U174" s="88" t="n"/>
      <c r="V174" s="89" t="n"/>
      <c r="W174" s="88" t="n"/>
      <c r="X174" s="89" t="n"/>
      <c r="Y174" s="88" t="n"/>
      <c r="Z174" s="89" t="n"/>
      <c r="AB174" s="25">
        <f>IF($B174="","",(COUNTIF(C174:E174,"?*")&lt;N(INDEX(Setup!$L$6:$L$23,17)))+(COUNTIF(G174:I174,"?*")&lt;N(INDEX(Setup!$L$6:$L$23,17)))+(COUNTIF(K174:M174,"?*")&lt;N(INDEX(Setup!$L$6:$L$23,17)))+(COUNTIF(O174:Q174,"?*")&lt;N(INDEX(Setup!$L$6:$L$23,17)))+(COUNTIF(S174:U174,"?*")&lt;N(INDEX(Setup!$L$6:$L$23,17)))+((W174="")*(INDEX(Setup!$M$6:$M$23,17)="Y"))+((Y174="")*(INDEX(Setup!$M$6:$M$23,17)="Y")))</f>
        <v/>
      </c>
      <c r="AC174" s="90">
        <f>IF($B174="","",IF(AB174=0,"✓ covered","⚠ "&amp;AB174&amp;IF(AB174=1," gap"," gaps")))</f>
        <v/>
      </c>
    </row>
    <row r="175" ht="17" customHeight="1">
      <c r="A175" t="n">
        <v>4</v>
      </c>
      <c r="B175" s="29">
        <f>IF(Setup!$K$23="","",Setup!$K$23)</f>
        <v/>
      </c>
      <c r="C175" s="88" t="n"/>
      <c r="D175" s="88" t="n"/>
      <c r="E175" s="88" t="n"/>
      <c r="F175" s="89" t="n"/>
      <c r="G175" s="88" t="n"/>
      <c r="H175" s="88" t="n"/>
      <c r="I175" s="88" t="n"/>
      <c r="J175" s="89" t="n"/>
      <c r="K175" s="88" t="n"/>
      <c r="L175" s="88" t="n"/>
      <c r="M175" s="88" t="n"/>
      <c r="N175" s="89" t="n"/>
      <c r="O175" s="88" t="n"/>
      <c r="P175" s="88" t="n"/>
      <c r="Q175" s="88" t="n"/>
      <c r="R175" s="89" t="n"/>
      <c r="S175" s="88" t="n"/>
      <c r="T175" s="88" t="n"/>
      <c r="U175" s="88" t="n"/>
      <c r="V175" s="89" t="n"/>
      <c r="W175" s="88" t="n"/>
      <c r="X175" s="89" t="n"/>
      <c r="Y175" s="88" t="n"/>
      <c r="Z175" s="89" t="n"/>
      <c r="AB175" s="30">
        <f>IF($B175="","",(COUNTIF(C175:E175,"?*")&lt;N(INDEX(Setup!$L$6:$L$23,18)))+(COUNTIF(G175:I175,"?*")&lt;N(INDEX(Setup!$L$6:$L$23,18)))+(COUNTIF(K175:M175,"?*")&lt;N(INDEX(Setup!$L$6:$L$23,18)))+(COUNTIF(O175:Q175,"?*")&lt;N(INDEX(Setup!$L$6:$L$23,18)))+(COUNTIF(S175:U175,"?*")&lt;N(INDEX(Setup!$L$6:$L$23,18)))+((W175="")*(INDEX(Setup!$M$6:$M$23,18)="Y"))+((Y175="")*(INDEX(Setup!$M$6:$M$23,18)="Y")))</f>
        <v/>
      </c>
      <c r="AC175" s="91">
        <f>IF($B175="","",IF(AB175=0,"✓ covered","⚠ "&amp;AB175&amp;IF(AB175=1," gap"," gaps")))</f>
        <v/>
      </c>
    </row>
    <row r="176" ht="18" customHeight="1">
      <c r="A176" t="n">
        <v>4</v>
      </c>
      <c r="B176" s="78" t="inlineStr">
        <is>
          <t>TEAM AVAILABILITY</t>
        </is>
      </c>
      <c r="C176" s="92" t="inlineStr">
        <is>
          <t>Mon</t>
        </is>
      </c>
      <c r="D176" s="93" t="n"/>
      <c r="E176" s="93" t="n"/>
      <c r="F176" s="94" t="n"/>
      <c r="G176" s="92" t="inlineStr">
        <is>
          <t>Tue</t>
        </is>
      </c>
      <c r="H176" s="93" t="n"/>
      <c r="I176" s="93" t="n"/>
      <c r="J176" s="94" t="n"/>
      <c r="K176" s="92" t="inlineStr">
        <is>
          <t>Wed</t>
        </is>
      </c>
      <c r="L176" s="93" t="n"/>
      <c r="M176" s="93" t="n"/>
      <c r="N176" s="94" t="n"/>
      <c r="O176" s="92" t="inlineStr">
        <is>
          <t>Thu</t>
        </is>
      </c>
      <c r="P176" s="93" t="n"/>
      <c r="Q176" s="93" t="n"/>
      <c r="R176" s="94" t="n"/>
      <c r="S176" s="92" t="inlineStr">
        <is>
          <t>Fri</t>
        </is>
      </c>
      <c r="T176" s="93" t="n"/>
      <c r="U176" s="93" t="n"/>
      <c r="V176" s="94" t="n"/>
      <c r="W176" s="95" t="inlineStr">
        <is>
          <t>Sat</t>
        </is>
      </c>
      <c r="X176" s="96" t="n"/>
      <c r="Y176" s="95" t="inlineStr">
        <is>
          <t>Sun</t>
        </is>
      </c>
      <c r="Z176" s="96" t="n"/>
      <c r="AB176" s="97" t="inlineStr">
        <is>
          <t>Days rostered</t>
        </is>
      </c>
      <c r="AC176" s="97" t="inlineStr">
        <is>
          <t>Conflicts</t>
        </is>
      </c>
    </row>
    <row r="177" ht="15" customHeight="1">
      <c r="A177" t="n">
        <v>4</v>
      </c>
      <c r="B177" s="35">
        <f>IF(Setup!$B$6="","",Setup!$B$6)</f>
        <v/>
      </c>
      <c r="C177" s="98" t="n"/>
      <c r="D177" s="99" t="n"/>
      <c r="E177" s="99" t="n"/>
      <c r="F177" s="100" t="n"/>
      <c r="G177" s="98" t="n"/>
      <c r="H177" s="99" t="n"/>
      <c r="I177" s="99" t="n"/>
      <c r="J177" s="100" t="n"/>
      <c r="K177" s="98" t="n"/>
      <c r="L177" s="99" t="n"/>
      <c r="M177" s="99" t="n"/>
      <c r="N177" s="100" t="n"/>
      <c r="O177" s="98" t="n"/>
      <c r="P177" s="99" t="n"/>
      <c r="Q177" s="99" t="n"/>
      <c r="R177" s="100" t="n"/>
      <c r="S177" s="98" t="n"/>
      <c r="T177" s="99" t="n"/>
      <c r="U177" s="99" t="n"/>
      <c r="V177" s="100" t="n"/>
      <c r="W177" s="98" t="n"/>
      <c r="X177" s="100" t="n"/>
      <c r="Y177" s="98" t="n"/>
      <c r="Z177" s="100" t="n"/>
      <c r="AB177" s="101">
        <f>IF($B177="","",(COUNTIF(C158:E175,$B177)+COUNTIF(C158:E175,$B177&amp;" ~*")&gt;0)+(COUNTIF(G158:I175,$B177)+COUNTIF(G158:I175,$B177&amp;" ~*")&gt;0)+(COUNTIF(K158:M175,$B177)+COUNTIF(K158:M175,$B177&amp;" ~*")&gt;0)+(COUNTIF(O158:Q175,$B177)+COUNTIF(O158:Q175,$B177&amp;" ~*")&gt;0)+(COUNTIF(S158:U175,$B177)+COUNTIF(S158:U175,$B177&amp;" ~*")&gt;0)+(COUNTIF(W158:W175,$B177)+COUNTIF(W158:W175,$B177&amp;" ~*")&gt;0)+(COUNTIF(Y158:Y175,$B177)+COUNTIF(Y158:Y175,$B177&amp;" ~*")&gt;0))</f>
        <v/>
      </c>
      <c r="AC177" s="36">
        <f>IF($B177="","",(IFERROR(INDEX(Setup!$G$33:$G$40,MATCH(C177,Setup!$B$33:$B$40,0)),0)=1)*(COUNTIF(C158:E175,$B177)+COUNTIF(C158:E175,$B177&amp;" ~*")&gt;0)+(IFERROR(INDEX(Setup!$G$33:$G$40,MATCH(G177,Setup!$B$33:$B$40,0)),0)=1)*(COUNTIF(G158:I175,$B177)+COUNTIF(G158:I175,$B177&amp;" ~*")&gt;0)+(IFERROR(INDEX(Setup!$G$33:$G$40,MATCH(K177,Setup!$B$33:$B$40,0)),0)=1)*(COUNTIF(K158:M175,$B177)+COUNTIF(K158:M175,$B177&amp;" ~*")&gt;0)+(IFERROR(INDEX(Setup!$G$33:$G$40,MATCH(O177,Setup!$B$33:$B$40,0)),0)=1)*(COUNTIF(O158:Q175,$B177)+COUNTIF(O158:Q175,$B177&amp;" ~*")&gt;0)+(IFERROR(INDEX(Setup!$G$33:$G$40,MATCH(S177,Setup!$B$33:$B$40,0)),0)=1)*(COUNTIF(S158:U175,$B177)+COUNTIF(S158:U175,$B177&amp;" ~*")&gt;0)+(IFERROR(INDEX(Setup!$G$33:$G$40,MATCH(W177,Setup!$B$33:$B$40,0)),0)=1)*(COUNTIF(W158:W175,$B177)+COUNTIF(W158:W175,$B177&amp;" ~*")&gt;0)+(IFERROR(INDEX(Setup!$G$33:$G$40,MATCH(Y177,Setup!$B$33:$B$40,0)),0)=1)*(COUNTIF(Y158:Y175,$B177)+COUNTIF(Y158:Y175,$B177&amp;" ~*")&gt;0))</f>
        <v/>
      </c>
    </row>
    <row r="178" ht="15" customHeight="1">
      <c r="A178" t="n">
        <v>4</v>
      </c>
      <c r="B178" s="37">
        <f>IF(Setup!$B$7="","",Setup!$B$7)</f>
        <v/>
      </c>
      <c r="C178" s="102" t="n"/>
      <c r="D178" s="103" t="n"/>
      <c r="E178" s="103" t="n"/>
      <c r="F178" s="104" t="n"/>
      <c r="G178" s="102" t="n"/>
      <c r="H178" s="103" t="n"/>
      <c r="I178" s="103" t="n"/>
      <c r="J178" s="104" t="n"/>
      <c r="K178" s="102" t="n"/>
      <c r="L178" s="103" t="n"/>
      <c r="M178" s="103" t="n"/>
      <c r="N178" s="104" t="n"/>
      <c r="O178" s="102" t="n"/>
      <c r="P178" s="103" t="n"/>
      <c r="Q178" s="103" t="n"/>
      <c r="R178" s="104" t="n"/>
      <c r="S178" s="102" t="n"/>
      <c r="T178" s="103" t="n"/>
      <c r="U178" s="103" t="n"/>
      <c r="V178" s="104" t="n"/>
      <c r="W178" s="102" t="n"/>
      <c r="X178" s="104" t="n"/>
      <c r="Y178" s="102" t="n"/>
      <c r="Z178" s="104" t="n"/>
      <c r="AB178" s="105">
        <f>IF($B178="","",(COUNTIF(C158:E175,$B178)+COUNTIF(C158:E175,$B178&amp;" ~*")&gt;0)+(COUNTIF(G158:I175,$B178)+COUNTIF(G158:I175,$B178&amp;" ~*")&gt;0)+(COUNTIF(K158:M175,$B178)+COUNTIF(K158:M175,$B178&amp;" ~*")&gt;0)+(COUNTIF(O158:Q175,$B178)+COUNTIF(O158:Q175,$B178&amp;" ~*")&gt;0)+(COUNTIF(S158:U175,$B178)+COUNTIF(S158:U175,$B178&amp;" ~*")&gt;0)+(COUNTIF(W158:W175,$B178)+COUNTIF(W158:W175,$B178&amp;" ~*")&gt;0)+(COUNTIF(Y158:Y175,$B178)+COUNTIF(Y158:Y175,$B178&amp;" ~*")&gt;0))</f>
        <v/>
      </c>
      <c r="AC178" s="38">
        <f>IF($B178="","",(IFERROR(INDEX(Setup!$G$33:$G$40,MATCH(C178,Setup!$B$33:$B$40,0)),0)=1)*(COUNTIF(C158:E175,$B178)+COUNTIF(C158:E175,$B178&amp;" ~*")&gt;0)+(IFERROR(INDEX(Setup!$G$33:$G$40,MATCH(G178,Setup!$B$33:$B$40,0)),0)=1)*(COUNTIF(G158:I175,$B178)+COUNTIF(G158:I175,$B178&amp;" ~*")&gt;0)+(IFERROR(INDEX(Setup!$G$33:$G$40,MATCH(K178,Setup!$B$33:$B$40,0)),0)=1)*(COUNTIF(K158:M175,$B178)+COUNTIF(K158:M175,$B178&amp;" ~*")&gt;0)+(IFERROR(INDEX(Setup!$G$33:$G$40,MATCH(O178,Setup!$B$33:$B$40,0)),0)=1)*(COUNTIF(O158:Q175,$B178)+COUNTIF(O158:Q175,$B178&amp;" ~*")&gt;0)+(IFERROR(INDEX(Setup!$G$33:$G$40,MATCH(S178,Setup!$B$33:$B$40,0)),0)=1)*(COUNTIF(S158:U175,$B178)+COUNTIF(S158:U175,$B178&amp;" ~*")&gt;0)+(IFERROR(INDEX(Setup!$G$33:$G$40,MATCH(W178,Setup!$B$33:$B$40,0)),0)=1)*(COUNTIF(W158:W175,$B178)+COUNTIF(W158:W175,$B178&amp;" ~*")&gt;0)+(IFERROR(INDEX(Setup!$G$33:$G$40,MATCH(Y178,Setup!$B$33:$B$40,0)),0)=1)*(COUNTIF(Y158:Y175,$B178)+COUNTIF(Y158:Y175,$B178&amp;" ~*")&gt;0))</f>
        <v/>
      </c>
    </row>
    <row r="179" ht="15" customHeight="1">
      <c r="A179" t="n">
        <v>4</v>
      </c>
      <c r="B179" s="35">
        <f>IF(Setup!$B$8="","",Setup!$B$8)</f>
        <v/>
      </c>
      <c r="C179" s="98" t="n"/>
      <c r="D179" s="99" t="n"/>
      <c r="E179" s="99" t="n"/>
      <c r="F179" s="100" t="n"/>
      <c r="G179" s="98" t="n"/>
      <c r="H179" s="99" t="n"/>
      <c r="I179" s="99" t="n"/>
      <c r="J179" s="100" t="n"/>
      <c r="K179" s="98" t="n"/>
      <c r="L179" s="99" t="n"/>
      <c r="M179" s="99" t="n"/>
      <c r="N179" s="100" t="n"/>
      <c r="O179" s="98" t="n"/>
      <c r="P179" s="99" t="n"/>
      <c r="Q179" s="99" t="n"/>
      <c r="R179" s="100" t="n"/>
      <c r="S179" s="98" t="n"/>
      <c r="T179" s="99" t="n"/>
      <c r="U179" s="99" t="n"/>
      <c r="V179" s="100" t="n"/>
      <c r="W179" s="98" t="n"/>
      <c r="X179" s="100" t="n"/>
      <c r="Y179" s="98" t="n"/>
      <c r="Z179" s="100" t="n"/>
      <c r="AB179" s="101">
        <f>IF($B179="","",(COUNTIF(C158:E175,$B179)+COUNTIF(C158:E175,$B179&amp;" ~*")&gt;0)+(COUNTIF(G158:I175,$B179)+COUNTIF(G158:I175,$B179&amp;" ~*")&gt;0)+(COUNTIF(K158:M175,$B179)+COUNTIF(K158:M175,$B179&amp;" ~*")&gt;0)+(COUNTIF(O158:Q175,$B179)+COUNTIF(O158:Q175,$B179&amp;" ~*")&gt;0)+(COUNTIF(S158:U175,$B179)+COUNTIF(S158:U175,$B179&amp;" ~*")&gt;0)+(COUNTIF(W158:W175,$B179)+COUNTIF(W158:W175,$B179&amp;" ~*")&gt;0)+(COUNTIF(Y158:Y175,$B179)+COUNTIF(Y158:Y175,$B179&amp;" ~*")&gt;0))</f>
        <v/>
      </c>
      <c r="AC179" s="36">
        <f>IF($B179="","",(IFERROR(INDEX(Setup!$G$33:$G$40,MATCH(C179,Setup!$B$33:$B$40,0)),0)=1)*(COUNTIF(C158:E175,$B179)+COUNTIF(C158:E175,$B179&amp;" ~*")&gt;0)+(IFERROR(INDEX(Setup!$G$33:$G$40,MATCH(G179,Setup!$B$33:$B$40,0)),0)=1)*(COUNTIF(G158:I175,$B179)+COUNTIF(G158:I175,$B179&amp;" ~*")&gt;0)+(IFERROR(INDEX(Setup!$G$33:$G$40,MATCH(K179,Setup!$B$33:$B$40,0)),0)=1)*(COUNTIF(K158:M175,$B179)+COUNTIF(K158:M175,$B179&amp;" ~*")&gt;0)+(IFERROR(INDEX(Setup!$G$33:$G$40,MATCH(O179,Setup!$B$33:$B$40,0)),0)=1)*(COUNTIF(O158:Q175,$B179)+COUNTIF(O158:Q175,$B179&amp;" ~*")&gt;0)+(IFERROR(INDEX(Setup!$G$33:$G$40,MATCH(S179,Setup!$B$33:$B$40,0)),0)=1)*(COUNTIF(S158:U175,$B179)+COUNTIF(S158:U175,$B179&amp;" ~*")&gt;0)+(IFERROR(INDEX(Setup!$G$33:$G$40,MATCH(W179,Setup!$B$33:$B$40,0)),0)=1)*(COUNTIF(W158:W175,$B179)+COUNTIF(W158:W175,$B179&amp;" ~*")&gt;0)+(IFERROR(INDEX(Setup!$G$33:$G$40,MATCH(Y179,Setup!$B$33:$B$40,0)),0)=1)*(COUNTIF(Y158:Y175,$B179)+COUNTIF(Y158:Y175,$B179&amp;" ~*")&gt;0))</f>
        <v/>
      </c>
    </row>
    <row r="180" ht="15" customHeight="1">
      <c r="A180" t="n">
        <v>4</v>
      </c>
      <c r="B180" s="37">
        <f>IF(Setup!$B$9="","",Setup!$B$9)</f>
        <v/>
      </c>
      <c r="C180" s="102" t="n"/>
      <c r="D180" s="103" t="n"/>
      <c r="E180" s="103" t="n"/>
      <c r="F180" s="104" t="n"/>
      <c r="G180" s="102" t="n"/>
      <c r="H180" s="103" t="n"/>
      <c r="I180" s="103" t="n"/>
      <c r="J180" s="104" t="n"/>
      <c r="K180" s="102" t="n"/>
      <c r="L180" s="103" t="n"/>
      <c r="M180" s="103" t="n"/>
      <c r="N180" s="104" t="n"/>
      <c r="O180" s="102" t="n"/>
      <c r="P180" s="103" t="n"/>
      <c r="Q180" s="103" t="n"/>
      <c r="R180" s="104" t="n"/>
      <c r="S180" s="102" t="n"/>
      <c r="T180" s="103" t="n"/>
      <c r="U180" s="103" t="n"/>
      <c r="V180" s="104" t="n"/>
      <c r="W180" s="102" t="n"/>
      <c r="X180" s="104" t="n"/>
      <c r="Y180" s="102" t="n"/>
      <c r="Z180" s="104" t="n"/>
      <c r="AB180" s="105">
        <f>IF($B180="","",(COUNTIF(C158:E175,$B180)+COUNTIF(C158:E175,$B180&amp;" ~*")&gt;0)+(COUNTIF(G158:I175,$B180)+COUNTIF(G158:I175,$B180&amp;" ~*")&gt;0)+(COUNTIF(K158:M175,$B180)+COUNTIF(K158:M175,$B180&amp;" ~*")&gt;0)+(COUNTIF(O158:Q175,$B180)+COUNTIF(O158:Q175,$B180&amp;" ~*")&gt;0)+(COUNTIF(S158:U175,$B180)+COUNTIF(S158:U175,$B180&amp;" ~*")&gt;0)+(COUNTIF(W158:W175,$B180)+COUNTIF(W158:W175,$B180&amp;" ~*")&gt;0)+(COUNTIF(Y158:Y175,$B180)+COUNTIF(Y158:Y175,$B180&amp;" ~*")&gt;0))</f>
        <v/>
      </c>
      <c r="AC180" s="38">
        <f>IF($B180="","",(IFERROR(INDEX(Setup!$G$33:$G$40,MATCH(C180,Setup!$B$33:$B$40,0)),0)=1)*(COUNTIF(C158:E175,$B180)+COUNTIF(C158:E175,$B180&amp;" ~*")&gt;0)+(IFERROR(INDEX(Setup!$G$33:$G$40,MATCH(G180,Setup!$B$33:$B$40,0)),0)=1)*(COUNTIF(G158:I175,$B180)+COUNTIF(G158:I175,$B180&amp;" ~*")&gt;0)+(IFERROR(INDEX(Setup!$G$33:$G$40,MATCH(K180,Setup!$B$33:$B$40,0)),0)=1)*(COUNTIF(K158:M175,$B180)+COUNTIF(K158:M175,$B180&amp;" ~*")&gt;0)+(IFERROR(INDEX(Setup!$G$33:$G$40,MATCH(O180,Setup!$B$33:$B$40,0)),0)=1)*(COUNTIF(O158:Q175,$B180)+COUNTIF(O158:Q175,$B180&amp;" ~*")&gt;0)+(IFERROR(INDEX(Setup!$G$33:$G$40,MATCH(S180,Setup!$B$33:$B$40,0)),0)=1)*(COUNTIF(S158:U175,$B180)+COUNTIF(S158:U175,$B180&amp;" ~*")&gt;0)+(IFERROR(INDEX(Setup!$G$33:$G$40,MATCH(W180,Setup!$B$33:$B$40,0)),0)=1)*(COUNTIF(W158:W175,$B180)+COUNTIF(W158:W175,$B180&amp;" ~*")&gt;0)+(IFERROR(INDEX(Setup!$G$33:$G$40,MATCH(Y180,Setup!$B$33:$B$40,0)),0)=1)*(COUNTIF(Y158:Y175,$B180)+COUNTIF(Y158:Y175,$B180&amp;" ~*")&gt;0))</f>
        <v/>
      </c>
    </row>
    <row r="181" ht="15" customHeight="1">
      <c r="A181" t="n">
        <v>4</v>
      </c>
      <c r="B181" s="35">
        <f>IF(Setup!$B$10="","",Setup!$B$10)</f>
        <v/>
      </c>
      <c r="C181" s="98" t="n"/>
      <c r="D181" s="99" t="n"/>
      <c r="E181" s="99" t="n"/>
      <c r="F181" s="100" t="n"/>
      <c r="G181" s="98" t="n"/>
      <c r="H181" s="99" t="n"/>
      <c r="I181" s="99" t="n"/>
      <c r="J181" s="100" t="n"/>
      <c r="K181" s="98" t="n"/>
      <c r="L181" s="99" t="n"/>
      <c r="M181" s="99" t="n"/>
      <c r="N181" s="100" t="n"/>
      <c r="O181" s="98" t="n"/>
      <c r="P181" s="99" t="n"/>
      <c r="Q181" s="99" t="n"/>
      <c r="R181" s="100" t="n"/>
      <c r="S181" s="98" t="n"/>
      <c r="T181" s="99" t="n"/>
      <c r="U181" s="99" t="n"/>
      <c r="V181" s="100" t="n"/>
      <c r="W181" s="98" t="n"/>
      <c r="X181" s="100" t="n"/>
      <c r="Y181" s="98" t="n"/>
      <c r="Z181" s="100" t="n"/>
      <c r="AB181" s="101">
        <f>IF($B181="","",(COUNTIF(C158:E175,$B181)+COUNTIF(C158:E175,$B181&amp;" ~*")&gt;0)+(COUNTIF(G158:I175,$B181)+COUNTIF(G158:I175,$B181&amp;" ~*")&gt;0)+(COUNTIF(K158:M175,$B181)+COUNTIF(K158:M175,$B181&amp;" ~*")&gt;0)+(COUNTIF(O158:Q175,$B181)+COUNTIF(O158:Q175,$B181&amp;" ~*")&gt;0)+(COUNTIF(S158:U175,$B181)+COUNTIF(S158:U175,$B181&amp;" ~*")&gt;0)+(COUNTIF(W158:W175,$B181)+COUNTIF(W158:W175,$B181&amp;" ~*")&gt;0)+(COUNTIF(Y158:Y175,$B181)+COUNTIF(Y158:Y175,$B181&amp;" ~*")&gt;0))</f>
        <v/>
      </c>
      <c r="AC181" s="36">
        <f>IF($B181="","",(IFERROR(INDEX(Setup!$G$33:$G$40,MATCH(C181,Setup!$B$33:$B$40,0)),0)=1)*(COUNTIF(C158:E175,$B181)+COUNTIF(C158:E175,$B181&amp;" ~*")&gt;0)+(IFERROR(INDEX(Setup!$G$33:$G$40,MATCH(G181,Setup!$B$33:$B$40,0)),0)=1)*(COUNTIF(G158:I175,$B181)+COUNTIF(G158:I175,$B181&amp;" ~*")&gt;0)+(IFERROR(INDEX(Setup!$G$33:$G$40,MATCH(K181,Setup!$B$33:$B$40,0)),0)=1)*(COUNTIF(K158:M175,$B181)+COUNTIF(K158:M175,$B181&amp;" ~*")&gt;0)+(IFERROR(INDEX(Setup!$G$33:$G$40,MATCH(O181,Setup!$B$33:$B$40,0)),0)=1)*(COUNTIF(O158:Q175,$B181)+COUNTIF(O158:Q175,$B181&amp;" ~*")&gt;0)+(IFERROR(INDEX(Setup!$G$33:$G$40,MATCH(S181,Setup!$B$33:$B$40,0)),0)=1)*(COUNTIF(S158:U175,$B181)+COUNTIF(S158:U175,$B181&amp;" ~*")&gt;0)+(IFERROR(INDEX(Setup!$G$33:$G$40,MATCH(W181,Setup!$B$33:$B$40,0)),0)=1)*(COUNTIF(W158:W175,$B181)+COUNTIF(W158:W175,$B181&amp;" ~*")&gt;0)+(IFERROR(INDEX(Setup!$G$33:$G$40,MATCH(Y181,Setup!$B$33:$B$40,0)),0)=1)*(COUNTIF(Y158:Y175,$B181)+COUNTIF(Y158:Y175,$B181&amp;" ~*")&gt;0))</f>
        <v/>
      </c>
    </row>
    <row r="182" ht="15" customHeight="1">
      <c r="A182" t="n">
        <v>4</v>
      </c>
      <c r="B182" s="37">
        <f>IF(Setup!$B$11="","",Setup!$B$11)</f>
        <v/>
      </c>
      <c r="C182" s="102" t="n"/>
      <c r="D182" s="103" t="n"/>
      <c r="E182" s="103" t="n"/>
      <c r="F182" s="104" t="n"/>
      <c r="G182" s="102" t="n"/>
      <c r="H182" s="103" t="n"/>
      <c r="I182" s="103" t="n"/>
      <c r="J182" s="104" t="n"/>
      <c r="K182" s="102" t="n"/>
      <c r="L182" s="103" t="n"/>
      <c r="M182" s="103" t="n"/>
      <c r="N182" s="104" t="n"/>
      <c r="O182" s="102" t="n"/>
      <c r="P182" s="103" t="n"/>
      <c r="Q182" s="103" t="n"/>
      <c r="R182" s="104" t="n"/>
      <c r="S182" s="102" t="n"/>
      <c r="T182" s="103" t="n"/>
      <c r="U182" s="103" t="n"/>
      <c r="V182" s="104" t="n"/>
      <c r="W182" s="102" t="n"/>
      <c r="X182" s="104" t="n"/>
      <c r="Y182" s="102" t="n"/>
      <c r="Z182" s="104" t="n"/>
      <c r="AB182" s="105">
        <f>IF($B182="","",(COUNTIF(C158:E175,$B182)+COUNTIF(C158:E175,$B182&amp;" ~*")&gt;0)+(COUNTIF(G158:I175,$B182)+COUNTIF(G158:I175,$B182&amp;" ~*")&gt;0)+(COUNTIF(K158:M175,$B182)+COUNTIF(K158:M175,$B182&amp;" ~*")&gt;0)+(COUNTIF(O158:Q175,$B182)+COUNTIF(O158:Q175,$B182&amp;" ~*")&gt;0)+(COUNTIF(S158:U175,$B182)+COUNTIF(S158:U175,$B182&amp;" ~*")&gt;0)+(COUNTIF(W158:W175,$B182)+COUNTIF(W158:W175,$B182&amp;" ~*")&gt;0)+(COUNTIF(Y158:Y175,$B182)+COUNTIF(Y158:Y175,$B182&amp;" ~*")&gt;0))</f>
        <v/>
      </c>
      <c r="AC182" s="38">
        <f>IF($B182="","",(IFERROR(INDEX(Setup!$G$33:$G$40,MATCH(C182,Setup!$B$33:$B$40,0)),0)=1)*(COUNTIF(C158:E175,$B182)+COUNTIF(C158:E175,$B182&amp;" ~*")&gt;0)+(IFERROR(INDEX(Setup!$G$33:$G$40,MATCH(G182,Setup!$B$33:$B$40,0)),0)=1)*(COUNTIF(G158:I175,$B182)+COUNTIF(G158:I175,$B182&amp;" ~*")&gt;0)+(IFERROR(INDEX(Setup!$G$33:$G$40,MATCH(K182,Setup!$B$33:$B$40,0)),0)=1)*(COUNTIF(K158:M175,$B182)+COUNTIF(K158:M175,$B182&amp;" ~*")&gt;0)+(IFERROR(INDEX(Setup!$G$33:$G$40,MATCH(O182,Setup!$B$33:$B$40,0)),0)=1)*(COUNTIF(O158:Q175,$B182)+COUNTIF(O158:Q175,$B182&amp;" ~*")&gt;0)+(IFERROR(INDEX(Setup!$G$33:$G$40,MATCH(S182,Setup!$B$33:$B$40,0)),0)=1)*(COUNTIF(S158:U175,$B182)+COUNTIF(S158:U175,$B182&amp;" ~*")&gt;0)+(IFERROR(INDEX(Setup!$G$33:$G$40,MATCH(W182,Setup!$B$33:$B$40,0)),0)=1)*(COUNTIF(W158:W175,$B182)+COUNTIF(W158:W175,$B182&amp;" ~*")&gt;0)+(IFERROR(INDEX(Setup!$G$33:$G$40,MATCH(Y182,Setup!$B$33:$B$40,0)),0)=1)*(COUNTIF(Y158:Y175,$B182)+COUNTIF(Y158:Y175,$B182&amp;" ~*")&gt;0))</f>
        <v/>
      </c>
    </row>
    <row r="183" ht="15" customHeight="1">
      <c r="A183" t="n">
        <v>4</v>
      </c>
      <c r="B183" s="35">
        <f>IF(Setup!$B$12="","",Setup!$B$12)</f>
        <v/>
      </c>
      <c r="C183" s="98" t="n"/>
      <c r="D183" s="99" t="n"/>
      <c r="E183" s="99" t="n"/>
      <c r="F183" s="100" t="n"/>
      <c r="G183" s="98" t="n"/>
      <c r="H183" s="99" t="n"/>
      <c r="I183" s="99" t="n"/>
      <c r="J183" s="100" t="n"/>
      <c r="K183" s="98" t="n"/>
      <c r="L183" s="99" t="n"/>
      <c r="M183" s="99" t="n"/>
      <c r="N183" s="100" t="n"/>
      <c r="O183" s="98" t="n"/>
      <c r="P183" s="99" t="n"/>
      <c r="Q183" s="99" t="n"/>
      <c r="R183" s="100" t="n"/>
      <c r="S183" s="98" t="n"/>
      <c r="T183" s="99" t="n"/>
      <c r="U183" s="99" t="n"/>
      <c r="V183" s="100" t="n"/>
      <c r="W183" s="98" t="n"/>
      <c r="X183" s="100" t="n"/>
      <c r="Y183" s="98" t="n"/>
      <c r="Z183" s="100" t="n"/>
      <c r="AB183" s="101">
        <f>IF($B183="","",(COUNTIF(C158:E175,$B183)+COUNTIF(C158:E175,$B183&amp;" ~*")&gt;0)+(COUNTIF(G158:I175,$B183)+COUNTIF(G158:I175,$B183&amp;" ~*")&gt;0)+(COUNTIF(K158:M175,$B183)+COUNTIF(K158:M175,$B183&amp;" ~*")&gt;0)+(COUNTIF(O158:Q175,$B183)+COUNTIF(O158:Q175,$B183&amp;" ~*")&gt;0)+(COUNTIF(S158:U175,$B183)+COUNTIF(S158:U175,$B183&amp;" ~*")&gt;0)+(COUNTIF(W158:W175,$B183)+COUNTIF(W158:W175,$B183&amp;" ~*")&gt;0)+(COUNTIF(Y158:Y175,$B183)+COUNTIF(Y158:Y175,$B183&amp;" ~*")&gt;0))</f>
        <v/>
      </c>
      <c r="AC183" s="36">
        <f>IF($B183="","",(IFERROR(INDEX(Setup!$G$33:$G$40,MATCH(C183,Setup!$B$33:$B$40,0)),0)=1)*(COUNTIF(C158:E175,$B183)+COUNTIF(C158:E175,$B183&amp;" ~*")&gt;0)+(IFERROR(INDEX(Setup!$G$33:$G$40,MATCH(G183,Setup!$B$33:$B$40,0)),0)=1)*(COUNTIF(G158:I175,$B183)+COUNTIF(G158:I175,$B183&amp;" ~*")&gt;0)+(IFERROR(INDEX(Setup!$G$33:$G$40,MATCH(K183,Setup!$B$33:$B$40,0)),0)=1)*(COUNTIF(K158:M175,$B183)+COUNTIF(K158:M175,$B183&amp;" ~*")&gt;0)+(IFERROR(INDEX(Setup!$G$33:$G$40,MATCH(O183,Setup!$B$33:$B$40,0)),0)=1)*(COUNTIF(O158:Q175,$B183)+COUNTIF(O158:Q175,$B183&amp;" ~*")&gt;0)+(IFERROR(INDEX(Setup!$G$33:$G$40,MATCH(S183,Setup!$B$33:$B$40,0)),0)=1)*(COUNTIF(S158:U175,$B183)+COUNTIF(S158:U175,$B183&amp;" ~*")&gt;0)+(IFERROR(INDEX(Setup!$G$33:$G$40,MATCH(W183,Setup!$B$33:$B$40,0)),0)=1)*(COUNTIF(W158:W175,$B183)+COUNTIF(W158:W175,$B183&amp;" ~*")&gt;0)+(IFERROR(INDEX(Setup!$G$33:$G$40,MATCH(Y183,Setup!$B$33:$B$40,0)),0)=1)*(COUNTIF(Y158:Y175,$B183)+COUNTIF(Y158:Y175,$B183&amp;" ~*")&gt;0))</f>
        <v/>
      </c>
    </row>
    <row r="184" ht="15" customHeight="1">
      <c r="A184" t="n">
        <v>4</v>
      </c>
      <c r="B184" s="37">
        <f>IF(Setup!$B$13="","",Setup!$B$13)</f>
        <v/>
      </c>
      <c r="C184" s="102" t="n"/>
      <c r="D184" s="103" t="n"/>
      <c r="E184" s="103" t="n"/>
      <c r="F184" s="104" t="n"/>
      <c r="G184" s="102" t="n"/>
      <c r="H184" s="103" t="n"/>
      <c r="I184" s="103" t="n"/>
      <c r="J184" s="104" t="n"/>
      <c r="K184" s="102" t="n"/>
      <c r="L184" s="103" t="n"/>
      <c r="M184" s="103" t="n"/>
      <c r="N184" s="104" t="n"/>
      <c r="O184" s="102" t="n"/>
      <c r="P184" s="103" t="n"/>
      <c r="Q184" s="103" t="n"/>
      <c r="R184" s="104" t="n"/>
      <c r="S184" s="102" t="n"/>
      <c r="T184" s="103" t="n"/>
      <c r="U184" s="103" t="n"/>
      <c r="V184" s="104" t="n"/>
      <c r="W184" s="102" t="n"/>
      <c r="X184" s="104" t="n"/>
      <c r="Y184" s="102" t="n"/>
      <c r="Z184" s="104" t="n"/>
      <c r="AB184" s="105">
        <f>IF($B184="","",(COUNTIF(C158:E175,$B184)+COUNTIF(C158:E175,$B184&amp;" ~*")&gt;0)+(COUNTIF(G158:I175,$B184)+COUNTIF(G158:I175,$B184&amp;" ~*")&gt;0)+(COUNTIF(K158:M175,$B184)+COUNTIF(K158:M175,$B184&amp;" ~*")&gt;0)+(COUNTIF(O158:Q175,$B184)+COUNTIF(O158:Q175,$B184&amp;" ~*")&gt;0)+(COUNTIF(S158:U175,$B184)+COUNTIF(S158:U175,$B184&amp;" ~*")&gt;0)+(COUNTIF(W158:W175,$B184)+COUNTIF(W158:W175,$B184&amp;" ~*")&gt;0)+(COUNTIF(Y158:Y175,$B184)+COUNTIF(Y158:Y175,$B184&amp;" ~*")&gt;0))</f>
        <v/>
      </c>
      <c r="AC184" s="38">
        <f>IF($B184="","",(IFERROR(INDEX(Setup!$G$33:$G$40,MATCH(C184,Setup!$B$33:$B$40,0)),0)=1)*(COUNTIF(C158:E175,$B184)+COUNTIF(C158:E175,$B184&amp;" ~*")&gt;0)+(IFERROR(INDEX(Setup!$G$33:$G$40,MATCH(G184,Setup!$B$33:$B$40,0)),0)=1)*(COUNTIF(G158:I175,$B184)+COUNTIF(G158:I175,$B184&amp;" ~*")&gt;0)+(IFERROR(INDEX(Setup!$G$33:$G$40,MATCH(K184,Setup!$B$33:$B$40,0)),0)=1)*(COUNTIF(K158:M175,$B184)+COUNTIF(K158:M175,$B184&amp;" ~*")&gt;0)+(IFERROR(INDEX(Setup!$G$33:$G$40,MATCH(O184,Setup!$B$33:$B$40,0)),0)=1)*(COUNTIF(O158:Q175,$B184)+COUNTIF(O158:Q175,$B184&amp;" ~*")&gt;0)+(IFERROR(INDEX(Setup!$G$33:$G$40,MATCH(S184,Setup!$B$33:$B$40,0)),0)=1)*(COUNTIF(S158:U175,$B184)+COUNTIF(S158:U175,$B184&amp;" ~*")&gt;0)+(IFERROR(INDEX(Setup!$G$33:$G$40,MATCH(W184,Setup!$B$33:$B$40,0)),0)=1)*(COUNTIF(W158:W175,$B184)+COUNTIF(W158:W175,$B184&amp;" ~*")&gt;0)+(IFERROR(INDEX(Setup!$G$33:$G$40,MATCH(Y184,Setup!$B$33:$B$40,0)),0)=1)*(COUNTIF(Y158:Y175,$B184)+COUNTIF(Y158:Y175,$B184&amp;" ~*")&gt;0))</f>
        <v/>
      </c>
    </row>
    <row r="185" ht="15" customHeight="1">
      <c r="A185" t="n">
        <v>4</v>
      </c>
      <c r="B185" s="35">
        <f>IF(Setup!$B$14="","",Setup!$B$14)</f>
        <v/>
      </c>
      <c r="C185" s="98" t="n"/>
      <c r="D185" s="99" t="n"/>
      <c r="E185" s="99" t="n"/>
      <c r="F185" s="100" t="n"/>
      <c r="G185" s="98" t="n"/>
      <c r="H185" s="99" t="n"/>
      <c r="I185" s="99" t="n"/>
      <c r="J185" s="100" t="n"/>
      <c r="K185" s="98" t="n"/>
      <c r="L185" s="99" t="n"/>
      <c r="M185" s="99" t="n"/>
      <c r="N185" s="100" t="n"/>
      <c r="O185" s="98" t="n"/>
      <c r="P185" s="99" t="n"/>
      <c r="Q185" s="99" t="n"/>
      <c r="R185" s="100" t="n"/>
      <c r="S185" s="98" t="n"/>
      <c r="T185" s="99" t="n"/>
      <c r="U185" s="99" t="n"/>
      <c r="V185" s="100" t="n"/>
      <c r="W185" s="98" t="n"/>
      <c r="X185" s="100" t="n"/>
      <c r="Y185" s="98" t="n"/>
      <c r="Z185" s="100" t="n"/>
      <c r="AB185" s="101">
        <f>IF($B185="","",(COUNTIF(C158:E175,$B185)+COUNTIF(C158:E175,$B185&amp;" ~*")&gt;0)+(COUNTIF(G158:I175,$B185)+COUNTIF(G158:I175,$B185&amp;" ~*")&gt;0)+(COUNTIF(K158:M175,$B185)+COUNTIF(K158:M175,$B185&amp;" ~*")&gt;0)+(COUNTIF(O158:Q175,$B185)+COUNTIF(O158:Q175,$B185&amp;" ~*")&gt;0)+(COUNTIF(S158:U175,$B185)+COUNTIF(S158:U175,$B185&amp;" ~*")&gt;0)+(COUNTIF(W158:W175,$B185)+COUNTIF(W158:W175,$B185&amp;" ~*")&gt;0)+(COUNTIF(Y158:Y175,$B185)+COUNTIF(Y158:Y175,$B185&amp;" ~*")&gt;0))</f>
        <v/>
      </c>
      <c r="AC185" s="36">
        <f>IF($B185="","",(IFERROR(INDEX(Setup!$G$33:$G$40,MATCH(C185,Setup!$B$33:$B$40,0)),0)=1)*(COUNTIF(C158:E175,$B185)+COUNTIF(C158:E175,$B185&amp;" ~*")&gt;0)+(IFERROR(INDEX(Setup!$G$33:$G$40,MATCH(G185,Setup!$B$33:$B$40,0)),0)=1)*(COUNTIF(G158:I175,$B185)+COUNTIF(G158:I175,$B185&amp;" ~*")&gt;0)+(IFERROR(INDEX(Setup!$G$33:$G$40,MATCH(K185,Setup!$B$33:$B$40,0)),0)=1)*(COUNTIF(K158:M175,$B185)+COUNTIF(K158:M175,$B185&amp;" ~*")&gt;0)+(IFERROR(INDEX(Setup!$G$33:$G$40,MATCH(O185,Setup!$B$33:$B$40,0)),0)=1)*(COUNTIF(O158:Q175,$B185)+COUNTIF(O158:Q175,$B185&amp;" ~*")&gt;0)+(IFERROR(INDEX(Setup!$G$33:$G$40,MATCH(S185,Setup!$B$33:$B$40,0)),0)=1)*(COUNTIF(S158:U175,$B185)+COUNTIF(S158:U175,$B185&amp;" ~*")&gt;0)+(IFERROR(INDEX(Setup!$G$33:$G$40,MATCH(W185,Setup!$B$33:$B$40,0)),0)=1)*(COUNTIF(W158:W175,$B185)+COUNTIF(W158:W175,$B185&amp;" ~*")&gt;0)+(IFERROR(INDEX(Setup!$G$33:$G$40,MATCH(Y185,Setup!$B$33:$B$40,0)),0)=1)*(COUNTIF(Y158:Y175,$B185)+COUNTIF(Y158:Y175,$B185&amp;" ~*")&gt;0))</f>
        <v/>
      </c>
    </row>
    <row r="186" ht="15" customHeight="1">
      <c r="A186" t="n">
        <v>4</v>
      </c>
      <c r="B186" s="37">
        <f>IF(Setup!$B$15="","",Setup!$B$15)</f>
        <v/>
      </c>
      <c r="C186" s="102" t="n"/>
      <c r="D186" s="103" t="n"/>
      <c r="E186" s="103" t="n"/>
      <c r="F186" s="104" t="n"/>
      <c r="G186" s="102" t="n"/>
      <c r="H186" s="103" t="n"/>
      <c r="I186" s="103" t="n"/>
      <c r="J186" s="104" t="n"/>
      <c r="K186" s="102" t="n"/>
      <c r="L186" s="103" t="n"/>
      <c r="M186" s="103" t="n"/>
      <c r="N186" s="104" t="n"/>
      <c r="O186" s="102" t="n"/>
      <c r="P186" s="103" t="n"/>
      <c r="Q186" s="103" t="n"/>
      <c r="R186" s="104" t="n"/>
      <c r="S186" s="102" t="n"/>
      <c r="T186" s="103" t="n"/>
      <c r="U186" s="103" t="n"/>
      <c r="V186" s="104" t="n"/>
      <c r="W186" s="102" t="n"/>
      <c r="X186" s="104" t="n"/>
      <c r="Y186" s="102" t="n"/>
      <c r="Z186" s="104" t="n"/>
      <c r="AB186" s="105">
        <f>IF($B186="","",(COUNTIF(C158:E175,$B186)+COUNTIF(C158:E175,$B186&amp;" ~*")&gt;0)+(COUNTIF(G158:I175,$B186)+COUNTIF(G158:I175,$B186&amp;" ~*")&gt;0)+(COUNTIF(K158:M175,$B186)+COUNTIF(K158:M175,$B186&amp;" ~*")&gt;0)+(COUNTIF(O158:Q175,$B186)+COUNTIF(O158:Q175,$B186&amp;" ~*")&gt;0)+(COUNTIF(S158:U175,$B186)+COUNTIF(S158:U175,$B186&amp;" ~*")&gt;0)+(COUNTIF(W158:W175,$B186)+COUNTIF(W158:W175,$B186&amp;" ~*")&gt;0)+(COUNTIF(Y158:Y175,$B186)+COUNTIF(Y158:Y175,$B186&amp;" ~*")&gt;0))</f>
        <v/>
      </c>
      <c r="AC186" s="38">
        <f>IF($B186="","",(IFERROR(INDEX(Setup!$G$33:$G$40,MATCH(C186,Setup!$B$33:$B$40,0)),0)=1)*(COUNTIF(C158:E175,$B186)+COUNTIF(C158:E175,$B186&amp;" ~*")&gt;0)+(IFERROR(INDEX(Setup!$G$33:$G$40,MATCH(G186,Setup!$B$33:$B$40,0)),0)=1)*(COUNTIF(G158:I175,$B186)+COUNTIF(G158:I175,$B186&amp;" ~*")&gt;0)+(IFERROR(INDEX(Setup!$G$33:$G$40,MATCH(K186,Setup!$B$33:$B$40,0)),0)=1)*(COUNTIF(K158:M175,$B186)+COUNTIF(K158:M175,$B186&amp;" ~*")&gt;0)+(IFERROR(INDEX(Setup!$G$33:$G$40,MATCH(O186,Setup!$B$33:$B$40,0)),0)=1)*(COUNTIF(O158:Q175,$B186)+COUNTIF(O158:Q175,$B186&amp;" ~*")&gt;0)+(IFERROR(INDEX(Setup!$G$33:$G$40,MATCH(S186,Setup!$B$33:$B$40,0)),0)=1)*(COUNTIF(S158:U175,$B186)+COUNTIF(S158:U175,$B186&amp;" ~*")&gt;0)+(IFERROR(INDEX(Setup!$G$33:$G$40,MATCH(W186,Setup!$B$33:$B$40,0)),0)=1)*(COUNTIF(W158:W175,$B186)+COUNTIF(W158:W175,$B186&amp;" ~*")&gt;0)+(IFERROR(INDEX(Setup!$G$33:$G$40,MATCH(Y186,Setup!$B$33:$B$40,0)),0)=1)*(COUNTIF(Y158:Y175,$B186)+COUNTIF(Y158:Y175,$B186&amp;" ~*")&gt;0))</f>
        <v/>
      </c>
    </row>
    <row r="187" ht="15" customHeight="1">
      <c r="A187" t="n">
        <v>4</v>
      </c>
      <c r="B187" s="35">
        <f>IF(Setup!$B$16="","",Setup!$B$16)</f>
        <v/>
      </c>
      <c r="C187" s="98" t="n"/>
      <c r="D187" s="99" t="n"/>
      <c r="E187" s="99" t="n"/>
      <c r="F187" s="100" t="n"/>
      <c r="G187" s="98" t="n"/>
      <c r="H187" s="99" t="n"/>
      <c r="I187" s="99" t="n"/>
      <c r="J187" s="100" t="n"/>
      <c r="K187" s="98" t="n"/>
      <c r="L187" s="99" t="n"/>
      <c r="M187" s="99" t="n"/>
      <c r="N187" s="100" t="n"/>
      <c r="O187" s="98" t="n"/>
      <c r="P187" s="99" t="n"/>
      <c r="Q187" s="99" t="n"/>
      <c r="R187" s="100" t="n"/>
      <c r="S187" s="98" t="n"/>
      <c r="T187" s="99" t="n"/>
      <c r="U187" s="99" t="n"/>
      <c r="V187" s="100" t="n"/>
      <c r="W187" s="98" t="n"/>
      <c r="X187" s="100" t="n"/>
      <c r="Y187" s="98" t="n"/>
      <c r="Z187" s="100" t="n"/>
      <c r="AB187" s="101">
        <f>IF($B187="","",(COUNTIF(C158:E175,$B187)+COUNTIF(C158:E175,$B187&amp;" ~*")&gt;0)+(COUNTIF(G158:I175,$B187)+COUNTIF(G158:I175,$B187&amp;" ~*")&gt;0)+(COUNTIF(K158:M175,$B187)+COUNTIF(K158:M175,$B187&amp;" ~*")&gt;0)+(COUNTIF(O158:Q175,$B187)+COUNTIF(O158:Q175,$B187&amp;" ~*")&gt;0)+(COUNTIF(S158:U175,$B187)+COUNTIF(S158:U175,$B187&amp;" ~*")&gt;0)+(COUNTIF(W158:W175,$B187)+COUNTIF(W158:W175,$B187&amp;" ~*")&gt;0)+(COUNTIF(Y158:Y175,$B187)+COUNTIF(Y158:Y175,$B187&amp;" ~*")&gt;0))</f>
        <v/>
      </c>
      <c r="AC187" s="36">
        <f>IF($B187="","",(IFERROR(INDEX(Setup!$G$33:$G$40,MATCH(C187,Setup!$B$33:$B$40,0)),0)=1)*(COUNTIF(C158:E175,$B187)+COUNTIF(C158:E175,$B187&amp;" ~*")&gt;0)+(IFERROR(INDEX(Setup!$G$33:$G$40,MATCH(G187,Setup!$B$33:$B$40,0)),0)=1)*(COUNTIF(G158:I175,$B187)+COUNTIF(G158:I175,$B187&amp;" ~*")&gt;0)+(IFERROR(INDEX(Setup!$G$33:$G$40,MATCH(K187,Setup!$B$33:$B$40,0)),0)=1)*(COUNTIF(K158:M175,$B187)+COUNTIF(K158:M175,$B187&amp;" ~*")&gt;0)+(IFERROR(INDEX(Setup!$G$33:$G$40,MATCH(O187,Setup!$B$33:$B$40,0)),0)=1)*(COUNTIF(O158:Q175,$B187)+COUNTIF(O158:Q175,$B187&amp;" ~*")&gt;0)+(IFERROR(INDEX(Setup!$G$33:$G$40,MATCH(S187,Setup!$B$33:$B$40,0)),0)=1)*(COUNTIF(S158:U175,$B187)+COUNTIF(S158:U175,$B187&amp;" ~*")&gt;0)+(IFERROR(INDEX(Setup!$G$33:$G$40,MATCH(W187,Setup!$B$33:$B$40,0)),0)=1)*(COUNTIF(W158:W175,$B187)+COUNTIF(W158:W175,$B187&amp;" ~*")&gt;0)+(IFERROR(INDEX(Setup!$G$33:$G$40,MATCH(Y187,Setup!$B$33:$B$40,0)),0)=1)*(COUNTIF(Y158:Y175,$B187)+COUNTIF(Y158:Y175,$B187&amp;" ~*")&gt;0))</f>
        <v/>
      </c>
    </row>
    <row r="188" ht="15" customHeight="1">
      <c r="A188" t="n">
        <v>4</v>
      </c>
      <c r="B188" s="37">
        <f>IF(Setup!$B$17="","",Setup!$B$17)</f>
        <v/>
      </c>
      <c r="C188" s="102" t="n"/>
      <c r="D188" s="103" t="n"/>
      <c r="E188" s="103" t="n"/>
      <c r="F188" s="104" t="n"/>
      <c r="G188" s="102" t="n"/>
      <c r="H188" s="103" t="n"/>
      <c r="I188" s="103" t="n"/>
      <c r="J188" s="104" t="n"/>
      <c r="K188" s="102" t="n"/>
      <c r="L188" s="103" t="n"/>
      <c r="M188" s="103" t="n"/>
      <c r="N188" s="104" t="n"/>
      <c r="O188" s="102" t="n"/>
      <c r="P188" s="103" t="n"/>
      <c r="Q188" s="103" t="n"/>
      <c r="R188" s="104" t="n"/>
      <c r="S188" s="102" t="n"/>
      <c r="T188" s="103" t="n"/>
      <c r="U188" s="103" t="n"/>
      <c r="V188" s="104" t="n"/>
      <c r="W188" s="102" t="n"/>
      <c r="X188" s="104" t="n"/>
      <c r="Y188" s="102" t="n"/>
      <c r="Z188" s="104" t="n"/>
      <c r="AB188" s="105">
        <f>IF($B188="","",(COUNTIF(C158:E175,$B188)+COUNTIF(C158:E175,$B188&amp;" ~*")&gt;0)+(COUNTIF(G158:I175,$B188)+COUNTIF(G158:I175,$B188&amp;" ~*")&gt;0)+(COUNTIF(K158:M175,$B188)+COUNTIF(K158:M175,$B188&amp;" ~*")&gt;0)+(COUNTIF(O158:Q175,$B188)+COUNTIF(O158:Q175,$B188&amp;" ~*")&gt;0)+(COUNTIF(S158:U175,$B188)+COUNTIF(S158:U175,$B188&amp;" ~*")&gt;0)+(COUNTIF(W158:W175,$B188)+COUNTIF(W158:W175,$B188&amp;" ~*")&gt;0)+(COUNTIF(Y158:Y175,$B188)+COUNTIF(Y158:Y175,$B188&amp;" ~*")&gt;0))</f>
        <v/>
      </c>
      <c r="AC188" s="38">
        <f>IF($B188="","",(IFERROR(INDEX(Setup!$G$33:$G$40,MATCH(C188,Setup!$B$33:$B$40,0)),0)=1)*(COUNTIF(C158:E175,$B188)+COUNTIF(C158:E175,$B188&amp;" ~*")&gt;0)+(IFERROR(INDEX(Setup!$G$33:$G$40,MATCH(G188,Setup!$B$33:$B$40,0)),0)=1)*(COUNTIF(G158:I175,$B188)+COUNTIF(G158:I175,$B188&amp;" ~*")&gt;0)+(IFERROR(INDEX(Setup!$G$33:$G$40,MATCH(K188,Setup!$B$33:$B$40,0)),0)=1)*(COUNTIF(K158:M175,$B188)+COUNTIF(K158:M175,$B188&amp;" ~*")&gt;0)+(IFERROR(INDEX(Setup!$G$33:$G$40,MATCH(O188,Setup!$B$33:$B$40,0)),0)=1)*(COUNTIF(O158:Q175,$B188)+COUNTIF(O158:Q175,$B188&amp;" ~*")&gt;0)+(IFERROR(INDEX(Setup!$G$33:$G$40,MATCH(S188,Setup!$B$33:$B$40,0)),0)=1)*(COUNTIF(S158:U175,$B188)+COUNTIF(S158:U175,$B188&amp;" ~*")&gt;0)+(IFERROR(INDEX(Setup!$G$33:$G$40,MATCH(W188,Setup!$B$33:$B$40,0)),0)=1)*(COUNTIF(W158:W175,$B188)+COUNTIF(W158:W175,$B188&amp;" ~*")&gt;0)+(IFERROR(INDEX(Setup!$G$33:$G$40,MATCH(Y188,Setup!$B$33:$B$40,0)),0)=1)*(COUNTIF(Y158:Y175,$B188)+COUNTIF(Y158:Y175,$B188&amp;" ~*")&gt;0))</f>
        <v/>
      </c>
    </row>
    <row r="189" ht="15" customHeight="1">
      <c r="A189" t="n">
        <v>4</v>
      </c>
      <c r="B189" s="35">
        <f>IF(Setup!$B$18="","",Setup!$B$18)</f>
        <v/>
      </c>
      <c r="C189" s="98" t="n"/>
      <c r="D189" s="99" t="n"/>
      <c r="E189" s="99" t="n"/>
      <c r="F189" s="100" t="n"/>
      <c r="G189" s="98" t="n"/>
      <c r="H189" s="99" t="n"/>
      <c r="I189" s="99" t="n"/>
      <c r="J189" s="100" t="n"/>
      <c r="K189" s="98" t="n"/>
      <c r="L189" s="99" t="n"/>
      <c r="M189" s="99" t="n"/>
      <c r="N189" s="100" t="n"/>
      <c r="O189" s="98" t="n"/>
      <c r="P189" s="99" t="n"/>
      <c r="Q189" s="99" t="n"/>
      <c r="R189" s="100" t="n"/>
      <c r="S189" s="98" t="n"/>
      <c r="T189" s="99" t="n"/>
      <c r="U189" s="99" t="n"/>
      <c r="V189" s="100" t="n"/>
      <c r="W189" s="98" t="n"/>
      <c r="X189" s="100" t="n"/>
      <c r="Y189" s="98" t="n"/>
      <c r="Z189" s="100" t="n"/>
      <c r="AB189" s="101">
        <f>IF($B189="","",(COUNTIF(C158:E175,$B189)+COUNTIF(C158:E175,$B189&amp;" ~*")&gt;0)+(COUNTIF(G158:I175,$B189)+COUNTIF(G158:I175,$B189&amp;" ~*")&gt;0)+(COUNTIF(K158:M175,$B189)+COUNTIF(K158:M175,$B189&amp;" ~*")&gt;0)+(COUNTIF(O158:Q175,$B189)+COUNTIF(O158:Q175,$B189&amp;" ~*")&gt;0)+(COUNTIF(S158:U175,$B189)+COUNTIF(S158:U175,$B189&amp;" ~*")&gt;0)+(COUNTIF(W158:W175,$B189)+COUNTIF(W158:W175,$B189&amp;" ~*")&gt;0)+(COUNTIF(Y158:Y175,$B189)+COUNTIF(Y158:Y175,$B189&amp;" ~*")&gt;0))</f>
        <v/>
      </c>
      <c r="AC189" s="36">
        <f>IF($B189="","",(IFERROR(INDEX(Setup!$G$33:$G$40,MATCH(C189,Setup!$B$33:$B$40,0)),0)=1)*(COUNTIF(C158:E175,$B189)+COUNTIF(C158:E175,$B189&amp;" ~*")&gt;0)+(IFERROR(INDEX(Setup!$G$33:$G$40,MATCH(G189,Setup!$B$33:$B$40,0)),0)=1)*(COUNTIF(G158:I175,$B189)+COUNTIF(G158:I175,$B189&amp;" ~*")&gt;0)+(IFERROR(INDEX(Setup!$G$33:$G$40,MATCH(K189,Setup!$B$33:$B$40,0)),0)=1)*(COUNTIF(K158:M175,$B189)+COUNTIF(K158:M175,$B189&amp;" ~*")&gt;0)+(IFERROR(INDEX(Setup!$G$33:$G$40,MATCH(O189,Setup!$B$33:$B$40,0)),0)=1)*(COUNTIF(O158:Q175,$B189)+COUNTIF(O158:Q175,$B189&amp;" ~*")&gt;0)+(IFERROR(INDEX(Setup!$G$33:$G$40,MATCH(S189,Setup!$B$33:$B$40,0)),0)=1)*(COUNTIF(S158:U175,$B189)+COUNTIF(S158:U175,$B189&amp;" ~*")&gt;0)+(IFERROR(INDEX(Setup!$G$33:$G$40,MATCH(W189,Setup!$B$33:$B$40,0)),0)=1)*(COUNTIF(W158:W175,$B189)+COUNTIF(W158:W175,$B189&amp;" ~*")&gt;0)+(IFERROR(INDEX(Setup!$G$33:$G$40,MATCH(Y189,Setup!$B$33:$B$40,0)),0)=1)*(COUNTIF(Y158:Y175,$B189)+COUNTIF(Y158:Y175,$B189&amp;" ~*")&gt;0))</f>
        <v/>
      </c>
    </row>
    <row r="190" ht="15" customHeight="1">
      <c r="A190" t="n">
        <v>4</v>
      </c>
      <c r="B190" s="37">
        <f>IF(Setup!$B$19="","",Setup!$B$19)</f>
        <v/>
      </c>
      <c r="C190" s="102" t="n"/>
      <c r="D190" s="103" t="n"/>
      <c r="E190" s="103" t="n"/>
      <c r="F190" s="104" t="n"/>
      <c r="G190" s="102" t="n"/>
      <c r="H190" s="103" t="n"/>
      <c r="I190" s="103" t="n"/>
      <c r="J190" s="104" t="n"/>
      <c r="K190" s="102" t="n"/>
      <c r="L190" s="103" t="n"/>
      <c r="M190" s="103" t="n"/>
      <c r="N190" s="104" t="n"/>
      <c r="O190" s="102" t="n"/>
      <c r="P190" s="103" t="n"/>
      <c r="Q190" s="103" t="n"/>
      <c r="R190" s="104" t="n"/>
      <c r="S190" s="102" t="n"/>
      <c r="T190" s="103" t="n"/>
      <c r="U190" s="103" t="n"/>
      <c r="V190" s="104" t="n"/>
      <c r="W190" s="102" t="n"/>
      <c r="X190" s="104" t="n"/>
      <c r="Y190" s="102" t="n"/>
      <c r="Z190" s="104" t="n"/>
      <c r="AB190" s="105">
        <f>IF($B190="","",(COUNTIF(C158:E175,$B190)+COUNTIF(C158:E175,$B190&amp;" ~*")&gt;0)+(COUNTIF(G158:I175,$B190)+COUNTIF(G158:I175,$B190&amp;" ~*")&gt;0)+(COUNTIF(K158:M175,$B190)+COUNTIF(K158:M175,$B190&amp;" ~*")&gt;0)+(COUNTIF(O158:Q175,$B190)+COUNTIF(O158:Q175,$B190&amp;" ~*")&gt;0)+(COUNTIF(S158:U175,$B190)+COUNTIF(S158:U175,$B190&amp;" ~*")&gt;0)+(COUNTIF(W158:W175,$B190)+COUNTIF(W158:W175,$B190&amp;" ~*")&gt;0)+(COUNTIF(Y158:Y175,$B190)+COUNTIF(Y158:Y175,$B190&amp;" ~*")&gt;0))</f>
        <v/>
      </c>
      <c r="AC190" s="38">
        <f>IF($B190="","",(IFERROR(INDEX(Setup!$G$33:$G$40,MATCH(C190,Setup!$B$33:$B$40,0)),0)=1)*(COUNTIF(C158:E175,$B190)+COUNTIF(C158:E175,$B190&amp;" ~*")&gt;0)+(IFERROR(INDEX(Setup!$G$33:$G$40,MATCH(G190,Setup!$B$33:$B$40,0)),0)=1)*(COUNTIF(G158:I175,$B190)+COUNTIF(G158:I175,$B190&amp;" ~*")&gt;0)+(IFERROR(INDEX(Setup!$G$33:$G$40,MATCH(K190,Setup!$B$33:$B$40,0)),0)=1)*(COUNTIF(K158:M175,$B190)+COUNTIF(K158:M175,$B190&amp;" ~*")&gt;0)+(IFERROR(INDEX(Setup!$G$33:$G$40,MATCH(O190,Setup!$B$33:$B$40,0)),0)=1)*(COUNTIF(O158:Q175,$B190)+COUNTIF(O158:Q175,$B190&amp;" ~*")&gt;0)+(IFERROR(INDEX(Setup!$G$33:$G$40,MATCH(S190,Setup!$B$33:$B$40,0)),0)=1)*(COUNTIF(S158:U175,$B190)+COUNTIF(S158:U175,$B190&amp;" ~*")&gt;0)+(IFERROR(INDEX(Setup!$G$33:$G$40,MATCH(W190,Setup!$B$33:$B$40,0)),0)=1)*(COUNTIF(W158:W175,$B190)+COUNTIF(W158:W175,$B190&amp;" ~*")&gt;0)+(IFERROR(INDEX(Setup!$G$33:$G$40,MATCH(Y190,Setup!$B$33:$B$40,0)),0)=1)*(COUNTIF(Y158:Y175,$B190)+COUNTIF(Y158:Y175,$B190&amp;" ~*")&gt;0))</f>
        <v/>
      </c>
    </row>
    <row r="191" ht="15" customHeight="1">
      <c r="A191" t="n">
        <v>4</v>
      </c>
      <c r="B191" s="35">
        <f>IF(Setup!$B$20="","",Setup!$B$20)</f>
        <v/>
      </c>
      <c r="C191" s="98" t="n"/>
      <c r="D191" s="99" t="n"/>
      <c r="E191" s="99" t="n"/>
      <c r="F191" s="100" t="n"/>
      <c r="G191" s="98" t="n"/>
      <c r="H191" s="99" t="n"/>
      <c r="I191" s="99" t="n"/>
      <c r="J191" s="100" t="n"/>
      <c r="K191" s="98" t="n"/>
      <c r="L191" s="99" t="n"/>
      <c r="M191" s="99" t="n"/>
      <c r="N191" s="100" t="n"/>
      <c r="O191" s="98" t="n"/>
      <c r="P191" s="99" t="n"/>
      <c r="Q191" s="99" t="n"/>
      <c r="R191" s="100" t="n"/>
      <c r="S191" s="98" t="n"/>
      <c r="T191" s="99" t="n"/>
      <c r="U191" s="99" t="n"/>
      <c r="V191" s="100" t="n"/>
      <c r="W191" s="98" t="n"/>
      <c r="X191" s="100" t="n"/>
      <c r="Y191" s="98" t="n"/>
      <c r="Z191" s="100" t="n"/>
      <c r="AB191" s="101">
        <f>IF($B191="","",(COUNTIF(C158:E175,$B191)+COUNTIF(C158:E175,$B191&amp;" ~*")&gt;0)+(COUNTIF(G158:I175,$B191)+COUNTIF(G158:I175,$B191&amp;" ~*")&gt;0)+(COUNTIF(K158:M175,$B191)+COUNTIF(K158:M175,$B191&amp;" ~*")&gt;0)+(COUNTIF(O158:Q175,$B191)+COUNTIF(O158:Q175,$B191&amp;" ~*")&gt;0)+(COUNTIF(S158:U175,$B191)+COUNTIF(S158:U175,$B191&amp;" ~*")&gt;0)+(COUNTIF(W158:W175,$B191)+COUNTIF(W158:W175,$B191&amp;" ~*")&gt;0)+(COUNTIF(Y158:Y175,$B191)+COUNTIF(Y158:Y175,$B191&amp;" ~*")&gt;0))</f>
        <v/>
      </c>
      <c r="AC191" s="36">
        <f>IF($B191="","",(IFERROR(INDEX(Setup!$G$33:$G$40,MATCH(C191,Setup!$B$33:$B$40,0)),0)=1)*(COUNTIF(C158:E175,$B191)+COUNTIF(C158:E175,$B191&amp;" ~*")&gt;0)+(IFERROR(INDEX(Setup!$G$33:$G$40,MATCH(G191,Setup!$B$33:$B$40,0)),0)=1)*(COUNTIF(G158:I175,$B191)+COUNTIF(G158:I175,$B191&amp;" ~*")&gt;0)+(IFERROR(INDEX(Setup!$G$33:$G$40,MATCH(K191,Setup!$B$33:$B$40,0)),0)=1)*(COUNTIF(K158:M175,$B191)+COUNTIF(K158:M175,$B191&amp;" ~*")&gt;0)+(IFERROR(INDEX(Setup!$G$33:$G$40,MATCH(O191,Setup!$B$33:$B$40,0)),0)=1)*(COUNTIF(O158:Q175,$B191)+COUNTIF(O158:Q175,$B191&amp;" ~*")&gt;0)+(IFERROR(INDEX(Setup!$G$33:$G$40,MATCH(S191,Setup!$B$33:$B$40,0)),0)=1)*(COUNTIF(S158:U175,$B191)+COUNTIF(S158:U175,$B191&amp;" ~*")&gt;0)+(IFERROR(INDEX(Setup!$G$33:$G$40,MATCH(W191,Setup!$B$33:$B$40,0)),0)=1)*(COUNTIF(W158:W175,$B191)+COUNTIF(W158:W175,$B191&amp;" ~*")&gt;0)+(IFERROR(INDEX(Setup!$G$33:$G$40,MATCH(Y191,Setup!$B$33:$B$40,0)),0)=1)*(COUNTIF(Y158:Y175,$B191)+COUNTIF(Y158:Y175,$B191&amp;" ~*")&gt;0))</f>
        <v/>
      </c>
    </row>
    <row r="192" ht="15" customHeight="1">
      <c r="A192" t="n">
        <v>4</v>
      </c>
      <c r="B192" s="37">
        <f>IF(Setup!$B$21="","",Setup!$B$21)</f>
        <v/>
      </c>
      <c r="C192" s="102" t="n"/>
      <c r="D192" s="103" t="n"/>
      <c r="E192" s="103" t="n"/>
      <c r="F192" s="104" t="n"/>
      <c r="G192" s="102" t="n"/>
      <c r="H192" s="103" t="n"/>
      <c r="I192" s="103" t="n"/>
      <c r="J192" s="104" t="n"/>
      <c r="K192" s="102" t="n"/>
      <c r="L192" s="103" t="n"/>
      <c r="M192" s="103" t="n"/>
      <c r="N192" s="104" t="n"/>
      <c r="O192" s="102" t="n"/>
      <c r="P192" s="103" t="n"/>
      <c r="Q192" s="103" t="n"/>
      <c r="R192" s="104" t="n"/>
      <c r="S192" s="102" t="n"/>
      <c r="T192" s="103" t="n"/>
      <c r="U192" s="103" t="n"/>
      <c r="V192" s="104" t="n"/>
      <c r="W192" s="102" t="n"/>
      <c r="X192" s="104" t="n"/>
      <c r="Y192" s="102" t="n"/>
      <c r="Z192" s="104" t="n"/>
      <c r="AB192" s="105">
        <f>IF($B192="","",(COUNTIF(C158:E175,$B192)+COUNTIF(C158:E175,$B192&amp;" ~*")&gt;0)+(COUNTIF(G158:I175,$B192)+COUNTIF(G158:I175,$B192&amp;" ~*")&gt;0)+(COUNTIF(K158:M175,$B192)+COUNTIF(K158:M175,$B192&amp;" ~*")&gt;0)+(COUNTIF(O158:Q175,$B192)+COUNTIF(O158:Q175,$B192&amp;" ~*")&gt;0)+(COUNTIF(S158:U175,$B192)+COUNTIF(S158:U175,$B192&amp;" ~*")&gt;0)+(COUNTIF(W158:W175,$B192)+COUNTIF(W158:W175,$B192&amp;" ~*")&gt;0)+(COUNTIF(Y158:Y175,$B192)+COUNTIF(Y158:Y175,$B192&amp;" ~*")&gt;0))</f>
        <v/>
      </c>
      <c r="AC192" s="38">
        <f>IF($B192="","",(IFERROR(INDEX(Setup!$G$33:$G$40,MATCH(C192,Setup!$B$33:$B$40,0)),0)=1)*(COUNTIF(C158:E175,$B192)+COUNTIF(C158:E175,$B192&amp;" ~*")&gt;0)+(IFERROR(INDEX(Setup!$G$33:$G$40,MATCH(G192,Setup!$B$33:$B$40,0)),0)=1)*(COUNTIF(G158:I175,$B192)+COUNTIF(G158:I175,$B192&amp;" ~*")&gt;0)+(IFERROR(INDEX(Setup!$G$33:$G$40,MATCH(K192,Setup!$B$33:$B$40,0)),0)=1)*(COUNTIF(K158:M175,$B192)+COUNTIF(K158:M175,$B192&amp;" ~*")&gt;0)+(IFERROR(INDEX(Setup!$G$33:$G$40,MATCH(O192,Setup!$B$33:$B$40,0)),0)=1)*(COUNTIF(O158:Q175,$B192)+COUNTIF(O158:Q175,$B192&amp;" ~*")&gt;0)+(IFERROR(INDEX(Setup!$G$33:$G$40,MATCH(S192,Setup!$B$33:$B$40,0)),0)=1)*(COUNTIF(S158:U175,$B192)+COUNTIF(S158:U175,$B192&amp;" ~*")&gt;0)+(IFERROR(INDEX(Setup!$G$33:$G$40,MATCH(W192,Setup!$B$33:$B$40,0)),0)=1)*(COUNTIF(W158:W175,$B192)+COUNTIF(W158:W175,$B192&amp;" ~*")&gt;0)+(IFERROR(INDEX(Setup!$G$33:$G$40,MATCH(Y192,Setup!$B$33:$B$40,0)),0)=1)*(COUNTIF(Y158:Y175,$B192)+COUNTIF(Y158:Y175,$B192&amp;" ~*")&gt;0))</f>
        <v/>
      </c>
    </row>
    <row r="193" ht="15" customHeight="1">
      <c r="A193" t="n">
        <v>4</v>
      </c>
      <c r="B193" s="35">
        <f>IF(Setup!$B$22="","",Setup!$B$22)</f>
        <v/>
      </c>
      <c r="C193" s="98" t="n"/>
      <c r="D193" s="99" t="n"/>
      <c r="E193" s="99" t="n"/>
      <c r="F193" s="100" t="n"/>
      <c r="G193" s="98" t="n"/>
      <c r="H193" s="99" t="n"/>
      <c r="I193" s="99" t="n"/>
      <c r="J193" s="100" t="n"/>
      <c r="K193" s="98" t="n"/>
      <c r="L193" s="99" t="n"/>
      <c r="M193" s="99" t="n"/>
      <c r="N193" s="100" t="n"/>
      <c r="O193" s="98" t="n"/>
      <c r="P193" s="99" t="n"/>
      <c r="Q193" s="99" t="n"/>
      <c r="R193" s="100" t="n"/>
      <c r="S193" s="98" t="n"/>
      <c r="T193" s="99" t="n"/>
      <c r="U193" s="99" t="n"/>
      <c r="V193" s="100" t="n"/>
      <c r="W193" s="98" t="n"/>
      <c r="X193" s="100" t="n"/>
      <c r="Y193" s="98" t="n"/>
      <c r="Z193" s="100" t="n"/>
      <c r="AB193" s="101">
        <f>IF($B193="","",(COUNTIF(C158:E175,$B193)+COUNTIF(C158:E175,$B193&amp;" ~*")&gt;0)+(COUNTIF(G158:I175,$B193)+COUNTIF(G158:I175,$B193&amp;" ~*")&gt;0)+(COUNTIF(K158:M175,$B193)+COUNTIF(K158:M175,$B193&amp;" ~*")&gt;0)+(COUNTIF(O158:Q175,$B193)+COUNTIF(O158:Q175,$B193&amp;" ~*")&gt;0)+(COUNTIF(S158:U175,$B193)+COUNTIF(S158:U175,$B193&amp;" ~*")&gt;0)+(COUNTIF(W158:W175,$B193)+COUNTIF(W158:W175,$B193&amp;" ~*")&gt;0)+(COUNTIF(Y158:Y175,$B193)+COUNTIF(Y158:Y175,$B193&amp;" ~*")&gt;0))</f>
        <v/>
      </c>
      <c r="AC193" s="36">
        <f>IF($B193="","",(IFERROR(INDEX(Setup!$G$33:$G$40,MATCH(C193,Setup!$B$33:$B$40,0)),0)=1)*(COUNTIF(C158:E175,$B193)+COUNTIF(C158:E175,$B193&amp;" ~*")&gt;0)+(IFERROR(INDEX(Setup!$G$33:$G$40,MATCH(G193,Setup!$B$33:$B$40,0)),0)=1)*(COUNTIF(G158:I175,$B193)+COUNTIF(G158:I175,$B193&amp;" ~*")&gt;0)+(IFERROR(INDEX(Setup!$G$33:$G$40,MATCH(K193,Setup!$B$33:$B$40,0)),0)=1)*(COUNTIF(K158:M175,$B193)+COUNTIF(K158:M175,$B193&amp;" ~*")&gt;0)+(IFERROR(INDEX(Setup!$G$33:$G$40,MATCH(O193,Setup!$B$33:$B$40,0)),0)=1)*(COUNTIF(O158:Q175,$B193)+COUNTIF(O158:Q175,$B193&amp;" ~*")&gt;0)+(IFERROR(INDEX(Setup!$G$33:$G$40,MATCH(S193,Setup!$B$33:$B$40,0)),0)=1)*(COUNTIF(S158:U175,$B193)+COUNTIF(S158:U175,$B193&amp;" ~*")&gt;0)+(IFERROR(INDEX(Setup!$G$33:$G$40,MATCH(W193,Setup!$B$33:$B$40,0)),0)=1)*(COUNTIF(W158:W175,$B193)+COUNTIF(W158:W175,$B193&amp;" ~*")&gt;0)+(IFERROR(INDEX(Setup!$G$33:$G$40,MATCH(Y193,Setup!$B$33:$B$40,0)),0)=1)*(COUNTIF(Y158:Y175,$B193)+COUNTIF(Y158:Y175,$B193&amp;" ~*")&gt;0))</f>
        <v/>
      </c>
    </row>
    <row r="194" ht="15" customHeight="1">
      <c r="A194" t="n">
        <v>4</v>
      </c>
      <c r="B194" s="37">
        <f>IF(Setup!$B$23="","",Setup!$B$23)</f>
        <v/>
      </c>
      <c r="C194" s="102" t="n"/>
      <c r="D194" s="103" t="n"/>
      <c r="E194" s="103" t="n"/>
      <c r="F194" s="104" t="n"/>
      <c r="G194" s="102" t="n"/>
      <c r="H194" s="103" t="n"/>
      <c r="I194" s="103" t="n"/>
      <c r="J194" s="104" t="n"/>
      <c r="K194" s="102" t="n"/>
      <c r="L194" s="103" t="n"/>
      <c r="M194" s="103" t="n"/>
      <c r="N194" s="104" t="n"/>
      <c r="O194" s="102" t="n"/>
      <c r="P194" s="103" t="n"/>
      <c r="Q194" s="103" t="n"/>
      <c r="R194" s="104" t="n"/>
      <c r="S194" s="102" t="n"/>
      <c r="T194" s="103" t="n"/>
      <c r="U194" s="103" t="n"/>
      <c r="V194" s="104" t="n"/>
      <c r="W194" s="102" t="n"/>
      <c r="X194" s="104" t="n"/>
      <c r="Y194" s="102" t="n"/>
      <c r="Z194" s="104" t="n"/>
      <c r="AB194" s="105">
        <f>IF($B194="","",(COUNTIF(C158:E175,$B194)+COUNTIF(C158:E175,$B194&amp;" ~*")&gt;0)+(COUNTIF(G158:I175,$B194)+COUNTIF(G158:I175,$B194&amp;" ~*")&gt;0)+(COUNTIF(K158:M175,$B194)+COUNTIF(K158:M175,$B194&amp;" ~*")&gt;0)+(COUNTIF(O158:Q175,$B194)+COUNTIF(O158:Q175,$B194&amp;" ~*")&gt;0)+(COUNTIF(S158:U175,$B194)+COUNTIF(S158:U175,$B194&amp;" ~*")&gt;0)+(COUNTIF(W158:W175,$B194)+COUNTIF(W158:W175,$B194&amp;" ~*")&gt;0)+(COUNTIF(Y158:Y175,$B194)+COUNTIF(Y158:Y175,$B194&amp;" ~*")&gt;0))</f>
        <v/>
      </c>
      <c r="AC194" s="38">
        <f>IF($B194="","",(IFERROR(INDEX(Setup!$G$33:$G$40,MATCH(C194,Setup!$B$33:$B$40,0)),0)=1)*(COUNTIF(C158:E175,$B194)+COUNTIF(C158:E175,$B194&amp;" ~*")&gt;0)+(IFERROR(INDEX(Setup!$G$33:$G$40,MATCH(G194,Setup!$B$33:$B$40,0)),0)=1)*(COUNTIF(G158:I175,$B194)+COUNTIF(G158:I175,$B194&amp;" ~*")&gt;0)+(IFERROR(INDEX(Setup!$G$33:$G$40,MATCH(K194,Setup!$B$33:$B$40,0)),0)=1)*(COUNTIF(K158:M175,$B194)+COUNTIF(K158:M175,$B194&amp;" ~*")&gt;0)+(IFERROR(INDEX(Setup!$G$33:$G$40,MATCH(O194,Setup!$B$33:$B$40,0)),0)=1)*(COUNTIF(O158:Q175,$B194)+COUNTIF(O158:Q175,$B194&amp;" ~*")&gt;0)+(IFERROR(INDEX(Setup!$G$33:$G$40,MATCH(S194,Setup!$B$33:$B$40,0)),0)=1)*(COUNTIF(S158:U175,$B194)+COUNTIF(S158:U175,$B194&amp;" ~*")&gt;0)+(IFERROR(INDEX(Setup!$G$33:$G$40,MATCH(W194,Setup!$B$33:$B$40,0)),0)=1)*(COUNTIF(W158:W175,$B194)+COUNTIF(W158:W175,$B194&amp;" ~*")&gt;0)+(IFERROR(INDEX(Setup!$G$33:$G$40,MATCH(Y194,Setup!$B$33:$B$40,0)),0)=1)*(COUNTIF(Y158:Y175,$B194)+COUNTIF(Y158:Y175,$B194&amp;" ~*")&gt;0))</f>
        <v/>
      </c>
    </row>
    <row r="195" ht="15" customHeight="1">
      <c r="A195" t="n">
        <v>4</v>
      </c>
      <c r="B195" s="35">
        <f>IF(Setup!$B$24="","",Setup!$B$24)</f>
        <v/>
      </c>
      <c r="C195" s="98" t="n"/>
      <c r="D195" s="99" t="n"/>
      <c r="E195" s="99" t="n"/>
      <c r="F195" s="100" t="n"/>
      <c r="G195" s="98" t="n"/>
      <c r="H195" s="99" t="n"/>
      <c r="I195" s="99" t="n"/>
      <c r="J195" s="100" t="n"/>
      <c r="K195" s="98" t="n"/>
      <c r="L195" s="99" t="n"/>
      <c r="M195" s="99" t="n"/>
      <c r="N195" s="100" t="n"/>
      <c r="O195" s="98" t="n"/>
      <c r="P195" s="99" t="n"/>
      <c r="Q195" s="99" t="n"/>
      <c r="R195" s="100" t="n"/>
      <c r="S195" s="98" t="n"/>
      <c r="T195" s="99" t="n"/>
      <c r="U195" s="99" t="n"/>
      <c r="V195" s="100" t="n"/>
      <c r="W195" s="98" t="n"/>
      <c r="X195" s="100" t="n"/>
      <c r="Y195" s="98" t="n"/>
      <c r="Z195" s="100" t="n"/>
      <c r="AB195" s="101">
        <f>IF($B195="","",(COUNTIF(C158:E175,$B195)+COUNTIF(C158:E175,$B195&amp;" ~*")&gt;0)+(COUNTIF(G158:I175,$B195)+COUNTIF(G158:I175,$B195&amp;" ~*")&gt;0)+(COUNTIF(K158:M175,$B195)+COUNTIF(K158:M175,$B195&amp;" ~*")&gt;0)+(COUNTIF(O158:Q175,$B195)+COUNTIF(O158:Q175,$B195&amp;" ~*")&gt;0)+(COUNTIF(S158:U175,$B195)+COUNTIF(S158:U175,$B195&amp;" ~*")&gt;0)+(COUNTIF(W158:W175,$B195)+COUNTIF(W158:W175,$B195&amp;" ~*")&gt;0)+(COUNTIF(Y158:Y175,$B195)+COUNTIF(Y158:Y175,$B195&amp;" ~*")&gt;0))</f>
        <v/>
      </c>
      <c r="AC195" s="36">
        <f>IF($B195="","",(IFERROR(INDEX(Setup!$G$33:$G$40,MATCH(C195,Setup!$B$33:$B$40,0)),0)=1)*(COUNTIF(C158:E175,$B195)+COUNTIF(C158:E175,$B195&amp;" ~*")&gt;0)+(IFERROR(INDEX(Setup!$G$33:$G$40,MATCH(G195,Setup!$B$33:$B$40,0)),0)=1)*(COUNTIF(G158:I175,$B195)+COUNTIF(G158:I175,$B195&amp;" ~*")&gt;0)+(IFERROR(INDEX(Setup!$G$33:$G$40,MATCH(K195,Setup!$B$33:$B$40,0)),0)=1)*(COUNTIF(K158:M175,$B195)+COUNTIF(K158:M175,$B195&amp;" ~*")&gt;0)+(IFERROR(INDEX(Setup!$G$33:$G$40,MATCH(O195,Setup!$B$33:$B$40,0)),0)=1)*(COUNTIF(O158:Q175,$B195)+COUNTIF(O158:Q175,$B195&amp;" ~*")&gt;0)+(IFERROR(INDEX(Setup!$G$33:$G$40,MATCH(S195,Setup!$B$33:$B$40,0)),0)=1)*(COUNTIF(S158:U175,$B195)+COUNTIF(S158:U175,$B195&amp;" ~*")&gt;0)+(IFERROR(INDEX(Setup!$G$33:$G$40,MATCH(W195,Setup!$B$33:$B$40,0)),0)=1)*(COUNTIF(W158:W175,$B195)+COUNTIF(W158:W175,$B195&amp;" ~*")&gt;0)+(IFERROR(INDEX(Setup!$G$33:$G$40,MATCH(Y195,Setup!$B$33:$B$40,0)),0)=1)*(COUNTIF(Y158:Y175,$B195)+COUNTIF(Y158:Y175,$B195&amp;" ~*")&gt;0))</f>
        <v/>
      </c>
    </row>
    <row r="196" ht="15" customHeight="1">
      <c r="A196" t="n">
        <v>4</v>
      </c>
      <c r="B196" s="37">
        <f>IF(Setup!$B$25="","",Setup!$B$25)</f>
        <v/>
      </c>
      <c r="C196" s="102" t="n"/>
      <c r="D196" s="103" t="n"/>
      <c r="E196" s="103" t="n"/>
      <c r="F196" s="104" t="n"/>
      <c r="G196" s="102" t="n"/>
      <c r="H196" s="103" t="n"/>
      <c r="I196" s="103" t="n"/>
      <c r="J196" s="104" t="n"/>
      <c r="K196" s="102" t="n"/>
      <c r="L196" s="103" t="n"/>
      <c r="M196" s="103" t="n"/>
      <c r="N196" s="104" t="n"/>
      <c r="O196" s="102" t="n"/>
      <c r="P196" s="103" t="n"/>
      <c r="Q196" s="103" t="n"/>
      <c r="R196" s="104" t="n"/>
      <c r="S196" s="102" t="n"/>
      <c r="T196" s="103" t="n"/>
      <c r="U196" s="103" t="n"/>
      <c r="V196" s="104" t="n"/>
      <c r="W196" s="102" t="n"/>
      <c r="X196" s="104" t="n"/>
      <c r="Y196" s="102" t="n"/>
      <c r="Z196" s="104" t="n"/>
      <c r="AB196" s="105">
        <f>IF($B196="","",(COUNTIF(C158:E175,$B196)+COUNTIF(C158:E175,$B196&amp;" ~*")&gt;0)+(COUNTIF(G158:I175,$B196)+COUNTIF(G158:I175,$B196&amp;" ~*")&gt;0)+(COUNTIF(K158:M175,$B196)+COUNTIF(K158:M175,$B196&amp;" ~*")&gt;0)+(COUNTIF(O158:Q175,$B196)+COUNTIF(O158:Q175,$B196&amp;" ~*")&gt;0)+(COUNTIF(S158:U175,$B196)+COUNTIF(S158:U175,$B196&amp;" ~*")&gt;0)+(COUNTIF(W158:W175,$B196)+COUNTIF(W158:W175,$B196&amp;" ~*")&gt;0)+(COUNTIF(Y158:Y175,$B196)+COUNTIF(Y158:Y175,$B196&amp;" ~*")&gt;0))</f>
        <v/>
      </c>
      <c r="AC196" s="38">
        <f>IF($B196="","",(IFERROR(INDEX(Setup!$G$33:$G$40,MATCH(C196,Setup!$B$33:$B$40,0)),0)=1)*(COUNTIF(C158:E175,$B196)+COUNTIF(C158:E175,$B196&amp;" ~*")&gt;0)+(IFERROR(INDEX(Setup!$G$33:$G$40,MATCH(G196,Setup!$B$33:$B$40,0)),0)=1)*(COUNTIF(G158:I175,$B196)+COUNTIF(G158:I175,$B196&amp;" ~*")&gt;0)+(IFERROR(INDEX(Setup!$G$33:$G$40,MATCH(K196,Setup!$B$33:$B$40,0)),0)=1)*(COUNTIF(K158:M175,$B196)+COUNTIF(K158:M175,$B196&amp;" ~*")&gt;0)+(IFERROR(INDEX(Setup!$G$33:$G$40,MATCH(O196,Setup!$B$33:$B$40,0)),0)=1)*(COUNTIF(O158:Q175,$B196)+COUNTIF(O158:Q175,$B196&amp;" ~*")&gt;0)+(IFERROR(INDEX(Setup!$G$33:$G$40,MATCH(S196,Setup!$B$33:$B$40,0)),0)=1)*(COUNTIF(S158:U175,$B196)+COUNTIF(S158:U175,$B196&amp;" ~*")&gt;0)+(IFERROR(INDEX(Setup!$G$33:$G$40,MATCH(W196,Setup!$B$33:$B$40,0)),0)=1)*(COUNTIF(W158:W175,$B196)+COUNTIF(W158:W175,$B196&amp;" ~*")&gt;0)+(IFERROR(INDEX(Setup!$G$33:$G$40,MATCH(Y196,Setup!$B$33:$B$40,0)),0)=1)*(COUNTIF(Y158:Y175,$B196)+COUNTIF(Y158:Y175,$B196&amp;" ~*")&gt;0))</f>
        <v/>
      </c>
    </row>
    <row r="197" ht="15" customHeight="1">
      <c r="A197" t="n">
        <v>4</v>
      </c>
      <c r="B197" s="35">
        <f>IF(Setup!$B$26="","",Setup!$B$26)</f>
        <v/>
      </c>
      <c r="C197" s="98" t="n"/>
      <c r="D197" s="99" t="n"/>
      <c r="E197" s="99" t="n"/>
      <c r="F197" s="100" t="n"/>
      <c r="G197" s="98" t="n"/>
      <c r="H197" s="99" t="n"/>
      <c r="I197" s="99" t="n"/>
      <c r="J197" s="100" t="n"/>
      <c r="K197" s="98" t="n"/>
      <c r="L197" s="99" t="n"/>
      <c r="M197" s="99" t="n"/>
      <c r="N197" s="100" t="n"/>
      <c r="O197" s="98" t="n"/>
      <c r="P197" s="99" t="n"/>
      <c r="Q197" s="99" t="n"/>
      <c r="R197" s="100" t="n"/>
      <c r="S197" s="98" t="n"/>
      <c r="T197" s="99" t="n"/>
      <c r="U197" s="99" t="n"/>
      <c r="V197" s="100" t="n"/>
      <c r="W197" s="98" t="n"/>
      <c r="X197" s="100" t="n"/>
      <c r="Y197" s="98" t="n"/>
      <c r="Z197" s="100" t="n"/>
      <c r="AB197" s="101">
        <f>IF($B197="","",(COUNTIF(C158:E175,$B197)+COUNTIF(C158:E175,$B197&amp;" ~*")&gt;0)+(COUNTIF(G158:I175,$B197)+COUNTIF(G158:I175,$B197&amp;" ~*")&gt;0)+(COUNTIF(K158:M175,$B197)+COUNTIF(K158:M175,$B197&amp;" ~*")&gt;0)+(COUNTIF(O158:Q175,$B197)+COUNTIF(O158:Q175,$B197&amp;" ~*")&gt;0)+(COUNTIF(S158:U175,$B197)+COUNTIF(S158:U175,$B197&amp;" ~*")&gt;0)+(COUNTIF(W158:W175,$B197)+COUNTIF(W158:W175,$B197&amp;" ~*")&gt;0)+(COUNTIF(Y158:Y175,$B197)+COUNTIF(Y158:Y175,$B197&amp;" ~*")&gt;0))</f>
        <v/>
      </c>
      <c r="AC197" s="36">
        <f>IF($B197="","",(IFERROR(INDEX(Setup!$G$33:$G$40,MATCH(C197,Setup!$B$33:$B$40,0)),0)=1)*(COUNTIF(C158:E175,$B197)+COUNTIF(C158:E175,$B197&amp;" ~*")&gt;0)+(IFERROR(INDEX(Setup!$G$33:$G$40,MATCH(G197,Setup!$B$33:$B$40,0)),0)=1)*(COUNTIF(G158:I175,$B197)+COUNTIF(G158:I175,$B197&amp;" ~*")&gt;0)+(IFERROR(INDEX(Setup!$G$33:$G$40,MATCH(K197,Setup!$B$33:$B$40,0)),0)=1)*(COUNTIF(K158:M175,$B197)+COUNTIF(K158:M175,$B197&amp;" ~*")&gt;0)+(IFERROR(INDEX(Setup!$G$33:$G$40,MATCH(O197,Setup!$B$33:$B$40,0)),0)=1)*(COUNTIF(O158:Q175,$B197)+COUNTIF(O158:Q175,$B197&amp;" ~*")&gt;0)+(IFERROR(INDEX(Setup!$G$33:$G$40,MATCH(S197,Setup!$B$33:$B$40,0)),0)=1)*(COUNTIF(S158:U175,$B197)+COUNTIF(S158:U175,$B197&amp;" ~*")&gt;0)+(IFERROR(INDEX(Setup!$G$33:$G$40,MATCH(W197,Setup!$B$33:$B$40,0)),0)=1)*(COUNTIF(W158:W175,$B197)+COUNTIF(W158:W175,$B197&amp;" ~*")&gt;0)+(IFERROR(INDEX(Setup!$G$33:$G$40,MATCH(Y197,Setup!$B$33:$B$40,0)),0)=1)*(COUNTIF(Y158:Y175,$B197)+COUNTIF(Y158:Y175,$B197&amp;" ~*")&gt;0))</f>
        <v/>
      </c>
    </row>
    <row r="198" ht="15" customHeight="1">
      <c r="A198" t="n">
        <v>4</v>
      </c>
      <c r="B198" s="37">
        <f>IF(Setup!$B$27="","",Setup!$B$27)</f>
        <v/>
      </c>
      <c r="C198" s="102" t="n"/>
      <c r="D198" s="103" t="n"/>
      <c r="E198" s="103" t="n"/>
      <c r="F198" s="104" t="n"/>
      <c r="G198" s="102" t="n"/>
      <c r="H198" s="103" t="n"/>
      <c r="I198" s="103" t="n"/>
      <c r="J198" s="104" t="n"/>
      <c r="K198" s="102" t="n"/>
      <c r="L198" s="103" t="n"/>
      <c r="M198" s="103" t="n"/>
      <c r="N198" s="104" t="n"/>
      <c r="O198" s="102" t="n"/>
      <c r="P198" s="103" t="n"/>
      <c r="Q198" s="103" t="n"/>
      <c r="R198" s="104" t="n"/>
      <c r="S198" s="102" t="n"/>
      <c r="T198" s="103" t="n"/>
      <c r="U198" s="103" t="n"/>
      <c r="V198" s="104" t="n"/>
      <c r="W198" s="102" t="n"/>
      <c r="X198" s="104" t="n"/>
      <c r="Y198" s="102" t="n"/>
      <c r="Z198" s="104" t="n"/>
      <c r="AB198" s="105">
        <f>IF($B198="","",(COUNTIF(C158:E175,$B198)+COUNTIF(C158:E175,$B198&amp;" ~*")&gt;0)+(COUNTIF(G158:I175,$B198)+COUNTIF(G158:I175,$B198&amp;" ~*")&gt;0)+(COUNTIF(K158:M175,$B198)+COUNTIF(K158:M175,$B198&amp;" ~*")&gt;0)+(COUNTIF(O158:Q175,$B198)+COUNTIF(O158:Q175,$B198&amp;" ~*")&gt;0)+(COUNTIF(S158:U175,$B198)+COUNTIF(S158:U175,$B198&amp;" ~*")&gt;0)+(COUNTIF(W158:W175,$B198)+COUNTIF(W158:W175,$B198&amp;" ~*")&gt;0)+(COUNTIF(Y158:Y175,$B198)+COUNTIF(Y158:Y175,$B198&amp;" ~*")&gt;0))</f>
        <v/>
      </c>
      <c r="AC198" s="38">
        <f>IF($B198="","",(IFERROR(INDEX(Setup!$G$33:$G$40,MATCH(C198,Setup!$B$33:$B$40,0)),0)=1)*(COUNTIF(C158:E175,$B198)+COUNTIF(C158:E175,$B198&amp;" ~*")&gt;0)+(IFERROR(INDEX(Setup!$G$33:$G$40,MATCH(G198,Setup!$B$33:$B$40,0)),0)=1)*(COUNTIF(G158:I175,$B198)+COUNTIF(G158:I175,$B198&amp;" ~*")&gt;0)+(IFERROR(INDEX(Setup!$G$33:$G$40,MATCH(K198,Setup!$B$33:$B$40,0)),0)=1)*(COUNTIF(K158:M175,$B198)+COUNTIF(K158:M175,$B198&amp;" ~*")&gt;0)+(IFERROR(INDEX(Setup!$G$33:$G$40,MATCH(O198,Setup!$B$33:$B$40,0)),0)=1)*(COUNTIF(O158:Q175,$B198)+COUNTIF(O158:Q175,$B198&amp;" ~*")&gt;0)+(IFERROR(INDEX(Setup!$G$33:$G$40,MATCH(S198,Setup!$B$33:$B$40,0)),0)=1)*(COUNTIF(S158:U175,$B198)+COUNTIF(S158:U175,$B198&amp;" ~*")&gt;0)+(IFERROR(INDEX(Setup!$G$33:$G$40,MATCH(W198,Setup!$B$33:$B$40,0)),0)=1)*(COUNTIF(W158:W175,$B198)+COUNTIF(W158:W175,$B198&amp;" ~*")&gt;0)+(IFERROR(INDEX(Setup!$G$33:$G$40,MATCH(Y198,Setup!$B$33:$B$40,0)),0)=1)*(COUNTIF(Y158:Y175,$B198)+COUNTIF(Y158:Y175,$B198&amp;" ~*")&gt;0))</f>
        <v/>
      </c>
    </row>
    <row r="199" ht="15" customHeight="1">
      <c r="A199" t="n">
        <v>4</v>
      </c>
      <c r="B199" s="35">
        <f>IF(Setup!$B$28="","",Setup!$B$28)</f>
        <v/>
      </c>
      <c r="C199" s="98" t="n"/>
      <c r="D199" s="99" t="n"/>
      <c r="E199" s="99" t="n"/>
      <c r="F199" s="100" t="n"/>
      <c r="G199" s="98" t="n"/>
      <c r="H199" s="99" t="n"/>
      <c r="I199" s="99" t="n"/>
      <c r="J199" s="100" t="n"/>
      <c r="K199" s="98" t="n"/>
      <c r="L199" s="99" t="n"/>
      <c r="M199" s="99" t="n"/>
      <c r="N199" s="100" t="n"/>
      <c r="O199" s="98" t="n"/>
      <c r="P199" s="99" t="n"/>
      <c r="Q199" s="99" t="n"/>
      <c r="R199" s="100" t="n"/>
      <c r="S199" s="98" t="n"/>
      <c r="T199" s="99" t="n"/>
      <c r="U199" s="99" t="n"/>
      <c r="V199" s="100" t="n"/>
      <c r="W199" s="98" t="n"/>
      <c r="X199" s="100" t="n"/>
      <c r="Y199" s="98" t="n"/>
      <c r="Z199" s="100" t="n"/>
      <c r="AB199" s="101">
        <f>IF($B199="","",(COUNTIF(C158:E175,$B199)+COUNTIF(C158:E175,$B199&amp;" ~*")&gt;0)+(COUNTIF(G158:I175,$B199)+COUNTIF(G158:I175,$B199&amp;" ~*")&gt;0)+(COUNTIF(K158:M175,$B199)+COUNTIF(K158:M175,$B199&amp;" ~*")&gt;0)+(COUNTIF(O158:Q175,$B199)+COUNTIF(O158:Q175,$B199&amp;" ~*")&gt;0)+(COUNTIF(S158:U175,$B199)+COUNTIF(S158:U175,$B199&amp;" ~*")&gt;0)+(COUNTIF(W158:W175,$B199)+COUNTIF(W158:W175,$B199&amp;" ~*")&gt;0)+(COUNTIF(Y158:Y175,$B199)+COUNTIF(Y158:Y175,$B199&amp;" ~*")&gt;0))</f>
        <v/>
      </c>
      <c r="AC199" s="36">
        <f>IF($B199="","",(IFERROR(INDEX(Setup!$G$33:$G$40,MATCH(C199,Setup!$B$33:$B$40,0)),0)=1)*(COUNTIF(C158:E175,$B199)+COUNTIF(C158:E175,$B199&amp;" ~*")&gt;0)+(IFERROR(INDEX(Setup!$G$33:$G$40,MATCH(G199,Setup!$B$33:$B$40,0)),0)=1)*(COUNTIF(G158:I175,$B199)+COUNTIF(G158:I175,$B199&amp;" ~*")&gt;0)+(IFERROR(INDEX(Setup!$G$33:$G$40,MATCH(K199,Setup!$B$33:$B$40,0)),0)=1)*(COUNTIF(K158:M175,$B199)+COUNTIF(K158:M175,$B199&amp;" ~*")&gt;0)+(IFERROR(INDEX(Setup!$G$33:$G$40,MATCH(O199,Setup!$B$33:$B$40,0)),0)=1)*(COUNTIF(O158:Q175,$B199)+COUNTIF(O158:Q175,$B199&amp;" ~*")&gt;0)+(IFERROR(INDEX(Setup!$G$33:$G$40,MATCH(S199,Setup!$B$33:$B$40,0)),0)=1)*(COUNTIF(S158:U175,$B199)+COUNTIF(S158:U175,$B199&amp;" ~*")&gt;0)+(IFERROR(INDEX(Setup!$G$33:$G$40,MATCH(W199,Setup!$B$33:$B$40,0)),0)=1)*(COUNTIF(W158:W175,$B199)+COUNTIF(W158:W175,$B199&amp;" ~*")&gt;0)+(IFERROR(INDEX(Setup!$G$33:$G$40,MATCH(Y199,Setup!$B$33:$B$40,0)),0)=1)*(COUNTIF(Y158:Y175,$B199)+COUNTIF(Y158:Y175,$B199&amp;" ~*")&gt;0))</f>
        <v/>
      </c>
    </row>
    <row r="200" ht="15" customHeight="1">
      <c r="A200" t="n">
        <v>4</v>
      </c>
      <c r="B200" s="37">
        <f>IF(Setup!$B$29="","",Setup!$B$29)</f>
        <v/>
      </c>
      <c r="C200" s="102" t="n"/>
      <c r="D200" s="103" t="n"/>
      <c r="E200" s="103" t="n"/>
      <c r="F200" s="104" t="n"/>
      <c r="G200" s="102" t="n"/>
      <c r="H200" s="103" t="n"/>
      <c r="I200" s="103" t="n"/>
      <c r="J200" s="104" t="n"/>
      <c r="K200" s="102" t="n"/>
      <c r="L200" s="103" t="n"/>
      <c r="M200" s="103" t="n"/>
      <c r="N200" s="104" t="n"/>
      <c r="O200" s="102" t="n"/>
      <c r="P200" s="103" t="n"/>
      <c r="Q200" s="103" t="n"/>
      <c r="R200" s="104" t="n"/>
      <c r="S200" s="102" t="n"/>
      <c r="T200" s="103" t="n"/>
      <c r="U200" s="103" t="n"/>
      <c r="V200" s="104" t="n"/>
      <c r="W200" s="102" t="n"/>
      <c r="X200" s="104" t="n"/>
      <c r="Y200" s="102" t="n"/>
      <c r="Z200" s="104" t="n"/>
      <c r="AB200" s="105">
        <f>IF($B200="","",(COUNTIF(C158:E175,$B200)+COUNTIF(C158:E175,$B200&amp;" ~*")&gt;0)+(COUNTIF(G158:I175,$B200)+COUNTIF(G158:I175,$B200&amp;" ~*")&gt;0)+(COUNTIF(K158:M175,$B200)+COUNTIF(K158:M175,$B200&amp;" ~*")&gt;0)+(COUNTIF(O158:Q175,$B200)+COUNTIF(O158:Q175,$B200&amp;" ~*")&gt;0)+(COUNTIF(S158:U175,$B200)+COUNTIF(S158:U175,$B200&amp;" ~*")&gt;0)+(COUNTIF(W158:W175,$B200)+COUNTIF(W158:W175,$B200&amp;" ~*")&gt;0)+(COUNTIF(Y158:Y175,$B200)+COUNTIF(Y158:Y175,$B200&amp;" ~*")&gt;0))</f>
        <v/>
      </c>
      <c r="AC200" s="38">
        <f>IF($B200="","",(IFERROR(INDEX(Setup!$G$33:$G$40,MATCH(C200,Setup!$B$33:$B$40,0)),0)=1)*(COUNTIF(C158:E175,$B200)+COUNTIF(C158:E175,$B200&amp;" ~*")&gt;0)+(IFERROR(INDEX(Setup!$G$33:$G$40,MATCH(G200,Setup!$B$33:$B$40,0)),0)=1)*(COUNTIF(G158:I175,$B200)+COUNTIF(G158:I175,$B200&amp;" ~*")&gt;0)+(IFERROR(INDEX(Setup!$G$33:$G$40,MATCH(K200,Setup!$B$33:$B$40,0)),0)=1)*(COUNTIF(K158:M175,$B200)+COUNTIF(K158:M175,$B200&amp;" ~*")&gt;0)+(IFERROR(INDEX(Setup!$G$33:$G$40,MATCH(O200,Setup!$B$33:$B$40,0)),0)=1)*(COUNTIF(O158:Q175,$B200)+COUNTIF(O158:Q175,$B200&amp;" ~*")&gt;0)+(IFERROR(INDEX(Setup!$G$33:$G$40,MATCH(S200,Setup!$B$33:$B$40,0)),0)=1)*(COUNTIF(S158:U175,$B200)+COUNTIF(S158:U175,$B200&amp;" ~*")&gt;0)+(IFERROR(INDEX(Setup!$G$33:$G$40,MATCH(W200,Setup!$B$33:$B$40,0)),0)=1)*(COUNTIF(W158:W175,$B200)+COUNTIF(W158:W175,$B200&amp;" ~*")&gt;0)+(IFERROR(INDEX(Setup!$G$33:$G$40,MATCH(Y200,Setup!$B$33:$B$40,0)),0)=1)*(COUNTIF(Y158:Y175,$B200)+COUNTIF(Y158:Y175,$B200&amp;" ~*")&gt;0))</f>
        <v/>
      </c>
    </row>
    <row r="201" ht="16" customHeight="1">
      <c r="A201" t="n">
        <v>4</v>
      </c>
      <c r="B201" s="106" t="inlineStr">
        <is>
          <t>Available people</t>
        </is>
      </c>
      <c r="C201" s="107">
        <f>COUNTIFS(Setup!$E$6:$E$29,"Y",Setup!$B$6:$B$29,"?*")-SUMPRODUCT(COUNTIF(C177:C200,Setup!$F$33:$F$40))</f>
        <v/>
      </c>
      <c r="D201" s="107" t="n"/>
      <c r="E201" s="107" t="n"/>
      <c r="F201" s="107" t="n"/>
      <c r="G201" s="107">
        <f>COUNTIFS(Setup!$E$6:$E$29,"Y",Setup!$B$6:$B$29,"?*")-SUMPRODUCT(COUNTIF(G177:G200,Setup!$F$33:$F$40))</f>
        <v/>
      </c>
      <c r="H201" s="107" t="n"/>
      <c r="I201" s="107" t="n"/>
      <c r="J201" s="107" t="n"/>
      <c r="K201" s="107">
        <f>COUNTIFS(Setup!$E$6:$E$29,"Y",Setup!$B$6:$B$29,"?*")-SUMPRODUCT(COUNTIF(K177:K200,Setup!$F$33:$F$40))</f>
        <v/>
      </c>
      <c r="L201" s="107" t="n"/>
      <c r="M201" s="107" t="n"/>
      <c r="N201" s="107" t="n"/>
      <c r="O201" s="107">
        <f>COUNTIFS(Setup!$E$6:$E$29,"Y",Setup!$B$6:$B$29,"?*")-SUMPRODUCT(COUNTIF(O177:O200,Setup!$F$33:$F$40))</f>
        <v/>
      </c>
      <c r="P201" s="107" t="n"/>
      <c r="Q201" s="107" t="n"/>
      <c r="R201" s="107" t="n"/>
      <c r="S201" s="107">
        <f>COUNTIFS(Setup!$E$6:$E$29,"Y",Setup!$B$6:$B$29,"?*")-SUMPRODUCT(COUNTIF(S177:S200,Setup!$F$33:$F$40))</f>
        <v/>
      </c>
      <c r="T201" s="107" t="n"/>
      <c r="U201" s="107" t="n"/>
      <c r="V201" s="107" t="n"/>
      <c r="W201" s="107">
        <f>COUNTIFS(Setup!$E$6:$E$29,"Y",Setup!$B$6:$B$29,"?*")-SUMPRODUCT(COUNTIF(W177:W200,Setup!$F$33:$F$40))</f>
        <v/>
      </c>
      <c r="X201" s="107" t="n"/>
      <c r="Y201" s="107">
        <f>COUNTIFS(Setup!$E$6:$E$29,"Y",Setup!$B$6:$B$29,"?*")-SUMPRODUCT(COUNTIF(Y177:Y200,Setup!$F$33:$F$40))</f>
        <v/>
      </c>
      <c r="Z201" s="107" t="n"/>
      <c r="AB201" s="108">
        <f>SUM(AB177:AB200)</f>
        <v/>
      </c>
      <c r="AC201" s="109">
        <f>SUM(AC177:AC200)</f>
        <v/>
      </c>
    </row>
    <row r="202" ht="30" customHeight="1">
      <c r="A202" t="n">
        <v>4</v>
      </c>
      <c r="B202" s="110" t="inlineStr">
        <is>
          <t>Week notes</t>
        </is>
      </c>
      <c r="C202" s="111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112" t="n"/>
      <c r="R202" s="112" t="n"/>
      <c r="S202" s="112" t="n"/>
      <c r="T202" s="112" t="n"/>
      <c r="U202" s="112" t="n"/>
      <c r="V202" s="112" t="n"/>
      <c r="W202" s="112" t="n"/>
      <c r="X202" s="112" t="n"/>
      <c r="Y202" s="112" t="n"/>
      <c r="Z202" s="113" t="n"/>
    </row>
    <row r="203" ht="8" customHeight="1">
      <c r="A203" t="n">
        <v>4</v>
      </c>
    </row>
    <row r="204" ht="8" customHeight="1">
      <c r="A204" t="n">
        <v>4</v>
      </c>
    </row>
    <row r="205" ht="24" customHeight="1">
      <c r="A205" t="n">
        <v>5</v>
      </c>
      <c r="B205" s="73">
        <f>"WEEK 5     "&amp;TEXT(C206,"ddd d mmm")&amp;"  –  "&amp;TEXT(C206+6,"ddd d mmm yyyy")</f>
        <v/>
      </c>
      <c r="S205" s="74">
        <f>IF(TODAY()&lt;C206,"FUTURE",IF(TODAY()&gt;C206+6,"PAST","THIS WEEK"))</f>
        <v/>
      </c>
      <c r="W205" s="75">
        <f>IF(AND(Engine!$B$8=$AC$3,Engine!$B$9=$A205),"◀ ACTIVE WEEK","")</f>
        <v/>
      </c>
      <c r="AA205" s="76" t="n"/>
      <c r="AB205" s="77" t="inlineStr">
        <is>
          <t>◀ Prev</t>
        </is>
      </c>
      <c r="AC205" s="77" t="inlineStr">
        <is>
          <t>Next ▶</t>
        </is>
      </c>
    </row>
    <row r="206" ht="18" customHeight="1">
      <c r="A206" t="n">
        <v>5</v>
      </c>
      <c r="B206" s="78" t="inlineStr">
        <is>
          <t>DUTY</t>
        </is>
      </c>
      <c r="C206" s="79">
        <f>$AC$2+7*($A206-1)</f>
        <v/>
      </c>
      <c r="D206" s="80" t="n"/>
      <c r="E206" s="80" t="n"/>
      <c r="F206" s="81" t="n"/>
      <c r="G206" s="79">
        <f>C206+1</f>
        <v/>
      </c>
      <c r="H206" s="80" t="n"/>
      <c r="I206" s="80" t="n"/>
      <c r="J206" s="81" t="n"/>
      <c r="K206" s="79">
        <f>C206+2</f>
        <v/>
      </c>
      <c r="L206" s="80" t="n"/>
      <c r="M206" s="80" t="n"/>
      <c r="N206" s="81" t="n"/>
      <c r="O206" s="79">
        <f>C206+3</f>
        <v/>
      </c>
      <c r="P206" s="80" t="n"/>
      <c r="Q206" s="80" t="n"/>
      <c r="R206" s="81" t="n"/>
      <c r="S206" s="79">
        <f>C206+4</f>
        <v/>
      </c>
      <c r="T206" s="80" t="n"/>
      <c r="U206" s="80" t="n"/>
      <c r="V206" s="81" t="n"/>
      <c r="W206" s="82">
        <f>C206+5</f>
        <v/>
      </c>
      <c r="X206" s="83" t="n"/>
      <c r="Y206" s="82">
        <f>C206+6</f>
        <v/>
      </c>
      <c r="Z206" s="83" t="n"/>
      <c r="AB206" s="72" t="inlineStr">
        <is>
          <t>Gaps</t>
        </is>
      </c>
      <c r="AC206" s="72" t="inlineStr">
        <is>
          <t>Cover</t>
        </is>
      </c>
    </row>
    <row r="207" ht="14" customHeight="1">
      <c r="A207" t="n">
        <v>5</v>
      </c>
      <c r="B207" s="84" t="inlineStr">
        <is>
          <t>(from Setup)</t>
        </is>
      </c>
      <c r="C207" s="85" t="inlineStr">
        <is>
          <t>1</t>
        </is>
      </c>
      <c r="D207" s="85" t="inlineStr">
        <is>
          <t>2</t>
        </is>
      </c>
      <c r="E207" s="85" t="inlineStr">
        <is>
          <t>3</t>
        </is>
      </c>
      <c r="F207" s="85" t="inlineStr">
        <is>
          <t>Notes</t>
        </is>
      </c>
      <c r="G207" s="85" t="inlineStr">
        <is>
          <t>1</t>
        </is>
      </c>
      <c r="H207" s="85" t="inlineStr">
        <is>
          <t>2</t>
        </is>
      </c>
      <c r="I207" s="85" t="inlineStr">
        <is>
          <t>3</t>
        </is>
      </c>
      <c r="J207" s="85" t="inlineStr">
        <is>
          <t>Notes</t>
        </is>
      </c>
      <c r="K207" s="85" t="inlineStr">
        <is>
          <t>1</t>
        </is>
      </c>
      <c r="L207" s="85" t="inlineStr">
        <is>
          <t>2</t>
        </is>
      </c>
      <c r="M207" s="85" t="inlineStr">
        <is>
          <t>3</t>
        </is>
      </c>
      <c r="N207" s="85" t="inlineStr">
        <is>
          <t>Notes</t>
        </is>
      </c>
      <c r="O207" s="85" t="inlineStr">
        <is>
          <t>1</t>
        </is>
      </c>
      <c r="P207" s="85" t="inlineStr">
        <is>
          <t>2</t>
        </is>
      </c>
      <c r="Q207" s="85" t="inlineStr">
        <is>
          <t>3</t>
        </is>
      </c>
      <c r="R207" s="85" t="inlineStr">
        <is>
          <t>Notes</t>
        </is>
      </c>
      <c r="S207" s="85" t="inlineStr">
        <is>
          <t>1</t>
        </is>
      </c>
      <c r="T207" s="85" t="inlineStr">
        <is>
          <t>2</t>
        </is>
      </c>
      <c r="U207" s="85" t="inlineStr">
        <is>
          <t>3</t>
        </is>
      </c>
      <c r="V207" s="85" t="inlineStr">
        <is>
          <t>Notes</t>
        </is>
      </c>
      <c r="W207" s="85" t="inlineStr">
        <is>
          <t>Cover</t>
        </is>
      </c>
      <c r="X207" s="85" t="inlineStr">
        <is>
          <t>Notes</t>
        </is>
      </c>
      <c r="Y207" s="85" t="inlineStr">
        <is>
          <t>Cover</t>
        </is>
      </c>
      <c r="Z207" s="85" t="inlineStr">
        <is>
          <t>Notes</t>
        </is>
      </c>
      <c r="AB207" s="86" t="inlineStr">
        <is>
          <t>weekdays short</t>
        </is>
      </c>
      <c r="AC207" s="87" t="inlineStr"/>
    </row>
    <row r="208" ht="17" customHeight="1">
      <c r="A208" t="n">
        <v>5</v>
      </c>
      <c r="B208" s="24">
        <f>IF(Setup!$K$6="","",Setup!$K$6)</f>
        <v/>
      </c>
      <c r="C208" s="88" t="n"/>
      <c r="D208" s="88" t="n"/>
      <c r="E208" s="88" t="n"/>
      <c r="F208" s="89" t="n"/>
      <c r="G208" s="88" t="n"/>
      <c r="H208" s="88" t="n"/>
      <c r="I208" s="88" t="n"/>
      <c r="J208" s="89" t="n"/>
      <c r="K208" s="88" t="n"/>
      <c r="L208" s="88" t="n"/>
      <c r="M208" s="88" t="n"/>
      <c r="N208" s="89" t="n"/>
      <c r="O208" s="88" t="n"/>
      <c r="P208" s="88" t="n"/>
      <c r="Q208" s="88" t="n"/>
      <c r="R208" s="89" t="n"/>
      <c r="S208" s="88" t="n"/>
      <c r="T208" s="88" t="n"/>
      <c r="U208" s="88" t="n"/>
      <c r="V208" s="89" t="n"/>
      <c r="W208" s="88" t="n"/>
      <c r="X208" s="89" t="n"/>
      <c r="Y208" s="88" t="n"/>
      <c r="Z208" s="89" t="n"/>
      <c r="AB208" s="25">
        <f>IF($B208="","",(COUNTIF(C208:E208,"?*")&lt;N(INDEX(Setup!$L$6:$L$23,1)))+(COUNTIF(G208:I208,"?*")&lt;N(INDEX(Setup!$L$6:$L$23,1)))+(COUNTIF(K208:M208,"?*")&lt;N(INDEX(Setup!$L$6:$L$23,1)))+(COUNTIF(O208:Q208,"?*")&lt;N(INDEX(Setup!$L$6:$L$23,1)))+(COUNTIF(S208:U208,"?*")&lt;N(INDEX(Setup!$L$6:$L$23,1)))+((W208="")*(INDEX(Setup!$M$6:$M$23,1)="Y"))+((Y208="")*(INDEX(Setup!$M$6:$M$23,1)="Y")))</f>
        <v/>
      </c>
      <c r="AC208" s="90">
        <f>IF($B208="","",IF(AB208=0,"✓ covered","⚠ "&amp;AB208&amp;IF(AB208=1," gap"," gaps")))</f>
        <v/>
      </c>
    </row>
    <row r="209" ht="17" customHeight="1">
      <c r="A209" t="n">
        <v>5</v>
      </c>
      <c r="B209" s="29">
        <f>IF(Setup!$K$7="","",Setup!$K$7)</f>
        <v/>
      </c>
      <c r="C209" s="88" t="n"/>
      <c r="D209" s="88" t="n"/>
      <c r="E209" s="88" t="n"/>
      <c r="F209" s="89" t="n"/>
      <c r="G209" s="88" t="n"/>
      <c r="H209" s="88" t="n"/>
      <c r="I209" s="88" t="n"/>
      <c r="J209" s="89" t="n"/>
      <c r="K209" s="88" t="n"/>
      <c r="L209" s="88" t="n"/>
      <c r="M209" s="88" t="n"/>
      <c r="N209" s="89" t="n"/>
      <c r="O209" s="88" t="n"/>
      <c r="P209" s="88" t="n"/>
      <c r="Q209" s="88" t="n"/>
      <c r="R209" s="89" t="n"/>
      <c r="S209" s="88" t="n"/>
      <c r="T209" s="88" t="n"/>
      <c r="U209" s="88" t="n"/>
      <c r="V209" s="89" t="n"/>
      <c r="W209" s="88" t="n"/>
      <c r="X209" s="89" t="n"/>
      <c r="Y209" s="88" t="n"/>
      <c r="Z209" s="89" t="n"/>
      <c r="AB209" s="30">
        <f>IF($B209="","",(COUNTIF(C209:E209,"?*")&lt;N(INDEX(Setup!$L$6:$L$23,2)))+(COUNTIF(G209:I209,"?*")&lt;N(INDEX(Setup!$L$6:$L$23,2)))+(COUNTIF(K209:M209,"?*")&lt;N(INDEX(Setup!$L$6:$L$23,2)))+(COUNTIF(O209:Q209,"?*")&lt;N(INDEX(Setup!$L$6:$L$23,2)))+(COUNTIF(S209:U209,"?*")&lt;N(INDEX(Setup!$L$6:$L$23,2)))+((W209="")*(INDEX(Setup!$M$6:$M$23,2)="Y"))+((Y209="")*(INDEX(Setup!$M$6:$M$23,2)="Y")))</f>
        <v/>
      </c>
      <c r="AC209" s="91">
        <f>IF($B209="","",IF(AB209=0,"✓ covered","⚠ "&amp;AB209&amp;IF(AB209=1," gap"," gaps")))</f>
        <v/>
      </c>
    </row>
    <row r="210" ht="17" customHeight="1">
      <c r="A210" t="n">
        <v>5</v>
      </c>
      <c r="B210" s="24">
        <f>IF(Setup!$K$8="","",Setup!$K$8)</f>
        <v/>
      </c>
      <c r="C210" s="88" t="n"/>
      <c r="D210" s="88" t="n"/>
      <c r="E210" s="88" t="n"/>
      <c r="F210" s="89" t="n"/>
      <c r="G210" s="88" t="n"/>
      <c r="H210" s="88" t="n"/>
      <c r="I210" s="88" t="n"/>
      <c r="J210" s="89" t="n"/>
      <c r="K210" s="88" t="n"/>
      <c r="L210" s="88" t="n"/>
      <c r="M210" s="88" t="n"/>
      <c r="N210" s="89" t="n"/>
      <c r="O210" s="88" t="n"/>
      <c r="P210" s="88" t="n"/>
      <c r="Q210" s="88" t="n"/>
      <c r="R210" s="89" t="n"/>
      <c r="S210" s="88" t="n"/>
      <c r="T210" s="88" t="n"/>
      <c r="U210" s="88" t="n"/>
      <c r="V210" s="89" t="n"/>
      <c r="W210" s="88" t="n"/>
      <c r="X210" s="89" t="n"/>
      <c r="Y210" s="88" t="n"/>
      <c r="Z210" s="89" t="n"/>
      <c r="AB210" s="25">
        <f>IF($B210="","",(COUNTIF(C210:E210,"?*")&lt;N(INDEX(Setup!$L$6:$L$23,3)))+(COUNTIF(G210:I210,"?*")&lt;N(INDEX(Setup!$L$6:$L$23,3)))+(COUNTIF(K210:M210,"?*")&lt;N(INDEX(Setup!$L$6:$L$23,3)))+(COUNTIF(O210:Q210,"?*")&lt;N(INDEX(Setup!$L$6:$L$23,3)))+(COUNTIF(S210:U210,"?*")&lt;N(INDEX(Setup!$L$6:$L$23,3)))+((W210="")*(INDEX(Setup!$M$6:$M$23,3)="Y"))+((Y210="")*(INDEX(Setup!$M$6:$M$23,3)="Y")))</f>
        <v/>
      </c>
      <c r="AC210" s="90">
        <f>IF($B210="","",IF(AB210=0,"✓ covered","⚠ "&amp;AB210&amp;IF(AB210=1," gap"," gaps")))</f>
        <v/>
      </c>
    </row>
    <row r="211" ht="17" customHeight="1">
      <c r="A211" t="n">
        <v>5</v>
      </c>
      <c r="B211" s="29">
        <f>IF(Setup!$K$9="","",Setup!$K$9)</f>
        <v/>
      </c>
      <c r="C211" s="88" t="n"/>
      <c r="D211" s="88" t="n"/>
      <c r="E211" s="88" t="n"/>
      <c r="F211" s="89" t="n"/>
      <c r="G211" s="88" t="n"/>
      <c r="H211" s="88" t="n"/>
      <c r="I211" s="88" t="n"/>
      <c r="J211" s="89" t="n"/>
      <c r="K211" s="88" t="n"/>
      <c r="L211" s="88" t="n"/>
      <c r="M211" s="88" t="n"/>
      <c r="N211" s="89" t="n"/>
      <c r="O211" s="88" t="n"/>
      <c r="P211" s="88" t="n"/>
      <c r="Q211" s="88" t="n"/>
      <c r="R211" s="89" t="n"/>
      <c r="S211" s="88" t="n"/>
      <c r="T211" s="88" t="n"/>
      <c r="U211" s="88" t="n"/>
      <c r="V211" s="89" t="n"/>
      <c r="W211" s="88" t="n"/>
      <c r="X211" s="89" t="n"/>
      <c r="Y211" s="88" t="n"/>
      <c r="Z211" s="89" t="n"/>
      <c r="AB211" s="30">
        <f>IF($B211="","",(COUNTIF(C211:E211,"?*")&lt;N(INDEX(Setup!$L$6:$L$23,4)))+(COUNTIF(G211:I211,"?*")&lt;N(INDEX(Setup!$L$6:$L$23,4)))+(COUNTIF(K211:M211,"?*")&lt;N(INDEX(Setup!$L$6:$L$23,4)))+(COUNTIF(O211:Q211,"?*")&lt;N(INDEX(Setup!$L$6:$L$23,4)))+(COUNTIF(S211:U211,"?*")&lt;N(INDEX(Setup!$L$6:$L$23,4)))+((W211="")*(INDEX(Setup!$M$6:$M$23,4)="Y"))+((Y211="")*(INDEX(Setup!$M$6:$M$23,4)="Y")))</f>
        <v/>
      </c>
      <c r="AC211" s="91">
        <f>IF($B211="","",IF(AB211=0,"✓ covered","⚠ "&amp;AB211&amp;IF(AB211=1," gap"," gaps")))</f>
        <v/>
      </c>
    </row>
    <row r="212" ht="17" customHeight="1">
      <c r="A212" t="n">
        <v>5</v>
      </c>
      <c r="B212" s="24">
        <f>IF(Setup!$K$10="","",Setup!$K$10)</f>
        <v/>
      </c>
      <c r="C212" s="88" t="n"/>
      <c r="D212" s="88" t="n"/>
      <c r="E212" s="88" t="n"/>
      <c r="F212" s="89" t="n"/>
      <c r="G212" s="88" t="n"/>
      <c r="H212" s="88" t="n"/>
      <c r="I212" s="88" t="n"/>
      <c r="J212" s="89" t="n"/>
      <c r="K212" s="88" t="n"/>
      <c r="L212" s="88" t="n"/>
      <c r="M212" s="88" t="n"/>
      <c r="N212" s="89" t="n"/>
      <c r="O212" s="88" t="n"/>
      <c r="P212" s="88" t="n"/>
      <c r="Q212" s="88" t="n"/>
      <c r="R212" s="89" t="n"/>
      <c r="S212" s="88" t="n"/>
      <c r="T212" s="88" t="n"/>
      <c r="U212" s="88" t="n"/>
      <c r="V212" s="89" t="n"/>
      <c r="W212" s="88" t="n"/>
      <c r="X212" s="89" t="n"/>
      <c r="Y212" s="88" t="n"/>
      <c r="Z212" s="89" t="n"/>
      <c r="AB212" s="25">
        <f>IF($B212="","",(COUNTIF(C212:E212,"?*")&lt;N(INDEX(Setup!$L$6:$L$23,5)))+(COUNTIF(G212:I212,"?*")&lt;N(INDEX(Setup!$L$6:$L$23,5)))+(COUNTIF(K212:M212,"?*")&lt;N(INDEX(Setup!$L$6:$L$23,5)))+(COUNTIF(O212:Q212,"?*")&lt;N(INDEX(Setup!$L$6:$L$23,5)))+(COUNTIF(S212:U212,"?*")&lt;N(INDEX(Setup!$L$6:$L$23,5)))+((W212="")*(INDEX(Setup!$M$6:$M$23,5)="Y"))+((Y212="")*(INDEX(Setup!$M$6:$M$23,5)="Y")))</f>
        <v/>
      </c>
      <c r="AC212" s="90">
        <f>IF($B212="","",IF(AB212=0,"✓ covered","⚠ "&amp;AB212&amp;IF(AB212=1," gap"," gaps")))</f>
        <v/>
      </c>
    </row>
    <row r="213" ht="17" customHeight="1">
      <c r="A213" t="n">
        <v>5</v>
      </c>
      <c r="B213" s="29">
        <f>IF(Setup!$K$11="","",Setup!$K$11)</f>
        <v/>
      </c>
      <c r="C213" s="88" t="n"/>
      <c r="D213" s="88" t="n"/>
      <c r="E213" s="88" t="n"/>
      <c r="F213" s="89" t="n"/>
      <c r="G213" s="88" t="n"/>
      <c r="H213" s="88" t="n"/>
      <c r="I213" s="88" t="n"/>
      <c r="J213" s="89" t="n"/>
      <c r="K213" s="88" t="n"/>
      <c r="L213" s="88" t="n"/>
      <c r="M213" s="88" t="n"/>
      <c r="N213" s="89" t="n"/>
      <c r="O213" s="88" t="n"/>
      <c r="P213" s="88" t="n"/>
      <c r="Q213" s="88" t="n"/>
      <c r="R213" s="89" t="n"/>
      <c r="S213" s="88" t="n"/>
      <c r="T213" s="88" t="n"/>
      <c r="U213" s="88" t="n"/>
      <c r="V213" s="89" t="n"/>
      <c r="W213" s="88" t="n"/>
      <c r="X213" s="89" t="n"/>
      <c r="Y213" s="88" t="n"/>
      <c r="Z213" s="89" t="n"/>
      <c r="AB213" s="30">
        <f>IF($B213="","",(COUNTIF(C213:E213,"?*")&lt;N(INDEX(Setup!$L$6:$L$23,6)))+(COUNTIF(G213:I213,"?*")&lt;N(INDEX(Setup!$L$6:$L$23,6)))+(COUNTIF(K213:M213,"?*")&lt;N(INDEX(Setup!$L$6:$L$23,6)))+(COUNTIF(O213:Q213,"?*")&lt;N(INDEX(Setup!$L$6:$L$23,6)))+(COUNTIF(S213:U213,"?*")&lt;N(INDEX(Setup!$L$6:$L$23,6)))+((W213="")*(INDEX(Setup!$M$6:$M$23,6)="Y"))+((Y213="")*(INDEX(Setup!$M$6:$M$23,6)="Y")))</f>
        <v/>
      </c>
      <c r="AC213" s="91">
        <f>IF($B213="","",IF(AB213=0,"✓ covered","⚠ "&amp;AB213&amp;IF(AB213=1," gap"," gaps")))</f>
        <v/>
      </c>
    </row>
    <row r="214" ht="17" customHeight="1">
      <c r="A214" t="n">
        <v>5</v>
      </c>
      <c r="B214" s="24">
        <f>IF(Setup!$K$12="","",Setup!$K$12)</f>
        <v/>
      </c>
      <c r="C214" s="88" t="n"/>
      <c r="D214" s="88" t="n"/>
      <c r="E214" s="88" t="n"/>
      <c r="F214" s="89" t="n"/>
      <c r="G214" s="88" t="n"/>
      <c r="H214" s="88" t="n"/>
      <c r="I214" s="88" t="n"/>
      <c r="J214" s="89" t="n"/>
      <c r="K214" s="88" t="n"/>
      <c r="L214" s="88" t="n"/>
      <c r="M214" s="88" t="n"/>
      <c r="N214" s="89" t="n"/>
      <c r="O214" s="88" t="n"/>
      <c r="P214" s="88" t="n"/>
      <c r="Q214" s="88" t="n"/>
      <c r="R214" s="89" t="n"/>
      <c r="S214" s="88" t="n"/>
      <c r="T214" s="88" t="n"/>
      <c r="U214" s="88" t="n"/>
      <c r="V214" s="89" t="n"/>
      <c r="W214" s="88" t="n"/>
      <c r="X214" s="89" t="n"/>
      <c r="Y214" s="88" t="n"/>
      <c r="Z214" s="89" t="n"/>
      <c r="AB214" s="25">
        <f>IF($B214="","",(COUNTIF(C214:E214,"?*")&lt;N(INDEX(Setup!$L$6:$L$23,7)))+(COUNTIF(G214:I214,"?*")&lt;N(INDEX(Setup!$L$6:$L$23,7)))+(COUNTIF(K214:M214,"?*")&lt;N(INDEX(Setup!$L$6:$L$23,7)))+(COUNTIF(O214:Q214,"?*")&lt;N(INDEX(Setup!$L$6:$L$23,7)))+(COUNTIF(S214:U214,"?*")&lt;N(INDEX(Setup!$L$6:$L$23,7)))+((W214="")*(INDEX(Setup!$M$6:$M$23,7)="Y"))+((Y214="")*(INDEX(Setup!$M$6:$M$23,7)="Y")))</f>
        <v/>
      </c>
      <c r="AC214" s="90">
        <f>IF($B214="","",IF(AB214=0,"✓ covered","⚠ "&amp;AB214&amp;IF(AB214=1," gap"," gaps")))</f>
        <v/>
      </c>
    </row>
    <row r="215" ht="17" customHeight="1">
      <c r="A215" t="n">
        <v>5</v>
      </c>
      <c r="B215" s="29">
        <f>IF(Setup!$K$13="","",Setup!$K$13)</f>
        <v/>
      </c>
      <c r="C215" s="88" t="n"/>
      <c r="D215" s="88" t="n"/>
      <c r="E215" s="88" t="n"/>
      <c r="F215" s="89" t="n"/>
      <c r="G215" s="88" t="n"/>
      <c r="H215" s="88" t="n"/>
      <c r="I215" s="88" t="n"/>
      <c r="J215" s="89" t="n"/>
      <c r="K215" s="88" t="n"/>
      <c r="L215" s="88" t="n"/>
      <c r="M215" s="88" t="n"/>
      <c r="N215" s="89" t="n"/>
      <c r="O215" s="88" t="n"/>
      <c r="P215" s="88" t="n"/>
      <c r="Q215" s="88" t="n"/>
      <c r="R215" s="89" t="n"/>
      <c r="S215" s="88" t="n"/>
      <c r="T215" s="88" t="n"/>
      <c r="U215" s="88" t="n"/>
      <c r="V215" s="89" t="n"/>
      <c r="W215" s="88" t="n"/>
      <c r="X215" s="89" t="n"/>
      <c r="Y215" s="88" t="n"/>
      <c r="Z215" s="89" t="n"/>
      <c r="AB215" s="30">
        <f>IF($B215="","",(COUNTIF(C215:E215,"?*")&lt;N(INDEX(Setup!$L$6:$L$23,8)))+(COUNTIF(G215:I215,"?*")&lt;N(INDEX(Setup!$L$6:$L$23,8)))+(COUNTIF(K215:M215,"?*")&lt;N(INDEX(Setup!$L$6:$L$23,8)))+(COUNTIF(O215:Q215,"?*")&lt;N(INDEX(Setup!$L$6:$L$23,8)))+(COUNTIF(S215:U215,"?*")&lt;N(INDEX(Setup!$L$6:$L$23,8)))+((W215="")*(INDEX(Setup!$M$6:$M$23,8)="Y"))+((Y215="")*(INDEX(Setup!$M$6:$M$23,8)="Y")))</f>
        <v/>
      </c>
      <c r="AC215" s="91">
        <f>IF($B215="","",IF(AB215=0,"✓ covered","⚠ "&amp;AB215&amp;IF(AB215=1," gap"," gaps")))</f>
        <v/>
      </c>
    </row>
    <row r="216" ht="17" customHeight="1">
      <c r="A216" t="n">
        <v>5</v>
      </c>
      <c r="B216" s="24">
        <f>IF(Setup!$K$14="","",Setup!$K$14)</f>
        <v/>
      </c>
      <c r="C216" s="88" t="n"/>
      <c r="D216" s="88" t="n"/>
      <c r="E216" s="88" t="n"/>
      <c r="F216" s="89" t="n"/>
      <c r="G216" s="88" t="n"/>
      <c r="H216" s="88" t="n"/>
      <c r="I216" s="88" t="n"/>
      <c r="J216" s="89" t="n"/>
      <c r="K216" s="88" t="n"/>
      <c r="L216" s="88" t="n"/>
      <c r="M216" s="88" t="n"/>
      <c r="N216" s="89" t="n"/>
      <c r="O216" s="88" t="n"/>
      <c r="P216" s="88" t="n"/>
      <c r="Q216" s="88" t="n"/>
      <c r="R216" s="89" t="n"/>
      <c r="S216" s="88" t="n"/>
      <c r="T216" s="88" t="n"/>
      <c r="U216" s="88" t="n"/>
      <c r="V216" s="89" t="n"/>
      <c r="W216" s="88" t="n"/>
      <c r="X216" s="89" t="n"/>
      <c r="Y216" s="88" t="n"/>
      <c r="Z216" s="89" t="n"/>
      <c r="AB216" s="25">
        <f>IF($B216="","",(COUNTIF(C216:E216,"?*")&lt;N(INDEX(Setup!$L$6:$L$23,9)))+(COUNTIF(G216:I216,"?*")&lt;N(INDEX(Setup!$L$6:$L$23,9)))+(COUNTIF(K216:M216,"?*")&lt;N(INDEX(Setup!$L$6:$L$23,9)))+(COUNTIF(O216:Q216,"?*")&lt;N(INDEX(Setup!$L$6:$L$23,9)))+(COUNTIF(S216:U216,"?*")&lt;N(INDEX(Setup!$L$6:$L$23,9)))+((W216="")*(INDEX(Setup!$M$6:$M$23,9)="Y"))+((Y216="")*(INDEX(Setup!$M$6:$M$23,9)="Y")))</f>
        <v/>
      </c>
      <c r="AC216" s="90">
        <f>IF($B216="","",IF(AB216=0,"✓ covered","⚠ "&amp;AB216&amp;IF(AB216=1," gap"," gaps")))</f>
        <v/>
      </c>
    </row>
    <row r="217" ht="17" customHeight="1">
      <c r="A217" t="n">
        <v>5</v>
      </c>
      <c r="B217" s="29">
        <f>IF(Setup!$K$15="","",Setup!$K$15)</f>
        <v/>
      </c>
      <c r="C217" s="88" t="n"/>
      <c r="D217" s="88" t="n"/>
      <c r="E217" s="88" t="n"/>
      <c r="F217" s="89" t="n"/>
      <c r="G217" s="88" t="n"/>
      <c r="H217" s="88" t="n"/>
      <c r="I217" s="88" t="n"/>
      <c r="J217" s="89" t="n"/>
      <c r="K217" s="88" t="n"/>
      <c r="L217" s="88" t="n"/>
      <c r="M217" s="88" t="n"/>
      <c r="N217" s="89" t="n"/>
      <c r="O217" s="88" t="n"/>
      <c r="P217" s="88" t="n"/>
      <c r="Q217" s="88" t="n"/>
      <c r="R217" s="89" t="n"/>
      <c r="S217" s="88" t="n"/>
      <c r="T217" s="88" t="n"/>
      <c r="U217" s="88" t="n"/>
      <c r="V217" s="89" t="n"/>
      <c r="W217" s="88" t="n"/>
      <c r="X217" s="89" t="n"/>
      <c r="Y217" s="88" t="n"/>
      <c r="Z217" s="89" t="n"/>
      <c r="AB217" s="30">
        <f>IF($B217="","",(COUNTIF(C217:E217,"?*")&lt;N(INDEX(Setup!$L$6:$L$23,10)))+(COUNTIF(G217:I217,"?*")&lt;N(INDEX(Setup!$L$6:$L$23,10)))+(COUNTIF(K217:M217,"?*")&lt;N(INDEX(Setup!$L$6:$L$23,10)))+(COUNTIF(O217:Q217,"?*")&lt;N(INDEX(Setup!$L$6:$L$23,10)))+(COUNTIF(S217:U217,"?*")&lt;N(INDEX(Setup!$L$6:$L$23,10)))+((W217="")*(INDEX(Setup!$M$6:$M$23,10)="Y"))+((Y217="")*(INDEX(Setup!$M$6:$M$23,10)="Y")))</f>
        <v/>
      </c>
      <c r="AC217" s="91">
        <f>IF($B217="","",IF(AB217=0,"✓ covered","⚠ "&amp;AB217&amp;IF(AB217=1," gap"," gaps")))</f>
        <v/>
      </c>
    </row>
    <row r="218" ht="17" customHeight="1">
      <c r="A218" t="n">
        <v>5</v>
      </c>
      <c r="B218" s="24">
        <f>IF(Setup!$K$16="","",Setup!$K$16)</f>
        <v/>
      </c>
      <c r="C218" s="88" t="n"/>
      <c r="D218" s="88" t="n"/>
      <c r="E218" s="88" t="n"/>
      <c r="F218" s="89" t="n"/>
      <c r="G218" s="88" t="n"/>
      <c r="H218" s="88" t="n"/>
      <c r="I218" s="88" t="n"/>
      <c r="J218" s="89" t="n"/>
      <c r="K218" s="88" t="n"/>
      <c r="L218" s="88" t="n"/>
      <c r="M218" s="88" t="n"/>
      <c r="N218" s="89" t="n"/>
      <c r="O218" s="88" t="n"/>
      <c r="P218" s="88" t="n"/>
      <c r="Q218" s="88" t="n"/>
      <c r="R218" s="89" t="n"/>
      <c r="S218" s="88" t="n"/>
      <c r="T218" s="88" t="n"/>
      <c r="U218" s="88" t="n"/>
      <c r="V218" s="89" t="n"/>
      <c r="W218" s="88" t="n"/>
      <c r="X218" s="89" t="n"/>
      <c r="Y218" s="88" t="n"/>
      <c r="Z218" s="89" t="n"/>
      <c r="AB218" s="25">
        <f>IF($B218="","",(COUNTIF(C218:E218,"?*")&lt;N(INDEX(Setup!$L$6:$L$23,11)))+(COUNTIF(G218:I218,"?*")&lt;N(INDEX(Setup!$L$6:$L$23,11)))+(COUNTIF(K218:M218,"?*")&lt;N(INDEX(Setup!$L$6:$L$23,11)))+(COUNTIF(O218:Q218,"?*")&lt;N(INDEX(Setup!$L$6:$L$23,11)))+(COUNTIF(S218:U218,"?*")&lt;N(INDEX(Setup!$L$6:$L$23,11)))+((W218="")*(INDEX(Setup!$M$6:$M$23,11)="Y"))+((Y218="")*(INDEX(Setup!$M$6:$M$23,11)="Y")))</f>
        <v/>
      </c>
      <c r="AC218" s="90">
        <f>IF($B218="","",IF(AB218=0,"✓ covered","⚠ "&amp;AB218&amp;IF(AB218=1," gap"," gaps")))</f>
        <v/>
      </c>
    </row>
    <row r="219" ht="17" customHeight="1">
      <c r="A219" t="n">
        <v>5</v>
      </c>
      <c r="B219" s="29">
        <f>IF(Setup!$K$17="","",Setup!$K$17)</f>
        <v/>
      </c>
      <c r="C219" s="88" t="n"/>
      <c r="D219" s="88" t="n"/>
      <c r="E219" s="88" t="n"/>
      <c r="F219" s="89" t="n"/>
      <c r="G219" s="88" t="n"/>
      <c r="H219" s="88" t="n"/>
      <c r="I219" s="88" t="n"/>
      <c r="J219" s="89" t="n"/>
      <c r="K219" s="88" t="n"/>
      <c r="L219" s="88" t="n"/>
      <c r="M219" s="88" t="n"/>
      <c r="N219" s="89" t="n"/>
      <c r="O219" s="88" t="n"/>
      <c r="P219" s="88" t="n"/>
      <c r="Q219" s="88" t="n"/>
      <c r="R219" s="89" t="n"/>
      <c r="S219" s="88" t="n"/>
      <c r="T219" s="88" t="n"/>
      <c r="U219" s="88" t="n"/>
      <c r="V219" s="89" t="n"/>
      <c r="W219" s="88" t="n"/>
      <c r="X219" s="89" t="n"/>
      <c r="Y219" s="88" t="n"/>
      <c r="Z219" s="89" t="n"/>
      <c r="AB219" s="30">
        <f>IF($B219="","",(COUNTIF(C219:E219,"?*")&lt;N(INDEX(Setup!$L$6:$L$23,12)))+(COUNTIF(G219:I219,"?*")&lt;N(INDEX(Setup!$L$6:$L$23,12)))+(COUNTIF(K219:M219,"?*")&lt;N(INDEX(Setup!$L$6:$L$23,12)))+(COUNTIF(O219:Q219,"?*")&lt;N(INDEX(Setup!$L$6:$L$23,12)))+(COUNTIF(S219:U219,"?*")&lt;N(INDEX(Setup!$L$6:$L$23,12)))+((W219="")*(INDEX(Setup!$M$6:$M$23,12)="Y"))+((Y219="")*(INDEX(Setup!$M$6:$M$23,12)="Y")))</f>
        <v/>
      </c>
      <c r="AC219" s="91">
        <f>IF($B219="","",IF(AB219=0,"✓ covered","⚠ "&amp;AB219&amp;IF(AB219=1," gap"," gaps")))</f>
        <v/>
      </c>
    </row>
    <row r="220" ht="17" customHeight="1">
      <c r="A220" t="n">
        <v>5</v>
      </c>
      <c r="B220" s="24">
        <f>IF(Setup!$K$18="","",Setup!$K$18)</f>
        <v/>
      </c>
      <c r="C220" s="88" t="n"/>
      <c r="D220" s="88" t="n"/>
      <c r="E220" s="88" t="n"/>
      <c r="F220" s="89" t="n"/>
      <c r="G220" s="88" t="n"/>
      <c r="H220" s="88" t="n"/>
      <c r="I220" s="88" t="n"/>
      <c r="J220" s="89" t="n"/>
      <c r="K220" s="88" t="n"/>
      <c r="L220" s="88" t="n"/>
      <c r="M220" s="88" t="n"/>
      <c r="N220" s="89" t="n"/>
      <c r="O220" s="88" t="n"/>
      <c r="P220" s="88" t="n"/>
      <c r="Q220" s="88" t="n"/>
      <c r="R220" s="89" t="n"/>
      <c r="S220" s="88" t="n"/>
      <c r="T220" s="88" t="n"/>
      <c r="U220" s="88" t="n"/>
      <c r="V220" s="89" t="n"/>
      <c r="W220" s="88" t="n"/>
      <c r="X220" s="89" t="n"/>
      <c r="Y220" s="88" t="n"/>
      <c r="Z220" s="89" t="n"/>
      <c r="AB220" s="25">
        <f>IF($B220="","",(COUNTIF(C220:E220,"?*")&lt;N(INDEX(Setup!$L$6:$L$23,13)))+(COUNTIF(G220:I220,"?*")&lt;N(INDEX(Setup!$L$6:$L$23,13)))+(COUNTIF(K220:M220,"?*")&lt;N(INDEX(Setup!$L$6:$L$23,13)))+(COUNTIF(O220:Q220,"?*")&lt;N(INDEX(Setup!$L$6:$L$23,13)))+(COUNTIF(S220:U220,"?*")&lt;N(INDEX(Setup!$L$6:$L$23,13)))+((W220="")*(INDEX(Setup!$M$6:$M$23,13)="Y"))+((Y220="")*(INDEX(Setup!$M$6:$M$23,13)="Y")))</f>
        <v/>
      </c>
      <c r="AC220" s="90">
        <f>IF($B220="","",IF(AB220=0,"✓ covered","⚠ "&amp;AB220&amp;IF(AB220=1," gap"," gaps")))</f>
        <v/>
      </c>
    </row>
    <row r="221" ht="17" customHeight="1">
      <c r="A221" t="n">
        <v>5</v>
      </c>
      <c r="B221" s="29">
        <f>IF(Setup!$K$19="","",Setup!$K$19)</f>
        <v/>
      </c>
      <c r="C221" s="88" t="n"/>
      <c r="D221" s="88" t="n"/>
      <c r="E221" s="88" t="n"/>
      <c r="F221" s="89" t="n"/>
      <c r="G221" s="88" t="n"/>
      <c r="H221" s="88" t="n"/>
      <c r="I221" s="88" t="n"/>
      <c r="J221" s="89" t="n"/>
      <c r="K221" s="88" t="n"/>
      <c r="L221" s="88" t="n"/>
      <c r="M221" s="88" t="n"/>
      <c r="N221" s="89" t="n"/>
      <c r="O221" s="88" t="n"/>
      <c r="P221" s="88" t="n"/>
      <c r="Q221" s="88" t="n"/>
      <c r="R221" s="89" t="n"/>
      <c r="S221" s="88" t="n"/>
      <c r="T221" s="88" t="n"/>
      <c r="U221" s="88" t="n"/>
      <c r="V221" s="89" t="n"/>
      <c r="W221" s="88" t="n"/>
      <c r="X221" s="89" t="n"/>
      <c r="Y221" s="88" t="n"/>
      <c r="Z221" s="89" t="n"/>
      <c r="AB221" s="30">
        <f>IF($B221="","",(COUNTIF(C221:E221,"?*")&lt;N(INDEX(Setup!$L$6:$L$23,14)))+(COUNTIF(G221:I221,"?*")&lt;N(INDEX(Setup!$L$6:$L$23,14)))+(COUNTIF(K221:M221,"?*")&lt;N(INDEX(Setup!$L$6:$L$23,14)))+(COUNTIF(O221:Q221,"?*")&lt;N(INDEX(Setup!$L$6:$L$23,14)))+(COUNTIF(S221:U221,"?*")&lt;N(INDEX(Setup!$L$6:$L$23,14)))+((W221="")*(INDEX(Setup!$M$6:$M$23,14)="Y"))+((Y221="")*(INDEX(Setup!$M$6:$M$23,14)="Y")))</f>
        <v/>
      </c>
      <c r="AC221" s="91">
        <f>IF($B221="","",IF(AB221=0,"✓ covered","⚠ "&amp;AB221&amp;IF(AB221=1," gap"," gaps")))</f>
        <v/>
      </c>
    </row>
    <row r="222" ht="17" customHeight="1">
      <c r="A222" t="n">
        <v>5</v>
      </c>
      <c r="B222" s="24">
        <f>IF(Setup!$K$20="","",Setup!$K$20)</f>
        <v/>
      </c>
      <c r="C222" s="88" t="n"/>
      <c r="D222" s="88" t="n"/>
      <c r="E222" s="88" t="n"/>
      <c r="F222" s="89" t="n"/>
      <c r="G222" s="88" t="n"/>
      <c r="H222" s="88" t="n"/>
      <c r="I222" s="88" t="n"/>
      <c r="J222" s="89" t="n"/>
      <c r="K222" s="88" t="n"/>
      <c r="L222" s="88" t="n"/>
      <c r="M222" s="88" t="n"/>
      <c r="N222" s="89" t="n"/>
      <c r="O222" s="88" t="n"/>
      <c r="P222" s="88" t="n"/>
      <c r="Q222" s="88" t="n"/>
      <c r="R222" s="89" t="n"/>
      <c r="S222" s="88" t="n"/>
      <c r="T222" s="88" t="n"/>
      <c r="U222" s="88" t="n"/>
      <c r="V222" s="89" t="n"/>
      <c r="W222" s="88" t="n"/>
      <c r="X222" s="89" t="n"/>
      <c r="Y222" s="88" t="n"/>
      <c r="Z222" s="89" t="n"/>
      <c r="AB222" s="25">
        <f>IF($B222="","",(COUNTIF(C222:E222,"?*")&lt;N(INDEX(Setup!$L$6:$L$23,15)))+(COUNTIF(G222:I222,"?*")&lt;N(INDEX(Setup!$L$6:$L$23,15)))+(COUNTIF(K222:M222,"?*")&lt;N(INDEX(Setup!$L$6:$L$23,15)))+(COUNTIF(O222:Q222,"?*")&lt;N(INDEX(Setup!$L$6:$L$23,15)))+(COUNTIF(S222:U222,"?*")&lt;N(INDEX(Setup!$L$6:$L$23,15)))+((W222="")*(INDEX(Setup!$M$6:$M$23,15)="Y"))+((Y222="")*(INDEX(Setup!$M$6:$M$23,15)="Y")))</f>
        <v/>
      </c>
      <c r="AC222" s="90">
        <f>IF($B222="","",IF(AB222=0,"✓ covered","⚠ "&amp;AB222&amp;IF(AB222=1," gap"," gaps")))</f>
        <v/>
      </c>
    </row>
    <row r="223" ht="17" customHeight="1">
      <c r="A223" t="n">
        <v>5</v>
      </c>
      <c r="B223" s="29">
        <f>IF(Setup!$K$21="","",Setup!$K$21)</f>
        <v/>
      </c>
      <c r="C223" s="88" t="n"/>
      <c r="D223" s="88" t="n"/>
      <c r="E223" s="88" t="n"/>
      <c r="F223" s="89" t="n"/>
      <c r="G223" s="88" t="n"/>
      <c r="H223" s="88" t="n"/>
      <c r="I223" s="88" t="n"/>
      <c r="J223" s="89" t="n"/>
      <c r="K223" s="88" t="n"/>
      <c r="L223" s="88" t="n"/>
      <c r="M223" s="88" t="n"/>
      <c r="N223" s="89" t="n"/>
      <c r="O223" s="88" t="n"/>
      <c r="P223" s="88" t="n"/>
      <c r="Q223" s="88" t="n"/>
      <c r="R223" s="89" t="n"/>
      <c r="S223" s="88" t="n"/>
      <c r="T223" s="88" t="n"/>
      <c r="U223" s="88" t="n"/>
      <c r="V223" s="89" t="n"/>
      <c r="W223" s="88" t="n"/>
      <c r="X223" s="89" t="n"/>
      <c r="Y223" s="88" t="n"/>
      <c r="Z223" s="89" t="n"/>
      <c r="AB223" s="30">
        <f>IF($B223="","",(COUNTIF(C223:E223,"?*")&lt;N(INDEX(Setup!$L$6:$L$23,16)))+(COUNTIF(G223:I223,"?*")&lt;N(INDEX(Setup!$L$6:$L$23,16)))+(COUNTIF(K223:M223,"?*")&lt;N(INDEX(Setup!$L$6:$L$23,16)))+(COUNTIF(O223:Q223,"?*")&lt;N(INDEX(Setup!$L$6:$L$23,16)))+(COUNTIF(S223:U223,"?*")&lt;N(INDEX(Setup!$L$6:$L$23,16)))+((W223="")*(INDEX(Setup!$M$6:$M$23,16)="Y"))+((Y223="")*(INDEX(Setup!$M$6:$M$23,16)="Y")))</f>
        <v/>
      </c>
      <c r="AC223" s="91">
        <f>IF($B223="","",IF(AB223=0,"✓ covered","⚠ "&amp;AB223&amp;IF(AB223=1," gap"," gaps")))</f>
        <v/>
      </c>
    </row>
    <row r="224" ht="17" customHeight="1">
      <c r="A224" t="n">
        <v>5</v>
      </c>
      <c r="B224" s="24">
        <f>IF(Setup!$K$22="","",Setup!$K$22)</f>
        <v/>
      </c>
      <c r="C224" s="88" t="n"/>
      <c r="D224" s="88" t="n"/>
      <c r="E224" s="88" t="n"/>
      <c r="F224" s="89" t="n"/>
      <c r="G224" s="88" t="n"/>
      <c r="H224" s="88" t="n"/>
      <c r="I224" s="88" t="n"/>
      <c r="J224" s="89" t="n"/>
      <c r="K224" s="88" t="n"/>
      <c r="L224" s="88" t="n"/>
      <c r="M224" s="88" t="n"/>
      <c r="N224" s="89" t="n"/>
      <c r="O224" s="88" t="n"/>
      <c r="P224" s="88" t="n"/>
      <c r="Q224" s="88" t="n"/>
      <c r="R224" s="89" t="n"/>
      <c r="S224" s="88" t="n"/>
      <c r="T224" s="88" t="n"/>
      <c r="U224" s="88" t="n"/>
      <c r="V224" s="89" t="n"/>
      <c r="W224" s="88" t="n"/>
      <c r="X224" s="89" t="n"/>
      <c r="Y224" s="88" t="n"/>
      <c r="Z224" s="89" t="n"/>
      <c r="AB224" s="25">
        <f>IF($B224="","",(COUNTIF(C224:E224,"?*")&lt;N(INDEX(Setup!$L$6:$L$23,17)))+(COUNTIF(G224:I224,"?*")&lt;N(INDEX(Setup!$L$6:$L$23,17)))+(COUNTIF(K224:M224,"?*")&lt;N(INDEX(Setup!$L$6:$L$23,17)))+(COUNTIF(O224:Q224,"?*")&lt;N(INDEX(Setup!$L$6:$L$23,17)))+(COUNTIF(S224:U224,"?*")&lt;N(INDEX(Setup!$L$6:$L$23,17)))+((W224="")*(INDEX(Setup!$M$6:$M$23,17)="Y"))+((Y224="")*(INDEX(Setup!$M$6:$M$23,17)="Y")))</f>
        <v/>
      </c>
      <c r="AC224" s="90">
        <f>IF($B224="","",IF(AB224=0,"✓ covered","⚠ "&amp;AB224&amp;IF(AB224=1," gap"," gaps")))</f>
        <v/>
      </c>
    </row>
    <row r="225" ht="17" customHeight="1">
      <c r="A225" t="n">
        <v>5</v>
      </c>
      <c r="B225" s="29">
        <f>IF(Setup!$K$23="","",Setup!$K$23)</f>
        <v/>
      </c>
      <c r="C225" s="88" t="n"/>
      <c r="D225" s="88" t="n"/>
      <c r="E225" s="88" t="n"/>
      <c r="F225" s="89" t="n"/>
      <c r="G225" s="88" t="n"/>
      <c r="H225" s="88" t="n"/>
      <c r="I225" s="88" t="n"/>
      <c r="J225" s="89" t="n"/>
      <c r="K225" s="88" t="n"/>
      <c r="L225" s="88" t="n"/>
      <c r="M225" s="88" t="n"/>
      <c r="N225" s="89" t="n"/>
      <c r="O225" s="88" t="n"/>
      <c r="P225" s="88" t="n"/>
      <c r="Q225" s="88" t="n"/>
      <c r="R225" s="89" t="n"/>
      <c r="S225" s="88" t="n"/>
      <c r="T225" s="88" t="n"/>
      <c r="U225" s="88" t="n"/>
      <c r="V225" s="89" t="n"/>
      <c r="W225" s="88" t="n"/>
      <c r="X225" s="89" t="n"/>
      <c r="Y225" s="88" t="n"/>
      <c r="Z225" s="89" t="n"/>
      <c r="AB225" s="30">
        <f>IF($B225="","",(COUNTIF(C225:E225,"?*")&lt;N(INDEX(Setup!$L$6:$L$23,18)))+(COUNTIF(G225:I225,"?*")&lt;N(INDEX(Setup!$L$6:$L$23,18)))+(COUNTIF(K225:M225,"?*")&lt;N(INDEX(Setup!$L$6:$L$23,18)))+(COUNTIF(O225:Q225,"?*")&lt;N(INDEX(Setup!$L$6:$L$23,18)))+(COUNTIF(S225:U225,"?*")&lt;N(INDEX(Setup!$L$6:$L$23,18)))+((W225="")*(INDEX(Setup!$M$6:$M$23,18)="Y"))+((Y225="")*(INDEX(Setup!$M$6:$M$23,18)="Y")))</f>
        <v/>
      </c>
      <c r="AC225" s="91">
        <f>IF($B225="","",IF(AB225=0,"✓ covered","⚠ "&amp;AB225&amp;IF(AB225=1," gap"," gaps")))</f>
        <v/>
      </c>
    </row>
    <row r="226" ht="18" customHeight="1">
      <c r="A226" t="n">
        <v>5</v>
      </c>
      <c r="B226" s="78" t="inlineStr">
        <is>
          <t>TEAM AVAILABILITY</t>
        </is>
      </c>
      <c r="C226" s="92" t="inlineStr">
        <is>
          <t>Mon</t>
        </is>
      </c>
      <c r="D226" s="93" t="n"/>
      <c r="E226" s="93" t="n"/>
      <c r="F226" s="94" t="n"/>
      <c r="G226" s="92" t="inlineStr">
        <is>
          <t>Tue</t>
        </is>
      </c>
      <c r="H226" s="93" t="n"/>
      <c r="I226" s="93" t="n"/>
      <c r="J226" s="94" t="n"/>
      <c r="K226" s="92" t="inlineStr">
        <is>
          <t>Wed</t>
        </is>
      </c>
      <c r="L226" s="93" t="n"/>
      <c r="M226" s="93" t="n"/>
      <c r="N226" s="94" t="n"/>
      <c r="O226" s="92" t="inlineStr">
        <is>
          <t>Thu</t>
        </is>
      </c>
      <c r="P226" s="93" t="n"/>
      <c r="Q226" s="93" t="n"/>
      <c r="R226" s="94" t="n"/>
      <c r="S226" s="92" t="inlineStr">
        <is>
          <t>Fri</t>
        </is>
      </c>
      <c r="T226" s="93" t="n"/>
      <c r="U226" s="93" t="n"/>
      <c r="V226" s="94" t="n"/>
      <c r="W226" s="95" t="inlineStr">
        <is>
          <t>Sat</t>
        </is>
      </c>
      <c r="X226" s="96" t="n"/>
      <c r="Y226" s="95" t="inlineStr">
        <is>
          <t>Sun</t>
        </is>
      </c>
      <c r="Z226" s="96" t="n"/>
      <c r="AB226" s="97" t="inlineStr">
        <is>
          <t>Days rostered</t>
        </is>
      </c>
      <c r="AC226" s="97" t="inlineStr">
        <is>
          <t>Conflicts</t>
        </is>
      </c>
    </row>
    <row r="227" ht="15" customHeight="1">
      <c r="A227" t="n">
        <v>5</v>
      </c>
      <c r="B227" s="35">
        <f>IF(Setup!$B$6="","",Setup!$B$6)</f>
        <v/>
      </c>
      <c r="C227" s="98" t="n"/>
      <c r="D227" s="99" t="n"/>
      <c r="E227" s="99" t="n"/>
      <c r="F227" s="100" t="n"/>
      <c r="G227" s="98" t="n"/>
      <c r="H227" s="99" t="n"/>
      <c r="I227" s="99" t="n"/>
      <c r="J227" s="100" t="n"/>
      <c r="K227" s="98" t="n"/>
      <c r="L227" s="99" t="n"/>
      <c r="M227" s="99" t="n"/>
      <c r="N227" s="100" t="n"/>
      <c r="O227" s="98" t="n"/>
      <c r="P227" s="99" t="n"/>
      <c r="Q227" s="99" t="n"/>
      <c r="R227" s="100" t="n"/>
      <c r="S227" s="98" t="n"/>
      <c r="T227" s="99" t="n"/>
      <c r="U227" s="99" t="n"/>
      <c r="V227" s="100" t="n"/>
      <c r="W227" s="98" t="n"/>
      <c r="X227" s="100" t="n"/>
      <c r="Y227" s="98" t="n"/>
      <c r="Z227" s="100" t="n"/>
      <c r="AB227" s="101">
        <f>IF($B227="","",(COUNTIF(C208:E225,$B227)+COUNTIF(C208:E225,$B227&amp;" ~*")&gt;0)+(COUNTIF(G208:I225,$B227)+COUNTIF(G208:I225,$B227&amp;" ~*")&gt;0)+(COUNTIF(K208:M225,$B227)+COUNTIF(K208:M225,$B227&amp;" ~*")&gt;0)+(COUNTIF(O208:Q225,$B227)+COUNTIF(O208:Q225,$B227&amp;" ~*")&gt;0)+(COUNTIF(S208:U225,$B227)+COUNTIF(S208:U225,$B227&amp;" ~*")&gt;0)+(COUNTIF(W208:W225,$B227)+COUNTIF(W208:W225,$B227&amp;" ~*")&gt;0)+(COUNTIF(Y208:Y225,$B227)+COUNTIF(Y208:Y225,$B227&amp;" ~*")&gt;0))</f>
        <v/>
      </c>
      <c r="AC227" s="36">
        <f>IF($B227="","",(IFERROR(INDEX(Setup!$G$33:$G$40,MATCH(C227,Setup!$B$33:$B$40,0)),0)=1)*(COUNTIF(C208:E225,$B227)+COUNTIF(C208:E225,$B227&amp;" ~*")&gt;0)+(IFERROR(INDEX(Setup!$G$33:$G$40,MATCH(G227,Setup!$B$33:$B$40,0)),0)=1)*(COUNTIF(G208:I225,$B227)+COUNTIF(G208:I225,$B227&amp;" ~*")&gt;0)+(IFERROR(INDEX(Setup!$G$33:$G$40,MATCH(K227,Setup!$B$33:$B$40,0)),0)=1)*(COUNTIF(K208:M225,$B227)+COUNTIF(K208:M225,$B227&amp;" ~*")&gt;0)+(IFERROR(INDEX(Setup!$G$33:$G$40,MATCH(O227,Setup!$B$33:$B$40,0)),0)=1)*(COUNTIF(O208:Q225,$B227)+COUNTIF(O208:Q225,$B227&amp;" ~*")&gt;0)+(IFERROR(INDEX(Setup!$G$33:$G$40,MATCH(S227,Setup!$B$33:$B$40,0)),0)=1)*(COUNTIF(S208:U225,$B227)+COUNTIF(S208:U225,$B227&amp;" ~*")&gt;0)+(IFERROR(INDEX(Setup!$G$33:$G$40,MATCH(W227,Setup!$B$33:$B$40,0)),0)=1)*(COUNTIF(W208:W225,$B227)+COUNTIF(W208:W225,$B227&amp;" ~*")&gt;0)+(IFERROR(INDEX(Setup!$G$33:$G$40,MATCH(Y227,Setup!$B$33:$B$40,0)),0)=1)*(COUNTIF(Y208:Y225,$B227)+COUNTIF(Y208:Y225,$B227&amp;" ~*")&gt;0))</f>
        <v/>
      </c>
    </row>
    <row r="228" ht="15" customHeight="1">
      <c r="A228" t="n">
        <v>5</v>
      </c>
      <c r="B228" s="37">
        <f>IF(Setup!$B$7="","",Setup!$B$7)</f>
        <v/>
      </c>
      <c r="C228" s="102" t="n"/>
      <c r="D228" s="103" t="n"/>
      <c r="E228" s="103" t="n"/>
      <c r="F228" s="104" t="n"/>
      <c r="G228" s="102" t="n"/>
      <c r="H228" s="103" t="n"/>
      <c r="I228" s="103" t="n"/>
      <c r="J228" s="104" t="n"/>
      <c r="K228" s="102" t="n"/>
      <c r="L228" s="103" t="n"/>
      <c r="M228" s="103" t="n"/>
      <c r="N228" s="104" t="n"/>
      <c r="O228" s="102" t="n"/>
      <c r="P228" s="103" t="n"/>
      <c r="Q228" s="103" t="n"/>
      <c r="R228" s="104" t="n"/>
      <c r="S228" s="102" t="n"/>
      <c r="T228" s="103" t="n"/>
      <c r="U228" s="103" t="n"/>
      <c r="V228" s="104" t="n"/>
      <c r="W228" s="102" t="n"/>
      <c r="X228" s="104" t="n"/>
      <c r="Y228" s="102" t="n"/>
      <c r="Z228" s="104" t="n"/>
      <c r="AB228" s="105">
        <f>IF($B228="","",(COUNTIF(C208:E225,$B228)+COUNTIF(C208:E225,$B228&amp;" ~*")&gt;0)+(COUNTIF(G208:I225,$B228)+COUNTIF(G208:I225,$B228&amp;" ~*")&gt;0)+(COUNTIF(K208:M225,$B228)+COUNTIF(K208:M225,$B228&amp;" ~*")&gt;0)+(COUNTIF(O208:Q225,$B228)+COUNTIF(O208:Q225,$B228&amp;" ~*")&gt;0)+(COUNTIF(S208:U225,$B228)+COUNTIF(S208:U225,$B228&amp;" ~*")&gt;0)+(COUNTIF(W208:W225,$B228)+COUNTIF(W208:W225,$B228&amp;" ~*")&gt;0)+(COUNTIF(Y208:Y225,$B228)+COUNTIF(Y208:Y225,$B228&amp;" ~*")&gt;0))</f>
        <v/>
      </c>
      <c r="AC228" s="38">
        <f>IF($B228="","",(IFERROR(INDEX(Setup!$G$33:$G$40,MATCH(C228,Setup!$B$33:$B$40,0)),0)=1)*(COUNTIF(C208:E225,$B228)+COUNTIF(C208:E225,$B228&amp;" ~*")&gt;0)+(IFERROR(INDEX(Setup!$G$33:$G$40,MATCH(G228,Setup!$B$33:$B$40,0)),0)=1)*(COUNTIF(G208:I225,$B228)+COUNTIF(G208:I225,$B228&amp;" ~*")&gt;0)+(IFERROR(INDEX(Setup!$G$33:$G$40,MATCH(K228,Setup!$B$33:$B$40,0)),0)=1)*(COUNTIF(K208:M225,$B228)+COUNTIF(K208:M225,$B228&amp;" ~*")&gt;0)+(IFERROR(INDEX(Setup!$G$33:$G$40,MATCH(O228,Setup!$B$33:$B$40,0)),0)=1)*(COUNTIF(O208:Q225,$B228)+COUNTIF(O208:Q225,$B228&amp;" ~*")&gt;0)+(IFERROR(INDEX(Setup!$G$33:$G$40,MATCH(S228,Setup!$B$33:$B$40,0)),0)=1)*(COUNTIF(S208:U225,$B228)+COUNTIF(S208:U225,$B228&amp;" ~*")&gt;0)+(IFERROR(INDEX(Setup!$G$33:$G$40,MATCH(W228,Setup!$B$33:$B$40,0)),0)=1)*(COUNTIF(W208:W225,$B228)+COUNTIF(W208:W225,$B228&amp;" ~*")&gt;0)+(IFERROR(INDEX(Setup!$G$33:$G$40,MATCH(Y228,Setup!$B$33:$B$40,0)),0)=1)*(COUNTIF(Y208:Y225,$B228)+COUNTIF(Y208:Y225,$B228&amp;" ~*")&gt;0))</f>
        <v/>
      </c>
    </row>
    <row r="229" ht="15" customHeight="1">
      <c r="A229" t="n">
        <v>5</v>
      </c>
      <c r="B229" s="35">
        <f>IF(Setup!$B$8="","",Setup!$B$8)</f>
        <v/>
      </c>
      <c r="C229" s="98" t="n"/>
      <c r="D229" s="99" t="n"/>
      <c r="E229" s="99" t="n"/>
      <c r="F229" s="100" t="n"/>
      <c r="G229" s="98" t="n"/>
      <c r="H229" s="99" t="n"/>
      <c r="I229" s="99" t="n"/>
      <c r="J229" s="100" t="n"/>
      <c r="K229" s="98" t="n"/>
      <c r="L229" s="99" t="n"/>
      <c r="M229" s="99" t="n"/>
      <c r="N229" s="100" t="n"/>
      <c r="O229" s="98" t="n"/>
      <c r="P229" s="99" t="n"/>
      <c r="Q229" s="99" t="n"/>
      <c r="R229" s="100" t="n"/>
      <c r="S229" s="98" t="n"/>
      <c r="T229" s="99" t="n"/>
      <c r="U229" s="99" t="n"/>
      <c r="V229" s="100" t="n"/>
      <c r="W229" s="98" t="n"/>
      <c r="X229" s="100" t="n"/>
      <c r="Y229" s="98" t="n"/>
      <c r="Z229" s="100" t="n"/>
      <c r="AB229" s="101">
        <f>IF($B229="","",(COUNTIF(C208:E225,$B229)+COUNTIF(C208:E225,$B229&amp;" ~*")&gt;0)+(COUNTIF(G208:I225,$B229)+COUNTIF(G208:I225,$B229&amp;" ~*")&gt;0)+(COUNTIF(K208:M225,$B229)+COUNTIF(K208:M225,$B229&amp;" ~*")&gt;0)+(COUNTIF(O208:Q225,$B229)+COUNTIF(O208:Q225,$B229&amp;" ~*")&gt;0)+(COUNTIF(S208:U225,$B229)+COUNTIF(S208:U225,$B229&amp;" ~*")&gt;0)+(COUNTIF(W208:W225,$B229)+COUNTIF(W208:W225,$B229&amp;" ~*")&gt;0)+(COUNTIF(Y208:Y225,$B229)+COUNTIF(Y208:Y225,$B229&amp;" ~*")&gt;0))</f>
        <v/>
      </c>
      <c r="AC229" s="36">
        <f>IF($B229="","",(IFERROR(INDEX(Setup!$G$33:$G$40,MATCH(C229,Setup!$B$33:$B$40,0)),0)=1)*(COUNTIF(C208:E225,$B229)+COUNTIF(C208:E225,$B229&amp;" ~*")&gt;0)+(IFERROR(INDEX(Setup!$G$33:$G$40,MATCH(G229,Setup!$B$33:$B$40,0)),0)=1)*(COUNTIF(G208:I225,$B229)+COUNTIF(G208:I225,$B229&amp;" ~*")&gt;0)+(IFERROR(INDEX(Setup!$G$33:$G$40,MATCH(K229,Setup!$B$33:$B$40,0)),0)=1)*(COUNTIF(K208:M225,$B229)+COUNTIF(K208:M225,$B229&amp;" ~*")&gt;0)+(IFERROR(INDEX(Setup!$G$33:$G$40,MATCH(O229,Setup!$B$33:$B$40,0)),0)=1)*(COUNTIF(O208:Q225,$B229)+COUNTIF(O208:Q225,$B229&amp;" ~*")&gt;0)+(IFERROR(INDEX(Setup!$G$33:$G$40,MATCH(S229,Setup!$B$33:$B$40,0)),0)=1)*(COUNTIF(S208:U225,$B229)+COUNTIF(S208:U225,$B229&amp;" ~*")&gt;0)+(IFERROR(INDEX(Setup!$G$33:$G$40,MATCH(W229,Setup!$B$33:$B$40,0)),0)=1)*(COUNTIF(W208:W225,$B229)+COUNTIF(W208:W225,$B229&amp;" ~*")&gt;0)+(IFERROR(INDEX(Setup!$G$33:$G$40,MATCH(Y229,Setup!$B$33:$B$40,0)),0)=1)*(COUNTIF(Y208:Y225,$B229)+COUNTIF(Y208:Y225,$B229&amp;" ~*")&gt;0))</f>
        <v/>
      </c>
    </row>
    <row r="230" ht="15" customHeight="1">
      <c r="A230" t="n">
        <v>5</v>
      </c>
      <c r="B230" s="37">
        <f>IF(Setup!$B$9="","",Setup!$B$9)</f>
        <v/>
      </c>
      <c r="C230" s="102" t="n"/>
      <c r="D230" s="103" t="n"/>
      <c r="E230" s="103" t="n"/>
      <c r="F230" s="104" t="n"/>
      <c r="G230" s="102" t="n"/>
      <c r="H230" s="103" t="n"/>
      <c r="I230" s="103" t="n"/>
      <c r="J230" s="104" t="n"/>
      <c r="K230" s="102" t="n"/>
      <c r="L230" s="103" t="n"/>
      <c r="M230" s="103" t="n"/>
      <c r="N230" s="104" t="n"/>
      <c r="O230" s="102" t="n"/>
      <c r="P230" s="103" t="n"/>
      <c r="Q230" s="103" t="n"/>
      <c r="R230" s="104" t="n"/>
      <c r="S230" s="102" t="n"/>
      <c r="T230" s="103" t="n"/>
      <c r="U230" s="103" t="n"/>
      <c r="V230" s="104" t="n"/>
      <c r="W230" s="102" t="n"/>
      <c r="X230" s="104" t="n"/>
      <c r="Y230" s="102" t="n"/>
      <c r="Z230" s="104" t="n"/>
      <c r="AB230" s="105">
        <f>IF($B230="","",(COUNTIF(C208:E225,$B230)+COUNTIF(C208:E225,$B230&amp;" ~*")&gt;0)+(COUNTIF(G208:I225,$B230)+COUNTIF(G208:I225,$B230&amp;" ~*")&gt;0)+(COUNTIF(K208:M225,$B230)+COUNTIF(K208:M225,$B230&amp;" ~*")&gt;0)+(COUNTIF(O208:Q225,$B230)+COUNTIF(O208:Q225,$B230&amp;" ~*")&gt;0)+(COUNTIF(S208:U225,$B230)+COUNTIF(S208:U225,$B230&amp;" ~*")&gt;0)+(COUNTIF(W208:W225,$B230)+COUNTIF(W208:W225,$B230&amp;" ~*")&gt;0)+(COUNTIF(Y208:Y225,$B230)+COUNTIF(Y208:Y225,$B230&amp;" ~*")&gt;0))</f>
        <v/>
      </c>
      <c r="AC230" s="38">
        <f>IF($B230="","",(IFERROR(INDEX(Setup!$G$33:$G$40,MATCH(C230,Setup!$B$33:$B$40,0)),0)=1)*(COUNTIF(C208:E225,$B230)+COUNTIF(C208:E225,$B230&amp;" ~*")&gt;0)+(IFERROR(INDEX(Setup!$G$33:$G$40,MATCH(G230,Setup!$B$33:$B$40,0)),0)=1)*(COUNTIF(G208:I225,$B230)+COUNTIF(G208:I225,$B230&amp;" ~*")&gt;0)+(IFERROR(INDEX(Setup!$G$33:$G$40,MATCH(K230,Setup!$B$33:$B$40,0)),0)=1)*(COUNTIF(K208:M225,$B230)+COUNTIF(K208:M225,$B230&amp;" ~*")&gt;0)+(IFERROR(INDEX(Setup!$G$33:$G$40,MATCH(O230,Setup!$B$33:$B$40,0)),0)=1)*(COUNTIF(O208:Q225,$B230)+COUNTIF(O208:Q225,$B230&amp;" ~*")&gt;0)+(IFERROR(INDEX(Setup!$G$33:$G$40,MATCH(S230,Setup!$B$33:$B$40,0)),0)=1)*(COUNTIF(S208:U225,$B230)+COUNTIF(S208:U225,$B230&amp;" ~*")&gt;0)+(IFERROR(INDEX(Setup!$G$33:$G$40,MATCH(W230,Setup!$B$33:$B$40,0)),0)=1)*(COUNTIF(W208:W225,$B230)+COUNTIF(W208:W225,$B230&amp;" ~*")&gt;0)+(IFERROR(INDEX(Setup!$G$33:$G$40,MATCH(Y230,Setup!$B$33:$B$40,0)),0)=1)*(COUNTIF(Y208:Y225,$B230)+COUNTIF(Y208:Y225,$B230&amp;" ~*")&gt;0))</f>
        <v/>
      </c>
    </row>
    <row r="231" ht="15" customHeight="1">
      <c r="A231" t="n">
        <v>5</v>
      </c>
      <c r="B231" s="35">
        <f>IF(Setup!$B$10="","",Setup!$B$10)</f>
        <v/>
      </c>
      <c r="C231" s="98" t="n"/>
      <c r="D231" s="99" t="n"/>
      <c r="E231" s="99" t="n"/>
      <c r="F231" s="100" t="n"/>
      <c r="G231" s="98" t="n"/>
      <c r="H231" s="99" t="n"/>
      <c r="I231" s="99" t="n"/>
      <c r="J231" s="100" t="n"/>
      <c r="K231" s="98" t="n"/>
      <c r="L231" s="99" t="n"/>
      <c r="M231" s="99" t="n"/>
      <c r="N231" s="100" t="n"/>
      <c r="O231" s="98" t="n"/>
      <c r="P231" s="99" t="n"/>
      <c r="Q231" s="99" t="n"/>
      <c r="R231" s="100" t="n"/>
      <c r="S231" s="98" t="n"/>
      <c r="T231" s="99" t="n"/>
      <c r="U231" s="99" t="n"/>
      <c r="V231" s="100" t="n"/>
      <c r="W231" s="98" t="n"/>
      <c r="X231" s="100" t="n"/>
      <c r="Y231" s="98" t="n"/>
      <c r="Z231" s="100" t="n"/>
      <c r="AB231" s="101">
        <f>IF($B231="","",(COUNTIF(C208:E225,$B231)+COUNTIF(C208:E225,$B231&amp;" ~*")&gt;0)+(COUNTIF(G208:I225,$B231)+COUNTIF(G208:I225,$B231&amp;" ~*")&gt;0)+(COUNTIF(K208:M225,$B231)+COUNTIF(K208:M225,$B231&amp;" ~*")&gt;0)+(COUNTIF(O208:Q225,$B231)+COUNTIF(O208:Q225,$B231&amp;" ~*")&gt;0)+(COUNTIF(S208:U225,$B231)+COUNTIF(S208:U225,$B231&amp;" ~*")&gt;0)+(COUNTIF(W208:W225,$B231)+COUNTIF(W208:W225,$B231&amp;" ~*")&gt;0)+(COUNTIF(Y208:Y225,$B231)+COUNTIF(Y208:Y225,$B231&amp;" ~*")&gt;0))</f>
        <v/>
      </c>
      <c r="AC231" s="36">
        <f>IF($B231="","",(IFERROR(INDEX(Setup!$G$33:$G$40,MATCH(C231,Setup!$B$33:$B$40,0)),0)=1)*(COUNTIF(C208:E225,$B231)+COUNTIF(C208:E225,$B231&amp;" ~*")&gt;0)+(IFERROR(INDEX(Setup!$G$33:$G$40,MATCH(G231,Setup!$B$33:$B$40,0)),0)=1)*(COUNTIF(G208:I225,$B231)+COUNTIF(G208:I225,$B231&amp;" ~*")&gt;0)+(IFERROR(INDEX(Setup!$G$33:$G$40,MATCH(K231,Setup!$B$33:$B$40,0)),0)=1)*(COUNTIF(K208:M225,$B231)+COUNTIF(K208:M225,$B231&amp;" ~*")&gt;0)+(IFERROR(INDEX(Setup!$G$33:$G$40,MATCH(O231,Setup!$B$33:$B$40,0)),0)=1)*(COUNTIF(O208:Q225,$B231)+COUNTIF(O208:Q225,$B231&amp;" ~*")&gt;0)+(IFERROR(INDEX(Setup!$G$33:$G$40,MATCH(S231,Setup!$B$33:$B$40,0)),0)=1)*(COUNTIF(S208:U225,$B231)+COUNTIF(S208:U225,$B231&amp;" ~*")&gt;0)+(IFERROR(INDEX(Setup!$G$33:$G$40,MATCH(W231,Setup!$B$33:$B$40,0)),0)=1)*(COUNTIF(W208:W225,$B231)+COUNTIF(W208:W225,$B231&amp;" ~*")&gt;0)+(IFERROR(INDEX(Setup!$G$33:$G$40,MATCH(Y231,Setup!$B$33:$B$40,0)),0)=1)*(COUNTIF(Y208:Y225,$B231)+COUNTIF(Y208:Y225,$B231&amp;" ~*")&gt;0))</f>
        <v/>
      </c>
    </row>
    <row r="232" ht="15" customHeight="1">
      <c r="A232" t="n">
        <v>5</v>
      </c>
      <c r="B232" s="37">
        <f>IF(Setup!$B$11="","",Setup!$B$11)</f>
        <v/>
      </c>
      <c r="C232" s="102" t="n"/>
      <c r="D232" s="103" t="n"/>
      <c r="E232" s="103" t="n"/>
      <c r="F232" s="104" t="n"/>
      <c r="G232" s="102" t="n"/>
      <c r="H232" s="103" t="n"/>
      <c r="I232" s="103" t="n"/>
      <c r="J232" s="104" t="n"/>
      <c r="K232" s="102" t="n"/>
      <c r="L232" s="103" t="n"/>
      <c r="M232" s="103" t="n"/>
      <c r="N232" s="104" t="n"/>
      <c r="O232" s="102" t="n"/>
      <c r="P232" s="103" t="n"/>
      <c r="Q232" s="103" t="n"/>
      <c r="R232" s="104" t="n"/>
      <c r="S232" s="102" t="n"/>
      <c r="T232" s="103" t="n"/>
      <c r="U232" s="103" t="n"/>
      <c r="V232" s="104" t="n"/>
      <c r="W232" s="102" t="n"/>
      <c r="X232" s="104" t="n"/>
      <c r="Y232" s="102" t="n"/>
      <c r="Z232" s="104" t="n"/>
      <c r="AB232" s="105">
        <f>IF($B232="","",(COUNTIF(C208:E225,$B232)+COUNTIF(C208:E225,$B232&amp;" ~*")&gt;0)+(COUNTIF(G208:I225,$B232)+COUNTIF(G208:I225,$B232&amp;" ~*")&gt;0)+(COUNTIF(K208:M225,$B232)+COUNTIF(K208:M225,$B232&amp;" ~*")&gt;0)+(COUNTIF(O208:Q225,$B232)+COUNTIF(O208:Q225,$B232&amp;" ~*")&gt;0)+(COUNTIF(S208:U225,$B232)+COUNTIF(S208:U225,$B232&amp;" ~*")&gt;0)+(COUNTIF(W208:W225,$B232)+COUNTIF(W208:W225,$B232&amp;" ~*")&gt;0)+(COUNTIF(Y208:Y225,$B232)+COUNTIF(Y208:Y225,$B232&amp;" ~*")&gt;0))</f>
        <v/>
      </c>
      <c r="AC232" s="38">
        <f>IF($B232="","",(IFERROR(INDEX(Setup!$G$33:$G$40,MATCH(C232,Setup!$B$33:$B$40,0)),0)=1)*(COUNTIF(C208:E225,$B232)+COUNTIF(C208:E225,$B232&amp;" ~*")&gt;0)+(IFERROR(INDEX(Setup!$G$33:$G$40,MATCH(G232,Setup!$B$33:$B$40,0)),0)=1)*(COUNTIF(G208:I225,$B232)+COUNTIF(G208:I225,$B232&amp;" ~*")&gt;0)+(IFERROR(INDEX(Setup!$G$33:$G$40,MATCH(K232,Setup!$B$33:$B$40,0)),0)=1)*(COUNTIF(K208:M225,$B232)+COUNTIF(K208:M225,$B232&amp;" ~*")&gt;0)+(IFERROR(INDEX(Setup!$G$33:$G$40,MATCH(O232,Setup!$B$33:$B$40,0)),0)=1)*(COUNTIF(O208:Q225,$B232)+COUNTIF(O208:Q225,$B232&amp;" ~*")&gt;0)+(IFERROR(INDEX(Setup!$G$33:$G$40,MATCH(S232,Setup!$B$33:$B$40,0)),0)=1)*(COUNTIF(S208:U225,$B232)+COUNTIF(S208:U225,$B232&amp;" ~*")&gt;0)+(IFERROR(INDEX(Setup!$G$33:$G$40,MATCH(W232,Setup!$B$33:$B$40,0)),0)=1)*(COUNTIF(W208:W225,$B232)+COUNTIF(W208:W225,$B232&amp;" ~*")&gt;0)+(IFERROR(INDEX(Setup!$G$33:$G$40,MATCH(Y232,Setup!$B$33:$B$40,0)),0)=1)*(COUNTIF(Y208:Y225,$B232)+COUNTIF(Y208:Y225,$B232&amp;" ~*")&gt;0))</f>
        <v/>
      </c>
    </row>
    <row r="233" ht="15" customHeight="1">
      <c r="A233" t="n">
        <v>5</v>
      </c>
      <c r="B233" s="35">
        <f>IF(Setup!$B$12="","",Setup!$B$12)</f>
        <v/>
      </c>
      <c r="C233" s="98" t="n"/>
      <c r="D233" s="99" t="n"/>
      <c r="E233" s="99" t="n"/>
      <c r="F233" s="100" t="n"/>
      <c r="G233" s="98" t="n"/>
      <c r="H233" s="99" t="n"/>
      <c r="I233" s="99" t="n"/>
      <c r="J233" s="100" t="n"/>
      <c r="K233" s="98" t="n"/>
      <c r="L233" s="99" t="n"/>
      <c r="M233" s="99" t="n"/>
      <c r="N233" s="100" t="n"/>
      <c r="O233" s="98" t="n"/>
      <c r="P233" s="99" t="n"/>
      <c r="Q233" s="99" t="n"/>
      <c r="R233" s="100" t="n"/>
      <c r="S233" s="98" t="n"/>
      <c r="T233" s="99" t="n"/>
      <c r="U233" s="99" t="n"/>
      <c r="V233" s="100" t="n"/>
      <c r="W233" s="98" t="n"/>
      <c r="X233" s="100" t="n"/>
      <c r="Y233" s="98" t="n"/>
      <c r="Z233" s="100" t="n"/>
      <c r="AB233" s="101">
        <f>IF($B233="","",(COUNTIF(C208:E225,$B233)+COUNTIF(C208:E225,$B233&amp;" ~*")&gt;0)+(COUNTIF(G208:I225,$B233)+COUNTIF(G208:I225,$B233&amp;" ~*")&gt;0)+(COUNTIF(K208:M225,$B233)+COUNTIF(K208:M225,$B233&amp;" ~*")&gt;0)+(COUNTIF(O208:Q225,$B233)+COUNTIF(O208:Q225,$B233&amp;" ~*")&gt;0)+(COUNTIF(S208:U225,$B233)+COUNTIF(S208:U225,$B233&amp;" ~*")&gt;0)+(COUNTIF(W208:W225,$B233)+COUNTIF(W208:W225,$B233&amp;" ~*")&gt;0)+(COUNTIF(Y208:Y225,$B233)+COUNTIF(Y208:Y225,$B233&amp;" ~*")&gt;0))</f>
        <v/>
      </c>
      <c r="AC233" s="36">
        <f>IF($B233="","",(IFERROR(INDEX(Setup!$G$33:$G$40,MATCH(C233,Setup!$B$33:$B$40,0)),0)=1)*(COUNTIF(C208:E225,$B233)+COUNTIF(C208:E225,$B233&amp;" ~*")&gt;0)+(IFERROR(INDEX(Setup!$G$33:$G$40,MATCH(G233,Setup!$B$33:$B$40,0)),0)=1)*(COUNTIF(G208:I225,$B233)+COUNTIF(G208:I225,$B233&amp;" ~*")&gt;0)+(IFERROR(INDEX(Setup!$G$33:$G$40,MATCH(K233,Setup!$B$33:$B$40,0)),0)=1)*(COUNTIF(K208:M225,$B233)+COUNTIF(K208:M225,$B233&amp;" ~*")&gt;0)+(IFERROR(INDEX(Setup!$G$33:$G$40,MATCH(O233,Setup!$B$33:$B$40,0)),0)=1)*(COUNTIF(O208:Q225,$B233)+COUNTIF(O208:Q225,$B233&amp;" ~*")&gt;0)+(IFERROR(INDEX(Setup!$G$33:$G$40,MATCH(S233,Setup!$B$33:$B$40,0)),0)=1)*(COUNTIF(S208:U225,$B233)+COUNTIF(S208:U225,$B233&amp;" ~*")&gt;0)+(IFERROR(INDEX(Setup!$G$33:$G$40,MATCH(W233,Setup!$B$33:$B$40,0)),0)=1)*(COUNTIF(W208:W225,$B233)+COUNTIF(W208:W225,$B233&amp;" ~*")&gt;0)+(IFERROR(INDEX(Setup!$G$33:$G$40,MATCH(Y233,Setup!$B$33:$B$40,0)),0)=1)*(COUNTIF(Y208:Y225,$B233)+COUNTIF(Y208:Y225,$B233&amp;" ~*")&gt;0))</f>
        <v/>
      </c>
    </row>
    <row r="234" ht="15" customHeight="1">
      <c r="A234" t="n">
        <v>5</v>
      </c>
      <c r="B234" s="37">
        <f>IF(Setup!$B$13="","",Setup!$B$13)</f>
        <v/>
      </c>
      <c r="C234" s="102" t="n"/>
      <c r="D234" s="103" t="n"/>
      <c r="E234" s="103" t="n"/>
      <c r="F234" s="104" t="n"/>
      <c r="G234" s="102" t="n"/>
      <c r="H234" s="103" t="n"/>
      <c r="I234" s="103" t="n"/>
      <c r="J234" s="104" t="n"/>
      <c r="K234" s="102" t="n"/>
      <c r="L234" s="103" t="n"/>
      <c r="M234" s="103" t="n"/>
      <c r="N234" s="104" t="n"/>
      <c r="O234" s="102" t="n"/>
      <c r="P234" s="103" t="n"/>
      <c r="Q234" s="103" t="n"/>
      <c r="R234" s="104" t="n"/>
      <c r="S234" s="102" t="n"/>
      <c r="T234" s="103" t="n"/>
      <c r="U234" s="103" t="n"/>
      <c r="V234" s="104" t="n"/>
      <c r="W234" s="102" t="n"/>
      <c r="X234" s="104" t="n"/>
      <c r="Y234" s="102" t="n"/>
      <c r="Z234" s="104" t="n"/>
      <c r="AB234" s="105">
        <f>IF($B234="","",(COUNTIF(C208:E225,$B234)+COUNTIF(C208:E225,$B234&amp;" ~*")&gt;0)+(COUNTIF(G208:I225,$B234)+COUNTIF(G208:I225,$B234&amp;" ~*")&gt;0)+(COUNTIF(K208:M225,$B234)+COUNTIF(K208:M225,$B234&amp;" ~*")&gt;0)+(COUNTIF(O208:Q225,$B234)+COUNTIF(O208:Q225,$B234&amp;" ~*")&gt;0)+(COUNTIF(S208:U225,$B234)+COUNTIF(S208:U225,$B234&amp;" ~*")&gt;0)+(COUNTIF(W208:W225,$B234)+COUNTIF(W208:W225,$B234&amp;" ~*")&gt;0)+(COUNTIF(Y208:Y225,$B234)+COUNTIF(Y208:Y225,$B234&amp;" ~*")&gt;0))</f>
        <v/>
      </c>
      <c r="AC234" s="38">
        <f>IF($B234="","",(IFERROR(INDEX(Setup!$G$33:$G$40,MATCH(C234,Setup!$B$33:$B$40,0)),0)=1)*(COUNTIF(C208:E225,$B234)+COUNTIF(C208:E225,$B234&amp;" ~*")&gt;0)+(IFERROR(INDEX(Setup!$G$33:$G$40,MATCH(G234,Setup!$B$33:$B$40,0)),0)=1)*(COUNTIF(G208:I225,$B234)+COUNTIF(G208:I225,$B234&amp;" ~*")&gt;0)+(IFERROR(INDEX(Setup!$G$33:$G$40,MATCH(K234,Setup!$B$33:$B$40,0)),0)=1)*(COUNTIF(K208:M225,$B234)+COUNTIF(K208:M225,$B234&amp;" ~*")&gt;0)+(IFERROR(INDEX(Setup!$G$33:$G$40,MATCH(O234,Setup!$B$33:$B$40,0)),0)=1)*(COUNTIF(O208:Q225,$B234)+COUNTIF(O208:Q225,$B234&amp;" ~*")&gt;0)+(IFERROR(INDEX(Setup!$G$33:$G$40,MATCH(S234,Setup!$B$33:$B$40,0)),0)=1)*(COUNTIF(S208:U225,$B234)+COUNTIF(S208:U225,$B234&amp;" ~*")&gt;0)+(IFERROR(INDEX(Setup!$G$33:$G$40,MATCH(W234,Setup!$B$33:$B$40,0)),0)=1)*(COUNTIF(W208:W225,$B234)+COUNTIF(W208:W225,$B234&amp;" ~*")&gt;0)+(IFERROR(INDEX(Setup!$G$33:$G$40,MATCH(Y234,Setup!$B$33:$B$40,0)),0)=1)*(COUNTIF(Y208:Y225,$B234)+COUNTIF(Y208:Y225,$B234&amp;" ~*")&gt;0))</f>
        <v/>
      </c>
    </row>
    <row r="235" ht="15" customHeight="1">
      <c r="A235" t="n">
        <v>5</v>
      </c>
      <c r="B235" s="35">
        <f>IF(Setup!$B$14="","",Setup!$B$14)</f>
        <v/>
      </c>
      <c r="C235" s="98" t="n"/>
      <c r="D235" s="99" t="n"/>
      <c r="E235" s="99" t="n"/>
      <c r="F235" s="100" t="n"/>
      <c r="G235" s="98" t="n"/>
      <c r="H235" s="99" t="n"/>
      <c r="I235" s="99" t="n"/>
      <c r="J235" s="100" t="n"/>
      <c r="K235" s="98" t="n"/>
      <c r="L235" s="99" t="n"/>
      <c r="M235" s="99" t="n"/>
      <c r="N235" s="100" t="n"/>
      <c r="O235" s="98" t="n"/>
      <c r="P235" s="99" t="n"/>
      <c r="Q235" s="99" t="n"/>
      <c r="R235" s="100" t="n"/>
      <c r="S235" s="98" t="n"/>
      <c r="T235" s="99" t="n"/>
      <c r="U235" s="99" t="n"/>
      <c r="V235" s="100" t="n"/>
      <c r="W235" s="98" t="n"/>
      <c r="X235" s="100" t="n"/>
      <c r="Y235" s="98" t="n"/>
      <c r="Z235" s="100" t="n"/>
      <c r="AB235" s="101">
        <f>IF($B235="","",(COUNTIF(C208:E225,$B235)+COUNTIF(C208:E225,$B235&amp;" ~*")&gt;0)+(COUNTIF(G208:I225,$B235)+COUNTIF(G208:I225,$B235&amp;" ~*")&gt;0)+(COUNTIF(K208:M225,$B235)+COUNTIF(K208:M225,$B235&amp;" ~*")&gt;0)+(COUNTIF(O208:Q225,$B235)+COUNTIF(O208:Q225,$B235&amp;" ~*")&gt;0)+(COUNTIF(S208:U225,$B235)+COUNTIF(S208:U225,$B235&amp;" ~*")&gt;0)+(COUNTIF(W208:W225,$B235)+COUNTIF(W208:W225,$B235&amp;" ~*")&gt;0)+(COUNTIF(Y208:Y225,$B235)+COUNTIF(Y208:Y225,$B235&amp;" ~*")&gt;0))</f>
        <v/>
      </c>
      <c r="AC235" s="36">
        <f>IF($B235="","",(IFERROR(INDEX(Setup!$G$33:$G$40,MATCH(C235,Setup!$B$33:$B$40,0)),0)=1)*(COUNTIF(C208:E225,$B235)+COUNTIF(C208:E225,$B235&amp;" ~*")&gt;0)+(IFERROR(INDEX(Setup!$G$33:$G$40,MATCH(G235,Setup!$B$33:$B$40,0)),0)=1)*(COUNTIF(G208:I225,$B235)+COUNTIF(G208:I225,$B235&amp;" ~*")&gt;0)+(IFERROR(INDEX(Setup!$G$33:$G$40,MATCH(K235,Setup!$B$33:$B$40,0)),0)=1)*(COUNTIF(K208:M225,$B235)+COUNTIF(K208:M225,$B235&amp;" ~*")&gt;0)+(IFERROR(INDEX(Setup!$G$33:$G$40,MATCH(O235,Setup!$B$33:$B$40,0)),0)=1)*(COUNTIF(O208:Q225,$B235)+COUNTIF(O208:Q225,$B235&amp;" ~*")&gt;0)+(IFERROR(INDEX(Setup!$G$33:$G$40,MATCH(S235,Setup!$B$33:$B$40,0)),0)=1)*(COUNTIF(S208:U225,$B235)+COUNTIF(S208:U225,$B235&amp;" ~*")&gt;0)+(IFERROR(INDEX(Setup!$G$33:$G$40,MATCH(W235,Setup!$B$33:$B$40,0)),0)=1)*(COUNTIF(W208:W225,$B235)+COUNTIF(W208:W225,$B235&amp;" ~*")&gt;0)+(IFERROR(INDEX(Setup!$G$33:$G$40,MATCH(Y235,Setup!$B$33:$B$40,0)),0)=1)*(COUNTIF(Y208:Y225,$B235)+COUNTIF(Y208:Y225,$B235&amp;" ~*")&gt;0))</f>
        <v/>
      </c>
    </row>
    <row r="236" ht="15" customHeight="1">
      <c r="A236" t="n">
        <v>5</v>
      </c>
      <c r="B236" s="37">
        <f>IF(Setup!$B$15="","",Setup!$B$15)</f>
        <v/>
      </c>
      <c r="C236" s="102" t="n"/>
      <c r="D236" s="103" t="n"/>
      <c r="E236" s="103" t="n"/>
      <c r="F236" s="104" t="n"/>
      <c r="G236" s="102" t="n"/>
      <c r="H236" s="103" t="n"/>
      <c r="I236" s="103" t="n"/>
      <c r="J236" s="104" t="n"/>
      <c r="K236" s="102" t="n"/>
      <c r="L236" s="103" t="n"/>
      <c r="M236" s="103" t="n"/>
      <c r="N236" s="104" t="n"/>
      <c r="O236" s="102" t="n"/>
      <c r="P236" s="103" t="n"/>
      <c r="Q236" s="103" t="n"/>
      <c r="R236" s="104" t="n"/>
      <c r="S236" s="102" t="n"/>
      <c r="T236" s="103" t="n"/>
      <c r="U236" s="103" t="n"/>
      <c r="V236" s="104" t="n"/>
      <c r="W236" s="102" t="n"/>
      <c r="X236" s="104" t="n"/>
      <c r="Y236" s="102" t="n"/>
      <c r="Z236" s="104" t="n"/>
      <c r="AB236" s="105">
        <f>IF($B236="","",(COUNTIF(C208:E225,$B236)+COUNTIF(C208:E225,$B236&amp;" ~*")&gt;0)+(COUNTIF(G208:I225,$B236)+COUNTIF(G208:I225,$B236&amp;" ~*")&gt;0)+(COUNTIF(K208:M225,$B236)+COUNTIF(K208:M225,$B236&amp;" ~*")&gt;0)+(COUNTIF(O208:Q225,$B236)+COUNTIF(O208:Q225,$B236&amp;" ~*")&gt;0)+(COUNTIF(S208:U225,$B236)+COUNTIF(S208:U225,$B236&amp;" ~*")&gt;0)+(COUNTIF(W208:W225,$B236)+COUNTIF(W208:W225,$B236&amp;" ~*")&gt;0)+(COUNTIF(Y208:Y225,$B236)+COUNTIF(Y208:Y225,$B236&amp;" ~*")&gt;0))</f>
        <v/>
      </c>
      <c r="AC236" s="38">
        <f>IF($B236="","",(IFERROR(INDEX(Setup!$G$33:$G$40,MATCH(C236,Setup!$B$33:$B$40,0)),0)=1)*(COUNTIF(C208:E225,$B236)+COUNTIF(C208:E225,$B236&amp;" ~*")&gt;0)+(IFERROR(INDEX(Setup!$G$33:$G$40,MATCH(G236,Setup!$B$33:$B$40,0)),0)=1)*(COUNTIF(G208:I225,$B236)+COUNTIF(G208:I225,$B236&amp;" ~*")&gt;0)+(IFERROR(INDEX(Setup!$G$33:$G$40,MATCH(K236,Setup!$B$33:$B$40,0)),0)=1)*(COUNTIF(K208:M225,$B236)+COUNTIF(K208:M225,$B236&amp;" ~*")&gt;0)+(IFERROR(INDEX(Setup!$G$33:$G$40,MATCH(O236,Setup!$B$33:$B$40,0)),0)=1)*(COUNTIF(O208:Q225,$B236)+COUNTIF(O208:Q225,$B236&amp;" ~*")&gt;0)+(IFERROR(INDEX(Setup!$G$33:$G$40,MATCH(S236,Setup!$B$33:$B$40,0)),0)=1)*(COUNTIF(S208:U225,$B236)+COUNTIF(S208:U225,$B236&amp;" ~*")&gt;0)+(IFERROR(INDEX(Setup!$G$33:$G$40,MATCH(W236,Setup!$B$33:$B$40,0)),0)=1)*(COUNTIF(W208:W225,$B236)+COUNTIF(W208:W225,$B236&amp;" ~*")&gt;0)+(IFERROR(INDEX(Setup!$G$33:$G$40,MATCH(Y236,Setup!$B$33:$B$40,0)),0)=1)*(COUNTIF(Y208:Y225,$B236)+COUNTIF(Y208:Y225,$B236&amp;" ~*")&gt;0))</f>
        <v/>
      </c>
    </row>
    <row r="237" ht="15" customHeight="1">
      <c r="A237" t="n">
        <v>5</v>
      </c>
      <c r="B237" s="35">
        <f>IF(Setup!$B$16="","",Setup!$B$16)</f>
        <v/>
      </c>
      <c r="C237" s="98" t="n"/>
      <c r="D237" s="99" t="n"/>
      <c r="E237" s="99" t="n"/>
      <c r="F237" s="100" t="n"/>
      <c r="G237" s="98" t="n"/>
      <c r="H237" s="99" t="n"/>
      <c r="I237" s="99" t="n"/>
      <c r="J237" s="100" t="n"/>
      <c r="K237" s="98" t="n"/>
      <c r="L237" s="99" t="n"/>
      <c r="M237" s="99" t="n"/>
      <c r="N237" s="100" t="n"/>
      <c r="O237" s="98" t="n"/>
      <c r="P237" s="99" t="n"/>
      <c r="Q237" s="99" t="n"/>
      <c r="R237" s="100" t="n"/>
      <c r="S237" s="98" t="n"/>
      <c r="T237" s="99" t="n"/>
      <c r="U237" s="99" t="n"/>
      <c r="V237" s="100" t="n"/>
      <c r="W237" s="98" t="n"/>
      <c r="X237" s="100" t="n"/>
      <c r="Y237" s="98" t="n"/>
      <c r="Z237" s="100" t="n"/>
      <c r="AB237" s="101">
        <f>IF($B237="","",(COUNTIF(C208:E225,$B237)+COUNTIF(C208:E225,$B237&amp;" ~*")&gt;0)+(COUNTIF(G208:I225,$B237)+COUNTIF(G208:I225,$B237&amp;" ~*")&gt;0)+(COUNTIF(K208:M225,$B237)+COUNTIF(K208:M225,$B237&amp;" ~*")&gt;0)+(COUNTIF(O208:Q225,$B237)+COUNTIF(O208:Q225,$B237&amp;" ~*")&gt;0)+(COUNTIF(S208:U225,$B237)+COUNTIF(S208:U225,$B237&amp;" ~*")&gt;0)+(COUNTIF(W208:W225,$B237)+COUNTIF(W208:W225,$B237&amp;" ~*")&gt;0)+(COUNTIF(Y208:Y225,$B237)+COUNTIF(Y208:Y225,$B237&amp;" ~*")&gt;0))</f>
        <v/>
      </c>
      <c r="AC237" s="36">
        <f>IF($B237="","",(IFERROR(INDEX(Setup!$G$33:$G$40,MATCH(C237,Setup!$B$33:$B$40,0)),0)=1)*(COUNTIF(C208:E225,$B237)+COUNTIF(C208:E225,$B237&amp;" ~*")&gt;0)+(IFERROR(INDEX(Setup!$G$33:$G$40,MATCH(G237,Setup!$B$33:$B$40,0)),0)=1)*(COUNTIF(G208:I225,$B237)+COUNTIF(G208:I225,$B237&amp;" ~*")&gt;0)+(IFERROR(INDEX(Setup!$G$33:$G$40,MATCH(K237,Setup!$B$33:$B$40,0)),0)=1)*(COUNTIF(K208:M225,$B237)+COUNTIF(K208:M225,$B237&amp;" ~*")&gt;0)+(IFERROR(INDEX(Setup!$G$33:$G$40,MATCH(O237,Setup!$B$33:$B$40,0)),0)=1)*(COUNTIF(O208:Q225,$B237)+COUNTIF(O208:Q225,$B237&amp;" ~*")&gt;0)+(IFERROR(INDEX(Setup!$G$33:$G$40,MATCH(S237,Setup!$B$33:$B$40,0)),0)=1)*(COUNTIF(S208:U225,$B237)+COUNTIF(S208:U225,$B237&amp;" ~*")&gt;0)+(IFERROR(INDEX(Setup!$G$33:$G$40,MATCH(W237,Setup!$B$33:$B$40,0)),0)=1)*(COUNTIF(W208:W225,$B237)+COUNTIF(W208:W225,$B237&amp;" ~*")&gt;0)+(IFERROR(INDEX(Setup!$G$33:$G$40,MATCH(Y237,Setup!$B$33:$B$40,0)),0)=1)*(COUNTIF(Y208:Y225,$B237)+COUNTIF(Y208:Y225,$B237&amp;" ~*")&gt;0))</f>
        <v/>
      </c>
    </row>
    <row r="238" ht="15" customHeight="1">
      <c r="A238" t="n">
        <v>5</v>
      </c>
      <c r="B238" s="37">
        <f>IF(Setup!$B$17="","",Setup!$B$17)</f>
        <v/>
      </c>
      <c r="C238" s="102" t="n"/>
      <c r="D238" s="103" t="n"/>
      <c r="E238" s="103" t="n"/>
      <c r="F238" s="104" t="n"/>
      <c r="G238" s="102" t="n"/>
      <c r="H238" s="103" t="n"/>
      <c r="I238" s="103" t="n"/>
      <c r="J238" s="104" t="n"/>
      <c r="K238" s="102" t="n"/>
      <c r="L238" s="103" t="n"/>
      <c r="M238" s="103" t="n"/>
      <c r="N238" s="104" t="n"/>
      <c r="O238" s="102" t="n"/>
      <c r="P238" s="103" t="n"/>
      <c r="Q238" s="103" t="n"/>
      <c r="R238" s="104" t="n"/>
      <c r="S238" s="102" t="n"/>
      <c r="T238" s="103" t="n"/>
      <c r="U238" s="103" t="n"/>
      <c r="V238" s="104" t="n"/>
      <c r="W238" s="102" t="n"/>
      <c r="X238" s="104" t="n"/>
      <c r="Y238" s="102" t="n"/>
      <c r="Z238" s="104" t="n"/>
      <c r="AB238" s="105">
        <f>IF($B238="","",(COUNTIF(C208:E225,$B238)+COUNTIF(C208:E225,$B238&amp;" ~*")&gt;0)+(COUNTIF(G208:I225,$B238)+COUNTIF(G208:I225,$B238&amp;" ~*")&gt;0)+(COUNTIF(K208:M225,$B238)+COUNTIF(K208:M225,$B238&amp;" ~*")&gt;0)+(COUNTIF(O208:Q225,$B238)+COUNTIF(O208:Q225,$B238&amp;" ~*")&gt;0)+(COUNTIF(S208:U225,$B238)+COUNTIF(S208:U225,$B238&amp;" ~*")&gt;0)+(COUNTIF(W208:W225,$B238)+COUNTIF(W208:W225,$B238&amp;" ~*")&gt;0)+(COUNTIF(Y208:Y225,$B238)+COUNTIF(Y208:Y225,$B238&amp;" ~*")&gt;0))</f>
        <v/>
      </c>
      <c r="AC238" s="38">
        <f>IF($B238="","",(IFERROR(INDEX(Setup!$G$33:$G$40,MATCH(C238,Setup!$B$33:$B$40,0)),0)=1)*(COUNTIF(C208:E225,$B238)+COUNTIF(C208:E225,$B238&amp;" ~*")&gt;0)+(IFERROR(INDEX(Setup!$G$33:$G$40,MATCH(G238,Setup!$B$33:$B$40,0)),0)=1)*(COUNTIF(G208:I225,$B238)+COUNTIF(G208:I225,$B238&amp;" ~*")&gt;0)+(IFERROR(INDEX(Setup!$G$33:$G$40,MATCH(K238,Setup!$B$33:$B$40,0)),0)=1)*(COUNTIF(K208:M225,$B238)+COUNTIF(K208:M225,$B238&amp;" ~*")&gt;0)+(IFERROR(INDEX(Setup!$G$33:$G$40,MATCH(O238,Setup!$B$33:$B$40,0)),0)=1)*(COUNTIF(O208:Q225,$B238)+COUNTIF(O208:Q225,$B238&amp;" ~*")&gt;0)+(IFERROR(INDEX(Setup!$G$33:$G$40,MATCH(S238,Setup!$B$33:$B$40,0)),0)=1)*(COUNTIF(S208:U225,$B238)+COUNTIF(S208:U225,$B238&amp;" ~*")&gt;0)+(IFERROR(INDEX(Setup!$G$33:$G$40,MATCH(W238,Setup!$B$33:$B$40,0)),0)=1)*(COUNTIF(W208:W225,$B238)+COUNTIF(W208:W225,$B238&amp;" ~*")&gt;0)+(IFERROR(INDEX(Setup!$G$33:$G$40,MATCH(Y238,Setup!$B$33:$B$40,0)),0)=1)*(COUNTIF(Y208:Y225,$B238)+COUNTIF(Y208:Y225,$B238&amp;" ~*")&gt;0))</f>
        <v/>
      </c>
    </row>
    <row r="239" ht="15" customHeight="1">
      <c r="A239" t="n">
        <v>5</v>
      </c>
      <c r="B239" s="35">
        <f>IF(Setup!$B$18="","",Setup!$B$18)</f>
        <v/>
      </c>
      <c r="C239" s="98" t="n"/>
      <c r="D239" s="99" t="n"/>
      <c r="E239" s="99" t="n"/>
      <c r="F239" s="100" t="n"/>
      <c r="G239" s="98" t="n"/>
      <c r="H239" s="99" t="n"/>
      <c r="I239" s="99" t="n"/>
      <c r="J239" s="100" t="n"/>
      <c r="K239" s="98" t="n"/>
      <c r="L239" s="99" t="n"/>
      <c r="M239" s="99" t="n"/>
      <c r="N239" s="100" t="n"/>
      <c r="O239" s="98" t="n"/>
      <c r="P239" s="99" t="n"/>
      <c r="Q239" s="99" t="n"/>
      <c r="R239" s="100" t="n"/>
      <c r="S239" s="98" t="n"/>
      <c r="T239" s="99" t="n"/>
      <c r="U239" s="99" t="n"/>
      <c r="V239" s="100" t="n"/>
      <c r="W239" s="98" t="n"/>
      <c r="X239" s="100" t="n"/>
      <c r="Y239" s="98" t="n"/>
      <c r="Z239" s="100" t="n"/>
      <c r="AB239" s="101">
        <f>IF($B239="","",(COUNTIF(C208:E225,$B239)+COUNTIF(C208:E225,$B239&amp;" ~*")&gt;0)+(COUNTIF(G208:I225,$B239)+COUNTIF(G208:I225,$B239&amp;" ~*")&gt;0)+(COUNTIF(K208:M225,$B239)+COUNTIF(K208:M225,$B239&amp;" ~*")&gt;0)+(COUNTIF(O208:Q225,$B239)+COUNTIF(O208:Q225,$B239&amp;" ~*")&gt;0)+(COUNTIF(S208:U225,$B239)+COUNTIF(S208:U225,$B239&amp;" ~*")&gt;0)+(COUNTIF(W208:W225,$B239)+COUNTIF(W208:W225,$B239&amp;" ~*")&gt;0)+(COUNTIF(Y208:Y225,$B239)+COUNTIF(Y208:Y225,$B239&amp;" ~*")&gt;0))</f>
        <v/>
      </c>
      <c r="AC239" s="36">
        <f>IF($B239="","",(IFERROR(INDEX(Setup!$G$33:$G$40,MATCH(C239,Setup!$B$33:$B$40,0)),0)=1)*(COUNTIF(C208:E225,$B239)+COUNTIF(C208:E225,$B239&amp;" ~*")&gt;0)+(IFERROR(INDEX(Setup!$G$33:$G$40,MATCH(G239,Setup!$B$33:$B$40,0)),0)=1)*(COUNTIF(G208:I225,$B239)+COUNTIF(G208:I225,$B239&amp;" ~*")&gt;0)+(IFERROR(INDEX(Setup!$G$33:$G$40,MATCH(K239,Setup!$B$33:$B$40,0)),0)=1)*(COUNTIF(K208:M225,$B239)+COUNTIF(K208:M225,$B239&amp;" ~*")&gt;0)+(IFERROR(INDEX(Setup!$G$33:$G$40,MATCH(O239,Setup!$B$33:$B$40,0)),0)=1)*(COUNTIF(O208:Q225,$B239)+COUNTIF(O208:Q225,$B239&amp;" ~*")&gt;0)+(IFERROR(INDEX(Setup!$G$33:$G$40,MATCH(S239,Setup!$B$33:$B$40,0)),0)=1)*(COUNTIF(S208:U225,$B239)+COUNTIF(S208:U225,$B239&amp;" ~*")&gt;0)+(IFERROR(INDEX(Setup!$G$33:$G$40,MATCH(W239,Setup!$B$33:$B$40,0)),0)=1)*(COUNTIF(W208:W225,$B239)+COUNTIF(W208:W225,$B239&amp;" ~*")&gt;0)+(IFERROR(INDEX(Setup!$G$33:$G$40,MATCH(Y239,Setup!$B$33:$B$40,0)),0)=1)*(COUNTIF(Y208:Y225,$B239)+COUNTIF(Y208:Y225,$B239&amp;" ~*")&gt;0))</f>
        <v/>
      </c>
    </row>
    <row r="240" ht="15" customHeight="1">
      <c r="A240" t="n">
        <v>5</v>
      </c>
      <c r="B240" s="37">
        <f>IF(Setup!$B$19="","",Setup!$B$19)</f>
        <v/>
      </c>
      <c r="C240" s="102" t="n"/>
      <c r="D240" s="103" t="n"/>
      <c r="E240" s="103" t="n"/>
      <c r="F240" s="104" t="n"/>
      <c r="G240" s="102" t="n"/>
      <c r="H240" s="103" t="n"/>
      <c r="I240" s="103" t="n"/>
      <c r="J240" s="104" t="n"/>
      <c r="K240" s="102" t="n"/>
      <c r="L240" s="103" t="n"/>
      <c r="M240" s="103" t="n"/>
      <c r="N240" s="104" t="n"/>
      <c r="O240" s="102" t="n"/>
      <c r="P240" s="103" t="n"/>
      <c r="Q240" s="103" t="n"/>
      <c r="R240" s="104" t="n"/>
      <c r="S240" s="102" t="n"/>
      <c r="T240" s="103" t="n"/>
      <c r="U240" s="103" t="n"/>
      <c r="V240" s="104" t="n"/>
      <c r="W240" s="102" t="n"/>
      <c r="X240" s="104" t="n"/>
      <c r="Y240" s="102" t="n"/>
      <c r="Z240" s="104" t="n"/>
      <c r="AB240" s="105">
        <f>IF($B240="","",(COUNTIF(C208:E225,$B240)+COUNTIF(C208:E225,$B240&amp;" ~*")&gt;0)+(COUNTIF(G208:I225,$B240)+COUNTIF(G208:I225,$B240&amp;" ~*")&gt;0)+(COUNTIF(K208:M225,$B240)+COUNTIF(K208:M225,$B240&amp;" ~*")&gt;0)+(COUNTIF(O208:Q225,$B240)+COUNTIF(O208:Q225,$B240&amp;" ~*")&gt;0)+(COUNTIF(S208:U225,$B240)+COUNTIF(S208:U225,$B240&amp;" ~*")&gt;0)+(COUNTIF(W208:W225,$B240)+COUNTIF(W208:W225,$B240&amp;" ~*")&gt;0)+(COUNTIF(Y208:Y225,$B240)+COUNTIF(Y208:Y225,$B240&amp;" ~*")&gt;0))</f>
        <v/>
      </c>
      <c r="AC240" s="38">
        <f>IF($B240="","",(IFERROR(INDEX(Setup!$G$33:$G$40,MATCH(C240,Setup!$B$33:$B$40,0)),0)=1)*(COUNTIF(C208:E225,$B240)+COUNTIF(C208:E225,$B240&amp;" ~*")&gt;0)+(IFERROR(INDEX(Setup!$G$33:$G$40,MATCH(G240,Setup!$B$33:$B$40,0)),0)=1)*(COUNTIF(G208:I225,$B240)+COUNTIF(G208:I225,$B240&amp;" ~*")&gt;0)+(IFERROR(INDEX(Setup!$G$33:$G$40,MATCH(K240,Setup!$B$33:$B$40,0)),0)=1)*(COUNTIF(K208:M225,$B240)+COUNTIF(K208:M225,$B240&amp;" ~*")&gt;0)+(IFERROR(INDEX(Setup!$G$33:$G$40,MATCH(O240,Setup!$B$33:$B$40,0)),0)=1)*(COUNTIF(O208:Q225,$B240)+COUNTIF(O208:Q225,$B240&amp;" ~*")&gt;0)+(IFERROR(INDEX(Setup!$G$33:$G$40,MATCH(S240,Setup!$B$33:$B$40,0)),0)=1)*(COUNTIF(S208:U225,$B240)+COUNTIF(S208:U225,$B240&amp;" ~*")&gt;0)+(IFERROR(INDEX(Setup!$G$33:$G$40,MATCH(W240,Setup!$B$33:$B$40,0)),0)=1)*(COUNTIF(W208:W225,$B240)+COUNTIF(W208:W225,$B240&amp;" ~*")&gt;0)+(IFERROR(INDEX(Setup!$G$33:$G$40,MATCH(Y240,Setup!$B$33:$B$40,0)),0)=1)*(COUNTIF(Y208:Y225,$B240)+COUNTIF(Y208:Y225,$B240&amp;" ~*")&gt;0))</f>
        <v/>
      </c>
    </row>
    <row r="241" ht="15" customHeight="1">
      <c r="A241" t="n">
        <v>5</v>
      </c>
      <c r="B241" s="35">
        <f>IF(Setup!$B$20="","",Setup!$B$20)</f>
        <v/>
      </c>
      <c r="C241" s="98" t="n"/>
      <c r="D241" s="99" t="n"/>
      <c r="E241" s="99" t="n"/>
      <c r="F241" s="100" t="n"/>
      <c r="G241" s="98" t="n"/>
      <c r="H241" s="99" t="n"/>
      <c r="I241" s="99" t="n"/>
      <c r="J241" s="100" t="n"/>
      <c r="K241" s="98" t="n"/>
      <c r="L241" s="99" t="n"/>
      <c r="M241" s="99" t="n"/>
      <c r="N241" s="100" t="n"/>
      <c r="O241" s="98" t="n"/>
      <c r="P241" s="99" t="n"/>
      <c r="Q241" s="99" t="n"/>
      <c r="R241" s="100" t="n"/>
      <c r="S241" s="98" t="n"/>
      <c r="T241" s="99" t="n"/>
      <c r="U241" s="99" t="n"/>
      <c r="V241" s="100" t="n"/>
      <c r="W241" s="98" t="n"/>
      <c r="X241" s="100" t="n"/>
      <c r="Y241" s="98" t="n"/>
      <c r="Z241" s="100" t="n"/>
      <c r="AB241" s="101">
        <f>IF($B241="","",(COUNTIF(C208:E225,$B241)+COUNTIF(C208:E225,$B241&amp;" ~*")&gt;0)+(COUNTIF(G208:I225,$B241)+COUNTIF(G208:I225,$B241&amp;" ~*")&gt;0)+(COUNTIF(K208:M225,$B241)+COUNTIF(K208:M225,$B241&amp;" ~*")&gt;0)+(COUNTIF(O208:Q225,$B241)+COUNTIF(O208:Q225,$B241&amp;" ~*")&gt;0)+(COUNTIF(S208:U225,$B241)+COUNTIF(S208:U225,$B241&amp;" ~*")&gt;0)+(COUNTIF(W208:W225,$B241)+COUNTIF(W208:W225,$B241&amp;" ~*")&gt;0)+(COUNTIF(Y208:Y225,$B241)+COUNTIF(Y208:Y225,$B241&amp;" ~*")&gt;0))</f>
        <v/>
      </c>
      <c r="AC241" s="36">
        <f>IF($B241="","",(IFERROR(INDEX(Setup!$G$33:$G$40,MATCH(C241,Setup!$B$33:$B$40,0)),0)=1)*(COUNTIF(C208:E225,$B241)+COUNTIF(C208:E225,$B241&amp;" ~*")&gt;0)+(IFERROR(INDEX(Setup!$G$33:$G$40,MATCH(G241,Setup!$B$33:$B$40,0)),0)=1)*(COUNTIF(G208:I225,$B241)+COUNTIF(G208:I225,$B241&amp;" ~*")&gt;0)+(IFERROR(INDEX(Setup!$G$33:$G$40,MATCH(K241,Setup!$B$33:$B$40,0)),0)=1)*(COUNTIF(K208:M225,$B241)+COUNTIF(K208:M225,$B241&amp;" ~*")&gt;0)+(IFERROR(INDEX(Setup!$G$33:$G$40,MATCH(O241,Setup!$B$33:$B$40,0)),0)=1)*(COUNTIF(O208:Q225,$B241)+COUNTIF(O208:Q225,$B241&amp;" ~*")&gt;0)+(IFERROR(INDEX(Setup!$G$33:$G$40,MATCH(S241,Setup!$B$33:$B$40,0)),0)=1)*(COUNTIF(S208:U225,$B241)+COUNTIF(S208:U225,$B241&amp;" ~*")&gt;0)+(IFERROR(INDEX(Setup!$G$33:$G$40,MATCH(W241,Setup!$B$33:$B$40,0)),0)=1)*(COUNTIF(W208:W225,$B241)+COUNTIF(W208:W225,$B241&amp;" ~*")&gt;0)+(IFERROR(INDEX(Setup!$G$33:$G$40,MATCH(Y241,Setup!$B$33:$B$40,0)),0)=1)*(COUNTIF(Y208:Y225,$B241)+COUNTIF(Y208:Y225,$B241&amp;" ~*")&gt;0))</f>
        <v/>
      </c>
    </row>
    <row r="242" ht="15" customHeight="1">
      <c r="A242" t="n">
        <v>5</v>
      </c>
      <c r="B242" s="37">
        <f>IF(Setup!$B$21="","",Setup!$B$21)</f>
        <v/>
      </c>
      <c r="C242" s="102" t="n"/>
      <c r="D242" s="103" t="n"/>
      <c r="E242" s="103" t="n"/>
      <c r="F242" s="104" t="n"/>
      <c r="G242" s="102" t="n"/>
      <c r="H242" s="103" t="n"/>
      <c r="I242" s="103" t="n"/>
      <c r="J242" s="104" t="n"/>
      <c r="K242" s="102" t="n"/>
      <c r="L242" s="103" t="n"/>
      <c r="M242" s="103" t="n"/>
      <c r="N242" s="104" t="n"/>
      <c r="O242" s="102" t="n"/>
      <c r="P242" s="103" t="n"/>
      <c r="Q242" s="103" t="n"/>
      <c r="R242" s="104" t="n"/>
      <c r="S242" s="102" t="n"/>
      <c r="T242" s="103" t="n"/>
      <c r="U242" s="103" t="n"/>
      <c r="V242" s="104" t="n"/>
      <c r="W242" s="102" t="n"/>
      <c r="X242" s="104" t="n"/>
      <c r="Y242" s="102" t="n"/>
      <c r="Z242" s="104" t="n"/>
      <c r="AB242" s="105">
        <f>IF($B242="","",(COUNTIF(C208:E225,$B242)+COUNTIF(C208:E225,$B242&amp;" ~*")&gt;0)+(COUNTIF(G208:I225,$B242)+COUNTIF(G208:I225,$B242&amp;" ~*")&gt;0)+(COUNTIF(K208:M225,$B242)+COUNTIF(K208:M225,$B242&amp;" ~*")&gt;0)+(COUNTIF(O208:Q225,$B242)+COUNTIF(O208:Q225,$B242&amp;" ~*")&gt;0)+(COUNTIF(S208:U225,$B242)+COUNTIF(S208:U225,$B242&amp;" ~*")&gt;0)+(COUNTIF(W208:W225,$B242)+COUNTIF(W208:W225,$B242&amp;" ~*")&gt;0)+(COUNTIF(Y208:Y225,$B242)+COUNTIF(Y208:Y225,$B242&amp;" ~*")&gt;0))</f>
        <v/>
      </c>
      <c r="AC242" s="38">
        <f>IF($B242="","",(IFERROR(INDEX(Setup!$G$33:$G$40,MATCH(C242,Setup!$B$33:$B$40,0)),0)=1)*(COUNTIF(C208:E225,$B242)+COUNTIF(C208:E225,$B242&amp;" ~*")&gt;0)+(IFERROR(INDEX(Setup!$G$33:$G$40,MATCH(G242,Setup!$B$33:$B$40,0)),0)=1)*(COUNTIF(G208:I225,$B242)+COUNTIF(G208:I225,$B242&amp;" ~*")&gt;0)+(IFERROR(INDEX(Setup!$G$33:$G$40,MATCH(K242,Setup!$B$33:$B$40,0)),0)=1)*(COUNTIF(K208:M225,$B242)+COUNTIF(K208:M225,$B242&amp;" ~*")&gt;0)+(IFERROR(INDEX(Setup!$G$33:$G$40,MATCH(O242,Setup!$B$33:$B$40,0)),0)=1)*(COUNTIF(O208:Q225,$B242)+COUNTIF(O208:Q225,$B242&amp;" ~*")&gt;0)+(IFERROR(INDEX(Setup!$G$33:$G$40,MATCH(S242,Setup!$B$33:$B$40,0)),0)=1)*(COUNTIF(S208:U225,$B242)+COUNTIF(S208:U225,$B242&amp;" ~*")&gt;0)+(IFERROR(INDEX(Setup!$G$33:$G$40,MATCH(W242,Setup!$B$33:$B$40,0)),0)=1)*(COUNTIF(W208:W225,$B242)+COUNTIF(W208:W225,$B242&amp;" ~*")&gt;0)+(IFERROR(INDEX(Setup!$G$33:$G$40,MATCH(Y242,Setup!$B$33:$B$40,0)),0)=1)*(COUNTIF(Y208:Y225,$B242)+COUNTIF(Y208:Y225,$B242&amp;" ~*")&gt;0))</f>
        <v/>
      </c>
    </row>
    <row r="243" ht="15" customHeight="1">
      <c r="A243" t="n">
        <v>5</v>
      </c>
      <c r="B243" s="35">
        <f>IF(Setup!$B$22="","",Setup!$B$22)</f>
        <v/>
      </c>
      <c r="C243" s="98" t="n"/>
      <c r="D243" s="99" t="n"/>
      <c r="E243" s="99" t="n"/>
      <c r="F243" s="100" t="n"/>
      <c r="G243" s="98" t="n"/>
      <c r="H243" s="99" t="n"/>
      <c r="I243" s="99" t="n"/>
      <c r="J243" s="100" t="n"/>
      <c r="K243" s="98" t="n"/>
      <c r="L243" s="99" t="n"/>
      <c r="M243" s="99" t="n"/>
      <c r="N243" s="100" t="n"/>
      <c r="O243" s="98" t="n"/>
      <c r="P243" s="99" t="n"/>
      <c r="Q243" s="99" t="n"/>
      <c r="R243" s="100" t="n"/>
      <c r="S243" s="98" t="n"/>
      <c r="T243" s="99" t="n"/>
      <c r="U243" s="99" t="n"/>
      <c r="V243" s="100" t="n"/>
      <c r="W243" s="98" t="n"/>
      <c r="X243" s="100" t="n"/>
      <c r="Y243" s="98" t="n"/>
      <c r="Z243" s="100" t="n"/>
      <c r="AB243" s="101">
        <f>IF($B243="","",(COUNTIF(C208:E225,$B243)+COUNTIF(C208:E225,$B243&amp;" ~*")&gt;0)+(COUNTIF(G208:I225,$B243)+COUNTIF(G208:I225,$B243&amp;" ~*")&gt;0)+(COUNTIF(K208:M225,$B243)+COUNTIF(K208:M225,$B243&amp;" ~*")&gt;0)+(COUNTIF(O208:Q225,$B243)+COUNTIF(O208:Q225,$B243&amp;" ~*")&gt;0)+(COUNTIF(S208:U225,$B243)+COUNTIF(S208:U225,$B243&amp;" ~*")&gt;0)+(COUNTIF(W208:W225,$B243)+COUNTIF(W208:W225,$B243&amp;" ~*")&gt;0)+(COUNTIF(Y208:Y225,$B243)+COUNTIF(Y208:Y225,$B243&amp;" ~*")&gt;0))</f>
        <v/>
      </c>
      <c r="AC243" s="36">
        <f>IF($B243="","",(IFERROR(INDEX(Setup!$G$33:$G$40,MATCH(C243,Setup!$B$33:$B$40,0)),0)=1)*(COUNTIF(C208:E225,$B243)+COUNTIF(C208:E225,$B243&amp;" ~*")&gt;0)+(IFERROR(INDEX(Setup!$G$33:$G$40,MATCH(G243,Setup!$B$33:$B$40,0)),0)=1)*(COUNTIF(G208:I225,$B243)+COUNTIF(G208:I225,$B243&amp;" ~*")&gt;0)+(IFERROR(INDEX(Setup!$G$33:$G$40,MATCH(K243,Setup!$B$33:$B$40,0)),0)=1)*(COUNTIF(K208:M225,$B243)+COUNTIF(K208:M225,$B243&amp;" ~*")&gt;0)+(IFERROR(INDEX(Setup!$G$33:$G$40,MATCH(O243,Setup!$B$33:$B$40,0)),0)=1)*(COUNTIF(O208:Q225,$B243)+COUNTIF(O208:Q225,$B243&amp;" ~*")&gt;0)+(IFERROR(INDEX(Setup!$G$33:$G$40,MATCH(S243,Setup!$B$33:$B$40,0)),0)=1)*(COUNTIF(S208:U225,$B243)+COUNTIF(S208:U225,$B243&amp;" ~*")&gt;0)+(IFERROR(INDEX(Setup!$G$33:$G$40,MATCH(W243,Setup!$B$33:$B$40,0)),0)=1)*(COUNTIF(W208:W225,$B243)+COUNTIF(W208:W225,$B243&amp;" ~*")&gt;0)+(IFERROR(INDEX(Setup!$G$33:$G$40,MATCH(Y243,Setup!$B$33:$B$40,0)),0)=1)*(COUNTIF(Y208:Y225,$B243)+COUNTIF(Y208:Y225,$B243&amp;" ~*")&gt;0))</f>
        <v/>
      </c>
    </row>
    <row r="244" ht="15" customHeight="1">
      <c r="A244" t="n">
        <v>5</v>
      </c>
      <c r="B244" s="37">
        <f>IF(Setup!$B$23="","",Setup!$B$23)</f>
        <v/>
      </c>
      <c r="C244" s="102" t="n"/>
      <c r="D244" s="103" t="n"/>
      <c r="E244" s="103" t="n"/>
      <c r="F244" s="104" t="n"/>
      <c r="G244" s="102" t="n"/>
      <c r="H244" s="103" t="n"/>
      <c r="I244" s="103" t="n"/>
      <c r="J244" s="104" t="n"/>
      <c r="K244" s="102" t="n"/>
      <c r="L244" s="103" t="n"/>
      <c r="M244" s="103" t="n"/>
      <c r="N244" s="104" t="n"/>
      <c r="O244" s="102" t="n"/>
      <c r="P244" s="103" t="n"/>
      <c r="Q244" s="103" t="n"/>
      <c r="R244" s="104" t="n"/>
      <c r="S244" s="102" t="n"/>
      <c r="T244" s="103" t="n"/>
      <c r="U244" s="103" t="n"/>
      <c r="V244" s="104" t="n"/>
      <c r="W244" s="102" t="n"/>
      <c r="X244" s="104" t="n"/>
      <c r="Y244" s="102" t="n"/>
      <c r="Z244" s="104" t="n"/>
      <c r="AB244" s="105">
        <f>IF($B244="","",(COUNTIF(C208:E225,$B244)+COUNTIF(C208:E225,$B244&amp;" ~*")&gt;0)+(COUNTIF(G208:I225,$B244)+COUNTIF(G208:I225,$B244&amp;" ~*")&gt;0)+(COUNTIF(K208:M225,$B244)+COUNTIF(K208:M225,$B244&amp;" ~*")&gt;0)+(COUNTIF(O208:Q225,$B244)+COUNTIF(O208:Q225,$B244&amp;" ~*")&gt;0)+(COUNTIF(S208:U225,$B244)+COUNTIF(S208:U225,$B244&amp;" ~*")&gt;0)+(COUNTIF(W208:W225,$B244)+COUNTIF(W208:W225,$B244&amp;" ~*")&gt;0)+(COUNTIF(Y208:Y225,$B244)+COUNTIF(Y208:Y225,$B244&amp;" ~*")&gt;0))</f>
        <v/>
      </c>
      <c r="AC244" s="38">
        <f>IF($B244="","",(IFERROR(INDEX(Setup!$G$33:$G$40,MATCH(C244,Setup!$B$33:$B$40,0)),0)=1)*(COUNTIF(C208:E225,$B244)+COUNTIF(C208:E225,$B244&amp;" ~*")&gt;0)+(IFERROR(INDEX(Setup!$G$33:$G$40,MATCH(G244,Setup!$B$33:$B$40,0)),0)=1)*(COUNTIF(G208:I225,$B244)+COUNTIF(G208:I225,$B244&amp;" ~*")&gt;0)+(IFERROR(INDEX(Setup!$G$33:$G$40,MATCH(K244,Setup!$B$33:$B$40,0)),0)=1)*(COUNTIF(K208:M225,$B244)+COUNTIF(K208:M225,$B244&amp;" ~*")&gt;0)+(IFERROR(INDEX(Setup!$G$33:$G$40,MATCH(O244,Setup!$B$33:$B$40,0)),0)=1)*(COUNTIF(O208:Q225,$B244)+COUNTIF(O208:Q225,$B244&amp;" ~*")&gt;0)+(IFERROR(INDEX(Setup!$G$33:$G$40,MATCH(S244,Setup!$B$33:$B$40,0)),0)=1)*(COUNTIF(S208:U225,$B244)+COUNTIF(S208:U225,$B244&amp;" ~*")&gt;0)+(IFERROR(INDEX(Setup!$G$33:$G$40,MATCH(W244,Setup!$B$33:$B$40,0)),0)=1)*(COUNTIF(W208:W225,$B244)+COUNTIF(W208:W225,$B244&amp;" ~*")&gt;0)+(IFERROR(INDEX(Setup!$G$33:$G$40,MATCH(Y244,Setup!$B$33:$B$40,0)),0)=1)*(COUNTIF(Y208:Y225,$B244)+COUNTIF(Y208:Y225,$B244&amp;" ~*")&gt;0))</f>
        <v/>
      </c>
    </row>
    <row r="245" ht="15" customHeight="1">
      <c r="A245" t="n">
        <v>5</v>
      </c>
      <c r="B245" s="35">
        <f>IF(Setup!$B$24="","",Setup!$B$24)</f>
        <v/>
      </c>
      <c r="C245" s="98" t="n"/>
      <c r="D245" s="99" t="n"/>
      <c r="E245" s="99" t="n"/>
      <c r="F245" s="100" t="n"/>
      <c r="G245" s="98" t="n"/>
      <c r="H245" s="99" t="n"/>
      <c r="I245" s="99" t="n"/>
      <c r="J245" s="100" t="n"/>
      <c r="K245" s="98" t="n"/>
      <c r="L245" s="99" t="n"/>
      <c r="M245" s="99" t="n"/>
      <c r="N245" s="100" t="n"/>
      <c r="O245" s="98" t="n"/>
      <c r="P245" s="99" t="n"/>
      <c r="Q245" s="99" t="n"/>
      <c r="R245" s="100" t="n"/>
      <c r="S245" s="98" t="n"/>
      <c r="T245" s="99" t="n"/>
      <c r="U245" s="99" t="n"/>
      <c r="V245" s="100" t="n"/>
      <c r="W245" s="98" t="n"/>
      <c r="X245" s="100" t="n"/>
      <c r="Y245" s="98" t="n"/>
      <c r="Z245" s="100" t="n"/>
      <c r="AB245" s="101">
        <f>IF($B245="","",(COUNTIF(C208:E225,$B245)+COUNTIF(C208:E225,$B245&amp;" ~*")&gt;0)+(COUNTIF(G208:I225,$B245)+COUNTIF(G208:I225,$B245&amp;" ~*")&gt;0)+(COUNTIF(K208:M225,$B245)+COUNTIF(K208:M225,$B245&amp;" ~*")&gt;0)+(COUNTIF(O208:Q225,$B245)+COUNTIF(O208:Q225,$B245&amp;" ~*")&gt;0)+(COUNTIF(S208:U225,$B245)+COUNTIF(S208:U225,$B245&amp;" ~*")&gt;0)+(COUNTIF(W208:W225,$B245)+COUNTIF(W208:W225,$B245&amp;" ~*")&gt;0)+(COUNTIF(Y208:Y225,$B245)+COUNTIF(Y208:Y225,$B245&amp;" ~*")&gt;0))</f>
        <v/>
      </c>
      <c r="AC245" s="36">
        <f>IF($B245="","",(IFERROR(INDEX(Setup!$G$33:$G$40,MATCH(C245,Setup!$B$33:$B$40,0)),0)=1)*(COUNTIF(C208:E225,$B245)+COUNTIF(C208:E225,$B245&amp;" ~*")&gt;0)+(IFERROR(INDEX(Setup!$G$33:$G$40,MATCH(G245,Setup!$B$33:$B$40,0)),0)=1)*(COUNTIF(G208:I225,$B245)+COUNTIF(G208:I225,$B245&amp;" ~*")&gt;0)+(IFERROR(INDEX(Setup!$G$33:$G$40,MATCH(K245,Setup!$B$33:$B$40,0)),0)=1)*(COUNTIF(K208:M225,$B245)+COUNTIF(K208:M225,$B245&amp;" ~*")&gt;0)+(IFERROR(INDEX(Setup!$G$33:$G$40,MATCH(O245,Setup!$B$33:$B$40,0)),0)=1)*(COUNTIF(O208:Q225,$B245)+COUNTIF(O208:Q225,$B245&amp;" ~*")&gt;0)+(IFERROR(INDEX(Setup!$G$33:$G$40,MATCH(S245,Setup!$B$33:$B$40,0)),0)=1)*(COUNTIF(S208:U225,$B245)+COUNTIF(S208:U225,$B245&amp;" ~*")&gt;0)+(IFERROR(INDEX(Setup!$G$33:$G$40,MATCH(W245,Setup!$B$33:$B$40,0)),0)=1)*(COUNTIF(W208:W225,$B245)+COUNTIF(W208:W225,$B245&amp;" ~*")&gt;0)+(IFERROR(INDEX(Setup!$G$33:$G$40,MATCH(Y245,Setup!$B$33:$B$40,0)),0)=1)*(COUNTIF(Y208:Y225,$B245)+COUNTIF(Y208:Y225,$B245&amp;" ~*")&gt;0))</f>
        <v/>
      </c>
    </row>
    <row r="246" ht="15" customHeight="1">
      <c r="A246" t="n">
        <v>5</v>
      </c>
      <c r="B246" s="37">
        <f>IF(Setup!$B$25="","",Setup!$B$25)</f>
        <v/>
      </c>
      <c r="C246" s="102" t="n"/>
      <c r="D246" s="103" t="n"/>
      <c r="E246" s="103" t="n"/>
      <c r="F246" s="104" t="n"/>
      <c r="G246" s="102" t="n"/>
      <c r="H246" s="103" t="n"/>
      <c r="I246" s="103" t="n"/>
      <c r="J246" s="104" t="n"/>
      <c r="K246" s="102" t="n"/>
      <c r="L246" s="103" t="n"/>
      <c r="M246" s="103" t="n"/>
      <c r="N246" s="104" t="n"/>
      <c r="O246" s="102" t="n"/>
      <c r="P246" s="103" t="n"/>
      <c r="Q246" s="103" t="n"/>
      <c r="R246" s="104" t="n"/>
      <c r="S246" s="102" t="n"/>
      <c r="T246" s="103" t="n"/>
      <c r="U246" s="103" t="n"/>
      <c r="V246" s="104" t="n"/>
      <c r="W246" s="102" t="n"/>
      <c r="X246" s="104" t="n"/>
      <c r="Y246" s="102" t="n"/>
      <c r="Z246" s="104" t="n"/>
      <c r="AB246" s="105">
        <f>IF($B246="","",(COUNTIF(C208:E225,$B246)+COUNTIF(C208:E225,$B246&amp;" ~*")&gt;0)+(COUNTIF(G208:I225,$B246)+COUNTIF(G208:I225,$B246&amp;" ~*")&gt;0)+(COUNTIF(K208:M225,$B246)+COUNTIF(K208:M225,$B246&amp;" ~*")&gt;0)+(COUNTIF(O208:Q225,$B246)+COUNTIF(O208:Q225,$B246&amp;" ~*")&gt;0)+(COUNTIF(S208:U225,$B246)+COUNTIF(S208:U225,$B246&amp;" ~*")&gt;0)+(COUNTIF(W208:W225,$B246)+COUNTIF(W208:W225,$B246&amp;" ~*")&gt;0)+(COUNTIF(Y208:Y225,$B246)+COUNTIF(Y208:Y225,$B246&amp;" ~*")&gt;0))</f>
        <v/>
      </c>
      <c r="AC246" s="38">
        <f>IF($B246="","",(IFERROR(INDEX(Setup!$G$33:$G$40,MATCH(C246,Setup!$B$33:$B$40,0)),0)=1)*(COUNTIF(C208:E225,$B246)+COUNTIF(C208:E225,$B246&amp;" ~*")&gt;0)+(IFERROR(INDEX(Setup!$G$33:$G$40,MATCH(G246,Setup!$B$33:$B$40,0)),0)=1)*(COUNTIF(G208:I225,$B246)+COUNTIF(G208:I225,$B246&amp;" ~*")&gt;0)+(IFERROR(INDEX(Setup!$G$33:$G$40,MATCH(K246,Setup!$B$33:$B$40,0)),0)=1)*(COUNTIF(K208:M225,$B246)+COUNTIF(K208:M225,$B246&amp;" ~*")&gt;0)+(IFERROR(INDEX(Setup!$G$33:$G$40,MATCH(O246,Setup!$B$33:$B$40,0)),0)=1)*(COUNTIF(O208:Q225,$B246)+COUNTIF(O208:Q225,$B246&amp;" ~*")&gt;0)+(IFERROR(INDEX(Setup!$G$33:$G$40,MATCH(S246,Setup!$B$33:$B$40,0)),0)=1)*(COUNTIF(S208:U225,$B246)+COUNTIF(S208:U225,$B246&amp;" ~*")&gt;0)+(IFERROR(INDEX(Setup!$G$33:$G$40,MATCH(W246,Setup!$B$33:$B$40,0)),0)=1)*(COUNTIF(W208:W225,$B246)+COUNTIF(W208:W225,$B246&amp;" ~*")&gt;0)+(IFERROR(INDEX(Setup!$G$33:$G$40,MATCH(Y246,Setup!$B$33:$B$40,0)),0)=1)*(COUNTIF(Y208:Y225,$B246)+COUNTIF(Y208:Y225,$B246&amp;" ~*")&gt;0))</f>
        <v/>
      </c>
    </row>
    <row r="247" ht="15" customHeight="1">
      <c r="A247" t="n">
        <v>5</v>
      </c>
      <c r="B247" s="35">
        <f>IF(Setup!$B$26="","",Setup!$B$26)</f>
        <v/>
      </c>
      <c r="C247" s="98" t="n"/>
      <c r="D247" s="99" t="n"/>
      <c r="E247" s="99" t="n"/>
      <c r="F247" s="100" t="n"/>
      <c r="G247" s="98" t="n"/>
      <c r="H247" s="99" t="n"/>
      <c r="I247" s="99" t="n"/>
      <c r="J247" s="100" t="n"/>
      <c r="K247" s="98" t="n"/>
      <c r="L247" s="99" t="n"/>
      <c r="M247" s="99" t="n"/>
      <c r="N247" s="100" t="n"/>
      <c r="O247" s="98" t="n"/>
      <c r="P247" s="99" t="n"/>
      <c r="Q247" s="99" t="n"/>
      <c r="R247" s="100" t="n"/>
      <c r="S247" s="98" t="n"/>
      <c r="T247" s="99" t="n"/>
      <c r="U247" s="99" t="n"/>
      <c r="V247" s="100" t="n"/>
      <c r="W247" s="98" t="n"/>
      <c r="X247" s="100" t="n"/>
      <c r="Y247" s="98" t="n"/>
      <c r="Z247" s="100" t="n"/>
      <c r="AB247" s="101">
        <f>IF($B247="","",(COUNTIF(C208:E225,$B247)+COUNTIF(C208:E225,$B247&amp;" ~*")&gt;0)+(COUNTIF(G208:I225,$B247)+COUNTIF(G208:I225,$B247&amp;" ~*")&gt;0)+(COUNTIF(K208:M225,$B247)+COUNTIF(K208:M225,$B247&amp;" ~*")&gt;0)+(COUNTIF(O208:Q225,$B247)+COUNTIF(O208:Q225,$B247&amp;" ~*")&gt;0)+(COUNTIF(S208:U225,$B247)+COUNTIF(S208:U225,$B247&amp;" ~*")&gt;0)+(COUNTIF(W208:W225,$B247)+COUNTIF(W208:W225,$B247&amp;" ~*")&gt;0)+(COUNTIF(Y208:Y225,$B247)+COUNTIF(Y208:Y225,$B247&amp;" ~*")&gt;0))</f>
        <v/>
      </c>
      <c r="AC247" s="36">
        <f>IF($B247="","",(IFERROR(INDEX(Setup!$G$33:$G$40,MATCH(C247,Setup!$B$33:$B$40,0)),0)=1)*(COUNTIF(C208:E225,$B247)+COUNTIF(C208:E225,$B247&amp;" ~*")&gt;0)+(IFERROR(INDEX(Setup!$G$33:$G$40,MATCH(G247,Setup!$B$33:$B$40,0)),0)=1)*(COUNTIF(G208:I225,$B247)+COUNTIF(G208:I225,$B247&amp;" ~*")&gt;0)+(IFERROR(INDEX(Setup!$G$33:$G$40,MATCH(K247,Setup!$B$33:$B$40,0)),0)=1)*(COUNTIF(K208:M225,$B247)+COUNTIF(K208:M225,$B247&amp;" ~*")&gt;0)+(IFERROR(INDEX(Setup!$G$33:$G$40,MATCH(O247,Setup!$B$33:$B$40,0)),0)=1)*(COUNTIF(O208:Q225,$B247)+COUNTIF(O208:Q225,$B247&amp;" ~*")&gt;0)+(IFERROR(INDEX(Setup!$G$33:$G$40,MATCH(S247,Setup!$B$33:$B$40,0)),0)=1)*(COUNTIF(S208:U225,$B247)+COUNTIF(S208:U225,$B247&amp;" ~*")&gt;0)+(IFERROR(INDEX(Setup!$G$33:$G$40,MATCH(W247,Setup!$B$33:$B$40,0)),0)=1)*(COUNTIF(W208:W225,$B247)+COUNTIF(W208:W225,$B247&amp;" ~*")&gt;0)+(IFERROR(INDEX(Setup!$G$33:$G$40,MATCH(Y247,Setup!$B$33:$B$40,0)),0)=1)*(COUNTIF(Y208:Y225,$B247)+COUNTIF(Y208:Y225,$B247&amp;" ~*")&gt;0))</f>
        <v/>
      </c>
    </row>
    <row r="248" ht="15" customHeight="1">
      <c r="A248" t="n">
        <v>5</v>
      </c>
      <c r="B248" s="37">
        <f>IF(Setup!$B$27="","",Setup!$B$27)</f>
        <v/>
      </c>
      <c r="C248" s="102" t="n"/>
      <c r="D248" s="103" t="n"/>
      <c r="E248" s="103" t="n"/>
      <c r="F248" s="104" t="n"/>
      <c r="G248" s="102" t="n"/>
      <c r="H248" s="103" t="n"/>
      <c r="I248" s="103" t="n"/>
      <c r="J248" s="104" t="n"/>
      <c r="K248" s="102" t="n"/>
      <c r="L248" s="103" t="n"/>
      <c r="M248" s="103" t="n"/>
      <c r="N248" s="104" t="n"/>
      <c r="O248" s="102" t="n"/>
      <c r="P248" s="103" t="n"/>
      <c r="Q248" s="103" t="n"/>
      <c r="R248" s="104" t="n"/>
      <c r="S248" s="102" t="n"/>
      <c r="T248" s="103" t="n"/>
      <c r="U248" s="103" t="n"/>
      <c r="V248" s="104" t="n"/>
      <c r="W248" s="102" t="n"/>
      <c r="X248" s="104" t="n"/>
      <c r="Y248" s="102" t="n"/>
      <c r="Z248" s="104" t="n"/>
      <c r="AB248" s="105">
        <f>IF($B248="","",(COUNTIF(C208:E225,$B248)+COUNTIF(C208:E225,$B248&amp;" ~*")&gt;0)+(COUNTIF(G208:I225,$B248)+COUNTIF(G208:I225,$B248&amp;" ~*")&gt;0)+(COUNTIF(K208:M225,$B248)+COUNTIF(K208:M225,$B248&amp;" ~*")&gt;0)+(COUNTIF(O208:Q225,$B248)+COUNTIF(O208:Q225,$B248&amp;" ~*")&gt;0)+(COUNTIF(S208:U225,$B248)+COUNTIF(S208:U225,$B248&amp;" ~*")&gt;0)+(COUNTIF(W208:W225,$B248)+COUNTIF(W208:W225,$B248&amp;" ~*")&gt;0)+(COUNTIF(Y208:Y225,$B248)+COUNTIF(Y208:Y225,$B248&amp;" ~*")&gt;0))</f>
        <v/>
      </c>
      <c r="AC248" s="38">
        <f>IF($B248="","",(IFERROR(INDEX(Setup!$G$33:$G$40,MATCH(C248,Setup!$B$33:$B$40,0)),0)=1)*(COUNTIF(C208:E225,$B248)+COUNTIF(C208:E225,$B248&amp;" ~*")&gt;0)+(IFERROR(INDEX(Setup!$G$33:$G$40,MATCH(G248,Setup!$B$33:$B$40,0)),0)=1)*(COUNTIF(G208:I225,$B248)+COUNTIF(G208:I225,$B248&amp;" ~*")&gt;0)+(IFERROR(INDEX(Setup!$G$33:$G$40,MATCH(K248,Setup!$B$33:$B$40,0)),0)=1)*(COUNTIF(K208:M225,$B248)+COUNTIF(K208:M225,$B248&amp;" ~*")&gt;0)+(IFERROR(INDEX(Setup!$G$33:$G$40,MATCH(O248,Setup!$B$33:$B$40,0)),0)=1)*(COUNTIF(O208:Q225,$B248)+COUNTIF(O208:Q225,$B248&amp;" ~*")&gt;0)+(IFERROR(INDEX(Setup!$G$33:$G$40,MATCH(S248,Setup!$B$33:$B$40,0)),0)=1)*(COUNTIF(S208:U225,$B248)+COUNTIF(S208:U225,$B248&amp;" ~*")&gt;0)+(IFERROR(INDEX(Setup!$G$33:$G$40,MATCH(W248,Setup!$B$33:$B$40,0)),0)=1)*(COUNTIF(W208:W225,$B248)+COUNTIF(W208:W225,$B248&amp;" ~*")&gt;0)+(IFERROR(INDEX(Setup!$G$33:$G$40,MATCH(Y248,Setup!$B$33:$B$40,0)),0)=1)*(COUNTIF(Y208:Y225,$B248)+COUNTIF(Y208:Y225,$B248&amp;" ~*")&gt;0))</f>
        <v/>
      </c>
    </row>
    <row r="249" ht="15" customHeight="1">
      <c r="A249" t="n">
        <v>5</v>
      </c>
      <c r="B249" s="35">
        <f>IF(Setup!$B$28="","",Setup!$B$28)</f>
        <v/>
      </c>
      <c r="C249" s="98" t="n"/>
      <c r="D249" s="99" t="n"/>
      <c r="E249" s="99" t="n"/>
      <c r="F249" s="100" t="n"/>
      <c r="G249" s="98" t="n"/>
      <c r="H249" s="99" t="n"/>
      <c r="I249" s="99" t="n"/>
      <c r="J249" s="100" t="n"/>
      <c r="K249" s="98" t="n"/>
      <c r="L249" s="99" t="n"/>
      <c r="M249" s="99" t="n"/>
      <c r="N249" s="100" t="n"/>
      <c r="O249" s="98" t="n"/>
      <c r="P249" s="99" t="n"/>
      <c r="Q249" s="99" t="n"/>
      <c r="R249" s="100" t="n"/>
      <c r="S249" s="98" t="n"/>
      <c r="T249" s="99" t="n"/>
      <c r="U249" s="99" t="n"/>
      <c r="V249" s="100" t="n"/>
      <c r="W249" s="98" t="n"/>
      <c r="X249" s="100" t="n"/>
      <c r="Y249" s="98" t="n"/>
      <c r="Z249" s="100" t="n"/>
      <c r="AB249" s="101">
        <f>IF($B249="","",(COUNTIF(C208:E225,$B249)+COUNTIF(C208:E225,$B249&amp;" ~*")&gt;0)+(COUNTIF(G208:I225,$B249)+COUNTIF(G208:I225,$B249&amp;" ~*")&gt;0)+(COUNTIF(K208:M225,$B249)+COUNTIF(K208:M225,$B249&amp;" ~*")&gt;0)+(COUNTIF(O208:Q225,$B249)+COUNTIF(O208:Q225,$B249&amp;" ~*")&gt;0)+(COUNTIF(S208:U225,$B249)+COUNTIF(S208:U225,$B249&amp;" ~*")&gt;0)+(COUNTIF(W208:W225,$B249)+COUNTIF(W208:W225,$B249&amp;" ~*")&gt;0)+(COUNTIF(Y208:Y225,$B249)+COUNTIF(Y208:Y225,$B249&amp;" ~*")&gt;0))</f>
        <v/>
      </c>
      <c r="AC249" s="36">
        <f>IF($B249="","",(IFERROR(INDEX(Setup!$G$33:$G$40,MATCH(C249,Setup!$B$33:$B$40,0)),0)=1)*(COUNTIF(C208:E225,$B249)+COUNTIF(C208:E225,$B249&amp;" ~*")&gt;0)+(IFERROR(INDEX(Setup!$G$33:$G$40,MATCH(G249,Setup!$B$33:$B$40,0)),0)=1)*(COUNTIF(G208:I225,$B249)+COUNTIF(G208:I225,$B249&amp;" ~*")&gt;0)+(IFERROR(INDEX(Setup!$G$33:$G$40,MATCH(K249,Setup!$B$33:$B$40,0)),0)=1)*(COUNTIF(K208:M225,$B249)+COUNTIF(K208:M225,$B249&amp;" ~*")&gt;0)+(IFERROR(INDEX(Setup!$G$33:$G$40,MATCH(O249,Setup!$B$33:$B$40,0)),0)=1)*(COUNTIF(O208:Q225,$B249)+COUNTIF(O208:Q225,$B249&amp;" ~*")&gt;0)+(IFERROR(INDEX(Setup!$G$33:$G$40,MATCH(S249,Setup!$B$33:$B$40,0)),0)=1)*(COUNTIF(S208:U225,$B249)+COUNTIF(S208:U225,$B249&amp;" ~*")&gt;0)+(IFERROR(INDEX(Setup!$G$33:$G$40,MATCH(W249,Setup!$B$33:$B$40,0)),0)=1)*(COUNTIF(W208:W225,$B249)+COUNTIF(W208:W225,$B249&amp;" ~*")&gt;0)+(IFERROR(INDEX(Setup!$G$33:$G$40,MATCH(Y249,Setup!$B$33:$B$40,0)),0)=1)*(COUNTIF(Y208:Y225,$B249)+COUNTIF(Y208:Y225,$B249&amp;" ~*")&gt;0))</f>
        <v/>
      </c>
    </row>
    <row r="250" ht="15" customHeight="1">
      <c r="A250" t="n">
        <v>5</v>
      </c>
      <c r="B250" s="37">
        <f>IF(Setup!$B$29="","",Setup!$B$29)</f>
        <v/>
      </c>
      <c r="C250" s="102" t="n"/>
      <c r="D250" s="103" t="n"/>
      <c r="E250" s="103" t="n"/>
      <c r="F250" s="104" t="n"/>
      <c r="G250" s="102" t="n"/>
      <c r="H250" s="103" t="n"/>
      <c r="I250" s="103" t="n"/>
      <c r="J250" s="104" t="n"/>
      <c r="K250" s="102" t="n"/>
      <c r="L250" s="103" t="n"/>
      <c r="M250" s="103" t="n"/>
      <c r="N250" s="104" t="n"/>
      <c r="O250" s="102" t="n"/>
      <c r="P250" s="103" t="n"/>
      <c r="Q250" s="103" t="n"/>
      <c r="R250" s="104" t="n"/>
      <c r="S250" s="102" t="n"/>
      <c r="T250" s="103" t="n"/>
      <c r="U250" s="103" t="n"/>
      <c r="V250" s="104" t="n"/>
      <c r="W250" s="102" t="n"/>
      <c r="X250" s="104" t="n"/>
      <c r="Y250" s="102" t="n"/>
      <c r="Z250" s="104" t="n"/>
      <c r="AB250" s="105">
        <f>IF($B250="","",(COUNTIF(C208:E225,$B250)+COUNTIF(C208:E225,$B250&amp;" ~*")&gt;0)+(COUNTIF(G208:I225,$B250)+COUNTIF(G208:I225,$B250&amp;" ~*")&gt;0)+(COUNTIF(K208:M225,$B250)+COUNTIF(K208:M225,$B250&amp;" ~*")&gt;0)+(COUNTIF(O208:Q225,$B250)+COUNTIF(O208:Q225,$B250&amp;" ~*")&gt;0)+(COUNTIF(S208:U225,$B250)+COUNTIF(S208:U225,$B250&amp;" ~*")&gt;0)+(COUNTIF(W208:W225,$B250)+COUNTIF(W208:W225,$B250&amp;" ~*")&gt;0)+(COUNTIF(Y208:Y225,$B250)+COUNTIF(Y208:Y225,$B250&amp;" ~*")&gt;0))</f>
        <v/>
      </c>
      <c r="AC250" s="38">
        <f>IF($B250="","",(IFERROR(INDEX(Setup!$G$33:$G$40,MATCH(C250,Setup!$B$33:$B$40,0)),0)=1)*(COUNTIF(C208:E225,$B250)+COUNTIF(C208:E225,$B250&amp;" ~*")&gt;0)+(IFERROR(INDEX(Setup!$G$33:$G$40,MATCH(G250,Setup!$B$33:$B$40,0)),0)=1)*(COUNTIF(G208:I225,$B250)+COUNTIF(G208:I225,$B250&amp;" ~*")&gt;0)+(IFERROR(INDEX(Setup!$G$33:$G$40,MATCH(K250,Setup!$B$33:$B$40,0)),0)=1)*(COUNTIF(K208:M225,$B250)+COUNTIF(K208:M225,$B250&amp;" ~*")&gt;0)+(IFERROR(INDEX(Setup!$G$33:$G$40,MATCH(O250,Setup!$B$33:$B$40,0)),0)=1)*(COUNTIF(O208:Q225,$B250)+COUNTIF(O208:Q225,$B250&amp;" ~*")&gt;0)+(IFERROR(INDEX(Setup!$G$33:$G$40,MATCH(S250,Setup!$B$33:$B$40,0)),0)=1)*(COUNTIF(S208:U225,$B250)+COUNTIF(S208:U225,$B250&amp;" ~*")&gt;0)+(IFERROR(INDEX(Setup!$G$33:$G$40,MATCH(W250,Setup!$B$33:$B$40,0)),0)=1)*(COUNTIF(W208:W225,$B250)+COUNTIF(W208:W225,$B250&amp;" ~*")&gt;0)+(IFERROR(INDEX(Setup!$G$33:$G$40,MATCH(Y250,Setup!$B$33:$B$40,0)),0)=1)*(COUNTIF(Y208:Y225,$B250)+COUNTIF(Y208:Y225,$B250&amp;" ~*")&gt;0))</f>
        <v/>
      </c>
    </row>
    <row r="251" ht="16" customHeight="1">
      <c r="A251" t="n">
        <v>5</v>
      </c>
      <c r="B251" s="106" t="inlineStr">
        <is>
          <t>Available people</t>
        </is>
      </c>
      <c r="C251" s="107">
        <f>COUNTIFS(Setup!$E$6:$E$29,"Y",Setup!$B$6:$B$29,"?*")-SUMPRODUCT(COUNTIF(C227:C250,Setup!$F$33:$F$40))</f>
        <v/>
      </c>
      <c r="D251" s="107" t="n"/>
      <c r="E251" s="107" t="n"/>
      <c r="F251" s="107" t="n"/>
      <c r="G251" s="107">
        <f>COUNTIFS(Setup!$E$6:$E$29,"Y",Setup!$B$6:$B$29,"?*")-SUMPRODUCT(COUNTIF(G227:G250,Setup!$F$33:$F$40))</f>
        <v/>
      </c>
      <c r="H251" s="107" t="n"/>
      <c r="I251" s="107" t="n"/>
      <c r="J251" s="107" t="n"/>
      <c r="K251" s="107">
        <f>COUNTIFS(Setup!$E$6:$E$29,"Y",Setup!$B$6:$B$29,"?*")-SUMPRODUCT(COUNTIF(K227:K250,Setup!$F$33:$F$40))</f>
        <v/>
      </c>
      <c r="L251" s="107" t="n"/>
      <c r="M251" s="107" t="n"/>
      <c r="N251" s="107" t="n"/>
      <c r="O251" s="107">
        <f>COUNTIFS(Setup!$E$6:$E$29,"Y",Setup!$B$6:$B$29,"?*")-SUMPRODUCT(COUNTIF(O227:O250,Setup!$F$33:$F$40))</f>
        <v/>
      </c>
      <c r="P251" s="107" t="n"/>
      <c r="Q251" s="107" t="n"/>
      <c r="R251" s="107" t="n"/>
      <c r="S251" s="107">
        <f>COUNTIFS(Setup!$E$6:$E$29,"Y",Setup!$B$6:$B$29,"?*")-SUMPRODUCT(COUNTIF(S227:S250,Setup!$F$33:$F$40))</f>
        <v/>
      </c>
      <c r="T251" s="107" t="n"/>
      <c r="U251" s="107" t="n"/>
      <c r="V251" s="107" t="n"/>
      <c r="W251" s="107">
        <f>COUNTIFS(Setup!$E$6:$E$29,"Y",Setup!$B$6:$B$29,"?*")-SUMPRODUCT(COUNTIF(W227:W250,Setup!$F$33:$F$40))</f>
        <v/>
      </c>
      <c r="X251" s="107" t="n"/>
      <c r="Y251" s="107">
        <f>COUNTIFS(Setup!$E$6:$E$29,"Y",Setup!$B$6:$B$29,"?*")-SUMPRODUCT(COUNTIF(Y227:Y250,Setup!$F$33:$F$40))</f>
        <v/>
      </c>
      <c r="Z251" s="107" t="n"/>
      <c r="AB251" s="108">
        <f>SUM(AB227:AB250)</f>
        <v/>
      </c>
      <c r="AC251" s="109">
        <f>SUM(AC227:AC250)</f>
        <v/>
      </c>
    </row>
    <row r="252" ht="30" customHeight="1">
      <c r="A252" t="n">
        <v>5</v>
      </c>
      <c r="B252" s="110" t="inlineStr">
        <is>
          <t>Week notes</t>
        </is>
      </c>
      <c r="C252" s="111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112" t="n"/>
      <c r="R252" s="112" t="n"/>
      <c r="S252" s="112" t="n"/>
      <c r="T252" s="112" t="n"/>
      <c r="U252" s="112" t="n"/>
      <c r="V252" s="112" t="n"/>
      <c r="W252" s="112" t="n"/>
      <c r="X252" s="112" t="n"/>
      <c r="Y252" s="112" t="n"/>
      <c r="Z252" s="113" t="n"/>
    </row>
    <row r="253" ht="8" customHeight="1">
      <c r="A253" t="n">
        <v>5</v>
      </c>
    </row>
    <row r="254" ht="8" customHeight="1">
      <c r="A254" t="n">
        <v>5</v>
      </c>
    </row>
    <row r="255" ht="24" customHeight="1">
      <c r="A255" t="n">
        <v>6</v>
      </c>
      <c r="B255" s="73">
        <f>"WEEK 6     "&amp;TEXT(C256,"ddd d mmm")&amp;"  –  "&amp;TEXT(C256+6,"ddd d mmm yyyy")</f>
        <v/>
      </c>
      <c r="S255" s="74">
        <f>IF(TODAY()&lt;C256,"FUTURE",IF(TODAY()&gt;C256+6,"PAST","THIS WEEK"))</f>
        <v/>
      </c>
      <c r="W255" s="75">
        <f>IF(AND(Engine!$B$8=$AC$3,Engine!$B$9=$A255),"◀ ACTIVE WEEK","")</f>
        <v/>
      </c>
      <c r="AA255" s="76" t="n"/>
      <c r="AB255" s="77" t="inlineStr">
        <is>
          <t>◀ Prev</t>
        </is>
      </c>
      <c r="AC255" s="77" t="inlineStr">
        <is>
          <t>Next ▶</t>
        </is>
      </c>
    </row>
    <row r="256" ht="18" customHeight="1">
      <c r="A256" t="n">
        <v>6</v>
      </c>
      <c r="B256" s="78" t="inlineStr">
        <is>
          <t>DUTY</t>
        </is>
      </c>
      <c r="C256" s="79">
        <f>$AC$2+7*($A256-1)</f>
        <v/>
      </c>
      <c r="D256" s="80" t="n"/>
      <c r="E256" s="80" t="n"/>
      <c r="F256" s="81" t="n"/>
      <c r="G256" s="79">
        <f>C256+1</f>
        <v/>
      </c>
      <c r="H256" s="80" t="n"/>
      <c r="I256" s="80" t="n"/>
      <c r="J256" s="81" t="n"/>
      <c r="K256" s="79">
        <f>C256+2</f>
        <v/>
      </c>
      <c r="L256" s="80" t="n"/>
      <c r="M256" s="80" t="n"/>
      <c r="N256" s="81" t="n"/>
      <c r="O256" s="79">
        <f>C256+3</f>
        <v/>
      </c>
      <c r="P256" s="80" t="n"/>
      <c r="Q256" s="80" t="n"/>
      <c r="R256" s="81" t="n"/>
      <c r="S256" s="79">
        <f>C256+4</f>
        <v/>
      </c>
      <c r="T256" s="80" t="n"/>
      <c r="U256" s="80" t="n"/>
      <c r="V256" s="81" t="n"/>
      <c r="W256" s="82">
        <f>C256+5</f>
        <v/>
      </c>
      <c r="X256" s="83" t="n"/>
      <c r="Y256" s="82">
        <f>C256+6</f>
        <v/>
      </c>
      <c r="Z256" s="83" t="n"/>
      <c r="AB256" s="72" t="inlineStr">
        <is>
          <t>Gaps</t>
        </is>
      </c>
      <c r="AC256" s="72" t="inlineStr">
        <is>
          <t>Cover</t>
        </is>
      </c>
    </row>
    <row r="257" ht="14" customHeight="1">
      <c r="A257" t="n">
        <v>6</v>
      </c>
      <c r="B257" s="84" t="inlineStr">
        <is>
          <t>(from Setup)</t>
        </is>
      </c>
      <c r="C257" s="85" t="inlineStr">
        <is>
          <t>1</t>
        </is>
      </c>
      <c r="D257" s="85" t="inlineStr">
        <is>
          <t>2</t>
        </is>
      </c>
      <c r="E257" s="85" t="inlineStr">
        <is>
          <t>3</t>
        </is>
      </c>
      <c r="F257" s="85" t="inlineStr">
        <is>
          <t>Notes</t>
        </is>
      </c>
      <c r="G257" s="85" t="inlineStr">
        <is>
          <t>1</t>
        </is>
      </c>
      <c r="H257" s="85" t="inlineStr">
        <is>
          <t>2</t>
        </is>
      </c>
      <c r="I257" s="85" t="inlineStr">
        <is>
          <t>3</t>
        </is>
      </c>
      <c r="J257" s="85" t="inlineStr">
        <is>
          <t>Notes</t>
        </is>
      </c>
      <c r="K257" s="85" t="inlineStr">
        <is>
          <t>1</t>
        </is>
      </c>
      <c r="L257" s="85" t="inlineStr">
        <is>
          <t>2</t>
        </is>
      </c>
      <c r="M257" s="85" t="inlineStr">
        <is>
          <t>3</t>
        </is>
      </c>
      <c r="N257" s="85" t="inlineStr">
        <is>
          <t>Notes</t>
        </is>
      </c>
      <c r="O257" s="85" t="inlineStr">
        <is>
          <t>1</t>
        </is>
      </c>
      <c r="P257" s="85" t="inlineStr">
        <is>
          <t>2</t>
        </is>
      </c>
      <c r="Q257" s="85" t="inlineStr">
        <is>
          <t>3</t>
        </is>
      </c>
      <c r="R257" s="85" t="inlineStr">
        <is>
          <t>Notes</t>
        </is>
      </c>
      <c r="S257" s="85" t="inlineStr">
        <is>
          <t>1</t>
        </is>
      </c>
      <c r="T257" s="85" t="inlineStr">
        <is>
          <t>2</t>
        </is>
      </c>
      <c r="U257" s="85" t="inlineStr">
        <is>
          <t>3</t>
        </is>
      </c>
      <c r="V257" s="85" t="inlineStr">
        <is>
          <t>Notes</t>
        </is>
      </c>
      <c r="W257" s="85" t="inlineStr">
        <is>
          <t>Cover</t>
        </is>
      </c>
      <c r="X257" s="85" t="inlineStr">
        <is>
          <t>Notes</t>
        </is>
      </c>
      <c r="Y257" s="85" t="inlineStr">
        <is>
          <t>Cover</t>
        </is>
      </c>
      <c r="Z257" s="85" t="inlineStr">
        <is>
          <t>Notes</t>
        </is>
      </c>
      <c r="AB257" s="86" t="inlineStr">
        <is>
          <t>weekdays short</t>
        </is>
      </c>
      <c r="AC257" s="87" t="inlineStr"/>
    </row>
    <row r="258" ht="17" customHeight="1">
      <c r="A258" t="n">
        <v>6</v>
      </c>
      <c r="B258" s="24">
        <f>IF(Setup!$K$6="","",Setup!$K$6)</f>
        <v/>
      </c>
      <c r="C258" s="88" t="n"/>
      <c r="D258" s="88" t="n"/>
      <c r="E258" s="88" t="n"/>
      <c r="F258" s="89" t="n"/>
      <c r="G258" s="88" t="n"/>
      <c r="H258" s="88" t="n"/>
      <c r="I258" s="88" t="n"/>
      <c r="J258" s="89" t="n"/>
      <c r="K258" s="88" t="n"/>
      <c r="L258" s="88" t="n"/>
      <c r="M258" s="88" t="n"/>
      <c r="N258" s="89" t="n"/>
      <c r="O258" s="88" t="n"/>
      <c r="P258" s="88" t="n"/>
      <c r="Q258" s="88" t="n"/>
      <c r="R258" s="89" t="n"/>
      <c r="S258" s="88" t="n"/>
      <c r="T258" s="88" t="n"/>
      <c r="U258" s="88" t="n"/>
      <c r="V258" s="89" t="n"/>
      <c r="W258" s="88" t="n"/>
      <c r="X258" s="89" t="n"/>
      <c r="Y258" s="88" t="n"/>
      <c r="Z258" s="89" t="n"/>
      <c r="AB258" s="25">
        <f>IF($B258="","",(COUNTIF(C258:E258,"?*")&lt;N(INDEX(Setup!$L$6:$L$23,1)))+(COUNTIF(G258:I258,"?*")&lt;N(INDEX(Setup!$L$6:$L$23,1)))+(COUNTIF(K258:M258,"?*")&lt;N(INDEX(Setup!$L$6:$L$23,1)))+(COUNTIF(O258:Q258,"?*")&lt;N(INDEX(Setup!$L$6:$L$23,1)))+(COUNTIF(S258:U258,"?*")&lt;N(INDEX(Setup!$L$6:$L$23,1)))+((W258="")*(INDEX(Setup!$M$6:$M$23,1)="Y"))+((Y258="")*(INDEX(Setup!$M$6:$M$23,1)="Y")))</f>
        <v/>
      </c>
      <c r="AC258" s="90">
        <f>IF($B258="","",IF(AB258=0,"✓ covered","⚠ "&amp;AB258&amp;IF(AB258=1," gap"," gaps")))</f>
        <v/>
      </c>
    </row>
    <row r="259" ht="17" customHeight="1">
      <c r="A259" t="n">
        <v>6</v>
      </c>
      <c r="B259" s="29">
        <f>IF(Setup!$K$7="","",Setup!$K$7)</f>
        <v/>
      </c>
      <c r="C259" s="88" t="n"/>
      <c r="D259" s="88" t="n"/>
      <c r="E259" s="88" t="n"/>
      <c r="F259" s="89" t="n"/>
      <c r="G259" s="88" t="n"/>
      <c r="H259" s="88" t="n"/>
      <c r="I259" s="88" t="n"/>
      <c r="J259" s="89" t="n"/>
      <c r="K259" s="88" t="n"/>
      <c r="L259" s="88" t="n"/>
      <c r="M259" s="88" t="n"/>
      <c r="N259" s="89" t="n"/>
      <c r="O259" s="88" t="n"/>
      <c r="P259" s="88" t="n"/>
      <c r="Q259" s="88" t="n"/>
      <c r="R259" s="89" t="n"/>
      <c r="S259" s="88" t="n"/>
      <c r="T259" s="88" t="n"/>
      <c r="U259" s="88" t="n"/>
      <c r="V259" s="89" t="n"/>
      <c r="W259" s="88" t="n"/>
      <c r="X259" s="89" t="n"/>
      <c r="Y259" s="88" t="n"/>
      <c r="Z259" s="89" t="n"/>
      <c r="AB259" s="30">
        <f>IF($B259="","",(COUNTIF(C259:E259,"?*")&lt;N(INDEX(Setup!$L$6:$L$23,2)))+(COUNTIF(G259:I259,"?*")&lt;N(INDEX(Setup!$L$6:$L$23,2)))+(COUNTIF(K259:M259,"?*")&lt;N(INDEX(Setup!$L$6:$L$23,2)))+(COUNTIF(O259:Q259,"?*")&lt;N(INDEX(Setup!$L$6:$L$23,2)))+(COUNTIF(S259:U259,"?*")&lt;N(INDEX(Setup!$L$6:$L$23,2)))+((W259="")*(INDEX(Setup!$M$6:$M$23,2)="Y"))+((Y259="")*(INDEX(Setup!$M$6:$M$23,2)="Y")))</f>
        <v/>
      </c>
      <c r="AC259" s="91">
        <f>IF($B259="","",IF(AB259=0,"✓ covered","⚠ "&amp;AB259&amp;IF(AB259=1," gap"," gaps")))</f>
        <v/>
      </c>
    </row>
    <row r="260" ht="17" customHeight="1">
      <c r="A260" t="n">
        <v>6</v>
      </c>
      <c r="B260" s="24">
        <f>IF(Setup!$K$8="","",Setup!$K$8)</f>
        <v/>
      </c>
      <c r="C260" s="88" t="n"/>
      <c r="D260" s="88" t="n"/>
      <c r="E260" s="88" t="n"/>
      <c r="F260" s="89" t="n"/>
      <c r="G260" s="88" t="n"/>
      <c r="H260" s="88" t="n"/>
      <c r="I260" s="88" t="n"/>
      <c r="J260" s="89" t="n"/>
      <c r="K260" s="88" t="n"/>
      <c r="L260" s="88" t="n"/>
      <c r="M260" s="88" t="n"/>
      <c r="N260" s="89" t="n"/>
      <c r="O260" s="88" t="n"/>
      <c r="P260" s="88" t="n"/>
      <c r="Q260" s="88" t="n"/>
      <c r="R260" s="89" t="n"/>
      <c r="S260" s="88" t="n"/>
      <c r="T260" s="88" t="n"/>
      <c r="U260" s="88" t="n"/>
      <c r="V260" s="89" t="n"/>
      <c r="W260" s="88" t="n"/>
      <c r="X260" s="89" t="n"/>
      <c r="Y260" s="88" t="n"/>
      <c r="Z260" s="89" t="n"/>
      <c r="AB260" s="25">
        <f>IF($B260="","",(COUNTIF(C260:E260,"?*")&lt;N(INDEX(Setup!$L$6:$L$23,3)))+(COUNTIF(G260:I260,"?*")&lt;N(INDEX(Setup!$L$6:$L$23,3)))+(COUNTIF(K260:M260,"?*")&lt;N(INDEX(Setup!$L$6:$L$23,3)))+(COUNTIF(O260:Q260,"?*")&lt;N(INDEX(Setup!$L$6:$L$23,3)))+(COUNTIF(S260:U260,"?*")&lt;N(INDEX(Setup!$L$6:$L$23,3)))+((W260="")*(INDEX(Setup!$M$6:$M$23,3)="Y"))+((Y260="")*(INDEX(Setup!$M$6:$M$23,3)="Y")))</f>
        <v/>
      </c>
      <c r="AC260" s="90">
        <f>IF($B260="","",IF(AB260=0,"✓ covered","⚠ "&amp;AB260&amp;IF(AB260=1," gap"," gaps")))</f>
        <v/>
      </c>
    </row>
    <row r="261" ht="17" customHeight="1">
      <c r="A261" t="n">
        <v>6</v>
      </c>
      <c r="B261" s="29">
        <f>IF(Setup!$K$9="","",Setup!$K$9)</f>
        <v/>
      </c>
      <c r="C261" s="88" t="n"/>
      <c r="D261" s="88" t="n"/>
      <c r="E261" s="88" t="n"/>
      <c r="F261" s="89" t="n"/>
      <c r="G261" s="88" t="n"/>
      <c r="H261" s="88" t="n"/>
      <c r="I261" s="88" t="n"/>
      <c r="J261" s="89" t="n"/>
      <c r="K261" s="88" t="n"/>
      <c r="L261" s="88" t="n"/>
      <c r="M261" s="88" t="n"/>
      <c r="N261" s="89" t="n"/>
      <c r="O261" s="88" t="n"/>
      <c r="P261" s="88" t="n"/>
      <c r="Q261" s="88" t="n"/>
      <c r="R261" s="89" t="n"/>
      <c r="S261" s="88" t="n"/>
      <c r="T261" s="88" t="n"/>
      <c r="U261" s="88" t="n"/>
      <c r="V261" s="89" t="n"/>
      <c r="W261" s="88" t="n"/>
      <c r="X261" s="89" t="n"/>
      <c r="Y261" s="88" t="n"/>
      <c r="Z261" s="89" t="n"/>
      <c r="AB261" s="30">
        <f>IF($B261="","",(COUNTIF(C261:E261,"?*")&lt;N(INDEX(Setup!$L$6:$L$23,4)))+(COUNTIF(G261:I261,"?*")&lt;N(INDEX(Setup!$L$6:$L$23,4)))+(COUNTIF(K261:M261,"?*")&lt;N(INDEX(Setup!$L$6:$L$23,4)))+(COUNTIF(O261:Q261,"?*")&lt;N(INDEX(Setup!$L$6:$L$23,4)))+(COUNTIF(S261:U261,"?*")&lt;N(INDEX(Setup!$L$6:$L$23,4)))+((W261="")*(INDEX(Setup!$M$6:$M$23,4)="Y"))+((Y261="")*(INDEX(Setup!$M$6:$M$23,4)="Y")))</f>
        <v/>
      </c>
      <c r="AC261" s="91">
        <f>IF($B261="","",IF(AB261=0,"✓ covered","⚠ "&amp;AB261&amp;IF(AB261=1," gap"," gaps")))</f>
        <v/>
      </c>
    </row>
    <row r="262" ht="17" customHeight="1">
      <c r="A262" t="n">
        <v>6</v>
      </c>
      <c r="B262" s="24">
        <f>IF(Setup!$K$10="","",Setup!$K$10)</f>
        <v/>
      </c>
      <c r="C262" s="88" t="n"/>
      <c r="D262" s="88" t="n"/>
      <c r="E262" s="88" t="n"/>
      <c r="F262" s="89" t="n"/>
      <c r="G262" s="88" t="n"/>
      <c r="H262" s="88" t="n"/>
      <c r="I262" s="88" t="n"/>
      <c r="J262" s="89" t="n"/>
      <c r="K262" s="88" t="n"/>
      <c r="L262" s="88" t="n"/>
      <c r="M262" s="88" t="n"/>
      <c r="N262" s="89" t="n"/>
      <c r="O262" s="88" t="n"/>
      <c r="P262" s="88" t="n"/>
      <c r="Q262" s="88" t="n"/>
      <c r="R262" s="89" t="n"/>
      <c r="S262" s="88" t="n"/>
      <c r="T262" s="88" t="n"/>
      <c r="U262" s="88" t="n"/>
      <c r="V262" s="89" t="n"/>
      <c r="W262" s="88" t="n"/>
      <c r="X262" s="89" t="n"/>
      <c r="Y262" s="88" t="n"/>
      <c r="Z262" s="89" t="n"/>
      <c r="AB262" s="25">
        <f>IF($B262="","",(COUNTIF(C262:E262,"?*")&lt;N(INDEX(Setup!$L$6:$L$23,5)))+(COUNTIF(G262:I262,"?*")&lt;N(INDEX(Setup!$L$6:$L$23,5)))+(COUNTIF(K262:M262,"?*")&lt;N(INDEX(Setup!$L$6:$L$23,5)))+(COUNTIF(O262:Q262,"?*")&lt;N(INDEX(Setup!$L$6:$L$23,5)))+(COUNTIF(S262:U262,"?*")&lt;N(INDEX(Setup!$L$6:$L$23,5)))+((W262="")*(INDEX(Setup!$M$6:$M$23,5)="Y"))+((Y262="")*(INDEX(Setup!$M$6:$M$23,5)="Y")))</f>
        <v/>
      </c>
      <c r="AC262" s="90">
        <f>IF($B262="","",IF(AB262=0,"✓ covered","⚠ "&amp;AB262&amp;IF(AB262=1," gap"," gaps")))</f>
        <v/>
      </c>
    </row>
    <row r="263" ht="17" customHeight="1">
      <c r="A263" t="n">
        <v>6</v>
      </c>
      <c r="B263" s="29">
        <f>IF(Setup!$K$11="","",Setup!$K$11)</f>
        <v/>
      </c>
      <c r="C263" s="88" t="n"/>
      <c r="D263" s="88" t="n"/>
      <c r="E263" s="88" t="n"/>
      <c r="F263" s="89" t="n"/>
      <c r="G263" s="88" t="n"/>
      <c r="H263" s="88" t="n"/>
      <c r="I263" s="88" t="n"/>
      <c r="J263" s="89" t="n"/>
      <c r="K263" s="88" t="n"/>
      <c r="L263" s="88" t="n"/>
      <c r="M263" s="88" t="n"/>
      <c r="N263" s="89" t="n"/>
      <c r="O263" s="88" t="n"/>
      <c r="P263" s="88" t="n"/>
      <c r="Q263" s="88" t="n"/>
      <c r="R263" s="89" t="n"/>
      <c r="S263" s="88" t="n"/>
      <c r="T263" s="88" t="n"/>
      <c r="U263" s="88" t="n"/>
      <c r="V263" s="89" t="n"/>
      <c r="W263" s="88" t="n"/>
      <c r="X263" s="89" t="n"/>
      <c r="Y263" s="88" t="n"/>
      <c r="Z263" s="89" t="n"/>
      <c r="AB263" s="30">
        <f>IF($B263="","",(COUNTIF(C263:E263,"?*")&lt;N(INDEX(Setup!$L$6:$L$23,6)))+(COUNTIF(G263:I263,"?*")&lt;N(INDEX(Setup!$L$6:$L$23,6)))+(COUNTIF(K263:M263,"?*")&lt;N(INDEX(Setup!$L$6:$L$23,6)))+(COUNTIF(O263:Q263,"?*")&lt;N(INDEX(Setup!$L$6:$L$23,6)))+(COUNTIF(S263:U263,"?*")&lt;N(INDEX(Setup!$L$6:$L$23,6)))+((W263="")*(INDEX(Setup!$M$6:$M$23,6)="Y"))+((Y263="")*(INDEX(Setup!$M$6:$M$23,6)="Y")))</f>
        <v/>
      </c>
      <c r="AC263" s="91">
        <f>IF($B263="","",IF(AB263=0,"✓ covered","⚠ "&amp;AB263&amp;IF(AB263=1," gap"," gaps")))</f>
        <v/>
      </c>
    </row>
    <row r="264" ht="17" customHeight="1">
      <c r="A264" t="n">
        <v>6</v>
      </c>
      <c r="B264" s="24">
        <f>IF(Setup!$K$12="","",Setup!$K$12)</f>
        <v/>
      </c>
      <c r="C264" s="88" t="n"/>
      <c r="D264" s="88" t="n"/>
      <c r="E264" s="88" t="n"/>
      <c r="F264" s="89" t="n"/>
      <c r="G264" s="88" t="n"/>
      <c r="H264" s="88" t="n"/>
      <c r="I264" s="88" t="n"/>
      <c r="J264" s="89" t="n"/>
      <c r="K264" s="88" t="n"/>
      <c r="L264" s="88" t="n"/>
      <c r="M264" s="88" t="n"/>
      <c r="N264" s="89" t="n"/>
      <c r="O264" s="88" t="n"/>
      <c r="P264" s="88" t="n"/>
      <c r="Q264" s="88" t="n"/>
      <c r="R264" s="89" t="n"/>
      <c r="S264" s="88" t="n"/>
      <c r="T264" s="88" t="n"/>
      <c r="U264" s="88" t="n"/>
      <c r="V264" s="89" t="n"/>
      <c r="W264" s="88" t="n"/>
      <c r="X264" s="89" t="n"/>
      <c r="Y264" s="88" t="n"/>
      <c r="Z264" s="89" t="n"/>
      <c r="AB264" s="25">
        <f>IF($B264="","",(COUNTIF(C264:E264,"?*")&lt;N(INDEX(Setup!$L$6:$L$23,7)))+(COUNTIF(G264:I264,"?*")&lt;N(INDEX(Setup!$L$6:$L$23,7)))+(COUNTIF(K264:M264,"?*")&lt;N(INDEX(Setup!$L$6:$L$23,7)))+(COUNTIF(O264:Q264,"?*")&lt;N(INDEX(Setup!$L$6:$L$23,7)))+(COUNTIF(S264:U264,"?*")&lt;N(INDEX(Setup!$L$6:$L$23,7)))+((W264="")*(INDEX(Setup!$M$6:$M$23,7)="Y"))+((Y264="")*(INDEX(Setup!$M$6:$M$23,7)="Y")))</f>
        <v/>
      </c>
      <c r="AC264" s="90">
        <f>IF($B264="","",IF(AB264=0,"✓ covered","⚠ "&amp;AB264&amp;IF(AB264=1," gap"," gaps")))</f>
        <v/>
      </c>
    </row>
    <row r="265" ht="17" customHeight="1">
      <c r="A265" t="n">
        <v>6</v>
      </c>
      <c r="B265" s="29">
        <f>IF(Setup!$K$13="","",Setup!$K$13)</f>
        <v/>
      </c>
      <c r="C265" s="88" t="n"/>
      <c r="D265" s="88" t="n"/>
      <c r="E265" s="88" t="n"/>
      <c r="F265" s="89" t="n"/>
      <c r="G265" s="88" t="n"/>
      <c r="H265" s="88" t="n"/>
      <c r="I265" s="88" t="n"/>
      <c r="J265" s="89" t="n"/>
      <c r="K265" s="88" t="n"/>
      <c r="L265" s="88" t="n"/>
      <c r="M265" s="88" t="n"/>
      <c r="N265" s="89" t="n"/>
      <c r="O265" s="88" t="n"/>
      <c r="P265" s="88" t="n"/>
      <c r="Q265" s="88" t="n"/>
      <c r="R265" s="89" t="n"/>
      <c r="S265" s="88" t="n"/>
      <c r="T265" s="88" t="n"/>
      <c r="U265" s="88" t="n"/>
      <c r="V265" s="89" t="n"/>
      <c r="W265" s="88" t="n"/>
      <c r="X265" s="89" t="n"/>
      <c r="Y265" s="88" t="n"/>
      <c r="Z265" s="89" t="n"/>
      <c r="AB265" s="30">
        <f>IF($B265="","",(COUNTIF(C265:E265,"?*")&lt;N(INDEX(Setup!$L$6:$L$23,8)))+(COUNTIF(G265:I265,"?*")&lt;N(INDEX(Setup!$L$6:$L$23,8)))+(COUNTIF(K265:M265,"?*")&lt;N(INDEX(Setup!$L$6:$L$23,8)))+(COUNTIF(O265:Q265,"?*")&lt;N(INDEX(Setup!$L$6:$L$23,8)))+(COUNTIF(S265:U265,"?*")&lt;N(INDEX(Setup!$L$6:$L$23,8)))+((W265="")*(INDEX(Setup!$M$6:$M$23,8)="Y"))+((Y265="")*(INDEX(Setup!$M$6:$M$23,8)="Y")))</f>
        <v/>
      </c>
      <c r="AC265" s="91">
        <f>IF($B265="","",IF(AB265=0,"✓ covered","⚠ "&amp;AB265&amp;IF(AB265=1," gap"," gaps")))</f>
        <v/>
      </c>
    </row>
    <row r="266" ht="17" customHeight="1">
      <c r="A266" t="n">
        <v>6</v>
      </c>
      <c r="B266" s="24">
        <f>IF(Setup!$K$14="","",Setup!$K$14)</f>
        <v/>
      </c>
      <c r="C266" s="88" t="n"/>
      <c r="D266" s="88" t="n"/>
      <c r="E266" s="88" t="n"/>
      <c r="F266" s="89" t="n"/>
      <c r="G266" s="88" t="n"/>
      <c r="H266" s="88" t="n"/>
      <c r="I266" s="88" t="n"/>
      <c r="J266" s="89" t="n"/>
      <c r="K266" s="88" t="n"/>
      <c r="L266" s="88" t="n"/>
      <c r="M266" s="88" t="n"/>
      <c r="N266" s="89" t="n"/>
      <c r="O266" s="88" t="n"/>
      <c r="P266" s="88" t="n"/>
      <c r="Q266" s="88" t="n"/>
      <c r="R266" s="89" t="n"/>
      <c r="S266" s="88" t="n"/>
      <c r="T266" s="88" t="n"/>
      <c r="U266" s="88" t="n"/>
      <c r="V266" s="89" t="n"/>
      <c r="W266" s="88" t="n"/>
      <c r="X266" s="89" t="n"/>
      <c r="Y266" s="88" t="n"/>
      <c r="Z266" s="89" t="n"/>
      <c r="AB266" s="25">
        <f>IF($B266="","",(COUNTIF(C266:E266,"?*")&lt;N(INDEX(Setup!$L$6:$L$23,9)))+(COUNTIF(G266:I266,"?*")&lt;N(INDEX(Setup!$L$6:$L$23,9)))+(COUNTIF(K266:M266,"?*")&lt;N(INDEX(Setup!$L$6:$L$23,9)))+(COUNTIF(O266:Q266,"?*")&lt;N(INDEX(Setup!$L$6:$L$23,9)))+(COUNTIF(S266:U266,"?*")&lt;N(INDEX(Setup!$L$6:$L$23,9)))+((W266="")*(INDEX(Setup!$M$6:$M$23,9)="Y"))+((Y266="")*(INDEX(Setup!$M$6:$M$23,9)="Y")))</f>
        <v/>
      </c>
      <c r="AC266" s="90">
        <f>IF($B266="","",IF(AB266=0,"✓ covered","⚠ "&amp;AB266&amp;IF(AB266=1," gap"," gaps")))</f>
        <v/>
      </c>
    </row>
    <row r="267" ht="17" customHeight="1">
      <c r="A267" t="n">
        <v>6</v>
      </c>
      <c r="B267" s="29">
        <f>IF(Setup!$K$15="","",Setup!$K$15)</f>
        <v/>
      </c>
      <c r="C267" s="88" t="n"/>
      <c r="D267" s="88" t="n"/>
      <c r="E267" s="88" t="n"/>
      <c r="F267" s="89" t="n"/>
      <c r="G267" s="88" t="n"/>
      <c r="H267" s="88" t="n"/>
      <c r="I267" s="88" t="n"/>
      <c r="J267" s="89" t="n"/>
      <c r="K267" s="88" t="n"/>
      <c r="L267" s="88" t="n"/>
      <c r="M267" s="88" t="n"/>
      <c r="N267" s="89" t="n"/>
      <c r="O267" s="88" t="n"/>
      <c r="P267" s="88" t="n"/>
      <c r="Q267" s="88" t="n"/>
      <c r="R267" s="89" t="n"/>
      <c r="S267" s="88" t="n"/>
      <c r="T267" s="88" t="n"/>
      <c r="U267" s="88" t="n"/>
      <c r="V267" s="89" t="n"/>
      <c r="W267" s="88" t="n"/>
      <c r="X267" s="89" t="n"/>
      <c r="Y267" s="88" t="n"/>
      <c r="Z267" s="89" t="n"/>
      <c r="AB267" s="30">
        <f>IF($B267="","",(COUNTIF(C267:E267,"?*")&lt;N(INDEX(Setup!$L$6:$L$23,10)))+(COUNTIF(G267:I267,"?*")&lt;N(INDEX(Setup!$L$6:$L$23,10)))+(COUNTIF(K267:M267,"?*")&lt;N(INDEX(Setup!$L$6:$L$23,10)))+(COUNTIF(O267:Q267,"?*")&lt;N(INDEX(Setup!$L$6:$L$23,10)))+(COUNTIF(S267:U267,"?*")&lt;N(INDEX(Setup!$L$6:$L$23,10)))+((W267="")*(INDEX(Setup!$M$6:$M$23,10)="Y"))+((Y267="")*(INDEX(Setup!$M$6:$M$23,10)="Y")))</f>
        <v/>
      </c>
      <c r="AC267" s="91">
        <f>IF($B267="","",IF(AB267=0,"✓ covered","⚠ "&amp;AB267&amp;IF(AB267=1," gap"," gaps")))</f>
        <v/>
      </c>
    </row>
    <row r="268" ht="17" customHeight="1">
      <c r="A268" t="n">
        <v>6</v>
      </c>
      <c r="B268" s="24">
        <f>IF(Setup!$K$16="","",Setup!$K$16)</f>
        <v/>
      </c>
      <c r="C268" s="88" t="n"/>
      <c r="D268" s="88" t="n"/>
      <c r="E268" s="88" t="n"/>
      <c r="F268" s="89" t="n"/>
      <c r="G268" s="88" t="n"/>
      <c r="H268" s="88" t="n"/>
      <c r="I268" s="88" t="n"/>
      <c r="J268" s="89" t="n"/>
      <c r="K268" s="88" t="n"/>
      <c r="L268" s="88" t="n"/>
      <c r="M268" s="88" t="n"/>
      <c r="N268" s="89" t="n"/>
      <c r="O268" s="88" t="n"/>
      <c r="P268" s="88" t="n"/>
      <c r="Q268" s="88" t="n"/>
      <c r="R268" s="89" t="n"/>
      <c r="S268" s="88" t="n"/>
      <c r="T268" s="88" t="n"/>
      <c r="U268" s="88" t="n"/>
      <c r="V268" s="89" t="n"/>
      <c r="W268" s="88" t="n"/>
      <c r="X268" s="89" t="n"/>
      <c r="Y268" s="88" t="n"/>
      <c r="Z268" s="89" t="n"/>
      <c r="AB268" s="25">
        <f>IF($B268="","",(COUNTIF(C268:E268,"?*")&lt;N(INDEX(Setup!$L$6:$L$23,11)))+(COUNTIF(G268:I268,"?*")&lt;N(INDEX(Setup!$L$6:$L$23,11)))+(COUNTIF(K268:M268,"?*")&lt;N(INDEX(Setup!$L$6:$L$23,11)))+(COUNTIF(O268:Q268,"?*")&lt;N(INDEX(Setup!$L$6:$L$23,11)))+(COUNTIF(S268:U268,"?*")&lt;N(INDEX(Setup!$L$6:$L$23,11)))+((W268="")*(INDEX(Setup!$M$6:$M$23,11)="Y"))+((Y268="")*(INDEX(Setup!$M$6:$M$23,11)="Y")))</f>
        <v/>
      </c>
      <c r="AC268" s="90">
        <f>IF($B268="","",IF(AB268=0,"✓ covered","⚠ "&amp;AB268&amp;IF(AB268=1," gap"," gaps")))</f>
        <v/>
      </c>
    </row>
    <row r="269" ht="17" customHeight="1">
      <c r="A269" t="n">
        <v>6</v>
      </c>
      <c r="B269" s="29">
        <f>IF(Setup!$K$17="","",Setup!$K$17)</f>
        <v/>
      </c>
      <c r="C269" s="88" t="n"/>
      <c r="D269" s="88" t="n"/>
      <c r="E269" s="88" t="n"/>
      <c r="F269" s="89" t="n"/>
      <c r="G269" s="88" t="n"/>
      <c r="H269" s="88" t="n"/>
      <c r="I269" s="88" t="n"/>
      <c r="J269" s="89" t="n"/>
      <c r="K269" s="88" t="n"/>
      <c r="L269" s="88" t="n"/>
      <c r="M269" s="88" t="n"/>
      <c r="N269" s="89" t="n"/>
      <c r="O269" s="88" t="n"/>
      <c r="P269" s="88" t="n"/>
      <c r="Q269" s="88" t="n"/>
      <c r="R269" s="89" t="n"/>
      <c r="S269" s="88" t="n"/>
      <c r="T269" s="88" t="n"/>
      <c r="U269" s="88" t="n"/>
      <c r="V269" s="89" t="n"/>
      <c r="W269" s="88" t="n"/>
      <c r="X269" s="89" t="n"/>
      <c r="Y269" s="88" t="n"/>
      <c r="Z269" s="89" t="n"/>
      <c r="AB269" s="30">
        <f>IF($B269="","",(COUNTIF(C269:E269,"?*")&lt;N(INDEX(Setup!$L$6:$L$23,12)))+(COUNTIF(G269:I269,"?*")&lt;N(INDEX(Setup!$L$6:$L$23,12)))+(COUNTIF(K269:M269,"?*")&lt;N(INDEX(Setup!$L$6:$L$23,12)))+(COUNTIF(O269:Q269,"?*")&lt;N(INDEX(Setup!$L$6:$L$23,12)))+(COUNTIF(S269:U269,"?*")&lt;N(INDEX(Setup!$L$6:$L$23,12)))+((W269="")*(INDEX(Setup!$M$6:$M$23,12)="Y"))+((Y269="")*(INDEX(Setup!$M$6:$M$23,12)="Y")))</f>
        <v/>
      </c>
      <c r="AC269" s="91">
        <f>IF($B269="","",IF(AB269=0,"✓ covered","⚠ "&amp;AB269&amp;IF(AB269=1," gap"," gaps")))</f>
        <v/>
      </c>
    </row>
    <row r="270" ht="17" customHeight="1">
      <c r="A270" t="n">
        <v>6</v>
      </c>
      <c r="B270" s="24">
        <f>IF(Setup!$K$18="","",Setup!$K$18)</f>
        <v/>
      </c>
      <c r="C270" s="88" t="n"/>
      <c r="D270" s="88" t="n"/>
      <c r="E270" s="88" t="n"/>
      <c r="F270" s="89" t="n"/>
      <c r="G270" s="88" t="n"/>
      <c r="H270" s="88" t="n"/>
      <c r="I270" s="88" t="n"/>
      <c r="J270" s="89" t="n"/>
      <c r="K270" s="88" t="n"/>
      <c r="L270" s="88" t="n"/>
      <c r="M270" s="88" t="n"/>
      <c r="N270" s="89" t="n"/>
      <c r="O270" s="88" t="n"/>
      <c r="P270" s="88" t="n"/>
      <c r="Q270" s="88" t="n"/>
      <c r="R270" s="89" t="n"/>
      <c r="S270" s="88" t="n"/>
      <c r="T270" s="88" t="n"/>
      <c r="U270" s="88" t="n"/>
      <c r="V270" s="89" t="n"/>
      <c r="W270" s="88" t="n"/>
      <c r="X270" s="89" t="n"/>
      <c r="Y270" s="88" t="n"/>
      <c r="Z270" s="89" t="n"/>
      <c r="AB270" s="25">
        <f>IF($B270="","",(COUNTIF(C270:E270,"?*")&lt;N(INDEX(Setup!$L$6:$L$23,13)))+(COUNTIF(G270:I270,"?*")&lt;N(INDEX(Setup!$L$6:$L$23,13)))+(COUNTIF(K270:M270,"?*")&lt;N(INDEX(Setup!$L$6:$L$23,13)))+(COUNTIF(O270:Q270,"?*")&lt;N(INDEX(Setup!$L$6:$L$23,13)))+(COUNTIF(S270:U270,"?*")&lt;N(INDEX(Setup!$L$6:$L$23,13)))+((W270="")*(INDEX(Setup!$M$6:$M$23,13)="Y"))+((Y270="")*(INDEX(Setup!$M$6:$M$23,13)="Y")))</f>
        <v/>
      </c>
      <c r="AC270" s="90">
        <f>IF($B270="","",IF(AB270=0,"✓ covered","⚠ "&amp;AB270&amp;IF(AB270=1," gap"," gaps")))</f>
        <v/>
      </c>
    </row>
    <row r="271" ht="17" customHeight="1">
      <c r="A271" t="n">
        <v>6</v>
      </c>
      <c r="B271" s="29">
        <f>IF(Setup!$K$19="","",Setup!$K$19)</f>
        <v/>
      </c>
      <c r="C271" s="88" t="n"/>
      <c r="D271" s="88" t="n"/>
      <c r="E271" s="88" t="n"/>
      <c r="F271" s="89" t="n"/>
      <c r="G271" s="88" t="n"/>
      <c r="H271" s="88" t="n"/>
      <c r="I271" s="88" t="n"/>
      <c r="J271" s="89" t="n"/>
      <c r="K271" s="88" t="n"/>
      <c r="L271" s="88" t="n"/>
      <c r="M271" s="88" t="n"/>
      <c r="N271" s="89" t="n"/>
      <c r="O271" s="88" t="n"/>
      <c r="P271" s="88" t="n"/>
      <c r="Q271" s="88" t="n"/>
      <c r="R271" s="89" t="n"/>
      <c r="S271" s="88" t="n"/>
      <c r="T271" s="88" t="n"/>
      <c r="U271" s="88" t="n"/>
      <c r="V271" s="89" t="n"/>
      <c r="W271" s="88" t="n"/>
      <c r="X271" s="89" t="n"/>
      <c r="Y271" s="88" t="n"/>
      <c r="Z271" s="89" t="n"/>
      <c r="AB271" s="30">
        <f>IF($B271="","",(COUNTIF(C271:E271,"?*")&lt;N(INDEX(Setup!$L$6:$L$23,14)))+(COUNTIF(G271:I271,"?*")&lt;N(INDEX(Setup!$L$6:$L$23,14)))+(COUNTIF(K271:M271,"?*")&lt;N(INDEX(Setup!$L$6:$L$23,14)))+(COUNTIF(O271:Q271,"?*")&lt;N(INDEX(Setup!$L$6:$L$23,14)))+(COUNTIF(S271:U271,"?*")&lt;N(INDEX(Setup!$L$6:$L$23,14)))+((W271="")*(INDEX(Setup!$M$6:$M$23,14)="Y"))+((Y271="")*(INDEX(Setup!$M$6:$M$23,14)="Y")))</f>
        <v/>
      </c>
      <c r="AC271" s="91">
        <f>IF($B271="","",IF(AB271=0,"✓ covered","⚠ "&amp;AB271&amp;IF(AB271=1," gap"," gaps")))</f>
        <v/>
      </c>
    </row>
    <row r="272" ht="17" customHeight="1">
      <c r="A272" t="n">
        <v>6</v>
      </c>
      <c r="B272" s="24">
        <f>IF(Setup!$K$20="","",Setup!$K$20)</f>
        <v/>
      </c>
      <c r="C272" s="88" t="n"/>
      <c r="D272" s="88" t="n"/>
      <c r="E272" s="88" t="n"/>
      <c r="F272" s="89" t="n"/>
      <c r="G272" s="88" t="n"/>
      <c r="H272" s="88" t="n"/>
      <c r="I272" s="88" t="n"/>
      <c r="J272" s="89" t="n"/>
      <c r="K272" s="88" t="n"/>
      <c r="L272" s="88" t="n"/>
      <c r="M272" s="88" t="n"/>
      <c r="N272" s="89" t="n"/>
      <c r="O272" s="88" t="n"/>
      <c r="P272" s="88" t="n"/>
      <c r="Q272" s="88" t="n"/>
      <c r="R272" s="89" t="n"/>
      <c r="S272" s="88" t="n"/>
      <c r="T272" s="88" t="n"/>
      <c r="U272" s="88" t="n"/>
      <c r="V272" s="89" t="n"/>
      <c r="W272" s="88" t="n"/>
      <c r="X272" s="89" t="n"/>
      <c r="Y272" s="88" t="n"/>
      <c r="Z272" s="89" t="n"/>
      <c r="AB272" s="25">
        <f>IF($B272="","",(COUNTIF(C272:E272,"?*")&lt;N(INDEX(Setup!$L$6:$L$23,15)))+(COUNTIF(G272:I272,"?*")&lt;N(INDEX(Setup!$L$6:$L$23,15)))+(COUNTIF(K272:M272,"?*")&lt;N(INDEX(Setup!$L$6:$L$23,15)))+(COUNTIF(O272:Q272,"?*")&lt;N(INDEX(Setup!$L$6:$L$23,15)))+(COUNTIF(S272:U272,"?*")&lt;N(INDEX(Setup!$L$6:$L$23,15)))+((W272="")*(INDEX(Setup!$M$6:$M$23,15)="Y"))+((Y272="")*(INDEX(Setup!$M$6:$M$23,15)="Y")))</f>
        <v/>
      </c>
      <c r="AC272" s="90">
        <f>IF($B272="","",IF(AB272=0,"✓ covered","⚠ "&amp;AB272&amp;IF(AB272=1," gap"," gaps")))</f>
        <v/>
      </c>
    </row>
    <row r="273" ht="17" customHeight="1">
      <c r="A273" t="n">
        <v>6</v>
      </c>
      <c r="B273" s="29">
        <f>IF(Setup!$K$21="","",Setup!$K$21)</f>
        <v/>
      </c>
      <c r="C273" s="88" t="n"/>
      <c r="D273" s="88" t="n"/>
      <c r="E273" s="88" t="n"/>
      <c r="F273" s="89" t="n"/>
      <c r="G273" s="88" t="n"/>
      <c r="H273" s="88" t="n"/>
      <c r="I273" s="88" t="n"/>
      <c r="J273" s="89" t="n"/>
      <c r="K273" s="88" t="n"/>
      <c r="L273" s="88" t="n"/>
      <c r="M273" s="88" t="n"/>
      <c r="N273" s="89" t="n"/>
      <c r="O273" s="88" t="n"/>
      <c r="P273" s="88" t="n"/>
      <c r="Q273" s="88" t="n"/>
      <c r="R273" s="89" t="n"/>
      <c r="S273" s="88" t="n"/>
      <c r="T273" s="88" t="n"/>
      <c r="U273" s="88" t="n"/>
      <c r="V273" s="89" t="n"/>
      <c r="W273" s="88" t="n"/>
      <c r="X273" s="89" t="n"/>
      <c r="Y273" s="88" t="n"/>
      <c r="Z273" s="89" t="n"/>
      <c r="AB273" s="30">
        <f>IF($B273="","",(COUNTIF(C273:E273,"?*")&lt;N(INDEX(Setup!$L$6:$L$23,16)))+(COUNTIF(G273:I273,"?*")&lt;N(INDEX(Setup!$L$6:$L$23,16)))+(COUNTIF(K273:M273,"?*")&lt;N(INDEX(Setup!$L$6:$L$23,16)))+(COUNTIF(O273:Q273,"?*")&lt;N(INDEX(Setup!$L$6:$L$23,16)))+(COUNTIF(S273:U273,"?*")&lt;N(INDEX(Setup!$L$6:$L$23,16)))+((W273="")*(INDEX(Setup!$M$6:$M$23,16)="Y"))+((Y273="")*(INDEX(Setup!$M$6:$M$23,16)="Y")))</f>
        <v/>
      </c>
      <c r="AC273" s="91">
        <f>IF($B273="","",IF(AB273=0,"✓ covered","⚠ "&amp;AB273&amp;IF(AB273=1," gap"," gaps")))</f>
        <v/>
      </c>
    </row>
    <row r="274" ht="17" customHeight="1">
      <c r="A274" t="n">
        <v>6</v>
      </c>
      <c r="B274" s="24">
        <f>IF(Setup!$K$22="","",Setup!$K$22)</f>
        <v/>
      </c>
      <c r="C274" s="88" t="n"/>
      <c r="D274" s="88" t="n"/>
      <c r="E274" s="88" t="n"/>
      <c r="F274" s="89" t="n"/>
      <c r="G274" s="88" t="n"/>
      <c r="H274" s="88" t="n"/>
      <c r="I274" s="88" t="n"/>
      <c r="J274" s="89" t="n"/>
      <c r="K274" s="88" t="n"/>
      <c r="L274" s="88" t="n"/>
      <c r="M274" s="88" t="n"/>
      <c r="N274" s="89" t="n"/>
      <c r="O274" s="88" t="n"/>
      <c r="P274" s="88" t="n"/>
      <c r="Q274" s="88" t="n"/>
      <c r="R274" s="89" t="n"/>
      <c r="S274" s="88" t="n"/>
      <c r="T274" s="88" t="n"/>
      <c r="U274" s="88" t="n"/>
      <c r="V274" s="89" t="n"/>
      <c r="W274" s="88" t="n"/>
      <c r="X274" s="89" t="n"/>
      <c r="Y274" s="88" t="n"/>
      <c r="Z274" s="89" t="n"/>
      <c r="AB274" s="25">
        <f>IF($B274="","",(COUNTIF(C274:E274,"?*")&lt;N(INDEX(Setup!$L$6:$L$23,17)))+(COUNTIF(G274:I274,"?*")&lt;N(INDEX(Setup!$L$6:$L$23,17)))+(COUNTIF(K274:M274,"?*")&lt;N(INDEX(Setup!$L$6:$L$23,17)))+(COUNTIF(O274:Q274,"?*")&lt;N(INDEX(Setup!$L$6:$L$23,17)))+(COUNTIF(S274:U274,"?*")&lt;N(INDEX(Setup!$L$6:$L$23,17)))+((W274="")*(INDEX(Setup!$M$6:$M$23,17)="Y"))+((Y274="")*(INDEX(Setup!$M$6:$M$23,17)="Y")))</f>
        <v/>
      </c>
      <c r="AC274" s="90">
        <f>IF($B274="","",IF(AB274=0,"✓ covered","⚠ "&amp;AB274&amp;IF(AB274=1," gap"," gaps")))</f>
        <v/>
      </c>
    </row>
    <row r="275" ht="17" customHeight="1">
      <c r="A275" t="n">
        <v>6</v>
      </c>
      <c r="B275" s="29">
        <f>IF(Setup!$K$23="","",Setup!$K$23)</f>
        <v/>
      </c>
      <c r="C275" s="88" t="n"/>
      <c r="D275" s="88" t="n"/>
      <c r="E275" s="88" t="n"/>
      <c r="F275" s="89" t="n"/>
      <c r="G275" s="88" t="n"/>
      <c r="H275" s="88" t="n"/>
      <c r="I275" s="88" t="n"/>
      <c r="J275" s="89" t="n"/>
      <c r="K275" s="88" t="n"/>
      <c r="L275" s="88" t="n"/>
      <c r="M275" s="88" t="n"/>
      <c r="N275" s="89" t="n"/>
      <c r="O275" s="88" t="n"/>
      <c r="P275" s="88" t="n"/>
      <c r="Q275" s="88" t="n"/>
      <c r="R275" s="89" t="n"/>
      <c r="S275" s="88" t="n"/>
      <c r="T275" s="88" t="n"/>
      <c r="U275" s="88" t="n"/>
      <c r="V275" s="89" t="n"/>
      <c r="W275" s="88" t="n"/>
      <c r="X275" s="89" t="n"/>
      <c r="Y275" s="88" t="n"/>
      <c r="Z275" s="89" t="n"/>
      <c r="AB275" s="30">
        <f>IF($B275="","",(COUNTIF(C275:E275,"?*")&lt;N(INDEX(Setup!$L$6:$L$23,18)))+(COUNTIF(G275:I275,"?*")&lt;N(INDEX(Setup!$L$6:$L$23,18)))+(COUNTIF(K275:M275,"?*")&lt;N(INDEX(Setup!$L$6:$L$23,18)))+(COUNTIF(O275:Q275,"?*")&lt;N(INDEX(Setup!$L$6:$L$23,18)))+(COUNTIF(S275:U275,"?*")&lt;N(INDEX(Setup!$L$6:$L$23,18)))+((W275="")*(INDEX(Setup!$M$6:$M$23,18)="Y"))+((Y275="")*(INDEX(Setup!$M$6:$M$23,18)="Y")))</f>
        <v/>
      </c>
      <c r="AC275" s="91">
        <f>IF($B275="","",IF(AB275=0,"✓ covered","⚠ "&amp;AB275&amp;IF(AB275=1," gap"," gaps")))</f>
        <v/>
      </c>
    </row>
    <row r="276" ht="18" customHeight="1">
      <c r="A276" t="n">
        <v>6</v>
      </c>
      <c r="B276" s="78" t="inlineStr">
        <is>
          <t>TEAM AVAILABILITY</t>
        </is>
      </c>
      <c r="C276" s="92" t="inlineStr">
        <is>
          <t>Mon</t>
        </is>
      </c>
      <c r="D276" s="93" t="n"/>
      <c r="E276" s="93" t="n"/>
      <c r="F276" s="94" t="n"/>
      <c r="G276" s="92" t="inlineStr">
        <is>
          <t>Tue</t>
        </is>
      </c>
      <c r="H276" s="93" t="n"/>
      <c r="I276" s="93" t="n"/>
      <c r="J276" s="94" t="n"/>
      <c r="K276" s="92" t="inlineStr">
        <is>
          <t>Wed</t>
        </is>
      </c>
      <c r="L276" s="93" t="n"/>
      <c r="M276" s="93" t="n"/>
      <c r="N276" s="94" t="n"/>
      <c r="O276" s="92" t="inlineStr">
        <is>
          <t>Thu</t>
        </is>
      </c>
      <c r="P276" s="93" t="n"/>
      <c r="Q276" s="93" t="n"/>
      <c r="R276" s="94" t="n"/>
      <c r="S276" s="92" t="inlineStr">
        <is>
          <t>Fri</t>
        </is>
      </c>
      <c r="T276" s="93" t="n"/>
      <c r="U276" s="93" t="n"/>
      <c r="V276" s="94" t="n"/>
      <c r="W276" s="95" t="inlineStr">
        <is>
          <t>Sat</t>
        </is>
      </c>
      <c r="X276" s="96" t="n"/>
      <c r="Y276" s="95" t="inlineStr">
        <is>
          <t>Sun</t>
        </is>
      </c>
      <c r="Z276" s="96" t="n"/>
      <c r="AB276" s="97" t="inlineStr">
        <is>
          <t>Days rostered</t>
        </is>
      </c>
      <c r="AC276" s="97" t="inlineStr">
        <is>
          <t>Conflicts</t>
        </is>
      </c>
    </row>
    <row r="277" ht="15" customHeight="1">
      <c r="A277" t="n">
        <v>6</v>
      </c>
      <c r="B277" s="35">
        <f>IF(Setup!$B$6="","",Setup!$B$6)</f>
        <v/>
      </c>
      <c r="C277" s="98" t="n"/>
      <c r="D277" s="99" t="n"/>
      <c r="E277" s="99" t="n"/>
      <c r="F277" s="100" t="n"/>
      <c r="G277" s="98" t="n"/>
      <c r="H277" s="99" t="n"/>
      <c r="I277" s="99" t="n"/>
      <c r="J277" s="100" t="n"/>
      <c r="K277" s="98" t="n"/>
      <c r="L277" s="99" t="n"/>
      <c r="M277" s="99" t="n"/>
      <c r="N277" s="100" t="n"/>
      <c r="O277" s="98" t="n"/>
      <c r="P277" s="99" t="n"/>
      <c r="Q277" s="99" t="n"/>
      <c r="R277" s="100" t="n"/>
      <c r="S277" s="98" t="n"/>
      <c r="T277" s="99" t="n"/>
      <c r="U277" s="99" t="n"/>
      <c r="V277" s="100" t="n"/>
      <c r="W277" s="98" t="n"/>
      <c r="X277" s="100" t="n"/>
      <c r="Y277" s="98" t="n"/>
      <c r="Z277" s="100" t="n"/>
      <c r="AB277" s="101">
        <f>IF($B277="","",(COUNTIF(C258:E275,$B277)+COUNTIF(C258:E275,$B277&amp;" ~*")&gt;0)+(COUNTIF(G258:I275,$B277)+COUNTIF(G258:I275,$B277&amp;" ~*")&gt;0)+(COUNTIF(K258:M275,$B277)+COUNTIF(K258:M275,$B277&amp;" ~*")&gt;0)+(COUNTIF(O258:Q275,$B277)+COUNTIF(O258:Q275,$B277&amp;" ~*")&gt;0)+(COUNTIF(S258:U275,$B277)+COUNTIF(S258:U275,$B277&amp;" ~*")&gt;0)+(COUNTIF(W258:W275,$B277)+COUNTIF(W258:W275,$B277&amp;" ~*")&gt;0)+(COUNTIF(Y258:Y275,$B277)+COUNTIF(Y258:Y275,$B277&amp;" ~*")&gt;0))</f>
        <v/>
      </c>
      <c r="AC277" s="36">
        <f>IF($B277="","",(IFERROR(INDEX(Setup!$G$33:$G$40,MATCH(C277,Setup!$B$33:$B$40,0)),0)=1)*(COUNTIF(C258:E275,$B277)+COUNTIF(C258:E275,$B277&amp;" ~*")&gt;0)+(IFERROR(INDEX(Setup!$G$33:$G$40,MATCH(G277,Setup!$B$33:$B$40,0)),0)=1)*(COUNTIF(G258:I275,$B277)+COUNTIF(G258:I275,$B277&amp;" ~*")&gt;0)+(IFERROR(INDEX(Setup!$G$33:$G$40,MATCH(K277,Setup!$B$33:$B$40,0)),0)=1)*(COUNTIF(K258:M275,$B277)+COUNTIF(K258:M275,$B277&amp;" ~*")&gt;0)+(IFERROR(INDEX(Setup!$G$33:$G$40,MATCH(O277,Setup!$B$33:$B$40,0)),0)=1)*(COUNTIF(O258:Q275,$B277)+COUNTIF(O258:Q275,$B277&amp;" ~*")&gt;0)+(IFERROR(INDEX(Setup!$G$33:$G$40,MATCH(S277,Setup!$B$33:$B$40,0)),0)=1)*(COUNTIF(S258:U275,$B277)+COUNTIF(S258:U275,$B277&amp;" ~*")&gt;0)+(IFERROR(INDEX(Setup!$G$33:$G$40,MATCH(W277,Setup!$B$33:$B$40,0)),0)=1)*(COUNTIF(W258:W275,$B277)+COUNTIF(W258:W275,$B277&amp;" ~*")&gt;0)+(IFERROR(INDEX(Setup!$G$33:$G$40,MATCH(Y277,Setup!$B$33:$B$40,0)),0)=1)*(COUNTIF(Y258:Y275,$B277)+COUNTIF(Y258:Y275,$B277&amp;" ~*")&gt;0))</f>
        <v/>
      </c>
    </row>
    <row r="278" ht="15" customHeight="1">
      <c r="A278" t="n">
        <v>6</v>
      </c>
      <c r="B278" s="37">
        <f>IF(Setup!$B$7="","",Setup!$B$7)</f>
        <v/>
      </c>
      <c r="C278" s="102" t="n"/>
      <c r="D278" s="103" t="n"/>
      <c r="E278" s="103" t="n"/>
      <c r="F278" s="104" t="n"/>
      <c r="G278" s="102" t="n"/>
      <c r="H278" s="103" t="n"/>
      <c r="I278" s="103" t="n"/>
      <c r="J278" s="104" t="n"/>
      <c r="K278" s="102" t="n"/>
      <c r="L278" s="103" t="n"/>
      <c r="M278" s="103" t="n"/>
      <c r="N278" s="104" t="n"/>
      <c r="O278" s="102" t="n"/>
      <c r="P278" s="103" t="n"/>
      <c r="Q278" s="103" t="n"/>
      <c r="R278" s="104" t="n"/>
      <c r="S278" s="102" t="n"/>
      <c r="T278" s="103" t="n"/>
      <c r="U278" s="103" t="n"/>
      <c r="V278" s="104" t="n"/>
      <c r="W278" s="102" t="n"/>
      <c r="X278" s="104" t="n"/>
      <c r="Y278" s="102" t="n"/>
      <c r="Z278" s="104" t="n"/>
      <c r="AB278" s="105">
        <f>IF($B278="","",(COUNTIF(C258:E275,$B278)+COUNTIF(C258:E275,$B278&amp;" ~*")&gt;0)+(COUNTIF(G258:I275,$B278)+COUNTIF(G258:I275,$B278&amp;" ~*")&gt;0)+(COUNTIF(K258:M275,$B278)+COUNTIF(K258:M275,$B278&amp;" ~*")&gt;0)+(COUNTIF(O258:Q275,$B278)+COUNTIF(O258:Q275,$B278&amp;" ~*")&gt;0)+(COUNTIF(S258:U275,$B278)+COUNTIF(S258:U275,$B278&amp;" ~*")&gt;0)+(COUNTIF(W258:W275,$B278)+COUNTIF(W258:W275,$B278&amp;" ~*")&gt;0)+(COUNTIF(Y258:Y275,$B278)+COUNTIF(Y258:Y275,$B278&amp;" ~*")&gt;0))</f>
        <v/>
      </c>
      <c r="AC278" s="38">
        <f>IF($B278="","",(IFERROR(INDEX(Setup!$G$33:$G$40,MATCH(C278,Setup!$B$33:$B$40,0)),0)=1)*(COUNTIF(C258:E275,$B278)+COUNTIF(C258:E275,$B278&amp;" ~*")&gt;0)+(IFERROR(INDEX(Setup!$G$33:$G$40,MATCH(G278,Setup!$B$33:$B$40,0)),0)=1)*(COUNTIF(G258:I275,$B278)+COUNTIF(G258:I275,$B278&amp;" ~*")&gt;0)+(IFERROR(INDEX(Setup!$G$33:$G$40,MATCH(K278,Setup!$B$33:$B$40,0)),0)=1)*(COUNTIF(K258:M275,$B278)+COUNTIF(K258:M275,$B278&amp;" ~*")&gt;0)+(IFERROR(INDEX(Setup!$G$33:$G$40,MATCH(O278,Setup!$B$33:$B$40,0)),0)=1)*(COUNTIF(O258:Q275,$B278)+COUNTIF(O258:Q275,$B278&amp;" ~*")&gt;0)+(IFERROR(INDEX(Setup!$G$33:$G$40,MATCH(S278,Setup!$B$33:$B$40,0)),0)=1)*(COUNTIF(S258:U275,$B278)+COUNTIF(S258:U275,$B278&amp;" ~*")&gt;0)+(IFERROR(INDEX(Setup!$G$33:$G$40,MATCH(W278,Setup!$B$33:$B$40,0)),0)=1)*(COUNTIF(W258:W275,$B278)+COUNTIF(W258:W275,$B278&amp;" ~*")&gt;0)+(IFERROR(INDEX(Setup!$G$33:$G$40,MATCH(Y278,Setup!$B$33:$B$40,0)),0)=1)*(COUNTIF(Y258:Y275,$B278)+COUNTIF(Y258:Y275,$B278&amp;" ~*")&gt;0))</f>
        <v/>
      </c>
    </row>
    <row r="279" ht="15" customHeight="1">
      <c r="A279" t="n">
        <v>6</v>
      </c>
      <c r="B279" s="35">
        <f>IF(Setup!$B$8="","",Setup!$B$8)</f>
        <v/>
      </c>
      <c r="C279" s="98" t="n"/>
      <c r="D279" s="99" t="n"/>
      <c r="E279" s="99" t="n"/>
      <c r="F279" s="100" t="n"/>
      <c r="G279" s="98" t="n"/>
      <c r="H279" s="99" t="n"/>
      <c r="I279" s="99" t="n"/>
      <c r="J279" s="100" t="n"/>
      <c r="K279" s="98" t="n"/>
      <c r="L279" s="99" t="n"/>
      <c r="M279" s="99" t="n"/>
      <c r="N279" s="100" t="n"/>
      <c r="O279" s="98" t="n"/>
      <c r="P279" s="99" t="n"/>
      <c r="Q279" s="99" t="n"/>
      <c r="R279" s="100" t="n"/>
      <c r="S279" s="98" t="n"/>
      <c r="T279" s="99" t="n"/>
      <c r="U279" s="99" t="n"/>
      <c r="V279" s="100" t="n"/>
      <c r="W279" s="98" t="n"/>
      <c r="X279" s="100" t="n"/>
      <c r="Y279" s="98" t="n"/>
      <c r="Z279" s="100" t="n"/>
      <c r="AB279" s="101">
        <f>IF($B279="","",(COUNTIF(C258:E275,$B279)+COUNTIF(C258:E275,$B279&amp;" ~*")&gt;0)+(COUNTIF(G258:I275,$B279)+COUNTIF(G258:I275,$B279&amp;" ~*")&gt;0)+(COUNTIF(K258:M275,$B279)+COUNTIF(K258:M275,$B279&amp;" ~*")&gt;0)+(COUNTIF(O258:Q275,$B279)+COUNTIF(O258:Q275,$B279&amp;" ~*")&gt;0)+(COUNTIF(S258:U275,$B279)+COUNTIF(S258:U275,$B279&amp;" ~*")&gt;0)+(COUNTIF(W258:W275,$B279)+COUNTIF(W258:W275,$B279&amp;" ~*")&gt;0)+(COUNTIF(Y258:Y275,$B279)+COUNTIF(Y258:Y275,$B279&amp;" ~*")&gt;0))</f>
        <v/>
      </c>
      <c r="AC279" s="36">
        <f>IF($B279="","",(IFERROR(INDEX(Setup!$G$33:$G$40,MATCH(C279,Setup!$B$33:$B$40,0)),0)=1)*(COUNTIF(C258:E275,$B279)+COUNTIF(C258:E275,$B279&amp;" ~*")&gt;0)+(IFERROR(INDEX(Setup!$G$33:$G$40,MATCH(G279,Setup!$B$33:$B$40,0)),0)=1)*(COUNTIF(G258:I275,$B279)+COUNTIF(G258:I275,$B279&amp;" ~*")&gt;0)+(IFERROR(INDEX(Setup!$G$33:$G$40,MATCH(K279,Setup!$B$33:$B$40,0)),0)=1)*(COUNTIF(K258:M275,$B279)+COUNTIF(K258:M275,$B279&amp;" ~*")&gt;0)+(IFERROR(INDEX(Setup!$G$33:$G$40,MATCH(O279,Setup!$B$33:$B$40,0)),0)=1)*(COUNTIF(O258:Q275,$B279)+COUNTIF(O258:Q275,$B279&amp;" ~*")&gt;0)+(IFERROR(INDEX(Setup!$G$33:$G$40,MATCH(S279,Setup!$B$33:$B$40,0)),0)=1)*(COUNTIF(S258:U275,$B279)+COUNTIF(S258:U275,$B279&amp;" ~*")&gt;0)+(IFERROR(INDEX(Setup!$G$33:$G$40,MATCH(W279,Setup!$B$33:$B$40,0)),0)=1)*(COUNTIF(W258:W275,$B279)+COUNTIF(W258:W275,$B279&amp;" ~*")&gt;0)+(IFERROR(INDEX(Setup!$G$33:$G$40,MATCH(Y279,Setup!$B$33:$B$40,0)),0)=1)*(COUNTIF(Y258:Y275,$B279)+COUNTIF(Y258:Y275,$B279&amp;" ~*")&gt;0))</f>
        <v/>
      </c>
    </row>
    <row r="280" ht="15" customHeight="1">
      <c r="A280" t="n">
        <v>6</v>
      </c>
      <c r="B280" s="37">
        <f>IF(Setup!$B$9="","",Setup!$B$9)</f>
        <v/>
      </c>
      <c r="C280" s="102" t="n"/>
      <c r="D280" s="103" t="n"/>
      <c r="E280" s="103" t="n"/>
      <c r="F280" s="104" t="n"/>
      <c r="G280" s="102" t="n"/>
      <c r="H280" s="103" t="n"/>
      <c r="I280" s="103" t="n"/>
      <c r="J280" s="104" t="n"/>
      <c r="K280" s="102" t="n"/>
      <c r="L280" s="103" t="n"/>
      <c r="M280" s="103" t="n"/>
      <c r="N280" s="104" t="n"/>
      <c r="O280" s="102" t="n"/>
      <c r="P280" s="103" t="n"/>
      <c r="Q280" s="103" t="n"/>
      <c r="R280" s="104" t="n"/>
      <c r="S280" s="102" t="n"/>
      <c r="T280" s="103" t="n"/>
      <c r="U280" s="103" t="n"/>
      <c r="V280" s="104" t="n"/>
      <c r="W280" s="102" t="n"/>
      <c r="X280" s="104" t="n"/>
      <c r="Y280" s="102" t="n"/>
      <c r="Z280" s="104" t="n"/>
      <c r="AB280" s="105">
        <f>IF($B280="","",(COUNTIF(C258:E275,$B280)+COUNTIF(C258:E275,$B280&amp;" ~*")&gt;0)+(COUNTIF(G258:I275,$B280)+COUNTIF(G258:I275,$B280&amp;" ~*")&gt;0)+(COUNTIF(K258:M275,$B280)+COUNTIF(K258:M275,$B280&amp;" ~*")&gt;0)+(COUNTIF(O258:Q275,$B280)+COUNTIF(O258:Q275,$B280&amp;" ~*")&gt;0)+(COUNTIF(S258:U275,$B280)+COUNTIF(S258:U275,$B280&amp;" ~*")&gt;0)+(COUNTIF(W258:W275,$B280)+COUNTIF(W258:W275,$B280&amp;" ~*")&gt;0)+(COUNTIF(Y258:Y275,$B280)+COUNTIF(Y258:Y275,$B280&amp;" ~*")&gt;0))</f>
        <v/>
      </c>
      <c r="AC280" s="38">
        <f>IF($B280="","",(IFERROR(INDEX(Setup!$G$33:$G$40,MATCH(C280,Setup!$B$33:$B$40,0)),0)=1)*(COUNTIF(C258:E275,$B280)+COUNTIF(C258:E275,$B280&amp;" ~*")&gt;0)+(IFERROR(INDEX(Setup!$G$33:$G$40,MATCH(G280,Setup!$B$33:$B$40,0)),0)=1)*(COUNTIF(G258:I275,$B280)+COUNTIF(G258:I275,$B280&amp;" ~*")&gt;0)+(IFERROR(INDEX(Setup!$G$33:$G$40,MATCH(K280,Setup!$B$33:$B$40,0)),0)=1)*(COUNTIF(K258:M275,$B280)+COUNTIF(K258:M275,$B280&amp;" ~*")&gt;0)+(IFERROR(INDEX(Setup!$G$33:$G$40,MATCH(O280,Setup!$B$33:$B$40,0)),0)=1)*(COUNTIF(O258:Q275,$B280)+COUNTIF(O258:Q275,$B280&amp;" ~*")&gt;0)+(IFERROR(INDEX(Setup!$G$33:$G$40,MATCH(S280,Setup!$B$33:$B$40,0)),0)=1)*(COUNTIF(S258:U275,$B280)+COUNTIF(S258:U275,$B280&amp;" ~*")&gt;0)+(IFERROR(INDEX(Setup!$G$33:$G$40,MATCH(W280,Setup!$B$33:$B$40,0)),0)=1)*(COUNTIF(W258:W275,$B280)+COUNTIF(W258:W275,$B280&amp;" ~*")&gt;0)+(IFERROR(INDEX(Setup!$G$33:$G$40,MATCH(Y280,Setup!$B$33:$B$40,0)),0)=1)*(COUNTIF(Y258:Y275,$B280)+COUNTIF(Y258:Y275,$B280&amp;" ~*")&gt;0))</f>
        <v/>
      </c>
    </row>
    <row r="281" ht="15" customHeight="1">
      <c r="A281" t="n">
        <v>6</v>
      </c>
      <c r="B281" s="35">
        <f>IF(Setup!$B$10="","",Setup!$B$10)</f>
        <v/>
      </c>
      <c r="C281" s="98" t="n"/>
      <c r="D281" s="99" t="n"/>
      <c r="E281" s="99" t="n"/>
      <c r="F281" s="100" t="n"/>
      <c r="G281" s="98" t="n"/>
      <c r="H281" s="99" t="n"/>
      <c r="I281" s="99" t="n"/>
      <c r="J281" s="100" t="n"/>
      <c r="K281" s="98" t="n"/>
      <c r="L281" s="99" t="n"/>
      <c r="M281" s="99" t="n"/>
      <c r="N281" s="100" t="n"/>
      <c r="O281" s="98" t="n"/>
      <c r="P281" s="99" t="n"/>
      <c r="Q281" s="99" t="n"/>
      <c r="R281" s="100" t="n"/>
      <c r="S281" s="98" t="n"/>
      <c r="T281" s="99" t="n"/>
      <c r="U281" s="99" t="n"/>
      <c r="V281" s="100" t="n"/>
      <c r="W281" s="98" t="n"/>
      <c r="X281" s="100" t="n"/>
      <c r="Y281" s="98" t="n"/>
      <c r="Z281" s="100" t="n"/>
      <c r="AB281" s="101">
        <f>IF($B281="","",(COUNTIF(C258:E275,$B281)+COUNTIF(C258:E275,$B281&amp;" ~*")&gt;0)+(COUNTIF(G258:I275,$B281)+COUNTIF(G258:I275,$B281&amp;" ~*")&gt;0)+(COUNTIF(K258:M275,$B281)+COUNTIF(K258:M275,$B281&amp;" ~*")&gt;0)+(COUNTIF(O258:Q275,$B281)+COUNTIF(O258:Q275,$B281&amp;" ~*")&gt;0)+(COUNTIF(S258:U275,$B281)+COUNTIF(S258:U275,$B281&amp;" ~*")&gt;0)+(COUNTIF(W258:W275,$B281)+COUNTIF(W258:W275,$B281&amp;" ~*")&gt;0)+(COUNTIF(Y258:Y275,$B281)+COUNTIF(Y258:Y275,$B281&amp;" ~*")&gt;0))</f>
        <v/>
      </c>
      <c r="AC281" s="36">
        <f>IF($B281="","",(IFERROR(INDEX(Setup!$G$33:$G$40,MATCH(C281,Setup!$B$33:$B$40,0)),0)=1)*(COUNTIF(C258:E275,$B281)+COUNTIF(C258:E275,$B281&amp;" ~*")&gt;0)+(IFERROR(INDEX(Setup!$G$33:$G$40,MATCH(G281,Setup!$B$33:$B$40,0)),0)=1)*(COUNTIF(G258:I275,$B281)+COUNTIF(G258:I275,$B281&amp;" ~*")&gt;0)+(IFERROR(INDEX(Setup!$G$33:$G$40,MATCH(K281,Setup!$B$33:$B$40,0)),0)=1)*(COUNTIF(K258:M275,$B281)+COUNTIF(K258:M275,$B281&amp;" ~*")&gt;0)+(IFERROR(INDEX(Setup!$G$33:$G$40,MATCH(O281,Setup!$B$33:$B$40,0)),0)=1)*(COUNTIF(O258:Q275,$B281)+COUNTIF(O258:Q275,$B281&amp;" ~*")&gt;0)+(IFERROR(INDEX(Setup!$G$33:$G$40,MATCH(S281,Setup!$B$33:$B$40,0)),0)=1)*(COUNTIF(S258:U275,$B281)+COUNTIF(S258:U275,$B281&amp;" ~*")&gt;0)+(IFERROR(INDEX(Setup!$G$33:$G$40,MATCH(W281,Setup!$B$33:$B$40,0)),0)=1)*(COUNTIF(W258:W275,$B281)+COUNTIF(W258:W275,$B281&amp;" ~*")&gt;0)+(IFERROR(INDEX(Setup!$G$33:$G$40,MATCH(Y281,Setup!$B$33:$B$40,0)),0)=1)*(COUNTIF(Y258:Y275,$B281)+COUNTIF(Y258:Y275,$B281&amp;" ~*")&gt;0))</f>
        <v/>
      </c>
    </row>
    <row r="282" ht="15" customHeight="1">
      <c r="A282" t="n">
        <v>6</v>
      </c>
      <c r="B282" s="37">
        <f>IF(Setup!$B$11="","",Setup!$B$11)</f>
        <v/>
      </c>
      <c r="C282" s="102" t="n"/>
      <c r="D282" s="103" t="n"/>
      <c r="E282" s="103" t="n"/>
      <c r="F282" s="104" t="n"/>
      <c r="G282" s="102" t="n"/>
      <c r="H282" s="103" t="n"/>
      <c r="I282" s="103" t="n"/>
      <c r="J282" s="104" t="n"/>
      <c r="K282" s="102" t="n"/>
      <c r="L282" s="103" t="n"/>
      <c r="M282" s="103" t="n"/>
      <c r="N282" s="104" t="n"/>
      <c r="O282" s="102" t="n"/>
      <c r="P282" s="103" t="n"/>
      <c r="Q282" s="103" t="n"/>
      <c r="R282" s="104" t="n"/>
      <c r="S282" s="102" t="n"/>
      <c r="T282" s="103" t="n"/>
      <c r="U282" s="103" t="n"/>
      <c r="V282" s="104" t="n"/>
      <c r="W282" s="102" t="n"/>
      <c r="X282" s="104" t="n"/>
      <c r="Y282" s="102" t="n"/>
      <c r="Z282" s="104" t="n"/>
      <c r="AB282" s="105">
        <f>IF($B282="","",(COUNTIF(C258:E275,$B282)+COUNTIF(C258:E275,$B282&amp;" ~*")&gt;0)+(COUNTIF(G258:I275,$B282)+COUNTIF(G258:I275,$B282&amp;" ~*")&gt;0)+(COUNTIF(K258:M275,$B282)+COUNTIF(K258:M275,$B282&amp;" ~*")&gt;0)+(COUNTIF(O258:Q275,$B282)+COUNTIF(O258:Q275,$B282&amp;" ~*")&gt;0)+(COUNTIF(S258:U275,$B282)+COUNTIF(S258:U275,$B282&amp;" ~*")&gt;0)+(COUNTIF(W258:W275,$B282)+COUNTIF(W258:W275,$B282&amp;" ~*")&gt;0)+(COUNTIF(Y258:Y275,$B282)+COUNTIF(Y258:Y275,$B282&amp;" ~*")&gt;0))</f>
        <v/>
      </c>
      <c r="AC282" s="38">
        <f>IF($B282="","",(IFERROR(INDEX(Setup!$G$33:$G$40,MATCH(C282,Setup!$B$33:$B$40,0)),0)=1)*(COUNTIF(C258:E275,$B282)+COUNTIF(C258:E275,$B282&amp;" ~*")&gt;0)+(IFERROR(INDEX(Setup!$G$33:$G$40,MATCH(G282,Setup!$B$33:$B$40,0)),0)=1)*(COUNTIF(G258:I275,$B282)+COUNTIF(G258:I275,$B282&amp;" ~*")&gt;0)+(IFERROR(INDEX(Setup!$G$33:$G$40,MATCH(K282,Setup!$B$33:$B$40,0)),0)=1)*(COUNTIF(K258:M275,$B282)+COUNTIF(K258:M275,$B282&amp;" ~*")&gt;0)+(IFERROR(INDEX(Setup!$G$33:$G$40,MATCH(O282,Setup!$B$33:$B$40,0)),0)=1)*(COUNTIF(O258:Q275,$B282)+COUNTIF(O258:Q275,$B282&amp;" ~*")&gt;0)+(IFERROR(INDEX(Setup!$G$33:$G$40,MATCH(S282,Setup!$B$33:$B$40,0)),0)=1)*(COUNTIF(S258:U275,$B282)+COUNTIF(S258:U275,$B282&amp;" ~*")&gt;0)+(IFERROR(INDEX(Setup!$G$33:$G$40,MATCH(W282,Setup!$B$33:$B$40,0)),0)=1)*(COUNTIF(W258:W275,$B282)+COUNTIF(W258:W275,$B282&amp;" ~*")&gt;0)+(IFERROR(INDEX(Setup!$G$33:$G$40,MATCH(Y282,Setup!$B$33:$B$40,0)),0)=1)*(COUNTIF(Y258:Y275,$B282)+COUNTIF(Y258:Y275,$B282&amp;" ~*")&gt;0))</f>
        <v/>
      </c>
    </row>
    <row r="283" ht="15" customHeight="1">
      <c r="A283" t="n">
        <v>6</v>
      </c>
      <c r="B283" s="35">
        <f>IF(Setup!$B$12="","",Setup!$B$12)</f>
        <v/>
      </c>
      <c r="C283" s="98" t="n"/>
      <c r="D283" s="99" t="n"/>
      <c r="E283" s="99" t="n"/>
      <c r="F283" s="100" t="n"/>
      <c r="G283" s="98" t="n"/>
      <c r="H283" s="99" t="n"/>
      <c r="I283" s="99" t="n"/>
      <c r="J283" s="100" t="n"/>
      <c r="K283" s="98" t="n"/>
      <c r="L283" s="99" t="n"/>
      <c r="M283" s="99" t="n"/>
      <c r="N283" s="100" t="n"/>
      <c r="O283" s="98" t="n"/>
      <c r="P283" s="99" t="n"/>
      <c r="Q283" s="99" t="n"/>
      <c r="R283" s="100" t="n"/>
      <c r="S283" s="98" t="n"/>
      <c r="T283" s="99" t="n"/>
      <c r="U283" s="99" t="n"/>
      <c r="V283" s="100" t="n"/>
      <c r="W283" s="98" t="n"/>
      <c r="X283" s="100" t="n"/>
      <c r="Y283" s="98" t="n"/>
      <c r="Z283" s="100" t="n"/>
      <c r="AB283" s="101">
        <f>IF($B283="","",(COUNTIF(C258:E275,$B283)+COUNTIF(C258:E275,$B283&amp;" ~*")&gt;0)+(COUNTIF(G258:I275,$B283)+COUNTIF(G258:I275,$B283&amp;" ~*")&gt;0)+(COUNTIF(K258:M275,$B283)+COUNTIF(K258:M275,$B283&amp;" ~*")&gt;0)+(COUNTIF(O258:Q275,$B283)+COUNTIF(O258:Q275,$B283&amp;" ~*")&gt;0)+(COUNTIF(S258:U275,$B283)+COUNTIF(S258:U275,$B283&amp;" ~*")&gt;0)+(COUNTIF(W258:W275,$B283)+COUNTIF(W258:W275,$B283&amp;" ~*")&gt;0)+(COUNTIF(Y258:Y275,$B283)+COUNTIF(Y258:Y275,$B283&amp;" ~*")&gt;0))</f>
        <v/>
      </c>
      <c r="AC283" s="36">
        <f>IF($B283="","",(IFERROR(INDEX(Setup!$G$33:$G$40,MATCH(C283,Setup!$B$33:$B$40,0)),0)=1)*(COUNTIF(C258:E275,$B283)+COUNTIF(C258:E275,$B283&amp;" ~*")&gt;0)+(IFERROR(INDEX(Setup!$G$33:$G$40,MATCH(G283,Setup!$B$33:$B$40,0)),0)=1)*(COUNTIF(G258:I275,$B283)+COUNTIF(G258:I275,$B283&amp;" ~*")&gt;0)+(IFERROR(INDEX(Setup!$G$33:$G$40,MATCH(K283,Setup!$B$33:$B$40,0)),0)=1)*(COUNTIF(K258:M275,$B283)+COUNTIF(K258:M275,$B283&amp;" ~*")&gt;0)+(IFERROR(INDEX(Setup!$G$33:$G$40,MATCH(O283,Setup!$B$33:$B$40,0)),0)=1)*(COUNTIF(O258:Q275,$B283)+COUNTIF(O258:Q275,$B283&amp;" ~*")&gt;0)+(IFERROR(INDEX(Setup!$G$33:$G$40,MATCH(S283,Setup!$B$33:$B$40,0)),0)=1)*(COUNTIF(S258:U275,$B283)+COUNTIF(S258:U275,$B283&amp;" ~*")&gt;0)+(IFERROR(INDEX(Setup!$G$33:$G$40,MATCH(W283,Setup!$B$33:$B$40,0)),0)=1)*(COUNTIF(W258:W275,$B283)+COUNTIF(W258:W275,$B283&amp;" ~*")&gt;0)+(IFERROR(INDEX(Setup!$G$33:$G$40,MATCH(Y283,Setup!$B$33:$B$40,0)),0)=1)*(COUNTIF(Y258:Y275,$B283)+COUNTIF(Y258:Y275,$B283&amp;" ~*")&gt;0))</f>
        <v/>
      </c>
    </row>
    <row r="284" ht="15" customHeight="1">
      <c r="A284" t="n">
        <v>6</v>
      </c>
      <c r="B284" s="37">
        <f>IF(Setup!$B$13="","",Setup!$B$13)</f>
        <v/>
      </c>
      <c r="C284" s="102" t="n"/>
      <c r="D284" s="103" t="n"/>
      <c r="E284" s="103" t="n"/>
      <c r="F284" s="104" t="n"/>
      <c r="G284" s="102" t="n"/>
      <c r="H284" s="103" t="n"/>
      <c r="I284" s="103" t="n"/>
      <c r="J284" s="104" t="n"/>
      <c r="K284" s="102" t="n"/>
      <c r="L284" s="103" t="n"/>
      <c r="M284" s="103" t="n"/>
      <c r="N284" s="104" t="n"/>
      <c r="O284" s="102" t="n"/>
      <c r="P284" s="103" t="n"/>
      <c r="Q284" s="103" t="n"/>
      <c r="R284" s="104" t="n"/>
      <c r="S284" s="102" t="n"/>
      <c r="T284" s="103" t="n"/>
      <c r="U284" s="103" t="n"/>
      <c r="V284" s="104" t="n"/>
      <c r="W284" s="102" t="n"/>
      <c r="X284" s="104" t="n"/>
      <c r="Y284" s="102" t="n"/>
      <c r="Z284" s="104" t="n"/>
      <c r="AB284" s="105">
        <f>IF($B284="","",(COUNTIF(C258:E275,$B284)+COUNTIF(C258:E275,$B284&amp;" ~*")&gt;0)+(COUNTIF(G258:I275,$B284)+COUNTIF(G258:I275,$B284&amp;" ~*")&gt;0)+(COUNTIF(K258:M275,$B284)+COUNTIF(K258:M275,$B284&amp;" ~*")&gt;0)+(COUNTIF(O258:Q275,$B284)+COUNTIF(O258:Q275,$B284&amp;" ~*")&gt;0)+(COUNTIF(S258:U275,$B284)+COUNTIF(S258:U275,$B284&amp;" ~*")&gt;0)+(COUNTIF(W258:W275,$B284)+COUNTIF(W258:W275,$B284&amp;" ~*")&gt;0)+(COUNTIF(Y258:Y275,$B284)+COUNTIF(Y258:Y275,$B284&amp;" ~*")&gt;0))</f>
        <v/>
      </c>
      <c r="AC284" s="38">
        <f>IF($B284="","",(IFERROR(INDEX(Setup!$G$33:$G$40,MATCH(C284,Setup!$B$33:$B$40,0)),0)=1)*(COUNTIF(C258:E275,$B284)+COUNTIF(C258:E275,$B284&amp;" ~*")&gt;0)+(IFERROR(INDEX(Setup!$G$33:$G$40,MATCH(G284,Setup!$B$33:$B$40,0)),0)=1)*(COUNTIF(G258:I275,$B284)+COUNTIF(G258:I275,$B284&amp;" ~*")&gt;0)+(IFERROR(INDEX(Setup!$G$33:$G$40,MATCH(K284,Setup!$B$33:$B$40,0)),0)=1)*(COUNTIF(K258:M275,$B284)+COUNTIF(K258:M275,$B284&amp;" ~*")&gt;0)+(IFERROR(INDEX(Setup!$G$33:$G$40,MATCH(O284,Setup!$B$33:$B$40,0)),0)=1)*(COUNTIF(O258:Q275,$B284)+COUNTIF(O258:Q275,$B284&amp;" ~*")&gt;0)+(IFERROR(INDEX(Setup!$G$33:$G$40,MATCH(S284,Setup!$B$33:$B$40,0)),0)=1)*(COUNTIF(S258:U275,$B284)+COUNTIF(S258:U275,$B284&amp;" ~*")&gt;0)+(IFERROR(INDEX(Setup!$G$33:$G$40,MATCH(W284,Setup!$B$33:$B$40,0)),0)=1)*(COUNTIF(W258:W275,$B284)+COUNTIF(W258:W275,$B284&amp;" ~*")&gt;0)+(IFERROR(INDEX(Setup!$G$33:$G$40,MATCH(Y284,Setup!$B$33:$B$40,0)),0)=1)*(COUNTIF(Y258:Y275,$B284)+COUNTIF(Y258:Y275,$B284&amp;" ~*")&gt;0))</f>
        <v/>
      </c>
    </row>
    <row r="285" ht="15" customHeight="1">
      <c r="A285" t="n">
        <v>6</v>
      </c>
      <c r="B285" s="35">
        <f>IF(Setup!$B$14="","",Setup!$B$14)</f>
        <v/>
      </c>
      <c r="C285" s="98" t="n"/>
      <c r="D285" s="99" t="n"/>
      <c r="E285" s="99" t="n"/>
      <c r="F285" s="100" t="n"/>
      <c r="G285" s="98" t="n"/>
      <c r="H285" s="99" t="n"/>
      <c r="I285" s="99" t="n"/>
      <c r="J285" s="100" t="n"/>
      <c r="K285" s="98" t="n"/>
      <c r="L285" s="99" t="n"/>
      <c r="M285" s="99" t="n"/>
      <c r="N285" s="100" t="n"/>
      <c r="O285" s="98" t="n"/>
      <c r="P285" s="99" t="n"/>
      <c r="Q285" s="99" t="n"/>
      <c r="R285" s="100" t="n"/>
      <c r="S285" s="98" t="n"/>
      <c r="T285" s="99" t="n"/>
      <c r="U285" s="99" t="n"/>
      <c r="V285" s="100" t="n"/>
      <c r="W285" s="98" t="n"/>
      <c r="X285" s="100" t="n"/>
      <c r="Y285" s="98" t="n"/>
      <c r="Z285" s="100" t="n"/>
      <c r="AB285" s="101">
        <f>IF($B285="","",(COUNTIF(C258:E275,$B285)+COUNTIF(C258:E275,$B285&amp;" ~*")&gt;0)+(COUNTIF(G258:I275,$B285)+COUNTIF(G258:I275,$B285&amp;" ~*")&gt;0)+(COUNTIF(K258:M275,$B285)+COUNTIF(K258:M275,$B285&amp;" ~*")&gt;0)+(COUNTIF(O258:Q275,$B285)+COUNTIF(O258:Q275,$B285&amp;" ~*")&gt;0)+(COUNTIF(S258:U275,$B285)+COUNTIF(S258:U275,$B285&amp;" ~*")&gt;0)+(COUNTIF(W258:W275,$B285)+COUNTIF(W258:W275,$B285&amp;" ~*")&gt;0)+(COUNTIF(Y258:Y275,$B285)+COUNTIF(Y258:Y275,$B285&amp;" ~*")&gt;0))</f>
        <v/>
      </c>
      <c r="AC285" s="36">
        <f>IF($B285="","",(IFERROR(INDEX(Setup!$G$33:$G$40,MATCH(C285,Setup!$B$33:$B$40,0)),0)=1)*(COUNTIF(C258:E275,$B285)+COUNTIF(C258:E275,$B285&amp;" ~*")&gt;0)+(IFERROR(INDEX(Setup!$G$33:$G$40,MATCH(G285,Setup!$B$33:$B$40,0)),0)=1)*(COUNTIF(G258:I275,$B285)+COUNTIF(G258:I275,$B285&amp;" ~*")&gt;0)+(IFERROR(INDEX(Setup!$G$33:$G$40,MATCH(K285,Setup!$B$33:$B$40,0)),0)=1)*(COUNTIF(K258:M275,$B285)+COUNTIF(K258:M275,$B285&amp;" ~*")&gt;0)+(IFERROR(INDEX(Setup!$G$33:$G$40,MATCH(O285,Setup!$B$33:$B$40,0)),0)=1)*(COUNTIF(O258:Q275,$B285)+COUNTIF(O258:Q275,$B285&amp;" ~*")&gt;0)+(IFERROR(INDEX(Setup!$G$33:$G$40,MATCH(S285,Setup!$B$33:$B$40,0)),0)=1)*(COUNTIF(S258:U275,$B285)+COUNTIF(S258:U275,$B285&amp;" ~*")&gt;0)+(IFERROR(INDEX(Setup!$G$33:$G$40,MATCH(W285,Setup!$B$33:$B$40,0)),0)=1)*(COUNTIF(W258:W275,$B285)+COUNTIF(W258:W275,$B285&amp;" ~*")&gt;0)+(IFERROR(INDEX(Setup!$G$33:$G$40,MATCH(Y285,Setup!$B$33:$B$40,0)),0)=1)*(COUNTIF(Y258:Y275,$B285)+COUNTIF(Y258:Y275,$B285&amp;" ~*")&gt;0))</f>
        <v/>
      </c>
    </row>
    <row r="286" ht="15" customHeight="1">
      <c r="A286" t="n">
        <v>6</v>
      </c>
      <c r="B286" s="37">
        <f>IF(Setup!$B$15="","",Setup!$B$15)</f>
        <v/>
      </c>
      <c r="C286" s="102" t="n"/>
      <c r="D286" s="103" t="n"/>
      <c r="E286" s="103" t="n"/>
      <c r="F286" s="104" t="n"/>
      <c r="G286" s="102" t="n"/>
      <c r="H286" s="103" t="n"/>
      <c r="I286" s="103" t="n"/>
      <c r="J286" s="104" t="n"/>
      <c r="K286" s="102" t="n"/>
      <c r="L286" s="103" t="n"/>
      <c r="M286" s="103" t="n"/>
      <c r="N286" s="104" t="n"/>
      <c r="O286" s="102" t="n"/>
      <c r="P286" s="103" t="n"/>
      <c r="Q286" s="103" t="n"/>
      <c r="R286" s="104" t="n"/>
      <c r="S286" s="102" t="n"/>
      <c r="T286" s="103" t="n"/>
      <c r="U286" s="103" t="n"/>
      <c r="V286" s="104" t="n"/>
      <c r="W286" s="102" t="n"/>
      <c r="X286" s="104" t="n"/>
      <c r="Y286" s="102" t="n"/>
      <c r="Z286" s="104" t="n"/>
      <c r="AB286" s="105">
        <f>IF($B286="","",(COUNTIF(C258:E275,$B286)+COUNTIF(C258:E275,$B286&amp;" ~*")&gt;0)+(COUNTIF(G258:I275,$B286)+COUNTIF(G258:I275,$B286&amp;" ~*")&gt;0)+(COUNTIF(K258:M275,$B286)+COUNTIF(K258:M275,$B286&amp;" ~*")&gt;0)+(COUNTIF(O258:Q275,$B286)+COUNTIF(O258:Q275,$B286&amp;" ~*")&gt;0)+(COUNTIF(S258:U275,$B286)+COUNTIF(S258:U275,$B286&amp;" ~*")&gt;0)+(COUNTIF(W258:W275,$B286)+COUNTIF(W258:W275,$B286&amp;" ~*")&gt;0)+(COUNTIF(Y258:Y275,$B286)+COUNTIF(Y258:Y275,$B286&amp;" ~*")&gt;0))</f>
        <v/>
      </c>
      <c r="AC286" s="38">
        <f>IF($B286="","",(IFERROR(INDEX(Setup!$G$33:$G$40,MATCH(C286,Setup!$B$33:$B$40,0)),0)=1)*(COUNTIF(C258:E275,$B286)+COUNTIF(C258:E275,$B286&amp;" ~*")&gt;0)+(IFERROR(INDEX(Setup!$G$33:$G$40,MATCH(G286,Setup!$B$33:$B$40,0)),0)=1)*(COUNTIF(G258:I275,$B286)+COUNTIF(G258:I275,$B286&amp;" ~*")&gt;0)+(IFERROR(INDEX(Setup!$G$33:$G$40,MATCH(K286,Setup!$B$33:$B$40,0)),0)=1)*(COUNTIF(K258:M275,$B286)+COUNTIF(K258:M275,$B286&amp;" ~*")&gt;0)+(IFERROR(INDEX(Setup!$G$33:$G$40,MATCH(O286,Setup!$B$33:$B$40,0)),0)=1)*(COUNTIF(O258:Q275,$B286)+COUNTIF(O258:Q275,$B286&amp;" ~*")&gt;0)+(IFERROR(INDEX(Setup!$G$33:$G$40,MATCH(S286,Setup!$B$33:$B$40,0)),0)=1)*(COUNTIF(S258:U275,$B286)+COUNTIF(S258:U275,$B286&amp;" ~*")&gt;0)+(IFERROR(INDEX(Setup!$G$33:$G$40,MATCH(W286,Setup!$B$33:$B$40,0)),0)=1)*(COUNTIF(W258:W275,$B286)+COUNTIF(W258:W275,$B286&amp;" ~*")&gt;0)+(IFERROR(INDEX(Setup!$G$33:$G$40,MATCH(Y286,Setup!$B$33:$B$40,0)),0)=1)*(COUNTIF(Y258:Y275,$B286)+COUNTIF(Y258:Y275,$B286&amp;" ~*")&gt;0))</f>
        <v/>
      </c>
    </row>
    <row r="287" ht="15" customHeight="1">
      <c r="A287" t="n">
        <v>6</v>
      </c>
      <c r="B287" s="35">
        <f>IF(Setup!$B$16="","",Setup!$B$16)</f>
        <v/>
      </c>
      <c r="C287" s="98" t="n"/>
      <c r="D287" s="99" t="n"/>
      <c r="E287" s="99" t="n"/>
      <c r="F287" s="100" t="n"/>
      <c r="G287" s="98" t="n"/>
      <c r="H287" s="99" t="n"/>
      <c r="I287" s="99" t="n"/>
      <c r="J287" s="100" t="n"/>
      <c r="K287" s="98" t="n"/>
      <c r="L287" s="99" t="n"/>
      <c r="M287" s="99" t="n"/>
      <c r="N287" s="100" t="n"/>
      <c r="O287" s="98" t="n"/>
      <c r="P287" s="99" t="n"/>
      <c r="Q287" s="99" t="n"/>
      <c r="R287" s="100" t="n"/>
      <c r="S287" s="98" t="n"/>
      <c r="T287" s="99" t="n"/>
      <c r="U287" s="99" t="n"/>
      <c r="V287" s="100" t="n"/>
      <c r="W287" s="98" t="n"/>
      <c r="X287" s="100" t="n"/>
      <c r="Y287" s="98" t="n"/>
      <c r="Z287" s="100" t="n"/>
      <c r="AB287" s="101">
        <f>IF($B287="","",(COUNTIF(C258:E275,$B287)+COUNTIF(C258:E275,$B287&amp;" ~*")&gt;0)+(COUNTIF(G258:I275,$B287)+COUNTIF(G258:I275,$B287&amp;" ~*")&gt;0)+(COUNTIF(K258:M275,$B287)+COUNTIF(K258:M275,$B287&amp;" ~*")&gt;0)+(COUNTIF(O258:Q275,$B287)+COUNTIF(O258:Q275,$B287&amp;" ~*")&gt;0)+(COUNTIF(S258:U275,$B287)+COUNTIF(S258:U275,$B287&amp;" ~*")&gt;0)+(COUNTIF(W258:W275,$B287)+COUNTIF(W258:W275,$B287&amp;" ~*")&gt;0)+(COUNTIF(Y258:Y275,$B287)+COUNTIF(Y258:Y275,$B287&amp;" ~*")&gt;0))</f>
        <v/>
      </c>
      <c r="AC287" s="36">
        <f>IF($B287="","",(IFERROR(INDEX(Setup!$G$33:$G$40,MATCH(C287,Setup!$B$33:$B$40,0)),0)=1)*(COUNTIF(C258:E275,$B287)+COUNTIF(C258:E275,$B287&amp;" ~*")&gt;0)+(IFERROR(INDEX(Setup!$G$33:$G$40,MATCH(G287,Setup!$B$33:$B$40,0)),0)=1)*(COUNTIF(G258:I275,$B287)+COUNTIF(G258:I275,$B287&amp;" ~*")&gt;0)+(IFERROR(INDEX(Setup!$G$33:$G$40,MATCH(K287,Setup!$B$33:$B$40,0)),0)=1)*(COUNTIF(K258:M275,$B287)+COUNTIF(K258:M275,$B287&amp;" ~*")&gt;0)+(IFERROR(INDEX(Setup!$G$33:$G$40,MATCH(O287,Setup!$B$33:$B$40,0)),0)=1)*(COUNTIF(O258:Q275,$B287)+COUNTIF(O258:Q275,$B287&amp;" ~*")&gt;0)+(IFERROR(INDEX(Setup!$G$33:$G$40,MATCH(S287,Setup!$B$33:$B$40,0)),0)=1)*(COUNTIF(S258:U275,$B287)+COUNTIF(S258:U275,$B287&amp;" ~*")&gt;0)+(IFERROR(INDEX(Setup!$G$33:$G$40,MATCH(W287,Setup!$B$33:$B$40,0)),0)=1)*(COUNTIF(W258:W275,$B287)+COUNTIF(W258:W275,$B287&amp;" ~*")&gt;0)+(IFERROR(INDEX(Setup!$G$33:$G$40,MATCH(Y287,Setup!$B$33:$B$40,0)),0)=1)*(COUNTIF(Y258:Y275,$B287)+COUNTIF(Y258:Y275,$B287&amp;" ~*")&gt;0))</f>
        <v/>
      </c>
    </row>
    <row r="288" ht="15" customHeight="1">
      <c r="A288" t="n">
        <v>6</v>
      </c>
      <c r="B288" s="37">
        <f>IF(Setup!$B$17="","",Setup!$B$17)</f>
        <v/>
      </c>
      <c r="C288" s="102" t="n"/>
      <c r="D288" s="103" t="n"/>
      <c r="E288" s="103" t="n"/>
      <c r="F288" s="104" t="n"/>
      <c r="G288" s="102" t="n"/>
      <c r="H288" s="103" t="n"/>
      <c r="I288" s="103" t="n"/>
      <c r="J288" s="104" t="n"/>
      <c r="K288" s="102" t="n"/>
      <c r="L288" s="103" t="n"/>
      <c r="M288" s="103" t="n"/>
      <c r="N288" s="104" t="n"/>
      <c r="O288" s="102" t="n"/>
      <c r="P288" s="103" t="n"/>
      <c r="Q288" s="103" t="n"/>
      <c r="R288" s="104" t="n"/>
      <c r="S288" s="102" t="n"/>
      <c r="T288" s="103" t="n"/>
      <c r="U288" s="103" t="n"/>
      <c r="V288" s="104" t="n"/>
      <c r="W288" s="102" t="n"/>
      <c r="X288" s="104" t="n"/>
      <c r="Y288" s="102" t="n"/>
      <c r="Z288" s="104" t="n"/>
      <c r="AB288" s="105">
        <f>IF($B288="","",(COUNTIF(C258:E275,$B288)+COUNTIF(C258:E275,$B288&amp;" ~*")&gt;0)+(COUNTIF(G258:I275,$B288)+COUNTIF(G258:I275,$B288&amp;" ~*")&gt;0)+(COUNTIF(K258:M275,$B288)+COUNTIF(K258:M275,$B288&amp;" ~*")&gt;0)+(COUNTIF(O258:Q275,$B288)+COUNTIF(O258:Q275,$B288&amp;" ~*")&gt;0)+(COUNTIF(S258:U275,$B288)+COUNTIF(S258:U275,$B288&amp;" ~*")&gt;0)+(COUNTIF(W258:W275,$B288)+COUNTIF(W258:W275,$B288&amp;" ~*")&gt;0)+(COUNTIF(Y258:Y275,$B288)+COUNTIF(Y258:Y275,$B288&amp;" ~*")&gt;0))</f>
        <v/>
      </c>
      <c r="AC288" s="38">
        <f>IF($B288="","",(IFERROR(INDEX(Setup!$G$33:$G$40,MATCH(C288,Setup!$B$33:$B$40,0)),0)=1)*(COUNTIF(C258:E275,$B288)+COUNTIF(C258:E275,$B288&amp;" ~*")&gt;0)+(IFERROR(INDEX(Setup!$G$33:$G$40,MATCH(G288,Setup!$B$33:$B$40,0)),0)=1)*(COUNTIF(G258:I275,$B288)+COUNTIF(G258:I275,$B288&amp;" ~*")&gt;0)+(IFERROR(INDEX(Setup!$G$33:$G$40,MATCH(K288,Setup!$B$33:$B$40,0)),0)=1)*(COUNTIF(K258:M275,$B288)+COUNTIF(K258:M275,$B288&amp;" ~*")&gt;0)+(IFERROR(INDEX(Setup!$G$33:$G$40,MATCH(O288,Setup!$B$33:$B$40,0)),0)=1)*(COUNTIF(O258:Q275,$B288)+COUNTIF(O258:Q275,$B288&amp;" ~*")&gt;0)+(IFERROR(INDEX(Setup!$G$33:$G$40,MATCH(S288,Setup!$B$33:$B$40,0)),0)=1)*(COUNTIF(S258:U275,$B288)+COUNTIF(S258:U275,$B288&amp;" ~*")&gt;0)+(IFERROR(INDEX(Setup!$G$33:$G$40,MATCH(W288,Setup!$B$33:$B$40,0)),0)=1)*(COUNTIF(W258:W275,$B288)+COUNTIF(W258:W275,$B288&amp;" ~*")&gt;0)+(IFERROR(INDEX(Setup!$G$33:$G$40,MATCH(Y288,Setup!$B$33:$B$40,0)),0)=1)*(COUNTIF(Y258:Y275,$B288)+COUNTIF(Y258:Y275,$B288&amp;" ~*")&gt;0))</f>
        <v/>
      </c>
    </row>
    <row r="289" ht="15" customHeight="1">
      <c r="A289" t="n">
        <v>6</v>
      </c>
      <c r="B289" s="35">
        <f>IF(Setup!$B$18="","",Setup!$B$18)</f>
        <v/>
      </c>
      <c r="C289" s="98" t="n"/>
      <c r="D289" s="99" t="n"/>
      <c r="E289" s="99" t="n"/>
      <c r="F289" s="100" t="n"/>
      <c r="G289" s="98" t="n"/>
      <c r="H289" s="99" t="n"/>
      <c r="I289" s="99" t="n"/>
      <c r="J289" s="100" t="n"/>
      <c r="K289" s="98" t="n"/>
      <c r="L289" s="99" t="n"/>
      <c r="M289" s="99" t="n"/>
      <c r="N289" s="100" t="n"/>
      <c r="O289" s="98" t="n"/>
      <c r="P289" s="99" t="n"/>
      <c r="Q289" s="99" t="n"/>
      <c r="R289" s="100" t="n"/>
      <c r="S289" s="98" t="n"/>
      <c r="T289" s="99" t="n"/>
      <c r="U289" s="99" t="n"/>
      <c r="V289" s="100" t="n"/>
      <c r="W289" s="98" t="n"/>
      <c r="X289" s="100" t="n"/>
      <c r="Y289" s="98" t="n"/>
      <c r="Z289" s="100" t="n"/>
      <c r="AB289" s="101">
        <f>IF($B289="","",(COUNTIF(C258:E275,$B289)+COUNTIF(C258:E275,$B289&amp;" ~*")&gt;0)+(COUNTIF(G258:I275,$B289)+COUNTIF(G258:I275,$B289&amp;" ~*")&gt;0)+(COUNTIF(K258:M275,$B289)+COUNTIF(K258:M275,$B289&amp;" ~*")&gt;0)+(COUNTIF(O258:Q275,$B289)+COUNTIF(O258:Q275,$B289&amp;" ~*")&gt;0)+(COUNTIF(S258:U275,$B289)+COUNTIF(S258:U275,$B289&amp;" ~*")&gt;0)+(COUNTIF(W258:W275,$B289)+COUNTIF(W258:W275,$B289&amp;" ~*")&gt;0)+(COUNTIF(Y258:Y275,$B289)+COUNTIF(Y258:Y275,$B289&amp;" ~*")&gt;0))</f>
        <v/>
      </c>
      <c r="AC289" s="36">
        <f>IF($B289="","",(IFERROR(INDEX(Setup!$G$33:$G$40,MATCH(C289,Setup!$B$33:$B$40,0)),0)=1)*(COUNTIF(C258:E275,$B289)+COUNTIF(C258:E275,$B289&amp;" ~*")&gt;0)+(IFERROR(INDEX(Setup!$G$33:$G$40,MATCH(G289,Setup!$B$33:$B$40,0)),0)=1)*(COUNTIF(G258:I275,$B289)+COUNTIF(G258:I275,$B289&amp;" ~*")&gt;0)+(IFERROR(INDEX(Setup!$G$33:$G$40,MATCH(K289,Setup!$B$33:$B$40,0)),0)=1)*(COUNTIF(K258:M275,$B289)+COUNTIF(K258:M275,$B289&amp;" ~*")&gt;0)+(IFERROR(INDEX(Setup!$G$33:$G$40,MATCH(O289,Setup!$B$33:$B$40,0)),0)=1)*(COUNTIF(O258:Q275,$B289)+COUNTIF(O258:Q275,$B289&amp;" ~*")&gt;0)+(IFERROR(INDEX(Setup!$G$33:$G$40,MATCH(S289,Setup!$B$33:$B$40,0)),0)=1)*(COUNTIF(S258:U275,$B289)+COUNTIF(S258:U275,$B289&amp;" ~*")&gt;0)+(IFERROR(INDEX(Setup!$G$33:$G$40,MATCH(W289,Setup!$B$33:$B$40,0)),0)=1)*(COUNTIF(W258:W275,$B289)+COUNTIF(W258:W275,$B289&amp;" ~*")&gt;0)+(IFERROR(INDEX(Setup!$G$33:$G$40,MATCH(Y289,Setup!$B$33:$B$40,0)),0)=1)*(COUNTIF(Y258:Y275,$B289)+COUNTIF(Y258:Y275,$B289&amp;" ~*")&gt;0))</f>
        <v/>
      </c>
    </row>
    <row r="290" ht="15" customHeight="1">
      <c r="A290" t="n">
        <v>6</v>
      </c>
      <c r="B290" s="37">
        <f>IF(Setup!$B$19="","",Setup!$B$19)</f>
        <v/>
      </c>
      <c r="C290" s="102" t="n"/>
      <c r="D290" s="103" t="n"/>
      <c r="E290" s="103" t="n"/>
      <c r="F290" s="104" t="n"/>
      <c r="G290" s="102" t="n"/>
      <c r="H290" s="103" t="n"/>
      <c r="I290" s="103" t="n"/>
      <c r="J290" s="104" t="n"/>
      <c r="K290" s="102" t="n"/>
      <c r="L290" s="103" t="n"/>
      <c r="M290" s="103" t="n"/>
      <c r="N290" s="104" t="n"/>
      <c r="O290" s="102" t="n"/>
      <c r="P290" s="103" t="n"/>
      <c r="Q290" s="103" t="n"/>
      <c r="R290" s="104" t="n"/>
      <c r="S290" s="102" t="n"/>
      <c r="T290" s="103" t="n"/>
      <c r="U290" s="103" t="n"/>
      <c r="V290" s="104" t="n"/>
      <c r="W290" s="102" t="n"/>
      <c r="X290" s="104" t="n"/>
      <c r="Y290" s="102" t="n"/>
      <c r="Z290" s="104" t="n"/>
      <c r="AB290" s="105">
        <f>IF($B290="","",(COUNTIF(C258:E275,$B290)+COUNTIF(C258:E275,$B290&amp;" ~*")&gt;0)+(COUNTIF(G258:I275,$B290)+COUNTIF(G258:I275,$B290&amp;" ~*")&gt;0)+(COUNTIF(K258:M275,$B290)+COUNTIF(K258:M275,$B290&amp;" ~*")&gt;0)+(COUNTIF(O258:Q275,$B290)+COUNTIF(O258:Q275,$B290&amp;" ~*")&gt;0)+(COUNTIF(S258:U275,$B290)+COUNTIF(S258:U275,$B290&amp;" ~*")&gt;0)+(COUNTIF(W258:W275,$B290)+COUNTIF(W258:W275,$B290&amp;" ~*")&gt;0)+(COUNTIF(Y258:Y275,$B290)+COUNTIF(Y258:Y275,$B290&amp;" ~*")&gt;0))</f>
        <v/>
      </c>
      <c r="AC290" s="38">
        <f>IF($B290="","",(IFERROR(INDEX(Setup!$G$33:$G$40,MATCH(C290,Setup!$B$33:$B$40,0)),0)=1)*(COUNTIF(C258:E275,$B290)+COUNTIF(C258:E275,$B290&amp;" ~*")&gt;0)+(IFERROR(INDEX(Setup!$G$33:$G$40,MATCH(G290,Setup!$B$33:$B$40,0)),0)=1)*(COUNTIF(G258:I275,$B290)+COUNTIF(G258:I275,$B290&amp;" ~*")&gt;0)+(IFERROR(INDEX(Setup!$G$33:$G$40,MATCH(K290,Setup!$B$33:$B$40,0)),0)=1)*(COUNTIF(K258:M275,$B290)+COUNTIF(K258:M275,$B290&amp;" ~*")&gt;0)+(IFERROR(INDEX(Setup!$G$33:$G$40,MATCH(O290,Setup!$B$33:$B$40,0)),0)=1)*(COUNTIF(O258:Q275,$B290)+COUNTIF(O258:Q275,$B290&amp;" ~*")&gt;0)+(IFERROR(INDEX(Setup!$G$33:$G$40,MATCH(S290,Setup!$B$33:$B$40,0)),0)=1)*(COUNTIF(S258:U275,$B290)+COUNTIF(S258:U275,$B290&amp;" ~*")&gt;0)+(IFERROR(INDEX(Setup!$G$33:$G$40,MATCH(W290,Setup!$B$33:$B$40,0)),0)=1)*(COUNTIF(W258:W275,$B290)+COUNTIF(W258:W275,$B290&amp;" ~*")&gt;0)+(IFERROR(INDEX(Setup!$G$33:$G$40,MATCH(Y290,Setup!$B$33:$B$40,0)),0)=1)*(COUNTIF(Y258:Y275,$B290)+COUNTIF(Y258:Y275,$B290&amp;" ~*")&gt;0))</f>
        <v/>
      </c>
    </row>
    <row r="291" ht="15" customHeight="1">
      <c r="A291" t="n">
        <v>6</v>
      </c>
      <c r="B291" s="35">
        <f>IF(Setup!$B$20="","",Setup!$B$20)</f>
        <v/>
      </c>
      <c r="C291" s="98" t="n"/>
      <c r="D291" s="99" t="n"/>
      <c r="E291" s="99" t="n"/>
      <c r="F291" s="100" t="n"/>
      <c r="G291" s="98" t="n"/>
      <c r="H291" s="99" t="n"/>
      <c r="I291" s="99" t="n"/>
      <c r="J291" s="100" t="n"/>
      <c r="K291" s="98" t="n"/>
      <c r="L291" s="99" t="n"/>
      <c r="M291" s="99" t="n"/>
      <c r="N291" s="100" t="n"/>
      <c r="O291" s="98" t="n"/>
      <c r="P291" s="99" t="n"/>
      <c r="Q291" s="99" t="n"/>
      <c r="R291" s="100" t="n"/>
      <c r="S291" s="98" t="n"/>
      <c r="T291" s="99" t="n"/>
      <c r="U291" s="99" t="n"/>
      <c r="V291" s="100" t="n"/>
      <c r="W291" s="98" t="n"/>
      <c r="X291" s="100" t="n"/>
      <c r="Y291" s="98" t="n"/>
      <c r="Z291" s="100" t="n"/>
      <c r="AB291" s="101">
        <f>IF($B291="","",(COUNTIF(C258:E275,$B291)+COUNTIF(C258:E275,$B291&amp;" ~*")&gt;0)+(COUNTIF(G258:I275,$B291)+COUNTIF(G258:I275,$B291&amp;" ~*")&gt;0)+(COUNTIF(K258:M275,$B291)+COUNTIF(K258:M275,$B291&amp;" ~*")&gt;0)+(COUNTIF(O258:Q275,$B291)+COUNTIF(O258:Q275,$B291&amp;" ~*")&gt;0)+(COUNTIF(S258:U275,$B291)+COUNTIF(S258:U275,$B291&amp;" ~*")&gt;0)+(COUNTIF(W258:W275,$B291)+COUNTIF(W258:W275,$B291&amp;" ~*")&gt;0)+(COUNTIF(Y258:Y275,$B291)+COUNTIF(Y258:Y275,$B291&amp;" ~*")&gt;0))</f>
        <v/>
      </c>
      <c r="AC291" s="36">
        <f>IF($B291="","",(IFERROR(INDEX(Setup!$G$33:$G$40,MATCH(C291,Setup!$B$33:$B$40,0)),0)=1)*(COUNTIF(C258:E275,$B291)+COUNTIF(C258:E275,$B291&amp;" ~*")&gt;0)+(IFERROR(INDEX(Setup!$G$33:$G$40,MATCH(G291,Setup!$B$33:$B$40,0)),0)=1)*(COUNTIF(G258:I275,$B291)+COUNTIF(G258:I275,$B291&amp;" ~*")&gt;0)+(IFERROR(INDEX(Setup!$G$33:$G$40,MATCH(K291,Setup!$B$33:$B$40,0)),0)=1)*(COUNTIF(K258:M275,$B291)+COUNTIF(K258:M275,$B291&amp;" ~*")&gt;0)+(IFERROR(INDEX(Setup!$G$33:$G$40,MATCH(O291,Setup!$B$33:$B$40,0)),0)=1)*(COUNTIF(O258:Q275,$B291)+COUNTIF(O258:Q275,$B291&amp;" ~*")&gt;0)+(IFERROR(INDEX(Setup!$G$33:$G$40,MATCH(S291,Setup!$B$33:$B$40,0)),0)=1)*(COUNTIF(S258:U275,$B291)+COUNTIF(S258:U275,$B291&amp;" ~*")&gt;0)+(IFERROR(INDEX(Setup!$G$33:$G$40,MATCH(W291,Setup!$B$33:$B$40,0)),0)=1)*(COUNTIF(W258:W275,$B291)+COUNTIF(W258:W275,$B291&amp;" ~*")&gt;0)+(IFERROR(INDEX(Setup!$G$33:$G$40,MATCH(Y291,Setup!$B$33:$B$40,0)),0)=1)*(COUNTIF(Y258:Y275,$B291)+COUNTIF(Y258:Y275,$B291&amp;" ~*")&gt;0))</f>
        <v/>
      </c>
    </row>
    <row r="292" ht="15" customHeight="1">
      <c r="A292" t="n">
        <v>6</v>
      </c>
      <c r="B292" s="37">
        <f>IF(Setup!$B$21="","",Setup!$B$21)</f>
        <v/>
      </c>
      <c r="C292" s="102" t="n"/>
      <c r="D292" s="103" t="n"/>
      <c r="E292" s="103" t="n"/>
      <c r="F292" s="104" t="n"/>
      <c r="G292" s="102" t="n"/>
      <c r="H292" s="103" t="n"/>
      <c r="I292" s="103" t="n"/>
      <c r="J292" s="104" t="n"/>
      <c r="K292" s="102" t="n"/>
      <c r="L292" s="103" t="n"/>
      <c r="M292" s="103" t="n"/>
      <c r="N292" s="104" t="n"/>
      <c r="O292" s="102" t="n"/>
      <c r="P292" s="103" t="n"/>
      <c r="Q292" s="103" t="n"/>
      <c r="R292" s="104" t="n"/>
      <c r="S292" s="102" t="n"/>
      <c r="T292" s="103" t="n"/>
      <c r="U292" s="103" t="n"/>
      <c r="V292" s="104" t="n"/>
      <c r="W292" s="102" t="n"/>
      <c r="X292" s="104" t="n"/>
      <c r="Y292" s="102" t="n"/>
      <c r="Z292" s="104" t="n"/>
      <c r="AB292" s="105">
        <f>IF($B292="","",(COUNTIF(C258:E275,$B292)+COUNTIF(C258:E275,$B292&amp;" ~*")&gt;0)+(COUNTIF(G258:I275,$B292)+COUNTIF(G258:I275,$B292&amp;" ~*")&gt;0)+(COUNTIF(K258:M275,$B292)+COUNTIF(K258:M275,$B292&amp;" ~*")&gt;0)+(COUNTIF(O258:Q275,$B292)+COUNTIF(O258:Q275,$B292&amp;" ~*")&gt;0)+(COUNTIF(S258:U275,$B292)+COUNTIF(S258:U275,$B292&amp;" ~*")&gt;0)+(COUNTIF(W258:W275,$B292)+COUNTIF(W258:W275,$B292&amp;" ~*")&gt;0)+(COUNTIF(Y258:Y275,$B292)+COUNTIF(Y258:Y275,$B292&amp;" ~*")&gt;0))</f>
        <v/>
      </c>
      <c r="AC292" s="38">
        <f>IF($B292="","",(IFERROR(INDEX(Setup!$G$33:$G$40,MATCH(C292,Setup!$B$33:$B$40,0)),0)=1)*(COUNTIF(C258:E275,$B292)+COUNTIF(C258:E275,$B292&amp;" ~*")&gt;0)+(IFERROR(INDEX(Setup!$G$33:$G$40,MATCH(G292,Setup!$B$33:$B$40,0)),0)=1)*(COUNTIF(G258:I275,$B292)+COUNTIF(G258:I275,$B292&amp;" ~*")&gt;0)+(IFERROR(INDEX(Setup!$G$33:$G$40,MATCH(K292,Setup!$B$33:$B$40,0)),0)=1)*(COUNTIF(K258:M275,$B292)+COUNTIF(K258:M275,$B292&amp;" ~*")&gt;0)+(IFERROR(INDEX(Setup!$G$33:$G$40,MATCH(O292,Setup!$B$33:$B$40,0)),0)=1)*(COUNTIF(O258:Q275,$B292)+COUNTIF(O258:Q275,$B292&amp;" ~*")&gt;0)+(IFERROR(INDEX(Setup!$G$33:$G$40,MATCH(S292,Setup!$B$33:$B$40,0)),0)=1)*(COUNTIF(S258:U275,$B292)+COUNTIF(S258:U275,$B292&amp;" ~*")&gt;0)+(IFERROR(INDEX(Setup!$G$33:$G$40,MATCH(W292,Setup!$B$33:$B$40,0)),0)=1)*(COUNTIF(W258:W275,$B292)+COUNTIF(W258:W275,$B292&amp;" ~*")&gt;0)+(IFERROR(INDEX(Setup!$G$33:$G$40,MATCH(Y292,Setup!$B$33:$B$40,0)),0)=1)*(COUNTIF(Y258:Y275,$B292)+COUNTIF(Y258:Y275,$B292&amp;" ~*")&gt;0))</f>
        <v/>
      </c>
    </row>
    <row r="293" ht="15" customHeight="1">
      <c r="A293" t="n">
        <v>6</v>
      </c>
      <c r="B293" s="35">
        <f>IF(Setup!$B$22="","",Setup!$B$22)</f>
        <v/>
      </c>
      <c r="C293" s="98" t="n"/>
      <c r="D293" s="99" t="n"/>
      <c r="E293" s="99" t="n"/>
      <c r="F293" s="100" t="n"/>
      <c r="G293" s="98" t="n"/>
      <c r="H293" s="99" t="n"/>
      <c r="I293" s="99" t="n"/>
      <c r="J293" s="100" t="n"/>
      <c r="K293" s="98" t="n"/>
      <c r="L293" s="99" t="n"/>
      <c r="M293" s="99" t="n"/>
      <c r="N293" s="100" t="n"/>
      <c r="O293" s="98" t="n"/>
      <c r="P293" s="99" t="n"/>
      <c r="Q293" s="99" t="n"/>
      <c r="R293" s="100" t="n"/>
      <c r="S293" s="98" t="n"/>
      <c r="T293" s="99" t="n"/>
      <c r="U293" s="99" t="n"/>
      <c r="V293" s="100" t="n"/>
      <c r="W293" s="98" t="n"/>
      <c r="X293" s="100" t="n"/>
      <c r="Y293" s="98" t="n"/>
      <c r="Z293" s="100" t="n"/>
      <c r="AB293" s="101">
        <f>IF($B293="","",(COUNTIF(C258:E275,$B293)+COUNTIF(C258:E275,$B293&amp;" ~*")&gt;0)+(COUNTIF(G258:I275,$B293)+COUNTIF(G258:I275,$B293&amp;" ~*")&gt;0)+(COUNTIF(K258:M275,$B293)+COUNTIF(K258:M275,$B293&amp;" ~*")&gt;0)+(COUNTIF(O258:Q275,$B293)+COUNTIF(O258:Q275,$B293&amp;" ~*")&gt;0)+(COUNTIF(S258:U275,$B293)+COUNTIF(S258:U275,$B293&amp;" ~*")&gt;0)+(COUNTIF(W258:W275,$B293)+COUNTIF(W258:W275,$B293&amp;" ~*")&gt;0)+(COUNTIF(Y258:Y275,$B293)+COUNTIF(Y258:Y275,$B293&amp;" ~*")&gt;0))</f>
        <v/>
      </c>
      <c r="AC293" s="36">
        <f>IF($B293="","",(IFERROR(INDEX(Setup!$G$33:$G$40,MATCH(C293,Setup!$B$33:$B$40,0)),0)=1)*(COUNTIF(C258:E275,$B293)+COUNTIF(C258:E275,$B293&amp;" ~*")&gt;0)+(IFERROR(INDEX(Setup!$G$33:$G$40,MATCH(G293,Setup!$B$33:$B$40,0)),0)=1)*(COUNTIF(G258:I275,$B293)+COUNTIF(G258:I275,$B293&amp;" ~*")&gt;0)+(IFERROR(INDEX(Setup!$G$33:$G$40,MATCH(K293,Setup!$B$33:$B$40,0)),0)=1)*(COUNTIF(K258:M275,$B293)+COUNTIF(K258:M275,$B293&amp;" ~*")&gt;0)+(IFERROR(INDEX(Setup!$G$33:$G$40,MATCH(O293,Setup!$B$33:$B$40,0)),0)=1)*(COUNTIF(O258:Q275,$B293)+COUNTIF(O258:Q275,$B293&amp;" ~*")&gt;0)+(IFERROR(INDEX(Setup!$G$33:$G$40,MATCH(S293,Setup!$B$33:$B$40,0)),0)=1)*(COUNTIF(S258:U275,$B293)+COUNTIF(S258:U275,$B293&amp;" ~*")&gt;0)+(IFERROR(INDEX(Setup!$G$33:$G$40,MATCH(W293,Setup!$B$33:$B$40,0)),0)=1)*(COUNTIF(W258:W275,$B293)+COUNTIF(W258:W275,$B293&amp;" ~*")&gt;0)+(IFERROR(INDEX(Setup!$G$33:$G$40,MATCH(Y293,Setup!$B$33:$B$40,0)),0)=1)*(COUNTIF(Y258:Y275,$B293)+COUNTIF(Y258:Y275,$B293&amp;" ~*")&gt;0))</f>
        <v/>
      </c>
    </row>
    <row r="294" ht="15" customHeight="1">
      <c r="A294" t="n">
        <v>6</v>
      </c>
      <c r="B294" s="37">
        <f>IF(Setup!$B$23="","",Setup!$B$23)</f>
        <v/>
      </c>
      <c r="C294" s="102" t="n"/>
      <c r="D294" s="103" t="n"/>
      <c r="E294" s="103" t="n"/>
      <c r="F294" s="104" t="n"/>
      <c r="G294" s="102" t="n"/>
      <c r="H294" s="103" t="n"/>
      <c r="I294" s="103" t="n"/>
      <c r="J294" s="104" t="n"/>
      <c r="K294" s="102" t="n"/>
      <c r="L294" s="103" t="n"/>
      <c r="M294" s="103" t="n"/>
      <c r="N294" s="104" t="n"/>
      <c r="O294" s="102" t="n"/>
      <c r="P294" s="103" t="n"/>
      <c r="Q294" s="103" t="n"/>
      <c r="R294" s="104" t="n"/>
      <c r="S294" s="102" t="n"/>
      <c r="T294" s="103" t="n"/>
      <c r="U294" s="103" t="n"/>
      <c r="V294" s="104" t="n"/>
      <c r="W294" s="102" t="n"/>
      <c r="X294" s="104" t="n"/>
      <c r="Y294" s="102" t="n"/>
      <c r="Z294" s="104" t="n"/>
      <c r="AB294" s="105">
        <f>IF($B294="","",(COUNTIF(C258:E275,$B294)+COUNTIF(C258:E275,$B294&amp;" ~*")&gt;0)+(COUNTIF(G258:I275,$B294)+COUNTIF(G258:I275,$B294&amp;" ~*")&gt;0)+(COUNTIF(K258:M275,$B294)+COUNTIF(K258:M275,$B294&amp;" ~*")&gt;0)+(COUNTIF(O258:Q275,$B294)+COUNTIF(O258:Q275,$B294&amp;" ~*")&gt;0)+(COUNTIF(S258:U275,$B294)+COUNTIF(S258:U275,$B294&amp;" ~*")&gt;0)+(COUNTIF(W258:W275,$B294)+COUNTIF(W258:W275,$B294&amp;" ~*")&gt;0)+(COUNTIF(Y258:Y275,$B294)+COUNTIF(Y258:Y275,$B294&amp;" ~*")&gt;0))</f>
        <v/>
      </c>
      <c r="AC294" s="38">
        <f>IF($B294="","",(IFERROR(INDEX(Setup!$G$33:$G$40,MATCH(C294,Setup!$B$33:$B$40,0)),0)=1)*(COUNTIF(C258:E275,$B294)+COUNTIF(C258:E275,$B294&amp;" ~*")&gt;0)+(IFERROR(INDEX(Setup!$G$33:$G$40,MATCH(G294,Setup!$B$33:$B$40,0)),0)=1)*(COUNTIF(G258:I275,$B294)+COUNTIF(G258:I275,$B294&amp;" ~*")&gt;0)+(IFERROR(INDEX(Setup!$G$33:$G$40,MATCH(K294,Setup!$B$33:$B$40,0)),0)=1)*(COUNTIF(K258:M275,$B294)+COUNTIF(K258:M275,$B294&amp;" ~*")&gt;0)+(IFERROR(INDEX(Setup!$G$33:$G$40,MATCH(O294,Setup!$B$33:$B$40,0)),0)=1)*(COUNTIF(O258:Q275,$B294)+COUNTIF(O258:Q275,$B294&amp;" ~*")&gt;0)+(IFERROR(INDEX(Setup!$G$33:$G$40,MATCH(S294,Setup!$B$33:$B$40,0)),0)=1)*(COUNTIF(S258:U275,$B294)+COUNTIF(S258:U275,$B294&amp;" ~*")&gt;0)+(IFERROR(INDEX(Setup!$G$33:$G$40,MATCH(W294,Setup!$B$33:$B$40,0)),0)=1)*(COUNTIF(W258:W275,$B294)+COUNTIF(W258:W275,$B294&amp;" ~*")&gt;0)+(IFERROR(INDEX(Setup!$G$33:$G$40,MATCH(Y294,Setup!$B$33:$B$40,0)),0)=1)*(COUNTIF(Y258:Y275,$B294)+COUNTIF(Y258:Y275,$B294&amp;" ~*")&gt;0))</f>
        <v/>
      </c>
    </row>
    <row r="295" ht="15" customHeight="1">
      <c r="A295" t="n">
        <v>6</v>
      </c>
      <c r="B295" s="35">
        <f>IF(Setup!$B$24="","",Setup!$B$24)</f>
        <v/>
      </c>
      <c r="C295" s="98" t="n"/>
      <c r="D295" s="99" t="n"/>
      <c r="E295" s="99" t="n"/>
      <c r="F295" s="100" t="n"/>
      <c r="G295" s="98" t="n"/>
      <c r="H295" s="99" t="n"/>
      <c r="I295" s="99" t="n"/>
      <c r="J295" s="100" t="n"/>
      <c r="K295" s="98" t="n"/>
      <c r="L295" s="99" t="n"/>
      <c r="M295" s="99" t="n"/>
      <c r="N295" s="100" t="n"/>
      <c r="O295" s="98" t="n"/>
      <c r="P295" s="99" t="n"/>
      <c r="Q295" s="99" t="n"/>
      <c r="R295" s="100" t="n"/>
      <c r="S295" s="98" t="n"/>
      <c r="T295" s="99" t="n"/>
      <c r="U295" s="99" t="n"/>
      <c r="V295" s="100" t="n"/>
      <c r="W295" s="98" t="n"/>
      <c r="X295" s="100" t="n"/>
      <c r="Y295" s="98" t="n"/>
      <c r="Z295" s="100" t="n"/>
      <c r="AB295" s="101">
        <f>IF($B295="","",(COUNTIF(C258:E275,$B295)+COUNTIF(C258:E275,$B295&amp;" ~*")&gt;0)+(COUNTIF(G258:I275,$B295)+COUNTIF(G258:I275,$B295&amp;" ~*")&gt;0)+(COUNTIF(K258:M275,$B295)+COUNTIF(K258:M275,$B295&amp;" ~*")&gt;0)+(COUNTIF(O258:Q275,$B295)+COUNTIF(O258:Q275,$B295&amp;" ~*")&gt;0)+(COUNTIF(S258:U275,$B295)+COUNTIF(S258:U275,$B295&amp;" ~*")&gt;0)+(COUNTIF(W258:W275,$B295)+COUNTIF(W258:W275,$B295&amp;" ~*")&gt;0)+(COUNTIF(Y258:Y275,$B295)+COUNTIF(Y258:Y275,$B295&amp;" ~*")&gt;0))</f>
        <v/>
      </c>
      <c r="AC295" s="36">
        <f>IF($B295="","",(IFERROR(INDEX(Setup!$G$33:$G$40,MATCH(C295,Setup!$B$33:$B$40,0)),0)=1)*(COUNTIF(C258:E275,$B295)+COUNTIF(C258:E275,$B295&amp;" ~*")&gt;0)+(IFERROR(INDEX(Setup!$G$33:$G$40,MATCH(G295,Setup!$B$33:$B$40,0)),0)=1)*(COUNTIF(G258:I275,$B295)+COUNTIF(G258:I275,$B295&amp;" ~*")&gt;0)+(IFERROR(INDEX(Setup!$G$33:$G$40,MATCH(K295,Setup!$B$33:$B$40,0)),0)=1)*(COUNTIF(K258:M275,$B295)+COUNTIF(K258:M275,$B295&amp;" ~*")&gt;0)+(IFERROR(INDEX(Setup!$G$33:$G$40,MATCH(O295,Setup!$B$33:$B$40,0)),0)=1)*(COUNTIF(O258:Q275,$B295)+COUNTIF(O258:Q275,$B295&amp;" ~*")&gt;0)+(IFERROR(INDEX(Setup!$G$33:$G$40,MATCH(S295,Setup!$B$33:$B$40,0)),0)=1)*(COUNTIF(S258:U275,$B295)+COUNTIF(S258:U275,$B295&amp;" ~*")&gt;0)+(IFERROR(INDEX(Setup!$G$33:$G$40,MATCH(W295,Setup!$B$33:$B$40,0)),0)=1)*(COUNTIF(W258:W275,$B295)+COUNTIF(W258:W275,$B295&amp;" ~*")&gt;0)+(IFERROR(INDEX(Setup!$G$33:$G$40,MATCH(Y295,Setup!$B$33:$B$40,0)),0)=1)*(COUNTIF(Y258:Y275,$B295)+COUNTIF(Y258:Y275,$B295&amp;" ~*")&gt;0))</f>
        <v/>
      </c>
    </row>
    <row r="296" ht="15" customHeight="1">
      <c r="A296" t="n">
        <v>6</v>
      </c>
      <c r="B296" s="37">
        <f>IF(Setup!$B$25="","",Setup!$B$25)</f>
        <v/>
      </c>
      <c r="C296" s="102" t="n"/>
      <c r="D296" s="103" t="n"/>
      <c r="E296" s="103" t="n"/>
      <c r="F296" s="104" t="n"/>
      <c r="G296" s="102" t="n"/>
      <c r="H296" s="103" t="n"/>
      <c r="I296" s="103" t="n"/>
      <c r="J296" s="104" t="n"/>
      <c r="K296" s="102" t="n"/>
      <c r="L296" s="103" t="n"/>
      <c r="M296" s="103" t="n"/>
      <c r="N296" s="104" t="n"/>
      <c r="O296" s="102" t="n"/>
      <c r="P296" s="103" t="n"/>
      <c r="Q296" s="103" t="n"/>
      <c r="R296" s="104" t="n"/>
      <c r="S296" s="102" t="n"/>
      <c r="T296" s="103" t="n"/>
      <c r="U296" s="103" t="n"/>
      <c r="V296" s="104" t="n"/>
      <c r="W296" s="102" t="n"/>
      <c r="X296" s="104" t="n"/>
      <c r="Y296" s="102" t="n"/>
      <c r="Z296" s="104" t="n"/>
      <c r="AB296" s="105">
        <f>IF($B296="","",(COUNTIF(C258:E275,$B296)+COUNTIF(C258:E275,$B296&amp;" ~*")&gt;0)+(COUNTIF(G258:I275,$B296)+COUNTIF(G258:I275,$B296&amp;" ~*")&gt;0)+(COUNTIF(K258:M275,$B296)+COUNTIF(K258:M275,$B296&amp;" ~*")&gt;0)+(COUNTIF(O258:Q275,$B296)+COUNTIF(O258:Q275,$B296&amp;" ~*")&gt;0)+(COUNTIF(S258:U275,$B296)+COUNTIF(S258:U275,$B296&amp;" ~*")&gt;0)+(COUNTIF(W258:W275,$B296)+COUNTIF(W258:W275,$B296&amp;" ~*")&gt;0)+(COUNTIF(Y258:Y275,$B296)+COUNTIF(Y258:Y275,$B296&amp;" ~*")&gt;0))</f>
        <v/>
      </c>
      <c r="AC296" s="38">
        <f>IF($B296="","",(IFERROR(INDEX(Setup!$G$33:$G$40,MATCH(C296,Setup!$B$33:$B$40,0)),0)=1)*(COUNTIF(C258:E275,$B296)+COUNTIF(C258:E275,$B296&amp;" ~*")&gt;0)+(IFERROR(INDEX(Setup!$G$33:$G$40,MATCH(G296,Setup!$B$33:$B$40,0)),0)=1)*(COUNTIF(G258:I275,$B296)+COUNTIF(G258:I275,$B296&amp;" ~*")&gt;0)+(IFERROR(INDEX(Setup!$G$33:$G$40,MATCH(K296,Setup!$B$33:$B$40,0)),0)=1)*(COUNTIF(K258:M275,$B296)+COUNTIF(K258:M275,$B296&amp;" ~*")&gt;0)+(IFERROR(INDEX(Setup!$G$33:$G$40,MATCH(O296,Setup!$B$33:$B$40,0)),0)=1)*(COUNTIF(O258:Q275,$B296)+COUNTIF(O258:Q275,$B296&amp;" ~*")&gt;0)+(IFERROR(INDEX(Setup!$G$33:$G$40,MATCH(S296,Setup!$B$33:$B$40,0)),0)=1)*(COUNTIF(S258:U275,$B296)+COUNTIF(S258:U275,$B296&amp;" ~*")&gt;0)+(IFERROR(INDEX(Setup!$G$33:$G$40,MATCH(W296,Setup!$B$33:$B$40,0)),0)=1)*(COUNTIF(W258:W275,$B296)+COUNTIF(W258:W275,$B296&amp;" ~*")&gt;0)+(IFERROR(INDEX(Setup!$G$33:$G$40,MATCH(Y296,Setup!$B$33:$B$40,0)),0)=1)*(COUNTIF(Y258:Y275,$B296)+COUNTIF(Y258:Y275,$B296&amp;" ~*")&gt;0))</f>
        <v/>
      </c>
    </row>
    <row r="297" ht="15" customHeight="1">
      <c r="A297" t="n">
        <v>6</v>
      </c>
      <c r="B297" s="35">
        <f>IF(Setup!$B$26="","",Setup!$B$26)</f>
        <v/>
      </c>
      <c r="C297" s="98" t="n"/>
      <c r="D297" s="99" t="n"/>
      <c r="E297" s="99" t="n"/>
      <c r="F297" s="100" t="n"/>
      <c r="G297" s="98" t="n"/>
      <c r="H297" s="99" t="n"/>
      <c r="I297" s="99" t="n"/>
      <c r="J297" s="100" t="n"/>
      <c r="K297" s="98" t="n"/>
      <c r="L297" s="99" t="n"/>
      <c r="M297" s="99" t="n"/>
      <c r="N297" s="100" t="n"/>
      <c r="O297" s="98" t="n"/>
      <c r="P297" s="99" t="n"/>
      <c r="Q297" s="99" t="n"/>
      <c r="R297" s="100" t="n"/>
      <c r="S297" s="98" t="n"/>
      <c r="T297" s="99" t="n"/>
      <c r="U297" s="99" t="n"/>
      <c r="V297" s="100" t="n"/>
      <c r="W297" s="98" t="n"/>
      <c r="X297" s="100" t="n"/>
      <c r="Y297" s="98" t="n"/>
      <c r="Z297" s="100" t="n"/>
      <c r="AB297" s="101">
        <f>IF($B297="","",(COUNTIF(C258:E275,$B297)+COUNTIF(C258:E275,$B297&amp;" ~*")&gt;0)+(COUNTIF(G258:I275,$B297)+COUNTIF(G258:I275,$B297&amp;" ~*")&gt;0)+(COUNTIF(K258:M275,$B297)+COUNTIF(K258:M275,$B297&amp;" ~*")&gt;0)+(COUNTIF(O258:Q275,$B297)+COUNTIF(O258:Q275,$B297&amp;" ~*")&gt;0)+(COUNTIF(S258:U275,$B297)+COUNTIF(S258:U275,$B297&amp;" ~*")&gt;0)+(COUNTIF(W258:W275,$B297)+COUNTIF(W258:W275,$B297&amp;" ~*")&gt;0)+(COUNTIF(Y258:Y275,$B297)+COUNTIF(Y258:Y275,$B297&amp;" ~*")&gt;0))</f>
        <v/>
      </c>
      <c r="AC297" s="36">
        <f>IF($B297="","",(IFERROR(INDEX(Setup!$G$33:$G$40,MATCH(C297,Setup!$B$33:$B$40,0)),0)=1)*(COUNTIF(C258:E275,$B297)+COUNTIF(C258:E275,$B297&amp;" ~*")&gt;0)+(IFERROR(INDEX(Setup!$G$33:$G$40,MATCH(G297,Setup!$B$33:$B$40,0)),0)=1)*(COUNTIF(G258:I275,$B297)+COUNTIF(G258:I275,$B297&amp;" ~*")&gt;0)+(IFERROR(INDEX(Setup!$G$33:$G$40,MATCH(K297,Setup!$B$33:$B$40,0)),0)=1)*(COUNTIF(K258:M275,$B297)+COUNTIF(K258:M275,$B297&amp;" ~*")&gt;0)+(IFERROR(INDEX(Setup!$G$33:$G$40,MATCH(O297,Setup!$B$33:$B$40,0)),0)=1)*(COUNTIF(O258:Q275,$B297)+COUNTIF(O258:Q275,$B297&amp;" ~*")&gt;0)+(IFERROR(INDEX(Setup!$G$33:$G$40,MATCH(S297,Setup!$B$33:$B$40,0)),0)=1)*(COUNTIF(S258:U275,$B297)+COUNTIF(S258:U275,$B297&amp;" ~*")&gt;0)+(IFERROR(INDEX(Setup!$G$33:$G$40,MATCH(W297,Setup!$B$33:$B$40,0)),0)=1)*(COUNTIF(W258:W275,$B297)+COUNTIF(W258:W275,$B297&amp;" ~*")&gt;0)+(IFERROR(INDEX(Setup!$G$33:$G$40,MATCH(Y297,Setup!$B$33:$B$40,0)),0)=1)*(COUNTIF(Y258:Y275,$B297)+COUNTIF(Y258:Y275,$B297&amp;" ~*")&gt;0))</f>
        <v/>
      </c>
    </row>
    <row r="298" ht="15" customHeight="1">
      <c r="A298" t="n">
        <v>6</v>
      </c>
      <c r="B298" s="37">
        <f>IF(Setup!$B$27="","",Setup!$B$27)</f>
        <v/>
      </c>
      <c r="C298" s="102" t="n"/>
      <c r="D298" s="103" t="n"/>
      <c r="E298" s="103" t="n"/>
      <c r="F298" s="104" t="n"/>
      <c r="G298" s="102" t="n"/>
      <c r="H298" s="103" t="n"/>
      <c r="I298" s="103" t="n"/>
      <c r="J298" s="104" t="n"/>
      <c r="K298" s="102" t="n"/>
      <c r="L298" s="103" t="n"/>
      <c r="M298" s="103" t="n"/>
      <c r="N298" s="104" t="n"/>
      <c r="O298" s="102" t="n"/>
      <c r="P298" s="103" t="n"/>
      <c r="Q298" s="103" t="n"/>
      <c r="R298" s="104" t="n"/>
      <c r="S298" s="102" t="n"/>
      <c r="T298" s="103" t="n"/>
      <c r="U298" s="103" t="n"/>
      <c r="V298" s="104" t="n"/>
      <c r="W298" s="102" t="n"/>
      <c r="X298" s="104" t="n"/>
      <c r="Y298" s="102" t="n"/>
      <c r="Z298" s="104" t="n"/>
      <c r="AB298" s="105">
        <f>IF($B298="","",(COUNTIF(C258:E275,$B298)+COUNTIF(C258:E275,$B298&amp;" ~*")&gt;0)+(COUNTIF(G258:I275,$B298)+COUNTIF(G258:I275,$B298&amp;" ~*")&gt;0)+(COUNTIF(K258:M275,$B298)+COUNTIF(K258:M275,$B298&amp;" ~*")&gt;0)+(COUNTIF(O258:Q275,$B298)+COUNTIF(O258:Q275,$B298&amp;" ~*")&gt;0)+(COUNTIF(S258:U275,$B298)+COUNTIF(S258:U275,$B298&amp;" ~*")&gt;0)+(COUNTIF(W258:W275,$B298)+COUNTIF(W258:W275,$B298&amp;" ~*")&gt;0)+(COUNTIF(Y258:Y275,$B298)+COUNTIF(Y258:Y275,$B298&amp;" ~*")&gt;0))</f>
        <v/>
      </c>
      <c r="AC298" s="38">
        <f>IF($B298="","",(IFERROR(INDEX(Setup!$G$33:$G$40,MATCH(C298,Setup!$B$33:$B$40,0)),0)=1)*(COUNTIF(C258:E275,$B298)+COUNTIF(C258:E275,$B298&amp;" ~*")&gt;0)+(IFERROR(INDEX(Setup!$G$33:$G$40,MATCH(G298,Setup!$B$33:$B$40,0)),0)=1)*(COUNTIF(G258:I275,$B298)+COUNTIF(G258:I275,$B298&amp;" ~*")&gt;0)+(IFERROR(INDEX(Setup!$G$33:$G$40,MATCH(K298,Setup!$B$33:$B$40,0)),0)=1)*(COUNTIF(K258:M275,$B298)+COUNTIF(K258:M275,$B298&amp;" ~*")&gt;0)+(IFERROR(INDEX(Setup!$G$33:$G$40,MATCH(O298,Setup!$B$33:$B$40,0)),0)=1)*(COUNTIF(O258:Q275,$B298)+COUNTIF(O258:Q275,$B298&amp;" ~*")&gt;0)+(IFERROR(INDEX(Setup!$G$33:$G$40,MATCH(S298,Setup!$B$33:$B$40,0)),0)=1)*(COUNTIF(S258:U275,$B298)+COUNTIF(S258:U275,$B298&amp;" ~*")&gt;0)+(IFERROR(INDEX(Setup!$G$33:$G$40,MATCH(W298,Setup!$B$33:$B$40,0)),0)=1)*(COUNTIF(W258:W275,$B298)+COUNTIF(W258:W275,$B298&amp;" ~*")&gt;0)+(IFERROR(INDEX(Setup!$G$33:$G$40,MATCH(Y298,Setup!$B$33:$B$40,0)),0)=1)*(COUNTIF(Y258:Y275,$B298)+COUNTIF(Y258:Y275,$B298&amp;" ~*")&gt;0))</f>
        <v/>
      </c>
    </row>
    <row r="299" ht="15" customHeight="1">
      <c r="A299" t="n">
        <v>6</v>
      </c>
      <c r="B299" s="35">
        <f>IF(Setup!$B$28="","",Setup!$B$28)</f>
        <v/>
      </c>
      <c r="C299" s="98" t="n"/>
      <c r="D299" s="99" t="n"/>
      <c r="E299" s="99" t="n"/>
      <c r="F299" s="100" t="n"/>
      <c r="G299" s="98" t="n"/>
      <c r="H299" s="99" t="n"/>
      <c r="I299" s="99" t="n"/>
      <c r="J299" s="100" t="n"/>
      <c r="K299" s="98" t="n"/>
      <c r="L299" s="99" t="n"/>
      <c r="M299" s="99" t="n"/>
      <c r="N299" s="100" t="n"/>
      <c r="O299" s="98" t="n"/>
      <c r="P299" s="99" t="n"/>
      <c r="Q299" s="99" t="n"/>
      <c r="R299" s="100" t="n"/>
      <c r="S299" s="98" t="n"/>
      <c r="T299" s="99" t="n"/>
      <c r="U299" s="99" t="n"/>
      <c r="V299" s="100" t="n"/>
      <c r="W299" s="98" t="n"/>
      <c r="X299" s="100" t="n"/>
      <c r="Y299" s="98" t="n"/>
      <c r="Z299" s="100" t="n"/>
      <c r="AB299" s="101">
        <f>IF($B299="","",(COUNTIF(C258:E275,$B299)+COUNTIF(C258:E275,$B299&amp;" ~*")&gt;0)+(COUNTIF(G258:I275,$B299)+COUNTIF(G258:I275,$B299&amp;" ~*")&gt;0)+(COUNTIF(K258:M275,$B299)+COUNTIF(K258:M275,$B299&amp;" ~*")&gt;0)+(COUNTIF(O258:Q275,$B299)+COUNTIF(O258:Q275,$B299&amp;" ~*")&gt;0)+(COUNTIF(S258:U275,$B299)+COUNTIF(S258:U275,$B299&amp;" ~*")&gt;0)+(COUNTIF(W258:W275,$B299)+COUNTIF(W258:W275,$B299&amp;" ~*")&gt;0)+(COUNTIF(Y258:Y275,$B299)+COUNTIF(Y258:Y275,$B299&amp;" ~*")&gt;0))</f>
        <v/>
      </c>
      <c r="AC299" s="36">
        <f>IF($B299="","",(IFERROR(INDEX(Setup!$G$33:$G$40,MATCH(C299,Setup!$B$33:$B$40,0)),0)=1)*(COUNTIF(C258:E275,$B299)+COUNTIF(C258:E275,$B299&amp;" ~*")&gt;0)+(IFERROR(INDEX(Setup!$G$33:$G$40,MATCH(G299,Setup!$B$33:$B$40,0)),0)=1)*(COUNTIF(G258:I275,$B299)+COUNTIF(G258:I275,$B299&amp;" ~*")&gt;0)+(IFERROR(INDEX(Setup!$G$33:$G$40,MATCH(K299,Setup!$B$33:$B$40,0)),0)=1)*(COUNTIF(K258:M275,$B299)+COUNTIF(K258:M275,$B299&amp;" ~*")&gt;0)+(IFERROR(INDEX(Setup!$G$33:$G$40,MATCH(O299,Setup!$B$33:$B$40,0)),0)=1)*(COUNTIF(O258:Q275,$B299)+COUNTIF(O258:Q275,$B299&amp;" ~*")&gt;0)+(IFERROR(INDEX(Setup!$G$33:$G$40,MATCH(S299,Setup!$B$33:$B$40,0)),0)=1)*(COUNTIF(S258:U275,$B299)+COUNTIF(S258:U275,$B299&amp;" ~*")&gt;0)+(IFERROR(INDEX(Setup!$G$33:$G$40,MATCH(W299,Setup!$B$33:$B$40,0)),0)=1)*(COUNTIF(W258:W275,$B299)+COUNTIF(W258:W275,$B299&amp;" ~*")&gt;0)+(IFERROR(INDEX(Setup!$G$33:$G$40,MATCH(Y299,Setup!$B$33:$B$40,0)),0)=1)*(COUNTIF(Y258:Y275,$B299)+COUNTIF(Y258:Y275,$B299&amp;" ~*")&gt;0))</f>
        <v/>
      </c>
    </row>
    <row r="300" ht="15" customHeight="1">
      <c r="A300" t="n">
        <v>6</v>
      </c>
      <c r="B300" s="37">
        <f>IF(Setup!$B$29="","",Setup!$B$29)</f>
        <v/>
      </c>
      <c r="C300" s="102" t="n"/>
      <c r="D300" s="103" t="n"/>
      <c r="E300" s="103" t="n"/>
      <c r="F300" s="104" t="n"/>
      <c r="G300" s="102" t="n"/>
      <c r="H300" s="103" t="n"/>
      <c r="I300" s="103" t="n"/>
      <c r="J300" s="104" t="n"/>
      <c r="K300" s="102" t="n"/>
      <c r="L300" s="103" t="n"/>
      <c r="M300" s="103" t="n"/>
      <c r="N300" s="104" t="n"/>
      <c r="O300" s="102" t="n"/>
      <c r="P300" s="103" t="n"/>
      <c r="Q300" s="103" t="n"/>
      <c r="R300" s="104" t="n"/>
      <c r="S300" s="102" t="n"/>
      <c r="T300" s="103" t="n"/>
      <c r="U300" s="103" t="n"/>
      <c r="V300" s="104" t="n"/>
      <c r="W300" s="102" t="n"/>
      <c r="X300" s="104" t="n"/>
      <c r="Y300" s="102" t="n"/>
      <c r="Z300" s="104" t="n"/>
      <c r="AB300" s="105">
        <f>IF($B300="","",(COUNTIF(C258:E275,$B300)+COUNTIF(C258:E275,$B300&amp;" ~*")&gt;0)+(COUNTIF(G258:I275,$B300)+COUNTIF(G258:I275,$B300&amp;" ~*")&gt;0)+(COUNTIF(K258:M275,$B300)+COUNTIF(K258:M275,$B300&amp;" ~*")&gt;0)+(COUNTIF(O258:Q275,$B300)+COUNTIF(O258:Q275,$B300&amp;" ~*")&gt;0)+(COUNTIF(S258:U275,$B300)+COUNTIF(S258:U275,$B300&amp;" ~*")&gt;0)+(COUNTIF(W258:W275,$B300)+COUNTIF(W258:W275,$B300&amp;" ~*")&gt;0)+(COUNTIF(Y258:Y275,$B300)+COUNTIF(Y258:Y275,$B300&amp;" ~*")&gt;0))</f>
        <v/>
      </c>
      <c r="AC300" s="38">
        <f>IF($B300="","",(IFERROR(INDEX(Setup!$G$33:$G$40,MATCH(C300,Setup!$B$33:$B$40,0)),0)=1)*(COUNTIF(C258:E275,$B300)+COUNTIF(C258:E275,$B300&amp;" ~*")&gt;0)+(IFERROR(INDEX(Setup!$G$33:$G$40,MATCH(G300,Setup!$B$33:$B$40,0)),0)=1)*(COUNTIF(G258:I275,$B300)+COUNTIF(G258:I275,$B300&amp;" ~*")&gt;0)+(IFERROR(INDEX(Setup!$G$33:$G$40,MATCH(K300,Setup!$B$33:$B$40,0)),0)=1)*(COUNTIF(K258:M275,$B300)+COUNTIF(K258:M275,$B300&amp;" ~*")&gt;0)+(IFERROR(INDEX(Setup!$G$33:$G$40,MATCH(O300,Setup!$B$33:$B$40,0)),0)=1)*(COUNTIF(O258:Q275,$B300)+COUNTIF(O258:Q275,$B300&amp;" ~*")&gt;0)+(IFERROR(INDEX(Setup!$G$33:$G$40,MATCH(S300,Setup!$B$33:$B$40,0)),0)=1)*(COUNTIF(S258:U275,$B300)+COUNTIF(S258:U275,$B300&amp;" ~*")&gt;0)+(IFERROR(INDEX(Setup!$G$33:$G$40,MATCH(W300,Setup!$B$33:$B$40,0)),0)=1)*(COUNTIF(W258:W275,$B300)+COUNTIF(W258:W275,$B300&amp;" ~*")&gt;0)+(IFERROR(INDEX(Setup!$G$33:$G$40,MATCH(Y300,Setup!$B$33:$B$40,0)),0)=1)*(COUNTIF(Y258:Y275,$B300)+COUNTIF(Y258:Y275,$B300&amp;" ~*")&gt;0))</f>
        <v/>
      </c>
    </row>
    <row r="301" ht="16" customHeight="1">
      <c r="A301" t="n">
        <v>6</v>
      </c>
      <c r="B301" s="106" t="inlineStr">
        <is>
          <t>Available people</t>
        </is>
      </c>
      <c r="C301" s="107">
        <f>COUNTIFS(Setup!$E$6:$E$29,"Y",Setup!$B$6:$B$29,"?*")-SUMPRODUCT(COUNTIF(C277:C300,Setup!$F$33:$F$40))</f>
        <v/>
      </c>
      <c r="D301" s="107" t="n"/>
      <c r="E301" s="107" t="n"/>
      <c r="F301" s="107" t="n"/>
      <c r="G301" s="107">
        <f>COUNTIFS(Setup!$E$6:$E$29,"Y",Setup!$B$6:$B$29,"?*")-SUMPRODUCT(COUNTIF(G277:G300,Setup!$F$33:$F$40))</f>
        <v/>
      </c>
      <c r="H301" s="107" t="n"/>
      <c r="I301" s="107" t="n"/>
      <c r="J301" s="107" t="n"/>
      <c r="K301" s="107">
        <f>COUNTIFS(Setup!$E$6:$E$29,"Y",Setup!$B$6:$B$29,"?*")-SUMPRODUCT(COUNTIF(K277:K300,Setup!$F$33:$F$40))</f>
        <v/>
      </c>
      <c r="L301" s="107" t="n"/>
      <c r="M301" s="107" t="n"/>
      <c r="N301" s="107" t="n"/>
      <c r="O301" s="107">
        <f>COUNTIFS(Setup!$E$6:$E$29,"Y",Setup!$B$6:$B$29,"?*")-SUMPRODUCT(COUNTIF(O277:O300,Setup!$F$33:$F$40))</f>
        <v/>
      </c>
      <c r="P301" s="107" t="n"/>
      <c r="Q301" s="107" t="n"/>
      <c r="R301" s="107" t="n"/>
      <c r="S301" s="107">
        <f>COUNTIFS(Setup!$E$6:$E$29,"Y",Setup!$B$6:$B$29,"?*")-SUMPRODUCT(COUNTIF(S277:S300,Setup!$F$33:$F$40))</f>
        <v/>
      </c>
      <c r="T301" s="107" t="n"/>
      <c r="U301" s="107" t="n"/>
      <c r="V301" s="107" t="n"/>
      <c r="W301" s="107">
        <f>COUNTIFS(Setup!$E$6:$E$29,"Y",Setup!$B$6:$B$29,"?*")-SUMPRODUCT(COUNTIF(W277:W300,Setup!$F$33:$F$40))</f>
        <v/>
      </c>
      <c r="X301" s="107" t="n"/>
      <c r="Y301" s="107">
        <f>COUNTIFS(Setup!$E$6:$E$29,"Y",Setup!$B$6:$B$29,"?*")-SUMPRODUCT(COUNTIF(Y277:Y300,Setup!$F$33:$F$40))</f>
        <v/>
      </c>
      <c r="Z301" s="107" t="n"/>
      <c r="AB301" s="108">
        <f>SUM(AB277:AB300)</f>
        <v/>
      </c>
      <c r="AC301" s="109">
        <f>SUM(AC277:AC300)</f>
        <v/>
      </c>
    </row>
    <row r="302" ht="30" customHeight="1">
      <c r="A302" t="n">
        <v>6</v>
      </c>
      <c r="B302" s="110" t="inlineStr">
        <is>
          <t>Week notes</t>
        </is>
      </c>
      <c r="C302" s="111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112" t="n"/>
      <c r="R302" s="112" t="n"/>
      <c r="S302" s="112" t="n"/>
      <c r="T302" s="112" t="n"/>
      <c r="U302" s="112" t="n"/>
      <c r="V302" s="112" t="n"/>
      <c r="W302" s="112" t="n"/>
      <c r="X302" s="112" t="n"/>
      <c r="Y302" s="112" t="n"/>
      <c r="Z302" s="113" t="n"/>
    </row>
    <row r="303" ht="8" customHeight="1">
      <c r="A303" t="n">
        <v>6</v>
      </c>
    </row>
    <row r="304" ht="8" customHeight="1">
      <c r="A304" t="n">
        <v>6</v>
      </c>
    </row>
    <row r="305" ht="24" customHeight="1">
      <c r="A305" t="n">
        <v>7</v>
      </c>
      <c r="B305" s="73">
        <f>"WEEK 7     "&amp;TEXT(C306,"ddd d mmm")&amp;"  –  "&amp;TEXT(C306+6,"ddd d mmm yyyy")</f>
        <v/>
      </c>
      <c r="S305" s="74">
        <f>IF(TODAY()&lt;C306,"FUTURE",IF(TODAY()&gt;C306+6,"PAST","THIS WEEK"))</f>
        <v/>
      </c>
      <c r="W305" s="75">
        <f>IF(AND(Engine!$B$8=$AC$3,Engine!$B$9=$A305),"◀ ACTIVE WEEK","")</f>
        <v/>
      </c>
      <c r="AA305" s="76" t="n"/>
      <c r="AB305" s="77" t="inlineStr">
        <is>
          <t>◀ Prev</t>
        </is>
      </c>
      <c r="AC305" s="77" t="inlineStr">
        <is>
          <t>Next ▶</t>
        </is>
      </c>
    </row>
    <row r="306" ht="18" customHeight="1">
      <c r="A306" t="n">
        <v>7</v>
      </c>
      <c r="B306" s="78" t="inlineStr">
        <is>
          <t>DUTY</t>
        </is>
      </c>
      <c r="C306" s="79">
        <f>$AC$2+7*($A306-1)</f>
        <v/>
      </c>
      <c r="D306" s="80" t="n"/>
      <c r="E306" s="80" t="n"/>
      <c r="F306" s="81" t="n"/>
      <c r="G306" s="79">
        <f>C306+1</f>
        <v/>
      </c>
      <c r="H306" s="80" t="n"/>
      <c r="I306" s="80" t="n"/>
      <c r="J306" s="81" t="n"/>
      <c r="K306" s="79">
        <f>C306+2</f>
        <v/>
      </c>
      <c r="L306" s="80" t="n"/>
      <c r="M306" s="80" t="n"/>
      <c r="N306" s="81" t="n"/>
      <c r="O306" s="79">
        <f>C306+3</f>
        <v/>
      </c>
      <c r="P306" s="80" t="n"/>
      <c r="Q306" s="80" t="n"/>
      <c r="R306" s="81" t="n"/>
      <c r="S306" s="79">
        <f>C306+4</f>
        <v/>
      </c>
      <c r="T306" s="80" t="n"/>
      <c r="U306" s="80" t="n"/>
      <c r="V306" s="81" t="n"/>
      <c r="W306" s="82">
        <f>C306+5</f>
        <v/>
      </c>
      <c r="X306" s="83" t="n"/>
      <c r="Y306" s="82">
        <f>C306+6</f>
        <v/>
      </c>
      <c r="Z306" s="83" t="n"/>
      <c r="AB306" s="72" t="inlineStr">
        <is>
          <t>Gaps</t>
        </is>
      </c>
      <c r="AC306" s="72" t="inlineStr">
        <is>
          <t>Cover</t>
        </is>
      </c>
    </row>
    <row r="307" ht="14" customHeight="1">
      <c r="A307" t="n">
        <v>7</v>
      </c>
      <c r="B307" s="84" t="inlineStr">
        <is>
          <t>(from Setup)</t>
        </is>
      </c>
      <c r="C307" s="85" t="inlineStr">
        <is>
          <t>1</t>
        </is>
      </c>
      <c r="D307" s="85" t="inlineStr">
        <is>
          <t>2</t>
        </is>
      </c>
      <c r="E307" s="85" t="inlineStr">
        <is>
          <t>3</t>
        </is>
      </c>
      <c r="F307" s="85" t="inlineStr">
        <is>
          <t>Notes</t>
        </is>
      </c>
      <c r="G307" s="85" t="inlineStr">
        <is>
          <t>1</t>
        </is>
      </c>
      <c r="H307" s="85" t="inlineStr">
        <is>
          <t>2</t>
        </is>
      </c>
      <c r="I307" s="85" t="inlineStr">
        <is>
          <t>3</t>
        </is>
      </c>
      <c r="J307" s="85" t="inlineStr">
        <is>
          <t>Notes</t>
        </is>
      </c>
      <c r="K307" s="85" t="inlineStr">
        <is>
          <t>1</t>
        </is>
      </c>
      <c r="L307" s="85" t="inlineStr">
        <is>
          <t>2</t>
        </is>
      </c>
      <c r="M307" s="85" t="inlineStr">
        <is>
          <t>3</t>
        </is>
      </c>
      <c r="N307" s="85" t="inlineStr">
        <is>
          <t>Notes</t>
        </is>
      </c>
      <c r="O307" s="85" t="inlineStr">
        <is>
          <t>1</t>
        </is>
      </c>
      <c r="P307" s="85" t="inlineStr">
        <is>
          <t>2</t>
        </is>
      </c>
      <c r="Q307" s="85" t="inlineStr">
        <is>
          <t>3</t>
        </is>
      </c>
      <c r="R307" s="85" t="inlineStr">
        <is>
          <t>Notes</t>
        </is>
      </c>
      <c r="S307" s="85" t="inlineStr">
        <is>
          <t>1</t>
        </is>
      </c>
      <c r="T307" s="85" t="inlineStr">
        <is>
          <t>2</t>
        </is>
      </c>
      <c r="U307" s="85" t="inlineStr">
        <is>
          <t>3</t>
        </is>
      </c>
      <c r="V307" s="85" t="inlineStr">
        <is>
          <t>Notes</t>
        </is>
      </c>
      <c r="W307" s="85" t="inlineStr">
        <is>
          <t>Cover</t>
        </is>
      </c>
      <c r="X307" s="85" t="inlineStr">
        <is>
          <t>Notes</t>
        </is>
      </c>
      <c r="Y307" s="85" t="inlineStr">
        <is>
          <t>Cover</t>
        </is>
      </c>
      <c r="Z307" s="85" t="inlineStr">
        <is>
          <t>Notes</t>
        </is>
      </c>
      <c r="AB307" s="86" t="inlineStr">
        <is>
          <t>weekdays short</t>
        </is>
      </c>
      <c r="AC307" s="87" t="inlineStr"/>
    </row>
    <row r="308" ht="17" customHeight="1">
      <c r="A308" t="n">
        <v>7</v>
      </c>
      <c r="B308" s="24">
        <f>IF(Setup!$K$6="","",Setup!$K$6)</f>
        <v/>
      </c>
      <c r="C308" s="88" t="n"/>
      <c r="D308" s="88" t="n"/>
      <c r="E308" s="88" t="n"/>
      <c r="F308" s="89" t="n"/>
      <c r="G308" s="88" t="n"/>
      <c r="H308" s="88" t="n"/>
      <c r="I308" s="88" t="n"/>
      <c r="J308" s="89" t="n"/>
      <c r="K308" s="88" t="n"/>
      <c r="L308" s="88" t="n"/>
      <c r="M308" s="88" t="n"/>
      <c r="N308" s="89" t="n"/>
      <c r="O308" s="88" t="n"/>
      <c r="P308" s="88" t="n"/>
      <c r="Q308" s="88" t="n"/>
      <c r="R308" s="89" t="n"/>
      <c r="S308" s="88" t="n"/>
      <c r="T308" s="88" t="n"/>
      <c r="U308" s="88" t="n"/>
      <c r="V308" s="89" t="n"/>
      <c r="W308" s="88" t="n"/>
      <c r="X308" s="89" t="n"/>
      <c r="Y308" s="88" t="n"/>
      <c r="Z308" s="89" t="n"/>
      <c r="AB308" s="25">
        <f>IF($B308="","",(COUNTIF(C308:E308,"?*")&lt;N(INDEX(Setup!$L$6:$L$23,1)))+(COUNTIF(G308:I308,"?*")&lt;N(INDEX(Setup!$L$6:$L$23,1)))+(COUNTIF(K308:M308,"?*")&lt;N(INDEX(Setup!$L$6:$L$23,1)))+(COUNTIF(O308:Q308,"?*")&lt;N(INDEX(Setup!$L$6:$L$23,1)))+(COUNTIF(S308:U308,"?*")&lt;N(INDEX(Setup!$L$6:$L$23,1)))+((W308="")*(INDEX(Setup!$M$6:$M$23,1)="Y"))+((Y308="")*(INDEX(Setup!$M$6:$M$23,1)="Y")))</f>
        <v/>
      </c>
      <c r="AC308" s="90">
        <f>IF($B308="","",IF(AB308=0,"✓ covered","⚠ "&amp;AB308&amp;IF(AB308=1," gap"," gaps")))</f>
        <v/>
      </c>
    </row>
    <row r="309" ht="17" customHeight="1">
      <c r="A309" t="n">
        <v>7</v>
      </c>
      <c r="B309" s="29">
        <f>IF(Setup!$K$7="","",Setup!$K$7)</f>
        <v/>
      </c>
      <c r="C309" s="88" t="n"/>
      <c r="D309" s="88" t="n"/>
      <c r="E309" s="88" t="n"/>
      <c r="F309" s="89" t="n"/>
      <c r="G309" s="88" t="n"/>
      <c r="H309" s="88" t="n"/>
      <c r="I309" s="88" t="n"/>
      <c r="J309" s="89" t="n"/>
      <c r="K309" s="88" t="n"/>
      <c r="L309" s="88" t="n"/>
      <c r="M309" s="88" t="n"/>
      <c r="N309" s="89" t="n"/>
      <c r="O309" s="88" t="n"/>
      <c r="P309" s="88" t="n"/>
      <c r="Q309" s="88" t="n"/>
      <c r="R309" s="89" t="n"/>
      <c r="S309" s="88" t="n"/>
      <c r="T309" s="88" t="n"/>
      <c r="U309" s="88" t="n"/>
      <c r="V309" s="89" t="n"/>
      <c r="W309" s="88" t="n"/>
      <c r="X309" s="89" t="n"/>
      <c r="Y309" s="88" t="n"/>
      <c r="Z309" s="89" t="n"/>
      <c r="AB309" s="30">
        <f>IF($B309="","",(COUNTIF(C309:E309,"?*")&lt;N(INDEX(Setup!$L$6:$L$23,2)))+(COUNTIF(G309:I309,"?*")&lt;N(INDEX(Setup!$L$6:$L$23,2)))+(COUNTIF(K309:M309,"?*")&lt;N(INDEX(Setup!$L$6:$L$23,2)))+(COUNTIF(O309:Q309,"?*")&lt;N(INDEX(Setup!$L$6:$L$23,2)))+(COUNTIF(S309:U309,"?*")&lt;N(INDEX(Setup!$L$6:$L$23,2)))+((W309="")*(INDEX(Setup!$M$6:$M$23,2)="Y"))+((Y309="")*(INDEX(Setup!$M$6:$M$23,2)="Y")))</f>
        <v/>
      </c>
      <c r="AC309" s="91">
        <f>IF($B309="","",IF(AB309=0,"✓ covered","⚠ "&amp;AB309&amp;IF(AB309=1," gap"," gaps")))</f>
        <v/>
      </c>
    </row>
    <row r="310" ht="17" customHeight="1">
      <c r="A310" t="n">
        <v>7</v>
      </c>
      <c r="B310" s="24">
        <f>IF(Setup!$K$8="","",Setup!$K$8)</f>
        <v/>
      </c>
      <c r="C310" s="88" t="n"/>
      <c r="D310" s="88" t="n"/>
      <c r="E310" s="88" t="n"/>
      <c r="F310" s="89" t="n"/>
      <c r="G310" s="88" t="n"/>
      <c r="H310" s="88" t="n"/>
      <c r="I310" s="88" t="n"/>
      <c r="J310" s="89" t="n"/>
      <c r="K310" s="88" t="n"/>
      <c r="L310" s="88" t="n"/>
      <c r="M310" s="88" t="n"/>
      <c r="N310" s="89" t="n"/>
      <c r="O310" s="88" t="n"/>
      <c r="P310" s="88" t="n"/>
      <c r="Q310" s="88" t="n"/>
      <c r="R310" s="89" t="n"/>
      <c r="S310" s="88" t="n"/>
      <c r="T310" s="88" t="n"/>
      <c r="U310" s="88" t="n"/>
      <c r="V310" s="89" t="n"/>
      <c r="W310" s="88" t="n"/>
      <c r="X310" s="89" t="n"/>
      <c r="Y310" s="88" t="n"/>
      <c r="Z310" s="89" t="n"/>
      <c r="AB310" s="25">
        <f>IF($B310="","",(COUNTIF(C310:E310,"?*")&lt;N(INDEX(Setup!$L$6:$L$23,3)))+(COUNTIF(G310:I310,"?*")&lt;N(INDEX(Setup!$L$6:$L$23,3)))+(COUNTIF(K310:M310,"?*")&lt;N(INDEX(Setup!$L$6:$L$23,3)))+(COUNTIF(O310:Q310,"?*")&lt;N(INDEX(Setup!$L$6:$L$23,3)))+(COUNTIF(S310:U310,"?*")&lt;N(INDEX(Setup!$L$6:$L$23,3)))+((W310="")*(INDEX(Setup!$M$6:$M$23,3)="Y"))+((Y310="")*(INDEX(Setup!$M$6:$M$23,3)="Y")))</f>
        <v/>
      </c>
      <c r="AC310" s="90">
        <f>IF($B310="","",IF(AB310=0,"✓ covered","⚠ "&amp;AB310&amp;IF(AB310=1," gap"," gaps")))</f>
        <v/>
      </c>
    </row>
    <row r="311" ht="17" customHeight="1">
      <c r="A311" t="n">
        <v>7</v>
      </c>
      <c r="B311" s="29">
        <f>IF(Setup!$K$9="","",Setup!$K$9)</f>
        <v/>
      </c>
      <c r="C311" s="88" t="n"/>
      <c r="D311" s="88" t="n"/>
      <c r="E311" s="88" t="n"/>
      <c r="F311" s="89" t="n"/>
      <c r="G311" s="88" t="n"/>
      <c r="H311" s="88" t="n"/>
      <c r="I311" s="88" t="n"/>
      <c r="J311" s="89" t="n"/>
      <c r="K311" s="88" t="n"/>
      <c r="L311" s="88" t="n"/>
      <c r="M311" s="88" t="n"/>
      <c r="N311" s="89" t="n"/>
      <c r="O311" s="88" t="n"/>
      <c r="P311" s="88" t="n"/>
      <c r="Q311" s="88" t="n"/>
      <c r="R311" s="89" t="n"/>
      <c r="S311" s="88" t="n"/>
      <c r="T311" s="88" t="n"/>
      <c r="U311" s="88" t="n"/>
      <c r="V311" s="89" t="n"/>
      <c r="W311" s="88" t="n"/>
      <c r="X311" s="89" t="n"/>
      <c r="Y311" s="88" t="n"/>
      <c r="Z311" s="89" t="n"/>
      <c r="AB311" s="30">
        <f>IF($B311="","",(COUNTIF(C311:E311,"?*")&lt;N(INDEX(Setup!$L$6:$L$23,4)))+(COUNTIF(G311:I311,"?*")&lt;N(INDEX(Setup!$L$6:$L$23,4)))+(COUNTIF(K311:M311,"?*")&lt;N(INDEX(Setup!$L$6:$L$23,4)))+(COUNTIF(O311:Q311,"?*")&lt;N(INDEX(Setup!$L$6:$L$23,4)))+(COUNTIF(S311:U311,"?*")&lt;N(INDEX(Setup!$L$6:$L$23,4)))+((W311="")*(INDEX(Setup!$M$6:$M$23,4)="Y"))+((Y311="")*(INDEX(Setup!$M$6:$M$23,4)="Y")))</f>
        <v/>
      </c>
      <c r="AC311" s="91">
        <f>IF($B311="","",IF(AB311=0,"✓ covered","⚠ "&amp;AB311&amp;IF(AB311=1," gap"," gaps")))</f>
        <v/>
      </c>
    </row>
    <row r="312" ht="17" customHeight="1">
      <c r="A312" t="n">
        <v>7</v>
      </c>
      <c r="B312" s="24">
        <f>IF(Setup!$K$10="","",Setup!$K$10)</f>
        <v/>
      </c>
      <c r="C312" s="88" t="n"/>
      <c r="D312" s="88" t="n"/>
      <c r="E312" s="88" t="n"/>
      <c r="F312" s="89" t="n"/>
      <c r="G312" s="88" t="n"/>
      <c r="H312" s="88" t="n"/>
      <c r="I312" s="88" t="n"/>
      <c r="J312" s="89" t="n"/>
      <c r="K312" s="88" t="n"/>
      <c r="L312" s="88" t="n"/>
      <c r="M312" s="88" t="n"/>
      <c r="N312" s="89" t="n"/>
      <c r="O312" s="88" t="n"/>
      <c r="P312" s="88" t="n"/>
      <c r="Q312" s="88" t="n"/>
      <c r="R312" s="89" t="n"/>
      <c r="S312" s="88" t="n"/>
      <c r="T312" s="88" t="n"/>
      <c r="U312" s="88" t="n"/>
      <c r="V312" s="89" t="n"/>
      <c r="W312" s="88" t="n"/>
      <c r="X312" s="89" t="n"/>
      <c r="Y312" s="88" t="n"/>
      <c r="Z312" s="89" t="n"/>
      <c r="AB312" s="25">
        <f>IF($B312="","",(COUNTIF(C312:E312,"?*")&lt;N(INDEX(Setup!$L$6:$L$23,5)))+(COUNTIF(G312:I312,"?*")&lt;N(INDEX(Setup!$L$6:$L$23,5)))+(COUNTIF(K312:M312,"?*")&lt;N(INDEX(Setup!$L$6:$L$23,5)))+(COUNTIF(O312:Q312,"?*")&lt;N(INDEX(Setup!$L$6:$L$23,5)))+(COUNTIF(S312:U312,"?*")&lt;N(INDEX(Setup!$L$6:$L$23,5)))+((W312="")*(INDEX(Setup!$M$6:$M$23,5)="Y"))+((Y312="")*(INDEX(Setup!$M$6:$M$23,5)="Y")))</f>
        <v/>
      </c>
      <c r="AC312" s="90">
        <f>IF($B312="","",IF(AB312=0,"✓ covered","⚠ "&amp;AB312&amp;IF(AB312=1," gap"," gaps")))</f>
        <v/>
      </c>
    </row>
    <row r="313" ht="17" customHeight="1">
      <c r="A313" t="n">
        <v>7</v>
      </c>
      <c r="B313" s="29">
        <f>IF(Setup!$K$11="","",Setup!$K$11)</f>
        <v/>
      </c>
      <c r="C313" s="88" t="n"/>
      <c r="D313" s="88" t="n"/>
      <c r="E313" s="88" t="n"/>
      <c r="F313" s="89" t="n"/>
      <c r="G313" s="88" t="n"/>
      <c r="H313" s="88" t="n"/>
      <c r="I313" s="88" t="n"/>
      <c r="J313" s="89" t="n"/>
      <c r="K313" s="88" t="n"/>
      <c r="L313" s="88" t="n"/>
      <c r="M313" s="88" t="n"/>
      <c r="N313" s="89" t="n"/>
      <c r="O313" s="88" t="n"/>
      <c r="P313" s="88" t="n"/>
      <c r="Q313" s="88" t="n"/>
      <c r="R313" s="89" t="n"/>
      <c r="S313" s="88" t="n"/>
      <c r="T313" s="88" t="n"/>
      <c r="U313" s="88" t="n"/>
      <c r="V313" s="89" t="n"/>
      <c r="W313" s="88" t="n"/>
      <c r="X313" s="89" t="n"/>
      <c r="Y313" s="88" t="n"/>
      <c r="Z313" s="89" t="n"/>
      <c r="AB313" s="30">
        <f>IF($B313="","",(COUNTIF(C313:E313,"?*")&lt;N(INDEX(Setup!$L$6:$L$23,6)))+(COUNTIF(G313:I313,"?*")&lt;N(INDEX(Setup!$L$6:$L$23,6)))+(COUNTIF(K313:M313,"?*")&lt;N(INDEX(Setup!$L$6:$L$23,6)))+(COUNTIF(O313:Q313,"?*")&lt;N(INDEX(Setup!$L$6:$L$23,6)))+(COUNTIF(S313:U313,"?*")&lt;N(INDEX(Setup!$L$6:$L$23,6)))+((W313="")*(INDEX(Setup!$M$6:$M$23,6)="Y"))+((Y313="")*(INDEX(Setup!$M$6:$M$23,6)="Y")))</f>
        <v/>
      </c>
      <c r="AC313" s="91">
        <f>IF($B313="","",IF(AB313=0,"✓ covered","⚠ "&amp;AB313&amp;IF(AB313=1," gap"," gaps")))</f>
        <v/>
      </c>
    </row>
    <row r="314" ht="17" customHeight="1">
      <c r="A314" t="n">
        <v>7</v>
      </c>
      <c r="B314" s="24">
        <f>IF(Setup!$K$12="","",Setup!$K$12)</f>
        <v/>
      </c>
      <c r="C314" s="88" t="n"/>
      <c r="D314" s="88" t="n"/>
      <c r="E314" s="88" t="n"/>
      <c r="F314" s="89" t="n"/>
      <c r="G314" s="88" t="n"/>
      <c r="H314" s="88" t="n"/>
      <c r="I314" s="88" t="n"/>
      <c r="J314" s="89" t="n"/>
      <c r="K314" s="88" t="n"/>
      <c r="L314" s="88" t="n"/>
      <c r="M314" s="88" t="n"/>
      <c r="N314" s="89" t="n"/>
      <c r="O314" s="88" t="n"/>
      <c r="P314" s="88" t="n"/>
      <c r="Q314" s="88" t="n"/>
      <c r="R314" s="89" t="n"/>
      <c r="S314" s="88" t="n"/>
      <c r="T314" s="88" t="n"/>
      <c r="U314" s="88" t="n"/>
      <c r="V314" s="89" t="n"/>
      <c r="W314" s="88" t="n"/>
      <c r="X314" s="89" t="n"/>
      <c r="Y314" s="88" t="n"/>
      <c r="Z314" s="89" t="n"/>
      <c r="AB314" s="25">
        <f>IF($B314="","",(COUNTIF(C314:E314,"?*")&lt;N(INDEX(Setup!$L$6:$L$23,7)))+(COUNTIF(G314:I314,"?*")&lt;N(INDEX(Setup!$L$6:$L$23,7)))+(COUNTIF(K314:M314,"?*")&lt;N(INDEX(Setup!$L$6:$L$23,7)))+(COUNTIF(O314:Q314,"?*")&lt;N(INDEX(Setup!$L$6:$L$23,7)))+(COUNTIF(S314:U314,"?*")&lt;N(INDEX(Setup!$L$6:$L$23,7)))+((W314="")*(INDEX(Setup!$M$6:$M$23,7)="Y"))+((Y314="")*(INDEX(Setup!$M$6:$M$23,7)="Y")))</f>
        <v/>
      </c>
      <c r="AC314" s="90">
        <f>IF($B314="","",IF(AB314=0,"✓ covered","⚠ "&amp;AB314&amp;IF(AB314=1," gap"," gaps")))</f>
        <v/>
      </c>
    </row>
    <row r="315" ht="17" customHeight="1">
      <c r="A315" t="n">
        <v>7</v>
      </c>
      <c r="B315" s="29">
        <f>IF(Setup!$K$13="","",Setup!$K$13)</f>
        <v/>
      </c>
      <c r="C315" s="88" t="n"/>
      <c r="D315" s="88" t="n"/>
      <c r="E315" s="88" t="n"/>
      <c r="F315" s="89" t="n"/>
      <c r="G315" s="88" t="n"/>
      <c r="H315" s="88" t="n"/>
      <c r="I315" s="88" t="n"/>
      <c r="J315" s="89" t="n"/>
      <c r="K315" s="88" t="n"/>
      <c r="L315" s="88" t="n"/>
      <c r="M315" s="88" t="n"/>
      <c r="N315" s="89" t="n"/>
      <c r="O315" s="88" t="n"/>
      <c r="P315" s="88" t="n"/>
      <c r="Q315" s="88" t="n"/>
      <c r="R315" s="89" t="n"/>
      <c r="S315" s="88" t="n"/>
      <c r="T315" s="88" t="n"/>
      <c r="U315" s="88" t="n"/>
      <c r="V315" s="89" t="n"/>
      <c r="W315" s="88" t="n"/>
      <c r="X315" s="89" t="n"/>
      <c r="Y315" s="88" t="n"/>
      <c r="Z315" s="89" t="n"/>
      <c r="AB315" s="30">
        <f>IF($B315="","",(COUNTIF(C315:E315,"?*")&lt;N(INDEX(Setup!$L$6:$L$23,8)))+(COUNTIF(G315:I315,"?*")&lt;N(INDEX(Setup!$L$6:$L$23,8)))+(COUNTIF(K315:M315,"?*")&lt;N(INDEX(Setup!$L$6:$L$23,8)))+(COUNTIF(O315:Q315,"?*")&lt;N(INDEX(Setup!$L$6:$L$23,8)))+(COUNTIF(S315:U315,"?*")&lt;N(INDEX(Setup!$L$6:$L$23,8)))+((W315="")*(INDEX(Setup!$M$6:$M$23,8)="Y"))+((Y315="")*(INDEX(Setup!$M$6:$M$23,8)="Y")))</f>
        <v/>
      </c>
      <c r="AC315" s="91">
        <f>IF($B315="","",IF(AB315=0,"✓ covered","⚠ "&amp;AB315&amp;IF(AB315=1," gap"," gaps")))</f>
        <v/>
      </c>
    </row>
    <row r="316" ht="17" customHeight="1">
      <c r="A316" t="n">
        <v>7</v>
      </c>
      <c r="B316" s="24">
        <f>IF(Setup!$K$14="","",Setup!$K$14)</f>
        <v/>
      </c>
      <c r="C316" s="88" t="n"/>
      <c r="D316" s="88" t="n"/>
      <c r="E316" s="88" t="n"/>
      <c r="F316" s="89" t="n"/>
      <c r="G316" s="88" t="n"/>
      <c r="H316" s="88" t="n"/>
      <c r="I316" s="88" t="n"/>
      <c r="J316" s="89" t="n"/>
      <c r="K316" s="88" t="n"/>
      <c r="L316" s="88" t="n"/>
      <c r="M316" s="88" t="n"/>
      <c r="N316" s="89" t="n"/>
      <c r="O316" s="88" t="n"/>
      <c r="P316" s="88" t="n"/>
      <c r="Q316" s="88" t="n"/>
      <c r="R316" s="89" t="n"/>
      <c r="S316" s="88" t="n"/>
      <c r="T316" s="88" t="n"/>
      <c r="U316" s="88" t="n"/>
      <c r="V316" s="89" t="n"/>
      <c r="W316" s="88" t="n"/>
      <c r="X316" s="89" t="n"/>
      <c r="Y316" s="88" t="n"/>
      <c r="Z316" s="89" t="n"/>
      <c r="AB316" s="25">
        <f>IF($B316="","",(COUNTIF(C316:E316,"?*")&lt;N(INDEX(Setup!$L$6:$L$23,9)))+(COUNTIF(G316:I316,"?*")&lt;N(INDEX(Setup!$L$6:$L$23,9)))+(COUNTIF(K316:M316,"?*")&lt;N(INDEX(Setup!$L$6:$L$23,9)))+(COUNTIF(O316:Q316,"?*")&lt;N(INDEX(Setup!$L$6:$L$23,9)))+(COUNTIF(S316:U316,"?*")&lt;N(INDEX(Setup!$L$6:$L$23,9)))+((W316="")*(INDEX(Setup!$M$6:$M$23,9)="Y"))+((Y316="")*(INDEX(Setup!$M$6:$M$23,9)="Y")))</f>
        <v/>
      </c>
      <c r="AC316" s="90">
        <f>IF($B316="","",IF(AB316=0,"✓ covered","⚠ "&amp;AB316&amp;IF(AB316=1," gap"," gaps")))</f>
        <v/>
      </c>
    </row>
    <row r="317" ht="17" customHeight="1">
      <c r="A317" t="n">
        <v>7</v>
      </c>
      <c r="B317" s="29">
        <f>IF(Setup!$K$15="","",Setup!$K$15)</f>
        <v/>
      </c>
      <c r="C317" s="88" t="n"/>
      <c r="D317" s="88" t="n"/>
      <c r="E317" s="88" t="n"/>
      <c r="F317" s="89" t="n"/>
      <c r="G317" s="88" t="n"/>
      <c r="H317" s="88" t="n"/>
      <c r="I317" s="88" t="n"/>
      <c r="J317" s="89" t="n"/>
      <c r="K317" s="88" t="n"/>
      <c r="L317" s="88" t="n"/>
      <c r="M317" s="88" t="n"/>
      <c r="N317" s="89" t="n"/>
      <c r="O317" s="88" t="n"/>
      <c r="P317" s="88" t="n"/>
      <c r="Q317" s="88" t="n"/>
      <c r="R317" s="89" t="n"/>
      <c r="S317" s="88" t="n"/>
      <c r="T317" s="88" t="n"/>
      <c r="U317" s="88" t="n"/>
      <c r="V317" s="89" t="n"/>
      <c r="W317" s="88" t="n"/>
      <c r="X317" s="89" t="n"/>
      <c r="Y317" s="88" t="n"/>
      <c r="Z317" s="89" t="n"/>
      <c r="AB317" s="30">
        <f>IF($B317="","",(COUNTIF(C317:E317,"?*")&lt;N(INDEX(Setup!$L$6:$L$23,10)))+(COUNTIF(G317:I317,"?*")&lt;N(INDEX(Setup!$L$6:$L$23,10)))+(COUNTIF(K317:M317,"?*")&lt;N(INDEX(Setup!$L$6:$L$23,10)))+(COUNTIF(O317:Q317,"?*")&lt;N(INDEX(Setup!$L$6:$L$23,10)))+(COUNTIF(S317:U317,"?*")&lt;N(INDEX(Setup!$L$6:$L$23,10)))+((W317="")*(INDEX(Setup!$M$6:$M$23,10)="Y"))+((Y317="")*(INDEX(Setup!$M$6:$M$23,10)="Y")))</f>
        <v/>
      </c>
      <c r="AC317" s="91">
        <f>IF($B317="","",IF(AB317=0,"✓ covered","⚠ "&amp;AB317&amp;IF(AB317=1," gap"," gaps")))</f>
        <v/>
      </c>
    </row>
    <row r="318" ht="17" customHeight="1">
      <c r="A318" t="n">
        <v>7</v>
      </c>
      <c r="B318" s="24">
        <f>IF(Setup!$K$16="","",Setup!$K$16)</f>
        <v/>
      </c>
      <c r="C318" s="88" t="n"/>
      <c r="D318" s="88" t="n"/>
      <c r="E318" s="88" t="n"/>
      <c r="F318" s="89" t="n"/>
      <c r="G318" s="88" t="n"/>
      <c r="H318" s="88" t="n"/>
      <c r="I318" s="88" t="n"/>
      <c r="J318" s="89" t="n"/>
      <c r="K318" s="88" t="n"/>
      <c r="L318" s="88" t="n"/>
      <c r="M318" s="88" t="n"/>
      <c r="N318" s="89" t="n"/>
      <c r="O318" s="88" t="n"/>
      <c r="P318" s="88" t="n"/>
      <c r="Q318" s="88" t="n"/>
      <c r="R318" s="89" t="n"/>
      <c r="S318" s="88" t="n"/>
      <c r="T318" s="88" t="n"/>
      <c r="U318" s="88" t="n"/>
      <c r="V318" s="89" t="n"/>
      <c r="W318" s="88" t="n"/>
      <c r="X318" s="89" t="n"/>
      <c r="Y318" s="88" t="n"/>
      <c r="Z318" s="89" t="n"/>
      <c r="AB318" s="25">
        <f>IF($B318="","",(COUNTIF(C318:E318,"?*")&lt;N(INDEX(Setup!$L$6:$L$23,11)))+(COUNTIF(G318:I318,"?*")&lt;N(INDEX(Setup!$L$6:$L$23,11)))+(COUNTIF(K318:M318,"?*")&lt;N(INDEX(Setup!$L$6:$L$23,11)))+(COUNTIF(O318:Q318,"?*")&lt;N(INDEX(Setup!$L$6:$L$23,11)))+(COUNTIF(S318:U318,"?*")&lt;N(INDEX(Setup!$L$6:$L$23,11)))+((W318="")*(INDEX(Setup!$M$6:$M$23,11)="Y"))+((Y318="")*(INDEX(Setup!$M$6:$M$23,11)="Y")))</f>
        <v/>
      </c>
      <c r="AC318" s="90">
        <f>IF($B318="","",IF(AB318=0,"✓ covered","⚠ "&amp;AB318&amp;IF(AB318=1," gap"," gaps")))</f>
        <v/>
      </c>
    </row>
    <row r="319" ht="17" customHeight="1">
      <c r="A319" t="n">
        <v>7</v>
      </c>
      <c r="B319" s="29">
        <f>IF(Setup!$K$17="","",Setup!$K$17)</f>
        <v/>
      </c>
      <c r="C319" s="88" t="n"/>
      <c r="D319" s="88" t="n"/>
      <c r="E319" s="88" t="n"/>
      <c r="F319" s="89" t="n"/>
      <c r="G319" s="88" t="n"/>
      <c r="H319" s="88" t="n"/>
      <c r="I319" s="88" t="n"/>
      <c r="J319" s="89" t="n"/>
      <c r="K319" s="88" t="n"/>
      <c r="L319" s="88" t="n"/>
      <c r="M319" s="88" t="n"/>
      <c r="N319" s="89" t="n"/>
      <c r="O319" s="88" t="n"/>
      <c r="P319" s="88" t="n"/>
      <c r="Q319" s="88" t="n"/>
      <c r="R319" s="89" t="n"/>
      <c r="S319" s="88" t="n"/>
      <c r="T319" s="88" t="n"/>
      <c r="U319" s="88" t="n"/>
      <c r="V319" s="89" t="n"/>
      <c r="W319" s="88" t="n"/>
      <c r="X319" s="89" t="n"/>
      <c r="Y319" s="88" t="n"/>
      <c r="Z319" s="89" t="n"/>
      <c r="AB319" s="30">
        <f>IF($B319="","",(COUNTIF(C319:E319,"?*")&lt;N(INDEX(Setup!$L$6:$L$23,12)))+(COUNTIF(G319:I319,"?*")&lt;N(INDEX(Setup!$L$6:$L$23,12)))+(COUNTIF(K319:M319,"?*")&lt;N(INDEX(Setup!$L$6:$L$23,12)))+(COUNTIF(O319:Q319,"?*")&lt;N(INDEX(Setup!$L$6:$L$23,12)))+(COUNTIF(S319:U319,"?*")&lt;N(INDEX(Setup!$L$6:$L$23,12)))+((W319="")*(INDEX(Setup!$M$6:$M$23,12)="Y"))+((Y319="")*(INDEX(Setup!$M$6:$M$23,12)="Y")))</f>
        <v/>
      </c>
      <c r="AC319" s="91">
        <f>IF($B319="","",IF(AB319=0,"✓ covered","⚠ "&amp;AB319&amp;IF(AB319=1," gap"," gaps")))</f>
        <v/>
      </c>
    </row>
    <row r="320" ht="17" customHeight="1">
      <c r="A320" t="n">
        <v>7</v>
      </c>
      <c r="B320" s="24">
        <f>IF(Setup!$K$18="","",Setup!$K$18)</f>
        <v/>
      </c>
      <c r="C320" s="88" t="n"/>
      <c r="D320" s="88" t="n"/>
      <c r="E320" s="88" t="n"/>
      <c r="F320" s="89" t="n"/>
      <c r="G320" s="88" t="n"/>
      <c r="H320" s="88" t="n"/>
      <c r="I320" s="88" t="n"/>
      <c r="J320" s="89" t="n"/>
      <c r="K320" s="88" t="n"/>
      <c r="L320" s="88" t="n"/>
      <c r="M320" s="88" t="n"/>
      <c r="N320" s="89" t="n"/>
      <c r="O320" s="88" t="n"/>
      <c r="P320" s="88" t="n"/>
      <c r="Q320" s="88" t="n"/>
      <c r="R320" s="89" t="n"/>
      <c r="S320" s="88" t="n"/>
      <c r="T320" s="88" t="n"/>
      <c r="U320" s="88" t="n"/>
      <c r="V320" s="89" t="n"/>
      <c r="W320" s="88" t="n"/>
      <c r="X320" s="89" t="n"/>
      <c r="Y320" s="88" t="n"/>
      <c r="Z320" s="89" t="n"/>
      <c r="AB320" s="25">
        <f>IF($B320="","",(COUNTIF(C320:E320,"?*")&lt;N(INDEX(Setup!$L$6:$L$23,13)))+(COUNTIF(G320:I320,"?*")&lt;N(INDEX(Setup!$L$6:$L$23,13)))+(COUNTIF(K320:M320,"?*")&lt;N(INDEX(Setup!$L$6:$L$23,13)))+(COUNTIF(O320:Q320,"?*")&lt;N(INDEX(Setup!$L$6:$L$23,13)))+(COUNTIF(S320:U320,"?*")&lt;N(INDEX(Setup!$L$6:$L$23,13)))+((W320="")*(INDEX(Setup!$M$6:$M$23,13)="Y"))+((Y320="")*(INDEX(Setup!$M$6:$M$23,13)="Y")))</f>
        <v/>
      </c>
      <c r="AC320" s="90">
        <f>IF($B320="","",IF(AB320=0,"✓ covered","⚠ "&amp;AB320&amp;IF(AB320=1," gap"," gaps")))</f>
        <v/>
      </c>
    </row>
    <row r="321" ht="17" customHeight="1">
      <c r="A321" t="n">
        <v>7</v>
      </c>
      <c r="B321" s="29">
        <f>IF(Setup!$K$19="","",Setup!$K$19)</f>
        <v/>
      </c>
      <c r="C321" s="88" t="n"/>
      <c r="D321" s="88" t="n"/>
      <c r="E321" s="88" t="n"/>
      <c r="F321" s="89" t="n"/>
      <c r="G321" s="88" t="n"/>
      <c r="H321" s="88" t="n"/>
      <c r="I321" s="88" t="n"/>
      <c r="J321" s="89" t="n"/>
      <c r="K321" s="88" t="n"/>
      <c r="L321" s="88" t="n"/>
      <c r="M321" s="88" t="n"/>
      <c r="N321" s="89" t="n"/>
      <c r="O321" s="88" t="n"/>
      <c r="P321" s="88" t="n"/>
      <c r="Q321" s="88" t="n"/>
      <c r="R321" s="89" t="n"/>
      <c r="S321" s="88" t="n"/>
      <c r="T321" s="88" t="n"/>
      <c r="U321" s="88" t="n"/>
      <c r="V321" s="89" t="n"/>
      <c r="W321" s="88" t="n"/>
      <c r="X321" s="89" t="n"/>
      <c r="Y321" s="88" t="n"/>
      <c r="Z321" s="89" t="n"/>
      <c r="AB321" s="30">
        <f>IF($B321="","",(COUNTIF(C321:E321,"?*")&lt;N(INDEX(Setup!$L$6:$L$23,14)))+(COUNTIF(G321:I321,"?*")&lt;N(INDEX(Setup!$L$6:$L$23,14)))+(COUNTIF(K321:M321,"?*")&lt;N(INDEX(Setup!$L$6:$L$23,14)))+(COUNTIF(O321:Q321,"?*")&lt;N(INDEX(Setup!$L$6:$L$23,14)))+(COUNTIF(S321:U321,"?*")&lt;N(INDEX(Setup!$L$6:$L$23,14)))+((W321="")*(INDEX(Setup!$M$6:$M$23,14)="Y"))+((Y321="")*(INDEX(Setup!$M$6:$M$23,14)="Y")))</f>
        <v/>
      </c>
      <c r="AC321" s="91">
        <f>IF($B321="","",IF(AB321=0,"✓ covered","⚠ "&amp;AB321&amp;IF(AB321=1," gap"," gaps")))</f>
        <v/>
      </c>
    </row>
    <row r="322" ht="17" customHeight="1">
      <c r="A322" t="n">
        <v>7</v>
      </c>
      <c r="B322" s="24">
        <f>IF(Setup!$K$20="","",Setup!$K$20)</f>
        <v/>
      </c>
      <c r="C322" s="88" t="n"/>
      <c r="D322" s="88" t="n"/>
      <c r="E322" s="88" t="n"/>
      <c r="F322" s="89" t="n"/>
      <c r="G322" s="88" t="n"/>
      <c r="H322" s="88" t="n"/>
      <c r="I322" s="88" t="n"/>
      <c r="J322" s="89" t="n"/>
      <c r="K322" s="88" t="n"/>
      <c r="L322" s="88" t="n"/>
      <c r="M322" s="88" t="n"/>
      <c r="N322" s="89" t="n"/>
      <c r="O322" s="88" t="n"/>
      <c r="P322" s="88" t="n"/>
      <c r="Q322" s="88" t="n"/>
      <c r="R322" s="89" t="n"/>
      <c r="S322" s="88" t="n"/>
      <c r="T322" s="88" t="n"/>
      <c r="U322" s="88" t="n"/>
      <c r="V322" s="89" t="n"/>
      <c r="W322" s="88" t="n"/>
      <c r="X322" s="89" t="n"/>
      <c r="Y322" s="88" t="n"/>
      <c r="Z322" s="89" t="n"/>
      <c r="AB322" s="25">
        <f>IF($B322="","",(COUNTIF(C322:E322,"?*")&lt;N(INDEX(Setup!$L$6:$L$23,15)))+(COUNTIF(G322:I322,"?*")&lt;N(INDEX(Setup!$L$6:$L$23,15)))+(COUNTIF(K322:M322,"?*")&lt;N(INDEX(Setup!$L$6:$L$23,15)))+(COUNTIF(O322:Q322,"?*")&lt;N(INDEX(Setup!$L$6:$L$23,15)))+(COUNTIF(S322:U322,"?*")&lt;N(INDEX(Setup!$L$6:$L$23,15)))+((W322="")*(INDEX(Setup!$M$6:$M$23,15)="Y"))+((Y322="")*(INDEX(Setup!$M$6:$M$23,15)="Y")))</f>
        <v/>
      </c>
      <c r="AC322" s="90">
        <f>IF($B322="","",IF(AB322=0,"✓ covered","⚠ "&amp;AB322&amp;IF(AB322=1," gap"," gaps")))</f>
        <v/>
      </c>
    </row>
    <row r="323" ht="17" customHeight="1">
      <c r="A323" t="n">
        <v>7</v>
      </c>
      <c r="B323" s="29">
        <f>IF(Setup!$K$21="","",Setup!$K$21)</f>
        <v/>
      </c>
      <c r="C323" s="88" t="n"/>
      <c r="D323" s="88" t="n"/>
      <c r="E323" s="88" t="n"/>
      <c r="F323" s="89" t="n"/>
      <c r="G323" s="88" t="n"/>
      <c r="H323" s="88" t="n"/>
      <c r="I323" s="88" t="n"/>
      <c r="J323" s="89" t="n"/>
      <c r="K323" s="88" t="n"/>
      <c r="L323" s="88" t="n"/>
      <c r="M323" s="88" t="n"/>
      <c r="N323" s="89" t="n"/>
      <c r="O323" s="88" t="n"/>
      <c r="P323" s="88" t="n"/>
      <c r="Q323" s="88" t="n"/>
      <c r="R323" s="89" t="n"/>
      <c r="S323" s="88" t="n"/>
      <c r="T323" s="88" t="n"/>
      <c r="U323" s="88" t="n"/>
      <c r="V323" s="89" t="n"/>
      <c r="W323" s="88" t="n"/>
      <c r="X323" s="89" t="n"/>
      <c r="Y323" s="88" t="n"/>
      <c r="Z323" s="89" t="n"/>
      <c r="AB323" s="30">
        <f>IF($B323="","",(COUNTIF(C323:E323,"?*")&lt;N(INDEX(Setup!$L$6:$L$23,16)))+(COUNTIF(G323:I323,"?*")&lt;N(INDEX(Setup!$L$6:$L$23,16)))+(COUNTIF(K323:M323,"?*")&lt;N(INDEX(Setup!$L$6:$L$23,16)))+(COUNTIF(O323:Q323,"?*")&lt;N(INDEX(Setup!$L$6:$L$23,16)))+(COUNTIF(S323:U323,"?*")&lt;N(INDEX(Setup!$L$6:$L$23,16)))+((W323="")*(INDEX(Setup!$M$6:$M$23,16)="Y"))+((Y323="")*(INDEX(Setup!$M$6:$M$23,16)="Y")))</f>
        <v/>
      </c>
      <c r="AC323" s="91">
        <f>IF($B323="","",IF(AB323=0,"✓ covered","⚠ "&amp;AB323&amp;IF(AB323=1," gap"," gaps")))</f>
        <v/>
      </c>
    </row>
    <row r="324" ht="17" customHeight="1">
      <c r="A324" t="n">
        <v>7</v>
      </c>
      <c r="B324" s="24">
        <f>IF(Setup!$K$22="","",Setup!$K$22)</f>
        <v/>
      </c>
      <c r="C324" s="88" t="n"/>
      <c r="D324" s="88" t="n"/>
      <c r="E324" s="88" t="n"/>
      <c r="F324" s="89" t="n"/>
      <c r="G324" s="88" t="n"/>
      <c r="H324" s="88" t="n"/>
      <c r="I324" s="88" t="n"/>
      <c r="J324" s="89" t="n"/>
      <c r="K324" s="88" t="n"/>
      <c r="L324" s="88" t="n"/>
      <c r="M324" s="88" t="n"/>
      <c r="N324" s="89" t="n"/>
      <c r="O324" s="88" t="n"/>
      <c r="P324" s="88" t="n"/>
      <c r="Q324" s="88" t="n"/>
      <c r="R324" s="89" t="n"/>
      <c r="S324" s="88" t="n"/>
      <c r="T324" s="88" t="n"/>
      <c r="U324" s="88" t="n"/>
      <c r="V324" s="89" t="n"/>
      <c r="W324" s="88" t="n"/>
      <c r="X324" s="89" t="n"/>
      <c r="Y324" s="88" t="n"/>
      <c r="Z324" s="89" t="n"/>
      <c r="AB324" s="25">
        <f>IF($B324="","",(COUNTIF(C324:E324,"?*")&lt;N(INDEX(Setup!$L$6:$L$23,17)))+(COUNTIF(G324:I324,"?*")&lt;N(INDEX(Setup!$L$6:$L$23,17)))+(COUNTIF(K324:M324,"?*")&lt;N(INDEX(Setup!$L$6:$L$23,17)))+(COUNTIF(O324:Q324,"?*")&lt;N(INDEX(Setup!$L$6:$L$23,17)))+(COUNTIF(S324:U324,"?*")&lt;N(INDEX(Setup!$L$6:$L$23,17)))+((W324="")*(INDEX(Setup!$M$6:$M$23,17)="Y"))+((Y324="")*(INDEX(Setup!$M$6:$M$23,17)="Y")))</f>
        <v/>
      </c>
      <c r="AC324" s="90">
        <f>IF($B324="","",IF(AB324=0,"✓ covered","⚠ "&amp;AB324&amp;IF(AB324=1," gap"," gaps")))</f>
        <v/>
      </c>
    </row>
    <row r="325" ht="17" customHeight="1">
      <c r="A325" t="n">
        <v>7</v>
      </c>
      <c r="B325" s="29">
        <f>IF(Setup!$K$23="","",Setup!$K$23)</f>
        <v/>
      </c>
      <c r="C325" s="88" t="n"/>
      <c r="D325" s="88" t="n"/>
      <c r="E325" s="88" t="n"/>
      <c r="F325" s="89" t="n"/>
      <c r="G325" s="88" t="n"/>
      <c r="H325" s="88" t="n"/>
      <c r="I325" s="88" t="n"/>
      <c r="J325" s="89" t="n"/>
      <c r="K325" s="88" t="n"/>
      <c r="L325" s="88" t="n"/>
      <c r="M325" s="88" t="n"/>
      <c r="N325" s="89" t="n"/>
      <c r="O325" s="88" t="n"/>
      <c r="P325" s="88" t="n"/>
      <c r="Q325" s="88" t="n"/>
      <c r="R325" s="89" t="n"/>
      <c r="S325" s="88" t="n"/>
      <c r="T325" s="88" t="n"/>
      <c r="U325" s="88" t="n"/>
      <c r="V325" s="89" t="n"/>
      <c r="W325" s="88" t="n"/>
      <c r="X325" s="89" t="n"/>
      <c r="Y325" s="88" t="n"/>
      <c r="Z325" s="89" t="n"/>
      <c r="AB325" s="30">
        <f>IF($B325="","",(COUNTIF(C325:E325,"?*")&lt;N(INDEX(Setup!$L$6:$L$23,18)))+(COUNTIF(G325:I325,"?*")&lt;N(INDEX(Setup!$L$6:$L$23,18)))+(COUNTIF(K325:M325,"?*")&lt;N(INDEX(Setup!$L$6:$L$23,18)))+(COUNTIF(O325:Q325,"?*")&lt;N(INDEX(Setup!$L$6:$L$23,18)))+(COUNTIF(S325:U325,"?*")&lt;N(INDEX(Setup!$L$6:$L$23,18)))+((W325="")*(INDEX(Setup!$M$6:$M$23,18)="Y"))+((Y325="")*(INDEX(Setup!$M$6:$M$23,18)="Y")))</f>
        <v/>
      </c>
      <c r="AC325" s="91">
        <f>IF($B325="","",IF(AB325=0,"✓ covered","⚠ "&amp;AB325&amp;IF(AB325=1," gap"," gaps")))</f>
        <v/>
      </c>
    </row>
    <row r="326" ht="18" customHeight="1">
      <c r="A326" t="n">
        <v>7</v>
      </c>
      <c r="B326" s="78" t="inlineStr">
        <is>
          <t>TEAM AVAILABILITY</t>
        </is>
      </c>
      <c r="C326" s="92" t="inlineStr">
        <is>
          <t>Mon</t>
        </is>
      </c>
      <c r="D326" s="93" t="n"/>
      <c r="E326" s="93" t="n"/>
      <c r="F326" s="94" t="n"/>
      <c r="G326" s="92" t="inlineStr">
        <is>
          <t>Tue</t>
        </is>
      </c>
      <c r="H326" s="93" t="n"/>
      <c r="I326" s="93" t="n"/>
      <c r="J326" s="94" t="n"/>
      <c r="K326" s="92" t="inlineStr">
        <is>
          <t>Wed</t>
        </is>
      </c>
      <c r="L326" s="93" t="n"/>
      <c r="M326" s="93" t="n"/>
      <c r="N326" s="94" t="n"/>
      <c r="O326" s="92" t="inlineStr">
        <is>
          <t>Thu</t>
        </is>
      </c>
      <c r="P326" s="93" t="n"/>
      <c r="Q326" s="93" t="n"/>
      <c r="R326" s="94" t="n"/>
      <c r="S326" s="92" t="inlineStr">
        <is>
          <t>Fri</t>
        </is>
      </c>
      <c r="T326" s="93" t="n"/>
      <c r="U326" s="93" t="n"/>
      <c r="V326" s="94" t="n"/>
      <c r="W326" s="95" t="inlineStr">
        <is>
          <t>Sat</t>
        </is>
      </c>
      <c r="X326" s="96" t="n"/>
      <c r="Y326" s="95" t="inlineStr">
        <is>
          <t>Sun</t>
        </is>
      </c>
      <c r="Z326" s="96" t="n"/>
      <c r="AB326" s="97" t="inlineStr">
        <is>
          <t>Days rostered</t>
        </is>
      </c>
      <c r="AC326" s="97" t="inlineStr">
        <is>
          <t>Conflicts</t>
        </is>
      </c>
    </row>
    <row r="327" ht="15" customHeight="1">
      <c r="A327" t="n">
        <v>7</v>
      </c>
      <c r="B327" s="35">
        <f>IF(Setup!$B$6="","",Setup!$B$6)</f>
        <v/>
      </c>
      <c r="C327" s="98" t="n"/>
      <c r="D327" s="99" t="n"/>
      <c r="E327" s="99" t="n"/>
      <c r="F327" s="100" t="n"/>
      <c r="G327" s="98" t="n"/>
      <c r="H327" s="99" t="n"/>
      <c r="I327" s="99" t="n"/>
      <c r="J327" s="100" t="n"/>
      <c r="K327" s="98" t="n"/>
      <c r="L327" s="99" t="n"/>
      <c r="M327" s="99" t="n"/>
      <c r="N327" s="100" t="n"/>
      <c r="O327" s="98" t="n"/>
      <c r="P327" s="99" t="n"/>
      <c r="Q327" s="99" t="n"/>
      <c r="R327" s="100" t="n"/>
      <c r="S327" s="98" t="n"/>
      <c r="T327" s="99" t="n"/>
      <c r="U327" s="99" t="n"/>
      <c r="V327" s="100" t="n"/>
      <c r="W327" s="98" t="n"/>
      <c r="X327" s="100" t="n"/>
      <c r="Y327" s="98" t="n"/>
      <c r="Z327" s="100" t="n"/>
      <c r="AB327" s="101">
        <f>IF($B327="","",(COUNTIF(C308:E325,$B327)+COUNTIF(C308:E325,$B327&amp;" ~*")&gt;0)+(COUNTIF(G308:I325,$B327)+COUNTIF(G308:I325,$B327&amp;" ~*")&gt;0)+(COUNTIF(K308:M325,$B327)+COUNTIF(K308:M325,$B327&amp;" ~*")&gt;0)+(COUNTIF(O308:Q325,$B327)+COUNTIF(O308:Q325,$B327&amp;" ~*")&gt;0)+(COUNTIF(S308:U325,$B327)+COUNTIF(S308:U325,$B327&amp;" ~*")&gt;0)+(COUNTIF(W308:W325,$B327)+COUNTIF(W308:W325,$B327&amp;" ~*")&gt;0)+(COUNTIF(Y308:Y325,$B327)+COUNTIF(Y308:Y325,$B327&amp;" ~*")&gt;0))</f>
        <v/>
      </c>
      <c r="AC327" s="36">
        <f>IF($B327="","",(IFERROR(INDEX(Setup!$G$33:$G$40,MATCH(C327,Setup!$B$33:$B$40,0)),0)=1)*(COUNTIF(C308:E325,$B327)+COUNTIF(C308:E325,$B327&amp;" ~*")&gt;0)+(IFERROR(INDEX(Setup!$G$33:$G$40,MATCH(G327,Setup!$B$33:$B$40,0)),0)=1)*(COUNTIF(G308:I325,$B327)+COUNTIF(G308:I325,$B327&amp;" ~*")&gt;0)+(IFERROR(INDEX(Setup!$G$33:$G$40,MATCH(K327,Setup!$B$33:$B$40,0)),0)=1)*(COUNTIF(K308:M325,$B327)+COUNTIF(K308:M325,$B327&amp;" ~*")&gt;0)+(IFERROR(INDEX(Setup!$G$33:$G$40,MATCH(O327,Setup!$B$33:$B$40,0)),0)=1)*(COUNTIF(O308:Q325,$B327)+COUNTIF(O308:Q325,$B327&amp;" ~*")&gt;0)+(IFERROR(INDEX(Setup!$G$33:$G$40,MATCH(S327,Setup!$B$33:$B$40,0)),0)=1)*(COUNTIF(S308:U325,$B327)+COUNTIF(S308:U325,$B327&amp;" ~*")&gt;0)+(IFERROR(INDEX(Setup!$G$33:$G$40,MATCH(W327,Setup!$B$33:$B$40,0)),0)=1)*(COUNTIF(W308:W325,$B327)+COUNTIF(W308:W325,$B327&amp;" ~*")&gt;0)+(IFERROR(INDEX(Setup!$G$33:$G$40,MATCH(Y327,Setup!$B$33:$B$40,0)),0)=1)*(COUNTIF(Y308:Y325,$B327)+COUNTIF(Y308:Y325,$B327&amp;" ~*")&gt;0))</f>
        <v/>
      </c>
    </row>
    <row r="328" ht="15" customHeight="1">
      <c r="A328" t="n">
        <v>7</v>
      </c>
      <c r="B328" s="37">
        <f>IF(Setup!$B$7="","",Setup!$B$7)</f>
        <v/>
      </c>
      <c r="C328" s="102" t="n"/>
      <c r="D328" s="103" t="n"/>
      <c r="E328" s="103" t="n"/>
      <c r="F328" s="104" t="n"/>
      <c r="G328" s="102" t="n"/>
      <c r="H328" s="103" t="n"/>
      <c r="I328" s="103" t="n"/>
      <c r="J328" s="104" t="n"/>
      <c r="K328" s="102" t="n"/>
      <c r="L328" s="103" t="n"/>
      <c r="M328" s="103" t="n"/>
      <c r="N328" s="104" t="n"/>
      <c r="O328" s="102" t="n"/>
      <c r="P328" s="103" t="n"/>
      <c r="Q328" s="103" t="n"/>
      <c r="R328" s="104" t="n"/>
      <c r="S328" s="102" t="n"/>
      <c r="T328" s="103" t="n"/>
      <c r="U328" s="103" t="n"/>
      <c r="V328" s="104" t="n"/>
      <c r="W328" s="102" t="n"/>
      <c r="X328" s="104" t="n"/>
      <c r="Y328" s="102" t="n"/>
      <c r="Z328" s="104" t="n"/>
      <c r="AB328" s="105">
        <f>IF($B328="","",(COUNTIF(C308:E325,$B328)+COUNTIF(C308:E325,$B328&amp;" ~*")&gt;0)+(COUNTIF(G308:I325,$B328)+COUNTIF(G308:I325,$B328&amp;" ~*")&gt;0)+(COUNTIF(K308:M325,$B328)+COUNTIF(K308:M325,$B328&amp;" ~*")&gt;0)+(COUNTIF(O308:Q325,$B328)+COUNTIF(O308:Q325,$B328&amp;" ~*")&gt;0)+(COUNTIF(S308:U325,$B328)+COUNTIF(S308:U325,$B328&amp;" ~*")&gt;0)+(COUNTIF(W308:W325,$B328)+COUNTIF(W308:W325,$B328&amp;" ~*")&gt;0)+(COUNTIF(Y308:Y325,$B328)+COUNTIF(Y308:Y325,$B328&amp;" ~*")&gt;0))</f>
        <v/>
      </c>
      <c r="AC328" s="38">
        <f>IF($B328="","",(IFERROR(INDEX(Setup!$G$33:$G$40,MATCH(C328,Setup!$B$33:$B$40,0)),0)=1)*(COUNTIF(C308:E325,$B328)+COUNTIF(C308:E325,$B328&amp;" ~*")&gt;0)+(IFERROR(INDEX(Setup!$G$33:$G$40,MATCH(G328,Setup!$B$33:$B$40,0)),0)=1)*(COUNTIF(G308:I325,$B328)+COUNTIF(G308:I325,$B328&amp;" ~*")&gt;0)+(IFERROR(INDEX(Setup!$G$33:$G$40,MATCH(K328,Setup!$B$33:$B$40,0)),0)=1)*(COUNTIF(K308:M325,$B328)+COUNTIF(K308:M325,$B328&amp;" ~*")&gt;0)+(IFERROR(INDEX(Setup!$G$33:$G$40,MATCH(O328,Setup!$B$33:$B$40,0)),0)=1)*(COUNTIF(O308:Q325,$B328)+COUNTIF(O308:Q325,$B328&amp;" ~*")&gt;0)+(IFERROR(INDEX(Setup!$G$33:$G$40,MATCH(S328,Setup!$B$33:$B$40,0)),0)=1)*(COUNTIF(S308:U325,$B328)+COUNTIF(S308:U325,$B328&amp;" ~*")&gt;0)+(IFERROR(INDEX(Setup!$G$33:$G$40,MATCH(W328,Setup!$B$33:$B$40,0)),0)=1)*(COUNTIF(W308:W325,$B328)+COUNTIF(W308:W325,$B328&amp;" ~*")&gt;0)+(IFERROR(INDEX(Setup!$G$33:$G$40,MATCH(Y328,Setup!$B$33:$B$40,0)),0)=1)*(COUNTIF(Y308:Y325,$B328)+COUNTIF(Y308:Y325,$B328&amp;" ~*")&gt;0))</f>
        <v/>
      </c>
    </row>
    <row r="329" ht="15" customHeight="1">
      <c r="A329" t="n">
        <v>7</v>
      </c>
      <c r="B329" s="35">
        <f>IF(Setup!$B$8="","",Setup!$B$8)</f>
        <v/>
      </c>
      <c r="C329" s="98" t="n"/>
      <c r="D329" s="99" t="n"/>
      <c r="E329" s="99" t="n"/>
      <c r="F329" s="100" t="n"/>
      <c r="G329" s="98" t="n"/>
      <c r="H329" s="99" t="n"/>
      <c r="I329" s="99" t="n"/>
      <c r="J329" s="100" t="n"/>
      <c r="K329" s="98" t="n"/>
      <c r="L329" s="99" t="n"/>
      <c r="M329" s="99" t="n"/>
      <c r="N329" s="100" t="n"/>
      <c r="O329" s="98" t="n"/>
      <c r="P329" s="99" t="n"/>
      <c r="Q329" s="99" t="n"/>
      <c r="R329" s="100" t="n"/>
      <c r="S329" s="98" t="n"/>
      <c r="T329" s="99" t="n"/>
      <c r="U329" s="99" t="n"/>
      <c r="V329" s="100" t="n"/>
      <c r="W329" s="98" t="n"/>
      <c r="X329" s="100" t="n"/>
      <c r="Y329" s="98" t="n"/>
      <c r="Z329" s="100" t="n"/>
      <c r="AB329" s="101">
        <f>IF($B329="","",(COUNTIF(C308:E325,$B329)+COUNTIF(C308:E325,$B329&amp;" ~*")&gt;0)+(COUNTIF(G308:I325,$B329)+COUNTIF(G308:I325,$B329&amp;" ~*")&gt;0)+(COUNTIF(K308:M325,$B329)+COUNTIF(K308:M325,$B329&amp;" ~*")&gt;0)+(COUNTIF(O308:Q325,$B329)+COUNTIF(O308:Q325,$B329&amp;" ~*")&gt;0)+(COUNTIF(S308:U325,$B329)+COUNTIF(S308:U325,$B329&amp;" ~*")&gt;0)+(COUNTIF(W308:W325,$B329)+COUNTIF(W308:W325,$B329&amp;" ~*")&gt;0)+(COUNTIF(Y308:Y325,$B329)+COUNTIF(Y308:Y325,$B329&amp;" ~*")&gt;0))</f>
        <v/>
      </c>
      <c r="AC329" s="36">
        <f>IF($B329="","",(IFERROR(INDEX(Setup!$G$33:$G$40,MATCH(C329,Setup!$B$33:$B$40,0)),0)=1)*(COUNTIF(C308:E325,$B329)+COUNTIF(C308:E325,$B329&amp;" ~*")&gt;0)+(IFERROR(INDEX(Setup!$G$33:$G$40,MATCH(G329,Setup!$B$33:$B$40,0)),0)=1)*(COUNTIF(G308:I325,$B329)+COUNTIF(G308:I325,$B329&amp;" ~*")&gt;0)+(IFERROR(INDEX(Setup!$G$33:$G$40,MATCH(K329,Setup!$B$33:$B$40,0)),0)=1)*(COUNTIF(K308:M325,$B329)+COUNTIF(K308:M325,$B329&amp;" ~*")&gt;0)+(IFERROR(INDEX(Setup!$G$33:$G$40,MATCH(O329,Setup!$B$33:$B$40,0)),0)=1)*(COUNTIF(O308:Q325,$B329)+COUNTIF(O308:Q325,$B329&amp;" ~*")&gt;0)+(IFERROR(INDEX(Setup!$G$33:$G$40,MATCH(S329,Setup!$B$33:$B$40,0)),0)=1)*(COUNTIF(S308:U325,$B329)+COUNTIF(S308:U325,$B329&amp;" ~*")&gt;0)+(IFERROR(INDEX(Setup!$G$33:$G$40,MATCH(W329,Setup!$B$33:$B$40,0)),0)=1)*(COUNTIF(W308:W325,$B329)+COUNTIF(W308:W325,$B329&amp;" ~*")&gt;0)+(IFERROR(INDEX(Setup!$G$33:$G$40,MATCH(Y329,Setup!$B$33:$B$40,0)),0)=1)*(COUNTIF(Y308:Y325,$B329)+COUNTIF(Y308:Y325,$B329&amp;" ~*")&gt;0))</f>
        <v/>
      </c>
    </row>
    <row r="330" ht="15" customHeight="1">
      <c r="A330" t="n">
        <v>7</v>
      </c>
      <c r="B330" s="37">
        <f>IF(Setup!$B$9="","",Setup!$B$9)</f>
        <v/>
      </c>
      <c r="C330" s="102" t="n"/>
      <c r="D330" s="103" t="n"/>
      <c r="E330" s="103" t="n"/>
      <c r="F330" s="104" t="n"/>
      <c r="G330" s="102" t="n"/>
      <c r="H330" s="103" t="n"/>
      <c r="I330" s="103" t="n"/>
      <c r="J330" s="104" t="n"/>
      <c r="K330" s="102" t="n"/>
      <c r="L330" s="103" t="n"/>
      <c r="M330" s="103" t="n"/>
      <c r="N330" s="104" t="n"/>
      <c r="O330" s="102" t="n"/>
      <c r="P330" s="103" t="n"/>
      <c r="Q330" s="103" t="n"/>
      <c r="R330" s="104" t="n"/>
      <c r="S330" s="102" t="n"/>
      <c r="T330" s="103" t="n"/>
      <c r="U330" s="103" t="n"/>
      <c r="V330" s="104" t="n"/>
      <c r="W330" s="102" t="n"/>
      <c r="X330" s="104" t="n"/>
      <c r="Y330" s="102" t="n"/>
      <c r="Z330" s="104" t="n"/>
      <c r="AB330" s="105">
        <f>IF($B330="","",(COUNTIF(C308:E325,$B330)+COUNTIF(C308:E325,$B330&amp;" ~*")&gt;0)+(COUNTIF(G308:I325,$B330)+COUNTIF(G308:I325,$B330&amp;" ~*")&gt;0)+(COUNTIF(K308:M325,$B330)+COUNTIF(K308:M325,$B330&amp;" ~*")&gt;0)+(COUNTIF(O308:Q325,$B330)+COUNTIF(O308:Q325,$B330&amp;" ~*")&gt;0)+(COUNTIF(S308:U325,$B330)+COUNTIF(S308:U325,$B330&amp;" ~*")&gt;0)+(COUNTIF(W308:W325,$B330)+COUNTIF(W308:W325,$B330&amp;" ~*")&gt;0)+(COUNTIF(Y308:Y325,$B330)+COUNTIF(Y308:Y325,$B330&amp;" ~*")&gt;0))</f>
        <v/>
      </c>
      <c r="AC330" s="38">
        <f>IF($B330="","",(IFERROR(INDEX(Setup!$G$33:$G$40,MATCH(C330,Setup!$B$33:$B$40,0)),0)=1)*(COUNTIF(C308:E325,$B330)+COUNTIF(C308:E325,$B330&amp;" ~*")&gt;0)+(IFERROR(INDEX(Setup!$G$33:$G$40,MATCH(G330,Setup!$B$33:$B$40,0)),0)=1)*(COUNTIF(G308:I325,$B330)+COUNTIF(G308:I325,$B330&amp;" ~*")&gt;0)+(IFERROR(INDEX(Setup!$G$33:$G$40,MATCH(K330,Setup!$B$33:$B$40,0)),0)=1)*(COUNTIF(K308:M325,$B330)+COUNTIF(K308:M325,$B330&amp;" ~*")&gt;0)+(IFERROR(INDEX(Setup!$G$33:$G$40,MATCH(O330,Setup!$B$33:$B$40,0)),0)=1)*(COUNTIF(O308:Q325,$B330)+COUNTIF(O308:Q325,$B330&amp;" ~*")&gt;0)+(IFERROR(INDEX(Setup!$G$33:$G$40,MATCH(S330,Setup!$B$33:$B$40,0)),0)=1)*(COUNTIF(S308:U325,$B330)+COUNTIF(S308:U325,$B330&amp;" ~*")&gt;0)+(IFERROR(INDEX(Setup!$G$33:$G$40,MATCH(W330,Setup!$B$33:$B$40,0)),0)=1)*(COUNTIF(W308:W325,$B330)+COUNTIF(W308:W325,$B330&amp;" ~*")&gt;0)+(IFERROR(INDEX(Setup!$G$33:$G$40,MATCH(Y330,Setup!$B$33:$B$40,0)),0)=1)*(COUNTIF(Y308:Y325,$B330)+COUNTIF(Y308:Y325,$B330&amp;" ~*")&gt;0))</f>
        <v/>
      </c>
    </row>
    <row r="331" ht="15" customHeight="1">
      <c r="A331" t="n">
        <v>7</v>
      </c>
      <c r="B331" s="35">
        <f>IF(Setup!$B$10="","",Setup!$B$10)</f>
        <v/>
      </c>
      <c r="C331" s="98" t="n"/>
      <c r="D331" s="99" t="n"/>
      <c r="E331" s="99" t="n"/>
      <c r="F331" s="100" t="n"/>
      <c r="G331" s="98" t="n"/>
      <c r="H331" s="99" t="n"/>
      <c r="I331" s="99" t="n"/>
      <c r="J331" s="100" t="n"/>
      <c r="K331" s="98" t="n"/>
      <c r="L331" s="99" t="n"/>
      <c r="M331" s="99" t="n"/>
      <c r="N331" s="100" t="n"/>
      <c r="O331" s="98" t="n"/>
      <c r="P331" s="99" t="n"/>
      <c r="Q331" s="99" t="n"/>
      <c r="R331" s="100" t="n"/>
      <c r="S331" s="98" t="n"/>
      <c r="T331" s="99" t="n"/>
      <c r="U331" s="99" t="n"/>
      <c r="V331" s="100" t="n"/>
      <c r="W331" s="98" t="n"/>
      <c r="X331" s="100" t="n"/>
      <c r="Y331" s="98" t="n"/>
      <c r="Z331" s="100" t="n"/>
      <c r="AB331" s="101">
        <f>IF($B331="","",(COUNTIF(C308:E325,$B331)+COUNTIF(C308:E325,$B331&amp;" ~*")&gt;0)+(COUNTIF(G308:I325,$B331)+COUNTIF(G308:I325,$B331&amp;" ~*")&gt;0)+(COUNTIF(K308:M325,$B331)+COUNTIF(K308:M325,$B331&amp;" ~*")&gt;0)+(COUNTIF(O308:Q325,$B331)+COUNTIF(O308:Q325,$B331&amp;" ~*")&gt;0)+(COUNTIF(S308:U325,$B331)+COUNTIF(S308:U325,$B331&amp;" ~*")&gt;0)+(COUNTIF(W308:W325,$B331)+COUNTIF(W308:W325,$B331&amp;" ~*")&gt;0)+(COUNTIF(Y308:Y325,$B331)+COUNTIF(Y308:Y325,$B331&amp;" ~*")&gt;0))</f>
        <v/>
      </c>
      <c r="AC331" s="36">
        <f>IF($B331="","",(IFERROR(INDEX(Setup!$G$33:$G$40,MATCH(C331,Setup!$B$33:$B$40,0)),0)=1)*(COUNTIF(C308:E325,$B331)+COUNTIF(C308:E325,$B331&amp;" ~*")&gt;0)+(IFERROR(INDEX(Setup!$G$33:$G$40,MATCH(G331,Setup!$B$33:$B$40,0)),0)=1)*(COUNTIF(G308:I325,$B331)+COUNTIF(G308:I325,$B331&amp;" ~*")&gt;0)+(IFERROR(INDEX(Setup!$G$33:$G$40,MATCH(K331,Setup!$B$33:$B$40,0)),0)=1)*(COUNTIF(K308:M325,$B331)+COUNTIF(K308:M325,$B331&amp;" ~*")&gt;0)+(IFERROR(INDEX(Setup!$G$33:$G$40,MATCH(O331,Setup!$B$33:$B$40,0)),0)=1)*(COUNTIF(O308:Q325,$B331)+COUNTIF(O308:Q325,$B331&amp;" ~*")&gt;0)+(IFERROR(INDEX(Setup!$G$33:$G$40,MATCH(S331,Setup!$B$33:$B$40,0)),0)=1)*(COUNTIF(S308:U325,$B331)+COUNTIF(S308:U325,$B331&amp;" ~*")&gt;0)+(IFERROR(INDEX(Setup!$G$33:$G$40,MATCH(W331,Setup!$B$33:$B$40,0)),0)=1)*(COUNTIF(W308:W325,$B331)+COUNTIF(W308:W325,$B331&amp;" ~*")&gt;0)+(IFERROR(INDEX(Setup!$G$33:$G$40,MATCH(Y331,Setup!$B$33:$B$40,0)),0)=1)*(COUNTIF(Y308:Y325,$B331)+COUNTIF(Y308:Y325,$B331&amp;" ~*")&gt;0))</f>
        <v/>
      </c>
    </row>
    <row r="332" ht="15" customHeight="1">
      <c r="A332" t="n">
        <v>7</v>
      </c>
      <c r="B332" s="37">
        <f>IF(Setup!$B$11="","",Setup!$B$11)</f>
        <v/>
      </c>
      <c r="C332" s="102" t="n"/>
      <c r="D332" s="103" t="n"/>
      <c r="E332" s="103" t="n"/>
      <c r="F332" s="104" t="n"/>
      <c r="G332" s="102" t="n"/>
      <c r="H332" s="103" t="n"/>
      <c r="I332" s="103" t="n"/>
      <c r="J332" s="104" t="n"/>
      <c r="K332" s="102" t="n"/>
      <c r="L332" s="103" t="n"/>
      <c r="M332" s="103" t="n"/>
      <c r="N332" s="104" t="n"/>
      <c r="O332" s="102" t="n"/>
      <c r="P332" s="103" t="n"/>
      <c r="Q332" s="103" t="n"/>
      <c r="R332" s="104" t="n"/>
      <c r="S332" s="102" t="n"/>
      <c r="T332" s="103" t="n"/>
      <c r="U332" s="103" t="n"/>
      <c r="V332" s="104" t="n"/>
      <c r="W332" s="102" t="n"/>
      <c r="X332" s="104" t="n"/>
      <c r="Y332" s="102" t="n"/>
      <c r="Z332" s="104" t="n"/>
      <c r="AB332" s="105">
        <f>IF($B332="","",(COUNTIF(C308:E325,$B332)+COUNTIF(C308:E325,$B332&amp;" ~*")&gt;0)+(COUNTIF(G308:I325,$B332)+COUNTIF(G308:I325,$B332&amp;" ~*")&gt;0)+(COUNTIF(K308:M325,$B332)+COUNTIF(K308:M325,$B332&amp;" ~*")&gt;0)+(COUNTIF(O308:Q325,$B332)+COUNTIF(O308:Q325,$B332&amp;" ~*")&gt;0)+(COUNTIF(S308:U325,$B332)+COUNTIF(S308:U325,$B332&amp;" ~*")&gt;0)+(COUNTIF(W308:W325,$B332)+COUNTIF(W308:W325,$B332&amp;" ~*")&gt;0)+(COUNTIF(Y308:Y325,$B332)+COUNTIF(Y308:Y325,$B332&amp;" ~*")&gt;0))</f>
        <v/>
      </c>
      <c r="AC332" s="38">
        <f>IF($B332="","",(IFERROR(INDEX(Setup!$G$33:$G$40,MATCH(C332,Setup!$B$33:$B$40,0)),0)=1)*(COUNTIF(C308:E325,$B332)+COUNTIF(C308:E325,$B332&amp;" ~*")&gt;0)+(IFERROR(INDEX(Setup!$G$33:$G$40,MATCH(G332,Setup!$B$33:$B$40,0)),0)=1)*(COUNTIF(G308:I325,$B332)+COUNTIF(G308:I325,$B332&amp;" ~*")&gt;0)+(IFERROR(INDEX(Setup!$G$33:$G$40,MATCH(K332,Setup!$B$33:$B$40,0)),0)=1)*(COUNTIF(K308:M325,$B332)+COUNTIF(K308:M325,$B332&amp;" ~*")&gt;0)+(IFERROR(INDEX(Setup!$G$33:$G$40,MATCH(O332,Setup!$B$33:$B$40,0)),0)=1)*(COUNTIF(O308:Q325,$B332)+COUNTIF(O308:Q325,$B332&amp;" ~*")&gt;0)+(IFERROR(INDEX(Setup!$G$33:$G$40,MATCH(S332,Setup!$B$33:$B$40,0)),0)=1)*(COUNTIF(S308:U325,$B332)+COUNTIF(S308:U325,$B332&amp;" ~*")&gt;0)+(IFERROR(INDEX(Setup!$G$33:$G$40,MATCH(W332,Setup!$B$33:$B$40,0)),0)=1)*(COUNTIF(W308:W325,$B332)+COUNTIF(W308:W325,$B332&amp;" ~*")&gt;0)+(IFERROR(INDEX(Setup!$G$33:$G$40,MATCH(Y332,Setup!$B$33:$B$40,0)),0)=1)*(COUNTIF(Y308:Y325,$B332)+COUNTIF(Y308:Y325,$B332&amp;" ~*")&gt;0))</f>
        <v/>
      </c>
    </row>
    <row r="333" ht="15" customHeight="1">
      <c r="A333" t="n">
        <v>7</v>
      </c>
      <c r="B333" s="35">
        <f>IF(Setup!$B$12="","",Setup!$B$12)</f>
        <v/>
      </c>
      <c r="C333" s="98" t="inlineStr">
        <is>
          <t>AL</t>
        </is>
      </c>
      <c r="D333" s="99" t="n"/>
      <c r="E333" s="99" t="n"/>
      <c r="F333" s="100" t="n"/>
      <c r="G333" s="98" t="n"/>
      <c r="H333" s="99" t="n"/>
      <c r="I333" s="99" t="n"/>
      <c r="J333" s="100" t="n"/>
      <c r="K333" s="98" t="n"/>
      <c r="L333" s="99" t="n"/>
      <c r="M333" s="99" t="n"/>
      <c r="N333" s="100" t="n"/>
      <c r="O333" s="98" t="inlineStr">
        <is>
          <t>AL</t>
        </is>
      </c>
      <c r="P333" s="99" t="n"/>
      <c r="Q333" s="99" t="n"/>
      <c r="R333" s="100" t="n"/>
      <c r="S333" s="98" t="n"/>
      <c r="T333" s="99" t="n"/>
      <c r="U333" s="99" t="n"/>
      <c r="V333" s="100" t="n"/>
      <c r="W333" s="98" t="n"/>
      <c r="X333" s="100" t="n"/>
      <c r="Y333" s="98" t="n"/>
      <c r="Z333" s="100" t="n"/>
      <c r="AB333" s="101">
        <f>IF($B333="","",(COUNTIF(C308:E325,$B333)+COUNTIF(C308:E325,$B333&amp;" ~*")&gt;0)+(COUNTIF(G308:I325,$B333)+COUNTIF(G308:I325,$B333&amp;" ~*")&gt;0)+(COUNTIF(K308:M325,$B333)+COUNTIF(K308:M325,$B333&amp;" ~*")&gt;0)+(COUNTIF(O308:Q325,$B333)+COUNTIF(O308:Q325,$B333&amp;" ~*")&gt;0)+(COUNTIF(S308:U325,$B333)+COUNTIF(S308:U325,$B333&amp;" ~*")&gt;0)+(COUNTIF(W308:W325,$B333)+COUNTIF(W308:W325,$B333&amp;" ~*")&gt;0)+(COUNTIF(Y308:Y325,$B333)+COUNTIF(Y308:Y325,$B333&amp;" ~*")&gt;0))</f>
        <v/>
      </c>
      <c r="AC333" s="36">
        <f>IF($B333="","",(IFERROR(INDEX(Setup!$G$33:$G$40,MATCH(C333,Setup!$B$33:$B$40,0)),0)=1)*(COUNTIF(C308:E325,$B333)+COUNTIF(C308:E325,$B333&amp;" ~*")&gt;0)+(IFERROR(INDEX(Setup!$G$33:$G$40,MATCH(G333,Setup!$B$33:$B$40,0)),0)=1)*(COUNTIF(G308:I325,$B333)+COUNTIF(G308:I325,$B333&amp;" ~*")&gt;0)+(IFERROR(INDEX(Setup!$G$33:$G$40,MATCH(K333,Setup!$B$33:$B$40,0)),0)=1)*(COUNTIF(K308:M325,$B333)+COUNTIF(K308:M325,$B333&amp;" ~*")&gt;0)+(IFERROR(INDEX(Setup!$G$33:$G$40,MATCH(O333,Setup!$B$33:$B$40,0)),0)=1)*(COUNTIF(O308:Q325,$B333)+COUNTIF(O308:Q325,$B333&amp;" ~*")&gt;0)+(IFERROR(INDEX(Setup!$G$33:$G$40,MATCH(S333,Setup!$B$33:$B$40,0)),0)=1)*(COUNTIF(S308:U325,$B333)+COUNTIF(S308:U325,$B333&amp;" ~*")&gt;0)+(IFERROR(INDEX(Setup!$G$33:$G$40,MATCH(W333,Setup!$B$33:$B$40,0)),0)=1)*(COUNTIF(W308:W325,$B333)+COUNTIF(W308:W325,$B333&amp;" ~*")&gt;0)+(IFERROR(INDEX(Setup!$G$33:$G$40,MATCH(Y333,Setup!$B$33:$B$40,0)),0)=1)*(COUNTIF(Y308:Y325,$B333)+COUNTIF(Y308:Y325,$B333&amp;" ~*")&gt;0))</f>
        <v/>
      </c>
    </row>
    <row r="334" ht="15" customHeight="1">
      <c r="A334" t="n">
        <v>7</v>
      </c>
      <c r="B334" s="37">
        <f>IF(Setup!$B$13="","",Setup!$B$13)</f>
        <v/>
      </c>
      <c r="C334" s="102" t="n"/>
      <c r="D334" s="103" t="n"/>
      <c r="E334" s="103" t="n"/>
      <c r="F334" s="104" t="n"/>
      <c r="G334" s="102" t="n"/>
      <c r="H334" s="103" t="n"/>
      <c r="I334" s="103" t="n"/>
      <c r="J334" s="104" t="n"/>
      <c r="K334" s="102" t="n"/>
      <c r="L334" s="103" t="n"/>
      <c r="M334" s="103" t="n"/>
      <c r="N334" s="104" t="n"/>
      <c r="O334" s="102" t="n"/>
      <c r="P334" s="103" t="n"/>
      <c r="Q334" s="103" t="n"/>
      <c r="R334" s="104" t="n"/>
      <c r="S334" s="102" t="n"/>
      <c r="T334" s="103" t="n"/>
      <c r="U334" s="103" t="n"/>
      <c r="V334" s="104" t="n"/>
      <c r="W334" s="102" t="n"/>
      <c r="X334" s="104" t="n"/>
      <c r="Y334" s="102" t="n"/>
      <c r="Z334" s="104" t="n"/>
      <c r="AB334" s="105">
        <f>IF($B334="","",(COUNTIF(C308:E325,$B334)+COUNTIF(C308:E325,$B334&amp;" ~*")&gt;0)+(COUNTIF(G308:I325,$B334)+COUNTIF(G308:I325,$B334&amp;" ~*")&gt;0)+(COUNTIF(K308:M325,$B334)+COUNTIF(K308:M325,$B334&amp;" ~*")&gt;0)+(COUNTIF(O308:Q325,$B334)+COUNTIF(O308:Q325,$B334&amp;" ~*")&gt;0)+(COUNTIF(S308:U325,$B334)+COUNTIF(S308:U325,$B334&amp;" ~*")&gt;0)+(COUNTIF(W308:W325,$B334)+COUNTIF(W308:W325,$B334&amp;" ~*")&gt;0)+(COUNTIF(Y308:Y325,$B334)+COUNTIF(Y308:Y325,$B334&amp;" ~*")&gt;0))</f>
        <v/>
      </c>
      <c r="AC334" s="38">
        <f>IF($B334="","",(IFERROR(INDEX(Setup!$G$33:$G$40,MATCH(C334,Setup!$B$33:$B$40,0)),0)=1)*(COUNTIF(C308:E325,$B334)+COUNTIF(C308:E325,$B334&amp;" ~*")&gt;0)+(IFERROR(INDEX(Setup!$G$33:$G$40,MATCH(G334,Setup!$B$33:$B$40,0)),0)=1)*(COUNTIF(G308:I325,$B334)+COUNTIF(G308:I325,$B334&amp;" ~*")&gt;0)+(IFERROR(INDEX(Setup!$G$33:$G$40,MATCH(K334,Setup!$B$33:$B$40,0)),0)=1)*(COUNTIF(K308:M325,$B334)+COUNTIF(K308:M325,$B334&amp;" ~*")&gt;0)+(IFERROR(INDEX(Setup!$G$33:$G$40,MATCH(O334,Setup!$B$33:$B$40,0)),0)=1)*(COUNTIF(O308:Q325,$B334)+COUNTIF(O308:Q325,$B334&amp;" ~*")&gt;0)+(IFERROR(INDEX(Setup!$G$33:$G$40,MATCH(S334,Setup!$B$33:$B$40,0)),0)=1)*(COUNTIF(S308:U325,$B334)+COUNTIF(S308:U325,$B334&amp;" ~*")&gt;0)+(IFERROR(INDEX(Setup!$G$33:$G$40,MATCH(W334,Setup!$B$33:$B$40,0)),0)=1)*(COUNTIF(W308:W325,$B334)+COUNTIF(W308:W325,$B334&amp;" ~*")&gt;0)+(IFERROR(INDEX(Setup!$G$33:$G$40,MATCH(Y334,Setup!$B$33:$B$40,0)),0)=1)*(COUNTIF(Y308:Y325,$B334)+COUNTIF(Y308:Y325,$B334&amp;" ~*")&gt;0))</f>
        <v/>
      </c>
    </row>
    <row r="335" ht="15" customHeight="1">
      <c r="A335" t="n">
        <v>7</v>
      </c>
      <c r="B335" s="35">
        <f>IF(Setup!$B$14="","",Setup!$B$14)</f>
        <v/>
      </c>
      <c r="C335" s="98" t="n"/>
      <c r="D335" s="99" t="n"/>
      <c r="E335" s="99" t="n"/>
      <c r="F335" s="100" t="n"/>
      <c r="G335" s="98" t="n"/>
      <c r="H335" s="99" t="n"/>
      <c r="I335" s="99" t="n"/>
      <c r="J335" s="100" t="n"/>
      <c r="K335" s="98" t="n"/>
      <c r="L335" s="99" t="n"/>
      <c r="M335" s="99" t="n"/>
      <c r="N335" s="100" t="n"/>
      <c r="O335" s="98" t="n"/>
      <c r="P335" s="99" t="n"/>
      <c r="Q335" s="99" t="n"/>
      <c r="R335" s="100" t="n"/>
      <c r="S335" s="98" t="n"/>
      <c r="T335" s="99" t="n"/>
      <c r="U335" s="99" t="n"/>
      <c r="V335" s="100" t="n"/>
      <c r="W335" s="98" t="n"/>
      <c r="X335" s="100" t="n"/>
      <c r="Y335" s="98" t="n"/>
      <c r="Z335" s="100" t="n"/>
      <c r="AB335" s="101">
        <f>IF($B335="","",(COUNTIF(C308:E325,$B335)+COUNTIF(C308:E325,$B335&amp;" ~*")&gt;0)+(COUNTIF(G308:I325,$B335)+COUNTIF(G308:I325,$B335&amp;" ~*")&gt;0)+(COUNTIF(K308:M325,$B335)+COUNTIF(K308:M325,$B335&amp;" ~*")&gt;0)+(COUNTIF(O308:Q325,$B335)+COUNTIF(O308:Q325,$B335&amp;" ~*")&gt;0)+(COUNTIF(S308:U325,$B335)+COUNTIF(S308:U325,$B335&amp;" ~*")&gt;0)+(COUNTIF(W308:W325,$B335)+COUNTIF(W308:W325,$B335&amp;" ~*")&gt;0)+(COUNTIF(Y308:Y325,$B335)+COUNTIF(Y308:Y325,$B335&amp;" ~*")&gt;0))</f>
        <v/>
      </c>
      <c r="AC335" s="36">
        <f>IF($B335="","",(IFERROR(INDEX(Setup!$G$33:$G$40,MATCH(C335,Setup!$B$33:$B$40,0)),0)=1)*(COUNTIF(C308:E325,$B335)+COUNTIF(C308:E325,$B335&amp;" ~*")&gt;0)+(IFERROR(INDEX(Setup!$G$33:$G$40,MATCH(G335,Setup!$B$33:$B$40,0)),0)=1)*(COUNTIF(G308:I325,$B335)+COUNTIF(G308:I325,$B335&amp;" ~*")&gt;0)+(IFERROR(INDEX(Setup!$G$33:$G$40,MATCH(K335,Setup!$B$33:$B$40,0)),0)=1)*(COUNTIF(K308:M325,$B335)+COUNTIF(K308:M325,$B335&amp;" ~*")&gt;0)+(IFERROR(INDEX(Setup!$G$33:$G$40,MATCH(O335,Setup!$B$33:$B$40,0)),0)=1)*(COUNTIF(O308:Q325,$B335)+COUNTIF(O308:Q325,$B335&amp;" ~*")&gt;0)+(IFERROR(INDEX(Setup!$G$33:$G$40,MATCH(S335,Setup!$B$33:$B$40,0)),0)=1)*(COUNTIF(S308:U325,$B335)+COUNTIF(S308:U325,$B335&amp;" ~*")&gt;0)+(IFERROR(INDEX(Setup!$G$33:$G$40,MATCH(W335,Setup!$B$33:$B$40,0)),0)=1)*(COUNTIF(W308:W325,$B335)+COUNTIF(W308:W325,$B335&amp;" ~*")&gt;0)+(IFERROR(INDEX(Setup!$G$33:$G$40,MATCH(Y335,Setup!$B$33:$B$40,0)),0)=1)*(COUNTIF(Y308:Y325,$B335)+COUNTIF(Y308:Y325,$B335&amp;" ~*")&gt;0))</f>
        <v/>
      </c>
    </row>
    <row r="336" ht="15" customHeight="1">
      <c r="A336" t="n">
        <v>7</v>
      </c>
      <c r="B336" s="37">
        <f>IF(Setup!$B$15="","",Setup!$B$15)</f>
        <v/>
      </c>
      <c r="C336" s="102" t="inlineStr">
        <is>
          <t>AL</t>
        </is>
      </c>
      <c r="D336" s="103" t="n"/>
      <c r="E336" s="103" t="n"/>
      <c r="F336" s="104" t="n"/>
      <c r="G336" s="102" t="inlineStr">
        <is>
          <t>AL</t>
        </is>
      </c>
      <c r="H336" s="103" t="n"/>
      <c r="I336" s="103" t="n"/>
      <c r="J336" s="104" t="n"/>
      <c r="K336" s="102" t="inlineStr">
        <is>
          <t>AL</t>
        </is>
      </c>
      <c r="L336" s="103" t="n"/>
      <c r="M336" s="103" t="n"/>
      <c r="N336" s="104" t="n"/>
      <c r="O336" s="102" t="n"/>
      <c r="P336" s="103" t="n"/>
      <c r="Q336" s="103" t="n"/>
      <c r="R336" s="104" t="n"/>
      <c r="S336" s="102" t="n"/>
      <c r="T336" s="103" t="n"/>
      <c r="U336" s="103" t="n"/>
      <c r="V336" s="104" t="n"/>
      <c r="W336" s="102" t="n"/>
      <c r="X336" s="104" t="n"/>
      <c r="Y336" s="102" t="n"/>
      <c r="Z336" s="104" t="n"/>
      <c r="AB336" s="105">
        <f>IF($B336="","",(COUNTIF(C308:E325,$B336)+COUNTIF(C308:E325,$B336&amp;" ~*")&gt;0)+(COUNTIF(G308:I325,$B336)+COUNTIF(G308:I325,$B336&amp;" ~*")&gt;0)+(COUNTIF(K308:M325,$B336)+COUNTIF(K308:M325,$B336&amp;" ~*")&gt;0)+(COUNTIF(O308:Q325,$B336)+COUNTIF(O308:Q325,$B336&amp;" ~*")&gt;0)+(COUNTIF(S308:U325,$B336)+COUNTIF(S308:U325,$B336&amp;" ~*")&gt;0)+(COUNTIF(W308:W325,$B336)+COUNTIF(W308:W325,$B336&amp;" ~*")&gt;0)+(COUNTIF(Y308:Y325,$B336)+COUNTIF(Y308:Y325,$B336&amp;" ~*")&gt;0))</f>
        <v/>
      </c>
      <c r="AC336" s="38">
        <f>IF($B336="","",(IFERROR(INDEX(Setup!$G$33:$G$40,MATCH(C336,Setup!$B$33:$B$40,0)),0)=1)*(COUNTIF(C308:E325,$B336)+COUNTIF(C308:E325,$B336&amp;" ~*")&gt;0)+(IFERROR(INDEX(Setup!$G$33:$G$40,MATCH(G336,Setup!$B$33:$B$40,0)),0)=1)*(COUNTIF(G308:I325,$B336)+COUNTIF(G308:I325,$B336&amp;" ~*")&gt;0)+(IFERROR(INDEX(Setup!$G$33:$G$40,MATCH(K336,Setup!$B$33:$B$40,0)),0)=1)*(COUNTIF(K308:M325,$B336)+COUNTIF(K308:M325,$B336&amp;" ~*")&gt;0)+(IFERROR(INDEX(Setup!$G$33:$G$40,MATCH(O336,Setup!$B$33:$B$40,0)),0)=1)*(COUNTIF(O308:Q325,$B336)+COUNTIF(O308:Q325,$B336&amp;" ~*")&gt;0)+(IFERROR(INDEX(Setup!$G$33:$G$40,MATCH(S336,Setup!$B$33:$B$40,0)),0)=1)*(COUNTIF(S308:U325,$B336)+COUNTIF(S308:U325,$B336&amp;" ~*")&gt;0)+(IFERROR(INDEX(Setup!$G$33:$G$40,MATCH(W336,Setup!$B$33:$B$40,0)),0)=1)*(COUNTIF(W308:W325,$B336)+COUNTIF(W308:W325,$B336&amp;" ~*")&gt;0)+(IFERROR(INDEX(Setup!$G$33:$G$40,MATCH(Y336,Setup!$B$33:$B$40,0)),0)=1)*(COUNTIF(Y308:Y325,$B336)+COUNTIF(Y308:Y325,$B336&amp;" ~*")&gt;0))</f>
        <v/>
      </c>
    </row>
    <row r="337" ht="15" customHeight="1">
      <c r="A337" t="n">
        <v>7</v>
      </c>
      <c r="B337" s="35">
        <f>IF(Setup!$B$16="","",Setup!$B$16)</f>
        <v/>
      </c>
      <c r="C337" s="98" t="n"/>
      <c r="D337" s="99" t="n"/>
      <c r="E337" s="99" t="n"/>
      <c r="F337" s="100" t="n"/>
      <c r="G337" s="98" t="n"/>
      <c r="H337" s="99" t="n"/>
      <c r="I337" s="99" t="n"/>
      <c r="J337" s="100" t="n"/>
      <c r="K337" s="98" t="n"/>
      <c r="L337" s="99" t="n"/>
      <c r="M337" s="99" t="n"/>
      <c r="N337" s="100" t="n"/>
      <c r="O337" s="98" t="n"/>
      <c r="P337" s="99" t="n"/>
      <c r="Q337" s="99" t="n"/>
      <c r="R337" s="100" t="n"/>
      <c r="S337" s="98" t="n"/>
      <c r="T337" s="99" t="n"/>
      <c r="U337" s="99" t="n"/>
      <c r="V337" s="100" t="n"/>
      <c r="W337" s="98" t="n"/>
      <c r="X337" s="100" t="n"/>
      <c r="Y337" s="98" t="n"/>
      <c r="Z337" s="100" t="n"/>
      <c r="AB337" s="101">
        <f>IF($B337="","",(COUNTIF(C308:E325,$B337)+COUNTIF(C308:E325,$B337&amp;" ~*")&gt;0)+(COUNTIF(G308:I325,$B337)+COUNTIF(G308:I325,$B337&amp;" ~*")&gt;0)+(COUNTIF(K308:M325,$B337)+COUNTIF(K308:M325,$B337&amp;" ~*")&gt;0)+(COUNTIF(O308:Q325,$B337)+COUNTIF(O308:Q325,$B337&amp;" ~*")&gt;0)+(COUNTIF(S308:U325,$B337)+COUNTIF(S308:U325,$B337&amp;" ~*")&gt;0)+(COUNTIF(W308:W325,$B337)+COUNTIF(W308:W325,$B337&amp;" ~*")&gt;0)+(COUNTIF(Y308:Y325,$B337)+COUNTIF(Y308:Y325,$B337&amp;" ~*")&gt;0))</f>
        <v/>
      </c>
      <c r="AC337" s="36">
        <f>IF($B337="","",(IFERROR(INDEX(Setup!$G$33:$G$40,MATCH(C337,Setup!$B$33:$B$40,0)),0)=1)*(COUNTIF(C308:E325,$B337)+COUNTIF(C308:E325,$B337&amp;" ~*")&gt;0)+(IFERROR(INDEX(Setup!$G$33:$G$40,MATCH(G337,Setup!$B$33:$B$40,0)),0)=1)*(COUNTIF(G308:I325,$B337)+COUNTIF(G308:I325,$B337&amp;" ~*")&gt;0)+(IFERROR(INDEX(Setup!$G$33:$G$40,MATCH(K337,Setup!$B$33:$B$40,0)),0)=1)*(COUNTIF(K308:M325,$B337)+COUNTIF(K308:M325,$B337&amp;" ~*")&gt;0)+(IFERROR(INDEX(Setup!$G$33:$G$40,MATCH(O337,Setup!$B$33:$B$40,0)),0)=1)*(COUNTIF(O308:Q325,$B337)+COUNTIF(O308:Q325,$B337&amp;" ~*")&gt;0)+(IFERROR(INDEX(Setup!$G$33:$G$40,MATCH(S337,Setup!$B$33:$B$40,0)),0)=1)*(COUNTIF(S308:U325,$B337)+COUNTIF(S308:U325,$B337&amp;" ~*")&gt;0)+(IFERROR(INDEX(Setup!$G$33:$G$40,MATCH(W337,Setup!$B$33:$B$40,0)),0)=1)*(COUNTIF(W308:W325,$B337)+COUNTIF(W308:W325,$B337&amp;" ~*")&gt;0)+(IFERROR(INDEX(Setup!$G$33:$G$40,MATCH(Y337,Setup!$B$33:$B$40,0)),0)=1)*(COUNTIF(Y308:Y325,$B337)+COUNTIF(Y308:Y325,$B337&amp;" ~*")&gt;0))</f>
        <v/>
      </c>
    </row>
    <row r="338" ht="15" customHeight="1">
      <c r="A338" t="n">
        <v>7</v>
      </c>
      <c r="B338" s="37">
        <f>IF(Setup!$B$17="","",Setup!$B$17)</f>
        <v/>
      </c>
      <c r="C338" s="102" t="n"/>
      <c r="D338" s="103" t="n"/>
      <c r="E338" s="103" t="n"/>
      <c r="F338" s="104" t="n"/>
      <c r="G338" s="102" t="n"/>
      <c r="H338" s="103" t="n"/>
      <c r="I338" s="103" t="n"/>
      <c r="J338" s="104" t="n"/>
      <c r="K338" s="102" t="n"/>
      <c r="L338" s="103" t="n"/>
      <c r="M338" s="103" t="n"/>
      <c r="N338" s="104" t="n"/>
      <c r="O338" s="102" t="n"/>
      <c r="P338" s="103" t="n"/>
      <c r="Q338" s="103" t="n"/>
      <c r="R338" s="104" t="n"/>
      <c r="S338" s="102" t="n"/>
      <c r="T338" s="103" t="n"/>
      <c r="U338" s="103" t="n"/>
      <c r="V338" s="104" t="n"/>
      <c r="W338" s="102" t="n"/>
      <c r="X338" s="104" t="n"/>
      <c r="Y338" s="102" t="n"/>
      <c r="Z338" s="104" t="n"/>
      <c r="AB338" s="105">
        <f>IF($B338="","",(COUNTIF(C308:E325,$B338)+COUNTIF(C308:E325,$B338&amp;" ~*")&gt;0)+(COUNTIF(G308:I325,$B338)+COUNTIF(G308:I325,$B338&amp;" ~*")&gt;0)+(COUNTIF(K308:M325,$B338)+COUNTIF(K308:M325,$B338&amp;" ~*")&gt;0)+(COUNTIF(O308:Q325,$B338)+COUNTIF(O308:Q325,$B338&amp;" ~*")&gt;0)+(COUNTIF(S308:U325,$B338)+COUNTIF(S308:U325,$B338&amp;" ~*")&gt;0)+(COUNTIF(W308:W325,$B338)+COUNTIF(W308:W325,$B338&amp;" ~*")&gt;0)+(COUNTIF(Y308:Y325,$B338)+COUNTIF(Y308:Y325,$B338&amp;" ~*")&gt;0))</f>
        <v/>
      </c>
      <c r="AC338" s="38">
        <f>IF($B338="","",(IFERROR(INDEX(Setup!$G$33:$G$40,MATCH(C338,Setup!$B$33:$B$40,0)),0)=1)*(COUNTIF(C308:E325,$B338)+COUNTIF(C308:E325,$B338&amp;" ~*")&gt;0)+(IFERROR(INDEX(Setup!$G$33:$G$40,MATCH(G338,Setup!$B$33:$B$40,0)),0)=1)*(COUNTIF(G308:I325,$B338)+COUNTIF(G308:I325,$B338&amp;" ~*")&gt;0)+(IFERROR(INDEX(Setup!$G$33:$G$40,MATCH(K338,Setup!$B$33:$B$40,0)),0)=1)*(COUNTIF(K308:M325,$B338)+COUNTIF(K308:M325,$B338&amp;" ~*")&gt;0)+(IFERROR(INDEX(Setup!$G$33:$G$40,MATCH(O338,Setup!$B$33:$B$40,0)),0)=1)*(COUNTIF(O308:Q325,$B338)+COUNTIF(O308:Q325,$B338&amp;" ~*")&gt;0)+(IFERROR(INDEX(Setup!$G$33:$G$40,MATCH(S338,Setup!$B$33:$B$40,0)),0)=1)*(COUNTIF(S308:U325,$B338)+COUNTIF(S308:U325,$B338&amp;" ~*")&gt;0)+(IFERROR(INDEX(Setup!$G$33:$G$40,MATCH(W338,Setup!$B$33:$B$40,0)),0)=1)*(COUNTIF(W308:W325,$B338)+COUNTIF(W308:W325,$B338&amp;" ~*")&gt;0)+(IFERROR(INDEX(Setup!$G$33:$G$40,MATCH(Y338,Setup!$B$33:$B$40,0)),0)=1)*(COUNTIF(Y308:Y325,$B338)+COUNTIF(Y308:Y325,$B338&amp;" ~*")&gt;0))</f>
        <v/>
      </c>
    </row>
    <row r="339" ht="15" customHeight="1">
      <c r="A339" t="n">
        <v>7</v>
      </c>
      <c r="B339" s="35">
        <f>IF(Setup!$B$18="","",Setup!$B$18)</f>
        <v/>
      </c>
      <c r="C339" s="98" t="n"/>
      <c r="D339" s="99" t="n"/>
      <c r="E339" s="99" t="n"/>
      <c r="F339" s="100" t="n"/>
      <c r="G339" s="98" t="n"/>
      <c r="H339" s="99" t="n"/>
      <c r="I339" s="99" t="n"/>
      <c r="J339" s="100" t="n"/>
      <c r="K339" s="98" t="n"/>
      <c r="L339" s="99" t="n"/>
      <c r="M339" s="99" t="n"/>
      <c r="N339" s="100" t="n"/>
      <c r="O339" s="98" t="n"/>
      <c r="P339" s="99" t="n"/>
      <c r="Q339" s="99" t="n"/>
      <c r="R339" s="100" t="n"/>
      <c r="S339" s="98" t="n"/>
      <c r="T339" s="99" t="n"/>
      <c r="U339" s="99" t="n"/>
      <c r="V339" s="100" t="n"/>
      <c r="W339" s="98" t="n"/>
      <c r="X339" s="100" t="n"/>
      <c r="Y339" s="98" t="n"/>
      <c r="Z339" s="100" t="n"/>
      <c r="AB339" s="101">
        <f>IF($B339="","",(COUNTIF(C308:E325,$B339)+COUNTIF(C308:E325,$B339&amp;" ~*")&gt;0)+(COUNTIF(G308:I325,$B339)+COUNTIF(G308:I325,$B339&amp;" ~*")&gt;0)+(COUNTIF(K308:M325,$B339)+COUNTIF(K308:M325,$B339&amp;" ~*")&gt;0)+(COUNTIF(O308:Q325,$B339)+COUNTIF(O308:Q325,$B339&amp;" ~*")&gt;0)+(COUNTIF(S308:U325,$B339)+COUNTIF(S308:U325,$B339&amp;" ~*")&gt;0)+(COUNTIF(W308:W325,$B339)+COUNTIF(W308:W325,$B339&amp;" ~*")&gt;0)+(COUNTIF(Y308:Y325,$B339)+COUNTIF(Y308:Y325,$B339&amp;" ~*")&gt;0))</f>
        <v/>
      </c>
      <c r="AC339" s="36">
        <f>IF($B339="","",(IFERROR(INDEX(Setup!$G$33:$G$40,MATCH(C339,Setup!$B$33:$B$40,0)),0)=1)*(COUNTIF(C308:E325,$B339)+COUNTIF(C308:E325,$B339&amp;" ~*")&gt;0)+(IFERROR(INDEX(Setup!$G$33:$G$40,MATCH(G339,Setup!$B$33:$B$40,0)),0)=1)*(COUNTIF(G308:I325,$B339)+COUNTIF(G308:I325,$B339&amp;" ~*")&gt;0)+(IFERROR(INDEX(Setup!$G$33:$G$40,MATCH(K339,Setup!$B$33:$B$40,0)),0)=1)*(COUNTIF(K308:M325,$B339)+COUNTIF(K308:M325,$B339&amp;" ~*")&gt;0)+(IFERROR(INDEX(Setup!$G$33:$G$40,MATCH(O339,Setup!$B$33:$B$40,0)),0)=1)*(COUNTIF(O308:Q325,$B339)+COUNTIF(O308:Q325,$B339&amp;" ~*")&gt;0)+(IFERROR(INDEX(Setup!$G$33:$G$40,MATCH(S339,Setup!$B$33:$B$40,0)),0)=1)*(COUNTIF(S308:U325,$B339)+COUNTIF(S308:U325,$B339&amp;" ~*")&gt;0)+(IFERROR(INDEX(Setup!$G$33:$G$40,MATCH(W339,Setup!$B$33:$B$40,0)),0)=1)*(COUNTIF(W308:W325,$B339)+COUNTIF(W308:W325,$B339&amp;" ~*")&gt;0)+(IFERROR(INDEX(Setup!$G$33:$G$40,MATCH(Y339,Setup!$B$33:$B$40,0)),0)=1)*(COUNTIF(Y308:Y325,$B339)+COUNTIF(Y308:Y325,$B339&amp;" ~*")&gt;0))</f>
        <v/>
      </c>
    </row>
    <row r="340" ht="15" customHeight="1">
      <c r="A340" t="n">
        <v>7</v>
      </c>
      <c r="B340" s="37">
        <f>IF(Setup!$B$19="","",Setup!$B$19)</f>
        <v/>
      </c>
      <c r="C340" s="102" t="inlineStr">
        <is>
          <t>AL</t>
        </is>
      </c>
      <c r="D340" s="103" t="n"/>
      <c r="E340" s="103" t="n"/>
      <c r="F340" s="104" t="n"/>
      <c r="G340" s="102" t="inlineStr">
        <is>
          <t>AL</t>
        </is>
      </c>
      <c r="H340" s="103" t="n"/>
      <c r="I340" s="103" t="n"/>
      <c r="J340" s="104" t="n"/>
      <c r="K340" s="102" t="inlineStr">
        <is>
          <t>AL</t>
        </is>
      </c>
      <c r="L340" s="103" t="n"/>
      <c r="M340" s="103" t="n"/>
      <c r="N340" s="104" t="n"/>
      <c r="O340" s="102" t="inlineStr">
        <is>
          <t>AL</t>
        </is>
      </c>
      <c r="P340" s="103" t="n"/>
      <c r="Q340" s="103" t="n"/>
      <c r="R340" s="104" t="n"/>
      <c r="S340" s="102" t="inlineStr">
        <is>
          <t>AL</t>
        </is>
      </c>
      <c r="T340" s="103" t="n"/>
      <c r="U340" s="103" t="n"/>
      <c r="V340" s="104" t="n"/>
      <c r="W340" s="102" t="n"/>
      <c r="X340" s="104" t="n"/>
      <c r="Y340" s="102" t="n"/>
      <c r="Z340" s="104" t="n"/>
      <c r="AB340" s="105">
        <f>IF($B340="","",(COUNTIF(C308:E325,$B340)+COUNTIF(C308:E325,$B340&amp;" ~*")&gt;0)+(COUNTIF(G308:I325,$B340)+COUNTIF(G308:I325,$B340&amp;" ~*")&gt;0)+(COUNTIF(K308:M325,$B340)+COUNTIF(K308:M325,$B340&amp;" ~*")&gt;0)+(COUNTIF(O308:Q325,$B340)+COUNTIF(O308:Q325,$B340&amp;" ~*")&gt;0)+(COUNTIF(S308:U325,$B340)+COUNTIF(S308:U325,$B340&amp;" ~*")&gt;0)+(COUNTIF(W308:W325,$B340)+COUNTIF(W308:W325,$B340&amp;" ~*")&gt;0)+(COUNTIF(Y308:Y325,$B340)+COUNTIF(Y308:Y325,$B340&amp;" ~*")&gt;0))</f>
        <v/>
      </c>
      <c r="AC340" s="38">
        <f>IF($B340="","",(IFERROR(INDEX(Setup!$G$33:$G$40,MATCH(C340,Setup!$B$33:$B$40,0)),0)=1)*(COUNTIF(C308:E325,$B340)+COUNTIF(C308:E325,$B340&amp;" ~*")&gt;0)+(IFERROR(INDEX(Setup!$G$33:$G$40,MATCH(G340,Setup!$B$33:$B$40,0)),0)=1)*(COUNTIF(G308:I325,$B340)+COUNTIF(G308:I325,$B340&amp;" ~*")&gt;0)+(IFERROR(INDEX(Setup!$G$33:$G$40,MATCH(K340,Setup!$B$33:$B$40,0)),0)=1)*(COUNTIF(K308:M325,$B340)+COUNTIF(K308:M325,$B340&amp;" ~*")&gt;0)+(IFERROR(INDEX(Setup!$G$33:$G$40,MATCH(O340,Setup!$B$33:$B$40,0)),0)=1)*(COUNTIF(O308:Q325,$B340)+COUNTIF(O308:Q325,$B340&amp;" ~*")&gt;0)+(IFERROR(INDEX(Setup!$G$33:$G$40,MATCH(S340,Setup!$B$33:$B$40,0)),0)=1)*(COUNTIF(S308:U325,$B340)+COUNTIF(S308:U325,$B340&amp;" ~*")&gt;0)+(IFERROR(INDEX(Setup!$G$33:$G$40,MATCH(W340,Setup!$B$33:$B$40,0)),0)=1)*(COUNTIF(W308:W325,$B340)+COUNTIF(W308:W325,$B340&amp;" ~*")&gt;0)+(IFERROR(INDEX(Setup!$G$33:$G$40,MATCH(Y340,Setup!$B$33:$B$40,0)),0)=1)*(COUNTIF(Y308:Y325,$B340)+COUNTIF(Y308:Y325,$B340&amp;" ~*")&gt;0))</f>
        <v/>
      </c>
    </row>
    <row r="341" ht="15" customHeight="1">
      <c r="A341" t="n">
        <v>7</v>
      </c>
      <c r="B341" s="35">
        <f>IF(Setup!$B$20="","",Setup!$B$20)</f>
        <v/>
      </c>
      <c r="C341" s="98" t="n"/>
      <c r="D341" s="99" t="n"/>
      <c r="E341" s="99" t="n"/>
      <c r="F341" s="100" t="n"/>
      <c r="G341" s="98" t="n"/>
      <c r="H341" s="99" t="n"/>
      <c r="I341" s="99" t="n"/>
      <c r="J341" s="100" t="n"/>
      <c r="K341" s="98" t="n"/>
      <c r="L341" s="99" t="n"/>
      <c r="M341" s="99" t="n"/>
      <c r="N341" s="100" t="n"/>
      <c r="O341" s="98" t="n"/>
      <c r="P341" s="99" t="n"/>
      <c r="Q341" s="99" t="n"/>
      <c r="R341" s="100" t="n"/>
      <c r="S341" s="98" t="n"/>
      <c r="T341" s="99" t="n"/>
      <c r="U341" s="99" t="n"/>
      <c r="V341" s="100" t="n"/>
      <c r="W341" s="98" t="n"/>
      <c r="X341" s="100" t="n"/>
      <c r="Y341" s="98" t="n"/>
      <c r="Z341" s="100" t="n"/>
      <c r="AB341" s="101">
        <f>IF($B341="","",(COUNTIF(C308:E325,$B341)+COUNTIF(C308:E325,$B341&amp;" ~*")&gt;0)+(COUNTIF(G308:I325,$B341)+COUNTIF(G308:I325,$B341&amp;" ~*")&gt;0)+(COUNTIF(K308:M325,$B341)+COUNTIF(K308:M325,$B341&amp;" ~*")&gt;0)+(COUNTIF(O308:Q325,$B341)+COUNTIF(O308:Q325,$B341&amp;" ~*")&gt;0)+(COUNTIF(S308:U325,$B341)+COUNTIF(S308:U325,$B341&amp;" ~*")&gt;0)+(COUNTIF(W308:W325,$B341)+COUNTIF(W308:W325,$B341&amp;" ~*")&gt;0)+(COUNTIF(Y308:Y325,$B341)+COUNTIF(Y308:Y325,$B341&amp;" ~*")&gt;0))</f>
        <v/>
      </c>
      <c r="AC341" s="36">
        <f>IF($B341="","",(IFERROR(INDEX(Setup!$G$33:$G$40,MATCH(C341,Setup!$B$33:$B$40,0)),0)=1)*(COUNTIF(C308:E325,$B341)+COUNTIF(C308:E325,$B341&amp;" ~*")&gt;0)+(IFERROR(INDEX(Setup!$G$33:$G$40,MATCH(G341,Setup!$B$33:$B$40,0)),0)=1)*(COUNTIF(G308:I325,$B341)+COUNTIF(G308:I325,$B341&amp;" ~*")&gt;0)+(IFERROR(INDEX(Setup!$G$33:$G$40,MATCH(K341,Setup!$B$33:$B$40,0)),0)=1)*(COUNTIF(K308:M325,$B341)+COUNTIF(K308:M325,$B341&amp;" ~*")&gt;0)+(IFERROR(INDEX(Setup!$G$33:$G$40,MATCH(O341,Setup!$B$33:$B$40,0)),0)=1)*(COUNTIF(O308:Q325,$B341)+COUNTIF(O308:Q325,$B341&amp;" ~*")&gt;0)+(IFERROR(INDEX(Setup!$G$33:$G$40,MATCH(S341,Setup!$B$33:$B$40,0)),0)=1)*(COUNTIF(S308:U325,$B341)+COUNTIF(S308:U325,$B341&amp;" ~*")&gt;0)+(IFERROR(INDEX(Setup!$G$33:$G$40,MATCH(W341,Setup!$B$33:$B$40,0)),0)=1)*(COUNTIF(W308:W325,$B341)+COUNTIF(W308:W325,$B341&amp;" ~*")&gt;0)+(IFERROR(INDEX(Setup!$G$33:$G$40,MATCH(Y341,Setup!$B$33:$B$40,0)),0)=1)*(COUNTIF(Y308:Y325,$B341)+COUNTIF(Y308:Y325,$B341&amp;" ~*")&gt;0))</f>
        <v/>
      </c>
    </row>
    <row r="342" ht="15" customHeight="1">
      <c r="A342" t="n">
        <v>7</v>
      </c>
      <c r="B342" s="37">
        <f>IF(Setup!$B$21="","",Setup!$B$21)</f>
        <v/>
      </c>
      <c r="C342" s="102" t="inlineStr">
        <is>
          <t>AL</t>
        </is>
      </c>
      <c r="D342" s="103" t="n"/>
      <c r="E342" s="103" t="n"/>
      <c r="F342" s="104" t="n"/>
      <c r="G342" s="102" t="inlineStr">
        <is>
          <t>AL</t>
        </is>
      </c>
      <c r="H342" s="103" t="n"/>
      <c r="I342" s="103" t="n"/>
      <c r="J342" s="104" t="n"/>
      <c r="K342" s="102" t="inlineStr">
        <is>
          <t>AL</t>
        </is>
      </c>
      <c r="L342" s="103" t="n"/>
      <c r="M342" s="103" t="n"/>
      <c r="N342" s="104" t="n"/>
      <c r="O342" s="102" t="inlineStr">
        <is>
          <t>AL</t>
        </is>
      </c>
      <c r="P342" s="103" t="n"/>
      <c r="Q342" s="103" t="n"/>
      <c r="R342" s="104" t="n"/>
      <c r="S342" s="102" t="inlineStr">
        <is>
          <t>AL</t>
        </is>
      </c>
      <c r="T342" s="103" t="n"/>
      <c r="U342" s="103" t="n"/>
      <c r="V342" s="104" t="n"/>
      <c r="W342" s="102" t="n"/>
      <c r="X342" s="104" t="n"/>
      <c r="Y342" s="102" t="n"/>
      <c r="Z342" s="104" t="n"/>
      <c r="AB342" s="105">
        <f>IF($B342="","",(COUNTIF(C308:E325,$B342)+COUNTIF(C308:E325,$B342&amp;" ~*")&gt;0)+(COUNTIF(G308:I325,$B342)+COUNTIF(G308:I325,$B342&amp;" ~*")&gt;0)+(COUNTIF(K308:M325,$B342)+COUNTIF(K308:M325,$B342&amp;" ~*")&gt;0)+(COUNTIF(O308:Q325,$B342)+COUNTIF(O308:Q325,$B342&amp;" ~*")&gt;0)+(COUNTIF(S308:U325,$B342)+COUNTIF(S308:U325,$B342&amp;" ~*")&gt;0)+(COUNTIF(W308:W325,$B342)+COUNTIF(W308:W325,$B342&amp;" ~*")&gt;0)+(COUNTIF(Y308:Y325,$B342)+COUNTIF(Y308:Y325,$B342&amp;" ~*")&gt;0))</f>
        <v/>
      </c>
      <c r="AC342" s="38">
        <f>IF($B342="","",(IFERROR(INDEX(Setup!$G$33:$G$40,MATCH(C342,Setup!$B$33:$B$40,0)),0)=1)*(COUNTIF(C308:E325,$B342)+COUNTIF(C308:E325,$B342&amp;" ~*")&gt;0)+(IFERROR(INDEX(Setup!$G$33:$G$40,MATCH(G342,Setup!$B$33:$B$40,0)),0)=1)*(COUNTIF(G308:I325,$B342)+COUNTIF(G308:I325,$B342&amp;" ~*")&gt;0)+(IFERROR(INDEX(Setup!$G$33:$G$40,MATCH(K342,Setup!$B$33:$B$40,0)),0)=1)*(COUNTIF(K308:M325,$B342)+COUNTIF(K308:M325,$B342&amp;" ~*")&gt;0)+(IFERROR(INDEX(Setup!$G$33:$G$40,MATCH(O342,Setup!$B$33:$B$40,0)),0)=1)*(COUNTIF(O308:Q325,$B342)+COUNTIF(O308:Q325,$B342&amp;" ~*")&gt;0)+(IFERROR(INDEX(Setup!$G$33:$G$40,MATCH(S342,Setup!$B$33:$B$40,0)),0)=1)*(COUNTIF(S308:U325,$B342)+COUNTIF(S308:U325,$B342&amp;" ~*")&gt;0)+(IFERROR(INDEX(Setup!$G$33:$G$40,MATCH(W342,Setup!$B$33:$B$40,0)),0)=1)*(COUNTIF(W308:W325,$B342)+COUNTIF(W308:W325,$B342&amp;" ~*")&gt;0)+(IFERROR(INDEX(Setup!$G$33:$G$40,MATCH(Y342,Setup!$B$33:$B$40,0)),0)=1)*(COUNTIF(Y308:Y325,$B342)+COUNTIF(Y308:Y325,$B342&amp;" ~*")&gt;0))</f>
        <v/>
      </c>
    </row>
    <row r="343" ht="15" customHeight="1">
      <c r="A343" t="n">
        <v>7</v>
      </c>
      <c r="B343" s="35">
        <f>IF(Setup!$B$22="","",Setup!$B$22)</f>
        <v/>
      </c>
      <c r="C343" s="98" t="n"/>
      <c r="D343" s="99" t="n"/>
      <c r="E343" s="99" t="n"/>
      <c r="F343" s="100" t="n"/>
      <c r="G343" s="98" t="n"/>
      <c r="H343" s="99" t="n"/>
      <c r="I343" s="99" t="n"/>
      <c r="J343" s="100" t="n"/>
      <c r="K343" s="98" t="n"/>
      <c r="L343" s="99" t="n"/>
      <c r="M343" s="99" t="n"/>
      <c r="N343" s="100" t="n"/>
      <c r="O343" s="98" t="n"/>
      <c r="P343" s="99" t="n"/>
      <c r="Q343" s="99" t="n"/>
      <c r="R343" s="100" t="n"/>
      <c r="S343" s="98" t="n"/>
      <c r="T343" s="99" t="n"/>
      <c r="U343" s="99" t="n"/>
      <c r="V343" s="100" t="n"/>
      <c r="W343" s="98" t="n"/>
      <c r="X343" s="100" t="n"/>
      <c r="Y343" s="98" t="n"/>
      <c r="Z343" s="100" t="n"/>
      <c r="AB343" s="101">
        <f>IF($B343="","",(COUNTIF(C308:E325,$B343)+COUNTIF(C308:E325,$B343&amp;" ~*")&gt;0)+(COUNTIF(G308:I325,$B343)+COUNTIF(G308:I325,$B343&amp;" ~*")&gt;0)+(COUNTIF(K308:M325,$B343)+COUNTIF(K308:M325,$B343&amp;" ~*")&gt;0)+(COUNTIF(O308:Q325,$B343)+COUNTIF(O308:Q325,$B343&amp;" ~*")&gt;0)+(COUNTIF(S308:U325,$B343)+COUNTIF(S308:U325,$B343&amp;" ~*")&gt;0)+(COUNTIF(W308:W325,$B343)+COUNTIF(W308:W325,$B343&amp;" ~*")&gt;0)+(COUNTIF(Y308:Y325,$B343)+COUNTIF(Y308:Y325,$B343&amp;" ~*")&gt;0))</f>
        <v/>
      </c>
      <c r="AC343" s="36">
        <f>IF($B343="","",(IFERROR(INDEX(Setup!$G$33:$G$40,MATCH(C343,Setup!$B$33:$B$40,0)),0)=1)*(COUNTIF(C308:E325,$B343)+COUNTIF(C308:E325,$B343&amp;" ~*")&gt;0)+(IFERROR(INDEX(Setup!$G$33:$G$40,MATCH(G343,Setup!$B$33:$B$40,0)),0)=1)*(COUNTIF(G308:I325,$B343)+COUNTIF(G308:I325,$B343&amp;" ~*")&gt;0)+(IFERROR(INDEX(Setup!$G$33:$G$40,MATCH(K343,Setup!$B$33:$B$40,0)),0)=1)*(COUNTIF(K308:M325,$B343)+COUNTIF(K308:M325,$B343&amp;" ~*")&gt;0)+(IFERROR(INDEX(Setup!$G$33:$G$40,MATCH(O343,Setup!$B$33:$B$40,0)),0)=1)*(COUNTIF(O308:Q325,$B343)+COUNTIF(O308:Q325,$B343&amp;" ~*")&gt;0)+(IFERROR(INDEX(Setup!$G$33:$G$40,MATCH(S343,Setup!$B$33:$B$40,0)),0)=1)*(COUNTIF(S308:U325,$B343)+COUNTIF(S308:U325,$B343&amp;" ~*")&gt;0)+(IFERROR(INDEX(Setup!$G$33:$G$40,MATCH(W343,Setup!$B$33:$B$40,0)),0)=1)*(COUNTIF(W308:W325,$B343)+COUNTIF(W308:W325,$B343&amp;" ~*")&gt;0)+(IFERROR(INDEX(Setup!$G$33:$G$40,MATCH(Y343,Setup!$B$33:$B$40,0)),0)=1)*(COUNTIF(Y308:Y325,$B343)+COUNTIF(Y308:Y325,$B343&amp;" ~*")&gt;0))</f>
        <v/>
      </c>
    </row>
    <row r="344" ht="15" customHeight="1">
      <c r="A344" t="n">
        <v>7</v>
      </c>
      <c r="B344" s="37">
        <f>IF(Setup!$B$23="","",Setup!$B$23)</f>
        <v/>
      </c>
      <c r="C344" s="102" t="n"/>
      <c r="D344" s="103" t="n"/>
      <c r="E344" s="103" t="n"/>
      <c r="F344" s="104" t="n"/>
      <c r="G344" s="102" t="n"/>
      <c r="H344" s="103" t="n"/>
      <c r="I344" s="103" t="n"/>
      <c r="J344" s="104" t="n"/>
      <c r="K344" s="102" t="n"/>
      <c r="L344" s="103" t="n"/>
      <c r="M344" s="103" t="n"/>
      <c r="N344" s="104" t="n"/>
      <c r="O344" s="102" t="n"/>
      <c r="P344" s="103" t="n"/>
      <c r="Q344" s="103" t="n"/>
      <c r="R344" s="104" t="n"/>
      <c r="S344" s="102" t="n"/>
      <c r="T344" s="103" t="n"/>
      <c r="U344" s="103" t="n"/>
      <c r="V344" s="104" t="n"/>
      <c r="W344" s="102" t="n"/>
      <c r="X344" s="104" t="n"/>
      <c r="Y344" s="102" t="n"/>
      <c r="Z344" s="104" t="n"/>
      <c r="AB344" s="105">
        <f>IF($B344="","",(COUNTIF(C308:E325,$B344)+COUNTIF(C308:E325,$B344&amp;" ~*")&gt;0)+(COUNTIF(G308:I325,$B344)+COUNTIF(G308:I325,$B344&amp;" ~*")&gt;0)+(COUNTIF(K308:M325,$B344)+COUNTIF(K308:M325,$B344&amp;" ~*")&gt;0)+(COUNTIF(O308:Q325,$B344)+COUNTIF(O308:Q325,$B344&amp;" ~*")&gt;0)+(COUNTIF(S308:U325,$B344)+COUNTIF(S308:U325,$B344&amp;" ~*")&gt;0)+(COUNTIF(W308:W325,$B344)+COUNTIF(W308:W325,$B344&amp;" ~*")&gt;0)+(COUNTIF(Y308:Y325,$B344)+COUNTIF(Y308:Y325,$B344&amp;" ~*")&gt;0))</f>
        <v/>
      </c>
      <c r="AC344" s="38">
        <f>IF($B344="","",(IFERROR(INDEX(Setup!$G$33:$G$40,MATCH(C344,Setup!$B$33:$B$40,0)),0)=1)*(COUNTIF(C308:E325,$B344)+COUNTIF(C308:E325,$B344&amp;" ~*")&gt;0)+(IFERROR(INDEX(Setup!$G$33:$G$40,MATCH(G344,Setup!$B$33:$B$40,0)),0)=1)*(COUNTIF(G308:I325,$B344)+COUNTIF(G308:I325,$B344&amp;" ~*")&gt;0)+(IFERROR(INDEX(Setup!$G$33:$G$40,MATCH(K344,Setup!$B$33:$B$40,0)),0)=1)*(COUNTIF(K308:M325,$B344)+COUNTIF(K308:M325,$B344&amp;" ~*")&gt;0)+(IFERROR(INDEX(Setup!$G$33:$G$40,MATCH(O344,Setup!$B$33:$B$40,0)),0)=1)*(COUNTIF(O308:Q325,$B344)+COUNTIF(O308:Q325,$B344&amp;" ~*")&gt;0)+(IFERROR(INDEX(Setup!$G$33:$G$40,MATCH(S344,Setup!$B$33:$B$40,0)),0)=1)*(COUNTIF(S308:U325,$B344)+COUNTIF(S308:U325,$B344&amp;" ~*")&gt;0)+(IFERROR(INDEX(Setup!$G$33:$G$40,MATCH(W344,Setup!$B$33:$B$40,0)),0)=1)*(COUNTIF(W308:W325,$B344)+COUNTIF(W308:W325,$B344&amp;" ~*")&gt;0)+(IFERROR(INDEX(Setup!$G$33:$G$40,MATCH(Y344,Setup!$B$33:$B$40,0)),0)=1)*(COUNTIF(Y308:Y325,$B344)+COUNTIF(Y308:Y325,$B344&amp;" ~*")&gt;0))</f>
        <v/>
      </c>
    </row>
    <row r="345" ht="15" customHeight="1">
      <c r="A345" t="n">
        <v>7</v>
      </c>
      <c r="B345" s="35">
        <f>IF(Setup!$B$24="","",Setup!$B$24)</f>
        <v/>
      </c>
      <c r="C345" s="98" t="n"/>
      <c r="D345" s="99" t="n"/>
      <c r="E345" s="99" t="n"/>
      <c r="F345" s="100" t="n"/>
      <c r="G345" s="98" t="n"/>
      <c r="H345" s="99" t="n"/>
      <c r="I345" s="99" t="n"/>
      <c r="J345" s="100" t="n"/>
      <c r="K345" s="98" t="n"/>
      <c r="L345" s="99" t="n"/>
      <c r="M345" s="99" t="n"/>
      <c r="N345" s="100" t="n"/>
      <c r="O345" s="98" t="n"/>
      <c r="P345" s="99" t="n"/>
      <c r="Q345" s="99" t="n"/>
      <c r="R345" s="100" t="n"/>
      <c r="S345" s="98" t="n"/>
      <c r="T345" s="99" t="n"/>
      <c r="U345" s="99" t="n"/>
      <c r="V345" s="100" t="n"/>
      <c r="W345" s="98" t="n"/>
      <c r="X345" s="100" t="n"/>
      <c r="Y345" s="98" t="n"/>
      <c r="Z345" s="100" t="n"/>
      <c r="AB345" s="101">
        <f>IF($B345="","",(COUNTIF(C308:E325,$B345)+COUNTIF(C308:E325,$B345&amp;" ~*")&gt;0)+(COUNTIF(G308:I325,$B345)+COUNTIF(G308:I325,$B345&amp;" ~*")&gt;0)+(COUNTIF(K308:M325,$B345)+COUNTIF(K308:M325,$B345&amp;" ~*")&gt;0)+(COUNTIF(O308:Q325,$B345)+COUNTIF(O308:Q325,$B345&amp;" ~*")&gt;0)+(COUNTIF(S308:U325,$B345)+COUNTIF(S308:U325,$B345&amp;" ~*")&gt;0)+(COUNTIF(W308:W325,$B345)+COUNTIF(W308:W325,$B345&amp;" ~*")&gt;0)+(COUNTIF(Y308:Y325,$B345)+COUNTIF(Y308:Y325,$B345&amp;" ~*")&gt;0))</f>
        <v/>
      </c>
      <c r="AC345" s="36">
        <f>IF($B345="","",(IFERROR(INDEX(Setup!$G$33:$G$40,MATCH(C345,Setup!$B$33:$B$40,0)),0)=1)*(COUNTIF(C308:E325,$B345)+COUNTIF(C308:E325,$B345&amp;" ~*")&gt;0)+(IFERROR(INDEX(Setup!$G$33:$G$40,MATCH(G345,Setup!$B$33:$B$40,0)),0)=1)*(COUNTIF(G308:I325,$B345)+COUNTIF(G308:I325,$B345&amp;" ~*")&gt;0)+(IFERROR(INDEX(Setup!$G$33:$G$40,MATCH(K345,Setup!$B$33:$B$40,0)),0)=1)*(COUNTIF(K308:M325,$B345)+COUNTIF(K308:M325,$B345&amp;" ~*")&gt;0)+(IFERROR(INDEX(Setup!$G$33:$G$40,MATCH(O345,Setup!$B$33:$B$40,0)),0)=1)*(COUNTIF(O308:Q325,$B345)+COUNTIF(O308:Q325,$B345&amp;" ~*")&gt;0)+(IFERROR(INDEX(Setup!$G$33:$G$40,MATCH(S345,Setup!$B$33:$B$40,0)),0)=1)*(COUNTIF(S308:U325,$B345)+COUNTIF(S308:U325,$B345&amp;" ~*")&gt;0)+(IFERROR(INDEX(Setup!$G$33:$G$40,MATCH(W345,Setup!$B$33:$B$40,0)),0)=1)*(COUNTIF(W308:W325,$B345)+COUNTIF(W308:W325,$B345&amp;" ~*")&gt;0)+(IFERROR(INDEX(Setup!$G$33:$G$40,MATCH(Y345,Setup!$B$33:$B$40,0)),0)=1)*(COUNTIF(Y308:Y325,$B345)+COUNTIF(Y308:Y325,$B345&amp;" ~*")&gt;0))</f>
        <v/>
      </c>
    </row>
    <row r="346" ht="15" customHeight="1">
      <c r="A346" t="n">
        <v>7</v>
      </c>
      <c r="B346" s="37">
        <f>IF(Setup!$B$25="","",Setup!$B$25)</f>
        <v/>
      </c>
      <c r="C346" s="102" t="n"/>
      <c r="D346" s="103" t="n"/>
      <c r="E346" s="103" t="n"/>
      <c r="F346" s="104" t="n"/>
      <c r="G346" s="102" t="n"/>
      <c r="H346" s="103" t="n"/>
      <c r="I346" s="103" t="n"/>
      <c r="J346" s="104" t="n"/>
      <c r="K346" s="102" t="n"/>
      <c r="L346" s="103" t="n"/>
      <c r="M346" s="103" t="n"/>
      <c r="N346" s="104" t="n"/>
      <c r="O346" s="102" t="n"/>
      <c r="P346" s="103" t="n"/>
      <c r="Q346" s="103" t="n"/>
      <c r="R346" s="104" t="n"/>
      <c r="S346" s="102" t="n"/>
      <c r="T346" s="103" t="n"/>
      <c r="U346" s="103" t="n"/>
      <c r="V346" s="104" t="n"/>
      <c r="W346" s="102" t="n"/>
      <c r="X346" s="104" t="n"/>
      <c r="Y346" s="102" t="n"/>
      <c r="Z346" s="104" t="n"/>
      <c r="AB346" s="105">
        <f>IF($B346="","",(COUNTIF(C308:E325,$B346)+COUNTIF(C308:E325,$B346&amp;" ~*")&gt;0)+(COUNTIF(G308:I325,$B346)+COUNTIF(G308:I325,$B346&amp;" ~*")&gt;0)+(COUNTIF(K308:M325,$B346)+COUNTIF(K308:M325,$B346&amp;" ~*")&gt;0)+(COUNTIF(O308:Q325,$B346)+COUNTIF(O308:Q325,$B346&amp;" ~*")&gt;0)+(COUNTIF(S308:U325,$B346)+COUNTIF(S308:U325,$B346&amp;" ~*")&gt;0)+(COUNTIF(W308:W325,$B346)+COUNTIF(W308:W325,$B346&amp;" ~*")&gt;0)+(COUNTIF(Y308:Y325,$B346)+COUNTIF(Y308:Y325,$B346&amp;" ~*")&gt;0))</f>
        <v/>
      </c>
      <c r="AC346" s="38">
        <f>IF($B346="","",(IFERROR(INDEX(Setup!$G$33:$G$40,MATCH(C346,Setup!$B$33:$B$40,0)),0)=1)*(COUNTIF(C308:E325,$B346)+COUNTIF(C308:E325,$B346&amp;" ~*")&gt;0)+(IFERROR(INDEX(Setup!$G$33:$G$40,MATCH(G346,Setup!$B$33:$B$40,0)),0)=1)*(COUNTIF(G308:I325,$B346)+COUNTIF(G308:I325,$B346&amp;" ~*")&gt;0)+(IFERROR(INDEX(Setup!$G$33:$G$40,MATCH(K346,Setup!$B$33:$B$40,0)),0)=1)*(COUNTIF(K308:M325,$B346)+COUNTIF(K308:M325,$B346&amp;" ~*")&gt;0)+(IFERROR(INDEX(Setup!$G$33:$G$40,MATCH(O346,Setup!$B$33:$B$40,0)),0)=1)*(COUNTIF(O308:Q325,$B346)+COUNTIF(O308:Q325,$B346&amp;" ~*")&gt;0)+(IFERROR(INDEX(Setup!$G$33:$G$40,MATCH(S346,Setup!$B$33:$B$40,0)),0)=1)*(COUNTIF(S308:U325,$B346)+COUNTIF(S308:U325,$B346&amp;" ~*")&gt;0)+(IFERROR(INDEX(Setup!$G$33:$G$40,MATCH(W346,Setup!$B$33:$B$40,0)),0)=1)*(COUNTIF(W308:W325,$B346)+COUNTIF(W308:W325,$B346&amp;" ~*")&gt;0)+(IFERROR(INDEX(Setup!$G$33:$G$40,MATCH(Y346,Setup!$B$33:$B$40,0)),0)=1)*(COUNTIF(Y308:Y325,$B346)+COUNTIF(Y308:Y325,$B346&amp;" ~*")&gt;0))</f>
        <v/>
      </c>
    </row>
    <row r="347" ht="15" customHeight="1">
      <c r="A347" t="n">
        <v>7</v>
      </c>
      <c r="B347" s="35">
        <f>IF(Setup!$B$26="","",Setup!$B$26)</f>
        <v/>
      </c>
      <c r="C347" s="98" t="n"/>
      <c r="D347" s="99" t="n"/>
      <c r="E347" s="99" t="n"/>
      <c r="F347" s="100" t="n"/>
      <c r="G347" s="98" t="n"/>
      <c r="H347" s="99" t="n"/>
      <c r="I347" s="99" t="n"/>
      <c r="J347" s="100" t="n"/>
      <c r="K347" s="98" t="n"/>
      <c r="L347" s="99" t="n"/>
      <c r="M347" s="99" t="n"/>
      <c r="N347" s="100" t="n"/>
      <c r="O347" s="98" t="n"/>
      <c r="P347" s="99" t="n"/>
      <c r="Q347" s="99" t="n"/>
      <c r="R347" s="100" t="n"/>
      <c r="S347" s="98" t="n"/>
      <c r="T347" s="99" t="n"/>
      <c r="U347" s="99" t="n"/>
      <c r="V347" s="100" t="n"/>
      <c r="W347" s="98" t="n"/>
      <c r="X347" s="100" t="n"/>
      <c r="Y347" s="98" t="n"/>
      <c r="Z347" s="100" t="n"/>
      <c r="AB347" s="101">
        <f>IF($B347="","",(COUNTIF(C308:E325,$B347)+COUNTIF(C308:E325,$B347&amp;" ~*")&gt;0)+(COUNTIF(G308:I325,$B347)+COUNTIF(G308:I325,$B347&amp;" ~*")&gt;0)+(COUNTIF(K308:M325,$B347)+COUNTIF(K308:M325,$B347&amp;" ~*")&gt;0)+(COUNTIF(O308:Q325,$B347)+COUNTIF(O308:Q325,$B347&amp;" ~*")&gt;0)+(COUNTIF(S308:U325,$B347)+COUNTIF(S308:U325,$B347&amp;" ~*")&gt;0)+(COUNTIF(W308:W325,$B347)+COUNTIF(W308:W325,$B347&amp;" ~*")&gt;0)+(COUNTIF(Y308:Y325,$B347)+COUNTIF(Y308:Y325,$B347&amp;" ~*")&gt;0))</f>
        <v/>
      </c>
      <c r="AC347" s="36">
        <f>IF($B347="","",(IFERROR(INDEX(Setup!$G$33:$G$40,MATCH(C347,Setup!$B$33:$B$40,0)),0)=1)*(COUNTIF(C308:E325,$B347)+COUNTIF(C308:E325,$B347&amp;" ~*")&gt;0)+(IFERROR(INDEX(Setup!$G$33:$G$40,MATCH(G347,Setup!$B$33:$B$40,0)),0)=1)*(COUNTIF(G308:I325,$B347)+COUNTIF(G308:I325,$B347&amp;" ~*")&gt;0)+(IFERROR(INDEX(Setup!$G$33:$G$40,MATCH(K347,Setup!$B$33:$B$40,0)),0)=1)*(COUNTIF(K308:M325,$B347)+COUNTIF(K308:M325,$B347&amp;" ~*")&gt;0)+(IFERROR(INDEX(Setup!$G$33:$G$40,MATCH(O347,Setup!$B$33:$B$40,0)),0)=1)*(COUNTIF(O308:Q325,$B347)+COUNTIF(O308:Q325,$B347&amp;" ~*")&gt;0)+(IFERROR(INDEX(Setup!$G$33:$G$40,MATCH(S347,Setup!$B$33:$B$40,0)),0)=1)*(COUNTIF(S308:U325,$B347)+COUNTIF(S308:U325,$B347&amp;" ~*")&gt;0)+(IFERROR(INDEX(Setup!$G$33:$G$40,MATCH(W347,Setup!$B$33:$B$40,0)),0)=1)*(COUNTIF(W308:W325,$B347)+COUNTIF(W308:W325,$B347&amp;" ~*")&gt;0)+(IFERROR(INDEX(Setup!$G$33:$G$40,MATCH(Y347,Setup!$B$33:$B$40,0)),0)=1)*(COUNTIF(Y308:Y325,$B347)+COUNTIF(Y308:Y325,$B347&amp;" ~*")&gt;0))</f>
        <v/>
      </c>
    </row>
    <row r="348" ht="15" customHeight="1">
      <c r="A348" t="n">
        <v>7</v>
      </c>
      <c r="B348" s="37">
        <f>IF(Setup!$B$27="","",Setup!$B$27)</f>
        <v/>
      </c>
      <c r="C348" s="102" t="n"/>
      <c r="D348" s="103" t="n"/>
      <c r="E348" s="103" t="n"/>
      <c r="F348" s="104" t="n"/>
      <c r="G348" s="102" t="n"/>
      <c r="H348" s="103" t="n"/>
      <c r="I348" s="103" t="n"/>
      <c r="J348" s="104" t="n"/>
      <c r="K348" s="102" t="n"/>
      <c r="L348" s="103" t="n"/>
      <c r="M348" s="103" t="n"/>
      <c r="N348" s="104" t="n"/>
      <c r="O348" s="102" t="n"/>
      <c r="P348" s="103" t="n"/>
      <c r="Q348" s="103" t="n"/>
      <c r="R348" s="104" t="n"/>
      <c r="S348" s="102" t="n"/>
      <c r="T348" s="103" t="n"/>
      <c r="U348" s="103" t="n"/>
      <c r="V348" s="104" t="n"/>
      <c r="W348" s="102" t="n"/>
      <c r="X348" s="104" t="n"/>
      <c r="Y348" s="102" t="n"/>
      <c r="Z348" s="104" t="n"/>
      <c r="AB348" s="105">
        <f>IF($B348="","",(COUNTIF(C308:E325,$B348)+COUNTIF(C308:E325,$B348&amp;" ~*")&gt;0)+(COUNTIF(G308:I325,$B348)+COUNTIF(G308:I325,$B348&amp;" ~*")&gt;0)+(COUNTIF(K308:M325,$B348)+COUNTIF(K308:M325,$B348&amp;" ~*")&gt;0)+(COUNTIF(O308:Q325,$B348)+COUNTIF(O308:Q325,$B348&amp;" ~*")&gt;0)+(COUNTIF(S308:U325,$B348)+COUNTIF(S308:U325,$B348&amp;" ~*")&gt;0)+(COUNTIF(W308:W325,$B348)+COUNTIF(W308:W325,$B348&amp;" ~*")&gt;0)+(COUNTIF(Y308:Y325,$B348)+COUNTIF(Y308:Y325,$B348&amp;" ~*")&gt;0))</f>
        <v/>
      </c>
      <c r="AC348" s="38">
        <f>IF($B348="","",(IFERROR(INDEX(Setup!$G$33:$G$40,MATCH(C348,Setup!$B$33:$B$40,0)),0)=1)*(COUNTIF(C308:E325,$B348)+COUNTIF(C308:E325,$B348&amp;" ~*")&gt;0)+(IFERROR(INDEX(Setup!$G$33:$G$40,MATCH(G348,Setup!$B$33:$B$40,0)),0)=1)*(COUNTIF(G308:I325,$B348)+COUNTIF(G308:I325,$B348&amp;" ~*")&gt;0)+(IFERROR(INDEX(Setup!$G$33:$G$40,MATCH(K348,Setup!$B$33:$B$40,0)),0)=1)*(COUNTIF(K308:M325,$B348)+COUNTIF(K308:M325,$B348&amp;" ~*")&gt;0)+(IFERROR(INDEX(Setup!$G$33:$G$40,MATCH(O348,Setup!$B$33:$B$40,0)),0)=1)*(COUNTIF(O308:Q325,$B348)+COUNTIF(O308:Q325,$B348&amp;" ~*")&gt;0)+(IFERROR(INDEX(Setup!$G$33:$G$40,MATCH(S348,Setup!$B$33:$B$40,0)),0)=1)*(COUNTIF(S308:U325,$B348)+COUNTIF(S308:U325,$B348&amp;" ~*")&gt;0)+(IFERROR(INDEX(Setup!$G$33:$G$40,MATCH(W348,Setup!$B$33:$B$40,0)),0)=1)*(COUNTIF(W308:W325,$B348)+COUNTIF(W308:W325,$B348&amp;" ~*")&gt;0)+(IFERROR(INDEX(Setup!$G$33:$G$40,MATCH(Y348,Setup!$B$33:$B$40,0)),0)=1)*(COUNTIF(Y308:Y325,$B348)+COUNTIF(Y308:Y325,$B348&amp;" ~*")&gt;0))</f>
        <v/>
      </c>
    </row>
    <row r="349" ht="15" customHeight="1">
      <c r="A349" t="n">
        <v>7</v>
      </c>
      <c r="B349" s="35">
        <f>IF(Setup!$B$28="","",Setup!$B$28)</f>
        <v/>
      </c>
      <c r="C349" s="98" t="n"/>
      <c r="D349" s="99" t="n"/>
      <c r="E349" s="99" t="n"/>
      <c r="F349" s="100" t="n"/>
      <c r="G349" s="98" t="n"/>
      <c r="H349" s="99" t="n"/>
      <c r="I349" s="99" t="n"/>
      <c r="J349" s="100" t="n"/>
      <c r="K349" s="98" t="n"/>
      <c r="L349" s="99" t="n"/>
      <c r="M349" s="99" t="n"/>
      <c r="N349" s="100" t="n"/>
      <c r="O349" s="98" t="n"/>
      <c r="P349" s="99" t="n"/>
      <c r="Q349" s="99" t="n"/>
      <c r="R349" s="100" t="n"/>
      <c r="S349" s="98" t="n"/>
      <c r="T349" s="99" t="n"/>
      <c r="U349" s="99" t="n"/>
      <c r="V349" s="100" t="n"/>
      <c r="W349" s="98" t="n"/>
      <c r="X349" s="100" t="n"/>
      <c r="Y349" s="98" t="n"/>
      <c r="Z349" s="100" t="n"/>
      <c r="AB349" s="101">
        <f>IF($B349="","",(COUNTIF(C308:E325,$B349)+COUNTIF(C308:E325,$B349&amp;" ~*")&gt;0)+(COUNTIF(G308:I325,$B349)+COUNTIF(G308:I325,$B349&amp;" ~*")&gt;0)+(COUNTIF(K308:M325,$B349)+COUNTIF(K308:M325,$B349&amp;" ~*")&gt;0)+(COUNTIF(O308:Q325,$B349)+COUNTIF(O308:Q325,$B349&amp;" ~*")&gt;0)+(COUNTIF(S308:U325,$B349)+COUNTIF(S308:U325,$B349&amp;" ~*")&gt;0)+(COUNTIF(W308:W325,$B349)+COUNTIF(W308:W325,$B349&amp;" ~*")&gt;0)+(COUNTIF(Y308:Y325,$B349)+COUNTIF(Y308:Y325,$B349&amp;" ~*")&gt;0))</f>
        <v/>
      </c>
      <c r="AC349" s="36">
        <f>IF($B349="","",(IFERROR(INDEX(Setup!$G$33:$G$40,MATCH(C349,Setup!$B$33:$B$40,0)),0)=1)*(COUNTIF(C308:E325,$B349)+COUNTIF(C308:E325,$B349&amp;" ~*")&gt;0)+(IFERROR(INDEX(Setup!$G$33:$G$40,MATCH(G349,Setup!$B$33:$B$40,0)),0)=1)*(COUNTIF(G308:I325,$B349)+COUNTIF(G308:I325,$B349&amp;" ~*")&gt;0)+(IFERROR(INDEX(Setup!$G$33:$G$40,MATCH(K349,Setup!$B$33:$B$40,0)),0)=1)*(COUNTIF(K308:M325,$B349)+COUNTIF(K308:M325,$B349&amp;" ~*")&gt;0)+(IFERROR(INDEX(Setup!$G$33:$G$40,MATCH(O349,Setup!$B$33:$B$40,0)),0)=1)*(COUNTIF(O308:Q325,$B349)+COUNTIF(O308:Q325,$B349&amp;" ~*")&gt;0)+(IFERROR(INDEX(Setup!$G$33:$G$40,MATCH(S349,Setup!$B$33:$B$40,0)),0)=1)*(COUNTIF(S308:U325,$B349)+COUNTIF(S308:U325,$B349&amp;" ~*")&gt;0)+(IFERROR(INDEX(Setup!$G$33:$G$40,MATCH(W349,Setup!$B$33:$B$40,0)),0)=1)*(COUNTIF(W308:W325,$B349)+COUNTIF(W308:W325,$B349&amp;" ~*")&gt;0)+(IFERROR(INDEX(Setup!$G$33:$G$40,MATCH(Y349,Setup!$B$33:$B$40,0)),0)=1)*(COUNTIF(Y308:Y325,$B349)+COUNTIF(Y308:Y325,$B349&amp;" ~*")&gt;0))</f>
        <v/>
      </c>
    </row>
    <row r="350" ht="15" customHeight="1">
      <c r="A350" t="n">
        <v>7</v>
      </c>
      <c r="B350" s="37">
        <f>IF(Setup!$B$29="","",Setup!$B$29)</f>
        <v/>
      </c>
      <c r="C350" s="102" t="n"/>
      <c r="D350" s="103" t="n"/>
      <c r="E350" s="103" t="n"/>
      <c r="F350" s="104" t="n"/>
      <c r="G350" s="102" t="n"/>
      <c r="H350" s="103" t="n"/>
      <c r="I350" s="103" t="n"/>
      <c r="J350" s="104" t="n"/>
      <c r="K350" s="102" t="n"/>
      <c r="L350" s="103" t="n"/>
      <c r="M350" s="103" t="n"/>
      <c r="N350" s="104" t="n"/>
      <c r="O350" s="102" t="n"/>
      <c r="P350" s="103" t="n"/>
      <c r="Q350" s="103" t="n"/>
      <c r="R350" s="104" t="n"/>
      <c r="S350" s="102" t="n"/>
      <c r="T350" s="103" t="n"/>
      <c r="U350" s="103" t="n"/>
      <c r="V350" s="104" t="n"/>
      <c r="W350" s="102" t="n"/>
      <c r="X350" s="104" t="n"/>
      <c r="Y350" s="102" t="n"/>
      <c r="Z350" s="104" t="n"/>
      <c r="AB350" s="105">
        <f>IF($B350="","",(COUNTIF(C308:E325,$B350)+COUNTIF(C308:E325,$B350&amp;" ~*")&gt;0)+(COUNTIF(G308:I325,$B350)+COUNTIF(G308:I325,$B350&amp;" ~*")&gt;0)+(COUNTIF(K308:M325,$B350)+COUNTIF(K308:M325,$B350&amp;" ~*")&gt;0)+(COUNTIF(O308:Q325,$B350)+COUNTIF(O308:Q325,$B350&amp;" ~*")&gt;0)+(COUNTIF(S308:U325,$B350)+COUNTIF(S308:U325,$B350&amp;" ~*")&gt;0)+(COUNTIF(W308:W325,$B350)+COUNTIF(W308:W325,$B350&amp;" ~*")&gt;0)+(COUNTIF(Y308:Y325,$B350)+COUNTIF(Y308:Y325,$B350&amp;" ~*")&gt;0))</f>
        <v/>
      </c>
      <c r="AC350" s="38">
        <f>IF($B350="","",(IFERROR(INDEX(Setup!$G$33:$G$40,MATCH(C350,Setup!$B$33:$B$40,0)),0)=1)*(COUNTIF(C308:E325,$B350)+COUNTIF(C308:E325,$B350&amp;" ~*")&gt;0)+(IFERROR(INDEX(Setup!$G$33:$G$40,MATCH(G350,Setup!$B$33:$B$40,0)),0)=1)*(COUNTIF(G308:I325,$B350)+COUNTIF(G308:I325,$B350&amp;" ~*")&gt;0)+(IFERROR(INDEX(Setup!$G$33:$G$40,MATCH(K350,Setup!$B$33:$B$40,0)),0)=1)*(COUNTIF(K308:M325,$B350)+COUNTIF(K308:M325,$B350&amp;" ~*")&gt;0)+(IFERROR(INDEX(Setup!$G$33:$G$40,MATCH(O350,Setup!$B$33:$B$40,0)),0)=1)*(COUNTIF(O308:Q325,$B350)+COUNTIF(O308:Q325,$B350&amp;" ~*")&gt;0)+(IFERROR(INDEX(Setup!$G$33:$G$40,MATCH(S350,Setup!$B$33:$B$40,0)),0)=1)*(COUNTIF(S308:U325,$B350)+COUNTIF(S308:U325,$B350&amp;" ~*")&gt;0)+(IFERROR(INDEX(Setup!$G$33:$G$40,MATCH(W350,Setup!$B$33:$B$40,0)),0)=1)*(COUNTIF(W308:W325,$B350)+COUNTIF(W308:W325,$B350&amp;" ~*")&gt;0)+(IFERROR(INDEX(Setup!$G$33:$G$40,MATCH(Y350,Setup!$B$33:$B$40,0)),0)=1)*(COUNTIF(Y308:Y325,$B350)+COUNTIF(Y308:Y325,$B350&amp;" ~*")&gt;0))</f>
        <v/>
      </c>
    </row>
    <row r="351" ht="16" customHeight="1">
      <c r="A351" t="n">
        <v>7</v>
      </c>
      <c r="B351" s="106" t="inlineStr">
        <is>
          <t>Available people</t>
        </is>
      </c>
      <c r="C351" s="107">
        <f>COUNTIFS(Setup!$E$6:$E$29,"Y",Setup!$B$6:$B$29,"?*")-SUMPRODUCT(COUNTIF(C327:C350,Setup!$F$33:$F$40))</f>
        <v/>
      </c>
      <c r="D351" s="107" t="n"/>
      <c r="E351" s="107" t="n"/>
      <c r="F351" s="107" t="n"/>
      <c r="G351" s="107">
        <f>COUNTIFS(Setup!$E$6:$E$29,"Y",Setup!$B$6:$B$29,"?*")-SUMPRODUCT(COUNTIF(G327:G350,Setup!$F$33:$F$40))</f>
        <v/>
      </c>
      <c r="H351" s="107" t="n"/>
      <c r="I351" s="107" t="n"/>
      <c r="J351" s="107" t="n"/>
      <c r="K351" s="107">
        <f>COUNTIFS(Setup!$E$6:$E$29,"Y",Setup!$B$6:$B$29,"?*")-SUMPRODUCT(COUNTIF(K327:K350,Setup!$F$33:$F$40))</f>
        <v/>
      </c>
      <c r="L351" s="107" t="n"/>
      <c r="M351" s="107" t="n"/>
      <c r="N351" s="107" t="n"/>
      <c r="O351" s="107">
        <f>COUNTIFS(Setup!$E$6:$E$29,"Y",Setup!$B$6:$B$29,"?*")-SUMPRODUCT(COUNTIF(O327:O350,Setup!$F$33:$F$40))</f>
        <v/>
      </c>
      <c r="P351" s="107" t="n"/>
      <c r="Q351" s="107" t="n"/>
      <c r="R351" s="107" t="n"/>
      <c r="S351" s="107">
        <f>COUNTIFS(Setup!$E$6:$E$29,"Y",Setup!$B$6:$B$29,"?*")-SUMPRODUCT(COUNTIF(S327:S350,Setup!$F$33:$F$40))</f>
        <v/>
      </c>
      <c r="T351" s="107" t="n"/>
      <c r="U351" s="107" t="n"/>
      <c r="V351" s="107" t="n"/>
      <c r="W351" s="107">
        <f>COUNTIFS(Setup!$E$6:$E$29,"Y",Setup!$B$6:$B$29,"?*")-SUMPRODUCT(COUNTIF(W327:W350,Setup!$F$33:$F$40))</f>
        <v/>
      </c>
      <c r="X351" s="107" t="n"/>
      <c r="Y351" s="107">
        <f>COUNTIFS(Setup!$E$6:$E$29,"Y",Setup!$B$6:$B$29,"?*")-SUMPRODUCT(COUNTIF(Y327:Y350,Setup!$F$33:$F$40))</f>
        <v/>
      </c>
      <c r="Z351" s="107" t="n"/>
      <c r="AB351" s="108">
        <f>SUM(AB327:AB350)</f>
        <v/>
      </c>
      <c r="AC351" s="109">
        <f>SUM(AC327:AC350)</f>
        <v/>
      </c>
    </row>
    <row r="352" ht="30" customHeight="1">
      <c r="A352" t="n">
        <v>7</v>
      </c>
      <c r="B352" s="110" t="inlineStr">
        <is>
          <t>Week notes</t>
        </is>
      </c>
      <c r="C352" s="111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112" t="n"/>
      <c r="R352" s="112" t="n"/>
      <c r="S352" s="112" t="n"/>
      <c r="T352" s="112" t="n"/>
      <c r="U352" s="112" t="n"/>
      <c r="V352" s="112" t="n"/>
      <c r="W352" s="112" t="n"/>
      <c r="X352" s="112" t="n"/>
      <c r="Y352" s="112" t="n"/>
      <c r="Z352" s="113" t="n"/>
    </row>
    <row r="353" ht="8" customHeight="1">
      <c r="A353" t="n">
        <v>7</v>
      </c>
    </row>
    <row r="354" ht="8" customHeight="1">
      <c r="A354" t="n">
        <v>7</v>
      </c>
    </row>
    <row r="355" ht="24" customHeight="1">
      <c r="A355" t="n">
        <v>8</v>
      </c>
      <c r="B355" s="73">
        <f>"WEEK 8     "&amp;TEXT(C356,"ddd d mmm")&amp;"  –  "&amp;TEXT(C356+6,"ddd d mmm yyyy")</f>
        <v/>
      </c>
      <c r="S355" s="74">
        <f>IF(TODAY()&lt;C356,"FUTURE",IF(TODAY()&gt;C356+6,"PAST","THIS WEEK"))</f>
        <v/>
      </c>
      <c r="W355" s="75">
        <f>IF(AND(Engine!$B$8=$AC$3,Engine!$B$9=$A355),"◀ ACTIVE WEEK","")</f>
        <v/>
      </c>
      <c r="AA355" s="76" t="n"/>
      <c r="AB355" s="77" t="inlineStr">
        <is>
          <t>◀ Prev</t>
        </is>
      </c>
      <c r="AC355" s="77" t="inlineStr">
        <is>
          <t>Next ▶</t>
        </is>
      </c>
    </row>
    <row r="356" ht="18" customHeight="1">
      <c r="A356" t="n">
        <v>8</v>
      </c>
      <c r="B356" s="78" t="inlineStr">
        <is>
          <t>DUTY</t>
        </is>
      </c>
      <c r="C356" s="79">
        <f>$AC$2+7*($A356-1)</f>
        <v/>
      </c>
      <c r="D356" s="80" t="n"/>
      <c r="E356" s="80" t="n"/>
      <c r="F356" s="81" t="n"/>
      <c r="G356" s="79">
        <f>C356+1</f>
        <v/>
      </c>
      <c r="H356" s="80" t="n"/>
      <c r="I356" s="80" t="n"/>
      <c r="J356" s="81" t="n"/>
      <c r="K356" s="79">
        <f>C356+2</f>
        <v/>
      </c>
      <c r="L356" s="80" t="n"/>
      <c r="M356" s="80" t="n"/>
      <c r="N356" s="81" t="n"/>
      <c r="O356" s="79">
        <f>C356+3</f>
        <v/>
      </c>
      <c r="P356" s="80" t="n"/>
      <c r="Q356" s="80" t="n"/>
      <c r="R356" s="81" t="n"/>
      <c r="S356" s="79">
        <f>C356+4</f>
        <v/>
      </c>
      <c r="T356" s="80" t="n"/>
      <c r="U356" s="80" t="n"/>
      <c r="V356" s="81" t="n"/>
      <c r="W356" s="82">
        <f>C356+5</f>
        <v/>
      </c>
      <c r="X356" s="83" t="n"/>
      <c r="Y356" s="82">
        <f>C356+6</f>
        <v/>
      </c>
      <c r="Z356" s="83" t="n"/>
      <c r="AB356" s="72" t="inlineStr">
        <is>
          <t>Gaps</t>
        </is>
      </c>
      <c r="AC356" s="72" t="inlineStr">
        <is>
          <t>Cover</t>
        </is>
      </c>
    </row>
    <row r="357" ht="14" customHeight="1">
      <c r="A357" t="n">
        <v>8</v>
      </c>
      <c r="B357" s="84" t="inlineStr">
        <is>
          <t>(from Setup)</t>
        </is>
      </c>
      <c r="C357" s="85" t="inlineStr">
        <is>
          <t>1</t>
        </is>
      </c>
      <c r="D357" s="85" t="inlineStr">
        <is>
          <t>2</t>
        </is>
      </c>
      <c r="E357" s="85" t="inlineStr">
        <is>
          <t>3</t>
        </is>
      </c>
      <c r="F357" s="85" t="inlineStr">
        <is>
          <t>Notes</t>
        </is>
      </c>
      <c r="G357" s="85" t="inlineStr">
        <is>
          <t>1</t>
        </is>
      </c>
      <c r="H357" s="85" t="inlineStr">
        <is>
          <t>2</t>
        </is>
      </c>
      <c r="I357" s="85" t="inlineStr">
        <is>
          <t>3</t>
        </is>
      </c>
      <c r="J357" s="85" t="inlineStr">
        <is>
          <t>Notes</t>
        </is>
      </c>
      <c r="K357" s="85" t="inlineStr">
        <is>
          <t>1</t>
        </is>
      </c>
      <c r="L357" s="85" t="inlineStr">
        <is>
          <t>2</t>
        </is>
      </c>
      <c r="M357" s="85" t="inlineStr">
        <is>
          <t>3</t>
        </is>
      </c>
      <c r="N357" s="85" t="inlineStr">
        <is>
          <t>Notes</t>
        </is>
      </c>
      <c r="O357" s="85" t="inlineStr">
        <is>
          <t>1</t>
        </is>
      </c>
      <c r="P357" s="85" t="inlineStr">
        <is>
          <t>2</t>
        </is>
      </c>
      <c r="Q357" s="85" t="inlineStr">
        <is>
          <t>3</t>
        </is>
      </c>
      <c r="R357" s="85" t="inlineStr">
        <is>
          <t>Notes</t>
        </is>
      </c>
      <c r="S357" s="85" t="inlineStr">
        <is>
          <t>1</t>
        </is>
      </c>
      <c r="T357" s="85" t="inlineStr">
        <is>
          <t>2</t>
        </is>
      </c>
      <c r="U357" s="85" t="inlineStr">
        <is>
          <t>3</t>
        </is>
      </c>
      <c r="V357" s="85" t="inlineStr">
        <is>
          <t>Notes</t>
        </is>
      </c>
      <c r="W357" s="85" t="inlineStr">
        <is>
          <t>Cover</t>
        </is>
      </c>
      <c r="X357" s="85" t="inlineStr">
        <is>
          <t>Notes</t>
        </is>
      </c>
      <c r="Y357" s="85" t="inlineStr">
        <is>
          <t>Cover</t>
        </is>
      </c>
      <c r="Z357" s="85" t="inlineStr">
        <is>
          <t>Notes</t>
        </is>
      </c>
      <c r="AB357" s="86" t="inlineStr">
        <is>
          <t>weekdays short</t>
        </is>
      </c>
      <c r="AC357" s="87" t="inlineStr"/>
    </row>
    <row r="358" ht="17" customHeight="1">
      <c r="A358" t="n">
        <v>8</v>
      </c>
      <c r="B358" s="24">
        <f>IF(Setup!$K$6="","",Setup!$K$6)</f>
        <v/>
      </c>
      <c r="C358" s="88" t="n"/>
      <c r="D358" s="88" t="n"/>
      <c r="E358" s="88" t="n"/>
      <c r="F358" s="89" t="n"/>
      <c r="G358" s="88" t="n"/>
      <c r="H358" s="88" t="n"/>
      <c r="I358" s="88" t="n"/>
      <c r="J358" s="89" t="n"/>
      <c r="K358" s="88" t="n"/>
      <c r="L358" s="88" t="n"/>
      <c r="M358" s="88" t="n"/>
      <c r="N358" s="89" t="n"/>
      <c r="O358" s="88" t="n"/>
      <c r="P358" s="88" t="n"/>
      <c r="Q358" s="88" t="n"/>
      <c r="R358" s="89" t="n"/>
      <c r="S358" s="88" t="n"/>
      <c r="T358" s="88" t="n"/>
      <c r="U358" s="88" t="n"/>
      <c r="V358" s="89" t="n"/>
      <c r="W358" s="88" t="n"/>
      <c r="X358" s="89" t="n"/>
      <c r="Y358" s="88" t="n"/>
      <c r="Z358" s="89" t="n"/>
      <c r="AB358" s="25">
        <f>IF($B358="","",(COUNTIF(C358:E358,"?*")&lt;N(INDEX(Setup!$L$6:$L$23,1)))+(COUNTIF(G358:I358,"?*")&lt;N(INDEX(Setup!$L$6:$L$23,1)))+(COUNTIF(K358:M358,"?*")&lt;N(INDEX(Setup!$L$6:$L$23,1)))+(COUNTIF(O358:Q358,"?*")&lt;N(INDEX(Setup!$L$6:$L$23,1)))+(COUNTIF(S358:U358,"?*")&lt;N(INDEX(Setup!$L$6:$L$23,1)))+((W358="")*(INDEX(Setup!$M$6:$M$23,1)="Y"))+((Y358="")*(INDEX(Setup!$M$6:$M$23,1)="Y")))</f>
        <v/>
      </c>
      <c r="AC358" s="90">
        <f>IF($B358="","",IF(AB358=0,"✓ covered","⚠ "&amp;AB358&amp;IF(AB358=1," gap"," gaps")))</f>
        <v/>
      </c>
    </row>
    <row r="359" ht="17" customHeight="1">
      <c r="A359" t="n">
        <v>8</v>
      </c>
      <c r="B359" s="29">
        <f>IF(Setup!$K$7="","",Setup!$K$7)</f>
        <v/>
      </c>
      <c r="C359" s="88" t="n"/>
      <c r="D359" s="88" t="n"/>
      <c r="E359" s="88" t="n"/>
      <c r="F359" s="89" t="n"/>
      <c r="G359" s="88" t="n"/>
      <c r="H359" s="88" t="n"/>
      <c r="I359" s="88" t="n"/>
      <c r="J359" s="89" t="n"/>
      <c r="K359" s="88" t="n"/>
      <c r="L359" s="88" t="n"/>
      <c r="M359" s="88" t="n"/>
      <c r="N359" s="89" t="n"/>
      <c r="O359" s="88" t="n"/>
      <c r="P359" s="88" t="n"/>
      <c r="Q359" s="88" t="n"/>
      <c r="R359" s="89" t="n"/>
      <c r="S359" s="88" t="n"/>
      <c r="T359" s="88" t="n"/>
      <c r="U359" s="88" t="n"/>
      <c r="V359" s="89" t="n"/>
      <c r="W359" s="88" t="n"/>
      <c r="X359" s="89" t="n"/>
      <c r="Y359" s="88" t="n"/>
      <c r="Z359" s="89" t="n"/>
      <c r="AB359" s="30">
        <f>IF($B359="","",(COUNTIF(C359:E359,"?*")&lt;N(INDEX(Setup!$L$6:$L$23,2)))+(COUNTIF(G359:I359,"?*")&lt;N(INDEX(Setup!$L$6:$L$23,2)))+(COUNTIF(K359:M359,"?*")&lt;N(INDEX(Setup!$L$6:$L$23,2)))+(COUNTIF(O359:Q359,"?*")&lt;N(INDEX(Setup!$L$6:$L$23,2)))+(COUNTIF(S359:U359,"?*")&lt;N(INDEX(Setup!$L$6:$L$23,2)))+((W359="")*(INDEX(Setup!$M$6:$M$23,2)="Y"))+((Y359="")*(INDEX(Setup!$M$6:$M$23,2)="Y")))</f>
        <v/>
      </c>
      <c r="AC359" s="91">
        <f>IF($B359="","",IF(AB359=0,"✓ covered","⚠ "&amp;AB359&amp;IF(AB359=1," gap"," gaps")))</f>
        <v/>
      </c>
    </row>
    <row r="360" ht="17" customHeight="1">
      <c r="A360" t="n">
        <v>8</v>
      </c>
      <c r="B360" s="24">
        <f>IF(Setup!$K$8="","",Setup!$K$8)</f>
        <v/>
      </c>
      <c r="C360" s="88" t="n"/>
      <c r="D360" s="88" t="n"/>
      <c r="E360" s="88" t="n"/>
      <c r="F360" s="89" t="n"/>
      <c r="G360" s="88" t="n"/>
      <c r="H360" s="88" t="n"/>
      <c r="I360" s="88" t="n"/>
      <c r="J360" s="89" t="n"/>
      <c r="K360" s="88" t="n"/>
      <c r="L360" s="88" t="n"/>
      <c r="M360" s="88" t="n"/>
      <c r="N360" s="89" t="n"/>
      <c r="O360" s="88" t="n"/>
      <c r="P360" s="88" t="n"/>
      <c r="Q360" s="88" t="n"/>
      <c r="R360" s="89" t="n"/>
      <c r="S360" s="88" t="n"/>
      <c r="T360" s="88" t="n"/>
      <c r="U360" s="88" t="n"/>
      <c r="V360" s="89" t="n"/>
      <c r="W360" s="88" t="n"/>
      <c r="X360" s="89" t="n"/>
      <c r="Y360" s="88" t="n"/>
      <c r="Z360" s="89" t="n"/>
      <c r="AB360" s="25">
        <f>IF($B360="","",(COUNTIF(C360:E360,"?*")&lt;N(INDEX(Setup!$L$6:$L$23,3)))+(COUNTIF(G360:I360,"?*")&lt;N(INDEX(Setup!$L$6:$L$23,3)))+(COUNTIF(K360:M360,"?*")&lt;N(INDEX(Setup!$L$6:$L$23,3)))+(COUNTIF(O360:Q360,"?*")&lt;N(INDEX(Setup!$L$6:$L$23,3)))+(COUNTIF(S360:U360,"?*")&lt;N(INDEX(Setup!$L$6:$L$23,3)))+((W360="")*(INDEX(Setup!$M$6:$M$23,3)="Y"))+((Y360="")*(INDEX(Setup!$M$6:$M$23,3)="Y")))</f>
        <v/>
      </c>
      <c r="AC360" s="90">
        <f>IF($B360="","",IF(AB360=0,"✓ covered","⚠ "&amp;AB360&amp;IF(AB360=1," gap"," gaps")))</f>
        <v/>
      </c>
    </row>
    <row r="361" ht="17" customHeight="1">
      <c r="A361" t="n">
        <v>8</v>
      </c>
      <c r="B361" s="29">
        <f>IF(Setup!$K$9="","",Setup!$K$9)</f>
        <v/>
      </c>
      <c r="C361" s="88" t="n"/>
      <c r="D361" s="88" t="n"/>
      <c r="E361" s="88" t="n"/>
      <c r="F361" s="89" t="n"/>
      <c r="G361" s="88" t="n"/>
      <c r="H361" s="88" t="n"/>
      <c r="I361" s="88" t="n"/>
      <c r="J361" s="89" t="n"/>
      <c r="K361" s="88" t="n"/>
      <c r="L361" s="88" t="n"/>
      <c r="M361" s="88" t="n"/>
      <c r="N361" s="89" t="n"/>
      <c r="O361" s="88" t="n"/>
      <c r="P361" s="88" t="n"/>
      <c r="Q361" s="88" t="n"/>
      <c r="R361" s="89" t="n"/>
      <c r="S361" s="88" t="n"/>
      <c r="T361" s="88" t="n"/>
      <c r="U361" s="88" t="n"/>
      <c r="V361" s="89" t="n"/>
      <c r="W361" s="88" t="n"/>
      <c r="X361" s="89" t="n"/>
      <c r="Y361" s="88" t="n"/>
      <c r="Z361" s="89" t="n"/>
      <c r="AB361" s="30">
        <f>IF($B361="","",(COUNTIF(C361:E361,"?*")&lt;N(INDEX(Setup!$L$6:$L$23,4)))+(COUNTIF(G361:I361,"?*")&lt;N(INDEX(Setup!$L$6:$L$23,4)))+(COUNTIF(K361:M361,"?*")&lt;N(INDEX(Setup!$L$6:$L$23,4)))+(COUNTIF(O361:Q361,"?*")&lt;N(INDEX(Setup!$L$6:$L$23,4)))+(COUNTIF(S361:U361,"?*")&lt;N(INDEX(Setup!$L$6:$L$23,4)))+((W361="")*(INDEX(Setup!$M$6:$M$23,4)="Y"))+((Y361="")*(INDEX(Setup!$M$6:$M$23,4)="Y")))</f>
        <v/>
      </c>
      <c r="AC361" s="91">
        <f>IF($B361="","",IF(AB361=0,"✓ covered","⚠ "&amp;AB361&amp;IF(AB361=1," gap"," gaps")))</f>
        <v/>
      </c>
    </row>
    <row r="362" ht="17" customHeight="1">
      <c r="A362" t="n">
        <v>8</v>
      </c>
      <c r="B362" s="24">
        <f>IF(Setup!$K$10="","",Setup!$K$10)</f>
        <v/>
      </c>
      <c r="C362" s="88" t="n"/>
      <c r="D362" s="88" t="n"/>
      <c r="E362" s="88" t="n"/>
      <c r="F362" s="89" t="n"/>
      <c r="G362" s="88" t="n"/>
      <c r="H362" s="88" t="n"/>
      <c r="I362" s="88" t="n"/>
      <c r="J362" s="89" t="n"/>
      <c r="K362" s="88" t="n"/>
      <c r="L362" s="88" t="n"/>
      <c r="M362" s="88" t="n"/>
      <c r="N362" s="89" t="n"/>
      <c r="O362" s="88" t="n"/>
      <c r="P362" s="88" t="n"/>
      <c r="Q362" s="88" t="n"/>
      <c r="R362" s="89" t="n"/>
      <c r="S362" s="88" t="n"/>
      <c r="T362" s="88" t="n"/>
      <c r="U362" s="88" t="n"/>
      <c r="V362" s="89" t="n"/>
      <c r="W362" s="88" t="n"/>
      <c r="X362" s="89" t="n"/>
      <c r="Y362" s="88" t="n"/>
      <c r="Z362" s="89" t="n"/>
      <c r="AB362" s="25">
        <f>IF($B362="","",(COUNTIF(C362:E362,"?*")&lt;N(INDEX(Setup!$L$6:$L$23,5)))+(COUNTIF(G362:I362,"?*")&lt;N(INDEX(Setup!$L$6:$L$23,5)))+(COUNTIF(K362:M362,"?*")&lt;N(INDEX(Setup!$L$6:$L$23,5)))+(COUNTIF(O362:Q362,"?*")&lt;N(INDEX(Setup!$L$6:$L$23,5)))+(COUNTIF(S362:U362,"?*")&lt;N(INDEX(Setup!$L$6:$L$23,5)))+((W362="")*(INDEX(Setup!$M$6:$M$23,5)="Y"))+((Y362="")*(INDEX(Setup!$M$6:$M$23,5)="Y")))</f>
        <v/>
      </c>
      <c r="AC362" s="90">
        <f>IF($B362="","",IF(AB362=0,"✓ covered","⚠ "&amp;AB362&amp;IF(AB362=1," gap"," gaps")))</f>
        <v/>
      </c>
    </row>
    <row r="363" ht="17" customHeight="1">
      <c r="A363" t="n">
        <v>8</v>
      </c>
      <c r="B363" s="29">
        <f>IF(Setup!$K$11="","",Setup!$K$11)</f>
        <v/>
      </c>
      <c r="C363" s="88" t="n"/>
      <c r="D363" s="88" t="n"/>
      <c r="E363" s="88" t="n"/>
      <c r="F363" s="89" t="n"/>
      <c r="G363" s="88" t="n"/>
      <c r="H363" s="88" t="n"/>
      <c r="I363" s="88" t="n"/>
      <c r="J363" s="89" t="n"/>
      <c r="K363" s="88" t="n"/>
      <c r="L363" s="88" t="n"/>
      <c r="M363" s="88" t="n"/>
      <c r="N363" s="89" t="n"/>
      <c r="O363" s="88" t="n"/>
      <c r="P363" s="88" t="n"/>
      <c r="Q363" s="88" t="n"/>
      <c r="R363" s="89" t="n"/>
      <c r="S363" s="88" t="n"/>
      <c r="T363" s="88" t="n"/>
      <c r="U363" s="88" t="n"/>
      <c r="V363" s="89" t="n"/>
      <c r="W363" s="88" t="n"/>
      <c r="X363" s="89" t="n"/>
      <c r="Y363" s="88" t="n"/>
      <c r="Z363" s="89" t="n"/>
      <c r="AB363" s="30">
        <f>IF($B363="","",(COUNTIF(C363:E363,"?*")&lt;N(INDEX(Setup!$L$6:$L$23,6)))+(COUNTIF(G363:I363,"?*")&lt;N(INDEX(Setup!$L$6:$L$23,6)))+(COUNTIF(K363:M363,"?*")&lt;N(INDEX(Setup!$L$6:$L$23,6)))+(COUNTIF(O363:Q363,"?*")&lt;N(INDEX(Setup!$L$6:$L$23,6)))+(COUNTIF(S363:U363,"?*")&lt;N(INDEX(Setup!$L$6:$L$23,6)))+((W363="")*(INDEX(Setup!$M$6:$M$23,6)="Y"))+((Y363="")*(INDEX(Setup!$M$6:$M$23,6)="Y")))</f>
        <v/>
      </c>
      <c r="AC363" s="91">
        <f>IF($B363="","",IF(AB363=0,"✓ covered","⚠ "&amp;AB363&amp;IF(AB363=1," gap"," gaps")))</f>
        <v/>
      </c>
    </row>
    <row r="364" ht="17" customHeight="1">
      <c r="A364" t="n">
        <v>8</v>
      </c>
      <c r="B364" s="24">
        <f>IF(Setup!$K$12="","",Setup!$K$12)</f>
        <v/>
      </c>
      <c r="C364" s="88" t="n"/>
      <c r="D364" s="88" t="n"/>
      <c r="E364" s="88" t="n"/>
      <c r="F364" s="89" t="n"/>
      <c r="G364" s="88" t="n"/>
      <c r="H364" s="88" t="n"/>
      <c r="I364" s="88" t="n"/>
      <c r="J364" s="89" t="n"/>
      <c r="K364" s="88" t="n"/>
      <c r="L364" s="88" t="n"/>
      <c r="M364" s="88" t="n"/>
      <c r="N364" s="89" t="n"/>
      <c r="O364" s="88" t="n"/>
      <c r="P364" s="88" t="n"/>
      <c r="Q364" s="88" t="n"/>
      <c r="R364" s="89" t="n"/>
      <c r="S364" s="88" t="n"/>
      <c r="T364" s="88" t="n"/>
      <c r="U364" s="88" t="n"/>
      <c r="V364" s="89" t="n"/>
      <c r="W364" s="88" t="n"/>
      <c r="X364" s="89" t="n"/>
      <c r="Y364" s="88" t="n"/>
      <c r="Z364" s="89" t="n"/>
      <c r="AB364" s="25">
        <f>IF($B364="","",(COUNTIF(C364:E364,"?*")&lt;N(INDEX(Setup!$L$6:$L$23,7)))+(COUNTIF(G364:I364,"?*")&lt;N(INDEX(Setup!$L$6:$L$23,7)))+(COUNTIF(K364:M364,"?*")&lt;N(INDEX(Setup!$L$6:$L$23,7)))+(COUNTIF(O364:Q364,"?*")&lt;N(INDEX(Setup!$L$6:$L$23,7)))+(COUNTIF(S364:U364,"?*")&lt;N(INDEX(Setup!$L$6:$L$23,7)))+((W364="")*(INDEX(Setup!$M$6:$M$23,7)="Y"))+((Y364="")*(INDEX(Setup!$M$6:$M$23,7)="Y")))</f>
        <v/>
      </c>
      <c r="AC364" s="90">
        <f>IF($B364="","",IF(AB364=0,"✓ covered","⚠ "&amp;AB364&amp;IF(AB364=1," gap"," gaps")))</f>
        <v/>
      </c>
    </row>
    <row r="365" ht="17" customHeight="1">
      <c r="A365" t="n">
        <v>8</v>
      </c>
      <c r="B365" s="29">
        <f>IF(Setup!$K$13="","",Setup!$K$13)</f>
        <v/>
      </c>
      <c r="C365" s="88" t="n"/>
      <c r="D365" s="88" t="n"/>
      <c r="E365" s="88" t="n"/>
      <c r="F365" s="89" t="n"/>
      <c r="G365" s="88" t="n"/>
      <c r="H365" s="88" t="n"/>
      <c r="I365" s="88" t="n"/>
      <c r="J365" s="89" t="n"/>
      <c r="K365" s="88" t="n"/>
      <c r="L365" s="88" t="n"/>
      <c r="M365" s="88" t="n"/>
      <c r="N365" s="89" t="n"/>
      <c r="O365" s="88" t="n"/>
      <c r="P365" s="88" t="n"/>
      <c r="Q365" s="88" t="n"/>
      <c r="R365" s="89" t="n"/>
      <c r="S365" s="88" t="n"/>
      <c r="T365" s="88" t="n"/>
      <c r="U365" s="88" t="n"/>
      <c r="V365" s="89" t="n"/>
      <c r="W365" s="88" t="n"/>
      <c r="X365" s="89" t="n"/>
      <c r="Y365" s="88" t="n"/>
      <c r="Z365" s="89" t="n"/>
      <c r="AB365" s="30">
        <f>IF($B365="","",(COUNTIF(C365:E365,"?*")&lt;N(INDEX(Setup!$L$6:$L$23,8)))+(COUNTIF(G365:I365,"?*")&lt;N(INDEX(Setup!$L$6:$L$23,8)))+(COUNTIF(K365:M365,"?*")&lt;N(INDEX(Setup!$L$6:$L$23,8)))+(COUNTIF(O365:Q365,"?*")&lt;N(INDEX(Setup!$L$6:$L$23,8)))+(COUNTIF(S365:U365,"?*")&lt;N(INDEX(Setup!$L$6:$L$23,8)))+((W365="")*(INDEX(Setup!$M$6:$M$23,8)="Y"))+((Y365="")*(INDEX(Setup!$M$6:$M$23,8)="Y")))</f>
        <v/>
      </c>
      <c r="AC365" s="91">
        <f>IF($B365="","",IF(AB365=0,"✓ covered","⚠ "&amp;AB365&amp;IF(AB365=1," gap"," gaps")))</f>
        <v/>
      </c>
    </row>
    <row r="366" ht="17" customHeight="1">
      <c r="A366" t="n">
        <v>8</v>
      </c>
      <c r="B366" s="24">
        <f>IF(Setup!$K$14="","",Setup!$K$14)</f>
        <v/>
      </c>
      <c r="C366" s="88" t="n"/>
      <c r="D366" s="88" t="n"/>
      <c r="E366" s="88" t="n"/>
      <c r="F366" s="89" t="n"/>
      <c r="G366" s="88" t="n"/>
      <c r="H366" s="88" t="n"/>
      <c r="I366" s="88" t="n"/>
      <c r="J366" s="89" t="n"/>
      <c r="K366" s="88" t="n"/>
      <c r="L366" s="88" t="n"/>
      <c r="M366" s="88" t="n"/>
      <c r="N366" s="89" t="n"/>
      <c r="O366" s="88" t="n"/>
      <c r="P366" s="88" t="n"/>
      <c r="Q366" s="88" t="n"/>
      <c r="R366" s="89" t="n"/>
      <c r="S366" s="88" t="n"/>
      <c r="T366" s="88" t="n"/>
      <c r="U366" s="88" t="n"/>
      <c r="V366" s="89" t="n"/>
      <c r="W366" s="88" t="n"/>
      <c r="X366" s="89" t="n"/>
      <c r="Y366" s="88" t="n"/>
      <c r="Z366" s="89" t="n"/>
      <c r="AB366" s="25">
        <f>IF($B366="","",(COUNTIF(C366:E366,"?*")&lt;N(INDEX(Setup!$L$6:$L$23,9)))+(COUNTIF(G366:I366,"?*")&lt;N(INDEX(Setup!$L$6:$L$23,9)))+(COUNTIF(K366:M366,"?*")&lt;N(INDEX(Setup!$L$6:$L$23,9)))+(COUNTIF(O366:Q366,"?*")&lt;N(INDEX(Setup!$L$6:$L$23,9)))+(COUNTIF(S366:U366,"?*")&lt;N(INDEX(Setup!$L$6:$L$23,9)))+((W366="")*(INDEX(Setup!$M$6:$M$23,9)="Y"))+((Y366="")*(INDEX(Setup!$M$6:$M$23,9)="Y")))</f>
        <v/>
      </c>
      <c r="AC366" s="90">
        <f>IF($B366="","",IF(AB366=0,"✓ covered","⚠ "&amp;AB366&amp;IF(AB366=1," gap"," gaps")))</f>
        <v/>
      </c>
    </row>
    <row r="367" ht="17" customHeight="1">
      <c r="A367" t="n">
        <v>8</v>
      </c>
      <c r="B367" s="29">
        <f>IF(Setup!$K$15="","",Setup!$K$15)</f>
        <v/>
      </c>
      <c r="C367" s="88" t="n"/>
      <c r="D367" s="88" t="n"/>
      <c r="E367" s="88" t="n"/>
      <c r="F367" s="89" t="n"/>
      <c r="G367" s="88" t="n"/>
      <c r="H367" s="88" t="n"/>
      <c r="I367" s="88" t="n"/>
      <c r="J367" s="89" t="n"/>
      <c r="K367" s="88" t="n"/>
      <c r="L367" s="88" t="n"/>
      <c r="M367" s="88" t="n"/>
      <c r="N367" s="89" t="n"/>
      <c r="O367" s="88" t="n"/>
      <c r="P367" s="88" t="n"/>
      <c r="Q367" s="88" t="n"/>
      <c r="R367" s="89" t="n"/>
      <c r="S367" s="88" t="n"/>
      <c r="T367" s="88" t="n"/>
      <c r="U367" s="88" t="n"/>
      <c r="V367" s="89" t="n"/>
      <c r="W367" s="88" t="n"/>
      <c r="X367" s="89" t="n"/>
      <c r="Y367" s="88" t="n"/>
      <c r="Z367" s="89" t="n"/>
      <c r="AB367" s="30">
        <f>IF($B367="","",(COUNTIF(C367:E367,"?*")&lt;N(INDEX(Setup!$L$6:$L$23,10)))+(COUNTIF(G367:I367,"?*")&lt;N(INDEX(Setup!$L$6:$L$23,10)))+(COUNTIF(K367:M367,"?*")&lt;N(INDEX(Setup!$L$6:$L$23,10)))+(COUNTIF(O367:Q367,"?*")&lt;N(INDEX(Setup!$L$6:$L$23,10)))+(COUNTIF(S367:U367,"?*")&lt;N(INDEX(Setup!$L$6:$L$23,10)))+((W367="")*(INDEX(Setup!$M$6:$M$23,10)="Y"))+((Y367="")*(INDEX(Setup!$M$6:$M$23,10)="Y")))</f>
        <v/>
      </c>
      <c r="AC367" s="91">
        <f>IF($B367="","",IF(AB367=0,"✓ covered","⚠ "&amp;AB367&amp;IF(AB367=1," gap"," gaps")))</f>
        <v/>
      </c>
    </row>
    <row r="368" ht="17" customHeight="1">
      <c r="A368" t="n">
        <v>8</v>
      </c>
      <c r="B368" s="24">
        <f>IF(Setup!$K$16="","",Setup!$K$16)</f>
        <v/>
      </c>
      <c r="C368" s="88" t="n"/>
      <c r="D368" s="88" t="n"/>
      <c r="E368" s="88" t="n"/>
      <c r="F368" s="89" t="n"/>
      <c r="G368" s="88" t="n"/>
      <c r="H368" s="88" t="n"/>
      <c r="I368" s="88" t="n"/>
      <c r="J368" s="89" t="n"/>
      <c r="K368" s="88" t="n"/>
      <c r="L368" s="88" t="n"/>
      <c r="M368" s="88" t="n"/>
      <c r="N368" s="89" t="n"/>
      <c r="O368" s="88" t="n"/>
      <c r="P368" s="88" t="n"/>
      <c r="Q368" s="88" t="n"/>
      <c r="R368" s="89" t="n"/>
      <c r="S368" s="88" t="n"/>
      <c r="T368" s="88" t="n"/>
      <c r="U368" s="88" t="n"/>
      <c r="V368" s="89" t="n"/>
      <c r="W368" s="88" t="n"/>
      <c r="X368" s="89" t="n"/>
      <c r="Y368" s="88" t="n"/>
      <c r="Z368" s="89" t="n"/>
      <c r="AB368" s="25">
        <f>IF($B368="","",(COUNTIF(C368:E368,"?*")&lt;N(INDEX(Setup!$L$6:$L$23,11)))+(COUNTIF(G368:I368,"?*")&lt;N(INDEX(Setup!$L$6:$L$23,11)))+(COUNTIF(K368:M368,"?*")&lt;N(INDEX(Setup!$L$6:$L$23,11)))+(COUNTIF(O368:Q368,"?*")&lt;N(INDEX(Setup!$L$6:$L$23,11)))+(COUNTIF(S368:U368,"?*")&lt;N(INDEX(Setup!$L$6:$L$23,11)))+((W368="")*(INDEX(Setup!$M$6:$M$23,11)="Y"))+((Y368="")*(INDEX(Setup!$M$6:$M$23,11)="Y")))</f>
        <v/>
      </c>
      <c r="AC368" s="90">
        <f>IF($B368="","",IF(AB368=0,"✓ covered","⚠ "&amp;AB368&amp;IF(AB368=1," gap"," gaps")))</f>
        <v/>
      </c>
    </row>
    <row r="369" ht="17" customHeight="1">
      <c r="A369" t="n">
        <v>8</v>
      </c>
      <c r="B369" s="29">
        <f>IF(Setup!$K$17="","",Setup!$K$17)</f>
        <v/>
      </c>
      <c r="C369" s="88" t="n"/>
      <c r="D369" s="88" t="n"/>
      <c r="E369" s="88" t="n"/>
      <c r="F369" s="89" t="n"/>
      <c r="G369" s="88" t="n"/>
      <c r="H369" s="88" t="n"/>
      <c r="I369" s="88" t="n"/>
      <c r="J369" s="89" t="n"/>
      <c r="K369" s="88" t="n"/>
      <c r="L369" s="88" t="n"/>
      <c r="M369" s="88" t="n"/>
      <c r="N369" s="89" t="n"/>
      <c r="O369" s="88" t="n"/>
      <c r="P369" s="88" t="n"/>
      <c r="Q369" s="88" t="n"/>
      <c r="R369" s="89" t="n"/>
      <c r="S369" s="88" t="n"/>
      <c r="T369" s="88" t="n"/>
      <c r="U369" s="88" t="n"/>
      <c r="V369" s="89" t="n"/>
      <c r="W369" s="88" t="n"/>
      <c r="X369" s="89" t="n"/>
      <c r="Y369" s="88" t="n"/>
      <c r="Z369" s="89" t="n"/>
      <c r="AB369" s="30">
        <f>IF($B369="","",(COUNTIF(C369:E369,"?*")&lt;N(INDEX(Setup!$L$6:$L$23,12)))+(COUNTIF(G369:I369,"?*")&lt;N(INDEX(Setup!$L$6:$L$23,12)))+(COUNTIF(K369:M369,"?*")&lt;N(INDEX(Setup!$L$6:$L$23,12)))+(COUNTIF(O369:Q369,"?*")&lt;N(INDEX(Setup!$L$6:$L$23,12)))+(COUNTIF(S369:U369,"?*")&lt;N(INDEX(Setup!$L$6:$L$23,12)))+((W369="")*(INDEX(Setup!$M$6:$M$23,12)="Y"))+((Y369="")*(INDEX(Setup!$M$6:$M$23,12)="Y")))</f>
        <v/>
      </c>
      <c r="AC369" s="91">
        <f>IF($B369="","",IF(AB369=0,"✓ covered","⚠ "&amp;AB369&amp;IF(AB369=1," gap"," gaps")))</f>
        <v/>
      </c>
    </row>
    <row r="370" ht="17" customHeight="1">
      <c r="A370" t="n">
        <v>8</v>
      </c>
      <c r="B370" s="24">
        <f>IF(Setup!$K$18="","",Setup!$K$18)</f>
        <v/>
      </c>
      <c r="C370" s="88" t="n"/>
      <c r="D370" s="88" t="n"/>
      <c r="E370" s="88" t="n"/>
      <c r="F370" s="89" t="n"/>
      <c r="G370" s="88" t="n"/>
      <c r="H370" s="88" t="n"/>
      <c r="I370" s="88" t="n"/>
      <c r="J370" s="89" t="n"/>
      <c r="K370" s="88" t="n"/>
      <c r="L370" s="88" t="n"/>
      <c r="M370" s="88" t="n"/>
      <c r="N370" s="89" t="n"/>
      <c r="O370" s="88" t="n"/>
      <c r="P370" s="88" t="n"/>
      <c r="Q370" s="88" t="n"/>
      <c r="R370" s="89" t="n"/>
      <c r="S370" s="88" t="n"/>
      <c r="T370" s="88" t="n"/>
      <c r="U370" s="88" t="n"/>
      <c r="V370" s="89" t="n"/>
      <c r="W370" s="88" t="n"/>
      <c r="X370" s="89" t="n"/>
      <c r="Y370" s="88" t="n"/>
      <c r="Z370" s="89" t="n"/>
      <c r="AB370" s="25">
        <f>IF($B370="","",(COUNTIF(C370:E370,"?*")&lt;N(INDEX(Setup!$L$6:$L$23,13)))+(COUNTIF(G370:I370,"?*")&lt;N(INDEX(Setup!$L$6:$L$23,13)))+(COUNTIF(K370:M370,"?*")&lt;N(INDEX(Setup!$L$6:$L$23,13)))+(COUNTIF(O370:Q370,"?*")&lt;N(INDEX(Setup!$L$6:$L$23,13)))+(COUNTIF(S370:U370,"?*")&lt;N(INDEX(Setup!$L$6:$L$23,13)))+((W370="")*(INDEX(Setup!$M$6:$M$23,13)="Y"))+((Y370="")*(INDEX(Setup!$M$6:$M$23,13)="Y")))</f>
        <v/>
      </c>
      <c r="AC370" s="90">
        <f>IF($B370="","",IF(AB370=0,"✓ covered","⚠ "&amp;AB370&amp;IF(AB370=1," gap"," gaps")))</f>
        <v/>
      </c>
    </row>
    <row r="371" ht="17" customHeight="1">
      <c r="A371" t="n">
        <v>8</v>
      </c>
      <c r="B371" s="29">
        <f>IF(Setup!$K$19="","",Setup!$K$19)</f>
        <v/>
      </c>
      <c r="C371" s="88" t="n"/>
      <c r="D371" s="88" t="n"/>
      <c r="E371" s="88" t="n"/>
      <c r="F371" s="89" t="n"/>
      <c r="G371" s="88" t="n"/>
      <c r="H371" s="88" t="n"/>
      <c r="I371" s="88" t="n"/>
      <c r="J371" s="89" t="n"/>
      <c r="K371" s="88" t="n"/>
      <c r="L371" s="88" t="n"/>
      <c r="M371" s="88" t="n"/>
      <c r="N371" s="89" t="n"/>
      <c r="O371" s="88" t="n"/>
      <c r="P371" s="88" t="n"/>
      <c r="Q371" s="88" t="n"/>
      <c r="R371" s="89" t="n"/>
      <c r="S371" s="88" t="n"/>
      <c r="T371" s="88" t="n"/>
      <c r="U371" s="88" t="n"/>
      <c r="V371" s="89" t="n"/>
      <c r="W371" s="88" t="n"/>
      <c r="X371" s="89" t="n"/>
      <c r="Y371" s="88" t="n"/>
      <c r="Z371" s="89" t="n"/>
      <c r="AB371" s="30">
        <f>IF($B371="","",(COUNTIF(C371:E371,"?*")&lt;N(INDEX(Setup!$L$6:$L$23,14)))+(COUNTIF(G371:I371,"?*")&lt;N(INDEX(Setup!$L$6:$L$23,14)))+(COUNTIF(K371:M371,"?*")&lt;N(INDEX(Setup!$L$6:$L$23,14)))+(COUNTIF(O371:Q371,"?*")&lt;N(INDEX(Setup!$L$6:$L$23,14)))+(COUNTIF(S371:U371,"?*")&lt;N(INDEX(Setup!$L$6:$L$23,14)))+((W371="")*(INDEX(Setup!$M$6:$M$23,14)="Y"))+((Y371="")*(INDEX(Setup!$M$6:$M$23,14)="Y")))</f>
        <v/>
      </c>
      <c r="AC371" s="91">
        <f>IF($B371="","",IF(AB371=0,"✓ covered","⚠ "&amp;AB371&amp;IF(AB371=1," gap"," gaps")))</f>
        <v/>
      </c>
    </row>
    <row r="372" ht="17" customHeight="1">
      <c r="A372" t="n">
        <v>8</v>
      </c>
      <c r="B372" s="24">
        <f>IF(Setup!$K$20="","",Setup!$K$20)</f>
        <v/>
      </c>
      <c r="C372" s="88" t="n"/>
      <c r="D372" s="88" t="n"/>
      <c r="E372" s="88" t="n"/>
      <c r="F372" s="89" t="n"/>
      <c r="G372" s="88" t="n"/>
      <c r="H372" s="88" t="n"/>
      <c r="I372" s="88" t="n"/>
      <c r="J372" s="89" t="n"/>
      <c r="K372" s="88" t="n"/>
      <c r="L372" s="88" t="n"/>
      <c r="M372" s="88" t="n"/>
      <c r="N372" s="89" t="n"/>
      <c r="O372" s="88" t="n"/>
      <c r="P372" s="88" t="n"/>
      <c r="Q372" s="88" t="n"/>
      <c r="R372" s="89" t="n"/>
      <c r="S372" s="88" t="n"/>
      <c r="T372" s="88" t="n"/>
      <c r="U372" s="88" t="n"/>
      <c r="V372" s="89" t="n"/>
      <c r="W372" s="88" t="n"/>
      <c r="X372" s="89" t="n"/>
      <c r="Y372" s="88" t="n"/>
      <c r="Z372" s="89" t="n"/>
      <c r="AB372" s="25">
        <f>IF($B372="","",(COUNTIF(C372:E372,"?*")&lt;N(INDEX(Setup!$L$6:$L$23,15)))+(COUNTIF(G372:I372,"?*")&lt;N(INDEX(Setup!$L$6:$L$23,15)))+(COUNTIF(K372:M372,"?*")&lt;N(INDEX(Setup!$L$6:$L$23,15)))+(COUNTIF(O372:Q372,"?*")&lt;N(INDEX(Setup!$L$6:$L$23,15)))+(COUNTIF(S372:U372,"?*")&lt;N(INDEX(Setup!$L$6:$L$23,15)))+((W372="")*(INDEX(Setup!$M$6:$M$23,15)="Y"))+((Y372="")*(INDEX(Setup!$M$6:$M$23,15)="Y")))</f>
        <v/>
      </c>
      <c r="AC372" s="90">
        <f>IF($B372="","",IF(AB372=0,"✓ covered","⚠ "&amp;AB372&amp;IF(AB372=1," gap"," gaps")))</f>
        <v/>
      </c>
    </row>
    <row r="373" ht="17" customHeight="1">
      <c r="A373" t="n">
        <v>8</v>
      </c>
      <c r="B373" s="29">
        <f>IF(Setup!$K$21="","",Setup!$K$21)</f>
        <v/>
      </c>
      <c r="C373" s="88" t="n"/>
      <c r="D373" s="88" t="n"/>
      <c r="E373" s="88" t="n"/>
      <c r="F373" s="89" t="n"/>
      <c r="G373" s="88" t="n"/>
      <c r="H373" s="88" t="n"/>
      <c r="I373" s="88" t="n"/>
      <c r="J373" s="89" t="n"/>
      <c r="K373" s="88" t="n"/>
      <c r="L373" s="88" t="n"/>
      <c r="M373" s="88" t="n"/>
      <c r="N373" s="89" t="n"/>
      <c r="O373" s="88" t="n"/>
      <c r="P373" s="88" t="n"/>
      <c r="Q373" s="88" t="n"/>
      <c r="R373" s="89" t="n"/>
      <c r="S373" s="88" t="n"/>
      <c r="T373" s="88" t="n"/>
      <c r="U373" s="88" t="n"/>
      <c r="V373" s="89" t="n"/>
      <c r="W373" s="88" t="n"/>
      <c r="X373" s="89" t="n"/>
      <c r="Y373" s="88" t="n"/>
      <c r="Z373" s="89" t="n"/>
      <c r="AB373" s="30">
        <f>IF($B373="","",(COUNTIF(C373:E373,"?*")&lt;N(INDEX(Setup!$L$6:$L$23,16)))+(COUNTIF(G373:I373,"?*")&lt;N(INDEX(Setup!$L$6:$L$23,16)))+(COUNTIF(K373:M373,"?*")&lt;N(INDEX(Setup!$L$6:$L$23,16)))+(COUNTIF(O373:Q373,"?*")&lt;N(INDEX(Setup!$L$6:$L$23,16)))+(COUNTIF(S373:U373,"?*")&lt;N(INDEX(Setup!$L$6:$L$23,16)))+((W373="")*(INDEX(Setup!$M$6:$M$23,16)="Y"))+((Y373="")*(INDEX(Setup!$M$6:$M$23,16)="Y")))</f>
        <v/>
      </c>
      <c r="AC373" s="91">
        <f>IF($B373="","",IF(AB373=0,"✓ covered","⚠ "&amp;AB373&amp;IF(AB373=1," gap"," gaps")))</f>
        <v/>
      </c>
    </row>
    <row r="374" ht="17" customHeight="1">
      <c r="A374" t="n">
        <v>8</v>
      </c>
      <c r="B374" s="24">
        <f>IF(Setup!$K$22="","",Setup!$K$22)</f>
        <v/>
      </c>
      <c r="C374" s="88" t="n"/>
      <c r="D374" s="88" t="n"/>
      <c r="E374" s="88" t="n"/>
      <c r="F374" s="89" t="n"/>
      <c r="G374" s="88" t="n"/>
      <c r="H374" s="88" t="n"/>
      <c r="I374" s="88" t="n"/>
      <c r="J374" s="89" t="n"/>
      <c r="K374" s="88" t="n"/>
      <c r="L374" s="88" t="n"/>
      <c r="M374" s="88" t="n"/>
      <c r="N374" s="89" t="n"/>
      <c r="O374" s="88" t="n"/>
      <c r="P374" s="88" t="n"/>
      <c r="Q374" s="88" t="n"/>
      <c r="R374" s="89" t="n"/>
      <c r="S374" s="88" t="n"/>
      <c r="T374" s="88" t="n"/>
      <c r="U374" s="88" t="n"/>
      <c r="V374" s="89" t="n"/>
      <c r="W374" s="88" t="n"/>
      <c r="X374" s="89" t="n"/>
      <c r="Y374" s="88" t="n"/>
      <c r="Z374" s="89" t="n"/>
      <c r="AB374" s="25">
        <f>IF($B374="","",(COUNTIF(C374:E374,"?*")&lt;N(INDEX(Setup!$L$6:$L$23,17)))+(COUNTIF(G374:I374,"?*")&lt;N(INDEX(Setup!$L$6:$L$23,17)))+(COUNTIF(K374:M374,"?*")&lt;N(INDEX(Setup!$L$6:$L$23,17)))+(COUNTIF(O374:Q374,"?*")&lt;N(INDEX(Setup!$L$6:$L$23,17)))+(COUNTIF(S374:U374,"?*")&lt;N(INDEX(Setup!$L$6:$L$23,17)))+((W374="")*(INDEX(Setup!$M$6:$M$23,17)="Y"))+((Y374="")*(INDEX(Setup!$M$6:$M$23,17)="Y")))</f>
        <v/>
      </c>
      <c r="AC374" s="90">
        <f>IF($B374="","",IF(AB374=0,"✓ covered","⚠ "&amp;AB374&amp;IF(AB374=1," gap"," gaps")))</f>
        <v/>
      </c>
    </row>
    <row r="375" ht="17" customHeight="1">
      <c r="A375" t="n">
        <v>8</v>
      </c>
      <c r="B375" s="29">
        <f>IF(Setup!$K$23="","",Setup!$K$23)</f>
        <v/>
      </c>
      <c r="C375" s="88" t="n"/>
      <c r="D375" s="88" t="n"/>
      <c r="E375" s="88" t="n"/>
      <c r="F375" s="89" t="n"/>
      <c r="G375" s="88" t="n"/>
      <c r="H375" s="88" t="n"/>
      <c r="I375" s="88" t="n"/>
      <c r="J375" s="89" t="n"/>
      <c r="K375" s="88" t="n"/>
      <c r="L375" s="88" t="n"/>
      <c r="M375" s="88" t="n"/>
      <c r="N375" s="89" t="n"/>
      <c r="O375" s="88" t="n"/>
      <c r="P375" s="88" t="n"/>
      <c r="Q375" s="88" t="n"/>
      <c r="R375" s="89" t="n"/>
      <c r="S375" s="88" t="n"/>
      <c r="T375" s="88" t="n"/>
      <c r="U375" s="88" t="n"/>
      <c r="V375" s="89" t="n"/>
      <c r="W375" s="88" t="n"/>
      <c r="X375" s="89" t="n"/>
      <c r="Y375" s="88" t="n"/>
      <c r="Z375" s="89" t="n"/>
      <c r="AB375" s="30">
        <f>IF($B375="","",(COUNTIF(C375:E375,"?*")&lt;N(INDEX(Setup!$L$6:$L$23,18)))+(COUNTIF(G375:I375,"?*")&lt;N(INDEX(Setup!$L$6:$L$23,18)))+(COUNTIF(K375:M375,"?*")&lt;N(INDEX(Setup!$L$6:$L$23,18)))+(COUNTIF(O375:Q375,"?*")&lt;N(INDEX(Setup!$L$6:$L$23,18)))+(COUNTIF(S375:U375,"?*")&lt;N(INDEX(Setup!$L$6:$L$23,18)))+((W375="")*(INDEX(Setup!$M$6:$M$23,18)="Y"))+((Y375="")*(INDEX(Setup!$M$6:$M$23,18)="Y")))</f>
        <v/>
      </c>
      <c r="AC375" s="91">
        <f>IF($B375="","",IF(AB375=0,"✓ covered","⚠ "&amp;AB375&amp;IF(AB375=1," gap"," gaps")))</f>
        <v/>
      </c>
    </row>
    <row r="376" ht="18" customHeight="1">
      <c r="A376" t="n">
        <v>8</v>
      </c>
      <c r="B376" s="78" t="inlineStr">
        <is>
          <t>TEAM AVAILABILITY</t>
        </is>
      </c>
      <c r="C376" s="92" t="inlineStr">
        <is>
          <t>Mon</t>
        </is>
      </c>
      <c r="D376" s="93" t="n"/>
      <c r="E376" s="93" t="n"/>
      <c r="F376" s="94" t="n"/>
      <c r="G376" s="92" t="inlineStr">
        <is>
          <t>Tue</t>
        </is>
      </c>
      <c r="H376" s="93" t="n"/>
      <c r="I376" s="93" t="n"/>
      <c r="J376" s="94" t="n"/>
      <c r="K376" s="92" t="inlineStr">
        <is>
          <t>Wed</t>
        </is>
      </c>
      <c r="L376" s="93" t="n"/>
      <c r="M376" s="93" t="n"/>
      <c r="N376" s="94" t="n"/>
      <c r="O376" s="92" t="inlineStr">
        <is>
          <t>Thu</t>
        </is>
      </c>
      <c r="P376" s="93" t="n"/>
      <c r="Q376" s="93" t="n"/>
      <c r="R376" s="94" t="n"/>
      <c r="S376" s="92" t="inlineStr">
        <is>
          <t>Fri</t>
        </is>
      </c>
      <c r="T376" s="93" t="n"/>
      <c r="U376" s="93" t="n"/>
      <c r="V376" s="94" t="n"/>
      <c r="W376" s="95" t="inlineStr">
        <is>
          <t>Sat</t>
        </is>
      </c>
      <c r="X376" s="96" t="n"/>
      <c r="Y376" s="95" t="inlineStr">
        <is>
          <t>Sun</t>
        </is>
      </c>
      <c r="Z376" s="96" t="n"/>
      <c r="AB376" s="97" t="inlineStr">
        <is>
          <t>Days rostered</t>
        </is>
      </c>
      <c r="AC376" s="97" t="inlineStr">
        <is>
          <t>Conflicts</t>
        </is>
      </c>
    </row>
    <row r="377" ht="15" customHeight="1">
      <c r="A377" t="n">
        <v>8</v>
      </c>
      <c r="B377" s="35">
        <f>IF(Setup!$B$6="","",Setup!$B$6)</f>
        <v/>
      </c>
      <c r="C377" s="98" t="n"/>
      <c r="D377" s="99" t="n"/>
      <c r="E377" s="99" t="n"/>
      <c r="F377" s="100" t="n"/>
      <c r="G377" s="98" t="n"/>
      <c r="H377" s="99" t="n"/>
      <c r="I377" s="99" t="n"/>
      <c r="J377" s="100" t="n"/>
      <c r="K377" s="98" t="n"/>
      <c r="L377" s="99" t="n"/>
      <c r="M377" s="99" t="n"/>
      <c r="N377" s="100" t="n"/>
      <c r="O377" s="98" t="n"/>
      <c r="P377" s="99" t="n"/>
      <c r="Q377" s="99" t="n"/>
      <c r="R377" s="100" t="n"/>
      <c r="S377" s="98" t="n"/>
      <c r="T377" s="99" t="n"/>
      <c r="U377" s="99" t="n"/>
      <c r="V377" s="100" t="n"/>
      <c r="W377" s="98" t="n"/>
      <c r="X377" s="100" t="n"/>
      <c r="Y377" s="98" t="n"/>
      <c r="Z377" s="100" t="n"/>
      <c r="AB377" s="101">
        <f>IF($B377="","",(COUNTIF(C358:E375,$B377)+COUNTIF(C358:E375,$B377&amp;" ~*")&gt;0)+(COUNTIF(G358:I375,$B377)+COUNTIF(G358:I375,$B377&amp;" ~*")&gt;0)+(COUNTIF(K358:M375,$B377)+COUNTIF(K358:M375,$B377&amp;" ~*")&gt;0)+(COUNTIF(O358:Q375,$B377)+COUNTIF(O358:Q375,$B377&amp;" ~*")&gt;0)+(COUNTIF(S358:U375,$B377)+COUNTIF(S358:U375,$B377&amp;" ~*")&gt;0)+(COUNTIF(W358:W375,$B377)+COUNTIF(W358:W375,$B377&amp;" ~*")&gt;0)+(COUNTIF(Y358:Y375,$B377)+COUNTIF(Y358:Y375,$B377&amp;" ~*")&gt;0))</f>
        <v/>
      </c>
      <c r="AC377" s="36">
        <f>IF($B377="","",(IFERROR(INDEX(Setup!$G$33:$G$40,MATCH(C377,Setup!$B$33:$B$40,0)),0)=1)*(COUNTIF(C358:E375,$B377)+COUNTIF(C358:E375,$B377&amp;" ~*")&gt;0)+(IFERROR(INDEX(Setup!$G$33:$G$40,MATCH(G377,Setup!$B$33:$B$40,0)),0)=1)*(COUNTIF(G358:I375,$B377)+COUNTIF(G358:I375,$B377&amp;" ~*")&gt;0)+(IFERROR(INDEX(Setup!$G$33:$G$40,MATCH(K377,Setup!$B$33:$B$40,0)),0)=1)*(COUNTIF(K358:M375,$B377)+COUNTIF(K358:M375,$B377&amp;" ~*")&gt;0)+(IFERROR(INDEX(Setup!$G$33:$G$40,MATCH(O377,Setup!$B$33:$B$40,0)),0)=1)*(COUNTIF(O358:Q375,$B377)+COUNTIF(O358:Q375,$B377&amp;" ~*")&gt;0)+(IFERROR(INDEX(Setup!$G$33:$G$40,MATCH(S377,Setup!$B$33:$B$40,0)),0)=1)*(COUNTIF(S358:U375,$B377)+COUNTIF(S358:U375,$B377&amp;" ~*")&gt;0)+(IFERROR(INDEX(Setup!$G$33:$G$40,MATCH(W377,Setup!$B$33:$B$40,0)),0)=1)*(COUNTIF(W358:W375,$B377)+COUNTIF(W358:W375,$B377&amp;" ~*")&gt;0)+(IFERROR(INDEX(Setup!$G$33:$G$40,MATCH(Y377,Setup!$B$33:$B$40,0)),0)=1)*(COUNTIF(Y358:Y375,$B377)+COUNTIF(Y358:Y375,$B377&amp;" ~*")&gt;0))</f>
        <v/>
      </c>
    </row>
    <row r="378" ht="15" customHeight="1">
      <c r="A378" t="n">
        <v>8</v>
      </c>
      <c r="B378" s="37">
        <f>IF(Setup!$B$7="","",Setup!$B$7)</f>
        <v/>
      </c>
      <c r="C378" s="102" t="n"/>
      <c r="D378" s="103" t="n"/>
      <c r="E378" s="103" t="n"/>
      <c r="F378" s="104" t="n"/>
      <c r="G378" s="102" t="n"/>
      <c r="H378" s="103" t="n"/>
      <c r="I378" s="103" t="n"/>
      <c r="J378" s="104" t="n"/>
      <c r="K378" s="102" t="n"/>
      <c r="L378" s="103" t="n"/>
      <c r="M378" s="103" t="n"/>
      <c r="N378" s="104" t="n"/>
      <c r="O378" s="102" t="n"/>
      <c r="P378" s="103" t="n"/>
      <c r="Q378" s="103" t="n"/>
      <c r="R378" s="104" t="n"/>
      <c r="S378" s="102" t="n"/>
      <c r="T378" s="103" t="n"/>
      <c r="U378" s="103" t="n"/>
      <c r="V378" s="104" t="n"/>
      <c r="W378" s="102" t="n"/>
      <c r="X378" s="104" t="n"/>
      <c r="Y378" s="102" t="n"/>
      <c r="Z378" s="104" t="n"/>
      <c r="AB378" s="105">
        <f>IF($B378="","",(COUNTIF(C358:E375,$B378)+COUNTIF(C358:E375,$B378&amp;" ~*")&gt;0)+(COUNTIF(G358:I375,$B378)+COUNTIF(G358:I375,$B378&amp;" ~*")&gt;0)+(COUNTIF(K358:M375,$B378)+COUNTIF(K358:M375,$B378&amp;" ~*")&gt;0)+(COUNTIF(O358:Q375,$B378)+COUNTIF(O358:Q375,$B378&amp;" ~*")&gt;0)+(COUNTIF(S358:U375,$B378)+COUNTIF(S358:U375,$B378&amp;" ~*")&gt;0)+(COUNTIF(W358:W375,$B378)+COUNTIF(W358:W375,$B378&amp;" ~*")&gt;0)+(COUNTIF(Y358:Y375,$B378)+COUNTIF(Y358:Y375,$B378&amp;" ~*")&gt;0))</f>
        <v/>
      </c>
      <c r="AC378" s="38">
        <f>IF($B378="","",(IFERROR(INDEX(Setup!$G$33:$G$40,MATCH(C378,Setup!$B$33:$B$40,0)),0)=1)*(COUNTIF(C358:E375,$B378)+COUNTIF(C358:E375,$B378&amp;" ~*")&gt;0)+(IFERROR(INDEX(Setup!$G$33:$G$40,MATCH(G378,Setup!$B$33:$B$40,0)),0)=1)*(COUNTIF(G358:I375,$B378)+COUNTIF(G358:I375,$B378&amp;" ~*")&gt;0)+(IFERROR(INDEX(Setup!$G$33:$G$40,MATCH(K378,Setup!$B$33:$B$40,0)),0)=1)*(COUNTIF(K358:M375,$B378)+COUNTIF(K358:M375,$B378&amp;" ~*")&gt;0)+(IFERROR(INDEX(Setup!$G$33:$G$40,MATCH(O378,Setup!$B$33:$B$40,0)),0)=1)*(COUNTIF(O358:Q375,$B378)+COUNTIF(O358:Q375,$B378&amp;" ~*")&gt;0)+(IFERROR(INDEX(Setup!$G$33:$G$40,MATCH(S378,Setup!$B$33:$B$40,0)),0)=1)*(COUNTIF(S358:U375,$B378)+COUNTIF(S358:U375,$B378&amp;" ~*")&gt;0)+(IFERROR(INDEX(Setup!$G$33:$G$40,MATCH(W378,Setup!$B$33:$B$40,0)),0)=1)*(COUNTIF(W358:W375,$B378)+COUNTIF(W358:W375,$B378&amp;" ~*")&gt;0)+(IFERROR(INDEX(Setup!$G$33:$G$40,MATCH(Y378,Setup!$B$33:$B$40,0)),0)=1)*(COUNTIF(Y358:Y375,$B378)+COUNTIF(Y358:Y375,$B378&amp;" ~*")&gt;0))</f>
        <v/>
      </c>
    </row>
    <row r="379" ht="15" customHeight="1">
      <c r="A379" t="n">
        <v>8</v>
      </c>
      <c r="B379" s="35">
        <f>IF(Setup!$B$8="","",Setup!$B$8)</f>
        <v/>
      </c>
      <c r="C379" s="98" t="n"/>
      <c r="D379" s="99" t="n"/>
      <c r="E379" s="99" t="n"/>
      <c r="F379" s="100" t="n"/>
      <c r="G379" s="98" t="n"/>
      <c r="H379" s="99" t="n"/>
      <c r="I379" s="99" t="n"/>
      <c r="J379" s="100" t="n"/>
      <c r="K379" s="98" t="n"/>
      <c r="L379" s="99" t="n"/>
      <c r="M379" s="99" t="n"/>
      <c r="N379" s="100" t="n"/>
      <c r="O379" s="98" t="n"/>
      <c r="P379" s="99" t="n"/>
      <c r="Q379" s="99" t="n"/>
      <c r="R379" s="100" t="n"/>
      <c r="S379" s="98" t="n"/>
      <c r="T379" s="99" t="n"/>
      <c r="U379" s="99" t="n"/>
      <c r="V379" s="100" t="n"/>
      <c r="W379" s="98" t="n"/>
      <c r="X379" s="100" t="n"/>
      <c r="Y379" s="98" t="n"/>
      <c r="Z379" s="100" t="n"/>
      <c r="AB379" s="101">
        <f>IF($B379="","",(COUNTIF(C358:E375,$B379)+COUNTIF(C358:E375,$B379&amp;" ~*")&gt;0)+(COUNTIF(G358:I375,$B379)+COUNTIF(G358:I375,$B379&amp;" ~*")&gt;0)+(COUNTIF(K358:M375,$B379)+COUNTIF(K358:M375,$B379&amp;" ~*")&gt;0)+(COUNTIF(O358:Q375,$B379)+COUNTIF(O358:Q375,$B379&amp;" ~*")&gt;0)+(COUNTIF(S358:U375,$B379)+COUNTIF(S358:U375,$B379&amp;" ~*")&gt;0)+(COUNTIF(W358:W375,$B379)+COUNTIF(W358:W375,$B379&amp;" ~*")&gt;0)+(COUNTIF(Y358:Y375,$B379)+COUNTIF(Y358:Y375,$B379&amp;" ~*")&gt;0))</f>
        <v/>
      </c>
      <c r="AC379" s="36">
        <f>IF($B379="","",(IFERROR(INDEX(Setup!$G$33:$G$40,MATCH(C379,Setup!$B$33:$B$40,0)),0)=1)*(COUNTIF(C358:E375,$B379)+COUNTIF(C358:E375,$B379&amp;" ~*")&gt;0)+(IFERROR(INDEX(Setup!$G$33:$G$40,MATCH(G379,Setup!$B$33:$B$40,0)),0)=1)*(COUNTIF(G358:I375,$B379)+COUNTIF(G358:I375,$B379&amp;" ~*")&gt;0)+(IFERROR(INDEX(Setup!$G$33:$G$40,MATCH(K379,Setup!$B$33:$B$40,0)),0)=1)*(COUNTIF(K358:M375,$B379)+COUNTIF(K358:M375,$B379&amp;" ~*")&gt;0)+(IFERROR(INDEX(Setup!$G$33:$G$40,MATCH(O379,Setup!$B$33:$B$40,0)),0)=1)*(COUNTIF(O358:Q375,$B379)+COUNTIF(O358:Q375,$B379&amp;" ~*")&gt;0)+(IFERROR(INDEX(Setup!$G$33:$G$40,MATCH(S379,Setup!$B$33:$B$40,0)),0)=1)*(COUNTIF(S358:U375,$B379)+COUNTIF(S358:U375,$B379&amp;" ~*")&gt;0)+(IFERROR(INDEX(Setup!$G$33:$G$40,MATCH(W379,Setup!$B$33:$B$40,0)),0)=1)*(COUNTIF(W358:W375,$B379)+COUNTIF(W358:W375,$B379&amp;" ~*")&gt;0)+(IFERROR(INDEX(Setup!$G$33:$G$40,MATCH(Y379,Setup!$B$33:$B$40,0)),0)=1)*(COUNTIF(Y358:Y375,$B379)+COUNTIF(Y358:Y375,$B379&amp;" ~*")&gt;0))</f>
        <v/>
      </c>
    </row>
    <row r="380" ht="15" customHeight="1">
      <c r="A380" t="n">
        <v>8</v>
      </c>
      <c r="B380" s="37">
        <f>IF(Setup!$B$9="","",Setup!$B$9)</f>
        <v/>
      </c>
      <c r="C380" s="102" t="n"/>
      <c r="D380" s="103" t="n"/>
      <c r="E380" s="103" t="n"/>
      <c r="F380" s="104" t="n"/>
      <c r="G380" s="102" t="n"/>
      <c r="H380" s="103" t="n"/>
      <c r="I380" s="103" t="n"/>
      <c r="J380" s="104" t="n"/>
      <c r="K380" s="102" t="n"/>
      <c r="L380" s="103" t="n"/>
      <c r="M380" s="103" t="n"/>
      <c r="N380" s="104" t="n"/>
      <c r="O380" s="102" t="n"/>
      <c r="P380" s="103" t="n"/>
      <c r="Q380" s="103" t="n"/>
      <c r="R380" s="104" t="n"/>
      <c r="S380" s="102" t="n"/>
      <c r="T380" s="103" t="n"/>
      <c r="U380" s="103" t="n"/>
      <c r="V380" s="104" t="n"/>
      <c r="W380" s="102" t="n"/>
      <c r="X380" s="104" t="n"/>
      <c r="Y380" s="102" t="n"/>
      <c r="Z380" s="104" t="n"/>
      <c r="AB380" s="105">
        <f>IF($B380="","",(COUNTIF(C358:E375,$B380)+COUNTIF(C358:E375,$B380&amp;" ~*")&gt;0)+(COUNTIF(G358:I375,$B380)+COUNTIF(G358:I375,$B380&amp;" ~*")&gt;0)+(COUNTIF(K358:M375,$B380)+COUNTIF(K358:M375,$B380&amp;" ~*")&gt;0)+(COUNTIF(O358:Q375,$B380)+COUNTIF(O358:Q375,$B380&amp;" ~*")&gt;0)+(COUNTIF(S358:U375,$B380)+COUNTIF(S358:U375,$B380&amp;" ~*")&gt;0)+(COUNTIF(W358:W375,$B380)+COUNTIF(W358:W375,$B380&amp;" ~*")&gt;0)+(COUNTIF(Y358:Y375,$B380)+COUNTIF(Y358:Y375,$B380&amp;" ~*")&gt;0))</f>
        <v/>
      </c>
      <c r="AC380" s="38">
        <f>IF($B380="","",(IFERROR(INDEX(Setup!$G$33:$G$40,MATCH(C380,Setup!$B$33:$B$40,0)),0)=1)*(COUNTIF(C358:E375,$B380)+COUNTIF(C358:E375,$B380&amp;" ~*")&gt;0)+(IFERROR(INDEX(Setup!$G$33:$G$40,MATCH(G380,Setup!$B$33:$B$40,0)),0)=1)*(COUNTIF(G358:I375,$B380)+COUNTIF(G358:I375,$B380&amp;" ~*")&gt;0)+(IFERROR(INDEX(Setup!$G$33:$G$40,MATCH(K380,Setup!$B$33:$B$40,0)),0)=1)*(COUNTIF(K358:M375,$B380)+COUNTIF(K358:M375,$B380&amp;" ~*")&gt;0)+(IFERROR(INDEX(Setup!$G$33:$G$40,MATCH(O380,Setup!$B$33:$B$40,0)),0)=1)*(COUNTIF(O358:Q375,$B380)+COUNTIF(O358:Q375,$B380&amp;" ~*")&gt;0)+(IFERROR(INDEX(Setup!$G$33:$G$40,MATCH(S380,Setup!$B$33:$B$40,0)),0)=1)*(COUNTIF(S358:U375,$B380)+COUNTIF(S358:U375,$B380&amp;" ~*")&gt;0)+(IFERROR(INDEX(Setup!$G$33:$G$40,MATCH(W380,Setup!$B$33:$B$40,0)),0)=1)*(COUNTIF(W358:W375,$B380)+COUNTIF(W358:W375,$B380&amp;" ~*")&gt;0)+(IFERROR(INDEX(Setup!$G$33:$G$40,MATCH(Y380,Setup!$B$33:$B$40,0)),0)=1)*(COUNTIF(Y358:Y375,$B380)+COUNTIF(Y358:Y375,$B380&amp;" ~*")&gt;0))</f>
        <v/>
      </c>
    </row>
    <row r="381" ht="15" customHeight="1">
      <c r="A381" t="n">
        <v>8</v>
      </c>
      <c r="B381" s="35">
        <f>IF(Setup!$B$10="","",Setup!$B$10)</f>
        <v/>
      </c>
      <c r="C381" s="98" t="n"/>
      <c r="D381" s="99" t="n"/>
      <c r="E381" s="99" t="n"/>
      <c r="F381" s="100" t="n"/>
      <c r="G381" s="98" t="n"/>
      <c r="H381" s="99" t="n"/>
      <c r="I381" s="99" t="n"/>
      <c r="J381" s="100" t="n"/>
      <c r="K381" s="98" t="n"/>
      <c r="L381" s="99" t="n"/>
      <c r="M381" s="99" t="n"/>
      <c r="N381" s="100" t="n"/>
      <c r="O381" s="98" t="n"/>
      <c r="P381" s="99" t="n"/>
      <c r="Q381" s="99" t="n"/>
      <c r="R381" s="100" t="n"/>
      <c r="S381" s="98" t="n"/>
      <c r="T381" s="99" t="n"/>
      <c r="U381" s="99" t="n"/>
      <c r="V381" s="100" t="n"/>
      <c r="W381" s="98" t="n"/>
      <c r="X381" s="100" t="n"/>
      <c r="Y381" s="98" t="n"/>
      <c r="Z381" s="100" t="n"/>
      <c r="AB381" s="101">
        <f>IF($B381="","",(COUNTIF(C358:E375,$B381)+COUNTIF(C358:E375,$B381&amp;" ~*")&gt;0)+(COUNTIF(G358:I375,$B381)+COUNTIF(G358:I375,$B381&amp;" ~*")&gt;0)+(COUNTIF(K358:M375,$B381)+COUNTIF(K358:M375,$B381&amp;" ~*")&gt;0)+(COUNTIF(O358:Q375,$B381)+COUNTIF(O358:Q375,$B381&amp;" ~*")&gt;0)+(COUNTIF(S358:U375,$B381)+COUNTIF(S358:U375,$B381&amp;" ~*")&gt;0)+(COUNTIF(W358:W375,$B381)+COUNTIF(W358:W375,$B381&amp;" ~*")&gt;0)+(COUNTIF(Y358:Y375,$B381)+COUNTIF(Y358:Y375,$B381&amp;" ~*")&gt;0))</f>
        <v/>
      </c>
      <c r="AC381" s="36">
        <f>IF($B381="","",(IFERROR(INDEX(Setup!$G$33:$G$40,MATCH(C381,Setup!$B$33:$B$40,0)),0)=1)*(COUNTIF(C358:E375,$B381)+COUNTIF(C358:E375,$B381&amp;" ~*")&gt;0)+(IFERROR(INDEX(Setup!$G$33:$G$40,MATCH(G381,Setup!$B$33:$B$40,0)),0)=1)*(COUNTIF(G358:I375,$B381)+COUNTIF(G358:I375,$B381&amp;" ~*")&gt;0)+(IFERROR(INDEX(Setup!$G$33:$G$40,MATCH(K381,Setup!$B$33:$B$40,0)),0)=1)*(COUNTIF(K358:M375,$B381)+COUNTIF(K358:M375,$B381&amp;" ~*")&gt;0)+(IFERROR(INDEX(Setup!$G$33:$G$40,MATCH(O381,Setup!$B$33:$B$40,0)),0)=1)*(COUNTIF(O358:Q375,$B381)+COUNTIF(O358:Q375,$B381&amp;" ~*")&gt;0)+(IFERROR(INDEX(Setup!$G$33:$G$40,MATCH(S381,Setup!$B$33:$B$40,0)),0)=1)*(COUNTIF(S358:U375,$B381)+COUNTIF(S358:U375,$B381&amp;" ~*")&gt;0)+(IFERROR(INDEX(Setup!$G$33:$G$40,MATCH(W381,Setup!$B$33:$B$40,0)),0)=1)*(COUNTIF(W358:W375,$B381)+COUNTIF(W358:W375,$B381&amp;" ~*")&gt;0)+(IFERROR(INDEX(Setup!$G$33:$G$40,MATCH(Y381,Setup!$B$33:$B$40,0)),0)=1)*(COUNTIF(Y358:Y375,$B381)+COUNTIF(Y358:Y375,$B381&amp;" ~*")&gt;0))</f>
        <v/>
      </c>
    </row>
    <row r="382" ht="15" customHeight="1">
      <c r="A382" t="n">
        <v>8</v>
      </c>
      <c r="B382" s="37">
        <f>IF(Setup!$B$11="","",Setup!$B$11)</f>
        <v/>
      </c>
      <c r="C382" s="102" t="n"/>
      <c r="D382" s="103" t="n"/>
      <c r="E382" s="103" t="n"/>
      <c r="F382" s="104" t="n"/>
      <c r="G382" s="102" t="n"/>
      <c r="H382" s="103" t="n"/>
      <c r="I382" s="103" t="n"/>
      <c r="J382" s="104" t="n"/>
      <c r="K382" s="102" t="n"/>
      <c r="L382" s="103" t="n"/>
      <c r="M382" s="103" t="n"/>
      <c r="N382" s="104" t="n"/>
      <c r="O382" s="102" t="n"/>
      <c r="P382" s="103" t="n"/>
      <c r="Q382" s="103" t="n"/>
      <c r="R382" s="104" t="n"/>
      <c r="S382" s="102" t="n"/>
      <c r="T382" s="103" t="n"/>
      <c r="U382" s="103" t="n"/>
      <c r="V382" s="104" t="n"/>
      <c r="W382" s="102" t="n"/>
      <c r="X382" s="104" t="n"/>
      <c r="Y382" s="102" t="n"/>
      <c r="Z382" s="104" t="n"/>
      <c r="AB382" s="105">
        <f>IF($B382="","",(COUNTIF(C358:E375,$B382)+COUNTIF(C358:E375,$B382&amp;" ~*")&gt;0)+(COUNTIF(G358:I375,$B382)+COUNTIF(G358:I375,$B382&amp;" ~*")&gt;0)+(COUNTIF(K358:M375,$B382)+COUNTIF(K358:M375,$B382&amp;" ~*")&gt;0)+(COUNTIF(O358:Q375,$B382)+COUNTIF(O358:Q375,$B382&amp;" ~*")&gt;0)+(COUNTIF(S358:U375,$B382)+COUNTIF(S358:U375,$B382&amp;" ~*")&gt;0)+(COUNTIF(W358:W375,$B382)+COUNTIF(W358:W375,$B382&amp;" ~*")&gt;0)+(COUNTIF(Y358:Y375,$B382)+COUNTIF(Y358:Y375,$B382&amp;" ~*")&gt;0))</f>
        <v/>
      </c>
      <c r="AC382" s="38">
        <f>IF($B382="","",(IFERROR(INDEX(Setup!$G$33:$G$40,MATCH(C382,Setup!$B$33:$B$40,0)),0)=1)*(COUNTIF(C358:E375,$B382)+COUNTIF(C358:E375,$B382&amp;" ~*")&gt;0)+(IFERROR(INDEX(Setup!$G$33:$G$40,MATCH(G382,Setup!$B$33:$B$40,0)),0)=1)*(COUNTIF(G358:I375,$B382)+COUNTIF(G358:I375,$B382&amp;" ~*")&gt;0)+(IFERROR(INDEX(Setup!$G$33:$G$40,MATCH(K382,Setup!$B$33:$B$40,0)),0)=1)*(COUNTIF(K358:M375,$B382)+COUNTIF(K358:M375,$B382&amp;" ~*")&gt;0)+(IFERROR(INDEX(Setup!$G$33:$G$40,MATCH(O382,Setup!$B$33:$B$40,0)),0)=1)*(COUNTIF(O358:Q375,$B382)+COUNTIF(O358:Q375,$B382&amp;" ~*")&gt;0)+(IFERROR(INDEX(Setup!$G$33:$G$40,MATCH(S382,Setup!$B$33:$B$40,0)),0)=1)*(COUNTIF(S358:U375,$B382)+COUNTIF(S358:U375,$B382&amp;" ~*")&gt;0)+(IFERROR(INDEX(Setup!$G$33:$G$40,MATCH(W382,Setup!$B$33:$B$40,0)),0)=1)*(COUNTIF(W358:W375,$B382)+COUNTIF(W358:W375,$B382&amp;" ~*")&gt;0)+(IFERROR(INDEX(Setup!$G$33:$G$40,MATCH(Y382,Setup!$B$33:$B$40,0)),0)=1)*(COUNTIF(Y358:Y375,$B382)+COUNTIF(Y358:Y375,$B382&amp;" ~*")&gt;0))</f>
        <v/>
      </c>
    </row>
    <row r="383" ht="15" customHeight="1">
      <c r="A383" t="n">
        <v>8</v>
      </c>
      <c r="B383" s="35">
        <f>IF(Setup!$B$12="","",Setup!$B$12)</f>
        <v/>
      </c>
      <c r="C383" s="98" t="n"/>
      <c r="D383" s="99" t="n"/>
      <c r="E383" s="99" t="n"/>
      <c r="F383" s="100" t="n"/>
      <c r="G383" s="98" t="n"/>
      <c r="H383" s="99" t="n"/>
      <c r="I383" s="99" t="n"/>
      <c r="J383" s="100" t="n"/>
      <c r="K383" s="98" t="n"/>
      <c r="L383" s="99" t="n"/>
      <c r="M383" s="99" t="n"/>
      <c r="N383" s="100" t="n"/>
      <c r="O383" s="98" t="n"/>
      <c r="P383" s="99" t="n"/>
      <c r="Q383" s="99" t="n"/>
      <c r="R383" s="100" t="n"/>
      <c r="S383" s="98" t="n"/>
      <c r="T383" s="99" t="n"/>
      <c r="U383" s="99" t="n"/>
      <c r="V383" s="100" t="n"/>
      <c r="W383" s="98" t="n"/>
      <c r="X383" s="100" t="n"/>
      <c r="Y383" s="98" t="n"/>
      <c r="Z383" s="100" t="n"/>
      <c r="AB383" s="101">
        <f>IF($B383="","",(COUNTIF(C358:E375,$B383)+COUNTIF(C358:E375,$B383&amp;" ~*")&gt;0)+(COUNTIF(G358:I375,$B383)+COUNTIF(G358:I375,$B383&amp;" ~*")&gt;0)+(COUNTIF(K358:M375,$B383)+COUNTIF(K358:M375,$B383&amp;" ~*")&gt;0)+(COUNTIF(O358:Q375,$B383)+COUNTIF(O358:Q375,$B383&amp;" ~*")&gt;0)+(COUNTIF(S358:U375,$B383)+COUNTIF(S358:U375,$B383&amp;" ~*")&gt;0)+(COUNTIF(W358:W375,$B383)+COUNTIF(W358:W375,$B383&amp;" ~*")&gt;0)+(COUNTIF(Y358:Y375,$B383)+COUNTIF(Y358:Y375,$B383&amp;" ~*")&gt;0))</f>
        <v/>
      </c>
      <c r="AC383" s="36">
        <f>IF($B383="","",(IFERROR(INDEX(Setup!$G$33:$G$40,MATCH(C383,Setup!$B$33:$B$40,0)),0)=1)*(COUNTIF(C358:E375,$B383)+COUNTIF(C358:E375,$B383&amp;" ~*")&gt;0)+(IFERROR(INDEX(Setup!$G$33:$G$40,MATCH(G383,Setup!$B$33:$B$40,0)),0)=1)*(COUNTIF(G358:I375,$B383)+COUNTIF(G358:I375,$B383&amp;" ~*")&gt;0)+(IFERROR(INDEX(Setup!$G$33:$G$40,MATCH(K383,Setup!$B$33:$B$40,0)),0)=1)*(COUNTIF(K358:M375,$B383)+COUNTIF(K358:M375,$B383&amp;" ~*")&gt;0)+(IFERROR(INDEX(Setup!$G$33:$G$40,MATCH(O383,Setup!$B$33:$B$40,0)),0)=1)*(COUNTIF(O358:Q375,$B383)+COUNTIF(O358:Q375,$B383&amp;" ~*")&gt;0)+(IFERROR(INDEX(Setup!$G$33:$G$40,MATCH(S383,Setup!$B$33:$B$40,0)),0)=1)*(COUNTIF(S358:U375,$B383)+COUNTIF(S358:U375,$B383&amp;" ~*")&gt;0)+(IFERROR(INDEX(Setup!$G$33:$G$40,MATCH(W383,Setup!$B$33:$B$40,0)),0)=1)*(COUNTIF(W358:W375,$B383)+COUNTIF(W358:W375,$B383&amp;" ~*")&gt;0)+(IFERROR(INDEX(Setup!$G$33:$G$40,MATCH(Y383,Setup!$B$33:$B$40,0)),0)=1)*(COUNTIF(Y358:Y375,$B383)+COUNTIF(Y358:Y375,$B383&amp;" ~*")&gt;0))</f>
        <v/>
      </c>
    </row>
    <row r="384" ht="15" customHeight="1">
      <c r="A384" t="n">
        <v>8</v>
      </c>
      <c r="B384" s="37">
        <f>IF(Setup!$B$13="","",Setup!$B$13)</f>
        <v/>
      </c>
      <c r="C384" s="102" t="n"/>
      <c r="D384" s="103" t="n"/>
      <c r="E384" s="103" t="n"/>
      <c r="F384" s="104" t="n"/>
      <c r="G384" s="102" t="n"/>
      <c r="H384" s="103" t="n"/>
      <c r="I384" s="103" t="n"/>
      <c r="J384" s="104" t="n"/>
      <c r="K384" s="102" t="n"/>
      <c r="L384" s="103" t="n"/>
      <c r="M384" s="103" t="n"/>
      <c r="N384" s="104" t="n"/>
      <c r="O384" s="102" t="n"/>
      <c r="P384" s="103" t="n"/>
      <c r="Q384" s="103" t="n"/>
      <c r="R384" s="104" t="n"/>
      <c r="S384" s="102" t="n"/>
      <c r="T384" s="103" t="n"/>
      <c r="U384" s="103" t="n"/>
      <c r="V384" s="104" t="n"/>
      <c r="W384" s="102" t="n"/>
      <c r="X384" s="104" t="n"/>
      <c r="Y384" s="102" t="n"/>
      <c r="Z384" s="104" t="n"/>
      <c r="AB384" s="105">
        <f>IF($B384="","",(COUNTIF(C358:E375,$B384)+COUNTIF(C358:E375,$B384&amp;" ~*")&gt;0)+(COUNTIF(G358:I375,$B384)+COUNTIF(G358:I375,$B384&amp;" ~*")&gt;0)+(COUNTIF(K358:M375,$B384)+COUNTIF(K358:M375,$B384&amp;" ~*")&gt;0)+(COUNTIF(O358:Q375,$B384)+COUNTIF(O358:Q375,$B384&amp;" ~*")&gt;0)+(COUNTIF(S358:U375,$B384)+COUNTIF(S358:U375,$B384&amp;" ~*")&gt;0)+(COUNTIF(W358:W375,$B384)+COUNTIF(W358:W375,$B384&amp;" ~*")&gt;0)+(COUNTIF(Y358:Y375,$B384)+COUNTIF(Y358:Y375,$B384&amp;" ~*")&gt;0))</f>
        <v/>
      </c>
      <c r="AC384" s="38">
        <f>IF($B384="","",(IFERROR(INDEX(Setup!$G$33:$G$40,MATCH(C384,Setup!$B$33:$B$40,0)),0)=1)*(COUNTIF(C358:E375,$B384)+COUNTIF(C358:E375,$B384&amp;" ~*")&gt;0)+(IFERROR(INDEX(Setup!$G$33:$G$40,MATCH(G384,Setup!$B$33:$B$40,0)),0)=1)*(COUNTIF(G358:I375,$B384)+COUNTIF(G358:I375,$B384&amp;" ~*")&gt;0)+(IFERROR(INDEX(Setup!$G$33:$G$40,MATCH(K384,Setup!$B$33:$B$40,0)),0)=1)*(COUNTIF(K358:M375,$B384)+COUNTIF(K358:M375,$B384&amp;" ~*")&gt;0)+(IFERROR(INDEX(Setup!$G$33:$G$40,MATCH(O384,Setup!$B$33:$B$40,0)),0)=1)*(COUNTIF(O358:Q375,$B384)+COUNTIF(O358:Q375,$B384&amp;" ~*")&gt;0)+(IFERROR(INDEX(Setup!$G$33:$G$40,MATCH(S384,Setup!$B$33:$B$40,0)),0)=1)*(COUNTIF(S358:U375,$B384)+COUNTIF(S358:U375,$B384&amp;" ~*")&gt;0)+(IFERROR(INDEX(Setup!$G$33:$G$40,MATCH(W384,Setup!$B$33:$B$40,0)),0)=1)*(COUNTIF(W358:W375,$B384)+COUNTIF(W358:W375,$B384&amp;" ~*")&gt;0)+(IFERROR(INDEX(Setup!$G$33:$G$40,MATCH(Y384,Setup!$B$33:$B$40,0)),0)=1)*(COUNTIF(Y358:Y375,$B384)+COUNTIF(Y358:Y375,$B384&amp;" ~*")&gt;0))</f>
        <v/>
      </c>
    </row>
    <row r="385" ht="15" customHeight="1">
      <c r="A385" t="n">
        <v>8</v>
      </c>
      <c r="B385" s="35">
        <f>IF(Setup!$B$14="","",Setup!$B$14)</f>
        <v/>
      </c>
      <c r="C385" s="98" t="n"/>
      <c r="D385" s="99" t="n"/>
      <c r="E385" s="99" t="n"/>
      <c r="F385" s="100" t="n"/>
      <c r="G385" s="98" t="n"/>
      <c r="H385" s="99" t="n"/>
      <c r="I385" s="99" t="n"/>
      <c r="J385" s="100" t="n"/>
      <c r="K385" s="98" t="n"/>
      <c r="L385" s="99" t="n"/>
      <c r="M385" s="99" t="n"/>
      <c r="N385" s="100" t="n"/>
      <c r="O385" s="98" t="n"/>
      <c r="P385" s="99" t="n"/>
      <c r="Q385" s="99" t="n"/>
      <c r="R385" s="100" t="n"/>
      <c r="S385" s="98" t="n"/>
      <c r="T385" s="99" t="n"/>
      <c r="U385" s="99" t="n"/>
      <c r="V385" s="100" t="n"/>
      <c r="W385" s="98" t="n"/>
      <c r="X385" s="100" t="n"/>
      <c r="Y385" s="98" t="n"/>
      <c r="Z385" s="100" t="n"/>
      <c r="AB385" s="101">
        <f>IF($B385="","",(COUNTIF(C358:E375,$B385)+COUNTIF(C358:E375,$B385&amp;" ~*")&gt;0)+(COUNTIF(G358:I375,$B385)+COUNTIF(G358:I375,$B385&amp;" ~*")&gt;0)+(COUNTIF(K358:M375,$B385)+COUNTIF(K358:M375,$B385&amp;" ~*")&gt;0)+(COUNTIF(O358:Q375,$B385)+COUNTIF(O358:Q375,$B385&amp;" ~*")&gt;0)+(COUNTIF(S358:U375,$B385)+COUNTIF(S358:U375,$B385&amp;" ~*")&gt;0)+(COUNTIF(W358:W375,$B385)+COUNTIF(W358:W375,$B385&amp;" ~*")&gt;0)+(COUNTIF(Y358:Y375,$B385)+COUNTIF(Y358:Y375,$B385&amp;" ~*")&gt;0))</f>
        <v/>
      </c>
      <c r="AC385" s="36">
        <f>IF($B385="","",(IFERROR(INDEX(Setup!$G$33:$G$40,MATCH(C385,Setup!$B$33:$B$40,0)),0)=1)*(COUNTIF(C358:E375,$B385)+COUNTIF(C358:E375,$B385&amp;" ~*")&gt;0)+(IFERROR(INDEX(Setup!$G$33:$G$40,MATCH(G385,Setup!$B$33:$B$40,0)),0)=1)*(COUNTIF(G358:I375,$B385)+COUNTIF(G358:I375,$B385&amp;" ~*")&gt;0)+(IFERROR(INDEX(Setup!$G$33:$G$40,MATCH(K385,Setup!$B$33:$B$40,0)),0)=1)*(COUNTIF(K358:M375,$B385)+COUNTIF(K358:M375,$B385&amp;" ~*")&gt;0)+(IFERROR(INDEX(Setup!$G$33:$G$40,MATCH(O385,Setup!$B$33:$B$40,0)),0)=1)*(COUNTIF(O358:Q375,$B385)+COUNTIF(O358:Q375,$B385&amp;" ~*")&gt;0)+(IFERROR(INDEX(Setup!$G$33:$G$40,MATCH(S385,Setup!$B$33:$B$40,0)),0)=1)*(COUNTIF(S358:U375,$B385)+COUNTIF(S358:U375,$B385&amp;" ~*")&gt;0)+(IFERROR(INDEX(Setup!$G$33:$G$40,MATCH(W385,Setup!$B$33:$B$40,0)),0)=1)*(COUNTIF(W358:W375,$B385)+COUNTIF(W358:W375,$B385&amp;" ~*")&gt;0)+(IFERROR(INDEX(Setup!$G$33:$G$40,MATCH(Y385,Setup!$B$33:$B$40,0)),0)=1)*(COUNTIF(Y358:Y375,$B385)+COUNTIF(Y358:Y375,$B385&amp;" ~*")&gt;0))</f>
        <v/>
      </c>
    </row>
    <row r="386" ht="15" customHeight="1">
      <c r="A386" t="n">
        <v>8</v>
      </c>
      <c r="B386" s="37">
        <f>IF(Setup!$B$15="","",Setup!$B$15)</f>
        <v/>
      </c>
      <c r="C386" s="102" t="n"/>
      <c r="D386" s="103" t="n"/>
      <c r="E386" s="103" t="n"/>
      <c r="F386" s="104" t="n"/>
      <c r="G386" s="102" t="n"/>
      <c r="H386" s="103" t="n"/>
      <c r="I386" s="103" t="n"/>
      <c r="J386" s="104" t="n"/>
      <c r="K386" s="102" t="n"/>
      <c r="L386" s="103" t="n"/>
      <c r="M386" s="103" t="n"/>
      <c r="N386" s="104" t="n"/>
      <c r="O386" s="102" t="n"/>
      <c r="P386" s="103" t="n"/>
      <c r="Q386" s="103" t="n"/>
      <c r="R386" s="104" t="n"/>
      <c r="S386" s="102" t="n"/>
      <c r="T386" s="103" t="n"/>
      <c r="U386" s="103" t="n"/>
      <c r="V386" s="104" t="n"/>
      <c r="W386" s="102" t="n"/>
      <c r="X386" s="104" t="n"/>
      <c r="Y386" s="102" t="n"/>
      <c r="Z386" s="104" t="n"/>
      <c r="AB386" s="105">
        <f>IF($B386="","",(COUNTIF(C358:E375,$B386)+COUNTIF(C358:E375,$B386&amp;" ~*")&gt;0)+(COUNTIF(G358:I375,$B386)+COUNTIF(G358:I375,$B386&amp;" ~*")&gt;0)+(COUNTIF(K358:M375,$B386)+COUNTIF(K358:M375,$B386&amp;" ~*")&gt;0)+(COUNTIF(O358:Q375,$B386)+COUNTIF(O358:Q375,$B386&amp;" ~*")&gt;0)+(COUNTIF(S358:U375,$B386)+COUNTIF(S358:U375,$B386&amp;" ~*")&gt;0)+(COUNTIF(W358:W375,$B386)+COUNTIF(W358:W375,$B386&amp;" ~*")&gt;0)+(COUNTIF(Y358:Y375,$B386)+COUNTIF(Y358:Y375,$B386&amp;" ~*")&gt;0))</f>
        <v/>
      </c>
      <c r="AC386" s="38">
        <f>IF($B386="","",(IFERROR(INDEX(Setup!$G$33:$G$40,MATCH(C386,Setup!$B$33:$B$40,0)),0)=1)*(COUNTIF(C358:E375,$B386)+COUNTIF(C358:E375,$B386&amp;" ~*")&gt;0)+(IFERROR(INDEX(Setup!$G$33:$G$40,MATCH(G386,Setup!$B$33:$B$40,0)),0)=1)*(COUNTIF(G358:I375,$B386)+COUNTIF(G358:I375,$B386&amp;" ~*")&gt;0)+(IFERROR(INDEX(Setup!$G$33:$G$40,MATCH(K386,Setup!$B$33:$B$40,0)),0)=1)*(COUNTIF(K358:M375,$B386)+COUNTIF(K358:M375,$B386&amp;" ~*")&gt;0)+(IFERROR(INDEX(Setup!$G$33:$G$40,MATCH(O386,Setup!$B$33:$B$40,0)),0)=1)*(COUNTIF(O358:Q375,$B386)+COUNTIF(O358:Q375,$B386&amp;" ~*")&gt;0)+(IFERROR(INDEX(Setup!$G$33:$G$40,MATCH(S386,Setup!$B$33:$B$40,0)),0)=1)*(COUNTIF(S358:U375,$B386)+COUNTIF(S358:U375,$B386&amp;" ~*")&gt;0)+(IFERROR(INDEX(Setup!$G$33:$G$40,MATCH(W386,Setup!$B$33:$B$40,0)),0)=1)*(COUNTIF(W358:W375,$B386)+COUNTIF(W358:W375,$B386&amp;" ~*")&gt;0)+(IFERROR(INDEX(Setup!$G$33:$G$40,MATCH(Y386,Setup!$B$33:$B$40,0)),0)=1)*(COUNTIF(Y358:Y375,$B386)+COUNTIF(Y358:Y375,$B386&amp;" ~*")&gt;0))</f>
        <v/>
      </c>
    </row>
    <row r="387" ht="15" customHeight="1">
      <c r="A387" t="n">
        <v>8</v>
      </c>
      <c r="B387" s="35">
        <f>IF(Setup!$B$16="","",Setup!$B$16)</f>
        <v/>
      </c>
      <c r="C387" s="98" t="n"/>
      <c r="D387" s="99" t="n"/>
      <c r="E387" s="99" t="n"/>
      <c r="F387" s="100" t="n"/>
      <c r="G387" s="98" t="n"/>
      <c r="H387" s="99" t="n"/>
      <c r="I387" s="99" t="n"/>
      <c r="J387" s="100" t="n"/>
      <c r="K387" s="98" t="n"/>
      <c r="L387" s="99" t="n"/>
      <c r="M387" s="99" t="n"/>
      <c r="N387" s="100" t="n"/>
      <c r="O387" s="98" t="n"/>
      <c r="P387" s="99" t="n"/>
      <c r="Q387" s="99" t="n"/>
      <c r="R387" s="100" t="n"/>
      <c r="S387" s="98" t="n"/>
      <c r="T387" s="99" t="n"/>
      <c r="U387" s="99" t="n"/>
      <c r="V387" s="100" t="n"/>
      <c r="W387" s="98" t="n"/>
      <c r="X387" s="100" t="n"/>
      <c r="Y387" s="98" t="n"/>
      <c r="Z387" s="100" t="n"/>
      <c r="AB387" s="101">
        <f>IF($B387="","",(COUNTIF(C358:E375,$B387)+COUNTIF(C358:E375,$B387&amp;" ~*")&gt;0)+(COUNTIF(G358:I375,$B387)+COUNTIF(G358:I375,$B387&amp;" ~*")&gt;0)+(COUNTIF(K358:M375,$B387)+COUNTIF(K358:M375,$B387&amp;" ~*")&gt;0)+(COUNTIF(O358:Q375,$B387)+COUNTIF(O358:Q375,$B387&amp;" ~*")&gt;0)+(COUNTIF(S358:U375,$B387)+COUNTIF(S358:U375,$B387&amp;" ~*")&gt;0)+(COUNTIF(W358:W375,$B387)+COUNTIF(W358:W375,$B387&amp;" ~*")&gt;0)+(COUNTIF(Y358:Y375,$B387)+COUNTIF(Y358:Y375,$B387&amp;" ~*")&gt;0))</f>
        <v/>
      </c>
      <c r="AC387" s="36">
        <f>IF($B387="","",(IFERROR(INDEX(Setup!$G$33:$G$40,MATCH(C387,Setup!$B$33:$B$40,0)),0)=1)*(COUNTIF(C358:E375,$B387)+COUNTIF(C358:E375,$B387&amp;" ~*")&gt;0)+(IFERROR(INDEX(Setup!$G$33:$G$40,MATCH(G387,Setup!$B$33:$B$40,0)),0)=1)*(COUNTIF(G358:I375,$B387)+COUNTIF(G358:I375,$B387&amp;" ~*")&gt;0)+(IFERROR(INDEX(Setup!$G$33:$G$40,MATCH(K387,Setup!$B$33:$B$40,0)),0)=1)*(COUNTIF(K358:M375,$B387)+COUNTIF(K358:M375,$B387&amp;" ~*")&gt;0)+(IFERROR(INDEX(Setup!$G$33:$G$40,MATCH(O387,Setup!$B$33:$B$40,0)),0)=1)*(COUNTIF(O358:Q375,$B387)+COUNTIF(O358:Q375,$B387&amp;" ~*")&gt;0)+(IFERROR(INDEX(Setup!$G$33:$G$40,MATCH(S387,Setup!$B$33:$B$40,0)),0)=1)*(COUNTIF(S358:U375,$B387)+COUNTIF(S358:U375,$B387&amp;" ~*")&gt;0)+(IFERROR(INDEX(Setup!$G$33:$G$40,MATCH(W387,Setup!$B$33:$B$40,0)),0)=1)*(COUNTIF(W358:W375,$B387)+COUNTIF(W358:W375,$B387&amp;" ~*")&gt;0)+(IFERROR(INDEX(Setup!$G$33:$G$40,MATCH(Y387,Setup!$B$33:$B$40,0)),0)=1)*(COUNTIF(Y358:Y375,$B387)+COUNTIF(Y358:Y375,$B387&amp;" ~*")&gt;0))</f>
        <v/>
      </c>
    </row>
    <row r="388" ht="15" customHeight="1">
      <c r="A388" t="n">
        <v>8</v>
      </c>
      <c r="B388" s="37">
        <f>IF(Setup!$B$17="","",Setup!$B$17)</f>
        <v/>
      </c>
      <c r="C388" s="102" t="n"/>
      <c r="D388" s="103" t="n"/>
      <c r="E388" s="103" t="n"/>
      <c r="F388" s="104" t="n"/>
      <c r="G388" s="102" t="n"/>
      <c r="H388" s="103" t="n"/>
      <c r="I388" s="103" t="n"/>
      <c r="J388" s="104" t="n"/>
      <c r="K388" s="102" t="n"/>
      <c r="L388" s="103" t="n"/>
      <c r="M388" s="103" t="n"/>
      <c r="N388" s="104" t="n"/>
      <c r="O388" s="102" t="n"/>
      <c r="P388" s="103" t="n"/>
      <c r="Q388" s="103" t="n"/>
      <c r="R388" s="104" t="n"/>
      <c r="S388" s="102" t="n"/>
      <c r="T388" s="103" t="n"/>
      <c r="U388" s="103" t="n"/>
      <c r="V388" s="104" t="n"/>
      <c r="W388" s="102" t="n"/>
      <c r="X388" s="104" t="n"/>
      <c r="Y388" s="102" t="n"/>
      <c r="Z388" s="104" t="n"/>
      <c r="AB388" s="105">
        <f>IF($B388="","",(COUNTIF(C358:E375,$B388)+COUNTIF(C358:E375,$B388&amp;" ~*")&gt;0)+(COUNTIF(G358:I375,$B388)+COUNTIF(G358:I375,$B388&amp;" ~*")&gt;0)+(COUNTIF(K358:M375,$B388)+COUNTIF(K358:M375,$B388&amp;" ~*")&gt;0)+(COUNTIF(O358:Q375,$B388)+COUNTIF(O358:Q375,$B388&amp;" ~*")&gt;0)+(COUNTIF(S358:U375,$B388)+COUNTIF(S358:U375,$B388&amp;" ~*")&gt;0)+(COUNTIF(W358:W375,$B388)+COUNTIF(W358:W375,$B388&amp;" ~*")&gt;0)+(COUNTIF(Y358:Y375,$B388)+COUNTIF(Y358:Y375,$B388&amp;" ~*")&gt;0))</f>
        <v/>
      </c>
      <c r="AC388" s="38">
        <f>IF($B388="","",(IFERROR(INDEX(Setup!$G$33:$G$40,MATCH(C388,Setup!$B$33:$B$40,0)),0)=1)*(COUNTIF(C358:E375,$B388)+COUNTIF(C358:E375,$B388&amp;" ~*")&gt;0)+(IFERROR(INDEX(Setup!$G$33:$G$40,MATCH(G388,Setup!$B$33:$B$40,0)),0)=1)*(COUNTIF(G358:I375,$B388)+COUNTIF(G358:I375,$B388&amp;" ~*")&gt;0)+(IFERROR(INDEX(Setup!$G$33:$G$40,MATCH(K388,Setup!$B$33:$B$40,0)),0)=1)*(COUNTIF(K358:M375,$B388)+COUNTIF(K358:M375,$B388&amp;" ~*")&gt;0)+(IFERROR(INDEX(Setup!$G$33:$G$40,MATCH(O388,Setup!$B$33:$B$40,0)),0)=1)*(COUNTIF(O358:Q375,$B388)+COUNTIF(O358:Q375,$B388&amp;" ~*")&gt;0)+(IFERROR(INDEX(Setup!$G$33:$G$40,MATCH(S388,Setup!$B$33:$B$40,0)),0)=1)*(COUNTIF(S358:U375,$B388)+COUNTIF(S358:U375,$B388&amp;" ~*")&gt;0)+(IFERROR(INDEX(Setup!$G$33:$G$40,MATCH(W388,Setup!$B$33:$B$40,0)),0)=1)*(COUNTIF(W358:W375,$B388)+COUNTIF(W358:W375,$B388&amp;" ~*")&gt;0)+(IFERROR(INDEX(Setup!$G$33:$G$40,MATCH(Y388,Setup!$B$33:$B$40,0)),0)=1)*(COUNTIF(Y358:Y375,$B388)+COUNTIF(Y358:Y375,$B388&amp;" ~*")&gt;0))</f>
        <v/>
      </c>
    </row>
    <row r="389" ht="15" customHeight="1">
      <c r="A389" t="n">
        <v>8</v>
      </c>
      <c r="B389" s="35">
        <f>IF(Setup!$B$18="","",Setup!$B$18)</f>
        <v/>
      </c>
      <c r="C389" s="98" t="n"/>
      <c r="D389" s="99" t="n"/>
      <c r="E389" s="99" t="n"/>
      <c r="F389" s="100" t="n"/>
      <c r="G389" s="98" t="n"/>
      <c r="H389" s="99" t="n"/>
      <c r="I389" s="99" t="n"/>
      <c r="J389" s="100" t="n"/>
      <c r="K389" s="98" t="n"/>
      <c r="L389" s="99" t="n"/>
      <c r="M389" s="99" t="n"/>
      <c r="N389" s="100" t="n"/>
      <c r="O389" s="98" t="n"/>
      <c r="P389" s="99" t="n"/>
      <c r="Q389" s="99" t="n"/>
      <c r="R389" s="100" t="n"/>
      <c r="S389" s="98" t="n"/>
      <c r="T389" s="99" t="n"/>
      <c r="U389" s="99" t="n"/>
      <c r="V389" s="100" t="n"/>
      <c r="W389" s="98" t="n"/>
      <c r="X389" s="100" t="n"/>
      <c r="Y389" s="98" t="n"/>
      <c r="Z389" s="100" t="n"/>
      <c r="AB389" s="101">
        <f>IF($B389="","",(COUNTIF(C358:E375,$B389)+COUNTIF(C358:E375,$B389&amp;" ~*")&gt;0)+(COUNTIF(G358:I375,$B389)+COUNTIF(G358:I375,$B389&amp;" ~*")&gt;0)+(COUNTIF(K358:M375,$B389)+COUNTIF(K358:M375,$B389&amp;" ~*")&gt;0)+(COUNTIF(O358:Q375,$B389)+COUNTIF(O358:Q375,$B389&amp;" ~*")&gt;0)+(COUNTIF(S358:U375,$B389)+COUNTIF(S358:U375,$B389&amp;" ~*")&gt;0)+(COUNTIF(W358:W375,$B389)+COUNTIF(W358:W375,$B389&amp;" ~*")&gt;0)+(COUNTIF(Y358:Y375,$B389)+COUNTIF(Y358:Y375,$B389&amp;" ~*")&gt;0))</f>
        <v/>
      </c>
      <c r="AC389" s="36">
        <f>IF($B389="","",(IFERROR(INDEX(Setup!$G$33:$G$40,MATCH(C389,Setup!$B$33:$B$40,0)),0)=1)*(COUNTIF(C358:E375,$B389)+COUNTIF(C358:E375,$B389&amp;" ~*")&gt;0)+(IFERROR(INDEX(Setup!$G$33:$G$40,MATCH(G389,Setup!$B$33:$B$40,0)),0)=1)*(COUNTIF(G358:I375,$B389)+COUNTIF(G358:I375,$B389&amp;" ~*")&gt;0)+(IFERROR(INDEX(Setup!$G$33:$G$40,MATCH(K389,Setup!$B$33:$B$40,0)),0)=1)*(COUNTIF(K358:M375,$B389)+COUNTIF(K358:M375,$B389&amp;" ~*")&gt;0)+(IFERROR(INDEX(Setup!$G$33:$G$40,MATCH(O389,Setup!$B$33:$B$40,0)),0)=1)*(COUNTIF(O358:Q375,$B389)+COUNTIF(O358:Q375,$B389&amp;" ~*")&gt;0)+(IFERROR(INDEX(Setup!$G$33:$G$40,MATCH(S389,Setup!$B$33:$B$40,0)),0)=1)*(COUNTIF(S358:U375,$B389)+COUNTIF(S358:U375,$B389&amp;" ~*")&gt;0)+(IFERROR(INDEX(Setup!$G$33:$G$40,MATCH(W389,Setup!$B$33:$B$40,0)),0)=1)*(COUNTIF(W358:W375,$B389)+COUNTIF(W358:W375,$B389&amp;" ~*")&gt;0)+(IFERROR(INDEX(Setup!$G$33:$G$40,MATCH(Y389,Setup!$B$33:$B$40,0)),0)=1)*(COUNTIF(Y358:Y375,$B389)+COUNTIF(Y358:Y375,$B389&amp;" ~*")&gt;0))</f>
        <v/>
      </c>
    </row>
    <row r="390" ht="15" customHeight="1">
      <c r="A390" t="n">
        <v>8</v>
      </c>
      <c r="B390" s="37">
        <f>IF(Setup!$B$19="","",Setup!$B$19)</f>
        <v/>
      </c>
      <c r="C390" s="102" t="n"/>
      <c r="D390" s="103" t="n"/>
      <c r="E390" s="103" t="n"/>
      <c r="F390" s="104" t="n"/>
      <c r="G390" s="102" t="n"/>
      <c r="H390" s="103" t="n"/>
      <c r="I390" s="103" t="n"/>
      <c r="J390" s="104" t="n"/>
      <c r="K390" s="102" t="n"/>
      <c r="L390" s="103" t="n"/>
      <c r="M390" s="103" t="n"/>
      <c r="N390" s="104" t="n"/>
      <c r="O390" s="102" t="n"/>
      <c r="P390" s="103" t="n"/>
      <c r="Q390" s="103" t="n"/>
      <c r="R390" s="104" t="n"/>
      <c r="S390" s="102" t="n"/>
      <c r="T390" s="103" t="n"/>
      <c r="U390" s="103" t="n"/>
      <c r="V390" s="104" t="n"/>
      <c r="W390" s="102" t="n"/>
      <c r="X390" s="104" t="n"/>
      <c r="Y390" s="102" t="n"/>
      <c r="Z390" s="104" t="n"/>
      <c r="AB390" s="105">
        <f>IF($B390="","",(COUNTIF(C358:E375,$B390)+COUNTIF(C358:E375,$B390&amp;" ~*")&gt;0)+(COUNTIF(G358:I375,$B390)+COUNTIF(G358:I375,$B390&amp;" ~*")&gt;0)+(COUNTIF(K358:M375,$B390)+COUNTIF(K358:M375,$B390&amp;" ~*")&gt;0)+(COUNTIF(O358:Q375,$B390)+COUNTIF(O358:Q375,$B390&amp;" ~*")&gt;0)+(COUNTIF(S358:U375,$B390)+COUNTIF(S358:U375,$B390&amp;" ~*")&gt;0)+(COUNTIF(W358:W375,$B390)+COUNTIF(W358:W375,$B390&amp;" ~*")&gt;0)+(COUNTIF(Y358:Y375,$B390)+COUNTIF(Y358:Y375,$B390&amp;" ~*")&gt;0))</f>
        <v/>
      </c>
      <c r="AC390" s="38">
        <f>IF($B390="","",(IFERROR(INDEX(Setup!$G$33:$G$40,MATCH(C390,Setup!$B$33:$B$40,0)),0)=1)*(COUNTIF(C358:E375,$B390)+COUNTIF(C358:E375,$B390&amp;" ~*")&gt;0)+(IFERROR(INDEX(Setup!$G$33:$G$40,MATCH(G390,Setup!$B$33:$B$40,0)),0)=1)*(COUNTIF(G358:I375,$B390)+COUNTIF(G358:I375,$B390&amp;" ~*")&gt;0)+(IFERROR(INDEX(Setup!$G$33:$G$40,MATCH(K390,Setup!$B$33:$B$40,0)),0)=1)*(COUNTIF(K358:M375,$B390)+COUNTIF(K358:M375,$B390&amp;" ~*")&gt;0)+(IFERROR(INDEX(Setup!$G$33:$G$40,MATCH(O390,Setup!$B$33:$B$40,0)),0)=1)*(COUNTIF(O358:Q375,$B390)+COUNTIF(O358:Q375,$B390&amp;" ~*")&gt;0)+(IFERROR(INDEX(Setup!$G$33:$G$40,MATCH(S390,Setup!$B$33:$B$40,0)),0)=1)*(COUNTIF(S358:U375,$B390)+COUNTIF(S358:U375,$B390&amp;" ~*")&gt;0)+(IFERROR(INDEX(Setup!$G$33:$G$40,MATCH(W390,Setup!$B$33:$B$40,0)),0)=1)*(COUNTIF(W358:W375,$B390)+COUNTIF(W358:W375,$B390&amp;" ~*")&gt;0)+(IFERROR(INDEX(Setup!$G$33:$G$40,MATCH(Y390,Setup!$B$33:$B$40,0)),0)=1)*(COUNTIF(Y358:Y375,$B390)+COUNTIF(Y358:Y375,$B390&amp;" ~*")&gt;0))</f>
        <v/>
      </c>
    </row>
    <row r="391" ht="15" customHeight="1">
      <c r="A391" t="n">
        <v>8</v>
      </c>
      <c r="B391" s="35">
        <f>IF(Setup!$B$20="","",Setup!$B$20)</f>
        <v/>
      </c>
      <c r="C391" s="98" t="n"/>
      <c r="D391" s="99" t="n"/>
      <c r="E391" s="99" t="n"/>
      <c r="F391" s="100" t="n"/>
      <c r="G391" s="98" t="n"/>
      <c r="H391" s="99" t="n"/>
      <c r="I391" s="99" t="n"/>
      <c r="J391" s="100" t="n"/>
      <c r="K391" s="98" t="n"/>
      <c r="L391" s="99" t="n"/>
      <c r="M391" s="99" t="n"/>
      <c r="N391" s="100" t="n"/>
      <c r="O391" s="98" t="n"/>
      <c r="P391" s="99" t="n"/>
      <c r="Q391" s="99" t="n"/>
      <c r="R391" s="100" t="n"/>
      <c r="S391" s="98" t="n"/>
      <c r="T391" s="99" t="n"/>
      <c r="U391" s="99" t="n"/>
      <c r="V391" s="100" t="n"/>
      <c r="W391" s="98" t="n"/>
      <c r="X391" s="100" t="n"/>
      <c r="Y391" s="98" t="n"/>
      <c r="Z391" s="100" t="n"/>
      <c r="AB391" s="101">
        <f>IF($B391="","",(COUNTIF(C358:E375,$B391)+COUNTIF(C358:E375,$B391&amp;" ~*")&gt;0)+(COUNTIF(G358:I375,$B391)+COUNTIF(G358:I375,$B391&amp;" ~*")&gt;0)+(COUNTIF(K358:M375,$B391)+COUNTIF(K358:M375,$B391&amp;" ~*")&gt;0)+(COUNTIF(O358:Q375,$B391)+COUNTIF(O358:Q375,$B391&amp;" ~*")&gt;0)+(COUNTIF(S358:U375,$B391)+COUNTIF(S358:U375,$B391&amp;" ~*")&gt;0)+(COUNTIF(W358:W375,$B391)+COUNTIF(W358:W375,$B391&amp;" ~*")&gt;0)+(COUNTIF(Y358:Y375,$B391)+COUNTIF(Y358:Y375,$B391&amp;" ~*")&gt;0))</f>
        <v/>
      </c>
      <c r="AC391" s="36">
        <f>IF($B391="","",(IFERROR(INDEX(Setup!$G$33:$G$40,MATCH(C391,Setup!$B$33:$B$40,0)),0)=1)*(COUNTIF(C358:E375,$B391)+COUNTIF(C358:E375,$B391&amp;" ~*")&gt;0)+(IFERROR(INDEX(Setup!$G$33:$G$40,MATCH(G391,Setup!$B$33:$B$40,0)),0)=1)*(COUNTIF(G358:I375,$B391)+COUNTIF(G358:I375,$B391&amp;" ~*")&gt;0)+(IFERROR(INDEX(Setup!$G$33:$G$40,MATCH(K391,Setup!$B$33:$B$40,0)),0)=1)*(COUNTIF(K358:M375,$B391)+COUNTIF(K358:M375,$B391&amp;" ~*")&gt;0)+(IFERROR(INDEX(Setup!$G$33:$G$40,MATCH(O391,Setup!$B$33:$B$40,0)),0)=1)*(COUNTIF(O358:Q375,$B391)+COUNTIF(O358:Q375,$B391&amp;" ~*")&gt;0)+(IFERROR(INDEX(Setup!$G$33:$G$40,MATCH(S391,Setup!$B$33:$B$40,0)),0)=1)*(COUNTIF(S358:U375,$B391)+COUNTIF(S358:U375,$B391&amp;" ~*")&gt;0)+(IFERROR(INDEX(Setup!$G$33:$G$40,MATCH(W391,Setup!$B$33:$B$40,0)),0)=1)*(COUNTIF(W358:W375,$B391)+COUNTIF(W358:W375,$B391&amp;" ~*")&gt;0)+(IFERROR(INDEX(Setup!$G$33:$G$40,MATCH(Y391,Setup!$B$33:$B$40,0)),0)=1)*(COUNTIF(Y358:Y375,$B391)+COUNTIF(Y358:Y375,$B391&amp;" ~*")&gt;0))</f>
        <v/>
      </c>
    </row>
    <row r="392" ht="15" customHeight="1">
      <c r="A392" t="n">
        <v>8</v>
      </c>
      <c r="B392" s="37">
        <f>IF(Setup!$B$21="","",Setup!$B$21)</f>
        <v/>
      </c>
      <c r="C392" s="102" t="n"/>
      <c r="D392" s="103" t="n"/>
      <c r="E392" s="103" t="n"/>
      <c r="F392" s="104" t="n"/>
      <c r="G392" s="102" t="n"/>
      <c r="H392" s="103" t="n"/>
      <c r="I392" s="103" t="n"/>
      <c r="J392" s="104" t="n"/>
      <c r="K392" s="102" t="n"/>
      <c r="L392" s="103" t="n"/>
      <c r="M392" s="103" t="n"/>
      <c r="N392" s="104" t="n"/>
      <c r="O392" s="102" t="n"/>
      <c r="P392" s="103" t="n"/>
      <c r="Q392" s="103" t="n"/>
      <c r="R392" s="104" t="n"/>
      <c r="S392" s="102" t="n"/>
      <c r="T392" s="103" t="n"/>
      <c r="U392" s="103" t="n"/>
      <c r="V392" s="104" t="n"/>
      <c r="W392" s="102" t="n"/>
      <c r="X392" s="104" t="n"/>
      <c r="Y392" s="102" t="n"/>
      <c r="Z392" s="104" t="n"/>
      <c r="AB392" s="105">
        <f>IF($B392="","",(COUNTIF(C358:E375,$B392)+COUNTIF(C358:E375,$B392&amp;" ~*")&gt;0)+(COUNTIF(G358:I375,$B392)+COUNTIF(G358:I375,$B392&amp;" ~*")&gt;0)+(COUNTIF(K358:M375,$B392)+COUNTIF(K358:M375,$B392&amp;" ~*")&gt;0)+(COUNTIF(O358:Q375,$B392)+COUNTIF(O358:Q375,$B392&amp;" ~*")&gt;0)+(COUNTIF(S358:U375,$B392)+COUNTIF(S358:U375,$B392&amp;" ~*")&gt;0)+(COUNTIF(W358:W375,$B392)+COUNTIF(W358:W375,$B392&amp;" ~*")&gt;0)+(COUNTIF(Y358:Y375,$B392)+COUNTIF(Y358:Y375,$B392&amp;" ~*")&gt;0))</f>
        <v/>
      </c>
      <c r="AC392" s="38">
        <f>IF($B392="","",(IFERROR(INDEX(Setup!$G$33:$G$40,MATCH(C392,Setup!$B$33:$B$40,0)),0)=1)*(COUNTIF(C358:E375,$B392)+COUNTIF(C358:E375,$B392&amp;" ~*")&gt;0)+(IFERROR(INDEX(Setup!$G$33:$G$40,MATCH(G392,Setup!$B$33:$B$40,0)),0)=1)*(COUNTIF(G358:I375,$B392)+COUNTIF(G358:I375,$B392&amp;" ~*")&gt;0)+(IFERROR(INDEX(Setup!$G$33:$G$40,MATCH(K392,Setup!$B$33:$B$40,0)),0)=1)*(COUNTIF(K358:M375,$B392)+COUNTIF(K358:M375,$B392&amp;" ~*")&gt;0)+(IFERROR(INDEX(Setup!$G$33:$G$40,MATCH(O392,Setup!$B$33:$B$40,0)),0)=1)*(COUNTIF(O358:Q375,$B392)+COUNTIF(O358:Q375,$B392&amp;" ~*")&gt;0)+(IFERROR(INDEX(Setup!$G$33:$G$40,MATCH(S392,Setup!$B$33:$B$40,0)),0)=1)*(COUNTIF(S358:U375,$B392)+COUNTIF(S358:U375,$B392&amp;" ~*")&gt;0)+(IFERROR(INDEX(Setup!$G$33:$G$40,MATCH(W392,Setup!$B$33:$B$40,0)),0)=1)*(COUNTIF(W358:W375,$B392)+COUNTIF(W358:W375,$B392&amp;" ~*")&gt;0)+(IFERROR(INDEX(Setup!$G$33:$G$40,MATCH(Y392,Setup!$B$33:$B$40,0)),0)=1)*(COUNTIF(Y358:Y375,$B392)+COUNTIF(Y358:Y375,$B392&amp;" ~*")&gt;0))</f>
        <v/>
      </c>
    </row>
    <row r="393" ht="15" customHeight="1">
      <c r="A393" t="n">
        <v>8</v>
      </c>
      <c r="B393" s="35">
        <f>IF(Setup!$B$22="","",Setup!$B$22)</f>
        <v/>
      </c>
      <c r="C393" s="98" t="n"/>
      <c r="D393" s="99" t="n"/>
      <c r="E393" s="99" t="n"/>
      <c r="F393" s="100" t="n"/>
      <c r="G393" s="98" t="n"/>
      <c r="H393" s="99" t="n"/>
      <c r="I393" s="99" t="n"/>
      <c r="J393" s="100" t="n"/>
      <c r="K393" s="98" t="n"/>
      <c r="L393" s="99" t="n"/>
      <c r="M393" s="99" t="n"/>
      <c r="N393" s="100" t="n"/>
      <c r="O393" s="98" t="n"/>
      <c r="P393" s="99" t="n"/>
      <c r="Q393" s="99" t="n"/>
      <c r="R393" s="100" t="n"/>
      <c r="S393" s="98" t="n"/>
      <c r="T393" s="99" t="n"/>
      <c r="U393" s="99" t="n"/>
      <c r="V393" s="100" t="n"/>
      <c r="W393" s="98" t="n"/>
      <c r="X393" s="100" t="n"/>
      <c r="Y393" s="98" t="n"/>
      <c r="Z393" s="100" t="n"/>
      <c r="AB393" s="101">
        <f>IF($B393="","",(COUNTIF(C358:E375,$B393)+COUNTIF(C358:E375,$B393&amp;" ~*")&gt;0)+(COUNTIF(G358:I375,$B393)+COUNTIF(G358:I375,$B393&amp;" ~*")&gt;0)+(COUNTIF(K358:M375,$B393)+COUNTIF(K358:M375,$B393&amp;" ~*")&gt;0)+(COUNTIF(O358:Q375,$B393)+COUNTIF(O358:Q375,$B393&amp;" ~*")&gt;0)+(COUNTIF(S358:U375,$B393)+COUNTIF(S358:U375,$B393&amp;" ~*")&gt;0)+(COUNTIF(W358:W375,$B393)+COUNTIF(W358:W375,$B393&amp;" ~*")&gt;0)+(COUNTIF(Y358:Y375,$B393)+COUNTIF(Y358:Y375,$B393&amp;" ~*")&gt;0))</f>
        <v/>
      </c>
      <c r="AC393" s="36">
        <f>IF($B393="","",(IFERROR(INDEX(Setup!$G$33:$G$40,MATCH(C393,Setup!$B$33:$B$40,0)),0)=1)*(COUNTIF(C358:E375,$B393)+COUNTIF(C358:E375,$B393&amp;" ~*")&gt;0)+(IFERROR(INDEX(Setup!$G$33:$G$40,MATCH(G393,Setup!$B$33:$B$40,0)),0)=1)*(COUNTIF(G358:I375,$B393)+COUNTIF(G358:I375,$B393&amp;" ~*")&gt;0)+(IFERROR(INDEX(Setup!$G$33:$G$40,MATCH(K393,Setup!$B$33:$B$40,0)),0)=1)*(COUNTIF(K358:M375,$B393)+COUNTIF(K358:M375,$B393&amp;" ~*")&gt;0)+(IFERROR(INDEX(Setup!$G$33:$G$40,MATCH(O393,Setup!$B$33:$B$40,0)),0)=1)*(COUNTIF(O358:Q375,$B393)+COUNTIF(O358:Q375,$B393&amp;" ~*")&gt;0)+(IFERROR(INDEX(Setup!$G$33:$G$40,MATCH(S393,Setup!$B$33:$B$40,0)),0)=1)*(COUNTIF(S358:U375,$B393)+COUNTIF(S358:U375,$B393&amp;" ~*")&gt;0)+(IFERROR(INDEX(Setup!$G$33:$G$40,MATCH(W393,Setup!$B$33:$B$40,0)),0)=1)*(COUNTIF(W358:W375,$B393)+COUNTIF(W358:W375,$B393&amp;" ~*")&gt;0)+(IFERROR(INDEX(Setup!$G$33:$G$40,MATCH(Y393,Setup!$B$33:$B$40,0)),0)=1)*(COUNTIF(Y358:Y375,$B393)+COUNTIF(Y358:Y375,$B393&amp;" ~*")&gt;0))</f>
        <v/>
      </c>
    </row>
    <row r="394" ht="15" customHeight="1">
      <c r="A394" t="n">
        <v>8</v>
      </c>
      <c r="B394" s="37">
        <f>IF(Setup!$B$23="","",Setup!$B$23)</f>
        <v/>
      </c>
      <c r="C394" s="102" t="n"/>
      <c r="D394" s="103" t="n"/>
      <c r="E394" s="103" t="n"/>
      <c r="F394" s="104" t="n"/>
      <c r="G394" s="102" t="n"/>
      <c r="H394" s="103" t="n"/>
      <c r="I394" s="103" t="n"/>
      <c r="J394" s="104" t="n"/>
      <c r="K394" s="102" t="n"/>
      <c r="L394" s="103" t="n"/>
      <c r="M394" s="103" t="n"/>
      <c r="N394" s="104" t="n"/>
      <c r="O394" s="102" t="n"/>
      <c r="P394" s="103" t="n"/>
      <c r="Q394" s="103" t="n"/>
      <c r="R394" s="104" t="n"/>
      <c r="S394" s="102" t="n"/>
      <c r="T394" s="103" t="n"/>
      <c r="U394" s="103" t="n"/>
      <c r="V394" s="104" t="n"/>
      <c r="W394" s="102" t="n"/>
      <c r="X394" s="104" t="n"/>
      <c r="Y394" s="102" t="n"/>
      <c r="Z394" s="104" t="n"/>
      <c r="AB394" s="105">
        <f>IF($B394="","",(COUNTIF(C358:E375,$B394)+COUNTIF(C358:E375,$B394&amp;" ~*")&gt;0)+(COUNTIF(G358:I375,$B394)+COUNTIF(G358:I375,$B394&amp;" ~*")&gt;0)+(COUNTIF(K358:M375,$B394)+COUNTIF(K358:M375,$B394&amp;" ~*")&gt;0)+(COUNTIF(O358:Q375,$B394)+COUNTIF(O358:Q375,$B394&amp;" ~*")&gt;0)+(COUNTIF(S358:U375,$B394)+COUNTIF(S358:U375,$B394&amp;" ~*")&gt;0)+(COUNTIF(W358:W375,$B394)+COUNTIF(W358:W375,$B394&amp;" ~*")&gt;0)+(COUNTIF(Y358:Y375,$B394)+COUNTIF(Y358:Y375,$B394&amp;" ~*")&gt;0))</f>
        <v/>
      </c>
      <c r="AC394" s="38">
        <f>IF($B394="","",(IFERROR(INDEX(Setup!$G$33:$G$40,MATCH(C394,Setup!$B$33:$B$40,0)),0)=1)*(COUNTIF(C358:E375,$B394)+COUNTIF(C358:E375,$B394&amp;" ~*")&gt;0)+(IFERROR(INDEX(Setup!$G$33:$G$40,MATCH(G394,Setup!$B$33:$B$40,0)),0)=1)*(COUNTIF(G358:I375,$B394)+COUNTIF(G358:I375,$B394&amp;" ~*")&gt;0)+(IFERROR(INDEX(Setup!$G$33:$G$40,MATCH(K394,Setup!$B$33:$B$40,0)),0)=1)*(COUNTIF(K358:M375,$B394)+COUNTIF(K358:M375,$B394&amp;" ~*")&gt;0)+(IFERROR(INDEX(Setup!$G$33:$G$40,MATCH(O394,Setup!$B$33:$B$40,0)),0)=1)*(COUNTIF(O358:Q375,$B394)+COUNTIF(O358:Q375,$B394&amp;" ~*")&gt;0)+(IFERROR(INDEX(Setup!$G$33:$G$40,MATCH(S394,Setup!$B$33:$B$40,0)),0)=1)*(COUNTIF(S358:U375,$B394)+COUNTIF(S358:U375,$B394&amp;" ~*")&gt;0)+(IFERROR(INDEX(Setup!$G$33:$G$40,MATCH(W394,Setup!$B$33:$B$40,0)),0)=1)*(COUNTIF(W358:W375,$B394)+COUNTIF(W358:W375,$B394&amp;" ~*")&gt;0)+(IFERROR(INDEX(Setup!$G$33:$G$40,MATCH(Y394,Setup!$B$33:$B$40,0)),0)=1)*(COUNTIF(Y358:Y375,$B394)+COUNTIF(Y358:Y375,$B394&amp;" ~*")&gt;0))</f>
        <v/>
      </c>
    </row>
    <row r="395" ht="15" customHeight="1">
      <c r="A395" t="n">
        <v>8</v>
      </c>
      <c r="B395" s="35">
        <f>IF(Setup!$B$24="","",Setup!$B$24)</f>
        <v/>
      </c>
      <c r="C395" s="98" t="n"/>
      <c r="D395" s="99" t="n"/>
      <c r="E395" s="99" t="n"/>
      <c r="F395" s="100" t="n"/>
      <c r="G395" s="98" t="n"/>
      <c r="H395" s="99" t="n"/>
      <c r="I395" s="99" t="n"/>
      <c r="J395" s="100" t="n"/>
      <c r="K395" s="98" t="n"/>
      <c r="L395" s="99" t="n"/>
      <c r="M395" s="99" t="n"/>
      <c r="N395" s="100" t="n"/>
      <c r="O395" s="98" t="n"/>
      <c r="P395" s="99" t="n"/>
      <c r="Q395" s="99" t="n"/>
      <c r="R395" s="100" t="n"/>
      <c r="S395" s="98" t="n"/>
      <c r="T395" s="99" t="n"/>
      <c r="U395" s="99" t="n"/>
      <c r="V395" s="100" t="n"/>
      <c r="W395" s="98" t="n"/>
      <c r="X395" s="100" t="n"/>
      <c r="Y395" s="98" t="n"/>
      <c r="Z395" s="100" t="n"/>
      <c r="AB395" s="101">
        <f>IF($B395="","",(COUNTIF(C358:E375,$B395)+COUNTIF(C358:E375,$B395&amp;" ~*")&gt;0)+(COUNTIF(G358:I375,$B395)+COUNTIF(G358:I375,$B395&amp;" ~*")&gt;0)+(COUNTIF(K358:M375,$B395)+COUNTIF(K358:M375,$B395&amp;" ~*")&gt;0)+(COUNTIF(O358:Q375,$B395)+COUNTIF(O358:Q375,$B395&amp;" ~*")&gt;0)+(COUNTIF(S358:U375,$B395)+COUNTIF(S358:U375,$B395&amp;" ~*")&gt;0)+(COUNTIF(W358:W375,$B395)+COUNTIF(W358:W375,$B395&amp;" ~*")&gt;0)+(COUNTIF(Y358:Y375,$B395)+COUNTIF(Y358:Y375,$B395&amp;" ~*")&gt;0))</f>
        <v/>
      </c>
      <c r="AC395" s="36">
        <f>IF($B395="","",(IFERROR(INDEX(Setup!$G$33:$G$40,MATCH(C395,Setup!$B$33:$B$40,0)),0)=1)*(COUNTIF(C358:E375,$B395)+COUNTIF(C358:E375,$B395&amp;" ~*")&gt;0)+(IFERROR(INDEX(Setup!$G$33:$G$40,MATCH(G395,Setup!$B$33:$B$40,0)),0)=1)*(COUNTIF(G358:I375,$B395)+COUNTIF(G358:I375,$B395&amp;" ~*")&gt;0)+(IFERROR(INDEX(Setup!$G$33:$G$40,MATCH(K395,Setup!$B$33:$B$40,0)),0)=1)*(COUNTIF(K358:M375,$B395)+COUNTIF(K358:M375,$B395&amp;" ~*")&gt;0)+(IFERROR(INDEX(Setup!$G$33:$G$40,MATCH(O395,Setup!$B$33:$B$40,0)),0)=1)*(COUNTIF(O358:Q375,$B395)+COUNTIF(O358:Q375,$B395&amp;" ~*")&gt;0)+(IFERROR(INDEX(Setup!$G$33:$G$40,MATCH(S395,Setup!$B$33:$B$40,0)),0)=1)*(COUNTIF(S358:U375,$B395)+COUNTIF(S358:U375,$B395&amp;" ~*")&gt;0)+(IFERROR(INDEX(Setup!$G$33:$G$40,MATCH(W395,Setup!$B$33:$B$40,0)),0)=1)*(COUNTIF(W358:W375,$B395)+COUNTIF(W358:W375,$B395&amp;" ~*")&gt;0)+(IFERROR(INDEX(Setup!$G$33:$G$40,MATCH(Y395,Setup!$B$33:$B$40,0)),0)=1)*(COUNTIF(Y358:Y375,$B395)+COUNTIF(Y358:Y375,$B395&amp;" ~*")&gt;0))</f>
        <v/>
      </c>
    </row>
    <row r="396" ht="15" customHeight="1">
      <c r="A396" t="n">
        <v>8</v>
      </c>
      <c r="B396" s="37">
        <f>IF(Setup!$B$25="","",Setup!$B$25)</f>
        <v/>
      </c>
      <c r="C396" s="102" t="n"/>
      <c r="D396" s="103" t="n"/>
      <c r="E396" s="103" t="n"/>
      <c r="F396" s="104" t="n"/>
      <c r="G396" s="102" t="n"/>
      <c r="H396" s="103" t="n"/>
      <c r="I396" s="103" t="n"/>
      <c r="J396" s="104" t="n"/>
      <c r="K396" s="102" t="n"/>
      <c r="L396" s="103" t="n"/>
      <c r="M396" s="103" t="n"/>
      <c r="N396" s="104" t="n"/>
      <c r="O396" s="102" t="n"/>
      <c r="P396" s="103" t="n"/>
      <c r="Q396" s="103" t="n"/>
      <c r="R396" s="104" t="n"/>
      <c r="S396" s="102" t="n"/>
      <c r="T396" s="103" t="n"/>
      <c r="U396" s="103" t="n"/>
      <c r="V396" s="104" t="n"/>
      <c r="W396" s="102" t="n"/>
      <c r="X396" s="104" t="n"/>
      <c r="Y396" s="102" t="n"/>
      <c r="Z396" s="104" t="n"/>
      <c r="AB396" s="105">
        <f>IF($B396="","",(COUNTIF(C358:E375,$B396)+COUNTIF(C358:E375,$B396&amp;" ~*")&gt;0)+(COUNTIF(G358:I375,$B396)+COUNTIF(G358:I375,$B396&amp;" ~*")&gt;0)+(COUNTIF(K358:M375,$B396)+COUNTIF(K358:M375,$B396&amp;" ~*")&gt;0)+(COUNTIF(O358:Q375,$B396)+COUNTIF(O358:Q375,$B396&amp;" ~*")&gt;0)+(COUNTIF(S358:U375,$B396)+COUNTIF(S358:U375,$B396&amp;" ~*")&gt;0)+(COUNTIF(W358:W375,$B396)+COUNTIF(W358:W375,$B396&amp;" ~*")&gt;0)+(COUNTIF(Y358:Y375,$B396)+COUNTIF(Y358:Y375,$B396&amp;" ~*")&gt;0))</f>
        <v/>
      </c>
      <c r="AC396" s="38">
        <f>IF($B396="","",(IFERROR(INDEX(Setup!$G$33:$G$40,MATCH(C396,Setup!$B$33:$B$40,0)),0)=1)*(COUNTIF(C358:E375,$B396)+COUNTIF(C358:E375,$B396&amp;" ~*")&gt;0)+(IFERROR(INDEX(Setup!$G$33:$G$40,MATCH(G396,Setup!$B$33:$B$40,0)),0)=1)*(COUNTIF(G358:I375,$B396)+COUNTIF(G358:I375,$B396&amp;" ~*")&gt;0)+(IFERROR(INDEX(Setup!$G$33:$G$40,MATCH(K396,Setup!$B$33:$B$40,0)),0)=1)*(COUNTIF(K358:M375,$B396)+COUNTIF(K358:M375,$B396&amp;" ~*")&gt;0)+(IFERROR(INDEX(Setup!$G$33:$G$40,MATCH(O396,Setup!$B$33:$B$40,0)),0)=1)*(COUNTIF(O358:Q375,$B396)+COUNTIF(O358:Q375,$B396&amp;" ~*")&gt;0)+(IFERROR(INDEX(Setup!$G$33:$G$40,MATCH(S396,Setup!$B$33:$B$40,0)),0)=1)*(COUNTIF(S358:U375,$B396)+COUNTIF(S358:U375,$B396&amp;" ~*")&gt;0)+(IFERROR(INDEX(Setup!$G$33:$G$40,MATCH(W396,Setup!$B$33:$B$40,0)),0)=1)*(COUNTIF(W358:W375,$B396)+COUNTIF(W358:W375,$B396&amp;" ~*")&gt;0)+(IFERROR(INDEX(Setup!$G$33:$G$40,MATCH(Y396,Setup!$B$33:$B$40,0)),0)=1)*(COUNTIF(Y358:Y375,$B396)+COUNTIF(Y358:Y375,$B396&amp;" ~*")&gt;0))</f>
        <v/>
      </c>
    </row>
    <row r="397" ht="15" customHeight="1">
      <c r="A397" t="n">
        <v>8</v>
      </c>
      <c r="B397" s="35">
        <f>IF(Setup!$B$26="","",Setup!$B$26)</f>
        <v/>
      </c>
      <c r="C397" s="98" t="n"/>
      <c r="D397" s="99" t="n"/>
      <c r="E397" s="99" t="n"/>
      <c r="F397" s="100" t="n"/>
      <c r="G397" s="98" t="n"/>
      <c r="H397" s="99" t="n"/>
      <c r="I397" s="99" t="n"/>
      <c r="J397" s="100" t="n"/>
      <c r="K397" s="98" t="n"/>
      <c r="L397" s="99" t="n"/>
      <c r="M397" s="99" t="n"/>
      <c r="N397" s="100" t="n"/>
      <c r="O397" s="98" t="n"/>
      <c r="P397" s="99" t="n"/>
      <c r="Q397" s="99" t="n"/>
      <c r="R397" s="100" t="n"/>
      <c r="S397" s="98" t="n"/>
      <c r="T397" s="99" t="n"/>
      <c r="U397" s="99" t="n"/>
      <c r="V397" s="100" t="n"/>
      <c r="W397" s="98" t="n"/>
      <c r="X397" s="100" t="n"/>
      <c r="Y397" s="98" t="n"/>
      <c r="Z397" s="100" t="n"/>
      <c r="AB397" s="101">
        <f>IF($B397="","",(COUNTIF(C358:E375,$B397)+COUNTIF(C358:E375,$B397&amp;" ~*")&gt;0)+(COUNTIF(G358:I375,$B397)+COUNTIF(G358:I375,$B397&amp;" ~*")&gt;0)+(COUNTIF(K358:M375,$B397)+COUNTIF(K358:M375,$B397&amp;" ~*")&gt;0)+(COUNTIF(O358:Q375,$B397)+COUNTIF(O358:Q375,$B397&amp;" ~*")&gt;0)+(COUNTIF(S358:U375,$B397)+COUNTIF(S358:U375,$B397&amp;" ~*")&gt;0)+(COUNTIF(W358:W375,$B397)+COUNTIF(W358:W375,$B397&amp;" ~*")&gt;0)+(COUNTIF(Y358:Y375,$B397)+COUNTIF(Y358:Y375,$B397&amp;" ~*")&gt;0))</f>
        <v/>
      </c>
      <c r="AC397" s="36">
        <f>IF($B397="","",(IFERROR(INDEX(Setup!$G$33:$G$40,MATCH(C397,Setup!$B$33:$B$40,0)),0)=1)*(COUNTIF(C358:E375,$B397)+COUNTIF(C358:E375,$B397&amp;" ~*")&gt;0)+(IFERROR(INDEX(Setup!$G$33:$G$40,MATCH(G397,Setup!$B$33:$B$40,0)),0)=1)*(COUNTIF(G358:I375,$B397)+COUNTIF(G358:I375,$B397&amp;" ~*")&gt;0)+(IFERROR(INDEX(Setup!$G$33:$G$40,MATCH(K397,Setup!$B$33:$B$40,0)),0)=1)*(COUNTIF(K358:M375,$B397)+COUNTIF(K358:M375,$B397&amp;" ~*")&gt;0)+(IFERROR(INDEX(Setup!$G$33:$G$40,MATCH(O397,Setup!$B$33:$B$40,0)),0)=1)*(COUNTIF(O358:Q375,$B397)+COUNTIF(O358:Q375,$B397&amp;" ~*")&gt;0)+(IFERROR(INDEX(Setup!$G$33:$G$40,MATCH(S397,Setup!$B$33:$B$40,0)),0)=1)*(COUNTIF(S358:U375,$B397)+COUNTIF(S358:U375,$B397&amp;" ~*")&gt;0)+(IFERROR(INDEX(Setup!$G$33:$G$40,MATCH(W397,Setup!$B$33:$B$40,0)),0)=1)*(COUNTIF(W358:W375,$B397)+COUNTIF(W358:W375,$B397&amp;" ~*")&gt;0)+(IFERROR(INDEX(Setup!$G$33:$G$40,MATCH(Y397,Setup!$B$33:$B$40,0)),0)=1)*(COUNTIF(Y358:Y375,$B397)+COUNTIF(Y358:Y375,$B397&amp;" ~*")&gt;0))</f>
        <v/>
      </c>
    </row>
    <row r="398" ht="15" customHeight="1">
      <c r="A398" t="n">
        <v>8</v>
      </c>
      <c r="B398" s="37">
        <f>IF(Setup!$B$27="","",Setup!$B$27)</f>
        <v/>
      </c>
      <c r="C398" s="102" t="n"/>
      <c r="D398" s="103" t="n"/>
      <c r="E398" s="103" t="n"/>
      <c r="F398" s="104" t="n"/>
      <c r="G398" s="102" t="n"/>
      <c r="H398" s="103" t="n"/>
      <c r="I398" s="103" t="n"/>
      <c r="J398" s="104" t="n"/>
      <c r="K398" s="102" t="n"/>
      <c r="L398" s="103" t="n"/>
      <c r="M398" s="103" t="n"/>
      <c r="N398" s="104" t="n"/>
      <c r="O398" s="102" t="n"/>
      <c r="P398" s="103" t="n"/>
      <c r="Q398" s="103" t="n"/>
      <c r="R398" s="104" t="n"/>
      <c r="S398" s="102" t="n"/>
      <c r="T398" s="103" t="n"/>
      <c r="U398" s="103" t="n"/>
      <c r="V398" s="104" t="n"/>
      <c r="W398" s="102" t="n"/>
      <c r="X398" s="104" t="n"/>
      <c r="Y398" s="102" t="n"/>
      <c r="Z398" s="104" t="n"/>
      <c r="AB398" s="105">
        <f>IF($B398="","",(COUNTIF(C358:E375,$B398)+COUNTIF(C358:E375,$B398&amp;" ~*")&gt;0)+(COUNTIF(G358:I375,$B398)+COUNTIF(G358:I375,$B398&amp;" ~*")&gt;0)+(COUNTIF(K358:M375,$B398)+COUNTIF(K358:M375,$B398&amp;" ~*")&gt;0)+(COUNTIF(O358:Q375,$B398)+COUNTIF(O358:Q375,$B398&amp;" ~*")&gt;0)+(COUNTIF(S358:U375,$B398)+COUNTIF(S358:U375,$B398&amp;" ~*")&gt;0)+(COUNTIF(W358:W375,$B398)+COUNTIF(W358:W375,$B398&amp;" ~*")&gt;0)+(COUNTIF(Y358:Y375,$B398)+COUNTIF(Y358:Y375,$B398&amp;" ~*")&gt;0))</f>
        <v/>
      </c>
      <c r="AC398" s="38">
        <f>IF($B398="","",(IFERROR(INDEX(Setup!$G$33:$G$40,MATCH(C398,Setup!$B$33:$B$40,0)),0)=1)*(COUNTIF(C358:E375,$B398)+COUNTIF(C358:E375,$B398&amp;" ~*")&gt;0)+(IFERROR(INDEX(Setup!$G$33:$G$40,MATCH(G398,Setup!$B$33:$B$40,0)),0)=1)*(COUNTIF(G358:I375,$B398)+COUNTIF(G358:I375,$B398&amp;" ~*")&gt;0)+(IFERROR(INDEX(Setup!$G$33:$G$40,MATCH(K398,Setup!$B$33:$B$40,0)),0)=1)*(COUNTIF(K358:M375,$B398)+COUNTIF(K358:M375,$B398&amp;" ~*")&gt;0)+(IFERROR(INDEX(Setup!$G$33:$G$40,MATCH(O398,Setup!$B$33:$B$40,0)),0)=1)*(COUNTIF(O358:Q375,$B398)+COUNTIF(O358:Q375,$B398&amp;" ~*")&gt;0)+(IFERROR(INDEX(Setup!$G$33:$G$40,MATCH(S398,Setup!$B$33:$B$40,0)),0)=1)*(COUNTIF(S358:U375,$B398)+COUNTIF(S358:U375,$B398&amp;" ~*")&gt;0)+(IFERROR(INDEX(Setup!$G$33:$G$40,MATCH(W398,Setup!$B$33:$B$40,0)),0)=1)*(COUNTIF(W358:W375,$B398)+COUNTIF(W358:W375,$B398&amp;" ~*")&gt;0)+(IFERROR(INDEX(Setup!$G$33:$G$40,MATCH(Y398,Setup!$B$33:$B$40,0)),0)=1)*(COUNTIF(Y358:Y375,$B398)+COUNTIF(Y358:Y375,$B398&amp;" ~*")&gt;0))</f>
        <v/>
      </c>
    </row>
    <row r="399" ht="15" customHeight="1">
      <c r="A399" t="n">
        <v>8</v>
      </c>
      <c r="B399" s="35">
        <f>IF(Setup!$B$28="","",Setup!$B$28)</f>
        <v/>
      </c>
      <c r="C399" s="98" t="n"/>
      <c r="D399" s="99" t="n"/>
      <c r="E399" s="99" t="n"/>
      <c r="F399" s="100" t="n"/>
      <c r="G399" s="98" t="n"/>
      <c r="H399" s="99" t="n"/>
      <c r="I399" s="99" t="n"/>
      <c r="J399" s="100" t="n"/>
      <c r="K399" s="98" t="n"/>
      <c r="L399" s="99" t="n"/>
      <c r="M399" s="99" t="n"/>
      <c r="N399" s="100" t="n"/>
      <c r="O399" s="98" t="n"/>
      <c r="P399" s="99" t="n"/>
      <c r="Q399" s="99" t="n"/>
      <c r="R399" s="100" t="n"/>
      <c r="S399" s="98" t="n"/>
      <c r="T399" s="99" t="n"/>
      <c r="U399" s="99" t="n"/>
      <c r="V399" s="100" t="n"/>
      <c r="W399" s="98" t="n"/>
      <c r="X399" s="100" t="n"/>
      <c r="Y399" s="98" t="n"/>
      <c r="Z399" s="100" t="n"/>
      <c r="AB399" s="101">
        <f>IF($B399="","",(COUNTIF(C358:E375,$B399)+COUNTIF(C358:E375,$B399&amp;" ~*")&gt;0)+(COUNTIF(G358:I375,$B399)+COUNTIF(G358:I375,$B399&amp;" ~*")&gt;0)+(COUNTIF(K358:M375,$B399)+COUNTIF(K358:M375,$B399&amp;" ~*")&gt;0)+(COUNTIF(O358:Q375,$B399)+COUNTIF(O358:Q375,$B399&amp;" ~*")&gt;0)+(COUNTIF(S358:U375,$B399)+COUNTIF(S358:U375,$B399&amp;" ~*")&gt;0)+(COUNTIF(W358:W375,$B399)+COUNTIF(W358:W375,$B399&amp;" ~*")&gt;0)+(COUNTIF(Y358:Y375,$B399)+COUNTIF(Y358:Y375,$B399&amp;" ~*")&gt;0))</f>
        <v/>
      </c>
      <c r="AC399" s="36">
        <f>IF($B399="","",(IFERROR(INDEX(Setup!$G$33:$G$40,MATCH(C399,Setup!$B$33:$B$40,0)),0)=1)*(COUNTIF(C358:E375,$B399)+COUNTIF(C358:E375,$B399&amp;" ~*")&gt;0)+(IFERROR(INDEX(Setup!$G$33:$G$40,MATCH(G399,Setup!$B$33:$B$40,0)),0)=1)*(COUNTIF(G358:I375,$B399)+COUNTIF(G358:I375,$B399&amp;" ~*")&gt;0)+(IFERROR(INDEX(Setup!$G$33:$G$40,MATCH(K399,Setup!$B$33:$B$40,0)),0)=1)*(COUNTIF(K358:M375,$B399)+COUNTIF(K358:M375,$B399&amp;" ~*")&gt;0)+(IFERROR(INDEX(Setup!$G$33:$G$40,MATCH(O399,Setup!$B$33:$B$40,0)),0)=1)*(COUNTIF(O358:Q375,$B399)+COUNTIF(O358:Q375,$B399&amp;" ~*")&gt;0)+(IFERROR(INDEX(Setup!$G$33:$G$40,MATCH(S399,Setup!$B$33:$B$40,0)),0)=1)*(COUNTIF(S358:U375,$B399)+COUNTIF(S358:U375,$B399&amp;" ~*")&gt;0)+(IFERROR(INDEX(Setup!$G$33:$G$40,MATCH(W399,Setup!$B$33:$B$40,0)),0)=1)*(COUNTIF(W358:W375,$B399)+COUNTIF(W358:W375,$B399&amp;" ~*")&gt;0)+(IFERROR(INDEX(Setup!$G$33:$G$40,MATCH(Y399,Setup!$B$33:$B$40,0)),0)=1)*(COUNTIF(Y358:Y375,$B399)+COUNTIF(Y358:Y375,$B399&amp;" ~*")&gt;0))</f>
        <v/>
      </c>
    </row>
    <row r="400" ht="15" customHeight="1">
      <c r="A400" t="n">
        <v>8</v>
      </c>
      <c r="B400" s="37">
        <f>IF(Setup!$B$29="","",Setup!$B$29)</f>
        <v/>
      </c>
      <c r="C400" s="102" t="n"/>
      <c r="D400" s="103" t="n"/>
      <c r="E400" s="103" t="n"/>
      <c r="F400" s="104" t="n"/>
      <c r="G400" s="102" t="n"/>
      <c r="H400" s="103" t="n"/>
      <c r="I400" s="103" t="n"/>
      <c r="J400" s="104" t="n"/>
      <c r="K400" s="102" t="n"/>
      <c r="L400" s="103" t="n"/>
      <c r="M400" s="103" t="n"/>
      <c r="N400" s="104" t="n"/>
      <c r="O400" s="102" t="n"/>
      <c r="P400" s="103" t="n"/>
      <c r="Q400" s="103" t="n"/>
      <c r="R400" s="104" t="n"/>
      <c r="S400" s="102" t="n"/>
      <c r="T400" s="103" t="n"/>
      <c r="U400" s="103" t="n"/>
      <c r="V400" s="104" t="n"/>
      <c r="W400" s="102" t="n"/>
      <c r="X400" s="104" t="n"/>
      <c r="Y400" s="102" t="n"/>
      <c r="Z400" s="104" t="n"/>
      <c r="AB400" s="105">
        <f>IF($B400="","",(COUNTIF(C358:E375,$B400)+COUNTIF(C358:E375,$B400&amp;" ~*")&gt;0)+(COUNTIF(G358:I375,$B400)+COUNTIF(G358:I375,$B400&amp;" ~*")&gt;0)+(COUNTIF(K358:M375,$B400)+COUNTIF(K358:M375,$B400&amp;" ~*")&gt;0)+(COUNTIF(O358:Q375,$B400)+COUNTIF(O358:Q375,$B400&amp;" ~*")&gt;0)+(COUNTIF(S358:U375,$B400)+COUNTIF(S358:U375,$B400&amp;" ~*")&gt;0)+(COUNTIF(W358:W375,$B400)+COUNTIF(W358:W375,$B400&amp;" ~*")&gt;0)+(COUNTIF(Y358:Y375,$B400)+COUNTIF(Y358:Y375,$B400&amp;" ~*")&gt;0))</f>
        <v/>
      </c>
      <c r="AC400" s="38">
        <f>IF($B400="","",(IFERROR(INDEX(Setup!$G$33:$G$40,MATCH(C400,Setup!$B$33:$B$40,0)),0)=1)*(COUNTIF(C358:E375,$B400)+COUNTIF(C358:E375,$B400&amp;" ~*")&gt;0)+(IFERROR(INDEX(Setup!$G$33:$G$40,MATCH(G400,Setup!$B$33:$B$40,0)),0)=1)*(COUNTIF(G358:I375,$B400)+COUNTIF(G358:I375,$B400&amp;" ~*")&gt;0)+(IFERROR(INDEX(Setup!$G$33:$G$40,MATCH(K400,Setup!$B$33:$B$40,0)),0)=1)*(COUNTIF(K358:M375,$B400)+COUNTIF(K358:M375,$B400&amp;" ~*")&gt;0)+(IFERROR(INDEX(Setup!$G$33:$G$40,MATCH(O400,Setup!$B$33:$B$40,0)),0)=1)*(COUNTIF(O358:Q375,$B400)+COUNTIF(O358:Q375,$B400&amp;" ~*")&gt;0)+(IFERROR(INDEX(Setup!$G$33:$G$40,MATCH(S400,Setup!$B$33:$B$40,0)),0)=1)*(COUNTIF(S358:U375,$B400)+COUNTIF(S358:U375,$B400&amp;" ~*")&gt;0)+(IFERROR(INDEX(Setup!$G$33:$G$40,MATCH(W400,Setup!$B$33:$B$40,0)),0)=1)*(COUNTIF(W358:W375,$B400)+COUNTIF(W358:W375,$B400&amp;" ~*")&gt;0)+(IFERROR(INDEX(Setup!$G$33:$G$40,MATCH(Y400,Setup!$B$33:$B$40,0)),0)=1)*(COUNTIF(Y358:Y375,$B400)+COUNTIF(Y358:Y375,$B400&amp;" ~*")&gt;0))</f>
        <v/>
      </c>
    </row>
    <row r="401" ht="16" customHeight="1">
      <c r="A401" t="n">
        <v>8</v>
      </c>
      <c r="B401" s="106" t="inlineStr">
        <is>
          <t>Available people</t>
        </is>
      </c>
      <c r="C401" s="107">
        <f>COUNTIFS(Setup!$E$6:$E$29,"Y",Setup!$B$6:$B$29,"?*")-SUMPRODUCT(COUNTIF(C377:C400,Setup!$F$33:$F$40))</f>
        <v/>
      </c>
      <c r="D401" s="107" t="n"/>
      <c r="E401" s="107" t="n"/>
      <c r="F401" s="107" t="n"/>
      <c r="G401" s="107">
        <f>COUNTIFS(Setup!$E$6:$E$29,"Y",Setup!$B$6:$B$29,"?*")-SUMPRODUCT(COUNTIF(G377:G400,Setup!$F$33:$F$40))</f>
        <v/>
      </c>
      <c r="H401" s="107" t="n"/>
      <c r="I401" s="107" t="n"/>
      <c r="J401" s="107" t="n"/>
      <c r="K401" s="107">
        <f>COUNTIFS(Setup!$E$6:$E$29,"Y",Setup!$B$6:$B$29,"?*")-SUMPRODUCT(COUNTIF(K377:K400,Setup!$F$33:$F$40))</f>
        <v/>
      </c>
      <c r="L401" s="107" t="n"/>
      <c r="M401" s="107" t="n"/>
      <c r="N401" s="107" t="n"/>
      <c r="O401" s="107">
        <f>COUNTIFS(Setup!$E$6:$E$29,"Y",Setup!$B$6:$B$29,"?*")-SUMPRODUCT(COUNTIF(O377:O400,Setup!$F$33:$F$40))</f>
        <v/>
      </c>
      <c r="P401" s="107" t="n"/>
      <c r="Q401" s="107" t="n"/>
      <c r="R401" s="107" t="n"/>
      <c r="S401" s="107">
        <f>COUNTIFS(Setup!$E$6:$E$29,"Y",Setup!$B$6:$B$29,"?*")-SUMPRODUCT(COUNTIF(S377:S400,Setup!$F$33:$F$40))</f>
        <v/>
      </c>
      <c r="T401" s="107" t="n"/>
      <c r="U401" s="107" t="n"/>
      <c r="V401" s="107" t="n"/>
      <c r="W401" s="107">
        <f>COUNTIFS(Setup!$E$6:$E$29,"Y",Setup!$B$6:$B$29,"?*")-SUMPRODUCT(COUNTIF(W377:W400,Setup!$F$33:$F$40))</f>
        <v/>
      </c>
      <c r="X401" s="107" t="n"/>
      <c r="Y401" s="107">
        <f>COUNTIFS(Setup!$E$6:$E$29,"Y",Setup!$B$6:$B$29,"?*")-SUMPRODUCT(COUNTIF(Y377:Y400,Setup!$F$33:$F$40))</f>
        <v/>
      </c>
      <c r="Z401" s="107" t="n"/>
      <c r="AB401" s="108">
        <f>SUM(AB377:AB400)</f>
        <v/>
      </c>
      <c r="AC401" s="109">
        <f>SUM(AC377:AC400)</f>
        <v/>
      </c>
    </row>
    <row r="402" ht="30" customHeight="1">
      <c r="A402" t="n">
        <v>8</v>
      </c>
      <c r="B402" s="110" t="inlineStr">
        <is>
          <t>Week notes</t>
        </is>
      </c>
      <c r="C402" s="111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112" t="n"/>
      <c r="R402" s="112" t="n"/>
      <c r="S402" s="112" t="n"/>
      <c r="T402" s="112" t="n"/>
      <c r="U402" s="112" t="n"/>
      <c r="V402" s="112" t="n"/>
      <c r="W402" s="112" t="n"/>
      <c r="X402" s="112" t="n"/>
      <c r="Y402" s="112" t="n"/>
      <c r="Z402" s="113" t="n"/>
    </row>
    <row r="403" ht="8" customHeight="1">
      <c r="A403" t="n">
        <v>8</v>
      </c>
    </row>
    <row r="404" ht="8" customHeight="1">
      <c r="A404" t="n">
        <v>8</v>
      </c>
    </row>
    <row r="405" ht="24" customHeight="1">
      <c r="A405" t="n">
        <v>9</v>
      </c>
      <c r="B405" s="73">
        <f>"WEEK 9     "&amp;TEXT(C406,"ddd d mmm")&amp;"  –  "&amp;TEXT(C406+6,"ddd d mmm yyyy")</f>
        <v/>
      </c>
      <c r="S405" s="74">
        <f>IF(TODAY()&lt;C406,"FUTURE",IF(TODAY()&gt;C406+6,"PAST","THIS WEEK"))</f>
        <v/>
      </c>
      <c r="W405" s="75">
        <f>IF(AND(Engine!$B$8=$AC$3,Engine!$B$9=$A405),"◀ ACTIVE WEEK","")</f>
        <v/>
      </c>
      <c r="AA405" s="76" t="n"/>
      <c r="AB405" s="77" t="inlineStr">
        <is>
          <t>◀ Prev</t>
        </is>
      </c>
      <c r="AC405" s="77" t="inlineStr">
        <is>
          <t>Next ▶</t>
        </is>
      </c>
    </row>
    <row r="406" ht="18" customHeight="1">
      <c r="A406" t="n">
        <v>9</v>
      </c>
      <c r="B406" s="78" t="inlineStr">
        <is>
          <t>DUTY</t>
        </is>
      </c>
      <c r="C406" s="79">
        <f>$AC$2+7*($A406-1)</f>
        <v/>
      </c>
      <c r="D406" s="80" t="n"/>
      <c r="E406" s="80" t="n"/>
      <c r="F406" s="81" t="n"/>
      <c r="G406" s="79">
        <f>C406+1</f>
        <v/>
      </c>
      <c r="H406" s="80" t="n"/>
      <c r="I406" s="80" t="n"/>
      <c r="J406" s="81" t="n"/>
      <c r="K406" s="79">
        <f>C406+2</f>
        <v/>
      </c>
      <c r="L406" s="80" t="n"/>
      <c r="M406" s="80" t="n"/>
      <c r="N406" s="81" t="n"/>
      <c r="O406" s="79">
        <f>C406+3</f>
        <v/>
      </c>
      <c r="P406" s="80" t="n"/>
      <c r="Q406" s="80" t="n"/>
      <c r="R406" s="81" t="n"/>
      <c r="S406" s="79">
        <f>C406+4</f>
        <v/>
      </c>
      <c r="T406" s="80" t="n"/>
      <c r="U406" s="80" t="n"/>
      <c r="V406" s="81" t="n"/>
      <c r="W406" s="82">
        <f>C406+5</f>
        <v/>
      </c>
      <c r="X406" s="83" t="n"/>
      <c r="Y406" s="82">
        <f>C406+6</f>
        <v/>
      </c>
      <c r="Z406" s="83" t="n"/>
      <c r="AB406" s="72" t="inlineStr">
        <is>
          <t>Gaps</t>
        </is>
      </c>
      <c r="AC406" s="72" t="inlineStr">
        <is>
          <t>Cover</t>
        </is>
      </c>
    </row>
    <row r="407" ht="14" customHeight="1">
      <c r="A407" t="n">
        <v>9</v>
      </c>
      <c r="B407" s="84" t="inlineStr">
        <is>
          <t>(from Setup)</t>
        </is>
      </c>
      <c r="C407" s="85" t="inlineStr">
        <is>
          <t>1</t>
        </is>
      </c>
      <c r="D407" s="85" t="inlineStr">
        <is>
          <t>2</t>
        </is>
      </c>
      <c r="E407" s="85" t="inlineStr">
        <is>
          <t>3</t>
        </is>
      </c>
      <c r="F407" s="85" t="inlineStr">
        <is>
          <t>Notes</t>
        </is>
      </c>
      <c r="G407" s="85" t="inlineStr">
        <is>
          <t>1</t>
        </is>
      </c>
      <c r="H407" s="85" t="inlineStr">
        <is>
          <t>2</t>
        </is>
      </c>
      <c r="I407" s="85" t="inlineStr">
        <is>
          <t>3</t>
        </is>
      </c>
      <c r="J407" s="85" t="inlineStr">
        <is>
          <t>Notes</t>
        </is>
      </c>
      <c r="K407" s="85" t="inlineStr">
        <is>
          <t>1</t>
        </is>
      </c>
      <c r="L407" s="85" t="inlineStr">
        <is>
          <t>2</t>
        </is>
      </c>
      <c r="M407" s="85" t="inlineStr">
        <is>
          <t>3</t>
        </is>
      </c>
      <c r="N407" s="85" t="inlineStr">
        <is>
          <t>Notes</t>
        </is>
      </c>
      <c r="O407" s="85" t="inlineStr">
        <is>
          <t>1</t>
        </is>
      </c>
      <c r="P407" s="85" t="inlineStr">
        <is>
          <t>2</t>
        </is>
      </c>
      <c r="Q407" s="85" t="inlineStr">
        <is>
          <t>3</t>
        </is>
      </c>
      <c r="R407" s="85" t="inlineStr">
        <is>
          <t>Notes</t>
        </is>
      </c>
      <c r="S407" s="85" t="inlineStr">
        <is>
          <t>1</t>
        </is>
      </c>
      <c r="T407" s="85" t="inlineStr">
        <is>
          <t>2</t>
        </is>
      </c>
      <c r="U407" s="85" t="inlineStr">
        <is>
          <t>3</t>
        </is>
      </c>
      <c r="V407" s="85" t="inlineStr">
        <is>
          <t>Notes</t>
        </is>
      </c>
      <c r="W407" s="85" t="inlineStr">
        <is>
          <t>Cover</t>
        </is>
      </c>
      <c r="X407" s="85" t="inlineStr">
        <is>
          <t>Notes</t>
        </is>
      </c>
      <c r="Y407" s="85" t="inlineStr">
        <is>
          <t>Cover</t>
        </is>
      </c>
      <c r="Z407" s="85" t="inlineStr">
        <is>
          <t>Notes</t>
        </is>
      </c>
      <c r="AB407" s="86" t="inlineStr">
        <is>
          <t>weekdays short</t>
        </is>
      </c>
      <c r="AC407" s="87" t="inlineStr"/>
    </row>
    <row r="408" ht="17" customHeight="1">
      <c r="A408" t="n">
        <v>9</v>
      </c>
      <c r="B408" s="24">
        <f>IF(Setup!$K$6="","",Setup!$K$6)</f>
        <v/>
      </c>
      <c r="C408" s="88" t="n"/>
      <c r="D408" s="88" t="n"/>
      <c r="E408" s="88" t="n"/>
      <c r="F408" s="89" t="n"/>
      <c r="G408" s="88" t="n"/>
      <c r="H408" s="88" t="n"/>
      <c r="I408" s="88" t="n"/>
      <c r="J408" s="89" t="n"/>
      <c r="K408" s="88" t="n"/>
      <c r="L408" s="88" t="n"/>
      <c r="M408" s="88" t="n"/>
      <c r="N408" s="89" t="n"/>
      <c r="O408" s="88" t="n"/>
      <c r="P408" s="88" t="n"/>
      <c r="Q408" s="88" t="n"/>
      <c r="R408" s="89" t="n"/>
      <c r="S408" s="88" t="n"/>
      <c r="T408" s="88" t="n"/>
      <c r="U408" s="88" t="n"/>
      <c r="V408" s="89" t="n"/>
      <c r="W408" s="88" t="n"/>
      <c r="X408" s="89" t="n"/>
      <c r="Y408" s="88" t="n"/>
      <c r="Z408" s="89" t="n"/>
      <c r="AB408" s="25">
        <f>IF($B408="","",(COUNTIF(C408:E408,"?*")&lt;N(INDEX(Setup!$L$6:$L$23,1)))+(COUNTIF(G408:I408,"?*")&lt;N(INDEX(Setup!$L$6:$L$23,1)))+(COUNTIF(K408:M408,"?*")&lt;N(INDEX(Setup!$L$6:$L$23,1)))+(COUNTIF(O408:Q408,"?*")&lt;N(INDEX(Setup!$L$6:$L$23,1)))+(COUNTIF(S408:U408,"?*")&lt;N(INDEX(Setup!$L$6:$L$23,1)))+((W408="")*(INDEX(Setup!$M$6:$M$23,1)="Y"))+((Y408="")*(INDEX(Setup!$M$6:$M$23,1)="Y")))</f>
        <v/>
      </c>
      <c r="AC408" s="90">
        <f>IF($B408="","",IF(AB408=0,"✓ covered","⚠ "&amp;AB408&amp;IF(AB408=1," gap"," gaps")))</f>
        <v/>
      </c>
    </row>
    <row r="409" ht="17" customHeight="1">
      <c r="A409" t="n">
        <v>9</v>
      </c>
      <c r="B409" s="29">
        <f>IF(Setup!$K$7="","",Setup!$K$7)</f>
        <v/>
      </c>
      <c r="C409" s="88" t="n"/>
      <c r="D409" s="88" t="n"/>
      <c r="E409" s="88" t="n"/>
      <c r="F409" s="89" t="n"/>
      <c r="G409" s="88" t="n"/>
      <c r="H409" s="88" t="n"/>
      <c r="I409" s="88" t="n"/>
      <c r="J409" s="89" t="n"/>
      <c r="K409" s="88" t="n"/>
      <c r="L409" s="88" t="n"/>
      <c r="M409" s="88" t="n"/>
      <c r="N409" s="89" t="n"/>
      <c r="O409" s="88" t="n"/>
      <c r="P409" s="88" t="n"/>
      <c r="Q409" s="88" t="n"/>
      <c r="R409" s="89" t="n"/>
      <c r="S409" s="88" t="n"/>
      <c r="T409" s="88" t="n"/>
      <c r="U409" s="88" t="n"/>
      <c r="V409" s="89" t="n"/>
      <c r="W409" s="88" t="n"/>
      <c r="X409" s="89" t="n"/>
      <c r="Y409" s="88" t="n"/>
      <c r="Z409" s="89" t="n"/>
      <c r="AB409" s="30">
        <f>IF($B409="","",(COUNTIF(C409:E409,"?*")&lt;N(INDEX(Setup!$L$6:$L$23,2)))+(COUNTIF(G409:I409,"?*")&lt;N(INDEX(Setup!$L$6:$L$23,2)))+(COUNTIF(K409:M409,"?*")&lt;N(INDEX(Setup!$L$6:$L$23,2)))+(COUNTIF(O409:Q409,"?*")&lt;N(INDEX(Setup!$L$6:$L$23,2)))+(COUNTIF(S409:U409,"?*")&lt;N(INDEX(Setup!$L$6:$L$23,2)))+((W409="")*(INDEX(Setup!$M$6:$M$23,2)="Y"))+((Y409="")*(INDEX(Setup!$M$6:$M$23,2)="Y")))</f>
        <v/>
      </c>
      <c r="AC409" s="91">
        <f>IF($B409="","",IF(AB409=0,"✓ covered","⚠ "&amp;AB409&amp;IF(AB409=1," gap"," gaps")))</f>
        <v/>
      </c>
    </row>
    <row r="410" ht="17" customHeight="1">
      <c r="A410" t="n">
        <v>9</v>
      </c>
      <c r="B410" s="24">
        <f>IF(Setup!$K$8="","",Setup!$K$8)</f>
        <v/>
      </c>
      <c r="C410" s="88" t="n"/>
      <c r="D410" s="88" t="n"/>
      <c r="E410" s="88" t="n"/>
      <c r="F410" s="89" t="n"/>
      <c r="G410" s="88" t="n"/>
      <c r="H410" s="88" t="n"/>
      <c r="I410" s="88" t="n"/>
      <c r="J410" s="89" t="n"/>
      <c r="K410" s="88" t="n"/>
      <c r="L410" s="88" t="n"/>
      <c r="M410" s="88" t="n"/>
      <c r="N410" s="89" t="n"/>
      <c r="O410" s="88" t="n"/>
      <c r="P410" s="88" t="n"/>
      <c r="Q410" s="88" t="n"/>
      <c r="R410" s="89" t="n"/>
      <c r="S410" s="88" t="n"/>
      <c r="T410" s="88" t="n"/>
      <c r="U410" s="88" t="n"/>
      <c r="V410" s="89" t="n"/>
      <c r="W410" s="88" t="n"/>
      <c r="X410" s="89" t="n"/>
      <c r="Y410" s="88" t="n"/>
      <c r="Z410" s="89" t="n"/>
      <c r="AB410" s="25">
        <f>IF($B410="","",(COUNTIF(C410:E410,"?*")&lt;N(INDEX(Setup!$L$6:$L$23,3)))+(COUNTIF(G410:I410,"?*")&lt;N(INDEX(Setup!$L$6:$L$23,3)))+(COUNTIF(K410:M410,"?*")&lt;N(INDEX(Setup!$L$6:$L$23,3)))+(COUNTIF(O410:Q410,"?*")&lt;N(INDEX(Setup!$L$6:$L$23,3)))+(COUNTIF(S410:U410,"?*")&lt;N(INDEX(Setup!$L$6:$L$23,3)))+((W410="")*(INDEX(Setup!$M$6:$M$23,3)="Y"))+((Y410="")*(INDEX(Setup!$M$6:$M$23,3)="Y")))</f>
        <v/>
      </c>
      <c r="AC410" s="90">
        <f>IF($B410="","",IF(AB410=0,"✓ covered","⚠ "&amp;AB410&amp;IF(AB410=1," gap"," gaps")))</f>
        <v/>
      </c>
    </row>
    <row r="411" ht="17" customHeight="1">
      <c r="A411" t="n">
        <v>9</v>
      </c>
      <c r="B411" s="29">
        <f>IF(Setup!$K$9="","",Setup!$K$9)</f>
        <v/>
      </c>
      <c r="C411" s="88" t="n"/>
      <c r="D411" s="88" t="n"/>
      <c r="E411" s="88" t="n"/>
      <c r="F411" s="89" t="n"/>
      <c r="G411" s="88" t="n"/>
      <c r="H411" s="88" t="n"/>
      <c r="I411" s="88" t="n"/>
      <c r="J411" s="89" t="n"/>
      <c r="K411" s="88" t="n"/>
      <c r="L411" s="88" t="n"/>
      <c r="M411" s="88" t="n"/>
      <c r="N411" s="89" t="n"/>
      <c r="O411" s="88" t="n"/>
      <c r="P411" s="88" t="n"/>
      <c r="Q411" s="88" t="n"/>
      <c r="R411" s="89" t="n"/>
      <c r="S411" s="88" t="n"/>
      <c r="T411" s="88" t="n"/>
      <c r="U411" s="88" t="n"/>
      <c r="V411" s="89" t="n"/>
      <c r="W411" s="88" t="n"/>
      <c r="X411" s="89" t="n"/>
      <c r="Y411" s="88" t="n"/>
      <c r="Z411" s="89" t="n"/>
      <c r="AB411" s="30">
        <f>IF($B411="","",(COUNTIF(C411:E411,"?*")&lt;N(INDEX(Setup!$L$6:$L$23,4)))+(COUNTIF(G411:I411,"?*")&lt;N(INDEX(Setup!$L$6:$L$23,4)))+(COUNTIF(K411:M411,"?*")&lt;N(INDEX(Setup!$L$6:$L$23,4)))+(COUNTIF(O411:Q411,"?*")&lt;N(INDEX(Setup!$L$6:$L$23,4)))+(COUNTIF(S411:U411,"?*")&lt;N(INDEX(Setup!$L$6:$L$23,4)))+((W411="")*(INDEX(Setup!$M$6:$M$23,4)="Y"))+((Y411="")*(INDEX(Setup!$M$6:$M$23,4)="Y")))</f>
        <v/>
      </c>
      <c r="AC411" s="91">
        <f>IF($B411="","",IF(AB411=0,"✓ covered","⚠ "&amp;AB411&amp;IF(AB411=1," gap"," gaps")))</f>
        <v/>
      </c>
    </row>
    <row r="412" ht="17" customHeight="1">
      <c r="A412" t="n">
        <v>9</v>
      </c>
      <c r="B412" s="24">
        <f>IF(Setup!$K$10="","",Setup!$K$10)</f>
        <v/>
      </c>
      <c r="C412" s="88" t="n"/>
      <c r="D412" s="88" t="n"/>
      <c r="E412" s="88" t="n"/>
      <c r="F412" s="89" t="n"/>
      <c r="G412" s="88" t="n"/>
      <c r="H412" s="88" t="n"/>
      <c r="I412" s="88" t="n"/>
      <c r="J412" s="89" t="n"/>
      <c r="K412" s="88" t="n"/>
      <c r="L412" s="88" t="n"/>
      <c r="M412" s="88" t="n"/>
      <c r="N412" s="89" t="n"/>
      <c r="O412" s="88" t="n"/>
      <c r="P412" s="88" t="n"/>
      <c r="Q412" s="88" t="n"/>
      <c r="R412" s="89" t="n"/>
      <c r="S412" s="88" t="n"/>
      <c r="T412" s="88" t="n"/>
      <c r="U412" s="88" t="n"/>
      <c r="V412" s="89" t="n"/>
      <c r="W412" s="88" t="n"/>
      <c r="X412" s="89" t="n"/>
      <c r="Y412" s="88" t="n"/>
      <c r="Z412" s="89" t="n"/>
      <c r="AB412" s="25">
        <f>IF($B412="","",(COUNTIF(C412:E412,"?*")&lt;N(INDEX(Setup!$L$6:$L$23,5)))+(COUNTIF(G412:I412,"?*")&lt;N(INDEX(Setup!$L$6:$L$23,5)))+(COUNTIF(K412:M412,"?*")&lt;N(INDEX(Setup!$L$6:$L$23,5)))+(COUNTIF(O412:Q412,"?*")&lt;N(INDEX(Setup!$L$6:$L$23,5)))+(COUNTIF(S412:U412,"?*")&lt;N(INDEX(Setup!$L$6:$L$23,5)))+((W412="")*(INDEX(Setup!$M$6:$M$23,5)="Y"))+((Y412="")*(INDEX(Setup!$M$6:$M$23,5)="Y")))</f>
        <v/>
      </c>
      <c r="AC412" s="90">
        <f>IF($B412="","",IF(AB412=0,"✓ covered","⚠ "&amp;AB412&amp;IF(AB412=1," gap"," gaps")))</f>
        <v/>
      </c>
    </row>
    <row r="413" ht="17" customHeight="1">
      <c r="A413" t="n">
        <v>9</v>
      </c>
      <c r="B413" s="29">
        <f>IF(Setup!$K$11="","",Setup!$K$11)</f>
        <v/>
      </c>
      <c r="C413" s="88" t="n"/>
      <c r="D413" s="88" t="n"/>
      <c r="E413" s="88" t="n"/>
      <c r="F413" s="89" t="n"/>
      <c r="G413" s="88" t="n"/>
      <c r="H413" s="88" t="n"/>
      <c r="I413" s="88" t="n"/>
      <c r="J413" s="89" t="n"/>
      <c r="K413" s="88" t="n"/>
      <c r="L413" s="88" t="n"/>
      <c r="M413" s="88" t="n"/>
      <c r="N413" s="89" t="n"/>
      <c r="O413" s="88" t="n"/>
      <c r="P413" s="88" t="n"/>
      <c r="Q413" s="88" t="n"/>
      <c r="R413" s="89" t="n"/>
      <c r="S413" s="88" t="n"/>
      <c r="T413" s="88" t="n"/>
      <c r="U413" s="88" t="n"/>
      <c r="V413" s="89" t="n"/>
      <c r="W413" s="88" t="n"/>
      <c r="X413" s="89" t="n"/>
      <c r="Y413" s="88" t="n"/>
      <c r="Z413" s="89" t="n"/>
      <c r="AB413" s="30">
        <f>IF($B413="","",(COUNTIF(C413:E413,"?*")&lt;N(INDEX(Setup!$L$6:$L$23,6)))+(COUNTIF(G413:I413,"?*")&lt;N(INDEX(Setup!$L$6:$L$23,6)))+(COUNTIF(K413:M413,"?*")&lt;N(INDEX(Setup!$L$6:$L$23,6)))+(COUNTIF(O413:Q413,"?*")&lt;N(INDEX(Setup!$L$6:$L$23,6)))+(COUNTIF(S413:U413,"?*")&lt;N(INDEX(Setup!$L$6:$L$23,6)))+((W413="")*(INDEX(Setup!$M$6:$M$23,6)="Y"))+((Y413="")*(INDEX(Setup!$M$6:$M$23,6)="Y")))</f>
        <v/>
      </c>
      <c r="AC413" s="91">
        <f>IF($B413="","",IF(AB413=0,"✓ covered","⚠ "&amp;AB413&amp;IF(AB413=1," gap"," gaps")))</f>
        <v/>
      </c>
    </row>
    <row r="414" ht="17" customHeight="1">
      <c r="A414" t="n">
        <v>9</v>
      </c>
      <c r="B414" s="24">
        <f>IF(Setup!$K$12="","",Setup!$K$12)</f>
        <v/>
      </c>
      <c r="C414" s="88" t="n"/>
      <c r="D414" s="88" t="n"/>
      <c r="E414" s="88" t="n"/>
      <c r="F414" s="89" t="n"/>
      <c r="G414" s="88" t="n"/>
      <c r="H414" s="88" t="n"/>
      <c r="I414" s="88" t="n"/>
      <c r="J414" s="89" t="n"/>
      <c r="K414" s="88" t="n"/>
      <c r="L414" s="88" t="n"/>
      <c r="M414" s="88" t="n"/>
      <c r="N414" s="89" t="n"/>
      <c r="O414" s="88" t="n"/>
      <c r="P414" s="88" t="n"/>
      <c r="Q414" s="88" t="n"/>
      <c r="R414" s="89" t="n"/>
      <c r="S414" s="88" t="n"/>
      <c r="T414" s="88" t="n"/>
      <c r="U414" s="88" t="n"/>
      <c r="V414" s="89" t="n"/>
      <c r="W414" s="88" t="n"/>
      <c r="X414" s="89" t="n"/>
      <c r="Y414" s="88" t="n"/>
      <c r="Z414" s="89" t="n"/>
      <c r="AB414" s="25">
        <f>IF($B414="","",(COUNTIF(C414:E414,"?*")&lt;N(INDEX(Setup!$L$6:$L$23,7)))+(COUNTIF(G414:I414,"?*")&lt;N(INDEX(Setup!$L$6:$L$23,7)))+(COUNTIF(K414:M414,"?*")&lt;N(INDEX(Setup!$L$6:$L$23,7)))+(COUNTIF(O414:Q414,"?*")&lt;N(INDEX(Setup!$L$6:$L$23,7)))+(COUNTIF(S414:U414,"?*")&lt;N(INDEX(Setup!$L$6:$L$23,7)))+((W414="")*(INDEX(Setup!$M$6:$M$23,7)="Y"))+((Y414="")*(INDEX(Setup!$M$6:$M$23,7)="Y")))</f>
        <v/>
      </c>
      <c r="AC414" s="90">
        <f>IF($B414="","",IF(AB414=0,"✓ covered","⚠ "&amp;AB414&amp;IF(AB414=1," gap"," gaps")))</f>
        <v/>
      </c>
    </row>
    <row r="415" ht="17" customHeight="1">
      <c r="A415" t="n">
        <v>9</v>
      </c>
      <c r="B415" s="29">
        <f>IF(Setup!$K$13="","",Setup!$K$13)</f>
        <v/>
      </c>
      <c r="C415" s="88" t="n"/>
      <c r="D415" s="88" t="n"/>
      <c r="E415" s="88" t="n"/>
      <c r="F415" s="89" t="n"/>
      <c r="G415" s="88" t="n"/>
      <c r="H415" s="88" t="n"/>
      <c r="I415" s="88" t="n"/>
      <c r="J415" s="89" t="n"/>
      <c r="K415" s="88" t="n"/>
      <c r="L415" s="88" t="n"/>
      <c r="M415" s="88" t="n"/>
      <c r="N415" s="89" t="n"/>
      <c r="O415" s="88" t="n"/>
      <c r="P415" s="88" t="n"/>
      <c r="Q415" s="88" t="n"/>
      <c r="R415" s="89" t="n"/>
      <c r="S415" s="88" t="n"/>
      <c r="T415" s="88" t="n"/>
      <c r="U415" s="88" t="n"/>
      <c r="V415" s="89" t="n"/>
      <c r="W415" s="88" t="n"/>
      <c r="X415" s="89" t="n"/>
      <c r="Y415" s="88" t="n"/>
      <c r="Z415" s="89" t="n"/>
      <c r="AB415" s="30">
        <f>IF($B415="","",(COUNTIF(C415:E415,"?*")&lt;N(INDEX(Setup!$L$6:$L$23,8)))+(COUNTIF(G415:I415,"?*")&lt;N(INDEX(Setup!$L$6:$L$23,8)))+(COUNTIF(K415:M415,"?*")&lt;N(INDEX(Setup!$L$6:$L$23,8)))+(COUNTIF(O415:Q415,"?*")&lt;N(INDEX(Setup!$L$6:$L$23,8)))+(COUNTIF(S415:U415,"?*")&lt;N(INDEX(Setup!$L$6:$L$23,8)))+((W415="")*(INDEX(Setup!$M$6:$M$23,8)="Y"))+((Y415="")*(INDEX(Setup!$M$6:$M$23,8)="Y")))</f>
        <v/>
      </c>
      <c r="AC415" s="91">
        <f>IF($B415="","",IF(AB415=0,"✓ covered","⚠ "&amp;AB415&amp;IF(AB415=1," gap"," gaps")))</f>
        <v/>
      </c>
    </row>
    <row r="416" ht="17" customHeight="1">
      <c r="A416" t="n">
        <v>9</v>
      </c>
      <c r="B416" s="24">
        <f>IF(Setup!$K$14="","",Setup!$K$14)</f>
        <v/>
      </c>
      <c r="C416" s="88" t="n"/>
      <c r="D416" s="88" t="n"/>
      <c r="E416" s="88" t="n"/>
      <c r="F416" s="89" t="n"/>
      <c r="G416" s="88" t="n"/>
      <c r="H416" s="88" t="n"/>
      <c r="I416" s="88" t="n"/>
      <c r="J416" s="89" t="n"/>
      <c r="K416" s="88" t="n"/>
      <c r="L416" s="88" t="n"/>
      <c r="M416" s="88" t="n"/>
      <c r="N416" s="89" t="n"/>
      <c r="O416" s="88" t="n"/>
      <c r="P416" s="88" t="n"/>
      <c r="Q416" s="88" t="n"/>
      <c r="R416" s="89" t="n"/>
      <c r="S416" s="88" t="n"/>
      <c r="T416" s="88" t="n"/>
      <c r="U416" s="88" t="n"/>
      <c r="V416" s="89" t="n"/>
      <c r="W416" s="88" t="n"/>
      <c r="X416" s="89" t="n"/>
      <c r="Y416" s="88" t="n"/>
      <c r="Z416" s="89" t="n"/>
      <c r="AB416" s="25">
        <f>IF($B416="","",(COUNTIF(C416:E416,"?*")&lt;N(INDEX(Setup!$L$6:$L$23,9)))+(COUNTIF(G416:I416,"?*")&lt;N(INDEX(Setup!$L$6:$L$23,9)))+(COUNTIF(K416:M416,"?*")&lt;N(INDEX(Setup!$L$6:$L$23,9)))+(COUNTIF(O416:Q416,"?*")&lt;N(INDEX(Setup!$L$6:$L$23,9)))+(COUNTIF(S416:U416,"?*")&lt;N(INDEX(Setup!$L$6:$L$23,9)))+((W416="")*(INDEX(Setup!$M$6:$M$23,9)="Y"))+((Y416="")*(INDEX(Setup!$M$6:$M$23,9)="Y")))</f>
        <v/>
      </c>
      <c r="AC416" s="90">
        <f>IF($B416="","",IF(AB416=0,"✓ covered","⚠ "&amp;AB416&amp;IF(AB416=1," gap"," gaps")))</f>
        <v/>
      </c>
    </row>
    <row r="417" ht="17" customHeight="1">
      <c r="A417" t="n">
        <v>9</v>
      </c>
      <c r="B417" s="29">
        <f>IF(Setup!$K$15="","",Setup!$K$15)</f>
        <v/>
      </c>
      <c r="C417" s="88" t="n"/>
      <c r="D417" s="88" t="n"/>
      <c r="E417" s="88" t="n"/>
      <c r="F417" s="89" t="n"/>
      <c r="G417" s="88" t="n"/>
      <c r="H417" s="88" t="n"/>
      <c r="I417" s="88" t="n"/>
      <c r="J417" s="89" t="n"/>
      <c r="K417" s="88" t="n"/>
      <c r="L417" s="88" t="n"/>
      <c r="M417" s="88" t="n"/>
      <c r="N417" s="89" t="n"/>
      <c r="O417" s="88" t="n"/>
      <c r="P417" s="88" t="n"/>
      <c r="Q417" s="88" t="n"/>
      <c r="R417" s="89" t="n"/>
      <c r="S417" s="88" t="n"/>
      <c r="T417" s="88" t="n"/>
      <c r="U417" s="88" t="n"/>
      <c r="V417" s="89" t="n"/>
      <c r="W417" s="88" t="n"/>
      <c r="X417" s="89" t="n"/>
      <c r="Y417" s="88" t="n"/>
      <c r="Z417" s="89" t="n"/>
      <c r="AB417" s="30">
        <f>IF($B417="","",(COUNTIF(C417:E417,"?*")&lt;N(INDEX(Setup!$L$6:$L$23,10)))+(COUNTIF(G417:I417,"?*")&lt;N(INDEX(Setup!$L$6:$L$23,10)))+(COUNTIF(K417:M417,"?*")&lt;N(INDEX(Setup!$L$6:$L$23,10)))+(COUNTIF(O417:Q417,"?*")&lt;N(INDEX(Setup!$L$6:$L$23,10)))+(COUNTIF(S417:U417,"?*")&lt;N(INDEX(Setup!$L$6:$L$23,10)))+((W417="")*(INDEX(Setup!$M$6:$M$23,10)="Y"))+((Y417="")*(INDEX(Setup!$M$6:$M$23,10)="Y")))</f>
        <v/>
      </c>
      <c r="AC417" s="91">
        <f>IF($B417="","",IF(AB417=0,"✓ covered","⚠ "&amp;AB417&amp;IF(AB417=1," gap"," gaps")))</f>
        <v/>
      </c>
    </row>
    <row r="418" ht="17" customHeight="1">
      <c r="A418" t="n">
        <v>9</v>
      </c>
      <c r="B418" s="24">
        <f>IF(Setup!$K$16="","",Setup!$K$16)</f>
        <v/>
      </c>
      <c r="C418" s="88" t="n"/>
      <c r="D418" s="88" t="n"/>
      <c r="E418" s="88" t="n"/>
      <c r="F418" s="89" t="n"/>
      <c r="G418" s="88" t="n"/>
      <c r="H418" s="88" t="n"/>
      <c r="I418" s="88" t="n"/>
      <c r="J418" s="89" t="n"/>
      <c r="K418" s="88" t="n"/>
      <c r="L418" s="88" t="n"/>
      <c r="M418" s="88" t="n"/>
      <c r="N418" s="89" t="n"/>
      <c r="O418" s="88" t="n"/>
      <c r="P418" s="88" t="n"/>
      <c r="Q418" s="88" t="n"/>
      <c r="R418" s="89" t="n"/>
      <c r="S418" s="88" t="n"/>
      <c r="T418" s="88" t="n"/>
      <c r="U418" s="88" t="n"/>
      <c r="V418" s="89" t="n"/>
      <c r="W418" s="88" t="n"/>
      <c r="X418" s="89" t="n"/>
      <c r="Y418" s="88" t="n"/>
      <c r="Z418" s="89" t="n"/>
      <c r="AB418" s="25">
        <f>IF($B418="","",(COUNTIF(C418:E418,"?*")&lt;N(INDEX(Setup!$L$6:$L$23,11)))+(COUNTIF(G418:I418,"?*")&lt;N(INDEX(Setup!$L$6:$L$23,11)))+(COUNTIF(K418:M418,"?*")&lt;N(INDEX(Setup!$L$6:$L$23,11)))+(COUNTIF(O418:Q418,"?*")&lt;N(INDEX(Setup!$L$6:$L$23,11)))+(COUNTIF(S418:U418,"?*")&lt;N(INDEX(Setup!$L$6:$L$23,11)))+((W418="")*(INDEX(Setup!$M$6:$M$23,11)="Y"))+((Y418="")*(INDEX(Setup!$M$6:$M$23,11)="Y")))</f>
        <v/>
      </c>
      <c r="AC418" s="90">
        <f>IF($B418="","",IF(AB418=0,"✓ covered","⚠ "&amp;AB418&amp;IF(AB418=1," gap"," gaps")))</f>
        <v/>
      </c>
    </row>
    <row r="419" ht="17" customHeight="1">
      <c r="A419" t="n">
        <v>9</v>
      </c>
      <c r="B419" s="29">
        <f>IF(Setup!$K$17="","",Setup!$K$17)</f>
        <v/>
      </c>
      <c r="C419" s="88" t="n"/>
      <c r="D419" s="88" t="n"/>
      <c r="E419" s="88" t="n"/>
      <c r="F419" s="89" t="n"/>
      <c r="G419" s="88" t="n"/>
      <c r="H419" s="88" t="n"/>
      <c r="I419" s="88" t="n"/>
      <c r="J419" s="89" t="n"/>
      <c r="K419" s="88" t="n"/>
      <c r="L419" s="88" t="n"/>
      <c r="M419" s="88" t="n"/>
      <c r="N419" s="89" t="n"/>
      <c r="O419" s="88" t="n"/>
      <c r="P419" s="88" t="n"/>
      <c r="Q419" s="88" t="n"/>
      <c r="R419" s="89" t="n"/>
      <c r="S419" s="88" t="n"/>
      <c r="T419" s="88" t="n"/>
      <c r="U419" s="88" t="n"/>
      <c r="V419" s="89" t="n"/>
      <c r="W419" s="88" t="n"/>
      <c r="X419" s="89" t="n"/>
      <c r="Y419" s="88" t="n"/>
      <c r="Z419" s="89" t="n"/>
      <c r="AB419" s="30">
        <f>IF($B419="","",(COUNTIF(C419:E419,"?*")&lt;N(INDEX(Setup!$L$6:$L$23,12)))+(COUNTIF(G419:I419,"?*")&lt;N(INDEX(Setup!$L$6:$L$23,12)))+(COUNTIF(K419:M419,"?*")&lt;N(INDEX(Setup!$L$6:$L$23,12)))+(COUNTIF(O419:Q419,"?*")&lt;N(INDEX(Setup!$L$6:$L$23,12)))+(COUNTIF(S419:U419,"?*")&lt;N(INDEX(Setup!$L$6:$L$23,12)))+((W419="")*(INDEX(Setup!$M$6:$M$23,12)="Y"))+((Y419="")*(INDEX(Setup!$M$6:$M$23,12)="Y")))</f>
        <v/>
      </c>
      <c r="AC419" s="91">
        <f>IF($B419="","",IF(AB419=0,"✓ covered","⚠ "&amp;AB419&amp;IF(AB419=1," gap"," gaps")))</f>
        <v/>
      </c>
    </row>
    <row r="420" ht="17" customHeight="1">
      <c r="A420" t="n">
        <v>9</v>
      </c>
      <c r="B420" s="24">
        <f>IF(Setup!$K$18="","",Setup!$K$18)</f>
        <v/>
      </c>
      <c r="C420" s="88" t="n"/>
      <c r="D420" s="88" t="n"/>
      <c r="E420" s="88" t="n"/>
      <c r="F420" s="89" t="n"/>
      <c r="G420" s="88" t="n"/>
      <c r="H420" s="88" t="n"/>
      <c r="I420" s="88" t="n"/>
      <c r="J420" s="89" t="n"/>
      <c r="K420" s="88" t="n"/>
      <c r="L420" s="88" t="n"/>
      <c r="M420" s="88" t="n"/>
      <c r="N420" s="89" t="n"/>
      <c r="O420" s="88" t="n"/>
      <c r="P420" s="88" t="n"/>
      <c r="Q420" s="88" t="n"/>
      <c r="R420" s="89" t="n"/>
      <c r="S420" s="88" t="n"/>
      <c r="T420" s="88" t="n"/>
      <c r="U420" s="88" t="n"/>
      <c r="V420" s="89" t="n"/>
      <c r="W420" s="88" t="n"/>
      <c r="X420" s="89" t="n"/>
      <c r="Y420" s="88" t="n"/>
      <c r="Z420" s="89" t="n"/>
      <c r="AB420" s="25">
        <f>IF($B420="","",(COUNTIF(C420:E420,"?*")&lt;N(INDEX(Setup!$L$6:$L$23,13)))+(COUNTIF(G420:I420,"?*")&lt;N(INDEX(Setup!$L$6:$L$23,13)))+(COUNTIF(K420:M420,"?*")&lt;N(INDEX(Setup!$L$6:$L$23,13)))+(COUNTIF(O420:Q420,"?*")&lt;N(INDEX(Setup!$L$6:$L$23,13)))+(COUNTIF(S420:U420,"?*")&lt;N(INDEX(Setup!$L$6:$L$23,13)))+((W420="")*(INDEX(Setup!$M$6:$M$23,13)="Y"))+((Y420="")*(INDEX(Setup!$M$6:$M$23,13)="Y")))</f>
        <v/>
      </c>
      <c r="AC420" s="90">
        <f>IF($B420="","",IF(AB420=0,"✓ covered","⚠ "&amp;AB420&amp;IF(AB420=1," gap"," gaps")))</f>
        <v/>
      </c>
    </row>
    <row r="421" ht="17" customHeight="1">
      <c r="A421" t="n">
        <v>9</v>
      </c>
      <c r="B421" s="29">
        <f>IF(Setup!$K$19="","",Setup!$K$19)</f>
        <v/>
      </c>
      <c r="C421" s="88" t="n"/>
      <c r="D421" s="88" t="n"/>
      <c r="E421" s="88" t="n"/>
      <c r="F421" s="89" t="n"/>
      <c r="G421" s="88" t="n"/>
      <c r="H421" s="88" t="n"/>
      <c r="I421" s="88" t="n"/>
      <c r="J421" s="89" t="n"/>
      <c r="K421" s="88" t="n"/>
      <c r="L421" s="88" t="n"/>
      <c r="M421" s="88" t="n"/>
      <c r="N421" s="89" t="n"/>
      <c r="O421" s="88" t="n"/>
      <c r="P421" s="88" t="n"/>
      <c r="Q421" s="88" t="n"/>
      <c r="R421" s="89" t="n"/>
      <c r="S421" s="88" t="n"/>
      <c r="T421" s="88" t="n"/>
      <c r="U421" s="88" t="n"/>
      <c r="V421" s="89" t="n"/>
      <c r="W421" s="88" t="n"/>
      <c r="X421" s="89" t="n"/>
      <c r="Y421" s="88" t="n"/>
      <c r="Z421" s="89" t="n"/>
      <c r="AB421" s="30">
        <f>IF($B421="","",(COUNTIF(C421:E421,"?*")&lt;N(INDEX(Setup!$L$6:$L$23,14)))+(COUNTIF(G421:I421,"?*")&lt;N(INDEX(Setup!$L$6:$L$23,14)))+(COUNTIF(K421:M421,"?*")&lt;N(INDEX(Setup!$L$6:$L$23,14)))+(COUNTIF(O421:Q421,"?*")&lt;N(INDEX(Setup!$L$6:$L$23,14)))+(COUNTIF(S421:U421,"?*")&lt;N(INDEX(Setup!$L$6:$L$23,14)))+((W421="")*(INDEX(Setup!$M$6:$M$23,14)="Y"))+((Y421="")*(INDEX(Setup!$M$6:$M$23,14)="Y")))</f>
        <v/>
      </c>
      <c r="AC421" s="91">
        <f>IF($B421="","",IF(AB421=0,"✓ covered","⚠ "&amp;AB421&amp;IF(AB421=1," gap"," gaps")))</f>
        <v/>
      </c>
    </row>
    <row r="422" ht="17" customHeight="1">
      <c r="A422" t="n">
        <v>9</v>
      </c>
      <c r="B422" s="24">
        <f>IF(Setup!$K$20="","",Setup!$K$20)</f>
        <v/>
      </c>
      <c r="C422" s="88" t="n"/>
      <c r="D422" s="88" t="n"/>
      <c r="E422" s="88" t="n"/>
      <c r="F422" s="89" t="n"/>
      <c r="G422" s="88" t="n"/>
      <c r="H422" s="88" t="n"/>
      <c r="I422" s="88" t="n"/>
      <c r="J422" s="89" t="n"/>
      <c r="K422" s="88" t="n"/>
      <c r="L422" s="88" t="n"/>
      <c r="M422" s="88" t="n"/>
      <c r="N422" s="89" t="n"/>
      <c r="O422" s="88" t="n"/>
      <c r="P422" s="88" t="n"/>
      <c r="Q422" s="88" t="n"/>
      <c r="R422" s="89" t="n"/>
      <c r="S422" s="88" t="n"/>
      <c r="T422" s="88" t="n"/>
      <c r="U422" s="88" t="n"/>
      <c r="V422" s="89" t="n"/>
      <c r="W422" s="88" t="n"/>
      <c r="X422" s="89" t="n"/>
      <c r="Y422" s="88" t="n"/>
      <c r="Z422" s="89" t="n"/>
      <c r="AB422" s="25">
        <f>IF($B422="","",(COUNTIF(C422:E422,"?*")&lt;N(INDEX(Setup!$L$6:$L$23,15)))+(COUNTIF(G422:I422,"?*")&lt;N(INDEX(Setup!$L$6:$L$23,15)))+(COUNTIF(K422:M422,"?*")&lt;N(INDEX(Setup!$L$6:$L$23,15)))+(COUNTIF(O422:Q422,"?*")&lt;N(INDEX(Setup!$L$6:$L$23,15)))+(COUNTIF(S422:U422,"?*")&lt;N(INDEX(Setup!$L$6:$L$23,15)))+((W422="")*(INDEX(Setup!$M$6:$M$23,15)="Y"))+((Y422="")*(INDEX(Setup!$M$6:$M$23,15)="Y")))</f>
        <v/>
      </c>
      <c r="AC422" s="90">
        <f>IF($B422="","",IF(AB422=0,"✓ covered","⚠ "&amp;AB422&amp;IF(AB422=1," gap"," gaps")))</f>
        <v/>
      </c>
    </row>
    <row r="423" ht="17" customHeight="1">
      <c r="A423" t="n">
        <v>9</v>
      </c>
      <c r="B423" s="29">
        <f>IF(Setup!$K$21="","",Setup!$K$21)</f>
        <v/>
      </c>
      <c r="C423" s="88" t="n"/>
      <c r="D423" s="88" t="n"/>
      <c r="E423" s="88" t="n"/>
      <c r="F423" s="89" t="n"/>
      <c r="G423" s="88" t="n"/>
      <c r="H423" s="88" t="n"/>
      <c r="I423" s="88" t="n"/>
      <c r="J423" s="89" t="n"/>
      <c r="K423" s="88" t="n"/>
      <c r="L423" s="88" t="n"/>
      <c r="M423" s="88" t="n"/>
      <c r="N423" s="89" t="n"/>
      <c r="O423" s="88" t="n"/>
      <c r="P423" s="88" t="n"/>
      <c r="Q423" s="88" t="n"/>
      <c r="R423" s="89" t="n"/>
      <c r="S423" s="88" t="n"/>
      <c r="T423" s="88" t="n"/>
      <c r="U423" s="88" t="n"/>
      <c r="V423" s="89" t="n"/>
      <c r="W423" s="88" t="n"/>
      <c r="X423" s="89" t="n"/>
      <c r="Y423" s="88" t="n"/>
      <c r="Z423" s="89" t="n"/>
      <c r="AB423" s="30">
        <f>IF($B423="","",(COUNTIF(C423:E423,"?*")&lt;N(INDEX(Setup!$L$6:$L$23,16)))+(COUNTIF(G423:I423,"?*")&lt;N(INDEX(Setup!$L$6:$L$23,16)))+(COUNTIF(K423:M423,"?*")&lt;N(INDEX(Setup!$L$6:$L$23,16)))+(COUNTIF(O423:Q423,"?*")&lt;N(INDEX(Setup!$L$6:$L$23,16)))+(COUNTIF(S423:U423,"?*")&lt;N(INDEX(Setup!$L$6:$L$23,16)))+((W423="")*(INDEX(Setup!$M$6:$M$23,16)="Y"))+((Y423="")*(INDEX(Setup!$M$6:$M$23,16)="Y")))</f>
        <v/>
      </c>
      <c r="AC423" s="91">
        <f>IF($B423="","",IF(AB423=0,"✓ covered","⚠ "&amp;AB423&amp;IF(AB423=1," gap"," gaps")))</f>
        <v/>
      </c>
    </row>
    <row r="424" ht="17" customHeight="1">
      <c r="A424" t="n">
        <v>9</v>
      </c>
      <c r="B424" s="24">
        <f>IF(Setup!$K$22="","",Setup!$K$22)</f>
        <v/>
      </c>
      <c r="C424" s="88" t="n"/>
      <c r="D424" s="88" t="n"/>
      <c r="E424" s="88" t="n"/>
      <c r="F424" s="89" t="n"/>
      <c r="G424" s="88" t="n"/>
      <c r="H424" s="88" t="n"/>
      <c r="I424" s="88" t="n"/>
      <c r="J424" s="89" t="n"/>
      <c r="K424" s="88" t="n"/>
      <c r="L424" s="88" t="n"/>
      <c r="M424" s="88" t="n"/>
      <c r="N424" s="89" t="n"/>
      <c r="O424" s="88" t="n"/>
      <c r="P424" s="88" t="n"/>
      <c r="Q424" s="88" t="n"/>
      <c r="R424" s="89" t="n"/>
      <c r="S424" s="88" t="n"/>
      <c r="T424" s="88" t="n"/>
      <c r="U424" s="88" t="n"/>
      <c r="V424" s="89" t="n"/>
      <c r="W424" s="88" t="n"/>
      <c r="X424" s="89" t="n"/>
      <c r="Y424" s="88" t="n"/>
      <c r="Z424" s="89" t="n"/>
      <c r="AB424" s="25">
        <f>IF($B424="","",(COUNTIF(C424:E424,"?*")&lt;N(INDEX(Setup!$L$6:$L$23,17)))+(COUNTIF(G424:I424,"?*")&lt;N(INDEX(Setup!$L$6:$L$23,17)))+(COUNTIF(K424:M424,"?*")&lt;N(INDEX(Setup!$L$6:$L$23,17)))+(COUNTIF(O424:Q424,"?*")&lt;N(INDEX(Setup!$L$6:$L$23,17)))+(COUNTIF(S424:U424,"?*")&lt;N(INDEX(Setup!$L$6:$L$23,17)))+((W424="")*(INDEX(Setup!$M$6:$M$23,17)="Y"))+((Y424="")*(INDEX(Setup!$M$6:$M$23,17)="Y")))</f>
        <v/>
      </c>
      <c r="AC424" s="90">
        <f>IF($B424="","",IF(AB424=0,"✓ covered","⚠ "&amp;AB424&amp;IF(AB424=1," gap"," gaps")))</f>
        <v/>
      </c>
    </row>
    <row r="425" ht="17" customHeight="1">
      <c r="A425" t="n">
        <v>9</v>
      </c>
      <c r="B425" s="29">
        <f>IF(Setup!$K$23="","",Setup!$K$23)</f>
        <v/>
      </c>
      <c r="C425" s="88" t="n"/>
      <c r="D425" s="88" t="n"/>
      <c r="E425" s="88" t="n"/>
      <c r="F425" s="89" t="n"/>
      <c r="G425" s="88" t="n"/>
      <c r="H425" s="88" t="n"/>
      <c r="I425" s="88" t="n"/>
      <c r="J425" s="89" t="n"/>
      <c r="K425" s="88" t="n"/>
      <c r="L425" s="88" t="n"/>
      <c r="M425" s="88" t="n"/>
      <c r="N425" s="89" t="n"/>
      <c r="O425" s="88" t="n"/>
      <c r="P425" s="88" t="n"/>
      <c r="Q425" s="88" t="n"/>
      <c r="R425" s="89" t="n"/>
      <c r="S425" s="88" t="n"/>
      <c r="T425" s="88" t="n"/>
      <c r="U425" s="88" t="n"/>
      <c r="V425" s="89" t="n"/>
      <c r="W425" s="88" t="n"/>
      <c r="X425" s="89" t="n"/>
      <c r="Y425" s="88" t="n"/>
      <c r="Z425" s="89" t="n"/>
      <c r="AB425" s="30">
        <f>IF($B425="","",(COUNTIF(C425:E425,"?*")&lt;N(INDEX(Setup!$L$6:$L$23,18)))+(COUNTIF(G425:I425,"?*")&lt;N(INDEX(Setup!$L$6:$L$23,18)))+(COUNTIF(K425:M425,"?*")&lt;N(INDEX(Setup!$L$6:$L$23,18)))+(COUNTIF(O425:Q425,"?*")&lt;N(INDEX(Setup!$L$6:$L$23,18)))+(COUNTIF(S425:U425,"?*")&lt;N(INDEX(Setup!$L$6:$L$23,18)))+((W425="")*(INDEX(Setup!$M$6:$M$23,18)="Y"))+((Y425="")*(INDEX(Setup!$M$6:$M$23,18)="Y")))</f>
        <v/>
      </c>
      <c r="AC425" s="91">
        <f>IF($B425="","",IF(AB425=0,"✓ covered","⚠ "&amp;AB425&amp;IF(AB425=1," gap"," gaps")))</f>
        <v/>
      </c>
    </row>
    <row r="426" ht="18" customHeight="1">
      <c r="A426" t="n">
        <v>9</v>
      </c>
      <c r="B426" s="78" t="inlineStr">
        <is>
          <t>TEAM AVAILABILITY</t>
        </is>
      </c>
      <c r="C426" s="92" t="inlineStr">
        <is>
          <t>Mon</t>
        </is>
      </c>
      <c r="D426" s="93" t="n"/>
      <c r="E426" s="93" t="n"/>
      <c r="F426" s="94" t="n"/>
      <c r="G426" s="92" t="inlineStr">
        <is>
          <t>Tue</t>
        </is>
      </c>
      <c r="H426" s="93" t="n"/>
      <c r="I426" s="93" t="n"/>
      <c r="J426" s="94" t="n"/>
      <c r="K426" s="92" t="inlineStr">
        <is>
          <t>Wed</t>
        </is>
      </c>
      <c r="L426" s="93" t="n"/>
      <c r="M426" s="93" t="n"/>
      <c r="N426" s="94" t="n"/>
      <c r="O426" s="92" t="inlineStr">
        <is>
          <t>Thu</t>
        </is>
      </c>
      <c r="P426" s="93" t="n"/>
      <c r="Q426" s="93" t="n"/>
      <c r="R426" s="94" t="n"/>
      <c r="S426" s="92" t="inlineStr">
        <is>
          <t>Fri</t>
        </is>
      </c>
      <c r="T426" s="93" t="n"/>
      <c r="U426" s="93" t="n"/>
      <c r="V426" s="94" t="n"/>
      <c r="W426" s="95" t="inlineStr">
        <is>
          <t>Sat</t>
        </is>
      </c>
      <c r="X426" s="96" t="n"/>
      <c r="Y426" s="95" t="inlineStr">
        <is>
          <t>Sun</t>
        </is>
      </c>
      <c r="Z426" s="96" t="n"/>
      <c r="AB426" s="97" t="inlineStr">
        <is>
          <t>Days rostered</t>
        </is>
      </c>
      <c r="AC426" s="97" t="inlineStr">
        <is>
          <t>Conflicts</t>
        </is>
      </c>
    </row>
    <row r="427" ht="15" customHeight="1">
      <c r="A427" t="n">
        <v>9</v>
      </c>
      <c r="B427" s="35">
        <f>IF(Setup!$B$6="","",Setup!$B$6)</f>
        <v/>
      </c>
      <c r="C427" s="98" t="n"/>
      <c r="D427" s="99" t="n"/>
      <c r="E427" s="99" t="n"/>
      <c r="F427" s="100" t="n"/>
      <c r="G427" s="98" t="n"/>
      <c r="H427" s="99" t="n"/>
      <c r="I427" s="99" t="n"/>
      <c r="J427" s="100" t="n"/>
      <c r="K427" s="98" t="n"/>
      <c r="L427" s="99" t="n"/>
      <c r="M427" s="99" t="n"/>
      <c r="N427" s="100" t="n"/>
      <c r="O427" s="98" t="n"/>
      <c r="P427" s="99" t="n"/>
      <c r="Q427" s="99" t="n"/>
      <c r="R427" s="100" t="n"/>
      <c r="S427" s="98" t="n"/>
      <c r="T427" s="99" t="n"/>
      <c r="U427" s="99" t="n"/>
      <c r="V427" s="100" t="n"/>
      <c r="W427" s="98" t="n"/>
      <c r="X427" s="100" t="n"/>
      <c r="Y427" s="98" t="n"/>
      <c r="Z427" s="100" t="n"/>
      <c r="AB427" s="101">
        <f>IF($B427="","",(COUNTIF(C408:E425,$B427)+COUNTIF(C408:E425,$B427&amp;" ~*")&gt;0)+(COUNTIF(G408:I425,$B427)+COUNTIF(G408:I425,$B427&amp;" ~*")&gt;0)+(COUNTIF(K408:M425,$B427)+COUNTIF(K408:M425,$B427&amp;" ~*")&gt;0)+(COUNTIF(O408:Q425,$B427)+COUNTIF(O408:Q425,$B427&amp;" ~*")&gt;0)+(COUNTIF(S408:U425,$B427)+COUNTIF(S408:U425,$B427&amp;" ~*")&gt;0)+(COUNTIF(W408:W425,$B427)+COUNTIF(W408:W425,$B427&amp;" ~*")&gt;0)+(COUNTIF(Y408:Y425,$B427)+COUNTIF(Y408:Y425,$B427&amp;" ~*")&gt;0))</f>
        <v/>
      </c>
      <c r="AC427" s="36">
        <f>IF($B427="","",(IFERROR(INDEX(Setup!$G$33:$G$40,MATCH(C427,Setup!$B$33:$B$40,0)),0)=1)*(COUNTIF(C408:E425,$B427)+COUNTIF(C408:E425,$B427&amp;" ~*")&gt;0)+(IFERROR(INDEX(Setup!$G$33:$G$40,MATCH(G427,Setup!$B$33:$B$40,0)),0)=1)*(COUNTIF(G408:I425,$B427)+COUNTIF(G408:I425,$B427&amp;" ~*")&gt;0)+(IFERROR(INDEX(Setup!$G$33:$G$40,MATCH(K427,Setup!$B$33:$B$40,0)),0)=1)*(COUNTIF(K408:M425,$B427)+COUNTIF(K408:M425,$B427&amp;" ~*")&gt;0)+(IFERROR(INDEX(Setup!$G$33:$G$40,MATCH(O427,Setup!$B$33:$B$40,0)),0)=1)*(COUNTIF(O408:Q425,$B427)+COUNTIF(O408:Q425,$B427&amp;" ~*")&gt;0)+(IFERROR(INDEX(Setup!$G$33:$G$40,MATCH(S427,Setup!$B$33:$B$40,0)),0)=1)*(COUNTIF(S408:U425,$B427)+COUNTIF(S408:U425,$B427&amp;" ~*")&gt;0)+(IFERROR(INDEX(Setup!$G$33:$G$40,MATCH(W427,Setup!$B$33:$B$40,0)),0)=1)*(COUNTIF(W408:W425,$B427)+COUNTIF(W408:W425,$B427&amp;" ~*")&gt;0)+(IFERROR(INDEX(Setup!$G$33:$G$40,MATCH(Y427,Setup!$B$33:$B$40,0)),0)=1)*(COUNTIF(Y408:Y425,$B427)+COUNTIF(Y408:Y425,$B427&amp;" ~*")&gt;0))</f>
        <v/>
      </c>
    </row>
    <row r="428" ht="15" customHeight="1">
      <c r="A428" t="n">
        <v>9</v>
      </c>
      <c r="B428" s="37">
        <f>IF(Setup!$B$7="","",Setup!$B$7)</f>
        <v/>
      </c>
      <c r="C428" s="102" t="n"/>
      <c r="D428" s="103" t="n"/>
      <c r="E428" s="103" t="n"/>
      <c r="F428" s="104" t="n"/>
      <c r="G428" s="102" t="n"/>
      <c r="H428" s="103" t="n"/>
      <c r="I428" s="103" t="n"/>
      <c r="J428" s="104" t="n"/>
      <c r="K428" s="102" t="n"/>
      <c r="L428" s="103" t="n"/>
      <c r="M428" s="103" t="n"/>
      <c r="N428" s="104" t="n"/>
      <c r="O428" s="102" t="n"/>
      <c r="P428" s="103" t="n"/>
      <c r="Q428" s="103" t="n"/>
      <c r="R428" s="104" t="n"/>
      <c r="S428" s="102" t="n"/>
      <c r="T428" s="103" t="n"/>
      <c r="U428" s="103" t="n"/>
      <c r="V428" s="104" t="n"/>
      <c r="W428" s="102" t="n"/>
      <c r="X428" s="104" t="n"/>
      <c r="Y428" s="102" t="n"/>
      <c r="Z428" s="104" t="n"/>
      <c r="AB428" s="105">
        <f>IF($B428="","",(COUNTIF(C408:E425,$B428)+COUNTIF(C408:E425,$B428&amp;" ~*")&gt;0)+(COUNTIF(G408:I425,$B428)+COUNTIF(G408:I425,$B428&amp;" ~*")&gt;0)+(COUNTIF(K408:M425,$B428)+COUNTIF(K408:M425,$B428&amp;" ~*")&gt;0)+(COUNTIF(O408:Q425,$B428)+COUNTIF(O408:Q425,$B428&amp;" ~*")&gt;0)+(COUNTIF(S408:U425,$B428)+COUNTIF(S408:U425,$B428&amp;" ~*")&gt;0)+(COUNTIF(W408:W425,$B428)+COUNTIF(W408:W425,$B428&amp;" ~*")&gt;0)+(COUNTIF(Y408:Y425,$B428)+COUNTIF(Y408:Y425,$B428&amp;" ~*")&gt;0))</f>
        <v/>
      </c>
      <c r="AC428" s="38">
        <f>IF($B428="","",(IFERROR(INDEX(Setup!$G$33:$G$40,MATCH(C428,Setup!$B$33:$B$40,0)),0)=1)*(COUNTIF(C408:E425,$B428)+COUNTIF(C408:E425,$B428&amp;" ~*")&gt;0)+(IFERROR(INDEX(Setup!$G$33:$G$40,MATCH(G428,Setup!$B$33:$B$40,0)),0)=1)*(COUNTIF(G408:I425,$B428)+COUNTIF(G408:I425,$B428&amp;" ~*")&gt;0)+(IFERROR(INDEX(Setup!$G$33:$G$40,MATCH(K428,Setup!$B$33:$B$40,0)),0)=1)*(COUNTIF(K408:M425,$B428)+COUNTIF(K408:M425,$B428&amp;" ~*")&gt;0)+(IFERROR(INDEX(Setup!$G$33:$G$40,MATCH(O428,Setup!$B$33:$B$40,0)),0)=1)*(COUNTIF(O408:Q425,$B428)+COUNTIF(O408:Q425,$B428&amp;" ~*")&gt;0)+(IFERROR(INDEX(Setup!$G$33:$G$40,MATCH(S428,Setup!$B$33:$B$40,0)),0)=1)*(COUNTIF(S408:U425,$B428)+COUNTIF(S408:U425,$B428&amp;" ~*")&gt;0)+(IFERROR(INDEX(Setup!$G$33:$G$40,MATCH(W428,Setup!$B$33:$B$40,0)),0)=1)*(COUNTIF(W408:W425,$B428)+COUNTIF(W408:W425,$B428&amp;" ~*")&gt;0)+(IFERROR(INDEX(Setup!$G$33:$G$40,MATCH(Y428,Setup!$B$33:$B$40,0)),0)=1)*(COUNTIF(Y408:Y425,$B428)+COUNTIF(Y408:Y425,$B428&amp;" ~*")&gt;0))</f>
        <v/>
      </c>
    </row>
    <row r="429" ht="15" customHeight="1">
      <c r="A429" t="n">
        <v>9</v>
      </c>
      <c r="B429" s="35">
        <f>IF(Setup!$B$8="","",Setup!$B$8)</f>
        <v/>
      </c>
      <c r="C429" s="98" t="n"/>
      <c r="D429" s="99" t="n"/>
      <c r="E429" s="99" t="n"/>
      <c r="F429" s="100" t="n"/>
      <c r="G429" s="98" t="n"/>
      <c r="H429" s="99" t="n"/>
      <c r="I429" s="99" t="n"/>
      <c r="J429" s="100" t="n"/>
      <c r="K429" s="98" t="n"/>
      <c r="L429" s="99" t="n"/>
      <c r="M429" s="99" t="n"/>
      <c r="N429" s="100" t="n"/>
      <c r="O429" s="98" t="n"/>
      <c r="P429" s="99" t="n"/>
      <c r="Q429" s="99" t="n"/>
      <c r="R429" s="100" t="n"/>
      <c r="S429" s="98" t="n"/>
      <c r="T429" s="99" t="n"/>
      <c r="U429" s="99" t="n"/>
      <c r="V429" s="100" t="n"/>
      <c r="W429" s="98" t="n"/>
      <c r="X429" s="100" t="n"/>
      <c r="Y429" s="98" t="n"/>
      <c r="Z429" s="100" t="n"/>
      <c r="AB429" s="101">
        <f>IF($B429="","",(COUNTIF(C408:E425,$B429)+COUNTIF(C408:E425,$B429&amp;" ~*")&gt;0)+(COUNTIF(G408:I425,$B429)+COUNTIF(G408:I425,$B429&amp;" ~*")&gt;0)+(COUNTIF(K408:M425,$B429)+COUNTIF(K408:M425,$B429&amp;" ~*")&gt;0)+(COUNTIF(O408:Q425,$B429)+COUNTIF(O408:Q425,$B429&amp;" ~*")&gt;0)+(COUNTIF(S408:U425,$B429)+COUNTIF(S408:U425,$B429&amp;" ~*")&gt;0)+(COUNTIF(W408:W425,$B429)+COUNTIF(W408:W425,$B429&amp;" ~*")&gt;0)+(COUNTIF(Y408:Y425,$B429)+COUNTIF(Y408:Y425,$B429&amp;" ~*")&gt;0))</f>
        <v/>
      </c>
      <c r="AC429" s="36">
        <f>IF($B429="","",(IFERROR(INDEX(Setup!$G$33:$G$40,MATCH(C429,Setup!$B$33:$B$40,0)),0)=1)*(COUNTIF(C408:E425,$B429)+COUNTIF(C408:E425,$B429&amp;" ~*")&gt;0)+(IFERROR(INDEX(Setup!$G$33:$G$40,MATCH(G429,Setup!$B$33:$B$40,0)),0)=1)*(COUNTIF(G408:I425,$B429)+COUNTIF(G408:I425,$B429&amp;" ~*")&gt;0)+(IFERROR(INDEX(Setup!$G$33:$G$40,MATCH(K429,Setup!$B$33:$B$40,0)),0)=1)*(COUNTIF(K408:M425,$B429)+COUNTIF(K408:M425,$B429&amp;" ~*")&gt;0)+(IFERROR(INDEX(Setup!$G$33:$G$40,MATCH(O429,Setup!$B$33:$B$40,0)),0)=1)*(COUNTIF(O408:Q425,$B429)+COUNTIF(O408:Q425,$B429&amp;" ~*")&gt;0)+(IFERROR(INDEX(Setup!$G$33:$G$40,MATCH(S429,Setup!$B$33:$B$40,0)),0)=1)*(COUNTIF(S408:U425,$B429)+COUNTIF(S408:U425,$B429&amp;" ~*")&gt;0)+(IFERROR(INDEX(Setup!$G$33:$G$40,MATCH(W429,Setup!$B$33:$B$40,0)),0)=1)*(COUNTIF(W408:W425,$B429)+COUNTIF(W408:W425,$B429&amp;" ~*")&gt;0)+(IFERROR(INDEX(Setup!$G$33:$G$40,MATCH(Y429,Setup!$B$33:$B$40,0)),0)=1)*(COUNTIF(Y408:Y425,$B429)+COUNTIF(Y408:Y425,$B429&amp;" ~*")&gt;0))</f>
        <v/>
      </c>
    </row>
    <row r="430" ht="15" customHeight="1">
      <c r="A430" t="n">
        <v>9</v>
      </c>
      <c r="B430" s="37">
        <f>IF(Setup!$B$9="","",Setup!$B$9)</f>
        <v/>
      </c>
      <c r="C430" s="102" t="n"/>
      <c r="D430" s="103" t="n"/>
      <c r="E430" s="103" t="n"/>
      <c r="F430" s="104" t="n"/>
      <c r="G430" s="102" t="n"/>
      <c r="H430" s="103" t="n"/>
      <c r="I430" s="103" t="n"/>
      <c r="J430" s="104" t="n"/>
      <c r="K430" s="102" t="n"/>
      <c r="L430" s="103" t="n"/>
      <c r="M430" s="103" t="n"/>
      <c r="N430" s="104" t="n"/>
      <c r="O430" s="102" t="n"/>
      <c r="P430" s="103" t="n"/>
      <c r="Q430" s="103" t="n"/>
      <c r="R430" s="104" t="n"/>
      <c r="S430" s="102" t="n"/>
      <c r="T430" s="103" t="n"/>
      <c r="U430" s="103" t="n"/>
      <c r="V430" s="104" t="n"/>
      <c r="W430" s="102" t="n"/>
      <c r="X430" s="104" t="n"/>
      <c r="Y430" s="102" t="n"/>
      <c r="Z430" s="104" t="n"/>
      <c r="AB430" s="105">
        <f>IF($B430="","",(COUNTIF(C408:E425,$B430)+COUNTIF(C408:E425,$B430&amp;" ~*")&gt;0)+(COUNTIF(G408:I425,$B430)+COUNTIF(G408:I425,$B430&amp;" ~*")&gt;0)+(COUNTIF(K408:M425,$B430)+COUNTIF(K408:M425,$B430&amp;" ~*")&gt;0)+(COUNTIF(O408:Q425,$B430)+COUNTIF(O408:Q425,$B430&amp;" ~*")&gt;0)+(COUNTIF(S408:U425,$B430)+COUNTIF(S408:U425,$B430&amp;" ~*")&gt;0)+(COUNTIF(W408:W425,$B430)+COUNTIF(W408:W425,$B430&amp;" ~*")&gt;0)+(COUNTIF(Y408:Y425,$B430)+COUNTIF(Y408:Y425,$B430&amp;" ~*")&gt;0))</f>
        <v/>
      </c>
      <c r="AC430" s="38">
        <f>IF($B430="","",(IFERROR(INDEX(Setup!$G$33:$G$40,MATCH(C430,Setup!$B$33:$B$40,0)),0)=1)*(COUNTIF(C408:E425,$B430)+COUNTIF(C408:E425,$B430&amp;" ~*")&gt;0)+(IFERROR(INDEX(Setup!$G$33:$G$40,MATCH(G430,Setup!$B$33:$B$40,0)),0)=1)*(COUNTIF(G408:I425,$B430)+COUNTIF(G408:I425,$B430&amp;" ~*")&gt;0)+(IFERROR(INDEX(Setup!$G$33:$G$40,MATCH(K430,Setup!$B$33:$B$40,0)),0)=1)*(COUNTIF(K408:M425,$B430)+COUNTIF(K408:M425,$B430&amp;" ~*")&gt;0)+(IFERROR(INDEX(Setup!$G$33:$G$40,MATCH(O430,Setup!$B$33:$B$40,0)),0)=1)*(COUNTIF(O408:Q425,$B430)+COUNTIF(O408:Q425,$B430&amp;" ~*")&gt;0)+(IFERROR(INDEX(Setup!$G$33:$G$40,MATCH(S430,Setup!$B$33:$B$40,0)),0)=1)*(COUNTIF(S408:U425,$B430)+COUNTIF(S408:U425,$B430&amp;" ~*")&gt;0)+(IFERROR(INDEX(Setup!$G$33:$G$40,MATCH(W430,Setup!$B$33:$B$40,0)),0)=1)*(COUNTIF(W408:W425,$B430)+COUNTIF(W408:W425,$B430&amp;" ~*")&gt;0)+(IFERROR(INDEX(Setup!$G$33:$G$40,MATCH(Y430,Setup!$B$33:$B$40,0)),0)=1)*(COUNTIF(Y408:Y425,$B430)+COUNTIF(Y408:Y425,$B430&amp;" ~*")&gt;0))</f>
        <v/>
      </c>
    </row>
    <row r="431" ht="15" customHeight="1">
      <c r="A431" t="n">
        <v>9</v>
      </c>
      <c r="B431" s="35">
        <f>IF(Setup!$B$10="","",Setup!$B$10)</f>
        <v/>
      </c>
      <c r="C431" s="98" t="n"/>
      <c r="D431" s="99" t="n"/>
      <c r="E431" s="99" t="n"/>
      <c r="F431" s="100" t="n"/>
      <c r="G431" s="98" t="n"/>
      <c r="H431" s="99" t="n"/>
      <c r="I431" s="99" t="n"/>
      <c r="J431" s="100" t="n"/>
      <c r="K431" s="98" t="n"/>
      <c r="L431" s="99" t="n"/>
      <c r="M431" s="99" t="n"/>
      <c r="N431" s="100" t="n"/>
      <c r="O431" s="98" t="n"/>
      <c r="P431" s="99" t="n"/>
      <c r="Q431" s="99" t="n"/>
      <c r="R431" s="100" t="n"/>
      <c r="S431" s="98" t="n"/>
      <c r="T431" s="99" t="n"/>
      <c r="U431" s="99" t="n"/>
      <c r="V431" s="100" t="n"/>
      <c r="W431" s="98" t="n"/>
      <c r="X431" s="100" t="n"/>
      <c r="Y431" s="98" t="n"/>
      <c r="Z431" s="100" t="n"/>
      <c r="AB431" s="101">
        <f>IF($B431="","",(COUNTIF(C408:E425,$B431)+COUNTIF(C408:E425,$B431&amp;" ~*")&gt;0)+(COUNTIF(G408:I425,$B431)+COUNTIF(G408:I425,$B431&amp;" ~*")&gt;0)+(COUNTIF(K408:M425,$B431)+COUNTIF(K408:M425,$B431&amp;" ~*")&gt;0)+(COUNTIF(O408:Q425,$B431)+COUNTIF(O408:Q425,$B431&amp;" ~*")&gt;0)+(COUNTIF(S408:U425,$B431)+COUNTIF(S408:U425,$B431&amp;" ~*")&gt;0)+(COUNTIF(W408:W425,$B431)+COUNTIF(W408:W425,$B431&amp;" ~*")&gt;0)+(COUNTIF(Y408:Y425,$B431)+COUNTIF(Y408:Y425,$B431&amp;" ~*")&gt;0))</f>
        <v/>
      </c>
      <c r="AC431" s="36">
        <f>IF($B431="","",(IFERROR(INDEX(Setup!$G$33:$G$40,MATCH(C431,Setup!$B$33:$B$40,0)),0)=1)*(COUNTIF(C408:E425,$B431)+COUNTIF(C408:E425,$B431&amp;" ~*")&gt;0)+(IFERROR(INDEX(Setup!$G$33:$G$40,MATCH(G431,Setup!$B$33:$B$40,0)),0)=1)*(COUNTIF(G408:I425,$B431)+COUNTIF(G408:I425,$B431&amp;" ~*")&gt;0)+(IFERROR(INDEX(Setup!$G$33:$G$40,MATCH(K431,Setup!$B$33:$B$40,0)),0)=1)*(COUNTIF(K408:M425,$B431)+COUNTIF(K408:M425,$B431&amp;" ~*")&gt;0)+(IFERROR(INDEX(Setup!$G$33:$G$40,MATCH(O431,Setup!$B$33:$B$40,0)),0)=1)*(COUNTIF(O408:Q425,$B431)+COUNTIF(O408:Q425,$B431&amp;" ~*")&gt;0)+(IFERROR(INDEX(Setup!$G$33:$G$40,MATCH(S431,Setup!$B$33:$B$40,0)),0)=1)*(COUNTIF(S408:U425,$B431)+COUNTIF(S408:U425,$B431&amp;" ~*")&gt;0)+(IFERROR(INDEX(Setup!$G$33:$G$40,MATCH(W431,Setup!$B$33:$B$40,0)),0)=1)*(COUNTIF(W408:W425,$B431)+COUNTIF(W408:W425,$B431&amp;" ~*")&gt;0)+(IFERROR(INDEX(Setup!$G$33:$G$40,MATCH(Y431,Setup!$B$33:$B$40,0)),0)=1)*(COUNTIF(Y408:Y425,$B431)+COUNTIF(Y408:Y425,$B431&amp;" ~*")&gt;0))</f>
        <v/>
      </c>
    </row>
    <row r="432" ht="15" customHeight="1">
      <c r="A432" t="n">
        <v>9</v>
      </c>
      <c r="B432" s="37">
        <f>IF(Setup!$B$11="","",Setup!$B$11)</f>
        <v/>
      </c>
      <c r="C432" s="102" t="n"/>
      <c r="D432" s="103" t="n"/>
      <c r="E432" s="103" t="n"/>
      <c r="F432" s="104" t="n"/>
      <c r="G432" s="102" t="n"/>
      <c r="H432" s="103" t="n"/>
      <c r="I432" s="103" t="n"/>
      <c r="J432" s="104" t="n"/>
      <c r="K432" s="102" t="n"/>
      <c r="L432" s="103" t="n"/>
      <c r="M432" s="103" t="n"/>
      <c r="N432" s="104" t="n"/>
      <c r="O432" s="102" t="n"/>
      <c r="P432" s="103" t="n"/>
      <c r="Q432" s="103" t="n"/>
      <c r="R432" s="104" t="n"/>
      <c r="S432" s="102" t="n"/>
      <c r="T432" s="103" t="n"/>
      <c r="U432" s="103" t="n"/>
      <c r="V432" s="104" t="n"/>
      <c r="W432" s="102" t="n"/>
      <c r="X432" s="104" t="n"/>
      <c r="Y432" s="102" t="n"/>
      <c r="Z432" s="104" t="n"/>
      <c r="AB432" s="105">
        <f>IF($B432="","",(COUNTIF(C408:E425,$B432)+COUNTIF(C408:E425,$B432&amp;" ~*")&gt;0)+(COUNTIF(G408:I425,$B432)+COUNTIF(G408:I425,$B432&amp;" ~*")&gt;0)+(COUNTIF(K408:M425,$B432)+COUNTIF(K408:M425,$B432&amp;" ~*")&gt;0)+(COUNTIF(O408:Q425,$B432)+COUNTIF(O408:Q425,$B432&amp;" ~*")&gt;0)+(COUNTIF(S408:U425,$B432)+COUNTIF(S408:U425,$B432&amp;" ~*")&gt;0)+(COUNTIF(W408:W425,$B432)+COUNTIF(W408:W425,$B432&amp;" ~*")&gt;0)+(COUNTIF(Y408:Y425,$B432)+COUNTIF(Y408:Y425,$B432&amp;" ~*")&gt;0))</f>
        <v/>
      </c>
      <c r="AC432" s="38">
        <f>IF($B432="","",(IFERROR(INDEX(Setup!$G$33:$G$40,MATCH(C432,Setup!$B$33:$B$40,0)),0)=1)*(COUNTIF(C408:E425,$B432)+COUNTIF(C408:E425,$B432&amp;" ~*")&gt;0)+(IFERROR(INDEX(Setup!$G$33:$G$40,MATCH(G432,Setup!$B$33:$B$40,0)),0)=1)*(COUNTIF(G408:I425,$B432)+COUNTIF(G408:I425,$B432&amp;" ~*")&gt;0)+(IFERROR(INDEX(Setup!$G$33:$G$40,MATCH(K432,Setup!$B$33:$B$40,0)),0)=1)*(COUNTIF(K408:M425,$B432)+COUNTIF(K408:M425,$B432&amp;" ~*")&gt;0)+(IFERROR(INDEX(Setup!$G$33:$G$40,MATCH(O432,Setup!$B$33:$B$40,0)),0)=1)*(COUNTIF(O408:Q425,$B432)+COUNTIF(O408:Q425,$B432&amp;" ~*")&gt;0)+(IFERROR(INDEX(Setup!$G$33:$G$40,MATCH(S432,Setup!$B$33:$B$40,0)),0)=1)*(COUNTIF(S408:U425,$B432)+COUNTIF(S408:U425,$B432&amp;" ~*")&gt;0)+(IFERROR(INDEX(Setup!$G$33:$G$40,MATCH(W432,Setup!$B$33:$B$40,0)),0)=1)*(COUNTIF(W408:W425,$B432)+COUNTIF(W408:W425,$B432&amp;" ~*")&gt;0)+(IFERROR(INDEX(Setup!$G$33:$G$40,MATCH(Y432,Setup!$B$33:$B$40,0)),0)=1)*(COUNTIF(Y408:Y425,$B432)+COUNTIF(Y408:Y425,$B432&amp;" ~*")&gt;0))</f>
        <v/>
      </c>
    </row>
    <row r="433" ht="15" customHeight="1">
      <c r="A433" t="n">
        <v>9</v>
      </c>
      <c r="B433" s="35">
        <f>IF(Setup!$B$12="","",Setup!$B$12)</f>
        <v/>
      </c>
      <c r="C433" s="98" t="n"/>
      <c r="D433" s="99" t="n"/>
      <c r="E433" s="99" t="n"/>
      <c r="F433" s="100" t="n"/>
      <c r="G433" s="98" t="n"/>
      <c r="H433" s="99" t="n"/>
      <c r="I433" s="99" t="n"/>
      <c r="J433" s="100" t="n"/>
      <c r="K433" s="98" t="n"/>
      <c r="L433" s="99" t="n"/>
      <c r="M433" s="99" t="n"/>
      <c r="N433" s="100" t="n"/>
      <c r="O433" s="98" t="n"/>
      <c r="P433" s="99" t="n"/>
      <c r="Q433" s="99" t="n"/>
      <c r="R433" s="100" t="n"/>
      <c r="S433" s="98" t="n"/>
      <c r="T433" s="99" t="n"/>
      <c r="U433" s="99" t="n"/>
      <c r="V433" s="100" t="n"/>
      <c r="W433" s="98" t="n"/>
      <c r="X433" s="100" t="n"/>
      <c r="Y433" s="98" t="n"/>
      <c r="Z433" s="100" t="n"/>
      <c r="AB433" s="101">
        <f>IF($B433="","",(COUNTIF(C408:E425,$B433)+COUNTIF(C408:E425,$B433&amp;" ~*")&gt;0)+(COUNTIF(G408:I425,$B433)+COUNTIF(G408:I425,$B433&amp;" ~*")&gt;0)+(COUNTIF(K408:M425,$B433)+COUNTIF(K408:M425,$B433&amp;" ~*")&gt;0)+(COUNTIF(O408:Q425,$B433)+COUNTIF(O408:Q425,$B433&amp;" ~*")&gt;0)+(COUNTIF(S408:U425,$B433)+COUNTIF(S408:U425,$B433&amp;" ~*")&gt;0)+(COUNTIF(W408:W425,$B433)+COUNTIF(W408:W425,$B433&amp;" ~*")&gt;0)+(COUNTIF(Y408:Y425,$B433)+COUNTIF(Y408:Y425,$B433&amp;" ~*")&gt;0))</f>
        <v/>
      </c>
      <c r="AC433" s="36">
        <f>IF($B433="","",(IFERROR(INDEX(Setup!$G$33:$G$40,MATCH(C433,Setup!$B$33:$B$40,0)),0)=1)*(COUNTIF(C408:E425,$B433)+COUNTIF(C408:E425,$B433&amp;" ~*")&gt;0)+(IFERROR(INDEX(Setup!$G$33:$G$40,MATCH(G433,Setup!$B$33:$B$40,0)),0)=1)*(COUNTIF(G408:I425,$B433)+COUNTIF(G408:I425,$B433&amp;" ~*")&gt;0)+(IFERROR(INDEX(Setup!$G$33:$G$40,MATCH(K433,Setup!$B$33:$B$40,0)),0)=1)*(COUNTIF(K408:M425,$B433)+COUNTIF(K408:M425,$B433&amp;" ~*")&gt;0)+(IFERROR(INDEX(Setup!$G$33:$G$40,MATCH(O433,Setup!$B$33:$B$40,0)),0)=1)*(COUNTIF(O408:Q425,$B433)+COUNTIF(O408:Q425,$B433&amp;" ~*")&gt;0)+(IFERROR(INDEX(Setup!$G$33:$G$40,MATCH(S433,Setup!$B$33:$B$40,0)),0)=1)*(COUNTIF(S408:U425,$B433)+COUNTIF(S408:U425,$B433&amp;" ~*")&gt;0)+(IFERROR(INDEX(Setup!$G$33:$G$40,MATCH(W433,Setup!$B$33:$B$40,0)),0)=1)*(COUNTIF(W408:W425,$B433)+COUNTIF(W408:W425,$B433&amp;" ~*")&gt;0)+(IFERROR(INDEX(Setup!$G$33:$G$40,MATCH(Y433,Setup!$B$33:$B$40,0)),0)=1)*(COUNTIF(Y408:Y425,$B433)+COUNTIF(Y408:Y425,$B433&amp;" ~*")&gt;0))</f>
        <v/>
      </c>
    </row>
    <row r="434" ht="15" customHeight="1">
      <c r="A434" t="n">
        <v>9</v>
      </c>
      <c r="B434" s="37">
        <f>IF(Setup!$B$13="","",Setup!$B$13)</f>
        <v/>
      </c>
      <c r="C434" s="102" t="n"/>
      <c r="D434" s="103" t="n"/>
      <c r="E434" s="103" t="n"/>
      <c r="F434" s="104" t="n"/>
      <c r="G434" s="102" t="n"/>
      <c r="H434" s="103" t="n"/>
      <c r="I434" s="103" t="n"/>
      <c r="J434" s="104" t="n"/>
      <c r="K434" s="102" t="n"/>
      <c r="L434" s="103" t="n"/>
      <c r="M434" s="103" t="n"/>
      <c r="N434" s="104" t="n"/>
      <c r="O434" s="102" t="n"/>
      <c r="P434" s="103" t="n"/>
      <c r="Q434" s="103" t="n"/>
      <c r="R434" s="104" t="n"/>
      <c r="S434" s="102" t="n"/>
      <c r="T434" s="103" t="n"/>
      <c r="U434" s="103" t="n"/>
      <c r="V434" s="104" t="n"/>
      <c r="W434" s="102" t="n"/>
      <c r="X434" s="104" t="n"/>
      <c r="Y434" s="102" t="n"/>
      <c r="Z434" s="104" t="n"/>
      <c r="AB434" s="105">
        <f>IF($B434="","",(COUNTIF(C408:E425,$B434)+COUNTIF(C408:E425,$B434&amp;" ~*")&gt;0)+(COUNTIF(G408:I425,$B434)+COUNTIF(G408:I425,$B434&amp;" ~*")&gt;0)+(COUNTIF(K408:M425,$B434)+COUNTIF(K408:M425,$B434&amp;" ~*")&gt;0)+(COUNTIF(O408:Q425,$B434)+COUNTIF(O408:Q425,$B434&amp;" ~*")&gt;0)+(COUNTIF(S408:U425,$B434)+COUNTIF(S408:U425,$B434&amp;" ~*")&gt;0)+(COUNTIF(W408:W425,$B434)+COUNTIF(W408:W425,$B434&amp;" ~*")&gt;0)+(COUNTIF(Y408:Y425,$B434)+COUNTIF(Y408:Y425,$B434&amp;" ~*")&gt;0))</f>
        <v/>
      </c>
      <c r="AC434" s="38">
        <f>IF($B434="","",(IFERROR(INDEX(Setup!$G$33:$G$40,MATCH(C434,Setup!$B$33:$B$40,0)),0)=1)*(COUNTIF(C408:E425,$B434)+COUNTIF(C408:E425,$B434&amp;" ~*")&gt;0)+(IFERROR(INDEX(Setup!$G$33:$G$40,MATCH(G434,Setup!$B$33:$B$40,0)),0)=1)*(COUNTIF(G408:I425,$B434)+COUNTIF(G408:I425,$B434&amp;" ~*")&gt;0)+(IFERROR(INDEX(Setup!$G$33:$G$40,MATCH(K434,Setup!$B$33:$B$40,0)),0)=1)*(COUNTIF(K408:M425,$B434)+COUNTIF(K408:M425,$B434&amp;" ~*")&gt;0)+(IFERROR(INDEX(Setup!$G$33:$G$40,MATCH(O434,Setup!$B$33:$B$40,0)),0)=1)*(COUNTIF(O408:Q425,$B434)+COUNTIF(O408:Q425,$B434&amp;" ~*")&gt;0)+(IFERROR(INDEX(Setup!$G$33:$G$40,MATCH(S434,Setup!$B$33:$B$40,0)),0)=1)*(COUNTIF(S408:U425,$B434)+COUNTIF(S408:U425,$B434&amp;" ~*")&gt;0)+(IFERROR(INDEX(Setup!$G$33:$G$40,MATCH(W434,Setup!$B$33:$B$40,0)),0)=1)*(COUNTIF(W408:W425,$B434)+COUNTIF(W408:W425,$B434&amp;" ~*")&gt;0)+(IFERROR(INDEX(Setup!$G$33:$G$40,MATCH(Y434,Setup!$B$33:$B$40,0)),0)=1)*(COUNTIF(Y408:Y425,$B434)+COUNTIF(Y408:Y425,$B434&amp;" ~*")&gt;0))</f>
        <v/>
      </c>
    </row>
    <row r="435" ht="15" customHeight="1">
      <c r="A435" t="n">
        <v>9</v>
      </c>
      <c r="B435" s="35">
        <f>IF(Setup!$B$14="","",Setup!$B$14)</f>
        <v/>
      </c>
      <c r="C435" s="98" t="n"/>
      <c r="D435" s="99" t="n"/>
      <c r="E435" s="99" t="n"/>
      <c r="F435" s="100" t="n"/>
      <c r="G435" s="98" t="n"/>
      <c r="H435" s="99" t="n"/>
      <c r="I435" s="99" t="n"/>
      <c r="J435" s="100" t="n"/>
      <c r="K435" s="98" t="n"/>
      <c r="L435" s="99" t="n"/>
      <c r="M435" s="99" t="n"/>
      <c r="N435" s="100" t="n"/>
      <c r="O435" s="98" t="n"/>
      <c r="P435" s="99" t="n"/>
      <c r="Q435" s="99" t="n"/>
      <c r="R435" s="100" t="n"/>
      <c r="S435" s="98" t="n"/>
      <c r="T435" s="99" t="n"/>
      <c r="U435" s="99" t="n"/>
      <c r="V435" s="100" t="n"/>
      <c r="W435" s="98" t="n"/>
      <c r="X435" s="100" t="n"/>
      <c r="Y435" s="98" t="n"/>
      <c r="Z435" s="100" t="n"/>
      <c r="AB435" s="101">
        <f>IF($B435="","",(COUNTIF(C408:E425,$B435)+COUNTIF(C408:E425,$B435&amp;" ~*")&gt;0)+(COUNTIF(G408:I425,$B435)+COUNTIF(G408:I425,$B435&amp;" ~*")&gt;0)+(COUNTIF(K408:M425,$B435)+COUNTIF(K408:M425,$B435&amp;" ~*")&gt;0)+(COUNTIF(O408:Q425,$B435)+COUNTIF(O408:Q425,$B435&amp;" ~*")&gt;0)+(COUNTIF(S408:U425,$B435)+COUNTIF(S408:U425,$B435&amp;" ~*")&gt;0)+(COUNTIF(W408:W425,$B435)+COUNTIF(W408:W425,$B435&amp;" ~*")&gt;0)+(COUNTIF(Y408:Y425,$B435)+COUNTIF(Y408:Y425,$B435&amp;" ~*")&gt;0))</f>
        <v/>
      </c>
      <c r="AC435" s="36">
        <f>IF($B435="","",(IFERROR(INDEX(Setup!$G$33:$G$40,MATCH(C435,Setup!$B$33:$B$40,0)),0)=1)*(COUNTIF(C408:E425,$B435)+COUNTIF(C408:E425,$B435&amp;" ~*")&gt;0)+(IFERROR(INDEX(Setup!$G$33:$G$40,MATCH(G435,Setup!$B$33:$B$40,0)),0)=1)*(COUNTIF(G408:I425,$B435)+COUNTIF(G408:I425,$B435&amp;" ~*")&gt;0)+(IFERROR(INDEX(Setup!$G$33:$G$40,MATCH(K435,Setup!$B$33:$B$40,0)),0)=1)*(COUNTIF(K408:M425,$B435)+COUNTIF(K408:M425,$B435&amp;" ~*")&gt;0)+(IFERROR(INDEX(Setup!$G$33:$G$40,MATCH(O435,Setup!$B$33:$B$40,0)),0)=1)*(COUNTIF(O408:Q425,$B435)+COUNTIF(O408:Q425,$B435&amp;" ~*")&gt;0)+(IFERROR(INDEX(Setup!$G$33:$G$40,MATCH(S435,Setup!$B$33:$B$40,0)),0)=1)*(COUNTIF(S408:U425,$B435)+COUNTIF(S408:U425,$B435&amp;" ~*")&gt;0)+(IFERROR(INDEX(Setup!$G$33:$G$40,MATCH(W435,Setup!$B$33:$B$40,0)),0)=1)*(COUNTIF(W408:W425,$B435)+COUNTIF(W408:W425,$B435&amp;" ~*")&gt;0)+(IFERROR(INDEX(Setup!$G$33:$G$40,MATCH(Y435,Setup!$B$33:$B$40,0)),0)=1)*(COUNTIF(Y408:Y425,$B435)+COUNTIF(Y408:Y425,$B435&amp;" ~*")&gt;0))</f>
        <v/>
      </c>
    </row>
    <row r="436" ht="15" customHeight="1">
      <c r="A436" t="n">
        <v>9</v>
      </c>
      <c r="B436" s="37">
        <f>IF(Setup!$B$15="","",Setup!$B$15)</f>
        <v/>
      </c>
      <c r="C436" s="102" t="n"/>
      <c r="D436" s="103" t="n"/>
      <c r="E436" s="103" t="n"/>
      <c r="F436" s="104" t="n"/>
      <c r="G436" s="102" t="n"/>
      <c r="H436" s="103" t="n"/>
      <c r="I436" s="103" t="n"/>
      <c r="J436" s="104" t="n"/>
      <c r="K436" s="102" t="n"/>
      <c r="L436" s="103" t="n"/>
      <c r="M436" s="103" t="n"/>
      <c r="N436" s="104" t="n"/>
      <c r="O436" s="102" t="n"/>
      <c r="P436" s="103" t="n"/>
      <c r="Q436" s="103" t="n"/>
      <c r="R436" s="104" t="n"/>
      <c r="S436" s="102" t="n"/>
      <c r="T436" s="103" t="n"/>
      <c r="U436" s="103" t="n"/>
      <c r="V436" s="104" t="n"/>
      <c r="W436" s="102" t="n"/>
      <c r="X436" s="104" t="n"/>
      <c r="Y436" s="102" t="n"/>
      <c r="Z436" s="104" t="n"/>
      <c r="AB436" s="105">
        <f>IF($B436="","",(COUNTIF(C408:E425,$B436)+COUNTIF(C408:E425,$B436&amp;" ~*")&gt;0)+(COUNTIF(G408:I425,$B436)+COUNTIF(G408:I425,$B436&amp;" ~*")&gt;0)+(COUNTIF(K408:M425,$B436)+COUNTIF(K408:M425,$B436&amp;" ~*")&gt;0)+(COUNTIF(O408:Q425,$B436)+COUNTIF(O408:Q425,$B436&amp;" ~*")&gt;0)+(COUNTIF(S408:U425,$B436)+COUNTIF(S408:U425,$B436&amp;" ~*")&gt;0)+(COUNTIF(W408:W425,$B436)+COUNTIF(W408:W425,$B436&amp;" ~*")&gt;0)+(COUNTIF(Y408:Y425,$B436)+COUNTIF(Y408:Y425,$B436&amp;" ~*")&gt;0))</f>
        <v/>
      </c>
      <c r="AC436" s="38">
        <f>IF($B436="","",(IFERROR(INDEX(Setup!$G$33:$G$40,MATCH(C436,Setup!$B$33:$B$40,0)),0)=1)*(COUNTIF(C408:E425,$B436)+COUNTIF(C408:E425,$B436&amp;" ~*")&gt;0)+(IFERROR(INDEX(Setup!$G$33:$G$40,MATCH(G436,Setup!$B$33:$B$40,0)),0)=1)*(COUNTIF(G408:I425,$B436)+COUNTIF(G408:I425,$B436&amp;" ~*")&gt;0)+(IFERROR(INDEX(Setup!$G$33:$G$40,MATCH(K436,Setup!$B$33:$B$40,0)),0)=1)*(COUNTIF(K408:M425,$B436)+COUNTIF(K408:M425,$B436&amp;" ~*")&gt;0)+(IFERROR(INDEX(Setup!$G$33:$G$40,MATCH(O436,Setup!$B$33:$B$40,0)),0)=1)*(COUNTIF(O408:Q425,$B436)+COUNTIF(O408:Q425,$B436&amp;" ~*")&gt;0)+(IFERROR(INDEX(Setup!$G$33:$G$40,MATCH(S436,Setup!$B$33:$B$40,0)),0)=1)*(COUNTIF(S408:U425,$B436)+COUNTIF(S408:U425,$B436&amp;" ~*")&gt;0)+(IFERROR(INDEX(Setup!$G$33:$G$40,MATCH(W436,Setup!$B$33:$B$40,0)),0)=1)*(COUNTIF(W408:W425,$B436)+COUNTIF(W408:W425,$B436&amp;" ~*")&gt;0)+(IFERROR(INDEX(Setup!$G$33:$G$40,MATCH(Y436,Setup!$B$33:$B$40,0)),0)=1)*(COUNTIF(Y408:Y425,$B436)+COUNTIF(Y408:Y425,$B436&amp;" ~*")&gt;0))</f>
        <v/>
      </c>
    </row>
    <row r="437" ht="15" customHeight="1">
      <c r="A437" t="n">
        <v>9</v>
      </c>
      <c r="B437" s="35">
        <f>IF(Setup!$B$16="","",Setup!$B$16)</f>
        <v/>
      </c>
      <c r="C437" s="98" t="n"/>
      <c r="D437" s="99" t="n"/>
      <c r="E437" s="99" t="n"/>
      <c r="F437" s="100" t="n"/>
      <c r="G437" s="98" t="n"/>
      <c r="H437" s="99" t="n"/>
      <c r="I437" s="99" t="n"/>
      <c r="J437" s="100" t="n"/>
      <c r="K437" s="98" t="n"/>
      <c r="L437" s="99" t="n"/>
      <c r="M437" s="99" t="n"/>
      <c r="N437" s="100" t="n"/>
      <c r="O437" s="98" t="n"/>
      <c r="P437" s="99" t="n"/>
      <c r="Q437" s="99" t="n"/>
      <c r="R437" s="100" t="n"/>
      <c r="S437" s="98" t="n"/>
      <c r="T437" s="99" t="n"/>
      <c r="U437" s="99" t="n"/>
      <c r="V437" s="100" t="n"/>
      <c r="W437" s="98" t="n"/>
      <c r="X437" s="100" t="n"/>
      <c r="Y437" s="98" t="n"/>
      <c r="Z437" s="100" t="n"/>
      <c r="AB437" s="101">
        <f>IF($B437="","",(COUNTIF(C408:E425,$B437)+COUNTIF(C408:E425,$B437&amp;" ~*")&gt;0)+(COUNTIF(G408:I425,$B437)+COUNTIF(G408:I425,$B437&amp;" ~*")&gt;0)+(COUNTIF(K408:M425,$B437)+COUNTIF(K408:M425,$B437&amp;" ~*")&gt;0)+(COUNTIF(O408:Q425,$B437)+COUNTIF(O408:Q425,$B437&amp;" ~*")&gt;0)+(COUNTIF(S408:U425,$B437)+COUNTIF(S408:U425,$B437&amp;" ~*")&gt;0)+(COUNTIF(W408:W425,$B437)+COUNTIF(W408:W425,$B437&amp;" ~*")&gt;0)+(COUNTIF(Y408:Y425,$B437)+COUNTIF(Y408:Y425,$B437&amp;" ~*")&gt;0))</f>
        <v/>
      </c>
      <c r="AC437" s="36">
        <f>IF($B437="","",(IFERROR(INDEX(Setup!$G$33:$G$40,MATCH(C437,Setup!$B$33:$B$40,0)),0)=1)*(COUNTIF(C408:E425,$B437)+COUNTIF(C408:E425,$B437&amp;" ~*")&gt;0)+(IFERROR(INDEX(Setup!$G$33:$G$40,MATCH(G437,Setup!$B$33:$B$40,0)),0)=1)*(COUNTIF(G408:I425,$B437)+COUNTIF(G408:I425,$B437&amp;" ~*")&gt;0)+(IFERROR(INDEX(Setup!$G$33:$G$40,MATCH(K437,Setup!$B$33:$B$40,0)),0)=1)*(COUNTIF(K408:M425,$B437)+COUNTIF(K408:M425,$B437&amp;" ~*")&gt;0)+(IFERROR(INDEX(Setup!$G$33:$G$40,MATCH(O437,Setup!$B$33:$B$40,0)),0)=1)*(COUNTIF(O408:Q425,$B437)+COUNTIF(O408:Q425,$B437&amp;" ~*")&gt;0)+(IFERROR(INDEX(Setup!$G$33:$G$40,MATCH(S437,Setup!$B$33:$B$40,0)),0)=1)*(COUNTIF(S408:U425,$B437)+COUNTIF(S408:U425,$B437&amp;" ~*")&gt;0)+(IFERROR(INDEX(Setup!$G$33:$G$40,MATCH(W437,Setup!$B$33:$B$40,0)),0)=1)*(COUNTIF(W408:W425,$B437)+COUNTIF(W408:W425,$B437&amp;" ~*")&gt;0)+(IFERROR(INDEX(Setup!$G$33:$G$40,MATCH(Y437,Setup!$B$33:$B$40,0)),0)=1)*(COUNTIF(Y408:Y425,$B437)+COUNTIF(Y408:Y425,$B437&amp;" ~*")&gt;0))</f>
        <v/>
      </c>
    </row>
    <row r="438" ht="15" customHeight="1">
      <c r="A438" t="n">
        <v>9</v>
      </c>
      <c r="B438" s="37">
        <f>IF(Setup!$B$17="","",Setup!$B$17)</f>
        <v/>
      </c>
      <c r="C438" s="102" t="n"/>
      <c r="D438" s="103" t="n"/>
      <c r="E438" s="103" t="n"/>
      <c r="F438" s="104" t="n"/>
      <c r="G438" s="102" t="n"/>
      <c r="H438" s="103" t="n"/>
      <c r="I438" s="103" t="n"/>
      <c r="J438" s="104" t="n"/>
      <c r="K438" s="102" t="n"/>
      <c r="L438" s="103" t="n"/>
      <c r="M438" s="103" t="n"/>
      <c r="N438" s="104" t="n"/>
      <c r="O438" s="102" t="n"/>
      <c r="P438" s="103" t="n"/>
      <c r="Q438" s="103" t="n"/>
      <c r="R438" s="104" t="n"/>
      <c r="S438" s="102" t="n"/>
      <c r="T438" s="103" t="n"/>
      <c r="U438" s="103" t="n"/>
      <c r="V438" s="104" t="n"/>
      <c r="W438" s="102" t="n"/>
      <c r="X438" s="104" t="n"/>
      <c r="Y438" s="102" t="n"/>
      <c r="Z438" s="104" t="n"/>
      <c r="AB438" s="105">
        <f>IF($B438="","",(COUNTIF(C408:E425,$B438)+COUNTIF(C408:E425,$B438&amp;" ~*")&gt;0)+(COUNTIF(G408:I425,$B438)+COUNTIF(G408:I425,$B438&amp;" ~*")&gt;0)+(COUNTIF(K408:M425,$B438)+COUNTIF(K408:M425,$B438&amp;" ~*")&gt;0)+(COUNTIF(O408:Q425,$B438)+COUNTIF(O408:Q425,$B438&amp;" ~*")&gt;0)+(COUNTIF(S408:U425,$B438)+COUNTIF(S408:U425,$B438&amp;" ~*")&gt;0)+(COUNTIF(W408:W425,$B438)+COUNTIF(W408:W425,$B438&amp;" ~*")&gt;0)+(COUNTIF(Y408:Y425,$B438)+COUNTIF(Y408:Y425,$B438&amp;" ~*")&gt;0))</f>
        <v/>
      </c>
      <c r="AC438" s="38">
        <f>IF($B438="","",(IFERROR(INDEX(Setup!$G$33:$G$40,MATCH(C438,Setup!$B$33:$B$40,0)),0)=1)*(COUNTIF(C408:E425,$B438)+COUNTIF(C408:E425,$B438&amp;" ~*")&gt;0)+(IFERROR(INDEX(Setup!$G$33:$G$40,MATCH(G438,Setup!$B$33:$B$40,0)),0)=1)*(COUNTIF(G408:I425,$B438)+COUNTIF(G408:I425,$B438&amp;" ~*")&gt;0)+(IFERROR(INDEX(Setup!$G$33:$G$40,MATCH(K438,Setup!$B$33:$B$40,0)),0)=1)*(COUNTIF(K408:M425,$B438)+COUNTIF(K408:M425,$B438&amp;" ~*")&gt;0)+(IFERROR(INDEX(Setup!$G$33:$G$40,MATCH(O438,Setup!$B$33:$B$40,0)),0)=1)*(COUNTIF(O408:Q425,$B438)+COUNTIF(O408:Q425,$B438&amp;" ~*")&gt;0)+(IFERROR(INDEX(Setup!$G$33:$G$40,MATCH(S438,Setup!$B$33:$B$40,0)),0)=1)*(COUNTIF(S408:U425,$B438)+COUNTIF(S408:U425,$B438&amp;" ~*")&gt;0)+(IFERROR(INDEX(Setup!$G$33:$G$40,MATCH(W438,Setup!$B$33:$B$40,0)),0)=1)*(COUNTIF(W408:W425,$B438)+COUNTIF(W408:W425,$B438&amp;" ~*")&gt;0)+(IFERROR(INDEX(Setup!$G$33:$G$40,MATCH(Y438,Setup!$B$33:$B$40,0)),0)=1)*(COUNTIF(Y408:Y425,$B438)+COUNTIF(Y408:Y425,$B438&amp;" ~*")&gt;0))</f>
        <v/>
      </c>
    </row>
    <row r="439" ht="15" customHeight="1">
      <c r="A439" t="n">
        <v>9</v>
      </c>
      <c r="B439" s="35">
        <f>IF(Setup!$B$18="","",Setup!$B$18)</f>
        <v/>
      </c>
      <c r="C439" s="98" t="n"/>
      <c r="D439" s="99" t="n"/>
      <c r="E439" s="99" t="n"/>
      <c r="F439" s="100" t="n"/>
      <c r="G439" s="98" t="n"/>
      <c r="H439" s="99" t="n"/>
      <c r="I439" s="99" t="n"/>
      <c r="J439" s="100" t="n"/>
      <c r="K439" s="98" t="n"/>
      <c r="L439" s="99" t="n"/>
      <c r="M439" s="99" t="n"/>
      <c r="N439" s="100" t="n"/>
      <c r="O439" s="98" t="n"/>
      <c r="P439" s="99" t="n"/>
      <c r="Q439" s="99" t="n"/>
      <c r="R439" s="100" t="n"/>
      <c r="S439" s="98" t="n"/>
      <c r="T439" s="99" t="n"/>
      <c r="U439" s="99" t="n"/>
      <c r="V439" s="100" t="n"/>
      <c r="W439" s="98" t="n"/>
      <c r="X439" s="100" t="n"/>
      <c r="Y439" s="98" t="n"/>
      <c r="Z439" s="100" t="n"/>
      <c r="AB439" s="101">
        <f>IF($B439="","",(COUNTIF(C408:E425,$B439)+COUNTIF(C408:E425,$B439&amp;" ~*")&gt;0)+(COUNTIF(G408:I425,$B439)+COUNTIF(G408:I425,$B439&amp;" ~*")&gt;0)+(COUNTIF(K408:M425,$B439)+COUNTIF(K408:M425,$B439&amp;" ~*")&gt;0)+(COUNTIF(O408:Q425,$B439)+COUNTIF(O408:Q425,$B439&amp;" ~*")&gt;0)+(COUNTIF(S408:U425,$B439)+COUNTIF(S408:U425,$B439&amp;" ~*")&gt;0)+(COUNTIF(W408:W425,$B439)+COUNTIF(W408:W425,$B439&amp;" ~*")&gt;0)+(COUNTIF(Y408:Y425,$B439)+COUNTIF(Y408:Y425,$B439&amp;" ~*")&gt;0))</f>
        <v/>
      </c>
      <c r="AC439" s="36">
        <f>IF($B439="","",(IFERROR(INDEX(Setup!$G$33:$G$40,MATCH(C439,Setup!$B$33:$B$40,0)),0)=1)*(COUNTIF(C408:E425,$B439)+COUNTIF(C408:E425,$B439&amp;" ~*")&gt;0)+(IFERROR(INDEX(Setup!$G$33:$G$40,MATCH(G439,Setup!$B$33:$B$40,0)),0)=1)*(COUNTIF(G408:I425,$B439)+COUNTIF(G408:I425,$B439&amp;" ~*")&gt;0)+(IFERROR(INDEX(Setup!$G$33:$G$40,MATCH(K439,Setup!$B$33:$B$40,0)),0)=1)*(COUNTIF(K408:M425,$B439)+COUNTIF(K408:M425,$B439&amp;" ~*")&gt;0)+(IFERROR(INDEX(Setup!$G$33:$G$40,MATCH(O439,Setup!$B$33:$B$40,0)),0)=1)*(COUNTIF(O408:Q425,$B439)+COUNTIF(O408:Q425,$B439&amp;" ~*")&gt;0)+(IFERROR(INDEX(Setup!$G$33:$G$40,MATCH(S439,Setup!$B$33:$B$40,0)),0)=1)*(COUNTIF(S408:U425,$B439)+COUNTIF(S408:U425,$B439&amp;" ~*")&gt;0)+(IFERROR(INDEX(Setup!$G$33:$G$40,MATCH(W439,Setup!$B$33:$B$40,0)),0)=1)*(COUNTIF(W408:W425,$B439)+COUNTIF(W408:W425,$B439&amp;" ~*")&gt;0)+(IFERROR(INDEX(Setup!$G$33:$G$40,MATCH(Y439,Setup!$B$33:$B$40,0)),0)=1)*(COUNTIF(Y408:Y425,$B439)+COUNTIF(Y408:Y425,$B439&amp;" ~*")&gt;0))</f>
        <v/>
      </c>
    </row>
    <row r="440" ht="15" customHeight="1">
      <c r="A440" t="n">
        <v>9</v>
      </c>
      <c r="B440" s="37">
        <f>IF(Setup!$B$19="","",Setup!$B$19)</f>
        <v/>
      </c>
      <c r="C440" s="102" t="n"/>
      <c r="D440" s="103" t="n"/>
      <c r="E440" s="103" t="n"/>
      <c r="F440" s="104" t="n"/>
      <c r="G440" s="102" t="n"/>
      <c r="H440" s="103" t="n"/>
      <c r="I440" s="103" t="n"/>
      <c r="J440" s="104" t="n"/>
      <c r="K440" s="102" t="n"/>
      <c r="L440" s="103" t="n"/>
      <c r="M440" s="103" t="n"/>
      <c r="N440" s="104" t="n"/>
      <c r="O440" s="102" t="n"/>
      <c r="P440" s="103" t="n"/>
      <c r="Q440" s="103" t="n"/>
      <c r="R440" s="104" t="n"/>
      <c r="S440" s="102" t="n"/>
      <c r="T440" s="103" t="n"/>
      <c r="U440" s="103" t="n"/>
      <c r="V440" s="104" t="n"/>
      <c r="W440" s="102" t="n"/>
      <c r="X440" s="104" t="n"/>
      <c r="Y440" s="102" t="n"/>
      <c r="Z440" s="104" t="n"/>
      <c r="AB440" s="105">
        <f>IF($B440="","",(COUNTIF(C408:E425,$B440)+COUNTIF(C408:E425,$B440&amp;" ~*")&gt;0)+(COUNTIF(G408:I425,$B440)+COUNTIF(G408:I425,$B440&amp;" ~*")&gt;0)+(COUNTIF(K408:M425,$B440)+COUNTIF(K408:M425,$B440&amp;" ~*")&gt;0)+(COUNTIF(O408:Q425,$B440)+COUNTIF(O408:Q425,$B440&amp;" ~*")&gt;0)+(COUNTIF(S408:U425,$B440)+COUNTIF(S408:U425,$B440&amp;" ~*")&gt;0)+(COUNTIF(W408:W425,$B440)+COUNTIF(W408:W425,$B440&amp;" ~*")&gt;0)+(COUNTIF(Y408:Y425,$B440)+COUNTIF(Y408:Y425,$B440&amp;" ~*")&gt;0))</f>
        <v/>
      </c>
      <c r="AC440" s="38">
        <f>IF($B440="","",(IFERROR(INDEX(Setup!$G$33:$G$40,MATCH(C440,Setup!$B$33:$B$40,0)),0)=1)*(COUNTIF(C408:E425,$B440)+COUNTIF(C408:E425,$B440&amp;" ~*")&gt;0)+(IFERROR(INDEX(Setup!$G$33:$G$40,MATCH(G440,Setup!$B$33:$B$40,0)),0)=1)*(COUNTIF(G408:I425,$B440)+COUNTIF(G408:I425,$B440&amp;" ~*")&gt;0)+(IFERROR(INDEX(Setup!$G$33:$G$40,MATCH(K440,Setup!$B$33:$B$40,0)),0)=1)*(COUNTIF(K408:M425,$B440)+COUNTIF(K408:M425,$B440&amp;" ~*")&gt;0)+(IFERROR(INDEX(Setup!$G$33:$G$40,MATCH(O440,Setup!$B$33:$B$40,0)),0)=1)*(COUNTIF(O408:Q425,$B440)+COUNTIF(O408:Q425,$B440&amp;" ~*")&gt;0)+(IFERROR(INDEX(Setup!$G$33:$G$40,MATCH(S440,Setup!$B$33:$B$40,0)),0)=1)*(COUNTIF(S408:U425,$B440)+COUNTIF(S408:U425,$B440&amp;" ~*")&gt;0)+(IFERROR(INDEX(Setup!$G$33:$G$40,MATCH(W440,Setup!$B$33:$B$40,0)),0)=1)*(COUNTIF(W408:W425,$B440)+COUNTIF(W408:W425,$B440&amp;" ~*")&gt;0)+(IFERROR(INDEX(Setup!$G$33:$G$40,MATCH(Y440,Setup!$B$33:$B$40,0)),0)=1)*(COUNTIF(Y408:Y425,$B440)+COUNTIF(Y408:Y425,$B440&amp;" ~*")&gt;0))</f>
        <v/>
      </c>
    </row>
    <row r="441" ht="15" customHeight="1">
      <c r="A441" t="n">
        <v>9</v>
      </c>
      <c r="B441" s="35">
        <f>IF(Setup!$B$20="","",Setup!$B$20)</f>
        <v/>
      </c>
      <c r="C441" s="98" t="n"/>
      <c r="D441" s="99" t="n"/>
      <c r="E441" s="99" t="n"/>
      <c r="F441" s="100" t="n"/>
      <c r="G441" s="98" t="n"/>
      <c r="H441" s="99" t="n"/>
      <c r="I441" s="99" t="n"/>
      <c r="J441" s="100" t="n"/>
      <c r="K441" s="98" t="n"/>
      <c r="L441" s="99" t="n"/>
      <c r="M441" s="99" t="n"/>
      <c r="N441" s="100" t="n"/>
      <c r="O441" s="98" t="n"/>
      <c r="P441" s="99" t="n"/>
      <c r="Q441" s="99" t="n"/>
      <c r="R441" s="100" t="n"/>
      <c r="S441" s="98" t="n"/>
      <c r="T441" s="99" t="n"/>
      <c r="U441" s="99" t="n"/>
      <c r="V441" s="100" t="n"/>
      <c r="W441" s="98" t="n"/>
      <c r="X441" s="100" t="n"/>
      <c r="Y441" s="98" t="n"/>
      <c r="Z441" s="100" t="n"/>
      <c r="AB441" s="101">
        <f>IF($B441="","",(COUNTIF(C408:E425,$B441)+COUNTIF(C408:E425,$B441&amp;" ~*")&gt;0)+(COUNTIF(G408:I425,$B441)+COUNTIF(G408:I425,$B441&amp;" ~*")&gt;0)+(COUNTIF(K408:M425,$B441)+COUNTIF(K408:M425,$B441&amp;" ~*")&gt;0)+(COUNTIF(O408:Q425,$B441)+COUNTIF(O408:Q425,$B441&amp;" ~*")&gt;0)+(COUNTIF(S408:U425,$B441)+COUNTIF(S408:U425,$B441&amp;" ~*")&gt;0)+(COUNTIF(W408:W425,$B441)+COUNTIF(W408:W425,$B441&amp;" ~*")&gt;0)+(COUNTIF(Y408:Y425,$B441)+COUNTIF(Y408:Y425,$B441&amp;" ~*")&gt;0))</f>
        <v/>
      </c>
      <c r="AC441" s="36">
        <f>IF($B441="","",(IFERROR(INDEX(Setup!$G$33:$G$40,MATCH(C441,Setup!$B$33:$B$40,0)),0)=1)*(COUNTIF(C408:E425,$B441)+COUNTIF(C408:E425,$B441&amp;" ~*")&gt;0)+(IFERROR(INDEX(Setup!$G$33:$G$40,MATCH(G441,Setup!$B$33:$B$40,0)),0)=1)*(COUNTIF(G408:I425,$B441)+COUNTIF(G408:I425,$B441&amp;" ~*")&gt;0)+(IFERROR(INDEX(Setup!$G$33:$G$40,MATCH(K441,Setup!$B$33:$B$40,0)),0)=1)*(COUNTIF(K408:M425,$B441)+COUNTIF(K408:M425,$B441&amp;" ~*")&gt;0)+(IFERROR(INDEX(Setup!$G$33:$G$40,MATCH(O441,Setup!$B$33:$B$40,0)),0)=1)*(COUNTIF(O408:Q425,$B441)+COUNTIF(O408:Q425,$B441&amp;" ~*")&gt;0)+(IFERROR(INDEX(Setup!$G$33:$G$40,MATCH(S441,Setup!$B$33:$B$40,0)),0)=1)*(COUNTIF(S408:U425,$B441)+COUNTIF(S408:U425,$B441&amp;" ~*")&gt;0)+(IFERROR(INDEX(Setup!$G$33:$G$40,MATCH(W441,Setup!$B$33:$B$40,0)),0)=1)*(COUNTIF(W408:W425,$B441)+COUNTIF(W408:W425,$B441&amp;" ~*")&gt;0)+(IFERROR(INDEX(Setup!$G$33:$G$40,MATCH(Y441,Setup!$B$33:$B$40,0)),0)=1)*(COUNTIF(Y408:Y425,$B441)+COUNTIF(Y408:Y425,$B441&amp;" ~*")&gt;0))</f>
        <v/>
      </c>
    </row>
    <row r="442" ht="15" customHeight="1">
      <c r="A442" t="n">
        <v>9</v>
      </c>
      <c r="B442" s="37">
        <f>IF(Setup!$B$21="","",Setup!$B$21)</f>
        <v/>
      </c>
      <c r="C442" s="102" t="n"/>
      <c r="D442" s="103" t="n"/>
      <c r="E442" s="103" t="n"/>
      <c r="F442" s="104" t="n"/>
      <c r="G442" s="102" t="n"/>
      <c r="H442" s="103" t="n"/>
      <c r="I442" s="103" t="n"/>
      <c r="J442" s="104" t="n"/>
      <c r="K442" s="102" t="n"/>
      <c r="L442" s="103" t="n"/>
      <c r="M442" s="103" t="n"/>
      <c r="N442" s="104" t="n"/>
      <c r="O442" s="102" t="n"/>
      <c r="P442" s="103" t="n"/>
      <c r="Q442" s="103" t="n"/>
      <c r="R442" s="104" t="n"/>
      <c r="S442" s="102" t="n"/>
      <c r="T442" s="103" t="n"/>
      <c r="U442" s="103" t="n"/>
      <c r="V442" s="104" t="n"/>
      <c r="W442" s="102" t="n"/>
      <c r="X442" s="104" t="n"/>
      <c r="Y442" s="102" t="n"/>
      <c r="Z442" s="104" t="n"/>
      <c r="AB442" s="105">
        <f>IF($B442="","",(COUNTIF(C408:E425,$B442)+COUNTIF(C408:E425,$B442&amp;" ~*")&gt;0)+(COUNTIF(G408:I425,$B442)+COUNTIF(G408:I425,$B442&amp;" ~*")&gt;0)+(COUNTIF(K408:M425,$B442)+COUNTIF(K408:M425,$B442&amp;" ~*")&gt;0)+(COUNTIF(O408:Q425,$B442)+COUNTIF(O408:Q425,$B442&amp;" ~*")&gt;0)+(COUNTIF(S408:U425,$B442)+COUNTIF(S408:U425,$B442&amp;" ~*")&gt;0)+(COUNTIF(W408:W425,$B442)+COUNTIF(W408:W425,$B442&amp;" ~*")&gt;0)+(COUNTIF(Y408:Y425,$B442)+COUNTIF(Y408:Y425,$B442&amp;" ~*")&gt;0))</f>
        <v/>
      </c>
      <c r="AC442" s="38">
        <f>IF($B442="","",(IFERROR(INDEX(Setup!$G$33:$G$40,MATCH(C442,Setup!$B$33:$B$40,0)),0)=1)*(COUNTIF(C408:E425,$B442)+COUNTIF(C408:E425,$B442&amp;" ~*")&gt;0)+(IFERROR(INDEX(Setup!$G$33:$G$40,MATCH(G442,Setup!$B$33:$B$40,0)),0)=1)*(COUNTIF(G408:I425,$B442)+COUNTIF(G408:I425,$B442&amp;" ~*")&gt;0)+(IFERROR(INDEX(Setup!$G$33:$G$40,MATCH(K442,Setup!$B$33:$B$40,0)),0)=1)*(COUNTIF(K408:M425,$B442)+COUNTIF(K408:M425,$B442&amp;" ~*")&gt;0)+(IFERROR(INDEX(Setup!$G$33:$G$40,MATCH(O442,Setup!$B$33:$B$40,0)),0)=1)*(COUNTIF(O408:Q425,$B442)+COUNTIF(O408:Q425,$B442&amp;" ~*")&gt;0)+(IFERROR(INDEX(Setup!$G$33:$G$40,MATCH(S442,Setup!$B$33:$B$40,0)),0)=1)*(COUNTIF(S408:U425,$B442)+COUNTIF(S408:U425,$B442&amp;" ~*")&gt;0)+(IFERROR(INDEX(Setup!$G$33:$G$40,MATCH(W442,Setup!$B$33:$B$40,0)),0)=1)*(COUNTIF(W408:W425,$B442)+COUNTIF(W408:W425,$B442&amp;" ~*")&gt;0)+(IFERROR(INDEX(Setup!$G$33:$G$40,MATCH(Y442,Setup!$B$33:$B$40,0)),0)=1)*(COUNTIF(Y408:Y425,$B442)+COUNTIF(Y408:Y425,$B442&amp;" ~*")&gt;0))</f>
        <v/>
      </c>
    </row>
    <row r="443" ht="15" customHeight="1">
      <c r="A443" t="n">
        <v>9</v>
      </c>
      <c r="B443" s="35">
        <f>IF(Setup!$B$22="","",Setup!$B$22)</f>
        <v/>
      </c>
      <c r="C443" s="98" t="n"/>
      <c r="D443" s="99" t="n"/>
      <c r="E443" s="99" t="n"/>
      <c r="F443" s="100" t="n"/>
      <c r="G443" s="98" t="n"/>
      <c r="H443" s="99" t="n"/>
      <c r="I443" s="99" t="n"/>
      <c r="J443" s="100" t="n"/>
      <c r="K443" s="98" t="n"/>
      <c r="L443" s="99" t="n"/>
      <c r="M443" s="99" t="n"/>
      <c r="N443" s="100" t="n"/>
      <c r="O443" s="98" t="n"/>
      <c r="P443" s="99" t="n"/>
      <c r="Q443" s="99" t="n"/>
      <c r="R443" s="100" t="n"/>
      <c r="S443" s="98" t="n"/>
      <c r="T443" s="99" t="n"/>
      <c r="U443" s="99" t="n"/>
      <c r="V443" s="100" t="n"/>
      <c r="W443" s="98" t="n"/>
      <c r="X443" s="100" t="n"/>
      <c r="Y443" s="98" t="n"/>
      <c r="Z443" s="100" t="n"/>
      <c r="AB443" s="101">
        <f>IF($B443="","",(COUNTIF(C408:E425,$B443)+COUNTIF(C408:E425,$B443&amp;" ~*")&gt;0)+(COUNTIF(G408:I425,$B443)+COUNTIF(G408:I425,$B443&amp;" ~*")&gt;0)+(COUNTIF(K408:M425,$B443)+COUNTIF(K408:M425,$B443&amp;" ~*")&gt;0)+(COUNTIF(O408:Q425,$B443)+COUNTIF(O408:Q425,$B443&amp;" ~*")&gt;0)+(COUNTIF(S408:U425,$B443)+COUNTIF(S408:U425,$B443&amp;" ~*")&gt;0)+(COUNTIF(W408:W425,$B443)+COUNTIF(W408:W425,$B443&amp;" ~*")&gt;0)+(COUNTIF(Y408:Y425,$B443)+COUNTIF(Y408:Y425,$B443&amp;" ~*")&gt;0))</f>
        <v/>
      </c>
      <c r="AC443" s="36">
        <f>IF($B443="","",(IFERROR(INDEX(Setup!$G$33:$G$40,MATCH(C443,Setup!$B$33:$B$40,0)),0)=1)*(COUNTIF(C408:E425,$B443)+COUNTIF(C408:E425,$B443&amp;" ~*")&gt;0)+(IFERROR(INDEX(Setup!$G$33:$G$40,MATCH(G443,Setup!$B$33:$B$40,0)),0)=1)*(COUNTIF(G408:I425,$B443)+COUNTIF(G408:I425,$B443&amp;" ~*")&gt;0)+(IFERROR(INDEX(Setup!$G$33:$G$40,MATCH(K443,Setup!$B$33:$B$40,0)),0)=1)*(COUNTIF(K408:M425,$B443)+COUNTIF(K408:M425,$B443&amp;" ~*")&gt;0)+(IFERROR(INDEX(Setup!$G$33:$G$40,MATCH(O443,Setup!$B$33:$B$40,0)),0)=1)*(COUNTIF(O408:Q425,$B443)+COUNTIF(O408:Q425,$B443&amp;" ~*")&gt;0)+(IFERROR(INDEX(Setup!$G$33:$G$40,MATCH(S443,Setup!$B$33:$B$40,0)),0)=1)*(COUNTIF(S408:U425,$B443)+COUNTIF(S408:U425,$B443&amp;" ~*")&gt;0)+(IFERROR(INDEX(Setup!$G$33:$G$40,MATCH(W443,Setup!$B$33:$B$40,0)),0)=1)*(COUNTIF(W408:W425,$B443)+COUNTIF(W408:W425,$B443&amp;" ~*")&gt;0)+(IFERROR(INDEX(Setup!$G$33:$G$40,MATCH(Y443,Setup!$B$33:$B$40,0)),0)=1)*(COUNTIF(Y408:Y425,$B443)+COUNTIF(Y408:Y425,$B443&amp;" ~*")&gt;0))</f>
        <v/>
      </c>
    </row>
    <row r="444" ht="15" customHeight="1">
      <c r="A444" t="n">
        <v>9</v>
      </c>
      <c r="B444" s="37">
        <f>IF(Setup!$B$23="","",Setup!$B$23)</f>
        <v/>
      </c>
      <c r="C444" s="102" t="n"/>
      <c r="D444" s="103" t="n"/>
      <c r="E444" s="103" t="n"/>
      <c r="F444" s="104" t="n"/>
      <c r="G444" s="102" t="n"/>
      <c r="H444" s="103" t="n"/>
      <c r="I444" s="103" t="n"/>
      <c r="J444" s="104" t="n"/>
      <c r="K444" s="102" t="n"/>
      <c r="L444" s="103" t="n"/>
      <c r="M444" s="103" t="n"/>
      <c r="N444" s="104" t="n"/>
      <c r="O444" s="102" t="n"/>
      <c r="P444" s="103" t="n"/>
      <c r="Q444" s="103" t="n"/>
      <c r="R444" s="104" t="n"/>
      <c r="S444" s="102" t="n"/>
      <c r="T444" s="103" t="n"/>
      <c r="U444" s="103" t="n"/>
      <c r="V444" s="104" t="n"/>
      <c r="W444" s="102" t="n"/>
      <c r="X444" s="104" t="n"/>
      <c r="Y444" s="102" t="n"/>
      <c r="Z444" s="104" t="n"/>
      <c r="AB444" s="105">
        <f>IF($B444="","",(COUNTIF(C408:E425,$B444)+COUNTIF(C408:E425,$B444&amp;" ~*")&gt;0)+(COUNTIF(G408:I425,$B444)+COUNTIF(G408:I425,$B444&amp;" ~*")&gt;0)+(COUNTIF(K408:M425,$B444)+COUNTIF(K408:M425,$B444&amp;" ~*")&gt;0)+(COUNTIF(O408:Q425,$B444)+COUNTIF(O408:Q425,$B444&amp;" ~*")&gt;0)+(COUNTIF(S408:U425,$B444)+COUNTIF(S408:U425,$B444&amp;" ~*")&gt;0)+(COUNTIF(W408:W425,$B444)+COUNTIF(W408:W425,$B444&amp;" ~*")&gt;0)+(COUNTIF(Y408:Y425,$B444)+COUNTIF(Y408:Y425,$B444&amp;" ~*")&gt;0))</f>
        <v/>
      </c>
      <c r="AC444" s="38">
        <f>IF($B444="","",(IFERROR(INDEX(Setup!$G$33:$G$40,MATCH(C444,Setup!$B$33:$B$40,0)),0)=1)*(COUNTIF(C408:E425,$B444)+COUNTIF(C408:E425,$B444&amp;" ~*")&gt;0)+(IFERROR(INDEX(Setup!$G$33:$G$40,MATCH(G444,Setup!$B$33:$B$40,0)),0)=1)*(COUNTIF(G408:I425,$B444)+COUNTIF(G408:I425,$B444&amp;" ~*")&gt;0)+(IFERROR(INDEX(Setup!$G$33:$G$40,MATCH(K444,Setup!$B$33:$B$40,0)),0)=1)*(COUNTIF(K408:M425,$B444)+COUNTIF(K408:M425,$B444&amp;" ~*")&gt;0)+(IFERROR(INDEX(Setup!$G$33:$G$40,MATCH(O444,Setup!$B$33:$B$40,0)),0)=1)*(COUNTIF(O408:Q425,$B444)+COUNTIF(O408:Q425,$B444&amp;" ~*")&gt;0)+(IFERROR(INDEX(Setup!$G$33:$G$40,MATCH(S444,Setup!$B$33:$B$40,0)),0)=1)*(COUNTIF(S408:U425,$B444)+COUNTIF(S408:U425,$B444&amp;" ~*")&gt;0)+(IFERROR(INDEX(Setup!$G$33:$G$40,MATCH(W444,Setup!$B$33:$B$40,0)),0)=1)*(COUNTIF(W408:W425,$B444)+COUNTIF(W408:W425,$B444&amp;" ~*")&gt;0)+(IFERROR(INDEX(Setup!$G$33:$G$40,MATCH(Y444,Setup!$B$33:$B$40,0)),0)=1)*(COUNTIF(Y408:Y425,$B444)+COUNTIF(Y408:Y425,$B444&amp;" ~*")&gt;0))</f>
        <v/>
      </c>
    </row>
    <row r="445" ht="15" customHeight="1">
      <c r="A445" t="n">
        <v>9</v>
      </c>
      <c r="B445" s="35">
        <f>IF(Setup!$B$24="","",Setup!$B$24)</f>
        <v/>
      </c>
      <c r="C445" s="98" t="n"/>
      <c r="D445" s="99" t="n"/>
      <c r="E445" s="99" t="n"/>
      <c r="F445" s="100" t="n"/>
      <c r="G445" s="98" t="n"/>
      <c r="H445" s="99" t="n"/>
      <c r="I445" s="99" t="n"/>
      <c r="J445" s="100" t="n"/>
      <c r="K445" s="98" t="n"/>
      <c r="L445" s="99" t="n"/>
      <c r="M445" s="99" t="n"/>
      <c r="N445" s="100" t="n"/>
      <c r="O445" s="98" t="n"/>
      <c r="P445" s="99" t="n"/>
      <c r="Q445" s="99" t="n"/>
      <c r="R445" s="100" t="n"/>
      <c r="S445" s="98" t="n"/>
      <c r="T445" s="99" t="n"/>
      <c r="U445" s="99" t="n"/>
      <c r="V445" s="100" t="n"/>
      <c r="W445" s="98" t="n"/>
      <c r="X445" s="100" t="n"/>
      <c r="Y445" s="98" t="n"/>
      <c r="Z445" s="100" t="n"/>
      <c r="AB445" s="101">
        <f>IF($B445="","",(COUNTIF(C408:E425,$B445)+COUNTIF(C408:E425,$B445&amp;" ~*")&gt;0)+(COUNTIF(G408:I425,$B445)+COUNTIF(G408:I425,$B445&amp;" ~*")&gt;0)+(COUNTIF(K408:M425,$B445)+COUNTIF(K408:M425,$B445&amp;" ~*")&gt;0)+(COUNTIF(O408:Q425,$B445)+COUNTIF(O408:Q425,$B445&amp;" ~*")&gt;0)+(COUNTIF(S408:U425,$B445)+COUNTIF(S408:U425,$B445&amp;" ~*")&gt;0)+(COUNTIF(W408:W425,$B445)+COUNTIF(W408:W425,$B445&amp;" ~*")&gt;0)+(COUNTIF(Y408:Y425,$B445)+COUNTIF(Y408:Y425,$B445&amp;" ~*")&gt;0))</f>
        <v/>
      </c>
      <c r="AC445" s="36">
        <f>IF($B445="","",(IFERROR(INDEX(Setup!$G$33:$G$40,MATCH(C445,Setup!$B$33:$B$40,0)),0)=1)*(COUNTIF(C408:E425,$B445)+COUNTIF(C408:E425,$B445&amp;" ~*")&gt;0)+(IFERROR(INDEX(Setup!$G$33:$G$40,MATCH(G445,Setup!$B$33:$B$40,0)),0)=1)*(COUNTIF(G408:I425,$B445)+COUNTIF(G408:I425,$B445&amp;" ~*")&gt;0)+(IFERROR(INDEX(Setup!$G$33:$G$40,MATCH(K445,Setup!$B$33:$B$40,0)),0)=1)*(COUNTIF(K408:M425,$B445)+COUNTIF(K408:M425,$B445&amp;" ~*")&gt;0)+(IFERROR(INDEX(Setup!$G$33:$G$40,MATCH(O445,Setup!$B$33:$B$40,0)),0)=1)*(COUNTIF(O408:Q425,$B445)+COUNTIF(O408:Q425,$B445&amp;" ~*")&gt;0)+(IFERROR(INDEX(Setup!$G$33:$G$40,MATCH(S445,Setup!$B$33:$B$40,0)),0)=1)*(COUNTIF(S408:U425,$B445)+COUNTIF(S408:U425,$B445&amp;" ~*")&gt;0)+(IFERROR(INDEX(Setup!$G$33:$G$40,MATCH(W445,Setup!$B$33:$B$40,0)),0)=1)*(COUNTIF(W408:W425,$B445)+COUNTIF(W408:W425,$B445&amp;" ~*")&gt;0)+(IFERROR(INDEX(Setup!$G$33:$G$40,MATCH(Y445,Setup!$B$33:$B$40,0)),0)=1)*(COUNTIF(Y408:Y425,$B445)+COUNTIF(Y408:Y425,$B445&amp;" ~*")&gt;0))</f>
        <v/>
      </c>
    </row>
    <row r="446" ht="15" customHeight="1">
      <c r="A446" t="n">
        <v>9</v>
      </c>
      <c r="B446" s="37">
        <f>IF(Setup!$B$25="","",Setup!$B$25)</f>
        <v/>
      </c>
      <c r="C446" s="102" t="n"/>
      <c r="D446" s="103" t="n"/>
      <c r="E446" s="103" t="n"/>
      <c r="F446" s="104" t="n"/>
      <c r="G446" s="102" t="n"/>
      <c r="H446" s="103" t="n"/>
      <c r="I446" s="103" t="n"/>
      <c r="J446" s="104" t="n"/>
      <c r="K446" s="102" t="n"/>
      <c r="L446" s="103" t="n"/>
      <c r="M446" s="103" t="n"/>
      <c r="N446" s="104" t="n"/>
      <c r="O446" s="102" t="n"/>
      <c r="P446" s="103" t="n"/>
      <c r="Q446" s="103" t="n"/>
      <c r="R446" s="104" t="n"/>
      <c r="S446" s="102" t="n"/>
      <c r="T446" s="103" t="n"/>
      <c r="U446" s="103" t="n"/>
      <c r="V446" s="104" t="n"/>
      <c r="W446" s="102" t="n"/>
      <c r="X446" s="104" t="n"/>
      <c r="Y446" s="102" t="n"/>
      <c r="Z446" s="104" t="n"/>
      <c r="AB446" s="105">
        <f>IF($B446="","",(COUNTIF(C408:E425,$B446)+COUNTIF(C408:E425,$B446&amp;" ~*")&gt;0)+(COUNTIF(G408:I425,$B446)+COUNTIF(G408:I425,$B446&amp;" ~*")&gt;0)+(COUNTIF(K408:M425,$B446)+COUNTIF(K408:M425,$B446&amp;" ~*")&gt;0)+(COUNTIF(O408:Q425,$B446)+COUNTIF(O408:Q425,$B446&amp;" ~*")&gt;0)+(COUNTIF(S408:U425,$B446)+COUNTIF(S408:U425,$B446&amp;" ~*")&gt;0)+(COUNTIF(W408:W425,$B446)+COUNTIF(W408:W425,$B446&amp;" ~*")&gt;0)+(COUNTIF(Y408:Y425,$B446)+COUNTIF(Y408:Y425,$B446&amp;" ~*")&gt;0))</f>
        <v/>
      </c>
      <c r="AC446" s="38">
        <f>IF($B446="","",(IFERROR(INDEX(Setup!$G$33:$G$40,MATCH(C446,Setup!$B$33:$B$40,0)),0)=1)*(COUNTIF(C408:E425,$B446)+COUNTIF(C408:E425,$B446&amp;" ~*")&gt;0)+(IFERROR(INDEX(Setup!$G$33:$G$40,MATCH(G446,Setup!$B$33:$B$40,0)),0)=1)*(COUNTIF(G408:I425,$B446)+COUNTIF(G408:I425,$B446&amp;" ~*")&gt;0)+(IFERROR(INDEX(Setup!$G$33:$G$40,MATCH(K446,Setup!$B$33:$B$40,0)),0)=1)*(COUNTIF(K408:M425,$B446)+COUNTIF(K408:M425,$B446&amp;" ~*")&gt;0)+(IFERROR(INDEX(Setup!$G$33:$G$40,MATCH(O446,Setup!$B$33:$B$40,0)),0)=1)*(COUNTIF(O408:Q425,$B446)+COUNTIF(O408:Q425,$B446&amp;" ~*")&gt;0)+(IFERROR(INDEX(Setup!$G$33:$G$40,MATCH(S446,Setup!$B$33:$B$40,0)),0)=1)*(COUNTIF(S408:U425,$B446)+COUNTIF(S408:U425,$B446&amp;" ~*")&gt;0)+(IFERROR(INDEX(Setup!$G$33:$G$40,MATCH(W446,Setup!$B$33:$B$40,0)),0)=1)*(COUNTIF(W408:W425,$B446)+COUNTIF(W408:W425,$B446&amp;" ~*")&gt;0)+(IFERROR(INDEX(Setup!$G$33:$G$40,MATCH(Y446,Setup!$B$33:$B$40,0)),0)=1)*(COUNTIF(Y408:Y425,$B446)+COUNTIF(Y408:Y425,$B446&amp;" ~*")&gt;0))</f>
        <v/>
      </c>
    </row>
    <row r="447" ht="15" customHeight="1">
      <c r="A447" t="n">
        <v>9</v>
      </c>
      <c r="B447" s="35">
        <f>IF(Setup!$B$26="","",Setup!$B$26)</f>
        <v/>
      </c>
      <c r="C447" s="98" t="n"/>
      <c r="D447" s="99" t="n"/>
      <c r="E447" s="99" t="n"/>
      <c r="F447" s="100" t="n"/>
      <c r="G447" s="98" t="n"/>
      <c r="H447" s="99" t="n"/>
      <c r="I447" s="99" t="n"/>
      <c r="J447" s="100" t="n"/>
      <c r="K447" s="98" t="n"/>
      <c r="L447" s="99" t="n"/>
      <c r="M447" s="99" t="n"/>
      <c r="N447" s="100" t="n"/>
      <c r="O447" s="98" t="n"/>
      <c r="P447" s="99" t="n"/>
      <c r="Q447" s="99" t="n"/>
      <c r="R447" s="100" t="n"/>
      <c r="S447" s="98" t="n"/>
      <c r="T447" s="99" t="n"/>
      <c r="U447" s="99" t="n"/>
      <c r="V447" s="100" t="n"/>
      <c r="W447" s="98" t="n"/>
      <c r="X447" s="100" t="n"/>
      <c r="Y447" s="98" t="n"/>
      <c r="Z447" s="100" t="n"/>
      <c r="AB447" s="101">
        <f>IF($B447="","",(COUNTIF(C408:E425,$B447)+COUNTIF(C408:E425,$B447&amp;" ~*")&gt;0)+(COUNTIF(G408:I425,$B447)+COUNTIF(G408:I425,$B447&amp;" ~*")&gt;0)+(COUNTIF(K408:M425,$B447)+COUNTIF(K408:M425,$B447&amp;" ~*")&gt;0)+(COUNTIF(O408:Q425,$B447)+COUNTIF(O408:Q425,$B447&amp;" ~*")&gt;0)+(COUNTIF(S408:U425,$B447)+COUNTIF(S408:U425,$B447&amp;" ~*")&gt;0)+(COUNTIF(W408:W425,$B447)+COUNTIF(W408:W425,$B447&amp;" ~*")&gt;0)+(COUNTIF(Y408:Y425,$B447)+COUNTIF(Y408:Y425,$B447&amp;" ~*")&gt;0))</f>
        <v/>
      </c>
      <c r="AC447" s="36">
        <f>IF($B447="","",(IFERROR(INDEX(Setup!$G$33:$G$40,MATCH(C447,Setup!$B$33:$B$40,0)),0)=1)*(COUNTIF(C408:E425,$B447)+COUNTIF(C408:E425,$B447&amp;" ~*")&gt;0)+(IFERROR(INDEX(Setup!$G$33:$G$40,MATCH(G447,Setup!$B$33:$B$40,0)),0)=1)*(COUNTIF(G408:I425,$B447)+COUNTIF(G408:I425,$B447&amp;" ~*")&gt;0)+(IFERROR(INDEX(Setup!$G$33:$G$40,MATCH(K447,Setup!$B$33:$B$40,0)),0)=1)*(COUNTIF(K408:M425,$B447)+COUNTIF(K408:M425,$B447&amp;" ~*")&gt;0)+(IFERROR(INDEX(Setup!$G$33:$G$40,MATCH(O447,Setup!$B$33:$B$40,0)),0)=1)*(COUNTIF(O408:Q425,$B447)+COUNTIF(O408:Q425,$B447&amp;" ~*")&gt;0)+(IFERROR(INDEX(Setup!$G$33:$G$40,MATCH(S447,Setup!$B$33:$B$40,0)),0)=1)*(COUNTIF(S408:U425,$B447)+COUNTIF(S408:U425,$B447&amp;" ~*")&gt;0)+(IFERROR(INDEX(Setup!$G$33:$G$40,MATCH(W447,Setup!$B$33:$B$40,0)),0)=1)*(COUNTIF(W408:W425,$B447)+COUNTIF(W408:W425,$B447&amp;" ~*")&gt;0)+(IFERROR(INDEX(Setup!$G$33:$G$40,MATCH(Y447,Setup!$B$33:$B$40,0)),0)=1)*(COUNTIF(Y408:Y425,$B447)+COUNTIF(Y408:Y425,$B447&amp;" ~*")&gt;0))</f>
        <v/>
      </c>
    </row>
    <row r="448" ht="15" customHeight="1">
      <c r="A448" t="n">
        <v>9</v>
      </c>
      <c r="B448" s="37">
        <f>IF(Setup!$B$27="","",Setup!$B$27)</f>
        <v/>
      </c>
      <c r="C448" s="102" t="n"/>
      <c r="D448" s="103" t="n"/>
      <c r="E448" s="103" t="n"/>
      <c r="F448" s="104" t="n"/>
      <c r="G448" s="102" t="n"/>
      <c r="H448" s="103" t="n"/>
      <c r="I448" s="103" t="n"/>
      <c r="J448" s="104" t="n"/>
      <c r="K448" s="102" t="n"/>
      <c r="L448" s="103" t="n"/>
      <c r="M448" s="103" t="n"/>
      <c r="N448" s="104" t="n"/>
      <c r="O448" s="102" t="n"/>
      <c r="P448" s="103" t="n"/>
      <c r="Q448" s="103" t="n"/>
      <c r="R448" s="104" t="n"/>
      <c r="S448" s="102" t="n"/>
      <c r="T448" s="103" t="n"/>
      <c r="U448" s="103" t="n"/>
      <c r="V448" s="104" t="n"/>
      <c r="W448" s="102" t="n"/>
      <c r="X448" s="104" t="n"/>
      <c r="Y448" s="102" t="n"/>
      <c r="Z448" s="104" t="n"/>
      <c r="AB448" s="105">
        <f>IF($B448="","",(COUNTIF(C408:E425,$B448)+COUNTIF(C408:E425,$B448&amp;" ~*")&gt;0)+(COUNTIF(G408:I425,$B448)+COUNTIF(G408:I425,$B448&amp;" ~*")&gt;0)+(COUNTIF(K408:M425,$B448)+COUNTIF(K408:M425,$B448&amp;" ~*")&gt;0)+(COUNTIF(O408:Q425,$B448)+COUNTIF(O408:Q425,$B448&amp;" ~*")&gt;0)+(COUNTIF(S408:U425,$B448)+COUNTIF(S408:U425,$B448&amp;" ~*")&gt;0)+(COUNTIF(W408:W425,$B448)+COUNTIF(W408:W425,$B448&amp;" ~*")&gt;0)+(COUNTIF(Y408:Y425,$B448)+COUNTIF(Y408:Y425,$B448&amp;" ~*")&gt;0))</f>
        <v/>
      </c>
      <c r="AC448" s="38">
        <f>IF($B448="","",(IFERROR(INDEX(Setup!$G$33:$G$40,MATCH(C448,Setup!$B$33:$B$40,0)),0)=1)*(COUNTIF(C408:E425,$B448)+COUNTIF(C408:E425,$B448&amp;" ~*")&gt;0)+(IFERROR(INDEX(Setup!$G$33:$G$40,MATCH(G448,Setup!$B$33:$B$40,0)),0)=1)*(COUNTIF(G408:I425,$B448)+COUNTIF(G408:I425,$B448&amp;" ~*")&gt;0)+(IFERROR(INDEX(Setup!$G$33:$G$40,MATCH(K448,Setup!$B$33:$B$40,0)),0)=1)*(COUNTIF(K408:M425,$B448)+COUNTIF(K408:M425,$B448&amp;" ~*")&gt;0)+(IFERROR(INDEX(Setup!$G$33:$G$40,MATCH(O448,Setup!$B$33:$B$40,0)),0)=1)*(COUNTIF(O408:Q425,$B448)+COUNTIF(O408:Q425,$B448&amp;" ~*")&gt;0)+(IFERROR(INDEX(Setup!$G$33:$G$40,MATCH(S448,Setup!$B$33:$B$40,0)),0)=1)*(COUNTIF(S408:U425,$B448)+COUNTIF(S408:U425,$B448&amp;" ~*")&gt;0)+(IFERROR(INDEX(Setup!$G$33:$G$40,MATCH(W448,Setup!$B$33:$B$40,0)),0)=1)*(COUNTIF(W408:W425,$B448)+COUNTIF(W408:W425,$B448&amp;" ~*")&gt;0)+(IFERROR(INDEX(Setup!$G$33:$G$40,MATCH(Y448,Setup!$B$33:$B$40,0)),0)=1)*(COUNTIF(Y408:Y425,$B448)+COUNTIF(Y408:Y425,$B448&amp;" ~*")&gt;0))</f>
        <v/>
      </c>
    </row>
    <row r="449" ht="15" customHeight="1">
      <c r="A449" t="n">
        <v>9</v>
      </c>
      <c r="B449" s="35">
        <f>IF(Setup!$B$28="","",Setup!$B$28)</f>
        <v/>
      </c>
      <c r="C449" s="98" t="n"/>
      <c r="D449" s="99" t="n"/>
      <c r="E449" s="99" t="n"/>
      <c r="F449" s="100" t="n"/>
      <c r="G449" s="98" t="n"/>
      <c r="H449" s="99" t="n"/>
      <c r="I449" s="99" t="n"/>
      <c r="J449" s="100" t="n"/>
      <c r="K449" s="98" t="n"/>
      <c r="L449" s="99" t="n"/>
      <c r="M449" s="99" t="n"/>
      <c r="N449" s="100" t="n"/>
      <c r="O449" s="98" t="n"/>
      <c r="P449" s="99" t="n"/>
      <c r="Q449" s="99" t="n"/>
      <c r="R449" s="100" t="n"/>
      <c r="S449" s="98" t="n"/>
      <c r="T449" s="99" t="n"/>
      <c r="U449" s="99" t="n"/>
      <c r="V449" s="100" t="n"/>
      <c r="W449" s="98" t="n"/>
      <c r="X449" s="100" t="n"/>
      <c r="Y449" s="98" t="n"/>
      <c r="Z449" s="100" t="n"/>
      <c r="AB449" s="101">
        <f>IF($B449="","",(COUNTIF(C408:E425,$B449)+COUNTIF(C408:E425,$B449&amp;" ~*")&gt;0)+(COUNTIF(G408:I425,$B449)+COUNTIF(G408:I425,$B449&amp;" ~*")&gt;0)+(COUNTIF(K408:M425,$B449)+COUNTIF(K408:M425,$B449&amp;" ~*")&gt;0)+(COUNTIF(O408:Q425,$B449)+COUNTIF(O408:Q425,$B449&amp;" ~*")&gt;0)+(COUNTIF(S408:U425,$B449)+COUNTIF(S408:U425,$B449&amp;" ~*")&gt;0)+(COUNTIF(W408:W425,$B449)+COUNTIF(W408:W425,$B449&amp;" ~*")&gt;0)+(COUNTIF(Y408:Y425,$B449)+COUNTIF(Y408:Y425,$B449&amp;" ~*")&gt;0))</f>
        <v/>
      </c>
      <c r="AC449" s="36">
        <f>IF($B449="","",(IFERROR(INDEX(Setup!$G$33:$G$40,MATCH(C449,Setup!$B$33:$B$40,0)),0)=1)*(COUNTIF(C408:E425,$B449)+COUNTIF(C408:E425,$B449&amp;" ~*")&gt;0)+(IFERROR(INDEX(Setup!$G$33:$G$40,MATCH(G449,Setup!$B$33:$B$40,0)),0)=1)*(COUNTIF(G408:I425,$B449)+COUNTIF(G408:I425,$B449&amp;" ~*")&gt;0)+(IFERROR(INDEX(Setup!$G$33:$G$40,MATCH(K449,Setup!$B$33:$B$40,0)),0)=1)*(COUNTIF(K408:M425,$B449)+COUNTIF(K408:M425,$B449&amp;" ~*")&gt;0)+(IFERROR(INDEX(Setup!$G$33:$G$40,MATCH(O449,Setup!$B$33:$B$40,0)),0)=1)*(COUNTIF(O408:Q425,$B449)+COUNTIF(O408:Q425,$B449&amp;" ~*")&gt;0)+(IFERROR(INDEX(Setup!$G$33:$G$40,MATCH(S449,Setup!$B$33:$B$40,0)),0)=1)*(COUNTIF(S408:U425,$B449)+COUNTIF(S408:U425,$B449&amp;" ~*")&gt;0)+(IFERROR(INDEX(Setup!$G$33:$G$40,MATCH(W449,Setup!$B$33:$B$40,0)),0)=1)*(COUNTIF(W408:W425,$B449)+COUNTIF(W408:W425,$B449&amp;" ~*")&gt;0)+(IFERROR(INDEX(Setup!$G$33:$G$40,MATCH(Y449,Setup!$B$33:$B$40,0)),0)=1)*(COUNTIF(Y408:Y425,$B449)+COUNTIF(Y408:Y425,$B449&amp;" ~*")&gt;0))</f>
        <v/>
      </c>
    </row>
    <row r="450" ht="15" customHeight="1">
      <c r="A450" t="n">
        <v>9</v>
      </c>
      <c r="B450" s="37">
        <f>IF(Setup!$B$29="","",Setup!$B$29)</f>
        <v/>
      </c>
      <c r="C450" s="102" t="n"/>
      <c r="D450" s="103" t="n"/>
      <c r="E450" s="103" t="n"/>
      <c r="F450" s="104" t="n"/>
      <c r="G450" s="102" t="n"/>
      <c r="H450" s="103" t="n"/>
      <c r="I450" s="103" t="n"/>
      <c r="J450" s="104" t="n"/>
      <c r="K450" s="102" t="n"/>
      <c r="L450" s="103" t="n"/>
      <c r="M450" s="103" t="n"/>
      <c r="N450" s="104" t="n"/>
      <c r="O450" s="102" t="n"/>
      <c r="P450" s="103" t="n"/>
      <c r="Q450" s="103" t="n"/>
      <c r="R450" s="104" t="n"/>
      <c r="S450" s="102" t="n"/>
      <c r="T450" s="103" t="n"/>
      <c r="U450" s="103" t="n"/>
      <c r="V450" s="104" t="n"/>
      <c r="W450" s="102" t="n"/>
      <c r="X450" s="104" t="n"/>
      <c r="Y450" s="102" t="n"/>
      <c r="Z450" s="104" t="n"/>
      <c r="AB450" s="105">
        <f>IF($B450="","",(COUNTIF(C408:E425,$B450)+COUNTIF(C408:E425,$B450&amp;" ~*")&gt;0)+(COUNTIF(G408:I425,$B450)+COUNTIF(G408:I425,$B450&amp;" ~*")&gt;0)+(COUNTIF(K408:M425,$B450)+COUNTIF(K408:M425,$B450&amp;" ~*")&gt;0)+(COUNTIF(O408:Q425,$B450)+COUNTIF(O408:Q425,$B450&amp;" ~*")&gt;0)+(COUNTIF(S408:U425,$B450)+COUNTIF(S408:U425,$B450&amp;" ~*")&gt;0)+(COUNTIF(W408:W425,$B450)+COUNTIF(W408:W425,$B450&amp;" ~*")&gt;0)+(COUNTIF(Y408:Y425,$B450)+COUNTIF(Y408:Y425,$B450&amp;" ~*")&gt;0))</f>
        <v/>
      </c>
      <c r="AC450" s="38">
        <f>IF($B450="","",(IFERROR(INDEX(Setup!$G$33:$G$40,MATCH(C450,Setup!$B$33:$B$40,0)),0)=1)*(COUNTIF(C408:E425,$B450)+COUNTIF(C408:E425,$B450&amp;" ~*")&gt;0)+(IFERROR(INDEX(Setup!$G$33:$G$40,MATCH(G450,Setup!$B$33:$B$40,0)),0)=1)*(COUNTIF(G408:I425,$B450)+COUNTIF(G408:I425,$B450&amp;" ~*")&gt;0)+(IFERROR(INDEX(Setup!$G$33:$G$40,MATCH(K450,Setup!$B$33:$B$40,0)),0)=1)*(COUNTIF(K408:M425,$B450)+COUNTIF(K408:M425,$B450&amp;" ~*")&gt;0)+(IFERROR(INDEX(Setup!$G$33:$G$40,MATCH(O450,Setup!$B$33:$B$40,0)),0)=1)*(COUNTIF(O408:Q425,$B450)+COUNTIF(O408:Q425,$B450&amp;" ~*")&gt;0)+(IFERROR(INDEX(Setup!$G$33:$G$40,MATCH(S450,Setup!$B$33:$B$40,0)),0)=1)*(COUNTIF(S408:U425,$B450)+COUNTIF(S408:U425,$B450&amp;" ~*")&gt;0)+(IFERROR(INDEX(Setup!$G$33:$G$40,MATCH(W450,Setup!$B$33:$B$40,0)),0)=1)*(COUNTIF(W408:W425,$B450)+COUNTIF(W408:W425,$B450&amp;" ~*")&gt;0)+(IFERROR(INDEX(Setup!$G$33:$G$40,MATCH(Y450,Setup!$B$33:$B$40,0)),0)=1)*(COUNTIF(Y408:Y425,$B450)+COUNTIF(Y408:Y425,$B450&amp;" ~*")&gt;0))</f>
        <v/>
      </c>
    </row>
    <row r="451" ht="16" customHeight="1">
      <c r="A451" t="n">
        <v>9</v>
      </c>
      <c r="B451" s="106" t="inlineStr">
        <is>
          <t>Available people</t>
        </is>
      </c>
      <c r="C451" s="107">
        <f>COUNTIFS(Setup!$E$6:$E$29,"Y",Setup!$B$6:$B$29,"?*")-SUMPRODUCT(COUNTIF(C427:C450,Setup!$F$33:$F$40))</f>
        <v/>
      </c>
      <c r="D451" s="107" t="n"/>
      <c r="E451" s="107" t="n"/>
      <c r="F451" s="107" t="n"/>
      <c r="G451" s="107">
        <f>COUNTIFS(Setup!$E$6:$E$29,"Y",Setup!$B$6:$B$29,"?*")-SUMPRODUCT(COUNTIF(G427:G450,Setup!$F$33:$F$40))</f>
        <v/>
      </c>
      <c r="H451" s="107" t="n"/>
      <c r="I451" s="107" t="n"/>
      <c r="J451" s="107" t="n"/>
      <c r="K451" s="107">
        <f>COUNTIFS(Setup!$E$6:$E$29,"Y",Setup!$B$6:$B$29,"?*")-SUMPRODUCT(COUNTIF(K427:K450,Setup!$F$33:$F$40))</f>
        <v/>
      </c>
      <c r="L451" s="107" t="n"/>
      <c r="M451" s="107" t="n"/>
      <c r="N451" s="107" t="n"/>
      <c r="O451" s="107">
        <f>COUNTIFS(Setup!$E$6:$E$29,"Y",Setup!$B$6:$B$29,"?*")-SUMPRODUCT(COUNTIF(O427:O450,Setup!$F$33:$F$40))</f>
        <v/>
      </c>
      <c r="P451" s="107" t="n"/>
      <c r="Q451" s="107" t="n"/>
      <c r="R451" s="107" t="n"/>
      <c r="S451" s="107">
        <f>COUNTIFS(Setup!$E$6:$E$29,"Y",Setup!$B$6:$B$29,"?*")-SUMPRODUCT(COUNTIF(S427:S450,Setup!$F$33:$F$40))</f>
        <v/>
      </c>
      <c r="T451" s="107" t="n"/>
      <c r="U451" s="107" t="n"/>
      <c r="V451" s="107" t="n"/>
      <c r="W451" s="107">
        <f>COUNTIFS(Setup!$E$6:$E$29,"Y",Setup!$B$6:$B$29,"?*")-SUMPRODUCT(COUNTIF(W427:W450,Setup!$F$33:$F$40))</f>
        <v/>
      </c>
      <c r="X451" s="107" t="n"/>
      <c r="Y451" s="107">
        <f>COUNTIFS(Setup!$E$6:$E$29,"Y",Setup!$B$6:$B$29,"?*")-SUMPRODUCT(COUNTIF(Y427:Y450,Setup!$F$33:$F$40))</f>
        <v/>
      </c>
      <c r="Z451" s="107" t="n"/>
      <c r="AB451" s="108">
        <f>SUM(AB427:AB450)</f>
        <v/>
      </c>
      <c r="AC451" s="109">
        <f>SUM(AC427:AC450)</f>
        <v/>
      </c>
    </row>
    <row r="452" ht="30" customHeight="1">
      <c r="A452" t="n">
        <v>9</v>
      </c>
      <c r="B452" s="110" t="inlineStr">
        <is>
          <t>Week notes</t>
        </is>
      </c>
      <c r="C452" s="111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112" t="n"/>
      <c r="R452" s="112" t="n"/>
      <c r="S452" s="112" t="n"/>
      <c r="T452" s="112" t="n"/>
      <c r="U452" s="112" t="n"/>
      <c r="V452" s="112" t="n"/>
      <c r="W452" s="112" t="n"/>
      <c r="X452" s="112" t="n"/>
      <c r="Y452" s="112" t="n"/>
      <c r="Z452" s="113" t="n"/>
    </row>
    <row r="453" ht="8" customHeight="1">
      <c r="A453" t="n">
        <v>9</v>
      </c>
    </row>
    <row r="454" ht="8" customHeight="1">
      <c r="A454" t="n">
        <v>9</v>
      </c>
    </row>
    <row r="455" ht="24" customHeight="1">
      <c r="A455" t="n">
        <v>10</v>
      </c>
      <c r="B455" s="73">
        <f>"WEEK 10     "&amp;TEXT(C456,"ddd d mmm")&amp;"  –  "&amp;TEXT(C456+6,"ddd d mmm yyyy")</f>
        <v/>
      </c>
      <c r="S455" s="74">
        <f>IF(TODAY()&lt;C456,"FUTURE",IF(TODAY()&gt;C456+6,"PAST","THIS WEEK"))</f>
        <v/>
      </c>
      <c r="W455" s="75">
        <f>IF(AND(Engine!$B$8=$AC$3,Engine!$B$9=$A455),"◀ ACTIVE WEEK","")</f>
        <v/>
      </c>
      <c r="AA455" s="76" t="n"/>
      <c r="AB455" s="77" t="inlineStr">
        <is>
          <t>◀ Prev</t>
        </is>
      </c>
      <c r="AC455" s="77" t="inlineStr">
        <is>
          <t>Next ▶</t>
        </is>
      </c>
    </row>
    <row r="456" ht="18" customHeight="1">
      <c r="A456" t="n">
        <v>10</v>
      </c>
      <c r="B456" s="78" t="inlineStr">
        <is>
          <t>DUTY</t>
        </is>
      </c>
      <c r="C456" s="79">
        <f>$AC$2+7*($A456-1)</f>
        <v/>
      </c>
      <c r="D456" s="80" t="n"/>
      <c r="E456" s="80" t="n"/>
      <c r="F456" s="81" t="n"/>
      <c r="G456" s="79">
        <f>C456+1</f>
        <v/>
      </c>
      <c r="H456" s="80" t="n"/>
      <c r="I456" s="80" t="n"/>
      <c r="J456" s="81" t="n"/>
      <c r="K456" s="79">
        <f>C456+2</f>
        <v/>
      </c>
      <c r="L456" s="80" t="n"/>
      <c r="M456" s="80" t="n"/>
      <c r="N456" s="81" t="n"/>
      <c r="O456" s="79">
        <f>C456+3</f>
        <v/>
      </c>
      <c r="P456" s="80" t="n"/>
      <c r="Q456" s="80" t="n"/>
      <c r="R456" s="81" t="n"/>
      <c r="S456" s="79">
        <f>C456+4</f>
        <v/>
      </c>
      <c r="T456" s="80" t="n"/>
      <c r="U456" s="80" t="n"/>
      <c r="V456" s="81" t="n"/>
      <c r="W456" s="82">
        <f>C456+5</f>
        <v/>
      </c>
      <c r="X456" s="83" t="n"/>
      <c r="Y456" s="82">
        <f>C456+6</f>
        <v/>
      </c>
      <c r="Z456" s="83" t="n"/>
      <c r="AB456" s="72" t="inlineStr">
        <is>
          <t>Gaps</t>
        </is>
      </c>
      <c r="AC456" s="72" t="inlineStr">
        <is>
          <t>Cover</t>
        </is>
      </c>
    </row>
    <row r="457" ht="14" customHeight="1">
      <c r="A457" t="n">
        <v>10</v>
      </c>
      <c r="B457" s="84" t="inlineStr">
        <is>
          <t>(from Setup)</t>
        </is>
      </c>
      <c r="C457" s="85" t="inlineStr">
        <is>
          <t>1</t>
        </is>
      </c>
      <c r="D457" s="85" t="inlineStr">
        <is>
          <t>2</t>
        </is>
      </c>
      <c r="E457" s="85" t="inlineStr">
        <is>
          <t>3</t>
        </is>
      </c>
      <c r="F457" s="85" t="inlineStr">
        <is>
          <t>Notes</t>
        </is>
      </c>
      <c r="G457" s="85" t="inlineStr">
        <is>
          <t>1</t>
        </is>
      </c>
      <c r="H457" s="85" t="inlineStr">
        <is>
          <t>2</t>
        </is>
      </c>
      <c r="I457" s="85" t="inlineStr">
        <is>
          <t>3</t>
        </is>
      </c>
      <c r="J457" s="85" t="inlineStr">
        <is>
          <t>Notes</t>
        </is>
      </c>
      <c r="K457" s="85" t="inlineStr">
        <is>
          <t>1</t>
        </is>
      </c>
      <c r="L457" s="85" t="inlineStr">
        <is>
          <t>2</t>
        </is>
      </c>
      <c r="M457" s="85" t="inlineStr">
        <is>
          <t>3</t>
        </is>
      </c>
      <c r="N457" s="85" t="inlineStr">
        <is>
          <t>Notes</t>
        </is>
      </c>
      <c r="O457" s="85" t="inlineStr">
        <is>
          <t>1</t>
        </is>
      </c>
      <c r="P457" s="85" t="inlineStr">
        <is>
          <t>2</t>
        </is>
      </c>
      <c r="Q457" s="85" t="inlineStr">
        <is>
          <t>3</t>
        </is>
      </c>
      <c r="R457" s="85" t="inlineStr">
        <is>
          <t>Notes</t>
        </is>
      </c>
      <c r="S457" s="85" t="inlineStr">
        <is>
          <t>1</t>
        </is>
      </c>
      <c r="T457" s="85" t="inlineStr">
        <is>
          <t>2</t>
        </is>
      </c>
      <c r="U457" s="85" t="inlineStr">
        <is>
          <t>3</t>
        </is>
      </c>
      <c r="V457" s="85" t="inlineStr">
        <is>
          <t>Notes</t>
        </is>
      </c>
      <c r="W457" s="85" t="inlineStr">
        <is>
          <t>Cover</t>
        </is>
      </c>
      <c r="X457" s="85" t="inlineStr">
        <is>
          <t>Notes</t>
        </is>
      </c>
      <c r="Y457" s="85" t="inlineStr">
        <is>
          <t>Cover</t>
        </is>
      </c>
      <c r="Z457" s="85" t="inlineStr">
        <is>
          <t>Notes</t>
        </is>
      </c>
      <c r="AB457" s="86" t="inlineStr">
        <is>
          <t>weekdays short</t>
        </is>
      </c>
      <c r="AC457" s="87" t="inlineStr"/>
    </row>
    <row r="458" ht="17" customHeight="1">
      <c r="A458" t="n">
        <v>10</v>
      </c>
      <c r="B458" s="24">
        <f>IF(Setup!$K$6="","",Setup!$K$6)</f>
        <v/>
      </c>
      <c r="C458" s="88" t="n"/>
      <c r="D458" s="88" t="n"/>
      <c r="E458" s="88" t="n"/>
      <c r="F458" s="89" t="n"/>
      <c r="G458" s="88" t="n"/>
      <c r="H458" s="88" t="n"/>
      <c r="I458" s="88" t="n"/>
      <c r="J458" s="89" t="n"/>
      <c r="K458" s="88" t="n"/>
      <c r="L458" s="88" t="n"/>
      <c r="M458" s="88" t="n"/>
      <c r="N458" s="89" t="n"/>
      <c r="O458" s="88" t="n"/>
      <c r="P458" s="88" t="n"/>
      <c r="Q458" s="88" t="n"/>
      <c r="R458" s="89" t="n"/>
      <c r="S458" s="88" t="n"/>
      <c r="T458" s="88" t="n"/>
      <c r="U458" s="88" t="n"/>
      <c r="V458" s="89" t="n"/>
      <c r="W458" s="88" t="n"/>
      <c r="X458" s="89" t="n"/>
      <c r="Y458" s="88" t="n"/>
      <c r="Z458" s="89" t="n"/>
      <c r="AB458" s="25">
        <f>IF($B458="","",(COUNTIF(C458:E458,"?*")&lt;N(INDEX(Setup!$L$6:$L$23,1)))+(COUNTIF(G458:I458,"?*")&lt;N(INDEX(Setup!$L$6:$L$23,1)))+(COUNTIF(K458:M458,"?*")&lt;N(INDEX(Setup!$L$6:$L$23,1)))+(COUNTIF(O458:Q458,"?*")&lt;N(INDEX(Setup!$L$6:$L$23,1)))+(COUNTIF(S458:U458,"?*")&lt;N(INDEX(Setup!$L$6:$L$23,1)))+((W458="")*(INDEX(Setup!$M$6:$M$23,1)="Y"))+((Y458="")*(INDEX(Setup!$M$6:$M$23,1)="Y")))</f>
        <v/>
      </c>
      <c r="AC458" s="90">
        <f>IF($B458="","",IF(AB458=0,"✓ covered","⚠ "&amp;AB458&amp;IF(AB458=1," gap"," gaps")))</f>
        <v/>
      </c>
    </row>
    <row r="459" ht="17" customHeight="1">
      <c r="A459" t="n">
        <v>10</v>
      </c>
      <c r="B459" s="29">
        <f>IF(Setup!$K$7="","",Setup!$K$7)</f>
        <v/>
      </c>
      <c r="C459" s="88" t="n"/>
      <c r="D459" s="88" t="n"/>
      <c r="E459" s="88" t="n"/>
      <c r="F459" s="89" t="n"/>
      <c r="G459" s="88" t="n"/>
      <c r="H459" s="88" t="n"/>
      <c r="I459" s="88" t="n"/>
      <c r="J459" s="89" t="n"/>
      <c r="K459" s="88" t="n"/>
      <c r="L459" s="88" t="n"/>
      <c r="M459" s="88" t="n"/>
      <c r="N459" s="89" t="n"/>
      <c r="O459" s="88" t="n"/>
      <c r="P459" s="88" t="n"/>
      <c r="Q459" s="88" t="n"/>
      <c r="R459" s="89" t="n"/>
      <c r="S459" s="88" t="n"/>
      <c r="T459" s="88" t="n"/>
      <c r="U459" s="88" t="n"/>
      <c r="V459" s="89" t="n"/>
      <c r="W459" s="88" t="n"/>
      <c r="X459" s="89" t="n"/>
      <c r="Y459" s="88" t="n"/>
      <c r="Z459" s="89" t="n"/>
      <c r="AB459" s="30">
        <f>IF($B459="","",(COUNTIF(C459:E459,"?*")&lt;N(INDEX(Setup!$L$6:$L$23,2)))+(COUNTIF(G459:I459,"?*")&lt;N(INDEX(Setup!$L$6:$L$23,2)))+(COUNTIF(K459:M459,"?*")&lt;N(INDEX(Setup!$L$6:$L$23,2)))+(COUNTIF(O459:Q459,"?*")&lt;N(INDEX(Setup!$L$6:$L$23,2)))+(COUNTIF(S459:U459,"?*")&lt;N(INDEX(Setup!$L$6:$L$23,2)))+((W459="")*(INDEX(Setup!$M$6:$M$23,2)="Y"))+((Y459="")*(INDEX(Setup!$M$6:$M$23,2)="Y")))</f>
        <v/>
      </c>
      <c r="AC459" s="91">
        <f>IF($B459="","",IF(AB459=0,"✓ covered","⚠ "&amp;AB459&amp;IF(AB459=1," gap"," gaps")))</f>
        <v/>
      </c>
    </row>
    <row r="460" ht="17" customHeight="1">
      <c r="A460" t="n">
        <v>10</v>
      </c>
      <c r="B460" s="24">
        <f>IF(Setup!$K$8="","",Setup!$K$8)</f>
        <v/>
      </c>
      <c r="C460" s="88" t="n"/>
      <c r="D460" s="88" t="n"/>
      <c r="E460" s="88" t="n"/>
      <c r="F460" s="89" t="n"/>
      <c r="G460" s="88" t="n"/>
      <c r="H460" s="88" t="n"/>
      <c r="I460" s="88" t="n"/>
      <c r="J460" s="89" t="n"/>
      <c r="K460" s="88" t="n"/>
      <c r="L460" s="88" t="n"/>
      <c r="M460" s="88" t="n"/>
      <c r="N460" s="89" t="n"/>
      <c r="O460" s="88" t="n"/>
      <c r="P460" s="88" t="n"/>
      <c r="Q460" s="88" t="n"/>
      <c r="R460" s="89" t="n"/>
      <c r="S460" s="88" t="n"/>
      <c r="T460" s="88" t="n"/>
      <c r="U460" s="88" t="n"/>
      <c r="V460" s="89" t="n"/>
      <c r="W460" s="88" t="n"/>
      <c r="X460" s="89" t="n"/>
      <c r="Y460" s="88" t="n"/>
      <c r="Z460" s="89" t="n"/>
      <c r="AB460" s="25">
        <f>IF($B460="","",(COUNTIF(C460:E460,"?*")&lt;N(INDEX(Setup!$L$6:$L$23,3)))+(COUNTIF(G460:I460,"?*")&lt;N(INDEX(Setup!$L$6:$L$23,3)))+(COUNTIF(K460:M460,"?*")&lt;N(INDEX(Setup!$L$6:$L$23,3)))+(COUNTIF(O460:Q460,"?*")&lt;N(INDEX(Setup!$L$6:$L$23,3)))+(COUNTIF(S460:U460,"?*")&lt;N(INDEX(Setup!$L$6:$L$23,3)))+((W460="")*(INDEX(Setup!$M$6:$M$23,3)="Y"))+((Y460="")*(INDEX(Setup!$M$6:$M$23,3)="Y")))</f>
        <v/>
      </c>
      <c r="AC460" s="90">
        <f>IF($B460="","",IF(AB460=0,"✓ covered","⚠ "&amp;AB460&amp;IF(AB460=1," gap"," gaps")))</f>
        <v/>
      </c>
    </row>
    <row r="461" ht="17" customHeight="1">
      <c r="A461" t="n">
        <v>10</v>
      </c>
      <c r="B461" s="29">
        <f>IF(Setup!$K$9="","",Setup!$K$9)</f>
        <v/>
      </c>
      <c r="C461" s="88" t="n"/>
      <c r="D461" s="88" t="n"/>
      <c r="E461" s="88" t="n"/>
      <c r="F461" s="89" t="n"/>
      <c r="G461" s="88" t="n"/>
      <c r="H461" s="88" t="n"/>
      <c r="I461" s="88" t="n"/>
      <c r="J461" s="89" t="n"/>
      <c r="K461" s="88" t="n"/>
      <c r="L461" s="88" t="n"/>
      <c r="M461" s="88" t="n"/>
      <c r="N461" s="89" t="n"/>
      <c r="O461" s="88" t="n"/>
      <c r="P461" s="88" t="n"/>
      <c r="Q461" s="88" t="n"/>
      <c r="R461" s="89" t="n"/>
      <c r="S461" s="88" t="n"/>
      <c r="T461" s="88" t="n"/>
      <c r="U461" s="88" t="n"/>
      <c r="V461" s="89" t="n"/>
      <c r="W461" s="88" t="n"/>
      <c r="X461" s="89" t="n"/>
      <c r="Y461" s="88" t="n"/>
      <c r="Z461" s="89" t="n"/>
      <c r="AB461" s="30">
        <f>IF($B461="","",(COUNTIF(C461:E461,"?*")&lt;N(INDEX(Setup!$L$6:$L$23,4)))+(COUNTIF(G461:I461,"?*")&lt;N(INDEX(Setup!$L$6:$L$23,4)))+(COUNTIF(K461:M461,"?*")&lt;N(INDEX(Setup!$L$6:$L$23,4)))+(COUNTIF(O461:Q461,"?*")&lt;N(INDEX(Setup!$L$6:$L$23,4)))+(COUNTIF(S461:U461,"?*")&lt;N(INDEX(Setup!$L$6:$L$23,4)))+((W461="")*(INDEX(Setup!$M$6:$M$23,4)="Y"))+((Y461="")*(INDEX(Setup!$M$6:$M$23,4)="Y")))</f>
        <v/>
      </c>
      <c r="AC461" s="91">
        <f>IF($B461="","",IF(AB461=0,"✓ covered","⚠ "&amp;AB461&amp;IF(AB461=1," gap"," gaps")))</f>
        <v/>
      </c>
    </row>
    <row r="462" ht="17" customHeight="1">
      <c r="A462" t="n">
        <v>10</v>
      </c>
      <c r="B462" s="24">
        <f>IF(Setup!$K$10="","",Setup!$K$10)</f>
        <v/>
      </c>
      <c r="C462" s="88" t="n"/>
      <c r="D462" s="88" t="n"/>
      <c r="E462" s="88" t="n"/>
      <c r="F462" s="89" t="n"/>
      <c r="G462" s="88" t="n"/>
      <c r="H462" s="88" t="n"/>
      <c r="I462" s="88" t="n"/>
      <c r="J462" s="89" t="n"/>
      <c r="K462" s="88" t="n"/>
      <c r="L462" s="88" t="n"/>
      <c r="M462" s="88" t="n"/>
      <c r="N462" s="89" t="n"/>
      <c r="O462" s="88" t="n"/>
      <c r="P462" s="88" t="n"/>
      <c r="Q462" s="88" t="n"/>
      <c r="R462" s="89" t="n"/>
      <c r="S462" s="88" t="n"/>
      <c r="T462" s="88" t="n"/>
      <c r="U462" s="88" t="n"/>
      <c r="V462" s="89" t="n"/>
      <c r="W462" s="88" t="n"/>
      <c r="X462" s="89" t="n"/>
      <c r="Y462" s="88" t="n"/>
      <c r="Z462" s="89" t="n"/>
      <c r="AB462" s="25">
        <f>IF($B462="","",(COUNTIF(C462:E462,"?*")&lt;N(INDEX(Setup!$L$6:$L$23,5)))+(COUNTIF(G462:I462,"?*")&lt;N(INDEX(Setup!$L$6:$L$23,5)))+(COUNTIF(K462:M462,"?*")&lt;N(INDEX(Setup!$L$6:$L$23,5)))+(COUNTIF(O462:Q462,"?*")&lt;N(INDEX(Setup!$L$6:$L$23,5)))+(COUNTIF(S462:U462,"?*")&lt;N(INDEX(Setup!$L$6:$L$23,5)))+((W462="")*(INDEX(Setup!$M$6:$M$23,5)="Y"))+((Y462="")*(INDEX(Setup!$M$6:$M$23,5)="Y")))</f>
        <v/>
      </c>
      <c r="AC462" s="90">
        <f>IF($B462="","",IF(AB462=0,"✓ covered","⚠ "&amp;AB462&amp;IF(AB462=1," gap"," gaps")))</f>
        <v/>
      </c>
    </row>
    <row r="463" ht="17" customHeight="1">
      <c r="A463" t="n">
        <v>10</v>
      </c>
      <c r="B463" s="29">
        <f>IF(Setup!$K$11="","",Setup!$K$11)</f>
        <v/>
      </c>
      <c r="C463" s="88" t="n"/>
      <c r="D463" s="88" t="n"/>
      <c r="E463" s="88" t="n"/>
      <c r="F463" s="89" t="n"/>
      <c r="G463" s="88" t="n"/>
      <c r="H463" s="88" t="n"/>
      <c r="I463" s="88" t="n"/>
      <c r="J463" s="89" t="n"/>
      <c r="K463" s="88" t="n"/>
      <c r="L463" s="88" t="n"/>
      <c r="M463" s="88" t="n"/>
      <c r="N463" s="89" t="n"/>
      <c r="O463" s="88" t="n"/>
      <c r="P463" s="88" t="n"/>
      <c r="Q463" s="88" t="n"/>
      <c r="R463" s="89" t="n"/>
      <c r="S463" s="88" t="n"/>
      <c r="T463" s="88" t="n"/>
      <c r="U463" s="88" t="n"/>
      <c r="V463" s="89" t="n"/>
      <c r="W463" s="88" t="n"/>
      <c r="X463" s="89" t="n"/>
      <c r="Y463" s="88" t="n"/>
      <c r="Z463" s="89" t="n"/>
      <c r="AB463" s="30">
        <f>IF($B463="","",(COUNTIF(C463:E463,"?*")&lt;N(INDEX(Setup!$L$6:$L$23,6)))+(COUNTIF(G463:I463,"?*")&lt;N(INDEX(Setup!$L$6:$L$23,6)))+(COUNTIF(K463:M463,"?*")&lt;N(INDEX(Setup!$L$6:$L$23,6)))+(COUNTIF(O463:Q463,"?*")&lt;N(INDEX(Setup!$L$6:$L$23,6)))+(COUNTIF(S463:U463,"?*")&lt;N(INDEX(Setup!$L$6:$L$23,6)))+((W463="")*(INDEX(Setup!$M$6:$M$23,6)="Y"))+((Y463="")*(INDEX(Setup!$M$6:$M$23,6)="Y")))</f>
        <v/>
      </c>
      <c r="AC463" s="91">
        <f>IF($B463="","",IF(AB463=0,"✓ covered","⚠ "&amp;AB463&amp;IF(AB463=1," gap"," gaps")))</f>
        <v/>
      </c>
    </row>
    <row r="464" ht="17" customHeight="1">
      <c r="A464" t="n">
        <v>10</v>
      </c>
      <c r="B464" s="24">
        <f>IF(Setup!$K$12="","",Setup!$K$12)</f>
        <v/>
      </c>
      <c r="C464" s="88" t="n"/>
      <c r="D464" s="88" t="n"/>
      <c r="E464" s="88" t="n"/>
      <c r="F464" s="89" t="n"/>
      <c r="G464" s="88" t="n"/>
      <c r="H464" s="88" t="n"/>
      <c r="I464" s="88" t="n"/>
      <c r="J464" s="89" t="n"/>
      <c r="K464" s="88" t="n"/>
      <c r="L464" s="88" t="n"/>
      <c r="M464" s="88" t="n"/>
      <c r="N464" s="89" t="n"/>
      <c r="O464" s="88" t="n"/>
      <c r="P464" s="88" t="n"/>
      <c r="Q464" s="88" t="n"/>
      <c r="R464" s="89" t="n"/>
      <c r="S464" s="88" t="n"/>
      <c r="T464" s="88" t="n"/>
      <c r="U464" s="88" t="n"/>
      <c r="V464" s="89" t="n"/>
      <c r="W464" s="88" t="n"/>
      <c r="X464" s="89" t="n"/>
      <c r="Y464" s="88" t="n"/>
      <c r="Z464" s="89" t="n"/>
      <c r="AB464" s="25">
        <f>IF($B464="","",(COUNTIF(C464:E464,"?*")&lt;N(INDEX(Setup!$L$6:$L$23,7)))+(COUNTIF(G464:I464,"?*")&lt;N(INDEX(Setup!$L$6:$L$23,7)))+(COUNTIF(K464:M464,"?*")&lt;N(INDEX(Setup!$L$6:$L$23,7)))+(COUNTIF(O464:Q464,"?*")&lt;N(INDEX(Setup!$L$6:$L$23,7)))+(COUNTIF(S464:U464,"?*")&lt;N(INDEX(Setup!$L$6:$L$23,7)))+((W464="")*(INDEX(Setup!$M$6:$M$23,7)="Y"))+((Y464="")*(INDEX(Setup!$M$6:$M$23,7)="Y")))</f>
        <v/>
      </c>
      <c r="AC464" s="90">
        <f>IF($B464="","",IF(AB464=0,"✓ covered","⚠ "&amp;AB464&amp;IF(AB464=1," gap"," gaps")))</f>
        <v/>
      </c>
    </row>
    <row r="465" ht="17" customHeight="1">
      <c r="A465" t="n">
        <v>10</v>
      </c>
      <c r="B465" s="29">
        <f>IF(Setup!$K$13="","",Setup!$K$13)</f>
        <v/>
      </c>
      <c r="C465" s="88" t="n"/>
      <c r="D465" s="88" t="n"/>
      <c r="E465" s="88" t="n"/>
      <c r="F465" s="89" t="n"/>
      <c r="G465" s="88" t="n"/>
      <c r="H465" s="88" t="n"/>
      <c r="I465" s="88" t="n"/>
      <c r="J465" s="89" t="n"/>
      <c r="K465" s="88" t="n"/>
      <c r="L465" s="88" t="n"/>
      <c r="M465" s="88" t="n"/>
      <c r="N465" s="89" t="n"/>
      <c r="O465" s="88" t="n"/>
      <c r="P465" s="88" t="n"/>
      <c r="Q465" s="88" t="n"/>
      <c r="R465" s="89" t="n"/>
      <c r="S465" s="88" t="n"/>
      <c r="T465" s="88" t="n"/>
      <c r="U465" s="88" t="n"/>
      <c r="V465" s="89" t="n"/>
      <c r="W465" s="88" t="n"/>
      <c r="X465" s="89" t="n"/>
      <c r="Y465" s="88" t="n"/>
      <c r="Z465" s="89" t="n"/>
      <c r="AB465" s="30">
        <f>IF($B465="","",(COUNTIF(C465:E465,"?*")&lt;N(INDEX(Setup!$L$6:$L$23,8)))+(COUNTIF(G465:I465,"?*")&lt;N(INDEX(Setup!$L$6:$L$23,8)))+(COUNTIF(K465:M465,"?*")&lt;N(INDEX(Setup!$L$6:$L$23,8)))+(COUNTIF(O465:Q465,"?*")&lt;N(INDEX(Setup!$L$6:$L$23,8)))+(COUNTIF(S465:U465,"?*")&lt;N(INDEX(Setup!$L$6:$L$23,8)))+((W465="")*(INDEX(Setup!$M$6:$M$23,8)="Y"))+((Y465="")*(INDEX(Setup!$M$6:$M$23,8)="Y")))</f>
        <v/>
      </c>
      <c r="AC465" s="91">
        <f>IF($B465="","",IF(AB465=0,"✓ covered","⚠ "&amp;AB465&amp;IF(AB465=1," gap"," gaps")))</f>
        <v/>
      </c>
    </row>
    <row r="466" ht="17" customHeight="1">
      <c r="A466" t="n">
        <v>10</v>
      </c>
      <c r="B466" s="24">
        <f>IF(Setup!$K$14="","",Setup!$K$14)</f>
        <v/>
      </c>
      <c r="C466" s="88" t="n"/>
      <c r="D466" s="88" t="n"/>
      <c r="E466" s="88" t="n"/>
      <c r="F466" s="89" t="n"/>
      <c r="G466" s="88" t="n"/>
      <c r="H466" s="88" t="n"/>
      <c r="I466" s="88" t="n"/>
      <c r="J466" s="89" t="n"/>
      <c r="K466" s="88" t="n"/>
      <c r="L466" s="88" t="n"/>
      <c r="M466" s="88" t="n"/>
      <c r="N466" s="89" t="n"/>
      <c r="O466" s="88" t="n"/>
      <c r="P466" s="88" t="n"/>
      <c r="Q466" s="88" t="n"/>
      <c r="R466" s="89" t="n"/>
      <c r="S466" s="88" t="n"/>
      <c r="T466" s="88" t="n"/>
      <c r="U466" s="88" t="n"/>
      <c r="V466" s="89" t="n"/>
      <c r="W466" s="88" t="n"/>
      <c r="X466" s="89" t="n"/>
      <c r="Y466" s="88" t="n"/>
      <c r="Z466" s="89" t="n"/>
      <c r="AB466" s="25">
        <f>IF($B466="","",(COUNTIF(C466:E466,"?*")&lt;N(INDEX(Setup!$L$6:$L$23,9)))+(COUNTIF(G466:I466,"?*")&lt;N(INDEX(Setup!$L$6:$L$23,9)))+(COUNTIF(K466:M466,"?*")&lt;N(INDEX(Setup!$L$6:$L$23,9)))+(COUNTIF(O466:Q466,"?*")&lt;N(INDEX(Setup!$L$6:$L$23,9)))+(COUNTIF(S466:U466,"?*")&lt;N(INDEX(Setup!$L$6:$L$23,9)))+((W466="")*(INDEX(Setup!$M$6:$M$23,9)="Y"))+((Y466="")*(INDEX(Setup!$M$6:$M$23,9)="Y")))</f>
        <v/>
      </c>
      <c r="AC466" s="90">
        <f>IF($B466="","",IF(AB466=0,"✓ covered","⚠ "&amp;AB466&amp;IF(AB466=1," gap"," gaps")))</f>
        <v/>
      </c>
    </row>
    <row r="467" ht="17" customHeight="1">
      <c r="A467" t="n">
        <v>10</v>
      </c>
      <c r="B467" s="29">
        <f>IF(Setup!$K$15="","",Setup!$K$15)</f>
        <v/>
      </c>
      <c r="C467" s="88" t="n"/>
      <c r="D467" s="88" t="n"/>
      <c r="E467" s="88" t="n"/>
      <c r="F467" s="89" t="n"/>
      <c r="G467" s="88" t="n"/>
      <c r="H467" s="88" t="n"/>
      <c r="I467" s="88" t="n"/>
      <c r="J467" s="89" t="n"/>
      <c r="K467" s="88" t="n"/>
      <c r="L467" s="88" t="n"/>
      <c r="M467" s="88" t="n"/>
      <c r="N467" s="89" t="n"/>
      <c r="O467" s="88" t="n"/>
      <c r="P467" s="88" t="n"/>
      <c r="Q467" s="88" t="n"/>
      <c r="R467" s="89" t="n"/>
      <c r="S467" s="88" t="n"/>
      <c r="T467" s="88" t="n"/>
      <c r="U467" s="88" t="n"/>
      <c r="V467" s="89" t="n"/>
      <c r="W467" s="88" t="n"/>
      <c r="X467" s="89" t="n"/>
      <c r="Y467" s="88" t="n"/>
      <c r="Z467" s="89" t="n"/>
      <c r="AB467" s="30">
        <f>IF($B467="","",(COUNTIF(C467:E467,"?*")&lt;N(INDEX(Setup!$L$6:$L$23,10)))+(COUNTIF(G467:I467,"?*")&lt;N(INDEX(Setup!$L$6:$L$23,10)))+(COUNTIF(K467:M467,"?*")&lt;N(INDEX(Setup!$L$6:$L$23,10)))+(COUNTIF(O467:Q467,"?*")&lt;N(INDEX(Setup!$L$6:$L$23,10)))+(COUNTIF(S467:U467,"?*")&lt;N(INDEX(Setup!$L$6:$L$23,10)))+((W467="")*(INDEX(Setup!$M$6:$M$23,10)="Y"))+((Y467="")*(INDEX(Setup!$M$6:$M$23,10)="Y")))</f>
        <v/>
      </c>
      <c r="AC467" s="91">
        <f>IF($B467="","",IF(AB467=0,"✓ covered","⚠ "&amp;AB467&amp;IF(AB467=1," gap"," gaps")))</f>
        <v/>
      </c>
    </row>
    <row r="468" ht="17" customHeight="1">
      <c r="A468" t="n">
        <v>10</v>
      </c>
      <c r="B468" s="24">
        <f>IF(Setup!$K$16="","",Setup!$K$16)</f>
        <v/>
      </c>
      <c r="C468" s="88" t="n"/>
      <c r="D468" s="88" t="n"/>
      <c r="E468" s="88" t="n"/>
      <c r="F468" s="89" t="n"/>
      <c r="G468" s="88" t="n"/>
      <c r="H468" s="88" t="n"/>
      <c r="I468" s="88" t="n"/>
      <c r="J468" s="89" t="n"/>
      <c r="K468" s="88" t="n"/>
      <c r="L468" s="88" t="n"/>
      <c r="M468" s="88" t="n"/>
      <c r="N468" s="89" t="n"/>
      <c r="O468" s="88" t="n"/>
      <c r="P468" s="88" t="n"/>
      <c r="Q468" s="88" t="n"/>
      <c r="R468" s="89" t="n"/>
      <c r="S468" s="88" t="n"/>
      <c r="T468" s="88" t="n"/>
      <c r="U468" s="88" t="n"/>
      <c r="V468" s="89" t="n"/>
      <c r="W468" s="88" t="n"/>
      <c r="X468" s="89" t="n"/>
      <c r="Y468" s="88" t="n"/>
      <c r="Z468" s="89" t="n"/>
      <c r="AB468" s="25">
        <f>IF($B468="","",(COUNTIF(C468:E468,"?*")&lt;N(INDEX(Setup!$L$6:$L$23,11)))+(COUNTIF(G468:I468,"?*")&lt;N(INDEX(Setup!$L$6:$L$23,11)))+(COUNTIF(K468:M468,"?*")&lt;N(INDEX(Setup!$L$6:$L$23,11)))+(COUNTIF(O468:Q468,"?*")&lt;N(INDEX(Setup!$L$6:$L$23,11)))+(COUNTIF(S468:U468,"?*")&lt;N(INDEX(Setup!$L$6:$L$23,11)))+((W468="")*(INDEX(Setup!$M$6:$M$23,11)="Y"))+((Y468="")*(INDEX(Setup!$M$6:$M$23,11)="Y")))</f>
        <v/>
      </c>
      <c r="AC468" s="90">
        <f>IF($B468="","",IF(AB468=0,"✓ covered","⚠ "&amp;AB468&amp;IF(AB468=1," gap"," gaps")))</f>
        <v/>
      </c>
    </row>
    <row r="469" ht="17" customHeight="1">
      <c r="A469" t="n">
        <v>10</v>
      </c>
      <c r="B469" s="29">
        <f>IF(Setup!$K$17="","",Setup!$K$17)</f>
        <v/>
      </c>
      <c r="C469" s="88" t="n"/>
      <c r="D469" s="88" t="n"/>
      <c r="E469" s="88" t="n"/>
      <c r="F469" s="89" t="n"/>
      <c r="G469" s="88" t="n"/>
      <c r="H469" s="88" t="n"/>
      <c r="I469" s="88" t="n"/>
      <c r="J469" s="89" t="n"/>
      <c r="K469" s="88" t="n"/>
      <c r="L469" s="88" t="n"/>
      <c r="M469" s="88" t="n"/>
      <c r="N469" s="89" t="n"/>
      <c r="O469" s="88" t="n"/>
      <c r="P469" s="88" t="n"/>
      <c r="Q469" s="88" t="n"/>
      <c r="R469" s="89" t="n"/>
      <c r="S469" s="88" t="n"/>
      <c r="T469" s="88" t="n"/>
      <c r="U469" s="88" t="n"/>
      <c r="V469" s="89" t="n"/>
      <c r="W469" s="88" t="n"/>
      <c r="X469" s="89" t="n"/>
      <c r="Y469" s="88" t="n"/>
      <c r="Z469" s="89" t="n"/>
      <c r="AB469" s="30">
        <f>IF($B469="","",(COUNTIF(C469:E469,"?*")&lt;N(INDEX(Setup!$L$6:$L$23,12)))+(COUNTIF(G469:I469,"?*")&lt;N(INDEX(Setup!$L$6:$L$23,12)))+(COUNTIF(K469:M469,"?*")&lt;N(INDEX(Setup!$L$6:$L$23,12)))+(COUNTIF(O469:Q469,"?*")&lt;N(INDEX(Setup!$L$6:$L$23,12)))+(COUNTIF(S469:U469,"?*")&lt;N(INDEX(Setup!$L$6:$L$23,12)))+((W469="")*(INDEX(Setup!$M$6:$M$23,12)="Y"))+((Y469="")*(INDEX(Setup!$M$6:$M$23,12)="Y")))</f>
        <v/>
      </c>
      <c r="AC469" s="91">
        <f>IF($B469="","",IF(AB469=0,"✓ covered","⚠ "&amp;AB469&amp;IF(AB469=1," gap"," gaps")))</f>
        <v/>
      </c>
    </row>
    <row r="470" ht="17" customHeight="1">
      <c r="A470" t="n">
        <v>10</v>
      </c>
      <c r="B470" s="24">
        <f>IF(Setup!$K$18="","",Setup!$K$18)</f>
        <v/>
      </c>
      <c r="C470" s="88" t="n"/>
      <c r="D470" s="88" t="n"/>
      <c r="E470" s="88" t="n"/>
      <c r="F470" s="89" t="n"/>
      <c r="G470" s="88" t="n"/>
      <c r="H470" s="88" t="n"/>
      <c r="I470" s="88" t="n"/>
      <c r="J470" s="89" t="n"/>
      <c r="K470" s="88" t="n"/>
      <c r="L470" s="88" t="n"/>
      <c r="M470" s="88" t="n"/>
      <c r="N470" s="89" t="n"/>
      <c r="O470" s="88" t="n"/>
      <c r="P470" s="88" t="n"/>
      <c r="Q470" s="88" t="n"/>
      <c r="R470" s="89" t="n"/>
      <c r="S470" s="88" t="n"/>
      <c r="T470" s="88" t="n"/>
      <c r="U470" s="88" t="n"/>
      <c r="V470" s="89" t="n"/>
      <c r="W470" s="88" t="n"/>
      <c r="X470" s="89" t="n"/>
      <c r="Y470" s="88" t="n"/>
      <c r="Z470" s="89" t="n"/>
      <c r="AB470" s="25">
        <f>IF($B470="","",(COUNTIF(C470:E470,"?*")&lt;N(INDEX(Setup!$L$6:$L$23,13)))+(COUNTIF(G470:I470,"?*")&lt;N(INDEX(Setup!$L$6:$L$23,13)))+(COUNTIF(K470:M470,"?*")&lt;N(INDEX(Setup!$L$6:$L$23,13)))+(COUNTIF(O470:Q470,"?*")&lt;N(INDEX(Setup!$L$6:$L$23,13)))+(COUNTIF(S470:U470,"?*")&lt;N(INDEX(Setup!$L$6:$L$23,13)))+((W470="")*(INDEX(Setup!$M$6:$M$23,13)="Y"))+((Y470="")*(INDEX(Setup!$M$6:$M$23,13)="Y")))</f>
        <v/>
      </c>
      <c r="AC470" s="90">
        <f>IF($B470="","",IF(AB470=0,"✓ covered","⚠ "&amp;AB470&amp;IF(AB470=1," gap"," gaps")))</f>
        <v/>
      </c>
    </row>
    <row r="471" ht="17" customHeight="1">
      <c r="A471" t="n">
        <v>10</v>
      </c>
      <c r="B471" s="29">
        <f>IF(Setup!$K$19="","",Setup!$K$19)</f>
        <v/>
      </c>
      <c r="C471" s="88" t="n"/>
      <c r="D471" s="88" t="n"/>
      <c r="E471" s="88" t="n"/>
      <c r="F471" s="89" t="n"/>
      <c r="G471" s="88" t="n"/>
      <c r="H471" s="88" t="n"/>
      <c r="I471" s="88" t="n"/>
      <c r="J471" s="89" t="n"/>
      <c r="K471" s="88" t="n"/>
      <c r="L471" s="88" t="n"/>
      <c r="M471" s="88" t="n"/>
      <c r="N471" s="89" t="n"/>
      <c r="O471" s="88" t="n"/>
      <c r="P471" s="88" t="n"/>
      <c r="Q471" s="88" t="n"/>
      <c r="R471" s="89" t="n"/>
      <c r="S471" s="88" t="n"/>
      <c r="T471" s="88" t="n"/>
      <c r="U471" s="88" t="n"/>
      <c r="V471" s="89" t="n"/>
      <c r="W471" s="88" t="n"/>
      <c r="X471" s="89" t="n"/>
      <c r="Y471" s="88" t="n"/>
      <c r="Z471" s="89" t="n"/>
      <c r="AB471" s="30">
        <f>IF($B471="","",(COUNTIF(C471:E471,"?*")&lt;N(INDEX(Setup!$L$6:$L$23,14)))+(COUNTIF(G471:I471,"?*")&lt;N(INDEX(Setup!$L$6:$L$23,14)))+(COUNTIF(K471:M471,"?*")&lt;N(INDEX(Setup!$L$6:$L$23,14)))+(COUNTIF(O471:Q471,"?*")&lt;N(INDEX(Setup!$L$6:$L$23,14)))+(COUNTIF(S471:U471,"?*")&lt;N(INDEX(Setup!$L$6:$L$23,14)))+((W471="")*(INDEX(Setup!$M$6:$M$23,14)="Y"))+((Y471="")*(INDEX(Setup!$M$6:$M$23,14)="Y")))</f>
        <v/>
      </c>
      <c r="AC471" s="91">
        <f>IF($B471="","",IF(AB471=0,"✓ covered","⚠ "&amp;AB471&amp;IF(AB471=1," gap"," gaps")))</f>
        <v/>
      </c>
    </row>
    <row r="472" ht="17" customHeight="1">
      <c r="A472" t="n">
        <v>10</v>
      </c>
      <c r="B472" s="24">
        <f>IF(Setup!$K$20="","",Setup!$K$20)</f>
        <v/>
      </c>
      <c r="C472" s="88" t="n"/>
      <c r="D472" s="88" t="n"/>
      <c r="E472" s="88" t="n"/>
      <c r="F472" s="89" t="n"/>
      <c r="G472" s="88" t="n"/>
      <c r="H472" s="88" t="n"/>
      <c r="I472" s="88" t="n"/>
      <c r="J472" s="89" t="n"/>
      <c r="K472" s="88" t="n"/>
      <c r="L472" s="88" t="n"/>
      <c r="M472" s="88" t="n"/>
      <c r="N472" s="89" t="n"/>
      <c r="O472" s="88" t="n"/>
      <c r="P472" s="88" t="n"/>
      <c r="Q472" s="88" t="n"/>
      <c r="R472" s="89" t="n"/>
      <c r="S472" s="88" t="n"/>
      <c r="T472" s="88" t="n"/>
      <c r="U472" s="88" t="n"/>
      <c r="V472" s="89" t="n"/>
      <c r="W472" s="88" t="n"/>
      <c r="X472" s="89" t="n"/>
      <c r="Y472" s="88" t="n"/>
      <c r="Z472" s="89" t="n"/>
      <c r="AB472" s="25">
        <f>IF($B472="","",(COUNTIF(C472:E472,"?*")&lt;N(INDEX(Setup!$L$6:$L$23,15)))+(COUNTIF(G472:I472,"?*")&lt;N(INDEX(Setup!$L$6:$L$23,15)))+(COUNTIF(K472:M472,"?*")&lt;N(INDEX(Setup!$L$6:$L$23,15)))+(COUNTIF(O472:Q472,"?*")&lt;N(INDEX(Setup!$L$6:$L$23,15)))+(COUNTIF(S472:U472,"?*")&lt;N(INDEX(Setup!$L$6:$L$23,15)))+((W472="")*(INDEX(Setup!$M$6:$M$23,15)="Y"))+((Y472="")*(INDEX(Setup!$M$6:$M$23,15)="Y")))</f>
        <v/>
      </c>
      <c r="AC472" s="90">
        <f>IF($B472="","",IF(AB472=0,"✓ covered","⚠ "&amp;AB472&amp;IF(AB472=1," gap"," gaps")))</f>
        <v/>
      </c>
    </row>
    <row r="473" ht="17" customHeight="1">
      <c r="A473" t="n">
        <v>10</v>
      </c>
      <c r="B473" s="29">
        <f>IF(Setup!$K$21="","",Setup!$K$21)</f>
        <v/>
      </c>
      <c r="C473" s="88" t="n"/>
      <c r="D473" s="88" t="n"/>
      <c r="E473" s="88" t="n"/>
      <c r="F473" s="89" t="n"/>
      <c r="G473" s="88" t="n"/>
      <c r="H473" s="88" t="n"/>
      <c r="I473" s="88" t="n"/>
      <c r="J473" s="89" t="n"/>
      <c r="K473" s="88" t="n"/>
      <c r="L473" s="88" t="n"/>
      <c r="M473" s="88" t="n"/>
      <c r="N473" s="89" t="n"/>
      <c r="O473" s="88" t="n"/>
      <c r="P473" s="88" t="n"/>
      <c r="Q473" s="88" t="n"/>
      <c r="R473" s="89" t="n"/>
      <c r="S473" s="88" t="n"/>
      <c r="T473" s="88" t="n"/>
      <c r="U473" s="88" t="n"/>
      <c r="V473" s="89" t="n"/>
      <c r="W473" s="88" t="n"/>
      <c r="X473" s="89" t="n"/>
      <c r="Y473" s="88" t="n"/>
      <c r="Z473" s="89" t="n"/>
      <c r="AB473" s="30">
        <f>IF($B473="","",(COUNTIF(C473:E473,"?*")&lt;N(INDEX(Setup!$L$6:$L$23,16)))+(COUNTIF(G473:I473,"?*")&lt;N(INDEX(Setup!$L$6:$L$23,16)))+(COUNTIF(K473:M473,"?*")&lt;N(INDEX(Setup!$L$6:$L$23,16)))+(COUNTIF(O473:Q473,"?*")&lt;N(INDEX(Setup!$L$6:$L$23,16)))+(COUNTIF(S473:U473,"?*")&lt;N(INDEX(Setup!$L$6:$L$23,16)))+((W473="")*(INDEX(Setup!$M$6:$M$23,16)="Y"))+((Y473="")*(INDEX(Setup!$M$6:$M$23,16)="Y")))</f>
        <v/>
      </c>
      <c r="AC473" s="91">
        <f>IF($B473="","",IF(AB473=0,"✓ covered","⚠ "&amp;AB473&amp;IF(AB473=1," gap"," gaps")))</f>
        <v/>
      </c>
    </row>
    <row r="474" ht="17" customHeight="1">
      <c r="A474" t="n">
        <v>10</v>
      </c>
      <c r="B474" s="24">
        <f>IF(Setup!$K$22="","",Setup!$K$22)</f>
        <v/>
      </c>
      <c r="C474" s="88" t="n"/>
      <c r="D474" s="88" t="n"/>
      <c r="E474" s="88" t="n"/>
      <c r="F474" s="89" t="n"/>
      <c r="G474" s="88" t="n"/>
      <c r="H474" s="88" t="n"/>
      <c r="I474" s="88" t="n"/>
      <c r="J474" s="89" t="n"/>
      <c r="K474" s="88" t="n"/>
      <c r="L474" s="88" t="n"/>
      <c r="M474" s="88" t="n"/>
      <c r="N474" s="89" t="n"/>
      <c r="O474" s="88" t="n"/>
      <c r="P474" s="88" t="n"/>
      <c r="Q474" s="88" t="n"/>
      <c r="R474" s="89" t="n"/>
      <c r="S474" s="88" t="n"/>
      <c r="T474" s="88" t="n"/>
      <c r="U474" s="88" t="n"/>
      <c r="V474" s="89" t="n"/>
      <c r="W474" s="88" t="n"/>
      <c r="X474" s="89" t="n"/>
      <c r="Y474" s="88" t="n"/>
      <c r="Z474" s="89" t="n"/>
      <c r="AB474" s="25">
        <f>IF($B474="","",(COUNTIF(C474:E474,"?*")&lt;N(INDEX(Setup!$L$6:$L$23,17)))+(COUNTIF(G474:I474,"?*")&lt;N(INDEX(Setup!$L$6:$L$23,17)))+(COUNTIF(K474:M474,"?*")&lt;N(INDEX(Setup!$L$6:$L$23,17)))+(COUNTIF(O474:Q474,"?*")&lt;N(INDEX(Setup!$L$6:$L$23,17)))+(COUNTIF(S474:U474,"?*")&lt;N(INDEX(Setup!$L$6:$L$23,17)))+((W474="")*(INDEX(Setup!$M$6:$M$23,17)="Y"))+((Y474="")*(INDEX(Setup!$M$6:$M$23,17)="Y")))</f>
        <v/>
      </c>
      <c r="AC474" s="90">
        <f>IF($B474="","",IF(AB474=0,"✓ covered","⚠ "&amp;AB474&amp;IF(AB474=1," gap"," gaps")))</f>
        <v/>
      </c>
    </row>
    <row r="475" ht="17" customHeight="1">
      <c r="A475" t="n">
        <v>10</v>
      </c>
      <c r="B475" s="29">
        <f>IF(Setup!$K$23="","",Setup!$K$23)</f>
        <v/>
      </c>
      <c r="C475" s="88" t="n"/>
      <c r="D475" s="88" t="n"/>
      <c r="E475" s="88" t="n"/>
      <c r="F475" s="89" t="n"/>
      <c r="G475" s="88" t="n"/>
      <c r="H475" s="88" t="n"/>
      <c r="I475" s="88" t="n"/>
      <c r="J475" s="89" t="n"/>
      <c r="K475" s="88" t="n"/>
      <c r="L475" s="88" t="n"/>
      <c r="M475" s="88" t="n"/>
      <c r="N475" s="89" t="n"/>
      <c r="O475" s="88" t="n"/>
      <c r="P475" s="88" t="n"/>
      <c r="Q475" s="88" t="n"/>
      <c r="R475" s="89" t="n"/>
      <c r="S475" s="88" t="n"/>
      <c r="T475" s="88" t="n"/>
      <c r="U475" s="88" t="n"/>
      <c r="V475" s="89" t="n"/>
      <c r="W475" s="88" t="n"/>
      <c r="X475" s="89" t="n"/>
      <c r="Y475" s="88" t="n"/>
      <c r="Z475" s="89" t="n"/>
      <c r="AB475" s="30">
        <f>IF($B475="","",(COUNTIF(C475:E475,"?*")&lt;N(INDEX(Setup!$L$6:$L$23,18)))+(COUNTIF(G475:I475,"?*")&lt;N(INDEX(Setup!$L$6:$L$23,18)))+(COUNTIF(K475:M475,"?*")&lt;N(INDEX(Setup!$L$6:$L$23,18)))+(COUNTIF(O475:Q475,"?*")&lt;N(INDEX(Setup!$L$6:$L$23,18)))+(COUNTIF(S475:U475,"?*")&lt;N(INDEX(Setup!$L$6:$L$23,18)))+((W475="")*(INDEX(Setup!$M$6:$M$23,18)="Y"))+((Y475="")*(INDEX(Setup!$M$6:$M$23,18)="Y")))</f>
        <v/>
      </c>
      <c r="AC475" s="91">
        <f>IF($B475="","",IF(AB475=0,"✓ covered","⚠ "&amp;AB475&amp;IF(AB475=1," gap"," gaps")))</f>
        <v/>
      </c>
    </row>
    <row r="476" ht="18" customHeight="1">
      <c r="A476" t="n">
        <v>10</v>
      </c>
      <c r="B476" s="78" t="inlineStr">
        <is>
          <t>TEAM AVAILABILITY</t>
        </is>
      </c>
      <c r="C476" s="92" t="inlineStr">
        <is>
          <t>Mon</t>
        </is>
      </c>
      <c r="D476" s="93" t="n"/>
      <c r="E476" s="93" t="n"/>
      <c r="F476" s="94" t="n"/>
      <c r="G476" s="92" t="inlineStr">
        <is>
          <t>Tue</t>
        </is>
      </c>
      <c r="H476" s="93" t="n"/>
      <c r="I476" s="93" t="n"/>
      <c r="J476" s="94" t="n"/>
      <c r="K476" s="92" t="inlineStr">
        <is>
          <t>Wed</t>
        </is>
      </c>
      <c r="L476" s="93" t="n"/>
      <c r="M476" s="93" t="n"/>
      <c r="N476" s="94" t="n"/>
      <c r="O476" s="92" t="inlineStr">
        <is>
          <t>Thu</t>
        </is>
      </c>
      <c r="P476" s="93" t="n"/>
      <c r="Q476" s="93" t="n"/>
      <c r="R476" s="94" t="n"/>
      <c r="S476" s="92" t="inlineStr">
        <is>
          <t>Fri</t>
        </is>
      </c>
      <c r="T476" s="93" t="n"/>
      <c r="U476" s="93" t="n"/>
      <c r="V476" s="94" t="n"/>
      <c r="W476" s="95" t="inlineStr">
        <is>
          <t>Sat</t>
        </is>
      </c>
      <c r="X476" s="96" t="n"/>
      <c r="Y476" s="95" t="inlineStr">
        <is>
          <t>Sun</t>
        </is>
      </c>
      <c r="Z476" s="96" t="n"/>
      <c r="AB476" s="97" t="inlineStr">
        <is>
          <t>Days rostered</t>
        </is>
      </c>
      <c r="AC476" s="97" t="inlineStr">
        <is>
          <t>Conflicts</t>
        </is>
      </c>
    </row>
    <row r="477" ht="15" customHeight="1">
      <c r="A477" t="n">
        <v>10</v>
      </c>
      <c r="B477" s="35">
        <f>IF(Setup!$B$6="","",Setup!$B$6)</f>
        <v/>
      </c>
      <c r="C477" s="98" t="n"/>
      <c r="D477" s="99" t="n"/>
      <c r="E477" s="99" t="n"/>
      <c r="F477" s="100" t="n"/>
      <c r="G477" s="98" t="n"/>
      <c r="H477" s="99" t="n"/>
      <c r="I477" s="99" t="n"/>
      <c r="J477" s="100" t="n"/>
      <c r="K477" s="98" t="n"/>
      <c r="L477" s="99" t="n"/>
      <c r="M477" s="99" t="n"/>
      <c r="N477" s="100" t="n"/>
      <c r="O477" s="98" t="n"/>
      <c r="P477" s="99" t="n"/>
      <c r="Q477" s="99" t="n"/>
      <c r="R477" s="100" t="n"/>
      <c r="S477" s="98" t="n"/>
      <c r="T477" s="99" t="n"/>
      <c r="U477" s="99" t="n"/>
      <c r="V477" s="100" t="n"/>
      <c r="W477" s="98" t="n"/>
      <c r="X477" s="100" t="n"/>
      <c r="Y477" s="98" t="n"/>
      <c r="Z477" s="100" t="n"/>
      <c r="AB477" s="101">
        <f>IF($B477="","",(COUNTIF(C458:E475,$B477)+COUNTIF(C458:E475,$B477&amp;" ~*")&gt;0)+(COUNTIF(G458:I475,$B477)+COUNTIF(G458:I475,$B477&amp;" ~*")&gt;0)+(COUNTIF(K458:M475,$B477)+COUNTIF(K458:M475,$B477&amp;" ~*")&gt;0)+(COUNTIF(O458:Q475,$B477)+COUNTIF(O458:Q475,$B477&amp;" ~*")&gt;0)+(COUNTIF(S458:U475,$B477)+COUNTIF(S458:U475,$B477&amp;" ~*")&gt;0)+(COUNTIF(W458:W475,$B477)+COUNTIF(W458:W475,$B477&amp;" ~*")&gt;0)+(COUNTIF(Y458:Y475,$B477)+COUNTIF(Y458:Y475,$B477&amp;" ~*")&gt;0))</f>
        <v/>
      </c>
      <c r="AC477" s="36">
        <f>IF($B477="","",(IFERROR(INDEX(Setup!$G$33:$G$40,MATCH(C477,Setup!$B$33:$B$40,0)),0)=1)*(COUNTIF(C458:E475,$B477)+COUNTIF(C458:E475,$B477&amp;" ~*")&gt;0)+(IFERROR(INDEX(Setup!$G$33:$G$40,MATCH(G477,Setup!$B$33:$B$40,0)),0)=1)*(COUNTIF(G458:I475,$B477)+COUNTIF(G458:I475,$B477&amp;" ~*")&gt;0)+(IFERROR(INDEX(Setup!$G$33:$G$40,MATCH(K477,Setup!$B$33:$B$40,0)),0)=1)*(COUNTIF(K458:M475,$B477)+COUNTIF(K458:M475,$B477&amp;" ~*")&gt;0)+(IFERROR(INDEX(Setup!$G$33:$G$40,MATCH(O477,Setup!$B$33:$B$40,0)),0)=1)*(COUNTIF(O458:Q475,$B477)+COUNTIF(O458:Q475,$B477&amp;" ~*")&gt;0)+(IFERROR(INDEX(Setup!$G$33:$G$40,MATCH(S477,Setup!$B$33:$B$40,0)),0)=1)*(COUNTIF(S458:U475,$B477)+COUNTIF(S458:U475,$B477&amp;" ~*")&gt;0)+(IFERROR(INDEX(Setup!$G$33:$G$40,MATCH(W477,Setup!$B$33:$B$40,0)),0)=1)*(COUNTIF(W458:W475,$B477)+COUNTIF(W458:W475,$B477&amp;" ~*")&gt;0)+(IFERROR(INDEX(Setup!$G$33:$G$40,MATCH(Y477,Setup!$B$33:$B$40,0)),0)=1)*(COUNTIF(Y458:Y475,$B477)+COUNTIF(Y458:Y475,$B477&amp;" ~*")&gt;0))</f>
        <v/>
      </c>
    </row>
    <row r="478" ht="15" customHeight="1">
      <c r="A478" t="n">
        <v>10</v>
      </c>
      <c r="B478" s="37">
        <f>IF(Setup!$B$7="","",Setup!$B$7)</f>
        <v/>
      </c>
      <c r="C478" s="102" t="n"/>
      <c r="D478" s="103" t="n"/>
      <c r="E478" s="103" t="n"/>
      <c r="F478" s="104" t="n"/>
      <c r="G478" s="102" t="n"/>
      <c r="H478" s="103" t="n"/>
      <c r="I478" s="103" t="n"/>
      <c r="J478" s="104" t="n"/>
      <c r="K478" s="102" t="n"/>
      <c r="L478" s="103" t="n"/>
      <c r="M478" s="103" t="n"/>
      <c r="N478" s="104" t="n"/>
      <c r="O478" s="102" t="n"/>
      <c r="P478" s="103" t="n"/>
      <c r="Q478" s="103" t="n"/>
      <c r="R478" s="104" t="n"/>
      <c r="S478" s="102" t="n"/>
      <c r="T478" s="103" t="n"/>
      <c r="U478" s="103" t="n"/>
      <c r="V478" s="104" t="n"/>
      <c r="W478" s="102" t="n"/>
      <c r="X478" s="104" t="n"/>
      <c r="Y478" s="102" t="n"/>
      <c r="Z478" s="104" t="n"/>
      <c r="AB478" s="105">
        <f>IF($B478="","",(COUNTIF(C458:E475,$B478)+COUNTIF(C458:E475,$B478&amp;" ~*")&gt;0)+(COUNTIF(G458:I475,$B478)+COUNTIF(G458:I475,$B478&amp;" ~*")&gt;0)+(COUNTIF(K458:M475,$B478)+COUNTIF(K458:M475,$B478&amp;" ~*")&gt;0)+(COUNTIF(O458:Q475,$B478)+COUNTIF(O458:Q475,$B478&amp;" ~*")&gt;0)+(COUNTIF(S458:U475,$B478)+COUNTIF(S458:U475,$B478&amp;" ~*")&gt;0)+(COUNTIF(W458:W475,$B478)+COUNTIF(W458:W475,$B478&amp;" ~*")&gt;0)+(COUNTIF(Y458:Y475,$B478)+COUNTIF(Y458:Y475,$B478&amp;" ~*")&gt;0))</f>
        <v/>
      </c>
      <c r="AC478" s="38">
        <f>IF($B478="","",(IFERROR(INDEX(Setup!$G$33:$G$40,MATCH(C478,Setup!$B$33:$B$40,0)),0)=1)*(COUNTIF(C458:E475,$B478)+COUNTIF(C458:E475,$B478&amp;" ~*")&gt;0)+(IFERROR(INDEX(Setup!$G$33:$G$40,MATCH(G478,Setup!$B$33:$B$40,0)),0)=1)*(COUNTIF(G458:I475,$B478)+COUNTIF(G458:I475,$B478&amp;" ~*")&gt;0)+(IFERROR(INDEX(Setup!$G$33:$G$40,MATCH(K478,Setup!$B$33:$B$40,0)),0)=1)*(COUNTIF(K458:M475,$B478)+COUNTIF(K458:M475,$B478&amp;" ~*")&gt;0)+(IFERROR(INDEX(Setup!$G$33:$G$40,MATCH(O478,Setup!$B$33:$B$40,0)),0)=1)*(COUNTIF(O458:Q475,$B478)+COUNTIF(O458:Q475,$B478&amp;" ~*")&gt;0)+(IFERROR(INDEX(Setup!$G$33:$G$40,MATCH(S478,Setup!$B$33:$B$40,0)),0)=1)*(COUNTIF(S458:U475,$B478)+COUNTIF(S458:U475,$B478&amp;" ~*")&gt;0)+(IFERROR(INDEX(Setup!$G$33:$G$40,MATCH(W478,Setup!$B$33:$B$40,0)),0)=1)*(COUNTIF(W458:W475,$B478)+COUNTIF(W458:W475,$B478&amp;" ~*")&gt;0)+(IFERROR(INDEX(Setup!$G$33:$G$40,MATCH(Y478,Setup!$B$33:$B$40,0)),0)=1)*(COUNTIF(Y458:Y475,$B478)+COUNTIF(Y458:Y475,$B478&amp;" ~*")&gt;0))</f>
        <v/>
      </c>
    </row>
    <row r="479" ht="15" customHeight="1">
      <c r="A479" t="n">
        <v>10</v>
      </c>
      <c r="B479" s="35">
        <f>IF(Setup!$B$8="","",Setup!$B$8)</f>
        <v/>
      </c>
      <c r="C479" s="98" t="n"/>
      <c r="D479" s="99" t="n"/>
      <c r="E479" s="99" t="n"/>
      <c r="F479" s="100" t="n"/>
      <c r="G479" s="98" t="n"/>
      <c r="H479" s="99" t="n"/>
      <c r="I479" s="99" t="n"/>
      <c r="J479" s="100" t="n"/>
      <c r="K479" s="98" t="n"/>
      <c r="L479" s="99" t="n"/>
      <c r="M479" s="99" t="n"/>
      <c r="N479" s="100" t="n"/>
      <c r="O479" s="98" t="n"/>
      <c r="P479" s="99" t="n"/>
      <c r="Q479" s="99" t="n"/>
      <c r="R479" s="100" t="n"/>
      <c r="S479" s="98" t="n"/>
      <c r="T479" s="99" t="n"/>
      <c r="U479" s="99" t="n"/>
      <c r="V479" s="100" t="n"/>
      <c r="W479" s="98" t="n"/>
      <c r="X479" s="100" t="n"/>
      <c r="Y479" s="98" t="n"/>
      <c r="Z479" s="100" t="n"/>
      <c r="AB479" s="101">
        <f>IF($B479="","",(COUNTIF(C458:E475,$B479)+COUNTIF(C458:E475,$B479&amp;" ~*")&gt;0)+(COUNTIF(G458:I475,$B479)+COUNTIF(G458:I475,$B479&amp;" ~*")&gt;0)+(COUNTIF(K458:M475,$B479)+COUNTIF(K458:M475,$B479&amp;" ~*")&gt;0)+(COUNTIF(O458:Q475,$B479)+COUNTIF(O458:Q475,$B479&amp;" ~*")&gt;0)+(COUNTIF(S458:U475,$B479)+COUNTIF(S458:U475,$B479&amp;" ~*")&gt;0)+(COUNTIF(W458:W475,$B479)+COUNTIF(W458:W475,$B479&amp;" ~*")&gt;0)+(COUNTIF(Y458:Y475,$B479)+COUNTIF(Y458:Y475,$B479&amp;" ~*")&gt;0))</f>
        <v/>
      </c>
      <c r="AC479" s="36">
        <f>IF($B479="","",(IFERROR(INDEX(Setup!$G$33:$G$40,MATCH(C479,Setup!$B$33:$B$40,0)),0)=1)*(COUNTIF(C458:E475,$B479)+COUNTIF(C458:E475,$B479&amp;" ~*")&gt;0)+(IFERROR(INDEX(Setup!$G$33:$G$40,MATCH(G479,Setup!$B$33:$B$40,0)),0)=1)*(COUNTIF(G458:I475,$B479)+COUNTIF(G458:I475,$B479&amp;" ~*")&gt;0)+(IFERROR(INDEX(Setup!$G$33:$G$40,MATCH(K479,Setup!$B$33:$B$40,0)),0)=1)*(COUNTIF(K458:M475,$B479)+COUNTIF(K458:M475,$B479&amp;" ~*")&gt;0)+(IFERROR(INDEX(Setup!$G$33:$G$40,MATCH(O479,Setup!$B$33:$B$40,0)),0)=1)*(COUNTIF(O458:Q475,$B479)+COUNTIF(O458:Q475,$B479&amp;" ~*")&gt;0)+(IFERROR(INDEX(Setup!$G$33:$G$40,MATCH(S479,Setup!$B$33:$B$40,0)),0)=1)*(COUNTIF(S458:U475,$B479)+COUNTIF(S458:U475,$B479&amp;" ~*")&gt;0)+(IFERROR(INDEX(Setup!$G$33:$G$40,MATCH(W479,Setup!$B$33:$B$40,0)),0)=1)*(COUNTIF(W458:W475,$B479)+COUNTIF(W458:W475,$B479&amp;" ~*")&gt;0)+(IFERROR(INDEX(Setup!$G$33:$G$40,MATCH(Y479,Setup!$B$33:$B$40,0)),0)=1)*(COUNTIF(Y458:Y475,$B479)+COUNTIF(Y458:Y475,$B479&amp;" ~*")&gt;0))</f>
        <v/>
      </c>
    </row>
    <row r="480" ht="15" customHeight="1">
      <c r="A480" t="n">
        <v>10</v>
      </c>
      <c r="B480" s="37">
        <f>IF(Setup!$B$9="","",Setup!$B$9)</f>
        <v/>
      </c>
      <c r="C480" s="102" t="n"/>
      <c r="D480" s="103" t="n"/>
      <c r="E480" s="103" t="n"/>
      <c r="F480" s="104" t="n"/>
      <c r="G480" s="102" t="n"/>
      <c r="H480" s="103" t="n"/>
      <c r="I480" s="103" t="n"/>
      <c r="J480" s="104" t="n"/>
      <c r="K480" s="102" t="n"/>
      <c r="L480" s="103" t="n"/>
      <c r="M480" s="103" t="n"/>
      <c r="N480" s="104" t="n"/>
      <c r="O480" s="102" t="n"/>
      <c r="P480" s="103" t="n"/>
      <c r="Q480" s="103" t="n"/>
      <c r="R480" s="104" t="n"/>
      <c r="S480" s="102" t="n"/>
      <c r="T480" s="103" t="n"/>
      <c r="U480" s="103" t="n"/>
      <c r="V480" s="104" t="n"/>
      <c r="W480" s="102" t="n"/>
      <c r="X480" s="104" t="n"/>
      <c r="Y480" s="102" t="n"/>
      <c r="Z480" s="104" t="n"/>
      <c r="AB480" s="105">
        <f>IF($B480="","",(COUNTIF(C458:E475,$B480)+COUNTIF(C458:E475,$B480&amp;" ~*")&gt;0)+(COUNTIF(G458:I475,$B480)+COUNTIF(G458:I475,$B480&amp;" ~*")&gt;0)+(COUNTIF(K458:M475,$B480)+COUNTIF(K458:M475,$B480&amp;" ~*")&gt;0)+(COUNTIF(O458:Q475,$B480)+COUNTIF(O458:Q475,$B480&amp;" ~*")&gt;0)+(COUNTIF(S458:U475,$B480)+COUNTIF(S458:U475,$B480&amp;" ~*")&gt;0)+(COUNTIF(W458:W475,$B480)+COUNTIF(W458:W475,$B480&amp;" ~*")&gt;0)+(COUNTIF(Y458:Y475,$B480)+COUNTIF(Y458:Y475,$B480&amp;" ~*")&gt;0))</f>
        <v/>
      </c>
      <c r="AC480" s="38">
        <f>IF($B480="","",(IFERROR(INDEX(Setup!$G$33:$G$40,MATCH(C480,Setup!$B$33:$B$40,0)),0)=1)*(COUNTIF(C458:E475,$B480)+COUNTIF(C458:E475,$B480&amp;" ~*")&gt;0)+(IFERROR(INDEX(Setup!$G$33:$G$40,MATCH(G480,Setup!$B$33:$B$40,0)),0)=1)*(COUNTIF(G458:I475,$B480)+COUNTIF(G458:I475,$B480&amp;" ~*")&gt;0)+(IFERROR(INDEX(Setup!$G$33:$G$40,MATCH(K480,Setup!$B$33:$B$40,0)),0)=1)*(COUNTIF(K458:M475,$B480)+COUNTIF(K458:M475,$B480&amp;" ~*")&gt;0)+(IFERROR(INDEX(Setup!$G$33:$G$40,MATCH(O480,Setup!$B$33:$B$40,0)),0)=1)*(COUNTIF(O458:Q475,$B480)+COUNTIF(O458:Q475,$B480&amp;" ~*")&gt;0)+(IFERROR(INDEX(Setup!$G$33:$G$40,MATCH(S480,Setup!$B$33:$B$40,0)),0)=1)*(COUNTIF(S458:U475,$B480)+COUNTIF(S458:U475,$B480&amp;" ~*")&gt;0)+(IFERROR(INDEX(Setup!$G$33:$G$40,MATCH(W480,Setup!$B$33:$B$40,0)),0)=1)*(COUNTIF(W458:W475,$B480)+COUNTIF(W458:W475,$B480&amp;" ~*")&gt;0)+(IFERROR(INDEX(Setup!$G$33:$G$40,MATCH(Y480,Setup!$B$33:$B$40,0)),0)=1)*(COUNTIF(Y458:Y475,$B480)+COUNTIF(Y458:Y475,$B480&amp;" ~*")&gt;0))</f>
        <v/>
      </c>
    </row>
    <row r="481" ht="15" customHeight="1">
      <c r="A481" t="n">
        <v>10</v>
      </c>
      <c r="B481" s="35">
        <f>IF(Setup!$B$10="","",Setup!$B$10)</f>
        <v/>
      </c>
      <c r="C481" s="98" t="n"/>
      <c r="D481" s="99" t="n"/>
      <c r="E481" s="99" t="n"/>
      <c r="F481" s="100" t="n"/>
      <c r="G481" s="98" t="n"/>
      <c r="H481" s="99" t="n"/>
      <c r="I481" s="99" t="n"/>
      <c r="J481" s="100" t="n"/>
      <c r="K481" s="98" t="n"/>
      <c r="L481" s="99" t="n"/>
      <c r="M481" s="99" t="n"/>
      <c r="N481" s="100" t="n"/>
      <c r="O481" s="98" t="n"/>
      <c r="P481" s="99" t="n"/>
      <c r="Q481" s="99" t="n"/>
      <c r="R481" s="100" t="n"/>
      <c r="S481" s="98" t="n"/>
      <c r="T481" s="99" t="n"/>
      <c r="U481" s="99" t="n"/>
      <c r="V481" s="100" t="n"/>
      <c r="W481" s="98" t="n"/>
      <c r="X481" s="100" t="n"/>
      <c r="Y481" s="98" t="n"/>
      <c r="Z481" s="100" t="n"/>
      <c r="AB481" s="101">
        <f>IF($B481="","",(COUNTIF(C458:E475,$B481)+COUNTIF(C458:E475,$B481&amp;" ~*")&gt;0)+(COUNTIF(G458:I475,$B481)+COUNTIF(G458:I475,$B481&amp;" ~*")&gt;0)+(COUNTIF(K458:M475,$B481)+COUNTIF(K458:M475,$B481&amp;" ~*")&gt;0)+(COUNTIF(O458:Q475,$B481)+COUNTIF(O458:Q475,$B481&amp;" ~*")&gt;0)+(COUNTIF(S458:U475,$B481)+COUNTIF(S458:U475,$B481&amp;" ~*")&gt;0)+(COUNTIF(W458:W475,$B481)+COUNTIF(W458:W475,$B481&amp;" ~*")&gt;0)+(COUNTIF(Y458:Y475,$B481)+COUNTIF(Y458:Y475,$B481&amp;" ~*")&gt;0))</f>
        <v/>
      </c>
      <c r="AC481" s="36">
        <f>IF($B481="","",(IFERROR(INDEX(Setup!$G$33:$G$40,MATCH(C481,Setup!$B$33:$B$40,0)),0)=1)*(COUNTIF(C458:E475,$B481)+COUNTIF(C458:E475,$B481&amp;" ~*")&gt;0)+(IFERROR(INDEX(Setup!$G$33:$G$40,MATCH(G481,Setup!$B$33:$B$40,0)),0)=1)*(COUNTIF(G458:I475,$B481)+COUNTIF(G458:I475,$B481&amp;" ~*")&gt;0)+(IFERROR(INDEX(Setup!$G$33:$G$40,MATCH(K481,Setup!$B$33:$B$40,0)),0)=1)*(COUNTIF(K458:M475,$B481)+COUNTIF(K458:M475,$B481&amp;" ~*")&gt;0)+(IFERROR(INDEX(Setup!$G$33:$G$40,MATCH(O481,Setup!$B$33:$B$40,0)),0)=1)*(COUNTIF(O458:Q475,$B481)+COUNTIF(O458:Q475,$B481&amp;" ~*")&gt;0)+(IFERROR(INDEX(Setup!$G$33:$G$40,MATCH(S481,Setup!$B$33:$B$40,0)),0)=1)*(COUNTIF(S458:U475,$B481)+COUNTIF(S458:U475,$B481&amp;" ~*")&gt;0)+(IFERROR(INDEX(Setup!$G$33:$G$40,MATCH(W481,Setup!$B$33:$B$40,0)),0)=1)*(COUNTIF(W458:W475,$B481)+COUNTIF(W458:W475,$B481&amp;" ~*")&gt;0)+(IFERROR(INDEX(Setup!$G$33:$G$40,MATCH(Y481,Setup!$B$33:$B$40,0)),0)=1)*(COUNTIF(Y458:Y475,$B481)+COUNTIF(Y458:Y475,$B481&amp;" ~*")&gt;0))</f>
        <v/>
      </c>
    </row>
    <row r="482" ht="15" customHeight="1">
      <c r="A482" t="n">
        <v>10</v>
      </c>
      <c r="B482" s="37">
        <f>IF(Setup!$B$11="","",Setup!$B$11)</f>
        <v/>
      </c>
      <c r="C482" s="102" t="n"/>
      <c r="D482" s="103" t="n"/>
      <c r="E482" s="103" t="n"/>
      <c r="F482" s="104" t="n"/>
      <c r="G482" s="102" t="n"/>
      <c r="H482" s="103" t="n"/>
      <c r="I482" s="103" t="n"/>
      <c r="J482" s="104" t="n"/>
      <c r="K482" s="102" t="n"/>
      <c r="L482" s="103" t="n"/>
      <c r="M482" s="103" t="n"/>
      <c r="N482" s="104" t="n"/>
      <c r="O482" s="102" t="n"/>
      <c r="P482" s="103" t="n"/>
      <c r="Q482" s="103" t="n"/>
      <c r="R482" s="104" t="n"/>
      <c r="S482" s="102" t="n"/>
      <c r="T482" s="103" t="n"/>
      <c r="U482" s="103" t="n"/>
      <c r="V482" s="104" t="n"/>
      <c r="W482" s="102" t="n"/>
      <c r="X482" s="104" t="n"/>
      <c r="Y482" s="102" t="n"/>
      <c r="Z482" s="104" t="n"/>
      <c r="AB482" s="105">
        <f>IF($B482="","",(COUNTIF(C458:E475,$B482)+COUNTIF(C458:E475,$B482&amp;" ~*")&gt;0)+(COUNTIF(G458:I475,$B482)+COUNTIF(G458:I475,$B482&amp;" ~*")&gt;0)+(COUNTIF(K458:M475,$B482)+COUNTIF(K458:M475,$B482&amp;" ~*")&gt;0)+(COUNTIF(O458:Q475,$B482)+COUNTIF(O458:Q475,$B482&amp;" ~*")&gt;0)+(COUNTIF(S458:U475,$B482)+COUNTIF(S458:U475,$B482&amp;" ~*")&gt;0)+(COUNTIF(W458:W475,$B482)+COUNTIF(W458:W475,$B482&amp;" ~*")&gt;0)+(COUNTIF(Y458:Y475,$B482)+COUNTIF(Y458:Y475,$B482&amp;" ~*")&gt;0))</f>
        <v/>
      </c>
      <c r="AC482" s="38">
        <f>IF($B482="","",(IFERROR(INDEX(Setup!$G$33:$G$40,MATCH(C482,Setup!$B$33:$B$40,0)),0)=1)*(COUNTIF(C458:E475,$B482)+COUNTIF(C458:E475,$B482&amp;" ~*")&gt;0)+(IFERROR(INDEX(Setup!$G$33:$G$40,MATCH(G482,Setup!$B$33:$B$40,0)),0)=1)*(COUNTIF(G458:I475,$B482)+COUNTIF(G458:I475,$B482&amp;" ~*")&gt;0)+(IFERROR(INDEX(Setup!$G$33:$G$40,MATCH(K482,Setup!$B$33:$B$40,0)),0)=1)*(COUNTIF(K458:M475,$B482)+COUNTIF(K458:M475,$B482&amp;" ~*")&gt;0)+(IFERROR(INDEX(Setup!$G$33:$G$40,MATCH(O482,Setup!$B$33:$B$40,0)),0)=1)*(COUNTIF(O458:Q475,$B482)+COUNTIF(O458:Q475,$B482&amp;" ~*")&gt;0)+(IFERROR(INDEX(Setup!$G$33:$G$40,MATCH(S482,Setup!$B$33:$B$40,0)),0)=1)*(COUNTIF(S458:U475,$B482)+COUNTIF(S458:U475,$B482&amp;" ~*")&gt;0)+(IFERROR(INDEX(Setup!$G$33:$G$40,MATCH(W482,Setup!$B$33:$B$40,0)),0)=1)*(COUNTIF(W458:W475,$B482)+COUNTIF(W458:W475,$B482&amp;" ~*")&gt;0)+(IFERROR(INDEX(Setup!$G$33:$G$40,MATCH(Y482,Setup!$B$33:$B$40,0)),0)=1)*(COUNTIF(Y458:Y475,$B482)+COUNTIF(Y458:Y475,$B482&amp;" ~*")&gt;0))</f>
        <v/>
      </c>
    </row>
    <row r="483" ht="15" customHeight="1">
      <c r="A483" t="n">
        <v>10</v>
      </c>
      <c r="B483" s="35">
        <f>IF(Setup!$B$12="","",Setup!$B$12)</f>
        <v/>
      </c>
      <c r="C483" s="98" t="n"/>
      <c r="D483" s="99" t="n"/>
      <c r="E483" s="99" t="n"/>
      <c r="F483" s="100" t="n"/>
      <c r="G483" s="98" t="n"/>
      <c r="H483" s="99" t="n"/>
      <c r="I483" s="99" t="n"/>
      <c r="J483" s="100" t="n"/>
      <c r="K483" s="98" t="n"/>
      <c r="L483" s="99" t="n"/>
      <c r="M483" s="99" t="n"/>
      <c r="N483" s="100" t="n"/>
      <c r="O483" s="98" t="n"/>
      <c r="P483" s="99" t="n"/>
      <c r="Q483" s="99" t="n"/>
      <c r="R483" s="100" t="n"/>
      <c r="S483" s="98" t="n"/>
      <c r="T483" s="99" t="n"/>
      <c r="U483" s="99" t="n"/>
      <c r="V483" s="100" t="n"/>
      <c r="W483" s="98" t="n"/>
      <c r="X483" s="100" t="n"/>
      <c r="Y483" s="98" t="n"/>
      <c r="Z483" s="100" t="n"/>
      <c r="AB483" s="101">
        <f>IF($B483="","",(COUNTIF(C458:E475,$B483)+COUNTIF(C458:E475,$B483&amp;" ~*")&gt;0)+(COUNTIF(G458:I475,$B483)+COUNTIF(G458:I475,$B483&amp;" ~*")&gt;0)+(COUNTIF(K458:M475,$B483)+COUNTIF(K458:M475,$B483&amp;" ~*")&gt;0)+(COUNTIF(O458:Q475,$B483)+COUNTIF(O458:Q475,$B483&amp;" ~*")&gt;0)+(COUNTIF(S458:U475,$B483)+COUNTIF(S458:U475,$B483&amp;" ~*")&gt;0)+(COUNTIF(W458:W475,$B483)+COUNTIF(W458:W475,$B483&amp;" ~*")&gt;0)+(COUNTIF(Y458:Y475,$B483)+COUNTIF(Y458:Y475,$B483&amp;" ~*")&gt;0))</f>
        <v/>
      </c>
      <c r="AC483" s="36">
        <f>IF($B483="","",(IFERROR(INDEX(Setup!$G$33:$G$40,MATCH(C483,Setup!$B$33:$B$40,0)),0)=1)*(COUNTIF(C458:E475,$B483)+COUNTIF(C458:E475,$B483&amp;" ~*")&gt;0)+(IFERROR(INDEX(Setup!$G$33:$G$40,MATCH(G483,Setup!$B$33:$B$40,0)),0)=1)*(COUNTIF(G458:I475,$B483)+COUNTIF(G458:I475,$B483&amp;" ~*")&gt;0)+(IFERROR(INDEX(Setup!$G$33:$G$40,MATCH(K483,Setup!$B$33:$B$40,0)),0)=1)*(COUNTIF(K458:M475,$B483)+COUNTIF(K458:M475,$B483&amp;" ~*")&gt;0)+(IFERROR(INDEX(Setup!$G$33:$G$40,MATCH(O483,Setup!$B$33:$B$40,0)),0)=1)*(COUNTIF(O458:Q475,$B483)+COUNTIF(O458:Q475,$B483&amp;" ~*")&gt;0)+(IFERROR(INDEX(Setup!$G$33:$G$40,MATCH(S483,Setup!$B$33:$B$40,0)),0)=1)*(COUNTIF(S458:U475,$B483)+COUNTIF(S458:U475,$B483&amp;" ~*")&gt;0)+(IFERROR(INDEX(Setup!$G$33:$G$40,MATCH(W483,Setup!$B$33:$B$40,0)),0)=1)*(COUNTIF(W458:W475,$B483)+COUNTIF(W458:W475,$B483&amp;" ~*")&gt;0)+(IFERROR(INDEX(Setup!$G$33:$G$40,MATCH(Y483,Setup!$B$33:$B$40,0)),0)=1)*(COUNTIF(Y458:Y475,$B483)+COUNTIF(Y458:Y475,$B483&amp;" ~*")&gt;0))</f>
        <v/>
      </c>
    </row>
    <row r="484" ht="15" customHeight="1">
      <c r="A484" t="n">
        <v>10</v>
      </c>
      <c r="B484" s="37">
        <f>IF(Setup!$B$13="","",Setup!$B$13)</f>
        <v/>
      </c>
      <c r="C484" s="102" t="n"/>
      <c r="D484" s="103" t="n"/>
      <c r="E484" s="103" t="n"/>
      <c r="F484" s="104" t="n"/>
      <c r="G484" s="102" t="n"/>
      <c r="H484" s="103" t="n"/>
      <c r="I484" s="103" t="n"/>
      <c r="J484" s="104" t="n"/>
      <c r="K484" s="102" t="n"/>
      <c r="L484" s="103" t="n"/>
      <c r="M484" s="103" t="n"/>
      <c r="N484" s="104" t="n"/>
      <c r="O484" s="102" t="n"/>
      <c r="P484" s="103" t="n"/>
      <c r="Q484" s="103" t="n"/>
      <c r="R484" s="104" t="n"/>
      <c r="S484" s="102" t="n"/>
      <c r="T484" s="103" t="n"/>
      <c r="U484" s="103" t="n"/>
      <c r="V484" s="104" t="n"/>
      <c r="W484" s="102" t="n"/>
      <c r="X484" s="104" t="n"/>
      <c r="Y484" s="102" t="n"/>
      <c r="Z484" s="104" t="n"/>
      <c r="AB484" s="105">
        <f>IF($B484="","",(COUNTIF(C458:E475,$B484)+COUNTIF(C458:E475,$B484&amp;" ~*")&gt;0)+(COUNTIF(G458:I475,$B484)+COUNTIF(G458:I475,$B484&amp;" ~*")&gt;0)+(COUNTIF(K458:M475,$B484)+COUNTIF(K458:M475,$B484&amp;" ~*")&gt;0)+(COUNTIF(O458:Q475,$B484)+COUNTIF(O458:Q475,$B484&amp;" ~*")&gt;0)+(COUNTIF(S458:U475,$B484)+COUNTIF(S458:U475,$B484&amp;" ~*")&gt;0)+(COUNTIF(W458:W475,$B484)+COUNTIF(W458:W475,$B484&amp;" ~*")&gt;0)+(COUNTIF(Y458:Y475,$B484)+COUNTIF(Y458:Y475,$B484&amp;" ~*")&gt;0))</f>
        <v/>
      </c>
      <c r="AC484" s="38">
        <f>IF($B484="","",(IFERROR(INDEX(Setup!$G$33:$G$40,MATCH(C484,Setup!$B$33:$B$40,0)),0)=1)*(COUNTIF(C458:E475,$B484)+COUNTIF(C458:E475,$B484&amp;" ~*")&gt;0)+(IFERROR(INDEX(Setup!$G$33:$G$40,MATCH(G484,Setup!$B$33:$B$40,0)),0)=1)*(COUNTIF(G458:I475,$B484)+COUNTIF(G458:I475,$B484&amp;" ~*")&gt;0)+(IFERROR(INDEX(Setup!$G$33:$G$40,MATCH(K484,Setup!$B$33:$B$40,0)),0)=1)*(COUNTIF(K458:M475,$B484)+COUNTIF(K458:M475,$B484&amp;" ~*")&gt;0)+(IFERROR(INDEX(Setup!$G$33:$G$40,MATCH(O484,Setup!$B$33:$B$40,0)),0)=1)*(COUNTIF(O458:Q475,$B484)+COUNTIF(O458:Q475,$B484&amp;" ~*")&gt;0)+(IFERROR(INDEX(Setup!$G$33:$G$40,MATCH(S484,Setup!$B$33:$B$40,0)),0)=1)*(COUNTIF(S458:U475,$B484)+COUNTIF(S458:U475,$B484&amp;" ~*")&gt;0)+(IFERROR(INDEX(Setup!$G$33:$G$40,MATCH(W484,Setup!$B$33:$B$40,0)),0)=1)*(COUNTIF(W458:W475,$B484)+COUNTIF(W458:W475,$B484&amp;" ~*")&gt;0)+(IFERROR(INDEX(Setup!$G$33:$G$40,MATCH(Y484,Setup!$B$33:$B$40,0)),0)=1)*(COUNTIF(Y458:Y475,$B484)+COUNTIF(Y458:Y475,$B484&amp;" ~*")&gt;0))</f>
        <v/>
      </c>
    </row>
    <row r="485" ht="15" customHeight="1">
      <c r="A485" t="n">
        <v>10</v>
      </c>
      <c r="B485" s="35">
        <f>IF(Setup!$B$14="","",Setup!$B$14)</f>
        <v/>
      </c>
      <c r="C485" s="98" t="n"/>
      <c r="D485" s="99" t="n"/>
      <c r="E485" s="99" t="n"/>
      <c r="F485" s="100" t="n"/>
      <c r="G485" s="98" t="n"/>
      <c r="H485" s="99" t="n"/>
      <c r="I485" s="99" t="n"/>
      <c r="J485" s="100" t="n"/>
      <c r="K485" s="98" t="n"/>
      <c r="L485" s="99" t="n"/>
      <c r="M485" s="99" t="n"/>
      <c r="N485" s="100" t="n"/>
      <c r="O485" s="98" t="n"/>
      <c r="P485" s="99" t="n"/>
      <c r="Q485" s="99" t="n"/>
      <c r="R485" s="100" t="n"/>
      <c r="S485" s="98" t="n"/>
      <c r="T485" s="99" t="n"/>
      <c r="U485" s="99" t="n"/>
      <c r="V485" s="100" t="n"/>
      <c r="W485" s="98" t="n"/>
      <c r="X485" s="100" t="n"/>
      <c r="Y485" s="98" t="n"/>
      <c r="Z485" s="100" t="n"/>
      <c r="AB485" s="101">
        <f>IF($B485="","",(COUNTIF(C458:E475,$B485)+COUNTIF(C458:E475,$B485&amp;" ~*")&gt;0)+(COUNTIF(G458:I475,$B485)+COUNTIF(G458:I475,$B485&amp;" ~*")&gt;0)+(COUNTIF(K458:M475,$B485)+COUNTIF(K458:M475,$B485&amp;" ~*")&gt;0)+(COUNTIF(O458:Q475,$B485)+COUNTIF(O458:Q475,$B485&amp;" ~*")&gt;0)+(COUNTIF(S458:U475,$B485)+COUNTIF(S458:U475,$B485&amp;" ~*")&gt;0)+(COUNTIF(W458:W475,$B485)+COUNTIF(W458:W475,$B485&amp;" ~*")&gt;0)+(COUNTIF(Y458:Y475,$B485)+COUNTIF(Y458:Y475,$B485&amp;" ~*")&gt;0))</f>
        <v/>
      </c>
      <c r="AC485" s="36">
        <f>IF($B485="","",(IFERROR(INDEX(Setup!$G$33:$G$40,MATCH(C485,Setup!$B$33:$B$40,0)),0)=1)*(COUNTIF(C458:E475,$B485)+COUNTIF(C458:E475,$B485&amp;" ~*")&gt;0)+(IFERROR(INDEX(Setup!$G$33:$G$40,MATCH(G485,Setup!$B$33:$B$40,0)),0)=1)*(COUNTIF(G458:I475,$B485)+COUNTIF(G458:I475,$B485&amp;" ~*")&gt;0)+(IFERROR(INDEX(Setup!$G$33:$G$40,MATCH(K485,Setup!$B$33:$B$40,0)),0)=1)*(COUNTIF(K458:M475,$B485)+COUNTIF(K458:M475,$B485&amp;" ~*")&gt;0)+(IFERROR(INDEX(Setup!$G$33:$G$40,MATCH(O485,Setup!$B$33:$B$40,0)),0)=1)*(COUNTIF(O458:Q475,$B485)+COUNTIF(O458:Q475,$B485&amp;" ~*")&gt;0)+(IFERROR(INDEX(Setup!$G$33:$G$40,MATCH(S485,Setup!$B$33:$B$40,0)),0)=1)*(COUNTIF(S458:U475,$B485)+COUNTIF(S458:U475,$B485&amp;" ~*")&gt;0)+(IFERROR(INDEX(Setup!$G$33:$G$40,MATCH(W485,Setup!$B$33:$B$40,0)),0)=1)*(COUNTIF(W458:W475,$B485)+COUNTIF(W458:W475,$B485&amp;" ~*")&gt;0)+(IFERROR(INDEX(Setup!$G$33:$G$40,MATCH(Y485,Setup!$B$33:$B$40,0)),0)=1)*(COUNTIF(Y458:Y475,$B485)+COUNTIF(Y458:Y475,$B485&amp;" ~*")&gt;0))</f>
        <v/>
      </c>
    </row>
    <row r="486" ht="15" customHeight="1">
      <c r="A486" t="n">
        <v>10</v>
      </c>
      <c r="B486" s="37">
        <f>IF(Setup!$B$15="","",Setup!$B$15)</f>
        <v/>
      </c>
      <c r="C486" s="102" t="n"/>
      <c r="D486" s="103" t="n"/>
      <c r="E486" s="103" t="n"/>
      <c r="F486" s="104" t="n"/>
      <c r="G486" s="102" t="n"/>
      <c r="H486" s="103" t="n"/>
      <c r="I486" s="103" t="n"/>
      <c r="J486" s="104" t="n"/>
      <c r="K486" s="102" t="n"/>
      <c r="L486" s="103" t="n"/>
      <c r="M486" s="103" t="n"/>
      <c r="N486" s="104" t="n"/>
      <c r="O486" s="102" t="n"/>
      <c r="P486" s="103" t="n"/>
      <c r="Q486" s="103" t="n"/>
      <c r="R486" s="104" t="n"/>
      <c r="S486" s="102" t="n"/>
      <c r="T486" s="103" t="n"/>
      <c r="U486" s="103" t="n"/>
      <c r="V486" s="104" t="n"/>
      <c r="W486" s="102" t="n"/>
      <c r="X486" s="104" t="n"/>
      <c r="Y486" s="102" t="n"/>
      <c r="Z486" s="104" t="n"/>
      <c r="AB486" s="105">
        <f>IF($B486="","",(COUNTIF(C458:E475,$B486)+COUNTIF(C458:E475,$B486&amp;" ~*")&gt;0)+(COUNTIF(G458:I475,$B486)+COUNTIF(G458:I475,$B486&amp;" ~*")&gt;0)+(COUNTIF(K458:M475,$B486)+COUNTIF(K458:M475,$B486&amp;" ~*")&gt;0)+(COUNTIF(O458:Q475,$B486)+COUNTIF(O458:Q475,$B486&amp;" ~*")&gt;0)+(COUNTIF(S458:U475,$B486)+COUNTIF(S458:U475,$B486&amp;" ~*")&gt;0)+(COUNTIF(W458:W475,$B486)+COUNTIF(W458:W475,$B486&amp;" ~*")&gt;0)+(COUNTIF(Y458:Y475,$B486)+COUNTIF(Y458:Y475,$B486&amp;" ~*")&gt;0))</f>
        <v/>
      </c>
      <c r="AC486" s="38">
        <f>IF($B486="","",(IFERROR(INDEX(Setup!$G$33:$G$40,MATCH(C486,Setup!$B$33:$B$40,0)),0)=1)*(COUNTIF(C458:E475,$B486)+COUNTIF(C458:E475,$B486&amp;" ~*")&gt;0)+(IFERROR(INDEX(Setup!$G$33:$G$40,MATCH(G486,Setup!$B$33:$B$40,0)),0)=1)*(COUNTIF(G458:I475,$B486)+COUNTIF(G458:I475,$B486&amp;" ~*")&gt;0)+(IFERROR(INDEX(Setup!$G$33:$G$40,MATCH(K486,Setup!$B$33:$B$40,0)),0)=1)*(COUNTIF(K458:M475,$B486)+COUNTIF(K458:M475,$B486&amp;" ~*")&gt;0)+(IFERROR(INDEX(Setup!$G$33:$G$40,MATCH(O486,Setup!$B$33:$B$40,0)),0)=1)*(COUNTIF(O458:Q475,$B486)+COUNTIF(O458:Q475,$B486&amp;" ~*")&gt;0)+(IFERROR(INDEX(Setup!$G$33:$G$40,MATCH(S486,Setup!$B$33:$B$40,0)),0)=1)*(COUNTIF(S458:U475,$B486)+COUNTIF(S458:U475,$B486&amp;" ~*")&gt;0)+(IFERROR(INDEX(Setup!$G$33:$G$40,MATCH(W486,Setup!$B$33:$B$40,0)),0)=1)*(COUNTIF(W458:W475,$B486)+COUNTIF(W458:W475,$B486&amp;" ~*")&gt;0)+(IFERROR(INDEX(Setup!$G$33:$G$40,MATCH(Y486,Setup!$B$33:$B$40,0)),0)=1)*(COUNTIF(Y458:Y475,$B486)+COUNTIF(Y458:Y475,$B486&amp;" ~*")&gt;0))</f>
        <v/>
      </c>
    </row>
    <row r="487" ht="15" customHeight="1">
      <c r="A487" t="n">
        <v>10</v>
      </c>
      <c r="B487" s="35">
        <f>IF(Setup!$B$16="","",Setup!$B$16)</f>
        <v/>
      </c>
      <c r="C487" s="98" t="n"/>
      <c r="D487" s="99" t="n"/>
      <c r="E487" s="99" t="n"/>
      <c r="F487" s="100" t="n"/>
      <c r="G487" s="98" t="n"/>
      <c r="H487" s="99" t="n"/>
      <c r="I487" s="99" t="n"/>
      <c r="J487" s="100" t="n"/>
      <c r="K487" s="98" t="n"/>
      <c r="L487" s="99" t="n"/>
      <c r="M487" s="99" t="n"/>
      <c r="N487" s="100" t="n"/>
      <c r="O487" s="98" t="n"/>
      <c r="P487" s="99" t="n"/>
      <c r="Q487" s="99" t="n"/>
      <c r="R487" s="100" t="n"/>
      <c r="S487" s="98" t="n"/>
      <c r="T487" s="99" t="n"/>
      <c r="U487" s="99" t="n"/>
      <c r="V487" s="100" t="n"/>
      <c r="W487" s="98" t="n"/>
      <c r="X487" s="100" t="n"/>
      <c r="Y487" s="98" t="n"/>
      <c r="Z487" s="100" t="n"/>
      <c r="AB487" s="101">
        <f>IF($B487="","",(COUNTIF(C458:E475,$B487)+COUNTIF(C458:E475,$B487&amp;" ~*")&gt;0)+(COUNTIF(G458:I475,$B487)+COUNTIF(G458:I475,$B487&amp;" ~*")&gt;0)+(COUNTIF(K458:M475,$B487)+COUNTIF(K458:M475,$B487&amp;" ~*")&gt;0)+(COUNTIF(O458:Q475,$B487)+COUNTIF(O458:Q475,$B487&amp;" ~*")&gt;0)+(COUNTIF(S458:U475,$B487)+COUNTIF(S458:U475,$B487&amp;" ~*")&gt;0)+(COUNTIF(W458:W475,$B487)+COUNTIF(W458:W475,$B487&amp;" ~*")&gt;0)+(COUNTIF(Y458:Y475,$B487)+COUNTIF(Y458:Y475,$B487&amp;" ~*")&gt;0))</f>
        <v/>
      </c>
      <c r="AC487" s="36">
        <f>IF($B487="","",(IFERROR(INDEX(Setup!$G$33:$G$40,MATCH(C487,Setup!$B$33:$B$40,0)),0)=1)*(COUNTIF(C458:E475,$B487)+COUNTIF(C458:E475,$B487&amp;" ~*")&gt;0)+(IFERROR(INDEX(Setup!$G$33:$G$40,MATCH(G487,Setup!$B$33:$B$40,0)),0)=1)*(COUNTIF(G458:I475,$B487)+COUNTIF(G458:I475,$B487&amp;" ~*")&gt;0)+(IFERROR(INDEX(Setup!$G$33:$G$40,MATCH(K487,Setup!$B$33:$B$40,0)),0)=1)*(COUNTIF(K458:M475,$B487)+COUNTIF(K458:M475,$B487&amp;" ~*")&gt;0)+(IFERROR(INDEX(Setup!$G$33:$G$40,MATCH(O487,Setup!$B$33:$B$40,0)),0)=1)*(COUNTIF(O458:Q475,$B487)+COUNTIF(O458:Q475,$B487&amp;" ~*")&gt;0)+(IFERROR(INDEX(Setup!$G$33:$G$40,MATCH(S487,Setup!$B$33:$B$40,0)),0)=1)*(COUNTIF(S458:U475,$B487)+COUNTIF(S458:U475,$B487&amp;" ~*")&gt;0)+(IFERROR(INDEX(Setup!$G$33:$G$40,MATCH(W487,Setup!$B$33:$B$40,0)),0)=1)*(COUNTIF(W458:W475,$B487)+COUNTIF(W458:W475,$B487&amp;" ~*")&gt;0)+(IFERROR(INDEX(Setup!$G$33:$G$40,MATCH(Y487,Setup!$B$33:$B$40,0)),0)=1)*(COUNTIF(Y458:Y475,$B487)+COUNTIF(Y458:Y475,$B487&amp;" ~*")&gt;0))</f>
        <v/>
      </c>
    </row>
    <row r="488" ht="15" customHeight="1">
      <c r="A488" t="n">
        <v>10</v>
      </c>
      <c r="B488" s="37">
        <f>IF(Setup!$B$17="","",Setup!$B$17)</f>
        <v/>
      </c>
      <c r="C488" s="102" t="n"/>
      <c r="D488" s="103" t="n"/>
      <c r="E488" s="103" t="n"/>
      <c r="F488" s="104" t="n"/>
      <c r="G488" s="102" t="n"/>
      <c r="H488" s="103" t="n"/>
      <c r="I488" s="103" t="n"/>
      <c r="J488" s="104" t="n"/>
      <c r="K488" s="102" t="n"/>
      <c r="L488" s="103" t="n"/>
      <c r="M488" s="103" t="n"/>
      <c r="N488" s="104" t="n"/>
      <c r="O488" s="102" t="n"/>
      <c r="P488" s="103" t="n"/>
      <c r="Q488" s="103" t="n"/>
      <c r="R488" s="104" t="n"/>
      <c r="S488" s="102" t="n"/>
      <c r="T488" s="103" t="n"/>
      <c r="U488" s="103" t="n"/>
      <c r="V488" s="104" t="n"/>
      <c r="W488" s="102" t="n"/>
      <c r="X488" s="104" t="n"/>
      <c r="Y488" s="102" t="n"/>
      <c r="Z488" s="104" t="n"/>
      <c r="AB488" s="105">
        <f>IF($B488="","",(COUNTIF(C458:E475,$B488)+COUNTIF(C458:E475,$B488&amp;" ~*")&gt;0)+(COUNTIF(G458:I475,$B488)+COUNTIF(G458:I475,$B488&amp;" ~*")&gt;0)+(COUNTIF(K458:M475,$B488)+COUNTIF(K458:M475,$B488&amp;" ~*")&gt;0)+(COUNTIF(O458:Q475,$B488)+COUNTIF(O458:Q475,$B488&amp;" ~*")&gt;0)+(COUNTIF(S458:U475,$B488)+COUNTIF(S458:U475,$B488&amp;" ~*")&gt;0)+(COUNTIF(W458:W475,$B488)+COUNTIF(W458:W475,$B488&amp;" ~*")&gt;0)+(COUNTIF(Y458:Y475,$B488)+COUNTIF(Y458:Y475,$B488&amp;" ~*")&gt;0))</f>
        <v/>
      </c>
      <c r="AC488" s="38">
        <f>IF($B488="","",(IFERROR(INDEX(Setup!$G$33:$G$40,MATCH(C488,Setup!$B$33:$B$40,0)),0)=1)*(COUNTIF(C458:E475,$B488)+COUNTIF(C458:E475,$B488&amp;" ~*")&gt;0)+(IFERROR(INDEX(Setup!$G$33:$G$40,MATCH(G488,Setup!$B$33:$B$40,0)),0)=1)*(COUNTIF(G458:I475,$B488)+COUNTIF(G458:I475,$B488&amp;" ~*")&gt;0)+(IFERROR(INDEX(Setup!$G$33:$G$40,MATCH(K488,Setup!$B$33:$B$40,0)),0)=1)*(COUNTIF(K458:M475,$B488)+COUNTIF(K458:M475,$B488&amp;" ~*")&gt;0)+(IFERROR(INDEX(Setup!$G$33:$G$40,MATCH(O488,Setup!$B$33:$B$40,0)),0)=1)*(COUNTIF(O458:Q475,$B488)+COUNTIF(O458:Q475,$B488&amp;" ~*")&gt;0)+(IFERROR(INDEX(Setup!$G$33:$G$40,MATCH(S488,Setup!$B$33:$B$40,0)),0)=1)*(COUNTIF(S458:U475,$B488)+COUNTIF(S458:U475,$B488&amp;" ~*")&gt;0)+(IFERROR(INDEX(Setup!$G$33:$G$40,MATCH(W488,Setup!$B$33:$B$40,0)),0)=1)*(COUNTIF(W458:W475,$B488)+COUNTIF(W458:W475,$B488&amp;" ~*")&gt;0)+(IFERROR(INDEX(Setup!$G$33:$G$40,MATCH(Y488,Setup!$B$33:$B$40,0)),0)=1)*(COUNTIF(Y458:Y475,$B488)+COUNTIF(Y458:Y475,$B488&amp;" ~*")&gt;0))</f>
        <v/>
      </c>
    </row>
    <row r="489" ht="15" customHeight="1">
      <c r="A489" t="n">
        <v>10</v>
      </c>
      <c r="B489" s="35">
        <f>IF(Setup!$B$18="","",Setup!$B$18)</f>
        <v/>
      </c>
      <c r="C489" s="98" t="n"/>
      <c r="D489" s="99" t="n"/>
      <c r="E489" s="99" t="n"/>
      <c r="F489" s="100" t="n"/>
      <c r="G489" s="98" t="n"/>
      <c r="H489" s="99" t="n"/>
      <c r="I489" s="99" t="n"/>
      <c r="J489" s="100" t="n"/>
      <c r="K489" s="98" t="n"/>
      <c r="L489" s="99" t="n"/>
      <c r="M489" s="99" t="n"/>
      <c r="N489" s="100" t="n"/>
      <c r="O489" s="98" t="n"/>
      <c r="P489" s="99" t="n"/>
      <c r="Q489" s="99" t="n"/>
      <c r="R489" s="100" t="n"/>
      <c r="S489" s="98" t="n"/>
      <c r="T489" s="99" t="n"/>
      <c r="U489" s="99" t="n"/>
      <c r="V489" s="100" t="n"/>
      <c r="W489" s="98" t="n"/>
      <c r="X489" s="100" t="n"/>
      <c r="Y489" s="98" t="n"/>
      <c r="Z489" s="100" t="n"/>
      <c r="AB489" s="101">
        <f>IF($B489="","",(COUNTIF(C458:E475,$B489)+COUNTIF(C458:E475,$B489&amp;" ~*")&gt;0)+(COUNTIF(G458:I475,$B489)+COUNTIF(G458:I475,$B489&amp;" ~*")&gt;0)+(COUNTIF(K458:M475,$B489)+COUNTIF(K458:M475,$B489&amp;" ~*")&gt;0)+(COUNTIF(O458:Q475,$B489)+COUNTIF(O458:Q475,$B489&amp;" ~*")&gt;0)+(COUNTIF(S458:U475,$B489)+COUNTIF(S458:U475,$B489&amp;" ~*")&gt;0)+(COUNTIF(W458:W475,$B489)+COUNTIF(W458:W475,$B489&amp;" ~*")&gt;0)+(COUNTIF(Y458:Y475,$B489)+COUNTIF(Y458:Y475,$B489&amp;" ~*")&gt;0))</f>
        <v/>
      </c>
      <c r="AC489" s="36">
        <f>IF($B489="","",(IFERROR(INDEX(Setup!$G$33:$G$40,MATCH(C489,Setup!$B$33:$B$40,0)),0)=1)*(COUNTIF(C458:E475,$B489)+COUNTIF(C458:E475,$B489&amp;" ~*")&gt;0)+(IFERROR(INDEX(Setup!$G$33:$G$40,MATCH(G489,Setup!$B$33:$B$40,0)),0)=1)*(COUNTIF(G458:I475,$B489)+COUNTIF(G458:I475,$B489&amp;" ~*")&gt;0)+(IFERROR(INDEX(Setup!$G$33:$G$40,MATCH(K489,Setup!$B$33:$B$40,0)),0)=1)*(COUNTIF(K458:M475,$B489)+COUNTIF(K458:M475,$B489&amp;" ~*")&gt;0)+(IFERROR(INDEX(Setup!$G$33:$G$40,MATCH(O489,Setup!$B$33:$B$40,0)),0)=1)*(COUNTIF(O458:Q475,$B489)+COUNTIF(O458:Q475,$B489&amp;" ~*")&gt;0)+(IFERROR(INDEX(Setup!$G$33:$G$40,MATCH(S489,Setup!$B$33:$B$40,0)),0)=1)*(COUNTIF(S458:U475,$B489)+COUNTIF(S458:U475,$B489&amp;" ~*")&gt;0)+(IFERROR(INDEX(Setup!$G$33:$G$40,MATCH(W489,Setup!$B$33:$B$40,0)),0)=1)*(COUNTIF(W458:W475,$B489)+COUNTIF(W458:W475,$B489&amp;" ~*")&gt;0)+(IFERROR(INDEX(Setup!$G$33:$G$40,MATCH(Y489,Setup!$B$33:$B$40,0)),0)=1)*(COUNTIF(Y458:Y475,$B489)+COUNTIF(Y458:Y475,$B489&amp;" ~*")&gt;0))</f>
        <v/>
      </c>
    </row>
    <row r="490" ht="15" customHeight="1">
      <c r="A490" t="n">
        <v>10</v>
      </c>
      <c r="B490" s="37">
        <f>IF(Setup!$B$19="","",Setup!$B$19)</f>
        <v/>
      </c>
      <c r="C490" s="102" t="n"/>
      <c r="D490" s="103" t="n"/>
      <c r="E490" s="103" t="n"/>
      <c r="F490" s="104" t="n"/>
      <c r="G490" s="102" t="n"/>
      <c r="H490" s="103" t="n"/>
      <c r="I490" s="103" t="n"/>
      <c r="J490" s="104" t="n"/>
      <c r="K490" s="102" t="n"/>
      <c r="L490" s="103" t="n"/>
      <c r="M490" s="103" t="n"/>
      <c r="N490" s="104" t="n"/>
      <c r="O490" s="102" t="inlineStr">
        <is>
          <t>AL</t>
        </is>
      </c>
      <c r="P490" s="103" t="n"/>
      <c r="Q490" s="103" t="n"/>
      <c r="R490" s="104" t="n"/>
      <c r="S490" s="102" t="inlineStr">
        <is>
          <t>AL</t>
        </is>
      </c>
      <c r="T490" s="103" t="n"/>
      <c r="U490" s="103" t="n"/>
      <c r="V490" s="104" t="n"/>
      <c r="W490" s="102" t="n"/>
      <c r="X490" s="104" t="n"/>
      <c r="Y490" s="102" t="n"/>
      <c r="Z490" s="104" t="n"/>
      <c r="AB490" s="105">
        <f>IF($B490="","",(COUNTIF(C458:E475,$B490)+COUNTIF(C458:E475,$B490&amp;" ~*")&gt;0)+(COUNTIF(G458:I475,$B490)+COUNTIF(G458:I475,$B490&amp;" ~*")&gt;0)+(COUNTIF(K458:M475,$B490)+COUNTIF(K458:M475,$B490&amp;" ~*")&gt;0)+(COUNTIF(O458:Q475,$B490)+COUNTIF(O458:Q475,$B490&amp;" ~*")&gt;0)+(COUNTIF(S458:U475,$B490)+COUNTIF(S458:U475,$B490&amp;" ~*")&gt;0)+(COUNTIF(W458:W475,$B490)+COUNTIF(W458:W475,$B490&amp;" ~*")&gt;0)+(COUNTIF(Y458:Y475,$B490)+COUNTIF(Y458:Y475,$B490&amp;" ~*")&gt;0))</f>
        <v/>
      </c>
      <c r="AC490" s="38">
        <f>IF($B490="","",(IFERROR(INDEX(Setup!$G$33:$G$40,MATCH(C490,Setup!$B$33:$B$40,0)),0)=1)*(COUNTIF(C458:E475,$B490)+COUNTIF(C458:E475,$B490&amp;" ~*")&gt;0)+(IFERROR(INDEX(Setup!$G$33:$G$40,MATCH(G490,Setup!$B$33:$B$40,0)),0)=1)*(COUNTIF(G458:I475,$B490)+COUNTIF(G458:I475,$B490&amp;" ~*")&gt;0)+(IFERROR(INDEX(Setup!$G$33:$G$40,MATCH(K490,Setup!$B$33:$B$40,0)),0)=1)*(COUNTIF(K458:M475,$B490)+COUNTIF(K458:M475,$B490&amp;" ~*")&gt;0)+(IFERROR(INDEX(Setup!$G$33:$G$40,MATCH(O490,Setup!$B$33:$B$40,0)),0)=1)*(COUNTIF(O458:Q475,$B490)+COUNTIF(O458:Q475,$B490&amp;" ~*")&gt;0)+(IFERROR(INDEX(Setup!$G$33:$G$40,MATCH(S490,Setup!$B$33:$B$40,0)),0)=1)*(COUNTIF(S458:U475,$B490)+COUNTIF(S458:U475,$B490&amp;" ~*")&gt;0)+(IFERROR(INDEX(Setup!$G$33:$G$40,MATCH(W490,Setup!$B$33:$B$40,0)),0)=1)*(COUNTIF(W458:W475,$B490)+COUNTIF(W458:W475,$B490&amp;" ~*")&gt;0)+(IFERROR(INDEX(Setup!$G$33:$G$40,MATCH(Y490,Setup!$B$33:$B$40,0)),0)=1)*(COUNTIF(Y458:Y475,$B490)+COUNTIF(Y458:Y475,$B490&amp;" ~*")&gt;0))</f>
        <v/>
      </c>
    </row>
    <row r="491" ht="15" customHeight="1">
      <c r="A491" t="n">
        <v>10</v>
      </c>
      <c r="B491" s="35">
        <f>IF(Setup!$B$20="","",Setup!$B$20)</f>
        <v/>
      </c>
      <c r="C491" s="98" t="n"/>
      <c r="D491" s="99" t="n"/>
      <c r="E491" s="99" t="n"/>
      <c r="F491" s="100" t="n"/>
      <c r="G491" s="98" t="n"/>
      <c r="H491" s="99" t="n"/>
      <c r="I491" s="99" t="n"/>
      <c r="J491" s="100" t="n"/>
      <c r="K491" s="98" t="n"/>
      <c r="L491" s="99" t="n"/>
      <c r="M491" s="99" t="n"/>
      <c r="N491" s="100" t="n"/>
      <c r="O491" s="98" t="n"/>
      <c r="P491" s="99" t="n"/>
      <c r="Q491" s="99" t="n"/>
      <c r="R491" s="100" t="n"/>
      <c r="S491" s="98" t="n"/>
      <c r="T491" s="99" t="n"/>
      <c r="U491" s="99" t="n"/>
      <c r="V491" s="100" t="n"/>
      <c r="W491" s="98" t="n"/>
      <c r="X491" s="100" t="n"/>
      <c r="Y491" s="98" t="n"/>
      <c r="Z491" s="100" t="n"/>
      <c r="AB491" s="101">
        <f>IF($B491="","",(COUNTIF(C458:E475,$B491)+COUNTIF(C458:E475,$B491&amp;" ~*")&gt;0)+(COUNTIF(G458:I475,$B491)+COUNTIF(G458:I475,$B491&amp;" ~*")&gt;0)+(COUNTIF(K458:M475,$B491)+COUNTIF(K458:M475,$B491&amp;" ~*")&gt;0)+(COUNTIF(O458:Q475,$B491)+COUNTIF(O458:Q475,$B491&amp;" ~*")&gt;0)+(COUNTIF(S458:U475,$B491)+COUNTIF(S458:U475,$B491&amp;" ~*")&gt;0)+(COUNTIF(W458:W475,$B491)+COUNTIF(W458:W475,$B491&amp;" ~*")&gt;0)+(COUNTIF(Y458:Y475,$B491)+COUNTIF(Y458:Y475,$B491&amp;" ~*")&gt;0))</f>
        <v/>
      </c>
      <c r="AC491" s="36">
        <f>IF($B491="","",(IFERROR(INDEX(Setup!$G$33:$G$40,MATCH(C491,Setup!$B$33:$B$40,0)),0)=1)*(COUNTIF(C458:E475,$B491)+COUNTIF(C458:E475,$B491&amp;" ~*")&gt;0)+(IFERROR(INDEX(Setup!$G$33:$G$40,MATCH(G491,Setup!$B$33:$B$40,0)),0)=1)*(COUNTIF(G458:I475,$B491)+COUNTIF(G458:I475,$B491&amp;" ~*")&gt;0)+(IFERROR(INDEX(Setup!$G$33:$G$40,MATCH(K491,Setup!$B$33:$B$40,0)),0)=1)*(COUNTIF(K458:M475,$B491)+COUNTIF(K458:M475,$B491&amp;" ~*")&gt;0)+(IFERROR(INDEX(Setup!$G$33:$G$40,MATCH(O491,Setup!$B$33:$B$40,0)),0)=1)*(COUNTIF(O458:Q475,$B491)+COUNTIF(O458:Q475,$B491&amp;" ~*")&gt;0)+(IFERROR(INDEX(Setup!$G$33:$G$40,MATCH(S491,Setup!$B$33:$B$40,0)),0)=1)*(COUNTIF(S458:U475,$B491)+COUNTIF(S458:U475,$B491&amp;" ~*")&gt;0)+(IFERROR(INDEX(Setup!$G$33:$G$40,MATCH(W491,Setup!$B$33:$B$40,0)),0)=1)*(COUNTIF(W458:W475,$B491)+COUNTIF(W458:W475,$B491&amp;" ~*")&gt;0)+(IFERROR(INDEX(Setup!$G$33:$G$40,MATCH(Y491,Setup!$B$33:$B$40,0)),0)=1)*(COUNTIF(Y458:Y475,$B491)+COUNTIF(Y458:Y475,$B491&amp;" ~*")&gt;0))</f>
        <v/>
      </c>
    </row>
    <row r="492" ht="15" customHeight="1">
      <c r="A492" t="n">
        <v>10</v>
      </c>
      <c r="B492" s="37">
        <f>IF(Setup!$B$21="","",Setup!$B$21)</f>
        <v/>
      </c>
      <c r="C492" s="102" t="n"/>
      <c r="D492" s="103" t="n"/>
      <c r="E492" s="103" t="n"/>
      <c r="F492" s="104" t="n"/>
      <c r="G492" s="102" t="n"/>
      <c r="H492" s="103" t="n"/>
      <c r="I492" s="103" t="n"/>
      <c r="J492" s="104" t="n"/>
      <c r="K492" s="102" t="n"/>
      <c r="L492" s="103" t="n"/>
      <c r="M492" s="103" t="n"/>
      <c r="N492" s="104" t="n"/>
      <c r="O492" s="102" t="n"/>
      <c r="P492" s="103" t="n"/>
      <c r="Q492" s="103" t="n"/>
      <c r="R492" s="104" t="n"/>
      <c r="S492" s="102" t="n"/>
      <c r="T492" s="103" t="n"/>
      <c r="U492" s="103" t="n"/>
      <c r="V492" s="104" t="n"/>
      <c r="W492" s="102" t="n"/>
      <c r="X492" s="104" t="n"/>
      <c r="Y492" s="102" t="n"/>
      <c r="Z492" s="104" t="n"/>
      <c r="AB492" s="105">
        <f>IF($B492="","",(COUNTIF(C458:E475,$B492)+COUNTIF(C458:E475,$B492&amp;" ~*")&gt;0)+(COUNTIF(G458:I475,$B492)+COUNTIF(G458:I475,$B492&amp;" ~*")&gt;0)+(COUNTIF(K458:M475,$B492)+COUNTIF(K458:M475,$B492&amp;" ~*")&gt;0)+(COUNTIF(O458:Q475,$B492)+COUNTIF(O458:Q475,$B492&amp;" ~*")&gt;0)+(COUNTIF(S458:U475,$B492)+COUNTIF(S458:U475,$B492&amp;" ~*")&gt;0)+(COUNTIF(W458:W475,$B492)+COUNTIF(W458:W475,$B492&amp;" ~*")&gt;0)+(COUNTIF(Y458:Y475,$B492)+COUNTIF(Y458:Y475,$B492&amp;" ~*")&gt;0))</f>
        <v/>
      </c>
      <c r="AC492" s="38">
        <f>IF($B492="","",(IFERROR(INDEX(Setup!$G$33:$G$40,MATCH(C492,Setup!$B$33:$B$40,0)),0)=1)*(COUNTIF(C458:E475,$B492)+COUNTIF(C458:E475,$B492&amp;" ~*")&gt;0)+(IFERROR(INDEX(Setup!$G$33:$G$40,MATCH(G492,Setup!$B$33:$B$40,0)),0)=1)*(COUNTIF(G458:I475,$B492)+COUNTIF(G458:I475,$B492&amp;" ~*")&gt;0)+(IFERROR(INDEX(Setup!$G$33:$G$40,MATCH(K492,Setup!$B$33:$B$40,0)),0)=1)*(COUNTIF(K458:M475,$B492)+COUNTIF(K458:M475,$B492&amp;" ~*")&gt;0)+(IFERROR(INDEX(Setup!$G$33:$G$40,MATCH(O492,Setup!$B$33:$B$40,0)),0)=1)*(COUNTIF(O458:Q475,$B492)+COUNTIF(O458:Q475,$B492&amp;" ~*")&gt;0)+(IFERROR(INDEX(Setup!$G$33:$G$40,MATCH(S492,Setup!$B$33:$B$40,0)),0)=1)*(COUNTIF(S458:U475,$B492)+COUNTIF(S458:U475,$B492&amp;" ~*")&gt;0)+(IFERROR(INDEX(Setup!$G$33:$G$40,MATCH(W492,Setup!$B$33:$B$40,0)),0)=1)*(COUNTIF(W458:W475,$B492)+COUNTIF(W458:W475,$B492&amp;" ~*")&gt;0)+(IFERROR(INDEX(Setup!$G$33:$G$40,MATCH(Y492,Setup!$B$33:$B$40,0)),0)=1)*(COUNTIF(Y458:Y475,$B492)+COUNTIF(Y458:Y475,$B492&amp;" ~*")&gt;0))</f>
        <v/>
      </c>
    </row>
    <row r="493" ht="15" customHeight="1">
      <c r="A493" t="n">
        <v>10</v>
      </c>
      <c r="B493" s="35">
        <f>IF(Setup!$B$22="","",Setup!$B$22)</f>
        <v/>
      </c>
      <c r="C493" s="98" t="n"/>
      <c r="D493" s="99" t="n"/>
      <c r="E493" s="99" t="n"/>
      <c r="F493" s="100" t="n"/>
      <c r="G493" s="98" t="n"/>
      <c r="H493" s="99" t="n"/>
      <c r="I493" s="99" t="n"/>
      <c r="J493" s="100" t="n"/>
      <c r="K493" s="98" t="n"/>
      <c r="L493" s="99" t="n"/>
      <c r="M493" s="99" t="n"/>
      <c r="N493" s="100" t="n"/>
      <c r="O493" s="98" t="n"/>
      <c r="P493" s="99" t="n"/>
      <c r="Q493" s="99" t="n"/>
      <c r="R493" s="100" t="n"/>
      <c r="S493" s="98" t="n"/>
      <c r="T493" s="99" t="n"/>
      <c r="U493" s="99" t="n"/>
      <c r="V493" s="100" t="n"/>
      <c r="W493" s="98" t="n"/>
      <c r="X493" s="100" t="n"/>
      <c r="Y493" s="98" t="n"/>
      <c r="Z493" s="100" t="n"/>
      <c r="AB493" s="101">
        <f>IF($B493="","",(COUNTIF(C458:E475,$B493)+COUNTIF(C458:E475,$B493&amp;" ~*")&gt;0)+(COUNTIF(G458:I475,$B493)+COUNTIF(G458:I475,$B493&amp;" ~*")&gt;0)+(COUNTIF(K458:M475,$B493)+COUNTIF(K458:M475,$B493&amp;" ~*")&gt;0)+(COUNTIF(O458:Q475,$B493)+COUNTIF(O458:Q475,$B493&amp;" ~*")&gt;0)+(COUNTIF(S458:U475,$B493)+COUNTIF(S458:U475,$B493&amp;" ~*")&gt;0)+(COUNTIF(W458:W475,$B493)+COUNTIF(W458:W475,$B493&amp;" ~*")&gt;0)+(COUNTIF(Y458:Y475,$B493)+COUNTIF(Y458:Y475,$B493&amp;" ~*")&gt;0))</f>
        <v/>
      </c>
      <c r="AC493" s="36">
        <f>IF($B493="","",(IFERROR(INDEX(Setup!$G$33:$G$40,MATCH(C493,Setup!$B$33:$B$40,0)),0)=1)*(COUNTIF(C458:E475,$B493)+COUNTIF(C458:E475,$B493&amp;" ~*")&gt;0)+(IFERROR(INDEX(Setup!$G$33:$G$40,MATCH(G493,Setup!$B$33:$B$40,0)),0)=1)*(COUNTIF(G458:I475,$B493)+COUNTIF(G458:I475,$B493&amp;" ~*")&gt;0)+(IFERROR(INDEX(Setup!$G$33:$G$40,MATCH(K493,Setup!$B$33:$B$40,0)),0)=1)*(COUNTIF(K458:M475,$B493)+COUNTIF(K458:M475,$B493&amp;" ~*")&gt;0)+(IFERROR(INDEX(Setup!$G$33:$G$40,MATCH(O493,Setup!$B$33:$B$40,0)),0)=1)*(COUNTIF(O458:Q475,$B493)+COUNTIF(O458:Q475,$B493&amp;" ~*")&gt;0)+(IFERROR(INDEX(Setup!$G$33:$G$40,MATCH(S493,Setup!$B$33:$B$40,0)),0)=1)*(COUNTIF(S458:U475,$B493)+COUNTIF(S458:U475,$B493&amp;" ~*")&gt;0)+(IFERROR(INDEX(Setup!$G$33:$G$40,MATCH(W493,Setup!$B$33:$B$40,0)),0)=1)*(COUNTIF(W458:W475,$B493)+COUNTIF(W458:W475,$B493&amp;" ~*")&gt;0)+(IFERROR(INDEX(Setup!$G$33:$G$40,MATCH(Y493,Setup!$B$33:$B$40,0)),0)=1)*(COUNTIF(Y458:Y475,$B493)+COUNTIF(Y458:Y475,$B493&amp;" ~*")&gt;0))</f>
        <v/>
      </c>
    </row>
    <row r="494" ht="15" customHeight="1">
      <c r="A494" t="n">
        <v>10</v>
      </c>
      <c r="B494" s="37">
        <f>IF(Setup!$B$23="","",Setup!$B$23)</f>
        <v/>
      </c>
      <c r="C494" s="102" t="n"/>
      <c r="D494" s="103" t="n"/>
      <c r="E494" s="103" t="n"/>
      <c r="F494" s="104" t="n"/>
      <c r="G494" s="102" t="n"/>
      <c r="H494" s="103" t="n"/>
      <c r="I494" s="103" t="n"/>
      <c r="J494" s="104" t="n"/>
      <c r="K494" s="102" t="n"/>
      <c r="L494" s="103" t="n"/>
      <c r="M494" s="103" t="n"/>
      <c r="N494" s="104" t="n"/>
      <c r="O494" s="102" t="n"/>
      <c r="P494" s="103" t="n"/>
      <c r="Q494" s="103" t="n"/>
      <c r="R494" s="104" t="n"/>
      <c r="S494" s="102" t="n"/>
      <c r="T494" s="103" t="n"/>
      <c r="U494" s="103" t="n"/>
      <c r="V494" s="104" t="n"/>
      <c r="W494" s="102" t="n"/>
      <c r="X494" s="104" t="n"/>
      <c r="Y494" s="102" t="n"/>
      <c r="Z494" s="104" t="n"/>
      <c r="AB494" s="105">
        <f>IF($B494="","",(COUNTIF(C458:E475,$B494)+COUNTIF(C458:E475,$B494&amp;" ~*")&gt;0)+(COUNTIF(G458:I475,$B494)+COUNTIF(G458:I475,$B494&amp;" ~*")&gt;0)+(COUNTIF(K458:M475,$B494)+COUNTIF(K458:M475,$B494&amp;" ~*")&gt;0)+(COUNTIF(O458:Q475,$B494)+COUNTIF(O458:Q475,$B494&amp;" ~*")&gt;0)+(COUNTIF(S458:U475,$B494)+COUNTIF(S458:U475,$B494&amp;" ~*")&gt;0)+(COUNTIF(W458:W475,$B494)+COUNTIF(W458:W475,$B494&amp;" ~*")&gt;0)+(COUNTIF(Y458:Y475,$B494)+COUNTIF(Y458:Y475,$B494&amp;" ~*")&gt;0))</f>
        <v/>
      </c>
      <c r="AC494" s="38">
        <f>IF($B494="","",(IFERROR(INDEX(Setup!$G$33:$G$40,MATCH(C494,Setup!$B$33:$B$40,0)),0)=1)*(COUNTIF(C458:E475,$B494)+COUNTIF(C458:E475,$B494&amp;" ~*")&gt;0)+(IFERROR(INDEX(Setup!$G$33:$G$40,MATCH(G494,Setup!$B$33:$B$40,0)),0)=1)*(COUNTIF(G458:I475,$B494)+COUNTIF(G458:I475,$B494&amp;" ~*")&gt;0)+(IFERROR(INDEX(Setup!$G$33:$G$40,MATCH(K494,Setup!$B$33:$B$40,0)),0)=1)*(COUNTIF(K458:M475,$B494)+COUNTIF(K458:M475,$B494&amp;" ~*")&gt;0)+(IFERROR(INDEX(Setup!$G$33:$G$40,MATCH(O494,Setup!$B$33:$B$40,0)),0)=1)*(COUNTIF(O458:Q475,$B494)+COUNTIF(O458:Q475,$B494&amp;" ~*")&gt;0)+(IFERROR(INDEX(Setup!$G$33:$G$40,MATCH(S494,Setup!$B$33:$B$40,0)),0)=1)*(COUNTIF(S458:U475,$B494)+COUNTIF(S458:U475,$B494&amp;" ~*")&gt;0)+(IFERROR(INDEX(Setup!$G$33:$G$40,MATCH(W494,Setup!$B$33:$B$40,0)),0)=1)*(COUNTIF(W458:W475,$B494)+COUNTIF(W458:W475,$B494&amp;" ~*")&gt;0)+(IFERROR(INDEX(Setup!$G$33:$G$40,MATCH(Y494,Setup!$B$33:$B$40,0)),0)=1)*(COUNTIF(Y458:Y475,$B494)+COUNTIF(Y458:Y475,$B494&amp;" ~*")&gt;0))</f>
        <v/>
      </c>
    </row>
    <row r="495" ht="15" customHeight="1">
      <c r="A495" t="n">
        <v>10</v>
      </c>
      <c r="B495" s="35">
        <f>IF(Setup!$B$24="","",Setup!$B$24)</f>
        <v/>
      </c>
      <c r="C495" s="98" t="n"/>
      <c r="D495" s="99" t="n"/>
      <c r="E495" s="99" t="n"/>
      <c r="F495" s="100" t="n"/>
      <c r="G495" s="98" t="n"/>
      <c r="H495" s="99" t="n"/>
      <c r="I495" s="99" t="n"/>
      <c r="J495" s="100" t="n"/>
      <c r="K495" s="98" t="n"/>
      <c r="L495" s="99" t="n"/>
      <c r="M495" s="99" t="n"/>
      <c r="N495" s="100" t="n"/>
      <c r="O495" s="98" t="n"/>
      <c r="P495" s="99" t="n"/>
      <c r="Q495" s="99" t="n"/>
      <c r="R495" s="100" t="n"/>
      <c r="S495" s="98" t="n"/>
      <c r="T495" s="99" t="n"/>
      <c r="U495" s="99" t="n"/>
      <c r="V495" s="100" t="n"/>
      <c r="W495" s="98" t="n"/>
      <c r="X495" s="100" t="n"/>
      <c r="Y495" s="98" t="n"/>
      <c r="Z495" s="100" t="n"/>
      <c r="AB495" s="101">
        <f>IF($B495="","",(COUNTIF(C458:E475,$B495)+COUNTIF(C458:E475,$B495&amp;" ~*")&gt;0)+(COUNTIF(G458:I475,$B495)+COUNTIF(G458:I475,$B495&amp;" ~*")&gt;0)+(COUNTIF(K458:M475,$B495)+COUNTIF(K458:M475,$B495&amp;" ~*")&gt;0)+(COUNTIF(O458:Q475,$B495)+COUNTIF(O458:Q475,$B495&amp;" ~*")&gt;0)+(COUNTIF(S458:U475,$B495)+COUNTIF(S458:U475,$B495&amp;" ~*")&gt;0)+(COUNTIF(W458:W475,$B495)+COUNTIF(W458:W475,$B495&amp;" ~*")&gt;0)+(COUNTIF(Y458:Y475,$B495)+COUNTIF(Y458:Y475,$B495&amp;" ~*")&gt;0))</f>
        <v/>
      </c>
      <c r="AC495" s="36">
        <f>IF($B495="","",(IFERROR(INDEX(Setup!$G$33:$G$40,MATCH(C495,Setup!$B$33:$B$40,0)),0)=1)*(COUNTIF(C458:E475,$B495)+COUNTIF(C458:E475,$B495&amp;" ~*")&gt;0)+(IFERROR(INDEX(Setup!$G$33:$G$40,MATCH(G495,Setup!$B$33:$B$40,0)),0)=1)*(COUNTIF(G458:I475,$B495)+COUNTIF(G458:I475,$B495&amp;" ~*")&gt;0)+(IFERROR(INDEX(Setup!$G$33:$G$40,MATCH(K495,Setup!$B$33:$B$40,0)),0)=1)*(COUNTIF(K458:M475,$B495)+COUNTIF(K458:M475,$B495&amp;" ~*")&gt;0)+(IFERROR(INDEX(Setup!$G$33:$G$40,MATCH(O495,Setup!$B$33:$B$40,0)),0)=1)*(COUNTIF(O458:Q475,$B495)+COUNTIF(O458:Q475,$B495&amp;" ~*")&gt;0)+(IFERROR(INDEX(Setup!$G$33:$G$40,MATCH(S495,Setup!$B$33:$B$40,0)),0)=1)*(COUNTIF(S458:U475,$B495)+COUNTIF(S458:U475,$B495&amp;" ~*")&gt;0)+(IFERROR(INDEX(Setup!$G$33:$G$40,MATCH(W495,Setup!$B$33:$B$40,0)),0)=1)*(COUNTIF(W458:W475,$B495)+COUNTIF(W458:W475,$B495&amp;" ~*")&gt;0)+(IFERROR(INDEX(Setup!$G$33:$G$40,MATCH(Y495,Setup!$B$33:$B$40,0)),0)=1)*(COUNTIF(Y458:Y475,$B495)+COUNTIF(Y458:Y475,$B495&amp;" ~*")&gt;0))</f>
        <v/>
      </c>
    </row>
    <row r="496" ht="15" customHeight="1">
      <c r="A496" t="n">
        <v>10</v>
      </c>
      <c r="B496" s="37">
        <f>IF(Setup!$B$25="","",Setup!$B$25)</f>
        <v/>
      </c>
      <c r="C496" s="102" t="n"/>
      <c r="D496" s="103" t="n"/>
      <c r="E496" s="103" t="n"/>
      <c r="F496" s="104" t="n"/>
      <c r="G496" s="102" t="n"/>
      <c r="H496" s="103" t="n"/>
      <c r="I496" s="103" t="n"/>
      <c r="J496" s="104" t="n"/>
      <c r="K496" s="102" t="n"/>
      <c r="L496" s="103" t="n"/>
      <c r="M496" s="103" t="n"/>
      <c r="N496" s="104" t="n"/>
      <c r="O496" s="102" t="n"/>
      <c r="P496" s="103" t="n"/>
      <c r="Q496" s="103" t="n"/>
      <c r="R496" s="104" t="n"/>
      <c r="S496" s="102" t="n"/>
      <c r="T496" s="103" t="n"/>
      <c r="U496" s="103" t="n"/>
      <c r="V496" s="104" t="n"/>
      <c r="W496" s="102" t="n"/>
      <c r="X496" s="104" t="n"/>
      <c r="Y496" s="102" t="n"/>
      <c r="Z496" s="104" t="n"/>
      <c r="AB496" s="105">
        <f>IF($B496="","",(COUNTIF(C458:E475,$B496)+COUNTIF(C458:E475,$B496&amp;" ~*")&gt;0)+(COUNTIF(G458:I475,$B496)+COUNTIF(G458:I475,$B496&amp;" ~*")&gt;0)+(COUNTIF(K458:M475,$B496)+COUNTIF(K458:M475,$B496&amp;" ~*")&gt;0)+(COUNTIF(O458:Q475,$B496)+COUNTIF(O458:Q475,$B496&amp;" ~*")&gt;0)+(COUNTIF(S458:U475,$B496)+COUNTIF(S458:U475,$B496&amp;" ~*")&gt;0)+(COUNTIF(W458:W475,$B496)+COUNTIF(W458:W475,$B496&amp;" ~*")&gt;0)+(COUNTIF(Y458:Y475,$B496)+COUNTIF(Y458:Y475,$B496&amp;" ~*")&gt;0))</f>
        <v/>
      </c>
      <c r="AC496" s="38">
        <f>IF($B496="","",(IFERROR(INDEX(Setup!$G$33:$G$40,MATCH(C496,Setup!$B$33:$B$40,0)),0)=1)*(COUNTIF(C458:E475,$B496)+COUNTIF(C458:E475,$B496&amp;" ~*")&gt;0)+(IFERROR(INDEX(Setup!$G$33:$G$40,MATCH(G496,Setup!$B$33:$B$40,0)),0)=1)*(COUNTIF(G458:I475,$B496)+COUNTIF(G458:I475,$B496&amp;" ~*")&gt;0)+(IFERROR(INDEX(Setup!$G$33:$G$40,MATCH(K496,Setup!$B$33:$B$40,0)),0)=1)*(COUNTIF(K458:M475,$B496)+COUNTIF(K458:M475,$B496&amp;" ~*")&gt;0)+(IFERROR(INDEX(Setup!$G$33:$G$40,MATCH(O496,Setup!$B$33:$B$40,0)),0)=1)*(COUNTIF(O458:Q475,$B496)+COUNTIF(O458:Q475,$B496&amp;" ~*")&gt;0)+(IFERROR(INDEX(Setup!$G$33:$G$40,MATCH(S496,Setup!$B$33:$B$40,0)),0)=1)*(COUNTIF(S458:U475,$B496)+COUNTIF(S458:U475,$B496&amp;" ~*")&gt;0)+(IFERROR(INDEX(Setup!$G$33:$G$40,MATCH(W496,Setup!$B$33:$B$40,0)),0)=1)*(COUNTIF(W458:W475,$B496)+COUNTIF(W458:W475,$B496&amp;" ~*")&gt;0)+(IFERROR(INDEX(Setup!$G$33:$G$40,MATCH(Y496,Setup!$B$33:$B$40,0)),0)=1)*(COUNTIF(Y458:Y475,$B496)+COUNTIF(Y458:Y475,$B496&amp;" ~*")&gt;0))</f>
        <v/>
      </c>
    </row>
    <row r="497" ht="15" customHeight="1">
      <c r="A497" t="n">
        <v>10</v>
      </c>
      <c r="B497" s="35">
        <f>IF(Setup!$B$26="","",Setup!$B$26)</f>
        <v/>
      </c>
      <c r="C497" s="98" t="n"/>
      <c r="D497" s="99" t="n"/>
      <c r="E497" s="99" t="n"/>
      <c r="F497" s="100" t="n"/>
      <c r="G497" s="98" t="n"/>
      <c r="H497" s="99" t="n"/>
      <c r="I497" s="99" t="n"/>
      <c r="J497" s="100" t="n"/>
      <c r="K497" s="98" t="n"/>
      <c r="L497" s="99" t="n"/>
      <c r="M497" s="99" t="n"/>
      <c r="N497" s="100" t="n"/>
      <c r="O497" s="98" t="n"/>
      <c r="P497" s="99" t="n"/>
      <c r="Q497" s="99" t="n"/>
      <c r="R497" s="100" t="n"/>
      <c r="S497" s="98" t="n"/>
      <c r="T497" s="99" t="n"/>
      <c r="U497" s="99" t="n"/>
      <c r="V497" s="100" t="n"/>
      <c r="W497" s="98" t="n"/>
      <c r="X497" s="100" t="n"/>
      <c r="Y497" s="98" t="n"/>
      <c r="Z497" s="100" t="n"/>
      <c r="AB497" s="101">
        <f>IF($B497="","",(COUNTIF(C458:E475,$B497)+COUNTIF(C458:E475,$B497&amp;" ~*")&gt;0)+(COUNTIF(G458:I475,$B497)+COUNTIF(G458:I475,$B497&amp;" ~*")&gt;0)+(COUNTIF(K458:M475,$B497)+COUNTIF(K458:M475,$B497&amp;" ~*")&gt;0)+(COUNTIF(O458:Q475,$B497)+COUNTIF(O458:Q475,$B497&amp;" ~*")&gt;0)+(COUNTIF(S458:U475,$B497)+COUNTIF(S458:U475,$B497&amp;" ~*")&gt;0)+(COUNTIF(W458:W475,$B497)+COUNTIF(W458:W475,$B497&amp;" ~*")&gt;0)+(COUNTIF(Y458:Y475,$B497)+COUNTIF(Y458:Y475,$B497&amp;" ~*")&gt;0))</f>
        <v/>
      </c>
      <c r="AC497" s="36">
        <f>IF($B497="","",(IFERROR(INDEX(Setup!$G$33:$G$40,MATCH(C497,Setup!$B$33:$B$40,0)),0)=1)*(COUNTIF(C458:E475,$B497)+COUNTIF(C458:E475,$B497&amp;" ~*")&gt;0)+(IFERROR(INDEX(Setup!$G$33:$G$40,MATCH(G497,Setup!$B$33:$B$40,0)),0)=1)*(COUNTIF(G458:I475,$B497)+COUNTIF(G458:I475,$B497&amp;" ~*")&gt;0)+(IFERROR(INDEX(Setup!$G$33:$G$40,MATCH(K497,Setup!$B$33:$B$40,0)),0)=1)*(COUNTIF(K458:M475,$B497)+COUNTIF(K458:M475,$B497&amp;" ~*")&gt;0)+(IFERROR(INDEX(Setup!$G$33:$G$40,MATCH(O497,Setup!$B$33:$B$40,0)),0)=1)*(COUNTIF(O458:Q475,$B497)+COUNTIF(O458:Q475,$B497&amp;" ~*")&gt;0)+(IFERROR(INDEX(Setup!$G$33:$G$40,MATCH(S497,Setup!$B$33:$B$40,0)),0)=1)*(COUNTIF(S458:U475,$B497)+COUNTIF(S458:U475,$B497&amp;" ~*")&gt;0)+(IFERROR(INDEX(Setup!$G$33:$G$40,MATCH(W497,Setup!$B$33:$B$40,0)),0)=1)*(COUNTIF(W458:W475,$B497)+COUNTIF(W458:W475,$B497&amp;" ~*")&gt;0)+(IFERROR(INDEX(Setup!$G$33:$G$40,MATCH(Y497,Setup!$B$33:$B$40,0)),0)=1)*(COUNTIF(Y458:Y475,$B497)+COUNTIF(Y458:Y475,$B497&amp;" ~*")&gt;0))</f>
        <v/>
      </c>
    </row>
    <row r="498" ht="15" customHeight="1">
      <c r="A498" t="n">
        <v>10</v>
      </c>
      <c r="B498" s="37">
        <f>IF(Setup!$B$27="","",Setup!$B$27)</f>
        <v/>
      </c>
      <c r="C498" s="102" t="n"/>
      <c r="D498" s="103" t="n"/>
      <c r="E498" s="103" t="n"/>
      <c r="F498" s="104" t="n"/>
      <c r="G498" s="102" t="n"/>
      <c r="H498" s="103" t="n"/>
      <c r="I498" s="103" t="n"/>
      <c r="J498" s="104" t="n"/>
      <c r="K498" s="102" t="n"/>
      <c r="L498" s="103" t="n"/>
      <c r="M498" s="103" t="n"/>
      <c r="N498" s="104" t="n"/>
      <c r="O498" s="102" t="n"/>
      <c r="P498" s="103" t="n"/>
      <c r="Q498" s="103" t="n"/>
      <c r="R498" s="104" t="n"/>
      <c r="S498" s="102" t="n"/>
      <c r="T498" s="103" t="n"/>
      <c r="U498" s="103" t="n"/>
      <c r="V498" s="104" t="n"/>
      <c r="W498" s="102" t="n"/>
      <c r="X498" s="104" t="n"/>
      <c r="Y498" s="102" t="n"/>
      <c r="Z498" s="104" t="n"/>
      <c r="AB498" s="105">
        <f>IF($B498="","",(COUNTIF(C458:E475,$B498)+COUNTIF(C458:E475,$B498&amp;" ~*")&gt;0)+(COUNTIF(G458:I475,$B498)+COUNTIF(G458:I475,$B498&amp;" ~*")&gt;0)+(COUNTIF(K458:M475,$B498)+COUNTIF(K458:M475,$B498&amp;" ~*")&gt;0)+(COUNTIF(O458:Q475,$B498)+COUNTIF(O458:Q475,$B498&amp;" ~*")&gt;0)+(COUNTIF(S458:U475,$B498)+COUNTIF(S458:U475,$B498&amp;" ~*")&gt;0)+(COUNTIF(W458:W475,$B498)+COUNTIF(W458:W475,$B498&amp;" ~*")&gt;0)+(COUNTIF(Y458:Y475,$B498)+COUNTIF(Y458:Y475,$B498&amp;" ~*")&gt;0))</f>
        <v/>
      </c>
      <c r="AC498" s="38">
        <f>IF($B498="","",(IFERROR(INDEX(Setup!$G$33:$G$40,MATCH(C498,Setup!$B$33:$B$40,0)),0)=1)*(COUNTIF(C458:E475,$B498)+COUNTIF(C458:E475,$B498&amp;" ~*")&gt;0)+(IFERROR(INDEX(Setup!$G$33:$G$40,MATCH(G498,Setup!$B$33:$B$40,0)),0)=1)*(COUNTIF(G458:I475,$B498)+COUNTIF(G458:I475,$B498&amp;" ~*")&gt;0)+(IFERROR(INDEX(Setup!$G$33:$G$40,MATCH(K498,Setup!$B$33:$B$40,0)),0)=1)*(COUNTIF(K458:M475,$B498)+COUNTIF(K458:M475,$B498&amp;" ~*")&gt;0)+(IFERROR(INDEX(Setup!$G$33:$G$40,MATCH(O498,Setup!$B$33:$B$40,0)),0)=1)*(COUNTIF(O458:Q475,$B498)+COUNTIF(O458:Q475,$B498&amp;" ~*")&gt;0)+(IFERROR(INDEX(Setup!$G$33:$G$40,MATCH(S498,Setup!$B$33:$B$40,0)),0)=1)*(COUNTIF(S458:U475,$B498)+COUNTIF(S458:U475,$B498&amp;" ~*")&gt;0)+(IFERROR(INDEX(Setup!$G$33:$G$40,MATCH(W498,Setup!$B$33:$B$40,0)),0)=1)*(COUNTIF(W458:W475,$B498)+COUNTIF(W458:W475,$B498&amp;" ~*")&gt;0)+(IFERROR(INDEX(Setup!$G$33:$G$40,MATCH(Y498,Setup!$B$33:$B$40,0)),0)=1)*(COUNTIF(Y458:Y475,$B498)+COUNTIF(Y458:Y475,$B498&amp;" ~*")&gt;0))</f>
        <v/>
      </c>
    </row>
    <row r="499" ht="15" customHeight="1">
      <c r="A499" t="n">
        <v>10</v>
      </c>
      <c r="B499" s="35">
        <f>IF(Setup!$B$28="","",Setup!$B$28)</f>
        <v/>
      </c>
      <c r="C499" s="98" t="n"/>
      <c r="D499" s="99" t="n"/>
      <c r="E499" s="99" t="n"/>
      <c r="F499" s="100" t="n"/>
      <c r="G499" s="98" t="n"/>
      <c r="H499" s="99" t="n"/>
      <c r="I499" s="99" t="n"/>
      <c r="J499" s="100" t="n"/>
      <c r="K499" s="98" t="n"/>
      <c r="L499" s="99" t="n"/>
      <c r="M499" s="99" t="n"/>
      <c r="N499" s="100" t="n"/>
      <c r="O499" s="98" t="n"/>
      <c r="P499" s="99" t="n"/>
      <c r="Q499" s="99" t="n"/>
      <c r="R499" s="100" t="n"/>
      <c r="S499" s="98" t="n"/>
      <c r="T499" s="99" t="n"/>
      <c r="U499" s="99" t="n"/>
      <c r="V499" s="100" t="n"/>
      <c r="W499" s="98" t="n"/>
      <c r="X499" s="100" t="n"/>
      <c r="Y499" s="98" t="n"/>
      <c r="Z499" s="100" t="n"/>
      <c r="AB499" s="101">
        <f>IF($B499="","",(COUNTIF(C458:E475,$B499)+COUNTIF(C458:E475,$B499&amp;" ~*")&gt;0)+(COUNTIF(G458:I475,$B499)+COUNTIF(G458:I475,$B499&amp;" ~*")&gt;0)+(COUNTIF(K458:M475,$B499)+COUNTIF(K458:M475,$B499&amp;" ~*")&gt;0)+(COUNTIF(O458:Q475,$B499)+COUNTIF(O458:Q475,$B499&amp;" ~*")&gt;0)+(COUNTIF(S458:U475,$B499)+COUNTIF(S458:U475,$B499&amp;" ~*")&gt;0)+(COUNTIF(W458:W475,$B499)+COUNTIF(W458:W475,$B499&amp;" ~*")&gt;0)+(COUNTIF(Y458:Y475,$B499)+COUNTIF(Y458:Y475,$B499&amp;" ~*")&gt;0))</f>
        <v/>
      </c>
      <c r="AC499" s="36">
        <f>IF($B499="","",(IFERROR(INDEX(Setup!$G$33:$G$40,MATCH(C499,Setup!$B$33:$B$40,0)),0)=1)*(COUNTIF(C458:E475,$B499)+COUNTIF(C458:E475,$B499&amp;" ~*")&gt;0)+(IFERROR(INDEX(Setup!$G$33:$G$40,MATCH(G499,Setup!$B$33:$B$40,0)),0)=1)*(COUNTIF(G458:I475,$B499)+COUNTIF(G458:I475,$B499&amp;" ~*")&gt;0)+(IFERROR(INDEX(Setup!$G$33:$G$40,MATCH(K499,Setup!$B$33:$B$40,0)),0)=1)*(COUNTIF(K458:M475,$B499)+COUNTIF(K458:M475,$B499&amp;" ~*")&gt;0)+(IFERROR(INDEX(Setup!$G$33:$G$40,MATCH(O499,Setup!$B$33:$B$40,0)),0)=1)*(COUNTIF(O458:Q475,$B499)+COUNTIF(O458:Q475,$B499&amp;" ~*")&gt;0)+(IFERROR(INDEX(Setup!$G$33:$G$40,MATCH(S499,Setup!$B$33:$B$40,0)),0)=1)*(COUNTIF(S458:U475,$B499)+COUNTIF(S458:U475,$B499&amp;" ~*")&gt;0)+(IFERROR(INDEX(Setup!$G$33:$G$40,MATCH(W499,Setup!$B$33:$B$40,0)),0)=1)*(COUNTIF(W458:W475,$B499)+COUNTIF(W458:W475,$B499&amp;" ~*")&gt;0)+(IFERROR(INDEX(Setup!$G$33:$G$40,MATCH(Y499,Setup!$B$33:$B$40,0)),0)=1)*(COUNTIF(Y458:Y475,$B499)+COUNTIF(Y458:Y475,$B499&amp;" ~*")&gt;0))</f>
        <v/>
      </c>
    </row>
    <row r="500" ht="15" customHeight="1">
      <c r="A500" t="n">
        <v>10</v>
      </c>
      <c r="B500" s="37">
        <f>IF(Setup!$B$29="","",Setup!$B$29)</f>
        <v/>
      </c>
      <c r="C500" s="102" t="n"/>
      <c r="D500" s="103" t="n"/>
      <c r="E500" s="103" t="n"/>
      <c r="F500" s="104" t="n"/>
      <c r="G500" s="102" t="n"/>
      <c r="H500" s="103" t="n"/>
      <c r="I500" s="103" t="n"/>
      <c r="J500" s="104" t="n"/>
      <c r="K500" s="102" t="n"/>
      <c r="L500" s="103" t="n"/>
      <c r="M500" s="103" t="n"/>
      <c r="N500" s="104" t="n"/>
      <c r="O500" s="102" t="n"/>
      <c r="P500" s="103" t="n"/>
      <c r="Q500" s="103" t="n"/>
      <c r="R500" s="104" t="n"/>
      <c r="S500" s="102" t="n"/>
      <c r="T500" s="103" t="n"/>
      <c r="U500" s="103" t="n"/>
      <c r="V500" s="104" t="n"/>
      <c r="W500" s="102" t="n"/>
      <c r="X500" s="104" t="n"/>
      <c r="Y500" s="102" t="n"/>
      <c r="Z500" s="104" t="n"/>
      <c r="AB500" s="105">
        <f>IF($B500="","",(COUNTIF(C458:E475,$B500)+COUNTIF(C458:E475,$B500&amp;" ~*")&gt;0)+(COUNTIF(G458:I475,$B500)+COUNTIF(G458:I475,$B500&amp;" ~*")&gt;0)+(COUNTIF(K458:M475,$B500)+COUNTIF(K458:M475,$B500&amp;" ~*")&gt;0)+(COUNTIF(O458:Q475,$B500)+COUNTIF(O458:Q475,$B500&amp;" ~*")&gt;0)+(COUNTIF(S458:U475,$B500)+COUNTIF(S458:U475,$B500&amp;" ~*")&gt;0)+(COUNTIF(W458:W475,$B500)+COUNTIF(W458:W475,$B500&amp;" ~*")&gt;0)+(COUNTIF(Y458:Y475,$B500)+COUNTIF(Y458:Y475,$B500&amp;" ~*")&gt;0))</f>
        <v/>
      </c>
      <c r="AC500" s="38">
        <f>IF($B500="","",(IFERROR(INDEX(Setup!$G$33:$G$40,MATCH(C500,Setup!$B$33:$B$40,0)),0)=1)*(COUNTIF(C458:E475,$B500)+COUNTIF(C458:E475,$B500&amp;" ~*")&gt;0)+(IFERROR(INDEX(Setup!$G$33:$G$40,MATCH(G500,Setup!$B$33:$B$40,0)),0)=1)*(COUNTIF(G458:I475,$B500)+COUNTIF(G458:I475,$B500&amp;" ~*")&gt;0)+(IFERROR(INDEX(Setup!$G$33:$G$40,MATCH(K500,Setup!$B$33:$B$40,0)),0)=1)*(COUNTIF(K458:M475,$B500)+COUNTIF(K458:M475,$B500&amp;" ~*")&gt;0)+(IFERROR(INDEX(Setup!$G$33:$G$40,MATCH(O500,Setup!$B$33:$B$40,0)),0)=1)*(COUNTIF(O458:Q475,$B500)+COUNTIF(O458:Q475,$B500&amp;" ~*")&gt;0)+(IFERROR(INDEX(Setup!$G$33:$G$40,MATCH(S500,Setup!$B$33:$B$40,0)),0)=1)*(COUNTIF(S458:U475,$B500)+COUNTIF(S458:U475,$B500&amp;" ~*")&gt;0)+(IFERROR(INDEX(Setup!$G$33:$G$40,MATCH(W500,Setup!$B$33:$B$40,0)),0)=1)*(COUNTIF(W458:W475,$B500)+COUNTIF(W458:W475,$B500&amp;" ~*")&gt;0)+(IFERROR(INDEX(Setup!$G$33:$G$40,MATCH(Y500,Setup!$B$33:$B$40,0)),0)=1)*(COUNTIF(Y458:Y475,$B500)+COUNTIF(Y458:Y475,$B500&amp;" ~*")&gt;0))</f>
        <v/>
      </c>
    </row>
    <row r="501" ht="16" customHeight="1">
      <c r="A501" t="n">
        <v>10</v>
      </c>
      <c r="B501" s="106" t="inlineStr">
        <is>
          <t>Available people</t>
        </is>
      </c>
      <c r="C501" s="107">
        <f>COUNTIFS(Setup!$E$6:$E$29,"Y",Setup!$B$6:$B$29,"?*")-SUMPRODUCT(COUNTIF(C477:C500,Setup!$F$33:$F$40))</f>
        <v/>
      </c>
      <c r="D501" s="107" t="n"/>
      <c r="E501" s="107" t="n"/>
      <c r="F501" s="107" t="n"/>
      <c r="G501" s="107">
        <f>COUNTIFS(Setup!$E$6:$E$29,"Y",Setup!$B$6:$B$29,"?*")-SUMPRODUCT(COUNTIF(G477:G500,Setup!$F$33:$F$40))</f>
        <v/>
      </c>
      <c r="H501" s="107" t="n"/>
      <c r="I501" s="107" t="n"/>
      <c r="J501" s="107" t="n"/>
      <c r="K501" s="107">
        <f>COUNTIFS(Setup!$E$6:$E$29,"Y",Setup!$B$6:$B$29,"?*")-SUMPRODUCT(COUNTIF(K477:K500,Setup!$F$33:$F$40))</f>
        <v/>
      </c>
      <c r="L501" s="107" t="n"/>
      <c r="M501" s="107" t="n"/>
      <c r="N501" s="107" t="n"/>
      <c r="O501" s="107">
        <f>COUNTIFS(Setup!$E$6:$E$29,"Y",Setup!$B$6:$B$29,"?*")-SUMPRODUCT(COUNTIF(O477:O500,Setup!$F$33:$F$40))</f>
        <v/>
      </c>
      <c r="P501" s="107" t="n"/>
      <c r="Q501" s="107" t="n"/>
      <c r="R501" s="107" t="n"/>
      <c r="S501" s="107">
        <f>COUNTIFS(Setup!$E$6:$E$29,"Y",Setup!$B$6:$B$29,"?*")-SUMPRODUCT(COUNTIF(S477:S500,Setup!$F$33:$F$40))</f>
        <v/>
      </c>
      <c r="T501" s="107" t="n"/>
      <c r="U501" s="107" t="n"/>
      <c r="V501" s="107" t="n"/>
      <c r="W501" s="107">
        <f>COUNTIFS(Setup!$E$6:$E$29,"Y",Setup!$B$6:$B$29,"?*")-SUMPRODUCT(COUNTIF(W477:W500,Setup!$F$33:$F$40))</f>
        <v/>
      </c>
      <c r="X501" s="107" t="n"/>
      <c r="Y501" s="107">
        <f>COUNTIFS(Setup!$E$6:$E$29,"Y",Setup!$B$6:$B$29,"?*")-SUMPRODUCT(COUNTIF(Y477:Y500,Setup!$F$33:$F$40))</f>
        <v/>
      </c>
      <c r="Z501" s="107" t="n"/>
      <c r="AB501" s="108">
        <f>SUM(AB477:AB500)</f>
        <v/>
      </c>
      <c r="AC501" s="109">
        <f>SUM(AC477:AC500)</f>
        <v/>
      </c>
    </row>
    <row r="502" ht="30" customHeight="1">
      <c r="A502" t="n">
        <v>10</v>
      </c>
      <c r="B502" s="110" t="inlineStr">
        <is>
          <t>Week notes</t>
        </is>
      </c>
      <c r="C502" s="111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112" t="n"/>
      <c r="R502" s="112" t="n"/>
      <c r="S502" s="112" t="n"/>
      <c r="T502" s="112" t="n"/>
      <c r="U502" s="112" t="n"/>
      <c r="V502" s="112" t="n"/>
      <c r="W502" s="112" t="n"/>
      <c r="X502" s="112" t="n"/>
      <c r="Y502" s="112" t="n"/>
      <c r="Z502" s="113" t="n"/>
    </row>
    <row r="503" ht="8" customHeight="1">
      <c r="A503" t="n">
        <v>10</v>
      </c>
    </row>
    <row r="504" ht="8" customHeight="1">
      <c r="A504" t="n">
        <v>10</v>
      </c>
    </row>
    <row r="505" ht="24" customHeight="1">
      <c r="A505" t="n">
        <v>11</v>
      </c>
      <c r="B505" s="73">
        <f>"WEEK 11     "&amp;TEXT(C506,"ddd d mmm")&amp;"  –  "&amp;TEXT(C506+6,"ddd d mmm yyyy")</f>
        <v/>
      </c>
      <c r="S505" s="74">
        <f>IF(TODAY()&lt;C506,"FUTURE",IF(TODAY()&gt;C506+6,"PAST","THIS WEEK"))</f>
        <v/>
      </c>
      <c r="W505" s="75">
        <f>IF(AND(Engine!$B$8=$AC$3,Engine!$B$9=$A505),"◀ ACTIVE WEEK","")</f>
        <v/>
      </c>
      <c r="AA505" s="76" t="n"/>
      <c r="AB505" s="77" t="inlineStr">
        <is>
          <t>◀ Prev</t>
        </is>
      </c>
      <c r="AC505" s="77" t="inlineStr">
        <is>
          <t>Next ▶</t>
        </is>
      </c>
    </row>
    <row r="506" ht="18" customHeight="1">
      <c r="A506" t="n">
        <v>11</v>
      </c>
      <c r="B506" s="78" t="inlineStr">
        <is>
          <t>DUTY</t>
        </is>
      </c>
      <c r="C506" s="79">
        <f>$AC$2+7*($A506-1)</f>
        <v/>
      </c>
      <c r="D506" s="80" t="n"/>
      <c r="E506" s="80" t="n"/>
      <c r="F506" s="81" t="n"/>
      <c r="G506" s="79">
        <f>C506+1</f>
        <v/>
      </c>
      <c r="H506" s="80" t="n"/>
      <c r="I506" s="80" t="n"/>
      <c r="J506" s="81" t="n"/>
      <c r="K506" s="79">
        <f>C506+2</f>
        <v/>
      </c>
      <c r="L506" s="80" t="n"/>
      <c r="M506" s="80" t="n"/>
      <c r="N506" s="81" t="n"/>
      <c r="O506" s="79">
        <f>C506+3</f>
        <v/>
      </c>
      <c r="P506" s="80" t="n"/>
      <c r="Q506" s="80" t="n"/>
      <c r="R506" s="81" t="n"/>
      <c r="S506" s="79">
        <f>C506+4</f>
        <v/>
      </c>
      <c r="T506" s="80" t="n"/>
      <c r="U506" s="80" t="n"/>
      <c r="V506" s="81" t="n"/>
      <c r="W506" s="82">
        <f>C506+5</f>
        <v/>
      </c>
      <c r="X506" s="83" t="n"/>
      <c r="Y506" s="82">
        <f>C506+6</f>
        <v/>
      </c>
      <c r="Z506" s="83" t="n"/>
      <c r="AB506" s="72" t="inlineStr">
        <is>
          <t>Gaps</t>
        </is>
      </c>
      <c r="AC506" s="72" t="inlineStr">
        <is>
          <t>Cover</t>
        </is>
      </c>
    </row>
    <row r="507" ht="14" customHeight="1">
      <c r="A507" t="n">
        <v>11</v>
      </c>
      <c r="B507" s="84" t="inlineStr">
        <is>
          <t>(from Setup)</t>
        </is>
      </c>
      <c r="C507" s="85" t="inlineStr">
        <is>
          <t>1</t>
        </is>
      </c>
      <c r="D507" s="85" t="inlineStr">
        <is>
          <t>2</t>
        </is>
      </c>
      <c r="E507" s="85" t="inlineStr">
        <is>
          <t>3</t>
        </is>
      </c>
      <c r="F507" s="85" t="inlineStr">
        <is>
          <t>Notes</t>
        </is>
      </c>
      <c r="G507" s="85" t="inlineStr">
        <is>
          <t>1</t>
        </is>
      </c>
      <c r="H507" s="85" t="inlineStr">
        <is>
          <t>2</t>
        </is>
      </c>
      <c r="I507" s="85" t="inlineStr">
        <is>
          <t>3</t>
        </is>
      </c>
      <c r="J507" s="85" t="inlineStr">
        <is>
          <t>Notes</t>
        </is>
      </c>
      <c r="K507" s="85" t="inlineStr">
        <is>
          <t>1</t>
        </is>
      </c>
      <c r="L507" s="85" t="inlineStr">
        <is>
          <t>2</t>
        </is>
      </c>
      <c r="M507" s="85" t="inlineStr">
        <is>
          <t>3</t>
        </is>
      </c>
      <c r="N507" s="85" t="inlineStr">
        <is>
          <t>Notes</t>
        </is>
      </c>
      <c r="O507" s="85" t="inlineStr">
        <is>
          <t>1</t>
        </is>
      </c>
      <c r="P507" s="85" t="inlineStr">
        <is>
          <t>2</t>
        </is>
      </c>
      <c r="Q507" s="85" t="inlineStr">
        <is>
          <t>3</t>
        </is>
      </c>
      <c r="R507" s="85" t="inlineStr">
        <is>
          <t>Notes</t>
        </is>
      </c>
      <c r="S507" s="85" t="inlineStr">
        <is>
          <t>1</t>
        </is>
      </c>
      <c r="T507" s="85" t="inlineStr">
        <is>
          <t>2</t>
        </is>
      </c>
      <c r="U507" s="85" t="inlineStr">
        <is>
          <t>3</t>
        </is>
      </c>
      <c r="V507" s="85" t="inlineStr">
        <is>
          <t>Notes</t>
        </is>
      </c>
      <c r="W507" s="85" t="inlineStr">
        <is>
          <t>Cover</t>
        </is>
      </c>
      <c r="X507" s="85" t="inlineStr">
        <is>
          <t>Notes</t>
        </is>
      </c>
      <c r="Y507" s="85" t="inlineStr">
        <is>
          <t>Cover</t>
        </is>
      </c>
      <c r="Z507" s="85" t="inlineStr">
        <is>
          <t>Notes</t>
        </is>
      </c>
      <c r="AB507" s="86" t="inlineStr">
        <is>
          <t>weekdays short</t>
        </is>
      </c>
      <c r="AC507" s="87" t="inlineStr"/>
    </row>
    <row r="508" ht="17" customHeight="1">
      <c r="A508" t="n">
        <v>11</v>
      </c>
      <c r="B508" s="24">
        <f>IF(Setup!$K$6="","",Setup!$K$6)</f>
        <v/>
      </c>
      <c r="C508" s="88" t="n"/>
      <c r="D508" s="88" t="n"/>
      <c r="E508" s="88" t="n"/>
      <c r="F508" s="89" t="n"/>
      <c r="G508" s="88" t="n"/>
      <c r="H508" s="88" t="n"/>
      <c r="I508" s="88" t="n"/>
      <c r="J508" s="89" t="n"/>
      <c r="K508" s="88" t="n"/>
      <c r="L508" s="88" t="n"/>
      <c r="M508" s="88" t="n"/>
      <c r="N508" s="89" t="n"/>
      <c r="O508" s="88" t="n"/>
      <c r="P508" s="88" t="n"/>
      <c r="Q508" s="88" t="n"/>
      <c r="R508" s="89" t="n"/>
      <c r="S508" s="88" t="n"/>
      <c r="T508" s="88" t="n"/>
      <c r="U508" s="88" t="n"/>
      <c r="V508" s="89" t="n"/>
      <c r="W508" s="88" t="n"/>
      <c r="X508" s="89" t="n"/>
      <c r="Y508" s="88" t="n"/>
      <c r="Z508" s="89" t="n"/>
      <c r="AB508" s="25">
        <f>IF($B508="","",(COUNTIF(C508:E508,"?*")&lt;N(INDEX(Setup!$L$6:$L$23,1)))+(COUNTIF(G508:I508,"?*")&lt;N(INDEX(Setup!$L$6:$L$23,1)))+(COUNTIF(K508:M508,"?*")&lt;N(INDEX(Setup!$L$6:$L$23,1)))+(COUNTIF(O508:Q508,"?*")&lt;N(INDEX(Setup!$L$6:$L$23,1)))+(COUNTIF(S508:U508,"?*")&lt;N(INDEX(Setup!$L$6:$L$23,1)))+((W508="")*(INDEX(Setup!$M$6:$M$23,1)="Y"))+((Y508="")*(INDEX(Setup!$M$6:$M$23,1)="Y")))</f>
        <v/>
      </c>
      <c r="AC508" s="90">
        <f>IF($B508="","",IF(AB508=0,"✓ covered","⚠ "&amp;AB508&amp;IF(AB508=1," gap"," gaps")))</f>
        <v/>
      </c>
    </row>
    <row r="509" ht="17" customHeight="1">
      <c r="A509" t="n">
        <v>11</v>
      </c>
      <c r="B509" s="29">
        <f>IF(Setup!$K$7="","",Setup!$K$7)</f>
        <v/>
      </c>
      <c r="C509" s="88" t="n"/>
      <c r="D509" s="88" t="n"/>
      <c r="E509" s="88" t="n"/>
      <c r="F509" s="89" t="n"/>
      <c r="G509" s="88" t="n"/>
      <c r="H509" s="88" t="n"/>
      <c r="I509" s="88" t="n"/>
      <c r="J509" s="89" t="n"/>
      <c r="K509" s="88" t="n"/>
      <c r="L509" s="88" t="n"/>
      <c r="M509" s="88" t="n"/>
      <c r="N509" s="89" t="n"/>
      <c r="O509" s="88" t="n"/>
      <c r="P509" s="88" t="n"/>
      <c r="Q509" s="88" t="n"/>
      <c r="R509" s="89" t="n"/>
      <c r="S509" s="88" t="n"/>
      <c r="T509" s="88" t="n"/>
      <c r="U509" s="88" t="n"/>
      <c r="V509" s="89" t="n"/>
      <c r="W509" s="88" t="n"/>
      <c r="X509" s="89" t="n"/>
      <c r="Y509" s="88" t="n"/>
      <c r="Z509" s="89" t="n"/>
      <c r="AB509" s="30">
        <f>IF($B509="","",(COUNTIF(C509:E509,"?*")&lt;N(INDEX(Setup!$L$6:$L$23,2)))+(COUNTIF(G509:I509,"?*")&lt;N(INDEX(Setup!$L$6:$L$23,2)))+(COUNTIF(K509:M509,"?*")&lt;N(INDEX(Setup!$L$6:$L$23,2)))+(COUNTIF(O509:Q509,"?*")&lt;N(INDEX(Setup!$L$6:$L$23,2)))+(COUNTIF(S509:U509,"?*")&lt;N(INDEX(Setup!$L$6:$L$23,2)))+((W509="")*(INDEX(Setup!$M$6:$M$23,2)="Y"))+((Y509="")*(INDEX(Setup!$M$6:$M$23,2)="Y")))</f>
        <v/>
      </c>
      <c r="AC509" s="91">
        <f>IF($B509="","",IF(AB509=0,"✓ covered","⚠ "&amp;AB509&amp;IF(AB509=1," gap"," gaps")))</f>
        <v/>
      </c>
    </row>
    <row r="510" ht="17" customHeight="1">
      <c r="A510" t="n">
        <v>11</v>
      </c>
      <c r="B510" s="24">
        <f>IF(Setup!$K$8="","",Setup!$K$8)</f>
        <v/>
      </c>
      <c r="C510" s="88" t="n"/>
      <c r="D510" s="88" t="n"/>
      <c r="E510" s="88" t="n"/>
      <c r="F510" s="89" t="n"/>
      <c r="G510" s="88" t="n"/>
      <c r="H510" s="88" t="n"/>
      <c r="I510" s="88" t="n"/>
      <c r="J510" s="89" t="n"/>
      <c r="K510" s="88" t="n"/>
      <c r="L510" s="88" t="n"/>
      <c r="M510" s="88" t="n"/>
      <c r="N510" s="89" t="n"/>
      <c r="O510" s="88" t="n"/>
      <c r="P510" s="88" t="n"/>
      <c r="Q510" s="88" t="n"/>
      <c r="R510" s="89" t="n"/>
      <c r="S510" s="88" t="n"/>
      <c r="T510" s="88" t="n"/>
      <c r="U510" s="88" t="n"/>
      <c r="V510" s="89" t="n"/>
      <c r="W510" s="88" t="n"/>
      <c r="X510" s="89" t="n"/>
      <c r="Y510" s="88" t="n"/>
      <c r="Z510" s="89" t="n"/>
      <c r="AB510" s="25">
        <f>IF($B510="","",(COUNTIF(C510:E510,"?*")&lt;N(INDEX(Setup!$L$6:$L$23,3)))+(COUNTIF(G510:I510,"?*")&lt;N(INDEX(Setup!$L$6:$L$23,3)))+(COUNTIF(K510:M510,"?*")&lt;N(INDEX(Setup!$L$6:$L$23,3)))+(COUNTIF(O510:Q510,"?*")&lt;N(INDEX(Setup!$L$6:$L$23,3)))+(COUNTIF(S510:U510,"?*")&lt;N(INDEX(Setup!$L$6:$L$23,3)))+((W510="")*(INDEX(Setup!$M$6:$M$23,3)="Y"))+((Y510="")*(INDEX(Setup!$M$6:$M$23,3)="Y")))</f>
        <v/>
      </c>
      <c r="AC510" s="90">
        <f>IF($B510="","",IF(AB510=0,"✓ covered","⚠ "&amp;AB510&amp;IF(AB510=1," gap"," gaps")))</f>
        <v/>
      </c>
    </row>
    <row r="511" ht="17" customHeight="1">
      <c r="A511" t="n">
        <v>11</v>
      </c>
      <c r="B511" s="29">
        <f>IF(Setup!$K$9="","",Setup!$K$9)</f>
        <v/>
      </c>
      <c r="C511" s="88" t="n"/>
      <c r="D511" s="88" t="n"/>
      <c r="E511" s="88" t="n"/>
      <c r="F511" s="89" t="n"/>
      <c r="G511" s="88" t="n"/>
      <c r="H511" s="88" t="n"/>
      <c r="I511" s="88" t="n"/>
      <c r="J511" s="89" t="n"/>
      <c r="K511" s="88" t="n"/>
      <c r="L511" s="88" t="n"/>
      <c r="M511" s="88" t="n"/>
      <c r="N511" s="89" t="n"/>
      <c r="O511" s="88" t="n"/>
      <c r="P511" s="88" t="n"/>
      <c r="Q511" s="88" t="n"/>
      <c r="R511" s="89" t="n"/>
      <c r="S511" s="88" t="n"/>
      <c r="T511" s="88" t="n"/>
      <c r="U511" s="88" t="n"/>
      <c r="V511" s="89" t="n"/>
      <c r="W511" s="88" t="n"/>
      <c r="X511" s="89" t="n"/>
      <c r="Y511" s="88" t="n"/>
      <c r="Z511" s="89" t="n"/>
      <c r="AB511" s="30">
        <f>IF($B511="","",(COUNTIF(C511:E511,"?*")&lt;N(INDEX(Setup!$L$6:$L$23,4)))+(COUNTIF(G511:I511,"?*")&lt;N(INDEX(Setup!$L$6:$L$23,4)))+(COUNTIF(K511:M511,"?*")&lt;N(INDEX(Setup!$L$6:$L$23,4)))+(COUNTIF(O511:Q511,"?*")&lt;N(INDEX(Setup!$L$6:$L$23,4)))+(COUNTIF(S511:U511,"?*")&lt;N(INDEX(Setup!$L$6:$L$23,4)))+((W511="")*(INDEX(Setup!$M$6:$M$23,4)="Y"))+((Y511="")*(INDEX(Setup!$M$6:$M$23,4)="Y")))</f>
        <v/>
      </c>
      <c r="AC511" s="91">
        <f>IF($B511="","",IF(AB511=0,"✓ covered","⚠ "&amp;AB511&amp;IF(AB511=1," gap"," gaps")))</f>
        <v/>
      </c>
    </row>
    <row r="512" ht="17" customHeight="1">
      <c r="A512" t="n">
        <v>11</v>
      </c>
      <c r="B512" s="24">
        <f>IF(Setup!$K$10="","",Setup!$K$10)</f>
        <v/>
      </c>
      <c r="C512" s="88" t="n"/>
      <c r="D512" s="88" t="n"/>
      <c r="E512" s="88" t="n"/>
      <c r="F512" s="89" t="n"/>
      <c r="G512" s="88" t="n"/>
      <c r="H512" s="88" t="n"/>
      <c r="I512" s="88" t="n"/>
      <c r="J512" s="89" t="n"/>
      <c r="K512" s="88" t="n"/>
      <c r="L512" s="88" t="n"/>
      <c r="M512" s="88" t="n"/>
      <c r="N512" s="89" t="n"/>
      <c r="O512" s="88" t="n"/>
      <c r="P512" s="88" t="n"/>
      <c r="Q512" s="88" t="n"/>
      <c r="R512" s="89" t="n"/>
      <c r="S512" s="88" t="n"/>
      <c r="T512" s="88" t="n"/>
      <c r="U512" s="88" t="n"/>
      <c r="V512" s="89" t="n"/>
      <c r="W512" s="88" t="n"/>
      <c r="X512" s="89" t="n"/>
      <c r="Y512" s="88" t="n"/>
      <c r="Z512" s="89" t="n"/>
      <c r="AB512" s="25">
        <f>IF($B512="","",(COUNTIF(C512:E512,"?*")&lt;N(INDEX(Setup!$L$6:$L$23,5)))+(COUNTIF(G512:I512,"?*")&lt;N(INDEX(Setup!$L$6:$L$23,5)))+(COUNTIF(K512:M512,"?*")&lt;N(INDEX(Setup!$L$6:$L$23,5)))+(COUNTIF(O512:Q512,"?*")&lt;N(INDEX(Setup!$L$6:$L$23,5)))+(COUNTIF(S512:U512,"?*")&lt;N(INDEX(Setup!$L$6:$L$23,5)))+((W512="")*(INDEX(Setup!$M$6:$M$23,5)="Y"))+((Y512="")*(INDEX(Setup!$M$6:$M$23,5)="Y")))</f>
        <v/>
      </c>
      <c r="AC512" s="90">
        <f>IF($B512="","",IF(AB512=0,"✓ covered","⚠ "&amp;AB512&amp;IF(AB512=1," gap"," gaps")))</f>
        <v/>
      </c>
    </row>
    <row r="513" ht="17" customHeight="1">
      <c r="A513" t="n">
        <v>11</v>
      </c>
      <c r="B513" s="29">
        <f>IF(Setup!$K$11="","",Setup!$K$11)</f>
        <v/>
      </c>
      <c r="C513" s="88" t="n"/>
      <c r="D513" s="88" t="n"/>
      <c r="E513" s="88" t="n"/>
      <c r="F513" s="89" t="n"/>
      <c r="G513" s="88" t="n"/>
      <c r="H513" s="88" t="n"/>
      <c r="I513" s="88" t="n"/>
      <c r="J513" s="89" t="n"/>
      <c r="K513" s="88" t="n"/>
      <c r="L513" s="88" t="n"/>
      <c r="M513" s="88" t="n"/>
      <c r="N513" s="89" t="n"/>
      <c r="O513" s="88" t="n"/>
      <c r="P513" s="88" t="n"/>
      <c r="Q513" s="88" t="n"/>
      <c r="R513" s="89" t="n"/>
      <c r="S513" s="88" t="n"/>
      <c r="T513" s="88" t="n"/>
      <c r="U513" s="88" t="n"/>
      <c r="V513" s="89" t="n"/>
      <c r="W513" s="88" t="n"/>
      <c r="X513" s="89" t="n"/>
      <c r="Y513" s="88" t="n"/>
      <c r="Z513" s="89" t="n"/>
      <c r="AB513" s="30">
        <f>IF($B513="","",(COUNTIF(C513:E513,"?*")&lt;N(INDEX(Setup!$L$6:$L$23,6)))+(COUNTIF(G513:I513,"?*")&lt;N(INDEX(Setup!$L$6:$L$23,6)))+(COUNTIF(K513:M513,"?*")&lt;N(INDEX(Setup!$L$6:$L$23,6)))+(COUNTIF(O513:Q513,"?*")&lt;N(INDEX(Setup!$L$6:$L$23,6)))+(COUNTIF(S513:U513,"?*")&lt;N(INDEX(Setup!$L$6:$L$23,6)))+((W513="")*(INDEX(Setup!$M$6:$M$23,6)="Y"))+((Y513="")*(INDEX(Setup!$M$6:$M$23,6)="Y")))</f>
        <v/>
      </c>
      <c r="AC513" s="91">
        <f>IF($B513="","",IF(AB513=0,"✓ covered","⚠ "&amp;AB513&amp;IF(AB513=1," gap"," gaps")))</f>
        <v/>
      </c>
    </row>
    <row r="514" ht="17" customHeight="1">
      <c r="A514" t="n">
        <v>11</v>
      </c>
      <c r="B514" s="24">
        <f>IF(Setup!$K$12="","",Setup!$K$12)</f>
        <v/>
      </c>
      <c r="C514" s="88" t="n"/>
      <c r="D514" s="88" t="n"/>
      <c r="E514" s="88" t="n"/>
      <c r="F514" s="89" t="n"/>
      <c r="G514" s="88" t="n"/>
      <c r="H514" s="88" t="n"/>
      <c r="I514" s="88" t="n"/>
      <c r="J514" s="89" t="n"/>
      <c r="K514" s="88" t="n"/>
      <c r="L514" s="88" t="n"/>
      <c r="M514" s="88" t="n"/>
      <c r="N514" s="89" t="n"/>
      <c r="O514" s="88" t="n"/>
      <c r="P514" s="88" t="n"/>
      <c r="Q514" s="88" t="n"/>
      <c r="R514" s="89" t="n"/>
      <c r="S514" s="88" t="n"/>
      <c r="T514" s="88" t="n"/>
      <c r="U514" s="88" t="n"/>
      <c r="V514" s="89" t="n"/>
      <c r="W514" s="88" t="n"/>
      <c r="X514" s="89" t="n"/>
      <c r="Y514" s="88" t="n"/>
      <c r="Z514" s="89" t="n"/>
      <c r="AB514" s="25">
        <f>IF($B514="","",(COUNTIF(C514:E514,"?*")&lt;N(INDEX(Setup!$L$6:$L$23,7)))+(COUNTIF(G514:I514,"?*")&lt;N(INDEX(Setup!$L$6:$L$23,7)))+(COUNTIF(K514:M514,"?*")&lt;N(INDEX(Setup!$L$6:$L$23,7)))+(COUNTIF(O514:Q514,"?*")&lt;N(INDEX(Setup!$L$6:$L$23,7)))+(COUNTIF(S514:U514,"?*")&lt;N(INDEX(Setup!$L$6:$L$23,7)))+((W514="")*(INDEX(Setup!$M$6:$M$23,7)="Y"))+((Y514="")*(INDEX(Setup!$M$6:$M$23,7)="Y")))</f>
        <v/>
      </c>
      <c r="AC514" s="90">
        <f>IF($B514="","",IF(AB514=0,"✓ covered","⚠ "&amp;AB514&amp;IF(AB514=1," gap"," gaps")))</f>
        <v/>
      </c>
    </row>
    <row r="515" ht="17" customHeight="1">
      <c r="A515" t="n">
        <v>11</v>
      </c>
      <c r="B515" s="29">
        <f>IF(Setup!$K$13="","",Setup!$K$13)</f>
        <v/>
      </c>
      <c r="C515" s="88" t="n"/>
      <c r="D515" s="88" t="n"/>
      <c r="E515" s="88" t="n"/>
      <c r="F515" s="89" t="n"/>
      <c r="G515" s="88" t="n"/>
      <c r="H515" s="88" t="n"/>
      <c r="I515" s="88" t="n"/>
      <c r="J515" s="89" t="n"/>
      <c r="K515" s="88" t="n"/>
      <c r="L515" s="88" t="n"/>
      <c r="M515" s="88" t="n"/>
      <c r="N515" s="89" t="n"/>
      <c r="O515" s="88" t="n"/>
      <c r="P515" s="88" t="n"/>
      <c r="Q515" s="88" t="n"/>
      <c r="R515" s="89" t="n"/>
      <c r="S515" s="88" t="n"/>
      <c r="T515" s="88" t="n"/>
      <c r="U515" s="88" t="n"/>
      <c r="V515" s="89" t="n"/>
      <c r="W515" s="88" t="n"/>
      <c r="X515" s="89" t="n"/>
      <c r="Y515" s="88" t="n"/>
      <c r="Z515" s="89" t="n"/>
      <c r="AB515" s="30">
        <f>IF($B515="","",(COUNTIF(C515:E515,"?*")&lt;N(INDEX(Setup!$L$6:$L$23,8)))+(COUNTIF(G515:I515,"?*")&lt;N(INDEX(Setup!$L$6:$L$23,8)))+(COUNTIF(K515:M515,"?*")&lt;N(INDEX(Setup!$L$6:$L$23,8)))+(COUNTIF(O515:Q515,"?*")&lt;N(INDEX(Setup!$L$6:$L$23,8)))+(COUNTIF(S515:U515,"?*")&lt;N(INDEX(Setup!$L$6:$L$23,8)))+((W515="")*(INDEX(Setup!$M$6:$M$23,8)="Y"))+((Y515="")*(INDEX(Setup!$M$6:$M$23,8)="Y")))</f>
        <v/>
      </c>
      <c r="AC515" s="91">
        <f>IF($B515="","",IF(AB515=0,"✓ covered","⚠ "&amp;AB515&amp;IF(AB515=1," gap"," gaps")))</f>
        <v/>
      </c>
    </row>
    <row r="516" ht="17" customHeight="1">
      <c r="A516" t="n">
        <v>11</v>
      </c>
      <c r="B516" s="24">
        <f>IF(Setup!$K$14="","",Setup!$K$14)</f>
        <v/>
      </c>
      <c r="C516" s="88" t="n"/>
      <c r="D516" s="88" t="n"/>
      <c r="E516" s="88" t="n"/>
      <c r="F516" s="89" t="n"/>
      <c r="G516" s="88" t="n"/>
      <c r="H516" s="88" t="n"/>
      <c r="I516" s="88" t="n"/>
      <c r="J516" s="89" t="n"/>
      <c r="K516" s="88" t="n"/>
      <c r="L516" s="88" t="n"/>
      <c r="M516" s="88" t="n"/>
      <c r="N516" s="89" t="n"/>
      <c r="O516" s="88" t="n"/>
      <c r="P516" s="88" t="n"/>
      <c r="Q516" s="88" t="n"/>
      <c r="R516" s="89" t="n"/>
      <c r="S516" s="88" t="n"/>
      <c r="T516" s="88" t="n"/>
      <c r="U516" s="88" t="n"/>
      <c r="V516" s="89" t="n"/>
      <c r="W516" s="88" t="n"/>
      <c r="X516" s="89" t="n"/>
      <c r="Y516" s="88" t="n"/>
      <c r="Z516" s="89" t="n"/>
      <c r="AB516" s="25">
        <f>IF($B516="","",(COUNTIF(C516:E516,"?*")&lt;N(INDEX(Setup!$L$6:$L$23,9)))+(COUNTIF(G516:I516,"?*")&lt;N(INDEX(Setup!$L$6:$L$23,9)))+(COUNTIF(K516:M516,"?*")&lt;N(INDEX(Setup!$L$6:$L$23,9)))+(COUNTIF(O516:Q516,"?*")&lt;N(INDEX(Setup!$L$6:$L$23,9)))+(COUNTIF(S516:U516,"?*")&lt;N(INDEX(Setup!$L$6:$L$23,9)))+((W516="")*(INDEX(Setup!$M$6:$M$23,9)="Y"))+((Y516="")*(INDEX(Setup!$M$6:$M$23,9)="Y")))</f>
        <v/>
      </c>
      <c r="AC516" s="90">
        <f>IF($B516="","",IF(AB516=0,"✓ covered","⚠ "&amp;AB516&amp;IF(AB516=1," gap"," gaps")))</f>
        <v/>
      </c>
    </row>
    <row r="517" ht="17" customHeight="1">
      <c r="A517" t="n">
        <v>11</v>
      </c>
      <c r="B517" s="29">
        <f>IF(Setup!$K$15="","",Setup!$K$15)</f>
        <v/>
      </c>
      <c r="C517" s="88" t="n"/>
      <c r="D517" s="88" t="n"/>
      <c r="E517" s="88" t="n"/>
      <c r="F517" s="89" t="n"/>
      <c r="G517" s="88" t="n"/>
      <c r="H517" s="88" t="n"/>
      <c r="I517" s="88" t="n"/>
      <c r="J517" s="89" t="n"/>
      <c r="K517" s="88" t="n"/>
      <c r="L517" s="88" t="n"/>
      <c r="M517" s="88" t="n"/>
      <c r="N517" s="89" t="n"/>
      <c r="O517" s="88" t="n"/>
      <c r="P517" s="88" t="n"/>
      <c r="Q517" s="88" t="n"/>
      <c r="R517" s="89" t="n"/>
      <c r="S517" s="88" t="n"/>
      <c r="T517" s="88" t="n"/>
      <c r="U517" s="88" t="n"/>
      <c r="V517" s="89" t="n"/>
      <c r="W517" s="88" t="n"/>
      <c r="X517" s="89" t="n"/>
      <c r="Y517" s="88" t="n"/>
      <c r="Z517" s="89" t="n"/>
      <c r="AB517" s="30">
        <f>IF($B517="","",(COUNTIF(C517:E517,"?*")&lt;N(INDEX(Setup!$L$6:$L$23,10)))+(COUNTIF(G517:I517,"?*")&lt;N(INDEX(Setup!$L$6:$L$23,10)))+(COUNTIF(K517:M517,"?*")&lt;N(INDEX(Setup!$L$6:$L$23,10)))+(COUNTIF(O517:Q517,"?*")&lt;N(INDEX(Setup!$L$6:$L$23,10)))+(COUNTIF(S517:U517,"?*")&lt;N(INDEX(Setup!$L$6:$L$23,10)))+((W517="")*(INDEX(Setup!$M$6:$M$23,10)="Y"))+((Y517="")*(INDEX(Setup!$M$6:$M$23,10)="Y")))</f>
        <v/>
      </c>
      <c r="AC517" s="91">
        <f>IF($B517="","",IF(AB517=0,"✓ covered","⚠ "&amp;AB517&amp;IF(AB517=1," gap"," gaps")))</f>
        <v/>
      </c>
    </row>
    <row r="518" ht="17" customHeight="1">
      <c r="A518" t="n">
        <v>11</v>
      </c>
      <c r="B518" s="24">
        <f>IF(Setup!$K$16="","",Setup!$K$16)</f>
        <v/>
      </c>
      <c r="C518" s="88" t="n"/>
      <c r="D518" s="88" t="n"/>
      <c r="E518" s="88" t="n"/>
      <c r="F518" s="89" t="n"/>
      <c r="G518" s="88" t="n"/>
      <c r="H518" s="88" t="n"/>
      <c r="I518" s="88" t="n"/>
      <c r="J518" s="89" t="n"/>
      <c r="K518" s="88" t="n"/>
      <c r="L518" s="88" t="n"/>
      <c r="M518" s="88" t="n"/>
      <c r="N518" s="89" t="n"/>
      <c r="O518" s="88" t="n"/>
      <c r="P518" s="88" t="n"/>
      <c r="Q518" s="88" t="n"/>
      <c r="R518" s="89" t="n"/>
      <c r="S518" s="88" t="n"/>
      <c r="T518" s="88" t="n"/>
      <c r="U518" s="88" t="n"/>
      <c r="V518" s="89" t="n"/>
      <c r="W518" s="88" t="n"/>
      <c r="X518" s="89" t="n"/>
      <c r="Y518" s="88" t="n"/>
      <c r="Z518" s="89" t="n"/>
      <c r="AB518" s="25">
        <f>IF($B518="","",(COUNTIF(C518:E518,"?*")&lt;N(INDEX(Setup!$L$6:$L$23,11)))+(COUNTIF(G518:I518,"?*")&lt;N(INDEX(Setup!$L$6:$L$23,11)))+(COUNTIF(K518:M518,"?*")&lt;N(INDEX(Setup!$L$6:$L$23,11)))+(COUNTIF(O518:Q518,"?*")&lt;N(INDEX(Setup!$L$6:$L$23,11)))+(COUNTIF(S518:U518,"?*")&lt;N(INDEX(Setup!$L$6:$L$23,11)))+((W518="")*(INDEX(Setup!$M$6:$M$23,11)="Y"))+((Y518="")*(INDEX(Setup!$M$6:$M$23,11)="Y")))</f>
        <v/>
      </c>
      <c r="AC518" s="90">
        <f>IF($B518="","",IF(AB518=0,"✓ covered","⚠ "&amp;AB518&amp;IF(AB518=1," gap"," gaps")))</f>
        <v/>
      </c>
    </row>
    <row r="519" ht="17" customHeight="1">
      <c r="A519" t="n">
        <v>11</v>
      </c>
      <c r="B519" s="29">
        <f>IF(Setup!$K$17="","",Setup!$K$17)</f>
        <v/>
      </c>
      <c r="C519" s="88" t="n"/>
      <c r="D519" s="88" t="n"/>
      <c r="E519" s="88" t="n"/>
      <c r="F519" s="89" t="n"/>
      <c r="G519" s="88" t="n"/>
      <c r="H519" s="88" t="n"/>
      <c r="I519" s="88" t="n"/>
      <c r="J519" s="89" t="n"/>
      <c r="K519" s="88" t="n"/>
      <c r="L519" s="88" t="n"/>
      <c r="M519" s="88" t="n"/>
      <c r="N519" s="89" t="n"/>
      <c r="O519" s="88" t="n"/>
      <c r="P519" s="88" t="n"/>
      <c r="Q519" s="88" t="n"/>
      <c r="R519" s="89" t="n"/>
      <c r="S519" s="88" t="n"/>
      <c r="T519" s="88" t="n"/>
      <c r="U519" s="88" t="n"/>
      <c r="V519" s="89" t="n"/>
      <c r="W519" s="88" t="n"/>
      <c r="X519" s="89" t="n"/>
      <c r="Y519" s="88" t="n"/>
      <c r="Z519" s="89" t="n"/>
      <c r="AB519" s="30">
        <f>IF($B519="","",(COUNTIF(C519:E519,"?*")&lt;N(INDEX(Setup!$L$6:$L$23,12)))+(COUNTIF(G519:I519,"?*")&lt;N(INDEX(Setup!$L$6:$L$23,12)))+(COUNTIF(K519:M519,"?*")&lt;N(INDEX(Setup!$L$6:$L$23,12)))+(COUNTIF(O519:Q519,"?*")&lt;N(INDEX(Setup!$L$6:$L$23,12)))+(COUNTIF(S519:U519,"?*")&lt;N(INDEX(Setup!$L$6:$L$23,12)))+((W519="")*(INDEX(Setup!$M$6:$M$23,12)="Y"))+((Y519="")*(INDEX(Setup!$M$6:$M$23,12)="Y")))</f>
        <v/>
      </c>
      <c r="AC519" s="91">
        <f>IF($B519="","",IF(AB519=0,"✓ covered","⚠ "&amp;AB519&amp;IF(AB519=1," gap"," gaps")))</f>
        <v/>
      </c>
    </row>
    <row r="520" ht="17" customHeight="1">
      <c r="A520" t="n">
        <v>11</v>
      </c>
      <c r="B520" s="24">
        <f>IF(Setup!$K$18="","",Setup!$K$18)</f>
        <v/>
      </c>
      <c r="C520" s="88" t="n"/>
      <c r="D520" s="88" t="n"/>
      <c r="E520" s="88" t="n"/>
      <c r="F520" s="89" t="n"/>
      <c r="G520" s="88" t="n"/>
      <c r="H520" s="88" t="n"/>
      <c r="I520" s="88" t="n"/>
      <c r="J520" s="89" t="n"/>
      <c r="K520" s="88" t="n"/>
      <c r="L520" s="88" t="n"/>
      <c r="M520" s="88" t="n"/>
      <c r="N520" s="89" t="n"/>
      <c r="O520" s="88" t="n"/>
      <c r="P520" s="88" t="n"/>
      <c r="Q520" s="88" t="n"/>
      <c r="R520" s="89" t="n"/>
      <c r="S520" s="88" t="n"/>
      <c r="T520" s="88" t="n"/>
      <c r="U520" s="88" t="n"/>
      <c r="V520" s="89" t="n"/>
      <c r="W520" s="88" t="n"/>
      <c r="X520" s="89" t="n"/>
      <c r="Y520" s="88" t="n"/>
      <c r="Z520" s="89" t="n"/>
      <c r="AB520" s="25">
        <f>IF($B520="","",(COUNTIF(C520:E520,"?*")&lt;N(INDEX(Setup!$L$6:$L$23,13)))+(COUNTIF(G520:I520,"?*")&lt;N(INDEX(Setup!$L$6:$L$23,13)))+(COUNTIF(K520:M520,"?*")&lt;N(INDEX(Setup!$L$6:$L$23,13)))+(COUNTIF(O520:Q520,"?*")&lt;N(INDEX(Setup!$L$6:$L$23,13)))+(COUNTIF(S520:U520,"?*")&lt;N(INDEX(Setup!$L$6:$L$23,13)))+((W520="")*(INDEX(Setup!$M$6:$M$23,13)="Y"))+((Y520="")*(INDEX(Setup!$M$6:$M$23,13)="Y")))</f>
        <v/>
      </c>
      <c r="AC520" s="90">
        <f>IF($B520="","",IF(AB520=0,"✓ covered","⚠ "&amp;AB520&amp;IF(AB520=1," gap"," gaps")))</f>
        <v/>
      </c>
    </row>
    <row r="521" ht="17" customHeight="1">
      <c r="A521" t="n">
        <v>11</v>
      </c>
      <c r="B521" s="29">
        <f>IF(Setup!$K$19="","",Setup!$K$19)</f>
        <v/>
      </c>
      <c r="C521" s="88" t="n"/>
      <c r="D521" s="88" t="n"/>
      <c r="E521" s="88" t="n"/>
      <c r="F521" s="89" t="n"/>
      <c r="G521" s="88" t="n"/>
      <c r="H521" s="88" t="n"/>
      <c r="I521" s="88" t="n"/>
      <c r="J521" s="89" t="n"/>
      <c r="K521" s="88" t="n"/>
      <c r="L521" s="88" t="n"/>
      <c r="M521" s="88" t="n"/>
      <c r="N521" s="89" t="n"/>
      <c r="O521" s="88" t="n"/>
      <c r="P521" s="88" t="n"/>
      <c r="Q521" s="88" t="n"/>
      <c r="R521" s="89" t="n"/>
      <c r="S521" s="88" t="n"/>
      <c r="T521" s="88" t="n"/>
      <c r="U521" s="88" t="n"/>
      <c r="V521" s="89" t="n"/>
      <c r="W521" s="88" t="n"/>
      <c r="X521" s="89" t="n"/>
      <c r="Y521" s="88" t="n"/>
      <c r="Z521" s="89" t="n"/>
      <c r="AB521" s="30">
        <f>IF($B521="","",(COUNTIF(C521:E521,"?*")&lt;N(INDEX(Setup!$L$6:$L$23,14)))+(COUNTIF(G521:I521,"?*")&lt;N(INDEX(Setup!$L$6:$L$23,14)))+(COUNTIF(K521:M521,"?*")&lt;N(INDEX(Setup!$L$6:$L$23,14)))+(COUNTIF(O521:Q521,"?*")&lt;N(INDEX(Setup!$L$6:$L$23,14)))+(COUNTIF(S521:U521,"?*")&lt;N(INDEX(Setup!$L$6:$L$23,14)))+((W521="")*(INDEX(Setup!$M$6:$M$23,14)="Y"))+((Y521="")*(INDEX(Setup!$M$6:$M$23,14)="Y")))</f>
        <v/>
      </c>
      <c r="AC521" s="91">
        <f>IF($B521="","",IF(AB521=0,"✓ covered","⚠ "&amp;AB521&amp;IF(AB521=1," gap"," gaps")))</f>
        <v/>
      </c>
    </row>
    <row r="522" ht="17" customHeight="1">
      <c r="A522" t="n">
        <v>11</v>
      </c>
      <c r="B522" s="24">
        <f>IF(Setup!$K$20="","",Setup!$K$20)</f>
        <v/>
      </c>
      <c r="C522" s="88" t="n"/>
      <c r="D522" s="88" t="n"/>
      <c r="E522" s="88" t="n"/>
      <c r="F522" s="89" t="n"/>
      <c r="G522" s="88" t="n"/>
      <c r="H522" s="88" t="n"/>
      <c r="I522" s="88" t="n"/>
      <c r="J522" s="89" t="n"/>
      <c r="K522" s="88" t="n"/>
      <c r="L522" s="88" t="n"/>
      <c r="M522" s="88" t="n"/>
      <c r="N522" s="89" t="n"/>
      <c r="O522" s="88" t="n"/>
      <c r="P522" s="88" t="n"/>
      <c r="Q522" s="88" t="n"/>
      <c r="R522" s="89" t="n"/>
      <c r="S522" s="88" t="n"/>
      <c r="T522" s="88" t="n"/>
      <c r="U522" s="88" t="n"/>
      <c r="V522" s="89" t="n"/>
      <c r="W522" s="88" t="n"/>
      <c r="X522" s="89" t="n"/>
      <c r="Y522" s="88" t="n"/>
      <c r="Z522" s="89" t="n"/>
      <c r="AB522" s="25">
        <f>IF($B522="","",(COUNTIF(C522:E522,"?*")&lt;N(INDEX(Setup!$L$6:$L$23,15)))+(COUNTIF(G522:I522,"?*")&lt;N(INDEX(Setup!$L$6:$L$23,15)))+(COUNTIF(K522:M522,"?*")&lt;N(INDEX(Setup!$L$6:$L$23,15)))+(COUNTIF(O522:Q522,"?*")&lt;N(INDEX(Setup!$L$6:$L$23,15)))+(COUNTIF(S522:U522,"?*")&lt;N(INDEX(Setup!$L$6:$L$23,15)))+((W522="")*(INDEX(Setup!$M$6:$M$23,15)="Y"))+((Y522="")*(INDEX(Setup!$M$6:$M$23,15)="Y")))</f>
        <v/>
      </c>
      <c r="AC522" s="90">
        <f>IF($B522="","",IF(AB522=0,"✓ covered","⚠ "&amp;AB522&amp;IF(AB522=1," gap"," gaps")))</f>
        <v/>
      </c>
    </row>
    <row r="523" ht="17" customHeight="1">
      <c r="A523" t="n">
        <v>11</v>
      </c>
      <c r="B523" s="29">
        <f>IF(Setup!$K$21="","",Setup!$K$21)</f>
        <v/>
      </c>
      <c r="C523" s="88" t="n"/>
      <c r="D523" s="88" t="n"/>
      <c r="E523" s="88" t="n"/>
      <c r="F523" s="89" t="n"/>
      <c r="G523" s="88" t="n"/>
      <c r="H523" s="88" t="n"/>
      <c r="I523" s="88" t="n"/>
      <c r="J523" s="89" t="n"/>
      <c r="K523" s="88" t="n"/>
      <c r="L523" s="88" t="n"/>
      <c r="M523" s="88" t="n"/>
      <c r="N523" s="89" t="n"/>
      <c r="O523" s="88" t="n"/>
      <c r="P523" s="88" t="n"/>
      <c r="Q523" s="88" t="n"/>
      <c r="R523" s="89" t="n"/>
      <c r="S523" s="88" t="n"/>
      <c r="T523" s="88" t="n"/>
      <c r="U523" s="88" t="n"/>
      <c r="V523" s="89" t="n"/>
      <c r="W523" s="88" t="n"/>
      <c r="X523" s="89" t="n"/>
      <c r="Y523" s="88" t="n"/>
      <c r="Z523" s="89" t="n"/>
      <c r="AB523" s="30">
        <f>IF($B523="","",(COUNTIF(C523:E523,"?*")&lt;N(INDEX(Setup!$L$6:$L$23,16)))+(COUNTIF(G523:I523,"?*")&lt;N(INDEX(Setup!$L$6:$L$23,16)))+(COUNTIF(K523:M523,"?*")&lt;N(INDEX(Setup!$L$6:$L$23,16)))+(COUNTIF(O523:Q523,"?*")&lt;N(INDEX(Setup!$L$6:$L$23,16)))+(COUNTIF(S523:U523,"?*")&lt;N(INDEX(Setup!$L$6:$L$23,16)))+((W523="")*(INDEX(Setup!$M$6:$M$23,16)="Y"))+((Y523="")*(INDEX(Setup!$M$6:$M$23,16)="Y")))</f>
        <v/>
      </c>
      <c r="AC523" s="91">
        <f>IF($B523="","",IF(AB523=0,"✓ covered","⚠ "&amp;AB523&amp;IF(AB523=1," gap"," gaps")))</f>
        <v/>
      </c>
    </row>
    <row r="524" ht="17" customHeight="1">
      <c r="A524" t="n">
        <v>11</v>
      </c>
      <c r="B524" s="24">
        <f>IF(Setup!$K$22="","",Setup!$K$22)</f>
        <v/>
      </c>
      <c r="C524" s="88" t="n"/>
      <c r="D524" s="88" t="n"/>
      <c r="E524" s="88" t="n"/>
      <c r="F524" s="89" t="n"/>
      <c r="G524" s="88" t="n"/>
      <c r="H524" s="88" t="n"/>
      <c r="I524" s="88" t="n"/>
      <c r="J524" s="89" t="n"/>
      <c r="K524" s="88" t="n"/>
      <c r="L524" s="88" t="n"/>
      <c r="M524" s="88" t="n"/>
      <c r="N524" s="89" t="n"/>
      <c r="O524" s="88" t="n"/>
      <c r="P524" s="88" t="n"/>
      <c r="Q524" s="88" t="n"/>
      <c r="R524" s="89" t="n"/>
      <c r="S524" s="88" t="n"/>
      <c r="T524" s="88" t="n"/>
      <c r="U524" s="88" t="n"/>
      <c r="V524" s="89" t="n"/>
      <c r="W524" s="88" t="n"/>
      <c r="X524" s="89" t="n"/>
      <c r="Y524" s="88" t="n"/>
      <c r="Z524" s="89" t="n"/>
      <c r="AB524" s="25">
        <f>IF($B524="","",(COUNTIF(C524:E524,"?*")&lt;N(INDEX(Setup!$L$6:$L$23,17)))+(COUNTIF(G524:I524,"?*")&lt;N(INDEX(Setup!$L$6:$L$23,17)))+(COUNTIF(K524:M524,"?*")&lt;N(INDEX(Setup!$L$6:$L$23,17)))+(COUNTIF(O524:Q524,"?*")&lt;N(INDEX(Setup!$L$6:$L$23,17)))+(COUNTIF(S524:U524,"?*")&lt;N(INDEX(Setup!$L$6:$L$23,17)))+((W524="")*(INDEX(Setup!$M$6:$M$23,17)="Y"))+((Y524="")*(INDEX(Setup!$M$6:$M$23,17)="Y")))</f>
        <v/>
      </c>
      <c r="AC524" s="90">
        <f>IF($B524="","",IF(AB524=0,"✓ covered","⚠ "&amp;AB524&amp;IF(AB524=1," gap"," gaps")))</f>
        <v/>
      </c>
    </row>
    <row r="525" ht="17" customHeight="1">
      <c r="A525" t="n">
        <v>11</v>
      </c>
      <c r="B525" s="29">
        <f>IF(Setup!$K$23="","",Setup!$K$23)</f>
        <v/>
      </c>
      <c r="C525" s="88" t="n"/>
      <c r="D525" s="88" t="n"/>
      <c r="E525" s="88" t="n"/>
      <c r="F525" s="89" t="n"/>
      <c r="G525" s="88" t="n"/>
      <c r="H525" s="88" t="n"/>
      <c r="I525" s="88" t="n"/>
      <c r="J525" s="89" t="n"/>
      <c r="K525" s="88" t="n"/>
      <c r="L525" s="88" t="n"/>
      <c r="M525" s="88" t="n"/>
      <c r="N525" s="89" t="n"/>
      <c r="O525" s="88" t="n"/>
      <c r="P525" s="88" t="n"/>
      <c r="Q525" s="88" t="n"/>
      <c r="R525" s="89" t="n"/>
      <c r="S525" s="88" t="n"/>
      <c r="T525" s="88" t="n"/>
      <c r="U525" s="88" t="n"/>
      <c r="V525" s="89" t="n"/>
      <c r="W525" s="88" t="n"/>
      <c r="X525" s="89" t="n"/>
      <c r="Y525" s="88" t="n"/>
      <c r="Z525" s="89" t="n"/>
      <c r="AB525" s="30">
        <f>IF($B525="","",(COUNTIF(C525:E525,"?*")&lt;N(INDEX(Setup!$L$6:$L$23,18)))+(COUNTIF(G525:I525,"?*")&lt;N(INDEX(Setup!$L$6:$L$23,18)))+(COUNTIF(K525:M525,"?*")&lt;N(INDEX(Setup!$L$6:$L$23,18)))+(COUNTIF(O525:Q525,"?*")&lt;N(INDEX(Setup!$L$6:$L$23,18)))+(COUNTIF(S525:U525,"?*")&lt;N(INDEX(Setup!$L$6:$L$23,18)))+((W525="")*(INDEX(Setup!$M$6:$M$23,18)="Y"))+((Y525="")*(INDEX(Setup!$M$6:$M$23,18)="Y")))</f>
        <v/>
      </c>
      <c r="AC525" s="91">
        <f>IF($B525="","",IF(AB525=0,"✓ covered","⚠ "&amp;AB525&amp;IF(AB525=1," gap"," gaps")))</f>
        <v/>
      </c>
    </row>
    <row r="526" ht="18" customHeight="1">
      <c r="A526" t="n">
        <v>11</v>
      </c>
      <c r="B526" s="78" t="inlineStr">
        <is>
          <t>TEAM AVAILABILITY</t>
        </is>
      </c>
      <c r="C526" s="92" t="inlineStr">
        <is>
          <t>Mon</t>
        </is>
      </c>
      <c r="D526" s="93" t="n"/>
      <c r="E526" s="93" t="n"/>
      <c r="F526" s="94" t="n"/>
      <c r="G526" s="92" t="inlineStr">
        <is>
          <t>Tue</t>
        </is>
      </c>
      <c r="H526" s="93" t="n"/>
      <c r="I526" s="93" t="n"/>
      <c r="J526" s="94" t="n"/>
      <c r="K526" s="92" t="inlineStr">
        <is>
          <t>Wed</t>
        </is>
      </c>
      <c r="L526" s="93" t="n"/>
      <c r="M526" s="93" t="n"/>
      <c r="N526" s="94" t="n"/>
      <c r="O526" s="92" t="inlineStr">
        <is>
          <t>Thu</t>
        </is>
      </c>
      <c r="P526" s="93" t="n"/>
      <c r="Q526" s="93" t="n"/>
      <c r="R526" s="94" t="n"/>
      <c r="S526" s="92" t="inlineStr">
        <is>
          <t>Fri</t>
        </is>
      </c>
      <c r="T526" s="93" t="n"/>
      <c r="U526" s="93" t="n"/>
      <c r="V526" s="94" t="n"/>
      <c r="W526" s="95" t="inlineStr">
        <is>
          <t>Sat</t>
        </is>
      </c>
      <c r="X526" s="96" t="n"/>
      <c r="Y526" s="95" t="inlineStr">
        <is>
          <t>Sun</t>
        </is>
      </c>
      <c r="Z526" s="96" t="n"/>
      <c r="AB526" s="97" t="inlineStr">
        <is>
          <t>Days rostered</t>
        </is>
      </c>
      <c r="AC526" s="97" t="inlineStr">
        <is>
          <t>Conflicts</t>
        </is>
      </c>
    </row>
    <row r="527" ht="15" customHeight="1">
      <c r="A527" t="n">
        <v>11</v>
      </c>
      <c r="B527" s="35">
        <f>IF(Setup!$B$6="","",Setup!$B$6)</f>
        <v/>
      </c>
      <c r="C527" s="98" t="n"/>
      <c r="D527" s="99" t="n"/>
      <c r="E527" s="99" t="n"/>
      <c r="F527" s="100" t="n"/>
      <c r="G527" s="98" t="n"/>
      <c r="H527" s="99" t="n"/>
      <c r="I527" s="99" t="n"/>
      <c r="J527" s="100" t="n"/>
      <c r="K527" s="98" t="n"/>
      <c r="L527" s="99" t="n"/>
      <c r="M527" s="99" t="n"/>
      <c r="N527" s="100" t="n"/>
      <c r="O527" s="98" t="n"/>
      <c r="P527" s="99" t="n"/>
      <c r="Q527" s="99" t="n"/>
      <c r="R527" s="100" t="n"/>
      <c r="S527" s="98" t="n"/>
      <c r="T527" s="99" t="n"/>
      <c r="U527" s="99" t="n"/>
      <c r="V527" s="100" t="n"/>
      <c r="W527" s="98" t="n"/>
      <c r="X527" s="100" t="n"/>
      <c r="Y527" s="98" t="n"/>
      <c r="Z527" s="100" t="n"/>
      <c r="AB527" s="101">
        <f>IF($B527="","",(COUNTIF(C508:E525,$B527)+COUNTIF(C508:E525,$B527&amp;" ~*")&gt;0)+(COUNTIF(G508:I525,$B527)+COUNTIF(G508:I525,$B527&amp;" ~*")&gt;0)+(COUNTIF(K508:M525,$B527)+COUNTIF(K508:M525,$B527&amp;" ~*")&gt;0)+(COUNTIF(O508:Q525,$B527)+COUNTIF(O508:Q525,$B527&amp;" ~*")&gt;0)+(COUNTIF(S508:U525,$B527)+COUNTIF(S508:U525,$B527&amp;" ~*")&gt;0)+(COUNTIF(W508:W525,$B527)+COUNTIF(W508:W525,$B527&amp;" ~*")&gt;0)+(COUNTIF(Y508:Y525,$B527)+COUNTIF(Y508:Y525,$B527&amp;" ~*")&gt;0))</f>
        <v/>
      </c>
      <c r="AC527" s="36">
        <f>IF($B527="","",(IFERROR(INDEX(Setup!$G$33:$G$40,MATCH(C527,Setup!$B$33:$B$40,0)),0)=1)*(COUNTIF(C508:E525,$B527)+COUNTIF(C508:E525,$B527&amp;" ~*")&gt;0)+(IFERROR(INDEX(Setup!$G$33:$G$40,MATCH(G527,Setup!$B$33:$B$40,0)),0)=1)*(COUNTIF(G508:I525,$B527)+COUNTIF(G508:I525,$B527&amp;" ~*")&gt;0)+(IFERROR(INDEX(Setup!$G$33:$G$40,MATCH(K527,Setup!$B$33:$B$40,0)),0)=1)*(COUNTIF(K508:M525,$B527)+COUNTIF(K508:M525,$B527&amp;" ~*")&gt;0)+(IFERROR(INDEX(Setup!$G$33:$G$40,MATCH(O527,Setup!$B$33:$B$40,0)),0)=1)*(COUNTIF(O508:Q525,$B527)+COUNTIF(O508:Q525,$B527&amp;" ~*")&gt;0)+(IFERROR(INDEX(Setup!$G$33:$G$40,MATCH(S527,Setup!$B$33:$B$40,0)),0)=1)*(COUNTIF(S508:U525,$B527)+COUNTIF(S508:U525,$B527&amp;" ~*")&gt;0)+(IFERROR(INDEX(Setup!$G$33:$G$40,MATCH(W527,Setup!$B$33:$B$40,0)),0)=1)*(COUNTIF(W508:W525,$B527)+COUNTIF(W508:W525,$B527&amp;" ~*")&gt;0)+(IFERROR(INDEX(Setup!$G$33:$G$40,MATCH(Y527,Setup!$B$33:$B$40,0)),0)=1)*(COUNTIF(Y508:Y525,$B527)+COUNTIF(Y508:Y525,$B527&amp;" ~*")&gt;0))</f>
        <v/>
      </c>
    </row>
    <row r="528" ht="15" customHeight="1">
      <c r="A528" t="n">
        <v>11</v>
      </c>
      <c r="B528" s="37">
        <f>IF(Setup!$B$7="","",Setup!$B$7)</f>
        <v/>
      </c>
      <c r="C528" s="102" t="n"/>
      <c r="D528" s="103" t="n"/>
      <c r="E528" s="103" t="n"/>
      <c r="F528" s="104" t="n"/>
      <c r="G528" s="102" t="n"/>
      <c r="H528" s="103" t="n"/>
      <c r="I528" s="103" t="n"/>
      <c r="J528" s="104" t="n"/>
      <c r="K528" s="102" t="n"/>
      <c r="L528" s="103" t="n"/>
      <c r="M528" s="103" t="n"/>
      <c r="N528" s="104" t="n"/>
      <c r="O528" s="102" t="n"/>
      <c r="P528" s="103" t="n"/>
      <c r="Q528" s="103" t="n"/>
      <c r="R528" s="104" t="n"/>
      <c r="S528" s="102" t="n"/>
      <c r="T528" s="103" t="n"/>
      <c r="U528" s="103" t="n"/>
      <c r="V528" s="104" t="n"/>
      <c r="W528" s="102" t="n"/>
      <c r="X528" s="104" t="n"/>
      <c r="Y528" s="102" t="n"/>
      <c r="Z528" s="104" t="n"/>
      <c r="AB528" s="105">
        <f>IF($B528="","",(COUNTIF(C508:E525,$B528)+COUNTIF(C508:E525,$B528&amp;" ~*")&gt;0)+(COUNTIF(G508:I525,$B528)+COUNTIF(G508:I525,$B528&amp;" ~*")&gt;0)+(COUNTIF(K508:M525,$B528)+COUNTIF(K508:M525,$B528&amp;" ~*")&gt;0)+(COUNTIF(O508:Q525,$B528)+COUNTIF(O508:Q525,$B528&amp;" ~*")&gt;0)+(COUNTIF(S508:U525,$B528)+COUNTIF(S508:U525,$B528&amp;" ~*")&gt;0)+(COUNTIF(W508:W525,$B528)+COUNTIF(W508:W525,$B528&amp;" ~*")&gt;0)+(COUNTIF(Y508:Y525,$B528)+COUNTIF(Y508:Y525,$B528&amp;" ~*")&gt;0))</f>
        <v/>
      </c>
      <c r="AC528" s="38">
        <f>IF($B528="","",(IFERROR(INDEX(Setup!$G$33:$G$40,MATCH(C528,Setup!$B$33:$B$40,0)),0)=1)*(COUNTIF(C508:E525,$B528)+COUNTIF(C508:E525,$B528&amp;" ~*")&gt;0)+(IFERROR(INDEX(Setup!$G$33:$G$40,MATCH(G528,Setup!$B$33:$B$40,0)),0)=1)*(COUNTIF(G508:I525,$B528)+COUNTIF(G508:I525,$B528&amp;" ~*")&gt;0)+(IFERROR(INDEX(Setup!$G$33:$G$40,MATCH(K528,Setup!$B$33:$B$40,0)),0)=1)*(COUNTIF(K508:M525,$B528)+COUNTIF(K508:M525,$B528&amp;" ~*")&gt;0)+(IFERROR(INDEX(Setup!$G$33:$G$40,MATCH(O528,Setup!$B$33:$B$40,0)),0)=1)*(COUNTIF(O508:Q525,$B528)+COUNTIF(O508:Q525,$B528&amp;" ~*")&gt;0)+(IFERROR(INDEX(Setup!$G$33:$G$40,MATCH(S528,Setup!$B$33:$B$40,0)),0)=1)*(COUNTIF(S508:U525,$B528)+COUNTIF(S508:U525,$B528&amp;" ~*")&gt;0)+(IFERROR(INDEX(Setup!$G$33:$G$40,MATCH(W528,Setup!$B$33:$B$40,0)),0)=1)*(COUNTIF(W508:W525,$B528)+COUNTIF(W508:W525,$B528&amp;" ~*")&gt;0)+(IFERROR(INDEX(Setup!$G$33:$G$40,MATCH(Y528,Setup!$B$33:$B$40,0)),0)=1)*(COUNTIF(Y508:Y525,$B528)+COUNTIF(Y508:Y525,$B528&amp;" ~*")&gt;0))</f>
        <v/>
      </c>
    </row>
    <row r="529" ht="15" customHeight="1">
      <c r="A529" t="n">
        <v>11</v>
      </c>
      <c r="B529" s="35">
        <f>IF(Setup!$B$8="","",Setup!$B$8)</f>
        <v/>
      </c>
      <c r="C529" s="98" t="n"/>
      <c r="D529" s="99" t="n"/>
      <c r="E529" s="99" t="n"/>
      <c r="F529" s="100" t="n"/>
      <c r="G529" s="98" t="n"/>
      <c r="H529" s="99" t="n"/>
      <c r="I529" s="99" t="n"/>
      <c r="J529" s="100" t="n"/>
      <c r="K529" s="98" t="n"/>
      <c r="L529" s="99" t="n"/>
      <c r="M529" s="99" t="n"/>
      <c r="N529" s="100" t="n"/>
      <c r="O529" s="98" t="n"/>
      <c r="P529" s="99" t="n"/>
      <c r="Q529" s="99" t="n"/>
      <c r="R529" s="100" t="n"/>
      <c r="S529" s="98" t="n"/>
      <c r="T529" s="99" t="n"/>
      <c r="U529" s="99" t="n"/>
      <c r="V529" s="100" t="n"/>
      <c r="W529" s="98" t="n"/>
      <c r="X529" s="100" t="n"/>
      <c r="Y529" s="98" t="n"/>
      <c r="Z529" s="100" t="n"/>
      <c r="AB529" s="101">
        <f>IF($B529="","",(COUNTIF(C508:E525,$B529)+COUNTIF(C508:E525,$B529&amp;" ~*")&gt;0)+(COUNTIF(G508:I525,$B529)+COUNTIF(G508:I525,$B529&amp;" ~*")&gt;0)+(COUNTIF(K508:M525,$B529)+COUNTIF(K508:M525,$B529&amp;" ~*")&gt;0)+(COUNTIF(O508:Q525,$B529)+COUNTIF(O508:Q525,$B529&amp;" ~*")&gt;0)+(COUNTIF(S508:U525,$B529)+COUNTIF(S508:U525,$B529&amp;" ~*")&gt;0)+(COUNTIF(W508:W525,$B529)+COUNTIF(W508:W525,$B529&amp;" ~*")&gt;0)+(COUNTIF(Y508:Y525,$B529)+COUNTIF(Y508:Y525,$B529&amp;" ~*")&gt;0))</f>
        <v/>
      </c>
      <c r="AC529" s="36">
        <f>IF($B529="","",(IFERROR(INDEX(Setup!$G$33:$G$40,MATCH(C529,Setup!$B$33:$B$40,0)),0)=1)*(COUNTIF(C508:E525,$B529)+COUNTIF(C508:E525,$B529&amp;" ~*")&gt;0)+(IFERROR(INDEX(Setup!$G$33:$G$40,MATCH(G529,Setup!$B$33:$B$40,0)),0)=1)*(COUNTIF(G508:I525,$B529)+COUNTIF(G508:I525,$B529&amp;" ~*")&gt;0)+(IFERROR(INDEX(Setup!$G$33:$G$40,MATCH(K529,Setup!$B$33:$B$40,0)),0)=1)*(COUNTIF(K508:M525,$B529)+COUNTIF(K508:M525,$B529&amp;" ~*")&gt;0)+(IFERROR(INDEX(Setup!$G$33:$G$40,MATCH(O529,Setup!$B$33:$B$40,0)),0)=1)*(COUNTIF(O508:Q525,$B529)+COUNTIF(O508:Q525,$B529&amp;" ~*")&gt;0)+(IFERROR(INDEX(Setup!$G$33:$G$40,MATCH(S529,Setup!$B$33:$B$40,0)),0)=1)*(COUNTIF(S508:U525,$B529)+COUNTIF(S508:U525,$B529&amp;" ~*")&gt;0)+(IFERROR(INDEX(Setup!$G$33:$G$40,MATCH(W529,Setup!$B$33:$B$40,0)),0)=1)*(COUNTIF(W508:W525,$B529)+COUNTIF(W508:W525,$B529&amp;" ~*")&gt;0)+(IFERROR(INDEX(Setup!$G$33:$G$40,MATCH(Y529,Setup!$B$33:$B$40,0)),0)=1)*(COUNTIF(Y508:Y525,$B529)+COUNTIF(Y508:Y525,$B529&amp;" ~*")&gt;0))</f>
        <v/>
      </c>
    </row>
    <row r="530" ht="15" customHeight="1">
      <c r="A530" t="n">
        <v>11</v>
      </c>
      <c r="B530" s="37">
        <f>IF(Setup!$B$9="","",Setup!$B$9)</f>
        <v/>
      </c>
      <c r="C530" s="102" t="n"/>
      <c r="D530" s="103" t="n"/>
      <c r="E530" s="103" t="n"/>
      <c r="F530" s="104" t="n"/>
      <c r="G530" s="102" t="n"/>
      <c r="H530" s="103" t="n"/>
      <c r="I530" s="103" t="n"/>
      <c r="J530" s="104" t="n"/>
      <c r="K530" s="102" t="n"/>
      <c r="L530" s="103" t="n"/>
      <c r="M530" s="103" t="n"/>
      <c r="N530" s="104" t="n"/>
      <c r="O530" s="102" t="n"/>
      <c r="P530" s="103" t="n"/>
      <c r="Q530" s="103" t="n"/>
      <c r="R530" s="104" t="n"/>
      <c r="S530" s="102" t="n"/>
      <c r="T530" s="103" t="n"/>
      <c r="U530" s="103" t="n"/>
      <c r="V530" s="104" t="n"/>
      <c r="W530" s="102" t="n"/>
      <c r="X530" s="104" t="n"/>
      <c r="Y530" s="102" t="n"/>
      <c r="Z530" s="104" t="n"/>
      <c r="AB530" s="105">
        <f>IF($B530="","",(COUNTIF(C508:E525,$B530)+COUNTIF(C508:E525,$B530&amp;" ~*")&gt;0)+(COUNTIF(G508:I525,$B530)+COUNTIF(G508:I525,$B530&amp;" ~*")&gt;0)+(COUNTIF(K508:M525,$B530)+COUNTIF(K508:M525,$B530&amp;" ~*")&gt;0)+(COUNTIF(O508:Q525,$B530)+COUNTIF(O508:Q525,$B530&amp;" ~*")&gt;0)+(COUNTIF(S508:U525,$B530)+COUNTIF(S508:U525,$B530&amp;" ~*")&gt;0)+(COUNTIF(W508:W525,$B530)+COUNTIF(W508:W525,$B530&amp;" ~*")&gt;0)+(COUNTIF(Y508:Y525,$B530)+COUNTIF(Y508:Y525,$B530&amp;" ~*")&gt;0))</f>
        <v/>
      </c>
      <c r="AC530" s="38">
        <f>IF($B530="","",(IFERROR(INDEX(Setup!$G$33:$G$40,MATCH(C530,Setup!$B$33:$B$40,0)),0)=1)*(COUNTIF(C508:E525,$B530)+COUNTIF(C508:E525,$B530&amp;" ~*")&gt;0)+(IFERROR(INDEX(Setup!$G$33:$G$40,MATCH(G530,Setup!$B$33:$B$40,0)),0)=1)*(COUNTIF(G508:I525,$B530)+COUNTIF(G508:I525,$B530&amp;" ~*")&gt;0)+(IFERROR(INDEX(Setup!$G$33:$G$40,MATCH(K530,Setup!$B$33:$B$40,0)),0)=1)*(COUNTIF(K508:M525,$B530)+COUNTIF(K508:M525,$B530&amp;" ~*")&gt;0)+(IFERROR(INDEX(Setup!$G$33:$G$40,MATCH(O530,Setup!$B$33:$B$40,0)),0)=1)*(COUNTIF(O508:Q525,$B530)+COUNTIF(O508:Q525,$B530&amp;" ~*")&gt;0)+(IFERROR(INDEX(Setup!$G$33:$G$40,MATCH(S530,Setup!$B$33:$B$40,0)),0)=1)*(COUNTIF(S508:U525,$B530)+COUNTIF(S508:U525,$B530&amp;" ~*")&gt;0)+(IFERROR(INDEX(Setup!$G$33:$G$40,MATCH(W530,Setup!$B$33:$B$40,0)),0)=1)*(COUNTIF(W508:W525,$B530)+COUNTIF(W508:W525,$B530&amp;" ~*")&gt;0)+(IFERROR(INDEX(Setup!$G$33:$G$40,MATCH(Y530,Setup!$B$33:$B$40,0)),0)=1)*(COUNTIF(Y508:Y525,$B530)+COUNTIF(Y508:Y525,$B530&amp;" ~*")&gt;0))</f>
        <v/>
      </c>
    </row>
    <row r="531" ht="15" customHeight="1">
      <c r="A531" t="n">
        <v>11</v>
      </c>
      <c r="B531" s="35">
        <f>IF(Setup!$B$10="","",Setup!$B$10)</f>
        <v/>
      </c>
      <c r="C531" s="98" t="n"/>
      <c r="D531" s="99" t="n"/>
      <c r="E531" s="99" t="n"/>
      <c r="F531" s="100" t="n"/>
      <c r="G531" s="98" t="n"/>
      <c r="H531" s="99" t="n"/>
      <c r="I531" s="99" t="n"/>
      <c r="J531" s="100" t="n"/>
      <c r="K531" s="98" t="n"/>
      <c r="L531" s="99" t="n"/>
      <c r="M531" s="99" t="n"/>
      <c r="N531" s="100" t="n"/>
      <c r="O531" s="98" t="n"/>
      <c r="P531" s="99" t="n"/>
      <c r="Q531" s="99" t="n"/>
      <c r="R531" s="100" t="n"/>
      <c r="S531" s="98" t="n"/>
      <c r="T531" s="99" t="n"/>
      <c r="U531" s="99" t="n"/>
      <c r="V531" s="100" t="n"/>
      <c r="W531" s="98" t="n"/>
      <c r="X531" s="100" t="n"/>
      <c r="Y531" s="98" t="n"/>
      <c r="Z531" s="100" t="n"/>
      <c r="AB531" s="101">
        <f>IF($B531="","",(COUNTIF(C508:E525,$B531)+COUNTIF(C508:E525,$B531&amp;" ~*")&gt;0)+(COUNTIF(G508:I525,$B531)+COUNTIF(G508:I525,$B531&amp;" ~*")&gt;0)+(COUNTIF(K508:M525,$B531)+COUNTIF(K508:M525,$B531&amp;" ~*")&gt;0)+(COUNTIF(O508:Q525,$B531)+COUNTIF(O508:Q525,$B531&amp;" ~*")&gt;0)+(COUNTIF(S508:U525,$B531)+COUNTIF(S508:U525,$B531&amp;" ~*")&gt;0)+(COUNTIF(W508:W525,$B531)+COUNTIF(W508:W525,$B531&amp;" ~*")&gt;0)+(COUNTIF(Y508:Y525,$B531)+COUNTIF(Y508:Y525,$B531&amp;" ~*")&gt;0))</f>
        <v/>
      </c>
      <c r="AC531" s="36">
        <f>IF($B531="","",(IFERROR(INDEX(Setup!$G$33:$G$40,MATCH(C531,Setup!$B$33:$B$40,0)),0)=1)*(COUNTIF(C508:E525,$B531)+COUNTIF(C508:E525,$B531&amp;" ~*")&gt;0)+(IFERROR(INDEX(Setup!$G$33:$G$40,MATCH(G531,Setup!$B$33:$B$40,0)),0)=1)*(COUNTIF(G508:I525,$B531)+COUNTIF(G508:I525,$B531&amp;" ~*")&gt;0)+(IFERROR(INDEX(Setup!$G$33:$G$40,MATCH(K531,Setup!$B$33:$B$40,0)),0)=1)*(COUNTIF(K508:M525,$B531)+COUNTIF(K508:M525,$B531&amp;" ~*")&gt;0)+(IFERROR(INDEX(Setup!$G$33:$G$40,MATCH(O531,Setup!$B$33:$B$40,0)),0)=1)*(COUNTIF(O508:Q525,$B531)+COUNTIF(O508:Q525,$B531&amp;" ~*")&gt;0)+(IFERROR(INDEX(Setup!$G$33:$G$40,MATCH(S531,Setup!$B$33:$B$40,0)),0)=1)*(COUNTIF(S508:U525,$B531)+COUNTIF(S508:U525,$B531&amp;" ~*")&gt;0)+(IFERROR(INDEX(Setup!$G$33:$G$40,MATCH(W531,Setup!$B$33:$B$40,0)),0)=1)*(COUNTIF(W508:W525,$B531)+COUNTIF(W508:W525,$B531&amp;" ~*")&gt;0)+(IFERROR(INDEX(Setup!$G$33:$G$40,MATCH(Y531,Setup!$B$33:$B$40,0)),0)=1)*(COUNTIF(Y508:Y525,$B531)+COUNTIF(Y508:Y525,$B531&amp;" ~*")&gt;0))</f>
        <v/>
      </c>
    </row>
    <row r="532" ht="15" customHeight="1">
      <c r="A532" t="n">
        <v>11</v>
      </c>
      <c r="B532" s="37">
        <f>IF(Setup!$B$11="","",Setup!$B$11)</f>
        <v/>
      </c>
      <c r="C532" s="102" t="n"/>
      <c r="D532" s="103" t="n"/>
      <c r="E532" s="103" t="n"/>
      <c r="F532" s="104" t="n"/>
      <c r="G532" s="102" t="n"/>
      <c r="H532" s="103" t="n"/>
      <c r="I532" s="103" t="n"/>
      <c r="J532" s="104" t="n"/>
      <c r="K532" s="102" t="n"/>
      <c r="L532" s="103" t="n"/>
      <c r="M532" s="103" t="n"/>
      <c r="N532" s="104" t="n"/>
      <c r="O532" s="102" t="n"/>
      <c r="P532" s="103" t="n"/>
      <c r="Q532" s="103" t="n"/>
      <c r="R532" s="104" t="n"/>
      <c r="S532" s="102" t="n"/>
      <c r="T532" s="103" t="n"/>
      <c r="U532" s="103" t="n"/>
      <c r="V532" s="104" t="n"/>
      <c r="W532" s="102" t="n"/>
      <c r="X532" s="104" t="n"/>
      <c r="Y532" s="102" t="n"/>
      <c r="Z532" s="104" t="n"/>
      <c r="AB532" s="105">
        <f>IF($B532="","",(COUNTIF(C508:E525,$B532)+COUNTIF(C508:E525,$B532&amp;" ~*")&gt;0)+(COUNTIF(G508:I525,$B532)+COUNTIF(G508:I525,$B532&amp;" ~*")&gt;0)+(COUNTIF(K508:M525,$B532)+COUNTIF(K508:M525,$B532&amp;" ~*")&gt;0)+(COUNTIF(O508:Q525,$B532)+COUNTIF(O508:Q525,$B532&amp;" ~*")&gt;0)+(COUNTIF(S508:U525,$B532)+COUNTIF(S508:U525,$B532&amp;" ~*")&gt;0)+(COUNTIF(W508:W525,$B532)+COUNTIF(W508:W525,$B532&amp;" ~*")&gt;0)+(COUNTIF(Y508:Y525,$B532)+COUNTIF(Y508:Y525,$B532&amp;" ~*")&gt;0))</f>
        <v/>
      </c>
      <c r="AC532" s="38">
        <f>IF($B532="","",(IFERROR(INDEX(Setup!$G$33:$G$40,MATCH(C532,Setup!$B$33:$B$40,0)),0)=1)*(COUNTIF(C508:E525,$B532)+COUNTIF(C508:E525,$B532&amp;" ~*")&gt;0)+(IFERROR(INDEX(Setup!$G$33:$G$40,MATCH(G532,Setup!$B$33:$B$40,0)),0)=1)*(COUNTIF(G508:I525,$B532)+COUNTIF(G508:I525,$B532&amp;" ~*")&gt;0)+(IFERROR(INDEX(Setup!$G$33:$G$40,MATCH(K532,Setup!$B$33:$B$40,0)),0)=1)*(COUNTIF(K508:M525,$B532)+COUNTIF(K508:M525,$B532&amp;" ~*")&gt;0)+(IFERROR(INDEX(Setup!$G$33:$G$40,MATCH(O532,Setup!$B$33:$B$40,0)),0)=1)*(COUNTIF(O508:Q525,$B532)+COUNTIF(O508:Q525,$B532&amp;" ~*")&gt;0)+(IFERROR(INDEX(Setup!$G$33:$G$40,MATCH(S532,Setup!$B$33:$B$40,0)),0)=1)*(COUNTIF(S508:U525,$B532)+COUNTIF(S508:U525,$B532&amp;" ~*")&gt;0)+(IFERROR(INDEX(Setup!$G$33:$G$40,MATCH(W532,Setup!$B$33:$B$40,0)),0)=1)*(COUNTIF(W508:W525,$B532)+COUNTIF(W508:W525,$B532&amp;" ~*")&gt;0)+(IFERROR(INDEX(Setup!$G$33:$G$40,MATCH(Y532,Setup!$B$33:$B$40,0)),0)=1)*(COUNTIF(Y508:Y525,$B532)+COUNTIF(Y508:Y525,$B532&amp;" ~*")&gt;0))</f>
        <v/>
      </c>
    </row>
    <row r="533" ht="15" customHeight="1">
      <c r="A533" t="n">
        <v>11</v>
      </c>
      <c r="B533" s="35">
        <f>IF(Setup!$B$12="","",Setup!$B$12)</f>
        <v/>
      </c>
      <c r="C533" s="98" t="n"/>
      <c r="D533" s="99" t="n"/>
      <c r="E533" s="99" t="n"/>
      <c r="F533" s="100" t="n"/>
      <c r="G533" s="98" t="n"/>
      <c r="H533" s="99" t="n"/>
      <c r="I533" s="99" t="n"/>
      <c r="J533" s="100" t="n"/>
      <c r="K533" s="98" t="n"/>
      <c r="L533" s="99" t="n"/>
      <c r="M533" s="99" t="n"/>
      <c r="N533" s="100" t="n"/>
      <c r="O533" s="98" t="n"/>
      <c r="P533" s="99" t="n"/>
      <c r="Q533" s="99" t="n"/>
      <c r="R533" s="100" t="n"/>
      <c r="S533" s="98" t="n"/>
      <c r="T533" s="99" t="n"/>
      <c r="U533" s="99" t="n"/>
      <c r="V533" s="100" t="n"/>
      <c r="W533" s="98" t="n"/>
      <c r="X533" s="100" t="n"/>
      <c r="Y533" s="98" t="n"/>
      <c r="Z533" s="100" t="n"/>
      <c r="AB533" s="101">
        <f>IF($B533="","",(COUNTIF(C508:E525,$B533)+COUNTIF(C508:E525,$B533&amp;" ~*")&gt;0)+(COUNTIF(G508:I525,$B533)+COUNTIF(G508:I525,$B533&amp;" ~*")&gt;0)+(COUNTIF(K508:M525,$B533)+COUNTIF(K508:M525,$B533&amp;" ~*")&gt;0)+(COUNTIF(O508:Q525,$B533)+COUNTIF(O508:Q525,$B533&amp;" ~*")&gt;0)+(COUNTIF(S508:U525,$B533)+COUNTIF(S508:U525,$B533&amp;" ~*")&gt;0)+(COUNTIF(W508:W525,$B533)+COUNTIF(W508:W525,$B533&amp;" ~*")&gt;0)+(COUNTIF(Y508:Y525,$B533)+COUNTIF(Y508:Y525,$B533&amp;" ~*")&gt;0))</f>
        <v/>
      </c>
      <c r="AC533" s="36">
        <f>IF($B533="","",(IFERROR(INDEX(Setup!$G$33:$G$40,MATCH(C533,Setup!$B$33:$B$40,0)),0)=1)*(COUNTIF(C508:E525,$B533)+COUNTIF(C508:E525,$B533&amp;" ~*")&gt;0)+(IFERROR(INDEX(Setup!$G$33:$G$40,MATCH(G533,Setup!$B$33:$B$40,0)),0)=1)*(COUNTIF(G508:I525,$B533)+COUNTIF(G508:I525,$B533&amp;" ~*")&gt;0)+(IFERROR(INDEX(Setup!$G$33:$G$40,MATCH(K533,Setup!$B$33:$B$40,0)),0)=1)*(COUNTIF(K508:M525,$B533)+COUNTIF(K508:M525,$B533&amp;" ~*")&gt;0)+(IFERROR(INDEX(Setup!$G$33:$G$40,MATCH(O533,Setup!$B$33:$B$40,0)),0)=1)*(COUNTIF(O508:Q525,$B533)+COUNTIF(O508:Q525,$B533&amp;" ~*")&gt;0)+(IFERROR(INDEX(Setup!$G$33:$G$40,MATCH(S533,Setup!$B$33:$B$40,0)),0)=1)*(COUNTIF(S508:U525,$B533)+COUNTIF(S508:U525,$B533&amp;" ~*")&gt;0)+(IFERROR(INDEX(Setup!$G$33:$G$40,MATCH(W533,Setup!$B$33:$B$40,0)),0)=1)*(COUNTIF(W508:W525,$B533)+COUNTIF(W508:W525,$B533&amp;" ~*")&gt;0)+(IFERROR(INDEX(Setup!$G$33:$G$40,MATCH(Y533,Setup!$B$33:$B$40,0)),0)=1)*(COUNTIF(Y508:Y525,$B533)+COUNTIF(Y508:Y525,$B533&amp;" ~*")&gt;0))</f>
        <v/>
      </c>
    </row>
    <row r="534" ht="15" customHeight="1">
      <c r="A534" t="n">
        <v>11</v>
      </c>
      <c r="B534" s="37">
        <f>IF(Setup!$B$13="","",Setup!$B$13)</f>
        <v/>
      </c>
      <c r="C534" s="102" t="n"/>
      <c r="D534" s="103" t="n"/>
      <c r="E534" s="103" t="n"/>
      <c r="F534" s="104" t="n"/>
      <c r="G534" s="102" t="n"/>
      <c r="H534" s="103" t="n"/>
      <c r="I534" s="103" t="n"/>
      <c r="J534" s="104" t="n"/>
      <c r="K534" s="102" t="n"/>
      <c r="L534" s="103" t="n"/>
      <c r="M534" s="103" t="n"/>
      <c r="N534" s="104" t="n"/>
      <c r="O534" s="102" t="n"/>
      <c r="P534" s="103" t="n"/>
      <c r="Q534" s="103" t="n"/>
      <c r="R534" s="104" t="n"/>
      <c r="S534" s="102" t="n"/>
      <c r="T534" s="103" t="n"/>
      <c r="U534" s="103" t="n"/>
      <c r="V534" s="104" t="n"/>
      <c r="W534" s="102" t="n"/>
      <c r="X534" s="104" t="n"/>
      <c r="Y534" s="102" t="n"/>
      <c r="Z534" s="104" t="n"/>
      <c r="AB534" s="105">
        <f>IF($B534="","",(COUNTIF(C508:E525,$B534)+COUNTIF(C508:E525,$B534&amp;" ~*")&gt;0)+(COUNTIF(G508:I525,$B534)+COUNTIF(G508:I525,$B534&amp;" ~*")&gt;0)+(COUNTIF(K508:M525,$B534)+COUNTIF(K508:M525,$B534&amp;" ~*")&gt;0)+(COUNTIF(O508:Q525,$B534)+COUNTIF(O508:Q525,$B534&amp;" ~*")&gt;0)+(COUNTIF(S508:U525,$B534)+COUNTIF(S508:U525,$B534&amp;" ~*")&gt;0)+(COUNTIF(W508:W525,$B534)+COUNTIF(W508:W525,$B534&amp;" ~*")&gt;0)+(COUNTIF(Y508:Y525,$B534)+COUNTIF(Y508:Y525,$B534&amp;" ~*")&gt;0))</f>
        <v/>
      </c>
      <c r="AC534" s="38">
        <f>IF($B534="","",(IFERROR(INDEX(Setup!$G$33:$G$40,MATCH(C534,Setup!$B$33:$B$40,0)),0)=1)*(COUNTIF(C508:E525,$B534)+COUNTIF(C508:E525,$B534&amp;" ~*")&gt;0)+(IFERROR(INDEX(Setup!$G$33:$G$40,MATCH(G534,Setup!$B$33:$B$40,0)),0)=1)*(COUNTIF(G508:I525,$B534)+COUNTIF(G508:I525,$B534&amp;" ~*")&gt;0)+(IFERROR(INDEX(Setup!$G$33:$G$40,MATCH(K534,Setup!$B$33:$B$40,0)),0)=1)*(COUNTIF(K508:M525,$B534)+COUNTIF(K508:M525,$B534&amp;" ~*")&gt;0)+(IFERROR(INDEX(Setup!$G$33:$G$40,MATCH(O534,Setup!$B$33:$B$40,0)),0)=1)*(COUNTIF(O508:Q525,$B534)+COUNTIF(O508:Q525,$B534&amp;" ~*")&gt;0)+(IFERROR(INDEX(Setup!$G$33:$G$40,MATCH(S534,Setup!$B$33:$B$40,0)),0)=1)*(COUNTIF(S508:U525,$B534)+COUNTIF(S508:U525,$B534&amp;" ~*")&gt;0)+(IFERROR(INDEX(Setup!$G$33:$G$40,MATCH(W534,Setup!$B$33:$B$40,0)),0)=1)*(COUNTIF(W508:W525,$B534)+COUNTIF(W508:W525,$B534&amp;" ~*")&gt;0)+(IFERROR(INDEX(Setup!$G$33:$G$40,MATCH(Y534,Setup!$B$33:$B$40,0)),0)=1)*(COUNTIF(Y508:Y525,$B534)+COUNTIF(Y508:Y525,$B534&amp;" ~*")&gt;0))</f>
        <v/>
      </c>
    </row>
    <row r="535" ht="15" customHeight="1">
      <c r="A535" t="n">
        <v>11</v>
      </c>
      <c r="B535" s="35">
        <f>IF(Setup!$B$14="","",Setup!$B$14)</f>
        <v/>
      </c>
      <c r="C535" s="98" t="n"/>
      <c r="D535" s="99" t="n"/>
      <c r="E535" s="99" t="n"/>
      <c r="F535" s="100" t="n"/>
      <c r="G535" s="98" t="n"/>
      <c r="H535" s="99" t="n"/>
      <c r="I535" s="99" t="n"/>
      <c r="J535" s="100" t="n"/>
      <c r="K535" s="98" t="n"/>
      <c r="L535" s="99" t="n"/>
      <c r="M535" s="99" t="n"/>
      <c r="N535" s="100" t="n"/>
      <c r="O535" s="98" t="n"/>
      <c r="P535" s="99" t="n"/>
      <c r="Q535" s="99" t="n"/>
      <c r="R535" s="100" t="n"/>
      <c r="S535" s="98" t="n"/>
      <c r="T535" s="99" t="n"/>
      <c r="U535" s="99" t="n"/>
      <c r="V535" s="100" t="n"/>
      <c r="W535" s="98" t="n"/>
      <c r="X535" s="100" t="n"/>
      <c r="Y535" s="98" t="n"/>
      <c r="Z535" s="100" t="n"/>
      <c r="AB535" s="101">
        <f>IF($B535="","",(COUNTIF(C508:E525,$B535)+COUNTIF(C508:E525,$B535&amp;" ~*")&gt;0)+(COUNTIF(G508:I525,$B535)+COUNTIF(G508:I525,$B535&amp;" ~*")&gt;0)+(COUNTIF(K508:M525,$B535)+COUNTIF(K508:M525,$B535&amp;" ~*")&gt;0)+(COUNTIF(O508:Q525,$B535)+COUNTIF(O508:Q525,$B535&amp;" ~*")&gt;0)+(COUNTIF(S508:U525,$B535)+COUNTIF(S508:U525,$B535&amp;" ~*")&gt;0)+(COUNTIF(W508:W525,$B535)+COUNTIF(W508:W525,$B535&amp;" ~*")&gt;0)+(COUNTIF(Y508:Y525,$B535)+COUNTIF(Y508:Y525,$B535&amp;" ~*")&gt;0))</f>
        <v/>
      </c>
      <c r="AC535" s="36">
        <f>IF($B535="","",(IFERROR(INDEX(Setup!$G$33:$G$40,MATCH(C535,Setup!$B$33:$B$40,0)),0)=1)*(COUNTIF(C508:E525,$B535)+COUNTIF(C508:E525,$B535&amp;" ~*")&gt;0)+(IFERROR(INDEX(Setup!$G$33:$G$40,MATCH(G535,Setup!$B$33:$B$40,0)),0)=1)*(COUNTIF(G508:I525,$B535)+COUNTIF(G508:I525,$B535&amp;" ~*")&gt;0)+(IFERROR(INDEX(Setup!$G$33:$G$40,MATCH(K535,Setup!$B$33:$B$40,0)),0)=1)*(COUNTIF(K508:M525,$B535)+COUNTIF(K508:M525,$B535&amp;" ~*")&gt;0)+(IFERROR(INDEX(Setup!$G$33:$G$40,MATCH(O535,Setup!$B$33:$B$40,0)),0)=1)*(COUNTIF(O508:Q525,$B535)+COUNTIF(O508:Q525,$B535&amp;" ~*")&gt;0)+(IFERROR(INDEX(Setup!$G$33:$G$40,MATCH(S535,Setup!$B$33:$B$40,0)),0)=1)*(COUNTIF(S508:U525,$B535)+COUNTIF(S508:U525,$B535&amp;" ~*")&gt;0)+(IFERROR(INDEX(Setup!$G$33:$G$40,MATCH(W535,Setup!$B$33:$B$40,0)),0)=1)*(COUNTIF(W508:W525,$B535)+COUNTIF(W508:W525,$B535&amp;" ~*")&gt;0)+(IFERROR(INDEX(Setup!$G$33:$G$40,MATCH(Y535,Setup!$B$33:$B$40,0)),0)=1)*(COUNTIF(Y508:Y525,$B535)+COUNTIF(Y508:Y525,$B535&amp;" ~*")&gt;0))</f>
        <v/>
      </c>
    </row>
    <row r="536" ht="15" customHeight="1">
      <c r="A536" t="n">
        <v>11</v>
      </c>
      <c r="B536" s="37">
        <f>IF(Setup!$B$15="","",Setup!$B$15)</f>
        <v/>
      </c>
      <c r="C536" s="102" t="n"/>
      <c r="D536" s="103" t="n"/>
      <c r="E536" s="103" t="n"/>
      <c r="F536" s="104" t="n"/>
      <c r="G536" s="102" t="n"/>
      <c r="H536" s="103" t="n"/>
      <c r="I536" s="103" t="n"/>
      <c r="J536" s="104" t="n"/>
      <c r="K536" s="102" t="n"/>
      <c r="L536" s="103" t="n"/>
      <c r="M536" s="103" t="n"/>
      <c r="N536" s="104" t="n"/>
      <c r="O536" s="102" t="n"/>
      <c r="P536" s="103" t="n"/>
      <c r="Q536" s="103" t="n"/>
      <c r="R536" s="104" t="n"/>
      <c r="S536" s="102" t="n"/>
      <c r="T536" s="103" t="n"/>
      <c r="U536" s="103" t="n"/>
      <c r="V536" s="104" t="n"/>
      <c r="W536" s="102" t="n"/>
      <c r="X536" s="104" t="n"/>
      <c r="Y536" s="102" t="n"/>
      <c r="Z536" s="104" t="n"/>
      <c r="AB536" s="105">
        <f>IF($B536="","",(COUNTIF(C508:E525,$B536)+COUNTIF(C508:E525,$B536&amp;" ~*")&gt;0)+(COUNTIF(G508:I525,$B536)+COUNTIF(G508:I525,$B536&amp;" ~*")&gt;0)+(COUNTIF(K508:M525,$B536)+COUNTIF(K508:M525,$B536&amp;" ~*")&gt;0)+(COUNTIF(O508:Q525,$B536)+COUNTIF(O508:Q525,$B536&amp;" ~*")&gt;0)+(COUNTIF(S508:U525,$B536)+COUNTIF(S508:U525,$B536&amp;" ~*")&gt;0)+(COUNTIF(W508:W525,$B536)+COUNTIF(W508:W525,$B536&amp;" ~*")&gt;0)+(COUNTIF(Y508:Y525,$B536)+COUNTIF(Y508:Y525,$B536&amp;" ~*")&gt;0))</f>
        <v/>
      </c>
      <c r="AC536" s="38">
        <f>IF($B536="","",(IFERROR(INDEX(Setup!$G$33:$G$40,MATCH(C536,Setup!$B$33:$B$40,0)),0)=1)*(COUNTIF(C508:E525,$B536)+COUNTIF(C508:E525,$B536&amp;" ~*")&gt;0)+(IFERROR(INDEX(Setup!$G$33:$G$40,MATCH(G536,Setup!$B$33:$B$40,0)),0)=1)*(COUNTIF(G508:I525,$B536)+COUNTIF(G508:I525,$B536&amp;" ~*")&gt;0)+(IFERROR(INDEX(Setup!$G$33:$G$40,MATCH(K536,Setup!$B$33:$B$40,0)),0)=1)*(COUNTIF(K508:M525,$B536)+COUNTIF(K508:M525,$B536&amp;" ~*")&gt;0)+(IFERROR(INDEX(Setup!$G$33:$G$40,MATCH(O536,Setup!$B$33:$B$40,0)),0)=1)*(COUNTIF(O508:Q525,$B536)+COUNTIF(O508:Q525,$B536&amp;" ~*")&gt;0)+(IFERROR(INDEX(Setup!$G$33:$G$40,MATCH(S536,Setup!$B$33:$B$40,0)),0)=1)*(COUNTIF(S508:U525,$B536)+COUNTIF(S508:U525,$B536&amp;" ~*")&gt;0)+(IFERROR(INDEX(Setup!$G$33:$G$40,MATCH(W536,Setup!$B$33:$B$40,0)),0)=1)*(COUNTIF(W508:W525,$B536)+COUNTIF(W508:W525,$B536&amp;" ~*")&gt;0)+(IFERROR(INDEX(Setup!$G$33:$G$40,MATCH(Y536,Setup!$B$33:$B$40,0)),0)=1)*(COUNTIF(Y508:Y525,$B536)+COUNTIF(Y508:Y525,$B536&amp;" ~*")&gt;0))</f>
        <v/>
      </c>
    </row>
    <row r="537" ht="15" customHeight="1">
      <c r="A537" t="n">
        <v>11</v>
      </c>
      <c r="B537" s="35">
        <f>IF(Setup!$B$16="","",Setup!$B$16)</f>
        <v/>
      </c>
      <c r="C537" s="98" t="n"/>
      <c r="D537" s="99" t="n"/>
      <c r="E537" s="99" t="n"/>
      <c r="F537" s="100" t="n"/>
      <c r="G537" s="98" t="n"/>
      <c r="H537" s="99" t="n"/>
      <c r="I537" s="99" t="n"/>
      <c r="J537" s="100" t="n"/>
      <c r="K537" s="98" t="n"/>
      <c r="L537" s="99" t="n"/>
      <c r="M537" s="99" t="n"/>
      <c r="N537" s="100" t="n"/>
      <c r="O537" s="98" t="n"/>
      <c r="P537" s="99" t="n"/>
      <c r="Q537" s="99" t="n"/>
      <c r="R537" s="100" t="n"/>
      <c r="S537" s="98" t="n"/>
      <c r="T537" s="99" t="n"/>
      <c r="U537" s="99" t="n"/>
      <c r="V537" s="100" t="n"/>
      <c r="W537" s="98" t="n"/>
      <c r="X537" s="100" t="n"/>
      <c r="Y537" s="98" t="n"/>
      <c r="Z537" s="100" t="n"/>
      <c r="AB537" s="101">
        <f>IF($B537="","",(COUNTIF(C508:E525,$B537)+COUNTIF(C508:E525,$B537&amp;" ~*")&gt;0)+(COUNTIF(G508:I525,$B537)+COUNTIF(G508:I525,$B537&amp;" ~*")&gt;0)+(COUNTIF(K508:M525,$B537)+COUNTIF(K508:M525,$B537&amp;" ~*")&gt;0)+(COUNTIF(O508:Q525,$B537)+COUNTIF(O508:Q525,$B537&amp;" ~*")&gt;0)+(COUNTIF(S508:U525,$B537)+COUNTIF(S508:U525,$B537&amp;" ~*")&gt;0)+(COUNTIF(W508:W525,$B537)+COUNTIF(W508:W525,$B537&amp;" ~*")&gt;0)+(COUNTIF(Y508:Y525,$B537)+COUNTIF(Y508:Y525,$B537&amp;" ~*")&gt;0))</f>
        <v/>
      </c>
      <c r="AC537" s="36">
        <f>IF($B537="","",(IFERROR(INDEX(Setup!$G$33:$G$40,MATCH(C537,Setup!$B$33:$B$40,0)),0)=1)*(COUNTIF(C508:E525,$B537)+COUNTIF(C508:E525,$B537&amp;" ~*")&gt;0)+(IFERROR(INDEX(Setup!$G$33:$G$40,MATCH(G537,Setup!$B$33:$B$40,0)),0)=1)*(COUNTIF(G508:I525,$B537)+COUNTIF(G508:I525,$B537&amp;" ~*")&gt;0)+(IFERROR(INDEX(Setup!$G$33:$G$40,MATCH(K537,Setup!$B$33:$B$40,0)),0)=1)*(COUNTIF(K508:M525,$B537)+COUNTIF(K508:M525,$B537&amp;" ~*")&gt;0)+(IFERROR(INDEX(Setup!$G$33:$G$40,MATCH(O537,Setup!$B$33:$B$40,0)),0)=1)*(COUNTIF(O508:Q525,$B537)+COUNTIF(O508:Q525,$B537&amp;" ~*")&gt;0)+(IFERROR(INDEX(Setup!$G$33:$G$40,MATCH(S537,Setup!$B$33:$B$40,0)),0)=1)*(COUNTIF(S508:U525,$B537)+COUNTIF(S508:U525,$B537&amp;" ~*")&gt;0)+(IFERROR(INDEX(Setup!$G$33:$G$40,MATCH(W537,Setup!$B$33:$B$40,0)),0)=1)*(COUNTIF(W508:W525,$B537)+COUNTIF(W508:W525,$B537&amp;" ~*")&gt;0)+(IFERROR(INDEX(Setup!$G$33:$G$40,MATCH(Y537,Setup!$B$33:$B$40,0)),0)=1)*(COUNTIF(Y508:Y525,$B537)+COUNTIF(Y508:Y525,$B537&amp;" ~*")&gt;0))</f>
        <v/>
      </c>
    </row>
    <row r="538" ht="15" customHeight="1">
      <c r="A538" t="n">
        <v>11</v>
      </c>
      <c r="B538" s="37">
        <f>IF(Setup!$B$17="","",Setup!$B$17)</f>
        <v/>
      </c>
      <c r="C538" s="102" t="n"/>
      <c r="D538" s="103" t="n"/>
      <c r="E538" s="103" t="n"/>
      <c r="F538" s="104" t="n"/>
      <c r="G538" s="102" t="n"/>
      <c r="H538" s="103" t="n"/>
      <c r="I538" s="103" t="n"/>
      <c r="J538" s="104" t="n"/>
      <c r="K538" s="102" t="n"/>
      <c r="L538" s="103" t="n"/>
      <c r="M538" s="103" t="n"/>
      <c r="N538" s="104" t="n"/>
      <c r="O538" s="102" t="n"/>
      <c r="P538" s="103" t="n"/>
      <c r="Q538" s="103" t="n"/>
      <c r="R538" s="104" t="n"/>
      <c r="S538" s="102" t="n"/>
      <c r="T538" s="103" t="n"/>
      <c r="U538" s="103" t="n"/>
      <c r="V538" s="104" t="n"/>
      <c r="W538" s="102" t="n"/>
      <c r="X538" s="104" t="n"/>
      <c r="Y538" s="102" t="n"/>
      <c r="Z538" s="104" t="n"/>
      <c r="AB538" s="105">
        <f>IF($B538="","",(COUNTIF(C508:E525,$B538)+COUNTIF(C508:E525,$B538&amp;" ~*")&gt;0)+(COUNTIF(G508:I525,$B538)+COUNTIF(G508:I525,$B538&amp;" ~*")&gt;0)+(COUNTIF(K508:M525,$B538)+COUNTIF(K508:M525,$B538&amp;" ~*")&gt;0)+(COUNTIF(O508:Q525,$B538)+COUNTIF(O508:Q525,$B538&amp;" ~*")&gt;0)+(COUNTIF(S508:U525,$B538)+COUNTIF(S508:U525,$B538&amp;" ~*")&gt;0)+(COUNTIF(W508:W525,$B538)+COUNTIF(W508:W525,$B538&amp;" ~*")&gt;0)+(COUNTIF(Y508:Y525,$B538)+COUNTIF(Y508:Y525,$B538&amp;" ~*")&gt;0))</f>
        <v/>
      </c>
      <c r="AC538" s="38">
        <f>IF($B538="","",(IFERROR(INDEX(Setup!$G$33:$G$40,MATCH(C538,Setup!$B$33:$B$40,0)),0)=1)*(COUNTIF(C508:E525,$B538)+COUNTIF(C508:E525,$B538&amp;" ~*")&gt;0)+(IFERROR(INDEX(Setup!$G$33:$G$40,MATCH(G538,Setup!$B$33:$B$40,0)),0)=1)*(COUNTIF(G508:I525,$B538)+COUNTIF(G508:I525,$B538&amp;" ~*")&gt;0)+(IFERROR(INDEX(Setup!$G$33:$G$40,MATCH(K538,Setup!$B$33:$B$40,0)),0)=1)*(COUNTIF(K508:M525,$B538)+COUNTIF(K508:M525,$B538&amp;" ~*")&gt;0)+(IFERROR(INDEX(Setup!$G$33:$G$40,MATCH(O538,Setup!$B$33:$B$40,0)),0)=1)*(COUNTIF(O508:Q525,$B538)+COUNTIF(O508:Q525,$B538&amp;" ~*")&gt;0)+(IFERROR(INDEX(Setup!$G$33:$G$40,MATCH(S538,Setup!$B$33:$B$40,0)),0)=1)*(COUNTIF(S508:U525,$B538)+COUNTIF(S508:U525,$B538&amp;" ~*")&gt;0)+(IFERROR(INDEX(Setup!$G$33:$G$40,MATCH(W538,Setup!$B$33:$B$40,0)),0)=1)*(COUNTIF(W508:W525,$B538)+COUNTIF(W508:W525,$B538&amp;" ~*")&gt;0)+(IFERROR(INDEX(Setup!$G$33:$G$40,MATCH(Y538,Setup!$B$33:$B$40,0)),0)=1)*(COUNTIF(Y508:Y525,$B538)+COUNTIF(Y508:Y525,$B538&amp;" ~*")&gt;0))</f>
        <v/>
      </c>
    </row>
    <row r="539" ht="15" customHeight="1">
      <c r="A539" t="n">
        <v>11</v>
      </c>
      <c r="B539" s="35">
        <f>IF(Setup!$B$18="","",Setup!$B$18)</f>
        <v/>
      </c>
      <c r="C539" s="98" t="n"/>
      <c r="D539" s="99" t="n"/>
      <c r="E539" s="99" t="n"/>
      <c r="F539" s="100" t="n"/>
      <c r="G539" s="98" t="n"/>
      <c r="H539" s="99" t="n"/>
      <c r="I539" s="99" t="n"/>
      <c r="J539" s="100" t="n"/>
      <c r="K539" s="98" t="n"/>
      <c r="L539" s="99" t="n"/>
      <c r="M539" s="99" t="n"/>
      <c r="N539" s="100" t="n"/>
      <c r="O539" s="98" t="n"/>
      <c r="P539" s="99" t="n"/>
      <c r="Q539" s="99" t="n"/>
      <c r="R539" s="100" t="n"/>
      <c r="S539" s="98" t="n"/>
      <c r="T539" s="99" t="n"/>
      <c r="U539" s="99" t="n"/>
      <c r="V539" s="100" t="n"/>
      <c r="W539" s="98" t="n"/>
      <c r="X539" s="100" t="n"/>
      <c r="Y539" s="98" t="n"/>
      <c r="Z539" s="100" t="n"/>
      <c r="AB539" s="101">
        <f>IF($B539="","",(COUNTIF(C508:E525,$B539)+COUNTIF(C508:E525,$B539&amp;" ~*")&gt;0)+(COUNTIF(G508:I525,$B539)+COUNTIF(G508:I525,$B539&amp;" ~*")&gt;0)+(COUNTIF(K508:M525,$B539)+COUNTIF(K508:M525,$B539&amp;" ~*")&gt;0)+(COUNTIF(O508:Q525,$B539)+COUNTIF(O508:Q525,$B539&amp;" ~*")&gt;0)+(COUNTIF(S508:U525,$B539)+COUNTIF(S508:U525,$B539&amp;" ~*")&gt;0)+(COUNTIF(W508:W525,$B539)+COUNTIF(W508:W525,$B539&amp;" ~*")&gt;0)+(COUNTIF(Y508:Y525,$B539)+COUNTIF(Y508:Y525,$B539&amp;" ~*")&gt;0))</f>
        <v/>
      </c>
      <c r="AC539" s="36">
        <f>IF($B539="","",(IFERROR(INDEX(Setup!$G$33:$G$40,MATCH(C539,Setup!$B$33:$B$40,0)),0)=1)*(COUNTIF(C508:E525,$B539)+COUNTIF(C508:E525,$B539&amp;" ~*")&gt;0)+(IFERROR(INDEX(Setup!$G$33:$G$40,MATCH(G539,Setup!$B$33:$B$40,0)),0)=1)*(COUNTIF(G508:I525,$B539)+COUNTIF(G508:I525,$B539&amp;" ~*")&gt;0)+(IFERROR(INDEX(Setup!$G$33:$G$40,MATCH(K539,Setup!$B$33:$B$40,0)),0)=1)*(COUNTIF(K508:M525,$B539)+COUNTIF(K508:M525,$B539&amp;" ~*")&gt;0)+(IFERROR(INDEX(Setup!$G$33:$G$40,MATCH(O539,Setup!$B$33:$B$40,0)),0)=1)*(COUNTIF(O508:Q525,$B539)+COUNTIF(O508:Q525,$B539&amp;" ~*")&gt;0)+(IFERROR(INDEX(Setup!$G$33:$G$40,MATCH(S539,Setup!$B$33:$B$40,0)),0)=1)*(COUNTIF(S508:U525,$B539)+COUNTIF(S508:U525,$B539&amp;" ~*")&gt;0)+(IFERROR(INDEX(Setup!$G$33:$G$40,MATCH(W539,Setup!$B$33:$B$40,0)),0)=1)*(COUNTIF(W508:W525,$B539)+COUNTIF(W508:W525,$B539&amp;" ~*")&gt;0)+(IFERROR(INDEX(Setup!$G$33:$G$40,MATCH(Y539,Setup!$B$33:$B$40,0)),0)=1)*(COUNTIF(Y508:Y525,$B539)+COUNTIF(Y508:Y525,$B539&amp;" ~*")&gt;0))</f>
        <v/>
      </c>
    </row>
    <row r="540" ht="15" customHeight="1">
      <c r="A540" t="n">
        <v>11</v>
      </c>
      <c r="B540" s="37">
        <f>IF(Setup!$B$19="","",Setup!$B$19)</f>
        <v/>
      </c>
      <c r="C540" s="102" t="n"/>
      <c r="D540" s="103" t="n"/>
      <c r="E540" s="103" t="n"/>
      <c r="F540" s="104" t="n"/>
      <c r="G540" s="102" t="n"/>
      <c r="H540" s="103" t="n"/>
      <c r="I540" s="103" t="n"/>
      <c r="J540" s="104" t="n"/>
      <c r="K540" s="102" t="n"/>
      <c r="L540" s="103" t="n"/>
      <c r="M540" s="103" t="n"/>
      <c r="N540" s="104" t="n"/>
      <c r="O540" s="102" t="n"/>
      <c r="P540" s="103" t="n"/>
      <c r="Q540" s="103" t="n"/>
      <c r="R540" s="104" t="n"/>
      <c r="S540" s="102" t="n"/>
      <c r="T540" s="103" t="n"/>
      <c r="U540" s="103" t="n"/>
      <c r="V540" s="104" t="n"/>
      <c r="W540" s="102" t="n"/>
      <c r="X540" s="104" t="n"/>
      <c r="Y540" s="102" t="n"/>
      <c r="Z540" s="104" t="n"/>
      <c r="AB540" s="105">
        <f>IF($B540="","",(COUNTIF(C508:E525,$B540)+COUNTIF(C508:E525,$B540&amp;" ~*")&gt;0)+(COUNTIF(G508:I525,$B540)+COUNTIF(G508:I525,$B540&amp;" ~*")&gt;0)+(COUNTIF(K508:M525,$B540)+COUNTIF(K508:M525,$B540&amp;" ~*")&gt;0)+(COUNTIF(O508:Q525,$B540)+COUNTIF(O508:Q525,$B540&amp;" ~*")&gt;0)+(COUNTIF(S508:U525,$B540)+COUNTIF(S508:U525,$B540&amp;" ~*")&gt;0)+(COUNTIF(W508:W525,$B540)+COUNTIF(W508:W525,$B540&amp;" ~*")&gt;0)+(COUNTIF(Y508:Y525,$B540)+COUNTIF(Y508:Y525,$B540&amp;" ~*")&gt;0))</f>
        <v/>
      </c>
      <c r="AC540" s="38">
        <f>IF($B540="","",(IFERROR(INDEX(Setup!$G$33:$G$40,MATCH(C540,Setup!$B$33:$B$40,0)),0)=1)*(COUNTIF(C508:E525,$B540)+COUNTIF(C508:E525,$B540&amp;" ~*")&gt;0)+(IFERROR(INDEX(Setup!$G$33:$G$40,MATCH(G540,Setup!$B$33:$B$40,0)),0)=1)*(COUNTIF(G508:I525,$B540)+COUNTIF(G508:I525,$B540&amp;" ~*")&gt;0)+(IFERROR(INDEX(Setup!$G$33:$G$40,MATCH(K540,Setup!$B$33:$B$40,0)),0)=1)*(COUNTIF(K508:M525,$B540)+COUNTIF(K508:M525,$B540&amp;" ~*")&gt;0)+(IFERROR(INDEX(Setup!$G$33:$G$40,MATCH(O540,Setup!$B$33:$B$40,0)),0)=1)*(COUNTIF(O508:Q525,$B540)+COUNTIF(O508:Q525,$B540&amp;" ~*")&gt;0)+(IFERROR(INDEX(Setup!$G$33:$G$40,MATCH(S540,Setup!$B$33:$B$40,0)),0)=1)*(COUNTIF(S508:U525,$B540)+COUNTIF(S508:U525,$B540&amp;" ~*")&gt;0)+(IFERROR(INDEX(Setup!$G$33:$G$40,MATCH(W540,Setup!$B$33:$B$40,0)),0)=1)*(COUNTIF(W508:W525,$B540)+COUNTIF(W508:W525,$B540&amp;" ~*")&gt;0)+(IFERROR(INDEX(Setup!$G$33:$G$40,MATCH(Y540,Setup!$B$33:$B$40,0)),0)=1)*(COUNTIF(Y508:Y525,$B540)+COUNTIF(Y508:Y525,$B540&amp;" ~*")&gt;0))</f>
        <v/>
      </c>
    </row>
    <row r="541" ht="15" customHeight="1">
      <c r="A541" t="n">
        <v>11</v>
      </c>
      <c r="B541" s="35">
        <f>IF(Setup!$B$20="","",Setup!$B$20)</f>
        <v/>
      </c>
      <c r="C541" s="98" t="n"/>
      <c r="D541" s="99" t="n"/>
      <c r="E541" s="99" t="n"/>
      <c r="F541" s="100" t="n"/>
      <c r="G541" s="98" t="n"/>
      <c r="H541" s="99" t="n"/>
      <c r="I541" s="99" t="n"/>
      <c r="J541" s="100" t="n"/>
      <c r="K541" s="98" t="n"/>
      <c r="L541" s="99" t="n"/>
      <c r="M541" s="99" t="n"/>
      <c r="N541" s="100" t="n"/>
      <c r="O541" s="98" t="n"/>
      <c r="P541" s="99" t="n"/>
      <c r="Q541" s="99" t="n"/>
      <c r="R541" s="100" t="n"/>
      <c r="S541" s="98" t="n"/>
      <c r="T541" s="99" t="n"/>
      <c r="U541" s="99" t="n"/>
      <c r="V541" s="100" t="n"/>
      <c r="W541" s="98" t="n"/>
      <c r="X541" s="100" t="n"/>
      <c r="Y541" s="98" t="n"/>
      <c r="Z541" s="100" t="n"/>
      <c r="AB541" s="101">
        <f>IF($B541="","",(COUNTIF(C508:E525,$B541)+COUNTIF(C508:E525,$B541&amp;" ~*")&gt;0)+(COUNTIF(G508:I525,$B541)+COUNTIF(G508:I525,$B541&amp;" ~*")&gt;0)+(COUNTIF(K508:M525,$B541)+COUNTIF(K508:M525,$B541&amp;" ~*")&gt;0)+(COUNTIF(O508:Q525,$B541)+COUNTIF(O508:Q525,$B541&amp;" ~*")&gt;0)+(COUNTIF(S508:U525,$B541)+COUNTIF(S508:U525,$B541&amp;" ~*")&gt;0)+(COUNTIF(W508:W525,$B541)+COUNTIF(W508:W525,$B541&amp;" ~*")&gt;0)+(COUNTIF(Y508:Y525,$B541)+COUNTIF(Y508:Y525,$B541&amp;" ~*")&gt;0))</f>
        <v/>
      </c>
      <c r="AC541" s="36">
        <f>IF($B541="","",(IFERROR(INDEX(Setup!$G$33:$G$40,MATCH(C541,Setup!$B$33:$B$40,0)),0)=1)*(COUNTIF(C508:E525,$B541)+COUNTIF(C508:E525,$B541&amp;" ~*")&gt;0)+(IFERROR(INDEX(Setup!$G$33:$G$40,MATCH(G541,Setup!$B$33:$B$40,0)),0)=1)*(COUNTIF(G508:I525,$B541)+COUNTIF(G508:I525,$B541&amp;" ~*")&gt;0)+(IFERROR(INDEX(Setup!$G$33:$G$40,MATCH(K541,Setup!$B$33:$B$40,0)),0)=1)*(COUNTIF(K508:M525,$B541)+COUNTIF(K508:M525,$B541&amp;" ~*")&gt;0)+(IFERROR(INDEX(Setup!$G$33:$G$40,MATCH(O541,Setup!$B$33:$B$40,0)),0)=1)*(COUNTIF(O508:Q525,$B541)+COUNTIF(O508:Q525,$B541&amp;" ~*")&gt;0)+(IFERROR(INDEX(Setup!$G$33:$G$40,MATCH(S541,Setup!$B$33:$B$40,0)),0)=1)*(COUNTIF(S508:U525,$B541)+COUNTIF(S508:U525,$B541&amp;" ~*")&gt;0)+(IFERROR(INDEX(Setup!$G$33:$G$40,MATCH(W541,Setup!$B$33:$B$40,0)),0)=1)*(COUNTIF(W508:W525,$B541)+COUNTIF(W508:W525,$B541&amp;" ~*")&gt;0)+(IFERROR(INDEX(Setup!$G$33:$G$40,MATCH(Y541,Setup!$B$33:$B$40,0)),0)=1)*(COUNTIF(Y508:Y525,$B541)+COUNTIF(Y508:Y525,$B541&amp;" ~*")&gt;0))</f>
        <v/>
      </c>
    </row>
    <row r="542" ht="15" customHeight="1">
      <c r="A542" t="n">
        <v>11</v>
      </c>
      <c r="B542" s="37">
        <f>IF(Setup!$B$21="","",Setup!$B$21)</f>
        <v/>
      </c>
      <c r="C542" s="102" t="inlineStr">
        <is>
          <t>AL</t>
        </is>
      </c>
      <c r="D542" s="103" t="n"/>
      <c r="E542" s="103" t="n"/>
      <c r="F542" s="104" t="n"/>
      <c r="G542" s="102" t="inlineStr">
        <is>
          <t>AL</t>
        </is>
      </c>
      <c r="H542" s="103" t="n"/>
      <c r="I542" s="103" t="n"/>
      <c r="J542" s="104" t="n"/>
      <c r="K542" s="102" t="inlineStr">
        <is>
          <t>AL</t>
        </is>
      </c>
      <c r="L542" s="103" t="n"/>
      <c r="M542" s="103" t="n"/>
      <c r="N542" s="104" t="n"/>
      <c r="O542" s="102" t="inlineStr">
        <is>
          <t>AL</t>
        </is>
      </c>
      <c r="P542" s="103" t="n"/>
      <c r="Q542" s="103" t="n"/>
      <c r="R542" s="104" t="n"/>
      <c r="S542" s="102" t="n"/>
      <c r="T542" s="103" t="n"/>
      <c r="U542" s="103" t="n"/>
      <c r="V542" s="104" t="n"/>
      <c r="W542" s="102" t="n"/>
      <c r="X542" s="104" t="n"/>
      <c r="Y542" s="102" t="n"/>
      <c r="Z542" s="104" t="n"/>
      <c r="AB542" s="105">
        <f>IF($B542="","",(COUNTIF(C508:E525,$B542)+COUNTIF(C508:E525,$B542&amp;" ~*")&gt;0)+(COUNTIF(G508:I525,$B542)+COUNTIF(G508:I525,$B542&amp;" ~*")&gt;0)+(COUNTIF(K508:M525,$B542)+COUNTIF(K508:M525,$B542&amp;" ~*")&gt;0)+(COUNTIF(O508:Q525,$B542)+COUNTIF(O508:Q525,$B542&amp;" ~*")&gt;0)+(COUNTIF(S508:U525,$B542)+COUNTIF(S508:U525,$B542&amp;" ~*")&gt;0)+(COUNTIF(W508:W525,$B542)+COUNTIF(W508:W525,$B542&amp;" ~*")&gt;0)+(COUNTIF(Y508:Y525,$B542)+COUNTIF(Y508:Y525,$B542&amp;" ~*")&gt;0))</f>
        <v/>
      </c>
      <c r="AC542" s="38">
        <f>IF($B542="","",(IFERROR(INDEX(Setup!$G$33:$G$40,MATCH(C542,Setup!$B$33:$B$40,0)),0)=1)*(COUNTIF(C508:E525,$B542)+COUNTIF(C508:E525,$B542&amp;" ~*")&gt;0)+(IFERROR(INDEX(Setup!$G$33:$G$40,MATCH(G542,Setup!$B$33:$B$40,0)),0)=1)*(COUNTIF(G508:I525,$B542)+COUNTIF(G508:I525,$B542&amp;" ~*")&gt;0)+(IFERROR(INDEX(Setup!$G$33:$G$40,MATCH(K542,Setup!$B$33:$B$40,0)),0)=1)*(COUNTIF(K508:M525,$B542)+COUNTIF(K508:M525,$B542&amp;" ~*")&gt;0)+(IFERROR(INDEX(Setup!$G$33:$G$40,MATCH(O542,Setup!$B$33:$B$40,0)),0)=1)*(COUNTIF(O508:Q525,$B542)+COUNTIF(O508:Q525,$B542&amp;" ~*")&gt;0)+(IFERROR(INDEX(Setup!$G$33:$G$40,MATCH(S542,Setup!$B$33:$B$40,0)),0)=1)*(COUNTIF(S508:U525,$B542)+COUNTIF(S508:U525,$B542&amp;" ~*")&gt;0)+(IFERROR(INDEX(Setup!$G$33:$G$40,MATCH(W542,Setup!$B$33:$B$40,0)),0)=1)*(COUNTIF(W508:W525,$B542)+COUNTIF(W508:W525,$B542&amp;" ~*")&gt;0)+(IFERROR(INDEX(Setup!$G$33:$G$40,MATCH(Y542,Setup!$B$33:$B$40,0)),0)=1)*(COUNTIF(Y508:Y525,$B542)+COUNTIF(Y508:Y525,$B542&amp;" ~*")&gt;0))</f>
        <v/>
      </c>
    </row>
    <row r="543" ht="15" customHeight="1">
      <c r="A543" t="n">
        <v>11</v>
      </c>
      <c r="B543" s="35">
        <f>IF(Setup!$B$22="","",Setup!$B$22)</f>
        <v/>
      </c>
      <c r="C543" s="98" t="n"/>
      <c r="D543" s="99" t="n"/>
      <c r="E543" s="99" t="n"/>
      <c r="F543" s="100" t="n"/>
      <c r="G543" s="98" t="n"/>
      <c r="H543" s="99" t="n"/>
      <c r="I543" s="99" t="n"/>
      <c r="J543" s="100" t="n"/>
      <c r="K543" s="98" t="n"/>
      <c r="L543" s="99" t="n"/>
      <c r="M543" s="99" t="n"/>
      <c r="N543" s="100" t="n"/>
      <c r="O543" s="98" t="n"/>
      <c r="P543" s="99" t="n"/>
      <c r="Q543" s="99" t="n"/>
      <c r="R543" s="100" t="n"/>
      <c r="S543" s="98" t="n"/>
      <c r="T543" s="99" t="n"/>
      <c r="U543" s="99" t="n"/>
      <c r="V543" s="100" t="n"/>
      <c r="W543" s="98" t="n"/>
      <c r="X543" s="100" t="n"/>
      <c r="Y543" s="98" t="n"/>
      <c r="Z543" s="100" t="n"/>
      <c r="AB543" s="101">
        <f>IF($B543="","",(COUNTIF(C508:E525,$B543)+COUNTIF(C508:E525,$B543&amp;" ~*")&gt;0)+(COUNTIF(G508:I525,$B543)+COUNTIF(G508:I525,$B543&amp;" ~*")&gt;0)+(COUNTIF(K508:M525,$B543)+COUNTIF(K508:M525,$B543&amp;" ~*")&gt;0)+(COUNTIF(O508:Q525,$B543)+COUNTIF(O508:Q525,$B543&amp;" ~*")&gt;0)+(COUNTIF(S508:U525,$B543)+COUNTIF(S508:U525,$B543&amp;" ~*")&gt;0)+(COUNTIF(W508:W525,$B543)+COUNTIF(W508:W525,$B543&amp;" ~*")&gt;0)+(COUNTIF(Y508:Y525,$B543)+COUNTIF(Y508:Y525,$B543&amp;" ~*")&gt;0))</f>
        <v/>
      </c>
      <c r="AC543" s="36">
        <f>IF($B543="","",(IFERROR(INDEX(Setup!$G$33:$G$40,MATCH(C543,Setup!$B$33:$B$40,0)),0)=1)*(COUNTIF(C508:E525,$B543)+COUNTIF(C508:E525,$B543&amp;" ~*")&gt;0)+(IFERROR(INDEX(Setup!$G$33:$G$40,MATCH(G543,Setup!$B$33:$B$40,0)),0)=1)*(COUNTIF(G508:I525,$B543)+COUNTIF(G508:I525,$B543&amp;" ~*")&gt;0)+(IFERROR(INDEX(Setup!$G$33:$G$40,MATCH(K543,Setup!$B$33:$B$40,0)),0)=1)*(COUNTIF(K508:M525,$B543)+COUNTIF(K508:M525,$B543&amp;" ~*")&gt;0)+(IFERROR(INDEX(Setup!$G$33:$G$40,MATCH(O543,Setup!$B$33:$B$40,0)),0)=1)*(COUNTIF(O508:Q525,$B543)+COUNTIF(O508:Q525,$B543&amp;" ~*")&gt;0)+(IFERROR(INDEX(Setup!$G$33:$G$40,MATCH(S543,Setup!$B$33:$B$40,0)),0)=1)*(COUNTIF(S508:U525,$B543)+COUNTIF(S508:U525,$B543&amp;" ~*")&gt;0)+(IFERROR(INDEX(Setup!$G$33:$G$40,MATCH(W543,Setup!$B$33:$B$40,0)),0)=1)*(COUNTIF(W508:W525,$B543)+COUNTIF(W508:W525,$B543&amp;" ~*")&gt;0)+(IFERROR(INDEX(Setup!$G$33:$G$40,MATCH(Y543,Setup!$B$33:$B$40,0)),0)=1)*(COUNTIF(Y508:Y525,$B543)+COUNTIF(Y508:Y525,$B543&amp;" ~*")&gt;0))</f>
        <v/>
      </c>
    </row>
    <row r="544" ht="15" customHeight="1">
      <c r="A544" t="n">
        <v>11</v>
      </c>
      <c r="B544" s="37">
        <f>IF(Setup!$B$23="","",Setup!$B$23)</f>
        <v/>
      </c>
      <c r="C544" s="102" t="n"/>
      <c r="D544" s="103" t="n"/>
      <c r="E544" s="103" t="n"/>
      <c r="F544" s="104" t="n"/>
      <c r="G544" s="102" t="n"/>
      <c r="H544" s="103" t="n"/>
      <c r="I544" s="103" t="n"/>
      <c r="J544" s="104" t="n"/>
      <c r="K544" s="102" t="n"/>
      <c r="L544" s="103" t="n"/>
      <c r="M544" s="103" t="n"/>
      <c r="N544" s="104" t="n"/>
      <c r="O544" s="102" t="n"/>
      <c r="P544" s="103" t="n"/>
      <c r="Q544" s="103" t="n"/>
      <c r="R544" s="104" t="n"/>
      <c r="S544" s="102" t="n"/>
      <c r="T544" s="103" t="n"/>
      <c r="U544" s="103" t="n"/>
      <c r="V544" s="104" t="n"/>
      <c r="W544" s="102" t="n"/>
      <c r="X544" s="104" t="n"/>
      <c r="Y544" s="102" t="n"/>
      <c r="Z544" s="104" t="n"/>
      <c r="AB544" s="105">
        <f>IF($B544="","",(COUNTIF(C508:E525,$B544)+COUNTIF(C508:E525,$B544&amp;" ~*")&gt;0)+(COUNTIF(G508:I525,$B544)+COUNTIF(G508:I525,$B544&amp;" ~*")&gt;0)+(COUNTIF(K508:M525,$B544)+COUNTIF(K508:M525,$B544&amp;" ~*")&gt;0)+(COUNTIF(O508:Q525,$B544)+COUNTIF(O508:Q525,$B544&amp;" ~*")&gt;0)+(COUNTIF(S508:U525,$B544)+COUNTIF(S508:U525,$B544&amp;" ~*")&gt;0)+(COUNTIF(W508:W525,$B544)+COUNTIF(W508:W525,$B544&amp;" ~*")&gt;0)+(COUNTIF(Y508:Y525,$B544)+COUNTIF(Y508:Y525,$B544&amp;" ~*")&gt;0))</f>
        <v/>
      </c>
      <c r="AC544" s="38">
        <f>IF($B544="","",(IFERROR(INDEX(Setup!$G$33:$G$40,MATCH(C544,Setup!$B$33:$B$40,0)),0)=1)*(COUNTIF(C508:E525,$B544)+COUNTIF(C508:E525,$B544&amp;" ~*")&gt;0)+(IFERROR(INDEX(Setup!$G$33:$G$40,MATCH(G544,Setup!$B$33:$B$40,0)),0)=1)*(COUNTIF(G508:I525,$B544)+COUNTIF(G508:I525,$B544&amp;" ~*")&gt;0)+(IFERROR(INDEX(Setup!$G$33:$G$40,MATCH(K544,Setup!$B$33:$B$40,0)),0)=1)*(COUNTIF(K508:M525,$B544)+COUNTIF(K508:M525,$B544&amp;" ~*")&gt;0)+(IFERROR(INDEX(Setup!$G$33:$G$40,MATCH(O544,Setup!$B$33:$B$40,0)),0)=1)*(COUNTIF(O508:Q525,$B544)+COUNTIF(O508:Q525,$B544&amp;" ~*")&gt;0)+(IFERROR(INDEX(Setup!$G$33:$G$40,MATCH(S544,Setup!$B$33:$B$40,0)),0)=1)*(COUNTIF(S508:U525,$B544)+COUNTIF(S508:U525,$B544&amp;" ~*")&gt;0)+(IFERROR(INDEX(Setup!$G$33:$G$40,MATCH(W544,Setup!$B$33:$B$40,0)),0)=1)*(COUNTIF(W508:W525,$B544)+COUNTIF(W508:W525,$B544&amp;" ~*")&gt;0)+(IFERROR(INDEX(Setup!$G$33:$G$40,MATCH(Y544,Setup!$B$33:$B$40,0)),0)=1)*(COUNTIF(Y508:Y525,$B544)+COUNTIF(Y508:Y525,$B544&amp;" ~*")&gt;0))</f>
        <v/>
      </c>
    </row>
    <row r="545" ht="15" customHeight="1">
      <c r="A545" t="n">
        <v>11</v>
      </c>
      <c r="B545" s="35">
        <f>IF(Setup!$B$24="","",Setup!$B$24)</f>
        <v/>
      </c>
      <c r="C545" s="98" t="n"/>
      <c r="D545" s="99" t="n"/>
      <c r="E545" s="99" t="n"/>
      <c r="F545" s="100" t="n"/>
      <c r="G545" s="98" t="n"/>
      <c r="H545" s="99" t="n"/>
      <c r="I545" s="99" t="n"/>
      <c r="J545" s="100" t="n"/>
      <c r="K545" s="98" t="n"/>
      <c r="L545" s="99" t="n"/>
      <c r="M545" s="99" t="n"/>
      <c r="N545" s="100" t="n"/>
      <c r="O545" s="98" t="n"/>
      <c r="P545" s="99" t="n"/>
      <c r="Q545" s="99" t="n"/>
      <c r="R545" s="100" t="n"/>
      <c r="S545" s="98" t="n"/>
      <c r="T545" s="99" t="n"/>
      <c r="U545" s="99" t="n"/>
      <c r="V545" s="100" t="n"/>
      <c r="W545" s="98" t="n"/>
      <c r="X545" s="100" t="n"/>
      <c r="Y545" s="98" t="n"/>
      <c r="Z545" s="100" t="n"/>
      <c r="AB545" s="101">
        <f>IF($B545="","",(COUNTIF(C508:E525,$B545)+COUNTIF(C508:E525,$B545&amp;" ~*")&gt;0)+(COUNTIF(G508:I525,$B545)+COUNTIF(G508:I525,$B545&amp;" ~*")&gt;0)+(COUNTIF(K508:M525,$B545)+COUNTIF(K508:M525,$B545&amp;" ~*")&gt;0)+(COUNTIF(O508:Q525,$B545)+COUNTIF(O508:Q525,$B545&amp;" ~*")&gt;0)+(COUNTIF(S508:U525,$B545)+COUNTIF(S508:U525,$B545&amp;" ~*")&gt;0)+(COUNTIF(W508:W525,$B545)+COUNTIF(W508:W525,$B545&amp;" ~*")&gt;0)+(COUNTIF(Y508:Y525,$B545)+COUNTIF(Y508:Y525,$B545&amp;" ~*")&gt;0))</f>
        <v/>
      </c>
      <c r="AC545" s="36">
        <f>IF($B545="","",(IFERROR(INDEX(Setup!$G$33:$G$40,MATCH(C545,Setup!$B$33:$B$40,0)),0)=1)*(COUNTIF(C508:E525,$B545)+COUNTIF(C508:E525,$B545&amp;" ~*")&gt;0)+(IFERROR(INDEX(Setup!$G$33:$G$40,MATCH(G545,Setup!$B$33:$B$40,0)),0)=1)*(COUNTIF(G508:I525,$B545)+COUNTIF(G508:I525,$B545&amp;" ~*")&gt;0)+(IFERROR(INDEX(Setup!$G$33:$G$40,MATCH(K545,Setup!$B$33:$B$40,0)),0)=1)*(COUNTIF(K508:M525,$B545)+COUNTIF(K508:M525,$B545&amp;" ~*")&gt;0)+(IFERROR(INDEX(Setup!$G$33:$G$40,MATCH(O545,Setup!$B$33:$B$40,0)),0)=1)*(COUNTIF(O508:Q525,$B545)+COUNTIF(O508:Q525,$B545&amp;" ~*")&gt;0)+(IFERROR(INDEX(Setup!$G$33:$G$40,MATCH(S545,Setup!$B$33:$B$40,0)),0)=1)*(COUNTIF(S508:U525,$B545)+COUNTIF(S508:U525,$B545&amp;" ~*")&gt;0)+(IFERROR(INDEX(Setup!$G$33:$G$40,MATCH(W545,Setup!$B$33:$B$40,0)),0)=1)*(COUNTIF(W508:W525,$B545)+COUNTIF(W508:W525,$B545&amp;" ~*")&gt;0)+(IFERROR(INDEX(Setup!$G$33:$G$40,MATCH(Y545,Setup!$B$33:$B$40,0)),0)=1)*(COUNTIF(Y508:Y525,$B545)+COUNTIF(Y508:Y525,$B545&amp;" ~*")&gt;0))</f>
        <v/>
      </c>
    </row>
    <row r="546" ht="15" customHeight="1">
      <c r="A546" t="n">
        <v>11</v>
      </c>
      <c r="B546" s="37">
        <f>IF(Setup!$B$25="","",Setup!$B$25)</f>
        <v/>
      </c>
      <c r="C546" s="102" t="n"/>
      <c r="D546" s="103" t="n"/>
      <c r="E546" s="103" t="n"/>
      <c r="F546" s="104" t="n"/>
      <c r="G546" s="102" t="n"/>
      <c r="H546" s="103" t="n"/>
      <c r="I546" s="103" t="n"/>
      <c r="J546" s="104" t="n"/>
      <c r="K546" s="102" t="n"/>
      <c r="L546" s="103" t="n"/>
      <c r="M546" s="103" t="n"/>
      <c r="N546" s="104" t="n"/>
      <c r="O546" s="102" t="n"/>
      <c r="P546" s="103" t="n"/>
      <c r="Q546" s="103" t="n"/>
      <c r="R546" s="104" t="n"/>
      <c r="S546" s="102" t="n"/>
      <c r="T546" s="103" t="n"/>
      <c r="U546" s="103" t="n"/>
      <c r="V546" s="104" t="n"/>
      <c r="W546" s="102" t="n"/>
      <c r="X546" s="104" t="n"/>
      <c r="Y546" s="102" t="n"/>
      <c r="Z546" s="104" t="n"/>
      <c r="AB546" s="105">
        <f>IF($B546="","",(COUNTIF(C508:E525,$B546)+COUNTIF(C508:E525,$B546&amp;" ~*")&gt;0)+(COUNTIF(G508:I525,$B546)+COUNTIF(G508:I525,$B546&amp;" ~*")&gt;0)+(COUNTIF(K508:M525,$B546)+COUNTIF(K508:M525,$B546&amp;" ~*")&gt;0)+(COUNTIF(O508:Q525,$B546)+COUNTIF(O508:Q525,$B546&amp;" ~*")&gt;0)+(COUNTIF(S508:U525,$B546)+COUNTIF(S508:U525,$B546&amp;" ~*")&gt;0)+(COUNTIF(W508:W525,$B546)+COUNTIF(W508:W525,$B546&amp;" ~*")&gt;0)+(COUNTIF(Y508:Y525,$B546)+COUNTIF(Y508:Y525,$B546&amp;" ~*")&gt;0))</f>
        <v/>
      </c>
      <c r="AC546" s="38">
        <f>IF($B546="","",(IFERROR(INDEX(Setup!$G$33:$G$40,MATCH(C546,Setup!$B$33:$B$40,0)),0)=1)*(COUNTIF(C508:E525,$B546)+COUNTIF(C508:E525,$B546&amp;" ~*")&gt;0)+(IFERROR(INDEX(Setup!$G$33:$G$40,MATCH(G546,Setup!$B$33:$B$40,0)),0)=1)*(COUNTIF(G508:I525,$B546)+COUNTIF(G508:I525,$B546&amp;" ~*")&gt;0)+(IFERROR(INDEX(Setup!$G$33:$G$40,MATCH(K546,Setup!$B$33:$B$40,0)),0)=1)*(COUNTIF(K508:M525,$B546)+COUNTIF(K508:M525,$B546&amp;" ~*")&gt;0)+(IFERROR(INDEX(Setup!$G$33:$G$40,MATCH(O546,Setup!$B$33:$B$40,0)),0)=1)*(COUNTIF(O508:Q525,$B546)+COUNTIF(O508:Q525,$B546&amp;" ~*")&gt;0)+(IFERROR(INDEX(Setup!$G$33:$G$40,MATCH(S546,Setup!$B$33:$B$40,0)),0)=1)*(COUNTIF(S508:U525,$B546)+COUNTIF(S508:U525,$B546&amp;" ~*")&gt;0)+(IFERROR(INDEX(Setup!$G$33:$G$40,MATCH(W546,Setup!$B$33:$B$40,0)),0)=1)*(COUNTIF(W508:W525,$B546)+COUNTIF(W508:W525,$B546&amp;" ~*")&gt;0)+(IFERROR(INDEX(Setup!$G$33:$G$40,MATCH(Y546,Setup!$B$33:$B$40,0)),0)=1)*(COUNTIF(Y508:Y525,$B546)+COUNTIF(Y508:Y525,$B546&amp;" ~*")&gt;0))</f>
        <v/>
      </c>
    </row>
    <row r="547" ht="15" customHeight="1">
      <c r="A547" t="n">
        <v>11</v>
      </c>
      <c r="B547" s="35">
        <f>IF(Setup!$B$26="","",Setup!$B$26)</f>
        <v/>
      </c>
      <c r="C547" s="98" t="n"/>
      <c r="D547" s="99" t="n"/>
      <c r="E547" s="99" t="n"/>
      <c r="F547" s="100" t="n"/>
      <c r="G547" s="98" t="n"/>
      <c r="H547" s="99" t="n"/>
      <c r="I547" s="99" t="n"/>
      <c r="J547" s="100" t="n"/>
      <c r="K547" s="98" t="n"/>
      <c r="L547" s="99" t="n"/>
      <c r="M547" s="99" t="n"/>
      <c r="N547" s="100" t="n"/>
      <c r="O547" s="98" t="n"/>
      <c r="P547" s="99" t="n"/>
      <c r="Q547" s="99" t="n"/>
      <c r="R547" s="100" t="n"/>
      <c r="S547" s="98" t="n"/>
      <c r="T547" s="99" t="n"/>
      <c r="U547" s="99" t="n"/>
      <c r="V547" s="100" t="n"/>
      <c r="W547" s="98" t="n"/>
      <c r="X547" s="100" t="n"/>
      <c r="Y547" s="98" t="n"/>
      <c r="Z547" s="100" t="n"/>
      <c r="AB547" s="101">
        <f>IF($B547="","",(COUNTIF(C508:E525,$B547)+COUNTIF(C508:E525,$B547&amp;" ~*")&gt;0)+(COUNTIF(G508:I525,$B547)+COUNTIF(G508:I525,$B547&amp;" ~*")&gt;0)+(COUNTIF(K508:M525,$B547)+COUNTIF(K508:M525,$B547&amp;" ~*")&gt;0)+(COUNTIF(O508:Q525,$B547)+COUNTIF(O508:Q525,$B547&amp;" ~*")&gt;0)+(COUNTIF(S508:U525,$B547)+COUNTIF(S508:U525,$B547&amp;" ~*")&gt;0)+(COUNTIF(W508:W525,$B547)+COUNTIF(W508:W525,$B547&amp;" ~*")&gt;0)+(COUNTIF(Y508:Y525,$B547)+COUNTIF(Y508:Y525,$B547&amp;" ~*")&gt;0))</f>
        <v/>
      </c>
      <c r="AC547" s="36">
        <f>IF($B547="","",(IFERROR(INDEX(Setup!$G$33:$G$40,MATCH(C547,Setup!$B$33:$B$40,0)),0)=1)*(COUNTIF(C508:E525,$B547)+COUNTIF(C508:E525,$B547&amp;" ~*")&gt;0)+(IFERROR(INDEX(Setup!$G$33:$G$40,MATCH(G547,Setup!$B$33:$B$40,0)),0)=1)*(COUNTIF(G508:I525,$B547)+COUNTIF(G508:I525,$B547&amp;" ~*")&gt;0)+(IFERROR(INDEX(Setup!$G$33:$G$40,MATCH(K547,Setup!$B$33:$B$40,0)),0)=1)*(COUNTIF(K508:M525,$B547)+COUNTIF(K508:M525,$B547&amp;" ~*")&gt;0)+(IFERROR(INDEX(Setup!$G$33:$G$40,MATCH(O547,Setup!$B$33:$B$40,0)),0)=1)*(COUNTIF(O508:Q525,$B547)+COUNTIF(O508:Q525,$B547&amp;" ~*")&gt;0)+(IFERROR(INDEX(Setup!$G$33:$G$40,MATCH(S547,Setup!$B$33:$B$40,0)),0)=1)*(COUNTIF(S508:U525,$B547)+COUNTIF(S508:U525,$B547&amp;" ~*")&gt;0)+(IFERROR(INDEX(Setup!$G$33:$G$40,MATCH(W547,Setup!$B$33:$B$40,0)),0)=1)*(COUNTIF(W508:W525,$B547)+COUNTIF(W508:W525,$B547&amp;" ~*")&gt;0)+(IFERROR(INDEX(Setup!$G$33:$G$40,MATCH(Y547,Setup!$B$33:$B$40,0)),0)=1)*(COUNTIF(Y508:Y525,$B547)+COUNTIF(Y508:Y525,$B547&amp;" ~*")&gt;0))</f>
        <v/>
      </c>
    </row>
    <row r="548" ht="15" customHeight="1">
      <c r="A548" t="n">
        <v>11</v>
      </c>
      <c r="B548" s="37">
        <f>IF(Setup!$B$27="","",Setup!$B$27)</f>
        <v/>
      </c>
      <c r="C548" s="102" t="n"/>
      <c r="D548" s="103" t="n"/>
      <c r="E548" s="103" t="n"/>
      <c r="F548" s="104" t="n"/>
      <c r="G548" s="102" t="n"/>
      <c r="H548" s="103" t="n"/>
      <c r="I548" s="103" t="n"/>
      <c r="J548" s="104" t="n"/>
      <c r="K548" s="102" t="n"/>
      <c r="L548" s="103" t="n"/>
      <c r="M548" s="103" t="n"/>
      <c r="N548" s="104" t="n"/>
      <c r="O548" s="102" t="n"/>
      <c r="P548" s="103" t="n"/>
      <c r="Q548" s="103" t="n"/>
      <c r="R548" s="104" t="n"/>
      <c r="S548" s="102" t="n"/>
      <c r="T548" s="103" t="n"/>
      <c r="U548" s="103" t="n"/>
      <c r="V548" s="104" t="n"/>
      <c r="W548" s="102" t="n"/>
      <c r="X548" s="104" t="n"/>
      <c r="Y548" s="102" t="n"/>
      <c r="Z548" s="104" t="n"/>
      <c r="AB548" s="105">
        <f>IF($B548="","",(COUNTIF(C508:E525,$B548)+COUNTIF(C508:E525,$B548&amp;" ~*")&gt;0)+(COUNTIF(G508:I525,$B548)+COUNTIF(G508:I525,$B548&amp;" ~*")&gt;0)+(COUNTIF(K508:M525,$B548)+COUNTIF(K508:M525,$B548&amp;" ~*")&gt;0)+(COUNTIF(O508:Q525,$B548)+COUNTIF(O508:Q525,$B548&amp;" ~*")&gt;0)+(COUNTIF(S508:U525,$B548)+COUNTIF(S508:U525,$B548&amp;" ~*")&gt;0)+(COUNTIF(W508:W525,$B548)+COUNTIF(W508:W525,$B548&amp;" ~*")&gt;0)+(COUNTIF(Y508:Y525,$B548)+COUNTIF(Y508:Y525,$B548&amp;" ~*")&gt;0))</f>
        <v/>
      </c>
      <c r="AC548" s="38">
        <f>IF($B548="","",(IFERROR(INDEX(Setup!$G$33:$G$40,MATCH(C548,Setup!$B$33:$B$40,0)),0)=1)*(COUNTIF(C508:E525,$B548)+COUNTIF(C508:E525,$B548&amp;" ~*")&gt;0)+(IFERROR(INDEX(Setup!$G$33:$G$40,MATCH(G548,Setup!$B$33:$B$40,0)),0)=1)*(COUNTIF(G508:I525,$B548)+COUNTIF(G508:I525,$B548&amp;" ~*")&gt;0)+(IFERROR(INDEX(Setup!$G$33:$G$40,MATCH(K548,Setup!$B$33:$B$40,0)),0)=1)*(COUNTIF(K508:M525,$B548)+COUNTIF(K508:M525,$B548&amp;" ~*")&gt;0)+(IFERROR(INDEX(Setup!$G$33:$G$40,MATCH(O548,Setup!$B$33:$B$40,0)),0)=1)*(COUNTIF(O508:Q525,$B548)+COUNTIF(O508:Q525,$B548&amp;" ~*")&gt;0)+(IFERROR(INDEX(Setup!$G$33:$G$40,MATCH(S548,Setup!$B$33:$B$40,0)),0)=1)*(COUNTIF(S508:U525,$B548)+COUNTIF(S508:U525,$B548&amp;" ~*")&gt;0)+(IFERROR(INDEX(Setup!$G$33:$G$40,MATCH(W548,Setup!$B$33:$B$40,0)),0)=1)*(COUNTIF(W508:W525,$B548)+COUNTIF(W508:W525,$B548&amp;" ~*")&gt;0)+(IFERROR(INDEX(Setup!$G$33:$G$40,MATCH(Y548,Setup!$B$33:$B$40,0)),0)=1)*(COUNTIF(Y508:Y525,$B548)+COUNTIF(Y508:Y525,$B548&amp;" ~*")&gt;0))</f>
        <v/>
      </c>
    </row>
    <row r="549" ht="15" customHeight="1">
      <c r="A549" t="n">
        <v>11</v>
      </c>
      <c r="B549" s="35">
        <f>IF(Setup!$B$28="","",Setup!$B$28)</f>
        <v/>
      </c>
      <c r="C549" s="98" t="n"/>
      <c r="D549" s="99" t="n"/>
      <c r="E549" s="99" t="n"/>
      <c r="F549" s="100" t="n"/>
      <c r="G549" s="98" t="n"/>
      <c r="H549" s="99" t="n"/>
      <c r="I549" s="99" t="n"/>
      <c r="J549" s="100" t="n"/>
      <c r="K549" s="98" t="n"/>
      <c r="L549" s="99" t="n"/>
      <c r="M549" s="99" t="n"/>
      <c r="N549" s="100" t="n"/>
      <c r="O549" s="98" t="n"/>
      <c r="P549" s="99" t="n"/>
      <c r="Q549" s="99" t="n"/>
      <c r="R549" s="100" t="n"/>
      <c r="S549" s="98" t="n"/>
      <c r="T549" s="99" t="n"/>
      <c r="U549" s="99" t="n"/>
      <c r="V549" s="100" t="n"/>
      <c r="W549" s="98" t="n"/>
      <c r="X549" s="100" t="n"/>
      <c r="Y549" s="98" t="n"/>
      <c r="Z549" s="100" t="n"/>
      <c r="AB549" s="101">
        <f>IF($B549="","",(COUNTIF(C508:E525,$B549)+COUNTIF(C508:E525,$B549&amp;" ~*")&gt;0)+(COUNTIF(G508:I525,$B549)+COUNTIF(G508:I525,$B549&amp;" ~*")&gt;0)+(COUNTIF(K508:M525,$B549)+COUNTIF(K508:M525,$B549&amp;" ~*")&gt;0)+(COUNTIF(O508:Q525,$B549)+COUNTIF(O508:Q525,$B549&amp;" ~*")&gt;0)+(COUNTIF(S508:U525,$B549)+COUNTIF(S508:U525,$B549&amp;" ~*")&gt;0)+(COUNTIF(W508:W525,$B549)+COUNTIF(W508:W525,$B549&amp;" ~*")&gt;0)+(COUNTIF(Y508:Y525,$B549)+COUNTIF(Y508:Y525,$B549&amp;" ~*")&gt;0))</f>
        <v/>
      </c>
      <c r="AC549" s="36">
        <f>IF($B549="","",(IFERROR(INDEX(Setup!$G$33:$G$40,MATCH(C549,Setup!$B$33:$B$40,0)),0)=1)*(COUNTIF(C508:E525,$B549)+COUNTIF(C508:E525,$B549&amp;" ~*")&gt;0)+(IFERROR(INDEX(Setup!$G$33:$G$40,MATCH(G549,Setup!$B$33:$B$40,0)),0)=1)*(COUNTIF(G508:I525,$B549)+COUNTIF(G508:I525,$B549&amp;" ~*")&gt;0)+(IFERROR(INDEX(Setup!$G$33:$G$40,MATCH(K549,Setup!$B$33:$B$40,0)),0)=1)*(COUNTIF(K508:M525,$B549)+COUNTIF(K508:M525,$B549&amp;" ~*")&gt;0)+(IFERROR(INDEX(Setup!$G$33:$G$40,MATCH(O549,Setup!$B$33:$B$40,0)),0)=1)*(COUNTIF(O508:Q525,$B549)+COUNTIF(O508:Q525,$B549&amp;" ~*")&gt;0)+(IFERROR(INDEX(Setup!$G$33:$G$40,MATCH(S549,Setup!$B$33:$B$40,0)),0)=1)*(COUNTIF(S508:U525,$B549)+COUNTIF(S508:U525,$B549&amp;" ~*")&gt;0)+(IFERROR(INDEX(Setup!$G$33:$G$40,MATCH(W549,Setup!$B$33:$B$40,0)),0)=1)*(COUNTIF(W508:W525,$B549)+COUNTIF(W508:W525,$B549&amp;" ~*")&gt;0)+(IFERROR(INDEX(Setup!$G$33:$G$40,MATCH(Y549,Setup!$B$33:$B$40,0)),0)=1)*(COUNTIF(Y508:Y525,$B549)+COUNTIF(Y508:Y525,$B549&amp;" ~*")&gt;0))</f>
        <v/>
      </c>
    </row>
    <row r="550" ht="15" customHeight="1">
      <c r="A550" t="n">
        <v>11</v>
      </c>
      <c r="B550" s="37">
        <f>IF(Setup!$B$29="","",Setup!$B$29)</f>
        <v/>
      </c>
      <c r="C550" s="102" t="n"/>
      <c r="D550" s="103" t="n"/>
      <c r="E550" s="103" t="n"/>
      <c r="F550" s="104" t="n"/>
      <c r="G550" s="102" t="n"/>
      <c r="H550" s="103" t="n"/>
      <c r="I550" s="103" t="n"/>
      <c r="J550" s="104" t="n"/>
      <c r="K550" s="102" t="n"/>
      <c r="L550" s="103" t="n"/>
      <c r="M550" s="103" t="n"/>
      <c r="N550" s="104" t="n"/>
      <c r="O550" s="102" t="n"/>
      <c r="P550" s="103" t="n"/>
      <c r="Q550" s="103" t="n"/>
      <c r="R550" s="104" t="n"/>
      <c r="S550" s="102" t="n"/>
      <c r="T550" s="103" t="n"/>
      <c r="U550" s="103" t="n"/>
      <c r="V550" s="104" t="n"/>
      <c r="W550" s="102" t="n"/>
      <c r="X550" s="104" t="n"/>
      <c r="Y550" s="102" t="n"/>
      <c r="Z550" s="104" t="n"/>
      <c r="AB550" s="105">
        <f>IF($B550="","",(COUNTIF(C508:E525,$B550)+COUNTIF(C508:E525,$B550&amp;" ~*")&gt;0)+(COUNTIF(G508:I525,$B550)+COUNTIF(G508:I525,$B550&amp;" ~*")&gt;0)+(COUNTIF(K508:M525,$B550)+COUNTIF(K508:M525,$B550&amp;" ~*")&gt;0)+(COUNTIF(O508:Q525,$B550)+COUNTIF(O508:Q525,$B550&amp;" ~*")&gt;0)+(COUNTIF(S508:U525,$B550)+COUNTIF(S508:U525,$B550&amp;" ~*")&gt;0)+(COUNTIF(W508:W525,$B550)+COUNTIF(W508:W525,$B550&amp;" ~*")&gt;0)+(COUNTIF(Y508:Y525,$B550)+COUNTIF(Y508:Y525,$B550&amp;" ~*")&gt;0))</f>
        <v/>
      </c>
      <c r="AC550" s="38">
        <f>IF($B550="","",(IFERROR(INDEX(Setup!$G$33:$G$40,MATCH(C550,Setup!$B$33:$B$40,0)),0)=1)*(COUNTIF(C508:E525,$B550)+COUNTIF(C508:E525,$B550&amp;" ~*")&gt;0)+(IFERROR(INDEX(Setup!$G$33:$G$40,MATCH(G550,Setup!$B$33:$B$40,0)),0)=1)*(COUNTIF(G508:I525,$B550)+COUNTIF(G508:I525,$B550&amp;" ~*")&gt;0)+(IFERROR(INDEX(Setup!$G$33:$G$40,MATCH(K550,Setup!$B$33:$B$40,0)),0)=1)*(COUNTIF(K508:M525,$B550)+COUNTIF(K508:M525,$B550&amp;" ~*")&gt;0)+(IFERROR(INDEX(Setup!$G$33:$G$40,MATCH(O550,Setup!$B$33:$B$40,0)),0)=1)*(COUNTIF(O508:Q525,$B550)+COUNTIF(O508:Q525,$B550&amp;" ~*")&gt;0)+(IFERROR(INDEX(Setup!$G$33:$G$40,MATCH(S550,Setup!$B$33:$B$40,0)),0)=1)*(COUNTIF(S508:U525,$B550)+COUNTIF(S508:U525,$B550&amp;" ~*")&gt;0)+(IFERROR(INDEX(Setup!$G$33:$G$40,MATCH(W550,Setup!$B$33:$B$40,0)),0)=1)*(COUNTIF(W508:W525,$B550)+COUNTIF(W508:W525,$B550&amp;" ~*")&gt;0)+(IFERROR(INDEX(Setup!$G$33:$G$40,MATCH(Y550,Setup!$B$33:$B$40,0)),0)=1)*(COUNTIF(Y508:Y525,$B550)+COUNTIF(Y508:Y525,$B550&amp;" ~*")&gt;0))</f>
        <v/>
      </c>
    </row>
    <row r="551" ht="16" customHeight="1">
      <c r="A551" t="n">
        <v>11</v>
      </c>
      <c r="B551" s="106" t="inlineStr">
        <is>
          <t>Available people</t>
        </is>
      </c>
      <c r="C551" s="107">
        <f>COUNTIFS(Setup!$E$6:$E$29,"Y",Setup!$B$6:$B$29,"?*")-SUMPRODUCT(COUNTIF(C527:C550,Setup!$F$33:$F$40))</f>
        <v/>
      </c>
      <c r="D551" s="107" t="n"/>
      <c r="E551" s="107" t="n"/>
      <c r="F551" s="107" t="n"/>
      <c r="G551" s="107">
        <f>COUNTIFS(Setup!$E$6:$E$29,"Y",Setup!$B$6:$B$29,"?*")-SUMPRODUCT(COUNTIF(G527:G550,Setup!$F$33:$F$40))</f>
        <v/>
      </c>
      <c r="H551" s="107" t="n"/>
      <c r="I551" s="107" t="n"/>
      <c r="J551" s="107" t="n"/>
      <c r="K551" s="107">
        <f>COUNTIFS(Setup!$E$6:$E$29,"Y",Setup!$B$6:$B$29,"?*")-SUMPRODUCT(COUNTIF(K527:K550,Setup!$F$33:$F$40))</f>
        <v/>
      </c>
      <c r="L551" s="107" t="n"/>
      <c r="M551" s="107" t="n"/>
      <c r="N551" s="107" t="n"/>
      <c r="O551" s="107">
        <f>COUNTIFS(Setup!$E$6:$E$29,"Y",Setup!$B$6:$B$29,"?*")-SUMPRODUCT(COUNTIF(O527:O550,Setup!$F$33:$F$40))</f>
        <v/>
      </c>
      <c r="P551" s="107" t="n"/>
      <c r="Q551" s="107" t="n"/>
      <c r="R551" s="107" t="n"/>
      <c r="S551" s="107">
        <f>COUNTIFS(Setup!$E$6:$E$29,"Y",Setup!$B$6:$B$29,"?*")-SUMPRODUCT(COUNTIF(S527:S550,Setup!$F$33:$F$40))</f>
        <v/>
      </c>
      <c r="T551" s="107" t="n"/>
      <c r="U551" s="107" t="n"/>
      <c r="V551" s="107" t="n"/>
      <c r="W551" s="107">
        <f>COUNTIFS(Setup!$E$6:$E$29,"Y",Setup!$B$6:$B$29,"?*")-SUMPRODUCT(COUNTIF(W527:W550,Setup!$F$33:$F$40))</f>
        <v/>
      </c>
      <c r="X551" s="107" t="n"/>
      <c r="Y551" s="107">
        <f>COUNTIFS(Setup!$E$6:$E$29,"Y",Setup!$B$6:$B$29,"?*")-SUMPRODUCT(COUNTIF(Y527:Y550,Setup!$F$33:$F$40))</f>
        <v/>
      </c>
      <c r="Z551" s="107" t="n"/>
      <c r="AB551" s="108">
        <f>SUM(AB527:AB550)</f>
        <v/>
      </c>
      <c r="AC551" s="109">
        <f>SUM(AC527:AC550)</f>
        <v/>
      </c>
    </row>
    <row r="552" ht="30" customHeight="1">
      <c r="A552" t="n">
        <v>11</v>
      </c>
      <c r="B552" s="110" t="inlineStr">
        <is>
          <t>Week notes</t>
        </is>
      </c>
      <c r="C552" s="111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112" t="n"/>
      <c r="R552" s="112" t="n"/>
      <c r="S552" s="112" t="n"/>
      <c r="T552" s="112" t="n"/>
      <c r="U552" s="112" t="n"/>
      <c r="V552" s="112" t="n"/>
      <c r="W552" s="112" t="n"/>
      <c r="X552" s="112" t="n"/>
      <c r="Y552" s="112" t="n"/>
      <c r="Z552" s="113" t="n"/>
    </row>
    <row r="553" ht="8" customHeight="1">
      <c r="A553" t="n">
        <v>11</v>
      </c>
    </row>
    <row r="554" ht="8" customHeight="1">
      <c r="A554" t="n">
        <v>11</v>
      </c>
    </row>
    <row r="555" ht="24" customHeight="1">
      <c r="A555" t="n">
        <v>12</v>
      </c>
      <c r="B555" s="73">
        <f>"WEEK 12     "&amp;TEXT(C556,"ddd d mmm")&amp;"  –  "&amp;TEXT(C556+6,"ddd d mmm yyyy")</f>
        <v/>
      </c>
      <c r="S555" s="74">
        <f>IF(TODAY()&lt;C556,"FUTURE",IF(TODAY()&gt;C556+6,"PAST","THIS WEEK"))</f>
        <v/>
      </c>
      <c r="W555" s="75">
        <f>IF(AND(Engine!$B$8=$AC$3,Engine!$B$9=$A555),"◀ ACTIVE WEEK","")</f>
        <v/>
      </c>
      <c r="AA555" s="76" t="n"/>
      <c r="AB555" s="77" t="inlineStr">
        <is>
          <t>◀ Prev</t>
        </is>
      </c>
      <c r="AC555" s="77" t="inlineStr">
        <is>
          <t>Next ▶</t>
        </is>
      </c>
    </row>
    <row r="556" ht="18" customHeight="1">
      <c r="A556" t="n">
        <v>12</v>
      </c>
      <c r="B556" s="78" t="inlineStr">
        <is>
          <t>DUTY</t>
        </is>
      </c>
      <c r="C556" s="79">
        <f>$AC$2+7*($A556-1)</f>
        <v/>
      </c>
      <c r="D556" s="80" t="n"/>
      <c r="E556" s="80" t="n"/>
      <c r="F556" s="81" t="n"/>
      <c r="G556" s="79">
        <f>C556+1</f>
        <v/>
      </c>
      <c r="H556" s="80" t="n"/>
      <c r="I556" s="80" t="n"/>
      <c r="J556" s="81" t="n"/>
      <c r="K556" s="79">
        <f>C556+2</f>
        <v/>
      </c>
      <c r="L556" s="80" t="n"/>
      <c r="M556" s="80" t="n"/>
      <c r="N556" s="81" t="n"/>
      <c r="O556" s="79">
        <f>C556+3</f>
        <v/>
      </c>
      <c r="P556" s="80" t="n"/>
      <c r="Q556" s="80" t="n"/>
      <c r="R556" s="81" t="n"/>
      <c r="S556" s="79">
        <f>C556+4</f>
        <v/>
      </c>
      <c r="T556" s="80" t="n"/>
      <c r="U556" s="80" t="n"/>
      <c r="V556" s="81" t="n"/>
      <c r="W556" s="82">
        <f>C556+5</f>
        <v/>
      </c>
      <c r="X556" s="83" t="n"/>
      <c r="Y556" s="82">
        <f>C556+6</f>
        <v/>
      </c>
      <c r="Z556" s="83" t="n"/>
      <c r="AB556" s="72" t="inlineStr">
        <is>
          <t>Gaps</t>
        </is>
      </c>
      <c r="AC556" s="72" t="inlineStr">
        <is>
          <t>Cover</t>
        </is>
      </c>
    </row>
    <row r="557" ht="14" customHeight="1">
      <c r="A557" t="n">
        <v>12</v>
      </c>
      <c r="B557" s="84" t="inlineStr">
        <is>
          <t>(from Setup)</t>
        </is>
      </c>
      <c r="C557" s="85" t="inlineStr">
        <is>
          <t>1</t>
        </is>
      </c>
      <c r="D557" s="85" t="inlineStr">
        <is>
          <t>2</t>
        </is>
      </c>
      <c r="E557" s="85" t="inlineStr">
        <is>
          <t>3</t>
        </is>
      </c>
      <c r="F557" s="85" t="inlineStr">
        <is>
          <t>Notes</t>
        </is>
      </c>
      <c r="G557" s="85" t="inlineStr">
        <is>
          <t>1</t>
        </is>
      </c>
      <c r="H557" s="85" t="inlineStr">
        <is>
          <t>2</t>
        </is>
      </c>
      <c r="I557" s="85" t="inlineStr">
        <is>
          <t>3</t>
        </is>
      </c>
      <c r="J557" s="85" t="inlineStr">
        <is>
          <t>Notes</t>
        </is>
      </c>
      <c r="K557" s="85" t="inlineStr">
        <is>
          <t>1</t>
        </is>
      </c>
      <c r="L557" s="85" t="inlineStr">
        <is>
          <t>2</t>
        </is>
      </c>
      <c r="M557" s="85" t="inlineStr">
        <is>
          <t>3</t>
        </is>
      </c>
      <c r="N557" s="85" t="inlineStr">
        <is>
          <t>Notes</t>
        </is>
      </c>
      <c r="O557" s="85" t="inlineStr">
        <is>
          <t>1</t>
        </is>
      </c>
      <c r="P557" s="85" t="inlineStr">
        <is>
          <t>2</t>
        </is>
      </c>
      <c r="Q557" s="85" t="inlineStr">
        <is>
          <t>3</t>
        </is>
      </c>
      <c r="R557" s="85" t="inlineStr">
        <is>
          <t>Notes</t>
        </is>
      </c>
      <c r="S557" s="85" t="inlineStr">
        <is>
          <t>1</t>
        </is>
      </c>
      <c r="T557" s="85" t="inlineStr">
        <is>
          <t>2</t>
        </is>
      </c>
      <c r="U557" s="85" t="inlineStr">
        <is>
          <t>3</t>
        </is>
      </c>
      <c r="V557" s="85" t="inlineStr">
        <is>
          <t>Notes</t>
        </is>
      </c>
      <c r="W557" s="85" t="inlineStr">
        <is>
          <t>Cover</t>
        </is>
      </c>
      <c r="X557" s="85" t="inlineStr">
        <is>
          <t>Notes</t>
        </is>
      </c>
      <c r="Y557" s="85" t="inlineStr">
        <is>
          <t>Cover</t>
        </is>
      </c>
      <c r="Z557" s="85" t="inlineStr">
        <is>
          <t>Notes</t>
        </is>
      </c>
      <c r="AB557" s="86" t="inlineStr">
        <is>
          <t>weekdays short</t>
        </is>
      </c>
      <c r="AC557" s="87" t="inlineStr"/>
    </row>
    <row r="558" ht="17" customHeight="1">
      <c r="A558" t="n">
        <v>12</v>
      </c>
      <c r="B558" s="24">
        <f>IF(Setup!$K$6="","",Setup!$K$6)</f>
        <v/>
      </c>
      <c r="C558" s="88" t="n"/>
      <c r="D558" s="88" t="n"/>
      <c r="E558" s="88" t="n"/>
      <c r="F558" s="89" t="n"/>
      <c r="G558" s="88" t="n"/>
      <c r="H558" s="88" t="n"/>
      <c r="I558" s="88" t="n"/>
      <c r="J558" s="89" t="n"/>
      <c r="K558" s="88" t="n"/>
      <c r="L558" s="88" t="n"/>
      <c r="M558" s="88" t="n"/>
      <c r="N558" s="89" t="n"/>
      <c r="O558" s="88" t="n"/>
      <c r="P558" s="88" t="n"/>
      <c r="Q558" s="88" t="n"/>
      <c r="R558" s="89" t="n"/>
      <c r="S558" s="88" t="n"/>
      <c r="T558" s="88" t="n"/>
      <c r="U558" s="88" t="n"/>
      <c r="V558" s="89" t="n"/>
      <c r="W558" s="88" t="n"/>
      <c r="X558" s="89" t="n"/>
      <c r="Y558" s="88" t="n"/>
      <c r="Z558" s="89" t="n"/>
      <c r="AB558" s="25">
        <f>IF($B558="","",(COUNTIF(C558:E558,"?*")&lt;N(INDEX(Setup!$L$6:$L$23,1)))+(COUNTIF(G558:I558,"?*")&lt;N(INDEX(Setup!$L$6:$L$23,1)))+(COUNTIF(K558:M558,"?*")&lt;N(INDEX(Setup!$L$6:$L$23,1)))+(COUNTIF(O558:Q558,"?*")&lt;N(INDEX(Setup!$L$6:$L$23,1)))+(COUNTIF(S558:U558,"?*")&lt;N(INDEX(Setup!$L$6:$L$23,1)))+((W558="")*(INDEX(Setup!$M$6:$M$23,1)="Y"))+((Y558="")*(INDEX(Setup!$M$6:$M$23,1)="Y")))</f>
        <v/>
      </c>
      <c r="AC558" s="90">
        <f>IF($B558="","",IF(AB558=0,"✓ covered","⚠ "&amp;AB558&amp;IF(AB558=1," gap"," gaps")))</f>
        <v/>
      </c>
    </row>
    <row r="559" ht="17" customHeight="1">
      <c r="A559" t="n">
        <v>12</v>
      </c>
      <c r="B559" s="29">
        <f>IF(Setup!$K$7="","",Setup!$K$7)</f>
        <v/>
      </c>
      <c r="C559" s="88" t="n"/>
      <c r="D559" s="88" t="n"/>
      <c r="E559" s="88" t="n"/>
      <c r="F559" s="89" t="n"/>
      <c r="G559" s="88" t="n"/>
      <c r="H559" s="88" t="n"/>
      <c r="I559" s="88" t="n"/>
      <c r="J559" s="89" t="n"/>
      <c r="K559" s="88" t="n"/>
      <c r="L559" s="88" t="n"/>
      <c r="M559" s="88" t="n"/>
      <c r="N559" s="89" t="n"/>
      <c r="O559" s="88" t="n"/>
      <c r="P559" s="88" t="n"/>
      <c r="Q559" s="88" t="n"/>
      <c r="R559" s="89" t="n"/>
      <c r="S559" s="88" t="n"/>
      <c r="T559" s="88" t="n"/>
      <c r="U559" s="88" t="n"/>
      <c r="V559" s="89" t="n"/>
      <c r="W559" s="88" t="n"/>
      <c r="X559" s="89" t="n"/>
      <c r="Y559" s="88" t="n"/>
      <c r="Z559" s="89" t="n"/>
      <c r="AB559" s="30">
        <f>IF($B559="","",(COUNTIF(C559:E559,"?*")&lt;N(INDEX(Setup!$L$6:$L$23,2)))+(COUNTIF(G559:I559,"?*")&lt;N(INDEX(Setup!$L$6:$L$23,2)))+(COUNTIF(K559:M559,"?*")&lt;N(INDEX(Setup!$L$6:$L$23,2)))+(COUNTIF(O559:Q559,"?*")&lt;N(INDEX(Setup!$L$6:$L$23,2)))+(COUNTIF(S559:U559,"?*")&lt;N(INDEX(Setup!$L$6:$L$23,2)))+((W559="")*(INDEX(Setup!$M$6:$M$23,2)="Y"))+((Y559="")*(INDEX(Setup!$M$6:$M$23,2)="Y")))</f>
        <v/>
      </c>
      <c r="AC559" s="91">
        <f>IF($B559="","",IF(AB559=0,"✓ covered","⚠ "&amp;AB559&amp;IF(AB559=1," gap"," gaps")))</f>
        <v/>
      </c>
    </row>
    <row r="560" ht="17" customHeight="1">
      <c r="A560" t="n">
        <v>12</v>
      </c>
      <c r="B560" s="24">
        <f>IF(Setup!$K$8="","",Setup!$K$8)</f>
        <v/>
      </c>
      <c r="C560" s="88" t="n"/>
      <c r="D560" s="88" t="n"/>
      <c r="E560" s="88" t="n"/>
      <c r="F560" s="89" t="n"/>
      <c r="G560" s="88" t="n"/>
      <c r="H560" s="88" t="n"/>
      <c r="I560" s="88" t="n"/>
      <c r="J560" s="89" t="n"/>
      <c r="K560" s="88" t="n"/>
      <c r="L560" s="88" t="n"/>
      <c r="M560" s="88" t="n"/>
      <c r="N560" s="89" t="n"/>
      <c r="O560" s="88" t="n"/>
      <c r="P560" s="88" t="n"/>
      <c r="Q560" s="88" t="n"/>
      <c r="R560" s="89" t="n"/>
      <c r="S560" s="88" t="n"/>
      <c r="T560" s="88" t="n"/>
      <c r="U560" s="88" t="n"/>
      <c r="V560" s="89" t="n"/>
      <c r="W560" s="88" t="n"/>
      <c r="X560" s="89" t="n"/>
      <c r="Y560" s="88" t="n"/>
      <c r="Z560" s="89" t="n"/>
      <c r="AB560" s="25">
        <f>IF($B560="","",(COUNTIF(C560:E560,"?*")&lt;N(INDEX(Setup!$L$6:$L$23,3)))+(COUNTIF(G560:I560,"?*")&lt;N(INDEX(Setup!$L$6:$L$23,3)))+(COUNTIF(K560:M560,"?*")&lt;N(INDEX(Setup!$L$6:$L$23,3)))+(COUNTIF(O560:Q560,"?*")&lt;N(INDEX(Setup!$L$6:$L$23,3)))+(COUNTIF(S560:U560,"?*")&lt;N(INDEX(Setup!$L$6:$L$23,3)))+((W560="")*(INDEX(Setup!$M$6:$M$23,3)="Y"))+((Y560="")*(INDEX(Setup!$M$6:$M$23,3)="Y")))</f>
        <v/>
      </c>
      <c r="AC560" s="90">
        <f>IF($B560="","",IF(AB560=0,"✓ covered","⚠ "&amp;AB560&amp;IF(AB560=1," gap"," gaps")))</f>
        <v/>
      </c>
    </row>
    <row r="561" ht="17" customHeight="1">
      <c r="A561" t="n">
        <v>12</v>
      </c>
      <c r="B561" s="29">
        <f>IF(Setup!$K$9="","",Setup!$K$9)</f>
        <v/>
      </c>
      <c r="C561" s="88" t="n"/>
      <c r="D561" s="88" t="n"/>
      <c r="E561" s="88" t="n"/>
      <c r="F561" s="89" t="n"/>
      <c r="G561" s="88" t="n"/>
      <c r="H561" s="88" t="n"/>
      <c r="I561" s="88" t="n"/>
      <c r="J561" s="89" t="n"/>
      <c r="K561" s="88" t="n"/>
      <c r="L561" s="88" t="n"/>
      <c r="M561" s="88" t="n"/>
      <c r="N561" s="89" t="n"/>
      <c r="O561" s="88" t="n"/>
      <c r="P561" s="88" t="n"/>
      <c r="Q561" s="88" t="n"/>
      <c r="R561" s="89" t="n"/>
      <c r="S561" s="88" t="n"/>
      <c r="T561" s="88" t="n"/>
      <c r="U561" s="88" t="n"/>
      <c r="V561" s="89" t="n"/>
      <c r="W561" s="88" t="n"/>
      <c r="X561" s="89" t="n"/>
      <c r="Y561" s="88" t="n"/>
      <c r="Z561" s="89" t="n"/>
      <c r="AB561" s="30">
        <f>IF($B561="","",(COUNTIF(C561:E561,"?*")&lt;N(INDEX(Setup!$L$6:$L$23,4)))+(COUNTIF(G561:I561,"?*")&lt;N(INDEX(Setup!$L$6:$L$23,4)))+(COUNTIF(K561:M561,"?*")&lt;N(INDEX(Setup!$L$6:$L$23,4)))+(COUNTIF(O561:Q561,"?*")&lt;N(INDEX(Setup!$L$6:$L$23,4)))+(COUNTIF(S561:U561,"?*")&lt;N(INDEX(Setup!$L$6:$L$23,4)))+((W561="")*(INDEX(Setup!$M$6:$M$23,4)="Y"))+((Y561="")*(INDEX(Setup!$M$6:$M$23,4)="Y")))</f>
        <v/>
      </c>
      <c r="AC561" s="91">
        <f>IF($B561="","",IF(AB561=0,"✓ covered","⚠ "&amp;AB561&amp;IF(AB561=1," gap"," gaps")))</f>
        <v/>
      </c>
    </row>
    <row r="562" ht="17" customHeight="1">
      <c r="A562" t="n">
        <v>12</v>
      </c>
      <c r="B562" s="24">
        <f>IF(Setup!$K$10="","",Setup!$K$10)</f>
        <v/>
      </c>
      <c r="C562" s="88" t="n"/>
      <c r="D562" s="88" t="n"/>
      <c r="E562" s="88" t="n"/>
      <c r="F562" s="89" t="n"/>
      <c r="G562" s="88" t="n"/>
      <c r="H562" s="88" t="n"/>
      <c r="I562" s="88" t="n"/>
      <c r="J562" s="89" t="n"/>
      <c r="K562" s="88" t="n"/>
      <c r="L562" s="88" t="n"/>
      <c r="M562" s="88" t="n"/>
      <c r="N562" s="89" t="n"/>
      <c r="O562" s="88" t="n"/>
      <c r="P562" s="88" t="n"/>
      <c r="Q562" s="88" t="n"/>
      <c r="R562" s="89" t="n"/>
      <c r="S562" s="88" t="n"/>
      <c r="T562" s="88" t="n"/>
      <c r="U562" s="88" t="n"/>
      <c r="V562" s="89" t="n"/>
      <c r="W562" s="88" t="n"/>
      <c r="X562" s="89" t="n"/>
      <c r="Y562" s="88" t="n"/>
      <c r="Z562" s="89" t="n"/>
      <c r="AB562" s="25">
        <f>IF($B562="","",(COUNTIF(C562:E562,"?*")&lt;N(INDEX(Setup!$L$6:$L$23,5)))+(COUNTIF(G562:I562,"?*")&lt;N(INDEX(Setup!$L$6:$L$23,5)))+(COUNTIF(K562:M562,"?*")&lt;N(INDEX(Setup!$L$6:$L$23,5)))+(COUNTIF(O562:Q562,"?*")&lt;N(INDEX(Setup!$L$6:$L$23,5)))+(COUNTIF(S562:U562,"?*")&lt;N(INDEX(Setup!$L$6:$L$23,5)))+((W562="")*(INDEX(Setup!$M$6:$M$23,5)="Y"))+((Y562="")*(INDEX(Setup!$M$6:$M$23,5)="Y")))</f>
        <v/>
      </c>
      <c r="AC562" s="90">
        <f>IF($B562="","",IF(AB562=0,"✓ covered","⚠ "&amp;AB562&amp;IF(AB562=1," gap"," gaps")))</f>
        <v/>
      </c>
    </row>
    <row r="563" ht="17" customHeight="1">
      <c r="A563" t="n">
        <v>12</v>
      </c>
      <c r="B563" s="29">
        <f>IF(Setup!$K$11="","",Setup!$K$11)</f>
        <v/>
      </c>
      <c r="C563" s="88" t="n"/>
      <c r="D563" s="88" t="n"/>
      <c r="E563" s="88" t="n"/>
      <c r="F563" s="89" t="n"/>
      <c r="G563" s="88" t="n"/>
      <c r="H563" s="88" t="n"/>
      <c r="I563" s="88" t="n"/>
      <c r="J563" s="89" t="n"/>
      <c r="K563" s="88" t="n"/>
      <c r="L563" s="88" t="n"/>
      <c r="M563" s="88" t="n"/>
      <c r="N563" s="89" t="n"/>
      <c r="O563" s="88" t="n"/>
      <c r="P563" s="88" t="n"/>
      <c r="Q563" s="88" t="n"/>
      <c r="R563" s="89" t="n"/>
      <c r="S563" s="88" t="n"/>
      <c r="T563" s="88" t="n"/>
      <c r="U563" s="88" t="n"/>
      <c r="V563" s="89" t="n"/>
      <c r="W563" s="88" t="n"/>
      <c r="X563" s="89" t="n"/>
      <c r="Y563" s="88" t="n"/>
      <c r="Z563" s="89" t="n"/>
      <c r="AB563" s="30">
        <f>IF($B563="","",(COUNTIF(C563:E563,"?*")&lt;N(INDEX(Setup!$L$6:$L$23,6)))+(COUNTIF(G563:I563,"?*")&lt;N(INDEX(Setup!$L$6:$L$23,6)))+(COUNTIF(K563:M563,"?*")&lt;N(INDEX(Setup!$L$6:$L$23,6)))+(COUNTIF(O563:Q563,"?*")&lt;N(INDEX(Setup!$L$6:$L$23,6)))+(COUNTIF(S563:U563,"?*")&lt;N(INDEX(Setup!$L$6:$L$23,6)))+((W563="")*(INDEX(Setup!$M$6:$M$23,6)="Y"))+((Y563="")*(INDEX(Setup!$M$6:$M$23,6)="Y")))</f>
        <v/>
      </c>
      <c r="AC563" s="91">
        <f>IF($B563="","",IF(AB563=0,"✓ covered","⚠ "&amp;AB563&amp;IF(AB563=1," gap"," gaps")))</f>
        <v/>
      </c>
    </row>
    <row r="564" ht="17" customHeight="1">
      <c r="A564" t="n">
        <v>12</v>
      </c>
      <c r="B564" s="24">
        <f>IF(Setup!$K$12="","",Setup!$K$12)</f>
        <v/>
      </c>
      <c r="C564" s="88" t="n"/>
      <c r="D564" s="88" t="n"/>
      <c r="E564" s="88" t="n"/>
      <c r="F564" s="89" t="n"/>
      <c r="G564" s="88" t="n"/>
      <c r="H564" s="88" t="n"/>
      <c r="I564" s="88" t="n"/>
      <c r="J564" s="89" t="n"/>
      <c r="K564" s="88" t="n"/>
      <c r="L564" s="88" t="n"/>
      <c r="M564" s="88" t="n"/>
      <c r="N564" s="89" t="n"/>
      <c r="O564" s="88" t="n"/>
      <c r="P564" s="88" t="n"/>
      <c r="Q564" s="88" t="n"/>
      <c r="R564" s="89" t="n"/>
      <c r="S564" s="88" t="n"/>
      <c r="T564" s="88" t="n"/>
      <c r="U564" s="88" t="n"/>
      <c r="V564" s="89" t="n"/>
      <c r="W564" s="88" t="n"/>
      <c r="X564" s="89" t="n"/>
      <c r="Y564" s="88" t="n"/>
      <c r="Z564" s="89" t="n"/>
      <c r="AB564" s="25">
        <f>IF($B564="","",(COUNTIF(C564:E564,"?*")&lt;N(INDEX(Setup!$L$6:$L$23,7)))+(COUNTIF(G564:I564,"?*")&lt;N(INDEX(Setup!$L$6:$L$23,7)))+(COUNTIF(K564:M564,"?*")&lt;N(INDEX(Setup!$L$6:$L$23,7)))+(COUNTIF(O564:Q564,"?*")&lt;N(INDEX(Setup!$L$6:$L$23,7)))+(COUNTIF(S564:U564,"?*")&lt;N(INDEX(Setup!$L$6:$L$23,7)))+((W564="")*(INDEX(Setup!$M$6:$M$23,7)="Y"))+((Y564="")*(INDEX(Setup!$M$6:$M$23,7)="Y")))</f>
        <v/>
      </c>
      <c r="AC564" s="90">
        <f>IF($B564="","",IF(AB564=0,"✓ covered","⚠ "&amp;AB564&amp;IF(AB564=1," gap"," gaps")))</f>
        <v/>
      </c>
    </row>
    <row r="565" ht="17" customHeight="1">
      <c r="A565" t="n">
        <v>12</v>
      </c>
      <c r="B565" s="29">
        <f>IF(Setup!$K$13="","",Setup!$K$13)</f>
        <v/>
      </c>
      <c r="C565" s="88" t="n"/>
      <c r="D565" s="88" t="n"/>
      <c r="E565" s="88" t="n"/>
      <c r="F565" s="89" t="n"/>
      <c r="G565" s="88" t="n"/>
      <c r="H565" s="88" t="n"/>
      <c r="I565" s="88" t="n"/>
      <c r="J565" s="89" t="n"/>
      <c r="K565" s="88" t="n"/>
      <c r="L565" s="88" t="n"/>
      <c r="M565" s="88" t="n"/>
      <c r="N565" s="89" t="n"/>
      <c r="O565" s="88" t="n"/>
      <c r="P565" s="88" t="n"/>
      <c r="Q565" s="88" t="n"/>
      <c r="R565" s="89" t="n"/>
      <c r="S565" s="88" t="n"/>
      <c r="T565" s="88" t="n"/>
      <c r="U565" s="88" t="n"/>
      <c r="V565" s="89" t="n"/>
      <c r="W565" s="88" t="n"/>
      <c r="X565" s="89" t="n"/>
      <c r="Y565" s="88" t="n"/>
      <c r="Z565" s="89" t="n"/>
      <c r="AB565" s="30">
        <f>IF($B565="","",(COUNTIF(C565:E565,"?*")&lt;N(INDEX(Setup!$L$6:$L$23,8)))+(COUNTIF(G565:I565,"?*")&lt;N(INDEX(Setup!$L$6:$L$23,8)))+(COUNTIF(K565:M565,"?*")&lt;N(INDEX(Setup!$L$6:$L$23,8)))+(COUNTIF(O565:Q565,"?*")&lt;N(INDEX(Setup!$L$6:$L$23,8)))+(COUNTIF(S565:U565,"?*")&lt;N(INDEX(Setup!$L$6:$L$23,8)))+((W565="")*(INDEX(Setup!$M$6:$M$23,8)="Y"))+((Y565="")*(INDEX(Setup!$M$6:$M$23,8)="Y")))</f>
        <v/>
      </c>
      <c r="AC565" s="91">
        <f>IF($B565="","",IF(AB565=0,"✓ covered","⚠ "&amp;AB565&amp;IF(AB565=1," gap"," gaps")))</f>
        <v/>
      </c>
    </row>
    <row r="566" ht="17" customHeight="1">
      <c r="A566" t="n">
        <v>12</v>
      </c>
      <c r="B566" s="24">
        <f>IF(Setup!$K$14="","",Setup!$K$14)</f>
        <v/>
      </c>
      <c r="C566" s="88" t="n"/>
      <c r="D566" s="88" t="n"/>
      <c r="E566" s="88" t="n"/>
      <c r="F566" s="89" t="n"/>
      <c r="G566" s="88" t="n"/>
      <c r="H566" s="88" t="n"/>
      <c r="I566" s="88" t="n"/>
      <c r="J566" s="89" t="n"/>
      <c r="K566" s="88" t="n"/>
      <c r="L566" s="88" t="n"/>
      <c r="M566" s="88" t="n"/>
      <c r="N566" s="89" t="n"/>
      <c r="O566" s="88" t="n"/>
      <c r="P566" s="88" t="n"/>
      <c r="Q566" s="88" t="n"/>
      <c r="R566" s="89" t="n"/>
      <c r="S566" s="88" t="n"/>
      <c r="T566" s="88" t="n"/>
      <c r="U566" s="88" t="n"/>
      <c r="V566" s="89" t="n"/>
      <c r="W566" s="88" t="n"/>
      <c r="X566" s="89" t="n"/>
      <c r="Y566" s="88" t="n"/>
      <c r="Z566" s="89" t="n"/>
      <c r="AB566" s="25">
        <f>IF($B566="","",(COUNTIF(C566:E566,"?*")&lt;N(INDEX(Setup!$L$6:$L$23,9)))+(COUNTIF(G566:I566,"?*")&lt;N(INDEX(Setup!$L$6:$L$23,9)))+(COUNTIF(K566:M566,"?*")&lt;N(INDEX(Setup!$L$6:$L$23,9)))+(COUNTIF(O566:Q566,"?*")&lt;N(INDEX(Setup!$L$6:$L$23,9)))+(COUNTIF(S566:U566,"?*")&lt;N(INDEX(Setup!$L$6:$L$23,9)))+((W566="")*(INDEX(Setup!$M$6:$M$23,9)="Y"))+((Y566="")*(INDEX(Setup!$M$6:$M$23,9)="Y")))</f>
        <v/>
      </c>
      <c r="AC566" s="90">
        <f>IF($B566="","",IF(AB566=0,"✓ covered","⚠ "&amp;AB566&amp;IF(AB566=1," gap"," gaps")))</f>
        <v/>
      </c>
    </row>
    <row r="567" ht="17" customHeight="1">
      <c r="A567" t="n">
        <v>12</v>
      </c>
      <c r="B567" s="29">
        <f>IF(Setup!$K$15="","",Setup!$K$15)</f>
        <v/>
      </c>
      <c r="C567" s="88" t="n"/>
      <c r="D567" s="88" t="n"/>
      <c r="E567" s="88" t="n"/>
      <c r="F567" s="89" t="n"/>
      <c r="G567" s="88" t="n"/>
      <c r="H567" s="88" t="n"/>
      <c r="I567" s="88" t="n"/>
      <c r="J567" s="89" t="n"/>
      <c r="K567" s="88" t="n"/>
      <c r="L567" s="88" t="n"/>
      <c r="M567" s="88" t="n"/>
      <c r="N567" s="89" t="n"/>
      <c r="O567" s="88" t="n"/>
      <c r="P567" s="88" t="n"/>
      <c r="Q567" s="88" t="n"/>
      <c r="R567" s="89" t="n"/>
      <c r="S567" s="88" t="n"/>
      <c r="T567" s="88" t="n"/>
      <c r="U567" s="88" t="n"/>
      <c r="V567" s="89" t="n"/>
      <c r="W567" s="88" t="n"/>
      <c r="X567" s="89" t="n"/>
      <c r="Y567" s="88" t="n"/>
      <c r="Z567" s="89" t="n"/>
      <c r="AB567" s="30">
        <f>IF($B567="","",(COUNTIF(C567:E567,"?*")&lt;N(INDEX(Setup!$L$6:$L$23,10)))+(COUNTIF(G567:I567,"?*")&lt;N(INDEX(Setup!$L$6:$L$23,10)))+(COUNTIF(K567:M567,"?*")&lt;N(INDEX(Setup!$L$6:$L$23,10)))+(COUNTIF(O567:Q567,"?*")&lt;N(INDEX(Setup!$L$6:$L$23,10)))+(COUNTIF(S567:U567,"?*")&lt;N(INDEX(Setup!$L$6:$L$23,10)))+((W567="")*(INDEX(Setup!$M$6:$M$23,10)="Y"))+((Y567="")*(INDEX(Setup!$M$6:$M$23,10)="Y")))</f>
        <v/>
      </c>
      <c r="AC567" s="91">
        <f>IF($B567="","",IF(AB567=0,"✓ covered","⚠ "&amp;AB567&amp;IF(AB567=1," gap"," gaps")))</f>
        <v/>
      </c>
    </row>
    <row r="568" ht="17" customHeight="1">
      <c r="A568" t="n">
        <v>12</v>
      </c>
      <c r="B568" s="24">
        <f>IF(Setup!$K$16="","",Setup!$K$16)</f>
        <v/>
      </c>
      <c r="C568" s="88" t="n"/>
      <c r="D568" s="88" t="n"/>
      <c r="E568" s="88" t="n"/>
      <c r="F568" s="89" t="n"/>
      <c r="G568" s="88" t="n"/>
      <c r="H568" s="88" t="n"/>
      <c r="I568" s="88" t="n"/>
      <c r="J568" s="89" t="n"/>
      <c r="K568" s="88" t="n"/>
      <c r="L568" s="88" t="n"/>
      <c r="M568" s="88" t="n"/>
      <c r="N568" s="89" t="n"/>
      <c r="O568" s="88" t="n"/>
      <c r="P568" s="88" t="n"/>
      <c r="Q568" s="88" t="n"/>
      <c r="R568" s="89" t="n"/>
      <c r="S568" s="88" t="n"/>
      <c r="T568" s="88" t="n"/>
      <c r="U568" s="88" t="n"/>
      <c r="V568" s="89" t="n"/>
      <c r="W568" s="88" t="n"/>
      <c r="X568" s="89" t="n"/>
      <c r="Y568" s="88" t="n"/>
      <c r="Z568" s="89" t="n"/>
      <c r="AB568" s="25">
        <f>IF($B568="","",(COUNTIF(C568:E568,"?*")&lt;N(INDEX(Setup!$L$6:$L$23,11)))+(COUNTIF(G568:I568,"?*")&lt;N(INDEX(Setup!$L$6:$L$23,11)))+(COUNTIF(K568:M568,"?*")&lt;N(INDEX(Setup!$L$6:$L$23,11)))+(COUNTIF(O568:Q568,"?*")&lt;N(INDEX(Setup!$L$6:$L$23,11)))+(COUNTIF(S568:U568,"?*")&lt;N(INDEX(Setup!$L$6:$L$23,11)))+((W568="")*(INDEX(Setup!$M$6:$M$23,11)="Y"))+((Y568="")*(INDEX(Setup!$M$6:$M$23,11)="Y")))</f>
        <v/>
      </c>
      <c r="AC568" s="90">
        <f>IF($B568="","",IF(AB568=0,"✓ covered","⚠ "&amp;AB568&amp;IF(AB568=1," gap"," gaps")))</f>
        <v/>
      </c>
    </row>
    <row r="569" ht="17" customHeight="1">
      <c r="A569" t="n">
        <v>12</v>
      </c>
      <c r="B569" s="29">
        <f>IF(Setup!$K$17="","",Setup!$K$17)</f>
        <v/>
      </c>
      <c r="C569" s="88" t="n"/>
      <c r="D569" s="88" t="n"/>
      <c r="E569" s="88" t="n"/>
      <c r="F569" s="89" t="n"/>
      <c r="G569" s="88" t="n"/>
      <c r="H569" s="88" t="n"/>
      <c r="I569" s="88" t="n"/>
      <c r="J569" s="89" t="n"/>
      <c r="K569" s="88" t="n"/>
      <c r="L569" s="88" t="n"/>
      <c r="M569" s="88" t="n"/>
      <c r="N569" s="89" t="n"/>
      <c r="O569" s="88" t="n"/>
      <c r="P569" s="88" t="n"/>
      <c r="Q569" s="88" t="n"/>
      <c r="R569" s="89" t="n"/>
      <c r="S569" s="88" t="n"/>
      <c r="T569" s="88" t="n"/>
      <c r="U569" s="88" t="n"/>
      <c r="V569" s="89" t="n"/>
      <c r="W569" s="88" t="n"/>
      <c r="X569" s="89" t="n"/>
      <c r="Y569" s="88" t="n"/>
      <c r="Z569" s="89" t="n"/>
      <c r="AB569" s="30">
        <f>IF($B569="","",(COUNTIF(C569:E569,"?*")&lt;N(INDEX(Setup!$L$6:$L$23,12)))+(COUNTIF(G569:I569,"?*")&lt;N(INDEX(Setup!$L$6:$L$23,12)))+(COUNTIF(K569:M569,"?*")&lt;N(INDEX(Setup!$L$6:$L$23,12)))+(COUNTIF(O569:Q569,"?*")&lt;N(INDEX(Setup!$L$6:$L$23,12)))+(COUNTIF(S569:U569,"?*")&lt;N(INDEX(Setup!$L$6:$L$23,12)))+((W569="")*(INDEX(Setup!$M$6:$M$23,12)="Y"))+((Y569="")*(INDEX(Setup!$M$6:$M$23,12)="Y")))</f>
        <v/>
      </c>
      <c r="AC569" s="91">
        <f>IF($B569="","",IF(AB569=0,"✓ covered","⚠ "&amp;AB569&amp;IF(AB569=1," gap"," gaps")))</f>
        <v/>
      </c>
    </row>
    <row r="570" ht="17" customHeight="1">
      <c r="A570" t="n">
        <v>12</v>
      </c>
      <c r="B570" s="24">
        <f>IF(Setup!$K$18="","",Setup!$K$18)</f>
        <v/>
      </c>
      <c r="C570" s="88" t="n"/>
      <c r="D570" s="88" t="n"/>
      <c r="E570" s="88" t="n"/>
      <c r="F570" s="89" t="n"/>
      <c r="G570" s="88" t="n"/>
      <c r="H570" s="88" t="n"/>
      <c r="I570" s="88" t="n"/>
      <c r="J570" s="89" t="n"/>
      <c r="K570" s="88" t="n"/>
      <c r="L570" s="88" t="n"/>
      <c r="M570" s="88" t="n"/>
      <c r="N570" s="89" t="n"/>
      <c r="O570" s="88" t="n"/>
      <c r="P570" s="88" t="n"/>
      <c r="Q570" s="88" t="n"/>
      <c r="R570" s="89" t="n"/>
      <c r="S570" s="88" t="n"/>
      <c r="T570" s="88" t="n"/>
      <c r="U570" s="88" t="n"/>
      <c r="V570" s="89" t="n"/>
      <c r="W570" s="88" t="n"/>
      <c r="X570" s="89" t="n"/>
      <c r="Y570" s="88" t="n"/>
      <c r="Z570" s="89" t="n"/>
      <c r="AB570" s="25">
        <f>IF($B570="","",(COUNTIF(C570:E570,"?*")&lt;N(INDEX(Setup!$L$6:$L$23,13)))+(COUNTIF(G570:I570,"?*")&lt;N(INDEX(Setup!$L$6:$L$23,13)))+(COUNTIF(K570:M570,"?*")&lt;N(INDEX(Setup!$L$6:$L$23,13)))+(COUNTIF(O570:Q570,"?*")&lt;N(INDEX(Setup!$L$6:$L$23,13)))+(COUNTIF(S570:U570,"?*")&lt;N(INDEX(Setup!$L$6:$L$23,13)))+((W570="")*(INDEX(Setup!$M$6:$M$23,13)="Y"))+((Y570="")*(INDEX(Setup!$M$6:$M$23,13)="Y")))</f>
        <v/>
      </c>
      <c r="AC570" s="90">
        <f>IF($B570="","",IF(AB570=0,"✓ covered","⚠ "&amp;AB570&amp;IF(AB570=1," gap"," gaps")))</f>
        <v/>
      </c>
    </row>
    <row r="571" ht="17" customHeight="1">
      <c r="A571" t="n">
        <v>12</v>
      </c>
      <c r="B571" s="29">
        <f>IF(Setup!$K$19="","",Setup!$K$19)</f>
        <v/>
      </c>
      <c r="C571" s="88" t="n"/>
      <c r="D571" s="88" t="n"/>
      <c r="E571" s="88" t="n"/>
      <c r="F571" s="89" t="n"/>
      <c r="G571" s="88" t="n"/>
      <c r="H571" s="88" t="n"/>
      <c r="I571" s="88" t="n"/>
      <c r="J571" s="89" t="n"/>
      <c r="K571" s="88" t="n"/>
      <c r="L571" s="88" t="n"/>
      <c r="M571" s="88" t="n"/>
      <c r="N571" s="89" t="n"/>
      <c r="O571" s="88" t="n"/>
      <c r="P571" s="88" t="n"/>
      <c r="Q571" s="88" t="n"/>
      <c r="R571" s="89" t="n"/>
      <c r="S571" s="88" t="n"/>
      <c r="T571" s="88" t="n"/>
      <c r="U571" s="88" t="n"/>
      <c r="V571" s="89" t="n"/>
      <c r="W571" s="88" t="n"/>
      <c r="X571" s="89" t="n"/>
      <c r="Y571" s="88" t="n"/>
      <c r="Z571" s="89" t="n"/>
      <c r="AB571" s="30">
        <f>IF($B571="","",(COUNTIF(C571:E571,"?*")&lt;N(INDEX(Setup!$L$6:$L$23,14)))+(COUNTIF(G571:I571,"?*")&lt;N(INDEX(Setup!$L$6:$L$23,14)))+(COUNTIF(K571:M571,"?*")&lt;N(INDEX(Setup!$L$6:$L$23,14)))+(COUNTIF(O571:Q571,"?*")&lt;N(INDEX(Setup!$L$6:$L$23,14)))+(COUNTIF(S571:U571,"?*")&lt;N(INDEX(Setup!$L$6:$L$23,14)))+((W571="")*(INDEX(Setup!$M$6:$M$23,14)="Y"))+((Y571="")*(INDEX(Setup!$M$6:$M$23,14)="Y")))</f>
        <v/>
      </c>
      <c r="AC571" s="91">
        <f>IF($B571="","",IF(AB571=0,"✓ covered","⚠ "&amp;AB571&amp;IF(AB571=1," gap"," gaps")))</f>
        <v/>
      </c>
    </row>
    <row r="572" ht="17" customHeight="1">
      <c r="A572" t="n">
        <v>12</v>
      </c>
      <c r="B572" s="24">
        <f>IF(Setup!$K$20="","",Setup!$K$20)</f>
        <v/>
      </c>
      <c r="C572" s="88" t="n"/>
      <c r="D572" s="88" t="n"/>
      <c r="E572" s="88" t="n"/>
      <c r="F572" s="89" t="n"/>
      <c r="G572" s="88" t="n"/>
      <c r="H572" s="88" t="n"/>
      <c r="I572" s="88" t="n"/>
      <c r="J572" s="89" t="n"/>
      <c r="K572" s="88" t="n"/>
      <c r="L572" s="88" t="n"/>
      <c r="M572" s="88" t="n"/>
      <c r="N572" s="89" t="n"/>
      <c r="O572" s="88" t="n"/>
      <c r="P572" s="88" t="n"/>
      <c r="Q572" s="88" t="n"/>
      <c r="R572" s="89" t="n"/>
      <c r="S572" s="88" t="n"/>
      <c r="T572" s="88" t="n"/>
      <c r="U572" s="88" t="n"/>
      <c r="V572" s="89" t="n"/>
      <c r="W572" s="88" t="n"/>
      <c r="X572" s="89" t="n"/>
      <c r="Y572" s="88" t="n"/>
      <c r="Z572" s="89" t="n"/>
      <c r="AB572" s="25">
        <f>IF($B572="","",(COUNTIF(C572:E572,"?*")&lt;N(INDEX(Setup!$L$6:$L$23,15)))+(COUNTIF(G572:I572,"?*")&lt;N(INDEX(Setup!$L$6:$L$23,15)))+(COUNTIF(K572:M572,"?*")&lt;N(INDEX(Setup!$L$6:$L$23,15)))+(COUNTIF(O572:Q572,"?*")&lt;N(INDEX(Setup!$L$6:$L$23,15)))+(COUNTIF(S572:U572,"?*")&lt;N(INDEX(Setup!$L$6:$L$23,15)))+((W572="")*(INDEX(Setup!$M$6:$M$23,15)="Y"))+((Y572="")*(INDEX(Setup!$M$6:$M$23,15)="Y")))</f>
        <v/>
      </c>
      <c r="AC572" s="90">
        <f>IF($B572="","",IF(AB572=0,"✓ covered","⚠ "&amp;AB572&amp;IF(AB572=1," gap"," gaps")))</f>
        <v/>
      </c>
    </row>
    <row r="573" ht="17" customHeight="1">
      <c r="A573" t="n">
        <v>12</v>
      </c>
      <c r="B573" s="29">
        <f>IF(Setup!$K$21="","",Setup!$K$21)</f>
        <v/>
      </c>
      <c r="C573" s="88" t="n"/>
      <c r="D573" s="88" t="n"/>
      <c r="E573" s="88" t="n"/>
      <c r="F573" s="89" t="n"/>
      <c r="G573" s="88" t="n"/>
      <c r="H573" s="88" t="n"/>
      <c r="I573" s="88" t="n"/>
      <c r="J573" s="89" t="n"/>
      <c r="K573" s="88" t="n"/>
      <c r="L573" s="88" t="n"/>
      <c r="M573" s="88" t="n"/>
      <c r="N573" s="89" t="n"/>
      <c r="O573" s="88" t="n"/>
      <c r="P573" s="88" t="n"/>
      <c r="Q573" s="88" t="n"/>
      <c r="R573" s="89" t="n"/>
      <c r="S573" s="88" t="n"/>
      <c r="T573" s="88" t="n"/>
      <c r="U573" s="88" t="n"/>
      <c r="V573" s="89" t="n"/>
      <c r="W573" s="88" t="n"/>
      <c r="X573" s="89" t="n"/>
      <c r="Y573" s="88" t="n"/>
      <c r="Z573" s="89" t="n"/>
      <c r="AB573" s="30">
        <f>IF($B573="","",(COUNTIF(C573:E573,"?*")&lt;N(INDEX(Setup!$L$6:$L$23,16)))+(COUNTIF(G573:I573,"?*")&lt;N(INDEX(Setup!$L$6:$L$23,16)))+(COUNTIF(K573:M573,"?*")&lt;N(INDEX(Setup!$L$6:$L$23,16)))+(COUNTIF(O573:Q573,"?*")&lt;N(INDEX(Setup!$L$6:$L$23,16)))+(COUNTIF(S573:U573,"?*")&lt;N(INDEX(Setup!$L$6:$L$23,16)))+((W573="")*(INDEX(Setup!$M$6:$M$23,16)="Y"))+((Y573="")*(INDEX(Setup!$M$6:$M$23,16)="Y")))</f>
        <v/>
      </c>
      <c r="AC573" s="91">
        <f>IF($B573="","",IF(AB573=0,"✓ covered","⚠ "&amp;AB573&amp;IF(AB573=1," gap"," gaps")))</f>
        <v/>
      </c>
    </row>
    <row r="574" ht="17" customHeight="1">
      <c r="A574" t="n">
        <v>12</v>
      </c>
      <c r="B574" s="24">
        <f>IF(Setup!$K$22="","",Setup!$K$22)</f>
        <v/>
      </c>
      <c r="C574" s="88" t="n"/>
      <c r="D574" s="88" t="n"/>
      <c r="E574" s="88" t="n"/>
      <c r="F574" s="89" t="n"/>
      <c r="G574" s="88" t="n"/>
      <c r="H574" s="88" t="n"/>
      <c r="I574" s="88" t="n"/>
      <c r="J574" s="89" t="n"/>
      <c r="K574" s="88" t="n"/>
      <c r="L574" s="88" t="n"/>
      <c r="M574" s="88" t="n"/>
      <c r="N574" s="89" t="n"/>
      <c r="O574" s="88" t="n"/>
      <c r="P574" s="88" t="n"/>
      <c r="Q574" s="88" t="n"/>
      <c r="R574" s="89" t="n"/>
      <c r="S574" s="88" t="n"/>
      <c r="T574" s="88" t="n"/>
      <c r="U574" s="88" t="n"/>
      <c r="V574" s="89" t="n"/>
      <c r="W574" s="88" t="n"/>
      <c r="X574" s="89" t="n"/>
      <c r="Y574" s="88" t="n"/>
      <c r="Z574" s="89" t="n"/>
      <c r="AB574" s="25">
        <f>IF($B574="","",(COUNTIF(C574:E574,"?*")&lt;N(INDEX(Setup!$L$6:$L$23,17)))+(COUNTIF(G574:I574,"?*")&lt;N(INDEX(Setup!$L$6:$L$23,17)))+(COUNTIF(K574:M574,"?*")&lt;N(INDEX(Setup!$L$6:$L$23,17)))+(COUNTIF(O574:Q574,"?*")&lt;N(INDEX(Setup!$L$6:$L$23,17)))+(COUNTIF(S574:U574,"?*")&lt;N(INDEX(Setup!$L$6:$L$23,17)))+((W574="")*(INDEX(Setup!$M$6:$M$23,17)="Y"))+((Y574="")*(INDEX(Setup!$M$6:$M$23,17)="Y")))</f>
        <v/>
      </c>
      <c r="AC574" s="90">
        <f>IF($B574="","",IF(AB574=0,"✓ covered","⚠ "&amp;AB574&amp;IF(AB574=1," gap"," gaps")))</f>
        <v/>
      </c>
    </row>
    <row r="575" ht="17" customHeight="1">
      <c r="A575" t="n">
        <v>12</v>
      </c>
      <c r="B575" s="29">
        <f>IF(Setup!$K$23="","",Setup!$K$23)</f>
        <v/>
      </c>
      <c r="C575" s="88" t="n"/>
      <c r="D575" s="88" t="n"/>
      <c r="E575" s="88" t="n"/>
      <c r="F575" s="89" t="n"/>
      <c r="G575" s="88" t="n"/>
      <c r="H575" s="88" t="n"/>
      <c r="I575" s="88" t="n"/>
      <c r="J575" s="89" t="n"/>
      <c r="K575" s="88" t="n"/>
      <c r="L575" s="88" t="n"/>
      <c r="M575" s="88" t="n"/>
      <c r="N575" s="89" t="n"/>
      <c r="O575" s="88" t="n"/>
      <c r="P575" s="88" t="n"/>
      <c r="Q575" s="88" t="n"/>
      <c r="R575" s="89" t="n"/>
      <c r="S575" s="88" t="n"/>
      <c r="T575" s="88" t="n"/>
      <c r="U575" s="88" t="n"/>
      <c r="V575" s="89" t="n"/>
      <c r="W575" s="88" t="n"/>
      <c r="X575" s="89" t="n"/>
      <c r="Y575" s="88" t="n"/>
      <c r="Z575" s="89" t="n"/>
      <c r="AB575" s="30">
        <f>IF($B575="","",(COUNTIF(C575:E575,"?*")&lt;N(INDEX(Setup!$L$6:$L$23,18)))+(COUNTIF(G575:I575,"?*")&lt;N(INDEX(Setup!$L$6:$L$23,18)))+(COUNTIF(K575:M575,"?*")&lt;N(INDEX(Setup!$L$6:$L$23,18)))+(COUNTIF(O575:Q575,"?*")&lt;N(INDEX(Setup!$L$6:$L$23,18)))+(COUNTIF(S575:U575,"?*")&lt;N(INDEX(Setup!$L$6:$L$23,18)))+((W575="")*(INDEX(Setup!$M$6:$M$23,18)="Y"))+((Y575="")*(INDEX(Setup!$M$6:$M$23,18)="Y")))</f>
        <v/>
      </c>
      <c r="AC575" s="91">
        <f>IF($B575="","",IF(AB575=0,"✓ covered","⚠ "&amp;AB575&amp;IF(AB575=1," gap"," gaps")))</f>
        <v/>
      </c>
    </row>
    <row r="576" ht="18" customHeight="1">
      <c r="A576" t="n">
        <v>12</v>
      </c>
      <c r="B576" s="78" t="inlineStr">
        <is>
          <t>TEAM AVAILABILITY</t>
        </is>
      </c>
      <c r="C576" s="92" t="inlineStr">
        <is>
          <t>Mon</t>
        </is>
      </c>
      <c r="D576" s="93" t="n"/>
      <c r="E576" s="93" t="n"/>
      <c r="F576" s="94" t="n"/>
      <c r="G576" s="92" t="inlineStr">
        <is>
          <t>Tue</t>
        </is>
      </c>
      <c r="H576" s="93" t="n"/>
      <c r="I576" s="93" t="n"/>
      <c r="J576" s="94" t="n"/>
      <c r="K576" s="92" t="inlineStr">
        <is>
          <t>Wed</t>
        </is>
      </c>
      <c r="L576" s="93" t="n"/>
      <c r="M576" s="93" t="n"/>
      <c r="N576" s="94" t="n"/>
      <c r="O576" s="92" t="inlineStr">
        <is>
          <t>Thu</t>
        </is>
      </c>
      <c r="P576" s="93" t="n"/>
      <c r="Q576" s="93" t="n"/>
      <c r="R576" s="94" t="n"/>
      <c r="S576" s="92" t="inlineStr">
        <is>
          <t>Fri</t>
        </is>
      </c>
      <c r="T576" s="93" t="n"/>
      <c r="U576" s="93" t="n"/>
      <c r="V576" s="94" t="n"/>
      <c r="W576" s="95" t="inlineStr">
        <is>
          <t>Sat</t>
        </is>
      </c>
      <c r="X576" s="96" t="n"/>
      <c r="Y576" s="95" t="inlineStr">
        <is>
          <t>Sun</t>
        </is>
      </c>
      <c r="Z576" s="96" t="n"/>
      <c r="AB576" s="97" t="inlineStr">
        <is>
          <t>Days rostered</t>
        </is>
      </c>
      <c r="AC576" s="97" t="inlineStr">
        <is>
          <t>Conflicts</t>
        </is>
      </c>
    </row>
    <row r="577" ht="15" customHeight="1">
      <c r="A577" t="n">
        <v>12</v>
      </c>
      <c r="B577" s="35">
        <f>IF(Setup!$B$6="","",Setup!$B$6)</f>
        <v/>
      </c>
      <c r="C577" s="98" t="n"/>
      <c r="D577" s="99" t="n"/>
      <c r="E577" s="99" t="n"/>
      <c r="F577" s="100" t="n"/>
      <c r="G577" s="98" t="n"/>
      <c r="H577" s="99" t="n"/>
      <c r="I577" s="99" t="n"/>
      <c r="J577" s="100" t="n"/>
      <c r="K577" s="98" t="n"/>
      <c r="L577" s="99" t="n"/>
      <c r="M577" s="99" t="n"/>
      <c r="N577" s="100" t="n"/>
      <c r="O577" s="98" t="n"/>
      <c r="P577" s="99" t="n"/>
      <c r="Q577" s="99" t="n"/>
      <c r="R577" s="100" t="n"/>
      <c r="S577" s="98" t="n"/>
      <c r="T577" s="99" t="n"/>
      <c r="U577" s="99" t="n"/>
      <c r="V577" s="100" t="n"/>
      <c r="W577" s="98" t="n"/>
      <c r="X577" s="100" t="n"/>
      <c r="Y577" s="98" t="n"/>
      <c r="Z577" s="100" t="n"/>
      <c r="AB577" s="101">
        <f>IF($B577="","",(COUNTIF(C558:E575,$B577)+COUNTIF(C558:E575,$B577&amp;" ~*")&gt;0)+(COUNTIF(G558:I575,$B577)+COUNTIF(G558:I575,$B577&amp;" ~*")&gt;0)+(COUNTIF(K558:M575,$B577)+COUNTIF(K558:M575,$B577&amp;" ~*")&gt;0)+(COUNTIF(O558:Q575,$B577)+COUNTIF(O558:Q575,$B577&amp;" ~*")&gt;0)+(COUNTIF(S558:U575,$B577)+COUNTIF(S558:U575,$B577&amp;" ~*")&gt;0)+(COUNTIF(W558:W575,$B577)+COUNTIF(W558:W575,$B577&amp;" ~*")&gt;0)+(COUNTIF(Y558:Y575,$B577)+COUNTIF(Y558:Y575,$B577&amp;" ~*")&gt;0))</f>
        <v/>
      </c>
      <c r="AC577" s="36">
        <f>IF($B577="","",(IFERROR(INDEX(Setup!$G$33:$G$40,MATCH(C577,Setup!$B$33:$B$40,0)),0)=1)*(COUNTIF(C558:E575,$B577)+COUNTIF(C558:E575,$B577&amp;" ~*")&gt;0)+(IFERROR(INDEX(Setup!$G$33:$G$40,MATCH(G577,Setup!$B$33:$B$40,0)),0)=1)*(COUNTIF(G558:I575,$B577)+COUNTIF(G558:I575,$B577&amp;" ~*")&gt;0)+(IFERROR(INDEX(Setup!$G$33:$G$40,MATCH(K577,Setup!$B$33:$B$40,0)),0)=1)*(COUNTIF(K558:M575,$B577)+COUNTIF(K558:M575,$B577&amp;" ~*")&gt;0)+(IFERROR(INDEX(Setup!$G$33:$G$40,MATCH(O577,Setup!$B$33:$B$40,0)),0)=1)*(COUNTIF(O558:Q575,$B577)+COUNTIF(O558:Q575,$B577&amp;" ~*")&gt;0)+(IFERROR(INDEX(Setup!$G$33:$G$40,MATCH(S577,Setup!$B$33:$B$40,0)),0)=1)*(COUNTIF(S558:U575,$B577)+COUNTIF(S558:U575,$B577&amp;" ~*")&gt;0)+(IFERROR(INDEX(Setup!$G$33:$G$40,MATCH(W577,Setup!$B$33:$B$40,0)),0)=1)*(COUNTIF(W558:W575,$B577)+COUNTIF(W558:W575,$B577&amp;" ~*")&gt;0)+(IFERROR(INDEX(Setup!$G$33:$G$40,MATCH(Y577,Setup!$B$33:$B$40,0)),0)=1)*(COUNTIF(Y558:Y575,$B577)+COUNTIF(Y558:Y575,$B577&amp;" ~*")&gt;0))</f>
        <v/>
      </c>
    </row>
    <row r="578" ht="15" customHeight="1">
      <c r="A578" t="n">
        <v>12</v>
      </c>
      <c r="B578" s="37">
        <f>IF(Setup!$B$7="","",Setup!$B$7)</f>
        <v/>
      </c>
      <c r="C578" s="102" t="n"/>
      <c r="D578" s="103" t="n"/>
      <c r="E578" s="103" t="n"/>
      <c r="F578" s="104" t="n"/>
      <c r="G578" s="102" t="n"/>
      <c r="H578" s="103" t="n"/>
      <c r="I578" s="103" t="n"/>
      <c r="J578" s="104" t="n"/>
      <c r="K578" s="102" t="n"/>
      <c r="L578" s="103" t="n"/>
      <c r="M578" s="103" t="n"/>
      <c r="N578" s="104" t="n"/>
      <c r="O578" s="102" t="n"/>
      <c r="P578" s="103" t="n"/>
      <c r="Q578" s="103" t="n"/>
      <c r="R578" s="104" t="n"/>
      <c r="S578" s="102" t="n"/>
      <c r="T578" s="103" t="n"/>
      <c r="U578" s="103" t="n"/>
      <c r="V578" s="104" t="n"/>
      <c r="W578" s="102" t="n"/>
      <c r="X578" s="104" t="n"/>
      <c r="Y578" s="102" t="n"/>
      <c r="Z578" s="104" t="n"/>
      <c r="AB578" s="105">
        <f>IF($B578="","",(COUNTIF(C558:E575,$B578)+COUNTIF(C558:E575,$B578&amp;" ~*")&gt;0)+(COUNTIF(G558:I575,$B578)+COUNTIF(G558:I575,$B578&amp;" ~*")&gt;0)+(COUNTIF(K558:M575,$B578)+COUNTIF(K558:M575,$B578&amp;" ~*")&gt;0)+(COUNTIF(O558:Q575,$B578)+COUNTIF(O558:Q575,$B578&amp;" ~*")&gt;0)+(COUNTIF(S558:U575,$B578)+COUNTIF(S558:U575,$B578&amp;" ~*")&gt;0)+(COUNTIF(W558:W575,$B578)+COUNTIF(W558:W575,$B578&amp;" ~*")&gt;0)+(COUNTIF(Y558:Y575,$B578)+COUNTIF(Y558:Y575,$B578&amp;" ~*")&gt;0))</f>
        <v/>
      </c>
      <c r="AC578" s="38">
        <f>IF($B578="","",(IFERROR(INDEX(Setup!$G$33:$G$40,MATCH(C578,Setup!$B$33:$B$40,0)),0)=1)*(COUNTIF(C558:E575,$B578)+COUNTIF(C558:E575,$B578&amp;" ~*")&gt;0)+(IFERROR(INDEX(Setup!$G$33:$G$40,MATCH(G578,Setup!$B$33:$B$40,0)),0)=1)*(COUNTIF(G558:I575,$B578)+COUNTIF(G558:I575,$B578&amp;" ~*")&gt;0)+(IFERROR(INDEX(Setup!$G$33:$G$40,MATCH(K578,Setup!$B$33:$B$40,0)),0)=1)*(COUNTIF(K558:M575,$B578)+COUNTIF(K558:M575,$B578&amp;" ~*")&gt;0)+(IFERROR(INDEX(Setup!$G$33:$G$40,MATCH(O578,Setup!$B$33:$B$40,0)),0)=1)*(COUNTIF(O558:Q575,$B578)+COUNTIF(O558:Q575,$B578&amp;" ~*")&gt;0)+(IFERROR(INDEX(Setup!$G$33:$G$40,MATCH(S578,Setup!$B$33:$B$40,0)),0)=1)*(COUNTIF(S558:U575,$B578)+COUNTIF(S558:U575,$B578&amp;" ~*")&gt;0)+(IFERROR(INDEX(Setup!$G$33:$G$40,MATCH(W578,Setup!$B$33:$B$40,0)),0)=1)*(COUNTIF(W558:W575,$B578)+COUNTIF(W558:W575,$B578&amp;" ~*")&gt;0)+(IFERROR(INDEX(Setup!$G$33:$G$40,MATCH(Y578,Setup!$B$33:$B$40,0)),0)=1)*(COUNTIF(Y558:Y575,$B578)+COUNTIF(Y558:Y575,$B578&amp;" ~*")&gt;0))</f>
        <v/>
      </c>
    </row>
    <row r="579" ht="15" customHeight="1">
      <c r="A579" t="n">
        <v>12</v>
      </c>
      <c r="B579" s="35">
        <f>IF(Setup!$B$8="","",Setup!$B$8)</f>
        <v/>
      </c>
      <c r="C579" s="98" t="n"/>
      <c r="D579" s="99" t="n"/>
      <c r="E579" s="99" t="n"/>
      <c r="F579" s="100" t="n"/>
      <c r="G579" s="98" t="n"/>
      <c r="H579" s="99" t="n"/>
      <c r="I579" s="99" t="n"/>
      <c r="J579" s="100" t="n"/>
      <c r="K579" s="98" t="n"/>
      <c r="L579" s="99" t="n"/>
      <c r="M579" s="99" t="n"/>
      <c r="N579" s="100" t="n"/>
      <c r="O579" s="98" t="n"/>
      <c r="P579" s="99" t="n"/>
      <c r="Q579" s="99" t="n"/>
      <c r="R579" s="100" t="n"/>
      <c r="S579" s="98" t="n"/>
      <c r="T579" s="99" t="n"/>
      <c r="U579" s="99" t="n"/>
      <c r="V579" s="100" t="n"/>
      <c r="W579" s="98" t="n"/>
      <c r="X579" s="100" t="n"/>
      <c r="Y579" s="98" t="n"/>
      <c r="Z579" s="100" t="n"/>
      <c r="AB579" s="101">
        <f>IF($B579="","",(COUNTIF(C558:E575,$B579)+COUNTIF(C558:E575,$B579&amp;" ~*")&gt;0)+(COUNTIF(G558:I575,$B579)+COUNTIF(G558:I575,$B579&amp;" ~*")&gt;0)+(COUNTIF(K558:M575,$B579)+COUNTIF(K558:M575,$B579&amp;" ~*")&gt;0)+(COUNTIF(O558:Q575,$B579)+COUNTIF(O558:Q575,$B579&amp;" ~*")&gt;0)+(COUNTIF(S558:U575,$B579)+COUNTIF(S558:U575,$B579&amp;" ~*")&gt;0)+(COUNTIF(W558:W575,$B579)+COUNTIF(W558:W575,$B579&amp;" ~*")&gt;0)+(COUNTIF(Y558:Y575,$B579)+COUNTIF(Y558:Y575,$B579&amp;" ~*")&gt;0))</f>
        <v/>
      </c>
      <c r="AC579" s="36">
        <f>IF($B579="","",(IFERROR(INDEX(Setup!$G$33:$G$40,MATCH(C579,Setup!$B$33:$B$40,0)),0)=1)*(COUNTIF(C558:E575,$B579)+COUNTIF(C558:E575,$B579&amp;" ~*")&gt;0)+(IFERROR(INDEX(Setup!$G$33:$G$40,MATCH(G579,Setup!$B$33:$B$40,0)),0)=1)*(COUNTIF(G558:I575,$B579)+COUNTIF(G558:I575,$B579&amp;" ~*")&gt;0)+(IFERROR(INDEX(Setup!$G$33:$G$40,MATCH(K579,Setup!$B$33:$B$40,0)),0)=1)*(COUNTIF(K558:M575,$B579)+COUNTIF(K558:M575,$B579&amp;" ~*")&gt;0)+(IFERROR(INDEX(Setup!$G$33:$G$40,MATCH(O579,Setup!$B$33:$B$40,0)),0)=1)*(COUNTIF(O558:Q575,$B579)+COUNTIF(O558:Q575,$B579&amp;" ~*")&gt;0)+(IFERROR(INDEX(Setup!$G$33:$G$40,MATCH(S579,Setup!$B$33:$B$40,0)),0)=1)*(COUNTIF(S558:U575,$B579)+COUNTIF(S558:U575,$B579&amp;" ~*")&gt;0)+(IFERROR(INDEX(Setup!$G$33:$G$40,MATCH(W579,Setup!$B$33:$B$40,0)),0)=1)*(COUNTIF(W558:W575,$B579)+COUNTIF(W558:W575,$B579&amp;" ~*")&gt;0)+(IFERROR(INDEX(Setup!$G$33:$G$40,MATCH(Y579,Setup!$B$33:$B$40,0)),0)=1)*(COUNTIF(Y558:Y575,$B579)+COUNTIF(Y558:Y575,$B579&amp;" ~*")&gt;0))</f>
        <v/>
      </c>
    </row>
    <row r="580" ht="15" customHeight="1">
      <c r="A580" t="n">
        <v>12</v>
      </c>
      <c r="B580" s="37">
        <f>IF(Setup!$B$9="","",Setup!$B$9)</f>
        <v/>
      </c>
      <c r="C580" s="102" t="n"/>
      <c r="D580" s="103" t="n"/>
      <c r="E580" s="103" t="n"/>
      <c r="F580" s="104" t="n"/>
      <c r="G580" s="102" t="n"/>
      <c r="H580" s="103" t="n"/>
      <c r="I580" s="103" t="n"/>
      <c r="J580" s="104" t="n"/>
      <c r="K580" s="102" t="n"/>
      <c r="L580" s="103" t="n"/>
      <c r="M580" s="103" t="n"/>
      <c r="N580" s="104" t="n"/>
      <c r="O580" s="102" t="n"/>
      <c r="P580" s="103" t="n"/>
      <c r="Q580" s="103" t="n"/>
      <c r="R580" s="104" t="n"/>
      <c r="S580" s="102" t="n"/>
      <c r="T580" s="103" t="n"/>
      <c r="U580" s="103" t="n"/>
      <c r="V580" s="104" t="n"/>
      <c r="W580" s="102" t="n"/>
      <c r="X580" s="104" t="n"/>
      <c r="Y580" s="102" t="n"/>
      <c r="Z580" s="104" t="n"/>
      <c r="AB580" s="105">
        <f>IF($B580="","",(COUNTIF(C558:E575,$B580)+COUNTIF(C558:E575,$B580&amp;" ~*")&gt;0)+(COUNTIF(G558:I575,$B580)+COUNTIF(G558:I575,$B580&amp;" ~*")&gt;0)+(COUNTIF(K558:M575,$B580)+COUNTIF(K558:M575,$B580&amp;" ~*")&gt;0)+(COUNTIF(O558:Q575,$B580)+COUNTIF(O558:Q575,$B580&amp;" ~*")&gt;0)+(COUNTIF(S558:U575,$B580)+COUNTIF(S558:U575,$B580&amp;" ~*")&gt;0)+(COUNTIF(W558:W575,$B580)+COUNTIF(W558:W575,$B580&amp;" ~*")&gt;0)+(COUNTIF(Y558:Y575,$B580)+COUNTIF(Y558:Y575,$B580&amp;" ~*")&gt;0))</f>
        <v/>
      </c>
      <c r="AC580" s="38">
        <f>IF($B580="","",(IFERROR(INDEX(Setup!$G$33:$G$40,MATCH(C580,Setup!$B$33:$B$40,0)),0)=1)*(COUNTIF(C558:E575,$B580)+COUNTIF(C558:E575,$B580&amp;" ~*")&gt;0)+(IFERROR(INDEX(Setup!$G$33:$G$40,MATCH(G580,Setup!$B$33:$B$40,0)),0)=1)*(COUNTIF(G558:I575,$B580)+COUNTIF(G558:I575,$B580&amp;" ~*")&gt;0)+(IFERROR(INDEX(Setup!$G$33:$G$40,MATCH(K580,Setup!$B$33:$B$40,0)),0)=1)*(COUNTIF(K558:M575,$B580)+COUNTIF(K558:M575,$B580&amp;" ~*")&gt;0)+(IFERROR(INDEX(Setup!$G$33:$G$40,MATCH(O580,Setup!$B$33:$B$40,0)),0)=1)*(COUNTIF(O558:Q575,$B580)+COUNTIF(O558:Q575,$B580&amp;" ~*")&gt;0)+(IFERROR(INDEX(Setup!$G$33:$G$40,MATCH(S580,Setup!$B$33:$B$40,0)),0)=1)*(COUNTIF(S558:U575,$B580)+COUNTIF(S558:U575,$B580&amp;" ~*")&gt;0)+(IFERROR(INDEX(Setup!$G$33:$G$40,MATCH(W580,Setup!$B$33:$B$40,0)),0)=1)*(COUNTIF(W558:W575,$B580)+COUNTIF(W558:W575,$B580&amp;" ~*")&gt;0)+(IFERROR(INDEX(Setup!$G$33:$G$40,MATCH(Y580,Setup!$B$33:$B$40,0)),0)=1)*(COUNTIF(Y558:Y575,$B580)+COUNTIF(Y558:Y575,$B580&amp;" ~*")&gt;0))</f>
        <v/>
      </c>
    </row>
    <row r="581" ht="15" customHeight="1">
      <c r="A581" t="n">
        <v>12</v>
      </c>
      <c r="B581" s="35">
        <f>IF(Setup!$B$10="","",Setup!$B$10)</f>
        <v/>
      </c>
      <c r="C581" s="98" t="n"/>
      <c r="D581" s="99" t="n"/>
      <c r="E581" s="99" t="n"/>
      <c r="F581" s="100" t="n"/>
      <c r="G581" s="98" t="n"/>
      <c r="H581" s="99" t="n"/>
      <c r="I581" s="99" t="n"/>
      <c r="J581" s="100" t="n"/>
      <c r="K581" s="98" t="n"/>
      <c r="L581" s="99" t="n"/>
      <c r="M581" s="99" t="n"/>
      <c r="N581" s="100" t="n"/>
      <c r="O581" s="98" t="n"/>
      <c r="P581" s="99" t="n"/>
      <c r="Q581" s="99" t="n"/>
      <c r="R581" s="100" t="n"/>
      <c r="S581" s="98" t="n"/>
      <c r="T581" s="99" t="n"/>
      <c r="U581" s="99" t="n"/>
      <c r="V581" s="100" t="n"/>
      <c r="W581" s="98" t="n"/>
      <c r="X581" s="100" t="n"/>
      <c r="Y581" s="98" t="n"/>
      <c r="Z581" s="100" t="n"/>
      <c r="AB581" s="101">
        <f>IF($B581="","",(COUNTIF(C558:E575,$B581)+COUNTIF(C558:E575,$B581&amp;" ~*")&gt;0)+(COUNTIF(G558:I575,$B581)+COUNTIF(G558:I575,$B581&amp;" ~*")&gt;0)+(COUNTIF(K558:M575,$B581)+COUNTIF(K558:M575,$B581&amp;" ~*")&gt;0)+(COUNTIF(O558:Q575,$B581)+COUNTIF(O558:Q575,$B581&amp;" ~*")&gt;0)+(COUNTIF(S558:U575,$B581)+COUNTIF(S558:U575,$B581&amp;" ~*")&gt;0)+(COUNTIF(W558:W575,$B581)+COUNTIF(W558:W575,$B581&amp;" ~*")&gt;0)+(COUNTIF(Y558:Y575,$B581)+COUNTIF(Y558:Y575,$B581&amp;" ~*")&gt;0))</f>
        <v/>
      </c>
      <c r="AC581" s="36">
        <f>IF($B581="","",(IFERROR(INDEX(Setup!$G$33:$G$40,MATCH(C581,Setup!$B$33:$B$40,0)),0)=1)*(COUNTIF(C558:E575,$B581)+COUNTIF(C558:E575,$B581&amp;" ~*")&gt;0)+(IFERROR(INDEX(Setup!$G$33:$G$40,MATCH(G581,Setup!$B$33:$B$40,0)),0)=1)*(COUNTIF(G558:I575,$B581)+COUNTIF(G558:I575,$B581&amp;" ~*")&gt;0)+(IFERROR(INDEX(Setup!$G$33:$G$40,MATCH(K581,Setup!$B$33:$B$40,0)),0)=1)*(COUNTIF(K558:M575,$B581)+COUNTIF(K558:M575,$B581&amp;" ~*")&gt;0)+(IFERROR(INDEX(Setup!$G$33:$G$40,MATCH(O581,Setup!$B$33:$B$40,0)),0)=1)*(COUNTIF(O558:Q575,$B581)+COUNTIF(O558:Q575,$B581&amp;" ~*")&gt;0)+(IFERROR(INDEX(Setup!$G$33:$G$40,MATCH(S581,Setup!$B$33:$B$40,0)),0)=1)*(COUNTIF(S558:U575,$B581)+COUNTIF(S558:U575,$B581&amp;" ~*")&gt;0)+(IFERROR(INDEX(Setup!$G$33:$G$40,MATCH(W581,Setup!$B$33:$B$40,0)),0)=1)*(COUNTIF(W558:W575,$B581)+COUNTIF(W558:W575,$B581&amp;" ~*")&gt;0)+(IFERROR(INDEX(Setup!$G$33:$G$40,MATCH(Y581,Setup!$B$33:$B$40,0)),0)=1)*(COUNTIF(Y558:Y575,$B581)+COUNTIF(Y558:Y575,$B581&amp;" ~*")&gt;0))</f>
        <v/>
      </c>
    </row>
    <row r="582" ht="15" customHeight="1">
      <c r="A582" t="n">
        <v>12</v>
      </c>
      <c r="B582" s="37">
        <f>IF(Setup!$B$11="","",Setup!$B$11)</f>
        <v/>
      </c>
      <c r="C582" s="102" t="n"/>
      <c r="D582" s="103" t="n"/>
      <c r="E582" s="103" t="n"/>
      <c r="F582" s="104" t="n"/>
      <c r="G582" s="102" t="n"/>
      <c r="H582" s="103" t="n"/>
      <c r="I582" s="103" t="n"/>
      <c r="J582" s="104" t="n"/>
      <c r="K582" s="102" t="n"/>
      <c r="L582" s="103" t="n"/>
      <c r="M582" s="103" t="n"/>
      <c r="N582" s="104" t="n"/>
      <c r="O582" s="102" t="n"/>
      <c r="P582" s="103" t="n"/>
      <c r="Q582" s="103" t="n"/>
      <c r="R582" s="104" t="n"/>
      <c r="S582" s="102" t="n"/>
      <c r="T582" s="103" t="n"/>
      <c r="U582" s="103" t="n"/>
      <c r="V582" s="104" t="n"/>
      <c r="W582" s="102" t="n"/>
      <c r="X582" s="104" t="n"/>
      <c r="Y582" s="102" t="n"/>
      <c r="Z582" s="104" t="n"/>
      <c r="AB582" s="105">
        <f>IF($B582="","",(COUNTIF(C558:E575,$B582)+COUNTIF(C558:E575,$B582&amp;" ~*")&gt;0)+(COUNTIF(G558:I575,$B582)+COUNTIF(G558:I575,$B582&amp;" ~*")&gt;0)+(COUNTIF(K558:M575,$B582)+COUNTIF(K558:M575,$B582&amp;" ~*")&gt;0)+(COUNTIF(O558:Q575,$B582)+COUNTIF(O558:Q575,$B582&amp;" ~*")&gt;0)+(COUNTIF(S558:U575,$B582)+COUNTIF(S558:U575,$B582&amp;" ~*")&gt;0)+(COUNTIF(W558:W575,$B582)+COUNTIF(W558:W575,$B582&amp;" ~*")&gt;0)+(COUNTIF(Y558:Y575,$B582)+COUNTIF(Y558:Y575,$B582&amp;" ~*")&gt;0))</f>
        <v/>
      </c>
      <c r="AC582" s="38">
        <f>IF($B582="","",(IFERROR(INDEX(Setup!$G$33:$G$40,MATCH(C582,Setup!$B$33:$B$40,0)),0)=1)*(COUNTIF(C558:E575,$B582)+COUNTIF(C558:E575,$B582&amp;" ~*")&gt;0)+(IFERROR(INDEX(Setup!$G$33:$G$40,MATCH(G582,Setup!$B$33:$B$40,0)),0)=1)*(COUNTIF(G558:I575,$B582)+COUNTIF(G558:I575,$B582&amp;" ~*")&gt;0)+(IFERROR(INDEX(Setup!$G$33:$G$40,MATCH(K582,Setup!$B$33:$B$40,0)),0)=1)*(COUNTIF(K558:M575,$B582)+COUNTIF(K558:M575,$B582&amp;" ~*")&gt;0)+(IFERROR(INDEX(Setup!$G$33:$G$40,MATCH(O582,Setup!$B$33:$B$40,0)),0)=1)*(COUNTIF(O558:Q575,$B582)+COUNTIF(O558:Q575,$B582&amp;" ~*")&gt;0)+(IFERROR(INDEX(Setup!$G$33:$G$40,MATCH(S582,Setup!$B$33:$B$40,0)),0)=1)*(COUNTIF(S558:U575,$B582)+COUNTIF(S558:U575,$B582&amp;" ~*")&gt;0)+(IFERROR(INDEX(Setup!$G$33:$G$40,MATCH(W582,Setup!$B$33:$B$40,0)),0)=1)*(COUNTIF(W558:W575,$B582)+COUNTIF(W558:W575,$B582&amp;" ~*")&gt;0)+(IFERROR(INDEX(Setup!$G$33:$G$40,MATCH(Y582,Setup!$B$33:$B$40,0)),0)=1)*(COUNTIF(Y558:Y575,$B582)+COUNTIF(Y558:Y575,$B582&amp;" ~*")&gt;0))</f>
        <v/>
      </c>
    </row>
    <row r="583" ht="15" customHeight="1">
      <c r="A583" t="n">
        <v>12</v>
      </c>
      <c r="B583" s="35">
        <f>IF(Setup!$B$12="","",Setup!$B$12)</f>
        <v/>
      </c>
      <c r="C583" s="98" t="n"/>
      <c r="D583" s="99" t="n"/>
      <c r="E583" s="99" t="n"/>
      <c r="F583" s="100" t="n"/>
      <c r="G583" s="98" t="n"/>
      <c r="H583" s="99" t="n"/>
      <c r="I583" s="99" t="n"/>
      <c r="J583" s="100" t="n"/>
      <c r="K583" s="98" t="n"/>
      <c r="L583" s="99" t="n"/>
      <c r="M583" s="99" t="n"/>
      <c r="N583" s="100" t="n"/>
      <c r="O583" s="98" t="n"/>
      <c r="P583" s="99" t="n"/>
      <c r="Q583" s="99" t="n"/>
      <c r="R583" s="100" t="n"/>
      <c r="S583" s="98" t="n"/>
      <c r="T583" s="99" t="n"/>
      <c r="U583" s="99" t="n"/>
      <c r="V583" s="100" t="n"/>
      <c r="W583" s="98" t="n"/>
      <c r="X583" s="100" t="n"/>
      <c r="Y583" s="98" t="n"/>
      <c r="Z583" s="100" t="n"/>
      <c r="AB583" s="101">
        <f>IF($B583="","",(COUNTIF(C558:E575,$B583)+COUNTIF(C558:E575,$B583&amp;" ~*")&gt;0)+(COUNTIF(G558:I575,$B583)+COUNTIF(G558:I575,$B583&amp;" ~*")&gt;0)+(COUNTIF(K558:M575,$B583)+COUNTIF(K558:M575,$B583&amp;" ~*")&gt;0)+(COUNTIF(O558:Q575,$B583)+COUNTIF(O558:Q575,$B583&amp;" ~*")&gt;0)+(COUNTIF(S558:U575,$B583)+COUNTIF(S558:U575,$B583&amp;" ~*")&gt;0)+(COUNTIF(W558:W575,$B583)+COUNTIF(W558:W575,$B583&amp;" ~*")&gt;0)+(COUNTIF(Y558:Y575,$B583)+COUNTIF(Y558:Y575,$B583&amp;" ~*")&gt;0))</f>
        <v/>
      </c>
      <c r="AC583" s="36">
        <f>IF($B583="","",(IFERROR(INDEX(Setup!$G$33:$G$40,MATCH(C583,Setup!$B$33:$B$40,0)),0)=1)*(COUNTIF(C558:E575,$B583)+COUNTIF(C558:E575,$B583&amp;" ~*")&gt;0)+(IFERROR(INDEX(Setup!$G$33:$G$40,MATCH(G583,Setup!$B$33:$B$40,0)),0)=1)*(COUNTIF(G558:I575,$B583)+COUNTIF(G558:I575,$B583&amp;" ~*")&gt;0)+(IFERROR(INDEX(Setup!$G$33:$G$40,MATCH(K583,Setup!$B$33:$B$40,0)),0)=1)*(COUNTIF(K558:M575,$B583)+COUNTIF(K558:M575,$B583&amp;" ~*")&gt;0)+(IFERROR(INDEX(Setup!$G$33:$G$40,MATCH(O583,Setup!$B$33:$B$40,0)),0)=1)*(COUNTIF(O558:Q575,$B583)+COUNTIF(O558:Q575,$B583&amp;" ~*")&gt;0)+(IFERROR(INDEX(Setup!$G$33:$G$40,MATCH(S583,Setup!$B$33:$B$40,0)),0)=1)*(COUNTIF(S558:U575,$B583)+COUNTIF(S558:U575,$B583&amp;" ~*")&gt;0)+(IFERROR(INDEX(Setup!$G$33:$G$40,MATCH(W583,Setup!$B$33:$B$40,0)),0)=1)*(COUNTIF(W558:W575,$B583)+COUNTIF(W558:W575,$B583&amp;" ~*")&gt;0)+(IFERROR(INDEX(Setup!$G$33:$G$40,MATCH(Y583,Setup!$B$33:$B$40,0)),0)=1)*(COUNTIF(Y558:Y575,$B583)+COUNTIF(Y558:Y575,$B583&amp;" ~*")&gt;0))</f>
        <v/>
      </c>
    </row>
    <row r="584" ht="15" customHeight="1">
      <c r="A584" t="n">
        <v>12</v>
      </c>
      <c r="B584" s="37">
        <f>IF(Setup!$B$13="","",Setup!$B$13)</f>
        <v/>
      </c>
      <c r="C584" s="102" t="n"/>
      <c r="D584" s="103" t="n"/>
      <c r="E584" s="103" t="n"/>
      <c r="F584" s="104" t="n"/>
      <c r="G584" s="102" t="n"/>
      <c r="H584" s="103" t="n"/>
      <c r="I584" s="103" t="n"/>
      <c r="J584" s="104" t="n"/>
      <c r="K584" s="102" t="n"/>
      <c r="L584" s="103" t="n"/>
      <c r="M584" s="103" t="n"/>
      <c r="N584" s="104" t="n"/>
      <c r="O584" s="102" t="n"/>
      <c r="P584" s="103" t="n"/>
      <c r="Q584" s="103" t="n"/>
      <c r="R584" s="104" t="n"/>
      <c r="S584" s="102" t="n"/>
      <c r="T584" s="103" t="n"/>
      <c r="U584" s="103" t="n"/>
      <c r="V584" s="104" t="n"/>
      <c r="W584" s="102" t="n"/>
      <c r="X584" s="104" t="n"/>
      <c r="Y584" s="102" t="n"/>
      <c r="Z584" s="104" t="n"/>
      <c r="AB584" s="105">
        <f>IF($B584="","",(COUNTIF(C558:E575,$B584)+COUNTIF(C558:E575,$B584&amp;" ~*")&gt;0)+(COUNTIF(G558:I575,$B584)+COUNTIF(G558:I575,$B584&amp;" ~*")&gt;0)+(COUNTIF(K558:M575,$B584)+COUNTIF(K558:M575,$B584&amp;" ~*")&gt;0)+(COUNTIF(O558:Q575,$B584)+COUNTIF(O558:Q575,$B584&amp;" ~*")&gt;0)+(COUNTIF(S558:U575,$B584)+COUNTIF(S558:U575,$B584&amp;" ~*")&gt;0)+(COUNTIF(W558:W575,$B584)+COUNTIF(W558:W575,$B584&amp;" ~*")&gt;0)+(COUNTIF(Y558:Y575,$B584)+COUNTIF(Y558:Y575,$B584&amp;" ~*")&gt;0))</f>
        <v/>
      </c>
      <c r="AC584" s="38">
        <f>IF($B584="","",(IFERROR(INDEX(Setup!$G$33:$G$40,MATCH(C584,Setup!$B$33:$B$40,0)),0)=1)*(COUNTIF(C558:E575,$B584)+COUNTIF(C558:E575,$B584&amp;" ~*")&gt;0)+(IFERROR(INDEX(Setup!$G$33:$G$40,MATCH(G584,Setup!$B$33:$B$40,0)),0)=1)*(COUNTIF(G558:I575,$B584)+COUNTIF(G558:I575,$B584&amp;" ~*")&gt;0)+(IFERROR(INDEX(Setup!$G$33:$G$40,MATCH(K584,Setup!$B$33:$B$40,0)),0)=1)*(COUNTIF(K558:M575,$B584)+COUNTIF(K558:M575,$B584&amp;" ~*")&gt;0)+(IFERROR(INDEX(Setup!$G$33:$G$40,MATCH(O584,Setup!$B$33:$B$40,0)),0)=1)*(COUNTIF(O558:Q575,$B584)+COUNTIF(O558:Q575,$B584&amp;" ~*")&gt;0)+(IFERROR(INDEX(Setup!$G$33:$G$40,MATCH(S584,Setup!$B$33:$B$40,0)),0)=1)*(COUNTIF(S558:U575,$B584)+COUNTIF(S558:U575,$B584&amp;" ~*")&gt;0)+(IFERROR(INDEX(Setup!$G$33:$G$40,MATCH(W584,Setup!$B$33:$B$40,0)),0)=1)*(COUNTIF(W558:W575,$B584)+COUNTIF(W558:W575,$B584&amp;" ~*")&gt;0)+(IFERROR(INDEX(Setup!$G$33:$G$40,MATCH(Y584,Setup!$B$33:$B$40,0)),0)=1)*(COUNTIF(Y558:Y575,$B584)+COUNTIF(Y558:Y575,$B584&amp;" ~*")&gt;0))</f>
        <v/>
      </c>
    </row>
    <row r="585" ht="15" customHeight="1">
      <c r="A585" t="n">
        <v>12</v>
      </c>
      <c r="B585" s="35">
        <f>IF(Setup!$B$14="","",Setup!$B$14)</f>
        <v/>
      </c>
      <c r="C585" s="98" t="n"/>
      <c r="D585" s="99" t="n"/>
      <c r="E585" s="99" t="n"/>
      <c r="F585" s="100" t="n"/>
      <c r="G585" s="98" t="n"/>
      <c r="H585" s="99" t="n"/>
      <c r="I585" s="99" t="n"/>
      <c r="J585" s="100" t="n"/>
      <c r="K585" s="98" t="n"/>
      <c r="L585" s="99" t="n"/>
      <c r="M585" s="99" t="n"/>
      <c r="N585" s="100" t="n"/>
      <c r="O585" s="98" t="n"/>
      <c r="P585" s="99" t="n"/>
      <c r="Q585" s="99" t="n"/>
      <c r="R585" s="100" t="n"/>
      <c r="S585" s="98" t="n"/>
      <c r="T585" s="99" t="n"/>
      <c r="U585" s="99" t="n"/>
      <c r="V585" s="100" t="n"/>
      <c r="W585" s="98" t="n"/>
      <c r="X585" s="100" t="n"/>
      <c r="Y585" s="98" t="n"/>
      <c r="Z585" s="100" t="n"/>
      <c r="AB585" s="101">
        <f>IF($B585="","",(COUNTIF(C558:E575,$B585)+COUNTIF(C558:E575,$B585&amp;" ~*")&gt;0)+(COUNTIF(G558:I575,$B585)+COUNTIF(G558:I575,$B585&amp;" ~*")&gt;0)+(COUNTIF(K558:M575,$B585)+COUNTIF(K558:M575,$B585&amp;" ~*")&gt;0)+(COUNTIF(O558:Q575,$B585)+COUNTIF(O558:Q575,$B585&amp;" ~*")&gt;0)+(COUNTIF(S558:U575,$B585)+COUNTIF(S558:U575,$B585&amp;" ~*")&gt;0)+(COUNTIF(W558:W575,$B585)+COUNTIF(W558:W575,$B585&amp;" ~*")&gt;0)+(COUNTIF(Y558:Y575,$B585)+COUNTIF(Y558:Y575,$B585&amp;" ~*")&gt;0))</f>
        <v/>
      </c>
      <c r="AC585" s="36">
        <f>IF($B585="","",(IFERROR(INDEX(Setup!$G$33:$G$40,MATCH(C585,Setup!$B$33:$B$40,0)),0)=1)*(COUNTIF(C558:E575,$B585)+COUNTIF(C558:E575,$B585&amp;" ~*")&gt;0)+(IFERROR(INDEX(Setup!$G$33:$G$40,MATCH(G585,Setup!$B$33:$B$40,0)),0)=1)*(COUNTIF(G558:I575,$B585)+COUNTIF(G558:I575,$B585&amp;" ~*")&gt;0)+(IFERROR(INDEX(Setup!$G$33:$G$40,MATCH(K585,Setup!$B$33:$B$40,0)),0)=1)*(COUNTIF(K558:M575,$B585)+COUNTIF(K558:M575,$B585&amp;" ~*")&gt;0)+(IFERROR(INDEX(Setup!$G$33:$G$40,MATCH(O585,Setup!$B$33:$B$40,0)),0)=1)*(COUNTIF(O558:Q575,$B585)+COUNTIF(O558:Q575,$B585&amp;" ~*")&gt;0)+(IFERROR(INDEX(Setup!$G$33:$G$40,MATCH(S585,Setup!$B$33:$B$40,0)),0)=1)*(COUNTIF(S558:U575,$B585)+COUNTIF(S558:U575,$B585&amp;" ~*")&gt;0)+(IFERROR(INDEX(Setup!$G$33:$G$40,MATCH(W585,Setup!$B$33:$B$40,0)),0)=1)*(COUNTIF(W558:W575,$B585)+COUNTIF(W558:W575,$B585&amp;" ~*")&gt;0)+(IFERROR(INDEX(Setup!$G$33:$G$40,MATCH(Y585,Setup!$B$33:$B$40,0)),0)=1)*(COUNTIF(Y558:Y575,$B585)+COUNTIF(Y558:Y575,$B585&amp;" ~*")&gt;0))</f>
        <v/>
      </c>
    </row>
    <row r="586" ht="15" customHeight="1">
      <c r="A586" t="n">
        <v>12</v>
      </c>
      <c r="B586" s="37">
        <f>IF(Setup!$B$15="","",Setup!$B$15)</f>
        <v/>
      </c>
      <c r="C586" s="102" t="n"/>
      <c r="D586" s="103" t="n"/>
      <c r="E586" s="103" t="n"/>
      <c r="F586" s="104" t="n"/>
      <c r="G586" s="102" t="n"/>
      <c r="H586" s="103" t="n"/>
      <c r="I586" s="103" t="n"/>
      <c r="J586" s="104" t="n"/>
      <c r="K586" s="102" t="n"/>
      <c r="L586" s="103" t="n"/>
      <c r="M586" s="103" t="n"/>
      <c r="N586" s="104" t="n"/>
      <c r="O586" s="102" t="n"/>
      <c r="P586" s="103" t="n"/>
      <c r="Q586" s="103" t="n"/>
      <c r="R586" s="104" t="n"/>
      <c r="S586" s="102" t="n"/>
      <c r="T586" s="103" t="n"/>
      <c r="U586" s="103" t="n"/>
      <c r="V586" s="104" t="n"/>
      <c r="W586" s="102" t="n"/>
      <c r="X586" s="104" t="n"/>
      <c r="Y586" s="102" t="n"/>
      <c r="Z586" s="104" t="n"/>
      <c r="AB586" s="105">
        <f>IF($B586="","",(COUNTIF(C558:E575,$B586)+COUNTIF(C558:E575,$B586&amp;" ~*")&gt;0)+(COUNTIF(G558:I575,$B586)+COUNTIF(G558:I575,$B586&amp;" ~*")&gt;0)+(COUNTIF(K558:M575,$B586)+COUNTIF(K558:M575,$B586&amp;" ~*")&gt;0)+(COUNTIF(O558:Q575,$B586)+COUNTIF(O558:Q575,$B586&amp;" ~*")&gt;0)+(COUNTIF(S558:U575,$B586)+COUNTIF(S558:U575,$B586&amp;" ~*")&gt;0)+(COUNTIF(W558:W575,$B586)+COUNTIF(W558:W575,$B586&amp;" ~*")&gt;0)+(COUNTIF(Y558:Y575,$B586)+COUNTIF(Y558:Y575,$B586&amp;" ~*")&gt;0))</f>
        <v/>
      </c>
      <c r="AC586" s="38">
        <f>IF($B586="","",(IFERROR(INDEX(Setup!$G$33:$G$40,MATCH(C586,Setup!$B$33:$B$40,0)),0)=1)*(COUNTIF(C558:E575,$B586)+COUNTIF(C558:E575,$B586&amp;" ~*")&gt;0)+(IFERROR(INDEX(Setup!$G$33:$G$40,MATCH(G586,Setup!$B$33:$B$40,0)),0)=1)*(COUNTIF(G558:I575,$B586)+COUNTIF(G558:I575,$B586&amp;" ~*")&gt;0)+(IFERROR(INDEX(Setup!$G$33:$G$40,MATCH(K586,Setup!$B$33:$B$40,0)),0)=1)*(COUNTIF(K558:M575,$B586)+COUNTIF(K558:M575,$B586&amp;" ~*")&gt;0)+(IFERROR(INDEX(Setup!$G$33:$G$40,MATCH(O586,Setup!$B$33:$B$40,0)),0)=1)*(COUNTIF(O558:Q575,$B586)+COUNTIF(O558:Q575,$B586&amp;" ~*")&gt;0)+(IFERROR(INDEX(Setup!$G$33:$G$40,MATCH(S586,Setup!$B$33:$B$40,0)),0)=1)*(COUNTIF(S558:U575,$B586)+COUNTIF(S558:U575,$B586&amp;" ~*")&gt;0)+(IFERROR(INDEX(Setup!$G$33:$G$40,MATCH(W586,Setup!$B$33:$B$40,0)),0)=1)*(COUNTIF(W558:W575,$B586)+COUNTIF(W558:W575,$B586&amp;" ~*")&gt;0)+(IFERROR(INDEX(Setup!$G$33:$G$40,MATCH(Y586,Setup!$B$33:$B$40,0)),0)=1)*(COUNTIF(Y558:Y575,$B586)+COUNTIF(Y558:Y575,$B586&amp;" ~*")&gt;0))</f>
        <v/>
      </c>
    </row>
    <row r="587" ht="15" customHeight="1">
      <c r="A587" t="n">
        <v>12</v>
      </c>
      <c r="B587" s="35">
        <f>IF(Setup!$B$16="","",Setup!$B$16)</f>
        <v/>
      </c>
      <c r="C587" s="98" t="n"/>
      <c r="D587" s="99" t="n"/>
      <c r="E587" s="99" t="n"/>
      <c r="F587" s="100" t="n"/>
      <c r="G587" s="98" t="n"/>
      <c r="H587" s="99" t="n"/>
      <c r="I587" s="99" t="n"/>
      <c r="J587" s="100" t="n"/>
      <c r="K587" s="98" t="n"/>
      <c r="L587" s="99" t="n"/>
      <c r="M587" s="99" t="n"/>
      <c r="N587" s="100" t="n"/>
      <c r="O587" s="98" t="n"/>
      <c r="P587" s="99" t="n"/>
      <c r="Q587" s="99" t="n"/>
      <c r="R587" s="100" t="n"/>
      <c r="S587" s="98" t="n"/>
      <c r="T587" s="99" t="n"/>
      <c r="U587" s="99" t="n"/>
      <c r="V587" s="100" t="n"/>
      <c r="W587" s="98" t="n"/>
      <c r="X587" s="100" t="n"/>
      <c r="Y587" s="98" t="n"/>
      <c r="Z587" s="100" t="n"/>
      <c r="AB587" s="101">
        <f>IF($B587="","",(COUNTIF(C558:E575,$B587)+COUNTIF(C558:E575,$B587&amp;" ~*")&gt;0)+(COUNTIF(G558:I575,$B587)+COUNTIF(G558:I575,$B587&amp;" ~*")&gt;0)+(COUNTIF(K558:M575,$B587)+COUNTIF(K558:M575,$B587&amp;" ~*")&gt;0)+(COUNTIF(O558:Q575,$B587)+COUNTIF(O558:Q575,$B587&amp;" ~*")&gt;0)+(COUNTIF(S558:U575,$B587)+COUNTIF(S558:U575,$B587&amp;" ~*")&gt;0)+(COUNTIF(W558:W575,$B587)+COUNTIF(W558:W575,$B587&amp;" ~*")&gt;0)+(COUNTIF(Y558:Y575,$B587)+COUNTIF(Y558:Y575,$B587&amp;" ~*")&gt;0))</f>
        <v/>
      </c>
      <c r="AC587" s="36">
        <f>IF($B587="","",(IFERROR(INDEX(Setup!$G$33:$G$40,MATCH(C587,Setup!$B$33:$B$40,0)),0)=1)*(COUNTIF(C558:E575,$B587)+COUNTIF(C558:E575,$B587&amp;" ~*")&gt;0)+(IFERROR(INDEX(Setup!$G$33:$G$40,MATCH(G587,Setup!$B$33:$B$40,0)),0)=1)*(COUNTIF(G558:I575,$B587)+COUNTIF(G558:I575,$B587&amp;" ~*")&gt;0)+(IFERROR(INDEX(Setup!$G$33:$G$40,MATCH(K587,Setup!$B$33:$B$40,0)),0)=1)*(COUNTIF(K558:M575,$B587)+COUNTIF(K558:M575,$B587&amp;" ~*")&gt;0)+(IFERROR(INDEX(Setup!$G$33:$G$40,MATCH(O587,Setup!$B$33:$B$40,0)),0)=1)*(COUNTIF(O558:Q575,$B587)+COUNTIF(O558:Q575,$B587&amp;" ~*")&gt;0)+(IFERROR(INDEX(Setup!$G$33:$G$40,MATCH(S587,Setup!$B$33:$B$40,0)),0)=1)*(COUNTIF(S558:U575,$B587)+COUNTIF(S558:U575,$B587&amp;" ~*")&gt;0)+(IFERROR(INDEX(Setup!$G$33:$G$40,MATCH(W587,Setup!$B$33:$B$40,0)),0)=1)*(COUNTIF(W558:W575,$B587)+COUNTIF(W558:W575,$B587&amp;" ~*")&gt;0)+(IFERROR(INDEX(Setup!$G$33:$G$40,MATCH(Y587,Setup!$B$33:$B$40,0)),0)=1)*(COUNTIF(Y558:Y575,$B587)+COUNTIF(Y558:Y575,$B587&amp;" ~*")&gt;0))</f>
        <v/>
      </c>
    </row>
    <row r="588" ht="15" customHeight="1">
      <c r="A588" t="n">
        <v>12</v>
      </c>
      <c r="B588" s="37">
        <f>IF(Setup!$B$17="","",Setup!$B$17)</f>
        <v/>
      </c>
      <c r="C588" s="102" t="n"/>
      <c r="D588" s="103" t="n"/>
      <c r="E588" s="103" t="n"/>
      <c r="F588" s="104" t="n"/>
      <c r="G588" s="102" t="n"/>
      <c r="H588" s="103" t="n"/>
      <c r="I588" s="103" t="n"/>
      <c r="J588" s="104" t="n"/>
      <c r="K588" s="102" t="n"/>
      <c r="L588" s="103" t="n"/>
      <c r="M588" s="103" t="n"/>
      <c r="N588" s="104" t="n"/>
      <c r="O588" s="102" t="n"/>
      <c r="P588" s="103" t="n"/>
      <c r="Q588" s="103" t="n"/>
      <c r="R588" s="104" t="n"/>
      <c r="S588" s="102" t="n"/>
      <c r="T588" s="103" t="n"/>
      <c r="U588" s="103" t="n"/>
      <c r="V588" s="104" t="n"/>
      <c r="W588" s="102" t="n"/>
      <c r="X588" s="104" t="n"/>
      <c r="Y588" s="102" t="n"/>
      <c r="Z588" s="104" t="n"/>
      <c r="AB588" s="105">
        <f>IF($B588="","",(COUNTIF(C558:E575,$B588)+COUNTIF(C558:E575,$B588&amp;" ~*")&gt;0)+(COUNTIF(G558:I575,$B588)+COUNTIF(G558:I575,$B588&amp;" ~*")&gt;0)+(COUNTIF(K558:M575,$B588)+COUNTIF(K558:M575,$B588&amp;" ~*")&gt;0)+(COUNTIF(O558:Q575,$B588)+COUNTIF(O558:Q575,$B588&amp;" ~*")&gt;0)+(COUNTIF(S558:U575,$B588)+COUNTIF(S558:U575,$B588&amp;" ~*")&gt;0)+(COUNTIF(W558:W575,$B588)+COUNTIF(W558:W575,$B588&amp;" ~*")&gt;0)+(COUNTIF(Y558:Y575,$B588)+COUNTIF(Y558:Y575,$B588&amp;" ~*")&gt;0))</f>
        <v/>
      </c>
      <c r="AC588" s="38">
        <f>IF($B588="","",(IFERROR(INDEX(Setup!$G$33:$G$40,MATCH(C588,Setup!$B$33:$B$40,0)),0)=1)*(COUNTIF(C558:E575,$B588)+COUNTIF(C558:E575,$B588&amp;" ~*")&gt;0)+(IFERROR(INDEX(Setup!$G$33:$G$40,MATCH(G588,Setup!$B$33:$B$40,0)),0)=1)*(COUNTIF(G558:I575,$B588)+COUNTIF(G558:I575,$B588&amp;" ~*")&gt;0)+(IFERROR(INDEX(Setup!$G$33:$G$40,MATCH(K588,Setup!$B$33:$B$40,0)),0)=1)*(COUNTIF(K558:M575,$B588)+COUNTIF(K558:M575,$B588&amp;" ~*")&gt;0)+(IFERROR(INDEX(Setup!$G$33:$G$40,MATCH(O588,Setup!$B$33:$B$40,0)),0)=1)*(COUNTIF(O558:Q575,$B588)+COUNTIF(O558:Q575,$B588&amp;" ~*")&gt;0)+(IFERROR(INDEX(Setup!$G$33:$G$40,MATCH(S588,Setup!$B$33:$B$40,0)),0)=1)*(COUNTIF(S558:U575,$B588)+COUNTIF(S558:U575,$B588&amp;" ~*")&gt;0)+(IFERROR(INDEX(Setup!$G$33:$G$40,MATCH(W588,Setup!$B$33:$B$40,0)),0)=1)*(COUNTIF(W558:W575,$B588)+COUNTIF(W558:W575,$B588&amp;" ~*")&gt;0)+(IFERROR(INDEX(Setup!$G$33:$G$40,MATCH(Y588,Setup!$B$33:$B$40,0)),0)=1)*(COUNTIF(Y558:Y575,$B588)+COUNTIF(Y558:Y575,$B588&amp;" ~*")&gt;0))</f>
        <v/>
      </c>
    </row>
    <row r="589" ht="15" customHeight="1">
      <c r="A589" t="n">
        <v>12</v>
      </c>
      <c r="B589" s="35">
        <f>IF(Setup!$B$18="","",Setup!$B$18)</f>
        <v/>
      </c>
      <c r="C589" s="98" t="n"/>
      <c r="D589" s="99" t="n"/>
      <c r="E589" s="99" t="n"/>
      <c r="F589" s="100" t="n"/>
      <c r="G589" s="98" t="n"/>
      <c r="H589" s="99" t="n"/>
      <c r="I589" s="99" t="n"/>
      <c r="J589" s="100" t="n"/>
      <c r="K589" s="98" t="n"/>
      <c r="L589" s="99" t="n"/>
      <c r="M589" s="99" t="n"/>
      <c r="N589" s="100" t="n"/>
      <c r="O589" s="98" t="n"/>
      <c r="P589" s="99" t="n"/>
      <c r="Q589" s="99" t="n"/>
      <c r="R589" s="100" t="n"/>
      <c r="S589" s="98" t="n"/>
      <c r="T589" s="99" t="n"/>
      <c r="U589" s="99" t="n"/>
      <c r="V589" s="100" t="n"/>
      <c r="W589" s="98" t="n"/>
      <c r="X589" s="100" t="n"/>
      <c r="Y589" s="98" t="n"/>
      <c r="Z589" s="100" t="n"/>
      <c r="AB589" s="101">
        <f>IF($B589="","",(COUNTIF(C558:E575,$B589)+COUNTIF(C558:E575,$B589&amp;" ~*")&gt;0)+(COUNTIF(G558:I575,$B589)+COUNTIF(G558:I575,$B589&amp;" ~*")&gt;0)+(COUNTIF(K558:M575,$B589)+COUNTIF(K558:M575,$B589&amp;" ~*")&gt;0)+(COUNTIF(O558:Q575,$B589)+COUNTIF(O558:Q575,$B589&amp;" ~*")&gt;0)+(COUNTIF(S558:U575,$B589)+COUNTIF(S558:U575,$B589&amp;" ~*")&gt;0)+(COUNTIF(W558:W575,$B589)+COUNTIF(W558:W575,$B589&amp;" ~*")&gt;0)+(COUNTIF(Y558:Y575,$B589)+COUNTIF(Y558:Y575,$B589&amp;" ~*")&gt;0))</f>
        <v/>
      </c>
      <c r="AC589" s="36">
        <f>IF($B589="","",(IFERROR(INDEX(Setup!$G$33:$G$40,MATCH(C589,Setup!$B$33:$B$40,0)),0)=1)*(COUNTIF(C558:E575,$B589)+COUNTIF(C558:E575,$B589&amp;" ~*")&gt;0)+(IFERROR(INDEX(Setup!$G$33:$G$40,MATCH(G589,Setup!$B$33:$B$40,0)),0)=1)*(COUNTIF(G558:I575,$B589)+COUNTIF(G558:I575,$B589&amp;" ~*")&gt;0)+(IFERROR(INDEX(Setup!$G$33:$G$40,MATCH(K589,Setup!$B$33:$B$40,0)),0)=1)*(COUNTIF(K558:M575,$B589)+COUNTIF(K558:M575,$B589&amp;" ~*")&gt;0)+(IFERROR(INDEX(Setup!$G$33:$G$40,MATCH(O589,Setup!$B$33:$B$40,0)),0)=1)*(COUNTIF(O558:Q575,$B589)+COUNTIF(O558:Q575,$B589&amp;" ~*")&gt;0)+(IFERROR(INDEX(Setup!$G$33:$G$40,MATCH(S589,Setup!$B$33:$B$40,0)),0)=1)*(COUNTIF(S558:U575,$B589)+COUNTIF(S558:U575,$B589&amp;" ~*")&gt;0)+(IFERROR(INDEX(Setup!$G$33:$G$40,MATCH(W589,Setup!$B$33:$B$40,0)),0)=1)*(COUNTIF(W558:W575,$B589)+COUNTIF(W558:W575,$B589&amp;" ~*")&gt;0)+(IFERROR(INDEX(Setup!$G$33:$G$40,MATCH(Y589,Setup!$B$33:$B$40,0)),0)=1)*(COUNTIF(Y558:Y575,$B589)+COUNTIF(Y558:Y575,$B589&amp;" ~*")&gt;0))</f>
        <v/>
      </c>
    </row>
    <row r="590" ht="15" customHeight="1">
      <c r="A590" t="n">
        <v>12</v>
      </c>
      <c r="B590" s="37">
        <f>IF(Setup!$B$19="","",Setup!$B$19)</f>
        <v/>
      </c>
      <c r="C590" s="102" t="n"/>
      <c r="D590" s="103" t="n"/>
      <c r="E590" s="103" t="n"/>
      <c r="F590" s="104" t="n"/>
      <c r="G590" s="102" t="n"/>
      <c r="H590" s="103" t="n"/>
      <c r="I590" s="103" t="n"/>
      <c r="J590" s="104" t="n"/>
      <c r="K590" s="102" t="n"/>
      <c r="L590" s="103" t="n"/>
      <c r="M590" s="103" t="n"/>
      <c r="N590" s="104" t="n"/>
      <c r="O590" s="102" t="n"/>
      <c r="P590" s="103" t="n"/>
      <c r="Q590" s="103" t="n"/>
      <c r="R590" s="104" t="n"/>
      <c r="S590" s="102" t="n"/>
      <c r="T590" s="103" t="n"/>
      <c r="U590" s="103" t="n"/>
      <c r="V590" s="104" t="n"/>
      <c r="W590" s="102" t="n"/>
      <c r="X590" s="104" t="n"/>
      <c r="Y590" s="102" t="n"/>
      <c r="Z590" s="104" t="n"/>
      <c r="AB590" s="105">
        <f>IF($B590="","",(COUNTIF(C558:E575,$B590)+COUNTIF(C558:E575,$B590&amp;" ~*")&gt;0)+(COUNTIF(G558:I575,$B590)+COUNTIF(G558:I575,$B590&amp;" ~*")&gt;0)+(COUNTIF(K558:M575,$B590)+COUNTIF(K558:M575,$B590&amp;" ~*")&gt;0)+(COUNTIF(O558:Q575,$B590)+COUNTIF(O558:Q575,$B590&amp;" ~*")&gt;0)+(COUNTIF(S558:U575,$B590)+COUNTIF(S558:U575,$B590&amp;" ~*")&gt;0)+(COUNTIF(W558:W575,$B590)+COUNTIF(W558:W575,$B590&amp;" ~*")&gt;0)+(COUNTIF(Y558:Y575,$B590)+COUNTIF(Y558:Y575,$B590&amp;" ~*")&gt;0))</f>
        <v/>
      </c>
      <c r="AC590" s="38">
        <f>IF($B590="","",(IFERROR(INDEX(Setup!$G$33:$G$40,MATCH(C590,Setup!$B$33:$B$40,0)),0)=1)*(COUNTIF(C558:E575,$B590)+COUNTIF(C558:E575,$B590&amp;" ~*")&gt;0)+(IFERROR(INDEX(Setup!$G$33:$G$40,MATCH(G590,Setup!$B$33:$B$40,0)),0)=1)*(COUNTIF(G558:I575,$B590)+COUNTIF(G558:I575,$B590&amp;" ~*")&gt;0)+(IFERROR(INDEX(Setup!$G$33:$G$40,MATCH(K590,Setup!$B$33:$B$40,0)),0)=1)*(COUNTIF(K558:M575,$B590)+COUNTIF(K558:M575,$B590&amp;" ~*")&gt;0)+(IFERROR(INDEX(Setup!$G$33:$G$40,MATCH(O590,Setup!$B$33:$B$40,0)),0)=1)*(COUNTIF(O558:Q575,$B590)+COUNTIF(O558:Q575,$B590&amp;" ~*")&gt;0)+(IFERROR(INDEX(Setup!$G$33:$G$40,MATCH(S590,Setup!$B$33:$B$40,0)),0)=1)*(COUNTIF(S558:U575,$B590)+COUNTIF(S558:U575,$B590&amp;" ~*")&gt;0)+(IFERROR(INDEX(Setup!$G$33:$G$40,MATCH(W590,Setup!$B$33:$B$40,0)),0)=1)*(COUNTIF(W558:W575,$B590)+COUNTIF(W558:W575,$B590&amp;" ~*")&gt;0)+(IFERROR(INDEX(Setup!$G$33:$G$40,MATCH(Y590,Setup!$B$33:$B$40,0)),0)=1)*(COUNTIF(Y558:Y575,$B590)+COUNTIF(Y558:Y575,$B590&amp;" ~*")&gt;0))</f>
        <v/>
      </c>
    </row>
    <row r="591" ht="15" customHeight="1">
      <c r="A591" t="n">
        <v>12</v>
      </c>
      <c r="B591" s="35">
        <f>IF(Setup!$B$20="","",Setup!$B$20)</f>
        <v/>
      </c>
      <c r="C591" s="98" t="n"/>
      <c r="D591" s="99" t="n"/>
      <c r="E591" s="99" t="n"/>
      <c r="F591" s="100" t="n"/>
      <c r="G591" s="98" t="n"/>
      <c r="H591" s="99" t="n"/>
      <c r="I591" s="99" t="n"/>
      <c r="J591" s="100" t="n"/>
      <c r="K591" s="98" t="n"/>
      <c r="L591" s="99" t="n"/>
      <c r="M591" s="99" t="n"/>
      <c r="N591" s="100" t="n"/>
      <c r="O591" s="98" t="n"/>
      <c r="P591" s="99" t="n"/>
      <c r="Q591" s="99" t="n"/>
      <c r="R591" s="100" t="n"/>
      <c r="S591" s="98" t="n"/>
      <c r="T591" s="99" t="n"/>
      <c r="U591" s="99" t="n"/>
      <c r="V591" s="100" t="n"/>
      <c r="W591" s="98" t="n"/>
      <c r="X591" s="100" t="n"/>
      <c r="Y591" s="98" t="n"/>
      <c r="Z591" s="100" t="n"/>
      <c r="AB591" s="101">
        <f>IF($B591="","",(COUNTIF(C558:E575,$B591)+COUNTIF(C558:E575,$B591&amp;" ~*")&gt;0)+(COUNTIF(G558:I575,$B591)+COUNTIF(G558:I575,$B591&amp;" ~*")&gt;0)+(COUNTIF(K558:M575,$B591)+COUNTIF(K558:M575,$B591&amp;" ~*")&gt;0)+(COUNTIF(O558:Q575,$B591)+COUNTIF(O558:Q575,$B591&amp;" ~*")&gt;0)+(COUNTIF(S558:U575,$B591)+COUNTIF(S558:U575,$B591&amp;" ~*")&gt;0)+(COUNTIF(W558:W575,$B591)+COUNTIF(W558:W575,$B591&amp;" ~*")&gt;0)+(COUNTIF(Y558:Y575,$B591)+COUNTIF(Y558:Y575,$B591&amp;" ~*")&gt;0))</f>
        <v/>
      </c>
      <c r="AC591" s="36">
        <f>IF($B591="","",(IFERROR(INDEX(Setup!$G$33:$G$40,MATCH(C591,Setup!$B$33:$B$40,0)),0)=1)*(COUNTIF(C558:E575,$B591)+COUNTIF(C558:E575,$B591&amp;" ~*")&gt;0)+(IFERROR(INDEX(Setup!$G$33:$G$40,MATCH(G591,Setup!$B$33:$B$40,0)),0)=1)*(COUNTIF(G558:I575,$B591)+COUNTIF(G558:I575,$B591&amp;" ~*")&gt;0)+(IFERROR(INDEX(Setup!$G$33:$G$40,MATCH(K591,Setup!$B$33:$B$40,0)),0)=1)*(COUNTIF(K558:M575,$B591)+COUNTIF(K558:M575,$B591&amp;" ~*")&gt;0)+(IFERROR(INDEX(Setup!$G$33:$G$40,MATCH(O591,Setup!$B$33:$B$40,0)),0)=1)*(COUNTIF(O558:Q575,$B591)+COUNTIF(O558:Q575,$B591&amp;" ~*")&gt;0)+(IFERROR(INDEX(Setup!$G$33:$G$40,MATCH(S591,Setup!$B$33:$B$40,0)),0)=1)*(COUNTIF(S558:U575,$B591)+COUNTIF(S558:U575,$B591&amp;" ~*")&gt;0)+(IFERROR(INDEX(Setup!$G$33:$G$40,MATCH(W591,Setup!$B$33:$B$40,0)),0)=1)*(COUNTIF(W558:W575,$B591)+COUNTIF(W558:W575,$B591&amp;" ~*")&gt;0)+(IFERROR(INDEX(Setup!$G$33:$G$40,MATCH(Y591,Setup!$B$33:$B$40,0)),0)=1)*(COUNTIF(Y558:Y575,$B591)+COUNTIF(Y558:Y575,$B591&amp;" ~*")&gt;0))</f>
        <v/>
      </c>
    </row>
    <row r="592" ht="15" customHeight="1">
      <c r="A592" t="n">
        <v>12</v>
      </c>
      <c r="B592" s="37">
        <f>IF(Setup!$B$21="","",Setup!$B$21)</f>
        <v/>
      </c>
      <c r="C592" s="102" t="n"/>
      <c r="D592" s="103" t="n"/>
      <c r="E592" s="103" t="n"/>
      <c r="F592" s="104" t="n"/>
      <c r="G592" s="102" t="n"/>
      <c r="H592" s="103" t="n"/>
      <c r="I592" s="103" t="n"/>
      <c r="J592" s="104" t="n"/>
      <c r="K592" s="102" t="n"/>
      <c r="L592" s="103" t="n"/>
      <c r="M592" s="103" t="n"/>
      <c r="N592" s="104" t="n"/>
      <c r="O592" s="102" t="n"/>
      <c r="P592" s="103" t="n"/>
      <c r="Q592" s="103" t="n"/>
      <c r="R592" s="104" t="n"/>
      <c r="S592" s="102" t="n"/>
      <c r="T592" s="103" t="n"/>
      <c r="U592" s="103" t="n"/>
      <c r="V592" s="104" t="n"/>
      <c r="W592" s="102" t="n"/>
      <c r="X592" s="104" t="n"/>
      <c r="Y592" s="102" t="n"/>
      <c r="Z592" s="104" t="n"/>
      <c r="AB592" s="105">
        <f>IF($B592="","",(COUNTIF(C558:E575,$B592)+COUNTIF(C558:E575,$B592&amp;" ~*")&gt;0)+(COUNTIF(G558:I575,$B592)+COUNTIF(G558:I575,$B592&amp;" ~*")&gt;0)+(COUNTIF(K558:M575,$B592)+COUNTIF(K558:M575,$B592&amp;" ~*")&gt;0)+(COUNTIF(O558:Q575,$B592)+COUNTIF(O558:Q575,$B592&amp;" ~*")&gt;0)+(COUNTIF(S558:U575,$B592)+COUNTIF(S558:U575,$B592&amp;" ~*")&gt;0)+(COUNTIF(W558:W575,$B592)+COUNTIF(W558:W575,$B592&amp;" ~*")&gt;0)+(COUNTIF(Y558:Y575,$B592)+COUNTIF(Y558:Y575,$B592&amp;" ~*")&gt;0))</f>
        <v/>
      </c>
      <c r="AC592" s="38">
        <f>IF($B592="","",(IFERROR(INDEX(Setup!$G$33:$G$40,MATCH(C592,Setup!$B$33:$B$40,0)),0)=1)*(COUNTIF(C558:E575,$B592)+COUNTIF(C558:E575,$B592&amp;" ~*")&gt;0)+(IFERROR(INDEX(Setup!$G$33:$G$40,MATCH(G592,Setup!$B$33:$B$40,0)),0)=1)*(COUNTIF(G558:I575,$B592)+COUNTIF(G558:I575,$B592&amp;" ~*")&gt;0)+(IFERROR(INDEX(Setup!$G$33:$G$40,MATCH(K592,Setup!$B$33:$B$40,0)),0)=1)*(COUNTIF(K558:M575,$B592)+COUNTIF(K558:M575,$B592&amp;" ~*")&gt;0)+(IFERROR(INDEX(Setup!$G$33:$G$40,MATCH(O592,Setup!$B$33:$B$40,0)),0)=1)*(COUNTIF(O558:Q575,$B592)+COUNTIF(O558:Q575,$B592&amp;" ~*")&gt;0)+(IFERROR(INDEX(Setup!$G$33:$G$40,MATCH(S592,Setup!$B$33:$B$40,0)),0)=1)*(COUNTIF(S558:U575,$B592)+COUNTIF(S558:U575,$B592&amp;" ~*")&gt;0)+(IFERROR(INDEX(Setup!$G$33:$G$40,MATCH(W592,Setup!$B$33:$B$40,0)),0)=1)*(COUNTIF(W558:W575,$B592)+COUNTIF(W558:W575,$B592&amp;" ~*")&gt;0)+(IFERROR(INDEX(Setup!$G$33:$G$40,MATCH(Y592,Setup!$B$33:$B$40,0)),0)=1)*(COUNTIF(Y558:Y575,$B592)+COUNTIF(Y558:Y575,$B592&amp;" ~*")&gt;0))</f>
        <v/>
      </c>
    </row>
    <row r="593" ht="15" customHeight="1">
      <c r="A593" t="n">
        <v>12</v>
      </c>
      <c r="B593" s="35">
        <f>IF(Setup!$B$22="","",Setup!$B$22)</f>
        <v/>
      </c>
      <c r="C593" s="98" t="n"/>
      <c r="D593" s="99" t="n"/>
      <c r="E593" s="99" t="n"/>
      <c r="F593" s="100" t="n"/>
      <c r="G593" s="98" t="n"/>
      <c r="H593" s="99" t="n"/>
      <c r="I593" s="99" t="n"/>
      <c r="J593" s="100" t="n"/>
      <c r="K593" s="98" t="n"/>
      <c r="L593" s="99" t="n"/>
      <c r="M593" s="99" t="n"/>
      <c r="N593" s="100" t="n"/>
      <c r="O593" s="98" t="n"/>
      <c r="P593" s="99" t="n"/>
      <c r="Q593" s="99" t="n"/>
      <c r="R593" s="100" t="n"/>
      <c r="S593" s="98" t="n"/>
      <c r="T593" s="99" t="n"/>
      <c r="U593" s="99" t="n"/>
      <c r="V593" s="100" t="n"/>
      <c r="W593" s="98" t="n"/>
      <c r="X593" s="100" t="n"/>
      <c r="Y593" s="98" t="n"/>
      <c r="Z593" s="100" t="n"/>
      <c r="AB593" s="101">
        <f>IF($B593="","",(COUNTIF(C558:E575,$B593)+COUNTIF(C558:E575,$B593&amp;" ~*")&gt;0)+(COUNTIF(G558:I575,$B593)+COUNTIF(G558:I575,$B593&amp;" ~*")&gt;0)+(COUNTIF(K558:M575,$B593)+COUNTIF(K558:M575,$B593&amp;" ~*")&gt;0)+(COUNTIF(O558:Q575,$B593)+COUNTIF(O558:Q575,$B593&amp;" ~*")&gt;0)+(COUNTIF(S558:U575,$B593)+COUNTIF(S558:U575,$B593&amp;" ~*")&gt;0)+(COUNTIF(W558:W575,$B593)+COUNTIF(W558:W575,$B593&amp;" ~*")&gt;0)+(COUNTIF(Y558:Y575,$B593)+COUNTIF(Y558:Y575,$B593&amp;" ~*")&gt;0))</f>
        <v/>
      </c>
      <c r="AC593" s="36">
        <f>IF($B593="","",(IFERROR(INDEX(Setup!$G$33:$G$40,MATCH(C593,Setup!$B$33:$B$40,0)),0)=1)*(COUNTIF(C558:E575,$B593)+COUNTIF(C558:E575,$B593&amp;" ~*")&gt;0)+(IFERROR(INDEX(Setup!$G$33:$G$40,MATCH(G593,Setup!$B$33:$B$40,0)),0)=1)*(COUNTIF(G558:I575,$B593)+COUNTIF(G558:I575,$B593&amp;" ~*")&gt;0)+(IFERROR(INDEX(Setup!$G$33:$G$40,MATCH(K593,Setup!$B$33:$B$40,0)),0)=1)*(COUNTIF(K558:M575,$B593)+COUNTIF(K558:M575,$B593&amp;" ~*")&gt;0)+(IFERROR(INDEX(Setup!$G$33:$G$40,MATCH(O593,Setup!$B$33:$B$40,0)),0)=1)*(COUNTIF(O558:Q575,$B593)+COUNTIF(O558:Q575,$B593&amp;" ~*")&gt;0)+(IFERROR(INDEX(Setup!$G$33:$G$40,MATCH(S593,Setup!$B$33:$B$40,0)),0)=1)*(COUNTIF(S558:U575,$B593)+COUNTIF(S558:U575,$B593&amp;" ~*")&gt;0)+(IFERROR(INDEX(Setup!$G$33:$G$40,MATCH(W593,Setup!$B$33:$B$40,0)),0)=1)*(COUNTIF(W558:W575,$B593)+COUNTIF(W558:W575,$B593&amp;" ~*")&gt;0)+(IFERROR(INDEX(Setup!$G$33:$G$40,MATCH(Y593,Setup!$B$33:$B$40,0)),0)=1)*(COUNTIF(Y558:Y575,$B593)+COUNTIF(Y558:Y575,$B593&amp;" ~*")&gt;0))</f>
        <v/>
      </c>
    </row>
    <row r="594" ht="15" customHeight="1">
      <c r="A594" t="n">
        <v>12</v>
      </c>
      <c r="B594" s="37">
        <f>IF(Setup!$B$23="","",Setup!$B$23)</f>
        <v/>
      </c>
      <c r="C594" s="102" t="n"/>
      <c r="D594" s="103" t="n"/>
      <c r="E594" s="103" t="n"/>
      <c r="F594" s="104" t="n"/>
      <c r="G594" s="102" t="n"/>
      <c r="H594" s="103" t="n"/>
      <c r="I594" s="103" t="n"/>
      <c r="J594" s="104" t="n"/>
      <c r="K594" s="102" t="n"/>
      <c r="L594" s="103" t="n"/>
      <c r="M594" s="103" t="n"/>
      <c r="N594" s="104" t="n"/>
      <c r="O594" s="102" t="n"/>
      <c r="P594" s="103" t="n"/>
      <c r="Q594" s="103" t="n"/>
      <c r="R594" s="104" t="n"/>
      <c r="S594" s="102" t="n"/>
      <c r="T594" s="103" t="n"/>
      <c r="U594" s="103" t="n"/>
      <c r="V594" s="104" t="n"/>
      <c r="W594" s="102" t="n"/>
      <c r="X594" s="104" t="n"/>
      <c r="Y594" s="102" t="n"/>
      <c r="Z594" s="104" t="n"/>
      <c r="AB594" s="105">
        <f>IF($B594="","",(COUNTIF(C558:E575,$B594)+COUNTIF(C558:E575,$B594&amp;" ~*")&gt;0)+(COUNTIF(G558:I575,$B594)+COUNTIF(G558:I575,$B594&amp;" ~*")&gt;0)+(COUNTIF(K558:M575,$B594)+COUNTIF(K558:M575,$B594&amp;" ~*")&gt;0)+(COUNTIF(O558:Q575,$B594)+COUNTIF(O558:Q575,$B594&amp;" ~*")&gt;0)+(COUNTIF(S558:U575,$B594)+COUNTIF(S558:U575,$B594&amp;" ~*")&gt;0)+(COUNTIF(W558:W575,$B594)+COUNTIF(W558:W575,$B594&amp;" ~*")&gt;0)+(COUNTIF(Y558:Y575,$B594)+COUNTIF(Y558:Y575,$B594&amp;" ~*")&gt;0))</f>
        <v/>
      </c>
      <c r="AC594" s="38">
        <f>IF($B594="","",(IFERROR(INDEX(Setup!$G$33:$G$40,MATCH(C594,Setup!$B$33:$B$40,0)),0)=1)*(COUNTIF(C558:E575,$B594)+COUNTIF(C558:E575,$B594&amp;" ~*")&gt;0)+(IFERROR(INDEX(Setup!$G$33:$G$40,MATCH(G594,Setup!$B$33:$B$40,0)),0)=1)*(COUNTIF(G558:I575,$B594)+COUNTIF(G558:I575,$B594&amp;" ~*")&gt;0)+(IFERROR(INDEX(Setup!$G$33:$G$40,MATCH(K594,Setup!$B$33:$B$40,0)),0)=1)*(COUNTIF(K558:M575,$B594)+COUNTIF(K558:M575,$B594&amp;" ~*")&gt;0)+(IFERROR(INDEX(Setup!$G$33:$G$40,MATCH(O594,Setup!$B$33:$B$40,0)),0)=1)*(COUNTIF(O558:Q575,$B594)+COUNTIF(O558:Q575,$B594&amp;" ~*")&gt;0)+(IFERROR(INDEX(Setup!$G$33:$G$40,MATCH(S594,Setup!$B$33:$B$40,0)),0)=1)*(COUNTIF(S558:U575,$B594)+COUNTIF(S558:U575,$B594&amp;" ~*")&gt;0)+(IFERROR(INDEX(Setup!$G$33:$G$40,MATCH(W594,Setup!$B$33:$B$40,0)),0)=1)*(COUNTIF(W558:W575,$B594)+COUNTIF(W558:W575,$B594&amp;" ~*")&gt;0)+(IFERROR(INDEX(Setup!$G$33:$G$40,MATCH(Y594,Setup!$B$33:$B$40,0)),0)=1)*(COUNTIF(Y558:Y575,$B594)+COUNTIF(Y558:Y575,$B594&amp;" ~*")&gt;0))</f>
        <v/>
      </c>
    </row>
    <row r="595" ht="15" customHeight="1">
      <c r="A595" t="n">
        <v>12</v>
      </c>
      <c r="B595" s="35">
        <f>IF(Setup!$B$24="","",Setup!$B$24)</f>
        <v/>
      </c>
      <c r="C595" s="98" t="n"/>
      <c r="D595" s="99" t="n"/>
      <c r="E595" s="99" t="n"/>
      <c r="F595" s="100" t="n"/>
      <c r="G595" s="98" t="n"/>
      <c r="H595" s="99" t="n"/>
      <c r="I595" s="99" t="n"/>
      <c r="J595" s="100" t="n"/>
      <c r="K595" s="98" t="n"/>
      <c r="L595" s="99" t="n"/>
      <c r="M595" s="99" t="n"/>
      <c r="N595" s="100" t="n"/>
      <c r="O595" s="98" t="n"/>
      <c r="P595" s="99" t="n"/>
      <c r="Q595" s="99" t="n"/>
      <c r="R595" s="100" t="n"/>
      <c r="S595" s="98" t="n"/>
      <c r="T595" s="99" t="n"/>
      <c r="U595" s="99" t="n"/>
      <c r="V595" s="100" t="n"/>
      <c r="W595" s="98" t="n"/>
      <c r="X595" s="100" t="n"/>
      <c r="Y595" s="98" t="n"/>
      <c r="Z595" s="100" t="n"/>
      <c r="AB595" s="101">
        <f>IF($B595="","",(COUNTIF(C558:E575,$B595)+COUNTIF(C558:E575,$B595&amp;" ~*")&gt;0)+(COUNTIF(G558:I575,$B595)+COUNTIF(G558:I575,$B595&amp;" ~*")&gt;0)+(COUNTIF(K558:M575,$B595)+COUNTIF(K558:M575,$B595&amp;" ~*")&gt;0)+(COUNTIF(O558:Q575,$B595)+COUNTIF(O558:Q575,$B595&amp;" ~*")&gt;0)+(COUNTIF(S558:U575,$B595)+COUNTIF(S558:U575,$B595&amp;" ~*")&gt;0)+(COUNTIF(W558:W575,$B595)+COUNTIF(W558:W575,$B595&amp;" ~*")&gt;0)+(COUNTIF(Y558:Y575,$B595)+COUNTIF(Y558:Y575,$B595&amp;" ~*")&gt;0))</f>
        <v/>
      </c>
      <c r="AC595" s="36">
        <f>IF($B595="","",(IFERROR(INDEX(Setup!$G$33:$G$40,MATCH(C595,Setup!$B$33:$B$40,0)),0)=1)*(COUNTIF(C558:E575,$B595)+COUNTIF(C558:E575,$B595&amp;" ~*")&gt;0)+(IFERROR(INDEX(Setup!$G$33:$G$40,MATCH(G595,Setup!$B$33:$B$40,0)),0)=1)*(COUNTIF(G558:I575,$B595)+COUNTIF(G558:I575,$B595&amp;" ~*")&gt;0)+(IFERROR(INDEX(Setup!$G$33:$G$40,MATCH(K595,Setup!$B$33:$B$40,0)),0)=1)*(COUNTIF(K558:M575,$B595)+COUNTIF(K558:M575,$B595&amp;" ~*")&gt;0)+(IFERROR(INDEX(Setup!$G$33:$G$40,MATCH(O595,Setup!$B$33:$B$40,0)),0)=1)*(COUNTIF(O558:Q575,$B595)+COUNTIF(O558:Q575,$B595&amp;" ~*")&gt;0)+(IFERROR(INDEX(Setup!$G$33:$G$40,MATCH(S595,Setup!$B$33:$B$40,0)),0)=1)*(COUNTIF(S558:U575,$B595)+COUNTIF(S558:U575,$B595&amp;" ~*")&gt;0)+(IFERROR(INDEX(Setup!$G$33:$G$40,MATCH(W595,Setup!$B$33:$B$40,0)),0)=1)*(COUNTIF(W558:W575,$B595)+COUNTIF(W558:W575,$B595&amp;" ~*")&gt;0)+(IFERROR(INDEX(Setup!$G$33:$G$40,MATCH(Y595,Setup!$B$33:$B$40,0)),0)=1)*(COUNTIF(Y558:Y575,$B595)+COUNTIF(Y558:Y575,$B595&amp;" ~*")&gt;0))</f>
        <v/>
      </c>
    </row>
    <row r="596" ht="15" customHeight="1">
      <c r="A596" t="n">
        <v>12</v>
      </c>
      <c r="B596" s="37">
        <f>IF(Setup!$B$25="","",Setup!$B$25)</f>
        <v/>
      </c>
      <c r="C596" s="102" t="n"/>
      <c r="D596" s="103" t="n"/>
      <c r="E596" s="103" t="n"/>
      <c r="F596" s="104" t="n"/>
      <c r="G596" s="102" t="n"/>
      <c r="H596" s="103" t="n"/>
      <c r="I596" s="103" t="n"/>
      <c r="J596" s="104" t="n"/>
      <c r="K596" s="102" t="n"/>
      <c r="L596" s="103" t="n"/>
      <c r="M596" s="103" t="n"/>
      <c r="N596" s="104" t="n"/>
      <c r="O596" s="102" t="n"/>
      <c r="P596" s="103" t="n"/>
      <c r="Q596" s="103" t="n"/>
      <c r="R596" s="104" t="n"/>
      <c r="S596" s="102" t="n"/>
      <c r="T596" s="103" t="n"/>
      <c r="U596" s="103" t="n"/>
      <c r="V596" s="104" t="n"/>
      <c r="W596" s="102" t="n"/>
      <c r="X596" s="104" t="n"/>
      <c r="Y596" s="102" t="n"/>
      <c r="Z596" s="104" t="n"/>
      <c r="AB596" s="105">
        <f>IF($B596="","",(COUNTIF(C558:E575,$B596)+COUNTIF(C558:E575,$B596&amp;" ~*")&gt;0)+(COUNTIF(G558:I575,$B596)+COUNTIF(G558:I575,$B596&amp;" ~*")&gt;0)+(COUNTIF(K558:M575,$B596)+COUNTIF(K558:M575,$B596&amp;" ~*")&gt;0)+(COUNTIF(O558:Q575,$B596)+COUNTIF(O558:Q575,$B596&amp;" ~*")&gt;0)+(COUNTIF(S558:U575,$B596)+COUNTIF(S558:U575,$B596&amp;" ~*")&gt;0)+(COUNTIF(W558:W575,$B596)+COUNTIF(W558:W575,$B596&amp;" ~*")&gt;0)+(COUNTIF(Y558:Y575,$B596)+COUNTIF(Y558:Y575,$B596&amp;" ~*")&gt;0))</f>
        <v/>
      </c>
      <c r="AC596" s="38">
        <f>IF($B596="","",(IFERROR(INDEX(Setup!$G$33:$G$40,MATCH(C596,Setup!$B$33:$B$40,0)),0)=1)*(COUNTIF(C558:E575,$B596)+COUNTIF(C558:E575,$B596&amp;" ~*")&gt;0)+(IFERROR(INDEX(Setup!$G$33:$G$40,MATCH(G596,Setup!$B$33:$B$40,0)),0)=1)*(COUNTIF(G558:I575,$B596)+COUNTIF(G558:I575,$B596&amp;" ~*")&gt;0)+(IFERROR(INDEX(Setup!$G$33:$G$40,MATCH(K596,Setup!$B$33:$B$40,0)),0)=1)*(COUNTIF(K558:M575,$B596)+COUNTIF(K558:M575,$B596&amp;" ~*")&gt;0)+(IFERROR(INDEX(Setup!$G$33:$G$40,MATCH(O596,Setup!$B$33:$B$40,0)),0)=1)*(COUNTIF(O558:Q575,$B596)+COUNTIF(O558:Q575,$B596&amp;" ~*")&gt;0)+(IFERROR(INDEX(Setup!$G$33:$G$40,MATCH(S596,Setup!$B$33:$B$40,0)),0)=1)*(COUNTIF(S558:U575,$B596)+COUNTIF(S558:U575,$B596&amp;" ~*")&gt;0)+(IFERROR(INDEX(Setup!$G$33:$G$40,MATCH(W596,Setup!$B$33:$B$40,0)),0)=1)*(COUNTIF(W558:W575,$B596)+COUNTIF(W558:W575,$B596&amp;" ~*")&gt;0)+(IFERROR(INDEX(Setup!$G$33:$G$40,MATCH(Y596,Setup!$B$33:$B$40,0)),0)=1)*(COUNTIF(Y558:Y575,$B596)+COUNTIF(Y558:Y575,$B596&amp;" ~*")&gt;0))</f>
        <v/>
      </c>
    </row>
    <row r="597" ht="15" customHeight="1">
      <c r="A597" t="n">
        <v>12</v>
      </c>
      <c r="B597" s="35">
        <f>IF(Setup!$B$26="","",Setup!$B$26)</f>
        <v/>
      </c>
      <c r="C597" s="98" t="n"/>
      <c r="D597" s="99" t="n"/>
      <c r="E597" s="99" t="n"/>
      <c r="F597" s="100" t="n"/>
      <c r="G597" s="98" t="n"/>
      <c r="H597" s="99" t="n"/>
      <c r="I597" s="99" t="n"/>
      <c r="J597" s="100" t="n"/>
      <c r="K597" s="98" t="n"/>
      <c r="L597" s="99" t="n"/>
      <c r="M597" s="99" t="n"/>
      <c r="N597" s="100" t="n"/>
      <c r="O597" s="98" t="n"/>
      <c r="P597" s="99" t="n"/>
      <c r="Q597" s="99" t="n"/>
      <c r="R597" s="100" t="n"/>
      <c r="S597" s="98" t="n"/>
      <c r="T597" s="99" t="n"/>
      <c r="U597" s="99" t="n"/>
      <c r="V597" s="100" t="n"/>
      <c r="W597" s="98" t="n"/>
      <c r="X597" s="100" t="n"/>
      <c r="Y597" s="98" t="n"/>
      <c r="Z597" s="100" t="n"/>
      <c r="AB597" s="101">
        <f>IF($B597="","",(COUNTIF(C558:E575,$B597)+COUNTIF(C558:E575,$B597&amp;" ~*")&gt;0)+(COUNTIF(G558:I575,$B597)+COUNTIF(G558:I575,$B597&amp;" ~*")&gt;0)+(COUNTIF(K558:M575,$B597)+COUNTIF(K558:M575,$B597&amp;" ~*")&gt;0)+(COUNTIF(O558:Q575,$B597)+COUNTIF(O558:Q575,$B597&amp;" ~*")&gt;0)+(COUNTIF(S558:U575,$B597)+COUNTIF(S558:U575,$B597&amp;" ~*")&gt;0)+(COUNTIF(W558:W575,$B597)+COUNTIF(W558:W575,$B597&amp;" ~*")&gt;0)+(COUNTIF(Y558:Y575,$B597)+COUNTIF(Y558:Y575,$B597&amp;" ~*")&gt;0))</f>
        <v/>
      </c>
      <c r="AC597" s="36">
        <f>IF($B597="","",(IFERROR(INDEX(Setup!$G$33:$G$40,MATCH(C597,Setup!$B$33:$B$40,0)),0)=1)*(COUNTIF(C558:E575,$B597)+COUNTIF(C558:E575,$B597&amp;" ~*")&gt;0)+(IFERROR(INDEX(Setup!$G$33:$G$40,MATCH(G597,Setup!$B$33:$B$40,0)),0)=1)*(COUNTIF(G558:I575,$B597)+COUNTIF(G558:I575,$B597&amp;" ~*")&gt;0)+(IFERROR(INDEX(Setup!$G$33:$G$40,MATCH(K597,Setup!$B$33:$B$40,0)),0)=1)*(COUNTIF(K558:M575,$B597)+COUNTIF(K558:M575,$B597&amp;" ~*")&gt;0)+(IFERROR(INDEX(Setup!$G$33:$G$40,MATCH(O597,Setup!$B$33:$B$40,0)),0)=1)*(COUNTIF(O558:Q575,$B597)+COUNTIF(O558:Q575,$B597&amp;" ~*")&gt;0)+(IFERROR(INDEX(Setup!$G$33:$G$40,MATCH(S597,Setup!$B$33:$B$40,0)),0)=1)*(COUNTIF(S558:U575,$B597)+COUNTIF(S558:U575,$B597&amp;" ~*")&gt;0)+(IFERROR(INDEX(Setup!$G$33:$G$40,MATCH(W597,Setup!$B$33:$B$40,0)),0)=1)*(COUNTIF(W558:W575,$B597)+COUNTIF(W558:W575,$B597&amp;" ~*")&gt;0)+(IFERROR(INDEX(Setup!$G$33:$G$40,MATCH(Y597,Setup!$B$33:$B$40,0)),0)=1)*(COUNTIF(Y558:Y575,$B597)+COUNTIF(Y558:Y575,$B597&amp;" ~*")&gt;0))</f>
        <v/>
      </c>
    </row>
    <row r="598" ht="15" customHeight="1">
      <c r="A598" t="n">
        <v>12</v>
      </c>
      <c r="B598" s="37">
        <f>IF(Setup!$B$27="","",Setup!$B$27)</f>
        <v/>
      </c>
      <c r="C598" s="102" t="n"/>
      <c r="D598" s="103" t="n"/>
      <c r="E598" s="103" t="n"/>
      <c r="F598" s="104" t="n"/>
      <c r="G598" s="102" t="n"/>
      <c r="H598" s="103" t="n"/>
      <c r="I598" s="103" t="n"/>
      <c r="J598" s="104" t="n"/>
      <c r="K598" s="102" t="n"/>
      <c r="L598" s="103" t="n"/>
      <c r="M598" s="103" t="n"/>
      <c r="N598" s="104" t="n"/>
      <c r="O598" s="102" t="n"/>
      <c r="P598" s="103" t="n"/>
      <c r="Q598" s="103" t="n"/>
      <c r="R598" s="104" t="n"/>
      <c r="S598" s="102" t="n"/>
      <c r="T598" s="103" t="n"/>
      <c r="U598" s="103" t="n"/>
      <c r="V598" s="104" t="n"/>
      <c r="W598" s="102" t="n"/>
      <c r="X598" s="104" t="n"/>
      <c r="Y598" s="102" t="n"/>
      <c r="Z598" s="104" t="n"/>
      <c r="AB598" s="105">
        <f>IF($B598="","",(COUNTIF(C558:E575,$B598)+COUNTIF(C558:E575,$B598&amp;" ~*")&gt;0)+(COUNTIF(G558:I575,$B598)+COUNTIF(G558:I575,$B598&amp;" ~*")&gt;0)+(COUNTIF(K558:M575,$B598)+COUNTIF(K558:M575,$B598&amp;" ~*")&gt;0)+(COUNTIF(O558:Q575,$B598)+COUNTIF(O558:Q575,$B598&amp;" ~*")&gt;0)+(COUNTIF(S558:U575,$B598)+COUNTIF(S558:U575,$B598&amp;" ~*")&gt;0)+(COUNTIF(W558:W575,$B598)+COUNTIF(W558:W575,$B598&amp;" ~*")&gt;0)+(COUNTIF(Y558:Y575,$B598)+COUNTIF(Y558:Y575,$B598&amp;" ~*")&gt;0))</f>
        <v/>
      </c>
      <c r="AC598" s="38">
        <f>IF($B598="","",(IFERROR(INDEX(Setup!$G$33:$G$40,MATCH(C598,Setup!$B$33:$B$40,0)),0)=1)*(COUNTIF(C558:E575,$B598)+COUNTIF(C558:E575,$B598&amp;" ~*")&gt;0)+(IFERROR(INDEX(Setup!$G$33:$G$40,MATCH(G598,Setup!$B$33:$B$40,0)),0)=1)*(COUNTIF(G558:I575,$B598)+COUNTIF(G558:I575,$B598&amp;" ~*")&gt;0)+(IFERROR(INDEX(Setup!$G$33:$G$40,MATCH(K598,Setup!$B$33:$B$40,0)),0)=1)*(COUNTIF(K558:M575,$B598)+COUNTIF(K558:M575,$B598&amp;" ~*")&gt;0)+(IFERROR(INDEX(Setup!$G$33:$G$40,MATCH(O598,Setup!$B$33:$B$40,0)),0)=1)*(COUNTIF(O558:Q575,$B598)+COUNTIF(O558:Q575,$B598&amp;" ~*")&gt;0)+(IFERROR(INDEX(Setup!$G$33:$G$40,MATCH(S598,Setup!$B$33:$B$40,0)),0)=1)*(COUNTIF(S558:U575,$B598)+COUNTIF(S558:U575,$B598&amp;" ~*")&gt;0)+(IFERROR(INDEX(Setup!$G$33:$G$40,MATCH(W598,Setup!$B$33:$B$40,0)),0)=1)*(COUNTIF(W558:W575,$B598)+COUNTIF(W558:W575,$B598&amp;" ~*")&gt;0)+(IFERROR(INDEX(Setup!$G$33:$G$40,MATCH(Y598,Setup!$B$33:$B$40,0)),0)=1)*(COUNTIF(Y558:Y575,$B598)+COUNTIF(Y558:Y575,$B598&amp;" ~*")&gt;0))</f>
        <v/>
      </c>
    </row>
    <row r="599" ht="15" customHeight="1">
      <c r="A599" t="n">
        <v>12</v>
      </c>
      <c r="B599" s="35">
        <f>IF(Setup!$B$28="","",Setup!$B$28)</f>
        <v/>
      </c>
      <c r="C599" s="98" t="n"/>
      <c r="D599" s="99" t="n"/>
      <c r="E599" s="99" t="n"/>
      <c r="F599" s="100" t="n"/>
      <c r="G599" s="98" t="n"/>
      <c r="H599" s="99" t="n"/>
      <c r="I599" s="99" t="n"/>
      <c r="J599" s="100" t="n"/>
      <c r="K599" s="98" t="n"/>
      <c r="L599" s="99" t="n"/>
      <c r="M599" s="99" t="n"/>
      <c r="N599" s="100" t="n"/>
      <c r="O599" s="98" t="n"/>
      <c r="P599" s="99" t="n"/>
      <c r="Q599" s="99" t="n"/>
      <c r="R599" s="100" t="n"/>
      <c r="S599" s="98" t="n"/>
      <c r="T599" s="99" t="n"/>
      <c r="U599" s="99" t="n"/>
      <c r="V599" s="100" t="n"/>
      <c r="W599" s="98" t="n"/>
      <c r="X599" s="100" t="n"/>
      <c r="Y599" s="98" t="n"/>
      <c r="Z599" s="100" t="n"/>
      <c r="AB599" s="101">
        <f>IF($B599="","",(COUNTIF(C558:E575,$B599)+COUNTIF(C558:E575,$B599&amp;" ~*")&gt;0)+(COUNTIF(G558:I575,$B599)+COUNTIF(G558:I575,$B599&amp;" ~*")&gt;0)+(COUNTIF(K558:M575,$B599)+COUNTIF(K558:M575,$B599&amp;" ~*")&gt;0)+(COUNTIF(O558:Q575,$B599)+COUNTIF(O558:Q575,$B599&amp;" ~*")&gt;0)+(COUNTIF(S558:U575,$B599)+COUNTIF(S558:U575,$B599&amp;" ~*")&gt;0)+(COUNTIF(W558:W575,$B599)+COUNTIF(W558:W575,$B599&amp;" ~*")&gt;0)+(COUNTIF(Y558:Y575,$B599)+COUNTIF(Y558:Y575,$B599&amp;" ~*")&gt;0))</f>
        <v/>
      </c>
      <c r="AC599" s="36">
        <f>IF($B599="","",(IFERROR(INDEX(Setup!$G$33:$G$40,MATCH(C599,Setup!$B$33:$B$40,0)),0)=1)*(COUNTIF(C558:E575,$B599)+COUNTIF(C558:E575,$B599&amp;" ~*")&gt;0)+(IFERROR(INDEX(Setup!$G$33:$G$40,MATCH(G599,Setup!$B$33:$B$40,0)),0)=1)*(COUNTIF(G558:I575,$B599)+COUNTIF(G558:I575,$B599&amp;" ~*")&gt;0)+(IFERROR(INDEX(Setup!$G$33:$G$40,MATCH(K599,Setup!$B$33:$B$40,0)),0)=1)*(COUNTIF(K558:M575,$B599)+COUNTIF(K558:M575,$B599&amp;" ~*")&gt;0)+(IFERROR(INDEX(Setup!$G$33:$G$40,MATCH(O599,Setup!$B$33:$B$40,0)),0)=1)*(COUNTIF(O558:Q575,$B599)+COUNTIF(O558:Q575,$B599&amp;" ~*")&gt;0)+(IFERROR(INDEX(Setup!$G$33:$G$40,MATCH(S599,Setup!$B$33:$B$40,0)),0)=1)*(COUNTIF(S558:U575,$B599)+COUNTIF(S558:U575,$B599&amp;" ~*")&gt;0)+(IFERROR(INDEX(Setup!$G$33:$G$40,MATCH(W599,Setup!$B$33:$B$40,0)),0)=1)*(COUNTIF(W558:W575,$B599)+COUNTIF(W558:W575,$B599&amp;" ~*")&gt;0)+(IFERROR(INDEX(Setup!$G$33:$G$40,MATCH(Y599,Setup!$B$33:$B$40,0)),0)=1)*(COUNTIF(Y558:Y575,$B599)+COUNTIF(Y558:Y575,$B599&amp;" ~*")&gt;0))</f>
        <v/>
      </c>
    </row>
    <row r="600" ht="15" customHeight="1">
      <c r="A600" t="n">
        <v>12</v>
      </c>
      <c r="B600" s="37">
        <f>IF(Setup!$B$29="","",Setup!$B$29)</f>
        <v/>
      </c>
      <c r="C600" s="102" t="n"/>
      <c r="D600" s="103" t="n"/>
      <c r="E600" s="103" t="n"/>
      <c r="F600" s="104" t="n"/>
      <c r="G600" s="102" t="n"/>
      <c r="H600" s="103" t="n"/>
      <c r="I600" s="103" t="n"/>
      <c r="J600" s="104" t="n"/>
      <c r="K600" s="102" t="n"/>
      <c r="L600" s="103" t="n"/>
      <c r="M600" s="103" t="n"/>
      <c r="N600" s="104" t="n"/>
      <c r="O600" s="102" t="n"/>
      <c r="P600" s="103" t="n"/>
      <c r="Q600" s="103" t="n"/>
      <c r="R600" s="104" t="n"/>
      <c r="S600" s="102" t="n"/>
      <c r="T600" s="103" t="n"/>
      <c r="U600" s="103" t="n"/>
      <c r="V600" s="104" t="n"/>
      <c r="W600" s="102" t="n"/>
      <c r="X600" s="104" t="n"/>
      <c r="Y600" s="102" t="n"/>
      <c r="Z600" s="104" t="n"/>
      <c r="AB600" s="105">
        <f>IF($B600="","",(COUNTIF(C558:E575,$B600)+COUNTIF(C558:E575,$B600&amp;" ~*")&gt;0)+(COUNTIF(G558:I575,$B600)+COUNTIF(G558:I575,$B600&amp;" ~*")&gt;0)+(COUNTIF(K558:M575,$B600)+COUNTIF(K558:M575,$B600&amp;" ~*")&gt;0)+(COUNTIF(O558:Q575,$B600)+COUNTIF(O558:Q575,$B600&amp;" ~*")&gt;0)+(COUNTIF(S558:U575,$B600)+COUNTIF(S558:U575,$B600&amp;" ~*")&gt;0)+(COUNTIF(W558:W575,$B600)+COUNTIF(W558:W575,$B600&amp;" ~*")&gt;0)+(COUNTIF(Y558:Y575,$B600)+COUNTIF(Y558:Y575,$B600&amp;" ~*")&gt;0))</f>
        <v/>
      </c>
      <c r="AC600" s="38">
        <f>IF($B600="","",(IFERROR(INDEX(Setup!$G$33:$G$40,MATCH(C600,Setup!$B$33:$B$40,0)),0)=1)*(COUNTIF(C558:E575,$B600)+COUNTIF(C558:E575,$B600&amp;" ~*")&gt;0)+(IFERROR(INDEX(Setup!$G$33:$G$40,MATCH(G600,Setup!$B$33:$B$40,0)),0)=1)*(COUNTIF(G558:I575,$B600)+COUNTIF(G558:I575,$B600&amp;" ~*")&gt;0)+(IFERROR(INDEX(Setup!$G$33:$G$40,MATCH(K600,Setup!$B$33:$B$40,0)),0)=1)*(COUNTIF(K558:M575,$B600)+COUNTIF(K558:M575,$B600&amp;" ~*")&gt;0)+(IFERROR(INDEX(Setup!$G$33:$G$40,MATCH(O600,Setup!$B$33:$B$40,0)),0)=1)*(COUNTIF(O558:Q575,$B600)+COUNTIF(O558:Q575,$B600&amp;" ~*")&gt;0)+(IFERROR(INDEX(Setup!$G$33:$G$40,MATCH(S600,Setup!$B$33:$B$40,0)),0)=1)*(COUNTIF(S558:U575,$B600)+COUNTIF(S558:U575,$B600&amp;" ~*")&gt;0)+(IFERROR(INDEX(Setup!$G$33:$G$40,MATCH(W600,Setup!$B$33:$B$40,0)),0)=1)*(COUNTIF(W558:W575,$B600)+COUNTIF(W558:W575,$B600&amp;" ~*")&gt;0)+(IFERROR(INDEX(Setup!$G$33:$G$40,MATCH(Y600,Setup!$B$33:$B$40,0)),0)=1)*(COUNTIF(Y558:Y575,$B600)+COUNTIF(Y558:Y575,$B600&amp;" ~*")&gt;0))</f>
        <v/>
      </c>
    </row>
    <row r="601" ht="16" customHeight="1">
      <c r="A601" t="n">
        <v>12</v>
      </c>
      <c r="B601" s="106" t="inlineStr">
        <is>
          <t>Available people</t>
        </is>
      </c>
      <c r="C601" s="107">
        <f>COUNTIFS(Setup!$E$6:$E$29,"Y",Setup!$B$6:$B$29,"?*")-SUMPRODUCT(COUNTIF(C577:C600,Setup!$F$33:$F$40))</f>
        <v/>
      </c>
      <c r="D601" s="107" t="n"/>
      <c r="E601" s="107" t="n"/>
      <c r="F601" s="107" t="n"/>
      <c r="G601" s="107">
        <f>COUNTIFS(Setup!$E$6:$E$29,"Y",Setup!$B$6:$B$29,"?*")-SUMPRODUCT(COUNTIF(G577:G600,Setup!$F$33:$F$40))</f>
        <v/>
      </c>
      <c r="H601" s="107" t="n"/>
      <c r="I601" s="107" t="n"/>
      <c r="J601" s="107" t="n"/>
      <c r="K601" s="107">
        <f>COUNTIFS(Setup!$E$6:$E$29,"Y",Setup!$B$6:$B$29,"?*")-SUMPRODUCT(COUNTIF(K577:K600,Setup!$F$33:$F$40))</f>
        <v/>
      </c>
      <c r="L601" s="107" t="n"/>
      <c r="M601" s="107" t="n"/>
      <c r="N601" s="107" t="n"/>
      <c r="O601" s="107">
        <f>COUNTIFS(Setup!$E$6:$E$29,"Y",Setup!$B$6:$B$29,"?*")-SUMPRODUCT(COUNTIF(O577:O600,Setup!$F$33:$F$40))</f>
        <v/>
      </c>
      <c r="P601" s="107" t="n"/>
      <c r="Q601" s="107" t="n"/>
      <c r="R601" s="107" t="n"/>
      <c r="S601" s="107">
        <f>COUNTIFS(Setup!$E$6:$E$29,"Y",Setup!$B$6:$B$29,"?*")-SUMPRODUCT(COUNTIF(S577:S600,Setup!$F$33:$F$40))</f>
        <v/>
      </c>
      <c r="T601" s="107" t="n"/>
      <c r="U601" s="107" t="n"/>
      <c r="V601" s="107" t="n"/>
      <c r="W601" s="107">
        <f>COUNTIFS(Setup!$E$6:$E$29,"Y",Setup!$B$6:$B$29,"?*")-SUMPRODUCT(COUNTIF(W577:W600,Setup!$F$33:$F$40))</f>
        <v/>
      </c>
      <c r="X601" s="107" t="n"/>
      <c r="Y601" s="107">
        <f>COUNTIFS(Setup!$E$6:$E$29,"Y",Setup!$B$6:$B$29,"?*")-SUMPRODUCT(COUNTIF(Y577:Y600,Setup!$F$33:$F$40))</f>
        <v/>
      </c>
      <c r="Z601" s="107" t="n"/>
      <c r="AB601" s="108">
        <f>SUM(AB577:AB600)</f>
        <v/>
      </c>
      <c r="AC601" s="109">
        <f>SUM(AC577:AC600)</f>
        <v/>
      </c>
    </row>
    <row r="602" ht="30" customHeight="1">
      <c r="A602" t="n">
        <v>12</v>
      </c>
      <c r="B602" s="110" t="inlineStr">
        <is>
          <t>Week notes</t>
        </is>
      </c>
      <c r="C602" s="111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112" t="n"/>
      <c r="R602" s="112" t="n"/>
      <c r="S602" s="112" t="n"/>
      <c r="T602" s="112" t="n"/>
      <c r="U602" s="112" t="n"/>
      <c r="V602" s="112" t="n"/>
      <c r="W602" s="112" t="n"/>
      <c r="X602" s="112" t="n"/>
      <c r="Y602" s="112" t="n"/>
      <c r="Z602" s="113" t="n"/>
    </row>
    <row r="603" ht="8" customHeight="1">
      <c r="A603" t="n">
        <v>12</v>
      </c>
    </row>
    <row r="604" ht="8" customHeight="1">
      <c r="A604" t="n">
        <v>12</v>
      </c>
    </row>
    <row r="605" ht="24" customHeight="1">
      <c r="A605" t="n">
        <v>13</v>
      </c>
      <c r="B605" s="73">
        <f>"WEEK 13     "&amp;TEXT(C606,"ddd d mmm")&amp;"  –  "&amp;TEXT(C606+6,"ddd d mmm yyyy")</f>
        <v/>
      </c>
      <c r="S605" s="74">
        <f>IF(TODAY()&lt;C606,"FUTURE",IF(TODAY()&gt;C606+6,"PAST","THIS WEEK"))</f>
        <v/>
      </c>
      <c r="W605" s="75">
        <f>IF(AND(Engine!$B$8=$AC$3,Engine!$B$9=$A605),"◀ ACTIVE WEEK","")</f>
        <v/>
      </c>
      <c r="AA605" s="76" t="n"/>
      <c r="AB605" s="77" t="inlineStr">
        <is>
          <t>◀ Prev</t>
        </is>
      </c>
      <c r="AC605" s="77" t="inlineStr">
        <is>
          <t>Next ▶</t>
        </is>
      </c>
    </row>
    <row r="606" ht="18" customHeight="1">
      <c r="A606" t="n">
        <v>13</v>
      </c>
      <c r="B606" s="78" t="inlineStr">
        <is>
          <t>DUTY</t>
        </is>
      </c>
      <c r="C606" s="79">
        <f>$AC$2+7*($A606-1)</f>
        <v/>
      </c>
      <c r="D606" s="80" t="n"/>
      <c r="E606" s="80" t="n"/>
      <c r="F606" s="81" t="n"/>
      <c r="G606" s="79">
        <f>C606+1</f>
        <v/>
      </c>
      <c r="H606" s="80" t="n"/>
      <c r="I606" s="80" t="n"/>
      <c r="J606" s="81" t="n"/>
      <c r="K606" s="79">
        <f>C606+2</f>
        <v/>
      </c>
      <c r="L606" s="80" t="n"/>
      <c r="M606" s="80" t="n"/>
      <c r="N606" s="81" t="n"/>
      <c r="O606" s="79">
        <f>C606+3</f>
        <v/>
      </c>
      <c r="P606" s="80" t="n"/>
      <c r="Q606" s="80" t="n"/>
      <c r="R606" s="81" t="n"/>
      <c r="S606" s="79">
        <f>C606+4</f>
        <v/>
      </c>
      <c r="T606" s="80" t="n"/>
      <c r="U606" s="80" t="n"/>
      <c r="V606" s="81" t="n"/>
      <c r="W606" s="82">
        <f>C606+5</f>
        <v/>
      </c>
      <c r="X606" s="83" t="n"/>
      <c r="Y606" s="82">
        <f>C606+6</f>
        <v/>
      </c>
      <c r="Z606" s="83" t="n"/>
      <c r="AB606" s="72" t="inlineStr">
        <is>
          <t>Gaps</t>
        </is>
      </c>
      <c r="AC606" s="72" t="inlineStr">
        <is>
          <t>Cover</t>
        </is>
      </c>
    </row>
    <row r="607" ht="14" customHeight="1">
      <c r="A607" t="n">
        <v>13</v>
      </c>
      <c r="B607" s="84" t="inlineStr">
        <is>
          <t>(from Setup)</t>
        </is>
      </c>
      <c r="C607" s="85" t="inlineStr">
        <is>
          <t>1</t>
        </is>
      </c>
      <c r="D607" s="85" t="inlineStr">
        <is>
          <t>2</t>
        </is>
      </c>
      <c r="E607" s="85" t="inlineStr">
        <is>
          <t>3</t>
        </is>
      </c>
      <c r="F607" s="85" t="inlineStr">
        <is>
          <t>Notes</t>
        </is>
      </c>
      <c r="G607" s="85" t="inlineStr">
        <is>
          <t>1</t>
        </is>
      </c>
      <c r="H607" s="85" t="inlineStr">
        <is>
          <t>2</t>
        </is>
      </c>
      <c r="I607" s="85" t="inlineStr">
        <is>
          <t>3</t>
        </is>
      </c>
      <c r="J607" s="85" t="inlineStr">
        <is>
          <t>Notes</t>
        </is>
      </c>
      <c r="K607" s="85" t="inlineStr">
        <is>
          <t>1</t>
        </is>
      </c>
      <c r="L607" s="85" t="inlineStr">
        <is>
          <t>2</t>
        </is>
      </c>
      <c r="M607" s="85" t="inlineStr">
        <is>
          <t>3</t>
        </is>
      </c>
      <c r="N607" s="85" t="inlineStr">
        <is>
          <t>Notes</t>
        </is>
      </c>
      <c r="O607" s="85" t="inlineStr">
        <is>
          <t>1</t>
        </is>
      </c>
      <c r="P607" s="85" t="inlineStr">
        <is>
          <t>2</t>
        </is>
      </c>
      <c r="Q607" s="85" t="inlineStr">
        <is>
          <t>3</t>
        </is>
      </c>
      <c r="R607" s="85" t="inlineStr">
        <is>
          <t>Notes</t>
        </is>
      </c>
      <c r="S607" s="85" t="inlineStr">
        <is>
          <t>1</t>
        </is>
      </c>
      <c r="T607" s="85" t="inlineStr">
        <is>
          <t>2</t>
        </is>
      </c>
      <c r="U607" s="85" t="inlineStr">
        <is>
          <t>3</t>
        </is>
      </c>
      <c r="V607" s="85" t="inlineStr">
        <is>
          <t>Notes</t>
        </is>
      </c>
      <c r="W607" s="85" t="inlineStr">
        <is>
          <t>Cover</t>
        </is>
      </c>
      <c r="X607" s="85" t="inlineStr">
        <is>
          <t>Notes</t>
        </is>
      </c>
      <c r="Y607" s="85" t="inlineStr">
        <is>
          <t>Cover</t>
        </is>
      </c>
      <c r="Z607" s="85" t="inlineStr">
        <is>
          <t>Notes</t>
        </is>
      </c>
      <c r="AB607" s="86" t="inlineStr">
        <is>
          <t>weekdays short</t>
        </is>
      </c>
      <c r="AC607" s="87" t="inlineStr"/>
    </row>
    <row r="608" ht="17" customHeight="1">
      <c r="A608" t="n">
        <v>13</v>
      </c>
      <c r="B608" s="24">
        <f>IF(Setup!$K$6="","",Setup!$K$6)</f>
        <v/>
      </c>
      <c r="C608" s="88" t="n"/>
      <c r="D608" s="88" t="n"/>
      <c r="E608" s="88" t="n"/>
      <c r="F608" s="89" t="n"/>
      <c r="G608" s="88" t="n"/>
      <c r="H608" s="88" t="n"/>
      <c r="I608" s="88" t="n"/>
      <c r="J608" s="89" t="n"/>
      <c r="K608" s="88" t="n"/>
      <c r="L608" s="88" t="n"/>
      <c r="M608" s="88" t="n"/>
      <c r="N608" s="89" t="n"/>
      <c r="O608" s="88" t="n"/>
      <c r="P608" s="88" t="n"/>
      <c r="Q608" s="88" t="n"/>
      <c r="R608" s="89" t="n"/>
      <c r="S608" s="88" t="n"/>
      <c r="T608" s="88" t="n"/>
      <c r="U608" s="88" t="n"/>
      <c r="V608" s="89" t="n"/>
      <c r="W608" s="88" t="n"/>
      <c r="X608" s="89" t="n"/>
      <c r="Y608" s="88" t="n"/>
      <c r="Z608" s="89" t="n"/>
      <c r="AB608" s="25">
        <f>IF($B608="","",(COUNTIF(C608:E608,"?*")&lt;N(INDEX(Setup!$L$6:$L$23,1)))+(COUNTIF(G608:I608,"?*")&lt;N(INDEX(Setup!$L$6:$L$23,1)))+(COUNTIF(K608:M608,"?*")&lt;N(INDEX(Setup!$L$6:$L$23,1)))+(COUNTIF(O608:Q608,"?*")&lt;N(INDEX(Setup!$L$6:$L$23,1)))+(COUNTIF(S608:U608,"?*")&lt;N(INDEX(Setup!$L$6:$L$23,1)))+((W608="")*(INDEX(Setup!$M$6:$M$23,1)="Y"))+((Y608="")*(INDEX(Setup!$M$6:$M$23,1)="Y")))</f>
        <v/>
      </c>
      <c r="AC608" s="90">
        <f>IF($B608="","",IF(AB608=0,"✓ covered","⚠ "&amp;AB608&amp;IF(AB608=1," gap"," gaps")))</f>
        <v/>
      </c>
    </row>
    <row r="609" ht="17" customHeight="1">
      <c r="A609" t="n">
        <v>13</v>
      </c>
      <c r="B609" s="29">
        <f>IF(Setup!$K$7="","",Setup!$K$7)</f>
        <v/>
      </c>
      <c r="C609" s="88" t="n"/>
      <c r="D609" s="88" t="n"/>
      <c r="E609" s="88" t="n"/>
      <c r="F609" s="89" t="n"/>
      <c r="G609" s="88" t="n"/>
      <c r="H609" s="88" t="n"/>
      <c r="I609" s="88" t="n"/>
      <c r="J609" s="89" t="n"/>
      <c r="K609" s="88" t="n"/>
      <c r="L609" s="88" t="n"/>
      <c r="M609" s="88" t="n"/>
      <c r="N609" s="89" t="n"/>
      <c r="O609" s="88" t="n"/>
      <c r="P609" s="88" t="n"/>
      <c r="Q609" s="88" t="n"/>
      <c r="R609" s="89" t="n"/>
      <c r="S609" s="88" t="n"/>
      <c r="T609" s="88" t="n"/>
      <c r="U609" s="88" t="n"/>
      <c r="V609" s="89" t="n"/>
      <c r="W609" s="88" t="n"/>
      <c r="X609" s="89" t="n"/>
      <c r="Y609" s="88" t="n"/>
      <c r="Z609" s="89" t="n"/>
      <c r="AB609" s="30">
        <f>IF($B609="","",(COUNTIF(C609:E609,"?*")&lt;N(INDEX(Setup!$L$6:$L$23,2)))+(COUNTIF(G609:I609,"?*")&lt;N(INDEX(Setup!$L$6:$L$23,2)))+(COUNTIF(K609:M609,"?*")&lt;N(INDEX(Setup!$L$6:$L$23,2)))+(COUNTIF(O609:Q609,"?*")&lt;N(INDEX(Setup!$L$6:$L$23,2)))+(COUNTIF(S609:U609,"?*")&lt;N(INDEX(Setup!$L$6:$L$23,2)))+((W609="")*(INDEX(Setup!$M$6:$M$23,2)="Y"))+((Y609="")*(INDEX(Setup!$M$6:$M$23,2)="Y")))</f>
        <v/>
      </c>
      <c r="AC609" s="91">
        <f>IF($B609="","",IF(AB609=0,"✓ covered","⚠ "&amp;AB609&amp;IF(AB609=1," gap"," gaps")))</f>
        <v/>
      </c>
    </row>
    <row r="610" ht="17" customHeight="1">
      <c r="A610" t="n">
        <v>13</v>
      </c>
      <c r="B610" s="24">
        <f>IF(Setup!$K$8="","",Setup!$K$8)</f>
        <v/>
      </c>
      <c r="C610" s="88" t="n"/>
      <c r="D610" s="88" t="n"/>
      <c r="E610" s="88" t="n"/>
      <c r="F610" s="89" t="n"/>
      <c r="G610" s="88" t="n"/>
      <c r="H610" s="88" t="n"/>
      <c r="I610" s="88" t="n"/>
      <c r="J610" s="89" t="n"/>
      <c r="K610" s="88" t="n"/>
      <c r="L610" s="88" t="n"/>
      <c r="M610" s="88" t="n"/>
      <c r="N610" s="89" t="n"/>
      <c r="O610" s="88" t="n"/>
      <c r="P610" s="88" t="n"/>
      <c r="Q610" s="88" t="n"/>
      <c r="R610" s="89" t="n"/>
      <c r="S610" s="88" t="n"/>
      <c r="T610" s="88" t="n"/>
      <c r="U610" s="88" t="n"/>
      <c r="V610" s="89" t="n"/>
      <c r="W610" s="88" t="n"/>
      <c r="X610" s="89" t="n"/>
      <c r="Y610" s="88" t="n"/>
      <c r="Z610" s="89" t="n"/>
      <c r="AB610" s="25">
        <f>IF($B610="","",(COUNTIF(C610:E610,"?*")&lt;N(INDEX(Setup!$L$6:$L$23,3)))+(COUNTIF(G610:I610,"?*")&lt;N(INDEX(Setup!$L$6:$L$23,3)))+(COUNTIF(K610:M610,"?*")&lt;N(INDEX(Setup!$L$6:$L$23,3)))+(COUNTIF(O610:Q610,"?*")&lt;N(INDEX(Setup!$L$6:$L$23,3)))+(COUNTIF(S610:U610,"?*")&lt;N(INDEX(Setup!$L$6:$L$23,3)))+((W610="")*(INDEX(Setup!$M$6:$M$23,3)="Y"))+((Y610="")*(INDEX(Setup!$M$6:$M$23,3)="Y")))</f>
        <v/>
      </c>
      <c r="AC610" s="90">
        <f>IF($B610="","",IF(AB610=0,"✓ covered","⚠ "&amp;AB610&amp;IF(AB610=1," gap"," gaps")))</f>
        <v/>
      </c>
    </row>
    <row r="611" ht="17" customHeight="1">
      <c r="A611" t="n">
        <v>13</v>
      </c>
      <c r="B611" s="29">
        <f>IF(Setup!$K$9="","",Setup!$K$9)</f>
        <v/>
      </c>
      <c r="C611" s="88" t="n"/>
      <c r="D611" s="88" t="n"/>
      <c r="E611" s="88" t="n"/>
      <c r="F611" s="89" t="n"/>
      <c r="G611" s="88" t="n"/>
      <c r="H611" s="88" t="n"/>
      <c r="I611" s="88" t="n"/>
      <c r="J611" s="89" t="n"/>
      <c r="K611" s="88" t="n"/>
      <c r="L611" s="88" t="n"/>
      <c r="M611" s="88" t="n"/>
      <c r="N611" s="89" t="n"/>
      <c r="O611" s="88" t="n"/>
      <c r="P611" s="88" t="n"/>
      <c r="Q611" s="88" t="n"/>
      <c r="R611" s="89" t="n"/>
      <c r="S611" s="88" t="n"/>
      <c r="T611" s="88" t="n"/>
      <c r="U611" s="88" t="n"/>
      <c r="V611" s="89" t="n"/>
      <c r="W611" s="88" t="n"/>
      <c r="X611" s="89" t="n"/>
      <c r="Y611" s="88" t="n"/>
      <c r="Z611" s="89" t="n"/>
      <c r="AB611" s="30">
        <f>IF($B611="","",(COUNTIF(C611:E611,"?*")&lt;N(INDEX(Setup!$L$6:$L$23,4)))+(COUNTIF(G611:I611,"?*")&lt;N(INDEX(Setup!$L$6:$L$23,4)))+(COUNTIF(K611:M611,"?*")&lt;N(INDEX(Setup!$L$6:$L$23,4)))+(COUNTIF(O611:Q611,"?*")&lt;N(INDEX(Setup!$L$6:$L$23,4)))+(COUNTIF(S611:U611,"?*")&lt;N(INDEX(Setup!$L$6:$L$23,4)))+((W611="")*(INDEX(Setup!$M$6:$M$23,4)="Y"))+((Y611="")*(INDEX(Setup!$M$6:$M$23,4)="Y")))</f>
        <v/>
      </c>
      <c r="AC611" s="91">
        <f>IF($B611="","",IF(AB611=0,"✓ covered","⚠ "&amp;AB611&amp;IF(AB611=1," gap"," gaps")))</f>
        <v/>
      </c>
    </row>
    <row r="612" ht="17" customHeight="1">
      <c r="A612" t="n">
        <v>13</v>
      </c>
      <c r="B612" s="24">
        <f>IF(Setup!$K$10="","",Setup!$K$10)</f>
        <v/>
      </c>
      <c r="C612" s="88" t="n"/>
      <c r="D612" s="88" t="n"/>
      <c r="E612" s="88" t="n"/>
      <c r="F612" s="89" t="n"/>
      <c r="G612" s="88" t="n"/>
      <c r="H612" s="88" t="n"/>
      <c r="I612" s="88" t="n"/>
      <c r="J612" s="89" t="n"/>
      <c r="K612" s="88" t="n"/>
      <c r="L612" s="88" t="n"/>
      <c r="M612" s="88" t="n"/>
      <c r="N612" s="89" t="n"/>
      <c r="O612" s="88" t="n"/>
      <c r="P612" s="88" t="n"/>
      <c r="Q612" s="88" t="n"/>
      <c r="R612" s="89" t="n"/>
      <c r="S612" s="88" t="n"/>
      <c r="T612" s="88" t="n"/>
      <c r="U612" s="88" t="n"/>
      <c r="V612" s="89" t="n"/>
      <c r="W612" s="88" t="n"/>
      <c r="X612" s="89" t="n"/>
      <c r="Y612" s="88" t="n"/>
      <c r="Z612" s="89" t="n"/>
      <c r="AB612" s="25">
        <f>IF($B612="","",(COUNTIF(C612:E612,"?*")&lt;N(INDEX(Setup!$L$6:$L$23,5)))+(COUNTIF(G612:I612,"?*")&lt;N(INDEX(Setup!$L$6:$L$23,5)))+(COUNTIF(K612:M612,"?*")&lt;N(INDEX(Setup!$L$6:$L$23,5)))+(COUNTIF(O612:Q612,"?*")&lt;N(INDEX(Setup!$L$6:$L$23,5)))+(COUNTIF(S612:U612,"?*")&lt;N(INDEX(Setup!$L$6:$L$23,5)))+((W612="")*(INDEX(Setup!$M$6:$M$23,5)="Y"))+((Y612="")*(INDEX(Setup!$M$6:$M$23,5)="Y")))</f>
        <v/>
      </c>
      <c r="AC612" s="90">
        <f>IF($B612="","",IF(AB612=0,"✓ covered","⚠ "&amp;AB612&amp;IF(AB612=1," gap"," gaps")))</f>
        <v/>
      </c>
    </row>
    <row r="613" ht="17" customHeight="1">
      <c r="A613" t="n">
        <v>13</v>
      </c>
      <c r="B613" s="29">
        <f>IF(Setup!$K$11="","",Setup!$K$11)</f>
        <v/>
      </c>
      <c r="C613" s="88" t="n"/>
      <c r="D613" s="88" t="n"/>
      <c r="E613" s="88" t="n"/>
      <c r="F613" s="89" t="n"/>
      <c r="G613" s="88" t="n"/>
      <c r="H613" s="88" t="n"/>
      <c r="I613" s="88" t="n"/>
      <c r="J613" s="89" t="n"/>
      <c r="K613" s="88" t="n"/>
      <c r="L613" s="88" t="n"/>
      <c r="M613" s="88" t="n"/>
      <c r="N613" s="89" t="n"/>
      <c r="O613" s="88" t="n"/>
      <c r="P613" s="88" t="n"/>
      <c r="Q613" s="88" t="n"/>
      <c r="R613" s="89" t="n"/>
      <c r="S613" s="88" t="n"/>
      <c r="T613" s="88" t="n"/>
      <c r="U613" s="88" t="n"/>
      <c r="V613" s="89" t="n"/>
      <c r="W613" s="88" t="n"/>
      <c r="X613" s="89" t="n"/>
      <c r="Y613" s="88" t="n"/>
      <c r="Z613" s="89" t="n"/>
      <c r="AB613" s="30">
        <f>IF($B613="","",(COUNTIF(C613:E613,"?*")&lt;N(INDEX(Setup!$L$6:$L$23,6)))+(COUNTIF(G613:I613,"?*")&lt;N(INDEX(Setup!$L$6:$L$23,6)))+(COUNTIF(K613:M613,"?*")&lt;N(INDEX(Setup!$L$6:$L$23,6)))+(COUNTIF(O613:Q613,"?*")&lt;N(INDEX(Setup!$L$6:$L$23,6)))+(COUNTIF(S613:U613,"?*")&lt;N(INDEX(Setup!$L$6:$L$23,6)))+((W613="")*(INDEX(Setup!$M$6:$M$23,6)="Y"))+((Y613="")*(INDEX(Setup!$M$6:$M$23,6)="Y")))</f>
        <v/>
      </c>
      <c r="AC613" s="91">
        <f>IF($B613="","",IF(AB613=0,"✓ covered","⚠ "&amp;AB613&amp;IF(AB613=1," gap"," gaps")))</f>
        <v/>
      </c>
    </row>
    <row r="614" ht="17" customHeight="1">
      <c r="A614" t="n">
        <v>13</v>
      </c>
      <c r="B614" s="24">
        <f>IF(Setup!$K$12="","",Setup!$K$12)</f>
        <v/>
      </c>
      <c r="C614" s="88" t="n"/>
      <c r="D614" s="88" t="n"/>
      <c r="E614" s="88" t="n"/>
      <c r="F614" s="89" t="n"/>
      <c r="G614" s="88" t="n"/>
      <c r="H614" s="88" t="n"/>
      <c r="I614" s="88" t="n"/>
      <c r="J614" s="89" t="n"/>
      <c r="K614" s="88" t="n"/>
      <c r="L614" s="88" t="n"/>
      <c r="M614" s="88" t="n"/>
      <c r="N614" s="89" t="n"/>
      <c r="O614" s="88" t="n"/>
      <c r="P614" s="88" t="n"/>
      <c r="Q614" s="88" t="n"/>
      <c r="R614" s="89" t="n"/>
      <c r="S614" s="88" t="n"/>
      <c r="T614" s="88" t="n"/>
      <c r="U614" s="88" t="n"/>
      <c r="V614" s="89" t="n"/>
      <c r="W614" s="88" t="n"/>
      <c r="X614" s="89" t="n"/>
      <c r="Y614" s="88" t="n"/>
      <c r="Z614" s="89" t="n"/>
      <c r="AB614" s="25">
        <f>IF($B614="","",(COUNTIF(C614:E614,"?*")&lt;N(INDEX(Setup!$L$6:$L$23,7)))+(COUNTIF(G614:I614,"?*")&lt;N(INDEX(Setup!$L$6:$L$23,7)))+(COUNTIF(K614:M614,"?*")&lt;N(INDEX(Setup!$L$6:$L$23,7)))+(COUNTIF(O614:Q614,"?*")&lt;N(INDEX(Setup!$L$6:$L$23,7)))+(COUNTIF(S614:U614,"?*")&lt;N(INDEX(Setup!$L$6:$L$23,7)))+((W614="")*(INDEX(Setup!$M$6:$M$23,7)="Y"))+((Y614="")*(INDEX(Setup!$M$6:$M$23,7)="Y")))</f>
        <v/>
      </c>
      <c r="AC614" s="90">
        <f>IF($B614="","",IF(AB614=0,"✓ covered","⚠ "&amp;AB614&amp;IF(AB614=1," gap"," gaps")))</f>
        <v/>
      </c>
    </row>
    <row r="615" ht="17" customHeight="1">
      <c r="A615" t="n">
        <v>13</v>
      </c>
      <c r="B615" s="29">
        <f>IF(Setup!$K$13="","",Setup!$K$13)</f>
        <v/>
      </c>
      <c r="C615" s="88" t="n"/>
      <c r="D615" s="88" t="n"/>
      <c r="E615" s="88" t="n"/>
      <c r="F615" s="89" t="n"/>
      <c r="G615" s="88" t="n"/>
      <c r="H615" s="88" t="n"/>
      <c r="I615" s="88" t="n"/>
      <c r="J615" s="89" t="n"/>
      <c r="K615" s="88" t="n"/>
      <c r="L615" s="88" t="n"/>
      <c r="M615" s="88" t="n"/>
      <c r="N615" s="89" t="n"/>
      <c r="O615" s="88" t="n"/>
      <c r="P615" s="88" t="n"/>
      <c r="Q615" s="88" t="n"/>
      <c r="R615" s="89" t="n"/>
      <c r="S615" s="88" t="n"/>
      <c r="T615" s="88" t="n"/>
      <c r="U615" s="88" t="n"/>
      <c r="V615" s="89" t="n"/>
      <c r="W615" s="88" t="n"/>
      <c r="X615" s="89" t="n"/>
      <c r="Y615" s="88" t="n"/>
      <c r="Z615" s="89" t="n"/>
      <c r="AB615" s="30">
        <f>IF($B615="","",(COUNTIF(C615:E615,"?*")&lt;N(INDEX(Setup!$L$6:$L$23,8)))+(COUNTIF(G615:I615,"?*")&lt;N(INDEX(Setup!$L$6:$L$23,8)))+(COUNTIF(K615:M615,"?*")&lt;N(INDEX(Setup!$L$6:$L$23,8)))+(COUNTIF(O615:Q615,"?*")&lt;N(INDEX(Setup!$L$6:$L$23,8)))+(COUNTIF(S615:U615,"?*")&lt;N(INDEX(Setup!$L$6:$L$23,8)))+((W615="")*(INDEX(Setup!$M$6:$M$23,8)="Y"))+((Y615="")*(INDEX(Setup!$M$6:$M$23,8)="Y")))</f>
        <v/>
      </c>
      <c r="AC615" s="91">
        <f>IF($B615="","",IF(AB615=0,"✓ covered","⚠ "&amp;AB615&amp;IF(AB615=1," gap"," gaps")))</f>
        <v/>
      </c>
    </row>
    <row r="616" ht="17" customHeight="1">
      <c r="A616" t="n">
        <v>13</v>
      </c>
      <c r="B616" s="24">
        <f>IF(Setup!$K$14="","",Setup!$K$14)</f>
        <v/>
      </c>
      <c r="C616" s="88" t="n"/>
      <c r="D616" s="88" t="n"/>
      <c r="E616" s="88" t="n"/>
      <c r="F616" s="89" t="n"/>
      <c r="G616" s="88" t="n"/>
      <c r="H616" s="88" t="n"/>
      <c r="I616" s="88" t="n"/>
      <c r="J616" s="89" t="n"/>
      <c r="K616" s="88" t="n"/>
      <c r="L616" s="88" t="n"/>
      <c r="M616" s="88" t="n"/>
      <c r="N616" s="89" t="n"/>
      <c r="O616" s="88" t="n"/>
      <c r="P616" s="88" t="n"/>
      <c r="Q616" s="88" t="n"/>
      <c r="R616" s="89" t="n"/>
      <c r="S616" s="88" t="n"/>
      <c r="T616" s="88" t="n"/>
      <c r="U616" s="88" t="n"/>
      <c r="V616" s="89" t="n"/>
      <c r="W616" s="88" t="n"/>
      <c r="X616" s="89" t="n"/>
      <c r="Y616" s="88" t="n"/>
      <c r="Z616" s="89" t="n"/>
      <c r="AB616" s="25">
        <f>IF($B616="","",(COUNTIF(C616:E616,"?*")&lt;N(INDEX(Setup!$L$6:$L$23,9)))+(COUNTIF(G616:I616,"?*")&lt;N(INDEX(Setup!$L$6:$L$23,9)))+(COUNTIF(K616:M616,"?*")&lt;N(INDEX(Setup!$L$6:$L$23,9)))+(COUNTIF(O616:Q616,"?*")&lt;N(INDEX(Setup!$L$6:$L$23,9)))+(COUNTIF(S616:U616,"?*")&lt;N(INDEX(Setup!$L$6:$L$23,9)))+((W616="")*(INDEX(Setup!$M$6:$M$23,9)="Y"))+((Y616="")*(INDEX(Setup!$M$6:$M$23,9)="Y")))</f>
        <v/>
      </c>
      <c r="AC616" s="90">
        <f>IF($B616="","",IF(AB616=0,"✓ covered","⚠ "&amp;AB616&amp;IF(AB616=1," gap"," gaps")))</f>
        <v/>
      </c>
    </row>
    <row r="617" ht="17" customHeight="1">
      <c r="A617" t="n">
        <v>13</v>
      </c>
      <c r="B617" s="29">
        <f>IF(Setup!$K$15="","",Setup!$K$15)</f>
        <v/>
      </c>
      <c r="C617" s="88" t="n"/>
      <c r="D617" s="88" t="n"/>
      <c r="E617" s="88" t="n"/>
      <c r="F617" s="89" t="n"/>
      <c r="G617" s="88" t="n"/>
      <c r="H617" s="88" t="n"/>
      <c r="I617" s="88" t="n"/>
      <c r="J617" s="89" t="n"/>
      <c r="K617" s="88" t="n"/>
      <c r="L617" s="88" t="n"/>
      <c r="M617" s="88" t="n"/>
      <c r="N617" s="89" t="n"/>
      <c r="O617" s="88" t="n"/>
      <c r="P617" s="88" t="n"/>
      <c r="Q617" s="88" t="n"/>
      <c r="R617" s="89" t="n"/>
      <c r="S617" s="88" t="n"/>
      <c r="T617" s="88" t="n"/>
      <c r="U617" s="88" t="n"/>
      <c r="V617" s="89" t="n"/>
      <c r="W617" s="88" t="n"/>
      <c r="X617" s="89" t="n"/>
      <c r="Y617" s="88" t="n"/>
      <c r="Z617" s="89" t="n"/>
      <c r="AB617" s="30">
        <f>IF($B617="","",(COUNTIF(C617:E617,"?*")&lt;N(INDEX(Setup!$L$6:$L$23,10)))+(COUNTIF(G617:I617,"?*")&lt;N(INDEX(Setup!$L$6:$L$23,10)))+(COUNTIF(K617:M617,"?*")&lt;N(INDEX(Setup!$L$6:$L$23,10)))+(COUNTIF(O617:Q617,"?*")&lt;N(INDEX(Setup!$L$6:$L$23,10)))+(COUNTIF(S617:U617,"?*")&lt;N(INDEX(Setup!$L$6:$L$23,10)))+((W617="")*(INDEX(Setup!$M$6:$M$23,10)="Y"))+((Y617="")*(INDEX(Setup!$M$6:$M$23,10)="Y")))</f>
        <v/>
      </c>
      <c r="AC617" s="91">
        <f>IF($B617="","",IF(AB617=0,"✓ covered","⚠ "&amp;AB617&amp;IF(AB617=1," gap"," gaps")))</f>
        <v/>
      </c>
    </row>
    <row r="618" ht="17" customHeight="1">
      <c r="A618" t="n">
        <v>13</v>
      </c>
      <c r="B618" s="24">
        <f>IF(Setup!$K$16="","",Setup!$K$16)</f>
        <v/>
      </c>
      <c r="C618" s="88" t="n"/>
      <c r="D618" s="88" t="n"/>
      <c r="E618" s="88" t="n"/>
      <c r="F618" s="89" t="n"/>
      <c r="G618" s="88" t="n"/>
      <c r="H618" s="88" t="n"/>
      <c r="I618" s="88" t="n"/>
      <c r="J618" s="89" t="n"/>
      <c r="K618" s="88" t="n"/>
      <c r="L618" s="88" t="n"/>
      <c r="M618" s="88" t="n"/>
      <c r="N618" s="89" t="n"/>
      <c r="O618" s="88" t="n"/>
      <c r="P618" s="88" t="n"/>
      <c r="Q618" s="88" t="n"/>
      <c r="R618" s="89" t="n"/>
      <c r="S618" s="88" t="n"/>
      <c r="T618" s="88" t="n"/>
      <c r="U618" s="88" t="n"/>
      <c r="V618" s="89" t="n"/>
      <c r="W618" s="88" t="n"/>
      <c r="X618" s="89" t="n"/>
      <c r="Y618" s="88" t="n"/>
      <c r="Z618" s="89" t="n"/>
      <c r="AB618" s="25">
        <f>IF($B618="","",(COUNTIF(C618:E618,"?*")&lt;N(INDEX(Setup!$L$6:$L$23,11)))+(COUNTIF(G618:I618,"?*")&lt;N(INDEX(Setup!$L$6:$L$23,11)))+(COUNTIF(K618:M618,"?*")&lt;N(INDEX(Setup!$L$6:$L$23,11)))+(COUNTIF(O618:Q618,"?*")&lt;N(INDEX(Setup!$L$6:$L$23,11)))+(COUNTIF(S618:U618,"?*")&lt;N(INDEX(Setup!$L$6:$L$23,11)))+((W618="")*(INDEX(Setup!$M$6:$M$23,11)="Y"))+((Y618="")*(INDEX(Setup!$M$6:$M$23,11)="Y")))</f>
        <v/>
      </c>
      <c r="AC618" s="90">
        <f>IF($B618="","",IF(AB618=0,"✓ covered","⚠ "&amp;AB618&amp;IF(AB618=1," gap"," gaps")))</f>
        <v/>
      </c>
    </row>
    <row r="619" ht="17" customHeight="1">
      <c r="A619" t="n">
        <v>13</v>
      </c>
      <c r="B619" s="29">
        <f>IF(Setup!$K$17="","",Setup!$K$17)</f>
        <v/>
      </c>
      <c r="C619" s="88" t="n"/>
      <c r="D619" s="88" t="n"/>
      <c r="E619" s="88" t="n"/>
      <c r="F619" s="89" t="n"/>
      <c r="G619" s="88" t="n"/>
      <c r="H619" s="88" t="n"/>
      <c r="I619" s="88" t="n"/>
      <c r="J619" s="89" t="n"/>
      <c r="K619" s="88" t="n"/>
      <c r="L619" s="88" t="n"/>
      <c r="M619" s="88" t="n"/>
      <c r="N619" s="89" t="n"/>
      <c r="O619" s="88" t="n"/>
      <c r="P619" s="88" t="n"/>
      <c r="Q619" s="88" t="n"/>
      <c r="R619" s="89" t="n"/>
      <c r="S619" s="88" t="n"/>
      <c r="T619" s="88" t="n"/>
      <c r="U619" s="88" t="n"/>
      <c r="V619" s="89" t="n"/>
      <c r="W619" s="88" t="n"/>
      <c r="X619" s="89" t="n"/>
      <c r="Y619" s="88" t="n"/>
      <c r="Z619" s="89" t="n"/>
      <c r="AB619" s="30">
        <f>IF($B619="","",(COUNTIF(C619:E619,"?*")&lt;N(INDEX(Setup!$L$6:$L$23,12)))+(COUNTIF(G619:I619,"?*")&lt;N(INDEX(Setup!$L$6:$L$23,12)))+(COUNTIF(K619:M619,"?*")&lt;N(INDEX(Setup!$L$6:$L$23,12)))+(COUNTIF(O619:Q619,"?*")&lt;N(INDEX(Setup!$L$6:$L$23,12)))+(COUNTIF(S619:U619,"?*")&lt;N(INDEX(Setup!$L$6:$L$23,12)))+((W619="")*(INDEX(Setup!$M$6:$M$23,12)="Y"))+((Y619="")*(INDEX(Setup!$M$6:$M$23,12)="Y")))</f>
        <v/>
      </c>
      <c r="AC619" s="91">
        <f>IF($B619="","",IF(AB619=0,"✓ covered","⚠ "&amp;AB619&amp;IF(AB619=1," gap"," gaps")))</f>
        <v/>
      </c>
    </row>
    <row r="620" ht="17" customHeight="1">
      <c r="A620" t="n">
        <v>13</v>
      </c>
      <c r="B620" s="24">
        <f>IF(Setup!$K$18="","",Setup!$K$18)</f>
        <v/>
      </c>
      <c r="C620" s="88" t="n"/>
      <c r="D620" s="88" t="n"/>
      <c r="E620" s="88" t="n"/>
      <c r="F620" s="89" t="n"/>
      <c r="G620" s="88" t="n"/>
      <c r="H620" s="88" t="n"/>
      <c r="I620" s="88" t="n"/>
      <c r="J620" s="89" t="n"/>
      <c r="K620" s="88" t="n"/>
      <c r="L620" s="88" t="n"/>
      <c r="M620" s="88" t="n"/>
      <c r="N620" s="89" t="n"/>
      <c r="O620" s="88" t="n"/>
      <c r="P620" s="88" t="n"/>
      <c r="Q620" s="88" t="n"/>
      <c r="R620" s="89" t="n"/>
      <c r="S620" s="88" t="n"/>
      <c r="T620" s="88" t="n"/>
      <c r="U620" s="88" t="n"/>
      <c r="V620" s="89" t="n"/>
      <c r="W620" s="88" t="n"/>
      <c r="X620" s="89" t="n"/>
      <c r="Y620" s="88" t="n"/>
      <c r="Z620" s="89" t="n"/>
      <c r="AB620" s="25">
        <f>IF($B620="","",(COUNTIF(C620:E620,"?*")&lt;N(INDEX(Setup!$L$6:$L$23,13)))+(COUNTIF(G620:I620,"?*")&lt;N(INDEX(Setup!$L$6:$L$23,13)))+(COUNTIF(K620:M620,"?*")&lt;N(INDEX(Setup!$L$6:$L$23,13)))+(COUNTIF(O620:Q620,"?*")&lt;N(INDEX(Setup!$L$6:$L$23,13)))+(COUNTIF(S620:U620,"?*")&lt;N(INDEX(Setup!$L$6:$L$23,13)))+((W620="")*(INDEX(Setup!$M$6:$M$23,13)="Y"))+((Y620="")*(INDEX(Setup!$M$6:$M$23,13)="Y")))</f>
        <v/>
      </c>
      <c r="AC620" s="90">
        <f>IF($B620="","",IF(AB620=0,"✓ covered","⚠ "&amp;AB620&amp;IF(AB620=1," gap"," gaps")))</f>
        <v/>
      </c>
    </row>
    <row r="621" ht="17" customHeight="1">
      <c r="A621" t="n">
        <v>13</v>
      </c>
      <c r="B621" s="29">
        <f>IF(Setup!$K$19="","",Setup!$K$19)</f>
        <v/>
      </c>
      <c r="C621" s="88" t="n"/>
      <c r="D621" s="88" t="n"/>
      <c r="E621" s="88" t="n"/>
      <c r="F621" s="89" t="n"/>
      <c r="G621" s="88" t="n"/>
      <c r="H621" s="88" t="n"/>
      <c r="I621" s="88" t="n"/>
      <c r="J621" s="89" t="n"/>
      <c r="K621" s="88" t="n"/>
      <c r="L621" s="88" t="n"/>
      <c r="M621" s="88" t="n"/>
      <c r="N621" s="89" t="n"/>
      <c r="O621" s="88" t="n"/>
      <c r="P621" s="88" t="n"/>
      <c r="Q621" s="88" t="n"/>
      <c r="R621" s="89" t="n"/>
      <c r="S621" s="88" t="n"/>
      <c r="T621" s="88" t="n"/>
      <c r="U621" s="88" t="n"/>
      <c r="V621" s="89" t="n"/>
      <c r="W621" s="88" t="n"/>
      <c r="X621" s="89" t="n"/>
      <c r="Y621" s="88" t="n"/>
      <c r="Z621" s="89" t="n"/>
      <c r="AB621" s="30">
        <f>IF($B621="","",(COUNTIF(C621:E621,"?*")&lt;N(INDEX(Setup!$L$6:$L$23,14)))+(COUNTIF(G621:I621,"?*")&lt;N(INDEX(Setup!$L$6:$L$23,14)))+(COUNTIF(K621:M621,"?*")&lt;N(INDEX(Setup!$L$6:$L$23,14)))+(COUNTIF(O621:Q621,"?*")&lt;N(INDEX(Setup!$L$6:$L$23,14)))+(COUNTIF(S621:U621,"?*")&lt;N(INDEX(Setup!$L$6:$L$23,14)))+((W621="")*(INDEX(Setup!$M$6:$M$23,14)="Y"))+((Y621="")*(INDEX(Setup!$M$6:$M$23,14)="Y")))</f>
        <v/>
      </c>
      <c r="AC621" s="91">
        <f>IF($B621="","",IF(AB621=0,"✓ covered","⚠ "&amp;AB621&amp;IF(AB621=1," gap"," gaps")))</f>
        <v/>
      </c>
    </row>
    <row r="622" ht="17" customHeight="1">
      <c r="A622" t="n">
        <v>13</v>
      </c>
      <c r="B622" s="24">
        <f>IF(Setup!$K$20="","",Setup!$K$20)</f>
        <v/>
      </c>
      <c r="C622" s="88" t="n"/>
      <c r="D622" s="88" t="n"/>
      <c r="E622" s="88" t="n"/>
      <c r="F622" s="89" t="n"/>
      <c r="G622" s="88" t="n"/>
      <c r="H622" s="88" t="n"/>
      <c r="I622" s="88" t="n"/>
      <c r="J622" s="89" t="n"/>
      <c r="K622" s="88" t="n"/>
      <c r="L622" s="88" t="n"/>
      <c r="M622" s="88" t="n"/>
      <c r="N622" s="89" t="n"/>
      <c r="O622" s="88" t="n"/>
      <c r="P622" s="88" t="n"/>
      <c r="Q622" s="88" t="n"/>
      <c r="R622" s="89" t="n"/>
      <c r="S622" s="88" t="n"/>
      <c r="T622" s="88" t="n"/>
      <c r="U622" s="88" t="n"/>
      <c r="V622" s="89" t="n"/>
      <c r="W622" s="88" t="n"/>
      <c r="X622" s="89" t="n"/>
      <c r="Y622" s="88" t="n"/>
      <c r="Z622" s="89" t="n"/>
      <c r="AB622" s="25">
        <f>IF($B622="","",(COUNTIF(C622:E622,"?*")&lt;N(INDEX(Setup!$L$6:$L$23,15)))+(COUNTIF(G622:I622,"?*")&lt;N(INDEX(Setup!$L$6:$L$23,15)))+(COUNTIF(K622:M622,"?*")&lt;N(INDEX(Setup!$L$6:$L$23,15)))+(COUNTIF(O622:Q622,"?*")&lt;N(INDEX(Setup!$L$6:$L$23,15)))+(COUNTIF(S622:U622,"?*")&lt;N(INDEX(Setup!$L$6:$L$23,15)))+((W622="")*(INDEX(Setup!$M$6:$M$23,15)="Y"))+((Y622="")*(INDEX(Setup!$M$6:$M$23,15)="Y")))</f>
        <v/>
      </c>
      <c r="AC622" s="90">
        <f>IF($B622="","",IF(AB622=0,"✓ covered","⚠ "&amp;AB622&amp;IF(AB622=1," gap"," gaps")))</f>
        <v/>
      </c>
    </row>
    <row r="623" ht="17" customHeight="1">
      <c r="A623" t="n">
        <v>13</v>
      </c>
      <c r="B623" s="29">
        <f>IF(Setup!$K$21="","",Setup!$K$21)</f>
        <v/>
      </c>
      <c r="C623" s="88" t="n"/>
      <c r="D623" s="88" t="n"/>
      <c r="E623" s="88" t="n"/>
      <c r="F623" s="89" t="n"/>
      <c r="G623" s="88" t="n"/>
      <c r="H623" s="88" t="n"/>
      <c r="I623" s="88" t="n"/>
      <c r="J623" s="89" t="n"/>
      <c r="K623" s="88" t="n"/>
      <c r="L623" s="88" t="n"/>
      <c r="M623" s="88" t="n"/>
      <c r="N623" s="89" t="n"/>
      <c r="O623" s="88" t="n"/>
      <c r="P623" s="88" t="n"/>
      <c r="Q623" s="88" t="n"/>
      <c r="R623" s="89" t="n"/>
      <c r="S623" s="88" t="n"/>
      <c r="T623" s="88" t="n"/>
      <c r="U623" s="88" t="n"/>
      <c r="V623" s="89" t="n"/>
      <c r="W623" s="88" t="n"/>
      <c r="X623" s="89" t="n"/>
      <c r="Y623" s="88" t="n"/>
      <c r="Z623" s="89" t="n"/>
      <c r="AB623" s="30">
        <f>IF($B623="","",(COUNTIF(C623:E623,"?*")&lt;N(INDEX(Setup!$L$6:$L$23,16)))+(COUNTIF(G623:I623,"?*")&lt;N(INDEX(Setup!$L$6:$L$23,16)))+(COUNTIF(K623:M623,"?*")&lt;N(INDEX(Setup!$L$6:$L$23,16)))+(COUNTIF(O623:Q623,"?*")&lt;N(INDEX(Setup!$L$6:$L$23,16)))+(COUNTIF(S623:U623,"?*")&lt;N(INDEX(Setup!$L$6:$L$23,16)))+((W623="")*(INDEX(Setup!$M$6:$M$23,16)="Y"))+((Y623="")*(INDEX(Setup!$M$6:$M$23,16)="Y")))</f>
        <v/>
      </c>
      <c r="AC623" s="91">
        <f>IF($B623="","",IF(AB623=0,"✓ covered","⚠ "&amp;AB623&amp;IF(AB623=1," gap"," gaps")))</f>
        <v/>
      </c>
    </row>
    <row r="624" ht="17" customHeight="1">
      <c r="A624" t="n">
        <v>13</v>
      </c>
      <c r="B624" s="24">
        <f>IF(Setup!$K$22="","",Setup!$K$22)</f>
        <v/>
      </c>
      <c r="C624" s="88" t="n"/>
      <c r="D624" s="88" t="n"/>
      <c r="E624" s="88" t="n"/>
      <c r="F624" s="89" t="n"/>
      <c r="G624" s="88" t="n"/>
      <c r="H624" s="88" t="n"/>
      <c r="I624" s="88" t="n"/>
      <c r="J624" s="89" t="n"/>
      <c r="K624" s="88" t="n"/>
      <c r="L624" s="88" t="n"/>
      <c r="M624" s="88" t="n"/>
      <c r="N624" s="89" t="n"/>
      <c r="O624" s="88" t="n"/>
      <c r="P624" s="88" t="n"/>
      <c r="Q624" s="88" t="n"/>
      <c r="R624" s="89" t="n"/>
      <c r="S624" s="88" t="n"/>
      <c r="T624" s="88" t="n"/>
      <c r="U624" s="88" t="n"/>
      <c r="V624" s="89" t="n"/>
      <c r="W624" s="88" t="n"/>
      <c r="X624" s="89" t="n"/>
      <c r="Y624" s="88" t="n"/>
      <c r="Z624" s="89" t="n"/>
      <c r="AB624" s="25">
        <f>IF($B624="","",(COUNTIF(C624:E624,"?*")&lt;N(INDEX(Setup!$L$6:$L$23,17)))+(COUNTIF(G624:I624,"?*")&lt;N(INDEX(Setup!$L$6:$L$23,17)))+(COUNTIF(K624:M624,"?*")&lt;N(INDEX(Setup!$L$6:$L$23,17)))+(COUNTIF(O624:Q624,"?*")&lt;N(INDEX(Setup!$L$6:$L$23,17)))+(COUNTIF(S624:U624,"?*")&lt;N(INDEX(Setup!$L$6:$L$23,17)))+((W624="")*(INDEX(Setup!$M$6:$M$23,17)="Y"))+((Y624="")*(INDEX(Setup!$M$6:$M$23,17)="Y")))</f>
        <v/>
      </c>
      <c r="AC624" s="90">
        <f>IF($B624="","",IF(AB624=0,"✓ covered","⚠ "&amp;AB624&amp;IF(AB624=1," gap"," gaps")))</f>
        <v/>
      </c>
    </row>
    <row r="625" ht="17" customHeight="1">
      <c r="A625" t="n">
        <v>13</v>
      </c>
      <c r="B625" s="29">
        <f>IF(Setup!$K$23="","",Setup!$K$23)</f>
        <v/>
      </c>
      <c r="C625" s="88" t="n"/>
      <c r="D625" s="88" t="n"/>
      <c r="E625" s="88" t="n"/>
      <c r="F625" s="89" t="n"/>
      <c r="G625" s="88" t="n"/>
      <c r="H625" s="88" t="n"/>
      <c r="I625" s="88" t="n"/>
      <c r="J625" s="89" t="n"/>
      <c r="K625" s="88" t="n"/>
      <c r="L625" s="88" t="n"/>
      <c r="M625" s="88" t="n"/>
      <c r="N625" s="89" t="n"/>
      <c r="O625" s="88" t="n"/>
      <c r="P625" s="88" t="n"/>
      <c r="Q625" s="88" t="n"/>
      <c r="R625" s="89" t="n"/>
      <c r="S625" s="88" t="n"/>
      <c r="T625" s="88" t="n"/>
      <c r="U625" s="88" t="n"/>
      <c r="V625" s="89" t="n"/>
      <c r="W625" s="88" t="n"/>
      <c r="X625" s="89" t="n"/>
      <c r="Y625" s="88" t="n"/>
      <c r="Z625" s="89" t="n"/>
      <c r="AB625" s="30">
        <f>IF($B625="","",(COUNTIF(C625:E625,"?*")&lt;N(INDEX(Setup!$L$6:$L$23,18)))+(COUNTIF(G625:I625,"?*")&lt;N(INDEX(Setup!$L$6:$L$23,18)))+(COUNTIF(K625:M625,"?*")&lt;N(INDEX(Setup!$L$6:$L$23,18)))+(COUNTIF(O625:Q625,"?*")&lt;N(INDEX(Setup!$L$6:$L$23,18)))+(COUNTIF(S625:U625,"?*")&lt;N(INDEX(Setup!$L$6:$L$23,18)))+((W625="")*(INDEX(Setup!$M$6:$M$23,18)="Y"))+((Y625="")*(INDEX(Setup!$M$6:$M$23,18)="Y")))</f>
        <v/>
      </c>
      <c r="AC625" s="91">
        <f>IF($B625="","",IF(AB625=0,"✓ covered","⚠ "&amp;AB625&amp;IF(AB625=1," gap"," gaps")))</f>
        <v/>
      </c>
    </row>
    <row r="626" ht="18" customHeight="1">
      <c r="A626" t="n">
        <v>13</v>
      </c>
      <c r="B626" s="78" t="inlineStr">
        <is>
          <t>TEAM AVAILABILITY</t>
        </is>
      </c>
      <c r="C626" s="92" t="inlineStr">
        <is>
          <t>Mon</t>
        </is>
      </c>
      <c r="D626" s="93" t="n"/>
      <c r="E626" s="93" t="n"/>
      <c r="F626" s="94" t="n"/>
      <c r="G626" s="92" t="inlineStr">
        <is>
          <t>Tue</t>
        </is>
      </c>
      <c r="H626" s="93" t="n"/>
      <c r="I626" s="93" t="n"/>
      <c r="J626" s="94" t="n"/>
      <c r="K626" s="92" t="inlineStr">
        <is>
          <t>Wed</t>
        </is>
      </c>
      <c r="L626" s="93" t="n"/>
      <c r="M626" s="93" t="n"/>
      <c r="N626" s="94" t="n"/>
      <c r="O626" s="92" t="inlineStr">
        <is>
          <t>Thu</t>
        </is>
      </c>
      <c r="P626" s="93" t="n"/>
      <c r="Q626" s="93" t="n"/>
      <c r="R626" s="94" t="n"/>
      <c r="S626" s="92" t="inlineStr">
        <is>
          <t>Fri</t>
        </is>
      </c>
      <c r="T626" s="93" t="n"/>
      <c r="U626" s="93" t="n"/>
      <c r="V626" s="94" t="n"/>
      <c r="W626" s="95" t="inlineStr">
        <is>
          <t>Sat</t>
        </is>
      </c>
      <c r="X626" s="96" t="n"/>
      <c r="Y626" s="95" t="inlineStr">
        <is>
          <t>Sun</t>
        </is>
      </c>
      <c r="Z626" s="96" t="n"/>
      <c r="AB626" s="97" t="inlineStr">
        <is>
          <t>Days rostered</t>
        </is>
      </c>
      <c r="AC626" s="97" t="inlineStr">
        <is>
          <t>Conflicts</t>
        </is>
      </c>
    </row>
    <row r="627" ht="15" customHeight="1">
      <c r="A627" t="n">
        <v>13</v>
      </c>
      <c r="B627" s="35">
        <f>IF(Setup!$B$6="","",Setup!$B$6)</f>
        <v/>
      </c>
      <c r="C627" s="98" t="n"/>
      <c r="D627" s="99" t="n"/>
      <c r="E627" s="99" t="n"/>
      <c r="F627" s="100" t="n"/>
      <c r="G627" s="98" t="n"/>
      <c r="H627" s="99" t="n"/>
      <c r="I627" s="99" t="n"/>
      <c r="J627" s="100" t="n"/>
      <c r="K627" s="98" t="n"/>
      <c r="L627" s="99" t="n"/>
      <c r="M627" s="99" t="n"/>
      <c r="N627" s="100" t="n"/>
      <c r="O627" s="98" t="n"/>
      <c r="P627" s="99" t="n"/>
      <c r="Q627" s="99" t="n"/>
      <c r="R627" s="100" t="n"/>
      <c r="S627" s="98" t="n"/>
      <c r="T627" s="99" t="n"/>
      <c r="U627" s="99" t="n"/>
      <c r="V627" s="100" t="n"/>
      <c r="W627" s="98" t="n"/>
      <c r="X627" s="100" t="n"/>
      <c r="Y627" s="98" t="n"/>
      <c r="Z627" s="100" t="n"/>
      <c r="AB627" s="101">
        <f>IF($B627="","",(COUNTIF(C608:E625,$B627)+COUNTIF(C608:E625,$B627&amp;" ~*")&gt;0)+(COUNTIF(G608:I625,$B627)+COUNTIF(G608:I625,$B627&amp;" ~*")&gt;0)+(COUNTIF(K608:M625,$B627)+COUNTIF(K608:M625,$B627&amp;" ~*")&gt;0)+(COUNTIF(O608:Q625,$B627)+COUNTIF(O608:Q625,$B627&amp;" ~*")&gt;0)+(COUNTIF(S608:U625,$B627)+COUNTIF(S608:U625,$B627&amp;" ~*")&gt;0)+(COUNTIF(W608:W625,$B627)+COUNTIF(W608:W625,$B627&amp;" ~*")&gt;0)+(COUNTIF(Y608:Y625,$B627)+COUNTIF(Y608:Y625,$B627&amp;" ~*")&gt;0))</f>
        <v/>
      </c>
      <c r="AC627" s="36">
        <f>IF($B627="","",(IFERROR(INDEX(Setup!$G$33:$G$40,MATCH(C627,Setup!$B$33:$B$40,0)),0)=1)*(COUNTIF(C608:E625,$B627)+COUNTIF(C608:E625,$B627&amp;" ~*")&gt;0)+(IFERROR(INDEX(Setup!$G$33:$G$40,MATCH(G627,Setup!$B$33:$B$40,0)),0)=1)*(COUNTIF(G608:I625,$B627)+COUNTIF(G608:I625,$B627&amp;" ~*")&gt;0)+(IFERROR(INDEX(Setup!$G$33:$G$40,MATCH(K627,Setup!$B$33:$B$40,0)),0)=1)*(COUNTIF(K608:M625,$B627)+COUNTIF(K608:M625,$B627&amp;" ~*")&gt;0)+(IFERROR(INDEX(Setup!$G$33:$G$40,MATCH(O627,Setup!$B$33:$B$40,0)),0)=1)*(COUNTIF(O608:Q625,$B627)+COUNTIF(O608:Q625,$B627&amp;" ~*")&gt;0)+(IFERROR(INDEX(Setup!$G$33:$G$40,MATCH(S627,Setup!$B$33:$B$40,0)),0)=1)*(COUNTIF(S608:U625,$B627)+COUNTIF(S608:U625,$B627&amp;" ~*")&gt;0)+(IFERROR(INDEX(Setup!$G$33:$G$40,MATCH(W627,Setup!$B$33:$B$40,0)),0)=1)*(COUNTIF(W608:W625,$B627)+COUNTIF(W608:W625,$B627&amp;" ~*")&gt;0)+(IFERROR(INDEX(Setup!$G$33:$G$40,MATCH(Y627,Setup!$B$33:$B$40,0)),0)=1)*(COUNTIF(Y608:Y625,$B627)+COUNTIF(Y608:Y625,$B627&amp;" ~*")&gt;0))</f>
        <v/>
      </c>
    </row>
    <row r="628" ht="15" customHeight="1">
      <c r="A628" t="n">
        <v>13</v>
      </c>
      <c r="B628" s="37">
        <f>IF(Setup!$B$7="","",Setup!$B$7)</f>
        <v/>
      </c>
      <c r="C628" s="102" t="n"/>
      <c r="D628" s="103" t="n"/>
      <c r="E628" s="103" t="n"/>
      <c r="F628" s="104" t="n"/>
      <c r="G628" s="102" t="n"/>
      <c r="H628" s="103" t="n"/>
      <c r="I628" s="103" t="n"/>
      <c r="J628" s="104" t="n"/>
      <c r="K628" s="102" t="n"/>
      <c r="L628" s="103" t="n"/>
      <c r="M628" s="103" t="n"/>
      <c r="N628" s="104" t="n"/>
      <c r="O628" s="102" t="n"/>
      <c r="P628" s="103" t="n"/>
      <c r="Q628" s="103" t="n"/>
      <c r="R628" s="104" t="n"/>
      <c r="S628" s="102" t="n"/>
      <c r="T628" s="103" t="n"/>
      <c r="U628" s="103" t="n"/>
      <c r="V628" s="104" t="n"/>
      <c r="W628" s="102" t="n"/>
      <c r="X628" s="104" t="n"/>
      <c r="Y628" s="102" t="n"/>
      <c r="Z628" s="104" t="n"/>
      <c r="AB628" s="105">
        <f>IF($B628="","",(COUNTIF(C608:E625,$B628)+COUNTIF(C608:E625,$B628&amp;" ~*")&gt;0)+(COUNTIF(G608:I625,$B628)+COUNTIF(G608:I625,$B628&amp;" ~*")&gt;0)+(COUNTIF(K608:M625,$B628)+COUNTIF(K608:M625,$B628&amp;" ~*")&gt;0)+(COUNTIF(O608:Q625,$B628)+COUNTIF(O608:Q625,$B628&amp;" ~*")&gt;0)+(COUNTIF(S608:U625,$B628)+COUNTIF(S608:U625,$B628&amp;" ~*")&gt;0)+(COUNTIF(W608:W625,$B628)+COUNTIF(W608:W625,$B628&amp;" ~*")&gt;0)+(COUNTIF(Y608:Y625,$B628)+COUNTIF(Y608:Y625,$B628&amp;" ~*")&gt;0))</f>
        <v/>
      </c>
      <c r="AC628" s="38">
        <f>IF($B628="","",(IFERROR(INDEX(Setup!$G$33:$G$40,MATCH(C628,Setup!$B$33:$B$40,0)),0)=1)*(COUNTIF(C608:E625,$B628)+COUNTIF(C608:E625,$B628&amp;" ~*")&gt;0)+(IFERROR(INDEX(Setup!$G$33:$G$40,MATCH(G628,Setup!$B$33:$B$40,0)),0)=1)*(COUNTIF(G608:I625,$B628)+COUNTIF(G608:I625,$B628&amp;" ~*")&gt;0)+(IFERROR(INDEX(Setup!$G$33:$G$40,MATCH(K628,Setup!$B$33:$B$40,0)),0)=1)*(COUNTIF(K608:M625,$B628)+COUNTIF(K608:M625,$B628&amp;" ~*")&gt;0)+(IFERROR(INDEX(Setup!$G$33:$G$40,MATCH(O628,Setup!$B$33:$B$40,0)),0)=1)*(COUNTIF(O608:Q625,$B628)+COUNTIF(O608:Q625,$B628&amp;" ~*")&gt;0)+(IFERROR(INDEX(Setup!$G$33:$G$40,MATCH(S628,Setup!$B$33:$B$40,0)),0)=1)*(COUNTIF(S608:U625,$B628)+COUNTIF(S608:U625,$B628&amp;" ~*")&gt;0)+(IFERROR(INDEX(Setup!$G$33:$G$40,MATCH(W628,Setup!$B$33:$B$40,0)),0)=1)*(COUNTIF(W608:W625,$B628)+COUNTIF(W608:W625,$B628&amp;" ~*")&gt;0)+(IFERROR(INDEX(Setup!$G$33:$G$40,MATCH(Y628,Setup!$B$33:$B$40,0)),0)=1)*(COUNTIF(Y608:Y625,$B628)+COUNTIF(Y608:Y625,$B628&amp;" ~*")&gt;0))</f>
        <v/>
      </c>
    </row>
    <row r="629" ht="15" customHeight="1">
      <c r="A629" t="n">
        <v>13</v>
      </c>
      <c r="B629" s="35">
        <f>IF(Setup!$B$8="","",Setup!$B$8)</f>
        <v/>
      </c>
      <c r="C629" s="98" t="n"/>
      <c r="D629" s="99" t="n"/>
      <c r="E629" s="99" t="n"/>
      <c r="F629" s="100" t="n"/>
      <c r="G629" s="98" t="n"/>
      <c r="H629" s="99" t="n"/>
      <c r="I629" s="99" t="n"/>
      <c r="J629" s="100" t="n"/>
      <c r="K629" s="98" t="n"/>
      <c r="L629" s="99" t="n"/>
      <c r="M629" s="99" t="n"/>
      <c r="N629" s="100" t="n"/>
      <c r="O629" s="98" t="n"/>
      <c r="P629" s="99" t="n"/>
      <c r="Q629" s="99" t="n"/>
      <c r="R629" s="100" t="n"/>
      <c r="S629" s="98" t="n"/>
      <c r="T629" s="99" t="n"/>
      <c r="U629" s="99" t="n"/>
      <c r="V629" s="100" t="n"/>
      <c r="W629" s="98" t="n"/>
      <c r="X629" s="100" t="n"/>
      <c r="Y629" s="98" t="n"/>
      <c r="Z629" s="100" t="n"/>
      <c r="AB629" s="101">
        <f>IF($B629="","",(COUNTIF(C608:E625,$B629)+COUNTIF(C608:E625,$B629&amp;" ~*")&gt;0)+(COUNTIF(G608:I625,$B629)+COUNTIF(G608:I625,$B629&amp;" ~*")&gt;0)+(COUNTIF(K608:M625,$B629)+COUNTIF(K608:M625,$B629&amp;" ~*")&gt;0)+(COUNTIF(O608:Q625,$B629)+COUNTIF(O608:Q625,$B629&amp;" ~*")&gt;0)+(COUNTIF(S608:U625,$B629)+COUNTIF(S608:U625,$B629&amp;" ~*")&gt;0)+(COUNTIF(W608:W625,$B629)+COUNTIF(W608:W625,$B629&amp;" ~*")&gt;0)+(COUNTIF(Y608:Y625,$B629)+COUNTIF(Y608:Y625,$B629&amp;" ~*")&gt;0))</f>
        <v/>
      </c>
      <c r="AC629" s="36">
        <f>IF($B629="","",(IFERROR(INDEX(Setup!$G$33:$G$40,MATCH(C629,Setup!$B$33:$B$40,0)),0)=1)*(COUNTIF(C608:E625,$B629)+COUNTIF(C608:E625,$B629&amp;" ~*")&gt;0)+(IFERROR(INDEX(Setup!$G$33:$G$40,MATCH(G629,Setup!$B$33:$B$40,0)),0)=1)*(COUNTIF(G608:I625,$B629)+COUNTIF(G608:I625,$B629&amp;" ~*")&gt;0)+(IFERROR(INDEX(Setup!$G$33:$G$40,MATCH(K629,Setup!$B$33:$B$40,0)),0)=1)*(COUNTIF(K608:M625,$B629)+COUNTIF(K608:M625,$B629&amp;" ~*")&gt;0)+(IFERROR(INDEX(Setup!$G$33:$G$40,MATCH(O629,Setup!$B$33:$B$40,0)),0)=1)*(COUNTIF(O608:Q625,$B629)+COUNTIF(O608:Q625,$B629&amp;" ~*")&gt;0)+(IFERROR(INDEX(Setup!$G$33:$G$40,MATCH(S629,Setup!$B$33:$B$40,0)),0)=1)*(COUNTIF(S608:U625,$B629)+COUNTIF(S608:U625,$B629&amp;" ~*")&gt;0)+(IFERROR(INDEX(Setup!$G$33:$G$40,MATCH(W629,Setup!$B$33:$B$40,0)),0)=1)*(COUNTIF(W608:W625,$B629)+COUNTIF(W608:W625,$B629&amp;" ~*")&gt;0)+(IFERROR(INDEX(Setup!$G$33:$G$40,MATCH(Y629,Setup!$B$33:$B$40,0)),0)=1)*(COUNTIF(Y608:Y625,$B629)+COUNTIF(Y608:Y625,$B629&amp;" ~*")&gt;0))</f>
        <v/>
      </c>
    </row>
    <row r="630" ht="15" customHeight="1">
      <c r="A630" t="n">
        <v>13</v>
      </c>
      <c r="B630" s="37">
        <f>IF(Setup!$B$9="","",Setup!$B$9)</f>
        <v/>
      </c>
      <c r="C630" s="102" t="n"/>
      <c r="D630" s="103" t="n"/>
      <c r="E630" s="103" t="n"/>
      <c r="F630" s="104" t="n"/>
      <c r="G630" s="102" t="n"/>
      <c r="H630" s="103" t="n"/>
      <c r="I630" s="103" t="n"/>
      <c r="J630" s="104" t="n"/>
      <c r="K630" s="102" t="n"/>
      <c r="L630" s="103" t="n"/>
      <c r="M630" s="103" t="n"/>
      <c r="N630" s="104" t="n"/>
      <c r="O630" s="102" t="n"/>
      <c r="P630" s="103" t="n"/>
      <c r="Q630" s="103" t="n"/>
      <c r="R630" s="104" t="n"/>
      <c r="S630" s="102" t="n"/>
      <c r="T630" s="103" t="n"/>
      <c r="U630" s="103" t="n"/>
      <c r="V630" s="104" t="n"/>
      <c r="W630" s="102" t="n"/>
      <c r="X630" s="104" t="n"/>
      <c r="Y630" s="102" t="n"/>
      <c r="Z630" s="104" t="n"/>
      <c r="AB630" s="105">
        <f>IF($B630="","",(COUNTIF(C608:E625,$B630)+COUNTIF(C608:E625,$B630&amp;" ~*")&gt;0)+(COUNTIF(G608:I625,$B630)+COUNTIF(G608:I625,$B630&amp;" ~*")&gt;0)+(COUNTIF(K608:M625,$B630)+COUNTIF(K608:M625,$B630&amp;" ~*")&gt;0)+(COUNTIF(O608:Q625,$B630)+COUNTIF(O608:Q625,$B630&amp;" ~*")&gt;0)+(COUNTIF(S608:U625,$B630)+COUNTIF(S608:U625,$B630&amp;" ~*")&gt;0)+(COUNTIF(W608:W625,$B630)+COUNTIF(W608:W625,$B630&amp;" ~*")&gt;0)+(COUNTIF(Y608:Y625,$B630)+COUNTIF(Y608:Y625,$B630&amp;" ~*")&gt;0))</f>
        <v/>
      </c>
      <c r="AC630" s="38">
        <f>IF($B630="","",(IFERROR(INDEX(Setup!$G$33:$G$40,MATCH(C630,Setup!$B$33:$B$40,0)),0)=1)*(COUNTIF(C608:E625,$B630)+COUNTIF(C608:E625,$B630&amp;" ~*")&gt;0)+(IFERROR(INDEX(Setup!$G$33:$G$40,MATCH(G630,Setup!$B$33:$B$40,0)),0)=1)*(COUNTIF(G608:I625,$B630)+COUNTIF(G608:I625,$B630&amp;" ~*")&gt;0)+(IFERROR(INDEX(Setup!$G$33:$G$40,MATCH(K630,Setup!$B$33:$B$40,0)),0)=1)*(COUNTIF(K608:M625,$B630)+COUNTIF(K608:M625,$B630&amp;" ~*")&gt;0)+(IFERROR(INDEX(Setup!$G$33:$G$40,MATCH(O630,Setup!$B$33:$B$40,0)),0)=1)*(COUNTIF(O608:Q625,$B630)+COUNTIF(O608:Q625,$B630&amp;" ~*")&gt;0)+(IFERROR(INDEX(Setup!$G$33:$G$40,MATCH(S630,Setup!$B$33:$B$40,0)),0)=1)*(COUNTIF(S608:U625,$B630)+COUNTIF(S608:U625,$B630&amp;" ~*")&gt;0)+(IFERROR(INDEX(Setup!$G$33:$G$40,MATCH(W630,Setup!$B$33:$B$40,0)),0)=1)*(COUNTIF(W608:W625,$B630)+COUNTIF(W608:W625,$B630&amp;" ~*")&gt;0)+(IFERROR(INDEX(Setup!$G$33:$G$40,MATCH(Y630,Setup!$B$33:$B$40,0)),0)=1)*(COUNTIF(Y608:Y625,$B630)+COUNTIF(Y608:Y625,$B630&amp;" ~*")&gt;0))</f>
        <v/>
      </c>
    </row>
    <row r="631" ht="15" customHeight="1">
      <c r="A631" t="n">
        <v>13</v>
      </c>
      <c r="B631" s="35">
        <f>IF(Setup!$B$10="","",Setup!$B$10)</f>
        <v/>
      </c>
      <c r="C631" s="98" t="n"/>
      <c r="D631" s="99" t="n"/>
      <c r="E631" s="99" t="n"/>
      <c r="F631" s="100" t="n"/>
      <c r="G631" s="98" t="n"/>
      <c r="H631" s="99" t="n"/>
      <c r="I631" s="99" t="n"/>
      <c r="J631" s="100" t="n"/>
      <c r="K631" s="98" t="n"/>
      <c r="L631" s="99" t="n"/>
      <c r="M631" s="99" t="n"/>
      <c r="N631" s="100" t="n"/>
      <c r="O631" s="98" t="n"/>
      <c r="P631" s="99" t="n"/>
      <c r="Q631" s="99" t="n"/>
      <c r="R631" s="100" t="n"/>
      <c r="S631" s="98" t="n"/>
      <c r="T631" s="99" t="n"/>
      <c r="U631" s="99" t="n"/>
      <c r="V631" s="100" t="n"/>
      <c r="W631" s="98" t="n"/>
      <c r="X631" s="100" t="n"/>
      <c r="Y631" s="98" t="n"/>
      <c r="Z631" s="100" t="n"/>
      <c r="AB631" s="101">
        <f>IF($B631="","",(COUNTIF(C608:E625,$B631)+COUNTIF(C608:E625,$B631&amp;" ~*")&gt;0)+(COUNTIF(G608:I625,$B631)+COUNTIF(G608:I625,$B631&amp;" ~*")&gt;0)+(COUNTIF(K608:M625,$B631)+COUNTIF(K608:M625,$B631&amp;" ~*")&gt;0)+(COUNTIF(O608:Q625,$B631)+COUNTIF(O608:Q625,$B631&amp;" ~*")&gt;0)+(COUNTIF(S608:U625,$B631)+COUNTIF(S608:U625,$B631&amp;" ~*")&gt;0)+(COUNTIF(W608:W625,$B631)+COUNTIF(W608:W625,$B631&amp;" ~*")&gt;0)+(COUNTIF(Y608:Y625,$B631)+COUNTIF(Y608:Y625,$B631&amp;" ~*")&gt;0))</f>
        <v/>
      </c>
      <c r="AC631" s="36">
        <f>IF($B631="","",(IFERROR(INDEX(Setup!$G$33:$G$40,MATCH(C631,Setup!$B$33:$B$40,0)),0)=1)*(COUNTIF(C608:E625,$B631)+COUNTIF(C608:E625,$B631&amp;" ~*")&gt;0)+(IFERROR(INDEX(Setup!$G$33:$G$40,MATCH(G631,Setup!$B$33:$B$40,0)),0)=1)*(COUNTIF(G608:I625,$B631)+COUNTIF(G608:I625,$B631&amp;" ~*")&gt;0)+(IFERROR(INDEX(Setup!$G$33:$G$40,MATCH(K631,Setup!$B$33:$B$40,0)),0)=1)*(COUNTIF(K608:M625,$B631)+COUNTIF(K608:M625,$B631&amp;" ~*")&gt;0)+(IFERROR(INDEX(Setup!$G$33:$G$40,MATCH(O631,Setup!$B$33:$B$40,0)),0)=1)*(COUNTIF(O608:Q625,$B631)+COUNTIF(O608:Q625,$B631&amp;" ~*")&gt;0)+(IFERROR(INDEX(Setup!$G$33:$G$40,MATCH(S631,Setup!$B$33:$B$40,0)),0)=1)*(COUNTIF(S608:U625,$B631)+COUNTIF(S608:U625,$B631&amp;" ~*")&gt;0)+(IFERROR(INDEX(Setup!$G$33:$G$40,MATCH(W631,Setup!$B$33:$B$40,0)),0)=1)*(COUNTIF(W608:W625,$B631)+COUNTIF(W608:W625,$B631&amp;" ~*")&gt;0)+(IFERROR(INDEX(Setup!$G$33:$G$40,MATCH(Y631,Setup!$B$33:$B$40,0)),0)=1)*(COUNTIF(Y608:Y625,$B631)+COUNTIF(Y608:Y625,$B631&amp;" ~*")&gt;0))</f>
        <v/>
      </c>
    </row>
    <row r="632" ht="15" customHeight="1">
      <c r="A632" t="n">
        <v>13</v>
      </c>
      <c r="B632" s="37">
        <f>IF(Setup!$B$11="","",Setup!$B$11)</f>
        <v/>
      </c>
      <c r="C632" s="102" t="n"/>
      <c r="D632" s="103" t="n"/>
      <c r="E632" s="103" t="n"/>
      <c r="F632" s="104" t="n"/>
      <c r="G632" s="102" t="n"/>
      <c r="H632" s="103" t="n"/>
      <c r="I632" s="103" t="n"/>
      <c r="J632" s="104" t="n"/>
      <c r="K632" s="102" t="n"/>
      <c r="L632" s="103" t="n"/>
      <c r="M632" s="103" t="n"/>
      <c r="N632" s="104" t="n"/>
      <c r="O632" s="102" t="n"/>
      <c r="P632" s="103" t="n"/>
      <c r="Q632" s="103" t="n"/>
      <c r="R632" s="104" t="n"/>
      <c r="S632" s="102" t="n"/>
      <c r="T632" s="103" t="n"/>
      <c r="U632" s="103" t="n"/>
      <c r="V632" s="104" t="n"/>
      <c r="W632" s="102" t="n"/>
      <c r="X632" s="104" t="n"/>
      <c r="Y632" s="102" t="n"/>
      <c r="Z632" s="104" t="n"/>
      <c r="AB632" s="105">
        <f>IF($B632="","",(COUNTIF(C608:E625,$B632)+COUNTIF(C608:E625,$B632&amp;" ~*")&gt;0)+(COUNTIF(G608:I625,$B632)+COUNTIF(G608:I625,$B632&amp;" ~*")&gt;0)+(COUNTIF(K608:M625,$B632)+COUNTIF(K608:M625,$B632&amp;" ~*")&gt;0)+(COUNTIF(O608:Q625,$B632)+COUNTIF(O608:Q625,$B632&amp;" ~*")&gt;0)+(COUNTIF(S608:U625,$B632)+COUNTIF(S608:U625,$B632&amp;" ~*")&gt;0)+(COUNTIF(W608:W625,$B632)+COUNTIF(W608:W625,$B632&amp;" ~*")&gt;0)+(COUNTIF(Y608:Y625,$B632)+COUNTIF(Y608:Y625,$B632&amp;" ~*")&gt;0))</f>
        <v/>
      </c>
      <c r="AC632" s="38">
        <f>IF($B632="","",(IFERROR(INDEX(Setup!$G$33:$G$40,MATCH(C632,Setup!$B$33:$B$40,0)),0)=1)*(COUNTIF(C608:E625,$B632)+COUNTIF(C608:E625,$B632&amp;" ~*")&gt;0)+(IFERROR(INDEX(Setup!$G$33:$G$40,MATCH(G632,Setup!$B$33:$B$40,0)),0)=1)*(COUNTIF(G608:I625,$B632)+COUNTIF(G608:I625,$B632&amp;" ~*")&gt;0)+(IFERROR(INDEX(Setup!$G$33:$G$40,MATCH(K632,Setup!$B$33:$B$40,0)),0)=1)*(COUNTIF(K608:M625,$B632)+COUNTIF(K608:M625,$B632&amp;" ~*")&gt;0)+(IFERROR(INDEX(Setup!$G$33:$G$40,MATCH(O632,Setup!$B$33:$B$40,0)),0)=1)*(COUNTIF(O608:Q625,$B632)+COUNTIF(O608:Q625,$B632&amp;" ~*")&gt;0)+(IFERROR(INDEX(Setup!$G$33:$G$40,MATCH(S632,Setup!$B$33:$B$40,0)),0)=1)*(COUNTIF(S608:U625,$B632)+COUNTIF(S608:U625,$B632&amp;" ~*")&gt;0)+(IFERROR(INDEX(Setup!$G$33:$G$40,MATCH(W632,Setup!$B$33:$B$40,0)),0)=1)*(COUNTIF(W608:W625,$B632)+COUNTIF(W608:W625,$B632&amp;" ~*")&gt;0)+(IFERROR(INDEX(Setup!$G$33:$G$40,MATCH(Y632,Setup!$B$33:$B$40,0)),0)=1)*(COUNTIF(Y608:Y625,$B632)+COUNTIF(Y608:Y625,$B632&amp;" ~*")&gt;0))</f>
        <v/>
      </c>
    </row>
    <row r="633" ht="15" customHeight="1">
      <c r="A633" t="n">
        <v>13</v>
      </c>
      <c r="B633" s="35">
        <f>IF(Setup!$B$12="","",Setup!$B$12)</f>
        <v/>
      </c>
      <c r="C633" s="98" t="n"/>
      <c r="D633" s="99" t="n"/>
      <c r="E633" s="99" t="n"/>
      <c r="F633" s="100" t="n"/>
      <c r="G633" s="98" t="inlineStr">
        <is>
          <t>AL</t>
        </is>
      </c>
      <c r="H633" s="99" t="n"/>
      <c r="I633" s="99" t="n"/>
      <c r="J633" s="100" t="n"/>
      <c r="K633" s="98" t="inlineStr">
        <is>
          <t>AL</t>
        </is>
      </c>
      <c r="L633" s="99" t="n"/>
      <c r="M633" s="99" t="n"/>
      <c r="N633" s="100" t="n"/>
      <c r="O633" s="98" t="inlineStr">
        <is>
          <t>AL</t>
        </is>
      </c>
      <c r="P633" s="99" t="n"/>
      <c r="Q633" s="99" t="n"/>
      <c r="R633" s="100" t="n"/>
      <c r="S633" s="98" t="inlineStr">
        <is>
          <t>AL</t>
        </is>
      </c>
      <c r="T633" s="99" t="n"/>
      <c r="U633" s="99" t="n"/>
      <c r="V633" s="100" t="n"/>
      <c r="W633" s="98" t="n"/>
      <c r="X633" s="100" t="n"/>
      <c r="Y633" s="98" t="n"/>
      <c r="Z633" s="100" t="n"/>
      <c r="AB633" s="101">
        <f>IF($B633="","",(COUNTIF(C608:E625,$B633)+COUNTIF(C608:E625,$B633&amp;" ~*")&gt;0)+(COUNTIF(G608:I625,$B633)+COUNTIF(G608:I625,$B633&amp;" ~*")&gt;0)+(COUNTIF(K608:M625,$B633)+COUNTIF(K608:M625,$B633&amp;" ~*")&gt;0)+(COUNTIF(O608:Q625,$B633)+COUNTIF(O608:Q625,$B633&amp;" ~*")&gt;0)+(COUNTIF(S608:U625,$B633)+COUNTIF(S608:U625,$B633&amp;" ~*")&gt;0)+(COUNTIF(W608:W625,$B633)+COUNTIF(W608:W625,$B633&amp;" ~*")&gt;0)+(COUNTIF(Y608:Y625,$B633)+COUNTIF(Y608:Y625,$B633&amp;" ~*")&gt;0))</f>
        <v/>
      </c>
      <c r="AC633" s="36">
        <f>IF($B633="","",(IFERROR(INDEX(Setup!$G$33:$G$40,MATCH(C633,Setup!$B$33:$B$40,0)),0)=1)*(COUNTIF(C608:E625,$B633)+COUNTIF(C608:E625,$B633&amp;" ~*")&gt;0)+(IFERROR(INDEX(Setup!$G$33:$G$40,MATCH(G633,Setup!$B$33:$B$40,0)),0)=1)*(COUNTIF(G608:I625,$B633)+COUNTIF(G608:I625,$B633&amp;" ~*")&gt;0)+(IFERROR(INDEX(Setup!$G$33:$G$40,MATCH(K633,Setup!$B$33:$B$40,0)),0)=1)*(COUNTIF(K608:M625,$B633)+COUNTIF(K608:M625,$B633&amp;" ~*")&gt;0)+(IFERROR(INDEX(Setup!$G$33:$G$40,MATCH(O633,Setup!$B$33:$B$40,0)),0)=1)*(COUNTIF(O608:Q625,$B633)+COUNTIF(O608:Q625,$B633&amp;" ~*")&gt;0)+(IFERROR(INDEX(Setup!$G$33:$G$40,MATCH(S633,Setup!$B$33:$B$40,0)),0)=1)*(COUNTIF(S608:U625,$B633)+COUNTIF(S608:U625,$B633&amp;" ~*")&gt;0)+(IFERROR(INDEX(Setup!$G$33:$G$40,MATCH(W633,Setup!$B$33:$B$40,0)),0)=1)*(COUNTIF(W608:W625,$B633)+COUNTIF(W608:W625,$B633&amp;" ~*")&gt;0)+(IFERROR(INDEX(Setup!$G$33:$G$40,MATCH(Y633,Setup!$B$33:$B$40,0)),0)=1)*(COUNTIF(Y608:Y625,$B633)+COUNTIF(Y608:Y625,$B633&amp;" ~*")&gt;0))</f>
        <v/>
      </c>
    </row>
    <row r="634" ht="15" customHeight="1">
      <c r="A634" t="n">
        <v>13</v>
      </c>
      <c r="B634" s="37">
        <f>IF(Setup!$B$13="","",Setup!$B$13)</f>
        <v/>
      </c>
      <c r="C634" s="102" t="n"/>
      <c r="D634" s="103" t="n"/>
      <c r="E634" s="103" t="n"/>
      <c r="F634" s="104" t="n"/>
      <c r="G634" s="102" t="inlineStr">
        <is>
          <t>AL</t>
        </is>
      </c>
      <c r="H634" s="103" t="n"/>
      <c r="I634" s="103" t="n"/>
      <c r="J634" s="104" t="n"/>
      <c r="K634" s="102" t="inlineStr">
        <is>
          <t>AL</t>
        </is>
      </c>
      <c r="L634" s="103" t="n"/>
      <c r="M634" s="103" t="n"/>
      <c r="N634" s="104" t="n"/>
      <c r="O634" s="102" t="n"/>
      <c r="P634" s="103" t="n"/>
      <c r="Q634" s="103" t="n"/>
      <c r="R634" s="104" t="n"/>
      <c r="S634" s="102" t="inlineStr">
        <is>
          <t>AL</t>
        </is>
      </c>
      <c r="T634" s="103" t="n"/>
      <c r="U634" s="103" t="n"/>
      <c r="V634" s="104" t="n"/>
      <c r="W634" s="102" t="n"/>
      <c r="X634" s="104" t="n"/>
      <c r="Y634" s="102" t="n"/>
      <c r="Z634" s="104" t="n"/>
      <c r="AB634" s="105">
        <f>IF($B634="","",(COUNTIF(C608:E625,$B634)+COUNTIF(C608:E625,$B634&amp;" ~*")&gt;0)+(COUNTIF(G608:I625,$B634)+COUNTIF(G608:I625,$B634&amp;" ~*")&gt;0)+(COUNTIF(K608:M625,$B634)+COUNTIF(K608:M625,$B634&amp;" ~*")&gt;0)+(COUNTIF(O608:Q625,$B634)+COUNTIF(O608:Q625,$B634&amp;" ~*")&gt;0)+(COUNTIF(S608:U625,$B634)+COUNTIF(S608:U625,$B634&amp;" ~*")&gt;0)+(COUNTIF(W608:W625,$B634)+COUNTIF(W608:W625,$B634&amp;" ~*")&gt;0)+(COUNTIF(Y608:Y625,$B634)+COUNTIF(Y608:Y625,$B634&amp;" ~*")&gt;0))</f>
        <v/>
      </c>
      <c r="AC634" s="38">
        <f>IF($B634="","",(IFERROR(INDEX(Setup!$G$33:$G$40,MATCH(C634,Setup!$B$33:$B$40,0)),0)=1)*(COUNTIF(C608:E625,$B634)+COUNTIF(C608:E625,$B634&amp;" ~*")&gt;0)+(IFERROR(INDEX(Setup!$G$33:$G$40,MATCH(G634,Setup!$B$33:$B$40,0)),0)=1)*(COUNTIF(G608:I625,$B634)+COUNTIF(G608:I625,$B634&amp;" ~*")&gt;0)+(IFERROR(INDEX(Setup!$G$33:$G$40,MATCH(K634,Setup!$B$33:$B$40,0)),0)=1)*(COUNTIF(K608:M625,$B634)+COUNTIF(K608:M625,$B634&amp;" ~*")&gt;0)+(IFERROR(INDEX(Setup!$G$33:$G$40,MATCH(O634,Setup!$B$33:$B$40,0)),0)=1)*(COUNTIF(O608:Q625,$B634)+COUNTIF(O608:Q625,$B634&amp;" ~*")&gt;0)+(IFERROR(INDEX(Setup!$G$33:$G$40,MATCH(S634,Setup!$B$33:$B$40,0)),0)=1)*(COUNTIF(S608:U625,$B634)+COUNTIF(S608:U625,$B634&amp;" ~*")&gt;0)+(IFERROR(INDEX(Setup!$G$33:$G$40,MATCH(W634,Setup!$B$33:$B$40,0)),0)=1)*(COUNTIF(W608:W625,$B634)+COUNTIF(W608:W625,$B634&amp;" ~*")&gt;0)+(IFERROR(INDEX(Setup!$G$33:$G$40,MATCH(Y634,Setup!$B$33:$B$40,0)),0)=1)*(COUNTIF(Y608:Y625,$B634)+COUNTIF(Y608:Y625,$B634&amp;" ~*")&gt;0))</f>
        <v/>
      </c>
    </row>
    <row r="635" ht="15" customHeight="1">
      <c r="A635" t="n">
        <v>13</v>
      </c>
      <c r="B635" s="35">
        <f>IF(Setup!$B$14="","",Setup!$B$14)</f>
        <v/>
      </c>
      <c r="C635" s="98" t="n"/>
      <c r="D635" s="99" t="n"/>
      <c r="E635" s="99" t="n"/>
      <c r="F635" s="100" t="n"/>
      <c r="G635" s="98" t="n"/>
      <c r="H635" s="99" t="n"/>
      <c r="I635" s="99" t="n"/>
      <c r="J635" s="100" t="n"/>
      <c r="K635" s="98" t="n"/>
      <c r="L635" s="99" t="n"/>
      <c r="M635" s="99" t="n"/>
      <c r="N635" s="100" t="n"/>
      <c r="O635" s="98" t="n"/>
      <c r="P635" s="99" t="n"/>
      <c r="Q635" s="99" t="n"/>
      <c r="R635" s="100" t="n"/>
      <c r="S635" s="98" t="n"/>
      <c r="T635" s="99" t="n"/>
      <c r="U635" s="99" t="n"/>
      <c r="V635" s="100" t="n"/>
      <c r="W635" s="98" t="n"/>
      <c r="X635" s="100" t="n"/>
      <c r="Y635" s="98" t="n"/>
      <c r="Z635" s="100" t="n"/>
      <c r="AB635" s="101">
        <f>IF($B635="","",(COUNTIF(C608:E625,$B635)+COUNTIF(C608:E625,$B635&amp;" ~*")&gt;0)+(COUNTIF(G608:I625,$B635)+COUNTIF(G608:I625,$B635&amp;" ~*")&gt;0)+(COUNTIF(K608:M625,$B635)+COUNTIF(K608:M625,$B635&amp;" ~*")&gt;0)+(COUNTIF(O608:Q625,$B635)+COUNTIF(O608:Q625,$B635&amp;" ~*")&gt;0)+(COUNTIF(S608:U625,$B635)+COUNTIF(S608:U625,$B635&amp;" ~*")&gt;0)+(COUNTIF(W608:W625,$B635)+COUNTIF(W608:W625,$B635&amp;" ~*")&gt;0)+(COUNTIF(Y608:Y625,$B635)+COUNTIF(Y608:Y625,$B635&amp;" ~*")&gt;0))</f>
        <v/>
      </c>
      <c r="AC635" s="36">
        <f>IF($B635="","",(IFERROR(INDEX(Setup!$G$33:$G$40,MATCH(C635,Setup!$B$33:$B$40,0)),0)=1)*(COUNTIF(C608:E625,$B635)+COUNTIF(C608:E625,$B635&amp;" ~*")&gt;0)+(IFERROR(INDEX(Setup!$G$33:$G$40,MATCH(G635,Setup!$B$33:$B$40,0)),0)=1)*(COUNTIF(G608:I625,$B635)+COUNTIF(G608:I625,$B635&amp;" ~*")&gt;0)+(IFERROR(INDEX(Setup!$G$33:$G$40,MATCH(K635,Setup!$B$33:$B$40,0)),0)=1)*(COUNTIF(K608:M625,$B635)+COUNTIF(K608:M625,$B635&amp;" ~*")&gt;0)+(IFERROR(INDEX(Setup!$G$33:$G$40,MATCH(O635,Setup!$B$33:$B$40,0)),0)=1)*(COUNTIF(O608:Q625,$B635)+COUNTIF(O608:Q625,$B635&amp;" ~*")&gt;0)+(IFERROR(INDEX(Setup!$G$33:$G$40,MATCH(S635,Setup!$B$33:$B$40,0)),0)=1)*(COUNTIF(S608:U625,$B635)+COUNTIF(S608:U625,$B635&amp;" ~*")&gt;0)+(IFERROR(INDEX(Setup!$G$33:$G$40,MATCH(W635,Setup!$B$33:$B$40,0)),0)=1)*(COUNTIF(W608:W625,$B635)+COUNTIF(W608:W625,$B635&amp;" ~*")&gt;0)+(IFERROR(INDEX(Setup!$G$33:$G$40,MATCH(Y635,Setup!$B$33:$B$40,0)),0)=1)*(COUNTIF(Y608:Y625,$B635)+COUNTIF(Y608:Y625,$B635&amp;" ~*")&gt;0))</f>
        <v/>
      </c>
    </row>
    <row r="636" ht="15" customHeight="1">
      <c r="A636" t="n">
        <v>13</v>
      </c>
      <c r="B636" s="37">
        <f>IF(Setup!$B$15="","",Setup!$B$15)</f>
        <v/>
      </c>
      <c r="C636" s="102" t="n"/>
      <c r="D636" s="103" t="n"/>
      <c r="E636" s="103" t="n"/>
      <c r="F636" s="104" t="n"/>
      <c r="G636" s="102" t="n"/>
      <c r="H636" s="103" t="n"/>
      <c r="I636" s="103" t="n"/>
      <c r="J636" s="104" t="n"/>
      <c r="K636" s="102" t="n"/>
      <c r="L636" s="103" t="n"/>
      <c r="M636" s="103" t="n"/>
      <c r="N636" s="104" t="n"/>
      <c r="O636" s="102" t="n"/>
      <c r="P636" s="103" t="n"/>
      <c r="Q636" s="103" t="n"/>
      <c r="R636" s="104" t="n"/>
      <c r="S636" s="102" t="n"/>
      <c r="T636" s="103" t="n"/>
      <c r="U636" s="103" t="n"/>
      <c r="V636" s="104" t="n"/>
      <c r="W636" s="102" t="n"/>
      <c r="X636" s="104" t="n"/>
      <c r="Y636" s="102" t="n"/>
      <c r="Z636" s="104" t="n"/>
      <c r="AB636" s="105">
        <f>IF($B636="","",(COUNTIF(C608:E625,$B636)+COUNTIF(C608:E625,$B636&amp;" ~*")&gt;0)+(COUNTIF(G608:I625,$B636)+COUNTIF(G608:I625,$B636&amp;" ~*")&gt;0)+(COUNTIF(K608:M625,$B636)+COUNTIF(K608:M625,$B636&amp;" ~*")&gt;0)+(COUNTIF(O608:Q625,$B636)+COUNTIF(O608:Q625,$B636&amp;" ~*")&gt;0)+(COUNTIF(S608:U625,$B636)+COUNTIF(S608:U625,$B636&amp;" ~*")&gt;0)+(COUNTIF(W608:W625,$B636)+COUNTIF(W608:W625,$B636&amp;" ~*")&gt;0)+(COUNTIF(Y608:Y625,$B636)+COUNTIF(Y608:Y625,$B636&amp;" ~*")&gt;0))</f>
        <v/>
      </c>
      <c r="AC636" s="38">
        <f>IF($B636="","",(IFERROR(INDEX(Setup!$G$33:$G$40,MATCH(C636,Setup!$B$33:$B$40,0)),0)=1)*(COUNTIF(C608:E625,$B636)+COUNTIF(C608:E625,$B636&amp;" ~*")&gt;0)+(IFERROR(INDEX(Setup!$G$33:$G$40,MATCH(G636,Setup!$B$33:$B$40,0)),0)=1)*(COUNTIF(G608:I625,$B636)+COUNTIF(G608:I625,$B636&amp;" ~*")&gt;0)+(IFERROR(INDEX(Setup!$G$33:$G$40,MATCH(K636,Setup!$B$33:$B$40,0)),0)=1)*(COUNTIF(K608:M625,$B636)+COUNTIF(K608:M625,$B636&amp;" ~*")&gt;0)+(IFERROR(INDEX(Setup!$G$33:$G$40,MATCH(O636,Setup!$B$33:$B$40,0)),0)=1)*(COUNTIF(O608:Q625,$B636)+COUNTIF(O608:Q625,$B636&amp;" ~*")&gt;0)+(IFERROR(INDEX(Setup!$G$33:$G$40,MATCH(S636,Setup!$B$33:$B$40,0)),0)=1)*(COUNTIF(S608:U625,$B636)+COUNTIF(S608:U625,$B636&amp;" ~*")&gt;0)+(IFERROR(INDEX(Setup!$G$33:$G$40,MATCH(W636,Setup!$B$33:$B$40,0)),0)=1)*(COUNTIF(W608:W625,$B636)+COUNTIF(W608:W625,$B636&amp;" ~*")&gt;0)+(IFERROR(INDEX(Setup!$G$33:$G$40,MATCH(Y636,Setup!$B$33:$B$40,0)),0)=1)*(COUNTIF(Y608:Y625,$B636)+COUNTIF(Y608:Y625,$B636&amp;" ~*")&gt;0))</f>
        <v/>
      </c>
    </row>
    <row r="637" ht="15" customHeight="1">
      <c r="A637" t="n">
        <v>13</v>
      </c>
      <c r="B637" s="35">
        <f>IF(Setup!$B$16="","",Setup!$B$16)</f>
        <v/>
      </c>
      <c r="C637" s="98" t="n"/>
      <c r="D637" s="99" t="n"/>
      <c r="E637" s="99" t="n"/>
      <c r="F637" s="100" t="n"/>
      <c r="G637" s="98" t="n"/>
      <c r="H637" s="99" t="n"/>
      <c r="I637" s="99" t="n"/>
      <c r="J637" s="100" t="n"/>
      <c r="K637" s="98" t="n"/>
      <c r="L637" s="99" t="n"/>
      <c r="M637" s="99" t="n"/>
      <c r="N637" s="100" t="n"/>
      <c r="O637" s="98" t="n"/>
      <c r="P637" s="99" t="n"/>
      <c r="Q637" s="99" t="n"/>
      <c r="R637" s="100" t="n"/>
      <c r="S637" s="98" t="n"/>
      <c r="T637" s="99" t="n"/>
      <c r="U637" s="99" t="n"/>
      <c r="V637" s="100" t="n"/>
      <c r="W637" s="98" t="n"/>
      <c r="X637" s="100" t="n"/>
      <c r="Y637" s="98" t="n"/>
      <c r="Z637" s="100" t="n"/>
      <c r="AB637" s="101">
        <f>IF($B637="","",(COUNTIF(C608:E625,$B637)+COUNTIF(C608:E625,$B637&amp;" ~*")&gt;0)+(COUNTIF(G608:I625,$B637)+COUNTIF(G608:I625,$B637&amp;" ~*")&gt;0)+(COUNTIF(K608:M625,$B637)+COUNTIF(K608:M625,$B637&amp;" ~*")&gt;0)+(COUNTIF(O608:Q625,$B637)+COUNTIF(O608:Q625,$B637&amp;" ~*")&gt;0)+(COUNTIF(S608:U625,$B637)+COUNTIF(S608:U625,$B637&amp;" ~*")&gt;0)+(COUNTIF(W608:W625,$B637)+COUNTIF(W608:W625,$B637&amp;" ~*")&gt;0)+(COUNTIF(Y608:Y625,$B637)+COUNTIF(Y608:Y625,$B637&amp;" ~*")&gt;0))</f>
        <v/>
      </c>
      <c r="AC637" s="36">
        <f>IF($B637="","",(IFERROR(INDEX(Setup!$G$33:$G$40,MATCH(C637,Setup!$B$33:$B$40,0)),0)=1)*(COUNTIF(C608:E625,$B637)+COUNTIF(C608:E625,$B637&amp;" ~*")&gt;0)+(IFERROR(INDEX(Setup!$G$33:$G$40,MATCH(G637,Setup!$B$33:$B$40,0)),0)=1)*(COUNTIF(G608:I625,$B637)+COUNTIF(G608:I625,$B637&amp;" ~*")&gt;0)+(IFERROR(INDEX(Setup!$G$33:$G$40,MATCH(K637,Setup!$B$33:$B$40,0)),0)=1)*(COUNTIF(K608:M625,$B637)+COUNTIF(K608:M625,$B637&amp;" ~*")&gt;0)+(IFERROR(INDEX(Setup!$G$33:$G$40,MATCH(O637,Setup!$B$33:$B$40,0)),0)=1)*(COUNTIF(O608:Q625,$B637)+COUNTIF(O608:Q625,$B637&amp;" ~*")&gt;0)+(IFERROR(INDEX(Setup!$G$33:$G$40,MATCH(S637,Setup!$B$33:$B$40,0)),0)=1)*(COUNTIF(S608:U625,$B637)+COUNTIF(S608:U625,$B637&amp;" ~*")&gt;0)+(IFERROR(INDEX(Setup!$G$33:$G$40,MATCH(W637,Setup!$B$33:$B$40,0)),0)=1)*(COUNTIF(W608:W625,$B637)+COUNTIF(W608:W625,$B637&amp;" ~*")&gt;0)+(IFERROR(INDEX(Setup!$G$33:$G$40,MATCH(Y637,Setup!$B$33:$B$40,0)),0)=1)*(COUNTIF(Y608:Y625,$B637)+COUNTIF(Y608:Y625,$B637&amp;" ~*")&gt;0))</f>
        <v/>
      </c>
    </row>
    <row r="638" ht="15" customHeight="1">
      <c r="A638" t="n">
        <v>13</v>
      </c>
      <c r="B638" s="37">
        <f>IF(Setup!$B$17="","",Setup!$B$17)</f>
        <v/>
      </c>
      <c r="C638" s="102" t="n"/>
      <c r="D638" s="103" t="n"/>
      <c r="E638" s="103" t="n"/>
      <c r="F638" s="104" t="n"/>
      <c r="G638" s="102" t="n"/>
      <c r="H638" s="103" t="n"/>
      <c r="I638" s="103" t="n"/>
      <c r="J638" s="104" t="n"/>
      <c r="K638" s="102" t="n"/>
      <c r="L638" s="103" t="n"/>
      <c r="M638" s="103" t="n"/>
      <c r="N638" s="104" t="n"/>
      <c r="O638" s="102" t="n"/>
      <c r="P638" s="103" t="n"/>
      <c r="Q638" s="103" t="n"/>
      <c r="R638" s="104" t="n"/>
      <c r="S638" s="102" t="n"/>
      <c r="T638" s="103" t="n"/>
      <c r="U638" s="103" t="n"/>
      <c r="V638" s="104" t="n"/>
      <c r="W638" s="102" t="n"/>
      <c r="X638" s="104" t="n"/>
      <c r="Y638" s="102" t="n"/>
      <c r="Z638" s="104" t="n"/>
      <c r="AB638" s="105">
        <f>IF($B638="","",(COUNTIF(C608:E625,$B638)+COUNTIF(C608:E625,$B638&amp;" ~*")&gt;0)+(COUNTIF(G608:I625,$B638)+COUNTIF(G608:I625,$B638&amp;" ~*")&gt;0)+(COUNTIF(K608:M625,$B638)+COUNTIF(K608:M625,$B638&amp;" ~*")&gt;0)+(COUNTIF(O608:Q625,$B638)+COUNTIF(O608:Q625,$B638&amp;" ~*")&gt;0)+(COUNTIF(S608:U625,$B638)+COUNTIF(S608:U625,$B638&amp;" ~*")&gt;0)+(COUNTIF(W608:W625,$B638)+COUNTIF(W608:W625,$B638&amp;" ~*")&gt;0)+(COUNTIF(Y608:Y625,$B638)+COUNTIF(Y608:Y625,$B638&amp;" ~*")&gt;0))</f>
        <v/>
      </c>
      <c r="AC638" s="38">
        <f>IF($B638="","",(IFERROR(INDEX(Setup!$G$33:$G$40,MATCH(C638,Setup!$B$33:$B$40,0)),0)=1)*(COUNTIF(C608:E625,$B638)+COUNTIF(C608:E625,$B638&amp;" ~*")&gt;0)+(IFERROR(INDEX(Setup!$G$33:$G$40,MATCH(G638,Setup!$B$33:$B$40,0)),0)=1)*(COUNTIF(G608:I625,$B638)+COUNTIF(G608:I625,$B638&amp;" ~*")&gt;0)+(IFERROR(INDEX(Setup!$G$33:$G$40,MATCH(K638,Setup!$B$33:$B$40,0)),0)=1)*(COUNTIF(K608:M625,$B638)+COUNTIF(K608:M625,$B638&amp;" ~*")&gt;0)+(IFERROR(INDEX(Setup!$G$33:$G$40,MATCH(O638,Setup!$B$33:$B$40,0)),0)=1)*(COUNTIF(O608:Q625,$B638)+COUNTIF(O608:Q625,$B638&amp;" ~*")&gt;0)+(IFERROR(INDEX(Setup!$G$33:$G$40,MATCH(S638,Setup!$B$33:$B$40,0)),0)=1)*(COUNTIF(S608:U625,$B638)+COUNTIF(S608:U625,$B638&amp;" ~*")&gt;0)+(IFERROR(INDEX(Setup!$G$33:$G$40,MATCH(W638,Setup!$B$33:$B$40,0)),0)=1)*(COUNTIF(W608:W625,$B638)+COUNTIF(W608:W625,$B638&amp;" ~*")&gt;0)+(IFERROR(INDEX(Setup!$G$33:$G$40,MATCH(Y638,Setup!$B$33:$B$40,0)),0)=1)*(COUNTIF(Y608:Y625,$B638)+COUNTIF(Y608:Y625,$B638&amp;" ~*")&gt;0))</f>
        <v/>
      </c>
    </row>
    <row r="639" ht="15" customHeight="1">
      <c r="A639" t="n">
        <v>13</v>
      </c>
      <c r="B639" s="35">
        <f>IF(Setup!$B$18="","",Setup!$B$18)</f>
        <v/>
      </c>
      <c r="C639" s="98" t="n"/>
      <c r="D639" s="99" t="n"/>
      <c r="E639" s="99" t="n"/>
      <c r="F639" s="100" t="n"/>
      <c r="G639" s="98" t="n"/>
      <c r="H639" s="99" t="n"/>
      <c r="I639" s="99" t="n"/>
      <c r="J639" s="100" t="n"/>
      <c r="K639" s="98" t="n"/>
      <c r="L639" s="99" t="n"/>
      <c r="M639" s="99" t="n"/>
      <c r="N639" s="100" t="n"/>
      <c r="O639" s="98" t="n"/>
      <c r="P639" s="99" t="n"/>
      <c r="Q639" s="99" t="n"/>
      <c r="R639" s="100" t="n"/>
      <c r="S639" s="98" t="n"/>
      <c r="T639" s="99" t="n"/>
      <c r="U639" s="99" t="n"/>
      <c r="V639" s="100" t="n"/>
      <c r="W639" s="98" t="n"/>
      <c r="X639" s="100" t="n"/>
      <c r="Y639" s="98" t="n"/>
      <c r="Z639" s="100" t="n"/>
      <c r="AB639" s="101">
        <f>IF($B639="","",(COUNTIF(C608:E625,$B639)+COUNTIF(C608:E625,$B639&amp;" ~*")&gt;0)+(COUNTIF(G608:I625,$B639)+COUNTIF(G608:I625,$B639&amp;" ~*")&gt;0)+(COUNTIF(K608:M625,$B639)+COUNTIF(K608:M625,$B639&amp;" ~*")&gt;0)+(COUNTIF(O608:Q625,$B639)+COUNTIF(O608:Q625,$B639&amp;" ~*")&gt;0)+(COUNTIF(S608:U625,$B639)+COUNTIF(S608:U625,$B639&amp;" ~*")&gt;0)+(COUNTIF(W608:W625,$B639)+COUNTIF(W608:W625,$B639&amp;" ~*")&gt;0)+(COUNTIF(Y608:Y625,$B639)+COUNTIF(Y608:Y625,$B639&amp;" ~*")&gt;0))</f>
        <v/>
      </c>
      <c r="AC639" s="36">
        <f>IF($B639="","",(IFERROR(INDEX(Setup!$G$33:$G$40,MATCH(C639,Setup!$B$33:$B$40,0)),0)=1)*(COUNTIF(C608:E625,$B639)+COUNTIF(C608:E625,$B639&amp;" ~*")&gt;0)+(IFERROR(INDEX(Setup!$G$33:$G$40,MATCH(G639,Setup!$B$33:$B$40,0)),0)=1)*(COUNTIF(G608:I625,$B639)+COUNTIF(G608:I625,$B639&amp;" ~*")&gt;0)+(IFERROR(INDEX(Setup!$G$33:$G$40,MATCH(K639,Setup!$B$33:$B$40,0)),0)=1)*(COUNTIF(K608:M625,$B639)+COUNTIF(K608:M625,$B639&amp;" ~*")&gt;0)+(IFERROR(INDEX(Setup!$G$33:$G$40,MATCH(O639,Setup!$B$33:$B$40,0)),0)=1)*(COUNTIF(O608:Q625,$B639)+COUNTIF(O608:Q625,$B639&amp;" ~*")&gt;0)+(IFERROR(INDEX(Setup!$G$33:$G$40,MATCH(S639,Setup!$B$33:$B$40,0)),0)=1)*(COUNTIF(S608:U625,$B639)+COUNTIF(S608:U625,$B639&amp;" ~*")&gt;0)+(IFERROR(INDEX(Setup!$G$33:$G$40,MATCH(W639,Setup!$B$33:$B$40,0)),0)=1)*(COUNTIF(W608:W625,$B639)+COUNTIF(W608:W625,$B639&amp;" ~*")&gt;0)+(IFERROR(INDEX(Setup!$G$33:$G$40,MATCH(Y639,Setup!$B$33:$B$40,0)),0)=1)*(COUNTIF(Y608:Y625,$B639)+COUNTIF(Y608:Y625,$B639&amp;" ~*")&gt;0))</f>
        <v/>
      </c>
    </row>
    <row r="640" ht="15" customHeight="1">
      <c r="A640" t="n">
        <v>13</v>
      </c>
      <c r="B640" s="37">
        <f>IF(Setup!$B$19="","",Setup!$B$19)</f>
        <v/>
      </c>
      <c r="C640" s="102" t="n"/>
      <c r="D640" s="103" t="n"/>
      <c r="E640" s="103" t="n"/>
      <c r="F640" s="104" t="n"/>
      <c r="G640" s="102" t="n"/>
      <c r="H640" s="103" t="n"/>
      <c r="I640" s="103" t="n"/>
      <c r="J640" s="104" t="n"/>
      <c r="K640" s="102" t="n"/>
      <c r="L640" s="103" t="n"/>
      <c r="M640" s="103" t="n"/>
      <c r="N640" s="104" t="n"/>
      <c r="O640" s="102" t="n"/>
      <c r="P640" s="103" t="n"/>
      <c r="Q640" s="103" t="n"/>
      <c r="R640" s="104" t="n"/>
      <c r="S640" s="102" t="n"/>
      <c r="T640" s="103" t="n"/>
      <c r="U640" s="103" t="n"/>
      <c r="V640" s="104" t="n"/>
      <c r="W640" s="102" t="n"/>
      <c r="X640" s="104" t="n"/>
      <c r="Y640" s="102" t="n"/>
      <c r="Z640" s="104" t="n"/>
      <c r="AB640" s="105">
        <f>IF($B640="","",(COUNTIF(C608:E625,$B640)+COUNTIF(C608:E625,$B640&amp;" ~*")&gt;0)+(COUNTIF(G608:I625,$B640)+COUNTIF(G608:I625,$B640&amp;" ~*")&gt;0)+(COUNTIF(K608:M625,$B640)+COUNTIF(K608:M625,$B640&amp;" ~*")&gt;0)+(COUNTIF(O608:Q625,$B640)+COUNTIF(O608:Q625,$B640&amp;" ~*")&gt;0)+(COUNTIF(S608:U625,$B640)+COUNTIF(S608:U625,$B640&amp;" ~*")&gt;0)+(COUNTIF(W608:W625,$B640)+COUNTIF(W608:W625,$B640&amp;" ~*")&gt;0)+(COUNTIF(Y608:Y625,$B640)+COUNTIF(Y608:Y625,$B640&amp;" ~*")&gt;0))</f>
        <v/>
      </c>
      <c r="AC640" s="38">
        <f>IF($B640="","",(IFERROR(INDEX(Setup!$G$33:$G$40,MATCH(C640,Setup!$B$33:$B$40,0)),0)=1)*(COUNTIF(C608:E625,$B640)+COUNTIF(C608:E625,$B640&amp;" ~*")&gt;0)+(IFERROR(INDEX(Setup!$G$33:$G$40,MATCH(G640,Setup!$B$33:$B$40,0)),0)=1)*(COUNTIF(G608:I625,$B640)+COUNTIF(G608:I625,$B640&amp;" ~*")&gt;0)+(IFERROR(INDEX(Setup!$G$33:$G$40,MATCH(K640,Setup!$B$33:$B$40,0)),0)=1)*(COUNTIF(K608:M625,$B640)+COUNTIF(K608:M625,$B640&amp;" ~*")&gt;0)+(IFERROR(INDEX(Setup!$G$33:$G$40,MATCH(O640,Setup!$B$33:$B$40,0)),0)=1)*(COUNTIF(O608:Q625,$B640)+COUNTIF(O608:Q625,$B640&amp;" ~*")&gt;0)+(IFERROR(INDEX(Setup!$G$33:$G$40,MATCH(S640,Setup!$B$33:$B$40,0)),0)=1)*(COUNTIF(S608:U625,$B640)+COUNTIF(S608:U625,$B640&amp;" ~*")&gt;0)+(IFERROR(INDEX(Setup!$G$33:$G$40,MATCH(W640,Setup!$B$33:$B$40,0)),0)=1)*(COUNTIF(W608:W625,$B640)+COUNTIF(W608:W625,$B640&amp;" ~*")&gt;0)+(IFERROR(INDEX(Setup!$G$33:$G$40,MATCH(Y640,Setup!$B$33:$B$40,0)),0)=1)*(COUNTIF(Y608:Y625,$B640)+COUNTIF(Y608:Y625,$B640&amp;" ~*")&gt;0))</f>
        <v/>
      </c>
    </row>
    <row r="641" ht="15" customHeight="1">
      <c r="A641" t="n">
        <v>13</v>
      </c>
      <c r="B641" s="35">
        <f>IF(Setup!$B$20="","",Setup!$B$20)</f>
        <v/>
      </c>
      <c r="C641" s="98" t="n"/>
      <c r="D641" s="99" t="n"/>
      <c r="E641" s="99" t="n"/>
      <c r="F641" s="100" t="n"/>
      <c r="G641" s="98" t="n"/>
      <c r="H641" s="99" t="n"/>
      <c r="I641" s="99" t="n"/>
      <c r="J641" s="100" t="n"/>
      <c r="K641" s="98" t="n"/>
      <c r="L641" s="99" t="n"/>
      <c r="M641" s="99" t="n"/>
      <c r="N641" s="100" t="n"/>
      <c r="O641" s="98" t="n"/>
      <c r="P641" s="99" t="n"/>
      <c r="Q641" s="99" t="n"/>
      <c r="R641" s="100" t="n"/>
      <c r="S641" s="98" t="n"/>
      <c r="T641" s="99" t="n"/>
      <c r="U641" s="99" t="n"/>
      <c r="V641" s="100" t="n"/>
      <c r="W641" s="98" t="n"/>
      <c r="X641" s="100" t="n"/>
      <c r="Y641" s="98" t="n"/>
      <c r="Z641" s="100" t="n"/>
      <c r="AB641" s="101">
        <f>IF($B641="","",(COUNTIF(C608:E625,$B641)+COUNTIF(C608:E625,$B641&amp;" ~*")&gt;0)+(COUNTIF(G608:I625,$B641)+COUNTIF(G608:I625,$B641&amp;" ~*")&gt;0)+(COUNTIF(K608:M625,$B641)+COUNTIF(K608:M625,$B641&amp;" ~*")&gt;0)+(COUNTIF(O608:Q625,$B641)+COUNTIF(O608:Q625,$B641&amp;" ~*")&gt;0)+(COUNTIF(S608:U625,$B641)+COUNTIF(S608:U625,$B641&amp;" ~*")&gt;0)+(COUNTIF(W608:W625,$B641)+COUNTIF(W608:W625,$B641&amp;" ~*")&gt;0)+(COUNTIF(Y608:Y625,$B641)+COUNTIF(Y608:Y625,$B641&amp;" ~*")&gt;0))</f>
        <v/>
      </c>
      <c r="AC641" s="36">
        <f>IF($B641="","",(IFERROR(INDEX(Setup!$G$33:$G$40,MATCH(C641,Setup!$B$33:$B$40,0)),0)=1)*(COUNTIF(C608:E625,$B641)+COUNTIF(C608:E625,$B641&amp;" ~*")&gt;0)+(IFERROR(INDEX(Setup!$G$33:$G$40,MATCH(G641,Setup!$B$33:$B$40,0)),0)=1)*(COUNTIF(G608:I625,$B641)+COUNTIF(G608:I625,$B641&amp;" ~*")&gt;0)+(IFERROR(INDEX(Setup!$G$33:$G$40,MATCH(K641,Setup!$B$33:$B$40,0)),0)=1)*(COUNTIF(K608:M625,$B641)+COUNTIF(K608:M625,$B641&amp;" ~*")&gt;0)+(IFERROR(INDEX(Setup!$G$33:$G$40,MATCH(O641,Setup!$B$33:$B$40,0)),0)=1)*(COUNTIF(O608:Q625,$B641)+COUNTIF(O608:Q625,$B641&amp;" ~*")&gt;0)+(IFERROR(INDEX(Setup!$G$33:$G$40,MATCH(S641,Setup!$B$33:$B$40,0)),0)=1)*(COUNTIF(S608:U625,$B641)+COUNTIF(S608:U625,$B641&amp;" ~*")&gt;0)+(IFERROR(INDEX(Setup!$G$33:$G$40,MATCH(W641,Setup!$B$33:$B$40,0)),0)=1)*(COUNTIF(W608:W625,$B641)+COUNTIF(W608:W625,$B641&amp;" ~*")&gt;0)+(IFERROR(INDEX(Setup!$G$33:$G$40,MATCH(Y641,Setup!$B$33:$B$40,0)),0)=1)*(COUNTIF(Y608:Y625,$B641)+COUNTIF(Y608:Y625,$B641&amp;" ~*")&gt;0))</f>
        <v/>
      </c>
    </row>
    <row r="642" ht="15" customHeight="1">
      <c r="A642" t="n">
        <v>13</v>
      </c>
      <c r="B642" s="37">
        <f>IF(Setup!$B$21="","",Setup!$B$21)</f>
        <v/>
      </c>
      <c r="C642" s="102" t="n"/>
      <c r="D642" s="103" t="n"/>
      <c r="E642" s="103" t="n"/>
      <c r="F642" s="104" t="n"/>
      <c r="G642" s="102" t="inlineStr">
        <is>
          <t>AL</t>
        </is>
      </c>
      <c r="H642" s="103" t="n"/>
      <c r="I642" s="103" t="n"/>
      <c r="J642" s="104" t="n"/>
      <c r="K642" s="102" t="inlineStr">
        <is>
          <t>AL</t>
        </is>
      </c>
      <c r="L642" s="103" t="n"/>
      <c r="M642" s="103" t="n"/>
      <c r="N642" s="104" t="n"/>
      <c r="O642" s="102" t="n"/>
      <c r="P642" s="103" t="n"/>
      <c r="Q642" s="103" t="n"/>
      <c r="R642" s="104" t="n"/>
      <c r="S642" s="102" t="n"/>
      <c r="T642" s="103" t="n"/>
      <c r="U642" s="103" t="n"/>
      <c r="V642" s="104" t="n"/>
      <c r="W642" s="102" t="n"/>
      <c r="X642" s="104" t="n"/>
      <c r="Y642" s="102" t="n"/>
      <c r="Z642" s="104" t="n"/>
      <c r="AB642" s="105">
        <f>IF($B642="","",(COUNTIF(C608:E625,$B642)+COUNTIF(C608:E625,$B642&amp;" ~*")&gt;0)+(COUNTIF(G608:I625,$B642)+COUNTIF(G608:I625,$B642&amp;" ~*")&gt;0)+(COUNTIF(K608:M625,$B642)+COUNTIF(K608:M625,$B642&amp;" ~*")&gt;0)+(COUNTIF(O608:Q625,$B642)+COUNTIF(O608:Q625,$B642&amp;" ~*")&gt;0)+(COUNTIF(S608:U625,$B642)+COUNTIF(S608:U625,$B642&amp;" ~*")&gt;0)+(COUNTIF(W608:W625,$B642)+COUNTIF(W608:W625,$B642&amp;" ~*")&gt;0)+(COUNTIF(Y608:Y625,$B642)+COUNTIF(Y608:Y625,$B642&amp;" ~*")&gt;0))</f>
        <v/>
      </c>
      <c r="AC642" s="38">
        <f>IF($B642="","",(IFERROR(INDEX(Setup!$G$33:$G$40,MATCH(C642,Setup!$B$33:$B$40,0)),0)=1)*(COUNTIF(C608:E625,$B642)+COUNTIF(C608:E625,$B642&amp;" ~*")&gt;0)+(IFERROR(INDEX(Setup!$G$33:$G$40,MATCH(G642,Setup!$B$33:$B$40,0)),0)=1)*(COUNTIF(G608:I625,$B642)+COUNTIF(G608:I625,$B642&amp;" ~*")&gt;0)+(IFERROR(INDEX(Setup!$G$33:$G$40,MATCH(K642,Setup!$B$33:$B$40,0)),0)=1)*(COUNTIF(K608:M625,$B642)+COUNTIF(K608:M625,$B642&amp;" ~*")&gt;0)+(IFERROR(INDEX(Setup!$G$33:$G$40,MATCH(O642,Setup!$B$33:$B$40,0)),0)=1)*(COUNTIF(O608:Q625,$B642)+COUNTIF(O608:Q625,$B642&amp;" ~*")&gt;0)+(IFERROR(INDEX(Setup!$G$33:$G$40,MATCH(S642,Setup!$B$33:$B$40,0)),0)=1)*(COUNTIF(S608:U625,$B642)+COUNTIF(S608:U625,$B642&amp;" ~*")&gt;0)+(IFERROR(INDEX(Setup!$G$33:$G$40,MATCH(W642,Setup!$B$33:$B$40,0)),0)=1)*(COUNTIF(W608:W625,$B642)+COUNTIF(W608:W625,$B642&amp;" ~*")&gt;0)+(IFERROR(INDEX(Setup!$G$33:$G$40,MATCH(Y642,Setup!$B$33:$B$40,0)),0)=1)*(COUNTIF(Y608:Y625,$B642)+COUNTIF(Y608:Y625,$B642&amp;" ~*")&gt;0))</f>
        <v/>
      </c>
    </row>
    <row r="643" ht="15" customHeight="1">
      <c r="A643" t="n">
        <v>13</v>
      </c>
      <c r="B643" s="35">
        <f>IF(Setup!$B$22="","",Setup!$B$22)</f>
        <v/>
      </c>
      <c r="C643" s="98" t="n"/>
      <c r="D643" s="99" t="n"/>
      <c r="E643" s="99" t="n"/>
      <c r="F643" s="100" t="n"/>
      <c r="G643" s="98" t="inlineStr">
        <is>
          <t>AL</t>
        </is>
      </c>
      <c r="H643" s="99" t="n"/>
      <c r="I643" s="99" t="n"/>
      <c r="J643" s="100" t="n"/>
      <c r="K643" s="98" t="inlineStr">
        <is>
          <t>AL</t>
        </is>
      </c>
      <c r="L643" s="99" t="n"/>
      <c r="M643" s="99" t="n"/>
      <c r="N643" s="100" t="n"/>
      <c r="O643" s="98" t="inlineStr">
        <is>
          <t>AL</t>
        </is>
      </c>
      <c r="P643" s="99" t="n"/>
      <c r="Q643" s="99" t="n"/>
      <c r="R643" s="100" t="n"/>
      <c r="S643" s="98" t="inlineStr">
        <is>
          <t>AL</t>
        </is>
      </c>
      <c r="T643" s="99" t="n"/>
      <c r="U643" s="99" t="n"/>
      <c r="V643" s="100" t="n"/>
      <c r="W643" s="98" t="n"/>
      <c r="X643" s="100" t="n"/>
      <c r="Y643" s="98" t="n"/>
      <c r="Z643" s="100" t="n"/>
      <c r="AB643" s="101">
        <f>IF($B643="","",(COUNTIF(C608:E625,$B643)+COUNTIF(C608:E625,$B643&amp;" ~*")&gt;0)+(COUNTIF(G608:I625,$B643)+COUNTIF(G608:I625,$B643&amp;" ~*")&gt;0)+(COUNTIF(K608:M625,$B643)+COUNTIF(K608:M625,$B643&amp;" ~*")&gt;0)+(COUNTIF(O608:Q625,$B643)+COUNTIF(O608:Q625,$B643&amp;" ~*")&gt;0)+(COUNTIF(S608:U625,$B643)+COUNTIF(S608:U625,$B643&amp;" ~*")&gt;0)+(COUNTIF(W608:W625,$B643)+COUNTIF(W608:W625,$B643&amp;" ~*")&gt;0)+(COUNTIF(Y608:Y625,$B643)+COUNTIF(Y608:Y625,$B643&amp;" ~*")&gt;0))</f>
        <v/>
      </c>
      <c r="AC643" s="36">
        <f>IF($B643="","",(IFERROR(INDEX(Setup!$G$33:$G$40,MATCH(C643,Setup!$B$33:$B$40,0)),0)=1)*(COUNTIF(C608:E625,$B643)+COUNTIF(C608:E625,$B643&amp;" ~*")&gt;0)+(IFERROR(INDEX(Setup!$G$33:$G$40,MATCH(G643,Setup!$B$33:$B$40,0)),0)=1)*(COUNTIF(G608:I625,$B643)+COUNTIF(G608:I625,$B643&amp;" ~*")&gt;0)+(IFERROR(INDEX(Setup!$G$33:$G$40,MATCH(K643,Setup!$B$33:$B$40,0)),0)=1)*(COUNTIF(K608:M625,$B643)+COUNTIF(K608:M625,$B643&amp;" ~*")&gt;0)+(IFERROR(INDEX(Setup!$G$33:$G$40,MATCH(O643,Setup!$B$33:$B$40,0)),0)=1)*(COUNTIF(O608:Q625,$B643)+COUNTIF(O608:Q625,$B643&amp;" ~*")&gt;0)+(IFERROR(INDEX(Setup!$G$33:$G$40,MATCH(S643,Setup!$B$33:$B$40,0)),0)=1)*(COUNTIF(S608:U625,$B643)+COUNTIF(S608:U625,$B643&amp;" ~*")&gt;0)+(IFERROR(INDEX(Setup!$G$33:$G$40,MATCH(W643,Setup!$B$33:$B$40,0)),0)=1)*(COUNTIF(W608:W625,$B643)+COUNTIF(W608:W625,$B643&amp;" ~*")&gt;0)+(IFERROR(INDEX(Setup!$G$33:$G$40,MATCH(Y643,Setup!$B$33:$B$40,0)),0)=1)*(COUNTIF(Y608:Y625,$B643)+COUNTIF(Y608:Y625,$B643&amp;" ~*")&gt;0))</f>
        <v/>
      </c>
    </row>
    <row r="644" ht="15" customHeight="1">
      <c r="A644" t="n">
        <v>13</v>
      </c>
      <c r="B644" s="37">
        <f>IF(Setup!$B$23="","",Setup!$B$23)</f>
        <v/>
      </c>
      <c r="C644" s="102" t="n"/>
      <c r="D644" s="103" t="n"/>
      <c r="E644" s="103" t="n"/>
      <c r="F644" s="104" t="n"/>
      <c r="G644" s="102" t="n"/>
      <c r="H644" s="103" t="n"/>
      <c r="I644" s="103" t="n"/>
      <c r="J644" s="104" t="n"/>
      <c r="K644" s="102" t="n"/>
      <c r="L644" s="103" t="n"/>
      <c r="M644" s="103" t="n"/>
      <c r="N644" s="104" t="n"/>
      <c r="O644" s="102" t="n"/>
      <c r="P644" s="103" t="n"/>
      <c r="Q644" s="103" t="n"/>
      <c r="R644" s="104" t="n"/>
      <c r="S644" s="102" t="n"/>
      <c r="T644" s="103" t="n"/>
      <c r="U644" s="103" t="n"/>
      <c r="V644" s="104" t="n"/>
      <c r="W644" s="102" t="n"/>
      <c r="X644" s="104" t="n"/>
      <c r="Y644" s="102" t="n"/>
      <c r="Z644" s="104" t="n"/>
      <c r="AB644" s="105">
        <f>IF($B644="","",(COUNTIF(C608:E625,$B644)+COUNTIF(C608:E625,$B644&amp;" ~*")&gt;0)+(COUNTIF(G608:I625,$B644)+COUNTIF(G608:I625,$B644&amp;" ~*")&gt;0)+(COUNTIF(K608:M625,$B644)+COUNTIF(K608:M625,$B644&amp;" ~*")&gt;0)+(COUNTIF(O608:Q625,$B644)+COUNTIF(O608:Q625,$B644&amp;" ~*")&gt;0)+(COUNTIF(S608:U625,$B644)+COUNTIF(S608:U625,$B644&amp;" ~*")&gt;0)+(COUNTIF(W608:W625,$B644)+COUNTIF(W608:W625,$B644&amp;" ~*")&gt;0)+(COUNTIF(Y608:Y625,$B644)+COUNTIF(Y608:Y625,$B644&amp;" ~*")&gt;0))</f>
        <v/>
      </c>
      <c r="AC644" s="38">
        <f>IF($B644="","",(IFERROR(INDEX(Setup!$G$33:$G$40,MATCH(C644,Setup!$B$33:$B$40,0)),0)=1)*(COUNTIF(C608:E625,$B644)+COUNTIF(C608:E625,$B644&amp;" ~*")&gt;0)+(IFERROR(INDEX(Setup!$G$33:$G$40,MATCH(G644,Setup!$B$33:$B$40,0)),0)=1)*(COUNTIF(G608:I625,$B644)+COUNTIF(G608:I625,$B644&amp;" ~*")&gt;0)+(IFERROR(INDEX(Setup!$G$33:$G$40,MATCH(K644,Setup!$B$33:$B$40,0)),0)=1)*(COUNTIF(K608:M625,$B644)+COUNTIF(K608:M625,$B644&amp;" ~*")&gt;0)+(IFERROR(INDEX(Setup!$G$33:$G$40,MATCH(O644,Setup!$B$33:$B$40,0)),0)=1)*(COUNTIF(O608:Q625,$B644)+COUNTIF(O608:Q625,$B644&amp;" ~*")&gt;0)+(IFERROR(INDEX(Setup!$G$33:$G$40,MATCH(S644,Setup!$B$33:$B$40,0)),0)=1)*(COUNTIF(S608:U625,$B644)+COUNTIF(S608:U625,$B644&amp;" ~*")&gt;0)+(IFERROR(INDEX(Setup!$G$33:$G$40,MATCH(W644,Setup!$B$33:$B$40,0)),0)=1)*(COUNTIF(W608:W625,$B644)+COUNTIF(W608:W625,$B644&amp;" ~*")&gt;0)+(IFERROR(INDEX(Setup!$G$33:$G$40,MATCH(Y644,Setup!$B$33:$B$40,0)),0)=1)*(COUNTIF(Y608:Y625,$B644)+COUNTIF(Y608:Y625,$B644&amp;" ~*")&gt;0))</f>
        <v/>
      </c>
    </row>
    <row r="645" ht="15" customHeight="1">
      <c r="A645" t="n">
        <v>13</v>
      </c>
      <c r="B645" s="35">
        <f>IF(Setup!$B$24="","",Setup!$B$24)</f>
        <v/>
      </c>
      <c r="C645" s="98" t="n"/>
      <c r="D645" s="99" t="n"/>
      <c r="E645" s="99" t="n"/>
      <c r="F645" s="100" t="n"/>
      <c r="G645" s="98" t="n"/>
      <c r="H645" s="99" t="n"/>
      <c r="I645" s="99" t="n"/>
      <c r="J645" s="100" t="n"/>
      <c r="K645" s="98" t="n"/>
      <c r="L645" s="99" t="n"/>
      <c r="M645" s="99" t="n"/>
      <c r="N645" s="100" t="n"/>
      <c r="O645" s="98" t="n"/>
      <c r="P645" s="99" t="n"/>
      <c r="Q645" s="99" t="n"/>
      <c r="R645" s="100" t="n"/>
      <c r="S645" s="98" t="n"/>
      <c r="T645" s="99" t="n"/>
      <c r="U645" s="99" t="n"/>
      <c r="V645" s="100" t="n"/>
      <c r="W645" s="98" t="n"/>
      <c r="X645" s="100" t="n"/>
      <c r="Y645" s="98" t="n"/>
      <c r="Z645" s="100" t="n"/>
      <c r="AB645" s="101">
        <f>IF($B645="","",(COUNTIF(C608:E625,$B645)+COUNTIF(C608:E625,$B645&amp;" ~*")&gt;0)+(COUNTIF(G608:I625,$B645)+COUNTIF(G608:I625,$B645&amp;" ~*")&gt;0)+(COUNTIF(K608:M625,$B645)+COUNTIF(K608:M625,$B645&amp;" ~*")&gt;0)+(COUNTIF(O608:Q625,$B645)+COUNTIF(O608:Q625,$B645&amp;" ~*")&gt;0)+(COUNTIF(S608:U625,$B645)+COUNTIF(S608:U625,$B645&amp;" ~*")&gt;0)+(COUNTIF(W608:W625,$B645)+COUNTIF(W608:W625,$B645&amp;" ~*")&gt;0)+(COUNTIF(Y608:Y625,$B645)+COUNTIF(Y608:Y625,$B645&amp;" ~*")&gt;0))</f>
        <v/>
      </c>
      <c r="AC645" s="36">
        <f>IF($B645="","",(IFERROR(INDEX(Setup!$G$33:$G$40,MATCH(C645,Setup!$B$33:$B$40,0)),0)=1)*(COUNTIF(C608:E625,$B645)+COUNTIF(C608:E625,$B645&amp;" ~*")&gt;0)+(IFERROR(INDEX(Setup!$G$33:$G$40,MATCH(G645,Setup!$B$33:$B$40,0)),0)=1)*(COUNTIF(G608:I625,$B645)+COUNTIF(G608:I625,$B645&amp;" ~*")&gt;0)+(IFERROR(INDEX(Setup!$G$33:$G$40,MATCH(K645,Setup!$B$33:$B$40,0)),0)=1)*(COUNTIF(K608:M625,$B645)+COUNTIF(K608:M625,$B645&amp;" ~*")&gt;0)+(IFERROR(INDEX(Setup!$G$33:$G$40,MATCH(O645,Setup!$B$33:$B$40,0)),0)=1)*(COUNTIF(O608:Q625,$B645)+COUNTIF(O608:Q625,$B645&amp;" ~*")&gt;0)+(IFERROR(INDEX(Setup!$G$33:$G$40,MATCH(S645,Setup!$B$33:$B$40,0)),0)=1)*(COUNTIF(S608:U625,$B645)+COUNTIF(S608:U625,$B645&amp;" ~*")&gt;0)+(IFERROR(INDEX(Setup!$G$33:$G$40,MATCH(W645,Setup!$B$33:$B$40,0)),0)=1)*(COUNTIF(W608:W625,$B645)+COUNTIF(W608:W625,$B645&amp;" ~*")&gt;0)+(IFERROR(INDEX(Setup!$G$33:$G$40,MATCH(Y645,Setup!$B$33:$B$40,0)),0)=1)*(COUNTIF(Y608:Y625,$B645)+COUNTIF(Y608:Y625,$B645&amp;" ~*")&gt;0))</f>
        <v/>
      </c>
    </row>
    <row r="646" ht="15" customHeight="1">
      <c r="A646" t="n">
        <v>13</v>
      </c>
      <c r="B646" s="37">
        <f>IF(Setup!$B$25="","",Setup!$B$25)</f>
        <v/>
      </c>
      <c r="C646" s="102" t="n"/>
      <c r="D646" s="103" t="n"/>
      <c r="E646" s="103" t="n"/>
      <c r="F646" s="104" t="n"/>
      <c r="G646" s="102" t="n"/>
      <c r="H646" s="103" t="n"/>
      <c r="I646" s="103" t="n"/>
      <c r="J646" s="104" t="n"/>
      <c r="K646" s="102" t="n"/>
      <c r="L646" s="103" t="n"/>
      <c r="M646" s="103" t="n"/>
      <c r="N646" s="104" t="n"/>
      <c r="O646" s="102" t="n"/>
      <c r="P646" s="103" t="n"/>
      <c r="Q646" s="103" t="n"/>
      <c r="R646" s="104" t="n"/>
      <c r="S646" s="102" t="n"/>
      <c r="T646" s="103" t="n"/>
      <c r="U646" s="103" t="n"/>
      <c r="V646" s="104" t="n"/>
      <c r="W646" s="102" t="n"/>
      <c r="X646" s="104" t="n"/>
      <c r="Y646" s="102" t="n"/>
      <c r="Z646" s="104" t="n"/>
      <c r="AB646" s="105">
        <f>IF($B646="","",(COUNTIF(C608:E625,$B646)+COUNTIF(C608:E625,$B646&amp;" ~*")&gt;0)+(COUNTIF(G608:I625,$B646)+COUNTIF(G608:I625,$B646&amp;" ~*")&gt;0)+(COUNTIF(K608:M625,$B646)+COUNTIF(K608:M625,$B646&amp;" ~*")&gt;0)+(COUNTIF(O608:Q625,$B646)+COUNTIF(O608:Q625,$B646&amp;" ~*")&gt;0)+(COUNTIF(S608:U625,$B646)+COUNTIF(S608:U625,$B646&amp;" ~*")&gt;0)+(COUNTIF(W608:W625,$B646)+COUNTIF(W608:W625,$B646&amp;" ~*")&gt;0)+(COUNTIF(Y608:Y625,$B646)+COUNTIF(Y608:Y625,$B646&amp;" ~*")&gt;0))</f>
        <v/>
      </c>
      <c r="AC646" s="38">
        <f>IF($B646="","",(IFERROR(INDEX(Setup!$G$33:$G$40,MATCH(C646,Setup!$B$33:$B$40,0)),0)=1)*(COUNTIF(C608:E625,$B646)+COUNTIF(C608:E625,$B646&amp;" ~*")&gt;0)+(IFERROR(INDEX(Setup!$G$33:$G$40,MATCH(G646,Setup!$B$33:$B$40,0)),0)=1)*(COUNTIF(G608:I625,$B646)+COUNTIF(G608:I625,$B646&amp;" ~*")&gt;0)+(IFERROR(INDEX(Setup!$G$33:$G$40,MATCH(K646,Setup!$B$33:$B$40,0)),0)=1)*(COUNTIF(K608:M625,$B646)+COUNTIF(K608:M625,$B646&amp;" ~*")&gt;0)+(IFERROR(INDEX(Setup!$G$33:$G$40,MATCH(O646,Setup!$B$33:$B$40,0)),0)=1)*(COUNTIF(O608:Q625,$B646)+COUNTIF(O608:Q625,$B646&amp;" ~*")&gt;0)+(IFERROR(INDEX(Setup!$G$33:$G$40,MATCH(S646,Setup!$B$33:$B$40,0)),0)=1)*(COUNTIF(S608:U625,$B646)+COUNTIF(S608:U625,$B646&amp;" ~*")&gt;0)+(IFERROR(INDEX(Setup!$G$33:$G$40,MATCH(W646,Setup!$B$33:$B$40,0)),0)=1)*(COUNTIF(W608:W625,$B646)+COUNTIF(W608:W625,$B646&amp;" ~*")&gt;0)+(IFERROR(INDEX(Setup!$G$33:$G$40,MATCH(Y646,Setup!$B$33:$B$40,0)),0)=1)*(COUNTIF(Y608:Y625,$B646)+COUNTIF(Y608:Y625,$B646&amp;" ~*")&gt;0))</f>
        <v/>
      </c>
    </row>
    <row r="647" ht="15" customHeight="1">
      <c r="A647" t="n">
        <v>13</v>
      </c>
      <c r="B647" s="35">
        <f>IF(Setup!$B$26="","",Setup!$B$26)</f>
        <v/>
      </c>
      <c r="C647" s="98" t="n"/>
      <c r="D647" s="99" t="n"/>
      <c r="E647" s="99" t="n"/>
      <c r="F647" s="100" t="n"/>
      <c r="G647" s="98" t="n"/>
      <c r="H647" s="99" t="n"/>
      <c r="I647" s="99" t="n"/>
      <c r="J647" s="100" t="n"/>
      <c r="K647" s="98" t="n"/>
      <c r="L647" s="99" t="n"/>
      <c r="M647" s="99" t="n"/>
      <c r="N647" s="100" t="n"/>
      <c r="O647" s="98" t="n"/>
      <c r="P647" s="99" t="n"/>
      <c r="Q647" s="99" t="n"/>
      <c r="R647" s="100" t="n"/>
      <c r="S647" s="98" t="n"/>
      <c r="T647" s="99" t="n"/>
      <c r="U647" s="99" t="n"/>
      <c r="V647" s="100" t="n"/>
      <c r="W647" s="98" t="n"/>
      <c r="X647" s="100" t="n"/>
      <c r="Y647" s="98" t="n"/>
      <c r="Z647" s="100" t="n"/>
      <c r="AB647" s="101">
        <f>IF($B647="","",(COUNTIF(C608:E625,$B647)+COUNTIF(C608:E625,$B647&amp;" ~*")&gt;0)+(COUNTIF(G608:I625,$B647)+COUNTIF(G608:I625,$B647&amp;" ~*")&gt;0)+(COUNTIF(K608:M625,$B647)+COUNTIF(K608:M625,$B647&amp;" ~*")&gt;0)+(COUNTIF(O608:Q625,$B647)+COUNTIF(O608:Q625,$B647&amp;" ~*")&gt;0)+(COUNTIF(S608:U625,$B647)+COUNTIF(S608:U625,$B647&amp;" ~*")&gt;0)+(COUNTIF(W608:W625,$B647)+COUNTIF(W608:W625,$B647&amp;" ~*")&gt;0)+(COUNTIF(Y608:Y625,$B647)+COUNTIF(Y608:Y625,$B647&amp;" ~*")&gt;0))</f>
        <v/>
      </c>
      <c r="AC647" s="36">
        <f>IF($B647="","",(IFERROR(INDEX(Setup!$G$33:$G$40,MATCH(C647,Setup!$B$33:$B$40,0)),0)=1)*(COUNTIF(C608:E625,$B647)+COUNTIF(C608:E625,$B647&amp;" ~*")&gt;0)+(IFERROR(INDEX(Setup!$G$33:$G$40,MATCH(G647,Setup!$B$33:$B$40,0)),0)=1)*(COUNTIF(G608:I625,$B647)+COUNTIF(G608:I625,$B647&amp;" ~*")&gt;0)+(IFERROR(INDEX(Setup!$G$33:$G$40,MATCH(K647,Setup!$B$33:$B$40,0)),0)=1)*(COUNTIF(K608:M625,$B647)+COUNTIF(K608:M625,$B647&amp;" ~*")&gt;0)+(IFERROR(INDEX(Setup!$G$33:$G$40,MATCH(O647,Setup!$B$33:$B$40,0)),0)=1)*(COUNTIF(O608:Q625,$B647)+COUNTIF(O608:Q625,$B647&amp;" ~*")&gt;0)+(IFERROR(INDEX(Setup!$G$33:$G$40,MATCH(S647,Setup!$B$33:$B$40,0)),0)=1)*(COUNTIF(S608:U625,$B647)+COUNTIF(S608:U625,$B647&amp;" ~*")&gt;0)+(IFERROR(INDEX(Setup!$G$33:$G$40,MATCH(W647,Setup!$B$33:$B$40,0)),0)=1)*(COUNTIF(W608:W625,$B647)+COUNTIF(W608:W625,$B647&amp;" ~*")&gt;0)+(IFERROR(INDEX(Setup!$G$33:$G$40,MATCH(Y647,Setup!$B$33:$B$40,0)),0)=1)*(COUNTIF(Y608:Y625,$B647)+COUNTIF(Y608:Y625,$B647&amp;" ~*")&gt;0))</f>
        <v/>
      </c>
    </row>
    <row r="648" ht="15" customHeight="1">
      <c r="A648" t="n">
        <v>13</v>
      </c>
      <c r="B648" s="37">
        <f>IF(Setup!$B$27="","",Setup!$B$27)</f>
        <v/>
      </c>
      <c r="C648" s="102" t="n"/>
      <c r="D648" s="103" t="n"/>
      <c r="E648" s="103" t="n"/>
      <c r="F648" s="104" t="n"/>
      <c r="G648" s="102" t="n"/>
      <c r="H648" s="103" t="n"/>
      <c r="I648" s="103" t="n"/>
      <c r="J648" s="104" t="n"/>
      <c r="K648" s="102" t="n"/>
      <c r="L648" s="103" t="n"/>
      <c r="M648" s="103" t="n"/>
      <c r="N648" s="104" t="n"/>
      <c r="O648" s="102" t="n"/>
      <c r="P648" s="103" t="n"/>
      <c r="Q648" s="103" t="n"/>
      <c r="R648" s="104" t="n"/>
      <c r="S648" s="102" t="n"/>
      <c r="T648" s="103" t="n"/>
      <c r="U648" s="103" t="n"/>
      <c r="V648" s="104" t="n"/>
      <c r="W648" s="102" t="n"/>
      <c r="X648" s="104" t="n"/>
      <c r="Y648" s="102" t="n"/>
      <c r="Z648" s="104" t="n"/>
      <c r="AB648" s="105">
        <f>IF($B648="","",(COUNTIF(C608:E625,$B648)+COUNTIF(C608:E625,$B648&amp;" ~*")&gt;0)+(COUNTIF(G608:I625,$B648)+COUNTIF(G608:I625,$B648&amp;" ~*")&gt;0)+(COUNTIF(K608:M625,$B648)+COUNTIF(K608:M625,$B648&amp;" ~*")&gt;0)+(COUNTIF(O608:Q625,$B648)+COUNTIF(O608:Q625,$B648&amp;" ~*")&gt;0)+(COUNTIF(S608:U625,$B648)+COUNTIF(S608:U625,$B648&amp;" ~*")&gt;0)+(COUNTIF(W608:W625,$B648)+COUNTIF(W608:W625,$B648&amp;" ~*")&gt;0)+(COUNTIF(Y608:Y625,$B648)+COUNTIF(Y608:Y625,$B648&amp;" ~*")&gt;0))</f>
        <v/>
      </c>
      <c r="AC648" s="38">
        <f>IF($B648="","",(IFERROR(INDEX(Setup!$G$33:$G$40,MATCH(C648,Setup!$B$33:$B$40,0)),0)=1)*(COUNTIF(C608:E625,$B648)+COUNTIF(C608:E625,$B648&amp;" ~*")&gt;0)+(IFERROR(INDEX(Setup!$G$33:$G$40,MATCH(G648,Setup!$B$33:$B$40,0)),0)=1)*(COUNTIF(G608:I625,$B648)+COUNTIF(G608:I625,$B648&amp;" ~*")&gt;0)+(IFERROR(INDEX(Setup!$G$33:$G$40,MATCH(K648,Setup!$B$33:$B$40,0)),0)=1)*(COUNTIF(K608:M625,$B648)+COUNTIF(K608:M625,$B648&amp;" ~*")&gt;0)+(IFERROR(INDEX(Setup!$G$33:$G$40,MATCH(O648,Setup!$B$33:$B$40,0)),0)=1)*(COUNTIF(O608:Q625,$B648)+COUNTIF(O608:Q625,$B648&amp;" ~*")&gt;0)+(IFERROR(INDEX(Setup!$G$33:$G$40,MATCH(S648,Setup!$B$33:$B$40,0)),0)=1)*(COUNTIF(S608:U625,$B648)+COUNTIF(S608:U625,$B648&amp;" ~*")&gt;0)+(IFERROR(INDEX(Setup!$G$33:$G$40,MATCH(W648,Setup!$B$33:$B$40,0)),0)=1)*(COUNTIF(W608:W625,$B648)+COUNTIF(W608:W625,$B648&amp;" ~*")&gt;0)+(IFERROR(INDEX(Setup!$G$33:$G$40,MATCH(Y648,Setup!$B$33:$B$40,0)),0)=1)*(COUNTIF(Y608:Y625,$B648)+COUNTIF(Y608:Y625,$B648&amp;" ~*")&gt;0))</f>
        <v/>
      </c>
    </row>
    <row r="649" ht="15" customHeight="1">
      <c r="A649" t="n">
        <v>13</v>
      </c>
      <c r="B649" s="35">
        <f>IF(Setup!$B$28="","",Setup!$B$28)</f>
        <v/>
      </c>
      <c r="C649" s="98" t="n"/>
      <c r="D649" s="99" t="n"/>
      <c r="E649" s="99" t="n"/>
      <c r="F649" s="100" t="n"/>
      <c r="G649" s="98" t="n"/>
      <c r="H649" s="99" t="n"/>
      <c r="I649" s="99" t="n"/>
      <c r="J649" s="100" t="n"/>
      <c r="K649" s="98" t="n"/>
      <c r="L649" s="99" t="n"/>
      <c r="M649" s="99" t="n"/>
      <c r="N649" s="100" t="n"/>
      <c r="O649" s="98" t="n"/>
      <c r="P649" s="99" t="n"/>
      <c r="Q649" s="99" t="n"/>
      <c r="R649" s="100" t="n"/>
      <c r="S649" s="98" t="n"/>
      <c r="T649" s="99" t="n"/>
      <c r="U649" s="99" t="n"/>
      <c r="V649" s="100" t="n"/>
      <c r="W649" s="98" t="n"/>
      <c r="X649" s="100" t="n"/>
      <c r="Y649" s="98" t="n"/>
      <c r="Z649" s="100" t="n"/>
      <c r="AB649" s="101">
        <f>IF($B649="","",(COUNTIF(C608:E625,$B649)+COUNTIF(C608:E625,$B649&amp;" ~*")&gt;0)+(COUNTIF(G608:I625,$B649)+COUNTIF(G608:I625,$B649&amp;" ~*")&gt;0)+(COUNTIF(K608:M625,$B649)+COUNTIF(K608:M625,$B649&amp;" ~*")&gt;0)+(COUNTIF(O608:Q625,$B649)+COUNTIF(O608:Q625,$B649&amp;" ~*")&gt;0)+(COUNTIF(S608:U625,$B649)+COUNTIF(S608:U625,$B649&amp;" ~*")&gt;0)+(COUNTIF(W608:W625,$B649)+COUNTIF(W608:W625,$B649&amp;" ~*")&gt;0)+(COUNTIF(Y608:Y625,$B649)+COUNTIF(Y608:Y625,$B649&amp;" ~*")&gt;0))</f>
        <v/>
      </c>
      <c r="AC649" s="36">
        <f>IF($B649="","",(IFERROR(INDEX(Setup!$G$33:$G$40,MATCH(C649,Setup!$B$33:$B$40,0)),0)=1)*(COUNTIF(C608:E625,$B649)+COUNTIF(C608:E625,$B649&amp;" ~*")&gt;0)+(IFERROR(INDEX(Setup!$G$33:$G$40,MATCH(G649,Setup!$B$33:$B$40,0)),0)=1)*(COUNTIF(G608:I625,$B649)+COUNTIF(G608:I625,$B649&amp;" ~*")&gt;0)+(IFERROR(INDEX(Setup!$G$33:$G$40,MATCH(K649,Setup!$B$33:$B$40,0)),0)=1)*(COUNTIF(K608:M625,$B649)+COUNTIF(K608:M625,$B649&amp;" ~*")&gt;0)+(IFERROR(INDEX(Setup!$G$33:$G$40,MATCH(O649,Setup!$B$33:$B$40,0)),0)=1)*(COUNTIF(O608:Q625,$B649)+COUNTIF(O608:Q625,$B649&amp;" ~*")&gt;0)+(IFERROR(INDEX(Setup!$G$33:$G$40,MATCH(S649,Setup!$B$33:$B$40,0)),0)=1)*(COUNTIF(S608:U625,$B649)+COUNTIF(S608:U625,$B649&amp;" ~*")&gt;0)+(IFERROR(INDEX(Setup!$G$33:$G$40,MATCH(W649,Setup!$B$33:$B$40,0)),0)=1)*(COUNTIF(W608:W625,$B649)+COUNTIF(W608:W625,$B649&amp;" ~*")&gt;0)+(IFERROR(INDEX(Setup!$G$33:$G$40,MATCH(Y649,Setup!$B$33:$B$40,0)),0)=1)*(COUNTIF(Y608:Y625,$B649)+COUNTIF(Y608:Y625,$B649&amp;" ~*")&gt;0))</f>
        <v/>
      </c>
    </row>
    <row r="650" ht="15" customHeight="1">
      <c r="A650" t="n">
        <v>13</v>
      </c>
      <c r="B650" s="37">
        <f>IF(Setup!$B$29="","",Setup!$B$29)</f>
        <v/>
      </c>
      <c r="C650" s="102" t="n"/>
      <c r="D650" s="103" t="n"/>
      <c r="E650" s="103" t="n"/>
      <c r="F650" s="104" t="n"/>
      <c r="G650" s="102" t="n"/>
      <c r="H650" s="103" t="n"/>
      <c r="I650" s="103" t="n"/>
      <c r="J650" s="104" t="n"/>
      <c r="K650" s="102" t="n"/>
      <c r="L650" s="103" t="n"/>
      <c r="M650" s="103" t="n"/>
      <c r="N650" s="104" t="n"/>
      <c r="O650" s="102" t="n"/>
      <c r="P650" s="103" t="n"/>
      <c r="Q650" s="103" t="n"/>
      <c r="R650" s="104" t="n"/>
      <c r="S650" s="102" t="n"/>
      <c r="T650" s="103" t="n"/>
      <c r="U650" s="103" t="n"/>
      <c r="V650" s="104" t="n"/>
      <c r="W650" s="102" t="n"/>
      <c r="X650" s="104" t="n"/>
      <c r="Y650" s="102" t="n"/>
      <c r="Z650" s="104" t="n"/>
      <c r="AB650" s="105">
        <f>IF($B650="","",(COUNTIF(C608:E625,$B650)+COUNTIF(C608:E625,$B650&amp;" ~*")&gt;0)+(COUNTIF(G608:I625,$B650)+COUNTIF(G608:I625,$B650&amp;" ~*")&gt;0)+(COUNTIF(K608:M625,$B650)+COUNTIF(K608:M625,$B650&amp;" ~*")&gt;0)+(COUNTIF(O608:Q625,$B650)+COUNTIF(O608:Q625,$B650&amp;" ~*")&gt;0)+(COUNTIF(S608:U625,$B650)+COUNTIF(S608:U625,$B650&amp;" ~*")&gt;0)+(COUNTIF(W608:W625,$B650)+COUNTIF(W608:W625,$B650&amp;" ~*")&gt;0)+(COUNTIF(Y608:Y625,$B650)+COUNTIF(Y608:Y625,$B650&amp;" ~*")&gt;0))</f>
        <v/>
      </c>
      <c r="AC650" s="38">
        <f>IF($B650="","",(IFERROR(INDEX(Setup!$G$33:$G$40,MATCH(C650,Setup!$B$33:$B$40,0)),0)=1)*(COUNTIF(C608:E625,$B650)+COUNTIF(C608:E625,$B650&amp;" ~*")&gt;0)+(IFERROR(INDEX(Setup!$G$33:$G$40,MATCH(G650,Setup!$B$33:$B$40,0)),0)=1)*(COUNTIF(G608:I625,$B650)+COUNTIF(G608:I625,$B650&amp;" ~*")&gt;0)+(IFERROR(INDEX(Setup!$G$33:$G$40,MATCH(K650,Setup!$B$33:$B$40,0)),0)=1)*(COUNTIF(K608:M625,$B650)+COUNTIF(K608:M625,$B650&amp;" ~*")&gt;0)+(IFERROR(INDEX(Setup!$G$33:$G$40,MATCH(O650,Setup!$B$33:$B$40,0)),0)=1)*(COUNTIF(O608:Q625,$B650)+COUNTIF(O608:Q625,$B650&amp;" ~*")&gt;0)+(IFERROR(INDEX(Setup!$G$33:$G$40,MATCH(S650,Setup!$B$33:$B$40,0)),0)=1)*(COUNTIF(S608:U625,$B650)+COUNTIF(S608:U625,$B650&amp;" ~*")&gt;0)+(IFERROR(INDEX(Setup!$G$33:$G$40,MATCH(W650,Setup!$B$33:$B$40,0)),0)=1)*(COUNTIF(W608:W625,$B650)+COUNTIF(W608:W625,$B650&amp;" ~*")&gt;0)+(IFERROR(INDEX(Setup!$G$33:$G$40,MATCH(Y650,Setup!$B$33:$B$40,0)),0)=1)*(COUNTIF(Y608:Y625,$B650)+COUNTIF(Y608:Y625,$B650&amp;" ~*")&gt;0))</f>
        <v/>
      </c>
    </row>
    <row r="651" ht="16" customHeight="1">
      <c r="A651" t="n">
        <v>13</v>
      </c>
      <c r="B651" s="106" t="inlineStr">
        <is>
          <t>Available people</t>
        </is>
      </c>
      <c r="C651" s="107">
        <f>COUNTIFS(Setup!$E$6:$E$29,"Y",Setup!$B$6:$B$29,"?*")-SUMPRODUCT(COUNTIF(C627:C650,Setup!$F$33:$F$40))</f>
        <v/>
      </c>
      <c r="D651" s="107" t="n"/>
      <c r="E651" s="107" t="n"/>
      <c r="F651" s="107" t="n"/>
      <c r="G651" s="107">
        <f>COUNTIFS(Setup!$E$6:$E$29,"Y",Setup!$B$6:$B$29,"?*")-SUMPRODUCT(COUNTIF(G627:G650,Setup!$F$33:$F$40))</f>
        <v/>
      </c>
      <c r="H651" s="107" t="n"/>
      <c r="I651" s="107" t="n"/>
      <c r="J651" s="107" t="n"/>
      <c r="K651" s="107">
        <f>COUNTIFS(Setup!$E$6:$E$29,"Y",Setup!$B$6:$B$29,"?*")-SUMPRODUCT(COUNTIF(K627:K650,Setup!$F$33:$F$40))</f>
        <v/>
      </c>
      <c r="L651" s="107" t="n"/>
      <c r="M651" s="107" t="n"/>
      <c r="N651" s="107" t="n"/>
      <c r="O651" s="107">
        <f>COUNTIFS(Setup!$E$6:$E$29,"Y",Setup!$B$6:$B$29,"?*")-SUMPRODUCT(COUNTIF(O627:O650,Setup!$F$33:$F$40))</f>
        <v/>
      </c>
      <c r="P651" s="107" t="n"/>
      <c r="Q651" s="107" t="n"/>
      <c r="R651" s="107" t="n"/>
      <c r="S651" s="107">
        <f>COUNTIFS(Setup!$E$6:$E$29,"Y",Setup!$B$6:$B$29,"?*")-SUMPRODUCT(COUNTIF(S627:S650,Setup!$F$33:$F$40))</f>
        <v/>
      </c>
      <c r="T651" s="107" t="n"/>
      <c r="U651" s="107" t="n"/>
      <c r="V651" s="107" t="n"/>
      <c r="W651" s="107">
        <f>COUNTIFS(Setup!$E$6:$E$29,"Y",Setup!$B$6:$B$29,"?*")-SUMPRODUCT(COUNTIF(W627:W650,Setup!$F$33:$F$40))</f>
        <v/>
      </c>
      <c r="X651" s="107" t="n"/>
      <c r="Y651" s="107">
        <f>COUNTIFS(Setup!$E$6:$E$29,"Y",Setup!$B$6:$B$29,"?*")-SUMPRODUCT(COUNTIF(Y627:Y650,Setup!$F$33:$F$40))</f>
        <v/>
      </c>
      <c r="Z651" s="107" t="n"/>
      <c r="AB651" s="108">
        <f>SUM(AB627:AB650)</f>
        <v/>
      </c>
      <c r="AC651" s="109">
        <f>SUM(AC627:AC650)</f>
        <v/>
      </c>
    </row>
    <row r="652" ht="30" customHeight="1">
      <c r="A652" t="n">
        <v>13</v>
      </c>
      <c r="B652" s="110" t="inlineStr">
        <is>
          <t>Week notes</t>
        </is>
      </c>
      <c r="C652" s="111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112" t="n"/>
      <c r="R652" s="112" t="n"/>
      <c r="S652" s="112" t="n"/>
      <c r="T652" s="112" t="n"/>
      <c r="U652" s="112" t="n"/>
      <c r="V652" s="112" t="n"/>
      <c r="W652" s="112" t="n"/>
      <c r="X652" s="112" t="n"/>
      <c r="Y652" s="112" t="n"/>
      <c r="Z652" s="113" t="n"/>
    </row>
    <row r="653" ht="8" customHeight="1">
      <c r="A653" t="n">
        <v>13</v>
      </c>
    </row>
    <row r="654" ht="8" customHeight="1">
      <c r="A654" t="n">
        <v>13</v>
      </c>
    </row>
    <row r="655" ht="24" customHeight="1">
      <c r="A655" t="n">
        <v>14</v>
      </c>
      <c r="B655" s="73">
        <f>"WEEK 14     "&amp;TEXT(C656,"ddd d mmm")&amp;"  –  "&amp;TEXT(C656+6,"ddd d mmm yyyy")</f>
        <v/>
      </c>
      <c r="S655" s="74">
        <f>IF(TODAY()&lt;C656,"FUTURE",IF(TODAY()&gt;C656+6,"PAST","THIS WEEK"))</f>
        <v/>
      </c>
      <c r="W655" s="75">
        <f>IF(AND(Engine!$B$8=$AC$3,Engine!$B$9=$A655),"◀ ACTIVE WEEK","")</f>
        <v/>
      </c>
      <c r="AA655" s="76" t="n"/>
      <c r="AB655" s="77" t="inlineStr">
        <is>
          <t>◀ Prev</t>
        </is>
      </c>
      <c r="AC655" s="77" t="inlineStr">
        <is>
          <t>Next ▶</t>
        </is>
      </c>
    </row>
    <row r="656" ht="18" customHeight="1">
      <c r="A656" t="n">
        <v>14</v>
      </c>
      <c r="B656" s="78" t="inlineStr">
        <is>
          <t>DUTY</t>
        </is>
      </c>
      <c r="C656" s="79">
        <f>$AC$2+7*($A656-1)</f>
        <v/>
      </c>
      <c r="D656" s="80" t="n"/>
      <c r="E656" s="80" t="n"/>
      <c r="F656" s="81" t="n"/>
      <c r="G656" s="79">
        <f>C656+1</f>
        <v/>
      </c>
      <c r="H656" s="80" t="n"/>
      <c r="I656" s="80" t="n"/>
      <c r="J656" s="81" t="n"/>
      <c r="K656" s="79">
        <f>C656+2</f>
        <v/>
      </c>
      <c r="L656" s="80" t="n"/>
      <c r="M656" s="80" t="n"/>
      <c r="N656" s="81" t="n"/>
      <c r="O656" s="79">
        <f>C656+3</f>
        <v/>
      </c>
      <c r="P656" s="80" t="n"/>
      <c r="Q656" s="80" t="n"/>
      <c r="R656" s="81" t="n"/>
      <c r="S656" s="79">
        <f>C656+4</f>
        <v/>
      </c>
      <c r="T656" s="80" t="n"/>
      <c r="U656" s="80" t="n"/>
      <c r="V656" s="81" t="n"/>
      <c r="W656" s="82">
        <f>C656+5</f>
        <v/>
      </c>
      <c r="X656" s="83" t="n"/>
      <c r="Y656" s="82">
        <f>C656+6</f>
        <v/>
      </c>
      <c r="Z656" s="83" t="n"/>
      <c r="AB656" s="72" t="inlineStr">
        <is>
          <t>Gaps</t>
        </is>
      </c>
      <c r="AC656" s="72" t="inlineStr">
        <is>
          <t>Cover</t>
        </is>
      </c>
    </row>
    <row r="657" ht="14" customHeight="1">
      <c r="A657" t="n">
        <v>14</v>
      </c>
      <c r="B657" s="84" t="inlineStr">
        <is>
          <t>(from Setup)</t>
        </is>
      </c>
      <c r="C657" s="85" t="inlineStr">
        <is>
          <t>1</t>
        </is>
      </c>
      <c r="D657" s="85" t="inlineStr">
        <is>
          <t>2</t>
        </is>
      </c>
      <c r="E657" s="85" t="inlineStr">
        <is>
          <t>3</t>
        </is>
      </c>
      <c r="F657" s="85" t="inlineStr">
        <is>
          <t>Notes</t>
        </is>
      </c>
      <c r="G657" s="85" t="inlineStr">
        <is>
          <t>1</t>
        </is>
      </c>
      <c r="H657" s="85" t="inlineStr">
        <is>
          <t>2</t>
        </is>
      </c>
      <c r="I657" s="85" t="inlineStr">
        <is>
          <t>3</t>
        </is>
      </c>
      <c r="J657" s="85" t="inlineStr">
        <is>
          <t>Notes</t>
        </is>
      </c>
      <c r="K657" s="85" t="inlineStr">
        <is>
          <t>1</t>
        </is>
      </c>
      <c r="L657" s="85" t="inlineStr">
        <is>
          <t>2</t>
        </is>
      </c>
      <c r="M657" s="85" t="inlineStr">
        <is>
          <t>3</t>
        </is>
      </c>
      <c r="N657" s="85" t="inlineStr">
        <is>
          <t>Notes</t>
        </is>
      </c>
      <c r="O657" s="85" t="inlineStr">
        <is>
          <t>1</t>
        </is>
      </c>
      <c r="P657" s="85" t="inlineStr">
        <is>
          <t>2</t>
        </is>
      </c>
      <c r="Q657" s="85" t="inlineStr">
        <is>
          <t>3</t>
        </is>
      </c>
      <c r="R657" s="85" t="inlineStr">
        <is>
          <t>Notes</t>
        </is>
      </c>
      <c r="S657" s="85" t="inlineStr">
        <is>
          <t>1</t>
        </is>
      </c>
      <c r="T657" s="85" t="inlineStr">
        <is>
          <t>2</t>
        </is>
      </c>
      <c r="U657" s="85" t="inlineStr">
        <is>
          <t>3</t>
        </is>
      </c>
      <c r="V657" s="85" t="inlineStr">
        <is>
          <t>Notes</t>
        </is>
      </c>
      <c r="W657" s="85" t="inlineStr">
        <is>
          <t>Cover</t>
        </is>
      </c>
      <c r="X657" s="85" t="inlineStr">
        <is>
          <t>Notes</t>
        </is>
      </c>
      <c r="Y657" s="85" t="inlineStr">
        <is>
          <t>Cover</t>
        </is>
      </c>
      <c r="Z657" s="85" t="inlineStr">
        <is>
          <t>Notes</t>
        </is>
      </c>
      <c r="AB657" s="86" t="inlineStr">
        <is>
          <t>weekdays short</t>
        </is>
      </c>
      <c r="AC657" s="87" t="inlineStr"/>
    </row>
    <row r="658" ht="17" customHeight="1">
      <c r="A658" t="n">
        <v>14</v>
      </c>
      <c r="B658" s="24">
        <f>IF(Setup!$K$6="","",Setup!$K$6)</f>
        <v/>
      </c>
      <c r="C658" s="88" t="n"/>
      <c r="D658" s="88" t="n"/>
      <c r="E658" s="88" t="n"/>
      <c r="F658" s="89" t="n"/>
      <c r="G658" s="88" t="n"/>
      <c r="H658" s="88" t="n"/>
      <c r="I658" s="88" t="n"/>
      <c r="J658" s="89" t="n"/>
      <c r="K658" s="88" t="n"/>
      <c r="L658" s="88" t="n"/>
      <c r="M658" s="88" t="n"/>
      <c r="N658" s="89" t="n"/>
      <c r="O658" s="88" t="n"/>
      <c r="P658" s="88" t="n"/>
      <c r="Q658" s="88" t="n"/>
      <c r="R658" s="89" t="n"/>
      <c r="S658" s="88" t="n"/>
      <c r="T658" s="88" t="n"/>
      <c r="U658" s="88" t="n"/>
      <c r="V658" s="89" t="n"/>
      <c r="W658" s="88" t="n"/>
      <c r="X658" s="89" t="n"/>
      <c r="Y658" s="88" t="n"/>
      <c r="Z658" s="89" t="n"/>
      <c r="AB658" s="25">
        <f>IF($B658="","",(COUNTIF(C658:E658,"?*")&lt;N(INDEX(Setup!$L$6:$L$23,1)))+(COUNTIF(G658:I658,"?*")&lt;N(INDEX(Setup!$L$6:$L$23,1)))+(COUNTIF(K658:M658,"?*")&lt;N(INDEX(Setup!$L$6:$L$23,1)))+(COUNTIF(O658:Q658,"?*")&lt;N(INDEX(Setup!$L$6:$L$23,1)))+(COUNTIF(S658:U658,"?*")&lt;N(INDEX(Setup!$L$6:$L$23,1)))+((W658="")*(INDEX(Setup!$M$6:$M$23,1)="Y"))+((Y658="")*(INDEX(Setup!$M$6:$M$23,1)="Y")))</f>
        <v/>
      </c>
      <c r="AC658" s="90">
        <f>IF($B658="","",IF(AB658=0,"✓ covered","⚠ "&amp;AB658&amp;IF(AB658=1," gap"," gaps")))</f>
        <v/>
      </c>
    </row>
    <row r="659" ht="17" customHeight="1">
      <c r="A659" t="n">
        <v>14</v>
      </c>
      <c r="B659" s="29">
        <f>IF(Setup!$K$7="","",Setup!$K$7)</f>
        <v/>
      </c>
      <c r="C659" s="88" t="n"/>
      <c r="D659" s="88" t="n"/>
      <c r="E659" s="88" t="n"/>
      <c r="F659" s="89" t="n"/>
      <c r="G659" s="88" t="n"/>
      <c r="H659" s="88" t="n"/>
      <c r="I659" s="88" t="n"/>
      <c r="J659" s="89" t="n"/>
      <c r="K659" s="88" t="n"/>
      <c r="L659" s="88" t="n"/>
      <c r="M659" s="88" t="n"/>
      <c r="N659" s="89" t="n"/>
      <c r="O659" s="88" t="n"/>
      <c r="P659" s="88" t="n"/>
      <c r="Q659" s="88" t="n"/>
      <c r="R659" s="89" t="n"/>
      <c r="S659" s="88" t="n"/>
      <c r="T659" s="88" t="n"/>
      <c r="U659" s="88" t="n"/>
      <c r="V659" s="89" t="n"/>
      <c r="W659" s="88" t="n"/>
      <c r="X659" s="89" t="n"/>
      <c r="Y659" s="88" t="n"/>
      <c r="Z659" s="89" t="n"/>
      <c r="AB659" s="30">
        <f>IF($B659="","",(COUNTIF(C659:E659,"?*")&lt;N(INDEX(Setup!$L$6:$L$23,2)))+(COUNTIF(G659:I659,"?*")&lt;N(INDEX(Setup!$L$6:$L$23,2)))+(COUNTIF(K659:M659,"?*")&lt;N(INDEX(Setup!$L$6:$L$23,2)))+(COUNTIF(O659:Q659,"?*")&lt;N(INDEX(Setup!$L$6:$L$23,2)))+(COUNTIF(S659:U659,"?*")&lt;N(INDEX(Setup!$L$6:$L$23,2)))+((W659="")*(INDEX(Setup!$M$6:$M$23,2)="Y"))+((Y659="")*(INDEX(Setup!$M$6:$M$23,2)="Y")))</f>
        <v/>
      </c>
      <c r="AC659" s="91">
        <f>IF($B659="","",IF(AB659=0,"✓ covered","⚠ "&amp;AB659&amp;IF(AB659=1," gap"," gaps")))</f>
        <v/>
      </c>
    </row>
    <row r="660" ht="17" customHeight="1">
      <c r="A660" t="n">
        <v>14</v>
      </c>
      <c r="B660" s="24">
        <f>IF(Setup!$K$8="","",Setup!$K$8)</f>
        <v/>
      </c>
      <c r="C660" s="88" t="n"/>
      <c r="D660" s="88" t="n"/>
      <c r="E660" s="88" t="n"/>
      <c r="F660" s="89" t="n"/>
      <c r="G660" s="88" t="n"/>
      <c r="H660" s="88" t="n"/>
      <c r="I660" s="88" t="n"/>
      <c r="J660" s="89" t="n"/>
      <c r="K660" s="88" t="n"/>
      <c r="L660" s="88" t="n"/>
      <c r="M660" s="88" t="n"/>
      <c r="N660" s="89" t="n"/>
      <c r="O660" s="88" t="n"/>
      <c r="P660" s="88" t="n"/>
      <c r="Q660" s="88" t="n"/>
      <c r="R660" s="89" t="n"/>
      <c r="S660" s="88" t="n"/>
      <c r="T660" s="88" t="n"/>
      <c r="U660" s="88" t="n"/>
      <c r="V660" s="89" t="n"/>
      <c r="W660" s="88" t="n"/>
      <c r="X660" s="89" t="n"/>
      <c r="Y660" s="88" t="n"/>
      <c r="Z660" s="89" t="n"/>
      <c r="AB660" s="25">
        <f>IF($B660="","",(COUNTIF(C660:E660,"?*")&lt;N(INDEX(Setup!$L$6:$L$23,3)))+(COUNTIF(G660:I660,"?*")&lt;N(INDEX(Setup!$L$6:$L$23,3)))+(COUNTIF(K660:M660,"?*")&lt;N(INDEX(Setup!$L$6:$L$23,3)))+(COUNTIF(O660:Q660,"?*")&lt;N(INDEX(Setup!$L$6:$L$23,3)))+(COUNTIF(S660:U660,"?*")&lt;N(INDEX(Setup!$L$6:$L$23,3)))+((W660="")*(INDEX(Setup!$M$6:$M$23,3)="Y"))+((Y660="")*(INDEX(Setup!$M$6:$M$23,3)="Y")))</f>
        <v/>
      </c>
      <c r="AC660" s="90">
        <f>IF($B660="","",IF(AB660=0,"✓ covered","⚠ "&amp;AB660&amp;IF(AB660=1," gap"," gaps")))</f>
        <v/>
      </c>
    </row>
    <row r="661" ht="17" customHeight="1">
      <c r="A661" t="n">
        <v>14</v>
      </c>
      <c r="B661" s="29">
        <f>IF(Setup!$K$9="","",Setup!$K$9)</f>
        <v/>
      </c>
      <c r="C661" s="88" t="n"/>
      <c r="D661" s="88" t="n"/>
      <c r="E661" s="88" t="n"/>
      <c r="F661" s="89" t="n"/>
      <c r="G661" s="88" t="n"/>
      <c r="H661" s="88" t="n"/>
      <c r="I661" s="88" t="n"/>
      <c r="J661" s="89" t="n"/>
      <c r="K661" s="88" t="n"/>
      <c r="L661" s="88" t="n"/>
      <c r="M661" s="88" t="n"/>
      <c r="N661" s="89" t="n"/>
      <c r="O661" s="88" t="n"/>
      <c r="P661" s="88" t="n"/>
      <c r="Q661" s="88" t="n"/>
      <c r="R661" s="89" t="n"/>
      <c r="S661" s="88" t="n"/>
      <c r="T661" s="88" t="n"/>
      <c r="U661" s="88" t="n"/>
      <c r="V661" s="89" t="n"/>
      <c r="W661" s="88" t="n"/>
      <c r="X661" s="89" t="n"/>
      <c r="Y661" s="88" t="n"/>
      <c r="Z661" s="89" t="n"/>
      <c r="AB661" s="30">
        <f>IF($B661="","",(COUNTIF(C661:E661,"?*")&lt;N(INDEX(Setup!$L$6:$L$23,4)))+(COUNTIF(G661:I661,"?*")&lt;N(INDEX(Setup!$L$6:$L$23,4)))+(COUNTIF(K661:M661,"?*")&lt;N(INDEX(Setup!$L$6:$L$23,4)))+(COUNTIF(O661:Q661,"?*")&lt;N(INDEX(Setup!$L$6:$L$23,4)))+(COUNTIF(S661:U661,"?*")&lt;N(INDEX(Setup!$L$6:$L$23,4)))+((W661="")*(INDEX(Setup!$M$6:$M$23,4)="Y"))+((Y661="")*(INDEX(Setup!$M$6:$M$23,4)="Y")))</f>
        <v/>
      </c>
      <c r="AC661" s="91">
        <f>IF($B661="","",IF(AB661=0,"✓ covered","⚠ "&amp;AB661&amp;IF(AB661=1," gap"," gaps")))</f>
        <v/>
      </c>
    </row>
    <row r="662" ht="17" customHeight="1">
      <c r="A662" t="n">
        <v>14</v>
      </c>
      <c r="B662" s="24">
        <f>IF(Setup!$K$10="","",Setup!$K$10)</f>
        <v/>
      </c>
      <c r="C662" s="88" t="n"/>
      <c r="D662" s="88" t="n"/>
      <c r="E662" s="88" t="n"/>
      <c r="F662" s="89" t="n"/>
      <c r="G662" s="88" t="n"/>
      <c r="H662" s="88" t="n"/>
      <c r="I662" s="88" t="n"/>
      <c r="J662" s="89" t="n"/>
      <c r="K662" s="88" t="n"/>
      <c r="L662" s="88" t="n"/>
      <c r="M662" s="88" t="n"/>
      <c r="N662" s="89" t="n"/>
      <c r="O662" s="88" t="n"/>
      <c r="P662" s="88" t="n"/>
      <c r="Q662" s="88" t="n"/>
      <c r="R662" s="89" t="n"/>
      <c r="S662" s="88" t="n"/>
      <c r="T662" s="88" t="n"/>
      <c r="U662" s="88" t="n"/>
      <c r="V662" s="89" t="n"/>
      <c r="W662" s="88" t="n"/>
      <c r="X662" s="89" t="n"/>
      <c r="Y662" s="88" t="n"/>
      <c r="Z662" s="89" t="n"/>
      <c r="AB662" s="25">
        <f>IF($B662="","",(COUNTIF(C662:E662,"?*")&lt;N(INDEX(Setup!$L$6:$L$23,5)))+(COUNTIF(G662:I662,"?*")&lt;N(INDEX(Setup!$L$6:$L$23,5)))+(COUNTIF(K662:M662,"?*")&lt;N(INDEX(Setup!$L$6:$L$23,5)))+(COUNTIF(O662:Q662,"?*")&lt;N(INDEX(Setup!$L$6:$L$23,5)))+(COUNTIF(S662:U662,"?*")&lt;N(INDEX(Setup!$L$6:$L$23,5)))+((W662="")*(INDEX(Setup!$M$6:$M$23,5)="Y"))+((Y662="")*(INDEX(Setup!$M$6:$M$23,5)="Y")))</f>
        <v/>
      </c>
      <c r="AC662" s="90">
        <f>IF($B662="","",IF(AB662=0,"✓ covered","⚠ "&amp;AB662&amp;IF(AB662=1," gap"," gaps")))</f>
        <v/>
      </c>
    </row>
    <row r="663" ht="17" customHeight="1">
      <c r="A663" t="n">
        <v>14</v>
      </c>
      <c r="B663" s="29">
        <f>IF(Setup!$K$11="","",Setup!$K$11)</f>
        <v/>
      </c>
      <c r="C663" s="88" t="n"/>
      <c r="D663" s="88" t="n"/>
      <c r="E663" s="88" t="n"/>
      <c r="F663" s="89" t="n"/>
      <c r="G663" s="88" t="n"/>
      <c r="H663" s="88" t="n"/>
      <c r="I663" s="88" t="n"/>
      <c r="J663" s="89" t="n"/>
      <c r="K663" s="88" t="n"/>
      <c r="L663" s="88" t="n"/>
      <c r="M663" s="88" t="n"/>
      <c r="N663" s="89" t="n"/>
      <c r="O663" s="88" t="n"/>
      <c r="P663" s="88" t="n"/>
      <c r="Q663" s="88" t="n"/>
      <c r="R663" s="89" t="n"/>
      <c r="S663" s="88" t="n"/>
      <c r="T663" s="88" t="n"/>
      <c r="U663" s="88" t="n"/>
      <c r="V663" s="89" t="n"/>
      <c r="W663" s="88" t="n"/>
      <c r="X663" s="89" t="n"/>
      <c r="Y663" s="88" t="n"/>
      <c r="Z663" s="89" t="n"/>
      <c r="AB663" s="30">
        <f>IF($B663="","",(COUNTIF(C663:E663,"?*")&lt;N(INDEX(Setup!$L$6:$L$23,6)))+(COUNTIF(G663:I663,"?*")&lt;N(INDEX(Setup!$L$6:$L$23,6)))+(COUNTIF(K663:M663,"?*")&lt;N(INDEX(Setup!$L$6:$L$23,6)))+(COUNTIF(O663:Q663,"?*")&lt;N(INDEX(Setup!$L$6:$L$23,6)))+(COUNTIF(S663:U663,"?*")&lt;N(INDEX(Setup!$L$6:$L$23,6)))+((W663="")*(INDEX(Setup!$M$6:$M$23,6)="Y"))+((Y663="")*(INDEX(Setup!$M$6:$M$23,6)="Y")))</f>
        <v/>
      </c>
      <c r="AC663" s="91">
        <f>IF($B663="","",IF(AB663=0,"✓ covered","⚠ "&amp;AB663&amp;IF(AB663=1," gap"," gaps")))</f>
        <v/>
      </c>
    </row>
    <row r="664" ht="17" customHeight="1">
      <c r="A664" t="n">
        <v>14</v>
      </c>
      <c r="B664" s="24">
        <f>IF(Setup!$K$12="","",Setup!$K$12)</f>
        <v/>
      </c>
      <c r="C664" s="88" t="n"/>
      <c r="D664" s="88" t="n"/>
      <c r="E664" s="88" t="n"/>
      <c r="F664" s="89" t="n"/>
      <c r="G664" s="88" t="n"/>
      <c r="H664" s="88" t="n"/>
      <c r="I664" s="88" t="n"/>
      <c r="J664" s="89" t="n"/>
      <c r="K664" s="88" t="n"/>
      <c r="L664" s="88" t="n"/>
      <c r="M664" s="88" t="n"/>
      <c r="N664" s="89" t="n"/>
      <c r="O664" s="88" t="n"/>
      <c r="P664" s="88" t="n"/>
      <c r="Q664" s="88" t="n"/>
      <c r="R664" s="89" t="n"/>
      <c r="S664" s="88" t="n"/>
      <c r="T664" s="88" t="n"/>
      <c r="U664" s="88" t="n"/>
      <c r="V664" s="89" t="n"/>
      <c r="W664" s="88" t="n"/>
      <c r="X664" s="89" t="n"/>
      <c r="Y664" s="88" t="n"/>
      <c r="Z664" s="89" t="n"/>
      <c r="AB664" s="25">
        <f>IF($B664="","",(COUNTIF(C664:E664,"?*")&lt;N(INDEX(Setup!$L$6:$L$23,7)))+(COUNTIF(G664:I664,"?*")&lt;N(INDEX(Setup!$L$6:$L$23,7)))+(COUNTIF(K664:M664,"?*")&lt;N(INDEX(Setup!$L$6:$L$23,7)))+(COUNTIF(O664:Q664,"?*")&lt;N(INDEX(Setup!$L$6:$L$23,7)))+(COUNTIF(S664:U664,"?*")&lt;N(INDEX(Setup!$L$6:$L$23,7)))+((W664="")*(INDEX(Setup!$M$6:$M$23,7)="Y"))+((Y664="")*(INDEX(Setup!$M$6:$M$23,7)="Y")))</f>
        <v/>
      </c>
      <c r="AC664" s="90">
        <f>IF($B664="","",IF(AB664=0,"✓ covered","⚠ "&amp;AB664&amp;IF(AB664=1," gap"," gaps")))</f>
        <v/>
      </c>
    </row>
    <row r="665" ht="17" customHeight="1">
      <c r="A665" t="n">
        <v>14</v>
      </c>
      <c r="B665" s="29">
        <f>IF(Setup!$K$13="","",Setup!$K$13)</f>
        <v/>
      </c>
      <c r="C665" s="88" t="n"/>
      <c r="D665" s="88" t="n"/>
      <c r="E665" s="88" t="n"/>
      <c r="F665" s="89" t="n"/>
      <c r="G665" s="88" t="n"/>
      <c r="H665" s="88" t="n"/>
      <c r="I665" s="88" t="n"/>
      <c r="J665" s="89" t="n"/>
      <c r="K665" s="88" t="n"/>
      <c r="L665" s="88" t="n"/>
      <c r="M665" s="88" t="n"/>
      <c r="N665" s="89" t="n"/>
      <c r="O665" s="88" t="n"/>
      <c r="P665" s="88" t="n"/>
      <c r="Q665" s="88" t="n"/>
      <c r="R665" s="89" t="n"/>
      <c r="S665" s="88" t="n"/>
      <c r="T665" s="88" t="n"/>
      <c r="U665" s="88" t="n"/>
      <c r="V665" s="89" t="n"/>
      <c r="W665" s="88" t="n"/>
      <c r="X665" s="89" t="n"/>
      <c r="Y665" s="88" t="n"/>
      <c r="Z665" s="89" t="n"/>
      <c r="AB665" s="30">
        <f>IF($B665="","",(COUNTIF(C665:E665,"?*")&lt;N(INDEX(Setup!$L$6:$L$23,8)))+(COUNTIF(G665:I665,"?*")&lt;N(INDEX(Setup!$L$6:$L$23,8)))+(COUNTIF(K665:M665,"?*")&lt;N(INDEX(Setup!$L$6:$L$23,8)))+(COUNTIF(O665:Q665,"?*")&lt;N(INDEX(Setup!$L$6:$L$23,8)))+(COUNTIF(S665:U665,"?*")&lt;N(INDEX(Setup!$L$6:$L$23,8)))+((W665="")*(INDEX(Setup!$M$6:$M$23,8)="Y"))+((Y665="")*(INDEX(Setup!$M$6:$M$23,8)="Y")))</f>
        <v/>
      </c>
      <c r="AC665" s="91">
        <f>IF($B665="","",IF(AB665=0,"✓ covered","⚠ "&amp;AB665&amp;IF(AB665=1," gap"," gaps")))</f>
        <v/>
      </c>
    </row>
    <row r="666" ht="17" customHeight="1">
      <c r="A666" t="n">
        <v>14</v>
      </c>
      <c r="B666" s="24">
        <f>IF(Setup!$K$14="","",Setup!$K$14)</f>
        <v/>
      </c>
      <c r="C666" s="88" t="n"/>
      <c r="D666" s="88" t="n"/>
      <c r="E666" s="88" t="n"/>
      <c r="F666" s="89" t="n"/>
      <c r="G666" s="88" t="n"/>
      <c r="H666" s="88" t="n"/>
      <c r="I666" s="88" t="n"/>
      <c r="J666" s="89" t="n"/>
      <c r="K666" s="88" t="n"/>
      <c r="L666" s="88" t="n"/>
      <c r="M666" s="88" t="n"/>
      <c r="N666" s="89" t="n"/>
      <c r="O666" s="88" t="n"/>
      <c r="P666" s="88" t="n"/>
      <c r="Q666" s="88" t="n"/>
      <c r="R666" s="89" t="n"/>
      <c r="S666" s="88" t="n"/>
      <c r="T666" s="88" t="n"/>
      <c r="U666" s="88" t="n"/>
      <c r="V666" s="89" t="n"/>
      <c r="W666" s="88" t="n"/>
      <c r="X666" s="89" t="n"/>
      <c r="Y666" s="88" t="n"/>
      <c r="Z666" s="89" t="n"/>
      <c r="AB666" s="25">
        <f>IF($B666="","",(COUNTIF(C666:E666,"?*")&lt;N(INDEX(Setup!$L$6:$L$23,9)))+(COUNTIF(G666:I666,"?*")&lt;N(INDEX(Setup!$L$6:$L$23,9)))+(COUNTIF(K666:M666,"?*")&lt;N(INDEX(Setup!$L$6:$L$23,9)))+(COUNTIF(O666:Q666,"?*")&lt;N(INDEX(Setup!$L$6:$L$23,9)))+(COUNTIF(S666:U666,"?*")&lt;N(INDEX(Setup!$L$6:$L$23,9)))+((W666="")*(INDEX(Setup!$M$6:$M$23,9)="Y"))+((Y666="")*(INDEX(Setup!$M$6:$M$23,9)="Y")))</f>
        <v/>
      </c>
      <c r="AC666" s="90">
        <f>IF($B666="","",IF(AB666=0,"✓ covered","⚠ "&amp;AB666&amp;IF(AB666=1," gap"," gaps")))</f>
        <v/>
      </c>
    </row>
    <row r="667" ht="17" customHeight="1">
      <c r="A667" t="n">
        <v>14</v>
      </c>
      <c r="B667" s="29">
        <f>IF(Setup!$K$15="","",Setup!$K$15)</f>
        <v/>
      </c>
      <c r="C667" s="88" t="n"/>
      <c r="D667" s="88" t="n"/>
      <c r="E667" s="88" t="n"/>
      <c r="F667" s="89" t="n"/>
      <c r="G667" s="88" t="n"/>
      <c r="H667" s="88" t="n"/>
      <c r="I667" s="88" t="n"/>
      <c r="J667" s="89" t="n"/>
      <c r="K667" s="88" t="n"/>
      <c r="L667" s="88" t="n"/>
      <c r="M667" s="88" t="n"/>
      <c r="N667" s="89" t="n"/>
      <c r="O667" s="88" t="n"/>
      <c r="P667" s="88" t="n"/>
      <c r="Q667" s="88" t="n"/>
      <c r="R667" s="89" t="n"/>
      <c r="S667" s="88" t="n"/>
      <c r="T667" s="88" t="n"/>
      <c r="U667" s="88" t="n"/>
      <c r="V667" s="89" t="n"/>
      <c r="W667" s="88" t="n"/>
      <c r="X667" s="89" t="n"/>
      <c r="Y667" s="88" t="n"/>
      <c r="Z667" s="89" t="n"/>
      <c r="AB667" s="30">
        <f>IF($B667="","",(COUNTIF(C667:E667,"?*")&lt;N(INDEX(Setup!$L$6:$L$23,10)))+(COUNTIF(G667:I667,"?*")&lt;N(INDEX(Setup!$L$6:$L$23,10)))+(COUNTIF(K667:M667,"?*")&lt;N(INDEX(Setup!$L$6:$L$23,10)))+(COUNTIF(O667:Q667,"?*")&lt;N(INDEX(Setup!$L$6:$L$23,10)))+(COUNTIF(S667:U667,"?*")&lt;N(INDEX(Setup!$L$6:$L$23,10)))+((W667="")*(INDEX(Setup!$M$6:$M$23,10)="Y"))+((Y667="")*(INDEX(Setup!$M$6:$M$23,10)="Y")))</f>
        <v/>
      </c>
      <c r="AC667" s="91">
        <f>IF($B667="","",IF(AB667=0,"✓ covered","⚠ "&amp;AB667&amp;IF(AB667=1," gap"," gaps")))</f>
        <v/>
      </c>
    </row>
    <row r="668" ht="17" customHeight="1">
      <c r="A668" t="n">
        <v>14</v>
      </c>
      <c r="B668" s="24">
        <f>IF(Setup!$K$16="","",Setup!$K$16)</f>
        <v/>
      </c>
      <c r="C668" s="88" t="n"/>
      <c r="D668" s="88" t="n"/>
      <c r="E668" s="88" t="n"/>
      <c r="F668" s="89" t="n"/>
      <c r="G668" s="88" t="n"/>
      <c r="H668" s="88" t="n"/>
      <c r="I668" s="88" t="n"/>
      <c r="J668" s="89" t="n"/>
      <c r="K668" s="88" t="n"/>
      <c r="L668" s="88" t="n"/>
      <c r="M668" s="88" t="n"/>
      <c r="N668" s="89" t="n"/>
      <c r="O668" s="88" t="n"/>
      <c r="P668" s="88" t="n"/>
      <c r="Q668" s="88" t="n"/>
      <c r="R668" s="89" t="n"/>
      <c r="S668" s="88" t="n"/>
      <c r="T668" s="88" t="n"/>
      <c r="U668" s="88" t="n"/>
      <c r="V668" s="89" t="n"/>
      <c r="W668" s="88" t="n"/>
      <c r="X668" s="89" t="n"/>
      <c r="Y668" s="88" t="n"/>
      <c r="Z668" s="89" t="n"/>
      <c r="AB668" s="25">
        <f>IF($B668="","",(COUNTIF(C668:E668,"?*")&lt;N(INDEX(Setup!$L$6:$L$23,11)))+(COUNTIF(G668:I668,"?*")&lt;N(INDEX(Setup!$L$6:$L$23,11)))+(COUNTIF(K668:M668,"?*")&lt;N(INDEX(Setup!$L$6:$L$23,11)))+(COUNTIF(O668:Q668,"?*")&lt;N(INDEX(Setup!$L$6:$L$23,11)))+(COUNTIF(S668:U668,"?*")&lt;N(INDEX(Setup!$L$6:$L$23,11)))+((W668="")*(INDEX(Setup!$M$6:$M$23,11)="Y"))+((Y668="")*(INDEX(Setup!$M$6:$M$23,11)="Y")))</f>
        <v/>
      </c>
      <c r="AC668" s="90">
        <f>IF($B668="","",IF(AB668=0,"✓ covered","⚠ "&amp;AB668&amp;IF(AB668=1," gap"," gaps")))</f>
        <v/>
      </c>
    </row>
    <row r="669" ht="17" customHeight="1">
      <c r="A669" t="n">
        <v>14</v>
      </c>
      <c r="B669" s="29">
        <f>IF(Setup!$K$17="","",Setup!$K$17)</f>
        <v/>
      </c>
      <c r="C669" s="88" t="n"/>
      <c r="D669" s="88" t="n"/>
      <c r="E669" s="88" t="n"/>
      <c r="F669" s="89" t="n"/>
      <c r="G669" s="88" t="n"/>
      <c r="H669" s="88" t="n"/>
      <c r="I669" s="88" t="n"/>
      <c r="J669" s="89" t="n"/>
      <c r="K669" s="88" t="n"/>
      <c r="L669" s="88" t="n"/>
      <c r="M669" s="88" t="n"/>
      <c r="N669" s="89" t="n"/>
      <c r="O669" s="88" t="n"/>
      <c r="P669" s="88" t="n"/>
      <c r="Q669" s="88" t="n"/>
      <c r="R669" s="89" t="n"/>
      <c r="S669" s="88" t="n"/>
      <c r="T669" s="88" t="n"/>
      <c r="U669" s="88" t="n"/>
      <c r="V669" s="89" t="n"/>
      <c r="W669" s="88" t="n"/>
      <c r="X669" s="89" t="n"/>
      <c r="Y669" s="88" t="n"/>
      <c r="Z669" s="89" t="n"/>
      <c r="AB669" s="30">
        <f>IF($B669="","",(COUNTIF(C669:E669,"?*")&lt;N(INDEX(Setup!$L$6:$L$23,12)))+(COUNTIF(G669:I669,"?*")&lt;N(INDEX(Setup!$L$6:$L$23,12)))+(COUNTIF(K669:M669,"?*")&lt;N(INDEX(Setup!$L$6:$L$23,12)))+(COUNTIF(O669:Q669,"?*")&lt;N(INDEX(Setup!$L$6:$L$23,12)))+(COUNTIF(S669:U669,"?*")&lt;N(INDEX(Setup!$L$6:$L$23,12)))+((W669="")*(INDEX(Setup!$M$6:$M$23,12)="Y"))+((Y669="")*(INDEX(Setup!$M$6:$M$23,12)="Y")))</f>
        <v/>
      </c>
      <c r="AC669" s="91">
        <f>IF($B669="","",IF(AB669=0,"✓ covered","⚠ "&amp;AB669&amp;IF(AB669=1," gap"," gaps")))</f>
        <v/>
      </c>
    </row>
    <row r="670" ht="17" customHeight="1">
      <c r="A670" t="n">
        <v>14</v>
      </c>
      <c r="B670" s="24">
        <f>IF(Setup!$K$18="","",Setup!$K$18)</f>
        <v/>
      </c>
      <c r="C670" s="88" t="n"/>
      <c r="D670" s="88" t="n"/>
      <c r="E670" s="88" t="n"/>
      <c r="F670" s="89" t="n"/>
      <c r="G670" s="88" t="n"/>
      <c r="H670" s="88" t="n"/>
      <c r="I670" s="88" t="n"/>
      <c r="J670" s="89" t="n"/>
      <c r="K670" s="88" t="n"/>
      <c r="L670" s="88" t="n"/>
      <c r="M670" s="88" t="n"/>
      <c r="N670" s="89" t="n"/>
      <c r="O670" s="88" t="n"/>
      <c r="P670" s="88" t="n"/>
      <c r="Q670" s="88" t="n"/>
      <c r="R670" s="89" t="n"/>
      <c r="S670" s="88" t="n"/>
      <c r="T670" s="88" t="n"/>
      <c r="U670" s="88" t="n"/>
      <c r="V670" s="89" t="n"/>
      <c r="W670" s="88" t="n"/>
      <c r="X670" s="89" t="n"/>
      <c r="Y670" s="88" t="n"/>
      <c r="Z670" s="89" t="n"/>
      <c r="AB670" s="25">
        <f>IF($B670="","",(COUNTIF(C670:E670,"?*")&lt;N(INDEX(Setup!$L$6:$L$23,13)))+(COUNTIF(G670:I670,"?*")&lt;N(INDEX(Setup!$L$6:$L$23,13)))+(COUNTIF(K670:M670,"?*")&lt;N(INDEX(Setup!$L$6:$L$23,13)))+(COUNTIF(O670:Q670,"?*")&lt;N(INDEX(Setup!$L$6:$L$23,13)))+(COUNTIF(S670:U670,"?*")&lt;N(INDEX(Setup!$L$6:$L$23,13)))+((W670="")*(INDEX(Setup!$M$6:$M$23,13)="Y"))+((Y670="")*(INDEX(Setup!$M$6:$M$23,13)="Y")))</f>
        <v/>
      </c>
      <c r="AC670" s="90">
        <f>IF($B670="","",IF(AB670=0,"✓ covered","⚠ "&amp;AB670&amp;IF(AB670=1," gap"," gaps")))</f>
        <v/>
      </c>
    </row>
    <row r="671" ht="17" customHeight="1">
      <c r="A671" t="n">
        <v>14</v>
      </c>
      <c r="B671" s="29">
        <f>IF(Setup!$K$19="","",Setup!$K$19)</f>
        <v/>
      </c>
      <c r="C671" s="88" t="n"/>
      <c r="D671" s="88" t="n"/>
      <c r="E671" s="88" t="n"/>
      <c r="F671" s="89" t="n"/>
      <c r="G671" s="88" t="n"/>
      <c r="H671" s="88" t="n"/>
      <c r="I671" s="88" t="n"/>
      <c r="J671" s="89" t="n"/>
      <c r="K671" s="88" t="n"/>
      <c r="L671" s="88" t="n"/>
      <c r="M671" s="88" t="n"/>
      <c r="N671" s="89" t="n"/>
      <c r="O671" s="88" t="n"/>
      <c r="P671" s="88" t="n"/>
      <c r="Q671" s="88" t="n"/>
      <c r="R671" s="89" t="n"/>
      <c r="S671" s="88" t="n"/>
      <c r="T671" s="88" t="n"/>
      <c r="U671" s="88" t="n"/>
      <c r="V671" s="89" t="n"/>
      <c r="W671" s="88" t="n"/>
      <c r="X671" s="89" t="n"/>
      <c r="Y671" s="88" t="n"/>
      <c r="Z671" s="89" t="n"/>
      <c r="AB671" s="30">
        <f>IF($B671="","",(COUNTIF(C671:E671,"?*")&lt;N(INDEX(Setup!$L$6:$L$23,14)))+(COUNTIF(G671:I671,"?*")&lt;N(INDEX(Setup!$L$6:$L$23,14)))+(COUNTIF(K671:M671,"?*")&lt;N(INDEX(Setup!$L$6:$L$23,14)))+(COUNTIF(O671:Q671,"?*")&lt;N(INDEX(Setup!$L$6:$L$23,14)))+(COUNTIF(S671:U671,"?*")&lt;N(INDEX(Setup!$L$6:$L$23,14)))+((W671="")*(INDEX(Setup!$M$6:$M$23,14)="Y"))+((Y671="")*(INDEX(Setup!$M$6:$M$23,14)="Y")))</f>
        <v/>
      </c>
      <c r="AC671" s="91">
        <f>IF($B671="","",IF(AB671=0,"✓ covered","⚠ "&amp;AB671&amp;IF(AB671=1," gap"," gaps")))</f>
        <v/>
      </c>
    </row>
    <row r="672" ht="17" customHeight="1">
      <c r="A672" t="n">
        <v>14</v>
      </c>
      <c r="B672" s="24">
        <f>IF(Setup!$K$20="","",Setup!$K$20)</f>
        <v/>
      </c>
      <c r="C672" s="88" t="n"/>
      <c r="D672" s="88" t="n"/>
      <c r="E672" s="88" t="n"/>
      <c r="F672" s="89" t="n"/>
      <c r="G672" s="88" t="n"/>
      <c r="H672" s="88" t="n"/>
      <c r="I672" s="88" t="n"/>
      <c r="J672" s="89" t="n"/>
      <c r="K672" s="88" t="n"/>
      <c r="L672" s="88" t="n"/>
      <c r="M672" s="88" t="n"/>
      <c r="N672" s="89" t="n"/>
      <c r="O672" s="88" t="n"/>
      <c r="P672" s="88" t="n"/>
      <c r="Q672" s="88" t="n"/>
      <c r="R672" s="89" t="n"/>
      <c r="S672" s="88" t="n"/>
      <c r="T672" s="88" t="n"/>
      <c r="U672" s="88" t="n"/>
      <c r="V672" s="89" t="n"/>
      <c r="W672" s="88" t="n"/>
      <c r="X672" s="89" t="n"/>
      <c r="Y672" s="88" t="n"/>
      <c r="Z672" s="89" t="n"/>
      <c r="AB672" s="25">
        <f>IF($B672="","",(COUNTIF(C672:E672,"?*")&lt;N(INDEX(Setup!$L$6:$L$23,15)))+(COUNTIF(G672:I672,"?*")&lt;N(INDEX(Setup!$L$6:$L$23,15)))+(COUNTIF(K672:M672,"?*")&lt;N(INDEX(Setup!$L$6:$L$23,15)))+(COUNTIF(O672:Q672,"?*")&lt;N(INDEX(Setup!$L$6:$L$23,15)))+(COUNTIF(S672:U672,"?*")&lt;N(INDEX(Setup!$L$6:$L$23,15)))+((W672="")*(INDEX(Setup!$M$6:$M$23,15)="Y"))+((Y672="")*(INDEX(Setup!$M$6:$M$23,15)="Y")))</f>
        <v/>
      </c>
      <c r="AC672" s="90">
        <f>IF($B672="","",IF(AB672=0,"✓ covered","⚠ "&amp;AB672&amp;IF(AB672=1," gap"," gaps")))</f>
        <v/>
      </c>
    </row>
    <row r="673" ht="17" customHeight="1">
      <c r="A673" t="n">
        <v>14</v>
      </c>
      <c r="B673" s="29">
        <f>IF(Setup!$K$21="","",Setup!$K$21)</f>
        <v/>
      </c>
      <c r="C673" s="88" t="n"/>
      <c r="D673" s="88" t="n"/>
      <c r="E673" s="88" t="n"/>
      <c r="F673" s="89" t="n"/>
      <c r="G673" s="88" t="n"/>
      <c r="H673" s="88" t="n"/>
      <c r="I673" s="88" t="n"/>
      <c r="J673" s="89" t="n"/>
      <c r="K673" s="88" t="n"/>
      <c r="L673" s="88" t="n"/>
      <c r="M673" s="88" t="n"/>
      <c r="N673" s="89" t="n"/>
      <c r="O673" s="88" t="n"/>
      <c r="P673" s="88" t="n"/>
      <c r="Q673" s="88" t="n"/>
      <c r="R673" s="89" t="n"/>
      <c r="S673" s="88" t="n"/>
      <c r="T673" s="88" t="n"/>
      <c r="U673" s="88" t="n"/>
      <c r="V673" s="89" t="n"/>
      <c r="W673" s="88" t="n"/>
      <c r="X673" s="89" t="n"/>
      <c r="Y673" s="88" t="n"/>
      <c r="Z673" s="89" t="n"/>
      <c r="AB673" s="30">
        <f>IF($B673="","",(COUNTIF(C673:E673,"?*")&lt;N(INDEX(Setup!$L$6:$L$23,16)))+(COUNTIF(G673:I673,"?*")&lt;N(INDEX(Setup!$L$6:$L$23,16)))+(COUNTIF(K673:M673,"?*")&lt;N(INDEX(Setup!$L$6:$L$23,16)))+(COUNTIF(O673:Q673,"?*")&lt;N(INDEX(Setup!$L$6:$L$23,16)))+(COUNTIF(S673:U673,"?*")&lt;N(INDEX(Setup!$L$6:$L$23,16)))+((W673="")*(INDEX(Setup!$M$6:$M$23,16)="Y"))+((Y673="")*(INDEX(Setup!$M$6:$M$23,16)="Y")))</f>
        <v/>
      </c>
      <c r="AC673" s="91">
        <f>IF($B673="","",IF(AB673=0,"✓ covered","⚠ "&amp;AB673&amp;IF(AB673=1," gap"," gaps")))</f>
        <v/>
      </c>
    </row>
    <row r="674" ht="17" customHeight="1">
      <c r="A674" t="n">
        <v>14</v>
      </c>
      <c r="B674" s="24">
        <f>IF(Setup!$K$22="","",Setup!$K$22)</f>
        <v/>
      </c>
      <c r="C674" s="88" t="n"/>
      <c r="D674" s="88" t="n"/>
      <c r="E674" s="88" t="n"/>
      <c r="F674" s="89" t="n"/>
      <c r="G674" s="88" t="n"/>
      <c r="H674" s="88" t="n"/>
      <c r="I674" s="88" t="n"/>
      <c r="J674" s="89" t="n"/>
      <c r="K674" s="88" t="n"/>
      <c r="L674" s="88" t="n"/>
      <c r="M674" s="88" t="n"/>
      <c r="N674" s="89" t="n"/>
      <c r="O674" s="88" t="n"/>
      <c r="P674" s="88" t="n"/>
      <c r="Q674" s="88" t="n"/>
      <c r="R674" s="89" t="n"/>
      <c r="S674" s="88" t="n"/>
      <c r="T674" s="88" t="n"/>
      <c r="U674" s="88" t="n"/>
      <c r="V674" s="89" t="n"/>
      <c r="W674" s="88" t="n"/>
      <c r="X674" s="89" t="n"/>
      <c r="Y674" s="88" t="n"/>
      <c r="Z674" s="89" t="n"/>
      <c r="AB674" s="25">
        <f>IF($B674="","",(COUNTIF(C674:E674,"?*")&lt;N(INDEX(Setup!$L$6:$L$23,17)))+(COUNTIF(G674:I674,"?*")&lt;N(INDEX(Setup!$L$6:$L$23,17)))+(COUNTIF(K674:M674,"?*")&lt;N(INDEX(Setup!$L$6:$L$23,17)))+(COUNTIF(O674:Q674,"?*")&lt;N(INDEX(Setup!$L$6:$L$23,17)))+(COUNTIF(S674:U674,"?*")&lt;N(INDEX(Setup!$L$6:$L$23,17)))+((W674="")*(INDEX(Setup!$M$6:$M$23,17)="Y"))+((Y674="")*(INDEX(Setup!$M$6:$M$23,17)="Y")))</f>
        <v/>
      </c>
      <c r="AC674" s="90">
        <f>IF($B674="","",IF(AB674=0,"✓ covered","⚠ "&amp;AB674&amp;IF(AB674=1," gap"," gaps")))</f>
        <v/>
      </c>
    </row>
    <row r="675" ht="17" customHeight="1">
      <c r="A675" t="n">
        <v>14</v>
      </c>
      <c r="B675" s="29">
        <f>IF(Setup!$K$23="","",Setup!$K$23)</f>
        <v/>
      </c>
      <c r="C675" s="88" t="n"/>
      <c r="D675" s="88" t="n"/>
      <c r="E675" s="88" t="n"/>
      <c r="F675" s="89" t="n"/>
      <c r="G675" s="88" t="n"/>
      <c r="H675" s="88" t="n"/>
      <c r="I675" s="88" t="n"/>
      <c r="J675" s="89" t="n"/>
      <c r="K675" s="88" t="n"/>
      <c r="L675" s="88" t="n"/>
      <c r="M675" s="88" t="n"/>
      <c r="N675" s="89" t="n"/>
      <c r="O675" s="88" t="n"/>
      <c r="P675" s="88" t="n"/>
      <c r="Q675" s="88" t="n"/>
      <c r="R675" s="89" t="n"/>
      <c r="S675" s="88" t="n"/>
      <c r="T675" s="88" t="n"/>
      <c r="U675" s="88" t="n"/>
      <c r="V675" s="89" t="n"/>
      <c r="W675" s="88" t="n"/>
      <c r="X675" s="89" t="n"/>
      <c r="Y675" s="88" t="n"/>
      <c r="Z675" s="89" t="n"/>
      <c r="AB675" s="30">
        <f>IF($B675="","",(COUNTIF(C675:E675,"?*")&lt;N(INDEX(Setup!$L$6:$L$23,18)))+(COUNTIF(G675:I675,"?*")&lt;N(INDEX(Setup!$L$6:$L$23,18)))+(COUNTIF(K675:M675,"?*")&lt;N(INDEX(Setup!$L$6:$L$23,18)))+(COUNTIF(O675:Q675,"?*")&lt;N(INDEX(Setup!$L$6:$L$23,18)))+(COUNTIF(S675:U675,"?*")&lt;N(INDEX(Setup!$L$6:$L$23,18)))+((W675="")*(INDEX(Setup!$M$6:$M$23,18)="Y"))+((Y675="")*(INDEX(Setup!$M$6:$M$23,18)="Y")))</f>
        <v/>
      </c>
      <c r="AC675" s="91">
        <f>IF($B675="","",IF(AB675=0,"✓ covered","⚠ "&amp;AB675&amp;IF(AB675=1," gap"," gaps")))</f>
        <v/>
      </c>
    </row>
    <row r="676" ht="18" customHeight="1">
      <c r="A676" t="n">
        <v>14</v>
      </c>
      <c r="B676" s="78" t="inlineStr">
        <is>
          <t>TEAM AVAILABILITY</t>
        </is>
      </c>
      <c r="C676" s="92" t="inlineStr">
        <is>
          <t>Mon</t>
        </is>
      </c>
      <c r="D676" s="93" t="n"/>
      <c r="E676" s="93" t="n"/>
      <c r="F676" s="94" t="n"/>
      <c r="G676" s="92" t="inlineStr">
        <is>
          <t>Tue</t>
        </is>
      </c>
      <c r="H676" s="93" t="n"/>
      <c r="I676" s="93" t="n"/>
      <c r="J676" s="94" t="n"/>
      <c r="K676" s="92" t="inlineStr">
        <is>
          <t>Wed</t>
        </is>
      </c>
      <c r="L676" s="93" t="n"/>
      <c r="M676" s="93" t="n"/>
      <c r="N676" s="94" t="n"/>
      <c r="O676" s="92" t="inlineStr">
        <is>
          <t>Thu</t>
        </is>
      </c>
      <c r="P676" s="93" t="n"/>
      <c r="Q676" s="93" t="n"/>
      <c r="R676" s="94" t="n"/>
      <c r="S676" s="92" t="inlineStr">
        <is>
          <t>Fri</t>
        </is>
      </c>
      <c r="T676" s="93" t="n"/>
      <c r="U676" s="93" t="n"/>
      <c r="V676" s="94" t="n"/>
      <c r="W676" s="95" t="inlineStr">
        <is>
          <t>Sat</t>
        </is>
      </c>
      <c r="X676" s="96" t="n"/>
      <c r="Y676" s="95" t="inlineStr">
        <is>
          <t>Sun</t>
        </is>
      </c>
      <c r="Z676" s="96" t="n"/>
      <c r="AB676" s="97" t="inlineStr">
        <is>
          <t>Days rostered</t>
        </is>
      </c>
      <c r="AC676" s="97" t="inlineStr">
        <is>
          <t>Conflicts</t>
        </is>
      </c>
    </row>
    <row r="677" ht="15" customHeight="1">
      <c r="A677" t="n">
        <v>14</v>
      </c>
      <c r="B677" s="35">
        <f>IF(Setup!$B$6="","",Setup!$B$6)</f>
        <v/>
      </c>
      <c r="C677" s="98" t="n"/>
      <c r="D677" s="99" t="n"/>
      <c r="E677" s="99" t="n"/>
      <c r="F677" s="100" t="n"/>
      <c r="G677" s="98" t="n"/>
      <c r="H677" s="99" t="n"/>
      <c r="I677" s="99" t="n"/>
      <c r="J677" s="100" t="n"/>
      <c r="K677" s="98" t="n"/>
      <c r="L677" s="99" t="n"/>
      <c r="M677" s="99" t="n"/>
      <c r="N677" s="100" t="n"/>
      <c r="O677" s="98" t="n"/>
      <c r="P677" s="99" t="n"/>
      <c r="Q677" s="99" t="n"/>
      <c r="R677" s="100" t="n"/>
      <c r="S677" s="98" t="n"/>
      <c r="T677" s="99" t="n"/>
      <c r="U677" s="99" t="n"/>
      <c r="V677" s="100" t="n"/>
      <c r="W677" s="98" t="n"/>
      <c r="X677" s="100" t="n"/>
      <c r="Y677" s="98" t="n"/>
      <c r="Z677" s="100" t="n"/>
      <c r="AB677" s="101">
        <f>IF($B677="","",(COUNTIF(C658:E675,$B677)+COUNTIF(C658:E675,$B677&amp;" ~*")&gt;0)+(COUNTIF(G658:I675,$B677)+COUNTIF(G658:I675,$B677&amp;" ~*")&gt;0)+(COUNTIF(K658:M675,$B677)+COUNTIF(K658:M675,$B677&amp;" ~*")&gt;0)+(COUNTIF(O658:Q675,$B677)+COUNTIF(O658:Q675,$B677&amp;" ~*")&gt;0)+(COUNTIF(S658:U675,$B677)+COUNTIF(S658:U675,$B677&amp;" ~*")&gt;0)+(COUNTIF(W658:W675,$B677)+COUNTIF(W658:W675,$B677&amp;" ~*")&gt;0)+(COUNTIF(Y658:Y675,$B677)+COUNTIF(Y658:Y675,$B677&amp;" ~*")&gt;0))</f>
        <v/>
      </c>
      <c r="AC677" s="36">
        <f>IF($B677="","",(IFERROR(INDEX(Setup!$G$33:$G$40,MATCH(C677,Setup!$B$33:$B$40,0)),0)=1)*(COUNTIF(C658:E675,$B677)+COUNTIF(C658:E675,$B677&amp;" ~*")&gt;0)+(IFERROR(INDEX(Setup!$G$33:$G$40,MATCH(G677,Setup!$B$33:$B$40,0)),0)=1)*(COUNTIF(G658:I675,$B677)+COUNTIF(G658:I675,$B677&amp;" ~*")&gt;0)+(IFERROR(INDEX(Setup!$G$33:$G$40,MATCH(K677,Setup!$B$33:$B$40,0)),0)=1)*(COUNTIF(K658:M675,$B677)+COUNTIF(K658:M675,$B677&amp;" ~*")&gt;0)+(IFERROR(INDEX(Setup!$G$33:$G$40,MATCH(O677,Setup!$B$33:$B$40,0)),0)=1)*(COUNTIF(O658:Q675,$B677)+COUNTIF(O658:Q675,$B677&amp;" ~*")&gt;0)+(IFERROR(INDEX(Setup!$G$33:$G$40,MATCH(S677,Setup!$B$33:$B$40,0)),0)=1)*(COUNTIF(S658:U675,$B677)+COUNTIF(S658:U675,$B677&amp;" ~*")&gt;0)+(IFERROR(INDEX(Setup!$G$33:$G$40,MATCH(W677,Setup!$B$33:$B$40,0)),0)=1)*(COUNTIF(W658:W675,$B677)+COUNTIF(W658:W675,$B677&amp;" ~*")&gt;0)+(IFERROR(INDEX(Setup!$G$33:$G$40,MATCH(Y677,Setup!$B$33:$B$40,0)),0)=1)*(COUNTIF(Y658:Y675,$B677)+COUNTIF(Y658:Y675,$B677&amp;" ~*")&gt;0))</f>
        <v/>
      </c>
    </row>
    <row r="678" ht="15" customHeight="1">
      <c r="A678" t="n">
        <v>14</v>
      </c>
      <c r="B678" s="37">
        <f>IF(Setup!$B$7="","",Setup!$B$7)</f>
        <v/>
      </c>
      <c r="C678" s="102" t="n"/>
      <c r="D678" s="103" t="n"/>
      <c r="E678" s="103" t="n"/>
      <c r="F678" s="104" t="n"/>
      <c r="G678" s="102" t="n"/>
      <c r="H678" s="103" t="n"/>
      <c r="I678" s="103" t="n"/>
      <c r="J678" s="104" t="n"/>
      <c r="K678" s="102" t="n"/>
      <c r="L678" s="103" t="n"/>
      <c r="M678" s="103" t="n"/>
      <c r="N678" s="104" t="n"/>
      <c r="O678" s="102" t="n"/>
      <c r="P678" s="103" t="n"/>
      <c r="Q678" s="103" t="n"/>
      <c r="R678" s="104" t="n"/>
      <c r="S678" s="102" t="n"/>
      <c r="T678" s="103" t="n"/>
      <c r="U678" s="103" t="n"/>
      <c r="V678" s="104" t="n"/>
      <c r="W678" s="102" t="n"/>
      <c r="X678" s="104" t="n"/>
      <c r="Y678" s="102" t="n"/>
      <c r="Z678" s="104" t="n"/>
      <c r="AB678" s="105">
        <f>IF($B678="","",(COUNTIF(C658:E675,$B678)+COUNTIF(C658:E675,$B678&amp;" ~*")&gt;0)+(COUNTIF(G658:I675,$B678)+COUNTIF(G658:I675,$B678&amp;" ~*")&gt;0)+(COUNTIF(K658:M675,$B678)+COUNTIF(K658:M675,$B678&amp;" ~*")&gt;0)+(COUNTIF(O658:Q675,$B678)+COUNTIF(O658:Q675,$B678&amp;" ~*")&gt;0)+(COUNTIF(S658:U675,$B678)+COUNTIF(S658:U675,$B678&amp;" ~*")&gt;0)+(COUNTIF(W658:W675,$B678)+COUNTIF(W658:W675,$B678&amp;" ~*")&gt;0)+(COUNTIF(Y658:Y675,$B678)+COUNTIF(Y658:Y675,$B678&amp;" ~*")&gt;0))</f>
        <v/>
      </c>
      <c r="AC678" s="38">
        <f>IF($B678="","",(IFERROR(INDEX(Setup!$G$33:$G$40,MATCH(C678,Setup!$B$33:$B$40,0)),0)=1)*(COUNTIF(C658:E675,$B678)+COUNTIF(C658:E675,$B678&amp;" ~*")&gt;0)+(IFERROR(INDEX(Setup!$G$33:$G$40,MATCH(G678,Setup!$B$33:$B$40,0)),0)=1)*(COUNTIF(G658:I675,$B678)+COUNTIF(G658:I675,$B678&amp;" ~*")&gt;0)+(IFERROR(INDEX(Setup!$G$33:$G$40,MATCH(K678,Setup!$B$33:$B$40,0)),0)=1)*(COUNTIF(K658:M675,$B678)+COUNTIF(K658:M675,$B678&amp;" ~*")&gt;0)+(IFERROR(INDEX(Setup!$G$33:$G$40,MATCH(O678,Setup!$B$33:$B$40,0)),0)=1)*(COUNTIF(O658:Q675,$B678)+COUNTIF(O658:Q675,$B678&amp;" ~*")&gt;0)+(IFERROR(INDEX(Setup!$G$33:$G$40,MATCH(S678,Setup!$B$33:$B$40,0)),0)=1)*(COUNTIF(S658:U675,$B678)+COUNTIF(S658:U675,$B678&amp;" ~*")&gt;0)+(IFERROR(INDEX(Setup!$G$33:$G$40,MATCH(W678,Setup!$B$33:$B$40,0)),0)=1)*(COUNTIF(W658:W675,$B678)+COUNTIF(W658:W675,$B678&amp;" ~*")&gt;0)+(IFERROR(INDEX(Setup!$G$33:$G$40,MATCH(Y678,Setup!$B$33:$B$40,0)),0)=1)*(COUNTIF(Y658:Y675,$B678)+COUNTIF(Y658:Y675,$B678&amp;" ~*")&gt;0))</f>
        <v/>
      </c>
    </row>
    <row r="679" ht="15" customHeight="1">
      <c r="A679" t="n">
        <v>14</v>
      </c>
      <c r="B679" s="35">
        <f>IF(Setup!$B$8="","",Setup!$B$8)</f>
        <v/>
      </c>
      <c r="C679" s="98" t="n"/>
      <c r="D679" s="99" t="n"/>
      <c r="E679" s="99" t="n"/>
      <c r="F679" s="100" t="n"/>
      <c r="G679" s="98" t="n"/>
      <c r="H679" s="99" t="n"/>
      <c r="I679" s="99" t="n"/>
      <c r="J679" s="100" t="n"/>
      <c r="K679" s="98" t="n"/>
      <c r="L679" s="99" t="n"/>
      <c r="M679" s="99" t="n"/>
      <c r="N679" s="100" t="n"/>
      <c r="O679" s="98" t="n"/>
      <c r="P679" s="99" t="n"/>
      <c r="Q679" s="99" t="n"/>
      <c r="R679" s="100" t="n"/>
      <c r="S679" s="98" t="n"/>
      <c r="T679" s="99" t="n"/>
      <c r="U679" s="99" t="n"/>
      <c r="V679" s="100" t="n"/>
      <c r="W679" s="98" t="n"/>
      <c r="X679" s="100" t="n"/>
      <c r="Y679" s="98" t="n"/>
      <c r="Z679" s="100" t="n"/>
      <c r="AB679" s="101">
        <f>IF($B679="","",(COUNTIF(C658:E675,$B679)+COUNTIF(C658:E675,$B679&amp;" ~*")&gt;0)+(COUNTIF(G658:I675,$B679)+COUNTIF(G658:I675,$B679&amp;" ~*")&gt;0)+(COUNTIF(K658:M675,$B679)+COUNTIF(K658:M675,$B679&amp;" ~*")&gt;0)+(COUNTIF(O658:Q675,$B679)+COUNTIF(O658:Q675,$B679&amp;" ~*")&gt;0)+(COUNTIF(S658:U675,$B679)+COUNTIF(S658:U675,$B679&amp;" ~*")&gt;0)+(COUNTIF(W658:W675,$B679)+COUNTIF(W658:W675,$B679&amp;" ~*")&gt;0)+(COUNTIF(Y658:Y675,$B679)+COUNTIF(Y658:Y675,$B679&amp;" ~*")&gt;0))</f>
        <v/>
      </c>
      <c r="AC679" s="36">
        <f>IF($B679="","",(IFERROR(INDEX(Setup!$G$33:$G$40,MATCH(C679,Setup!$B$33:$B$40,0)),0)=1)*(COUNTIF(C658:E675,$B679)+COUNTIF(C658:E675,$B679&amp;" ~*")&gt;0)+(IFERROR(INDEX(Setup!$G$33:$G$40,MATCH(G679,Setup!$B$33:$B$40,0)),0)=1)*(COUNTIF(G658:I675,$B679)+COUNTIF(G658:I675,$B679&amp;" ~*")&gt;0)+(IFERROR(INDEX(Setup!$G$33:$G$40,MATCH(K679,Setup!$B$33:$B$40,0)),0)=1)*(COUNTIF(K658:M675,$B679)+COUNTIF(K658:M675,$B679&amp;" ~*")&gt;0)+(IFERROR(INDEX(Setup!$G$33:$G$40,MATCH(O679,Setup!$B$33:$B$40,0)),0)=1)*(COUNTIF(O658:Q675,$B679)+COUNTIF(O658:Q675,$B679&amp;" ~*")&gt;0)+(IFERROR(INDEX(Setup!$G$33:$G$40,MATCH(S679,Setup!$B$33:$B$40,0)),0)=1)*(COUNTIF(S658:U675,$B679)+COUNTIF(S658:U675,$B679&amp;" ~*")&gt;0)+(IFERROR(INDEX(Setup!$G$33:$G$40,MATCH(W679,Setup!$B$33:$B$40,0)),0)=1)*(COUNTIF(W658:W675,$B679)+COUNTIF(W658:W675,$B679&amp;" ~*")&gt;0)+(IFERROR(INDEX(Setup!$G$33:$G$40,MATCH(Y679,Setup!$B$33:$B$40,0)),0)=1)*(COUNTIF(Y658:Y675,$B679)+COUNTIF(Y658:Y675,$B679&amp;" ~*")&gt;0))</f>
        <v/>
      </c>
    </row>
    <row r="680" ht="15" customHeight="1">
      <c r="A680" t="n">
        <v>14</v>
      </c>
      <c r="B680" s="37">
        <f>IF(Setup!$B$9="","",Setup!$B$9)</f>
        <v/>
      </c>
      <c r="C680" s="102" t="inlineStr">
        <is>
          <t>AL</t>
        </is>
      </c>
      <c r="D680" s="103" t="n"/>
      <c r="E680" s="103" t="n"/>
      <c r="F680" s="104" t="n"/>
      <c r="G680" s="102" t="inlineStr">
        <is>
          <t>AL</t>
        </is>
      </c>
      <c r="H680" s="103" t="n"/>
      <c r="I680" s="103" t="n"/>
      <c r="J680" s="104" t="n"/>
      <c r="K680" s="102" t="inlineStr">
        <is>
          <t>AL</t>
        </is>
      </c>
      <c r="L680" s="103" t="n"/>
      <c r="M680" s="103" t="n"/>
      <c r="N680" s="104" t="n"/>
      <c r="O680" s="102" t="inlineStr">
        <is>
          <t>AL</t>
        </is>
      </c>
      <c r="P680" s="103" t="n"/>
      <c r="Q680" s="103" t="n"/>
      <c r="R680" s="104" t="n"/>
      <c r="S680" s="102" t="inlineStr">
        <is>
          <t>AL</t>
        </is>
      </c>
      <c r="T680" s="103" t="n"/>
      <c r="U680" s="103" t="n"/>
      <c r="V680" s="104" t="n"/>
      <c r="W680" s="102" t="n"/>
      <c r="X680" s="104" t="n"/>
      <c r="Y680" s="102" t="n"/>
      <c r="Z680" s="104" t="n"/>
      <c r="AB680" s="105">
        <f>IF($B680="","",(COUNTIF(C658:E675,$B680)+COUNTIF(C658:E675,$B680&amp;" ~*")&gt;0)+(COUNTIF(G658:I675,$B680)+COUNTIF(G658:I675,$B680&amp;" ~*")&gt;0)+(COUNTIF(K658:M675,$B680)+COUNTIF(K658:M675,$B680&amp;" ~*")&gt;0)+(COUNTIF(O658:Q675,$B680)+COUNTIF(O658:Q675,$B680&amp;" ~*")&gt;0)+(COUNTIF(S658:U675,$B680)+COUNTIF(S658:U675,$B680&amp;" ~*")&gt;0)+(COUNTIF(W658:W675,$B680)+COUNTIF(W658:W675,$B680&amp;" ~*")&gt;0)+(COUNTIF(Y658:Y675,$B680)+COUNTIF(Y658:Y675,$B680&amp;" ~*")&gt;0))</f>
        <v/>
      </c>
      <c r="AC680" s="38">
        <f>IF($B680="","",(IFERROR(INDEX(Setup!$G$33:$G$40,MATCH(C680,Setup!$B$33:$B$40,0)),0)=1)*(COUNTIF(C658:E675,$B680)+COUNTIF(C658:E675,$B680&amp;" ~*")&gt;0)+(IFERROR(INDEX(Setup!$G$33:$G$40,MATCH(G680,Setup!$B$33:$B$40,0)),0)=1)*(COUNTIF(G658:I675,$B680)+COUNTIF(G658:I675,$B680&amp;" ~*")&gt;0)+(IFERROR(INDEX(Setup!$G$33:$G$40,MATCH(K680,Setup!$B$33:$B$40,0)),0)=1)*(COUNTIF(K658:M675,$B680)+COUNTIF(K658:M675,$B680&amp;" ~*")&gt;0)+(IFERROR(INDEX(Setup!$G$33:$G$40,MATCH(O680,Setup!$B$33:$B$40,0)),0)=1)*(COUNTIF(O658:Q675,$B680)+COUNTIF(O658:Q675,$B680&amp;" ~*")&gt;0)+(IFERROR(INDEX(Setup!$G$33:$G$40,MATCH(S680,Setup!$B$33:$B$40,0)),0)=1)*(COUNTIF(S658:U675,$B680)+COUNTIF(S658:U675,$B680&amp;" ~*")&gt;0)+(IFERROR(INDEX(Setup!$G$33:$G$40,MATCH(W680,Setup!$B$33:$B$40,0)),0)=1)*(COUNTIF(W658:W675,$B680)+COUNTIF(W658:W675,$B680&amp;" ~*")&gt;0)+(IFERROR(INDEX(Setup!$G$33:$G$40,MATCH(Y680,Setup!$B$33:$B$40,0)),0)=1)*(COUNTIF(Y658:Y675,$B680)+COUNTIF(Y658:Y675,$B680&amp;" ~*")&gt;0))</f>
        <v/>
      </c>
    </row>
    <row r="681" ht="15" customHeight="1">
      <c r="A681" t="n">
        <v>14</v>
      </c>
      <c r="B681" s="35">
        <f>IF(Setup!$B$10="","",Setup!$B$10)</f>
        <v/>
      </c>
      <c r="C681" s="98" t="n"/>
      <c r="D681" s="99" t="n"/>
      <c r="E681" s="99" t="n"/>
      <c r="F681" s="100" t="n"/>
      <c r="G681" s="98" t="n"/>
      <c r="H681" s="99" t="n"/>
      <c r="I681" s="99" t="n"/>
      <c r="J681" s="100" t="n"/>
      <c r="K681" s="98" t="n"/>
      <c r="L681" s="99" t="n"/>
      <c r="M681" s="99" t="n"/>
      <c r="N681" s="100" t="n"/>
      <c r="O681" s="98" t="n"/>
      <c r="P681" s="99" t="n"/>
      <c r="Q681" s="99" t="n"/>
      <c r="R681" s="100" t="n"/>
      <c r="S681" s="98" t="n"/>
      <c r="T681" s="99" t="n"/>
      <c r="U681" s="99" t="n"/>
      <c r="V681" s="100" t="n"/>
      <c r="W681" s="98" t="n"/>
      <c r="X681" s="100" t="n"/>
      <c r="Y681" s="98" t="n"/>
      <c r="Z681" s="100" t="n"/>
      <c r="AB681" s="101">
        <f>IF($B681="","",(COUNTIF(C658:E675,$B681)+COUNTIF(C658:E675,$B681&amp;" ~*")&gt;0)+(COUNTIF(G658:I675,$B681)+COUNTIF(G658:I675,$B681&amp;" ~*")&gt;0)+(COUNTIF(K658:M675,$B681)+COUNTIF(K658:M675,$B681&amp;" ~*")&gt;0)+(COUNTIF(O658:Q675,$B681)+COUNTIF(O658:Q675,$B681&amp;" ~*")&gt;0)+(COUNTIF(S658:U675,$B681)+COUNTIF(S658:U675,$B681&amp;" ~*")&gt;0)+(COUNTIF(W658:W675,$B681)+COUNTIF(W658:W675,$B681&amp;" ~*")&gt;0)+(COUNTIF(Y658:Y675,$B681)+COUNTIF(Y658:Y675,$B681&amp;" ~*")&gt;0))</f>
        <v/>
      </c>
      <c r="AC681" s="36">
        <f>IF($B681="","",(IFERROR(INDEX(Setup!$G$33:$G$40,MATCH(C681,Setup!$B$33:$B$40,0)),0)=1)*(COUNTIF(C658:E675,$B681)+COUNTIF(C658:E675,$B681&amp;" ~*")&gt;0)+(IFERROR(INDEX(Setup!$G$33:$G$40,MATCH(G681,Setup!$B$33:$B$40,0)),0)=1)*(COUNTIF(G658:I675,$B681)+COUNTIF(G658:I675,$B681&amp;" ~*")&gt;0)+(IFERROR(INDEX(Setup!$G$33:$G$40,MATCH(K681,Setup!$B$33:$B$40,0)),0)=1)*(COUNTIF(K658:M675,$B681)+COUNTIF(K658:M675,$B681&amp;" ~*")&gt;0)+(IFERROR(INDEX(Setup!$G$33:$G$40,MATCH(O681,Setup!$B$33:$B$40,0)),0)=1)*(COUNTIF(O658:Q675,$B681)+COUNTIF(O658:Q675,$B681&amp;" ~*")&gt;0)+(IFERROR(INDEX(Setup!$G$33:$G$40,MATCH(S681,Setup!$B$33:$B$40,0)),0)=1)*(COUNTIF(S658:U675,$B681)+COUNTIF(S658:U675,$B681&amp;" ~*")&gt;0)+(IFERROR(INDEX(Setup!$G$33:$G$40,MATCH(W681,Setup!$B$33:$B$40,0)),0)=1)*(COUNTIF(W658:W675,$B681)+COUNTIF(W658:W675,$B681&amp;" ~*")&gt;0)+(IFERROR(INDEX(Setup!$G$33:$G$40,MATCH(Y681,Setup!$B$33:$B$40,0)),0)=1)*(COUNTIF(Y658:Y675,$B681)+COUNTIF(Y658:Y675,$B681&amp;" ~*")&gt;0))</f>
        <v/>
      </c>
    </row>
    <row r="682" ht="15" customHeight="1">
      <c r="A682" t="n">
        <v>14</v>
      </c>
      <c r="B682" s="37">
        <f>IF(Setup!$B$11="","",Setup!$B$11)</f>
        <v/>
      </c>
      <c r="C682" s="102" t="n"/>
      <c r="D682" s="103" t="n"/>
      <c r="E682" s="103" t="n"/>
      <c r="F682" s="104" t="n"/>
      <c r="G682" s="102" t="n"/>
      <c r="H682" s="103" t="n"/>
      <c r="I682" s="103" t="n"/>
      <c r="J682" s="104" t="n"/>
      <c r="K682" s="102" t="n"/>
      <c r="L682" s="103" t="n"/>
      <c r="M682" s="103" t="n"/>
      <c r="N682" s="104" t="n"/>
      <c r="O682" s="102" t="n"/>
      <c r="P682" s="103" t="n"/>
      <c r="Q682" s="103" t="n"/>
      <c r="R682" s="104" t="n"/>
      <c r="S682" s="102" t="n"/>
      <c r="T682" s="103" t="n"/>
      <c r="U682" s="103" t="n"/>
      <c r="V682" s="104" t="n"/>
      <c r="W682" s="102" t="n"/>
      <c r="X682" s="104" t="n"/>
      <c r="Y682" s="102" t="n"/>
      <c r="Z682" s="104" t="n"/>
      <c r="AB682" s="105">
        <f>IF($B682="","",(COUNTIF(C658:E675,$B682)+COUNTIF(C658:E675,$B682&amp;" ~*")&gt;0)+(COUNTIF(G658:I675,$B682)+COUNTIF(G658:I675,$B682&amp;" ~*")&gt;0)+(COUNTIF(K658:M675,$B682)+COUNTIF(K658:M675,$B682&amp;" ~*")&gt;0)+(COUNTIF(O658:Q675,$B682)+COUNTIF(O658:Q675,$B682&amp;" ~*")&gt;0)+(COUNTIF(S658:U675,$B682)+COUNTIF(S658:U675,$B682&amp;" ~*")&gt;0)+(COUNTIF(W658:W675,$B682)+COUNTIF(W658:W675,$B682&amp;" ~*")&gt;0)+(COUNTIF(Y658:Y675,$B682)+COUNTIF(Y658:Y675,$B682&amp;" ~*")&gt;0))</f>
        <v/>
      </c>
      <c r="AC682" s="38">
        <f>IF($B682="","",(IFERROR(INDEX(Setup!$G$33:$G$40,MATCH(C682,Setup!$B$33:$B$40,0)),0)=1)*(COUNTIF(C658:E675,$B682)+COUNTIF(C658:E675,$B682&amp;" ~*")&gt;0)+(IFERROR(INDEX(Setup!$G$33:$G$40,MATCH(G682,Setup!$B$33:$B$40,0)),0)=1)*(COUNTIF(G658:I675,$B682)+COUNTIF(G658:I675,$B682&amp;" ~*")&gt;0)+(IFERROR(INDEX(Setup!$G$33:$G$40,MATCH(K682,Setup!$B$33:$B$40,0)),0)=1)*(COUNTIF(K658:M675,$B682)+COUNTIF(K658:M675,$B682&amp;" ~*")&gt;0)+(IFERROR(INDEX(Setup!$G$33:$G$40,MATCH(O682,Setup!$B$33:$B$40,0)),0)=1)*(COUNTIF(O658:Q675,$B682)+COUNTIF(O658:Q675,$B682&amp;" ~*")&gt;0)+(IFERROR(INDEX(Setup!$G$33:$G$40,MATCH(S682,Setup!$B$33:$B$40,0)),0)=1)*(COUNTIF(S658:U675,$B682)+COUNTIF(S658:U675,$B682&amp;" ~*")&gt;0)+(IFERROR(INDEX(Setup!$G$33:$G$40,MATCH(W682,Setup!$B$33:$B$40,0)),0)=1)*(COUNTIF(W658:W675,$B682)+COUNTIF(W658:W675,$B682&amp;" ~*")&gt;0)+(IFERROR(INDEX(Setup!$G$33:$G$40,MATCH(Y682,Setup!$B$33:$B$40,0)),0)=1)*(COUNTIF(Y658:Y675,$B682)+COUNTIF(Y658:Y675,$B682&amp;" ~*")&gt;0))</f>
        <v/>
      </c>
    </row>
    <row r="683" ht="15" customHeight="1">
      <c r="A683" t="n">
        <v>14</v>
      </c>
      <c r="B683" s="35">
        <f>IF(Setup!$B$12="","",Setup!$B$12)</f>
        <v/>
      </c>
      <c r="C683" s="98" t="inlineStr">
        <is>
          <t>AL</t>
        </is>
      </c>
      <c r="D683" s="99" t="n"/>
      <c r="E683" s="99" t="n"/>
      <c r="F683" s="100" t="n"/>
      <c r="G683" s="98" t="n"/>
      <c r="H683" s="99" t="n"/>
      <c r="I683" s="99" t="n"/>
      <c r="J683" s="100" t="n"/>
      <c r="K683" s="98" t="n"/>
      <c r="L683" s="99" t="n"/>
      <c r="M683" s="99" t="n"/>
      <c r="N683" s="100" t="n"/>
      <c r="O683" s="98" t="inlineStr">
        <is>
          <t>AL</t>
        </is>
      </c>
      <c r="P683" s="99" t="n"/>
      <c r="Q683" s="99" t="n"/>
      <c r="R683" s="100" t="n"/>
      <c r="S683" s="98" t="n"/>
      <c r="T683" s="99" t="n"/>
      <c r="U683" s="99" t="n"/>
      <c r="V683" s="100" t="n"/>
      <c r="W683" s="98" t="n"/>
      <c r="X683" s="100" t="n"/>
      <c r="Y683" s="98" t="n"/>
      <c r="Z683" s="100" t="n"/>
      <c r="AB683" s="101">
        <f>IF($B683="","",(COUNTIF(C658:E675,$B683)+COUNTIF(C658:E675,$B683&amp;" ~*")&gt;0)+(COUNTIF(G658:I675,$B683)+COUNTIF(G658:I675,$B683&amp;" ~*")&gt;0)+(COUNTIF(K658:M675,$B683)+COUNTIF(K658:M675,$B683&amp;" ~*")&gt;0)+(COUNTIF(O658:Q675,$B683)+COUNTIF(O658:Q675,$B683&amp;" ~*")&gt;0)+(COUNTIF(S658:U675,$B683)+COUNTIF(S658:U675,$B683&amp;" ~*")&gt;0)+(COUNTIF(W658:W675,$B683)+COUNTIF(W658:W675,$B683&amp;" ~*")&gt;0)+(COUNTIF(Y658:Y675,$B683)+COUNTIF(Y658:Y675,$B683&amp;" ~*")&gt;0))</f>
        <v/>
      </c>
      <c r="AC683" s="36">
        <f>IF($B683="","",(IFERROR(INDEX(Setup!$G$33:$G$40,MATCH(C683,Setup!$B$33:$B$40,0)),0)=1)*(COUNTIF(C658:E675,$B683)+COUNTIF(C658:E675,$B683&amp;" ~*")&gt;0)+(IFERROR(INDEX(Setup!$G$33:$G$40,MATCH(G683,Setup!$B$33:$B$40,0)),0)=1)*(COUNTIF(G658:I675,$B683)+COUNTIF(G658:I675,$B683&amp;" ~*")&gt;0)+(IFERROR(INDEX(Setup!$G$33:$G$40,MATCH(K683,Setup!$B$33:$B$40,0)),0)=1)*(COUNTIF(K658:M675,$B683)+COUNTIF(K658:M675,$B683&amp;" ~*")&gt;0)+(IFERROR(INDEX(Setup!$G$33:$G$40,MATCH(O683,Setup!$B$33:$B$40,0)),0)=1)*(COUNTIF(O658:Q675,$B683)+COUNTIF(O658:Q675,$B683&amp;" ~*")&gt;0)+(IFERROR(INDEX(Setup!$G$33:$G$40,MATCH(S683,Setup!$B$33:$B$40,0)),0)=1)*(COUNTIF(S658:U675,$B683)+COUNTIF(S658:U675,$B683&amp;" ~*")&gt;0)+(IFERROR(INDEX(Setup!$G$33:$G$40,MATCH(W683,Setup!$B$33:$B$40,0)),0)=1)*(COUNTIF(W658:W675,$B683)+COUNTIF(W658:W675,$B683&amp;" ~*")&gt;0)+(IFERROR(INDEX(Setup!$G$33:$G$40,MATCH(Y683,Setup!$B$33:$B$40,0)),0)=1)*(COUNTIF(Y658:Y675,$B683)+COUNTIF(Y658:Y675,$B683&amp;" ~*")&gt;0))</f>
        <v/>
      </c>
    </row>
    <row r="684" ht="15" customHeight="1">
      <c r="A684" t="n">
        <v>14</v>
      </c>
      <c r="B684" s="37">
        <f>IF(Setup!$B$13="","",Setup!$B$13)</f>
        <v/>
      </c>
      <c r="C684" s="102" t="n"/>
      <c r="D684" s="103" t="n"/>
      <c r="E684" s="103" t="n"/>
      <c r="F684" s="104" t="n"/>
      <c r="G684" s="102" t="n"/>
      <c r="H684" s="103" t="n"/>
      <c r="I684" s="103" t="n"/>
      <c r="J684" s="104" t="n"/>
      <c r="K684" s="102" t="n"/>
      <c r="L684" s="103" t="n"/>
      <c r="M684" s="103" t="n"/>
      <c r="N684" s="104" t="n"/>
      <c r="O684" s="102" t="n"/>
      <c r="P684" s="103" t="n"/>
      <c r="Q684" s="103" t="n"/>
      <c r="R684" s="104" t="n"/>
      <c r="S684" s="102" t="n"/>
      <c r="T684" s="103" t="n"/>
      <c r="U684" s="103" t="n"/>
      <c r="V684" s="104" t="n"/>
      <c r="W684" s="102" t="n"/>
      <c r="X684" s="104" t="n"/>
      <c r="Y684" s="102" t="n"/>
      <c r="Z684" s="104" t="n"/>
      <c r="AB684" s="105">
        <f>IF($B684="","",(COUNTIF(C658:E675,$B684)+COUNTIF(C658:E675,$B684&amp;" ~*")&gt;0)+(COUNTIF(G658:I675,$B684)+COUNTIF(G658:I675,$B684&amp;" ~*")&gt;0)+(COUNTIF(K658:M675,$B684)+COUNTIF(K658:M675,$B684&amp;" ~*")&gt;0)+(COUNTIF(O658:Q675,$B684)+COUNTIF(O658:Q675,$B684&amp;" ~*")&gt;0)+(COUNTIF(S658:U675,$B684)+COUNTIF(S658:U675,$B684&amp;" ~*")&gt;0)+(COUNTIF(W658:W675,$B684)+COUNTIF(W658:W675,$B684&amp;" ~*")&gt;0)+(COUNTIF(Y658:Y675,$B684)+COUNTIF(Y658:Y675,$B684&amp;" ~*")&gt;0))</f>
        <v/>
      </c>
      <c r="AC684" s="38">
        <f>IF($B684="","",(IFERROR(INDEX(Setup!$G$33:$G$40,MATCH(C684,Setup!$B$33:$B$40,0)),0)=1)*(COUNTIF(C658:E675,$B684)+COUNTIF(C658:E675,$B684&amp;" ~*")&gt;0)+(IFERROR(INDEX(Setup!$G$33:$G$40,MATCH(G684,Setup!$B$33:$B$40,0)),0)=1)*(COUNTIF(G658:I675,$B684)+COUNTIF(G658:I675,$B684&amp;" ~*")&gt;0)+(IFERROR(INDEX(Setup!$G$33:$G$40,MATCH(K684,Setup!$B$33:$B$40,0)),0)=1)*(COUNTIF(K658:M675,$B684)+COUNTIF(K658:M675,$B684&amp;" ~*")&gt;0)+(IFERROR(INDEX(Setup!$G$33:$G$40,MATCH(O684,Setup!$B$33:$B$40,0)),0)=1)*(COUNTIF(O658:Q675,$B684)+COUNTIF(O658:Q675,$B684&amp;" ~*")&gt;0)+(IFERROR(INDEX(Setup!$G$33:$G$40,MATCH(S684,Setup!$B$33:$B$40,0)),0)=1)*(COUNTIF(S658:U675,$B684)+COUNTIF(S658:U675,$B684&amp;" ~*")&gt;0)+(IFERROR(INDEX(Setup!$G$33:$G$40,MATCH(W684,Setup!$B$33:$B$40,0)),0)=1)*(COUNTIF(W658:W675,$B684)+COUNTIF(W658:W675,$B684&amp;" ~*")&gt;0)+(IFERROR(INDEX(Setup!$G$33:$G$40,MATCH(Y684,Setup!$B$33:$B$40,0)),0)=1)*(COUNTIF(Y658:Y675,$B684)+COUNTIF(Y658:Y675,$B684&amp;" ~*")&gt;0))</f>
        <v/>
      </c>
    </row>
    <row r="685" ht="15" customHeight="1">
      <c r="A685" t="n">
        <v>14</v>
      </c>
      <c r="B685" s="35">
        <f>IF(Setup!$B$14="","",Setup!$B$14)</f>
        <v/>
      </c>
      <c r="C685" s="98" t="n"/>
      <c r="D685" s="99" t="n"/>
      <c r="E685" s="99" t="n"/>
      <c r="F685" s="100" t="n"/>
      <c r="G685" s="98" t="n"/>
      <c r="H685" s="99" t="n"/>
      <c r="I685" s="99" t="n"/>
      <c r="J685" s="100" t="n"/>
      <c r="K685" s="98" t="n"/>
      <c r="L685" s="99" t="n"/>
      <c r="M685" s="99" t="n"/>
      <c r="N685" s="100" t="n"/>
      <c r="O685" s="98" t="n"/>
      <c r="P685" s="99" t="n"/>
      <c r="Q685" s="99" t="n"/>
      <c r="R685" s="100" t="n"/>
      <c r="S685" s="98" t="n"/>
      <c r="T685" s="99" t="n"/>
      <c r="U685" s="99" t="n"/>
      <c r="V685" s="100" t="n"/>
      <c r="W685" s="98" t="n"/>
      <c r="X685" s="100" t="n"/>
      <c r="Y685" s="98" t="n"/>
      <c r="Z685" s="100" t="n"/>
      <c r="AB685" s="101">
        <f>IF($B685="","",(COUNTIF(C658:E675,$B685)+COUNTIF(C658:E675,$B685&amp;" ~*")&gt;0)+(COUNTIF(G658:I675,$B685)+COUNTIF(G658:I675,$B685&amp;" ~*")&gt;0)+(COUNTIF(K658:M675,$B685)+COUNTIF(K658:M675,$B685&amp;" ~*")&gt;0)+(COUNTIF(O658:Q675,$B685)+COUNTIF(O658:Q675,$B685&amp;" ~*")&gt;0)+(COUNTIF(S658:U675,$B685)+COUNTIF(S658:U675,$B685&amp;" ~*")&gt;0)+(COUNTIF(W658:W675,$B685)+COUNTIF(W658:W675,$B685&amp;" ~*")&gt;0)+(COUNTIF(Y658:Y675,$B685)+COUNTIF(Y658:Y675,$B685&amp;" ~*")&gt;0))</f>
        <v/>
      </c>
      <c r="AC685" s="36">
        <f>IF($B685="","",(IFERROR(INDEX(Setup!$G$33:$G$40,MATCH(C685,Setup!$B$33:$B$40,0)),0)=1)*(COUNTIF(C658:E675,$B685)+COUNTIF(C658:E675,$B685&amp;" ~*")&gt;0)+(IFERROR(INDEX(Setup!$G$33:$G$40,MATCH(G685,Setup!$B$33:$B$40,0)),0)=1)*(COUNTIF(G658:I675,$B685)+COUNTIF(G658:I675,$B685&amp;" ~*")&gt;0)+(IFERROR(INDEX(Setup!$G$33:$G$40,MATCH(K685,Setup!$B$33:$B$40,0)),0)=1)*(COUNTIF(K658:M675,$B685)+COUNTIF(K658:M675,$B685&amp;" ~*")&gt;0)+(IFERROR(INDEX(Setup!$G$33:$G$40,MATCH(O685,Setup!$B$33:$B$40,0)),0)=1)*(COUNTIF(O658:Q675,$B685)+COUNTIF(O658:Q675,$B685&amp;" ~*")&gt;0)+(IFERROR(INDEX(Setup!$G$33:$G$40,MATCH(S685,Setup!$B$33:$B$40,0)),0)=1)*(COUNTIF(S658:U675,$B685)+COUNTIF(S658:U675,$B685&amp;" ~*")&gt;0)+(IFERROR(INDEX(Setup!$G$33:$G$40,MATCH(W685,Setup!$B$33:$B$40,0)),0)=1)*(COUNTIF(W658:W675,$B685)+COUNTIF(W658:W675,$B685&amp;" ~*")&gt;0)+(IFERROR(INDEX(Setup!$G$33:$G$40,MATCH(Y685,Setup!$B$33:$B$40,0)),0)=1)*(COUNTIF(Y658:Y675,$B685)+COUNTIF(Y658:Y675,$B685&amp;" ~*")&gt;0))</f>
        <v/>
      </c>
    </row>
    <row r="686" ht="15" customHeight="1">
      <c r="A686" t="n">
        <v>14</v>
      </c>
      <c r="B686" s="37">
        <f>IF(Setup!$B$15="","",Setup!$B$15)</f>
        <v/>
      </c>
      <c r="C686" s="102" t="n"/>
      <c r="D686" s="103" t="n"/>
      <c r="E686" s="103" t="n"/>
      <c r="F686" s="104" t="n"/>
      <c r="G686" s="102" t="n"/>
      <c r="H686" s="103" t="n"/>
      <c r="I686" s="103" t="n"/>
      <c r="J686" s="104" t="n"/>
      <c r="K686" s="102" t="n"/>
      <c r="L686" s="103" t="n"/>
      <c r="M686" s="103" t="n"/>
      <c r="N686" s="104" t="n"/>
      <c r="O686" s="102" t="n"/>
      <c r="P686" s="103" t="n"/>
      <c r="Q686" s="103" t="n"/>
      <c r="R686" s="104" t="n"/>
      <c r="S686" s="102" t="n"/>
      <c r="T686" s="103" t="n"/>
      <c r="U686" s="103" t="n"/>
      <c r="V686" s="104" t="n"/>
      <c r="W686" s="102" t="n"/>
      <c r="X686" s="104" t="n"/>
      <c r="Y686" s="102" t="n"/>
      <c r="Z686" s="104" t="n"/>
      <c r="AB686" s="105">
        <f>IF($B686="","",(COUNTIF(C658:E675,$B686)+COUNTIF(C658:E675,$B686&amp;" ~*")&gt;0)+(COUNTIF(G658:I675,$B686)+COUNTIF(G658:I675,$B686&amp;" ~*")&gt;0)+(COUNTIF(K658:M675,$B686)+COUNTIF(K658:M675,$B686&amp;" ~*")&gt;0)+(COUNTIF(O658:Q675,$B686)+COUNTIF(O658:Q675,$B686&amp;" ~*")&gt;0)+(COUNTIF(S658:U675,$B686)+COUNTIF(S658:U675,$B686&amp;" ~*")&gt;0)+(COUNTIF(W658:W675,$B686)+COUNTIF(W658:W675,$B686&amp;" ~*")&gt;0)+(COUNTIF(Y658:Y675,$B686)+COUNTIF(Y658:Y675,$B686&amp;" ~*")&gt;0))</f>
        <v/>
      </c>
      <c r="AC686" s="38">
        <f>IF($B686="","",(IFERROR(INDEX(Setup!$G$33:$G$40,MATCH(C686,Setup!$B$33:$B$40,0)),0)=1)*(COUNTIF(C658:E675,$B686)+COUNTIF(C658:E675,$B686&amp;" ~*")&gt;0)+(IFERROR(INDEX(Setup!$G$33:$G$40,MATCH(G686,Setup!$B$33:$B$40,0)),0)=1)*(COUNTIF(G658:I675,$B686)+COUNTIF(G658:I675,$B686&amp;" ~*")&gt;0)+(IFERROR(INDEX(Setup!$G$33:$G$40,MATCH(K686,Setup!$B$33:$B$40,0)),0)=1)*(COUNTIF(K658:M675,$B686)+COUNTIF(K658:M675,$B686&amp;" ~*")&gt;0)+(IFERROR(INDEX(Setup!$G$33:$G$40,MATCH(O686,Setup!$B$33:$B$40,0)),0)=1)*(COUNTIF(O658:Q675,$B686)+COUNTIF(O658:Q675,$B686&amp;" ~*")&gt;0)+(IFERROR(INDEX(Setup!$G$33:$G$40,MATCH(S686,Setup!$B$33:$B$40,0)),0)=1)*(COUNTIF(S658:U675,$B686)+COUNTIF(S658:U675,$B686&amp;" ~*")&gt;0)+(IFERROR(INDEX(Setup!$G$33:$G$40,MATCH(W686,Setup!$B$33:$B$40,0)),0)=1)*(COUNTIF(W658:W675,$B686)+COUNTIF(W658:W675,$B686&amp;" ~*")&gt;0)+(IFERROR(INDEX(Setup!$G$33:$G$40,MATCH(Y686,Setup!$B$33:$B$40,0)),0)=1)*(COUNTIF(Y658:Y675,$B686)+COUNTIF(Y658:Y675,$B686&amp;" ~*")&gt;0))</f>
        <v/>
      </c>
    </row>
    <row r="687" ht="15" customHeight="1">
      <c r="A687" t="n">
        <v>14</v>
      </c>
      <c r="B687" s="35">
        <f>IF(Setup!$B$16="","",Setup!$B$16)</f>
        <v/>
      </c>
      <c r="C687" s="98" t="n"/>
      <c r="D687" s="99" t="n"/>
      <c r="E687" s="99" t="n"/>
      <c r="F687" s="100" t="n"/>
      <c r="G687" s="98" t="n"/>
      <c r="H687" s="99" t="n"/>
      <c r="I687" s="99" t="n"/>
      <c r="J687" s="100" t="n"/>
      <c r="K687" s="98" t="n"/>
      <c r="L687" s="99" t="n"/>
      <c r="M687" s="99" t="n"/>
      <c r="N687" s="100" t="n"/>
      <c r="O687" s="98" t="n"/>
      <c r="P687" s="99" t="n"/>
      <c r="Q687" s="99" t="n"/>
      <c r="R687" s="100" t="n"/>
      <c r="S687" s="98" t="n"/>
      <c r="T687" s="99" t="n"/>
      <c r="U687" s="99" t="n"/>
      <c r="V687" s="100" t="n"/>
      <c r="W687" s="98" t="n"/>
      <c r="X687" s="100" t="n"/>
      <c r="Y687" s="98" t="n"/>
      <c r="Z687" s="100" t="n"/>
      <c r="AB687" s="101">
        <f>IF($B687="","",(COUNTIF(C658:E675,$B687)+COUNTIF(C658:E675,$B687&amp;" ~*")&gt;0)+(COUNTIF(G658:I675,$B687)+COUNTIF(G658:I675,$B687&amp;" ~*")&gt;0)+(COUNTIF(K658:M675,$B687)+COUNTIF(K658:M675,$B687&amp;" ~*")&gt;0)+(COUNTIF(O658:Q675,$B687)+COUNTIF(O658:Q675,$B687&amp;" ~*")&gt;0)+(COUNTIF(S658:U675,$B687)+COUNTIF(S658:U675,$B687&amp;" ~*")&gt;0)+(COUNTIF(W658:W675,$B687)+COUNTIF(W658:W675,$B687&amp;" ~*")&gt;0)+(COUNTIF(Y658:Y675,$B687)+COUNTIF(Y658:Y675,$B687&amp;" ~*")&gt;0))</f>
        <v/>
      </c>
      <c r="AC687" s="36">
        <f>IF($B687="","",(IFERROR(INDEX(Setup!$G$33:$G$40,MATCH(C687,Setup!$B$33:$B$40,0)),0)=1)*(COUNTIF(C658:E675,$B687)+COUNTIF(C658:E675,$B687&amp;" ~*")&gt;0)+(IFERROR(INDEX(Setup!$G$33:$G$40,MATCH(G687,Setup!$B$33:$B$40,0)),0)=1)*(COUNTIF(G658:I675,$B687)+COUNTIF(G658:I675,$B687&amp;" ~*")&gt;0)+(IFERROR(INDEX(Setup!$G$33:$G$40,MATCH(K687,Setup!$B$33:$B$40,0)),0)=1)*(COUNTIF(K658:M675,$B687)+COUNTIF(K658:M675,$B687&amp;" ~*")&gt;0)+(IFERROR(INDEX(Setup!$G$33:$G$40,MATCH(O687,Setup!$B$33:$B$40,0)),0)=1)*(COUNTIF(O658:Q675,$B687)+COUNTIF(O658:Q675,$B687&amp;" ~*")&gt;0)+(IFERROR(INDEX(Setup!$G$33:$G$40,MATCH(S687,Setup!$B$33:$B$40,0)),0)=1)*(COUNTIF(S658:U675,$B687)+COUNTIF(S658:U675,$B687&amp;" ~*")&gt;0)+(IFERROR(INDEX(Setup!$G$33:$G$40,MATCH(W687,Setup!$B$33:$B$40,0)),0)=1)*(COUNTIF(W658:W675,$B687)+COUNTIF(W658:W675,$B687&amp;" ~*")&gt;0)+(IFERROR(INDEX(Setup!$G$33:$G$40,MATCH(Y687,Setup!$B$33:$B$40,0)),0)=1)*(COUNTIF(Y658:Y675,$B687)+COUNTIF(Y658:Y675,$B687&amp;" ~*")&gt;0))</f>
        <v/>
      </c>
    </row>
    <row r="688" ht="15" customHeight="1">
      <c r="A688" t="n">
        <v>14</v>
      </c>
      <c r="B688" s="37">
        <f>IF(Setup!$B$17="","",Setup!$B$17)</f>
        <v/>
      </c>
      <c r="C688" s="102" t="n"/>
      <c r="D688" s="103" t="n"/>
      <c r="E688" s="103" t="n"/>
      <c r="F688" s="104" t="n"/>
      <c r="G688" s="102" t="n"/>
      <c r="H688" s="103" t="n"/>
      <c r="I688" s="103" t="n"/>
      <c r="J688" s="104" t="n"/>
      <c r="K688" s="102" t="n"/>
      <c r="L688" s="103" t="n"/>
      <c r="M688" s="103" t="n"/>
      <c r="N688" s="104" t="n"/>
      <c r="O688" s="102" t="n"/>
      <c r="P688" s="103" t="n"/>
      <c r="Q688" s="103" t="n"/>
      <c r="R688" s="104" t="n"/>
      <c r="S688" s="102" t="n"/>
      <c r="T688" s="103" t="n"/>
      <c r="U688" s="103" t="n"/>
      <c r="V688" s="104" t="n"/>
      <c r="W688" s="102" t="n"/>
      <c r="X688" s="104" t="n"/>
      <c r="Y688" s="102" t="n"/>
      <c r="Z688" s="104" t="n"/>
      <c r="AB688" s="105">
        <f>IF($B688="","",(COUNTIF(C658:E675,$B688)+COUNTIF(C658:E675,$B688&amp;" ~*")&gt;0)+(COUNTIF(G658:I675,$B688)+COUNTIF(G658:I675,$B688&amp;" ~*")&gt;0)+(COUNTIF(K658:M675,$B688)+COUNTIF(K658:M675,$B688&amp;" ~*")&gt;0)+(COUNTIF(O658:Q675,$B688)+COUNTIF(O658:Q675,$B688&amp;" ~*")&gt;0)+(COUNTIF(S658:U675,$B688)+COUNTIF(S658:U675,$B688&amp;" ~*")&gt;0)+(COUNTIF(W658:W675,$B688)+COUNTIF(W658:W675,$B688&amp;" ~*")&gt;0)+(COUNTIF(Y658:Y675,$B688)+COUNTIF(Y658:Y675,$B688&amp;" ~*")&gt;0))</f>
        <v/>
      </c>
      <c r="AC688" s="38">
        <f>IF($B688="","",(IFERROR(INDEX(Setup!$G$33:$G$40,MATCH(C688,Setup!$B$33:$B$40,0)),0)=1)*(COUNTIF(C658:E675,$B688)+COUNTIF(C658:E675,$B688&amp;" ~*")&gt;0)+(IFERROR(INDEX(Setup!$G$33:$G$40,MATCH(G688,Setup!$B$33:$B$40,0)),0)=1)*(COUNTIF(G658:I675,$B688)+COUNTIF(G658:I675,$B688&amp;" ~*")&gt;0)+(IFERROR(INDEX(Setup!$G$33:$G$40,MATCH(K688,Setup!$B$33:$B$40,0)),0)=1)*(COUNTIF(K658:M675,$B688)+COUNTIF(K658:M675,$B688&amp;" ~*")&gt;0)+(IFERROR(INDEX(Setup!$G$33:$G$40,MATCH(O688,Setup!$B$33:$B$40,0)),0)=1)*(COUNTIF(O658:Q675,$B688)+COUNTIF(O658:Q675,$B688&amp;" ~*")&gt;0)+(IFERROR(INDEX(Setup!$G$33:$G$40,MATCH(S688,Setup!$B$33:$B$40,0)),0)=1)*(COUNTIF(S658:U675,$B688)+COUNTIF(S658:U675,$B688&amp;" ~*")&gt;0)+(IFERROR(INDEX(Setup!$G$33:$G$40,MATCH(W688,Setup!$B$33:$B$40,0)),0)=1)*(COUNTIF(W658:W675,$B688)+COUNTIF(W658:W675,$B688&amp;" ~*")&gt;0)+(IFERROR(INDEX(Setup!$G$33:$G$40,MATCH(Y688,Setup!$B$33:$B$40,0)),0)=1)*(COUNTIF(Y658:Y675,$B688)+COUNTIF(Y658:Y675,$B688&amp;" ~*")&gt;0))</f>
        <v/>
      </c>
    </row>
    <row r="689" ht="15" customHeight="1">
      <c r="A689" t="n">
        <v>14</v>
      </c>
      <c r="B689" s="35">
        <f>IF(Setup!$B$18="","",Setup!$B$18)</f>
        <v/>
      </c>
      <c r="C689" s="98" t="n"/>
      <c r="D689" s="99" t="n"/>
      <c r="E689" s="99" t="n"/>
      <c r="F689" s="100" t="n"/>
      <c r="G689" s="98" t="n"/>
      <c r="H689" s="99" t="n"/>
      <c r="I689" s="99" t="n"/>
      <c r="J689" s="100" t="n"/>
      <c r="K689" s="98" t="n"/>
      <c r="L689" s="99" t="n"/>
      <c r="M689" s="99" t="n"/>
      <c r="N689" s="100" t="n"/>
      <c r="O689" s="98" t="n"/>
      <c r="P689" s="99" t="n"/>
      <c r="Q689" s="99" t="n"/>
      <c r="R689" s="100" t="n"/>
      <c r="S689" s="98" t="n"/>
      <c r="T689" s="99" t="n"/>
      <c r="U689" s="99" t="n"/>
      <c r="V689" s="100" t="n"/>
      <c r="W689" s="98" t="n"/>
      <c r="X689" s="100" t="n"/>
      <c r="Y689" s="98" t="n"/>
      <c r="Z689" s="100" t="n"/>
      <c r="AB689" s="101">
        <f>IF($B689="","",(COUNTIF(C658:E675,$B689)+COUNTIF(C658:E675,$B689&amp;" ~*")&gt;0)+(COUNTIF(G658:I675,$B689)+COUNTIF(G658:I675,$B689&amp;" ~*")&gt;0)+(COUNTIF(K658:M675,$B689)+COUNTIF(K658:M675,$B689&amp;" ~*")&gt;0)+(COUNTIF(O658:Q675,$B689)+COUNTIF(O658:Q675,$B689&amp;" ~*")&gt;0)+(COUNTIF(S658:U675,$B689)+COUNTIF(S658:U675,$B689&amp;" ~*")&gt;0)+(COUNTIF(W658:W675,$B689)+COUNTIF(W658:W675,$B689&amp;" ~*")&gt;0)+(COUNTIF(Y658:Y675,$B689)+COUNTIF(Y658:Y675,$B689&amp;" ~*")&gt;0))</f>
        <v/>
      </c>
      <c r="AC689" s="36">
        <f>IF($B689="","",(IFERROR(INDEX(Setup!$G$33:$G$40,MATCH(C689,Setup!$B$33:$B$40,0)),0)=1)*(COUNTIF(C658:E675,$B689)+COUNTIF(C658:E675,$B689&amp;" ~*")&gt;0)+(IFERROR(INDEX(Setup!$G$33:$G$40,MATCH(G689,Setup!$B$33:$B$40,0)),0)=1)*(COUNTIF(G658:I675,$B689)+COUNTIF(G658:I675,$B689&amp;" ~*")&gt;0)+(IFERROR(INDEX(Setup!$G$33:$G$40,MATCH(K689,Setup!$B$33:$B$40,0)),0)=1)*(COUNTIF(K658:M675,$B689)+COUNTIF(K658:M675,$B689&amp;" ~*")&gt;0)+(IFERROR(INDEX(Setup!$G$33:$G$40,MATCH(O689,Setup!$B$33:$B$40,0)),0)=1)*(COUNTIF(O658:Q675,$B689)+COUNTIF(O658:Q675,$B689&amp;" ~*")&gt;0)+(IFERROR(INDEX(Setup!$G$33:$G$40,MATCH(S689,Setup!$B$33:$B$40,0)),0)=1)*(COUNTIF(S658:U675,$B689)+COUNTIF(S658:U675,$B689&amp;" ~*")&gt;0)+(IFERROR(INDEX(Setup!$G$33:$G$40,MATCH(W689,Setup!$B$33:$B$40,0)),0)=1)*(COUNTIF(W658:W675,$B689)+COUNTIF(W658:W675,$B689&amp;" ~*")&gt;0)+(IFERROR(INDEX(Setup!$G$33:$G$40,MATCH(Y689,Setup!$B$33:$B$40,0)),0)=1)*(COUNTIF(Y658:Y675,$B689)+COUNTIF(Y658:Y675,$B689&amp;" ~*")&gt;0))</f>
        <v/>
      </c>
    </row>
    <row r="690" ht="15" customHeight="1">
      <c r="A690" t="n">
        <v>14</v>
      </c>
      <c r="B690" s="37">
        <f>IF(Setup!$B$19="","",Setup!$B$19)</f>
        <v/>
      </c>
      <c r="C690" s="102" t="n"/>
      <c r="D690" s="103" t="n"/>
      <c r="E690" s="103" t="n"/>
      <c r="F690" s="104" t="n"/>
      <c r="G690" s="102" t="n"/>
      <c r="H690" s="103" t="n"/>
      <c r="I690" s="103" t="n"/>
      <c r="J690" s="104" t="n"/>
      <c r="K690" s="102" t="n"/>
      <c r="L690" s="103" t="n"/>
      <c r="M690" s="103" t="n"/>
      <c r="N690" s="104" t="n"/>
      <c r="O690" s="102" t="n"/>
      <c r="P690" s="103" t="n"/>
      <c r="Q690" s="103" t="n"/>
      <c r="R690" s="104" t="n"/>
      <c r="S690" s="102" t="n"/>
      <c r="T690" s="103" t="n"/>
      <c r="U690" s="103" t="n"/>
      <c r="V690" s="104" t="n"/>
      <c r="W690" s="102" t="n"/>
      <c r="X690" s="104" t="n"/>
      <c r="Y690" s="102" t="n"/>
      <c r="Z690" s="104" t="n"/>
      <c r="AB690" s="105">
        <f>IF($B690="","",(COUNTIF(C658:E675,$B690)+COUNTIF(C658:E675,$B690&amp;" ~*")&gt;0)+(COUNTIF(G658:I675,$B690)+COUNTIF(G658:I675,$B690&amp;" ~*")&gt;0)+(COUNTIF(K658:M675,$B690)+COUNTIF(K658:M675,$B690&amp;" ~*")&gt;0)+(COUNTIF(O658:Q675,$B690)+COUNTIF(O658:Q675,$B690&amp;" ~*")&gt;0)+(COUNTIF(S658:U675,$B690)+COUNTIF(S658:U675,$B690&amp;" ~*")&gt;0)+(COUNTIF(W658:W675,$B690)+COUNTIF(W658:W675,$B690&amp;" ~*")&gt;0)+(COUNTIF(Y658:Y675,$B690)+COUNTIF(Y658:Y675,$B690&amp;" ~*")&gt;0))</f>
        <v/>
      </c>
      <c r="AC690" s="38">
        <f>IF($B690="","",(IFERROR(INDEX(Setup!$G$33:$G$40,MATCH(C690,Setup!$B$33:$B$40,0)),0)=1)*(COUNTIF(C658:E675,$B690)+COUNTIF(C658:E675,$B690&amp;" ~*")&gt;0)+(IFERROR(INDEX(Setup!$G$33:$G$40,MATCH(G690,Setup!$B$33:$B$40,0)),0)=1)*(COUNTIF(G658:I675,$B690)+COUNTIF(G658:I675,$B690&amp;" ~*")&gt;0)+(IFERROR(INDEX(Setup!$G$33:$G$40,MATCH(K690,Setup!$B$33:$B$40,0)),0)=1)*(COUNTIF(K658:M675,$B690)+COUNTIF(K658:M675,$B690&amp;" ~*")&gt;0)+(IFERROR(INDEX(Setup!$G$33:$G$40,MATCH(O690,Setup!$B$33:$B$40,0)),0)=1)*(COUNTIF(O658:Q675,$B690)+COUNTIF(O658:Q675,$B690&amp;" ~*")&gt;0)+(IFERROR(INDEX(Setup!$G$33:$G$40,MATCH(S690,Setup!$B$33:$B$40,0)),0)=1)*(COUNTIF(S658:U675,$B690)+COUNTIF(S658:U675,$B690&amp;" ~*")&gt;0)+(IFERROR(INDEX(Setup!$G$33:$G$40,MATCH(W690,Setup!$B$33:$B$40,0)),0)=1)*(COUNTIF(W658:W675,$B690)+COUNTIF(W658:W675,$B690&amp;" ~*")&gt;0)+(IFERROR(INDEX(Setup!$G$33:$G$40,MATCH(Y690,Setup!$B$33:$B$40,0)),0)=1)*(COUNTIF(Y658:Y675,$B690)+COUNTIF(Y658:Y675,$B690&amp;" ~*")&gt;0))</f>
        <v/>
      </c>
    </row>
    <row r="691" ht="15" customHeight="1">
      <c r="A691" t="n">
        <v>14</v>
      </c>
      <c r="B691" s="35">
        <f>IF(Setup!$B$20="","",Setup!$B$20)</f>
        <v/>
      </c>
      <c r="C691" s="98" t="n"/>
      <c r="D691" s="99" t="n"/>
      <c r="E691" s="99" t="n"/>
      <c r="F691" s="100" t="n"/>
      <c r="G691" s="98" t="n"/>
      <c r="H691" s="99" t="n"/>
      <c r="I691" s="99" t="n"/>
      <c r="J691" s="100" t="n"/>
      <c r="K691" s="98" t="n"/>
      <c r="L691" s="99" t="n"/>
      <c r="M691" s="99" t="n"/>
      <c r="N691" s="100" t="n"/>
      <c r="O691" s="98" t="n"/>
      <c r="P691" s="99" t="n"/>
      <c r="Q691" s="99" t="n"/>
      <c r="R691" s="100" t="n"/>
      <c r="S691" s="98" t="n"/>
      <c r="T691" s="99" t="n"/>
      <c r="U691" s="99" t="n"/>
      <c r="V691" s="100" t="n"/>
      <c r="W691" s="98" t="n"/>
      <c r="X691" s="100" t="n"/>
      <c r="Y691" s="98" t="n"/>
      <c r="Z691" s="100" t="n"/>
      <c r="AB691" s="101">
        <f>IF($B691="","",(COUNTIF(C658:E675,$B691)+COUNTIF(C658:E675,$B691&amp;" ~*")&gt;0)+(COUNTIF(G658:I675,$B691)+COUNTIF(G658:I675,$B691&amp;" ~*")&gt;0)+(COUNTIF(K658:M675,$B691)+COUNTIF(K658:M675,$B691&amp;" ~*")&gt;0)+(COUNTIF(O658:Q675,$B691)+COUNTIF(O658:Q675,$B691&amp;" ~*")&gt;0)+(COUNTIF(S658:U675,$B691)+COUNTIF(S658:U675,$B691&amp;" ~*")&gt;0)+(COUNTIF(W658:W675,$B691)+COUNTIF(W658:W675,$B691&amp;" ~*")&gt;0)+(COUNTIF(Y658:Y675,$B691)+COUNTIF(Y658:Y675,$B691&amp;" ~*")&gt;0))</f>
        <v/>
      </c>
      <c r="AC691" s="36">
        <f>IF($B691="","",(IFERROR(INDEX(Setup!$G$33:$G$40,MATCH(C691,Setup!$B$33:$B$40,0)),0)=1)*(COUNTIF(C658:E675,$B691)+COUNTIF(C658:E675,$B691&amp;" ~*")&gt;0)+(IFERROR(INDEX(Setup!$G$33:$G$40,MATCH(G691,Setup!$B$33:$B$40,0)),0)=1)*(COUNTIF(G658:I675,$B691)+COUNTIF(G658:I675,$B691&amp;" ~*")&gt;0)+(IFERROR(INDEX(Setup!$G$33:$G$40,MATCH(K691,Setup!$B$33:$B$40,0)),0)=1)*(COUNTIF(K658:M675,$B691)+COUNTIF(K658:M675,$B691&amp;" ~*")&gt;0)+(IFERROR(INDEX(Setup!$G$33:$G$40,MATCH(O691,Setup!$B$33:$B$40,0)),0)=1)*(COUNTIF(O658:Q675,$B691)+COUNTIF(O658:Q675,$B691&amp;" ~*")&gt;0)+(IFERROR(INDEX(Setup!$G$33:$G$40,MATCH(S691,Setup!$B$33:$B$40,0)),0)=1)*(COUNTIF(S658:U675,$B691)+COUNTIF(S658:U675,$B691&amp;" ~*")&gt;0)+(IFERROR(INDEX(Setup!$G$33:$G$40,MATCH(W691,Setup!$B$33:$B$40,0)),0)=1)*(COUNTIF(W658:W675,$B691)+COUNTIF(W658:W675,$B691&amp;" ~*")&gt;0)+(IFERROR(INDEX(Setup!$G$33:$G$40,MATCH(Y691,Setup!$B$33:$B$40,0)),0)=1)*(COUNTIF(Y658:Y675,$B691)+COUNTIF(Y658:Y675,$B691&amp;" ~*")&gt;0))</f>
        <v/>
      </c>
    </row>
    <row r="692" ht="15" customHeight="1">
      <c r="A692" t="n">
        <v>14</v>
      </c>
      <c r="B692" s="37">
        <f>IF(Setup!$B$21="","",Setup!$B$21)</f>
        <v/>
      </c>
      <c r="C692" s="102" t="inlineStr">
        <is>
          <t>AL</t>
        </is>
      </c>
      <c r="D692" s="103" t="n"/>
      <c r="E692" s="103" t="n"/>
      <c r="F692" s="104" t="n"/>
      <c r="G692" s="102" t="inlineStr">
        <is>
          <t>AL</t>
        </is>
      </c>
      <c r="H692" s="103" t="n"/>
      <c r="I692" s="103" t="n"/>
      <c r="J692" s="104" t="n"/>
      <c r="K692" s="102" t="inlineStr">
        <is>
          <t>AL</t>
        </is>
      </c>
      <c r="L692" s="103" t="n"/>
      <c r="M692" s="103" t="n"/>
      <c r="N692" s="104" t="n"/>
      <c r="O692" s="102" t="inlineStr">
        <is>
          <t>AL</t>
        </is>
      </c>
      <c r="P692" s="103" t="n"/>
      <c r="Q692" s="103" t="n"/>
      <c r="R692" s="104" t="n"/>
      <c r="S692" s="102" t="inlineStr">
        <is>
          <t>AL</t>
        </is>
      </c>
      <c r="T692" s="103" t="n"/>
      <c r="U692" s="103" t="n"/>
      <c r="V692" s="104" t="n"/>
      <c r="W692" s="102" t="n"/>
      <c r="X692" s="104" t="n"/>
      <c r="Y692" s="102" t="n"/>
      <c r="Z692" s="104" t="n"/>
      <c r="AB692" s="105">
        <f>IF($B692="","",(COUNTIF(C658:E675,$B692)+COUNTIF(C658:E675,$B692&amp;" ~*")&gt;0)+(COUNTIF(G658:I675,$B692)+COUNTIF(G658:I675,$B692&amp;" ~*")&gt;0)+(COUNTIF(K658:M675,$B692)+COUNTIF(K658:M675,$B692&amp;" ~*")&gt;0)+(COUNTIF(O658:Q675,$B692)+COUNTIF(O658:Q675,$B692&amp;" ~*")&gt;0)+(COUNTIF(S658:U675,$B692)+COUNTIF(S658:U675,$B692&amp;" ~*")&gt;0)+(COUNTIF(W658:W675,$B692)+COUNTIF(W658:W675,$B692&amp;" ~*")&gt;0)+(COUNTIF(Y658:Y675,$B692)+COUNTIF(Y658:Y675,$B692&amp;" ~*")&gt;0))</f>
        <v/>
      </c>
      <c r="AC692" s="38">
        <f>IF($B692="","",(IFERROR(INDEX(Setup!$G$33:$G$40,MATCH(C692,Setup!$B$33:$B$40,0)),0)=1)*(COUNTIF(C658:E675,$B692)+COUNTIF(C658:E675,$B692&amp;" ~*")&gt;0)+(IFERROR(INDEX(Setup!$G$33:$G$40,MATCH(G692,Setup!$B$33:$B$40,0)),0)=1)*(COUNTIF(G658:I675,$B692)+COUNTIF(G658:I675,$B692&amp;" ~*")&gt;0)+(IFERROR(INDEX(Setup!$G$33:$G$40,MATCH(K692,Setup!$B$33:$B$40,0)),0)=1)*(COUNTIF(K658:M675,$B692)+COUNTIF(K658:M675,$B692&amp;" ~*")&gt;0)+(IFERROR(INDEX(Setup!$G$33:$G$40,MATCH(O692,Setup!$B$33:$B$40,0)),0)=1)*(COUNTIF(O658:Q675,$B692)+COUNTIF(O658:Q675,$B692&amp;" ~*")&gt;0)+(IFERROR(INDEX(Setup!$G$33:$G$40,MATCH(S692,Setup!$B$33:$B$40,0)),0)=1)*(COUNTIF(S658:U675,$B692)+COUNTIF(S658:U675,$B692&amp;" ~*")&gt;0)+(IFERROR(INDEX(Setup!$G$33:$G$40,MATCH(W692,Setup!$B$33:$B$40,0)),0)=1)*(COUNTIF(W658:W675,$B692)+COUNTIF(W658:W675,$B692&amp;" ~*")&gt;0)+(IFERROR(INDEX(Setup!$G$33:$G$40,MATCH(Y692,Setup!$B$33:$B$40,0)),0)=1)*(COUNTIF(Y658:Y675,$B692)+COUNTIF(Y658:Y675,$B692&amp;" ~*")&gt;0))</f>
        <v/>
      </c>
    </row>
    <row r="693" ht="15" customHeight="1">
      <c r="A693" t="n">
        <v>14</v>
      </c>
      <c r="B693" s="35">
        <f>IF(Setup!$B$22="","",Setup!$B$22)</f>
        <v/>
      </c>
      <c r="C693" s="98" t="inlineStr">
        <is>
          <t>AL</t>
        </is>
      </c>
      <c r="D693" s="99" t="n"/>
      <c r="E693" s="99" t="n"/>
      <c r="F693" s="100" t="n"/>
      <c r="G693" s="98" t="inlineStr">
        <is>
          <t>AL</t>
        </is>
      </c>
      <c r="H693" s="99" t="n"/>
      <c r="I693" s="99" t="n"/>
      <c r="J693" s="100" t="n"/>
      <c r="K693" s="98" t="inlineStr">
        <is>
          <t>AL</t>
        </is>
      </c>
      <c r="L693" s="99" t="n"/>
      <c r="M693" s="99" t="n"/>
      <c r="N693" s="100" t="n"/>
      <c r="O693" s="98" t="inlineStr">
        <is>
          <t>AL</t>
        </is>
      </c>
      <c r="P693" s="99" t="n"/>
      <c r="Q693" s="99" t="n"/>
      <c r="R693" s="100" t="n"/>
      <c r="S693" s="98" t="inlineStr">
        <is>
          <t>AL</t>
        </is>
      </c>
      <c r="T693" s="99" t="n"/>
      <c r="U693" s="99" t="n"/>
      <c r="V693" s="100" t="n"/>
      <c r="W693" s="98" t="n"/>
      <c r="X693" s="100" t="n"/>
      <c r="Y693" s="98" t="n"/>
      <c r="Z693" s="100" t="n"/>
      <c r="AB693" s="101">
        <f>IF($B693="","",(COUNTIF(C658:E675,$B693)+COUNTIF(C658:E675,$B693&amp;" ~*")&gt;0)+(COUNTIF(G658:I675,$B693)+COUNTIF(G658:I675,$B693&amp;" ~*")&gt;0)+(COUNTIF(K658:M675,$B693)+COUNTIF(K658:M675,$B693&amp;" ~*")&gt;0)+(COUNTIF(O658:Q675,$B693)+COUNTIF(O658:Q675,$B693&amp;" ~*")&gt;0)+(COUNTIF(S658:U675,$B693)+COUNTIF(S658:U675,$B693&amp;" ~*")&gt;0)+(COUNTIF(W658:W675,$B693)+COUNTIF(W658:W675,$B693&amp;" ~*")&gt;0)+(COUNTIF(Y658:Y675,$B693)+COUNTIF(Y658:Y675,$B693&amp;" ~*")&gt;0))</f>
        <v/>
      </c>
      <c r="AC693" s="36">
        <f>IF($B693="","",(IFERROR(INDEX(Setup!$G$33:$G$40,MATCH(C693,Setup!$B$33:$B$40,0)),0)=1)*(COUNTIF(C658:E675,$B693)+COUNTIF(C658:E675,$B693&amp;" ~*")&gt;0)+(IFERROR(INDEX(Setup!$G$33:$G$40,MATCH(G693,Setup!$B$33:$B$40,0)),0)=1)*(COUNTIF(G658:I675,$B693)+COUNTIF(G658:I675,$B693&amp;" ~*")&gt;0)+(IFERROR(INDEX(Setup!$G$33:$G$40,MATCH(K693,Setup!$B$33:$B$40,0)),0)=1)*(COUNTIF(K658:M675,$B693)+COUNTIF(K658:M675,$B693&amp;" ~*")&gt;0)+(IFERROR(INDEX(Setup!$G$33:$G$40,MATCH(O693,Setup!$B$33:$B$40,0)),0)=1)*(COUNTIF(O658:Q675,$B693)+COUNTIF(O658:Q675,$B693&amp;" ~*")&gt;0)+(IFERROR(INDEX(Setup!$G$33:$G$40,MATCH(S693,Setup!$B$33:$B$40,0)),0)=1)*(COUNTIF(S658:U675,$B693)+COUNTIF(S658:U675,$B693&amp;" ~*")&gt;0)+(IFERROR(INDEX(Setup!$G$33:$G$40,MATCH(W693,Setup!$B$33:$B$40,0)),0)=1)*(COUNTIF(W658:W675,$B693)+COUNTIF(W658:W675,$B693&amp;" ~*")&gt;0)+(IFERROR(INDEX(Setup!$G$33:$G$40,MATCH(Y693,Setup!$B$33:$B$40,0)),0)=1)*(COUNTIF(Y658:Y675,$B693)+COUNTIF(Y658:Y675,$B693&amp;" ~*")&gt;0))</f>
        <v/>
      </c>
    </row>
    <row r="694" ht="15" customHeight="1">
      <c r="A694" t="n">
        <v>14</v>
      </c>
      <c r="B694" s="37">
        <f>IF(Setup!$B$23="","",Setup!$B$23)</f>
        <v/>
      </c>
      <c r="C694" s="102" t="n"/>
      <c r="D694" s="103" t="n"/>
      <c r="E694" s="103" t="n"/>
      <c r="F694" s="104" t="n"/>
      <c r="G694" s="102" t="n"/>
      <c r="H694" s="103" t="n"/>
      <c r="I694" s="103" t="n"/>
      <c r="J694" s="104" t="n"/>
      <c r="K694" s="102" t="n"/>
      <c r="L694" s="103" t="n"/>
      <c r="M694" s="103" t="n"/>
      <c r="N694" s="104" t="n"/>
      <c r="O694" s="102" t="n"/>
      <c r="P694" s="103" t="n"/>
      <c r="Q694" s="103" t="n"/>
      <c r="R694" s="104" t="n"/>
      <c r="S694" s="102" t="n"/>
      <c r="T694" s="103" t="n"/>
      <c r="U694" s="103" t="n"/>
      <c r="V694" s="104" t="n"/>
      <c r="W694" s="102" t="n"/>
      <c r="X694" s="104" t="n"/>
      <c r="Y694" s="102" t="n"/>
      <c r="Z694" s="104" t="n"/>
      <c r="AB694" s="105">
        <f>IF($B694="","",(COUNTIF(C658:E675,$B694)+COUNTIF(C658:E675,$B694&amp;" ~*")&gt;0)+(COUNTIF(G658:I675,$B694)+COUNTIF(G658:I675,$B694&amp;" ~*")&gt;0)+(COUNTIF(K658:M675,$B694)+COUNTIF(K658:M675,$B694&amp;" ~*")&gt;0)+(COUNTIF(O658:Q675,$B694)+COUNTIF(O658:Q675,$B694&amp;" ~*")&gt;0)+(COUNTIF(S658:U675,$B694)+COUNTIF(S658:U675,$B694&amp;" ~*")&gt;0)+(COUNTIF(W658:W675,$B694)+COUNTIF(W658:W675,$B694&amp;" ~*")&gt;0)+(COUNTIF(Y658:Y675,$B694)+COUNTIF(Y658:Y675,$B694&amp;" ~*")&gt;0))</f>
        <v/>
      </c>
      <c r="AC694" s="38">
        <f>IF($B694="","",(IFERROR(INDEX(Setup!$G$33:$G$40,MATCH(C694,Setup!$B$33:$B$40,0)),0)=1)*(COUNTIF(C658:E675,$B694)+COUNTIF(C658:E675,$B694&amp;" ~*")&gt;0)+(IFERROR(INDEX(Setup!$G$33:$G$40,MATCH(G694,Setup!$B$33:$B$40,0)),0)=1)*(COUNTIF(G658:I675,$B694)+COUNTIF(G658:I675,$B694&amp;" ~*")&gt;0)+(IFERROR(INDEX(Setup!$G$33:$G$40,MATCH(K694,Setup!$B$33:$B$40,0)),0)=1)*(COUNTIF(K658:M675,$B694)+COUNTIF(K658:M675,$B694&amp;" ~*")&gt;0)+(IFERROR(INDEX(Setup!$G$33:$G$40,MATCH(O694,Setup!$B$33:$B$40,0)),0)=1)*(COUNTIF(O658:Q675,$B694)+COUNTIF(O658:Q675,$B694&amp;" ~*")&gt;0)+(IFERROR(INDEX(Setup!$G$33:$G$40,MATCH(S694,Setup!$B$33:$B$40,0)),0)=1)*(COUNTIF(S658:U675,$B694)+COUNTIF(S658:U675,$B694&amp;" ~*")&gt;0)+(IFERROR(INDEX(Setup!$G$33:$G$40,MATCH(W694,Setup!$B$33:$B$40,0)),0)=1)*(COUNTIF(W658:W675,$B694)+COUNTIF(W658:W675,$B694&amp;" ~*")&gt;0)+(IFERROR(INDEX(Setup!$G$33:$G$40,MATCH(Y694,Setup!$B$33:$B$40,0)),0)=1)*(COUNTIF(Y658:Y675,$B694)+COUNTIF(Y658:Y675,$B694&amp;" ~*")&gt;0))</f>
        <v/>
      </c>
    </row>
    <row r="695" ht="15" customHeight="1">
      <c r="A695" t="n">
        <v>14</v>
      </c>
      <c r="B695" s="35">
        <f>IF(Setup!$B$24="","",Setup!$B$24)</f>
        <v/>
      </c>
      <c r="C695" s="98" t="n"/>
      <c r="D695" s="99" t="n"/>
      <c r="E695" s="99" t="n"/>
      <c r="F695" s="100" t="n"/>
      <c r="G695" s="98" t="n"/>
      <c r="H695" s="99" t="n"/>
      <c r="I695" s="99" t="n"/>
      <c r="J695" s="100" t="n"/>
      <c r="K695" s="98" t="n"/>
      <c r="L695" s="99" t="n"/>
      <c r="M695" s="99" t="n"/>
      <c r="N695" s="100" t="n"/>
      <c r="O695" s="98" t="n"/>
      <c r="P695" s="99" t="n"/>
      <c r="Q695" s="99" t="n"/>
      <c r="R695" s="100" t="n"/>
      <c r="S695" s="98" t="n"/>
      <c r="T695" s="99" t="n"/>
      <c r="U695" s="99" t="n"/>
      <c r="V695" s="100" t="n"/>
      <c r="W695" s="98" t="n"/>
      <c r="X695" s="100" t="n"/>
      <c r="Y695" s="98" t="n"/>
      <c r="Z695" s="100" t="n"/>
      <c r="AB695" s="101">
        <f>IF($B695="","",(COUNTIF(C658:E675,$B695)+COUNTIF(C658:E675,$B695&amp;" ~*")&gt;0)+(COUNTIF(G658:I675,$B695)+COUNTIF(G658:I675,$B695&amp;" ~*")&gt;0)+(COUNTIF(K658:M675,$B695)+COUNTIF(K658:M675,$B695&amp;" ~*")&gt;0)+(COUNTIF(O658:Q675,$B695)+COUNTIF(O658:Q675,$B695&amp;" ~*")&gt;0)+(COUNTIF(S658:U675,$B695)+COUNTIF(S658:U675,$B695&amp;" ~*")&gt;0)+(COUNTIF(W658:W675,$B695)+COUNTIF(W658:W675,$B695&amp;" ~*")&gt;0)+(COUNTIF(Y658:Y675,$B695)+COUNTIF(Y658:Y675,$B695&amp;" ~*")&gt;0))</f>
        <v/>
      </c>
      <c r="AC695" s="36">
        <f>IF($B695="","",(IFERROR(INDEX(Setup!$G$33:$G$40,MATCH(C695,Setup!$B$33:$B$40,0)),0)=1)*(COUNTIF(C658:E675,$B695)+COUNTIF(C658:E675,$B695&amp;" ~*")&gt;0)+(IFERROR(INDEX(Setup!$G$33:$G$40,MATCH(G695,Setup!$B$33:$B$40,0)),0)=1)*(COUNTIF(G658:I675,$B695)+COUNTIF(G658:I675,$B695&amp;" ~*")&gt;0)+(IFERROR(INDEX(Setup!$G$33:$G$40,MATCH(K695,Setup!$B$33:$B$40,0)),0)=1)*(COUNTIF(K658:M675,$B695)+COUNTIF(K658:M675,$B695&amp;" ~*")&gt;0)+(IFERROR(INDEX(Setup!$G$33:$G$40,MATCH(O695,Setup!$B$33:$B$40,0)),0)=1)*(COUNTIF(O658:Q675,$B695)+COUNTIF(O658:Q675,$B695&amp;" ~*")&gt;0)+(IFERROR(INDEX(Setup!$G$33:$G$40,MATCH(S695,Setup!$B$33:$B$40,0)),0)=1)*(COUNTIF(S658:U675,$B695)+COUNTIF(S658:U675,$B695&amp;" ~*")&gt;0)+(IFERROR(INDEX(Setup!$G$33:$G$40,MATCH(W695,Setup!$B$33:$B$40,0)),0)=1)*(COUNTIF(W658:W675,$B695)+COUNTIF(W658:W675,$B695&amp;" ~*")&gt;0)+(IFERROR(INDEX(Setup!$G$33:$G$40,MATCH(Y695,Setup!$B$33:$B$40,0)),0)=1)*(COUNTIF(Y658:Y675,$B695)+COUNTIF(Y658:Y675,$B695&amp;" ~*")&gt;0))</f>
        <v/>
      </c>
    </row>
    <row r="696" ht="15" customHeight="1">
      <c r="A696" t="n">
        <v>14</v>
      </c>
      <c r="B696" s="37">
        <f>IF(Setup!$B$25="","",Setup!$B$25)</f>
        <v/>
      </c>
      <c r="C696" s="102" t="n"/>
      <c r="D696" s="103" t="n"/>
      <c r="E696" s="103" t="n"/>
      <c r="F696" s="104" t="n"/>
      <c r="G696" s="102" t="n"/>
      <c r="H696" s="103" t="n"/>
      <c r="I696" s="103" t="n"/>
      <c r="J696" s="104" t="n"/>
      <c r="K696" s="102" t="n"/>
      <c r="L696" s="103" t="n"/>
      <c r="M696" s="103" t="n"/>
      <c r="N696" s="104" t="n"/>
      <c r="O696" s="102" t="n"/>
      <c r="P696" s="103" t="n"/>
      <c r="Q696" s="103" t="n"/>
      <c r="R696" s="104" t="n"/>
      <c r="S696" s="102" t="n"/>
      <c r="T696" s="103" t="n"/>
      <c r="U696" s="103" t="n"/>
      <c r="V696" s="104" t="n"/>
      <c r="W696" s="102" t="n"/>
      <c r="X696" s="104" t="n"/>
      <c r="Y696" s="102" t="n"/>
      <c r="Z696" s="104" t="n"/>
      <c r="AB696" s="105">
        <f>IF($B696="","",(COUNTIF(C658:E675,$B696)+COUNTIF(C658:E675,$B696&amp;" ~*")&gt;0)+(COUNTIF(G658:I675,$B696)+COUNTIF(G658:I675,$B696&amp;" ~*")&gt;0)+(COUNTIF(K658:M675,$B696)+COUNTIF(K658:M675,$B696&amp;" ~*")&gt;0)+(COUNTIF(O658:Q675,$B696)+COUNTIF(O658:Q675,$B696&amp;" ~*")&gt;0)+(COUNTIF(S658:U675,$B696)+COUNTIF(S658:U675,$B696&amp;" ~*")&gt;0)+(COUNTIF(W658:W675,$B696)+COUNTIF(W658:W675,$B696&amp;" ~*")&gt;0)+(COUNTIF(Y658:Y675,$B696)+COUNTIF(Y658:Y675,$B696&amp;" ~*")&gt;0))</f>
        <v/>
      </c>
      <c r="AC696" s="38">
        <f>IF($B696="","",(IFERROR(INDEX(Setup!$G$33:$G$40,MATCH(C696,Setup!$B$33:$B$40,0)),0)=1)*(COUNTIF(C658:E675,$B696)+COUNTIF(C658:E675,$B696&amp;" ~*")&gt;0)+(IFERROR(INDEX(Setup!$G$33:$G$40,MATCH(G696,Setup!$B$33:$B$40,0)),0)=1)*(COUNTIF(G658:I675,$B696)+COUNTIF(G658:I675,$B696&amp;" ~*")&gt;0)+(IFERROR(INDEX(Setup!$G$33:$G$40,MATCH(K696,Setup!$B$33:$B$40,0)),0)=1)*(COUNTIF(K658:M675,$B696)+COUNTIF(K658:M675,$B696&amp;" ~*")&gt;0)+(IFERROR(INDEX(Setup!$G$33:$G$40,MATCH(O696,Setup!$B$33:$B$40,0)),0)=1)*(COUNTIF(O658:Q675,$B696)+COUNTIF(O658:Q675,$B696&amp;" ~*")&gt;0)+(IFERROR(INDEX(Setup!$G$33:$G$40,MATCH(S696,Setup!$B$33:$B$40,0)),0)=1)*(COUNTIF(S658:U675,$B696)+COUNTIF(S658:U675,$B696&amp;" ~*")&gt;0)+(IFERROR(INDEX(Setup!$G$33:$G$40,MATCH(W696,Setup!$B$33:$B$40,0)),0)=1)*(COUNTIF(W658:W675,$B696)+COUNTIF(W658:W675,$B696&amp;" ~*")&gt;0)+(IFERROR(INDEX(Setup!$G$33:$G$40,MATCH(Y696,Setup!$B$33:$B$40,0)),0)=1)*(COUNTIF(Y658:Y675,$B696)+COUNTIF(Y658:Y675,$B696&amp;" ~*")&gt;0))</f>
        <v/>
      </c>
    </row>
    <row r="697" ht="15" customHeight="1">
      <c r="A697" t="n">
        <v>14</v>
      </c>
      <c r="B697" s="35">
        <f>IF(Setup!$B$26="","",Setup!$B$26)</f>
        <v/>
      </c>
      <c r="C697" s="98" t="n"/>
      <c r="D697" s="99" t="n"/>
      <c r="E697" s="99" t="n"/>
      <c r="F697" s="100" t="n"/>
      <c r="G697" s="98" t="n"/>
      <c r="H697" s="99" t="n"/>
      <c r="I697" s="99" t="n"/>
      <c r="J697" s="100" t="n"/>
      <c r="K697" s="98" t="n"/>
      <c r="L697" s="99" t="n"/>
      <c r="M697" s="99" t="n"/>
      <c r="N697" s="100" t="n"/>
      <c r="O697" s="98" t="n"/>
      <c r="P697" s="99" t="n"/>
      <c r="Q697" s="99" t="n"/>
      <c r="R697" s="100" t="n"/>
      <c r="S697" s="98" t="n"/>
      <c r="T697" s="99" t="n"/>
      <c r="U697" s="99" t="n"/>
      <c r="V697" s="100" t="n"/>
      <c r="W697" s="98" t="n"/>
      <c r="X697" s="100" t="n"/>
      <c r="Y697" s="98" t="n"/>
      <c r="Z697" s="100" t="n"/>
      <c r="AB697" s="101">
        <f>IF($B697="","",(COUNTIF(C658:E675,$B697)+COUNTIF(C658:E675,$B697&amp;" ~*")&gt;0)+(COUNTIF(G658:I675,$B697)+COUNTIF(G658:I675,$B697&amp;" ~*")&gt;0)+(COUNTIF(K658:M675,$B697)+COUNTIF(K658:M675,$B697&amp;" ~*")&gt;0)+(COUNTIF(O658:Q675,$B697)+COUNTIF(O658:Q675,$B697&amp;" ~*")&gt;0)+(COUNTIF(S658:U675,$B697)+COUNTIF(S658:U675,$B697&amp;" ~*")&gt;0)+(COUNTIF(W658:W675,$B697)+COUNTIF(W658:W675,$B697&amp;" ~*")&gt;0)+(COUNTIF(Y658:Y675,$B697)+COUNTIF(Y658:Y675,$B697&amp;" ~*")&gt;0))</f>
        <v/>
      </c>
      <c r="AC697" s="36">
        <f>IF($B697="","",(IFERROR(INDEX(Setup!$G$33:$G$40,MATCH(C697,Setup!$B$33:$B$40,0)),0)=1)*(COUNTIF(C658:E675,$B697)+COUNTIF(C658:E675,$B697&amp;" ~*")&gt;0)+(IFERROR(INDEX(Setup!$G$33:$G$40,MATCH(G697,Setup!$B$33:$B$40,0)),0)=1)*(COUNTIF(G658:I675,$B697)+COUNTIF(G658:I675,$B697&amp;" ~*")&gt;0)+(IFERROR(INDEX(Setup!$G$33:$G$40,MATCH(K697,Setup!$B$33:$B$40,0)),0)=1)*(COUNTIF(K658:M675,$B697)+COUNTIF(K658:M675,$B697&amp;" ~*")&gt;0)+(IFERROR(INDEX(Setup!$G$33:$G$40,MATCH(O697,Setup!$B$33:$B$40,0)),0)=1)*(COUNTIF(O658:Q675,$B697)+COUNTIF(O658:Q675,$B697&amp;" ~*")&gt;0)+(IFERROR(INDEX(Setup!$G$33:$G$40,MATCH(S697,Setup!$B$33:$B$40,0)),0)=1)*(COUNTIF(S658:U675,$B697)+COUNTIF(S658:U675,$B697&amp;" ~*")&gt;0)+(IFERROR(INDEX(Setup!$G$33:$G$40,MATCH(W697,Setup!$B$33:$B$40,0)),0)=1)*(COUNTIF(W658:W675,$B697)+COUNTIF(W658:W675,$B697&amp;" ~*")&gt;0)+(IFERROR(INDEX(Setup!$G$33:$G$40,MATCH(Y697,Setup!$B$33:$B$40,0)),0)=1)*(COUNTIF(Y658:Y675,$B697)+COUNTIF(Y658:Y675,$B697&amp;" ~*")&gt;0))</f>
        <v/>
      </c>
    </row>
    <row r="698" ht="15" customHeight="1">
      <c r="A698" t="n">
        <v>14</v>
      </c>
      <c r="B698" s="37">
        <f>IF(Setup!$B$27="","",Setup!$B$27)</f>
        <v/>
      </c>
      <c r="C698" s="102" t="n"/>
      <c r="D698" s="103" t="n"/>
      <c r="E698" s="103" t="n"/>
      <c r="F698" s="104" t="n"/>
      <c r="G698" s="102" t="n"/>
      <c r="H698" s="103" t="n"/>
      <c r="I698" s="103" t="n"/>
      <c r="J698" s="104" t="n"/>
      <c r="K698" s="102" t="n"/>
      <c r="L698" s="103" t="n"/>
      <c r="M698" s="103" t="n"/>
      <c r="N698" s="104" t="n"/>
      <c r="O698" s="102" t="n"/>
      <c r="P698" s="103" t="n"/>
      <c r="Q698" s="103" t="n"/>
      <c r="R698" s="104" t="n"/>
      <c r="S698" s="102" t="n"/>
      <c r="T698" s="103" t="n"/>
      <c r="U698" s="103" t="n"/>
      <c r="V698" s="104" t="n"/>
      <c r="W698" s="102" t="n"/>
      <c r="X698" s="104" t="n"/>
      <c r="Y698" s="102" t="n"/>
      <c r="Z698" s="104" t="n"/>
      <c r="AB698" s="105">
        <f>IF($B698="","",(COUNTIF(C658:E675,$B698)+COUNTIF(C658:E675,$B698&amp;" ~*")&gt;0)+(COUNTIF(G658:I675,$B698)+COUNTIF(G658:I675,$B698&amp;" ~*")&gt;0)+(COUNTIF(K658:M675,$B698)+COUNTIF(K658:M675,$B698&amp;" ~*")&gt;0)+(COUNTIF(O658:Q675,$B698)+COUNTIF(O658:Q675,$B698&amp;" ~*")&gt;0)+(COUNTIF(S658:U675,$B698)+COUNTIF(S658:U675,$B698&amp;" ~*")&gt;0)+(COUNTIF(W658:W675,$B698)+COUNTIF(W658:W675,$B698&amp;" ~*")&gt;0)+(COUNTIF(Y658:Y675,$B698)+COUNTIF(Y658:Y675,$B698&amp;" ~*")&gt;0))</f>
        <v/>
      </c>
      <c r="AC698" s="38">
        <f>IF($B698="","",(IFERROR(INDEX(Setup!$G$33:$G$40,MATCH(C698,Setup!$B$33:$B$40,0)),0)=1)*(COUNTIF(C658:E675,$B698)+COUNTIF(C658:E675,$B698&amp;" ~*")&gt;0)+(IFERROR(INDEX(Setup!$G$33:$G$40,MATCH(G698,Setup!$B$33:$B$40,0)),0)=1)*(COUNTIF(G658:I675,$B698)+COUNTIF(G658:I675,$B698&amp;" ~*")&gt;0)+(IFERROR(INDEX(Setup!$G$33:$G$40,MATCH(K698,Setup!$B$33:$B$40,0)),0)=1)*(COUNTIF(K658:M675,$B698)+COUNTIF(K658:M675,$B698&amp;" ~*")&gt;0)+(IFERROR(INDEX(Setup!$G$33:$G$40,MATCH(O698,Setup!$B$33:$B$40,0)),0)=1)*(COUNTIF(O658:Q675,$B698)+COUNTIF(O658:Q675,$B698&amp;" ~*")&gt;0)+(IFERROR(INDEX(Setup!$G$33:$G$40,MATCH(S698,Setup!$B$33:$B$40,0)),0)=1)*(COUNTIF(S658:U675,$B698)+COUNTIF(S658:U675,$B698&amp;" ~*")&gt;0)+(IFERROR(INDEX(Setup!$G$33:$G$40,MATCH(W698,Setup!$B$33:$B$40,0)),0)=1)*(COUNTIF(W658:W675,$B698)+COUNTIF(W658:W675,$B698&amp;" ~*")&gt;0)+(IFERROR(INDEX(Setup!$G$33:$G$40,MATCH(Y698,Setup!$B$33:$B$40,0)),0)=1)*(COUNTIF(Y658:Y675,$B698)+COUNTIF(Y658:Y675,$B698&amp;" ~*")&gt;0))</f>
        <v/>
      </c>
    </row>
    <row r="699" ht="15" customHeight="1">
      <c r="A699" t="n">
        <v>14</v>
      </c>
      <c r="B699" s="35">
        <f>IF(Setup!$B$28="","",Setup!$B$28)</f>
        <v/>
      </c>
      <c r="C699" s="98" t="n"/>
      <c r="D699" s="99" t="n"/>
      <c r="E699" s="99" t="n"/>
      <c r="F699" s="100" t="n"/>
      <c r="G699" s="98" t="n"/>
      <c r="H699" s="99" t="n"/>
      <c r="I699" s="99" t="n"/>
      <c r="J699" s="100" t="n"/>
      <c r="K699" s="98" t="n"/>
      <c r="L699" s="99" t="n"/>
      <c r="M699" s="99" t="n"/>
      <c r="N699" s="100" t="n"/>
      <c r="O699" s="98" t="n"/>
      <c r="P699" s="99" t="n"/>
      <c r="Q699" s="99" t="n"/>
      <c r="R699" s="100" t="n"/>
      <c r="S699" s="98" t="n"/>
      <c r="T699" s="99" t="n"/>
      <c r="U699" s="99" t="n"/>
      <c r="V699" s="100" t="n"/>
      <c r="W699" s="98" t="n"/>
      <c r="X699" s="100" t="n"/>
      <c r="Y699" s="98" t="n"/>
      <c r="Z699" s="100" t="n"/>
      <c r="AB699" s="101">
        <f>IF($B699="","",(COUNTIF(C658:E675,$B699)+COUNTIF(C658:E675,$B699&amp;" ~*")&gt;0)+(COUNTIF(G658:I675,$B699)+COUNTIF(G658:I675,$B699&amp;" ~*")&gt;0)+(COUNTIF(K658:M675,$B699)+COUNTIF(K658:M675,$B699&amp;" ~*")&gt;0)+(COUNTIF(O658:Q675,$B699)+COUNTIF(O658:Q675,$B699&amp;" ~*")&gt;0)+(COUNTIF(S658:U675,$B699)+COUNTIF(S658:U675,$B699&amp;" ~*")&gt;0)+(COUNTIF(W658:W675,$B699)+COUNTIF(W658:W675,$B699&amp;" ~*")&gt;0)+(COUNTIF(Y658:Y675,$B699)+COUNTIF(Y658:Y675,$B699&amp;" ~*")&gt;0))</f>
        <v/>
      </c>
      <c r="AC699" s="36">
        <f>IF($B699="","",(IFERROR(INDEX(Setup!$G$33:$G$40,MATCH(C699,Setup!$B$33:$B$40,0)),0)=1)*(COUNTIF(C658:E675,$B699)+COUNTIF(C658:E675,$B699&amp;" ~*")&gt;0)+(IFERROR(INDEX(Setup!$G$33:$G$40,MATCH(G699,Setup!$B$33:$B$40,0)),0)=1)*(COUNTIF(G658:I675,$B699)+COUNTIF(G658:I675,$B699&amp;" ~*")&gt;0)+(IFERROR(INDEX(Setup!$G$33:$G$40,MATCH(K699,Setup!$B$33:$B$40,0)),0)=1)*(COUNTIF(K658:M675,$B699)+COUNTIF(K658:M675,$B699&amp;" ~*")&gt;0)+(IFERROR(INDEX(Setup!$G$33:$G$40,MATCH(O699,Setup!$B$33:$B$40,0)),0)=1)*(COUNTIF(O658:Q675,$B699)+COUNTIF(O658:Q675,$B699&amp;" ~*")&gt;0)+(IFERROR(INDEX(Setup!$G$33:$G$40,MATCH(S699,Setup!$B$33:$B$40,0)),0)=1)*(COUNTIF(S658:U675,$B699)+COUNTIF(S658:U675,$B699&amp;" ~*")&gt;0)+(IFERROR(INDEX(Setup!$G$33:$G$40,MATCH(W699,Setup!$B$33:$B$40,0)),0)=1)*(COUNTIF(W658:W675,$B699)+COUNTIF(W658:W675,$B699&amp;" ~*")&gt;0)+(IFERROR(INDEX(Setup!$G$33:$G$40,MATCH(Y699,Setup!$B$33:$B$40,0)),0)=1)*(COUNTIF(Y658:Y675,$B699)+COUNTIF(Y658:Y675,$B699&amp;" ~*")&gt;0))</f>
        <v/>
      </c>
    </row>
    <row r="700" ht="15" customHeight="1">
      <c r="A700" t="n">
        <v>14</v>
      </c>
      <c r="B700" s="37">
        <f>IF(Setup!$B$29="","",Setup!$B$29)</f>
        <v/>
      </c>
      <c r="C700" s="102" t="n"/>
      <c r="D700" s="103" t="n"/>
      <c r="E700" s="103" t="n"/>
      <c r="F700" s="104" t="n"/>
      <c r="G700" s="102" t="n"/>
      <c r="H700" s="103" t="n"/>
      <c r="I700" s="103" t="n"/>
      <c r="J700" s="104" t="n"/>
      <c r="K700" s="102" t="n"/>
      <c r="L700" s="103" t="n"/>
      <c r="M700" s="103" t="n"/>
      <c r="N700" s="104" t="n"/>
      <c r="O700" s="102" t="n"/>
      <c r="P700" s="103" t="n"/>
      <c r="Q700" s="103" t="n"/>
      <c r="R700" s="104" t="n"/>
      <c r="S700" s="102" t="n"/>
      <c r="T700" s="103" t="n"/>
      <c r="U700" s="103" t="n"/>
      <c r="V700" s="104" t="n"/>
      <c r="W700" s="102" t="n"/>
      <c r="X700" s="104" t="n"/>
      <c r="Y700" s="102" t="n"/>
      <c r="Z700" s="104" t="n"/>
      <c r="AB700" s="105">
        <f>IF($B700="","",(COUNTIF(C658:E675,$B700)+COUNTIF(C658:E675,$B700&amp;" ~*")&gt;0)+(COUNTIF(G658:I675,$B700)+COUNTIF(G658:I675,$B700&amp;" ~*")&gt;0)+(COUNTIF(K658:M675,$B700)+COUNTIF(K658:M675,$B700&amp;" ~*")&gt;0)+(COUNTIF(O658:Q675,$B700)+COUNTIF(O658:Q675,$B700&amp;" ~*")&gt;0)+(COUNTIF(S658:U675,$B700)+COUNTIF(S658:U675,$B700&amp;" ~*")&gt;0)+(COUNTIF(W658:W675,$B700)+COUNTIF(W658:W675,$B700&amp;" ~*")&gt;0)+(COUNTIF(Y658:Y675,$B700)+COUNTIF(Y658:Y675,$B700&amp;" ~*")&gt;0))</f>
        <v/>
      </c>
      <c r="AC700" s="38">
        <f>IF($B700="","",(IFERROR(INDEX(Setup!$G$33:$G$40,MATCH(C700,Setup!$B$33:$B$40,0)),0)=1)*(COUNTIF(C658:E675,$B700)+COUNTIF(C658:E675,$B700&amp;" ~*")&gt;0)+(IFERROR(INDEX(Setup!$G$33:$G$40,MATCH(G700,Setup!$B$33:$B$40,0)),0)=1)*(COUNTIF(G658:I675,$B700)+COUNTIF(G658:I675,$B700&amp;" ~*")&gt;0)+(IFERROR(INDEX(Setup!$G$33:$G$40,MATCH(K700,Setup!$B$33:$B$40,0)),0)=1)*(COUNTIF(K658:M675,$B700)+COUNTIF(K658:M675,$B700&amp;" ~*")&gt;0)+(IFERROR(INDEX(Setup!$G$33:$G$40,MATCH(O700,Setup!$B$33:$B$40,0)),0)=1)*(COUNTIF(O658:Q675,$B700)+COUNTIF(O658:Q675,$B700&amp;" ~*")&gt;0)+(IFERROR(INDEX(Setup!$G$33:$G$40,MATCH(S700,Setup!$B$33:$B$40,0)),0)=1)*(COUNTIF(S658:U675,$B700)+COUNTIF(S658:U675,$B700&amp;" ~*")&gt;0)+(IFERROR(INDEX(Setup!$G$33:$G$40,MATCH(W700,Setup!$B$33:$B$40,0)),0)=1)*(COUNTIF(W658:W675,$B700)+COUNTIF(W658:W675,$B700&amp;" ~*")&gt;0)+(IFERROR(INDEX(Setup!$G$33:$G$40,MATCH(Y700,Setup!$B$33:$B$40,0)),0)=1)*(COUNTIF(Y658:Y675,$B700)+COUNTIF(Y658:Y675,$B700&amp;" ~*")&gt;0))</f>
        <v/>
      </c>
    </row>
    <row r="701" ht="16" customHeight="1">
      <c r="A701" t="n">
        <v>14</v>
      </c>
      <c r="B701" s="106" t="inlineStr">
        <is>
          <t>Available people</t>
        </is>
      </c>
      <c r="C701" s="107">
        <f>COUNTIFS(Setup!$E$6:$E$29,"Y",Setup!$B$6:$B$29,"?*")-SUMPRODUCT(COUNTIF(C677:C700,Setup!$F$33:$F$40))</f>
        <v/>
      </c>
      <c r="D701" s="107" t="n"/>
      <c r="E701" s="107" t="n"/>
      <c r="F701" s="107" t="n"/>
      <c r="G701" s="107">
        <f>COUNTIFS(Setup!$E$6:$E$29,"Y",Setup!$B$6:$B$29,"?*")-SUMPRODUCT(COUNTIF(G677:G700,Setup!$F$33:$F$40))</f>
        <v/>
      </c>
      <c r="H701" s="107" t="n"/>
      <c r="I701" s="107" t="n"/>
      <c r="J701" s="107" t="n"/>
      <c r="K701" s="107">
        <f>COUNTIFS(Setup!$E$6:$E$29,"Y",Setup!$B$6:$B$29,"?*")-SUMPRODUCT(COUNTIF(K677:K700,Setup!$F$33:$F$40))</f>
        <v/>
      </c>
      <c r="L701" s="107" t="n"/>
      <c r="M701" s="107" t="n"/>
      <c r="N701" s="107" t="n"/>
      <c r="O701" s="107">
        <f>COUNTIFS(Setup!$E$6:$E$29,"Y",Setup!$B$6:$B$29,"?*")-SUMPRODUCT(COUNTIF(O677:O700,Setup!$F$33:$F$40))</f>
        <v/>
      </c>
      <c r="P701" s="107" t="n"/>
      <c r="Q701" s="107" t="n"/>
      <c r="R701" s="107" t="n"/>
      <c r="S701" s="107">
        <f>COUNTIFS(Setup!$E$6:$E$29,"Y",Setup!$B$6:$B$29,"?*")-SUMPRODUCT(COUNTIF(S677:S700,Setup!$F$33:$F$40))</f>
        <v/>
      </c>
      <c r="T701" s="107" t="n"/>
      <c r="U701" s="107" t="n"/>
      <c r="V701" s="107" t="n"/>
      <c r="W701" s="107">
        <f>COUNTIFS(Setup!$E$6:$E$29,"Y",Setup!$B$6:$B$29,"?*")-SUMPRODUCT(COUNTIF(W677:W700,Setup!$F$33:$F$40))</f>
        <v/>
      </c>
      <c r="X701" s="107" t="n"/>
      <c r="Y701" s="107">
        <f>COUNTIFS(Setup!$E$6:$E$29,"Y",Setup!$B$6:$B$29,"?*")-SUMPRODUCT(COUNTIF(Y677:Y700,Setup!$F$33:$F$40))</f>
        <v/>
      </c>
      <c r="Z701" s="107" t="n"/>
      <c r="AB701" s="108">
        <f>SUM(AB677:AB700)</f>
        <v/>
      </c>
      <c r="AC701" s="109">
        <f>SUM(AC677:AC700)</f>
        <v/>
      </c>
    </row>
    <row r="702" ht="30" customHeight="1">
      <c r="A702" t="n">
        <v>14</v>
      </c>
      <c r="B702" s="110" t="inlineStr">
        <is>
          <t>Week notes</t>
        </is>
      </c>
      <c r="C702" s="111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112" t="n"/>
      <c r="R702" s="112" t="n"/>
      <c r="S702" s="112" t="n"/>
      <c r="T702" s="112" t="n"/>
      <c r="U702" s="112" t="n"/>
      <c r="V702" s="112" t="n"/>
      <c r="W702" s="112" t="n"/>
      <c r="X702" s="112" t="n"/>
      <c r="Y702" s="112" t="n"/>
      <c r="Z702" s="113" t="n"/>
    </row>
    <row r="703" ht="8" customHeight="1">
      <c r="A703" t="n">
        <v>14</v>
      </c>
    </row>
    <row r="704" ht="8" customHeight="1">
      <c r="A704" t="n">
        <v>14</v>
      </c>
    </row>
    <row r="705" ht="24" customHeight="1">
      <c r="A705" t="n">
        <v>15</v>
      </c>
      <c r="B705" s="73">
        <f>"WEEK 15     "&amp;TEXT(C706,"ddd d mmm")&amp;"  –  "&amp;TEXT(C706+6,"ddd d mmm yyyy")</f>
        <v/>
      </c>
      <c r="S705" s="74">
        <f>IF(TODAY()&lt;C706,"FUTURE",IF(TODAY()&gt;C706+6,"PAST","THIS WEEK"))</f>
        <v/>
      </c>
      <c r="W705" s="75">
        <f>IF(AND(Engine!$B$8=$AC$3,Engine!$B$9=$A705),"◀ ACTIVE WEEK","")</f>
        <v/>
      </c>
      <c r="AA705" s="76" t="n"/>
      <c r="AB705" s="77" t="inlineStr">
        <is>
          <t>◀ Prev</t>
        </is>
      </c>
      <c r="AC705" s="77" t="inlineStr">
        <is>
          <t>Next ▶</t>
        </is>
      </c>
    </row>
    <row r="706" ht="18" customHeight="1">
      <c r="A706" t="n">
        <v>15</v>
      </c>
      <c r="B706" s="78" t="inlineStr">
        <is>
          <t>DUTY</t>
        </is>
      </c>
      <c r="C706" s="79">
        <f>$AC$2+7*($A706-1)</f>
        <v/>
      </c>
      <c r="D706" s="80" t="n"/>
      <c r="E706" s="80" t="n"/>
      <c r="F706" s="81" t="n"/>
      <c r="G706" s="79">
        <f>C706+1</f>
        <v/>
      </c>
      <c r="H706" s="80" t="n"/>
      <c r="I706" s="80" t="n"/>
      <c r="J706" s="81" t="n"/>
      <c r="K706" s="79">
        <f>C706+2</f>
        <v/>
      </c>
      <c r="L706" s="80" t="n"/>
      <c r="M706" s="80" t="n"/>
      <c r="N706" s="81" t="n"/>
      <c r="O706" s="79">
        <f>C706+3</f>
        <v/>
      </c>
      <c r="P706" s="80" t="n"/>
      <c r="Q706" s="80" t="n"/>
      <c r="R706" s="81" t="n"/>
      <c r="S706" s="79">
        <f>C706+4</f>
        <v/>
      </c>
      <c r="T706" s="80" t="n"/>
      <c r="U706" s="80" t="n"/>
      <c r="V706" s="81" t="n"/>
      <c r="W706" s="82">
        <f>C706+5</f>
        <v/>
      </c>
      <c r="X706" s="83" t="n"/>
      <c r="Y706" s="82">
        <f>C706+6</f>
        <v/>
      </c>
      <c r="Z706" s="83" t="n"/>
      <c r="AB706" s="72" t="inlineStr">
        <is>
          <t>Gaps</t>
        </is>
      </c>
      <c r="AC706" s="72" t="inlineStr">
        <is>
          <t>Cover</t>
        </is>
      </c>
    </row>
    <row r="707" ht="14" customHeight="1">
      <c r="A707" t="n">
        <v>15</v>
      </c>
      <c r="B707" s="84" t="inlineStr">
        <is>
          <t>(from Setup)</t>
        </is>
      </c>
      <c r="C707" s="85" t="inlineStr">
        <is>
          <t>1</t>
        </is>
      </c>
      <c r="D707" s="85" t="inlineStr">
        <is>
          <t>2</t>
        </is>
      </c>
      <c r="E707" s="85" t="inlineStr">
        <is>
          <t>3</t>
        </is>
      </c>
      <c r="F707" s="85" t="inlineStr">
        <is>
          <t>Notes</t>
        </is>
      </c>
      <c r="G707" s="85" t="inlineStr">
        <is>
          <t>1</t>
        </is>
      </c>
      <c r="H707" s="85" t="inlineStr">
        <is>
          <t>2</t>
        </is>
      </c>
      <c r="I707" s="85" t="inlineStr">
        <is>
          <t>3</t>
        </is>
      </c>
      <c r="J707" s="85" t="inlineStr">
        <is>
          <t>Notes</t>
        </is>
      </c>
      <c r="K707" s="85" t="inlineStr">
        <is>
          <t>1</t>
        </is>
      </c>
      <c r="L707" s="85" t="inlineStr">
        <is>
          <t>2</t>
        </is>
      </c>
      <c r="M707" s="85" t="inlineStr">
        <is>
          <t>3</t>
        </is>
      </c>
      <c r="N707" s="85" t="inlineStr">
        <is>
          <t>Notes</t>
        </is>
      </c>
      <c r="O707" s="85" t="inlineStr">
        <is>
          <t>1</t>
        </is>
      </c>
      <c r="P707" s="85" t="inlineStr">
        <is>
          <t>2</t>
        </is>
      </c>
      <c r="Q707" s="85" t="inlineStr">
        <is>
          <t>3</t>
        </is>
      </c>
      <c r="R707" s="85" t="inlineStr">
        <is>
          <t>Notes</t>
        </is>
      </c>
      <c r="S707" s="85" t="inlineStr">
        <is>
          <t>1</t>
        </is>
      </c>
      <c r="T707" s="85" t="inlineStr">
        <is>
          <t>2</t>
        </is>
      </c>
      <c r="U707" s="85" t="inlineStr">
        <is>
          <t>3</t>
        </is>
      </c>
      <c r="V707" s="85" t="inlineStr">
        <is>
          <t>Notes</t>
        </is>
      </c>
      <c r="W707" s="85" t="inlineStr">
        <is>
          <t>Cover</t>
        </is>
      </c>
      <c r="X707" s="85" t="inlineStr">
        <is>
          <t>Notes</t>
        </is>
      </c>
      <c r="Y707" s="85" t="inlineStr">
        <is>
          <t>Cover</t>
        </is>
      </c>
      <c r="Z707" s="85" t="inlineStr">
        <is>
          <t>Notes</t>
        </is>
      </c>
      <c r="AB707" s="86" t="inlineStr">
        <is>
          <t>weekdays short</t>
        </is>
      </c>
      <c r="AC707" s="87" t="inlineStr"/>
    </row>
    <row r="708" ht="17" customHeight="1">
      <c r="A708" t="n">
        <v>15</v>
      </c>
      <c r="B708" s="24">
        <f>IF(Setup!$K$6="","",Setup!$K$6)</f>
        <v/>
      </c>
      <c r="C708" s="88" t="n"/>
      <c r="D708" s="88" t="n"/>
      <c r="E708" s="88" t="n"/>
      <c r="F708" s="89" t="n"/>
      <c r="G708" s="88" t="n"/>
      <c r="H708" s="88" t="n"/>
      <c r="I708" s="88" t="n"/>
      <c r="J708" s="89" t="n"/>
      <c r="K708" s="88" t="n"/>
      <c r="L708" s="88" t="n"/>
      <c r="M708" s="88" t="n"/>
      <c r="N708" s="89" t="n"/>
      <c r="O708" s="88" t="n"/>
      <c r="P708" s="88" t="n"/>
      <c r="Q708" s="88" t="n"/>
      <c r="R708" s="89" t="n"/>
      <c r="S708" s="88" t="n"/>
      <c r="T708" s="88" t="n"/>
      <c r="U708" s="88" t="n"/>
      <c r="V708" s="89" t="n"/>
      <c r="W708" s="88" t="n"/>
      <c r="X708" s="89" t="n"/>
      <c r="Y708" s="88" t="n"/>
      <c r="Z708" s="89" t="n"/>
      <c r="AB708" s="25">
        <f>IF($B708="","",(COUNTIF(C708:E708,"?*")&lt;N(INDEX(Setup!$L$6:$L$23,1)))+(COUNTIF(G708:I708,"?*")&lt;N(INDEX(Setup!$L$6:$L$23,1)))+(COUNTIF(K708:M708,"?*")&lt;N(INDEX(Setup!$L$6:$L$23,1)))+(COUNTIF(O708:Q708,"?*")&lt;N(INDEX(Setup!$L$6:$L$23,1)))+(COUNTIF(S708:U708,"?*")&lt;N(INDEX(Setup!$L$6:$L$23,1)))+((W708="")*(INDEX(Setup!$M$6:$M$23,1)="Y"))+((Y708="")*(INDEX(Setup!$M$6:$M$23,1)="Y")))</f>
        <v/>
      </c>
      <c r="AC708" s="90">
        <f>IF($B708="","",IF(AB708=0,"✓ covered","⚠ "&amp;AB708&amp;IF(AB708=1," gap"," gaps")))</f>
        <v/>
      </c>
    </row>
    <row r="709" ht="17" customHeight="1">
      <c r="A709" t="n">
        <v>15</v>
      </c>
      <c r="B709" s="29">
        <f>IF(Setup!$K$7="","",Setup!$K$7)</f>
        <v/>
      </c>
      <c r="C709" s="88" t="n"/>
      <c r="D709" s="88" t="n"/>
      <c r="E709" s="88" t="n"/>
      <c r="F709" s="89" t="n"/>
      <c r="G709" s="88" t="n"/>
      <c r="H709" s="88" t="n"/>
      <c r="I709" s="88" t="n"/>
      <c r="J709" s="89" t="n"/>
      <c r="K709" s="88" t="n"/>
      <c r="L709" s="88" t="n"/>
      <c r="M709" s="88" t="n"/>
      <c r="N709" s="89" t="n"/>
      <c r="O709" s="88" t="n"/>
      <c r="P709" s="88" t="n"/>
      <c r="Q709" s="88" t="n"/>
      <c r="R709" s="89" t="n"/>
      <c r="S709" s="88" t="n"/>
      <c r="T709" s="88" t="n"/>
      <c r="U709" s="88" t="n"/>
      <c r="V709" s="89" t="n"/>
      <c r="W709" s="88" t="n"/>
      <c r="X709" s="89" t="n"/>
      <c r="Y709" s="88" t="n"/>
      <c r="Z709" s="89" t="n"/>
      <c r="AB709" s="30">
        <f>IF($B709="","",(COUNTIF(C709:E709,"?*")&lt;N(INDEX(Setup!$L$6:$L$23,2)))+(COUNTIF(G709:I709,"?*")&lt;N(INDEX(Setup!$L$6:$L$23,2)))+(COUNTIF(K709:M709,"?*")&lt;N(INDEX(Setup!$L$6:$L$23,2)))+(COUNTIF(O709:Q709,"?*")&lt;N(INDEX(Setup!$L$6:$L$23,2)))+(COUNTIF(S709:U709,"?*")&lt;N(INDEX(Setup!$L$6:$L$23,2)))+((W709="")*(INDEX(Setup!$M$6:$M$23,2)="Y"))+((Y709="")*(INDEX(Setup!$M$6:$M$23,2)="Y")))</f>
        <v/>
      </c>
      <c r="AC709" s="91">
        <f>IF($B709="","",IF(AB709=0,"✓ covered","⚠ "&amp;AB709&amp;IF(AB709=1," gap"," gaps")))</f>
        <v/>
      </c>
    </row>
    <row r="710" ht="17" customHeight="1">
      <c r="A710" t="n">
        <v>15</v>
      </c>
      <c r="B710" s="24">
        <f>IF(Setup!$K$8="","",Setup!$K$8)</f>
        <v/>
      </c>
      <c r="C710" s="88" t="n"/>
      <c r="D710" s="88" t="n"/>
      <c r="E710" s="88" t="n"/>
      <c r="F710" s="89" t="n"/>
      <c r="G710" s="88" t="n"/>
      <c r="H710" s="88" t="n"/>
      <c r="I710" s="88" t="n"/>
      <c r="J710" s="89" t="n"/>
      <c r="K710" s="88" t="n"/>
      <c r="L710" s="88" t="n"/>
      <c r="M710" s="88" t="n"/>
      <c r="N710" s="89" t="n"/>
      <c r="O710" s="88" t="n"/>
      <c r="P710" s="88" t="n"/>
      <c r="Q710" s="88" t="n"/>
      <c r="R710" s="89" t="n"/>
      <c r="S710" s="88" t="n"/>
      <c r="T710" s="88" t="n"/>
      <c r="U710" s="88" t="n"/>
      <c r="V710" s="89" t="n"/>
      <c r="W710" s="88" t="n"/>
      <c r="X710" s="89" t="n"/>
      <c r="Y710" s="88" t="n"/>
      <c r="Z710" s="89" t="n"/>
      <c r="AB710" s="25">
        <f>IF($B710="","",(COUNTIF(C710:E710,"?*")&lt;N(INDEX(Setup!$L$6:$L$23,3)))+(COUNTIF(G710:I710,"?*")&lt;N(INDEX(Setup!$L$6:$L$23,3)))+(COUNTIF(K710:M710,"?*")&lt;N(INDEX(Setup!$L$6:$L$23,3)))+(COUNTIF(O710:Q710,"?*")&lt;N(INDEX(Setup!$L$6:$L$23,3)))+(COUNTIF(S710:U710,"?*")&lt;N(INDEX(Setup!$L$6:$L$23,3)))+((W710="")*(INDEX(Setup!$M$6:$M$23,3)="Y"))+((Y710="")*(INDEX(Setup!$M$6:$M$23,3)="Y")))</f>
        <v/>
      </c>
      <c r="AC710" s="90">
        <f>IF($B710="","",IF(AB710=0,"✓ covered","⚠ "&amp;AB710&amp;IF(AB710=1," gap"," gaps")))</f>
        <v/>
      </c>
    </row>
    <row r="711" ht="17" customHeight="1">
      <c r="A711" t="n">
        <v>15</v>
      </c>
      <c r="B711" s="29">
        <f>IF(Setup!$K$9="","",Setup!$K$9)</f>
        <v/>
      </c>
      <c r="C711" s="88" t="n"/>
      <c r="D711" s="88" t="n"/>
      <c r="E711" s="88" t="n"/>
      <c r="F711" s="89" t="n"/>
      <c r="G711" s="88" t="n"/>
      <c r="H711" s="88" t="n"/>
      <c r="I711" s="88" t="n"/>
      <c r="J711" s="89" t="n"/>
      <c r="K711" s="88" t="n"/>
      <c r="L711" s="88" t="n"/>
      <c r="M711" s="88" t="n"/>
      <c r="N711" s="89" t="n"/>
      <c r="O711" s="88" t="n"/>
      <c r="P711" s="88" t="n"/>
      <c r="Q711" s="88" t="n"/>
      <c r="R711" s="89" t="n"/>
      <c r="S711" s="88" t="n"/>
      <c r="T711" s="88" t="n"/>
      <c r="U711" s="88" t="n"/>
      <c r="V711" s="89" t="n"/>
      <c r="W711" s="88" t="n"/>
      <c r="X711" s="89" t="n"/>
      <c r="Y711" s="88" t="n"/>
      <c r="Z711" s="89" t="n"/>
      <c r="AB711" s="30">
        <f>IF($B711="","",(COUNTIF(C711:E711,"?*")&lt;N(INDEX(Setup!$L$6:$L$23,4)))+(COUNTIF(G711:I711,"?*")&lt;N(INDEX(Setup!$L$6:$L$23,4)))+(COUNTIF(K711:M711,"?*")&lt;N(INDEX(Setup!$L$6:$L$23,4)))+(COUNTIF(O711:Q711,"?*")&lt;N(INDEX(Setup!$L$6:$L$23,4)))+(COUNTIF(S711:U711,"?*")&lt;N(INDEX(Setup!$L$6:$L$23,4)))+((W711="")*(INDEX(Setup!$M$6:$M$23,4)="Y"))+((Y711="")*(INDEX(Setup!$M$6:$M$23,4)="Y")))</f>
        <v/>
      </c>
      <c r="AC711" s="91">
        <f>IF($B711="","",IF(AB711=0,"✓ covered","⚠ "&amp;AB711&amp;IF(AB711=1," gap"," gaps")))</f>
        <v/>
      </c>
    </row>
    <row r="712" ht="17" customHeight="1">
      <c r="A712" t="n">
        <v>15</v>
      </c>
      <c r="B712" s="24">
        <f>IF(Setup!$K$10="","",Setup!$K$10)</f>
        <v/>
      </c>
      <c r="C712" s="88" t="n"/>
      <c r="D712" s="88" t="n"/>
      <c r="E712" s="88" t="n"/>
      <c r="F712" s="89" t="n"/>
      <c r="G712" s="88" t="n"/>
      <c r="H712" s="88" t="n"/>
      <c r="I712" s="88" t="n"/>
      <c r="J712" s="89" t="n"/>
      <c r="K712" s="88" t="n"/>
      <c r="L712" s="88" t="n"/>
      <c r="M712" s="88" t="n"/>
      <c r="N712" s="89" t="n"/>
      <c r="O712" s="88" t="n"/>
      <c r="P712" s="88" t="n"/>
      <c r="Q712" s="88" t="n"/>
      <c r="R712" s="89" t="n"/>
      <c r="S712" s="88" t="n"/>
      <c r="T712" s="88" t="n"/>
      <c r="U712" s="88" t="n"/>
      <c r="V712" s="89" t="n"/>
      <c r="W712" s="88" t="n"/>
      <c r="X712" s="89" t="n"/>
      <c r="Y712" s="88" t="n"/>
      <c r="Z712" s="89" t="n"/>
      <c r="AB712" s="25">
        <f>IF($B712="","",(COUNTIF(C712:E712,"?*")&lt;N(INDEX(Setup!$L$6:$L$23,5)))+(COUNTIF(G712:I712,"?*")&lt;N(INDEX(Setup!$L$6:$L$23,5)))+(COUNTIF(K712:M712,"?*")&lt;N(INDEX(Setup!$L$6:$L$23,5)))+(COUNTIF(O712:Q712,"?*")&lt;N(INDEX(Setup!$L$6:$L$23,5)))+(COUNTIF(S712:U712,"?*")&lt;N(INDEX(Setup!$L$6:$L$23,5)))+((W712="")*(INDEX(Setup!$M$6:$M$23,5)="Y"))+((Y712="")*(INDEX(Setup!$M$6:$M$23,5)="Y")))</f>
        <v/>
      </c>
      <c r="AC712" s="90">
        <f>IF($B712="","",IF(AB712=0,"✓ covered","⚠ "&amp;AB712&amp;IF(AB712=1," gap"," gaps")))</f>
        <v/>
      </c>
    </row>
    <row r="713" ht="17" customHeight="1">
      <c r="A713" t="n">
        <v>15</v>
      </c>
      <c r="B713" s="29">
        <f>IF(Setup!$K$11="","",Setup!$K$11)</f>
        <v/>
      </c>
      <c r="C713" s="88" t="n"/>
      <c r="D713" s="88" t="n"/>
      <c r="E713" s="88" t="n"/>
      <c r="F713" s="89" t="n"/>
      <c r="G713" s="88" t="n"/>
      <c r="H713" s="88" t="n"/>
      <c r="I713" s="88" t="n"/>
      <c r="J713" s="89" t="n"/>
      <c r="K713" s="88" t="n"/>
      <c r="L713" s="88" t="n"/>
      <c r="M713" s="88" t="n"/>
      <c r="N713" s="89" t="n"/>
      <c r="O713" s="88" t="n"/>
      <c r="P713" s="88" t="n"/>
      <c r="Q713" s="88" t="n"/>
      <c r="R713" s="89" t="n"/>
      <c r="S713" s="88" t="n"/>
      <c r="T713" s="88" t="n"/>
      <c r="U713" s="88" t="n"/>
      <c r="V713" s="89" t="n"/>
      <c r="W713" s="88" t="n"/>
      <c r="X713" s="89" t="n"/>
      <c r="Y713" s="88" t="n"/>
      <c r="Z713" s="89" t="n"/>
      <c r="AB713" s="30">
        <f>IF($B713="","",(COUNTIF(C713:E713,"?*")&lt;N(INDEX(Setup!$L$6:$L$23,6)))+(COUNTIF(G713:I713,"?*")&lt;N(INDEX(Setup!$L$6:$L$23,6)))+(COUNTIF(K713:M713,"?*")&lt;N(INDEX(Setup!$L$6:$L$23,6)))+(COUNTIF(O713:Q713,"?*")&lt;N(INDEX(Setup!$L$6:$L$23,6)))+(COUNTIF(S713:U713,"?*")&lt;N(INDEX(Setup!$L$6:$L$23,6)))+((W713="")*(INDEX(Setup!$M$6:$M$23,6)="Y"))+((Y713="")*(INDEX(Setup!$M$6:$M$23,6)="Y")))</f>
        <v/>
      </c>
      <c r="AC713" s="91">
        <f>IF($B713="","",IF(AB713=0,"✓ covered","⚠ "&amp;AB713&amp;IF(AB713=1," gap"," gaps")))</f>
        <v/>
      </c>
    </row>
    <row r="714" ht="17" customHeight="1">
      <c r="A714" t="n">
        <v>15</v>
      </c>
      <c r="B714" s="24">
        <f>IF(Setup!$K$12="","",Setup!$K$12)</f>
        <v/>
      </c>
      <c r="C714" s="88" t="n"/>
      <c r="D714" s="88" t="n"/>
      <c r="E714" s="88" t="n"/>
      <c r="F714" s="89" t="n"/>
      <c r="G714" s="88" t="n"/>
      <c r="H714" s="88" t="n"/>
      <c r="I714" s="88" t="n"/>
      <c r="J714" s="89" t="n"/>
      <c r="K714" s="88" t="n"/>
      <c r="L714" s="88" t="n"/>
      <c r="M714" s="88" t="n"/>
      <c r="N714" s="89" t="n"/>
      <c r="O714" s="88" t="n"/>
      <c r="P714" s="88" t="n"/>
      <c r="Q714" s="88" t="n"/>
      <c r="R714" s="89" t="n"/>
      <c r="S714" s="88" t="n"/>
      <c r="T714" s="88" t="n"/>
      <c r="U714" s="88" t="n"/>
      <c r="V714" s="89" t="n"/>
      <c r="W714" s="88" t="n"/>
      <c r="X714" s="89" t="n"/>
      <c r="Y714" s="88" t="n"/>
      <c r="Z714" s="89" t="n"/>
      <c r="AB714" s="25">
        <f>IF($B714="","",(COUNTIF(C714:E714,"?*")&lt;N(INDEX(Setup!$L$6:$L$23,7)))+(COUNTIF(G714:I714,"?*")&lt;N(INDEX(Setup!$L$6:$L$23,7)))+(COUNTIF(K714:M714,"?*")&lt;N(INDEX(Setup!$L$6:$L$23,7)))+(COUNTIF(O714:Q714,"?*")&lt;N(INDEX(Setup!$L$6:$L$23,7)))+(COUNTIF(S714:U714,"?*")&lt;N(INDEX(Setup!$L$6:$L$23,7)))+((W714="")*(INDEX(Setup!$M$6:$M$23,7)="Y"))+((Y714="")*(INDEX(Setup!$M$6:$M$23,7)="Y")))</f>
        <v/>
      </c>
      <c r="AC714" s="90">
        <f>IF($B714="","",IF(AB714=0,"✓ covered","⚠ "&amp;AB714&amp;IF(AB714=1," gap"," gaps")))</f>
        <v/>
      </c>
    </row>
    <row r="715" ht="17" customHeight="1">
      <c r="A715" t="n">
        <v>15</v>
      </c>
      <c r="B715" s="29">
        <f>IF(Setup!$K$13="","",Setup!$K$13)</f>
        <v/>
      </c>
      <c r="C715" s="88" t="n"/>
      <c r="D715" s="88" t="n"/>
      <c r="E715" s="88" t="n"/>
      <c r="F715" s="89" t="n"/>
      <c r="G715" s="88" t="n"/>
      <c r="H715" s="88" t="n"/>
      <c r="I715" s="88" t="n"/>
      <c r="J715" s="89" t="n"/>
      <c r="K715" s="88" t="n"/>
      <c r="L715" s="88" t="n"/>
      <c r="M715" s="88" t="n"/>
      <c r="N715" s="89" t="n"/>
      <c r="O715" s="88" t="n"/>
      <c r="P715" s="88" t="n"/>
      <c r="Q715" s="88" t="n"/>
      <c r="R715" s="89" t="n"/>
      <c r="S715" s="88" t="n"/>
      <c r="T715" s="88" t="n"/>
      <c r="U715" s="88" t="n"/>
      <c r="V715" s="89" t="n"/>
      <c r="W715" s="88" t="n"/>
      <c r="X715" s="89" t="n"/>
      <c r="Y715" s="88" t="n"/>
      <c r="Z715" s="89" t="n"/>
      <c r="AB715" s="30">
        <f>IF($B715="","",(COUNTIF(C715:E715,"?*")&lt;N(INDEX(Setup!$L$6:$L$23,8)))+(COUNTIF(G715:I715,"?*")&lt;N(INDEX(Setup!$L$6:$L$23,8)))+(COUNTIF(K715:M715,"?*")&lt;N(INDEX(Setup!$L$6:$L$23,8)))+(COUNTIF(O715:Q715,"?*")&lt;N(INDEX(Setup!$L$6:$L$23,8)))+(COUNTIF(S715:U715,"?*")&lt;N(INDEX(Setup!$L$6:$L$23,8)))+((W715="")*(INDEX(Setup!$M$6:$M$23,8)="Y"))+((Y715="")*(INDEX(Setup!$M$6:$M$23,8)="Y")))</f>
        <v/>
      </c>
      <c r="AC715" s="91">
        <f>IF($B715="","",IF(AB715=0,"✓ covered","⚠ "&amp;AB715&amp;IF(AB715=1," gap"," gaps")))</f>
        <v/>
      </c>
    </row>
    <row r="716" ht="17" customHeight="1">
      <c r="A716" t="n">
        <v>15</v>
      </c>
      <c r="B716" s="24">
        <f>IF(Setup!$K$14="","",Setup!$K$14)</f>
        <v/>
      </c>
      <c r="C716" s="88" t="n"/>
      <c r="D716" s="88" t="n"/>
      <c r="E716" s="88" t="n"/>
      <c r="F716" s="89" t="n"/>
      <c r="G716" s="88" t="n"/>
      <c r="H716" s="88" t="n"/>
      <c r="I716" s="88" t="n"/>
      <c r="J716" s="89" t="n"/>
      <c r="K716" s="88" t="n"/>
      <c r="L716" s="88" t="n"/>
      <c r="M716" s="88" t="n"/>
      <c r="N716" s="89" t="n"/>
      <c r="O716" s="88" t="n"/>
      <c r="P716" s="88" t="n"/>
      <c r="Q716" s="88" t="n"/>
      <c r="R716" s="89" t="n"/>
      <c r="S716" s="88" t="n"/>
      <c r="T716" s="88" t="n"/>
      <c r="U716" s="88" t="n"/>
      <c r="V716" s="89" t="n"/>
      <c r="W716" s="88" t="n"/>
      <c r="X716" s="89" t="n"/>
      <c r="Y716" s="88" t="n"/>
      <c r="Z716" s="89" t="n"/>
      <c r="AB716" s="25">
        <f>IF($B716="","",(COUNTIF(C716:E716,"?*")&lt;N(INDEX(Setup!$L$6:$L$23,9)))+(COUNTIF(G716:I716,"?*")&lt;N(INDEX(Setup!$L$6:$L$23,9)))+(COUNTIF(K716:M716,"?*")&lt;N(INDEX(Setup!$L$6:$L$23,9)))+(COUNTIF(O716:Q716,"?*")&lt;N(INDEX(Setup!$L$6:$L$23,9)))+(COUNTIF(S716:U716,"?*")&lt;N(INDEX(Setup!$L$6:$L$23,9)))+((W716="")*(INDEX(Setup!$M$6:$M$23,9)="Y"))+((Y716="")*(INDEX(Setup!$M$6:$M$23,9)="Y")))</f>
        <v/>
      </c>
      <c r="AC716" s="90">
        <f>IF($B716="","",IF(AB716=0,"✓ covered","⚠ "&amp;AB716&amp;IF(AB716=1," gap"," gaps")))</f>
        <v/>
      </c>
    </row>
    <row r="717" ht="17" customHeight="1">
      <c r="A717" t="n">
        <v>15</v>
      </c>
      <c r="B717" s="29">
        <f>IF(Setup!$K$15="","",Setup!$K$15)</f>
        <v/>
      </c>
      <c r="C717" s="88" t="n"/>
      <c r="D717" s="88" t="n"/>
      <c r="E717" s="88" t="n"/>
      <c r="F717" s="89" t="n"/>
      <c r="G717" s="88" t="n"/>
      <c r="H717" s="88" t="n"/>
      <c r="I717" s="88" t="n"/>
      <c r="J717" s="89" t="n"/>
      <c r="K717" s="88" t="n"/>
      <c r="L717" s="88" t="n"/>
      <c r="M717" s="88" t="n"/>
      <c r="N717" s="89" t="n"/>
      <c r="O717" s="88" t="n"/>
      <c r="P717" s="88" t="n"/>
      <c r="Q717" s="88" t="n"/>
      <c r="R717" s="89" t="n"/>
      <c r="S717" s="88" t="n"/>
      <c r="T717" s="88" t="n"/>
      <c r="U717" s="88" t="n"/>
      <c r="V717" s="89" t="n"/>
      <c r="W717" s="88" t="n"/>
      <c r="X717" s="89" t="n"/>
      <c r="Y717" s="88" t="n"/>
      <c r="Z717" s="89" t="n"/>
      <c r="AB717" s="30">
        <f>IF($B717="","",(COUNTIF(C717:E717,"?*")&lt;N(INDEX(Setup!$L$6:$L$23,10)))+(COUNTIF(G717:I717,"?*")&lt;N(INDEX(Setup!$L$6:$L$23,10)))+(COUNTIF(K717:M717,"?*")&lt;N(INDEX(Setup!$L$6:$L$23,10)))+(COUNTIF(O717:Q717,"?*")&lt;N(INDEX(Setup!$L$6:$L$23,10)))+(COUNTIF(S717:U717,"?*")&lt;N(INDEX(Setup!$L$6:$L$23,10)))+((W717="")*(INDEX(Setup!$M$6:$M$23,10)="Y"))+((Y717="")*(INDEX(Setup!$M$6:$M$23,10)="Y")))</f>
        <v/>
      </c>
      <c r="AC717" s="91">
        <f>IF($B717="","",IF(AB717=0,"✓ covered","⚠ "&amp;AB717&amp;IF(AB717=1," gap"," gaps")))</f>
        <v/>
      </c>
    </row>
    <row r="718" ht="17" customHeight="1">
      <c r="A718" t="n">
        <v>15</v>
      </c>
      <c r="B718" s="24">
        <f>IF(Setup!$K$16="","",Setup!$K$16)</f>
        <v/>
      </c>
      <c r="C718" s="88" t="n"/>
      <c r="D718" s="88" t="n"/>
      <c r="E718" s="88" t="n"/>
      <c r="F718" s="89" t="n"/>
      <c r="G718" s="88" t="n"/>
      <c r="H718" s="88" t="n"/>
      <c r="I718" s="88" t="n"/>
      <c r="J718" s="89" t="n"/>
      <c r="K718" s="88" t="n"/>
      <c r="L718" s="88" t="n"/>
      <c r="M718" s="88" t="n"/>
      <c r="N718" s="89" t="n"/>
      <c r="O718" s="88" t="n"/>
      <c r="P718" s="88" t="n"/>
      <c r="Q718" s="88" t="n"/>
      <c r="R718" s="89" t="n"/>
      <c r="S718" s="88" t="n"/>
      <c r="T718" s="88" t="n"/>
      <c r="U718" s="88" t="n"/>
      <c r="V718" s="89" t="n"/>
      <c r="W718" s="88" t="n"/>
      <c r="X718" s="89" t="n"/>
      <c r="Y718" s="88" t="n"/>
      <c r="Z718" s="89" t="n"/>
      <c r="AB718" s="25">
        <f>IF($B718="","",(COUNTIF(C718:E718,"?*")&lt;N(INDEX(Setup!$L$6:$L$23,11)))+(COUNTIF(G718:I718,"?*")&lt;N(INDEX(Setup!$L$6:$L$23,11)))+(COUNTIF(K718:M718,"?*")&lt;N(INDEX(Setup!$L$6:$L$23,11)))+(COUNTIF(O718:Q718,"?*")&lt;N(INDEX(Setup!$L$6:$L$23,11)))+(COUNTIF(S718:U718,"?*")&lt;N(INDEX(Setup!$L$6:$L$23,11)))+((W718="")*(INDEX(Setup!$M$6:$M$23,11)="Y"))+((Y718="")*(INDEX(Setup!$M$6:$M$23,11)="Y")))</f>
        <v/>
      </c>
      <c r="AC718" s="90">
        <f>IF($B718="","",IF(AB718=0,"✓ covered","⚠ "&amp;AB718&amp;IF(AB718=1," gap"," gaps")))</f>
        <v/>
      </c>
    </row>
    <row r="719" ht="17" customHeight="1">
      <c r="A719" t="n">
        <v>15</v>
      </c>
      <c r="B719" s="29">
        <f>IF(Setup!$K$17="","",Setup!$K$17)</f>
        <v/>
      </c>
      <c r="C719" s="88" t="n"/>
      <c r="D719" s="88" t="n"/>
      <c r="E719" s="88" t="n"/>
      <c r="F719" s="89" t="n"/>
      <c r="G719" s="88" t="n"/>
      <c r="H719" s="88" t="n"/>
      <c r="I719" s="88" t="n"/>
      <c r="J719" s="89" t="n"/>
      <c r="K719" s="88" t="n"/>
      <c r="L719" s="88" t="n"/>
      <c r="M719" s="88" t="n"/>
      <c r="N719" s="89" t="n"/>
      <c r="O719" s="88" t="n"/>
      <c r="P719" s="88" t="n"/>
      <c r="Q719" s="88" t="n"/>
      <c r="R719" s="89" t="n"/>
      <c r="S719" s="88" t="n"/>
      <c r="T719" s="88" t="n"/>
      <c r="U719" s="88" t="n"/>
      <c r="V719" s="89" t="n"/>
      <c r="W719" s="88" t="n"/>
      <c r="X719" s="89" t="n"/>
      <c r="Y719" s="88" t="n"/>
      <c r="Z719" s="89" t="n"/>
      <c r="AB719" s="30">
        <f>IF($B719="","",(COUNTIF(C719:E719,"?*")&lt;N(INDEX(Setup!$L$6:$L$23,12)))+(COUNTIF(G719:I719,"?*")&lt;N(INDEX(Setup!$L$6:$L$23,12)))+(COUNTIF(K719:M719,"?*")&lt;N(INDEX(Setup!$L$6:$L$23,12)))+(COUNTIF(O719:Q719,"?*")&lt;N(INDEX(Setup!$L$6:$L$23,12)))+(COUNTIF(S719:U719,"?*")&lt;N(INDEX(Setup!$L$6:$L$23,12)))+((W719="")*(INDEX(Setup!$M$6:$M$23,12)="Y"))+((Y719="")*(INDEX(Setup!$M$6:$M$23,12)="Y")))</f>
        <v/>
      </c>
      <c r="AC719" s="91">
        <f>IF($B719="","",IF(AB719=0,"✓ covered","⚠ "&amp;AB719&amp;IF(AB719=1," gap"," gaps")))</f>
        <v/>
      </c>
    </row>
    <row r="720" ht="17" customHeight="1">
      <c r="A720" t="n">
        <v>15</v>
      </c>
      <c r="B720" s="24">
        <f>IF(Setup!$K$18="","",Setup!$K$18)</f>
        <v/>
      </c>
      <c r="C720" s="88" t="n"/>
      <c r="D720" s="88" t="n"/>
      <c r="E720" s="88" t="n"/>
      <c r="F720" s="89" t="n"/>
      <c r="G720" s="88" t="n"/>
      <c r="H720" s="88" t="n"/>
      <c r="I720" s="88" t="n"/>
      <c r="J720" s="89" t="n"/>
      <c r="K720" s="88" t="n"/>
      <c r="L720" s="88" t="n"/>
      <c r="M720" s="88" t="n"/>
      <c r="N720" s="89" t="n"/>
      <c r="O720" s="88" t="n"/>
      <c r="P720" s="88" t="n"/>
      <c r="Q720" s="88" t="n"/>
      <c r="R720" s="89" t="n"/>
      <c r="S720" s="88" t="n"/>
      <c r="T720" s="88" t="n"/>
      <c r="U720" s="88" t="n"/>
      <c r="V720" s="89" t="n"/>
      <c r="W720" s="88" t="n"/>
      <c r="X720" s="89" t="n"/>
      <c r="Y720" s="88" t="n"/>
      <c r="Z720" s="89" t="n"/>
      <c r="AB720" s="25">
        <f>IF($B720="","",(COUNTIF(C720:E720,"?*")&lt;N(INDEX(Setup!$L$6:$L$23,13)))+(COUNTIF(G720:I720,"?*")&lt;N(INDEX(Setup!$L$6:$L$23,13)))+(COUNTIF(K720:M720,"?*")&lt;N(INDEX(Setup!$L$6:$L$23,13)))+(COUNTIF(O720:Q720,"?*")&lt;N(INDEX(Setup!$L$6:$L$23,13)))+(COUNTIF(S720:U720,"?*")&lt;N(INDEX(Setup!$L$6:$L$23,13)))+((W720="")*(INDEX(Setup!$M$6:$M$23,13)="Y"))+((Y720="")*(INDEX(Setup!$M$6:$M$23,13)="Y")))</f>
        <v/>
      </c>
      <c r="AC720" s="90">
        <f>IF($B720="","",IF(AB720=0,"✓ covered","⚠ "&amp;AB720&amp;IF(AB720=1," gap"," gaps")))</f>
        <v/>
      </c>
    </row>
    <row r="721" ht="17" customHeight="1">
      <c r="A721" t="n">
        <v>15</v>
      </c>
      <c r="B721" s="29">
        <f>IF(Setup!$K$19="","",Setup!$K$19)</f>
        <v/>
      </c>
      <c r="C721" s="88" t="n"/>
      <c r="D721" s="88" t="n"/>
      <c r="E721" s="88" t="n"/>
      <c r="F721" s="89" t="n"/>
      <c r="G721" s="88" t="n"/>
      <c r="H721" s="88" t="n"/>
      <c r="I721" s="88" t="n"/>
      <c r="J721" s="89" t="n"/>
      <c r="K721" s="88" t="n"/>
      <c r="L721" s="88" t="n"/>
      <c r="M721" s="88" t="n"/>
      <c r="N721" s="89" t="n"/>
      <c r="O721" s="88" t="n"/>
      <c r="P721" s="88" t="n"/>
      <c r="Q721" s="88" t="n"/>
      <c r="R721" s="89" t="n"/>
      <c r="S721" s="88" t="n"/>
      <c r="T721" s="88" t="n"/>
      <c r="U721" s="88" t="n"/>
      <c r="V721" s="89" t="n"/>
      <c r="W721" s="88" t="n"/>
      <c r="X721" s="89" t="n"/>
      <c r="Y721" s="88" t="n"/>
      <c r="Z721" s="89" t="n"/>
      <c r="AB721" s="30">
        <f>IF($B721="","",(COUNTIF(C721:E721,"?*")&lt;N(INDEX(Setup!$L$6:$L$23,14)))+(COUNTIF(G721:I721,"?*")&lt;N(INDEX(Setup!$L$6:$L$23,14)))+(COUNTIF(K721:M721,"?*")&lt;N(INDEX(Setup!$L$6:$L$23,14)))+(COUNTIF(O721:Q721,"?*")&lt;N(INDEX(Setup!$L$6:$L$23,14)))+(COUNTIF(S721:U721,"?*")&lt;N(INDEX(Setup!$L$6:$L$23,14)))+((W721="")*(INDEX(Setup!$M$6:$M$23,14)="Y"))+((Y721="")*(INDEX(Setup!$M$6:$M$23,14)="Y")))</f>
        <v/>
      </c>
      <c r="AC721" s="91">
        <f>IF($B721="","",IF(AB721=0,"✓ covered","⚠ "&amp;AB721&amp;IF(AB721=1," gap"," gaps")))</f>
        <v/>
      </c>
    </row>
    <row r="722" ht="17" customHeight="1">
      <c r="A722" t="n">
        <v>15</v>
      </c>
      <c r="B722" s="24">
        <f>IF(Setup!$K$20="","",Setup!$K$20)</f>
        <v/>
      </c>
      <c r="C722" s="88" t="n"/>
      <c r="D722" s="88" t="n"/>
      <c r="E722" s="88" t="n"/>
      <c r="F722" s="89" t="n"/>
      <c r="G722" s="88" t="n"/>
      <c r="H722" s="88" t="n"/>
      <c r="I722" s="88" t="n"/>
      <c r="J722" s="89" t="n"/>
      <c r="K722" s="88" t="n"/>
      <c r="L722" s="88" t="n"/>
      <c r="M722" s="88" t="n"/>
      <c r="N722" s="89" t="n"/>
      <c r="O722" s="88" t="n"/>
      <c r="P722" s="88" t="n"/>
      <c r="Q722" s="88" t="n"/>
      <c r="R722" s="89" t="n"/>
      <c r="S722" s="88" t="n"/>
      <c r="T722" s="88" t="n"/>
      <c r="U722" s="88" t="n"/>
      <c r="V722" s="89" t="n"/>
      <c r="W722" s="88" t="n"/>
      <c r="X722" s="89" t="n"/>
      <c r="Y722" s="88" t="n"/>
      <c r="Z722" s="89" t="n"/>
      <c r="AB722" s="25">
        <f>IF($B722="","",(COUNTIF(C722:E722,"?*")&lt;N(INDEX(Setup!$L$6:$L$23,15)))+(COUNTIF(G722:I722,"?*")&lt;N(INDEX(Setup!$L$6:$L$23,15)))+(COUNTIF(K722:M722,"?*")&lt;N(INDEX(Setup!$L$6:$L$23,15)))+(COUNTIF(O722:Q722,"?*")&lt;N(INDEX(Setup!$L$6:$L$23,15)))+(COUNTIF(S722:U722,"?*")&lt;N(INDEX(Setup!$L$6:$L$23,15)))+((W722="")*(INDEX(Setup!$M$6:$M$23,15)="Y"))+((Y722="")*(INDEX(Setup!$M$6:$M$23,15)="Y")))</f>
        <v/>
      </c>
      <c r="AC722" s="90">
        <f>IF($B722="","",IF(AB722=0,"✓ covered","⚠ "&amp;AB722&amp;IF(AB722=1," gap"," gaps")))</f>
        <v/>
      </c>
    </row>
    <row r="723" ht="17" customHeight="1">
      <c r="A723" t="n">
        <v>15</v>
      </c>
      <c r="B723" s="29">
        <f>IF(Setup!$K$21="","",Setup!$K$21)</f>
        <v/>
      </c>
      <c r="C723" s="88" t="n"/>
      <c r="D723" s="88" t="n"/>
      <c r="E723" s="88" t="n"/>
      <c r="F723" s="89" t="n"/>
      <c r="G723" s="88" t="n"/>
      <c r="H723" s="88" t="n"/>
      <c r="I723" s="88" t="n"/>
      <c r="J723" s="89" t="n"/>
      <c r="K723" s="88" t="n"/>
      <c r="L723" s="88" t="n"/>
      <c r="M723" s="88" t="n"/>
      <c r="N723" s="89" t="n"/>
      <c r="O723" s="88" t="n"/>
      <c r="P723" s="88" t="n"/>
      <c r="Q723" s="88" t="n"/>
      <c r="R723" s="89" t="n"/>
      <c r="S723" s="88" t="n"/>
      <c r="T723" s="88" t="n"/>
      <c r="U723" s="88" t="n"/>
      <c r="V723" s="89" t="n"/>
      <c r="W723" s="88" t="n"/>
      <c r="X723" s="89" t="n"/>
      <c r="Y723" s="88" t="n"/>
      <c r="Z723" s="89" t="n"/>
      <c r="AB723" s="30">
        <f>IF($B723="","",(COUNTIF(C723:E723,"?*")&lt;N(INDEX(Setup!$L$6:$L$23,16)))+(COUNTIF(G723:I723,"?*")&lt;N(INDEX(Setup!$L$6:$L$23,16)))+(COUNTIF(K723:M723,"?*")&lt;N(INDEX(Setup!$L$6:$L$23,16)))+(COUNTIF(O723:Q723,"?*")&lt;N(INDEX(Setup!$L$6:$L$23,16)))+(COUNTIF(S723:U723,"?*")&lt;N(INDEX(Setup!$L$6:$L$23,16)))+((W723="")*(INDEX(Setup!$M$6:$M$23,16)="Y"))+((Y723="")*(INDEX(Setup!$M$6:$M$23,16)="Y")))</f>
        <v/>
      </c>
      <c r="AC723" s="91">
        <f>IF($B723="","",IF(AB723=0,"✓ covered","⚠ "&amp;AB723&amp;IF(AB723=1," gap"," gaps")))</f>
        <v/>
      </c>
    </row>
    <row r="724" ht="17" customHeight="1">
      <c r="A724" t="n">
        <v>15</v>
      </c>
      <c r="B724" s="24">
        <f>IF(Setup!$K$22="","",Setup!$K$22)</f>
        <v/>
      </c>
      <c r="C724" s="88" t="n"/>
      <c r="D724" s="88" t="n"/>
      <c r="E724" s="88" t="n"/>
      <c r="F724" s="89" t="n"/>
      <c r="G724" s="88" t="n"/>
      <c r="H724" s="88" t="n"/>
      <c r="I724" s="88" t="n"/>
      <c r="J724" s="89" t="n"/>
      <c r="K724" s="88" t="n"/>
      <c r="L724" s="88" t="n"/>
      <c r="M724" s="88" t="n"/>
      <c r="N724" s="89" t="n"/>
      <c r="O724" s="88" t="n"/>
      <c r="P724" s="88" t="n"/>
      <c r="Q724" s="88" t="n"/>
      <c r="R724" s="89" t="n"/>
      <c r="S724" s="88" t="n"/>
      <c r="T724" s="88" t="n"/>
      <c r="U724" s="88" t="n"/>
      <c r="V724" s="89" t="n"/>
      <c r="W724" s="88" t="n"/>
      <c r="X724" s="89" t="n"/>
      <c r="Y724" s="88" t="n"/>
      <c r="Z724" s="89" t="n"/>
      <c r="AB724" s="25">
        <f>IF($B724="","",(COUNTIF(C724:E724,"?*")&lt;N(INDEX(Setup!$L$6:$L$23,17)))+(COUNTIF(G724:I724,"?*")&lt;N(INDEX(Setup!$L$6:$L$23,17)))+(COUNTIF(K724:M724,"?*")&lt;N(INDEX(Setup!$L$6:$L$23,17)))+(COUNTIF(O724:Q724,"?*")&lt;N(INDEX(Setup!$L$6:$L$23,17)))+(COUNTIF(S724:U724,"?*")&lt;N(INDEX(Setup!$L$6:$L$23,17)))+((W724="")*(INDEX(Setup!$M$6:$M$23,17)="Y"))+((Y724="")*(INDEX(Setup!$M$6:$M$23,17)="Y")))</f>
        <v/>
      </c>
      <c r="AC724" s="90">
        <f>IF($B724="","",IF(AB724=0,"✓ covered","⚠ "&amp;AB724&amp;IF(AB724=1," gap"," gaps")))</f>
        <v/>
      </c>
    </row>
    <row r="725" ht="17" customHeight="1">
      <c r="A725" t="n">
        <v>15</v>
      </c>
      <c r="B725" s="29">
        <f>IF(Setup!$K$23="","",Setup!$K$23)</f>
        <v/>
      </c>
      <c r="C725" s="88" t="n"/>
      <c r="D725" s="88" t="n"/>
      <c r="E725" s="88" t="n"/>
      <c r="F725" s="89" t="n"/>
      <c r="G725" s="88" t="n"/>
      <c r="H725" s="88" t="n"/>
      <c r="I725" s="88" t="n"/>
      <c r="J725" s="89" t="n"/>
      <c r="K725" s="88" t="n"/>
      <c r="L725" s="88" t="n"/>
      <c r="M725" s="88" t="n"/>
      <c r="N725" s="89" t="n"/>
      <c r="O725" s="88" t="n"/>
      <c r="P725" s="88" t="n"/>
      <c r="Q725" s="88" t="n"/>
      <c r="R725" s="89" t="n"/>
      <c r="S725" s="88" t="n"/>
      <c r="T725" s="88" t="n"/>
      <c r="U725" s="88" t="n"/>
      <c r="V725" s="89" t="n"/>
      <c r="W725" s="88" t="n"/>
      <c r="X725" s="89" t="n"/>
      <c r="Y725" s="88" t="n"/>
      <c r="Z725" s="89" t="n"/>
      <c r="AB725" s="30">
        <f>IF($B725="","",(COUNTIF(C725:E725,"?*")&lt;N(INDEX(Setup!$L$6:$L$23,18)))+(COUNTIF(G725:I725,"?*")&lt;N(INDEX(Setup!$L$6:$L$23,18)))+(COUNTIF(K725:M725,"?*")&lt;N(INDEX(Setup!$L$6:$L$23,18)))+(COUNTIF(O725:Q725,"?*")&lt;N(INDEX(Setup!$L$6:$L$23,18)))+(COUNTIF(S725:U725,"?*")&lt;N(INDEX(Setup!$L$6:$L$23,18)))+((W725="")*(INDEX(Setup!$M$6:$M$23,18)="Y"))+((Y725="")*(INDEX(Setup!$M$6:$M$23,18)="Y")))</f>
        <v/>
      </c>
      <c r="AC725" s="91">
        <f>IF($B725="","",IF(AB725=0,"✓ covered","⚠ "&amp;AB725&amp;IF(AB725=1," gap"," gaps")))</f>
        <v/>
      </c>
    </row>
    <row r="726" ht="18" customHeight="1">
      <c r="A726" t="n">
        <v>15</v>
      </c>
      <c r="B726" s="78" t="inlineStr">
        <is>
          <t>TEAM AVAILABILITY</t>
        </is>
      </c>
      <c r="C726" s="92" t="inlineStr">
        <is>
          <t>Mon</t>
        </is>
      </c>
      <c r="D726" s="93" t="n"/>
      <c r="E726" s="93" t="n"/>
      <c r="F726" s="94" t="n"/>
      <c r="G726" s="92" t="inlineStr">
        <is>
          <t>Tue</t>
        </is>
      </c>
      <c r="H726" s="93" t="n"/>
      <c r="I726" s="93" t="n"/>
      <c r="J726" s="94" t="n"/>
      <c r="K726" s="92" t="inlineStr">
        <is>
          <t>Wed</t>
        </is>
      </c>
      <c r="L726" s="93" t="n"/>
      <c r="M726" s="93" t="n"/>
      <c r="N726" s="94" t="n"/>
      <c r="O726" s="92" t="inlineStr">
        <is>
          <t>Thu</t>
        </is>
      </c>
      <c r="P726" s="93" t="n"/>
      <c r="Q726" s="93" t="n"/>
      <c r="R726" s="94" t="n"/>
      <c r="S726" s="92" t="inlineStr">
        <is>
          <t>Fri</t>
        </is>
      </c>
      <c r="T726" s="93" t="n"/>
      <c r="U726" s="93" t="n"/>
      <c r="V726" s="94" t="n"/>
      <c r="W726" s="95" t="inlineStr">
        <is>
          <t>Sat</t>
        </is>
      </c>
      <c r="X726" s="96" t="n"/>
      <c r="Y726" s="95" t="inlineStr">
        <is>
          <t>Sun</t>
        </is>
      </c>
      <c r="Z726" s="96" t="n"/>
      <c r="AB726" s="97" t="inlineStr">
        <is>
          <t>Days rostered</t>
        </is>
      </c>
      <c r="AC726" s="97" t="inlineStr">
        <is>
          <t>Conflicts</t>
        </is>
      </c>
    </row>
    <row r="727" ht="15" customHeight="1">
      <c r="A727" t="n">
        <v>15</v>
      </c>
      <c r="B727" s="35">
        <f>IF(Setup!$B$6="","",Setup!$B$6)</f>
        <v/>
      </c>
      <c r="C727" s="98" t="n"/>
      <c r="D727" s="99" t="n"/>
      <c r="E727" s="99" t="n"/>
      <c r="F727" s="100" t="n"/>
      <c r="G727" s="98" t="n"/>
      <c r="H727" s="99" t="n"/>
      <c r="I727" s="99" t="n"/>
      <c r="J727" s="100" t="n"/>
      <c r="K727" s="98" t="n"/>
      <c r="L727" s="99" t="n"/>
      <c r="M727" s="99" t="n"/>
      <c r="N727" s="100" t="n"/>
      <c r="O727" s="98" t="n"/>
      <c r="P727" s="99" t="n"/>
      <c r="Q727" s="99" t="n"/>
      <c r="R727" s="100" t="n"/>
      <c r="S727" s="98" t="n"/>
      <c r="T727" s="99" t="n"/>
      <c r="U727" s="99" t="n"/>
      <c r="V727" s="100" t="n"/>
      <c r="W727" s="98" t="n"/>
      <c r="X727" s="100" t="n"/>
      <c r="Y727" s="98" t="n"/>
      <c r="Z727" s="100" t="n"/>
      <c r="AB727" s="101">
        <f>IF($B727="","",(COUNTIF(C708:E725,$B727)+COUNTIF(C708:E725,$B727&amp;" ~*")&gt;0)+(COUNTIF(G708:I725,$B727)+COUNTIF(G708:I725,$B727&amp;" ~*")&gt;0)+(COUNTIF(K708:M725,$B727)+COUNTIF(K708:M725,$B727&amp;" ~*")&gt;0)+(COUNTIF(O708:Q725,$B727)+COUNTIF(O708:Q725,$B727&amp;" ~*")&gt;0)+(COUNTIF(S708:U725,$B727)+COUNTIF(S708:U725,$B727&amp;" ~*")&gt;0)+(COUNTIF(W708:W725,$B727)+COUNTIF(W708:W725,$B727&amp;" ~*")&gt;0)+(COUNTIF(Y708:Y725,$B727)+COUNTIF(Y708:Y725,$B727&amp;" ~*")&gt;0))</f>
        <v/>
      </c>
      <c r="AC727" s="36">
        <f>IF($B727="","",(IFERROR(INDEX(Setup!$G$33:$G$40,MATCH(C727,Setup!$B$33:$B$40,0)),0)=1)*(COUNTIF(C708:E725,$B727)+COUNTIF(C708:E725,$B727&amp;" ~*")&gt;0)+(IFERROR(INDEX(Setup!$G$33:$G$40,MATCH(G727,Setup!$B$33:$B$40,0)),0)=1)*(COUNTIF(G708:I725,$B727)+COUNTIF(G708:I725,$B727&amp;" ~*")&gt;0)+(IFERROR(INDEX(Setup!$G$33:$G$40,MATCH(K727,Setup!$B$33:$B$40,0)),0)=1)*(COUNTIF(K708:M725,$B727)+COUNTIF(K708:M725,$B727&amp;" ~*")&gt;0)+(IFERROR(INDEX(Setup!$G$33:$G$40,MATCH(O727,Setup!$B$33:$B$40,0)),0)=1)*(COUNTIF(O708:Q725,$B727)+COUNTIF(O708:Q725,$B727&amp;" ~*")&gt;0)+(IFERROR(INDEX(Setup!$G$33:$G$40,MATCH(S727,Setup!$B$33:$B$40,0)),0)=1)*(COUNTIF(S708:U725,$B727)+COUNTIF(S708:U725,$B727&amp;" ~*")&gt;0)+(IFERROR(INDEX(Setup!$G$33:$G$40,MATCH(W727,Setup!$B$33:$B$40,0)),0)=1)*(COUNTIF(W708:W725,$B727)+COUNTIF(W708:W725,$B727&amp;" ~*")&gt;0)+(IFERROR(INDEX(Setup!$G$33:$G$40,MATCH(Y727,Setup!$B$33:$B$40,0)),0)=1)*(COUNTIF(Y708:Y725,$B727)+COUNTIF(Y708:Y725,$B727&amp;" ~*")&gt;0))</f>
        <v/>
      </c>
    </row>
    <row r="728" ht="15" customHeight="1">
      <c r="A728" t="n">
        <v>15</v>
      </c>
      <c r="B728" s="37">
        <f>IF(Setup!$B$7="","",Setup!$B$7)</f>
        <v/>
      </c>
      <c r="C728" s="102" t="n"/>
      <c r="D728" s="103" t="n"/>
      <c r="E728" s="103" t="n"/>
      <c r="F728" s="104" t="n"/>
      <c r="G728" s="102" t="n"/>
      <c r="H728" s="103" t="n"/>
      <c r="I728" s="103" t="n"/>
      <c r="J728" s="104" t="n"/>
      <c r="K728" s="102" t="n"/>
      <c r="L728" s="103" t="n"/>
      <c r="M728" s="103" t="n"/>
      <c r="N728" s="104" t="n"/>
      <c r="O728" s="102" t="n"/>
      <c r="P728" s="103" t="n"/>
      <c r="Q728" s="103" t="n"/>
      <c r="R728" s="104" t="n"/>
      <c r="S728" s="102" t="n"/>
      <c r="T728" s="103" t="n"/>
      <c r="U728" s="103" t="n"/>
      <c r="V728" s="104" t="n"/>
      <c r="W728" s="102" t="n"/>
      <c r="X728" s="104" t="n"/>
      <c r="Y728" s="102" t="n"/>
      <c r="Z728" s="104" t="n"/>
      <c r="AB728" s="105">
        <f>IF($B728="","",(COUNTIF(C708:E725,$B728)+COUNTIF(C708:E725,$B728&amp;" ~*")&gt;0)+(COUNTIF(G708:I725,$B728)+COUNTIF(G708:I725,$B728&amp;" ~*")&gt;0)+(COUNTIF(K708:M725,$B728)+COUNTIF(K708:M725,$B728&amp;" ~*")&gt;0)+(COUNTIF(O708:Q725,$B728)+COUNTIF(O708:Q725,$B728&amp;" ~*")&gt;0)+(COUNTIF(S708:U725,$B728)+COUNTIF(S708:U725,$B728&amp;" ~*")&gt;0)+(COUNTIF(W708:W725,$B728)+COUNTIF(W708:W725,$B728&amp;" ~*")&gt;0)+(COUNTIF(Y708:Y725,$B728)+COUNTIF(Y708:Y725,$B728&amp;" ~*")&gt;0))</f>
        <v/>
      </c>
      <c r="AC728" s="38">
        <f>IF($B728="","",(IFERROR(INDEX(Setup!$G$33:$G$40,MATCH(C728,Setup!$B$33:$B$40,0)),0)=1)*(COUNTIF(C708:E725,$B728)+COUNTIF(C708:E725,$B728&amp;" ~*")&gt;0)+(IFERROR(INDEX(Setup!$G$33:$G$40,MATCH(G728,Setup!$B$33:$B$40,0)),0)=1)*(COUNTIF(G708:I725,$B728)+COUNTIF(G708:I725,$B728&amp;" ~*")&gt;0)+(IFERROR(INDEX(Setup!$G$33:$G$40,MATCH(K728,Setup!$B$33:$B$40,0)),0)=1)*(COUNTIF(K708:M725,$B728)+COUNTIF(K708:M725,$B728&amp;" ~*")&gt;0)+(IFERROR(INDEX(Setup!$G$33:$G$40,MATCH(O728,Setup!$B$33:$B$40,0)),0)=1)*(COUNTIF(O708:Q725,$B728)+COUNTIF(O708:Q725,$B728&amp;" ~*")&gt;0)+(IFERROR(INDEX(Setup!$G$33:$G$40,MATCH(S728,Setup!$B$33:$B$40,0)),0)=1)*(COUNTIF(S708:U725,$B728)+COUNTIF(S708:U725,$B728&amp;" ~*")&gt;0)+(IFERROR(INDEX(Setup!$G$33:$G$40,MATCH(W728,Setup!$B$33:$B$40,0)),0)=1)*(COUNTIF(W708:W725,$B728)+COUNTIF(W708:W725,$B728&amp;" ~*")&gt;0)+(IFERROR(INDEX(Setup!$G$33:$G$40,MATCH(Y728,Setup!$B$33:$B$40,0)),0)=1)*(COUNTIF(Y708:Y725,$B728)+COUNTIF(Y708:Y725,$B728&amp;" ~*")&gt;0))</f>
        <v/>
      </c>
    </row>
    <row r="729" ht="15" customHeight="1">
      <c r="A729" t="n">
        <v>15</v>
      </c>
      <c r="B729" s="35">
        <f>IF(Setup!$B$8="","",Setup!$B$8)</f>
        <v/>
      </c>
      <c r="C729" s="98" t="n"/>
      <c r="D729" s="99" t="n"/>
      <c r="E729" s="99" t="n"/>
      <c r="F729" s="100" t="n"/>
      <c r="G729" s="98" t="n"/>
      <c r="H729" s="99" t="n"/>
      <c r="I729" s="99" t="n"/>
      <c r="J729" s="100" t="n"/>
      <c r="K729" s="98" t="n"/>
      <c r="L729" s="99" t="n"/>
      <c r="M729" s="99" t="n"/>
      <c r="N729" s="100" t="n"/>
      <c r="O729" s="98" t="n"/>
      <c r="P729" s="99" t="n"/>
      <c r="Q729" s="99" t="n"/>
      <c r="R729" s="100" t="n"/>
      <c r="S729" s="98" t="n"/>
      <c r="T729" s="99" t="n"/>
      <c r="U729" s="99" t="n"/>
      <c r="V729" s="100" t="n"/>
      <c r="W729" s="98" t="n"/>
      <c r="X729" s="100" t="n"/>
      <c r="Y729" s="98" t="n"/>
      <c r="Z729" s="100" t="n"/>
      <c r="AB729" s="101">
        <f>IF($B729="","",(COUNTIF(C708:E725,$B729)+COUNTIF(C708:E725,$B729&amp;" ~*")&gt;0)+(COUNTIF(G708:I725,$B729)+COUNTIF(G708:I725,$B729&amp;" ~*")&gt;0)+(COUNTIF(K708:M725,$B729)+COUNTIF(K708:M725,$B729&amp;" ~*")&gt;0)+(COUNTIF(O708:Q725,$B729)+COUNTIF(O708:Q725,$B729&amp;" ~*")&gt;0)+(COUNTIF(S708:U725,$B729)+COUNTIF(S708:U725,$B729&amp;" ~*")&gt;0)+(COUNTIF(W708:W725,$B729)+COUNTIF(W708:W725,$B729&amp;" ~*")&gt;0)+(COUNTIF(Y708:Y725,$B729)+COUNTIF(Y708:Y725,$B729&amp;" ~*")&gt;0))</f>
        <v/>
      </c>
      <c r="AC729" s="36">
        <f>IF($B729="","",(IFERROR(INDEX(Setup!$G$33:$G$40,MATCH(C729,Setup!$B$33:$B$40,0)),0)=1)*(COUNTIF(C708:E725,$B729)+COUNTIF(C708:E725,$B729&amp;" ~*")&gt;0)+(IFERROR(INDEX(Setup!$G$33:$G$40,MATCH(G729,Setup!$B$33:$B$40,0)),0)=1)*(COUNTIF(G708:I725,$B729)+COUNTIF(G708:I725,$B729&amp;" ~*")&gt;0)+(IFERROR(INDEX(Setup!$G$33:$G$40,MATCH(K729,Setup!$B$33:$B$40,0)),0)=1)*(COUNTIF(K708:M725,$B729)+COUNTIF(K708:M725,$B729&amp;" ~*")&gt;0)+(IFERROR(INDEX(Setup!$G$33:$G$40,MATCH(O729,Setup!$B$33:$B$40,0)),0)=1)*(COUNTIF(O708:Q725,$B729)+COUNTIF(O708:Q725,$B729&amp;" ~*")&gt;0)+(IFERROR(INDEX(Setup!$G$33:$G$40,MATCH(S729,Setup!$B$33:$B$40,0)),0)=1)*(COUNTIF(S708:U725,$B729)+COUNTIF(S708:U725,$B729&amp;" ~*")&gt;0)+(IFERROR(INDEX(Setup!$G$33:$G$40,MATCH(W729,Setup!$B$33:$B$40,0)),0)=1)*(COUNTIF(W708:W725,$B729)+COUNTIF(W708:W725,$B729&amp;" ~*")&gt;0)+(IFERROR(INDEX(Setup!$G$33:$G$40,MATCH(Y729,Setup!$B$33:$B$40,0)),0)=1)*(COUNTIF(Y708:Y725,$B729)+COUNTIF(Y708:Y725,$B729&amp;" ~*")&gt;0))</f>
        <v/>
      </c>
    </row>
    <row r="730" ht="15" customHeight="1">
      <c r="A730" t="n">
        <v>15</v>
      </c>
      <c r="B730" s="37">
        <f>IF(Setup!$B$9="","",Setup!$B$9)</f>
        <v/>
      </c>
      <c r="C730" s="102" t="n"/>
      <c r="D730" s="103" t="n"/>
      <c r="E730" s="103" t="n"/>
      <c r="F730" s="104" t="n"/>
      <c r="G730" s="102" t="n"/>
      <c r="H730" s="103" t="n"/>
      <c r="I730" s="103" t="n"/>
      <c r="J730" s="104" t="n"/>
      <c r="K730" s="102" t="n"/>
      <c r="L730" s="103" t="n"/>
      <c r="M730" s="103" t="n"/>
      <c r="N730" s="104" t="n"/>
      <c r="O730" s="102" t="n"/>
      <c r="P730" s="103" t="n"/>
      <c r="Q730" s="103" t="n"/>
      <c r="R730" s="104" t="n"/>
      <c r="S730" s="102" t="n"/>
      <c r="T730" s="103" t="n"/>
      <c r="U730" s="103" t="n"/>
      <c r="V730" s="104" t="n"/>
      <c r="W730" s="102" t="n"/>
      <c r="X730" s="104" t="n"/>
      <c r="Y730" s="102" t="n"/>
      <c r="Z730" s="104" t="n"/>
      <c r="AB730" s="105">
        <f>IF($B730="","",(COUNTIF(C708:E725,$B730)+COUNTIF(C708:E725,$B730&amp;" ~*")&gt;0)+(COUNTIF(G708:I725,$B730)+COUNTIF(G708:I725,$B730&amp;" ~*")&gt;0)+(COUNTIF(K708:M725,$B730)+COUNTIF(K708:M725,$B730&amp;" ~*")&gt;0)+(COUNTIF(O708:Q725,$B730)+COUNTIF(O708:Q725,$B730&amp;" ~*")&gt;0)+(COUNTIF(S708:U725,$B730)+COUNTIF(S708:U725,$B730&amp;" ~*")&gt;0)+(COUNTIF(W708:W725,$B730)+COUNTIF(W708:W725,$B730&amp;" ~*")&gt;0)+(COUNTIF(Y708:Y725,$B730)+COUNTIF(Y708:Y725,$B730&amp;" ~*")&gt;0))</f>
        <v/>
      </c>
      <c r="AC730" s="38">
        <f>IF($B730="","",(IFERROR(INDEX(Setup!$G$33:$G$40,MATCH(C730,Setup!$B$33:$B$40,0)),0)=1)*(COUNTIF(C708:E725,$B730)+COUNTIF(C708:E725,$B730&amp;" ~*")&gt;0)+(IFERROR(INDEX(Setup!$G$33:$G$40,MATCH(G730,Setup!$B$33:$B$40,0)),0)=1)*(COUNTIF(G708:I725,$B730)+COUNTIF(G708:I725,$B730&amp;" ~*")&gt;0)+(IFERROR(INDEX(Setup!$G$33:$G$40,MATCH(K730,Setup!$B$33:$B$40,0)),0)=1)*(COUNTIF(K708:M725,$B730)+COUNTIF(K708:M725,$B730&amp;" ~*")&gt;0)+(IFERROR(INDEX(Setup!$G$33:$G$40,MATCH(O730,Setup!$B$33:$B$40,0)),0)=1)*(COUNTIF(O708:Q725,$B730)+COUNTIF(O708:Q725,$B730&amp;" ~*")&gt;0)+(IFERROR(INDEX(Setup!$G$33:$G$40,MATCH(S730,Setup!$B$33:$B$40,0)),0)=1)*(COUNTIF(S708:U725,$B730)+COUNTIF(S708:U725,$B730&amp;" ~*")&gt;0)+(IFERROR(INDEX(Setup!$G$33:$G$40,MATCH(W730,Setup!$B$33:$B$40,0)),0)=1)*(COUNTIF(W708:W725,$B730)+COUNTIF(W708:W725,$B730&amp;" ~*")&gt;0)+(IFERROR(INDEX(Setup!$G$33:$G$40,MATCH(Y730,Setup!$B$33:$B$40,0)),0)=1)*(COUNTIF(Y708:Y725,$B730)+COUNTIF(Y708:Y725,$B730&amp;" ~*")&gt;0))</f>
        <v/>
      </c>
    </row>
    <row r="731" ht="15" customHeight="1">
      <c r="A731" t="n">
        <v>15</v>
      </c>
      <c r="B731" s="35">
        <f>IF(Setup!$B$10="","",Setup!$B$10)</f>
        <v/>
      </c>
      <c r="C731" s="98" t="n"/>
      <c r="D731" s="99" t="n"/>
      <c r="E731" s="99" t="n"/>
      <c r="F731" s="100" t="n"/>
      <c r="G731" s="98" t="n"/>
      <c r="H731" s="99" t="n"/>
      <c r="I731" s="99" t="n"/>
      <c r="J731" s="100" t="n"/>
      <c r="K731" s="98" t="n"/>
      <c r="L731" s="99" t="n"/>
      <c r="M731" s="99" t="n"/>
      <c r="N731" s="100" t="n"/>
      <c r="O731" s="98" t="n"/>
      <c r="P731" s="99" t="n"/>
      <c r="Q731" s="99" t="n"/>
      <c r="R731" s="100" t="n"/>
      <c r="S731" s="98" t="n"/>
      <c r="T731" s="99" t="n"/>
      <c r="U731" s="99" t="n"/>
      <c r="V731" s="100" t="n"/>
      <c r="W731" s="98" t="n"/>
      <c r="X731" s="100" t="n"/>
      <c r="Y731" s="98" t="n"/>
      <c r="Z731" s="100" t="n"/>
      <c r="AB731" s="101">
        <f>IF($B731="","",(COUNTIF(C708:E725,$B731)+COUNTIF(C708:E725,$B731&amp;" ~*")&gt;0)+(COUNTIF(G708:I725,$B731)+COUNTIF(G708:I725,$B731&amp;" ~*")&gt;0)+(COUNTIF(K708:M725,$B731)+COUNTIF(K708:M725,$B731&amp;" ~*")&gt;0)+(COUNTIF(O708:Q725,$B731)+COUNTIF(O708:Q725,$B731&amp;" ~*")&gt;0)+(COUNTIF(S708:U725,$B731)+COUNTIF(S708:U725,$B731&amp;" ~*")&gt;0)+(COUNTIF(W708:W725,$B731)+COUNTIF(W708:W725,$B731&amp;" ~*")&gt;0)+(COUNTIF(Y708:Y725,$B731)+COUNTIF(Y708:Y725,$B731&amp;" ~*")&gt;0))</f>
        <v/>
      </c>
      <c r="AC731" s="36">
        <f>IF($B731="","",(IFERROR(INDEX(Setup!$G$33:$G$40,MATCH(C731,Setup!$B$33:$B$40,0)),0)=1)*(COUNTIF(C708:E725,$B731)+COUNTIF(C708:E725,$B731&amp;" ~*")&gt;0)+(IFERROR(INDEX(Setup!$G$33:$G$40,MATCH(G731,Setup!$B$33:$B$40,0)),0)=1)*(COUNTIF(G708:I725,$B731)+COUNTIF(G708:I725,$B731&amp;" ~*")&gt;0)+(IFERROR(INDEX(Setup!$G$33:$G$40,MATCH(K731,Setup!$B$33:$B$40,0)),0)=1)*(COUNTIF(K708:M725,$B731)+COUNTIF(K708:M725,$B731&amp;" ~*")&gt;0)+(IFERROR(INDEX(Setup!$G$33:$G$40,MATCH(O731,Setup!$B$33:$B$40,0)),0)=1)*(COUNTIF(O708:Q725,$B731)+COUNTIF(O708:Q725,$B731&amp;" ~*")&gt;0)+(IFERROR(INDEX(Setup!$G$33:$G$40,MATCH(S731,Setup!$B$33:$B$40,0)),0)=1)*(COUNTIF(S708:U725,$B731)+COUNTIF(S708:U725,$B731&amp;" ~*")&gt;0)+(IFERROR(INDEX(Setup!$G$33:$G$40,MATCH(W731,Setup!$B$33:$B$40,0)),0)=1)*(COUNTIF(W708:W725,$B731)+COUNTIF(W708:W725,$B731&amp;" ~*")&gt;0)+(IFERROR(INDEX(Setup!$G$33:$G$40,MATCH(Y731,Setup!$B$33:$B$40,0)),0)=1)*(COUNTIF(Y708:Y725,$B731)+COUNTIF(Y708:Y725,$B731&amp;" ~*")&gt;0))</f>
        <v/>
      </c>
    </row>
    <row r="732" ht="15" customHeight="1">
      <c r="A732" t="n">
        <v>15</v>
      </c>
      <c r="B732" s="37">
        <f>IF(Setup!$B$11="","",Setup!$B$11)</f>
        <v/>
      </c>
      <c r="C732" s="102" t="n"/>
      <c r="D732" s="103" t="n"/>
      <c r="E732" s="103" t="n"/>
      <c r="F732" s="104" t="n"/>
      <c r="G732" s="102" t="n"/>
      <c r="H732" s="103" t="n"/>
      <c r="I732" s="103" t="n"/>
      <c r="J732" s="104" t="n"/>
      <c r="K732" s="102" t="n"/>
      <c r="L732" s="103" t="n"/>
      <c r="M732" s="103" t="n"/>
      <c r="N732" s="104" t="n"/>
      <c r="O732" s="102" t="n"/>
      <c r="P732" s="103" t="n"/>
      <c r="Q732" s="103" t="n"/>
      <c r="R732" s="104" t="n"/>
      <c r="S732" s="102" t="n"/>
      <c r="T732" s="103" t="n"/>
      <c r="U732" s="103" t="n"/>
      <c r="V732" s="104" t="n"/>
      <c r="W732" s="102" t="n"/>
      <c r="X732" s="104" t="n"/>
      <c r="Y732" s="102" t="n"/>
      <c r="Z732" s="104" t="n"/>
      <c r="AB732" s="105">
        <f>IF($B732="","",(COUNTIF(C708:E725,$B732)+COUNTIF(C708:E725,$B732&amp;" ~*")&gt;0)+(COUNTIF(G708:I725,$B732)+COUNTIF(G708:I725,$B732&amp;" ~*")&gt;0)+(COUNTIF(K708:M725,$B732)+COUNTIF(K708:M725,$B732&amp;" ~*")&gt;0)+(COUNTIF(O708:Q725,$B732)+COUNTIF(O708:Q725,$B732&amp;" ~*")&gt;0)+(COUNTIF(S708:U725,$B732)+COUNTIF(S708:U725,$B732&amp;" ~*")&gt;0)+(COUNTIF(W708:W725,$B732)+COUNTIF(W708:W725,$B732&amp;" ~*")&gt;0)+(COUNTIF(Y708:Y725,$B732)+COUNTIF(Y708:Y725,$B732&amp;" ~*")&gt;0))</f>
        <v/>
      </c>
      <c r="AC732" s="38">
        <f>IF($B732="","",(IFERROR(INDEX(Setup!$G$33:$G$40,MATCH(C732,Setup!$B$33:$B$40,0)),0)=1)*(COUNTIF(C708:E725,$B732)+COUNTIF(C708:E725,$B732&amp;" ~*")&gt;0)+(IFERROR(INDEX(Setup!$G$33:$G$40,MATCH(G732,Setup!$B$33:$B$40,0)),0)=1)*(COUNTIF(G708:I725,$B732)+COUNTIF(G708:I725,$B732&amp;" ~*")&gt;0)+(IFERROR(INDEX(Setup!$G$33:$G$40,MATCH(K732,Setup!$B$33:$B$40,0)),0)=1)*(COUNTIF(K708:M725,$B732)+COUNTIF(K708:M725,$B732&amp;" ~*")&gt;0)+(IFERROR(INDEX(Setup!$G$33:$G$40,MATCH(O732,Setup!$B$33:$B$40,0)),0)=1)*(COUNTIF(O708:Q725,$B732)+COUNTIF(O708:Q725,$B732&amp;" ~*")&gt;0)+(IFERROR(INDEX(Setup!$G$33:$G$40,MATCH(S732,Setup!$B$33:$B$40,0)),0)=1)*(COUNTIF(S708:U725,$B732)+COUNTIF(S708:U725,$B732&amp;" ~*")&gt;0)+(IFERROR(INDEX(Setup!$G$33:$G$40,MATCH(W732,Setup!$B$33:$B$40,0)),0)=1)*(COUNTIF(W708:W725,$B732)+COUNTIF(W708:W725,$B732&amp;" ~*")&gt;0)+(IFERROR(INDEX(Setup!$G$33:$G$40,MATCH(Y732,Setup!$B$33:$B$40,0)),0)=1)*(COUNTIF(Y708:Y725,$B732)+COUNTIF(Y708:Y725,$B732&amp;" ~*")&gt;0))</f>
        <v/>
      </c>
    </row>
    <row r="733" ht="15" customHeight="1">
      <c r="A733" t="n">
        <v>15</v>
      </c>
      <c r="B733" s="35">
        <f>IF(Setup!$B$12="","",Setup!$B$12)</f>
        <v/>
      </c>
      <c r="C733" s="98" t="n"/>
      <c r="D733" s="99" t="n"/>
      <c r="E733" s="99" t="n"/>
      <c r="F733" s="100" t="n"/>
      <c r="G733" s="98" t="n"/>
      <c r="H733" s="99" t="n"/>
      <c r="I733" s="99" t="n"/>
      <c r="J733" s="100" t="n"/>
      <c r="K733" s="98" t="n"/>
      <c r="L733" s="99" t="n"/>
      <c r="M733" s="99" t="n"/>
      <c r="N733" s="100" t="n"/>
      <c r="O733" s="98" t="n"/>
      <c r="P733" s="99" t="n"/>
      <c r="Q733" s="99" t="n"/>
      <c r="R733" s="100" t="n"/>
      <c r="S733" s="98" t="n"/>
      <c r="T733" s="99" t="n"/>
      <c r="U733" s="99" t="n"/>
      <c r="V733" s="100" t="n"/>
      <c r="W733" s="98" t="n"/>
      <c r="X733" s="100" t="n"/>
      <c r="Y733" s="98" t="n"/>
      <c r="Z733" s="100" t="n"/>
      <c r="AB733" s="101">
        <f>IF($B733="","",(COUNTIF(C708:E725,$B733)+COUNTIF(C708:E725,$B733&amp;" ~*")&gt;0)+(COUNTIF(G708:I725,$B733)+COUNTIF(G708:I725,$B733&amp;" ~*")&gt;0)+(COUNTIF(K708:M725,$B733)+COUNTIF(K708:M725,$B733&amp;" ~*")&gt;0)+(COUNTIF(O708:Q725,$B733)+COUNTIF(O708:Q725,$B733&amp;" ~*")&gt;0)+(COUNTIF(S708:U725,$B733)+COUNTIF(S708:U725,$B733&amp;" ~*")&gt;0)+(COUNTIF(W708:W725,$B733)+COUNTIF(W708:W725,$B733&amp;" ~*")&gt;0)+(COUNTIF(Y708:Y725,$B733)+COUNTIF(Y708:Y725,$B733&amp;" ~*")&gt;0))</f>
        <v/>
      </c>
      <c r="AC733" s="36">
        <f>IF($B733="","",(IFERROR(INDEX(Setup!$G$33:$G$40,MATCH(C733,Setup!$B$33:$B$40,0)),0)=1)*(COUNTIF(C708:E725,$B733)+COUNTIF(C708:E725,$B733&amp;" ~*")&gt;0)+(IFERROR(INDEX(Setup!$G$33:$G$40,MATCH(G733,Setup!$B$33:$B$40,0)),0)=1)*(COUNTIF(G708:I725,$B733)+COUNTIF(G708:I725,$B733&amp;" ~*")&gt;0)+(IFERROR(INDEX(Setup!$G$33:$G$40,MATCH(K733,Setup!$B$33:$B$40,0)),0)=1)*(COUNTIF(K708:M725,$B733)+COUNTIF(K708:M725,$B733&amp;" ~*")&gt;0)+(IFERROR(INDEX(Setup!$G$33:$G$40,MATCH(O733,Setup!$B$33:$B$40,0)),0)=1)*(COUNTIF(O708:Q725,$B733)+COUNTIF(O708:Q725,$B733&amp;" ~*")&gt;0)+(IFERROR(INDEX(Setup!$G$33:$G$40,MATCH(S733,Setup!$B$33:$B$40,0)),0)=1)*(COUNTIF(S708:U725,$B733)+COUNTIF(S708:U725,$B733&amp;" ~*")&gt;0)+(IFERROR(INDEX(Setup!$G$33:$G$40,MATCH(W733,Setup!$B$33:$B$40,0)),0)=1)*(COUNTIF(W708:W725,$B733)+COUNTIF(W708:W725,$B733&amp;" ~*")&gt;0)+(IFERROR(INDEX(Setup!$G$33:$G$40,MATCH(Y733,Setup!$B$33:$B$40,0)),0)=1)*(COUNTIF(Y708:Y725,$B733)+COUNTIF(Y708:Y725,$B733&amp;" ~*")&gt;0))</f>
        <v/>
      </c>
    </row>
    <row r="734" ht="15" customHeight="1">
      <c r="A734" t="n">
        <v>15</v>
      </c>
      <c r="B734" s="37">
        <f>IF(Setup!$B$13="","",Setup!$B$13)</f>
        <v/>
      </c>
      <c r="C734" s="102" t="n"/>
      <c r="D734" s="103" t="n"/>
      <c r="E734" s="103" t="n"/>
      <c r="F734" s="104" t="n"/>
      <c r="G734" s="102" t="n"/>
      <c r="H734" s="103" t="n"/>
      <c r="I734" s="103" t="n"/>
      <c r="J734" s="104" t="n"/>
      <c r="K734" s="102" t="n"/>
      <c r="L734" s="103" t="n"/>
      <c r="M734" s="103" t="n"/>
      <c r="N734" s="104" t="n"/>
      <c r="O734" s="102" t="n"/>
      <c r="P734" s="103" t="n"/>
      <c r="Q734" s="103" t="n"/>
      <c r="R734" s="104" t="n"/>
      <c r="S734" s="102" t="n"/>
      <c r="T734" s="103" t="n"/>
      <c r="U734" s="103" t="n"/>
      <c r="V734" s="104" t="n"/>
      <c r="W734" s="102" t="n"/>
      <c r="X734" s="104" t="n"/>
      <c r="Y734" s="102" t="n"/>
      <c r="Z734" s="104" t="n"/>
      <c r="AB734" s="105">
        <f>IF($B734="","",(COUNTIF(C708:E725,$B734)+COUNTIF(C708:E725,$B734&amp;" ~*")&gt;0)+(COUNTIF(G708:I725,$B734)+COUNTIF(G708:I725,$B734&amp;" ~*")&gt;0)+(COUNTIF(K708:M725,$B734)+COUNTIF(K708:M725,$B734&amp;" ~*")&gt;0)+(COUNTIF(O708:Q725,$B734)+COUNTIF(O708:Q725,$B734&amp;" ~*")&gt;0)+(COUNTIF(S708:U725,$B734)+COUNTIF(S708:U725,$B734&amp;" ~*")&gt;0)+(COUNTIF(W708:W725,$B734)+COUNTIF(W708:W725,$B734&amp;" ~*")&gt;0)+(COUNTIF(Y708:Y725,$B734)+COUNTIF(Y708:Y725,$B734&amp;" ~*")&gt;0))</f>
        <v/>
      </c>
      <c r="AC734" s="38">
        <f>IF($B734="","",(IFERROR(INDEX(Setup!$G$33:$G$40,MATCH(C734,Setup!$B$33:$B$40,0)),0)=1)*(COUNTIF(C708:E725,$B734)+COUNTIF(C708:E725,$B734&amp;" ~*")&gt;0)+(IFERROR(INDEX(Setup!$G$33:$G$40,MATCH(G734,Setup!$B$33:$B$40,0)),0)=1)*(COUNTIF(G708:I725,$B734)+COUNTIF(G708:I725,$B734&amp;" ~*")&gt;0)+(IFERROR(INDEX(Setup!$G$33:$G$40,MATCH(K734,Setup!$B$33:$B$40,0)),0)=1)*(COUNTIF(K708:M725,$B734)+COUNTIF(K708:M725,$B734&amp;" ~*")&gt;0)+(IFERROR(INDEX(Setup!$G$33:$G$40,MATCH(O734,Setup!$B$33:$B$40,0)),0)=1)*(COUNTIF(O708:Q725,$B734)+COUNTIF(O708:Q725,$B734&amp;" ~*")&gt;0)+(IFERROR(INDEX(Setup!$G$33:$G$40,MATCH(S734,Setup!$B$33:$B$40,0)),0)=1)*(COUNTIF(S708:U725,$B734)+COUNTIF(S708:U725,$B734&amp;" ~*")&gt;0)+(IFERROR(INDEX(Setup!$G$33:$G$40,MATCH(W734,Setup!$B$33:$B$40,0)),0)=1)*(COUNTIF(W708:W725,$B734)+COUNTIF(W708:W725,$B734&amp;" ~*")&gt;0)+(IFERROR(INDEX(Setup!$G$33:$G$40,MATCH(Y734,Setup!$B$33:$B$40,0)),0)=1)*(COUNTIF(Y708:Y725,$B734)+COUNTIF(Y708:Y725,$B734&amp;" ~*")&gt;0))</f>
        <v/>
      </c>
    </row>
    <row r="735" ht="15" customHeight="1">
      <c r="A735" t="n">
        <v>15</v>
      </c>
      <c r="B735" s="35">
        <f>IF(Setup!$B$14="","",Setup!$B$14)</f>
        <v/>
      </c>
      <c r="C735" s="98" t="n"/>
      <c r="D735" s="99" t="n"/>
      <c r="E735" s="99" t="n"/>
      <c r="F735" s="100" t="n"/>
      <c r="G735" s="98" t="n"/>
      <c r="H735" s="99" t="n"/>
      <c r="I735" s="99" t="n"/>
      <c r="J735" s="100" t="n"/>
      <c r="K735" s="98" t="n"/>
      <c r="L735" s="99" t="n"/>
      <c r="M735" s="99" t="n"/>
      <c r="N735" s="100" t="n"/>
      <c r="O735" s="98" t="n"/>
      <c r="P735" s="99" t="n"/>
      <c r="Q735" s="99" t="n"/>
      <c r="R735" s="100" t="n"/>
      <c r="S735" s="98" t="n"/>
      <c r="T735" s="99" t="n"/>
      <c r="U735" s="99" t="n"/>
      <c r="V735" s="100" t="n"/>
      <c r="W735" s="98" t="n"/>
      <c r="X735" s="100" t="n"/>
      <c r="Y735" s="98" t="n"/>
      <c r="Z735" s="100" t="n"/>
      <c r="AB735" s="101">
        <f>IF($B735="","",(COUNTIF(C708:E725,$B735)+COUNTIF(C708:E725,$B735&amp;" ~*")&gt;0)+(COUNTIF(G708:I725,$B735)+COUNTIF(G708:I725,$B735&amp;" ~*")&gt;0)+(COUNTIF(K708:M725,$B735)+COUNTIF(K708:M725,$B735&amp;" ~*")&gt;0)+(COUNTIF(O708:Q725,$B735)+COUNTIF(O708:Q725,$B735&amp;" ~*")&gt;0)+(COUNTIF(S708:U725,$B735)+COUNTIF(S708:U725,$B735&amp;" ~*")&gt;0)+(COUNTIF(W708:W725,$B735)+COUNTIF(W708:W725,$B735&amp;" ~*")&gt;0)+(COUNTIF(Y708:Y725,$B735)+COUNTIF(Y708:Y725,$B735&amp;" ~*")&gt;0))</f>
        <v/>
      </c>
      <c r="AC735" s="36">
        <f>IF($B735="","",(IFERROR(INDEX(Setup!$G$33:$G$40,MATCH(C735,Setup!$B$33:$B$40,0)),0)=1)*(COUNTIF(C708:E725,$B735)+COUNTIF(C708:E725,$B735&amp;" ~*")&gt;0)+(IFERROR(INDEX(Setup!$G$33:$G$40,MATCH(G735,Setup!$B$33:$B$40,0)),0)=1)*(COUNTIF(G708:I725,$B735)+COUNTIF(G708:I725,$B735&amp;" ~*")&gt;0)+(IFERROR(INDEX(Setup!$G$33:$G$40,MATCH(K735,Setup!$B$33:$B$40,0)),0)=1)*(COUNTIF(K708:M725,$B735)+COUNTIF(K708:M725,$B735&amp;" ~*")&gt;0)+(IFERROR(INDEX(Setup!$G$33:$G$40,MATCH(O735,Setup!$B$33:$B$40,0)),0)=1)*(COUNTIF(O708:Q725,$B735)+COUNTIF(O708:Q725,$B735&amp;" ~*")&gt;0)+(IFERROR(INDEX(Setup!$G$33:$G$40,MATCH(S735,Setup!$B$33:$B$40,0)),0)=1)*(COUNTIF(S708:U725,$B735)+COUNTIF(S708:U725,$B735&amp;" ~*")&gt;0)+(IFERROR(INDEX(Setup!$G$33:$G$40,MATCH(W735,Setup!$B$33:$B$40,0)),0)=1)*(COUNTIF(W708:W725,$B735)+COUNTIF(W708:W725,$B735&amp;" ~*")&gt;0)+(IFERROR(INDEX(Setup!$G$33:$G$40,MATCH(Y735,Setup!$B$33:$B$40,0)),0)=1)*(COUNTIF(Y708:Y725,$B735)+COUNTIF(Y708:Y725,$B735&amp;" ~*")&gt;0))</f>
        <v/>
      </c>
    </row>
    <row r="736" ht="15" customHeight="1">
      <c r="A736" t="n">
        <v>15</v>
      </c>
      <c r="B736" s="37">
        <f>IF(Setup!$B$15="","",Setup!$B$15)</f>
        <v/>
      </c>
      <c r="C736" s="102" t="n"/>
      <c r="D736" s="103" t="n"/>
      <c r="E736" s="103" t="n"/>
      <c r="F736" s="104" t="n"/>
      <c r="G736" s="102" t="n"/>
      <c r="H736" s="103" t="n"/>
      <c r="I736" s="103" t="n"/>
      <c r="J736" s="104" t="n"/>
      <c r="K736" s="102" t="n"/>
      <c r="L736" s="103" t="n"/>
      <c r="M736" s="103" t="n"/>
      <c r="N736" s="104" t="n"/>
      <c r="O736" s="102" t="n"/>
      <c r="P736" s="103" t="n"/>
      <c r="Q736" s="103" t="n"/>
      <c r="R736" s="104" t="n"/>
      <c r="S736" s="102" t="n"/>
      <c r="T736" s="103" t="n"/>
      <c r="U736" s="103" t="n"/>
      <c r="V736" s="104" t="n"/>
      <c r="W736" s="102" t="n"/>
      <c r="X736" s="104" t="n"/>
      <c r="Y736" s="102" t="n"/>
      <c r="Z736" s="104" t="n"/>
      <c r="AB736" s="105">
        <f>IF($B736="","",(COUNTIF(C708:E725,$B736)+COUNTIF(C708:E725,$B736&amp;" ~*")&gt;0)+(COUNTIF(G708:I725,$B736)+COUNTIF(G708:I725,$B736&amp;" ~*")&gt;0)+(COUNTIF(K708:M725,$B736)+COUNTIF(K708:M725,$B736&amp;" ~*")&gt;0)+(COUNTIF(O708:Q725,$B736)+COUNTIF(O708:Q725,$B736&amp;" ~*")&gt;0)+(COUNTIF(S708:U725,$B736)+COUNTIF(S708:U725,$B736&amp;" ~*")&gt;0)+(COUNTIF(W708:W725,$B736)+COUNTIF(W708:W725,$B736&amp;" ~*")&gt;0)+(COUNTIF(Y708:Y725,$B736)+COUNTIF(Y708:Y725,$B736&amp;" ~*")&gt;0))</f>
        <v/>
      </c>
      <c r="AC736" s="38">
        <f>IF($B736="","",(IFERROR(INDEX(Setup!$G$33:$G$40,MATCH(C736,Setup!$B$33:$B$40,0)),0)=1)*(COUNTIF(C708:E725,$B736)+COUNTIF(C708:E725,$B736&amp;" ~*")&gt;0)+(IFERROR(INDEX(Setup!$G$33:$G$40,MATCH(G736,Setup!$B$33:$B$40,0)),0)=1)*(COUNTIF(G708:I725,$B736)+COUNTIF(G708:I725,$B736&amp;" ~*")&gt;0)+(IFERROR(INDEX(Setup!$G$33:$G$40,MATCH(K736,Setup!$B$33:$B$40,0)),0)=1)*(COUNTIF(K708:M725,$B736)+COUNTIF(K708:M725,$B736&amp;" ~*")&gt;0)+(IFERROR(INDEX(Setup!$G$33:$G$40,MATCH(O736,Setup!$B$33:$B$40,0)),0)=1)*(COUNTIF(O708:Q725,$B736)+COUNTIF(O708:Q725,$B736&amp;" ~*")&gt;0)+(IFERROR(INDEX(Setup!$G$33:$G$40,MATCH(S736,Setup!$B$33:$B$40,0)),0)=1)*(COUNTIF(S708:U725,$B736)+COUNTIF(S708:U725,$B736&amp;" ~*")&gt;0)+(IFERROR(INDEX(Setup!$G$33:$G$40,MATCH(W736,Setup!$B$33:$B$40,0)),0)=1)*(COUNTIF(W708:W725,$B736)+COUNTIF(W708:W725,$B736&amp;" ~*")&gt;0)+(IFERROR(INDEX(Setup!$G$33:$G$40,MATCH(Y736,Setup!$B$33:$B$40,0)),0)=1)*(COUNTIF(Y708:Y725,$B736)+COUNTIF(Y708:Y725,$B736&amp;" ~*")&gt;0))</f>
        <v/>
      </c>
    </row>
    <row r="737" ht="15" customHeight="1">
      <c r="A737" t="n">
        <v>15</v>
      </c>
      <c r="B737" s="35">
        <f>IF(Setup!$B$16="","",Setup!$B$16)</f>
        <v/>
      </c>
      <c r="C737" s="98" t="n"/>
      <c r="D737" s="99" t="n"/>
      <c r="E737" s="99" t="n"/>
      <c r="F737" s="100" t="n"/>
      <c r="G737" s="98" t="n"/>
      <c r="H737" s="99" t="n"/>
      <c r="I737" s="99" t="n"/>
      <c r="J737" s="100" t="n"/>
      <c r="K737" s="98" t="n"/>
      <c r="L737" s="99" t="n"/>
      <c r="M737" s="99" t="n"/>
      <c r="N737" s="100" t="n"/>
      <c r="O737" s="98" t="n"/>
      <c r="P737" s="99" t="n"/>
      <c r="Q737" s="99" t="n"/>
      <c r="R737" s="100" t="n"/>
      <c r="S737" s="98" t="n"/>
      <c r="T737" s="99" t="n"/>
      <c r="U737" s="99" t="n"/>
      <c r="V737" s="100" t="n"/>
      <c r="W737" s="98" t="n"/>
      <c r="X737" s="100" t="n"/>
      <c r="Y737" s="98" t="n"/>
      <c r="Z737" s="100" t="n"/>
      <c r="AB737" s="101">
        <f>IF($B737="","",(COUNTIF(C708:E725,$B737)+COUNTIF(C708:E725,$B737&amp;" ~*")&gt;0)+(COUNTIF(G708:I725,$B737)+COUNTIF(G708:I725,$B737&amp;" ~*")&gt;0)+(COUNTIF(K708:M725,$B737)+COUNTIF(K708:M725,$B737&amp;" ~*")&gt;0)+(COUNTIF(O708:Q725,$B737)+COUNTIF(O708:Q725,$B737&amp;" ~*")&gt;0)+(COUNTIF(S708:U725,$B737)+COUNTIF(S708:U725,$B737&amp;" ~*")&gt;0)+(COUNTIF(W708:W725,$B737)+COUNTIF(W708:W725,$B737&amp;" ~*")&gt;0)+(COUNTIF(Y708:Y725,$B737)+COUNTIF(Y708:Y725,$B737&amp;" ~*")&gt;0))</f>
        <v/>
      </c>
      <c r="AC737" s="36">
        <f>IF($B737="","",(IFERROR(INDEX(Setup!$G$33:$G$40,MATCH(C737,Setup!$B$33:$B$40,0)),0)=1)*(COUNTIF(C708:E725,$B737)+COUNTIF(C708:E725,$B737&amp;" ~*")&gt;0)+(IFERROR(INDEX(Setup!$G$33:$G$40,MATCH(G737,Setup!$B$33:$B$40,0)),0)=1)*(COUNTIF(G708:I725,$B737)+COUNTIF(G708:I725,$B737&amp;" ~*")&gt;0)+(IFERROR(INDEX(Setup!$G$33:$G$40,MATCH(K737,Setup!$B$33:$B$40,0)),0)=1)*(COUNTIF(K708:M725,$B737)+COUNTIF(K708:M725,$B737&amp;" ~*")&gt;0)+(IFERROR(INDEX(Setup!$G$33:$G$40,MATCH(O737,Setup!$B$33:$B$40,0)),0)=1)*(COUNTIF(O708:Q725,$B737)+COUNTIF(O708:Q725,$B737&amp;" ~*")&gt;0)+(IFERROR(INDEX(Setup!$G$33:$G$40,MATCH(S737,Setup!$B$33:$B$40,0)),0)=1)*(COUNTIF(S708:U725,$B737)+COUNTIF(S708:U725,$B737&amp;" ~*")&gt;0)+(IFERROR(INDEX(Setup!$G$33:$G$40,MATCH(W737,Setup!$B$33:$B$40,0)),0)=1)*(COUNTIF(W708:W725,$B737)+COUNTIF(W708:W725,$B737&amp;" ~*")&gt;0)+(IFERROR(INDEX(Setup!$G$33:$G$40,MATCH(Y737,Setup!$B$33:$B$40,0)),0)=1)*(COUNTIF(Y708:Y725,$B737)+COUNTIF(Y708:Y725,$B737&amp;" ~*")&gt;0))</f>
        <v/>
      </c>
    </row>
    <row r="738" ht="15" customHeight="1">
      <c r="A738" t="n">
        <v>15</v>
      </c>
      <c r="B738" s="37">
        <f>IF(Setup!$B$17="","",Setup!$B$17)</f>
        <v/>
      </c>
      <c r="C738" s="102" t="n"/>
      <c r="D738" s="103" t="n"/>
      <c r="E738" s="103" t="n"/>
      <c r="F738" s="104" t="n"/>
      <c r="G738" s="102" t="n"/>
      <c r="H738" s="103" t="n"/>
      <c r="I738" s="103" t="n"/>
      <c r="J738" s="104" t="n"/>
      <c r="K738" s="102" t="n"/>
      <c r="L738" s="103" t="n"/>
      <c r="M738" s="103" t="n"/>
      <c r="N738" s="104" t="n"/>
      <c r="O738" s="102" t="n"/>
      <c r="P738" s="103" t="n"/>
      <c r="Q738" s="103" t="n"/>
      <c r="R738" s="104" t="n"/>
      <c r="S738" s="102" t="n"/>
      <c r="T738" s="103" t="n"/>
      <c r="U738" s="103" t="n"/>
      <c r="V738" s="104" t="n"/>
      <c r="W738" s="102" t="n"/>
      <c r="X738" s="104" t="n"/>
      <c r="Y738" s="102" t="n"/>
      <c r="Z738" s="104" t="n"/>
      <c r="AB738" s="105">
        <f>IF($B738="","",(COUNTIF(C708:E725,$B738)+COUNTIF(C708:E725,$B738&amp;" ~*")&gt;0)+(COUNTIF(G708:I725,$B738)+COUNTIF(G708:I725,$B738&amp;" ~*")&gt;0)+(COUNTIF(K708:M725,$B738)+COUNTIF(K708:M725,$B738&amp;" ~*")&gt;0)+(COUNTIF(O708:Q725,$B738)+COUNTIF(O708:Q725,$B738&amp;" ~*")&gt;0)+(COUNTIF(S708:U725,$B738)+COUNTIF(S708:U725,$B738&amp;" ~*")&gt;0)+(COUNTIF(W708:W725,$B738)+COUNTIF(W708:W725,$B738&amp;" ~*")&gt;0)+(COUNTIF(Y708:Y725,$B738)+COUNTIF(Y708:Y725,$B738&amp;" ~*")&gt;0))</f>
        <v/>
      </c>
      <c r="AC738" s="38">
        <f>IF($B738="","",(IFERROR(INDEX(Setup!$G$33:$G$40,MATCH(C738,Setup!$B$33:$B$40,0)),0)=1)*(COUNTIF(C708:E725,$B738)+COUNTIF(C708:E725,$B738&amp;" ~*")&gt;0)+(IFERROR(INDEX(Setup!$G$33:$G$40,MATCH(G738,Setup!$B$33:$B$40,0)),0)=1)*(COUNTIF(G708:I725,$B738)+COUNTIF(G708:I725,$B738&amp;" ~*")&gt;0)+(IFERROR(INDEX(Setup!$G$33:$G$40,MATCH(K738,Setup!$B$33:$B$40,0)),0)=1)*(COUNTIF(K708:M725,$B738)+COUNTIF(K708:M725,$B738&amp;" ~*")&gt;0)+(IFERROR(INDEX(Setup!$G$33:$G$40,MATCH(O738,Setup!$B$33:$B$40,0)),0)=1)*(COUNTIF(O708:Q725,$B738)+COUNTIF(O708:Q725,$B738&amp;" ~*")&gt;0)+(IFERROR(INDEX(Setup!$G$33:$G$40,MATCH(S738,Setup!$B$33:$B$40,0)),0)=1)*(COUNTIF(S708:U725,$B738)+COUNTIF(S708:U725,$B738&amp;" ~*")&gt;0)+(IFERROR(INDEX(Setup!$G$33:$G$40,MATCH(W738,Setup!$B$33:$B$40,0)),0)=1)*(COUNTIF(W708:W725,$B738)+COUNTIF(W708:W725,$B738&amp;" ~*")&gt;0)+(IFERROR(INDEX(Setup!$G$33:$G$40,MATCH(Y738,Setup!$B$33:$B$40,0)),0)=1)*(COUNTIF(Y708:Y725,$B738)+COUNTIF(Y708:Y725,$B738&amp;" ~*")&gt;0))</f>
        <v/>
      </c>
    </row>
    <row r="739" ht="15" customHeight="1">
      <c r="A739" t="n">
        <v>15</v>
      </c>
      <c r="B739" s="35">
        <f>IF(Setup!$B$18="","",Setup!$B$18)</f>
        <v/>
      </c>
      <c r="C739" s="98" t="n"/>
      <c r="D739" s="99" t="n"/>
      <c r="E739" s="99" t="n"/>
      <c r="F739" s="100" t="n"/>
      <c r="G739" s="98" t="n"/>
      <c r="H739" s="99" t="n"/>
      <c r="I739" s="99" t="n"/>
      <c r="J739" s="100" t="n"/>
      <c r="K739" s="98" t="n"/>
      <c r="L739" s="99" t="n"/>
      <c r="M739" s="99" t="n"/>
      <c r="N739" s="100" t="n"/>
      <c r="O739" s="98" t="n"/>
      <c r="P739" s="99" t="n"/>
      <c r="Q739" s="99" t="n"/>
      <c r="R739" s="100" t="n"/>
      <c r="S739" s="98" t="n"/>
      <c r="T739" s="99" t="n"/>
      <c r="U739" s="99" t="n"/>
      <c r="V739" s="100" t="n"/>
      <c r="W739" s="98" t="n"/>
      <c r="X739" s="100" t="n"/>
      <c r="Y739" s="98" t="n"/>
      <c r="Z739" s="100" t="n"/>
      <c r="AB739" s="101">
        <f>IF($B739="","",(COUNTIF(C708:E725,$B739)+COUNTIF(C708:E725,$B739&amp;" ~*")&gt;0)+(COUNTIF(G708:I725,$B739)+COUNTIF(G708:I725,$B739&amp;" ~*")&gt;0)+(COUNTIF(K708:M725,$B739)+COUNTIF(K708:M725,$B739&amp;" ~*")&gt;0)+(COUNTIF(O708:Q725,$B739)+COUNTIF(O708:Q725,$B739&amp;" ~*")&gt;0)+(COUNTIF(S708:U725,$B739)+COUNTIF(S708:U725,$B739&amp;" ~*")&gt;0)+(COUNTIF(W708:W725,$B739)+COUNTIF(W708:W725,$B739&amp;" ~*")&gt;0)+(COUNTIF(Y708:Y725,$B739)+COUNTIF(Y708:Y725,$B739&amp;" ~*")&gt;0))</f>
        <v/>
      </c>
      <c r="AC739" s="36">
        <f>IF($B739="","",(IFERROR(INDEX(Setup!$G$33:$G$40,MATCH(C739,Setup!$B$33:$B$40,0)),0)=1)*(COUNTIF(C708:E725,$B739)+COUNTIF(C708:E725,$B739&amp;" ~*")&gt;0)+(IFERROR(INDEX(Setup!$G$33:$G$40,MATCH(G739,Setup!$B$33:$B$40,0)),0)=1)*(COUNTIF(G708:I725,$B739)+COUNTIF(G708:I725,$B739&amp;" ~*")&gt;0)+(IFERROR(INDEX(Setup!$G$33:$G$40,MATCH(K739,Setup!$B$33:$B$40,0)),0)=1)*(COUNTIF(K708:M725,$B739)+COUNTIF(K708:M725,$B739&amp;" ~*")&gt;0)+(IFERROR(INDEX(Setup!$G$33:$G$40,MATCH(O739,Setup!$B$33:$B$40,0)),0)=1)*(COUNTIF(O708:Q725,$B739)+COUNTIF(O708:Q725,$B739&amp;" ~*")&gt;0)+(IFERROR(INDEX(Setup!$G$33:$G$40,MATCH(S739,Setup!$B$33:$B$40,0)),0)=1)*(COUNTIF(S708:U725,$B739)+COUNTIF(S708:U725,$B739&amp;" ~*")&gt;0)+(IFERROR(INDEX(Setup!$G$33:$G$40,MATCH(W739,Setup!$B$33:$B$40,0)),0)=1)*(COUNTIF(W708:W725,$B739)+COUNTIF(W708:W725,$B739&amp;" ~*")&gt;0)+(IFERROR(INDEX(Setup!$G$33:$G$40,MATCH(Y739,Setup!$B$33:$B$40,0)),0)=1)*(COUNTIF(Y708:Y725,$B739)+COUNTIF(Y708:Y725,$B739&amp;" ~*")&gt;0))</f>
        <v/>
      </c>
    </row>
    <row r="740" ht="15" customHeight="1">
      <c r="A740" t="n">
        <v>15</v>
      </c>
      <c r="B740" s="37">
        <f>IF(Setup!$B$19="","",Setup!$B$19)</f>
        <v/>
      </c>
      <c r="C740" s="102" t="n"/>
      <c r="D740" s="103" t="n"/>
      <c r="E740" s="103" t="n"/>
      <c r="F740" s="104" t="n"/>
      <c r="G740" s="102" t="n"/>
      <c r="H740" s="103" t="n"/>
      <c r="I740" s="103" t="n"/>
      <c r="J740" s="104" t="n"/>
      <c r="K740" s="102" t="n"/>
      <c r="L740" s="103" t="n"/>
      <c r="M740" s="103" t="n"/>
      <c r="N740" s="104" t="n"/>
      <c r="O740" s="102" t="n"/>
      <c r="P740" s="103" t="n"/>
      <c r="Q740" s="103" t="n"/>
      <c r="R740" s="104" t="n"/>
      <c r="S740" s="102" t="n"/>
      <c r="T740" s="103" t="n"/>
      <c r="U740" s="103" t="n"/>
      <c r="V740" s="104" t="n"/>
      <c r="W740" s="102" t="n"/>
      <c r="X740" s="104" t="n"/>
      <c r="Y740" s="102" t="n"/>
      <c r="Z740" s="104" t="n"/>
      <c r="AB740" s="105">
        <f>IF($B740="","",(COUNTIF(C708:E725,$B740)+COUNTIF(C708:E725,$B740&amp;" ~*")&gt;0)+(COUNTIF(G708:I725,$B740)+COUNTIF(G708:I725,$B740&amp;" ~*")&gt;0)+(COUNTIF(K708:M725,$B740)+COUNTIF(K708:M725,$B740&amp;" ~*")&gt;0)+(COUNTIF(O708:Q725,$B740)+COUNTIF(O708:Q725,$B740&amp;" ~*")&gt;0)+(COUNTIF(S708:U725,$B740)+COUNTIF(S708:U725,$B740&amp;" ~*")&gt;0)+(COUNTIF(W708:W725,$B740)+COUNTIF(W708:W725,$B740&amp;" ~*")&gt;0)+(COUNTIF(Y708:Y725,$B740)+COUNTIF(Y708:Y725,$B740&amp;" ~*")&gt;0))</f>
        <v/>
      </c>
      <c r="AC740" s="38">
        <f>IF($B740="","",(IFERROR(INDEX(Setup!$G$33:$G$40,MATCH(C740,Setup!$B$33:$B$40,0)),0)=1)*(COUNTIF(C708:E725,$B740)+COUNTIF(C708:E725,$B740&amp;" ~*")&gt;0)+(IFERROR(INDEX(Setup!$G$33:$G$40,MATCH(G740,Setup!$B$33:$B$40,0)),0)=1)*(COUNTIF(G708:I725,$B740)+COUNTIF(G708:I725,$B740&amp;" ~*")&gt;0)+(IFERROR(INDEX(Setup!$G$33:$G$40,MATCH(K740,Setup!$B$33:$B$40,0)),0)=1)*(COUNTIF(K708:M725,$B740)+COUNTIF(K708:M725,$B740&amp;" ~*")&gt;0)+(IFERROR(INDEX(Setup!$G$33:$G$40,MATCH(O740,Setup!$B$33:$B$40,0)),0)=1)*(COUNTIF(O708:Q725,$B740)+COUNTIF(O708:Q725,$B740&amp;" ~*")&gt;0)+(IFERROR(INDEX(Setup!$G$33:$G$40,MATCH(S740,Setup!$B$33:$B$40,0)),0)=1)*(COUNTIF(S708:U725,$B740)+COUNTIF(S708:U725,$B740&amp;" ~*")&gt;0)+(IFERROR(INDEX(Setup!$G$33:$G$40,MATCH(W740,Setup!$B$33:$B$40,0)),0)=1)*(COUNTIF(W708:W725,$B740)+COUNTIF(W708:W725,$B740&amp;" ~*")&gt;0)+(IFERROR(INDEX(Setup!$G$33:$G$40,MATCH(Y740,Setup!$B$33:$B$40,0)),0)=1)*(COUNTIF(Y708:Y725,$B740)+COUNTIF(Y708:Y725,$B740&amp;" ~*")&gt;0))</f>
        <v/>
      </c>
    </row>
    <row r="741" ht="15" customHeight="1">
      <c r="A741" t="n">
        <v>15</v>
      </c>
      <c r="B741" s="35">
        <f>IF(Setup!$B$20="","",Setup!$B$20)</f>
        <v/>
      </c>
      <c r="C741" s="98" t="n"/>
      <c r="D741" s="99" t="n"/>
      <c r="E741" s="99" t="n"/>
      <c r="F741" s="100" t="n"/>
      <c r="G741" s="98" t="n"/>
      <c r="H741" s="99" t="n"/>
      <c r="I741" s="99" t="n"/>
      <c r="J741" s="100" t="n"/>
      <c r="K741" s="98" t="n"/>
      <c r="L741" s="99" t="n"/>
      <c r="M741" s="99" t="n"/>
      <c r="N741" s="100" t="n"/>
      <c r="O741" s="98" t="n"/>
      <c r="P741" s="99" t="n"/>
      <c r="Q741" s="99" t="n"/>
      <c r="R741" s="100" t="n"/>
      <c r="S741" s="98" t="n"/>
      <c r="T741" s="99" t="n"/>
      <c r="U741" s="99" t="n"/>
      <c r="V741" s="100" t="n"/>
      <c r="W741" s="98" t="n"/>
      <c r="X741" s="100" t="n"/>
      <c r="Y741" s="98" t="n"/>
      <c r="Z741" s="100" t="n"/>
      <c r="AB741" s="101">
        <f>IF($B741="","",(COUNTIF(C708:E725,$B741)+COUNTIF(C708:E725,$B741&amp;" ~*")&gt;0)+(COUNTIF(G708:I725,$B741)+COUNTIF(G708:I725,$B741&amp;" ~*")&gt;0)+(COUNTIF(K708:M725,$B741)+COUNTIF(K708:M725,$B741&amp;" ~*")&gt;0)+(COUNTIF(O708:Q725,$B741)+COUNTIF(O708:Q725,$B741&amp;" ~*")&gt;0)+(COUNTIF(S708:U725,$B741)+COUNTIF(S708:U725,$B741&amp;" ~*")&gt;0)+(COUNTIF(W708:W725,$B741)+COUNTIF(W708:W725,$B741&amp;" ~*")&gt;0)+(COUNTIF(Y708:Y725,$B741)+COUNTIF(Y708:Y725,$B741&amp;" ~*")&gt;0))</f>
        <v/>
      </c>
      <c r="AC741" s="36">
        <f>IF($B741="","",(IFERROR(INDEX(Setup!$G$33:$G$40,MATCH(C741,Setup!$B$33:$B$40,0)),0)=1)*(COUNTIF(C708:E725,$B741)+COUNTIF(C708:E725,$B741&amp;" ~*")&gt;0)+(IFERROR(INDEX(Setup!$G$33:$G$40,MATCH(G741,Setup!$B$33:$B$40,0)),0)=1)*(COUNTIF(G708:I725,$B741)+COUNTIF(G708:I725,$B741&amp;" ~*")&gt;0)+(IFERROR(INDEX(Setup!$G$33:$G$40,MATCH(K741,Setup!$B$33:$B$40,0)),0)=1)*(COUNTIF(K708:M725,$B741)+COUNTIF(K708:M725,$B741&amp;" ~*")&gt;0)+(IFERROR(INDEX(Setup!$G$33:$G$40,MATCH(O741,Setup!$B$33:$B$40,0)),0)=1)*(COUNTIF(O708:Q725,$B741)+COUNTIF(O708:Q725,$B741&amp;" ~*")&gt;0)+(IFERROR(INDEX(Setup!$G$33:$G$40,MATCH(S741,Setup!$B$33:$B$40,0)),0)=1)*(COUNTIF(S708:U725,$B741)+COUNTIF(S708:U725,$B741&amp;" ~*")&gt;0)+(IFERROR(INDEX(Setup!$G$33:$G$40,MATCH(W741,Setup!$B$33:$B$40,0)),0)=1)*(COUNTIF(W708:W725,$B741)+COUNTIF(W708:W725,$B741&amp;" ~*")&gt;0)+(IFERROR(INDEX(Setup!$G$33:$G$40,MATCH(Y741,Setup!$B$33:$B$40,0)),0)=1)*(COUNTIF(Y708:Y725,$B741)+COUNTIF(Y708:Y725,$B741&amp;" ~*")&gt;0))</f>
        <v/>
      </c>
    </row>
    <row r="742" ht="15" customHeight="1">
      <c r="A742" t="n">
        <v>15</v>
      </c>
      <c r="B742" s="37">
        <f>IF(Setup!$B$21="","",Setup!$B$21)</f>
        <v/>
      </c>
      <c r="C742" s="102" t="n"/>
      <c r="D742" s="103" t="n"/>
      <c r="E742" s="103" t="n"/>
      <c r="F742" s="104" t="n"/>
      <c r="G742" s="102" t="n"/>
      <c r="H742" s="103" t="n"/>
      <c r="I742" s="103" t="n"/>
      <c r="J742" s="104" t="n"/>
      <c r="K742" s="102" t="n"/>
      <c r="L742" s="103" t="n"/>
      <c r="M742" s="103" t="n"/>
      <c r="N742" s="104" t="n"/>
      <c r="O742" s="102" t="n"/>
      <c r="P742" s="103" t="n"/>
      <c r="Q742" s="103" t="n"/>
      <c r="R742" s="104" t="n"/>
      <c r="S742" s="102" t="n"/>
      <c r="T742" s="103" t="n"/>
      <c r="U742" s="103" t="n"/>
      <c r="V742" s="104" t="n"/>
      <c r="W742" s="102" t="n"/>
      <c r="X742" s="104" t="n"/>
      <c r="Y742" s="102" t="n"/>
      <c r="Z742" s="104" t="n"/>
      <c r="AB742" s="105">
        <f>IF($B742="","",(COUNTIF(C708:E725,$B742)+COUNTIF(C708:E725,$B742&amp;" ~*")&gt;0)+(COUNTIF(G708:I725,$B742)+COUNTIF(G708:I725,$B742&amp;" ~*")&gt;0)+(COUNTIF(K708:M725,$B742)+COUNTIF(K708:M725,$B742&amp;" ~*")&gt;0)+(COUNTIF(O708:Q725,$B742)+COUNTIF(O708:Q725,$B742&amp;" ~*")&gt;0)+(COUNTIF(S708:U725,$B742)+COUNTIF(S708:U725,$B742&amp;" ~*")&gt;0)+(COUNTIF(W708:W725,$B742)+COUNTIF(W708:W725,$B742&amp;" ~*")&gt;0)+(COUNTIF(Y708:Y725,$B742)+COUNTIF(Y708:Y725,$B742&amp;" ~*")&gt;0))</f>
        <v/>
      </c>
      <c r="AC742" s="38">
        <f>IF($B742="","",(IFERROR(INDEX(Setup!$G$33:$G$40,MATCH(C742,Setup!$B$33:$B$40,0)),0)=1)*(COUNTIF(C708:E725,$B742)+COUNTIF(C708:E725,$B742&amp;" ~*")&gt;0)+(IFERROR(INDEX(Setup!$G$33:$G$40,MATCH(G742,Setup!$B$33:$B$40,0)),0)=1)*(COUNTIF(G708:I725,$B742)+COUNTIF(G708:I725,$B742&amp;" ~*")&gt;0)+(IFERROR(INDEX(Setup!$G$33:$G$40,MATCH(K742,Setup!$B$33:$B$40,0)),0)=1)*(COUNTIF(K708:M725,$B742)+COUNTIF(K708:M725,$B742&amp;" ~*")&gt;0)+(IFERROR(INDEX(Setup!$G$33:$G$40,MATCH(O742,Setup!$B$33:$B$40,0)),0)=1)*(COUNTIF(O708:Q725,$B742)+COUNTIF(O708:Q725,$B742&amp;" ~*")&gt;0)+(IFERROR(INDEX(Setup!$G$33:$G$40,MATCH(S742,Setup!$B$33:$B$40,0)),0)=1)*(COUNTIF(S708:U725,$B742)+COUNTIF(S708:U725,$B742&amp;" ~*")&gt;0)+(IFERROR(INDEX(Setup!$G$33:$G$40,MATCH(W742,Setup!$B$33:$B$40,0)),0)=1)*(COUNTIF(W708:W725,$B742)+COUNTIF(W708:W725,$B742&amp;" ~*")&gt;0)+(IFERROR(INDEX(Setup!$G$33:$G$40,MATCH(Y742,Setup!$B$33:$B$40,0)),0)=1)*(COUNTIF(Y708:Y725,$B742)+COUNTIF(Y708:Y725,$B742&amp;" ~*")&gt;0))</f>
        <v/>
      </c>
    </row>
    <row r="743" ht="15" customHeight="1">
      <c r="A743" t="n">
        <v>15</v>
      </c>
      <c r="B743" s="35">
        <f>IF(Setup!$B$22="","",Setup!$B$22)</f>
        <v/>
      </c>
      <c r="C743" s="98" t="n"/>
      <c r="D743" s="99" t="n"/>
      <c r="E743" s="99" t="n"/>
      <c r="F743" s="100" t="n"/>
      <c r="G743" s="98" t="n"/>
      <c r="H743" s="99" t="n"/>
      <c r="I743" s="99" t="n"/>
      <c r="J743" s="100" t="n"/>
      <c r="K743" s="98" t="n"/>
      <c r="L743" s="99" t="n"/>
      <c r="M743" s="99" t="n"/>
      <c r="N743" s="100" t="n"/>
      <c r="O743" s="98" t="n"/>
      <c r="P743" s="99" t="n"/>
      <c r="Q743" s="99" t="n"/>
      <c r="R743" s="100" t="n"/>
      <c r="S743" s="98" t="n"/>
      <c r="T743" s="99" t="n"/>
      <c r="U743" s="99" t="n"/>
      <c r="V743" s="100" t="n"/>
      <c r="W743" s="98" t="n"/>
      <c r="X743" s="100" t="n"/>
      <c r="Y743" s="98" t="n"/>
      <c r="Z743" s="100" t="n"/>
      <c r="AB743" s="101">
        <f>IF($B743="","",(COUNTIF(C708:E725,$B743)+COUNTIF(C708:E725,$B743&amp;" ~*")&gt;0)+(COUNTIF(G708:I725,$B743)+COUNTIF(G708:I725,$B743&amp;" ~*")&gt;0)+(COUNTIF(K708:M725,$B743)+COUNTIF(K708:M725,$B743&amp;" ~*")&gt;0)+(COUNTIF(O708:Q725,$B743)+COUNTIF(O708:Q725,$B743&amp;" ~*")&gt;0)+(COUNTIF(S708:U725,$B743)+COUNTIF(S708:U725,$B743&amp;" ~*")&gt;0)+(COUNTIF(W708:W725,$B743)+COUNTIF(W708:W725,$B743&amp;" ~*")&gt;0)+(COUNTIF(Y708:Y725,$B743)+COUNTIF(Y708:Y725,$B743&amp;" ~*")&gt;0))</f>
        <v/>
      </c>
      <c r="AC743" s="36">
        <f>IF($B743="","",(IFERROR(INDEX(Setup!$G$33:$G$40,MATCH(C743,Setup!$B$33:$B$40,0)),0)=1)*(COUNTIF(C708:E725,$B743)+COUNTIF(C708:E725,$B743&amp;" ~*")&gt;0)+(IFERROR(INDEX(Setup!$G$33:$G$40,MATCH(G743,Setup!$B$33:$B$40,0)),0)=1)*(COUNTIF(G708:I725,$B743)+COUNTIF(G708:I725,$B743&amp;" ~*")&gt;0)+(IFERROR(INDEX(Setup!$G$33:$G$40,MATCH(K743,Setup!$B$33:$B$40,0)),0)=1)*(COUNTIF(K708:M725,$B743)+COUNTIF(K708:M725,$B743&amp;" ~*")&gt;0)+(IFERROR(INDEX(Setup!$G$33:$G$40,MATCH(O743,Setup!$B$33:$B$40,0)),0)=1)*(COUNTIF(O708:Q725,$B743)+COUNTIF(O708:Q725,$B743&amp;" ~*")&gt;0)+(IFERROR(INDEX(Setup!$G$33:$G$40,MATCH(S743,Setup!$B$33:$B$40,0)),0)=1)*(COUNTIF(S708:U725,$B743)+COUNTIF(S708:U725,$B743&amp;" ~*")&gt;0)+(IFERROR(INDEX(Setup!$G$33:$G$40,MATCH(W743,Setup!$B$33:$B$40,0)),0)=1)*(COUNTIF(W708:W725,$B743)+COUNTIF(W708:W725,$B743&amp;" ~*")&gt;0)+(IFERROR(INDEX(Setup!$G$33:$G$40,MATCH(Y743,Setup!$B$33:$B$40,0)),0)=1)*(COUNTIF(Y708:Y725,$B743)+COUNTIF(Y708:Y725,$B743&amp;" ~*")&gt;0))</f>
        <v/>
      </c>
    </row>
    <row r="744" ht="15" customHeight="1">
      <c r="A744" t="n">
        <v>15</v>
      </c>
      <c r="B744" s="37">
        <f>IF(Setup!$B$23="","",Setup!$B$23)</f>
        <v/>
      </c>
      <c r="C744" s="102" t="n"/>
      <c r="D744" s="103" t="n"/>
      <c r="E744" s="103" t="n"/>
      <c r="F744" s="104" t="n"/>
      <c r="G744" s="102" t="n"/>
      <c r="H744" s="103" t="n"/>
      <c r="I744" s="103" t="n"/>
      <c r="J744" s="104" t="n"/>
      <c r="K744" s="102" t="n"/>
      <c r="L744" s="103" t="n"/>
      <c r="M744" s="103" t="n"/>
      <c r="N744" s="104" t="n"/>
      <c r="O744" s="102" t="n"/>
      <c r="P744" s="103" t="n"/>
      <c r="Q744" s="103" t="n"/>
      <c r="R744" s="104" t="n"/>
      <c r="S744" s="102" t="n"/>
      <c r="T744" s="103" t="n"/>
      <c r="U744" s="103" t="n"/>
      <c r="V744" s="104" t="n"/>
      <c r="W744" s="102" t="n"/>
      <c r="X744" s="104" t="n"/>
      <c r="Y744" s="102" t="n"/>
      <c r="Z744" s="104" t="n"/>
      <c r="AB744" s="105">
        <f>IF($B744="","",(COUNTIF(C708:E725,$B744)+COUNTIF(C708:E725,$B744&amp;" ~*")&gt;0)+(COUNTIF(G708:I725,$B744)+COUNTIF(G708:I725,$B744&amp;" ~*")&gt;0)+(COUNTIF(K708:M725,$B744)+COUNTIF(K708:M725,$B744&amp;" ~*")&gt;0)+(COUNTIF(O708:Q725,$B744)+COUNTIF(O708:Q725,$B744&amp;" ~*")&gt;0)+(COUNTIF(S708:U725,$B744)+COUNTIF(S708:U725,$B744&amp;" ~*")&gt;0)+(COUNTIF(W708:W725,$B744)+COUNTIF(W708:W725,$B744&amp;" ~*")&gt;0)+(COUNTIF(Y708:Y725,$B744)+COUNTIF(Y708:Y725,$B744&amp;" ~*")&gt;0))</f>
        <v/>
      </c>
      <c r="AC744" s="38">
        <f>IF($B744="","",(IFERROR(INDEX(Setup!$G$33:$G$40,MATCH(C744,Setup!$B$33:$B$40,0)),0)=1)*(COUNTIF(C708:E725,$B744)+COUNTIF(C708:E725,$B744&amp;" ~*")&gt;0)+(IFERROR(INDEX(Setup!$G$33:$G$40,MATCH(G744,Setup!$B$33:$B$40,0)),0)=1)*(COUNTIF(G708:I725,$B744)+COUNTIF(G708:I725,$B744&amp;" ~*")&gt;0)+(IFERROR(INDEX(Setup!$G$33:$G$40,MATCH(K744,Setup!$B$33:$B$40,0)),0)=1)*(COUNTIF(K708:M725,$B744)+COUNTIF(K708:M725,$B744&amp;" ~*")&gt;0)+(IFERROR(INDEX(Setup!$G$33:$G$40,MATCH(O744,Setup!$B$33:$B$40,0)),0)=1)*(COUNTIF(O708:Q725,$B744)+COUNTIF(O708:Q725,$B744&amp;" ~*")&gt;0)+(IFERROR(INDEX(Setup!$G$33:$G$40,MATCH(S744,Setup!$B$33:$B$40,0)),0)=1)*(COUNTIF(S708:U725,$B744)+COUNTIF(S708:U725,$B744&amp;" ~*")&gt;0)+(IFERROR(INDEX(Setup!$G$33:$G$40,MATCH(W744,Setup!$B$33:$B$40,0)),0)=1)*(COUNTIF(W708:W725,$B744)+COUNTIF(W708:W725,$B744&amp;" ~*")&gt;0)+(IFERROR(INDEX(Setup!$G$33:$G$40,MATCH(Y744,Setup!$B$33:$B$40,0)),0)=1)*(COUNTIF(Y708:Y725,$B744)+COUNTIF(Y708:Y725,$B744&amp;" ~*")&gt;0))</f>
        <v/>
      </c>
    </row>
    <row r="745" ht="15" customHeight="1">
      <c r="A745" t="n">
        <v>15</v>
      </c>
      <c r="B745" s="35">
        <f>IF(Setup!$B$24="","",Setup!$B$24)</f>
        <v/>
      </c>
      <c r="C745" s="98" t="n"/>
      <c r="D745" s="99" t="n"/>
      <c r="E745" s="99" t="n"/>
      <c r="F745" s="100" t="n"/>
      <c r="G745" s="98" t="n"/>
      <c r="H745" s="99" t="n"/>
      <c r="I745" s="99" t="n"/>
      <c r="J745" s="100" t="n"/>
      <c r="K745" s="98" t="n"/>
      <c r="L745" s="99" t="n"/>
      <c r="M745" s="99" t="n"/>
      <c r="N745" s="100" t="n"/>
      <c r="O745" s="98" t="n"/>
      <c r="P745" s="99" t="n"/>
      <c r="Q745" s="99" t="n"/>
      <c r="R745" s="100" t="n"/>
      <c r="S745" s="98" t="n"/>
      <c r="T745" s="99" t="n"/>
      <c r="U745" s="99" t="n"/>
      <c r="V745" s="100" t="n"/>
      <c r="W745" s="98" t="n"/>
      <c r="X745" s="100" t="n"/>
      <c r="Y745" s="98" t="n"/>
      <c r="Z745" s="100" t="n"/>
      <c r="AB745" s="101">
        <f>IF($B745="","",(COUNTIF(C708:E725,$B745)+COUNTIF(C708:E725,$B745&amp;" ~*")&gt;0)+(COUNTIF(G708:I725,$B745)+COUNTIF(G708:I725,$B745&amp;" ~*")&gt;0)+(COUNTIF(K708:M725,$B745)+COUNTIF(K708:M725,$B745&amp;" ~*")&gt;0)+(COUNTIF(O708:Q725,$B745)+COUNTIF(O708:Q725,$B745&amp;" ~*")&gt;0)+(COUNTIF(S708:U725,$B745)+COUNTIF(S708:U725,$B745&amp;" ~*")&gt;0)+(COUNTIF(W708:W725,$B745)+COUNTIF(W708:W725,$B745&amp;" ~*")&gt;0)+(COUNTIF(Y708:Y725,$B745)+COUNTIF(Y708:Y725,$B745&amp;" ~*")&gt;0))</f>
        <v/>
      </c>
      <c r="AC745" s="36">
        <f>IF($B745="","",(IFERROR(INDEX(Setup!$G$33:$G$40,MATCH(C745,Setup!$B$33:$B$40,0)),0)=1)*(COUNTIF(C708:E725,$B745)+COUNTIF(C708:E725,$B745&amp;" ~*")&gt;0)+(IFERROR(INDEX(Setup!$G$33:$G$40,MATCH(G745,Setup!$B$33:$B$40,0)),0)=1)*(COUNTIF(G708:I725,$B745)+COUNTIF(G708:I725,$B745&amp;" ~*")&gt;0)+(IFERROR(INDEX(Setup!$G$33:$G$40,MATCH(K745,Setup!$B$33:$B$40,0)),0)=1)*(COUNTIF(K708:M725,$B745)+COUNTIF(K708:M725,$B745&amp;" ~*")&gt;0)+(IFERROR(INDEX(Setup!$G$33:$G$40,MATCH(O745,Setup!$B$33:$B$40,0)),0)=1)*(COUNTIF(O708:Q725,$B745)+COUNTIF(O708:Q725,$B745&amp;" ~*")&gt;0)+(IFERROR(INDEX(Setup!$G$33:$G$40,MATCH(S745,Setup!$B$33:$B$40,0)),0)=1)*(COUNTIF(S708:U725,$B745)+COUNTIF(S708:U725,$B745&amp;" ~*")&gt;0)+(IFERROR(INDEX(Setup!$G$33:$G$40,MATCH(W745,Setup!$B$33:$B$40,0)),0)=1)*(COUNTIF(W708:W725,$B745)+COUNTIF(W708:W725,$B745&amp;" ~*")&gt;0)+(IFERROR(INDEX(Setup!$G$33:$G$40,MATCH(Y745,Setup!$B$33:$B$40,0)),0)=1)*(COUNTIF(Y708:Y725,$B745)+COUNTIF(Y708:Y725,$B745&amp;" ~*")&gt;0))</f>
        <v/>
      </c>
    </row>
    <row r="746" ht="15" customHeight="1">
      <c r="A746" t="n">
        <v>15</v>
      </c>
      <c r="B746" s="37">
        <f>IF(Setup!$B$25="","",Setup!$B$25)</f>
        <v/>
      </c>
      <c r="C746" s="102" t="n"/>
      <c r="D746" s="103" t="n"/>
      <c r="E746" s="103" t="n"/>
      <c r="F746" s="104" t="n"/>
      <c r="G746" s="102" t="n"/>
      <c r="H746" s="103" t="n"/>
      <c r="I746" s="103" t="n"/>
      <c r="J746" s="104" t="n"/>
      <c r="K746" s="102" t="n"/>
      <c r="L746" s="103" t="n"/>
      <c r="M746" s="103" t="n"/>
      <c r="N746" s="104" t="n"/>
      <c r="O746" s="102" t="n"/>
      <c r="P746" s="103" t="n"/>
      <c r="Q746" s="103" t="n"/>
      <c r="R746" s="104" t="n"/>
      <c r="S746" s="102" t="n"/>
      <c r="T746" s="103" t="n"/>
      <c r="U746" s="103" t="n"/>
      <c r="V746" s="104" t="n"/>
      <c r="W746" s="102" t="n"/>
      <c r="X746" s="104" t="n"/>
      <c r="Y746" s="102" t="n"/>
      <c r="Z746" s="104" t="n"/>
      <c r="AB746" s="105">
        <f>IF($B746="","",(COUNTIF(C708:E725,$B746)+COUNTIF(C708:E725,$B746&amp;" ~*")&gt;0)+(COUNTIF(G708:I725,$B746)+COUNTIF(G708:I725,$B746&amp;" ~*")&gt;0)+(COUNTIF(K708:M725,$B746)+COUNTIF(K708:M725,$B746&amp;" ~*")&gt;0)+(COUNTIF(O708:Q725,$B746)+COUNTIF(O708:Q725,$B746&amp;" ~*")&gt;0)+(COUNTIF(S708:U725,$B746)+COUNTIF(S708:U725,$B746&amp;" ~*")&gt;0)+(COUNTIF(W708:W725,$B746)+COUNTIF(W708:W725,$B746&amp;" ~*")&gt;0)+(COUNTIF(Y708:Y725,$B746)+COUNTIF(Y708:Y725,$B746&amp;" ~*")&gt;0))</f>
        <v/>
      </c>
      <c r="AC746" s="38">
        <f>IF($B746="","",(IFERROR(INDEX(Setup!$G$33:$G$40,MATCH(C746,Setup!$B$33:$B$40,0)),0)=1)*(COUNTIF(C708:E725,$B746)+COUNTIF(C708:E725,$B746&amp;" ~*")&gt;0)+(IFERROR(INDEX(Setup!$G$33:$G$40,MATCH(G746,Setup!$B$33:$B$40,0)),0)=1)*(COUNTIF(G708:I725,$B746)+COUNTIF(G708:I725,$B746&amp;" ~*")&gt;0)+(IFERROR(INDEX(Setup!$G$33:$G$40,MATCH(K746,Setup!$B$33:$B$40,0)),0)=1)*(COUNTIF(K708:M725,$B746)+COUNTIF(K708:M725,$B746&amp;" ~*")&gt;0)+(IFERROR(INDEX(Setup!$G$33:$G$40,MATCH(O746,Setup!$B$33:$B$40,0)),0)=1)*(COUNTIF(O708:Q725,$B746)+COUNTIF(O708:Q725,$B746&amp;" ~*")&gt;0)+(IFERROR(INDEX(Setup!$G$33:$G$40,MATCH(S746,Setup!$B$33:$B$40,0)),0)=1)*(COUNTIF(S708:U725,$B746)+COUNTIF(S708:U725,$B746&amp;" ~*")&gt;0)+(IFERROR(INDEX(Setup!$G$33:$G$40,MATCH(W746,Setup!$B$33:$B$40,0)),0)=1)*(COUNTIF(W708:W725,$B746)+COUNTIF(W708:W725,$B746&amp;" ~*")&gt;0)+(IFERROR(INDEX(Setup!$G$33:$G$40,MATCH(Y746,Setup!$B$33:$B$40,0)),0)=1)*(COUNTIF(Y708:Y725,$B746)+COUNTIF(Y708:Y725,$B746&amp;" ~*")&gt;0))</f>
        <v/>
      </c>
    </row>
    <row r="747" ht="15" customHeight="1">
      <c r="A747" t="n">
        <v>15</v>
      </c>
      <c r="B747" s="35">
        <f>IF(Setup!$B$26="","",Setup!$B$26)</f>
        <v/>
      </c>
      <c r="C747" s="98" t="n"/>
      <c r="D747" s="99" t="n"/>
      <c r="E747" s="99" t="n"/>
      <c r="F747" s="100" t="n"/>
      <c r="G747" s="98" t="n"/>
      <c r="H747" s="99" t="n"/>
      <c r="I747" s="99" t="n"/>
      <c r="J747" s="100" t="n"/>
      <c r="K747" s="98" t="n"/>
      <c r="L747" s="99" t="n"/>
      <c r="M747" s="99" t="n"/>
      <c r="N747" s="100" t="n"/>
      <c r="O747" s="98" t="n"/>
      <c r="P747" s="99" t="n"/>
      <c r="Q747" s="99" t="n"/>
      <c r="R747" s="100" t="n"/>
      <c r="S747" s="98" t="n"/>
      <c r="T747" s="99" t="n"/>
      <c r="U747" s="99" t="n"/>
      <c r="V747" s="100" t="n"/>
      <c r="W747" s="98" t="n"/>
      <c r="X747" s="100" t="n"/>
      <c r="Y747" s="98" t="n"/>
      <c r="Z747" s="100" t="n"/>
      <c r="AB747" s="101">
        <f>IF($B747="","",(COUNTIF(C708:E725,$B747)+COUNTIF(C708:E725,$B747&amp;" ~*")&gt;0)+(COUNTIF(G708:I725,$B747)+COUNTIF(G708:I725,$B747&amp;" ~*")&gt;0)+(COUNTIF(K708:M725,$B747)+COUNTIF(K708:M725,$B747&amp;" ~*")&gt;0)+(COUNTIF(O708:Q725,$B747)+COUNTIF(O708:Q725,$B747&amp;" ~*")&gt;0)+(COUNTIF(S708:U725,$B747)+COUNTIF(S708:U725,$B747&amp;" ~*")&gt;0)+(COUNTIF(W708:W725,$B747)+COUNTIF(W708:W725,$B747&amp;" ~*")&gt;0)+(COUNTIF(Y708:Y725,$B747)+COUNTIF(Y708:Y725,$B747&amp;" ~*")&gt;0))</f>
        <v/>
      </c>
      <c r="AC747" s="36">
        <f>IF($B747="","",(IFERROR(INDEX(Setup!$G$33:$G$40,MATCH(C747,Setup!$B$33:$B$40,0)),0)=1)*(COUNTIF(C708:E725,$B747)+COUNTIF(C708:E725,$B747&amp;" ~*")&gt;0)+(IFERROR(INDEX(Setup!$G$33:$G$40,MATCH(G747,Setup!$B$33:$B$40,0)),0)=1)*(COUNTIF(G708:I725,$B747)+COUNTIF(G708:I725,$B747&amp;" ~*")&gt;0)+(IFERROR(INDEX(Setup!$G$33:$G$40,MATCH(K747,Setup!$B$33:$B$40,0)),0)=1)*(COUNTIF(K708:M725,$B747)+COUNTIF(K708:M725,$B747&amp;" ~*")&gt;0)+(IFERROR(INDEX(Setup!$G$33:$G$40,MATCH(O747,Setup!$B$33:$B$40,0)),0)=1)*(COUNTIF(O708:Q725,$B747)+COUNTIF(O708:Q725,$B747&amp;" ~*")&gt;0)+(IFERROR(INDEX(Setup!$G$33:$G$40,MATCH(S747,Setup!$B$33:$B$40,0)),0)=1)*(COUNTIF(S708:U725,$B747)+COUNTIF(S708:U725,$B747&amp;" ~*")&gt;0)+(IFERROR(INDEX(Setup!$G$33:$G$40,MATCH(W747,Setup!$B$33:$B$40,0)),0)=1)*(COUNTIF(W708:W725,$B747)+COUNTIF(W708:W725,$B747&amp;" ~*")&gt;0)+(IFERROR(INDEX(Setup!$G$33:$G$40,MATCH(Y747,Setup!$B$33:$B$40,0)),0)=1)*(COUNTIF(Y708:Y725,$B747)+COUNTIF(Y708:Y725,$B747&amp;" ~*")&gt;0))</f>
        <v/>
      </c>
    </row>
    <row r="748" ht="15" customHeight="1">
      <c r="A748" t="n">
        <v>15</v>
      </c>
      <c r="B748" s="37">
        <f>IF(Setup!$B$27="","",Setup!$B$27)</f>
        <v/>
      </c>
      <c r="C748" s="102" t="n"/>
      <c r="D748" s="103" t="n"/>
      <c r="E748" s="103" t="n"/>
      <c r="F748" s="104" t="n"/>
      <c r="G748" s="102" t="n"/>
      <c r="H748" s="103" t="n"/>
      <c r="I748" s="103" t="n"/>
      <c r="J748" s="104" t="n"/>
      <c r="K748" s="102" t="n"/>
      <c r="L748" s="103" t="n"/>
      <c r="M748" s="103" t="n"/>
      <c r="N748" s="104" t="n"/>
      <c r="O748" s="102" t="n"/>
      <c r="P748" s="103" t="n"/>
      <c r="Q748" s="103" t="n"/>
      <c r="R748" s="104" t="n"/>
      <c r="S748" s="102" t="n"/>
      <c r="T748" s="103" t="n"/>
      <c r="U748" s="103" t="n"/>
      <c r="V748" s="104" t="n"/>
      <c r="W748" s="102" t="n"/>
      <c r="X748" s="104" t="n"/>
      <c r="Y748" s="102" t="n"/>
      <c r="Z748" s="104" t="n"/>
      <c r="AB748" s="105">
        <f>IF($B748="","",(COUNTIF(C708:E725,$B748)+COUNTIF(C708:E725,$B748&amp;" ~*")&gt;0)+(COUNTIF(G708:I725,$B748)+COUNTIF(G708:I725,$B748&amp;" ~*")&gt;0)+(COUNTIF(K708:M725,$B748)+COUNTIF(K708:M725,$B748&amp;" ~*")&gt;0)+(COUNTIF(O708:Q725,$B748)+COUNTIF(O708:Q725,$B748&amp;" ~*")&gt;0)+(COUNTIF(S708:U725,$B748)+COUNTIF(S708:U725,$B748&amp;" ~*")&gt;0)+(COUNTIF(W708:W725,$B748)+COUNTIF(W708:W725,$B748&amp;" ~*")&gt;0)+(COUNTIF(Y708:Y725,$B748)+COUNTIF(Y708:Y725,$B748&amp;" ~*")&gt;0))</f>
        <v/>
      </c>
      <c r="AC748" s="38">
        <f>IF($B748="","",(IFERROR(INDEX(Setup!$G$33:$G$40,MATCH(C748,Setup!$B$33:$B$40,0)),0)=1)*(COUNTIF(C708:E725,$B748)+COUNTIF(C708:E725,$B748&amp;" ~*")&gt;0)+(IFERROR(INDEX(Setup!$G$33:$G$40,MATCH(G748,Setup!$B$33:$B$40,0)),0)=1)*(COUNTIF(G708:I725,$B748)+COUNTIF(G708:I725,$B748&amp;" ~*")&gt;0)+(IFERROR(INDEX(Setup!$G$33:$G$40,MATCH(K748,Setup!$B$33:$B$40,0)),0)=1)*(COUNTIF(K708:M725,$B748)+COUNTIF(K708:M725,$B748&amp;" ~*")&gt;0)+(IFERROR(INDEX(Setup!$G$33:$G$40,MATCH(O748,Setup!$B$33:$B$40,0)),0)=1)*(COUNTIF(O708:Q725,$B748)+COUNTIF(O708:Q725,$B748&amp;" ~*")&gt;0)+(IFERROR(INDEX(Setup!$G$33:$G$40,MATCH(S748,Setup!$B$33:$B$40,0)),0)=1)*(COUNTIF(S708:U725,$B748)+COUNTIF(S708:U725,$B748&amp;" ~*")&gt;0)+(IFERROR(INDEX(Setup!$G$33:$G$40,MATCH(W748,Setup!$B$33:$B$40,0)),0)=1)*(COUNTIF(W708:W725,$B748)+COUNTIF(W708:W725,$B748&amp;" ~*")&gt;0)+(IFERROR(INDEX(Setup!$G$33:$G$40,MATCH(Y748,Setup!$B$33:$B$40,0)),0)=1)*(COUNTIF(Y708:Y725,$B748)+COUNTIF(Y708:Y725,$B748&amp;" ~*")&gt;0))</f>
        <v/>
      </c>
    </row>
    <row r="749" ht="15" customHeight="1">
      <c r="A749" t="n">
        <v>15</v>
      </c>
      <c r="B749" s="35">
        <f>IF(Setup!$B$28="","",Setup!$B$28)</f>
        <v/>
      </c>
      <c r="C749" s="98" t="n"/>
      <c r="D749" s="99" t="n"/>
      <c r="E749" s="99" t="n"/>
      <c r="F749" s="100" t="n"/>
      <c r="G749" s="98" t="n"/>
      <c r="H749" s="99" t="n"/>
      <c r="I749" s="99" t="n"/>
      <c r="J749" s="100" t="n"/>
      <c r="K749" s="98" t="n"/>
      <c r="L749" s="99" t="n"/>
      <c r="M749" s="99" t="n"/>
      <c r="N749" s="100" t="n"/>
      <c r="O749" s="98" t="n"/>
      <c r="P749" s="99" t="n"/>
      <c r="Q749" s="99" t="n"/>
      <c r="R749" s="100" t="n"/>
      <c r="S749" s="98" t="n"/>
      <c r="T749" s="99" t="n"/>
      <c r="U749" s="99" t="n"/>
      <c r="V749" s="100" t="n"/>
      <c r="W749" s="98" t="n"/>
      <c r="X749" s="100" t="n"/>
      <c r="Y749" s="98" t="n"/>
      <c r="Z749" s="100" t="n"/>
      <c r="AB749" s="101">
        <f>IF($B749="","",(COUNTIF(C708:E725,$B749)+COUNTIF(C708:E725,$B749&amp;" ~*")&gt;0)+(COUNTIF(G708:I725,$B749)+COUNTIF(G708:I725,$B749&amp;" ~*")&gt;0)+(COUNTIF(K708:M725,$B749)+COUNTIF(K708:M725,$B749&amp;" ~*")&gt;0)+(COUNTIF(O708:Q725,$B749)+COUNTIF(O708:Q725,$B749&amp;" ~*")&gt;0)+(COUNTIF(S708:U725,$B749)+COUNTIF(S708:U725,$B749&amp;" ~*")&gt;0)+(COUNTIF(W708:W725,$B749)+COUNTIF(W708:W725,$B749&amp;" ~*")&gt;0)+(COUNTIF(Y708:Y725,$B749)+COUNTIF(Y708:Y725,$B749&amp;" ~*")&gt;0))</f>
        <v/>
      </c>
      <c r="AC749" s="36">
        <f>IF($B749="","",(IFERROR(INDEX(Setup!$G$33:$G$40,MATCH(C749,Setup!$B$33:$B$40,0)),0)=1)*(COUNTIF(C708:E725,$B749)+COUNTIF(C708:E725,$B749&amp;" ~*")&gt;0)+(IFERROR(INDEX(Setup!$G$33:$G$40,MATCH(G749,Setup!$B$33:$B$40,0)),0)=1)*(COUNTIF(G708:I725,$B749)+COUNTIF(G708:I725,$B749&amp;" ~*")&gt;0)+(IFERROR(INDEX(Setup!$G$33:$G$40,MATCH(K749,Setup!$B$33:$B$40,0)),0)=1)*(COUNTIF(K708:M725,$B749)+COUNTIF(K708:M725,$B749&amp;" ~*")&gt;0)+(IFERROR(INDEX(Setup!$G$33:$G$40,MATCH(O749,Setup!$B$33:$B$40,0)),0)=1)*(COUNTIF(O708:Q725,$B749)+COUNTIF(O708:Q725,$B749&amp;" ~*")&gt;0)+(IFERROR(INDEX(Setup!$G$33:$G$40,MATCH(S749,Setup!$B$33:$B$40,0)),0)=1)*(COUNTIF(S708:U725,$B749)+COUNTIF(S708:U725,$B749&amp;" ~*")&gt;0)+(IFERROR(INDEX(Setup!$G$33:$G$40,MATCH(W749,Setup!$B$33:$B$40,0)),0)=1)*(COUNTIF(W708:W725,$B749)+COUNTIF(W708:W725,$B749&amp;" ~*")&gt;0)+(IFERROR(INDEX(Setup!$G$33:$G$40,MATCH(Y749,Setup!$B$33:$B$40,0)),0)=1)*(COUNTIF(Y708:Y725,$B749)+COUNTIF(Y708:Y725,$B749&amp;" ~*")&gt;0))</f>
        <v/>
      </c>
    </row>
    <row r="750" ht="15" customHeight="1">
      <c r="A750" t="n">
        <v>15</v>
      </c>
      <c r="B750" s="37">
        <f>IF(Setup!$B$29="","",Setup!$B$29)</f>
        <v/>
      </c>
      <c r="C750" s="102" t="n"/>
      <c r="D750" s="103" t="n"/>
      <c r="E750" s="103" t="n"/>
      <c r="F750" s="104" t="n"/>
      <c r="G750" s="102" t="n"/>
      <c r="H750" s="103" t="n"/>
      <c r="I750" s="103" t="n"/>
      <c r="J750" s="104" t="n"/>
      <c r="K750" s="102" t="n"/>
      <c r="L750" s="103" t="n"/>
      <c r="M750" s="103" t="n"/>
      <c r="N750" s="104" t="n"/>
      <c r="O750" s="102" t="n"/>
      <c r="P750" s="103" t="n"/>
      <c r="Q750" s="103" t="n"/>
      <c r="R750" s="104" t="n"/>
      <c r="S750" s="102" t="n"/>
      <c r="T750" s="103" t="n"/>
      <c r="U750" s="103" t="n"/>
      <c r="V750" s="104" t="n"/>
      <c r="W750" s="102" t="n"/>
      <c r="X750" s="104" t="n"/>
      <c r="Y750" s="102" t="n"/>
      <c r="Z750" s="104" t="n"/>
      <c r="AB750" s="105">
        <f>IF($B750="","",(COUNTIF(C708:E725,$B750)+COUNTIF(C708:E725,$B750&amp;" ~*")&gt;0)+(COUNTIF(G708:I725,$B750)+COUNTIF(G708:I725,$B750&amp;" ~*")&gt;0)+(COUNTIF(K708:M725,$B750)+COUNTIF(K708:M725,$B750&amp;" ~*")&gt;0)+(COUNTIF(O708:Q725,$B750)+COUNTIF(O708:Q725,$B750&amp;" ~*")&gt;0)+(COUNTIF(S708:U725,$B750)+COUNTIF(S708:U725,$B750&amp;" ~*")&gt;0)+(COUNTIF(W708:W725,$B750)+COUNTIF(W708:W725,$B750&amp;" ~*")&gt;0)+(COUNTIF(Y708:Y725,$B750)+COUNTIF(Y708:Y725,$B750&amp;" ~*")&gt;0))</f>
        <v/>
      </c>
      <c r="AC750" s="38">
        <f>IF($B750="","",(IFERROR(INDEX(Setup!$G$33:$G$40,MATCH(C750,Setup!$B$33:$B$40,0)),0)=1)*(COUNTIF(C708:E725,$B750)+COUNTIF(C708:E725,$B750&amp;" ~*")&gt;0)+(IFERROR(INDEX(Setup!$G$33:$G$40,MATCH(G750,Setup!$B$33:$B$40,0)),0)=1)*(COUNTIF(G708:I725,$B750)+COUNTIF(G708:I725,$B750&amp;" ~*")&gt;0)+(IFERROR(INDEX(Setup!$G$33:$G$40,MATCH(K750,Setup!$B$33:$B$40,0)),0)=1)*(COUNTIF(K708:M725,$B750)+COUNTIF(K708:M725,$B750&amp;" ~*")&gt;0)+(IFERROR(INDEX(Setup!$G$33:$G$40,MATCH(O750,Setup!$B$33:$B$40,0)),0)=1)*(COUNTIF(O708:Q725,$B750)+COUNTIF(O708:Q725,$B750&amp;" ~*")&gt;0)+(IFERROR(INDEX(Setup!$G$33:$G$40,MATCH(S750,Setup!$B$33:$B$40,0)),0)=1)*(COUNTIF(S708:U725,$B750)+COUNTIF(S708:U725,$B750&amp;" ~*")&gt;0)+(IFERROR(INDEX(Setup!$G$33:$G$40,MATCH(W750,Setup!$B$33:$B$40,0)),0)=1)*(COUNTIF(W708:W725,$B750)+COUNTIF(W708:W725,$B750&amp;" ~*")&gt;0)+(IFERROR(INDEX(Setup!$G$33:$G$40,MATCH(Y750,Setup!$B$33:$B$40,0)),0)=1)*(COUNTIF(Y708:Y725,$B750)+COUNTIF(Y708:Y725,$B750&amp;" ~*")&gt;0))</f>
        <v/>
      </c>
    </row>
    <row r="751" ht="16" customHeight="1">
      <c r="A751" t="n">
        <v>15</v>
      </c>
      <c r="B751" s="106" t="inlineStr">
        <is>
          <t>Available people</t>
        </is>
      </c>
      <c r="C751" s="107">
        <f>COUNTIFS(Setup!$E$6:$E$29,"Y",Setup!$B$6:$B$29,"?*")-SUMPRODUCT(COUNTIF(C727:C750,Setup!$F$33:$F$40))</f>
        <v/>
      </c>
      <c r="D751" s="107" t="n"/>
      <c r="E751" s="107" t="n"/>
      <c r="F751" s="107" t="n"/>
      <c r="G751" s="107">
        <f>COUNTIFS(Setup!$E$6:$E$29,"Y",Setup!$B$6:$B$29,"?*")-SUMPRODUCT(COUNTIF(G727:G750,Setup!$F$33:$F$40))</f>
        <v/>
      </c>
      <c r="H751" s="107" t="n"/>
      <c r="I751" s="107" t="n"/>
      <c r="J751" s="107" t="n"/>
      <c r="K751" s="107">
        <f>COUNTIFS(Setup!$E$6:$E$29,"Y",Setup!$B$6:$B$29,"?*")-SUMPRODUCT(COUNTIF(K727:K750,Setup!$F$33:$F$40))</f>
        <v/>
      </c>
      <c r="L751" s="107" t="n"/>
      <c r="M751" s="107" t="n"/>
      <c r="N751" s="107" t="n"/>
      <c r="O751" s="107">
        <f>COUNTIFS(Setup!$E$6:$E$29,"Y",Setup!$B$6:$B$29,"?*")-SUMPRODUCT(COUNTIF(O727:O750,Setup!$F$33:$F$40))</f>
        <v/>
      </c>
      <c r="P751" s="107" t="n"/>
      <c r="Q751" s="107" t="n"/>
      <c r="R751" s="107" t="n"/>
      <c r="S751" s="107">
        <f>COUNTIFS(Setup!$E$6:$E$29,"Y",Setup!$B$6:$B$29,"?*")-SUMPRODUCT(COUNTIF(S727:S750,Setup!$F$33:$F$40))</f>
        <v/>
      </c>
      <c r="T751" s="107" t="n"/>
      <c r="U751" s="107" t="n"/>
      <c r="V751" s="107" t="n"/>
      <c r="W751" s="107">
        <f>COUNTIFS(Setup!$E$6:$E$29,"Y",Setup!$B$6:$B$29,"?*")-SUMPRODUCT(COUNTIF(W727:W750,Setup!$F$33:$F$40))</f>
        <v/>
      </c>
      <c r="X751" s="107" t="n"/>
      <c r="Y751" s="107">
        <f>COUNTIFS(Setup!$E$6:$E$29,"Y",Setup!$B$6:$B$29,"?*")-SUMPRODUCT(COUNTIF(Y727:Y750,Setup!$F$33:$F$40))</f>
        <v/>
      </c>
      <c r="Z751" s="107" t="n"/>
      <c r="AB751" s="108">
        <f>SUM(AB727:AB750)</f>
        <v/>
      </c>
      <c r="AC751" s="109">
        <f>SUM(AC727:AC750)</f>
        <v/>
      </c>
    </row>
    <row r="752" ht="30" customHeight="1">
      <c r="A752" t="n">
        <v>15</v>
      </c>
      <c r="B752" s="110" t="inlineStr">
        <is>
          <t>Week notes</t>
        </is>
      </c>
      <c r="C752" s="111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112" t="n"/>
      <c r="R752" s="112" t="n"/>
      <c r="S752" s="112" t="n"/>
      <c r="T752" s="112" t="n"/>
      <c r="U752" s="112" t="n"/>
      <c r="V752" s="112" t="n"/>
      <c r="W752" s="112" t="n"/>
      <c r="X752" s="112" t="n"/>
      <c r="Y752" s="112" t="n"/>
      <c r="Z752" s="113" t="n"/>
    </row>
    <row r="753" ht="8" customHeight="1">
      <c r="A753" t="n">
        <v>15</v>
      </c>
    </row>
    <row r="754" ht="8" customHeight="1">
      <c r="A754" t="n">
        <v>15</v>
      </c>
    </row>
    <row r="755" ht="24" customHeight="1">
      <c r="A755" t="n">
        <v>16</v>
      </c>
      <c r="B755" s="73">
        <f>"WEEK 16     "&amp;TEXT(C756,"ddd d mmm")&amp;"  –  "&amp;TEXT(C756+6,"ddd d mmm yyyy")</f>
        <v/>
      </c>
      <c r="S755" s="74">
        <f>IF(TODAY()&lt;C756,"FUTURE",IF(TODAY()&gt;C756+6,"PAST","THIS WEEK"))</f>
        <v/>
      </c>
      <c r="W755" s="75">
        <f>IF(AND(Engine!$B$8=$AC$3,Engine!$B$9=$A755),"◀ ACTIVE WEEK","")</f>
        <v/>
      </c>
      <c r="AA755" s="76" t="n"/>
      <c r="AB755" s="77" t="inlineStr">
        <is>
          <t>◀ Prev</t>
        </is>
      </c>
      <c r="AC755" s="77" t="inlineStr">
        <is>
          <t>Next ▶</t>
        </is>
      </c>
    </row>
    <row r="756" ht="18" customHeight="1">
      <c r="A756" t="n">
        <v>16</v>
      </c>
      <c r="B756" s="78" t="inlineStr">
        <is>
          <t>DUTY</t>
        </is>
      </c>
      <c r="C756" s="79">
        <f>$AC$2+7*($A756-1)</f>
        <v/>
      </c>
      <c r="D756" s="80" t="n"/>
      <c r="E756" s="80" t="n"/>
      <c r="F756" s="81" t="n"/>
      <c r="G756" s="79">
        <f>C756+1</f>
        <v/>
      </c>
      <c r="H756" s="80" t="n"/>
      <c r="I756" s="80" t="n"/>
      <c r="J756" s="81" t="n"/>
      <c r="K756" s="79">
        <f>C756+2</f>
        <v/>
      </c>
      <c r="L756" s="80" t="n"/>
      <c r="M756" s="80" t="n"/>
      <c r="N756" s="81" t="n"/>
      <c r="O756" s="79">
        <f>C756+3</f>
        <v/>
      </c>
      <c r="P756" s="80" t="n"/>
      <c r="Q756" s="80" t="n"/>
      <c r="R756" s="81" t="n"/>
      <c r="S756" s="79">
        <f>C756+4</f>
        <v/>
      </c>
      <c r="T756" s="80" t="n"/>
      <c r="U756" s="80" t="n"/>
      <c r="V756" s="81" t="n"/>
      <c r="W756" s="82">
        <f>C756+5</f>
        <v/>
      </c>
      <c r="X756" s="83" t="n"/>
      <c r="Y756" s="82">
        <f>C756+6</f>
        <v/>
      </c>
      <c r="Z756" s="83" t="n"/>
      <c r="AB756" s="72" t="inlineStr">
        <is>
          <t>Gaps</t>
        </is>
      </c>
      <c r="AC756" s="72" t="inlineStr">
        <is>
          <t>Cover</t>
        </is>
      </c>
    </row>
    <row r="757" ht="14" customHeight="1">
      <c r="A757" t="n">
        <v>16</v>
      </c>
      <c r="B757" s="84" t="inlineStr">
        <is>
          <t>(from Setup)</t>
        </is>
      </c>
      <c r="C757" s="85" t="inlineStr">
        <is>
          <t>1</t>
        </is>
      </c>
      <c r="D757" s="85" t="inlineStr">
        <is>
          <t>2</t>
        </is>
      </c>
      <c r="E757" s="85" t="inlineStr">
        <is>
          <t>3</t>
        </is>
      </c>
      <c r="F757" s="85" t="inlineStr">
        <is>
          <t>Notes</t>
        </is>
      </c>
      <c r="G757" s="85" t="inlineStr">
        <is>
          <t>1</t>
        </is>
      </c>
      <c r="H757" s="85" t="inlineStr">
        <is>
          <t>2</t>
        </is>
      </c>
      <c r="I757" s="85" t="inlineStr">
        <is>
          <t>3</t>
        </is>
      </c>
      <c r="J757" s="85" t="inlineStr">
        <is>
          <t>Notes</t>
        </is>
      </c>
      <c r="K757" s="85" t="inlineStr">
        <is>
          <t>1</t>
        </is>
      </c>
      <c r="L757" s="85" t="inlineStr">
        <is>
          <t>2</t>
        </is>
      </c>
      <c r="M757" s="85" t="inlineStr">
        <is>
          <t>3</t>
        </is>
      </c>
      <c r="N757" s="85" t="inlineStr">
        <is>
          <t>Notes</t>
        </is>
      </c>
      <c r="O757" s="85" t="inlineStr">
        <is>
          <t>1</t>
        </is>
      </c>
      <c r="P757" s="85" t="inlineStr">
        <is>
          <t>2</t>
        </is>
      </c>
      <c r="Q757" s="85" t="inlineStr">
        <is>
          <t>3</t>
        </is>
      </c>
      <c r="R757" s="85" t="inlineStr">
        <is>
          <t>Notes</t>
        </is>
      </c>
      <c r="S757" s="85" t="inlineStr">
        <is>
          <t>1</t>
        </is>
      </c>
      <c r="T757" s="85" t="inlineStr">
        <is>
          <t>2</t>
        </is>
      </c>
      <c r="U757" s="85" t="inlineStr">
        <is>
          <t>3</t>
        </is>
      </c>
      <c r="V757" s="85" t="inlineStr">
        <is>
          <t>Notes</t>
        </is>
      </c>
      <c r="W757" s="85" t="inlineStr">
        <is>
          <t>Cover</t>
        </is>
      </c>
      <c r="X757" s="85" t="inlineStr">
        <is>
          <t>Notes</t>
        </is>
      </c>
      <c r="Y757" s="85" t="inlineStr">
        <is>
          <t>Cover</t>
        </is>
      </c>
      <c r="Z757" s="85" t="inlineStr">
        <is>
          <t>Notes</t>
        </is>
      </c>
      <c r="AB757" s="86" t="inlineStr">
        <is>
          <t>weekdays short</t>
        </is>
      </c>
      <c r="AC757" s="87" t="inlineStr"/>
    </row>
    <row r="758" ht="17" customHeight="1">
      <c r="A758" t="n">
        <v>16</v>
      </c>
      <c r="B758" s="24">
        <f>IF(Setup!$K$6="","",Setup!$K$6)</f>
        <v/>
      </c>
      <c r="C758" s="88" t="n"/>
      <c r="D758" s="88" t="n"/>
      <c r="E758" s="88" t="n"/>
      <c r="F758" s="89" t="n"/>
      <c r="G758" s="88" t="n"/>
      <c r="H758" s="88" t="n"/>
      <c r="I758" s="88" t="n"/>
      <c r="J758" s="89" t="n"/>
      <c r="K758" s="88" t="n"/>
      <c r="L758" s="88" t="n"/>
      <c r="M758" s="88" t="n"/>
      <c r="N758" s="89" t="n"/>
      <c r="O758" s="88" t="n"/>
      <c r="P758" s="88" t="n"/>
      <c r="Q758" s="88" t="n"/>
      <c r="R758" s="89" t="n"/>
      <c r="S758" s="88" t="n"/>
      <c r="T758" s="88" t="n"/>
      <c r="U758" s="88" t="n"/>
      <c r="V758" s="89" t="n"/>
      <c r="W758" s="88" t="n"/>
      <c r="X758" s="89" t="n"/>
      <c r="Y758" s="88" t="n"/>
      <c r="Z758" s="89" t="n"/>
      <c r="AB758" s="25">
        <f>IF($B758="","",(COUNTIF(C758:E758,"?*")&lt;N(INDEX(Setup!$L$6:$L$23,1)))+(COUNTIF(G758:I758,"?*")&lt;N(INDEX(Setup!$L$6:$L$23,1)))+(COUNTIF(K758:M758,"?*")&lt;N(INDEX(Setup!$L$6:$L$23,1)))+(COUNTIF(O758:Q758,"?*")&lt;N(INDEX(Setup!$L$6:$L$23,1)))+(COUNTIF(S758:U758,"?*")&lt;N(INDEX(Setup!$L$6:$L$23,1)))+((W758="")*(INDEX(Setup!$M$6:$M$23,1)="Y"))+((Y758="")*(INDEX(Setup!$M$6:$M$23,1)="Y")))</f>
        <v/>
      </c>
      <c r="AC758" s="90">
        <f>IF($B758="","",IF(AB758=0,"✓ covered","⚠ "&amp;AB758&amp;IF(AB758=1," gap"," gaps")))</f>
        <v/>
      </c>
    </row>
    <row r="759" ht="17" customHeight="1">
      <c r="A759" t="n">
        <v>16</v>
      </c>
      <c r="B759" s="29">
        <f>IF(Setup!$K$7="","",Setup!$K$7)</f>
        <v/>
      </c>
      <c r="C759" s="88" t="n"/>
      <c r="D759" s="88" t="n"/>
      <c r="E759" s="88" t="n"/>
      <c r="F759" s="89" t="n"/>
      <c r="G759" s="88" t="n"/>
      <c r="H759" s="88" t="n"/>
      <c r="I759" s="88" t="n"/>
      <c r="J759" s="89" t="n"/>
      <c r="K759" s="88" t="n"/>
      <c r="L759" s="88" t="n"/>
      <c r="M759" s="88" t="n"/>
      <c r="N759" s="89" t="n"/>
      <c r="O759" s="88" t="n"/>
      <c r="P759" s="88" t="n"/>
      <c r="Q759" s="88" t="n"/>
      <c r="R759" s="89" t="n"/>
      <c r="S759" s="88" t="n"/>
      <c r="T759" s="88" t="n"/>
      <c r="U759" s="88" t="n"/>
      <c r="V759" s="89" t="n"/>
      <c r="W759" s="88" t="n"/>
      <c r="X759" s="89" t="n"/>
      <c r="Y759" s="88" t="n"/>
      <c r="Z759" s="89" t="n"/>
      <c r="AB759" s="30">
        <f>IF($B759="","",(COUNTIF(C759:E759,"?*")&lt;N(INDEX(Setup!$L$6:$L$23,2)))+(COUNTIF(G759:I759,"?*")&lt;N(INDEX(Setup!$L$6:$L$23,2)))+(COUNTIF(K759:M759,"?*")&lt;N(INDEX(Setup!$L$6:$L$23,2)))+(COUNTIF(O759:Q759,"?*")&lt;N(INDEX(Setup!$L$6:$L$23,2)))+(COUNTIF(S759:U759,"?*")&lt;N(INDEX(Setup!$L$6:$L$23,2)))+((W759="")*(INDEX(Setup!$M$6:$M$23,2)="Y"))+((Y759="")*(INDEX(Setup!$M$6:$M$23,2)="Y")))</f>
        <v/>
      </c>
      <c r="AC759" s="91">
        <f>IF($B759="","",IF(AB759=0,"✓ covered","⚠ "&amp;AB759&amp;IF(AB759=1," gap"," gaps")))</f>
        <v/>
      </c>
    </row>
    <row r="760" ht="17" customHeight="1">
      <c r="A760" t="n">
        <v>16</v>
      </c>
      <c r="B760" s="24">
        <f>IF(Setup!$K$8="","",Setup!$K$8)</f>
        <v/>
      </c>
      <c r="C760" s="88" t="n"/>
      <c r="D760" s="88" t="n"/>
      <c r="E760" s="88" t="n"/>
      <c r="F760" s="89" t="n"/>
      <c r="G760" s="88" t="n"/>
      <c r="H760" s="88" t="n"/>
      <c r="I760" s="88" t="n"/>
      <c r="J760" s="89" t="n"/>
      <c r="K760" s="88" t="n"/>
      <c r="L760" s="88" t="n"/>
      <c r="M760" s="88" t="n"/>
      <c r="N760" s="89" t="n"/>
      <c r="O760" s="88" t="n"/>
      <c r="P760" s="88" t="n"/>
      <c r="Q760" s="88" t="n"/>
      <c r="R760" s="89" t="n"/>
      <c r="S760" s="88" t="n"/>
      <c r="T760" s="88" t="n"/>
      <c r="U760" s="88" t="n"/>
      <c r="V760" s="89" t="n"/>
      <c r="W760" s="88" t="n"/>
      <c r="X760" s="89" t="n"/>
      <c r="Y760" s="88" t="n"/>
      <c r="Z760" s="89" t="n"/>
      <c r="AB760" s="25">
        <f>IF($B760="","",(COUNTIF(C760:E760,"?*")&lt;N(INDEX(Setup!$L$6:$L$23,3)))+(COUNTIF(G760:I760,"?*")&lt;N(INDEX(Setup!$L$6:$L$23,3)))+(COUNTIF(K760:M760,"?*")&lt;N(INDEX(Setup!$L$6:$L$23,3)))+(COUNTIF(O760:Q760,"?*")&lt;N(INDEX(Setup!$L$6:$L$23,3)))+(COUNTIF(S760:U760,"?*")&lt;N(INDEX(Setup!$L$6:$L$23,3)))+((W760="")*(INDEX(Setup!$M$6:$M$23,3)="Y"))+((Y760="")*(INDEX(Setup!$M$6:$M$23,3)="Y")))</f>
        <v/>
      </c>
      <c r="AC760" s="90">
        <f>IF($B760="","",IF(AB760=0,"✓ covered","⚠ "&amp;AB760&amp;IF(AB760=1," gap"," gaps")))</f>
        <v/>
      </c>
    </row>
    <row r="761" ht="17" customHeight="1">
      <c r="A761" t="n">
        <v>16</v>
      </c>
      <c r="B761" s="29">
        <f>IF(Setup!$K$9="","",Setup!$K$9)</f>
        <v/>
      </c>
      <c r="C761" s="88" t="n"/>
      <c r="D761" s="88" t="n"/>
      <c r="E761" s="88" t="n"/>
      <c r="F761" s="89" t="n"/>
      <c r="G761" s="88" t="n"/>
      <c r="H761" s="88" t="n"/>
      <c r="I761" s="88" t="n"/>
      <c r="J761" s="89" t="n"/>
      <c r="K761" s="88" t="n"/>
      <c r="L761" s="88" t="n"/>
      <c r="M761" s="88" t="n"/>
      <c r="N761" s="89" t="n"/>
      <c r="O761" s="88" t="n"/>
      <c r="P761" s="88" t="n"/>
      <c r="Q761" s="88" t="n"/>
      <c r="R761" s="89" t="n"/>
      <c r="S761" s="88" t="n"/>
      <c r="T761" s="88" t="n"/>
      <c r="U761" s="88" t="n"/>
      <c r="V761" s="89" t="n"/>
      <c r="W761" s="88" t="n"/>
      <c r="X761" s="89" t="n"/>
      <c r="Y761" s="88" t="n"/>
      <c r="Z761" s="89" t="n"/>
      <c r="AB761" s="30">
        <f>IF($B761="","",(COUNTIF(C761:E761,"?*")&lt;N(INDEX(Setup!$L$6:$L$23,4)))+(COUNTIF(G761:I761,"?*")&lt;N(INDEX(Setup!$L$6:$L$23,4)))+(COUNTIF(K761:M761,"?*")&lt;N(INDEX(Setup!$L$6:$L$23,4)))+(COUNTIF(O761:Q761,"?*")&lt;N(INDEX(Setup!$L$6:$L$23,4)))+(COUNTIF(S761:U761,"?*")&lt;N(INDEX(Setup!$L$6:$L$23,4)))+((W761="")*(INDEX(Setup!$M$6:$M$23,4)="Y"))+((Y761="")*(INDEX(Setup!$M$6:$M$23,4)="Y")))</f>
        <v/>
      </c>
      <c r="AC761" s="91">
        <f>IF($B761="","",IF(AB761=0,"✓ covered","⚠ "&amp;AB761&amp;IF(AB761=1," gap"," gaps")))</f>
        <v/>
      </c>
    </row>
    <row r="762" ht="17" customHeight="1">
      <c r="A762" t="n">
        <v>16</v>
      </c>
      <c r="B762" s="24">
        <f>IF(Setup!$K$10="","",Setup!$K$10)</f>
        <v/>
      </c>
      <c r="C762" s="88" t="n"/>
      <c r="D762" s="88" t="n"/>
      <c r="E762" s="88" t="n"/>
      <c r="F762" s="89" t="n"/>
      <c r="G762" s="88" t="n"/>
      <c r="H762" s="88" t="n"/>
      <c r="I762" s="88" t="n"/>
      <c r="J762" s="89" t="n"/>
      <c r="K762" s="88" t="n"/>
      <c r="L762" s="88" t="n"/>
      <c r="M762" s="88" t="n"/>
      <c r="N762" s="89" t="n"/>
      <c r="O762" s="88" t="n"/>
      <c r="P762" s="88" t="n"/>
      <c r="Q762" s="88" t="n"/>
      <c r="R762" s="89" t="n"/>
      <c r="S762" s="88" t="n"/>
      <c r="T762" s="88" t="n"/>
      <c r="U762" s="88" t="n"/>
      <c r="V762" s="89" t="n"/>
      <c r="W762" s="88" t="n"/>
      <c r="X762" s="89" t="n"/>
      <c r="Y762" s="88" t="n"/>
      <c r="Z762" s="89" t="n"/>
      <c r="AB762" s="25">
        <f>IF($B762="","",(COUNTIF(C762:E762,"?*")&lt;N(INDEX(Setup!$L$6:$L$23,5)))+(COUNTIF(G762:I762,"?*")&lt;N(INDEX(Setup!$L$6:$L$23,5)))+(COUNTIF(K762:M762,"?*")&lt;N(INDEX(Setup!$L$6:$L$23,5)))+(COUNTIF(O762:Q762,"?*")&lt;N(INDEX(Setup!$L$6:$L$23,5)))+(COUNTIF(S762:U762,"?*")&lt;N(INDEX(Setup!$L$6:$L$23,5)))+((W762="")*(INDEX(Setup!$M$6:$M$23,5)="Y"))+((Y762="")*(INDEX(Setup!$M$6:$M$23,5)="Y")))</f>
        <v/>
      </c>
      <c r="AC762" s="90">
        <f>IF($B762="","",IF(AB762=0,"✓ covered","⚠ "&amp;AB762&amp;IF(AB762=1," gap"," gaps")))</f>
        <v/>
      </c>
    </row>
    <row r="763" ht="17" customHeight="1">
      <c r="A763" t="n">
        <v>16</v>
      </c>
      <c r="B763" s="29">
        <f>IF(Setup!$K$11="","",Setup!$K$11)</f>
        <v/>
      </c>
      <c r="C763" s="88" t="n"/>
      <c r="D763" s="88" t="n"/>
      <c r="E763" s="88" t="n"/>
      <c r="F763" s="89" t="n"/>
      <c r="G763" s="88" t="n"/>
      <c r="H763" s="88" t="n"/>
      <c r="I763" s="88" t="n"/>
      <c r="J763" s="89" t="n"/>
      <c r="K763" s="88" t="n"/>
      <c r="L763" s="88" t="n"/>
      <c r="M763" s="88" t="n"/>
      <c r="N763" s="89" t="n"/>
      <c r="O763" s="88" t="n"/>
      <c r="P763" s="88" t="n"/>
      <c r="Q763" s="88" t="n"/>
      <c r="R763" s="89" t="n"/>
      <c r="S763" s="88" t="n"/>
      <c r="T763" s="88" t="n"/>
      <c r="U763" s="88" t="n"/>
      <c r="V763" s="89" t="n"/>
      <c r="W763" s="88" t="n"/>
      <c r="X763" s="89" t="n"/>
      <c r="Y763" s="88" t="n"/>
      <c r="Z763" s="89" t="n"/>
      <c r="AB763" s="30">
        <f>IF($B763="","",(COUNTIF(C763:E763,"?*")&lt;N(INDEX(Setup!$L$6:$L$23,6)))+(COUNTIF(G763:I763,"?*")&lt;N(INDEX(Setup!$L$6:$L$23,6)))+(COUNTIF(K763:M763,"?*")&lt;N(INDEX(Setup!$L$6:$L$23,6)))+(COUNTIF(O763:Q763,"?*")&lt;N(INDEX(Setup!$L$6:$L$23,6)))+(COUNTIF(S763:U763,"?*")&lt;N(INDEX(Setup!$L$6:$L$23,6)))+((W763="")*(INDEX(Setup!$M$6:$M$23,6)="Y"))+((Y763="")*(INDEX(Setup!$M$6:$M$23,6)="Y")))</f>
        <v/>
      </c>
      <c r="AC763" s="91">
        <f>IF($B763="","",IF(AB763=0,"✓ covered","⚠ "&amp;AB763&amp;IF(AB763=1," gap"," gaps")))</f>
        <v/>
      </c>
    </row>
    <row r="764" ht="17" customHeight="1">
      <c r="A764" t="n">
        <v>16</v>
      </c>
      <c r="B764" s="24">
        <f>IF(Setup!$K$12="","",Setup!$K$12)</f>
        <v/>
      </c>
      <c r="C764" s="88" t="n"/>
      <c r="D764" s="88" t="n"/>
      <c r="E764" s="88" t="n"/>
      <c r="F764" s="89" t="n"/>
      <c r="G764" s="88" t="n"/>
      <c r="H764" s="88" t="n"/>
      <c r="I764" s="88" t="n"/>
      <c r="J764" s="89" t="n"/>
      <c r="K764" s="88" t="n"/>
      <c r="L764" s="88" t="n"/>
      <c r="M764" s="88" t="n"/>
      <c r="N764" s="89" t="n"/>
      <c r="O764" s="88" t="n"/>
      <c r="P764" s="88" t="n"/>
      <c r="Q764" s="88" t="n"/>
      <c r="R764" s="89" t="n"/>
      <c r="S764" s="88" t="n"/>
      <c r="T764" s="88" t="n"/>
      <c r="U764" s="88" t="n"/>
      <c r="V764" s="89" t="n"/>
      <c r="W764" s="88" t="n"/>
      <c r="X764" s="89" t="n"/>
      <c r="Y764" s="88" t="n"/>
      <c r="Z764" s="89" t="n"/>
      <c r="AB764" s="25">
        <f>IF($B764="","",(COUNTIF(C764:E764,"?*")&lt;N(INDEX(Setup!$L$6:$L$23,7)))+(COUNTIF(G764:I764,"?*")&lt;N(INDEX(Setup!$L$6:$L$23,7)))+(COUNTIF(K764:M764,"?*")&lt;N(INDEX(Setup!$L$6:$L$23,7)))+(COUNTIF(O764:Q764,"?*")&lt;N(INDEX(Setup!$L$6:$L$23,7)))+(COUNTIF(S764:U764,"?*")&lt;N(INDEX(Setup!$L$6:$L$23,7)))+((W764="")*(INDEX(Setup!$M$6:$M$23,7)="Y"))+((Y764="")*(INDEX(Setup!$M$6:$M$23,7)="Y")))</f>
        <v/>
      </c>
      <c r="AC764" s="90">
        <f>IF($B764="","",IF(AB764=0,"✓ covered","⚠ "&amp;AB764&amp;IF(AB764=1," gap"," gaps")))</f>
        <v/>
      </c>
    </row>
    <row r="765" ht="17" customHeight="1">
      <c r="A765" t="n">
        <v>16</v>
      </c>
      <c r="B765" s="29">
        <f>IF(Setup!$K$13="","",Setup!$K$13)</f>
        <v/>
      </c>
      <c r="C765" s="88" t="n"/>
      <c r="D765" s="88" t="n"/>
      <c r="E765" s="88" t="n"/>
      <c r="F765" s="89" t="n"/>
      <c r="G765" s="88" t="n"/>
      <c r="H765" s="88" t="n"/>
      <c r="I765" s="88" t="n"/>
      <c r="J765" s="89" t="n"/>
      <c r="K765" s="88" t="n"/>
      <c r="L765" s="88" t="n"/>
      <c r="M765" s="88" t="n"/>
      <c r="N765" s="89" t="n"/>
      <c r="O765" s="88" t="n"/>
      <c r="P765" s="88" t="n"/>
      <c r="Q765" s="88" t="n"/>
      <c r="R765" s="89" t="n"/>
      <c r="S765" s="88" t="n"/>
      <c r="T765" s="88" t="n"/>
      <c r="U765" s="88" t="n"/>
      <c r="V765" s="89" t="n"/>
      <c r="W765" s="88" t="n"/>
      <c r="X765" s="89" t="n"/>
      <c r="Y765" s="88" t="n"/>
      <c r="Z765" s="89" t="n"/>
      <c r="AB765" s="30">
        <f>IF($B765="","",(COUNTIF(C765:E765,"?*")&lt;N(INDEX(Setup!$L$6:$L$23,8)))+(COUNTIF(G765:I765,"?*")&lt;N(INDEX(Setup!$L$6:$L$23,8)))+(COUNTIF(K765:M765,"?*")&lt;N(INDEX(Setup!$L$6:$L$23,8)))+(COUNTIF(O765:Q765,"?*")&lt;N(INDEX(Setup!$L$6:$L$23,8)))+(COUNTIF(S765:U765,"?*")&lt;N(INDEX(Setup!$L$6:$L$23,8)))+((W765="")*(INDEX(Setup!$M$6:$M$23,8)="Y"))+((Y765="")*(INDEX(Setup!$M$6:$M$23,8)="Y")))</f>
        <v/>
      </c>
      <c r="AC765" s="91">
        <f>IF($B765="","",IF(AB765=0,"✓ covered","⚠ "&amp;AB765&amp;IF(AB765=1," gap"," gaps")))</f>
        <v/>
      </c>
    </row>
    <row r="766" ht="17" customHeight="1">
      <c r="A766" t="n">
        <v>16</v>
      </c>
      <c r="B766" s="24">
        <f>IF(Setup!$K$14="","",Setup!$K$14)</f>
        <v/>
      </c>
      <c r="C766" s="88" t="n"/>
      <c r="D766" s="88" t="n"/>
      <c r="E766" s="88" t="n"/>
      <c r="F766" s="89" t="n"/>
      <c r="G766" s="88" t="n"/>
      <c r="H766" s="88" t="n"/>
      <c r="I766" s="88" t="n"/>
      <c r="J766" s="89" t="n"/>
      <c r="K766" s="88" t="n"/>
      <c r="L766" s="88" t="n"/>
      <c r="M766" s="88" t="n"/>
      <c r="N766" s="89" t="n"/>
      <c r="O766" s="88" t="n"/>
      <c r="P766" s="88" t="n"/>
      <c r="Q766" s="88" t="n"/>
      <c r="R766" s="89" t="n"/>
      <c r="S766" s="88" t="n"/>
      <c r="T766" s="88" t="n"/>
      <c r="U766" s="88" t="n"/>
      <c r="V766" s="89" t="n"/>
      <c r="W766" s="88" t="n"/>
      <c r="X766" s="89" t="n"/>
      <c r="Y766" s="88" t="n"/>
      <c r="Z766" s="89" t="n"/>
      <c r="AB766" s="25">
        <f>IF($B766="","",(COUNTIF(C766:E766,"?*")&lt;N(INDEX(Setup!$L$6:$L$23,9)))+(COUNTIF(G766:I766,"?*")&lt;N(INDEX(Setup!$L$6:$L$23,9)))+(COUNTIF(K766:M766,"?*")&lt;N(INDEX(Setup!$L$6:$L$23,9)))+(COUNTIF(O766:Q766,"?*")&lt;N(INDEX(Setup!$L$6:$L$23,9)))+(COUNTIF(S766:U766,"?*")&lt;N(INDEX(Setup!$L$6:$L$23,9)))+((W766="")*(INDEX(Setup!$M$6:$M$23,9)="Y"))+((Y766="")*(INDEX(Setup!$M$6:$M$23,9)="Y")))</f>
        <v/>
      </c>
      <c r="AC766" s="90">
        <f>IF($B766="","",IF(AB766=0,"✓ covered","⚠ "&amp;AB766&amp;IF(AB766=1," gap"," gaps")))</f>
        <v/>
      </c>
    </row>
    <row r="767" ht="17" customHeight="1">
      <c r="A767" t="n">
        <v>16</v>
      </c>
      <c r="B767" s="29">
        <f>IF(Setup!$K$15="","",Setup!$K$15)</f>
        <v/>
      </c>
      <c r="C767" s="88" t="n"/>
      <c r="D767" s="88" t="n"/>
      <c r="E767" s="88" t="n"/>
      <c r="F767" s="89" t="n"/>
      <c r="G767" s="88" t="n"/>
      <c r="H767" s="88" t="n"/>
      <c r="I767" s="88" t="n"/>
      <c r="J767" s="89" t="n"/>
      <c r="K767" s="88" t="n"/>
      <c r="L767" s="88" t="n"/>
      <c r="M767" s="88" t="n"/>
      <c r="N767" s="89" t="n"/>
      <c r="O767" s="88" t="n"/>
      <c r="P767" s="88" t="n"/>
      <c r="Q767" s="88" t="n"/>
      <c r="R767" s="89" t="n"/>
      <c r="S767" s="88" t="n"/>
      <c r="T767" s="88" t="n"/>
      <c r="U767" s="88" t="n"/>
      <c r="V767" s="89" t="n"/>
      <c r="W767" s="88" t="n"/>
      <c r="X767" s="89" t="n"/>
      <c r="Y767" s="88" t="n"/>
      <c r="Z767" s="89" t="n"/>
      <c r="AB767" s="30">
        <f>IF($B767="","",(COUNTIF(C767:E767,"?*")&lt;N(INDEX(Setup!$L$6:$L$23,10)))+(COUNTIF(G767:I767,"?*")&lt;N(INDEX(Setup!$L$6:$L$23,10)))+(COUNTIF(K767:M767,"?*")&lt;N(INDEX(Setup!$L$6:$L$23,10)))+(COUNTIF(O767:Q767,"?*")&lt;N(INDEX(Setup!$L$6:$L$23,10)))+(COUNTIF(S767:U767,"?*")&lt;N(INDEX(Setup!$L$6:$L$23,10)))+((W767="")*(INDEX(Setup!$M$6:$M$23,10)="Y"))+((Y767="")*(INDEX(Setup!$M$6:$M$23,10)="Y")))</f>
        <v/>
      </c>
      <c r="AC767" s="91">
        <f>IF($B767="","",IF(AB767=0,"✓ covered","⚠ "&amp;AB767&amp;IF(AB767=1," gap"," gaps")))</f>
        <v/>
      </c>
    </row>
    <row r="768" ht="17" customHeight="1">
      <c r="A768" t="n">
        <v>16</v>
      </c>
      <c r="B768" s="24">
        <f>IF(Setup!$K$16="","",Setup!$K$16)</f>
        <v/>
      </c>
      <c r="C768" s="88" t="n"/>
      <c r="D768" s="88" t="n"/>
      <c r="E768" s="88" t="n"/>
      <c r="F768" s="89" t="n"/>
      <c r="G768" s="88" t="n"/>
      <c r="H768" s="88" t="n"/>
      <c r="I768" s="88" t="n"/>
      <c r="J768" s="89" t="n"/>
      <c r="K768" s="88" t="n"/>
      <c r="L768" s="88" t="n"/>
      <c r="M768" s="88" t="n"/>
      <c r="N768" s="89" t="n"/>
      <c r="O768" s="88" t="n"/>
      <c r="P768" s="88" t="n"/>
      <c r="Q768" s="88" t="n"/>
      <c r="R768" s="89" t="n"/>
      <c r="S768" s="88" t="n"/>
      <c r="T768" s="88" t="n"/>
      <c r="U768" s="88" t="n"/>
      <c r="V768" s="89" t="n"/>
      <c r="W768" s="88" t="n"/>
      <c r="X768" s="89" t="n"/>
      <c r="Y768" s="88" t="n"/>
      <c r="Z768" s="89" t="n"/>
      <c r="AB768" s="25">
        <f>IF($B768="","",(COUNTIF(C768:E768,"?*")&lt;N(INDEX(Setup!$L$6:$L$23,11)))+(COUNTIF(G768:I768,"?*")&lt;N(INDEX(Setup!$L$6:$L$23,11)))+(COUNTIF(K768:M768,"?*")&lt;N(INDEX(Setup!$L$6:$L$23,11)))+(COUNTIF(O768:Q768,"?*")&lt;N(INDEX(Setup!$L$6:$L$23,11)))+(COUNTIF(S768:U768,"?*")&lt;N(INDEX(Setup!$L$6:$L$23,11)))+((W768="")*(INDEX(Setup!$M$6:$M$23,11)="Y"))+((Y768="")*(INDEX(Setup!$M$6:$M$23,11)="Y")))</f>
        <v/>
      </c>
      <c r="AC768" s="90">
        <f>IF($B768="","",IF(AB768=0,"✓ covered","⚠ "&amp;AB768&amp;IF(AB768=1," gap"," gaps")))</f>
        <v/>
      </c>
    </row>
    <row r="769" ht="17" customHeight="1">
      <c r="A769" t="n">
        <v>16</v>
      </c>
      <c r="B769" s="29">
        <f>IF(Setup!$K$17="","",Setup!$K$17)</f>
        <v/>
      </c>
      <c r="C769" s="88" t="n"/>
      <c r="D769" s="88" t="n"/>
      <c r="E769" s="88" t="n"/>
      <c r="F769" s="89" t="n"/>
      <c r="G769" s="88" t="n"/>
      <c r="H769" s="88" t="n"/>
      <c r="I769" s="88" t="n"/>
      <c r="J769" s="89" t="n"/>
      <c r="K769" s="88" t="n"/>
      <c r="L769" s="88" t="n"/>
      <c r="M769" s="88" t="n"/>
      <c r="N769" s="89" t="n"/>
      <c r="O769" s="88" t="n"/>
      <c r="P769" s="88" t="n"/>
      <c r="Q769" s="88" t="n"/>
      <c r="R769" s="89" t="n"/>
      <c r="S769" s="88" t="n"/>
      <c r="T769" s="88" t="n"/>
      <c r="U769" s="88" t="n"/>
      <c r="V769" s="89" t="n"/>
      <c r="W769" s="88" t="n"/>
      <c r="X769" s="89" t="n"/>
      <c r="Y769" s="88" t="n"/>
      <c r="Z769" s="89" t="n"/>
      <c r="AB769" s="30">
        <f>IF($B769="","",(COUNTIF(C769:E769,"?*")&lt;N(INDEX(Setup!$L$6:$L$23,12)))+(COUNTIF(G769:I769,"?*")&lt;N(INDEX(Setup!$L$6:$L$23,12)))+(COUNTIF(K769:M769,"?*")&lt;N(INDEX(Setup!$L$6:$L$23,12)))+(COUNTIF(O769:Q769,"?*")&lt;N(INDEX(Setup!$L$6:$L$23,12)))+(COUNTIF(S769:U769,"?*")&lt;N(INDEX(Setup!$L$6:$L$23,12)))+((W769="")*(INDEX(Setup!$M$6:$M$23,12)="Y"))+((Y769="")*(INDEX(Setup!$M$6:$M$23,12)="Y")))</f>
        <v/>
      </c>
      <c r="AC769" s="91">
        <f>IF($B769="","",IF(AB769=0,"✓ covered","⚠ "&amp;AB769&amp;IF(AB769=1," gap"," gaps")))</f>
        <v/>
      </c>
    </row>
    <row r="770" ht="17" customHeight="1">
      <c r="A770" t="n">
        <v>16</v>
      </c>
      <c r="B770" s="24">
        <f>IF(Setup!$K$18="","",Setup!$K$18)</f>
        <v/>
      </c>
      <c r="C770" s="88" t="n"/>
      <c r="D770" s="88" t="n"/>
      <c r="E770" s="88" t="n"/>
      <c r="F770" s="89" t="n"/>
      <c r="G770" s="88" t="n"/>
      <c r="H770" s="88" t="n"/>
      <c r="I770" s="88" t="n"/>
      <c r="J770" s="89" t="n"/>
      <c r="K770" s="88" t="n"/>
      <c r="L770" s="88" t="n"/>
      <c r="M770" s="88" t="n"/>
      <c r="N770" s="89" t="n"/>
      <c r="O770" s="88" t="n"/>
      <c r="P770" s="88" t="n"/>
      <c r="Q770" s="88" t="n"/>
      <c r="R770" s="89" t="n"/>
      <c r="S770" s="88" t="n"/>
      <c r="T770" s="88" t="n"/>
      <c r="U770" s="88" t="n"/>
      <c r="V770" s="89" t="n"/>
      <c r="W770" s="88" t="n"/>
      <c r="X770" s="89" t="n"/>
      <c r="Y770" s="88" t="n"/>
      <c r="Z770" s="89" t="n"/>
      <c r="AB770" s="25">
        <f>IF($B770="","",(COUNTIF(C770:E770,"?*")&lt;N(INDEX(Setup!$L$6:$L$23,13)))+(COUNTIF(G770:I770,"?*")&lt;N(INDEX(Setup!$L$6:$L$23,13)))+(COUNTIF(K770:M770,"?*")&lt;N(INDEX(Setup!$L$6:$L$23,13)))+(COUNTIF(O770:Q770,"?*")&lt;N(INDEX(Setup!$L$6:$L$23,13)))+(COUNTIF(S770:U770,"?*")&lt;N(INDEX(Setup!$L$6:$L$23,13)))+((W770="")*(INDEX(Setup!$M$6:$M$23,13)="Y"))+((Y770="")*(INDEX(Setup!$M$6:$M$23,13)="Y")))</f>
        <v/>
      </c>
      <c r="AC770" s="90">
        <f>IF($B770="","",IF(AB770=0,"✓ covered","⚠ "&amp;AB770&amp;IF(AB770=1," gap"," gaps")))</f>
        <v/>
      </c>
    </row>
    <row r="771" ht="17" customHeight="1">
      <c r="A771" t="n">
        <v>16</v>
      </c>
      <c r="B771" s="29">
        <f>IF(Setup!$K$19="","",Setup!$K$19)</f>
        <v/>
      </c>
      <c r="C771" s="88" t="n"/>
      <c r="D771" s="88" t="n"/>
      <c r="E771" s="88" t="n"/>
      <c r="F771" s="89" t="n"/>
      <c r="G771" s="88" t="n"/>
      <c r="H771" s="88" t="n"/>
      <c r="I771" s="88" t="n"/>
      <c r="J771" s="89" t="n"/>
      <c r="K771" s="88" t="n"/>
      <c r="L771" s="88" t="n"/>
      <c r="M771" s="88" t="n"/>
      <c r="N771" s="89" t="n"/>
      <c r="O771" s="88" t="n"/>
      <c r="P771" s="88" t="n"/>
      <c r="Q771" s="88" t="n"/>
      <c r="R771" s="89" t="n"/>
      <c r="S771" s="88" t="n"/>
      <c r="T771" s="88" t="n"/>
      <c r="U771" s="88" t="n"/>
      <c r="V771" s="89" t="n"/>
      <c r="W771" s="88" t="n"/>
      <c r="X771" s="89" t="n"/>
      <c r="Y771" s="88" t="n"/>
      <c r="Z771" s="89" t="n"/>
      <c r="AB771" s="30">
        <f>IF($B771="","",(COUNTIF(C771:E771,"?*")&lt;N(INDEX(Setup!$L$6:$L$23,14)))+(COUNTIF(G771:I771,"?*")&lt;N(INDEX(Setup!$L$6:$L$23,14)))+(COUNTIF(K771:M771,"?*")&lt;N(INDEX(Setup!$L$6:$L$23,14)))+(COUNTIF(O771:Q771,"?*")&lt;N(INDEX(Setup!$L$6:$L$23,14)))+(COUNTIF(S771:U771,"?*")&lt;N(INDEX(Setup!$L$6:$L$23,14)))+((W771="")*(INDEX(Setup!$M$6:$M$23,14)="Y"))+((Y771="")*(INDEX(Setup!$M$6:$M$23,14)="Y")))</f>
        <v/>
      </c>
      <c r="AC771" s="91">
        <f>IF($B771="","",IF(AB771=0,"✓ covered","⚠ "&amp;AB771&amp;IF(AB771=1," gap"," gaps")))</f>
        <v/>
      </c>
    </row>
    <row r="772" ht="17" customHeight="1">
      <c r="A772" t="n">
        <v>16</v>
      </c>
      <c r="B772" s="24">
        <f>IF(Setup!$K$20="","",Setup!$K$20)</f>
        <v/>
      </c>
      <c r="C772" s="88" t="n"/>
      <c r="D772" s="88" t="n"/>
      <c r="E772" s="88" t="n"/>
      <c r="F772" s="89" t="n"/>
      <c r="G772" s="88" t="n"/>
      <c r="H772" s="88" t="n"/>
      <c r="I772" s="88" t="n"/>
      <c r="J772" s="89" t="n"/>
      <c r="K772" s="88" t="n"/>
      <c r="L772" s="88" t="n"/>
      <c r="M772" s="88" t="n"/>
      <c r="N772" s="89" t="n"/>
      <c r="O772" s="88" t="n"/>
      <c r="P772" s="88" t="n"/>
      <c r="Q772" s="88" t="n"/>
      <c r="R772" s="89" t="n"/>
      <c r="S772" s="88" t="n"/>
      <c r="T772" s="88" t="n"/>
      <c r="U772" s="88" t="n"/>
      <c r="V772" s="89" t="n"/>
      <c r="W772" s="88" t="n"/>
      <c r="X772" s="89" t="n"/>
      <c r="Y772" s="88" t="n"/>
      <c r="Z772" s="89" t="n"/>
      <c r="AB772" s="25">
        <f>IF($B772="","",(COUNTIF(C772:E772,"?*")&lt;N(INDEX(Setup!$L$6:$L$23,15)))+(COUNTIF(G772:I772,"?*")&lt;N(INDEX(Setup!$L$6:$L$23,15)))+(COUNTIF(K772:M772,"?*")&lt;N(INDEX(Setup!$L$6:$L$23,15)))+(COUNTIF(O772:Q772,"?*")&lt;N(INDEX(Setup!$L$6:$L$23,15)))+(COUNTIF(S772:U772,"?*")&lt;N(INDEX(Setup!$L$6:$L$23,15)))+((W772="")*(INDEX(Setup!$M$6:$M$23,15)="Y"))+((Y772="")*(INDEX(Setup!$M$6:$M$23,15)="Y")))</f>
        <v/>
      </c>
      <c r="AC772" s="90">
        <f>IF($B772="","",IF(AB772=0,"✓ covered","⚠ "&amp;AB772&amp;IF(AB772=1," gap"," gaps")))</f>
        <v/>
      </c>
    </row>
    <row r="773" ht="17" customHeight="1">
      <c r="A773" t="n">
        <v>16</v>
      </c>
      <c r="B773" s="29">
        <f>IF(Setup!$K$21="","",Setup!$K$21)</f>
        <v/>
      </c>
      <c r="C773" s="88" t="n"/>
      <c r="D773" s="88" t="n"/>
      <c r="E773" s="88" t="n"/>
      <c r="F773" s="89" t="n"/>
      <c r="G773" s="88" t="n"/>
      <c r="H773" s="88" t="n"/>
      <c r="I773" s="88" t="n"/>
      <c r="J773" s="89" t="n"/>
      <c r="K773" s="88" t="n"/>
      <c r="L773" s="88" t="n"/>
      <c r="M773" s="88" t="n"/>
      <c r="N773" s="89" t="n"/>
      <c r="O773" s="88" t="n"/>
      <c r="P773" s="88" t="n"/>
      <c r="Q773" s="88" t="n"/>
      <c r="R773" s="89" t="n"/>
      <c r="S773" s="88" t="n"/>
      <c r="T773" s="88" t="n"/>
      <c r="U773" s="88" t="n"/>
      <c r="V773" s="89" t="n"/>
      <c r="W773" s="88" t="n"/>
      <c r="X773" s="89" t="n"/>
      <c r="Y773" s="88" t="n"/>
      <c r="Z773" s="89" t="n"/>
      <c r="AB773" s="30">
        <f>IF($B773="","",(COUNTIF(C773:E773,"?*")&lt;N(INDEX(Setup!$L$6:$L$23,16)))+(COUNTIF(G773:I773,"?*")&lt;N(INDEX(Setup!$L$6:$L$23,16)))+(COUNTIF(K773:M773,"?*")&lt;N(INDEX(Setup!$L$6:$L$23,16)))+(COUNTIF(O773:Q773,"?*")&lt;N(INDEX(Setup!$L$6:$L$23,16)))+(COUNTIF(S773:U773,"?*")&lt;N(INDEX(Setup!$L$6:$L$23,16)))+((W773="")*(INDEX(Setup!$M$6:$M$23,16)="Y"))+((Y773="")*(INDEX(Setup!$M$6:$M$23,16)="Y")))</f>
        <v/>
      </c>
      <c r="AC773" s="91">
        <f>IF($B773="","",IF(AB773=0,"✓ covered","⚠ "&amp;AB773&amp;IF(AB773=1," gap"," gaps")))</f>
        <v/>
      </c>
    </row>
    <row r="774" ht="17" customHeight="1">
      <c r="A774" t="n">
        <v>16</v>
      </c>
      <c r="B774" s="24">
        <f>IF(Setup!$K$22="","",Setup!$K$22)</f>
        <v/>
      </c>
      <c r="C774" s="88" t="n"/>
      <c r="D774" s="88" t="n"/>
      <c r="E774" s="88" t="n"/>
      <c r="F774" s="89" t="n"/>
      <c r="G774" s="88" t="n"/>
      <c r="H774" s="88" t="n"/>
      <c r="I774" s="88" t="n"/>
      <c r="J774" s="89" t="n"/>
      <c r="K774" s="88" t="n"/>
      <c r="L774" s="88" t="n"/>
      <c r="M774" s="88" t="n"/>
      <c r="N774" s="89" t="n"/>
      <c r="O774" s="88" t="n"/>
      <c r="P774" s="88" t="n"/>
      <c r="Q774" s="88" t="n"/>
      <c r="R774" s="89" t="n"/>
      <c r="S774" s="88" t="n"/>
      <c r="T774" s="88" t="n"/>
      <c r="U774" s="88" t="n"/>
      <c r="V774" s="89" t="n"/>
      <c r="W774" s="88" t="n"/>
      <c r="X774" s="89" t="n"/>
      <c r="Y774" s="88" t="n"/>
      <c r="Z774" s="89" t="n"/>
      <c r="AB774" s="25">
        <f>IF($B774="","",(COUNTIF(C774:E774,"?*")&lt;N(INDEX(Setup!$L$6:$L$23,17)))+(COUNTIF(G774:I774,"?*")&lt;N(INDEX(Setup!$L$6:$L$23,17)))+(COUNTIF(K774:M774,"?*")&lt;N(INDEX(Setup!$L$6:$L$23,17)))+(COUNTIF(O774:Q774,"?*")&lt;N(INDEX(Setup!$L$6:$L$23,17)))+(COUNTIF(S774:U774,"?*")&lt;N(INDEX(Setup!$L$6:$L$23,17)))+((W774="")*(INDEX(Setup!$M$6:$M$23,17)="Y"))+((Y774="")*(INDEX(Setup!$M$6:$M$23,17)="Y")))</f>
        <v/>
      </c>
      <c r="AC774" s="90">
        <f>IF($B774="","",IF(AB774=0,"✓ covered","⚠ "&amp;AB774&amp;IF(AB774=1," gap"," gaps")))</f>
        <v/>
      </c>
    </row>
    <row r="775" ht="17" customHeight="1">
      <c r="A775" t="n">
        <v>16</v>
      </c>
      <c r="B775" s="29">
        <f>IF(Setup!$K$23="","",Setup!$K$23)</f>
        <v/>
      </c>
      <c r="C775" s="88" t="n"/>
      <c r="D775" s="88" t="n"/>
      <c r="E775" s="88" t="n"/>
      <c r="F775" s="89" t="n"/>
      <c r="G775" s="88" t="n"/>
      <c r="H775" s="88" t="n"/>
      <c r="I775" s="88" t="n"/>
      <c r="J775" s="89" t="n"/>
      <c r="K775" s="88" t="n"/>
      <c r="L775" s="88" t="n"/>
      <c r="M775" s="88" t="n"/>
      <c r="N775" s="89" t="n"/>
      <c r="O775" s="88" t="n"/>
      <c r="P775" s="88" t="n"/>
      <c r="Q775" s="88" t="n"/>
      <c r="R775" s="89" t="n"/>
      <c r="S775" s="88" t="n"/>
      <c r="T775" s="88" t="n"/>
      <c r="U775" s="88" t="n"/>
      <c r="V775" s="89" t="n"/>
      <c r="W775" s="88" t="n"/>
      <c r="X775" s="89" t="n"/>
      <c r="Y775" s="88" t="n"/>
      <c r="Z775" s="89" t="n"/>
      <c r="AB775" s="30">
        <f>IF($B775="","",(COUNTIF(C775:E775,"?*")&lt;N(INDEX(Setup!$L$6:$L$23,18)))+(COUNTIF(G775:I775,"?*")&lt;N(INDEX(Setup!$L$6:$L$23,18)))+(COUNTIF(K775:M775,"?*")&lt;N(INDEX(Setup!$L$6:$L$23,18)))+(COUNTIF(O775:Q775,"?*")&lt;N(INDEX(Setup!$L$6:$L$23,18)))+(COUNTIF(S775:U775,"?*")&lt;N(INDEX(Setup!$L$6:$L$23,18)))+((W775="")*(INDEX(Setup!$M$6:$M$23,18)="Y"))+((Y775="")*(INDEX(Setup!$M$6:$M$23,18)="Y")))</f>
        <v/>
      </c>
      <c r="AC775" s="91">
        <f>IF($B775="","",IF(AB775=0,"✓ covered","⚠ "&amp;AB775&amp;IF(AB775=1," gap"," gaps")))</f>
        <v/>
      </c>
    </row>
    <row r="776" ht="18" customHeight="1">
      <c r="A776" t="n">
        <v>16</v>
      </c>
      <c r="B776" s="78" t="inlineStr">
        <is>
          <t>TEAM AVAILABILITY</t>
        </is>
      </c>
      <c r="C776" s="92" t="inlineStr">
        <is>
          <t>Mon</t>
        </is>
      </c>
      <c r="D776" s="93" t="n"/>
      <c r="E776" s="93" t="n"/>
      <c r="F776" s="94" t="n"/>
      <c r="G776" s="92" t="inlineStr">
        <is>
          <t>Tue</t>
        </is>
      </c>
      <c r="H776" s="93" t="n"/>
      <c r="I776" s="93" t="n"/>
      <c r="J776" s="94" t="n"/>
      <c r="K776" s="92" t="inlineStr">
        <is>
          <t>Wed</t>
        </is>
      </c>
      <c r="L776" s="93" t="n"/>
      <c r="M776" s="93" t="n"/>
      <c r="N776" s="94" t="n"/>
      <c r="O776" s="92" t="inlineStr">
        <is>
          <t>Thu</t>
        </is>
      </c>
      <c r="P776" s="93" t="n"/>
      <c r="Q776" s="93" t="n"/>
      <c r="R776" s="94" t="n"/>
      <c r="S776" s="92" t="inlineStr">
        <is>
          <t>Fri</t>
        </is>
      </c>
      <c r="T776" s="93" t="n"/>
      <c r="U776" s="93" t="n"/>
      <c r="V776" s="94" t="n"/>
      <c r="W776" s="95" t="inlineStr">
        <is>
          <t>Sat</t>
        </is>
      </c>
      <c r="X776" s="96" t="n"/>
      <c r="Y776" s="95" t="inlineStr">
        <is>
          <t>Sun</t>
        </is>
      </c>
      <c r="Z776" s="96" t="n"/>
      <c r="AB776" s="97" t="inlineStr">
        <is>
          <t>Days rostered</t>
        </is>
      </c>
      <c r="AC776" s="97" t="inlineStr">
        <is>
          <t>Conflicts</t>
        </is>
      </c>
    </row>
    <row r="777" ht="15" customHeight="1">
      <c r="A777" t="n">
        <v>16</v>
      </c>
      <c r="B777" s="35">
        <f>IF(Setup!$B$6="","",Setup!$B$6)</f>
        <v/>
      </c>
      <c r="C777" s="98" t="n"/>
      <c r="D777" s="99" t="n"/>
      <c r="E777" s="99" t="n"/>
      <c r="F777" s="100" t="n"/>
      <c r="G777" s="98" t="n"/>
      <c r="H777" s="99" t="n"/>
      <c r="I777" s="99" t="n"/>
      <c r="J777" s="100" t="n"/>
      <c r="K777" s="98" t="n"/>
      <c r="L777" s="99" t="n"/>
      <c r="M777" s="99" t="n"/>
      <c r="N777" s="100" t="n"/>
      <c r="O777" s="98" t="n"/>
      <c r="P777" s="99" t="n"/>
      <c r="Q777" s="99" t="n"/>
      <c r="R777" s="100" t="n"/>
      <c r="S777" s="98" t="n"/>
      <c r="T777" s="99" t="n"/>
      <c r="U777" s="99" t="n"/>
      <c r="V777" s="100" t="n"/>
      <c r="W777" s="98" t="n"/>
      <c r="X777" s="100" t="n"/>
      <c r="Y777" s="98" t="n"/>
      <c r="Z777" s="100" t="n"/>
      <c r="AB777" s="101">
        <f>IF($B777="","",(COUNTIF(C758:E775,$B777)+COUNTIF(C758:E775,$B777&amp;" ~*")&gt;0)+(COUNTIF(G758:I775,$B777)+COUNTIF(G758:I775,$B777&amp;" ~*")&gt;0)+(COUNTIF(K758:M775,$B777)+COUNTIF(K758:M775,$B777&amp;" ~*")&gt;0)+(COUNTIF(O758:Q775,$B777)+COUNTIF(O758:Q775,$B777&amp;" ~*")&gt;0)+(COUNTIF(S758:U775,$B777)+COUNTIF(S758:U775,$B777&amp;" ~*")&gt;0)+(COUNTIF(W758:W775,$B777)+COUNTIF(W758:W775,$B777&amp;" ~*")&gt;0)+(COUNTIF(Y758:Y775,$B777)+COUNTIF(Y758:Y775,$B777&amp;" ~*")&gt;0))</f>
        <v/>
      </c>
      <c r="AC777" s="36">
        <f>IF($B777="","",(IFERROR(INDEX(Setup!$G$33:$G$40,MATCH(C777,Setup!$B$33:$B$40,0)),0)=1)*(COUNTIF(C758:E775,$B777)+COUNTIF(C758:E775,$B777&amp;" ~*")&gt;0)+(IFERROR(INDEX(Setup!$G$33:$G$40,MATCH(G777,Setup!$B$33:$B$40,0)),0)=1)*(COUNTIF(G758:I775,$B777)+COUNTIF(G758:I775,$B777&amp;" ~*")&gt;0)+(IFERROR(INDEX(Setup!$G$33:$G$40,MATCH(K777,Setup!$B$33:$B$40,0)),0)=1)*(COUNTIF(K758:M775,$B777)+COUNTIF(K758:M775,$B777&amp;" ~*")&gt;0)+(IFERROR(INDEX(Setup!$G$33:$G$40,MATCH(O777,Setup!$B$33:$B$40,0)),0)=1)*(COUNTIF(O758:Q775,$B777)+COUNTIF(O758:Q775,$B777&amp;" ~*")&gt;0)+(IFERROR(INDEX(Setup!$G$33:$G$40,MATCH(S777,Setup!$B$33:$B$40,0)),0)=1)*(COUNTIF(S758:U775,$B777)+COUNTIF(S758:U775,$B777&amp;" ~*")&gt;0)+(IFERROR(INDEX(Setup!$G$33:$G$40,MATCH(W777,Setup!$B$33:$B$40,0)),0)=1)*(COUNTIF(W758:W775,$B777)+COUNTIF(W758:W775,$B777&amp;" ~*")&gt;0)+(IFERROR(INDEX(Setup!$G$33:$G$40,MATCH(Y777,Setup!$B$33:$B$40,0)),0)=1)*(COUNTIF(Y758:Y775,$B777)+COUNTIF(Y758:Y775,$B777&amp;" ~*")&gt;0))</f>
        <v/>
      </c>
    </row>
    <row r="778" ht="15" customHeight="1">
      <c r="A778" t="n">
        <v>16</v>
      </c>
      <c r="B778" s="37">
        <f>IF(Setup!$B$7="","",Setup!$B$7)</f>
        <v/>
      </c>
      <c r="C778" s="102" t="n"/>
      <c r="D778" s="103" t="n"/>
      <c r="E778" s="103" t="n"/>
      <c r="F778" s="104" t="n"/>
      <c r="G778" s="102" t="n"/>
      <c r="H778" s="103" t="n"/>
      <c r="I778" s="103" t="n"/>
      <c r="J778" s="104" t="n"/>
      <c r="K778" s="102" t="n"/>
      <c r="L778" s="103" t="n"/>
      <c r="M778" s="103" t="n"/>
      <c r="N778" s="104" t="n"/>
      <c r="O778" s="102" t="n"/>
      <c r="P778" s="103" t="n"/>
      <c r="Q778" s="103" t="n"/>
      <c r="R778" s="104" t="n"/>
      <c r="S778" s="102" t="n"/>
      <c r="T778" s="103" t="n"/>
      <c r="U778" s="103" t="n"/>
      <c r="V778" s="104" t="n"/>
      <c r="W778" s="102" t="n"/>
      <c r="X778" s="104" t="n"/>
      <c r="Y778" s="102" t="n"/>
      <c r="Z778" s="104" t="n"/>
      <c r="AB778" s="105">
        <f>IF($B778="","",(COUNTIF(C758:E775,$B778)+COUNTIF(C758:E775,$B778&amp;" ~*")&gt;0)+(COUNTIF(G758:I775,$B778)+COUNTIF(G758:I775,$B778&amp;" ~*")&gt;0)+(COUNTIF(K758:M775,$B778)+COUNTIF(K758:M775,$B778&amp;" ~*")&gt;0)+(COUNTIF(O758:Q775,$B778)+COUNTIF(O758:Q775,$B778&amp;" ~*")&gt;0)+(COUNTIF(S758:U775,$B778)+COUNTIF(S758:U775,$B778&amp;" ~*")&gt;0)+(COUNTIF(W758:W775,$B778)+COUNTIF(W758:W775,$B778&amp;" ~*")&gt;0)+(COUNTIF(Y758:Y775,$B778)+COUNTIF(Y758:Y775,$B778&amp;" ~*")&gt;0))</f>
        <v/>
      </c>
      <c r="AC778" s="38">
        <f>IF($B778="","",(IFERROR(INDEX(Setup!$G$33:$G$40,MATCH(C778,Setup!$B$33:$B$40,0)),0)=1)*(COUNTIF(C758:E775,$B778)+COUNTIF(C758:E775,$B778&amp;" ~*")&gt;0)+(IFERROR(INDEX(Setup!$G$33:$G$40,MATCH(G778,Setup!$B$33:$B$40,0)),0)=1)*(COUNTIF(G758:I775,$B778)+COUNTIF(G758:I775,$B778&amp;" ~*")&gt;0)+(IFERROR(INDEX(Setup!$G$33:$G$40,MATCH(K778,Setup!$B$33:$B$40,0)),0)=1)*(COUNTIF(K758:M775,$B778)+COUNTIF(K758:M775,$B778&amp;" ~*")&gt;0)+(IFERROR(INDEX(Setup!$G$33:$G$40,MATCH(O778,Setup!$B$33:$B$40,0)),0)=1)*(COUNTIF(O758:Q775,$B778)+COUNTIF(O758:Q775,$B778&amp;" ~*")&gt;0)+(IFERROR(INDEX(Setup!$G$33:$G$40,MATCH(S778,Setup!$B$33:$B$40,0)),0)=1)*(COUNTIF(S758:U775,$B778)+COUNTIF(S758:U775,$B778&amp;" ~*")&gt;0)+(IFERROR(INDEX(Setup!$G$33:$G$40,MATCH(W778,Setup!$B$33:$B$40,0)),0)=1)*(COUNTIF(W758:W775,$B778)+COUNTIF(W758:W775,$B778&amp;" ~*")&gt;0)+(IFERROR(INDEX(Setup!$G$33:$G$40,MATCH(Y778,Setup!$B$33:$B$40,0)),0)=1)*(COUNTIF(Y758:Y775,$B778)+COUNTIF(Y758:Y775,$B778&amp;" ~*")&gt;0))</f>
        <v/>
      </c>
    </row>
    <row r="779" ht="15" customHeight="1">
      <c r="A779" t="n">
        <v>16</v>
      </c>
      <c r="B779" s="35">
        <f>IF(Setup!$B$8="","",Setup!$B$8)</f>
        <v/>
      </c>
      <c r="C779" s="98" t="n"/>
      <c r="D779" s="99" t="n"/>
      <c r="E779" s="99" t="n"/>
      <c r="F779" s="100" t="n"/>
      <c r="G779" s="98" t="n"/>
      <c r="H779" s="99" t="n"/>
      <c r="I779" s="99" t="n"/>
      <c r="J779" s="100" t="n"/>
      <c r="K779" s="98" t="n"/>
      <c r="L779" s="99" t="n"/>
      <c r="M779" s="99" t="n"/>
      <c r="N779" s="100" t="n"/>
      <c r="O779" s="98" t="n"/>
      <c r="P779" s="99" t="n"/>
      <c r="Q779" s="99" t="n"/>
      <c r="R779" s="100" t="n"/>
      <c r="S779" s="98" t="n"/>
      <c r="T779" s="99" t="n"/>
      <c r="U779" s="99" t="n"/>
      <c r="V779" s="100" t="n"/>
      <c r="W779" s="98" t="n"/>
      <c r="X779" s="100" t="n"/>
      <c r="Y779" s="98" t="n"/>
      <c r="Z779" s="100" t="n"/>
      <c r="AB779" s="101">
        <f>IF($B779="","",(COUNTIF(C758:E775,$B779)+COUNTIF(C758:E775,$B779&amp;" ~*")&gt;0)+(COUNTIF(G758:I775,$B779)+COUNTIF(G758:I775,$B779&amp;" ~*")&gt;0)+(COUNTIF(K758:M775,$B779)+COUNTIF(K758:M775,$B779&amp;" ~*")&gt;0)+(COUNTIF(O758:Q775,$B779)+COUNTIF(O758:Q775,$B779&amp;" ~*")&gt;0)+(COUNTIF(S758:U775,$B779)+COUNTIF(S758:U775,$B779&amp;" ~*")&gt;0)+(COUNTIF(W758:W775,$B779)+COUNTIF(W758:W775,$B779&amp;" ~*")&gt;0)+(COUNTIF(Y758:Y775,$B779)+COUNTIF(Y758:Y775,$B779&amp;" ~*")&gt;0))</f>
        <v/>
      </c>
      <c r="AC779" s="36">
        <f>IF($B779="","",(IFERROR(INDEX(Setup!$G$33:$G$40,MATCH(C779,Setup!$B$33:$B$40,0)),0)=1)*(COUNTIF(C758:E775,$B779)+COUNTIF(C758:E775,$B779&amp;" ~*")&gt;0)+(IFERROR(INDEX(Setup!$G$33:$G$40,MATCH(G779,Setup!$B$33:$B$40,0)),0)=1)*(COUNTIF(G758:I775,$B779)+COUNTIF(G758:I775,$B779&amp;" ~*")&gt;0)+(IFERROR(INDEX(Setup!$G$33:$G$40,MATCH(K779,Setup!$B$33:$B$40,0)),0)=1)*(COUNTIF(K758:M775,$B779)+COUNTIF(K758:M775,$B779&amp;" ~*")&gt;0)+(IFERROR(INDEX(Setup!$G$33:$G$40,MATCH(O779,Setup!$B$33:$B$40,0)),0)=1)*(COUNTIF(O758:Q775,$B779)+COUNTIF(O758:Q775,$B779&amp;" ~*")&gt;0)+(IFERROR(INDEX(Setup!$G$33:$G$40,MATCH(S779,Setup!$B$33:$B$40,0)),0)=1)*(COUNTIF(S758:U775,$B779)+COUNTIF(S758:U775,$B779&amp;" ~*")&gt;0)+(IFERROR(INDEX(Setup!$G$33:$G$40,MATCH(W779,Setup!$B$33:$B$40,0)),0)=1)*(COUNTIF(W758:W775,$B779)+COUNTIF(W758:W775,$B779&amp;" ~*")&gt;0)+(IFERROR(INDEX(Setup!$G$33:$G$40,MATCH(Y779,Setup!$B$33:$B$40,0)),0)=1)*(COUNTIF(Y758:Y775,$B779)+COUNTIF(Y758:Y775,$B779&amp;" ~*")&gt;0))</f>
        <v/>
      </c>
    </row>
    <row r="780" ht="15" customHeight="1">
      <c r="A780" t="n">
        <v>16</v>
      </c>
      <c r="B780" s="37">
        <f>IF(Setup!$B$9="","",Setup!$B$9)</f>
        <v/>
      </c>
      <c r="C780" s="102" t="n"/>
      <c r="D780" s="103" t="n"/>
      <c r="E780" s="103" t="n"/>
      <c r="F780" s="104" t="n"/>
      <c r="G780" s="102" t="n"/>
      <c r="H780" s="103" t="n"/>
      <c r="I780" s="103" t="n"/>
      <c r="J780" s="104" t="n"/>
      <c r="K780" s="102" t="n"/>
      <c r="L780" s="103" t="n"/>
      <c r="M780" s="103" t="n"/>
      <c r="N780" s="104" t="n"/>
      <c r="O780" s="102" t="n"/>
      <c r="P780" s="103" t="n"/>
      <c r="Q780" s="103" t="n"/>
      <c r="R780" s="104" t="n"/>
      <c r="S780" s="102" t="n"/>
      <c r="T780" s="103" t="n"/>
      <c r="U780" s="103" t="n"/>
      <c r="V780" s="104" t="n"/>
      <c r="W780" s="102" t="n"/>
      <c r="X780" s="104" t="n"/>
      <c r="Y780" s="102" t="n"/>
      <c r="Z780" s="104" t="n"/>
      <c r="AB780" s="105">
        <f>IF($B780="","",(COUNTIF(C758:E775,$B780)+COUNTIF(C758:E775,$B780&amp;" ~*")&gt;0)+(COUNTIF(G758:I775,$B780)+COUNTIF(G758:I775,$B780&amp;" ~*")&gt;0)+(COUNTIF(K758:M775,$B780)+COUNTIF(K758:M775,$B780&amp;" ~*")&gt;0)+(COUNTIF(O758:Q775,$B780)+COUNTIF(O758:Q775,$B780&amp;" ~*")&gt;0)+(COUNTIF(S758:U775,$B780)+COUNTIF(S758:U775,$B780&amp;" ~*")&gt;0)+(COUNTIF(W758:W775,$B780)+COUNTIF(W758:W775,$B780&amp;" ~*")&gt;0)+(COUNTIF(Y758:Y775,$B780)+COUNTIF(Y758:Y775,$B780&amp;" ~*")&gt;0))</f>
        <v/>
      </c>
      <c r="AC780" s="38">
        <f>IF($B780="","",(IFERROR(INDEX(Setup!$G$33:$G$40,MATCH(C780,Setup!$B$33:$B$40,0)),0)=1)*(COUNTIF(C758:E775,$B780)+COUNTIF(C758:E775,$B780&amp;" ~*")&gt;0)+(IFERROR(INDEX(Setup!$G$33:$G$40,MATCH(G780,Setup!$B$33:$B$40,0)),0)=1)*(COUNTIF(G758:I775,$B780)+COUNTIF(G758:I775,$B780&amp;" ~*")&gt;0)+(IFERROR(INDEX(Setup!$G$33:$G$40,MATCH(K780,Setup!$B$33:$B$40,0)),0)=1)*(COUNTIF(K758:M775,$B780)+COUNTIF(K758:M775,$B780&amp;" ~*")&gt;0)+(IFERROR(INDEX(Setup!$G$33:$G$40,MATCH(O780,Setup!$B$33:$B$40,0)),0)=1)*(COUNTIF(O758:Q775,$B780)+COUNTIF(O758:Q775,$B780&amp;" ~*")&gt;0)+(IFERROR(INDEX(Setup!$G$33:$G$40,MATCH(S780,Setup!$B$33:$B$40,0)),0)=1)*(COUNTIF(S758:U775,$B780)+COUNTIF(S758:U775,$B780&amp;" ~*")&gt;0)+(IFERROR(INDEX(Setup!$G$33:$G$40,MATCH(W780,Setup!$B$33:$B$40,0)),0)=1)*(COUNTIF(W758:W775,$B780)+COUNTIF(W758:W775,$B780&amp;" ~*")&gt;0)+(IFERROR(INDEX(Setup!$G$33:$G$40,MATCH(Y780,Setup!$B$33:$B$40,0)),0)=1)*(COUNTIF(Y758:Y775,$B780)+COUNTIF(Y758:Y775,$B780&amp;" ~*")&gt;0))</f>
        <v/>
      </c>
    </row>
    <row r="781" ht="15" customHeight="1">
      <c r="A781" t="n">
        <v>16</v>
      </c>
      <c r="B781" s="35">
        <f>IF(Setup!$B$10="","",Setup!$B$10)</f>
        <v/>
      </c>
      <c r="C781" s="98" t="n"/>
      <c r="D781" s="99" t="n"/>
      <c r="E781" s="99" t="n"/>
      <c r="F781" s="100" t="n"/>
      <c r="G781" s="98" t="n"/>
      <c r="H781" s="99" t="n"/>
      <c r="I781" s="99" t="n"/>
      <c r="J781" s="100" t="n"/>
      <c r="K781" s="98" t="n"/>
      <c r="L781" s="99" t="n"/>
      <c r="M781" s="99" t="n"/>
      <c r="N781" s="100" t="n"/>
      <c r="O781" s="98" t="n"/>
      <c r="P781" s="99" t="n"/>
      <c r="Q781" s="99" t="n"/>
      <c r="R781" s="100" t="n"/>
      <c r="S781" s="98" t="n"/>
      <c r="T781" s="99" t="n"/>
      <c r="U781" s="99" t="n"/>
      <c r="V781" s="100" t="n"/>
      <c r="W781" s="98" t="n"/>
      <c r="X781" s="100" t="n"/>
      <c r="Y781" s="98" t="n"/>
      <c r="Z781" s="100" t="n"/>
      <c r="AB781" s="101">
        <f>IF($B781="","",(COUNTIF(C758:E775,$B781)+COUNTIF(C758:E775,$B781&amp;" ~*")&gt;0)+(COUNTIF(G758:I775,$B781)+COUNTIF(G758:I775,$B781&amp;" ~*")&gt;0)+(COUNTIF(K758:M775,$B781)+COUNTIF(K758:M775,$B781&amp;" ~*")&gt;0)+(COUNTIF(O758:Q775,$B781)+COUNTIF(O758:Q775,$B781&amp;" ~*")&gt;0)+(COUNTIF(S758:U775,$B781)+COUNTIF(S758:U775,$B781&amp;" ~*")&gt;0)+(COUNTIF(W758:W775,$B781)+COUNTIF(W758:W775,$B781&amp;" ~*")&gt;0)+(COUNTIF(Y758:Y775,$B781)+COUNTIF(Y758:Y775,$B781&amp;" ~*")&gt;0))</f>
        <v/>
      </c>
      <c r="AC781" s="36">
        <f>IF($B781="","",(IFERROR(INDEX(Setup!$G$33:$G$40,MATCH(C781,Setup!$B$33:$B$40,0)),0)=1)*(COUNTIF(C758:E775,$B781)+COUNTIF(C758:E775,$B781&amp;" ~*")&gt;0)+(IFERROR(INDEX(Setup!$G$33:$G$40,MATCH(G781,Setup!$B$33:$B$40,0)),0)=1)*(COUNTIF(G758:I775,$B781)+COUNTIF(G758:I775,$B781&amp;" ~*")&gt;0)+(IFERROR(INDEX(Setup!$G$33:$G$40,MATCH(K781,Setup!$B$33:$B$40,0)),0)=1)*(COUNTIF(K758:M775,$B781)+COUNTIF(K758:M775,$B781&amp;" ~*")&gt;0)+(IFERROR(INDEX(Setup!$G$33:$G$40,MATCH(O781,Setup!$B$33:$B$40,0)),0)=1)*(COUNTIF(O758:Q775,$B781)+COUNTIF(O758:Q775,$B781&amp;" ~*")&gt;0)+(IFERROR(INDEX(Setup!$G$33:$G$40,MATCH(S781,Setup!$B$33:$B$40,0)),0)=1)*(COUNTIF(S758:U775,$B781)+COUNTIF(S758:U775,$B781&amp;" ~*")&gt;0)+(IFERROR(INDEX(Setup!$G$33:$G$40,MATCH(W781,Setup!$B$33:$B$40,0)),0)=1)*(COUNTIF(W758:W775,$B781)+COUNTIF(W758:W775,$B781&amp;" ~*")&gt;0)+(IFERROR(INDEX(Setup!$G$33:$G$40,MATCH(Y781,Setup!$B$33:$B$40,0)),0)=1)*(COUNTIF(Y758:Y775,$B781)+COUNTIF(Y758:Y775,$B781&amp;" ~*")&gt;0))</f>
        <v/>
      </c>
    </row>
    <row r="782" ht="15" customHeight="1">
      <c r="A782" t="n">
        <v>16</v>
      </c>
      <c r="B782" s="37">
        <f>IF(Setup!$B$11="","",Setup!$B$11)</f>
        <v/>
      </c>
      <c r="C782" s="102" t="n"/>
      <c r="D782" s="103" t="n"/>
      <c r="E782" s="103" t="n"/>
      <c r="F782" s="104" t="n"/>
      <c r="G782" s="102" t="n"/>
      <c r="H782" s="103" t="n"/>
      <c r="I782" s="103" t="n"/>
      <c r="J782" s="104" t="n"/>
      <c r="K782" s="102" t="n"/>
      <c r="L782" s="103" t="n"/>
      <c r="M782" s="103" t="n"/>
      <c r="N782" s="104" t="n"/>
      <c r="O782" s="102" t="n"/>
      <c r="P782" s="103" t="n"/>
      <c r="Q782" s="103" t="n"/>
      <c r="R782" s="104" t="n"/>
      <c r="S782" s="102" t="n"/>
      <c r="T782" s="103" t="n"/>
      <c r="U782" s="103" t="n"/>
      <c r="V782" s="104" t="n"/>
      <c r="W782" s="102" t="n"/>
      <c r="X782" s="104" t="n"/>
      <c r="Y782" s="102" t="n"/>
      <c r="Z782" s="104" t="n"/>
      <c r="AB782" s="105">
        <f>IF($B782="","",(COUNTIF(C758:E775,$B782)+COUNTIF(C758:E775,$B782&amp;" ~*")&gt;0)+(COUNTIF(G758:I775,$B782)+COUNTIF(G758:I775,$B782&amp;" ~*")&gt;0)+(COUNTIF(K758:M775,$B782)+COUNTIF(K758:M775,$B782&amp;" ~*")&gt;0)+(COUNTIF(O758:Q775,$B782)+COUNTIF(O758:Q775,$B782&amp;" ~*")&gt;0)+(COUNTIF(S758:U775,$B782)+COUNTIF(S758:U775,$B782&amp;" ~*")&gt;0)+(COUNTIF(W758:W775,$B782)+COUNTIF(W758:W775,$B782&amp;" ~*")&gt;0)+(COUNTIF(Y758:Y775,$B782)+COUNTIF(Y758:Y775,$B782&amp;" ~*")&gt;0))</f>
        <v/>
      </c>
      <c r="AC782" s="38">
        <f>IF($B782="","",(IFERROR(INDEX(Setup!$G$33:$G$40,MATCH(C782,Setup!$B$33:$B$40,0)),0)=1)*(COUNTIF(C758:E775,$B782)+COUNTIF(C758:E775,$B782&amp;" ~*")&gt;0)+(IFERROR(INDEX(Setup!$G$33:$G$40,MATCH(G782,Setup!$B$33:$B$40,0)),0)=1)*(COUNTIF(G758:I775,$B782)+COUNTIF(G758:I775,$B782&amp;" ~*")&gt;0)+(IFERROR(INDEX(Setup!$G$33:$G$40,MATCH(K782,Setup!$B$33:$B$40,0)),0)=1)*(COUNTIF(K758:M775,$B782)+COUNTIF(K758:M775,$B782&amp;" ~*")&gt;0)+(IFERROR(INDEX(Setup!$G$33:$G$40,MATCH(O782,Setup!$B$33:$B$40,0)),0)=1)*(COUNTIF(O758:Q775,$B782)+COUNTIF(O758:Q775,$B782&amp;" ~*")&gt;0)+(IFERROR(INDEX(Setup!$G$33:$G$40,MATCH(S782,Setup!$B$33:$B$40,0)),0)=1)*(COUNTIF(S758:U775,$B782)+COUNTIF(S758:U775,$B782&amp;" ~*")&gt;0)+(IFERROR(INDEX(Setup!$G$33:$G$40,MATCH(W782,Setup!$B$33:$B$40,0)),0)=1)*(COUNTIF(W758:W775,$B782)+COUNTIF(W758:W775,$B782&amp;" ~*")&gt;0)+(IFERROR(INDEX(Setup!$G$33:$G$40,MATCH(Y782,Setup!$B$33:$B$40,0)),0)=1)*(COUNTIF(Y758:Y775,$B782)+COUNTIF(Y758:Y775,$B782&amp;" ~*")&gt;0))</f>
        <v/>
      </c>
    </row>
    <row r="783" ht="15" customHeight="1">
      <c r="A783" t="n">
        <v>16</v>
      </c>
      <c r="B783" s="35">
        <f>IF(Setup!$B$12="","",Setup!$B$12)</f>
        <v/>
      </c>
      <c r="C783" s="98" t="n"/>
      <c r="D783" s="99" t="n"/>
      <c r="E783" s="99" t="n"/>
      <c r="F783" s="100" t="n"/>
      <c r="G783" s="98" t="n"/>
      <c r="H783" s="99" t="n"/>
      <c r="I783" s="99" t="n"/>
      <c r="J783" s="100" t="n"/>
      <c r="K783" s="98" t="n"/>
      <c r="L783" s="99" t="n"/>
      <c r="M783" s="99" t="n"/>
      <c r="N783" s="100" t="n"/>
      <c r="O783" s="98" t="n"/>
      <c r="P783" s="99" t="n"/>
      <c r="Q783" s="99" t="n"/>
      <c r="R783" s="100" t="n"/>
      <c r="S783" s="98" t="n"/>
      <c r="T783" s="99" t="n"/>
      <c r="U783" s="99" t="n"/>
      <c r="V783" s="100" t="n"/>
      <c r="W783" s="98" t="n"/>
      <c r="X783" s="100" t="n"/>
      <c r="Y783" s="98" t="n"/>
      <c r="Z783" s="100" t="n"/>
      <c r="AB783" s="101">
        <f>IF($B783="","",(COUNTIF(C758:E775,$B783)+COUNTIF(C758:E775,$B783&amp;" ~*")&gt;0)+(COUNTIF(G758:I775,$B783)+COUNTIF(G758:I775,$B783&amp;" ~*")&gt;0)+(COUNTIF(K758:M775,$B783)+COUNTIF(K758:M775,$B783&amp;" ~*")&gt;0)+(COUNTIF(O758:Q775,$B783)+COUNTIF(O758:Q775,$B783&amp;" ~*")&gt;0)+(COUNTIF(S758:U775,$B783)+COUNTIF(S758:U775,$B783&amp;" ~*")&gt;0)+(COUNTIF(W758:W775,$B783)+COUNTIF(W758:W775,$B783&amp;" ~*")&gt;0)+(COUNTIF(Y758:Y775,$B783)+COUNTIF(Y758:Y775,$B783&amp;" ~*")&gt;0))</f>
        <v/>
      </c>
      <c r="AC783" s="36">
        <f>IF($B783="","",(IFERROR(INDEX(Setup!$G$33:$G$40,MATCH(C783,Setup!$B$33:$B$40,0)),0)=1)*(COUNTIF(C758:E775,$B783)+COUNTIF(C758:E775,$B783&amp;" ~*")&gt;0)+(IFERROR(INDEX(Setup!$G$33:$G$40,MATCH(G783,Setup!$B$33:$B$40,0)),0)=1)*(COUNTIF(G758:I775,$B783)+COUNTIF(G758:I775,$B783&amp;" ~*")&gt;0)+(IFERROR(INDEX(Setup!$G$33:$G$40,MATCH(K783,Setup!$B$33:$B$40,0)),0)=1)*(COUNTIF(K758:M775,$B783)+COUNTIF(K758:M775,$B783&amp;" ~*")&gt;0)+(IFERROR(INDEX(Setup!$G$33:$G$40,MATCH(O783,Setup!$B$33:$B$40,0)),0)=1)*(COUNTIF(O758:Q775,$B783)+COUNTIF(O758:Q775,$B783&amp;" ~*")&gt;0)+(IFERROR(INDEX(Setup!$G$33:$G$40,MATCH(S783,Setup!$B$33:$B$40,0)),0)=1)*(COUNTIF(S758:U775,$B783)+COUNTIF(S758:U775,$B783&amp;" ~*")&gt;0)+(IFERROR(INDEX(Setup!$G$33:$G$40,MATCH(W783,Setup!$B$33:$B$40,0)),0)=1)*(COUNTIF(W758:W775,$B783)+COUNTIF(W758:W775,$B783&amp;" ~*")&gt;0)+(IFERROR(INDEX(Setup!$G$33:$G$40,MATCH(Y783,Setup!$B$33:$B$40,0)),0)=1)*(COUNTIF(Y758:Y775,$B783)+COUNTIF(Y758:Y775,$B783&amp;" ~*")&gt;0))</f>
        <v/>
      </c>
    </row>
    <row r="784" ht="15" customHeight="1">
      <c r="A784" t="n">
        <v>16</v>
      </c>
      <c r="B784" s="37">
        <f>IF(Setup!$B$13="","",Setup!$B$13)</f>
        <v/>
      </c>
      <c r="C784" s="102" t="n"/>
      <c r="D784" s="103" t="n"/>
      <c r="E784" s="103" t="n"/>
      <c r="F784" s="104" t="n"/>
      <c r="G784" s="102" t="n"/>
      <c r="H784" s="103" t="n"/>
      <c r="I784" s="103" t="n"/>
      <c r="J784" s="104" t="n"/>
      <c r="K784" s="102" t="n"/>
      <c r="L784" s="103" t="n"/>
      <c r="M784" s="103" t="n"/>
      <c r="N784" s="104" t="n"/>
      <c r="O784" s="102" t="n"/>
      <c r="P784" s="103" t="n"/>
      <c r="Q784" s="103" t="n"/>
      <c r="R784" s="104" t="n"/>
      <c r="S784" s="102" t="n"/>
      <c r="T784" s="103" t="n"/>
      <c r="U784" s="103" t="n"/>
      <c r="V784" s="104" t="n"/>
      <c r="W784" s="102" t="n"/>
      <c r="X784" s="104" t="n"/>
      <c r="Y784" s="102" t="n"/>
      <c r="Z784" s="104" t="n"/>
      <c r="AB784" s="105">
        <f>IF($B784="","",(COUNTIF(C758:E775,$B784)+COUNTIF(C758:E775,$B784&amp;" ~*")&gt;0)+(COUNTIF(G758:I775,$B784)+COUNTIF(G758:I775,$B784&amp;" ~*")&gt;0)+(COUNTIF(K758:M775,$B784)+COUNTIF(K758:M775,$B784&amp;" ~*")&gt;0)+(COUNTIF(O758:Q775,$B784)+COUNTIF(O758:Q775,$B784&amp;" ~*")&gt;0)+(COUNTIF(S758:U775,$B784)+COUNTIF(S758:U775,$B784&amp;" ~*")&gt;0)+(COUNTIF(W758:W775,$B784)+COUNTIF(W758:W775,$B784&amp;" ~*")&gt;0)+(COUNTIF(Y758:Y775,$B784)+COUNTIF(Y758:Y775,$B784&amp;" ~*")&gt;0))</f>
        <v/>
      </c>
      <c r="AC784" s="38">
        <f>IF($B784="","",(IFERROR(INDEX(Setup!$G$33:$G$40,MATCH(C784,Setup!$B$33:$B$40,0)),0)=1)*(COUNTIF(C758:E775,$B784)+COUNTIF(C758:E775,$B784&amp;" ~*")&gt;0)+(IFERROR(INDEX(Setup!$G$33:$G$40,MATCH(G784,Setup!$B$33:$B$40,0)),0)=1)*(COUNTIF(G758:I775,$B784)+COUNTIF(G758:I775,$B784&amp;" ~*")&gt;0)+(IFERROR(INDEX(Setup!$G$33:$G$40,MATCH(K784,Setup!$B$33:$B$40,0)),0)=1)*(COUNTIF(K758:M775,$B784)+COUNTIF(K758:M775,$B784&amp;" ~*")&gt;0)+(IFERROR(INDEX(Setup!$G$33:$G$40,MATCH(O784,Setup!$B$33:$B$40,0)),0)=1)*(COUNTIF(O758:Q775,$B784)+COUNTIF(O758:Q775,$B784&amp;" ~*")&gt;0)+(IFERROR(INDEX(Setup!$G$33:$G$40,MATCH(S784,Setup!$B$33:$B$40,0)),0)=1)*(COUNTIF(S758:U775,$B784)+COUNTIF(S758:U775,$B784&amp;" ~*")&gt;0)+(IFERROR(INDEX(Setup!$G$33:$G$40,MATCH(W784,Setup!$B$33:$B$40,0)),0)=1)*(COUNTIF(W758:W775,$B784)+COUNTIF(W758:W775,$B784&amp;" ~*")&gt;0)+(IFERROR(INDEX(Setup!$G$33:$G$40,MATCH(Y784,Setup!$B$33:$B$40,0)),0)=1)*(COUNTIF(Y758:Y775,$B784)+COUNTIF(Y758:Y775,$B784&amp;" ~*")&gt;0))</f>
        <v/>
      </c>
    </row>
    <row r="785" ht="15" customHeight="1">
      <c r="A785" t="n">
        <v>16</v>
      </c>
      <c r="B785" s="35">
        <f>IF(Setup!$B$14="","",Setup!$B$14)</f>
        <v/>
      </c>
      <c r="C785" s="98" t="n"/>
      <c r="D785" s="99" t="n"/>
      <c r="E785" s="99" t="n"/>
      <c r="F785" s="100" t="n"/>
      <c r="G785" s="98" t="n"/>
      <c r="H785" s="99" t="n"/>
      <c r="I785" s="99" t="n"/>
      <c r="J785" s="100" t="n"/>
      <c r="K785" s="98" t="n"/>
      <c r="L785" s="99" t="n"/>
      <c r="M785" s="99" t="n"/>
      <c r="N785" s="100" t="n"/>
      <c r="O785" s="98" t="n"/>
      <c r="P785" s="99" t="n"/>
      <c r="Q785" s="99" t="n"/>
      <c r="R785" s="100" t="n"/>
      <c r="S785" s="98" t="n"/>
      <c r="T785" s="99" t="n"/>
      <c r="U785" s="99" t="n"/>
      <c r="V785" s="100" t="n"/>
      <c r="W785" s="98" t="n"/>
      <c r="X785" s="100" t="n"/>
      <c r="Y785" s="98" t="n"/>
      <c r="Z785" s="100" t="n"/>
      <c r="AB785" s="101">
        <f>IF($B785="","",(COUNTIF(C758:E775,$B785)+COUNTIF(C758:E775,$B785&amp;" ~*")&gt;0)+(COUNTIF(G758:I775,$B785)+COUNTIF(G758:I775,$B785&amp;" ~*")&gt;0)+(COUNTIF(K758:M775,$B785)+COUNTIF(K758:M775,$B785&amp;" ~*")&gt;0)+(COUNTIF(O758:Q775,$B785)+COUNTIF(O758:Q775,$B785&amp;" ~*")&gt;0)+(COUNTIF(S758:U775,$B785)+COUNTIF(S758:U775,$B785&amp;" ~*")&gt;0)+(COUNTIF(W758:W775,$B785)+COUNTIF(W758:W775,$B785&amp;" ~*")&gt;0)+(COUNTIF(Y758:Y775,$B785)+COUNTIF(Y758:Y775,$B785&amp;" ~*")&gt;0))</f>
        <v/>
      </c>
      <c r="AC785" s="36">
        <f>IF($B785="","",(IFERROR(INDEX(Setup!$G$33:$G$40,MATCH(C785,Setup!$B$33:$B$40,0)),0)=1)*(COUNTIF(C758:E775,$B785)+COUNTIF(C758:E775,$B785&amp;" ~*")&gt;0)+(IFERROR(INDEX(Setup!$G$33:$G$40,MATCH(G785,Setup!$B$33:$B$40,0)),0)=1)*(COUNTIF(G758:I775,$B785)+COUNTIF(G758:I775,$B785&amp;" ~*")&gt;0)+(IFERROR(INDEX(Setup!$G$33:$G$40,MATCH(K785,Setup!$B$33:$B$40,0)),0)=1)*(COUNTIF(K758:M775,$B785)+COUNTIF(K758:M775,$B785&amp;" ~*")&gt;0)+(IFERROR(INDEX(Setup!$G$33:$G$40,MATCH(O785,Setup!$B$33:$B$40,0)),0)=1)*(COUNTIF(O758:Q775,$B785)+COUNTIF(O758:Q775,$B785&amp;" ~*")&gt;0)+(IFERROR(INDEX(Setup!$G$33:$G$40,MATCH(S785,Setup!$B$33:$B$40,0)),0)=1)*(COUNTIF(S758:U775,$B785)+COUNTIF(S758:U775,$B785&amp;" ~*")&gt;0)+(IFERROR(INDEX(Setup!$G$33:$G$40,MATCH(W785,Setup!$B$33:$B$40,0)),0)=1)*(COUNTIF(W758:W775,$B785)+COUNTIF(W758:W775,$B785&amp;" ~*")&gt;0)+(IFERROR(INDEX(Setup!$G$33:$G$40,MATCH(Y785,Setup!$B$33:$B$40,0)),0)=1)*(COUNTIF(Y758:Y775,$B785)+COUNTIF(Y758:Y775,$B785&amp;" ~*")&gt;0))</f>
        <v/>
      </c>
    </row>
    <row r="786" ht="15" customHeight="1">
      <c r="A786" t="n">
        <v>16</v>
      </c>
      <c r="B786" s="37">
        <f>IF(Setup!$B$15="","",Setup!$B$15)</f>
        <v/>
      </c>
      <c r="C786" s="102" t="n"/>
      <c r="D786" s="103" t="n"/>
      <c r="E786" s="103" t="n"/>
      <c r="F786" s="104" t="n"/>
      <c r="G786" s="102" t="n"/>
      <c r="H786" s="103" t="n"/>
      <c r="I786" s="103" t="n"/>
      <c r="J786" s="104" t="n"/>
      <c r="K786" s="102" t="n"/>
      <c r="L786" s="103" t="n"/>
      <c r="M786" s="103" t="n"/>
      <c r="N786" s="104" t="n"/>
      <c r="O786" s="102" t="n"/>
      <c r="P786" s="103" t="n"/>
      <c r="Q786" s="103" t="n"/>
      <c r="R786" s="104" t="n"/>
      <c r="S786" s="102" t="n"/>
      <c r="T786" s="103" t="n"/>
      <c r="U786" s="103" t="n"/>
      <c r="V786" s="104" t="n"/>
      <c r="W786" s="102" t="n"/>
      <c r="X786" s="104" t="n"/>
      <c r="Y786" s="102" t="n"/>
      <c r="Z786" s="104" t="n"/>
      <c r="AB786" s="105">
        <f>IF($B786="","",(COUNTIF(C758:E775,$B786)+COUNTIF(C758:E775,$B786&amp;" ~*")&gt;0)+(COUNTIF(G758:I775,$B786)+COUNTIF(G758:I775,$B786&amp;" ~*")&gt;0)+(COUNTIF(K758:M775,$B786)+COUNTIF(K758:M775,$B786&amp;" ~*")&gt;0)+(COUNTIF(O758:Q775,$B786)+COUNTIF(O758:Q775,$B786&amp;" ~*")&gt;0)+(COUNTIF(S758:U775,$B786)+COUNTIF(S758:U775,$B786&amp;" ~*")&gt;0)+(COUNTIF(W758:W775,$B786)+COUNTIF(W758:W775,$B786&amp;" ~*")&gt;0)+(COUNTIF(Y758:Y775,$B786)+COUNTIF(Y758:Y775,$B786&amp;" ~*")&gt;0))</f>
        <v/>
      </c>
      <c r="AC786" s="38">
        <f>IF($B786="","",(IFERROR(INDEX(Setup!$G$33:$G$40,MATCH(C786,Setup!$B$33:$B$40,0)),0)=1)*(COUNTIF(C758:E775,$B786)+COUNTIF(C758:E775,$B786&amp;" ~*")&gt;0)+(IFERROR(INDEX(Setup!$G$33:$G$40,MATCH(G786,Setup!$B$33:$B$40,0)),0)=1)*(COUNTIF(G758:I775,$B786)+COUNTIF(G758:I775,$B786&amp;" ~*")&gt;0)+(IFERROR(INDEX(Setup!$G$33:$G$40,MATCH(K786,Setup!$B$33:$B$40,0)),0)=1)*(COUNTIF(K758:M775,$B786)+COUNTIF(K758:M775,$B786&amp;" ~*")&gt;0)+(IFERROR(INDEX(Setup!$G$33:$G$40,MATCH(O786,Setup!$B$33:$B$40,0)),0)=1)*(COUNTIF(O758:Q775,$B786)+COUNTIF(O758:Q775,$B786&amp;" ~*")&gt;0)+(IFERROR(INDEX(Setup!$G$33:$G$40,MATCH(S786,Setup!$B$33:$B$40,0)),0)=1)*(COUNTIF(S758:U775,$B786)+COUNTIF(S758:U775,$B786&amp;" ~*")&gt;0)+(IFERROR(INDEX(Setup!$G$33:$G$40,MATCH(W786,Setup!$B$33:$B$40,0)),0)=1)*(COUNTIF(W758:W775,$B786)+COUNTIF(W758:W775,$B786&amp;" ~*")&gt;0)+(IFERROR(INDEX(Setup!$G$33:$G$40,MATCH(Y786,Setup!$B$33:$B$40,0)),0)=1)*(COUNTIF(Y758:Y775,$B786)+COUNTIF(Y758:Y775,$B786&amp;" ~*")&gt;0))</f>
        <v/>
      </c>
    </row>
    <row r="787" ht="15" customHeight="1">
      <c r="A787" t="n">
        <v>16</v>
      </c>
      <c r="B787" s="35">
        <f>IF(Setup!$B$16="","",Setup!$B$16)</f>
        <v/>
      </c>
      <c r="C787" s="98" t="n"/>
      <c r="D787" s="99" t="n"/>
      <c r="E787" s="99" t="n"/>
      <c r="F787" s="100" t="n"/>
      <c r="G787" s="98" t="n"/>
      <c r="H787" s="99" t="n"/>
      <c r="I787" s="99" t="n"/>
      <c r="J787" s="100" t="n"/>
      <c r="K787" s="98" t="n"/>
      <c r="L787" s="99" t="n"/>
      <c r="M787" s="99" t="n"/>
      <c r="N787" s="100" t="n"/>
      <c r="O787" s="98" t="n"/>
      <c r="P787" s="99" t="n"/>
      <c r="Q787" s="99" t="n"/>
      <c r="R787" s="100" t="n"/>
      <c r="S787" s="98" t="n"/>
      <c r="T787" s="99" t="n"/>
      <c r="U787" s="99" t="n"/>
      <c r="V787" s="100" t="n"/>
      <c r="W787" s="98" t="n"/>
      <c r="X787" s="100" t="n"/>
      <c r="Y787" s="98" t="n"/>
      <c r="Z787" s="100" t="n"/>
      <c r="AB787" s="101">
        <f>IF($B787="","",(COUNTIF(C758:E775,$B787)+COUNTIF(C758:E775,$B787&amp;" ~*")&gt;0)+(COUNTIF(G758:I775,$B787)+COUNTIF(G758:I775,$B787&amp;" ~*")&gt;0)+(COUNTIF(K758:M775,$B787)+COUNTIF(K758:M775,$B787&amp;" ~*")&gt;0)+(COUNTIF(O758:Q775,$B787)+COUNTIF(O758:Q775,$B787&amp;" ~*")&gt;0)+(COUNTIF(S758:U775,$B787)+COUNTIF(S758:U775,$B787&amp;" ~*")&gt;0)+(COUNTIF(W758:W775,$B787)+COUNTIF(W758:W775,$B787&amp;" ~*")&gt;0)+(COUNTIF(Y758:Y775,$B787)+COUNTIF(Y758:Y775,$B787&amp;" ~*")&gt;0))</f>
        <v/>
      </c>
      <c r="AC787" s="36">
        <f>IF($B787="","",(IFERROR(INDEX(Setup!$G$33:$G$40,MATCH(C787,Setup!$B$33:$B$40,0)),0)=1)*(COUNTIF(C758:E775,$B787)+COUNTIF(C758:E775,$B787&amp;" ~*")&gt;0)+(IFERROR(INDEX(Setup!$G$33:$G$40,MATCH(G787,Setup!$B$33:$B$40,0)),0)=1)*(COUNTIF(G758:I775,$B787)+COUNTIF(G758:I775,$B787&amp;" ~*")&gt;0)+(IFERROR(INDEX(Setup!$G$33:$G$40,MATCH(K787,Setup!$B$33:$B$40,0)),0)=1)*(COUNTIF(K758:M775,$B787)+COUNTIF(K758:M775,$B787&amp;" ~*")&gt;0)+(IFERROR(INDEX(Setup!$G$33:$G$40,MATCH(O787,Setup!$B$33:$B$40,0)),0)=1)*(COUNTIF(O758:Q775,$B787)+COUNTIF(O758:Q775,$B787&amp;" ~*")&gt;0)+(IFERROR(INDEX(Setup!$G$33:$G$40,MATCH(S787,Setup!$B$33:$B$40,0)),0)=1)*(COUNTIF(S758:U775,$B787)+COUNTIF(S758:U775,$B787&amp;" ~*")&gt;0)+(IFERROR(INDEX(Setup!$G$33:$G$40,MATCH(W787,Setup!$B$33:$B$40,0)),0)=1)*(COUNTIF(W758:W775,$B787)+COUNTIF(W758:W775,$B787&amp;" ~*")&gt;0)+(IFERROR(INDEX(Setup!$G$33:$G$40,MATCH(Y787,Setup!$B$33:$B$40,0)),0)=1)*(COUNTIF(Y758:Y775,$B787)+COUNTIF(Y758:Y775,$B787&amp;" ~*")&gt;0))</f>
        <v/>
      </c>
    </row>
    <row r="788" ht="15" customHeight="1">
      <c r="A788" t="n">
        <v>16</v>
      </c>
      <c r="B788" s="37">
        <f>IF(Setup!$B$17="","",Setup!$B$17)</f>
        <v/>
      </c>
      <c r="C788" s="102" t="n"/>
      <c r="D788" s="103" t="n"/>
      <c r="E788" s="103" t="n"/>
      <c r="F788" s="104" t="n"/>
      <c r="G788" s="102" t="n"/>
      <c r="H788" s="103" t="n"/>
      <c r="I788" s="103" t="n"/>
      <c r="J788" s="104" t="n"/>
      <c r="K788" s="102" t="n"/>
      <c r="L788" s="103" t="n"/>
      <c r="M788" s="103" t="n"/>
      <c r="N788" s="104" t="n"/>
      <c r="O788" s="102" t="n"/>
      <c r="P788" s="103" t="n"/>
      <c r="Q788" s="103" t="n"/>
      <c r="R788" s="104" t="n"/>
      <c r="S788" s="102" t="n"/>
      <c r="T788" s="103" t="n"/>
      <c r="U788" s="103" t="n"/>
      <c r="V788" s="104" t="n"/>
      <c r="W788" s="102" t="n"/>
      <c r="X788" s="104" t="n"/>
      <c r="Y788" s="102" t="n"/>
      <c r="Z788" s="104" t="n"/>
      <c r="AB788" s="105">
        <f>IF($B788="","",(COUNTIF(C758:E775,$B788)+COUNTIF(C758:E775,$B788&amp;" ~*")&gt;0)+(COUNTIF(G758:I775,$B788)+COUNTIF(G758:I775,$B788&amp;" ~*")&gt;0)+(COUNTIF(K758:M775,$B788)+COUNTIF(K758:M775,$B788&amp;" ~*")&gt;0)+(COUNTIF(O758:Q775,$B788)+COUNTIF(O758:Q775,$B788&amp;" ~*")&gt;0)+(COUNTIF(S758:U775,$B788)+COUNTIF(S758:U775,$B788&amp;" ~*")&gt;0)+(COUNTIF(W758:W775,$B788)+COUNTIF(W758:W775,$B788&amp;" ~*")&gt;0)+(COUNTIF(Y758:Y775,$B788)+COUNTIF(Y758:Y775,$B788&amp;" ~*")&gt;0))</f>
        <v/>
      </c>
      <c r="AC788" s="38">
        <f>IF($B788="","",(IFERROR(INDEX(Setup!$G$33:$G$40,MATCH(C788,Setup!$B$33:$B$40,0)),0)=1)*(COUNTIF(C758:E775,$B788)+COUNTIF(C758:E775,$B788&amp;" ~*")&gt;0)+(IFERROR(INDEX(Setup!$G$33:$G$40,MATCH(G788,Setup!$B$33:$B$40,0)),0)=1)*(COUNTIF(G758:I775,$B788)+COUNTIF(G758:I775,$B788&amp;" ~*")&gt;0)+(IFERROR(INDEX(Setup!$G$33:$G$40,MATCH(K788,Setup!$B$33:$B$40,0)),0)=1)*(COUNTIF(K758:M775,$B788)+COUNTIF(K758:M775,$B788&amp;" ~*")&gt;0)+(IFERROR(INDEX(Setup!$G$33:$G$40,MATCH(O788,Setup!$B$33:$B$40,0)),0)=1)*(COUNTIF(O758:Q775,$B788)+COUNTIF(O758:Q775,$B788&amp;" ~*")&gt;0)+(IFERROR(INDEX(Setup!$G$33:$G$40,MATCH(S788,Setup!$B$33:$B$40,0)),0)=1)*(COUNTIF(S758:U775,$B788)+COUNTIF(S758:U775,$B788&amp;" ~*")&gt;0)+(IFERROR(INDEX(Setup!$G$33:$G$40,MATCH(W788,Setup!$B$33:$B$40,0)),0)=1)*(COUNTIF(W758:W775,$B788)+COUNTIF(W758:W775,$B788&amp;" ~*")&gt;0)+(IFERROR(INDEX(Setup!$G$33:$G$40,MATCH(Y788,Setup!$B$33:$B$40,0)),0)=1)*(COUNTIF(Y758:Y775,$B788)+COUNTIF(Y758:Y775,$B788&amp;" ~*")&gt;0))</f>
        <v/>
      </c>
    </row>
    <row r="789" ht="15" customHeight="1">
      <c r="A789" t="n">
        <v>16</v>
      </c>
      <c r="B789" s="35">
        <f>IF(Setup!$B$18="","",Setup!$B$18)</f>
        <v/>
      </c>
      <c r="C789" s="98" t="n"/>
      <c r="D789" s="99" t="n"/>
      <c r="E789" s="99" t="n"/>
      <c r="F789" s="100" t="n"/>
      <c r="G789" s="98" t="n"/>
      <c r="H789" s="99" t="n"/>
      <c r="I789" s="99" t="n"/>
      <c r="J789" s="100" t="n"/>
      <c r="K789" s="98" t="n"/>
      <c r="L789" s="99" t="n"/>
      <c r="M789" s="99" t="n"/>
      <c r="N789" s="100" t="n"/>
      <c r="O789" s="98" t="n"/>
      <c r="P789" s="99" t="n"/>
      <c r="Q789" s="99" t="n"/>
      <c r="R789" s="100" t="n"/>
      <c r="S789" s="98" t="n"/>
      <c r="T789" s="99" t="n"/>
      <c r="U789" s="99" t="n"/>
      <c r="V789" s="100" t="n"/>
      <c r="W789" s="98" t="n"/>
      <c r="X789" s="100" t="n"/>
      <c r="Y789" s="98" t="n"/>
      <c r="Z789" s="100" t="n"/>
      <c r="AB789" s="101">
        <f>IF($B789="","",(COUNTIF(C758:E775,$B789)+COUNTIF(C758:E775,$B789&amp;" ~*")&gt;0)+(COUNTIF(G758:I775,$B789)+COUNTIF(G758:I775,$B789&amp;" ~*")&gt;0)+(COUNTIF(K758:M775,$B789)+COUNTIF(K758:M775,$B789&amp;" ~*")&gt;0)+(COUNTIF(O758:Q775,$B789)+COUNTIF(O758:Q775,$B789&amp;" ~*")&gt;0)+(COUNTIF(S758:U775,$B789)+COUNTIF(S758:U775,$B789&amp;" ~*")&gt;0)+(COUNTIF(W758:W775,$B789)+COUNTIF(W758:W775,$B789&amp;" ~*")&gt;0)+(COUNTIF(Y758:Y775,$B789)+COUNTIF(Y758:Y775,$B789&amp;" ~*")&gt;0))</f>
        <v/>
      </c>
      <c r="AC789" s="36">
        <f>IF($B789="","",(IFERROR(INDEX(Setup!$G$33:$G$40,MATCH(C789,Setup!$B$33:$B$40,0)),0)=1)*(COUNTIF(C758:E775,$B789)+COUNTIF(C758:E775,$B789&amp;" ~*")&gt;0)+(IFERROR(INDEX(Setup!$G$33:$G$40,MATCH(G789,Setup!$B$33:$B$40,0)),0)=1)*(COUNTIF(G758:I775,$B789)+COUNTIF(G758:I775,$B789&amp;" ~*")&gt;0)+(IFERROR(INDEX(Setup!$G$33:$G$40,MATCH(K789,Setup!$B$33:$B$40,0)),0)=1)*(COUNTIF(K758:M775,$B789)+COUNTIF(K758:M775,$B789&amp;" ~*")&gt;0)+(IFERROR(INDEX(Setup!$G$33:$G$40,MATCH(O789,Setup!$B$33:$B$40,0)),0)=1)*(COUNTIF(O758:Q775,$B789)+COUNTIF(O758:Q775,$B789&amp;" ~*")&gt;0)+(IFERROR(INDEX(Setup!$G$33:$G$40,MATCH(S789,Setup!$B$33:$B$40,0)),0)=1)*(COUNTIF(S758:U775,$B789)+COUNTIF(S758:U775,$B789&amp;" ~*")&gt;0)+(IFERROR(INDEX(Setup!$G$33:$G$40,MATCH(W789,Setup!$B$33:$B$40,0)),0)=1)*(COUNTIF(W758:W775,$B789)+COUNTIF(W758:W775,$B789&amp;" ~*")&gt;0)+(IFERROR(INDEX(Setup!$G$33:$G$40,MATCH(Y789,Setup!$B$33:$B$40,0)),0)=1)*(COUNTIF(Y758:Y775,$B789)+COUNTIF(Y758:Y775,$B789&amp;" ~*")&gt;0))</f>
        <v/>
      </c>
    </row>
    <row r="790" ht="15" customHeight="1">
      <c r="A790" t="n">
        <v>16</v>
      </c>
      <c r="B790" s="37">
        <f>IF(Setup!$B$19="","",Setup!$B$19)</f>
        <v/>
      </c>
      <c r="C790" s="102" t="n"/>
      <c r="D790" s="103" t="n"/>
      <c r="E790" s="103" t="n"/>
      <c r="F790" s="104" t="n"/>
      <c r="G790" s="102" t="n"/>
      <c r="H790" s="103" t="n"/>
      <c r="I790" s="103" t="n"/>
      <c r="J790" s="104" t="n"/>
      <c r="K790" s="102" t="n"/>
      <c r="L790" s="103" t="n"/>
      <c r="M790" s="103" t="n"/>
      <c r="N790" s="104" t="n"/>
      <c r="O790" s="102" t="n"/>
      <c r="P790" s="103" t="n"/>
      <c r="Q790" s="103" t="n"/>
      <c r="R790" s="104" t="n"/>
      <c r="S790" s="102" t="n"/>
      <c r="T790" s="103" t="n"/>
      <c r="U790" s="103" t="n"/>
      <c r="V790" s="104" t="n"/>
      <c r="W790" s="102" t="n"/>
      <c r="X790" s="104" t="n"/>
      <c r="Y790" s="102" t="n"/>
      <c r="Z790" s="104" t="n"/>
      <c r="AB790" s="105">
        <f>IF($B790="","",(COUNTIF(C758:E775,$B790)+COUNTIF(C758:E775,$B790&amp;" ~*")&gt;0)+(COUNTIF(G758:I775,$B790)+COUNTIF(G758:I775,$B790&amp;" ~*")&gt;0)+(COUNTIF(K758:M775,$B790)+COUNTIF(K758:M775,$B790&amp;" ~*")&gt;0)+(COUNTIF(O758:Q775,$B790)+COUNTIF(O758:Q775,$B790&amp;" ~*")&gt;0)+(COUNTIF(S758:U775,$B790)+COUNTIF(S758:U775,$B790&amp;" ~*")&gt;0)+(COUNTIF(W758:W775,$B790)+COUNTIF(W758:W775,$B790&amp;" ~*")&gt;0)+(COUNTIF(Y758:Y775,$B790)+COUNTIF(Y758:Y775,$B790&amp;" ~*")&gt;0))</f>
        <v/>
      </c>
      <c r="AC790" s="38">
        <f>IF($B790="","",(IFERROR(INDEX(Setup!$G$33:$G$40,MATCH(C790,Setup!$B$33:$B$40,0)),0)=1)*(COUNTIF(C758:E775,$B790)+COUNTIF(C758:E775,$B790&amp;" ~*")&gt;0)+(IFERROR(INDEX(Setup!$G$33:$G$40,MATCH(G790,Setup!$B$33:$B$40,0)),0)=1)*(COUNTIF(G758:I775,$B790)+COUNTIF(G758:I775,$B790&amp;" ~*")&gt;0)+(IFERROR(INDEX(Setup!$G$33:$G$40,MATCH(K790,Setup!$B$33:$B$40,0)),0)=1)*(COUNTIF(K758:M775,$B790)+COUNTIF(K758:M775,$B790&amp;" ~*")&gt;0)+(IFERROR(INDEX(Setup!$G$33:$G$40,MATCH(O790,Setup!$B$33:$B$40,0)),0)=1)*(COUNTIF(O758:Q775,$B790)+COUNTIF(O758:Q775,$B790&amp;" ~*")&gt;0)+(IFERROR(INDEX(Setup!$G$33:$G$40,MATCH(S790,Setup!$B$33:$B$40,0)),0)=1)*(COUNTIF(S758:U775,$B790)+COUNTIF(S758:U775,$B790&amp;" ~*")&gt;0)+(IFERROR(INDEX(Setup!$G$33:$G$40,MATCH(W790,Setup!$B$33:$B$40,0)),0)=1)*(COUNTIF(W758:W775,$B790)+COUNTIF(W758:W775,$B790&amp;" ~*")&gt;0)+(IFERROR(INDEX(Setup!$G$33:$G$40,MATCH(Y790,Setup!$B$33:$B$40,0)),0)=1)*(COUNTIF(Y758:Y775,$B790)+COUNTIF(Y758:Y775,$B790&amp;" ~*")&gt;0))</f>
        <v/>
      </c>
    </row>
    <row r="791" ht="15" customHeight="1">
      <c r="A791" t="n">
        <v>16</v>
      </c>
      <c r="B791" s="35">
        <f>IF(Setup!$B$20="","",Setup!$B$20)</f>
        <v/>
      </c>
      <c r="C791" s="98" t="n"/>
      <c r="D791" s="99" t="n"/>
      <c r="E791" s="99" t="n"/>
      <c r="F791" s="100" t="n"/>
      <c r="G791" s="98" t="n"/>
      <c r="H791" s="99" t="n"/>
      <c r="I791" s="99" t="n"/>
      <c r="J791" s="100" t="n"/>
      <c r="K791" s="98" t="n"/>
      <c r="L791" s="99" t="n"/>
      <c r="M791" s="99" t="n"/>
      <c r="N791" s="100" t="n"/>
      <c r="O791" s="98" t="n"/>
      <c r="P791" s="99" t="n"/>
      <c r="Q791" s="99" t="n"/>
      <c r="R791" s="100" t="n"/>
      <c r="S791" s="98" t="n"/>
      <c r="T791" s="99" t="n"/>
      <c r="U791" s="99" t="n"/>
      <c r="V791" s="100" t="n"/>
      <c r="W791" s="98" t="n"/>
      <c r="X791" s="100" t="n"/>
      <c r="Y791" s="98" t="n"/>
      <c r="Z791" s="100" t="n"/>
      <c r="AB791" s="101">
        <f>IF($B791="","",(COUNTIF(C758:E775,$B791)+COUNTIF(C758:E775,$B791&amp;" ~*")&gt;0)+(COUNTIF(G758:I775,$B791)+COUNTIF(G758:I775,$B791&amp;" ~*")&gt;0)+(COUNTIF(K758:M775,$B791)+COUNTIF(K758:M775,$B791&amp;" ~*")&gt;0)+(COUNTIF(O758:Q775,$B791)+COUNTIF(O758:Q775,$B791&amp;" ~*")&gt;0)+(COUNTIF(S758:U775,$B791)+COUNTIF(S758:U775,$B791&amp;" ~*")&gt;0)+(COUNTIF(W758:W775,$B791)+COUNTIF(W758:W775,$B791&amp;" ~*")&gt;0)+(COUNTIF(Y758:Y775,$B791)+COUNTIF(Y758:Y775,$B791&amp;" ~*")&gt;0))</f>
        <v/>
      </c>
      <c r="AC791" s="36">
        <f>IF($B791="","",(IFERROR(INDEX(Setup!$G$33:$G$40,MATCH(C791,Setup!$B$33:$B$40,0)),0)=1)*(COUNTIF(C758:E775,$B791)+COUNTIF(C758:E775,$B791&amp;" ~*")&gt;0)+(IFERROR(INDEX(Setup!$G$33:$G$40,MATCH(G791,Setup!$B$33:$B$40,0)),0)=1)*(COUNTIF(G758:I775,$B791)+COUNTIF(G758:I775,$B791&amp;" ~*")&gt;0)+(IFERROR(INDEX(Setup!$G$33:$G$40,MATCH(K791,Setup!$B$33:$B$40,0)),0)=1)*(COUNTIF(K758:M775,$B791)+COUNTIF(K758:M775,$B791&amp;" ~*")&gt;0)+(IFERROR(INDEX(Setup!$G$33:$G$40,MATCH(O791,Setup!$B$33:$B$40,0)),0)=1)*(COUNTIF(O758:Q775,$B791)+COUNTIF(O758:Q775,$B791&amp;" ~*")&gt;0)+(IFERROR(INDEX(Setup!$G$33:$G$40,MATCH(S791,Setup!$B$33:$B$40,0)),0)=1)*(COUNTIF(S758:U775,$B791)+COUNTIF(S758:U775,$B791&amp;" ~*")&gt;0)+(IFERROR(INDEX(Setup!$G$33:$G$40,MATCH(W791,Setup!$B$33:$B$40,0)),0)=1)*(COUNTIF(W758:W775,$B791)+COUNTIF(W758:W775,$B791&amp;" ~*")&gt;0)+(IFERROR(INDEX(Setup!$G$33:$G$40,MATCH(Y791,Setup!$B$33:$B$40,0)),0)=1)*(COUNTIF(Y758:Y775,$B791)+COUNTIF(Y758:Y775,$B791&amp;" ~*")&gt;0))</f>
        <v/>
      </c>
    </row>
    <row r="792" ht="15" customHeight="1">
      <c r="A792" t="n">
        <v>16</v>
      </c>
      <c r="B792" s="37">
        <f>IF(Setup!$B$21="","",Setup!$B$21)</f>
        <v/>
      </c>
      <c r="C792" s="102" t="n"/>
      <c r="D792" s="103" t="n"/>
      <c r="E792" s="103" t="n"/>
      <c r="F792" s="104" t="n"/>
      <c r="G792" s="102" t="n"/>
      <c r="H792" s="103" t="n"/>
      <c r="I792" s="103" t="n"/>
      <c r="J792" s="104" t="n"/>
      <c r="K792" s="102" t="n"/>
      <c r="L792" s="103" t="n"/>
      <c r="M792" s="103" t="n"/>
      <c r="N792" s="104" t="n"/>
      <c r="O792" s="102" t="n"/>
      <c r="P792" s="103" t="n"/>
      <c r="Q792" s="103" t="n"/>
      <c r="R792" s="104" t="n"/>
      <c r="S792" s="102" t="n"/>
      <c r="T792" s="103" t="n"/>
      <c r="U792" s="103" t="n"/>
      <c r="V792" s="104" t="n"/>
      <c r="W792" s="102" t="n"/>
      <c r="X792" s="104" t="n"/>
      <c r="Y792" s="102" t="n"/>
      <c r="Z792" s="104" t="n"/>
      <c r="AB792" s="105">
        <f>IF($B792="","",(COUNTIF(C758:E775,$B792)+COUNTIF(C758:E775,$B792&amp;" ~*")&gt;0)+(COUNTIF(G758:I775,$B792)+COUNTIF(G758:I775,$B792&amp;" ~*")&gt;0)+(COUNTIF(K758:M775,$B792)+COUNTIF(K758:M775,$B792&amp;" ~*")&gt;0)+(COUNTIF(O758:Q775,$B792)+COUNTIF(O758:Q775,$B792&amp;" ~*")&gt;0)+(COUNTIF(S758:U775,$B792)+COUNTIF(S758:U775,$B792&amp;" ~*")&gt;0)+(COUNTIF(W758:W775,$B792)+COUNTIF(W758:W775,$B792&amp;" ~*")&gt;0)+(COUNTIF(Y758:Y775,$B792)+COUNTIF(Y758:Y775,$B792&amp;" ~*")&gt;0))</f>
        <v/>
      </c>
      <c r="AC792" s="38">
        <f>IF($B792="","",(IFERROR(INDEX(Setup!$G$33:$G$40,MATCH(C792,Setup!$B$33:$B$40,0)),0)=1)*(COUNTIF(C758:E775,$B792)+COUNTIF(C758:E775,$B792&amp;" ~*")&gt;0)+(IFERROR(INDEX(Setup!$G$33:$G$40,MATCH(G792,Setup!$B$33:$B$40,0)),0)=1)*(COUNTIF(G758:I775,$B792)+COUNTIF(G758:I775,$B792&amp;" ~*")&gt;0)+(IFERROR(INDEX(Setup!$G$33:$G$40,MATCH(K792,Setup!$B$33:$B$40,0)),0)=1)*(COUNTIF(K758:M775,$B792)+COUNTIF(K758:M775,$B792&amp;" ~*")&gt;0)+(IFERROR(INDEX(Setup!$G$33:$G$40,MATCH(O792,Setup!$B$33:$B$40,0)),0)=1)*(COUNTIF(O758:Q775,$B792)+COUNTIF(O758:Q775,$B792&amp;" ~*")&gt;0)+(IFERROR(INDEX(Setup!$G$33:$G$40,MATCH(S792,Setup!$B$33:$B$40,0)),0)=1)*(COUNTIF(S758:U775,$B792)+COUNTIF(S758:U775,$B792&amp;" ~*")&gt;0)+(IFERROR(INDEX(Setup!$G$33:$G$40,MATCH(W792,Setup!$B$33:$B$40,0)),0)=1)*(COUNTIF(W758:W775,$B792)+COUNTIF(W758:W775,$B792&amp;" ~*")&gt;0)+(IFERROR(INDEX(Setup!$G$33:$G$40,MATCH(Y792,Setup!$B$33:$B$40,0)),0)=1)*(COUNTIF(Y758:Y775,$B792)+COUNTIF(Y758:Y775,$B792&amp;" ~*")&gt;0))</f>
        <v/>
      </c>
    </row>
    <row r="793" ht="15" customHeight="1">
      <c r="A793" t="n">
        <v>16</v>
      </c>
      <c r="B793" s="35">
        <f>IF(Setup!$B$22="","",Setup!$B$22)</f>
        <v/>
      </c>
      <c r="C793" s="98" t="n"/>
      <c r="D793" s="99" t="n"/>
      <c r="E793" s="99" t="n"/>
      <c r="F793" s="100" t="n"/>
      <c r="G793" s="98" t="n"/>
      <c r="H793" s="99" t="n"/>
      <c r="I793" s="99" t="n"/>
      <c r="J793" s="100" t="n"/>
      <c r="K793" s="98" t="n"/>
      <c r="L793" s="99" t="n"/>
      <c r="M793" s="99" t="n"/>
      <c r="N793" s="100" t="n"/>
      <c r="O793" s="98" t="n"/>
      <c r="P793" s="99" t="n"/>
      <c r="Q793" s="99" t="n"/>
      <c r="R793" s="100" t="n"/>
      <c r="S793" s="98" t="n"/>
      <c r="T793" s="99" t="n"/>
      <c r="U793" s="99" t="n"/>
      <c r="V793" s="100" t="n"/>
      <c r="W793" s="98" t="n"/>
      <c r="X793" s="100" t="n"/>
      <c r="Y793" s="98" t="n"/>
      <c r="Z793" s="100" t="n"/>
      <c r="AB793" s="101">
        <f>IF($B793="","",(COUNTIF(C758:E775,$B793)+COUNTIF(C758:E775,$B793&amp;" ~*")&gt;0)+(COUNTIF(G758:I775,$B793)+COUNTIF(G758:I775,$B793&amp;" ~*")&gt;0)+(COUNTIF(K758:M775,$B793)+COUNTIF(K758:M775,$B793&amp;" ~*")&gt;0)+(COUNTIF(O758:Q775,$B793)+COUNTIF(O758:Q775,$B793&amp;" ~*")&gt;0)+(COUNTIF(S758:U775,$B793)+COUNTIF(S758:U775,$B793&amp;" ~*")&gt;0)+(COUNTIF(W758:W775,$B793)+COUNTIF(W758:W775,$B793&amp;" ~*")&gt;0)+(COUNTIF(Y758:Y775,$B793)+COUNTIF(Y758:Y775,$B793&amp;" ~*")&gt;0))</f>
        <v/>
      </c>
      <c r="AC793" s="36">
        <f>IF($B793="","",(IFERROR(INDEX(Setup!$G$33:$G$40,MATCH(C793,Setup!$B$33:$B$40,0)),0)=1)*(COUNTIF(C758:E775,$B793)+COUNTIF(C758:E775,$B793&amp;" ~*")&gt;0)+(IFERROR(INDEX(Setup!$G$33:$G$40,MATCH(G793,Setup!$B$33:$B$40,0)),0)=1)*(COUNTIF(G758:I775,$B793)+COUNTIF(G758:I775,$B793&amp;" ~*")&gt;0)+(IFERROR(INDEX(Setup!$G$33:$G$40,MATCH(K793,Setup!$B$33:$B$40,0)),0)=1)*(COUNTIF(K758:M775,$B793)+COUNTIF(K758:M775,$B793&amp;" ~*")&gt;0)+(IFERROR(INDEX(Setup!$G$33:$G$40,MATCH(O793,Setup!$B$33:$B$40,0)),0)=1)*(COUNTIF(O758:Q775,$B793)+COUNTIF(O758:Q775,$B793&amp;" ~*")&gt;0)+(IFERROR(INDEX(Setup!$G$33:$G$40,MATCH(S793,Setup!$B$33:$B$40,0)),0)=1)*(COUNTIF(S758:U775,$B793)+COUNTIF(S758:U775,$B793&amp;" ~*")&gt;0)+(IFERROR(INDEX(Setup!$G$33:$G$40,MATCH(W793,Setup!$B$33:$B$40,0)),0)=1)*(COUNTIF(W758:W775,$B793)+COUNTIF(W758:W775,$B793&amp;" ~*")&gt;0)+(IFERROR(INDEX(Setup!$G$33:$G$40,MATCH(Y793,Setup!$B$33:$B$40,0)),0)=1)*(COUNTIF(Y758:Y775,$B793)+COUNTIF(Y758:Y775,$B793&amp;" ~*")&gt;0))</f>
        <v/>
      </c>
    </row>
    <row r="794" ht="15" customHeight="1">
      <c r="A794" t="n">
        <v>16</v>
      </c>
      <c r="B794" s="37">
        <f>IF(Setup!$B$23="","",Setup!$B$23)</f>
        <v/>
      </c>
      <c r="C794" s="102" t="n"/>
      <c r="D794" s="103" t="n"/>
      <c r="E794" s="103" t="n"/>
      <c r="F794" s="104" t="n"/>
      <c r="G794" s="102" t="n"/>
      <c r="H794" s="103" t="n"/>
      <c r="I794" s="103" t="n"/>
      <c r="J794" s="104" t="n"/>
      <c r="K794" s="102" t="n"/>
      <c r="L794" s="103" t="n"/>
      <c r="M794" s="103" t="n"/>
      <c r="N794" s="104" t="n"/>
      <c r="O794" s="102" t="n"/>
      <c r="P794" s="103" t="n"/>
      <c r="Q794" s="103" t="n"/>
      <c r="R794" s="104" t="n"/>
      <c r="S794" s="102" t="n"/>
      <c r="T794" s="103" t="n"/>
      <c r="U794" s="103" t="n"/>
      <c r="V794" s="104" t="n"/>
      <c r="W794" s="102" t="n"/>
      <c r="X794" s="104" t="n"/>
      <c r="Y794" s="102" t="n"/>
      <c r="Z794" s="104" t="n"/>
      <c r="AB794" s="105">
        <f>IF($B794="","",(COUNTIF(C758:E775,$B794)+COUNTIF(C758:E775,$B794&amp;" ~*")&gt;0)+(COUNTIF(G758:I775,$B794)+COUNTIF(G758:I775,$B794&amp;" ~*")&gt;0)+(COUNTIF(K758:M775,$B794)+COUNTIF(K758:M775,$B794&amp;" ~*")&gt;0)+(COUNTIF(O758:Q775,$B794)+COUNTIF(O758:Q775,$B794&amp;" ~*")&gt;0)+(COUNTIF(S758:U775,$B794)+COUNTIF(S758:U775,$B794&amp;" ~*")&gt;0)+(COUNTIF(W758:W775,$B794)+COUNTIF(W758:W775,$B794&amp;" ~*")&gt;0)+(COUNTIF(Y758:Y775,$B794)+COUNTIF(Y758:Y775,$B794&amp;" ~*")&gt;0))</f>
        <v/>
      </c>
      <c r="AC794" s="38">
        <f>IF($B794="","",(IFERROR(INDEX(Setup!$G$33:$G$40,MATCH(C794,Setup!$B$33:$B$40,0)),0)=1)*(COUNTIF(C758:E775,$B794)+COUNTIF(C758:E775,$B794&amp;" ~*")&gt;0)+(IFERROR(INDEX(Setup!$G$33:$G$40,MATCH(G794,Setup!$B$33:$B$40,0)),0)=1)*(COUNTIF(G758:I775,$B794)+COUNTIF(G758:I775,$B794&amp;" ~*")&gt;0)+(IFERROR(INDEX(Setup!$G$33:$G$40,MATCH(K794,Setup!$B$33:$B$40,0)),0)=1)*(COUNTIF(K758:M775,$B794)+COUNTIF(K758:M775,$B794&amp;" ~*")&gt;0)+(IFERROR(INDEX(Setup!$G$33:$G$40,MATCH(O794,Setup!$B$33:$B$40,0)),0)=1)*(COUNTIF(O758:Q775,$B794)+COUNTIF(O758:Q775,$B794&amp;" ~*")&gt;0)+(IFERROR(INDEX(Setup!$G$33:$G$40,MATCH(S794,Setup!$B$33:$B$40,0)),0)=1)*(COUNTIF(S758:U775,$B794)+COUNTIF(S758:U775,$B794&amp;" ~*")&gt;0)+(IFERROR(INDEX(Setup!$G$33:$G$40,MATCH(W794,Setup!$B$33:$B$40,0)),0)=1)*(COUNTIF(W758:W775,$B794)+COUNTIF(W758:W775,$B794&amp;" ~*")&gt;0)+(IFERROR(INDEX(Setup!$G$33:$G$40,MATCH(Y794,Setup!$B$33:$B$40,0)),0)=1)*(COUNTIF(Y758:Y775,$B794)+COUNTIF(Y758:Y775,$B794&amp;" ~*")&gt;0))</f>
        <v/>
      </c>
    </row>
    <row r="795" ht="15" customHeight="1">
      <c r="A795" t="n">
        <v>16</v>
      </c>
      <c r="B795" s="35">
        <f>IF(Setup!$B$24="","",Setup!$B$24)</f>
        <v/>
      </c>
      <c r="C795" s="98" t="n"/>
      <c r="D795" s="99" t="n"/>
      <c r="E795" s="99" t="n"/>
      <c r="F795" s="100" t="n"/>
      <c r="G795" s="98" t="n"/>
      <c r="H795" s="99" t="n"/>
      <c r="I795" s="99" t="n"/>
      <c r="J795" s="100" t="n"/>
      <c r="K795" s="98" t="n"/>
      <c r="L795" s="99" t="n"/>
      <c r="M795" s="99" t="n"/>
      <c r="N795" s="100" t="n"/>
      <c r="O795" s="98" t="n"/>
      <c r="P795" s="99" t="n"/>
      <c r="Q795" s="99" t="n"/>
      <c r="R795" s="100" t="n"/>
      <c r="S795" s="98" t="n"/>
      <c r="T795" s="99" t="n"/>
      <c r="U795" s="99" t="n"/>
      <c r="V795" s="100" t="n"/>
      <c r="W795" s="98" t="n"/>
      <c r="X795" s="100" t="n"/>
      <c r="Y795" s="98" t="n"/>
      <c r="Z795" s="100" t="n"/>
      <c r="AB795" s="101">
        <f>IF($B795="","",(COUNTIF(C758:E775,$B795)+COUNTIF(C758:E775,$B795&amp;" ~*")&gt;0)+(COUNTIF(G758:I775,$B795)+COUNTIF(G758:I775,$B795&amp;" ~*")&gt;0)+(COUNTIF(K758:M775,$B795)+COUNTIF(K758:M775,$B795&amp;" ~*")&gt;0)+(COUNTIF(O758:Q775,$B795)+COUNTIF(O758:Q775,$B795&amp;" ~*")&gt;0)+(COUNTIF(S758:U775,$B795)+COUNTIF(S758:U775,$B795&amp;" ~*")&gt;0)+(COUNTIF(W758:W775,$B795)+COUNTIF(W758:W775,$B795&amp;" ~*")&gt;0)+(COUNTIF(Y758:Y775,$B795)+COUNTIF(Y758:Y775,$B795&amp;" ~*")&gt;0))</f>
        <v/>
      </c>
      <c r="AC795" s="36">
        <f>IF($B795="","",(IFERROR(INDEX(Setup!$G$33:$G$40,MATCH(C795,Setup!$B$33:$B$40,0)),0)=1)*(COUNTIF(C758:E775,$B795)+COUNTIF(C758:E775,$B795&amp;" ~*")&gt;0)+(IFERROR(INDEX(Setup!$G$33:$G$40,MATCH(G795,Setup!$B$33:$B$40,0)),0)=1)*(COUNTIF(G758:I775,$B795)+COUNTIF(G758:I775,$B795&amp;" ~*")&gt;0)+(IFERROR(INDEX(Setup!$G$33:$G$40,MATCH(K795,Setup!$B$33:$B$40,0)),0)=1)*(COUNTIF(K758:M775,$B795)+COUNTIF(K758:M775,$B795&amp;" ~*")&gt;0)+(IFERROR(INDEX(Setup!$G$33:$G$40,MATCH(O795,Setup!$B$33:$B$40,0)),0)=1)*(COUNTIF(O758:Q775,$B795)+COUNTIF(O758:Q775,$B795&amp;" ~*")&gt;0)+(IFERROR(INDEX(Setup!$G$33:$G$40,MATCH(S795,Setup!$B$33:$B$40,0)),0)=1)*(COUNTIF(S758:U775,$B795)+COUNTIF(S758:U775,$B795&amp;" ~*")&gt;0)+(IFERROR(INDEX(Setup!$G$33:$G$40,MATCH(W795,Setup!$B$33:$B$40,0)),0)=1)*(COUNTIF(W758:W775,$B795)+COUNTIF(W758:W775,$B795&amp;" ~*")&gt;0)+(IFERROR(INDEX(Setup!$G$33:$G$40,MATCH(Y795,Setup!$B$33:$B$40,0)),0)=1)*(COUNTIF(Y758:Y775,$B795)+COUNTIF(Y758:Y775,$B795&amp;" ~*")&gt;0))</f>
        <v/>
      </c>
    </row>
    <row r="796" ht="15" customHeight="1">
      <c r="A796" t="n">
        <v>16</v>
      </c>
      <c r="B796" s="37">
        <f>IF(Setup!$B$25="","",Setup!$B$25)</f>
        <v/>
      </c>
      <c r="C796" s="102" t="n"/>
      <c r="D796" s="103" t="n"/>
      <c r="E796" s="103" t="n"/>
      <c r="F796" s="104" t="n"/>
      <c r="G796" s="102" t="n"/>
      <c r="H796" s="103" t="n"/>
      <c r="I796" s="103" t="n"/>
      <c r="J796" s="104" t="n"/>
      <c r="K796" s="102" t="n"/>
      <c r="L796" s="103" t="n"/>
      <c r="M796" s="103" t="n"/>
      <c r="N796" s="104" t="n"/>
      <c r="O796" s="102" t="n"/>
      <c r="P796" s="103" t="n"/>
      <c r="Q796" s="103" t="n"/>
      <c r="R796" s="104" t="n"/>
      <c r="S796" s="102" t="n"/>
      <c r="T796" s="103" t="n"/>
      <c r="U796" s="103" t="n"/>
      <c r="V796" s="104" t="n"/>
      <c r="W796" s="102" t="n"/>
      <c r="X796" s="104" t="n"/>
      <c r="Y796" s="102" t="n"/>
      <c r="Z796" s="104" t="n"/>
      <c r="AB796" s="105">
        <f>IF($B796="","",(COUNTIF(C758:E775,$B796)+COUNTIF(C758:E775,$B796&amp;" ~*")&gt;0)+(COUNTIF(G758:I775,$B796)+COUNTIF(G758:I775,$B796&amp;" ~*")&gt;0)+(COUNTIF(K758:M775,$B796)+COUNTIF(K758:M775,$B796&amp;" ~*")&gt;0)+(COUNTIF(O758:Q775,$B796)+COUNTIF(O758:Q775,$B796&amp;" ~*")&gt;0)+(COUNTIF(S758:U775,$B796)+COUNTIF(S758:U775,$B796&amp;" ~*")&gt;0)+(COUNTIF(W758:W775,$B796)+COUNTIF(W758:W775,$B796&amp;" ~*")&gt;0)+(COUNTIF(Y758:Y775,$B796)+COUNTIF(Y758:Y775,$B796&amp;" ~*")&gt;0))</f>
        <v/>
      </c>
      <c r="AC796" s="38">
        <f>IF($B796="","",(IFERROR(INDEX(Setup!$G$33:$G$40,MATCH(C796,Setup!$B$33:$B$40,0)),0)=1)*(COUNTIF(C758:E775,$B796)+COUNTIF(C758:E775,$B796&amp;" ~*")&gt;0)+(IFERROR(INDEX(Setup!$G$33:$G$40,MATCH(G796,Setup!$B$33:$B$40,0)),0)=1)*(COUNTIF(G758:I775,$B796)+COUNTIF(G758:I775,$B796&amp;" ~*")&gt;0)+(IFERROR(INDEX(Setup!$G$33:$G$40,MATCH(K796,Setup!$B$33:$B$40,0)),0)=1)*(COUNTIF(K758:M775,$B796)+COUNTIF(K758:M775,$B796&amp;" ~*")&gt;0)+(IFERROR(INDEX(Setup!$G$33:$G$40,MATCH(O796,Setup!$B$33:$B$40,0)),0)=1)*(COUNTIF(O758:Q775,$B796)+COUNTIF(O758:Q775,$B796&amp;" ~*")&gt;0)+(IFERROR(INDEX(Setup!$G$33:$G$40,MATCH(S796,Setup!$B$33:$B$40,0)),0)=1)*(COUNTIF(S758:U775,$B796)+COUNTIF(S758:U775,$B796&amp;" ~*")&gt;0)+(IFERROR(INDEX(Setup!$G$33:$G$40,MATCH(W796,Setup!$B$33:$B$40,0)),0)=1)*(COUNTIF(W758:W775,$B796)+COUNTIF(W758:W775,$B796&amp;" ~*")&gt;0)+(IFERROR(INDEX(Setup!$G$33:$G$40,MATCH(Y796,Setup!$B$33:$B$40,0)),0)=1)*(COUNTIF(Y758:Y775,$B796)+COUNTIF(Y758:Y775,$B796&amp;" ~*")&gt;0))</f>
        <v/>
      </c>
    </row>
    <row r="797" ht="15" customHeight="1">
      <c r="A797" t="n">
        <v>16</v>
      </c>
      <c r="B797" s="35">
        <f>IF(Setup!$B$26="","",Setup!$B$26)</f>
        <v/>
      </c>
      <c r="C797" s="98" t="n"/>
      <c r="D797" s="99" t="n"/>
      <c r="E797" s="99" t="n"/>
      <c r="F797" s="100" t="n"/>
      <c r="G797" s="98" t="n"/>
      <c r="H797" s="99" t="n"/>
      <c r="I797" s="99" t="n"/>
      <c r="J797" s="100" t="n"/>
      <c r="K797" s="98" t="n"/>
      <c r="L797" s="99" t="n"/>
      <c r="M797" s="99" t="n"/>
      <c r="N797" s="100" t="n"/>
      <c r="O797" s="98" t="n"/>
      <c r="P797" s="99" t="n"/>
      <c r="Q797" s="99" t="n"/>
      <c r="R797" s="100" t="n"/>
      <c r="S797" s="98" t="n"/>
      <c r="T797" s="99" t="n"/>
      <c r="U797" s="99" t="n"/>
      <c r="V797" s="100" t="n"/>
      <c r="W797" s="98" t="n"/>
      <c r="X797" s="100" t="n"/>
      <c r="Y797" s="98" t="n"/>
      <c r="Z797" s="100" t="n"/>
      <c r="AB797" s="101">
        <f>IF($B797="","",(COUNTIF(C758:E775,$B797)+COUNTIF(C758:E775,$B797&amp;" ~*")&gt;0)+(COUNTIF(G758:I775,$B797)+COUNTIF(G758:I775,$B797&amp;" ~*")&gt;0)+(COUNTIF(K758:M775,$B797)+COUNTIF(K758:M775,$B797&amp;" ~*")&gt;0)+(COUNTIF(O758:Q775,$B797)+COUNTIF(O758:Q775,$B797&amp;" ~*")&gt;0)+(COUNTIF(S758:U775,$B797)+COUNTIF(S758:U775,$B797&amp;" ~*")&gt;0)+(COUNTIF(W758:W775,$B797)+COUNTIF(W758:W775,$B797&amp;" ~*")&gt;0)+(COUNTIF(Y758:Y775,$B797)+COUNTIF(Y758:Y775,$B797&amp;" ~*")&gt;0))</f>
        <v/>
      </c>
      <c r="AC797" s="36">
        <f>IF($B797="","",(IFERROR(INDEX(Setup!$G$33:$G$40,MATCH(C797,Setup!$B$33:$B$40,0)),0)=1)*(COUNTIF(C758:E775,$B797)+COUNTIF(C758:E775,$B797&amp;" ~*")&gt;0)+(IFERROR(INDEX(Setup!$G$33:$G$40,MATCH(G797,Setup!$B$33:$B$40,0)),0)=1)*(COUNTIF(G758:I775,$B797)+COUNTIF(G758:I775,$B797&amp;" ~*")&gt;0)+(IFERROR(INDEX(Setup!$G$33:$G$40,MATCH(K797,Setup!$B$33:$B$40,0)),0)=1)*(COUNTIF(K758:M775,$B797)+COUNTIF(K758:M775,$B797&amp;" ~*")&gt;0)+(IFERROR(INDEX(Setup!$G$33:$G$40,MATCH(O797,Setup!$B$33:$B$40,0)),0)=1)*(COUNTIF(O758:Q775,$B797)+COUNTIF(O758:Q775,$B797&amp;" ~*")&gt;0)+(IFERROR(INDEX(Setup!$G$33:$G$40,MATCH(S797,Setup!$B$33:$B$40,0)),0)=1)*(COUNTIF(S758:U775,$B797)+COUNTIF(S758:U775,$B797&amp;" ~*")&gt;0)+(IFERROR(INDEX(Setup!$G$33:$G$40,MATCH(W797,Setup!$B$33:$B$40,0)),0)=1)*(COUNTIF(W758:W775,$B797)+COUNTIF(W758:W775,$B797&amp;" ~*")&gt;0)+(IFERROR(INDEX(Setup!$G$33:$G$40,MATCH(Y797,Setup!$B$33:$B$40,0)),0)=1)*(COUNTIF(Y758:Y775,$B797)+COUNTIF(Y758:Y775,$B797&amp;" ~*")&gt;0))</f>
        <v/>
      </c>
    </row>
    <row r="798" ht="15" customHeight="1">
      <c r="A798" t="n">
        <v>16</v>
      </c>
      <c r="B798" s="37">
        <f>IF(Setup!$B$27="","",Setup!$B$27)</f>
        <v/>
      </c>
      <c r="C798" s="102" t="n"/>
      <c r="D798" s="103" t="n"/>
      <c r="E798" s="103" t="n"/>
      <c r="F798" s="104" t="n"/>
      <c r="G798" s="102" t="n"/>
      <c r="H798" s="103" t="n"/>
      <c r="I798" s="103" t="n"/>
      <c r="J798" s="104" t="n"/>
      <c r="K798" s="102" t="n"/>
      <c r="L798" s="103" t="n"/>
      <c r="M798" s="103" t="n"/>
      <c r="N798" s="104" t="n"/>
      <c r="O798" s="102" t="n"/>
      <c r="P798" s="103" t="n"/>
      <c r="Q798" s="103" t="n"/>
      <c r="R798" s="104" t="n"/>
      <c r="S798" s="102" t="n"/>
      <c r="T798" s="103" t="n"/>
      <c r="U798" s="103" t="n"/>
      <c r="V798" s="104" t="n"/>
      <c r="W798" s="102" t="n"/>
      <c r="X798" s="104" t="n"/>
      <c r="Y798" s="102" t="n"/>
      <c r="Z798" s="104" t="n"/>
      <c r="AB798" s="105">
        <f>IF($B798="","",(COUNTIF(C758:E775,$B798)+COUNTIF(C758:E775,$B798&amp;" ~*")&gt;0)+(COUNTIF(G758:I775,$B798)+COUNTIF(G758:I775,$B798&amp;" ~*")&gt;0)+(COUNTIF(K758:M775,$B798)+COUNTIF(K758:M775,$B798&amp;" ~*")&gt;0)+(COUNTIF(O758:Q775,$B798)+COUNTIF(O758:Q775,$B798&amp;" ~*")&gt;0)+(COUNTIF(S758:U775,$B798)+COUNTIF(S758:U775,$B798&amp;" ~*")&gt;0)+(COUNTIF(W758:W775,$B798)+COUNTIF(W758:W775,$B798&amp;" ~*")&gt;0)+(COUNTIF(Y758:Y775,$B798)+COUNTIF(Y758:Y775,$B798&amp;" ~*")&gt;0))</f>
        <v/>
      </c>
      <c r="AC798" s="38">
        <f>IF($B798="","",(IFERROR(INDEX(Setup!$G$33:$G$40,MATCH(C798,Setup!$B$33:$B$40,0)),0)=1)*(COUNTIF(C758:E775,$B798)+COUNTIF(C758:E775,$B798&amp;" ~*")&gt;0)+(IFERROR(INDEX(Setup!$G$33:$G$40,MATCH(G798,Setup!$B$33:$B$40,0)),0)=1)*(COUNTIF(G758:I775,$B798)+COUNTIF(G758:I775,$B798&amp;" ~*")&gt;0)+(IFERROR(INDEX(Setup!$G$33:$G$40,MATCH(K798,Setup!$B$33:$B$40,0)),0)=1)*(COUNTIF(K758:M775,$B798)+COUNTIF(K758:M775,$B798&amp;" ~*")&gt;0)+(IFERROR(INDEX(Setup!$G$33:$G$40,MATCH(O798,Setup!$B$33:$B$40,0)),0)=1)*(COUNTIF(O758:Q775,$B798)+COUNTIF(O758:Q775,$B798&amp;" ~*")&gt;0)+(IFERROR(INDEX(Setup!$G$33:$G$40,MATCH(S798,Setup!$B$33:$B$40,0)),0)=1)*(COUNTIF(S758:U775,$B798)+COUNTIF(S758:U775,$B798&amp;" ~*")&gt;0)+(IFERROR(INDEX(Setup!$G$33:$G$40,MATCH(W798,Setup!$B$33:$B$40,0)),0)=1)*(COUNTIF(W758:W775,$B798)+COUNTIF(W758:W775,$B798&amp;" ~*")&gt;0)+(IFERROR(INDEX(Setup!$G$33:$G$40,MATCH(Y798,Setup!$B$33:$B$40,0)),0)=1)*(COUNTIF(Y758:Y775,$B798)+COUNTIF(Y758:Y775,$B798&amp;" ~*")&gt;0))</f>
        <v/>
      </c>
    </row>
    <row r="799" ht="15" customHeight="1">
      <c r="A799" t="n">
        <v>16</v>
      </c>
      <c r="B799" s="35">
        <f>IF(Setup!$B$28="","",Setup!$B$28)</f>
        <v/>
      </c>
      <c r="C799" s="98" t="n"/>
      <c r="D799" s="99" t="n"/>
      <c r="E799" s="99" t="n"/>
      <c r="F799" s="100" t="n"/>
      <c r="G799" s="98" t="n"/>
      <c r="H799" s="99" t="n"/>
      <c r="I799" s="99" t="n"/>
      <c r="J799" s="100" t="n"/>
      <c r="K799" s="98" t="n"/>
      <c r="L799" s="99" t="n"/>
      <c r="M799" s="99" t="n"/>
      <c r="N799" s="100" t="n"/>
      <c r="O799" s="98" t="n"/>
      <c r="P799" s="99" t="n"/>
      <c r="Q799" s="99" t="n"/>
      <c r="R799" s="100" t="n"/>
      <c r="S799" s="98" t="n"/>
      <c r="T799" s="99" t="n"/>
      <c r="U799" s="99" t="n"/>
      <c r="V799" s="100" t="n"/>
      <c r="W799" s="98" t="n"/>
      <c r="X799" s="100" t="n"/>
      <c r="Y799" s="98" t="n"/>
      <c r="Z799" s="100" t="n"/>
      <c r="AB799" s="101">
        <f>IF($B799="","",(COUNTIF(C758:E775,$B799)+COUNTIF(C758:E775,$B799&amp;" ~*")&gt;0)+(COUNTIF(G758:I775,$B799)+COUNTIF(G758:I775,$B799&amp;" ~*")&gt;0)+(COUNTIF(K758:M775,$B799)+COUNTIF(K758:M775,$B799&amp;" ~*")&gt;0)+(COUNTIF(O758:Q775,$B799)+COUNTIF(O758:Q775,$B799&amp;" ~*")&gt;0)+(COUNTIF(S758:U775,$B799)+COUNTIF(S758:U775,$B799&amp;" ~*")&gt;0)+(COUNTIF(W758:W775,$B799)+COUNTIF(W758:W775,$B799&amp;" ~*")&gt;0)+(COUNTIF(Y758:Y775,$B799)+COUNTIF(Y758:Y775,$B799&amp;" ~*")&gt;0))</f>
        <v/>
      </c>
      <c r="AC799" s="36">
        <f>IF($B799="","",(IFERROR(INDEX(Setup!$G$33:$G$40,MATCH(C799,Setup!$B$33:$B$40,0)),0)=1)*(COUNTIF(C758:E775,$B799)+COUNTIF(C758:E775,$B799&amp;" ~*")&gt;0)+(IFERROR(INDEX(Setup!$G$33:$G$40,MATCH(G799,Setup!$B$33:$B$40,0)),0)=1)*(COUNTIF(G758:I775,$B799)+COUNTIF(G758:I775,$B799&amp;" ~*")&gt;0)+(IFERROR(INDEX(Setup!$G$33:$G$40,MATCH(K799,Setup!$B$33:$B$40,0)),0)=1)*(COUNTIF(K758:M775,$B799)+COUNTIF(K758:M775,$B799&amp;" ~*")&gt;0)+(IFERROR(INDEX(Setup!$G$33:$G$40,MATCH(O799,Setup!$B$33:$B$40,0)),0)=1)*(COUNTIF(O758:Q775,$B799)+COUNTIF(O758:Q775,$B799&amp;" ~*")&gt;0)+(IFERROR(INDEX(Setup!$G$33:$G$40,MATCH(S799,Setup!$B$33:$B$40,0)),0)=1)*(COUNTIF(S758:U775,$B799)+COUNTIF(S758:U775,$B799&amp;" ~*")&gt;0)+(IFERROR(INDEX(Setup!$G$33:$G$40,MATCH(W799,Setup!$B$33:$B$40,0)),0)=1)*(COUNTIF(W758:W775,$B799)+COUNTIF(W758:W775,$B799&amp;" ~*")&gt;0)+(IFERROR(INDEX(Setup!$G$33:$G$40,MATCH(Y799,Setup!$B$33:$B$40,0)),0)=1)*(COUNTIF(Y758:Y775,$B799)+COUNTIF(Y758:Y775,$B799&amp;" ~*")&gt;0))</f>
        <v/>
      </c>
    </row>
    <row r="800" ht="15" customHeight="1">
      <c r="A800" t="n">
        <v>16</v>
      </c>
      <c r="B800" s="37">
        <f>IF(Setup!$B$29="","",Setup!$B$29)</f>
        <v/>
      </c>
      <c r="C800" s="102" t="n"/>
      <c r="D800" s="103" t="n"/>
      <c r="E800" s="103" t="n"/>
      <c r="F800" s="104" t="n"/>
      <c r="G800" s="102" t="n"/>
      <c r="H800" s="103" t="n"/>
      <c r="I800" s="103" t="n"/>
      <c r="J800" s="104" t="n"/>
      <c r="K800" s="102" t="n"/>
      <c r="L800" s="103" t="n"/>
      <c r="M800" s="103" t="n"/>
      <c r="N800" s="104" t="n"/>
      <c r="O800" s="102" t="n"/>
      <c r="P800" s="103" t="n"/>
      <c r="Q800" s="103" t="n"/>
      <c r="R800" s="104" t="n"/>
      <c r="S800" s="102" t="n"/>
      <c r="T800" s="103" t="n"/>
      <c r="U800" s="103" t="n"/>
      <c r="V800" s="104" t="n"/>
      <c r="W800" s="102" t="n"/>
      <c r="X800" s="104" t="n"/>
      <c r="Y800" s="102" t="n"/>
      <c r="Z800" s="104" t="n"/>
      <c r="AB800" s="105">
        <f>IF($B800="","",(COUNTIF(C758:E775,$B800)+COUNTIF(C758:E775,$B800&amp;" ~*")&gt;0)+(COUNTIF(G758:I775,$B800)+COUNTIF(G758:I775,$B800&amp;" ~*")&gt;0)+(COUNTIF(K758:M775,$B800)+COUNTIF(K758:M775,$B800&amp;" ~*")&gt;0)+(COUNTIF(O758:Q775,$B800)+COUNTIF(O758:Q775,$B800&amp;" ~*")&gt;0)+(COUNTIF(S758:U775,$B800)+COUNTIF(S758:U775,$B800&amp;" ~*")&gt;0)+(COUNTIF(W758:W775,$B800)+COUNTIF(W758:W775,$B800&amp;" ~*")&gt;0)+(COUNTIF(Y758:Y775,$B800)+COUNTIF(Y758:Y775,$B800&amp;" ~*")&gt;0))</f>
        <v/>
      </c>
      <c r="AC800" s="38">
        <f>IF($B800="","",(IFERROR(INDEX(Setup!$G$33:$G$40,MATCH(C800,Setup!$B$33:$B$40,0)),0)=1)*(COUNTIF(C758:E775,$B800)+COUNTIF(C758:E775,$B800&amp;" ~*")&gt;0)+(IFERROR(INDEX(Setup!$G$33:$G$40,MATCH(G800,Setup!$B$33:$B$40,0)),0)=1)*(COUNTIF(G758:I775,$B800)+COUNTIF(G758:I775,$B800&amp;" ~*")&gt;0)+(IFERROR(INDEX(Setup!$G$33:$G$40,MATCH(K800,Setup!$B$33:$B$40,0)),0)=1)*(COUNTIF(K758:M775,$B800)+COUNTIF(K758:M775,$B800&amp;" ~*")&gt;0)+(IFERROR(INDEX(Setup!$G$33:$G$40,MATCH(O800,Setup!$B$33:$B$40,0)),0)=1)*(COUNTIF(O758:Q775,$B800)+COUNTIF(O758:Q775,$B800&amp;" ~*")&gt;0)+(IFERROR(INDEX(Setup!$G$33:$G$40,MATCH(S800,Setup!$B$33:$B$40,0)),0)=1)*(COUNTIF(S758:U775,$B800)+COUNTIF(S758:U775,$B800&amp;" ~*")&gt;0)+(IFERROR(INDEX(Setup!$G$33:$G$40,MATCH(W800,Setup!$B$33:$B$40,0)),0)=1)*(COUNTIF(W758:W775,$B800)+COUNTIF(W758:W775,$B800&amp;" ~*")&gt;0)+(IFERROR(INDEX(Setup!$G$33:$G$40,MATCH(Y800,Setup!$B$33:$B$40,0)),0)=1)*(COUNTIF(Y758:Y775,$B800)+COUNTIF(Y758:Y775,$B800&amp;" ~*")&gt;0))</f>
        <v/>
      </c>
    </row>
    <row r="801" ht="16" customHeight="1">
      <c r="A801" t="n">
        <v>16</v>
      </c>
      <c r="B801" s="106" t="inlineStr">
        <is>
          <t>Available people</t>
        </is>
      </c>
      <c r="C801" s="107">
        <f>COUNTIFS(Setup!$E$6:$E$29,"Y",Setup!$B$6:$B$29,"?*")-SUMPRODUCT(COUNTIF(C777:C800,Setup!$F$33:$F$40))</f>
        <v/>
      </c>
      <c r="D801" s="107" t="n"/>
      <c r="E801" s="107" t="n"/>
      <c r="F801" s="107" t="n"/>
      <c r="G801" s="107">
        <f>COUNTIFS(Setup!$E$6:$E$29,"Y",Setup!$B$6:$B$29,"?*")-SUMPRODUCT(COUNTIF(G777:G800,Setup!$F$33:$F$40))</f>
        <v/>
      </c>
      <c r="H801" s="107" t="n"/>
      <c r="I801" s="107" t="n"/>
      <c r="J801" s="107" t="n"/>
      <c r="K801" s="107">
        <f>COUNTIFS(Setup!$E$6:$E$29,"Y",Setup!$B$6:$B$29,"?*")-SUMPRODUCT(COUNTIF(K777:K800,Setup!$F$33:$F$40))</f>
        <v/>
      </c>
      <c r="L801" s="107" t="n"/>
      <c r="M801" s="107" t="n"/>
      <c r="N801" s="107" t="n"/>
      <c r="O801" s="107">
        <f>COUNTIFS(Setup!$E$6:$E$29,"Y",Setup!$B$6:$B$29,"?*")-SUMPRODUCT(COUNTIF(O777:O800,Setup!$F$33:$F$40))</f>
        <v/>
      </c>
      <c r="P801" s="107" t="n"/>
      <c r="Q801" s="107" t="n"/>
      <c r="R801" s="107" t="n"/>
      <c r="S801" s="107">
        <f>COUNTIFS(Setup!$E$6:$E$29,"Y",Setup!$B$6:$B$29,"?*")-SUMPRODUCT(COUNTIF(S777:S800,Setup!$F$33:$F$40))</f>
        <v/>
      </c>
      <c r="T801" s="107" t="n"/>
      <c r="U801" s="107" t="n"/>
      <c r="V801" s="107" t="n"/>
      <c r="W801" s="107">
        <f>COUNTIFS(Setup!$E$6:$E$29,"Y",Setup!$B$6:$B$29,"?*")-SUMPRODUCT(COUNTIF(W777:W800,Setup!$F$33:$F$40))</f>
        <v/>
      </c>
      <c r="X801" s="107" t="n"/>
      <c r="Y801" s="107">
        <f>COUNTIFS(Setup!$E$6:$E$29,"Y",Setup!$B$6:$B$29,"?*")-SUMPRODUCT(COUNTIF(Y777:Y800,Setup!$F$33:$F$40))</f>
        <v/>
      </c>
      <c r="Z801" s="107" t="n"/>
      <c r="AB801" s="108">
        <f>SUM(AB777:AB800)</f>
        <v/>
      </c>
      <c r="AC801" s="109">
        <f>SUM(AC777:AC800)</f>
        <v/>
      </c>
    </row>
    <row r="802" ht="30" customHeight="1">
      <c r="A802" t="n">
        <v>16</v>
      </c>
      <c r="B802" s="110" t="inlineStr">
        <is>
          <t>Week notes</t>
        </is>
      </c>
      <c r="C802" s="111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112" t="n"/>
      <c r="R802" s="112" t="n"/>
      <c r="S802" s="112" t="n"/>
      <c r="T802" s="112" t="n"/>
      <c r="U802" s="112" t="n"/>
      <c r="V802" s="112" t="n"/>
      <c r="W802" s="112" t="n"/>
      <c r="X802" s="112" t="n"/>
      <c r="Y802" s="112" t="n"/>
      <c r="Z802" s="113" t="n"/>
    </row>
    <row r="803" ht="8" customHeight="1">
      <c r="A803" t="n">
        <v>16</v>
      </c>
    </row>
    <row r="804" ht="8" customHeight="1">
      <c r="A804" t="n">
        <v>16</v>
      </c>
    </row>
    <row r="805" ht="24" customHeight="1">
      <c r="A805" t="n">
        <v>17</v>
      </c>
      <c r="B805" s="73">
        <f>"WEEK 17     "&amp;TEXT(C806,"ddd d mmm")&amp;"  –  "&amp;TEXT(C806+6,"ddd d mmm yyyy")</f>
        <v/>
      </c>
      <c r="S805" s="74">
        <f>IF(TODAY()&lt;C806,"FUTURE",IF(TODAY()&gt;C806+6,"PAST","THIS WEEK"))</f>
        <v/>
      </c>
      <c r="W805" s="75">
        <f>IF(AND(Engine!$B$8=$AC$3,Engine!$B$9=$A805),"◀ ACTIVE WEEK","")</f>
        <v/>
      </c>
      <c r="AA805" s="76" t="n"/>
      <c r="AB805" s="77" t="inlineStr">
        <is>
          <t>◀ Prev</t>
        </is>
      </c>
      <c r="AC805" s="77" t="inlineStr">
        <is>
          <t>Next ▶</t>
        </is>
      </c>
    </row>
    <row r="806" ht="18" customHeight="1">
      <c r="A806" t="n">
        <v>17</v>
      </c>
      <c r="B806" s="78" t="inlineStr">
        <is>
          <t>DUTY</t>
        </is>
      </c>
      <c r="C806" s="79">
        <f>$AC$2+7*($A806-1)</f>
        <v/>
      </c>
      <c r="D806" s="80" t="n"/>
      <c r="E806" s="80" t="n"/>
      <c r="F806" s="81" t="n"/>
      <c r="G806" s="79">
        <f>C806+1</f>
        <v/>
      </c>
      <c r="H806" s="80" t="n"/>
      <c r="I806" s="80" t="n"/>
      <c r="J806" s="81" t="n"/>
      <c r="K806" s="79">
        <f>C806+2</f>
        <v/>
      </c>
      <c r="L806" s="80" t="n"/>
      <c r="M806" s="80" t="n"/>
      <c r="N806" s="81" t="n"/>
      <c r="O806" s="79">
        <f>C806+3</f>
        <v/>
      </c>
      <c r="P806" s="80" t="n"/>
      <c r="Q806" s="80" t="n"/>
      <c r="R806" s="81" t="n"/>
      <c r="S806" s="79">
        <f>C806+4</f>
        <v/>
      </c>
      <c r="T806" s="80" t="n"/>
      <c r="U806" s="80" t="n"/>
      <c r="V806" s="81" t="n"/>
      <c r="W806" s="82">
        <f>C806+5</f>
        <v/>
      </c>
      <c r="X806" s="83" t="n"/>
      <c r="Y806" s="82">
        <f>C806+6</f>
        <v/>
      </c>
      <c r="Z806" s="83" t="n"/>
      <c r="AB806" s="72" t="inlineStr">
        <is>
          <t>Gaps</t>
        </is>
      </c>
      <c r="AC806" s="72" t="inlineStr">
        <is>
          <t>Cover</t>
        </is>
      </c>
    </row>
    <row r="807" ht="14" customHeight="1">
      <c r="A807" t="n">
        <v>17</v>
      </c>
      <c r="B807" s="84" t="inlineStr">
        <is>
          <t>(from Setup)</t>
        </is>
      </c>
      <c r="C807" s="85" t="inlineStr">
        <is>
          <t>1</t>
        </is>
      </c>
      <c r="D807" s="85" t="inlineStr">
        <is>
          <t>2</t>
        </is>
      </c>
      <c r="E807" s="85" t="inlineStr">
        <is>
          <t>3</t>
        </is>
      </c>
      <c r="F807" s="85" t="inlineStr">
        <is>
          <t>Notes</t>
        </is>
      </c>
      <c r="G807" s="85" t="inlineStr">
        <is>
          <t>1</t>
        </is>
      </c>
      <c r="H807" s="85" t="inlineStr">
        <is>
          <t>2</t>
        </is>
      </c>
      <c r="I807" s="85" t="inlineStr">
        <is>
          <t>3</t>
        </is>
      </c>
      <c r="J807" s="85" t="inlineStr">
        <is>
          <t>Notes</t>
        </is>
      </c>
      <c r="K807" s="85" t="inlineStr">
        <is>
          <t>1</t>
        </is>
      </c>
      <c r="L807" s="85" t="inlineStr">
        <is>
          <t>2</t>
        </is>
      </c>
      <c r="M807" s="85" t="inlineStr">
        <is>
          <t>3</t>
        </is>
      </c>
      <c r="N807" s="85" t="inlineStr">
        <is>
          <t>Notes</t>
        </is>
      </c>
      <c r="O807" s="85" t="inlineStr">
        <is>
          <t>1</t>
        </is>
      </c>
      <c r="P807" s="85" t="inlineStr">
        <is>
          <t>2</t>
        </is>
      </c>
      <c r="Q807" s="85" t="inlineStr">
        <is>
          <t>3</t>
        </is>
      </c>
      <c r="R807" s="85" t="inlineStr">
        <is>
          <t>Notes</t>
        </is>
      </c>
      <c r="S807" s="85" t="inlineStr">
        <is>
          <t>1</t>
        </is>
      </c>
      <c r="T807" s="85" t="inlineStr">
        <is>
          <t>2</t>
        </is>
      </c>
      <c r="U807" s="85" t="inlineStr">
        <is>
          <t>3</t>
        </is>
      </c>
      <c r="V807" s="85" t="inlineStr">
        <is>
          <t>Notes</t>
        </is>
      </c>
      <c r="W807" s="85" t="inlineStr">
        <is>
          <t>Cover</t>
        </is>
      </c>
      <c r="X807" s="85" t="inlineStr">
        <is>
          <t>Notes</t>
        </is>
      </c>
      <c r="Y807" s="85" t="inlineStr">
        <is>
          <t>Cover</t>
        </is>
      </c>
      <c r="Z807" s="85" t="inlineStr">
        <is>
          <t>Notes</t>
        </is>
      </c>
      <c r="AB807" s="86" t="inlineStr">
        <is>
          <t>weekdays short</t>
        </is>
      </c>
      <c r="AC807" s="87" t="inlineStr"/>
    </row>
    <row r="808" ht="17" customHeight="1">
      <c r="A808" t="n">
        <v>17</v>
      </c>
      <c r="B808" s="24">
        <f>IF(Setup!$K$6="","",Setup!$K$6)</f>
        <v/>
      </c>
      <c r="C808" s="88" t="n"/>
      <c r="D808" s="88" t="n"/>
      <c r="E808" s="88" t="n"/>
      <c r="F808" s="89" t="n"/>
      <c r="G808" s="88" t="n"/>
      <c r="H808" s="88" t="n"/>
      <c r="I808" s="88" t="n"/>
      <c r="J808" s="89" t="n"/>
      <c r="K808" s="88" t="n"/>
      <c r="L808" s="88" t="n"/>
      <c r="M808" s="88" t="n"/>
      <c r="N808" s="89" t="n"/>
      <c r="O808" s="88" t="n"/>
      <c r="P808" s="88" t="n"/>
      <c r="Q808" s="88" t="n"/>
      <c r="R808" s="89" t="n"/>
      <c r="S808" s="88" t="n"/>
      <c r="T808" s="88" t="n"/>
      <c r="U808" s="88" t="n"/>
      <c r="V808" s="89" t="n"/>
      <c r="W808" s="88" t="n"/>
      <c r="X808" s="89" t="n"/>
      <c r="Y808" s="88" t="n"/>
      <c r="Z808" s="89" t="n"/>
      <c r="AB808" s="25">
        <f>IF($B808="","",(COUNTIF(C808:E808,"?*")&lt;N(INDEX(Setup!$L$6:$L$23,1)))+(COUNTIF(G808:I808,"?*")&lt;N(INDEX(Setup!$L$6:$L$23,1)))+(COUNTIF(K808:M808,"?*")&lt;N(INDEX(Setup!$L$6:$L$23,1)))+(COUNTIF(O808:Q808,"?*")&lt;N(INDEX(Setup!$L$6:$L$23,1)))+(COUNTIF(S808:U808,"?*")&lt;N(INDEX(Setup!$L$6:$L$23,1)))+((W808="")*(INDEX(Setup!$M$6:$M$23,1)="Y"))+((Y808="")*(INDEX(Setup!$M$6:$M$23,1)="Y")))</f>
        <v/>
      </c>
      <c r="AC808" s="90">
        <f>IF($B808="","",IF(AB808=0,"✓ covered","⚠ "&amp;AB808&amp;IF(AB808=1," gap"," gaps")))</f>
        <v/>
      </c>
    </row>
    <row r="809" ht="17" customHeight="1">
      <c r="A809" t="n">
        <v>17</v>
      </c>
      <c r="B809" s="29">
        <f>IF(Setup!$K$7="","",Setup!$K$7)</f>
        <v/>
      </c>
      <c r="C809" s="88" t="n"/>
      <c r="D809" s="88" t="n"/>
      <c r="E809" s="88" t="n"/>
      <c r="F809" s="89" t="n"/>
      <c r="G809" s="88" t="n"/>
      <c r="H809" s="88" t="n"/>
      <c r="I809" s="88" t="n"/>
      <c r="J809" s="89" t="n"/>
      <c r="K809" s="88" t="n"/>
      <c r="L809" s="88" t="n"/>
      <c r="M809" s="88" t="n"/>
      <c r="N809" s="89" t="n"/>
      <c r="O809" s="88" t="n"/>
      <c r="P809" s="88" t="n"/>
      <c r="Q809" s="88" t="n"/>
      <c r="R809" s="89" t="n"/>
      <c r="S809" s="88" t="n"/>
      <c r="T809" s="88" t="n"/>
      <c r="U809" s="88" t="n"/>
      <c r="V809" s="89" t="n"/>
      <c r="W809" s="88" t="n"/>
      <c r="X809" s="89" t="n"/>
      <c r="Y809" s="88" t="n"/>
      <c r="Z809" s="89" t="n"/>
      <c r="AB809" s="30">
        <f>IF($B809="","",(COUNTIF(C809:E809,"?*")&lt;N(INDEX(Setup!$L$6:$L$23,2)))+(COUNTIF(G809:I809,"?*")&lt;N(INDEX(Setup!$L$6:$L$23,2)))+(COUNTIF(K809:M809,"?*")&lt;N(INDEX(Setup!$L$6:$L$23,2)))+(COUNTIF(O809:Q809,"?*")&lt;N(INDEX(Setup!$L$6:$L$23,2)))+(COUNTIF(S809:U809,"?*")&lt;N(INDEX(Setup!$L$6:$L$23,2)))+((W809="")*(INDEX(Setup!$M$6:$M$23,2)="Y"))+((Y809="")*(INDEX(Setup!$M$6:$M$23,2)="Y")))</f>
        <v/>
      </c>
      <c r="AC809" s="91">
        <f>IF($B809="","",IF(AB809=0,"✓ covered","⚠ "&amp;AB809&amp;IF(AB809=1," gap"," gaps")))</f>
        <v/>
      </c>
    </row>
    <row r="810" ht="17" customHeight="1">
      <c r="A810" t="n">
        <v>17</v>
      </c>
      <c r="B810" s="24">
        <f>IF(Setup!$K$8="","",Setup!$K$8)</f>
        <v/>
      </c>
      <c r="C810" s="88" t="n"/>
      <c r="D810" s="88" t="n"/>
      <c r="E810" s="88" t="n"/>
      <c r="F810" s="89" t="n"/>
      <c r="G810" s="88" t="n"/>
      <c r="H810" s="88" t="n"/>
      <c r="I810" s="88" t="n"/>
      <c r="J810" s="89" t="n"/>
      <c r="K810" s="88" t="n"/>
      <c r="L810" s="88" t="n"/>
      <c r="M810" s="88" t="n"/>
      <c r="N810" s="89" t="n"/>
      <c r="O810" s="88" t="n"/>
      <c r="P810" s="88" t="n"/>
      <c r="Q810" s="88" t="n"/>
      <c r="R810" s="89" t="n"/>
      <c r="S810" s="88" t="n"/>
      <c r="T810" s="88" t="n"/>
      <c r="U810" s="88" t="n"/>
      <c r="V810" s="89" t="n"/>
      <c r="W810" s="88" t="n"/>
      <c r="X810" s="89" t="n"/>
      <c r="Y810" s="88" t="n"/>
      <c r="Z810" s="89" t="n"/>
      <c r="AB810" s="25">
        <f>IF($B810="","",(COUNTIF(C810:E810,"?*")&lt;N(INDEX(Setup!$L$6:$L$23,3)))+(COUNTIF(G810:I810,"?*")&lt;N(INDEX(Setup!$L$6:$L$23,3)))+(COUNTIF(K810:M810,"?*")&lt;N(INDEX(Setup!$L$6:$L$23,3)))+(COUNTIF(O810:Q810,"?*")&lt;N(INDEX(Setup!$L$6:$L$23,3)))+(COUNTIF(S810:U810,"?*")&lt;N(INDEX(Setup!$L$6:$L$23,3)))+((W810="")*(INDEX(Setup!$M$6:$M$23,3)="Y"))+((Y810="")*(INDEX(Setup!$M$6:$M$23,3)="Y")))</f>
        <v/>
      </c>
      <c r="AC810" s="90">
        <f>IF($B810="","",IF(AB810=0,"✓ covered","⚠ "&amp;AB810&amp;IF(AB810=1," gap"," gaps")))</f>
        <v/>
      </c>
    </row>
    <row r="811" ht="17" customHeight="1">
      <c r="A811" t="n">
        <v>17</v>
      </c>
      <c r="B811" s="29">
        <f>IF(Setup!$K$9="","",Setup!$K$9)</f>
        <v/>
      </c>
      <c r="C811" s="88" t="n"/>
      <c r="D811" s="88" t="n"/>
      <c r="E811" s="88" t="n"/>
      <c r="F811" s="89" t="n"/>
      <c r="G811" s="88" t="n"/>
      <c r="H811" s="88" t="n"/>
      <c r="I811" s="88" t="n"/>
      <c r="J811" s="89" t="n"/>
      <c r="K811" s="88" t="n"/>
      <c r="L811" s="88" t="n"/>
      <c r="M811" s="88" t="n"/>
      <c r="N811" s="89" t="n"/>
      <c r="O811" s="88" t="n"/>
      <c r="P811" s="88" t="n"/>
      <c r="Q811" s="88" t="n"/>
      <c r="R811" s="89" t="n"/>
      <c r="S811" s="88" t="n"/>
      <c r="T811" s="88" t="n"/>
      <c r="U811" s="88" t="n"/>
      <c r="V811" s="89" t="n"/>
      <c r="W811" s="88" t="n"/>
      <c r="X811" s="89" t="n"/>
      <c r="Y811" s="88" t="n"/>
      <c r="Z811" s="89" t="n"/>
      <c r="AB811" s="30">
        <f>IF($B811="","",(COUNTIF(C811:E811,"?*")&lt;N(INDEX(Setup!$L$6:$L$23,4)))+(COUNTIF(G811:I811,"?*")&lt;N(INDEX(Setup!$L$6:$L$23,4)))+(COUNTIF(K811:M811,"?*")&lt;N(INDEX(Setup!$L$6:$L$23,4)))+(COUNTIF(O811:Q811,"?*")&lt;N(INDEX(Setup!$L$6:$L$23,4)))+(COUNTIF(S811:U811,"?*")&lt;N(INDEX(Setup!$L$6:$L$23,4)))+((W811="")*(INDEX(Setup!$M$6:$M$23,4)="Y"))+((Y811="")*(INDEX(Setup!$M$6:$M$23,4)="Y")))</f>
        <v/>
      </c>
      <c r="AC811" s="91">
        <f>IF($B811="","",IF(AB811=0,"✓ covered","⚠ "&amp;AB811&amp;IF(AB811=1," gap"," gaps")))</f>
        <v/>
      </c>
    </row>
    <row r="812" ht="17" customHeight="1">
      <c r="A812" t="n">
        <v>17</v>
      </c>
      <c r="B812" s="24">
        <f>IF(Setup!$K$10="","",Setup!$K$10)</f>
        <v/>
      </c>
      <c r="C812" s="88" t="n"/>
      <c r="D812" s="88" t="n"/>
      <c r="E812" s="88" t="n"/>
      <c r="F812" s="89" t="n"/>
      <c r="G812" s="88" t="n"/>
      <c r="H812" s="88" t="n"/>
      <c r="I812" s="88" t="n"/>
      <c r="J812" s="89" t="n"/>
      <c r="K812" s="88" t="n"/>
      <c r="L812" s="88" t="n"/>
      <c r="M812" s="88" t="n"/>
      <c r="N812" s="89" t="n"/>
      <c r="O812" s="88" t="n"/>
      <c r="P812" s="88" t="n"/>
      <c r="Q812" s="88" t="n"/>
      <c r="R812" s="89" t="n"/>
      <c r="S812" s="88" t="n"/>
      <c r="T812" s="88" t="n"/>
      <c r="U812" s="88" t="n"/>
      <c r="V812" s="89" t="n"/>
      <c r="W812" s="88" t="n"/>
      <c r="X812" s="89" t="n"/>
      <c r="Y812" s="88" t="n"/>
      <c r="Z812" s="89" t="n"/>
      <c r="AB812" s="25">
        <f>IF($B812="","",(COUNTIF(C812:E812,"?*")&lt;N(INDEX(Setup!$L$6:$L$23,5)))+(COUNTIF(G812:I812,"?*")&lt;N(INDEX(Setup!$L$6:$L$23,5)))+(COUNTIF(K812:M812,"?*")&lt;N(INDEX(Setup!$L$6:$L$23,5)))+(COUNTIF(O812:Q812,"?*")&lt;N(INDEX(Setup!$L$6:$L$23,5)))+(COUNTIF(S812:U812,"?*")&lt;N(INDEX(Setup!$L$6:$L$23,5)))+((W812="")*(INDEX(Setup!$M$6:$M$23,5)="Y"))+((Y812="")*(INDEX(Setup!$M$6:$M$23,5)="Y")))</f>
        <v/>
      </c>
      <c r="AC812" s="90">
        <f>IF($B812="","",IF(AB812=0,"✓ covered","⚠ "&amp;AB812&amp;IF(AB812=1," gap"," gaps")))</f>
        <v/>
      </c>
    </row>
    <row r="813" ht="17" customHeight="1">
      <c r="A813" t="n">
        <v>17</v>
      </c>
      <c r="B813" s="29">
        <f>IF(Setup!$K$11="","",Setup!$K$11)</f>
        <v/>
      </c>
      <c r="C813" s="88" t="n"/>
      <c r="D813" s="88" t="n"/>
      <c r="E813" s="88" t="n"/>
      <c r="F813" s="89" t="n"/>
      <c r="G813" s="88" t="n"/>
      <c r="H813" s="88" t="n"/>
      <c r="I813" s="88" t="n"/>
      <c r="J813" s="89" t="n"/>
      <c r="K813" s="88" t="n"/>
      <c r="L813" s="88" t="n"/>
      <c r="M813" s="88" t="n"/>
      <c r="N813" s="89" t="n"/>
      <c r="O813" s="88" t="n"/>
      <c r="P813" s="88" t="n"/>
      <c r="Q813" s="88" t="n"/>
      <c r="R813" s="89" t="n"/>
      <c r="S813" s="88" t="n"/>
      <c r="T813" s="88" t="n"/>
      <c r="U813" s="88" t="n"/>
      <c r="V813" s="89" t="n"/>
      <c r="W813" s="88" t="n"/>
      <c r="X813" s="89" t="n"/>
      <c r="Y813" s="88" t="n"/>
      <c r="Z813" s="89" t="n"/>
      <c r="AB813" s="30">
        <f>IF($B813="","",(COUNTIF(C813:E813,"?*")&lt;N(INDEX(Setup!$L$6:$L$23,6)))+(COUNTIF(G813:I813,"?*")&lt;N(INDEX(Setup!$L$6:$L$23,6)))+(COUNTIF(K813:M813,"?*")&lt;N(INDEX(Setup!$L$6:$L$23,6)))+(COUNTIF(O813:Q813,"?*")&lt;N(INDEX(Setup!$L$6:$L$23,6)))+(COUNTIF(S813:U813,"?*")&lt;N(INDEX(Setup!$L$6:$L$23,6)))+((W813="")*(INDEX(Setup!$M$6:$M$23,6)="Y"))+((Y813="")*(INDEX(Setup!$M$6:$M$23,6)="Y")))</f>
        <v/>
      </c>
      <c r="AC813" s="91">
        <f>IF($B813="","",IF(AB813=0,"✓ covered","⚠ "&amp;AB813&amp;IF(AB813=1," gap"," gaps")))</f>
        <v/>
      </c>
    </row>
    <row r="814" ht="17" customHeight="1">
      <c r="A814" t="n">
        <v>17</v>
      </c>
      <c r="B814" s="24">
        <f>IF(Setup!$K$12="","",Setup!$K$12)</f>
        <v/>
      </c>
      <c r="C814" s="88" t="n"/>
      <c r="D814" s="88" t="n"/>
      <c r="E814" s="88" t="n"/>
      <c r="F814" s="89" t="n"/>
      <c r="G814" s="88" t="n"/>
      <c r="H814" s="88" t="n"/>
      <c r="I814" s="88" t="n"/>
      <c r="J814" s="89" t="n"/>
      <c r="K814" s="88" t="n"/>
      <c r="L814" s="88" t="n"/>
      <c r="M814" s="88" t="n"/>
      <c r="N814" s="89" t="n"/>
      <c r="O814" s="88" t="n"/>
      <c r="P814" s="88" t="n"/>
      <c r="Q814" s="88" t="n"/>
      <c r="R814" s="89" t="n"/>
      <c r="S814" s="88" t="n"/>
      <c r="T814" s="88" t="n"/>
      <c r="U814" s="88" t="n"/>
      <c r="V814" s="89" t="n"/>
      <c r="W814" s="88" t="n"/>
      <c r="X814" s="89" t="n"/>
      <c r="Y814" s="88" t="n"/>
      <c r="Z814" s="89" t="n"/>
      <c r="AB814" s="25">
        <f>IF($B814="","",(COUNTIF(C814:E814,"?*")&lt;N(INDEX(Setup!$L$6:$L$23,7)))+(COUNTIF(G814:I814,"?*")&lt;N(INDEX(Setup!$L$6:$L$23,7)))+(COUNTIF(K814:M814,"?*")&lt;N(INDEX(Setup!$L$6:$L$23,7)))+(COUNTIF(O814:Q814,"?*")&lt;N(INDEX(Setup!$L$6:$L$23,7)))+(COUNTIF(S814:U814,"?*")&lt;N(INDEX(Setup!$L$6:$L$23,7)))+((W814="")*(INDEX(Setup!$M$6:$M$23,7)="Y"))+((Y814="")*(INDEX(Setup!$M$6:$M$23,7)="Y")))</f>
        <v/>
      </c>
      <c r="AC814" s="90">
        <f>IF($B814="","",IF(AB814=0,"✓ covered","⚠ "&amp;AB814&amp;IF(AB814=1," gap"," gaps")))</f>
        <v/>
      </c>
    </row>
    <row r="815" ht="17" customHeight="1">
      <c r="A815" t="n">
        <v>17</v>
      </c>
      <c r="B815" s="29">
        <f>IF(Setup!$K$13="","",Setup!$K$13)</f>
        <v/>
      </c>
      <c r="C815" s="88" t="n"/>
      <c r="D815" s="88" t="n"/>
      <c r="E815" s="88" t="n"/>
      <c r="F815" s="89" t="n"/>
      <c r="G815" s="88" t="n"/>
      <c r="H815" s="88" t="n"/>
      <c r="I815" s="88" t="n"/>
      <c r="J815" s="89" t="n"/>
      <c r="K815" s="88" t="n"/>
      <c r="L815" s="88" t="n"/>
      <c r="M815" s="88" t="n"/>
      <c r="N815" s="89" t="n"/>
      <c r="O815" s="88" t="n"/>
      <c r="P815" s="88" t="n"/>
      <c r="Q815" s="88" t="n"/>
      <c r="R815" s="89" t="n"/>
      <c r="S815" s="88" t="n"/>
      <c r="T815" s="88" t="n"/>
      <c r="U815" s="88" t="n"/>
      <c r="V815" s="89" t="n"/>
      <c r="W815" s="88" t="n"/>
      <c r="X815" s="89" t="n"/>
      <c r="Y815" s="88" t="n"/>
      <c r="Z815" s="89" t="n"/>
      <c r="AB815" s="30">
        <f>IF($B815="","",(COUNTIF(C815:E815,"?*")&lt;N(INDEX(Setup!$L$6:$L$23,8)))+(COUNTIF(G815:I815,"?*")&lt;N(INDEX(Setup!$L$6:$L$23,8)))+(COUNTIF(K815:M815,"?*")&lt;N(INDEX(Setup!$L$6:$L$23,8)))+(COUNTIF(O815:Q815,"?*")&lt;N(INDEX(Setup!$L$6:$L$23,8)))+(COUNTIF(S815:U815,"?*")&lt;N(INDEX(Setup!$L$6:$L$23,8)))+((W815="")*(INDEX(Setup!$M$6:$M$23,8)="Y"))+((Y815="")*(INDEX(Setup!$M$6:$M$23,8)="Y")))</f>
        <v/>
      </c>
      <c r="AC815" s="91">
        <f>IF($B815="","",IF(AB815=0,"✓ covered","⚠ "&amp;AB815&amp;IF(AB815=1," gap"," gaps")))</f>
        <v/>
      </c>
    </row>
    <row r="816" ht="17" customHeight="1">
      <c r="A816" t="n">
        <v>17</v>
      </c>
      <c r="B816" s="24">
        <f>IF(Setup!$K$14="","",Setup!$K$14)</f>
        <v/>
      </c>
      <c r="C816" s="88" t="n"/>
      <c r="D816" s="88" t="n"/>
      <c r="E816" s="88" t="n"/>
      <c r="F816" s="89" t="n"/>
      <c r="G816" s="88" t="n"/>
      <c r="H816" s="88" t="n"/>
      <c r="I816" s="88" t="n"/>
      <c r="J816" s="89" t="n"/>
      <c r="K816" s="88" t="n"/>
      <c r="L816" s="88" t="n"/>
      <c r="M816" s="88" t="n"/>
      <c r="N816" s="89" t="n"/>
      <c r="O816" s="88" t="n"/>
      <c r="P816" s="88" t="n"/>
      <c r="Q816" s="88" t="n"/>
      <c r="R816" s="89" t="n"/>
      <c r="S816" s="88" t="n"/>
      <c r="T816" s="88" t="n"/>
      <c r="U816" s="88" t="n"/>
      <c r="V816" s="89" t="n"/>
      <c r="W816" s="88" t="n"/>
      <c r="X816" s="89" t="n"/>
      <c r="Y816" s="88" t="n"/>
      <c r="Z816" s="89" t="n"/>
      <c r="AB816" s="25">
        <f>IF($B816="","",(COUNTIF(C816:E816,"?*")&lt;N(INDEX(Setup!$L$6:$L$23,9)))+(COUNTIF(G816:I816,"?*")&lt;N(INDEX(Setup!$L$6:$L$23,9)))+(COUNTIF(K816:M816,"?*")&lt;N(INDEX(Setup!$L$6:$L$23,9)))+(COUNTIF(O816:Q816,"?*")&lt;N(INDEX(Setup!$L$6:$L$23,9)))+(COUNTIF(S816:U816,"?*")&lt;N(INDEX(Setup!$L$6:$L$23,9)))+((W816="")*(INDEX(Setup!$M$6:$M$23,9)="Y"))+((Y816="")*(INDEX(Setup!$M$6:$M$23,9)="Y")))</f>
        <v/>
      </c>
      <c r="AC816" s="90">
        <f>IF($B816="","",IF(AB816=0,"✓ covered","⚠ "&amp;AB816&amp;IF(AB816=1," gap"," gaps")))</f>
        <v/>
      </c>
    </row>
    <row r="817" ht="17" customHeight="1">
      <c r="A817" t="n">
        <v>17</v>
      </c>
      <c r="B817" s="29">
        <f>IF(Setup!$K$15="","",Setup!$K$15)</f>
        <v/>
      </c>
      <c r="C817" s="88" t="n"/>
      <c r="D817" s="88" t="n"/>
      <c r="E817" s="88" t="n"/>
      <c r="F817" s="89" t="n"/>
      <c r="G817" s="88" t="n"/>
      <c r="H817" s="88" t="n"/>
      <c r="I817" s="88" t="n"/>
      <c r="J817" s="89" t="n"/>
      <c r="K817" s="88" t="n"/>
      <c r="L817" s="88" t="n"/>
      <c r="M817" s="88" t="n"/>
      <c r="N817" s="89" t="n"/>
      <c r="O817" s="88" t="n"/>
      <c r="P817" s="88" t="n"/>
      <c r="Q817" s="88" t="n"/>
      <c r="R817" s="89" t="n"/>
      <c r="S817" s="88" t="n"/>
      <c r="T817" s="88" t="n"/>
      <c r="U817" s="88" t="n"/>
      <c r="V817" s="89" t="n"/>
      <c r="W817" s="88" t="n"/>
      <c r="X817" s="89" t="n"/>
      <c r="Y817" s="88" t="n"/>
      <c r="Z817" s="89" t="n"/>
      <c r="AB817" s="30">
        <f>IF($B817="","",(COUNTIF(C817:E817,"?*")&lt;N(INDEX(Setup!$L$6:$L$23,10)))+(COUNTIF(G817:I817,"?*")&lt;N(INDEX(Setup!$L$6:$L$23,10)))+(COUNTIF(K817:M817,"?*")&lt;N(INDEX(Setup!$L$6:$L$23,10)))+(COUNTIF(O817:Q817,"?*")&lt;N(INDEX(Setup!$L$6:$L$23,10)))+(COUNTIF(S817:U817,"?*")&lt;N(INDEX(Setup!$L$6:$L$23,10)))+((W817="")*(INDEX(Setup!$M$6:$M$23,10)="Y"))+((Y817="")*(INDEX(Setup!$M$6:$M$23,10)="Y")))</f>
        <v/>
      </c>
      <c r="AC817" s="91">
        <f>IF($B817="","",IF(AB817=0,"✓ covered","⚠ "&amp;AB817&amp;IF(AB817=1," gap"," gaps")))</f>
        <v/>
      </c>
    </row>
    <row r="818" ht="17" customHeight="1">
      <c r="A818" t="n">
        <v>17</v>
      </c>
      <c r="B818" s="24">
        <f>IF(Setup!$K$16="","",Setup!$K$16)</f>
        <v/>
      </c>
      <c r="C818" s="88" t="n"/>
      <c r="D818" s="88" t="n"/>
      <c r="E818" s="88" t="n"/>
      <c r="F818" s="89" t="n"/>
      <c r="G818" s="88" t="n"/>
      <c r="H818" s="88" t="n"/>
      <c r="I818" s="88" t="n"/>
      <c r="J818" s="89" t="n"/>
      <c r="K818" s="88" t="n"/>
      <c r="L818" s="88" t="n"/>
      <c r="M818" s="88" t="n"/>
      <c r="N818" s="89" t="n"/>
      <c r="O818" s="88" t="n"/>
      <c r="P818" s="88" t="n"/>
      <c r="Q818" s="88" t="n"/>
      <c r="R818" s="89" t="n"/>
      <c r="S818" s="88" t="n"/>
      <c r="T818" s="88" t="n"/>
      <c r="U818" s="88" t="n"/>
      <c r="V818" s="89" t="n"/>
      <c r="W818" s="88" t="n"/>
      <c r="X818" s="89" t="n"/>
      <c r="Y818" s="88" t="n"/>
      <c r="Z818" s="89" t="n"/>
      <c r="AB818" s="25">
        <f>IF($B818="","",(COUNTIF(C818:E818,"?*")&lt;N(INDEX(Setup!$L$6:$L$23,11)))+(COUNTIF(G818:I818,"?*")&lt;N(INDEX(Setup!$L$6:$L$23,11)))+(COUNTIF(K818:M818,"?*")&lt;N(INDEX(Setup!$L$6:$L$23,11)))+(COUNTIF(O818:Q818,"?*")&lt;N(INDEX(Setup!$L$6:$L$23,11)))+(COUNTIF(S818:U818,"?*")&lt;N(INDEX(Setup!$L$6:$L$23,11)))+((W818="")*(INDEX(Setup!$M$6:$M$23,11)="Y"))+((Y818="")*(INDEX(Setup!$M$6:$M$23,11)="Y")))</f>
        <v/>
      </c>
      <c r="AC818" s="90">
        <f>IF($B818="","",IF(AB818=0,"✓ covered","⚠ "&amp;AB818&amp;IF(AB818=1," gap"," gaps")))</f>
        <v/>
      </c>
    </row>
    <row r="819" ht="17" customHeight="1">
      <c r="A819" t="n">
        <v>17</v>
      </c>
      <c r="B819" s="29">
        <f>IF(Setup!$K$17="","",Setup!$K$17)</f>
        <v/>
      </c>
      <c r="C819" s="88" t="n"/>
      <c r="D819" s="88" t="n"/>
      <c r="E819" s="88" t="n"/>
      <c r="F819" s="89" t="n"/>
      <c r="G819" s="88" t="n"/>
      <c r="H819" s="88" t="n"/>
      <c r="I819" s="88" t="n"/>
      <c r="J819" s="89" t="n"/>
      <c r="K819" s="88" t="n"/>
      <c r="L819" s="88" t="n"/>
      <c r="M819" s="88" t="n"/>
      <c r="N819" s="89" t="n"/>
      <c r="O819" s="88" t="n"/>
      <c r="P819" s="88" t="n"/>
      <c r="Q819" s="88" t="n"/>
      <c r="R819" s="89" t="n"/>
      <c r="S819" s="88" t="n"/>
      <c r="T819" s="88" t="n"/>
      <c r="U819" s="88" t="n"/>
      <c r="V819" s="89" t="n"/>
      <c r="W819" s="88" t="n"/>
      <c r="X819" s="89" t="n"/>
      <c r="Y819" s="88" t="n"/>
      <c r="Z819" s="89" t="n"/>
      <c r="AB819" s="30">
        <f>IF($B819="","",(COUNTIF(C819:E819,"?*")&lt;N(INDEX(Setup!$L$6:$L$23,12)))+(COUNTIF(G819:I819,"?*")&lt;N(INDEX(Setup!$L$6:$L$23,12)))+(COUNTIF(K819:M819,"?*")&lt;N(INDEX(Setup!$L$6:$L$23,12)))+(COUNTIF(O819:Q819,"?*")&lt;N(INDEX(Setup!$L$6:$L$23,12)))+(COUNTIF(S819:U819,"?*")&lt;N(INDEX(Setup!$L$6:$L$23,12)))+((W819="")*(INDEX(Setup!$M$6:$M$23,12)="Y"))+((Y819="")*(INDEX(Setup!$M$6:$M$23,12)="Y")))</f>
        <v/>
      </c>
      <c r="AC819" s="91">
        <f>IF($B819="","",IF(AB819=0,"✓ covered","⚠ "&amp;AB819&amp;IF(AB819=1," gap"," gaps")))</f>
        <v/>
      </c>
    </row>
    <row r="820" ht="17" customHeight="1">
      <c r="A820" t="n">
        <v>17</v>
      </c>
      <c r="B820" s="24">
        <f>IF(Setup!$K$18="","",Setup!$K$18)</f>
        <v/>
      </c>
      <c r="C820" s="88" t="n"/>
      <c r="D820" s="88" t="n"/>
      <c r="E820" s="88" t="n"/>
      <c r="F820" s="89" t="n"/>
      <c r="G820" s="88" t="n"/>
      <c r="H820" s="88" t="n"/>
      <c r="I820" s="88" t="n"/>
      <c r="J820" s="89" t="n"/>
      <c r="K820" s="88" t="n"/>
      <c r="L820" s="88" t="n"/>
      <c r="M820" s="88" t="n"/>
      <c r="N820" s="89" t="n"/>
      <c r="O820" s="88" t="n"/>
      <c r="P820" s="88" t="n"/>
      <c r="Q820" s="88" t="n"/>
      <c r="R820" s="89" t="n"/>
      <c r="S820" s="88" t="n"/>
      <c r="T820" s="88" t="n"/>
      <c r="U820" s="88" t="n"/>
      <c r="V820" s="89" t="n"/>
      <c r="W820" s="88" t="n"/>
      <c r="X820" s="89" t="n"/>
      <c r="Y820" s="88" t="n"/>
      <c r="Z820" s="89" t="n"/>
      <c r="AB820" s="25">
        <f>IF($B820="","",(COUNTIF(C820:E820,"?*")&lt;N(INDEX(Setup!$L$6:$L$23,13)))+(COUNTIF(G820:I820,"?*")&lt;N(INDEX(Setup!$L$6:$L$23,13)))+(COUNTIF(K820:M820,"?*")&lt;N(INDEX(Setup!$L$6:$L$23,13)))+(COUNTIF(O820:Q820,"?*")&lt;N(INDEX(Setup!$L$6:$L$23,13)))+(COUNTIF(S820:U820,"?*")&lt;N(INDEX(Setup!$L$6:$L$23,13)))+((W820="")*(INDEX(Setup!$M$6:$M$23,13)="Y"))+((Y820="")*(INDEX(Setup!$M$6:$M$23,13)="Y")))</f>
        <v/>
      </c>
      <c r="AC820" s="90">
        <f>IF($B820="","",IF(AB820=0,"✓ covered","⚠ "&amp;AB820&amp;IF(AB820=1," gap"," gaps")))</f>
        <v/>
      </c>
    </row>
    <row r="821" ht="17" customHeight="1">
      <c r="A821" t="n">
        <v>17</v>
      </c>
      <c r="B821" s="29">
        <f>IF(Setup!$K$19="","",Setup!$K$19)</f>
        <v/>
      </c>
      <c r="C821" s="88" t="n"/>
      <c r="D821" s="88" t="n"/>
      <c r="E821" s="88" t="n"/>
      <c r="F821" s="89" t="n"/>
      <c r="G821" s="88" t="n"/>
      <c r="H821" s="88" t="n"/>
      <c r="I821" s="88" t="n"/>
      <c r="J821" s="89" t="n"/>
      <c r="K821" s="88" t="n"/>
      <c r="L821" s="88" t="n"/>
      <c r="M821" s="88" t="n"/>
      <c r="N821" s="89" t="n"/>
      <c r="O821" s="88" t="n"/>
      <c r="P821" s="88" t="n"/>
      <c r="Q821" s="88" t="n"/>
      <c r="R821" s="89" t="n"/>
      <c r="S821" s="88" t="n"/>
      <c r="T821" s="88" t="n"/>
      <c r="U821" s="88" t="n"/>
      <c r="V821" s="89" t="n"/>
      <c r="W821" s="88" t="n"/>
      <c r="X821" s="89" t="n"/>
      <c r="Y821" s="88" t="n"/>
      <c r="Z821" s="89" t="n"/>
      <c r="AB821" s="30">
        <f>IF($B821="","",(COUNTIF(C821:E821,"?*")&lt;N(INDEX(Setup!$L$6:$L$23,14)))+(COUNTIF(G821:I821,"?*")&lt;N(INDEX(Setup!$L$6:$L$23,14)))+(COUNTIF(K821:M821,"?*")&lt;N(INDEX(Setup!$L$6:$L$23,14)))+(COUNTIF(O821:Q821,"?*")&lt;N(INDEX(Setup!$L$6:$L$23,14)))+(COUNTIF(S821:U821,"?*")&lt;N(INDEX(Setup!$L$6:$L$23,14)))+((W821="")*(INDEX(Setup!$M$6:$M$23,14)="Y"))+((Y821="")*(INDEX(Setup!$M$6:$M$23,14)="Y")))</f>
        <v/>
      </c>
      <c r="AC821" s="91">
        <f>IF($B821="","",IF(AB821=0,"✓ covered","⚠ "&amp;AB821&amp;IF(AB821=1," gap"," gaps")))</f>
        <v/>
      </c>
    </row>
    <row r="822" ht="17" customHeight="1">
      <c r="A822" t="n">
        <v>17</v>
      </c>
      <c r="B822" s="24">
        <f>IF(Setup!$K$20="","",Setup!$K$20)</f>
        <v/>
      </c>
      <c r="C822" s="88" t="n"/>
      <c r="D822" s="88" t="n"/>
      <c r="E822" s="88" t="n"/>
      <c r="F822" s="89" t="n"/>
      <c r="G822" s="88" t="n"/>
      <c r="H822" s="88" t="n"/>
      <c r="I822" s="88" t="n"/>
      <c r="J822" s="89" t="n"/>
      <c r="K822" s="88" t="n"/>
      <c r="L822" s="88" t="n"/>
      <c r="M822" s="88" t="n"/>
      <c r="N822" s="89" t="n"/>
      <c r="O822" s="88" t="n"/>
      <c r="P822" s="88" t="n"/>
      <c r="Q822" s="88" t="n"/>
      <c r="R822" s="89" t="n"/>
      <c r="S822" s="88" t="n"/>
      <c r="T822" s="88" t="n"/>
      <c r="U822" s="88" t="n"/>
      <c r="V822" s="89" t="n"/>
      <c r="W822" s="88" t="n"/>
      <c r="X822" s="89" t="n"/>
      <c r="Y822" s="88" t="n"/>
      <c r="Z822" s="89" t="n"/>
      <c r="AB822" s="25">
        <f>IF($B822="","",(COUNTIF(C822:E822,"?*")&lt;N(INDEX(Setup!$L$6:$L$23,15)))+(COUNTIF(G822:I822,"?*")&lt;N(INDEX(Setup!$L$6:$L$23,15)))+(COUNTIF(K822:M822,"?*")&lt;N(INDEX(Setup!$L$6:$L$23,15)))+(COUNTIF(O822:Q822,"?*")&lt;N(INDEX(Setup!$L$6:$L$23,15)))+(COUNTIF(S822:U822,"?*")&lt;N(INDEX(Setup!$L$6:$L$23,15)))+((W822="")*(INDEX(Setup!$M$6:$M$23,15)="Y"))+((Y822="")*(INDEX(Setup!$M$6:$M$23,15)="Y")))</f>
        <v/>
      </c>
      <c r="AC822" s="90">
        <f>IF($B822="","",IF(AB822=0,"✓ covered","⚠ "&amp;AB822&amp;IF(AB822=1," gap"," gaps")))</f>
        <v/>
      </c>
    </row>
    <row r="823" ht="17" customHeight="1">
      <c r="A823" t="n">
        <v>17</v>
      </c>
      <c r="B823" s="29">
        <f>IF(Setup!$K$21="","",Setup!$K$21)</f>
        <v/>
      </c>
      <c r="C823" s="88" t="n"/>
      <c r="D823" s="88" t="n"/>
      <c r="E823" s="88" t="n"/>
      <c r="F823" s="89" t="n"/>
      <c r="G823" s="88" t="n"/>
      <c r="H823" s="88" t="n"/>
      <c r="I823" s="88" t="n"/>
      <c r="J823" s="89" t="n"/>
      <c r="K823" s="88" t="n"/>
      <c r="L823" s="88" t="n"/>
      <c r="M823" s="88" t="n"/>
      <c r="N823" s="89" t="n"/>
      <c r="O823" s="88" t="n"/>
      <c r="P823" s="88" t="n"/>
      <c r="Q823" s="88" t="n"/>
      <c r="R823" s="89" t="n"/>
      <c r="S823" s="88" t="n"/>
      <c r="T823" s="88" t="n"/>
      <c r="U823" s="88" t="n"/>
      <c r="V823" s="89" t="n"/>
      <c r="W823" s="88" t="n"/>
      <c r="X823" s="89" t="n"/>
      <c r="Y823" s="88" t="n"/>
      <c r="Z823" s="89" t="n"/>
      <c r="AB823" s="30">
        <f>IF($B823="","",(COUNTIF(C823:E823,"?*")&lt;N(INDEX(Setup!$L$6:$L$23,16)))+(COUNTIF(G823:I823,"?*")&lt;N(INDEX(Setup!$L$6:$L$23,16)))+(COUNTIF(K823:M823,"?*")&lt;N(INDEX(Setup!$L$6:$L$23,16)))+(COUNTIF(O823:Q823,"?*")&lt;N(INDEX(Setup!$L$6:$L$23,16)))+(COUNTIF(S823:U823,"?*")&lt;N(INDEX(Setup!$L$6:$L$23,16)))+((W823="")*(INDEX(Setup!$M$6:$M$23,16)="Y"))+((Y823="")*(INDEX(Setup!$M$6:$M$23,16)="Y")))</f>
        <v/>
      </c>
      <c r="AC823" s="91">
        <f>IF($B823="","",IF(AB823=0,"✓ covered","⚠ "&amp;AB823&amp;IF(AB823=1," gap"," gaps")))</f>
        <v/>
      </c>
    </row>
    <row r="824" ht="17" customHeight="1">
      <c r="A824" t="n">
        <v>17</v>
      </c>
      <c r="B824" s="24">
        <f>IF(Setup!$K$22="","",Setup!$K$22)</f>
        <v/>
      </c>
      <c r="C824" s="88" t="n"/>
      <c r="D824" s="88" t="n"/>
      <c r="E824" s="88" t="n"/>
      <c r="F824" s="89" t="n"/>
      <c r="G824" s="88" t="n"/>
      <c r="H824" s="88" t="n"/>
      <c r="I824" s="88" t="n"/>
      <c r="J824" s="89" t="n"/>
      <c r="K824" s="88" t="n"/>
      <c r="L824" s="88" t="n"/>
      <c r="M824" s="88" t="n"/>
      <c r="N824" s="89" t="n"/>
      <c r="O824" s="88" t="n"/>
      <c r="P824" s="88" t="n"/>
      <c r="Q824" s="88" t="n"/>
      <c r="R824" s="89" t="n"/>
      <c r="S824" s="88" t="n"/>
      <c r="T824" s="88" t="n"/>
      <c r="U824" s="88" t="n"/>
      <c r="V824" s="89" t="n"/>
      <c r="W824" s="88" t="n"/>
      <c r="X824" s="89" t="n"/>
      <c r="Y824" s="88" t="n"/>
      <c r="Z824" s="89" t="n"/>
      <c r="AB824" s="25">
        <f>IF($B824="","",(COUNTIF(C824:E824,"?*")&lt;N(INDEX(Setup!$L$6:$L$23,17)))+(COUNTIF(G824:I824,"?*")&lt;N(INDEX(Setup!$L$6:$L$23,17)))+(COUNTIF(K824:M824,"?*")&lt;N(INDEX(Setup!$L$6:$L$23,17)))+(COUNTIF(O824:Q824,"?*")&lt;N(INDEX(Setup!$L$6:$L$23,17)))+(COUNTIF(S824:U824,"?*")&lt;N(INDEX(Setup!$L$6:$L$23,17)))+((W824="")*(INDEX(Setup!$M$6:$M$23,17)="Y"))+((Y824="")*(INDEX(Setup!$M$6:$M$23,17)="Y")))</f>
        <v/>
      </c>
      <c r="AC824" s="90">
        <f>IF($B824="","",IF(AB824=0,"✓ covered","⚠ "&amp;AB824&amp;IF(AB824=1," gap"," gaps")))</f>
        <v/>
      </c>
    </row>
    <row r="825" ht="17" customHeight="1">
      <c r="A825" t="n">
        <v>17</v>
      </c>
      <c r="B825" s="29">
        <f>IF(Setup!$K$23="","",Setup!$K$23)</f>
        <v/>
      </c>
      <c r="C825" s="88" t="n"/>
      <c r="D825" s="88" t="n"/>
      <c r="E825" s="88" t="n"/>
      <c r="F825" s="89" t="n"/>
      <c r="G825" s="88" t="n"/>
      <c r="H825" s="88" t="n"/>
      <c r="I825" s="88" t="n"/>
      <c r="J825" s="89" t="n"/>
      <c r="K825" s="88" t="n"/>
      <c r="L825" s="88" t="n"/>
      <c r="M825" s="88" t="n"/>
      <c r="N825" s="89" t="n"/>
      <c r="O825" s="88" t="n"/>
      <c r="P825" s="88" t="n"/>
      <c r="Q825" s="88" t="n"/>
      <c r="R825" s="89" t="n"/>
      <c r="S825" s="88" t="n"/>
      <c r="T825" s="88" t="n"/>
      <c r="U825" s="88" t="n"/>
      <c r="V825" s="89" t="n"/>
      <c r="W825" s="88" t="n"/>
      <c r="X825" s="89" t="n"/>
      <c r="Y825" s="88" t="n"/>
      <c r="Z825" s="89" t="n"/>
      <c r="AB825" s="30">
        <f>IF($B825="","",(COUNTIF(C825:E825,"?*")&lt;N(INDEX(Setup!$L$6:$L$23,18)))+(COUNTIF(G825:I825,"?*")&lt;N(INDEX(Setup!$L$6:$L$23,18)))+(COUNTIF(K825:M825,"?*")&lt;N(INDEX(Setup!$L$6:$L$23,18)))+(COUNTIF(O825:Q825,"?*")&lt;N(INDEX(Setup!$L$6:$L$23,18)))+(COUNTIF(S825:U825,"?*")&lt;N(INDEX(Setup!$L$6:$L$23,18)))+((W825="")*(INDEX(Setup!$M$6:$M$23,18)="Y"))+((Y825="")*(INDEX(Setup!$M$6:$M$23,18)="Y")))</f>
        <v/>
      </c>
      <c r="AC825" s="91">
        <f>IF($B825="","",IF(AB825=0,"✓ covered","⚠ "&amp;AB825&amp;IF(AB825=1," gap"," gaps")))</f>
        <v/>
      </c>
    </row>
    <row r="826" ht="18" customHeight="1">
      <c r="A826" t="n">
        <v>17</v>
      </c>
      <c r="B826" s="78" t="inlineStr">
        <is>
          <t>TEAM AVAILABILITY</t>
        </is>
      </c>
      <c r="C826" s="92" t="inlineStr">
        <is>
          <t>Mon</t>
        </is>
      </c>
      <c r="D826" s="93" t="n"/>
      <c r="E826" s="93" t="n"/>
      <c r="F826" s="94" t="n"/>
      <c r="G826" s="92" t="inlineStr">
        <is>
          <t>Tue</t>
        </is>
      </c>
      <c r="H826" s="93" t="n"/>
      <c r="I826" s="93" t="n"/>
      <c r="J826" s="94" t="n"/>
      <c r="K826" s="92" t="inlineStr">
        <is>
          <t>Wed</t>
        </is>
      </c>
      <c r="L826" s="93" t="n"/>
      <c r="M826" s="93" t="n"/>
      <c r="N826" s="94" t="n"/>
      <c r="O826" s="92" t="inlineStr">
        <is>
          <t>Thu</t>
        </is>
      </c>
      <c r="P826" s="93" t="n"/>
      <c r="Q826" s="93" t="n"/>
      <c r="R826" s="94" t="n"/>
      <c r="S826" s="92" t="inlineStr">
        <is>
          <t>Fri</t>
        </is>
      </c>
      <c r="T826" s="93" t="n"/>
      <c r="U826" s="93" t="n"/>
      <c r="V826" s="94" t="n"/>
      <c r="W826" s="95" t="inlineStr">
        <is>
          <t>Sat</t>
        </is>
      </c>
      <c r="X826" s="96" t="n"/>
      <c r="Y826" s="95" t="inlineStr">
        <is>
          <t>Sun</t>
        </is>
      </c>
      <c r="Z826" s="96" t="n"/>
      <c r="AB826" s="97" t="inlineStr">
        <is>
          <t>Days rostered</t>
        </is>
      </c>
      <c r="AC826" s="97" t="inlineStr">
        <is>
          <t>Conflicts</t>
        </is>
      </c>
    </row>
    <row r="827" ht="15" customHeight="1">
      <c r="A827" t="n">
        <v>17</v>
      </c>
      <c r="B827" s="35">
        <f>IF(Setup!$B$6="","",Setup!$B$6)</f>
        <v/>
      </c>
      <c r="C827" s="98" t="n"/>
      <c r="D827" s="99" t="n"/>
      <c r="E827" s="99" t="n"/>
      <c r="F827" s="100" t="n"/>
      <c r="G827" s="98" t="n"/>
      <c r="H827" s="99" t="n"/>
      <c r="I827" s="99" t="n"/>
      <c r="J827" s="100" t="n"/>
      <c r="K827" s="98" t="n"/>
      <c r="L827" s="99" t="n"/>
      <c r="M827" s="99" t="n"/>
      <c r="N827" s="100" t="n"/>
      <c r="O827" s="98" t="n"/>
      <c r="P827" s="99" t="n"/>
      <c r="Q827" s="99" t="n"/>
      <c r="R827" s="100" t="n"/>
      <c r="S827" s="98" t="n"/>
      <c r="T827" s="99" t="n"/>
      <c r="U827" s="99" t="n"/>
      <c r="V827" s="100" t="n"/>
      <c r="W827" s="98" t="n"/>
      <c r="X827" s="100" t="n"/>
      <c r="Y827" s="98" t="n"/>
      <c r="Z827" s="100" t="n"/>
      <c r="AB827" s="101">
        <f>IF($B827="","",(COUNTIF(C808:E825,$B827)+COUNTIF(C808:E825,$B827&amp;" ~*")&gt;0)+(COUNTIF(G808:I825,$B827)+COUNTIF(G808:I825,$B827&amp;" ~*")&gt;0)+(COUNTIF(K808:M825,$B827)+COUNTIF(K808:M825,$B827&amp;" ~*")&gt;0)+(COUNTIF(O808:Q825,$B827)+COUNTIF(O808:Q825,$B827&amp;" ~*")&gt;0)+(COUNTIF(S808:U825,$B827)+COUNTIF(S808:U825,$B827&amp;" ~*")&gt;0)+(COUNTIF(W808:W825,$B827)+COUNTIF(W808:W825,$B827&amp;" ~*")&gt;0)+(COUNTIF(Y808:Y825,$B827)+COUNTIF(Y808:Y825,$B827&amp;" ~*")&gt;0))</f>
        <v/>
      </c>
      <c r="AC827" s="36">
        <f>IF($B827="","",(IFERROR(INDEX(Setup!$G$33:$G$40,MATCH(C827,Setup!$B$33:$B$40,0)),0)=1)*(COUNTIF(C808:E825,$B827)+COUNTIF(C808:E825,$B827&amp;" ~*")&gt;0)+(IFERROR(INDEX(Setup!$G$33:$G$40,MATCH(G827,Setup!$B$33:$B$40,0)),0)=1)*(COUNTIF(G808:I825,$B827)+COUNTIF(G808:I825,$B827&amp;" ~*")&gt;0)+(IFERROR(INDEX(Setup!$G$33:$G$40,MATCH(K827,Setup!$B$33:$B$40,0)),0)=1)*(COUNTIF(K808:M825,$B827)+COUNTIF(K808:M825,$B827&amp;" ~*")&gt;0)+(IFERROR(INDEX(Setup!$G$33:$G$40,MATCH(O827,Setup!$B$33:$B$40,0)),0)=1)*(COUNTIF(O808:Q825,$B827)+COUNTIF(O808:Q825,$B827&amp;" ~*")&gt;0)+(IFERROR(INDEX(Setup!$G$33:$G$40,MATCH(S827,Setup!$B$33:$B$40,0)),0)=1)*(COUNTIF(S808:U825,$B827)+COUNTIF(S808:U825,$B827&amp;" ~*")&gt;0)+(IFERROR(INDEX(Setup!$G$33:$G$40,MATCH(W827,Setup!$B$33:$B$40,0)),0)=1)*(COUNTIF(W808:W825,$B827)+COUNTIF(W808:W825,$B827&amp;" ~*")&gt;0)+(IFERROR(INDEX(Setup!$G$33:$G$40,MATCH(Y827,Setup!$B$33:$B$40,0)),0)=1)*(COUNTIF(Y808:Y825,$B827)+COUNTIF(Y808:Y825,$B827&amp;" ~*")&gt;0))</f>
        <v/>
      </c>
    </row>
    <row r="828" ht="15" customHeight="1">
      <c r="A828" t="n">
        <v>17</v>
      </c>
      <c r="B828" s="37">
        <f>IF(Setup!$B$7="","",Setup!$B$7)</f>
        <v/>
      </c>
      <c r="C828" s="102" t="n"/>
      <c r="D828" s="103" t="n"/>
      <c r="E828" s="103" t="n"/>
      <c r="F828" s="104" t="n"/>
      <c r="G828" s="102" t="n"/>
      <c r="H828" s="103" t="n"/>
      <c r="I828" s="103" t="n"/>
      <c r="J828" s="104" t="n"/>
      <c r="K828" s="102" t="n"/>
      <c r="L828" s="103" t="n"/>
      <c r="M828" s="103" t="n"/>
      <c r="N828" s="104" t="n"/>
      <c r="O828" s="102" t="n"/>
      <c r="P828" s="103" t="n"/>
      <c r="Q828" s="103" t="n"/>
      <c r="R828" s="104" t="n"/>
      <c r="S828" s="102" t="n"/>
      <c r="T828" s="103" t="n"/>
      <c r="U828" s="103" t="n"/>
      <c r="V828" s="104" t="n"/>
      <c r="W828" s="102" t="n"/>
      <c r="X828" s="104" t="n"/>
      <c r="Y828" s="102" t="n"/>
      <c r="Z828" s="104" t="n"/>
      <c r="AB828" s="105">
        <f>IF($B828="","",(COUNTIF(C808:E825,$B828)+COUNTIF(C808:E825,$B828&amp;" ~*")&gt;0)+(COUNTIF(G808:I825,$B828)+COUNTIF(G808:I825,$B828&amp;" ~*")&gt;0)+(COUNTIF(K808:M825,$B828)+COUNTIF(K808:M825,$B828&amp;" ~*")&gt;0)+(COUNTIF(O808:Q825,$B828)+COUNTIF(O808:Q825,$B828&amp;" ~*")&gt;0)+(COUNTIF(S808:U825,$B828)+COUNTIF(S808:U825,$B828&amp;" ~*")&gt;0)+(COUNTIF(W808:W825,$B828)+COUNTIF(W808:W825,$B828&amp;" ~*")&gt;0)+(COUNTIF(Y808:Y825,$B828)+COUNTIF(Y808:Y825,$B828&amp;" ~*")&gt;0))</f>
        <v/>
      </c>
      <c r="AC828" s="38">
        <f>IF($B828="","",(IFERROR(INDEX(Setup!$G$33:$G$40,MATCH(C828,Setup!$B$33:$B$40,0)),0)=1)*(COUNTIF(C808:E825,$B828)+COUNTIF(C808:E825,$B828&amp;" ~*")&gt;0)+(IFERROR(INDEX(Setup!$G$33:$G$40,MATCH(G828,Setup!$B$33:$B$40,0)),0)=1)*(COUNTIF(G808:I825,$B828)+COUNTIF(G808:I825,$B828&amp;" ~*")&gt;0)+(IFERROR(INDEX(Setup!$G$33:$G$40,MATCH(K828,Setup!$B$33:$B$40,0)),0)=1)*(COUNTIF(K808:M825,$B828)+COUNTIF(K808:M825,$B828&amp;" ~*")&gt;0)+(IFERROR(INDEX(Setup!$G$33:$G$40,MATCH(O828,Setup!$B$33:$B$40,0)),0)=1)*(COUNTIF(O808:Q825,$B828)+COUNTIF(O808:Q825,$B828&amp;" ~*")&gt;0)+(IFERROR(INDEX(Setup!$G$33:$G$40,MATCH(S828,Setup!$B$33:$B$40,0)),0)=1)*(COUNTIF(S808:U825,$B828)+COUNTIF(S808:U825,$B828&amp;" ~*")&gt;0)+(IFERROR(INDEX(Setup!$G$33:$G$40,MATCH(W828,Setup!$B$33:$B$40,0)),0)=1)*(COUNTIF(W808:W825,$B828)+COUNTIF(W808:W825,$B828&amp;" ~*")&gt;0)+(IFERROR(INDEX(Setup!$G$33:$G$40,MATCH(Y828,Setup!$B$33:$B$40,0)),0)=1)*(COUNTIF(Y808:Y825,$B828)+COUNTIF(Y808:Y825,$B828&amp;" ~*")&gt;0))</f>
        <v/>
      </c>
    </row>
    <row r="829" ht="15" customHeight="1">
      <c r="A829" t="n">
        <v>17</v>
      </c>
      <c r="B829" s="35">
        <f>IF(Setup!$B$8="","",Setup!$B$8)</f>
        <v/>
      </c>
      <c r="C829" s="98" t="n"/>
      <c r="D829" s="99" t="n"/>
      <c r="E829" s="99" t="n"/>
      <c r="F829" s="100" t="n"/>
      <c r="G829" s="98" t="n"/>
      <c r="H829" s="99" t="n"/>
      <c r="I829" s="99" t="n"/>
      <c r="J829" s="100" t="n"/>
      <c r="K829" s="98" t="n"/>
      <c r="L829" s="99" t="n"/>
      <c r="M829" s="99" t="n"/>
      <c r="N829" s="100" t="n"/>
      <c r="O829" s="98" t="n"/>
      <c r="P829" s="99" t="n"/>
      <c r="Q829" s="99" t="n"/>
      <c r="R829" s="100" t="n"/>
      <c r="S829" s="98" t="n"/>
      <c r="T829" s="99" t="n"/>
      <c r="U829" s="99" t="n"/>
      <c r="V829" s="100" t="n"/>
      <c r="W829" s="98" t="n"/>
      <c r="X829" s="100" t="n"/>
      <c r="Y829" s="98" t="n"/>
      <c r="Z829" s="100" t="n"/>
      <c r="AB829" s="101">
        <f>IF($B829="","",(COUNTIF(C808:E825,$B829)+COUNTIF(C808:E825,$B829&amp;" ~*")&gt;0)+(COUNTIF(G808:I825,$B829)+COUNTIF(G808:I825,$B829&amp;" ~*")&gt;0)+(COUNTIF(K808:M825,$B829)+COUNTIF(K808:M825,$B829&amp;" ~*")&gt;0)+(COUNTIF(O808:Q825,$B829)+COUNTIF(O808:Q825,$B829&amp;" ~*")&gt;0)+(COUNTIF(S808:U825,$B829)+COUNTIF(S808:U825,$B829&amp;" ~*")&gt;0)+(COUNTIF(W808:W825,$B829)+COUNTIF(W808:W825,$B829&amp;" ~*")&gt;0)+(COUNTIF(Y808:Y825,$B829)+COUNTIF(Y808:Y825,$B829&amp;" ~*")&gt;0))</f>
        <v/>
      </c>
      <c r="AC829" s="36">
        <f>IF($B829="","",(IFERROR(INDEX(Setup!$G$33:$G$40,MATCH(C829,Setup!$B$33:$B$40,0)),0)=1)*(COUNTIF(C808:E825,$B829)+COUNTIF(C808:E825,$B829&amp;" ~*")&gt;0)+(IFERROR(INDEX(Setup!$G$33:$G$40,MATCH(G829,Setup!$B$33:$B$40,0)),0)=1)*(COUNTIF(G808:I825,$B829)+COUNTIF(G808:I825,$B829&amp;" ~*")&gt;0)+(IFERROR(INDEX(Setup!$G$33:$G$40,MATCH(K829,Setup!$B$33:$B$40,0)),0)=1)*(COUNTIF(K808:M825,$B829)+COUNTIF(K808:M825,$B829&amp;" ~*")&gt;0)+(IFERROR(INDEX(Setup!$G$33:$G$40,MATCH(O829,Setup!$B$33:$B$40,0)),0)=1)*(COUNTIF(O808:Q825,$B829)+COUNTIF(O808:Q825,$B829&amp;" ~*")&gt;0)+(IFERROR(INDEX(Setup!$G$33:$G$40,MATCH(S829,Setup!$B$33:$B$40,0)),0)=1)*(COUNTIF(S808:U825,$B829)+COUNTIF(S808:U825,$B829&amp;" ~*")&gt;0)+(IFERROR(INDEX(Setup!$G$33:$G$40,MATCH(W829,Setup!$B$33:$B$40,0)),0)=1)*(COUNTIF(W808:W825,$B829)+COUNTIF(W808:W825,$B829&amp;" ~*")&gt;0)+(IFERROR(INDEX(Setup!$G$33:$G$40,MATCH(Y829,Setup!$B$33:$B$40,0)),0)=1)*(COUNTIF(Y808:Y825,$B829)+COUNTIF(Y808:Y825,$B829&amp;" ~*")&gt;0))</f>
        <v/>
      </c>
    </row>
    <row r="830" ht="15" customHeight="1">
      <c r="A830" t="n">
        <v>17</v>
      </c>
      <c r="B830" s="37">
        <f>IF(Setup!$B$9="","",Setup!$B$9)</f>
        <v/>
      </c>
      <c r="C830" s="102" t="n"/>
      <c r="D830" s="103" t="n"/>
      <c r="E830" s="103" t="n"/>
      <c r="F830" s="104" t="n"/>
      <c r="G830" s="102" t="n"/>
      <c r="H830" s="103" t="n"/>
      <c r="I830" s="103" t="n"/>
      <c r="J830" s="104" t="n"/>
      <c r="K830" s="102" t="n"/>
      <c r="L830" s="103" t="n"/>
      <c r="M830" s="103" t="n"/>
      <c r="N830" s="104" t="n"/>
      <c r="O830" s="102" t="n"/>
      <c r="P830" s="103" t="n"/>
      <c r="Q830" s="103" t="n"/>
      <c r="R830" s="104" t="n"/>
      <c r="S830" s="102" t="n"/>
      <c r="T830" s="103" t="n"/>
      <c r="U830" s="103" t="n"/>
      <c r="V830" s="104" t="n"/>
      <c r="W830" s="102" t="n"/>
      <c r="X830" s="104" t="n"/>
      <c r="Y830" s="102" t="n"/>
      <c r="Z830" s="104" t="n"/>
      <c r="AB830" s="105">
        <f>IF($B830="","",(COUNTIF(C808:E825,$B830)+COUNTIF(C808:E825,$B830&amp;" ~*")&gt;0)+(COUNTIF(G808:I825,$B830)+COUNTIF(G808:I825,$B830&amp;" ~*")&gt;0)+(COUNTIF(K808:M825,$B830)+COUNTIF(K808:M825,$B830&amp;" ~*")&gt;0)+(COUNTIF(O808:Q825,$B830)+COUNTIF(O808:Q825,$B830&amp;" ~*")&gt;0)+(COUNTIF(S808:U825,$B830)+COUNTIF(S808:U825,$B830&amp;" ~*")&gt;0)+(COUNTIF(W808:W825,$B830)+COUNTIF(W808:W825,$B830&amp;" ~*")&gt;0)+(COUNTIF(Y808:Y825,$B830)+COUNTIF(Y808:Y825,$B830&amp;" ~*")&gt;0))</f>
        <v/>
      </c>
      <c r="AC830" s="38">
        <f>IF($B830="","",(IFERROR(INDEX(Setup!$G$33:$G$40,MATCH(C830,Setup!$B$33:$B$40,0)),0)=1)*(COUNTIF(C808:E825,$B830)+COUNTIF(C808:E825,$B830&amp;" ~*")&gt;0)+(IFERROR(INDEX(Setup!$G$33:$G$40,MATCH(G830,Setup!$B$33:$B$40,0)),0)=1)*(COUNTIF(G808:I825,$B830)+COUNTIF(G808:I825,$B830&amp;" ~*")&gt;0)+(IFERROR(INDEX(Setup!$G$33:$G$40,MATCH(K830,Setup!$B$33:$B$40,0)),0)=1)*(COUNTIF(K808:M825,$B830)+COUNTIF(K808:M825,$B830&amp;" ~*")&gt;0)+(IFERROR(INDEX(Setup!$G$33:$G$40,MATCH(O830,Setup!$B$33:$B$40,0)),0)=1)*(COUNTIF(O808:Q825,$B830)+COUNTIF(O808:Q825,$B830&amp;" ~*")&gt;0)+(IFERROR(INDEX(Setup!$G$33:$G$40,MATCH(S830,Setup!$B$33:$B$40,0)),0)=1)*(COUNTIF(S808:U825,$B830)+COUNTIF(S808:U825,$B830&amp;" ~*")&gt;0)+(IFERROR(INDEX(Setup!$G$33:$G$40,MATCH(W830,Setup!$B$33:$B$40,0)),0)=1)*(COUNTIF(W808:W825,$B830)+COUNTIF(W808:W825,$B830&amp;" ~*")&gt;0)+(IFERROR(INDEX(Setup!$G$33:$G$40,MATCH(Y830,Setup!$B$33:$B$40,0)),0)=1)*(COUNTIF(Y808:Y825,$B830)+COUNTIF(Y808:Y825,$B830&amp;" ~*")&gt;0))</f>
        <v/>
      </c>
    </row>
    <row r="831" ht="15" customHeight="1">
      <c r="A831" t="n">
        <v>17</v>
      </c>
      <c r="B831" s="35">
        <f>IF(Setup!$B$10="","",Setup!$B$10)</f>
        <v/>
      </c>
      <c r="C831" s="98" t="n"/>
      <c r="D831" s="99" t="n"/>
      <c r="E831" s="99" t="n"/>
      <c r="F831" s="100" t="n"/>
      <c r="G831" s="98" t="n"/>
      <c r="H831" s="99" t="n"/>
      <c r="I831" s="99" t="n"/>
      <c r="J831" s="100" t="n"/>
      <c r="K831" s="98" t="n"/>
      <c r="L831" s="99" t="n"/>
      <c r="M831" s="99" t="n"/>
      <c r="N831" s="100" t="n"/>
      <c r="O831" s="98" t="n"/>
      <c r="P831" s="99" t="n"/>
      <c r="Q831" s="99" t="n"/>
      <c r="R831" s="100" t="n"/>
      <c r="S831" s="98" t="n"/>
      <c r="T831" s="99" t="n"/>
      <c r="U831" s="99" t="n"/>
      <c r="V831" s="100" t="n"/>
      <c r="W831" s="98" t="n"/>
      <c r="X831" s="100" t="n"/>
      <c r="Y831" s="98" t="n"/>
      <c r="Z831" s="100" t="n"/>
      <c r="AB831" s="101">
        <f>IF($B831="","",(COUNTIF(C808:E825,$B831)+COUNTIF(C808:E825,$B831&amp;" ~*")&gt;0)+(COUNTIF(G808:I825,$B831)+COUNTIF(G808:I825,$B831&amp;" ~*")&gt;0)+(COUNTIF(K808:M825,$B831)+COUNTIF(K808:M825,$B831&amp;" ~*")&gt;0)+(COUNTIF(O808:Q825,$B831)+COUNTIF(O808:Q825,$B831&amp;" ~*")&gt;0)+(COUNTIF(S808:U825,$B831)+COUNTIF(S808:U825,$B831&amp;" ~*")&gt;0)+(COUNTIF(W808:W825,$B831)+COUNTIF(W808:W825,$B831&amp;" ~*")&gt;0)+(COUNTIF(Y808:Y825,$B831)+COUNTIF(Y808:Y825,$B831&amp;" ~*")&gt;0))</f>
        <v/>
      </c>
      <c r="AC831" s="36">
        <f>IF($B831="","",(IFERROR(INDEX(Setup!$G$33:$G$40,MATCH(C831,Setup!$B$33:$B$40,0)),0)=1)*(COUNTIF(C808:E825,$B831)+COUNTIF(C808:E825,$B831&amp;" ~*")&gt;0)+(IFERROR(INDEX(Setup!$G$33:$G$40,MATCH(G831,Setup!$B$33:$B$40,0)),0)=1)*(COUNTIF(G808:I825,$B831)+COUNTIF(G808:I825,$B831&amp;" ~*")&gt;0)+(IFERROR(INDEX(Setup!$G$33:$G$40,MATCH(K831,Setup!$B$33:$B$40,0)),0)=1)*(COUNTIF(K808:M825,$B831)+COUNTIF(K808:M825,$B831&amp;" ~*")&gt;0)+(IFERROR(INDEX(Setup!$G$33:$G$40,MATCH(O831,Setup!$B$33:$B$40,0)),0)=1)*(COUNTIF(O808:Q825,$B831)+COUNTIF(O808:Q825,$B831&amp;" ~*")&gt;0)+(IFERROR(INDEX(Setup!$G$33:$G$40,MATCH(S831,Setup!$B$33:$B$40,0)),0)=1)*(COUNTIF(S808:U825,$B831)+COUNTIF(S808:U825,$B831&amp;" ~*")&gt;0)+(IFERROR(INDEX(Setup!$G$33:$G$40,MATCH(W831,Setup!$B$33:$B$40,0)),0)=1)*(COUNTIF(W808:W825,$B831)+COUNTIF(W808:W825,$B831&amp;" ~*")&gt;0)+(IFERROR(INDEX(Setup!$G$33:$G$40,MATCH(Y831,Setup!$B$33:$B$40,0)),0)=1)*(COUNTIF(Y808:Y825,$B831)+COUNTIF(Y808:Y825,$B831&amp;" ~*")&gt;0))</f>
        <v/>
      </c>
    </row>
    <row r="832" ht="15" customHeight="1">
      <c r="A832" t="n">
        <v>17</v>
      </c>
      <c r="B832" s="37">
        <f>IF(Setup!$B$11="","",Setup!$B$11)</f>
        <v/>
      </c>
      <c r="C832" s="102" t="n"/>
      <c r="D832" s="103" t="n"/>
      <c r="E832" s="103" t="n"/>
      <c r="F832" s="104" t="n"/>
      <c r="G832" s="102" t="n"/>
      <c r="H832" s="103" t="n"/>
      <c r="I832" s="103" t="n"/>
      <c r="J832" s="104" t="n"/>
      <c r="K832" s="102" t="n"/>
      <c r="L832" s="103" t="n"/>
      <c r="M832" s="103" t="n"/>
      <c r="N832" s="104" t="n"/>
      <c r="O832" s="102" t="n"/>
      <c r="P832" s="103" t="n"/>
      <c r="Q832" s="103" t="n"/>
      <c r="R832" s="104" t="n"/>
      <c r="S832" s="102" t="n"/>
      <c r="T832" s="103" t="n"/>
      <c r="U832" s="103" t="n"/>
      <c r="V832" s="104" t="n"/>
      <c r="W832" s="102" t="n"/>
      <c r="X832" s="104" t="n"/>
      <c r="Y832" s="102" t="n"/>
      <c r="Z832" s="104" t="n"/>
      <c r="AB832" s="105">
        <f>IF($B832="","",(COUNTIF(C808:E825,$B832)+COUNTIF(C808:E825,$B832&amp;" ~*")&gt;0)+(COUNTIF(G808:I825,$B832)+COUNTIF(G808:I825,$B832&amp;" ~*")&gt;0)+(COUNTIF(K808:M825,$B832)+COUNTIF(K808:M825,$B832&amp;" ~*")&gt;0)+(COUNTIF(O808:Q825,$B832)+COUNTIF(O808:Q825,$B832&amp;" ~*")&gt;0)+(COUNTIF(S808:U825,$B832)+COUNTIF(S808:U825,$B832&amp;" ~*")&gt;0)+(COUNTIF(W808:W825,$B832)+COUNTIF(W808:W825,$B832&amp;" ~*")&gt;0)+(COUNTIF(Y808:Y825,$B832)+COUNTIF(Y808:Y825,$B832&amp;" ~*")&gt;0))</f>
        <v/>
      </c>
      <c r="AC832" s="38">
        <f>IF($B832="","",(IFERROR(INDEX(Setup!$G$33:$G$40,MATCH(C832,Setup!$B$33:$B$40,0)),0)=1)*(COUNTIF(C808:E825,$B832)+COUNTIF(C808:E825,$B832&amp;" ~*")&gt;0)+(IFERROR(INDEX(Setup!$G$33:$G$40,MATCH(G832,Setup!$B$33:$B$40,0)),0)=1)*(COUNTIF(G808:I825,$B832)+COUNTIF(G808:I825,$B832&amp;" ~*")&gt;0)+(IFERROR(INDEX(Setup!$G$33:$G$40,MATCH(K832,Setup!$B$33:$B$40,0)),0)=1)*(COUNTIF(K808:M825,$B832)+COUNTIF(K808:M825,$B832&amp;" ~*")&gt;0)+(IFERROR(INDEX(Setup!$G$33:$G$40,MATCH(O832,Setup!$B$33:$B$40,0)),0)=1)*(COUNTIF(O808:Q825,$B832)+COUNTIF(O808:Q825,$B832&amp;" ~*")&gt;0)+(IFERROR(INDEX(Setup!$G$33:$G$40,MATCH(S832,Setup!$B$33:$B$40,0)),0)=1)*(COUNTIF(S808:U825,$B832)+COUNTIF(S808:U825,$B832&amp;" ~*")&gt;0)+(IFERROR(INDEX(Setup!$G$33:$G$40,MATCH(W832,Setup!$B$33:$B$40,0)),0)=1)*(COUNTIF(W808:W825,$B832)+COUNTIF(W808:W825,$B832&amp;" ~*")&gt;0)+(IFERROR(INDEX(Setup!$G$33:$G$40,MATCH(Y832,Setup!$B$33:$B$40,0)),0)=1)*(COUNTIF(Y808:Y825,$B832)+COUNTIF(Y808:Y825,$B832&amp;" ~*")&gt;0))</f>
        <v/>
      </c>
    </row>
    <row r="833" ht="15" customHeight="1">
      <c r="A833" t="n">
        <v>17</v>
      </c>
      <c r="B833" s="35">
        <f>IF(Setup!$B$12="","",Setup!$B$12)</f>
        <v/>
      </c>
      <c r="C833" s="98" t="n"/>
      <c r="D833" s="99" t="n"/>
      <c r="E833" s="99" t="n"/>
      <c r="F833" s="100" t="n"/>
      <c r="G833" s="98" t="n"/>
      <c r="H833" s="99" t="n"/>
      <c r="I833" s="99" t="n"/>
      <c r="J833" s="100" t="n"/>
      <c r="K833" s="98" t="n"/>
      <c r="L833" s="99" t="n"/>
      <c r="M833" s="99" t="n"/>
      <c r="N833" s="100" t="n"/>
      <c r="O833" s="98" t="n"/>
      <c r="P833" s="99" t="n"/>
      <c r="Q833" s="99" t="n"/>
      <c r="R833" s="100" t="n"/>
      <c r="S833" s="98" t="inlineStr">
        <is>
          <t>AL</t>
        </is>
      </c>
      <c r="T833" s="99" t="n"/>
      <c r="U833" s="99" t="n"/>
      <c r="V833" s="100" t="n"/>
      <c r="W833" s="98" t="n"/>
      <c r="X833" s="100" t="n"/>
      <c r="Y833" s="98" t="n"/>
      <c r="Z833" s="100" t="n"/>
      <c r="AB833" s="101">
        <f>IF($B833="","",(COUNTIF(C808:E825,$B833)+COUNTIF(C808:E825,$B833&amp;" ~*")&gt;0)+(COUNTIF(G808:I825,$B833)+COUNTIF(G808:I825,$B833&amp;" ~*")&gt;0)+(COUNTIF(K808:M825,$B833)+COUNTIF(K808:M825,$B833&amp;" ~*")&gt;0)+(COUNTIF(O808:Q825,$B833)+COUNTIF(O808:Q825,$B833&amp;" ~*")&gt;0)+(COUNTIF(S808:U825,$B833)+COUNTIF(S808:U825,$B833&amp;" ~*")&gt;0)+(COUNTIF(W808:W825,$B833)+COUNTIF(W808:W825,$B833&amp;" ~*")&gt;0)+(COUNTIF(Y808:Y825,$B833)+COUNTIF(Y808:Y825,$B833&amp;" ~*")&gt;0))</f>
        <v/>
      </c>
      <c r="AC833" s="36">
        <f>IF($B833="","",(IFERROR(INDEX(Setup!$G$33:$G$40,MATCH(C833,Setup!$B$33:$B$40,0)),0)=1)*(COUNTIF(C808:E825,$B833)+COUNTIF(C808:E825,$B833&amp;" ~*")&gt;0)+(IFERROR(INDEX(Setup!$G$33:$G$40,MATCH(G833,Setup!$B$33:$B$40,0)),0)=1)*(COUNTIF(G808:I825,$B833)+COUNTIF(G808:I825,$B833&amp;" ~*")&gt;0)+(IFERROR(INDEX(Setup!$G$33:$G$40,MATCH(K833,Setup!$B$33:$B$40,0)),0)=1)*(COUNTIF(K808:M825,$B833)+COUNTIF(K808:M825,$B833&amp;" ~*")&gt;0)+(IFERROR(INDEX(Setup!$G$33:$G$40,MATCH(O833,Setup!$B$33:$B$40,0)),0)=1)*(COUNTIF(O808:Q825,$B833)+COUNTIF(O808:Q825,$B833&amp;" ~*")&gt;0)+(IFERROR(INDEX(Setup!$G$33:$G$40,MATCH(S833,Setup!$B$33:$B$40,0)),0)=1)*(COUNTIF(S808:U825,$B833)+COUNTIF(S808:U825,$B833&amp;" ~*")&gt;0)+(IFERROR(INDEX(Setup!$G$33:$G$40,MATCH(W833,Setup!$B$33:$B$40,0)),0)=1)*(COUNTIF(W808:W825,$B833)+COUNTIF(W808:W825,$B833&amp;" ~*")&gt;0)+(IFERROR(INDEX(Setup!$G$33:$G$40,MATCH(Y833,Setup!$B$33:$B$40,0)),0)=1)*(COUNTIF(Y808:Y825,$B833)+COUNTIF(Y808:Y825,$B833&amp;" ~*")&gt;0))</f>
        <v/>
      </c>
    </row>
    <row r="834" ht="15" customHeight="1">
      <c r="A834" t="n">
        <v>17</v>
      </c>
      <c r="B834" s="37">
        <f>IF(Setup!$B$13="","",Setup!$B$13)</f>
        <v/>
      </c>
      <c r="C834" s="102" t="n"/>
      <c r="D834" s="103" t="n"/>
      <c r="E834" s="103" t="n"/>
      <c r="F834" s="104" t="n"/>
      <c r="G834" s="102" t="n"/>
      <c r="H834" s="103" t="n"/>
      <c r="I834" s="103" t="n"/>
      <c r="J834" s="104" t="n"/>
      <c r="K834" s="102" t="n"/>
      <c r="L834" s="103" t="n"/>
      <c r="M834" s="103" t="n"/>
      <c r="N834" s="104" t="n"/>
      <c r="O834" s="102" t="n"/>
      <c r="P834" s="103" t="n"/>
      <c r="Q834" s="103" t="n"/>
      <c r="R834" s="104" t="n"/>
      <c r="S834" s="102" t="n"/>
      <c r="T834" s="103" t="n"/>
      <c r="U834" s="103" t="n"/>
      <c r="V834" s="104" t="n"/>
      <c r="W834" s="102" t="n"/>
      <c r="X834" s="104" t="n"/>
      <c r="Y834" s="102" t="n"/>
      <c r="Z834" s="104" t="n"/>
      <c r="AB834" s="105">
        <f>IF($B834="","",(COUNTIF(C808:E825,$B834)+COUNTIF(C808:E825,$B834&amp;" ~*")&gt;0)+(COUNTIF(G808:I825,$B834)+COUNTIF(G808:I825,$B834&amp;" ~*")&gt;0)+(COUNTIF(K808:M825,$B834)+COUNTIF(K808:M825,$B834&amp;" ~*")&gt;0)+(COUNTIF(O808:Q825,$B834)+COUNTIF(O808:Q825,$B834&amp;" ~*")&gt;0)+(COUNTIF(S808:U825,$B834)+COUNTIF(S808:U825,$B834&amp;" ~*")&gt;0)+(COUNTIF(W808:W825,$B834)+COUNTIF(W808:W825,$B834&amp;" ~*")&gt;0)+(COUNTIF(Y808:Y825,$B834)+COUNTIF(Y808:Y825,$B834&amp;" ~*")&gt;0))</f>
        <v/>
      </c>
      <c r="AC834" s="38">
        <f>IF($B834="","",(IFERROR(INDEX(Setup!$G$33:$G$40,MATCH(C834,Setup!$B$33:$B$40,0)),0)=1)*(COUNTIF(C808:E825,$B834)+COUNTIF(C808:E825,$B834&amp;" ~*")&gt;0)+(IFERROR(INDEX(Setup!$G$33:$G$40,MATCH(G834,Setup!$B$33:$B$40,0)),0)=1)*(COUNTIF(G808:I825,$B834)+COUNTIF(G808:I825,$B834&amp;" ~*")&gt;0)+(IFERROR(INDEX(Setup!$G$33:$G$40,MATCH(K834,Setup!$B$33:$B$40,0)),0)=1)*(COUNTIF(K808:M825,$B834)+COUNTIF(K808:M825,$B834&amp;" ~*")&gt;0)+(IFERROR(INDEX(Setup!$G$33:$G$40,MATCH(O834,Setup!$B$33:$B$40,0)),0)=1)*(COUNTIF(O808:Q825,$B834)+COUNTIF(O808:Q825,$B834&amp;" ~*")&gt;0)+(IFERROR(INDEX(Setup!$G$33:$G$40,MATCH(S834,Setup!$B$33:$B$40,0)),0)=1)*(COUNTIF(S808:U825,$B834)+COUNTIF(S808:U825,$B834&amp;" ~*")&gt;0)+(IFERROR(INDEX(Setup!$G$33:$G$40,MATCH(W834,Setup!$B$33:$B$40,0)),0)=1)*(COUNTIF(W808:W825,$B834)+COUNTIF(W808:W825,$B834&amp;" ~*")&gt;0)+(IFERROR(INDEX(Setup!$G$33:$G$40,MATCH(Y834,Setup!$B$33:$B$40,0)),0)=1)*(COUNTIF(Y808:Y825,$B834)+COUNTIF(Y808:Y825,$B834&amp;" ~*")&gt;0))</f>
        <v/>
      </c>
    </row>
    <row r="835" ht="15" customHeight="1">
      <c r="A835" t="n">
        <v>17</v>
      </c>
      <c r="B835" s="35">
        <f>IF(Setup!$B$14="","",Setup!$B$14)</f>
        <v/>
      </c>
      <c r="C835" s="98" t="n"/>
      <c r="D835" s="99" t="n"/>
      <c r="E835" s="99" t="n"/>
      <c r="F835" s="100" t="n"/>
      <c r="G835" s="98" t="n"/>
      <c r="H835" s="99" t="n"/>
      <c r="I835" s="99" t="n"/>
      <c r="J835" s="100" t="n"/>
      <c r="K835" s="98" t="n"/>
      <c r="L835" s="99" t="n"/>
      <c r="M835" s="99" t="n"/>
      <c r="N835" s="100" t="n"/>
      <c r="O835" s="98" t="n"/>
      <c r="P835" s="99" t="n"/>
      <c r="Q835" s="99" t="n"/>
      <c r="R835" s="100" t="n"/>
      <c r="S835" s="98" t="n"/>
      <c r="T835" s="99" t="n"/>
      <c r="U835" s="99" t="n"/>
      <c r="V835" s="100" t="n"/>
      <c r="W835" s="98" t="n"/>
      <c r="X835" s="100" t="n"/>
      <c r="Y835" s="98" t="n"/>
      <c r="Z835" s="100" t="n"/>
      <c r="AB835" s="101">
        <f>IF($B835="","",(COUNTIF(C808:E825,$B835)+COUNTIF(C808:E825,$B835&amp;" ~*")&gt;0)+(COUNTIF(G808:I825,$B835)+COUNTIF(G808:I825,$B835&amp;" ~*")&gt;0)+(COUNTIF(K808:M825,$B835)+COUNTIF(K808:M825,$B835&amp;" ~*")&gt;0)+(COUNTIF(O808:Q825,$B835)+COUNTIF(O808:Q825,$B835&amp;" ~*")&gt;0)+(COUNTIF(S808:U825,$B835)+COUNTIF(S808:U825,$B835&amp;" ~*")&gt;0)+(COUNTIF(W808:W825,$B835)+COUNTIF(W808:W825,$B835&amp;" ~*")&gt;0)+(COUNTIF(Y808:Y825,$B835)+COUNTIF(Y808:Y825,$B835&amp;" ~*")&gt;0))</f>
        <v/>
      </c>
      <c r="AC835" s="36">
        <f>IF($B835="","",(IFERROR(INDEX(Setup!$G$33:$G$40,MATCH(C835,Setup!$B$33:$B$40,0)),0)=1)*(COUNTIF(C808:E825,$B835)+COUNTIF(C808:E825,$B835&amp;" ~*")&gt;0)+(IFERROR(INDEX(Setup!$G$33:$G$40,MATCH(G835,Setup!$B$33:$B$40,0)),0)=1)*(COUNTIF(G808:I825,$B835)+COUNTIF(G808:I825,$B835&amp;" ~*")&gt;0)+(IFERROR(INDEX(Setup!$G$33:$G$40,MATCH(K835,Setup!$B$33:$B$40,0)),0)=1)*(COUNTIF(K808:M825,$B835)+COUNTIF(K808:M825,$B835&amp;" ~*")&gt;0)+(IFERROR(INDEX(Setup!$G$33:$G$40,MATCH(O835,Setup!$B$33:$B$40,0)),0)=1)*(COUNTIF(O808:Q825,$B835)+COUNTIF(O808:Q825,$B835&amp;" ~*")&gt;0)+(IFERROR(INDEX(Setup!$G$33:$G$40,MATCH(S835,Setup!$B$33:$B$40,0)),0)=1)*(COUNTIF(S808:U825,$B835)+COUNTIF(S808:U825,$B835&amp;" ~*")&gt;0)+(IFERROR(INDEX(Setup!$G$33:$G$40,MATCH(W835,Setup!$B$33:$B$40,0)),0)=1)*(COUNTIF(W808:W825,$B835)+COUNTIF(W808:W825,$B835&amp;" ~*")&gt;0)+(IFERROR(INDEX(Setup!$G$33:$G$40,MATCH(Y835,Setup!$B$33:$B$40,0)),0)=1)*(COUNTIF(Y808:Y825,$B835)+COUNTIF(Y808:Y825,$B835&amp;" ~*")&gt;0))</f>
        <v/>
      </c>
    </row>
    <row r="836" ht="15" customHeight="1">
      <c r="A836" t="n">
        <v>17</v>
      </c>
      <c r="B836" s="37">
        <f>IF(Setup!$B$15="","",Setup!$B$15)</f>
        <v/>
      </c>
      <c r="C836" s="102" t="n"/>
      <c r="D836" s="103" t="n"/>
      <c r="E836" s="103" t="n"/>
      <c r="F836" s="104" t="n"/>
      <c r="G836" s="102" t="n"/>
      <c r="H836" s="103" t="n"/>
      <c r="I836" s="103" t="n"/>
      <c r="J836" s="104" t="n"/>
      <c r="K836" s="102" t="n"/>
      <c r="L836" s="103" t="n"/>
      <c r="M836" s="103" t="n"/>
      <c r="N836" s="104" t="n"/>
      <c r="O836" s="102" t="n"/>
      <c r="P836" s="103" t="n"/>
      <c r="Q836" s="103" t="n"/>
      <c r="R836" s="104" t="n"/>
      <c r="S836" s="102" t="n"/>
      <c r="T836" s="103" t="n"/>
      <c r="U836" s="103" t="n"/>
      <c r="V836" s="104" t="n"/>
      <c r="W836" s="102" t="n"/>
      <c r="X836" s="104" t="n"/>
      <c r="Y836" s="102" t="n"/>
      <c r="Z836" s="104" t="n"/>
      <c r="AB836" s="105">
        <f>IF($B836="","",(COUNTIF(C808:E825,$B836)+COUNTIF(C808:E825,$B836&amp;" ~*")&gt;0)+(COUNTIF(G808:I825,$B836)+COUNTIF(G808:I825,$B836&amp;" ~*")&gt;0)+(COUNTIF(K808:M825,$B836)+COUNTIF(K808:M825,$B836&amp;" ~*")&gt;0)+(COUNTIF(O808:Q825,$B836)+COUNTIF(O808:Q825,$B836&amp;" ~*")&gt;0)+(COUNTIF(S808:U825,$B836)+COUNTIF(S808:U825,$B836&amp;" ~*")&gt;0)+(COUNTIF(W808:W825,$B836)+COUNTIF(W808:W825,$B836&amp;" ~*")&gt;0)+(COUNTIF(Y808:Y825,$B836)+COUNTIF(Y808:Y825,$B836&amp;" ~*")&gt;0))</f>
        <v/>
      </c>
      <c r="AC836" s="38">
        <f>IF($B836="","",(IFERROR(INDEX(Setup!$G$33:$G$40,MATCH(C836,Setup!$B$33:$B$40,0)),0)=1)*(COUNTIF(C808:E825,$B836)+COUNTIF(C808:E825,$B836&amp;" ~*")&gt;0)+(IFERROR(INDEX(Setup!$G$33:$G$40,MATCH(G836,Setup!$B$33:$B$40,0)),0)=1)*(COUNTIF(G808:I825,$B836)+COUNTIF(G808:I825,$B836&amp;" ~*")&gt;0)+(IFERROR(INDEX(Setup!$G$33:$G$40,MATCH(K836,Setup!$B$33:$B$40,0)),0)=1)*(COUNTIF(K808:M825,$B836)+COUNTIF(K808:M825,$B836&amp;" ~*")&gt;0)+(IFERROR(INDEX(Setup!$G$33:$G$40,MATCH(O836,Setup!$B$33:$B$40,0)),0)=1)*(COUNTIF(O808:Q825,$B836)+COUNTIF(O808:Q825,$B836&amp;" ~*")&gt;0)+(IFERROR(INDEX(Setup!$G$33:$G$40,MATCH(S836,Setup!$B$33:$B$40,0)),0)=1)*(COUNTIF(S808:U825,$B836)+COUNTIF(S808:U825,$B836&amp;" ~*")&gt;0)+(IFERROR(INDEX(Setup!$G$33:$G$40,MATCH(W836,Setup!$B$33:$B$40,0)),0)=1)*(COUNTIF(W808:W825,$B836)+COUNTIF(W808:W825,$B836&amp;" ~*")&gt;0)+(IFERROR(INDEX(Setup!$G$33:$G$40,MATCH(Y836,Setup!$B$33:$B$40,0)),0)=1)*(COUNTIF(Y808:Y825,$B836)+COUNTIF(Y808:Y825,$B836&amp;" ~*")&gt;0))</f>
        <v/>
      </c>
    </row>
    <row r="837" ht="15" customHeight="1">
      <c r="A837" t="n">
        <v>17</v>
      </c>
      <c r="B837" s="35">
        <f>IF(Setup!$B$16="","",Setup!$B$16)</f>
        <v/>
      </c>
      <c r="C837" s="98" t="n"/>
      <c r="D837" s="99" t="n"/>
      <c r="E837" s="99" t="n"/>
      <c r="F837" s="100" t="n"/>
      <c r="G837" s="98" t="n"/>
      <c r="H837" s="99" t="n"/>
      <c r="I837" s="99" t="n"/>
      <c r="J837" s="100" t="n"/>
      <c r="K837" s="98" t="n"/>
      <c r="L837" s="99" t="n"/>
      <c r="M837" s="99" t="n"/>
      <c r="N837" s="100" t="n"/>
      <c r="O837" s="98" t="n"/>
      <c r="P837" s="99" t="n"/>
      <c r="Q837" s="99" t="n"/>
      <c r="R837" s="100" t="n"/>
      <c r="S837" s="98" t="n"/>
      <c r="T837" s="99" t="n"/>
      <c r="U837" s="99" t="n"/>
      <c r="V837" s="100" t="n"/>
      <c r="W837" s="98" t="n"/>
      <c r="X837" s="100" t="n"/>
      <c r="Y837" s="98" t="n"/>
      <c r="Z837" s="100" t="n"/>
      <c r="AB837" s="101">
        <f>IF($B837="","",(COUNTIF(C808:E825,$B837)+COUNTIF(C808:E825,$B837&amp;" ~*")&gt;0)+(COUNTIF(G808:I825,$B837)+COUNTIF(G808:I825,$B837&amp;" ~*")&gt;0)+(COUNTIF(K808:M825,$B837)+COUNTIF(K808:M825,$B837&amp;" ~*")&gt;0)+(COUNTIF(O808:Q825,$B837)+COUNTIF(O808:Q825,$B837&amp;" ~*")&gt;0)+(COUNTIF(S808:U825,$B837)+COUNTIF(S808:U825,$B837&amp;" ~*")&gt;0)+(COUNTIF(W808:W825,$B837)+COUNTIF(W808:W825,$B837&amp;" ~*")&gt;0)+(COUNTIF(Y808:Y825,$B837)+COUNTIF(Y808:Y825,$B837&amp;" ~*")&gt;0))</f>
        <v/>
      </c>
      <c r="AC837" s="36">
        <f>IF($B837="","",(IFERROR(INDEX(Setup!$G$33:$G$40,MATCH(C837,Setup!$B$33:$B$40,0)),0)=1)*(COUNTIF(C808:E825,$B837)+COUNTIF(C808:E825,$B837&amp;" ~*")&gt;0)+(IFERROR(INDEX(Setup!$G$33:$G$40,MATCH(G837,Setup!$B$33:$B$40,0)),0)=1)*(COUNTIF(G808:I825,$B837)+COUNTIF(G808:I825,$B837&amp;" ~*")&gt;0)+(IFERROR(INDEX(Setup!$G$33:$G$40,MATCH(K837,Setup!$B$33:$B$40,0)),0)=1)*(COUNTIF(K808:M825,$B837)+COUNTIF(K808:M825,$B837&amp;" ~*")&gt;0)+(IFERROR(INDEX(Setup!$G$33:$G$40,MATCH(O837,Setup!$B$33:$B$40,0)),0)=1)*(COUNTIF(O808:Q825,$B837)+COUNTIF(O808:Q825,$B837&amp;" ~*")&gt;0)+(IFERROR(INDEX(Setup!$G$33:$G$40,MATCH(S837,Setup!$B$33:$B$40,0)),0)=1)*(COUNTIF(S808:U825,$B837)+COUNTIF(S808:U825,$B837&amp;" ~*")&gt;0)+(IFERROR(INDEX(Setup!$G$33:$G$40,MATCH(W837,Setup!$B$33:$B$40,0)),0)=1)*(COUNTIF(W808:W825,$B837)+COUNTIF(W808:W825,$B837&amp;" ~*")&gt;0)+(IFERROR(INDEX(Setup!$G$33:$G$40,MATCH(Y837,Setup!$B$33:$B$40,0)),0)=1)*(COUNTIF(Y808:Y825,$B837)+COUNTIF(Y808:Y825,$B837&amp;" ~*")&gt;0))</f>
        <v/>
      </c>
    </row>
    <row r="838" ht="15" customHeight="1">
      <c r="A838" t="n">
        <v>17</v>
      </c>
      <c r="B838" s="37">
        <f>IF(Setup!$B$17="","",Setup!$B$17)</f>
        <v/>
      </c>
      <c r="C838" s="102" t="n"/>
      <c r="D838" s="103" t="n"/>
      <c r="E838" s="103" t="n"/>
      <c r="F838" s="104" t="n"/>
      <c r="G838" s="102" t="n"/>
      <c r="H838" s="103" t="n"/>
      <c r="I838" s="103" t="n"/>
      <c r="J838" s="104" t="n"/>
      <c r="K838" s="102" t="n"/>
      <c r="L838" s="103" t="n"/>
      <c r="M838" s="103" t="n"/>
      <c r="N838" s="104" t="n"/>
      <c r="O838" s="102" t="n"/>
      <c r="P838" s="103" t="n"/>
      <c r="Q838" s="103" t="n"/>
      <c r="R838" s="104" t="n"/>
      <c r="S838" s="102" t="n"/>
      <c r="T838" s="103" t="n"/>
      <c r="U838" s="103" t="n"/>
      <c r="V838" s="104" t="n"/>
      <c r="W838" s="102" t="n"/>
      <c r="X838" s="104" t="n"/>
      <c r="Y838" s="102" t="n"/>
      <c r="Z838" s="104" t="n"/>
      <c r="AB838" s="105">
        <f>IF($B838="","",(COUNTIF(C808:E825,$B838)+COUNTIF(C808:E825,$B838&amp;" ~*")&gt;0)+(COUNTIF(G808:I825,$B838)+COUNTIF(G808:I825,$B838&amp;" ~*")&gt;0)+(COUNTIF(K808:M825,$B838)+COUNTIF(K808:M825,$B838&amp;" ~*")&gt;0)+(COUNTIF(O808:Q825,$B838)+COUNTIF(O808:Q825,$B838&amp;" ~*")&gt;0)+(COUNTIF(S808:U825,$B838)+COUNTIF(S808:U825,$B838&amp;" ~*")&gt;0)+(COUNTIF(W808:W825,$B838)+COUNTIF(W808:W825,$B838&amp;" ~*")&gt;0)+(COUNTIF(Y808:Y825,$B838)+COUNTIF(Y808:Y825,$B838&amp;" ~*")&gt;0))</f>
        <v/>
      </c>
      <c r="AC838" s="38">
        <f>IF($B838="","",(IFERROR(INDEX(Setup!$G$33:$G$40,MATCH(C838,Setup!$B$33:$B$40,0)),0)=1)*(COUNTIF(C808:E825,$B838)+COUNTIF(C808:E825,$B838&amp;" ~*")&gt;0)+(IFERROR(INDEX(Setup!$G$33:$G$40,MATCH(G838,Setup!$B$33:$B$40,0)),0)=1)*(COUNTIF(G808:I825,$B838)+COUNTIF(G808:I825,$B838&amp;" ~*")&gt;0)+(IFERROR(INDEX(Setup!$G$33:$G$40,MATCH(K838,Setup!$B$33:$B$40,0)),0)=1)*(COUNTIF(K808:M825,$B838)+COUNTIF(K808:M825,$B838&amp;" ~*")&gt;0)+(IFERROR(INDEX(Setup!$G$33:$G$40,MATCH(O838,Setup!$B$33:$B$40,0)),0)=1)*(COUNTIF(O808:Q825,$B838)+COUNTIF(O808:Q825,$B838&amp;" ~*")&gt;0)+(IFERROR(INDEX(Setup!$G$33:$G$40,MATCH(S838,Setup!$B$33:$B$40,0)),0)=1)*(COUNTIF(S808:U825,$B838)+COUNTIF(S808:U825,$B838&amp;" ~*")&gt;0)+(IFERROR(INDEX(Setup!$G$33:$G$40,MATCH(W838,Setup!$B$33:$B$40,0)),0)=1)*(COUNTIF(W808:W825,$B838)+COUNTIF(W808:W825,$B838&amp;" ~*")&gt;0)+(IFERROR(INDEX(Setup!$G$33:$G$40,MATCH(Y838,Setup!$B$33:$B$40,0)),0)=1)*(COUNTIF(Y808:Y825,$B838)+COUNTIF(Y808:Y825,$B838&amp;" ~*")&gt;0))</f>
        <v/>
      </c>
    </row>
    <row r="839" ht="15" customHeight="1">
      <c r="A839" t="n">
        <v>17</v>
      </c>
      <c r="B839" s="35">
        <f>IF(Setup!$B$18="","",Setup!$B$18)</f>
        <v/>
      </c>
      <c r="C839" s="98" t="n"/>
      <c r="D839" s="99" t="n"/>
      <c r="E839" s="99" t="n"/>
      <c r="F839" s="100" t="n"/>
      <c r="G839" s="98" t="n"/>
      <c r="H839" s="99" t="n"/>
      <c r="I839" s="99" t="n"/>
      <c r="J839" s="100" t="n"/>
      <c r="K839" s="98" t="n"/>
      <c r="L839" s="99" t="n"/>
      <c r="M839" s="99" t="n"/>
      <c r="N839" s="100" t="n"/>
      <c r="O839" s="98" t="n"/>
      <c r="P839" s="99" t="n"/>
      <c r="Q839" s="99" t="n"/>
      <c r="R839" s="100" t="n"/>
      <c r="S839" s="98" t="n"/>
      <c r="T839" s="99" t="n"/>
      <c r="U839" s="99" t="n"/>
      <c r="V839" s="100" t="n"/>
      <c r="W839" s="98" t="n"/>
      <c r="X839" s="100" t="n"/>
      <c r="Y839" s="98" t="n"/>
      <c r="Z839" s="100" t="n"/>
      <c r="AB839" s="101">
        <f>IF($B839="","",(COUNTIF(C808:E825,$B839)+COUNTIF(C808:E825,$B839&amp;" ~*")&gt;0)+(COUNTIF(G808:I825,$B839)+COUNTIF(G808:I825,$B839&amp;" ~*")&gt;0)+(COUNTIF(K808:M825,$B839)+COUNTIF(K808:M825,$B839&amp;" ~*")&gt;0)+(COUNTIF(O808:Q825,$B839)+COUNTIF(O808:Q825,$B839&amp;" ~*")&gt;0)+(COUNTIF(S808:U825,$B839)+COUNTIF(S808:U825,$B839&amp;" ~*")&gt;0)+(COUNTIF(W808:W825,$B839)+COUNTIF(W808:W825,$B839&amp;" ~*")&gt;0)+(COUNTIF(Y808:Y825,$B839)+COUNTIF(Y808:Y825,$B839&amp;" ~*")&gt;0))</f>
        <v/>
      </c>
      <c r="AC839" s="36">
        <f>IF($B839="","",(IFERROR(INDEX(Setup!$G$33:$G$40,MATCH(C839,Setup!$B$33:$B$40,0)),0)=1)*(COUNTIF(C808:E825,$B839)+COUNTIF(C808:E825,$B839&amp;" ~*")&gt;0)+(IFERROR(INDEX(Setup!$G$33:$G$40,MATCH(G839,Setup!$B$33:$B$40,0)),0)=1)*(COUNTIF(G808:I825,$B839)+COUNTIF(G808:I825,$B839&amp;" ~*")&gt;0)+(IFERROR(INDEX(Setup!$G$33:$G$40,MATCH(K839,Setup!$B$33:$B$40,0)),0)=1)*(COUNTIF(K808:M825,$B839)+COUNTIF(K808:M825,$B839&amp;" ~*")&gt;0)+(IFERROR(INDEX(Setup!$G$33:$G$40,MATCH(O839,Setup!$B$33:$B$40,0)),0)=1)*(COUNTIF(O808:Q825,$B839)+COUNTIF(O808:Q825,$B839&amp;" ~*")&gt;0)+(IFERROR(INDEX(Setup!$G$33:$G$40,MATCH(S839,Setup!$B$33:$B$40,0)),0)=1)*(COUNTIF(S808:U825,$B839)+COUNTIF(S808:U825,$B839&amp;" ~*")&gt;0)+(IFERROR(INDEX(Setup!$G$33:$G$40,MATCH(W839,Setup!$B$33:$B$40,0)),0)=1)*(COUNTIF(W808:W825,$B839)+COUNTIF(W808:W825,$B839&amp;" ~*")&gt;0)+(IFERROR(INDEX(Setup!$G$33:$G$40,MATCH(Y839,Setup!$B$33:$B$40,0)),0)=1)*(COUNTIF(Y808:Y825,$B839)+COUNTIF(Y808:Y825,$B839&amp;" ~*")&gt;0))</f>
        <v/>
      </c>
    </row>
    <row r="840" ht="15" customHeight="1">
      <c r="A840" t="n">
        <v>17</v>
      </c>
      <c r="B840" s="37">
        <f>IF(Setup!$B$19="","",Setup!$B$19)</f>
        <v/>
      </c>
      <c r="C840" s="102" t="n"/>
      <c r="D840" s="103" t="n"/>
      <c r="E840" s="103" t="n"/>
      <c r="F840" s="104" t="n"/>
      <c r="G840" s="102" t="n"/>
      <c r="H840" s="103" t="n"/>
      <c r="I840" s="103" t="n"/>
      <c r="J840" s="104" t="n"/>
      <c r="K840" s="102" t="n"/>
      <c r="L840" s="103" t="n"/>
      <c r="M840" s="103" t="n"/>
      <c r="N840" s="104" t="n"/>
      <c r="O840" s="102" t="n"/>
      <c r="P840" s="103" t="n"/>
      <c r="Q840" s="103" t="n"/>
      <c r="R840" s="104" t="n"/>
      <c r="S840" s="102" t="n"/>
      <c r="T840" s="103" t="n"/>
      <c r="U840" s="103" t="n"/>
      <c r="V840" s="104" t="n"/>
      <c r="W840" s="102" t="n"/>
      <c r="X840" s="104" t="n"/>
      <c r="Y840" s="102" t="n"/>
      <c r="Z840" s="104" t="n"/>
      <c r="AB840" s="105">
        <f>IF($B840="","",(COUNTIF(C808:E825,$B840)+COUNTIF(C808:E825,$B840&amp;" ~*")&gt;0)+(COUNTIF(G808:I825,$B840)+COUNTIF(G808:I825,$B840&amp;" ~*")&gt;0)+(COUNTIF(K808:M825,$B840)+COUNTIF(K808:M825,$B840&amp;" ~*")&gt;0)+(COUNTIF(O808:Q825,$B840)+COUNTIF(O808:Q825,$B840&amp;" ~*")&gt;0)+(COUNTIF(S808:U825,$B840)+COUNTIF(S808:U825,$B840&amp;" ~*")&gt;0)+(COUNTIF(W808:W825,$B840)+COUNTIF(W808:W825,$B840&amp;" ~*")&gt;0)+(COUNTIF(Y808:Y825,$B840)+COUNTIF(Y808:Y825,$B840&amp;" ~*")&gt;0))</f>
        <v/>
      </c>
      <c r="AC840" s="38">
        <f>IF($B840="","",(IFERROR(INDEX(Setup!$G$33:$G$40,MATCH(C840,Setup!$B$33:$B$40,0)),0)=1)*(COUNTIF(C808:E825,$B840)+COUNTIF(C808:E825,$B840&amp;" ~*")&gt;0)+(IFERROR(INDEX(Setup!$G$33:$G$40,MATCH(G840,Setup!$B$33:$B$40,0)),0)=1)*(COUNTIF(G808:I825,$B840)+COUNTIF(G808:I825,$B840&amp;" ~*")&gt;0)+(IFERROR(INDEX(Setup!$G$33:$G$40,MATCH(K840,Setup!$B$33:$B$40,0)),0)=1)*(COUNTIF(K808:M825,$B840)+COUNTIF(K808:M825,$B840&amp;" ~*")&gt;0)+(IFERROR(INDEX(Setup!$G$33:$G$40,MATCH(O840,Setup!$B$33:$B$40,0)),0)=1)*(COUNTIF(O808:Q825,$B840)+COUNTIF(O808:Q825,$B840&amp;" ~*")&gt;0)+(IFERROR(INDEX(Setup!$G$33:$G$40,MATCH(S840,Setup!$B$33:$B$40,0)),0)=1)*(COUNTIF(S808:U825,$B840)+COUNTIF(S808:U825,$B840&amp;" ~*")&gt;0)+(IFERROR(INDEX(Setup!$G$33:$G$40,MATCH(W840,Setup!$B$33:$B$40,0)),0)=1)*(COUNTIF(W808:W825,$B840)+COUNTIF(W808:W825,$B840&amp;" ~*")&gt;0)+(IFERROR(INDEX(Setup!$G$33:$G$40,MATCH(Y840,Setup!$B$33:$B$40,0)),0)=1)*(COUNTIF(Y808:Y825,$B840)+COUNTIF(Y808:Y825,$B840&amp;" ~*")&gt;0))</f>
        <v/>
      </c>
    </row>
    <row r="841" ht="15" customHeight="1">
      <c r="A841" t="n">
        <v>17</v>
      </c>
      <c r="B841" s="35">
        <f>IF(Setup!$B$20="","",Setup!$B$20)</f>
        <v/>
      </c>
      <c r="C841" s="98" t="n"/>
      <c r="D841" s="99" t="n"/>
      <c r="E841" s="99" t="n"/>
      <c r="F841" s="100" t="n"/>
      <c r="G841" s="98" t="n"/>
      <c r="H841" s="99" t="n"/>
      <c r="I841" s="99" t="n"/>
      <c r="J841" s="100" t="n"/>
      <c r="K841" s="98" t="n"/>
      <c r="L841" s="99" t="n"/>
      <c r="M841" s="99" t="n"/>
      <c r="N841" s="100" t="n"/>
      <c r="O841" s="98" t="n"/>
      <c r="P841" s="99" t="n"/>
      <c r="Q841" s="99" t="n"/>
      <c r="R841" s="100" t="n"/>
      <c r="S841" s="98" t="n"/>
      <c r="T841" s="99" t="n"/>
      <c r="U841" s="99" t="n"/>
      <c r="V841" s="100" t="n"/>
      <c r="W841" s="98" t="n"/>
      <c r="X841" s="100" t="n"/>
      <c r="Y841" s="98" t="n"/>
      <c r="Z841" s="100" t="n"/>
      <c r="AB841" s="101">
        <f>IF($B841="","",(COUNTIF(C808:E825,$B841)+COUNTIF(C808:E825,$B841&amp;" ~*")&gt;0)+(COUNTIF(G808:I825,$B841)+COUNTIF(G808:I825,$B841&amp;" ~*")&gt;0)+(COUNTIF(K808:M825,$B841)+COUNTIF(K808:M825,$B841&amp;" ~*")&gt;0)+(COUNTIF(O808:Q825,$B841)+COUNTIF(O808:Q825,$B841&amp;" ~*")&gt;0)+(COUNTIF(S808:U825,$B841)+COUNTIF(S808:U825,$B841&amp;" ~*")&gt;0)+(COUNTIF(W808:W825,$B841)+COUNTIF(W808:W825,$B841&amp;" ~*")&gt;0)+(COUNTIF(Y808:Y825,$B841)+COUNTIF(Y808:Y825,$B841&amp;" ~*")&gt;0))</f>
        <v/>
      </c>
      <c r="AC841" s="36">
        <f>IF($B841="","",(IFERROR(INDEX(Setup!$G$33:$G$40,MATCH(C841,Setup!$B$33:$B$40,0)),0)=1)*(COUNTIF(C808:E825,$B841)+COUNTIF(C808:E825,$B841&amp;" ~*")&gt;0)+(IFERROR(INDEX(Setup!$G$33:$G$40,MATCH(G841,Setup!$B$33:$B$40,0)),0)=1)*(COUNTIF(G808:I825,$B841)+COUNTIF(G808:I825,$B841&amp;" ~*")&gt;0)+(IFERROR(INDEX(Setup!$G$33:$G$40,MATCH(K841,Setup!$B$33:$B$40,0)),0)=1)*(COUNTIF(K808:M825,$B841)+COUNTIF(K808:M825,$B841&amp;" ~*")&gt;0)+(IFERROR(INDEX(Setup!$G$33:$G$40,MATCH(O841,Setup!$B$33:$B$40,0)),0)=1)*(COUNTIF(O808:Q825,$B841)+COUNTIF(O808:Q825,$B841&amp;" ~*")&gt;0)+(IFERROR(INDEX(Setup!$G$33:$G$40,MATCH(S841,Setup!$B$33:$B$40,0)),0)=1)*(COUNTIF(S808:U825,$B841)+COUNTIF(S808:U825,$B841&amp;" ~*")&gt;0)+(IFERROR(INDEX(Setup!$G$33:$G$40,MATCH(W841,Setup!$B$33:$B$40,0)),0)=1)*(COUNTIF(W808:W825,$B841)+COUNTIF(W808:W825,$B841&amp;" ~*")&gt;0)+(IFERROR(INDEX(Setup!$G$33:$G$40,MATCH(Y841,Setup!$B$33:$B$40,0)),0)=1)*(COUNTIF(Y808:Y825,$B841)+COUNTIF(Y808:Y825,$B841&amp;" ~*")&gt;0))</f>
        <v/>
      </c>
    </row>
    <row r="842" ht="15" customHeight="1">
      <c r="A842" t="n">
        <v>17</v>
      </c>
      <c r="B842" s="37">
        <f>IF(Setup!$B$21="","",Setup!$B$21)</f>
        <v/>
      </c>
      <c r="C842" s="102" t="n"/>
      <c r="D842" s="103" t="n"/>
      <c r="E842" s="103" t="n"/>
      <c r="F842" s="104" t="n"/>
      <c r="G842" s="102" t="n"/>
      <c r="H842" s="103" t="n"/>
      <c r="I842" s="103" t="n"/>
      <c r="J842" s="104" t="n"/>
      <c r="K842" s="102" t="n"/>
      <c r="L842" s="103" t="n"/>
      <c r="M842" s="103" t="n"/>
      <c r="N842" s="104" t="n"/>
      <c r="O842" s="102" t="n"/>
      <c r="P842" s="103" t="n"/>
      <c r="Q842" s="103" t="n"/>
      <c r="R842" s="104" t="n"/>
      <c r="S842" s="102" t="n"/>
      <c r="T842" s="103" t="n"/>
      <c r="U842" s="103" t="n"/>
      <c r="V842" s="104" t="n"/>
      <c r="W842" s="102" t="n"/>
      <c r="X842" s="104" t="n"/>
      <c r="Y842" s="102" t="n"/>
      <c r="Z842" s="104" t="n"/>
      <c r="AB842" s="105">
        <f>IF($B842="","",(COUNTIF(C808:E825,$B842)+COUNTIF(C808:E825,$B842&amp;" ~*")&gt;0)+(COUNTIF(G808:I825,$B842)+COUNTIF(G808:I825,$B842&amp;" ~*")&gt;0)+(COUNTIF(K808:M825,$B842)+COUNTIF(K808:M825,$B842&amp;" ~*")&gt;0)+(COUNTIF(O808:Q825,$B842)+COUNTIF(O808:Q825,$B842&amp;" ~*")&gt;0)+(COUNTIF(S808:U825,$B842)+COUNTIF(S808:U825,$B842&amp;" ~*")&gt;0)+(COUNTIF(W808:W825,$B842)+COUNTIF(W808:W825,$B842&amp;" ~*")&gt;0)+(COUNTIF(Y808:Y825,$B842)+COUNTIF(Y808:Y825,$B842&amp;" ~*")&gt;0))</f>
        <v/>
      </c>
      <c r="AC842" s="38">
        <f>IF($B842="","",(IFERROR(INDEX(Setup!$G$33:$G$40,MATCH(C842,Setup!$B$33:$B$40,0)),0)=1)*(COUNTIF(C808:E825,$B842)+COUNTIF(C808:E825,$B842&amp;" ~*")&gt;0)+(IFERROR(INDEX(Setup!$G$33:$G$40,MATCH(G842,Setup!$B$33:$B$40,0)),0)=1)*(COUNTIF(G808:I825,$B842)+COUNTIF(G808:I825,$B842&amp;" ~*")&gt;0)+(IFERROR(INDEX(Setup!$G$33:$G$40,MATCH(K842,Setup!$B$33:$B$40,0)),0)=1)*(COUNTIF(K808:M825,$B842)+COUNTIF(K808:M825,$B842&amp;" ~*")&gt;0)+(IFERROR(INDEX(Setup!$G$33:$G$40,MATCH(O842,Setup!$B$33:$B$40,0)),0)=1)*(COUNTIF(O808:Q825,$B842)+COUNTIF(O808:Q825,$B842&amp;" ~*")&gt;0)+(IFERROR(INDEX(Setup!$G$33:$G$40,MATCH(S842,Setup!$B$33:$B$40,0)),0)=1)*(COUNTIF(S808:U825,$B842)+COUNTIF(S808:U825,$B842&amp;" ~*")&gt;0)+(IFERROR(INDEX(Setup!$G$33:$G$40,MATCH(W842,Setup!$B$33:$B$40,0)),0)=1)*(COUNTIF(W808:W825,$B842)+COUNTIF(W808:W825,$B842&amp;" ~*")&gt;0)+(IFERROR(INDEX(Setup!$G$33:$G$40,MATCH(Y842,Setup!$B$33:$B$40,0)),0)=1)*(COUNTIF(Y808:Y825,$B842)+COUNTIF(Y808:Y825,$B842&amp;" ~*")&gt;0))</f>
        <v/>
      </c>
    </row>
    <row r="843" ht="15" customHeight="1">
      <c r="A843" t="n">
        <v>17</v>
      </c>
      <c r="B843" s="35">
        <f>IF(Setup!$B$22="","",Setup!$B$22)</f>
        <v/>
      </c>
      <c r="C843" s="98" t="n"/>
      <c r="D843" s="99" t="n"/>
      <c r="E843" s="99" t="n"/>
      <c r="F843" s="100" t="n"/>
      <c r="G843" s="98" t="n"/>
      <c r="H843" s="99" t="n"/>
      <c r="I843" s="99" t="n"/>
      <c r="J843" s="100" t="n"/>
      <c r="K843" s="98" t="n"/>
      <c r="L843" s="99" t="n"/>
      <c r="M843" s="99" t="n"/>
      <c r="N843" s="100" t="n"/>
      <c r="O843" s="98" t="n"/>
      <c r="P843" s="99" t="n"/>
      <c r="Q843" s="99" t="n"/>
      <c r="R843" s="100" t="n"/>
      <c r="S843" s="98" t="n"/>
      <c r="T843" s="99" t="n"/>
      <c r="U843" s="99" t="n"/>
      <c r="V843" s="100" t="n"/>
      <c r="W843" s="98" t="n"/>
      <c r="X843" s="100" t="n"/>
      <c r="Y843" s="98" t="n"/>
      <c r="Z843" s="100" t="n"/>
      <c r="AB843" s="101">
        <f>IF($B843="","",(COUNTIF(C808:E825,$B843)+COUNTIF(C808:E825,$B843&amp;" ~*")&gt;0)+(COUNTIF(G808:I825,$B843)+COUNTIF(G808:I825,$B843&amp;" ~*")&gt;0)+(COUNTIF(K808:M825,$B843)+COUNTIF(K808:M825,$B843&amp;" ~*")&gt;0)+(COUNTIF(O808:Q825,$B843)+COUNTIF(O808:Q825,$B843&amp;" ~*")&gt;0)+(COUNTIF(S808:U825,$B843)+COUNTIF(S808:U825,$B843&amp;" ~*")&gt;0)+(COUNTIF(W808:W825,$B843)+COUNTIF(W808:W825,$B843&amp;" ~*")&gt;0)+(COUNTIF(Y808:Y825,$B843)+COUNTIF(Y808:Y825,$B843&amp;" ~*")&gt;0))</f>
        <v/>
      </c>
      <c r="AC843" s="36">
        <f>IF($B843="","",(IFERROR(INDEX(Setup!$G$33:$G$40,MATCH(C843,Setup!$B$33:$B$40,0)),0)=1)*(COUNTIF(C808:E825,$B843)+COUNTIF(C808:E825,$B843&amp;" ~*")&gt;0)+(IFERROR(INDEX(Setup!$G$33:$G$40,MATCH(G843,Setup!$B$33:$B$40,0)),0)=1)*(COUNTIF(G808:I825,$B843)+COUNTIF(G808:I825,$B843&amp;" ~*")&gt;0)+(IFERROR(INDEX(Setup!$G$33:$G$40,MATCH(K843,Setup!$B$33:$B$40,0)),0)=1)*(COUNTIF(K808:M825,$B843)+COUNTIF(K808:M825,$B843&amp;" ~*")&gt;0)+(IFERROR(INDEX(Setup!$G$33:$G$40,MATCH(O843,Setup!$B$33:$B$40,0)),0)=1)*(COUNTIF(O808:Q825,$B843)+COUNTIF(O808:Q825,$B843&amp;" ~*")&gt;0)+(IFERROR(INDEX(Setup!$G$33:$G$40,MATCH(S843,Setup!$B$33:$B$40,0)),0)=1)*(COUNTIF(S808:U825,$B843)+COUNTIF(S808:U825,$B843&amp;" ~*")&gt;0)+(IFERROR(INDEX(Setup!$G$33:$G$40,MATCH(W843,Setup!$B$33:$B$40,0)),0)=1)*(COUNTIF(W808:W825,$B843)+COUNTIF(W808:W825,$B843&amp;" ~*")&gt;0)+(IFERROR(INDEX(Setup!$G$33:$G$40,MATCH(Y843,Setup!$B$33:$B$40,0)),0)=1)*(COUNTIF(Y808:Y825,$B843)+COUNTIF(Y808:Y825,$B843&amp;" ~*")&gt;0))</f>
        <v/>
      </c>
    </row>
    <row r="844" ht="15" customHeight="1">
      <c r="A844" t="n">
        <v>17</v>
      </c>
      <c r="B844" s="37">
        <f>IF(Setup!$B$23="","",Setup!$B$23)</f>
        <v/>
      </c>
      <c r="C844" s="102" t="n"/>
      <c r="D844" s="103" t="n"/>
      <c r="E844" s="103" t="n"/>
      <c r="F844" s="104" t="n"/>
      <c r="G844" s="102" t="n"/>
      <c r="H844" s="103" t="n"/>
      <c r="I844" s="103" t="n"/>
      <c r="J844" s="104" t="n"/>
      <c r="K844" s="102" t="n"/>
      <c r="L844" s="103" t="n"/>
      <c r="M844" s="103" t="n"/>
      <c r="N844" s="104" t="n"/>
      <c r="O844" s="102" t="n"/>
      <c r="P844" s="103" t="n"/>
      <c r="Q844" s="103" t="n"/>
      <c r="R844" s="104" t="n"/>
      <c r="S844" s="102" t="n"/>
      <c r="T844" s="103" t="n"/>
      <c r="U844" s="103" t="n"/>
      <c r="V844" s="104" t="n"/>
      <c r="W844" s="102" t="n"/>
      <c r="X844" s="104" t="n"/>
      <c r="Y844" s="102" t="n"/>
      <c r="Z844" s="104" t="n"/>
      <c r="AB844" s="105">
        <f>IF($B844="","",(COUNTIF(C808:E825,$B844)+COUNTIF(C808:E825,$B844&amp;" ~*")&gt;0)+(COUNTIF(G808:I825,$B844)+COUNTIF(G808:I825,$B844&amp;" ~*")&gt;0)+(COUNTIF(K808:M825,$B844)+COUNTIF(K808:M825,$B844&amp;" ~*")&gt;0)+(COUNTIF(O808:Q825,$B844)+COUNTIF(O808:Q825,$B844&amp;" ~*")&gt;0)+(COUNTIF(S808:U825,$B844)+COUNTIF(S808:U825,$B844&amp;" ~*")&gt;0)+(COUNTIF(W808:W825,$B844)+COUNTIF(W808:W825,$B844&amp;" ~*")&gt;0)+(COUNTIF(Y808:Y825,$B844)+COUNTIF(Y808:Y825,$B844&amp;" ~*")&gt;0))</f>
        <v/>
      </c>
      <c r="AC844" s="38">
        <f>IF($B844="","",(IFERROR(INDEX(Setup!$G$33:$G$40,MATCH(C844,Setup!$B$33:$B$40,0)),0)=1)*(COUNTIF(C808:E825,$B844)+COUNTIF(C808:E825,$B844&amp;" ~*")&gt;0)+(IFERROR(INDEX(Setup!$G$33:$G$40,MATCH(G844,Setup!$B$33:$B$40,0)),0)=1)*(COUNTIF(G808:I825,$B844)+COUNTIF(G808:I825,$B844&amp;" ~*")&gt;0)+(IFERROR(INDEX(Setup!$G$33:$G$40,MATCH(K844,Setup!$B$33:$B$40,0)),0)=1)*(COUNTIF(K808:M825,$B844)+COUNTIF(K808:M825,$B844&amp;" ~*")&gt;0)+(IFERROR(INDEX(Setup!$G$33:$G$40,MATCH(O844,Setup!$B$33:$B$40,0)),0)=1)*(COUNTIF(O808:Q825,$B844)+COUNTIF(O808:Q825,$B844&amp;" ~*")&gt;0)+(IFERROR(INDEX(Setup!$G$33:$G$40,MATCH(S844,Setup!$B$33:$B$40,0)),0)=1)*(COUNTIF(S808:U825,$B844)+COUNTIF(S808:U825,$B844&amp;" ~*")&gt;0)+(IFERROR(INDEX(Setup!$G$33:$G$40,MATCH(W844,Setup!$B$33:$B$40,0)),0)=1)*(COUNTIF(W808:W825,$B844)+COUNTIF(W808:W825,$B844&amp;" ~*")&gt;0)+(IFERROR(INDEX(Setup!$G$33:$G$40,MATCH(Y844,Setup!$B$33:$B$40,0)),0)=1)*(COUNTIF(Y808:Y825,$B844)+COUNTIF(Y808:Y825,$B844&amp;" ~*")&gt;0))</f>
        <v/>
      </c>
    </row>
    <row r="845" ht="15" customHeight="1">
      <c r="A845" t="n">
        <v>17</v>
      </c>
      <c r="B845" s="35">
        <f>IF(Setup!$B$24="","",Setup!$B$24)</f>
        <v/>
      </c>
      <c r="C845" s="98" t="n"/>
      <c r="D845" s="99" t="n"/>
      <c r="E845" s="99" t="n"/>
      <c r="F845" s="100" t="n"/>
      <c r="G845" s="98" t="n"/>
      <c r="H845" s="99" t="n"/>
      <c r="I845" s="99" t="n"/>
      <c r="J845" s="100" t="n"/>
      <c r="K845" s="98" t="n"/>
      <c r="L845" s="99" t="n"/>
      <c r="M845" s="99" t="n"/>
      <c r="N845" s="100" t="n"/>
      <c r="O845" s="98" t="n"/>
      <c r="P845" s="99" t="n"/>
      <c r="Q845" s="99" t="n"/>
      <c r="R845" s="100" t="n"/>
      <c r="S845" s="98" t="n"/>
      <c r="T845" s="99" t="n"/>
      <c r="U845" s="99" t="n"/>
      <c r="V845" s="100" t="n"/>
      <c r="W845" s="98" t="n"/>
      <c r="X845" s="100" t="n"/>
      <c r="Y845" s="98" t="n"/>
      <c r="Z845" s="100" t="n"/>
      <c r="AB845" s="101">
        <f>IF($B845="","",(COUNTIF(C808:E825,$B845)+COUNTIF(C808:E825,$B845&amp;" ~*")&gt;0)+(COUNTIF(G808:I825,$B845)+COUNTIF(G808:I825,$B845&amp;" ~*")&gt;0)+(COUNTIF(K808:M825,$B845)+COUNTIF(K808:M825,$B845&amp;" ~*")&gt;0)+(COUNTIF(O808:Q825,$B845)+COUNTIF(O808:Q825,$B845&amp;" ~*")&gt;0)+(COUNTIF(S808:U825,$B845)+COUNTIF(S808:U825,$B845&amp;" ~*")&gt;0)+(COUNTIF(W808:W825,$B845)+COUNTIF(W808:W825,$B845&amp;" ~*")&gt;0)+(COUNTIF(Y808:Y825,$B845)+COUNTIF(Y808:Y825,$B845&amp;" ~*")&gt;0))</f>
        <v/>
      </c>
      <c r="AC845" s="36">
        <f>IF($B845="","",(IFERROR(INDEX(Setup!$G$33:$G$40,MATCH(C845,Setup!$B$33:$B$40,0)),0)=1)*(COUNTIF(C808:E825,$B845)+COUNTIF(C808:E825,$B845&amp;" ~*")&gt;0)+(IFERROR(INDEX(Setup!$G$33:$G$40,MATCH(G845,Setup!$B$33:$B$40,0)),0)=1)*(COUNTIF(G808:I825,$B845)+COUNTIF(G808:I825,$B845&amp;" ~*")&gt;0)+(IFERROR(INDEX(Setup!$G$33:$G$40,MATCH(K845,Setup!$B$33:$B$40,0)),0)=1)*(COUNTIF(K808:M825,$B845)+COUNTIF(K808:M825,$B845&amp;" ~*")&gt;0)+(IFERROR(INDEX(Setup!$G$33:$G$40,MATCH(O845,Setup!$B$33:$B$40,0)),0)=1)*(COUNTIF(O808:Q825,$B845)+COUNTIF(O808:Q825,$B845&amp;" ~*")&gt;0)+(IFERROR(INDEX(Setup!$G$33:$G$40,MATCH(S845,Setup!$B$33:$B$40,0)),0)=1)*(COUNTIF(S808:U825,$B845)+COUNTIF(S808:U825,$B845&amp;" ~*")&gt;0)+(IFERROR(INDEX(Setup!$G$33:$G$40,MATCH(W845,Setup!$B$33:$B$40,0)),0)=1)*(COUNTIF(W808:W825,$B845)+COUNTIF(W808:W825,$B845&amp;" ~*")&gt;0)+(IFERROR(INDEX(Setup!$G$33:$G$40,MATCH(Y845,Setup!$B$33:$B$40,0)),0)=1)*(COUNTIF(Y808:Y825,$B845)+COUNTIF(Y808:Y825,$B845&amp;" ~*")&gt;0))</f>
        <v/>
      </c>
    </row>
    <row r="846" ht="15" customHeight="1">
      <c r="A846" t="n">
        <v>17</v>
      </c>
      <c r="B846" s="37">
        <f>IF(Setup!$B$25="","",Setup!$B$25)</f>
        <v/>
      </c>
      <c r="C846" s="102" t="n"/>
      <c r="D846" s="103" t="n"/>
      <c r="E846" s="103" t="n"/>
      <c r="F846" s="104" t="n"/>
      <c r="G846" s="102" t="n"/>
      <c r="H846" s="103" t="n"/>
      <c r="I846" s="103" t="n"/>
      <c r="J846" s="104" t="n"/>
      <c r="K846" s="102" t="n"/>
      <c r="L846" s="103" t="n"/>
      <c r="M846" s="103" t="n"/>
      <c r="N846" s="104" t="n"/>
      <c r="O846" s="102" t="n"/>
      <c r="P846" s="103" t="n"/>
      <c r="Q846" s="103" t="n"/>
      <c r="R846" s="104" t="n"/>
      <c r="S846" s="102" t="n"/>
      <c r="T846" s="103" t="n"/>
      <c r="U846" s="103" t="n"/>
      <c r="V846" s="104" t="n"/>
      <c r="W846" s="102" t="n"/>
      <c r="X846" s="104" t="n"/>
      <c r="Y846" s="102" t="n"/>
      <c r="Z846" s="104" t="n"/>
      <c r="AB846" s="105">
        <f>IF($B846="","",(COUNTIF(C808:E825,$B846)+COUNTIF(C808:E825,$B846&amp;" ~*")&gt;0)+(COUNTIF(G808:I825,$B846)+COUNTIF(G808:I825,$B846&amp;" ~*")&gt;0)+(COUNTIF(K808:M825,$B846)+COUNTIF(K808:M825,$B846&amp;" ~*")&gt;0)+(COUNTIF(O808:Q825,$B846)+COUNTIF(O808:Q825,$B846&amp;" ~*")&gt;0)+(COUNTIF(S808:U825,$B846)+COUNTIF(S808:U825,$B846&amp;" ~*")&gt;0)+(COUNTIF(W808:W825,$B846)+COUNTIF(W808:W825,$B846&amp;" ~*")&gt;0)+(COUNTIF(Y808:Y825,$B846)+COUNTIF(Y808:Y825,$B846&amp;" ~*")&gt;0))</f>
        <v/>
      </c>
      <c r="AC846" s="38">
        <f>IF($B846="","",(IFERROR(INDEX(Setup!$G$33:$G$40,MATCH(C846,Setup!$B$33:$B$40,0)),0)=1)*(COUNTIF(C808:E825,$B846)+COUNTIF(C808:E825,$B846&amp;" ~*")&gt;0)+(IFERROR(INDEX(Setup!$G$33:$G$40,MATCH(G846,Setup!$B$33:$B$40,0)),0)=1)*(COUNTIF(G808:I825,$B846)+COUNTIF(G808:I825,$B846&amp;" ~*")&gt;0)+(IFERROR(INDEX(Setup!$G$33:$G$40,MATCH(K846,Setup!$B$33:$B$40,0)),0)=1)*(COUNTIF(K808:M825,$B846)+COUNTIF(K808:M825,$B846&amp;" ~*")&gt;0)+(IFERROR(INDEX(Setup!$G$33:$G$40,MATCH(O846,Setup!$B$33:$B$40,0)),0)=1)*(COUNTIF(O808:Q825,$B846)+COUNTIF(O808:Q825,$B846&amp;" ~*")&gt;0)+(IFERROR(INDEX(Setup!$G$33:$G$40,MATCH(S846,Setup!$B$33:$B$40,0)),0)=1)*(COUNTIF(S808:U825,$B846)+COUNTIF(S808:U825,$B846&amp;" ~*")&gt;0)+(IFERROR(INDEX(Setup!$G$33:$G$40,MATCH(W846,Setup!$B$33:$B$40,0)),0)=1)*(COUNTIF(W808:W825,$B846)+COUNTIF(W808:W825,$B846&amp;" ~*")&gt;0)+(IFERROR(INDEX(Setup!$G$33:$G$40,MATCH(Y846,Setup!$B$33:$B$40,0)),0)=1)*(COUNTIF(Y808:Y825,$B846)+COUNTIF(Y808:Y825,$B846&amp;" ~*")&gt;0))</f>
        <v/>
      </c>
    </row>
    <row r="847" ht="15" customHeight="1">
      <c r="A847" t="n">
        <v>17</v>
      </c>
      <c r="B847" s="35">
        <f>IF(Setup!$B$26="","",Setup!$B$26)</f>
        <v/>
      </c>
      <c r="C847" s="98" t="n"/>
      <c r="D847" s="99" t="n"/>
      <c r="E847" s="99" t="n"/>
      <c r="F847" s="100" t="n"/>
      <c r="G847" s="98" t="n"/>
      <c r="H847" s="99" t="n"/>
      <c r="I847" s="99" t="n"/>
      <c r="J847" s="100" t="n"/>
      <c r="K847" s="98" t="n"/>
      <c r="L847" s="99" t="n"/>
      <c r="M847" s="99" t="n"/>
      <c r="N847" s="100" t="n"/>
      <c r="O847" s="98" t="n"/>
      <c r="P847" s="99" t="n"/>
      <c r="Q847" s="99" t="n"/>
      <c r="R847" s="100" t="n"/>
      <c r="S847" s="98" t="n"/>
      <c r="T847" s="99" t="n"/>
      <c r="U847" s="99" t="n"/>
      <c r="V847" s="100" t="n"/>
      <c r="W847" s="98" t="n"/>
      <c r="X847" s="100" t="n"/>
      <c r="Y847" s="98" t="n"/>
      <c r="Z847" s="100" t="n"/>
      <c r="AB847" s="101">
        <f>IF($B847="","",(COUNTIF(C808:E825,$B847)+COUNTIF(C808:E825,$B847&amp;" ~*")&gt;0)+(COUNTIF(G808:I825,$B847)+COUNTIF(G808:I825,$B847&amp;" ~*")&gt;0)+(COUNTIF(K808:M825,$B847)+COUNTIF(K808:M825,$B847&amp;" ~*")&gt;0)+(COUNTIF(O808:Q825,$B847)+COUNTIF(O808:Q825,$B847&amp;" ~*")&gt;0)+(COUNTIF(S808:U825,$B847)+COUNTIF(S808:U825,$B847&amp;" ~*")&gt;0)+(COUNTIF(W808:W825,$B847)+COUNTIF(W808:W825,$B847&amp;" ~*")&gt;0)+(COUNTIF(Y808:Y825,$B847)+COUNTIF(Y808:Y825,$B847&amp;" ~*")&gt;0))</f>
        <v/>
      </c>
      <c r="AC847" s="36">
        <f>IF($B847="","",(IFERROR(INDEX(Setup!$G$33:$G$40,MATCH(C847,Setup!$B$33:$B$40,0)),0)=1)*(COUNTIF(C808:E825,$B847)+COUNTIF(C808:E825,$B847&amp;" ~*")&gt;0)+(IFERROR(INDEX(Setup!$G$33:$G$40,MATCH(G847,Setup!$B$33:$B$40,0)),0)=1)*(COUNTIF(G808:I825,$B847)+COUNTIF(G808:I825,$B847&amp;" ~*")&gt;0)+(IFERROR(INDEX(Setup!$G$33:$G$40,MATCH(K847,Setup!$B$33:$B$40,0)),0)=1)*(COUNTIF(K808:M825,$B847)+COUNTIF(K808:M825,$B847&amp;" ~*")&gt;0)+(IFERROR(INDEX(Setup!$G$33:$G$40,MATCH(O847,Setup!$B$33:$B$40,0)),0)=1)*(COUNTIF(O808:Q825,$B847)+COUNTIF(O808:Q825,$B847&amp;" ~*")&gt;0)+(IFERROR(INDEX(Setup!$G$33:$G$40,MATCH(S847,Setup!$B$33:$B$40,0)),0)=1)*(COUNTIF(S808:U825,$B847)+COUNTIF(S808:U825,$B847&amp;" ~*")&gt;0)+(IFERROR(INDEX(Setup!$G$33:$G$40,MATCH(W847,Setup!$B$33:$B$40,0)),0)=1)*(COUNTIF(W808:W825,$B847)+COUNTIF(W808:W825,$B847&amp;" ~*")&gt;0)+(IFERROR(INDEX(Setup!$G$33:$G$40,MATCH(Y847,Setup!$B$33:$B$40,0)),0)=1)*(COUNTIF(Y808:Y825,$B847)+COUNTIF(Y808:Y825,$B847&amp;" ~*")&gt;0))</f>
        <v/>
      </c>
    </row>
    <row r="848" ht="15" customHeight="1">
      <c r="A848" t="n">
        <v>17</v>
      </c>
      <c r="B848" s="37">
        <f>IF(Setup!$B$27="","",Setup!$B$27)</f>
        <v/>
      </c>
      <c r="C848" s="102" t="n"/>
      <c r="D848" s="103" t="n"/>
      <c r="E848" s="103" t="n"/>
      <c r="F848" s="104" t="n"/>
      <c r="G848" s="102" t="n"/>
      <c r="H848" s="103" t="n"/>
      <c r="I848" s="103" t="n"/>
      <c r="J848" s="104" t="n"/>
      <c r="K848" s="102" t="n"/>
      <c r="L848" s="103" t="n"/>
      <c r="M848" s="103" t="n"/>
      <c r="N848" s="104" t="n"/>
      <c r="O848" s="102" t="n"/>
      <c r="P848" s="103" t="n"/>
      <c r="Q848" s="103" t="n"/>
      <c r="R848" s="104" t="n"/>
      <c r="S848" s="102" t="n"/>
      <c r="T848" s="103" t="n"/>
      <c r="U848" s="103" t="n"/>
      <c r="V848" s="104" t="n"/>
      <c r="W848" s="102" t="n"/>
      <c r="X848" s="104" t="n"/>
      <c r="Y848" s="102" t="n"/>
      <c r="Z848" s="104" t="n"/>
      <c r="AB848" s="105">
        <f>IF($B848="","",(COUNTIF(C808:E825,$B848)+COUNTIF(C808:E825,$B848&amp;" ~*")&gt;0)+(COUNTIF(G808:I825,$B848)+COUNTIF(G808:I825,$B848&amp;" ~*")&gt;0)+(COUNTIF(K808:M825,$B848)+COUNTIF(K808:M825,$B848&amp;" ~*")&gt;0)+(COUNTIF(O808:Q825,$B848)+COUNTIF(O808:Q825,$B848&amp;" ~*")&gt;0)+(COUNTIF(S808:U825,$B848)+COUNTIF(S808:U825,$B848&amp;" ~*")&gt;0)+(COUNTIF(W808:W825,$B848)+COUNTIF(W808:W825,$B848&amp;" ~*")&gt;0)+(COUNTIF(Y808:Y825,$B848)+COUNTIF(Y808:Y825,$B848&amp;" ~*")&gt;0))</f>
        <v/>
      </c>
      <c r="AC848" s="38">
        <f>IF($B848="","",(IFERROR(INDEX(Setup!$G$33:$G$40,MATCH(C848,Setup!$B$33:$B$40,0)),0)=1)*(COUNTIF(C808:E825,$B848)+COUNTIF(C808:E825,$B848&amp;" ~*")&gt;0)+(IFERROR(INDEX(Setup!$G$33:$G$40,MATCH(G848,Setup!$B$33:$B$40,0)),0)=1)*(COUNTIF(G808:I825,$B848)+COUNTIF(G808:I825,$B848&amp;" ~*")&gt;0)+(IFERROR(INDEX(Setup!$G$33:$G$40,MATCH(K848,Setup!$B$33:$B$40,0)),0)=1)*(COUNTIF(K808:M825,$B848)+COUNTIF(K808:M825,$B848&amp;" ~*")&gt;0)+(IFERROR(INDEX(Setup!$G$33:$G$40,MATCH(O848,Setup!$B$33:$B$40,0)),0)=1)*(COUNTIF(O808:Q825,$B848)+COUNTIF(O808:Q825,$B848&amp;" ~*")&gt;0)+(IFERROR(INDEX(Setup!$G$33:$G$40,MATCH(S848,Setup!$B$33:$B$40,0)),0)=1)*(COUNTIF(S808:U825,$B848)+COUNTIF(S808:U825,$B848&amp;" ~*")&gt;0)+(IFERROR(INDEX(Setup!$G$33:$G$40,MATCH(W848,Setup!$B$33:$B$40,0)),0)=1)*(COUNTIF(W808:W825,$B848)+COUNTIF(W808:W825,$B848&amp;" ~*")&gt;0)+(IFERROR(INDEX(Setup!$G$33:$G$40,MATCH(Y848,Setup!$B$33:$B$40,0)),0)=1)*(COUNTIF(Y808:Y825,$B848)+COUNTIF(Y808:Y825,$B848&amp;" ~*")&gt;0))</f>
        <v/>
      </c>
    </row>
    <row r="849" ht="15" customHeight="1">
      <c r="A849" t="n">
        <v>17</v>
      </c>
      <c r="B849" s="35">
        <f>IF(Setup!$B$28="","",Setup!$B$28)</f>
        <v/>
      </c>
      <c r="C849" s="98" t="n"/>
      <c r="D849" s="99" t="n"/>
      <c r="E849" s="99" t="n"/>
      <c r="F849" s="100" t="n"/>
      <c r="G849" s="98" t="n"/>
      <c r="H849" s="99" t="n"/>
      <c r="I849" s="99" t="n"/>
      <c r="J849" s="100" t="n"/>
      <c r="K849" s="98" t="n"/>
      <c r="L849" s="99" t="n"/>
      <c r="M849" s="99" t="n"/>
      <c r="N849" s="100" t="n"/>
      <c r="O849" s="98" t="n"/>
      <c r="P849" s="99" t="n"/>
      <c r="Q849" s="99" t="n"/>
      <c r="R849" s="100" t="n"/>
      <c r="S849" s="98" t="n"/>
      <c r="T849" s="99" t="n"/>
      <c r="U849" s="99" t="n"/>
      <c r="V849" s="100" t="n"/>
      <c r="W849" s="98" t="n"/>
      <c r="X849" s="100" t="n"/>
      <c r="Y849" s="98" t="n"/>
      <c r="Z849" s="100" t="n"/>
      <c r="AB849" s="101">
        <f>IF($B849="","",(COUNTIF(C808:E825,$B849)+COUNTIF(C808:E825,$B849&amp;" ~*")&gt;0)+(COUNTIF(G808:I825,$B849)+COUNTIF(G808:I825,$B849&amp;" ~*")&gt;0)+(COUNTIF(K808:M825,$B849)+COUNTIF(K808:M825,$B849&amp;" ~*")&gt;0)+(COUNTIF(O808:Q825,$B849)+COUNTIF(O808:Q825,$B849&amp;" ~*")&gt;0)+(COUNTIF(S808:U825,$B849)+COUNTIF(S808:U825,$B849&amp;" ~*")&gt;0)+(COUNTIF(W808:W825,$B849)+COUNTIF(W808:W825,$B849&amp;" ~*")&gt;0)+(COUNTIF(Y808:Y825,$B849)+COUNTIF(Y808:Y825,$B849&amp;" ~*")&gt;0))</f>
        <v/>
      </c>
      <c r="AC849" s="36">
        <f>IF($B849="","",(IFERROR(INDEX(Setup!$G$33:$G$40,MATCH(C849,Setup!$B$33:$B$40,0)),0)=1)*(COUNTIF(C808:E825,$B849)+COUNTIF(C808:E825,$B849&amp;" ~*")&gt;0)+(IFERROR(INDEX(Setup!$G$33:$G$40,MATCH(G849,Setup!$B$33:$B$40,0)),0)=1)*(COUNTIF(G808:I825,$B849)+COUNTIF(G808:I825,$B849&amp;" ~*")&gt;0)+(IFERROR(INDEX(Setup!$G$33:$G$40,MATCH(K849,Setup!$B$33:$B$40,0)),0)=1)*(COUNTIF(K808:M825,$B849)+COUNTIF(K808:M825,$B849&amp;" ~*")&gt;0)+(IFERROR(INDEX(Setup!$G$33:$G$40,MATCH(O849,Setup!$B$33:$B$40,0)),0)=1)*(COUNTIF(O808:Q825,$B849)+COUNTIF(O808:Q825,$B849&amp;" ~*")&gt;0)+(IFERROR(INDEX(Setup!$G$33:$G$40,MATCH(S849,Setup!$B$33:$B$40,0)),0)=1)*(COUNTIF(S808:U825,$B849)+COUNTIF(S808:U825,$B849&amp;" ~*")&gt;0)+(IFERROR(INDEX(Setup!$G$33:$G$40,MATCH(W849,Setup!$B$33:$B$40,0)),0)=1)*(COUNTIF(W808:W825,$B849)+COUNTIF(W808:W825,$B849&amp;" ~*")&gt;0)+(IFERROR(INDEX(Setup!$G$33:$G$40,MATCH(Y849,Setup!$B$33:$B$40,0)),0)=1)*(COUNTIF(Y808:Y825,$B849)+COUNTIF(Y808:Y825,$B849&amp;" ~*")&gt;0))</f>
        <v/>
      </c>
    </row>
    <row r="850" ht="15" customHeight="1">
      <c r="A850" t="n">
        <v>17</v>
      </c>
      <c r="B850" s="37">
        <f>IF(Setup!$B$29="","",Setup!$B$29)</f>
        <v/>
      </c>
      <c r="C850" s="102" t="n"/>
      <c r="D850" s="103" t="n"/>
      <c r="E850" s="103" t="n"/>
      <c r="F850" s="104" t="n"/>
      <c r="G850" s="102" t="n"/>
      <c r="H850" s="103" t="n"/>
      <c r="I850" s="103" t="n"/>
      <c r="J850" s="104" t="n"/>
      <c r="K850" s="102" t="n"/>
      <c r="L850" s="103" t="n"/>
      <c r="M850" s="103" t="n"/>
      <c r="N850" s="104" t="n"/>
      <c r="O850" s="102" t="n"/>
      <c r="P850" s="103" t="n"/>
      <c r="Q850" s="103" t="n"/>
      <c r="R850" s="104" t="n"/>
      <c r="S850" s="102" t="n"/>
      <c r="T850" s="103" t="n"/>
      <c r="U850" s="103" t="n"/>
      <c r="V850" s="104" t="n"/>
      <c r="W850" s="102" t="n"/>
      <c r="X850" s="104" t="n"/>
      <c r="Y850" s="102" t="n"/>
      <c r="Z850" s="104" t="n"/>
      <c r="AB850" s="105">
        <f>IF($B850="","",(COUNTIF(C808:E825,$B850)+COUNTIF(C808:E825,$B850&amp;" ~*")&gt;0)+(COUNTIF(G808:I825,$B850)+COUNTIF(G808:I825,$B850&amp;" ~*")&gt;0)+(COUNTIF(K808:M825,$B850)+COUNTIF(K808:M825,$B850&amp;" ~*")&gt;0)+(COUNTIF(O808:Q825,$B850)+COUNTIF(O808:Q825,$B850&amp;" ~*")&gt;0)+(COUNTIF(S808:U825,$B850)+COUNTIF(S808:U825,$B850&amp;" ~*")&gt;0)+(COUNTIF(W808:W825,$B850)+COUNTIF(W808:W825,$B850&amp;" ~*")&gt;0)+(COUNTIF(Y808:Y825,$B850)+COUNTIF(Y808:Y825,$B850&amp;" ~*")&gt;0))</f>
        <v/>
      </c>
      <c r="AC850" s="38">
        <f>IF($B850="","",(IFERROR(INDEX(Setup!$G$33:$G$40,MATCH(C850,Setup!$B$33:$B$40,0)),0)=1)*(COUNTIF(C808:E825,$B850)+COUNTIF(C808:E825,$B850&amp;" ~*")&gt;0)+(IFERROR(INDEX(Setup!$G$33:$G$40,MATCH(G850,Setup!$B$33:$B$40,0)),0)=1)*(COUNTIF(G808:I825,$B850)+COUNTIF(G808:I825,$B850&amp;" ~*")&gt;0)+(IFERROR(INDEX(Setup!$G$33:$G$40,MATCH(K850,Setup!$B$33:$B$40,0)),0)=1)*(COUNTIF(K808:M825,$B850)+COUNTIF(K808:M825,$B850&amp;" ~*")&gt;0)+(IFERROR(INDEX(Setup!$G$33:$G$40,MATCH(O850,Setup!$B$33:$B$40,0)),0)=1)*(COUNTIF(O808:Q825,$B850)+COUNTIF(O808:Q825,$B850&amp;" ~*")&gt;0)+(IFERROR(INDEX(Setup!$G$33:$G$40,MATCH(S850,Setup!$B$33:$B$40,0)),0)=1)*(COUNTIF(S808:U825,$B850)+COUNTIF(S808:U825,$B850&amp;" ~*")&gt;0)+(IFERROR(INDEX(Setup!$G$33:$G$40,MATCH(W850,Setup!$B$33:$B$40,0)),0)=1)*(COUNTIF(W808:W825,$B850)+COUNTIF(W808:W825,$B850&amp;" ~*")&gt;0)+(IFERROR(INDEX(Setup!$G$33:$G$40,MATCH(Y850,Setup!$B$33:$B$40,0)),0)=1)*(COUNTIF(Y808:Y825,$B850)+COUNTIF(Y808:Y825,$B850&amp;" ~*")&gt;0))</f>
        <v/>
      </c>
    </row>
    <row r="851" ht="16" customHeight="1">
      <c r="A851" t="n">
        <v>17</v>
      </c>
      <c r="B851" s="106" t="inlineStr">
        <is>
          <t>Available people</t>
        </is>
      </c>
      <c r="C851" s="107">
        <f>COUNTIFS(Setup!$E$6:$E$29,"Y",Setup!$B$6:$B$29,"?*")-SUMPRODUCT(COUNTIF(C827:C850,Setup!$F$33:$F$40))</f>
        <v/>
      </c>
      <c r="D851" s="107" t="n"/>
      <c r="E851" s="107" t="n"/>
      <c r="F851" s="107" t="n"/>
      <c r="G851" s="107">
        <f>COUNTIFS(Setup!$E$6:$E$29,"Y",Setup!$B$6:$B$29,"?*")-SUMPRODUCT(COUNTIF(G827:G850,Setup!$F$33:$F$40))</f>
        <v/>
      </c>
      <c r="H851" s="107" t="n"/>
      <c r="I851" s="107" t="n"/>
      <c r="J851" s="107" t="n"/>
      <c r="K851" s="107">
        <f>COUNTIFS(Setup!$E$6:$E$29,"Y",Setup!$B$6:$B$29,"?*")-SUMPRODUCT(COUNTIF(K827:K850,Setup!$F$33:$F$40))</f>
        <v/>
      </c>
      <c r="L851" s="107" t="n"/>
      <c r="M851" s="107" t="n"/>
      <c r="N851" s="107" t="n"/>
      <c r="O851" s="107">
        <f>COUNTIFS(Setup!$E$6:$E$29,"Y",Setup!$B$6:$B$29,"?*")-SUMPRODUCT(COUNTIF(O827:O850,Setup!$F$33:$F$40))</f>
        <v/>
      </c>
      <c r="P851" s="107" t="n"/>
      <c r="Q851" s="107" t="n"/>
      <c r="R851" s="107" t="n"/>
      <c r="S851" s="107">
        <f>COUNTIFS(Setup!$E$6:$E$29,"Y",Setup!$B$6:$B$29,"?*")-SUMPRODUCT(COUNTIF(S827:S850,Setup!$F$33:$F$40))</f>
        <v/>
      </c>
      <c r="T851" s="107" t="n"/>
      <c r="U851" s="107" t="n"/>
      <c r="V851" s="107" t="n"/>
      <c r="W851" s="107">
        <f>COUNTIFS(Setup!$E$6:$E$29,"Y",Setup!$B$6:$B$29,"?*")-SUMPRODUCT(COUNTIF(W827:W850,Setup!$F$33:$F$40))</f>
        <v/>
      </c>
      <c r="X851" s="107" t="n"/>
      <c r="Y851" s="107">
        <f>COUNTIFS(Setup!$E$6:$E$29,"Y",Setup!$B$6:$B$29,"?*")-SUMPRODUCT(COUNTIF(Y827:Y850,Setup!$F$33:$F$40))</f>
        <v/>
      </c>
      <c r="Z851" s="107" t="n"/>
      <c r="AB851" s="108">
        <f>SUM(AB827:AB850)</f>
        <v/>
      </c>
      <c r="AC851" s="109">
        <f>SUM(AC827:AC850)</f>
        <v/>
      </c>
    </row>
    <row r="852" ht="30" customHeight="1">
      <c r="A852" t="n">
        <v>17</v>
      </c>
      <c r="B852" s="110" t="inlineStr">
        <is>
          <t>Week notes</t>
        </is>
      </c>
      <c r="C852" s="111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112" t="n"/>
      <c r="R852" s="112" t="n"/>
      <c r="S852" s="112" t="n"/>
      <c r="T852" s="112" t="n"/>
      <c r="U852" s="112" t="n"/>
      <c r="V852" s="112" t="n"/>
      <c r="W852" s="112" t="n"/>
      <c r="X852" s="112" t="n"/>
      <c r="Y852" s="112" t="n"/>
      <c r="Z852" s="113" t="n"/>
    </row>
    <row r="853" ht="8" customHeight="1">
      <c r="A853" t="n">
        <v>17</v>
      </c>
    </row>
    <row r="854" ht="8" customHeight="1">
      <c r="A854" t="n">
        <v>17</v>
      </c>
    </row>
    <row r="855" ht="24" customHeight="1">
      <c r="A855" t="n">
        <v>18</v>
      </c>
      <c r="B855" s="73">
        <f>"WEEK 18     "&amp;TEXT(C856,"ddd d mmm")&amp;"  –  "&amp;TEXT(C856+6,"ddd d mmm yyyy")</f>
        <v/>
      </c>
      <c r="S855" s="74">
        <f>IF(TODAY()&lt;C856,"FUTURE",IF(TODAY()&gt;C856+6,"PAST","THIS WEEK"))</f>
        <v/>
      </c>
      <c r="W855" s="75">
        <f>IF(AND(Engine!$B$8=$AC$3,Engine!$B$9=$A855),"◀ ACTIVE WEEK","")</f>
        <v/>
      </c>
      <c r="AA855" s="76" t="n"/>
      <c r="AB855" s="77" t="inlineStr">
        <is>
          <t>◀ Prev</t>
        </is>
      </c>
      <c r="AC855" s="77" t="inlineStr">
        <is>
          <t>Next ▶</t>
        </is>
      </c>
    </row>
    <row r="856" ht="18" customHeight="1">
      <c r="A856" t="n">
        <v>18</v>
      </c>
      <c r="B856" s="78" t="inlineStr">
        <is>
          <t>DUTY</t>
        </is>
      </c>
      <c r="C856" s="79">
        <f>$AC$2+7*($A856-1)</f>
        <v/>
      </c>
      <c r="D856" s="80" t="n"/>
      <c r="E856" s="80" t="n"/>
      <c r="F856" s="81" t="n"/>
      <c r="G856" s="79">
        <f>C856+1</f>
        <v/>
      </c>
      <c r="H856" s="80" t="n"/>
      <c r="I856" s="80" t="n"/>
      <c r="J856" s="81" t="n"/>
      <c r="K856" s="79">
        <f>C856+2</f>
        <v/>
      </c>
      <c r="L856" s="80" t="n"/>
      <c r="M856" s="80" t="n"/>
      <c r="N856" s="81" t="n"/>
      <c r="O856" s="79">
        <f>C856+3</f>
        <v/>
      </c>
      <c r="P856" s="80" t="n"/>
      <c r="Q856" s="80" t="n"/>
      <c r="R856" s="81" t="n"/>
      <c r="S856" s="79">
        <f>C856+4</f>
        <v/>
      </c>
      <c r="T856" s="80" t="n"/>
      <c r="U856" s="80" t="n"/>
      <c r="V856" s="81" t="n"/>
      <c r="W856" s="82">
        <f>C856+5</f>
        <v/>
      </c>
      <c r="X856" s="83" t="n"/>
      <c r="Y856" s="82">
        <f>C856+6</f>
        <v/>
      </c>
      <c r="Z856" s="83" t="n"/>
      <c r="AB856" s="72" t="inlineStr">
        <is>
          <t>Gaps</t>
        </is>
      </c>
      <c r="AC856" s="72" t="inlineStr">
        <is>
          <t>Cover</t>
        </is>
      </c>
    </row>
    <row r="857" ht="14" customHeight="1">
      <c r="A857" t="n">
        <v>18</v>
      </c>
      <c r="B857" s="84" t="inlineStr">
        <is>
          <t>(from Setup)</t>
        </is>
      </c>
      <c r="C857" s="85" t="inlineStr">
        <is>
          <t>1</t>
        </is>
      </c>
      <c r="D857" s="85" t="inlineStr">
        <is>
          <t>2</t>
        </is>
      </c>
      <c r="E857" s="85" t="inlineStr">
        <is>
          <t>3</t>
        </is>
      </c>
      <c r="F857" s="85" t="inlineStr">
        <is>
          <t>Notes</t>
        </is>
      </c>
      <c r="G857" s="85" t="inlineStr">
        <is>
          <t>1</t>
        </is>
      </c>
      <c r="H857" s="85" t="inlineStr">
        <is>
          <t>2</t>
        </is>
      </c>
      <c r="I857" s="85" t="inlineStr">
        <is>
          <t>3</t>
        </is>
      </c>
      <c r="J857" s="85" t="inlineStr">
        <is>
          <t>Notes</t>
        </is>
      </c>
      <c r="K857" s="85" t="inlineStr">
        <is>
          <t>1</t>
        </is>
      </c>
      <c r="L857" s="85" t="inlineStr">
        <is>
          <t>2</t>
        </is>
      </c>
      <c r="M857" s="85" t="inlineStr">
        <is>
          <t>3</t>
        </is>
      </c>
      <c r="N857" s="85" t="inlineStr">
        <is>
          <t>Notes</t>
        </is>
      </c>
      <c r="O857" s="85" t="inlineStr">
        <is>
          <t>1</t>
        </is>
      </c>
      <c r="P857" s="85" t="inlineStr">
        <is>
          <t>2</t>
        </is>
      </c>
      <c r="Q857" s="85" t="inlineStr">
        <is>
          <t>3</t>
        </is>
      </c>
      <c r="R857" s="85" t="inlineStr">
        <is>
          <t>Notes</t>
        </is>
      </c>
      <c r="S857" s="85" t="inlineStr">
        <is>
          <t>1</t>
        </is>
      </c>
      <c r="T857" s="85" t="inlineStr">
        <is>
          <t>2</t>
        </is>
      </c>
      <c r="U857" s="85" t="inlineStr">
        <is>
          <t>3</t>
        </is>
      </c>
      <c r="V857" s="85" t="inlineStr">
        <is>
          <t>Notes</t>
        </is>
      </c>
      <c r="W857" s="85" t="inlineStr">
        <is>
          <t>Cover</t>
        </is>
      </c>
      <c r="X857" s="85" t="inlineStr">
        <is>
          <t>Notes</t>
        </is>
      </c>
      <c r="Y857" s="85" t="inlineStr">
        <is>
          <t>Cover</t>
        </is>
      </c>
      <c r="Z857" s="85" t="inlineStr">
        <is>
          <t>Notes</t>
        </is>
      </c>
      <c r="AB857" s="86" t="inlineStr">
        <is>
          <t>weekdays short</t>
        </is>
      </c>
      <c r="AC857" s="87" t="inlineStr"/>
    </row>
    <row r="858" ht="17" customHeight="1">
      <c r="A858" t="n">
        <v>18</v>
      </c>
      <c r="B858" s="24">
        <f>IF(Setup!$K$6="","",Setup!$K$6)</f>
        <v/>
      </c>
      <c r="C858" s="88" t="n"/>
      <c r="D858" s="88" t="n"/>
      <c r="E858" s="88" t="n"/>
      <c r="F858" s="89" t="n"/>
      <c r="G858" s="88" t="n"/>
      <c r="H858" s="88" t="n"/>
      <c r="I858" s="88" t="n"/>
      <c r="J858" s="89" t="n"/>
      <c r="K858" s="88" t="n"/>
      <c r="L858" s="88" t="n"/>
      <c r="M858" s="88" t="n"/>
      <c r="N858" s="89" t="n"/>
      <c r="O858" s="88" t="n"/>
      <c r="P858" s="88" t="n"/>
      <c r="Q858" s="88" t="n"/>
      <c r="R858" s="89" t="n"/>
      <c r="S858" s="88" t="n"/>
      <c r="T858" s="88" t="n"/>
      <c r="U858" s="88" t="n"/>
      <c r="V858" s="89" t="n"/>
      <c r="W858" s="88" t="n"/>
      <c r="X858" s="89" t="n"/>
      <c r="Y858" s="88" t="n"/>
      <c r="Z858" s="89" t="n"/>
      <c r="AB858" s="25">
        <f>IF($B858="","",(COUNTIF(C858:E858,"?*")&lt;N(INDEX(Setup!$L$6:$L$23,1)))+(COUNTIF(G858:I858,"?*")&lt;N(INDEX(Setup!$L$6:$L$23,1)))+(COUNTIF(K858:M858,"?*")&lt;N(INDEX(Setup!$L$6:$L$23,1)))+(COUNTIF(O858:Q858,"?*")&lt;N(INDEX(Setup!$L$6:$L$23,1)))+(COUNTIF(S858:U858,"?*")&lt;N(INDEX(Setup!$L$6:$L$23,1)))+((W858="")*(INDEX(Setup!$M$6:$M$23,1)="Y"))+((Y858="")*(INDEX(Setup!$M$6:$M$23,1)="Y")))</f>
        <v/>
      </c>
      <c r="AC858" s="90">
        <f>IF($B858="","",IF(AB858=0,"✓ covered","⚠ "&amp;AB858&amp;IF(AB858=1," gap"," gaps")))</f>
        <v/>
      </c>
    </row>
    <row r="859" ht="17" customHeight="1">
      <c r="A859" t="n">
        <v>18</v>
      </c>
      <c r="B859" s="29">
        <f>IF(Setup!$K$7="","",Setup!$K$7)</f>
        <v/>
      </c>
      <c r="C859" s="88" t="n"/>
      <c r="D859" s="88" t="n"/>
      <c r="E859" s="88" t="n"/>
      <c r="F859" s="89" t="n"/>
      <c r="G859" s="88" t="n"/>
      <c r="H859" s="88" t="n"/>
      <c r="I859" s="88" t="n"/>
      <c r="J859" s="89" t="n"/>
      <c r="K859" s="88" t="n"/>
      <c r="L859" s="88" t="n"/>
      <c r="M859" s="88" t="n"/>
      <c r="N859" s="89" t="n"/>
      <c r="O859" s="88" t="n"/>
      <c r="P859" s="88" t="n"/>
      <c r="Q859" s="88" t="n"/>
      <c r="R859" s="89" t="n"/>
      <c r="S859" s="88" t="n"/>
      <c r="T859" s="88" t="n"/>
      <c r="U859" s="88" t="n"/>
      <c r="V859" s="89" t="n"/>
      <c r="W859" s="88" t="n"/>
      <c r="X859" s="89" t="n"/>
      <c r="Y859" s="88" t="n"/>
      <c r="Z859" s="89" t="n"/>
      <c r="AB859" s="30">
        <f>IF($B859="","",(COUNTIF(C859:E859,"?*")&lt;N(INDEX(Setup!$L$6:$L$23,2)))+(COUNTIF(G859:I859,"?*")&lt;N(INDEX(Setup!$L$6:$L$23,2)))+(COUNTIF(K859:M859,"?*")&lt;N(INDEX(Setup!$L$6:$L$23,2)))+(COUNTIF(O859:Q859,"?*")&lt;N(INDEX(Setup!$L$6:$L$23,2)))+(COUNTIF(S859:U859,"?*")&lt;N(INDEX(Setup!$L$6:$L$23,2)))+((W859="")*(INDEX(Setup!$M$6:$M$23,2)="Y"))+((Y859="")*(INDEX(Setup!$M$6:$M$23,2)="Y")))</f>
        <v/>
      </c>
      <c r="AC859" s="91">
        <f>IF($B859="","",IF(AB859=0,"✓ covered","⚠ "&amp;AB859&amp;IF(AB859=1," gap"," gaps")))</f>
        <v/>
      </c>
    </row>
    <row r="860" ht="17" customHeight="1">
      <c r="A860" t="n">
        <v>18</v>
      </c>
      <c r="B860" s="24">
        <f>IF(Setup!$K$8="","",Setup!$K$8)</f>
        <v/>
      </c>
      <c r="C860" s="88" t="n"/>
      <c r="D860" s="88" t="n"/>
      <c r="E860" s="88" t="n"/>
      <c r="F860" s="89" t="n"/>
      <c r="G860" s="88" t="n"/>
      <c r="H860" s="88" t="n"/>
      <c r="I860" s="88" t="n"/>
      <c r="J860" s="89" t="n"/>
      <c r="K860" s="88" t="n"/>
      <c r="L860" s="88" t="n"/>
      <c r="M860" s="88" t="n"/>
      <c r="N860" s="89" t="n"/>
      <c r="O860" s="88" t="n"/>
      <c r="P860" s="88" t="n"/>
      <c r="Q860" s="88" t="n"/>
      <c r="R860" s="89" t="n"/>
      <c r="S860" s="88" t="n"/>
      <c r="T860" s="88" t="n"/>
      <c r="U860" s="88" t="n"/>
      <c r="V860" s="89" t="n"/>
      <c r="W860" s="88" t="n"/>
      <c r="X860" s="89" t="n"/>
      <c r="Y860" s="88" t="n"/>
      <c r="Z860" s="89" t="n"/>
      <c r="AB860" s="25">
        <f>IF($B860="","",(COUNTIF(C860:E860,"?*")&lt;N(INDEX(Setup!$L$6:$L$23,3)))+(COUNTIF(G860:I860,"?*")&lt;N(INDEX(Setup!$L$6:$L$23,3)))+(COUNTIF(K860:M860,"?*")&lt;N(INDEX(Setup!$L$6:$L$23,3)))+(COUNTIF(O860:Q860,"?*")&lt;N(INDEX(Setup!$L$6:$L$23,3)))+(COUNTIF(S860:U860,"?*")&lt;N(INDEX(Setup!$L$6:$L$23,3)))+((W860="")*(INDEX(Setup!$M$6:$M$23,3)="Y"))+((Y860="")*(INDEX(Setup!$M$6:$M$23,3)="Y")))</f>
        <v/>
      </c>
      <c r="AC860" s="90">
        <f>IF($B860="","",IF(AB860=0,"✓ covered","⚠ "&amp;AB860&amp;IF(AB860=1," gap"," gaps")))</f>
        <v/>
      </c>
    </row>
    <row r="861" ht="17" customHeight="1">
      <c r="A861" t="n">
        <v>18</v>
      </c>
      <c r="B861" s="29">
        <f>IF(Setup!$K$9="","",Setup!$K$9)</f>
        <v/>
      </c>
      <c r="C861" s="88" t="n"/>
      <c r="D861" s="88" t="n"/>
      <c r="E861" s="88" t="n"/>
      <c r="F861" s="89" t="n"/>
      <c r="G861" s="88" t="n"/>
      <c r="H861" s="88" t="n"/>
      <c r="I861" s="88" t="n"/>
      <c r="J861" s="89" t="n"/>
      <c r="K861" s="88" t="n"/>
      <c r="L861" s="88" t="n"/>
      <c r="M861" s="88" t="n"/>
      <c r="N861" s="89" t="n"/>
      <c r="O861" s="88" t="n"/>
      <c r="P861" s="88" t="n"/>
      <c r="Q861" s="88" t="n"/>
      <c r="R861" s="89" t="n"/>
      <c r="S861" s="88" t="n"/>
      <c r="T861" s="88" t="n"/>
      <c r="U861" s="88" t="n"/>
      <c r="V861" s="89" t="n"/>
      <c r="W861" s="88" t="n"/>
      <c r="X861" s="89" t="n"/>
      <c r="Y861" s="88" t="n"/>
      <c r="Z861" s="89" t="n"/>
      <c r="AB861" s="30">
        <f>IF($B861="","",(COUNTIF(C861:E861,"?*")&lt;N(INDEX(Setup!$L$6:$L$23,4)))+(COUNTIF(G861:I861,"?*")&lt;N(INDEX(Setup!$L$6:$L$23,4)))+(COUNTIF(K861:M861,"?*")&lt;N(INDEX(Setup!$L$6:$L$23,4)))+(COUNTIF(O861:Q861,"?*")&lt;N(INDEX(Setup!$L$6:$L$23,4)))+(COUNTIF(S861:U861,"?*")&lt;N(INDEX(Setup!$L$6:$L$23,4)))+((W861="")*(INDEX(Setup!$M$6:$M$23,4)="Y"))+((Y861="")*(INDEX(Setup!$M$6:$M$23,4)="Y")))</f>
        <v/>
      </c>
      <c r="AC861" s="91">
        <f>IF($B861="","",IF(AB861=0,"✓ covered","⚠ "&amp;AB861&amp;IF(AB861=1," gap"," gaps")))</f>
        <v/>
      </c>
    </row>
    <row r="862" ht="17" customHeight="1">
      <c r="A862" t="n">
        <v>18</v>
      </c>
      <c r="B862" s="24">
        <f>IF(Setup!$K$10="","",Setup!$K$10)</f>
        <v/>
      </c>
      <c r="C862" s="88" t="n"/>
      <c r="D862" s="88" t="n"/>
      <c r="E862" s="88" t="n"/>
      <c r="F862" s="89" t="n"/>
      <c r="G862" s="88" t="n"/>
      <c r="H862" s="88" t="n"/>
      <c r="I862" s="88" t="n"/>
      <c r="J862" s="89" t="n"/>
      <c r="K862" s="88" t="n"/>
      <c r="L862" s="88" t="n"/>
      <c r="M862" s="88" t="n"/>
      <c r="N862" s="89" t="n"/>
      <c r="O862" s="88" t="n"/>
      <c r="P862" s="88" t="n"/>
      <c r="Q862" s="88" t="n"/>
      <c r="R862" s="89" t="n"/>
      <c r="S862" s="88" t="n"/>
      <c r="T862" s="88" t="n"/>
      <c r="U862" s="88" t="n"/>
      <c r="V862" s="89" t="n"/>
      <c r="W862" s="88" t="n"/>
      <c r="X862" s="89" t="n"/>
      <c r="Y862" s="88" t="n"/>
      <c r="Z862" s="89" t="n"/>
      <c r="AB862" s="25">
        <f>IF($B862="","",(COUNTIF(C862:E862,"?*")&lt;N(INDEX(Setup!$L$6:$L$23,5)))+(COUNTIF(G862:I862,"?*")&lt;N(INDEX(Setup!$L$6:$L$23,5)))+(COUNTIF(K862:M862,"?*")&lt;N(INDEX(Setup!$L$6:$L$23,5)))+(COUNTIF(O862:Q862,"?*")&lt;N(INDEX(Setup!$L$6:$L$23,5)))+(COUNTIF(S862:U862,"?*")&lt;N(INDEX(Setup!$L$6:$L$23,5)))+((W862="")*(INDEX(Setup!$M$6:$M$23,5)="Y"))+((Y862="")*(INDEX(Setup!$M$6:$M$23,5)="Y")))</f>
        <v/>
      </c>
      <c r="AC862" s="90">
        <f>IF($B862="","",IF(AB862=0,"✓ covered","⚠ "&amp;AB862&amp;IF(AB862=1," gap"," gaps")))</f>
        <v/>
      </c>
    </row>
    <row r="863" ht="17" customHeight="1">
      <c r="A863" t="n">
        <v>18</v>
      </c>
      <c r="B863" s="29">
        <f>IF(Setup!$K$11="","",Setup!$K$11)</f>
        <v/>
      </c>
      <c r="C863" s="88" t="n"/>
      <c r="D863" s="88" t="n"/>
      <c r="E863" s="88" t="n"/>
      <c r="F863" s="89" t="n"/>
      <c r="G863" s="88" t="n"/>
      <c r="H863" s="88" t="n"/>
      <c r="I863" s="88" t="n"/>
      <c r="J863" s="89" t="n"/>
      <c r="K863" s="88" t="n"/>
      <c r="L863" s="88" t="n"/>
      <c r="M863" s="88" t="n"/>
      <c r="N863" s="89" t="n"/>
      <c r="O863" s="88" t="n"/>
      <c r="P863" s="88" t="n"/>
      <c r="Q863" s="88" t="n"/>
      <c r="R863" s="89" t="n"/>
      <c r="S863" s="88" t="n"/>
      <c r="T863" s="88" t="n"/>
      <c r="U863" s="88" t="n"/>
      <c r="V863" s="89" t="n"/>
      <c r="W863" s="88" t="n"/>
      <c r="X863" s="89" t="n"/>
      <c r="Y863" s="88" t="n"/>
      <c r="Z863" s="89" t="n"/>
      <c r="AB863" s="30">
        <f>IF($B863="","",(COUNTIF(C863:E863,"?*")&lt;N(INDEX(Setup!$L$6:$L$23,6)))+(COUNTIF(G863:I863,"?*")&lt;N(INDEX(Setup!$L$6:$L$23,6)))+(COUNTIF(K863:M863,"?*")&lt;N(INDEX(Setup!$L$6:$L$23,6)))+(COUNTIF(O863:Q863,"?*")&lt;N(INDEX(Setup!$L$6:$L$23,6)))+(COUNTIF(S863:U863,"?*")&lt;N(INDEX(Setup!$L$6:$L$23,6)))+((W863="")*(INDEX(Setup!$M$6:$M$23,6)="Y"))+((Y863="")*(INDEX(Setup!$M$6:$M$23,6)="Y")))</f>
        <v/>
      </c>
      <c r="AC863" s="91">
        <f>IF($B863="","",IF(AB863=0,"✓ covered","⚠ "&amp;AB863&amp;IF(AB863=1," gap"," gaps")))</f>
        <v/>
      </c>
    </row>
    <row r="864" ht="17" customHeight="1">
      <c r="A864" t="n">
        <v>18</v>
      </c>
      <c r="B864" s="24">
        <f>IF(Setup!$K$12="","",Setup!$K$12)</f>
        <v/>
      </c>
      <c r="C864" s="88" t="n"/>
      <c r="D864" s="88" t="n"/>
      <c r="E864" s="88" t="n"/>
      <c r="F864" s="89" t="n"/>
      <c r="G864" s="88" t="n"/>
      <c r="H864" s="88" t="n"/>
      <c r="I864" s="88" t="n"/>
      <c r="J864" s="89" t="n"/>
      <c r="K864" s="88" t="n"/>
      <c r="L864" s="88" t="n"/>
      <c r="M864" s="88" t="n"/>
      <c r="N864" s="89" t="n"/>
      <c r="O864" s="88" t="n"/>
      <c r="P864" s="88" t="n"/>
      <c r="Q864" s="88" t="n"/>
      <c r="R864" s="89" t="n"/>
      <c r="S864" s="88" t="n"/>
      <c r="T864" s="88" t="n"/>
      <c r="U864" s="88" t="n"/>
      <c r="V864" s="89" t="n"/>
      <c r="W864" s="88" t="n"/>
      <c r="X864" s="89" t="n"/>
      <c r="Y864" s="88" t="n"/>
      <c r="Z864" s="89" t="n"/>
      <c r="AB864" s="25">
        <f>IF($B864="","",(COUNTIF(C864:E864,"?*")&lt;N(INDEX(Setup!$L$6:$L$23,7)))+(COUNTIF(G864:I864,"?*")&lt;N(INDEX(Setup!$L$6:$L$23,7)))+(COUNTIF(K864:M864,"?*")&lt;N(INDEX(Setup!$L$6:$L$23,7)))+(COUNTIF(O864:Q864,"?*")&lt;N(INDEX(Setup!$L$6:$L$23,7)))+(COUNTIF(S864:U864,"?*")&lt;N(INDEX(Setup!$L$6:$L$23,7)))+((W864="")*(INDEX(Setup!$M$6:$M$23,7)="Y"))+((Y864="")*(INDEX(Setup!$M$6:$M$23,7)="Y")))</f>
        <v/>
      </c>
      <c r="AC864" s="90">
        <f>IF($B864="","",IF(AB864=0,"✓ covered","⚠ "&amp;AB864&amp;IF(AB864=1," gap"," gaps")))</f>
        <v/>
      </c>
    </row>
    <row r="865" ht="17" customHeight="1">
      <c r="A865" t="n">
        <v>18</v>
      </c>
      <c r="B865" s="29">
        <f>IF(Setup!$K$13="","",Setup!$K$13)</f>
        <v/>
      </c>
      <c r="C865" s="88" t="n"/>
      <c r="D865" s="88" t="n"/>
      <c r="E865" s="88" t="n"/>
      <c r="F865" s="89" t="n"/>
      <c r="G865" s="88" t="n"/>
      <c r="H865" s="88" t="n"/>
      <c r="I865" s="88" t="n"/>
      <c r="J865" s="89" t="n"/>
      <c r="K865" s="88" t="n"/>
      <c r="L865" s="88" t="n"/>
      <c r="M865" s="88" t="n"/>
      <c r="N865" s="89" t="n"/>
      <c r="O865" s="88" t="n"/>
      <c r="P865" s="88" t="n"/>
      <c r="Q865" s="88" t="n"/>
      <c r="R865" s="89" t="n"/>
      <c r="S865" s="88" t="n"/>
      <c r="T865" s="88" t="n"/>
      <c r="U865" s="88" t="n"/>
      <c r="V865" s="89" t="n"/>
      <c r="W865" s="88" t="n"/>
      <c r="X865" s="89" t="n"/>
      <c r="Y865" s="88" t="n"/>
      <c r="Z865" s="89" t="n"/>
      <c r="AB865" s="30">
        <f>IF($B865="","",(COUNTIF(C865:E865,"?*")&lt;N(INDEX(Setup!$L$6:$L$23,8)))+(COUNTIF(G865:I865,"?*")&lt;N(INDEX(Setup!$L$6:$L$23,8)))+(COUNTIF(K865:M865,"?*")&lt;N(INDEX(Setup!$L$6:$L$23,8)))+(COUNTIF(O865:Q865,"?*")&lt;N(INDEX(Setup!$L$6:$L$23,8)))+(COUNTIF(S865:U865,"?*")&lt;N(INDEX(Setup!$L$6:$L$23,8)))+((W865="")*(INDEX(Setup!$M$6:$M$23,8)="Y"))+((Y865="")*(INDEX(Setup!$M$6:$M$23,8)="Y")))</f>
        <v/>
      </c>
      <c r="AC865" s="91">
        <f>IF($B865="","",IF(AB865=0,"✓ covered","⚠ "&amp;AB865&amp;IF(AB865=1," gap"," gaps")))</f>
        <v/>
      </c>
    </row>
    <row r="866" ht="17" customHeight="1">
      <c r="A866" t="n">
        <v>18</v>
      </c>
      <c r="B866" s="24">
        <f>IF(Setup!$K$14="","",Setup!$K$14)</f>
        <v/>
      </c>
      <c r="C866" s="88" t="n"/>
      <c r="D866" s="88" t="n"/>
      <c r="E866" s="88" t="n"/>
      <c r="F866" s="89" t="n"/>
      <c r="G866" s="88" t="n"/>
      <c r="H866" s="88" t="n"/>
      <c r="I866" s="88" t="n"/>
      <c r="J866" s="89" t="n"/>
      <c r="K866" s="88" t="n"/>
      <c r="L866" s="88" t="n"/>
      <c r="M866" s="88" t="n"/>
      <c r="N866" s="89" t="n"/>
      <c r="O866" s="88" t="n"/>
      <c r="P866" s="88" t="n"/>
      <c r="Q866" s="88" t="n"/>
      <c r="R866" s="89" t="n"/>
      <c r="S866" s="88" t="n"/>
      <c r="T866" s="88" t="n"/>
      <c r="U866" s="88" t="n"/>
      <c r="V866" s="89" t="n"/>
      <c r="W866" s="88" t="n"/>
      <c r="X866" s="89" t="n"/>
      <c r="Y866" s="88" t="n"/>
      <c r="Z866" s="89" t="n"/>
      <c r="AB866" s="25">
        <f>IF($B866="","",(COUNTIF(C866:E866,"?*")&lt;N(INDEX(Setup!$L$6:$L$23,9)))+(COUNTIF(G866:I866,"?*")&lt;N(INDEX(Setup!$L$6:$L$23,9)))+(COUNTIF(K866:M866,"?*")&lt;N(INDEX(Setup!$L$6:$L$23,9)))+(COUNTIF(O866:Q866,"?*")&lt;N(INDEX(Setup!$L$6:$L$23,9)))+(COUNTIF(S866:U866,"?*")&lt;N(INDEX(Setup!$L$6:$L$23,9)))+((W866="")*(INDEX(Setup!$M$6:$M$23,9)="Y"))+((Y866="")*(INDEX(Setup!$M$6:$M$23,9)="Y")))</f>
        <v/>
      </c>
      <c r="AC866" s="90">
        <f>IF($B866="","",IF(AB866=0,"✓ covered","⚠ "&amp;AB866&amp;IF(AB866=1," gap"," gaps")))</f>
        <v/>
      </c>
    </row>
    <row r="867" ht="17" customHeight="1">
      <c r="A867" t="n">
        <v>18</v>
      </c>
      <c r="B867" s="29">
        <f>IF(Setup!$K$15="","",Setup!$K$15)</f>
        <v/>
      </c>
      <c r="C867" s="88" t="n"/>
      <c r="D867" s="88" t="n"/>
      <c r="E867" s="88" t="n"/>
      <c r="F867" s="89" t="n"/>
      <c r="G867" s="88" t="n"/>
      <c r="H867" s="88" t="n"/>
      <c r="I867" s="88" t="n"/>
      <c r="J867" s="89" t="n"/>
      <c r="K867" s="88" t="n"/>
      <c r="L867" s="88" t="n"/>
      <c r="M867" s="88" t="n"/>
      <c r="N867" s="89" t="n"/>
      <c r="O867" s="88" t="n"/>
      <c r="P867" s="88" t="n"/>
      <c r="Q867" s="88" t="n"/>
      <c r="R867" s="89" t="n"/>
      <c r="S867" s="88" t="n"/>
      <c r="T867" s="88" t="n"/>
      <c r="U867" s="88" t="n"/>
      <c r="V867" s="89" t="n"/>
      <c r="W867" s="88" t="n"/>
      <c r="X867" s="89" t="n"/>
      <c r="Y867" s="88" t="n"/>
      <c r="Z867" s="89" t="n"/>
      <c r="AB867" s="30">
        <f>IF($B867="","",(COUNTIF(C867:E867,"?*")&lt;N(INDEX(Setup!$L$6:$L$23,10)))+(COUNTIF(G867:I867,"?*")&lt;N(INDEX(Setup!$L$6:$L$23,10)))+(COUNTIF(K867:M867,"?*")&lt;N(INDEX(Setup!$L$6:$L$23,10)))+(COUNTIF(O867:Q867,"?*")&lt;N(INDEX(Setup!$L$6:$L$23,10)))+(COUNTIF(S867:U867,"?*")&lt;N(INDEX(Setup!$L$6:$L$23,10)))+((W867="")*(INDEX(Setup!$M$6:$M$23,10)="Y"))+((Y867="")*(INDEX(Setup!$M$6:$M$23,10)="Y")))</f>
        <v/>
      </c>
      <c r="AC867" s="91">
        <f>IF($B867="","",IF(AB867=0,"✓ covered","⚠ "&amp;AB867&amp;IF(AB867=1," gap"," gaps")))</f>
        <v/>
      </c>
    </row>
    <row r="868" ht="17" customHeight="1">
      <c r="A868" t="n">
        <v>18</v>
      </c>
      <c r="B868" s="24">
        <f>IF(Setup!$K$16="","",Setup!$K$16)</f>
        <v/>
      </c>
      <c r="C868" s="88" t="n"/>
      <c r="D868" s="88" t="n"/>
      <c r="E868" s="88" t="n"/>
      <c r="F868" s="89" t="n"/>
      <c r="G868" s="88" t="n"/>
      <c r="H868" s="88" t="n"/>
      <c r="I868" s="88" t="n"/>
      <c r="J868" s="89" t="n"/>
      <c r="K868" s="88" t="n"/>
      <c r="L868" s="88" t="n"/>
      <c r="M868" s="88" t="n"/>
      <c r="N868" s="89" t="n"/>
      <c r="O868" s="88" t="n"/>
      <c r="P868" s="88" t="n"/>
      <c r="Q868" s="88" t="n"/>
      <c r="R868" s="89" t="n"/>
      <c r="S868" s="88" t="n"/>
      <c r="T868" s="88" t="n"/>
      <c r="U868" s="88" t="n"/>
      <c r="V868" s="89" t="n"/>
      <c r="W868" s="88" t="n"/>
      <c r="X868" s="89" t="n"/>
      <c r="Y868" s="88" t="n"/>
      <c r="Z868" s="89" t="n"/>
      <c r="AB868" s="25">
        <f>IF($B868="","",(COUNTIF(C868:E868,"?*")&lt;N(INDEX(Setup!$L$6:$L$23,11)))+(COUNTIF(G868:I868,"?*")&lt;N(INDEX(Setup!$L$6:$L$23,11)))+(COUNTIF(K868:M868,"?*")&lt;N(INDEX(Setup!$L$6:$L$23,11)))+(COUNTIF(O868:Q868,"?*")&lt;N(INDEX(Setup!$L$6:$L$23,11)))+(COUNTIF(S868:U868,"?*")&lt;N(INDEX(Setup!$L$6:$L$23,11)))+((W868="")*(INDEX(Setup!$M$6:$M$23,11)="Y"))+((Y868="")*(INDEX(Setup!$M$6:$M$23,11)="Y")))</f>
        <v/>
      </c>
      <c r="AC868" s="90">
        <f>IF($B868="","",IF(AB868=0,"✓ covered","⚠ "&amp;AB868&amp;IF(AB868=1," gap"," gaps")))</f>
        <v/>
      </c>
    </row>
    <row r="869" ht="17" customHeight="1">
      <c r="A869" t="n">
        <v>18</v>
      </c>
      <c r="B869" s="29">
        <f>IF(Setup!$K$17="","",Setup!$K$17)</f>
        <v/>
      </c>
      <c r="C869" s="88" t="n"/>
      <c r="D869" s="88" t="n"/>
      <c r="E869" s="88" t="n"/>
      <c r="F869" s="89" t="n"/>
      <c r="G869" s="88" t="n"/>
      <c r="H869" s="88" t="n"/>
      <c r="I869" s="88" t="n"/>
      <c r="J869" s="89" t="n"/>
      <c r="K869" s="88" t="n"/>
      <c r="L869" s="88" t="n"/>
      <c r="M869" s="88" t="n"/>
      <c r="N869" s="89" t="n"/>
      <c r="O869" s="88" t="n"/>
      <c r="P869" s="88" t="n"/>
      <c r="Q869" s="88" t="n"/>
      <c r="R869" s="89" t="n"/>
      <c r="S869" s="88" t="n"/>
      <c r="T869" s="88" t="n"/>
      <c r="U869" s="88" t="n"/>
      <c r="V869" s="89" t="n"/>
      <c r="W869" s="88" t="n"/>
      <c r="X869" s="89" t="n"/>
      <c r="Y869" s="88" t="n"/>
      <c r="Z869" s="89" t="n"/>
      <c r="AB869" s="30">
        <f>IF($B869="","",(COUNTIF(C869:E869,"?*")&lt;N(INDEX(Setup!$L$6:$L$23,12)))+(COUNTIF(G869:I869,"?*")&lt;N(INDEX(Setup!$L$6:$L$23,12)))+(COUNTIF(K869:M869,"?*")&lt;N(INDEX(Setup!$L$6:$L$23,12)))+(COUNTIF(O869:Q869,"?*")&lt;N(INDEX(Setup!$L$6:$L$23,12)))+(COUNTIF(S869:U869,"?*")&lt;N(INDEX(Setup!$L$6:$L$23,12)))+((W869="")*(INDEX(Setup!$M$6:$M$23,12)="Y"))+((Y869="")*(INDEX(Setup!$M$6:$M$23,12)="Y")))</f>
        <v/>
      </c>
      <c r="AC869" s="91">
        <f>IF($B869="","",IF(AB869=0,"✓ covered","⚠ "&amp;AB869&amp;IF(AB869=1," gap"," gaps")))</f>
        <v/>
      </c>
    </row>
    <row r="870" ht="17" customHeight="1">
      <c r="A870" t="n">
        <v>18</v>
      </c>
      <c r="B870" s="24">
        <f>IF(Setup!$K$18="","",Setup!$K$18)</f>
        <v/>
      </c>
      <c r="C870" s="88" t="n"/>
      <c r="D870" s="88" t="n"/>
      <c r="E870" s="88" t="n"/>
      <c r="F870" s="89" t="n"/>
      <c r="G870" s="88" t="n"/>
      <c r="H870" s="88" t="n"/>
      <c r="I870" s="88" t="n"/>
      <c r="J870" s="89" t="n"/>
      <c r="K870" s="88" t="n"/>
      <c r="L870" s="88" t="n"/>
      <c r="M870" s="88" t="n"/>
      <c r="N870" s="89" t="n"/>
      <c r="O870" s="88" t="n"/>
      <c r="P870" s="88" t="n"/>
      <c r="Q870" s="88" t="n"/>
      <c r="R870" s="89" t="n"/>
      <c r="S870" s="88" t="n"/>
      <c r="T870" s="88" t="n"/>
      <c r="U870" s="88" t="n"/>
      <c r="V870" s="89" t="n"/>
      <c r="W870" s="88" t="n"/>
      <c r="X870" s="89" t="n"/>
      <c r="Y870" s="88" t="n"/>
      <c r="Z870" s="89" t="n"/>
      <c r="AB870" s="25">
        <f>IF($B870="","",(COUNTIF(C870:E870,"?*")&lt;N(INDEX(Setup!$L$6:$L$23,13)))+(COUNTIF(G870:I870,"?*")&lt;N(INDEX(Setup!$L$6:$L$23,13)))+(COUNTIF(K870:M870,"?*")&lt;N(INDEX(Setup!$L$6:$L$23,13)))+(COUNTIF(O870:Q870,"?*")&lt;N(INDEX(Setup!$L$6:$L$23,13)))+(COUNTIF(S870:U870,"?*")&lt;N(INDEX(Setup!$L$6:$L$23,13)))+((W870="")*(INDEX(Setup!$M$6:$M$23,13)="Y"))+((Y870="")*(INDEX(Setup!$M$6:$M$23,13)="Y")))</f>
        <v/>
      </c>
      <c r="AC870" s="90">
        <f>IF($B870="","",IF(AB870=0,"✓ covered","⚠ "&amp;AB870&amp;IF(AB870=1," gap"," gaps")))</f>
        <v/>
      </c>
    </row>
    <row r="871" ht="17" customHeight="1">
      <c r="A871" t="n">
        <v>18</v>
      </c>
      <c r="B871" s="29">
        <f>IF(Setup!$K$19="","",Setup!$K$19)</f>
        <v/>
      </c>
      <c r="C871" s="88" t="n"/>
      <c r="D871" s="88" t="n"/>
      <c r="E871" s="88" t="n"/>
      <c r="F871" s="89" t="n"/>
      <c r="G871" s="88" t="n"/>
      <c r="H871" s="88" t="n"/>
      <c r="I871" s="88" t="n"/>
      <c r="J871" s="89" t="n"/>
      <c r="K871" s="88" t="n"/>
      <c r="L871" s="88" t="n"/>
      <c r="M871" s="88" t="n"/>
      <c r="N871" s="89" t="n"/>
      <c r="O871" s="88" t="n"/>
      <c r="P871" s="88" t="n"/>
      <c r="Q871" s="88" t="n"/>
      <c r="R871" s="89" t="n"/>
      <c r="S871" s="88" t="n"/>
      <c r="T871" s="88" t="n"/>
      <c r="U871" s="88" t="n"/>
      <c r="V871" s="89" t="n"/>
      <c r="W871" s="88" t="n"/>
      <c r="X871" s="89" t="n"/>
      <c r="Y871" s="88" t="n"/>
      <c r="Z871" s="89" t="n"/>
      <c r="AB871" s="30">
        <f>IF($B871="","",(COUNTIF(C871:E871,"?*")&lt;N(INDEX(Setup!$L$6:$L$23,14)))+(COUNTIF(G871:I871,"?*")&lt;N(INDEX(Setup!$L$6:$L$23,14)))+(COUNTIF(K871:M871,"?*")&lt;N(INDEX(Setup!$L$6:$L$23,14)))+(COUNTIF(O871:Q871,"?*")&lt;N(INDEX(Setup!$L$6:$L$23,14)))+(COUNTIF(S871:U871,"?*")&lt;N(INDEX(Setup!$L$6:$L$23,14)))+((W871="")*(INDEX(Setup!$M$6:$M$23,14)="Y"))+((Y871="")*(INDEX(Setup!$M$6:$M$23,14)="Y")))</f>
        <v/>
      </c>
      <c r="AC871" s="91">
        <f>IF($B871="","",IF(AB871=0,"✓ covered","⚠ "&amp;AB871&amp;IF(AB871=1," gap"," gaps")))</f>
        <v/>
      </c>
    </row>
    <row r="872" ht="17" customHeight="1">
      <c r="A872" t="n">
        <v>18</v>
      </c>
      <c r="B872" s="24">
        <f>IF(Setup!$K$20="","",Setup!$K$20)</f>
        <v/>
      </c>
      <c r="C872" s="88" t="n"/>
      <c r="D872" s="88" t="n"/>
      <c r="E872" s="88" t="n"/>
      <c r="F872" s="89" t="n"/>
      <c r="G872" s="88" t="n"/>
      <c r="H872" s="88" t="n"/>
      <c r="I872" s="88" t="n"/>
      <c r="J872" s="89" t="n"/>
      <c r="K872" s="88" t="n"/>
      <c r="L872" s="88" t="n"/>
      <c r="M872" s="88" t="n"/>
      <c r="N872" s="89" t="n"/>
      <c r="O872" s="88" t="n"/>
      <c r="P872" s="88" t="n"/>
      <c r="Q872" s="88" t="n"/>
      <c r="R872" s="89" t="n"/>
      <c r="S872" s="88" t="n"/>
      <c r="T872" s="88" t="n"/>
      <c r="U872" s="88" t="n"/>
      <c r="V872" s="89" t="n"/>
      <c r="W872" s="88" t="n"/>
      <c r="X872" s="89" t="n"/>
      <c r="Y872" s="88" t="n"/>
      <c r="Z872" s="89" t="n"/>
      <c r="AB872" s="25">
        <f>IF($B872="","",(COUNTIF(C872:E872,"?*")&lt;N(INDEX(Setup!$L$6:$L$23,15)))+(COUNTIF(G872:I872,"?*")&lt;N(INDEX(Setup!$L$6:$L$23,15)))+(COUNTIF(K872:M872,"?*")&lt;N(INDEX(Setup!$L$6:$L$23,15)))+(COUNTIF(O872:Q872,"?*")&lt;N(INDEX(Setup!$L$6:$L$23,15)))+(COUNTIF(S872:U872,"?*")&lt;N(INDEX(Setup!$L$6:$L$23,15)))+((W872="")*(INDEX(Setup!$M$6:$M$23,15)="Y"))+((Y872="")*(INDEX(Setup!$M$6:$M$23,15)="Y")))</f>
        <v/>
      </c>
      <c r="AC872" s="90">
        <f>IF($B872="","",IF(AB872=0,"✓ covered","⚠ "&amp;AB872&amp;IF(AB872=1," gap"," gaps")))</f>
        <v/>
      </c>
    </row>
    <row r="873" ht="17" customHeight="1">
      <c r="A873" t="n">
        <v>18</v>
      </c>
      <c r="B873" s="29">
        <f>IF(Setup!$K$21="","",Setup!$K$21)</f>
        <v/>
      </c>
      <c r="C873" s="88" t="n"/>
      <c r="D873" s="88" t="n"/>
      <c r="E873" s="88" t="n"/>
      <c r="F873" s="89" t="n"/>
      <c r="G873" s="88" t="n"/>
      <c r="H873" s="88" t="n"/>
      <c r="I873" s="88" t="n"/>
      <c r="J873" s="89" t="n"/>
      <c r="K873" s="88" t="n"/>
      <c r="L873" s="88" t="n"/>
      <c r="M873" s="88" t="n"/>
      <c r="N873" s="89" t="n"/>
      <c r="O873" s="88" t="n"/>
      <c r="P873" s="88" t="n"/>
      <c r="Q873" s="88" t="n"/>
      <c r="R873" s="89" t="n"/>
      <c r="S873" s="88" t="n"/>
      <c r="T873" s="88" t="n"/>
      <c r="U873" s="88" t="n"/>
      <c r="V873" s="89" t="n"/>
      <c r="W873" s="88" t="n"/>
      <c r="X873" s="89" t="n"/>
      <c r="Y873" s="88" t="n"/>
      <c r="Z873" s="89" t="n"/>
      <c r="AB873" s="30">
        <f>IF($B873="","",(COUNTIF(C873:E873,"?*")&lt;N(INDEX(Setup!$L$6:$L$23,16)))+(COUNTIF(G873:I873,"?*")&lt;N(INDEX(Setup!$L$6:$L$23,16)))+(COUNTIF(K873:M873,"?*")&lt;N(INDEX(Setup!$L$6:$L$23,16)))+(COUNTIF(O873:Q873,"?*")&lt;N(INDEX(Setup!$L$6:$L$23,16)))+(COUNTIF(S873:U873,"?*")&lt;N(INDEX(Setup!$L$6:$L$23,16)))+((W873="")*(INDEX(Setup!$M$6:$M$23,16)="Y"))+((Y873="")*(INDEX(Setup!$M$6:$M$23,16)="Y")))</f>
        <v/>
      </c>
      <c r="AC873" s="91">
        <f>IF($B873="","",IF(AB873=0,"✓ covered","⚠ "&amp;AB873&amp;IF(AB873=1," gap"," gaps")))</f>
        <v/>
      </c>
    </row>
    <row r="874" ht="17" customHeight="1">
      <c r="A874" t="n">
        <v>18</v>
      </c>
      <c r="B874" s="24">
        <f>IF(Setup!$K$22="","",Setup!$K$22)</f>
        <v/>
      </c>
      <c r="C874" s="88" t="n"/>
      <c r="D874" s="88" t="n"/>
      <c r="E874" s="88" t="n"/>
      <c r="F874" s="89" t="n"/>
      <c r="G874" s="88" t="n"/>
      <c r="H874" s="88" t="n"/>
      <c r="I874" s="88" t="n"/>
      <c r="J874" s="89" t="n"/>
      <c r="K874" s="88" t="n"/>
      <c r="L874" s="88" t="n"/>
      <c r="M874" s="88" t="n"/>
      <c r="N874" s="89" t="n"/>
      <c r="O874" s="88" t="n"/>
      <c r="P874" s="88" t="n"/>
      <c r="Q874" s="88" t="n"/>
      <c r="R874" s="89" t="n"/>
      <c r="S874" s="88" t="n"/>
      <c r="T874" s="88" t="n"/>
      <c r="U874" s="88" t="n"/>
      <c r="V874" s="89" t="n"/>
      <c r="W874" s="88" t="n"/>
      <c r="X874" s="89" t="n"/>
      <c r="Y874" s="88" t="n"/>
      <c r="Z874" s="89" t="n"/>
      <c r="AB874" s="25">
        <f>IF($B874="","",(COUNTIF(C874:E874,"?*")&lt;N(INDEX(Setup!$L$6:$L$23,17)))+(COUNTIF(G874:I874,"?*")&lt;N(INDEX(Setup!$L$6:$L$23,17)))+(COUNTIF(K874:M874,"?*")&lt;N(INDEX(Setup!$L$6:$L$23,17)))+(COUNTIF(O874:Q874,"?*")&lt;N(INDEX(Setup!$L$6:$L$23,17)))+(COUNTIF(S874:U874,"?*")&lt;N(INDEX(Setup!$L$6:$L$23,17)))+((W874="")*(INDEX(Setup!$M$6:$M$23,17)="Y"))+((Y874="")*(INDEX(Setup!$M$6:$M$23,17)="Y")))</f>
        <v/>
      </c>
      <c r="AC874" s="90">
        <f>IF($B874="","",IF(AB874=0,"✓ covered","⚠ "&amp;AB874&amp;IF(AB874=1," gap"," gaps")))</f>
        <v/>
      </c>
    </row>
    <row r="875" ht="17" customHeight="1">
      <c r="A875" t="n">
        <v>18</v>
      </c>
      <c r="B875" s="29">
        <f>IF(Setup!$K$23="","",Setup!$K$23)</f>
        <v/>
      </c>
      <c r="C875" s="88" t="n"/>
      <c r="D875" s="88" t="n"/>
      <c r="E875" s="88" t="n"/>
      <c r="F875" s="89" t="n"/>
      <c r="G875" s="88" t="n"/>
      <c r="H875" s="88" t="n"/>
      <c r="I875" s="88" t="n"/>
      <c r="J875" s="89" t="n"/>
      <c r="K875" s="88" t="n"/>
      <c r="L875" s="88" t="n"/>
      <c r="M875" s="88" t="n"/>
      <c r="N875" s="89" t="n"/>
      <c r="O875" s="88" t="n"/>
      <c r="P875" s="88" t="n"/>
      <c r="Q875" s="88" t="n"/>
      <c r="R875" s="89" t="n"/>
      <c r="S875" s="88" t="n"/>
      <c r="T875" s="88" t="n"/>
      <c r="U875" s="88" t="n"/>
      <c r="V875" s="89" t="n"/>
      <c r="W875" s="88" t="n"/>
      <c r="X875" s="89" t="n"/>
      <c r="Y875" s="88" t="n"/>
      <c r="Z875" s="89" t="n"/>
      <c r="AB875" s="30">
        <f>IF($B875="","",(COUNTIF(C875:E875,"?*")&lt;N(INDEX(Setup!$L$6:$L$23,18)))+(COUNTIF(G875:I875,"?*")&lt;N(INDEX(Setup!$L$6:$L$23,18)))+(COUNTIF(K875:M875,"?*")&lt;N(INDEX(Setup!$L$6:$L$23,18)))+(COUNTIF(O875:Q875,"?*")&lt;N(INDEX(Setup!$L$6:$L$23,18)))+(COUNTIF(S875:U875,"?*")&lt;N(INDEX(Setup!$L$6:$L$23,18)))+((W875="")*(INDEX(Setup!$M$6:$M$23,18)="Y"))+((Y875="")*(INDEX(Setup!$M$6:$M$23,18)="Y")))</f>
        <v/>
      </c>
      <c r="AC875" s="91">
        <f>IF($B875="","",IF(AB875=0,"✓ covered","⚠ "&amp;AB875&amp;IF(AB875=1," gap"," gaps")))</f>
        <v/>
      </c>
    </row>
    <row r="876" ht="18" customHeight="1">
      <c r="A876" t="n">
        <v>18</v>
      </c>
      <c r="B876" s="78" t="inlineStr">
        <is>
          <t>TEAM AVAILABILITY</t>
        </is>
      </c>
      <c r="C876" s="92" t="inlineStr">
        <is>
          <t>Mon</t>
        </is>
      </c>
      <c r="D876" s="93" t="n"/>
      <c r="E876" s="93" t="n"/>
      <c r="F876" s="94" t="n"/>
      <c r="G876" s="92" t="inlineStr">
        <is>
          <t>Tue</t>
        </is>
      </c>
      <c r="H876" s="93" t="n"/>
      <c r="I876" s="93" t="n"/>
      <c r="J876" s="94" t="n"/>
      <c r="K876" s="92" t="inlineStr">
        <is>
          <t>Wed</t>
        </is>
      </c>
      <c r="L876" s="93" t="n"/>
      <c r="M876" s="93" t="n"/>
      <c r="N876" s="94" t="n"/>
      <c r="O876" s="92" t="inlineStr">
        <is>
          <t>Thu</t>
        </is>
      </c>
      <c r="P876" s="93" t="n"/>
      <c r="Q876" s="93" t="n"/>
      <c r="R876" s="94" t="n"/>
      <c r="S876" s="92" t="inlineStr">
        <is>
          <t>Fri</t>
        </is>
      </c>
      <c r="T876" s="93" t="n"/>
      <c r="U876" s="93" t="n"/>
      <c r="V876" s="94" t="n"/>
      <c r="W876" s="95" t="inlineStr">
        <is>
          <t>Sat</t>
        </is>
      </c>
      <c r="X876" s="96" t="n"/>
      <c r="Y876" s="95" t="inlineStr">
        <is>
          <t>Sun</t>
        </is>
      </c>
      <c r="Z876" s="96" t="n"/>
      <c r="AB876" s="97" t="inlineStr">
        <is>
          <t>Days rostered</t>
        </is>
      </c>
      <c r="AC876" s="97" t="inlineStr">
        <is>
          <t>Conflicts</t>
        </is>
      </c>
    </row>
    <row r="877" ht="15" customHeight="1">
      <c r="A877" t="n">
        <v>18</v>
      </c>
      <c r="B877" s="35">
        <f>IF(Setup!$B$6="","",Setup!$B$6)</f>
        <v/>
      </c>
      <c r="C877" s="98" t="n"/>
      <c r="D877" s="99" t="n"/>
      <c r="E877" s="99" t="n"/>
      <c r="F877" s="100" t="n"/>
      <c r="G877" s="98" t="n"/>
      <c r="H877" s="99" t="n"/>
      <c r="I877" s="99" t="n"/>
      <c r="J877" s="100" t="n"/>
      <c r="K877" s="98" t="n"/>
      <c r="L877" s="99" t="n"/>
      <c r="M877" s="99" t="n"/>
      <c r="N877" s="100" t="n"/>
      <c r="O877" s="98" t="n"/>
      <c r="P877" s="99" t="n"/>
      <c r="Q877" s="99" t="n"/>
      <c r="R877" s="100" t="n"/>
      <c r="S877" s="98" t="n"/>
      <c r="T877" s="99" t="n"/>
      <c r="U877" s="99" t="n"/>
      <c r="V877" s="100" t="n"/>
      <c r="W877" s="98" t="n"/>
      <c r="X877" s="100" t="n"/>
      <c r="Y877" s="98" t="n"/>
      <c r="Z877" s="100" t="n"/>
      <c r="AB877" s="101">
        <f>IF($B877="","",(COUNTIF(C858:E875,$B877)+COUNTIF(C858:E875,$B877&amp;" ~*")&gt;0)+(COUNTIF(G858:I875,$B877)+COUNTIF(G858:I875,$B877&amp;" ~*")&gt;0)+(COUNTIF(K858:M875,$B877)+COUNTIF(K858:M875,$B877&amp;" ~*")&gt;0)+(COUNTIF(O858:Q875,$B877)+COUNTIF(O858:Q875,$B877&amp;" ~*")&gt;0)+(COUNTIF(S858:U875,$B877)+COUNTIF(S858:U875,$B877&amp;" ~*")&gt;0)+(COUNTIF(W858:W875,$B877)+COUNTIF(W858:W875,$B877&amp;" ~*")&gt;0)+(COUNTIF(Y858:Y875,$B877)+COUNTIF(Y858:Y875,$B877&amp;" ~*")&gt;0))</f>
        <v/>
      </c>
      <c r="AC877" s="36">
        <f>IF($B877="","",(IFERROR(INDEX(Setup!$G$33:$G$40,MATCH(C877,Setup!$B$33:$B$40,0)),0)=1)*(COUNTIF(C858:E875,$B877)+COUNTIF(C858:E875,$B877&amp;" ~*")&gt;0)+(IFERROR(INDEX(Setup!$G$33:$G$40,MATCH(G877,Setup!$B$33:$B$40,0)),0)=1)*(COUNTIF(G858:I875,$B877)+COUNTIF(G858:I875,$B877&amp;" ~*")&gt;0)+(IFERROR(INDEX(Setup!$G$33:$G$40,MATCH(K877,Setup!$B$33:$B$40,0)),0)=1)*(COUNTIF(K858:M875,$B877)+COUNTIF(K858:M875,$B877&amp;" ~*")&gt;0)+(IFERROR(INDEX(Setup!$G$33:$G$40,MATCH(O877,Setup!$B$33:$B$40,0)),0)=1)*(COUNTIF(O858:Q875,$B877)+COUNTIF(O858:Q875,$B877&amp;" ~*")&gt;0)+(IFERROR(INDEX(Setup!$G$33:$G$40,MATCH(S877,Setup!$B$33:$B$40,0)),0)=1)*(COUNTIF(S858:U875,$B877)+COUNTIF(S858:U875,$B877&amp;" ~*")&gt;0)+(IFERROR(INDEX(Setup!$G$33:$G$40,MATCH(W877,Setup!$B$33:$B$40,0)),0)=1)*(COUNTIF(W858:W875,$B877)+COUNTIF(W858:W875,$B877&amp;" ~*")&gt;0)+(IFERROR(INDEX(Setup!$G$33:$G$40,MATCH(Y877,Setup!$B$33:$B$40,0)),0)=1)*(COUNTIF(Y858:Y875,$B877)+COUNTIF(Y858:Y875,$B877&amp;" ~*")&gt;0))</f>
        <v/>
      </c>
    </row>
    <row r="878" ht="15" customHeight="1">
      <c r="A878" t="n">
        <v>18</v>
      </c>
      <c r="B878" s="37">
        <f>IF(Setup!$B$7="","",Setup!$B$7)</f>
        <v/>
      </c>
      <c r="C878" s="102" t="n"/>
      <c r="D878" s="103" t="n"/>
      <c r="E878" s="103" t="n"/>
      <c r="F878" s="104" t="n"/>
      <c r="G878" s="102" t="n"/>
      <c r="H878" s="103" t="n"/>
      <c r="I878" s="103" t="n"/>
      <c r="J878" s="104" t="n"/>
      <c r="K878" s="102" t="n"/>
      <c r="L878" s="103" t="n"/>
      <c r="M878" s="103" t="n"/>
      <c r="N878" s="104" t="n"/>
      <c r="O878" s="102" t="n"/>
      <c r="P878" s="103" t="n"/>
      <c r="Q878" s="103" t="n"/>
      <c r="R878" s="104" t="n"/>
      <c r="S878" s="102" t="n"/>
      <c r="T878" s="103" t="n"/>
      <c r="U878" s="103" t="n"/>
      <c r="V878" s="104" t="n"/>
      <c r="W878" s="102" t="n"/>
      <c r="X878" s="104" t="n"/>
      <c r="Y878" s="102" t="n"/>
      <c r="Z878" s="104" t="n"/>
      <c r="AB878" s="105">
        <f>IF($B878="","",(COUNTIF(C858:E875,$B878)+COUNTIF(C858:E875,$B878&amp;" ~*")&gt;0)+(COUNTIF(G858:I875,$B878)+COUNTIF(G858:I875,$B878&amp;" ~*")&gt;0)+(COUNTIF(K858:M875,$B878)+COUNTIF(K858:M875,$B878&amp;" ~*")&gt;0)+(COUNTIF(O858:Q875,$B878)+COUNTIF(O858:Q875,$B878&amp;" ~*")&gt;0)+(COUNTIF(S858:U875,$B878)+COUNTIF(S858:U875,$B878&amp;" ~*")&gt;0)+(COUNTIF(W858:W875,$B878)+COUNTIF(W858:W875,$B878&amp;" ~*")&gt;0)+(COUNTIF(Y858:Y875,$B878)+COUNTIF(Y858:Y875,$B878&amp;" ~*")&gt;0))</f>
        <v/>
      </c>
      <c r="AC878" s="38">
        <f>IF($B878="","",(IFERROR(INDEX(Setup!$G$33:$G$40,MATCH(C878,Setup!$B$33:$B$40,0)),0)=1)*(COUNTIF(C858:E875,$B878)+COUNTIF(C858:E875,$B878&amp;" ~*")&gt;0)+(IFERROR(INDEX(Setup!$G$33:$G$40,MATCH(G878,Setup!$B$33:$B$40,0)),0)=1)*(COUNTIF(G858:I875,$B878)+COUNTIF(G858:I875,$B878&amp;" ~*")&gt;0)+(IFERROR(INDEX(Setup!$G$33:$G$40,MATCH(K878,Setup!$B$33:$B$40,0)),0)=1)*(COUNTIF(K858:M875,$B878)+COUNTIF(K858:M875,$B878&amp;" ~*")&gt;0)+(IFERROR(INDEX(Setup!$G$33:$G$40,MATCH(O878,Setup!$B$33:$B$40,0)),0)=1)*(COUNTIF(O858:Q875,$B878)+COUNTIF(O858:Q875,$B878&amp;" ~*")&gt;0)+(IFERROR(INDEX(Setup!$G$33:$G$40,MATCH(S878,Setup!$B$33:$B$40,0)),0)=1)*(COUNTIF(S858:U875,$B878)+COUNTIF(S858:U875,$B878&amp;" ~*")&gt;0)+(IFERROR(INDEX(Setup!$G$33:$G$40,MATCH(W878,Setup!$B$33:$B$40,0)),0)=1)*(COUNTIF(W858:W875,$B878)+COUNTIF(W858:W875,$B878&amp;" ~*")&gt;0)+(IFERROR(INDEX(Setup!$G$33:$G$40,MATCH(Y878,Setup!$B$33:$B$40,0)),0)=1)*(COUNTIF(Y858:Y875,$B878)+COUNTIF(Y858:Y875,$B878&amp;" ~*")&gt;0))</f>
        <v/>
      </c>
    </row>
    <row r="879" ht="15" customHeight="1">
      <c r="A879" t="n">
        <v>18</v>
      </c>
      <c r="B879" s="35">
        <f>IF(Setup!$B$8="","",Setup!$B$8)</f>
        <v/>
      </c>
      <c r="C879" s="98" t="n"/>
      <c r="D879" s="99" t="n"/>
      <c r="E879" s="99" t="n"/>
      <c r="F879" s="100" t="n"/>
      <c r="G879" s="98" t="n"/>
      <c r="H879" s="99" t="n"/>
      <c r="I879" s="99" t="n"/>
      <c r="J879" s="100" t="n"/>
      <c r="K879" s="98" t="n"/>
      <c r="L879" s="99" t="n"/>
      <c r="M879" s="99" t="n"/>
      <c r="N879" s="100" t="n"/>
      <c r="O879" s="98" t="n"/>
      <c r="P879" s="99" t="n"/>
      <c r="Q879" s="99" t="n"/>
      <c r="R879" s="100" t="n"/>
      <c r="S879" s="98" t="n"/>
      <c r="T879" s="99" t="n"/>
      <c r="U879" s="99" t="n"/>
      <c r="V879" s="100" t="n"/>
      <c r="W879" s="98" t="n"/>
      <c r="X879" s="100" t="n"/>
      <c r="Y879" s="98" t="n"/>
      <c r="Z879" s="100" t="n"/>
      <c r="AB879" s="101">
        <f>IF($B879="","",(COUNTIF(C858:E875,$B879)+COUNTIF(C858:E875,$B879&amp;" ~*")&gt;0)+(COUNTIF(G858:I875,$B879)+COUNTIF(G858:I875,$B879&amp;" ~*")&gt;0)+(COUNTIF(K858:M875,$B879)+COUNTIF(K858:M875,$B879&amp;" ~*")&gt;0)+(COUNTIF(O858:Q875,$B879)+COUNTIF(O858:Q875,$B879&amp;" ~*")&gt;0)+(COUNTIF(S858:U875,$B879)+COUNTIF(S858:U875,$B879&amp;" ~*")&gt;0)+(COUNTIF(W858:W875,$B879)+COUNTIF(W858:W875,$B879&amp;" ~*")&gt;0)+(COUNTIF(Y858:Y875,$B879)+COUNTIF(Y858:Y875,$B879&amp;" ~*")&gt;0))</f>
        <v/>
      </c>
      <c r="AC879" s="36">
        <f>IF($B879="","",(IFERROR(INDEX(Setup!$G$33:$G$40,MATCH(C879,Setup!$B$33:$B$40,0)),0)=1)*(COUNTIF(C858:E875,$B879)+COUNTIF(C858:E875,$B879&amp;" ~*")&gt;0)+(IFERROR(INDEX(Setup!$G$33:$G$40,MATCH(G879,Setup!$B$33:$B$40,0)),0)=1)*(COUNTIF(G858:I875,$B879)+COUNTIF(G858:I875,$B879&amp;" ~*")&gt;0)+(IFERROR(INDEX(Setup!$G$33:$G$40,MATCH(K879,Setup!$B$33:$B$40,0)),0)=1)*(COUNTIF(K858:M875,$B879)+COUNTIF(K858:M875,$B879&amp;" ~*")&gt;0)+(IFERROR(INDEX(Setup!$G$33:$G$40,MATCH(O879,Setup!$B$33:$B$40,0)),0)=1)*(COUNTIF(O858:Q875,$B879)+COUNTIF(O858:Q875,$B879&amp;" ~*")&gt;0)+(IFERROR(INDEX(Setup!$G$33:$G$40,MATCH(S879,Setup!$B$33:$B$40,0)),0)=1)*(COUNTIF(S858:U875,$B879)+COUNTIF(S858:U875,$B879&amp;" ~*")&gt;0)+(IFERROR(INDEX(Setup!$G$33:$G$40,MATCH(W879,Setup!$B$33:$B$40,0)),0)=1)*(COUNTIF(W858:W875,$B879)+COUNTIF(W858:W875,$B879&amp;" ~*")&gt;0)+(IFERROR(INDEX(Setup!$G$33:$G$40,MATCH(Y879,Setup!$B$33:$B$40,0)),0)=1)*(COUNTIF(Y858:Y875,$B879)+COUNTIF(Y858:Y875,$B879&amp;" ~*")&gt;0))</f>
        <v/>
      </c>
    </row>
    <row r="880" ht="15" customHeight="1">
      <c r="A880" t="n">
        <v>18</v>
      </c>
      <c r="B880" s="37">
        <f>IF(Setup!$B$9="","",Setup!$B$9)</f>
        <v/>
      </c>
      <c r="C880" s="102" t="n"/>
      <c r="D880" s="103" t="n"/>
      <c r="E880" s="103" t="n"/>
      <c r="F880" s="104" t="n"/>
      <c r="G880" s="102" t="n"/>
      <c r="H880" s="103" t="n"/>
      <c r="I880" s="103" t="n"/>
      <c r="J880" s="104" t="n"/>
      <c r="K880" s="102" t="n"/>
      <c r="L880" s="103" t="n"/>
      <c r="M880" s="103" t="n"/>
      <c r="N880" s="104" t="n"/>
      <c r="O880" s="102" t="n"/>
      <c r="P880" s="103" t="n"/>
      <c r="Q880" s="103" t="n"/>
      <c r="R880" s="104" t="n"/>
      <c r="S880" s="102" t="n"/>
      <c r="T880" s="103" t="n"/>
      <c r="U880" s="103" t="n"/>
      <c r="V880" s="104" t="n"/>
      <c r="W880" s="102" t="n"/>
      <c r="X880" s="104" t="n"/>
      <c r="Y880" s="102" t="n"/>
      <c r="Z880" s="104" t="n"/>
      <c r="AB880" s="105">
        <f>IF($B880="","",(COUNTIF(C858:E875,$B880)+COUNTIF(C858:E875,$B880&amp;" ~*")&gt;0)+(COUNTIF(G858:I875,$B880)+COUNTIF(G858:I875,$B880&amp;" ~*")&gt;0)+(COUNTIF(K858:M875,$B880)+COUNTIF(K858:M875,$B880&amp;" ~*")&gt;0)+(COUNTIF(O858:Q875,$B880)+COUNTIF(O858:Q875,$B880&amp;" ~*")&gt;0)+(COUNTIF(S858:U875,$B880)+COUNTIF(S858:U875,$B880&amp;" ~*")&gt;0)+(COUNTIF(W858:W875,$B880)+COUNTIF(W858:W875,$B880&amp;" ~*")&gt;0)+(COUNTIF(Y858:Y875,$B880)+COUNTIF(Y858:Y875,$B880&amp;" ~*")&gt;0))</f>
        <v/>
      </c>
      <c r="AC880" s="38">
        <f>IF($B880="","",(IFERROR(INDEX(Setup!$G$33:$G$40,MATCH(C880,Setup!$B$33:$B$40,0)),0)=1)*(COUNTIF(C858:E875,$B880)+COUNTIF(C858:E875,$B880&amp;" ~*")&gt;0)+(IFERROR(INDEX(Setup!$G$33:$G$40,MATCH(G880,Setup!$B$33:$B$40,0)),0)=1)*(COUNTIF(G858:I875,$B880)+COUNTIF(G858:I875,$B880&amp;" ~*")&gt;0)+(IFERROR(INDEX(Setup!$G$33:$G$40,MATCH(K880,Setup!$B$33:$B$40,0)),0)=1)*(COUNTIF(K858:M875,$B880)+COUNTIF(K858:M875,$B880&amp;" ~*")&gt;0)+(IFERROR(INDEX(Setup!$G$33:$G$40,MATCH(O880,Setup!$B$33:$B$40,0)),0)=1)*(COUNTIF(O858:Q875,$B880)+COUNTIF(O858:Q875,$B880&amp;" ~*")&gt;0)+(IFERROR(INDEX(Setup!$G$33:$G$40,MATCH(S880,Setup!$B$33:$B$40,0)),0)=1)*(COUNTIF(S858:U875,$B880)+COUNTIF(S858:U875,$B880&amp;" ~*")&gt;0)+(IFERROR(INDEX(Setup!$G$33:$G$40,MATCH(W880,Setup!$B$33:$B$40,0)),0)=1)*(COUNTIF(W858:W875,$B880)+COUNTIF(W858:W875,$B880&amp;" ~*")&gt;0)+(IFERROR(INDEX(Setup!$G$33:$G$40,MATCH(Y880,Setup!$B$33:$B$40,0)),0)=1)*(COUNTIF(Y858:Y875,$B880)+COUNTIF(Y858:Y875,$B880&amp;" ~*")&gt;0))</f>
        <v/>
      </c>
    </row>
    <row r="881" ht="15" customHeight="1">
      <c r="A881" t="n">
        <v>18</v>
      </c>
      <c r="B881" s="35">
        <f>IF(Setup!$B$10="","",Setup!$B$10)</f>
        <v/>
      </c>
      <c r="C881" s="98" t="n"/>
      <c r="D881" s="99" t="n"/>
      <c r="E881" s="99" t="n"/>
      <c r="F881" s="100" t="n"/>
      <c r="G881" s="98" t="n"/>
      <c r="H881" s="99" t="n"/>
      <c r="I881" s="99" t="n"/>
      <c r="J881" s="100" t="n"/>
      <c r="K881" s="98" t="n"/>
      <c r="L881" s="99" t="n"/>
      <c r="M881" s="99" t="n"/>
      <c r="N881" s="100" t="n"/>
      <c r="O881" s="98" t="n"/>
      <c r="P881" s="99" t="n"/>
      <c r="Q881" s="99" t="n"/>
      <c r="R881" s="100" t="n"/>
      <c r="S881" s="98" t="n"/>
      <c r="T881" s="99" t="n"/>
      <c r="U881" s="99" t="n"/>
      <c r="V881" s="100" t="n"/>
      <c r="W881" s="98" t="n"/>
      <c r="X881" s="100" t="n"/>
      <c r="Y881" s="98" t="n"/>
      <c r="Z881" s="100" t="n"/>
      <c r="AB881" s="101">
        <f>IF($B881="","",(COUNTIF(C858:E875,$B881)+COUNTIF(C858:E875,$B881&amp;" ~*")&gt;0)+(COUNTIF(G858:I875,$B881)+COUNTIF(G858:I875,$B881&amp;" ~*")&gt;0)+(COUNTIF(K858:M875,$B881)+COUNTIF(K858:M875,$B881&amp;" ~*")&gt;0)+(COUNTIF(O858:Q875,$B881)+COUNTIF(O858:Q875,$B881&amp;" ~*")&gt;0)+(COUNTIF(S858:U875,$B881)+COUNTIF(S858:U875,$B881&amp;" ~*")&gt;0)+(COUNTIF(W858:W875,$B881)+COUNTIF(W858:W875,$B881&amp;" ~*")&gt;0)+(COUNTIF(Y858:Y875,$B881)+COUNTIF(Y858:Y875,$B881&amp;" ~*")&gt;0))</f>
        <v/>
      </c>
      <c r="AC881" s="36">
        <f>IF($B881="","",(IFERROR(INDEX(Setup!$G$33:$G$40,MATCH(C881,Setup!$B$33:$B$40,0)),0)=1)*(COUNTIF(C858:E875,$B881)+COUNTIF(C858:E875,$B881&amp;" ~*")&gt;0)+(IFERROR(INDEX(Setup!$G$33:$G$40,MATCH(G881,Setup!$B$33:$B$40,0)),0)=1)*(COUNTIF(G858:I875,$B881)+COUNTIF(G858:I875,$B881&amp;" ~*")&gt;0)+(IFERROR(INDEX(Setup!$G$33:$G$40,MATCH(K881,Setup!$B$33:$B$40,0)),0)=1)*(COUNTIF(K858:M875,$B881)+COUNTIF(K858:M875,$B881&amp;" ~*")&gt;0)+(IFERROR(INDEX(Setup!$G$33:$G$40,MATCH(O881,Setup!$B$33:$B$40,0)),0)=1)*(COUNTIF(O858:Q875,$B881)+COUNTIF(O858:Q875,$B881&amp;" ~*")&gt;0)+(IFERROR(INDEX(Setup!$G$33:$G$40,MATCH(S881,Setup!$B$33:$B$40,0)),0)=1)*(COUNTIF(S858:U875,$B881)+COUNTIF(S858:U875,$B881&amp;" ~*")&gt;0)+(IFERROR(INDEX(Setup!$G$33:$G$40,MATCH(W881,Setup!$B$33:$B$40,0)),0)=1)*(COUNTIF(W858:W875,$B881)+COUNTIF(W858:W875,$B881&amp;" ~*")&gt;0)+(IFERROR(INDEX(Setup!$G$33:$G$40,MATCH(Y881,Setup!$B$33:$B$40,0)),0)=1)*(COUNTIF(Y858:Y875,$B881)+COUNTIF(Y858:Y875,$B881&amp;" ~*")&gt;0))</f>
        <v/>
      </c>
    </row>
    <row r="882" ht="15" customHeight="1">
      <c r="A882" t="n">
        <v>18</v>
      </c>
      <c r="B882" s="37">
        <f>IF(Setup!$B$11="","",Setup!$B$11)</f>
        <v/>
      </c>
      <c r="C882" s="102" t="n"/>
      <c r="D882" s="103" t="n"/>
      <c r="E882" s="103" t="n"/>
      <c r="F882" s="104" t="n"/>
      <c r="G882" s="102" t="n"/>
      <c r="H882" s="103" t="n"/>
      <c r="I882" s="103" t="n"/>
      <c r="J882" s="104" t="n"/>
      <c r="K882" s="102" t="n"/>
      <c r="L882" s="103" t="n"/>
      <c r="M882" s="103" t="n"/>
      <c r="N882" s="104" t="n"/>
      <c r="O882" s="102" t="n"/>
      <c r="P882" s="103" t="n"/>
      <c r="Q882" s="103" t="n"/>
      <c r="R882" s="104" t="n"/>
      <c r="S882" s="102" t="n"/>
      <c r="T882" s="103" t="n"/>
      <c r="U882" s="103" t="n"/>
      <c r="V882" s="104" t="n"/>
      <c r="W882" s="102" t="n"/>
      <c r="X882" s="104" t="n"/>
      <c r="Y882" s="102" t="n"/>
      <c r="Z882" s="104" t="n"/>
      <c r="AB882" s="105">
        <f>IF($B882="","",(COUNTIF(C858:E875,$B882)+COUNTIF(C858:E875,$B882&amp;" ~*")&gt;0)+(COUNTIF(G858:I875,$B882)+COUNTIF(G858:I875,$B882&amp;" ~*")&gt;0)+(COUNTIF(K858:M875,$B882)+COUNTIF(K858:M875,$B882&amp;" ~*")&gt;0)+(COUNTIF(O858:Q875,$B882)+COUNTIF(O858:Q875,$B882&amp;" ~*")&gt;0)+(COUNTIF(S858:U875,$B882)+COUNTIF(S858:U875,$B882&amp;" ~*")&gt;0)+(COUNTIF(W858:W875,$B882)+COUNTIF(W858:W875,$B882&amp;" ~*")&gt;0)+(COUNTIF(Y858:Y875,$B882)+COUNTIF(Y858:Y875,$B882&amp;" ~*")&gt;0))</f>
        <v/>
      </c>
      <c r="AC882" s="38">
        <f>IF($B882="","",(IFERROR(INDEX(Setup!$G$33:$G$40,MATCH(C882,Setup!$B$33:$B$40,0)),0)=1)*(COUNTIF(C858:E875,$B882)+COUNTIF(C858:E875,$B882&amp;" ~*")&gt;0)+(IFERROR(INDEX(Setup!$G$33:$G$40,MATCH(G882,Setup!$B$33:$B$40,0)),0)=1)*(COUNTIF(G858:I875,$B882)+COUNTIF(G858:I875,$B882&amp;" ~*")&gt;0)+(IFERROR(INDEX(Setup!$G$33:$G$40,MATCH(K882,Setup!$B$33:$B$40,0)),0)=1)*(COUNTIF(K858:M875,$B882)+COUNTIF(K858:M875,$B882&amp;" ~*")&gt;0)+(IFERROR(INDEX(Setup!$G$33:$G$40,MATCH(O882,Setup!$B$33:$B$40,0)),0)=1)*(COUNTIF(O858:Q875,$B882)+COUNTIF(O858:Q875,$B882&amp;" ~*")&gt;0)+(IFERROR(INDEX(Setup!$G$33:$G$40,MATCH(S882,Setup!$B$33:$B$40,0)),0)=1)*(COUNTIF(S858:U875,$B882)+COUNTIF(S858:U875,$B882&amp;" ~*")&gt;0)+(IFERROR(INDEX(Setup!$G$33:$G$40,MATCH(W882,Setup!$B$33:$B$40,0)),0)=1)*(COUNTIF(W858:W875,$B882)+COUNTIF(W858:W875,$B882&amp;" ~*")&gt;0)+(IFERROR(INDEX(Setup!$G$33:$G$40,MATCH(Y882,Setup!$B$33:$B$40,0)),0)=1)*(COUNTIF(Y858:Y875,$B882)+COUNTIF(Y858:Y875,$B882&amp;" ~*")&gt;0))</f>
        <v/>
      </c>
    </row>
    <row r="883" ht="15" customHeight="1">
      <c r="A883" t="n">
        <v>18</v>
      </c>
      <c r="B883" s="35">
        <f>IF(Setup!$B$12="","",Setup!$B$12)</f>
        <v/>
      </c>
      <c r="C883" s="98" t="n"/>
      <c r="D883" s="99" t="n"/>
      <c r="E883" s="99" t="n"/>
      <c r="F883" s="100" t="n"/>
      <c r="G883" s="98" t="n"/>
      <c r="H883" s="99" t="n"/>
      <c r="I883" s="99" t="n"/>
      <c r="J883" s="100" t="n"/>
      <c r="K883" s="98" t="n"/>
      <c r="L883" s="99" t="n"/>
      <c r="M883" s="99" t="n"/>
      <c r="N883" s="100" t="n"/>
      <c r="O883" s="98" t="n"/>
      <c r="P883" s="99" t="n"/>
      <c r="Q883" s="99" t="n"/>
      <c r="R883" s="100" t="n"/>
      <c r="S883" s="98" t="n"/>
      <c r="T883" s="99" t="n"/>
      <c r="U883" s="99" t="n"/>
      <c r="V883" s="100" t="n"/>
      <c r="W883" s="98" t="n"/>
      <c r="X883" s="100" t="n"/>
      <c r="Y883" s="98" t="n"/>
      <c r="Z883" s="100" t="n"/>
      <c r="AB883" s="101">
        <f>IF($B883="","",(COUNTIF(C858:E875,$B883)+COUNTIF(C858:E875,$B883&amp;" ~*")&gt;0)+(COUNTIF(G858:I875,$B883)+COUNTIF(G858:I875,$B883&amp;" ~*")&gt;0)+(COUNTIF(K858:M875,$B883)+COUNTIF(K858:M875,$B883&amp;" ~*")&gt;0)+(COUNTIF(O858:Q875,$B883)+COUNTIF(O858:Q875,$B883&amp;" ~*")&gt;0)+(COUNTIF(S858:U875,$B883)+COUNTIF(S858:U875,$B883&amp;" ~*")&gt;0)+(COUNTIF(W858:W875,$B883)+COUNTIF(W858:W875,$B883&amp;" ~*")&gt;0)+(COUNTIF(Y858:Y875,$B883)+COUNTIF(Y858:Y875,$B883&amp;" ~*")&gt;0))</f>
        <v/>
      </c>
      <c r="AC883" s="36">
        <f>IF($B883="","",(IFERROR(INDEX(Setup!$G$33:$G$40,MATCH(C883,Setup!$B$33:$B$40,0)),0)=1)*(COUNTIF(C858:E875,$B883)+COUNTIF(C858:E875,$B883&amp;" ~*")&gt;0)+(IFERROR(INDEX(Setup!$G$33:$G$40,MATCH(G883,Setup!$B$33:$B$40,0)),0)=1)*(COUNTIF(G858:I875,$B883)+COUNTIF(G858:I875,$B883&amp;" ~*")&gt;0)+(IFERROR(INDEX(Setup!$G$33:$G$40,MATCH(K883,Setup!$B$33:$B$40,0)),0)=1)*(COUNTIF(K858:M875,$B883)+COUNTIF(K858:M875,$B883&amp;" ~*")&gt;0)+(IFERROR(INDEX(Setup!$G$33:$G$40,MATCH(O883,Setup!$B$33:$B$40,0)),0)=1)*(COUNTIF(O858:Q875,$B883)+COUNTIF(O858:Q875,$B883&amp;" ~*")&gt;0)+(IFERROR(INDEX(Setup!$G$33:$G$40,MATCH(S883,Setup!$B$33:$B$40,0)),0)=1)*(COUNTIF(S858:U875,$B883)+COUNTIF(S858:U875,$B883&amp;" ~*")&gt;0)+(IFERROR(INDEX(Setup!$G$33:$G$40,MATCH(W883,Setup!$B$33:$B$40,0)),0)=1)*(COUNTIF(W858:W875,$B883)+COUNTIF(W858:W875,$B883&amp;" ~*")&gt;0)+(IFERROR(INDEX(Setup!$G$33:$G$40,MATCH(Y883,Setup!$B$33:$B$40,0)),0)=1)*(COUNTIF(Y858:Y875,$B883)+COUNTIF(Y858:Y875,$B883&amp;" ~*")&gt;0))</f>
        <v/>
      </c>
    </row>
    <row r="884" ht="15" customHeight="1">
      <c r="A884" t="n">
        <v>18</v>
      </c>
      <c r="B884" s="37">
        <f>IF(Setup!$B$13="","",Setup!$B$13)</f>
        <v/>
      </c>
      <c r="C884" s="102" t="n"/>
      <c r="D884" s="103" t="n"/>
      <c r="E884" s="103" t="n"/>
      <c r="F884" s="104" t="n"/>
      <c r="G884" s="102" t="n"/>
      <c r="H884" s="103" t="n"/>
      <c r="I884" s="103" t="n"/>
      <c r="J884" s="104" t="n"/>
      <c r="K884" s="102" t="n"/>
      <c r="L884" s="103" t="n"/>
      <c r="M884" s="103" t="n"/>
      <c r="N884" s="104" t="n"/>
      <c r="O884" s="102" t="n"/>
      <c r="P884" s="103" t="n"/>
      <c r="Q884" s="103" t="n"/>
      <c r="R884" s="104" t="n"/>
      <c r="S884" s="102" t="n"/>
      <c r="T884" s="103" t="n"/>
      <c r="U884" s="103" t="n"/>
      <c r="V884" s="104" t="n"/>
      <c r="W884" s="102" t="n"/>
      <c r="X884" s="104" t="n"/>
      <c r="Y884" s="102" t="n"/>
      <c r="Z884" s="104" t="n"/>
      <c r="AB884" s="105">
        <f>IF($B884="","",(COUNTIF(C858:E875,$B884)+COUNTIF(C858:E875,$B884&amp;" ~*")&gt;0)+(COUNTIF(G858:I875,$B884)+COUNTIF(G858:I875,$B884&amp;" ~*")&gt;0)+(COUNTIF(K858:M875,$B884)+COUNTIF(K858:M875,$B884&amp;" ~*")&gt;0)+(COUNTIF(O858:Q875,$B884)+COUNTIF(O858:Q875,$B884&amp;" ~*")&gt;0)+(COUNTIF(S858:U875,$B884)+COUNTIF(S858:U875,$B884&amp;" ~*")&gt;0)+(COUNTIF(W858:W875,$B884)+COUNTIF(W858:W875,$B884&amp;" ~*")&gt;0)+(COUNTIF(Y858:Y875,$B884)+COUNTIF(Y858:Y875,$B884&amp;" ~*")&gt;0))</f>
        <v/>
      </c>
      <c r="AC884" s="38">
        <f>IF($B884="","",(IFERROR(INDEX(Setup!$G$33:$G$40,MATCH(C884,Setup!$B$33:$B$40,0)),0)=1)*(COUNTIF(C858:E875,$B884)+COUNTIF(C858:E875,$B884&amp;" ~*")&gt;0)+(IFERROR(INDEX(Setup!$G$33:$G$40,MATCH(G884,Setup!$B$33:$B$40,0)),0)=1)*(COUNTIF(G858:I875,$B884)+COUNTIF(G858:I875,$B884&amp;" ~*")&gt;0)+(IFERROR(INDEX(Setup!$G$33:$G$40,MATCH(K884,Setup!$B$33:$B$40,0)),0)=1)*(COUNTIF(K858:M875,$B884)+COUNTIF(K858:M875,$B884&amp;" ~*")&gt;0)+(IFERROR(INDEX(Setup!$G$33:$G$40,MATCH(O884,Setup!$B$33:$B$40,0)),0)=1)*(COUNTIF(O858:Q875,$B884)+COUNTIF(O858:Q875,$B884&amp;" ~*")&gt;0)+(IFERROR(INDEX(Setup!$G$33:$G$40,MATCH(S884,Setup!$B$33:$B$40,0)),0)=1)*(COUNTIF(S858:U875,$B884)+COUNTIF(S858:U875,$B884&amp;" ~*")&gt;0)+(IFERROR(INDEX(Setup!$G$33:$G$40,MATCH(W884,Setup!$B$33:$B$40,0)),0)=1)*(COUNTIF(W858:W875,$B884)+COUNTIF(W858:W875,$B884&amp;" ~*")&gt;0)+(IFERROR(INDEX(Setup!$G$33:$G$40,MATCH(Y884,Setup!$B$33:$B$40,0)),0)=1)*(COUNTIF(Y858:Y875,$B884)+COUNTIF(Y858:Y875,$B884&amp;" ~*")&gt;0))</f>
        <v/>
      </c>
    </row>
    <row r="885" ht="15" customHeight="1">
      <c r="A885" t="n">
        <v>18</v>
      </c>
      <c r="B885" s="35">
        <f>IF(Setup!$B$14="","",Setup!$B$14)</f>
        <v/>
      </c>
      <c r="C885" s="98" t="n"/>
      <c r="D885" s="99" t="n"/>
      <c r="E885" s="99" t="n"/>
      <c r="F885" s="100" t="n"/>
      <c r="G885" s="98" t="n"/>
      <c r="H885" s="99" t="n"/>
      <c r="I885" s="99" t="n"/>
      <c r="J885" s="100" t="n"/>
      <c r="K885" s="98" t="n"/>
      <c r="L885" s="99" t="n"/>
      <c r="M885" s="99" t="n"/>
      <c r="N885" s="100" t="n"/>
      <c r="O885" s="98" t="n"/>
      <c r="P885" s="99" t="n"/>
      <c r="Q885" s="99" t="n"/>
      <c r="R885" s="100" t="n"/>
      <c r="S885" s="98" t="n"/>
      <c r="T885" s="99" t="n"/>
      <c r="U885" s="99" t="n"/>
      <c r="V885" s="100" t="n"/>
      <c r="W885" s="98" t="n"/>
      <c r="X885" s="100" t="n"/>
      <c r="Y885" s="98" t="n"/>
      <c r="Z885" s="100" t="n"/>
      <c r="AB885" s="101">
        <f>IF($B885="","",(COUNTIF(C858:E875,$B885)+COUNTIF(C858:E875,$B885&amp;" ~*")&gt;0)+(COUNTIF(G858:I875,$B885)+COUNTIF(G858:I875,$B885&amp;" ~*")&gt;0)+(COUNTIF(K858:M875,$B885)+COUNTIF(K858:M875,$B885&amp;" ~*")&gt;0)+(COUNTIF(O858:Q875,$B885)+COUNTIF(O858:Q875,$B885&amp;" ~*")&gt;0)+(COUNTIF(S858:U875,$B885)+COUNTIF(S858:U875,$B885&amp;" ~*")&gt;0)+(COUNTIF(W858:W875,$B885)+COUNTIF(W858:W875,$B885&amp;" ~*")&gt;0)+(COUNTIF(Y858:Y875,$B885)+COUNTIF(Y858:Y875,$B885&amp;" ~*")&gt;0))</f>
        <v/>
      </c>
      <c r="AC885" s="36">
        <f>IF($B885="","",(IFERROR(INDEX(Setup!$G$33:$G$40,MATCH(C885,Setup!$B$33:$B$40,0)),0)=1)*(COUNTIF(C858:E875,$B885)+COUNTIF(C858:E875,$B885&amp;" ~*")&gt;0)+(IFERROR(INDEX(Setup!$G$33:$G$40,MATCH(G885,Setup!$B$33:$B$40,0)),0)=1)*(COUNTIF(G858:I875,$B885)+COUNTIF(G858:I875,$B885&amp;" ~*")&gt;0)+(IFERROR(INDEX(Setup!$G$33:$G$40,MATCH(K885,Setup!$B$33:$B$40,0)),0)=1)*(COUNTIF(K858:M875,$B885)+COUNTIF(K858:M875,$B885&amp;" ~*")&gt;0)+(IFERROR(INDEX(Setup!$G$33:$G$40,MATCH(O885,Setup!$B$33:$B$40,0)),0)=1)*(COUNTIF(O858:Q875,$B885)+COUNTIF(O858:Q875,$B885&amp;" ~*")&gt;0)+(IFERROR(INDEX(Setup!$G$33:$G$40,MATCH(S885,Setup!$B$33:$B$40,0)),0)=1)*(COUNTIF(S858:U875,$B885)+COUNTIF(S858:U875,$B885&amp;" ~*")&gt;0)+(IFERROR(INDEX(Setup!$G$33:$G$40,MATCH(W885,Setup!$B$33:$B$40,0)),0)=1)*(COUNTIF(W858:W875,$B885)+COUNTIF(W858:W875,$B885&amp;" ~*")&gt;0)+(IFERROR(INDEX(Setup!$G$33:$G$40,MATCH(Y885,Setup!$B$33:$B$40,0)),0)=1)*(COUNTIF(Y858:Y875,$B885)+COUNTIF(Y858:Y875,$B885&amp;" ~*")&gt;0))</f>
        <v/>
      </c>
    </row>
    <row r="886" ht="15" customHeight="1">
      <c r="A886" t="n">
        <v>18</v>
      </c>
      <c r="B886" s="37">
        <f>IF(Setup!$B$15="","",Setup!$B$15)</f>
        <v/>
      </c>
      <c r="C886" s="102" t="n"/>
      <c r="D886" s="103" t="n"/>
      <c r="E886" s="103" t="n"/>
      <c r="F886" s="104" t="n"/>
      <c r="G886" s="102" t="n"/>
      <c r="H886" s="103" t="n"/>
      <c r="I886" s="103" t="n"/>
      <c r="J886" s="104" t="n"/>
      <c r="K886" s="102" t="n"/>
      <c r="L886" s="103" t="n"/>
      <c r="M886" s="103" t="n"/>
      <c r="N886" s="104" t="n"/>
      <c r="O886" s="102" t="n"/>
      <c r="P886" s="103" t="n"/>
      <c r="Q886" s="103" t="n"/>
      <c r="R886" s="104" t="n"/>
      <c r="S886" s="102" t="n"/>
      <c r="T886" s="103" t="n"/>
      <c r="U886" s="103" t="n"/>
      <c r="V886" s="104" t="n"/>
      <c r="W886" s="102" t="n"/>
      <c r="X886" s="104" t="n"/>
      <c r="Y886" s="102" t="n"/>
      <c r="Z886" s="104" t="n"/>
      <c r="AB886" s="105">
        <f>IF($B886="","",(COUNTIF(C858:E875,$B886)+COUNTIF(C858:E875,$B886&amp;" ~*")&gt;0)+(COUNTIF(G858:I875,$B886)+COUNTIF(G858:I875,$B886&amp;" ~*")&gt;0)+(COUNTIF(K858:M875,$B886)+COUNTIF(K858:M875,$B886&amp;" ~*")&gt;0)+(COUNTIF(O858:Q875,$B886)+COUNTIF(O858:Q875,$B886&amp;" ~*")&gt;0)+(COUNTIF(S858:U875,$B886)+COUNTIF(S858:U875,$B886&amp;" ~*")&gt;0)+(COUNTIF(W858:W875,$B886)+COUNTIF(W858:W875,$B886&amp;" ~*")&gt;0)+(COUNTIF(Y858:Y875,$B886)+COUNTIF(Y858:Y875,$B886&amp;" ~*")&gt;0))</f>
        <v/>
      </c>
      <c r="AC886" s="38">
        <f>IF($B886="","",(IFERROR(INDEX(Setup!$G$33:$G$40,MATCH(C886,Setup!$B$33:$B$40,0)),0)=1)*(COUNTIF(C858:E875,$B886)+COUNTIF(C858:E875,$B886&amp;" ~*")&gt;0)+(IFERROR(INDEX(Setup!$G$33:$G$40,MATCH(G886,Setup!$B$33:$B$40,0)),0)=1)*(COUNTIF(G858:I875,$B886)+COUNTIF(G858:I875,$B886&amp;" ~*")&gt;0)+(IFERROR(INDEX(Setup!$G$33:$G$40,MATCH(K886,Setup!$B$33:$B$40,0)),0)=1)*(COUNTIF(K858:M875,$B886)+COUNTIF(K858:M875,$B886&amp;" ~*")&gt;0)+(IFERROR(INDEX(Setup!$G$33:$G$40,MATCH(O886,Setup!$B$33:$B$40,0)),0)=1)*(COUNTIF(O858:Q875,$B886)+COUNTIF(O858:Q875,$B886&amp;" ~*")&gt;0)+(IFERROR(INDEX(Setup!$G$33:$G$40,MATCH(S886,Setup!$B$33:$B$40,0)),0)=1)*(COUNTIF(S858:U875,$B886)+COUNTIF(S858:U875,$B886&amp;" ~*")&gt;0)+(IFERROR(INDEX(Setup!$G$33:$G$40,MATCH(W886,Setup!$B$33:$B$40,0)),0)=1)*(COUNTIF(W858:W875,$B886)+COUNTIF(W858:W875,$B886&amp;" ~*")&gt;0)+(IFERROR(INDEX(Setup!$G$33:$G$40,MATCH(Y886,Setup!$B$33:$B$40,0)),0)=1)*(COUNTIF(Y858:Y875,$B886)+COUNTIF(Y858:Y875,$B886&amp;" ~*")&gt;0))</f>
        <v/>
      </c>
    </row>
    <row r="887" ht="15" customHeight="1">
      <c r="A887" t="n">
        <v>18</v>
      </c>
      <c r="B887" s="35">
        <f>IF(Setup!$B$16="","",Setup!$B$16)</f>
        <v/>
      </c>
      <c r="C887" s="98" t="n"/>
      <c r="D887" s="99" t="n"/>
      <c r="E887" s="99" t="n"/>
      <c r="F887" s="100" t="n"/>
      <c r="G887" s="98" t="n"/>
      <c r="H887" s="99" t="n"/>
      <c r="I887" s="99" t="n"/>
      <c r="J887" s="100" t="n"/>
      <c r="K887" s="98" t="n"/>
      <c r="L887" s="99" t="n"/>
      <c r="M887" s="99" t="n"/>
      <c r="N887" s="100" t="n"/>
      <c r="O887" s="98" t="n"/>
      <c r="P887" s="99" t="n"/>
      <c r="Q887" s="99" t="n"/>
      <c r="R887" s="100" t="n"/>
      <c r="S887" s="98" t="n"/>
      <c r="T887" s="99" t="n"/>
      <c r="U887" s="99" t="n"/>
      <c r="V887" s="100" t="n"/>
      <c r="W887" s="98" t="n"/>
      <c r="X887" s="100" t="n"/>
      <c r="Y887" s="98" t="n"/>
      <c r="Z887" s="100" t="n"/>
      <c r="AB887" s="101">
        <f>IF($B887="","",(COUNTIF(C858:E875,$B887)+COUNTIF(C858:E875,$B887&amp;" ~*")&gt;0)+(COUNTIF(G858:I875,$B887)+COUNTIF(G858:I875,$B887&amp;" ~*")&gt;0)+(COUNTIF(K858:M875,$B887)+COUNTIF(K858:M875,$B887&amp;" ~*")&gt;0)+(COUNTIF(O858:Q875,$B887)+COUNTIF(O858:Q875,$B887&amp;" ~*")&gt;0)+(COUNTIF(S858:U875,$B887)+COUNTIF(S858:U875,$B887&amp;" ~*")&gt;0)+(COUNTIF(W858:W875,$B887)+COUNTIF(W858:W875,$B887&amp;" ~*")&gt;0)+(COUNTIF(Y858:Y875,$B887)+COUNTIF(Y858:Y875,$B887&amp;" ~*")&gt;0))</f>
        <v/>
      </c>
      <c r="AC887" s="36">
        <f>IF($B887="","",(IFERROR(INDEX(Setup!$G$33:$G$40,MATCH(C887,Setup!$B$33:$B$40,0)),0)=1)*(COUNTIF(C858:E875,$B887)+COUNTIF(C858:E875,$B887&amp;" ~*")&gt;0)+(IFERROR(INDEX(Setup!$G$33:$G$40,MATCH(G887,Setup!$B$33:$B$40,0)),0)=1)*(COUNTIF(G858:I875,$B887)+COUNTIF(G858:I875,$B887&amp;" ~*")&gt;0)+(IFERROR(INDEX(Setup!$G$33:$G$40,MATCH(K887,Setup!$B$33:$B$40,0)),0)=1)*(COUNTIF(K858:M875,$B887)+COUNTIF(K858:M875,$B887&amp;" ~*")&gt;0)+(IFERROR(INDEX(Setup!$G$33:$G$40,MATCH(O887,Setup!$B$33:$B$40,0)),0)=1)*(COUNTIF(O858:Q875,$B887)+COUNTIF(O858:Q875,$B887&amp;" ~*")&gt;0)+(IFERROR(INDEX(Setup!$G$33:$G$40,MATCH(S887,Setup!$B$33:$B$40,0)),0)=1)*(COUNTIF(S858:U875,$B887)+COUNTIF(S858:U875,$B887&amp;" ~*")&gt;0)+(IFERROR(INDEX(Setup!$G$33:$G$40,MATCH(W887,Setup!$B$33:$B$40,0)),0)=1)*(COUNTIF(W858:W875,$B887)+COUNTIF(W858:W875,$B887&amp;" ~*")&gt;0)+(IFERROR(INDEX(Setup!$G$33:$G$40,MATCH(Y887,Setup!$B$33:$B$40,0)),0)=1)*(COUNTIF(Y858:Y875,$B887)+COUNTIF(Y858:Y875,$B887&amp;" ~*")&gt;0))</f>
        <v/>
      </c>
    </row>
    <row r="888" ht="15" customHeight="1">
      <c r="A888" t="n">
        <v>18</v>
      </c>
      <c r="B888" s="37">
        <f>IF(Setup!$B$17="","",Setup!$B$17)</f>
        <v/>
      </c>
      <c r="C888" s="102" t="n"/>
      <c r="D888" s="103" t="n"/>
      <c r="E888" s="103" t="n"/>
      <c r="F888" s="104" t="n"/>
      <c r="G888" s="102" t="n"/>
      <c r="H888" s="103" t="n"/>
      <c r="I888" s="103" t="n"/>
      <c r="J888" s="104" t="n"/>
      <c r="K888" s="102" t="n"/>
      <c r="L888" s="103" t="n"/>
      <c r="M888" s="103" t="n"/>
      <c r="N888" s="104" t="n"/>
      <c r="O888" s="102" t="n"/>
      <c r="P888" s="103" t="n"/>
      <c r="Q888" s="103" t="n"/>
      <c r="R888" s="104" t="n"/>
      <c r="S888" s="102" t="n"/>
      <c r="T888" s="103" t="n"/>
      <c r="U888" s="103" t="n"/>
      <c r="V888" s="104" t="n"/>
      <c r="W888" s="102" t="n"/>
      <c r="X888" s="104" t="n"/>
      <c r="Y888" s="102" t="n"/>
      <c r="Z888" s="104" t="n"/>
      <c r="AB888" s="105">
        <f>IF($B888="","",(COUNTIF(C858:E875,$B888)+COUNTIF(C858:E875,$B888&amp;" ~*")&gt;0)+(COUNTIF(G858:I875,$B888)+COUNTIF(G858:I875,$B888&amp;" ~*")&gt;0)+(COUNTIF(K858:M875,$B888)+COUNTIF(K858:M875,$B888&amp;" ~*")&gt;0)+(COUNTIF(O858:Q875,$B888)+COUNTIF(O858:Q875,$B888&amp;" ~*")&gt;0)+(COUNTIF(S858:U875,$B888)+COUNTIF(S858:U875,$B888&amp;" ~*")&gt;0)+(COUNTIF(W858:W875,$B888)+COUNTIF(W858:W875,$B888&amp;" ~*")&gt;0)+(COUNTIF(Y858:Y875,$B888)+COUNTIF(Y858:Y875,$B888&amp;" ~*")&gt;0))</f>
        <v/>
      </c>
      <c r="AC888" s="38">
        <f>IF($B888="","",(IFERROR(INDEX(Setup!$G$33:$G$40,MATCH(C888,Setup!$B$33:$B$40,0)),0)=1)*(COUNTIF(C858:E875,$B888)+COUNTIF(C858:E875,$B888&amp;" ~*")&gt;0)+(IFERROR(INDEX(Setup!$G$33:$G$40,MATCH(G888,Setup!$B$33:$B$40,0)),0)=1)*(COUNTIF(G858:I875,$B888)+COUNTIF(G858:I875,$B888&amp;" ~*")&gt;0)+(IFERROR(INDEX(Setup!$G$33:$G$40,MATCH(K888,Setup!$B$33:$B$40,0)),0)=1)*(COUNTIF(K858:M875,$B888)+COUNTIF(K858:M875,$B888&amp;" ~*")&gt;0)+(IFERROR(INDEX(Setup!$G$33:$G$40,MATCH(O888,Setup!$B$33:$B$40,0)),0)=1)*(COUNTIF(O858:Q875,$B888)+COUNTIF(O858:Q875,$B888&amp;" ~*")&gt;0)+(IFERROR(INDEX(Setup!$G$33:$G$40,MATCH(S888,Setup!$B$33:$B$40,0)),0)=1)*(COUNTIF(S858:U875,$B888)+COUNTIF(S858:U875,$B888&amp;" ~*")&gt;0)+(IFERROR(INDEX(Setup!$G$33:$G$40,MATCH(W888,Setup!$B$33:$B$40,0)),0)=1)*(COUNTIF(W858:W875,$B888)+COUNTIF(W858:W875,$B888&amp;" ~*")&gt;0)+(IFERROR(INDEX(Setup!$G$33:$G$40,MATCH(Y888,Setup!$B$33:$B$40,0)),0)=1)*(COUNTIF(Y858:Y875,$B888)+COUNTIF(Y858:Y875,$B888&amp;" ~*")&gt;0))</f>
        <v/>
      </c>
    </row>
    <row r="889" ht="15" customHeight="1">
      <c r="A889" t="n">
        <v>18</v>
      </c>
      <c r="B889" s="35">
        <f>IF(Setup!$B$18="","",Setup!$B$18)</f>
        <v/>
      </c>
      <c r="C889" s="98" t="n"/>
      <c r="D889" s="99" t="n"/>
      <c r="E889" s="99" t="n"/>
      <c r="F889" s="100" t="n"/>
      <c r="G889" s="98" t="n"/>
      <c r="H889" s="99" t="n"/>
      <c r="I889" s="99" t="n"/>
      <c r="J889" s="100" t="n"/>
      <c r="K889" s="98" t="n"/>
      <c r="L889" s="99" t="n"/>
      <c r="M889" s="99" t="n"/>
      <c r="N889" s="100" t="n"/>
      <c r="O889" s="98" t="n"/>
      <c r="P889" s="99" t="n"/>
      <c r="Q889" s="99" t="n"/>
      <c r="R889" s="100" t="n"/>
      <c r="S889" s="98" t="n"/>
      <c r="T889" s="99" t="n"/>
      <c r="U889" s="99" t="n"/>
      <c r="V889" s="100" t="n"/>
      <c r="W889" s="98" t="n"/>
      <c r="X889" s="100" t="n"/>
      <c r="Y889" s="98" t="n"/>
      <c r="Z889" s="100" t="n"/>
      <c r="AB889" s="101">
        <f>IF($B889="","",(COUNTIF(C858:E875,$B889)+COUNTIF(C858:E875,$B889&amp;" ~*")&gt;0)+(COUNTIF(G858:I875,$B889)+COUNTIF(G858:I875,$B889&amp;" ~*")&gt;0)+(COUNTIF(K858:M875,$B889)+COUNTIF(K858:M875,$B889&amp;" ~*")&gt;0)+(COUNTIF(O858:Q875,$B889)+COUNTIF(O858:Q875,$B889&amp;" ~*")&gt;0)+(COUNTIF(S858:U875,$B889)+COUNTIF(S858:U875,$B889&amp;" ~*")&gt;0)+(COUNTIF(W858:W875,$B889)+COUNTIF(W858:W875,$B889&amp;" ~*")&gt;0)+(COUNTIF(Y858:Y875,$B889)+COUNTIF(Y858:Y875,$B889&amp;" ~*")&gt;0))</f>
        <v/>
      </c>
      <c r="AC889" s="36">
        <f>IF($B889="","",(IFERROR(INDEX(Setup!$G$33:$G$40,MATCH(C889,Setup!$B$33:$B$40,0)),0)=1)*(COUNTIF(C858:E875,$B889)+COUNTIF(C858:E875,$B889&amp;" ~*")&gt;0)+(IFERROR(INDEX(Setup!$G$33:$G$40,MATCH(G889,Setup!$B$33:$B$40,0)),0)=1)*(COUNTIF(G858:I875,$B889)+COUNTIF(G858:I875,$B889&amp;" ~*")&gt;0)+(IFERROR(INDEX(Setup!$G$33:$G$40,MATCH(K889,Setup!$B$33:$B$40,0)),0)=1)*(COUNTIF(K858:M875,$B889)+COUNTIF(K858:M875,$B889&amp;" ~*")&gt;0)+(IFERROR(INDEX(Setup!$G$33:$G$40,MATCH(O889,Setup!$B$33:$B$40,0)),0)=1)*(COUNTIF(O858:Q875,$B889)+COUNTIF(O858:Q875,$B889&amp;" ~*")&gt;0)+(IFERROR(INDEX(Setup!$G$33:$G$40,MATCH(S889,Setup!$B$33:$B$40,0)),0)=1)*(COUNTIF(S858:U875,$B889)+COUNTIF(S858:U875,$B889&amp;" ~*")&gt;0)+(IFERROR(INDEX(Setup!$G$33:$G$40,MATCH(W889,Setup!$B$33:$B$40,0)),0)=1)*(COUNTIF(W858:W875,$B889)+COUNTIF(W858:W875,$B889&amp;" ~*")&gt;0)+(IFERROR(INDEX(Setup!$G$33:$G$40,MATCH(Y889,Setup!$B$33:$B$40,0)),0)=1)*(COUNTIF(Y858:Y875,$B889)+COUNTIF(Y858:Y875,$B889&amp;" ~*")&gt;0))</f>
        <v/>
      </c>
    </row>
    <row r="890" ht="15" customHeight="1">
      <c r="A890" t="n">
        <v>18</v>
      </c>
      <c r="B890" s="37">
        <f>IF(Setup!$B$19="","",Setup!$B$19)</f>
        <v/>
      </c>
      <c r="C890" s="102" t="n"/>
      <c r="D890" s="103" t="n"/>
      <c r="E890" s="103" t="n"/>
      <c r="F890" s="104" t="n"/>
      <c r="G890" s="102" t="n"/>
      <c r="H890" s="103" t="n"/>
      <c r="I890" s="103" t="n"/>
      <c r="J890" s="104" t="n"/>
      <c r="K890" s="102" t="n"/>
      <c r="L890" s="103" t="n"/>
      <c r="M890" s="103" t="n"/>
      <c r="N890" s="104" t="n"/>
      <c r="O890" s="102" t="n"/>
      <c r="P890" s="103" t="n"/>
      <c r="Q890" s="103" t="n"/>
      <c r="R890" s="104" t="n"/>
      <c r="S890" s="102" t="n"/>
      <c r="T890" s="103" t="n"/>
      <c r="U890" s="103" t="n"/>
      <c r="V890" s="104" t="n"/>
      <c r="W890" s="102" t="n"/>
      <c r="X890" s="104" t="n"/>
      <c r="Y890" s="102" t="n"/>
      <c r="Z890" s="104" t="n"/>
      <c r="AB890" s="105">
        <f>IF($B890="","",(COUNTIF(C858:E875,$B890)+COUNTIF(C858:E875,$B890&amp;" ~*")&gt;0)+(COUNTIF(G858:I875,$B890)+COUNTIF(G858:I875,$B890&amp;" ~*")&gt;0)+(COUNTIF(K858:M875,$B890)+COUNTIF(K858:M875,$B890&amp;" ~*")&gt;0)+(COUNTIF(O858:Q875,$B890)+COUNTIF(O858:Q875,$B890&amp;" ~*")&gt;0)+(COUNTIF(S858:U875,$B890)+COUNTIF(S858:U875,$B890&amp;" ~*")&gt;0)+(COUNTIF(W858:W875,$B890)+COUNTIF(W858:W875,$B890&amp;" ~*")&gt;0)+(COUNTIF(Y858:Y875,$B890)+COUNTIF(Y858:Y875,$B890&amp;" ~*")&gt;0))</f>
        <v/>
      </c>
      <c r="AC890" s="38">
        <f>IF($B890="","",(IFERROR(INDEX(Setup!$G$33:$G$40,MATCH(C890,Setup!$B$33:$B$40,0)),0)=1)*(COUNTIF(C858:E875,$B890)+COUNTIF(C858:E875,$B890&amp;" ~*")&gt;0)+(IFERROR(INDEX(Setup!$G$33:$G$40,MATCH(G890,Setup!$B$33:$B$40,0)),0)=1)*(COUNTIF(G858:I875,$B890)+COUNTIF(G858:I875,$B890&amp;" ~*")&gt;0)+(IFERROR(INDEX(Setup!$G$33:$G$40,MATCH(K890,Setup!$B$33:$B$40,0)),0)=1)*(COUNTIF(K858:M875,$B890)+COUNTIF(K858:M875,$B890&amp;" ~*")&gt;0)+(IFERROR(INDEX(Setup!$G$33:$G$40,MATCH(O890,Setup!$B$33:$B$40,0)),0)=1)*(COUNTIF(O858:Q875,$B890)+COUNTIF(O858:Q875,$B890&amp;" ~*")&gt;0)+(IFERROR(INDEX(Setup!$G$33:$G$40,MATCH(S890,Setup!$B$33:$B$40,0)),0)=1)*(COUNTIF(S858:U875,$B890)+COUNTIF(S858:U875,$B890&amp;" ~*")&gt;0)+(IFERROR(INDEX(Setup!$G$33:$G$40,MATCH(W890,Setup!$B$33:$B$40,0)),0)=1)*(COUNTIF(W858:W875,$B890)+COUNTIF(W858:W875,$B890&amp;" ~*")&gt;0)+(IFERROR(INDEX(Setup!$G$33:$G$40,MATCH(Y890,Setup!$B$33:$B$40,0)),0)=1)*(COUNTIF(Y858:Y875,$B890)+COUNTIF(Y858:Y875,$B890&amp;" ~*")&gt;0))</f>
        <v/>
      </c>
    </row>
    <row r="891" ht="15" customHeight="1">
      <c r="A891" t="n">
        <v>18</v>
      </c>
      <c r="B891" s="35">
        <f>IF(Setup!$B$20="","",Setup!$B$20)</f>
        <v/>
      </c>
      <c r="C891" s="98" t="n"/>
      <c r="D891" s="99" t="n"/>
      <c r="E891" s="99" t="n"/>
      <c r="F891" s="100" t="n"/>
      <c r="G891" s="98" t="n"/>
      <c r="H891" s="99" t="n"/>
      <c r="I891" s="99" t="n"/>
      <c r="J891" s="100" t="n"/>
      <c r="K891" s="98" t="n"/>
      <c r="L891" s="99" t="n"/>
      <c r="M891" s="99" t="n"/>
      <c r="N891" s="100" t="n"/>
      <c r="O891" s="98" t="n"/>
      <c r="P891" s="99" t="n"/>
      <c r="Q891" s="99" t="n"/>
      <c r="R891" s="100" t="n"/>
      <c r="S891" s="98" t="n"/>
      <c r="T891" s="99" t="n"/>
      <c r="U891" s="99" t="n"/>
      <c r="V891" s="100" t="n"/>
      <c r="W891" s="98" t="n"/>
      <c r="X891" s="100" t="n"/>
      <c r="Y891" s="98" t="n"/>
      <c r="Z891" s="100" t="n"/>
      <c r="AB891" s="101">
        <f>IF($B891="","",(COUNTIF(C858:E875,$B891)+COUNTIF(C858:E875,$B891&amp;" ~*")&gt;0)+(COUNTIF(G858:I875,$B891)+COUNTIF(G858:I875,$B891&amp;" ~*")&gt;0)+(COUNTIF(K858:M875,$B891)+COUNTIF(K858:M875,$B891&amp;" ~*")&gt;0)+(COUNTIF(O858:Q875,$B891)+COUNTIF(O858:Q875,$B891&amp;" ~*")&gt;0)+(COUNTIF(S858:U875,$B891)+COUNTIF(S858:U875,$B891&amp;" ~*")&gt;0)+(COUNTIF(W858:W875,$B891)+COUNTIF(W858:W875,$B891&amp;" ~*")&gt;0)+(COUNTIF(Y858:Y875,$B891)+COUNTIF(Y858:Y875,$B891&amp;" ~*")&gt;0))</f>
        <v/>
      </c>
      <c r="AC891" s="36">
        <f>IF($B891="","",(IFERROR(INDEX(Setup!$G$33:$G$40,MATCH(C891,Setup!$B$33:$B$40,0)),0)=1)*(COUNTIF(C858:E875,$B891)+COUNTIF(C858:E875,$B891&amp;" ~*")&gt;0)+(IFERROR(INDEX(Setup!$G$33:$G$40,MATCH(G891,Setup!$B$33:$B$40,0)),0)=1)*(COUNTIF(G858:I875,$B891)+COUNTIF(G858:I875,$B891&amp;" ~*")&gt;0)+(IFERROR(INDEX(Setup!$G$33:$G$40,MATCH(K891,Setup!$B$33:$B$40,0)),0)=1)*(COUNTIF(K858:M875,$B891)+COUNTIF(K858:M875,$B891&amp;" ~*")&gt;0)+(IFERROR(INDEX(Setup!$G$33:$G$40,MATCH(O891,Setup!$B$33:$B$40,0)),0)=1)*(COUNTIF(O858:Q875,$B891)+COUNTIF(O858:Q875,$B891&amp;" ~*")&gt;0)+(IFERROR(INDEX(Setup!$G$33:$G$40,MATCH(S891,Setup!$B$33:$B$40,0)),0)=1)*(COUNTIF(S858:U875,$B891)+COUNTIF(S858:U875,$B891&amp;" ~*")&gt;0)+(IFERROR(INDEX(Setup!$G$33:$G$40,MATCH(W891,Setup!$B$33:$B$40,0)),0)=1)*(COUNTIF(W858:W875,$B891)+COUNTIF(W858:W875,$B891&amp;" ~*")&gt;0)+(IFERROR(INDEX(Setup!$G$33:$G$40,MATCH(Y891,Setup!$B$33:$B$40,0)),0)=1)*(COUNTIF(Y858:Y875,$B891)+COUNTIF(Y858:Y875,$B891&amp;" ~*")&gt;0))</f>
        <v/>
      </c>
    </row>
    <row r="892" ht="15" customHeight="1">
      <c r="A892" t="n">
        <v>18</v>
      </c>
      <c r="B892" s="37">
        <f>IF(Setup!$B$21="","",Setup!$B$21)</f>
        <v/>
      </c>
      <c r="C892" s="102" t="n"/>
      <c r="D892" s="103" t="n"/>
      <c r="E892" s="103" t="n"/>
      <c r="F892" s="104" t="n"/>
      <c r="G892" s="102" t="n"/>
      <c r="H892" s="103" t="n"/>
      <c r="I892" s="103" t="n"/>
      <c r="J892" s="104" t="n"/>
      <c r="K892" s="102" t="n"/>
      <c r="L892" s="103" t="n"/>
      <c r="M892" s="103" t="n"/>
      <c r="N892" s="104" t="n"/>
      <c r="O892" s="102" t="n"/>
      <c r="P892" s="103" t="n"/>
      <c r="Q892" s="103" t="n"/>
      <c r="R892" s="104" t="n"/>
      <c r="S892" s="102" t="n"/>
      <c r="T892" s="103" t="n"/>
      <c r="U892" s="103" t="n"/>
      <c r="V892" s="104" t="n"/>
      <c r="W892" s="102" t="n"/>
      <c r="X892" s="104" t="n"/>
      <c r="Y892" s="102" t="n"/>
      <c r="Z892" s="104" t="n"/>
      <c r="AB892" s="105">
        <f>IF($B892="","",(COUNTIF(C858:E875,$B892)+COUNTIF(C858:E875,$B892&amp;" ~*")&gt;0)+(COUNTIF(G858:I875,$B892)+COUNTIF(G858:I875,$B892&amp;" ~*")&gt;0)+(COUNTIF(K858:M875,$B892)+COUNTIF(K858:M875,$B892&amp;" ~*")&gt;0)+(COUNTIF(O858:Q875,$B892)+COUNTIF(O858:Q875,$B892&amp;" ~*")&gt;0)+(COUNTIF(S858:U875,$B892)+COUNTIF(S858:U875,$B892&amp;" ~*")&gt;0)+(COUNTIF(W858:W875,$B892)+COUNTIF(W858:W875,$B892&amp;" ~*")&gt;0)+(COUNTIF(Y858:Y875,$B892)+COUNTIF(Y858:Y875,$B892&amp;" ~*")&gt;0))</f>
        <v/>
      </c>
      <c r="AC892" s="38">
        <f>IF($B892="","",(IFERROR(INDEX(Setup!$G$33:$G$40,MATCH(C892,Setup!$B$33:$B$40,0)),0)=1)*(COUNTIF(C858:E875,$B892)+COUNTIF(C858:E875,$B892&amp;" ~*")&gt;0)+(IFERROR(INDEX(Setup!$G$33:$G$40,MATCH(G892,Setup!$B$33:$B$40,0)),0)=1)*(COUNTIF(G858:I875,$B892)+COUNTIF(G858:I875,$B892&amp;" ~*")&gt;0)+(IFERROR(INDEX(Setup!$G$33:$G$40,MATCH(K892,Setup!$B$33:$B$40,0)),0)=1)*(COUNTIF(K858:M875,$B892)+COUNTIF(K858:M875,$B892&amp;" ~*")&gt;0)+(IFERROR(INDEX(Setup!$G$33:$G$40,MATCH(O892,Setup!$B$33:$B$40,0)),0)=1)*(COUNTIF(O858:Q875,$B892)+COUNTIF(O858:Q875,$B892&amp;" ~*")&gt;0)+(IFERROR(INDEX(Setup!$G$33:$G$40,MATCH(S892,Setup!$B$33:$B$40,0)),0)=1)*(COUNTIF(S858:U875,$B892)+COUNTIF(S858:U875,$B892&amp;" ~*")&gt;0)+(IFERROR(INDEX(Setup!$G$33:$G$40,MATCH(W892,Setup!$B$33:$B$40,0)),0)=1)*(COUNTIF(W858:W875,$B892)+COUNTIF(W858:W875,$B892&amp;" ~*")&gt;0)+(IFERROR(INDEX(Setup!$G$33:$G$40,MATCH(Y892,Setup!$B$33:$B$40,0)),0)=1)*(COUNTIF(Y858:Y875,$B892)+COUNTIF(Y858:Y875,$B892&amp;" ~*")&gt;0))</f>
        <v/>
      </c>
    </row>
    <row r="893" ht="15" customHeight="1">
      <c r="A893" t="n">
        <v>18</v>
      </c>
      <c r="B893" s="35">
        <f>IF(Setup!$B$22="","",Setup!$B$22)</f>
        <v/>
      </c>
      <c r="C893" s="98" t="n"/>
      <c r="D893" s="99" t="n"/>
      <c r="E893" s="99" t="n"/>
      <c r="F893" s="100" t="n"/>
      <c r="G893" s="98" t="n"/>
      <c r="H893" s="99" t="n"/>
      <c r="I893" s="99" t="n"/>
      <c r="J893" s="100" t="n"/>
      <c r="K893" s="98" t="n"/>
      <c r="L893" s="99" t="n"/>
      <c r="M893" s="99" t="n"/>
      <c r="N893" s="100" t="n"/>
      <c r="O893" s="98" t="n"/>
      <c r="P893" s="99" t="n"/>
      <c r="Q893" s="99" t="n"/>
      <c r="R893" s="100" t="n"/>
      <c r="S893" s="98" t="n"/>
      <c r="T893" s="99" t="n"/>
      <c r="U893" s="99" t="n"/>
      <c r="V893" s="100" t="n"/>
      <c r="W893" s="98" t="n"/>
      <c r="X893" s="100" t="n"/>
      <c r="Y893" s="98" t="n"/>
      <c r="Z893" s="100" t="n"/>
      <c r="AB893" s="101">
        <f>IF($B893="","",(COUNTIF(C858:E875,$B893)+COUNTIF(C858:E875,$B893&amp;" ~*")&gt;0)+(COUNTIF(G858:I875,$B893)+COUNTIF(G858:I875,$B893&amp;" ~*")&gt;0)+(COUNTIF(K858:M875,$B893)+COUNTIF(K858:M875,$B893&amp;" ~*")&gt;0)+(COUNTIF(O858:Q875,$B893)+COUNTIF(O858:Q875,$B893&amp;" ~*")&gt;0)+(COUNTIF(S858:U875,$B893)+COUNTIF(S858:U875,$B893&amp;" ~*")&gt;0)+(COUNTIF(W858:W875,$B893)+COUNTIF(W858:W875,$B893&amp;" ~*")&gt;0)+(COUNTIF(Y858:Y875,$B893)+COUNTIF(Y858:Y875,$B893&amp;" ~*")&gt;0))</f>
        <v/>
      </c>
      <c r="AC893" s="36">
        <f>IF($B893="","",(IFERROR(INDEX(Setup!$G$33:$G$40,MATCH(C893,Setup!$B$33:$B$40,0)),0)=1)*(COUNTIF(C858:E875,$B893)+COUNTIF(C858:E875,$B893&amp;" ~*")&gt;0)+(IFERROR(INDEX(Setup!$G$33:$G$40,MATCH(G893,Setup!$B$33:$B$40,0)),0)=1)*(COUNTIF(G858:I875,$B893)+COUNTIF(G858:I875,$B893&amp;" ~*")&gt;0)+(IFERROR(INDEX(Setup!$G$33:$G$40,MATCH(K893,Setup!$B$33:$B$40,0)),0)=1)*(COUNTIF(K858:M875,$B893)+COUNTIF(K858:M875,$B893&amp;" ~*")&gt;0)+(IFERROR(INDEX(Setup!$G$33:$G$40,MATCH(O893,Setup!$B$33:$B$40,0)),0)=1)*(COUNTIF(O858:Q875,$B893)+COUNTIF(O858:Q875,$B893&amp;" ~*")&gt;0)+(IFERROR(INDEX(Setup!$G$33:$G$40,MATCH(S893,Setup!$B$33:$B$40,0)),0)=1)*(COUNTIF(S858:U875,$B893)+COUNTIF(S858:U875,$B893&amp;" ~*")&gt;0)+(IFERROR(INDEX(Setup!$G$33:$G$40,MATCH(W893,Setup!$B$33:$B$40,0)),0)=1)*(COUNTIF(W858:W875,$B893)+COUNTIF(W858:W875,$B893&amp;" ~*")&gt;0)+(IFERROR(INDEX(Setup!$G$33:$G$40,MATCH(Y893,Setup!$B$33:$B$40,0)),0)=1)*(COUNTIF(Y858:Y875,$B893)+COUNTIF(Y858:Y875,$B893&amp;" ~*")&gt;0))</f>
        <v/>
      </c>
    </row>
    <row r="894" ht="15" customHeight="1">
      <c r="A894" t="n">
        <v>18</v>
      </c>
      <c r="B894" s="37">
        <f>IF(Setup!$B$23="","",Setup!$B$23)</f>
        <v/>
      </c>
      <c r="C894" s="102" t="n"/>
      <c r="D894" s="103" t="n"/>
      <c r="E894" s="103" t="n"/>
      <c r="F894" s="104" t="n"/>
      <c r="G894" s="102" t="n"/>
      <c r="H894" s="103" t="n"/>
      <c r="I894" s="103" t="n"/>
      <c r="J894" s="104" t="n"/>
      <c r="K894" s="102" t="n"/>
      <c r="L894" s="103" t="n"/>
      <c r="M894" s="103" t="n"/>
      <c r="N894" s="104" t="n"/>
      <c r="O894" s="102" t="n"/>
      <c r="P894" s="103" t="n"/>
      <c r="Q894" s="103" t="n"/>
      <c r="R894" s="104" t="n"/>
      <c r="S894" s="102" t="n"/>
      <c r="T894" s="103" t="n"/>
      <c r="U894" s="103" t="n"/>
      <c r="V894" s="104" t="n"/>
      <c r="W894" s="102" t="n"/>
      <c r="X894" s="104" t="n"/>
      <c r="Y894" s="102" t="n"/>
      <c r="Z894" s="104" t="n"/>
      <c r="AB894" s="105">
        <f>IF($B894="","",(COUNTIF(C858:E875,$B894)+COUNTIF(C858:E875,$B894&amp;" ~*")&gt;0)+(COUNTIF(G858:I875,$B894)+COUNTIF(G858:I875,$B894&amp;" ~*")&gt;0)+(COUNTIF(K858:M875,$B894)+COUNTIF(K858:M875,$B894&amp;" ~*")&gt;0)+(COUNTIF(O858:Q875,$B894)+COUNTIF(O858:Q875,$B894&amp;" ~*")&gt;0)+(COUNTIF(S858:U875,$B894)+COUNTIF(S858:U875,$B894&amp;" ~*")&gt;0)+(COUNTIF(W858:W875,$B894)+COUNTIF(W858:W875,$B894&amp;" ~*")&gt;0)+(COUNTIF(Y858:Y875,$B894)+COUNTIF(Y858:Y875,$B894&amp;" ~*")&gt;0))</f>
        <v/>
      </c>
      <c r="AC894" s="38">
        <f>IF($B894="","",(IFERROR(INDEX(Setup!$G$33:$G$40,MATCH(C894,Setup!$B$33:$B$40,0)),0)=1)*(COUNTIF(C858:E875,$B894)+COUNTIF(C858:E875,$B894&amp;" ~*")&gt;0)+(IFERROR(INDEX(Setup!$G$33:$G$40,MATCH(G894,Setup!$B$33:$B$40,0)),0)=1)*(COUNTIF(G858:I875,$B894)+COUNTIF(G858:I875,$B894&amp;" ~*")&gt;0)+(IFERROR(INDEX(Setup!$G$33:$G$40,MATCH(K894,Setup!$B$33:$B$40,0)),0)=1)*(COUNTIF(K858:M875,$B894)+COUNTIF(K858:M875,$B894&amp;" ~*")&gt;0)+(IFERROR(INDEX(Setup!$G$33:$G$40,MATCH(O894,Setup!$B$33:$B$40,0)),0)=1)*(COUNTIF(O858:Q875,$B894)+COUNTIF(O858:Q875,$B894&amp;" ~*")&gt;0)+(IFERROR(INDEX(Setup!$G$33:$G$40,MATCH(S894,Setup!$B$33:$B$40,0)),0)=1)*(COUNTIF(S858:U875,$B894)+COUNTIF(S858:U875,$B894&amp;" ~*")&gt;0)+(IFERROR(INDEX(Setup!$G$33:$G$40,MATCH(W894,Setup!$B$33:$B$40,0)),0)=1)*(COUNTIF(W858:W875,$B894)+COUNTIF(W858:W875,$B894&amp;" ~*")&gt;0)+(IFERROR(INDEX(Setup!$G$33:$G$40,MATCH(Y894,Setup!$B$33:$B$40,0)),0)=1)*(COUNTIF(Y858:Y875,$B894)+COUNTIF(Y858:Y875,$B894&amp;" ~*")&gt;0))</f>
        <v/>
      </c>
    </row>
    <row r="895" ht="15" customHeight="1">
      <c r="A895" t="n">
        <v>18</v>
      </c>
      <c r="B895" s="35">
        <f>IF(Setup!$B$24="","",Setup!$B$24)</f>
        <v/>
      </c>
      <c r="C895" s="98" t="n"/>
      <c r="D895" s="99" t="n"/>
      <c r="E895" s="99" t="n"/>
      <c r="F895" s="100" t="n"/>
      <c r="G895" s="98" t="n"/>
      <c r="H895" s="99" t="n"/>
      <c r="I895" s="99" t="n"/>
      <c r="J895" s="100" t="n"/>
      <c r="K895" s="98" t="n"/>
      <c r="L895" s="99" t="n"/>
      <c r="M895" s="99" t="n"/>
      <c r="N895" s="100" t="n"/>
      <c r="O895" s="98" t="n"/>
      <c r="P895" s="99" t="n"/>
      <c r="Q895" s="99" t="n"/>
      <c r="R895" s="100" t="n"/>
      <c r="S895" s="98" t="n"/>
      <c r="T895" s="99" t="n"/>
      <c r="U895" s="99" t="n"/>
      <c r="V895" s="100" t="n"/>
      <c r="W895" s="98" t="n"/>
      <c r="X895" s="100" t="n"/>
      <c r="Y895" s="98" t="n"/>
      <c r="Z895" s="100" t="n"/>
      <c r="AB895" s="101">
        <f>IF($B895="","",(COUNTIF(C858:E875,$B895)+COUNTIF(C858:E875,$B895&amp;" ~*")&gt;0)+(COUNTIF(G858:I875,$B895)+COUNTIF(G858:I875,$B895&amp;" ~*")&gt;0)+(COUNTIF(K858:M875,$B895)+COUNTIF(K858:M875,$B895&amp;" ~*")&gt;0)+(COUNTIF(O858:Q875,$B895)+COUNTIF(O858:Q875,$B895&amp;" ~*")&gt;0)+(COUNTIF(S858:U875,$B895)+COUNTIF(S858:U875,$B895&amp;" ~*")&gt;0)+(COUNTIF(W858:W875,$B895)+COUNTIF(W858:W875,$B895&amp;" ~*")&gt;0)+(COUNTIF(Y858:Y875,$B895)+COUNTIF(Y858:Y875,$B895&amp;" ~*")&gt;0))</f>
        <v/>
      </c>
      <c r="AC895" s="36">
        <f>IF($B895="","",(IFERROR(INDEX(Setup!$G$33:$G$40,MATCH(C895,Setup!$B$33:$B$40,0)),0)=1)*(COUNTIF(C858:E875,$B895)+COUNTIF(C858:E875,$B895&amp;" ~*")&gt;0)+(IFERROR(INDEX(Setup!$G$33:$G$40,MATCH(G895,Setup!$B$33:$B$40,0)),0)=1)*(COUNTIF(G858:I875,$B895)+COUNTIF(G858:I875,$B895&amp;" ~*")&gt;0)+(IFERROR(INDEX(Setup!$G$33:$G$40,MATCH(K895,Setup!$B$33:$B$40,0)),0)=1)*(COUNTIF(K858:M875,$B895)+COUNTIF(K858:M875,$B895&amp;" ~*")&gt;0)+(IFERROR(INDEX(Setup!$G$33:$G$40,MATCH(O895,Setup!$B$33:$B$40,0)),0)=1)*(COUNTIF(O858:Q875,$B895)+COUNTIF(O858:Q875,$B895&amp;" ~*")&gt;0)+(IFERROR(INDEX(Setup!$G$33:$G$40,MATCH(S895,Setup!$B$33:$B$40,0)),0)=1)*(COUNTIF(S858:U875,$B895)+COUNTIF(S858:U875,$B895&amp;" ~*")&gt;0)+(IFERROR(INDEX(Setup!$G$33:$G$40,MATCH(W895,Setup!$B$33:$B$40,0)),0)=1)*(COUNTIF(W858:W875,$B895)+COUNTIF(W858:W875,$B895&amp;" ~*")&gt;0)+(IFERROR(INDEX(Setup!$G$33:$G$40,MATCH(Y895,Setup!$B$33:$B$40,0)),0)=1)*(COUNTIF(Y858:Y875,$B895)+COUNTIF(Y858:Y875,$B895&amp;" ~*")&gt;0))</f>
        <v/>
      </c>
    </row>
    <row r="896" ht="15" customHeight="1">
      <c r="A896" t="n">
        <v>18</v>
      </c>
      <c r="B896" s="37">
        <f>IF(Setup!$B$25="","",Setup!$B$25)</f>
        <v/>
      </c>
      <c r="C896" s="102" t="n"/>
      <c r="D896" s="103" t="n"/>
      <c r="E896" s="103" t="n"/>
      <c r="F896" s="104" t="n"/>
      <c r="G896" s="102" t="n"/>
      <c r="H896" s="103" t="n"/>
      <c r="I896" s="103" t="n"/>
      <c r="J896" s="104" t="n"/>
      <c r="K896" s="102" t="n"/>
      <c r="L896" s="103" t="n"/>
      <c r="M896" s="103" t="n"/>
      <c r="N896" s="104" t="n"/>
      <c r="O896" s="102" t="n"/>
      <c r="P896" s="103" t="n"/>
      <c r="Q896" s="103" t="n"/>
      <c r="R896" s="104" t="n"/>
      <c r="S896" s="102" t="n"/>
      <c r="T896" s="103" t="n"/>
      <c r="U896" s="103" t="n"/>
      <c r="V896" s="104" t="n"/>
      <c r="W896" s="102" t="n"/>
      <c r="X896" s="104" t="n"/>
      <c r="Y896" s="102" t="n"/>
      <c r="Z896" s="104" t="n"/>
      <c r="AB896" s="105">
        <f>IF($B896="","",(COUNTIF(C858:E875,$B896)+COUNTIF(C858:E875,$B896&amp;" ~*")&gt;0)+(COUNTIF(G858:I875,$B896)+COUNTIF(G858:I875,$B896&amp;" ~*")&gt;0)+(COUNTIF(K858:M875,$B896)+COUNTIF(K858:M875,$B896&amp;" ~*")&gt;0)+(COUNTIF(O858:Q875,$B896)+COUNTIF(O858:Q875,$B896&amp;" ~*")&gt;0)+(COUNTIF(S858:U875,$B896)+COUNTIF(S858:U875,$B896&amp;" ~*")&gt;0)+(COUNTIF(W858:W875,$B896)+COUNTIF(W858:W875,$B896&amp;" ~*")&gt;0)+(COUNTIF(Y858:Y875,$B896)+COUNTIF(Y858:Y875,$B896&amp;" ~*")&gt;0))</f>
        <v/>
      </c>
      <c r="AC896" s="38">
        <f>IF($B896="","",(IFERROR(INDEX(Setup!$G$33:$G$40,MATCH(C896,Setup!$B$33:$B$40,0)),0)=1)*(COUNTIF(C858:E875,$B896)+COUNTIF(C858:E875,$B896&amp;" ~*")&gt;0)+(IFERROR(INDEX(Setup!$G$33:$G$40,MATCH(G896,Setup!$B$33:$B$40,0)),0)=1)*(COUNTIF(G858:I875,$B896)+COUNTIF(G858:I875,$B896&amp;" ~*")&gt;0)+(IFERROR(INDEX(Setup!$G$33:$G$40,MATCH(K896,Setup!$B$33:$B$40,0)),0)=1)*(COUNTIF(K858:M875,$B896)+COUNTIF(K858:M875,$B896&amp;" ~*")&gt;0)+(IFERROR(INDEX(Setup!$G$33:$G$40,MATCH(O896,Setup!$B$33:$B$40,0)),0)=1)*(COUNTIF(O858:Q875,$B896)+COUNTIF(O858:Q875,$B896&amp;" ~*")&gt;0)+(IFERROR(INDEX(Setup!$G$33:$G$40,MATCH(S896,Setup!$B$33:$B$40,0)),0)=1)*(COUNTIF(S858:U875,$B896)+COUNTIF(S858:U875,$B896&amp;" ~*")&gt;0)+(IFERROR(INDEX(Setup!$G$33:$G$40,MATCH(W896,Setup!$B$33:$B$40,0)),0)=1)*(COUNTIF(W858:W875,$B896)+COUNTIF(W858:W875,$B896&amp;" ~*")&gt;0)+(IFERROR(INDEX(Setup!$G$33:$G$40,MATCH(Y896,Setup!$B$33:$B$40,0)),0)=1)*(COUNTIF(Y858:Y875,$B896)+COUNTIF(Y858:Y875,$B896&amp;" ~*")&gt;0))</f>
        <v/>
      </c>
    </row>
    <row r="897" ht="15" customHeight="1">
      <c r="A897" t="n">
        <v>18</v>
      </c>
      <c r="B897" s="35">
        <f>IF(Setup!$B$26="","",Setup!$B$26)</f>
        <v/>
      </c>
      <c r="C897" s="98" t="n"/>
      <c r="D897" s="99" t="n"/>
      <c r="E897" s="99" t="n"/>
      <c r="F897" s="100" t="n"/>
      <c r="G897" s="98" t="n"/>
      <c r="H897" s="99" t="n"/>
      <c r="I897" s="99" t="n"/>
      <c r="J897" s="100" t="n"/>
      <c r="K897" s="98" t="n"/>
      <c r="L897" s="99" t="n"/>
      <c r="M897" s="99" t="n"/>
      <c r="N897" s="100" t="n"/>
      <c r="O897" s="98" t="n"/>
      <c r="P897" s="99" t="n"/>
      <c r="Q897" s="99" t="n"/>
      <c r="R897" s="100" t="n"/>
      <c r="S897" s="98" t="n"/>
      <c r="T897" s="99" t="n"/>
      <c r="U897" s="99" t="n"/>
      <c r="V897" s="100" t="n"/>
      <c r="W897" s="98" t="n"/>
      <c r="X897" s="100" t="n"/>
      <c r="Y897" s="98" t="n"/>
      <c r="Z897" s="100" t="n"/>
      <c r="AB897" s="101">
        <f>IF($B897="","",(COUNTIF(C858:E875,$B897)+COUNTIF(C858:E875,$B897&amp;" ~*")&gt;0)+(COUNTIF(G858:I875,$B897)+COUNTIF(G858:I875,$B897&amp;" ~*")&gt;0)+(COUNTIF(K858:M875,$B897)+COUNTIF(K858:M875,$B897&amp;" ~*")&gt;0)+(COUNTIF(O858:Q875,$B897)+COUNTIF(O858:Q875,$B897&amp;" ~*")&gt;0)+(COUNTIF(S858:U875,$B897)+COUNTIF(S858:U875,$B897&amp;" ~*")&gt;0)+(COUNTIF(W858:W875,$B897)+COUNTIF(W858:W875,$B897&amp;" ~*")&gt;0)+(COUNTIF(Y858:Y875,$B897)+COUNTIF(Y858:Y875,$B897&amp;" ~*")&gt;0))</f>
        <v/>
      </c>
      <c r="AC897" s="36">
        <f>IF($B897="","",(IFERROR(INDEX(Setup!$G$33:$G$40,MATCH(C897,Setup!$B$33:$B$40,0)),0)=1)*(COUNTIF(C858:E875,$B897)+COUNTIF(C858:E875,$B897&amp;" ~*")&gt;0)+(IFERROR(INDEX(Setup!$G$33:$G$40,MATCH(G897,Setup!$B$33:$B$40,0)),0)=1)*(COUNTIF(G858:I875,$B897)+COUNTIF(G858:I875,$B897&amp;" ~*")&gt;0)+(IFERROR(INDEX(Setup!$G$33:$G$40,MATCH(K897,Setup!$B$33:$B$40,0)),0)=1)*(COUNTIF(K858:M875,$B897)+COUNTIF(K858:M875,$B897&amp;" ~*")&gt;0)+(IFERROR(INDEX(Setup!$G$33:$G$40,MATCH(O897,Setup!$B$33:$B$40,0)),0)=1)*(COUNTIF(O858:Q875,$B897)+COUNTIF(O858:Q875,$B897&amp;" ~*")&gt;0)+(IFERROR(INDEX(Setup!$G$33:$G$40,MATCH(S897,Setup!$B$33:$B$40,0)),0)=1)*(COUNTIF(S858:U875,$B897)+COUNTIF(S858:U875,$B897&amp;" ~*")&gt;0)+(IFERROR(INDEX(Setup!$G$33:$G$40,MATCH(W897,Setup!$B$33:$B$40,0)),0)=1)*(COUNTIF(W858:W875,$B897)+COUNTIF(W858:W875,$B897&amp;" ~*")&gt;0)+(IFERROR(INDEX(Setup!$G$33:$G$40,MATCH(Y897,Setup!$B$33:$B$40,0)),0)=1)*(COUNTIF(Y858:Y875,$B897)+COUNTIF(Y858:Y875,$B897&amp;" ~*")&gt;0))</f>
        <v/>
      </c>
    </row>
    <row r="898" ht="15" customHeight="1">
      <c r="A898" t="n">
        <v>18</v>
      </c>
      <c r="B898" s="37">
        <f>IF(Setup!$B$27="","",Setup!$B$27)</f>
        <v/>
      </c>
      <c r="C898" s="102" t="n"/>
      <c r="D898" s="103" t="n"/>
      <c r="E898" s="103" t="n"/>
      <c r="F898" s="104" t="n"/>
      <c r="G898" s="102" t="n"/>
      <c r="H898" s="103" t="n"/>
      <c r="I898" s="103" t="n"/>
      <c r="J898" s="104" t="n"/>
      <c r="K898" s="102" t="n"/>
      <c r="L898" s="103" t="n"/>
      <c r="M898" s="103" t="n"/>
      <c r="N898" s="104" t="n"/>
      <c r="O898" s="102" t="n"/>
      <c r="P898" s="103" t="n"/>
      <c r="Q898" s="103" t="n"/>
      <c r="R898" s="104" t="n"/>
      <c r="S898" s="102" t="n"/>
      <c r="T898" s="103" t="n"/>
      <c r="U898" s="103" t="n"/>
      <c r="V898" s="104" t="n"/>
      <c r="W898" s="102" t="n"/>
      <c r="X898" s="104" t="n"/>
      <c r="Y898" s="102" t="n"/>
      <c r="Z898" s="104" t="n"/>
      <c r="AB898" s="105">
        <f>IF($B898="","",(COUNTIF(C858:E875,$B898)+COUNTIF(C858:E875,$B898&amp;" ~*")&gt;0)+(COUNTIF(G858:I875,$B898)+COUNTIF(G858:I875,$B898&amp;" ~*")&gt;0)+(COUNTIF(K858:M875,$B898)+COUNTIF(K858:M875,$B898&amp;" ~*")&gt;0)+(COUNTIF(O858:Q875,$B898)+COUNTIF(O858:Q875,$B898&amp;" ~*")&gt;0)+(COUNTIF(S858:U875,$B898)+COUNTIF(S858:U875,$B898&amp;" ~*")&gt;0)+(COUNTIF(W858:W875,$B898)+COUNTIF(W858:W875,$B898&amp;" ~*")&gt;0)+(COUNTIF(Y858:Y875,$B898)+COUNTIF(Y858:Y875,$B898&amp;" ~*")&gt;0))</f>
        <v/>
      </c>
      <c r="AC898" s="38">
        <f>IF($B898="","",(IFERROR(INDEX(Setup!$G$33:$G$40,MATCH(C898,Setup!$B$33:$B$40,0)),0)=1)*(COUNTIF(C858:E875,$B898)+COUNTIF(C858:E875,$B898&amp;" ~*")&gt;0)+(IFERROR(INDEX(Setup!$G$33:$G$40,MATCH(G898,Setup!$B$33:$B$40,0)),0)=1)*(COUNTIF(G858:I875,$B898)+COUNTIF(G858:I875,$B898&amp;" ~*")&gt;0)+(IFERROR(INDEX(Setup!$G$33:$G$40,MATCH(K898,Setup!$B$33:$B$40,0)),0)=1)*(COUNTIF(K858:M875,$B898)+COUNTIF(K858:M875,$B898&amp;" ~*")&gt;0)+(IFERROR(INDEX(Setup!$G$33:$G$40,MATCH(O898,Setup!$B$33:$B$40,0)),0)=1)*(COUNTIF(O858:Q875,$B898)+COUNTIF(O858:Q875,$B898&amp;" ~*")&gt;0)+(IFERROR(INDEX(Setup!$G$33:$G$40,MATCH(S898,Setup!$B$33:$B$40,0)),0)=1)*(COUNTIF(S858:U875,$B898)+COUNTIF(S858:U875,$B898&amp;" ~*")&gt;0)+(IFERROR(INDEX(Setup!$G$33:$G$40,MATCH(W898,Setup!$B$33:$B$40,0)),0)=1)*(COUNTIF(W858:W875,$B898)+COUNTIF(W858:W875,$B898&amp;" ~*")&gt;0)+(IFERROR(INDEX(Setup!$G$33:$G$40,MATCH(Y898,Setup!$B$33:$B$40,0)),0)=1)*(COUNTIF(Y858:Y875,$B898)+COUNTIF(Y858:Y875,$B898&amp;" ~*")&gt;0))</f>
        <v/>
      </c>
    </row>
    <row r="899" ht="15" customHeight="1">
      <c r="A899" t="n">
        <v>18</v>
      </c>
      <c r="B899" s="35">
        <f>IF(Setup!$B$28="","",Setup!$B$28)</f>
        <v/>
      </c>
      <c r="C899" s="98" t="n"/>
      <c r="D899" s="99" t="n"/>
      <c r="E899" s="99" t="n"/>
      <c r="F899" s="100" t="n"/>
      <c r="G899" s="98" t="n"/>
      <c r="H899" s="99" t="n"/>
      <c r="I899" s="99" t="n"/>
      <c r="J899" s="100" t="n"/>
      <c r="K899" s="98" t="n"/>
      <c r="L899" s="99" t="n"/>
      <c r="M899" s="99" t="n"/>
      <c r="N899" s="100" t="n"/>
      <c r="O899" s="98" t="n"/>
      <c r="P899" s="99" t="n"/>
      <c r="Q899" s="99" t="n"/>
      <c r="R899" s="100" t="n"/>
      <c r="S899" s="98" t="n"/>
      <c r="T899" s="99" t="n"/>
      <c r="U899" s="99" t="n"/>
      <c r="V899" s="100" t="n"/>
      <c r="W899" s="98" t="n"/>
      <c r="X899" s="100" t="n"/>
      <c r="Y899" s="98" t="n"/>
      <c r="Z899" s="100" t="n"/>
      <c r="AB899" s="101">
        <f>IF($B899="","",(COUNTIF(C858:E875,$B899)+COUNTIF(C858:E875,$B899&amp;" ~*")&gt;0)+(COUNTIF(G858:I875,$B899)+COUNTIF(G858:I875,$B899&amp;" ~*")&gt;0)+(COUNTIF(K858:M875,$B899)+COUNTIF(K858:M875,$B899&amp;" ~*")&gt;0)+(COUNTIF(O858:Q875,$B899)+COUNTIF(O858:Q875,$B899&amp;" ~*")&gt;0)+(COUNTIF(S858:U875,$B899)+COUNTIF(S858:U875,$B899&amp;" ~*")&gt;0)+(COUNTIF(W858:W875,$B899)+COUNTIF(W858:W875,$B899&amp;" ~*")&gt;0)+(COUNTIF(Y858:Y875,$B899)+COUNTIF(Y858:Y875,$B899&amp;" ~*")&gt;0))</f>
        <v/>
      </c>
      <c r="AC899" s="36">
        <f>IF($B899="","",(IFERROR(INDEX(Setup!$G$33:$G$40,MATCH(C899,Setup!$B$33:$B$40,0)),0)=1)*(COUNTIF(C858:E875,$B899)+COUNTIF(C858:E875,$B899&amp;" ~*")&gt;0)+(IFERROR(INDEX(Setup!$G$33:$G$40,MATCH(G899,Setup!$B$33:$B$40,0)),0)=1)*(COUNTIF(G858:I875,$B899)+COUNTIF(G858:I875,$B899&amp;" ~*")&gt;0)+(IFERROR(INDEX(Setup!$G$33:$G$40,MATCH(K899,Setup!$B$33:$B$40,0)),0)=1)*(COUNTIF(K858:M875,$B899)+COUNTIF(K858:M875,$B899&amp;" ~*")&gt;0)+(IFERROR(INDEX(Setup!$G$33:$G$40,MATCH(O899,Setup!$B$33:$B$40,0)),0)=1)*(COUNTIF(O858:Q875,$B899)+COUNTIF(O858:Q875,$B899&amp;" ~*")&gt;0)+(IFERROR(INDEX(Setup!$G$33:$G$40,MATCH(S899,Setup!$B$33:$B$40,0)),0)=1)*(COUNTIF(S858:U875,$B899)+COUNTIF(S858:U875,$B899&amp;" ~*")&gt;0)+(IFERROR(INDEX(Setup!$G$33:$G$40,MATCH(W899,Setup!$B$33:$B$40,0)),0)=1)*(COUNTIF(W858:W875,$B899)+COUNTIF(W858:W875,$B899&amp;" ~*")&gt;0)+(IFERROR(INDEX(Setup!$G$33:$G$40,MATCH(Y899,Setup!$B$33:$B$40,0)),0)=1)*(COUNTIF(Y858:Y875,$B899)+COUNTIF(Y858:Y875,$B899&amp;" ~*")&gt;0))</f>
        <v/>
      </c>
    </row>
    <row r="900" ht="15" customHeight="1">
      <c r="A900" t="n">
        <v>18</v>
      </c>
      <c r="B900" s="37">
        <f>IF(Setup!$B$29="","",Setup!$B$29)</f>
        <v/>
      </c>
      <c r="C900" s="102" t="n"/>
      <c r="D900" s="103" t="n"/>
      <c r="E900" s="103" t="n"/>
      <c r="F900" s="104" t="n"/>
      <c r="G900" s="102" t="n"/>
      <c r="H900" s="103" t="n"/>
      <c r="I900" s="103" t="n"/>
      <c r="J900" s="104" t="n"/>
      <c r="K900" s="102" t="n"/>
      <c r="L900" s="103" t="n"/>
      <c r="M900" s="103" t="n"/>
      <c r="N900" s="104" t="n"/>
      <c r="O900" s="102" t="n"/>
      <c r="P900" s="103" t="n"/>
      <c r="Q900" s="103" t="n"/>
      <c r="R900" s="104" t="n"/>
      <c r="S900" s="102" t="n"/>
      <c r="T900" s="103" t="n"/>
      <c r="U900" s="103" t="n"/>
      <c r="V900" s="104" t="n"/>
      <c r="W900" s="102" t="n"/>
      <c r="X900" s="104" t="n"/>
      <c r="Y900" s="102" t="n"/>
      <c r="Z900" s="104" t="n"/>
      <c r="AB900" s="105">
        <f>IF($B900="","",(COUNTIF(C858:E875,$B900)+COUNTIF(C858:E875,$B900&amp;" ~*")&gt;0)+(COUNTIF(G858:I875,$B900)+COUNTIF(G858:I875,$B900&amp;" ~*")&gt;0)+(COUNTIF(K858:M875,$B900)+COUNTIF(K858:M875,$B900&amp;" ~*")&gt;0)+(COUNTIF(O858:Q875,$B900)+COUNTIF(O858:Q875,$B900&amp;" ~*")&gt;0)+(COUNTIF(S858:U875,$B900)+COUNTIF(S858:U875,$B900&amp;" ~*")&gt;0)+(COUNTIF(W858:W875,$B900)+COUNTIF(W858:W875,$B900&amp;" ~*")&gt;0)+(COUNTIF(Y858:Y875,$B900)+COUNTIF(Y858:Y875,$B900&amp;" ~*")&gt;0))</f>
        <v/>
      </c>
      <c r="AC900" s="38">
        <f>IF($B900="","",(IFERROR(INDEX(Setup!$G$33:$G$40,MATCH(C900,Setup!$B$33:$B$40,0)),0)=1)*(COUNTIF(C858:E875,$B900)+COUNTIF(C858:E875,$B900&amp;" ~*")&gt;0)+(IFERROR(INDEX(Setup!$G$33:$G$40,MATCH(G900,Setup!$B$33:$B$40,0)),0)=1)*(COUNTIF(G858:I875,$B900)+COUNTIF(G858:I875,$B900&amp;" ~*")&gt;0)+(IFERROR(INDEX(Setup!$G$33:$G$40,MATCH(K900,Setup!$B$33:$B$40,0)),0)=1)*(COUNTIF(K858:M875,$B900)+COUNTIF(K858:M875,$B900&amp;" ~*")&gt;0)+(IFERROR(INDEX(Setup!$G$33:$G$40,MATCH(O900,Setup!$B$33:$B$40,0)),0)=1)*(COUNTIF(O858:Q875,$B900)+COUNTIF(O858:Q875,$B900&amp;" ~*")&gt;0)+(IFERROR(INDEX(Setup!$G$33:$G$40,MATCH(S900,Setup!$B$33:$B$40,0)),0)=1)*(COUNTIF(S858:U875,$B900)+COUNTIF(S858:U875,$B900&amp;" ~*")&gt;0)+(IFERROR(INDEX(Setup!$G$33:$G$40,MATCH(W900,Setup!$B$33:$B$40,0)),0)=1)*(COUNTIF(W858:W875,$B900)+COUNTIF(W858:W875,$B900&amp;" ~*")&gt;0)+(IFERROR(INDEX(Setup!$G$33:$G$40,MATCH(Y900,Setup!$B$33:$B$40,0)),0)=1)*(COUNTIF(Y858:Y875,$B900)+COUNTIF(Y858:Y875,$B900&amp;" ~*")&gt;0))</f>
        <v/>
      </c>
    </row>
    <row r="901" ht="16" customHeight="1">
      <c r="A901" t="n">
        <v>18</v>
      </c>
      <c r="B901" s="106" t="inlineStr">
        <is>
          <t>Available people</t>
        </is>
      </c>
      <c r="C901" s="107">
        <f>COUNTIFS(Setup!$E$6:$E$29,"Y",Setup!$B$6:$B$29,"?*")-SUMPRODUCT(COUNTIF(C877:C900,Setup!$F$33:$F$40))</f>
        <v/>
      </c>
      <c r="D901" s="107" t="n"/>
      <c r="E901" s="107" t="n"/>
      <c r="F901" s="107" t="n"/>
      <c r="G901" s="107">
        <f>COUNTIFS(Setup!$E$6:$E$29,"Y",Setup!$B$6:$B$29,"?*")-SUMPRODUCT(COUNTIF(G877:G900,Setup!$F$33:$F$40))</f>
        <v/>
      </c>
      <c r="H901" s="107" t="n"/>
      <c r="I901" s="107" t="n"/>
      <c r="J901" s="107" t="n"/>
      <c r="K901" s="107">
        <f>COUNTIFS(Setup!$E$6:$E$29,"Y",Setup!$B$6:$B$29,"?*")-SUMPRODUCT(COUNTIF(K877:K900,Setup!$F$33:$F$40))</f>
        <v/>
      </c>
      <c r="L901" s="107" t="n"/>
      <c r="M901" s="107" t="n"/>
      <c r="N901" s="107" t="n"/>
      <c r="O901" s="107">
        <f>COUNTIFS(Setup!$E$6:$E$29,"Y",Setup!$B$6:$B$29,"?*")-SUMPRODUCT(COUNTIF(O877:O900,Setup!$F$33:$F$40))</f>
        <v/>
      </c>
      <c r="P901" s="107" t="n"/>
      <c r="Q901" s="107" t="n"/>
      <c r="R901" s="107" t="n"/>
      <c r="S901" s="107">
        <f>COUNTIFS(Setup!$E$6:$E$29,"Y",Setup!$B$6:$B$29,"?*")-SUMPRODUCT(COUNTIF(S877:S900,Setup!$F$33:$F$40))</f>
        <v/>
      </c>
      <c r="T901" s="107" t="n"/>
      <c r="U901" s="107" t="n"/>
      <c r="V901" s="107" t="n"/>
      <c r="W901" s="107">
        <f>COUNTIFS(Setup!$E$6:$E$29,"Y",Setup!$B$6:$B$29,"?*")-SUMPRODUCT(COUNTIF(W877:W900,Setup!$F$33:$F$40))</f>
        <v/>
      </c>
      <c r="X901" s="107" t="n"/>
      <c r="Y901" s="107">
        <f>COUNTIFS(Setup!$E$6:$E$29,"Y",Setup!$B$6:$B$29,"?*")-SUMPRODUCT(COUNTIF(Y877:Y900,Setup!$F$33:$F$40))</f>
        <v/>
      </c>
      <c r="Z901" s="107" t="n"/>
      <c r="AB901" s="108">
        <f>SUM(AB877:AB900)</f>
        <v/>
      </c>
      <c r="AC901" s="109">
        <f>SUM(AC877:AC900)</f>
        <v/>
      </c>
    </row>
    <row r="902" ht="30" customHeight="1">
      <c r="A902" t="n">
        <v>18</v>
      </c>
      <c r="B902" s="110" t="inlineStr">
        <is>
          <t>Week notes</t>
        </is>
      </c>
      <c r="C902" s="111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112" t="n"/>
      <c r="R902" s="112" t="n"/>
      <c r="S902" s="112" t="n"/>
      <c r="T902" s="112" t="n"/>
      <c r="U902" s="112" t="n"/>
      <c r="V902" s="112" t="n"/>
      <c r="W902" s="112" t="n"/>
      <c r="X902" s="112" t="n"/>
      <c r="Y902" s="112" t="n"/>
      <c r="Z902" s="113" t="n"/>
    </row>
    <row r="903" ht="8" customHeight="1">
      <c r="A903" t="n">
        <v>18</v>
      </c>
    </row>
    <row r="904" ht="8" customHeight="1">
      <c r="A904" t="n">
        <v>18</v>
      </c>
    </row>
    <row r="905" ht="24" customHeight="1">
      <c r="A905" t="n">
        <v>19</v>
      </c>
      <c r="B905" s="73">
        <f>"WEEK 19     "&amp;TEXT(C906,"ddd d mmm")&amp;"  –  "&amp;TEXT(C906+6,"ddd d mmm yyyy")</f>
        <v/>
      </c>
      <c r="S905" s="74">
        <f>IF(TODAY()&lt;C906,"FUTURE",IF(TODAY()&gt;C906+6,"PAST","THIS WEEK"))</f>
        <v/>
      </c>
      <c r="W905" s="75">
        <f>IF(AND(Engine!$B$8=$AC$3,Engine!$B$9=$A905),"◀ ACTIVE WEEK","")</f>
        <v/>
      </c>
      <c r="AA905" s="76" t="n"/>
      <c r="AB905" s="77" t="inlineStr">
        <is>
          <t>◀ Prev</t>
        </is>
      </c>
      <c r="AC905" s="77" t="inlineStr">
        <is>
          <t>Next ▶</t>
        </is>
      </c>
    </row>
    <row r="906" ht="18" customHeight="1">
      <c r="A906" t="n">
        <v>19</v>
      </c>
      <c r="B906" s="78" t="inlineStr">
        <is>
          <t>DUTY</t>
        </is>
      </c>
      <c r="C906" s="79">
        <f>$AC$2+7*($A906-1)</f>
        <v/>
      </c>
      <c r="D906" s="80" t="n"/>
      <c r="E906" s="80" t="n"/>
      <c r="F906" s="81" t="n"/>
      <c r="G906" s="79">
        <f>C906+1</f>
        <v/>
      </c>
      <c r="H906" s="80" t="n"/>
      <c r="I906" s="80" t="n"/>
      <c r="J906" s="81" t="n"/>
      <c r="K906" s="79">
        <f>C906+2</f>
        <v/>
      </c>
      <c r="L906" s="80" t="n"/>
      <c r="M906" s="80" t="n"/>
      <c r="N906" s="81" t="n"/>
      <c r="O906" s="79">
        <f>C906+3</f>
        <v/>
      </c>
      <c r="P906" s="80" t="n"/>
      <c r="Q906" s="80" t="n"/>
      <c r="R906" s="81" t="n"/>
      <c r="S906" s="79">
        <f>C906+4</f>
        <v/>
      </c>
      <c r="T906" s="80" t="n"/>
      <c r="U906" s="80" t="n"/>
      <c r="V906" s="81" t="n"/>
      <c r="W906" s="82">
        <f>C906+5</f>
        <v/>
      </c>
      <c r="X906" s="83" t="n"/>
      <c r="Y906" s="82">
        <f>C906+6</f>
        <v/>
      </c>
      <c r="Z906" s="83" t="n"/>
      <c r="AB906" s="72" t="inlineStr">
        <is>
          <t>Gaps</t>
        </is>
      </c>
      <c r="AC906" s="72" t="inlineStr">
        <is>
          <t>Cover</t>
        </is>
      </c>
    </row>
    <row r="907" ht="14" customHeight="1">
      <c r="A907" t="n">
        <v>19</v>
      </c>
      <c r="B907" s="84" t="inlineStr">
        <is>
          <t>(from Setup)</t>
        </is>
      </c>
      <c r="C907" s="85" t="inlineStr">
        <is>
          <t>1</t>
        </is>
      </c>
      <c r="D907" s="85" t="inlineStr">
        <is>
          <t>2</t>
        </is>
      </c>
      <c r="E907" s="85" t="inlineStr">
        <is>
          <t>3</t>
        </is>
      </c>
      <c r="F907" s="85" t="inlineStr">
        <is>
          <t>Notes</t>
        </is>
      </c>
      <c r="G907" s="85" t="inlineStr">
        <is>
          <t>1</t>
        </is>
      </c>
      <c r="H907" s="85" t="inlineStr">
        <is>
          <t>2</t>
        </is>
      </c>
      <c r="I907" s="85" t="inlineStr">
        <is>
          <t>3</t>
        </is>
      </c>
      <c r="J907" s="85" t="inlineStr">
        <is>
          <t>Notes</t>
        </is>
      </c>
      <c r="K907" s="85" t="inlineStr">
        <is>
          <t>1</t>
        </is>
      </c>
      <c r="L907" s="85" t="inlineStr">
        <is>
          <t>2</t>
        </is>
      </c>
      <c r="M907" s="85" t="inlineStr">
        <is>
          <t>3</t>
        </is>
      </c>
      <c r="N907" s="85" t="inlineStr">
        <is>
          <t>Notes</t>
        </is>
      </c>
      <c r="O907" s="85" t="inlineStr">
        <is>
          <t>1</t>
        </is>
      </c>
      <c r="P907" s="85" t="inlineStr">
        <is>
          <t>2</t>
        </is>
      </c>
      <c r="Q907" s="85" t="inlineStr">
        <is>
          <t>3</t>
        </is>
      </c>
      <c r="R907" s="85" t="inlineStr">
        <is>
          <t>Notes</t>
        </is>
      </c>
      <c r="S907" s="85" t="inlineStr">
        <is>
          <t>1</t>
        </is>
      </c>
      <c r="T907" s="85" t="inlineStr">
        <is>
          <t>2</t>
        </is>
      </c>
      <c r="U907" s="85" t="inlineStr">
        <is>
          <t>3</t>
        </is>
      </c>
      <c r="V907" s="85" t="inlineStr">
        <is>
          <t>Notes</t>
        </is>
      </c>
      <c r="W907" s="85" t="inlineStr">
        <is>
          <t>Cover</t>
        </is>
      </c>
      <c r="X907" s="85" t="inlineStr">
        <is>
          <t>Notes</t>
        </is>
      </c>
      <c r="Y907" s="85" t="inlineStr">
        <is>
          <t>Cover</t>
        </is>
      </c>
      <c r="Z907" s="85" t="inlineStr">
        <is>
          <t>Notes</t>
        </is>
      </c>
      <c r="AB907" s="86" t="inlineStr">
        <is>
          <t>weekdays short</t>
        </is>
      </c>
      <c r="AC907" s="87" t="inlineStr"/>
    </row>
    <row r="908" ht="17" customHeight="1">
      <c r="A908" t="n">
        <v>19</v>
      </c>
      <c r="B908" s="24">
        <f>IF(Setup!$K$6="","",Setup!$K$6)</f>
        <v/>
      </c>
      <c r="C908" s="88" t="n"/>
      <c r="D908" s="88" t="n"/>
      <c r="E908" s="88" t="n"/>
      <c r="F908" s="89" t="n"/>
      <c r="G908" s="88" t="n"/>
      <c r="H908" s="88" t="n"/>
      <c r="I908" s="88" t="n"/>
      <c r="J908" s="89" t="n"/>
      <c r="K908" s="88" t="n"/>
      <c r="L908" s="88" t="n"/>
      <c r="M908" s="88" t="n"/>
      <c r="N908" s="89" t="n"/>
      <c r="O908" s="88" t="n"/>
      <c r="P908" s="88" t="n"/>
      <c r="Q908" s="88" t="n"/>
      <c r="R908" s="89" t="n"/>
      <c r="S908" s="88" t="n"/>
      <c r="T908" s="88" t="n"/>
      <c r="U908" s="88" t="n"/>
      <c r="V908" s="89" t="n"/>
      <c r="W908" s="88" t="n"/>
      <c r="X908" s="89" t="n"/>
      <c r="Y908" s="88" t="n"/>
      <c r="Z908" s="89" t="n"/>
      <c r="AB908" s="25">
        <f>IF($B908="","",(COUNTIF(C908:E908,"?*")&lt;N(INDEX(Setup!$L$6:$L$23,1)))+(COUNTIF(G908:I908,"?*")&lt;N(INDEX(Setup!$L$6:$L$23,1)))+(COUNTIF(K908:M908,"?*")&lt;N(INDEX(Setup!$L$6:$L$23,1)))+(COUNTIF(O908:Q908,"?*")&lt;N(INDEX(Setup!$L$6:$L$23,1)))+(COUNTIF(S908:U908,"?*")&lt;N(INDEX(Setup!$L$6:$L$23,1)))+((W908="")*(INDEX(Setup!$M$6:$M$23,1)="Y"))+((Y908="")*(INDEX(Setup!$M$6:$M$23,1)="Y")))</f>
        <v/>
      </c>
      <c r="AC908" s="90">
        <f>IF($B908="","",IF(AB908=0,"✓ covered","⚠ "&amp;AB908&amp;IF(AB908=1," gap"," gaps")))</f>
        <v/>
      </c>
    </row>
    <row r="909" ht="17" customHeight="1">
      <c r="A909" t="n">
        <v>19</v>
      </c>
      <c r="B909" s="29">
        <f>IF(Setup!$K$7="","",Setup!$K$7)</f>
        <v/>
      </c>
      <c r="C909" s="88" t="n"/>
      <c r="D909" s="88" t="n"/>
      <c r="E909" s="88" t="n"/>
      <c r="F909" s="89" t="n"/>
      <c r="G909" s="88" t="n"/>
      <c r="H909" s="88" t="n"/>
      <c r="I909" s="88" t="n"/>
      <c r="J909" s="89" t="n"/>
      <c r="K909" s="88" t="n"/>
      <c r="L909" s="88" t="n"/>
      <c r="M909" s="88" t="n"/>
      <c r="N909" s="89" t="n"/>
      <c r="O909" s="88" t="n"/>
      <c r="P909" s="88" t="n"/>
      <c r="Q909" s="88" t="n"/>
      <c r="R909" s="89" t="n"/>
      <c r="S909" s="88" t="n"/>
      <c r="T909" s="88" t="n"/>
      <c r="U909" s="88" t="n"/>
      <c r="V909" s="89" t="n"/>
      <c r="W909" s="88" t="n"/>
      <c r="X909" s="89" t="n"/>
      <c r="Y909" s="88" t="n"/>
      <c r="Z909" s="89" t="n"/>
      <c r="AB909" s="30">
        <f>IF($B909="","",(COUNTIF(C909:E909,"?*")&lt;N(INDEX(Setup!$L$6:$L$23,2)))+(COUNTIF(G909:I909,"?*")&lt;N(INDEX(Setup!$L$6:$L$23,2)))+(COUNTIF(K909:M909,"?*")&lt;N(INDEX(Setup!$L$6:$L$23,2)))+(COUNTIF(O909:Q909,"?*")&lt;N(INDEX(Setup!$L$6:$L$23,2)))+(COUNTIF(S909:U909,"?*")&lt;N(INDEX(Setup!$L$6:$L$23,2)))+((W909="")*(INDEX(Setup!$M$6:$M$23,2)="Y"))+((Y909="")*(INDEX(Setup!$M$6:$M$23,2)="Y")))</f>
        <v/>
      </c>
      <c r="AC909" s="91">
        <f>IF($B909="","",IF(AB909=0,"✓ covered","⚠ "&amp;AB909&amp;IF(AB909=1," gap"," gaps")))</f>
        <v/>
      </c>
    </row>
    <row r="910" ht="17" customHeight="1">
      <c r="A910" t="n">
        <v>19</v>
      </c>
      <c r="B910" s="24">
        <f>IF(Setup!$K$8="","",Setup!$K$8)</f>
        <v/>
      </c>
      <c r="C910" s="88" t="n"/>
      <c r="D910" s="88" t="n"/>
      <c r="E910" s="88" t="n"/>
      <c r="F910" s="89" t="n"/>
      <c r="G910" s="88" t="n"/>
      <c r="H910" s="88" t="n"/>
      <c r="I910" s="88" t="n"/>
      <c r="J910" s="89" t="n"/>
      <c r="K910" s="88" t="n"/>
      <c r="L910" s="88" t="n"/>
      <c r="M910" s="88" t="n"/>
      <c r="N910" s="89" t="n"/>
      <c r="O910" s="88" t="n"/>
      <c r="P910" s="88" t="n"/>
      <c r="Q910" s="88" t="n"/>
      <c r="R910" s="89" t="n"/>
      <c r="S910" s="88" t="n"/>
      <c r="T910" s="88" t="n"/>
      <c r="U910" s="88" t="n"/>
      <c r="V910" s="89" t="n"/>
      <c r="W910" s="88" t="n"/>
      <c r="X910" s="89" t="n"/>
      <c r="Y910" s="88" t="n"/>
      <c r="Z910" s="89" t="n"/>
      <c r="AB910" s="25">
        <f>IF($B910="","",(COUNTIF(C910:E910,"?*")&lt;N(INDEX(Setup!$L$6:$L$23,3)))+(COUNTIF(G910:I910,"?*")&lt;N(INDEX(Setup!$L$6:$L$23,3)))+(COUNTIF(K910:M910,"?*")&lt;N(INDEX(Setup!$L$6:$L$23,3)))+(COUNTIF(O910:Q910,"?*")&lt;N(INDEX(Setup!$L$6:$L$23,3)))+(COUNTIF(S910:U910,"?*")&lt;N(INDEX(Setup!$L$6:$L$23,3)))+((W910="")*(INDEX(Setup!$M$6:$M$23,3)="Y"))+((Y910="")*(INDEX(Setup!$M$6:$M$23,3)="Y")))</f>
        <v/>
      </c>
      <c r="AC910" s="90">
        <f>IF($B910="","",IF(AB910=0,"✓ covered","⚠ "&amp;AB910&amp;IF(AB910=1," gap"," gaps")))</f>
        <v/>
      </c>
    </row>
    <row r="911" ht="17" customHeight="1">
      <c r="A911" t="n">
        <v>19</v>
      </c>
      <c r="B911" s="29">
        <f>IF(Setup!$K$9="","",Setup!$K$9)</f>
        <v/>
      </c>
      <c r="C911" s="88" t="n"/>
      <c r="D911" s="88" t="n"/>
      <c r="E911" s="88" t="n"/>
      <c r="F911" s="89" t="n"/>
      <c r="G911" s="88" t="n"/>
      <c r="H911" s="88" t="n"/>
      <c r="I911" s="88" t="n"/>
      <c r="J911" s="89" t="n"/>
      <c r="K911" s="88" t="n"/>
      <c r="L911" s="88" t="n"/>
      <c r="M911" s="88" t="n"/>
      <c r="N911" s="89" t="n"/>
      <c r="O911" s="88" t="n"/>
      <c r="P911" s="88" t="n"/>
      <c r="Q911" s="88" t="n"/>
      <c r="R911" s="89" t="n"/>
      <c r="S911" s="88" t="n"/>
      <c r="T911" s="88" t="n"/>
      <c r="U911" s="88" t="n"/>
      <c r="V911" s="89" t="n"/>
      <c r="W911" s="88" t="n"/>
      <c r="X911" s="89" t="n"/>
      <c r="Y911" s="88" t="n"/>
      <c r="Z911" s="89" t="n"/>
      <c r="AB911" s="30">
        <f>IF($B911="","",(COUNTIF(C911:E911,"?*")&lt;N(INDEX(Setup!$L$6:$L$23,4)))+(COUNTIF(G911:I911,"?*")&lt;N(INDEX(Setup!$L$6:$L$23,4)))+(COUNTIF(K911:M911,"?*")&lt;N(INDEX(Setup!$L$6:$L$23,4)))+(COUNTIF(O911:Q911,"?*")&lt;N(INDEX(Setup!$L$6:$L$23,4)))+(COUNTIF(S911:U911,"?*")&lt;N(INDEX(Setup!$L$6:$L$23,4)))+((W911="")*(INDEX(Setup!$M$6:$M$23,4)="Y"))+((Y911="")*(INDEX(Setup!$M$6:$M$23,4)="Y")))</f>
        <v/>
      </c>
      <c r="AC911" s="91">
        <f>IF($B911="","",IF(AB911=0,"✓ covered","⚠ "&amp;AB911&amp;IF(AB911=1," gap"," gaps")))</f>
        <v/>
      </c>
    </row>
    <row r="912" ht="17" customHeight="1">
      <c r="A912" t="n">
        <v>19</v>
      </c>
      <c r="B912" s="24">
        <f>IF(Setup!$K$10="","",Setup!$K$10)</f>
        <v/>
      </c>
      <c r="C912" s="88" t="n"/>
      <c r="D912" s="88" t="n"/>
      <c r="E912" s="88" t="n"/>
      <c r="F912" s="89" t="n"/>
      <c r="G912" s="88" t="n"/>
      <c r="H912" s="88" t="n"/>
      <c r="I912" s="88" t="n"/>
      <c r="J912" s="89" t="n"/>
      <c r="K912" s="88" t="n"/>
      <c r="L912" s="88" t="n"/>
      <c r="M912" s="88" t="n"/>
      <c r="N912" s="89" t="n"/>
      <c r="O912" s="88" t="n"/>
      <c r="P912" s="88" t="n"/>
      <c r="Q912" s="88" t="n"/>
      <c r="R912" s="89" t="n"/>
      <c r="S912" s="88" t="n"/>
      <c r="T912" s="88" t="n"/>
      <c r="U912" s="88" t="n"/>
      <c r="V912" s="89" t="n"/>
      <c r="W912" s="88" t="n"/>
      <c r="X912" s="89" t="n"/>
      <c r="Y912" s="88" t="n"/>
      <c r="Z912" s="89" t="n"/>
      <c r="AB912" s="25">
        <f>IF($B912="","",(COUNTIF(C912:E912,"?*")&lt;N(INDEX(Setup!$L$6:$L$23,5)))+(COUNTIF(G912:I912,"?*")&lt;N(INDEX(Setup!$L$6:$L$23,5)))+(COUNTIF(K912:M912,"?*")&lt;N(INDEX(Setup!$L$6:$L$23,5)))+(COUNTIF(O912:Q912,"?*")&lt;N(INDEX(Setup!$L$6:$L$23,5)))+(COUNTIF(S912:U912,"?*")&lt;N(INDEX(Setup!$L$6:$L$23,5)))+((W912="")*(INDEX(Setup!$M$6:$M$23,5)="Y"))+((Y912="")*(INDEX(Setup!$M$6:$M$23,5)="Y")))</f>
        <v/>
      </c>
      <c r="AC912" s="90">
        <f>IF($B912="","",IF(AB912=0,"✓ covered","⚠ "&amp;AB912&amp;IF(AB912=1," gap"," gaps")))</f>
        <v/>
      </c>
    </row>
    <row r="913" ht="17" customHeight="1">
      <c r="A913" t="n">
        <v>19</v>
      </c>
      <c r="B913" s="29">
        <f>IF(Setup!$K$11="","",Setup!$K$11)</f>
        <v/>
      </c>
      <c r="C913" s="88" t="n"/>
      <c r="D913" s="88" t="n"/>
      <c r="E913" s="88" t="n"/>
      <c r="F913" s="89" t="n"/>
      <c r="G913" s="88" t="n"/>
      <c r="H913" s="88" t="n"/>
      <c r="I913" s="88" t="n"/>
      <c r="J913" s="89" t="n"/>
      <c r="K913" s="88" t="n"/>
      <c r="L913" s="88" t="n"/>
      <c r="M913" s="88" t="n"/>
      <c r="N913" s="89" t="n"/>
      <c r="O913" s="88" t="n"/>
      <c r="P913" s="88" t="n"/>
      <c r="Q913" s="88" t="n"/>
      <c r="R913" s="89" t="n"/>
      <c r="S913" s="88" t="n"/>
      <c r="T913" s="88" t="n"/>
      <c r="U913" s="88" t="n"/>
      <c r="V913" s="89" t="n"/>
      <c r="W913" s="88" t="n"/>
      <c r="X913" s="89" t="n"/>
      <c r="Y913" s="88" t="n"/>
      <c r="Z913" s="89" t="n"/>
      <c r="AB913" s="30">
        <f>IF($B913="","",(COUNTIF(C913:E913,"?*")&lt;N(INDEX(Setup!$L$6:$L$23,6)))+(COUNTIF(G913:I913,"?*")&lt;N(INDEX(Setup!$L$6:$L$23,6)))+(COUNTIF(K913:M913,"?*")&lt;N(INDEX(Setup!$L$6:$L$23,6)))+(COUNTIF(O913:Q913,"?*")&lt;N(INDEX(Setup!$L$6:$L$23,6)))+(COUNTIF(S913:U913,"?*")&lt;N(INDEX(Setup!$L$6:$L$23,6)))+((W913="")*(INDEX(Setup!$M$6:$M$23,6)="Y"))+((Y913="")*(INDEX(Setup!$M$6:$M$23,6)="Y")))</f>
        <v/>
      </c>
      <c r="AC913" s="91">
        <f>IF($B913="","",IF(AB913=0,"✓ covered","⚠ "&amp;AB913&amp;IF(AB913=1," gap"," gaps")))</f>
        <v/>
      </c>
    </row>
    <row r="914" ht="17" customHeight="1">
      <c r="A914" t="n">
        <v>19</v>
      </c>
      <c r="B914" s="24">
        <f>IF(Setup!$K$12="","",Setup!$K$12)</f>
        <v/>
      </c>
      <c r="C914" s="88" t="n"/>
      <c r="D914" s="88" t="n"/>
      <c r="E914" s="88" t="n"/>
      <c r="F914" s="89" t="n"/>
      <c r="G914" s="88" t="n"/>
      <c r="H914" s="88" t="n"/>
      <c r="I914" s="88" t="n"/>
      <c r="J914" s="89" t="n"/>
      <c r="K914" s="88" t="n"/>
      <c r="L914" s="88" t="n"/>
      <c r="M914" s="88" t="n"/>
      <c r="N914" s="89" t="n"/>
      <c r="O914" s="88" t="n"/>
      <c r="P914" s="88" t="n"/>
      <c r="Q914" s="88" t="n"/>
      <c r="R914" s="89" t="n"/>
      <c r="S914" s="88" t="n"/>
      <c r="T914" s="88" t="n"/>
      <c r="U914" s="88" t="n"/>
      <c r="V914" s="89" t="n"/>
      <c r="W914" s="88" t="n"/>
      <c r="X914" s="89" t="n"/>
      <c r="Y914" s="88" t="n"/>
      <c r="Z914" s="89" t="n"/>
      <c r="AB914" s="25">
        <f>IF($B914="","",(COUNTIF(C914:E914,"?*")&lt;N(INDEX(Setup!$L$6:$L$23,7)))+(COUNTIF(G914:I914,"?*")&lt;N(INDEX(Setup!$L$6:$L$23,7)))+(COUNTIF(K914:M914,"?*")&lt;N(INDEX(Setup!$L$6:$L$23,7)))+(COUNTIF(O914:Q914,"?*")&lt;N(INDEX(Setup!$L$6:$L$23,7)))+(COUNTIF(S914:U914,"?*")&lt;N(INDEX(Setup!$L$6:$L$23,7)))+((W914="")*(INDEX(Setup!$M$6:$M$23,7)="Y"))+((Y914="")*(INDEX(Setup!$M$6:$M$23,7)="Y")))</f>
        <v/>
      </c>
      <c r="AC914" s="90">
        <f>IF($B914="","",IF(AB914=0,"✓ covered","⚠ "&amp;AB914&amp;IF(AB914=1," gap"," gaps")))</f>
        <v/>
      </c>
    </row>
    <row r="915" ht="17" customHeight="1">
      <c r="A915" t="n">
        <v>19</v>
      </c>
      <c r="B915" s="29">
        <f>IF(Setup!$K$13="","",Setup!$K$13)</f>
        <v/>
      </c>
      <c r="C915" s="88" t="n"/>
      <c r="D915" s="88" t="n"/>
      <c r="E915" s="88" t="n"/>
      <c r="F915" s="89" t="n"/>
      <c r="G915" s="88" t="n"/>
      <c r="H915" s="88" t="n"/>
      <c r="I915" s="88" t="n"/>
      <c r="J915" s="89" t="n"/>
      <c r="K915" s="88" t="n"/>
      <c r="L915" s="88" t="n"/>
      <c r="M915" s="88" t="n"/>
      <c r="N915" s="89" t="n"/>
      <c r="O915" s="88" t="n"/>
      <c r="P915" s="88" t="n"/>
      <c r="Q915" s="88" t="n"/>
      <c r="R915" s="89" t="n"/>
      <c r="S915" s="88" t="n"/>
      <c r="T915" s="88" t="n"/>
      <c r="U915" s="88" t="n"/>
      <c r="V915" s="89" t="n"/>
      <c r="W915" s="88" t="n"/>
      <c r="X915" s="89" t="n"/>
      <c r="Y915" s="88" t="n"/>
      <c r="Z915" s="89" t="n"/>
      <c r="AB915" s="30">
        <f>IF($B915="","",(COUNTIF(C915:E915,"?*")&lt;N(INDEX(Setup!$L$6:$L$23,8)))+(COUNTIF(G915:I915,"?*")&lt;N(INDEX(Setup!$L$6:$L$23,8)))+(COUNTIF(K915:M915,"?*")&lt;N(INDEX(Setup!$L$6:$L$23,8)))+(COUNTIF(O915:Q915,"?*")&lt;N(INDEX(Setup!$L$6:$L$23,8)))+(COUNTIF(S915:U915,"?*")&lt;N(INDEX(Setup!$L$6:$L$23,8)))+((W915="")*(INDEX(Setup!$M$6:$M$23,8)="Y"))+((Y915="")*(INDEX(Setup!$M$6:$M$23,8)="Y")))</f>
        <v/>
      </c>
      <c r="AC915" s="91">
        <f>IF($B915="","",IF(AB915=0,"✓ covered","⚠ "&amp;AB915&amp;IF(AB915=1," gap"," gaps")))</f>
        <v/>
      </c>
    </row>
    <row r="916" ht="17" customHeight="1">
      <c r="A916" t="n">
        <v>19</v>
      </c>
      <c r="B916" s="24">
        <f>IF(Setup!$K$14="","",Setup!$K$14)</f>
        <v/>
      </c>
      <c r="C916" s="88" t="n"/>
      <c r="D916" s="88" t="n"/>
      <c r="E916" s="88" t="n"/>
      <c r="F916" s="89" t="n"/>
      <c r="G916" s="88" t="n"/>
      <c r="H916" s="88" t="n"/>
      <c r="I916" s="88" t="n"/>
      <c r="J916" s="89" t="n"/>
      <c r="K916" s="88" t="n"/>
      <c r="L916" s="88" t="n"/>
      <c r="M916" s="88" t="n"/>
      <c r="N916" s="89" t="n"/>
      <c r="O916" s="88" t="n"/>
      <c r="P916" s="88" t="n"/>
      <c r="Q916" s="88" t="n"/>
      <c r="R916" s="89" t="n"/>
      <c r="S916" s="88" t="n"/>
      <c r="T916" s="88" t="n"/>
      <c r="U916" s="88" t="n"/>
      <c r="V916" s="89" t="n"/>
      <c r="W916" s="88" t="n"/>
      <c r="X916" s="89" t="n"/>
      <c r="Y916" s="88" t="n"/>
      <c r="Z916" s="89" t="n"/>
      <c r="AB916" s="25">
        <f>IF($B916="","",(COUNTIF(C916:E916,"?*")&lt;N(INDEX(Setup!$L$6:$L$23,9)))+(COUNTIF(G916:I916,"?*")&lt;N(INDEX(Setup!$L$6:$L$23,9)))+(COUNTIF(K916:M916,"?*")&lt;N(INDEX(Setup!$L$6:$L$23,9)))+(COUNTIF(O916:Q916,"?*")&lt;N(INDEX(Setup!$L$6:$L$23,9)))+(COUNTIF(S916:U916,"?*")&lt;N(INDEX(Setup!$L$6:$L$23,9)))+((W916="")*(INDEX(Setup!$M$6:$M$23,9)="Y"))+((Y916="")*(INDEX(Setup!$M$6:$M$23,9)="Y")))</f>
        <v/>
      </c>
      <c r="AC916" s="90">
        <f>IF($B916="","",IF(AB916=0,"✓ covered","⚠ "&amp;AB916&amp;IF(AB916=1," gap"," gaps")))</f>
        <v/>
      </c>
    </row>
    <row r="917" ht="17" customHeight="1">
      <c r="A917" t="n">
        <v>19</v>
      </c>
      <c r="B917" s="29">
        <f>IF(Setup!$K$15="","",Setup!$K$15)</f>
        <v/>
      </c>
      <c r="C917" s="88" t="n"/>
      <c r="D917" s="88" t="n"/>
      <c r="E917" s="88" t="n"/>
      <c r="F917" s="89" t="n"/>
      <c r="G917" s="88" t="n"/>
      <c r="H917" s="88" t="n"/>
      <c r="I917" s="88" t="n"/>
      <c r="J917" s="89" t="n"/>
      <c r="K917" s="88" t="n"/>
      <c r="L917" s="88" t="n"/>
      <c r="M917" s="88" t="n"/>
      <c r="N917" s="89" t="n"/>
      <c r="O917" s="88" t="n"/>
      <c r="P917" s="88" t="n"/>
      <c r="Q917" s="88" t="n"/>
      <c r="R917" s="89" t="n"/>
      <c r="S917" s="88" t="n"/>
      <c r="T917" s="88" t="n"/>
      <c r="U917" s="88" t="n"/>
      <c r="V917" s="89" t="n"/>
      <c r="W917" s="88" t="n"/>
      <c r="X917" s="89" t="n"/>
      <c r="Y917" s="88" t="n"/>
      <c r="Z917" s="89" t="n"/>
      <c r="AB917" s="30">
        <f>IF($B917="","",(COUNTIF(C917:E917,"?*")&lt;N(INDEX(Setup!$L$6:$L$23,10)))+(COUNTIF(G917:I917,"?*")&lt;N(INDEX(Setup!$L$6:$L$23,10)))+(COUNTIF(K917:M917,"?*")&lt;N(INDEX(Setup!$L$6:$L$23,10)))+(COUNTIF(O917:Q917,"?*")&lt;N(INDEX(Setup!$L$6:$L$23,10)))+(COUNTIF(S917:U917,"?*")&lt;N(INDEX(Setup!$L$6:$L$23,10)))+((W917="")*(INDEX(Setup!$M$6:$M$23,10)="Y"))+((Y917="")*(INDEX(Setup!$M$6:$M$23,10)="Y")))</f>
        <v/>
      </c>
      <c r="AC917" s="91">
        <f>IF($B917="","",IF(AB917=0,"✓ covered","⚠ "&amp;AB917&amp;IF(AB917=1," gap"," gaps")))</f>
        <v/>
      </c>
    </row>
    <row r="918" ht="17" customHeight="1">
      <c r="A918" t="n">
        <v>19</v>
      </c>
      <c r="B918" s="24">
        <f>IF(Setup!$K$16="","",Setup!$K$16)</f>
        <v/>
      </c>
      <c r="C918" s="88" t="n"/>
      <c r="D918" s="88" t="n"/>
      <c r="E918" s="88" t="n"/>
      <c r="F918" s="89" t="n"/>
      <c r="G918" s="88" t="n"/>
      <c r="H918" s="88" t="n"/>
      <c r="I918" s="88" t="n"/>
      <c r="J918" s="89" t="n"/>
      <c r="K918" s="88" t="n"/>
      <c r="L918" s="88" t="n"/>
      <c r="M918" s="88" t="n"/>
      <c r="N918" s="89" t="n"/>
      <c r="O918" s="88" t="n"/>
      <c r="P918" s="88" t="n"/>
      <c r="Q918" s="88" t="n"/>
      <c r="R918" s="89" t="n"/>
      <c r="S918" s="88" t="n"/>
      <c r="T918" s="88" t="n"/>
      <c r="U918" s="88" t="n"/>
      <c r="V918" s="89" t="n"/>
      <c r="W918" s="88" t="n"/>
      <c r="X918" s="89" t="n"/>
      <c r="Y918" s="88" t="n"/>
      <c r="Z918" s="89" t="n"/>
      <c r="AB918" s="25">
        <f>IF($B918="","",(COUNTIF(C918:E918,"?*")&lt;N(INDEX(Setup!$L$6:$L$23,11)))+(COUNTIF(G918:I918,"?*")&lt;N(INDEX(Setup!$L$6:$L$23,11)))+(COUNTIF(K918:M918,"?*")&lt;N(INDEX(Setup!$L$6:$L$23,11)))+(COUNTIF(O918:Q918,"?*")&lt;N(INDEX(Setup!$L$6:$L$23,11)))+(COUNTIF(S918:U918,"?*")&lt;N(INDEX(Setup!$L$6:$L$23,11)))+((W918="")*(INDEX(Setup!$M$6:$M$23,11)="Y"))+((Y918="")*(INDEX(Setup!$M$6:$M$23,11)="Y")))</f>
        <v/>
      </c>
      <c r="AC918" s="90">
        <f>IF($B918="","",IF(AB918=0,"✓ covered","⚠ "&amp;AB918&amp;IF(AB918=1," gap"," gaps")))</f>
        <v/>
      </c>
    </row>
    <row r="919" ht="17" customHeight="1">
      <c r="A919" t="n">
        <v>19</v>
      </c>
      <c r="B919" s="29">
        <f>IF(Setup!$K$17="","",Setup!$K$17)</f>
        <v/>
      </c>
      <c r="C919" s="88" t="n"/>
      <c r="D919" s="88" t="n"/>
      <c r="E919" s="88" t="n"/>
      <c r="F919" s="89" t="n"/>
      <c r="G919" s="88" t="n"/>
      <c r="H919" s="88" t="n"/>
      <c r="I919" s="88" t="n"/>
      <c r="J919" s="89" t="n"/>
      <c r="K919" s="88" t="n"/>
      <c r="L919" s="88" t="n"/>
      <c r="M919" s="88" t="n"/>
      <c r="N919" s="89" t="n"/>
      <c r="O919" s="88" t="n"/>
      <c r="P919" s="88" t="n"/>
      <c r="Q919" s="88" t="n"/>
      <c r="R919" s="89" t="n"/>
      <c r="S919" s="88" t="n"/>
      <c r="T919" s="88" t="n"/>
      <c r="U919" s="88" t="n"/>
      <c r="V919" s="89" t="n"/>
      <c r="W919" s="88" t="n"/>
      <c r="X919" s="89" t="n"/>
      <c r="Y919" s="88" t="n"/>
      <c r="Z919" s="89" t="n"/>
      <c r="AB919" s="30">
        <f>IF($B919="","",(COUNTIF(C919:E919,"?*")&lt;N(INDEX(Setup!$L$6:$L$23,12)))+(COUNTIF(G919:I919,"?*")&lt;N(INDEX(Setup!$L$6:$L$23,12)))+(COUNTIF(K919:M919,"?*")&lt;N(INDEX(Setup!$L$6:$L$23,12)))+(COUNTIF(O919:Q919,"?*")&lt;N(INDEX(Setup!$L$6:$L$23,12)))+(COUNTIF(S919:U919,"?*")&lt;N(INDEX(Setup!$L$6:$L$23,12)))+((W919="")*(INDEX(Setup!$M$6:$M$23,12)="Y"))+((Y919="")*(INDEX(Setup!$M$6:$M$23,12)="Y")))</f>
        <v/>
      </c>
      <c r="AC919" s="91">
        <f>IF($B919="","",IF(AB919=0,"✓ covered","⚠ "&amp;AB919&amp;IF(AB919=1," gap"," gaps")))</f>
        <v/>
      </c>
    </row>
    <row r="920" ht="17" customHeight="1">
      <c r="A920" t="n">
        <v>19</v>
      </c>
      <c r="B920" s="24">
        <f>IF(Setup!$K$18="","",Setup!$K$18)</f>
        <v/>
      </c>
      <c r="C920" s="88" t="n"/>
      <c r="D920" s="88" t="n"/>
      <c r="E920" s="88" t="n"/>
      <c r="F920" s="89" t="n"/>
      <c r="G920" s="88" t="n"/>
      <c r="H920" s="88" t="n"/>
      <c r="I920" s="88" t="n"/>
      <c r="J920" s="89" t="n"/>
      <c r="K920" s="88" t="n"/>
      <c r="L920" s="88" t="n"/>
      <c r="M920" s="88" t="n"/>
      <c r="N920" s="89" t="n"/>
      <c r="O920" s="88" t="n"/>
      <c r="P920" s="88" t="n"/>
      <c r="Q920" s="88" t="n"/>
      <c r="R920" s="89" t="n"/>
      <c r="S920" s="88" t="n"/>
      <c r="T920" s="88" t="n"/>
      <c r="U920" s="88" t="n"/>
      <c r="V920" s="89" t="n"/>
      <c r="W920" s="88" t="n"/>
      <c r="X920" s="89" t="n"/>
      <c r="Y920" s="88" t="n"/>
      <c r="Z920" s="89" t="n"/>
      <c r="AB920" s="25">
        <f>IF($B920="","",(COUNTIF(C920:E920,"?*")&lt;N(INDEX(Setup!$L$6:$L$23,13)))+(COUNTIF(G920:I920,"?*")&lt;N(INDEX(Setup!$L$6:$L$23,13)))+(COUNTIF(K920:M920,"?*")&lt;N(INDEX(Setup!$L$6:$L$23,13)))+(COUNTIF(O920:Q920,"?*")&lt;N(INDEX(Setup!$L$6:$L$23,13)))+(COUNTIF(S920:U920,"?*")&lt;N(INDEX(Setup!$L$6:$L$23,13)))+((W920="")*(INDEX(Setup!$M$6:$M$23,13)="Y"))+((Y920="")*(INDEX(Setup!$M$6:$M$23,13)="Y")))</f>
        <v/>
      </c>
      <c r="AC920" s="90">
        <f>IF($B920="","",IF(AB920=0,"✓ covered","⚠ "&amp;AB920&amp;IF(AB920=1," gap"," gaps")))</f>
        <v/>
      </c>
    </row>
    <row r="921" ht="17" customHeight="1">
      <c r="A921" t="n">
        <v>19</v>
      </c>
      <c r="B921" s="29">
        <f>IF(Setup!$K$19="","",Setup!$K$19)</f>
        <v/>
      </c>
      <c r="C921" s="88" t="n"/>
      <c r="D921" s="88" t="n"/>
      <c r="E921" s="88" t="n"/>
      <c r="F921" s="89" t="n"/>
      <c r="G921" s="88" t="n"/>
      <c r="H921" s="88" t="n"/>
      <c r="I921" s="88" t="n"/>
      <c r="J921" s="89" t="n"/>
      <c r="K921" s="88" t="n"/>
      <c r="L921" s="88" t="n"/>
      <c r="M921" s="88" t="n"/>
      <c r="N921" s="89" t="n"/>
      <c r="O921" s="88" t="n"/>
      <c r="P921" s="88" t="n"/>
      <c r="Q921" s="88" t="n"/>
      <c r="R921" s="89" t="n"/>
      <c r="S921" s="88" t="n"/>
      <c r="T921" s="88" t="n"/>
      <c r="U921" s="88" t="n"/>
      <c r="V921" s="89" t="n"/>
      <c r="W921" s="88" t="n"/>
      <c r="X921" s="89" t="n"/>
      <c r="Y921" s="88" t="n"/>
      <c r="Z921" s="89" t="n"/>
      <c r="AB921" s="30">
        <f>IF($B921="","",(COUNTIF(C921:E921,"?*")&lt;N(INDEX(Setup!$L$6:$L$23,14)))+(COUNTIF(G921:I921,"?*")&lt;N(INDEX(Setup!$L$6:$L$23,14)))+(COUNTIF(K921:M921,"?*")&lt;N(INDEX(Setup!$L$6:$L$23,14)))+(COUNTIF(O921:Q921,"?*")&lt;N(INDEX(Setup!$L$6:$L$23,14)))+(COUNTIF(S921:U921,"?*")&lt;N(INDEX(Setup!$L$6:$L$23,14)))+((W921="")*(INDEX(Setup!$M$6:$M$23,14)="Y"))+((Y921="")*(INDEX(Setup!$M$6:$M$23,14)="Y")))</f>
        <v/>
      </c>
      <c r="AC921" s="91">
        <f>IF($B921="","",IF(AB921=0,"✓ covered","⚠ "&amp;AB921&amp;IF(AB921=1," gap"," gaps")))</f>
        <v/>
      </c>
    </row>
    <row r="922" ht="17" customHeight="1">
      <c r="A922" t="n">
        <v>19</v>
      </c>
      <c r="B922" s="24">
        <f>IF(Setup!$K$20="","",Setup!$K$20)</f>
        <v/>
      </c>
      <c r="C922" s="88" t="n"/>
      <c r="D922" s="88" t="n"/>
      <c r="E922" s="88" t="n"/>
      <c r="F922" s="89" t="n"/>
      <c r="G922" s="88" t="n"/>
      <c r="H922" s="88" t="n"/>
      <c r="I922" s="88" t="n"/>
      <c r="J922" s="89" t="n"/>
      <c r="K922" s="88" t="n"/>
      <c r="L922" s="88" t="n"/>
      <c r="M922" s="88" t="n"/>
      <c r="N922" s="89" t="n"/>
      <c r="O922" s="88" t="n"/>
      <c r="P922" s="88" t="n"/>
      <c r="Q922" s="88" t="n"/>
      <c r="R922" s="89" t="n"/>
      <c r="S922" s="88" t="n"/>
      <c r="T922" s="88" t="n"/>
      <c r="U922" s="88" t="n"/>
      <c r="V922" s="89" t="n"/>
      <c r="W922" s="88" t="n"/>
      <c r="X922" s="89" t="n"/>
      <c r="Y922" s="88" t="n"/>
      <c r="Z922" s="89" t="n"/>
      <c r="AB922" s="25">
        <f>IF($B922="","",(COUNTIF(C922:E922,"?*")&lt;N(INDEX(Setup!$L$6:$L$23,15)))+(COUNTIF(G922:I922,"?*")&lt;N(INDEX(Setup!$L$6:$L$23,15)))+(COUNTIF(K922:M922,"?*")&lt;N(INDEX(Setup!$L$6:$L$23,15)))+(COUNTIF(O922:Q922,"?*")&lt;N(INDEX(Setup!$L$6:$L$23,15)))+(COUNTIF(S922:U922,"?*")&lt;N(INDEX(Setup!$L$6:$L$23,15)))+((W922="")*(INDEX(Setup!$M$6:$M$23,15)="Y"))+((Y922="")*(INDEX(Setup!$M$6:$M$23,15)="Y")))</f>
        <v/>
      </c>
      <c r="AC922" s="90">
        <f>IF($B922="","",IF(AB922=0,"✓ covered","⚠ "&amp;AB922&amp;IF(AB922=1," gap"," gaps")))</f>
        <v/>
      </c>
    </row>
    <row r="923" ht="17" customHeight="1">
      <c r="A923" t="n">
        <v>19</v>
      </c>
      <c r="B923" s="29">
        <f>IF(Setup!$K$21="","",Setup!$K$21)</f>
        <v/>
      </c>
      <c r="C923" s="88" t="n"/>
      <c r="D923" s="88" t="n"/>
      <c r="E923" s="88" t="n"/>
      <c r="F923" s="89" t="n"/>
      <c r="G923" s="88" t="n"/>
      <c r="H923" s="88" t="n"/>
      <c r="I923" s="88" t="n"/>
      <c r="J923" s="89" t="n"/>
      <c r="K923" s="88" t="n"/>
      <c r="L923" s="88" t="n"/>
      <c r="M923" s="88" t="n"/>
      <c r="N923" s="89" t="n"/>
      <c r="O923" s="88" t="n"/>
      <c r="P923" s="88" t="n"/>
      <c r="Q923" s="88" t="n"/>
      <c r="R923" s="89" t="n"/>
      <c r="S923" s="88" t="n"/>
      <c r="T923" s="88" t="n"/>
      <c r="U923" s="88" t="n"/>
      <c r="V923" s="89" t="n"/>
      <c r="W923" s="88" t="n"/>
      <c r="X923" s="89" t="n"/>
      <c r="Y923" s="88" t="n"/>
      <c r="Z923" s="89" t="n"/>
      <c r="AB923" s="30">
        <f>IF($B923="","",(COUNTIF(C923:E923,"?*")&lt;N(INDEX(Setup!$L$6:$L$23,16)))+(COUNTIF(G923:I923,"?*")&lt;N(INDEX(Setup!$L$6:$L$23,16)))+(COUNTIF(K923:M923,"?*")&lt;N(INDEX(Setup!$L$6:$L$23,16)))+(COUNTIF(O923:Q923,"?*")&lt;N(INDEX(Setup!$L$6:$L$23,16)))+(COUNTIF(S923:U923,"?*")&lt;N(INDEX(Setup!$L$6:$L$23,16)))+((W923="")*(INDEX(Setup!$M$6:$M$23,16)="Y"))+((Y923="")*(INDEX(Setup!$M$6:$M$23,16)="Y")))</f>
        <v/>
      </c>
      <c r="AC923" s="91">
        <f>IF($B923="","",IF(AB923=0,"✓ covered","⚠ "&amp;AB923&amp;IF(AB923=1," gap"," gaps")))</f>
        <v/>
      </c>
    </row>
    <row r="924" ht="17" customHeight="1">
      <c r="A924" t="n">
        <v>19</v>
      </c>
      <c r="B924" s="24">
        <f>IF(Setup!$K$22="","",Setup!$K$22)</f>
        <v/>
      </c>
      <c r="C924" s="88" t="n"/>
      <c r="D924" s="88" t="n"/>
      <c r="E924" s="88" t="n"/>
      <c r="F924" s="89" t="n"/>
      <c r="G924" s="88" t="n"/>
      <c r="H924" s="88" t="n"/>
      <c r="I924" s="88" t="n"/>
      <c r="J924" s="89" t="n"/>
      <c r="K924" s="88" t="n"/>
      <c r="L924" s="88" t="n"/>
      <c r="M924" s="88" t="n"/>
      <c r="N924" s="89" t="n"/>
      <c r="O924" s="88" t="n"/>
      <c r="P924" s="88" t="n"/>
      <c r="Q924" s="88" t="n"/>
      <c r="R924" s="89" t="n"/>
      <c r="S924" s="88" t="n"/>
      <c r="T924" s="88" t="n"/>
      <c r="U924" s="88" t="n"/>
      <c r="V924" s="89" t="n"/>
      <c r="W924" s="88" t="n"/>
      <c r="X924" s="89" t="n"/>
      <c r="Y924" s="88" t="n"/>
      <c r="Z924" s="89" t="n"/>
      <c r="AB924" s="25">
        <f>IF($B924="","",(COUNTIF(C924:E924,"?*")&lt;N(INDEX(Setup!$L$6:$L$23,17)))+(COUNTIF(G924:I924,"?*")&lt;N(INDEX(Setup!$L$6:$L$23,17)))+(COUNTIF(K924:M924,"?*")&lt;N(INDEX(Setup!$L$6:$L$23,17)))+(COUNTIF(O924:Q924,"?*")&lt;N(INDEX(Setup!$L$6:$L$23,17)))+(COUNTIF(S924:U924,"?*")&lt;N(INDEX(Setup!$L$6:$L$23,17)))+((W924="")*(INDEX(Setup!$M$6:$M$23,17)="Y"))+((Y924="")*(INDEX(Setup!$M$6:$M$23,17)="Y")))</f>
        <v/>
      </c>
      <c r="AC924" s="90">
        <f>IF($B924="","",IF(AB924=0,"✓ covered","⚠ "&amp;AB924&amp;IF(AB924=1," gap"," gaps")))</f>
        <v/>
      </c>
    </row>
    <row r="925" ht="17" customHeight="1">
      <c r="A925" t="n">
        <v>19</v>
      </c>
      <c r="B925" s="29">
        <f>IF(Setup!$K$23="","",Setup!$K$23)</f>
        <v/>
      </c>
      <c r="C925" s="88" t="n"/>
      <c r="D925" s="88" t="n"/>
      <c r="E925" s="88" t="n"/>
      <c r="F925" s="89" t="n"/>
      <c r="G925" s="88" t="n"/>
      <c r="H925" s="88" t="n"/>
      <c r="I925" s="88" t="n"/>
      <c r="J925" s="89" t="n"/>
      <c r="K925" s="88" t="n"/>
      <c r="L925" s="88" t="n"/>
      <c r="M925" s="88" t="n"/>
      <c r="N925" s="89" t="n"/>
      <c r="O925" s="88" t="n"/>
      <c r="P925" s="88" t="n"/>
      <c r="Q925" s="88" t="n"/>
      <c r="R925" s="89" t="n"/>
      <c r="S925" s="88" t="n"/>
      <c r="T925" s="88" t="n"/>
      <c r="U925" s="88" t="n"/>
      <c r="V925" s="89" t="n"/>
      <c r="W925" s="88" t="n"/>
      <c r="X925" s="89" t="n"/>
      <c r="Y925" s="88" t="n"/>
      <c r="Z925" s="89" t="n"/>
      <c r="AB925" s="30">
        <f>IF($B925="","",(COUNTIF(C925:E925,"?*")&lt;N(INDEX(Setup!$L$6:$L$23,18)))+(COUNTIF(G925:I925,"?*")&lt;N(INDEX(Setup!$L$6:$L$23,18)))+(COUNTIF(K925:M925,"?*")&lt;N(INDEX(Setup!$L$6:$L$23,18)))+(COUNTIF(O925:Q925,"?*")&lt;N(INDEX(Setup!$L$6:$L$23,18)))+(COUNTIF(S925:U925,"?*")&lt;N(INDEX(Setup!$L$6:$L$23,18)))+((W925="")*(INDEX(Setup!$M$6:$M$23,18)="Y"))+((Y925="")*(INDEX(Setup!$M$6:$M$23,18)="Y")))</f>
        <v/>
      </c>
      <c r="AC925" s="91">
        <f>IF($B925="","",IF(AB925=0,"✓ covered","⚠ "&amp;AB925&amp;IF(AB925=1," gap"," gaps")))</f>
        <v/>
      </c>
    </row>
    <row r="926" ht="18" customHeight="1">
      <c r="A926" t="n">
        <v>19</v>
      </c>
      <c r="B926" s="78" t="inlineStr">
        <is>
          <t>TEAM AVAILABILITY</t>
        </is>
      </c>
      <c r="C926" s="92" t="inlineStr">
        <is>
          <t>Mon</t>
        </is>
      </c>
      <c r="D926" s="93" t="n"/>
      <c r="E926" s="93" t="n"/>
      <c r="F926" s="94" t="n"/>
      <c r="G926" s="92" t="inlineStr">
        <is>
          <t>Tue</t>
        </is>
      </c>
      <c r="H926" s="93" t="n"/>
      <c r="I926" s="93" t="n"/>
      <c r="J926" s="94" t="n"/>
      <c r="K926" s="92" t="inlineStr">
        <is>
          <t>Wed</t>
        </is>
      </c>
      <c r="L926" s="93" t="n"/>
      <c r="M926" s="93" t="n"/>
      <c r="N926" s="94" t="n"/>
      <c r="O926" s="92" t="inlineStr">
        <is>
          <t>Thu</t>
        </is>
      </c>
      <c r="P926" s="93" t="n"/>
      <c r="Q926" s="93" t="n"/>
      <c r="R926" s="94" t="n"/>
      <c r="S926" s="92" t="inlineStr">
        <is>
          <t>Fri</t>
        </is>
      </c>
      <c r="T926" s="93" t="n"/>
      <c r="U926" s="93" t="n"/>
      <c r="V926" s="94" t="n"/>
      <c r="W926" s="95" t="inlineStr">
        <is>
          <t>Sat</t>
        </is>
      </c>
      <c r="X926" s="96" t="n"/>
      <c r="Y926" s="95" t="inlineStr">
        <is>
          <t>Sun</t>
        </is>
      </c>
      <c r="Z926" s="96" t="n"/>
      <c r="AB926" s="97" t="inlineStr">
        <is>
          <t>Days rostered</t>
        </is>
      </c>
      <c r="AC926" s="97" t="inlineStr">
        <is>
          <t>Conflicts</t>
        </is>
      </c>
    </row>
    <row r="927" ht="15" customHeight="1">
      <c r="A927" t="n">
        <v>19</v>
      </c>
      <c r="B927" s="35">
        <f>IF(Setup!$B$6="","",Setup!$B$6)</f>
        <v/>
      </c>
      <c r="C927" s="98" t="n"/>
      <c r="D927" s="99" t="n"/>
      <c r="E927" s="99" t="n"/>
      <c r="F927" s="100" t="n"/>
      <c r="G927" s="98" t="n"/>
      <c r="H927" s="99" t="n"/>
      <c r="I927" s="99" t="n"/>
      <c r="J927" s="100" t="n"/>
      <c r="K927" s="98" t="n"/>
      <c r="L927" s="99" t="n"/>
      <c r="M927" s="99" t="n"/>
      <c r="N927" s="100" t="n"/>
      <c r="O927" s="98" t="n"/>
      <c r="P927" s="99" t="n"/>
      <c r="Q927" s="99" t="n"/>
      <c r="R927" s="100" t="n"/>
      <c r="S927" s="98" t="n"/>
      <c r="T927" s="99" t="n"/>
      <c r="U927" s="99" t="n"/>
      <c r="V927" s="100" t="n"/>
      <c r="W927" s="98" t="n"/>
      <c r="X927" s="100" t="n"/>
      <c r="Y927" s="98" t="n"/>
      <c r="Z927" s="100" t="n"/>
      <c r="AB927" s="101">
        <f>IF($B927="","",(COUNTIF(C908:E925,$B927)+COUNTIF(C908:E925,$B927&amp;" ~*")&gt;0)+(COUNTIF(G908:I925,$B927)+COUNTIF(G908:I925,$B927&amp;" ~*")&gt;0)+(COUNTIF(K908:M925,$B927)+COUNTIF(K908:M925,$B927&amp;" ~*")&gt;0)+(COUNTIF(O908:Q925,$B927)+COUNTIF(O908:Q925,$B927&amp;" ~*")&gt;0)+(COUNTIF(S908:U925,$B927)+COUNTIF(S908:U925,$B927&amp;" ~*")&gt;0)+(COUNTIF(W908:W925,$B927)+COUNTIF(W908:W925,$B927&amp;" ~*")&gt;0)+(COUNTIF(Y908:Y925,$B927)+COUNTIF(Y908:Y925,$B927&amp;" ~*")&gt;0))</f>
        <v/>
      </c>
      <c r="AC927" s="36">
        <f>IF($B927="","",(IFERROR(INDEX(Setup!$G$33:$G$40,MATCH(C927,Setup!$B$33:$B$40,0)),0)=1)*(COUNTIF(C908:E925,$B927)+COUNTIF(C908:E925,$B927&amp;" ~*")&gt;0)+(IFERROR(INDEX(Setup!$G$33:$G$40,MATCH(G927,Setup!$B$33:$B$40,0)),0)=1)*(COUNTIF(G908:I925,$B927)+COUNTIF(G908:I925,$B927&amp;" ~*")&gt;0)+(IFERROR(INDEX(Setup!$G$33:$G$40,MATCH(K927,Setup!$B$33:$B$40,0)),0)=1)*(COUNTIF(K908:M925,$B927)+COUNTIF(K908:M925,$B927&amp;" ~*")&gt;0)+(IFERROR(INDEX(Setup!$G$33:$G$40,MATCH(O927,Setup!$B$33:$B$40,0)),0)=1)*(COUNTIF(O908:Q925,$B927)+COUNTIF(O908:Q925,$B927&amp;" ~*")&gt;0)+(IFERROR(INDEX(Setup!$G$33:$G$40,MATCH(S927,Setup!$B$33:$B$40,0)),0)=1)*(COUNTIF(S908:U925,$B927)+COUNTIF(S908:U925,$B927&amp;" ~*")&gt;0)+(IFERROR(INDEX(Setup!$G$33:$G$40,MATCH(W927,Setup!$B$33:$B$40,0)),0)=1)*(COUNTIF(W908:W925,$B927)+COUNTIF(W908:W925,$B927&amp;" ~*")&gt;0)+(IFERROR(INDEX(Setup!$G$33:$G$40,MATCH(Y927,Setup!$B$33:$B$40,0)),0)=1)*(COUNTIF(Y908:Y925,$B927)+COUNTIF(Y908:Y925,$B927&amp;" ~*")&gt;0))</f>
        <v/>
      </c>
    </row>
    <row r="928" ht="15" customHeight="1">
      <c r="A928" t="n">
        <v>19</v>
      </c>
      <c r="B928" s="37">
        <f>IF(Setup!$B$7="","",Setup!$B$7)</f>
        <v/>
      </c>
      <c r="C928" s="102" t="n"/>
      <c r="D928" s="103" t="n"/>
      <c r="E928" s="103" t="n"/>
      <c r="F928" s="104" t="n"/>
      <c r="G928" s="102" t="n"/>
      <c r="H928" s="103" t="n"/>
      <c r="I928" s="103" t="n"/>
      <c r="J928" s="104" t="n"/>
      <c r="K928" s="102" t="n"/>
      <c r="L928" s="103" t="n"/>
      <c r="M928" s="103" t="n"/>
      <c r="N928" s="104" t="n"/>
      <c r="O928" s="102" t="n"/>
      <c r="P928" s="103" t="n"/>
      <c r="Q928" s="103" t="n"/>
      <c r="R928" s="104" t="n"/>
      <c r="S928" s="102" t="n"/>
      <c r="T928" s="103" t="n"/>
      <c r="U928" s="103" t="n"/>
      <c r="V928" s="104" t="n"/>
      <c r="W928" s="102" t="n"/>
      <c r="X928" s="104" t="n"/>
      <c r="Y928" s="102" t="n"/>
      <c r="Z928" s="104" t="n"/>
      <c r="AB928" s="105">
        <f>IF($B928="","",(COUNTIF(C908:E925,$B928)+COUNTIF(C908:E925,$B928&amp;" ~*")&gt;0)+(COUNTIF(G908:I925,$B928)+COUNTIF(G908:I925,$B928&amp;" ~*")&gt;0)+(COUNTIF(K908:M925,$B928)+COUNTIF(K908:M925,$B928&amp;" ~*")&gt;0)+(COUNTIF(O908:Q925,$B928)+COUNTIF(O908:Q925,$B928&amp;" ~*")&gt;0)+(COUNTIF(S908:U925,$B928)+COUNTIF(S908:U925,$B928&amp;" ~*")&gt;0)+(COUNTIF(W908:W925,$B928)+COUNTIF(W908:W925,$B928&amp;" ~*")&gt;0)+(COUNTIF(Y908:Y925,$B928)+COUNTIF(Y908:Y925,$B928&amp;" ~*")&gt;0))</f>
        <v/>
      </c>
      <c r="AC928" s="38">
        <f>IF($B928="","",(IFERROR(INDEX(Setup!$G$33:$G$40,MATCH(C928,Setup!$B$33:$B$40,0)),0)=1)*(COUNTIF(C908:E925,$B928)+COUNTIF(C908:E925,$B928&amp;" ~*")&gt;0)+(IFERROR(INDEX(Setup!$G$33:$G$40,MATCH(G928,Setup!$B$33:$B$40,0)),0)=1)*(COUNTIF(G908:I925,$B928)+COUNTIF(G908:I925,$B928&amp;" ~*")&gt;0)+(IFERROR(INDEX(Setup!$G$33:$G$40,MATCH(K928,Setup!$B$33:$B$40,0)),0)=1)*(COUNTIF(K908:M925,$B928)+COUNTIF(K908:M925,$B928&amp;" ~*")&gt;0)+(IFERROR(INDEX(Setup!$G$33:$G$40,MATCH(O928,Setup!$B$33:$B$40,0)),0)=1)*(COUNTIF(O908:Q925,$B928)+COUNTIF(O908:Q925,$B928&amp;" ~*")&gt;0)+(IFERROR(INDEX(Setup!$G$33:$G$40,MATCH(S928,Setup!$B$33:$B$40,0)),0)=1)*(COUNTIF(S908:U925,$B928)+COUNTIF(S908:U925,$B928&amp;" ~*")&gt;0)+(IFERROR(INDEX(Setup!$G$33:$G$40,MATCH(W928,Setup!$B$33:$B$40,0)),0)=1)*(COUNTIF(W908:W925,$B928)+COUNTIF(W908:W925,$B928&amp;" ~*")&gt;0)+(IFERROR(INDEX(Setup!$G$33:$G$40,MATCH(Y928,Setup!$B$33:$B$40,0)),0)=1)*(COUNTIF(Y908:Y925,$B928)+COUNTIF(Y908:Y925,$B928&amp;" ~*")&gt;0))</f>
        <v/>
      </c>
    </row>
    <row r="929" ht="15" customHeight="1">
      <c r="A929" t="n">
        <v>19</v>
      </c>
      <c r="B929" s="35">
        <f>IF(Setup!$B$8="","",Setup!$B$8)</f>
        <v/>
      </c>
      <c r="C929" s="98" t="n"/>
      <c r="D929" s="99" t="n"/>
      <c r="E929" s="99" t="n"/>
      <c r="F929" s="100" t="n"/>
      <c r="G929" s="98" t="n"/>
      <c r="H929" s="99" t="n"/>
      <c r="I929" s="99" t="n"/>
      <c r="J929" s="100" t="n"/>
      <c r="K929" s="98" t="n"/>
      <c r="L929" s="99" t="n"/>
      <c r="M929" s="99" t="n"/>
      <c r="N929" s="100" t="n"/>
      <c r="O929" s="98" t="n"/>
      <c r="P929" s="99" t="n"/>
      <c r="Q929" s="99" t="n"/>
      <c r="R929" s="100" t="n"/>
      <c r="S929" s="98" t="n"/>
      <c r="T929" s="99" t="n"/>
      <c r="U929" s="99" t="n"/>
      <c r="V929" s="100" t="n"/>
      <c r="W929" s="98" t="n"/>
      <c r="X929" s="100" t="n"/>
      <c r="Y929" s="98" t="n"/>
      <c r="Z929" s="100" t="n"/>
      <c r="AB929" s="101">
        <f>IF($B929="","",(COUNTIF(C908:E925,$B929)+COUNTIF(C908:E925,$B929&amp;" ~*")&gt;0)+(COUNTIF(G908:I925,$B929)+COUNTIF(G908:I925,$B929&amp;" ~*")&gt;0)+(COUNTIF(K908:M925,$B929)+COUNTIF(K908:M925,$B929&amp;" ~*")&gt;0)+(COUNTIF(O908:Q925,$B929)+COUNTIF(O908:Q925,$B929&amp;" ~*")&gt;0)+(COUNTIF(S908:U925,$B929)+COUNTIF(S908:U925,$B929&amp;" ~*")&gt;0)+(COUNTIF(W908:W925,$B929)+COUNTIF(W908:W925,$B929&amp;" ~*")&gt;0)+(COUNTIF(Y908:Y925,$B929)+COUNTIF(Y908:Y925,$B929&amp;" ~*")&gt;0))</f>
        <v/>
      </c>
      <c r="AC929" s="36">
        <f>IF($B929="","",(IFERROR(INDEX(Setup!$G$33:$G$40,MATCH(C929,Setup!$B$33:$B$40,0)),0)=1)*(COUNTIF(C908:E925,$B929)+COUNTIF(C908:E925,$B929&amp;" ~*")&gt;0)+(IFERROR(INDEX(Setup!$G$33:$G$40,MATCH(G929,Setup!$B$33:$B$40,0)),0)=1)*(COUNTIF(G908:I925,$B929)+COUNTIF(G908:I925,$B929&amp;" ~*")&gt;0)+(IFERROR(INDEX(Setup!$G$33:$G$40,MATCH(K929,Setup!$B$33:$B$40,0)),0)=1)*(COUNTIF(K908:M925,$B929)+COUNTIF(K908:M925,$B929&amp;" ~*")&gt;0)+(IFERROR(INDEX(Setup!$G$33:$G$40,MATCH(O929,Setup!$B$33:$B$40,0)),0)=1)*(COUNTIF(O908:Q925,$B929)+COUNTIF(O908:Q925,$B929&amp;" ~*")&gt;0)+(IFERROR(INDEX(Setup!$G$33:$G$40,MATCH(S929,Setup!$B$33:$B$40,0)),0)=1)*(COUNTIF(S908:U925,$B929)+COUNTIF(S908:U925,$B929&amp;" ~*")&gt;0)+(IFERROR(INDEX(Setup!$G$33:$G$40,MATCH(W929,Setup!$B$33:$B$40,0)),0)=1)*(COUNTIF(W908:W925,$B929)+COUNTIF(W908:W925,$B929&amp;" ~*")&gt;0)+(IFERROR(INDEX(Setup!$G$33:$G$40,MATCH(Y929,Setup!$B$33:$B$40,0)),0)=1)*(COUNTIF(Y908:Y925,$B929)+COUNTIF(Y908:Y925,$B929&amp;" ~*")&gt;0))</f>
        <v/>
      </c>
    </row>
    <row r="930" ht="15" customHeight="1">
      <c r="A930" t="n">
        <v>19</v>
      </c>
      <c r="B930" s="37">
        <f>IF(Setup!$B$9="","",Setup!$B$9)</f>
        <v/>
      </c>
      <c r="C930" s="102" t="n"/>
      <c r="D930" s="103" t="n"/>
      <c r="E930" s="103" t="n"/>
      <c r="F930" s="104" t="n"/>
      <c r="G930" s="102" t="n"/>
      <c r="H930" s="103" t="n"/>
      <c r="I930" s="103" t="n"/>
      <c r="J930" s="104" t="n"/>
      <c r="K930" s="102" t="n"/>
      <c r="L930" s="103" t="n"/>
      <c r="M930" s="103" t="n"/>
      <c r="N930" s="104" t="n"/>
      <c r="O930" s="102" t="n"/>
      <c r="P930" s="103" t="n"/>
      <c r="Q930" s="103" t="n"/>
      <c r="R930" s="104" t="n"/>
      <c r="S930" s="102" t="n"/>
      <c r="T930" s="103" t="n"/>
      <c r="U930" s="103" t="n"/>
      <c r="V930" s="104" t="n"/>
      <c r="W930" s="102" t="n"/>
      <c r="X930" s="104" t="n"/>
      <c r="Y930" s="102" t="n"/>
      <c r="Z930" s="104" t="n"/>
      <c r="AB930" s="105">
        <f>IF($B930="","",(COUNTIF(C908:E925,$B930)+COUNTIF(C908:E925,$B930&amp;" ~*")&gt;0)+(COUNTIF(G908:I925,$B930)+COUNTIF(G908:I925,$B930&amp;" ~*")&gt;0)+(COUNTIF(K908:M925,$B930)+COUNTIF(K908:M925,$B930&amp;" ~*")&gt;0)+(COUNTIF(O908:Q925,$B930)+COUNTIF(O908:Q925,$B930&amp;" ~*")&gt;0)+(COUNTIF(S908:U925,$B930)+COUNTIF(S908:U925,$B930&amp;" ~*")&gt;0)+(COUNTIF(W908:W925,$B930)+COUNTIF(W908:W925,$B930&amp;" ~*")&gt;0)+(COUNTIF(Y908:Y925,$B930)+COUNTIF(Y908:Y925,$B930&amp;" ~*")&gt;0))</f>
        <v/>
      </c>
      <c r="AC930" s="38">
        <f>IF($B930="","",(IFERROR(INDEX(Setup!$G$33:$G$40,MATCH(C930,Setup!$B$33:$B$40,0)),0)=1)*(COUNTIF(C908:E925,$B930)+COUNTIF(C908:E925,$B930&amp;" ~*")&gt;0)+(IFERROR(INDEX(Setup!$G$33:$G$40,MATCH(G930,Setup!$B$33:$B$40,0)),0)=1)*(COUNTIF(G908:I925,$B930)+COUNTIF(G908:I925,$B930&amp;" ~*")&gt;0)+(IFERROR(INDEX(Setup!$G$33:$G$40,MATCH(K930,Setup!$B$33:$B$40,0)),0)=1)*(COUNTIF(K908:M925,$B930)+COUNTIF(K908:M925,$B930&amp;" ~*")&gt;0)+(IFERROR(INDEX(Setup!$G$33:$G$40,MATCH(O930,Setup!$B$33:$B$40,0)),0)=1)*(COUNTIF(O908:Q925,$B930)+COUNTIF(O908:Q925,$B930&amp;" ~*")&gt;0)+(IFERROR(INDEX(Setup!$G$33:$G$40,MATCH(S930,Setup!$B$33:$B$40,0)),0)=1)*(COUNTIF(S908:U925,$B930)+COUNTIF(S908:U925,$B930&amp;" ~*")&gt;0)+(IFERROR(INDEX(Setup!$G$33:$G$40,MATCH(W930,Setup!$B$33:$B$40,0)),0)=1)*(COUNTIF(W908:W925,$B930)+COUNTIF(W908:W925,$B930&amp;" ~*")&gt;0)+(IFERROR(INDEX(Setup!$G$33:$G$40,MATCH(Y930,Setup!$B$33:$B$40,0)),0)=1)*(COUNTIF(Y908:Y925,$B930)+COUNTIF(Y908:Y925,$B930&amp;" ~*")&gt;0))</f>
        <v/>
      </c>
    </row>
    <row r="931" ht="15" customHeight="1">
      <c r="A931" t="n">
        <v>19</v>
      </c>
      <c r="B931" s="35">
        <f>IF(Setup!$B$10="","",Setup!$B$10)</f>
        <v/>
      </c>
      <c r="C931" s="98" t="n"/>
      <c r="D931" s="99" t="n"/>
      <c r="E931" s="99" t="n"/>
      <c r="F931" s="100" t="n"/>
      <c r="G931" s="98" t="n"/>
      <c r="H931" s="99" t="n"/>
      <c r="I931" s="99" t="n"/>
      <c r="J931" s="100" t="n"/>
      <c r="K931" s="98" t="n"/>
      <c r="L931" s="99" t="n"/>
      <c r="M931" s="99" t="n"/>
      <c r="N931" s="100" t="n"/>
      <c r="O931" s="98" t="n"/>
      <c r="P931" s="99" t="n"/>
      <c r="Q931" s="99" t="n"/>
      <c r="R931" s="100" t="n"/>
      <c r="S931" s="98" t="n"/>
      <c r="T931" s="99" t="n"/>
      <c r="U931" s="99" t="n"/>
      <c r="V931" s="100" t="n"/>
      <c r="W931" s="98" t="n"/>
      <c r="X931" s="100" t="n"/>
      <c r="Y931" s="98" t="n"/>
      <c r="Z931" s="100" t="n"/>
      <c r="AB931" s="101">
        <f>IF($B931="","",(COUNTIF(C908:E925,$B931)+COUNTIF(C908:E925,$B931&amp;" ~*")&gt;0)+(COUNTIF(G908:I925,$B931)+COUNTIF(G908:I925,$B931&amp;" ~*")&gt;0)+(COUNTIF(K908:M925,$B931)+COUNTIF(K908:M925,$B931&amp;" ~*")&gt;0)+(COUNTIF(O908:Q925,$B931)+COUNTIF(O908:Q925,$B931&amp;" ~*")&gt;0)+(COUNTIF(S908:U925,$B931)+COUNTIF(S908:U925,$B931&amp;" ~*")&gt;0)+(COUNTIF(W908:W925,$B931)+COUNTIF(W908:W925,$B931&amp;" ~*")&gt;0)+(COUNTIF(Y908:Y925,$B931)+COUNTIF(Y908:Y925,$B931&amp;" ~*")&gt;0))</f>
        <v/>
      </c>
      <c r="AC931" s="36">
        <f>IF($B931="","",(IFERROR(INDEX(Setup!$G$33:$G$40,MATCH(C931,Setup!$B$33:$B$40,0)),0)=1)*(COUNTIF(C908:E925,$B931)+COUNTIF(C908:E925,$B931&amp;" ~*")&gt;0)+(IFERROR(INDEX(Setup!$G$33:$G$40,MATCH(G931,Setup!$B$33:$B$40,0)),0)=1)*(COUNTIF(G908:I925,$B931)+COUNTIF(G908:I925,$B931&amp;" ~*")&gt;0)+(IFERROR(INDEX(Setup!$G$33:$G$40,MATCH(K931,Setup!$B$33:$B$40,0)),0)=1)*(COUNTIF(K908:M925,$B931)+COUNTIF(K908:M925,$B931&amp;" ~*")&gt;0)+(IFERROR(INDEX(Setup!$G$33:$G$40,MATCH(O931,Setup!$B$33:$B$40,0)),0)=1)*(COUNTIF(O908:Q925,$B931)+COUNTIF(O908:Q925,$B931&amp;" ~*")&gt;0)+(IFERROR(INDEX(Setup!$G$33:$G$40,MATCH(S931,Setup!$B$33:$B$40,0)),0)=1)*(COUNTIF(S908:U925,$B931)+COUNTIF(S908:U925,$B931&amp;" ~*")&gt;0)+(IFERROR(INDEX(Setup!$G$33:$G$40,MATCH(W931,Setup!$B$33:$B$40,0)),0)=1)*(COUNTIF(W908:W925,$B931)+COUNTIF(W908:W925,$B931&amp;" ~*")&gt;0)+(IFERROR(INDEX(Setup!$G$33:$G$40,MATCH(Y931,Setup!$B$33:$B$40,0)),0)=1)*(COUNTIF(Y908:Y925,$B931)+COUNTIF(Y908:Y925,$B931&amp;" ~*")&gt;0))</f>
        <v/>
      </c>
    </row>
    <row r="932" ht="15" customHeight="1">
      <c r="A932" t="n">
        <v>19</v>
      </c>
      <c r="B932" s="37">
        <f>IF(Setup!$B$11="","",Setup!$B$11)</f>
        <v/>
      </c>
      <c r="C932" s="102" t="n"/>
      <c r="D932" s="103" t="n"/>
      <c r="E932" s="103" t="n"/>
      <c r="F932" s="104" t="n"/>
      <c r="G932" s="102" t="n"/>
      <c r="H932" s="103" t="n"/>
      <c r="I932" s="103" t="n"/>
      <c r="J932" s="104" t="n"/>
      <c r="K932" s="102" t="n"/>
      <c r="L932" s="103" t="n"/>
      <c r="M932" s="103" t="n"/>
      <c r="N932" s="104" t="n"/>
      <c r="O932" s="102" t="n"/>
      <c r="P932" s="103" t="n"/>
      <c r="Q932" s="103" t="n"/>
      <c r="R932" s="104" t="n"/>
      <c r="S932" s="102" t="n"/>
      <c r="T932" s="103" t="n"/>
      <c r="U932" s="103" t="n"/>
      <c r="V932" s="104" t="n"/>
      <c r="W932" s="102" t="n"/>
      <c r="X932" s="104" t="n"/>
      <c r="Y932" s="102" t="n"/>
      <c r="Z932" s="104" t="n"/>
      <c r="AB932" s="105">
        <f>IF($B932="","",(COUNTIF(C908:E925,$B932)+COUNTIF(C908:E925,$B932&amp;" ~*")&gt;0)+(COUNTIF(G908:I925,$B932)+COUNTIF(G908:I925,$B932&amp;" ~*")&gt;0)+(COUNTIF(K908:M925,$B932)+COUNTIF(K908:M925,$B932&amp;" ~*")&gt;0)+(COUNTIF(O908:Q925,$B932)+COUNTIF(O908:Q925,$B932&amp;" ~*")&gt;0)+(COUNTIF(S908:U925,$B932)+COUNTIF(S908:U925,$B932&amp;" ~*")&gt;0)+(COUNTIF(W908:W925,$B932)+COUNTIF(W908:W925,$B932&amp;" ~*")&gt;0)+(COUNTIF(Y908:Y925,$B932)+COUNTIF(Y908:Y925,$B932&amp;" ~*")&gt;0))</f>
        <v/>
      </c>
      <c r="AC932" s="38">
        <f>IF($B932="","",(IFERROR(INDEX(Setup!$G$33:$G$40,MATCH(C932,Setup!$B$33:$B$40,0)),0)=1)*(COUNTIF(C908:E925,$B932)+COUNTIF(C908:E925,$B932&amp;" ~*")&gt;0)+(IFERROR(INDEX(Setup!$G$33:$G$40,MATCH(G932,Setup!$B$33:$B$40,0)),0)=1)*(COUNTIF(G908:I925,$B932)+COUNTIF(G908:I925,$B932&amp;" ~*")&gt;0)+(IFERROR(INDEX(Setup!$G$33:$G$40,MATCH(K932,Setup!$B$33:$B$40,0)),0)=1)*(COUNTIF(K908:M925,$B932)+COUNTIF(K908:M925,$B932&amp;" ~*")&gt;0)+(IFERROR(INDEX(Setup!$G$33:$G$40,MATCH(O932,Setup!$B$33:$B$40,0)),0)=1)*(COUNTIF(O908:Q925,$B932)+COUNTIF(O908:Q925,$B932&amp;" ~*")&gt;0)+(IFERROR(INDEX(Setup!$G$33:$G$40,MATCH(S932,Setup!$B$33:$B$40,0)),0)=1)*(COUNTIF(S908:U925,$B932)+COUNTIF(S908:U925,$B932&amp;" ~*")&gt;0)+(IFERROR(INDEX(Setup!$G$33:$G$40,MATCH(W932,Setup!$B$33:$B$40,0)),0)=1)*(COUNTIF(W908:W925,$B932)+COUNTIF(W908:W925,$B932&amp;" ~*")&gt;0)+(IFERROR(INDEX(Setup!$G$33:$G$40,MATCH(Y932,Setup!$B$33:$B$40,0)),0)=1)*(COUNTIF(Y908:Y925,$B932)+COUNTIF(Y908:Y925,$B932&amp;" ~*")&gt;0))</f>
        <v/>
      </c>
    </row>
    <row r="933" ht="15" customHeight="1">
      <c r="A933" t="n">
        <v>19</v>
      </c>
      <c r="B933" s="35">
        <f>IF(Setup!$B$12="","",Setup!$B$12)</f>
        <v/>
      </c>
      <c r="C933" s="98" t="n"/>
      <c r="D933" s="99" t="n"/>
      <c r="E933" s="99" t="n"/>
      <c r="F933" s="100" t="n"/>
      <c r="G933" s="98" t="n"/>
      <c r="H933" s="99" t="n"/>
      <c r="I933" s="99" t="n"/>
      <c r="J933" s="100" t="n"/>
      <c r="K933" s="98" t="n"/>
      <c r="L933" s="99" t="n"/>
      <c r="M933" s="99" t="n"/>
      <c r="N933" s="100" t="n"/>
      <c r="O933" s="98" t="n"/>
      <c r="P933" s="99" t="n"/>
      <c r="Q933" s="99" t="n"/>
      <c r="R933" s="100" t="n"/>
      <c r="S933" s="98" t="n"/>
      <c r="T933" s="99" t="n"/>
      <c r="U933" s="99" t="n"/>
      <c r="V933" s="100" t="n"/>
      <c r="W933" s="98" t="n"/>
      <c r="X933" s="100" t="n"/>
      <c r="Y933" s="98" t="n"/>
      <c r="Z933" s="100" t="n"/>
      <c r="AB933" s="101">
        <f>IF($B933="","",(COUNTIF(C908:E925,$B933)+COUNTIF(C908:E925,$B933&amp;" ~*")&gt;0)+(COUNTIF(G908:I925,$B933)+COUNTIF(G908:I925,$B933&amp;" ~*")&gt;0)+(COUNTIF(K908:M925,$B933)+COUNTIF(K908:M925,$B933&amp;" ~*")&gt;0)+(COUNTIF(O908:Q925,$B933)+COUNTIF(O908:Q925,$B933&amp;" ~*")&gt;0)+(COUNTIF(S908:U925,$B933)+COUNTIF(S908:U925,$B933&amp;" ~*")&gt;0)+(COUNTIF(W908:W925,$B933)+COUNTIF(W908:W925,$B933&amp;" ~*")&gt;0)+(COUNTIF(Y908:Y925,$B933)+COUNTIF(Y908:Y925,$B933&amp;" ~*")&gt;0))</f>
        <v/>
      </c>
      <c r="AC933" s="36">
        <f>IF($B933="","",(IFERROR(INDEX(Setup!$G$33:$G$40,MATCH(C933,Setup!$B$33:$B$40,0)),0)=1)*(COUNTIF(C908:E925,$B933)+COUNTIF(C908:E925,$B933&amp;" ~*")&gt;0)+(IFERROR(INDEX(Setup!$G$33:$G$40,MATCH(G933,Setup!$B$33:$B$40,0)),0)=1)*(COUNTIF(G908:I925,$B933)+COUNTIF(G908:I925,$B933&amp;" ~*")&gt;0)+(IFERROR(INDEX(Setup!$G$33:$G$40,MATCH(K933,Setup!$B$33:$B$40,0)),0)=1)*(COUNTIF(K908:M925,$B933)+COUNTIF(K908:M925,$B933&amp;" ~*")&gt;0)+(IFERROR(INDEX(Setup!$G$33:$G$40,MATCH(O933,Setup!$B$33:$B$40,0)),0)=1)*(COUNTIF(O908:Q925,$B933)+COUNTIF(O908:Q925,$B933&amp;" ~*")&gt;0)+(IFERROR(INDEX(Setup!$G$33:$G$40,MATCH(S933,Setup!$B$33:$B$40,0)),0)=1)*(COUNTIF(S908:U925,$B933)+COUNTIF(S908:U925,$B933&amp;" ~*")&gt;0)+(IFERROR(INDEX(Setup!$G$33:$G$40,MATCH(W933,Setup!$B$33:$B$40,0)),0)=1)*(COUNTIF(W908:W925,$B933)+COUNTIF(W908:W925,$B933&amp;" ~*")&gt;0)+(IFERROR(INDEX(Setup!$G$33:$G$40,MATCH(Y933,Setup!$B$33:$B$40,0)),0)=1)*(COUNTIF(Y908:Y925,$B933)+COUNTIF(Y908:Y925,$B933&amp;" ~*")&gt;0))</f>
        <v/>
      </c>
    </row>
    <row r="934" ht="15" customHeight="1">
      <c r="A934" t="n">
        <v>19</v>
      </c>
      <c r="B934" s="37">
        <f>IF(Setup!$B$13="","",Setup!$B$13)</f>
        <v/>
      </c>
      <c r="C934" s="102" t="n"/>
      <c r="D934" s="103" t="n"/>
      <c r="E934" s="103" t="n"/>
      <c r="F934" s="104" t="n"/>
      <c r="G934" s="102" t="n"/>
      <c r="H934" s="103" t="n"/>
      <c r="I934" s="103" t="n"/>
      <c r="J934" s="104" t="n"/>
      <c r="K934" s="102" t="n"/>
      <c r="L934" s="103" t="n"/>
      <c r="M934" s="103" t="n"/>
      <c r="N934" s="104" t="n"/>
      <c r="O934" s="102" t="n"/>
      <c r="P934" s="103" t="n"/>
      <c r="Q934" s="103" t="n"/>
      <c r="R934" s="104" t="n"/>
      <c r="S934" s="102" t="n"/>
      <c r="T934" s="103" t="n"/>
      <c r="U934" s="103" t="n"/>
      <c r="V934" s="104" t="n"/>
      <c r="W934" s="102" t="n"/>
      <c r="X934" s="104" t="n"/>
      <c r="Y934" s="102" t="n"/>
      <c r="Z934" s="104" t="n"/>
      <c r="AB934" s="105">
        <f>IF($B934="","",(COUNTIF(C908:E925,$B934)+COUNTIF(C908:E925,$B934&amp;" ~*")&gt;0)+(COUNTIF(G908:I925,$B934)+COUNTIF(G908:I925,$B934&amp;" ~*")&gt;0)+(COUNTIF(K908:M925,$B934)+COUNTIF(K908:M925,$B934&amp;" ~*")&gt;0)+(COUNTIF(O908:Q925,$B934)+COUNTIF(O908:Q925,$B934&amp;" ~*")&gt;0)+(COUNTIF(S908:U925,$B934)+COUNTIF(S908:U925,$B934&amp;" ~*")&gt;0)+(COUNTIF(W908:W925,$B934)+COUNTIF(W908:W925,$B934&amp;" ~*")&gt;0)+(COUNTIF(Y908:Y925,$B934)+COUNTIF(Y908:Y925,$B934&amp;" ~*")&gt;0))</f>
        <v/>
      </c>
      <c r="AC934" s="38">
        <f>IF($B934="","",(IFERROR(INDEX(Setup!$G$33:$G$40,MATCH(C934,Setup!$B$33:$B$40,0)),0)=1)*(COUNTIF(C908:E925,$B934)+COUNTIF(C908:E925,$B934&amp;" ~*")&gt;0)+(IFERROR(INDEX(Setup!$G$33:$G$40,MATCH(G934,Setup!$B$33:$B$40,0)),0)=1)*(COUNTIF(G908:I925,$B934)+COUNTIF(G908:I925,$B934&amp;" ~*")&gt;0)+(IFERROR(INDEX(Setup!$G$33:$G$40,MATCH(K934,Setup!$B$33:$B$40,0)),0)=1)*(COUNTIF(K908:M925,$B934)+COUNTIF(K908:M925,$B934&amp;" ~*")&gt;0)+(IFERROR(INDEX(Setup!$G$33:$G$40,MATCH(O934,Setup!$B$33:$B$40,0)),0)=1)*(COUNTIF(O908:Q925,$B934)+COUNTIF(O908:Q925,$B934&amp;" ~*")&gt;0)+(IFERROR(INDEX(Setup!$G$33:$G$40,MATCH(S934,Setup!$B$33:$B$40,0)),0)=1)*(COUNTIF(S908:U925,$B934)+COUNTIF(S908:U925,$B934&amp;" ~*")&gt;0)+(IFERROR(INDEX(Setup!$G$33:$G$40,MATCH(W934,Setup!$B$33:$B$40,0)),0)=1)*(COUNTIF(W908:W925,$B934)+COUNTIF(W908:W925,$B934&amp;" ~*")&gt;0)+(IFERROR(INDEX(Setup!$G$33:$G$40,MATCH(Y934,Setup!$B$33:$B$40,0)),0)=1)*(COUNTIF(Y908:Y925,$B934)+COUNTIF(Y908:Y925,$B934&amp;" ~*")&gt;0))</f>
        <v/>
      </c>
    </row>
    <row r="935" ht="15" customHeight="1">
      <c r="A935" t="n">
        <v>19</v>
      </c>
      <c r="B935" s="35">
        <f>IF(Setup!$B$14="","",Setup!$B$14)</f>
        <v/>
      </c>
      <c r="C935" s="98" t="n"/>
      <c r="D935" s="99" t="n"/>
      <c r="E935" s="99" t="n"/>
      <c r="F935" s="100" t="n"/>
      <c r="G935" s="98" t="n"/>
      <c r="H935" s="99" t="n"/>
      <c r="I935" s="99" t="n"/>
      <c r="J935" s="100" t="n"/>
      <c r="K935" s="98" t="n"/>
      <c r="L935" s="99" t="n"/>
      <c r="M935" s="99" t="n"/>
      <c r="N935" s="100" t="n"/>
      <c r="O935" s="98" t="n"/>
      <c r="P935" s="99" t="n"/>
      <c r="Q935" s="99" t="n"/>
      <c r="R935" s="100" t="n"/>
      <c r="S935" s="98" t="n"/>
      <c r="T935" s="99" t="n"/>
      <c r="U935" s="99" t="n"/>
      <c r="V935" s="100" t="n"/>
      <c r="W935" s="98" t="n"/>
      <c r="X935" s="100" t="n"/>
      <c r="Y935" s="98" t="n"/>
      <c r="Z935" s="100" t="n"/>
      <c r="AB935" s="101">
        <f>IF($B935="","",(COUNTIF(C908:E925,$B935)+COUNTIF(C908:E925,$B935&amp;" ~*")&gt;0)+(COUNTIF(G908:I925,$B935)+COUNTIF(G908:I925,$B935&amp;" ~*")&gt;0)+(COUNTIF(K908:M925,$B935)+COUNTIF(K908:M925,$B935&amp;" ~*")&gt;0)+(COUNTIF(O908:Q925,$B935)+COUNTIF(O908:Q925,$B935&amp;" ~*")&gt;0)+(COUNTIF(S908:U925,$B935)+COUNTIF(S908:U925,$B935&amp;" ~*")&gt;0)+(COUNTIF(W908:W925,$B935)+COUNTIF(W908:W925,$B935&amp;" ~*")&gt;0)+(COUNTIF(Y908:Y925,$B935)+COUNTIF(Y908:Y925,$B935&amp;" ~*")&gt;0))</f>
        <v/>
      </c>
      <c r="AC935" s="36">
        <f>IF($B935="","",(IFERROR(INDEX(Setup!$G$33:$G$40,MATCH(C935,Setup!$B$33:$B$40,0)),0)=1)*(COUNTIF(C908:E925,$B935)+COUNTIF(C908:E925,$B935&amp;" ~*")&gt;0)+(IFERROR(INDEX(Setup!$G$33:$G$40,MATCH(G935,Setup!$B$33:$B$40,0)),0)=1)*(COUNTIF(G908:I925,$B935)+COUNTIF(G908:I925,$B935&amp;" ~*")&gt;0)+(IFERROR(INDEX(Setup!$G$33:$G$40,MATCH(K935,Setup!$B$33:$B$40,0)),0)=1)*(COUNTIF(K908:M925,$B935)+COUNTIF(K908:M925,$B935&amp;" ~*")&gt;0)+(IFERROR(INDEX(Setup!$G$33:$G$40,MATCH(O935,Setup!$B$33:$B$40,0)),0)=1)*(COUNTIF(O908:Q925,$B935)+COUNTIF(O908:Q925,$B935&amp;" ~*")&gt;0)+(IFERROR(INDEX(Setup!$G$33:$G$40,MATCH(S935,Setup!$B$33:$B$40,0)),0)=1)*(COUNTIF(S908:U925,$B935)+COUNTIF(S908:U925,$B935&amp;" ~*")&gt;0)+(IFERROR(INDEX(Setup!$G$33:$G$40,MATCH(W935,Setup!$B$33:$B$40,0)),0)=1)*(COUNTIF(W908:W925,$B935)+COUNTIF(W908:W925,$B935&amp;" ~*")&gt;0)+(IFERROR(INDEX(Setup!$G$33:$G$40,MATCH(Y935,Setup!$B$33:$B$40,0)),0)=1)*(COUNTIF(Y908:Y925,$B935)+COUNTIF(Y908:Y925,$B935&amp;" ~*")&gt;0))</f>
        <v/>
      </c>
    </row>
    <row r="936" ht="15" customHeight="1">
      <c r="A936" t="n">
        <v>19</v>
      </c>
      <c r="B936" s="37">
        <f>IF(Setup!$B$15="","",Setup!$B$15)</f>
        <v/>
      </c>
      <c r="C936" s="102" t="n"/>
      <c r="D936" s="103" t="n"/>
      <c r="E936" s="103" t="n"/>
      <c r="F936" s="104" t="n"/>
      <c r="G936" s="102" t="n"/>
      <c r="H936" s="103" t="n"/>
      <c r="I936" s="103" t="n"/>
      <c r="J936" s="104" t="n"/>
      <c r="K936" s="102" t="n"/>
      <c r="L936" s="103" t="n"/>
      <c r="M936" s="103" t="n"/>
      <c r="N936" s="104" t="n"/>
      <c r="O936" s="102" t="n"/>
      <c r="P936" s="103" t="n"/>
      <c r="Q936" s="103" t="n"/>
      <c r="R936" s="104" t="n"/>
      <c r="S936" s="102" t="n"/>
      <c r="T936" s="103" t="n"/>
      <c r="U936" s="103" t="n"/>
      <c r="V936" s="104" t="n"/>
      <c r="W936" s="102" t="n"/>
      <c r="X936" s="104" t="n"/>
      <c r="Y936" s="102" t="n"/>
      <c r="Z936" s="104" t="n"/>
      <c r="AB936" s="105">
        <f>IF($B936="","",(COUNTIF(C908:E925,$B936)+COUNTIF(C908:E925,$B936&amp;" ~*")&gt;0)+(COUNTIF(G908:I925,$B936)+COUNTIF(G908:I925,$B936&amp;" ~*")&gt;0)+(COUNTIF(K908:M925,$B936)+COUNTIF(K908:M925,$B936&amp;" ~*")&gt;0)+(COUNTIF(O908:Q925,$B936)+COUNTIF(O908:Q925,$B936&amp;" ~*")&gt;0)+(COUNTIF(S908:U925,$B936)+COUNTIF(S908:U925,$B936&amp;" ~*")&gt;0)+(COUNTIF(W908:W925,$B936)+COUNTIF(W908:W925,$B936&amp;" ~*")&gt;0)+(COUNTIF(Y908:Y925,$B936)+COUNTIF(Y908:Y925,$B936&amp;" ~*")&gt;0))</f>
        <v/>
      </c>
      <c r="AC936" s="38">
        <f>IF($B936="","",(IFERROR(INDEX(Setup!$G$33:$G$40,MATCH(C936,Setup!$B$33:$B$40,0)),0)=1)*(COUNTIF(C908:E925,$B936)+COUNTIF(C908:E925,$B936&amp;" ~*")&gt;0)+(IFERROR(INDEX(Setup!$G$33:$G$40,MATCH(G936,Setup!$B$33:$B$40,0)),0)=1)*(COUNTIF(G908:I925,$B936)+COUNTIF(G908:I925,$B936&amp;" ~*")&gt;0)+(IFERROR(INDEX(Setup!$G$33:$G$40,MATCH(K936,Setup!$B$33:$B$40,0)),0)=1)*(COUNTIF(K908:M925,$B936)+COUNTIF(K908:M925,$B936&amp;" ~*")&gt;0)+(IFERROR(INDEX(Setup!$G$33:$G$40,MATCH(O936,Setup!$B$33:$B$40,0)),0)=1)*(COUNTIF(O908:Q925,$B936)+COUNTIF(O908:Q925,$B936&amp;" ~*")&gt;0)+(IFERROR(INDEX(Setup!$G$33:$G$40,MATCH(S936,Setup!$B$33:$B$40,0)),0)=1)*(COUNTIF(S908:U925,$B936)+COUNTIF(S908:U925,$B936&amp;" ~*")&gt;0)+(IFERROR(INDEX(Setup!$G$33:$G$40,MATCH(W936,Setup!$B$33:$B$40,0)),0)=1)*(COUNTIF(W908:W925,$B936)+COUNTIF(W908:W925,$B936&amp;" ~*")&gt;0)+(IFERROR(INDEX(Setup!$G$33:$G$40,MATCH(Y936,Setup!$B$33:$B$40,0)),0)=1)*(COUNTIF(Y908:Y925,$B936)+COUNTIF(Y908:Y925,$B936&amp;" ~*")&gt;0))</f>
        <v/>
      </c>
    </row>
    <row r="937" ht="15" customHeight="1">
      <c r="A937" t="n">
        <v>19</v>
      </c>
      <c r="B937" s="35">
        <f>IF(Setup!$B$16="","",Setup!$B$16)</f>
        <v/>
      </c>
      <c r="C937" s="98" t="n"/>
      <c r="D937" s="99" t="n"/>
      <c r="E937" s="99" t="n"/>
      <c r="F937" s="100" t="n"/>
      <c r="G937" s="98" t="n"/>
      <c r="H937" s="99" t="n"/>
      <c r="I937" s="99" t="n"/>
      <c r="J937" s="100" t="n"/>
      <c r="K937" s="98" t="n"/>
      <c r="L937" s="99" t="n"/>
      <c r="M937" s="99" t="n"/>
      <c r="N937" s="100" t="n"/>
      <c r="O937" s="98" t="n"/>
      <c r="P937" s="99" t="n"/>
      <c r="Q937" s="99" t="n"/>
      <c r="R937" s="100" t="n"/>
      <c r="S937" s="98" t="n"/>
      <c r="T937" s="99" t="n"/>
      <c r="U937" s="99" t="n"/>
      <c r="V937" s="100" t="n"/>
      <c r="W937" s="98" t="n"/>
      <c r="X937" s="100" t="n"/>
      <c r="Y937" s="98" t="n"/>
      <c r="Z937" s="100" t="n"/>
      <c r="AB937" s="101">
        <f>IF($B937="","",(COUNTIF(C908:E925,$B937)+COUNTIF(C908:E925,$B937&amp;" ~*")&gt;0)+(COUNTIF(G908:I925,$B937)+COUNTIF(G908:I925,$B937&amp;" ~*")&gt;0)+(COUNTIF(K908:M925,$B937)+COUNTIF(K908:M925,$B937&amp;" ~*")&gt;0)+(COUNTIF(O908:Q925,$B937)+COUNTIF(O908:Q925,$B937&amp;" ~*")&gt;0)+(COUNTIF(S908:U925,$B937)+COUNTIF(S908:U925,$B937&amp;" ~*")&gt;0)+(COUNTIF(W908:W925,$B937)+COUNTIF(W908:W925,$B937&amp;" ~*")&gt;0)+(COUNTIF(Y908:Y925,$B937)+COUNTIF(Y908:Y925,$B937&amp;" ~*")&gt;0))</f>
        <v/>
      </c>
      <c r="AC937" s="36">
        <f>IF($B937="","",(IFERROR(INDEX(Setup!$G$33:$G$40,MATCH(C937,Setup!$B$33:$B$40,0)),0)=1)*(COUNTIF(C908:E925,$B937)+COUNTIF(C908:E925,$B937&amp;" ~*")&gt;0)+(IFERROR(INDEX(Setup!$G$33:$G$40,MATCH(G937,Setup!$B$33:$B$40,0)),0)=1)*(COUNTIF(G908:I925,$B937)+COUNTIF(G908:I925,$B937&amp;" ~*")&gt;0)+(IFERROR(INDEX(Setup!$G$33:$G$40,MATCH(K937,Setup!$B$33:$B$40,0)),0)=1)*(COUNTIF(K908:M925,$B937)+COUNTIF(K908:M925,$B937&amp;" ~*")&gt;0)+(IFERROR(INDEX(Setup!$G$33:$G$40,MATCH(O937,Setup!$B$33:$B$40,0)),0)=1)*(COUNTIF(O908:Q925,$B937)+COUNTIF(O908:Q925,$B937&amp;" ~*")&gt;0)+(IFERROR(INDEX(Setup!$G$33:$G$40,MATCH(S937,Setup!$B$33:$B$40,0)),0)=1)*(COUNTIF(S908:U925,$B937)+COUNTIF(S908:U925,$B937&amp;" ~*")&gt;0)+(IFERROR(INDEX(Setup!$G$33:$G$40,MATCH(W937,Setup!$B$33:$B$40,0)),0)=1)*(COUNTIF(W908:W925,$B937)+COUNTIF(W908:W925,$B937&amp;" ~*")&gt;0)+(IFERROR(INDEX(Setup!$G$33:$G$40,MATCH(Y937,Setup!$B$33:$B$40,0)),0)=1)*(COUNTIF(Y908:Y925,$B937)+COUNTIF(Y908:Y925,$B937&amp;" ~*")&gt;0))</f>
        <v/>
      </c>
    </row>
    <row r="938" ht="15" customHeight="1">
      <c r="A938" t="n">
        <v>19</v>
      </c>
      <c r="B938" s="37">
        <f>IF(Setup!$B$17="","",Setup!$B$17)</f>
        <v/>
      </c>
      <c r="C938" s="102" t="n"/>
      <c r="D938" s="103" t="n"/>
      <c r="E938" s="103" t="n"/>
      <c r="F938" s="104" t="n"/>
      <c r="G938" s="102" t="n"/>
      <c r="H938" s="103" t="n"/>
      <c r="I938" s="103" t="n"/>
      <c r="J938" s="104" t="n"/>
      <c r="K938" s="102" t="n"/>
      <c r="L938" s="103" t="n"/>
      <c r="M938" s="103" t="n"/>
      <c r="N938" s="104" t="n"/>
      <c r="O938" s="102" t="n"/>
      <c r="P938" s="103" t="n"/>
      <c r="Q938" s="103" t="n"/>
      <c r="R938" s="104" t="n"/>
      <c r="S938" s="102" t="n"/>
      <c r="T938" s="103" t="n"/>
      <c r="U938" s="103" t="n"/>
      <c r="V938" s="104" t="n"/>
      <c r="W938" s="102" t="n"/>
      <c r="X938" s="104" t="n"/>
      <c r="Y938" s="102" t="n"/>
      <c r="Z938" s="104" t="n"/>
      <c r="AB938" s="105">
        <f>IF($B938="","",(COUNTIF(C908:E925,$B938)+COUNTIF(C908:E925,$B938&amp;" ~*")&gt;0)+(COUNTIF(G908:I925,$B938)+COUNTIF(G908:I925,$B938&amp;" ~*")&gt;0)+(COUNTIF(K908:M925,$B938)+COUNTIF(K908:M925,$B938&amp;" ~*")&gt;0)+(COUNTIF(O908:Q925,$B938)+COUNTIF(O908:Q925,$B938&amp;" ~*")&gt;0)+(COUNTIF(S908:U925,$B938)+COUNTIF(S908:U925,$B938&amp;" ~*")&gt;0)+(COUNTIF(W908:W925,$B938)+COUNTIF(W908:W925,$B938&amp;" ~*")&gt;0)+(COUNTIF(Y908:Y925,$B938)+COUNTIF(Y908:Y925,$B938&amp;" ~*")&gt;0))</f>
        <v/>
      </c>
      <c r="AC938" s="38">
        <f>IF($B938="","",(IFERROR(INDEX(Setup!$G$33:$G$40,MATCH(C938,Setup!$B$33:$B$40,0)),0)=1)*(COUNTIF(C908:E925,$B938)+COUNTIF(C908:E925,$B938&amp;" ~*")&gt;0)+(IFERROR(INDEX(Setup!$G$33:$G$40,MATCH(G938,Setup!$B$33:$B$40,0)),0)=1)*(COUNTIF(G908:I925,$B938)+COUNTIF(G908:I925,$B938&amp;" ~*")&gt;0)+(IFERROR(INDEX(Setup!$G$33:$G$40,MATCH(K938,Setup!$B$33:$B$40,0)),0)=1)*(COUNTIF(K908:M925,$B938)+COUNTIF(K908:M925,$B938&amp;" ~*")&gt;0)+(IFERROR(INDEX(Setup!$G$33:$G$40,MATCH(O938,Setup!$B$33:$B$40,0)),0)=1)*(COUNTIF(O908:Q925,$B938)+COUNTIF(O908:Q925,$B938&amp;" ~*")&gt;0)+(IFERROR(INDEX(Setup!$G$33:$G$40,MATCH(S938,Setup!$B$33:$B$40,0)),0)=1)*(COUNTIF(S908:U925,$B938)+COUNTIF(S908:U925,$B938&amp;" ~*")&gt;0)+(IFERROR(INDEX(Setup!$G$33:$G$40,MATCH(W938,Setup!$B$33:$B$40,0)),0)=1)*(COUNTIF(W908:W925,$B938)+COUNTIF(W908:W925,$B938&amp;" ~*")&gt;0)+(IFERROR(INDEX(Setup!$G$33:$G$40,MATCH(Y938,Setup!$B$33:$B$40,0)),0)=1)*(COUNTIF(Y908:Y925,$B938)+COUNTIF(Y908:Y925,$B938&amp;" ~*")&gt;0))</f>
        <v/>
      </c>
    </row>
    <row r="939" ht="15" customHeight="1">
      <c r="A939" t="n">
        <v>19</v>
      </c>
      <c r="B939" s="35">
        <f>IF(Setup!$B$18="","",Setup!$B$18)</f>
        <v/>
      </c>
      <c r="C939" s="98" t="n"/>
      <c r="D939" s="99" t="n"/>
      <c r="E939" s="99" t="n"/>
      <c r="F939" s="100" t="n"/>
      <c r="G939" s="98" t="n"/>
      <c r="H939" s="99" t="n"/>
      <c r="I939" s="99" t="n"/>
      <c r="J939" s="100" t="n"/>
      <c r="K939" s="98" t="n"/>
      <c r="L939" s="99" t="n"/>
      <c r="M939" s="99" t="n"/>
      <c r="N939" s="100" t="n"/>
      <c r="O939" s="98" t="n"/>
      <c r="P939" s="99" t="n"/>
      <c r="Q939" s="99" t="n"/>
      <c r="R939" s="100" t="n"/>
      <c r="S939" s="98" t="n"/>
      <c r="T939" s="99" t="n"/>
      <c r="U939" s="99" t="n"/>
      <c r="V939" s="100" t="n"/>
      <c r="W939" s="98" t="n"/>
      <c r="X939" s="100" t="n"/>
      <c r="Y939" s="98" t="n"/>
      <c r="Z939" s="100" t="n"/>
      <c r="AB939" s="101">
        <f>IF($B939="","",(COUNTIF(C908:E925,$B939)+COUNTIF(C908:E925,$B939&amp;" ~*")&gt;0)+(COUNTIF(G908:I925,$B939)+COUNTIF(G908:I925,$B939&amp;" ~*")&gt;0)+(COUNTIF(K908:M925,$B939)+COUNTIF(K908:M925,$B939&amp;" ~*")&gt;0)+(COUNTIF(O908:Q925,$B939)+COUNTIF(O908:Q925,$B939&amp;" ~*")&gt;0)+(COUNTIF(S908:U925,$B939)+COUNTIF(S908:U925,$B939&amp;" ~*")&gt;0)+(COUNTIF(W908:W925,$B939)+COUNTIF(W908:W925,$B939&amp;" ~*")&gt;0)+(COUNTIF(Y908:Y925,$B939)+COUNTIF(Y908:Y925,$B939&amp;" ~*")&gt;0))</f>
        <v/>
      </c>
      <c r="AC939" s="36">
        <f>IF($B939="","",(IFERROR(INDEX(Setup!$G$33:$G$40,MATCH(C939,Setup!$B$33:$B$40,0)),0)=1)*(COUNTIF(C908:E925,$B939)+COUNTIF(C908:E925,$B939&amp;" ~*")&gt;0)+(IFERROR(INDEX(Setup!$G$33:$G$40,MATCH(G939,Setup!$B$33:$B$40,0)),0)=1)*(COUNTIF(G908:I925,$B939)+COUNTIF(G908:I925,$B939&amp;" ~*")&gt;0)+(IFERROR(INDEX(Setup!$G$33:$G$40,MATCH(K939,Setup!$B$33:$B$40,0)),0)=1)*(COUNTIF(K908:M925,$B939)+COUNTIF(K908:M925,$B939&amp;" ~*")&gt;0)+(IFERROR(INDEX(Setup!$G$33:$G$40,MATCH(O939,Setup!$B$33:$B$40,0)),0)=1)*(COUNTIF(O908:Q925,$B939)+COUNTIF(O908:Q925,$B939&amp;" ~*")&gt;0)+(IFERROR(INDEX(Setup!$G$33:$G$40,MATCH(S939,Setup!$B$33:$B$40,0)),0)=1)*(COUNTIF(S908:U925,$B939)+COUNTIF(S908:U925,$B939&amp;" ~*")&gt;0)+(IFERROR(INDEX(Setup!$G$33:$G$40,MATCH(W939,Setup!$B$33:$B$40,0)),0)=1)*(COUNTIF(W908:W925,$B939)+COUNTIF(W908:W925,$B939&amp;" ~*")&gt;0)+(IFERROR(INDEX(Setup!$G$33:$G$40,MATCH(Y939,Setup!$B$33:$B$40,0)),0)=1)*(COUNTIF(Y908:Y925,$B939)+COUNTIF(Y908:Y925,$B939&amp;" ~*")&gt;0))</f>
        <v/>
      </c>
    </row>
    <row r="940" ht="15" customHeight="1">
      <c r="A940" t="n">
        <v>19</v>
      </c>
      <c r="B940" s="37">
        <f>IF(Setup!$B$19="","",Setup!$B$19)</f>
        <v/>
      </c>
      <c r="C940" s="102" t="n"/>
      <c r="D940" s="103" t="n"/>
      <c r="E940" s="103" t="n"/>
      <c r="F940" s="104" t="n"/>
      <c r="G940" s="102" t="n"/>
      <c r="H940" s="103" t="n"/>
      <c r="I940" s="103" t="n"/>
      <c r="J940" s="104" t="n"/>
      <c r="K940" s="102" t="n"/>
      <c r="L940" s="103" t="n"/>
      <c r="M940" s="103" t="n"/>
      <c r="N940" s="104" t="n"/>
      <c r="O940" s="102" t="n"/>
      <c r="P940" s="103" t="n"/>
      <c r="Q940" s="103" t="n"/>
      <c r="R940" s="104" t="n"/>
      <c r="S940" s="102" t="n"/>
      <c r="T940" s="103" t="n"/>
      <c r="U940" s="103" t="n"/>
      <c r="V940" s="104" t="n"/>
      <c r="W940" s="102" t="n"/>
      <c r="X940" s="104" t="n"/>
      <c r="Y940" s="102" t="n"/>
      <c r="Z940" s="104" t="n"/>
      <c r="AB940" s="105">
        <f>IF($B940="","",(COUNTIF(C908:E925,$B940)+COUNTIF(C908:E925,$B940&amp;" ~*")&gt;0)+(COUNTIF(G908:I925,$B940)+COUNTIF(G908:I925,$B940&amp;" ~*")&gt;0)+(COUNTIF(K908:M925,$B940)+COUNTIF(K908:M925,$B940&amp;" ~*")&gt;0)+(COUNTIF(O908:Q925,$B940)+COUNTIF(O908:Q925,$B940&amp;" ~*")&gt;0)+(COUNTIF(S908:U925,$B940)+COUNTIF(S908:U925,$B940&amp;" ~*")&gt;0)+(COUNTIF(W908:W925,$B940)+COUNTIF(W908:W925,$B940&amp;" ~*")&gt;0)+(COUNTIF(Y908:Y925,$B940)+COUNTIF(Y908:Y925,$B940&amp;" ~*")&gt;0))</f>
        <v/>
      </c>
      <c r="AC940" s="38">
        <f>IF($B940="","",(IFERROR(INDEX(Setup!$G$33:$G$40,MATCH(C940,Setup!$B$33:$B$40,0)),0)=1)*(COUNTIF(C908:E925,$B940)+COUNTIF(C908:E925,$B940&amp;" ~*")&gt;0)+(IFERROR(INDEX(Setup!$G$33:$G$40,MATCH(G940,Setup!$B$33:$B$40,0)),0)=1)*(COUNTIF(G908:I925,$B940)+COUNTIF(G908:I925,$B940&amp;" ~*")&gt;0)+(IFERROR(INDEX(Setup!$G$33:$G$40,MATCH(K940,Setup!$B$33:$B$40,0)),0)=1)*(COUNTIF(K908:M925,$B940)+COUNTIF(K908:M925,$B940&amp;" ~*")&gt;0)+(IFERROR(INDEX(Setup!$G$33:$G$40,MATCH(O940,Setup!$B$33:$B$40,0)),0)=1)*(COUNTIF(O908:Q925,$B940)+COUNTIF(O908:Q925,$B940&amp;" ~*")&gt;0)+(IFERROR(INDEX(Setup!$G$33:$G$40,MATCH(S940,Setup!$B$33:$B$40,0)),0)=1)*(COUNTIF(S908:U925,$B940)+COUNTIF(S908:U925,$B940&amp;" ~*")&gt;0)+(IFERROR(INDEX(Setup!$G$33:$G$40,MATCH(W940,Setup!$B$33:$B$40,0)),0)=1)*(COUNTIF(W908:W925,$B940)+COUNTIF(W908:W925,$B940&amp;" ~*")&gt;0)+(IFERROR(INDEX(Setup!$G$33:$G$40,MATCH(Y940,Setup!$B$33:$B$40,0)),0)=1)*(COUNTIF(Y908:Y925,$B940)+COUNTIF(Y908:Y925,$B940&amp;" ~*")&gt;0))</f>
        <v/>
      </c>
    </row>
    <row r="941" ht="15" customHeight="1">
      <c r="A941" t="n">
        <v>19</v>
      </c>
      <c r="B941" s="35">
        <f>IF(Setup!$B$20="","",Setup!$B$20)</f>
        <v/>
      </c>
      <c r="C941" s="98" t="n"/>
      <c r="D941" s="99" t="n"/>
      <c r="E941" s="99" t="n"/>
      <c r="F941" s="100" t="n"/>
      <c r="G941" s="98" t="n"/>
      <c r="H941" s="99" t="n"/>
      <c r="I941" s="99" t="n"/>
      <c r="J941" s="100" t="n"/>
      <c r="K941" s="98" t="n"/>
      <c r="L941" s="99" t="n"/>
      <c r="M941" s="99" t="n"/>
      <c r="N941" s="100" t="n"/>
      <c r="O941" s="98" t="n"/>
      <c r="P941" s="99" t="n"/>
      <c r="Q941" s="99" t="n"/>
      <c r="R941" s="100" t="n"/>
      <c r="S941" s="98" t="n"/>
      <c r="T941" s="99" t="n"/>
      <c r="U941" s="99" t="n"/>
      <c r="V941" s="100" t="n"/>
      <c r="W941" s="98" t="n"/>
      <c r="X941" s="100" t="n"/>
      <c r="Y941" s="98" t="n"/>
      <c r="Z941" s="100" t="n"/>
      <c r="AB941" s="101">
        <f>IF($B941="","",(COUNTIF(C908:E925,$B941)+COUNTIF(C908:E925,$B941&amp;" ~*")&gt;0)+(COUNTIF(G908:I925,$B941)+COUNTIF(G908:I925,$B941&amp;" ~*")&gt;0)+(COUNTIF(K908:M925,$B941)+COUNTIF(K908:M925,$B941&amp;" ~*")&gt;0)+(COUNTIF(O908:Q925,$B941)+COUNTIF(O908:Q925,$B941&amp;" ~*")&gt;0)+(COUNTIF(S908:U925,$B941)+COUNTIF(S908:U925,$B941&amp;" ~*")&gt;0)+(COUNTIF(W908:W925,$B941)+COUNTIF(W908:W925,$B941&amp;" ~*")&gt;0)+(COUNTIF(Y908:Y925,$B941)+COUNTIF(Y908:Y925,$B941&amp;" ~*")&gt;0))</f>
        <v/>
      </c>
      <c r="AC941" s="36">
        <f>IF($B941="","",(IFERROR(INDEX(Setup!$G$33:$G$40,MATCH(C941,Setup!$B$33:$B$40,0)),0)=1)*(COUNTIF(C908:E925,$B941)+COUNTIF(C908:E925,$B941&amp;" ~*")&gt;0)+(IFERROR(INDEX(Setup!$G$33:$G$40,MATCH(G941,Setup!$B$33:$B$40,0)),0)=1)*(COUNTIF(G908:I925,$B941)+COUNTIF(G908:I925,$B941&amp;" ~*")&gt;0)+(IFERROR(INDEX(Setup!$G$33:$G$40,MATCH(K941,Setup!$B$33:$B$40,0)),0)=1)*(COUNTIF(K908:M925,$B941)+COUNTIF(K908:M925,$B941&amp;" ~*")&gt;0)+(IFERROR(INDEX(Setup!$G$33:$G$40,MATCH(O941,Setup!$B$33:$B$40,0)),0)=1)*(COUNTIF(O908:Q925,$B941)+COUNTIF(O908:Q925,$B941&amp;" ~*")&gt;0)+(IFERROR(INDEX(Setup!$G$33:$G$40,MATCH(S941,Setup!$B$33:$B$40,0)),0)=1)*(COUNTIF(S908:U925,$B941)+COUNTIF(S908:U925,$B941&amp;" ~*")&gt;0)+(IFERROR(INDEX(Setup!$G$33:$G$40,MATCH(W941,Setup!$B$33:$B$40,0)),0)=1)*(COUNTIF(W908:W925,$B941)+COUNTIF(W908:W925,$B941&amp;" ~*")&gt;0)+(IFERROR(INDEX(Setup!$G$33:$G$40,MATCH(Y941,Setup!$B$33:$B$40,0)),0)=1)*(COUNTIF(Y908:Y925,$B941)+COUNTIF(Y908:Y925,$B941&amp;" ~*")&gt;0))</f>
        <v/>
      </c>
    </row>
    <row r="942" ht="15" customHeight="1">
      <c r="A942" t="n">
        <v>19</v>
      </c>
      <c r="B942" s="37">
        <f>IF(Setup!$B$21="","",Setup!$B$21)</f>
        <v/>
      </c>
      <c r="C942" s="102" t="n"/>
      <c r="D942" s="103" t="n"/>
      <c r="E942" s="103" t="n"/>
      <c r="F942" s="104" t="n"/>
      <c r="G942" s="102" t="n"/>
      <c r="H942" s="103" t="n"/>
      <c r="I942" s="103" t="n"/>
      <c r="J942" s="104" t="n"/>
      <c r="K942" s="102" t="n"/>
      <c r="L942" s="103" t="n"/>
      <c r="M942" s="103" t="n"/>
      <c r="N942" s="104" t="n"/>
      <c r="O942" s="102" t="n"/>
      <c r="P942" s="103" t="n"/>
      <c r="Q942" s="103" t="n"/>
      <c r="R942" s="104" t="n"/>
      <c r="S942" s="102" t="n"/>
      <c r="T942" s="103" t="n"/>
      <c r="U942" s="103" t="n"/>
      <c r="V942" s="104" t="n"/>
      <c r="W942" s="102" t="n"/>
      <c r="X942" s="104" t="n"/>
      <c r="Y942" s="102" t="n"/>
      <c r="Z942" s="104" t="n"/>
      <c r="AB942" s="105">
        <f>IF($B942="","",(COUNTIF(C908:E925,$B942)+COUNTIF(C908:E925,$B942&amp;" ~*")&gt;0)+(COUNTIF(G908:I925,$B942)+COUNTIF(G908:I925,$B942&amp;" ~*")&gt;0)+(COUNTIF(K908:M925,$B942)+COUNTIF(K908:M925,$B942&amp;" ~*")&gt;0)+(COUNTIF(O908:Q925,$B942)+COUNTIF(O908:Q925,$B942&amp;" ~*")&gt;0)+(COUNTIF(S908:U925,$B942)+COUNTIF(S908:U925,$B942&amp;" ~*")&gt;0)+(COUNTIF(W908:W925,$B942)+COUNTIF(W908:W925,$B942&amp;" ~*")&gt;0)+(COUNTIF(Y908:Y925,$B942)+COUNTIF(Y908:Y925,$B942&amp;" ~*")&gt;0))</f>
        <v/>
      </c>
      <c r="AC942" s="38">
        <f>IF($B942="","",(IFERROR(INDEX(Setup!$G$33:$G$40,MATCH(C942,Setup!$B$33:$B$40,0)),0)=1)*(COUNTIF(C908:E925,$B942)+COUNTIF(C908:E925,$B942&amp;" ~*")&gt;0)+(IFERROR(INDEX(Setup!$G$33:$G$40,MATCH(G942,Setup!$B$33:$B$40,0)),0)=1)*(COUNTIF(G908:I925,$B942)+COUNTIF(G908:I925,$B942&amp;" ~*")&gt;0)+(IFERROR(INDEX(Setup!$G$33:$G$40,MATCH(K942,Setup!$B$33:$B$40,0)),0)=1)*(COUNTIF(K908:M925,$B942)+COUNTIF(K908:M925,$B942&amp;" ~*")&gt;0)+(IFERROR(INDEX(Setup!$G$33:$G$40,MATCH(O942,Setup!$B$33:$B$40,0)),0)=1)*(COUNTIF(O908:Q925,$B942)+COUNTIF(O908:Q925,$B942&amp;" ~*")&gt;0)+(IFERROR(INDEX(Setup!$G$33:$G$40,MATCH(S942,Setup!$B$33:$B$40,0)),0)=1)*(COUNTIF(S908:U925,$B942)+COUNTIF(S908:U925,$B942&amp;" ~*")&gt;0)+(IFERROR(INDEX(Setup!$G$33:$G$40,MATCH(W942,Setup!$B$33:$B$40,0)),0)=1)*(COUNTIF(W908:W925,$B942)+COUNTIF(W908:W925,$B942&amp;" ~*")&gt;0)+(IFERROR(INDEX(Setup!$G$33:$G$40,MATCH(Y942,Setup!$B$33:$B$40,0)),0)=1)*(COUNTIF(Y908:Y925,$B942)+COUNTIF(Y908:Y925,$B942&amp;" ~*")&gt;0))</f>
        <v/>
      </c>
    </row>
    <row r="943" ht="15" customHeight="1">
      <c r="A943" t="n">
        <v>19</v>
      </c>
      <c r="B943" s="35">
        <f>IF(Setup!$B$22="","",Setup!$B$22)</f>
        <v/>
      </c>
      <c r="C943" s="98" t="n"/>
      <c r="D943" s="99" t="n"/>
      <c r="E943" s="99" t="n"/>
      <c r="F943" s="100" t="n"/>
      <c r="G943" s="98" t="n"/>
      <c r="H943" s="99" t="n"/>
      <c r="I943" s="99" t="n"/>
      <c r="J943" s="100" t="n"/>
      <c r="K943" s="98" t="n"/>
      <c r="L943" s="99" t="n"/>
      <c r="M943" s="99" t="n"/>
      <c r="N943" s="100" t="n"/>
      <c r="O943" s="98" t="n"/>
      <c r="P943" s="99" t="n"/>
      <c r="Q943" s="99" t="n"/>
      <c r="R943" s="100" t="n"/>
      <c r="S943" s="98" t="n"/>
      <c r="T943" s="99" t="n"/>
      <c r="U943" s="99" t="n"/>
      <c r="V943" s="100" t="n"/>
      <c r="W943" s="98" t="n"/>
      <c r="X943" s="100" t="n"/>
      <c r="Y943" s="98" t="n"/>
      <c r="Z943" s="100" t="n"/>
      <c r="AB943" s="101">
        <f>IF($B943="","",(COUNTIF(C908:E925,$B943)+COUNTIF(C908:E925,$B943&amp;" ~*")&gt;0)+(COUNTIF(G908:I925,$B943)+COUNTIF(G908:I925,$B943&amp;" ~*")&gt;0)+(COUNTIF(K908:M925,$B943)+COUNTIF(K908:M925,$B943&amp;" ~*")&gt;0)+(COUNTIF(O908:Q925,$B943)+COUNTIF(O908:Q925,$B943&amp;" ~*")&gt;0)+(COUNTIF(S908:U925,$B943)+COUNTIF(S908:U925,$B943&amp;" ~*")&gt;0)+(COUNTIF(W908:W925,$B943)+COUNTIF(W908:W925,$B943&amp;" ~*")&gt;0)+(COUNTIF(Y908:Y925,$B943)+COUNTIF(Y908:Y925,$B943&amp;" ~*")&gt;0))</f>
        <v/>
      </c>
      <c r="AC943" s="36">
        <f>IF($B943="","",(IFERROR(INDEX(Setup!$G$33:$G$40,MATCH(C943,Setup!$B$33:$B$40,0)),0)=1)*(COUNTIF(C908:E925,$B943)+COUNTIF(C908:E925,$B943&amp;" ~*")&gt;0)+(IFERROR(INDEX(Setup!$G$33:$G$40,MATCH(G943,Setup!$B$33:$B$40,0)),0)=1)*(COUNTIF(G908:I925,$B943)+COUNTIF(G908:I925,$B943&amp;" ~*")&gt;0)+(IFERROR(INDEX(Setup!$G$33:$G$40,MATCH(K943,Setup!$B$33:$B$40,0)),0)=1)*(COUNTIF(K908:M925,$B943)+COUNTIF(K908:M925,$B943&amp;" ~*")&gt;0)+(IFERROR(INDEX(Setup!$G$33:$G$40,MATCH(O943,Setup!$B$33:$B$40,0)),0)=1)*(COUNTIF(O908:Q925,$B943)+COUNTIF(O908:Q925,$B943&amp;" ~*")&gt;0)+(IFERROR(INDEX(Setup!$G$33:$G$40,MATCH(S943,Setup!$B$33:$B$40,0)),0)=1)*(COUNTIF(S908:U925,$B943)+COUNTIF(S908:U925,$B943&amp;" ~*")&gt;0)+(IFERROR(INDEX(Setup!$G$33:$G$40,MATCH(W943,Setup!$B$33:$B$40,0)),0)=1)*(COUNTIF(W908:W925,$B943)+COUNTIF(W908:W925,$B943&amp;" ~*")&gt;0)+(IFERROR(INDEX(Setup!$G$33:$G$40,MATCH(Y943,Setup!$B$33:$B$40,0)),0)=1)*(COUNTIF(Y908:Y925,$B943)+COUNTIF(Y908:Y925,$B943&amp;" ~*")&gt;0))</f>
        <v/>
      </c>
    </row>
    <row r="944" ht="15" customHeight="1">
      <c r="A944" t="n">
        <v>19</v>
      </c>
      <c r="B944" s="37">
        <f>IF(Setup!$B$23="","",Setup!$B$23)</f>
        <v/>
      </c>
      <c r="C944" s="102" t="n"/>
      <c r="D944" s="103" t="n"/>
      <c r="E944" s="103" t="n"/>
      <c r="F944" s="104" t="n"/>
      <c r="G944" s="102" t="n"/>
      <c r="H944" s="103" t="n"/>
      <c r="I944" s="103" t="n"/>
      <c r="J944" s="104" t="n"/>
      <c r="K944" s="102" t="n"/>
      <c r="L944" s="103" t="n"/>
      <c r="M944" s="103" t="n"/>
      <c r="N944" s="104" t="n"/>
      <c r="O944" s="102" t="n"/>
      <c r="P944" s="103" t="n"/>
      <c r="Q944" s="103" t="n"/>
      <c r="R944" s="104" t="n"/>
      <c r="S944" s="102" t="n"/>
      <c r="T944" s="103" t="n"/>
      <c r="U944" s="103" t="n"/>
      <c r="V944" s="104" t="n"/>
      <c r="W944" s="102" t="n"/>
      <c r="X944" s="104" t="n"/>
      <c r="Y944" s="102" t="n"/>
      <c r="Z944" s="104" t="n"/>
      <c r="AB944" s="105">
        <f>IF($B944="","",(COUNTIF(C908:E925,$B944)+COUNTIF(C908:E925,$B944&amp;" ~*")&gt;0)+(COUNTIF(G908:I925,$B944)+COUNTIF(G908:I925,$B944&amp;" ~*")&gt;0)+(COUNTIF(K908:M925,$B944)+COUNTIF(K908:M925,$B944&amp;" ~*")&gt;0)+(COUNTIF(O908:Q925,$B944)+COUNTIF(O908:Q925,$B944&amp;" ~*")&gt;0)+(COUNTIF(S908:U925,$B944)+COUNTIF(S908:U925,$B944&amp;" ~*")&gt;0)+(COUNTIF(W908:W925,$B944)+COUNTIF(W908:W925,$B944&amp;" ~*")&gt;0)+(COUNTIF(Y908:Y925,$B944)+COUNTIF(Y908:Y925,$B944&amp;" ~*")&gt;0))</f>
        <v/>
      </c>
      <c r="AC944" s="38">
        <f>IF($B944="","",(IFERROR(INDEX(Setup!$G$33:$G$40,MATCH(C944,Setup!$B$33:$B$40,0)),0)=1)*(COUNTIF(C908:E925,$B944)+COUNTIF(C908:E925,$B944&amp;" ~*")&gt;0)+(IFERROR(INDEX(Setup!$G$33:$G$40,MATCH(G944,Setup!$B$33:$B$40,0)),0)=1)*(COUNTIF(G908:I925,$B944)+COUNTIF(G908:I925,$B944&amp;" ~*")&gt;0)+(IFERROR(INDEX(Setup!$G$33:$G$40,MATCH(K944,Setup!$B$33:$B$40,0)),0)=1)*(COUNTIF(K908:M925,$B944)+COUNTIF(K908:M925,$B944&amp;" ~*")&gt;0)+(IFERROR(INDEX(Setup!$G$33:$G$40,MATCH(O944,Setup!$B$33:$B$40,0)),0)=1)*(COUNTIF(O908:Q925,$B944)+COUNTIF(O908:Q925,$B944&amp;" ~*")&gt;0)+(IFERROR(INDEX(Setup!$G$33:$G$40,MATCH(S944,Setup!$B$33:$B$40,0)),0)=1)*(COUNTIF(S908:U925,$B944)+COUNTIF(S908:U925,$B944&amp;" ~*")&gt;0)+(IFERROR(INDEX(Setup!$G$33:$G$40,MATCH(W944,Setup!$B$33:$B$40,0)),0)=1)*(COUNTIF(W908:W925,$B944)+COUNTIF(W908:W925,$B944&amp;" ~*")&gt;0)+(IFERROR(INDEX(Setup!$G$33:$G$40,MATCH(Y944,Setup!$B$33:$B$40,0)),0)=1)*(COUNTIF(Y908:Y925,$B944)+COUNTIF(Y908:Y925,$B944&amp;" ~*")&gt;0))</f>
        <v/>
      </c>
    </row>
    <row r="945" ht="15" customHeight="1">
      <c r="A945" t="n">
        <v>19</v>
      </c>
      <c r="B945" s="35">
        <f>IF(Setup!$B$24="","",Setup!$B$24)</f>
        <v/>
      </c>
      <c r="C945" s="98" t="n"/>
      <c r="D945" s="99" t="n"/>
      <c r="E945" s="99" t="n"/>
      <c r="F945" s="100" t="n"/>
      <c r="G945" s="98" t="n"/>
      <c r="H945" s="99" t="n"/>
      <c r="I945" s="99" t="n"/>
      <c r="J945" s="100" t="n"/>
      <c r="K945" s="98" t="n"/>
      <c r="L945" s="99" t="n"/>
      <c r="M945" s="99" t="n"/>
      <c r="N945" s="100" t="n"/>
      <c r="O945" s="98" t="n"/>
      <c r="P945" s="99" t="n"/>
      <c r="Q945" s="99" t="n"/>
      <c r="R945" s="100" t="n"/>
      <c r="S945" s="98" t="n"/>
      <c r="T945" s="99" t="n"/>
      <c r="U945" s="99" t="n"/>
      <c r="V945" s="100" t="n"/>
      <c r="W945" s="98" t="n"/>
      <c r="X945" s="100" t="n"/>
      <c r="Y945" s="98" t="n"/>
      <c r="Z945" s="100" t="n"/>
      <c r="AB945" s="101">
        <f>IF($B945="","",(COUNTIF(C908:E925,$B945)+COUNTIF(C908:E925,$B945&amp;" ~*")&gt;0)+(COUNTIF(G908:I925,$B945)+COUNTIF(G908:I925,$B945&amp;" ~*")&gt;0)+(COUNTIF(K908:M925,$B945)+COUNTIF(K908:M925,$B945&amp;" ~*")&gt;0)+(COUNTIF(O908:Q925,$B945)+COUNTIF(O908:Q925,$B945&amp;" ~*")&gt;0)+(COUNTIF(S908:U925,$B945)+COUNTIF(S908:U925,$B945&amp;" ~*")&gt;0)+(COUNTIF(W908:W925,$B945)+COUNTIF(W908:W925,$B945&amp;" ~*")&gt;0)+(COUNTIF(Y908:Y925,$B945)+COUNTIF(Y908:Y925,$B945&amp;" ~*")&gt;0))</f>
        <v/>
      </c>
      <c r="AC945" s="36">
        <f>IF($B945="","",(IFERROR(INDEX(Setup!$G$33:$G$40,MATCH(C945,Setup!$B$33:$B$40,0)),0)=1)*(COUNTIF(C908:E925,$B945)+COUNTIF(C908:E925,$B945&amp;" ~*")&gt;0)+(IFERROR(INDEX(Setup!$G$33:$G$40,MATCH(G945,Setup!$B$33:$B$40,0)),0)=1)*(COUNTIF(G908:I925,$B945)+COUNTIF(G908:I925,$B945&amp;" ~*")&gt;0)+(IFERROR(INDEX(Setup!$G$33:$G$40,MATCH(K945,Setup!$B$33:$B$40,0)),0)=1)*(COUNTIF(K908:M925,$B945)+COUNTIF(K908:M925,$B945&amp;" ~*")&gt;0)+(IFERROR(INDEX(Setup!$G$33:$G$40,MATCH(O945,Setup!$B$33:$B$40,0)),0)=1)*(COUNTIF(O908:Q925,$B945)+COUNTIF(O908:Q925,$B945&amp;" ~*")&gt;0)+(IFERROR(INDEX(Setup!$G$33:$G$40,MATCH(S945,Setup!$B$33:$B$40,0)),0)=1)*(COUNTIF(S908:U925,$B945)+COUNTIF(S908:U925,$B945&amp;" ~*")&gt;0)+(IFERROR(INDEX(Setup!$G$33:$G$40,MATCH(W945,Setup!$B$33:$B$40,0)),0)=1)*(COUNTIF(W908:W925,$B945)+COUNTIF(W908:W925,$B945&amp;" ~*")&gt;0)+(IFERROR(INDEX(Setup!$G$33:$G$40,MATCH(Y945,Setup!$B$33:$B$40,0)),0)=1)*(COUNTIF(Y908:Y925,$B945)+COUNTIF(Y908:Y925,$B945&amp;" ~*")&gt;0))</f>
        <v/>
      </c>
    </row>
    <row r="946" ht="15" customHeight="1">
      <c r="A946" t="n">
        <v>19</v>
      </c>
      <c r="B946" s="37">
        <f>IF(Setup!$B$25="","",Setup!$B$25)</f>
        <v/>
      </c>
      <c r="C946" s="102" t="n"/>
      <c r="D946" s="103" t="n"/>
      <c r="E946" s="103" t="n"/>
      <c r="F946" s="104" t="n"/>
      <c r="G946" s="102" t="n"/>
      <c r="H946" s="103" t="n"/>
      <c r="I946" s="103" t="n"/>
      <c r="J946" s="104" t="n"/>
      <c r="K946" s="102" t="n"/>
      <c r="L946" s="103" t="n"/>
      <c r="M946" s="103" t="n"/>
      <c r="N946" s="104" t="n"/>
      <c r="O946" s="102" t="n"/>
      <c r="P946" s="103" t="n"/>
      <c r="Q946" s="103" t="n"/>
      <c r="R946" s="104" t="n"/>
      <c r="S946" s="102" t="n"/>
      <c r="T946" s="103" t="n"/>
      <c r="U946" s="103" t="n"/>
      <c r="V946" s="104" t="n"/>
      <c r="W946" s="102" t="n"/>
      <c r="X946" s="104" t="n"/>
      <c r="Y946" s="102" t="n"/>
      <c r="Z946" s="104" t="n"/>
      <c r="AB946" s="105">
        <f>IF($B946="","",(COUNTIF(C908:E925,$B946)+COUNTIF(C908:E925,$B946&amp;" ~*")&gt;0)+(COUNTIF(G908:I925,$B946)+COUNTIF(G908:I925,$B946&amp;" ~*")&gt;0)+(COUNTIF(K908:M925,$B946)+COUNTIF(K908:M925,$B946&amp;" ~*")&gt;0)+(COUNTIF(O908:Q925,$B946)+COUNTIF(O908:Q925,$B946&amp;" ~*")&gt;0)+(COUNTIF(S908:U925,$B946)+COUNTIF(S908:U925,$B946&amp;" ~*")&gt;0)+(COUNTIF(W908:W925,$B946)+COUNTIF(W908:W925,$B946&amp;" ~*")&gt;0)+(COUNTIF(Y908:Y925,$B946)+COUNTIF(Y908:Y925,$B946&amp;" ~*")&gt;0))</f>
        <v/>
      </c>
      <c r="AC946" s="38">
        <f>IF($B946="","",(IFERROR(INDEX(Setup!$G$33:$G$40,MATCH(C946,Setup!$B$33:$B$40,0)),0)=1)*(COUNTIF(C908:E925,$B946)+COUNTIF(C908:E925,$B946&amp;" ~*")&gt;0)+(IFERROR(INDEX(Setup!$G$33:$G$40,MATCH(G946,Setup!$B$33:$B$40,0)),0)=1)*(COUNTIF(G908:I925,$B946)+COUNTIF(G908:I925,$B946&amp;" ~*")&gt;0)+(IFERROR(INDEX(Setup!$G$33:$G$40,MATCH(K946,Setup!$B$33:$B$40,0)),0)=1)*(COUNTIF(K908:M925,$B946)+COUNTIF(K908:M925,$B946&amp;" ~*")&gt;0)+(IFERROR(INDEX(Setup!$G$33:$G$40,MATCH(O946,Setup!$B$33:$B$40,0)),0)=1)*(COUNTIF(O908:Q925,$B946)+COUNTIF(O908:Q925,$B946&amp;" ~*")&gt;0)+(IFERROR(INDEX(Setup!$G$33:$G$40,MATCH(S946,Setup!$B$33:$B$40,0)),0)=1)*(COUNTIF(S908:U925,$B946)+COUNTIF(S908:U925,$B946&amp;" ~*")&gt;0)+(IFERROR(INDEX(Setup!$G$33:$G$40,MATCH(W946,Setup!$B$33:$B$40,0)),0)=1)*(COUNTIF(W908:W925,$B946)+COUNTIF(W908:W925,$B946&amp;" ~*")&gt;0)+(IFERROR(INDEX(Setup!$G$33:$G$40,MATCH(Y946,Setup!$B$33:$B$40,0)),0)=1)*(COUNTIF(Y908:Y925,$B946)+COUNTIF(Y908:Y925,$B946&amp;" ~*")&gt;0))</f>
        <v/>
      </c>
    </row>
    <row r="947" ht="15" customHeight="1">
      <c r="A947" t="n">
        <v>19</v>
      </c>
      <c r="B947" s="35">
        <f>IF(Setup!$B$26="","",Setup!$B$26)</f>
        <v/>
      </c>
      <c r="C947" s="98" t="n"/>
      <c r="D947" s="99" t="n"/>
      <c r="E947" s="99" t="n"/>
      <c r="F947" s="100" t="n"/>
      <c r="G947" s="98" t="n"/>
      <c r="H947" s="99" t="n"/>
      <c r="I947" s="99" t="n"/>
      <c r="J947" s="100" t="n"/>
      <c r="K947" s="98" t="n"/>
      <c r="L947" s="99" t="n"/>
      <c r="M947" s="99" t="n"/>
      <c r="N947" s="100" t="n"/>
      <c r="O947" s="98" t="n"/>
      <c r="P947" s="99" t="n"/>
      <c r="Q947" s="99" t="n"/>
      <c r="R947" s="100" t="n"/>
      <c r="S947" s="98" t="n"/>
      <c r="T947" s="99" t="n"/>
      <c r="U947" s="99" t="n"/>
      <c r="V947" s="100" t="n"/>
      <c r="W947" s="98" t="n"/>
      <c r="X947" s="100" t="n"/>
      <c r="Y947" s="98" t="n"/>
      <c r="Z947" s="100" t="n"/>
      <c r="AB947" s="101">
        <f>IF($B947="","",(COUNTIF(C908:E925,$B947)+COUNTIF(C908:E925,$B947&amp;" ~*")&gt;0)+(COUNTIF(G908:I925,$B947)+COUNTIF(G908:I925,$B947&amp;" ~*")&gt;0)+(COUNTIF(K908:M925,$B947)+COUNTIF(K908:M925,$B947&amp;" ~*")&gt;0)+(COUNTIF(O908:Q925,$B947)+COUNTIF(O908:Q925,$B947&amp;" ~*")&gt;0)+(COUNTIF(S908:U925,$B947)+COUNTIF(S908:U925,$B947&amp;" ~*")&gt;0)+(COUNTIF(W908:W925,$B947)+COUNTIF(W908:W925,$B947&amp;" ~*")&gt;0)+(COUNTIF(Y908:Y925,$B947)+COUNTIF(Y908:Y925,$B947&amp;" ~*")&gt;0))</f>
        <v/>
      </c>
      <c r="AC947" s="36">
        <f>IF($B947="","",(IFERROR(INDEX(Setup!$G$33:$G$40,MATCH(C947,Setup!$B$33:$B$40,0)),0)=1)*(COUNTIF(C908:E925,$B947)+COUNTIF(C908:E925,$B947&amp;" ~*")&gt;0)+(IFERROR(INDEX(Setup!$G$33:$G$40,MATCH(G947,Setup!$B$33:$B$40,0)),0)=1)*(COUNTIF(G908:I925,$B947)+COUNTIF(G908:I925,$B947&amp;" ~*")&gt;0)+(IFERROR(INDEX(Setup!$G$33:$G$40,MATCH(K947,Setup!$B$33:$B$40,0)),0)=1)*(COUNTIF(K908:M925,$B947)+COUNTIF(K908:M925,$B947&amp;" ~*")&gt;0)+(IFERROR(INDEX(Setup!$G$33:$G$40,MATCH(O947,Setup!$B$33:$B$40,0)),0)=1)*(COUNTIF(O908:Q925,$B947)+COUNTIF(O908:Q925,$B947&amp;" ~*")&gt;0)+(IFERROR(INDEX(Setup!$G$33:$G$40,MATCH(S947,Setup!$B$33:$B$40,0)),0)=1)*(COUNTIF(S908:U925,$B947)+COUNTIF(S908:U925,$B947&amp;" ~*")&gt;0)+(IFERROR(INDEX(Setup!$G$33:$G$40,MATCH(W947,Setup!$B$33:$B$40,0)),0)=1)*(COUNTIF(W908:W925,$B947)+COUNTIF(W908:W925,$B947&amp;" ~*")&gt;0)+(IFERROR(INDEX(Setup!$G$33:$G$40,MATCH(Y947,Setup!$B$33:$B$40,0)),0)=1)*(COUNTIF(Y908:Y925,$B947)+COUNTIF(Y908:Y925,$B947&amp;" ~*")&gt;0))</f>
        <v/>
      </c>
    </row>
    <row r="948" ht="15" customHeight="1">
      <c r="A948" t="n">
        <v>19</v>
      </c>
      <c r="B948" s="37">
        <f>IF(Setup!$B$27="","",Setup!$B$27)</f>
        <v/>
      </c>
      <c r="C948" s="102" t="n"/>
      <c r="D948" s="103" t="n"/>
      <c r="E948" s="103" t="n"/>
      <c r="F948" s="104" t="n"/>
      <c r="G948" s="102" t="n"/>
      <c r="H948" s="103" t="n"/>
      <c r="I948" s="103" t="n"/>
      <c r="J948" s="104" t="n"/>
      <c r="K948" s="102" t="n"/>
      <c r="L948" s="103" t="n"/>
      <c r="M948" s="103" t="n"/>
      <c r="N948" s="104" t="n"/>
      <c r="O948" s="102" t="n"/>
      <c r="P948" s="103" t="n"/>
      <c r="Q948" s="103" t="n"/>
      <c r="R948" s="104" t="n"/>
      <c r="S948" s="102" t="n"/>
      <c r="T948" s="103" t="n"/>
      <c r="U948" s="103" t="n"/>
      <c r="V948" s="104" t="n"/>
      <c r="W948" s="102" t="n"/>
      <c r="X948" s="104" t="n"/>
      <c r="Y948" s="102" t="n"/>
      <c r="Z948" s="104" t="n"/>
      <c r="AB948" s="105">
        <f>IF($B948="","",(COUNTIF(C908:E925,$B948)+COUNTIF(C908:E925,$B948&amp;" ~*")&gt;0)+(COUNTIF(G908:I925,$B948)+COUNTIF(G908:I925,$B948&amp;" ~*")&gt;0)+(COUNTIF(K908:M925,$B948)+COUNTIF(K908:M925,$B948&amp;" ~*")&gt;0)+(COUNTIF(O908:Q925,$B948)+COUNTIF(O908:Q925,$B948&amp;" ~*")&gt;0)+(COUNTIF(S908:U925,$B948)+COUNTIF(S908:U925,$B948&amp;" ~*")&gt;0)+(COUNTIF(W908:W925,$B948)+COUNTIF(W908:W925,$B948&amp;" ~*")&gt;0)+(COUNTIF(Y908:Y925,$B948)+COUNTIF(Y908:Y925,$B948&amp;" ~*")&gt;0))</f>
        <v/>
      </c>
      <c r="AC948" s="38">
        <f>IF($B948="","",(IFERROR(INDEX(Setup!$G$33:$G$40,MATCH(C948,Setup!$B$33:$B$40,0)),0)=1)*(COUNTIF(C908:E925,$B948)+COUNTIF(C908:E925,$B948&amp;" ~*")&gt;0)+(IFERROR(INDEX(Setup!$G$33:$G$40,MATCH(G948,Setup!$B$33:$B$40,0)),0)=1)*(COUNTIF(G908:I925,$B948)+COUNTIF(G908:I925,$B948&amp;" ~*")&gt;0)+(IFERROR(INDEX(Setup!$G$33:$G$40,MATCH(K948,Setup!$B$33:$B$40,0)),0)=1)*(COUNTIF(K908:M925,$B948)+COUNTIF(K908:M925,$B948&amp;" ~*")&gt;0)+(IFERROR(INDEX(Setup!$G$33:$G$40,MATCH(O948,Setup!$B$33:$B$40,0)),0)=1)*(COUNTIF(O908:Q925,$B948)+COUNTIF(O908:Q925,$B948&amp;" ~*")&gt;0)+(IFERROR(INDEX(Setup!$G$33:$G$40,MATCH(S948,Setup!$B$33:$B$40,0)),0)=1)*(COUNTIF(S908:U925,$B948)+COUNTIF(S908:U925,$B948&amp;" ~*")&gt;0)+(IFERROR(INDEX(Setup!$G$33:$G$40,MATCH(W948,Setup!$B$33:$B$40,0)),0)=1)*(COUNTIF(W908:W925,$B948)+COUNTIF(W908:W925,$B948&amp;" ~*")&gt;0)+(IFERROR(INDEX(Setup!$G$33:$G$40,MATCH(Y948,Setup!$B$33:$B$40,0)),0)=1)*(COUNTIF(Y908:Y925,$B948)+COUNTIF(Y908:Y925,$B948&amp;" ~*")&gt;0))</f>
        <v/>
      </c>
    </row>
    <row r="949" ht="15" customHeight="1">
      <c r="A949" t="n">
        <v>19</v>
      </c>
      <c r="B949" s="35">
        <f>IF(Setup!$B$28="","",Setup!$B$28)</f>
        <v/>
      </c>
      <c r="C949" s="98" t="n"/>
      <c r="D949" s="99" t="n"/>
      <c r="E949" s="99" t="n"/>
      <c r="F949" s="100" t="n"/>
      <c r="G949" s="98" t="n"/>
      <c r="H949" s="99" t="n"/>
      <c r="I949" s="99" t="n"/>
      <c r="J949" s="100" t="n"/>
      <c r="K949" s="98" t="n"/>
      <c r="L949" s="99" t="n"/>
      <c r="M949" s="99" t="n"/>
      <c r="N949" s="100" t="n"/>
      <c r="O949" s="98" t="n"/>
      <c r="P949" s="99" t="n"/>
      <c r="Q949" s="99" t="n"/>
      <c r="R949" s="100" t="n"/>
      <c r="S949" s="98" t="n"/>
      <c r="T949" s="99" t="n"/>
      <c r="U949" s="99" t="n"/>
      <c r="V949" s="100" t="n"/>
      <c r="W949" s="98" t="n"/>
      <c r="X949" s="100" t="n"/>
      <c r="Y949" s="98" t="n"/>
      <c r="Z949" s="100" t="n"/>
      <c r="AB949" s="101">
        <f>IF($B949="","",(COUNTIF(C908:E925,$B949)+COUNTIF(C908:E925,$B949&amp;" ~*")&gt;0)+(COUNTIF(G908:I925,$B949)+COUNTIF(G908:I925,$B949&amp;" ~*")&gt;0)+(COUNTIF(K908:M925,$B949)+COUNTIF(K908:M925,$B949&amp;" ~*")&gt;0)+(COUNTIF(O908:Q925,$B949)+COUNTIF(O908:Q925,$B949&amp;" ~*")&gt;0)+(COUNTIF(S908:U925,$B949)+COUNTIF(S908:U925,$B949&amp;" ~*")&gt;0)+(COUNTIF(W908:W925,$B949)+COUNTIF(W908:W925,$B949&amp;" ~*")&gt;0)+(COUNTIF(Y908:Y925,$B949)+COUNTIF(Y908:Y925,$B949&amp;" ~*")&gt;0))</f>
        <v/>
      </c>
      <c r="AC949" s="36">
        <f>IF($B949="","",(IFERROR(INDEX(Setup!$G$33:$G$40,MATCH(C949,Setup!$B$33:$B$40,0)),0)=1)*(COUNTIF(C908:E925,$B949)+COUNTIF(C908:E925,$B949&amp;" ~*")&gt;0)+(IFERROR(INDEX(Setup!$G$33:$G$40,MATCH(G949,Setup!$B$33:$B$40,0)),0)=1)*(COUNTIF(G908:I925,$B949)+COUNTIF(G908:I925,$B949&amp;" ~*")&gt;0)+(IFERROR(INDEX(Setup!$G$33:$G$40,MATCH(K949,Setup!$B$33:$B$40,0)),0)=1)*(COUNTIF(K908:M925,$B949)+COUNTIF(K908:M925,$B949&amp;" ~*")&gt;0)+(IFERROR(INDEX(Setup!$G$33:$G$40,MATCH(O949,Setup!$B$33:$B$40,0)),0)=1)*(COUNTIF(O908:Q925,$B949)+COUNTIF(O908:Q925,$B949&amp;" ~*")&gt;0)+(IFERROR(INDEX(Setup!$G$33:$G$40,MATCH(S949,Setup!$B$33:$B$40,0)),0)=1)*(COUNTIF(S908:U925,$B949)+COUNTIF(S908:U925,$B949&amp;" ~*")&gt;0)+(IFERROR(INDEX(Setup!$G$33:$G$40,MATCH(W949,Setup!$B$33:$B$40,0)),0)=1)*(COUNTIF(W908:W925,$B949)+COUNTIF(W908:W925,$B949&amp;" ~*")&gt;0)+(IFERROR(INDEX(Setup!$G$33:$G$40,MATCH(Y949,Setup!$B$33:$B$40,0)),0)=1)*(COUNTIF(Y908:Y925,$B949)+COUNTIF(Y908:Y925,$B949&amp;" ~*")&gt;0))</f>
        <v/>
      </c>
    </row>
    <row r="950" ht="15" customHeight="1">
      <c r="A950" t="n">
        <v>19</v>
      </c>
      <c r="B950" s="37">
        <f>IF(Setup!$B$29="","",Setup!$B$29)</f>
        <v/>
      </c>
      <c r="C950" s="102" t="n"/>
      <c r="D950" s="103" t="n"/>
      <c r="E950" s="103" t="n"/>
      <c r="F950" s="104" t="n"/>
      <c r="G950" s="102" t="n"/>
      <c r="H950" s="103" t="n"/>
      <c r="I950" s="103" t="n"/>
      <c r="J950" s="104" t="n"/>
      <c r="K950" s="102" t="n"/>
      <c r="L950" s="103" t="n"/>
      <c r="M950" s="103" t="n"/>
      <c r="N950" s="104" t="n"/>
      <c r="O950" s="102" t="n"/>
      <c r="P950" s="103" t="n"/>
      <c r="Q950" s="103" t="n"/>
      <c r="R950" s="104" t="n"/>
      <c r="S950" s="102" t="n"/>
      <c r="T950" s="103" t="n"/>
      <c r="U950" s="103" t="n"/>
      <c r="V950" s="104" t="n"/>
      <c r="W950" s="102" t="n"/>
      <c r="X950" s="104" t="n"/>
      <c r="Y950" s="102" t="n"/>
      <c r="Z950" s="104" t="n"/>
      <c r="AB950" s="105">
        <f>IF($B950="","",(COUNTIF(C908:E925,$B950)+COUNTIF(C908:E925,$B950&amp;" ~*")&gt;0)+(COUNTIF(G908:I925,$B950)+COUNTIF(G908:I925,$B950&amp;" ~*")&gt;0)+(COUNTIF(K908:M925,$B950)+COUNTIF(K908:M925,$B950&amp;" ~*")&gt;0)+(COUNTIF(O908:Q925,$B950)+COUNTIF(O908:Q925,$B950&amp;" ~*")&gt;0)+(COUNTIF(S908:U925,$B950)+COUNTIF(S908:U925,$B950&amp;" ~*")&gt;0)+(COUNTIF(W908:W925,$B950)+COUNTIF(W908:W925,$B950&amp;" ~*")&gt;0)+(COUNTIF(Y908:Y925,$B950)+COUNTIF(Y908:Y925,$B950&amp;" ~*")&gt;0))</f>
        <v/>
      </c>
      <c r="AC950" s="38">
        <f>IF($B950="","",(IFERROR(INDEX(Setup!$G$33:$G$40,MATCH(C950,Setup!$B$33:$B$40,0)),0)=1)*(COUNTIF(C908:E925,$B950)+COUNTIF(C908:E925,$B950&amp;" ~*")&gt;0)+(IFERROR(INDEX(Setup!$G$33:$G$40,MATCH(G950,Setup!$B$33:$B$40,0)),0)=1)*(COUNTIF(G908:I925,$B950)+COUNTIF(G908:I925,$B950&amp;" ~*")&gt;0)+(IFERROR(INDEX(Setup!$G$33:$G$40,MATCH(K950,Setup!$B$33:$B$40,0)),0)=1)*(COUNTIF(K908:M925,$B950)+COUNTIF(K908:M925,$B950&amp;" ~*")&gt;0)+(IFERROR(INDEX(Setup!$G$33:$G$40,MATCH(O950,Setup!$B$33:$B$40,0)),0)=1)*(COUNTIF(O908:Q925,$B950)+COUNTIF(O908:Q925,$B950&amp;" ~*")&gt;0)+(IFERROR(INDEX(Setup!$G$33:$G$40,MATCH(S950,Setup!$B$33:$B$40,0)),0)=1)*(COUNTIF(S908:U925,$B950)+COUNTIF(S908:U925,$B950&amp;" ~*")&gt;0)+(IFERROR(INDEX(Setup!$G$33:$G$40,MATCH(W950,Setup!$B$33:$B$40,0)),0)=1)*(COUNTIF(W908:W925,$B950)+COUNTIF(W908:W925,$B950&amp;" ~*")&gt;0)+(IFERROR(INDEX(Setup!$G$33:$G$40,MATCH(Y950,Setup!$B$33:$B$40,0)),0)=1)*(COUNTIF(Y908:Y925,$B950)+COUNTIF(Y908:Y925,$B950&amp;" ~*")&gt;0))</f>
        <v/>
      </c>
    </row>
    <row r="951" ht="16" customHeight="1">
      <c r="A951" t="n">
        <v>19</v>
      </c>
      <c r="B951" s="106" t="inlineStr">
        <is>
          <t>Available people</t>
        </is>
      </c>
      <c r="C951" s="107">
        <f>COUNTIFS(Setup!$E$6:$E$29,"Y",Setup!$B$6:$B$29,"?*")-SUMPRODUCT(COUNTIF(C927:C950,Setup!$F$33:$F$40))</f>
        <v/>
      </c>
      <c r="D951" s="107" t="n"/>
      <c r="E951" s="107" t="n"/>
      <c r="F951" s="107" t="n"/>
      <c r="G951" s="107">
        <f>COUNTIFS(Setup!$E$6:$E$29,"Y",Setup!$B$6:$B$29,"?*")-SUMPRODUCT(COUNTIF(G927:G950,Setup!$F$33:$F$40))</f>
        <v/>
      </c>
      <c r="H951" s="107" t="n"/>
      <c r="I951" s="107" t="n"/>
      <c r="J951" s="107" t="n"/>
      <c r="K951" s="107">
        <f>COUNTIFS(Setup!$E$6:$E$29,"Y",Setup!$B$6:$B$29,"?*")-SUMPRODUCT(COUNTIF(K927:K950,Setup!$F$33:$F$40))</f>
        <v/>
      </c>
      <c r="L951" s="107" t="n"/>
      <c r="M951" s="107" t="n"/>
      <c r="N951" s="107" t="n"/>
      <c r="O951" s="107">
        <f>COUNTIFS(Setup!$E$6:$E$29,"Y",Setup!$B$6:$B$29,"?*")-SUMPRODUCT(COUNTIF(O927:O950,Setup!$F$33:$F$40))</f>
        <v/>
      </c>
      <c r="P951" s="107" t="n"/>
      <c r="Q951" s="107" t="n"/>
      <c r="R951" s="107" t="n"/>
      <c r="S951" s="107">
        <f>COUNTIFS(Setup!$E$6:$E$29,"Y",Setup!$B$6:$B$29,"?*")-SUMPRODUCT(COUNTIF(S927:S950,Setup!$F$33:$F$40))</f>
        <v/>
      </c>
      <c r="T951" s="107" t="n"/>
      <c r="U951" s="107" t="n"/>
      <c r="V951" s="107" t="n"/>
      <c r="W951" s="107">
        <f>COUNTIFS(Setup!$E$6:$E$29,"Y",Setup!$B$6:$B$29,"?*")-SUMPRODUCT(COUNTIF(W927:W950,Setup!$F$33:$F$40))</f>
        <v/>
      </c>
      <c r="X951" s="107" t="n"/>
      <c r="Y951" s="107">
        <f>COUNTIFS(Setup!$E$6:$E$29,"Y",Setup!$B$6:$B$29,"?*")-SUMPRODUCT(COUNTIF(Y927:Y950,Setup!$F$33:$F$40))</f>
        <v/>
      </c>
      <c r="Z951" s="107" t="n"/>
      <c r="AB951" s="108">
        <f>SUM(AB927:AB950)</f>
        <v/>
      </c>
      <c r="AC951" s="109">
        <f>SUM(AC927:AC950)</f>
        <v/>
      </c>
    </row>
    <row r="952" ht="30" customHeight="1">
      <c r="A952" t="n">
        <v>19</v>
      </c>
      <c r="B952" s="110" t="inlineStr">
        <is>
          <t>Week notes</t>
        </is>
      </c>
      <c r="C952" s="111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112" t="n"/>
      <c r="R952" s="112" t="n"/>
      <c r="S952" s="112" t="n"/>
      <c r="T952" s="112" t="n"/>
      <c r="U952" s="112" t="n"/>
      <c r="V952" s="112" t="n"/>
      <c r="W952" s="112" t="n"/>
      <c r="X952" s="112" t="n"/>
      <c r="Y952" s="112" t="n"/>
      <c r="Z952" s="113" t="n"/>
    </row>
    <row r="953" ht="8" customHeight="1">
      <c r="A953" t="n">
        <v>19</v>
      </c>
    </row>
    <row r="954" ht="8" customHeight="1">
      <c r="A954" t="n">
        <v>19</v>
      </c>
    </row>
    <row r="955" ht="24" customHeight="1">
      <c r="A955" t="n">
        <v>20</v>
      </c>
      <c r="B955" s="73">
        <f>"WEEK 20     "&amp;TEXT(C956,"ddd d mmm")&amp;"  –  "&amp;TEXT(C956+6,"ddd d mmm yyyy")</f>
        <v/>
      </c>
      <c r="S955" s="74">
        <f>IF(TODAY()&lt;C956,"FUTURE",IF(TODAY()&gt;C956+6,"PAST","THIS WEEK"))</f>
        <v/>
      </c>
      <c r="W955" s="75">
        <f>IF(AND(Engine!$B$8=$AC$3,Engine!$B$9=$A955),"◀ ACTIVE WEEK","")</f>
        <v/>
      </c>
      <c r="AA955" s="76" t="n"/>
      <c r="AB955" s="77" t="inlineStr">
        <is>
          <t>◀ Prev</t>
        </is>
      </c>
      <c r="AC955" s="77" t="inlineStr">
        <is>
          <t>Next ▶</t>
        </is>
      </c>
    </row>
    <row r="956" ht="18" customHeight="1">
      <c r="A956" t="n">
        <v>20</v>
      </c>
      <c r="B956" s="78" t="inlineStr">
        <is>
          <t>DUTY</t>
        </is>
      </c>
      <c r="C956" s="79">
        <f>$AC$2+7*($A956-1)</f>
        <v/>
      </c>
      <c r="D956" s="80" t="n"/>
      <c r="E956" s="80" t="n"/>
      <c r="F956" s="81" t="n"/>
      <c r="G956" s="79">
        <f>C956+1</f>
        <v/>
      </c>
      <c r="H956" s="80" t="n"/>
      <c r="I956" s="80" t="n"/>
      <c r="J956" s="81" t="n"/>
      <c r="K956" s="79">
        <f>C956+2</f>
        <v/>
      </c>
      <c r="L956" s="80" t="n"/>
      <c r="M956" s="80" t="n"/>
      <c r="N956" s="81" t="n"/>
      <c r="O956" s="79">
        <f>C956+3</f>
        <v/>
      </c>
      <c r="P956" s="80" t="n"/>
      <c r="Q956" s="80" t="n"/>
      <c r="R956" s="81" t="n"/>
      <c r="S956" s="79">
        <f>C956+4</f>
        <v/>
      </c>
      <c r="T956" s="80" t="n"/>
      <c r="U956" s="80" t="n"/>
      <c r="V956" s="81" t="n"/>
      <c r="W956" s="82">
        <f>C956+5</f>
        <v/>
      </c>
      <c r="X956" s="83" t="n"/>
      <c r="Y956" s="82">
        <f>C956+6</f>
        <v/>
      </c>
      <c r="Z956" s="83" t="n"/>
      <c r="AB956" s="72" t="inlineStr">
        <is>
          <t>Gaps</t>
        </is>
      </c>
      <c r="AC956" s="72" t="inlineStr">
        <is>
          <t>Cover</t>
        </is>
      </c>
    </row>
    <row r="957" ht="14" customHeight="1">
      <c r="A957" t="n">
        <v>20</v>
      </c>
      <c r="B957" s="84" t="inlineStr">
        <is>
          <t>(from Setup)</t>
        </is>
      </c>
      <c r="C957" s="85" t="inlineStr">
        <is>
          <t>1</t>
        </is>
      </c>
      <c r="D957" s="85" t="inlineStr">
        <is>
          <t>2</t>
        </is>
      </c>
      <c r="E957" s="85" t="inlineStr">
        <is>
          <t>3</t>
        </is>
      </c>
      <c r="F957" s="85" t="inlineStr">
        <is>
          <t>Notes</t>
        </is>
      </c>
      <c r="G957" s="85" t="inlineStr">
        <is>
          <t>1</t>
        </is>
      </c>
      <c r="H957" s="85" t="inlineStr">
        <is>
          <t>2</t>
        </is>
      </c>
      <c r="I957" s="85" t="inlineStr">
        <is>
          <t>3</t>
        </is>
      </c>
      <c r="J957" s="85" t="inlineStr">
        <is>
          <t>Notes</t>
        </is>
      </c>
      <c r="K957" s="85" t="inlineStr">
        <is>
          <t>1</t>
        </is>
      </c>
      <c r="L957" s="85" t="inlineStr">
        <is>
          <t>2</t>
        </is>
      </c>
      <c r="M957" s="85" t="inlineStr">
        <is>
          <t>3</t>
        </is>
      </c>
      <c r="N957" s="85" t="inlineStr">
        <is>
          <t>Notes</t>
        </is>
      </c>
      <c r="O957" s="85" t="inlineStr">
        <is>
          <t>1</t>
        </is>
      </c>
      <c r="P957" s="85" t="inlineStr">
        <is>
          <t>2</t>
        </is>
      </c>
      <c r="Q957" s="85" t="inlineStr">
        <is>
          <t>3</t>
        </is>
      </c>
      <c r="R957" s="85" t="inlineStr">
        <is>
          <t>Notes</t>
        </is>
      </c>
      <c r="S957" s="85" t="inlineStr">
        <is>
          <t>1</t>
        </is>
      </c>
      <c r="T957" s="85" t="inlineStr">
        <is>
          <t>2</t>
        </is>
      </c>
      <c r="U957" s="85" t="inlineStr">
        <is>
          <t>3</t>
        </is>
      </c>
      <c r="V957" s="85" t="inlineStr">
        <is>
          <t>Notes</t>
        </is>
      </c>
      <c r="W957" s="85" t="inlineStr">
        <is>
          <t>Cover</t>
        </is>
      </c>
      <c r="X957" s="85" t="inlineStr">
        <is>
          <t>Notes</t>
        </is>
      </c>
      <c r="Y957" s="85" t="inlineStr">
        <is>
          <t>Cover</t>
        </is>
      </c>
      <c r="Z957" s="85" t="inlineStr">
        <is>
          <t>Notes</t>
        </is>
      </c>
      <c r="AB957" s="86" t="inlineStr">
        <is>
          <t>weekdays short</t>
        </is>
      </c>
      <c r="AC957" s="87" t="inlineStr"/>
    </row>
    <row r="958" ht="17" customHeight="1">
      <c r="A958" t="n">
        <v>20</v>
      </c>
      <c r="B958" s="24">
        <f>IF(Setup!$K$6="","",Setup!$K$6)</f>
        <v/>
      </c>
      <c r="C958" s="88" t="n"/>
      <c r="D958" s="88" t="n"/>
      <c r="E958" s="88" t="n"/>
      <c r="F958" s="89" t="n"/>
      <c r="G958" s="88" t="n"/>
      <c r="H958" s="88" t="n"/>
      <c r="I958" s="88" t="n"/>
      <c r="J958" s="89" t="n"/>
      <c r="K958" s="88" t="n"/>
      <c r="L958" s="88" t="n"/>
      <c r="M958" s="88" t="n"/>
      <c r="N958" s="89" t="n"/>
      <c r="O958" s="88" t="n"/>
      <c r="P958" s="88" t="n"/>
      <c r="Q958" s="88" t="n"/>
      <c r="R958" s="89" t="n"/>
      <c r="S958" s="88" t="n"/>
      <c r="T958" s="88" t="n"/>
      <c r="U958" s="88" t="n"/>
      <c r="V958" s="89" t="n"/>
      <c r="W958" s="88" t="n"/>
      <c r="X958" s="89" t="n"/>
      <c r="Y958" s="88" t="n"/>
      <c r="Z958" s="89" t="n"/>
      <c r="AB958" s="25">
        <f>IF($B958="","",(COUNTIF(C958:E958,"?*")&lt;N(INDEX(Setup!$L$6:$L$23,1)))+(COUNTIF(G958:I958,"?*")&lt;N(INDEX(Setup!$L$6:$L$23,1)))+(COUNTIF(K958:M958,"?*")&lt;N(INDEX(Setup!$L$6:$L$23,1)))+(COUNTIF(O958:Q958,"?*")&lt;N(INDEX(Setup!$L$6:$L$23,1)))+(COUNTIF(S958:U958,"?*")&lt;N(INDEX(Setup!$L$6:$L$23,1)))+((W958="")*(INDEX(Setup!$M$6:$M$23,1)="Y"))+((Y958="")*(INDEX(Setup!$M$6:$M$23,1)="Y")))</f>
        <v/>
      </c>
      <c r="AC958" s="90">
        <f>IF($B958="","",IF(AB958=0,"✓ covered","⚠ "&amp;AB958&amp;IF(AB958=1," gap"," gaps")))</f>
        <v/>
      </c>
    </row>
    <row r="959" ht="17" customHeight="1">
      <c r="A959" t="n">
        <v>20</v>
      </c>
      <c r="B959" s="29">
        <f>IF(Setup!$K$7="","",Setup!$K$7)</f>
        <v/>
      </c>
      <c r="C959" s="88" t="n"/>
      <c r="D959" s="88" t="n"/>
      <c r="E959" s="88" t="n"/>
      <c r="F959" s="89" t="n"/>
      <c r="G959" s="88" t="n"/>
      <c r="H959" s="88" t="n"/>
      <c r="I959" s="88" t="n"/>
      <c r="J959" s="89" t="n"/>
      <c r="K959" s="88" t="n"/>
      <c r="L959" s="88" t="n"/>
      <c r="M959" s="88" t="n"/>
      <c r="N959" s="89" t="n"/>
      <c r="O959" s="88" t="n"/>
      <c r="P959" s="88" t="n"/>
      <c r="Q959" s="88" t="n"/>
      <c r="R959" s="89" t="n"/>
      <c r="S959" s="88" t="n"/>
      <c r="T959" s="88" t="n"/>
      <c r="U959" s="88" t="n"/>
      <c r="V959" s="89" t="n"/>
      <c r="W959" s="88" t="n"/>
      <c r="X959" s="89" t="n"/>
      <c r="Y959" s="88" t="n"/>
      <c r="Z959" s="89" t="n"/>
      <c r="AB959" s="30">
        <f>IF($B959="","",(COUNTIF(C959:E959,"?*")&lt;N(INDEX(Setup!$L$6:$L$23,2)))+(COUNTIF(G959:I959,"?*")&lt;N(INDEX(Setup!$L$6:$L$23,2)))+(COUNTIF(K959:M959,"?*")&lt;N(INDEX(Setup!$L$6:$L$23,2)))+(COUNTIF(O959:Q959,"?*")&lt;N(INDEX(Setup!$L$6:$L$23,2)))+(COUNTIF(S959:U959,"?*")&lt;N(INDEX(Setup!$L$6:$L$23,2)))+((W959="")*(INDEX(Setup!$M$6:$M$23,2)="Y"))+((Y959="")*(INDEX(Setup!$M$6:$M$23,2)="Y")))</f>
        <v/>
      </c>
      <c r="AC959" s="91">
        <f>IF($B959="","",IF(AB959=0,"✓ covered","⚠ "&amp;AB959&amp;IF(AB959=1," gap"," gaps")))</f>
        <v/>
      </c>
    </row>
    <row r="960" ht="17" customHeight="1">
      <c r="A960" t="n">
        <v>20</v>
      </c>
      <c r="B960" s="24">
        <f>IF(Setup!$K$8="","",Setup!$K$8)</f>
        <v/>
      </c>
      <c r="C960" s="88" t="n"/>
      <c r="D960" s="88" t="n"/>
      <c r="E960" s="88" t="n"/>
      <c r="F960" s="89" t="n"/>
      <c r="G960" s="88" t="n"/>
      <c r="H960" s="88" t="n"/>
      <c r="I960" s="88" t="n"/>
      <c r="J960" s="89" t="n"/>
      <c r="K960" s="88" t="n"/>
      <c r="L960" s="88" t="n"/>
      <c r="M960" s="88" t="n"/>
      <c r="N960" s="89" t="n"/>
      <c r="O960" s="88" t="n"/>
      <c r="P960" s="88" t="n"/>
      <c r="Q960" s="88" t="n"/>
      <c r="R960" s="89" t="n"/>
      <c r="S960" s="88" t="n"/>
      <c r="T960" s="88" t="n"/>
      <c r="U960" s="88" t="n"/>
      <c r="V960" s="89" t="n"/>
      <c r="W960" s="88" t="n"/>
      <c r="X960" s="89" t="n"/>
      <c r="Y960" s="88" t="n"/>
      <c r="Z960" s="89" t="n"/>
      <c r="AB960" s="25">
        <f>IF($B960="","",(COUNTIF(C960:E960,"?*")&lt;N(INDEX(Setup!$L$6:$L$23,3)))+(COUNTIF(G960:I960,"?*")&lt;N(INDEX(Setup!$L$6:$L$23,3)))+(COUNTIF(K960:M960,"?*")&lt;N(INDEX(Setup!$L$6:$L$23,3)))+(COUNTIF(O960:Q960,"?*")&lt;N(INDEX(Setup!$L$6:$L$23,3)))+(COUNTIF(S960:U960,"?*")&lt;N(INDEX(Setup!$L$6:$L$23,3)))+((W960="")*(INDEX(Setup!$M$6:$M$23,3)="Y"))+((Y960="")*(INDEX(Setup!$M$6:$M$23,3)="Y")))</f>
        <v/>
      </c>
      <c r="AC960" s="90">
        <f>IF($B960="","",IF(AB960=0,"✓ covered","⚠ "&amp;AB960&amp;IF(AB960=1," gap"," gaps")))</f>
        <v/>
      </c>
    </row>
    <row r="961" ht="17" customHeight="1">
      <c r="A961" t="n">
        <v>20</v>
      </c>
      <c r="B961" s="29">
        <f>IF(Setup!$K$9="","",Setup!$K$9)</f>
        <v/>
      </c>
      <c r="C961" s="88" t="n"/>
      <c r="D961" s="88" t="n"/>
      <c r="E961" s="88" t="n"/>
      <c r="F961" s="89" t="n"/>
      <c r="G961" s="88" t="n"/>
      <c r="H961" s="88" t="n"/>
      <c r="I961" s="88" t="n"/>
      <c r="J961" s="89" t="n"/>
      <c r="K961" s="88" t="n"/>
      <c r="L961" s="88" t="n"/>
      <c r="M961" s="88" t="n"/>
      <c r="N961" s="89" t="n"/>
      <c r="O961" s="88" t="n"/>
      <c r="P961" s="88" t="n"/>
      <c r="Q961" s="88" t="n"/>
      <c r="R961" s="89" t="n"/>
      <c r="S961" s="88" t="n"/>
      <c r="T961" s="88" t="n"/>
      <c r="U961" s="88" t="n"/>
      <c r="V961" s="89" t="n"/>
      <c r="W961" s="88" t="n"/>
      <c r="X961" s="89" t="n"/>
      <c r="Y961" s="88" t="n"/>
      <c r="Z961" s="89" t="n"/>
      <c r="AB961" s="30">
        <f>IF($B961="","",(COUNTIF(C961:E961,"?*")&lt;N(INDEX(Setup!$L$6:$L$23,4)))+(COUNTIF(G961:I961,"?*")&lt;N(INDEX(Setup!$L$6:$L$23,4)))+(COUNTIF(K961:M961,"?*")&lt;N(INDEX(Setup!$L$6:$L$23,4)))+(COUNTIF(O961:Q961,"?*")&lt;N(INDEX(Setup!$L$6:$L$23,4)))+(COUNTIF(S961:U961,"?*")&lt;N(INDEX(Setup!$L$6:$L$23,4)))+((W961="")*(INDEX(Setup!$M$6:$M$23,4)="Y"))+((Y961="")*(INDEX(Setup!$M$6:$M$23,4)="Y")))</f>
        <v/>
      </c>
      <c r="AC961" s="91">
        <f>IF($B961="","",IF(AB961=0,"✓ covered","⚠ "&amp;AB961&amp;IF(AB961=1," gap"," gaps")))</f>
        <v/>
      </c>
    </row>
    <row r="962" ht="17" customHeight="1">
      <c r="A962" t="n">
        <v>20</v>
      </c>
      <c r="B962" s="24">
        <f>IF(Setup!$K$10="","",Setup!$K$10)</f>
        <v/>
      </c>
      <c r="C962" s="88" t="n"/>
      <c r="D962" s="88" t="n"/>
      <c r="E962" s="88" t="n"/>
      <c r="F962" s="89" t="n"/>
      <c r="G962" s="88" t="n"/>
      <c r="H962" s="88" t="n"/>
      <c r="I962" s="88" t="n"/>
      <c r="J962" s="89" t="n"/>
      <c r="K962" s="88" t="n"/>
      <c r="L962" s="88" t="n"/>
      <c r="M962" s="88" t="n"/>
      <c r="N962" s="89" t="n"/>
      <c r="O962" s="88" t="n"/>
      <c r="P962" s="88" t="n"/>
      <c r="Q962" s="88" t="n"/>
      <c r="R962" s="89" t="n"/>
      <c r="S962" s="88" t="n"/>
      <c r="T962" s="88" t="n"/>
      <c r="U962" s="88" t="n"/>
      <c r="V962" s="89" t="n"/>
      <c r="W962" s="88" t="n"/>
      <c r="X962" s="89" t="n"/>
      <c r="Y962" s="88" t="n"/>
      <c r="Z962" s="89" t="n"/>
      <c r="AB962" s="25">
        <f>IF($B962="","",(COUNTIF(C962:E962,"?*")&lt;N(INDEX(Setup!$L$6:$L$23,5)))+(COUNTIF(G962:I962,"?*")&lt;N(INDEX(Setup!$L$6:$L$23,5)))+(COUNTIF(K962:M962,"?*")&lt;N(INDEX(Setup!$L$6:$L$23,5)))+(COUNTIF(O962:Q962,"?*")&lt;N(INDEX(Setup!$L$6:$L$23,5)))+(COUNTIF(S962:U962,"?*")&lt;N(INDEX(Setup!$L$6:$L$23,5)))+((W962="")*(INDEX(Setup!$M$6:$M$23,5)="Y"))+((Y962="")*(INDEX(Setup!$M$6:$M$23,5)="Y")))</f>
        <v/>
      </c>
      <c r="AC962" s="90">
        <f>IF($B962="","",IF(AB962=0,"✓ covered","⚠ "&amp;AB962&amp;IF(AB962=1," gap"," gaps")))</f>
        <v/>
      </c>
    </row>
    <row r="963" ht="17" customHeight="1">
      <c r="A963" t="n">
        <v>20</v>
      </c>
      <c r="B963" s="29">
        <f>IF(Setup!$K$11="","",Setup!$K$11)</f>
        <v/>
      </c>
      <c r="C963" s="88" t="n"/>
      <c r="D963" s="88" t="n"/>
      <c r="E963" s="88" t="n"/>
      <c r="F963" s="89" t="n"/>
      <c r="G963" s="88" t="n"/>
      <c r="H963" s="88" t="n"/>
      <c r="I963" s="88" t="n"/>
      <c r="J963" s="89" t="n"/>
      <c r="K963" s="88" t="n"/>
      <c r="L963" s="88" t="n"/>
      <c r="M963" s="88" t="n"/>
      <c r="N963" s="89" t="n"/>
      <c r="O963" s="88" t="n"/>
      <c r="P963" s="88" t="n"/>
      <c r="Q963" s="88" t="n"/>
      <c r="R963" s="89" t="n"/>
      <c r="S963" s="88" t="n"/>
      <c r="T963" s="88" t="n"/>
      <c r="U963" s="88" t="n"/>
      <c r="V963" s="89" t="n"/>
      <c r="W963" s="88" t="n"/>
      <c r="X963" s="89" t="n"/>
      <c r="Y963" s="88" t="n"/>
      <c r="Z963" s="89" t="n"/>
      <c r="AB963" s="30">
        <f>IF($B963="","",(COUNTIF(C963:E963,"?*")&lt;N(INDEX(Setup!$L$6:$L$23,6)))+(COUNTIF(G963:I963,"?*")&lt;N(INDEX(Setup!$L$6:$L$23,6)))+(COUNTIF(K963:M963,"?*")&lt;N(INDEX(Setup!$L$6:$L$23,6)))+(COUNTIF(O963:Q963,"?*")&lt;N(INDEX(Setup!$L$6:$L$23,6)))+(COUNTIF(S963:U963,"?*")&lt;N(INDEX(Setup!$L$6:$L$23,6)))+((W963="")*(INDEX(Setup!$M$6:$M$23,6)="Y"))+((Y963="")*(INDEX(Setup!$M$6:$M$23,6)="Y")))</f>
        <v/>
      </c>
      <c r="AC963" s="91">
        <f>IF($B963="","",IF(AB963=0,"✓ covered","⚠ "&amp;AB963&amp;IF(AB963=1," gap"," gaps")))</f>
        <v/>
      </c>
    </row>
    <row r="964" ht="17" customHeight="1">
      <c r="A964" t="n">
        <v>20</v>
      </c>
      <c r="B964" s="24">
        <f>IF(Setup!$K$12="","",Setup!$K$12)</f>
        <v/>
      </c>
      <c r="C964" s="88" t="n"/>
      <c r="D964" s="88" t="n"/>
      <c r="E964" s="88" t="n"/>
      <c r="F964" s="89" t="n"/>
      <c r="G964" s="88" t="n"/>
      <c r="H964" s="88" t="n"/>
      <c r="I964" s="88" t="n"/>
      <c r="J964" s="89" t="n"/>
      <c r="K964" s="88" t="n"/>
      <c r="L964" s="88" t="n"/>
      <c r="M964" s="88" t="n"/>
      <c r="N964" s="89" t="n"/>
      <c r="O964" s="88" t="n"/>
      <c r="P964" s="88" t="n"/>
      <c r="Q964" s="88" t="n"/>
      <c r="R964" s="89" t="n"/>
      <c r="S964" s="88" t="n"/>
      <c r="T964" s="88" t="n"/>
      <c r="U964" s="88" t="n"/>
      <c r="V964" s="89" t="n"/>
      <c r="W964" s="88" t="n"/>
      <c r="X964" s="89" t="n"/>
      <c r="Y964" s="88" t="n"/>
      <c r="Z964" s="89" t="n"/>
      <c r="AB964" s="25">
        <f>IF($B964="","",(COUNTIF(C964:E964,"?*")&lt;N(INDEX(Setup!$L$6:$L$23,7)))+(COUNTIF(G964:I964,"?*")&lt;N(INDEX(Setup!$L$6:$L$23,7)))+(COUNTIF(K964:M964,"?*")&lt;N(INDEX(Setup!$L$6:$L$23,7)))+(COUNTIF(O964:Q964,"?*")&lt;N(INDEX(Setup!$L$6:$L$23,7)))+(COUNTIF(S964:U964,"?*")&lt;N(INDEX(Setup!$L$6:$L$23,7)))+((W964="")*(INDEX(Setup!$M$6:$M$23,7)="Y"))+((Y964="")*(INDEX(Setup!$M$6:$M$23,7)="Y")))</f>
        <v/>
      </c>
      <c r="AC964" s="90">
        <f>IF($B964="","",IF(AB964=0,"✓ covered","⚠ "&amp;AB964&amp;IF(AB964=1," gap"," gaps")))</f>
        <v/>
      </c>
    </row>
    <row r="965" ht="17" customHeight="1">
      <c r="A965" t="n">
        <v>20</v>
      </c>
      <c r="B965" s="29">
        <f>IF(Setup!$K$13="","",Setup!$K$13)</f>
        <v/>
      </c>
      <c r="C965" s="88" t="n"/>
      <c r="D965" s="88" t="n"/>
      <c r="E965" s="88" t="n"/>
      <c r="F965" s="89" t="n"/>
      <c r="G965" s="88" t="n"/>
      <c r="H965" s="88" t="n"/>
      <c r="I965" s="88" t="n"/>
      <c r="J965" s="89" t="n"/>
      <c r="K965" s="88" t="n"/>
      <c r="L965" s="88" t="n"/>
      <c r="M965" s="88" t="n"/>
      <c r="N965" s="89" t="n"/>
      <c r="O965" s="88" t="n"/>
      <c r="P965" s="88" t="n"/>
      <c r="Q965" s="88" t="n"/>
      <c r="R965" s="89" t="n"/>
      <c r="S965" s="88" t="n"/>
      <c r="T965" s="88" t="n"/>
      <c r="U965" s="88" t="n"/>
      <c r="V965" s="89" t="n"/>
      <c r="W965" s="88" t="n"/>
      <c r="X965" s="89" t="n"/>
      <c r="Y965" s="88" t="n"/>
      <c r="Z965" s="89" t="n"/>
      <c r="AB965" s="30">
        <f>IF($B965="","",(COUNTIF(C965:E965,"?*")&lt;N(INDEX(Setup!$L$6:$L$23,8)))+(COUNTIF(G965:I965,"?*")&lt;N(INDEX(Setup!$L$6:$L$23,8)))+(COUNTIF(K965:M965,"?*")&lt;N(INDEX(Setup!$L$6:$L$23,8)))+(COUNTIF(O965:Q965,"?*")&lt;N(INDEX(Setup!$L$6:$L$23,8)))+(COUNTIF(S965:U965,"?*")&lt;N(INDEX(Setup!$L$6:$L$23,8)))+((W965="")*(INDEX(Setup!$M$6:$M$23,8)="Y"))+((Y965="")*(INDEX(Setup!$M$6:$M$23,8)="Y")))</f>
        <v/>
      </c>
      <c r="AC965" s="91">
        <f>IF($B965="","",IF(AB965=0,"✓ covered","⚠ "&amp;AB965&amp;IF(AB965=1," gap"," gaps")))</f>
        <v/>
      </c>
    </row>
    <row r="966" ht="17" customHeight="1">
      <c r="A966" t="n">
        <v>20</v>
      </c>
      <c r="B966" s="24">
        <f>IF(Setup!$K$14="","",Setup!$K$14)</f>
        <v/>
      </c>
      <c r="C966" s="88" t="n"/>
      <c r="D966" s="88" t="n"/>
      <c r="E966" s="88" t="n"/>
      <c r="F966" s="89" t="n"/>
      <c r="G966" s="88" t="n"/>
      <c r="H966" s="88" t="n"/>
      <c r="I966" s="88" t="n"/>
      <c r="J966" s="89" t="n"/>
      <c r="K966" s="88" t="n"/>
      <c r="L966" s="88" t="n"/>
      <c r="M966" s="88" t="n"/>
      <c r="N966" s="89" t="n"/>
      <c r="O966" s="88" t="n"/>
      <c r="P966" s="88" t="n"/>
      <c r="Q966" s="88" t="n"/>
      <c r="R966" s="89" t="n"/>
      <c r="S966" s="88" t="n"/>
      <c r="T966" s="88" t="n"/>
      <c r="U966" s="88" t="n"/>
      <c r="V966" s="89" t="n"/>
      <c r="W966" s="88" t="n"/>
      <c r="X966" s="89" t="n"/>
      <c r="Y966" s="88" t="n"/>
      <c r="Z966" s="89" t="n"/>
      <c r="AB966" s="25">
        <f>IF($B966="","",(COUNTIF(C966:E966,"?*")&lt;N(INDEX(Setup!$L$6:$L$23,9)))+(COUNTIF(G966:I966,"?*")&lt;N(INDEX(Setup!$L$6:$L$23,9)))+(COUNTIF(K966:M966,"?*")&lt;N(INDEX(Setup!$L$6:$L$23,9)))+(COUNTIF(O966:Q966,"?*")&lt;N(INDEX(Setup!$L$6:$L$23,9)))+(COUNTIF(S966:U966,"?*")&lt;N(INDEX(Setup!$L$6:$L$23,9)))+((W966="")*(INDEX(Setup!$M$6:$M$23,9)="Y"))+((Y966="")*(INDEX(Setup!$M$6:$M$23,9)="Y")))</f>
        <v/>
      </c>
      <c r="AC966" s="90">
        <f>IF($B966="","",IF(AB966=0,"✓ covered","⚠ "&amp;AB966&amp;IF(AB966=1," gap"," gaps")))</f>
        <v/>
      </c>
    </row>
    <row r="967" ht="17" customHeight="1">
      <c r="A967" t="n">
        <v>20</v>
      </c>
      <c r="B967" s="29">
        <f>IF(Setup!$K$15="","",Setup!$K$15)</f>
        <v/>
      </c>
      <c r="C967" s="88" t="n"/>
      <c r="D967" s="88" t="n"/>
      <c r="E967" s="88" t="n"/>
      <c r="F967" s="89" t="n"/>
      <c r="G967" s="88" t="n"/>
      <c r="H967" s="88" t="n"/>
      <c r="I967" s="88" t="n"/>
      <c r="J967" s="89" t="n"/>
      <c r="K967" s="88" t="n"/>
      <c r="L967" s="88" t="n"/>
      <c r="M967" s="88" t="n"/>
      <c r="N967" s="89" t="n"/>
      <c r="O967" s="88" t="n"/>
      <c r="P967" s="88" t="n"/>
      <c r="Q967" s="88" t="n"/>
      <c r="R967" s="89" t="n"/>
      <c r="S967" s="88" t="n"/>
      <c r="T967" s="88" t="n"/>
      <c r="U967" s="88" t="n"/>
      <c r="V967" s="89" t="n"/>
      <c r="W967" s="88" t="n"/>
      <c r="X967" s="89" t="n"/>
      <c r="Y967" s="88" t="n"/>
      <c r="Z967" s="89" t="n"/>
      <c r="AB967" s="30">
        <f>IF($B967="","",(COUNTIF(C967:E967,"?*")&lt;N(INDEX(Setup!$L$6:$L$23,10)))+(COUNTIF(G967:I967,"?*")&lt;N(INDEX(Setup!$L$6:$L$23,10)))+(COUNTIF(K967:M967,"?*")&lt;N(INDEX(Setup!$L$6:$L$23,10)))+(COUNTIF(O967:Q967,"?*")&lt;N(INDEX(Setup!$L$6:$L$23,10)))+(COUNTIF(S967:U967,"?*")&lt;N(INDEX(Setup!$L$6:$L$23,10)))+((W967="")*(INDEX(Setup!$M$6:$M$23,10)="Y"))+((Y967="")*(INDEX(Setup!$M$6:$M$23,10)="Y")))</f>
        <v/>
      </c>
      <c r="AC967" s="91">
        <f>IF($B967="","",IF(AB967=0,"✓ covered","⚠ "&amp;AB967&amp;IF(AB967=1," gap"," gaps")))</f>
        <v/>
      </c>
    </row>
    <row r="968" ht="17" customHeight="1">
      <c r="A968" t="n">
        <v>20</v>
      </c>
      <c r="B968" s="24">
        <f>IF(Setup!$K$16="","",Setup!$K$16)</f>
        <v/>
      </c>
      <c r="C968" s="88" t="n"/>
      <c r="D968" s="88" t="n"/>
      <c r="E968" s="88" t="n"/>
      <c r="F968" s="89" t="n"/>
      <c r="G968" s="88" t="n"/>
      <c r="H968" s="88" t="n"/>
      <c r="I968" s="88" t="n"/>
      <c r="J968" s="89" t="n"/>
      <c r="K968" s="88" t="n"/>
      <c r="L968" s="88" t="n"/>
      <c r="M968" s="88" t="n"/>
      <c r="N968" s="89" t="n"/>
      <c r="O968" s="88" t="n"/>
      <c r="P968" s="88" t="n"/>
      <c r="Q968" s="88" t="n"/>
      <c r="R968" s="89" t="n"/>
      <c r="S968" s="88" t="n"/>
      <c r="T968" s="88" t="n"/>
      <c r="U968" s="88" t="n"/>
      <c r="V968" s="89" t="n"/>
      <c r="W968" s="88" t="n"/>
      <c r="X968" s="89" t="n"/>
      <c r="Y968" s="88" t="n"/>
      <c r="Z968" s="89" t="n"/>
      <c r="AB968" s="25">
        <f>IF($B968="","",(COUNTIF(C968:E968,"?*")&lt;N(INDEX(Setup!$L$6:$L$23,11)))+(COUNTIF(G968:I968,"?*")&lt;N(INDEX(Setup!$L$6:$L$23,11)))+(COUNTIF(K968:M968,"?*")&lt;N(INDEX(Setup!$L$6:$L$23,11)))+(COUNTIF(O968:Q968,"?*")&lt;N(INDEX(Setup!$L$6:$L$23,11)))+(COUNTIF(S968:U968,"?*")&lt;N(INDEX(Setup!$L$6:$L$23,11)))+((W968="")*(INDEX(Setup!$M$6:$M$23,11)="Y"))+((Y968="")*(INDEX(Setup!$M$6:$M$23,11)="Y")))</f>
        <v/>
      </c>
      <c r="AC968" s="90">
        <f>IF($B968="","",IF(AB968=0,"✓ covered","⚠ "&amp;AB968&amp;IF(AB968=1," gap"," gaps")))</f>
        <v/>
      </c>
    </row>
    <row r="969" ht="17" customHeight="1">
      <c r="A969" t="n">
        <v>20</v>
      </c>
      <c r="B969" s="29">
        <f>IF(Setup!$K$17="","",Setup!$K$17)</f>
        <v/>
      </c>
      <c r="C969" s="88" t="n"/>
      <c r="D969" s="88" t="n"/>
      <c r="E969" s="88" t="n"/>
      <c r="F969" s="89" t="n"/>
      <c r="G969" s="88" t="n"/>
      <c r="H969" s="88" t="n"/>
      <c r="I969" s="88" t="n"/>
      <c r="J969" s="89" t="n"/>
      <c r="K969" s="88" t="n"/>
      <c r="L969" s="88" t="n"/>
      <c r="M969" s="88" t="n"/>
      <c r="N969" s="89" t="n"/>
      <c r="O969" s="88" t="n"/>
      <c r="P969" s="88" t="n"/>
      <c r="Q969" s="88" t="n"/>
      <c r="R969" s="89" t="n"/>
      <c r="S969" s="88" t="n"/>
      <c r="T969" s="88" t="n"/>
      <c r="U969" s="88" t="n"/>
      <c r="V969" s="89" t="n"/>
      <c r="W969" s="88" t="n"/>
      <c r="X969" s="89" t="n"/>
      <c r="Y969" s="88" t="n"/>
      <c r="Z969" s="89" t="n"/>
      <c r="AB969" s="30">
        <f>IF($B969="","",(COUNTIF(C969:E969,"?*")&lt;N(INDEX(Setup!$L$6:$L$23,12)))+(COUNTIF(G969:I969,"?*")&lt;N(INDEX(Setup!$L$6:$L$23,12)))+(COUNTIF(K969:M969,"?*")&lt;N(INDEX(Setup!$L$6:$L$23,12)))+(COUNTIF(O969:Q969,"?*")&lt;N(INDEX(Setup!$L$6:$L$23,12)))+(COUNTIF(S969:U969,"?*")&lt;N(INDEX(Setup!$L$6:$L$23,12)))+((W969="")*(INDEX(Setup!$M$6:$M$23,12)="Y"))+((Y969="")*(INDEX(Setup!$M$6:$M$23,12)="Y")))</f>
        <v/>
      </c>
      <c r="AC969" s="91">
        <f>IF($B969="","",IF(AB969=0,"✓ covered","⚠ "&amp;AB969&amp;IF(AB969=1," gap"," gaps")))</f>
        <v/>
      </c>
    </row>
    <row r="970" ht="17" customHeight="1">
      <c r="A970" t="n">
        <v>20</v>
      </c>
      <c r="B970" s="24">
        <f>IF(Setup!$K$18="","",Setup!$K$18)</f>
        <v/>
      </c>
      <c r="C970" s="88" t="n"/>
      <c r="D970" s="88" t="n"/>
      <c r="E970" s="88" t="n"/>
      <c r="F970" s="89" t="n"/>
      <c r="G970" s="88" t="n"/>
      <c r="H970" s="88" t="n"/>
      <c r="I970" s="88" t="n"/>
      <c r="J970" s="89" t="n"/>
      <c r="K970" s="88" t="n"/>
      <c r="L970" s="88" t="n"/>
      <c r="M970" s="88" t="n"/>
      <c r="N970" s="89" t="n"/>
      <c r="O970" s="88" t="n"/>
      <c r="P970" s="88" t="n"/>
      <c r="Q970" s="88" t="n"/>
      <c r="R970" s="89" t="n"/>
      <c r="S970" s="88" t="n"/>
      <c r="T970" s="88" t="n"/>
      <c r="U970" s="88" t="n"/>
      <c r="V970" s="89" t="n"/>
      <c r="W970" s="88" t="n"/>
      <c r="X970" s="89" t="n"/>
      <c r="Y970" s="88" t="n"/>
      <c r="Z970" s="89" t="n"/>
      <c r="AB970" s="25">
        <f>IF($B970="","",(COUNTIF(C970:E970,"?*")&lt;N(INDEX(Setup!$L$6:$L$23,13)))+(COUNTIF(G970:I970,"?*")&lt;N(INDEX(Setup!$L$6:$L$23,13)))+(COUNTIF(K970:M970,"?*")&lt;N(INDEX(Setup!$L$6:$L$23,13)))+(COUNTIF(O970:Q970,"?*")&lt;N(INDEX(Setup!$L$6:$L$23,13)))+(COUNTIF(S970:U970,"?*")&lt;N(INDEX(Setup!$L$6:$L$23,13)))+((W970="")*(INDEX(Setup!$M$6:$M$23,13)="Y"))+((Y970="")*(INDEX(Setup!$M$6:$M$23,13)="Y")))</f>
        <v/>
      </c>
      <c r="AC970" s="90">
        <f>IF($B970="","",IF(AB970=0,"✓ covered","⚠ "&amp;AB970&amp;IF(AB970=1," gap"," gaps")))</f>
        <v/>
      </c>
    </row>
    <row r="971" ht="17" customHeight="1">
      <c r="A971" t="n">
        <v>20</v>
      </c>
      <c r="B971" s="29">
        <f>IF(Setup!$K$19="","",Setup!$K$19)</f>
        <v/>
      </c>
      <c r="C971" s="88" t="n"/>
      <c r="D971" s="88" t="n"/>
      <c r="E971" s="88" t="n"/>
      <c r="F971" s="89" t="n"/>
      <c r="G971" s="88" t="n"/>
      <c r="H971" s="88" t="n"/>
      <c r="I971" s="88" t="n"/>
      <c r="J971" s="89" t="n"/>
      <c r="K971" s="88" t="n"/>
      <c r="L971" s="88" t="n"/>
      <c r="M971" s="88" t="n"/>
      <c r="N971" s="89" t="n"/>
      <c r="O971" s="88" t="n"/>
      <c r="P971" s="88" t="n"/>
      <c r="Q971" s="88" t="n"/>
      <c r="R971" s="89" t="n"/>
      <c r="S971" s="88" t="n"/>
      <c r="T971" s="88" t="n"/>
      <c r="U971" s="88" t="n"/>
      <c r="V971" s="89" t="n"/>
      <c r="W971" s="88" t="n"/>
      <c r="X971" s="89" t="n"/>
      <c r="Y971" s="88" t="n"/>
      <c r="Z971" s="89" t="n"/>
      <c r="AB971" s="30">
        <f>IF($B971="","",(COUNTIF(C971:E971,"?*")&lt;N(INDEX(Setup!$L$6:$L$23,14)))+(COUNTIF(G971:I971,"?*")&lt;N(INDEX(Setup!$L$6:$L$23,14)))+(COUNTIF(K971:M971,"?*")&lt;N(INDEX(Setup!$L$6:$L$23,14)))+(COUNTIF(O971:Q971,"?*")&lt;N(INDEX(Setup!$L$6:$L$23,14)))+(COUNTIF(S971:U971,"?*")&lt;N(INDEX(Setup!$L$6:$L$23,14)))+((W971="")*(INDEX(Setup!$M$6:$M$23,14)="Y"))+((Y971="")*(INDEX(Setup!$M$6:$M$23,14)="Y")))</f>
        <v/>
      </c>
      <c r="AC971" s="91">
        <f>IF($B971="","",IF(AB971=0,"✓ covered","⚠ "&amp;AB971&amp;IF(AB971=1," gap"," gaps")))</f>
        <v/>
      </c>
    </row>
    <row r="972" ht="17" customHeight="1">
      <c r="A972" t="n">
        <v>20</v>
      </c>
      <c r="B972" s="24">
        <f>IF(Setup!$K$20="","",Setup!$K$20)</f>
        <v/>
      </c>
      <c r="C972" s="88" t="n"/>
      <c r="D972" s="88" t="n"/>
      <c r="E972" s="88" t="n"/>
      <c r="F972" s="89" t="n"/>
      <c r="G972" s="88" t="n"/>
      <c r="H972" s="88" t="n"/>
      <c r="I972" s="88" t="n"/>
      <c r="J972" s="89" t="n"/>
      <c r="K972" s="88" t="n"/>
      <c r="L972" s="88" t="n"/>
      <c r="M972" s="88" t="n"/>
      <c r="N972" s="89" t="n"/>
      <c r="O972" s="88" t="n"/>
      <c r="P972" s="88" t="n"/>
      <c r="Q972" s="88" t="n"/>
      <c r="R972" s="89" t="n"/>
      <c r="S972" s="88" t="n"/>
      <c r="T972" s="88" t="n"/>
      <c r="U972" s="88" t="n"/>
      <c r="V972" s="89" t="n"/>
      <c r="W972" s="88" t="n"/>
      <c r="X972" s="89" t="n"/>
      <c r="Y972" s="88" t="n"/>
      <c r="Z972" s="89" t="n"/>
      <c r="AB972" s="25">
        <f>IF($B972="","",(COUNTIF(C972:E972,"?*")&lt;N(INDEX(Setup!$L$6:$L$23,15)))+(COUNTIF(G972:I972,"?*")&lt;N(INDEX(Setup!$L$6:$L$23,15)))+(COUNTIF(K972:M972,"?*")&lt;N(INDEX(Setup!$L$6:$L$23,15)))+(COUNTIF(O972:Q972,"?*")&lt;N(INDEX(Setup!$L$6:$L$23,15)))+(COUNTIF(S972:U972,"?*")&lt;N(INDEX(Setup!$L$6:$L$23,15)))+((W972="")*(INDEX(Setup!$M$6:$M$23,15)="Y"))+((Y972="")*(INDEX(Setup!$M$6:$M$23,15)="Y")))</f>
        <v/>
      </c>
      <c r="AC972" s="90">
        <f>IF($B972="","",IF(AB972=0,"✓ covered","⚠ "&amp;AB972&amp;IF(AB972=1," gap"," gaps")))</f>
        <v/>
      </c>
    </row>
    <row r="973" ht="17" customHeight="1">
      <c r="A973" t="n">
        <v>20</v>
      </c>
      <c r="B973" s="29">
        <f>IF(Setup!$K$21="","",Setup!$K$21)</f>
        <v/>
      </c>
      <c r="C973" s="88" t="n"/>
      <c r="D973" s="88" t="n"/>
      <c r="E973" s="88" t="n"/>
      <c r="F973" s="89" t="n"/>
      <c r="G973" s="88" t="n"/>
      <c r="H973" s="88" t="n"/>
      <c r="I973" s="88" t="n"/>
      <c r="J973" s="89" t="n"/>
      <c r="K973" s="88" t="n"/>
      <c r="L973" s="88" t="n"/>
      <c r="M973" s="88" t="n"/>
      <c r="N973" s="89" t="n"/>
      <c r="O973" s="88" t="n"/>
      <c r="P973" s="88" t="n"/>
      <c r="Q973" s="88" t="n"/>
      <c r="R973" s="89" t="n"/>
      <c r="S973" s="88" t="n"/>
      <c r="T973" s="88" t="n"/>
      <c r="U973" s="88" t="n"/>
      <c r="V973" s="89" t="n"/>
      <c r="W973" s="88" t="n"/>
      <c r="X973" s="89" t="n"/>
      <c r="Y973" s="88" t="n"/>
      <c r="Z973" s="89" t="n"/>
      <c r="AB973" s="30">
        <f>IF($B973="","",(COUNTIF(C973:E973,"?*")&lt;N(INDEX(Setup!$L$6:$L$23,16)))+(COUNTIF(G973:I973,"?*")&lt;N(INDEX(Setup!$L$6:$L$23,16)))+(COUNTIF(K973:M973,"?*")&lt;N(INDEX(Setup!$L$6:$L$23,16)))+(COUNTIF(O973:Q973,"?*")&lt;N(INDEX(Setup!$L$6:$L$23,16)))+(COUNTIF(S973:U973,"?*")&lt;N(INDEX(Setup!$L$6:$L$23,16)))+((W973="")*(INDEX(Setup!$M$6:$M$23,16)="Y"))+((Y973="")*(INDEX(Setup!$M$6:$M$23,16)="Y")))</f>
        <v/>
      </c>
      <c r="AC973" s="91">
        <f>IF($B973="","",IF(AB973=0,"✓ covered","⚠ "&amp;AB973&amp;IF(AB973=1," gap"," gaps")))</f>
        <v/>
      </c>
    </row>
    <row r="974" ht="17" customHeight="1">
      <c r="A974" t="n">
        <v>20</v>
      </c>
      <c r="B974" s="24">
        <f>IF(Setup!$K$22="","",Setup!$K$22)</f>
        <v/>
      </c>
      <c r="C974" s="88" t="n"/>
      <c r="D974" s="88" t="n"/>
      <c r="E974" s="88" t="n"/>
      <c r="F974" s="89" t="n"/>
      <c r="G974" s="88" t="n"/>
      <c r="H974" s="88" t="n"/>
      <c r="I974" s="88" t="n"/>
      <c r="J974" s="89" t="n"/>
      <c r="K974" s="88" t="n"/>
      <c r="L974" s="88" t="n"/>
      <c r="M974" s="88" t="n"/>
      <c r="N974" s="89" t="n"/>
      <c r="O974" s="88" t="n"/>
      <c r="P974" s="88" t="n"/>
      <c r="Q974" s="88" t="n"/>
      <c r="R974" s="89" t="n"/>
      <c r="S974" s="88" t="n"/>
      <c r="T974" s="88" t="n"/>
      <c r="U974" s="88" t="n"/>
      <c r="V974" s="89" t="n"/>
      <c r="W974" s="88" t="n"/>
      <c r="X974" s="89" t="n"/>
      <c r="Y974" s="88" t="n"/>
      <c r="Z974" s="89" t="n"/>
      <c r="AB974" s="25">
        <f>IF($B974="","",(COUNTIF(C974:E974,"?*")&lt;N(INDEX(Setup!$L$6:$L$23,17)))+(COUNTIF(G974:I974,"?*")&lt;N(INDEX(Setup!$L$6:$L$23,17)))+(COUNTIF(K974:M974,"?*")&lt;N(INDEX(Setup!$L$6:$L$23,17)))+(COUNTIF(O974:Q974,"?*")&lt;N(INDEX(Setup!$L$6:$L$23,17)))+(COUNTIF(S974:U974,"?*")&lt;N(INDEX(Setup!$L$6:$L$23,17)))+((W974="")*(INDEX(Setup!$M$6:$M$23,17)="Y"))+((Y974="")*(INDEX(Setup!$M$6:$M$23,17)="Y")))</f>
        <v/>
      </c>
      <c r="AC974" s="90">
        <f>IF($B974="","",IF(AB974=0,"✓ covered","⚠ "&amp;AB974&amp;IF(AB974=1," gap"," gaps")))</f>
        <v/>
      </c>
    </row>
    <row r="975" ht="17" customHeight="1">
      <c r="A975" t="n">
        <v>20</v>
      </c>
      <c r="B975" s="29">
        <f>IF(Setup!$K$23="","",Setup!$K$23)</f>
        <v/>
      </c>
      <c r="C975" s="88" t="n"/>
      <c r="D975" s="88" t="n"/>
      <c r="E975" s="88" t="n"/>
      <c r="F975" s="89" t="n"/>
      <c r="G975" s="88" t="n"/>
      <c r="H975" s="88" t="n"/>
      <c r="I975" s="88" t="n"/>
      <c r="J975" s="89" t="n"/>
      <c r="K975" s="88" t="n"/>
      <c r="L975" s="88" t="n"/>
      <c r="M975" s="88" t="n"/>
      <c r="N975" s="89" t="n"/>
      <c r="O975" s="88" t="n"/>
      <c r="P975" s="88" t="n"/>
      <c r="Q975" s="88" t="n"/>
      <c r="R975" s="89" t="n"/>
      <c r="S975" s="88" t="n"/>
      <c r="T975" s="88" t="n"/>
      <c r="U975" s="88" t="n"/>
      <c r="V975" s="89" t="n"/>
      <c r="W975" s="88" t="n"/>
      <c r="X975" s="89" t="n"/>
      <c r="Y975" s="88" t="n"/>
      <c r="Z975" s="89" t="n"/>
      <c r="AB975" s="30">
        <f>IF($B975="","",(COUNTIF(C975:E975,"?*")&lt;N(INDEX(Setup!$L$6:$L$23,18)))+(COUNTIF(G975:I975,"?*")&lt;N(INDEX(Setup!$L$6:$L$23,18)))+(COUNTIF(K975:M975,"?*")&lt;N(INDEX(Setup!$L$6:$L$23,18)))+(COUNTIF(O975:Q975,"?*")&lt;N(INDEX(Setup!$L$6:$L$23,18)))+(COUNTIF(S975:U975,"?*")&lt;N(INDEX(Setup!$L$6:$L$23,18)))+((W975="")*(INDEX(Setup!$M$6:$M$23,18)="Y"))+((Y975="")*(INDEX(Setup!$M$6:$M$23,18)="Y")))</f>
        <v/>
      </c>
      <c r="AC975" s="91">
        <f>IF($B975="","",IF(AB975=0,"✓ covered","⚠ "&amp;AB975&amp;IF(AB975=1," gap"," gaps")))</f>
        <v/>
      </c>
    </row>
    <row r="976" ht="18" customHeight="1">
      <c r="A976" t="n">
        <v>20</v>
      </c>
      <c r="B976" s="78" t="inlineStr">
        <is>
          <t>TEAM AVAILABILITY</t>
        </is>
      </c>
      <c r="C976" s="92" t="inlineStr">
        <is>
          <t>Mon</t>
        </is>
      </c>
      <c r="D976" s="93" t="n"/>
      <c r="E976" s="93" t="n"/>
      <c r="F976" s="94" t="n"/>
      <c r="G976" s="92" t="inlineStr">
        <is>
          <t>Tue</t>
        </is>
      </c>
      <c r="H976" s="93" t="n"/>
      <c r="I976" s="93" t="n"/>
      <c r="J976" s="94" t="n"/>
      <c r="K976" s="92" t="inlineStr">
        <is>
          <t>Wed</t>
        </is>
      </c>
      <c r="L976" s="93" t="n"/>
      <c r="M976" s="93" t="n"/>
      <c r="N976" s="94" t="n"/>
      <c r="O976" s="92" t="inlineStr">
        <is>
          <t>Thu</t>
        </is>
      </c>
      <c r="P976" s="93" t="n"/>
      <c r="Q976" s="93" t="n"/>
      <c r="R976" s="94" t="n"/>
      <c r="S976" s="92" t="inlineStr">
        <is>
          <t>Fri</t>
        </is>
      </c>
      <c r="T976" s="93" t="n"/>
      <c r="U976" s="93" t="n"/>
      <c r="V976" s="94" t="n"/>
      <c r="W976" s="95" t="inlineStr">
        <is>
          <t>Sat</t>
        </is>
      </c>
      <c r="X976" s="96" t="n"/>
      <c r="Y976" s="95" t="inlineStr">
        <is>
          <t>Sun</t>
        </is>
      </c>
      <c r="Z976" s="96" t="n"/>
      <c r="AB976" s="97" t="inlineStr">
        <is>
          <t>Days rostered</t>
        </is>
      </c>
      <c r="AC976" s="97" t="inlineStr">
        <is>
          <t>Conflicts</t>
        </is>
      </c>
    </row>
    <row r="977" ht="15" customHeight="1">
      <c r="A977" t="n">
        <v>20</v>
      </c>
      <c r="B977" s="35">
        <f>IF(Setup!$B$6="","",Setup!$B$6)</f>
        <v/>
      </c>
      <c r="C977" s="98" t="n"/>
      <c r="D977" s="99" t="n"/>
      <c r="E977" s="99" t="n"/>
      <c r="F977" s="100" t="n"/>
      <c r="G977" s="98" t="n"/>
      <c r="H977" s="99" t="n"/>
      <c r="I977" s="99" t="n"/>
      <c r="J977" s="100" t="n"/>
      <c r="K977" s="98" t="n"/>
      <c r="L977" s="99" t="n"/>
      <c r="M977" s="99" t="n"/>
      <c r="N977" s="100" t="n"/>
      <c r="O977" s="98" t="n"/>
      <c r="P977" s="99" t="n"/>
      <c r="Q977" s="99" t="n"/>
      <c r="R977" s="100" t="n"/>
      <c r="S977" s="98" t="n"/>
      <c r="T977" s="99" t="n"/>
      <c r="U977" s="99" t="n"/>
      <c r="V977" s="100" t="n"/>
      <c r="W977" s="98" t="n"/>
      <c r="X977" s="100" t="n"/>
      <c r="Y977" s="98" t="n"/>
      <c r="Z977" s="100" t="n"/>
      <c r="AB977" s="101">
        <f>IF($B977="","",(COUNTIF(C958:E975,$B977)+COUNTIF(C958:E975,$B977&amp;" ~*")&gt;0)+(COUNTIF(G958:I975,$B977)+COUNTIF(G958:I975,$B977&amp;" ~*")&gt;0)+(COUNTIF(K958:M975,$B977)+COUNTIF(K958:M975,$B977&amp;" ~*")&gt;0)+(COUNTIF(O958:Q975,$B977)+COUNTIF(O958:Q975,$B977&amp;" ~*")&gt;0)+(COUNTIF(S958:U975,$B977)+COUNTIF(S958:U975,$B977&amp;" ~*")&gt;0)+(COUNTIF(W958:W975,$B977)+COUNTIF(W958:W975,$B977&amp;" ~*")&gt;0)+(COUNTIF(Y958:Y975,$B977)+COUNTIF(Y958:Y975,$B977&amp;" ~*")&gt;0))</f>
        <v/>
      </c>
      <c r="AC977" s="36">
        <f>IF($B977="","",(IFERROR(INDEX(Setup!$G$33:$G$40,MATCH(C977,Setup!$B$33:$B$40,0)),0)=1)*(COUNTIF(C958:E975,$B977)+COUNTIF(C958:E975,$B977&amp;" ~*")&gt;0)+(IFERROR(INDEX(Setup!$G$33:$G$40,MATCH(G977,Setup!$B$33:$B$40,0)),0)=1)*(COUNTIF(G958:I975,$B977)+COUNTIF(G958:I975,$B977&amp;" ~*")&gt;0)+(IFERROR(INDEX(Setup!$G$33:$G$40,MATCH(K977,Setup!$B$33:$B$40,0)),0)=1)*(COUNTIF(K958:M975,$B977)+COUNTIF(K958:M975,$B977&amp;" ~*")&gt;0)+(IFERROR(INDEX(Setup!$G$33:$G$40,MATCH(O977,Setup!$B$33:$B$40,0)),0)=1)*(COUNTIF(O958:Q975,$B977)+COUNTIF(O958:Q975,$B977&amp;" ~*")&gt;0)+(IFERROR(INDEX(Setup!$G$33:$G$40,MATCH(S977,Setup!$B$33:$B$40,0)),0)=1)*(COUNTIF(S958:U975,$B977)+COUNTIF(S958:U975,$B977&amp;" ~*")&gt;0)+(IFERROR(INDEX(Setup!$G$33:$G$40,MATCH(W977,Setup!$B$33:$B$40,0)),0)=1)*(COUNTIF(W958:W975,$B977)+COUNTIF(W958:W975,$B977&amp;" ~*")&gt;0)+(IFERROR(INDEX(Setup!$G$33:$G$40,MATCH(Y977,Setup!$B$33:$B$40,0)),0)=1)*(COUNTIF(Y958:Y975,$B977)+COUNTIF(Y958:Y975,$B977&amp;" ~*")&gt;0))</f>
        <v/>
      </c>
    </row>
    <row r="978" ht="15" customHeight="1">
      <c r="A978" t="n">
        <v>20</v>
      </c>
      <c r="B978" s="37">
        <f>IF(Setup!$B$7="","",Setup!$B$7)</f>
        <v/>
      </c>
      <c r="C978" s="102" t="n"/>
      <c r="D978" s="103" t="n"/>
      <c r="E978" s="103" t="n"/>
      <c r="F978" s="104" t="n"/>
      <c r="G978" s="102" t="n"/>
      <c r="H978" s="103" t="n"/>
      <c r="I978" s="103" t="n"/>
      <c r="J978" s="104" t="n"/>
      <c r="K978" s="102" t="n"/>
      <c r="L978" s="103" t="n"/>
      <c r="M978" s="103" t="n"/>
      <c r="N978" s="104" t="n"/>
      <c r="O978" s="102" t="n"/>
      <c r="P978" s="103" t="n"/>
      <c r="Q978" s="103" t="n"/>
      <c r="R978" s="104" t="n"/>
      <c r="S978" s="102" t="n"/>
      <c r="T978" s="103" t="n"/>
      <c r="U978" s="103" t="n"/>
      <c r="V978" s="104" t="n"/>
      <c r="W978" s="102" t="n"/>
      <c r="X978" s="104" t="n"/>
      <c r="Y978" s="102" t="n"/>
      <c r="Z978" s="104" t="n"/>
      <c r="AB978" s="105">
        <f>IF($B978="","",(COUNTIF(C958:E975,$B978)+COUNTIF(C958:E975,$B978&amp;" ~*")&gt;0)+(COUNTIF(G958:I975,$B978)+COUNTIF(G958:I975,$B978&amp;" ~*")&gt;0)+(COUNTIF(K958:M975,$B978)+COUNTIF(K958:M975,$B978&amp;" ~*")&gt;0)+(COUNTIF(O958:Q975,$B978)+COUNTIF(O958:Q975,$B978&amp;" ~*")&gt;0)+(COUNTIF(S958:U975,$B978)+COUNTIF(S958:U975,$B978&amp;" ~*")&gt;0)+(COUNTIF(W958:W975,$B978)+COUNTIF(W958:W975,$B978&amp;" ~*")&gt;0)+(COUNTIF(Y958:Y975,$B978)+COUNTIF(Y958:Y975,$B978&amp;" ~*")&gt;0))</f>
        <v/>
      </c>
      <c r="AC978" s="38">
        <f>IF($B978="","",(IFERROR(INDEX(Setup!$G$33:$G$40,MATCH(C978,Setup!$B$33:$B$40,0)),0)=1)*(COUNTIF(C958:E975,$B978)+COUNTIF(C958:E975,$B978&amp;" ~*")&gt;0)+(IFERROR(INDEX(Setup!$G$33:$G$40,MATCH(G978,Setup!$B$33:$B$40,0)),0)=1)*(COUNTIF(G958:I975,$B978)+COUNTIF(G958:I975,$B978&amp;" ~*")&gt;0)+(IFERROR(INDEX(Setup!$G$33:$G$40,MATCH(K978,Setup!$B$33:$B$40,0)),0)=1)*(COUNTIF(K958:M975,$B978)+COUNTIF(K958:M975,$B978&amp;" ~*")&gt;0)+(IFERROR(INDEX(Setup!$G$33:$G$40,MATCH(O978,Setup!$B$33:$B$40,0)),0)=1)*(COUNTIF(O958:Q975,$B978)+COUNTIF(O958:Q975,$B978&amp;" ~*")&gt;0)+(IFERROR(INDEX(Setup!$G$33:$G$40,MATCH(S978,Setup!$B$33:$B$40,0)),0)=1)*(COUNTIF(S958:U975,$B978)+COUNTIF(S958:U975,$B978&amp;" ~*")&gt;0)+(IFERROR(INDEX(Setup!$G$33:$G$40,MATCH(W978,Setup!$B$33:$B$40,0)),0)=1)*(COUNTIF(W958:W975,$B978)+COUNTIF(W958:W975,$B978&amp;" ~*")&gt;0)+(IFERROR(INDEX(Setup!$G$33:$G$40,MATCH(Y978,Setup!$B$33:$B$40,0)),0)=1)*(COUNTIF(Y958:Y975,$B978)+COUNTIF(Y958:Y975,$B978&amp;" ~*")&gt;0))</f>
        <v/>
      </c>
    </row>
    <row r="979" ht="15" customHeight="1">
      <c r="A979" t="n">
        <v>20</v>
      </c>
      <c r="B979" s="35">
        <f>IF(Setup!$B$8="","",Setup!$B$8)</f>
        <v/>
      </c>
      <c r="C979" s="98" t="n"/>
      <c r="D979" s="99" t="n"/>
      <c r="E979" s="99" t="n"/>
      <c r="F979" s="100" t="n"/>
      <c r="G979" s="98" t="n"/>
      <c r="H979" s="99" t="n"/>
      <c r="I979" s="99" t="n"/>
      <c r="J979" s="100" t="n"/>
      <c r="K979" s="98" t="n"/>
      <c r="L979" s="99" t="n"/>
      <c r="M979" s="99" t="n"/>
      <c r="N979" s="100" t="n"/>
      <c r="O979" s="98" t="n"/>
      <c r="P979" s="99" t="n"/>
      <c r="Q979" s="99" t="n"/>
      <c r="R979" s="100" t="n"/>
      <c r="S979" s="98" t="n"/>
      <c r="T979" s="99" t="n"/>
      <c r="U979" s="99" t="n"/>
      <c r="V979" s="100" t="n"/>
      <c r="W979" s="98" t="n"/>
      <c r="X979" s="100" t="n"/>
      <c r="Y979" s="98" t="n"/>
      <c r="Z979" s="100" t="n"/>
      <c r="AB979" s="101">
        <f>IF($B979="","",(COUNTIF(C958:E975,$B979)+COUNTIF(C958:E975,$B979&amp;" ~*")&gt;0)+(COUNTIF(G958:I975,$B979)+COUNTIF(G958:I975,$B979&amp;" ~*")&gt;0)+(COUNTIF(K958:M975,$B979)+COUNTIF(K958:M975,$B979&amp;" ~*")&gt;0)+(COUNTIF(O958:Q975,$B979)+COUNTIF(O958:Q975,$B979&amp;" ~*")&gt;0)+(COUNTIF(S958:U975,$B979)+COUNTIF(S958:U975,$B979&amp;" ~*")&gt;0)+(COUNTIF(W958:W975,$B979)+COUNTIF(W958:W975,$B979&amp;" ~*")&gt;0)+(COUNTIF(Y958:Y975,$B979)+COUNTIF(Y958:Y975,$B979&amp;" ~*")&gt;0))</f>
        <v/>
      </c>
      <c r="AC979" s="36">
        <f>IF($B979="","",(IFERROR(INDEX(Setup!$G$33:$G$40,MATCH(C979,Setup!$B$33:$B$40,0)),0)=1)*(COUNTIF(C958:E975,$B979)+COUNTIF(C958:E975,$B979&amp;" ~*")&gt;0)+(IFERROR(INDEX(Setup!$G$33:$G$40,MATCH(G979,Setup!$B$33:$B$40,0)),0)=1)*(COUNTIF(G958:I975,$B979)+COUNTIF(G958:I975,$B979&amp;" ~*")&gt;0)+(IFERROR(INDEX(Setup!$G$33:$G$40,MATCH(K979,Setup!$B$33:$B$40,0)),0)=1)*(COUNTIF(K958:M975,$B979)+COUNTIF(K958:M975,$B979&amp;" ~*")&gt;0)+(IFERROR(INDEX(Setup!$G$33:$G$40,MATCH(O979,Setup!$B$33:$B$40,0)),0)=1)*(COUNTIF(O958:Q975,$B979)+COUNTIF(O958:Q975,$B979&amp;" ~*")&gt;0)+(IFERROR(INDEX(Setup!$G$33:$G$40,MATCH(S979,Setup!$B$33:$B$40,0)),0)=1)*(COUNTIF(S958:U975,$B979)+COUNTIF(S958:U975,$B979&amp;" ~*")&gt;0)+(IFERROR(INDEX(Setup!$G$33:$G$40,MATCH(W979,Setup!$B$33:$B$40,0)),0)=1)*(COUNTIF(W958:W975,$B979)+COUNTIF(W958:W975,$B979&amp;" ~*")&gt;0)+(IFERROR(INDEX(Setup!$G$33:$G$40,MATCH(Y979,Setup!$B$33:$B$40,0)),0)=1)*(COUNTIF(Y958:Y975,$B979)+COUNTIF(Y958:Y975,$B979&amp;" ~*")&gt;0))</f>
        <v/>
      </c>
    </row>
    <row r="980" ht="15" customHeight="1">
      <c r="A980" t="n">
        <v>20</v>
      </c>
      <c r="B980" s="37">
        <f>IF(Setup!$B$9="","",Setup!$B$9)</f>
        <v/>
      </c>
      <c r="C980" s="102" t="n"/>
      <c r="D980" s="103" t="n"/>
      <c r="E980" s="103" t="n"/>
      <c r="F980" s="104" t="n"/>
      <c r="G980" s="102" t="n"/>
      <c r="H980" s="103" t="n"/>
      <c r="I980" s="103" t="n"/>
      <c r="J980" s="104" t="n"/>
      <c r="K980" s="102" t="n"/>
      <c r="L980" s="103" t="n"/>
      <c r="M980" s="103" t="n"/>
      <c r="N980" s="104" t="n"/>
      <c r="O980" s="102" t="n"/>
      <c r="P980" s="103" t="n"/>
      <c r="Q980" s="103" t="n"/>
      <c r="R980" s="104" t="n"/>
      <c r="S980" s="102" t="n"/>
      <c r="T980" s="103" t="n"/>
      <c r="U980" s="103" t="n"/>
      <c r="V980" s="104" t="n"/>
      <c r="W980" s="102" t="n"/>
      <c r="X980" s="104" t="n"/>
      <c r="Y980" s="102" t="n"/>
      <c r="Z980" s="104" t="n"/>
      <c r="AB980" s="105">
        <f>IF($B980="","",(COUNTIF(C958:E975,$B980)+COUNTIF(C958:E975,$B980&amp;" ~*")&gt;0)+(COUNTIF(G958:I975,$B980)+COUNTIF(G958:I975,$B980&amp;" ~*")&gt;0)+(COUNTIF(K958:M975,$B980)+COUNTIF(K958:M975,$B980&amp;" ~*")&gt;0)+(COUNTIF(O958:Q975,$B980)+COUNTIF(O958:Q975,$B980&amp;" ~*")&gt;0)+(COUNTIF(S958:U975,$B980)+COUNTIF(S958:U975,$B980&amp;" ~*")&gt;0)+(COUNTIF(W958:W975,$B980)+COUNTIF(W958:W975,$B980&amp;" ~*")&gt;0)+(COUNTIF(Y958:Y975,$B980)+COUNTIF(Y958:Y975,$B980&amp;" ~*")&gt;0))</f>
        <v/>
      </c>
      <c r="AC980" s="38">
        <f>IF($B980="","",(IFERROR(INDEX(Setup!$G$33:$G$40,MATCH(C980,Setup!$B$33:$B$40,0)),0)=1)*(COUNTIF(C958:E975,$B980)+COUNTIF(C958:E975,$B980&amp;" ~*")&gt;0)+(IFERROR(INDEX(Setup!$G$33:$G$40,MATCH(G980,Setup!$B$33:$B$40,0)),0)=1)*(COUNTIF(G958:I975,$B980)+COUNTIF(G958:I975,$B980&amp;" ~*")&gt;0)+(IFERROR(INDEX(Setup!$G$33:$G$40,MATCH(K980,Setup!$B$33:$B$40,0)),0)=1)*(COUNTIF(K958:M975,$B980)+COUNTIF(K958:M975,$B980&amp;" ~*")&gt;0)+(IFERROR(INDEX(Setup!$G$33:$G$40,MATCH(O980,Setup!$B$33:$B$40,0)),0)=1)*(COUNTIF(O958:Q975,$B980)+COUNTIF(O958:Q975,$B980&amp;" ~*")&gt;0)+(IFERROR(INDEX(Setup!$G$33:$G$40,MATCH(S980,Setup!$B$33:$B$40,0)),0)=1)*(COUNTIF(S958:U975,$B980)+COUNTIF(S958:U975,$B980&amp;" ~*")&gt;0)+(IFERROR(INDEX(Setup!$G$33:$G$40,MATCH(W980,Setup!$B$33:$B$40,0)),0)=1)*(COUNTIF(W958:W975,$B980)+COUNTIF(W958:W975,$B980&amp;" ~*")&gt;0)+(IFERROR(INDEX(Setup!$G$33:$G$40,MATCH(Y980,Setup!$B$33:$B$40,0)),0)=1)*(COUNTIF(Y958:Y975,$B980)+COUNTIF(Y958:Y975,$B980&amp;" ~*")&gt;0))</f>
        <v/>
      </c>
    </row>
    <row r="981" ht="15" customHeight="1">
      <c r="A981" t="n">
        <v>20</v>
      </c>
      <c r="B981" s="35">
        <f>IF(Setup!$B$10="","",Setup!$B$10)</f>
        <v/>
      </c>
      <c r="C981" s="98" t="n"/>
      <c r="D981" s="99" t="n"/>
      <c r="E981" s="99" t="n"/>
      <c r="F981" s="100" t="n"/>
      <c r="G981" s="98" t="n"/>
      <c r="H981" s="99" t="n"/>
      <c r="I981" s="99" t="n"/>
      <c r="J981" s="100" t="n"/>
      <c r="K981" s="98" t="n"/>
      <c r="L981" s="99" t="n"/>
      <c r="M981" s="99" t="n"/>
      <c r="N981" s="100" t="n"/>
      <c r="O981" s="98" t="n"/>
      <c r="P981" s="99" t="n"/>
      <c r="Q981" s="99" t="n"/>
      <c r="R981" s="100" t="n"/>
      <c r="S981" s="98" t="n"/>
      <c r="T981" s="99" t="n"/>
      <c r="U981" s="99" t="n"/>
      <c r="V981" s="100" t="n"/>
      <c r="W981" s="98" t="n"/>
      <c r="X981" s="100" t="n"/>
      <c r="Y981" s="98" t="n"/>
      <c r="Z981" s="100" t="n"/>
      <c r="AB981" s="101">
        <f>IF($B981="","",(COUNTIF(C958:E975,$B981)+COUNTIF(C958:E975,$B981&amp;" ~*")&gt;0)+(COUNTIF(G958:I975,$B981)+COUNTIF(G958:I975,$B981&amp;" ~*")&gt;0)+(COUNTIF(K958:M975,$B981)+COUNTIF(K958:M975,$B981&amp;" ~*")&gt;0)+(COUNTIF(O958:Q975,$B981)+COUNTIF(O958:Q975,$B981&amp;" ~*")&gt;0)+(COUNTIF(S958:U975,$B981)+COUNTIF(S958:U975,$B981&amp;" ~*")&gt;0)+(COUNTIF(W958:W975,$B981)+COUNTIF(W958:W975,$B981&amp;" ~*")&gt;0)+(COUNTIF(Y958:Y975,$B981)+COUNTIF(Y958:Y975,$B981&amp;" ~*")&gt;0))</f>
        <v/>
      </c>
      <c r="AC981" s="36">
        <f>IF($B981="","",(IFERROR(INDEX(Setup!$G$33:$G$40,MATCH(C981,Setup!$B$33:$B$40,0)),0)=1)*(COUNTIF(C958:E975,$B981)+COUNTIF(C958:E975,$B981&amp;" ~*")&gt;0)+(IFERROR(INDEX(Setup!$G$33:$G$40,MATCH(G981,Setup!$B$33:$B$40,0)),0)=1)*(COUNTIF(G958:I975,$B981)+COUNTIF(G958:I975,$B981&amp;" ~*")&gt;0)+(IFERROR(INDEX(Setup!$G$33:$G$40,MATCH(K981,Setup!$B$33:$B$40,0)),0)=1)*(COUNTIF(K958:M975,$B981)+COUNTIF(K958:M975,$B981&amp;" ~*")&gt;0)+(IFERROR(INDEX(Setup!$G$33:$G$40,MATCH(O981,Setup!$B$33:$B$40,0)),0)=1)*(COUNTIF(O958:Q975,$B981)+COUNTIF(O958:Q975,$B981&amp;" ~*")&gt;0)+(IFERROR(INDEX(Setup!$G$33:$G$40,MATCH(S981,Setup!$B$33:$B$40,0)),0)=1)*(COUNTIF(S958:U975,$B981)+COUNTIF(S958:U975,$B981&amp;" ~*")&gt;0)+(IFERROR(INDEX(Setup!$G$33:$G$40,MATCH(W981,Setup!$B$33:$B$40,0)),0)=1)*(COUNTIF(W958:W975,$B981)+COUNTIF(W958:W975,$B981&amp;" ~*")&gt;0)+(IFERROR(INDEX(Setup!$G$33:$G$40,MATCH(Y981,Setup!$B$33:$B$40,0)),0)=1)*(COUNTIF(Y958:Y975,$B981)+COUNTIF(Y958:Y975,$B981&amp;" ~*")&gt;0))</f>
        <v/>
      </c>
    </row>
    <row r="982" ht="15" customHeight="1">
      <c r="A982" t="n">
        <v>20</v>
      </c>
      <c r="B982" s="37">
        <f>IF(Setup!$B$11="","",Setup!$B$11)</f>
        <v/>
      </c>
      <c r="C982" s="102" t="n"/>
      <c r="D982" s="103" t="n"/>
      <c r="E982" s="103" t="n"/>
      <c r="F982" s="104" t="n"/>
      <c r="G982" s="102" t="n"/>
      <c r="H982" s="103" t="n"/>
      <c r="I982" s="103" t="n"/>
      <c r="J982" s="104" t="n"/>
      <c r="K982" s="102" t="n"/>
      <c r="L982" s="103" t="n"/>
      <c r="M982" s="103" t="n"/>
      <c r="N982" s="104" t="n"/>
      <c r="O982" s="102" t="n"/>
      <c r="P982" s="103" t="n"/>
      <c r="Q982" s="103" t="n"/>
      <c r="R982" s="104" t="n"/>
      <c r="S982" s="102" t="n"/>
      <c r="T982" s="103" t="n"/>
      <c r="U982" s="103" t="n"/>
      <c r="V982" s="104" t="n"/>
      <c r="W982" s="102" t="n"/>
      <c r="X982" s="104" t="n"/>
      <c r="Y982" s="102" t="n"/>
      <c r="Z982" s="104" t="n"/>
      <c r="AB982" s="105">
        <f>IF($B982="","",(COUNTIF(C958:E975,$B982)+COUNTIF(C958:E975,$B982&amp;" ~*")&gt;0)+(COUNTIF(G958:I975,$B982)+COUNTIF(G958:I975,$B982&amp;" ~*")&gt;0)+(COUNTIF(K958:M975,$B982)+COUNTIF(K958:M975,$B982&amp;" ~*")&gt;0)+(COUNTIF(O958:Q975,$B982)+COUNTIF(O958:Q975,$B982&amp;" ~*")&gt;0)+(COUNTIF(S958:U975,$B982)+COUNTIF(S958:U975,$B982&amp;" ~*")&gt;0)+(COUNTIF(W958:W975,$B982)+COUNTIF(W958:W975,$B982&amp;" ~*")&gt;0)+(COUNTIF(Y958:Y975,$B982)+COUNTIF(Y958:Y975,$B982&amp;" ~*")&gt;0))</f>
        <v/>
      </c>
      <c r="AC982" s="38">
        <f>IF($B982="","",(IFERROR(INDEX(Setup!$G$33:$G$40,MATCH(C982,Setup!$B$33:$B$40,0)),0)=1)*(COUNTIF(C958:E975,$B982)+COUNTIF(C958:E975,$B982&amp;" ~*")&gt;0)+(IFERROR(INDEX(Setup!$G$33:$G$40,MATCH(G982,Setup!$B$33:$B$40,0)),0)=1)*(COUNTIF(G958:I975,$B982)+COUNTIF(G958:I975,$B982&amp;" ~*")&gt;0)+(IFERROR(INDEX(Setup!$G$33:$G$40,MATCH(K982,Setup!$B$33:$B$40,0)),0)=1)*(COUNTIF(K958:M975,$B982)+COUNTIF(K958:M975,$B982&amp;" ~*")&gt;0)+(IFERROR(INDEX(Setup!$G$33:$G$40,MATCH(O982,Setup!$B$33:$B$40,0)),0)=1)*(COUNTIF(O958:Q975,$B982)+COUNTIF(O958:Q975,$B982&amp;" ~*")&gt;0)+(IFERROR(INDEX(Setup!$G$33:$G$40,MATCH(S982,Setup!$B$33:$B$40,0)),0)=1)*(COUNTIF(S958:U975,$B982)+COUNTIF(S958:U975,$B982&amp;" ~*")&gt;0)+(IFERROR(INDEX(Setup!$G$33:$G$40,MATCH(W982,Setup!$B$33:$B$40,0)),0)=1)*(COUNTIF(W958:W975,$B982)+COUNTIF(W958:W975,$B982&amp;" ~*")&gt;0)+(IFERROR(INDEX(Setup!$G$33:$G$40,MATCH(Y982,Setup!$B$33:$B$40,0)),0)=1)*(COUNTIF(Y958:Y975,$B982)+COUNTIF(Y958:Y975,$B982&amp;" ~*")&gt;0))</f>
        <v/>
      </c>
    </row>
    <row r="983" ht="15" customHeight="1">
      <c r="A983" t="n">
        <v>20</v>
      </c>
      <c r="B983" s="35">
        <f>IF(Setup!$B$12="","",Setup!$B$12)</f>
        <v/>
      </c>
      <c r="C983" s="98" t="n"/>
      <c r="D983" s="99" t="n"/>
      <c r="E983" s="99" t="n"/>
      <c r="F983" s="100" t="n"/>
      <c r="G983" s="98" t="n"/>
      <c r="H983" s="99" t="n"/>
      <c r="I983" s="99" t="n"/>
      <c r="J983" s="100" t="n"/>
      <c r="K983" s="98" t="n"/>
      <c r="L983" s="99" t="n"/>
      <c r="M983" s="99" t="n"/>
      <c r="N983" s="100" t="n"/>
      <c r="O983" s="98" t="n"/>
      <c r="P983" s="99" t="n"/>
      <c r="Q983" s="99" t="n"/>
      <c r="R983" s="100" t="n"/>
      <c r="S983" s="98" t="n"/>
      <c r="T983" s="99" t="n"/>
      <c r="U983" s="99" t="n"/>
      <c r="V983" s="100" t="n"/>
      <c r="W983" s="98" t="n"/>
      <c r="X983" s="100" t="n"/>
      <c r="Y983" s="98" t="n"/>
      <c r="Z983" s="100" t="n"/>
      <c r="AB983" s="101">
        <f>IF($B983="","",(COUNTIF(C958:E975,$B983)+COUNTIF(C958:E975,$B983&amp;" ~*")&gt;0)+(COUNTIF(G958:I975,$B983)+COUNTIF(G958:I975,$B983&amp;" ~*")&gt;0)+(COUNTIF(K958:M975,$B983)+COUNTIF(K958:M975,$B983&amp;" ~*")&gt;0)+(COUNTIF(O958:Q975,$B983)+COUNTIF(O958:Q975,$B983&amp;" ~*")&gt;0)+(COUNTIF(S958:U975,$B983)+COUNTIF(S958:U975,$B983&amp;" ~*")&gt;0)+(COUNTIF(W958:W975,$B983)+COUNTIF(W958:W975,$B983&amp;" ~*")&gt;0)+(COUNTIF(Y958:Y975,$B983)+COUNTIF(Y958:Y975,$B983&amp;" ~*")&gt;0))</f>
        <v/>
      </c>
      <c r="AC983" s="36">
        <f>IF($B983="","",(IFERROR(INDEX(Setup!$G$33:$G$40,MATCH(C983,Setup!$B$33:$B$40,0)),0)=1)*(COUNTIF(C958:E975,$B983)+COUNTIF(C958:E975,$B983&amp;" ~*")&gt;0)+(IFERROR(INDEX(Setup!$G$33:$G$40,MATCH(G983,Setup!$B$33:$B$40,0)),0)=1)*(COUNTIF(G958:I975,$B983)+COUNTIF(G958:I975,$B983&amp;" ~*")&gt;0)+(IFERROR(INDEX(Setup!$G$33:$G$40,MATCH(K983,Setup!$B$33:$B$40,0)),0)=1)*(COUNTIF(K958:M975,$B983)+COUNTIF(K958:M975,$B983&amp;" ~*")&gt;0)+(IFERROR(INDEX(Setup!$G$33:$G$40,MATCH(O983,Setup!$B$33:$B$40,0)),0)=1)*(COUNTIF(O958:Q975,$B983)+COUNTIF(O958:Q975,$B983&amp;" ~*")&gt;0)+(IFERROR(INDEX(Setup!$G$33:$G$40,MATCH(S983,Setup!$B$33:$B$40,0)),0)=1)*(COUNTIF(S958:U975,$B983)+COUNTIF(S958:U975,$B983&amp;" ~*")&gt;0)+(IFERROR(INDEX(Setup!$G$33:$G$40,MATCH(W983,Setup!$B$33:$B$40,0)),0)=1)*(COUNTIF(W958:W975,$B983)+COUNTIF(W958:W975,$B983&amp;" ~*")&gt;0)+(IFERROR(INDEX(Setup!$G$33:$G$40,MATCH(Y983,Setup!$B$33:$B$40,0)),0)=1)*(COUNTIF(Y958:Y975,$B983)+COUNTIF(Y958:Y975,$B983&amp;" ~*")&gt;0))</f>
        <v/>
      </c>
    </row>
    <row r="984" ht="15" customHeight="1">
      <c r="A984" t="n">
        <v>20</v>
      </c>
      <c r="B984" s="37">
        <f>IF(Setup!$B$13="","",Setup!$B$13)</f>
        <v/>
      </c>
      <c r="C984" s="102" t="n"/>
      <c r="D984" s="103" t="n"/>
      <c r="E984" s="103" t="n"/>
      <c r="F984" s="104" t="n"/>
      <c r="G984" s="102" t="n"/>
      <c r="H984" s="103" t="n"/>
      <c r="I984" s="103" t="n"/>
      <c r="J984" s="104" t="n"/>
      <c r="K984" s="102" t="n"/>
      <c r="L984" s="103" t="n"/>
      <c r="M984" s="103" t="n"/>
      <c r="N984" s="104" t="n"/>
      <c r="O984" s="102" t="n"/>
      <c r="P984" s="103" t="n"/>
      <c r="Q984" s="103" t="n"/>
      <c r="R984" s="104" t="n"/>
      <c r="S984" s="102" t="n"/>
      <c r="T984" s="103" t="n"/>
      <c r="U984" s="103" t="n"/>
      <c r="V984" s="104" t="n"/>
      <c r="W984" s="102" t="n"/>
      <c r="X984" s="104" t="n"/>
      <c r="Y984" s="102" t="n"/>
      <c r="Z984" s="104" t="n"/>
      <c r="AB984" s="105">
        <f>IF($B984="","",(COUNTIF(C958:E975,$B984)+COUNTIF(C958:E975,$B984&amp;" ~*")&gt;0)+(COUNTIF(G958:I975,$B984)+COUNTIF(G958:I975,$B984&amp;" ~*")&gt;0)+(COUNTIF(K958:M975,$B984)+COUNTIF(K958:M975,$B984&amp;" ~*")&gt;0)+(COUNTIF(O958:Q975,$B984)+COUNTIF(O958:Q975,$B984&amp;" ~*")&gt;0)+(COUNTIF(S958:U975,$B984)+COUNTIF(S958:U975,$B984&amp;" ~*")&gt;0)+(COUNTIF(W958:W975,$B984)+COUNTIF(W958:W975,$B984&amp;" ~*")&gt;0)+(COUNTIF(Y958:Y975,$B984)+COUNTIF(Y958:Y975,$B984&amp;" ~*")&gt;0))</f>
        <v/>
      </c>
      <c r="AC984" s="38">
        <f>IF($B984="","",(IFERROR(INDEX(Setup!$G$33:$G$40,MATCH(C984,Setup!$B$33:$B$40,0)),0)=1)*(COUNTIF(C958:E975,$B984)+COUNTIF(C958:E975,$B984&amp;" ~*")&gt;0)+(IFERROR(INDEX(Setup!$G$33:$G$40,MATCH(G984,Setup!$B$33:$B$40,0)),0)=1)*(COUNTIF(G958:I975,$B984)+COUNTIF(G958:I975,$B984&amp;" ~*")&gt;0)+(IFERROR(INDEX(Setup!$G$33:$G$40,MATCH(K984,Setup!$B$33:$B$40,0)),0)=1)*(COUNTIF(K958:M975,$B984)+COUNTIF(K958:M975,$B984&amp;" ~*")&gt;0)+(IFERROR(INDEX(Setup!$G$33:$G$40,MATCH(O984,Setup!$B$33:$B$40,0)),0)=1)*(COUNTIF(O958:Q975,$B984)+COUNTIF(O958:Q975,$B984&amp;" ~*")&gt;0)+(IFERROR(INDEX(Setup!$G$33:$G$40,MATCH(S984,Setup!$B$33:$B$40,0)),0)=1)*(COUNTIF(S958:U975,$B984)+COUNTIF(S958:U975,$B984&amp;" ~*")&gt;0)+(IFERROR(INDEX(Setup!$G$33:$G$40,MATCH(W984,Setup!$B$33:$B$40,0)),0)=1)*(COUNTIF(W958:W975,$B984)+COUNTIF(W958:W975,$B984&amp;" ~*")&gt;0)+(IFERROR(INDEX(Setup!$G$33:$G$40,MATCH(Y984,Setup!$B$33:$B$40,0)),0)=1)*(COUNTIF(Y958:Y975,$B984)+COUNTIF(Y958:Y975,$B984&amp;" ~*")&gt;0))</f>
        <v/>
      </c>
    </row>
    <row r="985" ht="15" customHeight="1">
      <c r="A985" t="n">
        <v>20</v>
      </c>
      <c r="B985" s="35">
        <f>IF(Setup!$B$14="","",Setup!$B$14)</f>
        <v/>
      </c>
      <c r="C985" s="98" t="n"/>
      <c r="D985" s="99" t="n"/>
      <c r="E985" s="99" t="n"/>
      <c r="F985" s="100" t="n"/>
      <c r="G985" s="98" t="n"/>
      <c r="H985" s="99" t="n"/>
      <c r="I985" s="99" t="n"/>
      <c r="J985" s="100" t="n"/>
      <c r="K985" s="98" t="n"/>
      <c r="L985" s="99" t="n"/>
      <c r="M985" s="99" t="n"/>
      <c r="N985" s="100" t="n"/>
      <c r="O985" s="98" t="n"/>
      <c r="P985" s="99" t="n"/>
      <c r="Q985" s="99" t="n"/>
      <c r="R985" s="100" t="n"/>
      <c r="S985" s="98" t="n"/>
      <c r="T985" s="99" t="n"/>
      <c r="U985" s="99" t="n"/>
      <c r="V985" s="100" t="n"/>
      <c r="W985" s="98" t="n"/>
      <c r="X985" s="100" t="n"/>
      <c r="Y985" s="98" t="n"/>
      <c r="Z985" s="100" t="n"/>
      <c r="AB985" s="101">
        <f>IF($B985="","",(COUNTIF(C958:E975,$B985)+COUNTIF(C958:E975,$B985&amp;" ~*")&gt;0)+(COUNTIF(G958:I975,$B985)+COUNTIF(G958:I975,$B985&amp;" ~*")&gt;0)+(COUNTIF(K958:M975,$B985)+COUNTIF(K958:M975,$B985&amp;" ~*")&gt;0)+(COUNTIF(O958:Q975,$B985)+COUNTIF(O958:Q975,$B985&amp;" ~*")&gt;0)+(COUNTIF(S958:U975,$B985)+COUNTIF(S958:U975,$B985&amp;" ~*")&gt;0)+(COUNTIF(W958:W975,$B985)+COUNTIF(W958:W975,$B985&amp;" ~*")&gt;0)+(COUNTIF(Y958:Y975,$B985)+COUNTIF(Y958:Y975,$B985&amp;" ~*")&gt;0))</f>
        <v/>
      </c>
      <c r="AC985" s="36">
        <f>IF($B985="","",(IFERROR(INDEX(Setup!$G$33:$G$40,MATCH(C985,Setup!$B$33:$B$40,0)),0)=1)*(COUNTIF(C958:E975,$B985)+COUNTIF(C958:E975,$B985&amp;" ~*")&gt;0)+(IFERROR(INDEX(Setup!$G$33:$G$40,MATCH(G985,Setup!$B$33:$B$40,0)),0)=1)*(COUNTIF(G958:I975,$B985)+COUNTIF(G958:I975,$B985&amp;" ~*")&gt;0)+(IFERROR(INDEX(Setup!$G$33:$G$40,MATCH(K985,Setup!$B$33:$B$40,0)),0)=1)*(COUNTIF(K958:M975,$B985)+COUNTIF(K958:M975,$B985&amp;" ~*")&gt;0)+(IFERROR(INDEX(Setup!$G$33:$G$40,MATCH(O985,Setup!$B$33:$B$40,0)),0)=1)*(COUNTIF(O958:Q975,$B985)+COUNTIF(O958:Q975,$B985&amp;" ~*")&gt;0)+(IFERROR(INDEX(Setup!$G$33:$G$40,MATCH(S985,Setup!$B$33:$B$40,0)),0)=1)*(COUNTIF(S958:U975,$B985)+COUNTIF(S958:U975,$B985&amp;" ~*")&gt;0)+(IFERROR(INDEX(Setup!$G$33:$G$40,MATCH(W985,Setup!$B$33:$B$40,0)),0)=1)*(COUNTIF(W958:W975,$B985)+COUNTIF(W958:W975,$B985&amp;" ~*")&gt;0)+(IFERROR(INDEX(Setup!$G$33:$G$40,MATCH(Y985,Setup!$B$33:$B$40,0)),0)=1)*(COUNTIF(Y958:Y975,$B985)+COUNTIF(Y958:Y975,$B985&amp;" ~*")&gt;0))</f>
        <v/>
      </c>
    </row>
    <row r="986" ht="15" customHeight="1">
      <c r="A986" t="n">
        <v>20</v>
      </c>
      <c r="B986" s="37">
        <f>IF(Setup!$B$15="","",Setup!$B$15)</f>
        <v/>
      </c>
      <c r="C986" s="102" t="n"/>
      <c r="D986" s="103" t="n"/>
      <c r="E986" s="103" t="n"/>
      <c r="F986" s="104" t="n"/>
      <c r="G986" s="102" t="n"/>
      <c r="H986" s="103" t="n"/>
      <c r="I986" s="103" t="n"/>
      <c r="J986" s="104" t="n"/>
      <c r="K986" s="102" t="n"/>
      <c r="L986" s="103" t="n"/>
      <c r="M986" s="103" t="n"/>
      <c r="N986" s="104" t="n"/>
      <c r="O986" s="102" t="n"/>
      <c r="P986" s="103" t="n"/>
      <c r="Q986" s="103" t="n"/>
      <c r="R986" s="104" t="n"/>
      <c r="S986" s="102" t="n"/>
      <c r="T986" s="103" t="n"/>
      <c r="U986" s="103" t="n"/>
      <c r="V986" s="104" t="n"/>
      <c r="W986" s="102" t="n"/>
      <c r="X986" s="104" t="n"/>
      <c r="Y986" s="102" t="n"/>
      <c r="Z986" s="104" t="n"/>
      <c r="AB986" s="105">
        <f>IF($B986="","",(COUNTIF(C958:E975,$B986)+COUNTIF(C958:E975,$B986&amp;" ~*")&gt;0)+(COUNTIF(G958:I975,$B986)+COUNTIF(G958:I975,$B986&amp;" ~*")&gt;0)+(COUNTIF(K958:M975,$B986)+COUNTIF(K958:M975,$B986&amp;" ~*")&gt;0)+(COUNTIF(O958:Q975,$B986)+COUNTIF(O958:Q975,$B986&amp;" ~*")&gt;0)+(COUNTIF(S958:U975,$B986)+COUNTIF(S958:U975,$B986&amp;" ~*")&gt;0)+(COUNTIF(W958:W975,$B986)+COUNTIF(W958:W975,$B986&amp;" ~*")&gt;0)+(COUNTIF(Y958:Y975,$B986)+COUNTIF(Y958:Y975,$B986&amp;" ~*")&gt;0))</f>
        <v/>
      </c>
      <c r="AC986" s="38">
        <f>IF($B986="","",(IFERROR(INDEX(Setup!$G$33:$G$40,MATCH(C986,Setup!$B$33:$B$40,0)),0)=1)*(COUNTIF(C958:E975,$B986)+COUNTIF(C958:E975,$B986&amp;" ~*")&gt;0)+(IFERROR(INDEX(Setup!$G$33:$G$40,MATCH(G986,Setup!$B$33:$B$40,0)),0)=1)*(COUNTIF(G958:I975,$B986)+COUNTIF(G958:I975,$B986&amp;" ~*")&gt;0)+(IFERROR(INDEX(Setup!$G$33:$G$40,MATCH(K986,Setup!$B$33:$B$40,0)),0)=1)*(COUNTIF(K958:M975,$B986)+COUNTIF(K958:M975,$B986&amp;" ~*")&gt;0)+(IFERROR(INDEX(Setup!$G$33:$G$40,MATCH(O986,Setup!$B$33:$B$40,0)),0)=1)*(COUNTIF(O958:Q975,$B986)+COUNTIF(O958:Q975,$B986&amp;" ~*")&gt;0)+(IFERROR(INDEX(Setup!$G$33:$G$40,MATCH(S986,Setup!$B$33:$B$40,0)),0)=1)*(COUNTIF(S958:U975,$B986)+COUNTIF(S958:U975,$B986&amp;" ~*")&gt;0)+(IFERROR(INDEX(Setup!$G$33:$G$40,MATCH(W986,Setup!$B$33:$B$40,0)),0)=1)*(COUNTIF(W958:W975,$B986)+COUNTIF(W958:W975,$B986&amp;" ~*")&gt;0)+(IFERROR(INDEX(Setup!$G$33:$G$40,MATCH(Y986,Setup!$B$33:$B$40,0)),0)=1)*(COUNTIF(Y958:Y975,$B986)+COUNTIF(Y958:Y975,$B986&amp;" ~*")&gt;0))</f>
        <v/>
      </c>
    </row>
    <row r="987" ht="15" customHeight="1">
      <c r="A987" t="n">
        <v>20</v>
      </c>
      <c r="B987" s="35">
        <f>IF(Setup!$B$16="","",Setup!$B$16)</f>
        <v/>
      </c>
      <c r="C987" s="98" t="n"/>
      <c r="D987" s="99" t="n"/>
      <c r="E987" s="99" t="n"/>
      <c r="F987" s="100" t="n"/>
      <c r="G987" s="98" t="n"/>
      <c r="H987" s="99" t="n"/>
      <c r="I987" s="99" t="n"/>
      <c r="J987" s="100" t="n"/>
      <c r="K987" s="98" t="n"/>
      <c r="L987" s="99" t="n"/>
      <c r="M987" s="99" t="n"/>
      <c r="N987" s="100" t="n"/>
      <c r="O987" s="98" t="n"/>
      <c r="P987" s="99" t="n"/>
      <c r="Q987" s="99" t="n"/>
      <c r="R987" s="100" t="n"/>
      <c r="S987" s="98" t="n"/>
      <c r="T987" s="99" t="n"/>
      <c r="U987" s="99" t="n"/>
      <c r="V987" s="100" t="n"/>
      <c r="W987" s="98" t="n"/>
      <c r="X987" s="100" t="n"/>
      <c r="Y987" s="98" t="n"/>
      <c r="Z987" s="100" t="n"/>
      <c r="AB987" s="101">
        <f>IF($B987="","",(COUNTIF(C958:E975,$B987)+COUNTIF(C958:E975,$B987&amp;" ~*")&gt;0)+(COUNTIF(G958:I975,$B987)+COUNTIF(G958:I975,$B987&amp;" ~*")&gt;0)+(COUNTIF(K958:M975,$B987)+COUNTIF(K958:M975,$B987&amp;" ~*")&gt;0)+(COUNTIF(O958:Q975,$B987)+COUNTIF(O958:Q975,$B987&amp;" ~*")&gt;0)+(COUNTIF(S958:U975,$B987)+COUNTIF(S958:U975,$B987&amp;" ~*")&gt;0)+(COUNTIF(W958:W975,$B987)+COUNTIF(W958:W975,$B987&amp;" ~*")&gt;0)+(COUNTIF(Y958:Y975,$B987)+COUNTIF(Y958:Y975,$B987&amp;" ~*")&gt;0))</f>
        <v/>
      </c>
      <c r="AC987" s="36">
        <f>IF($B987="","",(IFERROR(INDEX(Setup!$G$33:$G$40,MATCH(C987,Setup!$B$33:$B$40,0)),0)=1)*(COUNTIF(C958:E975,$B987)+COUNTIF(C958:E975,$B987&amp;" ~*")&gt;0)+(IFERROR(INDEX(Setup!$G$33:$G$40,MATCH(G987,Setup!$B$33:$B$40,0)),0)=1)*(COUNTIF(G958:I975,$B987)+COUNTIF(G958:I975,$B987&amp;" ~*")&gt;0)+(IFERROR(INDEX(Setup!$G$33:$G$40,MATCH(K987,Setup!$B$33:$B$40,0)),0)=1)*(COUNTIF(K958:M975,$B987)+COUNTIF(K958:M975,$B987&amp;" ~*")&gt;0)+(IFERROR(INDEX(Setup!$G$33:$G$40,MATCH(O987,Setup!$B$33:$B$40,0)),0)=1)*(COUNTIF(O958:Q975,$B987)+COUNTIF(O958:Q975,$B987&amp;" ~*")&gt;0)+(IFERROR(INDEX(Setup!$G$33:$G$40,MATCH(S987,Setup!$B$33:$B$40,0)),0)=1)*(COUNTIF(S958:U975,$B987)+COUNTIF(S958:U975,$B987&amp;" ~*")&gt;0)+(IFERROR(INDEX(Setup!$G$33:$G$40,MATCH(W987,Setup!$B$33:$B$40,0)),0)=1)*(COUNTIF(W958:W975,$B987)+COUNTIF(W958:W975,$B987&amp;" ~*")&gt;0)+(IFERROR(INDEX(Setup!$G$33:$G$40,MATCH(Y987,Setup!$B$33:$B$40,0)),0)=1)*(COUNTIF(Y958:Y975,$B987)+COUNTIF(Y958:Y975,$B987&amp;" ~*")&gt;0))</f>
        <v/>
      </c>
    </row>
    <row r="988" ht="15" customHeight="1">
      <c r="A988" t="n">
        <v>20</v>
      </c>
      <c r="B988" s="37">
        <f>IF(Setup!$B$17="","",Setup!$B$17)</f>
        <v/>
      </c>
      <c r="C988" s="102" t="n"/>
      <c r="D988" s="103" t="n"/>
      <c r="E988" s="103" t="n"/>
      <c r="F988" s="104" t="n"/>
      <c r="G988" s="102" t="n"/>
      <c r="H988" s="103" t="n"/>
      <c r="I988" s="103" t="n"/>
      <c r="J988" s="104" t="n"/>
      <c r="K988" s="102" t="n"/>
      <c r="L988" s="103" t="n"/>
      <c r="M988" s="103" t="n"/>
      <c r="N988" s="104" t="n"/>
      <c r="O988" s="102" t="n"/>
      <c r="P988" s="103" t="n"/>
      <c r="Q988" s="103" t="n"/>
      <c r="R988" s="104" t="n"/>
      <c r="S988" s="102" t="n"/>
      <c r="T988" s="103" t="n"/>
      <c r="U988" s="103" t="n"/>
      <c r="V988" s="104" t="n"/>
      <c r="W988" s="102" t="n"/>
      <c r="X988" s="104" t="n"/>
      <c r="Y988" s="102" t="n"/>
      <c r="Z988" s="104" t="n"/>
      <c r="AB988" s="105">
        <f>IF($B988="","",(COUNTIF(C958:E975,$B988)+COUNTIF(C958:E975,$B988&amp;" ~*")&gt;0)+(COUNTIF(G958:I975,$B988)+COUNTIF(G958:I975,$B988&amp;" ~*")&gt;0)+(COUNTIF(K958:M975,$B988)+COUNTIF(K958:M975,$B988&amp;" ~*")&gt;0)+(COUNTIF(O958:Q975,$B988)+COUNTIF(O958:Q975,$B988&amp;" ~*")&gt;0)+(COUNTIF(S958:U975,$B988)+COUNTIF(S958:U975,$B988&amp;" ~*")&gt;0)+(COUNTIF(W958:W975,$B988)+COUNTIF(W958:W975,$B988&amp;" ~*")&gt;0)+(COUNTIF(Y958:Y975,$B988)+COUNTIF(Y958:Y975,$B988&amp;" ~*")&gt;0))</f>
        <v/>
      </c>
      <c r="AC988" s="38">
        <f>IF($B988="","",(IFERROR(INDEX(Setup!$G$33:$G$40,MATCH(C988,Setup!$B$33:$B$40,0)),0)=1)*(COUNTIF(C958:E975,$B988)+COUNTIF(C958:E975,$B988&amp;" ~*")&gt;0)+(IFERROR(INDEX(Setup!$G$33:$G$40,MATCH(G988,Setup!$B$33:$B$40,0)),0)=1)*(COUNTIF(G958:I975,$B988)+COUNTIF(G958:I975,$B988&amp;" ~*")&gt;0)+(IFERROR(INDEX(Setup!$G$33:$G$40,MATCH(K988,Setup!$B$33:$B$40,0)),0)=1)*(COUNTIF(K958:M975,$B988)+COUNTIF(K958:M975,$B988&amp;" ~*")&gt;0)+(IFERROR(INDEX(Setup!$G$33:$G$40,MATCH(O988,Setup!$B$33:$B$40,0)),0)=1)*(COUNTIF(O958:Q975,$B988)+COUNTIF(O958:Q975,$B988&amp;" ~*")&gt;0)+(IFERROR(INDEX(Setup!$G$33:$G$40,MATCH(S988,Setup!$B$33:$B$40,0)),0)=1)*(COUNTIF(S958:U975,$B988)+COUNTIF(S958:U975,$B988&amp;" ~*")&gt;0)+(IFERROR(INDEX(Setup!$G$33:$G$40,MATCH(W988,Setup!$B$33:$B$40,0)),0)=1)*(COUNTIF(W958:W975,$B988)+COUNTIF(W958:W975,$B988&amp;" ~*")&gt;0)+(IFERROR(INDEX(Setup!$G$33:$G$40,MATCH(Y988,Setup!$B$33:$B$40,0)),0)=1)*(COUNTIF(Y958:Y975,$B988)+COUNTIF(Y958:Y975,$B988&amp;" ~*")&gt;0))</f>
        <v/>
      </c>
    </row>
    <row r="989" ht="15" customHeight="1">
      <c r="A989" t="n">
        <v>20</v>
      </c>
      <c r="B989" s="35">
        <f>IF(Setup!$B$18="","",Setup!$B$18)</f>
        <v/>
      </c>
      <c r="C989" s="98" t="n"/>
      <c r="D989" s="99" t="n"/>
      <c r="E989" s="99" t="n"/>
      <c r="F989" s="100" t="n"/>
      <c r="G989" s="98" t="n"/>
      <c r="H989" s="99" t="n"/>
      <c r="I989" s="99" t="n"/>
      <c r="J989" s="100" t="n"/>
      <c r="K989" s="98" t="n"/>
      <c r="L989" s="99" t="n"/>
      <c r="M989" s="99" t="n"/>
      <c r="N989" s="100" t="n"/>
      <c r="O989" s="98" t="n"/>
      <c r="P989" s="99" t="n"/>
      <c r="Q989" s="99" t="n"/>
      <c r="R989" s="100" t="n"/>
      <c r="S989" s="98" t="n"/>
      <c r="T989" s="99" t="n"/>
      <c r="U989" s="99" t="n"/>
      <c r="V989" s="100" t="n"/>
      <c r="W989" s="98" t="n"/>
      <c r="X989" s="100" t="n"/>
      <c r="Y989" s="98" t="n"/>
      <c r="Z989" s="100" t="n"/>
      <c r="AB989" s="101">
        <f>IF($B989="","",(COUNTIF(C958:E975,$B989)+COUNTIF(C958:E975,$B989&amp;" ~*")&gt;0)+(COUNTIF(G958:I975,$B989)+COUNTIF(G958:I975,$B989&amp;" ~*")&gt;0)+(COUNTIF(K958:M975,$B989)+COUNTIF(K958:M975,$B989&amp;" ~*")&gt;0)+(COUNTIF(O958:Q975,$B989)+COUNTIF(O958:Q975,$B989&amp;" ~*")&gt;0)+(COUNTIF(S958:U975,$B989)+COUNTIF(S958:U975,$B989&amp;" ~*")&gt;0)+(COUNTIF(W958:W975,$B989)+COUNTIF(W958:W975,$B989&amp;" ~*")&gt;0)+(COUNTIF(Y958:Y975,$B989)+COUNTIF(Y958:Y975,$B989&amp;" ~*")&gt;0))</f>
        <v/>
      </c>
      <c r="AC989" s="36">
        <f>IF($B989="","",(IFERROR(INDEX(Setup!$G$33:$G$40,MATCH(C989,Setup!$B$33:$B$40,0)),0)=1)*(COUNTIF(C958:E975,$B989)+COUNTIF(C958:E975,$B989&amp;" ~*")&gt;0)+(IFERROR(INDEX(Setup!$G$33:$G$40,MATCH(G989,Setup!$B$33:$B$40,0)),0)=1)*(COUNTIF(G958:I975,$B989)+COUNTIF(G958:I975,$B989&amp;" ~*")&gt;0)+(IFERROR(INDEX(Setup!$G$33:$G$40,MATCH(K989,Setup!$B$33:$B$40,0)),0)=1)*(COUNTIF(K958:M975,$B989)+COUNTIF(K958:M975,$B989&amp;" ~*")&gt;0)+(IFERROR(INDEX(Setup!$G$33:$G$40,MATCH(O989,Setup!$B$33:$B$40,0)),0)=1)*(COUNTIF(O958:Q975,$B989)+COUNTIF(O958:Q975,$B989&amp;" ~*")&gt;0)+(IFERROR(INDEX(Setup!$G$33:$G$40,MATCH(S989,Setup!$B$33:$B$40,0)),0)=1)*(COUNTIF(S958:U975,$B989)+COUNTIF(S958:U975,$B989&amp;" ~*")&gt;0)+(IFERROR(INDEX(Setup!$G$33:$G$40,MATCH(W989,Setup!$B$33:$B$40,0)),0)=1)*(COUNTIF(W958:W975,$B989)+COUNTIF(W958:W975,$B989&amp;" ~*")&gt;0)+(IFERROR(INDEX(Setup!$G$33:$G$40,MATCH(Y989,Setup!$B$33:$B$40,0)),0)=1)*(COUNTIF(Y958:Y975,$B989)+COUNTIF(Y958:Y975,$B989&amp;" ~*")&gt;0))</f>
        <v/>
      </c>
    </row>
    <row r="990" ht="15" customHeight="1">
      <c r="A990" t="n">
        <v>20</v>
      </c>
      <c r="B990" s="37">
        <f>IF(Setup!$B$19="","",Setup!$B$19)</f>
        <v/>
      </c>
      <c r="C990" s="102" t="n"/>
      <c r="D990" s="103" t="n"/>
      <c r="E990" s="103" t="n"/>
      <c r="F990" s="104" t="n"/>
      <c r="G990" s="102" t="n"/>
      <c r="H990" s="103" t="n"/>
      <c r="I990" s="103" t="n"/>
      <c r="J990" s="104" t="n"/>
      <c r="K990" s="102" t="n"/>
      <c r="L990" s="103" t="n"/>
      <c r="M990" s="103" t="n"/>
      <c r="N990" s="104" t="n"/>
      <c r="O990" s="102" t="n"/>
      <c r="P990" s="103" t="n"/>
      <c r="Q990" s="103" t="n"/>
      <c r="R990" s="104" t="n"/>
      <c r="S990" s="102" t="n"/>
      <c r="T990" s="103" t="n"/>
      <c r="U990" s="103" t="n"/>
      <c r="V990" s="104" t="n"/>
      <c r="W990" s="102" t="n"/>
      <c r="X990" s="104" t="n"/>
      <c r="Y990" s="102" t="n"/>
      <c r="Z990" s="104" t="n"/>
      <c r="AB990" s="105">
        <f>IF($B990="","",(COUNTIF(C958:E975,$B990)+COUNTIF(C958:E975,$B990&amp;" ~*")&gt;0)+(COUNTIF(G958:I975,$B990)+COUNTIF(G958:I975,$B990&amp;" ~*")&gt;0)+(COUNTIF(K958:M975,$B990)+COUNTIF(K958:M975,$B990&amp;" ~*")&gt;0)+(COUNTIF(O958:Q975,$B990)+COUNTIF(O958:Q975,$B990&amp;" ~*")&gt;0)+(COUNTIF(S958:U975,$B990)+COUNTIF(S958:U975,$B990&amp;" ~*")&gt;0)+(COUNTIF(W958:W975,$B990)+COUNTIF(W958:W975,$B990&amp;" ~*")&gt;0)+(COUNTIF(Y958:Y975,$B990)+COUNTIF(Y958:Y975,$B990&amp;" ~*")&gt;0))</f>
        <v/>
      </c>
      <c r="AC990" s="38">
        <f>IF($B990="","",(IFERROR(INDEX(Setup!$G$33:$G$40,MATCH(C990,Setup!$B$33:$B$40,0)),0)=1)*(COUNTIF(C958:E975,$B990)+COUNTIF(C958:E975,$B990&amp;" ~*")&gt;0)+(IFERROR(INDEX(Setup!$G$33:$G$40,MATCH(G990,Setup!$B$33:$B$40,0)),0)=1)*(COUNTIF(G958:I975,$B990)+COUNTIF(G958:I975,$B990&amp;" ~*")&gt;0)+(IFERROR(INDEX(Setup!$G$33:$G$40,MATCH(K990,Setup!$B$33:$B$40,0)),0)=1)*(COUNTIF(K958:M975,$B990)+COUNTIF(K958:M975,$B990&amp;" ~*")&gt;0)+(IFERROR(INDEX(Setup!$G$33:$G$40,MATCH(O990,Setup!$B$33:$B$40,0)),0)=1)*(COUNTIF(O958:Q975,$B990)+COUNTIF(O958:Q975,$B990&amp;" ~*")&gt;0)+(IFERROR(INDEX(Setup!$G$33:$G$40,MATCH(S990,Setup!$B$33:$B$40,0)),0)=1)*(COUNTIF(S958:U975,$B990)+COUNTIF(S958:U975,$B990&amp;" ~*")&gt;0)+(IFERROR(INDEX(Setup!$G$33:$G$40,MATCH(W990,Setup!$B$33:$B$40,0)),0)=1)*(COUNTIF(W958:W975,$B990)+COUNTIF(W958:W975,$B990&amp;" ~*")&gt;0)+(IFERROR(INDEX(Setup!$G$33:$G$40,MATCH(Y990,Setup!$B$33:$B$40,0)),0)=1)*(COUNTIF(Y958:Y975,$B990)+COUNTIF(Y958:Y975,$B990&amp;" ~*")&gt;0))</f>
        <v/>
      </c>
    </row>
    <row r="991" ht="15" customHeight="1">
      <c r="A991" t="n">
        <v>20</v>
      </c>
      <c r="B991" s="35">
        <f>IF(Setup!$B$20="","",Setup!$B$20)</f>
        <v/>
      </c>
      <c r="C991" s="98" t="n"/>
      <c r="D991" s="99" t="n"/>
      <c r="E991" s="99" t="n"/>
      <c r="F991" s="100" t="n"/>
      <c r="G991" s="98" t="n"/>
      <c r="H991" s="99" t="n"/>
      <c r="I991" s="99" t="n"/>
      <c r="J991" s="100" t="n"/>
      <c r="K991" s="98" t="n"/>
      <c r="L991" s="99" t="n"/>
      <c r="M991" s="99" t="n"/>
      <c r="N991" s="100" t="n"/>
      <c r="O991" s="98" t="n"/>
      <c r="P991" s="99" t="n"/>
      <c r="Q991" s="99" t="n"/>
      <c r="R991" s="100" t="n"/>
      <c r="S991" s="98" t="n"/>
      <c r="T991" s="99" t="n"/>
      <c r="U991" s="99" t="n"/>
      <c r="V991" s="100" t="n"/>
      <c r="W991" s="98" t="n"/>
      <c r="X991" s="100" t="n"/>
      <c r="Y991" s="98" t="n"/>
      <c r="Z991" s="100" t="n"/>
      <c r="AB991" s="101">
        <f>IF($B991="","",(COUNTIF(C958:E975,$B991)+COUNTIF(C958:E975,$B991&amp;" ~*")&gt;0)+(COUNTIF(G958:I975,$B991)+COUNTIF(G958:I975,$B991&amp;" ~*")&gt;0)+(COUNTIF(K958:M975,$B991)+COUNTIF(K958:M975,$B991&amp;" ~*")&gt;0)+(COUNTIF(O958:Q975,$B991)+COUNTIF(O958:Q975,$B991&amp;" ~*")&gt;0)+(COUNTIF(S958:U975,$B991)+COUNTIF(S958:U975,$B991&amp;" ~*")&gt;0)+(COUNTIF(W958:W975,$B991)+COUNTIF(W958:W975,$B991&amp;" ~*")&gt;0)+(COUNTIF(Y958:Y975,$B991)+COUNTIF(Y958:Y975,$B991&amp;" ~*")&gt;0))</f>
        <v/>
      </c>
      <c r="AC991" s="36">
        <f>IF($B991="","",(IFERROR(INDEX(Setup!$G$33:$G$40,MATCH(C991,Setup!$B$33:$B$40,0)),0)=1)*(COUNTIF(C958:E975,$B991)+COUNTIF(C958:E975,$B991&amp;" ~*")&gt;0)+(IFERROR(INDEX(Setup!$G$33:$G$40,MATCH(G991,Setup!$B$33:$B$40,0)),0)=1)*(COUNTIF(G958:I975,$B991)+COUNTIF(G958:I975,$B991&amp;" ~*")&gt;0)+(IFERROR(INDEX(Setup!$G$33:$G$40,MATCH(K991,Setup!$B$33:$B$40,0)),0)=1)*(COUNTIF(K958:M975,$B991)+COUNTIF(K958:M975,$B991&amp;" ~*")&gt;0)+(IFERROR(INDEX(Setup!$G$33:$G$40,MATCH(O991,Setup!$B$33:$B$40,0)),0)=1)*(COUNTIF(O958:Q975,$B991)+COUNTIF(O958:Q975,$B991&amp;" ~*")&gt;0)+(IFERROR(INDEX(Setup!$G$33:$G$40,MATCH(S991,Setup!$B$33:$B$40,0)),0)=1)*(COUNTIF(S958:U975,$B991)+COUNTIF(S958:U975,$B991&amp;" ~*")&gt;0)+(IFERROR(INDEX(Setup!$G$33:$G$40,MATCH(W991,Setup!$B$33:$B$40,0)),0)=1)*(COUNTIF(W958:W975,$B991)+COUNTIF(W958:W975,$B991&amp;" ~*")&gt;0)+(IFERROR(INDEX(Setup!$G$33:$G$40,MATCH(Y991,Setup!$B$33:$B$40,0)),0)=1)*(COUNTIF(Y958:Y975,$B991)+COUNTIF(Y958:Y975,$B991&amp;" ~*")&gt;0))</f>
        <v/>
      </c>
    </row>
    <row r="992" ht="15" customHeight="1">
      <c r="A992" t="n">
        <v>20</v>
      </c>
      <c r="B992" s="37">
        <f>IF(Setup!$B$21="","",Setup!$B$21)</f>
        <v/>
      </c>
      <c r="C992" s="102" t="n"/>
      <c r="D992" s="103" t="n"/>
      <c r="E992" s="103" t="n"/>
      <c r="F992" s="104" t="n"/>
      <c r="G992" s="102" t="n"/>
      <c r="H992" s="103" t="n"/>
      <c r="I992" s="103" t="n"/>
      <c r="J992" s="104" t="n"/>
      <c r="K992" s="102" t="n"/>
      <c r="L992" s="103" t="n"/>
      <c r="M992" s="103" t="n"/>
      <c r="N992" s="104" t="n"/>
      <c r="O992" s="102" t="n"/>
      <c r="P992" s="103" t="n"/>
      <c r="Q992" s="103" t="n"/>
      <c r="R992" s="104" t="n"/>
      <c r="S992" s="102" t="n"/>
      <c r="T992" s="103" t="n"/>
      <c r="U992" s="103" t="n"/>
      <c r="V992" s="104" t="n"/>
      <c r="W992" s="102" t="n"/>
      <c r="X992" s="104" t="n"/>
      <c r="Y992" s="102" t="n"/>
      <c r="Z992" s="104" t="n"/>
      <c r="AB992" s="105">
        <f>IF($B992="","",(COUNTIF(C958:E975,$B992)+COUNTIF(C958:E975,$B992&amp;" ~*")&gt;0)+(COUNTIF(G958:I975,$B992)+COUNTIF(G958:I975,$B992&amp;" ~*")&gt;0)+(COUNTIF(K958:M975,$B992)+COUNTIF(K958:M975,$B992&amp;" ~*")&gt;0)+(COUNTIF(O958:Q975,$B992)+COUNTIF(O958:Q975,$B992&amp;" ~*")&gt;0)+(COUNTIF(S958:U975,$B992)+COUNTIF(S958:U975,$B992&amp;" ~*")&gt;0)+(COUNTIF(W958:W975,$B992)+COUNTIF(W958:W975,$B992&amp;" ~*")&gt;0)+(COUNTIF(Y958:Y975,$B992)+COUNTIF(Y958:Y975,$B992&amp;" ~*")&gt;0))</f>
        <v/>
      </c>
      <c r="AC992" s="38">
        <f>IF($B992="","",(IFERROR(INDEX(Setup!$G$33:$G$40,MATCH(C992,Setup!$B$33:$B$40,0)),0)=1)*(COUNTIF(C958:E975,$B992)+COUNTIF(C958:E975,$B992&amp;" ~*")&gt;0)+(IFERROR(INDEX(Setup!$G$33:$G$40,MATCH(G992,Setup!$B$33:$B$40,0)),0)=1)*(COUNTIF(G958:I975,$B992)+COUNTIF(G958:I975,$B992&amp;" ~*")&gt;0)+(IFERROR(INDEX(Setup!$G$33:$G$40,MATCH(K992,Setup!$B$33:$B$40,0)),0)=1)*(COUNTIF(K958:M975,$B992)+COUNTIF(K958:M975,$B992&amp;" ~*")&gt;0)+(IFERROR(INDEX(Setup!$G$33:$G$40,MATCH(O992,Setup!$B$33:$B$40,0)),0)=1)*(COUNTIF(O958:Q975,$B992)+COUNTIF(O958:Q975,$B992&amp;" ~*")&gt;0)+(IFERROR(INDEX(Setup!$G$33:$G$40,MATCH(S992,Setup!$B$33:$B$40,0)),0)=1)*(COUNTIF(S958:U975,$B992)+COUNTIF(S958:U975,$B992&amp;" ~*")&gt;0)+(IFERROR(INDEX(Setup!$G$33:$G$40,MATCH(W992,Setup!$B$33:$B$40,0)),0)=1)*(COUNTIF(W958:W975,$B992)+COUNTIF(W958:W975,$B992&amp;" ~*")&gt;0)+(IFERROR(INDEX(Setup!$G$33:$G$40,MATCH(Y992,Setup!$B$33:$B$40,0)),0)=1)*(COUNTIF(Y958:Y975,$B992)+COUNTIF(Y958:Y975,$B992&amp;" ~*")&gt;0))</f>
        <v/>
      </c>
    </row>
    <row r="993" ht="15" customHeight="1">
      <c r="A993" t="n">
        <v>20</v>
      </c>
      <c r="B993" s="35">
        <f>IF(Setup!$B$22="","",Setup!$B$22)</f>
        <v/>
      </c>
      <c r="C993" s="98" t="n"/>
      <c r="D993" s="99" t="n"/>
      <c r="E993" s="99" t="n"/>
      <c r="F993" s="100" t="n"/>
      <c r="G993" s="98" t="n"/>
      <c r="H993" s="99" t="n"/>
      <c r="I993" s="99" t="n"/>
      <c r="J993" s="100" t="n"/>
      <c r="K993" s="98" t="n"/>
      <c r="L993" s="99" t="n"/>
      <c r="M993" s="99" t="n"/>
      <c r="N993" s="100" t="n"/>
      <c r="O993" s="98" t="n"/>
      <c r="P993" s="99" t="n"/>
      <c r="Q993" s="99" t="n"/>
      <c r="R993" s="100" t="n"/>
      <c r="S993" s="98" t="n"/>
      <c r="T993" s="99" t="n"/>
      <c r="U993" s="99" t="n"/>
      <c r="V993" s="100" t="n"/>
      <c r="W993" s="98" t="n"/>
      <c r="X993" s="100" t="n"/>
      <c r="Y993" s="98" t="n"/>
      <c r="Z993" s="100" t="n"/>
      <c r="AB993" s="101">
        <f>IF($B993="","",(COUNTIF(C958:E975,$B993)+COUNTIF(C958:E975,$B993&amp;" ~*")&gt;0)+(COUNTIF(G958:I975,$B993)+COUNTIF(G958:I975,$B993&amp;" ~*")&gt;0)+(COUNTIF(K958:M975,$B993)+COUNTIF(K958:M975,$B993&amp;" ~*")&gt;0)+(COUNTIF(O958:Q975,$B993)+COUNTIF(O958:Q975,$B993&amp;" ~*")&gt;0)+(COUNTIF(S958:U975,$B993)+COUNTIF(S958:U975,$B993&amp;" ~*")&gt;0)+(COUNTIF(W958:W975,$B993)+COUNTIF(W958:W975,$B993&amp;" ~*")&gt;0)+(COUNTIF(Y958:Y975,$B993)+COUNTIF(Y958:Y975,$B993&amp;" ~*")&gt;0))</f>
        <v/>
      </c>
      <c r="AC993" s="36">
        <f>IF($B993="","",(IFERROR(INDEX(Setup!$G$33:$G$40,MATCH(C993,Setup!$B$33:$B$40,0)),0)=1)*(COUNTIF(C958:E975,$B993)+COUNTIF(C958:E975,$B993&amp;" ~*")&gt;0)+(IFERROR(INDEX(Setup!$G$33:$G$40,MATCH(G993,Setup!$B$33:$B$40,0)),0)=1)*(COUNTIF(G958:I975,$B993)+COUNTIF(G958:I975,$B993&amp;" ~*")&gt;0)+(IFERROR(INDEX(Setup!$G$33:$G$40,MATCH(K993,Setup!$B$33:$B$40,0)),0)=1)*(COUNTIF(K958:M975,$B993)+COUNTIF(K958:M975,$B993&amp;" ~*")&gt;0)+(IFERROR(INDEX(Setup!$G$33:$G$40,MATCH(O993,Setup!$B$33:$B$40,0)),0)=1)*(COUNTIF(O958:Q975,$B993)+COUNTIF(O958:Q975,$B993&amp;" ~*")&gt;0)+(IFERROR(INDEX(Setup!$G$33:$G$40,MATCH(S993,Setup!$B$33:$B$40,0)),0)=1)*(COUNTIF(S958:U975,$B993)+COUNTIF(S958:U975,$B993&amp;" ~*")&gt;0)+(IFERROR(INDEX(Setup!$G$33:$G$40,MATCH(W993,Setup!$B$33:$B$40,0)),0)=1)*(COUNTIF(W958:W975,$B993)+COUNTIF(W958:W975,$B993&amp;" ~*")&gt;0)+(IFERROR(INDEX(Setup!$G$33:$G$40,MATCH(Y993,Setup!$B$33:$B$40,0)),0)=1)*(COUNTIF(Y958:Y975,$B993)+COUNTIF(Y958:Y975,$B993&amp;" ~*")&gt;0))</f>
        <v/>
      </c>
    </row>
    <row r="994" ht="15" customHeight="1">
      <c r="A994" t="n">
        <v>20</v>
      </c>
      <c r="B994" s="37">
        <f>IF(Setup!$B$23="","",Setup!$B$23)</f>
        <v/>
      </c>
      <c r="C994" s="102" t="n"/>
      <c r="D994" s="103" t="n"/>
      <c r="E994" s="103" t="n"/>
      <c r="F994" s="104" t="n"/>
      <c r="G994" s="102" t="n"/>
      <c r="H994" s="103" t="n"/>
      <c r="I994" s="103" t="n"/>
      <c r="J994" s="104" t="n"/>
      <c r="K994" s="102" t="n"/>
      <c r="L994" s="103" t="n"/>
      <c r="M994" s="103" t="n"/>
      <c r="N994" s="104" t="n"/>
      <c r="O994" s="102" t="n"/>
      <c r="P994" s="103" t="n"/>
      <c r="Q994" s="103" t="n"/>
      <c r="R994" s="104" t="n"/>
      <c r="S994" s="102" t="n"/>
      <c r="T994" s="103" t="n"/>
      <c r="U994" s="103" t="n"/>
      <c r="V994" s="104" t="n"/>
      <c r="W994" s="102" t="n"/>
      <c r="X994" s="104" t="n"/>
      <c r="Y994" s="102" t="n"/>
      <c r="Z994" s="104" t="n"/>
      <c r="AB994" s="105">
        <f>IF($B994="","",(COUNTIF(C958:E975,$B994)+COUNTIF(C958:E975,$B994&amp;" ~*")&gt;0)+(COUNTIF(G958:I975,$B994)+COUNTIF(G958:I975,$B994&amp;" ~*")&gt;0)+(COUNTIF(K958:M975,$B994)+COUNTIF(K958:M975,$B994&amp;" ~*")&gt;0)+(COUNTIF(O958:Q975,$B994)+COUNTIF(O958:Q975,$B994&amp;" ~*")&gt;0)+(COUNTIF(S958:U975,$B994)+COUNTIF(S958:U975,$B994&amp;" ~*")&gt;0)+(COUNTIF(W958:W975,$B994)+COUNTIF(W958:W975,$B994&amp;" ~*")&gt;0)+(COUNTIF(Y958:Y975,$B994)+COUNTIF(Y958:Y975,$B994&amp;" ~*")&gt;0))</f>
        <v/>
      </c>
      <c r="AC994" s="38">
        <f>IF($B994="","",(IFERROR(INDEX(Setup!$G$33:$G$40,MATCH(C994,Setup!$B$33:$B$40,0)),0)=1)*(COUNTIF(C958:E975,$B994)+COUNTIF(C958:E975,$B994&amp;" ~*")&gt;0)+(IFERROR(INDEX(Setup!$G$33:$G$40,MATCH(G994,Setup!$B$33:$B$40,0)),0)=1)*(COUNTIF(G958:I975,$B994)+COUNTIF(G958:I975,$B994&amp;" ~*")&gt;0)+(IFERROR(INDEX(Setup!$G$33:$G$40,MATCH(K994,Setup!$B$33:$B$40,0)),0)=1)*(COUNTIF(K958:M975,$B994)+COUNTIF(K958:M975,$B994&amp;" ~*")&gt;0)+(IFERROR(INDEX(Setup!$G$33:$G$40,MATCH(O994,Setup!$B$33:$B$40,0)),0)=1)*(COUNTIF(O958:Q975,$B994)+COUNTIF(O958:Q975,$B994&amp;" ~*")&gt;0)+(IFERROR(INDEX(Setup!$G$33:$G$40,MATCH(S994,Setup!$B$33:$B$40,0)),0)=1)*(COUNTIF(S958:U975,$B994)+COUNTIF(S958:U975,$B994&amp;" ~*")&gt;0)+(IFERROR(INDEX(Setup!$G$33:$G$40,MATCH(W994,Setup!$B$33:$B$40,0)),0)=1)*(COUNTIF(W958:W975,$B994)+COUNTIF(W958:W975,$B994&amp;" ~*")&gt;0)+(IFERROR(INDEX(Setup!$G$33:$G$40,MATCH(Y994,Setup!$B$33:$B$40,0)),0)=1)*(COUNTIF(Y958:Y975,$B994)+COUNTIF(Y958:Y975,$B994&amp;" ~*")&gt;0))</f>
        <v/>
      </c>
    </row>
    <row r="995" ht="15" customHeight="1">
      <c r="A995" t="n">
        <v>20</v>
      </c>
      <c r="B995" s="35">
        <f>IF(Setup!$B$24="","",Setup!$B$24)</f>
        <v/>
      </c>
      <c r="C995" s="98" t="n"/>
      <c r="D995" s="99" t="n"/>
      <c r="E995" s="99" t="n"/>
      <c r="F995" s="100" t="n"/>
      <c r="G995" s="98" t="n"/>
      <c r="H995" s="99" t="n"/>
      <c r="I995" s="99" t="n"/>
      <c r="J995" s="100" t="n"/>
      <c r="K995" s="98" t="n"/>
      <c r="L995" s="99" t="n"/>
      <c r="M995" s="99" t="n"/>
      <c r="N995" s="100" t="n"/>
      <c r="O995" s="98" t="n"/>
      <c r="P995" s="99" t="n"/>
      <c r="Q995" s="99" t="n"/>
      <c r="R995" s="100" t="n"/>
      <c r="S995" s="98" t="n"/>
      <c r="T995" s="99" t="n"/>
      <c r="U995" s="99" t="n"/>
      <c r="V995" s="100" t="n"/>
      <c r="W995" s="98" t="n"/>
      <c r="X995" s="100" t="n"/>
      <c r="Y995" s="98" t="n"/>
      <c r="Z995" s="100" t="n"/>
      <c r="AB995" s="101">
        <f>IF($B995="","",(COUNTIF(C958:E975,$B995)+COUNTIF(C958:E975,$B995&amp;" ~*")&gt;0)+(COUNTIF(G958:I975,$B995)+COUNTIF(G958:I975,$B995&amp;" ~*")&gt;0)+(COUNTIF(K958:M975,$B995)+COUNTIF(K958:M975,$B995&amp;" ~*")&gt;0)+(COUNTIF(O958:Q975,$B995)+COUNTIF(O958:Q975,$B995&amp;" ~*")&gt;0)+(COUNTIF(S958:U975,$B995)+COUNTIF(S958:U975,$B995&amp;" ~*")&gt;0)+(COUNTIF(W958:W975,$B995)+COUNTIF(W958:W975,$B995&amp;" ~*")&gt;0)+(COUNTIF(Y958:Y975,$B995)+COUNTIF(Y958:Y975,$B995&amp;" ~*")&gt;0))</f>
        <v/>
      </c>
      <c r="AC995" s="36">
        <f>IF($B995="","",(IFERROR(INDEX(Setup!$G$33:$G$40,MATCH(C995,Setup!$B$33:$B$40,0)),0)=1)*(COUNTIF(C958:E975,$B995)+COUNTIF(C958:E975,$B995&amp;" ~*")&gt;0)+(IFERROR(INDEX(Setup!$G$33:$G$40,MATCH(G995,Setup!$B$33:$B$40,0)),0)=1)*(COUNTIF(G958:I975,$B995)+COUNTIF(G958:I975,$B995&amp;" ~*")&gt;0)+(IFERROR(INDEX(Setup!$G$33:$G$40,MATCH(K995,Setup!$B$33:$B$40,0)),0)=1)*(COUNTIF(K958:M975,$B995)+COUNTIF(K958:M975,$B995&amp;" ~*")&gt;0)+(IFERROR(INDEX(Setup!$G$33:$G$40,MATCH(O995,Setup!$B$33:$B$40,0)),0)=1)*(COUNTIF(O958:Q975,$B995)+COUNTIF(O958:Q975,$B995&amp;" ~*")&gt;0)+(IFERROR(INDEX(Setup!$G$33:$G$40,MATCH(S995,Setup!$B$33:$B$40,0)),0)=1)*(COUNTIF(S958:U975,$B995)+COUNTIF(S958:U975,$B995&amp;" ~*")&gt;0)+(IFERROR(INDEX(Setup!$G$33:$G$40,MATCH(W995,Setup!$B$33:$B$40,0)),0)=1)*(COUNTIF(W958:W975,$B995)+COUNTIF(W958:W975,$B995&amp;" ~*")&gt;0)+(IFERROR(INDEX(Setup!$G$33:$G$40,MATCH(Y995,Setup!$B$33:$B$40,0)),0)=1)*(COUNTIF(Y958:Y975,$B995)+COUNTIF(Y958:Y975,$B995&amp;" ~*")&gt;0))</f>
        <v/>
      </c>
    </row>
    <row r="996" ht="15" customHeight="1">
      <c r="A996" t="n">
        <v>20</v>
      </c>
      <c r="B996" s="37">
        <f>IF(Setup!$B$25="","",Setup!$B$25)</f>
        <v/>
      </c>
      <c r="C996" s="102" t="n"/>
      <c r="D996" s="103" t="n"/>
      <c r="E996" s="103" t="n"/>
      <c r="F996" s="104" t="n"/>
      <c r="G996" s="102" t="n"/>
      <c r="H996" s="103" t="n"/>
      <c r="I996" s="103" t="n"/>
      <c r="J996" s="104" t="n"/>
      <c r="K996" s="102" t="n"/>
      <c r="L996" s="103" t="n"/>
      <c r="M996" s="103" t="n"/>
      <c r="N996" s="104" t="n"/>
      <c r="O996" s="102" t="n"/>
      <c r="P996" s="103" t="n"/>
      <c r="Q996" s="103" t="n"/>
      <c r="R996" s="104" t="n"/>
      <c r="S996" s="102" t="n"/>
      <c r="T996" s="103" t="n"/>
      <c r="U996" s="103" t="n"/>
      <c r="V996" s="104" t="n"/>
      <c r="W996" s="102" t="n"/>
      <c r="X996" s="104" t="n"/>
      <c r="Y996" s="102" t="n"/>
      <c r="Z996" s="104" t="n"/>
      <c r="AB996" s="105">
        <f>IF($B996="","",(COUNTIF(C958:E975,$B996)+COUNTIF(C958:E975,$B996&amp;" ~*")&gt;0)+(COUNTIF(G958:I975,$B996)+COUNTIF(G958:I975,$B996&amp;" ~*")&gt;0)+(COUNTIF(K958:M975,$B996)+COUNTIF(K958:M975,$B996&amp;" ~*")&gt;0)+(COUNTIF(O958:Q975,$B996)+COUNTIF(O958:Q975,$B996&amp;" ~*")&gt;0)+(COUNTIF(S958:U975,$B996)+COUNTIF(S958:U975,$B996&amp;" ~*")&gt;0)+(COUNTIF(W958:W975,$B996)+COUNTIF(W958:W975,$B996&amp;" ~*")&gt;0)+(COUNTIF(Y958:Y975,$B996)+COUNTIF(Y958:Y975,$B996&amp;" ~*")&gt;0))</f>
        <v/>
      </c>
      <c r="AC996" s="38">
        <f>IF($B996="","",(IFERROR(INDEX(Setup!$G$33:$G$40,MATCH(C996,Setup!$B$33:$B$40,0)),0)=1)*(COUNTIF(C958:E975,$B996)+COUNTIF(C958:E975,$B996&amp;" ~*")&gt;0)+(IFERROR(INDEX(Setup!$G$33:$G$40,MATCH(G996,Setup!$B$33:$B$40,0)),0)=1)*(COUNTIF(G958:I975,$B996)+COUNTIF(G958:I975,$B996&amp;" ~*")&gt;0)+(IFERROR(INDEX(Setup!$G$33:$G$40,MATCH(K996,Setup!$B$33:$B$40,0)),0)=1)*(COUNTIF(K958:M975,$B996)+COUNTIF(K958:M975,$B996&amp;" ~*")&gt;0)+(IFERROR(INDEX(Setup!$G$33:$G$40,MATCH(O996,Setup!$B$33:$B$40,0)),0)=1)*(COUNTIF(O958:Q975,$B996)+COUNTIF(O958:Q975,$B996&amp;" ~*")&gt;0)+(IFERROR(INDEX(Setup!$G$33:$G$40,MATCH(S996,Setup!$B$33:$B$40,0)),0)=1)*(COUNTIF(S958:U975,$B996)+COUNTIF(S958:U975,$B996&amp;" ~*")&gt;0)+(IFERROR(INDEX(Setup!$G$33:$G$40,MATCH(W996,Setup!$B$33:$B$40,0)),0)=1)*(COUNTIF(W958:W975,$B996)+COUNTIF(W958:W975,$B996&amp;" ~*")&gt;0)+(IFERROR(INDEX(Setup!$G$33:$G$40,MATCH(Y996,Setup!$B$33:$B$40,0)),0)=1)*(COUNTIF(Y958:Y975,$B996)+COUNTIF(Y958:Y975,$B996&amp;" ~*")&gt;0))</f>
        <v/>
      </c>
    </row>
    <row r="997" ht="15" customHeight="1">
      <c r="A997" t="n">
        <v>20</v>
      </c>
      <c r="B997" s="35">
        <f>IF(Setup!$B$26="","",Setup!$B$26)</f>
        <v/>
      </c>
      <c r="C997" s="98" t="n"/>
      <c r="D997" s="99" t="n"/>
      <c r="E997" s="99" t="n"/>
      <c r="F997" s="100" t="n"/>
      <c r="G997" s="98" t="n"/>
      <c r="H997" s="99" t="n"/>
      <c r="I997" s="99" t="n"/>
      <c r="J997" s="100" t="n"/>
      <c r="K997" s="98" t="n"/>
      <c r="L997" s="99" t="n"/>
      <c r="M997" s="99" t="n"/>
      <c r="N997" s="100" t="n"/>
      <c r="O997" s="98" t="n"/>
      <c r="P997" s="99" t="n"/>
      <c r="Q997" s="99" t="n"/>
      <c r="R997" s="100" t="n"/>
      <c r="S997" s="98" t="n"/>
      <c r="T997" s="99" t="n"/>
      <c r="U997" s="99" t="n"/>
      <c r="V997" s="100" t="n"/>
      <c r="W997" s="98" t="n"/>
      <c r="X997" s="100" t="n"/>
      <c r="Y997" s="98" t="n"/>
      <c r="Z997" s="100" t="n"/>
      <c r="AB997" s="101">
        <f>IF($B997="","",(COUNTIF(C958:E975,$B997)+COUNTIF(C958:E975,$B997&amp;" ~*")&gt;0)+(COUNTIF(G958:I975,$B997)+COUNTIF(G958:I975,$B997&amp;" ~*")&gt;0)+(COUNTIF(K958:M975,$B997)+COUNTIF(K958:M975,$B997&amp;" ~*")&gt;0)+(COUNTIF(O958:Q975,$B997)+COUNTIF(O958:Q975,$B997&amp;" ~*")&gt;0)+(COUNTIF(S958:U975,$B997)+COUNTIF(S958:U975,$B997&amp;" ~*")&gt;0)+(COUNTIF(W958:W975,$B997)+COUNTIF(W958:W975,$B997&amp;" ~*")&gt;0)+(COUNTIF(Y958:Y975,$B997)+COUNTIF(Y958:Y975,$B997&amp;" ~*")&gt;0))</f>
        <v/>
      </c>
      <c r="AC997" s="36">
        <f>IF($B997="","",(IFERROR(INDEX(Setup!$G$33:$G$40,MATCH(C997,Setup!$B$33:$B$40,0)),0)=1)*(COUNTIF(C958:E975,$B997)+COUNTIF(C958:E975,$B997&amp;" ~*")&gt;0)+(IFERROR(INDEX(Setup!$G$33:$G$40,MATCH(G997,Setup!$B$33:$B$40,0)),0)=1)*(COUNTIF(G958:I975,$B997)+COUNTIF(G958:I975,$B997&amp;" ~*")&gt;0)+(IFERROR(INDEX(Setup!$G$33:$G$40,MATCH(K997,Setup!$B$33:$B$40,0)),0)=1)*(COUNTIF(K958:M975,$B997)+COUNTIF(K958:M975,$B997&amp;" ~*")&gt;0)+(IFERROR(INDEX(Setup!$G$33:$G$40,MATCH(O997,Setup!$B$33:$B$40,0)),0)=1)*(COUNTIF(O958:Q975,$B997)+COUNTIF(O958:Q975,$B997&amp;" ~*")&gt;0)+(IFERROR(INDEX(Setup!$G$33:$G$40,MATCH(S997,Setup!$B$33:$B$40,0)),0)=1)*(COUNTIF(S958:U975,$B997)+COUNTIF(S958:U975,$B997&amp;" ~*")&gt;0)+(IFERROR(INDEX(Setup!$G$33:$G$40,MATCH(W997,Setup!$B$33:$B$40,0)),0)=1)*(COUNTIF(W958:W975,$B997)+COUNTIF(W958:W975,$B997&amp;" ~*")&gt;0)+(IFERROR(INDEX(Setup!$G$33:$G$40,MATCH(Y997,Setup!$B$33:$B$40,0)),0)=1)*(COUNTIF(Y958:Y975,$B997)+COUNTIF(Y958:Y975,$B997&amp;" ~*")&gt;0))</f>
        <v/>
      </c>
    </row>
    <row r="998" ht="15" customHeight="1">
      <c r="A998" t="n">
        <v>20</v>
      </c>
      <c r="B998" s="37">
        <f>IF(Setup!$B$27="","",Setup!$B$27)</f>
        <v/>
      </c>
      <c r="C998" s="102" t="n"/>
      <c r="D998" s="103" t="n"/>
      <c r="E998" s="103" t="n"/>
      <c r="F998" s="104" t="n"/>
      <c r="G998" s="102" t="n"/>
      <c r="H998" s="103" t="n"/>
      <c r="I998" s="103" t="n"/>
      <c r="J998" s="104" t="n"/>
      <c r="K998" s="102" t="n"/>
      <c r="L998" s="103" t="n"/>
      <c r="M998" s="103" t="n"/>
      <c r="N998" s="104" t="n"/>
      <c r="O998" s="102" t="n"/>
      <c r="P998" s="103" t="n"/>
      <c r="Q998" s="103" t="n"/>
      <c r="R998" s="104" t="n"/>
      <c r="S998" s="102" t="n"/>
      <c r="T998" s="103" t="n"/>
      <c r="U998" s="103" t="n"/>
      <c r="V998" s="104" t="n"/>
      <c r="W998" s="102" t="n"/>
      <c r="X998" s="104" t="n"/>
      <c r="Y998" s="102" t="n"/>
      <c r="Z998" s="104" t="n"/>
      <c r="AB998" s="105">
        <f>IF($B998="","",(COUNTIF(C958:E975,$B998)+COUNTIF(C958:E975,$B998&amp;" ~*")&gt;0)+(COUNTIF(G958:I975,$B998)+COUNTIF(G958:I975,$B998&amp;" ~*")&gt;0)+(COUNTIF(K958:M975,$B998)+COUNTIF(K958:M975,$B998&amp;" ~*")&gt;0)+(COUNTIF(O958:Q975,$B998)+COUNTIF(O958:Q975,$B998&amp;" ~*")&gt;0)+(COUNTIF(S958:U975,$B998)+COUNTIF(S958:U975,$B998&amp;" ~*")&gt;0)+(COUNTIF(W958:W975,$B998)+COUNTIF(W958:W975,$B998&amp;" ~*")&gt;0)+(COUNTIF(Y958:Y975,$B998)+COUNTIF(Y958:Y975,$B998&amp;" ~*")&gt;0))</f>
        <v/>
      </c>
      <c r="AC998" s="38">
        <f>IF($B998="","",(IFERROR(INDEX(Setup!$G$33:$G$40,MATCH(C998,Setup!$B$33:$B$40,0)),0)=1)*(COUNTIF(C958:E975,$B998)+COUNTIF(C958:E975,$B998&amp;" ~*")&gt;0)+(IFERROR(INDEX(Setup!$G$33:$G$40,MATCH(G998,Setup!$B$33:$B$40,0)),0)=1)*(COUNTIF(G958:I975,$B998)+COUNTIF(G958:I975,$B998&amp;" ~*")&gt;0)+(IFERROR(INDEX(Setup!$G$33:$G$40,MATCH(K998,Setup!$B$33:$B$40,0)),0)=1)*(COUNTIF(K958:M975,$B998)+COUNTIF(K958:M975,$B998&amp;" ~*")&gt;0)+(IFERROR(INDEX(Setup!$G$33:$G$40,MATCH(O998,Setup!$B$33:$B$40,0)),0)=1)*(COUNTIF(O958:Q975,$B998)+COUNTIF(O958:Q975,$B998&amp;" ~*")&gt;0)+(IFERROR(INDEX(Setup!$G$33:$G$40,MATCH(S998,Setup!$B$33:$B$40,0)),0)=1)*(COUNTIF(S958:U975,$B998)+COUNTIF(S958:U975,$B998&amp;" ~*")&gt;0)+(IFERROR(INDEX(Setup!$G$33:$G$40,MATCH(W998,Setup!$B$33:$B$40,0)),0)=1)*(COUNTIF(W958:W975,$B998)+COUNTIF(W958:W975,$B998&amp;" ~*")&gt;0)+(IFERROR(INDEX(Setup!$G$33:$G$40,MATCH(Y998,Setup!$B$33:$B$40,0)),0)=1)*(COUNTIF(Y958:Y975,$B998)+COUNTIF(Y958:Y975,$B998&amp;" ~*")&gt;0))</f>
        <v/>
      </c>
    </row>
    <row r="999" ht="15" customHeight="1">
      <c r="A999" t="n">
        <v>20</v>
      </c>
      <c r="B999" s="35">
        <f>IF(Setup!$B$28="","",Setup!$B$28)</f>
        <v/>
      </c>
      <c r="C999" s="98" t="n"/>
      <c r="D999" s="99" t="n"/>
      <c r="E999" s="99" t="n"/>
      <c r="F999" s="100" t="n"/>
      <c r="G999" s="98" t="n"/>
      <c r="H999" s="99" t="n"/>
      <c r="I999" s="99" t="n"/>
      <c r="J999" s="100" t="n"/>
      <c r="K999" s="98" t="n"/>
      <c r="L999" s="99" t="n"/>
      <c r="M999" s="99" t="n"/>
      <c r="N999" s="100" t="n"/>
      <c r="O999" s="98" t="n"/>
      <c r="P999" s="99" t="n"/>
      <c r="Q999" s="99" t="n"/>
      <c r="R999" s="100" t="n"/>
      <c r="S999" s="98" t="n"/>
      <c r="T999" s="99" t="n"/>
      <c r="U999" s="99" t="n"/>
      <c r="V999" s="100" t="n"/>
      <c r="W999" s="98" t="n"/>
      <c r="X999" s="100" t="n"/>
      <c r="Y999" s="98" t="n"/>
      <c r="Z999" s="100" t="n"/>
      <c r="AB999" s="101">
        <f>IF($B999="","",(COUNTIF(C958:E975,$B999)+COUNTIF(C958:E975,$B999&amp;" ~*")&gt;0)+(COUNTIF(G958:I975,$B999)+COUNTIF(G958:I975,$B999&amp;" ~*")&gt;0)+(COUNTIF(K958:M975,$B999)+COUNTIF(K958:M975,$B999&amp;" ~*")&gt;0)+(COUNTIF(O958:Q975,$B999)+COUNTIF(O958:Q975,$B999&amp;" ~*")&gt;0)+(COUNTIF(S958:U975,$B999)+COUNTIF(S958:U975,$B999&amp;" ~*")&gt;0)+(COUNTIF(W958:W975,$B999)+COUNTIF(W958:W975,$B999&amp;" ~*")&gt;0)+(COUNTIF(Y958:Y975,$B999)+COUNTIF(Y958:Y975,$B999&amp;" ~*")&gt;0))</f>
        <v/>
      </c>
      <c r="AC999" s="36">
        <f>IF($B999="","",(IFERROR(INDEX(Setup!$G$33:$G$40,MATCH(C999,Setup!$B$33:$B$40,0)),0)=1)*(COUNTIF(C958:E975,$B999)+COUNTIF(C958:E975,$B999&amp;" ~*")&gt;0)+(IFERROR(INDEX(Setup!$G$33:$G$40,MATCH(G999,Setup!$B$33:$B$40,0)),0)=1)*(COUNTIF(G958:I975,$B999)+COUNTIF(G958:I975,$B999&amp;" ~*")&gt;0)+(IFERROR(INDEX(Setup!$G$33:$G$40,MATCH(K999,Setup!$B$33:$B$40,0)),0)=1)*(COUNTIF(K958:M975,$B999)+COUNTIF(K958:M975,$B999&amp;" ~*")&gt;0)+(IFERROR(INDEX(Setup!$G$33:$G$40,MATCH(O999,Setup!$B$33:$B$40,0)),0)=1)*(COUNTIF(O958:Q975,$B999)+COUNTIF(O958:Q975,$B999&amp;" ~*")&gt;0)+(IFERROR(INDEX(Setup!$G$33:$G$40,MATCH(S999,Setup!$B$33:$B$40,0)),0)=1)*(COUNTIF(S958:U975,$B999)+COUNTIF(S958:U975,$B999&amp;" ~*")&gt;0)+(IFERROR(INDEX(Setup!$G$33:$G$40,MATCH(W999,Setup!$B$33:$B$40,0)),0)=1)*(COUNTIF(W958:W975,$B999)+COUNTIF(W958:W975,$B999&amp;" ~*")&gt;0)+(IFERROR(INDEX(Setup!$G$33:$G$40,MATCH(Y999,Setup!$B$33:$B$40,0)),0)=1)*(COUNTIF(Y958:Y975,$B999)+COUNTIF(Y958:Y975,$B999&amp;" ~*")&gt;0))</f>
        <v/>
      </c>
    </row>
    <row r="1000" ht="15" customHeight="1">
      <c r="A1000" t="n">
        <v>20</v>
      </c>
      <c r="B1000" s="37">
        <f>IF(Setup!$B$29="","",Setup!$B$29)</f>
        <v/>
      </c>
      <c r="C1000" s="102" t="n"/>
      <c r="D1000" s="103" t="n"/>
      <c r="E1000" s="103" t="n"/>
      <c r="F1000" s="104" t="n"/>
      <c r="G1000" s="102" t="n"/>
      <c r="H1000" s="103" t="n"/>
      <c r="I1000" s="103" t="n"/>
      <c r="J1000" s="104" t="n"/>
      <c r="K1000" s="102" t="n"/>
      <c r="L1000" s="103" t="n"/>
      <c r="M1000" s="103" t="n"/>
      <c r="N1000" s="104" t="n"/>
      <c r="O1000" s="102" t="n"/>
      <c r="P1000" s="103" t="n"/>
      <c r="Q1000" s="103" t="n"/>
      <c r="R1000" s="104" t="n"/>
      <c r="S1000" s="102" t="n"/>
      <c r="T1000" s="103" t="n"/>
      <c r="U1000" s="103" t="n"/>
      <c r="V1000" s="104" t="n"/>
      <c r="W1000" s="102" t="n"/>
      <c r="X1000" s="104" t="n"/>
      <c r="Y1000" s="102" t="n"/>
      <c r="Z1000" s="104" t="n"/>
      <c r="AB1000" s="105">
        <f>IF($B1000="","",(COUNTIF(C958:E975,$B1000)+COUNTIF(C958:E975,$B1000&amp;" ~*")&gt;0)+(COUNTIF(G958:I975,$B1000)+COUNTIF(G958:I975,$B1000&amp;" ~*")&gt;0)+(COUNTIF(K958:M975,$B1000)+COUNTIF(K958:M975,$B1000&amp;" ~*")&gt;0)+(COUNTIF(O958:Q975,$B1000)+COUNTIF(O958:Q975,$B1000&amp;" ~*")&gt;0)+(COUNTIF(S958:U975,$B1000)+COUNTIF(S958:U975,$B1000&amp;" ~*")&gt;0)+(COUNTIF(W958:W975,$B1000)+COUNTIF(W958:W975,$B1000&amp;" ~*")&gt;0)+(COUNTIF(Y958:Y975,$B1000)+COUNTIF(Y958:Y975,$B1000&amp;" ~*")&gt;0))</f>
        <v/>
      </c>
      <c r="AC1000" s="38">
        <f>IF($B1000="","",(IFERROR(INDEX(Setup!$G$33:$G$40,MATCH(C1000,Setup!$B$33:$B$40,0)),0)=1)*(COUNTIF(C958:E975,$B1000)+COUNTIF(C958:E975,$B1000&amp;" ~*")&gt;0)+(IFERROR(INDEX(Setup!$G$33:$G$40,MATCH(G1000,Setup!$B$33:$B$40,0)),0)=1)*(COUNTIF(G958:I975,$B1000)+COUNTIF(G958:I975,$B1000&amp;" ~*")&gt;0)+(IFERROR(INDEX(Setup!$G$33:$G$40,MATCH(K1000,Setup!$B$33:$B$40,0)),0)=1)*(COUNTIF(K958:M975,$B1000)+COUNTIF(K958:M975,$B1000&amp;" ~*")&gt;0)+(IFERROR(INDEX(Setup!$G$33:$G$40,MATCH(O1000,Setup!$B$33:$B$40,0)),0)=1)*(COUNTIF(O958:Q975,$B1000)+COUNTIF(O958:Q975,$B1000&amp;" ~*")&gt;0)+(IFERROR(INDEX(Setup!$G$33:$G$40,MATCH(S1000,Setup!$B$33:$B$40,0)),0)=1)*(COUNTIF(S958:U975,$B1000)+COUNTIF(S958:U975,$B1000&amp;" ~*")&gt;0)+(IFERROR(INDEX(Setup!$G$33:$G$40,MATCH(W1000,Setup!$B$33:$B$40,0)),0)=1)*(COUNTIF(W958:W975,$B1000)+COUNTIF(W958:W975,$B1000&amp;" ~*")&gt;0)+(IFERROR(INDEX(Setup!$G$33:$G$40,MATCH(Y1000,Setup!$B$33:$B$40,0)),0)=1)*(COUNTIF(Y958:Y975,$B1000)+COUNTIF(Y958:Y975,$B1000&amp;" ~*")&gt;0))</f>
        <v/>
      </c>
    </row>
    <row r="1001" ht="16" customHeight="1">
      <c r="A1001" t="n">
        <v>20</v>
      </c>
      <c r="B1001" s="106" t="inlineStr">
        <is>
          <t>Available people</t>
        </is>
      </c>
      <c r="C1001" s="107">
        <f>COUNTIFS(Setup!$E$6:$E$29,"Y",Setup!$B$6:$B$29,"?*")-SUMPRODUCT(COUNTIF(C977:C1000,Setup!$F$33:$F$40))</f>
        <v/>
      </c>
      <c r="D1001" s="107" t="n"/>
      <c r="E1001" s="107" t="n"/>
      <c r="F1001" s="107" t="n"/>
      <c r="G1001" s="107">
        <f>COUNTIFS(Setup!$E$6:$E$29,"Y",Setup!$B$6:$B$29,"?*")-SUMPRODUCT(COUNTIF(G977:G1000,Setup!$F$33:$F$40))</f>
        <v/>
      </c>
      <c r="H1001" s="107" t="n"/>
      <c r="I1001" s="107" t="n"/>
      <c r="J1001" s="107" t="n"/>
      <c r="K1001" s="107">
        <f>COUNTIFS(Setup!$E$6:$E$29,"Y",Setup!$B$6:$B$29,"?*")-SUMPRODUCT(COUNTIF(K977:K1000,Setup!$F$33:$F$40))</f>
        <v/>
      </c>
      <c r="L1001" s="107" t="n"/>
      <c r="M1001" s="107" t="n"/>
      <c r="N1001" s="107" t="n"/>
      <c r="O1001" s="107">
        <f>COUNTIFS(Setup!$E$6:$E$29,"Y",Setup!$B$6:$B$29,"?*")-SUMPRODUCT(COUNTIF(O977:O1000,Setup!$F$33:$F$40))</f>
        <v/>
      </c>
      <c r="P1001" s="107" t="n"/>
      <c r="Q1001" s="107" t="n"/>
      <c r="R1001" s="107" t="n"/>
      <c r="S1001" s="107">
        <f>COUNTIFS(Setup!$E$6:$E$29,"Y",Setup!$B$6:$B$29,"?*")-SUMPRODUCT(COUNTIF(S977:S1000,Setup!$F$33:$F$40))</f>
        <v/>
      </c>
      <c r="T1001" s="107" t="n"/>
      <c r="U1001" s="107" t="n"/>
      <c r="V1001" s="107" t="n"/>
      <c r="W1001" s="107">
        <f>COUNTIFS(Setup!$E$6:$E$29,"Y",Setup!$B$6:$B$29,"?*")-SUMPRODUCT(COUNTIF(W977:W1000,Setup!$F$33:$F$40))</f>
        <v/>
      </c>
      <c r="X1001" s="107" t="n"/>
      <c r="Y1001" s="107">
        <f>COUNTIFS(Setup!$E$6:$E$29,"Y",Setup!$B$6:$B$29,"?*")-SUMPRODUCT(COUNTIF(Y977:Y1000,Setup!$F$33:$F$40))</f>
        <v/>
      </c>
      <c r="Z1001" s="107" t="n"/>
      <c r="AB1001" s="108">
        <f>SUM(AB977:AB1000)</f>
        <v/>
      </c>
      <c r="AC1001" s="109">
        <f>SUM(AC977:AC1000)</f>
        <v/>
      </c>
    </row>
    <row r="1002" ht="30" customHeight="1">
      <c r="A1002" t="n">
        <v>20</v>
      </c>
      <c r="B1002" s="110" t="inlineStr">
        <is>
          <t>Week notes</t>
        </is>
      </c>
      <c r="C1002" s="111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112" t="n"/>
      <c r="R1002" s="112" t="n"/>
      <c r="S1002" s="112" t="n"/>
      <c r="T1002" s="112" t="n"/>
      <c r="U1002" s="112" t="n"/>
      <c r="V1002" s="112" t="n"/>
      <c r="W1002" s="112" t="n"/>
      <c r="X1002" s="112" t="n"/>
      <c r="Y1002" s="112" t="n"/>
      <c r="Z1002" s="113" t="n"/>
    </row>
    <row r="1003" ht="8" customHeight="1">
      <c r="A1003" t="n">
        <v>20</v>
      </c>
    </row>
    <row r="1004" ht="8" customHeight="1">
      <c r="A1004" t="n">
        <v>20</v>
      </c>
    </row>
    <row r="1005" ht="24" customHeight="1">
      <c r="A1005" t="n">
        <v>21</v>
      </c>
      <c r="B1005" s="73">
        <f>"WEEK 21     "&amp;TEXT(C1006,"ddd d mmm")&amp;"  –  "&amp;TEXT(C1006+6,"ddd d mmm yyyy")</f>
        <v/>
      </c>
      <c r="S1005" s="74">
        <f>IF(TODAY()&lt;C1006,"FUTURE",IF(TODAY()&gt;C1006+6,"PAST","THIS WEEK"))</f>
        <v/>
      </c>
      <c r="W1005" s="75">
        <f>IF(AND(Engine!$B$8=$AC$3,Engine!$B$9=$A1005),"◀ ACTIVE WEEK","")</f>
        <v/>
      </c>
      <c r="AA1005" s="76" t="n"/>
      <c r="AB1005" s="77" t="inlineStr">
        <is>
          <t>◀ Prev</t>
        </is>
      </c>
      <c r="AC1005" s="77" t="inlineStr">
        <is>
          <t>Next ▶</t>
        </is>
      </c>
    </row>
    <row r="1006" ht="18" customHeight="1">
      <c r="A1006" t="n">
        <v>21</v>
      </c>
      <c r="B1006" s="78" t="inlineStr">
        <is>
          <t>DUTY</t>
        </is>
      </c>
      <c r="C1006" s="79">
        <f>$AC$2+7*($A1006-1)</f>
        <v/>
      </c>
      <c r="D1006" s="80" t="n"/>
      <c r="E1006" s="80" t="n"/>
      <c r="F1006" s="81" t="n"/>
      <c r="G1006" s="79">
        <f>C1006+1</f>
        <v/>
      </c>
      <c r="H1006" s="80" t="n"/>
      <c r="I1006" s="80" t="n"/>
      <c r="J1006" s="81" t="n"/>
      <c r="K1006" s="79">
        <f>C1006+2</f>
        <v/>
      </c>
      <c r="L1006" s="80" t="n"/>
      <c r="M1006" s="80" t="n"/>
      <c r="N1006" s="81" t="n"/>
      <c r="O1006" s="79">
        <f>C1006+3</f>
        <v/>
      </c>
      <c r="P1006" s="80" t="n"/>
      <c r="Q1006" s="80" t="n"/>
      <c r="R1006" s="81" t="n"/>
      <c r="S1006" s="79">
        <f>C1006+4</f>
        <v/>
      </c>
      <c r="T1006" s="80" t="n"/>
      <c r="U1006" s="80" t="n"/>
      <c r="V1006" s="81" t="n"/>
      <c r="W1006" s="82">
        <f>C1006+5</f>
        <v/>
      </c>
      <c r="X1006" s="83" t="n"/>
      <c r="Y1006" s="82">
        <f>C1006+6</f>
        <v/>
      </c>
      <c r="Z1006" s="83" t="n"/>
      <c r="AB1006" s="72" t="inlineStr">
        <is>
          <t>Gaps</t>
        </is>
      </c>
      <c r="AC1006" s="72" t="inlineStr">
        <is>
          <t>Cover</t>
        </is>
      </c>
    </row>
    <row r="1007" ht="14" customHeight="1">
      <c r="A1007" t="n">
        <v>21</v>
      </c>
      <c r="B1007" s="84" t="inlineStr">
        <is>
          <t>(from Setup)</t>
        </is>
      </c>
      <c r="C1007" s="85" t="inlineStr">
        <is>
          <t>1</t>
        </is>
      </c>
      <c r="D1007" s="85" t="inlineStr">
        <is>
          <t>2</t>
        </is>
      </c>
      <c r="E1007" s="85" t="inlineStr">
        <is>
          <t>3</t>
        </is>
      </c>
      <c r="F1007" s="85" t="inlineStr">
        <is>
          <t>Notes</t>
        </is>
      </c>
      <c r="G1007" s="85" t="inlineStr">
        <is>
          <t>1</t>
        </is>
      </c>
      <c r="H1007" s="85" t="inlineStr">
        <is>
          <t>2</t>
        </is>
      </c>
      <c r="I1007" s="85" t="inlineStr">
        <is>
          <t>3</t>
        </is>
      </c>
      <c r="J1007" s="85" t="inlineStr">
        <is>
          <t>Notes</t>
        </is>
      </c>
      <c r="K1007" s="85" t="inlineStr">
        <is>
          <t>1</t>
        </is>
      </c>
      <c r="L1007" s="85" t="inlineStr">
        <is>
          <t>2</t>
        </is>
      </c>
      <c r="M1007" s="85" t="inlineStr">
        <is>
          <t>3</t>
        </is>
      </c>
      <c r="N1007" s="85" t="inlineStr">
        <is>
          <t>Notes</t>
        </is>
      </c>
      <c r="O1007" s="85" t="inlineStr">
        <is>
          <t>1</t>
        </is>
      </c>
      <c r="P1007" s="85" t="inlineStr">
        <is>
          <t>2</t>
        </is>
      </c>
      <c r="Q1007" s="85" t="inlineStr">
        <is>
          <t>3</t>
        </is>
      </c>
      <c r="R1007" s="85" t="inlineStr">
        <is>
          <t>Notes</t>
        </is>
      </c>
      <c r="S1007" s="85" t="inlineStr">
        <is>
          <t>1</t>
        </is>
      </c>
      <c r="T1007" s="85" t="inlineStr">
        <is>
          <t>2</t>
        </is>
      </c>
      <c r="U1007" s="85" t="inlineStr">
        <is>
          <t>3</t>
        </is>
      </c>
      <c r="V1007" s="85" t="inlineStr">
        <is>
          <t>Notes</t>
        </is>
      </c>
      <c r="W1007" s="85" t="inlineStr">
        <is>
          <t>Cover</t>
        </is>
      </c>
      <c r="X1007" s="85" t="inlineStr">
        <is>
          <t>Notes</t>
        </is>
      </c>
      <c r="Y1007" s="85" t="inlineStr">
        <is>
          <t>Cover</t>
        </is>
      </c>
      <c r="Z1007" s="85" t="inlineStr">
        <is>
          <t>Notes</t>
        </is>
      </c>
      <c r="AB1007" s="86" t="inlineStr">
        <is>
          <t>weekdays short</t>
        </is>
      </c>
      <c r="AC1007" s="87" t="inlineStr"/>
    </row>
    <row r="1008" ht="17" customHeight="1">
      <c r="A1008" t="n">
        <v>21</v>
      </c>
      <c r="B1008" s="24">
        <f>IF(Setup!$K$6="","",Setup!$K$6)</f>
        <v/>
      </c>
      <c r="C1008" s="88" t="n"/>
      <c r="D1008" s="88" t="n"/>
      <c r="E1008" s="88" t="n"/>
      <c r="F1008" s="89" t="n"/>
      <c r="G1008" s="88" t="n"/>
      <c r="H1008" s="88" t="n"/>
      <c r="I1008" s="88" t="n"/>
      <c r="J1008" s="89" t="n"/>
      <c r="K1008" s="88" t="n"/>
      <c r="L1008" s="88" t="n"/>
      <c r="M1008" s="88" t="n"/>
      <c r="N1008" s="89" t="n"/>
      <c r="O1008" s="88" t="n"/>
      <c r="P1008" s="88" t="n"/>
      <c r="Q1008" s="88" t="n"/>
      <c r="R1008" s="89" t="n"/>
      <c r="S1008" s="88" t="n"/>
      <c r="T1008" s="88" t="n"/>
      <c r="U1008" s="88" t="n"/>
      <c r="V1008" s="89" t="n"/>
      <c r="W1008" s="88" t="n"/>
      <c r="X1008" s="89" t="n"/>
      <c r="Y1008" s="88" t="n"/>
      <c r="Z1008" s="89" t="n"/>
      <c r="AB1008" s="25">
        <f>IF($B1008="","",(COUNTIF(C1008:E1008,"?*")&lt;N(INDEX(Setup!$L$6:$L$23,1)))+(COUNTIF(G1008:I1008,"?*")&lt;N(INDEX(Setup!$L$6:$L$23,1)))+(COUNTIF(K1008:M1008,"?*")&lt;N(INDEX(Setup!$L$6:$L$23,1)))+(COUNTIF(O1008:Q1008,"?*")&lt;N(INDEX(Setup!$L$6:$L$23,1)))+(COUNTIF(S1008:U1008,"?*")&lt;N(INDEX(Setup!$L$6:$L$23,1)))+((W1008="")*(INDEX(Setup!$M$6:$M$23,1)="Y"))+((Y1008="")*(INDEX(Setup!$M$6:$M$23,1)="Y")))</f>
        <v/>
      </c>
      <c r="AC1008" s="90">
        <f>IF($B1008="","",IF(AB1008=0,"✓ covered","⚠ "&amp;AB1008&amp;IF(AB1008=1," gap"," gaps")))</f>
        <v/>
      </c>
    </row>
    <row r="1009" ht="17" customHeight="1">
      <c r="A1009" t="n">
        <v>21</v>
      </c>
      <c r="B1009" s="29">
        <f>IF(Setup!$K$7="","",Setup!$K$7)</f>
        <v/>
      </c>
      <c r="C1009" s="88" t="n"/>
      <c r="D1009" s="88" t="n"/>
      <c r="E1009" s="88" t="n"/>
      <c r="F1009" s="89" t="n"/>
      <c r="G1009" s="88" t="n"/>
      <c r="H1009" s="88" t="n"/>
      <c r="I1009" s="88" t="n"/>
      <c r="J1009" s="89" t="n"/>
      <c r="K1009" s="88" t="n"/>
      <c r="L1009" s="88" t="n"/>
      <c r="M1009" s="88" t="n"/>
      <c r="N1009" s="89" t="n"/>
      <c r="O1009" s="88" t="n"/>
      <c r="P1009" s="88" t="n"/>
      <c r="Q1009" s="88" t="n"/>
      <c r="R1009" s="89" t="n"/>
      <c r="S1009" s="88" t="n"/>
      <c r="T1009" s="88" t="n"/>
      <c r="U1009" s="88" t="n"/>
      <c r="V1009" s="89" t="n"/>
      <c r="W1009" s="88" t="n"/>
      <c r="X1009" s="89" t="n"/>
      <c r="Y1009" s="88" t="n"/>
      <c r="Z1009" s="89" t="n"/>
      <c r="AB1009" s="30">
        <f>IF($B1009="","",(COUNTIF(C1009:E1009,"?*")&lt;N(INDEX(Setup!$L$6:$L$23,2)))+(COUNTIF(G1009:I1009,"?*")&lt;N(INDEX(Setup!$L$6:$L$23,2)))+(COUNTIF(K1009:M1009,"?*")&lt;N(INDEX(Setup!$L$6:$L$23,2)))+(COUNTIF(O1009:Q1009,"?*")&lt;N(INDEX(Setup!$L$6:$L$23,2)))+(COUNTIF(S1009:U1009,"?*")&lt;N(INDEX(Setup!$L$6:$L$23,2)))+((W1009="")*(INDEX(Setup!$M$6:$M$23,2)="Y"))+((Y1009="")*(INDEX(Setup!$M$6:$M$23,2)="Y")))</f>
        <v/>
      </c>
      <c r="AC1009" s="91">
        <f>IF($B1009="","",IF(AB1009=0,"✓ covered","⚠ "&amp;AB1009&amp;IF(AB1009=1," gap"," gaps")))</f>
        <v/>
      </c>
    </row>
    <row r="1010" ht="17" customHeight="1">
      <c r="A1010" t="n">
        <v>21</v>
      </c>
      <c r="B1010" s="24">
        <f>IF(Setup!$K$8="","",Setup!$K$8)</f>
        <v/>
      </c>
      <c r="C1010" s="88" t="n"/>
      <c r="D1010" s="88" t="n"/>
      <c r="E1010" s="88" t="n"/>
      <c r="F1010" s="89" t="n"/>
      <c r="G1010" s="88" t="n"/>
      <c r="H1010" s="88" t="n"/>
      <c r="I1010" s="88" t="n"/>
      <c r="J1010" s="89" t="n"/>
      <c r="K1010" s="88" t="n"/>
      <c r="L1010" s="88" t="n"/>
      <c r="M1010" s="88" t="n"/>
      <c r="N1010" s="89" t="n"/>
      <c r="O1010" s="88" t="n"/>
      <c r="P1010" s="88" t="n"/>
      <c r="Q1010" s="88" t="n"/>
      <c r="R1010" s="89" t="n"/>
      <c r="S1010" s="88" t="n"/>
      <c r="T1010" s="88" t="n"/>
      <c r="U1010" s="88" t="n"/>
      <c r="V1010" s="89" t="n"/>
      <c r="W1010" s="88" t="n"/>
      <c r="X1010" s="89" t="n"/>
      <c r="Y1010" s="88" t="n"/>
      <c r="Z1010" s="89" t="n"/>
      <c r="AB1010" s="25">
        <f>IF($B1010="","",(COUNTIF(C1010:E1010,"?*")&lt;N(INDEX(Setup!$L$6:$L$23,3)))+(COUNTIF(G1010:I1010,"?*")&lt;N(INDEX(Setup!$L$6:$L$23,3)))+(COUNTIF(K1010:M1010,"?*")&lt;N(INDEX(Setup!$L$6:$L$23,3)))+(COUNTIF(O1010:Q1010,"?*")&lt;N(INDEX(Setup!$L$6:$L$23,3)))+(COUNTIF(S1010:U1010,"?*")&lt;N(INDEX(Setup!$L$6:$L$23,3)))+((W1010="")*(INDEX(Setup!$M$6:$M$23,3)="Y"))+((Y1010="")*(INDEX(Setup!$M$6:$M$23,3)="Y")))</f>
        <v/>
      </c>
      <c r="AC1010" s="90">
        <f>IF($B1010="","",IF(AB1010=0,"✓ covered","⚠ "&amp;AB1010&amp;IF(AB1010=1," gap"," gaps")))</f>
        <v/>
      </c>
    </row>
    <row r="1011" ht="17" customHeight="1">
      <c r="A1011" t="n">
        <v>21</v>
      </c>
      <c r="B1011" s="29">
        <f>IF(Setup!$K$9="","",Setup!$K$9)</f>
        <v/>
      </c>
      <c r="C1011" s="88" t="n"/>
      <c r="D1011" s="88" t="n"/>
      <c r="E1011" s="88" t="n"/>
      <c r="F1011" s="89" t="n"/>
      <c r="G1011" s="88" t="n"/>
      <c r="H1011" s="88" t="n"/>
      <c r="I1011" s="88" t="n"/>
      <c r="J1011" s="89" t="n"/>
      <c r="K1011" s="88" t="n"/>
      <c r="L1011" s="88" t="n"/>
      <c r="M1011" s="88" t="n"/>
      <c r="N1011" s="89" t="n"/>
      <c r="O1011" s="88" t="n"/>
      <c r="P1011" s="88" t="n"/>
      <c r="Q1011" s="88" t="n"/>
      <c r="R1011" s="89" t="n"/>
      <c r="S1011" s="88" t="n"/>
      <c r="T1011" s="88" t="n"/>
      <c r="U1011" s="88" t="n"/>
      <c r="V1011" s="89" t="n"/>
      <c r="W1011" s="88" t="n"/>
      <c r="X1011" s="89" t="n"/>
      <c r="Y1011" s="88" t="n"/>
      <c r="Z1011" s="89" t="n"/>
      <c r="AB1011" s="30">
        <f>IF($B1011="","",(COUNTIF(C1011:E1011,"?*")&lt;N(INDEX(Setup!$L$6:$L$23,4)))+(COUNTIF(G1011:I1011,"?*")&lt;N(INDEX(Setup!$L$6:$L$23,4)))+(COUNTIF(K1011:M1011,"?*")&lt;N(INDEX(Setup!$L$6:$L$23,4)))+(COUNTIF(O1011:Q1011,"?*")&lt;N(INDEX(Setup!$L$6:$L$23,4)))+(COUNTIF(S1011:U1011,"?*")&lt;N(INDEX(Setup!$L$6:$L$23,4)))+((W1011="")*(INDEX(Setup!$M$6:$M$23,4)="Y"))+((Y1011="")*(INDEX(Setup!$M$6:$M$23,4)="Y")))</f>
        <v/>
      </c>
      <c r="AC1011" s="91">
        <f>IF($B1011="","",IF(AB1011=0,"✓ covered","⚠ "&amp;AB1011&amp;IF(AB1011=1," gap"," gaps")))</f>
        <v/>
      </c>
    </row>
    <row r="1012" ht="17" customHeight="1">
      <c r="A1012" t="n">
        <v>21</v>
      </c>
      <c r="B1012" s="24">
        <f>IF(Setup!$K$10="","",Setup!$K$10)</f>
        <v/>
      </c>
      <c r="C1012" s="88" t="n"/>
      <c r="D1012" s="88" t="n"/>
      <c r="E1012" s="88" t="n"/>
      <c r="F1012" s="89" t="n"/>
      <c r="G1012" s="88" t="n"/>
      <c r="H1012" s="88" t="n"/>
      <c r="I1012" s="88" t="n"/>
      <c r="J1012" s="89" t="n"/>
      <c r="K1012" s="88" t="n"/>
      <c r="L1012" s="88" t="n"/>
      <c r="M1012" s="88" t="n"/>
      <c r="N1012" s="89" t="n"/>
      <c r="O1012" s="88" t="n"/>
      <c r="P1012" s="88" t="n"/>
      <c r="Q1012" s="88" t="n"/>
      <c r="R1012" s="89" t="n"/>
      <c r="S1012" s="88" t="n"/>
      <c r="T1012" s="88" t="n"/>
      <c r="U1012" s="88" t="n"/>
      <c r="V1012" s="89" t="n"/>
      <c r="W1012" s="88" t="n"/>
      <c r="X1012" s="89" t="n"/>
      <c r="Y1012" s="88" t="n"/>
      <c r="Z1012" s="89" t="n"/>
      <c r="AB1012" s="25">
        <f>IF($B1012="","",(COUNTIF(C1012:E1012,"?*")&lt;N(INDEX(Setup!$L$6:$L$23,5)))+(COUNTIF(G1012:I1012,"?*")&lt;N(INDEX(Setup!$L$6:$L$23,5)))+(COUNTIF(K1012:M1012,"?*")&lt;N(INDEX(Setup!$L$6:$L$23,5)))+(COUNTIF(O1012:Q1012,"?*")&lt;N(INDEX(Setup!$L$6:$L$23,5)))+(COUNTIF(S1012:U1012,"?*")&lt;N(INDEX(Setup!$L$6:$L$23,5)))+((W1012="")*(INDEX(Setup!$M$6:$M$23,5)="Y"))+((Y1012="")*(INDEX(Setup!$M$6:$M$23,5)="Y")))</f>
        <v/>
      </c>
      <c r="AC1012" s="90">
        <f>IF($B1012="","",IF(AB1012=0,"✓ covered","⚠ "&amp;AB1012&amp;IF(AB1012=1," gap"," gaps")))</f>
        <v/>
      </c>
    </row>
    <row r="1013" ht="17" customHeight="1">
      <c r="A1013" t="n">
        <v>21</v>
      </c>
      <c r="B1013" s="29">
        <f>IF(Setup!$K$11="","",Setup!$K$11)</f>
        <v/>
      </c>
      <c r="C1013" s="88" t="n"/>
      <c r="D1013" s="88" t="n"/>
      <c r="E1013" s="88" t="n"/>
      <c r="F1013" s="89" t="n"/>
      <c r="G1013" s="88" t="n"/>
      <c r="H1013" s="88" t="n"/>
      <c r="I1013" s="88" t="n"/>
      <c r="J1013" s="89" t="n"/>
      <c r="K1013" s="88" t="n"/>
      <c r="L1013" s="88" t="n"/>
      <c r="M1013" s="88" t="n"/>
      <c r="N1013" s="89" t="n"/>
      <c r="O1013" s="88" t="n"/>
      <c r="P1013" s="88" t="n"/>
      <c r="Q1013" s="88" t="n"/>
      <c r="R1013" s="89" t="n"/>
      <c r="S1013" s="88" t="n"/>
      <c r="T1013" s="88" t="n"/>
      <c r="U1013" s="88" t="n"/>
      <c r="V1013" s="89" t="n"/>
      <c r="W1013" s="88" t="n"/>
      <c r="X1013" s="89" t="n"/>
      <c r="Y1013" s="88" t="n"/>
      <c r="Z1013" s="89" t="n"/>
      <c r="AB1013" s="30">
        <f>IF($B1013="","",(COUNTIF(C1013:E1013,"?*")&lt;N(INDEX(Setup!$L$6:$L$23,6)))+(COUNTIF(G1013:I1013,"?*")&lt;N(INDEX(Setup!$L$6:$L$23,6)))+(COUNTIF(K1013:M1013,"?*")&lt;N(INDEX(Setup!$L$6:$L$23,6)))+(COUNTIF(O1013:Q1013,"?*")&lt;N(INDEX(Setup!$L$6:$L$23,6)))+(COUNTIF(S1013:U1013,"?*")&lt;N(INDEX(Setup!$L$6:$L$23,6)))+((W1013="")*(INDEX(Setup!$M$6:$M$23,6)="Y"))+((Y1013="")*(INDEX(Setup!$M$6:$M$23,6)="Y")))</f>
        <v/>
      </c>
      <c r="AC1013" s="91">
        <f>IF($B1013="","",IF(AB1013=0,"✓ covered","⚠ "&amp;AB1013&amp;IF(AB1013=1," gap"," gaps")))</f>
        <v/>
      </c>
    </row>
    <row r="1014" ht="17" customHeight="1">
      <c r="A1014" t="n">
        <v>21</v>
      </c>
      <c r="B1014" s="24">
        <f>IF(Setup!$K$12="","",Setup!$K$12)</f>
        <v/>
      </c>
      <c r="C1014" s="88" t="n"/>
      <c r="D1014" s="88" t="n"/>
      <c r="E1014" s="88" t="n"/>
      <c r="F1014" s="89" t="n"/>
      <c r="G1014" s="88" t="n"/>
      <c r="H1014" s="88" t="n"/>
      <c r="I1014" s="88" t="n"/>
      <c r="J1014" s="89" t="n"/>
      <c r="K1014" s="88" t="n"/>
      <c r="L1014" s="88" t="n"/>
      <c r="M1014" s="88" t="n"/>
      <c r="N1014" s="89" t="n"/>
      <c r="O1014" s="88" t="n"/>
      <c r="P1014" s="88" t="n"/>
      <c r="Q1014" s="88" t="n"/>
      <c r="R1014" s="89" t="n"/>
      <c r="S1014" s="88" t="n"/>
      <c r="T1014" s="88" t="n"/>
      <c r="U1014" s="88" t="n"/>
      <c r="V1014" s="89" t="n"/>
      <c r="W1014" s="88" t="n"/>
      <c r="X1014" s="89" t="n"/>
      <c r="Y1014" s="88" t="n"/>
      <c r="Z1014" s="89" t="n"/>
      <c r="AB1014" s="25">
        <f>IF($B1014="","",(COUNTIF(C1014:E1014,"?*")&lt;N(INDEX(Setup!$L$6:$L$23,7)))+(COUNTIF(G1014:I1014,"?*")&lt;N(INDEX(Setup!$L$6:$L$23,7)))+(COUNTIF(K1014:M1014,"?*")&lt;N(INDEX(Setup!$L$6:$L$23,7)))+(COUNTIF(O1014:Q1014,"?*")&lt;N(INDEX(Setup!$L$6:$L$23,7)))+(COUNTIF(S1014:U1014,"?*")&lt;N(INDEX(Setup!$L$6:$L$23,7)))+((W1014="")*(INDEX(Setup!$M$6:$M$23,7)="Y"))+((Y1014="")*(INDEX(Setup!$M$6:$M$23,7)="Y")))</f>
        <v/>
      </c>
      <c r="AC1014" s="90">
        <f>IF($B1014="","",IF(AB1014=0,"✓ covered","⚠ "&amp;AB1014&amp;IF(AB1014=1," gap"," gaps")))</f>
        <v/>
      </c>
    </row>
    <row r="1015" ht="17" customHeight="1">
      <c r="A1015" t="n">
        <v>21</v>
      </c>
      <c r="B1015" s="29">
        <f>IF(Setup!$K$13="","",Setup!$K$13)</f>
        <v/>
      </c>
      <c r="C1015" s="88" t="n"/>
      <c r="D1015" s="88" t="n"/>
      <c r="E1015" s="88" t="n"/>
      <c r="F1015" s="89" t="n"/>
      <c r="G1015" s="88" t="n"/>
      <c r="H1015" s="88" t="n"/>
      <c r="I1015" s="88" t="n"/>
      <c r="J1015" s="89" t="n"/>
      <c r="K1015" s="88" t="n"/>
      <c r="L1015" s="88" t="n"/>
      <c r="M1015" s="88" t="n"/>
      <c r="N1015" s="89" t="n"/>
      <c r="O1015" s="88" t="n"/>
      <c r="P1015" s="88" t="n"/>
      <c r="Q1015" s="88" t="n"/>
      <c r="R1015" s="89" t="n"/>
      <c r="S1015" s="88" t="n"/>
      <c r="T1015" s="88" t="n"/>
      <c r="U1015" s="88" t="n"/>
      <c r="V1015" s="89" t="n"/>
      <c r="W1015" s="88" t="n"/>
      <c r="X1015" s="89" t="n"/>
      <c r="Y1015" s="88" t="n"/>
      <c r="Z1015" s="89" t="n"/>
      <c r="AB1015" s="30">
        <f>IF($B1015="","",(COUNTIF(C1015:E1015,"?*")&lt;N(INDEX(Setup!$L$6:$L$23,8)))+(COUNTIF(G1015:I1015,"?*")&lt;N(INDEX(Setup!$L$6:$L$23,8)))+(COUNTIF(K1015:M1015,"?*")&lt;N(INDEX(Setup!$L$6:$L$23,8)))+(COUNTIF(O1015:Q1015,"?*")&lt;N(INDEX(Setup!$L$6:$L$23,8)))+(COUNTIF(S1015:U1015,"?*")&lt;N(INDEX(Setup!$L$6:$L$23,8)))+((W1015="")*(INDEX(Setup!$M$6:$M$23,8)="Y"))+((Y1015="")*(INDEX(Setup!$M$6:$M$23,8)="Y")))</f>
        <v/>
      </c>
      <c r="AC1015" s="91">
        <f>IF($B1015="","",IF(AB1015=0,"✓ covered","⚠ "&amp;AB1015&amp;IF(AB1015=1," gap"," gaps")))</f>
        <v/>
      </c>
    </row>
    <row r="1016" ht="17" customHeight="1">
      <c r="A1016" t="n">
        <v>21</v>
      </c>
      <c r="B1016" s="24">
        <f>IF(Setup!$K$14="","",Setup!$K$14)</f>
        <v/>
      </c>
      <c r="C1016" s="88" t="n"/>
      <c r="D1016" s="88" t="n"/>
      <c r="E1016" s="88" t="n"/>
      <c r="F1016" s="89" t="n"/>
      <c r="G1016" s="88" t="n"/>
      <c r="H1016" s="88" t="n"/>
      <c r="I1016" s="88" t="n"/>
      <c r="J1016" s="89" t="n"/>
      <c r="K1016" s="88" t="n"/>
      <c r="L1016" s="88" t="n"/>
      <c r="M1016" s="88" t="n"/>
      <c r="N1016" s="89" t="n"/>
      <c r="O1016" s="88" t="n"/>
      <c r="P1016" s="88" t="n"/>
      <c r="Q1016" s="88" t="n"/>
      <c r="R1016" s="89" t="n"/>
      <c r="S1016" s="88" t="n"/>
      <c r="T1016" s="88" t="n"/>
      <c r="U1016" s="88" t="n"/>
      <c r="V1016" s="89" t="n"/>
      <c r="W1016" s="88" t="n"/>
      <c r="X1016" s="89" t="n"/>
      <c r="Y1016" s="88" t="n"/>
      <c r="Z1016" s="89" t="n"/>
      <c r="AB1016" s="25">
        <f>IF($B1016="","",(COUNTIF(C1016:E1016,"?*")&lt;N(INDEX(Setup!$L$6:$L$23,9)))+(COUNTIF(G1016:I1016,"?*")&lt;N(INDEX(Setup!$L$6:$L$23,9)))+(COUNTIF(K1016:M1016,"?*")&lt;N(INDEX(Setup!$L$6:$L$23,9)))+(COUNTIF(O1016:Q1016,"?*")&lt;N(INDEX(Setup!$L$6:$L$23,9)))+(COUNTIF(S1016:U1016,"?*")&lt;N(INDEX(Setup!$L$6:$L$23,9)))+((W1016="")*(INDEX(Setup!$M$6:$M$23,9)="Y"))+((Y1016="")*(INDEX(Setup!$M$6:$M$23,9)="Y")))</f>
        <v/>
      </c>
      <c r="AC1016" s="90">
        <f>IF($B1016="","",IF(AB1016=0,"✓ covered","⚠ "&amp;AB1016&amp;IF(AB1016=1," gap"," gaps")))</f>
        <v/>
      </c>
    </row>
    <row r="1017" ht="17" customHeight="1">
      <c r="A1017" t="n">
        <v>21</v>
      </c>
      <c r="B1017" s="29">
        <f>IF(Setup!$K$15="","",Setup!$K$15)</f>
        <v/>
      </c>
      <c r="C1017" s="88" t="n"/>
      <c r="D1017" s="88" t="n"/>
      <c r="E1017" s="88" t="n"/>
      <c r="F1017" s="89" t="n"/>
      <c r="G1017" s="88" t="n"/>
      <c r="H1017" s="88" t="n"/>
      <c r="I1017" s="88" t="n"/>
      <c r="J1017" s="89" t="n"/>
      <c r="K1017" s="88" t="n"/>
      <c r="L1017" s="88" t="n"/>
      <c r="M1017" s="88" t="n"/>
      <c r="N1017" s="89" t="n"/>
      <c r="O1017" s="88" t="n"/>
      <c r="P1017" s="88" t="n"/>
      <c r="Q1017" s="88" t="n"/>
      <c r="R1017" s="89" t="n"/>
      <c r="S1017" s="88" t="n"/>
      <c r="T1017" s="88" t="n"/>
      <c r="U1017" s="88" t="n"/>
      <c r="V1017" s="89" t="n"/>
      <c r="W1017" s="88" t="n"/>
      <c r="X1017" s="89" t="n"/>
      <c r="Y1017" s="88" t="n"/>
      <c r="Z1017" s="89" t="n"/>
      <c r="AB1017" s="30">
        <f>IF($B1017="","",(COUNTIF(C1017:E1017,"?*")&lt;N(INDEX(Setup!$L$6:$L$23,10)))+(COUNTIF(G1017:I1017,"?*")&lt;N(INDEX(Setup!$L$6:$L$23,10)))+(COUNTIF(K1017:M1017,"?*")&lt;N(INDEX(Setup!$L$6:$L$23,10)))+(COUNTIF(O1017:Q1017,"?*")&lt;N(INDEX(Setup!$L$6:$L$23,10)))+(COUNTIF(S1017:U1017,"?*")&lt;N(INDEX(Setup!$L$6:$L$23,10)))+((W1017="")*(INDEX(Setup!$M$6:$M$23,10)="Y"))+((Y1017="")*(INDEX(Setup!$M$6:$M$23,10)="Y")))</f>
        <v/>
      </c>
      <c r="AC1017" s="91">
        <f>IF($B1017="","",IF(AB1017=0,"✓ covered","⚠ "&amp;AB1017&amp;IF(AB1017=1," gap"," gaps")))</f>
        <v/>
      </c>
    </row>
    <row r="1018" ht="17" customHeight="1">
      <c r="A1018" t="n">
        <v>21</v>
      </c>
      <c r="B1018" s="24">
        <f>IF(Setup!$K$16="","",Setup!$K$16)</f>
        <v/>
      </c>
      <c r="C1018" s="88" t="n"/>
      <c r="D1018" s="88" t="n"/>
      <c r="E1018" s="88" t="n"/>
      <c r="F1018" s="89" t="n"/>
      <c r="G1018" s="88" t="n"/>
      <c r="H1018" s="88" t="n"/>
      <c r="I1018" s="88" t="n"/>
      <c r="J1018" s="89" t="n"/>
      <c r="K1018" s="88" t="n"/>
      <c r="L1018" s="88" t="n"/>
      <c r="M1018" s="88" t="n"/>
      <c r="N1018" s="89" t="n"/>
      <c r="O1018" s="88" t="n"/>
      <c r="P1018" s="88" t="n"/>
      <c r="Q1018" s="88" t="n"/>
      <c r="R1018" s="89" t="n"/>
      <c r="S1018" s="88" t="n"/>
      <c r="T1018" s="88" t="n"/>
      <c r="U1018" s="88" t="n"/>
      <c r="V1018" s="89" t="n"/>
      <c r="W1018" s="88" t="n"/>
      <c r="X1018" s="89" t="n"/>
      <c r="Y1018" s="88" t="n"/>
      <c r="Z1018" s="89" t="n"/>
      <c r="AB1018" s="25">
        <f>IF($B1018="","",(COUNTIF(C1018:E1018,"?*")&lt;N(INDEX(Setup!$L$6:$L$23,11)))+(COUNTIF(G1018:I1018,"?*")&lt;N(INDEX(Setup!$L$6:$L$23,11)))+(COUNTIF(K1018:M1018,"?*")&lt;N(INDEX(Setup!$L$6:$L$23,11)))+(COUNTIF(O1018:Q1018,"?*")&lt;N(INDEX(Setup!$L$6:$L$23,11)))+(COUNTIF(S1018:U1018,"?*")&lt;N(INDEX(Setup!$L$6:$L$23,11)))+((W1018="")*(INDEX(Setup!$M$6:$M$23,11)="Y"))+((Y1018="")*(INDEX(Setup!$M$6:$M$23,11)="Y")))</f>
        <v/>
      </c>
      <c r="AC1018" s="90">
        <f>IF($B1018="","",IF(AB1018=0,"✓ covered","⚠ "&amp;AB1018&amp;IF(AB1018=1," gap"," gaps")))</f>
        <v/>
      </c>
    </row>
    <row r="1019" ht="17" customHeight="1">
      <c r="A1019" t="n">
        <v>21</v>
      </c>
      <c r="B1019" s="29">
        <f>IF(Setup!$K$17="","",Setup!$K$17)</f>
        <v/>
      </c>
      <c r="C1019" s="88" t="n"/>
      <c r="D1019" s="88" t="n"/>
      <c r="E1019" s="88" t="n"/>
      <c r="F1019" s="89" t="n"/>
      <c r="G1019" s="88" t="n"/>
      <c r="H1019" s="88" t="n"/>
      <c r="I1019" s="88" t="n"/>
      <c r="J1019" s="89" t="n"/>
      <c r="K1019" s="88" t="n"/>
      <c r="L1019" s="88" t="n"/>
      <c r="M1019" s="88" t="n"/>
      <c r="N1019" s="89" t="n"/>
      <c r="O1019" s="88" t="n"/>
      <c r="P1019" s="88" t="n"/>
      <c r="Q1019" s="88" t="n"/>
      <c r="R1019" s="89" t="n"/>
      <c r="S1019" s="88" t="n"/>
      <c r="T1019" s="88" t="n"/>
      <c r="U1019" s="88" t="n"/>
      <c r="V1019" s="89" t="n"/>
      <c r="W1019" s="88" t="n"/>
      <c r="X1019" s="89" t="n"/>
      <c r="Y1019" s="88" t="n"/>
      <c r="Z1019" s="89" t="n"/>
      <c r="AB1019" s="30">
        <f>IF($B1019="","",(COUNTIF(C1019:E1019,"?*")&lt;N(INDEX(Setup!$L$6:$L$23,12)))+(COUNTIF(G1019:I1019,"?*")&lt;N(INDEX(Setup!$L$6:$L$23,12)))+(COUNTIF(K1019:M1019,"?*")&lt;N(INDEX(Setup!$L$6:$L$23,12)))+(COUNTIF(O1019:Q1019,"?*")&lt;N(INDEX(Setup!$L$6:$L$23,12)))+(COUNTIF(S1019:U1019,"?*")&lt;N(INDEX(Setup!$L$6:$L$23,12)))+((W1019="")*(INDEX(Setup!$M$6:$M$23,12)="Y"))+((Y1019="")*(INDEX(Setup!$M$6:$M$23,12)="Y")))</f>
        <v/>
      </c>
      <c r="AC1019" s="91">
        <f>IF($B1019="","",IF(AB1019=0,"✓ covered","⚠ "&amp;AB1019&amp;IF(AB1019=1," gap"," gaps")))</f>
        <v/>
      </c>
    </row>
    <row r="1020" ht="17" customHeight="1">
      <c r="A1020" t="n">
        <v>21</v>
      </c>
      <c r="B1020" s="24">
        <f>IF(Setup!$K$18="","",Setup!$K$18)</f>
        <v/>
      </c>
      <c r="C1020" s="88" t="n"/>
      <c r="D1020" s="88" t="n"/>
      <c r="E1020" s="88" t="n"/>
      <c r="F1020" s="89" t="n"/>
      <c r="G1020" s="88" t="n"/>
      <c r="H1020" s="88" t="n"/>
      <c r="I1020" s="88" t="n"/>
      <c r="J1020" s="89" t="n"/>
      <c r="K1020" s="88" t="n"/>
      <c r="L1020" s="88" t="n"/>
      <c r="M1020" s="88" t="n"/>
      <c r="N1020" s="89" t="n"/>
      <c r="O1020" s="88" t="n"/>
      <c r="P1020" s="88" t="n"/>
      <c r="Q1020" s="88" t="n"/>
      <c r="R1020" s="89" t="n"/>
      <c r="S1020" s="88" t="n"/>
      <c r="T1020" s="88" t="n"/>
      <c r="U1020" s="88" t="n"/>
      <c r="V1020" s="89" t="n"/>
      <c r="W1020" s="88" t="n"/>
      <c r="X1020" s="89" t="n"/>
      <c r="Y1020" s="88" t="n"/>
      <c r="Z1020" s="89" t="n"/>
      <c r="AB1020" s="25">
        <f>IF($B1020="","",(COUNTIF(C1020:E1020,"?*")&lt;N(INDEX(Setup!$L$6:$L$23,13)))+(COUNTIF(G1020:I1020,"?*")&lt;N(INDEX(Setup!$L$6:$L$23,13)))+(COUNTIF(K1020:M1020,"?*")&lt;N(INDEX(Setup!$L$6:$L$23,13)))+(COUNTIF(O1020:Q1020,"?*")&lt;N(INDEX(Setup!$L$6:$L$23,13)))+(COUNTIF(S1020:U1020,"?*")&lt;N(INDEX(Setup!$L$6:$L$23,13)))+((W1020="")*(INDEX(Setup!$M$6:$M$23,13)="Y"))+((Y1020="")*(INDEX(Setup!$M$6:$M$23,13)="Y")))</f>
        <v/>
      </c>
      <c r="AC1020" s="90">
        <f>IF($B1020="","",IF(AB1020=0,"✓ covered","⚠ "&amp;AB1020&amp;IF(AB1020=1," gap"," gaps")))</f>
        <v/>
      </c>
    </row>
    <row r="1021" ht="17" customHeight="1">
      <c r="A1021" t="n">
        <v>21</v>
      </c>
      <c r="B1021" s="29">
        <f>IF(Setup!$K$19="","",Setup!$K$19)</f>
        <v/>
      </c>
      <c r="C1021" s="88" t="n"/>
      <c r="D1021" s="88" t="n"/>
      <c r="E1021" s="88" t="n"/>
      <c r="F1021" s="89" t="n"/>
      <c r="G1021" s="88" t="n"/>
      <c r="H1021" s="88" t="n"/>
      <c r="I1021" s="88" t="n"/>
      <c r="J1021" s="89" t="n"/>
      <c r="K1021" s="88" t="n"/>
      <c r="L1021" s="88" t="n"/>
      <c r="M1021" s="88" t="n"/>
      <c r="N1021" s="89" t="n"/>
      <c r="O1021" s="88" t="n"/>
      <c r="P1021" s="88" t="n"/>
      <c r="Q1021" s="88" t="n"/>
      <c r="R1021" s="89" t="n"/>
      <c r="S1021" s="88" t="n"/>
      <c r="T1021" s="88" t="n"/>
      <c r="U1021" s="88" t="n"/>
      <c r="V1021" s="89" t="n"/>
      <c r="W1021" s="88" t="n"/>
      <c r="X1021" s="89" t="n"/>
      <c r="Y1021" s="88" t="n"/>
      <c r="Z1021" s="89" t="n"/>
      <c r="AB1021" s="30">
        <f>IF($B1021="","",(COUNTIF(C1021:E1021,"?*")&lt;N(INDEX(Setup!$L$6:$L$23,14)))+(COUNTIF(G1021:I1021,"?*")&lt;N(INDEX(Setup!$L$6:$L$23,14)))+(COUNTIF(K1021:M1021,"?*")&lt;N(INDEX(Setup!$L$6:$L$23,14)))+(COUNTIF(O1021:Q1021,"?*")&lt;N(INDEX(Setup!$L$6:$L$23,14)))+(COUNTIF(S1021:U1021,"?*")&lt;N(INDEX(Setup!$L$6:$L$23,14)))+((W1021="")*(INDEX(Setup!$M$6:$M$23,14)="Y"))+((Y1021="")*(INDEX(Setup!$M$6:$M$23,14)="Y")))</f>
        <v/>
      </c>
      <c r="AC1021" s="91">
        <f>IF($B1021="","",IF(AB1021=0,"✓ covered","⚠ "&amp;AB1021&amp;IF(AB1021=1," gap"," gaps")))</f>
        <v/>
      </c>
    </row>
    <row r="1022" ht="17" customHeight="1">
      <c r="A1022" t="n">
        <v>21</v>
      </c>
      <c r="B1022" s="24">
        <f>IF(Setup!$K$20="","",Setup!$K$20)</f>
        <v/>
      </c>
      <c r="C1022" s="88" t="n"/>
      <c r="D1022" s="88" t="n"/>
      <c r="E1022" s="88" t="n"/>
      <c r="F1022" s="89" t="n"/>
      <c r="G1022" s="88" t="n"/>
      <c r="H1022" s="88" t="n"/>
      <c r="I1022" s="88" t="n"/>
      <c r="J1022" s="89" t="n"/>
      <c r="K1022" s="88" t="n"/>
      <c r="L1022" s="88" t="n"/>
      <c r="M1022" s="88" t="n"/>
      <c r="N1022" s="89" t="n"/>
      <c r="O1022" s="88" t="n"/>
      <c r="P1022" s="88" t="n"/>
      <c r="Q1022" s="88" t="n"/>
      <c r="R1022" s="89" t="n"/>
      <c r="S1022" s="88" t="n"/>
      <c r="T1022" s="88" t="n"/>
      <c r="U1022" s="88" t="n"/>
      <c r="V1022" s="89" t="n"/>
      <c r="W1022" s="88" t="n"/>
      <c r="X1022" s="89" t="n"/>
      <c r="Y1022" s="88" t="n"/>
      <c r="Z1022" s="89" t="n"/>
      <c r="AB1022" s="25">
        <f>IF($B1022="","",(COUNTIF(C1022:E1022,"?*")&lt;N(INDEX(Setup!$L$6:$L$23,15)))+(COUNTIF(G1022:I1022,"?*")&lt;N(INDEX(Setup!$L$6:$L$23,15)))+(COUNTIF(K1022:M1022,"?*")&lt;N(INDEX(Setup!$L$6:$L$23,15)))+(COUNTIF(O1022:Q1022,"?*")&lt;N(INDEX(Setup!$L$6:$L$23,15)))+(COUNTIF(S1022:U1022,"?*")&lt;N(INDEX(Setup!$L$6:$L$23,15)))+((W1022="")*(INDEX(Setup!$M$6:$M$23,15)="Y"))+((Y1022="")*(INDEX(Setup!$M$6:$M$23,15)="Y")))</f>
        <v/>
      </c>
      <c r="AC1022" s="90">
        <f>IF($B1022="","",IF(AB1022=0,"✓ covered","⚠ "&amp;AB1022&amp;IF(AB1022=1," gap"," gaps")))</f>
        <v/>
      </c>
    </row>
    <row r="1023" ht="17" customHeight="1">
      <c r="A1023" t="n">
        <v>21</v>
      </c>
      <c r="B1023" s="29">
        <f>IF(Setup!$K$21="","",Setup!$K$21)</f>
        <v/>
      </c>
      <c r="C1023" s="88" t="n"/>
      <c r="D1023" s="88" t="n"/>
      <c r="E1023" s="88" t="n"/>
      <c r="F1023" s="89" t="n"/>
      <c r="G1023" s="88" t="n"/>
      <c r="H1023" s="88" t="n"/>
      <c r="I1023" s="88" t="n"/>
      <c r="J1023" s="89" t="n"/>
      <c r="K1023" s="88" t="n"/>
      <c r="L1023" s="88" t="n"/>
      <c r="M1023" s="88" t="n"/>
      <c r="N1023" s="89" t="n"/>
      <c r="O1023" s="88" t="n"/>
      <c r="P1023" s="88" t="n"/>
      <c r="Q1023" s="88" t="n"/>
      <c r="R1023" s="89" t="n"/>
      <c r="S1023" s="88" t="n"/>
      <c r="T1023" s="88" t="n"/>
      <c r="U1023" s="88" t="n"/>
      <c r="V1023" s="89" t="n"/>
      <c r="W1023" s="88" t="n"/>
      <c r="X1023" s="89" t="n"/>
      <c r="Y1023" s="88" t="n"/>
      <c r="Z1023" s="89" t="n"/>
      <c r="AB1023" s="30">
        <f>IF($B1023="","",(COUNTIF(C1023:E1023,"?*")&lt;N(INDEX(Setup!$L$6:$L$23,16)))+(COUNTIF(G1023:I1023,"?*")&lt;N(INDEX(Setup!$L$6:$L$23,16)))+(COUNTIF(K1023:M1023,"?*")&lt;N(INDEX(Setup!$L$6:$L$23,16)))+(COUNTIF(O1023:Q1023,"?*")&lt;N(INDEX(Setup!$L$6:$L$23,16)))+(COUNTIF(S1023:U1023,"?*")&lt;N(INDEX(Setup!$L$6:$L$23,16)))+((W1023="")*(INDEX(Setup!$M$6:$M$23,16)="Y"))+((Y1023="")*(INDEX(Setup!$M$6:$M$23,16)="Y")))</f>
        <v/>
      </c>
      <c r="AC1023" s="91">
        <f>IF($B1023="","",IF(AB1023=0,"✓ covered","⚠ "&amp;AB1023&amp;IF(AB1023=1," gap"," gaps")))</f>
        <v/>
      </c>
    </row>
    <row r="1024" ht="17" customHeight="1">
      <c r="A1024" t="n">
        <v>21</v>
      </c>
      <c r="B1024" s="24">
        <f>IF(Setup!$K$22="","",Setup!$K$22)</f>
        <v/>
      </c>
      <c r="C1024" s="88" t="n"/>
      <c r="D1024" s="88" t="n"/>
      <c r="E1024" s="88" t="n"/>
      <c r="F1024" s="89" t="n"/>
      <c r="G1024" s="88" t="n"/>
      <c r="H1024" s="88" t="n"/>
      <c r="I1024" s="88" t="n"/>
      <c r="J1024" s="89" t="n"/>
      <c r="K1024" s="88" t="n"/>
      <c r="L1024" s="88" t="n"/>
      <c r="M1024" s="88" t="n"/>
      <c r="N1024" s="89" t="n"/>
      <c r="O1024" s="88" t="n"/>
      <c r="P1024" s="88" t="n"/>
      <c r="Q1024" s="88" t="n"/>
      <c r="R1024" s="89" t="n"/>
      <c r="S1024" s="88" t="n"/>
      <c r="T1024" s="88" t="n"/>
      <c r="U1024" s="88" t="n"/>
      <c r="V1024" s="89" t="n"/>
      <c r="W1024" s="88" t="n"/>
      <c r="X1024" s="89" t="n"/>
      <c r="Y1024" s="88" t="n"/>
      <c r="Z1024" s="89" t="n"/>
      <c r="AB1024" s="25">
        <f>IF($B1024="","",(COUNTIF(C1024:E1024,"?*")&lt;N(INDEX(Setup!$L$6:$L$23,17)))+(COUNTIF(G1024:I1024,"?*")&lt;N(INDEX(Setup!$L$6:$L$23,17)))+(COUNTIF(K1024:M1024,"?*")&lt;N(INDEX(Setup!$L$6:$L$23,17)))+(COUNTIF(O1024:Q1024,"?*")&lt;N(INDEX(Setup!$L$6:$L$23,17)))+(COUNTIF(S1024:U1024,"?*")&lt;N(INDEX(Setup!$L$6:$L$23,17)))+((W1024="")*(INDEX(Setup!$M$6:$M$23,17)="Y"))+((Y1024="")*(INDEX(Setup!$M$6:$M$23,17)="Y")))</f>
        <v/>
      </c>
      <c r="AC1024" s="90">
        <f>IF($B1024="","",IF(AB1024=0,"✓ covered","⚠ "&amp;AB1024&amp;IF(AB1024=1," gap"," gaps")))</f>
        <v/>
      </c>
    </row>
    <row r="1025" ht="17" customHeight="1">
      <c r="A1025" t="n">
        <v>21</v>
      </c>
      <c r="B1025" s="29">
        <f>IF(Setup!$K$23="","",Setup!$K$23)</f>
        <v/>
      </c>
      <c r="C1025" s="88" t="n"/>
      <c r="D1025" s="88" t="n"/>
      <c r="E1025" s="88" t="n"/>
      <c r="F1025" s="89" t="n"/>
      <c r="G1025" s="88" t="n"/>
      <c r="H1025" s="88" t="n"/>
      <c r="I1025" s="88" t="n"/>
      <c r="J1025" s="89" t="n"/>
      <c r="K1025" s="88" t="n"/>
      <c r="L1025" s="88" t="n"/>
      <c r="M1025" s="88" t="n"/>
      <c r="N1025" s="89" t="n"/>
      <c r="O1025" s="88" t="n"/>
      <c r="P1025" s="88" t="n"/>
      <c r="Q1025" s="88" t="n"/>
      <c r="R1025" s="89" t="n"/>
      <c r="S1025" s="88" t="n"/>
      <c r="T1025" s="88" t="n"/>
      <c r="U1025" s="88" t="n"/>
      <c r="V1025" s="89" t="n"/>
      <c r="W1025" s="88" t="n"/>
      <c r="X1025" s="89" t="n"/>
      <c r="Y1025" s="88" t="n"/>
      <c r="Z1025" s="89" t="n"/>
      <c r="AB1025" s="30">
        <f>IF($B1025="","",(COUNTIF(C1025:E1025,"?*")&lt;N(INDEX(Setup!$L$6:$L$23,18)))+(COUNTIF(G1025:I1025,"?*")&lt;N(INDEX(Setup!$L$6:$L$23,18)))+(COUNTIF(K1025:M1025,"?*")&lt;N(INDEX(Setup!$L$6:$L$23,18)))+(COUNTIF(O1025:Q1025,"?*")&lt;N(INDEX(Setup!$L$6:$L$23,18)))+(COUNTIF(S1025:U1025,"?*")&lt;N(INDEX(Setup!$L$6:$L$23,18)))+((W1025="")*(INDEX(Setup!$M$6:$M$23,18)="Y"))+((Y1025="")*(INDEX(Setup!$M$6:$M$23,18)="Y")))</f>
        <v/>
      </c>
      <c r="AC1025" s="91">
        <f>IF($B1025="","",IF(AB1025=0,"✓ covered","⚠ "&amp;AB1025&amp;IF(AB1025=1," gap"," gaps")))</f>
        <v/>
      </c>
    </row>
    <row r="1026" ht="18" customHeight="1">
      <c r="A1026" t="n">
        <v>21</v>
      </c>
      <c r="B1026" s="78" t="inlineStr">
        <is>
          <t>TEAM AVAILABILITY</t>
        </is>
      </c>
      <c r="C1026" s="92" t="inlineStr">
        <is>
          <t>Mon</t>
        </is>
      </c>
      <c r="D1026" s="93" t="n"/>
      <c r="E1026" s="93" t="n"/>
      <c r="F1026" s="94" t="n"/>
      <c r="G1026" s="92" t="inlineStr">
        <is>
          <t>Tue</t>
        </is>
      </c>
      <c r="H1026" s="93" t="n"/>
      <c r="I1026" s="93" t="n"/>
      <c r="J1026" s="94" t="n"/>
      <c r="K1026" s="92" t="inlineStr">
        <is>
          <t>Wed</t>
        </is>
      </c>
      <c r="L1026" s="93" t="n"/>
      <c r="M1026" s="93" t="n"/>
      <c r="N1026" s="94" t="n"/>
      <c r="O1026" s="92" t="inlineStr">
        <is>
          <t>Thu</t>
        </is>
      </c>
      <c r="P1026" s="93" t="n"/>
      <c r="Q1026" s="93" t="n"/>
      <c r="R1026" s="94" t="n"/>
      <c r="S1026" s="92" t="inlineStr">
        <is>
          <t>Fri</t>
        </is>
      </c>
      <c r="T1026" s="93" t="n"/>
      <c r="U1026" s="93" t="n"/>
      <c r="V1026" s="94" t="n"/>
      <c r="W1026" s="95" t="inlineStr">
        <is>
          <t>Sat</t>
        </is>
      </c>
      <c r="X1026" s="96" t="n"/>
      <c r="Y1026" s="95" t="inlineStr">
        <is>
          <t>Sun</t>
        </is>
      </c>
      <c r="Z1026" s="96" t="n"/>
      <c r="AB1026" s="97" t="inlineStr">
        <is>
          <t>Days rostered</t>
        </is>
      </c>
      <c r="AC1026" s="97" t="inlineStr">
        <is>
          <t>Conflicts</t>
        </is>
      </c>
    </row>
    <row r="1027" ht="15" customHeight="1">
      <c r="A1027" t="n">
        <v>21</v>
      </c>
      <c r="B1027" s="35">
        <f>IF(Setup!$B$6="","",Setup!$B$6)</f>
        <v/>
      </c>
      <c r="C1027" s="98" t="n"/>
      <c r="D1027" s="99" t="n"/>
      <c r="E1027" s="99" t="n"/>
      <c r="F1027" s="100" t="n"/>
      <c r="G1027" s="98" t="n"/>
      <c r="H1027" s="99" t="n"/>
      <c r="I1027" s="99" t="n"/>
      <c r="J1027" s="100" t="n"/>
      <c r="K1027" s="98" t="n"/>
      <c r="L1027" s="99" t="n"/>
      <c r="M1027" s="99" t="n"/>
      <c r="N1027" s="100" t="n"/>
      <c r="O1027" s="98" t="n"/>
      <c r="P1027" s="99" t="n"/>
      <c r="Q1027" s="99" t="n"/>
      <c r="R1027" s="100" t="n"/>
      <c r="S1027" s="98" t="n"/>
      <c r="T1027" s="99" t="n"/>
      <c r="U1027" s="99" t="n"/>
      <c r="V1027" s="100" t="n"/>
      <c r="W1027" s="98" t="n"/>
      <c r="X1027" s="100" t="n"/>
      <c r="Y1027" s="98" t="n"/>
      <c r="Z1027" s="100" t="n"/>
      <c r="AB1027" s="101">
        <f>IF($B1027="","",(COUNTIF(C1008:E1025,$B1027)+COUNTIF(C1008:E1025,$B1027&amp;" ~*")&gt;0)+(COUNTIF(G1008:I1025,$B1027)+COUNTIF(G1008:I1025,$B1027&amp;" ~*")&gt;0)+(COUNTIF(K1008:M1025,$B1027)+COUNTIF(K1008:M1025,$B1027&amp;" ~*")&gt;0)+(COUNTIF(O1008:Q1025,$B1027)+COUNTIF(O1008:Q1025,$B1027&amp;" ~*")&gt;0)+(COUNTIF(S1008:U1025,$B1027)+COUNTIF(S1008:U1025,$B1027&amp;" ~*")&gt;0)+(COUNTIF(W1008:W1025,$B1027)+COUNTIF(W1008:W1025,$B1027&amp;" ~*")&gt;0)+(COUNTIF(Y1008:Y1025,$B1027)+COUNTIF(Y1008:Y1025,$B1027&amp;" ~*")&gt;0))</f>
        <v/>
      </c>
      <c r="AC1027" s="36">
        <f>IF($B1027="","",(IFERROR(INDEX(Setup!$G$33:$G$40,MATCH(C1027,Setup!$B$33:$B$40,0)),0)=1)*(COUNTIF(C1008:E1025,$B1027)+COUNTIF(C1008:E1025,$B1027&amp;" ~*")&gt;0)+(IFERROR(INDEX(Setup!$G$33:$G$40,MATCH(G1027,Setup!$B$33:$B$40,0)),0)=1)*(COUNTIF(G1008:I1025,$B1027)+COUNTIF(G1008:I1025,$B1027&amp;" ~*")&gt;0)+(IFERROR(INDEX(Setup!$G$33:$G$40,MATCH(K1027,Setup!$B$33:$B$40,0)),0)=1)*(COUNTIF(K1008:M1025,$B1027)+COUNTIF(K1008:M1025,$B1027&amp;" ~*")&gt;0)+(IFERROR(INDEX(Setup!$G$33:$G$40,MATCH(O1027,Setup!$B$33:$B$40,0)),0)=1)*(COUNTIF(O1008:Q1025,$B1027)+COUNTIF(O1008:Q1025,$B1027&amp;" ~*")&gt;0)+(IFERROR(INDEX(Setup!$G$33:$G$40,MATCH(S1027,Setup!$B$33:$B$40,0)),0)=1)*(COUNTIF(S1008:U1025,$B1027)+COUNTIF(S1008:U1025,$B1027&amp;" ~*")&gt;0)+(IFERROR(INDEX(Setup!$G$33:$G$40,MATCH(W1027,Setup!$B$33:$B$40,0)),0)=1)*(COUNTIF(W1008:W1025,$B1027)+COUNTIF(W1008:W1025,$B1027&amp;" ~*")&gt;0)+(IFERROR(INDEX(Setup!$G$33:$G$40,MATCH(Y1027,Setup!$B$33:$B$40,0)),0)=1)*(COUNTIF(Y1008:Y1025,$B1027)+COUNTIF(Y1008:Y1025,$B1027&amp;" ~*")&gt;0))</f>
        <v/>
      </c>
    </row>
    <row r="1028" ht="15" customHeight="1">
      <c r="A1028" t="n">
        <v>21</v>
      </c>
      <c r="B1028" s="37">
        <f>IF(Setup!$B$7="","",Setup!$B$7)</f>
        <v/>
      </c>
      <c r="C1028" s="102" t="n"/>
      <c r="D1028" s="103" t="n"/>
      <c r="E1028" s="103" t="n"/>
      <c r="F1028" s="104" t="n"/>
      <c r="G1028" s="102" t="n"/>
      <c r="H1028" s="103" t="n"/>
      <c r="I1028" s="103" t="n"/>
      <c r="J1028" s="104" t="n"/>
      <c r="K1028" s="102" t="n"/>
      <c r="L1028" s="103" t="n"/>
      <c r="M1028" s="103" t="n"/>
      <c r="N1028" s="104" t="n"/>
      <c r="O1028" s="102" t="n"/>
      <c r="P1028" s="103" t="n"/>
      <c r="Q1028" s="103" t="n"/>
      <c r="R1028" s="104" t="n"/>
      <c r="S1028" s="102" t="n"/>
      <c r="T1028" s="103" t="n"/>
      <c r="U1028" s="103" t="n"/>
      <c r="V1028" s="104" t="n"/>
      <c r="W1028" s="102" t="n"/>
      <c r="X1028" s="104" t="n"/>
      <c r="Y1028" s="102" t="n"/>
      <c r="Z1028" s="104" t="n"/>
      <c r="AB1028" s="105">
        <f>IF($B1028="","",(COUNTIF(C1008:E1025,$B1028)+COUNTIF(C1008:E1025,$B1028&amp;" ~*")&gt;0)+(COUNTIF(G1008:I1025,$B1028)+COUNTIF(G1008:I1025,$B1028&amp;" ~*")&gt;0)+(COUNTIF(K1008:M1025,$B1028)+COUNTIF(K1008:M1025,$B1028&amp;" ~*")&gt;0)+(COUNTIF(O1008:Q1025,$B1028)+COUNTIF(O1008:Q1025,$B1028&amp;" ~*")&gt;0)+(COUNTIF(S1008:U1025,$B1028)+COUNTIF(S1008:U1025,$B1028&amp;" ~*")&gt;0)+(COUNTIF(W1008:W1025,$B1028)+COUNTIF(W1008:W1025,$B1028&amp;" ~*")&gt;0)+(COUNTIF(Y1008:Y1025,$B1028)+COUNTIF(Y1008:Y1025,$B1028&amp;" ~*")&gt;0))</f>
        <v/>
      </c>
      <c r="AC1028" s="38">
        <f>IF($B1028="","",(IFERROR(INDEX(Setup!$G$33:$G$40,MATCH(C1028,Setup!$B$33:$B$40,0)),0)=1)*(COUNTIF(C1008:E1025,$B1028)+COUNTIF(C1008:E1025,$B1028&amp;" ~*")&gt;0)+(IFERROR(INDEX(Setup!$G$33:$G$40,MATCH(G1028,Setup!$B$33:$B$40,0)),0)=1)*(COUNTIF(G1008:I1025,$B1028)+COUNTIF(G1008:I1025,$B1028&amp;" ~*")&gt;0)+(IFERROR(INDEX(Setup!$G$33:$G$40,MATCH(K1028,Setup!$B$33:$B$40,0)),0)=1)*(COUNTIF(K1008:M1025,$B1028)+COUNTIF(K1008:M1025,$B1028&amp;" ~*")&gt;0)+(IFERROR(INDEX(Setup!$G$33:$G$40,MATCH(O1028,Setup!$B$33:$B$40,0)),0)=1)*(COUNTIF(O1008:Q1025,$B1028)+COUNTIF(O1008:Q1025,$B1028&amp;" ~*")&gt;0)+(IFERROR(INDEX(Setup!$G$33:$G$40,MATCH(S1028,Setup!$B$33:$B$40,0)),0)=1)*(COUNTIF(S1008:U1025,$B1028)+COUNTIF(S1008:U1025,$B1028&amp;" ~*")&gt;0)+(IFERROR(INDEX(Setup!$G$33:$G$40,MATCH(W1028,Setup!$B$33:$B$40,0)),0)=1)*(COUNTIF(W1008:W1025,$B1028)+COUNTIF(W1008:W1025,$B1028&amp;" ~*")&gt;0)+(IFERROR(INDEX(Setup!$G$33:$G$40,MATCH(Y1028,Setup!$B$33:$B$40,0)),0)=1)*(COUNTIF(Y1008:Y1025,$B1028)+COUNTIF(Y1008:Y1025,$B1028&amp;" ~*")&gt;0))</f>
        <v/>
      </c>
    </row>
    <row r="1029" ht="15" customHeight="1">
      <c r="A1029" t="n">
        <v>21</v>
      </c>
      <c r="B1029" s="35">
        <f>IF(Setup!$B$8="","",Setup!$B$8)</f>
        <v/>
      </c>
      <c r="C1029" s="98" t="n"/>
      <c r="D1029" s="99" t="n"/>
      <c r="E1029" s="99" t="n"/>
      <c r="F1029" s="100" t="n"/>
      <c r="G1029" s="98" t="n"/>
      <c r="H1029" s="99" t="n"/>
      <c r="I1029" s="99" t="n"/>
      <c r="J1029" s="100" t="n"/>
      <c r="K1029" s="98" t="n"/>
      <c r="L1029" s="99" t="n"/>
      <c r="M1029" s="99" t="n"/>
      <c r="N1029" s="100" t="n"/>
      <c r="O1029" s="98" t="n"/>
      <c r="P1029" s="99" t="n"/>
      <c r="Q1029" s="99" t="n"/>
      <c r="R1029" s="100" t="n"/>
      <c r="S1029" s="98" t="n"/>
      <c r="T1029" s="99" t="n"/>
      <c r="U1029" s="99" t="n"/>
      <c r="V1029" s="100" t="n"/>
      <c r="W1029" s="98" t="n"/>
      <c r="X1029" s="100" t="n"/>
      <c r="Y1029" s="98" t="n"/>
      <c r="Z1029" s="100" t="n"/>
      <c r="AB1029" s="101">
        <f>IF($B1029="","",(COUNTIF(C1008:E1025,$B1029)+COUNTIF(C1008:E1025,$B1029&amp;" ~*")&gt;0)+(COUNTIF(G1008:I1025,$B1029)+COUNTIF(G1008:I1025,$B1029&amp;" ~*")&gt;0)+(COUNTIF(K1008:M1025,$B1029)+COUNTIF(K1008:M1025,$B1029&amp;" ~*")&gt;0)+(COUNTIF(O1008:Q1025,$B1029)+COUNTIF(O1008:Q1025,$B1029&amp;" ~*")&gt;0)+(COUNTIF(S1008:U1025,$B1029)+COUNTIF(S1008:U1025,$B1029&amp;" ~*")&gt;0)+(COUNTIF(W1008:W1025,$B1029)+COUNTIF(W1008:W1025,$B1029&amp;" ~*")&gt;0)+(COUNTIF(Y1008:Y1025,$B1029)+COUNTIF(Y1008:Y1025,$B1029&amp;" ~*")&gt;0))</f>
        <v/>
      </c>
      <c r="AC1029" s="36">
        <f>IF($B1029="","",(IFERROR(INDEX(Setup!$G$33:$G$40,MATCH(C1029,Setup!$B$33:$B$40,0)),0)=1)*(COUNTIF(C1008:E1025,$B1029)+COUNTIF(C1008:E1025,$B1029&amp;" ~*")&gt;0)+(IFERROR(INDEX(Setup!$G$33:$G$40,MATCH(G1029,Setup!$B$33:$B$40,0)),0)=1)*(COUNTIF(G1008:I1025,$B1029)+COUNTIF(G1008:I1025,$B1029&amp;" ~*")&gt;0)+(IFERROR(INDEX(Setup!$G$33:$G$40,MATCH(K1029,Setup!$B$33:$B$40,0)),0)=1)*(COUNTIF(K1008:M1025,$B1029)+COUNTIF(K1008:M1025,$B1029&amp;" ~*")&gt;0)+(IFERROR(INDEX(Setup!$G$33:$G$40,MATCH(O1029,Setup!$B$33:$B$40,0)),0)=1)*(COUNTIF(O1008:Q1025,$B1029)+COUNTIF(O1008:Q1025,$B1029&amp;" ~*")&gt;0)+(IFERROR(INDEX(Setup!$G$33:$G$40,MATCH(S1029,Setup!$B$33:$B$40,0)),0)=1)*(COUNTIF(S1008:U1025,$B1029)+COUNTIF(S1008:U1025,$B1029&amp;" ~*")&gt;0)+(IFERROR(INDEX(Setup!$G$33:$G$40,MATCH(W1029,Setup!$B$33:$B$40,0)),0)=1)*(COUNTIF(W1008:W1025,$B1029)+COUNTIF(W1008:W1025,$B1029&amp;" ~*")&gt;0)+(IFERROR(INDEX(Setup!$G$33:$G$40,MATCH(Y1029,Setup!$B$33:$B$40,0)),0)=1)*(COUNTIF(Y1008:Y1025,$B1029)+COUNTIF(Y1008:Y1025,$B1029&amp;" ~*")&gt;0))</f>
        <v/>
      </c>
    </row>
    <row r="1030" ht="15" customHeight="1">
      <c r="A1030" t="n">
        <v>21</v>
      </c>
      <c r="B1030" s="37">
        <f>IF(Setup!$B$9="","",Setup!$B$9)</f>
        <v/>
      </c>
      <c r="C1030" s="102" t="n"/>
      <c r="D1030" s="103" t="n"/>
      <c r="E1030" s="103" t="n"/>
      <c r="F1030" s="104" t="n"/>
      <c r="G1030" s="102" t="n"/>
      <c r="H1030" s="103" t="n"/>
      <c r="I1030" s="103" t="n"/>
      <c r="J1030" s="104" t="n"/>
      <c r="K1030" s="102" t="n"/>
      <c r="L1030" s="103" t="n"/>
      <c r="M1030" s="103" t="n"/>
      <c r="N1030" s="104" t="n"/>
      <c r="O1030" s="102" t="n"/>
      <c r="P1030" s="103" t="n"/>
      <c r="Q1030" s="103" t="n"/>
      <c r="R1030" s="104" t="n"/>
      <c r="S1030" s="102" t="n"/>
      <c r="T1030" s="103" t="n"/>
      <c r="U1030" s="103" t="n"/>
      <c r="V1030" s="104" t="n"/>
      <c r="W1030" s="102" t="n"/>
      <c r="X1030" s="104" t="n"/>
      <c r="Y1030" s="102" t="n"/>
      <c r="Z1030" s="104" t="n"/>
      <c r="AB1030" s="105">
        <f>IF($B1030="","",(COUNTIF(C1008:E1025,$B1030)+COUNTIF(C1008:E1025,$B1030&amp;" ~*")&gt;0)+(COUNTIF(G1008:I1025,$B1030)+COUNTIF(G1008:I1025,$B1030&amp;" ~*")&gt;0)+(COUNTIF(K1008:M1025,$B1030)+COUNTIF(K1008:M1025,$B1030&amp;" ~*")&gt;0)+(COUNTIF(O1008:Q1025,$B1030)+COUNTIF(O1008:Q1025,$B1030&amp;" ~*")&gt;0)+(COUNTIF(S1008:U1025,$B1030)+COUNTIF(S1008:U1025,$B1030&amp;" ~*")&gt;0)+(COUNTIF(W1008:W1025,$B1030)+COUNTIF(W1008:W1025,$B1030&amp;" ~*")&gt;0)+(COUNTIF(Y1008:Y1025,$B1030)+COUNTIF(Y1008:Y1025,$B1030&amp;" ~*")&gt;0))</f>
        <v/>
      </c>
      <c r="AC1030" s="38">
        <f>IF($B1030="","",(IFERROR(INDEX(Setup!$G$33:$G$40,MATCH(C1030,Setup!$B$33:$B$40,0)),0)=1)*(COUNTIF(C1008:E1025,$B1030)+COUNTIF(C1008:E1025,$B1030&amp;" ~*")&gt;0)+(IFERROR(INDEX(Setup!$G$33:$G$40,MATCH(G1030,Setup!$B$33:$B$40,0)),0)=1)*(COUNTIF(G1008:I1025,$B1030)+COUNTIF(G1008:I1025,$B1030&amp;" ~*")&gt;0)+(IFERROR(INDEX(Setup!$G$33:$G$40,MATCH(K1030,Setup!$B$33:$B$40,0)),0)=1)*(COUNTIF(K1008:M1025,$B1030)+COUNTIF(K1008:M1025,$B1030&amp;" ~*")&gt;0)+(IFERROR(INDEX(Setup!$G$33:$G$40,MATCH(O1030,Setup!$B$33:$B$40,0)),0)=1)*(COUNTIF(O1008:Q1025,$B1030)+COUNTIF(O1008:Q1025,$B1030&amp;" ~*")&gt;0)+(IFERROR(INDEX(Setup!$G$33:$G$40,MATCH(S1030,Setup!$B$33:$B$40,0)),0)=1)*(COUNTIF(S1008:U1025,$B1030)+COUNTIF(S1008:U1025,$B1030&amp;" ~*")&gt;0)+(IFERROR(INDEX(Setup!$G$33:$G$40,MATCH(W1030,Setup!$B$33:$B$40,0)),0)=1)*(COUNTIF(W1008:W1025,$B1030)+COUNTIF(W1008:W1025,$B1030&amp;" ~*")&gt;0)+(IFERROR(INDEX(Setup!$G$33:$G$40,MATCH(Y1030,Setup!$B$33:$B$40,0)),0)=1)*(COUNTIF(Y1008:Y1025,$B1030)+COUNTIF(Y1008:Y1025,$B1030&amp;" ~*")&gt;0))</f>
        <v/>
      </c>
    </row>
    <row r="1031" ht="15" customHeight="1">
      <c r="A1031" t="n">
        <v>21</v>
      </c>
      <c r="B1031" s="35">
        <f>IF(Setup!$B$10="","",Setup!$B$10)</f>
        <v/>
      </c>
      <c r="C1031" s="98" t="n"/>
      <c r="D1031" s="99" t="n"/>
      <c r="E1031" s="99" t="n"/>
      <c r="F1031" s="100" t="n"/>
      <c r="G1031" s="98" t="n"/>
      <c r="H1031" s="99" t="n"/>
      <c r="I1031" s="99" t="n"/>
      <c r="J1031" s="100" t="n"/>
      <c r="K1031" s="98" t="n"/>
      <c r="L1031" s="99" t="n"/>
      <c r="M1031" s="99" t="n"/>
      <c r="N1031" s="100" t="n"/>
      <c r="O1031" s="98" t="n"/>
      <c r="P1031" s="99" t="n"/>
      <c r="Q1031" s="99" t="n"/>
      <c r="R1031" s="100" t="n"/>
      <c r="S1031" s="98" t="n"/>
      <c r="T1031" s="99" t="n"/>
      <c r="U1031" s="99" t="n"/>
      <c r="V1031" s="100" t="n"/>
      <c r="W1031" s="98" t="n"/>
      <c r="X1031" s="100" t="n"/>
      <c r="Y1031" s="98" t="n"/>
      <c r="Z1031" s="100" t="n"/>
      <c r="AB1031" s="101">
        <f>IF($B1031="","",(COUNTIF(C1008:E1025,$B1031)+COUNTIF(C1008:E1025,$B1031&amp;" ~*")&gt;0)+(COUNTIF(G1008:I1025,$B1031)+COUNTIF(G1008:I1025,$B1031&amp;" ~*")&gt;0)+(COUNTIF(K1008:M1025,$B1031)+COUNTIF(K1008:M1025,$B1031&amp;" ~*")&gt;0)+(COUNTIF(O1008:Q1025,$B1031)+COUNTIF(O1008:Q1025,$B1031&amp;" ~*")&gt;0)+(COUNTIF(S1008:U1025,$B1031)+COUNTIF(S1008:U1025,$B1031&amp;" ~*")&gt;0)+(COUNTIF(W1008:W1025,$B1031)+COUNTIF(W1008:W1025,$B1031&amp;" ~*")&gt;0)+(COUNTIF(Y1008:Y1025,$B1031)+COUNTIF(Y1008:Y1025,$B1031&amp;" ~*")&gt;0))</f>
        <v/>
      </c>
      <c r="AC1031" s="36">
        <f>IF($B1031="","",(IFERROR(INDEX(Setup!$G$33:$G$40,MATCH(C1031,Setup!$B$33:$B$40,0)),0)=1)*(COUNTIF(C1008:E1025,$B1031)+COUNTIF(C1008:E1025,$B1031&amp;" ~*")&gt;0)+(IFERROR(INDEX(Setup!$G$33:$G$40,MATCH(G1031,Setup!$B$33:$B$40,0)),0)=1)*(COUNTIF(G1008:I1025,$B1031)+COUNTIF(G1008:I1025,$B1031&amp;" ~*")&gt;0)+(IFERROR(INDEX(Setup!$G$33:$G$40,MATCH(K1031,Setup!$B$33:$B$40,0)),0)=1)*(COUNTIF(K1008:M1025,$B1031)+COUNTIF(K1008:M1025,$B1031&amp;" ~*")&gt;0)+(IFERROR(INDEX(Setup!$G$33:$G$40,MATCH(O1031,Setup!$B$33:$B$40,0)),0)=1)*(COUNTIF(O1008:Q1025,$B1031)+COUNTIF(O1008:Q1025,$B1031&amp;" ~*")&gt;0)+(IFERROR(INDEX(Setup!$G$33:$G$40,MATCH(S1031,Setup!$B$33:$B$40,0)),0)=1)*(COUNTIF(S1008:U1025,$B1031)+COUNTIF(S1008:U1025,$B1031&amp;" ~*")&gt;0)+(IFERROR(INDEX(Setup!$G$33:$G$40,MATCH(W1031,Setup!$B$33:$B$40,0)),0)=1)*(COUNTIF(W1008:W1025,$B1031)+COUNTIF(W1008:W1025,$B1031&amp;" ~*")&gt;0)+(IFERROR(INDEX(Setup!$G$33:$G$40,MATCH(Y1031,Setup!$B$33:$B$40,0)),0)=1)*(COUNTIF(Y1008:Y1025,$B1031)+COUNTIF(Y1008:Y1025,$B1031&amp;" ~*")&gt;0))</f>
        <v/>
      </c>
    </row>
    <row r="1032" ht="15" customHeight="1">
      <c r="A1032" t="n">
        <v>21</v>
      </c>
      <c r="B1032" s="37">
        <f>IF(Setup!$B$11="","",Setup!$B$11)</f>
        <v/>
      </c>
      <c r="C1032" s="102" t="n"/>
      <c r="D1032" s="103" t="n"/>
      <c r="E1032" s="103" t="n"/>
      <c r="F1032" s="104" t="n"/>
      <c r="G1032" s="102" t="n"/>
      <c r="H1032" s="103" t="n"/>
      <c r="I1032" s="103" t="n"/>
      <c r="J1032" s="104" t="n"/>
      <c r="K1032" s="102" t="n"/>
      <c r="L1032" s="103" t="n"/>
      <c r="M1032" s="103" t="n"/>
      <c r="N1032" s="104" t="n"/>
      <c r="O1032" s="102" t="n"/>
      <c r="P1032" s="103" t="n"/>
      <c r="Q1032" s="103" t="n"/>
      <c r="R1032" s="104" t="n"/>
      <c r="S1032" s="102" t="n"/>
      <c r="T1032" s="103" t="n"/>
      <c r="U1032" s="103" t="n"/>
      <c r="V1032" s="104" t="n"/>
      <c r="W1032" s="102" t="n"/>
      <c r="X1032" s="104" t="n"/>
      <c r="Y1032" s="102" t="n"/>
      <c r="Z1032" s="104" t="n"/>
      <c r="AB1032" s="105">
        <f>IF($B1032="","",(COUNTIF(C1008:E1025,$B1032)+COUNTIF(C1008:E1025,$B1032&amp;" ~*")&gt;0)+(COUNTIF(G1008:I1025,$B1032)+COUNTIF(G1008:I1025,$B1032&amp;" ~*")&gt;0)+(COUNTIF(K1008:M1025,$B1032)+COUNTIF(K1008:M1025,$B1032&amp;" ~*")&gt;0)+(COUNTIF(O1008:Q1025,$B1032)+COUNTIF(O1008:Q1025,$B1032&amp;" ~*")&gt;0)+(COUNTIF(S1008:U1025,$B1032)+COUNTIF(S1008:U1025,$B1032&amp;" ~*")&gt;0)+(COUNTIF(W1008:W1025,$B1032)+COUNTIF(W1008:W1025,$B1032&amp;" ~*")&gt;0)+(COUNTIF(Y1008:Y1025,$B1032)+COUNTIF(Y1008:Y1025,$B1032&amp;" ~*")&gt;0))</f>
        <v/>
      </c>
      <c r="AC1032" s="38">
        <f>IF($B1032="","",(IFERROR(INDEX(Setup!$G$33:$G$40,MATCH(C1032,Setup!$B$33:$B$40,0)),0)=1)*(COUNTIF(C1008:E1025,$B1032)+COUNTIF(C1008:E1025,$B1032&amp;" ~*")&gt;0)+(IFERROR(INDEX(Setup!$G$33:$G$40,MATCH(G1032,Setup!$B$33:$B$40,0)),0)=1)*(COUNTIF(G1008:I1025,$B1032)+COUNTIF(G1008:I1025,$B1032&amp;" ~*")&gt;0)+(IFERROR(INDEX(Setup!$G$33:$G$40,MATCH(K1032,Setup!$B$33:$B$40,0)),0)=1)*(COUNTIF(K1008:M1025,$B1032)+COUNTIF(K1008:M1025,$B1032&amp;" ~*")&gt;0)+(IFERROR(INDEX(Setup!$G$33:$G$40,MATCH(O1032,Setup!$B$33:$B$40,0)),0)=1)*(COUNTIF(O1008:Q1025,$B1032)+COUNTIF(O1008:Q1025,$B1032&amp;" ~*")&gt;0)+(IFERROR(INDEX(Setup!$G$33:$G$40,MATCH(S1032,Setup!$B$33:$B$40,0)),0)=1)*(COUNTIF(S1008:U1025,$B1032)+COUNTIF(S1008:U1025,$B1032&amp;" ~*")&gt;0)+(IFERROR(INDEX(Setup!$G$33:$G$40,MATCH(W1032,Setup!$B$33:$B$40,0)),0)=1)*(COUNTIF(W1008:W1025,$B1032)+COUNTIF(W1008:W1025,$B1032&amp;" ~*")&gt;0)+(IFERROR(INDEX(Setup!$G$33:$G$40,MATCH(Y1032,Setup!$B$33:$B$40,0)),0)=1)*(COUNTIF(Y1008:Y1025,$B1032)+COUNTIF(Y1008:Y1025,$B1032&amp;" ~*")&gt;0))</f>
        <v/>
      </c>
    </row>
    <row r="1033" ht="15" customHeight="1">
      <c r="A1033" t="n">
        <v>21</v>
      </c>
      <c r="B1033" s="35">
        <f>IF(Setup!$B$12="","",Setup!$B$12)</f>
        <v/>
      </c>
      <c r="C1033" s="98" t="n"/>
      <c r="D1033" s="99" t="n"/>
      <c r="E1033" s="99" t="n"/>
      <c r="F1033" s="100" t="n"/>
      <c r="G1033" s="98" t="n"/>
      <c r="H1033" s="99" t="n"/>
      <c r="I1033" s="99" t="n"/>
      <c r="J1033" s="100" t="n"/>
      <c r="K1033" s="98" t="n"/>
      <c r="L1033" s="99" t="n"/>
      <c r="M1033" s="99" t="n"/>
      <c r="N1033" s="100" t="n"/>
      <c r="O1033" s="98" t="n"/>
      <c r="P1033" s="99" t="n"/>
      <c r="Q1033" s="99" t="n"/>
      <c r="R1033" s="100" t="n"/>
      <c r="S1033" s="98" t="inlineStr">
        <is>
          <t>AL</t>
        </is>
      </c>
      <c r="T1033" s="99" t="n"/>
      <c r="U1033" s="99" t="n"/>
      <c r="V1033" s="100" t="n"/>
      <c r="W1033" s="98" t="n"/>
      <c r="X1033" s="100" t="n"/>
      <c r="Y1033" s="98" t="n"/>
      <c r="Z1033" s="100" t="n"/>
      <c r="AB1033" s="101">
        <f>IF($B1033="","",(COUNTIF(C1008:E1025,$B1033)+COUNTIF(C1008:E1025,$B1033&amp;" ~*")&gt;0)+(COUNTIF(G1008:I1025,$B1033)+COUNTIF(G1008:I1025,$B1033&amp;" ~*")&gt;0)+(COUNTIF(K1008:M1025,$B1033)+COUNTIF(K1008:M1025,$B1033&amp;" ~*")&gt;0)+(COUNTIF(O1008:Q1025,$B1033)+COUNTIF(O1008:Q1025,$B1033&amp;" ~*")&gt;0)+(COUNTIF(S1008:U1025,$B1033)+COUNTIF(S1008:U1025,$B1033&amp;" ~*")&gt;0)+(COUNTIF(W1008:W1025,$B1033)+COUNTIF(W1008:W1025,$B1033&amp;" ~*")&gt;0)+(COUNTIF(Y1008:Y1025,$B1033)+COUNTIF(Y1008:Y1025,$B1033&amp;" ~*")&gt;0))</f>
        <v/>
      </c>
      <c r="AC1033" s="36">
        <f>IF($B1033="","",(IFERROR(INDEX(Setup!$G$33:$G$40,MATCH(C1033,Setup!$B$33:$B$40,0)),0)=1)*(COUNTIF(C1008:E1025,$B1033)+COUNTIF(C1008:E1025,$B1033&amp;" ~*")&gt;0)+(IFERROR(INDEX(Setup!$G$33:$G$40,MATCH(G1033,Setup!$B$33:$B$40,0)),0)=1)*(COUNTIF(G1008:I1025,$B1033)+COUNTIF(G1008:I1025,$B1033&amp;" ~*")&gt;0)+(IFERROR(INDEX(Setup!$G$33:$G$40,MATCH(K1033,Setup!$B$33:$B$40,0)),0)=1)*(COUNTIF(K1008:M1025,$B1033)+COUNTIF(K1008:M1025,$B1033&amp;" ~*")&gt;0)+(IFERROR(INDEX(Setup!$G$33:$G$40,MATCH(O1033,Setup!$B$33:$B$40,0)),0)=1)*(COUNTIF(O1008:Q1025,$B1033)+COUNTIF(O1008:Q1025,$B1033&amp;" ~*")&gt;0)+(IFERROR(INDEX(Setup!$G$33:$G$40,MATCH(S1033,Setup!$B$33:$B$40,0)),0)=1)*(COUNTIF(S1008:U1025,$B1033)+COUNTIF(S1008:U1025,$B1033&amp;" ~*")&gt;0)+(IFERROR(INDEX(Setup!$G$33:$G$40,MATCH(W1033,Setup!$B$33:$B$40,0)),0)=1)*(COUNTIF(W1008:W1025,$B1033)+COUNTIF(W1008:W1025,$B1033&amp;" ~*")&gt;0)+(IFERROR(INDEX(Setup!$G$33:$G$40,MATCH(Y1033,Setup!$B$33:$B$40,0)),0)=1)*(COUNTIF(Y1008:Y1025,$B1033)+COUNTIF(Y1008:Y1025,$B1033&amp;" ~*")&gt;0))</f>
        <v/>
      </c>
    </row>
    <row r="1034" ht="15" customHeight="1">
      <c r="A1034" t="n">
        <v>21</v>
      </c>
      <c r="B1034" s="37">
        <f>IF(Setup!$B$13="","",Setup!$B$13)</f>
        <v/>
      </c>
      <c r="C1034" s="102" t="n"/>
      <c r="D1034" s="103" t="n"/>
      <c r="E1034" s="103" t="n"/>
      <c r="F1034" s="104" t="n"/>
      <c r="G1034" s="102" t="n"/>
      <c r="H1034" s="103" t="n"/>
      <c r="I1034" s="103" t="n"/>
      <c r="J1034" s="104" t="n"/>
      <c r="K1034" s="102" t="n"/>
      <c r="L1034" s="103" t="n"/>
      <c r="M1034" s="103" t="n"/>
      <c r="N1034" s="104" t="n"/>
      <c r="O1034" s="102" t="n"/>
      <c r="P1034" s="103" t="n"/>
      <c r="Q1034" s="103" t="n"/>
      <c r="R1034" s="104" t="n"/>
      <c r="S1034" s="102" t="n"/>
      <c r="T1034" s="103" t="n"/>
      <c r="U1034" s="103" t="n"/>
      <c r="V1034" s="104" t="n"/>
      <c r="W1034" s="102" t="n"/>
      <c r="X1034" s="104" t="n"/>
      <c r="Y1034" s="102" t="n"/>
      <c r="Z1034" s="104" t="n"/>
      <c r="AB1034" s="105">
        <f>IF($B1034="","",(COUNTIF(C1008:E1025,$B1034)+COUNTIF(C1008:E1025,$B1034&amp;" ~*")&gt;0)+(COUNTIF(G1008:I1025,$B1034)+COUNTIF(G1008:I1025,$B1034&amp;" ~*")&gt;0)+(COUNTIF(K1008:M1025,$B1034)+COUNTIF(K1008:M1025,$B1034&amp;" ~*")&gt;0)+(COUNTIF(O1008:Q1025,$B1034)+COUNTIF(O1008:Q1025,$B1034&amp;" ~*")&gt;0)+(COUNTIF(S1008:U1025,$B1034)+COUNTIF(S1008:U1025,$B1034&amp;" ~*")&gt;0)+(COUNTIF(W1008:W1025,$B1034)+COUNTIF(W1008:W1025,$B1034&amp;" ~*")&gt;0)+(COUNTIF(Y1008:Y1025,$B1034)+COUNTIF(Y1008:Y1025,$B1034&amp;" ~*")&gt;0))</f>
        <v/>
      </c>
      <c r="AC1034" s="38">
        <f>IF($B1034="","",(IFERROR(INDEX(Setup!$G$33:$G$40,MATCH(C1034,Setup!$B$33:$B$40,0)),0)=1)*(COUNTIF(C1008:E1025,$B1034)+COUNTIF(C1008:E1025,$B1034&amp;" ~*")&gt;0)+(IFERROR(INDEX(Setup!$G$33:$G$40,MATCH(G1034,Setup!$B$33:$B$40,0)),0)=1)*(COUNTIF(G1008:I1025,$B1034)+COUNTIF(G1008:I1025,$B1034&amp;" ~*")&gt;0)+(IFERROR(INDEX(Setup!$G$33:$G$40,MATCH(K1034,Setup!$B$33:$B$40,0)),0)=1)*(COUNTIF(K1008:M1025,$B1034)+COUNTIF(K1008:M1025,$B1034&amp;" ~*")&gt;0)+(IFERROR(INDEX(Setup!$G$33:$G$40,MATCH(O1034,Setup!$B$33:$B$40,0)),0)=1)*(COUNTIF(O1008:Q1025,$B1034)+COUNTIF(O1008:Q1025,$B1034&amp;" ~*")&gt;0)+(IFERROR(INDEX(Setup!$G$33:$G$40,MATCH(S1034,Setup!$B$33:$B$40,0)),0)=1)*(COUNTIF(S1008:U1025,$B1034)+COUNTIF(S1008:U1025,$B1034&amp;" ~*")&gt;0)+(IFERROR(INDEX(Setup!$G$33:$G$40,MATCH(W1034,Setup!$B$33:$B$40,0)),0)=1)*(COUNTIF(W1008:W1025,$B1034)+COUNTIF(W1008:W1025,$B1034&amp;" ~*")&gt;0)+(IFERROR(INDEX(Setup!$G$33:$G$40,MATCH(Y1034,Setup!$B$33:$B$40,0)),0)=1)*(COUNTIF(Y1008:Y1025,$B1034)+COUNTIF(Y1008:Y1025,$B1034&amp;" ~*")&gt;0))</f>
        <v/>
      </c>
    </row>
    <row r="1035" ht="15" customHeight="1">
      <c r="A1035" t="n">
        <v>21</v>
      </c>
      <c r="B1035" s="35">
        <f>IF(Setup!$B$14="","",Setup!$B$14)</f>
        <v/>
      </c>
      <c r="C1035" s="98" t="n"/>
      <c r="D1035" s="99" t="n"/>
      <c r="E1035" s="99" t="n"/>
      <c r="F1035" s="100" t="n"/>
      <c r="G1035" s="98" t="n"/>
      <c r="H1035" s="99" t="n"/>
      <c r="I1035" s="99" t="n"/>
      <c r="J1035" s="100" t="n"/>
      <c r="K1035" s="98" t="n"/>
      <c r="L1035" s="99" t="n"/>
      <c r="M1035" s="99" t="n"/>
      <c r="N1035" s="100" t="n"/>
      <c r="O1035" s="98" t="n"/>
      <c r="P1035" s="99" t="n"/>
      <c r="Q1035" s="99" t="n"/>
      <c r="R1035" s="100" t="n"/>
      <c r="S1035" s="98" t="n"/>
      <c r="T1035" s="99" t="n"/>
      <c r="U1035" s="99" t="n"/>
      <c r="V1035" s="100" t="n"/>
      <c r="W1035" s="98" t="n"/>
      <c r="X1035" s="100" t="n"/>
      <c r="Y1035" s="98" t="n"/>
      <c r="Z1035" s="100" t="n"/>
      <c r="AB1035" s="101">
        <f>IF($B1035="","",(COUNTIF(C1008:E1025,$B1035)+COUNTIF(C1008:E1025,$B1035&amp;" ~*")&gt;0)+(COUNTIF(G1008:I1025,$B1035)+COUNTIF(G1008:I1025,$B1035&amp;" ~*")&gt;0)+(COUNTIF(K1008:M1025,$B1035)+COUNTIF(K1008:M1025,$B1035&amp;" ~*")&gt;0)+(COUNTIF(O1008:Q1025,$B1035)+COUNTIF(O1008:Q1025,$B1035&amp;" ~*")&gt;0)+(COUNTIF(S1008:U1025,$B1035)+COUNTIF(S1008:U1025,$B1035&amp;" ~*")&gt;0)+(COUNTIF(W1008:W1025,$B1035)+COUNTIF(W1008:W1025,$B1035&amp;" ~*")&gt;0)+(COUNTIF(Y1008:Y1025,$B1035)+COUNTIF(Y1008:Y1025,$B1035&amp;" ~*")&gt;0))</f>
        <v/>
      </c>
      <c r="AC1035" s="36">
        <f>IF($B1035="","",(IFERROR(INDEX(Setup!$G$33:$G$40,MATCH(C1035,Setup!$B$33:$B$40,0)),0)=1)*(COUNTIF(C1008:E1025,$B1035)+COUNTIF(C1008:E1025,$B1035&amp;" ~*")&gt;0)+(IFERROR(INDEX(Setup!$G$33:$G$40,MATCH(G1035,Setup!$B$33:$B$40,0)),0)=1)*(COUNTIF(G1008:I1025,$B1035)+COUNTIF(G1008:I1025,$B1035&amp;" ~*")&gt;0)+(IFERROR(INDEX(Setup!$G$33:$G$40,MATCH(K1035,Setup!$B$33:$B$40,0)),0)=1)*(COUNTIF(K1008:M1025,$B1035)+COUNTIF(K1008:M1025,$B1035&amp;" ~*")&gt;0)+(IFERROR(INDEX(Setup!$G$33:$G$40,MATCH(O1035,Setup!$B$33:$B$40,0)),0)=1)*(COUNTIF(O1008:Q1025,$B1035)+COUNTIF(O1008:Q1025,$B1035&amp;" ~*")&gt;0)+(IFERROR(INDEX(Setup!$G$33:$G$40,MATCH(S1035,Setup!$B$33:$B$40,0)),0)=1)*(COUNTIF(S1008:U1025,$B1035)+COUNTIF(S1008:U1025,$B1035&amp;" ~*")&gt;0)+(IFERROR(INDEX(Setup!$G$33:$G$40,MATCH(W1035,Setup!$B$33:$B$40,0)),0)=1)*(COUNTIF(W1008:W1025,$B1035)+COUNTIF(W1008:W1025,$B1035&amp;" ~*")&gt;0)+(IFERROR(INDEX(Setup!$G$33:$G$40,MATCH(Y1035,Setup!$B$33:$B$40,0)),0)=1)*(COUNTIF(Y1008:Y1025,$B1035)+COUNTIF(Y1008:Y1025,$B1035&amp;" ~*")&gt;0))</f>
        <v/>
      </c>
    </row>
    <row r="1036" ht="15" customHeight="1">
      <c r="A1036" t="n">
        <v>21</v>
      </c>
      <c r="B1036" s="37">
        <f>IF(Setup!$B$15="","",Setup!$B$15)</f>
        <v/>
      </c>
      <c r="C1036" s="102" t="n"/>
      <c r="D1036" s="103" t="n"/>
      <c r="E1036" s="103" t="n"/>
      <c r="F1036" s="104" t="n"/>
      <c r="G1036" s="102" t="n"/>
      <c r="H1036" s="103" t="n"/>
      <c r="I1036" s="103" t="n"/>
      <c r="J1036" s="104" t="n"/>
      <c r="K1036" s="102" t="n"/>
      <c r="L1036" s="103" t="n"/>
      <c r="M1036" s="103" t="n"/>
      <c r="N1036" s="104" t="n"/>
      <c r="O1036" s="102" t="inlineStr">
        <is>
          <t>AL</t>
        </is>
      </c>
      <c r="P1036" s="103" t="n"/>
      <c r="Q1036" s="103" t="n"/>
      <c r="R1036" s="104" t="n"/>
      <c r="S1036" s="102" t="inlineStr">
        <is>
          <t>AL</t>
        </is>
      </c>
      <c r="T1036" s="103" t="n"/>
      <c r="U1036" s="103" t="n"/>
      <c r="V1036" s="104" t="n"/>
      <c r="W1036" s="102" t="n"/>
      <c r="X1036" s="104" t="n"/>
      <c r="Y1036" s="102" t="n"/>
      <c r="Z1036" s="104" t="n"/>
      <c r="AB1036" s="105">
        <f>IF($B1036="","",(COUNTIF(C1008:E1025,$B1036)+COUNTIF(C1008:E1025,$B1036&amp;" ~*")&gt;0)+(COUNTIF(G1008:I1025,$B1036)+COUNTIF(G1008:I1025,$B1036&amp;" ~*")&gt;0)+(COUNTIF(K1008:M1025,$B1036)+COUNTIF(K1008:M1025,$B1036&amp;" ~*")&gt;0)+(COUNTIF(O1008:Q1025,$B1036)+COUNTIF(O1008:Q1025,$B1036&amp;" ~*")&gt;0)+(COUNTIF(S1008:U1025,$B1036)+COUNTIF(S1008:U1025,$B1036&amp;" ~*")&gt;0)+(COUNTIF(W1008:W1025,$B1036)+COUNTIF(W1008:W1025,$B1036&amp;" ~*")&gt;0)+(COUNTIF(Y1008:Y1025,$B1036)+COUNTIF(Y1008:Y1025,$B1036&amp;" ~*")&gt;0))</f>
        <v/>
      </c>
      <c r="AC1036" s="38">
        <f>IF($B1036="","",(IFERROR(INDEX(Setup!$G$33:$G$40,MATCH(C1036,Setup!$B$33:$B$40,0)),0)=1)*(COUNTIF(C1008:E1025,$B1036)+COUNTIF(C1008:E1025,$B1036&amp;" ~*")&gt;0)+(IFERROR(INDEX(Setup!$G$33:$G$40,MATCH(G1036,Setup!$B$33:$B$40,0)),0)=1)*(COUNTIF(G1008:I1025,$B1036)+COUNTIF(G1008:I1025,$B1036&amp;" ~*")&gt;0)+(IFERROR(INDEX(Setup!$G$33:$G$40,MATCH(K1036,Setup!$B$33:$B$40,0)),0)=1)*(COUNTIF(K1008:M1025,$B1036)+COUNTIF(K1008:M1025,$B1036&amp;" ~*")&gt;0)+(IFERROR(INDEX(Setup!$G$33:$G$40,MATCH(O1036,Setup!$B$33:$B$40,0)),0)=1)*(COUNTIF(O1008:Q1025,$B1036)+COUNTIF(O1008:Q1025,$B1036&amp;" ~*")&gt;0)+(IFERROR(INDEX(Setup!$G$33:$G$40,MATCH(S1036,Setup!$B$33:$B$40,0)),0)=1)*(COUNTIF(S1008:U1025,$B1036)+COUNTIF(S1008:U1025,$B1036&amp;" ~*")&gt;0)+(IFERROR(INDEX(Setup!$G$33:$G$40,MATCH(W1036,Setup!$B$33:$B$40,0)),0)=1)*(COUNTIF(W1008:W1025,$B1036)+COUNTIF(W1008:W1025,$B1036&amp;" ~*")&gt;0)+(IFERROR(INDEX(Setup!$G$33:$G$40,MATCH(Y1036,Setup!$B$33:$B$40,0)),0)=1)*(COUNTIF(Y1008:Y1025,$B1036)+COUNTIF(Y1008:Y1025,$B1036&amp;" ~*")&gt;0))</f>
        <v/>
      </c>
    </row>
    <row r="1037" ht="15" customHeight="1">
      <c r="A1037" t="n">
        <v>21</v>
      </c>
      <c r="B1037" s="35">
        <f>IF(Setup!$B$16="","",Setup!$B$16)</f>
        <v/>
      </c>
      <c r="C1037" s="98" t="n"/>
      <c r="D1037" s="99" t="n"/>
      <c r="E1037" s="99" t="n"/>
      <c r="F1037" s="100" t="n"/>
      <c r="G1037" s="98" t="n"/>
      <c r="H1037" s="99" t="n"/>
      <c r="I1037" s="99" t="n"/>
      <c r="J1037" s="100" t="n"/>
      <c r="K1037" s="98" t="n"/>
      <c r="L1037" s="99" t="n"/>
      <c r="M1037" s="99" t="n"/>
      <c r="N1037" s="100" t="n"/>
      <c r="O1037" s="98" t="n"/>
      <c r="P1037" s="99" t="n"/>
      <c r="Q1037" s="99" t="n"/>
      <c r="R1037" s="100" t="n"/>
      <c r="S1037" s="98" t="n"/>
      <c r="T1037" s="99" t="n"/>
      <c r="U1037" s="99" t="n"/>
      <c r="V1037" s="100" t="n"/>
      <c r="W1037" s="98" t="n"/>
      <c r="X1037" s="100" t="n"/>
      <c r="Y1037" s="98" t="n"/>
      <c r="Z1037" s="100" t="n"/>
      <c r="AB1037" s="101">
        <f>IF($B1037="","",(COUNTIF(C1008:E1025,$B1037)+COUNTIF(C1008:E1025,$B1037&amp;" ~*")&gt;0)+(COUNTIF(G1008:I1025,$B1037)+COUNTIF(G1008:I1025,$B1037&amp;" ~*")&gt;0)+(COUNTIF(K1008:M1025,$B1037)+COUNTIF(K1008:M1025,$B1037&amp;" ~*")&gt;0)+(COUNTIF(O1008:Q1025,$B1037)+COUNTIF(O1008:Q1025,$B1037&amp;" ~*")&gt;0)+(COUNTIF(S1008:U1025,$B1037)+COUNTIF(S1008:U1025,$B1037&amp;" ~*")&gt;0)+(COUNTIF(W1008:W1025,$B1037)+COUNTIF(W1008:W1025,$B1037&amp;" ~*")&gt;0)+(COUNTIF(Y1008:Y1025,$B1037)+COUNTIF(Y1008:Y1025,$B1037&amp;" ~*")&gt;0))</f>
        <v/>
      </c>
      <c r="AC1037" s="36">
        <f>IF($B1037="","",(IFERROR(INDEX(Setup!$G$33:$G$40,MATCH(C1037,Setup!$B$33:$B$40,0)),0)=1)*(COUNTIF(C1008:E1025,$B1037)+COUNTIF(C1008:E1025,$B1037&amp;" ~*")&gt;0)+(IFERROR(INDEX(Setup!$G$33:$G$40,MATCH(G1037,Setup!$B$33:$B$40,0)),0)=1)*(COUNTIF(G1008:I1025,$B1037)+COUNTIF(G1008:I1025,$B1037&amp;" ~*")&gt;0)+(IFERROR(INDEX(Setup!$G$33:$G$40,MATCH(K1037,Setup!$B$33:$B$40,0)),0)=1)*(COUNTIF(K1008:M1025,$B1037)+COUNTIF(K1008:M1025,$B1037&amp;" ~*")&gt;0)+(IFERROR(INDEX(Setup!$G$33:$G$40,MATCH(O1037,Setup!$B$33:$B$40,0)),0)=1)*(COUNTIF(O1008:Q1025,$B1037)+COUNTIF(O1008:Q1025,$B1037&amp;" ~*")&gt;0)+(IFERROR(INDEX(Setup!$G$33:$G$40,MATCH(S1037,Setup!$B$33:$B$40,0)),0)=1)*(COUNTIF(S1008:U1025,$B1037)+COUNTIF(S1008:U1025,$B1037&amp;" ~*")&gt;0)+(IFERROR(INDEX(Setup!$G$33:$G$40,MATCH(W1037,Setup!$B$33:$B$40,0)),0)=1)*(COUNTIF(W1008:W1025,$B1037)+COUNTIF(W1008:W1025,$B1037&amp;" ~*")&gt;0)+(IFERROR(INDEX(Setup!$G$33:$G$40,MATCH(Y1037,Setup!$B$33:$B$40,0)),0)=1)*(COUNTIF(Y1008:Y1025,$B1037)+COUNTIF(Y1008:Y1025,$B1037&amp;" ~*")&gt;0))</f>
        <v/>
      </c>
    </row>
    <row r="1038" ht="15" customHeight="1">
      <c r="A1038" t="n">
        <v>21</v>
      </c>
      <c r="B1038" s="37">
        <f>IF(Setup!$B$17="","",Setup!$B$17)</f>
        <v/>
      </c>
      <c r="C1038" s="102" t="n"/>
      <c r="D1038" s="103" t="n"/>
      <c r="E1038" s="103" t="n"/>
      <c r="F1038" s="104" t="n"/>
      <c r="G1038" s="102" t="n"/>
      <c r="H1038" s="103" t="n"/>
      <c r="I1038" s="103" t="n"/>
      <c r="J1038" s="104" t="n"/>
      <c r="K1038" s="102" t="n"/>
      <c r="L1038" s="103" t="n"/>
      <c r="M1038" s="103" t="n"/>
      <c r="N1038" s="104" t="n"/>
      <c r="O1038" s="102" t="n"/>
      <c r="P1038" s="103" t="n"/>
      <c r="Q1038" s="103" t="n"/>
      <c r="R1038" s="104" t="n"/>
      <c r="S1038" s="102" t="n"/>
      <c r="T1038" s="103" t="n"/>
      <c r="U1038" s="103" t="n"/>
      <c r="V1038" s="104" t="n"/>
      <c r="W1038" s="102" t="n"/>
      <c r="X1038" s="104" t="n"/>
      <c r="Y1038" s="102" t="n"/>
      <c r="Z1038" s="104" t="n"/>
      <c r="AB1038" s="105">
        <f>IF($B1038="","",(COUNTIF(C1008:E1025,$B1038)+COUNTIF(C1008:E1025,$B1038&amp;" ~*")&gt;0)+(COUNTIF(G1008:I1025,$B1038)+COUNTIF(G1008:I1025,$B1038&amp;" ~*")&gt;0)+(COUNTIF(K1008:M1025,$B1038)+COUNTIF(K1008:M1025,$B1038&amp;" ~*")&gt;0)+(COUNTIF(O1008:Q1025,$B1038)+COUNTIF(O1008:Q1025,$B1038&amp;" ~*")&gt;0)+(COUNTIF(S1008:U1025,$B1038)+COUNTIF(S1008:U1025,$B1038&amp;" ~*")&gt;0)+(COUNTIF(W1008:W1025,$B1038)+COUNTIF(W1008:W1025,$B1038&amp;" ~*")&gt;0)+(COUNTIF(Y1008:Y1025,$B1038)+COUNTIF(Y1008:Y1025,$B1038&amp;" ~*")&gt;0))</f>
        <v/>
      </c>
      <c r="AC1038" s="38">
        <f>IF($B1038="","",(IFERROR(INDEX(Setup!$G$33:$G$40,MATCH(C1038,Setup!$B$33:$B$40,0)),0)=1)*(COUNTIF(C1008:E1025,$B1038)+COUNTIF(C1008:E1025,$B1038&amp;" ~*")&gt;0)+(IFERROR(INDEX(Setup!$G$33:$G$40,MATCH(G1038,Setup!$B$33:$B$40,0)),0)=1)*(COUNTIF(G1008:I1025,$B1038)+COUNTIF(G1008:I1025,$B1038&amp;" ~*")&gt;0)+(IFERROR(INDEX(Setup!$G$33:$G$40,MATCH(K1038,Setup!$B$33:$B$40,0)),0)=1)*(COUNTIF(K1008:M1025,$B1038)+COUNTIF(K1008:M1025,$B1038&amp;" ~*")&gt;0)+(IFERROR(INDEX(Setup!$G$33:$G$40,MATCH(O1038,Setup!$B$33:$B$40,0)),0)=1)*(COUNTIF(O1008:Q1025,$B1038)+COUNTIF(O1008:Q1025,$B1038&amp;" ~*")&gt;0)+(IFERROR(INDEX(Setup!$G$33:$G$40,MATCH(S1038,Setup!$B$33:$B$40,0)),0)=1)*(COUNTIF(S1008:U1025,$B1038)+COUNTIF(S1008:U1025,$B1038&amp;" ~*")&gt;0)+(IFERROR(INDEX(Setup!$G$33:$G$40,MATCH(W1038,Setup!$B$33:$B$40,0)),0)=1)*(COUNTIF(W1008:W1025,$B1038)+COUNTIF(W1008:W1025,$B1038&amp;" ~*")&gt;0)+(IFERROR(INDEX(Setup!$G$33:$G$40,MATCH(Y1038,Setup!$B$33:$B$40,0)),0)=1)*(COUNTIF(Y1008:Y1025,$B1038)+COUNTIF(Y1008:Y1025,$B1038&amp;" ~*")&gt;0))</f>
        <v/>
      </c>
    </row>
    <row r="1039" ht="15" customHeight="1">
      <c r="A1039" t="n">
        <v>21</v>
      </c>
      <c r="B1039" s="35">
        <f>IF(Setup!$B$18="","",Setup!$B$18)</f>
        <v/>
      </c>
      <c r="C1039" s="98" t="n"/>
      <c r="D1039" s="99" t="n"/>
      <c r="E1039" s="99" t="n"/>
      <c r="F1039" s="100" t="n"/>
      <c r="G1039" s="98" t="n"/>
      <c r="H1039" s="99" t="n"/>
      <c r="I1039" s="99" t="n"/>
      <c r="J1039" s="100" t="n"/>
      <c r="K1039" s="98" t="n"/>
      <c r="L1039" s="99" t="n"/>
      <c r="M1039" s="99" t="n"/>
      <c r="N1039" s="100" t="n"/>
      <c r="O1039" s="98" t="n"/>
      <c r="P1039" s="99" t="n"/>
      <c r="Q1039" s="99" t="n"/>
      <c r="R1039" s="100" t="n"/>
      <c r="S1039" s="98" t="n"/>
      <c r="T1039" s="99" t="n"/>
      <c r="U1039" s="99" t="n"/>
      <c r="V1039" s="100" t="n"/>
      <c r="W1039" s="98" t="n"/>
      <c r="X1039" s="100" t="n"/>
      <c r="Y1039" s="98" t="n"/>
      <c r="Z1039" s="100" t="n"/>
      <c r="AB1039" s="101">
        <f>IF($B1039="","",(COUNTIF(C1008:E1025,$B1039)+COUNTIF(C1008:E1025,$B1039&amp;" ~*")&gt;0)+(COUNTIF(G1008:I1025,$B1039)+COUNTIF(G1008:I1025,$B1039&amp;" ~*")&gt;0)+(COUNTIF(K1008:M1025,$B1039)+COUNTIF(K1008:M1025,$B1039&amp;" ~*")&gt;0)+(COUNTIF(O1008:Q1025,$B1039)+COUNTIF(O1008:Q1025,$B1039&amp;" ~*")&gt;0)+(COUNTIF(S1008:U1025,$B1039)+COUNTIF(S1008:U1025,$B1039&amp;" ~*")&gt;0)+(COUNTIF(W1008:W1025,$B1039)+COUNTIF(W1008:W1025,$B1039&amp;" ~*")&gt;0)+(COUNTIF(Y1008:Y1025,$B1039)+COUNTIF(Y1008:Y1025,$B1039&amp;" ~*")&gt;0))</f>
        <v/>
      </c>
      <c r="AC1039" s="36">
        <f>IF($B1039="","",(IFERROR(INDEX(Setup!$G$33:$G$40,MATCH(C1039,Setup!$B$33:$B$40,0)),0)=1)*(COUNTIF(C1008:E1025,$B1039)+COUNTIF(C1008:E1025,$B1039&amp;" ~*")&gt;0)+(IFERROR(INDEX(Setup!$G$33:$G$40,MATCH(G1039,Setup!$B$33:$B$40,0)),0)=1)*(COUNTIF(G1008:I1025,$B1039)+COUNTIF(G1008:I1025,$B1039&amp;" ~*")&gt;0)+(IFERROR(INDEX(Setup!$G$33:$G$40,MATCH(K1039,Setup!$B$33:$B$40,0)),0)=1)*(COUNTIF(K1008:M1025,$B1039)+COUNTIF(K1008:M1025,$B1039&amp;" ~*")&gt;0)+(IFERROR(INDEX(Setup!$G$33:$G$40,MATCH(O1039,Setup!$B$33:$B$40,0)),0)=1)*(COUNTIF(O1008:Q1025,$B1039)+COUNTIF(O1008:Q1025,$B1039&amp;" ~*")&gt;0)+(IFERROR(INDEX(Setup!$G$33:$G$40,MATCH(S1039,Setup!$B$33:$B$40,0)),0)=1)*(COUNTIF(S1008:U1025,$B1039)+COUNTIF(S1008:U1025,$B1039&amp;" ~*")&gt;0)+(IFERROR(INDEX(Setup!$G$33:$G$40,MATCH(W1039,Setup!$B$33:$B$40,0)),0)=1)*(COUNTIF(W1008:W1025,$B1039)+COUNTIF(W1008:W1025,$B1039&amp;" ~*")&gt;0)+(IFERROR(INDEX(Setup!$G$33:$G$40,MATCH(Y1039,Setup!$B$33:$B$40,0)),0)=1)*(COUNTIF(Y1008:Y1025,$B1039)+COUNTIF(Y1008:Y1025,$B1039&amp;" ~*")&gt;0))</f>
        <v/>
      </c>
    </row>
    <row r="1040" ht="15" customHeight="1">
      <c r="A1040" t="n">
        <v>21</v>
      </c>
      <c r="B1040" s="37">
        <f>IF(Setup!$B$19="","",Setup!$B$19)</f>
        <v/>
      </c>
      <c r="C1040" s="102" t="n"/>
      <c r="D1040" s="103" t="n"/>
      <c r="E1040" s="103" t="n"/>
      <c r="F1040" s="104" t="n"/>
      <c r="G1040" s="102" t="n"/>
      <c r="H1040" s="103" t="n"/>
      <c r="I1040" s="103" t="n"/>
      <c r="J1040" s="104" t="n"/>
      <c r="K1040" s="102" t="n"/>
      <c r="L1040" s="103" t="n"/>
      <c r="M1040" s="103" t="n"/>
      <c r="N1040" s="104" t="n"/>
      <c r="O1040" s="102" t="n"/>
      <c r="P1040" s="103" t="n"/>
      <c r="Q1040" s="103" t="n"/>
      <c r="R1040" s="104" t="n"/>
      <c r="S1040" s="102" t="inlineStr">
        <is>
          <t>AL</t>
        </is>
      </c>
      <c r="T1040" s="103" t="n"/>
      <c r="U1040" s="103" t="n"/>
      <c r="V1040" s="104" t="n"/>
      <c r="W1040" s="102" t="n"/>
      <c r="X1040" s="104" t="n"/>
      <c r="Y1040" s="102" t="n"/>
      <c r="Z1040" s="104" t="n"/>
      <c r="AB1040" s="105">
        <f>IF($B1040="","",(COUNTIF(C1008:E1025,$B1040)+COUNTIF(C1008:E1025,$B1040&amp;" ~*")&gt;0)+(COUNTIF(G1008:I1025,$B1040)+COUNTIF(G1008:I1025,$B1040&amp;" ~*")&gt;0)+(COUNTIF(K1008:M1025,$B1040)+COUNTIF(K1008:M1025,$B1040&amp;" ~*")&gt;0)+(COUNTIF(O1008:Q1025,$B1040)+COUNTIF(O1008:Q1025,$B1040&amp;" ~*")&gt;0)+(COUNTIF(S1008:U1025,$B1040)+COUNTIF(S1008:U1025,$B1040&amp;" ~*")&gt;0)+(COUNTIF(W1008:W1025,$B1040)+COUNTIF(W1008:W1025,$B1040&amp;" ~*")&gt;0)+(COUNTIF(Y1008:Y1025,$B1040)+COUNTIF(Y1008:Y1025,$B1040&amp;" ~*")&gt;0))</f>
        <v/>
      </c>
      <c r="AC1040" s="38">
        <f>IF($B1040="","",(IFERROR(INDEX(Setup!$G$33:$G$40,MATCH(C1040,Setup!$B$33:$B$40,0)),0)=1)*(COUNTIF(C1008:E1025,$B1040)+COUNTIF(C1008:E1025,$B1040&amp;" ~*")&gt;0)+(IFERROR(INDEX(Setup!$G$33:$G$40,MATCH(G1040,Setup!$B$33:$B$40,0)),0)=1)*(COUNTIF(G1008:I1025,$B1040)+COUNTIF(G1008:I1025,$B1040&amp;" ~*")&gt;0)+(IFERROR(INDEX(Setup!$G$33:$G$40,MATCH(K1040,Setup!$B$33:$B$40,0)),0)=1)*(COUNTIF(K1008:M1025,$B1040)+COUNTIF(K1008:M1025,$B1040&amp;" ~*")&gt;0)+(IFERROR(INDEX(Setup!$G$33:$G$40,MATCH(O1040,Setup!$B$33:$B$40,0)),0)=1)*(COUNTIF(O1008:Q1025,$B1040)+COUNTIF(O1008:Q1025,$B1040&amp;" ~*")&gt;0)+(IFERROR(INDEX(Setup!$G$33:$G$40,MATCH(S1040,Setup!$B$33:$B$40,0)),0)=1)*(COUNTIF(S1008:U1025,$B1040)+COUNTIF(S1008:U1025,$B1040&amp;" ~*")&gt;0)+(IFERROR(INDEX(Setup!$G$33:$G$40,MATCH(W1040,Setup!$B$33:$B$40,0)),0)=1)*(COUNTIF(W1008:W1025,$B1040)+COUNTIF(W1008:W1025,$B1040&amp;" ~*")&gt;0)+(IFERROR(INDEX(Setup!$G$33:$G$40,MATCH(Y1040,Setup!$B$33:$B$40,0)),0)=1)*(COUNTIF(Y1008:Y1025,$B1040)+COUNTIF(Y1008:Y1025,$B1040&amp;" ~*")&gt;0))</f>
        <v/>
      </c>
    </row>
    <row r="1041" ht="15" customHeight="1">
      <c r="A1041" t="n">
        <v>21</v>
      </c>
      <c r="B1041" s="35">
        <f>IF(Setup!$B$20="","",Setup!$B$20)</f>
        <v/>
      </c>
      <c r="C1041" s="98" t="n"/>
      <c r="D1041" s="99" t="n"/>
      <c r="E1041" s="99" t="n"/>
      <c r="F1041" s="100" t="n"/>
      <c r="G1041" s="98" t="n"/>
      <c r="H1041" s="99" t="n"/>
      <c r="I1041" s="99" t="n"/>
      <c r="J1041" s="100" t="n"/>
      <c r="K1041" s="98" t="n"/>
      <c r="L1041" s="99" t="n"/>
      <c r="M1041" s="99" t="n"/>
      <c r="N1041" s="100" t="n"/>
      <c r="O1041" s="98" t="n"/>
      <c r="P1041" s="99" t="n"/>
      <c r="Q1041" s="99" t="n"/>
      <c r="R1041" s="100" t="n"/>
      <c r="S1041" s="98" t="n"/>
      <c r="T1041" s="99" t="n"/>
      <c r="U1041" s="99" t="n"/>
      <c r="V1041" s="100" t="n"/>
      <c r="W1041" s="98" t="n"/>
      <c r="X1041" s="100" t="n"/>
      <c r="Y1041" s="98" t="n"/>
      <c r="Z1041" s="100" t="n"/>
      <c r="AB1041" s="101">
        <f>IF($B1041="","",(COUNTIF(C1008:E1025,$B1041)+COUNTIF(C1008:E1025,$B1041&amp;" ~*")&gt;0)+(COUNTIF(G1008:I1025,$B1041)+COUNTIF(G1008:I1025,$B1041&amp;" ~*")&gt;0)+(COUNTIF(K1008:M1025,$B1041)+COUNTIF(K1008:M1025,$B1041&amp;" ~*")&gt;0)+(COUNTIF(O1008:Q1025,$B1041)+COUNTIF(O1008:Q1025,$B1041&amp;" ~*")&gt;0)+(COUNTIF(S1008:U1025,$B1041)+COUNTIF(S1008:U1025,$B1041&amp;" ~*")&gt;0)+(COUNTIF(W1008:W1025,$B1041)+COUNTIF(W1008:W1025,$B1041&amp;" ~*")&gt;0)+(COUNTIF(Y1008:Y1025,$B1041)+COUNTIF(Y1008:Y1025,$B1041&amp;" ~*")&gt;0))</f>
        <v/>
      </c>
      <c r="AC1041" s="36">
        <f>IF($B1041="","",(IFERROR(INDEX(Setup!$G$33:$G$40,MATCH(C1041,Setup!$B$33:$B$40,0)),0)=1)*(COUNTIF(C1008:E1025,$B1041)+COUNTIF(C1008:E1025,$B1041&amp;" ~*")&gt;0)+(IFERROR(INDEX(Setup!$G$33:$G$40,MATCH(G1041,Setup!$B$33:$B$40,0)),0)=1)*(COUNTIF(G1008:I1025,$B1041)+COUNTIF(G1008:I1025,$B1041&amp;" ~*")&gt;0)+(IFERROR(INDEX(Setup!$G$33:$G$40,MATCH(K1041,Setup!$B$33:$B$40,0)),0)=1)*(COUNTIF(K1008:M1025,$B1041)+COUNTIF(K1008:M1025,$B1041&amp;" ~*")&gt;0)+(IFERROR(INDEX(Setup!$G$33:$G$40,MATCH(O1041,Setup!$B$33:$B$40,0)),0)=1)*(COUNTIF(O1008:Q1025,$B1041)+COUNTIF(O1008:Q1025,$B1041&amp;" ~*")&gt;0)+(IFERROR(INDEX(Setup!$G$33:$G$40,MATCH(S1041,Setup!$B$33:$B$40,0)),0)=1)*(COUNTIF(S1008:U1025,$B1041)+COUNTIF(S1008:U1025,$B1041&amp;" ~*")&gt;0)+(IFERROR(INDEX(Setup!$G$33:$G$40,MATCH(W1041,Setup!$B$33:$B$40,0)),0)=1)*(COUNTIF(W1008:W1025,$B1041)+COUNTIF(W1008:W1025,$B1041&amp;" ~*")&gt;0)+(IFERROR(INDEX(Setup!$G$33:$G$40,MATCH(Y1041,Setup!$B$33:$B$40,0)),0)=1)*(COUNTIF(Y1008:Y1025,$B1041)+COUNTIF(Y1008:Y1025,$B1041&amp;" ~*")&gt;0))</f>
        <v/>
      </c>
    </row>
    <row r="1042" ht="15" customHeight="1">
      <c r="A1042" t="n">
        <v>21</v>
      </c>
      <c r="B1042" s="37">
        <f>IF(Setup!$B$21="","",Setup!$B$21)</f>
        <v/>
      </c>
      <c r="C1042" s="102" t="n"/>
      <c r="D1042" s="103" t="n"/>
      <c r="E1042" s="103" t="n"/>
      <c r="F1042" s="104" t="n"/>
      <c r="G1042" s="102" t="n"/>
      <c r="H1042" s="103" t="n"/>
      <c r="I1042" s="103" t="n"/>
      <c r="J1042" s="104" t="n"/>
      <c r="K1042" s="102" t="n"/>
      <c r="L1042" s="103" t="n"/>
      <c r="M1042" s="103" t="n"/>
      <c r="N1042" s="104" t="n"/>
      <c r="O1042" s="102" t="n"/>
      <c r="P1042" s="103" t="n"/>
      <c r="Q1042" s="103" t="n"/>
      <c r="R1042" s="104" t="n"/>
      <c r="S1042" s="102" t="inlineStr">
        <is>
          <t>AL</t>
        </is>
      </c>
      <c r="T1042" s="103" t="n"/>
      <c r="U1042" s="103" t="n"/>
      <c r="V1042" s="104" t="n"/>
      <c r="W1042" s="102" t="n"/>
      <c r="X1042" s="104" t="n"/>
      <c r="Y1042" s="102" t="n"/>
      <c r="Z1042" s="104" t="n"/>
      <c r="AB1042" s="105">
        <f>IF($B1042="","",(COUNTIF(C1008:E1025,$B1042)+COUNTIF(C1008:E1025,$B1042&amp;" ~*")&gt;0)+(COUNTIF(G1008:I1025,$B1042)+COUNTIF(G1008:I1025,$B1042&amp;" ~*")&gt;0)+(COUNTIF(K1008:M1025,$B1042)+COUNTIF(K1008:M1025,$B1042&amp;" ~*")&gt;0)+(COUNTIF(O1008:Q1025,$B1042)+COUNTIF(O1008:Q1025,$B1042&amp;" ~*")&gt;0)+(COUNTIF(S1008:U1025,$B1042)+COUNTIF(S1008:U1025,$B1042&amp;" ~*")&gt;0)+(COUNTIF(W1008:W1025,$B1042)+COUNTIF(W1008:W1025,$B1042&amp;" ~*")&gt;0)+(COUNTIF(Y1008:Y1025,$B1042)+COUNTIF(Y1008:Y1025,$B1042&amp;" ~*")&gt;0))</f>
        <v/>
      </c>
      <c r="AC1042" s="38">
        <f>IF($B1042="","",(IFERROR(INDEX(Setup!$G$33:$G$40,MATCH(C1042,Setup!$B$33:$B$40,0)),0)=1)*(COUNTIF(C1008:E1025,$B1042)+COUNTIF(C1008:E1025,$B1042&amp;" ~*")&gt;0)+(IFERROR(INDEX(Setup!$G$33:$G$40,MATCH(G1042,Setup!$B$33:$B$40,0)),0)=1)*(COUNTIF(G1008:I1025,$B1042)+COUNTIF(G1008:I1025,$B1042&amp;" ~*")&gt;0)+(IFERROR(INDEX(Setup!$G$33:$G$40,MATCH(K1042,Setup!$B$33:$B$40,0)),0)=1)*(COUNTIF(K1008:M1025,$B1042)+COUNTIF(K1008:M1025,$B1042&amp;" ~*")&gt;0)+(IFERROR(INDEX(Setup!$G$33:$G$40,MATCH(O1042,Setup!$B$33:$B$40,0)),0)=1)*(COUNTIF(O1008:Q1025,$B1042)+COUNTIF(O1008:Q1025,$B1042&amp;" ~*")&gt;0)+(IFERROR(INDEX(Setup!$G$33:$G$40,MATCH(S1042,Setup!$B$33:$B$40,0)),0)=1)*(COUNTIF(S1008:U1025,$B1042)+COUNTIF(S1008:U1025,$B1042&amp;" ~*")&gt;0)+(IFERROR(INDEX(Setup!$G$33:$G$40,MATCH(W1042,Setup!$B$33:$B$40,0)),0)=1)*(COUNTIF(W1008:W1025,$B1042)+COUNTIF(W1008:W1025,$B1042&amp;" ~*")&gt;0)+(IFERROR(INDEX(Setup!$G$33:$G$40,MATCH(Y1042,Setup!$B$33:$B$40,0)),0)=1)*(COUNTIF(Y1008:Y1025,$B1042)+COUNTIF(Y1008:Y1025,$B1042&amp;" ~*")&gt;0))</f>
        <v/>
      </c>
    </row>
    <row r="1043" ht="15" customHeight="1">
      <c r="A1043" t="n">
        <v>21</v>
      </c>
      <c r="B1043" s="35">
        <f>IF(Setup!$B$22="","",Setup!$B$22)</f>
        <v/>
      </c>
      <c r="C1043" s="98" t="n"/>
      <c r="D1043" s="99" t="n"/>
      <c r="E1043" s="99" t="n"/>
      <c r="F1043" s="100" t="n"/>
      <c r="G1043" s="98" t="n"/>
      <c r="H1043" s="99" t="n"/>
      <c r="I1043" s="99" t="n"/>
      <c r="J1043" s="100" t="n"/>
      <c r="K1043" s="98" t="n"/>
      <c r="L1043" s="99" t="n"/>
      <c r="M1043" s="99" t="n"/>
      <c r="N1043" s="100" t="n"/>
      <c r="O1043" s="98" t="n"/>
      <c r="P1043" s="99" t="n"/>
      <c r="Q1043" s="99" t="n"/>
      <c r="R1043" s="100" t="n"/>
      <c r="S1043" s="98" t="n"/>
      <c r="T1043" s="99" t="n"/>
      <c r="U1043" s="99" t="n"/>
      <c r="V1043" s="100" t="n"/>
      <c r="W1043" s="98" t="n"/>
      <c r="X1043" s="100" t="n"/>
      <c r="Y1043" s="98" t="n"/>
      <c r="Z1043" s="100" t="n"/>
      <c r="AB1043" s="101">
        <f>IF($B1043="","",(COUNTIF(C1008:E1025,$B1043)+COUNTIF(C1008:E1025,$B1043&amp;" ~*")&gt;0)+(COUNTIF(G1008:I1025,$B1043)+COUNTIF(G1008:I1025,$B1043&amp;" ~*")&gt;0)+(COUNTIF(K1008:M1025,$B1043)+COUNTIF(K1008:M1025,$B1043&amp;" ~*")&gt;0)+(COUNTIF(O1008:Q1025,$B1043)+COUNTIF(O1008:Q1025,$B1043&amp;" ~*")&gt;0)+(COUNTIF(S1008:U1025,$B1043)+COUNTIF(S1008:U1025,$B1043&amp;" ~*")&gt;0)+(COUNTIF(W1008:W1025,$B1043)+COUNTIF(W1008:W1025,$B1043&amp;" ~*")&gt;0)+(COUNTIF(Y1008:Y1025,$B1043)+COUNTIF(Y1008:Y1025,$B1043&amp;" ~*")&gt;0))</f>
        <v/>
      </c>
      <c r="AC1043" s="36">
        <f>IF($B1043="","",(IFERROR(INDEX(Setup!$G$33:$G$40,MATCH(C1043,Setup!$B$33:$B$40,0)),0)=1)*(COUNTIF(C1008:E1025,$B1043)+COUNTIF(C1008:E1025,$B1043&amp;" ~*")&gt;0)+(IFERROR(INDEX(Setup!$G$33:$G$40,MATCH(G1043,Setup!$B$33:$B$40,0)),0)=1)*(COUNTIF(G1008:I1025,$B1043)+COUNTIF(G1008:I1025,$B1043&amp;" ~*")&gt;0)+(IFERROR(INDEX(Setup!$G$33:$G$40,MATCH(K1043,Setup!$B$33:$B$40,0)),0)=1)*(COUNTIF(K1008:M1025,$B1043)+COUNTIF(K1008:M1025,$B1043&amp;" ~*")&gt;0)+(IFERROR(INDEX(Setup!$G$33:$G$40,MATCH(O1043,Setup!$B$33:$B$40,0)),0)=1)*(COUNTIF(O1008:Q1025,$B1043)+COUNTIF(O1008:Q1025,$B1043&amp;" ~*")&gt;0)+(IFERROR(INDEX(Setup!$G$33:$G$40,MATCH(S1043,Setup!$B$33:$B$40,0)),0)=1)*(COUNTIF(S1008:U1025,$B1043)+COUNTIF(S1008:U1025,$B1043&amp;" ~*")&gt;0)+(IFERROR(INDEX(Setup!$G$33:$G$40,MATCH(W1043,Setup!$B$33:$B$40,0)),0)=1)*(COUNTIF(W1008:W1025,$B1043)+COUNTIF(W1008:W1025,$B1043&amp;" ~*")&gt;0)+(IFERROR(INDEX(Setup!$G$33:$G$40,MATCH(Y1043,Setup!$B$33:$B$40,0)),0)=1)*(COUNTIF(Y1008:Y1025,$B1043)+COUNTIF(Y1008:Y1025,$B1043&amp;" ~*")&gt;0))</f>
        <v/>
      </c>
    </row>
    <row r="1044" ht="15" customHeight="1">
      <c r="A1044" t="n">
        <v>21</v>
      </c>
      <c r="B1044" s="37">
        <f>IF(Setup!$B$23="","",Setup!$B$23)</f>
        <v/>
      </c>
      <c r="C1044" s="102" t="n"/>
      <c r="D1044" s="103" t="n"/>
      <c r="E1044" s="103" t="n"/>
      <c r="F1044" s="104" t="n"/>
      <c r="G1044" s="102" t="n"/>
      <c r="H1044" s="103" t="n"/>
      <c r="I1044" s="103" t="n"/>
      <c r="J1044" s="104" t="n"/>
      <c r="K1044" s="102" t="n"/>
      <c r="L1044" s="103" t="n"/>
      <c r="M1044" s="103" t="n"/>
      <c r="N1044" s="104" t="n"/>
      <c r="O1044" s="102" t="n"/>
      <c r="P1044" s="103" t="n"/>
      <c r="Q1044" s="103" t="n"/>
      <c r="R1044" s="104" t="n"/>
      <c r="S1044" s="102" t="n"/>
      <c r="T1044" s="103" t="n"/>
      <c r="U1044" s="103" t="n"/>
      <c r="V1044" s="104" t="n"/>
      <c r="W1044" s="102" t="n"/>
      <c r="X1044" s="104" t="n"/>
      <c r="Y1044" s="102" t="n"/>
      <c r="Z1044" s="104" t="n"/>
      <c r="AB1044" s="105">
        <f>IF($B1044="","",(COUNTIF(C1008:E1025,$B1044)+COUNTIF(C1008:E1025,$B1044&amp;" ~*")&gt;0)+(COUNTIF(G1008:I1025,$B1044)+COUNTIF(G1008:I1025,$B1044&amp;" ~*")&gt;0)+(COUNTIF(K1008:M1025,$B1044)+COUNTIF(K1008:M1025,$B1044&amp;" ~*")&gt;0)+(COUNTIF(O1008:Q1025,$B1044)+COUNTIF(O1008:Q1025,$B1044&amp;" ~*")&gt;0)+(COUNTIF(S1008:U1025,$B1044)+COUNTIF(S1008:U1025,$B1044&amp;" ~*")&gt;0)+(COUNTIF(W1008:W1025,$B1044)+COUNTIF(W1008:W1025,$B1044&amp;" ~*")&gt;0)+(COUNTIF(Y1008:Y1025,$B1044)+COUNTIF(Y1008:Y1025,$B1044&amp;" ~*")&gt;0))</f>
        <v/>
      </c>
      <c r="AC1044" s="38">
        <f>IF($B1044="","",(IFERROR(INDEX(Setup!$G$33:$G$40,MATCH(C1044,Setup!$B$33:$B$40,0)),0)=1)*(COUNTIF(C1008:E1025,$B1044)+COUNTIF(C1008:E1025,$B1044&amp;" ~*")&gt;0)+(IFERROR(INDEX(Setup!$G$33:$G$40,MATCH(G1044,Setup!$B$33:$B$40,0)),0)=1)*(COUNTIF(G1008:I1025,$B1044)+COUNTIF(G1008:I1025,$B1044&amp;" ~*")&gt;0)+(IFERROR(INDEX(Setup!$G$33:$G$40,MATCH(K1044,Setup!$B$33:$B$40,0)),0)=1)*(COUNTIF(K1008:M1025,$B1044)+COUNTIF(K1008:M1025,$B1044&amp;" ~*")&gt;0)+(IFERROR(INDEX(Setup!$G$33:$G$40,MATCH(O1044,Setup!$B$33:$B$40,0)),0)=1)*(COUNTIF(O1008:Q1025,$B1044)+COUNTIF(O1008:Q1025,$B1044&amp;" ~*")&gt;0)+(IFERROR(INDEX(Setup!$G$33:$G$40,MATCH(S1044,Setup!$B$33:$B$40,0)),0)=1)*(COUNTIF(S1008:U1025,$B1044)+COUNTIF(S1008:U1025,$B1044&amp;" ~*")&gt;0)+(IFERROR(INDEX(Setup!$G$33:$G$40,MATCH(W1044,Setup!$B$33:$B$40,0)),0)=1)*(COUNTIF(W1008:W1025,$B1044)+COUNTIF(W1008:W1025,$B1044&amp;" ~*")&gt;0)+(IFERROR(INDEX(Setup!$G$33:$G$40,MATCH(Y1044,Setup!$B$33:$B$40,0)),0)=1)*(COUNTIF(Y1008:Y1025,$B1044)+COUNTIF(Y1008:Y1025,$B1044&amp;" ~*")&gt;0))</f>
        <v/>
      </c>
    </row>
    <row r="1045" ht="15" customHeight="1">
      <c r="A1045" t="n">
        <v>21</v>
      </c>
      <c r="B1045" s="35">
        <f>IF(Setup!$B$24="","",Setup!$B$24)</f>
        <v/>
      </c>
      <c r="C1045" s="98" t="n"/>
      <c r="D1045" s="99" t="n"/>
      <c r="E1045" s="99" t="n"/>
      <c r="F1045" s="100" t="n"/>
      <c r="G1045" s="98" t="n"/>
      <c r="H1045" s="99" t="n"/>
      <c r="I1045" s="99" t="n"/>
      <c r="J1045" s="100" t="n"/>
      <c r="K1045" s="98" t="n"/>
      <c r="L1045" s="99" t="n"/>
      <c r="M1045" s="99" t="n"/>
      <c r="N1045" s="100" t="n"/>
      <c r="O1045" s="98" t="n"/>
      <c r="P1045" s="99" t="n"/>
      <c r="Q1045" s="99" t="n"/>
      <c r="R1045" s="100" t="n"/>
      <c r="S1045" s="98" t="n"/>
      <c r="T1045" s="99" t="n"/>
      <c r="U1045" s="99" t="n"/>
      <c r="V1045" s="100" t="n"/>
      <c r="W1045" s="98" t="n"/>
      <c r="X1045" s="100" t="n"/>
      <c r="Y1045" s="98" t="n"/>
      <c r="Z1045" s="100" t="n"/>
      <c r="AB1045" s="101">
        <f>IF($B1045="","",(COUNTIF(C1008:E1025,$B1045)+COUNTIF(C1008:E1025,$B1045&amp;" ~*")&gt;0)+(COUNTIF(G1008:I1025,$B1045)+COUNTIF(G1008:I1025,$B1045&amp;" ~*")&gt;0)+(COUNTIF(K1008:M1025,$B1045)+COUNTIF(K1008:M1025,$B1045&amp;" ~*")&gt;0)+(COUNTIF(O1008:Q1025,$B1045)+COUNTIF(O1008:Q1025,$B1045&amp;" ~*")&gt;0)+(COUNTIF(S1008:U1025,$B1045)+COUNTIF(S1008:U1025,$B1045&amp;" ~*")&gt;0)+(COUNTIF(W1008:W1025,$B1045)+COUNTIF(W1008:W1025,$B1045&amp;" ~*")&gt;0)+(COUNTIF(Y1008:Y1025,$B1045)+COUNTIF(Y1008:Y1025,$B1045&amp;" ~*")&gt;0))</f>
        <v/>
      </c>
      <c r="AC1045" s="36">
        <f>IF($B1045="","",(IFERROR(INDEX(Setup!$G$33:$G$40,MATCH(C1045,Setup!$B$33:$B$40,0)),0)=1)*(COUNTIF(C1008:E1025,$B1045)+COUNTIF(C1008:E1025,$B1045&amp;" ~*")&gt;0)+(IFERROR(INDEX(Setup!$G$33:$G$40,MATCH(G1045,Setup!$B$33:$B$40,0)),0)=1)*(COUNTIF(G1008:I1025,$B1045)+COUNTIF(G1008:I1025,$B1045&amp;" ~*")&gt;0)+(IFERROR(INDEX(Setup!$G$33:$G$40,MATCH(K1045,Setup!$B$33:$B$40,0)),0)=1)*(COUNTIF(K1008:M1025,$B1045)+COUNTIF(K1008:M1025,$B1045&amp;" ~*")&gt;0)+(IFERROR(INDEX(Setup!$G$33:$G$40,MATCH(O1045,Setup!$B$33:$B$40,0)),0)=1)*(COUNTIF(O1008:Q1025,$B1045)+COUNTIF(O1008:Q1025,$B1045&amp;" ~*")&gt;0)+(IFERROR(INDEX(Setup!$G$33:$G$40,MATCH(S1045,Setup!$B$33:$B$40,0)),0)=1)*(COUNTIF(S1008:U1025,$B1045)+COUNTIF(S1008:U1025,$B1045&amp;" ~*")&gt;0)+(IFERROR(INDEX(Setup!$G$33:$G$40,MATCH(W1045,Setup!$B$33:$B$40,0)),0)=1)*(COUNTIF(W1008:W1025,$B1045)+COUNTIF(W1008:W1025,$B1045&amp;" ~*")&gt;0)+(IFERROR(INDEX(Setup!$G$33:$G$40,MATCH(Y1045,Setup!$B$33:$B$40,0)),0)=1)*(COUNTIF(Y1008:Y1025,$B1045)+COUNTIF(Y1008:Y1025,$B1045&amp;" ~*")&gt;0))</f>
        <v/>
      </c>
    </row>
    <row r="1046" ht="15" customHeight="1">
      <c r="A1046" t="n">
        <v>21</v>
      </c>
      <c r="B1046" s="37">
        <f>IF(Setup!$B$25="","",Setup!$B$25)</f>
        <v/>
      </c>
      <c r="C1046" s="102" t="n"/>
      <c r="D1046" s="103" t="n"/>
      <c r="E1046" s="103" t="n"/>
      <c r="F1046" s="104" t="n"/>
      <c r="G1046" s="102" t="n"/>
      <c r="H1046" s="103" t="n"/>
      <c r="I1046" s="103" t="n"/>
      <c r="J1046" s="104" t="n"/>
      <c r="K1046" s="102" t="n"/>
      <c r="L1046" s="103" t="n"/>
      <c r="M1046" s="103" t="n"/>
      <c r="N1046" s="104" t="n"/>
      <c r="O1046" s="102" t="n"/>
      <c r="P1046" s="103" t="n"/>
      <c r="Q1046" s="103" t="n"/>
      <c r="R1046" s="104" t="n"/>
      <c r="S1046" s="102" t="n"/>
      <c r="T1046" s="103" t="n"/>
      <c r="U1046" s="103" t="n"/>
      <c r="V1046" s="104" t="n"/>
      <c r="W1046" s="102" t="n"/>
      <c r="X1046" s="104" t="n"/>
      <c r="Y1046" s="102" t="n"/>
      <c r="Z1046" s="104" t="n"/>
      <c r="AB1046" s="105">
        <f>IF($B1046="","",(COUNTIF(C1008:E1025,$B1046)+COUNTIF(C1008:E1025,$B1046&amp;" ~*")&gt;0)+(COUNTIF(G1008:I1025,$B1046)+COUNTIF(G1008:I1025,$B1046&amp;" ~*")&gt;0)+(COUNTIF(K1008:M1025,$B1046)+COUNTIF(K1008:M1025,$B1046&amp;" ~*")&gt;0)+(COUNTIF(O1008:Q1025,$B1046)+COUNTIF(O1008:Q1025,$B1046&amp;" ~*")&gt;0)+(COUNTIF(S1008:U1025,$B1046)+COUNTIF(S1008:U1025,$B1046&amp;" ~*")&gt;0)+(COUNTIF(W1008:W1025,$B1046)+COUNTIF(W1008:W1025,$B1046&amp;" ~*")&gt;0)+(COUNTIF(Y1008:Y1025,$B1046)+COUNTIF(Y1008:Y1025,$B1046&amp;" ~*")&gt;0))</f>
        <v/>
      </c>
      <c r="AC1046" s="38">
        <f>IF($B1046="","",(IFERROR(INDEX(Setup!$G$33:$G$40,MATCH(C1046,Setup!$B$33:$B$40,0)),0)=1)*(COUNTIF(C1008:E1025,$B1046)+COUNTIF(C1008:E1025,$B1046&amp;" ~*")&gt;0)+(IFERROR(INDEX(Setup!$G$33:$G$40,MATCH(G1046,Setup!$B$33:$B$40,0)),0)=1)*(COUNTIF(G1008:I1025,$B1046)+COUNTIF(G1008:I1025,$B1046&amp;" ~*")&gt;0)+(IFERROR(INDEX(Setup!$G$33:$G$40,MATCH(K1046,Setup!$B$33:$B$40,0)),0)=1)*(COUNTIF(K1008:M1025,$B1046)+COUNTIF(K1008:M1025,$B1046&amp;" ~*")&gt;0)+(IFERROR(INDEX(Setup!$G$33:$G$40,MATCH(O1046,Setup!$B$33:$B$40,0)),0)=1)*(COUNTIF(O1008:Q1025,$B1046)+COUNTIF(O1008:Q1025,$B1046&amp;" ~*")&gt;0)+(IFERROR(INDEX(Setup!$G$33:$G$40,MATCH(S1046,Setup!$B$33:$B$40,0)),0)=1)*(COUNTIF(S1008:U1025,$B1046)+COUNTIF(S1008:U1025,$B1046&amp;" ~*")&gt;0)+(IFERROR(INDEX(Setup!$G$33:$G$40,MATCH(W1046,Setup!$B$33:$B$40,0)),0)=1)*(COUNTIF(W1008:W1025,$B1046)+COUNTIF(W1008:W1025,$B1046&amp;" ~*")&gt;0)+(IFERROR(INDEX(Setup!$G$33:$G$40,MATCH(Y1046,Setup!$B$33:$B$40,0)),0)=1)*(COUNTIF(Y1008:Y1025,$B1046)+COUNTIF(Y1008:Y1025,$B1046&amp;" ~*")&gt;0))</f>
        <v/>
      </c>
    </row>
    <row r="1047" ht="15" customHeight="1">
      <c r="A1047" t="n">
        <v>21</v>
      </c>
      <c r="B1047" s="35">
        <f>IF(Setup!$B$26="","",Setup!$B$26)</f>
        <v/>
      </c>
      <c r="C1047" s="98" t="n"/>
      <c r="D1047" s="99" t="n"/>
      <c r="E1047" s="99" t="n"/>
      <c r="F1047" s="100" t="n"/>
      <c r="G1047" s="98" t="n"/>
      <c r="H1047" s="99" t="n"/>
      <c r="I1047" s="99" t="n"/>
      <c r="J1047" s="100" t="n"/>
      <c r="K1047" s="98" t="n"/>
      <c r="L1047" s="99" t="n"/>
      <c r="M1047" s="99" t="n"/>
      <c r="N1047" s="100" t="n"/>
      <c r="O1047" s="98" t="n"/>
      <c r="P1047" s="99" t="n"/>
      <c r="Q1047" s="99" t="n"/>
      <c r="R1047" s="100" t="n"/>
      <c r="S1047" s="98" t="n"/>
      <c r="T1047" s="99" t="n"/>
      <c r="U1047" s="99" t="n"/>
      <c r="V1047" s="100" t="n"/>
      <c r="W1047" s="98" t="n"/>
      <c r="X1047" s="100" t="n"/>
      <c r="Y1047" s="98" t="n"/>
      <c r="Z1047" s="100" t="n"/>
      <c r="AB1047" s="101">
        <f>IF($B1047="","",(COUNTIF(C1008:E1025,$B1047)+COUNTIF(C1008:E1025,$B1047&amp;" ~*")&gt;0)+(COUNTIF(G1008:I1025,$B1047)+COUNTIF(G1008:I1025,$B1047&amp;" ~*")&gt;0)+(COUNTIF(K1008:M1025,$B1047)+COUNTIF(K1008:M1025,$B1047&amp;" ~*")&gt;0)+(COUNTIF(O1008:Q1025,$B1047)+COUNTIF(O1008:Q1025,$B1047&amp;" ~*")&gt;0)+(COUNTIF(S1008:U1025,$B1047)+COUNTIF(S1008:U1025,$B1047&amp;" ~*")&gt;0)+(COUNTIF(W1008:W1025,$B1047)+COUNTIF(W1008:W1025,$B1047&amp;" ~*")&gt;0)+(COUNTIF(Y1008:Y1025,$B1047)+COUNTIF(Y1008:Y1025,$B1047&amp;" ~*")&gt;0))</f>
        <v/>
      </c>
      <c r="AC1047" s="36">
        <f>IF($B1047="","",(IFERROR(INDEX(Setup!$G$33:$G$40,MATCH(C1047,Setup!$B$33:$B$40,0)),0)=1)*(COUNTIF(C1008:E1025,$B1047)+COUNTIF(C1008:E1025,$B1047&amp;" ~*")&gt;0)+(IFERROR(INDEX(Setup!$G$33:$G$40,MATCH(G1047,Setup!$B$33:$B$40,0)),0)=1)*(COUNTIF(G1008:I1025,$B1047)+COUNTIF(G1008:I1025,$B1047&amp;" ~*")&gt;0)+(IFERROR(INDEX(Setup!$G$33:$G$40,MATCH(K1047,Setup!$B$33:$B$40,0)),0)=1)*(COUNTIF(K1008:M1025,$B1047)+COUNTIF(K1008:M1025,$B1047&amp;" ~*")&gt;0)+(IFERROR(INDEX(Setup!$G$33:$G$40,MATCH(O1047,Setup!$B$33:$B$40,0)),0)=1)*(COUNTIF(O1008:Q1025,$B1047)+COUNTIF(O1008:Q1025,$B1047&amp;" ~*")&gt;0)+(IFERROR(INDEX(Setup!$G$33:$G$40,MATCH(S1047,Setup!$B$33:$B$40,0)),0)=1)*(COUNTIF(S1008:U1025,$B1047)+COUNTIF(S1008:U1025,$B1047&amp;" ~*")&gt;0)+(IFERROR(INDEX(Setup!$G$33:$G$40,MATCH(W1047,Setup!$B$33:$B$40,0)),0)=1)*(COUNTIF(W1008:W1025,$B1047)+COUNTIF(W1008:W1025,$B1047&amp;" ~*")&gt;0)+(IFERROR(INDEX(Setup!$G$33:$G$40,MATCH(Y1047,Setup!$B$33:$B$40,0)),0)=1)*(COUNTIF(Y1008:Y1025,$B1047)+COUNTIF(Y1008:Y1025,$B1047&amp;" ~*")&gt;0))</f>
        <v/>
      </c>
    </row>
    <row r="1048" ht="15" customHeight="1">
      <c r="A1048" t="n">
        <v>21</v>
      </c>
      <c r="B1048" s="37">
        <f>IF(Setup!$B$27="","",Setup!$B$27)</f>
        <v/>
      </c>
      <c r="C1048" s="102" t="n"/>
      <c r="D1048" s="103" t="n"/>
      <c r="E1048" s="103" t="n"/>
      <c r="F1048" s="104" t="n"/>
      <c r="G1048" s="102" t="n"/>
      <c r="H1048" s="103" t="n"/>
      <c r="I1048" s="103" t="n"/>
      <c r="J1048" s="104" t="n"/>
      <c r="K1048" s="102" t="n"/>
      <c r="L1048" s="103" t="n"/>
      <c r="M1048" s="103" t="n"/>
      <c r="N1048" s="104" t="n"/>
      <c r="O1048" s="102" t="n"/>
      <c r="P1048" s="103" t="n"/>
      <c r="Q1048" s="103" t="n"/>
      <c r="R1048" s="104" t="n"/>
      <c r="S1048" s="102" t="n"/>
      <c r="T1048" s="103" t="n"/>
      <c r="U1048" s="103" t="n"/>
      <c r="V1048" s="104" t="n"/>
      <c r="W1048" s="102" t="n"/>
      <c r="X1048" s="104" t="n"/>
      <c r="Y1048" s="102" t="n"/>
      <c r="Z1048" s="104" t="n"/>
      <c r="AB1048" s="105">
        <f>IF($B1048="","",(COUNTIF(C1008:E1025,$B1048)+COUNTIF(C1008:E1025,$B1048&amp;" ~*")&gt;0)+(COUNTIF(G1008:I1025,$B1048)+COUNTIF(G1008:I1025,$B1048&amp;" ~*")&gt;0)+(COUNTIF(K1008:M1025,$B1048)+COUNTIF(K1008:M1025,$B1048&amp;" ~*")&gt;0)+(COUNTIF(O1008:Q1025,$B1048)+COUNTIF(O1008:Q1025,$B1048&amp;" ~*")&gt;0)+(COUNTIF(S1008:U1025,$B1048)+COUNTIF(S1008:U1025,$B1048&amp;" ~*")&gt;0)+(COUNTIF(W1008:W1025,$B1048)+COUNTIF(W1008:W1025,$B1048&amp;" ~*")&gt;0)+(COUNTIF(Y1008:Y1025,$B1048)+COUNTIF(Y1008:Y1025,$B1048&amp;" ~*")&gt;0))</f>
        <v/>
      </c>
      <c r="AC1048" s="38">
        <f>IF($B1048="","",(IFERROR(INDEX(Setup!$G$33:$G$40,MATCH(C1048,Setup!$B$33:$B$40,0)),0)=1)*(COUNTIF(C1008:E1025,$B1048)+COUNTIF(C1008:E1025,$B1048&amp;" ~*")&gt;0)+(IFERROR(INDEX(Setup!$G$33:$G$40,MATCH(G1048,Setup!$B$33:$B$40,0)),0)=1)*(COUNTIF(G1008:I1025,$B1048)+COUNTIF(G1008:I1025,$B1048&amp;" ~*")&gt;0)+(IFERROR(INDEX(Setup!$G$33:$G$40,MATCH(K1048,Setup!$B$33:$B$40,0)),0)=1)*(COUNTIF(K1008:M1025,$B1048)+COUNTIF(K1008:M1025,$B1048&amp;" ~*")&gt;0)+(IFERROR(INDEX(Setup!$G$33:$G$40,MATCH(O1048,Setup!$B$33:$B$40,0)),0)=1)*(COUNTIF(O1008:Q1025,$B1048)+COUNTIF(O1008:Q1025,$B1048&amp;" ~*")&gt;0)+(IFERROR(INDEX(Setup!$G$33:$G$40,MATCH(S1048,Setup!$B$33:$B$40,0)),0)=1)*(COUNTIF(S1008:U1025,$B1048)+COUNTIF(S1008:U1025,$B1048&amp;" ~*")&gt;0)+(IFERROR(INDEX(Setup!$G$33:$G$40,MATCH(W1048,Setup!$B$33:$B$40,0)),0)=1)*(COUNTIF(W1008:W1025,$B1048)+COUNTIF(W1008:W1025,$B1048&amp;" ~*")&gt;0)+(IFERROR(INDEX(Setup!$G$33:$G$40,MATCH(Y1048,Setup!$B$33:$B$40,0)),0)=1)*(COUNTIF(Y1008:Y1025,$B1048)+COUNTIF(Y1008:Y1025,$B1048&amp;" ~*")&gt;0))</f>
        <v/>
      </c>
    </row>
    <row r="1049" ht="15" customHeight="1">
      <c r="A1049" t="n">
        <v>21</v>
      </c>
      <c r="B1049" s="35">
        <f>IF(Setup!$B$28="","",Setup!$B$28)</f>
        <v/>
      </c>
      <c r="C1049" s="98" t="n"/>
      <c r="D1049" s="99" t="n"/>
      <c r="E1049" s="99" t="n"/>
      <c r="F1049" s="100" t="n"/>
      <c r="G1049" s="98" t="n"/>
      <c r="H1049" s="99" t="n"/>
      <c r="I1049" s="99" t="n"/>
      <c r="J1049" s="100" t="n"/>
      <c r="K1049" s="98" t="n"/>
      <c r="L1049" s="99" t="n"/>
      <c r="M1049" s="99" t="n"/>
      <c r="N1049" s="100" t="n"/>
      <c r="O1049" s="98" t="n"/>
      <c r="P1049" s="99" t="n"/>
      <c r="Q1049" s="99" t="n"/>
      <c r="R1049" s="100" t="n"/>
      <c r="S1049" s="98" t="n"/>
      <c r="T1049" s="99" t="n"/>
      <c r="U1049" s="99" t="n"/>
      <c r="V1049" s="100" t="n"/>
      <c r="W1049" s="98" t="n"/>
      <c r="X1049" s="100" t="n"/>
      <c r="Y1049" s="98" t="n"/>
      <c r="Z1049" s="100" t="n"/>
      <c r="AB1049" s="101">
        <f>IF($B1049="","",(COUNTIF(C1008:E1025,$B1049)+COUNTIF(C1008:E1025,$B1049&amp;" ~*")&gt;0)+(COUNTIF(G1008:I1025,$B1049)+COUNTIF(G1008:I1025,$B1049&amp;" ~*")&gt;0)+(COUNTIF(K1008:M1025,$B1049)+COUNTIF(K1008:M1025,$B1049&amp;" ~*")&gt;0)+(COUNTIF(O1008:Q1025,$B1049)+COUNTIF(O1008:Q1025,$B1049&amp;" ~*")&gt;0)+(COUNTIF(S1008:U1025,$B1049)+COUNTIF(S1008:U1025,$B1049&amp;" ~*")&gt;0)+(COUNTIF(W1008:W1025,$B1049)+COUNTIF(W1008:W1025,$B1049&amp;" ~*")&gt;0)+(COUNTIF(Y1008:Y1025,$B1049)+COUNTIF(Y1008:Y1025,$B1049&amp;" ~*")&gt;0))</f>
        <v/>
      </c>
      <c r="AC1049" s="36">
        <f>IF($B1049="","",(IFERROR(INDEX(Setup!$G$33:$G$40,MATCH(C1049,Setup!$B$33:$B$40,0)),0)=1)*(COUNTIF(C1008:E1025,$B1049)+COUNTIF(C1008:E1025,$B1049&amp;" ~*")&gt;0)+(IFERROR(INDEX(Setup!$G$33:$G$40,MATCH(G1049,Setup!$B$33:$B$40,0)),0)=1)*(COUNTIF(G1008:I1025,$B1049)+COUNTIF(G1008:I1025,$B1049&amp;" ~*")&gt;0)+(IFERROR(INDEX(Setup!$G$33:$G$40,MATCH(K1049,Setup!$B$33:$B$40,0)),0)=1)*(COUNTIF(K1008:M1025,$B1049)+COUNTIF(K1008:M1025,$B1049&amp;" ~*")&gt;0)+(IFERROR(INDEX(Setup!$G$33:$G$40,MATCH(O1049,Setup!$B$33:$B$40,0)),0)=1)*(COUNTIF(O1008:Q1025,$B1049)+COUNTIF(O1008:Q1025,$B1049&amp;" ~*")&gt;0)+(IFERROR(INDEX(Setup!$G$33:$G$40,MATCH(S1049,Setup!$B$33:$B$40,0)),0)=1)*(COUNTIF(S1008:U1025,$B1049)+COUNTIF(S1008:U1025,$B1049&amp;" ~*")&gt;0)+(IFERROR(INDEX(Setup!$G$33:$G$40,MATCH(W1049,Setup!$B$33:$B$40,0)),0)=1)*(COUNTIF(W1008:W1025,$B1049)+COUNTIF(W1008:W1025,$B1049&amp;" ~*")&gt;0)+(IFERROR(INDEX(Setup!$G$33:$G$40,MATCH(Y1049,Setup!$B$33:$B$40,0)),0)=1)*(COUNTIF(Y1008:Y1025,$B1049)+COUNTIF(Y1008:Y1025,$B1049&amp;" ~*")&gt;0))</f>
        <v/>
      </c>
    </row>
    <row r="1050" ht="15" customHeight="1">
      <c r="A1050" t="n">
        <v>21</v>
      </c>
      <c r="B1050" s="37">
        <f>IF(Setup!$B$29="","",Setup!$B$29)</f>
        <v/>
      </c>
      <c r="C1050" s="102" t="n"/>
      <c r="D1050" s="103" t="n"/>
      <c r="E1050" s="103" t="n"/>
      <c r="F1050" s="104" t="n"/>
      <c r="G1050" s="102" t="n"/>
      <c r="H1050" s="103" t="n"/>
      <c r="I1050" s="103" t="n"/>
      <c r="J1050" s="104" t="n"/>
      <c r="K1050" s="102" t="n"/>
      <c r="L1050" s="103" t="n"/>
      <c r="M1050" s="103" t="n"/>
      <c r="N1050" s="104" t="n"/>
      <c r="O1050" s="102" t="n"/>
      <c r="P1050" s="103" t="n"/>
      <c r="Q1050" s="103" t="n"/>
      <c r="R1050" s="104" t="n"/>
      <c r="S1050" s="102" t="n"/>
      <c r="T1050" s="103" t="n"/>
      <c r="U1050" s="103" t="n"/>
      <c r="V1050" s="104" t="n"/>
      <c r="W1050" s="102" t="n"/>
      <c r="X1050" s="104" t="n"/>
      <c r="Y1050" s="102" t="n"/>
      <c r="Z1050" s="104" t="n"/>
      <c r="AB1050" s="105">
        <f>IF($B1050="","",(COUNTIF(C1008:E1025,$B1050)+COUNTIF(C1008:E1025,$B1050&amp;" ~*")&gt;0)+(COUNTIF(G1008:I1025,$B1050)+COUNTIF(G1008:I1025,$B1050&amp;" ~*")&gt;0)+(COUNTIF(K1008:M1025,$B1050)+COUNTIF(K1008:M1025,$B1050&amp;" ~*")&gt;0)+(COUNTIF(O1008:Q1025,$B1050)+COUNTIF(O1008:Q1025,$B1050&amp;" ~*")&gt;0)+(COUNTIF(S1008:U1025,$B1050)+COUNTIF(S1008:U1025,$B1050&amp;" ~*")&gt;0)+(COUNTIF(W1008:W1025,$B1050)+COUNTIF(W1008:W1025,$B1050&amp;" ~*")&gt;0)+(COUNTIF(Y1008:Y1025,$B1050)+COUNTIF(Y1008:Y1025,$B1050&amp;" ~*")&gt;0))</f>
        <v/>
      </c>
      <c r="AC1050" s="38">
        <f>IF($B1050="","",(IFERROR(INDEX(Setup!$G$33:$G$40,MATCH(C1050,Setup!$B$33:$B$40,0)),0)=1)*(COUNTIF(C1008:E1025,$B1050)+COUNTIF(C1008:E1025,$B1050&amp;" ~*")&gt;0)+(IFERROR(INDEX(Setup!$G$33:$G$40,MATCH(G1050,Setup!$B$33:$B$40,0)),0)=1)*(COUNTIF(G1008:I1025,$B1050)+COUNTIF(G1008:I1025,$B1050&amp;" ~*")&gt;0)+(IFERROR(INDEX(Setup!$G$33:$G$40,MATCH(K1050,Setup!$B$33:$B$40,0)),0)=1)*(COUNTIF(K1008:M1025,$B1050)+COUNTIF(K1008:M1025,$B1050&amp;" ~*")&gt;0)+(IFERROR(INDEX(Setup!$G$33:$G$40,MATCH(O1050,Setup!$B$33:$B$40,0)),0)=1)*(COUNTIF(O1008:Q1025,$B1050)+COUNTIF(O1008:Q1025,$B1050&amp;" ~*")&gt;0)+(IFERROR(INDEX(Setup!$G$33:$G$40,MATCH(S1050,Setup!$B$33:$B$40,0)),0)=1)*(COUNTIF(S1008:U1025,$B1050)+COUNTIF(S1008:U1025,$B1050&amp;" ~*")&gt;0)+(IFERROR(INDEX(Setup!$G$33:$G$40,MATCH(W1050,Setup!$B$33:$B$40,0)),0)=1)*(COUNTIF(W1008:W1025,$B1050)+COUNTIF(W1008:W1025,$B1050&amp;" ~*")&gt;0)+(IFERROR(INDEX(Setup!$G$33:$G$40,MATCH(Y1050,Setup!$B$33:$B$40,0)),0)=1)*(COUNTIF(Y1008:Y1025,$B1050)+COUNTIF(Y1008:Y1025,$B1050&amp;" ~*")&gt;0))</f>
        <v/>
      </c>
    </row>
    <row r="1051" ht="16" customHeight="1">
      <c r="A1051" t="n">
        <v>21</v>
      </c>
      <c r="B1051" s="106" t="inlineStr">
        <is>
          <t>Available people</t>
        </is>
      </c>
      <c r="C1051" s="107">
        <f>COUNTIFS(Setup!$E$6:$E$29,"Y",Setup!$B$6:$B$29,"?*")-SUMPRODUCT(COUNTIF(C1027:C1050,Setup!$F$33:$F$40))</f>
        <v/>
      </c>
      <c r="D1051" s="107" t="n"/>
      <c r="E1051" s="107" t="n"/>
      <c r="F1051" s="107" t="n"/>
      <c r="G1051" s="107">
        <f>COUNTIFS(Setup!$E$6:$E$29,"Y",Setup!$B$6:$B$29,"?*")-SUMPRODUCT(COUNTIF(G1027:G1050,Setup!$F$33:$F$40))</f>
        <v/>
      </c>
      <c r="H1051" s="107" t="n"/>
      <c r="I1051" s="107" t="n"/>
      <c r="J1051" s="107" t="n"/>
      <c r="K1051" s="107">
        <f>COUNTIFS(Setup!$E$6:$E$29,"Y",Setup!$B$6:$B$29,"?*")-SUMPRODUCT(COUNTIF(K1027:K1050,Setup!$F$33:$F$40))</f>
        <v/>
      </c>
      <c r="L1051" s="107" t="n"/>
      <c r="M1051" s="107" t="n"/>
      <c r="N1051" s="107" t="n"/>
      <c r="O1051" s="107">
        <f>COUNTIFS(Setup!$E$6:$E$29,"Y",Setup!$B$6:$B$29,"?*")-SUMPRODUCT(COUNTIF(O1027:O1050,Setup!$F$33:$F$40))</f>
        <v/>
      </c>
      <c r="P1051" s="107" t="n"/>
      <c r="Q1051" s="107" t="n"/>
      <c r="R1051" s="107" t="n"/>
      <c r="S1051" s="107">
        <f>COUNTIFS(Setup!$E$6:$E$29,"Y",Setup!$B$6:$B$29,"?*")-SUMPRODUCT(COUNTIF(S1027:S1050,Setup!$F$33:$F$40))</f>
        <v/>
      </c>
      <c r="T1051" s="107" t="n"/>
      <c r="U1051" s="107" t="n"/>
      <c r="V1051" s="107" t="n"/>
      <c r="W1051" s="107">
        <f>COUNTIFS(Setup!$E$6:$E$29,"Y",Setup!$B$6:$B$29,"?*")-SUMPRODUCT(COUNTIF(W1027:W1050,Setup!$F$33:$F$40))</f>
        <v/>
      </c>
      <c r="X1051" s="107" t="n"/>
      <c r="Y1051" s="107">
        <f>COUNTIFS(Setup!$E$6:$E$29,"Y",Setup!$B$6:$B$29,"?*")-SUMPRODUCT(COUNTIF(Y1027:Y1050,Setup!$F$33:$F$40))</f>
        <v/>
      </c>
      <c r="Z1051" s="107" t="n"/>
      <c r="AB1051" s="108">
        <f>SUM(AB1027:AB1050)</f>
        <v/>
      </c>
      <c r="AC1051" s="109">
        <f>SUM(AC1027:AC1050)</f>
        <v/>
      </c>
    </row>
    <row r="1052" ht="30" customHeight="1">
      <c r="A1052" t="n">
        <v>21</v>
      </c>
      <c r="B1052" s="110" t="inlineStr">
        <is>
          <t>Week notes</t>
        </is>
      </c>
      <c r="C1052" s="111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112" t="n"/>
      <c r="R1052" s="112" t="n"/>
      <c r="S1052" s="112" t="n"/>
      <c r="T1052" s="112" t="n"/>
      <c r="U1052" s="112" t="n"/>
      <c r="V1052" s="112" t="n"/>
      <c r="W1052" s="112" t="n"/>
      <c r="X1052" s="112" t="n"/>
      <c r="Y1052" s="112" t="n"/>
      <c r="Z1052" s="113" t="n"/>
    </row>
    <row r="1053" ht="8" customHeight="1">
      <c r="A1053" t="n">
        <v>21</v>
      </c>
    </row>
    <row r="1054" ht="8" customHeight="1">
      <c r="A1054" t="n">
        <v>21</v>
      </c>
    </row>
    <row r="1055" ht="24" customHeight="1">
      <c r="A1055" t="n">
        <v>22</v>
      </c>
      <c r="B1055" s="73">
        <f>"WEEK 22     "&amp;TEXT(C1056,"ddd d mmm")&amp;"  –  "&amp;TEXT(C1056+6,"ddd d mmm yyyy")</f>
        <v/>
      </c>
      <c r="S1055" s="74">
        <f>IF(TODAY()&lt;C1056,"FUTURE",IF(TODAY()&gt;C1056+6,"PAST","THIS WEEK"))</f>
        <v/>
      </c>
      <c r="W1055" s="75">
        <f>IF(AND(Engine!$B$8=$AC$3,Engine!$B$9=$A1055),"◀ ACTIVE WEEK","")</f>
        <v/>
      </c>
      <c r="AA1055" s="76" t="n"/>
      <c r="AB1055" s="77" t="inlineStr">
        <is>
          <t>◀ Prev</t>
        </is>
      </c>
      <c r="AC1055" s="77" t="inlineStr">
        <is>
          <t>Next ▶</t>
        </is>
      </c>
    </row>
    <row r="1056" ht="18" customHeight="1">
      <c r="A1056" t="n">
        <v>22</v>
      </c>
      <c r="B1056" s="78" t="inlineStr">
        <is>
          <t>DUTY</t>
        </is>
      </c>
      <c r="C1056" s="79">
        <f>$AC$2+7*($A1056-1)</f>
        <v/>
      </c>
      <c r="D1056" s="80" t="n"/>
      <c r="E1056" s="80" t="n"/>
      <c r="F1056" s="81" t="n"/>
      <c r="G1056" s="79">
        <f>C1056+1</f>
        <v/>
      </c>
      <c r="H1056" s="80" t="n"/>
      <c r="I1056" s="80" t="n"/>
      <c r="J1056" s="81" t="n"/>
      <c r="K1056" s="79">
        <f>C1056+2</f>
        <v/>
      </c>
      <c r="L1056" s="80" t="n"/>
      <c r="M1056" s="80" t="n"/>
      <c r="N1056" s="81" t="n"/>
      <c r="O1056" s="79">
        <f>C1056+3</f>
        <v/>
      </c>
      <c r="P1056" s="80" t="n"/>
      <c r="Q1056" s="80" t="n"/>
      <c r="R1056" s="81" t="n"/>
      <c r="S1056" s="79">
        <f>C1056+4</f>
        <v/>
      </c>
      <c r="T1056" s="80" t="n"/>
      <c r="U1056" s="80" t="n"/>
      <c r="V1056" s="81" t="n"/>
      <c r="W1056" s="82">
        <f>C1056+5</f>
        <v/>
      </c>
      <c r="X1056" s="83" t="n"/>
      <c r="Y1056" s="82">
        <f>C1056+6</f>
        <v/>
      </c>
      <c r="Z1056" s="83" t="n"/>
      <c r="AB1056" s="72" t="inlineStr">
        <is>
          <t>Gaps</t>
        </is>
      </c>
      <c r="AC1056" s="72" t="inlineStr">
        <is>
          <t>Cover</t>
        </is>
      </c>
    </row>
    <row r="1057" ht="14" customHeight="1">
      <c r="A1057" t="n">
        <v>22</v>
      </c>
      <c r="B1057" s="84" t="inlineStr">
        <is>
          <t>(from Setup)</t>
        </is>
      </c>
      <c r="C1057" s="85" t="inlineStr">
        <is>
          <t>1</t>
        </is>
      </c>
      <c r="D1057" s="85" t="inlineStr">
        <is>
          <t>2</t>
        </is>
      </c>
      <c r="E1057" s="85" t="inlineStr">
        <is>
          <t>3</t>
        </is>
      </c>
      <c r="F1057" s="85" t="inlineStr">
        <is>
          <t>Notes</t>
        </is>
      </c>
      <c r="G1057" s="85" t="inlineStr">
        <is>
          <t>1</t>
        </is>
      </c>
      <c r="H1057" s="85" t="inlineStr">
        <is>
          <t>2</t>
        </is>
      </c>
      <c r="I1057" s="85" t="inlineStr">
        <is>
          <t>3</t>
        </is>
      </c>
      <c r="J1057" s="85" t="inlineStr">
        <is>
          <t>Notes</t>
        </is>
      </c>
      <c r="K1057" s="85" t="inlineStr">
        <is>
          <t>1</t>
        </is>
      </c>
      <c r="L1057" s="85" t="inlineStr">
        <is>
          <t>2</t>
        </is>
      </c>
      <c r="M1057" s="85" t="inlineStr">
        <is>
          <t>3</t>
        </is>
      </c>
      <c r="N1057" s="85" t="inlineStr">
        <is>
          <t>Notes</t>
        </is>
      </c>
      <c r="O1057" s="85" t="inlineStr">
        <is>
          <t>1</t>
        </is>
      </c>
      <c r="P1057" s="85" t="inlineStr">
        <is>
          <t>2</t>
        </is>
      </c>
      <c r="Q1057" s="85" t="inlineStr">
        <is>
          <t>3</t>
        </is>
      </c>
      <c r="R1057" s="85" t="inlineStr">
        <is>
          <t>Notes</t>
        </is>
      </c>
      <c r="S1057" s="85" t="inlineStr">
        <is>
          <t>1</t>
        </is>
      </c>
      <c r="T1057" s="85" t="inlineStr">
        <is>
          <t>2</t>
        </is>
      </c>
      <c r="U1057" s="85" t="inlineStr">
        <is>
          <t>3</t>
        </is>
      </c>
      <c r="V1057" s="85" t="inlineStr">
        <is>
          <t>Notes</t>
        </is>
      </c>
      <c r="W1057" s="85" t="inlineStr">
        <is>
          <t>Cover</t>
        </is>
      </c>
      <c r="X1057" s="85" t="inlineStr">
        <is>
          <t>Notes</t>
        </is>
      </c>
      <c r="Y1057" s="85" t="inlineStr">
        <is>
          <t>Cover</t>
        </is>
      </c>
      <c r="Z1057" s="85" t="inlineStr">
        <is>
          <t>Notes</t>
        </is>
      </c>
      <c r="AB1057" s="86" t="inlineStr">
        <is>
          <t>weekdays short</t>
        </is>
      </c>
      <c r="AC1057" s="87" t="inlineStr"/>
    </row>
    <row r="1058" ht="17" customHeight="1">
      <c r="A1058" t="n">
        <v>22</v>
      </c>
      <c r="B1058" s="24">
        <f>IF(Setup!$K$6="","",Setup!$K$6)</f>
        <v/>
      </c>
      <c r="C1058" s="88" t="n"/>
      <c r="D1058" s="88" t="n"/>
      <c r="E1058" s="88" t="n"/>
      <c r="F1058" s="89" t="n"/>
      <c r="G1058" s="88" t="n"/>
      <c r="H1058" s="88" t="n"/>
      <c r="I1058" s="88" t="n"/>
      <c r="J1058" s="89" t="n"/>
      <c r="K1058" s="88" t="n"/>
      <c r="L1058" s="88" t="n"/>
      <c r="M1058" s="88" t="n"/>
      <c r="N1058" s="89" t="n"/>
      <c r="O1058" s="88" t="n"/>
      <c r="P1058" s="88" t="n"/>
      <c r="Q1058" s="88" t="n"/>
      <c r="R1058" s="89" t="n"/>
      <c r="S1058" s="88" t="n"/>
      <c r="T1058" s="88" t="n"/>
      <c r="U1058" s="88" t="n"/>
      <c r="V1058" s="89" t="n"/>
      <c r="W1058" s="88" t="n"/>
      <c r="X1058" s="89" t="n"/>
      <c r="Y1058" s="88" t="n"/>
      <c r="Z1058" s="89" t="n"/>
      <c r="AB1058" s="25">
        <f>IF($B1058="","",(COUNTIF(C1058:E1058,"?*")&lt;N(INDEX(Setup!$L$6:$L$23,1)))+(COUNTIF(G1058:I1058,"?*")&lt;N(INDEX(Setup!$L$6:$L$23,1)))+(COUNTIF(K1058:M1058,"?*")&lt;N(INDEX(Setup!$L$6:$L$23,1)))+(COUNTIF(O1058:Q1058,"?*")&lt;N(INDEX(Setup!$L$6:$L$23,1)))+(COUNTIF(S1058:U1058,"?*")&lt;N(INDEX(Setup!$L$6:$L$23,1)))+((W1058="")*(INDEX(Setup!$M$6:$M$23,1)="Y"))+((Y1058="")*(INDEX(Setup!$M$6:$M$23,1)="Y")))</f>
        <v/>
      </c>
      <c r="AC1058" s="90">
        <f>IF($B1058="","",IF(AB1058=0,"✓ covered","⚠ "&amp;AB1058&amp;IF(AB1058=1," gap"," gaps")))</f>
        <v/>
      </c>
    </row>
    <row r="1059" ht="17" customHeight="1">
      <c r="A1059" t="n">
        <v>22</v>
      </c>
      <c r="B1059" s="29">
        <f>IF(Setup!$K$7="","",Setup!$K$7)</f>
        <v/>
      </c>
      <c r="C1059" s="88" t="n"/>
      <c r="D1059" s="88" t="n"/>
      <c r="E1059" s="88" t="n"/>
      <c r="F1059" s="89" t="n"/>
      <c r="G1059" s="88" t="n"/>
      <c r="H1059" s="88" t="n"/>
      <c r="I1059" s="88" t="n"/>
      <c r="J1059" s="89" t="n"/>
      <c r="K1059" s="88" t="n"/>
      <c r="L1059" s="88" t="n"/>
      <c r="M1059" s="88" t="n"/>
      <c r="N1059" s="89" t="n"/>
      <c r="O1059" s="88" t="n"/>
      <c r="P1059" s="88" t="n"/>
      <c r="Q1059" s="88" t="n"/>
      <c r="R1059" s="89" t="n"/>
      <c r="S1059" s="88" t="n"/>
      <c r="T1059" s="88" t="n"/>
      <c r="U1059" s="88" t="n"/>
      <c r="V1059" s="89" t="n"/>
      <c r="W1059" s="88" t="n"/>
      <c r="X1059" s="89" t="n"/>
      <c r="Y1059" s="88" t="n"/>
      <c r="Z1059" s="89" t="n"/>
      <c r="AB1059" s="30">
        <f>IF($B1059="","",(COUNTIF(C1059:E1059,"?*")&lt;N(INDEX(Setup!$L$6:$L$23,2)))+(COUNTIF(G1059:I1059,"?*")&lt;N(INDEX(Setup!$L$6:$L$23,2)))+(COUNTIF(K1059:M1059,"?*")&lt;N(INDEX(Setup!$L$6:$L$23,2)))+(COUNTIF(O1059:Q1059,"?*")&lt;N(INDEX(Setup!$L$6:$L$23,2)))+(COUNTIF(S1059:U1059,"?*")&lt;N(INDEX(Setup!$L$6:$L$23,2)))+((W1059="")*(INDEX(Setup!$M$6:$M$23,2)="Y"))+((Y1059="")*(INDEX(Setup!$M$6:$M$23,2)="Y")))</f>
        <v/>
      </c>
      <c r="AC1059" s="91">
        <f>IF($B1059="","",IF(AB1059=0,"✓ covered","⚠ "&amp;AB1059&amp;IF(AB1059=1," gap"," gaps")))</f>
        <v/>
      </c>
    </row>
    <row r="1060" ht="17" customHeight="1">
      <c r="A1060" t="n">
        <v>22</v>
      </c>
      <c r="B1060" s="24">
        <f>IF(Setup!$K$8="","",Setup!$K$8)</f>
        <v/>
      </c>
      <c r="C1060" s="88" t="inlineStr">
        <is>
          <t>NT</t>
        </is>
      </c>
      <c r="D1060" s="88" t="n"/>
      <c r="E1060" s="88" t="n"/>
      <c r="F1060" s="89" t="n"/>
      <c r="G1060" s="88" t="n"/>
      <c r="H1060" s="88" t="n"/>
      <c r="I1060" s="88" t="n"/>
      <c r="J1060" s="89" t="n"/>
      <c r="K1060" s="88" t="n"/>
      <c r="L1060" s="88" t="n"/>
      <c r="M1060" s="88" t="n"/>
      <c r="N1060" s="89" t="n"/>
      <c r="O1060" s="88" t="n"/>
      <c r="P1060" s="88" t="n"/>
      <c r="Q1060" s="88" t="n"/>
      <c r="R1060" s="89" t="n"/>
      <c r="S1060" s="88" t="n"/>
      <c r="T1060" s="88" t="n"/>
      <c r="U1060" s="88" t="n"/>
      <c r="V1060" s="89" t="n"/>
      <c r="W1060" s="88" t="n"/>
      <c r="X1060" s="89" t="n"/>
      <c r="Y1060" s="88" t="n"/>
      <c r="Z1060" s="89" t="n"/>
      <c r="AB1060" s="25">
        <f>IF($B1060="","",(COUNTIF(C1060:E1060,"?*")&lt;N(INDEX(Setup!$L$6:$L$23,3)))+(COUNTIF(G1060:I1060,"?*")&lt;N(INDEX(Setup!$L$6:$L$23,3)))+(COUNTIF(K1060:M1060,"?*")&lt;N(INDEX(Setup!$L$6:$L$23,3)))+(COUNTIF(O1060:Q1060,"?*")&lt;N(INDEX(Setup!$L$6:$L$23,3)))+(COUNTIF(S1060:U1060,"?*")&lt;N(INDEX(Setup!$L$6:$L$23,3)))+((W1060="")*(INDEX(Setup!$M$6:$M$23,3)="Y"))+((Y1060="")*(INDEX(Setup!$M$6:$M$23,3)="Y")))</f>
        <v/>
      </c>
      <c r="AC1060" s="90">
        <f>IF($B1060="","",IF(AB1060=0,"✓ covered","⚠ "&amp;AB1060&amp;IF(AB1060=1," gap"," gaps")))</f>
        <v/>
      </c>
    </row>
    <row r="1061" ht="17" customHeight="1">
      <c r="A1061" t="n">
        <v>22</v>
      </c>
      <c r="B1061" s="29">
        <f>IF(Setup!$K$9="","",Setup!$K$9)</f>
        <v/>
      </c>
      <c r="C1061" s="88" t="n"/>
      <c r="D1061" s="88" t="n"/>
      <c r="E1061" s="88" t="n"/>
      <c r="F1061" s="89" t="n"/>
      <c r="G1061" s="88" t="n"/>
      <c r="H1061" s="88" t="n"/>
      <c r="I1061" s="88" t="n"/>
      <c r="J1061" s="89" t="n"/>
      <c r="K1061" s="88" t="n"/>
      <c r="L1061" s="88" t="n"/>
      <c r="M1061" s="88" t="n"/>
      <c r="N1061" s="89" t="n"/>
      <c r="O1061" s="88" t="n"/>
      <c r="P1061" s="88" t="n"/>
      <c r="Q1061" s="88" t="n"/>
      <c r="R1061" s="89" t="n"/>
      <c r="S1061" s="88" t="n"/>
      <c r="T1061" s="88" t="n"/>
      <c r="U1061" s="88" t="n"/>
      <c r="V1061" s="89" t="n"/>
      <c r="W1061" s="88" t="n"/>
      <c r="X1061" s="89" t="n"/>
      <c r="Y1061" s="88" t="n"/>
      <c r="Z1061" s="89" t="n"/>
      <c r="AB1061" s="30">
        <f>IF($B1061="","",(COUNTIF(C1061:E1061,"?*")&lt;N(INDEX(Setup!$L$6:$L$23,4)))+(COUNTIF(G1061:I1061,"?*")&lt;N(INDEX(Setup!$L$6:$L$23,4)))+(COUNTIF(K1061:M1061,"?*")&lt;N(INDEX(Setup!$L$6:$L$23,4)))+(COUNTIF(O1061:Q1061,"?*")&lt;N(INDEX(Setup!$L$6:$L$23,4)))+(COUNTIF(S1061:U1061,"?*")&lt;N(INDEX(Setup!$L$6:$L$23,4)))+((W1061="")*(INDEX(Setup!$M$6:$M$23,4)="Y"))+((Y1061="")*(INDEX(Setup!$M$6:$M$23,4)="Y")))</f>
        <v/>
      </c>
      <c r="AC1061" s="91">
        <f>IF($B1061="","",IF(AB1061=0,"✓ covered","⚠ "&amp;AB1061&amp;IF(AB1061=1," gap"," gaps")))</f>
        <v/>
      </c>
    </row>
    <row r="1062" ht="17" customHeight="1">
      <c r="A1062" t="n">
        <v>22</v>
      </c>
      <c r="B1062" s="24">
        <f>IF(Setup!$K$10="","",Setup!$K$10)</f>
        <v/>
      </c>
      <c r="C1062" s="88" t="n"/>
      <c r="D1062" s="88" t="n"/>
      <c r="E1062" s="88" t="n"/>
      <c r="F1062" s="89" t="n"/>
      <c r="G1062" s="88" t="n"/>
      <c r="H1062" s="88" t="n"/>
      <c r="I1062" s="88" t="n"/>
      <c r="J1062" s="89" t="n"/>
      <c r="K1062" s="88" t="n"/>
      <c r="L1062" s="88" t="n"/>
      <c r="M1062" s="88" t="n"/>
      <c r="N1062" s="89" t="n"/>
      <c r="O1062" s="88" t="n"/>
      <c r="P1062" s="88" t="n"/>
      <c r="Q1062" s="88" t="n"/>
      <c r="R1062" s="89" t="n"/>
      <c r="S1062" s="88" t="n"/>
      <c r="T1062" s="88" t="n"/>
      <c r="U1062" s="88" t="n"/>
      <c r="V1062" s="89" t="n"/>
      <c r="W1062" s="88" t="n"/>
      <c r="X1062" s="89" t="n"/>
      <c r="Y1062" s="88" t="n"/>
      <c r="Z1062" s="89" t="n"/>
      <c r="AB1062" s="25">
        <f>IF($B1062="","",(COUNTIF(C1062:E1062,"?*")&lt;N(INDEX(Setup!$L$6:$L$23,5)))+(COUNTIF(G1062:I1062,"?*")&lt;N(INDEX(Setup!$L$6:$L$23,5)))+(COUNTIF(K1062:M1062,"?*")&lt;N(INDEX(Setup!$L$6:$L$23,5)))+(COUNTIF(O1062:Q1062,"?*")&lt;N(INDEX(Setup!$L$6:$L$23,5)))+(COUNTIF(S1062:U1062,"?*")&lt;N(INDEX(Setup!$L$6:$L$23,5)))+((W1062="")*(INDEX(Setup!$M$6:$M$23,5)="Y"))+((Y1062="")*(INDEX(Setup!$M$6:$M$23,5)="Y")))</f>
        <v/>
      </c>
      <c r="AC1062" s="90">
        <f>IF($B1062="","",IF(AB1062=0,"✓ covered","⚠ "&amp;AB1062&amp;IF(AB1062=1," gap"," gaps")))</f>
        <v/>
      </c>
    </row>
    <row r="1063" ht="17" customHeight="1">
      <c r="A1063" t="n">
        <v>22</v>
      </c>
      <c r="B1063" s="29">
        <f>IF(Setup!$K$11="","",Setup!$K$11)</f>
        <v/>
      </c>
      <c r="C1063" s="88" t="n"/>
      <c r="D1063" s="88" t="n"/>
      <c r="E1063" s="88" t="n"/>
      <c r="F1063" s="89" t="n"/>
      <c r="G1063" s="88" t="n"/>
      <c r="H1063" s="88" t="n"/>
      <c r="I1063" s="88" t="n"/>
      <c r="J1063" s="89" t="n"/>
      <c r="K1063" s="88" t="n"/>
      <c r="L1063" s="88" t="n"/>
      <c r="M1063" s="88" t="n"/>
      <c r="N1063" s="89" t="n"/>
      <c r="O1063" s="88" t="n"/>
      <c r="P1063" s="88" t="n"/>
      <c r="Q1063" s="88" t="n"/>
      <c r="R1063" s="89" t="n"/>
      <c r="S1063" s="88" t="n"/>
      <c r="T1063" s="88" t="n"/>
      <c r="U1063" s="88" t="n"/>
      <c r="V1063" s="89" t="n"/>
      <c r="W1063" s="88" t="n"/>
      <c r="X1063" s="89" t="n"/>
      <c r="Y1063" s="88" t="n"/>
      <c r="Z1063" s="89" t="n"/>
      <c r="AB1063" s="30">
        <f>IF($B1063="","",(COUNTIF(C1063:E1063,"?*")&lt;N(INDEX(Setup!$L$6:$L$23,6)))+(COUNTIF(G1063:I1063,"?*")&lt;N(INDEX(Setup!$L$6:$L$23,6)))+(COUNTIF(K1063:M1063,"?*")&lt;N(INDEX(Setup!$L$6:$L$23,6)))+(COUNTIF(O1063:Q1063,"?*")&lt;N(INDEX(Setup!$L$6:$L$23,6)))+(COUNTIF(S1063:U1063,"?*")&lt;N(INDEX(Setup!$L$6:$L$23,6)))+((W1063="")*(INDEX(Setup!$M$6:$M$23,6)="Y"))+((Y1063="")*(INDEX(Setup!$M$6:$M$23,6)="Y")))</f>
        <v/>
      </c>
      <c r="AC1063" s="91">
        <f>IF($B1063="","",IF(AB1063=0,"✓ covered","⚠ "&amp;AB1063&amp;IF(AB1063=1," gap"," gaps")))</f>
        <v/>
      </c>
    </row>
    <row r="1064" ht="17" customHeight="1">
      <c r="A1064" t="n">
        <v>22</v>
      </c>
      <c r="B1064" s="24">
        <f>IF(Setup!$K$12="","",Setup!$K$12)</f>
        <v/>
      </c>
      <c r="C1064" s="88" t="n"/>
      <c r="D1064" s="88" t="n"/>
      <c r="E1064" s="88" t="n"/>
      <c r="F1064" s="89" t="n"/>
      <c r="G1064" s="88" t="n"/>
      <c r="H1064" s="88" t="n"/>
      <c r="I1064" s="88" t="n"/>
      <c r="J1064" s="89" t="n"/>
      <c r="K1064" s="88" t="n"/>
      <c r="L1064" s="88" t="n"/>
      <c r="M1064" s="88" t="n"/>
      <c r="N1064" s="89" t="n"/>
      <c r="O1064" s="88" t="n"/>
      <c r="P1064" s="88" t="n"/>
      <c r="Q1064" s="88" t="n"/>
      <c r="R1064" s="89" t="n"/>
      <c r="S1064" s="88" t="n"/>
      <c r="T1064" s="88" t="n"/>
      <c r="U1064" s="88" t="n"/>
      <c r="V1064" s="89" t="n"/>
      <c r="W1064" s="88" t="n"/>
      <c r="X1064" s="89" t="n"/>
      <c r="Y1064" s="88" t="n"/>
      <c r="Z1064" s="89" t="n"/>
      <c r="AB1064" s="25">
        <f>IF($B1064="","",(COUNTIF(C1064:E1064,"?*")&lt;N(INDEX(Setup!$L$6:$L$23,7)))+(COUNTIF(G1064:I1064,"?*")&lt;N(INDEX(Setup!$L$6:$L$23,7)))+(COUNTIF(K1064:M1064,"?*")&lt;N(INDEX(Setup!$L$6:$L$23,7)))+(COUNTIF(O1064:Q1064,"?*")&lt;N(INDEX(Setup!$L$6:$L$23,7)))+(COUNTIF(S1064:U1064,"?*")&lt;N(INDEX(Setup!$L$6:$L$23,7)))+((W1064="")*(INDEX(Setup!$M$6:$M$23,7)="Y"))+((Y1064="")*(INDEX(Setup!$M$6:$M$23,7)="Y")))</f>
        <v/>
      </c>
      <c r="AC1064" s="90">
        <f>IF($B1064="","",IF(AB1064=0,"✓ covered","⚠ "&amp;AB1064&amp;IF(AB1064=1," gap"," gaps")))</f>
        <v/>
      </c>
    </row>
    <row r="1065" ht="17" customHeight="1">
      <c r="A1065" t="n">
        <v>22</v>
      </c>
      <c r="B1065" s="29">
        <f>IF(Setup!$K$13="","",Setup!$K$13)</f>
        <v/>
      </c>
      <c r="C1065" s="88" t="n"/>
      <c r="D1065" s="88" t="n"/>
      <c r="E1065" s="88" t="n"/>
      <c r="F1065" s="89" t="n"/>
      <c r="G1065" s="88" t="n"/>
      <c r="H1065" s="88" t="n"/>
      <c r="I1065" s="88" t="n"/>
      <c r="J1065" s="89" t="n"/>
      <c r="K1065" s="88" t="n"/>
      <c r="L1065" s="88" t="n"/>
      <c r="M1065" s="88" t="n"/>
      <c r="N1065" s="89" t="n"/>
      <c r="O1065" s="88" t="n"/>
      <c r="P1065" s="88" t="n"/>
      <c r="Q1065" s="88" t="n"/>
      <c r="R1065" s="89" t="n"/>
      <c r="S1065" s="88" t="n"/>
      <c r="T1065" s="88" t="n"/>
      <c r="U1065" s="88" t="n"/>
      <c r="V1065" s="89" t="n"/>
      <c r="W1065" s="88" t="n"/>
      <c r="X1065" s="89" t="n"/>
      <c r="Y1065" s="88" t="n"/>
      <c r="Z1065" s="89" t="n"/>
      <c r="AB1065" s="30">
        <f>IF($B1065="","",(COUNTIF(C1065:E1065,"?*")&lt;N(INDEX(Setup!$L$6:$L$23,8)))+(COUNTIF(G1065:I1065,"?*")&lt;N(INDEX(Setup!$L$6:$L$23,8)))+(COUNTIF(K1065:M1065,"?*")&lt;N(INDEX(Setup!$L$6:$L$23,8)))+(COUNTIF(O1065:Q1065,"?*")&lt;N(INDEX(Setup!$L$6:$L$23,8)))+(COUNTIF(S1065:U1065,"?*")&lt;N(INDEX(Setup!$L$6:$L$23,8)))+((W1065="")*(INDEX(Setup!$M$6:$M$23,8)="Y"))+((Y1065="")*(INDEX(Setup!$M$6:$M$23,8)="Y")))</f>
        <v/>
      </c>
      <c r="AC1065" s="91">
        <f>IF($B1065="","",IF(AB1065=0,"✓ covered","⚠ "&amp;AB1065&amp;IF(AB1065=1," gap"," gaps")))</f>
        <v/>
      </c>
    </row>
    <row r="1066" ht="17" customHeight="1">
      <c r="A1066" t="n">
        <v>22</v>
      </c>
      <c r="B1066" s="24">
        <f>IF(Setup!$K$14="","",Setup!$K$14)</f>
        <v/>
      </c>
      <c r="C1066" s="88" t="n"/>
      <c r="D1066" s="88" t="n"/>
      <c r="E1066" s="88" t="n"/>
      <c r="F1066" s="89" t="n"/>
      <c r="G1066" s="88" t="n"/>
      <c r="H1066" s="88" t="n"/>
      <c r="I1066" s="88" t="n"/>
      <c r="J1066" s="89" t="n"/>
      <c r="K1066" s="88" t="n"/>
      <c r="L1066" s="88" t="n"/>
      <c r="M1066" s="88" t="n"/>
      <c r="N1066" s="89" t="n"/>
      <c r="O1066" s="88" t="n"/>
      <c r="P1066" s="88" t="n"/>
      <c r="Q1066" s="88" t="n"/>
      <c r="R1066" s="89" t="n"/>
      <c r="S1066" s="88" t="n"/>
      <c r="T1066" s="88" t="n"/>
      <c r="U1066" s="88" t="n"/>
      <c r="V1066" s="89" t="n"/>
      <c r="W1066" s="88" t="n"/>
      <c r="X1066" s="89" t="n"/>
      <c r="Y1066" s="88" t="n"/>
      <c r="Z1066" s="89" t="n"/>
      <c r="AB1066" s="25">
        <f>IF($B1066="","",(COUNTIF(C1066:E1066,"?*")&lt;N(INDEX(Setup!$L$6:$L$23,9)))+(COUNTIF(G1066:I1066,"?*")&lt;N(INDEX(Setup!$L$6:$L$23,9)))+(COUNTIF(K1066:M1066,"?*")&lt;N(INDEX(Setup!$L$6:$L$23,9)))+(COUNTIF(O1066:Q1066,"?*")&lt;N(INDEX(Setup!$L$6:$L$23,9)))+(COUNTIF(S1066:U1066,"?*")&lt;N(INDEX(Setup!$L$6:$L$23,9)))+((W1066="")*(INDEX(Setup!$M$6:$M$23,9)="Y"))+((Y1066="")*(INDEX(Setup!$M$6:$M$23,9)="Y")))</f>
        <v/>
      </c>
      <c r="AC1066" s="90">
        <f>IF($B1066="","",IF(AB1066=0,"✓ covered","⚠ "&amp;AB1066&amp;IF(AB1066=1," gap"," gaps")))</f>
        <v/>
      </c>
    </row>
    <row r="1067" ht="17" customHeight="1">
      <c r="A1067" t="n">
        <v>22</v>
      </c>
      <c r="B1067" s="29">
        <f>IF(Setup!$K$15="","",Setup!$K$15)</f>
        <v/>
      </c>
      <c r="C1067" s="88" t="n"/>
      <c r="D1067" s="88" t="n"/>
      <c r="E1067" s="88" t="n"/>
      <c r="F1067" s="89" t="n"/>
      <c r="G1067" s="88" t="n"/>
      <c r="H1067" s="88" t="n"/>
      <c r="I1067" s="88" t="n"/>
      <c r="J1067" s="89" t="n"/>
      <c r="K1067" s="88" t="n"/>
      <c r="L1067" s="88" t="n"/>
      <c r="M1067" s="88" t="n"/>
      <c r="N1067" s="89" t="n"/>
      <c r="O1067" s="88" t="n"/>
      <c r="P1067" s="88" t="n"/>
      <c r="Q1067" s="88" t="n"/>
      <c r="R1067" s="89" t="n"/>
      <c r="S1067" s="88" t="n"/>
      <c r="T1067" s="88" t="n"/>
      <c r="U1067" s="88" t="n"/>
      <c r="V1067" s="89" t="n"/>
      <c r="W1067" s="88" t="n"/>
      <c r="X1067" s="89" t="n"/>
      <c r="Y1067" s="88" t="n"/>
      <c r="Z1067" s="89" t="n"/>
      <c r="AB1067" s="30">
        <f>IF($B1067="","",(COUNTIF(C1067:E1067,"?*")&lt;N(INDEX(Setup!$L$6:$L$23,10)))+(COUNTIF(G1067:I1067,"?*")&lt;N(INDEX(Setup!$L$6:$L$23,10)))+(COUNTIF(K1067:M1067,"?*")&lt;N(INDEX(Setup!$L$6:$L$23,10)))+(COUNTIF(O1067:Q1067,"?*")&lt;N(INDEX(Setup!$L$6:$L$23,10)))+(COUNTIF(S1067:U1067,"?*")&lt;N(INDEX(Setup!$L$6:$L$23,10)))+((W1067="")*(INDEX(Setup!$M$6:$M$23,10)="Y"))+((Y1067="")*(INDEX(Setup!$M$6:$M$23,10)="Y")))</f>
        <v/>
      </c>
      <c r="AC1067" s="91">
        <f>IF($B1067="","",IF(AB1067=0,"✓ covered","⚠ "&amp;AB1067&amp;IF(AB1067=1," gap"," gaps")))</f>
        <v/>
      </c>
    </row>
    <row r="1068" ht="17" customHeight="1">
      <c r="A1068" t="n">
        <v>22</v>
      </c>
      <c r="B1068" s="24">
        <f>IF(Setup!$K$16="","",Setup!$K$16)</f>
        <v/>
      </c>
      <c r="C1068" s="88" t="n"/>
      <c r="D1068" s="88" t="n"/>
      <c r="E1068" s="88" t="n"/>
      <c r="F1068" s="89" t="n"/>
      <c r="G1068" s="88" t="n"/>
      <c r="H1068" s="88" t="n"/>
      <c r="I1068" s="88" t="n"/>
      <c r="J1068" s="89" t="n"/>
      <c r="K1068" s="88" t="n"/>
      <c r="L1068" s="88" t="n"/>
      <c r="M1068" s="88" t="n"/>
      <c r="N1068" s="89" t="n"/>
      <c r="O1068" s="88" t="n"/>
      <c r="P1068" s="88" t="n"/>
      <c r="Q1068" s="88" t="n"/>
      <c r="R1068" s="89" t="n"/>
      <c r="S1068" s="88" t="n"/>
      <c r="T1068" s="88" t="n"/>
      <c r="U1068" s="88" t="n"/>
      <c r="V1068" s="89" t="n"/>
      <c r="W1068" s="88" t="n"/>
      <c r="X1068" s="89" t="n"/>
      <c r="Y1068" s="88" t="n"/>
      <c r="Z1068" s="89" t="n"/>
      <c r="AB1068" s="25">
        <f>IF($B1068="","",(COUNTIF(C1068:E1068,"?*")&lt;N(INDEX(Setup!$L$6:$L$23,11)))+(COUNTIF(G1068:I1068,"?*")&lt;N(INDEX(Setup!$L$6:$L$23,11)))+(COUNTIF(K1068:M1068,"?*")&lt;N(INDEX(Setup!$L$6:$L$23,11)))+(COUNTIF(O1068:Q1068,"?*")&lt;N(INDEX(Setup!$L$6:$L$23,11)))+(COUNTIF(S1068:U1068,"?*")&lt;N(INDEX(Setup!$L$6:$L$23,11)))+((W1068="")*(INDEX(Setup!$M$6:$M$23,11)="Y"))+((Y1068="")*(INDEX(Setup!$M$6:$M$23,11)="Y")))</f>
        <v/>
      </c>
      <c r="AC1068" s="90">
        <f>IF($B1068="","",IF(AB1068=0,"✓ covered","⚠ "&amp;AB1068&amp;IF(AB1068=1," gap"," gaps")))</f>
        <v/>
      </c>
    </row>
    <row r="1069" ht="17" customHeight="1">
      <c r="A1069" t="n">
        <v>22</v>
      </c>
      <c r="B1069" s="29">
        <f>IF(Setup!$K$17="","",Setup!$K$17)</f>
        <v/>
      </c>
      <c r="C1069" s="88" t="n"/>
      <c r="D1069" s="88" t="n"/>
      <c r="E1069" s="88" t="n"/>
      <c r="F1069" s="89" t="n"/>
      <c r="G1069" s="88" t="n"/>
      <c r="H1069" s="88" t="n"/>
      <c r="I1069" s="88" t="n"/>
      <c r="J1069" s="89" t="n"/>
      <c r="K1069" s="88" t="n"/>
      <c r="L1069" s="88" t="n"/>
      <c r="M1069" s="88" t="n"/>
      <c r="N1069" s="89" t="n"/>
      <c r="O1069" s="88" t="n"/>
      <c r="P1069" s="88" t="n"/>
      <c r="Q1069" s="88" t="n"/>
      <c r="R1069" s="89" t="n"/>
      <c r="S1069" s="88" t="n"/>
      <c r="T1069" s="88" t="n"/>
      <c r="U1069" s="88" t="n"/>
      <c r="V1069" s="89" t="n"/>
      <c r="W1069" s="88" t="n"/>
      <c r="X1069" s="89" t="n"/>
      <c r="Y1069" s="88" t="n"/>
      <c r="Z1069" s="89" t="n"/>
      <c r="AB1069" s="30">
        <f>IF($B1069="","",(COUNTIF(C1069:E1069,"?*")&lt;N(INDEX(Setup!$L$6:$L$23,12)))+(COUNTIF(G1069:I1069,"?*")&lt;N(INDEX(Setup!$L$6:$L$23,12)))+(COUNTIF(K1069:M1069,"?*")&lt;N(INDEX(Setup!$L$6:$L$23,12)))+(COUNTIF(O1069:Q1069,"?*")&lt;N(INDEX(Setup!$L$6:$L$23,12)))+(COUNTIF(S1069:U1069,"?*")&lt;N(INDEX(Setup!$L$6:$L$23,12)))+((W1069="")*(INDEX(Setup!$M$6:$M$23,12)="Y"))+((Y1069="")*(INDEX(Setup!$M$6:$M$23,12)="Y")))</f>
        <v/>
      </c>
      <c r="AC1069" s="91">
        <f>IF($B1069="","",IF(AB1069=0,"✓ covered","⚠ "&amp;AB1069&amp;IF(AB1069=1," gap"," gaps")))</f>
        <v/>
      </c>
    </row>
    <row r="1070" ht="17" customHeight="1">
      <c r="A1070" t="n">
        <v>22</v>
      </c>
      <c r="B1070" s="24">
        <f>IF(Setup!$K$18="","",Setup!$K$18)</f>
        <v/>
      </c>
      <c r="C1070" s="88" t="n"/>
      <c r="D1070" s="88" t="n"/>
      <c r="E1070" s="88" t="n"/>
      <c r="F1070" s="89" t="n"/>
      <c r="G1070" s="88" t="n"/>
      <c r="H1070" s="88" t="n"/>
      <c r="I1070" s="88" t="n"/>
      <c r="J1070" s="89" t="n"/>
      <c r="K1070" s="88" t="n"/>
      <c r="L1070" s="88" t="n"/>
      <c r="M1070" s="88" t="n"/>
      <c r="N1070" s="89" t="n"/>
      <c r="O1070" s="88" t="n"/>
      <c r="P1070" s="88" t="n"/>
      <c r="Q1070" s="88" t="n"/>
      <c r="R1070" s="89" t="n"/>
      <c r="S1070" s="88" t="n"/>
      <c r="T1070" s="88" t="n"/>
      <c r="U1070" s="88" t="n"/>
      <c r="V1070" s="89" t="n"/>
      <c r="W1070" s="88" t="n"/>
      <c r="X1070" s="89" t="n"/>
      <c r="Y1070" s="88" t="n"/>
      <c r="Z1070" s="89" t="n"/>
      <c r="AB1070" s="25">
        <f>IF($B1070="","",(COUNTIF(C1070:E1070,"?*")&lt;N(INDEX(Setup!$L$6:$L$23,13)))+(COUNTIF(G1070:I1070,"?*")&lt;N(INDEX(Setup!$L$6:$L$23,13)))+(COUNTIF(K1070:M1070,"?*")&lt;N(INDEX(Setup!$L$6:$L$23,13)))+(COUNTIF(O1070:Q1070,"?*")&lt;N(INDEX(Setup!$L$6:$L$23,13)))+(COUNTIF(S1070:U1070,"?*")&lt;N(INDEX(Setup!$L$6:$L$23,13)))+((W1070="")*(INDEX(Setup!$M$6:$M$23,13)="Y"))+((Y1070="")*(INDEX(Setup!$M$6:$M$23,13)="Y")))</f>
        <v/>
      </c>
      <c r="AC1070" s="90">
        <f>IF($B1070="","",IF(AB1070=0,"✓ covered","⚠ "&amp;AB1070&amp;IF(AB1070=1," gap"," gaps")))</f>
        <v/>
      </c>
    </row>
    <row r="1071" ht="17" customHeight="1">
      <c r="A1071" t="n">
        <v>22</v>
      </c>
      <c r="B1071" s="29">
        <f>IF(Setup!$K$19="","",Setup!$K$19)</f>
        <v/>
      </c>
      <c r="C1071" s="88" t="n"/>
      <c r="D1071" s="88" t="n"/>
      <c r="E1071" s="88" t="n"/>
      <c r="F1071" s="89" t="n"/>
      <c r="G1071" s="88" t="n"/>
      <c r="H1071" s="88" t="n"/>
      <c r="I1071" s="88" t="n"/>
      <c r="J1071" s="89" t="n"/>
      <c r="K1071" s="88" t="n"/>
      <c r="L1071" s="88" t="n"/>
      <c r="M1071" s="88" t="n"/>
      <c r="N1071" s="89" t="n"/>
      <c r="O1071" s="88" t="n"/>
      <c r="P1071" s="88" t="n"/>
      <c r="Q1071" s="88" t="n"/>
      <c r="R1071" s="89" t="n"/>
      <c r="S1071" s="88" t="n"/>
      <c r="T1071" s="88" t="n"/>
      <c r="U1071" s="88" t="n"/>
      <c r="V1071" s="89" t="n"/>
      <c r="W1071" s="88" t="n"/>
      <c r="X1071" s="89" t="n"/>
      <c r="Y1071" s="88" t="n"/>
      <c r="Z1071" s="89" t="n"/>
      <c r="AB1071" s="30">
        <f>IF($B1071="","",(COUNTIF(C1071:E1071,"?*")&lt;N(INDEX(Setup!$L$6:$L$23,14)))+(COUNTIF(G1071:I1071,"?*")&lt;N(INDEX(Setup!$L$6:$L$23,14)))+(COUNTIF(K1071:M1071,"?*")&lt;N(INDEX(Setup!$L$6:$L$23,14)))+(COUNTIF(O1071:Q1071,"?*")&lt;N(INDEX(Setup!$L$6:$L$23,14)))+(COUNTIF(S1071:U1071,"?*")&lt;N(INDEX(Setup!$L$6:$L$23,14)))+((W1071="")*(INDEX(Setup!$M$6:$M$23,14)="Y"))+((Y1071="")*(INDEX(Setup!$M$6:$M$23,14)="Y")))</f>
        <v/>
      </c>
      <c r="AC1071" s="91">
        <f>IF($B1071="","",IF(AB1071=0,"✓ covered","⚠ "&amp;AB1071&amp;IF(AB1071=1," gap"," gaps")))</f>
        <v/>
      </c>
    </row>
    <row r="1072" ht="17" customHeight="1">
      <c r="A1072" t="n">
        <v>22</v>
      </c>
      <c r="B1072" s="24">
        <f>IF(Setup!$K$20="","",Setup!$K$20)</f>
        <v/>
      </c>
      <c r="C1072" s="88" t="n"/>
      <c r="D1072" s="88" t="n"/>
      <c r="E1072" s="88" t="n"/>
      <c r="F1072" s="89" t="n"/>
      <c r="G1072" s="88" t="n"/>
      <c r="H1072" s="88" t="n"/>
      <c r="I1072" s="88" t="n"/>
      <c r="J1072" s="89" t="n"/>
      <c r="K1072" s="88" t="n"/>
      <c r="L1072" s="88" t="n"/>
      <c r="M1072" s="88" t="n"/>
      <c r="N1072" s="89" t="n"/>
      <c r="O1072" s="88" t="n"/>
      <c r="P1072" s="88" t="n"/>
      <c r="Q1072" s="88" t="n"/>
      <c r="R1072" s="89" t="n"/>
      <c r="S1072" s="88" t="n"/>
      <c r="T1072" s="88" t="n"/>
      <c r="U1072" s="88" t="n"/>
      <c r="V1072" s="89" t="n"/>
      <c r="W1072" s="88" t="n"/>
      <c r="X1072" s="89" t="n"/>
      <c r="Y1072" s="88" t="n"/>
      <c r="Z1072" s="89" t="n"/>
      <c r="AB1072" s="25">
        <f>IF($B1072="","",(COUNTIF(C1072:E1072,"?*")&lt;N(INDEX(Setup!$L$6:$L$23,15)))+(COUNTIF(G1072:I1072,"?*")&lt;N(INDEX(Setup!$L$6:$L$23,15)))+(COUNTIF(K1072:M1072,"?*")&lt;N(INDEX(Setup!$L$6:$L$23,15)))+(COUNTIF(O1072:Q1072,"?*")&lt;N(INDEX(Setup!$L$6:$L$23,15)))+(COUNTIF(S1072:U1072,"?*")&lt;N(INDEX(Setup!$L$6:$L$23,15)))+((W1072="")*(INDEX(Setup!$M$6:$M$23,15)="Y"))+((Y1072="")*(INDEX(Setup!$M$6:$M$23,15)="Y")))</f>
        <v/>
      </c>
      <c r="AC1072" s="90">
        <f>IF($B1072="","",IF(AB1072=0,"✓ covered","⚠ "&amp;AB1072&amp;IF(AB1072=1," gap"," gaps")))</f>
        <v/>
      </c>
    </row>
    <row r="1073" ht="17" customHeight="1">
      <c r="A1073" t="n">
        <v>22</v>
      </c>
      <c r="B1073" s="29">
        <f>IF(Setup!$K$21="","",Setup!$K$21)</f>
        <v/>
      </c>
      <c r="C1073" s="88" t="n"/>
      <c r="D1073" s="88" t="n"/>
      <c r="E1073" s="88" t="n"/>
      <c r="F1073" s="89" t="n"/>
      <c r="G1073" s="88" t="n"/>
      <c r="H1073" s="88" t="n"/>
      <c r="I1073" s="88" t="n"/>
      <c r="J1073" s="89" t="n"/>
      <c r="K1073" s="88" t="n"/>
      <c r="L1073" s="88" t="n"/>
      <c r="M1073" s="88" t="n"/>
      <c r="N1073" s="89" t="n"/>
      <c r="O1073" s="88" t="n"/>
      <c r="P1073" s="88" t="n"/>
      <c r="Q1073" s="88" t="n"/>
      <c r="R1073" s="89" t="n"/>
      <c r="S1073" s="88" t="n"/>
      <c r="T1073" s="88" t="n"/>
      <c r="U1073" s="88" t="n"/>
      <c r="V1073" s="89" t="n"/>
      <c r="W1073" s="88" t="n"/>
      <c r="X1073" s="89" t="n"/>
      <c r="Y1073" s="88" t="n"/>
      <c r="Z1073" s="89" t="n"/>
      <c r="AB1073" s="30">
        <f>IF($B1073="","",(COUNTIF(C1073:E1073,"?*")&lt;N(INDEX(Setup!$L$6:$L$23,16)))+(COUNTIF(G1073:I1073,"?*")&lt;N(INDEX(Setup!$L$6:$L$23,16)))+(COUNTIF(K1073:M1073,"?*")&lt;N(INDEX(Setup!$L$6:$L$23,16)))+(COUNTIF(O1073:Q1073,"?*")&lt;N(INDEX(Setup!$L$6:$L$23,16)))+(COUNTIF(S1073:U1073,"?*")&lt;N(INDEX(Setup!$L$6:$L$23,16)))+((W1073="")*(INDEX(Setup!$M$6:$M$23,16)="Y"))+((Y1073="")*(INDEX(Setup!$M$6:$M$23,16)="Y")))</f>
        <v/>
      </c>
      <c r="AC1073" s="91">
        <f>IF($B1073="","",IF(AB1073=0,"✓ covered","⚠ "&amp;AB1073&amp;IF(AB1073=1," gap"," gaps")))</f>
        <v/>
      </c>
    </row>
    <row r="1074" ht="17" customHeight="1">
      <c r="A1074" t="n">
        <v>22</v>
      </c>
      <c r="B1074" s="24">
        <f>IF(Setup!$K$22="","",Setup!$K$22)</f>
        <v/>
      </c>
      <c r="C1074" s="88" t="n"/>
      <c r="D1074" s="88" t="n"/>
      <c r="E1074" s="88" t="n"/>
      <c r="F1074" s="89" t="n"/>
      <c r="G1074" s="88" t="n"/>
      <c r="H1074" s="88" t="n"/>
      <c r="I1074" s="88" t="n"/>
      <c r="J1074" s="89" t="n"/>
      <c r="K1074" s="88" t="n"/>
      <c r="L1074" s="88" t="n"/>
      <c r="M1074" s="88" t="n"/>
      <c r="N1074" s="89" t="n"/>
      <c r="O1074" s="88" t="n"/>
      <c r="P1074" s="88" t="n"/>
      <c r="Q1074" s="88" t="n"/>
      <c r="R1074" s="89" t="n"/>
      <c r="S1074" s="88" t="n"/>
      <c r="T1074" s="88" t="n"/>
      <c r="U1074" s="88" t="n"/>
      <c r="V1074" s="89" t="n"/>
      <c r="W1074" s="88" t="n"/>
      <c r="X1074" s="89" t="n"/>
      <c r="Y1074" s="88" t="n"/>
      <c r="Z1074" s="89" t="n"/>
      <c r="AB1074" s="25">
        <f>IF($B1074="","",(COUNTIF(C1074:E1074,"?*")&lt;N(INDEX(Setup!$L$6:$L$23,17)))+(COUNTIF(G1074:I1074,"?*")&lt;N(INDEX(Setup!$L$6:$L$23,17)))+(COUNTIF(K1074:M1074,"?*")&lt;N(INDEX(Setup!$L$6:$L$23,17)))+(COUNTIF(O1074:Q1074,"?*")&lt;N(INDEX(Setup!$L$6:$L$23,17)))+(COUNTIF(S1074:U1074,"?*")&lt;N(INDEX(Setup!$L$6:$L$23,17)))+((W1074="")*(INDEX(Setup!$M$6:$M$23,17)="Y"))+((Y1074="")*(INDEX(Setup!$M$6:$M$23,17)="Y")))</f>
        <v/>
      </c>
      <c r="AC1074" s="90">
        <f>IF($B1074="","",IF(AB1074=0,"✓ covered","⚠ "&amp;AB1074&amp;IF(AB1074=1," gap"," gaps")))</f>
        <v/>
      </c>
    </row>
    <row r="1075" ht="17" customHeight="1">
      <c r="A1075" t="n">
        <v>22</v>
      </c>
      <c r="B1075" s="29">
        <f>IF(Setup!$K$23="","",Setup!$K$23)</f>
        <v/>
      </c>
      <c r="C1075" s="88" t="n"/>
      <c r="D1075" s="88" t="n"/>
      <c r="E1075" s="88" t="n"/>
      <c r="F1075" s="89" t="n"/>
      <c r="G1075" s="88" t="n"/>
      <c r="H1075" s="88" t="n"/>
      <c r="I1075" s="88" t="n"/>
      <c r="J1075" s="89" t="n"/>
      <c r="K1075" s="88" t="n"/>
      <c r="L1075" s="88" t="n"/>
      <c r="M1075" s="88" t="n"/>
      <c r="N1075" s="89" t="n"/>
      <c r="O1075" s="88" t="n"/>
      <c r="P1075" s="88" t="n"/>
      <c r="Q1075" s="88" t="n"/>
      <c r="R1075" s="89" t="n"/>
      <c r="S1075" s="88" t="n"/>
      <c r="T1075" s="88" t="n"/>
      <c r="U1075" s="88" t="n"/>
      <c r="V1075" s="89" t="n"/>
      <c r="W1075" s="88" t="n"/>
      <c r="X1075" s="89" t="n"/>
      <c r="Y1075" s="88" t="n"/>
      <c r="Z1075" s="89" t="n"/>
      <c r="AB1075" s="30">
        <f>IF($B1075="","",(COUNTIF(C1075:E1075,"?*")&lt;N(INDEX(Setup!$L$6:$L$23,18)))+(COUNTIF(G1075:I1075,"?*")&lt;N(INDEX(Setup!$L$6:$L$23,18)))+(COUNTIF(K1075:M1075,"?*")&lt;N(INDEX(Setup!$L$6:$L$23,18)))+(COUNTIF(O1075:Q1075,"?*")&lt;N(INDEX(Setup!$L$6:$L$23,18)))+(COUNTIF(S1075:U1075,"?*")&lt;N(INDEX(Setup!$L$6:$L$23,18)))+((W1075="")*(INDEX(Setup!$M$6:$M$23,18)="Y"))+((Y1075="")*(INDEX(Setup!$M$6:$M$23,18)="Y")))</f>
        <v/>
      </c>
      <c r="AC1075" s="91">
        <f>IF($B1075="","",IF(AB1075=0,"✓ covered","⚠ "&amp;AB1075&amp;IF(AB1075=1," gap"," gaps")))</f>
        <v/>
      </c>
    </row>
    <row r="1076" ht="18" customHeight="1">
      <c r="A1076" t="n">
        <v>22</v>
      </c>
      <c r="B1076" s="78" t="inlineStr">
        <is>
          <t>TEAM AVAILABILITY</t>
        </is>
      </c>
      <c r="C1076" s="92" t="inlineStr">
        <is>
          <t>Mon</t>
        </is>
      </c>
      <c r="D1076" s="93" t="n"/>
      <c r="E1076" s="93" t="n"/>
      <c r="F1076" s="94" t="n"/>
      <c r="G1076" s="92" t="inlineStr">
        <is>
          <t>Tue</t>
        </is>
      </c>
      <c r="H1076" s="93" t="n"/>
      <c r="I1076" s="93" t="n"/>
      <c r="J1076" s="94" t="n"/>
      <c r="K1076" s="92" t="inlineStr">
        <is>
          <t>Wed</t>
        </is>
      </c>
      <c r="L1076" s="93" t="n"/>
      <c r="M1076" s="93" t="n"/>
      <c r="N1076" s="94" t="n"/>
      <c r="O1076" s="92" t="inlineStr">
        <is>
          <t>Thu</t>
        </is>
      </c>
      <c r="P1076" s="93" t="n"/>
      <c r="Q1076" s="93" t="n"/>
      <c r="R1076" s="94" t="n"/>
      <c r="S1076" s="92" t="inlineStr">
        <is>
          <t>Fri</t>
        </is>
      </c>
      <c r="T1076" s="93" t="n"/>
      <c r="U1076" s="93" t="n"/>
      <c r="V1076" s="94" t="n"/>
      <c r="W1076" s="95" t="inlineStr">
        <is>
          <t>Sat</t>
        </is>
      </c>
      <c r="X1076" s="96" t="n"/>
      <c r="Y1076" s="95" t="inlineStr">
        <is>
          <t>Sun</t>
        </is>
      </c>
      <c r="Z1076" s="96" t="n"/>
      <c r="AB1076" s="97" t="inlineStr">
        <is>
          <t>Days rostered</t>
        </is>
      </c>
      <c r="AC1076" s="97" t="inlineStr">
        <is>
          <t>Conflicts</t>
        </is>
      </c>
    </row>
    <row r="1077" ht="15" customHeight="1">
      <c r="A1077" t="n">
        <v>22</v>
      </c>
      <c r="B1077" s="35">
        <f>IF(Setup!$B$6="","",Setup!$B$6)</f>
        <v/>
      </c>
      <c r="C1077" s="98" t="inlineStr">
        <is>
          <t>HRA</t>
        </is>
      </c>
      <c r="D1077" s="99" t="n"/>
      <c r="E1077" s="99" t="n"/>
      <c r="F1077" s="100" t="n"/>
      <c r="G1077" s="98" t="n"/>
      <c r="H1077" s="99" t="n"/>
      <c r="I1077" s="99" t="n"/>
      <c r="J1077" s="100" t="n"/>
      <c r="K1077" s="98" t="n"/>
      <c r="L1077" s="99" t="n"/>
      <c r="M1077" s="99" t="n"/>
      <c r="N1077" s="100" t="n"/>
      <c r="O1077" s="98" t="n"/>
      <c r="P1077" s="99" t="n"/>
      <c r="Q1077" s="99" t="n"/>
      <c r="R1077" s="100" t="n"/>
      <c r="S1077" s="98" t="n"/>
      <c r="T1077" s="99" t="n"/>
      <c r="U1077" s="99" t="n"/>
      <c r="V1077" s="100" t="n"/>
      <c r="W1077" s="98" t="n"/>
      <c r="X1077" s="100" t="n"/>
      <c r="Y1077" s="98" t="n"/>
      <c r="Z1077" s="100" t="n"/>
      <c r="AB1077" s="101">
        <f>IF($B1077="","",(COUNTIF(C1058:E1075,$B1077)+COUNTIF(C1058:E1075,$B1077&amp;" ~*")&gt;0)+(COUNTIF(G1058:I1075,$B1077)+COUNTIF(G1058:I1075,$B1077&amp;" ~*")&gt;0)+(COUNTIF(K1058:M1075,$B1077)+COUNTIF(K1058:M1075,$B1077&amp;" ~*")&gt;0)+(COUNTIF(O1058:Q1075,$B1077)+COUNTIF(O1058:Q1075,$B1077&amp;" ~*")&gt;0)+(COUNTIF(S1058:U1075,$B1077)+COUNTIF(S1058:U1075,$B1077&amp;" ~*")&gt;0)+(COUNTIF(W1058:W1075,$B1077)+COUNTIF(W1058:W1075,$B1077&amp;" ~*")&gt;0)+(COUNTIF(Y1058:Y1075,$B1077)+COUNTIF(Y1058:Y1075,$B1077&amp;" ~*")&gt;0))</f>
        <v/>
      </c>
      <c r="AC1077" s="36">
        <f>IF($B1077="","",(IFERROR(INDEX(Setup!$G$33:$G$40,MATCH(C1077,Setup!$B$33:$B$40,0)),0)=1)*(COUNTIF(C1058:E1075,$B1077)+COUNTIF(C1058:E1075,$B1077&amp;" ~*")&gt;0)+(IFERROR(INDEX(Setup!$G$33:$G$40,MATCH(G1077,Setup!$B$33:$B$40,0)),0)=1)*(COUNTIF(G1058:I1075,$B1077)+COUNTIF(G1058:I1075,$B1077&amp;" ~*")&gt;0)+(IFERROR(INDEX(Setup!$G$33:$G$40,MATCH(K1077,Setup!$B$33:$B$40,0)),0)=1)*(COUNTIF(K1058:M1075,$B1077)+COUNTIF(K1058:M1075,$B1077&amp;" ~*")&gt;0)+(IFERROR(INDEX(Setup!$G$33:$G$40,MATCH(O1077,Setup!$B$33:$B$40,0)),0)=1)*(COUNTIF(O1058:Q1075,$B1077)+COUNTIF(O1058:Q1075,$B1077&amp;" ~*")&gt;0)+(IFERROR(INDEX(Setup!$G$33:$G$40,MATCH(S1077,Setup!$B$33:$B$40,0)),0)=1)*(COUNTIF(S1058:U1075,$B1077)+COUNTIF(S1058:U1075,$B1077&amp;" ~*")&gt;0)+(IFERROR(INDEX(Setup!$G$33:$G$40,MATCH(W1077,Setup!$B$33:$B$40,0)),0)=1)*(COUNTIF(W1058:W1075,$B1077)+COUNTIF(W1058:W1075,$B1077&amp;" ~*")&gt;0)+(IFERROR(INDEX(Setup!$G$33:$G$40,MATCH(Y1077,Setup!$B$33:$B$40,0)),0)=1)*(COUNTIF(Y1058:Y1075,$B1077)+COUNTIF(Y1058:Y1075,$B1077&amp;" ~*")&gt;0))</f>
        <v/>
      </c>
    </row>
    <row r="1078" ht="15" customHeight="1">
      <c r="A1078" t="n">
        <v>22</v>
      </c>
      <c r="B1078" s="37">
        <f>IF(Setup!$B$7="","",Setup!$B$7)</f>
        <v/>
      </c>
      <c r="C1078" s="102" t="n"/>
      <c r="D1078" s="103" t="n"/>
      <c r="E1078" s="103" t="n"/>
      <c r="F1078" s="104" t="n"/>
      <c r="G1078" s="102" t="n"/>
      <c r="H1078" s="103" t="n"/>
      <c r="I1078" s="103" t="n"/>
      <c r="J1078" s="104" t="n"/>
      <c r="K1078" s="102" t="n"/>
      <c r="L1078" s="103" t="n"/>
      <c r="M1078" s="103" t="n"/>
      <c r="N1078" s="104" t="n"/>
      <c r="O1078" s="102" t="n"/>
      <c r="P1078" s="103" t="n"/>
      <c r="Q1078" s="103" t="n"/>
      <c r="R1078" s="104" t="n"/>
      <c r="S1078" s="102" t="n"/>
      <c r="T1078" s="103" t="n"/>
      <c r="U1078" s="103" t="n"/>
      <c r="V1078" s="104" t="n"/>
      <c r="W1078" s="102" t="n"/>
      <c r="X1078" s="104" t="n"/>
      <c r="Y1078" s="102" t="n"/>
      <c r="Z1078" s="104" t="n"/>
      <c r="AB1078" s="105">
        <f>IF($B1078="","",(COUNTIF(C1058:E1075,$B1078)+COUNTIF(C1058:E1075,$B1078&amp;" ~*")&gt;0)+(COUNTIF(G1058:I1075,$B1078)+COUNTIF(G1058:I1075,$B1078&amp;" ~*")&gt;0)+(COUNTIF(K1058:M1075,$B1078)+COUNTIF(K1058:M1075,$B1078&amp;" ~*")&gt;0)+(COUNTIF(O1058:Q1075,$B1078)+COUNTIF(O1058:Q1075,$B1078&amp;" ~*")&gt;0)+(COUNTIF(S1058:U1075,$B1078)+COUNTIF(S1058:U1075,$B1078&amp;" ~*")&gt;0)+(COUNTIF(W1058:W1075,$B1078)+COUNTIF(W1058:W1075,$B1078&amp;" ~*")&gt;0)+(COUNTIF(Y1058:Y1075,$B1078)+COUNTIF(Y1058:Y1075,$B1078&amp;" ~*")&gt;0))</f>
        <v/>
      </c>
      <c r="AC1078" s="38">
        <f>IF($B1078="","",(IFERROR(INDEX(Setup!$G$33:$G$40,MATCH(C1078,Setup!$B$33:$B$40,0)),0)=1)*(COUNTIF(C1058:E1075,$B1078)+COUNTIF(C1058:E1075,$B1078&amp;" ~*")&gt;0)+(IFERROR(INDEX(Setup!$G$33:$G$40,MATCH(G1078,Setup!$B$33:$B$40,0)),0)=1)*(COUNTIF(G1058:I1075,$B1078)+COUNTIF(G1058:I1075,$B1078&amp;" ~*")&gt;0)+(IFERROR(INDEX(Setup!$G$33:$G$40,MATCH(K1078,Setup!$B$33:$B$40,0)),0)=1)*(COUNTIF(K1058:M1075,$B1078)+COUNTIF(K1058:M1075,$B1078&amp;" ~*")&gt;0)+(IFERROR(INDEX(Setup!$G$33:$G$40,MATCH(O1078,Setup!$B$33:$B$40,0)),0)=1)*(COUNTIF(O1058:Q1075,$B1078)+COUNTIF(O1058:Q1075,$B1078&amp;" ~*")&gt;0)+(IFERROR(INDEX(Setup!$G$33:$G$40,MATCH(S1078,Setup!$B$33:$B$40,0)),0)=1)*(COUNTIF(S1058:U1075,$B1078)+COUNTIF(S1058:U1075,$B1078&amp;" ~*")&gt;0)+(IFERROR(INDEX(Setup!$G$33:$G$40,MATCH(W1078,Setup!$B$33:$B$40,0)),0)=1)*(COUNTIF(W1058:W1075,$B1078)+COUNTIF(W1058:W1075,$B1078&amp;" ~*")&gt;0)+(IFERROR(INDEX(Setup!$G$33:$G$40,MATCH(Y1078,Setup!$B$33:$B$40,0)),0)=1)*(COUNTIF(Y1058:Y1075,$B1078)+COUNTIF(Y1058:Y1075,$B1078&amp;" ~*")&gt;0))</f>
        <v/>
      </c>
    </row>
    <row r="1079" ht="15" customHeight="1">
      <c r="A1079" t="n">
        <v>22</v>
      </c>
      <c r="B1079" s="35">
        <f>IF(Setup!$B$8="","",Setup!$B$8)</f>
        <v/>
      </c>
      <c r="C1079" s="98" t="n"/>
      <c r="D1079" s="99" t="n"/>
      <c r="E1079" s="99" t="n"/>
      <c r="F1079" s="100" t="n"/>
      <c r="G1079" s="98" t="n"/>
      <c r="H1079" s="99" t="n"/>
      <c r="I1079" s="99" t="n"/>
      <c r="J1079" s="100" t="n"/>
      <c r="K1079" s="98" t="n"/>
      <c r="L1079" s="99" t="n"/>
      <c r="M1079" s="99" t="n"/>
      <c r="N1079" s="100" t="n"/>
      <c r="O1079" s="98" t="n"/>
      <c r="P1079" s="99" t="n"/>
      <c r="Q1079" s="99" t="n"/>
      <c r="R1079" s="100" t="n"/>
      <c r="S1079" s="98" t="n"/>
      <c r="T1079" s="99" t="n"/>
      <c r="U1079" s="99" t="n"/>
      <c r="V1079" s="100" t="n"/>
      <c r="W1079" s="98" t="n"/>
      <c r="X1079" s="100" t="n"/>
      <c r="Y1079" s="98" t="n"/>
      <c r="Z1079" s="100" t="n"/>
      <c r="AB1079" s="101">
        <f>IF($B1079="","",(COUNTIF(C1058:E1075,$B1079)+COUNTIF(C1058:E1075,$B1079&amp;" ~*")&gt;0)+(COUNTIF(G1058:I1075,$B1079)+COUNTIF(G1058:I1075,$B1079&amp;" ~*")&gt;0)+(COUNTIF(K1058:M1075,$B1079)+COUNTIF(K1058:M1075,$B1079&amp;" ~*")&gt;0)+(COUNTIF(O1058:Q1075,$B1079)+COUNTIF(O1058:Q1075,$B1079&amp;" ~*")&gt;0)+(COUNTIF(S1058:U1075,$B1079)+COUNTIF(S1058:U1075,$B1079&amp;" ~*")&gt;0)+(COUNTIF(W1058:W1075,$B1079)+COUNTIF(W1058:W1075,$B1079&amp;" ~*")&gt;0)+(COUNTIF(Y1058:Y1075,$B1079)+COUNTIF(Y1058:Y1075,$B1079&amp;" ~*")&gt;0))</f>
        <v/>
      </c>
      <c r="AC1079" s="36">
        <f>IF($B1079="","",(IFERROR(INDEX(Setup!$G$33:$G$40,MATCH(C1079,Setup!$B$33:$B$40,0)),0)=1)*(COUNTIF(C1058:E1075,$B1079)+COUNTIF(C1058:E1075,$B1079&amp;" ~*")&gt;0)+(IFERROR(INDEX(Setup!$G$33:$G$40,MATCH(G1079,Setup!$B$33:$B$40,0)),0)=1)*(COUNTIF(G1058:I1075,$B1079)+COUNTIF(G1058:I1075,$B1079&amp;" ~*")&gt;0)+(IFERROR(INDEX(Setup!$G$33:$G$40,MATCH(K1079,Setup!$B$33:$B$40,0)),0)=1)*(COUNTIF(K1058:M1075,$B1079)+COUNTIF(K1058:M1075,$B1079&amp;" ~*")&gt;0)+(IFERROR(INDEX(Setup!$G$33:$G$40,MATCH(O1079,Setup!$B$33:$B$40,0)),0)=1)*(COUNTIF(O1058:Q1075,$B1079)+COUNTIF(O1058:Q1075,$B1079&amp;" ~*")&gt;0)+(IFERROR(INDEX(Setup!$G$33:$G$40,MATCH(S1079,Setup!$B$33:$B$40,0)),0)=1)*(COUNTIF(S1058:U1075,$B1079)+COUNTIF(S1058:U1075,$B1079&amp;" ~*")&gt;0)+(IFERROR(INDEX(Setup!$G$33:$G$40,MATCH(W1079,Setup!$B$33:$B$40,0)),0)=1)*(COUNTIF(W1058:W1075,$B1079)+COUNTIF(W1058:W1075,$B1079&amp;" ~*")&gt;0)+(IFERROR(INDEX(Setup!$G$33:$G$40,MATCH(Y1079,Setup!$B$33:$B$40,0)),0)=1)*(COUNTIF(Y1058:Y1075,$B1079)+COUNTIF(Y1058:Y1075,$B1079&amp;" ~*")&gt;0))</f>
        <v/>
      </c>
    </row>
    <row r="1080" ht="15" customHeight="1">
      <c r="A1080" t="n">
        <v>22</v>
      </c>
      <c r="B1080" s="37">
        <f>IF(Setup!$B$9="","",Setup!$B$9)</f>
        <v/>
      </c>
      <c r="C1080" s="102" t="n"/>
      <c r="D1080" s="103" t="n"/>
      <c r="E1080" s="103" t="n"/>
      <c r="F1080" s="104" t="n"/>
      <c r="G1080" s="102" t="inlineStr">
        <is>
          <t>AL</t>
        </is>
      </c>
      <c r="H1080" s="103" t="n"/>
      <c r="I1080" s="103" t="n"/>
      <c r="J1080" s="104" t="n"/>
      <c r="K1080" s="102" t="inlineStr">
        <is>
          <t>AL</t>
        </is>
      </c>
      <c r="L1080" s="103" t="n"/>
      <c r="M1080" s="103" t="n"/>
      <c r="N1080" s="104" t="n"/>
      <c r="O1080" s="102" t="inlineStr">
        <is>
          <t>AL</t>
        </is>
      </c>
      <c r="P1080" s="103" t="n"/>
      <c r="Q1080" s="103" t="n"/>
      <c r="R1080" s="104" t="n"/>
      <c r="S1080" s="102" t="inlineStr">
        <is>
          <t>AL</t>
        </is>
      </c>
      <c r="T1080" s="103" t="n"/>
      <c r="U1080" s="103" t="n"/>
      <c r="V1080" s="104" t="n"/>
      <c r="W1080" s="102" t="n"/>
      <c r="X1080" s="104" t="n"/>
      <c r="Y1080" s="102" t="n"/>
      <c r="Z1080" s="104" t="n"/>
      <c r="AB1080" s="105">
        <f>IF($B1080="","",(COUNTIF(C1058:E1075,$B1080)+COUNTIF(C1058:E1075,$B1080&amp;" ~*")&gt;0)+(COUNTIF(G1058:I1075,$B1080)+COUNTIF(G1058:I1075,$B1080&amp;" ~*")&gt;0)+(COUNTIF(K1058:M1075,$B1080)+COUNTIF(K1058:M1075,$B1080&amp;" ~*")&gt;0)+(COUNTIF(O1058:Q1075,$B1080)+COUNTIF(O1058:Q1075,$B1080&amp;" ~*")&gt;0)+(COUNTIF(S1058:U1075,$B1080)+COUNTIF(S1058:U1075,$B1080&amp;" ~*")&gt;0)+(COUNTIF(W1058:W1075,$B1080)+COUNTIF(W1058:W1075,$B1080&amp;" ~*")&gt;0)+(COUNTIF(Y1058:Y1075,$B1080)+COUNTIF(Y1058:Y1075,$B1080&amp;" ~*")&gt;0))</f>
        <v/>
      </c>
      <c r="AC1080" s="38">
        <f>IF($B1080="","",(IFERROR(INDEX(Setup!$G$33:$G$40,MATCH(C1080,Setup!$B$33:$B$40,0)),0)=1)*(COUNTIF(C1058:E1075,$B1080)+COUNTIF(C1058:E1075,$B1080&amp;" ~*")&gt;0)+(IFERROR(INDEX(Setup!$G$33:$G$40,MATCH(G1080,Setup!$B$33:$B$40,0)),0)=1)*(COUNTIF(G1058:I1075,$B1080)+COUNTIF(G1058:I1075,$B1080&amp;" ~*")&gt;0)+(IFERROR(INDEX(Setup!$G$33:$G$40,MATCH(K1080,Setup!$B$33:$B$40,0)),0)=1)*(COUNTIF(K1058:M1075,$B1080)+COUNTIF(K1058:M1075,$B1080&amp;" ~*")&gt;0)+(IFERROR(INDEX(Setup!$G$33:$G$40,MATCH(O1080,Setup!$B$33:$B$40,0)),0)=1)*(COUNTIF(O1058:Q1075,$B1080)+COUNTIF(O1058:Q1075,$B1080&amp;" ~*")&gt;0)+(IFERROR(INDEX(Setup!$G$33:$G$40,MATCH(S1080,Setup!$B$33:$B$40,0)),0)=1)*(COUNTIF(S1058:U1075,$B1080)+COUNTIF(S1058:U1075,$B1080&amp;" ~*")&gt;0)+(IFERROR(INDEX(Setup!$G$33:$G$40,MATCH(W1080,Setup!$B$33:$B$40,0)),0)=1)*(COUNTIF(W1058:W1075,$B1080)+COUNTIF(W1058:W1075,$B1080&amp;" ~*")&gt;0)+(IFERROR(INDEX(Setup!$G$33:$G$40,MATCH(Y1080,Setup!$B$33:$B$40,0)),0)=1)*(COUNTIF(Y1058:Y1075,$B1080)+COUNTIF(Y1058:Y1075,$B1080&amp;" ~*")&gt;0))</f>
        <v/>
      </c>
    </row>
    <row r="1081" ht="15" customHeight="1">
      <c r="A1081" t="n">
        <v>22</v>
      </c>
      <c r="B1081" s="35">
        <f>IF(Setup!$B$10="","",Setup!$B$10)</f>
        <v/>
      </c>
      <c r="C1081" s="98" t="n"/>
      <c r="D1081" s="99" t="n"/>
      <c r="E1081" s="99" t="n"/>
      <c r="F1081" s="100" t="n"/>
      <c r="G1081" s="98" t="n"/>
      <c r="H1081" s="99" t="n"/>
      <c r="I1081" s="99" t="n"/>
      <c r="J1081" s="100" t="n"/>
      <c r="K1081" s="98" t="n"/>
      <c r="L1081" s="99" t="n"/>
      <c r="M1081" s="99" t="n"/>
      <c r="N1081" s="100" t="n"/>
      <c r="O1081" s="98" t="n"/>
      <c r="P1081" s="99" t="n"/>
      <c r="Q1081" s="99" t="n"/>
      <c r="R1081" s="100" t="n"/>
      <c r="S1081" s="98" t="n"/>
      <c r="T1081" s="99" t="n"/>
      <c r="U1081" s="99" t="n"/>
      <c r="V1081" s="100" t="n"/>
      <c r="W1081" s="98" t="n"/>
      <c r="X1081" s="100" t="n"/>
      <c r="Y1081" s="98" t="n"/>
      <c r="Z1081" s="100" t="n"/>
      <c r="AB1081" s="101">
        <f>IF($B1081="","",(COUNTIF(C1058:E1075,$B1081)+COUNTIF(C1058:E1075,$B1081&amp;" ~*")&gt;0)+(COUNTIF(G1058:I1075,$B1081)+COUNTIF(G1058:I1075,$B1081&amp;" ~*")&gt;0)+(COUNTIF(K1058:M1075,$B1081)+COUNTIF(K1058:M1075,$B1081&amp;" ~*")&gt;0)+(COUNTIF(O1058:Q1075,$B1081)+COUNTIF(O1058:Q1075,$B1081&amp;" ~*")&gt;0)+(COUNTIF(S1058:U1075,$B1081)+COUNTIF(S1058:U1075,$B1081&amp;" ~*")&gt;0)+(COUNTIF(W1058:W1075,$B1081)+COUNTIF(W1058:W1075,$B1081&amp;" ~*")&gt;0)+(COUNTIF(Y1058:Y1075,$B1081)+COUNTIF(Y1058:Y1075,$B1081&amp;" ~*")&gt;0))</f>
        <v/>
      </c>
      <c r="AC1081" s="36">
        <f>IF($B1081="","",(IFERROR(INDEX(Setup!$G$33:$G$40,MATCH(C1081,Setup!$B$33:$B$40,0)),0)=1)*(COUNTIF(C1058:E1075,$B1081)+COUNTIF(C1058:E1075,$B1081&amp;" ~*")&gt;0)+(IFERROR(INDEX(Setup!$G$33:$G$40,MATCH(G1081,Setup!$B$33:$B$40,0)),0)=1)*(COUNTIF(G1058:I1075,$B1081)+COUNTIF(G1058:I1075,$B1081&amp;" ~*")&gt;0)+(IFERROR(INDEX(Setup!$G$33:$G$40,MATCH(K1081,Setup!$B$33:$B$40,0)),0)=1)*(COUNTIF(K1058:M1075,$B1081)+COUNTIF(K1058:M1075,$B1081&amp;" ~*")&gt;0)+(IFERROR(INDEX(Setup!$G$33:$G$40,MATCH(O1081,Setup!$B$33:$B$40,0)),0)=1)*(COUNTIF(O1058:Q1075,$B1081)+COUNTIF(O1058:Q1075,$B1081&amp;" ~*")&gt;0)+(IFERROR(INDEX(Setup!$G$33:$G$40,MATCH(S1081,Setup!$B$33:$B$40,0)),0)=1)*(COUNTIF(S1058:U1075,$B1081)+COUNTIF(S1058:U1075,$B1081&amp;" ~*")&gt;0)+(IFERROR(INDEX(Setup!$G$33:$G$40,MATCH(W1081,Setup!$B$33:$B$40,0)),0)=1)*(COUNTIF(W1058:W1075,$B1081)+COUNTIF(W1058:W1075,$B1081&amp;" ~*")&gt;0)+(IFERROR(INDEX(Setup!$G$33:$G$40,MATCH(Y1081,Setup!$B$33:$B$40,0)),0)=1)*(COUNTIF(Y1058:Y1075,$B1081)+COUNTIF(Y1058:Y1075,$B1081&amp;" ~*")&gt;0))</f>
        <v/>
      </c>
    </row>
    <row r="1082" ht="15" customHeight="1">
      <c r="A1082" t="n">
        <v>22</v>
      </c>
      <c r="B1082" s="37">
        <f>IF(Setup!$B$11="","",Setup!$B$11)</f>
        <v/>
      </c>
      <c r="C1082" s="102" t="n"/>
      <c r="D1082" s="103" t="n"/>
      <c r="E1082" s="103" t="n"/>
      <c r="F1082" s="104" t="n"/>
      <c r="G1082" s="102" t="n"/>
      <c r="H1082" s="103" t="n"/>
      <c r="I1082" s="103" t="n"/>
      <c r="J1082" s="104" t="n"/>
      <c r="K1082" s="102" t="n"/>
      <c r="L1082" s="103" t="n"/>
      <c r="M1082" s="103" t="n"/>
      <c r="N1082" s="104" t="n"/>
      <c r="O1082" s="102" t="n"/>
      <c r="P1082" s="103" t="n"/>
      <c r="Q1082" s="103" t="n"/>
      <c r="R1082" s="104" t="n"/>
      <c r="S1082" s="102" t="n"/>
      <c r="T1082" s="103" t="n"/>
      <c r="U1082" s="103" t="n"/>
      <c r="V1082" s="104" t="n"/>
      <c r="W1082" s="102" t="n"/>
      <c r="X1082" s="104" t="n"/>
      <c r="Y1082" s="102" t="n"/>
      <c r="Z1082" s="104" t="n"/>
      <c r="AB1082" s="105">
        <f>IF($B1082="","",(COUNTIF(C1058:E1075,$B1082)+COUNTIF(C1058:E1075,$B1082&amp;" ~*")&gt;0)+(COUNTIF(G1058:I1075,$B1082)+COUNTIF(G1058:I1075,$B1082&amp;" ~*")&gt;0)+(COUNTIF(K1058:M1075,$B1082)+COUNTIF(K1058:M1075,$B1082&amp;" ~*")&gt;0)+(COUNTIF(O1058:Q1075,$B1082)+COUNTIF(O1058:Q1075,$B1082&amp;" ~*")&gt;0)+(COUNTIF(S1058:U1075,$B1082)+COUNTIF(S1058:U1075,$B1082&amp;" ~*")&gt;0)+(COUNTIF(W1058:W1075,$B1082)+COUNTIF(W1058:W1075,$B1082&amp;" ~*")&gt;0)+(COUNTIF(Y1058:Y1075,$B1082)+COUNTIF(Y1058:Y1075,$B1082&amp;" ~*")&gt;0))</f>
        <v/>
      </c>
      <c r="AC1082" s="38">
        <f>IF($B1082="","",(IFERROR(INDEX(Setup!$G$33:$G$40,MATCH(C1082,Setup!$B$33:$B$40,0)),0)=1)*(COUNTIF(C1058:E1075,$B1082)+COUNTIF(C1058:E1075,$B1082&amp;" ~*")&gt;0)+(IFERROR(INDEX(Setup!$G$33:$G$40,MATCH(G1082,Setup!$B$33:$B$40,0)),0)=1)*(COUNTIF(G1058:I1075,$B1082)+COUNTIF(G1058:I1075,$B1082&amp;" ~*")&gt;0)+(IFERROR(INDEX(Setup!$G$33:$G$40,MATCH(K1082,Setup!$B$33:$B$40,0)),0)=1)*(COUNTIF(K1058:M1075,$B1082)+COUNTIF(K1058:M1075,$B1082&amp;" ~*")&gt;0)+(IFERROR(INDEX(Setup!$G$33:$G$40,MATCH(O1082,Setup!$B$33:$B$40,0)),0)=1)*(COUNTIF(O1058:Q1075,$B1082)+COUNTIF(O1058:Q1075,$B1082&amp;" ~*")&gt;0)+(IFERROR(INDEX(Setup!$G$33:$G$40,MATCH(S1082,Setup!$B$33:$B$40,0)),0)=1)*(COUNTIF(S1058:U1075,$B1082)+COUNTIF(S1058:U1075,$B1082&amp;" ~*")&gt;0)+(IFERROR(INDEX(Setup!$G$33:$G$40,MATCH(W1082,Setup!$B$33:$B$40,0)),0)=1)*(COUNTIF(W1058:W1075,$B1082)+COUNTIF(W1058:W1075,$B1082&amp;" ~*")&gt;0)+(IFERROR(INDEX(Setup!$G$33:$G$40,MATCH(Y1082,Setup!$B$33:$B$40,0)),0)=1)*(COUNTIF(Y1058:Y1075,$B1082)+COUNTIF(Y1058:Y1075,$B1082&amp;" ~*")&gt;0))</f>
        <v/>
      </c>
    </row>
    <row r="1083" ht="15" customHeight="1">
      <c r="A1083" t="n">
        <v>22</v>
      </c>
      <c r="B1083" s="35">
        <f>IF(Setup!$B$12="","",Setup!$B$12)</f>
        <v/>
      </c>
      <c r="C1083" s="98" t="n"/>
      <c r="D1083" s="99" t="n"/>
      <c r="E1083" s="99" t="n"/>
      <c r="F1083" s="100" t="n"/>
      <c r="G1083" s="98" t="inlineStr">
        <is>
          <t>AL</t>
        </is>
      </c>
      <c r="H1083" s="99" t="n"/>
      <c r="I1083" s="99" t="n"/>
      <c r="J1083" s="100" t="n"/>
      <c r="K1083" s="98" t="inlineStr">
        <is>
          <t>AL</t>
        </is>
      </c>
      <c r="L1083" s="99" t="n"/>
      <c r="M1083" s="99" t="n"/>
      <c r="N1083" s="100" t="n"/>
      <c r="O1083" s="98" t="inlineStr">
        <is>
          <t>AL</t>
        </is>
      </c>
      <c r="P1083" s="99" t="n"/>
      <c r="Q1083" s="99" t="n"/>
      <c r="R1083" s="100" t="n"/>
      <c r="S1083" s="98" t="inlineStr">
        <is>
          <t>AL</t>
        </is>
      </c>
      <c r="T1083" s="99" t="n"/>
      <c r="U1083" s="99" t="n"/>
      <c r="V1083" s="100" t="n"/>
      <c r="W1083" s="98" t="n"/>
      <c r="X1083" s="100" t="n"/>
      <c r="Y1083" s="98" t="n"/>
      <c r="Z1083" s="100" t="n"/>
      <c r="AB1083" s="101">
        <f>IF($B1083="","",(COUNTIF(C1058:E1075,$B1083)+COUNTIF(C1058:E1075,$B1083&amp;" ~*")&gt;0)+(COUNTIF(G1058:I1075,$B1083)+COUNTIF(G1058:I1075,$B1083&amp;" ~*")&gt;0)+(COUNTIF(K1058:M1075,$B1083)+COUNTIF(K1058:M1075,$B1083&amp;" ~*")&gt;0)+(COUNTIF(O1058:Q1075,$B1083)+COUNTIF(O1058:Q1075,$B1083&amp;" ~*")&gt;0)+(COUNTIF(S1058:U1075,$B1083)+COUNTIF(S1058:U1075,$B1083&amp;" ~*")&gt;0)+(COUNTIF(W1058:W1075,$B1083)+COUNTIF(W1058:W1075,$B1083&amp;" ~*")&gt;0)+(COUNTIF(Y1058:Y1075,$B1083)+COUNTIF(Y1058:Y1075,$B1083&amp;" ~*")&gt;0))</f>
        <v/>
      </c>
      <c r="AC1083" s="36">
        <f>IF($B1083="","",(IFERROR(INDEX(Setup!$G$33:$G$40,MATCH(C1083,Setup!$B$33:$B$40,0)),0)=1)*(COUNTIF(C1058:E1075,$B1083)+COUNTIF(C1058:E1075,$B1083&amp;" ~*")&gt;0)+(IFERROR(INDEX(Setup!$G$33:$G$40,MATCH(G1083,Setup!$B$33:$B$40,0)),0)=1)*(COUNTIF(G1058:I1075,$B1083)+COUNTIF(G1058:I1075,$B1083&amp;" ~*")&gt;0)+(IFERROR(INDEX(Setup!$G$33:$G$40,MATCH(K1083,Setup!$B$33:$B$40,0)),0)=1)*(COUNTIF(K1058:M1075,$B1083)+COUNTIF(K1058:M1075,$B1083&amp;" ~*")&gt;0)+(IFERROR(INDEX(Setup!$G$33:$G$40,MATCH(O1083,Setup!$B$33:$B$40,0)),0)=1)*(COUNTIF(O1058:Q1075,$B1083)+COUNTIF(O1058:Q1075,$B1083&amp;" ~*")&gt;0)+(IFERROR(INDEX(Setup!$G$33:$G$40,MATCH(S1083,Setup!$B$33:$B$40,0)),0)=1)*(COUNTIF(S1058:U1075,$B1083)+COUNTIF(S1058:U1075,$B1083&amp;" ~*")&gt;0)+(IFERROR(INDEX(Setup!$G$33:$G$40,MATCH(W1083,Setup!$B$33:$B$40,0)),0)=1)*(COUNTIF(W1058:W1075,$B1083)+COUNTIF(W1058:W1075,$B1083&amp;" ~*")&gt;0)+(IFERROR(INDEX(Setup!$G$33:$G$40,MATCH(Y1083,Setup!$B$33:$B$40,0)),0)=1)*(COUNTIF(Y1058:Y1075,$B1083)+COUNTIF(Y1058:Y1075,$B1083&amp;" ~*")&gt;0))</f>
        <v/>
      </c>
    </row>
    <row r="1084" ht="15" customHeight="1">
      <c r="A1084" t="n">
        <v>22</v>
      </c>
      <c r="B1084" s="37">
        <f>IF(Setup!$B$13="","",Setup!$B$13)</f>
        <v/>
      </c>
      <c r="C1084" s="102" t="n"/>
      <c r="D1084" s="103" t="n"/>
      <c r="E1084" s="103" t="n"/>
      <c r="F1084" s="104" t="n"/>
      <c r="G1084" s="102" t="n"/>
      <c r="H1084" s="103" t="n"/>
      <c r="I1084" s="103" t="n"/>
      <c r="J1084" s="104" t="n"/>
      <c r="K1084" s="102" t="n"/>
      <c r="L1084" s="103" t="n"/>
      <c r="M1084" s="103" t="n"/>
      <c r="N1084" s="104" t="n"/>
      <c r="O1084" s="102" t="n"/>
      <c r="P1084" s="103" t="n"/>
      <c r="Q1084" s="103" t="n"/>
      <c r="R1084" s="104" t="n"/>
      <c r="S1084" s="102" t="n"/>
      <c r="T1084" s="103" t="n"/>
      <c r="U1084" s="103" t="n"/>
      <c r="V1084" s="104" t="n"/>
      <c r="W1084" s="102" t="n"/>
      <c r="X1084" s="104" t="n"/>
      <c r="Y1084" s="102" t="n"/>
      <c r="Z1084" s="104" t="n"/>
      <c r="AB1084" s="105">
        <f>IF($B1084="","",(COUNTIF(C1058:E1075,$B1084)+COUNTIF(C1058:E1075,$B1084&amp;" ~*")&gt;0)+(COUNTIF(G1058:I1075,$B1084)+COUNTIF(G1058:I1075,$B1084&amp;" ~*")&gt;0)+(COUNTIF(K1058:M1075,$B1084)+COUNTIF(K1058:M1075,$B1084&amp;" ~*")&gt;0)+(COUNTIF(O1058:Q1075,$B1084)+COUNTIF(O1058:Q1075,$B1084&amp;" ~*")&gt;0)+(COUNTIF(S1058:U1075,$B1084)+COUNTIF(S1058:U1075,$B1084&amp;" ~*")&gt;0)+(COUNTIF(W1058:W1075,$B1084)+COUNTIF(W1058:W1075,$B1084&amp;" ~*")&gt;0)+(COUNTIF(Y1058:Y1075,$B1084)+COUNTIF(Y1058:Y1075,$B1084&amp;" ~*")&gt;0))</f>
        <v/>
      </c>
      <c r="AC1084" s="38">
        <f>IF($B1084="","",(IFERROR(INDEX(Setup!$G$33:$G$40,MATCH(C1084,Setup!$B$33:$B$40,0)),0)=1)*(COUNTIF(C1058:E1075,$B1084)+COUNTIF(C1058:E1075,$B1084&amp;" ~*")&gt;0)+(IFERROR(INDEX(Setup!$G$33:$G$40,MATCH(G1084,Setup!$B$33:$B$40,0)),0)=1)*(COUNTIF(G1058:I1075,$B1084)+COUNTIF(G1058:I1075,$B1084&amp;" ~*")&gt;0)+(IFERROR(INDEX(Setup!$G$33:$G$40,MATCH(K1084,Setup!$B$33:$B$40,0)),0)=1)*(COUNTIF(K1058:M1075,$B1084)+COUNTIF(K1058:M1075,$B1084&amp;" ~*")&gt;0)+(IFERROR(INDEX(Setup!$G$33:$G$40,MATCH(O1084,Setup!$B$33:$B$40,0)),0)=1)*(COUNTIF(O1058:Q1075,$B1084)+COUNTIF(O1058:Q1075,$B1084&amp;" ~*")&gt;0)+(IFERROR(INDEX(Setup!$G$33:$G$40,MATCH(S1084,Setup!$B$33:$B$40,0)),0)=1)*(COUNTIF(S1058:U1075,$B1084)+COUNTIF(S1058:U1075,$B1084&amp;" ~*")&gt;0)+(IFERROR(INDEX(Setup!$G$33:$G$40,MATCH(W1084,Setup!$B$33:$B$40,0)),0)=1)*(COUNTIF(W1058:W1075,$B1084)+COUNTIF(W1058:W1075,$B1084&amp;" ~*")&gt;0)+(IFERROR(INDEX(Setup!$G$33:$G$40,MATCH(Y1084,Setup!$B$33:$B$40,0)),0)=1)*(COUNTIF(Y1058:Y1075,$B1084)+COUNTIF(Y1058:Y1075,$B1084&amp;" ~*")&gt;0))</f>
        <v/>
      </c>
    </row>
    <row r="1085" ht="15" customHeight="1">
      <c r="A1085" t="n">
        <v>22</v>
      </c>
      <c r="B1085" s="35">
        <f>IF(Setup!$B$14="","",Setup!$B$14)</f>
        <v/>
      </c>
      <c r="C1085" s="98" t="n"/>
      <c r="D1085" s="99" t="n"/>
      <c r="E1085" s="99" t="n"/>
      <c r="F1085" s="100" t="n"/>
      <c r="G1085" s="98" t="n"/>
      <c r="H1085" s="99" t="n"/>
      <c r="I1085" s="99" t="n"/>
      <c r="J1085" s="100" t="n"/>
      <c r="K1085" s="98" t="n"/>
      <c r="L1085" s="99" t="n"/>
      <c r="M1085" s="99" t="n"/>
      <c r="N1085" s="100" t="n"/>
      <c r="O1085" s="98" t="n"/>
      <c r="P1085" s="99" t="n"/>
      <c r="Q1085" s="99" t="n"/>
      <c r="R1085" s="100" t="n"/>
      <c r="S1085" s="98" t="n"/>
      <c r="T1085" s="99" t="n"/>
      <c r="U1085" s="99" t="n"/>
      <c r="V1085" s="100" t="n"/>
      <c r="W1085" s="98" t="n"/>
      <c r="X1085" s="100" t="n"/>
      <c r="Y1085" s="98" t="n"/>
      <c r="Z1085" s="100" t="n"/>
      <c r="AB1085" s="101">
        <f>IF($B1085="","",(COUNTIF(C1058:E1075,$B1085)+COUNTIF(C1058:E1075,$B1085&amp;" ~*")&gt;0)+(COUNTIF(G1058:I1075,$B1085)+COUNTIF(G1058:I1075,$B1085&amp;" ~*")&gt;0)+(COUNTIF(K1058:M1075,$B1085)+COUNTIF(K1058:M1075,$B1085&amp;" ~*")&gt;0)+(COUNTIF(O1058:Q1075,$B1085)+COUNTIF(O1058:Q1075,$B1085&amp;" ~*")&gt;0)+(COUNTIF(S1058:U1075,$B1085)+COUNTIF(S1058:U1075,$B1085&amp;" ~*")&gt;0)+(COUNTIF(W1058:W1075,$B1085)+COUNTIF(W1058:W1075,$B1085&amp;" ~*")&gt;0)+(COUNTIF(Y1058:Y1075,$B1085)+COUNTIF(Y1058:Y1075,$B1085&amp;" ~*")&gt;0))</f>
        <v/>
      </c>
      <c r="AC1085" s="36">
        <f>IF($B1085="","",(IFERROR(INDEX(Setup!$G$33:$G$40,MATCH(C1085,Setup!$B$33:$B$40,0)),0)=1)*(COUNTIF(C1058:E1075,$B1085)+COUNTIF(C1058:E1075,$B1085&amp;" ~*")&gt;0)+(IFERROR(INDEX(Setup!$G$33:$G$40,MATCH(G1085,Setup!$B$33:$B$40,0)),0)=1)*(COUNTIF(G1058:I1075,$B1085)+COUNTIF(G1058:I1075,$B1085&amp;" ~*")&gt;0)+(IFERROR(INDEX(Setup!$G$33:$G$40,MATCH(K1085,Setup!$B$33:$B$40,0)),0)=1)*(COUNTIF(K1058:M1075,$B1085)+COUNTIF(K1058:M1075,$B1085&amp;" ~*")&gt;0)+(IFERROR(INDEX(Setup!$G$33:$G$40,MATCH(O1085,Setup!$B$33:$B$40,0)),0)=1)*(COUNTIF(O1058:Q1075,$B1085)+COUNTIF(O1058:Q1075,$B1085&amp;" ~*")&gt;0)+(IFERROR(INDEX(Setup!$G$33:$G$40,MATCH(S1085,Setup!$B$33:$B$40,0)),0)=1)*(COUNTIF(S1058:U1075,$B1085)+COUNTIF(S1058:U1075,$B1085&amp;" ~*")&gt;0)+(IFERROR(INDEX(Setup!$G$33:$G$40,MATCH(W1085,Setup!$B$33:$B$40,0)),0)=1)*(COUNTIF(W1058:W1075,$B1085)+COUNTIF(W1058:W1075,$B1085&amp;" ~*")&gt;0)+(IFERROR(INDEX(Setup!$G$33:$G$40,MATCH(Y1085,Setup!$B$33:$B$40,0)),0)=1)*(COUNTIF(Y1058:Y1075,$B1085)+COUNTIF(Y1058:Y1075,$B1085&amp;" ~*")&gt;0))</f>
        <v/>
      </c>
    </row>
    <row r="1086" ht="15" customHeight="1">
      <c r="A1086" t="n">
        <v>22</v>
      </c>
      <c r="B1086" s="37">
        <f>IF(Setup!$B$15="","",Setup!$B$15)</f>
        <v/>
      </c>
      <c r="C1086" s="102" t="n"/>
      <c r="D1086" s="103" t="n"/>
      <c r="E1086" s="103" t="n"/>
      <c r="F1086" s="104" t="n"/>
      <c r="G1086" s="102" t="n"/>
      <c r="H1086" s="103" t="n"/>
      <c r="I1086" s="103" t="n"/>
      <c r="J1086" s="104" t="n"/>
      <c r="K1086" s="102" t="n"/>
      <c r="L1086" s="103" t="n"/>
      <c r="M1086" s="103" t="n"/>
      <c r="N1086" s="104" t="n"/>
      <c r="O1086" s="102" t="n"/>
      <c r="P1086" s="103" t="n"/>
      <c r="Q1086" s="103" t="n"/>
      <c r="R1086" s="104" t="n"/>
      <c r="S1086" s="102" t="n"/>
      <c r="T1086" s="103" t="n"/>
      <c r="U1086" s="103" t="n"/>
      <c r="V1086" s="104" t="n"/>
      <c r="W1086" s="102" t="n"/>
      <c r="X1086" s="104" t="n"/>
      <c r="Y1086" s="102" t="n"/>
      <c r="Z1086" s="104" t="n"/>
      <c r="AB1086" s="105">
        <f>IF($B1086="","",(COUNTIF(C1058:E1075,$B1086)+COUNTIF(C1058:E1075,$B1086&amp;" ~*")&gt;0)+(COUNTIF(G1058:I1075,$B1086)+COUNTIF(G1058:I1075,$B1086&amp;" ~*")&gt;0)+(COUNTIF(K1058:M1075,$B1086)+COUNTIF(K1058:M1075,$B1086&amp;" ~*")&gt;0)+(COUNTIF(O1058:Q1075,$B1086)+COUNTIF(O1058:Q1075,$B1086&amp;" ~*")&gt;0)+(COUNTIF(S1058:U1075,$B1086)+COUNTIF(S1058:U1075,$B1086&amp;" ~*")&gt;0)+(COUNTIF(W1058:W1075,$B1086)+COUNTIF(W1058:W1075,$B1086&amp;" ~*")&gt;0)+(COUNTIF(Y1058:Y1075,$B1086)+COUNTIF(Y1058:Y1075,$B1086&amp;" ~*")&gt;0))</f>
        <v/>
      </c>
      <c r="AC1086" s="38">
        <f>IF($B1086="","",(IFERROR(INDEX(Setup!$G$33:$G$40,MATCH(C1086,Setup!$B$33:$B$40,0)),0)=1)*(COUNTIF(C1058:E1075,$B1086)+COUNTIF(C1058:E1075,$B1086&amp;" ~*")&gt;0)+(IFERROR(INDEX(Setup!$G$33:$G$40,MATCH(G1086,Setup!$B$33:$B$40,0)),0)=1)*(COUNTIF(G1058:I1075,$B1086)+COUNTIF(G1058:I1075,$B1086&amp;" ~*")&gt;0)+(IFERROR(INDEX(Setup!$G$33:$G$40,MATCH(K1086,Setup!$B$33:$B$40,0)),0)=1)*(COUNTIF(K1058:M1075,$B1086)+COUNTIF(K1058:M1075,$B1086&amp;" ~*")&gt;0)+(IFERROR(INDEX(Setup!$G$33:$G$40,MATCH(O1086,Setup!$B$33:$B$40,0)),0)=1)*(COUNTIF(O1058:Q1075,$B1086)+COUNTIF(O1058:Q1075,$B1086&amp;" ~*")&gt;0)+(IFERROR(INDEX(Setup!$G$33:$G$40,MATCH(S1086,Setup!$B$33:$B$40,0)),0)=1)*(COUNTIF(S1058:U1075,$B1086)+COUNTIF(S1058:U1075,$B1086&amp;" ~*")&gt;0)+(IFERROR(INDEX(Setup!$G$33:$G$40,MATCH(W1086,Setup!$B$33:$B$40,0)),0)=1)*(COUNTIF(W1058:W1075,$B1086)+COUNTIF(W1058:W1075,$B1086&amp;" ~*")&gt;0)+(IFERROR(INDEX(Setup!$G$33:$G$40,MATCH(Y1086,Setup!$B$33:$B$40,0)),0)=1)*(COUNTIF(Y1058:Y1075,$B1086)+COUNTIF(Y1058:Y1075,$B1086&amp;" ~*")&gt;0))</f>
        <v/>
      </c>
    </row>
    <row r="1087" ht="15" customHeight="1">
      <c r="A1087" t="n">
        <v>22</v>
      </c>
      <c r="B1087" s="35">
        <f>IF(Setup!$B$16="","",Setup!$B$16)</f>
        <v/>
      </c>
      <c r="C1087" s="98" t="n"/>
      <c r="D1087" s="99" t="n"/>
      <c r="E1087" s="99" t="n"/>
      <c r="F1087" s="100" t="n"/>
      <c r="G1087" s="98" t="n"/>
      <c r="H1087" s="99" t="n"/>
      <c r="I1087" s="99" t="n"/>
      <c r="J1087" s="100" t="n"/>
      <c r="K1087" s="98" t="n"/>
      <c r="L1087" s="99" t="n"/>
      <c r="M1087" s="99" t="n"/>
      <c r="N1087" s="100" t="n"/>
      <c r="O1087" s="98" t="n"/>
      <c r="P1087" s="99" t="n"/>
      <c r="Q1087" s="99" t="n"/>
      <c r="R1087" s="100" t="n"/>
      <c r="S1087" s="98" t="n"/>
      <c r="T1087" s="99" t="n"/>
      <c r="U1087" s="99" t="n"/>
      <c r="V1087" s="100" t="n"/>
      <c r="W1087" s="98" t="n"/>
      <c r="X1087" s="100" t="n"/>
      <c r="Y1087" s="98" t="n"/>
      <c r="Z1087" s="100" t="n"/>
      <c r="AB1087" s="101">
        <f>IF($B1087="","",(COUNTIF(C1058:E1075,$B1087)+COUNTIF(C1058:E1075,$B1087&amp;" ~*")&gt;0)+(COUNTIF(G1058:I1075,$B1087)+COUNTIF(G1058:I1075,$B1087&amp;" ~*")&gt;0)+(COUNTIF(K1058:M1075,$B1087)+COUNTIF(K1058:M1075,$B1087&amp;" ~*")&gt;0)+(COUNTIF(O1058:Q1075,$B1087)+COUNTIF(O1058:Q1075,$B1087&amp;" ~*")&gt;0)+(COUNTIF(S1058:U1075,$B1087)+COUNTIF(S1058:U1075,$B1087&amp;" ~*")&gt;0)+(COUNTIF(W1058:W1075,$B1087)+COUNTIF(W1058:W1075,$B1087&amp;" ~*")&gt;0)+(COUNTIF(Y1058:Y1075,$B1087)+COUNTIF(Y1058:Y1075,$B1087&amp;" ~*")&gt;0))</f>
        <v/>
      </c>
      <c r="AC1087" s="36">
        <f>IF($B1087="","",(IFERROR(INDEX(Setup!$G$33:$G$40,MATCH(C1087,Setup!$B$33:$B$40,0)),0)=1)*(COUNTIF(C1058:E1075,$B1087)+COUNTIF(C1058:E1075,$B1087&amp;" ~*")&gt;0)+(IFERROR(INDEX(Setup!$G$33:$G$40,MATCH(G1087,Setup!$B$33:$B$40,0)),0)=1)*(COUNTIF(G1058:I1075,$B1087)+COUNTIF(G1058:I1075,$B1087&amp;" ~*")&gt;0)+(IFERROR(INDEX(Setup!$G$33:$G$40,MATCH(K1087,Setup!$B$33:$B$40,0)),0)=1)*(COUNTIF(K1058:M1075,$B1087)+COUNTIF(K1058:M1075,$B1087&amp;" ~*")&gt;0)+(IFERROR(INDEX(Setup!$G$33:$G$40,MATCH(O1087,Setup!$B$33:$B$40,0)),0)=1)*(COUNTIF(O1058:Q1075,$B1087)+COUNTIF(O1058:Q1075,$B1087&amp;" ~*")&gt;0)+(IFERROR(INDEX(Setup!$G$33:$G$40,MATCH(S1087,Setup!$B$33:$B$40,0)),0)=1)*(COUNTIF(S1058:U1075,$B1087)+COUNTIF(S1058:U1075,$B1087&amp;" ~*")&gt;0)+(IFERROR(INDEX(Setup!$G$33:$G$40,MATCH(W1087,Setup!$B$33:$B$40,0)),0)=1)*(COUNTIF(W1058:W1075,$B1087)+COUNTIF(W1058:W1075,$B1087&amp;" ~*")&gt;0)+(IFERROR(INDEX(Setup!$G$33:$G$40,MATCH(Y1087,Setup!$B$33:$B$40,0)),0)=1)*(COUNTIF(Y1058:Y1075,$B1087)+COUNTIF(Y1058:Y1075,$B1087&amp;" ~*")&gt;0))</f>
        <v/>
      </c>
    </row>
    <row r="1088" ht="15" customHeight="1">
      <c r="A1088" t="n">
        <v>22</v>
      </c>
      <c r="B1088" s="37">
        <f>IF(Setup!$B$17="","",Setup!$B$17)</f>
        <v/>
      </c>
      <c r="C1088" s="102" t="n"/>
      <c r="D1088" s="103" t="n"/>
      <c r="E1088" s="103" t="n"/>
      <c r="F1088" s="104" t="n"/>
      <c r="G1088" s="102" t="n"/>
      <c r="H1088" s="103" t="n"/>
      <c r="I1088" s="103" t="n"/>
      <c r="J1088" s="104" t="n"/>
      <c r="K1088" s="102" t="n"/>
      <c r="L1088" s="103" t="n"/>
      <c r="M1088" s="103" t="n"/>
      <c r="N1088" s="104" t="n"/>
      <c r="O1088" s="102" t="n"/>
      <c r="P1088" s="103" t="n"/>
      <c r="Q1088" s="103" t="n"/>
      <c r="R1088" s="104" t="n"/>
      <c r="S1088" s="102" t="n"/>
      <c r="T1088" s="103" t="n"/>
      <c r="U1088" s="103" t="n"/>
      <c r="V1088" s="104" t="n"/>
      <c r="W1088" s="102" t="n"/>
      <c r="X1088" s="104" t="n"/>
      <c r="Y1088" s="102" t="n"/>
      <c r="Z1088" s="104" t="n"/>
      <c r="AB1088" s="105">
        <f>IF($B1088="","",(COUNTIF(C1058:E1075,$B1088)+COUNTIF(C1058:E1075,$B1088&amp;" ~*")&gt;0)+(COUNTIF(G1058:I1075,$B1088)+COUNTIF(G1058:I1075,$B1088&amp;" ~*")&gt;0)+(COUNTIF(K1058:M1075,$B1088)+COUNTIF(K1058:M1075,$B1088&amp;" ~*")&gt;0)+(COUNTIF(O1058:Q1075,$B1088)+COUNTIF(O1058:Q1075,$B1088&amp;" ~*")&gt;0)+(COUNTIF(S1058:U1075,$B1088)+COUNTIF(S1058:U1075,$B1088&amp;" ~*")&gt;0)+(COUNTIF(W1058:W1075,$B1088)+COUNTIF(W1058:W1075,$B1088&amp;" ~*")&gt;0)+(COUNTIF(Y1058:Y1075,$B1088)+COUNTIF(Y1058:Y1075,$B1088&amp;" ~*")&gt;0))</f>
        <v/>
      </c>
      <c r="AC1088" s="38">
        <f>IF($B1088="","",(IFERROR(INDEX(Setup!$G$33:$G$40,MATCH(C1088,Setup!$B$33:$B$40,0)),0)=1)*(COUNTIF(C1058:E1075,$B1088)+COUNTIF(C1058:E1075,$B1088&amp;" ~*")&gt;0)+(IFERROR(INDEX(Setup!$G$33:$G$40,MATCH(G1088,Setup!$B$33:$B$40,0)),0)=1)*(COUNTIF(G1058:I1075,$B1088)+COUNTIF(G1058:I1075,$B1088&amp;" ~*")&gt;0)+(IFERROR(INDEX(Setup!$G$33:$G$40,MATCH(K1088,Setup!$B$33:$B$40,0)),0)=1)*(COUNTIF(K1058:M1075,$B1088)+COUNTIF(K1058:M1075,$B1088&amp;" ~*")&gt;0)+(IFERROR(INDEX(Setup!$G$33:$G$40,MATCH(O1088,Setup!$B$33:$B$40,0)),0)=1)*(COUNTIF(O1058:Q1075,$B1088)+COUNTIF(O1058:Q1075,$B1088&amp;" ~*")&gt;0)+(IFERROR(INDEX(Setup!$G$33:$G$40,MATCH(S1088,Setup!$B$33:$B$40,0)),0)=1)*(COUNTIF(S1058:U1075,$B1088)+COUNTIF(S1058:U1075,$B1088&amp;" ~*")&gt;0)+(IFERROR(INDEX(Setup!$G$33:$G$40,MATCH(W1088,Setup!$B$33:$B$40,0)),0)=1)*(COUNTIF(W1058:W1075,$B1088)+COUNTIF(W1058:W1075,$B1088&amp;" ~*")&gt;0)+(IFERROR(INDEX(Setup!$G$33:$G$40,MATCH(Y1088,Setup!$B$33:$B$40,0)),0)=1)*(COUNTIF(Y1058:Y1075,$B1088)+COUNTIF(Y1058:Y1075,$B1088&amp;" ~*")&gt;0))</f>
        <v/>
      </c>
    </row>
    <row r="1089" ht="15" customHeight="1">
      <c r="A1089" t="n">
        <v>22</v>
      </c>
      <c r="B1089" s="35">
        <f>IF(Setup!$B$18="","",Setup!$B$18)</f>
        <v/>
      </c>
      <c r="C1089" s="98" t="n"/>
      <c r="D1089" s="99" t="n"/>
      <c r="E1089" s="99" t="n"/>
      <c r="F1089" s="100" t="n"/>
      <c r="G1089" s="98" t="n"/>
      <c r="H1089" s="99" t="n"/>
      <c r="I1089" s="99" t="n"/>
      <c r="J1089" s="100" t="n"/>
      <c r="K1089" s="98" t="n"/>
      <c r="L1089" s="99" t="n"/>
      <c r="M1089" s="99" t="n"/>
      <c r="N1089" s="100" t="n"/>
      <c r="O1089" s="98" t="n"/>
      <c r="P1089" s="99" t="n"/>
      <c r="Q1089" s="99" t="n"/>
      <c r="R1089" s="100" t="n"/>
      <c r="S1089" s="98" t="n"/>
      <c r="T1089" s="99" t="n"/>
      <c r="U1089" s="99" t="n"/>
      <c r="V1089" s="100" t="n"/>
      <c r="W1089" s="98" t="n"/>
      <c r="X1089" s="100" t="n"/>
      <c r="Y1089" s="98" t="n"/>
      <c r="Z1089" s="100" t="n"/>
      <c r="AB1089" s="101">
        <f>IF($B1089="","",(COUNTIF(C1058:E1075,$B1089)+COUNTIF(C1058:E1075,$B1089&amp;" ~*")&gt;0)+(COUNTIF(G1058:I1075,$B1089)+COUNTIF(G1058:I1075,$B1089&amp;" ~*")&gt;0)+(COUNTIF(K1058:M1075,$B1089)+COUNTIF(K1058:M1075,$B1089&amp;" ~*")&gt;0)+(COUNTIF(O1058:Q1075,$B1089)+COUNTIF(O1058:Q1075,$B1089&amp;" ~*")&gt;0)+(COUNTIF(S1058:U1075,$B1089)+COUNTIF(S1058:U1075,$B1089&amp;" ~*")&gt;0)+(COUNTIF(W1058:W1075,$B1089)+COUNTIF(W1058:W1075,$B1089&amp;" ~*")&gt;0)+(COUNTIF(Y1058:Y1075,$B1089)+COUNTIF(Y1058:Y1075,$B1089&amp;" ~*")&gt;0))</f>
        <v/>
      </c>
      <c r="AC1089" s="36">
        <f>IF($B1089="","",(IFERROR(INDEX(Setup!$G$33:$G$40,MATCH(C1089,Setup!$B$33:$B$40,0)),0)=1)*(COUNTIF(C1058:E1075,$B1089)+COUNTIF(C1058:E1075,$B1089&amp;" ~*")&gt;0)+(IFERROR(INDEX(Setup!$G$33:$G$40,MATCH(G1089,Setup!$B$33:$B$40,0)),0)=1)*(COUNTIF(G1058:I1075,$B1089)+COUNTIF(G1058:I1075,$B1089&amp;" ~*")&gt;0)+(IFERROR(INDEX(Setup!$G$33:$G$40,MATCH(K1089,Setup!$B$33:$B$40,0)),0)=1)*(COUNTIF(K1058:M1075,$B1089)+COUNTIF(K1058:M1075,$B1089&amp;" ~*")&gt;0)+(IFERROR(INDEX(Setup!$G$33:$G$40,MATCH(O1089,Setup!$B$33:$B$40,0)),0)=1)*(COUNTIF(O1058:Q1075,$B1089)+COUNTIF(O1058:Q1075,$B1089&amp;" ~*")&gt;0)+(IFERROR(INDEX(Setup!$G$33:$G$40,MATCH(S1089,Setup!$B$33:$B$40,0)),0)=1)*(COUNTIF(S1058:U1075,$B1089)+COUNTIF(S1058:U1075,$B1089&amp;" ~*")&gt;0)+(IFERROR(INDEX(Setup!$G$33:$G$40,MATCH(W1089,Setup!$B$33:$B$40,0)),0)=1)*(COUNTIF(W1058:W1075,$B1089)+COUNTIF(W1058:W1075,$B1089&amp;" ~*")&gt;0)+(IFERROR(INDEX(Setup!$G$33:$G$40,MATCH(Y1089,Setup!$B$33:$B$40,0)),0)=1)*(COUNTIF(Y1058:Y1075,$B1089)+COUNTIF(Y1058:Y1075,$B1089&amp;" ~*")&gt;0))</f>
        <v/>
      </c>
    </row>
    <row r="1090" ht="15" customHeight="1">
      <c r="A1090" t="n">
        <v>22</v>
      </c>
      <c r="B1090" s="37">
        <f>IF(Setup!$B$19="","",Setup!$B$19)</f>
        <v/>
      </c>
      <c r="C1090" s="102" t="n"/>
      <c r="D1090" s="103" t="n"/>
      <c r="E1090" s="103" t="n"/>
      <c r="F1090" s="104" t="n"/>
      <c r="G1090" s="102" t="n"/>
      <c r="H1090" s="103" t="n"/>
      <c r="I1090" s="103" t="n"/>
      <c r="J1090" s="104" t="n"/>
      <c r="K1090" s="102" t="n"/>
      <c r="L1090" s="103" t="n"/>
      <c r="M1090" s="103" t="n"/>
      <c r="N1090" s="104" t="n"/>
      <c r="O1090" s="102" t="n"/>
      <c r="P1090" s="103" t="n"/>
      <c r="Q1090" s="103" t="n"/>
      <c r="R1090" s="104" t="n"/>
      <c r="S1090" s="102" t="n"/>
      <c r="T1090" s="103" t="n"/>
      <c r="U1090" s="103" t="n"/>
      <c r="V1090" s="104" t="n"/>
      <c r="W1090" s="102" t="n"/>
      <c r="X1090" s="104" t="n"/>
      <c r="Y1090" s="102" t="n"/>
      <c r="Z1090" s="104" t="n"/>
      <c r="AB1090" s="105">
        <f>IF($B1090="","",(COUNTIF(C1058:E1075,$B1090)+COUNTIF(C1058:E1075,$B1090&amp;" ~*")&gt;0)+(COUNTIF(G1058:I1075,$B1090)+COUNTIF(G1058:I1075,$B1090&amp;" ~*")&gt;0)+(COUNTIF(K1058:M1075,$B1090)+COUNTIF(K1058:M1075,$B1090&amp;" ~*")&gt;0)+(COUNTIF(O1058:Q1075,$B1090)+COUNTIF(O1058:Q1075,$B1090&amp;" ~*")&gt;0)+(COUNTIF(S1058:U1075,$B1090)+COUNTIF(S1058:U1075,$B1090&amp;" ~*")&gt;0)+(COUNTIF(W1058:W1075,$B1090)+COUNTIF(W1058:W1075,$B1090&amp;" ~*")&gt;0)+(COUNTIF(Y1058:Y1075,$B1090)+COUNTIF(Y1058:Y1075,$B1090&amp;" ~*")&gt;0))</f>
        <v/>
      </c>
      <c r="AC1090" s="38">
        <f>IF($B1090="","",(IFERROR(INDEX(Setup!$G$33:$G$40,MATCH(C1090,Setup!$B$33:$B$40,0)),0)=1)*(COUNTIF(C1058:E1075,$B1090)+COUNTIF(C1058:E1075,$B1090&amp;" ~*")&gt;0)+(IFERROR(INDEX(Setup!$G$33:$G$40,MATCH(G1090,Setup!$B$33:$B$40,0)),0)=1)*(COUNTIF(G1058:I1075,$B1090)+COUNTIF(G1058:I1075,$B1090&amp;" ~*")&gt;0)+(IFERROR(INDEX(Setup!$G$33:$G$40,MATCH(K1090,Setup!$B$33:$B$40,0)),0)=1)*(COUNTIF(K1058:M1075,$B1090)+COUNTIF(K1058:M1075,$B1090&amp;" ~*")&gt;0)+(IFERROR(INDEX(Setup!$G$33:$G$40,MATCH(O1090,Setup!$B$33:$B$40,0)),0)=1)*(COUNTIF(O1058:Q1075,$B1090)+COUNTIF(O1058:Q1075,$B1090&amp;" ~*")&gt;0)+(IFERROR(INDEX(Setup!$G$33:$G$40,MATCH(S1090,Setup!$B$33:$B$40,0)),0)=1)*(COUNTIF(S1058:U1075,$B1090)+COUNTIF(S1058:U1075,$B1090&amp;" ~*")&gt;0)+(IFERROR(INDEX(Setup!$G$33:$G$40,MATCH(W1090,Setup!$B$33:$B$40,0)),0)=1)*(COUNTIF(W1058:W1075,$B1090)+COUNTIF(W1058:W1075,$B1090&amp;" ~*")&gt;0)+(IFERROR(INDEX(Setup!$G$33:$G$40,MATCH(Y1090,Setup!$B$33:$B$40,0)),0)=1)*(COUNTIF(Y1058:Y1075,$B1090)+COUNTIF(Y1058:Y1075,$B1090&amp;" ~*")&gt;0))</f>
        <v/>
      </c>
    </row>
    <row r="1091" ht="15" customHeight="1">
      <c r="A1091" t="n">
        <v>22</v>
      </c>
      <c r="B1091" s="35">
        <f>IF(Setup!$B$20="","",Setup!$B$20)</f>
        <v/>
      </c>
      <c r="C1091" s="98" t="n"/>
      <c r="D1091" s="99" t="n"/>
      <c r="E1091" s="99" t="n"/>
      <c r="F1091" s="100" t="n"/>
      <c r="G1091" s="98" t="n"/>
      <c r="H1091" s="99" t="n"/>
      <c r="I1091" s="99" t="n"/>
      <c r="J1091" s="100" t="n"/>
      <c r="K1091" s="98" t="n"/>
      <c r="L1091" s="99" t="n"/>
      <c r="M1091" s="99" t="n"/>
      <c r="N1091" s="100" t="n"/>
      <c r="O1091" s="98" t="n"/>
      <c r="P1091" s="99" t="n"/>
      <c r="Q1091" s="99" t="n"/>
      <c r="R1091" s="100" t="n"/>
      <c r="S1091" s="98" t="n"/>
      <c r="T1091" s="99" t="n"/>
      <c r="U1091" s="99" t="n"/>
      <c r="V1091" s="100" t="n"/>
      <c r="W1091" s="98" t="n"/>
      <c r="X1091" s="100" t="n"/>
      <c r="Y1091" s="98" t="n"/>
      <c r="Z1091" s="100" t="n"/>
      <c r="AB1091" s="101">
        <f>IF($B1091="","",(COUNTIF(C1058:E1075,$B1091)+COUNTIF(C1058:E1075,$B1091&amp;" ~*")&gt;0)+(COUNTIF(G1058:I1075,$B1091)+COUNTIF(G1058:I1075,$B1091&amp;" ~*")&gt;0)+(COUNTIF(K1058:M1075,$B1091)+COUNTIF(K1058:M1075,$B1091&amp;" ~*")&gt;0)+(COUNTIF(O1058:Q1075,$B1091)+COUNTIF(O1058:Q1075,$B1091&amp;" ~*")&gt;0)+(COUNTIF(S1058:U1075,$B1091)+COUNTIF(S1058:U1075,$B1091&amp;" ~*")&gt;0)+(COUNTIF(W1058:W1075,$B1091)+COUNTIF(W1058:W1075,$B1091&amp;" ~*")&gt;0)+(COUNTIF(Y1058:Y1075,$B1091)+COUNTIF(Y1058:Y1075,$B1091&amp;" ~*")&gt;0))</f>
        <v/>
      </c>
      <c r="AC1091" s="36">
        <f>IF($B1091="","",(IFERROR(INDEX(Setup!$G$33:$G$40,MATCH(C1091,Setup!$B$33:$B$40,0)),0)=1)*(COUNTIF(C1058:E1075,$B1091)+COUNTIF(C1058:E1075,$B1091&amp;" ~*")&gt;0)+(IFERROR(INDEX(Setup!$G$33:$G$40,MATCH(G1091,Setup!$B$33:$B$40,0)),0)=1)*(COUNTIF(G1058:I1075,$B1091)+COUNTIF(G1058:I1075,$B1091&amp;" ~*")&gt;0)+(IFERROR(INDEX(Setup!$G$33:$G$40,MATCH(K1091,Setup!$B$33:$B$40,0)),0)=1)*(COUNTIF(K1058:M1075,$B1091)+COUNTIF(K1058:M1075,$B1091&amp;" ~*")&gt;0)+(IFERROR(INDEX(Setup!$G$33:$G$40,MATCH(O1091,Setup!$B$33:$B$40,0)),0)=1)*(COUNTIF(O1058:Q1075,$B1091)+COUNTIF(O1058:Q1075,$B1091&amp;" ~*")&gt;0)+(IFERROR(INDEX(Setup!$G$33:$G$40,MATCH(S1091,Setup!$B$33:$B$40,0)),0)=1)*(COUNTIF(S1058:U1075,$B1091)+COUNTIF(S1058:U1075,$B1091&amp;" ~*")&gt;0)+(IFERROR(INDEX(Setup!$G$33:$G$40,MATCH(W1091,Setup!$B$33:$B$40,0)),0)=1)*(COUNTIF(W1058:W1075,$B1091)+COUNTIF(W1058:W1075,$B1091&amp;" ~*")&gt;0)+(IFERROR(INDEX(Setup!$G$33:$G$40,MATCH(Y1091,Setup!$B$33:$B$40,0)),0)=1)*(COUNTIF(Y1058:Y1075,$B1091)+COUNTIF(Y1058:Y1075,$B1091&amp;" ~*")&gt;0))</f>
        <v/>
      </c>
    </row>
    <row r="1092" ht="15" customHeight="1">
      <c r="A1092" t="n">
        <v>22</v>
      </c>
      <c r="B1092" s="37">
        <f>IF(Setup!$B$21="","",Setup!$B$21)</f>
        <v/>
      </c>
      <c r="C1092" s="102" t="n"/>
      <c r="D1092" s="103" t="n"/>
      <c r="E1092" s="103" t="n"/>
      <c r="F1092" s="104" t="n"/>
      <c r="G1092" s="102" t="inlineStr">
        <is>
          <t>AL</t>
        </is>
      </c>
      <c r="H1092" s="103" t="n"/>
      <c r="I1092" s="103" t="n"/>
      <c r="J1092" s="104" t="n"/>
      <c r="K1092" s="102" t="inlineStr">
        <is>
          <t>AL</t>
        </is>
      </c>
      <c r="L1092" s="103" t="n"/>
      <c r="M1092" s="103" t="n"/>
      <c r="N1092" s="104" t="n"/>
      <c r="O1092" s="102" t="inlineStr">
        <is>
          <t>AL</t>
        </is>
      </c>
      <c r="P1092" s="103" t="n"/>
      <c r="Q1092" s="103" t="n"/>
      <c r="R1092" s="104" t="n"/>
      <c r="S1092" s="102" t="inlineStr">
        <is>
          <t>AL</t>
        </is>
      </c>
      <c r="T1092" s="103" t="n"/>
      <c r="U1092" s="103" t="n"/>
      <c r="V1092" s="104" t="n"/>
      <c r="W1092" s="102" t="n"/>
      <c r="X1092" s="104" t="n"/>
      <c r="Y1092" s="102" t="n"/>
      <c r="Z1092" s="104" t="n"/>
      <c r="AB1092" s="105">
        <f>IF($B1092="","",(COUNTIF(C1058:E1075,$B1092)+COUNTIF(C1058:E1075,$B1092&amp;" ~*")&gt;0)+(COUNTIF(G1058:I1075,$B1092)+COUNTIF(G1058:I1075,$B1092&amp;" ~*")&gt;0)+(COUNTIF(K1058:M1075,$B1092)+COUNTIF(K1058:M1075,$B1092&amp;" ~*")&gt;0)+(COUNTIF(O1058:Q1075,$B1092)+COUNTIF(O1058:Q1075,$B1092&amp;" ~*")&gt;0)+(COUNTIF(S1058:U1075,$B1092)+COUNTIF(S1058:U1075,$B1092&amp;" ~*")&gt;0)+(COUNTIF(W1058:W1075,$B1092)+COUNTIF(W1058:W1075,$B1092&amp;" ~*")&gt;0)+(COUNTIF(Y1058:Y1075,$B1092)+COUNTIF(Y1058:Y1075,$B1092&amp;" ~*")&gt;0))</f>
        <v/>
      </c>
      <c r="AC1092" s="38">
        <f>IF($B1092="","",(IFERROR(INDEX(Setup!$G$33:$G$40,MATCH(C1092,Setup!$B$33:$B$40,0)),0)=1)*(COUNTIF(C1058:E1075,$B1092)+COUNTIF(C1058:E1075,$B1092&amp;" ~*")&gt;0)+(IFERROR(INDEX(Setup!$G$33:$G$40,MATCH(G1092,Setup!$B$33:$B$40,0)),0)=1)*(COUNTIF(G1058:I1075,$B1092)+COUNTIF(G1058:I1075,$B1092&amp;" ~*")&gt;0)+(IFERROR(INDEX(Setup!$G$33:$G$40,MATCH(K1092,Setup!$B$33:$B$40,0)),0)=1)*(COUNTIF(K1058:M1075,$B1092)+COUNTIF(K1058:M1075,$B1092&amp;" ~*")&gt;0)+(IFERROR(INDEX(Setup!$G$33:$G$40,MATCH(O1092,Setup!$B$33:$B$40,0)),0)=1)*(COUNTIF(O1058:Q1075,$B1092)+COUNTIF(O1058:Q1075,$B1092&amp;" ~*")&gt;0)+(IFERROR(INDEX(Setup!$G$33:$G$40,MATCH(S1092,Setup!$B$33:$B$40,0)),0)=1)*(COUNTIF(S1058:U1075,$B1092)+COUNTIF(S1058:U1075,$B1092&amp;" ~*")&gt;0)+(IFERROR(INDEX(Setup!$G$33:$G$40,MATCH(W1092,Setup!$B$33:$B$40,0)),0)=1)*(COUNTIF(W1058:W1075,$B1092)+COUNTIF(W1058:W1075,$B1092&amp;" ~*")&gt;0)+(IFERROR(INDEX(Setup!$G$33:$G$40,MATCH(Y1092,Setup!$B$33:$B$40,0)),0)=1)*(COUNTIF(Y1058:Y1075,$B1092)+COUNTIF(Y1058:Y1075,$B1092&amp;" ~*")&gt;0))</f>
        <v/>
      </c>
    </row>
    <row r="1093" ht="15" customHeight="1">
      <c r="A1093" t="n">
        <v>22</v>
      </c>
      <c r="B1093" s="35">
        <f>IF(Setup!$B$22="","",Setup!$B$22)</f>
        <v/>
      </c>
      <c r="C1093" s="98" t="n"/>
      <c r="D1093" s="99" t="n"/>
      <c r="E1093" s="99" t="n"/>
      <c r="F1093" s="100" t="n"/>
      <c r="G1093" s="98" t="n"/>
      <c r="H1093" s="99" t="n"/>
      <c r="I1093" s="99" t="n"/>
      <c r="J1093" s="100" t="n"/>
      <c r="K1093" s="98" t="n"/>
      <c r="L1093" s="99" t="n"/>
      <c r="M1093" s="99" t="n"/>
      <c r="N1093" s="100" t="n"/>
      <c r="O1093" s="98" t="n"/>
      <c r="P1093" s="99" t="n"/>
      <c r="Q1093" s="99" t="n"/>
      <c r="R1093" s="100" t="n"/>
      <c r="S1093" s="98" t="n"/>
      <c r="T1093" s="99" t="n"/>
      <c r="U1093" s="99" t="n"/>
      <c r="V1093" s="100" t="n"/>
      <c r="W1093" s="98" t="n"/>
      <c r="X1093" s="100" t="n"/>
      <c r="Y1093" s="98" t="n"/>
      <c r="Z1093" s="100" t="n"/>
      <c r="AB1093" s="101">
        <f>IF($B1093="","",(COUNTIF(C1058:E1075,$B1093)+COUNTIF(C1058:E1075,$B1093&amp;" ~*")&gt;0)+(COUNTIF(G1058:I1075,$B1093)+COUNTIF(G1058:I1075,$B1093&amp;" ~*")&gt;0)+(COUNTIF(K1058:M1075,$B1093)+COUNTIF(K1058:M1075,$B1093&amp;" ~*")&gt;0)+(COUNTIF(O1058:Q1075,$B1093)+COUNTIF(O1058:Q1075,$B1093&amp;" ~*")&gt;0)+(COUNTIF(S1058:U1075,$B1093)+COUNTIF(S1058:U1075,$B1093&amp;" ~*")&gt;0)+(COUNTIF(W1058:W1075,$B1093)+COUNTIF(W1058:W1075,$B1093&amp;" ~*")&gt;0)+(COUNTIF(Y1058:Y1075,$B1093)+COUNTIF(Y1058:Y1075,$B1093&amp;" ~*")&gt;0))</f>
        <v/>
      </c>
      <c r="AC1093" s="36">
        <f>IF($B1093="","",(IFERROR(INDEX(Setup!$G$33:$G$40,MATCH(C1093,Setup!$B$33:$B$40,0)),0)=1)*(COUNTIF(C1058:E1075,$B1093)+COUNTIF(C1058:E1075,$B1093&amp;" ~*")&gt;0)+(IFERROR(INDEX(Setup!$G$33:$G$40,MATCH(G1093,Setup!$B$33:$B$40,0)),0)=1)*(COUNTIF(G1058:I1075,$B1093)+COUNTIF(G1058:I1075,$B1093&amp;" ~*")&gt;0)+(IFERROR(INDEX(Setup!$G$33:$G$40,MATCH(K1093,Setup!$B$33:$B$40,0)),0)=1)*(COUNTIF(K1058:M1075,$B1093)+COUNTIF(K1058:M1075,$B1093&amp;" ~*")&gt;0)+(IFERROR(INDEX(Setup!$G$33:$G$40,MATCH(O1093,Setup!$B$33:$B$40,0)),0)=1)*(COUNTIF(O1058:Q1075,$B1093)+COUNTIF(O1058:Q1075,$B1093&amp;" ~*")&gt;0)+(IFERROR(INDEX(Setup!$G$33:$G$40,MATCH(S1093,Setup!$B$33:$B$40,0)),0)=1)*(COUNTIF(S1058:U1075,$B1093)+COUNTIF(S1058:U1075,$B1093&amp;" ~*")&gt;0)+(IFERROR(INDEX(Setup!$G$33:$G$40,MATCH(W1093,Setup!$B$33:$B$40,0)),0)=1)*(COUNTIF(W1058:W1075,$B1093)+COUNTIF(W1058:W1075,$B1093&amp;" ~*")&gt;0)+(IFERROR(INDEX(Setup!$G$33:$G$40,MATCH(Y1093,Setup!$B$33:$B$40,0)),0)=1)*(COUNTIF(Y1058:Y1075,$B1093)+COUNTIF(Y1058:Y1075,$B1093&amp;" ~*")&gt;0))</f>
        <v/>
      </c>
    </row>
    <row r="1094" ht="15" customHeight="1">
      <c r="A1094" t="n">
        <v>22</v>
      </c>
      <c r="B1094" s="37">
        <f>IF(Setup!$B$23="","",Setup!$B$23)</f>
        <v/>
      </c>
      <c r="C1094" s="102" t="n"/>
      <c r="D1094" s="103" t="n"/>
      <c r="E1094" s="103" t="n"/>
      <c r="F1094" s="104" t="n"/>
      <c r="G1094" s="102" t="n"/>
      <c r="H1094" s="103" t="n"/>
      <c r="I1094" s="103" t="n"/>
      <c r="J1094" s="104" t="n"/>
      <c r="K1094" s="102" t="n"/>
      <c r="L1094" s="103" t="n"/>
      <c r="M1094" s="103" t="n"/>
      <c r="N1094" s="104" t="n"/>
      <c r="O1094" s="102" t="n"/>
      <c r="P1094" s="103" t="n"/>
      <c r="Q1094" s="103" t="n"/>
      <c r="R1094" s="104" t="n"/>
      <c r="S1094" s="102" t="n"/>
      <c r="T1094" s="103" t="n"/>
      <c r="U1094" s="103" t="n"/>
      <c r="V1094" s="104" t="n"/>
      <c r="W1094" s="102" t="n"/>
      <c r="X1094" s="104" t="n"/>
      <c r="Y1094" s="102" t="n"/>
      <c r="Z1094" s="104" t="n"/>
      <c r="AB1094" s="105">
        <f>IF($B1094="","",(COUNTIF(C1058:E1075,$B1094)+COUNTIF(C1058:E1075,$B1094&amp;" ~*")&gt;0)+(COUNTIF(G1058:I1075,$B1094)+COUNTIF(G1058:I1075,$B1094&amp;" ~*")&gt;0)+(COUNTIF(K1058:M1075,$B1094)+COUNTIF(K1058:M1075,$B1094&amp;" ~*")&gt;0)+(COUNTIF(O1058:Q1075,$B1094)+COUNTIF(O1058:Q1075,$B1094&amp;" ~*")&gt;0)+(COUNTIF(S1058:U1075,$B1094)+COUNTIF(S1058:U1075,$B1094&amp;" ~*")&gt;0)+(COUNTIF(W1058:W1075,$B1094)+COUNTIF(W1058:W1075,$B1094&amp;" ~*")&gt;0)+(COUNTIF(Y1058:Y1075,$B1094)+COUNTIF(Y1058:Y1075,$B1094&amp;" ~*")&gt;0))</f>
        <v/>
      </c>
      <c r="AC1094" s="38">
        <f>IF($B1094="","",(IFERROR(INDEX(Setup!$G$33:$G$40,MATCH(C1094,Setup!$B$33:$B$40,0)),0)=1)*(COUNTIF(C1058:E1075,$B1094)+COUNTIF(C1058:E1075,$B1094&amp;" ~*")&gt;0)+(IFERROR(INDEX(Setup!$G$33:$G$40,MATCH(G1094,Setup!$B$33:$B$40,0)),0)=1)*(COUNTIF(G1058:I1075,$B1094)+COUNTIF(G1058:I1075,$B1094&amp;" ~*")&gt;0)+(IFERROR(INDEX(Setup!$G$33:$G$40,MATCH(K1094,Setup!$B$33:$B$40,0)),0)=1)*(COUNTIF(K1058:M1075,$B1094)+COUNTIF(K1058:M1075,$B1094&amp;" ~*")&gt;0)+(IFERROR(INDEX(Setup!$G$33:$G$40,MATCH(O1094,Setup!$B$33:$B$40,0)),0)=1)*(COUNTIF(O1058:Q1075,$B1094)+COUNTIF(O1058:Q1075,$B1094&amp;" ~*")&gt;0)+(IFERROR(INDEX(Setup!$G$33:$G$40,MATCH(S1094,Setup!$B$33:$B$40,0)),0)=1)*(COUNTIF(S1058:U1075,$B1094)+COUNTIF(S1058:U1075,$B1094&amp;" ~*")&gt;0)+(IFERROR(INDEX(Setup!$G$33:$G$40,MATCH(W1094,Setup!$B$33:$B$40,0)),0)=1)*(COUNTIF(W1058:W1075,$B1094)+COUNTIF(W1058:W1075,$B1094&amp;" ~*")&gt;0)+(IFERROR(INDEX(Setup!$G$33:$G$40,MATCH(Y1094,Setup!$B$33:$B$40,0)),0)=1)*(COUNTIF(Y1058:Y1075,$B1094)+COUNTIF(Y1058:Y1075,$B1094&amp;" ~*")&gt;0))</f>
        <v/>
      </c>
    </row>
    <row r="1095" ht="15" customHeight="1">
      <c r="A1095" t="n">
        <v>22</v>
      </c>
      <c r="B1095" s="35">
        <f>IF(Setup!$B$24="","",Setup!$B$24)</f>
        <v/>
      </c>
      <c r="C1095" s="98" t="n"/>
      <c r="D1095" s="99" t="n"/>
      <c r="E1095" s="99" t="n"/>
      <c r="F1095" s="100" t="n"/>
      <c r="G1095" s="98" t="n"/>
      <c r="H1095" s="99" t="n"/>
      <c r="I1095" s="99" t="n"/>
      <c r="J1095" s="100" t="n"/>
      <c r="K1095" s="98" t="n"/>
      <c r="L1095" s="99" t="n"/>
      <c r="M1095" s="99" t="n"/>
      <c r="N1095" s="100" t="n"/>
      <c r="O1095" s="98" t="n"/>
      <c r="P1095" s="99" t="n"/>
      <c r="Q1095" s="99" t="n"/>
      <c r="R1095" s="100" t="n"/>
      <c r="S1095" s="98" t="n"/>
      <c r="T1095" s="99" t="n"/>
      <c r="U1095" s="99" t="n"/>
      <c r="V1095" s="100" t="n"/>
      <c r="W1095" s="98" t="n"/>
      <c r="X1095" s="100" t="n"/>
      <c r="Y1095" s="98" t="n"/>
      <c r="Z1095" s="100" t="n"/>
      <c r="AB1095" s="101">
        <f>IF($B1095="","",(COUNTIF(C1058:E1075,$B1095)+COUNTIF(C1058:E1075,$B1095&amp;" ~*")&gt;0)+(COUNTIF(G1058:I1075,$B1095)+COUNTIF(G1058:I1075,$B1095&amp;" ~*")&gt;0)+(COUNTIF(K1058:M1075,$B1095)+COUNTIF(K1058:M1075,$B1095&amp;" ~*")&gt;0)+(COUNTIF(O1058:Q1075,$B1095)+COUNTIF(O1058:Q1075,$B1095&amp;" ~*")&gt;0)+(COUNTIF(S1058:U1075,$B1095)+COUNTIF(S1058:U1075,$B1095&amp;" ~*")&gt;0)+(COUNTIF(W1058:W1075,$B1095)+COUNTIF(W1058:W1075,$B1095&amp;" ~*")&gt;0)+(COUNTIF(Y1058:Y1075,$B1095)+COUNTIF(Y1058:Y1075,$B1095&amp;" ~*")&gt;0))</f>
        <v/>
      </c>
      <c r="AC1095" s="36">
        <f>IF($B1095="","",(IFERROR(INDEX(Setup!$G$33:$G$40,MATCH(C1095,Setup!$B$33:$B$40,0)),0)=1)*(COUNTIF(C1058:E1075,$B1095)+COUNTIF(C1058:E1075,$B1095&amp;" ~*")&gt;0)+(IFERROR(INDEX(Setup!$G$33:$G$40,MATCH(G1095,Setup!$B$33:$B$40,0)),0)=1)*(COUNTIF(G1058:I1075,$B1095)+COUNTIF(G1058:I1075,$B1095&amp;" ~*")&gt;0)+(IFERROR(INDEX(Setup!$G$33:$G$40,MATCH(K1095,Setup!$B$33:$B$40,0)),0)=1)*(COUNTIF(K1058:M1075,$B1095)+COUNTIF(K1058:M1075,$B1095&amp;" ~*")&gt;0)+(IFERROR(INDEX(Setup!$G$33:$G$40,MATCH(O1095,Setup!$B$33:$B$40,0)),0)=1)*(COUNTIF(O1058:Q1075,$B1095)+COUNTIF(O1058:Q1075,$B1095&amp;" ~*")&gt;0)+(IFERROR(INDEX(Setup!$G$33:$G$40,MATCH(S1095,Setup!$B$33:$B$40,0)),0)=1)*(COUNTIF(S1058:U1075,$B1095)+COUNTIF(S1058:U1075,$B1095&amp;" ~*")&gt;0)+(IFERROR(INDEX(Setup!$G$33:$G$40,MATCH(W1095,Setup!$B$33:$B$40,0)),0)=1)*(COUNTIF(W1058:W1075,$B1095)+COUNTIF(W1058:W1075,$B1095&amp;" ~*")&gt;0)+(IFERROR(INDEX(Setup!$G$33:$G$40,MATCH(Y1095,Setup!$B$33:$B$40,0)),0)=1)*(COUNTIF(Y1058:Y1075,$B1095)+COUNTIF(Y1058:Y1075,$B1095&amp;" ~*")&gt;0))</f>
        <v/>
      </c>
    </row>
    <row r="1096" ht="15" customHeight="1">
      <c r="A1096" t="n">
        <v>22</v>
      </c>
      <c r="B1096" s="37">
        <f>IF(Setup!$B$25="","",Setup!$B$25)</f>
        <v/>
      </c>
      <c r="C1096" s="102" t="n"/>
      <c r="D1096" s="103" t="n"/>
      <c r="E1096" s="103" t="n"/>
      <c r="F1096" s="104" t="n"/>
      <c r="G1096" s="102" t="n"/>
      <c r="H1096" s="103" t="n"/>
      <c r="I1096" s="103" t="n"/>
      <c r="J1096" s="104" t="n"/>
      <c r="K1096" s="102" t="n"/>
      <c r="L1096" s="103" t="n"/>
      <c r="M1096" s="103" t="n"/>
      <c r="N1096" s="104" t="n"/>
      <c r="O1096" s="102" t="n"/>
      <c r="P1096" s="103" t="n"/>
      <c r="Q1096" s="103" t="n"/>
      <c r="R1096" s="104" t="n"/>
      <c r="S1096" s="102" t="n"/>
      <c r="T1096" s="103" t="n"/>
      <c r="U1096" s="103" t="n"/>
      <c r="V1096" s="104" t="n"/>
      <c r="W1096" s="102" t="n"/>
      <c r="X1096" s="104" t="n"/>
      <c r="Y1096" s="102" t="n"/>
      <c r="Z1096" s="104" t="n"/>
      <c r="AB1096" s="105">
        <f>IF($B1096="","",(COUNTIF(C1058:E1075,$B1096)+COUNTIF(C1058:E1075,$B1096&amp;" ~*")&gt;0)+(COUNTIF(G1058:I1075,$B1096)+COUNTIF(G1058:I1075,$B1096&amp;" ~*")&gt;0)+(COUNTIF(K1058:M1075,$B1096)+COUNTIF(K1058:M1075,$B1096&amp;" ~*")&gt;0)+(COUNTIF(O1058:Q1075,$B1096)+COUNTIF(O1058:Q1075,$B1096&amp;" ~*")&gt;0)+(COUNTIF(S1058:U1075,$B1096)+COUNTIF(S1058:U1075,$B1096&amp;" ~*")&gt;0)+(COUNTIF(W1058:W1075,$B1096)+COUNTIF(W1058:W1075,$B1096&amp;" ~*")&gt;0)+(COUNTIF(Y1058:Y1075,$B1096)+COUNTIF(Y1058:Y1075,$B1096&amp;" ~*")&gt;0))</f>
        <v/>
      </c>
      <c r="AC1096" s="38">
        <f>IF($B1096="","",(IFERROR(INDEX(Setup!$G$33:$G$40,MATCH(C1096,Setup!$B$33:$B$40,0)),0)=1)*(COUNTIF(C1058:E1075,$B1096)+COUNTIF(C1058:E1075,$B1096&amp;" ~*")&gt;0)+(IFERROR(INDEX(Setup!$G$33:$G$40,MATCH(G1096,Setup!$B$33:$B$40,0)),0)=1)*(COUNTIF(G1058:I1075,$B1096)+COUNTIF(G1058:I1075,$B1096&amp;" ~*")&gt;0)+(IFERROR(INDEX(Setup!$G$33:$G$40,MATCH(K1096,Setup!$B$33:$B$40,0)),0)=1)*(COUNTIF(K1058:M1075,$B1096)+COUNTIF(K1058:M1075,$B1096&amp;" ~*")&gt;0)+(IFERROR(INDEX(Setup!$G$33:$G$40,MATCH(O1096,Setup!$B$33:$B$40,0)),0)=1)*(COUNTIF(O1058:Q1075,$B1096)+COUNTIF(O1058:Q1075,$B1096&amp;" ~*")&gt;0)+(IFERROR(INDEX(Setup!$G$33:$G$40,MATCH(S1096,Setup!$B$33:$B$40,0)),0)=1)*(COUNTIF(S1058:U1075,$B1096)+COUNTIF(S1058:U1075,$B1096&amp;" ~*")&gt;0)+(IFERROR(INDEX(Setup!$G$33:$G$40,MATCH(W1096,Setup!$B$33:$B$40,0)),0)=1)*(COUNTIF(W1058:W1075,$B1096)+COUNTIF(W1058:W1075,$B1096&amp;" ~*")&gt;0)+(IFERROR(INDEX(Setup!$G$33:$G$40,MATCH(Y1096,Setup!$B$33:$B$40,0)),0)=1)*(COUNTIF(Y1058:Y1075,$B1096)+COUNTIF(Y1058:Y1075,$B1096&amp;" ~*")&gt;0))</f>
        <v/>
      </c>
    </row>
    <row r="1097" ht="15" customHeight="1">
      <c r="A1097" t="n">
        <v>22</v>
      </c>
      <c r="B1097" s="35">
        <f>IF(Setup!$B$26="","",Setup!$B$26)</f>
        <v/>
      </c>
      <c r="C1097" s="98" t="n"/>
      <c r="D1097" s="99" t="n"/>
      <c r="E1097" s="99" t="n"/>
      <c r="F1097" s="100" t="n"/>
      <c r="G1097" s="98" t="n"/>
      <c r="H1097" s="99" t="n"/>
      <c r="I1097" s="99" t="n"/>
      <c r="J1097" s="100" t="n"/>
      <c r="K1097" s="98" t="n"/>
      <c r="L1097" s="99" t="n"/>
      <c r="M1097" s="99" t="n"/>
      <c r="N1097" s="100" t="n"/>
      <c r="O1097" s="98" t="n"/>
      <c r="P1097" s="99" t="n"/>
      <c r="Q1097" s="99" t="n"/>
      <c r="R1097" s="100" t="n"/>
      <c r="S1097" s="98" t="n"/>
      <c r="T1097" s="99" t="n"/>
      <c r="U1097" s="99" t="n"/>
      <c r="V1097" s="100" t="n"/>
      <c r="W1097" s="98" t="n"/>
      <c r="X1097" s="100" t="n"/>
      <c r="Y1097" s="98" t="n"/>
      <c r="Z1097" s="100" t="n"/>
      <c r="AB1097" s="101">
        <f>IF($B1097="","",(COUNTIF(C1058:E1075,$B1097)+COUNTIF(C1058:E1075,$B1097&amp;" ~*")&gt;0)+(COUNTIF(G1058:I1075,$B1097)+COUNTIF(G1058:I1075,$B1097&amp;" ~*")&gt;0)+(COUNTIF(K1058:M1075,$B1097)+COUNTIF(K1058:M1075,$B1097&amp;" ~*")&gt;0)+(COUNTIF(O1058:Q1075,$B1097)+COUNTIF(O1058:Q1075,$B1097&amp;" ~*")&gt;0)+(COUNTIF(S1058:U1075,$B1097)+COUNTIF(S1058:U1075,$B1097&amp;" ~*")&gt;0)+(COUNTIF(W1058:W1075,$B1097)+COUNTIF(W1058:W1075,$B1097&amp;" ~*")&gt;0)+(COUNTIF(Y1058:Y1075,$B1097)+COUNTIF(Y1058:Y1075,$B1097&amp;" ~*")&gt;0))</f>
        <v/>
      </c>
      <c r="AC1097" s="36">
        <f>IF($B1097="","",(IFERROR(INDEX(Setup!$G$33:$G$40,MATCH(C1097,Setup!$B$33:$B$40,0)),0)=1)*(COUNTIF(C1058:E1075,$B1097)+COUNTIF(C1058:E1075,$B1097&amp;" ~*")&gt;0)+(IFERROR(INDEX(Setup!$G$33:$G$40,MATCH(G1097,Setup!$B$33:$B$40,0)),0)=1)*(COUNTIF(G1058:I1075,$B1097)+COUNTIF(G1058:I1075,$B1097&amp;" ~*")&gt;0)+(IFERROR(INDEX(Setup!$G$33:$G$40,MATCH(K1097,Setup!$B$33:$B$40,0)),0)=1)*(COUNTIF(K1058:M1075,$B1097)+COUNTIF(K1058:M1075,$B1097&amp;" ~*")&gt;0)+(IFERROR(INDEX(Setup!$G$33:$G$40,MATCH(O1097,Setup!$B$33:$B$40,0)),0)=1)*(COUNTIF(O1058:Q1075,$B1097)+COUNTIF(O1058:Q1075,$B1097&amp;" ~*")&gt;0)+(IFERROR(INDEX(Setup!$G$33:$G$40,MATCH(S1097,Setup!$B$33:$B$40,0)),0)=1)*(COUNTIF(S1058:U1075,$B1097)+COUNTIF(S1058:U1075,$B1097&amp;" ~*")&gt;0)+(IFERROR(INDEX(Setup!$G$33:$G$40,MATCH(W1097,Setup!$B$33:$B$40,0)),0)=1)*(COUNTIF(W1058:W1075,$B1097)+COUNTIF(W1058:W1075,$B1097&amp;" ~*")&gt;0)+(IFERROR(INDEX(Setup!$G$33:$G$40,MATCH(Y1097,Setup!$B$33:$B$40,0)),0)=1)*(COUNTIF(Y1058:Y1075,$B1097)+COUNTIF(Y1058:Y1075,$B1097&amp;" ~*")&gt;0))</f>
        <v/>
      </c>
    </row>
    <row r="1098" ht="15" customHeight="1">
      <c r="A1098" t="n">
        <v>22</v>
      </c>
      <c r="B1098" s="37">
        <f>IF(Setup!$B$27="","",Setup!$B$27)</f>
        <v/>
      </c>
      <c r="C1098" s="102" t="n"/>
      <c r="D1098" s="103" t="n"/>
      <c r="E1098" s="103" t="n"/>
      <c r="F1098" s="104" t="n"/>
      <c r="G1098" s="102" t="n"/>
      <c r="H1098" s="103" t="n"/>
      <c r="I1098" s="103" t="n"/>
      <c r="J1098" s="104" t="n"/>
      <c r="K1098" s="102" t="n"/>
      <c r="L1098" s="103" t="n"/>
      <c r="M1098" s="103" t="n"/>
      <c r="N1098" s="104" t="n"/>
      <c r="O1098" s="102" t="n"/>
      <c r="P1098" s="103" t="n"/>
      <c r="Q1098" s="103" t="n"/>
      <c r="R1098" s="104" t="n"/>
      <c r="S1098" s="102" t="n"/>
      <c r="T1098" s="103" t="n"/>
      <c r="U1098" s="103" t="n"/>
      <c r="V1098" s="104" t="n"/>
      <c r="W1098" s="102" t="n"/>
      <c r="X1098" s="104" t="n"/>
      <c r="Y1098" s="102" t="n"/>
      <c r="Z1098" s="104" t="n"/>
      <c r="AB1098" s="105">
        <f>IF($B1098="","",(COUNTIF(C1058:E1075,$B1098)+COUNTIF(C1058:E1075,$B1098&amp;" ~*")&gt;0)+(COUNTIF(G1058:I1075,$B1098)+COUNTIF(G1058:I1075,$B1098&amp;" ~*")&gt;0)+(COUNTIF(K1058:M1075,$B1098)+COUNTIF(K1058:M1075,$B1098&amp;" ~*")&gt;0)+(COUNTIF(O1058:Q1075,$B1098)+COUNTIF(O1058:Q1075,$B1098&amp;" ~*")&gt;0)+(COUNTIF(S1058:U1075,$B1098)+COUNTIF(S1058:U1075,$B1098&amp;" ~*")&gt;0)+(COUNTIF(W1058:W1075,$B1098)+COUNTIF(W1058:W1075,$B1098&amp;" ~*")&gt;0)+(COUNTIF(Y1058:Y1075,$B1098)+COUNTIF(Y1058:Y1075,$B1098&amp;" ~*")&gt;0))</f>
        <v/>
      </c>
      <c r="AC1098" s="38">
        <f>IF($B1098="","",(IFERROR(INDEX(Setup!$G$33:$G$40,MATCH(C1098,Setup!$B$33:$B$40,0)),0)=1)*(COUNTIF(C1058:E1075,$B1098)+COUNTIF(C1058:E1075,$B1098&amp;" ~*")&gt;0)+(IFERROR(INDEX(Setup!$G$33:$G$40,MATCH(G1098,Setup!$B$33:$B$40,0)),0)=1)*(COUNTIF(G1058:I1075,$B1098)+COUNTIF(G1058:I1075,$B1098&amp;" ~*")&gt;0)+(IFERROR(INDEX(Setup!$G$33:$G$40,MATCH(K1098,Setup!$B$33:$B$40,0)),0)=1)*(COUNTIF(K1058:M1075,$B1098)+COUNTIF(K1058:M1075,$B1098&amp;" ~*")&gt;0)+(IFERROR(INDEX(Setup!$G$33:$G$40,MATCH(O1098,Setup!$B$33:$B$40,0)),0)=1)*(COUNTIF(O1058:Q1075,$B1098)+COUNTIF(O1058:Q1075,$B1098&amp;" ~*")&gt;0)+(IFERROR(INDEX(Setup!$G$33:$G$40,MATCH(S1098,Setup!$B$33:$B$40,0)),0)=1)*(COUNTIF(S1058:U1075,$B1098)+COUNTIF(S1058:U1075,$B1098&amp;" ~*")&gt;0)+(IFERROR(INDEX(Setup!$G$33:$G$40,MATCH(W1098,Setup!$B$33:$B$40,0)),0)=1)*(COUNTIF(W1058:W1075,$B1098)+COUNTIF(W1058:W1075,$B1098&amp;" ~*")&gt;0)+(IFERROR(INDEX(Setup!$G$33:$G$40,MATCH(Y1098,Setup!$B$33:$B$40,0)),0)=1)*(COUNTIF(Y1058:Y1075,$B1098)+COUNTIF(Y1058:Y1075,$B1098&amp;" ~*")&gt;0))</f>
        <v/>
      </c>
    </row>
    <row r="1099" ht="15" customHeight="1">
      <c r="A1099" t="n">
        <v>22</v>
      </c>
      <c r="B1099" s="35">
        <f>IF(Setup!$B$28="","",Setup!$B$28)</f>
        <v/>
      </c>
      <c r="C1099" s="98" t="n"/>
      <c r="D1099" s="99" t="n"/>
      <c r="E1099" s="99" t="n"/>
      <c r="F1099" s="100" t="n"/>
      <c r="G1099" s="98" t="n"/>
      <c r="H1099" s="99" t="n"/>
      <c r="I1099" s="99" t="n"/>
      <c r="J1099" s="100" t="n"/>
      <c r="K1099" s="98" t="n"/>
      <c r="L1099" s="99" t="n"/>
      <c r="M1099" s="99" t="n"/>
      <c r="N1099" s="100" t="n"/>
      <c r="O1099" s="98" t="n"/>
      <c r="P1099" s="99" t="n"/>
      <c r="Q1099" s="99" t="n"/>
      <c r="R1099" s="100" t="n"/>
      <c r="S1099" s="98" t="n"/>
      <c r="T1099" s="99" t="n"/>
      <c r="U1099" s="99" t="n"/>
      <c r="V1099" s="100" t="n"/>
      <c r="W1099" s="98" t="n"/>
      <c r="X1099" s="100" t="n"/>
      <c r="Y1099" s="98" t="n"/>
      <c r="Z1099" s="100" t="n"/>
      <c r="AB1099" s="101">
        <f>IF($B1099="","",(COUNTIF(C1058:E1075,$B1099)+COUNTIF(C1058:E1075,$B1099&amp;" ~*")&gt;0)+(COUNTIF(G1058:I1075,$B1099)+COUNTIF(G1058:I1075,$B1099&amp;" ~*")&gt;0)+(COUNTIF(K1058:M1075,$B1099)+COUNTIF(K1058:M1075,$B1099&amp;" ~*")&gt;0)+(COUNTIF(O1058:Q1075,$B1099)+COUNTIF(O1058:Q1075,$B1099&amp;" ~*")&gt;0)+(COUNTIF(S1058:U1075,$B1099)+COUNTIF(S1058:U1075,$B1099&amp;" ~*")&gt;0)+(COUNTIF(W1058:W1075,$B1099)+COUNTIF(W1058:W1075,$B1099&amp;" ~*")&gt;0)+(COUNTIF(Y1058:Y1075,$B1099)+COUNTIF(Y1058:Y1075,$B1099&amp;" ~*")&gt;0))</f>
        <v/>
      </c>
      <c r="AC1099" s="36">
        <f>IF($B1099="","",(IFERROR(INDEX(Setup!$G$33:$G$40,MATCH(C1099,Setup!$B$33:$B$40,0)),0)=1)*(COUNTIF(C1058:E1075,$B1099)+COUNTIF(C1058:E1075,$B1099&amp;" ~*")&gt;0)+(IFERROR(INDEX(Setup!$G$33:$G$40,MATCH(G1099,Setup!$B$33:$B$40,0)),0)=1)*(COUNTIF(G1058:I1075,$B1099)+COUNTIF(G1058:I1075,$B1099&amp;" ~*")&gt;0)+(IFERROR(INDEX(Setup!$G$33:$G$40,MATCH(K1099,Setup!$B$33:$B$40,0)),0)=1)*(COUNTIF(K1058:M1075,$B1099)+COUNTIF(K1058:M1075,$B1099&amp;" ~*")&gt;0)+(IFERROR(INDEX(Setup!$G$33:$G$40,MATCH(O1099,Setup!$B$33:$B$40,0)),0)=1)*(COUNTIF(O1058:Q1075,$B1099)+COUNTIF(O1058:Q1075,$B1099&amp;" ~*")&gt;0)+(IFERROR(INDEX(Setup!$G$33:$G$40,MATCH(S1099,Setup!$B$33:$B$40,0)),0)=1)*(COUNTIF(S1058:U1075,$B1099)+COUNTIF(S1058:U1075,$B1099&amp;" ~*")&gt;0)+(IFERROR(INDEX(Setup!$G$33:$G$40,MATCH(W1099,Setup!$B$33:$B$40,0)),0)=1)*(COUNTIF(W1058:W1075,$B1099)+COUNTIF(W1058:W1075,$B1099&amp;" ~*")&gt;0)+(IFERROR(INDEX(Setup!$G$33:$G$40,MATCH(Y1099,Setup!$B$33:$B$40,0)),0)=1)*(COUNTIF(Y1058:Y1075,$B1099)+COUNTIF(Y1058:Y1075,$B1099&amp;" ~*")&gt;0))</f>
        <v/>
      </c>
    </row>
    <row r="1100" ht="15" customHeight="1">
      <c r="A1100" t="n">
        <v>22</v>
      </c>
      <c r="B1100" s="37">
        <f>IF(Setup!$B$29="","",Setup!$B$29)</f>
        <v/>
      </c>
      <c r="C1100" s="102" t="n"/>
      <c r="D1100" s="103" t="n"/>
      <c r="E1100" s="103" t="n"/>
      <c r="F1100" s="104" t="n"/>
      <c r="G1100" s="102" t="n"/>
      <c r="H1100" s="103" t="n"/>
      <c r="I1100" s="103" t="n"/>
      <c r="J1100" s="104" t="n"/>
      <c r="K1100" s="102" t="n"/>
      <c r="L1100" s="103" t="n"/>
      <c r="M1100" s="103" t="n"/>
      <c r="N1100" s="104" t="n"/>
      <c r="O1100" s="102" t="n"/>
      <c r="P1100" s="103" t="n"/>
      <c r="Q1100" s="103" t="n"/>
      <c r="R1100" s="104" t="n"/>
      <c r="S1100" s="102" t="n"/>
      <c r="T1100" s="103" t="n"/>
      <c r="U1100" s="103" t="n"/>
      <c r="V1100" s="104" t="n"/>
      <c r="W1100" s="102" t="n"/>
      <c r="X1100" s="104" t="n"/>
      <c r="Y1100" s="102" t="n"/>
      <c r="Z1100" s="104" t="n"/>
      <c r="AB1100" s="105">
        <f>IF($B1100="","",(COUNTIF(C1058:E1075,$B1100)+COUNTIF(C1058:E1075,$B1100&amp;" ~*")&gt;0)+(COUNTIF(G1058:I1075,$B1100)+COUNTIF(G1058:I1075,$B1100&amp;" ~*")&gt;0)+(COUNTIF(K1058:M1075,$B1100)+COUNTIF(K1058:M1075,$B1100&amp;" ~*")&gt;0)+(COUNTIF(O1058:Q1075,$B1100)+COUNTIF(O1058:Q1075,$B1100&amp;" ~*")&gt;0)+(COUNTIF(S1058:U1075,$B1100)+COUNTIF(S1058:U1075,$B1100&amp;" ~*")&gt;0)+(COUNTIF(W1058:W1075,$B1100)+COUNTIF(W1058:W1075,$B1100&amp;" ~*")&gt;0)+(COUNTIF(Y1058:Y1075,$B1100)+COUNTIF(Y1058:Y1075,$B1100&amp;" ~*")&gt;0))</f>
        <v/>
      </c>
      <c r="AC1100" s="38">
        <f>IF($B1100="","",(IFERROR(INDEX(Setup!$G$33:$G$40,MATCH(C1100,Setup!$B$33:$B$40,0)),0)=1)*(COUNTIF(C1058:E1075,$B1100)+COUNTIF(C1058:E1075,$B1100&amp;" ~*")&gt;0)+(IFERROR(INDEX(Setup!$G$33:$G$40,MATCH(G1100,Setup!$B$33:$B$40,0)),0)=1)*(COUNTIF(G1058:I1075,$B1100)+COUNTIF(G1058:I1075,$B1100&amp;" ~*")&gt;0)+(IFERROR(INDEX(Setup!$G$33:$G$40,MATCH(K1100,Setup!$B$33:$B$40,0)),0)=1)*(COUNTIF(K1058:M1075,$B1100)+COUNTIF(K1058:M1075,$B1100&amp;" ~*")&gt;0)+(IFERROR(INDEX(Setup!$G$33:$G$40,MATCH(O1100,Setup!$B$33:$B$40,0)),0)=1)*(COUNTIF(O1058:Q1075,$B1100)+COUNTIF(O1058:Q1075,$B1100&amp;" ~*")&gt;0)+(IFERROR(INDEX(Setup!$G$33:$G$40,MATCH(S1100,Setup!$B$33:$B$40,0)),0)=1)*(COUNTIF(S1058:U1075,$B1100)+COUNTIF(S1058:U1075,$B1100&amp;" ~*")&gt;0)+(IFERROR(INDEX(Setup!$G$33:$G$40,MATCH(W1100,Setup!$B$33:$B$40,0)),0)=1)*(COUNTIF(W1058:W1075,$B1100)+COUNTIF(W1058:W1075,$B1100&amp;" ~*")&gt;0)+(IFERROR(INDEX(Setup!$G$33:$G$40,MATCH(Y1100,Setup!$B$33:$B$40,0)),0)=1)*(COUNTIF(Y1058:Y1075,$B1100)+COUNTIF(Y1058:Y1075,$B1100&amp;" ~*")&gt;0))</f>
        <v/>
      </c>
    </row>
    <row r="1101" ht="16" customHeight="1">
      <c r="A1101" t="n">
        <v>22</v>
      </c>
      <c r="B1101" s="106" t="inlineStr">
        <is>
          <t>Available people</t>
        </is>
      </c>
      <c r="C1101" s="107">
        <f>COUNTIFS(Setup!$E$6:$E$29,"Y",Setup!$B$6:$B$29,"?*")-SUMPRODUCT(COUNTIF(C1077:C1100,Setup!$F$33:$F$40))</f>
        <v/>
      </c>
      <c r="D1101" s="107" t="n"/>
      <c r="E1101" s="107" t="n"/>
      <c r="F1101" s="107" t="n"/>
      <c r="G1101" s="107">
        <f>COUNTIFS(Setup!$E$6:$E$29,"Y",Setup!$B$6:$B$29,"?*")-SUMPRODUCT(COUNTIF(G1077:G1100,Setup!$F$33:$F$40))</f>
        <v/>
      </c>
      <c r="H1101" s="107" t="n"/>
      <c r="I1101" s="107" t="n"/>
      <c r="J1101" s="107" t="n"/>
      <c r="K1101" s="107">
        <f>COUNTIFS(Setup!$E$6:$E$29,"Y",Setup!$B$6:$B$29,"?*")-SUMPRODUCT(COUNTIF(K1077:K1100,Setup!$F$33:$F$40))</f>
        <v/>
      </c>
      <c r="L1101" s="107" t="n"/>
      <c r="M1101" s="107" t="n"/>
      <c r="N1101" s="107" t="n"/>
      <c r="O1101" s="107">
        <f>COUNTIFS(Setup!$E$6:$E$29,"Y",Setup!$B$6:$B$29,"?*")-SUMPRODUCT(COUNTIF(O1077:O1100,Setup!$F$33:$F$40))</f>
        <v/>
      </c>
      <c r="P1101" s="107" t="n"/>
      <c r="Q1101" s="107" t="n"/>
      <c r="R1101" s="107" t="n"/>
      <c r="S1101" s="107">
        <f>COUNTIFS(Setup!$E$6:$E$29,"Y",Setup!$B$6:$B$29,"?*")-SUMPRODUCT(COUNTIF(S1077:S1100,Setup!$F$33:$F$40))</f>
        <v/>
      </c>
      <c r="T1101" s="107" t="n"/>
      <c r="U1101" s="107" t="n"/>
      <c r="V1101" s="107" t="n"/>
      <c r="W1101" s="107">
        <f>COUNTIFS(Setup!$E$6:$E$29,"Y",Setup!$B$6:$B$29,"?*")-SUMPRODUCT(COUNTIF(W1077:W1100,Setup!$F$33:$F$40))</f>
        <v/>
      </c>
      <c r="X1101" s="107" t="n"/>
      <c r="Y1101" s="107">
        <f>COUNTIFS(Setup!$E$6:$E$29,"Y",Setup!$B$6:$B$29,"?*")-SUMPRODUCT(COUNTIF(Y1077:Y1100,Setup!$F$33:$F$40))</f>
        <v/>
      </c>
      <c r="Z1101" s="107" t="n"/>
      <c r="AB1101" s="108">
        <f>SUM(AB1077:AB1100)</f>
        <v/>
      </c>
      <c r="AC1101" s="109">
        <f>SUM(AC1077:AC1100)</f>
        <v/>
      </c>
    </row>
    <row r="1102" ht="30" customHeight="1">
      <c r="A1102" t="n">
        <v>22</v>
      </c>
      <c r="B1102" s="110" t="inlineStr">
        <is>
          <t>Week notes</t>
        </is>
      </c>
      <c r="C1102" s="111" t="n"/>
      <c r="D1102" s="112" t="n"/>
      <c r="E1102" s="112" t="n"/>
      <c r="F1102" s="112" t="n"/>
      <c r="G1102" s="112" t="n"/>
      <c r="H1102" s="112" t="n"/>
      <c r="I1102" s="112" t="n"/>
      <c r="J1102" s="112" t="n"/>
      <c r="K1102" s="112" t="n"/>
      <c r="L1102" s="112" t="n"/>
      <c r="M1102" s="112" t="n"/>
      <c r="N1102" s="112" t="n"/>
      <c r="O1102" s="112" t="n"/>
      <c r="P1102" s="112" t="n"/>
      <c r="Q1102" s="112" t="n"/>
      <c r="R1102" s="112" t="n"/>
      <c r="S1102" s="112" t="n"/>
      <c r="T1102" s="112" t="n"/>
      <c r="U1102" s="112" t="n"/>
      <c r="V1102" s="112" t="n"/>
      <c r="W1102" s="112" t="n"/>
      <c r="X1102" s="112" t="n"/>
      <c r="Y1102" s="112" t="n"/>
      <c r="Z1102" s="113" t="n"/>
    </row>
    <row r="1103" ht="8" customHeight="1">
      <c r="A1103" t="n">
        <v>22</v>
      </c>
    </row>
    <row r="1104" ht="8" customHeight="1">
      <c r="A1104" t="n">
        <v>22</v>
      </c>
    </row>
    <row r="1105" ht="24" customHeight="1">
      <c r="A1105" t="n">
        <v>23</v>
      </c>
      <c r="B1105" s="73">
        <f>"WEEK 23     "&amp;TEXT(C1106,"ddd d mmm")&amp;"  –  "&amp;TEXT(C1106+6,"ddd d mmm yyyy")</f>
        <v/>
      </c>
      <c r="S1105" s="74">
        <f>IF(TODAY()&lt;C1106,"FUTURE",IF(TODAY()&gt;C1106+6,"PAST","THIS WEEK"))</f>
        <v/>
      </c>
      <c r="W1105" s="75">
        <f>IF(AND(Engine!$B$8=$AC$3,Engine!$B$9=$A1105),"◀ ACTIVE WEEK","")</f>
        <v/>
      </c>
      <c r="AA1105" s="76" t="n"/>
      <c r="AB1105" s="77" t="inlineStr">
        <is>
          <t>◀ Prev</t>
        </is>
      </c>
      <c r="AC1105" s="77" t="inlineStr">
        <is>
          <t>Next ▶</t>
        </is>
      </c>
    </row>
    <row r="1106" ht="18" customHeight="1">
      <c r="A1106" t="n">
        <v>23</v>
      </c>
      <c r="B1106" s="78" t="inlineStr">
        <is>
          <t>DUTY</t>
        </is>
      </c>
      <c r="C1106" s="79">
        <f>$AC$2+7*($A1106-1)</f>
        <v/>
      </c>
      <c r="D1106" s="80" t="n"/>
      <c r="E1106" s="80" t="n"/>
      <c r="F1106" s="81" t="n"/>
      <c r="G1106" s="79">
        <f>C1106+1</f>
        <v/>
      </c>
      <c r="H1106" s="80" t="n"/>
      <c r="I1106" s="80" t="n"/>
      <c r="J1106" s="81" t="n"/>
      <c r="K1106" s="79">
        <f>C1106+2</f>
        <v/>
      </c>
      <c r="L1106" s="80" t="n"/>
      <c r="M1106" s="80" t="n"/>
      <c r="N1106" s="81" t="n"/>
      <c r="O1106" s="79">
        <f>C1106+3</f>
        <v/>
      </c>
      <c r="P1106" s="80" t="n"/>
      <c r="Q1106" s="80" t="n"/>
      <c r="R1106" s="81" t="n"/>
      <c r="S1106" s="79">
        <f>C1106+4</f>
        <v/>
      </c>
      <c r="T1106" s="80" t="n"/>
      <c r="U1106" s="80" t="n"/>
      <c r="V1106" s="81" t="n"/>
      <c r="W1106" s="82">
        <f>C1106+5</f>
        <v/>
      </c>
      <c r="X1106" s="83" t="n"/>
      <c r="Y1106" s="82">
        <f>C1106+6</f>
        <v/>
      </c>
      <c r="Z1106" s="83" t="n"/>
      <c r="AB1106" s="72" t="inlineStr">
        <is>
          <t>Gaps</t>
        </is>
      </c>
      <c r="AC1106" s="72" t="inlineStr">
        <is>
          <t>Cover</t>
        </is>
      </c>
    </row>
    <row r="1107" ht="14" customHeight="1">
      <c r="A1107" t="n">
        <v>23</v>
      </c>
      <c r="B1107" s="84" t="inlineStr">
        <is>
          <t>(from Setup)</t>
        </is>
      </c>
      <c r="C1107" s="85" t="inlineStr">
        <is>
          <t>1</t>
        </is>
      </c>
      <c r="D1107" s="85" t="inlineStr">
        <is>
          <t>2</t>
        </is>
      </c>
      <c r="E1107" s="85" t="inlineStr">
        <is>
          <t>3</t>
        </is>
      </c>
      <c r="F1107" s="85" t="inlineStr">
        <is>
          <t>Notes</t>
        </is>
      </c>
      <c r="G1107" s="85" t="inlineStr">
        <is>
          <t>1</t>
        </is>
      </c>
      <c r="H1107" s="85" t="inlineStr">
        <is>
          <t>2</t>
        </is>
      </c>
      <c r="I1107" s="85" t="inlineStr">
        <is>
          <t>3</t>
        </is>
      </c>
      <c r="J1107" s="85" t="inlineStr">
        <is>
          <t>Notes</t>
        </is>
      </c>
      <c r="K1107" s="85" t="inlineStr">
        <is>
          <t>1</t>
        </is>
      </c>
      <c r="L1107" s="85" t="inlineStr">
        <is>
          <t>2</t>
        </is>
      </c>
      <c r="M1107" s="85" t="inlineStr">
        <is>
          <t>3</t>
        </is>
      </c>
      <c r="N1107" s="85" t="inlineStr">
        <is>
          <t>Notes</t>
        </is>
      </c>
      <c r="O1107" s="85" t="inlineStr">
        <is>
          <t>1</t>
        </is>
      </c>
      <c r="P1107" s="85" t="inlineStr">
        <is>
          <t>2</t>
        </is>
      </c>
      <c r="Q1107" s="85" t="inlineStr">
        <is>
          <t>3</t>
        </is>
      </c>
      <c r="R1107" s="85" t="inlineStr">
        <is>
          <t>Notes</t>
        </is>
      </c>
      <c r="S1107" s="85" t="inlineStr">
        <is>
          <t>1</t>
        </is>
      </c>
      <c r="T1107" s="85" t="inlineStr">
        <is>
          <t>2</t>
        </is>
      </c>
      <c r="U1107" s="85" t="inlineStr">
        <is>
          <t>3</t>
        </is>
      </c>
      <c r="V1107" s="85" t="inlineStr">
        <is>
          <t>Notes</t>
        </is>
      </c>
      <c r="W1107" s="85" t="inlineStr">
        <is>
          <t>Cover</t>
        </is>
      </c>
      <c r="X1107" s="85" t="inlineStr">
        <is>
          <t>Notes</t>
        </is>
      </c>
      <c r="Y1107" s="85" t="inlineStr">
        <is>
          <t>Cover</t>
        </is>
      </c>
      <c r="Z1107" s="85" t="inlineStr">
        <is>
          <t>Notes</t>
        </is>
      </c>
      <c r="AB1107" s="86" t="inlineStr">
        <is>
          <t>weekdays short</t>
        </is>
      </c>
      <c r="AC1107" s="87" t="inlineStr"/>
    </row>
    <row r="1108" ht="17" customHeight="1">
      <c r="A1108" t="n">
        <v>23</v>
      </c>
      <c r="B1108" s="24">
        <f>IF(Setup!$K$6="","",Setup!$K$6)</f>
        <v/>
      </c>
      <c r="C1108" s="88" t="n"/>
      <c r="D1108" s="88" t="n"/>
      <c r="E1108" s="88" t="n"/>
      <c r="F1108" s="89" t="n"/>
      <c r="G1108" s="88" t="n"/>
      <c r="H1108" s="88" t="n"/>
      <c r="I1108" s="88" t="n"/>
      <c r="J1108" s="89" t="n"/>
      <c r="K1108" s="88" t="n"/>
      <c r="L1108" s="88" t="n"/>
      <c r="M1108" s="88" t="n"/>
      <c r="N1108" s="89" t="n"/>
      <c r="O1108" s="88" t="n"/>
      <c r="P1108" s="88" t="n"/>
      <c r="Q1108" s="88" t="n"/>
      <c r="R1108" s="89" t="n"/>
      <c r="S1108" s="88" t="n"/>
      <c r="T1108" s="88" t="n"/>
      <c r="U1108" s="88" t="n"/>
      <c r="V1108" s="89" t="n"/>
      <c r="W1108" s="88" t="n"/>
      <c r="X1108" s="89" t="n"/>
      <c r="Y1108" s="88" t="n"/>
      <c r="Z1108" s="89" t="n"/>
      <c r="AB1108" s="25">
        <f>IF($B1108="","",(COUNTIF(C1108:E1108,"?*")&lt;N(INDEX(Setup!$L$6:$L$23,1)))+(COUNTIF(G1108:I1108,"?*")&lt;N(INDEX(Setup!$L$6:$L$23,1)))+(COUNTIF(K1108:M1108,"?*")&lt;N(INDEX(Setup!$L$6:$L$23,1)))+(COUNTIF(O1108:Q1108,"?*")&lt;N(INDEX(Setup!$L$6:$L$23,1)))+(COUNTIF(S1108:U1108,"?*")&lt;N(INDEX(Setup!$L$6:$L$23,1)))+((W1108="")*(INDEX(Setup!$M$6:$M$23,1)="Y"))+((Y1108="")*(INDEX(Setup!$M$6:$M$23,1)="Y")))</f>
        <v/>
      </c>
      <c r="AC1108" s="90">
        <f>IF($B1108="","",IF(AB1108=0,"✓ covered","⚠ "&amp;AB1108&amp;IF(AB1108=1," gap"," gaps")))</f>
        <v/>
      </c>
    </row>
    <row r="1109" ht="17" customHeight="1">
      <c r="A1109" t="n">
        <v>23</v>
      </c>
      <c r="B1109" s="29">
        <f>IF(Setup!$K$7="","",Setup!$K$7)</f>
        <v/>
      </c>
      <c r="C1109" s="88" t="n"/>
      <c r="D1109" s="88" t="n"/>
      <c r="E1109" s="88" t="n"/>
      <c r="F1109" s="89" t="n"/>
      <c r="G1109" s="88" t="n"/>
      <c r="H1109" s="88" t="n"/>
      <c r="I1109" s="88" t="n"/>
      <c r="J1109" s="89" t="n"/>
      <c r="K1109" s="88" t="n"/>
      <c r="L1109" s="88" t="n"/>
      <c r="M1109" s="88" t="n"/>
      <c r="N1109" s="89" t="n"/>
      <c r="O1109" s="88" t="n"/>
      <c r="P1109" s="88" t="n"/>
      <c r="Q1109" s="88" t="n"/>
      <c r="R1109" s="89" t="n"/>
      <c r="S1109" s="88" t="n"/>
      <c r="T1109" s="88" t="n"/>
      <c r="U1109" s="88" t="n"/>
      <c r="V1109" s="89" t="n"/>
      <c r="W1109" s="88" t="n"/>
      <c r="X1109" s="89" t="n"/>
      <c r="Y1109" s="88" t="n"/>
      <c r="Z1109" s="89" t="n"/>
      <c r="AB1109" s="30">
        <f>IF($B1109="","",(COUNTIF(C1109:E1109,"?*")&lt;N(INDEX(Setup!$L$6:$L$23,2)))+(COUNTIF(G1109:I1109,"?*")&lt;N(INDEX(Setup!$L$6:$L$23,2)))+(COUNTIF(K1109:M1109,"?*")&lt;N(INDEX(Setup!$L$6:$L$23,2)))+(COUNTIF(O1109:Q1109,"?*")&lt;N(INDEX(Setup!$L$6:$L$23,2)))+(COUNTIF(S1109:U1109,"?*")&lt;N(INDEX(Setup!$L$6:$L$23,2)))+((W1109="")*(INDEX(Setup!$M$6:$M$23,2)="Y"))+((Y1109="")*(INDEX(Setup!$M$6:$M$23,2)="Y")))</f>
        <v/>
      </c>
      <c r="AC1109" s="91">
        <f>IF($B1109="","",IF(AB1109=0,"✓ covered","⚠ "&amp;AB1109&amp;IF(AB1109=1," gap"," gaps")))</f>
        <v/>
      </c>
    </row>
    <row r="1110" ht="17" customHeight="1">
      <c r="A1110" t="n">
        <v>23</v>
      </c>
      <c r="B1110" s="24">
        <f>IF(Setup!$K$8="","",Setup!$K$8)</f>
        <v/>
      </c>
      <c r="C1110" s="88" t="n"/>
      <c r="D1110" s="88" t="n"/>
      <c r="E1110" s="88" t="n"/>
      <c r="F1110" s="89" t="n"/>
      <c r="G1110" s="88" t="n"/>
      <c r="H1110" s="88" t="n"/>
      <c r="I1110" s="88" t="n"/>
      <c r="J1110" s="89" t="n"/>
      <c r="K1110" s="88" t="n"/>
      <c r="L1110" s="88" t="n"/>
      <c r="M1110" s="88" t="n"/>
      <c r="N1110" s="89" t="n"/>
      <c r="O1110" s="88" t="n"/>
      <c r="P1110" s="88" t="n"/>
      <c r="Q1110" s="88" t="n"/>
      <c r="R1110" s="89" t="n"/>
      <c r="S1110" s="88" t="n"/>
      <c r="T1110" s="88" t="n"/>
      <c r="U1110" s="88" t="n"/>
      <c r="V1110" s="89" t="n"/>
      <c r="W1110" s="88" t="n"/>
      <c r="X1110" s="89" t="n"/>
      <c r="Y1110" s="88" t="n"/>
      <c r="Z1110" s="89" t="n"/>
      <c r="AB1110" s="25">
        <f>IF($B1110="","",(COUNTIF(C1110:E1110,"?*")&lt;N(INDEX(Setup!$L$6:$L$23,3)))+(COUNTIF(G1110:I1110,"?*")&lt;N(INDEX(Setup!$L$6:$L$23,3)))+(COUNTIF(K1110:M1110,"?*")&lt;N(INDEX(Setup!$L$6:$L$23,3)))+(COUNTIF(O1110:Q1110,"?*")&lt;N(INDEX(Setup!$L$6:$L$23,3)))+(COUNTIF(S1110:U1110,"?*")&lt;N(INDEX(Setup!$L$6:$L$23,3)))+((W1110="")*(INDEX(Setup!$M$6:$M$23,3)="Y"))+((Y1110="")*(INDEX(Setup!$M$6:$M$23,3)="Y")))</f>
        <v/>
      </c>
      <c r="AC1110" s="90">
        <f>IF($B1110="","",IF(AB1110=0,"✓ covered","⚠ "&amp;AB1110&amp;IF(AB1110=1," gap"," gaps")))</f>
        <v/>
      </c>
    </row>
    <row r="1111" ht="17" customHeight="1">
      <c r="A1111" t="n">
        <v>23</v>
      </c>
      <c r="B1111" s="29">
        <f>IF(Setup!$K$9="","",Setup!$K$9)</f>
        <v/>
      </c>
      <c r="C1111" s="88" t="n"/>
      <c r="D1111" s="88" t="n"/>
      <c r="E1111" s="88" t="n"/>
      <c r="F1111" s="89" t="n"/>
      <c r="G1111" s="88" t="n"/>
      <c r="H1111" s="88" t="n"/>
      <c r="I1111" s="88" t="n"/>
      <c r="J1111" s="89" t="n"/>
      <c r="K1111" s="88" t="n"/>
      <c r="L1111" s="88" t="n"/>
      <c r="M1111" s="88" t="n"/>
      <c r="N1111" s="89" t="n"/>
      <c r="O1111" s="88" t="n"/>
      <c r="P1111" s="88" t="n"/>
      <c r="Q1111" s="88" t="n"/>
      <c r="R1111" s="89" t="n"/>
      <c r="S1111" s="88" t="n"/>
      <c r="T1111" s="88" t="n"/>
      <c r="U1111" s="88" t="n"/>
      <c r="V1111" s="89" t="n"/>
      <c r="W1111" s="88" t="n"/>
      <c r="X1111" s="89" t="n"/>
      <c r="Y1111" s="88" t="n"/>
      <c r="Z1111" s="89" t="n"/>
      <c r="AB1111" s="30">
        <f>IF($B1111="","",(COUNTIF(C1111:E1111,"?*")&lt;N(INDEX(Setup!$L$6:$L$23,4)))+(COUNTIF(G1111:I1111,"?*")&lt;N(INDEX(Setup!$L$6:$L$23,4)))+(COUNTIF(K1111:M1111,"?*")&lt;N(INDEX(Setup!$L$6:$L$23,4)))+(COUNTIF(O1111:Q1111,"?*")&lt;N(INDEX(Setup!$L$6:$L$23,4)))+(COUNTIF(S1111:U1111,"?*")&lt;N(INDEX(Setup!$L$6:$L$23,4)))+((W1111="")*(INDEX(Setup!$M$6:$M$23,4)="Y"))+((Y1111="")*(INDEX(Setup!$M$6:$M$23,4)="Y")))</f>
        <v/>
      </c>
      <c r="AC1111" s="91">
        <f>IF($B1111="","",IF(AB1111=0,"✓ covered","⚠ "&amp;AB1111&amp;IF(AB1111=1," gap"," gaps")))</f>
        <v/>
      </c>
    </row>
    <row r="1112" ht="17" customHeight="1">
      <c r="A1112" t="n">
        <v>23</v>
      </c>
      <c r="B1112" s="24">
        <f>IF(Setup!$K$10="","",Setup!$K$10)</f>
        <v/>
      </c>
      <c r="C1112" s="88" t="n"/>
      <c r="D1112" s="88" t="n"/>
      <c r="E1112" s="88" t="n"/>
      <c r="F1112" s="89" t="n"/>
      <c r="G1112" s="88" t="n"/>
      <c r="H1112" s="88" t="n"/>
      <c r="I1112" s="88" t="n"/>
      <c r="J1112" s="89" t="n"/>
      <c r="K1112" s="88" t="n"/>
      <c r="L1112" s="88" t="n"/>
      <c r="M1112" s="88" t="n"/>
      <c r="N1112" s="89" t="n"/>
      <c r="O1112" s="88" t="n"/>
      <c r="P1112" s="88" t="n"/>
      <c r="Q1112" s="88" t="n"/>
      <c r="R1112" s="89" t="n"/>
      <c r="S1112" s="88" t="n"/>
      <c r="T1112" s="88" t="n"/>
      <c r="U1112" s="88" t="n"/>
      <c r="V1112" s="89" t="n"/>
      <c r="W1112" s="88" t="n"/>
      <c r="X1112" s="89" t="n"/>
      <c r="Y1112" s="88" t="n"/>
      <c r="Z1112" s="89" t="n"/>
      <c r="AB1112" s="25">
        <f>IF($B1112="","",(COUNTIF(C1112:E1112,"?*")&lt;N(INDEX(Setup!$L$6:$L$23,5)))+(COUNTIF(G1112:I1112,"?*")&lt;N(INDEX(Setup!$L$6:$L$23,5)))+(COUNTIF(K1112:M1112,"?*")&lt;N(INDEX(Setup!$L$6:$L$23,5)))+(COUNTIF(O1112:Q1112,"?*")&lt;N(INDEX(Setup!$L$6:$L$23,5)))+(COUNTIF(S1112:U1112,"?*")&lt;N(INDEX(Setup!$L$6:$L$23,5)))+((W1112="")*(INDEX(Setup!$M$6:$M$23,5)="Y"))+((Y1112="")*(INDEX(Setup!$M$6:$M$23,5)="Y")))</f>
        <v/>
      </c>
      <c r="AC1112" s="90">
        <f>IF($B1112="","",IF(AB1112=0,"✓ covered","⚠ "&amp;AB1112&amp;IF(AB1112=1," gap"," gaps")))</f>
        <v/>
      </c>
    </row>
    <row r="1113" ht="17" customHeight="1">
      <c r="A1113" t="n">
        <v>23</v>
      </c>
      <c r="B1113" s="29">
        <f>IF(Setup!$K$11="","",Setup!$K$11)</f>
        <v/>
      </c>
      <c r="C1113" s="88" t="n"/>
      <c r="D1113" s="88" t="n"/>
      <c r="E1113" s="88" t="n"/>
      <c r="F1113" s="89" t="n"/>
      <c r="G1113" s="88" t="n"/>
      <c r="H1113" s="88" t="n"/>
      <c r="I1113" s="88" t="n"/>
      <c r="J1113" s="89" t="n"/>
      <c r="K1113" s="88" t="n"/>
      <c r="L1113" s="88" t="n"/>
      <c r="M1113" s="88" t="n"/>
      <c r="N1113" s="89" t="n"/>
      <c r="O1113" s="88" t="n"/>
      <c r="P1113" s="88" t="n"/>
      <c r="Q1113" s="88" t="n"/>
      <c r="R1113" s="89" t="n"/>
      <c r="S1113" s="88" t="n"/>
      <c r="T1113" s="88" t="n"/>
      <c r="U1113" s="88" t="n"/>
      <c r="V1113" s="89" t="n"/>
      <c r="W1113" s="88" t="n"/>
      <c r="X1113" s="89" t="n"/>
      <c r="Y1113" s="88" t="n"/>
      <c r="Z1113" s="89" t="n"/>
      <c r="AB1113" s="30">
        <f>IF($B1113="","",(COUNTIF(C1113:E1113,"?*")&lt;N(INDEX(Setup!$L$6:$L$23,6)))+(COUNTIF(G1113:I1113,"?*")&lt;N(INDEX(Setup!$L$6:$L$23,6)))+(COUNTIF(K1113:M1113,"?*")&lt;N(INDEX(Setup!$L$6:$L$23,6)))+(COUNTIF(O1113:Q1113,"?*")&lt;N(INDEX(Setup!$L$6:$L$23,6)))+(COUNTIF(S1113:U1113,"?*")&lt;N(INDEX(Setup!$L$6:$L$23,6)))+((W1113="")*(INDEX(Setup!$M$6:$M$23,6)="Y"))+((Y1113="")*(INDEX(Setup!$M$6:$M$23,6)="Y")))</f>
        <v/>
      </c>
      <c r="AC1113" s="91">
        <f>IF($B1113="","",IF(AB1113=0,"✓ covered","⚠ "&amp;AB1113&amp;IF(AB1113=1," gap"," gaps")))</f>
        <v/>
      </c>
    </row>
    <row r="1114" ht="17" customHeight="1">
      <c r="A1114" t="n">
        <v>23</v>
      </c>
      <c r="B1114" s="24">
        <f>IF(Setup!$K$12="","",Setup!$K$12)</f>
        <v/>
      </c>
      <c r="C1114" s="88" t="n"/>
      <c r="D1114" s="88" t="n"/>
      <c r="E1114" s="88" t="n"/>
      <c r="F1114" s="89" t="n"/>
      <c r="G1114" s="88" t="n"/>
      <c r="H1114" s="88" t="n"/>
      <c r="I1114" s="88" t="n"/>
      <c r="J1114" s="89" t="n"/>
      <c r="K1114" s="88" t="n"/>
      <c r="L1114" s="88" t="n"/>
      <c r="M1114" s="88" t="n"/>
      <c r="N1114" s="89" t="n"/>
      <c r="O1114" s="88" t="n"/>
      <c r="P1114" s="88" t="n"/>
      <c r="Q1114" s="88" t="n"/>
      <c r="R1114" s="89" t="n"/>
      <c r="S1114" s="88" t="n"/>
      <c r="T1114" s="88" t="n"/>
      <c r="U1114" s="88" t="n"/>
      <c r="V1114" s="89" t="n"/>
      <c r="W1114" s="88" t="n"/>
      <c r="X1114" s="89" t="n"/>
      <c r="Y1114" s="88" t="n"/>
      <c r="Z1114" s="89" t="n"/>
      <c r="AB1114" s="25">
        <f>IF($B1114="","",(COUNTIF(C1114:E1114,"?*")&lt;N(INDEX(Setup!$L$6:$L$23,7)))+(COUNTIF(G1114:I1114,"?*")&lt;N(INDEX(Setup!$L$6:$L$23,7)))+(COUNTIF(K1114:M1114,"?*")&lt;N(INDEX(Setup!$L$6:$L$23,7)))+(COUNTIF(O1114:Q1114,"?*")&lt;N(INDEX(Setup!$L$6:$L$23,7)))+(COUNTIF(S1114:U1114,"?*")&lt;N(INDEX(Setup!$L$6:$L$23,7)))+((W1114="")*(INDEX(Setup!$M$6:$M$23,7)="Y"))+((Y1114="")*(INDEX(Setup!$M$6:$M$23,7)="Y")))</f>
        <v/>
      </c>
      <c r="AC1114" s="90">
        <f>IF($B1114="","",IF(AB1114=0,"✓ covered","⚠ "&amp;AB1114&amp;IF(AB1114=1," gap"," gaps")))</f>
        <v/>
      </c>
    </row>
    <row r="1115" ht="17" customHeight="1">
      <c r="A1115" t="n">
        <v>23</v>
      </c>
      <c r="B1115" s="29">
        <f>IF(Setup!$K$13="","",Setup!$K$13)</f>
        <v/>
      </c>
      <c r="C1115" s="88" t="n"/>
      <c r="D1115" s="88" t="n"/>
      <c r="E1115" s="88" t="n"/>
      <c r="F1115" s="89" t="n"/>
      <c r="G1115" s="88" t="n"/>
      <c r="H1115" s="88" t="n"/>
      <c r="I1115" s="88" t="n"/>
      <c r="J1115" s="89" t="n"/>
      <c r="K1115" s="88" t="n"/>
      <c r="L1115" s="88" t="n"/>
      <c r="M1115" s="88" t="n"/>
      <c r="N1115" s="89" t="n"/>
      <c r="O1115" s="88" t="n"/>
      <c r="P1115" s="88" t="n"/>
      <c r="Q1115" s="88" t="n"/>
      <c r="R1115" s="89" t="n"/>
      <c r="S1115" s="88" t="n"/>
      <c r="T1115" s="88" t="n"/>
      <c r="U1115" s="88" t="n"/>
      <c r="V1115" s="89" t="n"/>
      <c r="W1115" s="88" t="n"/>
      <c r="X1115" s="89" t="n"/>
      <c r="Y1115" s="88" t="n"/>
      <c r="Z1115" s="89" t="n"/>
      <c r="AB1115" s="30">
        <f>IF($B1115="","",(COUNTIF(C1115:E1115,"?*")&lt;N(INDEX(Setup!$L$6:$L$23,8)))+(COUNTIF(G1115:I1115,"?*")&lt;N(INDEX(Setup!$L$6:$L$23,8)))+(COUNTIF(K1115:M1115,"?*")&lt;N(INDEX(Setup!$L$6:$L$23,8)))+(COUNTIF(O1115:Q1115,"?*")&lt;N(INDEX(Setup!$L$6:$L$23,8)))+(COUNTIF(S1115:U1115,"?*")&lt;N(INDEX(Setup!$L$6:$L$23,8)))+((W1115="")*(INDEX(Setup!$M$6:$M$23,8)="Y"))+((Y1115="")*(INDEX(Setup!$M$6:$M$23,8)="Y")))</f>
        <v/>
      </c>
      <c r="AC1115" s="91">
        <f>IF($B1115="","",IF(AB1115=0,"✓ covered","⚠ "&amp;AB1115&amp;IF(AB1115=1," gap"," gaps")))</f>
        <v/>
      </c>
    </row>
    <row r="1116" ht="17" customHeight="1">
      <c r="A1116" t="n">
        <v>23</v>
      </c>
      <c r="B1116" s="24">
        <f>IF(Setup!$K$14="","",Setup!$K$14)</f>
        <v/>
      </c>
      <c r="C1116" s="88" t="n"/>
      <c r="D1116" s="88" t="n"/>
      <c r="E1116" s="88" t="n"/>
      <c r="F1116" s="89" t="n"/>
      <c r="G1116" s="88" t="n"/>
      <c r="H1116" s="88" t="n"/>
      <c r="I1116" s="88" t="n"/>
      <c r="J1116" s="89" t="n"/>
      <c r="K1116" s="88" t="n"/>
      <c r="L1116" s="88" t="n"/>
      <c r="M1116" s="88" t="n"/>
      <c r="N1116" s="89" t="n"/>
      <c r="O1116" s="88" t="n"/>
      <c r="P1116" s="88" t="n"/>
      <c r="Q1116" s="88" t="n"/>
      <c r="R1116" s="89" t="n"/>
      <c r="S1116" s="88" t="n"/>
      <c r="T1116" s="88" t="n"/>
      <c r="U1116" s="88" t="n"/>
      <c r="V1116" s="89" t="n"/>
      <c r="W1116" s="88" t="n"/>
      <c r="X1116" s="89" t="n"/>
      <c r="Y1116" s="88" t="n"/>
      <c r="Z1116" s="89" t="n"/>
      <c r="AB1116" s="25">
        <f>IF($B1116="","",(COUNTIF(C1116:E1116,"?*")&lt;N(INDEX(Setup!$L$6:$L$23,9)))+(COUNTIF(G1116:I1116,"?*")&lt;N(INDEX(Setup!$L$6:$L$23,9)))+(COUNTIF(K1116:M1116,"?*")&lt;N(INDEX(Setup!$L$6:$L$23,9)))+(COUNTIF(O1116:Q1116,"?*")&lt;N(INDEX(Setup!$L$6:$L$23,9)))+(COUNTIF(S1116:U1116,"?*")&lt;N(INDEX(Setup!$L$6:$L$23,9)))+((W1116="")*(INDEX(Setup!$M$6:$M$23,9)="Y"))+((Y1116="")*(INDEX(Setup!$M$6:$M$23,9)="Y")))</f>
        <v/>
      </c>
      <c r="AC1116" s="90">
        <f>IF($B1116="","",IF(AB1116=0,"✓ covered","⚠ "&amp;AB1116&amp;IF(AB1116=1," gap"," gaps")))</f>
        <v/>
      </c>
    </row>
    <row r="1117" ht="17" customHeight="1">
      <c r="A1117" t="n">
        <v>23</v>
      </c>
      <c r="B1117" s="29">
        <f>IF(Setup!$K$15="","",Setup!$K$15)</f>
        <v/>
      </c>
      <c r="C1117" s="88" t="n"/>
      <c r="D1117" s="88" t="n"/>
      <c r="E1117" s="88" t="n"/>
      <c r="F1117" s="89" t="n"/>
      <c r="G1117" s="88" t="n"/>
      <c r="H1117" s="88" t="n"/>
      <c r="I1117" s="88" t="n"/>
      <c r="J1117" s="89" t="n"/>
      <c r="K1117" s="88" t="n"/>
      <c r="L1117" s="88" t="n"/>
      <c r="M1117" s="88" t="n"/>
      <c r="N1117" s="89" t="n"/>
      <c r="O1117" s="88" t="n"/>
      <c r="P1117" s="88" t="n"/>
      <c r="Q1117" s="88" t="n"/>
      <c r="R1117" s="89" t="n"/>
      <c r="S1117" s="88" t="n"/>
      <c r="T1117" s="88" t="n"/>
      <c r="U1117" s="88" t="n"/>
      <c r="V1117" s="89" t="n"/>
      <c r="W1117" s="88" t="n"/>
      <c r="X1117" s="89" t="n"/>
      <c r="Y1117" s="88" t="n"/>
      <c r="Z1117" s="89" t="n"/>
      <c r="AB1117" s="30">
        <f>IF($B1117="","",(COUNTIF(C1117:E1117,"?*")&lt;N(INDEX(Setup!$L$6:$L$23,10)))+(COUNTIF(G1117:I1117,"?*")&lt;N(INDEX(Setup!$L$6:$L$23,10)))+(COUNTIF(K1117:M1117,"?*")&lt;N(INDEX(Setup!$L$6:$L$23,10)))+(COUNTIF(O1117:Q1117,"?*")&lt;N(INDEX(Setup!$L$6:$L$23,10)))+(COUNTIF(S1117:U1117,"?*")&lt;N(INDEX(Setup!$L$6:$L$23,10)))+((W1117="")*(INDEX(Setup!$M$6:$M$23,10)="Y"))+((Y1117="")*(INDEX(Setup!$M$6:$M$23,10)="Y")))</f>
        <v/>
      </c>
      <c r="AC1117" s="91">
        <f>IF($B1117="","",IF(AB1117=0,"✓ covered","⚠ "&amp;AB1117&amp;IF(AB1117=1," gap"," gaps")))</f>
        <v/>
      </c>
    </row>
    <row r="1118" ht="17" customHeight="1">
      <c r="A1118" t="n">
        <v>23</v>
      </c>
      <c r="B1118" s="24">
        <f>IF(Setup!$K$16="","",Setup!$K$16)</f>
        <v/>
      </c>
      <c r="C1118" s="88" t="n"/>
      <c r="D1118" s="88" t="n"/>
      <c r="E1118" s="88" t="n"/>
      <c r="F1118" s="89" t="n"/>
      <c r="G1118" s="88" t="n"/>
      <c r="H1118" s="88" t="n"/>
      <c r="I1118" s="88" t="n"/>
      <c r="J1118" s="89" t="n"/>
      <c r="K1118" s="88" t="n"/>
      <c r="L1118" s="88" t="n"/>
      <c r="M1118" s="88" t="n"/>
      <c r="N1118" s="89" t="n"/>
      <c r="O1118" s="88" t="n"/>
      <c r="P1118" s="88" t="n"/>
      <c r="Q1118" s="88" t="n"/>
      <c r="R1118" s="89" t="n"/>
      <c r="S1118" s="88" t="n"/>
      <c r="T1118" s="88" t="n"/>
      <c r="U1118" s="88" t="n"/>
      <c r="V1118" s="89" t="n"/>
      <c r="W1118" s="88" t="n"/>
      <c r="X1118" s="89" t="n"/>
      <c r="Y1118" s="88" t="n"/>
      <c r="Z1118" s="89" t="n"/>
      <c r="AB1118" s="25">
        <f>IF($B1118="","",(COUNTIF(C1118:E1118,"?*")&lt;N(INDEX(Setup!$L$6:$L$23,11)))+(COUNTIF(G1118:I1118,"?*")&lt;N(INDEX(Setup!$L$6:$L$23,11)))+(COUNTIF(K1118:M1118,"?*")&lt;N(INDEX(Setup!$L$6:$L$23,11)))+(COUNTIF(O1118:Q1118,"?*")&lt;N(INDEX(Setup!$L$6:$L$23,11)))+(COUNTIF(S1118:U1118,"?*")&lt;N(INDEX(Setup!$L$6:$L$23,11)))+((W1118="")*(INDEX(Setup!$M$6:$M$23,11)="Y"))+((Y1118="")*(INDEX(Setup!$M$6:$M$23,11)="Y")))</f>
        <v/>
      </c>
      <c r="AC1118" s="90">
        <f>IF($B1118="","",IF(AB1118=0,"✓ covered","⚠ "&amp;AB1118&amp;IF(AB1118=1," gap"," gaps")))</f>
        <v/>
      </c>
    </row>
    <row r="1119" ht="17" customHeight="1">
      <c r="A1119" t="n">
        <v>23</v>
      </c>
      <c r="B1119" s="29">
        <f>IF(Setup!$K$17="","",Setup!$K$17)</f>
        <v/>
      </c>
      <c r="C1119" s="88" t="n"/>
      <c r="D1119" s="88" t="n"/>
      <c r="E1119" s="88" t="n"/>
      <c r="F1119" s="89" t="n"/>
      <c r="G1119" s="88" t="n"/>
      <c r="H1119" s="88" t="n"/>
      <c r="I1119" s="88" t="n"/>
      <c r="J1119" s="89" t="n"/>
      <c r="K1119" s="88" t="n"/>
      <c r="L1119" s="88" t="n"/>
      <c r="M1119" s="88" t="n"/>
      <c r="N1119" s="89" t="n"/>
      <c r="O1119" s="88" t="n"/>
      <c r="P1119" s="88" t="n"/>
      <c r="Q1119" s="88" t="n"/>
      <c r="R1119" s="89" t="n"/>
      <c r="S1119" s="88" t="n"/>
      <c r="T1119" s="88" t="n"/>
      <c r="U1119" s="88" t="n"/>
      <c r="V1119" s="89" t="n"/>
      <c r="W1119" s="88" t="n"/>
      <c r="X1119" s="89" t="n"/>
      <c r="Y1119" s="88" t="n"/>
      <c r="Z1119" s="89" t="n"/>
      <c r="AB1119" s="30">
        <f>IF($B1119="","",(COUNTIF(C1119:E1119,"?*")&lt;N(INDEX(Setup!$L$6:$L$23,12)))+(COUNTIF(G1119:I1119,"?*")&lt;N(INDEX(Setup!$L$6:$L$23,12)))+(COUNTIF(K1119:M1119,"?*")&lt;N(INDEX(Setup!$L$6:$L$23,12)))+(COUNTIF(O1119:Q1119,"?*")&lt;N(INDEX(Setup!$L$6:$L$23,12)))+(COUNTIF(S1119:U1119,"?*")&lt;N(INDEX(Setup!$L$6:$L$23,12)))+((W1119="")*(INDEX(Setup!$M$6:$M$23,12)="Y"))+((Y1119="")*(INDEX(Setup!$M$6:$M$23,12)="Y")))</f>
        <v/>
      </c>
      <c r="AC1119" s="91">
        <f>IF($B1119="","",IF(AB1119=0,"✓ covered","⚠ "&amp;AB1119&amp;IF(AB1119=1," gap"," gaps")))</f>
        <v/>
      </c>
    </row>
    <row r="1120" ht="17" customHeight="1">
      <c r="A1120" t="n">
        <v>23</v>
      </c>
      <c r="B1120" s="24">
        <f>IF(Setup!$K$18="","",Setup!$K$18)</f>
        <v/>
      </c>
      <c r="C1120" s="88" t="n"/>
      <c r="D1120" s="88" t="n"/>
      <c r="E1120" s="88" t="n"/>
      <c r="F1120" s="89" t="n"/>
      <c r="G1120" s="88" t="n"/>
      <c r="H1120" s="88" t="n"/>
      <c r="I1120" s="88" t="n"/>
      <c r="J1120" s="89" t="n"/>
      <c r="K1120" s="88" t="n"/>
      <c r="L1120" s="88" t="n"/>
      <c r="M1120" s="88" t="n"/>
      <c r="N1120" s="89" t="n"/>
      <c r="O1120" s="88" t="n"/>
      <c r="P1120" s="88" t="n"/>
      <c r="Q1120" s="88" t="n"/>
      <c r="R1120" s="89" t="n"/>
      <c r="S1120" s="88" t="n"/>
      <c r="T1120" s="88" t="n"/>
      <c r="U1120" s="88" t="n"/>
      <c r="V1120" s="89" t="n"/>
      <c r="W1120" s="88" t="n"/>
      <c r="X1120" s="89" t="n"/>
      <c r="Y1120" s="88" t="n"/>
      <c r="Z1120" s="89" t="n"/>
      <c r="AB1120" s="25">
        <f>IF($B1120="","",(COUNTIF(C1120:E1120,"?*")&lt;N(INDEX(Setup!$L$6:$L$23,13)))+(COUNTIF(G1120:I1120,"?*")&lt;N(INDEX(Setup!$L$6:$L$23,13)))+(COUNTIF(K1120:M1120,"?*")&lt;N(INDEX(Setup!$L$6:$L$23,13)))+(COUNTIF(O1120:Q1120,"?*")&lt;N(INDEX(Setup!$L$6:$L$23,13)))+(COUNTIF(S1120:U1120,"?*")&lt;N(INDEX(Setup!$L$6:$L$23,13)))+((W1120="")*(INDEX(Setup!$M$6:$M$23,13)="Y"))+((Y1120="")*(INDEX(Setup!$M$6:$M$23,13)="Y")))</f>
        <v/>
      </c>
      <c r="AC1120" s="90">
        <f>IF($B1120="","",IF(AB1120=0,"✓ covered","⚠ "&amp;AB1120&amp;IF(AB1120=1," gap"," gaps")))</f>
        <v/>
      </c>
    </row>
    <row r="1121" ht="17" customHeight="1">
      <c r="A1121" t="n">
        <v>23</v>
      </c>
      <c r="B1121" s="29">
        <f>IF(Setup!$K$19="","",Setup!$K$19)</f>
        <v/>
      </c>
      <c r="C1121" s="88" t="n"/>
      <c r="D1121" s="88" t="n"/>
      <c r="E1121" s="88" t="n"/>
      <c r="F1121" s="89" t="n"/>
      <c r="G1121" s="88" t="n"/>
      <c r="H1121" s="88" t="n"/>
      <c r="I1121" s="88" t="n"/>
      <c r="J1121" s="89" t="n"/>
      <c r="K1121" s="88" t="n"/>
      <c r="L1121" s="88" t="n"/>
      <c r="M1121" s="88" t="n"/>
      <c r="N1121" s="89" t="n"/>
      <c r="O1121" s="88" t="n"/>
      <c r="P1121" s="88" t="n"/>
      <c r="Q1121" s="88" t="n"/>
      <c r="R1121" s="89" t="n"/>
      <c r="S1121" s="88" t="n"/>
      <c r="T1121" s="88" t="n"/>
      <c r="U1121" s="88" t="n"/>
      <c r="V1121" s="89" t="n"/>
      <c r="W1121" s="88" t="n"/>
      <c r="X1121" s="89" t="n"/>
      <c r="Y1121" s="88" t="n"/>
      <c r="Z1121" s="89" t="n"/>
      <c r="AB1121" s="30">
        <f>IF($B1121="","",(COUNTIF(C1121:E1121,"?*")&lt;N(INDEX(Setup!$L$6:$L$23,14)))+(COUNTIF(G1121:I1121,"?*")&lt;N(INDEX(Setup!$L$6:$L$23,14)))+(COUNTIF(K1121:M1121,"?*")&lt;N(INDEX(Setup!$L$6:$L$23,14)))+(COUNTIF(O1121:Q1121,"?*")&lt;N(INDEX(Setup!$L$6:$L$23,14)))+(COUNTIF(S1121:U1121,"?*")&lt;N(INDEX(Setup!$L$6:$L$23,14)))+((W1121="")*(INDEX(Setup!$M$6:$M$23,14)="Y"))+((Y1121="")*(INDEX(Setup!$M$6:$M$23,14)="Y")))</f>
        <v/>
      </c>
      <c r="AC1121" s="91">
        <f>IF($B1121="","",IF(AB1121=0,"✓ covered","⚠ "&amp;AB1121&amp;IF(AB1121=1," gap"," gaps")))</f>
        <v/>
      </c>
    </row>
    <row r="1122" ht="17" customHeight="1">
      <c r="A1122" t="n">
        <v>23</v>
      </c>
      <c r="B1122" s="24">
        <f>IF(Setup!$K$20="","",Setup!$K$20)</f>
        <v/>
      </c>
      <c r="C1122" s="88" t="n"/>
      <c r="D1122" s="88" t="n"/>
      <c r="E1122" s="88" t="n"/>
      <c r="F1122" s="89" t="n"/>
      <c r="G1122" s="88" t="n"/>
      <c r="H1122" s="88" t="n"/>
      <c r="I1122" s="88" t="n"/>
      <c r="J1122" s="89" t="n"/>
      <c r="K1122" s="88" t="n"/>
      <c r="L1122" s="88" t="n"/>
      <c r="M1122" s="88" t="n"/>
      <c r="N1122" s="89" t="n"/>
      <c r="O1122" s="88" t="n"/>
      <c r="P1122" s="88" t="n"/>
      <c r="Q1122" s="88" t="n"/>
      <c r="R1122" s="89" t="n"/>
      <c r="S1122" s="88" t="n"/>
      <c r="T1122" s="88" t="n"/>
      <c r="U1122" s="88" t="n"/>
      <c r="V1122" s="89" t="n"/>
      <c r="W1122" s="88" t="n"/>
      <c r="X1122" s="89" t="n"/>
      <c r="Y1122" s="88" t="n"/>
      <c r="Z1122" s="89" t="n"/>
      <c r="AB1122" s="25">
        <f>IF($B1122="","",(COUNTIF(C1122:E1122,"?*")&lt;N(INDEX(Setup!$L$6:$L$23,15)))+(COUNTIF(G1122:I1122,"?*")&lt;N(INDEX(Setup!$L$6:$L$23,15)))+(COUNTIF(K1122:M1122,"?*")&lt;N(INDEX(Setup!$L$6:$L$23,15)))+(COUNTIF(O1122:Q1122,"?*")&lt;N(INDEX(Setup!$L$6:$L$23,15)))+(COUNTIF(S1122:U1122,"?*")&lt;N(INDEX(Setup!$L$6:$L$23,15)))+((W1122="")*(INDEX(Setup!$M$6:$M$23,15)="Y"))+((Y1122="")*(INDEX(Setup!$M$6:$M$23,15)="Y")))</f>
        <v/>
      </c>
      <c r="AC1122" s="90">
        <f>IF($B1122="","",IF(AB1122=0,"✓ covered","⚠ "&amp;AB1122&amp;IF(AB1122=1," gap"," gaps")))</f>
        <v/>
      </c>
    </row>
    <row r="1123" ht="17" customHeight="1">
      <c r="A1123" t="n">
        <v>23</v>
      </c>
      <c r="B1123" s="29">
        <f>IF(Setup!$K$21="","",Setup!$K$21)</f>
        <v/>
      </c>
      <c r="C1123" s="88" t="n"/>
      <c r="D1123" s="88" t="n"/>
      <c r="E1123" s="88" t="n"/>
      <c r="F1123" s="89" t="n"/>
      <c r="G1123" s="88" t="n"/>
      <c r="H1123" s="88" t="n"/>
      <c r="I1123" s="88" t="n"/>
      <c r="J1123" s="89" t="n"/>
      <c r="K1123" s="88" t="n"/>
      <c r="L1123" s="88" t="n"/>
      <c r="M1123" s="88" t="n"/>
      <c r="N1123" s="89" t="n"/>
      <c r="O1123" s="88" t="n"/>
      <c r="P1123" s="88" t="n"/>
      <c r="Q1123" s="88" t="n"/>
      <c r="R1123" s="89" t="n"/>
      <c r="S1123" s="88" t="n"/>
      <c r="T1123" s="88" t="n"/>
      <c r="U1123" s="88" t="n"/>
      <c r="V1123" s="89" t="n"/>
      <c r="W1123" s="88" t="n"/>
      <c r="X1123" s="89" t="n"/>
      <c r="Y1123" s="88" t="n"/>
      <c r="Z1123" s="89" t="n"/>
      <c r="AB1123" s="30">
        <f>IF($B1123="","",(COUNTIF(C1123:E1123,"?*")&lt;N(INDEX(Setup!$L$6:$L$23,16)))+(COUNTIF(G1123:I1123,"?*")&lt;N(INDEX(Setup!$L$6:$L$23,16)))+(COUNTIF(K1123:M1123,"?*")&lt;N(INDEX(Setup!$L$6:$L$23,16)))+(COUNTIF(O1123:Q1123,"?*")&lt;N(INDEX(Setup!$L$6:$L$23,16)))+(COUNTIF(S1123:U1123,"?*")&lt;N(INDEX(Setup!$L$6:$L$23,16)))+((W1123="")*(INDEX(Setup!$M$6:$M$23,16)="Y"))+((Y1123="")*(INDEX(Setup!$M$6:$M$23,16)="Y")))</f>
        <v/>
      </c>
      <c r="AC1123" s="91">
        <f>IF($B1123="","",IF(AB1123=0,"✓ covered","⚠ "&amp;AB1123&amp;IF(AB1123=1," gap"," gaps")))</f>
        <v/>
      </c>
    </row>
    <row r="1124" ht="17" customHeight="1">
      <c r="A1124" t="n">
        <v>23</v>
      </c>
      <c r="B1124" s="24">
        <f>IF(Setup!$K$22="","",Setup!$K$22)</f>
        <v/>
      </c>
      <c r="C1124" s="88" t="n"/>
      <c r="D1124" s="88" t="n"/>
      <c r="E1124" s="88" t="n"/>
      <c r="F1124" s="89" t="n"/>
      <c r="G1124" s="88" t="n"/>
      <c r="H1124" s="88" t="n"/>
      <c r="I1124" s="88" t="n"/>
      <c r="J1124" s="89" t="n"/>
      <c r="K1124" s="88" t="n"/>
      <c r="L1124" s="88" t="n"/>
      <c r="M1124" s="88" t="n"/>
      <c r="N1124" s="89" t="n"/>
      <c r="O1124" s="88" t="n"/>
      <c r="P1124" s="88" t="n"/>
      <c r="Q1124" s="88" t="n"/>
      <c r="R1124" s="89" t="n"/>
      <c r="S1124" s="88" t="n"/>
      <c r="T1124" s="88" t="n"/>
      <c r="U1124" s="88" t="n"/>
      <c r="V1124" s="89" t="n"/>
      <c r="W1124" s="88" t="n"/>
      <c r="X1124" s="89" t="n"/>
      <c r="Y1124" s="88" t="n"/>
      <c r="Z1124" s="89" t="n"/>
      <c r="AB1124" s="25">
        <f>IF($B1124="","",(COUNTIF(C1124:E1124,"?*")&lt;N(INDEX(Setup!$L$6:$L$23,17)))+(COUNTIF(G1124:I1124,"?*")&lt;N(INDEX(Setup!$L$6:$L$23,17)))+(COUNTIF(K1124:M1124,"?*")&lt;N(INDEX(Setup!$L$6:$L$23,17)))+(COUNTIF(O1124:Q1124,"?*")&lt;N(INDEX(Setup!$L$6:$L$23,17)))+(COUNTIF(S1124:U1124,"?*")&lt;N(INDEX(Setup!$L$6:$L$23,17)))+((W1124="")*(INDEX(Setup!$M$6:$M$23,17)="Y"))+((Y1124="")*(INDEX(Setup!$M$6:$M$23,17)="Y")))</f>
        <v/>
      </c>
      <c r="AC1124" s="90">
        <f>IF($B1124="","",IF(AB1124=0,"✓ covered","⚠ "&amp;AB1124&amp;IF(AB1124=1," gap"," gaps")))</f>
        <v/>
      </c>
    </row>
    <row r="1125" ht="17" customHeight="1">
      <c r="A1125" t="n">
        <v>23</v>
      </c>
      <c r="B1125" s="29">
        <f>IF(Setup!$K$23="","",Setup!$K$23)</f>
        <v/>
      </c>
      <c r="C1125" s="88" t="n"/>
      <c r="D1125" s="88" t="n"/>
      <c r="E1125" s="88" t="n"/>
      <c r="F1125" s="89" t="n"/>
      <c r="G1125" s="88" t="n"/>
      <c r="H1125" s="88" t="n"/>
      <c r="I1125" s="88" t="n"/>
      <c r="J1125" s="89" t="n"/>
      <c r="K1125" s="88" t="n"/>
      <c r="L1125" s="88" t="n"/>
      <c r="M1125" s="88" t="n"/>
      <c r="N1125" s="89" t="n"/>
      <c r="O1125" s="88" t="n"/>
      <c r="P1125" s="88" t="n"/>
      <c r="Q1125" s="88" t="n"/>
      <c r="R1125" s="89" t="n"/>
      <c r="S1125" s="88" t="n"/>
      <c r="T1125" s="88" t="n"/>
      <c r="U1125" s="88" t="n"/>
      <c r="V1125" s="89" t="n"/>
      <c r="W1125" s="88" t="n"/>
      <c r="X1125" s="89" t="n"/>
      <c r="Y1125" s="88" t="n"/>
      <c r="Z1125" s="89" t="n"/>
      <c r="AB1125" s="30">
        <f>IF($B1125="","",(COUNTIF(C1125:E1125,"?*")&lt;N(INDEX(Setup!$L$6:$L$23,18)))+(COUNTIF(G1125:I1125,"?*")&lt;N(INDEX(Setup!$L$6:$L$23,18)))+(COUNTIF(K1125:M1125,"?*")&lt;N(INDEX(Setup!$L$6:$L$23,18)))+(COUNTIF(O1125:Q1125,"?*")&lt;N(INDEX(Setup!$L$6:$L$23,18)))+(COUNTIF(S1125:U1125,"?*")&lt;N(INDEX(Setup!$L$6:$L$23,18)))+((W1125="")*(INDEX(Setup!$M$6:$M$23,18)="Y"))+((Y1125="")*(INDEX(Setup!$M$6:$M$23,18)="Y")))</f>
        <v/>
      </c>
      <c r="AC1125" s="91">
        <f>IF($B1125="","",IF(AB1125=0,"✓ covered","⚠ "&amp;AB1125&amp;IF(AB1125=1," gap"," gaps")))</f>
        <v/>
      </c>
    </row>
    <row r="1126" ht="18" customHeight="1">
      <c r="A1126" t="n">
        <v>23</v>
      </c>
      <c r="B1126" s="78" t="inlineStr">
        <is>
          <t>TEAM AVAILABILITY</t>
        </is>
      </c>
      <c r="C1126" s="92" t="inlineStr">
        <is>
          <t>Mon</t>
        </is>
      </c>
      <c r="D1126" s="93" t="n"/>
      <c r="E1126" s="93" t="n"/>
      <c r="F1126" s="94" t="n"/>
      <c r="G1126" s="92" t="inlineStr">
        <is>
          <t>Tue</t>
        </is>
      </c>
      <c r="H1126" s="93" t="n"/>
      <c r="I1126" s="93" t="n"/>
      <c r="J1126" s="94" t="n"/>
      <c r="K1126" s="92" t="inlineStr">
        <is>
          <t>Wed</t>
        </is>
      </c>
      <c r="L1126" s="93" t="n"/>
      <c r="M1126" s="93" t="n"/>
      <c r="N1126" s="94" t="n"/>
      <c r="O1126" s="92" t="inlineStr">
        <is>
          <t>Thu</t>
        </is>
      </c>
      <c r="P1126" s="93" t="n"/>
      <c r="Q1126" s="93" t="n"/>
      <c r="R1126" s="94" t="n"/>
      <c r="S1126" s="92" t="inlineStr">
        <is>
          <t>Fri</t>
        </is>
      </c>
      <c r="T1126" s="93" t="n"/>
      <c r="U1126" s="93" t="n"/>
      <c r="V1126" s="94" t="n"/>
      <c r="W1126" s="95" t="inlineStr">
        <is>
          <t>Sat</t>
        </is>
      </c>
      <c r="X1126" s="96" t="n"/>
      <c r="Y1126" s="95" t="inlineStr">
        <is>
          <t>Sun</t>
        </is>
      </c>
      <c r="Z1126" s="96" t="n"/>
      <c r="AB1126" s="97" t="inlineStr">
        <is>
          <t>Days rostered</t>
        </is>
      </c>
      <c r="AC1126" s="97" t="inlineStr">
        <is>
          <t>Conflicts</t>
        </is>
      </c>
    </row>
    <row r="1127" ht="15" customHeight="1">
      <c r="A1127" t="n">
        <v>23</v>
      </c>
      <c r="B1127" s="35">
        <f>IF(Setup!$B$6="","",Setup!$B$6)</f>
        <v/>
      </c>
      <c r="C1127" s="98" t="n"/>
      <c r="D1127" s="99" t="n"/>
      <c r="E1127" s="99" t="n"/>
      <c r="F1127" s="100" t="n"/>
      <c r="G1127" s="98" t="n"/>
      <c r="H1127" s="99" t="n"/>
      <c r="I1127" s="99" t="n"/>
      <c r="J1127" s="100" t="n"/>
      <c r="K1127" s="98" t="n"/>
      <c r="L1127" s="99" t="n"/>
      <c r="M1127" s="99" t="n"/>
      <c r="N1127" s="100" t="n"/>
      <c r="O1127" s="98" t="n"/>
      <c r="P1127" s="99" t="n"/>
      <c r="Q1127" s="99" t="n"/>
      <c r="R1127" s="100" t="n"/>
      <c r="S1127" s="98" t="n"/>
      <c r="T1127" s="99" t="n"/>
      <c r="U1127" s="99" t="n"/>
      <c r="V1127" s="100" t="n"/>
      <c r="W1127" s="98" t="n"/>
      <c r="X1127" s="100" t="n"/>
      <c r="Y1127" s="98" t="n"/>
      <c r="Z1127" s="100" t="n"/>
      <c r="AB1127" s="101">
        <f>IF($B1127="","",(COUNTIF(C1108:E1125,$B1127)+COUNTIF(C1108:E1125,$B1127&amp;" ~*")&gt;0)+(COUNTIF(G1108:I1125,$B1127)+COUNTIF(G1108:I1125,$B1127&amp;" ~*")&gt;0)+(COUNTIF(K1108:M1125,$B1127)+COUNTIF(K1108:M1125,$B1127&amp;" ~*")&gt;0)+(COUNTIF(O1108:Q1125,$B1127)+COUNTIF(O1108:Q1125,$B1127&amp;" ~*")&gt;0)+(COUNTIF(S1108:U1125,$B1127)+COUNTIF(S1108:U1125,$B1127&amp;" ~*")&gt;0)+(COUNTIF(W1108:W1125,$B1127)+COUNTIF(W1108:W1125,$B1127&amp;" ~*")&gt;0)+(COUNTIF(Y1108:Y1125,$B1127)+COUNTIF(Y1108:Y1125,$B1127&amp;" ~*")&gt;0))</f>
        <v/>
      </c>
      <c r="AC1127" s="36">
        <f>IF($B1127="","",(IFERROR(INDEX(Setup!$G$33:$G$40,MATCH(C1127,Setup!$B$33:$B$40,0)),0)=1)*(COUNTIF(C1108:E1125,$B1127)+COUNTIF(C1108:E1125,$B1127&amp;" ~*")&gt;0)+(IFERROR(INDEX(Setup!$G$33:$G$40,MATCH(G1127,Setup!$B$33:$B$40,0)),0)=1)*(COUNTIF(G1108:I1125,$B1127)+COUNTIF(G1108:I1125,$B1127&amp;" ~*")&gt;0)+(IFERROR(INDEX(Setup!$G$33:$G$40,MATCH(K1127,Setup!$B$33:$B$40,0)),0)=1)*(COUNTIF(K1108:M1125,$B1127)+COUNTIF(K1108:M1125,$B1127&amp;" ~*")&gt;0)+(IFERROR(INDEX(Setup!$G$33:$G$40,MATCH(O1127,Setup!$B$33:$B$40,0)),0)=1)*(COUNTIF(O1108:Q1125,$B1127)+COUNTIF(O1108:Q1125,$B1127&amp;" ~*")&gt;0)+(IFERROR(INDEX(Setup!$G$33:$G$40,MATCH(S1127,Setup!$B$33:$B$40,0)),0)=1)*(COUNTIF(S1108:U1125,$B1127)+COUNTIF(S1108:U1125,$B1127&amp;" ~*")&gt;0)+(IFERROR(INDEX(Setup!$G$33:$G$40,MATCH(W1127,Setup!$B$33:$B$40,0)),0)=1)*(COUNTIF(W1108:W1125,$B1127)+COUNTIF(W1108:W1125,$B1127&amp;" ~*")&gt;0)+(IFERROR(INDEX(Setup!$G$33:$G$40,MATCH(Y1127,Setup!$B$33:$B$40,0)),0)=1)*(COUNTIF(Y1108:Y1125,$B1127)+COUNTIF(Y1108:Y1125,$B1127&amp;" ~*")&gt;0))</f>
        <v/>
      </c>
    </row>
    <row r="1128" ht="15" customHeight="1">
      <c r="A1128" t="n">
        <v>23</v>
      </c>
      <c r="B1128" s="37">
        <f>IF(Setup!$B$7="","",Setup!$B$7)</f>
        <v/>
      </c>
      <c r="C1128" s="102" t="n"/>
      <c r="D1128" s="103" t="n"/>
      <c r="E1128" s="103" t="n"/>
      <c r="F1128" s="104" t="n"/>
      <c r="G1128" s="102" t="n"/>
      <c r="H1128" s="103" t="n"/>
      <c r="I1128" s="103" t="n"/>
      <c r="J1128" s="104" t="n"/>
      <c r="K1128" s="102" t="n"/>
      <c r="L1128" s="103" t="n"/>
      <c r="M1128" s="103" t="n"/>
      <c r="N1128" s="104" t="n"/>
      <c r="O1128" s="102" t="n"/>
      <c r="P1128" s="103" t="n"/>
      <c r="Q1128" s="103" t="n"/>
      <c r="R1128" s="104" t="n"/>
      <c r="S1128" s="102" t="n"/>
      <c r="T1128" s="103" t="n"/>
      <c r="U1128" s="103" t="n"/>
      <c r="V1128" s="104" t="n"/>
      <c r="W1128" s="102" t="n"/>
      <c r="X1128" s="104" t="n"/>
      <c r="Y1128" s="102" t="n"/>
      <c r="Z1128" s="104" t="n"/>
      <c r="AB1128" s="105">
        <f>IF($B1128="","",(COUNTIF(C1108:E1125,$B1128)+COUNTIF(C1108:E1125,$B1128&amp;" ~*")&gt;0)+(COUNTIF(G1108:I1125,$B1128)+COUNTIF(G1108:I1125,$B1128&amp;" ~*")&gt;0)+(COUNTIF(K1108:M1125,$B1128)+COUNTIF(K1108:M1125,$B1128&amp;" ~*")&gt;0)+(COUNTIF(O1108:Q1125,$B1128)+COUNTIF(O1108:Q1125,$B1128&amp;" ~*")&gt;0)+(COUNTIF(S1108:U1125,$B1128)+COUNTIF(S1108:U1125,$B1128&amp;" ~*")&gt;0)+(COUNTIF(W1108:W1125,$B1128)+COUNTIF(W1108:W1125,$B1128&amp;" ~*")&gt;0)+(COUNTIF(Y1108:Y1125,$B1128)+COUNTIF(Y1108:Y1125,$B1128&amp;" ~*")&gt;0))</f>
        <v/>
      </c>
      <c r="AC1128" s="38">
        <f>IF($B1128="","",(IFERROR(INDEX(Setup!$G$33:$G$40,MATCH(C1128,Setup!$B$33:$B$40,0)),0)=1)*(COUNTIF(C1108:E1125,$B1128)+COUNTIF(C1108:E1125,$B1128&amp;" ~*")&gt;0)+(IFERROR(INDEX(Setup!$G$33:$G$40,MATCH(G1128,Setup!$B$33:$B$40,0)),0)=1)*(COUNTIF(G1108:I1125,$B1128)+COUNTIF(G1108:I1125,$B1128&amp;" ~*")&gt;0)+(IFERROR(INDEX(Setup!$G$33:$G$40,MATCH(K1128,Setup!$B$33:$B$40,0)),0)=1)*(COUNTIF(K1108:M1125,$B1128)+COUNTIF(K1108:M1125,$B1128&amp;" ~*")&gt;0)+(IFERROR(INDEX(Setup!$G$33:$G$40,MATCH(O1128,Setup!$B$33:$B$40,0)),0)=1)*(COUNTIF(O1108:Q1125,$B1128)+COUNTIF(O1108:Q1125,$B1128&amp;" ~*")&gt;0)+(IFERROR(INDEX(Setup!$G$33:$G$40,MATCH(S1128,Setup!$B$33:$B$40,0)),0)=1)*(COUNTIF(S1108:U1125,$B1128)+COUNTIF(S1108:U1125,$B1128&amp;" ~*")&gt;0)+(IFERROR(INDEX(Setup!$G$33:$G$40,MATCH(W1128,Setup!$B$33:$B$40,0)),0)=1)*(COUNTIF(W1108:W1125,$B1128)+COUNTIF(W1108:W1125,$B1128&amp;" ~*")&gt;0)+(IFERROR(INDEX(Setup!$G$33:$G$40,MATCH(Y1128,Setup!$B$33:$B$40,0)),0)=1)*(COUNTIF(Y1108:Y1125,$B1128)+COUNTIF(Y1108:Y1125,$B1128&amp;" ~*")&gt;0))</f>
        <v/>
      </c>
    </row>
    <row r="1129" ht="15" customHeight="1">
      <c r="A1129" t="n">
        <v>23</v>
      </c>
      <c r="B1129" s="35">
        <f>IF(Setup!$B$8="","",Setup!$B$8)</f>
        <v/>
      </c>
      <c r="C1129" s="98" t="n"/>
      <c r="D1129" s="99" t="n"/>
      <c r="E1129" s="99" t="n"/>
      <c r="F1129" s="100" t="n"/>
      <c r="G1129" s="98" t="n"/>
      <c r="H1129" s="99" t="n"/>
      <c r="I1129" s="99" t="n"/>
      <c r="J1129" s="100" t="n"/>
      <c r="K1129" s="98" t="n"/>
      <c r="L1129" s="99" t="n"/>
      <c r="M1129" s="99" t="n"/>
      <c r="N1129" s="100" t="n"/>
      <c r="O1129" s="98" t="n"/>
      <c r="P1129" s="99" t="n"/>
      <c r="Q1129" s="99" t="n"/>
      <c r="R1129" s="100" t="n"/>
      <c r="S1129" s="98" t="n"/>
      <c r="T1129" s="99" t="n"/>
      <c r="U1129" s="99" t="n"/>
      <c r="V1129" s="100" t="n"/>
      <c r="W1129" s="98" t="n"/>
      <c r="X1129" s="100" t="n"/>
      <c r="Y1129" s="98" t="n"/>
      <c r="Z1129" s="100" t="n"/>
      <c r="AB1129" s="101">
        <f>IF($B1129="","",(COUNTIF(C1108:E1125,$B1129)+COUNTIF(C1108:E1125,$B1129&amp;" ~*")&gt;0)+(COUNTIF(G1108:I1125,$B1129)+COUNTIF(G1108:I1125,$B1129&amp;" ~*")&gt;0)+(COUNTIF(K1108:M1125,$B1129)+COUNTIF(K1108:M1125,$B1129&amp;" ~*")&gt;0)+(COUNTIF(O1108:Q1125,$B1129)+COUNTIF(O1108:Q1125,$B1129&amp;" ~*")&gt;0)+(COUNTIF(S1108:U1125,$B1129)+COUNTIF(S1108:U1125,$B1129&amp;" ~*")&gt;0)+(COUNTIF(W1108:W1125,$B1129)+COUNTIF(W1108:W1125,$B1129&amp;" ~*")&gt;0)+(COUNTIF(Y1108:Y1125,$B1129)+COUNTIF(Y1108:Y1125,$B1129&amp;" ~*")&gt;0))</f>
        <v/>
      </c>
      <c r="AC1129" s="36">
        <f>IF($B1129="","",(IFERROR(INDEX(Setup!$G$33:$G$40,MATCH(C1129,Setup!$B$33:$B$40,0)),0)=1)*(COUNTIF(C1108:E1125,$B1129)+COUNTIF(C1108:E1125,$B1129&amp;" ~*")&gt;0)+(IFERROR(INDEX(Setup!$G$33:$G$40,MATCH(G1129,Setup!$B$33:$B$40,0)),0)=1)*(COUNTIF(G1108:I1125,$B1129)+COUNTIF(G1108:I1125,$B1129&amp;" ~*")&gt;0)+(IFERROR(INDEX(Setup!$G$33:$G$40,MATCH(K1129,Setup!$B$33:$B$40,0)),0)=1)*(COUNTIF(K1108:M1125,$B1129)+COUNTIF(K1108:M1125,$B1129&amp;" ~*")&gt;0)+(IFERROR(INDEX(Setup!$G$33:$G$40,MATCH(O1129,Setup!$B$33:$B$40,0)),0)=1)*(COUNTIF(O1108:Q1125,$B1129)+COUNTIF(O1108:Q1125,$B1129&amp;" ~*")&gt;0)+(IFERROR(INDEX(Setup!$G$33:$G$40,MATCH(S1129,Setup!$B$33:$B$40,0)),0)=1)*(COUNTIF(S1108:U1125,$B1129)+COUNTIF(S1108:U1125,$B1129&amp;" ~*")&gt;0)+(IFERROR(INDEX(Setup!$G$33:$G$40,MATCH(W1129,Setup!$B$33:$B$40,0)),0)=1)*(COUNTIF(W1108:W1125,$B1129)+COUNTIF(W1108:W1125,$B1129&amp;" ~*")&gt;0)+(IFERROR(INDEX(Setup!$G$33:$G$40,MATCH(Y1129,Setup!$B$33:$B$40,0)),0)=1)*(COUNTIF(Y1108:Y1125,$B1129)+COUNTIF(Y1108:Y1125,$B1129&amp;" ~*")&gt;0))</f>
        <v/>
      </c>
    </row>
    <row r="1130" ht="15" customHeight="1">
      <c r="A1130" t="n">
        <v>23</v>
      </c>
      <c r="B1130" s="37">
        <f>IF(Setup!$B$9="","",Setup!$B$9)</f>
        <v/>
      </c>
      <c r="C1130" s="102" t="n"/>
      <c r="D1130" s="103" t="n"/>
      <c r="E1130" s="103" t="n"/>
      <c r="F1130" s="104" t="n"/>
      <c r="G1130" s="102" t="n"/>
      <c r="H1130" s="103" t="n"/>
      <c r="I1130" s="103" t="n"/>
      <c r="J1130" s="104" t="n"/>
      <c r="K1130" s="102" t="n"/>
      <c r="L1130" s="103" t="n"/>
      <c r="M1130" s="103" t="n"/>
      <c r="N1130" s="104" t="n"/>
      <c r="O1130" s="102" t="n"/>
      <c r="P1130" s="103" t="n"/>
      <c r="Q1130" s="103" t="n"/>
      <c r="R1130" s="104" t="n"/>
      <c r="S1130" s="102" t="n"/>
      <c r="T1130" s="103" t="n"/>
      <c r="U1130" s="103" t="n"/>
      <c r="V1130" s="104" t="n"/>
      <c r="W1130" s="102" t="n"/>
      <c r="X1130" s="104" t="n"/>
      <c r="Y1130" s="102" t="n"/>
      <c r="Z1130" s="104" t="n"/>
      <c r="AB1130" s="105">
        <f>IF($B1130="","",(COUNTIF(C1108:E1125,$B1130)+COUNTIF(C1108:E1125,$B1130&amp;" ~*")&gt;0)+(COUNTIF(G1108:I1125,$B1130)+COUNTIF(G1108:I1125,$B1130&amp;" ~*")&gt;0)+(COUNTIF(K1108:M1125,$B1130)+COUNTIF(K1108:M1125,$B1130&amp;" ~*")&gt;0)+(COUNTIF(O1108:Q1125,$B1130)+COUNTIF(O1108:Q1125,$B1130&amp;" ~*")&gt;0)+(COUNTIF(S1108:U1125,$B1130)+COUNTIF(S1108:U1125,$B1130&amp;" ~*")&gt;0)+(COUNTIF(W1108:W1125,$B1130)+COUNTIF(W1108:W1125,$B1130&amp;" ~*")&gt;0)+(COUNTIF(Y1108:Y1125,$B1130)+COUNTIF(Y1108:Y1125,$B1130&amp;" ~*")&gt;0))</f>
        <v/>
      </c>
      <c r="AC1130" s="38">
        <f>IF($B1130="","",(IFERROR(INDEX(Setup!$G$33:$G$40,MATCH(C1130,Setup!$B$33:$B$40,0)),0)=1)*(COUNTIF(C1108:E1125,$B1130)+COUNTIF(C1108:E1125,$B1130&amp;" ~*")&gt;0)+(IFERROR(INDEX(Setup!$G$33:$G$40,MATCH(G1130,Setup!$B$33:$B$40,0)),0)=1)*(COUNTIF(G1108:I1125,$B1130)+COUNTIF(G1108:I1125,$B1130&amp;" ~*")&gt;0)+(IFERROR(INDEX(Setup!$G$33:$G$40,MATCH(K1130,Setup!$B$33:$B$40,0)),0)=1)*(COUNTIF(K1108:M1125,$B1130)+COUNTIF(K1108:M1125,$B1130&amp;" ~*")&gt;0)+(IFERROR(INDEX(Setup!$G$33:$G$40,MATCH(O1130,Setup!$B$33:$B$40,0)),0)=1)*(COUNTIF(O1108:Q1125,$B1130)+COUNTIF(O1108:Q1125,$B1130&amp;" ~*")&gt;0)+(IFERROR(INDEX(Setup!$G$33:$G$40,MATCH(S1130,Setup!$B$33:$B$40,0)),0)=1)*(COUNTIF(S1108:U1125,$B1130)+COUNTIF(S1108:U1125,$B1130&amp;" ~*")&gt;0)+(IFERROR(INDEX(Setup!$G$33:$G$40,MATCH(W1130,Setup!$B$33:$B$40,0)),0)=1)*(COUNTIF(W1108:W1125,$B1130)+COUNTIF(W1108:W1125,$B1130&amp;" ~*")&gt;0)+(IFERROR(INDEX(Setup!$G$33:$G$40,MATCH(Y1130,Setup!$B$33:$B$40,0)),0)=1)*(COUNTIF(Y1108:Y1125,$B1130)+COUNTIF(Y1108:Y1125,$B1130&amp;" ~*")&gt;0))</f>
        <v/>
      </c>
    </row>
    <row r="1131" ht="15" customHeight="1">
      <c r="A1131" t="n">
        <v>23</v>
      </c>
      <c r="B1131" s="35">
        <f>IF(Setup!$B$10="","",Setup!$B$10)</f>
        <v/>
      </c>
      <c r="C1131" s="98" t="inlineStr">
        <is>
          <t>AL</t>
        </is>
      </c>
      <c r="D1131" s="99" t="n"/>
      <c r="E1131" s="99" t="n"/>
      <c r="F1131" s="100" t="n"/>
      <c r="G1131" s="98" t="inlineStr">
        <is>
          <t>AL</t>
        </is>
      </c>
      <c r="H1131" s="99" t="n"/>
      <c r="I1131" s="99" t="n"/>
      <c r="J1131" s="100" t="n"/>
      <c r="K1131" s="98" t="inlineStr">
        <is>
          <t>AL</t>
        </is>
      </c>
      <c r="L1131" s="99" t="n"/>
      <c r="M1131" s="99" t="n"/>
      <c r="N1131" s="100" t="n"/>
      <c r="O1131" s="98" t="inlineStr">
        <is>
          <t>AL</t>
        </is>
      </c>
      <c r="P1131" s="99" t="n"/>
      <c r="Q1131" s="99" t="n"/>
      <c r="R1131" s="100" t="n"/>
      <c r="S1131" s="98" t="inlineStr">
        <is>
          <t>AL</t>
        </is>
      </c>
      <c r="T1131" s="99" t="n"/>
      <c r="U1131" s="99" t="n"/>
      <c r="V1131" s="100" t="n"/>
      <c r="W1131" s="98" t="n"/>
      <c r="X1131" s="100" t="n"/>
      <c r="Y1131" s="98" t="n"/>
      <c r="Z1131" s="100" t="n"/>
      <c r="AB1131" s="101">
        <f>IF($B1131="","",(COUNTIF(C1108:E1125,$B1131)+COUNTIF(C1108:E1125,$B1131&amp;" ~*")&gt;0)+(COUNTIF(G1108:I1125,$B1131)+COUNTIF(G1108:I1125,$B1131&amp;" ~*")&gt;0)+(COUNTIF(K1108:M1125,$B1131)+COUNTIF(K1108:M1125,$B1131&amp;" ~*")&gt;0)+(COUNTIF(O1108:Q1125,$B1131)+COUNTIF(O1108:Q1125,$B1131&amp;" ~*")&gt;0)+(COUNTIF(S1108:U1125,$B1131)+COUNTIF(S1108:U1125,$B1131&amp;" ~*")&gt;0)+(COUNTIF(W1108:W1125,$B1131)+COUNTIF(W1108:W1125,$B1131&amp;" ~*")&gt;0)+(COUNTIF(Y1108:Y1125,$B1131)+COUNTIF(Y1108:Y1125,$B1131&amp;" ~*")&gt;0))</f>
        <v/>
      </c>
      <c r="AC1131" s="36">
        <f>IF($B1131="","",(IFERROR(INDEX(Setup!$G$33:$G$40,MATCH(C1131,Setup!$B$33:$B$40,0)),0)=1)*(COUNTIF(C1108:E1125,$B1131)+COUNTIF(C1108:E1125,$B1131&amp;" ~*")&gt;0)+(IFERROR(INDEX(Setup!$G$33:$G$40,MATCH(G1131,Setup!$B$33:$B$40,0)),0)=1)*(COUNTIF(G1108:I1125,$B1131)+COUNTIF(G1108:I1125,$B1131&amp;" ~*")&gt;0)+(IFERROR(INDEX(Setup!$G$33:$G$40,MATCH(K1131,Setup!$B$33:$B$40,0)),0)=1)*(COUNTIF(K1108:M1125,$B1131)+COUNTIF(K1108:M1125,$B1131&amp;" ~*")&gt;0)+(IFERROR(INDEX(Setup!$G$33:$G$40,MATCH(O1131,Setup!$B$33:$B$40,0)),0)=1)*(COUNTIF(O1108:Q1125,$B1131)+COUNTIF(O1108:Q1125,$B1131&amp;" ~*")&gt;0)+(IFERROR(INDEX(Setup!$G$33:$G$40,MATCH(S1131,Setup!$B$33:$B$40,0)),0)=1)*(COUNTIF(S1108:U1125,$B1131)+COUNTIF(S1108:U1125,$B1131&amp;" ~*")&gt;0)+(IFERROR(INDEX(Setup!$G$33:$G$40,MATCH(W1131,Setup!$B$33:$B$40,0)),0)=1)*(COUNTIF(W1108:W1125,$B1131)+COUNTIF(W1108:W1125,$B1131&amp;" ~*")&gt;0)+(IFERROR(INDEX(Setup!$G$33:$G$40,MATCH(Y1131,Setup!$B$33:$B$40,0)),0)=1)*(COUNTIF(Y1108:Y1125,$B1131)+COUNTIF(Y1108:Y1125,$B1131&amp;" ~*")&gt;0))</f>
        <v/>
      </c>
    </row>
    <row r="1132" ht="15" customHeight="1">
      <c r="A1132" t="n">
        <v>23</v>
      </c>
      <c r="B1132" s="37">
        <f>IF(Setup!$B$11="","",Setup!$B$11)</f>
        <v/>
      </c>
      <c r="C1132" s="102" t="n"/>
      <c r="D1132" s="103" t="n"/>
      <c r="E1132" s="103" t="n"/>
      <c r="F1132" s="104" t="n"/>
      <c r="G1132" s="102" t="n"/>
      <c r="H1132" s="103" t="n"/>
      <c r="I1132" s="103" t="n"/>
      <c r="J1132" s="104" t="n"/>
      <c r="K1132" s="102" t="n"/>
      <c r="L1132" s="103" t="n"/>
      <c r="M1132" s="103" t="n"/>
      <c r="N1132" s="104" t="n"/>
      <c r="O1132" s="102" t="n"/>
      <c r="P1132" s="103" t="n"/>
      <c r="Q1132" s="103" t="n"/>
      <c r="R1132" s="104" t="n"/>
      <c r="S1132" s="102" t="n"/>
      <c r="T1132" s="103" t="n"/>
      <c r="U1132" s="103" t="n"/>
      <c r="V1132" s="104" t="n"/>
      <c r="W1132" s="102" t="n"/>
      <c r="X1132" s="104" t="n"/>
      <c r="Y1132" s="102" t="n"/>
      <c r="Z1132" s="104" t="n"/>
      <c r="AB1132" s="105">
        <f>IF($B1132="","",(COUNTIF(C1108:E1125,$B1132)+COUNTIF(C1108:E1125,$B1132&amp;" ~*")&gt;0)+(COUNTIF(G1108:I1125,$B1132)+COUNTIF(G1108:I1125,$B1132&amp;" ~*")&gt;0)+(COUNTIF(K1108:M1125,$B1132)+COUNTIF(K1108:M1125,$B1132&amp;" ~*")&gt;0)+(COUNTIF(O1108:Q1125,$B1132)+COUNTIF(O1108:Q1125,$B1132&amp;" ~*")&gt;0)+(COUNTIF(S1108:U1125,$B1132)+COUNTIF(S1108:U1125,$B1132&amp;" ~*")&gt;0)+(COUNTIF(W1108:W1125,$B1132)+COUNTIF(W1108:W1125,$B1132&amp;" ~*")&gt;0)+(COUNTIF(Y1108:Y1125,$B1132)+COUNTIF(Y1108:Y1125,$B1132&amp;" ~*")&gt;0))</f>
        <v/>
      </c>
      <c r="AC1132" s="38">
        <f>IF($B1132="","",(IFERROR(INDEX(Setup!$G$33:$G$40,MATCH(C1132,Setup!$B$33:$B$40,0)),0)=1)*(COUNTIF(C1108:E1125,$B1132)+COUNTIF(C1108:E1125,$B1132&amp;" ~*")&gt;0)+(IFERROR(INDEX(Setup!$G$33:$G$40,MATCH(G1132,Setup!$B$33:$B$40,0)),0)=1)*(COUNTIF(G1108:I1125,$B1132)+COUNTIF(G1108:I1125,$B1132&amp;" ~*")&gt;0)+(IFERROR(INDEX(Setup!$G$33:$G$40,MATCH(K1132,Setup!$B$33:$B$40,0)),0)=1)*(COUNTIF(K1108:M1125,$B1132)+COUNTIF(K1108:M1125,$B1132&amp;" ~*")&gt;0)+(IFERROR(INDEX(Setup!$G$33:$G$40,MATCH(O1132,Setup!$B$33:$B$40,0)),0)=1)*(COUNTIF(O1108:Q1125,$B1132)+COUNTIF(O1108:Q1125,$B1132&amp;" ~*")&gt;0)+(IFERROR(INDEX(Setup!$G$33:$G$40,MATCH(S1132,Setup!$B$33:$B$40,0)),0)=1)*(COUNTIF(S1108:U1125,$B1132)+COUNTIF(S1108:U1125,$B1132&amp;" ~*")&gt;0)+(IFERROR(INDEX(Setup!$G$33:$G$40,MATCH(W1132,Setup!$B$33:$B$40,0)),0)=1)*(COUNTIF(W1108:W1125,$B1132)+COUNTIF(W1108:W1125,$B1132&amp;" ~*")&gt;0)+(IFERROR(INDEX(Setup!$G$33:$G$40,MATCH(Y1132,Setup!$B$33:$B$40,0)),0)=1)*(COUNTIF(Y1108:Y1125,$B1132)+COUNTIF(Y1108:Y1125,$B1132&amp;" ~*")&gt;0))</f>
        <v/>
      </c>
    </row>
    <row r="1133" ht="15" customHeight="1">
      <c r="A1133" t="n">
        <v>23</v>
      </c>
      <c r="B1133" s="35">
        <f>IF(Setup!$B$12="","",Setup!$B$12)</f>
        <v/>
      </c>
      <c r="C1133" s="98" t="n"/>
      <c r="D1133" s="99" t="n"/>
      <c r="E1133" s="99" t="n"/>
      <c r="F1133" s="100" t="n"/>
      <c r="G1133" s="98" t="n"/>
      <c r="H1133" s="99" t="n"/>
      <c r="I1133" s="99" t="n"/>
      <c r="J1133" s="100" t="n"/>
      <c r="K1133" s="98" t="n"/>
      <c r="L1133" s="99" t="n"/>
      <c r="M1133" s="99" t="n"/>
      <c r="N1133" s="100" t="n"/>
      <c r="O1133" s="98" t="n"/>
      <c r="P1133" s="99" t="n"/>
      <c r="Q1133" s="99" t="n"/>
      <c r="R1133" s="100" t="n"/>
      <c r="S1133" s="98" t="n"/>
      <c r="T1133" s="99" t="n"/>
      <c r="U1133" s="99" t="n"/>
      <c r="V1133" s="100" t="n"/>
      <c r="W1133" s="98" t="n"/>
      <c r="X1133" s="100" t="n"/>
      <c r="Y1133" s="98" t="n"/>
      <c r="Z1133" s="100" t="n"/>
      <c r="AB1133" s="101">
        <f>IF($B1133="","",(COUNTIF(C1108:E1125,$B1133)+COUNTIF(C1108:E1125,$B1133&amp;" ~*")&gt;0)+(COUNTIF(G1108:I1125,$B1133)+COUNTIF(G1108:I1125,$B1133&amp;" ~*")&gt;0)+(COUNTIF(K1108:M1125,$B1133)+COUNTIF(K1108:M1125,$B1133&amp;" ~*")&gt;0)+(COUNTIF(O1108:Q1125,$B1133)+COUNTIF(O1108:Q1125,$B1133&amp;" ~*")&gt;0)+(COUNTIF(S1108:U1125,$B1133)+COUNTIF(S1108:U1125,$B1133&amp;" ~*")&gt;0)+(COUNTIF(W1108:W1125,$B1133)+COUNTIF(W1108:W1125,$B1133&amp;" ~*")&gt;0)+(COUNTIF(Y1108:Y1125,$B1133)+COUNTIF(Y1108:Y1125,$B1133&amp;" ~*")&gt;0))</f>
        <v/>
      </c>
      <c r="AC1133" s="36">
        <f>IF($B1133="","",(IFERROR(INDEX(Setup!$G$33:$G$40,MATCH(C1133,Setup!$B$33:$B$40,0)),0)=1)*(COUNTIF(C1108:E1125,$B1133)+COUNTIF(C1108:E1125,$B1133&amp;" ~*")&gt;0)+(IFERROR(INDEX(Setup!$G$33:$G$40,MATCH(G1133,Setup!$B$33:$B$40,0)),0)=1)*(COUNTIF(G1108:I1125,$B1133)+COUNTIF(G1108:I1125,$B1133&amp;" ~*")&gt;0)+(IFERROR(INDEX(Setup!$G$33:$G$40,MATCH(K1133,Setup!$B$33:$B$40,0)),0)=1)*(COUNTIF(K1108:M1125,$B1133)+COUNTIF(K1108:M1125,$B1133&amp;" ~*")&gt;0)+(IFERROR(INDEX(Setup!$G$33:$G$40,MATCH(O1133,Setup!$B$33:$B$40,0)),0)=1)*(COUNTIF(O1108:Q1125,$B1133)+COUNTIF(O1108:Q1125,$B1133&amp;" ~*")&gt;0)+(IFERROR(INDEX(Setup!$G$33:$G$40,MATCH(S1133,Setup!$B$33:$B$40,0)),0)=1)*(COUNTIF(S1108:U1125,$B1133)+COUNTIF(S1108:U1125,$B1133&amp;" ~*")&gt;0)+(IFERROR(INDEX(Setup!$G$33:$G$40,MATCH(W1133,Setup!$B$33:$B$40,0)),0)=1)*(COUNTIF(W1108:W1125,$B1133)+COUNTIF(W1108:W1125,$B1133&amp;" ~*")&gt;0)+(IFERROR(INDEX(Setup!$G$33:$G$40,MATCH(Y1133,Setup!$B$33:$B$40,0)),0)=1)*(COUNTIF(Y1108:Y1125,$B1133)+COUNTIF(Y1108:Y1125,$B1133&amp;" ~*")&gt;0))</f>
        <v/>
      </c>
    </row>
    <row r="1134" ht="15" customHeight="1">
      <c r="A1134" t="n">
        <v>23</v>
      </c>
      <c r="B1134" s="37">
        <f>IF(Setup!$B$13="","",Setup!$B$13)</f>
        <v/>
      </c>
      <c r="C1134" s="102" t="n"/>
      <c r="D1134" s="103" t="n"/>
      <c r="E1134" s="103" t="n"/>
      <c r="F1134" s="104" t="n"/>
      <c r="G1134" s="102" t="n"/>
      <c r="H1134" s="103" t="n"/>
      <c r="I1134" s="103" t="n"/>
      <c r="J1134" s="104" t="n"/>
      <c r="K1134" s="102" t="n"/>
      <c r="L1134" s="103" t="n"/>
      <c r="M1134" s="103" t="n"/>
      <c r="N1134" s="104" t="n"/>
      <c r="O1134" s="102" t="n"/>
      <c r="P1134" s="103" t="n"/>
      <c r="Q1134" s="103" t="n"/>
      <c r="R1134" s="104" t="n"/>
      <c r="S1134" s="102" t="n"/>
      <c r="T1134" s="103" t="n"/>
      <c r="U1134" s="103" t="n"/>
      <c r="V1134" s="104" t="n"/>
      <c r="W1134" s="102" t="n"/>
      <c r="X1134" s="104" t="n"/>
      <c r="Y1134" s="102" t="n"/>
      <c r="Z1134" s="104" t="n"/>
      <c r="AB1134" s="105">
        <f>IF($B1134="","",(COUNTIF(C1108:E1125,$B1134)+COUNTIF(C1108:E1125,$B1134&amp;" ~*")&gt;0)+(COUNTIF(G1108:I1125,$B1134)+COUNTIF(G1108:I1125,$B1134&amp;" ~*")&gt;0)+(COUNTIF(K1108:M1125,$B1134)+COUNTIF(K1108:M1125,$B1134&amp;" ~*")&gt;0)+(COUNTIF(O1108:Q1125,$B1134)+COUNTIF(O1108:Q1125,$B1134&amp;" ~*")&gt;0)+(COUNTIF(S1108:U1125,$B1134)+COUNTIF(S1108:U1125,$B1134&amp;" ~*")&gt;0)+(COUNTIF(W1108:W1125,$B1134)+COUNTIF(W1108:W1125,$B1134&amp;" ~*")&gt;0)+(COUNTIF(Y1108:Y1125,$B1134)+COUNTIF(Y1108:Y1125,$B1134&amp;" ~*")&gt;0))</f>
        <v/>
      </c>
      <c r="AC1134" s="38">
        <f>IF($B1134="","",(IFERROR(INDEX(Setup!$G$33:$G$40,MATCH(C1134,Setup!$B$33:$B$40,0)),0)=1)*(COUNTIF(C1108:E1125,$B1134)+COUNTIF(C1108:E1125,$B1134&amp;" ~*")&gt;0)+(IFERROR(INDEX(Setup!$G$33:$G$40,MATCH(G1134,Setup!$B$33:$B$40,0)),0)=1)*(COUNTIF(G1108:I1125,$B1134)+COUNTIF(G1108:I1125,$B1134&amp;" ~*")&gt;0)+(IFERROR(INDEX(Setup!$G$33:$G$40,MATCH(K1134,Setup!$B$33:$B$40,0)),0)=1)*(COUNTIF(K1108:M1125,$B1134)+COUNTIF(K1108:M1125,$B1134&amp;" ~*")&gt;0)+(IFERROR(INDEX(Setup!$G$33:$G$40,MATCH(O1134,Setup!$B$33:$B$40,0)),0)=1)*(COUNTIF(O1108:Q1125,$B1134)+COUNTIF(O1108:Q1125,$B1134&amp;" ~*")&gt;0)+(IFERROR(INDEX(Setup!$G$33:$G$40,MATCH(S1134,Setup!$B$33:$B$40,0)),0)=1)*(COUNTIF(S1108:U1125,$B1134)+COUNTIF(S1108:U1125,$B1134&amp;" ~*")&gt;0)+(IFERROR(INDEX(Setup!$G$33:$G$40,MATCH(W1134,Setup!$B$33:$B$40,0)),0)=1)*(COUNTIF(W1108:W1125,$B1134)+COUNTIF(W1108:W1125,$B1134&amp;" ~*")&gt;0)+(IFERROR(INDEX(Setup!$G$33:$G$40,MATCH(Y1134,Setup!$B$33:$B$40,0)),0)=1)*(COUNTIF(Y1108:Y1125,$B1134)+COUNTIF(Y1108:Y1125,$B1134&amp;" ~*")&gt;0))</f>
        <v/>
      </c>
    </row>
    <row r="1135" ht="15" customHeight="1">
      <c r="A1135" t="n">
        <v>23</v>
      </c>
      <c r="B1135" s="35">
        <f>IF(Setup!$B$14="","",Setup!$B$14)</f>
        <v/>
      </c>
      <c r="C1135" s="98" t="n"/>
      <c r="D1135" s="99" t="n"/>
      <c r="E1135" s="99" t="n"/>
      <c r="F1135" s="100" t="n"/>
      <c r="G1135" s="98" t="n"/>
      <c r="H1135" s="99" t="n"/>
      <c r="I1135" s="99" t="n"/>
      <c r="J1135" s="100" t="n"/>
      <c r="K1135" s="98" t="n"/>
      <c r="L1135" s="99" t="n"/>
      <c r="M1135" s="99" t="n"/>
      <c r="N1135" s="100" t="n"/>
      <c r="O1135" s="98" t="n"/>
      <c r="P1135" s="99" t="n"/>
      <c r="Q1135" s="99" t="n"/>
      <c r="R1135" s="100" t="n"/>
      <c r="S1135" s="98" t="n"/>
      <c r="T1135" s="99" t="n"/>
      <c r="U1135" s="99" t="n"/>
      <c r="V1135" s="100" t="n"/>
      <c r="W1135" s="98" t="n"/>
      <c r="X1135" s="100" t="n"/>
      <c r="Y1135" s="98" t="n"/>
      <c r="Z1135" s="100" t="n"/>
      <c r="AB1135" s="101">
        <f>IF($B1135="","",(COUNTIF(C1108:E1125,$B1135)+COUNTIF(C1108:E1125,$B1135&amp;" ~*")&gt;0)+(COUNTIF(G1108:I1125,$B1135)+COUNTIF(G1108:I1125,$B1135&amp;" ~*")&gt;0)+(COUNTIF(K1108:M1125,$B1135)+COUNTIF(K1108:M1125,$B1135&amp;" ~*")&gt;0)+(COUNTIF(O1108:Q1125,$B1135)+COUNTIF(O1108:Q1125,$B1135&amp;" ~*")&gt;0)+(COUNTIF(S1108:U1125,$B1135)+COUNTIF(S1108:U1125,$B1135&amp;" ~*")&gt;0)+(COUNTIF(W1108:W1125,$B1135)+COUNTIF(W1108:W1125,$B1135&amp;" ~*")&gt;0)+(COUNTIF(Y1108:Y1125,$B1135)+COUNTIF(Y1108:Y1125,$B1135&amp;" ~*")&gt;0))</f>
        <v/>
      </c>
      <c r="AC1135" s="36">
        <f>IF($B1135="","",(IFERROR(INDEX(Setup!$G$33:$G$40,MATCH(C1135,Setup!$B$33:$B$40,0)),0)=1)*(COUNTIF(C1108:E1125,$B1135)+COUNTIF(C1108:E1125,$B1135&amp;" ~*")&gt;0)+(IFERROR(INDEX(Setup!$G$33:$G$40,MATCH(G1135,Setup!$B$33:$B$40,0)),0)=1)*(COUNTIF(G1108:I1125,$B1135)+COUNTIF(G1108:I1125,$B1135&amp;" ~*")&gt;0)+(IFERROR(INDEX(Setup!$G$33:$G$40,MATCH(K1135,Setup!$B$33:$B$40,0)),0)=1)*(COUNTIF(K1108:M1125,$B1135)+COUNTIF(K1108:M1125,$B1135&amp;" ~*")&gt;0)+(IFERROR(INDEX(Setup!$G$33:$G$40,MATCH(O1135,Setup!$B$33:$B$40,0)),0)=1)*(COUNTIF(O1108:Q1125,$B1135)+COUNTIF(O1108:Q1125,$B1135&amp;" ~*")&gt;0)+(IFERROR(INDEX(Setup!$G$33:$G$40,MATCH(S1135,Setup!$B$33:$B$40,0)),0)=1)*(COUNTIF(S1108:U1125,$B1135)+COUNTIF(S1108:U1125,$B1135&amp;" ~*")&gt;0)+(IFERROR(INDEX(Setup!$G$33:$G$40,MATCH(W1135,Setup!$B$33:$B$40,0)),0)=1)*(COUNTIF(W1108:W1125,$B1135)+COUNTIF(W1108:W1125,$B1135&amp;" ~*")&gt;0)+(IFERROR(INDEX(Setup!$G$33:$G$40,MATCH(Y1135,Setup!$B$33:$B$40,0)),0)=1)*(COUNTIF(Y1108:Y1125,$B1135)+COUNTIF(Y1108:Y1125,$B1135&amp;" ~*")&gt;0))</f>
        <v/>
      </c>
    </row>
    <row r="1136" ht="15" customHeight="1">
      <c r="A1136" t="n">
        <v>23</v>
      </c>
      <c r="B1136" s="37">
        <f>IF(Setup!$B$15="","",Setup!$B$15)</f>
        <v/>
      </c>
      <c r="C1136" s="102" t="n"/>
      <c r="D1136" s="103" t="n"/>
      <c r="E1136" s="103" t="n"/>
      <c r="F1136" s="104" t="n"/>
      <c r="G1136" s="102" t="n"/>
      <c r="H1136" s="103" t="n"/>
      <c r="I1136" s="103" t="n"/>
      <c r="J1136" s="104" t="n"/>
      <c r="K1136" s="102" t="n"/>
      <c r="L1136" s="103" t="n"/>
      <c r="M1136" s="103" t="n"/>
      <c r="N1136" s="104" t="n"/>
      <c r="O1136" s="102" t="n"/>
      <c r="P1136" s="103" t="n"/>
      <c r="Q1136" s="103" t="n"/>
      <c r="R1136" s="104" t="n"/>
      <c r="S1136" s="102" t="n"/>
      <c r="T1136" s="103" t="n"/>
      <c r="U1136" s="103" t="n"/>
      <c r="V1136" s="104" t="n"/>
      <c r="W1136" s="102" t="n"/>
      <c r="X1136" s="104" t="n"/>
      <c r="Y1136" s="102" t="n"/>
      <c r="Z1136" s="104" t="n"/>
      <c r="AB1136" s="105">
        <f>IF($B1136="","",(COUNTIF(C1108:E1125,$B1136)+COUNTIF(C1108:E1125,$B1136&amp;" ~*")&gt;0)+(COUNTIF(G1108:I1125,$B1136)+COUNTIF(G1108:I1125,$B1136&amp;" ~*")&gt;0)+(COUNTIF(K1108:M1125,$B1136)+COUNTIF(K1108:M1125,$B1136&amp;" ~*")&gt;0)+(COUNTIF(O1108:Q1125,$B1136)+COUNTIF(O1108:Q1125,$B1136&amp;" ~*")&gt;0)+(COUNTIF(S1108:U1125,$B1136)+COUNTIF(S1108:U1125,$B1136&amp;" ~*")&gt;0)+(COUNTIF(W1108:W1125,$B1136)+COUNTIF(W1108:W1125,$B1136&amp;" ~*")&gt;0)+(COUNTIF(Y1108:Y1125,$B1136)+COUNTIF(Y1108:Y1125,$B1136&amp;" ~*")&gt;0))</f>
        <v/>
      </c>
      <c r="AC1136" s="38">
        <f>IF($B1136="","",(IFERROR(INDEX(Setup!$G$33:$G$40,MATCH(C1136,Setup!$B$33:$B$40,0)),0)=1)*(COUNTIF(C1108:E1125,$B1136)+COUNTIF(C1108:E1125,$B1136&amp;" ~*")&gt;0)+(IFERROR(INDEX(Setup!$G$33:$G$40,MATCH(G1136,Setup!$B$33:$B$40,0)),0)=1)*(COUNTIF(G1108:I1125,$B1136)+COUNTIF(G1108:I1125,$B1136&amp;" ~*")&gt;0)+(IFERROR(INDEX(Setup!$G$33:$G$40,MATCH(K1136,Setup!$B$33:$B$40,0)),0)=1)*(COUNTIF(K1108:M1125,$B1136)+COUNTIF(K1108:M1125,$B1136&amp;" ~*")&gt;0)+(IFERROR(INDEX(Setup!$G$33:$G$40,MATCH(O1136,Setup!$B$33:$B$40,0)),0)=1)*(COUNTIF(O1108:Q1125,$B1136)+COUNTIF(O1108:Q1125,$B1136&amp;" ~*")&gt;0)+(IFERROR(INDEX(Setup!$G$33:$G$40,MATCH(S1136,Setup!$B$33:$B$40,0)),0)=1)*(COUNTIF(S1108:U1125,$B1136)+COUNTIF(S1108:U1125,$B1136&amp;" ~*")&gt;0)+(IFERROR(INDEX(Setup!$G$33:$G$40,MATCH(W1136,Setup!$B$33:$B$40,0)),0)=1)*(COUNTIF(W1108:W1125,$B1136)+COUNTIF(W1108:W1125,$B1136&amp;" ~*")&gt;0)+(IFERROR(INDEX(Setup!$G$33:$G$40,MATCH(Y1136,Setup!$B$33:$B$40,0)),0)=1)*(COUNTIF(Y1108:Y1125,$B1136)+COUNTIF(Y1108:Y1125,$B1136&amp;" ~*")&gt;0))</f>
        <v/>
      </c>
    </row>
    <row r="1137" ht="15" customHeight="1">
      <c r="A1137" t="n">
        <v>23</v>
      </c>
      <c r="B1137" s="35">
        <f>IF(Setup!$B$16="","",Setup!$B$16)</f>
        <v/>
      </c>
      <c r="C1137" s="98" t="n"/>
      <c r="D1137" s="99" t="n"/>
      <c r="E1137" s="99" t="n"/>
      <c r="F1137" s="100" t="n"/>
      <c r="G1137" s="98" t="n"/>
      <c r="H1137" s="99" t="n"/>
      <c r="I1137" s="99" t="n"/>
      <c r="J1137" s="100" t="n"/>
      <c r="K1137" s="98" t="n"/>
      <c r="L1137" s="99" t="n"/>
      <c r="M1137" s="99" t="n"/>
      <c r="N1137" s="100" t="n"/>
      <c r="O1137" s="98" t="n"/>
      <c r="P1137" s="99" t="n"/>
      <c r="Q1137" s="99" t="n"/>
      <c r="R1137" s="100" t="n"/>
      <c r="S1137" s="98" t="n"/>
      <c r="T1137" s="99" t="n"/>
      <c r="U1137" s="99" t="n"/>
      <c r="V1137" s="100" t="n"/>
      <c r="W1137" s="98" t="n"/>
      <c r="X1137" s="100" t="n"/>
      <c r="Y1137" s="98" t="n"/>
      <c r="Z1137" s="100" t="n"/>
      <c r="AB1137" s="101">
        <f>IF($B1137="","",(COUNTIF(C1108:E1125,$B1137)+COUNTIF(C1108:E1125,$B1137&amp;" ~*")&gt;0)+(COUNTIF(G1108:I1125,$B1137)+COUNTIF(G1108:I1125,$B1137&amp;" ~*")&gt;0)+(COUNTIF(K1108:M1125,$B1137)+COUNTIF(K1108:M1125,$B1137&amp;" ~*")&gt;0)+(COUNTIF(O1108:Q1125,$B1137)+COUNTIF(O1108:Q1125,$B1137&amp;" ~*")&gt;0)+(COUNTIF(S1108:U1125,$B1137)+COUNTIF(S1108:U1125,$B1137&amp;" ~*")&gt;0)+(COUNTIF(W1108:W1125,$B1137)+COUNTIF(W1108:W1125,$B1137&amp;" ~*")&gt;0)+(COUNTIF(Y1108:Y1125,$B1137)+COUNTIF(Y1108:Y1125,$B1137&amp;" ~*")&gt;0))</f>
        <v/>
      </c>
      <c r="AC1137" s="36">
        <f>IF($B1137="","",(IFERROR(INDEX(Setup!$G$33:$G$40,MATCH(C1137,Setup!$B$33:$B$40,0)),0)=1)*(COUNTIF(C1108:E1125,$B1137)+COUNTIF(C1108:E1125,$B1137&amp;" ~*")&gt;0)+(IFERROR(INDEX(Setup!$G$33:$G$40,MATCH(G1137,Setup!$B$33:$B$40,0)),0)=1)*(COUNTIF(G1108:I1125,$B1137)+COUNTIF(G1108:I1125,$B1137&amp;" ~*")&gt;0)+(IFERROR(INDEX(Setup!$G$33:$G$40,MATCH(K1137,Setup!$B$33:$B$40,0)),0)=1)*(COUNTIF(K1108:M1125,$B1137)+COUNTIF(K1108:M1125,$B1137&amp;" ~*")&gt;0)+(IFERROR(INDEX(Setup!$G$33:$G$40,MATCH(O1137,Setup!$B$33:$B$40,0)),0)=1)*(COUNTIF(O1108:Q1125,$B1137)+COUNTIF(O1108:Q1125,$B1137&amp;" ~*")&gt;0)+(IFERROR(INDEX(Setup!$G$33:$G$40,MATCH(S1137,Setup!$B$33:$B$40,0)),0)=1)*(COUNTIF(S1108:U1125,$B1137)+COUNTIF(S1108:U1125,$B1137&amp;" ~*")&gt;0)+(IFERROR(INDEX(Setup!$G$33:$G$40,MATCH(W1137,Setup!$B$33:$B$40,0)),0)=1)*(COUNTIF(W1108:W1125,$B1137)+COUNTIF(W1108:W1125,$B1137&amp;" ~*")&gt;0)+(IFERROR(INDEX(Setup!$G$33:$G$40,MATCH(Y1137,Setup!$B$33:$B$40,0)),0)=1)*(COUNTIF(Y1108:Y1125,$B1137)+COUNTIF(Y1108:Y1125,$B1137&amp;" ~*")&gt;0))</f>
        <v/>
      </c>
    </row>
    <row r="1138" ht="15" customHeight="1">
      <c r="A1138" t="n">
        <v>23</v>
      </c>
      <c r="B1138" s="37">
        <f>IF(Setup!$B$17="","",Setup!$B$17)</f>
        <v/>
      </c>
      <c r="C1138" s="102" t="n"/>
      <c r="D1138" s="103" t="n"/>
      <c r="E1138" s="103" t="n"/>
      <c r="F1138" s="104" t="n"/>
      <c r="G1138" s="102" t="n"/>
      <c r="H1138" s="103" t="n"/>
      <c r="I1138" s="103" t="n"/>
      <c r="J1138" s="104" t="n"/>
      <c r="K1138" s="102" t="n"/>
      <c r="L1138" s="103" t="n"/>
      <c r="M1138" s="103" t="n"/>
      <c r="N1138" s="104" t="n"/>
      <c r="O1138" s="102" t="n"/>
      <c r="P1138" s="103" t="n"/>
      <c r="Q1138" s="103" t="n"/>
      <c r="R1138" s="104" t="n"/>
      <c r="S1138" s="102" t="n"/>
      <c r="T1138" s="103" t="n"/>
      <c r="U1138" s="103" t="n"/>
      <c r="V1138" s="104" t="n"/>
      <c r="W1138" s="102" t="n"/>
      <c r="X1138" s="104" t="n"/>
      <c r="Y1138" s="102" t="n"/>
      <c r="Z1138" s="104" t="n"/>
      <c r="AB1138" s="105">
        <f>IF($B1138="","",(COUNTIF(C1108:E1125,$B1138)+COUNTIF(C1108:E1125,$B1138&amp;" ~*")&gt;0)+(COUNTIF(G1108:I1125,$B1138)+COUNTIF(G1108:I1125,$B1138&amp;" ~*")&gt;0)+(COUNTIF(K1108:M1125,$B1138)+COUNTIF(K1108:M1125,$B1138&amp;" ~*")&gt;0)+(COUNTIF(O1108:Q1125,$B1138)+COUNTIF(O1108:Q1125,$B1138&amp;" ~*")&gt;0)+(COUNTIF(S1108:U1125,$B1138)+COUNTIF(S1108:U1125,$B1138&amp;" ~*")&gt;0)+(COUNTIF(W1108:W1125,$B1138)+COUNTIF(W1108:W1125,$B1138&amp;" ~*")&gt;0)+(COUNTIF(Y1108:Y1125,$B1138)+COUNTIF(Y1108:Y1125,$B1138&amp;" ~*")&gt;0))</f>
        <v/>
      </c>
      <c r="AC1138" s="38">
        <f>IF($B1138="","",(IFERROR(INDEX(Setup!$G$33:$G$40,MATCH(C1138,Setup!$B$33:$B$40,0)),0)=1)*(COUNTIF(C1108:E1125,$B1138)+COUNTIF(C1108:E1125,$B1138&amp;" ~*")&gt;0)+(IFERROR(INDEX(Setup!$G$33:$G$40,MATCH(G1138,Setup!$B$33:$B$40,0)),0)=1)*(COUNTIF(G1108:I1125,$B1138)+COUNTIF(G1108:I1125,$B1138&amp;" ~*")&gt;0)+(IFERROR(INDEX(Setup!$G$33:$G$40,MATCH(K1138,Setup!$B$33:$B$40,0)),0)=1)*(COUNTIF(K1108:M1125,$B1138)+COUNTIF(K1108:M1125,$B1138&amp;" ~*")&gt;0)+(IFERROR(INDEX(Setup!$G$33:$G$40,MATCH(O1138,Setup!$B$33:$B$40,0)),0)=1)*(COUNTIF(O1108:Q1125,$B1138)+COUNTIF(O1108:Q1125,$B1138&amp;" ~*")&gt;0)+(IFERROR(INDEX(Setup!$G$33:$G$40,MATCH(S1138,Setup!$B$33:$B$40,0)),0)=1)*(COUNTIF(S1108:U1125,$B1138)+COUNTIF(S1108:U1125,$B1138&amp;" ~*")&gt;0)+(IFERROR(INDEX(Setup!$G$33:$G$40,MATCH(W1138,Setup!$B$33:$B$40,0)),0)=1)*(COUNTIF(W1108:W1125,$B1138)+COUNTIF(W1108:W1125,$B1138&amp;" ~*")&gt;0)+(IFERROR(INDEX(Setup!$G$33:$G$40,MATCH(Y1138,Setup!$B$33:$B$40,0)),0)=1)*(COUNTIF(Y1108:Y1125,$B1138)+COUNTIF(Y1108:Y1125,$B1138&amp;" ~*")&gt;0))</f>
        <v/>
      </c>
    </row>
    <row r="1139" ht="15" customHeight="1">
      <c r="A1139" t="n">
        <v>23</v>
      </c>
      <c r="B1139" s="35">
        <f>IF(Setup!$B$18="","",Setup!$B$18)</f>
        <v/>
      </c>
      <c r="C1139" s="98" t="n"/>
      <c r="D1139" s="99" t="n"/>
      <c r="E1139" s="99" t="n"/>
      <c r="F1139" s="100" t="n"/>
      <c r="G1139" s="98" t="n"/>
      <c r="H1139" s="99" t="n"/>
      <c r="I1139" s="99" t="n"/>
      <c r="J1139" s="100" t="n"/>
      <c r="K1139" s="98" t="n"/>
      <c r="L1139" s="99" t="n"/>
      <c r="M1139" s="99" t="n"/>
      <c r="N1139" s="100" t="n"/>
      <c r="O1139" s="98" t="n"/>
      <c r="P1139" s="99" t="n"/>
      <c r="Q1139" s="99" t="n"/>
      <c r="R1139" s="100" t="n"/>
      <c r="S1139" s="98" t="n"/>
      <c r="T1139" s="99" t="n"/>
      <c r="U1139" s="99" t="n"/>
      <c r="V1139" s="100" t="n"/>
      <c r="W1139" s="98" t="n"/>
      <c r="X1139" s="100" t="n"/>
      <c r="Y1139" s="98" t="n"/>
      <c r="Z1139" s="100" t="n"/>
      <c r="AB1139" s="101">
        <f>IF($B1139="","",(COUNTIF(C1108:E1125,$B1139)+COUNTIF(C1108:E1125,$B1139&amp;" ~*")&gt;0)+(COUNTIF(G1108:I1125,$B1139)+COUNTIF(G1108:I1125,$B1139&amp;" ~*")&gt;0)+(COUNTIF(K1108:M1125,$B1139)+COUNTIF(K1108:M1125,$B1139&amp;" ~*")&gt;0)+(COUNTIF(O1108:Q1125,$B1139)+COUNTIF(O1108:Q1125,$B1139&amp;" ~*")&gt;0)+(COUNTIF(S1108:U1125,$B1139)+COUNTIF(S1108:U1125,$B1139&amp;" ~*")&gt;0)+(COUNTIF(W1108:W1125,$B1139)+COUNTIF(W1108:W1125,$B1139&amp;" ~*")&gt;0)+(COUNTIF(Y1108:Y1125,$B1139)+COUNTIF(Y1108:Y1125,$B1139&amp;" ~*")&gt;0))</f>
        <v/>
      </c>
      <c r="AC1139" s="36">
        <f>IF($B1139="","",(IFERROR(INDEX(Setup!$G$33:$G$40,MATCH(C1139,Setup!$B$33:$B$40,0)),0)=1)*(COUNTIF(C1108:E1125,$B1139)+COUNTIF(C1108:E1125,$B1139&amp;" ~*")&gt;0)+(IFERROR(INDEX(Setup!$G$33:$G$40,MATCH(G1139,Setup!$B$33:$B$40,0)),0)=1)*(COUNTIF(G1108:I1125,$B1139)+COUNTIF(G1108:I1125,$B1139&amp;" ~*")&gt;0)+(IFERROR(INDEX(Setup!$G$33:$G$40,MATCH(K1139,Setup!$B$33:$B$40,0)),0)=1)*(COUNTIF(K1108:M1125,$B1139)+COUNTIF(K1108:M1125,$B1139&amp;" ~*")&gt;0)+(IFERROR(INDEX(Setup!$G$33:$G$40,MATCH(O1139,Setup!$B$33:$B$40,0)),0)=1)*(COUNTIF(O1108:Q1125,$B1139)+COUNTIF(O1108:Q1125,$B1139&amp;" ~*")&gt;0)+(IFERROR(INDEX(Setup!$G$33:$G$40,MATCH(S1139,Setup!$B$33:$B$40,0)),0)=1)*(COUNTIF(S1108:U1125,$B1139)+COUNTIF(S1108:U1125,$B1139&amp;" ~*")&gt;0)+(IFERROR(INDEX(Setup!$G$33:$G$40,MATCH(W1139,Setup!$B$33:$B$40,0)),0)=1)*(COUNTIF(W1108:W1125,$B1139)+COUNTIF(W1108:W1125,$B1139&amp;" ~*")&gt;0)+(IFERROR(INDEX(Setup!$G$33:$G$40,MATCH(Y1139,Setup!$B$33:$B$40,0)),0)=1)*(COUNTIF(Y1108:Y1125,$B1139)+COUNTIF(Y1108:Y1125,$B1139&amp;" ~*")&gt;0))</f>
        <v/>
      </c>
    </row>
    <row r="1140" ht="15" customHeight="1">
      <c r="A1140" t="n">
        <v>23</v>
      </c>
      <c r="B1140" s="37">
        <f>IF(Setup!$B$19="","",Setup!$B$19)</f>
        <v/>
      </c>
      <c r="C1140" s="102" t="n"/>
      <c r="D1140" s="103" t="n"/>
      <c r="E1140" s="103" t="n"/>
      <c r="F1140" s="104" t="n"/>
      <c r="G1140" s="102" t="n"/>
      <c r="H1140" s="103" t="n"/>
      <c r="I1140" s="103" t="n"/>
      <c r="J1140" s="104" t="n"/>
      <c r="K1140" s="102" t="n"/>
      <c r="L1140" s="103" t="n"/>
      <c r="M1140" s="103" t="n"/>
      <c r="N1140" s="104" t="n"/>
      <c r="O1140" s="102" t="n"/>
      <c r="P1140" s="103" t="n"/>
      <c r="Q1140" s="103" t="n"/>
      <c r="R1140" s="104" t="n"/>
      <c r="S1140" s="102" t="n"/>
      <c r="T1140" s="103" t="n"/>
      <c r="U1140" s="103" t="n"/>
      <c r="V1140" s="104" t="n"/>
      <c r="W1140" s="102" t="n"/>
      <c r="X1140" s="104" t="n"/>
      <c r="Y1140" s="102" t="n"/>
      <c r="Z1140" s="104" t="n"/>
      <c r="AB1140" s="105">
        <f>IF($B1140="","",(COUNTIF(C1108:E1125,$B1140)+COUNTIF(C1108:E1125,$B1140&amp;" ~*")&gt;0)+(COUNTIF(G1108:I1125,$B1140)+COUNTIF(G1108:I1125,$B1140&amp;" ~*")&gt;0)+(COUNTIF(K1108:M1125,$B1140)+COUNTIF(K1108:M1125,$B1140&amp;" ~*")&gt;0)+(COUNTIF(O1108:Q1125,$B1140)+COUNTIF(O1108:Q1125,$B1140&amp;" ~*")&gt;0)+(COUNTIF(S1108:U1125,$B1140)+COUNTIF(S1108:U1125,$B1140&amp;" ~*")&gt;0)+(COUNTIF(W1108:W1125,$B1140)+COUNTIF(W1108:W1125,$B1140&amp;" ~*")&gt;0)+(COUNTIF(Y1108:Y1125,$B1140)+COUNTIF(Y1108:Y1125,$B1140&amp;" ~*")&gt;0))</f>
        <v/>
      </c>
      <c r="AC1140" s="38">
        <f>IF($B1140="","",(IFERROR(INDEX(Setup!$G$33:$G$40,MATCH(C1140,Setup!$B$33:$B$40,0)),0)=1)*(COUNTIF(C1108:E1125,$B1140)+COUNTIF(C1108:E1125,$B1140&amp;" ~*")&gt;0)+(IFERROR(INDEX(Setup!$G$33:$G$40,MATCH(G1140,Setup!$B$33:$B$40,0)),0)=1)*(COUNTIF(G1108:I1125,$B1140)+COUNTIF(G1108:I1125,$B1140&amp;" ~*")&gt;0)+(IFERROR(INDEX(Setup!$G$33:$G$40,MATCH(K1140,Setup!$B$33:$B$40,0)),0)=1)*(COUNTIF(K1108:M1125,$B1140)+COUNTIF(K1108:M1125,$B1140&amp;" ~*")&gt;0)+(IFERROR(INDEX(Setup!$G$33:$G$40,MATCH(O1140,Setup!$B$33:$B$40,0)),0)=1)*(COUNTIF(O1108:Q1125,$B1140)+COUNTIF(O1108:Q1125,$B1140&amp;" ~*")&gt;0)+(IFERROR(INDEX(Setup!$G$33:$G$40,MATCH(S1140,Setup!$B$33:$B$40,0)),0)=1)*(COUNTIF(S1108:U1125,$B1140)+COUNTIF(S1108:U1125,$B1140&amp;" ~*")&gt;0)+(IFERROR(INDEX(Setup!$G$33:$G$40,MATCH(W1140,Setup!$B$33:$B$40,0)),0)=1)*(COUNTIF(W1108:W1125,$B1140)+COUNTIF(W1108:W1125,$B1140&amp;" ~*")&gt;0)+(IFERROR(INDEX(Setup!$G$33:$G$40,MATCH(Y1140,Setup!$B$33:$B$40,0)),0)=1)*(COUNTIF(Y1108:Y1125,$B1140)+COUNTIF(Y1108:Y1125,$B1140&amp;" ~*")&gt;0))</f>
        <v/>
      </c>
    </row>
    <row r="1141" ht="15" customHeight="1">
      <c r="A1141" t="n">
        <v>23</v>
      </c>
      <c r="B1141" s="35">
        <f>IF(Setup!$B$20="","",Setup!$B$20)</f>
        <v/>
      </c>
      <c r="C1141" s="98" t="n"/>
      <c r="D1141" s="99" t="n"/>
      <c r="E1141" s="99" t="n"/>
      <c r="F1141" s="100" t="n"/>
      <c r="G1141" s="98" t="n"/>
      <c r="H1141" s="99" t="n"/>
      <c r="I1141" s="99" t="n"/>
      <c r="J1141" s="100" t="n"/>
      <c r="K1141" s="98" t="n"/>
      <c r="L1141" s="99" t="n"/>
      <c r="M1141" s="99" t="n"/>
      <c r="N1141" s="100" t="n"/>
      <c r="O1141" s="98" t="n"/>
      <c r="P1141" s="99" t="n"/>
      <c r="Q1141" s="99" t="n"/>
      <c r="R1141" s="100" t="n"/>
      <c r="S1141" s="98" t="n"/>
      <c r="T1141" s="99" t="n"/>
      <c r="U1141" s="99" t="n"/>
      <c r="V1141" s="100" t="n"/>
      <c r="W1141" s="98" t="n"/>
      <c r="X1141" s="100" t="n"/>
      <c r="Y1141" s="98" t="n"/>
      <c r="Z1141" s="100" t="n"/>
      <c r="AB1141" s="101">
        <f>IF($B1141="","",(COUNTIF(C1108:E1125,$B1141)+COUNTIF(C1108:E1125,$B1141&amp;" ~*")&gt;0)+(COUNTIF(G1108:I1125,$B1141)+COUNTIF(G1108:I1125,$B1141&amp;" ~*")&gt;0)+(COUNTIF(K1108:M1125,$B1141)+COUNTIF(K1108:M1125,$B1141&amp;" ~*")&gt;0)+(COUNTIF(O1108:Q1125,$B1141)+COUNTIF(O1108:Q1125,$B1141&amp;" ~*")&gt;0)+(COUNTIF(S1108:U1125,$B1141)+COUNTIF(S1108:U1125,$B1141&amp;" ~*")&gt;0)+(COUNTIF(W1108:W1125,$B1141)+COUNTIF(W1108:W1125,$B1141&amp;" ~*")&gt;0)+(COUNTIF(Y1108:Y1125,$B1141)+COUNTIF(Y1108:Y1125,$B1141&amp;" ~*")&gt;0))</f>
        <v/>
      </c>
      <c r="AC1141" s="36">
        <f>IF($B1141="","",(IFERROR(INDEX(Setup!$G$33:$G$40,MATCH(C1141,Setup!$B$33:$B$40,0)),0)=1)*(COUNTIF(C1108:E1125,$B1141)+COUNTIF(C1108:E1125,$B1141&amp;" ~*")&gt;0)+(IFERROR(INDEX(Setup!$G$33:$G$40,MATCH(G1141,Setup!$B$33:$B$40,0)),0)=1)*(COUNTIF(G1108:I1125,$B1141)+COUNTIF(G1108:I1125,$B1141&amp;" ~*")&gt;0)+(IFERROR(INDEX(Setup!$G$33:$G$40,MATCH(K1141,Setup!$B$33:$B$40,0)),0)=1)*(COUNTIF(K1108:M1125,$B1141)+COUNTIF(K1108:M1125,$B1141&amp;" ~*")&gt;0)+(IFERROR(INDEX(Setup!$G$33:$G$40,MATCH(O1141,Setup!$B$33:$B$40,0)),0)=1)*(COUNTIF(O1108:Q1125,$B1141)+COUNTIF(O1108:Q1125,$B1141&amp;" ~*")&gt;0)+(IFERROR(INDEX(Setup!$G$33:$G$40,MATCH(S1141,Setup!$B$33:$B$40,0)),0)=1)*(COUNTIF(S1108:U1125,$B1141)+COUNTIF(S1108:U1125,$B1141&amp;" ~*")&gt;0)+(IFERROR(INDEX(Setup!$G$33:$G$40,MATCH(W1141,Setup!$B$33:$B$40,0)),0)=1)*(COUNTIF(W1108:W1125,$B1141)+COUNTIF(W1108:W1125,$B1141&amp;" ~*")&gt;0)+(IFERROR(INDEX(Setup!$G$33:$G$40,MATCH(Y1141,Setup!$B$33:$B$40,0)),0)=1)*(COUNTIF(Y1108:Y1125,$B1141)+COUNTIF(Y1108:Y1125,$B1141&amp;" ~*")&gt;0))</f>
        <v/>
      </c>
    </row>
    <row r="1142" ht="15" customHeight="1">
      <c r="A1142" t="n">
        <v>23</v>
      </c>
      <c r="B1142" s="37">
        <f>IF(Setup!$B$21="","",Setup!$B$21)</f>
        <v/>
      </c>
      <c r="C1142" s="102" t="n"/>
      <c r="D1142" s="103" t="n"/>
      <c r="E1142" s="103" t="n"/>
      <c r="F1142" s="104" t="n"/>
      <c r="G1142" s="102" t="n"/>
      <c r="H1142" s="103" t="n"/>
      <c r="I1142" s="103" t="n"/>
      <c r="J1142" s="104" t="n"/>
      <c r="K1142" s="102" t="n"/>
      <c r="L1142" s="103" t="n"/>
      <c r="M1142" s="103" t="n"/>
      <c r="N1142" s="104" t="n"/>
      <c r="O1142" s="102" t="n"/>
      <c r="P1142" s="103" t="n"/>
      <c r="Q1142" s="103" t="n"/>
      <c r="R1142" s="104" t="n"/>
      <c r="S1142" s="102" t="n"/>
      <c r="T1142" s="103" t="n"/>
      <c r="U1142" s="103" t="n"/>
      <c r="V1142" s="104" t="n"/>
      <c r="W1142" s="102" t="n"/>
      <c r="X1142" s="104" t="n"/>
      <c r="Y1142" s="102" t="n"/>
      <c r="Z1142" s="104" t="n"/>
      <c r="AB1142" s="105">
        <f>IF($B1142="","",(COUNTIF(C1108:E1125,$B1142)+COUNTIF(C1108:E1125,$B1142&amp;" ~*")&gt;0)+(COUNTIF(G1108:I1125,$B1142)+COUNTIF(G1108:I1125,$B1142&amp;" ~*")&gt;0)+(COUNTIF(K1108:M1125,$B1142)+COUNTIF(K1108:M1125,$B1142&amp;" ~*")&gt;0)+(COUNTIF(O1108:Q1125,$B1142)+COUNTIF(O1108:Q1125,$B1142&amp;" ~*")&gt;0)+(COUNTIF(S1108:U1125,$B1142)+COUNTIF(S1108:U1125,$B1142&amp;" ~*")&gt;0)+(COUNTIF(W1108:W1125,$B1142)+COUNTIF(W1108:W1125,$B1142&amp;" ~*")&gt;0)+(COUNTIF(Y1108:Y1125,$B1142)+COUNTIF(Y1108:Y1125,$B1142&amp;" ~*")&gt;0))</f>
        <v/>
      </c>
      <c r="AC1142" s="38">
        <f>IF($B1142="","",(IFERROR(INDEX(Setup!$G$33:$G$40,MATCH(C1142,Setup!$B$33:$B$40,0)),0)=1)*(COUNTIF(C1108:E1125,$B1142)+COUNTIF(C1108:E1125,$B1142&amp;" ~*")&gt;0)+(IFERROR(INDEX(Setup!$G$33:$G$40,MATCH(G1142,Setup!$B$33:$B$40,0)),0)=1)*(COUNTIF(G1108:I1125,$B1142)+COUNTIF(G1108:I1125,$B1142&amp;" ~*")&gt;0)+(IFERROR(INDEX(Setup!$G$33:$G$40,MATCH(K1142,Setup!$B$33:$B$40,0)),0)=1)*(COUNTIF(K1108:M1125,$B1142)+COUNTIF(K1108:M1125,$B1142&amp;" ~*")&gt;0)+(IFERROR(INDEX(Setup!$G$33:$G$40,MATCH(O1142,Setup!$B$33:$B$40,0)),0)=1)*(COUNTIF(O1108:Q1125,$B1142)+COUNTIF(O1108:Q1125,$B1142&amp;" ~*")&gt;0)+(IFERROR(INDEX(Setup!$G$33:$G$40,MATCH(S1142,Setup!$B$33:$B$40,0)),0)=1)*(COUNTIF(S1108:U1125,$B1142)+COUNTIF(S1108:U1125,$B1142&amp;" ~*")&gt;0)+(IFERROR(INDEX(Setup!$G$33:$G$40,MATCH(W1142,Setup!$B$33:$B$40,0)),0)=1)*(COUNTIF(W1108:W1125,$B1142)+COUNTIF(W1108:W1125,$B1142&amp;" ~*")&gt;0)+(IFERROR(INDEX(Setup!$G$33:$G$40,MATCH(Y1142,Setup!$B$33:$B$40,0)),0)=1)*(COUNTIF(Y1108:Y1125,$B1142)+COUNTIF(Y1108:Y1125,$B1142&amp;" ~*")&gt;0))</f>
        <v/>
      </c>
    </row>
    <row r="1143" ht="15" customHeight="1">
      <c r="A1143" t="n">
        <v>23</v>
      </c>
      <c r="B1143" s="35">
        <f>IF(Setup!$B$22="","",Setup!$B$22)</f>
        <v/>
      </c>
      <c r="C1143" s="98" t="n"/>
      <c r="D1143" s="99" t="n"/>
      <c r="E1143" s="99" t="n"/>
      <c r="F1143" s="100" t="n"/>
      <c r="G1143" s="98" t="n"/>
      <c r="H1143" s="99" t="n"/>
      <c r="I1143" s="99" t="n"/>
      <c r="J1143" s="100" t="n"/>
      <c r="K1143" s="98" t="n"/>
      <c r="L1143" s="99" t="n"/>
      <c r="M1143" s="99" t="n"/>
      <c r="N1143" s="100" t="n"/>
      <c r="O1143" s="98" t="n"/>
      <c r="P1143" s="99" t="n"/>
      <c r="Q1143" s="99" t="n"/>
      <c r="R1143" s="100" t="n"/>
      <c r="S1143" s="98" t="n"/>
      <c r="T1143" s="99" t="n"/>
      <c r="U1143" s="99" t="n"/>
      <c r="V1143" s="100" t="n"/>
      <c r="W1143" s="98" t="n"/>
      <c r="X1143" s="100" t="n"/>
      <c r="Y1143" s="98" t="n"/>
      <c r="Z1143" s="100" t="n"/>
      <c r="AB1143" s="101">
        <f>IF($B1143="","",(COUNTIF(C1108:E1125,$B1143)+COUNTIF(C1108:E1125,$B1143&amp;" ~*")&gt;0)+(COUNTIF(G1108:I1125,$B1143)+COUNTIF(G1108:I1125,$B1143&amp;" ~*")&gt;0)+(COUNTIF(K1108:M1125,$B1143)+COUNTIF(K1108:M1125,$B1143&amp;" ~*")&gt;0)+(COUNTIF(O1108:Q1125,$B1143)+COUNTIF(O1108:Q1125,$B1143&amp;" ~*")&gt;0)+(COUNTIF(S1108:U1125,$B1143)+COUNTIF(S1108:U1125,$B1143&amp;" ~*")&gt;0)+(COUNTIF(W1108:W1125,$B1143)+COUNTIF(W1108:W1125,$B1143&amp;" ~*")&gt;0)+(COUNTIF(Y1108:Y1125,$B1143)+COUNTIF(Y1108:Y1125,$B1143&amp;" ~*")&gt;0))</f>
        <v/>
      </c>
      <c r="AC1143" s="36">
        <f>IF($B1143="","",(IFERROR(INDEX(Setup!$G$33:$G$40,MATCH(C1143,Setup!$B$33:$B$40,0)),0)=1)*(COUNTIF(C1108:E1125,$B1143)+COUNTIF(C1108:E1125,$B1143&amp;" ~*")&gt;0)+(IFERROR(INDEX(Setup!$G$33:$G$40,MATCH(G1143,Setup!$B$33:$B$40,0)),0)=1)*(COUNTIF(G1108:I1125,$B1143)+COUNTIF(G1108:I1125,$B1143&amp;" ~*")&gt;0)+(IFERROR(INDEX(Setup!$G$33:$G$40,MATCH(K1143,Setup!$B$33:$B$40,0)),0)=1)*(COUNTIF(K1108:M1125,$B1143)+COUNTIF(K1108:M1125,$B1143&amp;" ~*")&gt;0)+(IFERROR(INDEX(Setup!$G$33:$G$40,MATCH(O1143,Setup!$B$33:$B$40,0)),0)=1)*(COUNTIF(O1108:Q1125,$B1143)+COUNTIF(O1108:Q1125,$B1143&amp;" ~*")&gt;0)+(IFERROR(INDEX(Setup!$G$33:$G$40,MATCH(S1143,Setup!$B$33:$B$40,0)),0)=1)*(COUNTIF(S1108:U1125,$B1143)+COUNTIF(S1108:U1125,$B1143&amp;" ~*")&gt;0)+(IFERROR(INDEX(Setup!$G$33:$G$40,MATCH(W1143,Setup!$B$33:$B$40,0)),0)=1)*(COUNTIF(W1108:W1125,$B1143)+COUNTIF(W1108:W1125,$B1143&amp;" ~*")&gt;0)+(IFERROR(INDEX(Setup!$G$33:$G$40,MATCH(Y1143,Setup!$B$33:$B$40,0)),0)=1)*(COUNTIF(Y1108:Y1125,$B1143)+COUNTIF(Y1108:Y1125,$B1143&amp;" ~*")&gt;0))</f>
        <v/>
      </c>
    </row>
    <row r="1144" ht="15" customHeight="1">
      <c r="A1144" t="n">
        <v>23</v>
      </c>
      <c r="B1144" s="37">
        <f>IF(Setup!$B$23="","",Setup!$B$23)</f>
        <v/>
      </c>
      <c r="C1144" s="102" t="n"/>
      <c r="D1144" s="103" t="n"/>
      <c r="E1144" s="103" t="n"/>
      <c r="F1144" s="104" t="n"/>
      <c r="G1144" s="102" t="n"/>
      <c r="H1144" s="103" t="n"/>
      <c r="I1144" s="103" t="n"/>
      <c r="J1144" s="104" t="n"/>
      <c r="K1144" s="102" t="n"/>
      <c r="L1144" s="103" t="n"/>
      <c r="M1144" s="103" t="n"/>
      <c r="N1144" s="104" t="n"/>
      <c r="O1144" s="102" t="n"/>
      <c r="P1144" s="103" t="n"/>
      <c r="Q1144" s="103" t="n"/>
      <c r="R1144" s="104" t="n"/>
      <c r="S1144" s="102" t="n"/>
      <c r="T1144" s="103" t="n"/>
      <c r="U1144" s="103" t="n"/>
      <c r="V1144" s="104" t="n"/>
      <c r="W1144" s="102" t="n"/>
      <c r="X1144" s="104" t="n"/>
      <c r="Y1144" s="102" t="n"/>
      <c r="Z1144" s="104" t="n"/>
      <c r="AB1144" s="105">
        <f>IF($B1144="","",(COUNTIF(C1108:E1125,$B1144)+COUNTIF(C1108:E1125,$B1144&amp;" ~*")&gt;0)+(COUNTIF(G1108:I1125,$B1144)+COUNTIF(G1108:I1125,$B1144&amp;" ~*")&gt;0)+(COUNTIF(K1108:M1125,$B1144)+COUNTIF(K1108:M1125,$B1144&amp;" ~*")&gt;0)+(COUNTIF(O1108:Q1125,$B1144)+COUNTIF(O1108:Q1125,$B1144&amp;" ~*")&gt;0)+(COUNTIF(S1108:U1125,$B1144)+COUNTIF(S1108:U1125,$B1144&amp;" ~*")&gt;0)+(COUNTIF(W1108:W1125,$B1144)+COUNTIF(W1108:W1125,$B1144&amp;" ~*")&gt;0)+(COUNTIF(Y1108:Y1125,$B1144)+COUNTIF(Y1108:Y1125,$B1144&amp;" ~*")&gt;0))</f>
        <v/>
      </c>
      <c r="AC1144" s="38">
        <f>IF($B1144="","",(IFERROR(INDEX(Setup!$G$33:$G$40,MATCH(C1144,Setup!$B$33:$B$40,0)),0)=1)*(COUNTIF(C1108:E1125,$B1144)+COUNTIF(C1108:E1125,$B1144&amp;" ~*")&gt;0)+(IFERROR(INDEX(Setup!$G$33:$G$40,MATCH(G1144,Setup!$B$33:$B$40,0)),0)=1)*(COUNTIF(G1108:I1125,$B1144)+COUNTIF(G1108:I1125,$B1144&amp;" ~*")&gt;0)+(IFERROR(INDEX(Setup!$G$33:$G$40,MATCH(K1144,Setup!$B$33:$B$40,0)),0)=1)*(COUNTIF(K1108:M1125,$B1144)+COUNTIF(K1108:M1125,$B1144&amp;" ~*")&gt;0)+(IFERROR(INDEX(Setup!$G$33:$G$40,MATCH(O1144,Setup!$B$33:$B$40,0)),0)=1)*(COUNTIF(O1108:Q1125,$B1144)+COUNTIF(O1108:Q1125,$B1144&amp;" ~*")&gt;0)+(IFERROR(INDEX(Setup!$G$33:$G$40,MATCH(S1144,Setup!$B$33:$B$40,0)),0)=1)*(COUNTIF(S1108:U1125,$B1144)+COUNTIF(S1108:U1125,$B1144&amp;" ~*")&gt;0)+(IFERROR(INDEX(Setup!$G$33:$G$40,MATCH(W1144,Setup!$B$33:$B$40,0)),0)=1)*(COUNTIF(W1108:W1125,$B1144)+COUNTIF(W1108:W1125,$B1144&amp;" ~*")&gt;0)+(IFERROR(INDEX(Setup!$G$33:$G$40,MATCH(Y1144,Setup!$B$33:$B$40,0)),0)=1)*(COUNTIF(Y1108:Y1125,$B1144)+COUNTIF(Y1108:Y1125,$B1144&amp;" ~*")&gt;0))</f>
        <v/>
      </c>
    </row>
    <row r="1145" ht="15" customHeight="1">
      <c r="A1145" t="n">
        <v>23</v>
      </c>
      <c r="B1145" s="35">
        <f>IF(Setup!$B$24="","",Setup!$B$24)</f>
        <v/>
      </c>
      <c r="C1145" s="98" t="n"/>
      <c r="D1145" s="99" t="n"/>
      <c r="E1145" s="99" t="n"/>
      <c r="F1145" s="100" t="n"/>
      <c r="G1145" s="98" t="n"/>
      <c r="H1145" s="99" t="n"/>
      <c r="I1145" s="99" t="n"/>
      <c r="J1145" s="100" t="n"/>
      <c r="K1145" s="98" t="n"/>
      <c r="L1145" s="99" t="n"/>
      <c r="M1145" s="99" t="n"/>
      <c r="N1145" s="100" t="n"/>
      <c r="O1145" s="98" t="n"/>
      <c r="P1145" s="99" t="n"/>
      <c r="Q1145" s="99" t="n"/>
      <c r="R1145" s="100" t="n"/>
      <c r="S1145" s="98" t="n"/>
      <c r="T1145" s="99" t="n"/>
      <c r="U1145" s="99" t="n"/>
      <c r="V1145" s="100" t="n"/>
      <c r="W1145" s="98" t="n"/>
      <c r="X1145" s="100" t="n"/>
      <c r="Y1145" s="98" t="n"/>
      <c r="Z1145" s="100" t="n"/>
      <c r="AB1145" s="101">
        <f>IF($B1145="","",(COUNTIF(C1108:E1125,$B1145)+COUNTIF(C1108:E1125,$B1145&amp;" ~*")&gt;0)+(COUNTIF(G1108:I1125,$B1145)+COUNTIF(G1108:I1125,$B1145&amp;" ~*")&gt;0)+(COUNTIF(K1108:M1125,$B1145)+COUNTIF(K1108:M1125,$B1145&amp;" ~*")&gt;0)+(COUNTIF(O1108:Q1125,$B1145)+COUNTIF(O1108:Q1125,$B1145&amp;" ~*")&gt;0)+(COUNTIF(S1108:U1125,$B1145)+COUNTIF(S1108:U1125,$B1145&amp;" ~*")&gt;0)+(COUNTIF(W1108:W1125,$B1145)+COUNTIF(W1108:W1125,$B1145&amp;" ~*")&gt;0)+(COUNTIF(Y1108:Y1125,$B1145)+COUNTIF(Y1108:Y1125,$B1145&amp;" ~*")&gt;0))</f>
        <v/>
      </c>
      <c r="AC1145" s="36">
        <f>IF($B1145="","",(IFERROR(INDEX(Setup!$G$33:$G$40,MATCH(C1145,Setup!$B$33:$B$40,0)),0)=1)*(COUNTIF(C1108:E1125,$B1145)+COUNTIF(C1108:E1125,$B1145&amp;" ~*")&gt;0)+(IFERROR(INDEX(Setup!$G$33:$G$40,MATCH(G1145,Setup!$B$33:$B$40,0)),0)=1)*(COUNTIF(G1108:I1125,$B1145)+COUNTIF(G1108:I1125,$B1145&amp;" ~*")&gt;0)+(IFERROR(INDEX(Setup!$G$33:$G$40,MATCH(K1145,Setup!$B$33:$B$40,0)),0)=1)*(COUNTIF(K1108:M1125,$B1145)+COUNTIF(K1108:M1125,$B1145&amp;" ~*")&gt;0)+(IFERROR(INDEX(Setup!$G$33:$G$40,MATCH(O1145,Setup!$B$33:$B$40,0)),0)=1)*(COUNTIF(O1108:Q1125,$B1145)+COUNTIF(O1108:Q1125,$B1145&amp;" ~*")&gt;0)+(IFERROR(INDEX(Setup!$G$33:$G$40,MATCH(S1145,Setup!$B$33:$B$40,0)),0)=1)*(COUNTIF(S1108:U1125,$B1145)+COUNTIF(S1108:U1125,$B1145&amp;" ~*")&gt;0)+(IFERROR(INDEX(Setup!$G$33:$G$40,MATCH(W1145,Setup!$B$33:$B$40,0)),0)=1)*(COUNTIF(W1108:W1125,$B1145)+COUNTIF(W1108:W1125,$B1145&amp;" ~*")&gt;0)+(IFERROR(INDEX(Setup!$G$33:$G$40,MATCH(Y1145,Setup!$B$33:$B$40,0)),0)=1)*(COUNTIF(Y1108:Y1125,$B1145)+COUNTIF(Y1108:Y1125,$B1145&amp;" ~*")&gt;0))</f>
        <v/>
      </c>
    </row>
    <row r="1146" ht="15" customHeight="1">
      <c r="A1146" t="n">
        <v>23</v>
      </c>
      <c r="B1146" s="37">
        <f>IF(Setup!$B$25="","",Setup!$B$25)</f>
        <v/>
      </c>
      <c r="C1146" s="102" t="n"/>
      <c r="D1146" s="103" t="n"/>
      <c r="E1146" s="103" t="n"/>
      <c r="F1146" s="104" t="n"/>
      <c r="G1146" s="102" t="n"/>
      <c r="H1146" s="103" t="n"/>
      <c r="I1146" s="103" t="n"/>
      <c r="J1146" s="104" t="n"/>
      <c r="K1146" s="102" t="n"/>
      <c r="L1146" s="103" t="n"/>
      <c r="M1146" s="103" t="n"/>
      <c r="N1146" s="104" t="n"/>
      <c r="O1146" s="102" t="n"/>
      <c r="P1146" s="103" t="n"/>
      <c r="Q1146" s="103" t="n"/>
      <c r="R1146" s="104" t="n"/>
      <c r="S1146" s="102" t="n"/>
      <c r="T1146" s="103" t="n"/>
      <c r="U1146" s="103" t="n"/>
      <c r="V1146" s="104" t="n"/>
      <c r="W1146" s="102" t="n"/>
      <c r="X1146" s="104" t="n"/>
      <c r="Y1146" s="102" t="n"/>
      <c r="Z1146" s="104" t="n"/>
      <c r="AB1146" s="105">
        <f>IF($B1146="","",(COUNTIF(C1108:E1125,$B1146)+COUNTIF(C1108:E1125,$B1146&amp;" ~*")&gt;0)+(COUNTIF(G1108:I1125,$B1146)+COUNTIF(G1108:I1125,$B1146&amp;" ~*")&gt;0)+(COUNTIF(K1108:M1125,$B1146)+COUNTIF(K1108:M1125,$B1146&amp;" ~*")&gt;0)+(COUNTIF(O1108:Q1125,$B1146)+COUNTIF(O1108:Q1125,$B1146&amp;" ~*")&gt;0)+(COUNTIF(S1108:U1125,$B1146)+COUNTIF(S1108:U1125,$B1146&amp;" ~*")&gt;0)+(COUNTIF(W1108:W1125,$B1146)+COUNTIF(W1108:W1125,$B1146&amp;" ~*")&gt;0)+(COUNTIF(Y1108:Y1125,$B1146)+COUNTIF(Y1108:Y1125,$B1146&amp;" ~*")&gt;0))</f>
        <v/>
      </c>
      <c r="AC1146" s="38">
        <f>IF($B1146="","",(IFERROR(INDEX(Setup!$G$33:$G$40,MATCH(C1146,Setup!$B$33:$B$40,0)),0)=1)*(COUNTIF(C1108:E1125,$B1146)+COUNTIF(C1108:E1125,$B1146&amp;" ~*")&gt;0)+(IFERROR(INDEX(Setup!$G$33:$G$40,MATCH(G1146,Setup!$B$33:$B$40,0)),0)=1)*(COUNTIF(G1108:I1125,$B1146)+COUNTIF(G1108:I1125,$B1146&amp;" ~*")&gt;0)+(IFERROR(INDEX(Setup!$G$33:$G$40,MATCH(K1146,Setup!$B$33:$B$40,0)),0)=1)*(COUNTIF(K1108:M1125,$B1146)+COUNTIF(K1108:M1125,$B1146&amp;" ~*")&gt;0)+(IFERROR(INDEX(Setup!$G$33:$G$40,MATCH(O1146,Setup!$B$33:$B$40,0)),0)=1)*(COUNTIF(O1108:Q1125,$B1146)+COUNTIF(O1108:Q1125,$B1146&amp;" ~*")&gt;0)+(IFERROR(INDEX(Setup!$G$33:$G$40,MATCH(S1146,Setup!$B$33:$B$40,0)),0)=1)*(COUNTIF(S1108:U1125,$B1146)+COUNTIF(S1108:U1125,$B1146&amp;" ~*")&gt;0)+(IFERROR(INDEX(Setup!$G$33:$G$40,MATCH(W1146,Setup!$B$33:$B$40,0)),0)=1)*(COUNTIF(W1108:W1125,$B1146)+COUNTIF(W1108:W1125,$B1146&amp;" ~*")&gt;0)+(IFERROR(INDEX(Setup!$G$33:$G$40,MATCH(Y1146,Setup!$B$33:$B$40,0)),0)=1)*(COUNTIF(Y1108:Y1125,$B1146)+COUNTIF(Y1108:Y1125,$B1146&amp;" ~*")&gt;0))</f>
        <v/>
      </c>
    </row>
    <row r="1147" ht="15" customHeight="1">
      <c r="A1147" t="n">
        <v>23</v>
      </c>
      <c r="B1147" s="35">
        <f>IF(Setup!$B$26="","",Setup!$B$26)</f>
        <v/>
      </c>
      <c r="C1147" s="98" t="n"/>
      <c r="D1147" s="99" t="n"/>
      <c r="E1147" s="99" t="n"/>
      <c r="F1147" s="100" t="n"/>
      <c r="G1147" s="98" t="n"/>
      <c r="H1147" s="99" t="n"/>
      <c r="I1147" s="99" t="n"/>
      <c r="J1147" s="100" t="n"/>
      <c r="K1147" s="98" t="n"/>
      <c r="L1147" s="99" t="n"/>
      <c r="M1147" s="99" t="n"/>
      <c r="N1147" s="100" t="n"/>
      <c r="O1147" s="98" t="n"/>
      <c r="P1147" s="99" t="n"/>
      <c r="Q1147" s="99" t="n"/>
      <c r="R1147" s="100" t="n"/>
      <c r="S1147" s="98" t="n"/>
      <c r="T1147" s="99" t="n"/>
      <c r="U1147" s="99" t="n"/>
      <c r="V1147" s="100" t="n"/>
      <c r="W1147" s="98" t="n"/>
      <c r="X1147" s="100" t="n"/>
      <c r="Y1147" s="98" t="n"/>
      <c r="Z1147" s="100" t="n"/>
      <c r="AB1147" s="101">
        <f>IF($B1147="","",(COUNTIF(C1108:E1125,$B1147)+COUNTIF(C1108:E1125,$B1147&amp;" ~*")&gt;0)+(COUNTIF(G1108:I1125,$B1147)+COUNTIF(G1108:I1125,$B1147&amp;" ~*")&gt;0)+(COUNTIF(K1108:M1125,$B1147)+COUNTIF(K1108:M1125,$B1147&amp;" ~*")&gt;0)+(COUNTIF(O1108:Q1125,$B1147)+COUNTIF(O1108:Q1125,$B1147&amp;" ~*")&gt;0)+(COUNTIF(S1108:U1125,$B1147)+COUNTIF(S1108:U1125,$B1147&amp;" ~*")&gt;0)+(COUNTIF(W1108:W1125,$B1147)+COUNTIF(W1108:W1125,$B1147&amp;" ~*")&gt;0)+(COUNTIF(Y1108:Y1125,$B1147)+COUNTIF(Y1108:Y1125,$B1147&amp;" ~*")&gt;0))</f>
        <v/>
      </c>
      <c r="AC1147" s="36">
        <f>IF($B1147="","",(IFERROR(INDEX(Setup!$G$33:$G$40,MATCH(C1147,Setup!$B$33:$B$40,0)),0)=1)*(COUNTIF(C1108:E1125,$B1147)+COUNTIF(C1108:E1125,$B1147&amp;" ~*")&gt;0)+(IFERROR(INDEX(Setup!$G$33:$G$40,MATCH(G1147,Setup!$B$33:$B$40,0)),0)=1)*(COUNTIF(G1108:I1125,$B1147)+COUNTIF(G1108:I1125,$B1147&amp;" ~*")&gt;0)+(IFERROR(INDEX(Setup!$G$33:$G$40,MATCH(K1147,Setup!$B$33:$B$40,0)),0)=1)*(COUNTIF(K1108:M1125,$B1147)+COUNTIF(K1108:M1125,$B1147&amp;" ~*")&gt;0)+(IFERROR(INDEX(Setup!$G$33:$G$40,MATCH(O1147,Setup!$B$33:$B$40,0)),0)=1)*(COUNTIF(O1108:Q1125,$B1147)+COUNTIF(O1108:Q1125,$B1147&amp;" ~*")&gt;0)+(IFERROR(INDEX(Setup!$G$33:$G$40,MATCH(S1147,Setup!$B$33:$B$40,0)),0)=1)*(COUNTIF(S1108:U1125,$B1147)+COUNTIF(S1108:U1125,$B1147&amp;" ~*")&gt;0)+(IFERROR(INDEX(Setup!$G$33:$G$40,MATCH(W1147,Setup!$B$33:$B$40,0)),0)=1)*(COUNTIF(W1108:W1125,$B1147)+COUNTIF(W1108:W1125,$B1147&amp;" ~*")&gt;0)+(IFERROR(INDEX(Setup!$G$33:$G$40,MATCH(Y1147,Setup!$B$33:$B$40,0)),0)=1)*(COUNTIF(Y1108:Y1125,$B1147)+COUNTIF(Y1108:Y1125,$B1147&amp;" ~*")&gt;0))</f>
        <v/>
      </c>
    </row>
    <row r="1148" ht="15" customHeight="1">
      <c r="A1148" t="n">
        <v>23</v>
      </c>
      <c r="B1148" s="37">
        <f>IF(Setup!$B$27="","",Setup!$B$27)</f>
        <v/>
      </c>
      <c r="C1148" s="102" t="n"/>
      <c r="D1148" s="103" t="n"/>
      <c r="E1148" s="103" t="n"/>
      <c r="F1148" s="104" t="n"/>
      <c r="G1148" s="102" t="n"/>
      <c r="H1148" s="103" t="n"/>
      <c r="I1148" s="103" t="n"/>
      <c r="J1148" s="104" t="n"/>
      <c r="K1148" s="102" t="n"/>
      <c r="L1148" s="103" t="n"/>
      <c r="M1148" s="103" t="n"/>
      <c r="N1148" s="104" t="n"/>
      <c r="O1148" s="102" t="n"/>
      <c r="P1148" s="103" t="n"/>
      <c r="Q1148" s="103" t="n"/>
      <c r="R1148" s="104" t="n"/>
      <c r="S1148" s="102" t="n"/>
      <c r="T1148" s="103" t="n"/>
      <c r="U1148" s="103" t="n"/>
      <c r="V1148" s="104" t="n"/>
      <c r="W1148" s="102" t="n"/>
      <c r="X1148" s="104" t="n"/>
      <c r="Y1148" s="102" t="n"/>
      <c r="Z1148" s="104" t="n"/>
      <c r="AB1148" s="105">
        <f>IF($B1148="","",(COUNTIF(C1108:E1125,$B1148)+COUNTIF(C1108:E1125,$B1148&amp;" ~*")&gt;0)+(COUNTIF(G1108:I1125,$B1148)+COUNTIF(G1108:I1125,$B1148&amp;" ~*")&gt;0)+(COUNTIF(K1108:M1125,$B1148)+COUNTIF(K1108:M1125,$B1148&amp;" ~*")&gt;0)+(COUNTIF(O1108:Q1125,$B1148)+COUNTIF(O1108:Q1125,$B1148&amp;" ~*")&gt;0)+(COUNTIF(S1108:U1125,$B1148)+COUNTIF(S1108:U1125,$B1148&amp;" ~*")&gt;0)+(COUNTIF(W1108:W1125,$B1148)+COUNTIF(W1108:W1125,$B1148&amp;" ~*")&gt;0)+(COUNTIF(Y1108:Y1125,$B1148)+COUNTIF(Y1108:Y1125,$B1148&amp;" ~*")&gt;0))</f>
        <v/>
      </c>
      <c r="AC1148" s="38">
        <f>IF($B1148="","",(IFERROR(INDEX(Setup!$G$33:$G$40,MATCH(C1148,Setup!$B$33:$B$40,0)),0)=1)*(COUNTIF(C1108:E1125,$B1148)+COUNTIF(C1108:E1125,$B1148&amp;" ~*")&gt;0)+(IFERROR(INDEX(Setup!$G$33:$G$40,MATCH(G1148,Setup!$B$33:$B$40,0)),0)=1)*(COUNTIF(G1108:I1125,$B1148)+COUNTIF(G1108:I1125,$B1148&amp;" ~*")&gt;0)+(IFERROR(INDEX(Setup!$G$33:$G$40,MATCH(K1148,Setup!$B$33:$B$40,0)),0)=1)*(COUNTIF(K1108:M1125,$B1148)+COUNTIF(K1108:M1125,$B1148&amp;" ~*")&gt;0)+(IFERROR(INDEX(Setup!$G$33:$G$40,MATCH(O1148,Setup!$B$33:$B$40,0)),0)=1)*(COUNTIF(O1108:Q1125,$B1148)+COUNTIF(O1108:Q1125,$B1148&amp;" ~*")&gt;0)+(IFERROR(INDEX(Setup!$G$33:$G$40,MATCH(S1148,Setup!$B$33:$B$40,0)),0)=1)*(COUNTIF(S1108:U1125,$B1148)+COUNTIF(S1108:U1125,$B1148&amp;" ~*")&gt;0)+(IFERROR(INDEX(Setup!$G$33:$G$40,MATCH(W1148,Setup!$B$33:$B$40,0)),0)=1)*(COUNTIF(W1108:W1125,$B1148)+COUNTIF(W1108:W1125,$B1148&amp;" ~*")&gt;0)+(IFERROR(INDEX(Setup!$G$33:$G$40,MATCH(Y1148,Setup!$B$33:$B$40,0)),0)=1)*(COUNTIF(Y1108:Y1125,$B1148)+COUNTIF(Y1108:Y1125,$B1148&amp;" ~*")&gt;0))</f>
        <v/>
      </c>
    </row>
    <row r="1149" ht="15" customHeight="1">
      <c r="A1149" t="n">
        <v>23</v>
      </c>
      <c r="B1149" s="35">
        <f>IF(Setup!$B$28="","",Setup!$B$28)</f>
        <v/>
      </c>
      <c r="C1149" s="98" t="n"/>
      <c r="D1149" s="99" t="n"/>
      <c r="E1149" s="99" t="n"/>
      <c r="F1149" s="100" t="n"/>
      <c r="G1149" s="98" t="n"/>
      <c r="H1149" s="99" t="n"/>
      <c r="I1149" s="99" t="n"/>
      <c r="J1149" s="100" t="n"/>
      <c r="K1149" s="98" t="n"/>
      <c r="L1149" s="99" t="n"/>
      <c r="M1149" s="99" t="n"/>
      <c r="N1149" s="100" t="n"/>
      <c r="O1149" s="98" t="n"/>
      <c r="P1149" s="99" t="n"/>
      <c r="Q1149" s="99" t="n"/>
      <c r="R1149" s="100" t="n"/>
      <c r="S1149" s="98" t="n"/>
      <c r="T1149" s="99" t="n"/>
      <c r="U1149" s="99" t="n"/>
      <c r="V1149" s="100" t="n"/>
      <c r="W1149" s="98" t="n"/>
      <c r="X1149" s="100" t="n"/>
      <c r="Y1149" s="98" t="n"/>
      <c r="Z1149" s="100" t="n"/>
      <c r="AB1149" s="101">
        <f>IF($B1149="","",(COUNTIF(C1108:E1125,$B1149)+COUNTIF(C1108:E1125,$B1149&amp;" ~*")&gt;0)+(COUNTIF(G1108:I1125,$B1149)+COUNTIF(G1108:I1125,$B1149&amp;" ~*")&gt;0)+(COUNTIF(K1108:M1125,$B1149)+COUNTIF(K1108:M1125,$B1149&amp;" ~*")&gt;0)+(COUNTIF(O1108:Q1125,$B1149)+COUNTIF(O1108:Q1125,$B1149&amp;" ~*")&gt;0)+(COUNTIF(S1108:U1125,$B1149)+COUNTIF(S1108:U1125,$B1149&amp;" ~*")&gt;0)+(COUNTIF(W1108:W1125,$B1149)+COUNTIF(W1108:W1125,$B1149&amp;" ~*")&gt;0)+(COUNTIF(Y1108:Y1125,$B1149)+COUNTIF(Y1108:Y1125,$B1149&amp;" ~*")&gt;0))</f>
        <v/>
      </c>
      <c r="AC1149" s="36">
        <f>IF($B1149="","",(IFERROR(INDEX(Setup!$G$33:$G$40,MATCH(C1149,Setup!$B$33:$B$40,0)),0)=1)*(COUNTIF(C1108:E1125,$B1149)+COUNTIF(C1108:E1125,$B1149&amp;" ~*")&gt;0)+(IFERROR(INDEX(Setup!$G$33:$G$40,MATCH(G1149,Setup!$B$33:$B$40,0)),0)=1)*(COUNTIF(G1108:I1125,$B1149)+COUNTIF(G1108:I1125,$B1149&amp;" ~*")&gt;0)+(IFERROR(INDEX(Setup!$G$33:$G$40,MATCH(K1149,Setup!$B$33:$B$40,0)),0)=1)*(COUNTIF(K1108:M1125,$B1149)+COUNTIF(K1108:M1125,$B1149&amp;" ~*")&gt;0)+(IFERROR(INDEX(Setup!$G$33:$G$40,MATCH(O1149,Setup!$B$33:$B$40,0)),0)=1)*(COUNTIF(O1108:Q1125,$B1149)+COUNTIF(O1108:Q1125,$B1149&amp;" ~*")&gt;0)+(IFERROR(INDEX(Setup!$G$33:$G$40,MATCH(S1149,Setup!$B$33:$B$40,0)),0)=1)*(COUNTIF(S1108:U1125,$B1149)+COUNTIF(S1108:U1125,$B1149&amp;" ~*")&gt;0)+(IFERROR(INDEX(Setup!$G$33:$G$40,MATCH(W1149,Setup!$B$33:$B$40,0)),0)=1)*(COUNTIF(W1108:W1125,$B1149)+COUNTIF(W1108:W1125,$B1149&amp;" ~*")&gt;0)+(IFERROR(INDEX(Setup!$G$33:$G$40,MATCH(Y1149,Setup!$B$33:$B$40,0)),0)=1)*(COUNTIF(Y1108:Y1125,$B1149)+COUNTIF(Y1108:Y1125,$B1149&amp;" ~*")&gt;0))</f>
        <v/>
      </c>
    </row>
    <row r="1150" ht="15" customHeight="1">
      <c r="A1150" t="n">
        <v>23</v>
      </c>
      <c r="B1150" s="37">
        <f>IF(Setup!$B$29="","",Setup!$B$29)</f>
        <v/>
      </c>
      <c r="C1150" s="102" t="n"/>
      <c r="D1150" s="103" t="n"/>
      <c r="E1150" s="103" t="n"/>
      <c r="F1150" s="104" t="n"/>
      <c r="G1150" s="102" t="n"/>
      <c r="H1150" s="103" t="n"/>
      <c r="I1150" s="103" t="n"/>
      <c r="J1150" s="104" t="n"/>
      <c r="K1150" s="102" t="n"/>
      <c r="L1150" s="103" t="n"/>
      <c r="M1150" s="103" t="n"/>
      <c r="N1150" s="104" t="n"/>
      <c r="O1150" s="102" t="n"/>
      <c r="P1150" s="103" t="n"/>
      <c r="Q1150" s="103" t="n"/>
      <c r="R1150" s="104" t="n"/>
      <c r="S1150" s="102" t="n"/>
      <c r="T1150" s="103" t="n"/>
      <c r="U1150" s="103" t="n"/>
      <c r="V1150" s="104" t="n"/>
      <c r="W1150" s="102" t="n"/>
      <c r="X1150" s="104" t="n"/>
      <c r="Y1150" s="102" t="n"/>
      <c r="Z1150" s="104" t="n"/>
      <c r="AB1150" s="105">
        <f>IF($B1150="","",(COUNTIF(C1108:E1125,$B1150)+COUNTIF(C1108:E1125,$B1150&amp;" ~*")&gt;0)+(COUNTIF(G1108:I1125,$B1150)+COUNTIF(G1108:I1125,$B1150&amp;" ~*")&gt;0)+(COUNTIF(K1108:M1125,$B1150)+COUNTIF(K1108:M1125,$B1150&amp;" ~*")&gt;0)+(COUNTIF(O1108:Q1125,$B1150)+COUNTIF(O1108:Q1125,$B1150&amp;" ~*")&gt;0)+(COUNTIF(S1108:U1125,$B1150)+COUNTIF(S1108:U1125,$B1150&amp;" ~*")&gt;0)+(COUNTIF(W1108:W1125,$B1150)+COUNTIF(W1108:W1125,$B1150&amp;" ~*")&gt;0)+(COUNTIF(Y1108:Y1125,$B1150)+COUNTIF(Y1108:Y1125,$B1150&amp;" ~*")&gt;0))</f>
        <v/>
      </c>
      <c r="AC1150" s="38">
        <f>IF($B1150="","",(IFERROR(INDEX(Setup!$G$33:$G$40,MATCH(C1150,Setup!$B$33:$B$40,0)),0)=1)*(COUNTIF(C1108:E1125,$B1150)+COUNTIF(C1108:E1125,$B1150&amp;" ~*")&gt;0)+(IFERROR(INDEX(Setup!$G$33:$G$40,MATCH(G1150,Setup!$B$33:$B$40,0)),0)=1)*(COUNTIF(G1108:I1125,$B1150)+COUNTIF(G1108:I1125,$B1150&amp;" ~*")&gt;0)+(IFERROR(INDEX(Setup!$G$33:$G$40,MATCH(K1150,Setup!$B$33:$B$40,0)),0)=1)*(COUNTIF(K1108:M1125,$B1150)+COUNTIF(K1108:M1125,$B1150&amp;" ~*")&gt;0)+(IFERROR(INDEX(Setup!$G$33:$G$40,MATCH(O1150,Setup!$B$33:$B$40,0)),0)=1)*(COUNTIF(O1108:Q1125,$B1150)+COUNTIF(O1108:Q1125,$B1150&amp;" ~*")&gt;0)+(IFERROR(INDEX(Setup!$G$33:$G$40,MATCH(S1150,Setup!$B$33:$B$40,0)),0)=1)*(COUNTIF(S1108:U1125,$B1150)+COUNTIF(S1108:U1125,$B1150&amp;" ~*")&gt;0)+(IFERROR(INDEX(Setup!$G$33:$G$40,MATCH(W1150,Setup!$B$33:$B$40,0)),0)=1)*(COUNTIF(W1108:W1125,$B1150)+COUNTIF(W1108:W1125,$B1150&amp;" ~*")&gt;0)+(IFERROR(INDEX(Setup!$G$33:$G$40,MATCH(Y1150,Setup!$B$33:$B$40,0)),0)=1)*(COUNTIF(Y1108:Y1125,$B1150)+COUNTIF(Y1108:Y1125,$B1150&amp;" ~*")&gt;0))</f>
        <v/>
      </c>
    </row>
    <row r="1151" ht="16" customHeight="1">
      <c r="A1151" t="n">
        <v>23</v>
      </c>
      <c r="B1151" s="106" t="inlineStr">
        <is>
          <t>Available people</t>
        </is>
      </c>
      <c r="C1151" s="107">
        <f>COUNTIFS(Setup!$E$6:$E$29,"Y",Setup!$B$6:$B$29,"?*")-SUMPRODUCT(COUNTIF(C1127:C1150,Setup!$F$33:$F$40))</f>
        <v/>
      </c>
      <c r="D1151" s="107" t="n"/>
      <c r="E1151" s="107" t="n"/>
      <c r="F1151" s="107" t="n"/>
      <c r="G1151" s="107">
        <f>COUNTIFS(Setup!$E$6:$E$29,"Y",Setup!$B$6:$B$29,"?*")-SUMPRODUCT(COUNTIF(G1127:G1150,Setup!$F$33:$F$40))</f>
        <v/>
      </c>
      <c r="H1151" s="107" t="n"/>
      <c r="I1151" s="107" t="n"/>
      <c r="J1151" s="107" t="n"/>
      <c r="K1151" s="107">
        <f>COUNTIFS(Setup!$E$6:$E$29,"Y",Setup!$B$6:$B$29,"?*")-SUMPRODUCT(COUNTIF(K1127:K1150,Setup!$F$33:$F$40))</f>
        <v/>
      </c>
      <c r="L1151" s="107" t="n"/>
      <c r="M1151" s="107" t="n"/>
      <c r="N1151" s="107" t="n"/>
      <c r="O1151" s="107">
        <f>COUNTIFS(Setup!$E$6:$E$29,"Y",Setup!$B$6:$B$29,"?*")-SUMPRODUCT(COUNTIF(O1127:O1150,Setup!$F$33:$F$40))</f>
        <v/>
      </c>
      <c r="P1151" s="107" t="n"/>
      <c r="Q1151" s="107" t="n"/>
      <c r="R1151" s="107" t="n"/>
      <c r="S1151" s="107">
        <f>COUNTIFS(Setup!$E$6:$E$29,"Y",Setup!$B$6:$B$29,"?*")-SUMPRODUCT(COUNTIF(S1127:S1150,Setup!$F$33:$F$40))</f>
        <v/>
      </c>
      <c r="T1151" s="107" t="n"/>
      <c r="U1151" s="107" t="n"/>
      <c r="V1151" s="107" t="n"/>
      <c r="W1151" s="107">
        <f>COUNTIFS(Setup!$E$6:$E$29,"Y",Setup!$B$6:$B$29,"?*")-SUMPRODUCT(COUNTIF(W1127:W1150,Setup!$F$33:$F$40))</f>
        <v/>
      </c>
      <c r="X1151" s="107" t="n"/>
      <c r="Y1151" s="107">
        <f>COUNTIFS(Setup!$E$6:$E$29,"Y",Setup!$B$6:$B$29,"?*")-SUMPRODUCT(COUNTIF(Y1127:Y1150,Setup!$F$33:$F$40))</f>
        <v/>
      </c>
      <c r="Z1151" s="107" t="n"/>
      <c r="AB1151" s="108">
        <f>SUM(AB1127:AB1150)</f>
        <v/>
      </c>
      <c r="AC1151" s="109">
        <f>SUM(AC1127:AC1150)</f>
        <v/>
      </c>
    </row>
    <row r="1152" ht="30" customHeight="1">
      <c r="A1152" t="n">
        <v>23</v>
      </c>
      <c r="B1152" s="110" t="inlineStr">
        <is>
          <t>Week notes</t>
        </is>
      </c>
      <c r="C1152" s="111" t="n"/>
      <c r="D1152" s="112" t="n"/>
      <c r="E1152" s="112" t="n"/>
      <c r="F1152" s="112" t="n"/>
      <c r="G1152" s="112" t="n"/>
      <c r="H1152" s="112" t="n"/>
      <c r="I1152" s="112" t="n"/>
      <c r="J1152" s="112" t="n"/>
      <c r="K1152" s="112" t="n"/>
      <c r="L1152" s="112" t="n"/>
      <c r="M1152" s="112" t="n"/>
      <c r="N1152" s="112" t="n"/>
      <c r="O1152" s="112" t="n"/>
      <c r="P1152" s="112" t="n"/>
      <c r="Q1152" s="112" t="n"/>
      <c r="R1152" s="112" t="n"/>
      <c r="S1152" s="112" t="n"/>
      <c r="T1152" s="112" t="n"/>
      <c r="U1152" s="112" t="n"/>
      <c r="V1152" s="112" t="n"/>
      <c r="W1152" s="112" t="n"/>
      <c r="X1152" s="112" t="n"/>
      <c r="Y1152" s="112" t="n"/>
      <c r="Z1152" s="113" t="n"/>
    </row>
    <row r="1153" ht="8" customHeight="1">
      <c r="A1153" t="n">
        <v>23</v>
      </c>
    </row>
    <row r="1154" ht="8" customHeight="1">
      <c r="A1154" t="n">
        <v>23</v>
      </c>
    </row>
    <row r="1155" ht="24" customHeight="1">
      <c r="A1155" t="n">
        <v>24</v>
      </c>
      <c r="B1155" s="73">
        <f>"WEEK 24     "&amp;TEXT(C1156,"ddd d mmm")&amp;"  –  "&amp;TEXT(C1156+6,"ddd d mmm yyyy")</f>
        <v/>
      </c>
      <c r="S1155" s="74">
        <f>IF(TODAY()&lt;C1156,"FUTURE",IF(TODAY()&gt;C1156+6,"PAST","THIS WEEK"))</f>
        <v/>
      </c>
      <c r="W1155" s="75">
        <f>IF(AND(Engine!$B$8=$AC$3,Engine!$B$9=$A1155),"◀ ACTIVE WEEK","")</f>
        <v/>
      </c>
      <c r="AA1155" s="76" t="n"/>
      <c r="AB1155" s="77" t="inlineStr">
        <is>
          <t>◀ Prev</t>
        </is>
      </c>
      <c r="AC1155" s="77" t="inlineStr">
        <is>
          <t>Next ▶</t>
        </is>
      </c>
    </row>
    <row r="1156" ht="18" customHeight="1">
      <c r="A1156" t="n">
        <v>24</v>
      </c>
      <c r="B1156" s="78" t="inlineStr">
        <is>
          <t>DUTY</t>
        </is>
      </c>
      <c r="C1156" s="79">
        <f>$AC$2+7*($A1156-1)</f>
        <v/>
      </c>
      <c r="D1156" s="80" t="n"/>
      <c r="E1156" s="80" t="n"/>
      <c r="F1156" s="81" t="n"/>
      <c r="G1156" s="79">
        <f>C1156+1</f>
        <v/>
      </c>
      <c r="H1156" s="80" t="n"/>
      <c r="I1156" s="80" t="n"/>
      <c r="J1156" s="81" t="n"/>
      <c r="K1156" s="79">
        <f>C1156+2</f>
        <v/>
      </c>
      <c r="L1156" s="80" t="n"/>
      <c r="M1156" s="80" t="n"/>
      <c r="N1156" s="81" t="n"/>
      <c r="O1156" s="79">
        <f>C1156+3</f>
        <v/>
      </c>
      <c r="P1156" s="80" t="n"/>
      <c r="Q1156" s="80" t="n"/>
      <c r="R1156" s="81" t="n"/>
      <c r="S1156" s="79">
        <f>C1156+4</f>
        <v/>
      </c>
      <c r="T1156" s="80" t="n"/>
      <c r="U1156" s="80" t="n"/>
      <c r="V1156" s="81" t="n"/>
      <c r="W1156" s="82">
        <f>C1156+5</f>
        <v/>
      </c>
      <c r="X1156" s="83" t="n"/>
      <c r="Y1156" s="82">
        <f>C1156+6</f>
        <v/>
      </c>
      <c r="Z1156" s="83" t="n"/>
      <c r="AB1156" s="72" t="inlineStr">
        <is>
          <t>Gaps</t>
        </is>
      </c>
      <c r="AC1156" s="72" t="inlineStr">
        <is>
          <t>Cover</t>
        </is>
      </c>
    </row>
    <row r="1157" ht="14" customHeight="1">
      <c r="A1157" t="n">
        <v>24</v>
      </c>
      <c r="B1157" s="84" t="inlineStr">
        <is>
          <t>(from Setup)</t>
        </is>
      </c>
      <c r="C1157" s="85" t="inlineStr">
        <is>
          <t>1</t>
        </is>
      </c>
      <c r="D1157" s="85" t="inlineStr">
        <is>
          <t>2</t>
        </is>
      </c>
      <c r="E1157" s="85" t="inlineStr">
        <is>
          <t>3</t>
        </is>
      </c>
      <c r="F1157" s="85" t="inlineStr">
        <is>
          <t>Notes</t>
        </is>
      </c>
      <c r="G1157" s="85" t="inlineStr">
        <is>
          <t>1</t>
        </is>
      </c>
      <c r="H1157" s="85" t="inlineStr">
        <is>
          <t>2</t>
        </is>
      </c>
      <c r="I1157" s="85" t="inlineStr">
        <is>
          <t>3</t>
        </is>
      </c>
      <c r="J1157" s="85" t="inlineStr">
        <is>
          <t>Notes</t>
        </is>
      </c>
      <c r="K1157" s="85" t="inlineStr">
        <is>
          <t>1</t>
        </is>
      </c>
      <c r="L1157" s="85" t="inlineStr">
        <is>
          <t>2</t>
        </is>
      </c>
      <c r="M1157" s="85" t="inlineStr">
        <is>
          <t>3</t>
        </is>
      </c>
      <c r="N1157" s="85" t="inlineStr">
        <is>
          <t>Notes</t>
        </is>
      </c>
      <c r="O1157" s="85" t="inlineStr">
        <is>
          <t>1</t>
        </is>
      </c>
      <c r="P1157" s="85" t="inlineStr">
        <is>
          <t>2</t>
        </is>
      </c>
      <c r="Q1157" s="85" t="inlineStr">
        <is>
          <t>3</t>
        </is>
      </c>
      <c r="R1157" s="85" t="inlineStr">
        <is>
          <t>Notes</t>
        </is>
      </c>
      <c r="S1157" s="85" t="inlineStr">
        <is>
          <t>1</t>
        </is>
      </c>
      <c r="T1157" s="85" t="inlineStr">
        <is>
          <t>2</t>
        </is>
      </c>
      <c r="U1157" s="85" t="inlineStr">
        <is>
          <t>3</t>
        </is>
      </c>
      <c r="V1157" s="85" t="inlineStr">
        <is>
          <t>Notes</t>
        </is>
      </c>
      <c r="W1157" s="85" t="inlineStr">
        <is>
          <t>Cover</t>
        </is>
      </c>
      <c r="X1157" s="85" t="inlineStr">
        <is>
          <t>Notes</t>
        </is>
      </c>
      <c r="Y1157" s="85" t="inlineStr">
        <is>
          <t>Cover</t>
        </is>
      </c>
      <c r="Z1157" s="85" t="inlineStr">
        <is>
          <t>Notes</t>
        </is>
      </c>
      <c r="AB1157" s="86" t="inlineStr">
        <is>
          <t>weekdays short</t>
        </is>
      </c>
      <c r="AC1157" s="87" t="inlineStr"/>
    </row>
    <row r="1158" ht="17" customHeight="1">
      <c r="A1158" t="n">
        <v>24</v>
      </c>
      <c r="B1158" s="24">
        <f>IF(Setup!$K$6="","",Setup!$K$6)</f>
        <v/>
      </c>
      <c r="C1158" s="88" t="n"/>
      <c r="D1158" s="88" t="n"/>
      <c r="E1158" s="88" t="n"/>
      <c r="F1158" s="89" t="n"/>
      <c r="G1158" s="88" t="n"/>
      <c r="H1158" s="88" t="n"/>
      <c r="I1158" s="88" t="n"/>
      <c r="J1158" s="89" t="n"/>
      <c r="K1158" s="88" t="n"/>
      <c r="L1158" s="88" t="n"/>
      <c r="M1158" s="88" t="n"/>
      <c r="N1158" s="89" t="n"/>
      <c r="O1158" s="88" t="n"/>
      <c r="P1158" s="88" t="n"/>
      <c r="Q1158" s="88" t="n"/>
      <c r="R1158" s="89" t="n"/>
      <c r="S1158" s="88" t="n"/>
      <c r="T1158" s="88" t="n"/>
      <c r="U1158" s="88" t="n"/>
      <c r="V1158" s="89" t="n"/>
      <c r="W1158" s="88" t="n"/>
      <c r="X1158" s="89" t="n"/>
      <c r="Y1158" s="88" t="n"/>
      <c r="Z1158" s="89" t="n"/>
      <c r="AB1158" s="25">
        <f>IF($B1158="","",(COUNTIF(C1158:E1158,"?*")&lt;N(INDEX(Setup!$L$6:$L$23,1)))+(COUNTIF(G1158:I1158,"?*")&lt;N(INDEX(Setup!$L$6:$L$23,1)))+(COUNTIF(K1158:M1158,"?*")&lt;N(INDEX(Setup!$L$6:$L$23,1)))+(COUNTIF(O1158:Q1158,"?*")&lt;N(INDEX(Setup!$L$6:$L$23,1)))+(COUNTIF(S1158:U1158,"?*")&lt;N(INDEX(Setup!$L$6:$L$23,1)))+((W1158="")*(INDEX(Setup!$M$6:$M$23,1)="Y"))+((Y1158="")*(INDEX(Setup!$M$6:$M$23,1)="Y")))</f>
        <v/>
      </c>
      <c r="AC1158" s="90">
        <f>IF($B1158="","",IF(AB1158=0,"✓ covered","⚠ "&amp;AB1158&amp;IF(AB1158=1," gap"," gaps")))</f>
        <v/>
      </c>
    </row>
    <row r="1159" ht="17" customHeight="1">
      <c r="A1159" t="n">
        <v>24</v>
      </c>
      <c r="B1159" s="29">
        <f>IF(Setup!$K$7="","",Setup!$K$7)</f>
        <v/>
      </c>
      <c r="C1159" s="88" t="n"/>
      <c r="D1159" s="88" t="n"/>
      <c r="E1159" s="88" t="n"/>
      <c r="F1159" s="89" t="n"/>
      <c r="G1159" s="88" t="n"/>
      <c r="H1159" s="88" t="n"/>
      <c r="I1159" s="88" t="n"/>
      <c r="J1159" s="89" t="n"/>
      <c r="K1159" s="88" t="n"/>
      <c r="L1159" s="88" t="n"/>
      <c r="M1159" s="88" t="n"/>
      <c r="N1159" s="89" t="n"/>
      <c r="O1159" s="88" t="n"/>
      <c r="P1159" s="88" t="n"/>
      <c r="Q1159" s="88" t="n"/>
      <c r="R1159" s="89" t="n"/>
      <c r="S1159" s="88" t="n"/>
      <c r="T1159" s="88" t="n"/>
      <c r="U1159" s="88" t="n"/>
      <c r="V1159" s="89" t="n"/>
      <c r="W1159" s="88" t="n"/>
      <c r="X1159" s="89" t="n"/>
      <c r="Y1159" s="88" t="n"/>
      <c r="Z1159" s="89" t="n"/>
      <c r="AB1159" s="30">
        <f>IF($B1159="","",(COUNTIF(C1159:E1159,"?*")&lt;N(INDEX(Setup!$L$6:$L$23,2)))+(COUNTIF(G1159:I1159,"?*")&lt;N(INDEX(Setup!$L$6:$L$23,2)))+(COUNTIF(K1159:M1159,"?*")&lt;N(INDEX(Setup!$L$6:$L$23,2)))+(COUNTIF(O1159:Q1159,"?*")&lt;N(INDEX(Setup!$L$6:$L$23,2)))+(COUNTIF(S1159:U1159,"?*")&lt;N(INDEX(Setup!$L$6:$L$23,2)))+((W1159="")*(INDEX(Setup!$M$6:$M$23,2)="Y"))+((Y1159="")*(INDEX(Setup!$M$6:$M$23,2)="Y")))</f>
        <v/>
      </c>
      <c r="AC1159" s="91">
        <f>IF($B1159="","",IF(AB1159=0,"✓ covered","⚠ "&amp;AB1159&amp;IF(AB1159=1," gap"," gaps")))</f>
        <v/>
      </c>
    </row>
    <row r="1160" ht="17" customHeight="1">
      <c r="A1160" t="n">
        <v>24</v>
      </c>
      <c r="B1160" s="24">
        <f>IF(Setup!$K$8="","",Setup!$K$8)</f>
        <v/>
      </c>
      <c r="C1160" s="88" t="n"/>
      <c r="D1160" s="88" t="n"/>
      <c r="E1160" s="88" t="n"/>
      <c r="F1160" s="89" t="n"/>
      <c r="G1160" s="88" t="n"/>
      <c r="H1160" s="88" t="n"/>
      <c r="I1160" s="88" t="n"/>
      <c r="J1160" s="89" t="n"/>
      <c r="K1160" s="88" t="n"/>
      <c r="L1160" s="88" t="n"/>
      <c r="M1160" s="88" t="n"/>
      <c r="N1160" s="89" t="n"/>
      <c r="O1160" s="88" t="n"/>
      <c r="P1160" s="88" t="n"/>
      <c r="Q1160" s="88" t="n"/>
      <c r="R1160" s="89" t="n"/>
      <c r="S1160" s="88" t="n"/>
      <c r="T1160" s="88" t="n"/>
      <c r="U1160" s="88" t="n"/>
      <c r="V1160" s="89" t="n"/>
      <c r="W1160" s="88" t="n"/>
      <c r="X1160" s="89" t="n"/>
      <c r="Y1160" s="88" t="n"/>
      <c r="Z1160" s="89" t="n"/>
      <c r="AB1160" s="25">
        <f>IF($B1160="","",(COUNTIF(C1160:E1160,"?*")&lt;N(INDEX(Setup!$L$6:$L$23,3)))+(COUNTIF(G1160:I1160,"?*")&lt;N(INDEX(Setup!$L$6:$L$23,3)))+(COUNTIF(K1160:M1160,"?*")&lt;N(INDEX(Setup!$L$6:$L$23,3)))+(COUNTIF(O1160:Q1160,"?*")&lt;N(INDEX(Setup!$L$6:$L$23,3)))+(COUNTIF(S1160:U1160,"?*")&lt;N(INDEX(Setup!$L$6:$L$23,3)))+((W1160="")*(INDEX(Setup!$M$6:$M$23,3)="Y"))+((Y1160="")*(INDEX(Setup!$M$6:$M$23,3)="Y")))</f>
        <v/>
      </c>
      <c r="AC1160" s="90">
        <f>IF($B1160="","",IF(AB1160=0,"✓ covered","⚠ "&amp;AB1160&amp;IF(AB1160=1," gap"," gaps")))</f>
        <v/>
      </c>
    </row>
    <row r="1161" ht="17" customHeight="1">
      <c r="A1161" t="n">
        <v>24</v>
      </c>
      <c r="B1161" s="29">
        <f>IF(Setup!$K$9="","",Setup!$K$9)</f>
        <v/>
      </c>
      <c r="C1161" s="88" t="n"/>
      <c r="D1161" s="88" t="n"/>
      <c r="E1161" s="88" t="n"/>
      <c r="F1161" s="89" t="n"/>
      <c r="G1161" s="88" t="n"/>
      <c r="H1161" s="88" t="n"/>
      <c r="I1161" s="88" t="n"/>
      <c r="J1161" s="89" t="n"/>
      <c r="K1161" s="88" t="n"/>
      <c r="L1161" s="88" t="n"/>
      <c r="M1161" s="88" t="n"/>
      <c r="N1161" s="89" t="n"/>
      <c r="O1161" s="88" t="n"/>
      <c r="P1161" s="88" t="n"/>
      <c r="Q1161" s="88" t="n"/>
      <c r="R1161" s="89" t="n"/>
      <c r="S1161" s="88" t="n"/>
      <c r="T1161" s="88" t="n"/>
      <c r="U1161" s="88" t="n"/>
      <c r="V1161" s="89" t="n"/>
      <c r="W1161" s="88" t="n"/>
      <c r="X1161" s="89" t="n"/>
      <c r="Y1161" s="88" t="n"/>
      <c r="Z1161" s="89" t="n"/>
      <c r="AB1161" s="30">
        <f>IF($B1161="","",(COUNTIF(C1161:E1161,"?*")&lt;N(INDEX(Setup!$L$6:$L$23,4)))+(COUNTIF(G1161:I1161,"?*")&lt;N(INDEX(Setup!$L$6:$L$23,4)))+(COUNTIF(K1161:M1161,"?*")&lt;N(INDEX(Setup!$L$6:$L$23,4)))+(COUNTIF(O1161:Q1161,"?*")&lt;N(INDEX(Setup!$L$6:$L$23,4)))+(COUNTIF(S1161:U1161,"?*")&lt;N(INDEX(Setup!$L$6:$L$23,4)))+((W1161="")*(INDEX(Setup!$M$6:$M$23,4)="Y"))+((Y1161="")*(INDEX(Setup!$M$6:$M$23,4)="Y")))</f>
        <v/>
      </c>
      <c r="AC1161" s="91">
        <f>IF($B1161="","",IF(AB1161=0,"✓ covered","⚠ "&amp;AB1161&amp;IF(AB1161=1," gap"," gaps")))</f>
        <v/>
      </c>
    </row>
    <row r="1162" ht="17" customHeight="1">
      <c r="A1162" t="n">
        <v>24</v>
      </c>
      <c r="B1162" s="24">
        <f>IF(Setup!$K$10="","",Setup!$K$10)</f>
        <v/>
      </c>
      <c r="C1162" s="88" t="n"/>
      <c r="D1162" s="88" t="n"/>
      <c r="E1162" s="88" t="n"/>
      <c r="F1162" s="89" t="n"/>
      <c r="G1162" s="88" t="n"/>
      <c r="H1162" s="88" t="n"/>
      <c r="I1162" s="88" t="n"/>
      <c r="J1162" s="89" t="n"/>
      <c r="K1162" s="88" t="n"/>
      <c r="L1162" s="88" t="n"/>
      <c r="M1162" s="88" t="n"/>
      <c r="N1162" s="89" t="n"/>
      <c r="O1162" s="88" t="n"/>
      <c r="P1162" s="88" t="n"/>
      <c r="Q1162" s="88" t="n"/>
      <c r="R1162" s="89" t="n"/>
      <c r="S1162" s="88" t="n"/>
      <c r="T1162" s="88" t="n"/>
      <c r="U1162" s="88" t="n"/>
      <c r="V1162" s="89" t="n"/>
      <c r="W1162" s="88" t="n"/>
      <c r="X1162" s="89" t="n"/>
      <c r="Y1162" s="88" t="n"/>
      <c r="Z1162" s="89" t="n"/>
      <c r="AB1162" s="25">
        <f>IF($B1162="","",(COUNTIF(C1162:E1162,"?*")&lt;N(INDEX(Setup!$L$6:$L$23,5)))+(COUNTIF(G1162:I1162,"?*")&lt;N(INDEX(Setup!$L$6:$L$23,5)))+(COUNTIF(K1162:M1162,"?*")&lt;N(INDEX(Setup!$L$6:$L$23,5)))+(COUNTIF(O1162:Q1162,"?*")&lt;N(INDEX(Setup!$L$6:$L$23,5)))+(COUNTIF(S1162:U1162,"?*")&lt;N(INDEX(Setup!$L$6:$L$23,5)))+((W1162="")*(INDEX(Setup!$M$6:$M$23,5)="Y"))+((Y1162="")*(INDEX(Setup!$M$6:$M$23,5)="Y")))</f>
        <v/>
      </c>
      <c r="AC1162" s="90">
        <f>IF($B1162="","",IF(AB1162=0,"✓ covered","⚠ "&amp;AB1162&amp;IF(AB1162=1," gap"," gaps")))</f>
        <v/>
      </c>
    </row>
    <row r="1163" ht="17" customHeight="1">
      <c r="A1163" t="n">
        <v>24</v>
      </c>
      <c r="B1163" s="29">
        <f>IF(Setup!$K$11="","",Setup!$K$11)</f>
        <v/>
      </c>
      <c r="C1163" s="88" t="n"/>
      <c r="D1163" s="88" t="n"/>
      <c r="E1163" s="88" t="n"/>
      <c r="F1163" s="89" t="n"/>
      <c r="G1163" s="88" t="n"/>
      <c r="H1163" s="88" t="n"/>
      <c r="I1163" s="88" t="n"/>
      <c r="J1163" s="89" t="n"/>
      <c r="K1163" s="88" t="n"/>
      <c r="L1163" s="88" t="n"/>
      <c r="M1163" s="88" t="n"/>
      <c r="N1163" s="89" t="n"/>
      <c r="O1163" s="88" t="n"/>
      <c r="P1163" s="88" t="n"/>
      <c r="Q1163" s="88" t="n"/>
      <c r="R1163" s="89" t="n"/>
      <c r="S1163" s="88" t="n"/>
      <c r="T1163" s="88" t="n"/>
      <c r="U1163" s="88" t="n"/>
      <c r="V1163" s="89" t="n"/>
      <c r="W1163" s="88" t="n"/>
      <c r="X1163" s="89" t="n"/>
      <c r="Y1163" s="88" t="n"/>
      <c r="Z1163" s="89" t="n"/>
      <c r="AB1163" s="30">
        <f>IF($B1163="","",(COUNTIF(C1163:E1163,"?*")&lt;N(INDEX(Setup!$L$6:$L$23,6)))+(COUNTIF(G1163:I1163,"?*")&lt;N(INDEX(Setup!$L$6:$L$23,6)))+(COUNTIF(K1163:M1163,"?*")&lt;N(INDEX(Setup!$L$6:$L$23,6)))+(COUNTIF(O1163:Q1163,"?*")&lt;N(INDEX(Setup!$L$6:$L$23,6)))+(COUNTIF(S1163:U1163,"?*")&lt;N(INDEX(Setup!$L$6:$L$23,6)))+((W1163="")*(INDEX(Setup!$M$6:$M$23,6)="Y"))+((Y1163="")*(INDEX(Setup!$M$6:$M$23,6)="Y")))</f>
        <v/>
      </c>
      <c r="AC1163" s="91">
        <f>IF($B1163="","",IF(AB1163=0,"✓ covered","⚠ "&amp;AB1163&amp;IF(AB1163=1," gap"," gaps")))</f>
        <v/>
      </c>
    </row>
    <row r="1164" ht="17" customHeight="1">
      <c r="A1164" t="n">
        <v>24</v>
      </c>
      <c r="B1164" s="24">
        <f>IF(Setup!$K$12="","",Setup!$K$12)</f>
        <v/>
      </c>
      <c r="C1164" s="88" t="n"/>
      <c r="D1164" s="88" t="n"/>
      <c r="E1164" s="88" t="n"/>
      <c r="F1164" s="89" t="n"/>
      <c r="G1164" s="88" t="n"/>
      <c r="H1164" s="88" t="n"/>
      <c r="I1164" s="88" t="n"/>
      <c r="J1164" s="89" t="n"/>
      <c r="K1164" s="88" t="n"/>
      <c r="L1164" s="88" t="n"/>
      <c r="M1164" s="88" t="n"/>
      <c r="N1164" s="89" t="n"/>
      <c r="O1164" s="88" t="n"/>
      <c r="P1164" s="88" t="n"/>
      <c r="Q1164" s="88" t="n"/>
      <c r="R1164" s="89" t="n"/>
      <c r="S1164" s="88" t="n"/>
      <c r="T1164" s="88" t="n"/>
      <c r="U1164" s="88" t="n"/>
      <c r="V1164" s="89" t="n"/>
      <c r="W1164" s="88" t="n"/>
      <c r="X1164" s="89" t="n"/>
      <c r="Y1164" s="88" t="n"/>
      <c r="Z1164" s="89" t="n"/>
      <c r="AB1164" s="25">
        <f>IF($B1164="","",(COUNTIF(C1164:E1164,"?*")&lt;N(INDEX(Setup!$L$6:$L$23,7)))+(COUNTIF(G1164:I1164,"?*")&lt;N(INDEX(Setup!$L$6:$L$23,7)))+(COUNTIF(K1164:M1164,"?*")&lt;N(INDEX(Setup!$L$6:$L$23,7)))+(COUNTIF(O1164:Q1164,"?*")&lt;N(INDEX(Setup!$L$6:$L$23,7)))+(COUNTIF(S1164:U1164,"?*")&lt;N(INDEX(Setup!$L$6:$L$23,7)))+((W1164="")*(INDEX(Setup!$M$6:$M$23,7)="Y"))+((Y1164="")*(INDEX(Setup!$M$6:$M$23,7)="Y")))</f>
        <v/>
      </c>
      <c r="AC1164" s="90">
        <f>IF($B1164="","",IF(AB1164=0,"✓ covered","⚠ "&amp;AB1164&amp;IF(AB1164=1," gap"," gaps")))</f>
        <v/>
      </c>
    </row>
    <row r="1165" ht="17" customHeight="1">
      <c r="A1165" t="n">
        <v>24</v>
      </c>
      <c r="B1165" s="29">
        <f>IF(Setup!$K$13="","",Setup!$K$13)</f>
        <v/>
      </c>
      <c r="C1165" s="88" t="n"/>
      <c r="D1165" s="88" t="n"/>
      <c r="E1165" s="88" t="n"/>
      <c r="F1165" s="89" t="n"/>
      <c r="G1165" s="88" t="n"/>
      <c r="H1165" s="88" t="n"/>
      <c r="I1165" s="88" t="n"/>
      <c r="J1165" s="89" t="n"/>
      <c r="K1165" s="88" t="n"/>
      <c r="L1165" s="88" t="n"/>
      <c r="M1165" s="88" t="n"/>
      <c r="N1165" s="89" t="n"/>
      <c r="O1165" s="88" t="n"/>
      <c r="P1165" s="88" t="n"/>
      <c r="Q1165" s="88" t="n"/>
      <c r="R1165" s="89" t="n"/>
      <c r="S1165" s="88" t="n"/>
      <c r="T1165" s="88" t="n"/>
      <c r="U1165" s="88" t="n"/>
      <c r="V1165" s="89" t="n"/>
      <c r="W1165" s="88" t="n"/>
      <c r="X1165" s="89" t="n"/>
      <c r="Y1165" s="88" t="n"/>
      <c r="Z1165" s="89" t="n"/>
      <c r="AB1165" s="30">
        <f>IF($B1165="","",(COUNTIF(C1165:E1165,"?*")&lt;N(INDEX(Setup!$L$6:$L$23,8)))+(COUNTIF(G1165:I1165,"?*")&lt;N(INDEX(Setup!$L$6:$L$23,8)))+(COUNTIF(K1165:M1165,"?*")&lt;N(INDEX(Setup!$L$6:$L$23,8)))+(COUNTIF(O1165:Q1165,"?*")&lt;N(INDEX(Setup!$L$6:$L$23,8)))+(COUNTIF(S1165:U1165,"?*")&lt;N(INDEX(Setup!$L$6:$L$23,8)))+((W1165="")*(INDEX(Setup!$M$6:$M$23,8)="Y"))+((Y1165="")*(INDEX(Setup!$M$6:$M$23,8)="Y")))</f>
        <v/>
      </c>
      <c r="AC1165" s="91">
        <f>IF($B1165="","",IF(AB1165=0,"✓ covered","⚠ "&amp;AB1165&amp;IF(AB1165=1," gap"," gaps")))</f>
        <v/>
      </c>
    </row>
    <row r="1166" ht="17" customHeight="1">
      <c r="A1166" t="n">
        <v>24</v>
      </c>
      <c r="B1166" s="24">
        <f>IF(Setup!$K$14="","",Setup!$K$14)</f>
        <v/>
      </c>
      <c r="C1166" s="88" t="n"/>
      <c r="D1166" s="88" t="n"/>
      <c r="E1166" s="88" t="n"/>
      <c r="F1166" s="89" t="n"/>
      <c r="G1166" s="88" t="n"/>
      <c r="H1166" s="88" t="n"/>
      <c r="I1166" s="88" t="n"/>
      <c r="J1166" s="89" t="n"/>
      <c r="K1166" s="88" t="n"/>
      <c r="L1166" s="88" t="n"/>
      <c r="M1166" s="88" t="n"/>
      <c r="N1166" s="89" t="n"/>
      <c r="O1166" s="88" t="n"/>
      <c r="P1166" s="88" t="n"/>
      <c r="Q1166" s="88" t="n"/>
      <c r="R1166" s="89" t="n"/>
      <c r="S1166" s="88" t="n"/>
      <c r="T1166" s="88" t="n"/>
      <c r="U1166" s="88" t="n"/>
      <c r="V1166" s="89" t="n"/>
      <c r="W1166" s="88" t="n"/>
      <c r="X1166" s="89" t="n"/>
      <c r="Y1166" s="88" t="n"/>
      <c r="Z1166" s="89" t="n"/>
      <c r="AB1166" s="25">
        <f>IF($B1166="","",(COUNTIF(C1166:E1166,"?*")&lt;N(INDEX(Setup!$L$6:$L$23,9)))+(COUNTIF(G1166:I1166,"?*")&lt;N(INDEX(Setup!$L$6:$L$23,9)))+(COUNTIF(K1166:M1166,"?*")&lt;N(INDEX(Setup!$L$6:$L$23,9)))+(COUNTIF(O1166:Q1166,"?*")&lt;N(INDEX(Setup!$L$6:$L$23,9)))+(COUNTIF(S1166:U1166,"?*")&lt;N(INDEX(Setup!$L$6:$L$23,9)))+((W1166="")*(INDEX(Setup!$M$6:$M$23,9)="Y"))+((Y1166="")*(INDEX(Setup!$M$6:$M$23,9)="Y")))</f>
        <v/>
      </c>
      <c r="AC1166" s="90">
        <f>IF($B1166="","",IF(AB1166=0,"✓ covered","⚠ "&amp;AB1166&amp;IF(AB1166=1," gap"," gaps")))</f>
        <v/>
      </c>
    </row>
    <row r="1167" ht="17" customHeight="1">
      <c r="A1167" t="n">
        <v>24</v>
      </c>
      <c r="B1167" s="29">
        <f>IF(Setup!$K$15="","",Setup!$K$15)</f>
        <v/>
      </c>
      <c r="C1167" s="88" t="n"/>
      <c r="D1167" s="88" t="n"/>
      <c r="E1167" s="88" t="n"/>
      <c r="F1167" s="89" t="n"/>
      <c r="G1167" s="88" t="n"/>
      <c r="H1167" s="88" t="n"/>
      <c r="I1167" s="88" t="n"/>
      <c r="J1167" s="89" t="n"/>
      <c r="K1167" s="88" t="n"/>
      <c r="L1167" s="88" t="n"/>
      <c r="M1167" s="88" t="n"/>
      <c r="N1167" s="89" t="n"/>
      <c r="O1167" s="88" t="n"/>
      <c r="P1167" s="88" t="n"/>
      <c r="Q1167" s="88" t="n"/>
      <c r="R1167" s="89" t="n"/>
      <c r="S1167" s="88" t="n"/>
      <c r="T1167" s="88" t="n"/>
      <c r="U1167" s="88" t="n"/>
      <c r="V1167" s="89" t="n"/>
      <c r="W1167" s="88" t="n"/>
      <c r="X1167" s="89" t="n"/>
      <c r="Y1167" s="88" t="n"/>
      <c r="Z1167" s="89" t="n"/>
      <c r="AB1167" s="30">
        <f>IF($B1167="","",(COUNTIF(C1167:E1167,"?*")&lt;N(INDEX(Setup!$L$6:$L$23,10)))+(COUNTIF(G1167:I1167,"?*")&lt;N(INDEX(Setup!$L$6:$L$23,10)))+(COUNTIF(K1167:M1167,"?*")&lt;N(INDEX(Setup!$L$6:$L$23,10)))+(COUNTIF(O1167:Q1167,"?*")&lt;N(INDEX(Setup!$L$6:$L$23,10)))+(COUNTIF(S1167:U1167,"?*")&lt;N(INDEX(Setup!$L$6:$L$23,10)))+((W1167="")*(INDEX(Setup!$M$6:$M$23,10)="Y"))+((Y1167="")*(INDEX(Setup!$M$6:$M$23,10)="Y")))</f>
        <v/>
      </c>
      <c r="AC1167" s="91">
        <f>IF($B1167="","",IF(AB1167=0,"✓ covered","⚠ "&amp;AB1167&amp;IF(AB1167=1," gap"," gaps")))</f>
        <v/>
      </c>
    </row>
    <row r="1168" ht="17" customHeight="1">
      <c r="A1168" t="n">
        <v>24</v>
      </c>
      <c r="B1168" s="24">
        <f>IF(Setup!$K$16="","",Setup!$K$16)</f>
        <v/>
      </c>
      <c r="C1168" s="88" t="n"/>
      <c r="D1168" s="88" t="n"/>
      <c r="E1168" s="88" t="n"/>
      <c r="F1168" s="89" t="n"/>
      <c r="G1168" s="88" t="n"/>
      <c r="H1168" s="88" t="n"/>
      <c r="I1168" s="88" t="n"/>
      <c r="J1168" s="89" t="n"/>
      <c r="K1168" s="88" t="n"/>
      <c r="L1168" s="88" t="n"/>
      <c r="M1168" s="88" t="n"/>
      <c r="N1168" s="89" t="n"/>
      <c r="O1168" s="88" t="n"/>
      <c r="P1168" s="88" t="n"/>
      <c r="Q1168" s="88" t="n"/>
      <c r="R1168" s="89" t="n"/>
      <c r="S1168" s="88" t="n"/>
      <c r="T1168" s="88" t="n"/>
      <c r="U1168" s="88" t="n"/>
      <c r="V1168" s="89" t="n"/>
      <c r="W1168" s="88" t="n"/>
      <c r="X1168" s="89" t="n"/>
      <c r="Y1168" s="88" t="n"/>
      <c r="Z1168" s="89" t="n"/>
      <c r="AB1168" s="25">
        <f>IF($B1168="","",(COUNTIF(C1168:E1168,"?*")&lt;N(INDEX(Setup!$L$6:$L$23,11)))+(COUNTIF(G1168:I1168,"?*")&lt;N(INDEX(Setup!$L$6:$L$23,11)))+(COUNTIF(K1168:M1168,"?*")&lt;N(INDEX(Setup!$L$6:$L$23,11)))+(COUNTIF(O1168:Q1168,"?*")&lt;N(INDEX(Setup!$L$6:$L$23,11)))+(COUNTIF(S1168:U1168,"?*")&lt;N(INDEX(Setup!$L$6:$L$23,11)))+((W1168="")*(INDEX(Setup!$M$6:$M$23,11)="Y"))+((Y1168="")*(INDEX(Setup!$M$6:$M$23,11)="Y")))</f>
        <v/>
      </c>
      <c r="AC1168" s="90">
        <f>IF($B1168="","",IF(AB1168=0,"✓ covered","⚠ "&amp;AB1168&amp;IF(AB1168=1," gap"," gaps")))</f>
        <v/>
      </c>
    </row>
    <row r="1169" ht="17" customHeight="1">
      <c r="A1169" t="n">
        <v>24</v>
      </c>
      <c r="B1169" s="29">
        <f>IF(Setup!$K$17="","",Setup!$K$17)</f>
        <v/>
      </c>
      <c r="C1169" s="88" t="n"/>
      <c r="D1169" s="88" t="n"/>
      <c r="E1169" s="88" t="n"/>
      <c r="F1169" s="89" t="n"/>
      <c r="G1169" s="88" t="n"/>
      <c r="H1169" s="88" t="n"/>
      <c r="I1169" s="88" t="n"/>
      <c r="J1169" s="89" t="n"/>
      <c r="K1169" s="88" t="n"/>
      <c r="L1169" s="88" t="n"/>
      <c r="M1169" s="88" t="n"/>
      <c r="N1169" s="89" t="n"/>
      <c r="O1169" s="88" t="n"/>
      <c r="P1169" s="88" t="n"/>
      <c r="Q1169" s="88" t="n"/>
      <c r="R1169" s="89" t="n"/>
      <c r="S1169" s="88" t="n"/>
      <c r="T1169" s="88" t="n"/>
      <c r="U1169" s="88" t="n"/>
      <c r="V1169" s="89" t="n"/>
      <c r="W1169" s="88" t="n"/>
      <c r="X1169" s="89" t="n"/>
      <c r="Y1169" s="88" t="n"/>
      <c r="Z1169" s="89" t="n"/>
      <c r="AB1169" s="30">
        <f>IF($B1169="","",(COUNTIF(C1169:E1169,"?*")&lt;N(INDEX(Setup!$L$6:$L$23,12)))+(COUNTIF(G1169:I1169,"?*")&lt;N(INDEX(Setup!$L$6:$L$23,12)))+(COUNTIF(K1169:M1169,"?*")&lt;N(INDEX(Setup!$L$6:$L$23,12)))+(COUNTIF(O1169:Q1169,"?*")&lt;N(INDEX(Setup!$L$6:$L$23,12)))+(COUNTIF(S1169:U1169,"?*")&lt;N(INDEX(Setup!$L$6:$L$23,12)))+((W1169="")*(INDEX(Setup!$M$6:$M$23,12)="Y"))+((Y1169="")*(INDEX(Setup!$M$6:$M$23,12)="Y")))</f>
        <v/>
      </c>
      <c r="AC1169" s="91">
        <f>IF($B1169="","",IF(AB1169=0,"✓ covered","⚠ "&amp;AB1169&amp;IF(AB1169=1," gap"," gaps")))</f>
        <v/>
      </c>
    </row>
    <row r="1170" ht="17" customHeight="1">
      <c r="A1170" t="n">
        <v>24</v>
      </c>
      <c r="B1170" s="24">
        <f>IF(Setup!$K$18="","",Setup!$K$18)</f>
        <v/>
      </c>
      <c r="C1170" s="88" t="n"/>
      <c r="D1170" s="88" t="n"/>
      <c r="E1170" s="88" t="n"/>
      <c r="F1170" s="89" t="n"/>
      <c r="G1170" s="88" t="n"/>
      <c r="H1170" s="88" t="n"/>
      <c r="I1170" s="88" t="n"/>
      <c r="J1170" s="89" t="n"/>
      <c r="K1170" s="88" t="n"/>
      <c r="L1170" s="88" t="n"/>
      <c r="M1170" s="88" t="n"/>
      <c r="N1170" s="89" t="n"/>
      <c r="O1170" s="88" t="n"/>
      <c r="P1170" s="88" t="n"/>
      <c r="Q1170" s="88" t="n"/>
      <c r="R1170" s="89" t="n"/>
      <c r="S1170" s="88" t="n"/>
      <c r="T1170" s="88" t="n"/>
      <c r="U1170" s="88" t="n"/>
      <c r="V1170" s="89" t="n"/>
      <c r="W1170" s="88" t="n"/>
      <c r="X1170" s="89" t="n"/>
      <c r="Y1170" s="88" t="n"/>
      <c r="Z1170" s="89" t="n"/>
      <c r="AB1170" s="25">
        <f>IF($B1170="","",(COUNTIF(C1170:E1170,"?*")&lt;N(INDEX(Setup!$L$6:$L$23,13)))+(COUNTIF(G1170:I1170,"?*")&lt;N(INDEX(Setup!$L$6:$L$23,13)))+(COUNTIF(K1170:M1170,"?*")&lt;N(INDEX(Setup!$L$6:$L$23,13)))+(COUNTIF(O1170:Q1170,"?*")&lt;N(INDEX(Setup!$L$6:$L$23,13)))+(COUNTIF(S1170:U1170,"?*")&lt;N(INDEX(Setup!$L$6:$L$23,13)))+((W1170="")*(INDEX(Setup!$M$6:$M$23,13)="Y"))+((Y1170="")*(INDEX(Setup!$M$6:$M$23,13)="Y")))</f>
        <v/>
      </c>
      <c r="AC1170" s="90">
        <f>IF($B1170="","",IF(AB1170=0,"✓ covered","⚠ "&amp;AB1170&amp;IF(AB1170=1," gap"," gaps")))</f>
        <v/>
      </c>
    </row>
    <row r="1171" ht="17" customHeight="1">
      <c r="A1171" t="n">
        <v>24</v>
      </c>
      <c r="B1171" s="29">
        <f>IF(Setup!$K$19="","",Setup!$K$19)</f>
        <v/>
      </c>
      <c r="C1171" s="88" t="n"/>
      <c r="D1171" s="88" t="n"/>
      <c r="E1171" s="88" t="n"/>
      <c r="F1171" s="89" t="n"/>
      <c r="G1171" s="88" t="n"/>
      <c r="H1171" s="88" t="n"/>
      <c r="I1171" s="88" t="n"/>
      <c r="J1171" s="89" t="n"/>
      <c r="K1171" s="88" t="n"/>
      <c r="L1171" s="88" t="n"/>
      <c r="M1171" s="88" t="n"/>
      <c r="N1171" s="89" t="n"/>
      <c r="O1171" s="88" t="n"/>
      <c r="P1171" s="88" t="n"/>
      <c r="Q1171" s="88" t="n"/>
      <c r="R1171" s="89" t="n"/>
      <c r="S1171" s="88" t="n"/>
      <c r="T1171" s="88" t="n"/>
      <c r="U1171" s="88" t="n"/>
      <c r="V1171" s="89" t="n"/>
      <c r="W1171" s="88" t="n"/>
      <c r="X1171" s="89" t="n"/>
      <c r="Y1171" s="88" t="n"/>
      <c r="Z1171" s="89" t="n"/>
      <c r="AB1171" s="30">
        <f>IF($B1171="","",(COUNTIF(C1171:E1171,"?*")&lt;N(INDEX(Setup!$L$6:$L$23,14)))+(COUNTIF(G1171:I1171,"?*")&lt;N(INDEX(Setup!$L$6:$L$23,14)))+(COUNTIF(K1171:M1171,"?*")&lt;N(INDEX(Setup!$L$6:$L$23,14)))+(COUNTIF(O1171:Q1171,"?*")&lt;N(INDEX(Setup!$L$6:$L$23,14)))+(COUNTIF(S1171:U1171,"?*")&lt;N(INDEX(Setup!$L$6:$L$23,14)))+((W1171="")*(INDEX(Setup!$M$6:$M$23,14)="Y"))+((Y1171="")*(INDEX(Setup!$M$6:$M$23,14)="Y")))</f>
        <v/>
      </c>
      <c r="AC1171" s="91">
        <f>IF($B1171="","",IF(AB1171=0,"✓ covered","⚠ "&amp;AB1171&amp;IF(AB1171=1," gap"," gaps")))</f>
        <v/>
      </c>
    </row>
    <row r="1172" ht="17" customHeight="1">
      <c r="A1172" t="n">
        <v>24</v>
      </c>
      <c r="B1172" s="24">
        <f>IF(Setup!$K$20="","",Setup!$K$20)</f>
        <v/>
      </c>
      <c r="C1172" s="88" t="n"/>
      <c r="D1172" s="88" t="n"/>
      <c r="E1172" s="88" t="n"/>
      <c r="F1172" s="89" t="n"/>
      <c r="G1172" s="88" t="n"/>
      <c r="H1172" s="88" t="n"/>
      <c r="I1172" s="88" t="n"/>
      <c r="J1172" s="89" t="n"/>
      <c r="K1172" s="88" t="n"/>
      <c r="L1172" s="88" t="n"/>
      <c r="M1172" s="88" t="n"/>
      <c r="N1172" s="89" t="n"/>
      <c r="O1172" s="88" t="n"/>
      <c r="P1172" s="88" t="n"/>
      <c r="Q1172" s="88" t="n"/>
      <c r="R1172" s="89" t="n"/>
      <c r="S1172" s="88" t="n"/>
      <c r="T1172" s="88" t="n"/>
      <c r="U1172" s="88" t="n"/>
      <c r="V1172" s="89" t="n"/>
      <c r="W1172" s="88" t="n"/>
      <c r="X1172" s="89" t="n"/>
      <c r="Y1172" s="88" t="n"/>
      <c r="Z1172" s="89" t="n"/>
      <c r="AB1172" s="25">
        <f>IF($B1172="","",(COUNTIF(C1172:E1172,"?*")&lt;N(INDEX(Setup!$L$6:$L$23,15)))+(COUNTIF(G1172:I1172,"?*")&lt;N(INDEX(Setup!$L$6:$L$23,15)))+(COUNTIF(K1172:M1172,"?*")&lt;N(INDEX(Setup!$L$6:$L$23,15)))+(COUNTIF(O1172:Q1172,"?*")&lt;N(INDEX(Setup!$L$6:$L$23,15)))+(COUNTIF(S1172:U1172,"?*")&lt;N(INDEX(Setup!$L$6:$L$23,15)))+((W1172="")*(INDEX(Setup!$M$6:$M$23,15)="Y"))+((Y1172="")*(INDEX(Setup!$M$6:$M$23,15)="Y")))</f>
        <v/>
      </c>
      <c r="AC1172" s="90">
        <f>IF($B1172="","",IF(AB1172=0,"✓ covered","⚠ "&amp;AB1172&amp;IF(AB1172=1," gap"," gaps")))</f>
        <v/>
      </c>
    </row>
    <row r="1173" ht="17" customHeight="1">
      <c r="A1173" t="n">
        <v>24</v>
      </c>
      <c r="B1173" s="29">
        <f>IF(Setup!$K$21="","",Setup!$K$21)</f>
        <v/>
      </c>
      <c r="C1173" s="88" t="n"/>
      <c r="D1173" s="88" t="n"/>
      <c r="E1173" s="88" t="n"/>
      <c r="F1173" s="89" t="n"/>
      <c r="G1173" s="88" t="n"/>
      <c r="H1173" s="88" t="n"/>
      <c r="I1173" s="88" t="n"/>
      <c r="J1173" s="89" t="n"/>
      <c r="K1173" s="88" t="n"/>
      <c r="L1173" s="88" t="n"/>
      <c r="M1173" s="88" t="n"/>
      <c r="N1173" s="89" t="n"/>
      <c r="O1173" s="88" t="n"/>
      <c r="P1173" s="88" t="n"/>
      <c r="Q1173" s="88" t="n"/>
      <c r="R1173" s="89" t="n"/>
      <c r="S1173" s="88" t="n"/>
      <c r="T1173" s="88" t="n"/>
      <c r="U1173" s="88" t="n"/>
      <c r="V1173" s="89" t="n"/>
      <c r="W1173" s="88" t="n"/>
      <c r="X1173" s="89" t="n"/>
      <c r="Y1173" s="88" t="n"/>
      <c r="Z1173" s="89" t="n"/>
      <c r="AB1173" s="30">
        <f>IF($B1173="","",(COUNTIF(C1173:E1173,"?*")&lt;N(INDEX(Setup!$L$6:$L$23,16)))+(COUNTIF(G1173:I1173,"?*")&lt;N(INDEX(Setup!$L$6:$L$23,16)))+(COUNTIF(K1173:M1173,"?*")&lt;N(INDEX(Setup!$L$6:$L$23,16)))+(COUNTIF(O1173:Q1173,"?*")&lt;N(INDEX(Setup!$L$6:$L$23,16)))+(COUNTIF(S1173:U1173,"?*")&lt;N(INDEX(Setup!$L$6:$L$23,16)))+((W1173="")*(INDEX(Setup!$M$6:$M$23,16)="Y"))+((Y1173="")*(INDEX(Setup!$M$6:$M$23,16)="Y")))</f>
        <v/>
      </c>
      <c r="AC1173" s="91">
        <f>IF($B1173="","",IF(AB1173=0,"✓ covered","⚠ "&amp;AB1173&amp;IF(AB1173=1," gap"," gaps")))</f>
        <v/>
      </c>
    </row>
    <row r="1174" ht="17" customHeight="1">
      <c r="A1174" t="n">
        <v>24</v>
      </c>
      <c r="B1174" s="24">
        <f>IF(Setup!$K$22="","",Setup!$K$22)</f>
        <v/>
      </c>
      <c r="C1174" s="88" t="n"/>
      <c r="D1174" s="88" t="n"/>
      <c r="E1174" s="88" t="n"/>
      <c r="F1174" s="89" t="n"/>
      <c r="G1174" s="88" t="n"/>
      <c r="H1174" s="88" t="n"/>
      <c r="I1174" s="88" t="n"/>
      <c r="J1174" s="89" t="n"/>
      <c r="K1174" s="88" t="n"/>
      <c r="L1174" s="88" t="n"/>
      <c r="M1174" s="88" t="n"/>
      <c r="N1174" s="89" t="n"/>
      <c r="O1174" s="88" t="n"/>
      <c r="P1174" s="88" t="n"/>
      <c r="Q1174" s="88" t="n"/>
      <c r="R1174" s="89" t="n"/>
      <c r="S1174" s="88" t="n"/>
      <c r="T1174" s="88" t="n"/>
      <c r="U1174" s="88" t="n"/>
      <c r="V1174" s="89" t="n"/>
      <c r="W1174" s="88" t="n"/>
      <c r="X1174" s="89" t="n"/>
      <c r="Y1174" s="88" t="n"/>
      <c r="Z1174" s="89" t="n"/>
      <c r="AB1174" s="25">
        <f>IF($B1174="","",(COUNTIF(C1174:E1174,"?*")&lt;N(INDEX(Setup!$L$6:$L$23,17)))+(COUNTIF(G1174:I1174,"?*")&lt;N(INDEX(Setup!$L$6:$L$23,17)))+(COUNTIF(K1174:M1174,"?*")&lt;N(INDEX(Setup!$L$6:$L$23,17)))+(COUNTIF(O1174:Q1174,"?*")&lt;N(INDEX(Setup!$L$6:$L$23,17)))+(COUNTIF(S1174:U1174,"?*")&lt;N(INDEX(Setup!$L$6:$L$23,17)))+((W1174="")*(INDEX(Setup!$M$6:$M$23,17)="Y"))+((Y1174="")*(INDEX(Setup!$M$6:$M$23,17)="Y")))</f>
        <v/>
      </c>
      <c r="AC1174" s="90">
        <f>IF($B1174="","",IF(AB1174=0,"✓ covered","⚠ "&amp;AB1174&amp;IF(AB1174=1," gap"," gaps")))</f>
        <v/>
      </c>
    </row>
    <row r="1175" ht="17" customHeight="1">
      <c r="A1175" t="n">
        <v>24</v>
      </c>
      <c r="B1175" s="29">
        <f>IF(Setup!$K$23="","",Setup!$K$23)</f>
        <v/>
      </c>
      <c r="C1175" s="88" t="n"/>
      <c r="D1175" s="88" t="n"/>
      <c r="E1175" s="88" t="n"/>
      <c r="F1175" s="89" t="n"/>
      <c r="G1175" s="88" t="n"/>
      <c r="H1175" s="88" t="n"/>
      <c r="I1175" s="88" t="n"/>
      <c r="J1175" s="89" t="n"/>
      <c r="K1175" s="88" t="n"/>
      <c r="L1175" s="88" t="n"/>
      <c r="M1175" s="88" t="n"/>
      <c r="N1175" s="89" t="n"/>
      <c r="O1175" s="88" t="n"/>
      <c r="P1175" s="88" t="n"/>
      <c r="Q1175" s="88" t="n"/>
      <c r="R1175" s="89" t="n"/>
      <c r="S1175" s="88" t="n"/>
      <c r="T1175" s="88" t="n"/>
      <c r="U1175" s="88" t="n"/>
      <c r="V1175" s="89" t="n"/>
      <c r="W1175" s="88" t="n"/>
      <c r="X1175" s="89" t="n"/>
      <c r="Y1175" s="88" t="n"/>
      <c r="Z1175" s="89" t="n"/>
      <c r="AB1175" s="30">
        <f>IF($B1175="","",(COUNTIF(C1175:E1175,"?*")&lt;N(INDEX(Setup!$L$6:$L$23,18)))+(COUNTIF(G1175:I1175,"?*")&lt;N(INDEX(Setup!$L$6:$L$23,18)))+(COUNTIF(K1175:M1175,"?*")&lt;N(INDEX(Setup!$L$6:$L$23,18)))+(COUNTIF(O1175:Q1175,"?*")&lt;N(INDEX(Setup!$L$6:$L$23,18)))+(COUNTIF(S1175:U1175,"?*")&lt;N(INDEX(Setup!$L$6:$L$23,18)))+((W1175="")*(INDEX(Setup!$M$6:$M$23,18)="Y"))+((Y1175="")*(INDEX(Setup!$M$6:$M$23,18)="Y")))</f>
        <v/>
      </c>
      <c r="AC1175" s="91">
        <f>IF($B1175="","",IF(AB1175=0,"✓ covered","⚠ "&amp;AB1175&amp;IF(AB1175=1," gap"," gaps")))</f>
        <v/>
      </c>
    </row>
    <row r="1176" ht="18" customHeight="1">
      <c r="A1176" t="n">
        <v>24</v>
      </c>
      <c r="B1176" s="78" t="inlineStr">
        <is>
          <t>TEAM AVAILABILITY</t>
        </is>
      </c>
      <c r="C1176" s="92" t="inlineStr">
        <is>
          <t>Mon</t>
        </is>
      </c>
      <c r="D1176" s="93" t="n"/>
      <c r="E1176" s="93" t="n"/>
      <c r="F1176" s="94" t="n"/>
      <c r="G1176" s="92" t="inlineStr">
        <is>
          <t>Tue</t>
        </is>
      </c>
      <c r="H1176" s="93" t="n"/>
      <c r="I1176" s="93" t="n"/>
      <c r="J1176" s="94" t="n"/>
      <c r="K1176" s="92" t="inlineStr">
        <is>
          <t>Wed</t>
        </is>
      </c>
      <c r="L1176" s="93" t="n"/>
      <c r="M1176" s="93" t="n"/>
      <c r="N1176" s="94" t="n"/>
      <c r="O1176" s="92" t="inlineStr">
        <is>
          <t>Thu</t>
        </is>
      </c>
      <c r="P1176" s="93" t="n"/>
      <c r="Q1176" s="93" t="n"/>
      <c r="R1176" s="94" t="n"/>
      <c r="S1176" s="92" t="inlineStr">
        <is>
          <t>Fri</t>
        </is>
      </c>
      <c r="T1176" s="93" t="n"/>
      <c r="U1176" s="93" t="n"/>
      <c r="V1176" s="94" t="n"/>
      <c r="W1176" s="95" t="inlineStr">
        <is>
          <t>Sat</t>
        </is>
      </c>
      <c r="X1176" s="96" t="n"/>
      <c r="Y1176" s="95" t="inlineStr">
        <is>
          <t>Sun</t>
        </is>
      </c>
      <c r="Z1176" s="96" t="n"/>
      <c r="AB1176" s="97" t="inlineStr">
        <is>
          <t>Days rostered</t>
        </is>
      </c>
      <c r="AC1176" s="97" t="inlineStr">
        <is>
          <t>Conflicts</t>
        </is>
      </c>
    </row>
    <row r="1177" ht="15" customHeight="1">
      <c r="A1177" t="n">
        <v>24</v>
      </c>
      <c r="B1177" s="35">
        <f>IF(Setup!$B$6="","",Setup!$B$6)</f>
        <v/>
      </c>
      <c r="C1177" s="98" t="n"/>
      <c r="D1177" s="99" t="n"/>
      <c r="E1177" s="99" t="n"/>
      <c r="F1177" s="100" t="n"/>
      <c r="G1177" s="98" t="n"/>
      <c r="H1177" s="99" t="n"/>
      <c r="I1177" s="99" t="n"/>
      <c r="J1177" s="100" t="n"/>
      <c r="K1177" s="98" t="n"/>
      <c r="L1177" s="99" t="n"/>
      <c r="M1177" s="99" t="n"/>
      <c r="N1177" s="100" t="n"/>
      <c r="O1177" s="98" t="n"/>
      <c r="P1177" s="99" t="n"/>
      <c r="Q1177" s="99" t="n"/>
      <c r="R1177" s="100" t="n"/>
      <c r="S1177" s="98" t="n"/>
      <c r="T1177" s="99" t="n"/>
      <c r="U1177" s="99" t="n"/>
      <c r="V1177" s="100" t="n"/>
      <c r="W1177" s="98" t="n"/>
      <c r="X1177" s="100" t="n"/>
      <c r="Y1177" s="98" t="n"/>
      <c r="Z1177" s="100" t="n"/>
      <c r="AB1177" s="101">
        <f>IF($B1177="","",(COUNTIF(C1158:E1175,$B1177)+COUNTIF(C1158:E1175,$B1177&amp;" ~*")&gt;0)+(COUNTIF(G1158:I1175,$B1177)+COUNTIF(G1158:I1175,$B1177&amp;" ~*")&gt;0)+(COUNTIF(K1158:M1175,$B1177)+COUNTIF(K1158:M1175,$B1177&amp;" ~*")&gt;0)+(COUNTIF(O1158:Q1175,$B1177)+COUNTIF(O1158:Q1175,$B1177&amp;" ~*")&gt;0)+(COUNTIF(S1158:U1175,$B1177)+COUNTIF(S1158:U1175,$B1177&amp;" ~*")&gt;0)+(COUNTIF(W1158:W1175,$B1177)+COUNTIF(W1158:W1175,$B1177&amp;" ~*")&gt;0)+(COUNTIF(Y1158:Y1175,$B1177)+COUNTIF(Y1158:Y1175,$B1177&amp;" ~*")&gt;0))</f>
        <v/>
      </c>
      <c r="AC1177" s="36">
        <f>IF($B1177="","",(IFERROR(INDEX(Setup!$G$33:$G$40,MATCH(C1177,Setup!$B$33:$B$40,0)),0)=1)*(COUNTIF(C1158:E1175,$B1177)+COUNTIF(C1158:E1175,$B1177&amp;" ~*")&gt;0)+(IFERROR(INDEX(Setup!$G$33:$G$40,MATCH(G1177,Setup!$B$33:$B$40,0)),0)=1)*(COUNTIF(G1158:I1175,$B1177)+COUNTIF(G1158:I1175,$B1177&amp;" ~*")&gt;0)+(IFERROR(INDEX(Setup!$G$33:$G$40,MATCH(K1177,Setup!$B$33:$B$40,0)),0)=1)*(COUNTIF(K1158:M1175,$B1177)+COUNTIF(K1158:M1175,$B1177&amp;" ~*")&gt;0)+(IFERROR(INDEX(Setup!$G$33:$G$40,MATCH(O1177,Setup!$B$33:$B$40,0)),0)=1)*(COUNTIF(O1158:Q1175,$B1177)+COUNTIF(O1158:Q1175,$B1177&amp;" ~*")&gt;0)+(IFERROR(INDEX(Setup!$G$33:$G$40,MATCH(S1177,Setup!$B$33:$B$40,0)),0)=1)*(COUNTIF(S1158:U1175,$B1177)+COUNTIF(S1158:U1175,$B1177&amp;" ~*")&gt;0)+(IFERROR(INDEX(Setup!$G$33:$G$40,MATCH(W1177,Setup!$B$33:$B$40,0)),0)=1)*(COUNTIF(W1158:W1175,$B1177)+COUNTIF(W1158:W1175,$B1177&amp;" ~*")&gt;0)+(IFERROR(INDEX(Setup!$G$33:$G$40,MATCH(Y1177,Setup!$B$33:$B$40,0)),0)=1)*(COUNTIF(Y1158:Y1175,$B1177)+COUNTIF(Y1158:Y1175,$B1177&amp;" ~*")&gt;0))</f>
        <v/>
      </c>
    </row>
    <row r="1178" ht="15" customHeight="1">
      <c r="A1178" t="n">
        <v>24</v>
      </c>
      <c r="B1178" s="37">
        <f>IF(Setup!$B$7="","",Setup!$B$7)</f>
        <v/>
      </c>
      <c r="C1178" s="102" t="n"/>
      <c r="D1178" s="103" t="n"/>
      <c r="E1178" s="103" t="n"/>
      <c r="F1178" s="104" t="n"/>
      <c r="G1178" s="102" t="n"/>
      <c r="H1178" s="103" t="n"/>
      <c r="I1178" s="103" t="n"/>
      <c r="J1178" s="104" t="n"/>
      <c r="K1178" s="102" t="n"/>
      <c r="L1178" s="103" t="n"/>
      <c r="M1178" s="103" t="n"/>
      <c r="N1178" s="104" t="n"/>
      <c r="O1178" s="102" t="n"/>
      <c r="P1178" s="103" t="n"/>
      <c r="Q1178" s="103" t="n"/>
      <c r="R1178" s="104" t="n"/>
      <c r="S1178" s="102" t="n"/>
      <c r="T1178" s="103" t="n"/>
      <c r="U1178" s="103" t="n"/>
      <c r="V1178" s="104" t="n"/>
      <c r="W1178" s="102" t="n"/>
      <c r="X1178" s="104" t="n"/>
      <c r="Y1178" s="102" t="n"/>
      <c r="Z1178" s="104" t="n"/>
      <c r="AB1178" s="105">
        <f>IF($B1178="","",(COUNTIF(C1158:E1175,$B1178)+COUNTIF(C1158:E1175,$B1178&amp;" ~*")&gt;0)+(COUNTIF(G1158:I1175,$B1178)+COUNTIF(G1158:I1175,$B1178&amp;" ~*")&gt;0)+(COUNTIF(K1158:M1175,$B1178)+COUNTIF(K1158:M1175,$B1178&amp;" ~*")&gt;0)+(COUNTIF(O1158:Q1175,$B1178)+COUNTIF(O1158:Q1175,$B1178&amp;" ~*")&gt;0)+(COUNTIF(S1158:U1175,$B1178)+COUNTIF(S1158:U1175,$B1178&amp;" ~*")&gt;0)+(COUNTIF(W1158:W1175,$B1178)+COUNTIF(W1158:W1175,$B1178&amp;" ~*")&gt;0)+(COUNTIF(Y1158:Y1175,$B1178)+COUNTIF(Y1158:Y1175,$B1178&amp;" ~*")&gt;0))</f>
        <v/>
      </c>
      <c r="AC1178" s="38">
        <f>IF($B1178="","",(IFERROR(INDEX(Setup!$G$33:$G$40,MATCH(C1178,Setup!$B$33:$B$40,0)),0)=1)*(COUNTIF(C1158:E1175,$B1178)+COUNTIF(C1158:E1175,$B1178&amp;" ~*")&gt;0)+(IFERROR(INDEX(Setup!$G$33:$G$40,MATCH(G1178,Setup!$B$33:$B$40,0)),0)=1)*(COUNTIF(G1158:I1175,$B1178)+COUNTIF(G1158:I1175,$B1178&amp;" ~*")&gt;0)+(IFERROR(INDEX(Setup!$G$33:$G$40,MATCH(K1178,Setup!$B$33:$B$40,0)),0)=1)*(COUNTIF(K1158:M1175,$B1178)+COUNTIF(K1158:M1175,$B1178&amp;" ~*")&gt;0)+(IFERROR(INDEX(Setup!$G$33:$G$40,MATCH(O1178,Setup!$B$33:$B$40,0)),0)=1)*(COUNTIF(O1158:Q1175,$B1178)+COUNTIF(O1158:Q1175,$B1178&amp;" ~*")&gt;0)+(IFERROR(INDEX(Setup!$G$33:$G$40,MATCH(S1178,Setup!$B$33:$B$40,0)),0)=1)*(COUNTIF(S1158:U1175,$B1178)+COUNTIF(S1158:U1175,$B1178&amp;" ~*")&gt;0)+(IFERROR(INDEX(Setup!$G$33:$G$40,MATCH(W1178,Setup!$B$33:$B$40,0)),0)=1)*(COUNTIF(W1158:W1175,$B1178)+COUNTIF(W1158:W1175,$B1178&amp;" ~*")&gt;0)+(IFERROR(INDEX(Setup!$G$33:$G$40,MATCH(Y1178,Setup!$B$33:$B$40,0)),0)=1)*(COUNTIF(Y1158:Y1175,$B1178)+COUNTIF(Y1158:Y1175,$B1178&amp;" ~*")&gt;0))</f>
        <v/>
      </c>
    </row>
    <row r="1179" ht="15" customHeight="1">
      <c r="A1179" t="n">
        <v>24</v>
      </c>
      <c r="B1179" s="35">
        <f>IF(Setup!$B$8="","",Setup!$B$8)</f>
        <v/>
      </c>
      <c r="C1179" s="98" t="n"/>
      <c r="D1179" s="99" t="n"/>
      <c r="E1179" s="99" t="n"/>
      <c r="F1179" s="100" t="n"/>
      <c r="G1179" s="98" t="n"/>
      <c r="H1179" s="99" t="n"/>
      <c r="I1179" s="99" t="n"/>
      <c r="J1179" s="100" t="n"/>
      <c r="K1179" s="98" t="n"/>
      <c r="L1179" s="99" t="n"/>
      <c r="M1179" s="99" t="n"/>
      <c r="N1179" s="100" t="n"/>
      <c r="O1179" s="98" t="n"/>
      <c r="P1179" s="99" t="n"/>
      <c r="Q1179" s="99" t="n"/>
      <c r="R1179" s="100" t="n"/>
      <c r="S1179" s="98" t="n"/>
      <c r="T1179" s="99" t="n"/>
      <c r="U1179" s="99" t="n"/>
      <c r="V1179" s="100" t="n"/>
      <c r="W1179" s="98" t="n"/>
      <c r="X1179" s="100" t="n"/>
      <c r="Y1179" s="98" t="n"/>
      <c r="Z1179" s="100" t="n"/>
      <c r="AB1179" s="101">
        <f>IF($B1179="","",(COUNTIF(C1158:E1175,$B1179)+COUNTIF(C1158:E1175,$B1179&amp;" ~*")&gt;0)+(COUNTIF(G1158:I1175,$B1179)+COUNTIF(G1158:I1175,$B1179&amp;" ~*")&gt;0)+(COUNTIF(K1158:M1175,$B1179)+COUNTIF(K1158:M1175,$B1179&amp;" ~*")&gt;0)+(COUNTIF(O1158:Q1175,$B1179)+COUNTIF(O1158:Q1175,$B1179&amp;" ~*")&gt;0)+(COUNTIF(S1158:U1175,$B1179)+COUNTIF(S1158:U1175,$B1179&amp;" ~*")&gt;0)+(COUNTIF(W1158:W1175,$B1179)+COUNTIF(W1158:W1175,$B1179&amp;" ~*")&gt;0)+(COUNTIF(Y1158:Y1175,$B1179)+COUNTIF(Y1158:Y1175,$B1179&amp;" ~*")&gt;0))</f>
        <v/>
      </c>
      <c r="AC1179" s="36">
        <f>IF($B1179="","",(IFERROR(INDEX(Setup!$G$33:$G$40,MATCH(C1179,Setup!$B$33:$B$40,0)),0)=1)*(COUNTIF(C1158:E1175,$B1179)+COUNTIF(C1158:E1175,$B1179&amp;" ~*")&gt;0)+(IFERROR(INDEX(Setup!$G$33:$G$40,MATCH(G1179,Setup!$B$33:$B$40,0)),0)=1)*(COUNTIF(G1158:I1175,$B1179)+COUNTIF(G1158:I1175,$B1179&amp;" ~*")&gt;0)+(IFERROR(INDEX(Setup!$G$33:$G$40,MATCH(K1179,Setup!$B$33:$B$40,0)),0)=1)*(COUNTIF(K1158:M1175,$B1179)+COUNTIF(K1158:M1175,$B1179&amp;" ~*")&gt;0)+(IFERROR(INDEX(Setup!$G$33:$G$40,MATCH(O1179,Setup!$B$33:$B$40,0)),0)=1)*(COUNTIF(O1158:Q1175,$B1179)+COUNTIF(O1158:Q1175,$B1179&amp;" ~*")&gt;0)+(IFERROR(INDEX(Setup!$G$33:$G$40,MATCH(S1179,Setup!$B$33:$B$40,0)),0)=1)*(COUNTIF(S1158:U1175,$B1179)+COUNTIF(S1158:U1175,$B1179&amp;" ~*")&gt;0)+(IFERROR(INDEX(Setup!$G$33:$G$40,MATCH(W1179,Setup!$B$33:$B$40,0)),0)=1)*(COUNTIF(W1158:W1175,$B1179)+COUNTIF(W1158:W1175,$B1179&amp;" ~*")&gt;0)+(IFERROR(INDEX(Setup!$G$33:$G$40,MATCH(Y1179,Setup!$B$33:$B$40,0)),0)=1)*(COUNTIF(Y1158:Y1175,$B1179)+COUNTIF(Y1158:Y1175,$B1179&amp;" ~*")&gt;0))</f>
        <v/>
      </c>
    </row>
    <row r="1180" ht="15" customHeight="1">
      <c r="A1180" t="n">
        <v>24</v>
      </c>
      <c r="B1180" s="37">
        <f>IF(Setup!$B$9="","",Setup!$B$9)</f>
        <v/>
      </c>
      <c r="C1180" s="102" t="n"/>
      <c r="D1180" s="103" t="n"/>
      <c r="E1180" s="103" t="n"/>
      <c r="F1180" s="104" t="n"/>
      <c r="G1180" s="102" t="n"/>
      <c r="H1180" s="103" t="n"/>
      <c r="I1180" s="103" t="n"/>
      <c r="J1180" s="104" t="n"/>
      <c r="K1180" s="102" t="n"/>
      <c r="L1180" s="103" t="n"/>
      <c r="M1180" s="103" t="n"/>
      <c r="N1180" s="104" t="n"/>
      <c r="O1180" s="102" t="n"/>
      <c r="P1180" s="103" t="n"/>
      <c r="Q1180" s="103" t="n"/>
      <c r="R1180" s="104" t="n"/>
      <c r="S1180" s="102" t="n"/>
      <c r="T1180" s="103" t="n"/>
      <c r="U1180" s="103" t="n"/>
      <c r="V1180" s="104" t="n"/>
      <c r="W1180" s="102" t="n"/>
      <c r="X1180" s="104" t="n"/>
      <c r="Y1180" s="102" t="n"/>
      <c r="Z1180" s="104" t="n"/>
      <c r="AB1180" s="105">
        <f>IF($B1180="","",(COUNTIF(C1158:E1175,$B1180)+COUNTIF(C1158:E1175,$B1180&amp;" ~*")&gt;0)+(COUNTIF(G1158:I1175,$B1180)+COUNTIF(G1158:I1175,$B1180&amp;" ~*")&gt;0)+(COUNTIF(K1158:M1175,$B1180)+COUNTIF(K1158:M1175,$B1180&amp;" ~*")&gt;0)+(COUNTIF(O1158:Q1175,$B1180)+COUNTIF(O1158:Q1175,$B1180&amp;" ~*")&gt;0)+(COUNTIF(S1158:U1175,$B1180)+COUNTIF(S1158:U1175,$B1180&amp;" ~*")&gt;0)+(COUNTIF(W1158:W1175,$B1180)+COUNTIF(W1158:W1175,$B1180&amp;" ~*")&gt;0)+(COUNTIF(Y1158:Y1175,$B1180)+COUNTIF(Y1158:Y1175,$B1180&amp;" ~*")&gt;0))</f>
        <v/>
      </c>
      <c r="AC1180" s="38">
        <f>IF($B1180="","",(IFERROR(INDEX(Setup!$G$33:$G$40,MATCH(C1180,Setup!$B$33:$B$40,0)),0)=1)*(COUNTIF(C1158:E1175,$B1180)+COUNTIF(C1158:E1175,$B1180&amp;" ~*")&gt;0)+(IFERROR(INDEX(Setup!$G$33:$G$40,MATCH(G1180,Setup!$B$33:$B$40,0)),0)=1)*(COUNTIF(G1158:I1175,$B1180)+COUNTIF(G1158:I1175,$B1180&amp;" ~*")&gt;0)+(IFERROR(INDEX(Setup!$G$33:$G$40,MATCH(K1180,Setup!$B$33:$B$40,0)),0)=1)*(COUNTIF(K1158:M1175,$B1180)+COUNTIF(K1158:M1175,$B1180&amp;" ~*")&gt;0)+(IFERROR(INDEX(Setup!$G$33:$G$40,MATCH(O1180,Setup!$B$33:$B$40,0)),0)=1)*(COUNTIF(O1158:Q1175,$B1180)+COUNTIF(O1158:Q1175,$B1180&amp;" ~*")&gt;0)+(IFERROR(INDEX(Setup!$G$33:$G$40,MATCH(S1180,Setup!$B$33:$B$40,0)),0)=1)*(COUNTIF(S1158:U1175,$B1180)+COUNTIF(S1158:U1175,$B1180&amp;" ~*")&gt;0)+(IFERROR(INDEX(Setup!$G$33:$G$40,MATCH(W1180,Setup!$B$33:$B$40,0)),0)=1)*(COUNTIF(W1158:W1175,$B1180)+COUNTIF(W1158:W1175,$B1180&amp;" ~*")&gt;0)+(IFERROR(INDEX(Setup!$G$33:$G$40,MATCH(Y1180,Setup!$B$33:$B$40,0)),0)=1)*(COUNTIF(Y1158:Y1175,$B1180)+COUNTIF(Y1158:Y1175,$B1180&amp;" ~*")&gt;0))</f>
        <v/>
      </c>
    </row>
    <row r="1181" ht="15" customHeight="1">
      <c r="A1181" t="n">
        <v>24</v>
      </c>
      <c r="B1181" s="35">
        <f>IF(Setup!$B$10="","",Setup!$B$10)</f>
        <v/>
      </c>
      <c r="C1181" s="98" t="inlineStr">
        <is>
          <t>AL</t>
        </is>
      </c>
      <c r="D1181" s="99" t="n"/>
      <c r="E1181" s="99" t="n"/>
      <c r="F1181" s="100" t="n"/>
      <c r="G1181" s="98" t="inlineStr">
        <is>
          <t>AL</t>
        </is>
      </c>
      <c r="H1181" s="99" t="n"/>
      <c r="I1181" s="99" t="n"/>
      <c r="J1181" s="100" t="n"/>
      <c r="K1181" s="98" t="inlineStr">
        <is>
          <t>AL</t>
        </is>
      </c>
      <c r="L1181" s="99" t="n"/>
      <c r="M1181" s="99" t="n"/>
      <c r="N1181" s="100" t="n"/>
      <c r="O1181" s="98" t="inlineStr">
        <is>
          <t>AL</t>
        </is>
      </c>
      <c r="P1181" s="99" t="n"/>
      <c r="Q1181" s="99" t="n"/>
      <c r="R1181" s="100" t="n"/>
      <c r="S1181" s="98" t="inlineStr">
        <is>
          <t>AL</t>
        </is>
      </c>
      <c r="T1181" s="99" t="n"/>
      <c r="U1181" s="99" t="n"/>
      <c r="V1181" s="100" t="n"/>
      <c r="W1181" s="98" t="n"/>
      <c r="X1181" s="100" t="n"/>
      <c r="Y1181" s="98" t="n"/>
      <c r="Z1181" s="100" t="n"/>
      <c r="AB1181" s="101">
        <f>IF($B1181="","",(COUNTIF(C1158:E1175,$B1181)+COUNTIF(C1158:E1175,$B1181&amp;" ~*")&gt;0)+(COUNTIF(G1158:I1175,$B1181)+COUNTIF(G1158:I1175,$B1181&amp;" ~*")&gt;0)+(COUNTIF(K1158:M1175,$B1181)+COUNTIF(K1158:M1175,$B1181&amp;" ~*")&gt;0)+(COUNTIF(O1158:Q1175,$B1181)+COUNTIF(O1158:Q1175,$B1181&amp;" ~*")&gt;0)+(COUNTIF(S1158:U1175,$B1181)+COUNTIF(S1158:U1175,$B1181&amp;" ~*")&gt;0)+(COUNTIF(W1158:W1175,$B1181)+COUNTIF(W1158:W1175,$B1181&amp;" ~*")&gt;0)+(COUNTIF(Y1158:Y1175,$B1181)+COUNTIF(Y1158:Y1175,$B1181&amp;" ~*")&gt;0))</f>
        <v/>
      </c>
      <c r="AC1181" s="36">
        <f>IF($B1181="","",(IFERROR(INDEX(Setup!$G$33:$G$40,MATCH(C1181,Setup!$B$33:$B$40,0)),0)=1)*(COUNTIF(C1158:E1175,$B1181)+COUNTIF(C1158:E1175,$B1181&amp;" ~*")&gt;0)+(IFERROR(INDEX(Setup!$G$33:$G$40,MATCH(G1181,Setup!$B$33:$B$40,0)),0)=1)*(COUNTIF(G1158:I1175,$B1181)+COUNTIF(G1158:I1175,$B1181&amp;" ~*")&gt;0)+(IFERROR(INDEX(Setup!$G$33:$G$40,MATCH(K1181,Setup!$B$33:$B$40,0)),0)=1)*(COUNTIF(K1158:M1175,$B1181)+COUNTIF(K1158:M1175,$B1181&amp;" ~*")&gt;0)+(IFERROR(INDEX(Setup!$G$33:$G$40,MATCH(O1181,Setup!$B$33:$B$40,0)),0)=1)*(COUNTIF(O1158:Q1175,$B1181)+COUNTIF(O1158:Q1175,$B1181&amp;" ~*")&gt;0)+(IFERROR(INDEX(Setup!$G$33:$G$40,MATCH(S1181,Setup!$B$33:$B$40,0)),0)=1)*(COUNTIF(S1158:U1175,$B1181)+COUNTIF(S1158:U1175,$B1181&amp;" ~*")&gt;0)+(IFERROR(INDEX(Setup!$G$33:$G$40,MATCH(W1181,Setup!$B$33:$B$40,0)),0)=1)*(COUNTIF(W1158:W1175,$B1181)+COUNTIF(W1158:W1175,$B1181&amp;" ~*")&gt;0)+(IFERROR(INDEX(Setup!$G$33:$G$40,MATCH(Y1181,Setup!$B$33:$B$40,0)),0)=1)*(COUNTIF(Y1158:Y1175,$B1181)+COUNTIF(Y1158:Y1175,$B1181&amp;" ~*")&gt;0))</f>
        <v/>
      </c>
    </row>
    <row r="1182" ht="15" customHeight="1">
      <c r="A1182" t="n">
        <v>24</v>
      </c>
      <c r="B1182" s="37">
        <f>IF(Setup!$B$11="","",Setup!$B$11)</f>
        <v/>
      </c>
      <c r="C1182" s="102" t="n"/>
      <c r="D1182" s="103" t="n"/>
      <c r="E1182" s="103" t="n"/>
      <c r="F1182" s="104" t="n"/>
      <c r="G1182" s="102" t="n"/>
      <c r="H1182" s="103" t="n"/>
      <c r="I1182" s="103" t="n"/>
      <c r="J1182" s="104" t="n"/>
      <c r="K1182" s="102" t="n"/>
      <c r="L1182" s="103" t="n"/>
      <c r="M1182" s="103" t="n"/>
      <c r="N1182" s="104" t="n"/>
      <c r="O1182" s="102" t="n"/>
      <c r="P1182" s="103" t="n"/>
      <c r="Q1182" s="103" t="n"/>
      <c r="R1182" s="104" t="n"/>
      <c r="S1182" s="102" t="n"/>
      <c r="T1182" s="103" t="n"/>
      <c r="U1182" s="103" t="n"/>
      <c r="V1182" s="104" t="n"/>
      <c r="W1182" s="102" t="n"/>
      <c r="X1182" s="104" t="n"/>
      <c r="Y1182" s="102" t="n"/>
      <c r="Z1182" s="104" t="n"/>
      <c r="AB1182" s="105">
        <f>IF($B1182="","",(COUNTIF(C1158:E1175,$B1182)+COUNTIF(C1158:E1175,$B1182&amp;" ~*")&gt;0)+(COUNTIF(G1158:I1175,$B1182)+COUNTIF(G1158:I1175,$B1182&amp;" ~*")&gt;0)+(COUNTIF(K1158:M1175,$B1182)+COUNTIF(K1158:M1175,$B1182&amp;" ~*")&gt;0)+(COUNTIF(O1158:Q1175,$B1182)+COUNTIF(O1158:Q1175,$B1182&amp;" ~*")&gt;0)+(COUNTIF(S1158:U1175,$B1182)+COUNTIF(S1158:U1175,$B1182&amp;" ~*")&gt;0)+(COUNTIF(W1158:W1175,$B1182)+COUNTIF(W1158:W1175,$B1182&amp;" ~*")&gt;0)+(COUNTIF(Y1158:Y1175,$B1182)+COUNTIF(Y1158:Y1175,$B1182&amp;" ~*")&gt;0))</f>
        <v/>
      </c>
      <c r="AC1182" s="38">
        <f>IF($B1182="","",(IFERROR(INDEX(Setup!$G$33:$G$40,MATCH(C1182,Setup!$B$33:$B$40,0)),0)=1)*(COUNTIF(C1158:E1175,$B1182)+COUNTIF(C1158:E1175,$B1182&amp;" ~*")&gt;0)+(IFERROR(INDEX(Setup!$G$33:$G$40,MATCH(G1182,Setup!$B$33:$B$40,0)),0)=1)*(COUNTIF(G1158:I1175,$B1182)+COUNTIF(G1158:I1175,$B1182&amp;" ~*")&gt;0)+(IFERROR(INDEX(Setup!$G$33:$G$40,MATCH(K1182,Setup!$B$33:$B$40,0)),0)=1)*(COUNTIF(K1158:M1175,$B1182)+COUNTIF(K1158:M1175,$B1182&amp;" ~*")&gt;0)+(IFERROR(INDEX(Setup!$G$33:$G$40,MATCH(O1182,Setup!$B$33:$B$40,0)),0)=1)*(COUNTIF(O1158:Q1175,$B1182)+COUNTIF(O1158:Q1175,$B1182&amp;" ~*")&gt;0)+(IFERROR(INDEX(Setup!$G$33:$G$40,MATCH(S1182,Setup!$B$33:$B$40,0)),0)=1)*(COUNTIF(S1158:U1175,$B1182)+COUNTIF(S1158:U1175,$B1182&amp;" ~*")&gt;0)+(IFERROR(INDEX(Setup!$G$33:$G$40,MATCH(W1182,Setup!$B$33:$B$40,0)),0)=1)*(COUNTIF(W1158:W1175,$B1182)+COUNTIF(W1158:W1175,$B1182&amp;" ~*")&gt;0)+(IFERROR(INDEX(Setup!$G$33:$G$40,MATCH(Y1182,Setup!$B$33:$B$40,0)),0)=1)*(COUNTIF(Y1158:Y1175,$B1182)+COUNTIF(Y1158:Y1175,$B1182&amp;" ~*")&gt;0))</f>
        <v/>
      </c>
    </row>
    <row r="1183" ht="15" customHeight="1">
      <c r="A1183" t="n">
        <v>24</v>
      </c>
      <c r="B1183" s="35">
        <f>IF(Setup!$B$12="","",Setup!$B$12)</f>
        <v/>
      </c>
      <c r="C1183" s="98" t="n"/>
      <c r="D1183" s="99" t="n"/>
      <c r="E1183" s="99" t="n"/>
      <c r="F1183" s="100" t="n"/>
      <c r="G1183" s="98" t="n"/>
      <c r="H1183" s="99" t="n"/>
      <c r="I1183" s="99" t="n"/>
      <c r="J1183" s="100" t="n"/>
      <c r="K1183" s="98" t="n"/>
      <c r="L1183" s="99" t="n"/>
      <c r="M1183" s="99" t="n"/>
      <c r="N1183" s="100" t="n"/>
      <c r="O1183" s="98" t="n"/>
      <c r="P1183" s="99" t="n"/>
      <c r="Q1183" s="99" t="n"/>
      <c r="R1183" s="100" t="n"/>
      <c r="S1183" s="98" t="n"/>
      <c r="T1183" s="99" t="n"/>
      <c r="U1183" s="99" t="n"/>
      <c r="V1183" s="100" t="n"/>
      <c r="W1183" s="98" t="n"/>
      <c r="X1183" s="100" t="n"/>
      <c r="Y1183" s="98" t="n"/>
      <c r="Z1183" s="100" t="n"/>
      <c r="AB1183" s="101">
        <f>IF($B1183="","",(COUNTIF(C1158:E1175,$B1183)+COUNTIF(C1158:E1175,$B1183&amp;" ~*")&gt;0)+(COUNTIF(G1158:I1175,$B1183)+COUNTIF(G1158:I1175,$B1183&amp;" ~*")&gt;0)+(COUNTIF(K1158:M1175,$B1183)+COUNTIF(K1158:M1175,$B1183&amp;" ~*")&gt;0)+(COUNTIF(O1158:Q1175,$B1183)+COUNTIF(O1158:Q1175,$B1183&amp;" ~*")&gt;0)+(COUNTIF(S1158:U1175,$B1183)+COUNTIF(S1158:U1175,$B1183&amp;" ~*")&gt;0)+(COUNTIF(W1158:W1175,$B1183)+COUNTIF(W1158:W1175,$B1183&amp;" ~*")&gt;0)+(COUNTIF(Y1158:Y1175,$B1183)+COUNTIF(Y1158:Y1175,$B1183&amp;" ~*")&gt;0))</f>
        <v/>
      </c>
      <c r="AC1183" s="36">
        <f>IF($B1183="","",(IFERROR(INDEX(Setup!$G$33:$G$40,MATCH(C1183,Setup!$B$33:$B$40,0)),0)=1)*(COUNTIF(C1158:E1175,$B1183)+COUNTIF(C1158:E1175,$B1183&amp;" ~*")&gt;0)+(IFERROR(INDEX(Setup!$G$33:$G$40,MATCH(G1183,Setup!$B$33:$B$40,0)),0)=1)*(COUNTIF(G1158:I1175,$B1183)+COUNTIF(G1158:I1175,$B1183&amp;" ~*")&gt;0)+(IFERROR(INDEX(Setup!$G$33:$G$40,MATCH(K1183,Setup!$B$33:$B$40,0)),0)=1)*(COUNTIF(K1158:M1175,$B1183)+COUNTIF(K1158:M1175,$B1183&amp;" ~*")&gt;0)+(IFERROR(INDEX(Setup!$G$33:$G$40,MATCH(O1183,Setup!$B$33:$B$40,0)),0)=1)*(COUNTIF(O1158:Q1175,$B1183)+COUNTIF(O1158:Q1175,$B1183&amp;" ~*")&gt;0)+(IFERROR(INDEX(Setup!$G$33:$G$40,MATCH(S1183,Setup!$B$33:$B$40,0)),0)=1)*(COUNTIF(S1158:U1175,$B1183)+COUNTIF(S1158:U1175,$B1183&amp;" ~*")&gt;0)+(IFERROR(INDEX(Setup!$G$33:$G$40,MATCH(W1183,Setup!$B$33:$B$40,0)),0)=1)*(COUNTIF(W1158:W1175,$B1183)+COUNTIF(W1158:W1175,$B1183&amp;" ~*")&gt;0)+(IFERROR(INDEX(Setup!$G$33:$G$40,MATCH(Y1183,Setup!$B$33:$B$40,0)),0)=1)*(COUNTIF(Y1158:Y1175,$B1183)+COUNTIF(Y1158:Y1175,$B1183&amp;" ~*")&gt;0))</f>
        <v/>
      </c>
    </row>
    <row r="1184" ht="15" customHeight="1">
      <c r="A1184" t="n">
        <v>24</v>
      </c>
      <c r="B1184" s="37">
        <f>IF(Setup!$B$13="","",Setup!$B$13)</f>
        <v/>
      </c>
      <c r="C1184" s="102" t="n"/>
      <c r="D1184" s="103" t="n"/>
      <c r="E1184" s="103" t="n"/>
      <c r="F1184" s="104" t="n"/>
      <c r="G1184" s="102" t="n"/>
      <c r="H1184" s="103" t="n"/>
      <c r="I1184" s="103" t="n"/>
      <c r="J1184" s="104" t="n"/>
      <c r="K1184" s="102" t="n"/>
      <c r="L1184" s="103" t="n"/>
      <c r="M1184" s="103" t="n"/>
      <c r="N1184" s="104" t="n"/>
      <c r="O1184" s="102" t="n"/>
      <c r="P1184" s="103" t="n"/>
      <c r="Q1184" s="103" t="n"/>
      <c r="R1184" s="104" t="n"/>
      <c r="S1184" s="102" t="n"/>
      <c r="T1184" s="103" t="n"/>
      <c r="U1184" s="103" t="n"/>
      <c r="V1184" s="104" t="n"/>
      <c r="W1184" s="102" t="n"/>
      <c r="X1184" s="104" t="n"/>
      <c r="Y1184" s="102" t="n"/>
      <c r="Z1184" s="104" t="n"/>
      <c r="AB1184" s="105">
        <f>IF($B1184="","",(COUNTIF(C1158:E1175,$B1184)+COUNTIF(C1158:E1175,$B1184&amp;" ~*")&gt;0)+(COUNTIF(G1158:I1175,$B1184)+COUNTIF(G1158:I1175,$B1184&amp;" ~*")&gt;0)+(COUNTIF(K1158:M1175,$B1184)+COUNTIF(K1158:M1175,$B1184&amp;" ~*")&gt;0)+(COUNTIF(O1158:Q1175,$B1184)+COUNTIF(O1158:Q1175,$B1184&amp;" ~*")&gt;0)+(COUNTIF(S1158:U1175,$B1184)+COUNTIF(S1158:U1175,$B1184&amp;" ~*")&gt;0)+(COUNTIF(W1158:W1175,$B1184)+COUNTIF(W1158:W1175,$B1184&amp;" ~*")&gt;0)+(COUNTIF(Y1158:Y1175,$B1184)+COUNTIF(Y1158:Y1175,$B1184&amp;" ~*")&gt;0))</f>
        <v/>
      </c>
      <c r="AC1184" s="38">
        <f>IF($B1184="","",(IFERROR(INDEX(Setup!$G$33:$G$40,MATCH(C1184,Setup!$B$33:$B$40,0)),0)=1)*(COUNTIF(C1158:E1175,$B1184)+COUNTIF(C1158:E1175,$B1184&amp;" ~*")&gt;0)+(IFERROR(INDEX(Setup!$G$33:$G$40,MATCH(G1184,Setup!$B$33:$B$40,0)),0)=1)*(COUNTIF(G1158:I1175,$B1184)+COUNTIF(G1158:I1175,$B1184&amp;" ~*")&gt;0)+(IFERROR(INDEX(Setup!$G$33:$G$40,MATCH(K1184,Setup!$B$33:$B$40,0)),0)=1)*(COUNTIF(K1158:M1175,$B1184)+COUNTIF(K1158:M1175,$B1184&amp;" ~*")&gt;0)+(IFERROR(INDEX(Setup!$G$33:$G$40,MATCH(O1184,Setup!$B$33:$B$40,0)),0)=1)*(COUNTIF(O1158:Q1175,$B1184)+COUNTIF(O1158:Q1175,$B1184&amp;" ~*")&gt;0)+(IFERROR(INDEX(Setup!$G$33:$G$40,MATCH(S1184,Setup!$B$33:$B$40,0)),0)=1)*(COUNTIF(S1158:U1175,$B1184)+COUNTIF(S1158:U1175,$B1184&amp;" ~*")&gt;0)+(IFERROR(INDEX(Setup!$G$33:$G$40,MATCH(W1184,Setup!$B$33:$B$40,0)),0)=1)*(COUNTIF(W1158:W1175,$B1184)+COUNTIF(W1158:W1175,$B1184&amp;" ~*")&gt;0)+(IFERROR(INDEX(Setup!$G$33:$G$40,MATCH(Y1184,Setup!$B$33:$B$40,0)),0)=1)*(COUNTIF(Y1158:Y1175,$B1184)+COUNTIF(Y1158:Y1175,$B1184&amp;" ~*")&gt;0))</f>
        <v/>
      </c>
    </row>
    <row r="1185" ht="15" customHeight="1">
      <c r="A1185" t="n">
        <v>24</v>
      </c>
      <c r="B1185" s="35">
        <f>IF(Setup!$B$14="","",Setup!$B$14)</f>
        <v/>
      </c>
      <c r="C1185" s="98" t="n"/>
      <c r="D1185" s="99" t="n"/>
      <c r="E1185" s="99" t="n"/>
      <c r="F1185" s="100" t="n"/>
      <c r="G1185" s="98" t="n"/>
      <c r="H1185" s="99" t="n"/>
      <c r="I1185" s="99" t="n"/>
      <c r="J1185" s="100" t="n"/>
      <c r="K1185" s="98" t="n"/>
      <c r="L1185" s="99" t="n"/>
      <c r="M1185" s="99" t="n"/>
      <c r="N1185" s="100" t="n"/>
      <c r="O1185" s="98" t="n"/>
      <c r="P1185" s="99" t="n"/>
      <c r="Q1185" s="99" t="n"/>
      <c r="R1185" s="100" t="n"/>
      <c r="S1185" s="98" t="n"/>
      <c r="T1185" s="99" t="n"/>
      <c r="U1185" s="99" t="n"/>
      <c r="V1185" s="100" t="n"/>
      <c r="W1185" s="98" t="n"/>
      <c r="X1185" s="100" t="n"/>
      <c r="Y1185" s="98" t="n"/>
      <c r="Z1185" s="100" t="n"/>
      <c r="AB1185" s="101">
        <f>IF($B1185="","",(COUNTIF(C1158:E1175,$B1185)+COUNTIF(C1158:E1175,$B1185&amp;" ~*")&gt;0)+(COUNTIF(G1158:I1175,$B1185)+COUNTIF(G1158:I1175,$B1185&amp;" ~*")&gt;0)+(COUNTIF(K1158:M1175,$B1185)+COUNTIF(K1158:M1175,$B1185&amp;" ~*")&gt;0)+(COUNTIF(O1158:Q1175,$B1185)+COUNTIF(O1158:Q1175,$B1185&amp;" ~*")&gt;0)+(COUNTIF(S1158:U1175,$B1185)+COUNTIF(S1158:U1175,$B1185&amp;" ~*")&gt;0)+(COUNTIF(W1158:W1175,$B1185)+COUNTIF(W1158:W1175,$B1185&amp;" ~*")&gt;0)+(COUNTIF(Y1158:Y1175,$B1185)+COUNTIF(Y1158:Y1175,$B1185&amp;" ~*")&gt;0))</f>
        <v/>
      </c>
      <c r="AC1185" s="36">
        <f>IF($B1185="","",(IFERROR(INDEX(Setup!$G$33:$G$40,MATCH(C1185,Setup!$B$33:$B$40,0)),0)=1)*(COUNTIF(C1158:E1175,$B1185)+COUNTIF(C1158:E1175,$B1185&amp;" ~*")&gt;0)+(IFERROR(INDEX(Setup!$G$33:$G$40,MATCH(G1185,Setup!$B$33:$B$40,0)),0)=1)*(COUNTIF(G1158:I1175,$B1185)+COUNTIF(G1158:I1175,$B1185&amp;" ~*")&gt;0)+(IFERROR(INDEX(Setup!$G$33:$G$40,MATCH(K1185,Setup!$B$33:$B$40,0)),0)=1)*(COUNTIF(K1158:M1175,$B1185)+COUNTIF(K1158:M1175,$B1185&amp;" ~*")&gt;0)+(IFERROR(INDEX(Setup!$G$33:$G$40,MATCH(O1185,Setup!$B$33:$B$40,0)),0)=1)*(COUNTIF(O1158:Q1175,$B1185)+COUNTIF(O1158:Q1175,$B1185&amp;" ~*")&gt;0)+(IFERROR(INDEX(Setup!$G$33:$G$40,MATCH(S1185,Setup!$B$33:$B$40,0)),0)=1)*(COUNTIF(S1158:U1175,$B1185)+COUNTIF(S1158:U1175,$B1185&amp;" ~*")&gt;0)+(IFERROR(INDEX(Setup!$G$33:$G$40,MATCH(W1185,Setup!$B$33:$B$40,0)),0)=1)*(COUNTIF(W1158:W1175,$B1185)+COUNTIF(W1158:W1175,$B1185&amp;" ~*")&gt;0)+(IFERROR(INDEX(Setup!$G$33:$G$40,MATCH(Y1185,Setup!$B$33:$B$40,0)),0)=1)*(COUNTIF(Y1158:Y1175,$B1185)+COUNTIF(Y1158:Y1175,$B1185&amp;" ~*")&gt;0))</f>
        <v/>
      </c>
    </row>
    <row r="1186" ht="15" customHeight="1">
      <c r="A1186" t="n">
        <v>24</v>
      </c>
      <c r="B1186" s="37">
        <f>IF(Setup!$B$15="","",Setup!$B$15)</f>
        <v/>
      </c>
      <c r="C1186" s="102" t="n"/>
      <c r="D1186" s="103" t="n"/>
      <c r="E1186" s="103" t="n"/>
      <c r="F1186" s="104" t="n"/>
      <c r="G1186" s="102" t="n"/>
      <c r="H1186" s="103" t="n"/>
      <c r="I1186" s="103" t="n"/>
      <c r="J1186" s="104" t="n"/>
      <c r="K1186" s="102" t="n"/>
      <c r="L1186" s="103" t="n"/>
      <c r="M1186" s="103" t="n"/>
      <c r="N1186" s="104" t="n"/>
      <c r="O1186" s="102" t="n"/>
      <c r="P1186" s="103" t="n"/>
      <c r="Q1186" s="103" t="n"/>
      <c r="R1186" s="104" t="n"/>
      <c r="S1186" s="102" t="n"/>
      <c r="T1186" s="103" t="n"/>
      <c r="U1186" s="103" t="n"/>
      <c r="V1186" s="104" t="n"/>
      <c r="W1186" s="102" t="n"/>
      <c r="X1186" s="104" t="n"/>
      <c r="Y1186" s="102" t="n"/>
      <c r="Z1186" s="104" t="n"/>
      <c r="AB1186" s="105">
        <f>IF($B1186="","",(COUNTIF(C1158:E1175,$B1186)+COUNTIF(C1158:E1175,$B1186&amp;" ~*")&gt;0)+(COUNTIF(G1158:I1175,$B1186)+COUNTIF(G1158:I1175,$B1186&amp;" ~*")&gt;0)+(COUNTIF(K1158:M1175,$B1186)+COUNTIF(K1158:M1175,$B1186&amp;" ~*")&gt;0)+(COUNTIF(O1158:Q1175,$B1186)+COUNTIF(O1158:Q1175,$B1186&amp;" ~*")&gt;0)+(COUNTIF(S1158:U1175,$B1186)+COUNTIF(S1158:U1175,$B1186&amp;" ~*")&gt;0)+(COUNTIF(W1158:W1175,$B1186)+COUNTIF(W1158:W1175,$B1186&amp;" ~*")&gt;0)+(COUNTIF(Y1158:Y1175,$B1186)+COUNTIF(Y1158:Y1175,$B1186&amp;" ~*")&gt;0))</f>
        <v/>
      </c>
      <c r="AC1186" s="38">
        <f>IF($B1186="","",(IFERROR(INDEX(Setup!$G$33:$G$40,MATCH(C1186,Setup!$B$33:$B$40,0)),0)=1)*(COUNTIF(C1158:E1175,$B1186)+COUNTIF(C1158:E1175,$B1186&amp;" ~*")&gt;0)+(IFERROR(INDEX(Setup!$G$33:$G$40,MATCH(G1186,Setup!$B$33:$B$40,0)),0)=1)*(COUNTIF(G1158:I1175,$B1186)+COUNTIF(G1158:I1175,$B1186&amp;" ~*")&gt;0)+(IFERROR(INDEX(Setup!$G$33:$G$40,MATCH(K1186,Setup!$B$33:$B$40,0)),0)=1)*(COUNTIF(K1158:M1175,$B1186)+COUNTIF(K1158:M1175,$B1186&amp;" ~*")&gt;0)+(IFERROR(INDEX(Setup!$G$33:$G$40,MATCH(O1186,Setup!$B$33:$B$40,0)),0)=1)*(COUNTIF(O1158:Q1175,$B1186)+COUNTIF(O1158:Q1175,$B1186&amp;" ~*")&gt;0)+(IFERROR(INDEX(Setup!$G$33:$G$40,MATCH(S1186,Setup!$B$33:$B$40,0)),0)=1)*(COUNTIF(S1158:U1175,$B1186)+COUNTIF(S1158:U1175,$B1186&amp;" ~*")&gt;0)+(IFERROR(INDEX(Setup!$G$33:$G$40,MATCH(W1186,Setup!$B$33:$B$40,0)),0)=1)*(COUNTIF(W1158:W1175,$B1186)+COUNTIF(W1158:W1175,$B1186&amp;" ~*")&gt;0)+(IFERROR(INDEX(Setup!$G$33:$G$40,MATCH(Y1186,Setup!$B$33:$B$40,0)),0)=1)*(COUNTIF(Y1158:Y1175,$B1186)+COUNTIF(Y1158:Y1175,$B1186&amp;" ~*")&gt;0))</f>
        <v/>
      </c>
    </row>
    <row r="1187" ht="15" customHeight="1">
      <c r="A1187" t="n">
        <v>24</v>
      </c>
      <c r="B1187" s="35">
        <f>IF(Setup!$B$16="","",Setup!$B$16)</f>
        <v/>
      </c>
      <c r="C1187" s="98" t="n"/>
      <c r="D1187" s="99" t="n"/>
      <c r="E1187" s="99" t="n"/>
      <c r="F1187" s="100" t="n"/>
      <c r="G1187" s="98" t="n"/>
      <c r="H1187" s="99" t="n"/>
      <c r="I1187" s="99" t="n"/>
      <c r="J1187" s="100" t="n"/>
      <c r="K1187" s="98" t="n"/>
      <c r="L1187" s="99" t="n"/>
      <c r="M1187" s="99" t="n"/>
      <c r="N1187" s="100" t="n"/>
      <c r="O1187" s="98" t="n"/>
      <c r="P1187" s="99" t="n"/>
      <c r="Q1187" s="99" t="n"/>
      <c r="R1187" s="100" t="n"/>
      <c r="S1187" s="98" t="n"/>
      <c r="T1187" s="99" t="n"/>
      <c r="U1187" s="99" t="n"/>
      <c r="V1187" s="100" t="n"/>
      <c r="W1187" s="98" t="n"/>
      <c r="X1187" s="100" t="n"/>
      <c r="Y1187" s="98" t="n"/>
      <c r="Z1187" s="100" t="n"/>
      <c r="AB1187" s="101">
        <f>IF($B1187="","",(COUNTIF(C1158:E1175,$B1187)+COUNTIF(C1158:E1175,$B1187&amp;" ~*")&gt;0)+(COUNTIF(G1158:I1175,$B1187)+COUNTIF(G1158:I1175,$B1187&amp;" ~*")&gt;0)+(COUNTIF(K1158:M1175,$B1187)+COUNTIF(K1158:M1175,$B1187&amp;" ~*")&gt;0)+(COUNTIF(O1158:Q1175,$B1187)+COUNTIF(O1158:Q1175,$B1187&amp;" ~*")&gt;0)+(COUNTIF(S1158:U1175,$B1187)+COUNTIF(S1158:U1175,$B1187&amp;" ~*")&gt;0)+(COUNTIF(W1158:W1175,$B1187)+COUNTIF(W1158:W1175,$B1187&amp;" ~*")&gt;0)+(COUNTIF(Y1158:Y1175,$B1187)+COUNTIF(Y1158:Y1175,$B1187&amp;" ~*")&gt;0))</f>
        <v/>
      </c>
      <c r="AC1187" s="36">
        <f>IF($B1187="","",(IFERROR(INDEX(Setup!$G$33:$G$40,MATCH(C1187,Setup!$B$33:$B$40,0)),0)=1)*(COUNTIF(C1158:E1175,$B1187)+COUNTIF(C1158:E1175,$B1187&amp;" ~*")&gt;0)+(IFERROR(INDEX(Setup!$G$33:$G$40,MATCH(G1187,Setup!$B$33:$B$40,0)),0)=1)*(COUNTIF(G1158:I1175,$B1187)+COUNTIF(G1158:I1175,$B1187&amp;" ~*")&gt;0)+(IFERROR(INDEX(Setup!$G$33:$G$40,MATCH(K1187,Setup!$B$33:$B$40,0)),0)=1)*(COUNTIF(K1158:M1175,$B1187)+COUNTIF(K1158:M1175,$B1187&amp;" ~*")&gt;0)+(IFERROR(INDEX(Setup!$G$33:$G$40,MATCH(O1187,Setup!$B$33:$B$40,0)),0)=1)*(COUNTIF(O1158:Q1175,$B1187)+COUNTIF(O1158:Q1175,$B1187&amp;" ~*")&gt;0)+(IFERROR(INDEX(Setup!$G$33:$G$40,MATCH(S1187,Setup!$B$33:$B$40,0)),0)=1)*(COUNTIF(S1158:U1175,$B1187)+COUNTIF(S1158:U1175,$B1187&amp;" ~*")&gt;0)+(IFERROR(INDEX(Setup!$G$33:$G$40,MATCH(W1187,Setup!$B$33:$B$40,0)),0)=1)*(COUNTIF(W1158:W1175,$B1187)+COUNTIF(W1158:W1175,$B1187&amp;" ~*")&gt;0)+(IFERROR(INDEX(Setup!$G$33:$G$40,MATCH(Y1187,Setup!$B$33:$B$40,0)),0)=1)*(COUNTIF(Y1158:Y1175,$B1187)+COUNTIF(Y1158:Y1175,$B1187&amp;" ~*")&gt;0))</f>
        <v/>
      </c>
    </row>
    <row r="1188" ht="15" customHeight="1">
      <c r="A1188" t="n">
        <v>24</v>
      </c>
      <c r="B1188" s="37">
        <f>IF(Setup!$B$17="","",Setup!$B$17)</f>
        <v/>
      </c>
      <c r="C1188" s="102" t="n"/>
      <c r="D1188" s="103" t="n"/>
      <c r="E1188" s="103" t="n"/>
      <c r="F1188" s="104" t="n"/>
      <c r="G1188" s="102" t="n"/>
      <c r="H1188" s="103" t="n"/>
      <c r="I1188" s="103" t="n"/>
      <c r="J1188" s="104" t="n"/>
      <c r="K1188" s="102" t="n"/>
      <c r="L1188" s="103" t="n"/>
      <c r="M1188" s="103" t="n"/>
      <c r="N1188" s="104" t="n"/>
      <c r="O1188" s="102" t="n"/>
      <c r="P1188" s="103" t="n"/>
      <c r="Q1188" s="103" t="n"/>
      <c r="R1188" s="104" t="n"/>
      <c r="S1188" s="102" t="n"/>
      <c r="T1188" s="103" t="n"/>
      <c r="U1188" s="103" t="n"/>
      <c r="V1188" s="104" t="n"/>
      <c r="W1188" s="102" t="n"/>
      <c r="X1188" s="104" t="n"/>
      <c r="Y1188" s="102" t="n"/>
      <c r="Z1188" s="104" t="n"/>
      <c r="AB1188" s="105">
        <f>IF($B1188="","",(COUNTIF(C1158:E1175,$B1188)+COUNTIF(C1158:E1175,$B1188&amp;" ~*")&gt;0)+(COUNTIF(G1158:I1175,$B1188)+COUNTIF(G1158:I1175,$B1188&amp;" ~*")&gt;0)+(COUNTIF(K1158:M1175,$B1188)+COUNTIF(K1158:M1175,$B1188&amp;" ~*")&gt;0)+(COUNTIF(O1158:Q1175,$B1188)+COUNTIF(O1158:Q1175,$B1188&amp;" ~*")&gt;0)+(COUNTIF(S1158:U1175,$B1188)+COUNTIF(S1158:U1175,$B1188&amp;" ~*")&gt;0)+(COUNTIF(W1158:W1175,$B1188)+COUNTIF(W1158:W1175,$B1188&amp;" ~*")&gt;0)+(COUNTIF(Y1158:Y1175,$B1188)+COUNTIF(Y1158:Y1175,$B1188&amp;" ~*")&gt;0))</f>
        <v/>
      </c>
      <c r="AC1188" s="38">
        <f>IF($B1188="","",(IFERROR(INDEX(Setup!$G$33:$G$40,MATCH(C1188,Setup!$B$33:$B$40,0)),0)=1)*(COUNTIF(C1158:E1175,$B1188)+COUNTIF(C1158:E1175,$B1188&amp;" ~*")&gt;0)+(IFERROR(INDEX(Setup!$G$33:$G$40,MATCH(G1188,Setup!$B$33:$B$40,0)),0)=1)*(COUNTIF(G1158:I1175,$B1188)+COUNTIF(G1158:I1175,$B1188&amp;" ~*")&gt;0)+(IFERROR(INDEX(Setup!$G$33:$G$40,MATCH(K1188,Setup!$B$33:$B$40,0)),0)=1)*(COUNTIF(K1158:M1175,$B1188)+COUNTIF(K1158:M1175,$B1188&amp;" ~*")&gt;0)+(IFERROR(INDEX(Setup!$G$33:$G$40,MATCH(O1188,Setup!$B$33:$B$40,0)),0)=1)*(COUNTIF(O1158:Q1175,$B1188)+COUNTIF(O1158:Q1175,$B1188&amp;" ~*")&gt;0)+(IFERROR(INDEX(Setup!$G$33:$G$40,MATCH(S1188,Setup!$B$33:$B$40,0)),0)=1)*(COUNTIF(S1158:U1175,$B1188)+COUNTIF(S1158:U1175,$B1188&amp;" ~*")&gt;0)+(IFERROR(INDEX(Setup!$G$33:$G$40,MATCH(W1188,Setup!$B$33:$B$40,0)),0)=1)*(COUNTIF(W1158:W1175,$B1188)+COUNTIF(W1158:W1175,$B1188&amp;" ~*")&gt;0)+(IFERROR(INDEX(Setup!$G$33:$G$40,MATCH(Y1188,Setup!$B$33:$B$40,0)),0)=1)*(COUNTIF(Y1158:Y1175,$B1188)+COUNTIF(Y1158:Y1175,$B1188&amp;" ~*")&gt;0))</f>
        <v/>
      </c>
    </row>
    <row r="1189" ht="15" customHeight="1">
      <c r="A1189" t="n">
        <v>24</v>
      </c>
      <c r="B1189" s="35">
        <f>IF(Setup!$B$18="","",Setup!$B$18)</f>
        <v/>
      </c>
      <c r="C1189" s="98" t="n"/>
      <c r="D1189" s="99" t="n"/>
      <c r="E1189" s="99" t="n"/>
      <c r="F1189" s="100" t="n"/>
      <c r="G1189" s="98" t="n"/>
      <c r="H1189" s="99" t="n"/>
      <c r="I1189" s="99" t="n"/>
      <c r="J1189" s="100" t="n"/>
      <c r="K1189" s="98" t="n"/>
      <c r="L1189" s="99" t="n"/>
      <c r="M1189" s="99" t="n"/>
      <c r="N1189" s="100" t="n"/>
      <c r="O1189" s="98" t="n"/>
      <c r="P1189" s="99" t="n"/>
      <c r="Q1189" s="99" t="n"/>
      <c r="R1189" s="100" t="n"/>
      <c r="S1189" s="98" t="n"/>
      <c r="T1189" s="99" t="n"/>
      <c r="U1189" s="99" t="n"/>
      <c r="V1189" s="100" t="n"/>
      <c r="W1189" s="98" t="n"/>
      <c r="X1189" s="100" t="n"/>
      <c r="Y1189" s="98" t="n"/>
      <c r="Z1189" s="100" t="n"/>
      <c r="AB1189" s="101">
        <f>IF($B1189="","",(COUNTIF(C1158:E1175,$B1189)+COUNTIF(C1158:E1175,$B1189&amp;" ~*")&gt;0)+(COUNTIF(G1158:I1175,$B1189)+COUNTIF(G1158:I1175,$B1189&amp;" ~*")&gt;0)+(COUNTIF(K1158:M1175,$B1189)+COUNTIF(K1158:M1175,$B1189&amp;" ~*")&gt;0)+(COUNTIF(O1158:Q1175,$B1189)+COUNTIF(O1158:Q1175,$B1189&amp;" ~*")&gt;0)+(COUNTIF(S1158:U1175,$B1189)+COUNTIF(S1158:U1175,$B1189&amp;" ~*")&gt;0)+(COUNTIF(W1158:W1175,$B1189)+COUNTIF(W1158:W1175,$B1189&amp;" ~*")&gt;0)+(COUNTIF(Y1158:Y1175,$B1189)+COUNTIF(Y1158:Y1175,$B1189&amp;" ~*")&gt;0))</f>
        <v/>
      </c>
      <c r="AC1189" s="36">
        <f>IF($B1189="","",(IFERROR(INDEX(Setup!$G$33:$G$40,MATCH(C1189,Setup!$B$33:$B$40,0)),0)=1)*(COUNTIF(C1158:E1175,$B1189)+COUNTIF(C1158:E1175,$B1189&amp;" ~*")&gt;0)+(IFERROR(INDEX(Setup!$G$33:$G$40,MATCH(G1189,Setup!$B$33:$B$40,0)),0)=1)*(COUNTIF(G1158:I1175,$B1189)+COUNTIF(G1158:I1175,$B1189&amp;" ~*")&gt;0)+(IFERROR(INDEX(Setup!$G$33:$G$40,MATCH(K1189,Setup!$B$33:$B$40,0)),0)=1)*(COUNTIF(K1158:M1175,$B1189)+COUNTIF(K1158:M1175,$B1189&amp;" ~*")&gt;0)+(IFERROR(INDEX(Setup!$G$33:$G$40,MATCH(O1189,Setup!$B$33:$B$40,0)),0)=1)*(COUNTIF(O1158:Q1175,$B1189)+COUNTIF(O1158:Q1175,$B1189&amp;" ~*")&gt;0)+(IFERROR(INDEX(Setup!$G$33:$G$40,MATCH(S1189,Setup!$B$33:$B$40,0)),0)=1)*(COUNTIF(S1158:U1175,$B1189)+COUNTIF(S1158:U1175,$B1189&amp;" ~*")&gt;0)+(IFERROR(INDEX(Setup!$G$33:$G$40,MATCH(W1189,Setup!$B$33:$B$40,0)),0)=1)*(COUNTIF(W1158:W1175,$B1189)+COUNTIF(W1158:W1175,$B1189&amp;" ~*")&gt;0)+(IFERROR(INDEX(Setup!$G$33:$G$40,MATCH(Y1189,Setup!$B$33:$B$40,0)),0)=1)*(COUNTIF(Y1158:Y1175,$B1189)+COUNTIF(Y1158:Y1175,$B1189&amp;" ~*")&gt;0))</f>
        <v/>
      </c>
    </row>
    <row r="1190" ht="15" customHeight="1">
      <c r="A1190" t="n">
        <v>24</v>
      </c>
      <c r="B1190" s="37">
        <f>IF(Setup!$B$19="","",Setup!$B$19)</f>
        <v/>
      </c>
      <c r="C1190" s="102" t="n"/>
      <c r="D1190" s="103" t="n"/>
      <c r="E1190" s="103" t="n"/>
      <c r="F1190" s="104" t="n"/>
      <c r="G1190" s="102" t="n"/>
      <c r="H1190" s="103" t="n"/>
      <c r="I1190" s="103" t="n"/>
      <c r="J1190" s="104" t="n"/>
      <c r="K1190" s="102" t="n"/>
      <c r="L1190" s="103" t="n"/>
      <c r="M1190" s="103" t="n"/>
      <c r="N1190" s="104" t="n"/>
      <c r="O1190" s="102" t="n"/>
      <c r="P1190" s="103" t="n"/>
      <c r="Q1190" s="103" t="n"/>
      <c r="R1190" s="104" t="n"/>
      <c r="S1190" s="102" t="n"/>
      <c r="T1190" s="103" t="n"/>
      <c r="U1190" s="103" t="n"/>
      <c r="V1190" s="104" t="n"/>
      <c r="W1190" s="102" t="n"/>
      <c r="X1190" s="104" t="n"/>
      <c r="Y1190" s="102" t="n"/>
      <c r="Z1190" s="104" t="n"/>
      <c r="AB1190" s="105">
        <f>IF($B1190="","",(COUNTIF(C1158:E1175,$B1190)+COUNTIF(C1158:E1175,$B1190&amp;" ~*")&gt;0)+(COUNTIF(G1158:I1175,$B1190)+COUNTIF(G1158:I1175,$B1190&amp;" ~*")&gt;0)+(COUNTIF(K1158:M1175,$B1190)+COUNTIF(K1158:M1175,$B1190&amp;" ~*")&gt;0)+(COUNTIF(O1158:Q1175,$B1190)+COUNTIF(O1158:Q1175,$B1190&amp;" ~*")&gt;0)+(COUNTIF(S1158:U1175,$B1190)+COUNTIF(S1158:U1175,$B1190&amp;" ~*")&gt;0)+(COUNTIF(W1158:W1175,$B1190)+COUNTIF(W1158:W1175,$B1190&amp;" ~*")&gt;0)+(COUNTIF(Y1158:Y1175,$B1190)+COUNTIF(Y1158:Y1175,$B1190&amp;" ~*")&gt;0))</f>
        <v/>
      </c>
      <c r="AC1190" s="38">
        <f>IF($B1190="","",(IFERROR(INDEX(Setup!$G$33:$G$40,MATCH(C1190,Setup!$B$33:$B$40,0)),0)=1)*(COUNTIF(C1158:E1175,$B1190)+COUNTIF(C1158:E1175,$B1190&amp;" ~*")&gt;0)+(IFERROR(INDEX(Setup!$G$33:$G$40,MATCH(G1190,Setup!$B$33:$B$40,0)),0)=1)*(COUNTIF(G1158:I1175,$B1190)+COUNTIF(G1158:I1175,$B1190&amp;" ~*")&gt;0)+(IFERROR(INDEX(Setup!$G$33:$G$40,MATCH(K1190,Setup!$B$33:$B$40,0)),0)=1)*(COUNTIF(K1158:M1175,$B1190)+COUNTIF(K1158:M1175,$B1190&amp;" ~*")&gt;0)+(IFERROR(INDEX(Setup!$G$33:$G$40,MATCH(O1190,Setup!$B$33:$B$40,0)),0)=1)*(COUNTIF(O1158:Q1175,$B1190)+COUNTIF(O1158:Q1175,$B1190&amp;" ~*")&gt;0)+(IFERROR(INDEX(Setup!$G$33:$G$40,MATCH(S1190,Setup!$B$33:$B$40,0)),0)=1)*(COUNTIF(S1158:U1175,$B1190)+COUNTIF(S1158:U1175,$B1190&amp;" ~*")&gt;0)+(IFERROR(INDEX(Setup!$G$33:$G$40,MATCH(W1190,Setup!$B$33:$B$40,0)),0)=1)*(COUNTIF(W1158:W1175,$B1190)+COUNTIF(W1158:W1175,$B1190&amp;" ~*")&gt;0)+(IFERROR(INDEX(Setup!$G$33:$G$40,MATCH(Y1190,Setup!$B$33:$B$40,0)),0)=1)*(COUNTIF(Y1158:Y1175,$B1190)+COUNTIF(Y1158:Y1175,$B1190&amp;" ~*")&gt;0))</f>
        <v/>
      </c>
    </row>
    <row r="1191" ht="15" customHeight="1">
      <c r="A1191" t="n">
        <v>24</v>
      </c>
      <c r="B1191" s="35">
        <f>IF(Setup!$B$20="","",Setup!$B$20)</f>
        <v/>
      </c>
      <c r="C1191" s="98" t="n"/>
      <c r="D1191" s="99" t="n"/>
      <c r="E1191" s="99" t="n"/>
      <c r="F1191" s="100" t="n"/>
      <c r="G1191" s="98" t="n"/>
      <c r="H1191" s="99" t="n"/>
      <c r="I1191" s="99" t="n"/>
      <c r="J1191" s="100" t="n"/>
      <c r="K1191" s="98" t="n"/>
      <c r="L1191" s="99" t="n"/>
      <c r="M1191" s="99" t="n"/>
      <c r="N1191" s="100" t="n"/>
      <c r="O1191" s="98" t="n"/>
      <c r="P1191" s="99" t="n"/>
      <c r="Q1191" s="99" t="n"/>
      <c r="R1191" s="100" t="n"/>
      <c r="S1191" s="98" t="n"/>
      <c r="T1191" s="99" t="n"/>
      <c r="U1191" s="99" t="n"/>
      <c r="V1191" s="100" t="n"/>
      <c r="W1191" s="98" t="n"/>
      <c r="X1191" s="100" t="n"/>
      <c r="Y1191" s="98" t="n"/>
      <c r="Z1191" s="100" t="n"/>
      <c r="AB1191" s="101">
        <f>IF($B1191="","",(COUNTIF(C1158:E1175,$B1191)+COUNTIF(C1158:E1175,$B1191&amp;" ~*")&gt;0)+(COUNTIF(G1158:I1175,$B1191)+COUNTIF(G1158:I1175,$B1191&amp;" ~*")&gt;0)+(COUNTIF(K1158:M1175,$B1191)+COUNTIF(K1158:M1175,$B1191&amp;" ~*")&gt;0)+(COUNTIF(O1158:Q1175,$B1191)+COUNTIF(O1158:Q1175,$B1191&amp;" ~*")&gt;0)+(COUNTIF(S1158:U1175,$B1191)+COUNTIF(S1158:U1175,$B1191&amp;" ~*")&gt;0)+(COUNTIF(W1158:W1175,$B1191)+COUNTIF(W1158:W1175,$B1191&amp;" ~*")&gt;0)+(COUNTIF(Y1158:Y1175,$B1191)+COUNTIF(Y1158:Y1175,$B1191&amp;" ~*")&gt;0))</f>
        <v/>
      </c>
      <c r="AC1191" s="36">
        <f>IF($B1191="","",(IFERROR(INDEX(Setup!$G$33:$G$40,MATCH(C1191,Setup!$B$33:$B$40,0)),0)=1)*(COUNTIF(C1158:E1175,$B1191)+COUNTIF(C1158:E1175,$B1191&amp;" ~*")&gt;0)+(IFERROR(INDEX(Setup!$G$33:$G$40,MATCH(G1191,Setup!$B$33:$B$40,0)),0)=1)*(COUNTIF(G1158:I1175,$B1191)+COUNTIF(G1158:I1175,$B1191&amp;" ~*")&gt;0)+(IFERROR(INDEX(Setup!$G$33:$G$40,MATCH(K1191,Setup!$B$33:$B$40,0)),0)=1)*(COUNTIF(K1158:M1175,$B1191)+COUNTIF(K1158:M1175,$B1191&amp;" ~*")&gt;0)+(IFERROR(INDEX(Setup!$G$33:$G$40,MATCH(O1191,Setup!$B$33:$B$40,0)),0)=1)*(COUNTIF(O1158:Q1175,$B1191)+COUNTIF(O1158:Q1175,$B1191&amp;" ~*")&gt;0)+(IFERROR(INDEX(Setup!$G$33:$G$40,MATCH(S1191,Setup!$B$33:$B$40,0)),0)=1)*(COUNTIF(S1158:U1175,$B1191)+COUNTIF(S1158:U1175,$B1191&amp;" ~*")&gt;0)+(IFERROR(INDEX(Setup!$G$33:$G$40,MATCH(W1191,Setup!$B$33:$B$40,0)),0)=1)*(COUNTIF(W1158:W1175,$B1191)+COUNTIF(W1158:W1175,$B1191&amp;" ~*")&gt;0)+(IFERROR(INDEX(Setup!$G$33:$G$40,MATCH(Y1191,Setup!$B$33:$B$40,0)),0)=1)*(COUNTIF(Y1158:Y1175,$B1191)+COUNTIF(Y1158:Y1175,$B1191&amp;" ~*")&gt;0))</f>
        <v/>
      </c>
    </row>
    <row r="1192" ht="15" customHeight="1">
      <c r="A1192" t="n">
        <v>24</v>
      </c>
      <c r="B1192" s="37">
        <f>IF(Setup!$B$21="","",Setup!$B$21)</f>
        <v/>
      </c>
      <c r="C1192" s="102" t="n"/>
      <c r="D1192" s="103" t="n"/>
      <c r="E1192" s="103" t="n"/>
      <c r="F1192" s="104" t="n"/>
      <c r="G1192" s="102" t="n"/>
      <c r="H1192" s="103" t="n"/>
      <c r="I1192" s="103" t="n"/>
      <c r="J1192" s="104" t="n"/>
      <c r="K1192" s="102" t="n"/>
      <c r="L1192" s="103" t="n"/>
      <c r="M1192" s="103" t="n"/>
      <c r="N1192" s="104" t="n"/>
      <c r="O1192" s="102" t="n"/>
      <c r="P1192" s="103" t="n"/>
      <c r="Q1192" s="103" t="n"/>
      <c r="R1192" s="104" t="n"/>
      <c r="S1192" s="102" t="n"/>
      <c r="T1192" s="103" t="n"/>
      <c r="U1192" s="103" t="n"/>
      <c r="V1192" s="104" t="n"/>
      <c r="W1192" s="102" t="n"/>
      <c r="X1192" s="104" t="n"/>
      <c r="Y1192" s="102" t="n"/>
      <c r="Z1192" s="104" t="n"/>
      <c r="AB1192" s="105">
        <f>IF($B1192="","",(COUNTIF(C1158:E1175,$B1192)+COUNTIF(C1158:E1175,$B1192&amp;" ~*")&gt;0)+(COUNTIF(G1158:I1175,$B1192)+COUNTIF(G1158:I1175,$B1192&amp;" ~*")&gt;0)+(COUNTIF(K1158:M1175,$B1192)+COUNTIF(K1158:M1175,$B1192&amp;" ~*")&gt;0)+(COUNTIF(O1158:Q1175,$B1192)+COUNTIF(O1158:Q1175,$B1192&amp;" ~*")&gt;0)+(COUNTIF(S1158:U1175,$B1192)+COUNTIF(S1158:U1175,$B1192&amp;" ~*")&gt;0)+(COUNTIF(W1158:W1175,$B1192)+COUNTIF(W1158:W1175,$B1192&amp;" ~*")&gt;0)+(COUNTIF(Y1158:Y1175,$B1192)+COUNTIF(Y1158:Y1175,$B1192&amp;" ~*")&gt;0))</f>
        <v/>
      </c>
      <c r="AC1192" s="38">
        <f>IF($B1192="","",(IFERROR(INDEX(Setup!$G$33:$G$40,MATCH(C1192,Setup!$B$33:$B$40,0)),0)=1)*(COUNTIF(C1158:E1175,$B1192)+COUNTIF(C1158:E1175,$B1192&amp;" ~*")&gt;0)+(IFERROR(INDEX(Setup!$G$33:$G$40,MATCH(G1192,Setup!$B$33:$B$40,0)),0)=1)*(COUNTIF(G1158:I1175,$B1192)+COUNTIF(G1158:I1175,$B1192&amp;" ~*")&gt;0)+(IFERROR(INDEX(Setup!$G$33:$G$40,MATCH(K1192,Setup!$B$33:$B$40,0)),0)=1)*(COUNTIF(K1158:M1175,$B1192)+COUNTIF(K1158:M1175,$B1192&amp;" ~*")&gt;0)+(IFERROR(INDEX(Setup!$G$33:$G$40,MATCH(O1192,Setup!$B$33:$B$40,0)),0)=1)*(COUNTIF(O1158:Q1175,$B1192)+COUNTIF(O1158:Q1175,$B1192&amp;" ~*")&gt;0)+(IFERROR(INDEX(Setup!$G$33:$G$40,MATCH(S1192,Setup!$B$33:$B$40,0)),0)=1)*(COUNTIF(S1158:U1175,$B1192)+COUNTIF(S1158:U1175,$B1192&amp;" ~*")&gt;0)+(IFERROR(INDEX(Setup!$G$33:$G$40,MATCH(W1192,Setup!$B$33:$B$40,0)),0)=1)*(COUNTIF(W1158:W1175,$B1192)+COUNTIF(W1158:W1175,$B1192&amp;" ~*")&gt;0)+(IFERROR(INDEX(Setup!$G$33:$G$40,MATCH(Y1192,Setup!$B$33:$B$40,0)),0)=1)*(COUNTIF(Y1158:Y1175,$B1192)+COUNTIF(Y1158:Y1175,$B1192&amp;" ~*")&gt;0))</f>
        <v/>
      </c>
    </row>
    <row r="1193" ht="15" customHeight="1">
      <c r="A1193" t="n">
        <v>24</v>
      </c>
      <c r="B1193" s="35">
        <f>IF(Setup!$B$22="","",Setup!$B$22)</f>
        <v/>
      </c>
      <c r="C1193" s="98" t="n"/>
      <c r="D1193" s="99" t="n"/>
      <c r="E1193" s="99" t="n"/>
      <c r="F1193" s="100" t="n"/>
      <c r="G1193" s="98" t="n"/>
      <c r="H1193" s="99" t="n"/>
      <c r="I1193" s="99" t="n"/>
      <c r="J1193" s="100" t="n"/>
      <c r="K1193" s="98" t="n"/>
      <c r="L1193" s="99" t="n"/>
      <c r="M1193" s="99" t="n"/>
      <c r="N1193" s="100" t="n"/>
      <c r="O1193" s="98" t="n"/>
      <c r="P1193" s="99" t="n"/>
      <c r="Q1193" s="99" t="n"/>
      <c r="R1193" s="100" t="n"/>
      <c r="S1193" s="98" t="n"/>
      <c r="T1193" s="99" t="n"/>
      <c r="U1193" s="99" t="n"/>
      <c r="V1193" s="100" t="n"/>
      <c r="W1193" s="98" t="n"/>
      <c r="X1193" s="100" t="n"/>
      <c r="Y1193" s="98" t="n"/>
      <c r="Z1193" s="100" t="n"/>
      <c r="AB1193" s="101">
        <f>IF($B1193="","",(COUNTIF(C1158:E1175,$B1193)+COUNTIF(C1158:E1175,$B1193&amp;" ~*")&gt;0)+(COUNTIF(G1158:I1175,$B1193)+COUNTIF(G1158:I1175,$B1193&amp;" ~*")&gt;0)+(COUNTIF(K1158:M1175,$B1193)+COUNTIF(K1158:M1175,$B1193&amp;" ~*")&gt;0)+(COUNTIF(O1158:Q1175,$B1193)+COUNTIF(O1158:Q1175,$B1193&amp;" ~*")&gt;0)+(COUNTIF(S1158:U1175,$B1193)+COUNTIF(S1158:U1175,$B1193&amp;" ~*")&gt;0)+(COUNTIF(W1158:W1175,$B1193)+COUNTIF(W1158:W1175,$B1193&amp;" ~*")&gt;0)+(COUNTIF(Y1158:Y1175,$B1193)+COUNTIF(Y1158:Y1175,$B1193&amp;" ~*")&gt;0))</f>
        <v/>
      </c>
      <c r="AC1193" s="36">
        <f>IF($B1193="","",(IFERROR(INDEX(Setup!$G$33:$G$40,MATCH(C1193,Setup!$B$33:$B$40,0)),0)=1)*(COUNTIF(C1158:E1175,$B1193)+COUNTIF(C1158:E1175,$B1193&amp;" ~*")&gt;0)+(IFERROR(INDEX(Setup!$G$33:$G$40,MATCH(G1193,Setup!$B$33:$B$40,0)),0)=1)*(COUNTIF(G1158:I1175,$B1193)+COUNTIF(G1158:I1175,$B1193&amp;" ~*")&gt;0)+(IFERROR(INDEX(Setup!$G$33:$G$40,MATCH(K1193,Setup!$B$33:$B$40,0)),0)=1)*(COUNTIF(K1158:M1175,$B1193)+COUNTIF(K1158:M1175,$B1193&amp;" ~*")&gt;0)+(IFERROR(INDEX(Setup!$G$33:$G$40,MATCH(O1193,Setup!$B$33:$B$40,0)),0)=1)*(COUNTIF(O1158:Q1175,$B1193)+COUNTIF(O1158:Q1175,$B1193&amp;" ~*")&gt;0)+(IFERROR(INDEX(Setup!$G$33:$G$40,MATCH(S1193,Setup!$B$33:$B$40,0)),0)=1)*(COUNTIF(S1158:U1175,$B1193)+COUNTIF(S1158:U1175,$B1193&amp;" ~*")&gt;0)+(IFERROR(INDEX(Setup!$G$33:$G$40,MATCH(W1193,Setup!$B$33:$B$40,0)),0)=1)*(COUNTIF(W1158:W1175,$B1193)+COUNTIF(W1158:W1175,$B1193&amp;" ~*")&gt;0)+(IFERROR(INDEX(Setup!$G$33:$G$40,MATCH(Y1193,Setup!$B$33:$B$40,0)),0)=1)*(COUNTIF(Y1158:Y1175,$B1193)+COUNTIF(Y1158:Y1175,$B1193&amp;" ~*")&gt;0))</f>
        <v/>
      </c>
    </row>
    <row r="1194" ht="15" customHeight="1">
      <c r="A1194" t="n">
        <v>24</v>
      </c>
      <c r="B1194" s="37">
        <f>IF(Setup!$B$23="","",Setup!$B$23)</f>
        <v/>
      </c>
      <c r="C1194" s="102" t="n"/>
      <c r="D1194" s="103" t="n"/>
      <c r="E1194" s="103" t="n"/>
      <c r="F1194" s="104" t="n"/>
      <c r="G1194" s="102" t="n"/>
      <c r="H1194" s="103" t="n"/>
      <c r="I1194" s="103" t="n"/>
      <c r="J1194" s="104" t="n"/>
      <c r="K1194" s="102" t="n"/>
      <c r="L1194" s="103" t="n"/>
      <c r="M1194" s="103" t="n"/>
      <c r="N1194" s="104" t="n"/>
      <c r="O1194" s="102" t="n"/>
      <c r="P1194" s="103" t="n"/>
      <c r="Q1194" s="103" t="n"/>
      <c r="R1194" s="104" t="n"/>
      <c r="S1194" s="102" t="n"/>
      <c r="T1194" s="103" t="n"/>
      <c r="U1194" s="103" t="n"/>
      <c r="V1194" s="104" t="n"/>
      <c r="W1194" s="102" t="n"/>
      <c r="X1194" s="104" t="n"/>
      <c r="Y1194" s="102" t="n"/>
      <c r="Z1194" s="104" t="n"/>
      <c r="AB1194" s="105">
        <f>IF($B1194="","",(COUNTIF(C1158:E1175,$B1194)+COUNTIF(C1158:E1175,$B1194&amp;" ~*")&gt;0)+(COUNTIF(G1158:I1175,$B1194)+COUNTIF(G1158:I1175,$B1194&amp;" ~*")&gt;0)+(COUNTIF(K1158:M1175,$B1194)+COUNTIF(K1158:M1175,$B1194&amp;" ~*")&gt;0)+(COUNTIF(O1158:Q1175,$B1194)+COUNTIF(O1158:Q1175,$B1194&amp;" ~*")&gt;0)+(COUNTIF(S1158:U1175,$B1194)+COUNTIF(S1158:U1175,$B1194&amp;" ~*")&gt;0)+(COUNTIF(W1158:W1175,$B1194)+COUNTIF(W1158:W1175,$B1194&amp;" ~*")&gt;0)+(COUNTIF(Y1158:Y1175,$B1194)+COUNTIF(Y1158:Y1175,$B1194&amp;" ~*")&gt;0))</f>
        <v/>
      </c>
      <c r="AC1194" s="38">
        <f>IF($B1194="","",(IFERROR(INDEX(Setup!$G$33:$G$40,MATCH(C1194,Setup!$B$33:$B$40,0)),0)=1)*(COUNTIF(C1158:E1175,$B1194)+COUNTIF(C1158:E1175,$B1194&amp;" ~*")&gt;0)+(IFERROR(INDEX(Setup!$G$33:$G$40,MATCH(G1194,Setup!$B$33:$B$40,0)),0)=1)*(COUNTIF(G1158:I1175,$B1194)+COUNTIF(G1158:I1175,$B1194&amp;" ~*")&gt;0)+(IFERROR(INDEX(Setup!$G$33:$G$40,MATCH(K1194,Setup!$B$33:$B$40,0)),0)=1)*(COUNTIF(K1158:M1175,$B1194)+COUNTIF(K1158:M1175,$B1194&amp;" ~*")&gt;0)+(IFERROR(INDEX(Setup!$G$33:$G$40,MATCH(O1194,Setup!$B$33:$B$40,0)),0)=1)*(COUNTIF(O1158:Q1175,$B1194)+COUNTIF(O1158:Q1175,$B1194&amp;" ~*")&gt;0)+(IFERROR(INDEX(Setup!$G$33:$G$40,MATCH(S1194,Setup!$B$33:$B$40,0)),0)=1)*(COUNTIF(S1158:U1175,$B1194)+COUNTIF(S1158:U1175,$B1194&amp;" ~*")&gt;0)+(IFERROR(INDEX(Setup!$G$33:$G$40,MATCH(W1194,Setup!$B$33:$B$40,0)),0)=1)*(COUNTIF(W1158:W1175,$B1194)+COUNTIF(W1158:W1175,$B1194&amp;" ~*")&gt;0)+(IFERROR(INDEX(Setup!$G$33:$G$40,MATCH(Y1194,Setup!$B$33:$B$40,0)),0)=1)*(COUNTIF(Y1158:Y1175,$B1194)+COUNTIF(Y1158:Y1175,$B1194&amp;" ~*")&gt;0))</f>
        <v/>
      </c>
    </row>
    <row r="1195" ht="15" customHeight="1">
      <c r="A1195" t="n">
        <v>24</v>
      </c>
      <c r="B1195" s="35">
        <f>IF(Setup!$B$24="","",Setup!$B$24)</f>
        <v/>
      </c>
      <c r="C1195" s="98" t="n"/>
      <c r="D1195" s="99" t="n"/>
      <c r="E1195" s="99" t="n"/>
      <c r="F1195" s="100" t="n"/>
      <c r="G1195" s="98" t="n"/>
      <c r="H1195" s="99" t="n"/>
      <c r="I1195" s="99" t="n"/>
      <c r="J1195" s="100" t="n"/>
      <c r="K1195" s="98" t="n"/>
      <c r="L1195" s="99" t="n"/>
      <c r="M1195" s="99" t="n"/>
      <c r="N1195" s="100" t="n"/>
      <c r="O1195" s="98" t="n"/>
      <c r="P1195" s="99" t="n"/>
      <c r="Q1195" s="99" t="n"/>
      <c r="R1195" s="100" t="n"/>
      <c r="S1195" s="98" t="n"/>
      <c r="T1195" s="99" t="n"/>
      <c r="U1195" s="99" t="n"/>
      <c r="V1195" s="100" t="n"/>
      <c r="W1195" s="98" t="n"/>
      <c r="X1195" s="100" t="n"/>
      <c r="Y1195" s="98" t="n"/>
      <c r="Z1195" s="100" t="n"/>
      <c r="AB1195" s="101">
        <f>IF($B1195="","",(COUNTIF(C1158:E1175,$B1195)+COUNTIF(C1158:E1175,$B1195&amp;" ~*")&gt;0)+(COUNTIF(G1158:I1175,$B1195)+COUNTIF(G1158:I1175,$B1195&amp;" ~*")&gt;0)+(COUNTIF(K1158:M1175,$B1195)+COUNTIF(K1158:M1175,$B1195&amp;" ~*")&gt;0)+(COUNTIF(O1158:Q1175,$B1195)+COUNTIF(O1158:Q1175,$B1195&amp;" ~*")&gt;0)+(COUNTIF(S1158:U1175,$B1195)+COUNTIF(S1158:U1175,$B1195&amp;" ~*")&gt;0)+(COUNTIF(W1158:W1175,$B1195)+COUNTIF(W1158:W1175,$B1195&amp;" ~*")&gt;0)+(COUNTIF(Y1158:Y1175,$B1195)+COUNTIF(Y1158:Y1175,$B1195&amp;" ~*")&gt;0))</f>
        <v/>
      </c>
      <c r="AC1195" s="36">
        <f>IF($B1195="","",(IFERROR(INDEX(Setup!$G$33:$G$40,MATCH(C1195,Setup!$B$33:$B$40,0)),0)=1)*(COUNTIF(C1158:E1175,$B1195)+COUNTIF(C1158:E1175,$B1195&amp;" ~*")&gt;0)+(IFERROR(INDEX(Setup!$G$33:$G$40,MATCH(G1195,Setup!$B$33:$B$40,0)),0)=1)*(COUNTIF(G1158:I1175,$B1195)+COUNTIF(G1158:I1175,$B1195&amp;" ~*")&gt;0)+(IFERROR(INDEX(Setup!$G$33:$G$40,MATCH(K1195,Setup!$B$33:$B$40,0)),0)=1)*(COUNTIF(K1158:M1175,$B1195)+COUNTIF(K1158:M1175,$B1195&amp;" ~*")&gt;0)+(IFERROR(INDEX(Setup!$G$33:$G$40,MATCH(O1195,Setup!$B$33:$B$40,0)),0)=1)*(COUNTIF(O1158:Q1175,$B1195)+COUNTIF(O1158:Q1175,$B1195&amp;" ~*")&gt;0)+(IFERROR(INDEX(Setup!$G$33:$G$40,MATCH(S1195,Setup!$B$33:$B$40,0)),0)=1)*(COUNTIF(S1158:U1175,$B1195)+COUNTIF(S1158:U1175,$B1195&amp;" ~*")&gt;0)+(IFERROR(INDEX(Setup!$G$33:$G$40,MATCH(W1195,Setup!$B$33:$B$40,0)),0)=1)*(COUNTIF(W1158:W1175,$B1195)+COUNTIF(W1158:W1175,$B1195&amp;" ~*")&gt;0)+(IFERROR(INDEX(Setup!$G$33:$G$40,MATCH(Y1195,Setup!$B$33:$B$40,0)),0)=1)*(COUNTIF(Y1158:Y1175,$B1195)+COUNTIF(Y1158:Y1175,$B1195&amp;" ~*")&gt;0))</f>
        <v/>
      </c>
    </row>
    <row r="1196" ht="15" customHeight="1">
      <c r="A1196" t="n">
        <v>24</v>
      </c>
      <c r="B1196" s="37">
        <f>IF(Setup!$B$25="","",Setup!$B$25)</f>
        <v/>
      </c>
      <c r="C1196" s="102" t="n"/>
      <c r="D1196" s="103" t="n"/>
      <c r="E1196" s="103" t="n"/>
      <c r="F1196" s="104" t="n"/>
      <c r="G1196" s="102" t="n"/>
      <c r="H1196" s="103" t="n"/>
      <c r="I1196" s="103" t="n"/>
      <c r="J1196" s="104" t="n"/>
      <c r="K1196" s="102" t="n"/>
      <c r="L1196" s="103" t="n"/>
      <c r="M1196" s="103" t="n"/>
      <c r="N1196" s="104" t="n"/>
      <c r="O1196" s="102" t="n"/>
      <c r="P1196" s="103" t="n"/>
      <c r="Q1196" s="103" t="n"/>
      <c r="R1196" s="104" t="n"/>
      <c r="S1196" s="102" t="n"/>
      <c r="T1196" s="103" t="n"/>
      <c r="U1196" s="103" t="n"/>
      <c r="V1196" s="104" t="n"/>
      <c r="W1196" s="102" t="n"/>
      <c r="X1196" s="104" t="n"/>
      <c r="Y1196" s="102" t="n"/>
      <c r="Z1196" s="104" t="n"/>
      <c r="AB1196" s="105">
        <f>IF($B1196="","",(COUNTIF(C1158:E1175,$B1196)+COUNTIF(C1158:E1175,$B1196&amp;" ~*")&gt;0)+(COUNTIF(G1158:I1175,$B1196)+COUNTIF(G1158:I1175,$B1196&amp;" ~*")&gt;0)+(COUNTIF(K1158:M1175,$B1196)+COUNTIF(K1158:M1175,$B1196&amp;" ~*")&gt;0)+(COUNTIF(O1158:Q1175,$B1196)+COUNTIF(O1158:Q1175,$B1196&amp;" ~*")&gt;0)+(COUNTIF(S1158:U1175,$B1196)+COUNTIF(S1158:U1175,$B1196&amp;" ~*")&gt;0)+(COUNTIF(W1158:W1175,$B1196)+COUNTIF(W1158:W1175,$B1196&amp;" ~*")&gt;0)+(COUNTIF(Y1158:Y1175,$B1196)+COUNTIF(Y1158:Y1175,$B1196&amp;" ~*")&gt;0))</f>
        <v/>
      </c>
      <c r="AC1196" s="38">
        <f>IF($B1196="","",(IFERROR(INDEX(Setup!$G$33:$G$40,MATCH(C1196,Setup!$B$33:$B$40,0)),0)=1)*(COUNTIF(C1158:E1175,$B1196)+COUNTIF(C1158:E1175,$B1196&amp;" ~*")&gt;0)+(IFERROR(INDEX(Setup!$G$33:$G$40,MATCH(G1196,Setup!$B$33:$B$40,0)),0)=1)*(COUNTIF(G1158:I1175,$B1196)+COUNTIF(G1158:I1175,$B1196&amp;" ~*")&gt;0)+(IFERROR(INDEX(Setup!$G$33:$G$40,MATCH(K1196,Setup!$B$33:$B$40,0)),0)=1)*(COUNTIF(K1158:M1175,$B1196)+COUNTIF(K1158:M1175,$B1196&amp;" ~*")&gt;0)+(IFERROR(INDEX(Setup!$G$33:$G$40,MATCH(O1196,Setup!$B$33:$B$40,0)),0)=1)*(COUNTIF(O1158:Q1175,$B1196)+COUNTIF(O1158:Q1175,$B1196&amp;" ~*")&gt;0)+(IFERROR(INDEX(Setup!$G$33:$G$40,MATCH(S1196,Setup!$B$33:$B$40,0)),0)=1)*(COUNTIF(S1158:U1175,$B1196)+COUNTIF(S1158:U1175,$B1196&amp;" ~*")&gt;0)+(IFERROR(INDEX(Setup!$G$33:$G$40,MATCH(W1196,Setup!$B$33:$B$40,0)),0)=1)*(COUNTIF(W1158:W1175,$B1196)+COUNTIF(W1158:W1175,$B1196&amp;" ~*")&gt;0)+(IFERROR(INDEX(Setup!$G$33:$G$40,MATCH(Y1196,Setup!$B$33:$B$40,0)),0)=1)*(COUNTIF(Y1158:Y1175,$B1196)+COUNTIF(Y1158:Y1175,$B1196&amp;" ~*")&gt;0))</f>
        <v/>
      </c>
    </row>
    <row r="1197" ht="15" customHeight="1">
      <c r="A1197" t="n">
        <v>24</v>
      </c>
      <c r="B1197" s="35">
        <f>IF(Setup!$B$26="","",Setup!$B$26)</f>
        <v/>
      </c>
      <c r="C1197" s="98" t="n"/>
      <c r="D1197" s="99" t="n"/>
      <c r="E1197" s="99" t="n"/>
      <c r="F1197" s="100" t="n"/>
      <c r="G1197" s="98" t="n"/>
      <c r="H1197" s="99" t="n"/>
      <c r="I1197" s="99" t="n"/>
      <c r="J1197" s="100" t="n"/>
      <c r="K1197" s="98" t="n"/>
      <c r="L1197" s="99" t="n"/>
      <c r="M1197" s="99" t="n"/>
      <c r="N1197" s="100" t="n"/>
      <c r="O1197" s="98" t="n"/>
      <c r="P1197" s="99" t="n"/>
      <c r="Q1197" s="99" t="n"/>
      <c r="R1197" s="100" t="n"/>
      <c r="S1197" s="98" t="n"/>
      <c r="T1197" s="99" t="n"/>
      <c r="U1197" s="99" t="n"/>
      <c r="V1197" s="100" t="n"/>
      <c r="W1197" s="98" t="n"/>
      <c r="X1197" s="100" t="n"/>
      <c r="Y1197" s="98" t="n"/>
      <c r="Z1197" s="100" t="n"/>
      <c r="AB1197" s="101">
        <f>IF($B1197="","",(COUNTIF(C1158:E1175,$B1197)+COUNTIF(C1158:E1175,$B1197&amp;" ~*")&gt;0)+(COUNTIF(G1158:I1175,$B1197)+COUNTIF(G1158:I1175,$B1197&amp;" ~*")&gt;0)+(COUNTIF(K1158:M1175,$B1197)+COUNTIF(K1158:M1175,$B1197&amp;" ~*")&gt;0)+(COUNTIF(O1158:Q1175,$B1197)+COUNTIF(O1158:Q1175,$B1197&amp;" ~*")&gt;0)+(COUNTIF(S1158:U1175,$B1197)+COUNTIF(S1158:U1175,$B1197&amp;" ~*")&gt;0)+(COUNTIF(W1158:W1175,$B1197)+COUNTIF(W1158:W1175,$B1197&amp;" ~*")&gt;0)+(COUNTIF(Y1158:Y1175,$B1197)+COUNTIF(Y1158:Y1175,$B1197&amp;" ~*")&gt;0))</f>
        <v/>
      </c>
      <c r="AC1197" s="36">
        <f>IF($B1197="","",(IFERROR(INDEX(Setup!$G$33:$G$40,MATCH(C1197,Setup!$B$33:$B$40,0)),0)=1)*(COUNTIF(C1158:E1175,$B1197)+COUNTIF(C1158:E1175,$B1197&amp;" ~*")&gt;0)+(IFERROR(INDEX(Setup!$G$33:$G$40,MATCH(G1197,Setup!$B$33:$B$40,0)),0)=1)*(COUNTIF(G1158:I1175,$B1197)+COUNTIF(G1158:I1175,$B1197&amp;" ~*")&gt;0)+(IFERROR(INDEX(Setup!$G$33:$G$40,MATCH(K1197,Setup!$B$33:$B$40,0)),0)=1)*(COUNTIF(K1158:M1175,$B1197)+COUNTIF(K1158:M1175,$B1197&amp;" ~*")&gt;0)+(IFERROR(INDEX(Setup!$G$33:$G$40,MATCH(O1197,Setup!$B$33:$B$40,0)),0)=1)*(COUNTIF(O1158:Q1175,$B1197)+COUNTIF(O1158:Q1175,$B1197&amp;" ~*")&gt;0)+(IFERROR(INDEX(Setup!$G$33:$G$40,MATCH(S1197,Setup!$B$33:$B$40,0)),0)=1)*(COUNTIF(S1158:U1175,$B1197)+COUNTIF(S1158:U1175,$B1197&amp;" ~*")&gt;0)+(IFERROR(INDEX(Setup!$G$33:$G$40,MATCH(W1197,Setup!$B$33:$B$40,0)),0)=1)*(COUNTIF(W1158:W1175,$B1197)+COUNTIF(W1158:W1175,$B1197&amp;" ~*")&gt;0)+(IFERROR(INDEX(Setup!$G$33:$G$40,MATCH(Y1197,Setup!$B$33:$B$40,0)),0)=1)*(COUNTIF(Y1158:Y1175,$B1197)+COUNTIF(Y1158:Y1175,$B1197&amp;" ~*")&gt;0))</f>
        <v/>
      </c>
    </row>
    <row r="1198" ht="15" customHeight="1">
      <c r="A1198" t="n">
        <v>24</v>
      </c>
      <c r="B1198" s="37">
        <f>IF(Setup!$B$27="","",Setup!$B$27)</f>
        <v/>
      </c>
      <c r="C1198" s="102" t="n"/>
      <c r="D1198" s="103" t="n"/>
      <c r="E1198" s="103" t="n"/>
      <c r="F1198" s="104" t="n"/>
      <c r="G1198" s="102" t="n"/>
      <c r="H1198" s="103" t="n"/>
      <c r="I1198" s="103" t="n"/>
      <c r="J1198" s="104" t="n"/>
      <c r="K1198" s="102" t="n"/>
      <c r="L1198" s="103" t="n"/>
      <c r="M1198" s="103" t="n"/>
      <c r="N1198" s="104" t="n"/>
      <c r="O1198" s="102" t="n"/>
      <c r="P1198" s="103" t="n"/>
      <c r="Q1198" s="103" t="n"/>
      <c r="R1198" s="104" t="n"/>
      <c r="S1198" s="102" t="n"/>
      <c r="T1198" s="103" t="n"/>
      <c r="U1198" s="103" t="n"/>
      <c r="V1198" s="104" t="n"/>
      <c r="W1198" s="102" t="n"/>
      <c r="X1198" s="104" t="n"/>
      <c r="Y1198" s="102" t="n"/>
      <c r="Z1198" s="104" t="n"/>
      <c r="AB1198" s="105">
        <f>IF($B1198="","",(COUNTIF(C1158:E1175,$B1198)+COUNTIF(C1158:E1175,$B1198&amp;" ~*")&gt;0)+(COUNTIF(G1158:I1175,$B1198)+COUNTIF(G1158:I1175,$B1198&amp;" ~*")&gt;0)+(COUNTIF(K1158:M1175,$B1198)+COUNTIF(K1158:M1175,$B1198&amp;" ~*")&gt;0)+(COUNTIF(O1158:Q1175,$B1198)+COUNTIF(O1158:Q1175,$B1198&amp;" ~*")&gt;0)+(COUNTIF(S1158:U1175,$B1198)+COUNTIF(S1158:U1175,$B1198&amp;" ~*")&gt;0)+(COUNTIF(W1158:W1175,$B1198)+COUNTIF(W1158:W1175,$B1198&amp;" ~*")&gt;0)+(COUNTIF(Y1158:Y1175,$B1198)+COUNTIF(Y1158:Y1175,$B1198&amp;" ~*")&gt;0))</f>
        <v/>
      </c>
      <c r="AC1198" s="38">
        <f>IF($B1198="","",(IFERROR(INDEX(Setup!$G$33:$G$40,MATCH(C1198,Setup!$B$33:$B$40,0)),0)=1)*(COUNTIF(C1158:E1175,$B1198)+COUNTIF(C1158:E1175,$B1198&amp;" ~*")&gt;0)+(IFERROR(INDEX(Setup!$G$33:$G$40,MATCH(G1198,Setup!$B$33:$B$40,0)),0)=1)*(COUNTIF(G1158:I1175,$B1198)+COUNTIF(G1158:I1175,$B1198&amp;" ~*")&gt;0)+(IFERROR(INDEX(Setup!$G$33:$G$40,MATCH(K1198,Setup!$B$33:$B$40,0)),0)=1)*(COUNTIF(K1158:M1175,$B1198)+COUNTIF(K1158:M1175,$B1198&amp;" ~*")&gt;0)+(IFERROR(INDEX(Setup!$G$33:$G$40,MATCH(O1198,Setup!$B$33:$B$40,0)),0)=1)*(COUNTIF(O1158:Q1175,$B1198)+COUNTIF(O1158:Q1175,$B1198&amp;" ~*")&gt;0)+(IFERROR(INDEX(Setup!$G$33:$G$40,MATCH(S1198,Setup!$B$33:$B$40,0)),0)=1)*(COUNTIF(S1158:U1175,$B1198)+COUNTIF(S1158:U1175,$B1198&amp;" ~*")&gt;0)+(IFERROR(INDEX(Setup!$G$33:$G$40,MATCH(W1198,Setup!$B$33:$B$40,0)),0)=1)*(COUNTIF(W1158:W1175,$B1198)+COUNTIF(W1158:W1175,$B1198&amp;" ~*")&gt;0)+(IFERROR(INDEX(Setup!$G$33:$G$40,MATCH(Y1198,Setup!$B$33:$B$40,0)),0)=1)*(COUNTIF(Y1158:Y1175,$B1198)+COUNTIF(Y1158:Y1175,$B1198&amp;" ~*")&gt;0))</f>
        <v/>
      </c>
    </row>
    <row r="1199" ht="15" customHeight="1">
      <c r="A1199" t="n">
        <v>24</v>
      </c>
      <c r="B1199" s="35">
        <f>IF(Setup!$B$28="","",Setup!$B$28)</f>
        <v/>
      </c>
      <c r="C1199" s="98" t="n"/>
      <c r="D1199" s="99" t="n"/>
      <c r="E1199" s="99" t="n"/>
      <c r="F1199" s="100" t="n"/>
      <c r="G1199" s="98" t="n"/>
      <c r="H1199" s="99" t="n"/>
      <c r="I1199" s="99" t="n"/>
      <c r="J1199" s="100" t="n"/>
      <c r="K1199" s="98" t="n"/>
      <c r="L1199" s="99" t="n"/>
      <c r="M1199" s="99" t="n"/>
      <c r="N1199" s="100" t="n"/>
      <c r="O1199" s="98" t="n"/>
      <c r="P1199" s="99" t="n"/>
      <c r="Q1199" s="99" t="n"/>
      <c r="R1199" s="100" t="n"/>
      <c r="S1199" s="98" t="n"/>
      <c r="T1199" s="99" t="n"/>
      <c r="U1199" s="99" t="n"/>
      <c r="V1199" s="100" t="n"/>
      <c r="W1199" s="98" t="n"/>
      <c r="X1199" s="100" t="n"/>
      <c r="Y1199" s="98" t="n"/>
      <c r="Z1199" s="100" t="n"/>
      <c r="AB1199" s="101">
        <f>IF($B1199="","",(COUNTIF(C1158:E1175,$B1199)+COUNTIF(C1158:E1175,$B1199&amp;" ~*")&gt;0)+(COUNTIF(G1158:I1175,$B1199)+COUNTIF(G1158:I1175,$B1199&amp;" ~*")&gt;0)+(COUNTIF(K1158:M1175,$B1199)+COUNTIF(K1158:M1175,$B1199&amp;" ~*")&gt;0)+(COUNTIF(O1158:Q1175,$B1199)+COUNTIF(O1158:Q1175,$B1199&amp;" ~*")&gt;0)+(COUNTIF(S1158:U1175,$B1199)+COUNTIF(S1158:U1175,$B1199&amp;" ~*")&gt;0)+(COUNTIF(W1158:W1175,$B1199)+COUNTIF(W1158:W1175,$B1199&amp;" ~*")&gt;0)+(COUNTIF(Y1158:Y1175,$B1199)+COUNTIF(Y1158:Y1175,$B1199&amp;" ~*")&gt;0))</f>
        <v/>
      </c>
      <c r="AC1199" s="36">
        <f>IF($B1199="","",(IFERROR(INDEX(Setup!$G$33:$G$40,MATCH(C1199,Setup!$B$33:$B$40,0)),0)=1)*(COUNTIF(C1158:E1175,$B1199)+COUNTIF(C1158:E1175,$B1199&amp;" ~*")&gt;0)+(IFERROR(INDEX(Setup!$G$33:$G$40,MATCH(G1199,Setup!$B$33:$B$40,0)),0)=1)*(COUNTIF(G1158:I1175,$B1199)+COUNTIF(G1158:I1175,$B1199&amp;" ~*")&gt;0)+(IFERROR(INDEX(Setup!$G$33:$G$40,MATCH(K1199,Setup!$B$33:$B$40,0)),0)=1)*(COUNTIF(K1158:M1175,$B1199)+COUNTIF(K1158:M1175,$B1199&amp;" ~*")&gt;0)+(IFERROR(INDEX(Setup!$G$33:$G$40,MATCH(O1199,Setup!$B$33:$B$40,0)),0)=1)*(COUNTIF(O1158:Q1175,$B1199)+COUNTIF(O1158:Q1175,$B1199&amp;" ~*")&gt;0)+(IFERROR(INDEX(Setup!$G$33:$G$40,MATCH(S1199,Setup!$B$33:$B$40,0)),0)=1)*(COUNTIF(S1158:U1175,$B1199)+COUNTIF(S1158:U1175,$B1199&amp;" ~*")&gt;0)+(IFERROR(INDEX(Setup!$G$33:$G$40,MATCH(W1199,Setup!$B$33:$B$40,0)),0)=1)*(COUNTIF(W1158:W1175,$B1199)+COUNTIF(W1158:W1175,$B1199&amp;" ~*")&gt;0)+(IFERROR(INDEX(Setup!$G$33:$G$40,MATCH(Y1199,Setup!$B$33:$B$40,0)),0)=1)*(COUNTIF(Y1158:Y1175,$B1199)+COUNTIF(Y1158:Y1175,$B1199&amp;" ~*")&gt;0))</f>
        <v/>
      </c>
    </row>
    <row r="1200" ht="15" customHeight="1">
      <c r="A1200" t="n">
        <v>24</v>
      </c>
      <c r="B1200" s="37">
        <f>IF(Setup!$B$29="","",Setup!$B$29)</f>
        <v/>
      </c>
      <c r="C1200" s="102" t="n"/>
      <c r="D1200" s="103" t="n"/>
      <c r="E1200" s="103" t="n"/>
      <c r="F1200" s="104" t="n"/>
      <c r="G1200" s="102" t="n"/>
      <c r="H1200" s="103" t="n"/>
      <c r="I1200" s="103" t="n"/>
      <c r="J1200" s="104" t="n"/>
      <c r="K1200" s="102" t="n"/>
      <c r="L1200" s="103" t="n"/>
      <c r="M1200" s="103" t="n"/>
      <c r="N1200" s="104" t="n"/>
      <c r="O1200" s="102" t="n"/>
      <c r="P1200" s="103" t="n"/>
      <c r="Q1200" s="103" t="n"/>
      <c r="R1200" s="104" t="n"/>
      <c r="S1200" s="102" t="n"/>
      <c r="T1200" s="103" t="n"/>
      <c r="U1200" s="103" t="n"/>
      <c r="V1200" s="104" t="n"/>
      <c r="W1200" s="102" t="n"/>
      <c r="X1200" s="104" t="n"/>
      <c r="Y1200" s="102" t="n"/>
      <c r="Z1200" s="104" t="n"/>
      <c r="AB1200" s="105">
        <f>IF($B1200="","",(COUNTIF(C1158:E1175,$B1200)+COUNTIF(C1158:E1175,$B1200&amp;" ~*")&gt;0)+(COUNTIF(G1158:I1175,$B1200)+COUNTIF(G1158:I1175,$B1200&amp;" ~*")&gt;0)+(COUNTIF(K1158:M1175,$B1200)+COUNTIF(K1158:M1175,$B1200&amp;" ~*")&gt;0)+(COUNTIF(O1158:Q1175,$B1200)+COUNTIF(O1158:Q1175,$B1200&amp;" ~*")&gt;0)+(COUNTIF(S1158:U1175,$B1200)+COUNTIF(S1158:U1175,$B1200&amp;" ~*")&gt;0)+(COUNTIF(W1158:W1175,$B1200)+COUNTIF(W1158:W1175,$B1200&amp;" ~*")&gt;0)+(COUNTIF(Y1158:Y1175,$B1200)+COUNTIF(Y1158:Y1175,$B1200&amp;" ~*")&gt;0))</f>
        <v/>
      </c>
      <c r="AC1200" s="38">
        <f>IF($B1200="","",(IFERROR(INDEX(Setup!$G$33:$G$40,MATCH(C1200,Setup!$B$33:$B$40,0)),0)=1)*(COUNTIF(C1158:E1175,$B1200)+COUNTIF(C1158:E1175,$B1200&amp;" ~*")&gt;0)+(IFERROR(INDEX(Setup!$G$33:$G$40,MATCH(G1200,Setup!$B$33:$B$40,0)),0)=1)*(COUNTIF(G1158:I1175,$B1200)+COUNTIF(G1158:I1175,$B1200&amp;" ~*")&gt;0)+(IFERROR(INDEX(Setup!$G$33:$G$40,MATCH(K1200,Setup!$B$33:$B$40,0)),0)=1)*(COUNTIF(K1158:M1175,$B1200)+COUNTIF(K1158:M1175,$B1200&amp;" ~*")&gt;0)+(IFERROR(INDEX(Setup!$G$33:$G$40,MATCH(O1200,Setup!$B$33:$B$40,0)),0)=1)*(COUNTIF(O1158:Q1175,$B1200)+COUNTIF(O1158:Q1175,$B1200&amp;" ~*")&gt;0)+(IFERROR(INDEX(Setup!$G$33:$G$40,MATCH(S1200,Setup!$B$33:$B$40,0)),0)=1)*(COUNTIF(S1158:U1175,$B1200)+COUNTIF(S1158:U1175,$B1200&amp;" ~*")&gt;0)+(IFERROR(INDEX(Setup!$G$33:$G$40,MATCH(W1200,Setup!$B$33:$B$40,0)),0)=1)*(COUNTIF(W1158:W1175,$B1200)+COUNTIF(W1158:W1175,$B1200&amp;" ~*")&gt;0)+(IFERROR(INDEX(Setup!$G$33:$G$40,MATCH(Y1200,Setup!$B$33:$B$40,0)),0)=1)*(COUNTIF(Y1158:Y1175,$B1200)+COUNTIF(Y1158:Y1175,$B1200&amp;" ~*")&gt;0))</f>
        <v/>
      </c>
    </row>
    <row r="1201" ht="16" customHeight="1">
      <c r="A1201" t="n">
        <v>24</v>
      </c>
      <c r="B1201" s="106" t="inlineStr">
        <is>
          <t>Available people</t>
        </is>
      </c>
      <c r="C1201" s="107">
        <f>COUNTIFS(Setup!$E$6:$E$29,"Y",Setup!$B$6:$B$29,"?*")-SUMPRODUCT(COUNTIF(C1177:C1200,Setup!$F$33:$F$40))</f>
        <v/>
      </c>
      <c r="D1201" s="107" t="n"/>
      <c r="E1201" s="107" t="n"/>
      <c r="F1201" s="107" t="n"/>
      <c r="G1201" s="107">
        <f>COUNTIFS(Setup!$E$6:$E$29,"Y",Setup!$B$6:$B$29,"?*")-SUMPRODUCT(COUNTIF(G1177:G1200,Setup!$F$33:$F$40))</f>
        <v/>
      </c>
      <c r="H1201" s="107" t="n"/>
      <c r="I1201" s="107" t="n"/>
      <c r="J1201" s="107" t="n"/>
      <c r="K1201" s="107">
        <f>COUNTIFS(Setup!$E$6:$E$29,"Y",Setup!$B$6:$B$29,"?*")-SUMPRODUCT(COUNTIF(K1177:K1200,Setup!$F$33:$F$40))</f>
        <v/>
      </c>
      <c r="L1201" s="107" t="n"/>
      <c r="M1201" s="107" t="n"/>
      <c r="N1201" s="107" t="n"/>
      <c r="O1201" s="107">
        <f>COUNTIFS(Setup!$E$6:$E$29,"Y",Setup!$B$6:$B$29,"?*")-SUMPRODUCT(COUNTIF(O1177:O1200,Setup!$F$33:$F$40))</f>
        <v/>
      </c>
      <c r="P1201" s="107" t="n"/>
      <c r="Q1201" s="107" t="n"/>
      <c r="R1201" s="107" t="n"/>
      <c r="S1201" s="107">
        <f>COUNTIFS(Setup!$E$6:$E$29,"Y",Setup!$B$6:$B$29,"?*")-SUMPRODUCT(COUNTIF(S1177:S1200,Setup!$F$33:$F$40))</f>
        <v/>
      </c>
      <c r="T1201" s="107" t="n"/>
      <c r="U1201" s="107" t="n"/>
      <c r="V1201" s="107" t="n"/>
      <c r="W1201" s="107">
        <f>COUNTIFS(Setup!$E$6:$E$29,"Y",Setup!$B$6:$B$29,"?*")-SUMPRODUCT(COUNTIF(W1177:W1200,Setup!$F$33:$F$40))</f>
        <v/>
      </c>
      <c r="X1201" s="107" t="n"/>
      <c r="Y1201" s="107">
        <f>COUNTIFS(Setup!$E$6:$E$29,"Y",Setup!$B$6:$B$29,"?*")-SUMPRODUCT(COUNTIF(Y1177:Y1200,Setup!$F$33:$F$40))</f>
        <v/>
      </c>
      <c r="Z1201" s="107" t="n"/>
      <c r="AB1201" s="108">
        <f>SUM(AB1177:AB1200)</f>
        <v/>
      </c>
      <c r="AC1201" s="109">
        <f>SUM(AC1177:AC1200)</f>
        <v/>
      </c>
    </row>
    <row r="1202" ht="30" customHeight="1">
      <c r="A1202" t="n">
        <v>24</v>
      </c>
      <c r="B1202" s="110" t="inlineStr">
        <is>
          <t>Week notes</t>
        </is>
      </c>
      <c r="C1202" s="111" t="n"/>
      <c r="D1202" s="112" t="n"/>
      <c r="E1202" s="112" t="n"/>
      <c r="F1202" s="112" t="n"/>
      <c r="G1202" s="112" t="n"/>
      <c r="H1202" s="112" t="n"/>
      <c r="I1202" s="112" t="n"/>
      <c r="J1202" s="112" t="n"/>
      <c r="K1202" s="112" t="n"/>
      <c r="L1202" s="112" t="n"/>
      <c r="M1202" s="112" t="n"/>
      <c r="N1202" s="112" t="n"/>
      <c r="O1202" s="112" t="n"/>
      <c r="P1202" s="112" t="n"/>
      <c r="Q1202" s="112" t="n"/>
      <c r="R1202" s="112" t="n"/>
      <c r="S1202" s="112" t="n"/>
      <c r="T1202" s="112" t="n"/>
      <c r="U1202" s="112" t="n"/>
      <c r="V1202" s="112" t="n"/>
      <c r="W1202" s="112" t="n"/>
      <c r="X1202" s="112" t="n"/>
      <c r="Y1202" s="112" t="n"/>
      <c r="Z1202" s="113" t="n"/>
    </row>
    <row r="1203" ht="8" customHeight="1">
      <c r="A1203" t="n">
        <v>24</v>
      </c>
    </row>
    <row r="1204" ht="8" customHeight="1">
      <c r="A1204" t="n">
        <v>24</v>
      </c>
    </row>
    <row r="1205" ht="24" customHeight="1">
      <c r="A1205" t="n">
        <v>25</v>
      </c>
      <c r="B1205" s="73">
        <f>"WEEK 25     "&amp;TEXT(C1206,"ddd d mmm")&amp;"  –  "&amp;TEXT(C1206+6,"ddd d mmm yyyy")</f>
        <v/>
      </c>
      <c r="S1205" s="74">
        <f>IF(TODAY()&lt;C1206,"FUTURE",IF(TODAY()&gt;C1206+6,"PAST","THIS WEEK"))</f>
        <v/>
      </c>
      <c r="W1205" s="75">
        <f>IF(AND(Engine!$B$8=$AC$3,Engine!$B$9=$A1205),"◀ ACTIVE WEEK","")</f>
        <v/>
      </c>
      <c r="AA1205" s="76" t="n"/>
      <c r="AB1205" s="77" t="inlineStr">
        <is>
          <t>◀ Prev</t>
        </is>
      </c>
      <c r="AC1205" s="77" t="inlineStr">
        <is>
          <t>Next ▶</t>
        </is>
      </c>
    </row>
    <row r="1206" ht="18" customHeight="1">
      <c r="A1206" t="n">
        <v>25</v>
      </c>
      <c r="B1206" s="78" t="inlineStr">
        <is>
          <t>DUTY</t>
        </is>
      </c>
      <c r="C1206" s="79">
        <f>$AC$2+7*($A1206-1)</f>
        <v/>
      </c>
      <c r="D1206" s="80" t="n"/>
      <c r="E1206" s="80" t="n"/>
      <c r="F1206" s="81" t="n"/>
      <c r="G1206" s="79">
        <f>C1206+1</f>
        <v/>
      </c>
      <c r="H1206" s="80" t="n"/>
      <c r="I1206" s="80" t="n"/>
      <c r="J1206" s="81" t="n"/>
      <c r="K1206" s="79">
        <f>C1206+2</f>
        <v/>
      </c>
      <c r="L1206" s="80" t="n"/>
      <c r="M1206" s="80" t="n"/>
      <c r="N1206" s="81" t="n"/>
      <c r="O1206" s="79">
        <f>C1206+3</f>
        <v/>
      </c>
      <c r="P1206" s="80" t="n"/>
      <c r="Q1206" s="80" t="n"/>
      <c r="R1206" s="81" t="n"/>
      <c r="S1206" s="79">
        <f>C1206+4</f>
        <v/>
      </c>
      <c r="T1206" s="80" t="n"/>
      <c r="U1206" s="80" t="n"/>
      <c r="V1206" s="81" t="n"/>
      <c r="W1206" s="82">
        <f>C1206+5</f>
        <v/>
      </c>
      <c r="X1206" s="83" t="n"/>
      <c r="Y1206" s="82">
        <f>C1206+6</f>
        <v/>
      </c>
      <c r="Z1206" s="83" t="n"/>
      <c r="AB1206" s="72" t="inlineStr">
        <is>
          <t>Gaps</t>
        </is>
      </c>
      <c r="AC1206" s="72" t="inlineStr">
        <is>
          <t>Cover</t>
        </is>
      </c>
    </row>
    <row r="1207" ht="14" customHeight="1">
      <c r="A1207" t="n">
        <v>25</v>
      </c>
      <c r="B1207" s="84" t="inlineStr">
        <is>
          <t>(from Setup)</t>
        </is>
      </c>
      <c r="C1207" s="85" t="inlineStr">
        <is>
          <t>1</t>
        </is>
      </c>
      <c r="D1207" s="85" t="inlineStr">
        <is>
          <t>2</t>
        </is>
      </c>
      <c r="E1207" s="85" t="inlineStr">
        <is>
          <t>3</t>
        </is>
      </c>
      <c r="F1207" s="85" t="inlineStr">
        <is>
          <t>Notes</t>
        </is>
      </c>
      <c r="G1207" s="85" t="inlineStr">
        <is>
          <t>1</t>
        </is>
      </c>
      <c r="H1207" s="85" t="inlineStr">
        <is>
          <t>2</t>
        </is>
      </c>
      <c r="I1207" s="85" t="inlineStr">
        <is>
          <t>3</t>
        </is>
      </c>
      <c r="J1207" s="85" t="inlineStr">
        <is>
          <t>Notes</t>
        </is>
      </c>
      <c r="K1207" s="85" t="inlineStr">
        <is>
          <t>1</t>
        </is>
      </c>
      <c r="L1207" s="85" t="inlineStr">
        <is>
          <t>2</t>
        </is>
      </c>
      <c r="M1207" s="85" t="inlineStr">
        <is>
          <t>3</t>
        </is>
      </c>
      <c r="N1207" s="85" t="inlineStr">
        <is>
          <t>Notes</t>
        </is>
      </c>
      <c r="O1207" s="85" t="inlineStr">
        <is>
          <t>1</t>
        </is>
      </c>
      <c r="P1207" s="85" t="inlineStr">
        <is>
          <t>2</t>
        </is>
      </c>
      <c r="Q1207" s="85" t="inlineStr">
        <is>
          <t>3</t>
        </is>
      </c>
      <c r="R1207" s="85" t="inlineStr">
        <is>
          <t>Notes</t>
        </is>
      </c>
      <c r="S1207" s="85" t="inlineStr">
        <is>
          <t>1</t>
        </is>
      </c>
      <c r="T1207" s="85" t="inlineStr">
        <is>
          <t>2</t>
        </is>
      </c>
      <c r="U1207" s="85" t="inlineStr">
        <is>
          <t>3</t>
        </is>
      </c>
      <c r="V1207" s="85" t="inlineStr">
        <is>
          <t>Notes</t>
        </is>
      </c>
      <c r="W1207" s="85" t="inlineStr">
        <is>
          <t>Cover</t>
        </is>
      </c>
      <c r="X1207" s="85" t="inlineStr">
        <is>
          <t>Notes</t>
        </is>
      </c>
      <c r="Y1207" s="85" t="inlineStr">
        <is>
          <t>Cover</t>
        </is>
      </c>
      <c r="Z1207" s="85" t="inlineStr">
        <is>
          <t>Notes</t>
        </is>
      </c>
      <c r="AB1207" s="86" t="inlineStr">
        <is>
          <t>weekdays short</t>
        </is>
      </c>
      <c r="AC1207" s="87" t="inlineStr"/>
    </row>
    <row r="1208" ht="17" customHeight="1">
      <c r="A1208" t="n">
        <v>25</v>
      </c>
      <c r="B1208" s="24">
        <f>IF(Setup!$K$6="","",Setup!$K$6)</f>
        <v/>
      </c>
      <c r="C1208" s="88" t="n"/>
      <c r="D1208" s="88" t="n"/>
      <c r="E1208" s="88" t="n"/>
      <c r="F1208" s="89" t="n"/>
      <c r="G1208" s="88" t="n"/>
      <c r="H1208" s="88" t="n"/>
      <c r="I1208" s="88" t="n"/>
      <c r="J1208" s="89" t="n"/>
      <c r="K1208" s="88" t="n"/>
      <c r="L1208" s="88" t="n"/>
      <c r="M1208" s="88" t="n"/>
      <c r="N1208" s="89" t="n"/>
      <c r="O1208" s="88" t="n"/>
      <c r="P1208" s="88" t="n"/>
      <c r="Q1208" s="88" t="n"/>
      <c r="R1208" s="89" t="n"/>
      <c r="S1208" s="88" t="n"/>
      <c r="T1208" s="88" t="n"/>
      <c r="U1208" s="88" t="n"/>
      <c r="V1208" s="89" t="n"/>
      <c r="W1208" s="88" t="n"/>
      <c r="X1208" s="89" t="n"/>
      <c r="Y1208" s="88" t="n"/>
      <c r="Z1208" s="89" t="n"/>
      <c r="AB1208" s="25">
        <f>IF($B1208="","",(COUNTIF(C1208:E1208,"?*")&lt;N(INDEX(Setup!$L$6:$L$23,1)))+(COUNTIF(G1208:I1208,"?*")&lt;N(INDEX(Setup!$L$6:$L$23,1)))+(COUNTIF(K1208:M1208,"?*")&lt;N(INDEX(Setup!$L$6:$L$23,1)))+(COUNTIF(O1208:Q1208,"?*")&lt;N(INDEX(Setup!$L$6:$L$23,1)))+(COUNTIF(S1208:U1208,"?*")&lt;N(INDEX(Setup!$L$6:$L$23,1)))+((W1208="")*(INDEX(Setup!$M$6:$M$23,1)="Y"))+((Y1208="")*(INDEX(Setup!$M$6:$M$23,1)="Y")))</f>
        <v/>
      </c>
      <c r="AC1208" s="90">
        <f>IF($B1208="","",IF(AB1208=0,"✓ covered","⚠ "&amp;AB1208&amp;IF(AB1208=1," gap"," gaps")))</f>
        <v/>
      </c>
    </row>
    <row r="1209" ht="17" customHeight="1">
      <c r="A1209" t="n">
        <v>25</v>
      </c>
      <c r="B1209" s="29">
        <f>IF(Setup!$K$7="","",Setup!$K$7)</f>
        <v/>
      </c>
      <c r="C1209" s="88" t="n"/>
      <c r="D1209" s="88" t="n"/>
      <c r="E1209" s="88" t="n"/>
      <c r="F1209" s="89" t="n"/>
      <c r="G1209" s="88" t="n"/>
      <c r="H1209" s="88" t="n"/>
      <c r="I1209" s="88" t="n"/>
      <c r="J1209" s="89" t="n"/>
      <c r="K1209" s="88" t="n"/>
      <c r="L1209" s="88" t="n"/>
      <c r="M1209" s="88" t="n"/>
      <c r="N1209" s="89" t="n"/>
      <c r="O1209" s="88" t="n"/>
      <c r="P1209" s="88" t="n"/>
      <c r="Q1209" s="88" t="n"/>
      <c r="R1209" s="89" t="n"/>
      <c r="S1209" s="88" t="n"/>
      <c r="T1209" s="88" t="n"/>
      <c r="U1209" s="88" t="n"/>
      <c r="V1209" s="89" t="n"/>
      <c r="W1209" s="88" t="n"/>
      <c r="X1209" s="89" t="n"/>
      <c r="Y1209" s="88" t="n"/>
      <c r="Z1209" s="89" t="n"/>
      <c r="AB1209" s="30">
        <f>IF($B1209="","",(COUNTIF(C1209:E1209,"?*")&lt;N(INDEX(Setup!$L$6:$L$23,2)))+(COUNTIF(G1209:I1209,"?*")&lt;N(INDEX(Setup!$L$6:$L$23,2)))+(COUNTIF(K1209:M1209,"?*")&lt;N(INDEX(Setup!$L$6:$L$23,2)))+(COUNTIF(O1209:Q1209,"?*")&lt;N(INDEX(Setup!$L$6:$L$23,2)))+(COUNTIF(S1209:U1209,"?*")&lt;N(INDEX(Setup!$L$6:$L$23,2)))+((W1209="")*(INDEX(Setup!$M$6:$M$23,2)="Y"))+((Y1209="")*(INDEX(Setup!$M$6:$M$23,2)="Y")))</f>
        <v/>
      </c>
      <c r="AC1209" s="91">
        <f>IF($B1209="","",IF(AB1209=0,"✓ covered","⚠ "&amp;AB1209&amp;IF(AB1209=1," gap"," gaps")))</f>
        <v/>
      </c>
    </row>
    <row r="1210" ht="17" customHeight="1">
      <c r="A1210" t="n">
        <v>25</v>
      </c>
      <c r="B1210" s="24">
        <f>IF(Setup!$K$8="","",Setup!$K$8)</f>
        <v/>
      </c>
      <c r="C1210" s="88" t="n"/>
      <c r="D1210" s="88" t="n"/>
      <c r="E1210" s="88" t="n"/>
      <c r="F1210" s="89" t="n"/>
      <c r="G1210" s="88" t="n"/>
      <c r="H1210" s="88" t="n"/>
      <c r="I1210" s="88" t="n"/>
      <c r="J1210" s="89" t="n"/>
      <c r="K1210" s="88" t="n"/>
      <c r="L1210" s="88" t="n"/>
      <c r="M1210" s="88" t="n"/>
      <c r="N1210" s="89" t="n"/>
      <c r="O1210" s="88" t="n"/>
      <c r="P1210" s="88" t="n"/>
      <c r="Q1210" s="88" t="n"/>
      <c r="R1210" s="89" t="n"/>
      <c r="S1210" s="88" t="n"/>
      <c r="T1210" s="88" t="n"/>
      <c r="U1210" s="88" t="n"/>
      <c r="V1210" s="89" t="n"/>
      <c r="W1210" s="88" t="n"/>
      <c r="X1210" s="89" t="n"/>
      <c r="Y1210" s="88" t="n"/>
      <c r="Z1210" s="89" t="n"/>
      <c r="AB1210" s="25">
        <f>IF($B1210="","",(COUNTIF(C1210:E1210,"?*")&lt;N(INDEX(Setup!$L$6:$L$23,3)))+(COUNTIF(G1210:I1210,"?*")&lt;N(INDEX(Setup!$L$6:$L$23,3)))+(COUNTIF(K1210:M1210,"?*")&lt;N(INDEX(Setup!$L$6:$L$23,3)))+(COUNTIF(O1210:Q1210,"?*")&lt;N(INDEX(Setup!$L$6:$L$23,3)))+(COUNTIF(S1210:U1210,"?*")&lt;N(INDEX(Setup!$L$6:$L$23,3)))+((W1210="")*(INDEX(Setup!$M$6:$M$23,3)="Y"))+((Y1210="")*(INDEX(Setup!$M$6:$M$23,3)="Y")))</f>
        <v/>
      </c>
      <c r="AC1210" s="90">
        <f>IF($B1210="","",IF(AB1210=0,"✓ covered","⚠ "&amp;AB1210&amp;IF(AB1210=1," gap"," gaps")))</f>
        <v/>
      </c>
    </row>
    <row r="1211" ht="17" customHeight="1">
      <c r="A1211" t="n">
        <v>25</v>
      </c>
      <c r="B1211" s="29">
        <f>IF(Setup!$K$9="","",Setup!$K$9)</f>
        <v/>
      </c>
      <c r="C1211" s="88" t="n"/>
      <c r="D1211" s="88" t="n"/>
      <c r="E1211" s="88" t="n"/>
      <c r="F1211" s="89" t="n"/>
      <c r="G1211" s="88" t="n"/>
      <c r="H1211" s="88" t="n"/>
      <c r="I1211" s="88" t="n"/>
      <c r="J1211" s="89" t="n"/>
      <c r="K1211" s="88" t="n"/>
      <c r="L1211" s="88" t="n"/>
      <c r="M1211" s="88" t="n"/>
      <c r="N1211" s="89" t="n"/>
      <c r="O1211" s="88" t="n"/>
      <c r="P1211" s="88" t="n"/>
      <c r="Q1211" s="88" t="n"/>
      <c r="R1211" s="89" t="n"/>
      <c r="S1211" s="88" t="n"/>
      <c r="T1211" s="88" t="n"/>
      <c r="U1211" s="88" t="n"/>
      <c r="V1211" s="89" t="n"/>
      <c r="W1211" s="88" t="n"/>
      <c r="X1211" s="89" t="n"/>
      <c r="Y1211" s="88" t="n"/>
      <c r="Z1211" s="89" t="n"/>
      <c r="AB1211" s="30">
        <f>IF($B1211="","",(COUNTIF(C1211:E1211,"?*")&lt;N(INDEX(Setup!$L$6:$L$23,4)))+(COUNTIF(G1211:I1211,"?*")&lt;N(INDEX(Setup!$L$6:$L$23,4)))+(COUNTIF(K1211:M1211,"?*")&lt;N(INDEX(Setup!$L$6:$L$23,4)))+(COUNTIF(O1211:Q1211,"?*")&lt;N(INDEX(Setup!$L$6:$L$23,4)))+(COUNTIF(S1211:U1211,"?*")&lt;N(INDEX(Setup!$L$6:$L$23,4)))+((W1211="")*(INDEX(Setup!$M$6:$M$23,4)="Y"))+((Y1211="")*(INDEX(Setup!$M$6:$M$23,4)="Y")))</f>
        <v/>
      </c>
      <c r="AC1211" s="91">
        <f>IF($B1211="","",IF(AB1211=0,"✓ covered","⚠ "&amp;AB1211&amp;IF(AB1211=1," gap"," gaps")))</f>
        <v/>
      </c>
    </row>
    <row r="1212" ht="17" customHeight="1">
      <c r="A1212" t="n">
        <v>25</v>
      </c>
      <c r="B1212" s="24">
        <f>IF(Setup!$K$10="","",Setup!$K$10)</f>
        <v/>
      </c>
      <c r="C1212" s="88" t="n"/>
      <c r="D1212" s="88" t="n"/>
      <c r="E1212" s="88" t="n"/>
      <c r="F1212" s="89" t="n"/>
      <c r="G1212" s="88" t="n"/>
      <c r="H1212" s="88" t="n"/>
      <c r="I1212" s="88" t="n"/>
      <c r="J1212" s="89" t="n"/>
      <c r="K1212" s="88" t="n"/>
      <c r="L1212" s="88" t="n"/>
      <c r="M1212" s="88" t="n"/>
      <c r="N1212" s="89" t="n"/>
      <c r="O1212" s="88" t="n"/>
      <c r="P1212" s="88" t="n"/>
      <c r="Q1212" s="88" t="n"/>
      <c r="R1212" s="89" t="n"/>
      <c r="S1212" s="88" t="n"/>
      <c r="T1212" s="88" t="n"/>
      <c r="U1212" s="88" t="n"/>
      <c r="V1212" s="89" t="n"/>
      <c r="W1212" s="88" t="n"/>
      <c r="X1212" s="89" t="n"/>
      <c r="Y1212" s="88" t="n"/>
      <c r="Z1212" s="89" t="n"/>
      <c r="AB1212" s="25">
        <f>IF($B1212="","",(COUNTIF(C1212:E1212,"?*")&lt;N(INDEX(Setup!$L$6:$L$23,5)))+(COUNTIF(G1212:I1212,"?*")&lt;N(INDEX(Setup!$L$6:$L$23,5)))+(COUNTIF(K1212:M1212,"?*")&lt;N(INDEX(Setup!$L$6:$L$23,5)))+(COUNTIF(O1212:Q1212,"?*")&lt;N(INDEX(Setup!$L$6:$L$23,5)))+(COUNTIF(S1212:U1212,"?*")&lt;N(INDEX(Setup!$L$6:$L$23,5)))+((W1212="")*(INDEX(Setup!$M$6:$M$23,5)="Y"))+((Y1212="")*(INDEX(Setup!$M$6:$M$23,5)="Y")))</f>
        <v/>
      </c>
      <c r="AC1212" s="90">
        <f>IF($B1212="","",IF(AB1212=0,"✓ covered","⚠ "&amp;AB1212&amp;IF(AB1212=1," gap"," gaps")))</f>
        <v/>
      </c>
    </row>
    <row r="1213" ht="17" customHeight="1">
      <c r="A1213" t="n">
        <v>25</v>
      </c>
      <c r="B1213" s="29">
        <f>IF(Setup!$K$11="","",Setup!$K$11)</f>
        <v/>
      </c>
      <c r="C1213" s="88" t="n"/>
      <c r="D1213" s="88" t="n"/>
      <c r="E1213" s="88" t="n"/>
      <c r="F1213" s="89" t="n"/>
      <c r="G1213" s="88" t="n"/>
      <c r="H1213" s="88" t="n"/>
      <c r="I1213" s="88" t="n"/>
      <c r="J1213" s="89" t="n"/>
      <c r="K1213" s="88" t="n"/>
      <c r="L1213" s="88" t="n"/>
      <c r="M1213" s="88" t="n"/>
      <c r="N1213" s="89" t="n"/>
      <c r="O1213" s="88" t="n"/>
      <c r="P1213" s="88" t="n"/>
      <c r="Q1213" s="88" t="n"/>
      <c r="R1213" s="89" t="n"/>
      <c r="S1213" s="88" t="n"/>
      <c r="T1213" s="88" t="n"/>
      <c r="U1213" s="88" t="n"/>
      <c r="V1213" s="89" t="n"/>
      <c r="W1213" s="88" t="n"/>
      <c r="X1213" s="89" t="n"/>
      <c r="Y1213" s="88" t="n"/>
      <c r="Z1213" s="89" t="n"/>
      <c r="AB1213" s="30">
        <f>IF($B1213="","",(COUNTIF(C1213:E1213,"?*")&lt;N(INDEX(Setup!$L$6:$L$23,6)))+(COUNTIF(G1213:I1213,"?*")&lt;N(INDEX(Setup!$L$6:$L$23,6)))+(COUNTIF(K1213:M1213,"?*")&lt;N(INDEX(Setup!$L$6:$L$23,6)))+(COUNTIF(O1213:Q1213,"?*")&lt;N(INDEX(Setup!$L$6:$L$23,6)))+(COUNTIF(S1213:U1213,"?*")&lt;N(INDEX(Setup!$L$6:$L$23,6)))+((W1213="")*(INDEX(Setup!$M$6:$M$23,6)="Y"))+((Y1213="")*(INDEX(Setup!$M$6:$M$23,6)="Y")))</f>
        <v/>
      </c>
      <c r="AC1213" s="91">
        <f>IF($B1213="","",IF(AB1213=0,"✓ covered","⚠ "&amp;AB1213&amp;IF(AB1213=1," gap"," gaps")))</f>
        <v/>
      </c>
    </row>
    <row r="1214" ht="17" customHeight="1">
      <c r="A1214" t="n">
        <v>25</v>
      </c>
      <c r="B1214" s="24">
        <f>IF(Setup!$K$12="","",Setup!$K$12)</f>
        <v/>
      </c>
      <c r="C1214" s="88" t="n"/>
      <c r="D1214" s="88" t="n"/>
      <c r="E1214" s="88" t="n"/>
      <c r="F1214" s="89" t="n"/>
      <c r="G1214" s="88" t="n"/>
      <c r="H1214" s="88" t="n"/>
      <c r="I1214" s="88" t="n"/>
      <c r="J1214" s="89" t="n"/>
      <c r="K1214" s="88" t="n"/>
      <c r="L1214" s="88" t="n"/>
      <c r="M1214" s="88" t="n"/>
      <c r="N1214" s="89" t="n"/>
      <c r="O1214" s="88" t="n"/>
      <c r="P1214" s="88" t="n"/>
      <c r="Q1214" s="88" t="n"/>
      <c r="R1214" s="89" t="n"/>
      <c r="S1214" s="88" t="n"/>
      <c r="T1214" s="88" t="n"/>
      <c r="U1214" s="88" t="n"/>
      <c r="V1214" s="89" t="n"/>
      <c r="W1214" s="88" t="n"/>
      <c r="X1214" s="89" t="n"/>
      <c r="Y1214" s="88" t="n"/>
      <c r="Z1214" s="89" t="n"/>
      <c r="AB1214" s="25">
        <f>IF($B1214="","",(COUNTIF(C1214:E1214,"?*")&lt;N(INDEX(Setup!$L$6:$L$23,7)))+(COUNTIF(G1214:I1214,"?*")&lt;N(INDEX(Setup!$L$6:$L$23,7)))+(COUNTIF(K1214:M1214,"?*")&lt;N(INDEX(Setup!$L$6:$L$23,7)))+(COUNTIF(O1214:Q1214,"?*")&lt;N(INDEX(Setup!$L$6:$L$23,7)))+(COUNTIF(S1214:U1214,"?*")&lt;N(INDEX(Setup!$L$6:$L$23,7)))+((W1214="")*(INDEX(Setup!$M$6:$M$23,7)="Y"))+((Y1214="")*(INDEX(Setup!$M$6:$M$23,7)="Y")))</f>
        <v/>
      </c>
      <c r="AC1214" s="90">
        <f>IF($B1214="","",IF(AB1214=0,"✓ covered","⚠ "&amp;AB1214&amp;IF(AB1214=1," gap"," gaps")))</f>
        <v/>
      </c>
    </row>
    <row r="1215" ht="17" customHeight="1">
      <c r="A1215" t="n">
        <v>25</v>
      </c>
      <c r="B1215" s="29">
        <f>IF(Setup!$K$13="","",Setup!$K$13)</f>
        <v/>
      </c>
      <c r="C1215" s="88" t="n"/>
      <c r="D1215" s="88" t="n"/>
      <c r="E1215" s="88" t="n"/>
      <c r="F1215" s="89" t="n"/>
      <c r="G1215" s="88" t="n"/>
      <c r="H1215" s="88" t="n"/>
      <c r="I1215" s="88" t="n"/>
      <c r="J1215" s="89" t="n"/>
      <c r="K1215" s="88" t="n"/>
      <c r="L1215" s="88" t="n"/>
      <c r="M1215" s="88" t="n"/>
      <c r="N1215" s="89" t="n"/>
      <c r="O1215" s="88" t="n"/>
      <c r="P1215" s="88" t="n"/>
      <c r="Q1215" s="88" t="n"/>
      <c r="R1215" s="89" t="n"/>
      <c r="S1215" s="88" t="n"/>
      <c r="T1215" s="88" t="n"/>
      <c r="U1215" s="88" t="n"/>
      <c r="V1215" s="89" t="n"/>
      <c r="W1215" s="88" t="n"/>
      <c r="X1215" s="89" t="n"/>
      <c r="Y1215" s="88" t="n"/>
      <c r="Z1215" s="89" t="n"/>
      <c r="AB1215" s="30">
        <f>IF($B1215="","",(COUNTIF(C1215:E1215,"?*")&lt;N(INDEX(Setup!$L$6:$L$23,8)))+(COUNTIF(G1215:I1215,"?*")&lt;N(INDEX(Setup!$L$6:$L$23,8)))+(COUNTIF(K1215:M1215,"?*")&lt;N(INDEX(Setup!$L$6:$L$23,8)))+(COUNTIF(O1215:Q1215,"?*")&lt;N(INDEX(Setup!$L$6:$L$23,8)))+(COUNTIF(S1215:U1215,"?*")&lt;N(INDEX(Setup!$L$6:$L$23,8)))+((W1215="")*(INDEX(Setup!$M$6:$M$23,8)="Y"))+((Y1215="")*(INDEX(Setup!$M$6:$M$23,8)="Y")))</f>
        <v/>
      </c>
      <c r="AC1215" s="91">
        <f>IF($B1215="","",IF(AB1215=0,"✓ covered","⚠ "&amp;AB1215&amp;IF(AB1215=1," gap"," gaps")))</f>
        <v/>
      </c>
    </row>
    <row r="1216" ht="17" customHeight="1">
      <c r="A1216" t="n">
        <v>25</v>
      </c>
      <c r="B1216" s="24">
        <f>IF(Setup!$K$14="","",Setup!$K$14)</f>
        <v/>
      </c>
      <c r="C1216" s="88" t="n"/>
      <c r="D1216" s="88" t="n"/>
      <c r="E1216" s="88" t="n"/>
      <c r="F1216" s="89" t="n"/>
      <c r="G1216" s="88" t="n"/>
      <c r="H1216" s="88" t="n"/>
      <c r="I1216" s="88" t="n"/>
      <c r="J1216" s="89" t="n"/>
      <c r="K1216" s="88" t="n"/>
      <c r="L1216" s="88" t="n"/>
      <c r="M1216" s="88" t="n"/>
      <c r="N1216" s="89" t="n"/>
      <c r="O1216" s="88" t="n"/>
      <c r="P1216" s="88" t="n"/>
      <c r="Q1216" s="88" t="n"/>
      <c r="R1216" s="89" t="n"/>
      <c r="S1216" s="88" t="n"/>
      <c r="T1216" s="88" t="n"/>
      <c r="U1216" s="88" t="n"/>
      <c r="V1216" s="89" t="n"/>
      <c r="W1216" s="88" t="n"/>
      <c r="X1216" s="89" t="n"/>
      <c r="Y1216" s="88" t="n"/>
      <c r="Z1216" s="89" t="n"/>
      <c r="AB1216" s="25">
        <f>IF($B1216="","",(COUNTIF(C1216:E1216,"?*")&lt;N(INDEX(Setup!$L$6:$L$23,9)))+(COUNTIF(G1216:I1216,"?*")&lt;N(INDEX(Setup!$L$6:$L$23,9)))+(COUNTIF(K1216:M1216,"?*")&lt;N(INDEX(Setup!$L$6:$L$23,9)))+(COUNTIF(O1216:Q1216,"?*")&lt;N(INDEX(Setup!$L$6:$L$23,9)))+(COUNTIF(S1216:U1216,"?*")&lt;N(INDEX(Setup!$L$6:$L$23,9)))+((W1216="")*(INDEX(Setup!$M$6:$M$23,9)="Y"))+((Y1216="")*(INDEX(Setup!$M$6:$M$23,9)="Y")))</f>
        <v/>
      </c>
      <c r="AC1216" s="90">
        <f>IF($B1216="","",IF(AB1216=0,"✓ covered","⚠ "&amp;AB1216&amp;IF(AB1216=1," gap"," gaps")))</f>
        <v/>
      </c>
    </row>
    <row r="1217" ht="17" customHeight="1">
      <c r="A1217" t="n">
        <v>25</v>
      </c>
      <c r="B1217" s="29">
        <f>IF(Setup!$K$15="","",Setup!$K$15)</f>
        <v/>
      </c>
      <c r="C1217" s="88" t="n"/>
      <c r="D1217" s="88" t="n"/>
      <c r="E1217" s="88" t="n"/>
      <c r="F1217" s="89" t="n"/>
      <c r="G1217" s="88" t="n"/>
      <c r="H1217" s="88" t="n"/>
      <c r="I1217" s="88" t="n"/>
      <c r="J1217" s="89" t="n"/>
      <c r="K1217" s="88" t="n"/>
      <c r="L1217" s="88" t="n"/>
      <c r="M1217" s="88" t="n"/>
      <c r="N1217" s="89" t="n"/>
      <c r="O1217" s="88" t="n"/>
      <c r="P1217" s="88" t="n"/>
      <c r="Q1217" s="88" t="n"/>
      <c r="R1217" s="89" t="n"/>
      <c r="S1217" s="88" t="n"/>
      <c r="T1217" s="88" t="n"/>
      <c r="U1217" s="88" t="n"/>
      <c r="V1217" s="89" t="n"/>
      <c r="W1217" s="88" t="n"/>
      <c r="X1217" s="89" t="n"/>
      <c r="Y1217" s="88" t="n"/>
      <c r="Z1217" s="89" t="n"/>
      <c r="AB1217" s="30">
        <f>IF($B1217="","",(COUNTIF(C1217:E1217,"?*")&lt;N(INDEX(Setup!$L$6:$L$23,10)))+(COUNTIF(G1217:I1217,"?*")&lt;N(INDEX(Setup!$L$6:$L$23,10)))+(COUNTIF(K1217:M1217,"?*")&lt;N(INDEX(Setup!$L$6:$L$23,10)))+(COUNTIF(O1217:Q1217,"?*")&lt;N(INDEX(Setup!$L$6:$L$23,10)))+(COUNTIF(S1217:U1217,"?*")&lt;N(INDEX(Setup!$L$6:$L$23,10)))+((W1217="")*(INDEX(Setup!$M$6:$M$23,10)="Y"))+((Y1217="")*(INDEX(Setup!$M$6:$M$23,10)="Y")))</f>
        <v/>
      </c>
      <c r="AC1217" s="91">
        <f>IF($B1217="","",IF(AB1217=0,"✓ covered","⚠ "&amp;AB1217&amp;IF(AB1217=1," gap"," gaps")))</f>
        <v/>
      </c>
    </row>
    <row r="1218" ht="17" customHeight="1">
      <c r="A1218" t="n">
        <v>25</v>
      </c>
      <c r="B1218" s="24">
        <f>IF(Setup!$K$16="","",Setup!$K$16)</f>
        <v/>
      </c>
      <c r="C1218" s="88" t="n"/>
      <c r="D1218" s="88" t="n"/>
      <c r="E1218" s="88" t="n"/>
      <c r="F1218" s="89" t="n"/>
      <c r="G1218" s="88" t="n"/>
      <c r="H1218" s="88" t="n"/>
      <c r="I1218" s="88" t="n"/>
      <c r="J1218" s="89" t="n"/>
      <c r="K1218" s="88" t="n"/>
      <c r="L1218" s="88" t="n"/>
      <c r="M1218" s="88" t="n"/>
      <c r="N1218" s="89" t="n"/>
      <c r="O1218" s="88" t="n"/>
      <c r="P1218" s="88" t="n"/>
      <c r="Q1218" s="88" t="n"/>
      <c r="R1218" s="89" t="n"/>
      <c r="S1218" s="88" t="n"/>
      <c r="T1218" s="88" t="n"/>
      <c r="U1218" s="88" t="n"/>
      <c r="V1218" s="89" t="n"/>
      <c r="W1218" s="88" t="n"/>
      <c r="X1218" s="89" t="n"/>
      <c r="Y1218" s="88" t="n"/>
      <c r="Z1218" s="89" t="n"/>
      <c r="AB1218" s="25">
        <f>IF($B1218="","",(COUNTIF(C1218:E1218,"?*")&lt;N(INDEX(Setup!$L$6:$L$23,11)))+(COUNTIF(G1218:I1218,"?*")&lt;N(INDEX(Setup!$L$6:$L$23,11)))+(COUNTIF(K1218:M1218,"?*")&lt;N(INDEX(Setup!$L$6:$L$23,11)))+(COUNTIF(O1218:Q1218,"?*")&lt;N(INDEX(Setup!$L$6:$L$23,11)))+(COUNTIF(S1218:U1218,"?*")&lt;N(INDEX(Setup!$L$6:$L$23,11)))+((W1218="")*(INDEX(Setup!$M$6:$M$23,11)="Y"))+((Y1218="")*(INDEX(Setup!$M$6:$M$23,11)="Y")))</f>
        <v/>
      </c>
      <c r="AC1218" s="90">
        <f>IF($B1218="","",IF(AB1218=0,"✓ covered","⚠ "&amp;AB1218&amp;IF(AB1218=1," gap"," gaps")))</f>
        <v/>
      </c>
    </row>
    <row r="1219" ht="17" customHeight="1">
      <c r="A1219" t="n">
        <v>25</v>
      </c>
      <c r="B1219" s="29">
        <f>IF(Setup!$K$17="","",Setup!$K$17)</f>
        <v/>
      </c>
      <c r="C1219" s="88" t="n"/>
      <c r="D1219" s="88" t="n"/>
      <c r="E1219" s="88" t="n"/>
      <c r="F1219" s="89" t="n"/>
      <c r="G1219" s="88" t="n"/>
      <c r="H1219" s="88" t="n"/>
      <c r="I1219" s="88" t="n"/>
      <c r="J1219" s="89" t="n"/>
      <c r="K1219" s="88" t="n"/>
      <c r="L1219" s="88" t="n"/>
      <c r="M1219" s="88" t="n"/>
      <c r="N1219" s="89" t="n"/>
      <c r="O1219" s="88" t="n"/>
      <c r="P1219" s="88" t="n"/>
      <c r="Q1219" s="88" t="n"/>
      <c r="R1219" s="89" t="n"/>
      <c r="S1219" s="88" t="n"/>
      <c r="T1219" s="88" t="n"/>
      <c r="U1219" s="88" t="n"/>
      <c r="V1219" s="89" t="n"/>
      <c r="W1219" s="88" t="n"/>
      <c r="X1219" s="89" t="n"/>
      <c r="Y1219" s="88" t="n"/>
      <c r="Z1219" s="89" t="n"/>
      <c r="AB1219" s="30">
        <f>IF($B1219="","",(COUNTIF(C1219:E1219,"?*")&lt;N(INDEX(Setup!$L$6:$L$23,12)))+(COUNTIF(G1219:I1219,"?*")&lt;N(INDEX(Setup!$L$6:$L$23,12)))+(COUNTIF(K1219:M1219,"?*")&lt;N(INDEX(Setup!$L$6:$L$23,12)))+(COUNTIF(O1219:Q1219,"?*")&lt;N(INDEX(Setup!$L$6:$L$23,12)))+(COUNTIF(S1219:U1219,"?*")&lt;N(INDEX(Setup!$L$6:$L$23,12)))+((W1219="")*(INDEX(Setup!$M$6:$M$23,12)="Y"))+((Y1219="")*(INDEX(Setup!$M$6:$M$23,12)="Y")))</f>
        <v/>
      </c>
      <c r="AC1219" s="91">
        <f>IF($B1219="","",IF(AB1219=0,"✓ covered","⚠ "&amp;AB1219&amp;IF(AB1219=1," gap"," gaps")))</f>
        <v/>
      </c>
    </row>
    <row r="1220" ht="17" customHeight="1">
      <c r="A1220" t="n">
        <v>25</v>
      </c>
      <c r="B1220" s="24">
        <f>IF(Setup!$K$18="","",Setup!$K$18)</f>
        <v/>
      </c>
      <c r="C1220" s="88" t="n"/>
      <c r="D1220" s="88" t="n"/>
      <c r="E1220" s="88" t="n"/>
      <c r="F1220" s="89" t="n"/>
      <c r="G1220" s="88" t="n"/>
      <c r="H1220" s="88" t="n"/>
      <c r="I1220" s="88" t="n"/>
      <c r="J1220" s="89" t="n"/>
      <c r="K1220" s="88" t="n"/>
      <c r="L1220" s="88" t="n"/>
      <c r="M1220" s="88" t="n"/>
      <c r="N1220" s="89" t="n"/>
      <c r="O1220" s="88" t="n"/>
      <c r="P1220" s="88" t="n"/>
      <c r="Q1220" s="88" t="n"/>
      <c r="R1220" s="89" t="n"/>
      <c r="S1220" s="88" t="n"/>
      <c r="T1220" s="88" t="n"/>
      <c r="U1220" s="88" t="n"/>
      <c r="V1220" s="89" t="n"/>
      <c r="W1220" s="88" t="n"/>
      <c r="X1220" s="89" t="n"/>
      <c r="Y1220" s="88" t="n"/>
      <c r="Z1220" s="89" t="n"/>
      <c r="AB1220" s="25">
        <f>IF($B1220="","",(COUNTIF(C1220:E1220,"?*")&lt;N(INDEX(Setup!$L$6:$L$23,13)))+(COUNTIF(G1220:I1220,"?*")&lt;N(INDEX(Setup!$L$6:$L$23,13)))+(COUNTIF(K1220:M1220,"?*")&lt;N(INDEX(Setup!$L$6:$L$23,13)))+(COUNTIF(O1220:Q1220,"?*")&lt;N(INDEX(Setup!$L$6:$L$23,13)))+(COUNTIF(S1220:U1220,"?*")&lt;N(INDEX(Setup!$L$6:$L$23,13)))+((W1220="")*(INDEX(Setup!$M$6:$M$23,13)="Y"))+((Y1220="")*(INDEX(Setup!$M$6:$M$23,13)="Y")))</f>
        <v/>
      </c>
      <c r="AC1220" s="90">
        <f>IF($B1220="","",IF(AB1220=0,"✓ covered","⚠ "&amp;AB1220&amp;IF(AB1220=1," gap"," gaps")))</f>
        <v/>
      </c>
    </row>
    <row r="1221" ht="17" customHeight="1">
      <c r="A1221" t="n">
        <v>25</v>
      </c>
      <c r="B1221" s="29">
        <f>IF(Setup!$K$19="","",Setup!$K$19)</f>
        <v/>
      </c>
      <c r="C1221" s="88" t="n"/>
      <c r="D1221" s="88" t="n"/>
      <c r="E1221" s="88" t="n"/>
      <c r="F1221" s="89" t="n"/>
      <c r="G1221" s="88" t="n"/>
      <c r="H1221" s="88" t="n"/>
      <c r="I1221" s="88" t="n"/>
      <c r="J1221" s="89" t="n"/>
      <c r="K1221" s="88" t="n"/>
      <c r="L1221" s="88" t="n"/>
      <c r="M1221" s="88" t="n"/>
      <c r="N1221" s="89" t="n"/>
      <c r="O1221" s="88" t="n"/>
      <c r="P1221" s="88" t="n"/>
      <c r="Q1221" s="88" t="n"/>
      <c r="R1221" s="89" t="n"/>
      <c r="S1221" s="88" t="n"/>
      <c r="T1221" s="88" t="n"/>
      <c r="U1221" s="88" t="n"/>
      <c r="V1221" s="89" t="n"/>
      <c r="W1221" s="88" t="n"/>
      <c r="X1221" s="89" t="n"/>
      <c r="Y1221" s="88" t="n"/>
      <c r="Z1221" s="89" t="n"/>
      <c r="AB1221" s="30">
        <f>IF($B1221="","",(COUNTIF(C1221:E1221,"?*")&lt;N(INDEX(Setup!$L$6:$L$23,14)))+(COUNTIF(G1221:I1221,"?*")&lt;N(INDEX(Setup!$L$6:$L$23,14)))+(COUNTIF(K1221:M1221,"?*")&lt;N(INDEX(Setup!$L$6:$L$23,14)))+(COUNTIF(O1221:Q1221,"?*")&lt;N(INDEX(Setup!$L$6:$L$23,14)))+(COUNTIF(S1221:U1221,"?*")&lt;N(INDEX(Setup!$L$6:$L$23,14)))+((W1221="")*(INDEX(Setup!$M$6:$M$23,14)="Y"))+((Y1221="")*(INDEX(Setup!$M$6:$M$23,14)="Y")))</f>
        <v/>
      </c>
      <c r="AC1221" s="91">
        <f>IF($B1221="","",IF(AB1221=0,"✓ covered","⚠ "&amp;AB1221&amp;IF(AB1221=1," gap"," gaps")))</f>
        <v/>
      </c>
    </row>
    <row r="1222" ht="17" customHeight="1">
      <c r="A1222" t="n">
        <v>25</v>
      </c>
      <c r="B1222" s="24">
        <f>IF(Setup!$K$20="","",Setup!$K$20)</f>
        <v/>
      </c>
      <c r="C1222" s="88" t="n"/>
      <c r="D1222" s="88" t="n"/>
      <c r="E1222" s="88" t="n"/>
      <c r="F1222" s="89" t="n"/>
      <c r="G1222" s="88" t="n"/>
      <c r="H1222" s="88" t="n"/>
      <c r="I1222" s="88" t="n"/>
      <c r="J1222" s="89" t="n"/>
      <c r="K1222" s="88" t="n"/>
      <c r="L1222" s="88" t="n"/>
      <c r="M1222" s="88" t="n"/>
      <c r="N1222" s="89" t="n"/>
      <c r="O1222" s="88" t="n"/>
      <c r="P1222" s="88" t="n"/>
      <c r="Q1222" s="88" t="n"/>
      <c r="R1222" s="89" t="n"/>
      <c r="S1222" s="88" t="n"/>
      <c r="T1222" s="88" t="n"/>
      <c r="U1222" s="88" t="n"/>
      <c r="V1222" s="89" t="n"/>
      <c r="W1222" s="88" t="n"/>
      <c r="X1222" s="89" t="n"/>
      <c r="Y1222" s="88" t="n"/>
      <c r="Z1222" s="89" t="n"/>
      <c r="AB1222" s="25">
        <f>IF($B1222="","",(COUNTIF(C1222:E1222,"?*")&lt;N(INDEX(Setup!$L$6:$L$23,15)))+(COUNTIF(G1222:I1222,"?*")&lt;N(INDEX(Setup!$L$6:$L$23,15)))+(COUNTIF(K1222:M1222,"?*")&lt;N(INDEX(Setup!$L$6:$L$23,15)))+(COUNTIF(O1222:Q1222,"?*")&lt;N(INDEX(Setup!$L$6:$L$23,15)))+(COUNTIF(S1222:U1222,"?*")&lt;N(INDEX(Setup!$L$6:$L$23,15)))+((W1222="")*(INDEX(Setup!$M$6:$M$23,15)="Y"))+((Y1222="")*(INDEX(Setup!$M$6:$M$23,15)="Y")))</f>
        <v/>
      </c>
      <c r="AC1222" s="90">
        <f>IF($B1222="","",IF(AB1222=0,"✓ covered","⚠ "&amp;AB1222&amp;IF(AB1222=1," gap"," gaps")))</f>
        <v/>
      </c>
    </row>
    <row r="1223" ht="17" customHeight="1">
      <c r="A1223" t="n">
        <v>25</v>
      </c>
      <c r="B1223" s="29">
        <f>IF(Setup!$K$21="","",Setup!$K$21)</f>
        <v/>
      </c>
      <c r="C1223" s="88" t="n"/>
      <c r="D1223" s="88" t="n"/>
      <c r="E1223" s="88" t="n"/>
      <c r="F1223" s="89" t="n"/>
      <c r="G1223" s="88" t="n"/>
      <c r="H1223" s="88" t="n"/>
      <c r="I1223" s="88" t="n"/>
      <c r="J1223" s="89" t="n"/>
      <c r="K1223" s="88" t="n"/>
      <c r="L1223" s="88" t="n"/>
      <c r="M1223" s="88" t="n"/>
      <c r="N1223" s="89" t="n"/>
      <c r="O1223" s="88" t="n"/>
      <c r="P1223" s="88" t="n"/>
      <c r="Q1223" s="88" t="n"/>
      <c r="R1223" s="89" t="n"/>
      <c r="S1223" s="88" t="n"/>
      <c r="T1223" s="88" t="n"/>
      <c r="U1223" s="88" t="n"/>
      <c r="V1223" s="89" t="n"/>
      <c r="W1223" s="88" t="n"/>
      <c r="X1223" s="89" t="n"/>
      <c r="Y1223" s="88" t="n"/>
      <c r="Z1223" s="89" t="n"/>
      <c r="AB1223" s="30">
        <f>IF($B1223="","",(COUNTIF(C1223:E1223,"?*")&lt;N(INDEX(Setup!$L$6:$L$23,16)))+(COUNTIF(G1223:I1223,"?*")&lt;N(INDEX(Setup!$L$6:$L$23,16)))+(COUNTIF(K1223:M1223,"?*")&lt;N(INDEX(Setup!$L$6:$L$23,16)))+(COUNTIF(O1223:Q1223,"?*")&lt;N(INDEX(Setup!$L$6:$L$23,16)))+(COUNTIF(S1223:U1223,"?*")&lt;N(INDEX(Setup!$L$6:$L$23,16)))+((W1223="")*(INDEX(Setup!$M$6:$M$23,16)="Y"))+((Y1223="")*(INDEX(Setup!$M$6:$M$23,16)="Y")))</f>
        <v/>
      </c>
      <c r="AC1223" s="91">
        <f>IF($B1223="","",IF(AB1223=0,"✓ covered","⚠ "&amp;AB1223&amp;IF(AB1223=1," gap"," gaps")))</f>
        <v/>
      </c>
    </row>
    <row r="1224" ht="17" customHeight="1">
      <c r="A1224" t="n">
        <v>25</v>
      </c>
      <c r="B1224" s="24">
        <f>IF(Setup!$K$22="","",Setup!$K$22)</f>
        <v/>
      </c>
      <c r="C1224" s="88" t="n"/>
      <c r="D1224" s="88" t="n"/>
      <c r="E1224" s="88" t="n"/>
      <c r="F1224" s="89" t="n"/>
      <c r="G1224" s="88" t="n"/>
      <c r="H1224" s="88" t="n"/>
      <c r="I1224" s="88" t="n"/>
      <c r="J1224" s="89" t="n"/>
      <c r="K1224" s="88" t="n"/>
      <c r="L1224" s="88" t="n"/>
      <c r="M1224" s="88" t="n"/>
      <c r="N1224" s="89" t="n"/>
      <c r="O1224" s="88" t="n"/>
      <c r="P1224" s="88" t="n"/>
      <c r="Q1224" s="88" t="n"/>
      <c r="R1224" s="89" t="n"/>
      <c r="S1224" s="88" t="n"/>
      <c r="T1224" s="88" t="n"/>
      <c r="U1224" s="88" t="n"/>
      <c r="V1224" s="89" t="n"/>
      <c r="W1224" s="88" t="n"/>
      <c r="X1224" s="89" t="n"/>
      <c r="Y1224" s="88" t="n"/>
      <c r="Z1224" s="89" t="n"/>
      <c r="AB1224" s="25">
        <f>IF($B1224="","",(COUNTIF(C1224:E1224,"?*")&lt;N(INDEX(Setup!$L$6:$L$23,17)))+(COUNTIF(G1224:I1224,"?*")&lt;N(INDEX(Setup!$L$6:$L$23,17)))+(COUNTIF(K1224:M1224,"?*")&lt;N(INDEX(Setup!$L$6:$L$23,17)))+(COUNTIF(O1224:Q1224,"?*")&lt;N(INDEX(Setup!$L$6:$L$23,17)))+(COUNTIF(S1224:U1224,"?*")&lt;N(INDEX(Setup!$L$6:$L$23,17)))+((W1224="")*(INDEX(Setup!$M$6:$M$23,17)="Y"))+((Y1224="")*(INDEX(Setup!$M$6:$M$23,17)="Y")))</f>
        <v/>
      </c>
      <c r="AC1224" s="90">
        <f>IF($B1224="","",IF(AB1224=0,"✓ covered","⚠ "&amp;AB1224&amp;IF(AB1224=1," gap"," gaps")))</f>
        <v/>
      </c>
    </row>
    <row r="1225" ht="17" customHeight="1">
      <c r="A1225" t="n">
        <v>25</v>
      </c>
      <c r="B1225" s="29">
        <f>IF(Setup!$K$23="","",Setup!$K$23)</f>
        <v/>
      </c>
      <c r="C1225" s="88" t="n"/>
      <c r="D1225" s="88" t="n"/>
      <c r="E1225" s="88" t="n"/>
      <c r="F1225" s="89" t="n"/>
      <c r="G1225" s="88" t="n"/>
      <c r="H1225" s="88" t="n"/>
      <c r="I1225" s="88" t="n"/>
      <c r="J1225" s="89" t="n"/>
      <c r="K1225" s="88" t="n"/>
      <c r="L1225" s="88" t="n"/>
      <c r="M1225" s="88" t="n"/>
      <c r="N1225" s="89" t="n"/>
      <c r="O1225" s="88" t="n"/>
      <c r="P1225" s="88" t="n"/>
      <c r="Q1225" s="88" t="n"/>
      <c r="R1225" s="89" t="n"/>
      <c r="S1225" s="88" t="n"/>
      <c r="T1225" s="88" t="n"/>
      <c r="U1225" s="88" t="n"/>
      <c r="V1225" s="89" t="n"/>
      <c r="W1225" s="88" t="n"/>
      <c r="X1225" s="89" t="n"/>
      <c r="Y1225" s="88" t="n"/>
      <c r="Z1225" s="89" t="n"/>
      <c r="AB1225" s="30">
        <f>IF($B1225="","",(COUNTIF(C1225:E1225,"?*")&lt;N(INDEX(Setup!$L$6:$L$23,18)))+(COUNTIF(G1225:I1225,"?*")&lt;N(INDEX(Setup!$L$6:$L$23,18)))+(COUNTIF(K1225:M1225,"?*")&lt;N(INDEX(Setup!$L$6:$L$23,18)))+(COUNTIF(O1225:Q1225,"?*")&lt;N(INDEX(Setup!$L$6:$L$23,18)))+(COUNTIF(S1225:U1225,"?*")&lt;N(INDEX(Setup!$L$6:$L$23,18)))+((W1225="")*(INDEX(Setup!$M$6:$M$23,18)="Y"))+((Y1225="")*(INDEX(Setup!$M$6:$M$23,18)="Y")))</f>
        <v/>
      </c>
      <c r="AC1225" s="91">
        <f>IF($B1225="","",IF(AB1225=0,"✓ covered","⚠ "&amp;AB1225&amp;IF(AB1225=1," gap"," gaps")))</f>
        <v/>
      </c>
    </row>
    <row r="1226" ht="18" customHeight="1">
      <c r="A1226" t="n">
        <v>25</v>
      </c>
      <c r="B1226" s="78" t="inlineStr">
        <is>
          <t>TEAM AVAILABILITY</t>
        </is>
      </c>
      <c r="C1226" s="92" t="inlineStr">
        <is>
          <t>Mon</t>
        </is>
      </c>
      <c r="D1226" s="93" t="n"/>
      <c r="E1226" s="93" t="n"/>
      <c r="F1226" s="94" t="n"/>
      <c r="G1226" s="92" t="inlineStr">
        <is>
          <t>Tue</t>
        </is>
      </c>
      <c r="H1226" s="93" t="n"/>
      <c r="I1226" s="93" t="n"/>
      <c r="J1226" s="94" t="n"/>
      <c r="K1226" s="92" t="inlineStr">
        <is>
          <t>Wed</t>
        </is>
      </c>
      <c r="L1226" s="93" t="n"/>
      <c r="M1226" s="93" t="n"/>
      <c r="N1226" s="94" t="n"/>
      <c r="O1226" s="92" t="inlineStr">
        <is>
          <t>Thu</t>
        </is>
      </c>
      <c r="P1226" s="93" t="n"/>
      <c r="Q1226" s="93" t="n"/>
      <c r="R1226" s="94" t="n"/>
      <c r="S1226" s="92" t="inlineStr">
        <is>
          <t>Fri</t>
        </is>
      </c>
      <c r="T1226" s="93" t="n"/>
      <c r="U1226" s="93" t="n"/>
      <c r="V1226" s="94" t="n"/>
      <c r="W1226" s="95" t="inlineStr">
        <is>
          <t>Sat</t>
        </is>
      </c>
      <c r="X1226" s="96" t="n"/>
      <c r="Y1226" s="95" t="inlineStr">
        <is>
          <t>Sun</t>
        </is>
      </c>
      <c r="Z1226" s="96" t="n"/>
      <c r="AB1226" s="97" t="inlineStr">
        <is>
          <t>Days rostered</t>
        </is>
      </c>
      <c r="AC1226" s="97" t="inlineStr">
        <is>
          <t>Conflicts</t>
        </is>
      </c>
    </row>
    <row r="1227" ht="15" customHeight="1">
      <c r="A1227" t="n">
        <v>25</v>
      </c>
      <c r="B1227" s="35">
        <f>IF(Setup!$B$6="","",Setup!$B$6)</f>
        <v/>
      </c>
      <c r="C1227" s="98" t="n"/>
      <c r="D1227" s="99" t="n"/>
      <c r="E1227" s="99" t="n"/>
      <c r="F1227" s="100" t="n"/>
      <c r="G1227" s="98" t="n"/>
      <c r="H1227" s="99" t="n"/>
      <c r="I1227" s="99" t="n"/>
      <c r="J1227" s="100" t="n"/>
      <c r="K1227" s="98" t="n"/>
      <c r="L1227" s="99" t="n"/>
      <c r="M1227" s="99" t="n"/>
      <c r="N1227" s="100" t="n"/>
      <c r="O1227" s="98" t="n"/>
      <c r="P1227" s="99" t="n"/>
      <c r="Q1227" s="99" t="n"/>
      <c r="R1227" s="100" t="n"/>
      <c r="S1227" s="98" t="n"/>
      <c r="T1227" s="99" t="n"/>
      <c r="U1227" s="99" t="n"/>
      <c r="V1227" s="100" t="n"/>
      <c r="W1227" s="98" t="n"/>
      <c r="X1227" s="100" t="n"/>
      <c r="Y1227" s="98" t="n"/>
      <c r="Z1227" s="100" t="n"/>
      <c r="AB1227" s="101">
        <f>IF($B1227="","",(COUNTIF(C1208:E1225,$B1227)+COUNTIF(C1208:E1225,$B1227&amp;" ~*")&gt;0)+(COUNTIF(G1208:I1225,$B1227)+COUNTIF(G1208:I1225,$B1227&amp;" ~*")&gt;0)+(COUNTIF(K1208:M1225,$B1227)+COUNTIF(K1208:M1225,$B1227&amp;" ~*")&gt;0)+(COUNTIF(O1208:Q1225,$B1227)+COUNTIF(O1208:Q1225,$B1227&amp;" ~*")&gt;0)+(COUNTIF(S1208:U1225,$B1227)+COUNTIF(S1208:U1225,$B1227&amp;" ~*")&gt;0)+(COUNTIF(W1208:W1225,$B1227)+COUNTIF(W1208:W1225,$B1227&amp;" ~*")&gt;0)+(COUNTIF(Y1208:Y1225,$B1227)+COUNTIF(Y1208:Y1225,$B1227&amp;" ~*")&gt;0))</f>
        <v/>
      </c>
      <c r="AC1227" s="36">
        <f>IF($B1227="","",(IFERROR(INDEX(Setup!$G$33:$G$40,MATCH(C1227,Setup!$B$33:$B$40,0)),0)=1)*(COUNTIF(C1208:E1225,$B1227)+COUNTIF(C1208:E1225,$B1227&amp;" ~*")&gt;0)+(IFERROR(INDEX(Setup!$G$33:$G$40,MATCH(G1227,Setup!$B$33:$B$40,0)),0)=1)*(COUNTIF(G1208:I1225,$B1227)+COUNTIF(G1208:I1225,$B1227&amp;" ~*")&gt;0)+(IFERROR(INDEX(Setup!$G$33:$G$40,MATCH(K1227,Setup!$B$33:$B$40,0)),0)=1)*(COUNTIF(K1208:M1225,$B1227)+COUNTIF(K1208:M1225,$B1227&amp;" ~*")&gt;0)+(IFERROR(INDEX(Setup!$G$33:$G$40,MATCH(O1227,Setup!$B$33:$B$40,0)),0)=1)*(COUNTIF(O1208:Q1225,$B1227)+COUNTIF(O1208:Q1225,$B1227&amp;" ~*")&gt;0)+(IFERROR(INDEX(Setup!$G$33:$G$40,MATCH(S1227,Setup!$B$33:$B$40,0)),0)=1)*(COUNTIF(S1208:U1225,$B1227)+COUNTIF(S1208:U1225,$B1227&amp;" ~*")&gt;0)+(IFERROR(INDEX(Setup!$G$33:$G$40,MATCH(W1227,Setup!$B$33:$B$40,0)),0)=1)*(COUNTIF(W1208:W1225,$B1227)+COUNTIF(W1208:W1225,$B1227&amp;" ~*")&gt;0)+(IFERROR(INDEX(Setup!$G$33:$G$40,MATCH(Y1227,Setup!$B$33:$B$40,0)),0)=1)*(COUNTIF(Y1208:Y1225,$B1227)+COUNTIF(Y1208:Y1225,$B1227&amp;" ~*")&gt;0))</f>
        <v/>
      </c>
    </row>
    <row r="1228" ht="15" customHeight="1">
      <c r="A1228" t="n">
        <v>25</v>
      </c>
      <c r="B1228" s="37">
        <f>IF(Setup!$B$7="","",Setup!$B$7)</f>
        <v/>
      </c>
      <c r="C1228" s="102" t="n"/>
      <c r="D1228" s="103" t="n"/>
      <c r="E1228" s="103" t="n"/>
      <c r="F1228" s="104" t="n"/>
      <c r="G1228" s="102" t="n"/>
      <c r="H1228" s="103" t="n"/>
      <c r="I1228" s="103" t="n"/>
      <c r="J1228" s="104" t="n"/>
      <c r="K1228" s="102" t="n"/>
      <c r="L1228" s="103" t="n"/>
      <c r="M1228" s="103" t="n"/>
      <c r="N1228" s="104" t="n"/>
      <c r="O1228" s="102" t="n"/>
      <c r="P1228" s="103" t="n"/>
      <c r="Q1228" s="103" t="n"/>
      <c r="R1228" s="104" t="n"/>
      <c r="S1228" s="102" t="n"/>
      <c r="T1228" s="103" t="n"/>
      <c r="U1228" s="103" t="n"/>
      <c r="V1228" s="104" t="n"/>
      <c r="W1228" s="102" t="n"/>
      <c r="X1228" s="104" t="n"/>
      <c r="Y1228" s="102" t="n"/>
      <c r="Z1228" s="104" t="n"/>
      <c r="AB1228" s="105">
        <f>IF($B1228="","",(COUNTIF(C1208:E1225,$B1228)+COUNTIF(C1208:E1225,$B1228&amp;" ~*")&gt;0)+(COUNTIF(G1208:I1225,$B1228)+COUNTIF(G1208:I1225,$B1228&amp;" ~*")&gt;0)+(COUNTIF(K1208:M1225,$B1228)+COUNTIF(K1208:M1225,$B1228&amp;" ~*")&gt;0)+(COUNTIF(O1208:Q1225,$B1228)+COUNTIF(O1208:Q1225,$B1228&amp;" ~*")&gt;0)+(COUNTIF(S1208:U1225,$B1228)+COUNTIF(S1208:U1225,$B1228&amp;" ~*")&gt;0)+(COUNTIF(W1208:W1225,$B1228)+COUNTIF(W1208:W1225,$B1228&amp;" ~*")&gt;0)+(COUNTIF(Y1208:Y1225,$B1228)+COUNTIF(Y1208:Y1225,$B1228&amp;" ~*")&gt;0))</f>
        <v/>
      </c>
      <c r="AC1228" s="38">
        <f>IF($B1228="","",(IFERROR(INDEX(Setup!$G$33:$G$40,MATCH(C1228,Setup!$B$33:$B$40,0)),0)=1)*(COUNTIF(C1208:E1225,$B1228)+COUNTIF(C1208:E1225,$B1228&amp;" ~*")&gt;0)+(IFERROR(INDEX(Setup!$G$33:$G$40,MATCH(G1228,Setup!$B$33:$B$40,0)),0)=1)*(COUNTIF(G1208:I1225,$B1228)+COUNTIF(G1208:I1225,$B1228&amp;" ~*")&gt;0)+(IFERROR(INDEX(Setup!$G$33:$G$40,MATCH(K1228,Setup!$B$33:$B$40,0)),0)=1)*(COUNTIF(K1208:M1225,$B1228)+COUNTIF(K1208:M1225,$B1228&amp;" ~*")&gt;0)+(IFERROR(INDEX(Setup!$G$33:$G$40,MATCH(O1228,Setup!$B$33:$B$40,0)),0)=1)*(COUNTIF(O1208:Q1225,$B1228)+COUNTIF(O1208:Q1225,$B1228&amp;" ~*")&gt;0)+(IFERROR(INDEX(Setup!$G$33:$G$40,MATCH(S1228,Setup!$B$33:$B$40,0)),0)=1)*(COUNTIF(S1208:U1225,$B1228)+COUNTIF(S1208:U1225,$B1228&amp;" ~*")&gt;0)+(IFERROR(INDEX(Setup!$G$33:$G$40,MATCH(W1228,Setup!$B$33:$B$40,0)),0)=1)*(COUNTIF(W1208:W1225,$B1228)+COUNTIF(W1208:W1225,$B1228&amp;" ~*")&gt;0)+(IFERROR(INDEX(Setup!$G$33:$G$40,MATCH(Y1228,Setup!$B$33:$B$40,0)),0)=1)*(COUNTIF(Y1208:Y1225,$B1228)+COUNTIF(Y1208:Y1225,$B1228&amp;" ~*")&gt;0))</f>
        <v/>
      </c>
    </row>
    <row r="1229" ht="15" customHeight="1">
      <c r="A1229" t="n">
        <v>25</v>
      </c>
      <c r="B1229" s="35">
        <f>IF(Setup!$B$8="","",Setup!$B$8)</f>
        <v/>
      </c>
      <c r="C1229" s="98" t="n"/>
      <c r="D1229" s="99" t="n"/>
      <c r="E1229" s="99" t="n"/>
      <c r="F1229" s="100" t="n"/>
      <c r="G1229" s="98" t="n"/>
      <c r="H1229" s="99" t="n"/>
      <c r="I1229" s="99" t="n"/>
      <c r="J1229" s="100" t="n"/>
      <c r="K1229" s="98" t="n"/>
      <c r="L1229" s="99" t="n"/>
      <c r="M1229" s="99" t="n"/>
      <c r="N1229" s="100" t="n"/>
      <c r="O1229" s="98" t="n"/>
      <c r="P1229" s="99" t="n"/>
      <c r="Q1229" s="99" t="n"/>
      <c r="R1229" s="100" t="n"/>
      <c r="S1229" s="98" t="n"/>
      <c r="T1229" s="99" t="n"/>
      <c r="U1229" s="99" t="n"/>
      <c r="V1229" s="100" t="n"/>
      <c r="W1229" s="98" t="n"/>
      <c r="X1229" s="100" t="n"/>
      <c r="Y1229" s="98" t="n"/>
      <c r="Z1229" s="100" t="n"/>
      <c r="AB1229" s="101">
        <f>IF($B1229="","",(COUNTIF(C1208:E1225,$B1229)+COUNTIF(C1208:E1225,$B1229&amp;" ~*")&gt;0)+(COUNTIF(G1208:I1225,$B1229)+COUNTIF(G1208:I1225,$B1229&amp;" ~*")&gt;0)+(COUNTIF(K1208:M1225,$B1229)+COUNTIF(K1208:M1225,$B1229&amp;" ~*")&gt;0)+(COUNTIF(O1208:Q1225,$B1229)+COUNTIF(O1208:Q1225,$B1229&amp;" ~*")&gt;0)+(COUNTIF(S1208:U1225,$B1229)+COUNTIF(S1208:U1225,$B1229&amp;" ~*")&gt;0)+(COUNTIF(W1208:W1225,$B1229)+COUNTIF(W1208:W1225,$B1229&amp;" ~*")&gt;0)+(COUNTIF(Y1208:Y1225,$B1229)+COUNTIF(Y1208:Y1225,$B1229&amp;" ~*")&gt;0))</f>
        <v/>
      </c>
      <c r="AC1229" s="36">
        <f>IF($B1229="","",(IFERROR(INDEX(Setup!$G$33:$G$40,MATCH(C1229,Setup!$B$33:$B$40,0)),0)=1)*(COUNTIF(C1208:E1225,$B1229)+COUNTIF(C1208:E1225,$B1229&amp;" ~*")&gt;0)+(IFERROR(INDEX(Setup!$G$33:$G$40,MATCH(G1229,Setup!$B$33:$B$40,0)),0)=1)*(COUNTIF(G1208:I1225,$B1229)+COUNTIF(G1208:I1225,$B1229&amp;" ~*")&gt;0)+(IFERROR(INDEX(Setup!$G$33:$G$40,MATCH(K1229,Setup!$B$33:$B$40,0)),0)=1)*(COUNTIF(K1208:M1225,$B1229)+COUNTIF(K1208:M1225,$B1229&amp;" ~*")&gt;0)+(IFERROR(INDEX(Setup!$G$33:$G$40,MATCH(O1229,Setup!$B$33:$B$40,0)),0)=1)*(COUNTIF(O1208:Q1225,$B1229)+COUNTIF(O1208:Q1225,$B1229&amp;" ~*")&gt;0)+(IFERROR(INDEX(Setup!$G$33:$G$40,MATCH(S1229,Setup!$B$33:$B$40,0)),0)=1)*(COUNTIF(S1208:U1225,$B1229)+COUNTIF(S1208:U1225,$B1229&amp;" ~*")&gt;0)+(IFERROR(INDEX(Setup!$G$33:$G$40,MATCH(W1229,Setup!$B$33:$B$40,0)),0)=1)*(COUNTIF(W1208:W1225,$B1229)+COUNTIF(W1208:W1225,$B1229&amp;" ~*")&gt;0)+(IFERROR(INDEX(Setup!$G$33:$G$40,MATCH(Y1229,Setup!$B$33:$B$40,0)),0)=1)*(COUNTIF(Y1208:Y1225,$B1229)+COUNTIF(Y1208:Y1225,$B1229&amp;" ~*")&gt;0))</f>
        <v/>
      </c>
    </row>
    <row r="1230" ht="15" customHeight="1">
      <c r="A1230" t="n">
        <v>25</v>
      </c>
      <c r="B1230" s="37">
        <f>IF(Setup!$B$9="","",Setup!$B$9)</f>
        <v/>
      </c>
      <c r="C1230" s="102" t="n"/>
      <c r="D1230" s="103" t="n"/>
      <c r="E1230" s="103" t="n"/>
      <c r="F1230" s="104" t="n"/>
      <c r="G1230" s="102" t="n"/>
      <c r="H1230" s="103" t="n"/>
      <c r="I1230" s="103" t="n"/>
      <c r="J1230" s="104" t="n"/>
      <c r="K1230" s="102" t="n"/>
      <c r="L1230" s="103" t="n"/>
      <c r="M1230" s="103" t="n"/>
      <c r="N1230" s="104" t="n"/>
      <c r="O1230" s="102" t="n"/>
      <c r="P1230" s="103" t="n"/>
      <c r="Q1230" s="103" t="n"/>
      <c r="R1230" s="104" t="n"/>
      <c r="S1230" s="102" t="n"/>
      <c r="T1230" s="103" t="n"/>
      <c r="U1230" s="103" t="n"/>
      <c r="V1230" s="104" t="n"/>
      <c r="W1230" s="102" t="n"/>
      <c r="X1230" s="104" t="n"/>
      <c r="Y1230" s="102" t="n"/>
      <c r="Z1230" s="104" t="n"/>
      <c r="AB1230" s="105">
        <f>IF($B1230="","",(COUNTIF(C1208:E1225,$B1230)+COUNTIF(C1208:E1225,$B1230&amp;" ~*")&gt;0)+(COUNTIF(G1208:I1225,$B1230)+COUNTIF(G1208:I1225,$B1230&amp;" ~*")&gt;0)+(COUNTIF(K1208:M1225,$B1230)+COUNTIF(K1208:M1225,$B1230&amp;" ~*")&gt;0)+(COUNTIF(O1208:Q1225,$B1230)+COUNTIF(O1208:Q1225,$B1230&amp;" ~*")&gt;0)+(COUNTIF(S1208:U1225,$B1230)+COUNTIF(S1208:U1225,$B1230&amp;" ~*")&gt;0)+(COUNTIF(W1208:W1225,$B1230)+COUNTIF(W1208:W1225,$B1230&amp;" ~*")&gt;0)+(COUNTIF(Y1208:Y1225,$B1230)+COUNTIF(Y1208:Y1225,$B1230&amp;" ~*")&gt;0))</f>
        <v/>
      </c>
      <c r="AC1230" s="38">
        <f>IF($B1230="","",(IFERROR(INDEX(Setup!$G$33:$G$40,MATCH(C1230,Setup!$B$33:$B$40,0)),0)=1)*(COUNTIF(C1208:E1225,$B1230)+COUNTIF(C1208:E1225,$B1230&amp;" ~*")&gt;0)+(IFERROR(INDEX(Setup!$G$33:$G$40,MATCH(G1230,Setup!$B$33:$B$40,0)),0)=1)*(COUNTIF(G1208:I1225,$B1230)+COUNTIF(G1208:I1225,$B1230&amp;" ~*")&gt;0)+(IFERROR(INDEX(Setup!$G$33:$G$40,MATCH(K1230,Setup!$B$33:$B$40,0)),0)=1)*(COUNTIF(K1208:M1225,$B1230)+COUNTIF(K1208:M1225,$B1230&amp;" ~*")&gt;0)+(IFERROR(INDEX(Setup!$G$33:$G$40,MATCH(O1230,Setup!$B$33:$B$40,0)),0)=1)*(COUNTIF(O1208:Q1225,$B1230)+COUNTIF(O1208:Q1225,$B1230&amp;" ~*")&gt;0)+(IFERROR(INDEX(Setup!$G$33:$G$40,MATCH(S1230,Setup!$B$33:$B$40,0)),0)=1)*(COUNTIF(S1208:U1225,$B1230)+COUNTIF(S1208:U1225,$B1230&amp;" ~*")&gt;0)+(IFERROR(INDEX(Setup!$G$33:$G$40,MATCH(W1230,Setup!$B$33:$B$40,0)),0)=1)*(COUNTIF(W1208:W1225,$B1230)+COUNTIF(W1208:W1225,$B1230&amp;" ~*")&gt;0)+(IFERROR(INDEX(Setup!$G$33:$G$40,MATCH(Y1230,Setup!$B$33:$B$40,0)),0)=1)*(COUNTIF(Y1208:Y1225,$B1230)+COUNTIF(Y1208:Y1225,$B1230&amp;" ~*")&gt;0))</f>
        <v/>
      </c>
    </row>
    <row r="1231" ht="15" customHeight="1">
      <c r="A1231" t="n">
        <v>25</v>
      </c>
      <c r="B1231" s="35">
        <f>IF(Setup!$B$10="","",Setup!$B$10)</f>
        <v/>
      </c>
      <c r="C1231" s="98" t="n"/>
      <c r="D1231" s="99" t="n"/>
      <c r="E1231" s="99" t="n"/>
      <c r="F1231" s="100" t="n"/>
      <c r="G1231" s="98" t="n"/>
      <c r="H1231" s="99" t="n"/>
      <c r="I1231" s="99" t="n"/>
      <c r="J1231" s="100" t="n"/>
      <c r="K1231" s="98" t="n"/>
      <c r="L1231" s="99" t="n"/>
      <c r="M1231" s="99" t="n"/>
      <c r="N1231" s="100" t="n"/>
      <c r="O1231" s="98" t="n"/>
      <c r="P1231" s="99" t="n"/>
      <c r="Q1231" s="99" t="n"/>
      <c r="R1231" s="100" t="n"/>
      <c r="S1231" s="98" t="n"/>
      <c r="T1231" s="99" t="n"/>
      <c r="U1231" s="99" t="n"/>
      <c r="V1231" s="100" t="n"/>
      <c r="W1231" s="98" t="n"/>
      <c r="X1231" s="100" t="n"/>
      <c r="Y1231" s="98" t="n"/>
      <c r="Z1231" s="100" t="n"/>
      <c r="AB1231" s="101">
        <f>IF($B1231="","",(COUNTIF(C1208:E1225,$B1231)+COUNTIF(C1208:E1225,$B1231&amp;" ~*")&gt;0)+(COUNTIF(G1208:I1225,$B1231)+COUNTIF(G1208:I1225,$B1231&amp;" ~*")&gt;0)+(COUNTIF(K1208:M1225,$B1231)+COUNTIF(K1208:M1225,$B1231&amp;" ~*")&gt;0)+(COUNTIF(O1208:Q1225,$B1231)+COUNTIF(O1208:Q1225,$B1231&amp;" ~*")&gt;0)+(COUNTIF(S1208:U1225,$B1231)+COUNTIF(S1208:U1225,$B1231&amp;" ~*")&gt;0)+(COUNTIF(W1208:W1225,$B1231)+COUNTIF(W1208:W1225,$B1231&amp;" ~*")&gt;0)+(COUNTIF(Y1208:Y1225,$B1231)+COUNTIF(Y1208:Y1225,$B1231&amp;" ~*")&gt;0))</f>
        <v/>
      </c>
      <c r="AC1231" s="36">
        <f>IF($B1231="","",(IFERROR(INDEX(Setup!$G$33:$G$40,MATCH(C1231,Setup!$B$33:$B$40,0)),0)=1)*(COUNTIF(C1208:E1225,$B1231)+COUNTIF(C1208:E1225,$B1231&amp;" ~*")&gt;0)+(IFERROR(INDEX(Setup!$G$33:$G$40,MATCH(G1231,Setup!$B$33:$B$40,0)),0)=1)*(COUNTIF(G1208:I1225,$B1231)+COUNTIF(G1208:I1225,$B1231&amp;" ~*")&gt;0)+(IFERROR(INDEX(Setup!$G$33:$G$40,MATCH(K1231,Setup!$B$33:$B$40,0)),0)=1)*(COUNTIF(K1208:M1225,$B1231)+COUNTIF(K1208:M1225,$B1231&amp;" ~*")&gt;0)+(IFERROR(INDEX(Setup!$G$33:$G$40,MATCH(O1231,Setup!$B$33:$B$40,0)),0)=1)*(COUNTIF(O1208:Q1225,$B1231)+COUNTIF(O1208:Q1225,$B1231&amp;" ~*")&gt;0)+(IFERROR(INDEX(Setup!$G$33:$G$40,MATCH(S1231,Setup!$B$33:$B$40,0)),0)=1)*(COUNTIF(S1208:U1225,$B1231)+COUNTIF(S1208:U1225,$B1231&amp;" ~*")&gt;0)+(IFERROR(INDEX(Setup!$G$33:$G$40,MATCH(W1231,Setup!$B$33:$B$40,0)),0)=1)*(COUNTIF(W1208:W1225,$B1231)+COUNTIF(W1208:W1225,$B1231&amp;" ~*")&gt;0)+(IFERROR(INDEX(Setup!$G$33:$G$40,MATCH(Y1231,Setup!$B$33:$B$40,0)),0)=1)*(COUNTIF(Y1208:Y1225,$B1231)+COUNTIF(Y1208:Y1225,$B1231&amp;" ~*")&gt;0))</f>
        <v/>
      </c>
    </row>
    <row r="1232" ht="15" customHeight="1">
      <c r="A1232" t="n">
        <v>25</v>
      </c>
      <c r="B1232" s="37">
        <f>IF(Setup!$B$11="","",Setup!$B$11)</f>
        <v/>
      </c>
      <c r="C1232" s="102" t="n"/>
      <c r="D1232" s="103" t="n"/>
      <c r="E1232" s="103" t="n"/>
      <c r="F1232" s="104" t="n"/>
      <c r="G1232" s="102" t="n"/>
      <c r="H1232" s="103" t="n"/>
      <c r="I1232" s="103" t="n"/>
      <c r="J1232" s="104" t="n"/>
      <c r="K1232" s="102" t="n"/>
      <c r="L1232" s="103" t="n"/>
      <c r="M1232" s="103" t="n"/>
      <c r="N1232" s="104" t="n"/>
      <c r="O1232" s="102" t="n"/>
      <c r="P1232" s="103" t="n"/>
      <c r="Q1232" s="103" t="n"/>
      <c r="R1232" s="104" t="n"/>
      <c r="S1232" s="102" t="n"/>
      <c r="T1232" s="103" t="n"/>
      <c r="U1232" s="103" t="n"/>
      <c r="V1232" s="104" t="n"/>
      <c r="W1232" s="102" t="n"/>
      <c r="X1232" s="104" t="n"/>
      <c r="Y1232" s="102" t="n"/>
      <c r="Z1232" s="104" t="n"/>
      <c r="AB1232" s="105">
        <f>IF($B1232="","",(COUNTIF(C1208:E1225,$B1232)+COUNTIF(C1208:E1225,$B1232&amp;" ~*")&gt;0)+(COUNTIF(G1208:I1225,$B1232)+COUNTIF(G1208:I1225,$B1232&amp;" ~*")&gt;0)+(COUNTIF(K1208:M1225,$B1232)+COUNTIF(K1208:M1225,$B1232&amp;" ~*")&gt;0)+(COUNTIF(O1208:Q1225,$B1232)+COUNTIF(O1208:Q1225,$B1232&amp;" ~*")&gt;0)+(COUNTIF(S1208:U1225,$B1232)+COUNTIF(S1208:U1225,$B1232&amp;" ~*")&gt;0)+(COUNTIF(W1208:W1225,$B1232)+COUNTIF(W1208:W1225,$B1232&amp;" ~*")&gt;0)+(COUNTIF(Y1208:Y1225,$B1232)+COUNTIF(Y1208:Y1225,$B1232&amp;" ~*")&gt;0))</f>
        <v/>
      </c>
      <c r="AC1232" s="38">
        <f>IF($B1232="","",(IFERROR(INDEX(Setup!$G$33:$G$40,MATCH(C1232,Setup!$B$33:$B$40,0)),0)=1)*(COUNTIF(C1208:E1225,$B1232)+COUNTIF(C1208:E1225,$B1232&amp;" ~*")&gt;0)+(IFERROR(INDEX(Setup!$G$33:$G$40,MATCH(G1232,Setup!$B$33:$B$40,0)),0)=1)*(COUNTIF(G1208:I1225,$B1232)+COUNTIF(G1208:I1225,$B1232&amp;" ~*")&gt;0)+(IFERROR(INDEX(Setup!$G$33:$G$40,MATCH(K1232,Setup!$B$33:$B$40,0)),0)=1)*(COUNTIF(K1208:M1225,$B1232)+COUNTIF(K1208:M1225,$B1232&amp;" ~*")&gt;0)+(IFERROR(INDEX(Setup!$G$33:$G$40,MATCH(O1232,Setup!$B$33:$B$40,0)),0)=1)*(COUNTIF(O1208:Q1225,$B1232)+COUNTIF(O1208:Q1225,$B1232&amp;" ~*")&gt;0)+(IFERROR(INDEX(Setup!$G$33:$G$40,MATCH(S1232,Setup!$B$33:$B$40,0)),0)=1)*(COUNTIF(S1208:U1225,$B1232)+COUNTIF(S1208:U1225,$B1232&amp;" ~*")&gt;0)+(IFERROR(INDEX(Setup!$G$33:$G$40,MATCH(W1232,Setup!$B$33:$B$40,0)),0)=1)*(COUNTIF(W1208:W1225,$B1232)+COUNTIF(W1208:W1225,$B1232&amp;" ~*")&gt;0)+(IFERROR(INDEX(Setup!$G$33:$G$40,MATCH(Y1232,Setup!$B$33:$B$40,0)),0)=1)*(COUNTIF(Y1208:Y1225,$B1232)+COUNTIF(Y1208:Y1225,$B1232&amp;" ~*")&gt;0))</f>
        <v/>
      </c>
    </row>
    <row r="1233" ht="15" customHeight="1">
      <c r="A1233" t="n">
        <v>25</v>
      </c>
      <c r="B1233" s="35">
        <f>IF(Setup!$B$12="","",Setup!$B$12)</f>
        <v/>
      </c>
      <c r="C1233" s="98" t="n"/>
      <c r="D1233" s="99" t="n"/>
      <c r="E1233" s="99" t="n"/>
      <c r="F1233" s="100" t="n"/>
      <c r="G1233" s="98" t="n"/>
      <c r="H1233" s="99" t="n"/>
      <c r="I1233" s="99" t="n"/>
      <c r="J1233" s="100" t="n"/>
      <c r="K1233" s="98" t="n"/>
      <c r="L1233" s="99" t="n"/>
      <c r="M1233" s="99" t="n"/>
      <c r="N1233" s="100" t="n"/>
      <c r="O1233" s="98" t="n"/>
      <c r="P1233" s="99" t="n"/>
      <c r="Q1233" s="99" t="n"/>
      <c r="R1233" s="100" t="n"/>
      <c r="S1233" s="98" t="n"/>
      <c r="T1233" s="99" t="n"/>
      <c r="U1233" s="99" t="n"/>
      <c r="V1233" s="100" t="n"/>
      <c r="W1233" s="98" t="n"/>
      <c r="X1233" s="100" t="n"/>
      <c r="Y1233" s="98" t="n"/>
      <c r="Z1233" s="100" t="n"/>
      <c r="AB1233" s="101">
        <f>IF($B1233="","",(COUNTIF(C1208:E1225,$B1233)+COUNTIF(C1208:E1225,$B1233&amp;" ~*")&gt;0)+(COUNTIF(G1208:I1225,$B1233)+COUNTIF(G1208:I1225,$B1233&amp;" ~*")&gt;0)+(COUNTIF(K1208:M1225,$B1233)+COUNTIF(K1208:M1225,$B1233&amp;" ~*")&gt;0)+(COUNTIF(O1208:Q1225,$B1233)+COUNTIF(O1208:Q1225,$B1233&amp;" ~*")&gt;0)+(COUNTIF(S1208:U1225,$B1233)+COUNTIF(S1208:U1225,$B1233&amp;" ~*")&gt;0)+(COUNTIF(W1208:W1225,$B1233)+COUNTIF(W1208:W1225,$B1233&amp;" ~*")&gt;0)+(COUNTIF(Y1208:Y1225,$B1233)+COUNTIF(Y1208:Y1225,$B1233&amp;" ~*")&gt;0))</f>
        <v/>
      </c>
      <c r="AC1233" s="36">
        <f>IF($B1233="","",(IFERROR(INDEX(Setup!$G$33:$G$40,MATCH(C1233,Setup!$B$33:$B$40,0)),0)=1)*(COUNTIF(C1208:E1225,$B1233)+COUNTIF(C1208:E1225,$B1233&amp;" ~*")&gt;0)+(IFERROR(INDEX(Setup!$G$33:$G$40,MATCH(G1233,Setup!$B$33:$B$40,0)),0)=1)*(COUNTIF(G1208:I1225,$B1233)+COUNTIF(G1208:I1225,$B1233&amp;" ~*")&gt;0)+(IFERROR(INDEX(Setup!$G$33:$G$40,MATCH(K1233,Setup!$B$33:$B$40,0)),0)=1)*(COUNTIF(K1208:M1225,$B1233)+COUNTIF(K1208:M1225,$B1233&amp;" ~*")&gt;0)+(IFERROR(INDEX(Setup!$G$33:$G$40,MATCH(O1233,Setup!$B$33:$B$40,0)),0)=1)*(COUNTIF(O1208:Q1225,$B1233)+COUNTIF(O1208:Q1225,$B1233&amp;" ~*")&gt;0)+(IFERROR(INDEX(Setup!$G$33:$G$40,MATCH(S1233,Setup!$B$33:$B$40,0)),0)=1)*(COUNTIF(S1208:U1225,$B1233)+COUNTIF(S1208:U1225,$B1233&amp;" ~*")&gt;0)+(IFERROR(INDEX(Setup!$G$33:$G$40,MATCH(W1233,Setup!$B$33:$B$40,0)),0)=1)*(COUNTIF(W1208:W1225,$B1233)+COUNTIF(W1208:W1225,$B1233&amp;" ~*")&gt;0)+(IFERROR(INDEX(Setup!$G$33:$G$40,MATCH(Y1233,Setup!$B$33:$B$40,0)),0)=1)*(COUNTIF(Y1208:Y1225,$B1233)+COUNTIF(Y1208:Y1225,$B1233&amp;" ~*")&gt;0))</f>
        <v/>
      </c>
    </row>
    <row r="1234" ht="15" customHeight="1">
      <c r="A1234" t="n">
        <v>25</v>
      </c>
      <c r="B1234" s="37">
        <f>IF(Setup!$B$13="","",Setup!$B$13)</f>
        <v/>
      </c>
      <c r="C1234" s="102" t="n"/>
      <c r="D1234" s="103" t="n"/>
      <c r="E1234" s="103" t="n"/>
      <c r="F1234" s="104" t="n"/>
      <c r="G1234" s="102" t="n"/>
      <c r="H1234" s="103" t="n"/>
      <c r="I1234" s="103" t="n"/>
      <c r="J1234" s="104" t="n"/>
      <c r="K1234" s="102" t="n"/>
      <c r="L1234" s="103" t="n"/>
      <c r="M1234" s="103" t="n"/>
      <c r="N1234" s="104" t="n"/>
      <c r="O1234" s="102" t="n"/>
      <c r="P1234" s="103" t="n"/>
      <c r="Q1234" s="103" t="n"/>
      <c r="R1234" s="104" t="n"/>
      <c r="S1234" s="102" t="n"/>
      <c r="T1234" s="103" t="n"/>
      <c r="U1234" s="103" t="n"/>
      <c r="V1234" s="104" t="n"/>
      <c r="W1234" s="102" t="n"/>
      <c r="X1234" s="104" t="n"/>
      <c r="Y1234" s="102" t="n"/>
      <c r="Z1234" s="104" t="n"/>
      <c r="AB1234" s="105">
        <f>IF($B1234="","",(COUNTIF(C1208:E1225,$B1234)+COUNTIF(C1208:E1225,$B1234&amp;" ~*")&gt;0)+(COUNTIF(G1208:I1225,$B1234)+COUNTIF(G1208:I1225,$B1234&amp;" ~*")&gt;0)+(COUNTIF(K1208:M1225,$B1234)+COUNTIF(K1208:M1225,$B1234&amp;" ~*")&gt;0)+(COUNTIF(O1208:Q1225,$B1234)+COUNTIF(O1208:Q1225,$B1234&amp;" ~*")&gt;0)+(COUNTIF(S1208:U1225,$B1234)+COUNTIF(S1208:U1225,$B1234&amp;" ~*")&gt;0)+(COUNTIF(W1208:W1225,$B1234)+COUNTIF(W1208:W1225,$B1234&amp;" ~*")&gt;0)+(COUNTIF(Y1208:Y1225,$B1234)+COUNTIF(Y1208:Y1225,$B1234&amp;" ~*")&gt;0))</f>
        <v/>
      </c>
      <c r="AC1234" s="38">
        <f>IF($B1234="","",(IFERROR(INDEX(Setup!$G$33:$G$40,MATCH(C1234,Setup!$B$33:$B$40,0)),0)=1)*(COUNTIF(C1208:E1225,$B1234)+COUNTIF(C1208:E1225,$B1234&amp;" ~*")&gt;0)+(IFERROR(INDEX(Setup!$G$33:$G$40,MATCH(G1234,Setup!$B$33:$B$40,0)),0)=1)*(COUNTIF(G1208:I1225,$B1234)+COUNTIF(G1208:I1225,$B1234&amp;" ~*")&gt;0)+(IFERROR(INDEX(Setup!$G$33:$G$40,MATCH(K1234,Setup!$B$33:$B$40,0)),0)=1)*(COUNTIF(K1208:M1225,$B1234)+COUNTIF(K1208:M1225,$B1234&amp;" ~*")&gt;0)+(IFERROR(INDEX(Setup!$G$33:$G$40,MATCH(O1234,Setup!$B$33:$B$40,0)),0)=1)*(COUNTIF(O1208:Q1225,$B1234)+COUNTIF(O1208:Q1225,$B1234&amp;" ~*")&gt;0)+(IFERROR(INDEX(Setup!$G$33:$G$40,MATCH(S1234,Setup!$B$33:$B$40,0)),0)=1)*(COUNTIF(S1208:U1225,$B1234)+COUNTIF(S1208:U1225,$B1234&amp;" ~*")&gt;0)+(IFERROR(INDEX(Setup!$G$33:$G$40,MATCH(W1234,Setup!$B$33:$B$40,0)),0)=1)*(COUNTIF(W1208:W1225,$B1234)+COUNTIF(W1208:W1225,$B1234&amp;" ~*")&gt;0)+(IFERROR(INDEX(Setup!$G$33:$G$40,MATCH(Y1234,Setup!$B$33:$B$40,0)),0)=1)*(COUNTIF(Y1208:Y1225,$B1234)+COUNTIF(Y1208:Y1225,$B1234&amp;" ~*")&gt;0))</f>
        <v/>
      </c>
    </row>
    <row r="1235" ht="15" customHeight="1">
      <c r="A1235" t="n">
        <v>25</v>
      </c>
      <c r="B1235" s="35">
        <f>IF(Setup!$B$14="","",Setup!$B$14)</f>
        <v/>
      </c>
      <c r="C1235" s="98" t="n"/>
      <c r="D1235" s="99" t="n"/>
      <c r="E1235" s="99" t="n"/>
      <c r="F1235" s="100" t="n"/>
      <c r="G1235" s="98" t="n"/>
      <c r="H1235" s="99" t="n"/>
      <c r="I1235" s="99" t="n"/>
      <c r="J1235" s="100" t="n"/>
      <c r="K1235" s="98" t="n"/>
      <c r="L1235" s="99" t="n"/>
      <c r="M1235" s="99" t="n"/>
      <c r="N1235" s="100" t="n"/>
      <c r="O1235" s="98" t="n"/>
      <c r="P1235" s="99" t="n"/>
      <c r="Q1235" s="99" t="n"/>
      <c r="R1235" s="100" t="n"/>
      <c r="S1235" s="98" t="n"/>
      <c r="T1235" s="99" t="n"/>
      <c r="U1235" s="99" t="n"/>
      <c r="V1235" s="100" t="n"/>
      <c r="W1235" s="98" t="n"/>
      <c r="X1235" s="100" t="n"/>
      <c r="Y1235" s="98" t="n"/>
      <c r="Z1235" s="100" t="n"/>
      <c r="AB1235" s="101">
        <f>IF($B1235="","",(COUNTIF(C1208:E1225,$B1235)+COUNTIF(C1208:E1225,$B1235&amp;" ~*")&gt;0)+(COUNTIF(G1208:I1225,$B1235)+COUNTIF(G1208:I1225,$B1235&amp;" ~*")&gt;0)+(COUNTIF(K1208:M1225,$B1235)+COUNTIF(K1208:M1225,$B1235&amp;" ~*")&gt;0)+(COUNTIF(O1208:Q1225,$B1235)+COUNTIF(O1208:Q1225,$B1235&amp;" ~*")&gt;0)+(COUNTIF(S1208:U1225,$B1235)+COUNTIF(S1208:U1225,$B1235&amp;" ~*")&gt;0)+(COUNTIF(W1208:W1225,$B1235)+COUNTIF(W1208:W1225,$B1235&amp;" ~*")&gt;0)+(COUNTIF(Y1208:Y1225,$B1235)+COUNTIF(Y1208:Y1225,$B1235&amp;" ~*")&gt;0))</f>
        <v/>
      </c>
      <c r="AC1235" s="36">
        <f>IF($B1235="","",(IFERROR(INDEX(Setup!$G$33:$G$40,MATCH(C1235,Setup!$B$33:$B$40,0)),0)=1)*(COUNTIF(C1208:E1225,$B1235)+COUNTIF(C1208:E1225,$B1235&amp;" ~*")&gt;0)+(IFERROR(INDEX(Setup!$G$33:$G$40,MATCH(G1235,Setup!$B$33:$B$40,0)),0)=1)*(COUNTIF(G1208:I1225,$B1235)+COUNTIF(G1208:I1225,$B1235&amp;" ~*")&gt;0)+(IFERROR(INDEX(Setup!$G$33:$G$40,MATCH(K1235,Setup!$B$33:$B$40,0)),0)=1)*(COUNTIF(K1208:M1225,$B1235)+COUNTIF(K1208:M1225,$B1235&amp;" ~*")&gt;0)+(IFERROR(INDEX(Setup!$G$33:$G$40,MATCH(O1235,Setup!$B$33:$B$40,0)),0)=1)*(COUNTIF(O1208:Q1225,$B1235)+COUNTIF(O1208:Q1225,$B1235&amp;" ~*")&gt;0)+(IFERROR(INDEX(Setup!$G$33:$G$40,MATCH(S1235,Setup!$B$33:$B$40,0)),0)=1)*(COUNTIF(S1208:U1225,$B1235)+COUNTIF(S1208:U1225,$B1235&amp;" ~*")&gt;0)+(IFERROR(INDEX(Setup!$G$33:$G$40,MATCH(W1235,Setup!$B$33:$B$40,0)),0)=1)*(COUNTIF(W1208:W1225,$B1235)+COUNTIF(W1208:W1225,$B1235&amp;" ~*")&gt;0)+(IFERROR(INDEX(Setup!$G$33:$G$40,MATCH(Y1235,Setup!$B$33:$B$40,0)),0)=1)*(COUNTIF(Y1208:Y1225,$B1235)+COUNTIF(Y1208:Y1225,$B1235&amp;" ~*")&gt;0))</f>
        <v/>
      </c>
    </row>
    <row r="1236" ht="15" customHeight="1">
      <c r="A1236" t="n">
        <v>25</v>
      </c>
      <c r="B1236" s="37">
        <f>IF(Setup!$B$15="","",Setup!$B$15)</f>
        <v/>
      </c>
      <c r="C1236" s="102" t="n"/>
      <c r="D1236" s="103" t="n"/>
      <c r="E1236" s="103" t="n"/>
      <c r="F1236" s="104" t="n"/>
      <c r="G1236" s="102" t="n"/>
      <c r="H1236" s="103" t="n"/>
      <c r="I1236" s="103" t="n"/>
      <c r="J1236" s="104" t="n"/>
      <c r="K1236" s="102" t="n"/>
      <c r="L1236" s="103" t="n"/>
      <c r="M1236" s="103" t="n"/>
      <c r="N1236" s="104" t="n"/>
      <c r="O1236" s="102" t="n"/>
      <c r="P1236" s="103" t="n"/>
      <c r="Q1236" s="103" t="n"/>
      <c r="R1236" s="104" t="n"/>
      <c r="S1236" s="102" t="n"/>
      <c r="T1236" s="103" t="n"/>
      <c r="U1236" s="103" t="n"/>
      <c r="V1236" s="104" t="n"/>
      <c r="W1236" s="102" t="n"/>
      <c r="X1236" s="104" t="n"/>
      <c r="Y1236" s="102" t="n"/>
      <c r="Z1236" s="104" t="n"/>
      <c r="AB1236" s="105">
        <f>IF($B1236="","",(COUNTIF(C1208:E1225,$B1236)+COUNTIF(C1208:E1225,$B1236&amp;" ~*")&gt;0)+(COUNTIF(G1208:I1225,$B1236)+COUNTIF(G1208:I1225,$B1236&amp;" ~*")&gt;0)+(COUNTIF(K1208:M1225,$B1236)+COUNTIF(K1208:M1225,$B1236&amp;" ~*")&gt;0)+(COUNTIF(O1208:Q1225,$B1236)+COUNTIF(O1208:Q1225,$B1236&amp;" ~*")&gt;0)+(COUNTIF(S1208:U1225,$B1236)+COUNTIF(S1208:U1225,$B1236&amp;" ~*")&gt;0)+(COUNTIF(W1208:W1225,$B1236)+COUNTIF(W1208:W1225,$B1236&amp;" ~*")&gt;0)+(COUNTIF(Y1208:Y1225,$B1236)+COUNTIF(Y1208:Y1225,$B1236&amp;" ~*")&gt;0))</f>
        <v/>
      </c>
      <c r="AC1236" s="38">
        <f>IF($B1236="","",(IFERROR(INDEX(Setup!$G$33:$G$40,MATCH(C1236,Setup!$B$33:$B$40,0)),0)=1)*(COUNTIF(C1208:E1225,$B1236)+COUNTIF(C1208:E1225,$B1236&amp;" ~*")&gt;0)+(IFERROR(INDEX(Setup!$G$33:$G$40,MATCH(G1236,Setup!$B$33:$B$40,0)),0)=1)*(COUNTIF(G1208:I1225,$B1236)+COUNTIF(G1208:I1225,$B1236&amp;" ~*")&gt;0)+(IFERROR(INDEX(Setup!$G$33:$G$40,MATCH(K1236,Setup!$B$33:$B$40,0)),0)=1)*(COUNTIF(K1208:M1225,$B1236)+COUNTIF(K1208:M1225,$B1236&amp;" ~*")&gt;0)+(IFERROR(INDEX(Setup!$G$33:$G$40,MATCH(O1236,Setup!$B$33:$B$40,0)),0)=1)*(COUNTIF(O1208:Q1225,$B1236)+COUNTIF(O1208:Q1225,$B1236&amp;" ~*")&gt;0)+(IFERROR(INDEX(Setup!$G$33:$G$40,MATCH(S1236,Setup!$B$33:$B$40,0)),0)=1)*(COUNTIF(S1208:U1225,$B1236)+COUNTIF(S1208:U1225,$B1236&amp;" ~*")&gt;0)+(IFERROR(INDEX(Setup!$G$33:$G$40,MATCH(W1236,Setup!$B$33:$B$40,0)),0)=1)*(COUNTIF(W1208:W1225,$B1236)+COUNTIF(W1208:W1225,$B1236&amp;" ~*")&gt;0)+(IFERROR(INDEX(Setup!$G$33:$G$40,MATCH(Y1236,Setup!$B$33:$B$40,0)),0)=1)*(COUNTIF(Y1208:Y1225,$B1236)+COUNTIF(Y1208:Y1225,$B1236&amp;" ~*")&gt;0))</f>
        <v/>
      </c>
    </row>
    <row r="1237" ht="15" customHeight="1">
      <c r="A1237" t="n">
        <v>25</v>
      </c>
      <c r="B1237" s="35">
        <f>IF(Setup!$B$16="","",Setup!$B$16)</f>
        <v/>
      </c>
      <c r="C1237" s="98" t="n"/>
      <c r="D1237" s="99" t="n"/>
      <c r="E1237" s="99" t="n"/>
      <c r="F1237" s="100" t="n"/>
      <c r="G1237" s="98" t="n"/>
      <c r="H1237" s="99" t="n"/>
      <c r="I1237" s="99" t="n"/>
      <c r="J1237" s="100" t="n"/>
      <c r="K1237" s="98" t="n"/>
      <c r="L1237" s="99" t="n"/>
      <c r="M1237" s="99" t="n"/>
      <c r="N1237" s="100" t="n"/>
      <c r="O1237" s="98" t="n"/>
      <c r="P1237" s="99" t="n"/>
      <c r="Q1237" s="99" t="n"/>
      <c r="R1237" s="100" t="n"/>
      <c r="S1237" s="98" t="n"/>
      <c r="T1237" s="99" t="n"/>
      <c r="U1237" s="99" t="n"/>
      <c r="V1237" s="100" t="n"/>
      <c r="W1237" s="98" t="n"/>
      <c r="X1237" s="100" t="n"/>
      <c r="Y1237" s="98" t="n"/>
      <c r="Z1237" s="100" t="n"/>
      <c r="AB1237" s="101">
        <f>IF($B1237="","",(COUNTIF(C1208:E1225,$B1237)+COUNTIF(C1208:E1225,$B1237&amp;" ~*")&gt;0)+(COUNTIF(G1208:I1225,$B1237)+COUNTIF(G1208:I1225,$B1237&amp;" ~*")&gt;0)+(COUNTIF(K1208:M1225,$B1237)+COUNTIF(K1208:M1225,$B1237&amp;" ~*")&gt;0)+(COUNTIF(O1208:Q1225,$B1237)+COUNTIF(O1208:Q1225,$B1237&amp;" ~*")&gt;0)+(COUNTIF(S1208:U1225,$B1237)+COUNTIF(S1208:U1225,$B1237&amp;" ~*")&gt;0)+(COUNTIF(W1208:W1225,$B1237)+COUNTIF(W1208:W1225,$B1237&amp;" ~*")&gt;0)+(COUNTIF(Y1208:Y1225,$B1237)+COUNTIF(Y1208:Y1225,$B1237&amp;" ~*")&gt;0))</f>
        <v/>
      </c>
      <c r="AC1237" s="36">
        <f>IF($B1237="","",(IFERROR(INDEX(Setup!$G$33:$G$40,MATCH(C1237,Setup!$B$33:$B$40,0)),0)=1)*(COUNTIF(C1208:E1225,$B1237)+COUNTIF(C1208:E1225,$B1237&amp;" ~*")&gt;0)+(IFERROR(INDEX(Setup!$G$33:$G$40,MATCH(G1237,Setup!$B$33:$B$40,0)),0)=1)*(COUNTIF(G1208:I1225,$B1237)+COUNTIF(G1208:I1225,$B1237&amp;" ~*")&gt;0)+(IFERROR(INDEX(Setup!$G$33:$G$40,MATCH(K1237,Setup!$B$33:$B$40,0)),0)=1)*(COUNTIF(K1208:M1225,$B1237)+COUNTIF(K1208:M1225,$B1237&amp;" ~*")&gt;0)+(IFERROR(INDEX(Setup!$G$33:$G$40,MATCH(O1237,Setup!$B$33:$B$40,0)),0)=1)*(COUNTIF(O1208:Q1225,$B1237)+COUNTIF(O1208:Q1225,$B1237&amp;" ~*")&gt;0)+(IFERROR(INDEX(Setup!$G$33:$G$40,MATCH(S1237,Setup!$B$33:$B$40,0)),0)=1)*(COUNTIF(S1208:U1225,$B1237)+COUNTIF(S1208:U1225,$B1237&amp;" ~*")&gt;0)+(IFERROR(INDEX(Setup!$G$33:$G$40,MATCH(W1237,Setup!$B$33:$B$40,0)),0)=1)*(COUNTIF(W1208:W1225,$B1237)+COUNTIF(W1208:W1225,$B1237&amp;" ~*")&gt;0)+(IFERROR(INDEX(Setup!$G$33:$G$40,MATCH(Y1237,Setup!$B$33:$B$40,0)),0)=1)*(COUNTIF(Y1208:Y1225,$B1237)+COUNTIF(Y1208:Y1225,$B1237&amp;" ~*")&gt;0))</f>
        <v/>
      </c>
    </row>
    <row r="1238" ht="15" customHeight="1">
      <c r="A1238" t="n">
        <v>25</v>
      </c>
      <c r="B1238" s="37">
        <f>IF(Setup!$B$17="","",Setup!$B$17)</f>
        <v/>
      </c>
      <c r="C1238" s="102" t="n"/>
      <c r="D1238" s="103" t="n"/>
      <c r="E1238" s="103" t="n"/>
      <c r="F1238" s="104" t="n"/>
      <c r="G1238" s="102" t="n"/>
      <c r="H1238" s="103" t="n"/>
      <c r="I1238" s="103" t="n"/>
      <c r="J1238" s="104" t="n"/>
      <c r="K1238" s="102" t="n"/>
      <c r="L1238" s="103" t="n"/>
      <c r="M1238" s="103" t="n"/>
      <c r="N1238" s="104" t="n"/>
      <c r="O1238" s="102" t="n"/>
      <c r="P1238" s="103" t="n"/>
      <c r="Q1238" s="103" t="n"/>
      <c r="R1238" s="104" t="n"/>
      <c r="S1238" s="102" t="n"/>
      <c r="T1238" s="103" t="n"/>
      <c r="U1238" s="103" t="n"/>
      <c r="V1238" s="104" t="n"/>
      <c r="W1238" s="102" t="n"/>
      <c r="X1238" s="104" t="n"/>
      <c r="Y1238" s="102" t="n"/>
      <c r="Z1238" s="104" t="n"/>
      <c r="AB1238" s="105">
        <f>IF($B1238="","",(COUNTIF(C1208:E1225,$B1238)+COUNTIF(C1208:E1225,$B1238&amp;" ~*")&gt;0)+(COUNTIF(G1208:I1225,$B1238)+COUNTIF(G1208:I1225,$B1238&amp;" ~*")&gt;0)+(COUNTIF(K1208:M1225,$B1238)+COUNTIF(K1208:M1225,$B1238&amp;" ~*")&gt;0)+(COUNTIF(O1208:Q1225,$B1238)+COUNTIF(O1208:Q1225,$B1238&amp;" ~*")&gt;0)+(COUNTIF(S1208:U1225,$B1238)+COUNTIF(S1208:U1225,$B1238&amp;" ~*")&gt;0)+(COUNTIF(W1208:W1225,$B1238)+COUNTIF(W1208:W1225,$B1238&amp;" ~*")&gt;0)+(COUNTIF(Y1208:Y1225,$B1238)+COUNTIF(Y1208:Y1225,$B1238&amp;" ~*")&gt;0))</f>
        <v/>
      </c>
      <c r="AC1238" s="38">
        <f>IF($B1238="","",(IFERROR(INDEX(Setup!$G$33:$G$40,MATCH(C1238,Setup!$B$33:$B$40,0)),0)=1)*(COUNTIF(C1208:E1225,$B1238)+COUNTIF(C1208:E1225,$B1238&amp;" ~*")&gt;0)+(IFERROR(INDEX(Setup!$G$33:$G$40,MATCH(G1238,Setup!$B$33:$B$40,0)),0)=1)*(COUNTIF(G1208:I1225,$B1238)+COUNTIF(G1208:I1225,$B1238&amp;" ~*")&gt;0)+(IFERROR(INDEX(Setup!$G$33:$G$40,MATCH(K1238,Setup!$B$33:$B$40,0)),0)=1)*(COUNTIF(K1208:M1225,$B1238)+COUNTIF(K1208:M1225,$B1238&amp;" ~*")&gt;0)+(IFERROR(INDEX(Setup!$G$33:$G$40,MATCH(O1238,Setup!$B$33:$B$40,0)),0)=1)*(COUNTIF(O1208:Q1225,$B1238)+COUNTIF(O1208:Q1225,$B1238&amp;" ~*")&gt;0)+(IFERROR(INDEX(Setup!$G$33:$G$40,MATCH(S1238,Setup!$B$33:$B$40,0)),0)=1)*(COUNTIF(S1208:U1225,$B1238)+COUNTIF(S1208:U1225,$B1238&amp;" ~*")&gt;0)+(IFERROR(INDEX(Setup!$G$33:$G$40,MATCH(W1238,Setup!$B$33:$B$40,0)),0)=1)*(COUNTIF(W1208:W1225,$B1238)+COUNTIF(W1208:W1225,$B1238&amp;" ~*")&gt;0)+(IFERROR(INDEX(Setup!$G$33:$G$40,MATCH(Y1238,Setup!$B$33:$B$40,0)),0)=1)*(COUNTIF(Y1208:Y1225,$B1238)+COUNTIF(Y1208:Y1225,$B1238&amp;" ~*")&gt;0))</f>
        <v/>
      </c>
    </row>
    <row r="1239" ht="15" customHeight="1">
      <c r="A1239" t="n">
        <v>25</v>
      </c>
      <c r="B1239" s="35">
        <f>IF(Setup!$B$18="","",Setup!$B$18)</f>
        <v/>
      </c>
      <c r="C1239" s="98" t="n"/>
      <c r="D1239" s="99" t="n"/>
      <c r="E1239" s="99" t="n"/>
      <c r="F1239" s="100" t="n"/>
      <c r="G1239" s="98" t="n"/>
      <c r="H1239" s="99" t="n"/>
      <c r="I1239" s="99" t="n"/>
      <c r="J1239" s="100" t="n"/>
      <c r="K1239" s="98" t="n"/>
      <c r="L1239" s="99" t="n"/>
      <c r="M1239" s="99" t="n"/>
      <c r="N1239" s="100" t="n"/>
      <c r="O1239" s="98" t="n"/>
      <c r="P1239" s="99" t="n"/>
      <c r="Q1239" s="99" t="n"/>
      <c r="R1239" s="100" t="n"/>
      <c r="S1239" s="98" t="n"/>
      <c r="T1239" s="99" t="n"/>
      <c r="U1239" s="99" t="n"/>
      <c r="V1239" s="100" t="n"/>
      <c r="W1239" s="98" t="n"/>
      <c r="X1239" s="100" t="n"/>
      <c r="Y1239" s="98" t="n"/>
      <c r="Z1239" s="100" t="n"/>
      <c r="AB1239" s="101">
        <f>IF($B1239="","",(COUNTIF(C1208:E1225,$B1239)+COUNTIF(C1208:E1225,$B1239&amp;" ~*")&gt;0)+(COUNTIF(G1208:I1225,$B1239)+COUNTIF(G1208:I1225,$B1239&amp;" ~*")&gt;0)+(COUNTIF(K1208:M1225,$B1239)+COUNTIF(K1208:M1225,$B1239&amp;" ~*")&gt;0)+(COUNTIF(O1208:Q1225,$B1239)+COUNTIF(O1208:Q1225,$B1239&amp;" ~*")&gt;0)+(COUNTIF(S1208:U1225,$B1239)+COUNTIF(S1208:U1225,$B1239&amp;" ~*")&gt;0)+(COUNTIF(W1208:W1225,$B1239)+COUNTIF(W1208:W1225,$B1239&amp;" ~*")&gt;0)+(COUNTIF(Y1208:Y1225,$B1239)+COUNTIF(Y1208:Y1225,$B1239&amp;" ~*")&gt;0))</f>
        <v/>
      </c>
      <c r="AC1239" s="36">
        <f>IF($B1239="","",(IFERROR(INDEX(Setup!$G$33:$G$40,MATCH(C1239,Setup!$B$33:$B$40,0)),0)=1)*(COUNTIF(C1208:E1225,$B1239)+COUNTIF(C1208:E1225,$B1239&amp;" ~*")&gt;0)+(IFERROR(INDEX(Setup!$G$33:$G$40,MATCH(G1239,Setup!$B$33:$B$40,0)),0)=1)*(COUNTIF(G1208:I1225,$B1239)+COUNTIF(G1208:I1225,$B1239&amp;" ~*")&gt;0)+(IFERROR(INDEX(Setup!$G$33:$G$40,MATCH(K1239,Setup!$B$33:$B$40,0)),0)=1)*(COUNTIF(K1208:M1225,$B1239)+COUNTIF(K1208:M1225,$B1239&amp;" ~*")&gt;0)+(IFERROR(INDEX(Setup!$G$33:$G$40,MATCH(O1239,Setup!$B$33:$B$40,0)),0)=1)*(COUNTIF(O1208:Q1225,$B1239)+COUNTIF(O1208:Q1225,$B1239&amp;" ~*")&gt;0)+(IFERROR(INDEX(Setup!$G$33:$G$40,MATCH(S1239,Setup!$B$33:$B$40,0)),0)=1)*(COUNTIF(S1208:U1225,$B1239)+COUNTIF(S1208:U1225,$B1239&amp;" ~*")&gt;0)+(IFERROR(INDEX(Setup!$G$33:$G$40,MATCH(W1239,Setup!$B$33:$B$40,0)),0)=1)*(COUNTIF(W1208:W1225,$B1239)+COUNTIF(W1208:W1225,$B1239&amp;" ~*")&gt;0)+(IFERROR(INDEX(Setup!$G$33:$G$40,MATCH(Y1239,Setup!$B$33:$B$40,0)),0)=1)*(COUNTIF(Y1208:Y1225,$B1239)+COUNTIF(Y1208:Y1225,$B1239&amp;" ~*")&gt;0))</f>
        <v/>
      </c>
    </row>
    <row r="1240" ht="15" customHeight="1">
      <c r="A1240" t="n">
        <v>25</v>
      </c>
      <c r="B1240" s="37">
        <f>IF(Setup!$B$19="","",Setup!$B$19)</f>
        <v/>
      </c>
      <c r="C1240" s="102" t="n"/>
      <c r="D1240" s="103" t="n"/>
      <c r="E1240" s="103" t="n"/>
      <c r="F1240" s="104" t="n"/>
      <c r="G1240" s="102" t="n"/>
      <c r="H1240" s="103" t="n"/>
      <c r="I1240" s="103" t="n"/>
      <c r="J1240" s="104" t="n"/>
      <c r="K1240" s="102" t="n"/>
      <c r="L1240" s="103" t="n"/>
      <c r="M1240" s="103" t="n"/>
      <c r="N1240" s="104" t="n"/>
      <c r="O1240" s="102" t="n"/>
      <c r="P1240" s="103" t="n"/>
      <c r="Q1240" s="103" t="n"/>
      <c r="R1240" s="104" t="n"/>
      <c r="S1240" s="102" t="n"/>
      <c r="T1240" s="103" t="n"/>
      <c r="U1240" s="103" t="n"/>
      <c r="V1240" s="104" t="n"/>
      <c r="W1240" s="102" t="n"/>
      <c r="X1240" s="104" t="n"/>
      <c r="Y1240" s="102" t="n"/>
      <c r="Z1240" s="104" t="n"/>
      <c r="AB1240" s="105">
        <f>IF($B1240="","",(COUNTIF(C1208:E1225,$B1240)+COUNTIF(C1208:E1225,$B1240&amp;" ~*")&gt;0)+(COUNTIF(G1208:I1225,$B1240)+COUNTIF(G1208:I1225,$B1240&amp;" ~*")&gt;0)+(COUNTIF(K1208:M1225,$B1240)+COUNTIF(K1208:M1225,$B1240&amp;" ~*")&gt;0)+(COUNTIF(O1208:Q1225,$B1240)+COUNTIF(O1208:Q1225,$B1240&amp;" ~*")&gt;0)+(COUNTIF(S1208:U1225,$B1240)+COUNTIF(S1208:U1225,$B1240&amp;" ~*")&gt;0)+(COUNTIF(W1208:W1225,$B1240)+COUNTIF(W1208:W1225,$B1240&amp;" ~*")&gt;0)+(COUNTIF(Y1208:Y1225,$B1240)+COUNTIF(Y1208:Y1225,$B1240&amp;" ~*")&gt;0))</f>
        <v/>
      </c>
      <c r="AC1240" s="38">
        <f>IF($B1240="","",(IFERROR(INDEX(Setup!$G$33:$G$40,MATCH(C1240,Setup!$B$33:$B$40,0)),0)=1)*(COUNTIF(C1208:E1225,$B1240)+COUNTIF(C1208:E1225,$B1240&amp;" ~*")&gt;0)+(IFERROR(INDEX(Setup!$G$33:$G$40,MATCH(G1240,Setup!$B$33:$B$40,0)),0)=1)*(COUNTIF(G1208:I1225,$B1240)+COUNTIF(G1208:I1225,$B1240&amp;" ~*")&gt;0)+(IFERROR(INDEX(Setup!$G$33:$G$40,MATCH(K1240,Setup!$B$33:$B$40,0)),0)=1)*(COUNTIF(K1208:M1225,$B1240)+COUNTIF(K1208:M1225,$B1240&amp;" ~*")&gt;0)+(IFERROR(INDEX(Setup!$G$33:$G$40,MATCH(O1240,Setup!$B$33:$B$40,0)),0)=1)*(COUNTIF(O1208:Q1225,$B1240)+COUNTIF(O1208:Q1225,$B1240&amp;" ~*")&gt;0)+(IFERROR(INDEX(Setup!$G$33:$G$40,MATCH(S1240,Setup!$B$33:$B$40,0)),0)=1)*(COUNTIF(S1208:U1225,$B1240)+COUNTIF(S1208:U1225,$B1240&amp;" ~*")&gt;0)+(IFERROR(INDEX(Setup!$G$33:$G$40,MATCH(W1240,Setup!$B$33:$B$40,0)),0)=1)*(COUNTIF(W1208:W1225,$B1240)+COUNTIF(W1208:W1225,$B1240&amp;" ~*")&gt;0)+(IFERROR(INDEX(Setup!$G$33:$G$40,MATCH(Y1240,Setup!$B$33:$B$40,0)),0)=1)*(COUNTIF(Y1208:Y1225,$B1240)+COUNTIF(Y1208:Y1225,$B1240&amp;" ~*")&gt;0))</f>
        <v/>
      </c>
    </row>
    <row r="1241" ht="15" customHeight="1">
      <c r="A1241" t="n">
        <v>25</v>
      </c>
      <c r="B1241" s="35">
        <f>IF(Setup!$B$20="","",Setup!$B$20)</f>
        <v/>
      </c>
      <c r="C1241" s="98" t="n"/>
      <c r="D1241" s="99" t="n"/>
      <c r="E1241" s="99" t="n"/>
      <c r="F1241" s="100" t="n"/>
      <c r="G1241" s="98" t="n"/>
      <c r="H1241" s="99" t="n"/>
      <c r="I1241" s="99" t="n"/>
      <c r="J1241" s="100" t="n"/>
      <c r="K1241" s="98" t="n"/>
      <c r="L1241" s="99" t="n"/>
      <c r="M1241" s="99" t="n"/>
      <c r="N1241" s="100" t="n"/>
      <c r="O1241" s="98" t="n"/>
      <c r="P1241" s="99" t="n"/>
      <c r="Q1241" s="99" t="n"/>
      <c r="R1241" s="100" t="n"/>
      <c r="S1241" s="98" t="n"/>
      <c r="T1241" s="99" t="n"/>
      <c r="U1241" s="99" t="n"/>
      <c r="V1241" s="100" t="n"/>
      <c r="W1241" s="98" t="n"/>
      <c r="X1241" s="100" t="n"/>
      <c r="Y1241" s="98" t="n"/>
      <c r="Z1241" s="100" t="n"/>
      <c r="AB1241" s="101">
        <f>IF($B1241="","",(COUNTIF(C1208:E1225,$B1241)+COUNTIF(C1208:E1225,$B1241&amp;" ~*")&gt;0)+(COUNTIF(G1208:I1225,$B1241)+COUNTIF(G1208:I1225,$B1241&amp;" ~*")&gt;0)+(COUNTIF(K1208:M1225,$B1241)+COUNTIF(K1208:M1225,$B1241&amp;" ~*")&gt;0)+(COUNTIF(O1208:Q1225,$B1241)+COUNTIF(O1208:Q1225,$B1241&amp;" ~*")&gt;0)+(COUNTIF(S1208:U1225,$B1241)+COUNTIF(S1208:U1225,$B1241&amp;" ~*")&gt;0)+(COUNTIF(W1208:W1225,$B1241)+COUNTIF(W1208:W1225,$B1241&amp;" ~*")&gt;0)+(COUNTIF(Y1208:Y1225,$B1241)+COUNTIF(Y1208:Y1225,$B1241&amp;" ~*")&gt;0))</f>
        <v/>
      </c>
      <c r="AC1241" s="36">
        <f>IF($B1241="","",(IFERROR(INDEX(Setup!$G$33:$G$40,MATCH(C1241,Setup!$B$33:$B$40,0)),0)=1)*(COUNTIF(C1208:E1225,$B1241)+COUNTIF(C1208:E1225,$B1241&amp;" ~*")&gt;0)+(IFERROR(INDEX(Setup!$G$33:$G$40,MATCH(G1241,Setup!$B$33:$B$40,0)),0)=1)*(COUNTIF(G1208:I1225,$B1241)+COUNTIF(G1208:I1225,$B1241&amp;" ~*")&gt;0)+(IFERROR(INDEX(Setup!$G$33:$G$40,MATCH(K1241,Setup!$B$33:$B$40,0)),0)=1)*(COUNTIF(K1208:M1225,$B1241)+COUNTIF(K1208:M1225,$B1241&amp;" ~*")&gt;0)+(IFERROR(INDEX(Setup!$G$33:$G$40,MATCH(O1241,Setup!$B$33:$B$40,0)),0)=1)*(COUNTIF(O1208:Q1225,$B1241)+COUNTIF(O1208:Q1225,$B1241&amp;" ~*")&gt;0)+(IFERROR(INDEX(Setup!$G$33:$G$40,MATCH(S1241,Setup!$B$33:$B$40,0)),0)=1)*(COUNTIF(S1208:U1225,$B1241)+COUNTIF(S1208:U1225,$B1241&amp;" ~*")&gt;0)+(IFERROR(INDEX(Setup!$G$33:$G$40,MATCH(W1241,Setup!$B$33:$B$40,0)),0)=1)*(COUNTIF(W1208:W1225,$B1241)+COUNTIF(W1208:W1225,$B1241&amp;" ~*")&gt;0)+(IFERROR(INDEX(Setup!$G$33:$G$40,MATCH(Y1241,Setup!$B$33:$B$40,0)),0)=1)*(COUNTIF(Y1208:Y1225,$B1241)+COUNTIF(Y1208:Y1225,$B1241&amp;" ~*")&gt;0))</f>
        <v/>
      </c>
    </row>
    <row r="1242" ht="15" customHeight="1">
      <c r="A1242" t="n">
        <v>25</v>
      </c>
      <c r="B1242" s="37">
        <f>IF(Setup!$B$21="","",Setup!$B$21)</f>
        <v/>
      </c>
      <c r="C1242" s="102" t="n"/>
      <c r="D1242" s="103" t="n"/>
      <c r="E1242" s="103" t="n"/>
      <c r="F1242" s="104" t="n"/>
      <c r="G1242" s="102" t="n"/>
      <c r="H1242" s="103" t="n"/>
      <c r="I1242" s="103" t="n"/>
      <c r="J1242" s="104" t="n"/>
      <c r="K1242" s="102" t="n"/>
      <c r="L1242" s="103" t="n"/>
      <c r="M1242" s="103" t="n"/>
      <c r="N1242" s="104" t="n"/>
      <c r="O1242" s="102" t="n"/>
      <c r="P1242" s="103" t="n"/>
      <c r="Q1242" s="103" t="n"/>
      <c r="R1242" s="104" t="n"/>
      <c r="S1242" s="102" t="n"/>
      <c r="T1242" s="103" t="n"/>
      <c r="U1242" s="103" t="n"/>
      <c r="V1242" s="104" t="n"/>
      <c r="W1242" s="102" t="n"/>
      <c r="X1242" s="104" t="n"/>
      <c r="Y1242" s="102" t="n"/>
      <c r="Z1242" s="104" t="n"/>
      <c r="AB1242" s="105">
        <f>IF($B1242="","",(COUNTIF(C1208:E1225,$B1242)+COUNTIF(C1208:E1225,$B1242&amp;" ~*")&gt;0)+(COUNTIF(G1208:I1225,$B1242)+COUNTIF(G1208:I1225,$B1242&amp;" ~*")&gt;0)+(COUNTIF(K1208:M1225,$B1242)+COUNTIF(K1208:M1225,$B1242&amp;" ~*")&gt;0)+(COUNTIF(O1208:Q1225,$B1242)+COUNTIF(O1208:Q1225,$B1242&amp;" ~*")&gt;0)+(COUNTIF(S1208:U1225,$B1242)+COUNTIF(S1208:U1225,$B1242&amp;" ~*")&gt;0)+(COUNTIF(W1208:W1225,$B1242)+COUNTIF(W1208:W1225,$B1242&amp;" ~*")&gt;0)+(COUNTIF(Y1208:Y1225,$B1242)+COUNTIF(Y1208:Y1225,$B1242&amp;" ~*")&gt;0))</f>
        <v/>
      </c>
      <c r="AC1242" s="38">
        <f>IF($B1242="","",(IFERROR(INDEX(Setup!$G$33:$G$40,MATCH(C1242,Setup!$B$33:$B$40,0)),0)=1)*(COUNTIF(C1208:E1225,$B1242)+COUNTIF(C1208:E1225,$B1242&amp;" ~*")&gt;0)+(IFERROR(INDEX(Setup!$G$33:$G$40,MATCH(G1242,Setup!$B$33:$B$40,0)),0)=1)*(COUNTIF(G1208:I1225,$B1242)+COUNTIF(G1208:I1225,$B1242&amp;" ~*")&gt;0)+(IFERROR(INDEX(Setup!$G$33:$G$40,MATCH(K1242,Setup!$B$33:$B$40,0)),0)=1)*(COUNTIF(K1208:M1225,$B1242)+COUNTIF(K1208:M1225,$B1242&amp;" ~*")&gt;0)+(IFERROR(INDEX(Setup!$G$33:$G$40,MATCH(O1242,Setup!$B$33:$B$40,0)),0)=1)*(COUNTIF(O1208:Q1225,$B1242)+COUNTIF(O1208:Q1225,$B1242&amp;" ~*")&gt;0)+(IFERROR(INDEX(Setup!$G$33:$G$40,MATCH(S1242,Setup!$B$33:$B$40,0)),0)=1)*(COUNTIF(S1208:U1225,$B1242)+COUNTIF(S1208:U1225,$B1242&amp;" ~*")&gt;0)+(IFERROR(INDEX(Setup!$G$33:$G$40,MATCH(W1242,Setup!$B$33:$B$40,0)),0)=1)*(COUNTIF(W1208:W1225,$B1242)+COUNTIF(W1208:W1225,$B1242&amp;" ~*")&gt;0)+(IFERROR(INDEX(Setup!$G$33:$G$40,MATCH(Y1242,Setup!$B$33:$B$40,0)),0)=1)*(COUNTIF(Y1208:Y1225,$B1242)+COUNTIF(Y1208:Y1225,$B1242&amp;" ~*")&gt;0))</f>
        <v/>
      </c>
    </row>
    <row r="1243" ht="15" customHeight="1">
      <c r="A1243" t="n">
        <v>25</v>
      </c>
      <c r="B1243" s="35">
        <f>IF(Setup!$B$22="","",Setup!$B$22)</f>
        <v/>
      </c>
      <c r="C1243" s="98" t="n"/>
      <c r="D1243" s="99" t="n"/>
      <c r="E1243" s="99" t="n"/>
      <c r="F1243" s="100" t="n"/>
      <c r="G1243" s="98" t="n"/>
      <c r="H1243" s="99" t="n"/>
      <c r="I1243" s="99" t="n"/>
      <c r="J1243" s="100" t="n"/>
      <c r="K1243" s="98" t="n"/>
      <c r="L1243" s="99" t="n"/>
      <c r="M1243" s="99" t="n"/>
      <c r="N1243" s="100" t="n"/>
      <c r="O1243" s="98" t="n"/>
      <c r="P1243" s="99" t="n"/>
      <c r="Q1243" s="99" t="n"/>
      <c r="R1243" s="100" t="n"/>
      <c r="S1243" s="98" t="n"/>
      <c r="T1243" s="99" t="n"/>
      <c r="U1243" s="99" t="n"/>
      <c r="V1243" s="100" t="n"/>
      <c r="W1243" s="98" t="n"/>
      <c r="X1243" s="100" t="n"/>
      <c r="Y1243" s="98" t="n"/>
      <c r="Z1243" s="100" t="n"/>
      <c r="AB1243" s="101">
        <f>IF($B1243="","",(COUNTIF(C1208:E1225,$B1243)+COUNTIF(C1208:E1225,$B1243&amp;" ~*")&gt;0)+(COUNTIF(G1208:I1225,$B1243)+COUNTIF(G1208:I1225,$B1243&amp;" ~*")&gt;0)+(COUNTIF(K1208:M1225,$B1243)+COUNTIF(K1208:M1225,$B1243&amp;" ~*")&gt;0)+(COUNTIF(O1208:Q1225,$B1243)+COUNTIF(O1208:Q1225,$B1243&amp;" ~*")&gt;0)+(COUNTIF(S1208:U1225,$B1243)+COUNTIF(S1208:U1225,$B1243&amp;" ~*")&gt;0)+(COUNTIF(W1208:W1225,$B1243)+COUNTIF(W1208:W1225,$B1243&amp;" ~*")&gt;0)+(COUNTIF(Y1208:Y1225,$B1243)+COUNTIF(Y1208:Y1225,$B1243&amp;" ~*")&gt;0))</f>
        <v/>
      </c>
      <c r="AC1243" s="36">
        <f>IF($B1243="","",(IFERROR(INDEX(Setup!$G$33:$G$40,MATCH(C1243,Setup!$B$33:$B$40,0)),0)=1)*(COUNTIF(C1208:E1225,$B1243)+COUNTIF(C1208:E1225,$B1243&amp;" ~*")&gt;0)+(IFERROR(INDEX(Setup!$G$33:$G$40,MATCH(G1243,Setup!$B$33:$B$40,0)),0)=1)*(COUNTIF(G1208:I1225,$B1243)+COUNTIF(G1208:I1225,$B1243&amp;" ~*")&gt;0)+(IFERROR(INDEX(Setup!$G$33:$G$40,MATCH(K1243,Setup!$B$33:$B$40,0)),0)=1)*(COUNTIF(K1208:M1225,$B1243)+COUNTIF(K1208:M1225,$B1243&amp;" ~*")&gt;0)+(IFERROR(INDEX(Setup!$G$33:$G$40,MATCH(O1243,Setup!$B$33:$B$40,0)),0)=1)*(COUNTIF(O1208:Q1225,$B1243)+COUNTIF(O1208:Q1225,$B1243&amp;" ~*")&gt;0)+(IFERROR(INDEX(Setup!$G$33:$G$40,MATCH(S1243,Setup!$B$33:$B$40,0)),0)=1)*(COUNTIF(S1208:U1225,$B1243)+COUNTIF(S1208:U1225,$B1243&amp;" ~*")&gt;0)+(IFERROR(INDEX(Setup!$G$33:$G$40,MATCH(W1243,Setup!$B$33:$B$40,0)),0)=1)*(COUNTIF(W1208:W1225,$B1243)+COUNTIF(W1208:W1225,$B1243&amp;" ~*")&gt;0)+(IFERROR(INDEX(Setup!$G$33:$G$40,MATCH(Y1243,Setup!$B$33:$B$40,0)),0)=1)*(COUNTIF(Y1208:Y1225,$B1243)+COUNTIF(Y1208:Y1225,$B1243&amp;" ~*")&gt;0))</f>
        <v/>
      </c>
    </row>
    <row r="1244" ht="15" customHeight="1">
      <c r="A1244" t="n">
        <v>25</v>
      </c>
      <c r="B1244" s="37">
        <f>IF(Setup!$B$23="","",Setup!$B$23)</f>
        <v/>
      </c>
      <c r="C1244" s="102" t="n"/>
      <c r="D1244" s="103" t="n"/>
      <c r="E1244" s="103" t="n"/>
      <c r="F1244" s="104" t="n"/>
      <c r="G1244" s="102" t="n"/>
      <c r="H1244" s="103" t="n"/>
      <c r="I1244" s="103" t="n"/>
      <c r="J1244" s="104" t="n"/>
      <c r="K1244" s="102" t="n"/>
      <c r="L1244" s="103" t="n"/>
      <c r="M1244" s="103" t="n"/>
      <c r="N1244" s="104" t="n"/>
      <c r="O1244" s="102" t="n"/>
      <c r="P1244" s="103" t="n"/>
      <c r="Q1244" s="103" t="n"/>
      <c r="R1244" s="104" t="n"/>
      <c r="S1244" s="102" t="n"/>
      <c r="T1244" s="103" t="n"/>
      <c r="U1244" s="103" t="n"/>
      <c r="V1244" s="104" t="n"/>
      <c r="W1244" s="102" t="n"/>
      <c r="X1244" s="104" t="n"/>
      <c r="Y1244" s="102" t="n"/>
      <c r="Z1244" s="104" t="n"/>
      <c r="AB1244" s="105">
        <f>IF($B1244="","",(COUNTIF(C1208:E1225,$B1244)+COUNTIF(C1208:E1225,$B1244&amp;" ~*")&gt;0)+(COUNTIF(G1208:I1225,$B1244)+COUNTIF(G1208:I1225,$B1244&amp;" ~*")&gt;0)+(COUNTIF(K1208:M1225,$B1244)+COUNTIF(K1208:M1225,$B1244&amp;" ~*")&gt;0)+(COUNTIF(O1208:Q1225,$B1244)+COUNTIF(O1208:Q1225,$B1244&amp;" ~*")&gt;0)+(COUNTIF(S1208:U1225,$B1244)+COUNTIF(S1208:U1225,$B1244&amp;" ~*")&gt;0)+(COUNTIF(W1208:W1225,$B1244)+COUNTIF(W1208:W1225,$B1244&amp;" ~*")&gt;0)+(COUNTIF(Y1208:Y1225,$B1244)+COUNTIF(Y1208:Y1225,$B1244&amp;" ~*")&gt;0))</f>
        <v/>
      </c>
      <c r="AC1244" s="38">
        <f>IF($B1244="","",(IFERROR(INDEX(Setup!$G$33:$G$40,MATCH(C1244,Setup!$B$33:$B$40,0)),0)=1)*(COUNTIF(C1208:E1225,$B1244)+COUNTIF(C1208:E1225,$B1244&amp;" ~*")&gt;0)+(IFERROR(INDEX(Setup!$G$33:$G$40,MATCH(G1244,Setup!$B$33:$B$40,0)),0)=1)*(COUNTIF(G1208:I1225,$B1244)+COUNTIF(G1208:I1225,$B1244&amp;" ~*")&gt;0)+(IFERROR(INDEX(Setup!$G$33:$G$40,MATCH(K1244,Setup!$B$33:$B$40,0)),0)=1)*(COUNTIF(K1208:M1225,$B1244)+COUNTIF(K1208:M1225,$B1244&amp;" ~*")&gt;0)+(IFERROR(INDEX(Setup!$G$33:$G$40,MATCH(O1244,Setup!$B$33:$B$40,0)),0)=1)*(COUNTIF(O1208:Q1225,$B1244)+COUNTIF(O1208:Q1225,$B1244&amp;" ~*")&gt;0)+(IFERROR(INDEX(Setup!$G$33:$G$40,MATCH(S1244,Setup!$B$33:$B$40,0)),0)=1)*(COUNTIF(S1208:U1225,$B1244)+COUNTIF(S1208:U1225,$B1244&amp;" ~*")&gt;0)+(IFERROR(INDEX(Setup!$G$33:$G$40,MATCH(W1244,Setup!$B$33:$B$40,0)),0)=1)*(COUNTIF(W1208:W1225,$B1244)+COUNTIF(W1208:W1225,$B1244&amp;" ~*")&gt;0)+(IFERROR(INDEX(Setup!$G$33:$G$40,MATCH(Y1244,Setup!$B$33:$B$40,0)),0)=1)*(COUNTIF(Y1208:Y1225,$B1244)+COUNTIF(Y1208:Y1225,$B1244&amp;" ~*")&gt;0))</f>
        <v/>
      </c>
    </row>
    <row r="1245" ht="15" customHeight="1">
      <c r="A1245" t="n">
        <v>25</v>
      </c>
      <c r="B1245" s="35">
        <f>IF(Setup!$B$24="","",Setup!$B$24)</f>
        <v/>
      </c>
      <c r="C1245" s="98" t="n"/>
      <c r="D1245" s="99" t="n"/>
      <c r="E1245" s="99" t="n"/>
      <c r="F1245" s="100" t="n"/>
      <c r="G1245" s="98" t="n"/>
      <c r="H1245" s="99" t="n"/>
      <c r="I1245" s="99" t="n"/>
      <c r="J1245" s="100" t="n"/>
      <c r="K1245" s="98" t="n"/>
      <c r="L1245" s="99" t="n"/>
      <c r="M1245" s="99" t="n"/>
      <c r="N1245" s="100" t="n"/>
      <c r="O1245" s="98" t="n"/>
      <c r="P1245" s="99" t="n"/>
      <c r="Q1245" s="99" t="n"/>
      <c r="R1245" s="100" t="n"/>
      <c r="S1245" s="98" t="n"/>
      <c r="T1245" s="99" t="n"/>
      <c r="U1245" s="99" t="n"/>
      <c r="V1245" s="100" t="n"/>
      <c r="W1245" s="98" t="n"/>
      <c r="X1245" s="100" t="n"/>
      <c r="Y1245" s="98" t="n"/>
      <c r="Z1245" s="100" t="n"/>
      <c r="AB1245" s="101">
        <f>IF($B1245="","",(COUNTIF(C1208:E1225,$B1245)+COUNTIF(C1208:E1225,$B1245&amp;" ~*")&gt;0)+(COUNTIF(G1208:I1225,$B1245)+COUNTIF(G1208:I1225,$B1245&amp;" ~*")&gt;0)+(COUNTIF(K1208:M1225,$B1245)+COUNTIF(K1208:M1225,$B1245&amp;" ~*")&gt;0)+(COUNTIF(O1208:Q1225,$B1245)+COUNTIF(O1208:Q1225,$B1245&amp;" ~*")&gt;0)+(COUNTIF(S1208:U1225,$B1245)+COUNTIF(S1208:U1225,$B1245&amp;" ~*")&gt;0)+(COUNTIF(W1208:W1225,$B1245)+COUNTIF(W1208:W1225,$B1245&amp;" ~*")&gt;0)+(COUNTIF(Y1208:Y1225,$B1245)+COUNTIF(Y1208:Y1225,$B1245&amp;" ~*")&gt;0))</f>
        <v/>
      </c>
      <c r="AC1245" s="36">
        <f>IF($B1245="","",(IFERROR(INDEX(Setup!$G$33:$G$40,MATCH(C1245,Setup!$B$33:$B$40,0)),0)=1)*(COUNTIF(C1208:E1225,$B1245)+COUNTIF(C1208:E1225,$B1245&amp;" ~*")&gt;0)+(IFERROR(INDEX(Setup!$G$33:$G$40,MATCH(G1245,Setup!$B$33:$B$40,0)),0)=1)*(COUNTIF(G1208:I1225,$B1245)+COUNTIF(G1208:I1225,$B1245&amp;" ~*")&gt;0)+(IFERROR(INDEX(Setup!$G$33:$G$40,MATCH(K1245,Setup!$B$33:$B$40,0)),0)=1)*(COUNTIF(K1208:M1225,$B1245)+COUNTIF(K1208:M1225,$B1245&amp;" ~*")&gt;0)+(IFERROR(INDEX(Setup!$G$33:$G$40,MATCH(O1245,Setup!$B$33:$B$40,0)),0)=1)*(COUNTIF(O1208:Q1225,$B1245)+COUNTIF(O1208:Q1225,$B1245&amp;" ~*")&gt;0)+(IFERROR(INDEX(Setup!$G$33:$G$40,MATCH(S1245,Setup!$B$33:$B$40,0)),0)=1)*(COUNTIF(S1208:U1225,$B1245)+COUNTIF(S1208:U1225,$B1245&amp;" ~*")&gt;0)+(IFERROR(INDEX(Setup!$G$33:$G$40,MATCH(W1245,Setup!$B$33:$B$40,0)),0)=1)*(COUNTIF(W1208:W1225,$B1245)+COUNTIF(W1208:W1225,$B1245&amp;" ~*")&gt;0)+(IFERROR(INDEX(Setup!$G$33:$G$40,MATCH(Y1245,Setup!$B$33:$B$40,0)),0)=1)*(COUNTIF(Y1208:Y1225,$B1245)+COUNTIF(Y1208:Y1225,$B1245&amp;" ~*")&gt;0))</f>
        <v/>
      </c>
    </row>
    <row r="1246" ht="15" customHeight="1">
      <c r="A1246" t="n">
        <v>25</v>
      </c>
      <c r="B1246" s="37">
        <f>IF(Setup!$B$25="","",Setup!$B$25)</f>
        <v/>
      </c>
      <c r="C1246" s="102" t="n"/>
      <c r="D1246" s="103" t="n"/>
      <c r="E1246" s="103" t="n"/>
      <c r="F1246" s="104" t="n"/>
      <c r="G1246" s="102" t="n"/>
      <c r="H1246" s="103" t="n"/>
      <c r="I1246" s="103" t="n"/>
      <c r="J1246" s="104" t="n"/>
      <c r="K1246" s="102" t="n"/>
      <c r="L1246" s="103" t="n"/>
      <c r="M1246" s="103" t="n"/>
      <c r="N1246" s="104" t="n"/>
      <c r="O1246" s="102" t="n"/>
      <c r="P1246" s="103" t="n"/>
      <c r="Q1246" s="103" t="n"/>
      <c r="R1246" s="104" t="n"/>
      <c r="S1246" s="102" t="n"/>
      <c r="T1246" s="103" t="n"/>
      <c r="U1246" s="103" t="n"/>
      <c r="V1246" s="104" t="n"/>
      <c r="W1246" s="102" t="n"/>
      <c r="X1246" s="104" t="n"/>
      <c r="Y1246" s="102" t="n"/>
      <c r="Z1246" s="104" t="n"/>
      <c r="AB1246" s="105">
        <f>IF($B1246="","",(COUNTIF(C1208:E1225,$B1246)+COUNTIF(C1208:E1225,$B1246&amp;" ~*")&gt;0)+(COUNTIF(G1208:I1225,$B1246)+COUNTIF(G1208:I1225,$B1246&amp;" ~*")&gt;0)+(COUNTIF(K1208:M1225,$B1246)+COUNTIF(K1208:M1225,$B1246&amp;" ~*")&gt;0)+(COUNTIF(O1208:Q1225,$B1246)+COUNTIF(O1208:Q1225,$B1246&amp;" ~*")&gt;0)+(COUNTIF(S1208:U1225,$B1246)+COUNTIF(S1208:U1225,$B1246&amp;" ~*")&gt;0)+(COUNTIF(W1208:W1225,$B1246)+COUNTIF(W1208:W1225,$B1246&amp;" ~*")&gt;0)+(COUNTIF(Y1208:Y1225,$B1246)+COUNTIF(Y1208:Y1225,$B1246&amp;" ~*")&gt;0))</f>
        <v/>
      </c>
      <c r="AC1246" s="38">
        <f>IF($B1246="","",(IFERROR(INDEX(Setup!$G$33:$G$40,MATCH(C1246,Setup!$B$33:$B$40,0)),0)=1)*(COUNTIF(C1208:E1225,$B1246)+COUNTIF(C1208:E1225,$B1246&amp;" ~*")&gt;0)+(IFERROR(INDEX(Setup!$G$33:$G$40,MATCH(G1246,Setup!$B$33:$B$40,0)),0)=1)*(COUNTIF(G1208:I1225,$B1246)+COUNTIF(G1208:I1225,$B1246&amp;" ~*")&gt;0)+(IFERROR(INDEX(Setup!$G$33:$G$40,MATCH(K1246,Setup!$B$33:$B$40,0)),0)=1)*(COUNTIF(K1208:M1225,$B1246)+COUNTIF(K1208:M1225,$B1246&amp;" ~*")&gt;0)+(IFERROR(INDEX(Setup!$G$33:$G$40,MATCH(O1246,Setup!$B$33:$B$40,0)),0)=1)*(COUNTIF(O1208:Q1225,$B1246)+COUNTIF(O1208:Q1225,$B1246&amp;" ~*")&gt;0)+(IFERROR(INDEX(Setup!$G$33:$G$40,MATCH(S1246,Setup!$B$33:$B$40,0)),0)=1)*(COUNTIF(S1208:U1225,$B1246)+COUNTIF(S1208:U1225,$B1246&amp;" ~*")&gt;0)+(IFERROR(INDEX(Setup!$G$33:$G$40,MATCH(W1246,Setup!$B$33:$B$40,0)),0)=1)*(COUNTIF(W1208:W1225,$B1246)+COUNTIF(W1208:W1225,$B1246&amp;" ~*")&gt;0)+(IFERROR(INDEX(Setup!$G$33:$G$40,MATCH(Y1246,Setup!$B$33:$B$40,0)),0)=1)*(COUNTIF(Y1208:Y1225,$B1246)+COUNTIF(Y1208:Y1225,$B1246&amp;" ~*")&gt;0))</f>
        <v/>
      </c>
    </row>
    <row r="1247" ht="15" customHeight="1">
      <c r="A1247" t="n">
        <v>25</v>
      </c>
      <c r="B1247" s="35">
        <f>IF(Setup!$B$26="","",Setup!$B$26)</f>
        <v/>
      </c>
      <c r="C1247" s="98" t="n"/>
      <c r="D1247" s="99" t="n"/>
      <c r="E1247" s="99" t="n"/>
      <c r="F1247" s="100" t="n"/>
      <c r="G1247" s="98" t="n"/>
      <c r="H1247" s="99" t="n"/>
      <c r="I1247" s="99" t="n"/>
      <c r="J1247" s="100" t="n"/>
      <c r="K1247" s="98" t="n"/>
      <c r="L1247" s="99" t="n"/>
      <c r="M1247" s="99" t="n"/>
      <c r="N1247" s="100" t="n"/>
      <c r="O1247" s="98" t="n"/>
      <c r="P1247" s="99" t="n"/>
      <c r="Q1247" s="99" t="n"/>
      <c r="R1247" s="100" t="n"/>
      <c r="S1247" s="98" t="n"/>
      <c r="T1247" s="99" t="n"/>
      <c r="U1247" s="99" t="n"/>
      <c r="V1247" s="100" t="n"/>
      <c r="W1247" s="98" t="n"/>
      <c r="X1247" s="100" t="n"/>
      <c r="Y1247" s="98" t="n"/>
      <c r="Z1247" s="100" t="n"/>
      <c r="AB1247" s="101">
        <f>IF($B1247="","",(COUNTIF(C1208:E1225,$B1247)+COUNTIF(C1208:E1225,$B1247&amp;" ~*")&gt;0)+(COUNTIF(G1208:I1225,$B1247)+COUNTIF(G1208:I1225,$B1247&amp;" ~*")&gt;0)+(COUNTIF(K1208:M1225,$B1247)+COUNTIF(K1208:M1225,$B1247&amp;" ~*")&gt;0)+(COUNTIF(O1208:Q1225,$B1247)+COUNTIF(O1208:Q1225,$B1247&amp;" ~*")&gt;0)+(COUNTIF(S1208:U1225,$B1247)+COUNTIF(S1208:U1225,$B1247&amp;" ~*")&gt;0)+(COUNTIF(W1208:W1225,$B1247)+COUNTIF(W1208:W1225,$B1247&amp;" ~*")&gt;0)+(COUNTIF(Y1208:Y1225,$B1247)+COUNTIF(Y1208:Y1225,$B1247&amp;" ~*")&gt;0))</f>
        <v/>
      </c>
      <c r="AC1247" s="36">
        <f>IF($B1247="","",(IFERROR(INDEX(Setup!$G$33:$G$40,MATCH(C1247,Setup!$B$33:$B$40,0)),0)=1)*(COUNTIF(C1208:E1225,$B1247)+COUNTIF(C1208:E1225,$B1247&amp;" ~*")&gt;0)+(IFERROR(INDEX(Setup!$G$33:$G$40,MATCH(G1247,Setup!$B$33:$B$40,0)),0)=1)*(COUNTIF(G1208:I1225,$B1247)+COUNTIF(G1208:I1225,$B1247&amp;" ~*")&gt;0)+(IFERROR(INDEX(Setup!$G$33:$G$40,MATCH(K1247,Setup!$B$33:$B$40,0)),0)=1)*(COUNTIF(K1208:M1225,$B1247)+COUNTIF(K1208:M1225,$B1247&amp;" ~*")&gt;0)+(IFERROR(INDEX(Setup!$G$33:$G$40,MATCH(O1247,Setup!$B$33:$B$40,0)),0)=1)*(COUNTIF(O1208:Q1225,$B1247)+COUNTIF(O1208:Q1225,$B1247&amp;" ~*")&gt;0)+(IFERROR(INDEX(Setup!$G$33:$G$40,MATCH(S1247,Setup!$B$33:$B$40,0)),0)=1)*(COUNTIF(S1208:U1225,$B1247)+COUNTIF(S1208:U1225,$B1247&amp;" ~*")&gt;0)+(IFERROR(INDEX(Setup!$G$33:$G$40,MATCH(W1247,Setup!$B$33:$B$40,0)),0)=1)*(COUNTIF(W1208:W1225,$B1247)+COUNTIF(W1208:W1225,$B1247&amp;" ~*")&gt;0)+(IFERROR(INDEX(Setup!$G$33:$G$40,MATCH(Y1247,Setup!$B$33:$B$40,0)),0)=1)*(COUNTIF(Y1208:Y1225,$B1247)+COUNTIF(Y1208:Y1225,$B1247&amp;" ~*")&gt;0))</f>
        <v/>
      </c>
    </row>
    <row r="1248" ht="15" customHeight="1">
      <c r="A1248" t="n">
        <v>25</v>
      </c>
      <c r="B1248" s="37">
        <f>IF(Setup!$B$27="","",Setup!$B$27)</f>
        <v/>
      </c>
      <c r="C1248" s="102" t="n"/>
      <c r="D1248" s="103" t="n"/>
      <c r="E1248" s="103" t="n"/>
      <c r="F1248" s="104" t="n"/>
      <c r="G1248" s="102" t="n"/>
      <c r="H1248" s="103" t="n"/>
      <c r="I1248" s="103" t="n"/>
      <c r="J1248" s="104" t="n"/>
      <c r="K1248" s="102" t="n"/>
      <c r="L1248" s="103" t="n"/>
      <c r="M1248" s="103" t="n"/>
      <c r="N1248" s="104" t="n"/>
      <c r="O1248" s="102" t="n"/>
      <c r="P1248" s="103" t="n"/>
      <c r="Q1248" s="103" t="n"/>
      <c r="R1248" s="104" t="n"/>
      <c r="S1248" s="102" t="n"/>
      <c r="T1248" s="103" t="n"/>
      <c r="U1248" s="103" t="n"/>
      <c r="V1248" s="104" t="n"/>
      <c r="W1248" s="102" t="n"/>
      <c r="X1248" s="104" t="n"/>
      <c r="Y1248" s="102" t="n"/>
      <c r="Z1248" s="104" t="n"/>
      <c r="AB1248" s="105">
        <f>IF($B1248="","",(COUNTIF(C1208:E1225,$B1248)+COUNTIF(C1208:E1225,$B1248&amp;" ~*")&gt;0)+(COUNTIF(G1208:I1225,$B1248)+COUNTIF(G1208:I1225,$B1248&amp;" ~*")&gt;0)+(COUNTIF(K1208:M1225,$B1248)+COUNTIF(K1208:M1225,$B1248&amp;" ~*")&gt;0)+(COUNTIF(O1208:Q1225,$B1248)+COUNTIF(O1208:Q1225,$B1248&amp;" ~*")&gt;0)+(COUNTIF(S1208:U1225,$B1248)+COUNTIF(S1208:U1225,$B1248&amp;" ~*")&gt;0)+(COUNTIF(W1208:W1225,$B1248)+COUNTIF(W1208:W1225,$B1248&amp;" ~*")&gt;0)+(COUNTIF(Y1208:Y1225,$B1248)+COUNTIF(Y1208:Y1225,$B1248&amp;" ~*")&gt;0))</f>
        <v/>
      </c>
      <c r="AC1248" s="38">
        <f>IF($B1248="","",(IFERROR(INDEX(Setup!$G$33:$G$40,MATCH(C1248,Setup!$B$33:$B$40,0)),0)=1)*(COUNTIF(C1208:E1225,$B1248)+COUNTIF(C1208:E1225,$B1248&amp;" ~*")&gt;0)+(IFERROR(INDEX(Setup!$G$33:$G$40,MATCH(G1248,Setup!$B$33:$B$40,0)),0)=1)*(COUNTIF(G1208:I1225,$B1248)+COUNTIF(G1208:I1225,$B1248&amp;" ~*")&gt;0)+(IFERROR(INDEX(Setup!$G$33:$G$40,MATCH(K1248,Setup!$B$33:$B$40,0)),0)=1)*(COUNTIF(K1208:M1225,$B1248)+COUNTIF(K1208:M1225,$B1248&amp;" ~*")&gt;0)+(IFERROR(INDEX(Setup!$G$33:$G$40,MATCH(O1248,Setup!$B$33:$B$40,0)),0)=1)*(COUNTIF(O1208:Q1225,$B1248)+COUNTIF(O1208:Q1225,$B1248&amp;" ~*")&gt;0)+(IFERROR(INDEX(Setup!$G$33:$G$40,MATCH(S1248,Setup!$B$33:$B$40,0)),0)=1)*(COUNTIF(S1208:U1225,$B1248)+COUNTIF(S1208:U1225,$B1248&amp;" ~*")&gt;0)+(IFERROR(INDEX(Setup!$G$33:$G$40,MATCH(W1248,Setup!$B$33:$B$40,0)),0)=1)*(COUNTIF(W1208:W1225,$B1248)+COUNTIF(W1208:W1225,$B1248&amp;" ~*")&gt;0)+(IFERROR(INDEX(Setup!$G$33:$G$40,MATCH(Y1248,Setup!$B$33:$B$40,0)),0)=1)*(COUNTIF(Y1208:Y1225,$B1248)+COUNTIF(Y1208:Y1225,$B1248&amp;" ~*")&gt;0))</f>
        <v/>
      </c>
    </row>
    <row r="1249" ht="15" customHeight="1">
      <c r="A1249" t="n">
        <v>25</v>
      </c>
      <c r="B1249" s="35">
        <f>IF(Setup!$B$28="","",Setup!$B$28)</f>
        <v/>
      </c>
      <c r="C1249" s="98" t="n"/>
      <c r="D1249" s="99" t="n"/>
      <c r="E1249" s="99" t="n"/>
      <c r="F1249" s="100" t="n"/>
      <c r="G1249" s="98" t="n"/>
      <c r="H1249" s="99" t="n"/>
      <c r="I1249" s="99" t="n"/>
      <c r="J1249" s="100" t="n"/>
      <c r="K1249" s="98" t="n"/>
      <c r="L1249" s="99" t="n"/>
      <c r="M1249" s="99" t="n"/>
      <c r="N1249" s="100" t="n"/>
      <c r="O1249" s="98" t="n"/>
      <c r="P1249" s="99" t="n"/>
      <c r="Q1249" s="99" t="n"/>
      <c r="R1249" s="100" t="n"/>
      <c r="S1249" s="98" t="n"/>
      <c r="T1249" s="99" t="n"/>
      <c r="U1249" s="99" t="n"/>
      <c r="V1249" s="100" t="n"/>
      <c r="W1249" s="98" t="n"/>
      <c r="X1249" s="100" t="n"/>
      <c r="Y1249" s="98" t="n"/>
      <c r="Z1249" s="100" t="n"/>
      <c r="AB1249" s="101">
        <f>IF($B1249="","",(COUNTIF(C1208:E1225,$B1249)+COUNTIF(C1208:E1225,$B1249&amp;" ~*")&gt;0)+(COUNTIF(G1208:I1225,$B1249)+COUNTIF(G1208:I1225,$B1249&amp;" ~*")&gt;0)+(COUNTIF(K1208:M1225,$B1249)+COUNTIF(K1208:M1225,$B1249&amp;" ~*")&gt;0)+(COUNTIF(O1208:Q1225,$B1249)+COUNTIF(O1208:Q1225,$B1249&amp;" ~*")&gt;0)+(COUNTIF(S1208:U1225,$B1249)+COUNTIF(S1208:U1225,$B1249&amp;" ~*")&gt;0)+(COUNTIF(W1208:W1225,$B1249)+COUNTIF(W1208:W1225,$B1249&amp;" ~*")&gt;0)+(COUNTIF(Y1208:Y1225,$B1249)+COUNTIF(Y1208:Y1225,$B1249&amp;" ~*")&gt;0))</f>
        <v/>
      </c>
      <c r="AC1249" s="36">
        <f>IF($B1249="","",(IFERROR(INDEX(Setup!$G$33:$G$40,MATCH(C1249,Setup!$B$33:$B$40,0)),0)=1)*(COUNTIF(C1208:E1225,$B1249)+COUNTIF(C1208:E1225,$B1249&amp;" ~*")&gt;0)+(IFERROR(INDEX(Setup!$G$33:$G$40,MATCH(G1249,Setup!$B$33:$B$40,0)),0)=1)*(COUNTIF(G1208:I1225,$B1249)+COUNTIF(G1208:I1225,$B1249&amp;" ~*")&gt;0)+(IFERROR(INDEX(Setup!$G$33:$G$40,MATCH(K1249,Setup!$B$33:$B$40,0)),0)=1)*(COUNTIF(K1208:M1225,$B1249)+COUNTIF(K1208:M1225,$B1249&amp;" ~*")&gt;0)+(IFERROR(INDEX(Setup!$G$33:$G$40,MATCH(O1249,Setup!$B$33:$B$40,0)),0)=1)*(COUNTIF(O1208:Q1225,$B1249)+COUNTIF(O1208:Q1225,$B1249&amp;" ~*")&gt;0)+(IFERROR(INDEX(Setup!$G$33:$G$40,MATCH(S1249,Setup!$B$33:$B$40,0)),0)=1)*(COUNTIF(S1208:U1225,$B1249)+COUNTIF(S1208:U1225,$B1249&amp;" ~*")&gt;0)+(IFERROR(INDEX(Setup!$G$33:$G$40,MATCH(W1249,Setup!$B$33:$B$40,0)),0)=1)*(COUNTIF(W1208:W1225,$B1249)+COUNTIF(W1208:W1225,$B1249&amp;" ~*")&gt;0)+(IFERROR(INDEX(Setup!$G$33:$G$40,MATCH(Y1249,Setup!$B$33:$B$40,0)),0)=1)*(COUNTIF(Y1208:Y1225,$B1249)+COUNTIF(Y1208:Y1225,$B1249&amp;" ~*")&gt;0))</f>
        <v/>
      </c>
    </row>
    <row r="1250" ht="15" customHeight="1">
      <c r="A1250" t="n">
        <v>25</v>
      </c>
      <c r="B1250" s="37">
        <f>IF(Setup!$B$29="","",Setup!$B$29)</f>
        <v/>
      </c>
      <c r="C1250" s="102" t="n"/>
      <c r="D1250" s="103" t="n"/>
      <c r="E1250" s="103" t="n"/>
      <c r="F1250" s="104" t="n"/>
      <c r="G1250" s="102" t="n"/>
      <c r="H1250" s="103" t="n"/>
      <c r="I1250" s="103" t="n"/>
      <c r="J1250" s="104" t="n"/>
      <c r="K1250" s="102" t="n"/>
      <c r="L1250" s="103" t="n"/>
      <c r="M1250" s="103" t="n"/>
      <c r="N1250" s="104" t="n"/>
      <c r="O1250" s="102" t="n"/>
      <c r="P1250" s="103" t="n"/>
      <c r="Q1250" s="103" t="n"/>
      <c r="R1250" s="104" t="n"/>
      <c r="S1250" s="102" t="n"/>
      <c r="T1250" s="103" t="n"/>
      <c r="U1250" s="103" t="n"/>
      <c r="V1250" s="104" t="n"/>
      <c r="W1250" s="102" t="n"/>
      <c r="X1250" s="104" t="n"/>
      <c r="Y1250" s="102" t="n"/>
      <c r="Z1250" s="104" t="n"/>
      <c r="AB1250" s="105">
        <f>IF($B1250="","",(COUNTIF(C1208:E1225,$B1250)+COUNTIF(C1208:E1225,$B1250&amp;" ~*")&gt;0)+(COUNTIF(G1208:I1225,$B1250)+COUNTIF(G1208:I1225,$B1250&amp;" ~*")&gt;0)+(COUNTIF(K1208:M1225,$B1250)+COUNTIF(K1208:M1225,$B1250&amp;" ~*")&gt;0)+(COUNTIF(O1208:Q1225,$B1250)+COUNTIF(O1208:Q1225,$B1250&amp;" ~*")&gt;0)+(COUNTIF(S1208:U1225,$B1250)+COUNTIF(S1208:U1225,$B1250&amp;" ~*")&gt;0)+(COUNTIF(W1208:W1225,$B1250)+COUNTIF(W1208:W1225,$B1250&amp;" ~*")&gt;0)+(COUNTIF(Y1208:Y1225,$B1250)+COUNTIF(Y1208:Y1225,$B1250&amp;" ~*")&gt;0))</f>
        <v/>
      </c>
      <c r="AC1250" s="38">
        <f>IF($B1250="","",(IFERROR(INDEX(Setup!$G$33:$G$40,MATCH(C1250,Setup!$B$33:$B$40,0)),0)=1)*(COUNTIF(C1208:E1225,$B1250)+COUNTIF(C1208:E1225,$B1250&amp;" ~*")&gt;0)+(IFERROR(INDEX(Setup!$G$33:$G$40,MATCH(G1250,Setup!$B$33:$B$40,0)),0)=1)*(COUNTIF(G1208:I1225,$B1250)+COUNTIF(G1208:I1225,$B1250&amp;" ~*")&gt;0)+(IFERROR(INDEX(Setup!$G$33:$G$40,MATCH(K1250,Setup!$B$33:$B$40,0)),0)=1)*(COUNTIF(K1208:M1225,$B1250)+COUNTIF(K1208:M1225,$B1250&amp;" ~*")&gt;0)+(IFERROR(INDEX(Setup!$G$33:$G$40,MATCH(O1250,Setup!$B$33:$B$40,0)),0)=1)*(COUNTIF(O1208:Q1225,$B1250)+COUNTIF(O1208:Q1225,$B1250&amp;" ~*")&gt;0)+(IFERROR(INDEX(Setup!$G$33:$G$40,MATCH(S1250,Setup!$B$33:$B$40,0)),0)=1)*(COUNTIF(S1208:U1225,$B1250)+COUNTIF(S1208:U1225,$B1250&amp;" ~*")&gt;0)+(IFERROR(INDEX(Setup!$G$33:$G$40,MATCH(W1250,Setup!$B$33:$B$40,0)),0)=1)*(COUNTIF(W1208:W1225,$B1250)+COUNTIF(W1208:W1225,$B1250&amp;" ~*")&gt;0)+(IFERROR(INDEX(Setup!$G$33:$G$40,MATCH(Y1250,Setup!$B$33:$B$40,0)),0)=1)*(COUNTIF(Y1208:Y1225,$B1250)+COUNTIF(Y1208:Y1225,$B1250&amp;" ~*")&gt;0))</f>
        <v/>
      </c>
    </row>
    <row r="1251" ht="16" customHeight="1">
      <c r="A1251" t="n">
        <v>25</v>
      </c>
      <c r="B1251" s="106" t="inlineStr">
        <is>
          <t>Available people</t>
        </is>
      </c>
      <c r="C1251" s="107">
        <f>COUNTIFS(Setup!$E$6:$E$29,"Y",Setup!$B$6:$B$29,"?*")-SUMPRODUCT(COUNTIF(C1227:C1250,Setup!$F$33:$F$40))</f>
        <v/>
      </c>
      <c r="D1251" s="107" t="n"/>
      <c r="E1251" s="107" t="n"/>
      <c r="F1251" s="107" t="n"/>
      <c r="G1251" s="107">
        <f>COUNTIFS(Setup!$E$6:$E$29,"Y",Setup!$B$6:$B$29,"?*")-SUMPRODUCT(COUNTIF(G1227:G1250,Setup!$F$33:$F$40))</f>
        <v/>
      </c>
      <c r="H1251" s="107" t="n"/>
      <c r="I1251" s="107" t="n"/>
      <c r="J1251" s="107" t="n"/>
      <c r="K1251" s="107">
        <f>COUNTIFS(Setup!$E$6:$E$29,"Y",Setup!$B$6:$B$29,"?*")-SUMPRODUCT(COUNTIF(K1227:K1250,Setup!$F$33:$F$40))</f>
        <v/>
      </c>
      <c r="L1251" s="107" t="n"/>
      <c r="M1251" s="107" t="n"/>
      <c r="N1251" s="107" t="n"/>
      <c r="O1251" s="107">
        <f>COUNTIFS(Setup!$E$6:$E$29,"Y",Setup!$B$6:$B$29,"?*")-SUMPRODUCT(COUNTIF(O1227:O1250,Setup!$F$33:$F$40))</f>
        <v/>
      </c>
      <c r="P1251" s="107" t="n"/>
      <c r="Q1251" s="107" t="n"/>
      <c r="R1251" s="107" t="n"/>
      <c r="S1251" s="107">
        <f>COUNTIFS(Setup!$E$6:$E$29,"Y",Setup!$B$6:$B$29,"?*")-SUMPRODUCT(COUNTIF(S1227:S1250,Setup!$F$33:$F$40))</f>
        <v/>
      </c>
      <c r="T1251" s="107" t="n"/>
      <c r="U1251" s="107" t="n"/>
      <c r="V1251" s="107" t="n"/>
      <c r="W1251" s="107">
        <f>COUNTIFS(Setup!$E$6:$E$29,"Y",Setup!$B$6:$B$29,"?*")-SUMPRODUCT(COUNTIF(W1227:W1250,Setup!$F$33:$F$40))</f>
        <v/>
      </c>
      <c r="X1251" s="107" t="n"/>
      <c r="Y1251" s="107">
        <f>COUNTIFS(Setup!$E$6:$E$29,"Y",Setup!$B$6:$B$29,"?*")-SUMPRODUCT(COUNTIF(Y1227:Y1250,Setup!$F$33:$F$40))</f>
        <v/>
      </c>
      <c r="Z1251" s="107" t="n"/>
      <c r="AB1251" s="108">
        <f>SUM(AB1227:AB1250)</f>
        <v/>
      </c>
      <c r="AC1251" s="109">
        <f>SUM(AC1227:AC1250)</f>
        <v/>
      </c>
    </row>
    <row r="1252" ht="30" customHeight="1">
      <c r="A1252" t="n">
        <v>25</v>
      </c>
      <c r="B1252" s="110" t="inlineStr">
        <is>
          <t>Week notes</t>
        </is>
      </c>
      <c r="C1252" s="111" t="n"/>
      <c r="D1252" s="112" t="n"/>
      <c r="E1252" s="112" t="n"/>
      <c r="F1252" s="112" t="n"/>
      <c r="G1252" s="112" t="n"/>
      <c r="H1252" s="112" t="n"/>
      <c r="I1252" s="112" t="n"/>
      <c r="J1252" s="112" t="n"/>
      <c r="K1252" s="112" t="n"/>
      <c r="L1252" s="112" t="n"/>
      <c r="M1252" s="112" t="n"/>
      <c r="N1252" s="112" t="n"/>
      <c r="O1252" s="112" t="n"/>
      <c r="P1252" s="112" t="n"/>
      <c r="Q1252" s="112" t="n"/>
      <c r="R1252" s="112" t="n"/>
      <c r="S1252" s="112" t="n"/>
      <c r="T1252" s="112" t="n"/>
      <c r="U1252" s="112" t="n"/>
      <c r="V1252" s="112" t="n"/>
      <c r="W1252" s="112" t="n"/>
      <c r="X1252" s="112" t="n"/>
      <c r="Y1252" s="112" t="n"/>
      <c r="Z1252" s="113" t="n"/>
    </row>
    <row r="1253" ht="8" customHeight="1">
      <c r="A1253" t="n">
        <v>25</v>
      </c>
    </row>
    <row r="1254" ht="8" customHeight="1">
      <c r="A1254" t="n">
        <v>25</v>
      </c>
    </row>
    <row r="1255" ht="24" customHeight="1">
      <c r="A1255" t="n">
        <v>26</v>
      </c>
      <c r="B1255" s="73">
        <f>"WEEK 26     "&amp;TEXT(C1256,"ddd d mmm")&amp;"  –  "&amp;TEXT(C1256+6,"ddd d mmm yyyy")</f>
        <v/>
      </c>
      <c r="S1255" s="74">
        <f>IF(TODAY()&lt;C1256,"FUTURE",IF(TODAY()&gt;C1256+6,"PAST","THIS WEEK"))</f>
        <v/>
      </c>
      <c r="W1255" s="75">
        <f>IF(AND(Engine!$B$8=$AC$3,Engine!$B$9=$A1255),"◀ ACTIVE WEEK","")</f>
        <v/>
      </c>
      <c r="AA1255" s="76" t="n"/>
      <c r="AB1255" s="77" t="inlineStr">
        <is>
          <t>◀ Prev</t>
        </is>
      </c>
      <c r="AC1255" s="77" t="inlineStr">
        <is>
          <t>Next ▶</t>
        </is>
      </c>
    </row>
    <row r="1256" ht="18" customHeight="1">
      <c r="A1256" t="n">
        <v>26</v>
      </c>
      <c r="B1256" s="78" t="inlineStr">
        <is>
          <t>DUTY</t>
        </is>
      </c>
      <c r="C1256" s="79">
        <f>$AC$2+7*($A1256-1)</f>
        <v/>
      </c>
      <c r="D1256" s="80" t="n"/>
      <c r="E1256" s="80" t="n"/>
      <c r="F1256" s="81" t="n"/>
      <c r="G1256" s="79">
        <f>C1256+1</f>
        <v/>
      </c>
      <c r="H1256" s="80" t="n"/>
      <c r="I1256" s="80" t="n"/>
      <c r="J1256" s="81" t="n"/>
      <c r="K1256" s="79">
        <f>C1256+2</f>
        <v/>
      </c>
      <c r="L1256" s="80" t="n"/>
      <c r="M1256" s="80" t="n"/>
      <c r="N1256" s="81" t="n"/>
      <c r="O1256" s="79">
        <f>C1256+3</f>
        <v/>
      </c>
      <c r="P1256" s="80" t="n"/>
      <c r="Q1256" s="80" t="n"/>
      <c r="R1256" s="81" t="n"/>
      <c r="S1256" s="79">
        <f>C1256+4</f>
        <v/>
      </c>
      <c r="T1256" s="80" t="n"/>
      <c r="U1256" s="80" t="n"/>
      <c r="V1256" s="81" t="n"/>
      <c r="W1256" s="82">
        <f>C1256+5</f>
        <v/>
      </c>
      <c r="X1256" s="83" t="n"/>
      <c r="Y1256" s="82">
        <f>C1256+6</f>
        <v/>
      </c>
      <c r="Z1256" s="83" t="n"/>
      <c r="AB1256" s="72" t="inlineStr">
        <is>
          <t>Gaps</t>
        </is>
      </c>
      <c r="AC1256" s="72" t="inlineStr">
        <is>
          <t>Cover</t>
        </is>
      </c>
    </row>
    <row r="1257" ht="14" customHeight="1">
      <c r="A1257" t="n">
        <v>26</v>
      </c>
      <c r="B1257" s="84" t="inlineStr">
        <is>
          <t>(from Setup)</t>
        </is>
      </c>
      <c r="C1257" s="85" t="inlineStr">
        <is>
          <t>1</t>
        </is>
      </c>
      <c r="D1257" s="85" t="inlineStr">
        <is>
          <t>2</t>
        </is>
      </c>
      <c r="E1257" s="85" t="inlineStr">
        <is>
          <t>3</t>
        </is>
      </c>
      <c r="F1257" s="85" t="inlineStr">
        <is>
          <t>Notes</t>
        </is>
      </c>
      <c r="G1257" s="85" t="inlineStr">
        <is>
          <t>1</t>
        </is>
      </c>
      <c r="H1257" s="85" t="inlineStr">
        <is>
          <t>2</t>
        </is>
      </c>
      <c r="I1257" s="85" t="inlineStr">
        <is>
          <t>3</t>
        </is>
      </c>
      <c r="J1257" s="85" t="inlineStr">
        <is>
          <t>Notes</t>
        </is>
      </c>
      <c r="K1257" s="85" t="inlineStr">
        <is>
          <t>1</t>
        </is>
      </c>
      <c r="L1257" s="85" t="inlineStr">
        <is>
          <t>2</t>
        </is>
      </c>
      <c r="M1257" s="85" t="inlineStr">
        <is>
          <t>3</t>
        </is>
      </c>
      <c r="N1257" s="85" t="inlineStr">
        <is>
          <t>Notes</t>
        </is>
      </c>
      <c r="O1257" s="85" t="inlineStr">
        <is>
          <t>1</t>
        </is>
      </c>
      <c r="P1257" s="85" t="inlineStr">
        <is>
          <t>2</t>
        </is>
      </c>
      <c r="Q1257" s="85" t="inlineStr">
        <is>
          <t>3</t>
        </is>
      </c>
      <c r="R1257" s="85" t="inlineStr">
        <is>
          <t>Notes</t>
        </is>
      </c>
      <c r="S1257" s="85" t="inlineStr">
        <is>
          <t>1</t>
        </is>
      </c>
      <c r="T1257" s="85" t="inlineStr">
        <is>
          <t>2</t>
        </is>
      </c>
      <c r="U1257" s="85" t="inlineStr">
        <is>
          <t>3</t>
        </is>
      </c>
      <c r="V1257" s="85" t="inlineStr">
        <is>
          <t>Notes</t>
        </is>
      </c>
      <c r="W1257" s="85" t="inlineStr">
        <is>
          <t>Cover</t>
        </is>
      </c>
      <c r="X1257" s="85" t="inlineStr">
        <is>
          <t>Notes</t>
        </is>
      </c>
      <c r="Y1257" s="85" t="inlineStr">
        <is>
          <t>Cover</t>
        </is>
      </c>
      <c r="Z1257" s="85" t="inlineStr">
        <is>
          <t>Notes</t>
        </is>
      </c>
      <c r="AB1257" s="86" t="inlineStr">
        <is>
          <t>weekdays short</t>
        </is>
      </c>
      <c r="AC1257" s="87" t="inlineStr"/>
    </row>
    <row r="1258" ht="17" customHeight="1">
      <c r="A1258" t="n">
        <v>26</v>
      </c>
      <c r="B1258" s="24">
        <f>IF(Setup!$K$6="","",Setup!$K$6)</f>
        <v/>
      </c>
      <c r="C1258" s="88" t="n"/>
      <c r="D1258" s="88" t="n"/>
      <c r="E1258" s="88" t="n"/>
      <c r="F1258" s="89" t="n"/>
      <c r="G1258" s="88" t="n"/>
      <c r="H1258" s="88" t="n"/>
      <c r="I1258" s="88" t="n"/>
      <c r="J1258" s="89" t="n"/>
      <c r="K1258" s="88" t="n"/>
      <c r="L1258" s="88" t="n"/>
      <c r="M1258" s="88" t="n"/>
      <c r="N1258" s="89" t="n"/>
      <c r="O1258" s="88" t="n"/>
      <c r="P1258" s="88" t="n"/>
      <c r="Q1258" s="88" t="n"/>
      <c r="R1258" s="89" t="n"/>
      <c r="S1258" s="88" t="n"/>
      <c r="T1258" s="88" t="n"/>
      <c r="U1258" s="88" t="n"/>
      <c r="V1258" s="89" t="n"/>
      <c r="W1258" s="88" t="n"/>
      <c r="X1258" s="89" t="n"/>
      <c r="Y1258" s="88" t="n"/>
      <c r="Z1258" s="89" t="n"/>
      <c r="AB1258" s="25">
        <f>IF($B1258="","",(COUNTIF(C1258:E1258,"?*")&lt;N(INDEX(Setup!$L$6:$L$23,1)))+(COUNTIF(G1258:I1258,"?*")&lt;N(INDEX(Setup!$L$6:$L$23,1)))+(COUNTIF(K1258:M1258,"?*")&lt;N(INDEX(Setup!$L$6:$L$23,1)))+(COUNTIF(O1258:Q1258,"?*")&lt;N(INDEX(Setup!$L$6:$L$23,1)))+(COUNTIF(S1258:U1258,"?*")&lt;N(INDEX(Setup!$L$6:$L$23,1)))+((W1258="")*(INDEX(Setup!$M$6:$M$23,1)="Y"))+((Y1258="")*(INDEX(Setup!$M$6:$M$23,1)="Y")))</f>
        <v/>
      </c>
      <c r="AC1258" s="90">
        <f>IF($B1258="","",IF(AB1258=0,"✓ covered","⚠ "&amp;AB1258&amp;IF(AB1258=1," gap"," gaps")))</f>
        <v/>
      </c>
    </row>
    <row r="1259" ht="17" customHeight="1">
      <c r="A1259" t="n">
        <v>26</v>
      </c>
      <c r="B1259" s="29">
        <f>IF(Setup!$K$7="","",Setup!$K$7)</f>
        <v/>
      </c>
      <c r="C1259" s="88" t="n"/>
      <c r="D1259" s="88" t="n"/>
      <c r="E1259" s="88" t="n"/>
      <c r="F1259" s="89" t="n"/>
      <c r="G1259" s="88" t="n"/>
      <c r="H1259" s="88" t="n"/>
      <c r="I1259" s="88" t="n"/>
      <c r="J1259" s="89" t="n"/>
      <c r="K1259" s="88" t="n"/>
      <c r="L1259" s="88" t="n"/>
      <c r="M1259" s="88" t="n"/>
      <c r="N1259" s="89" t="n"/>
      <c r="O1259" s="88" t="n"/>
      <c r="P1259" s="88" t="n"/>
      <c r="Q1259" s="88" t="n"/>
      <c r="R1259" s="89" t="n"/>
      <c r="S1259" s="88" t="n"/>
      <c r="T1259" s="88" t="n"/>
      <c r="U1259" s="88" t="n"/>
      <c r="V1259" s="89" t="n"/>
      <c r="W1259" s="88" t="n"/>
      <c r="X1259" s="89" t="n"/>
      <c r="Y1259" s="88" t="n"/>
      <c r="Z1259" s="89" t="n"/>
      <c r="AB1259" s="30">
        <f>IF($B1259="","",(COUNTIF(C1259:E1259,"?*")&lt;N(INDEX(Setup!$L$6:$L$23,2)))+(COUNTIF(G1259:I1259,"?*")&lt;N(INDEX(Setup!$L$6:$L$23,2)))+(COUNTIF(K1259:M1259,"?*")&lt;N(INDEX(Setup!$L$6:$L$23,2)))+(COUNTIF(O1259:Q1259,"?*")&lt;N(INDEX(Setup!$L$6:$L$23,2)))+(COUNTIF(S1259:U1259,"?*")&lt;N(INDEX(Setup!$L$6:$L$23,2)))+((W1259="")*(INDEX(Setup!$M$6:$M$23,2)="Y"))+((Y1259="")*(INDEX(Setup!$M$6:$M$23,2)="Y")))</f>
        <v/>
      </c>
      <c r="AC1259" s="91">
        <f>IF($B1259="","",IF(AB1259=0,"✓ covered","⚠ "&amp;AB1259&amp;IF(AB1259=1," gap"," gaps")))</f>
        <v/>
      </c>
    </row>
    <row r="1260" ht="17" customHeight="1">
      <c r="A1260" t="n">
        <v>26</v>
      </c>
      <c r="B1260" s="24">
        <f>IF(Setup!$K$8="","",Setup!$K$8)</f>
        <v/>
      </c>
      <c r="C1260" s="88" t="n"/>
      <c r="D1260" s="88" t="n"/>
      <c r="E1260" s="88" t="n"/>
      <c r="F1260" s="89" t="n"/>
      <c r="G1260" s="88" t="n"/>
      <c r="H1260" s="88" t="n"/>
      <c r="I1260" s="88" t="n"/>
      <c r="J1260" s="89" t="n"/>
      <c r="K1260" s="88" t="n"/>
      <c r="L1260" s="88" t="n"/>
      <c r="M1260" s="88" t="n"/>
      <c r="N1260" s="89" t="n"/>
      <c r="O1260" s="88" t="n"/>
      <c r="P1260" s="88" t="n"/>
      <c r="Q1260" s="88" t="n"/>
      <c r="R1260" s="89" t="n"/>
      <c r="S1260" s="88" t="n"/>
      <c r="T1260" s="88" t="n"/>
      <c r="U1260" s="88" t="n"/>
      <c r="V1260" s="89" t="n"/>
      <c r="W1260" s="88" t="n"/>
      <c r="X1260" s="89" t="n"/>
      <c r="Y1260" s="88" t="n"/>
      <c r="Z1260" s="89" t="n"/>
      <c r="AB1260" s="25">
        <f>IF($B1260="","",(COUNTIF(C1260:E1260,"?*")&lt;N(INDEX(Setup!$L$6:$L$23,3)))+(COUNTIF(G1260:I1260,"?*")&lt;N(INDEX(Setup!$L$6:$L$23,3)))+(COUNTIF(K1260:M1260,"?*")&lt;N(INDEX(Setup!$L$6:$L$23,3)))+(COUNTIF(O1260:Q1260,"?*")&lt;N(INDEX(Setup!$L$6:$L$23,3)))+(COUNTIF(S1260:U1260,"?*")&lt;N(INDEX(Setup!$L$6:$L$23,3)))+((W1260="")*(INDEX(Setup!$M$6:$M$23,3)="Y"))+((Y1260="")*(INDEX(Setup!$M$6:$M$23,3)="Y")))</f>
        <v/>
      </c>
      <c r="AC1260" s="90">
        <f>IF($B1260="","",IF(AB1260=0,"✓ covered","⚠ "&amp;AB1260&amp;IF(AB1260=1," gap"," gaps")))</f>
        <v/>
      </c>
    </row>
    <row r="1261" ht="17" customHeight="1">
      <c r="A1261" t="n">
        <v>26</v>
      </c>
      <c r="B1261" s="29">
        <f>IF(Setup!$K$9="","",Setup!$K$9)</f>
        <v/>
      </c>
      <c r="C1261" s="88" t="n"/>
      <c r="D1261" s="88" t="n"/>
      <c r="E1261" s="88" t="n"/>
      <c r="F1261" s="89" t="n"/>
      <c r="G1261" s="88" t="n"/>
      <c r="H1261" s="88" t="n"/>
      <c r="I1261" s="88" t="n"/>
      <c r="J1261" s="89" t="n"/>
      <c r="K1261" s="88" t="n"/>
      <c r="L1261" s="88" t="n"/>
      <c r="M1261" s="88" t="n"/>
      <c r="N1261" s="89" t="n"/>
      <c r="O1261" s="88" t="n"/>
      <c r="P1261" s="88" t="n"/>
      <c r="Q1261" s="88" t="n"/>
      <c r="R1261" s="89" t="n"/>
      <c r="S1261" s="88" t="n"/>
      <c r="T1261" s="88" t="n"/>
      <c r="U1261" s="88" t="n"/>
      <c r="V1261" s="89" t="n"/>
      <c r="W1261" s="88" t="n"/>
      <c r="X1261" s="89" t="n"/>
      <c r="Y1261" s="88" t="n"/>
      <c r="Z1261" s="89" t="n"/>
      <c r="AB1261" s="30">
        <f>IF($B1261="","",(COUNTIF(C1261:E1261,"?*")&lt;N(INDEX(Setup!$L$6:$L$23,4)))+(COUNTIF(G1261:I1261,"?*")&lt;N(INDEX(Setup!$L$6:$L$23,4)))+(COUNTIF(K1261:M1261,"?*")&lt;N(INDEX(Setup!$L$6:$L$23,4)))+(COUNTIF(O1261:Q1261,"?*")&lt;N(INDEX(Setup!$L$6:$L$23,4)))+(COUNTIF(S1261:U1261,"?*")&lt;N(INDEX(Setup!$L$6:$L$23,4)))+((W1261="")*(INDEX(Setup!$M$6:$M$23,4)="Y"))+((Y1261="")*(INDEX(Setup!$M$6:$M$23,4)="Y")))</f>
        <v/>
      </c>
      <c r="AC1261" s="91">
        <f>IF($B1261="","",IF(AB1261=0,"✓ covered","⚠ "&amp;AB1261&amp;IF(AB1261=1," gap"," gaps")))</f>
        <v/>
      </c>
    </row>
    <row r="1262" ht="17" customHeight="1">
      <c r="A1262" t="n">
        <v>26</v>
      </c>
      <c r="B1262" s="24">
        <f>IF(Setup!$K$10="","",Setup!$K$10)</f>
        <v/>
      </c>
      <c r="C1262" s="88" t="n"/>
      <c r="D1262" s="88" t="n"/>
      <c r="E1262" s="88" t="n"/>
      <c r="F1262" s="89" t="n"/>
      <c r="G1262" s="88" t="n"/>
      <c r="H1262" s="88" t="n"/>
      <c r="I1262" s="88" t="n"/>
      <c r="J1262" s="89" t="n"/>
      <c r="K1262" s="88" t="n"/>
      <c r="L1262" s="88" t="n"/>
      <c r="M1262" s="88" t="n"/>
      <c r="N1262" s="89" t="n"/>
      <c r="O1262" s="88" t="n"/>
      <c r="P1262" s="88" t="n"/>
      <c r="Q1262" s="88" t="n"/>
      <c r="R1262" s="89" t="n"/>
      <c r="S1262" s="88" t="n"/>
      <c r="T1262" s="88" t="n"/>
      <c r="U1262" s="88" t="n"/>
      <c r="V1262" s="89" t="n"/>
      <c r="W1262" s="88" t="n"/>
      <c r="X1262" s="89" t="n"/>
      <c r="Y1262" s="88" t="n"/>
      <c r="Z1262" s="89" t="n"/>
      <c r="AB1262" s="25">
        <f>IF($B1262="","",(COUNTIF(C1262:E1262,"?*")&lt;N(INDEX(Setup!$L$6:$L$23,5)))+(COUNTIF(G1262:I1262,"?*")&lt;N(INDEX(Setup!$L$6:$L$23,5)))+(COUNTIF(K1262:M1262,"?*")&lt;N(INDEX(Setup!$L$6:$L$23,5)))+(COUNTIF(O1262:Q1262,"?*")&lt;N(INDEX(Setup!$L$6:$L$23,5)))+(COUNTIF(S1262:U1262,"?*")&lt;N(INDEX(Setup!$L$6:$L$23,5)))+((W1262="")*(INDEX(Setup!$M$6:$M$23,5)="Y"))+((Y1262="")*(INDEX(Setup!$M$6:$M$23,5)="Y")))</f>
        <v/>
      </c>
      <c r="AC1262" s="90">
        <f>IF($B1262="","",IF(AB1262=0,"✓ covered","⚠ "&amp;AB1262&amp;IF(AB1262=1," gap"," gaps")))</f>
        <v/>
      </c>
    </row>
    <row r="1263" ht="17" customHeight="1">
      <c r="A1263" t="n">
        <v>26</v>
      </c>
      <c r="B1263" s="29">
        <f>IF(Setup!$K$11="","",Setup!$K$11)</f>
        <v/>
      </c>
      <c r="C1263" s="88" t="n"/>
      <c r="D1263" s="88" t="n"/>
      <c r="E1263" s="88" t="n"/>
      <c r="F1263" s="89" t="n"/>
      <c r="G1263" s="88" t="n"/>
      <c r="H1263" s="88" t="n"/>
      <c r="I1263" s="88" t="n"/>
      <c r="J1263" s="89" t="n"/>
      <c r="K1263" s="88" t="n"/>
      <c r="L1263" s="88" t="n"/>
      <c r="M1263" s="88" t="n"/>
      <c r="N1263" s="89" t="n"/>
      <c r="O1263" s="88" t="n"/>
      <c r="P1263" s="88" t="n"/>
      <c r="Q1263" s="88" t="n"/>
      <c r="R1263" s="89" t="n"/>
      <c r="S1263" s="88" t="n"/>
      <c r="T1263" s="88" t="n"/>
      <c r="U1263" s="88" t="n"/>
      <c r="V1263" s="89" t="n"/>
      <c r="W1263" s="88" t="n"/>
      <c r="X1263" s="89" t="n"/>
      <c r="Y1263" s="88" t="n"/>
      <c r="Z1263" s="89" t="n"/>
      <c r="AB1263" s="30">
        <f>IF($B1263="","",(COUNTIF(C1263:E1263,"?*")&lt;N(INDEX(Setup!$L$6:$L$23,6)))+(COUNTIF(G1263:I1263,"?*")&lt;N(INDEX(Setup!$L$6:$L$23,6)))+(COUNTIF(K1263:M1263,"?*")&lt;N(INDEX(Setup!$L$6:$L$23,6)))+(COUNTIF(O1263:Q1263,"?*")&lt;N(INDEX(Setup!$L$6:$L$23,6)))+(COUNTIF(S1263:U1263,"?*")&lt;N(INDEX(Setup!$L$6:$L$23,6)))+((W1263="")*(INDEX(Setup!$M$6:$M$23,6)="Y"))+((Y1263="")*(INDEX(Setup!$M$6:$M$23,6)="Y")))</f>
        <v/>
      </c>
      <c r="AC1263" s="91">
        <f>IF($B1263="","",IF(AB1263=0,"✓ covered","⚠ "&amp;AB1263&amp;IF(AB1263=1," gap"," gaps")))</f>
        <v/>
      </c>
    </row>
    <row r="1264" ht="17" customHeight="1">
      <c r="A1264" t="n">
        <v>26</v>
      </c>
      <c r="B1264" s="24">
        <f>IF(Setup!$K$12="","",Setup!$K$12)</f>
        <v/>
      </c>
      <c r="C1264" s="88" t="n"/>
      <c r="D1264" s="88" t="n"/>
      <c r="E1264" s="88" t="n"/>
      <c r="F1264" s="89" t="n"/>
      <c r="G1264" s="88" t="n"/>
      <c r="H1264" s="88" t="n"/>
      <c r="I1264" s="88" t="n"/>
      <c r="J1264" s="89" t="n"/>
      <c r="K1264" s="88" t="n"/>
      <c r="L1264" s="88" t="n"/>
      <c r="M1264" s="88" t="n"/>
      <c r="N1264" s="89" t="n"/>
      <c r="O1264" s="88" t="n"/>
      <c r="P1264" s="88" t="n"/>
      <c r="Q1264" s="88" t="n"/>
      <c r="R1264" s="89" t="n"/>
      <c r="S1264" s="88" t="n"/>
      <c r="T1264" s="88" t="n"/>
      <c r="U1264" s="88" t="n"/>
      <c r="V1264" s="89" t="n"/>
      <c r="W1264" s="88" t="n"/>
      <c r="X1264" s="89" t="n"/>
      <c r="Y1264" s="88" t="n"/>
      <c r="Z1264" s="89" t="n"/>
      <c r="AB1264" s="25">
        <f>IF($B1264="","",(COUNTIF(C1264:E1264,"?*")&lt;N(INDEX(Setup!$L$6:$L$23,7)))+(COUNTIF(G1264:I1264,"?*")&lt;N(INDEX(Setup!$L$6:$L$23,7)))+(COUNTIF(K1264:M1264,"?*")&lt;N(INDEX(Setup!$L$6:$L$23,7)))+(COUNTIF(O1264:Q1264,"?*")&lt;N(INDEX(Setup!$L$6:$L$23,7)))+(COUNTIF(S1264:U1264,"?*")&lt;N(INDEX(Setup!$L$6:$L$23,7)))+((W1264="")*(INDEX(Setup!$M$6:$M$23,7)="Y"))+((Y1264="")*(INDEX(Setup!$M$6:$M$23,7)="Y")))</f>
        <v/>
      </c>
      <c r="AC1264" s="90">
        <f>IF($B1264="","",IF(AB1264=0,"✓ covered","⚠ "&amp;AB1264&amp;IF(AB1264=1," gap"," gaps")))</f>
        <v/>
      </c>
    </row>
    <row r="1265" ht="17" customHeight="1">
      <c r="A1265" t="n">
        <v>26</v>
      </c>
      <c r="B1265" s="29">
        <f>IF(Setup!$K$13="","",Setup!$K$13)</f>
        <v/>
      </c>
      <c r="C1265" s="88" t="n"/>
      <c r="D1265" s="88" t="n"/>
      <c r="E1265" s="88" t="n"/>
      <c r="F1265" s="89" t="n"/>
      <c r="G1265" s="88" t="n"/>
      <c r="H1265" s="88" t="n"/>
      <c r="I1265" s="88" t="n"/>
      <c r="J1265" s="89" t="n"/>
      <c r="K1265" s="88" t="n"/>
      <c r="L1265" s="88" t="n"/>
      <c r="M1265" s="88" t="n"/>
      <c r="N1265" s="89" t="n"/>
      <c r="O1265" s="88" t="n"/>
      <c r="P1265" s="88" t="n"/>
      <c r="Q1265" s="88" t="n"/>
      <c r="R1265" s="89" t="n"/>
      <c r="S1265" s="88" t="n"/>
      <c r="T1265" s="88" t="n"/>
      <c r="U1265" s="88" t="n"/>
      <c r="V1265" s="89" t="n"/>
      <c r="W1265" s="88" t="n"/>
      <c r="X1265" s="89" t="n"/>
      <c r="Y1265" s="88" t="n"/>
      <c r="Z1265" s="89" t="n"/>
      <c r="AB1265" s="30">
        <f>IF($B1265="","",(COUNTIF(C1265:E1265,"?*")&lt;N(INDEX(Setup!$L$6:$L$23,8)))+(COUNTIF(G1265:I1265,"?*")&lt;N(INDEX(Setup!$L$6:$L$23,8)))+(COUNTIF(K1265:M1265,"?*")&lt;N(INDEX(Setup!$L$6:$L$23,8)))+(COUNTIF(O1265:Q1265,"?*")&lt;N(INDEX(Setup!$L$6:$L$23,8)))+(COUNTIF(S1265:U1265,"?*")&lt;N(INDEX(Setup!$L$6:$L$23,8)))+((W1265="")*(INDEX(Setup!$M$6:$M$23,8)="Y"))+((Y1265="")*(INDEX(Setup!$M$6:$M$23,8)="Y")))</f>
        <v/>
      </c>
      <c r="AC1265" s="91">
        <f>IF($B1265="","",IF(AB1265=0,"✓ covered","⚠ "&amp;AB1265&amp;IF(AB1265=1," gap"," gaps")))</f>
        <v/>
      </c>
    </row>
    <row r="1266" ht="17" customHeight="1">
      <c r="A1266" t="n">
        <v>26</v>
      </c>
      <c r="B1266" s="24">
        <f>IF(Setup!$K$14="","",Setup!$K$14)</f>
        <v/>
      </c>
      <c r="C1266" s="88" t="n"/>
      <c r="D1266" s="88" t="n"/>
      <c r="E1266" s="88" t="n"/>
      <c r="F1266" s="89" t="n"/>
      <c r="G1266" s="88" t="n"/>
      <c r="H1266" s="88" t="n"/>
      <c r="I1266" s="88" t="n"/>
      <c r="J1266" s="89" t="n"/>
      <c r="K1266" s="88" t="n"/>
      <c r="L1266" s="88" t="n"/>
      <c r="M1266" s="88" t="n"/>
      <c r="N1266" s="89" t="n"/>
      <c r="O1266" s="88" t="n"/>
      <c r="P1266" s="88" t="n"/>
      <c r="Q1266" s="88" t="n"/>
      <c r="R1266" s="89" t="n"/>
      <c r="S1266" s="88" t="n"/>
      <c r="T1266" s="88" t="n"/>
      <c r="U1266" s="88" t="n"/>
      <c r="V1266" s="89" t="n"/>
      <c r="W1266" s="88" t="n"/>
      <c r="X1266" s="89" t="n"/>
      <c r="Y1266" s="88" t="n"/>
      <c r="Z1266" s="89" t="n"/>
      <c r="AB1266" s="25">
        <f>IF($B1266="","",(COUNTIF(C1266:E1266,"?*")&lt;N(INDEX(Setup!$L$6:$L$23,9)))+(COUNTIF(G1266:I1266,"?*")&lt;N(INDEX(Setup!$L$6:$L$23,9)))+(COUNTIF(K1266:M1266,"?*")&lt;N(INDEX(Setup!$L$6:$L$23,9)))+(COUNTIF(O1266:Q1266,"?*")&lt;N(INDEX(Setup!$L$6:$L$23,9)))+(COUNTIF(S1266:U1266,"?*")&lt;N(INDEX(Setup!$L$6:$L$23,9)))+((W1266="")*(INDEX(Setup!$M$6:$M$23,9)="Y"))+((Y1266="")*(INDEX(Setup!$M$6:$M$23,9)="Y")))</f>
        <v/>
      </c>
      <c r="AC1266" s="90">
        <f>IF($B1266="","",IF(AB1266=0,"✓ covered","⚠ "&amp;AB1266&amp;IF(AB1266=1," gap"," gaps")))</f>
        <v/>
      </c>
    </row>
    <row r="1267" ht="17" customHeight="1">
      <c r="A1267" t="n">
        <v>26</v>
      </c>
      <c r="B1267" s="29">
        <f>IF(Setup!$K$15="","",Setup!$K$15)</f>
        <v/>
      </c>
      <c r="C1267" s="88" t="n"/>
      <c r="D1267" s="88" t="n"/>
      <c r="E1267" s="88" t="n"/>
      <c r="F1267" s="89" t="n"/>
      <c r="G1267" s="88" t="n"/>
      <c r="H1267" s="88" t="n"/>
      <c r="I1267" s="88" t="n"/>
      <c r="J1267" s="89" t="n"/>
      <c r="K1267" s="88" t="n"/>
      <c r="L1267" s="88" t="n"/>
      <c r="M1267" s="88" t="n"/>
      <c r="N1267" s="89" t="n"/>
      <c r="O1267" s="88" t="n"/>
      <c r="P1267" s="88" t="n"/>
      <c r="Q1267" s="88" t="n"/>
      <c r="R1267" s="89" t="n"/>
      <c r="S1267" s="88" t="n"/>
      <c r="T1267" s="88" t="n"/>
      <c r="U1267" s="88" t="n"/>
      <c r="V1267" s="89" t="n"/>
      <c r="W1267" s="88" t="n"/>
      <c r="X1267" s="89" t="n"/>
      <c r="Y1267" s="88" t="n"/>
      <c r="Z1267" s="89" t="n"/>
      <c r="AB1267" s="30">
        <f>IF($B1267="","",(COUNTIF(C1267:E1267,"?*")&lt;N(INDEX(Setup!$L$6:$L$23,10)))+(COUNTIF(G1267:I1267,"?*")&lt;N(INDEX(Setup!$L$6:$L$23,10)))+(COUNTIF(K1267:M1267,"?*")&lt;N(INDEX(Setup!$L$6:$L$23,10)))+(COUNTIF(O1267:Q1267,"?*")&lt;N(INDEX(Setup!$L$6:$L$23,10)))+(COUNTIF(S1267:U1267,"?*")&lt;N(INDEX(Setup!$L$6:$L$23,10)))+((W1267="")*(INDEX(Setup!$M$6:$M$23,10)="Y"))+((Y1267="")*(INDEX(Setup!$M$6:$M$23,10)="Y")))</f>
        <v/>
      </c>
      <c r="AC1267" s="91">
        <f>IF($B1267="","",IF(AB1267=0,"✓ covered","⚠ "&amp;AB1267&amp;IF(AB1267=1," gap"," gaps")))</f>
        <v/>
      </c>
    </row>
    <row r="1268" ht="17" customHeight="1">
      <c r="A1268" t="n">
        <v>26</v>
      </c>
      <c r="B1268" s="24">
        <f>IF(Setup!$K$16="","",Setup!$K$16)</f>
        <v/>
      </c>
      <c r="C1268" s="88" t="n"/>
      <c r="D1268" s="88" t="n"/>
      <c r="E1268" s="88" t="n"/>
      <c r="F1268" s="89" t="n"/>
      <c r="G1268" s="88" t="n"/>
      <c r="H1268" s="88" t="n"/>
      <c r="I1268" s="88" t="n"/>
      <c r="J1268" s="89" t="n"/>
      <c r="K1268" s="88" t="n"/>
      <c r="L1268" s="88" t="n"/>
      <c r="M1268" s="88" t="n"/>
      <c r="N1268" s="89" t="n"/>
      <c r="O1268" s="88" t="n"/>
      <c r="P1268" s="88" t="n"/>
      <c r="Q1268" s="88" t="n"/>
      <c r="R1268" s="89" t="n"/>
      <c r="S1268" s="88" t="n"/>
      <c r="T1268" s="88" t="n"/>
      <c r="U1268" s="88" t="n"/>
      <c r="V1268" s="89" t="n"/>
      <c r="W1268" s="88" t="n"/>
      <c r="X1268" s="89" t="n"/>
      <c r="Y1268" s="88" t="n"/>
      <c r="Z1268" s="89" t="n"/>
      <c r="AB1268" s="25">
        <f>IF($B1268="","",(COUNTIF(C1268:E1268,"?*")&lt;N(INDEX(Setup!$L$6:$L$23,11)))+(COUNTIF(G1268:I1268,"?*")&lt;N(INDEX(Setup!$L$6:$L$23,11)))+(COUNTIF(K1268:M1268,"?*")&lt;N(INDEX(Setup!$L$6:$L$23,11)))+(COUNTIF(O1268:Q1268,"?*")&lt;N(INDEX(Setup!$L$6:$L$23,11)))+(COUNTIF(S1268:U1268,"?*")&lt;N(INDEX(Setup!$L$6:$L$23,11)))+((W1268="")*(INDEX(Setup!$M$6:$M$23,11)="Y"))+((Y1268="")*(INDEX(Setup!$M$6:$M$23,11)="Y")))</f>
        <v/>
      </c>
      <c r="AC1268" s="90">
        <f>IF($B1268="","",IF(AB1268=0,"✓ covered","⚠ "&amp;AB1268&amp;IF(AB1268=1," gap"," gaps")))</f>
        <v/>
      </c>
    </row>
    <row r="1269" ht="17" customHeight="1">
      <c r="A1269" t="n">
        <v>26</v>
      </c>
      <c r="B1269" s="29">
        <f>IF(Setup!$K$17="","",Setup!$K$17)</f>
        <v/>
      </c>
      <c r="C1269" s="88" t="n"/>
      <c r="D1269" s="88" t="n"/>
      <c r="E1269" s="88" t="n"/>
      <c r="F1269" s="89" t="n"/>
      <c r="G1269" s="88" t="n"/>
      <c r="H1269" s="88" t="n"/>
      <c r="I1269" s="88" t="n"/>
      <c r="J1269" s="89" t="n"/>
      <c r="K1269" s="88" t="n"/>
      <c r="L1269" s="88" t="n"/>
      <c r="M1269" s="88" t="n"/>
      <c r="N1269" s="89" t="n"/>
      <c r="O1269" s="88" t="n"/>
      <c r="P1269" s="88" t="n"/>
      <c r="Q1269" s="88" t="n"/>
      <c r="R1269" s="89" t="n"/>
      <c r="S1269" s="88" t="n"/>
      <c r="T1269" s="88" t="n"/>
      <c r="U1269" s="88" t="n"/>
      <c r="V1269" s="89" t="n"/>
      <c r="W1269" s="88" t="n"/>
      <c r="X1269" s="89" t="n"/>
      <c r="Y1269" s="88" t="n"/>
      <c r="Z1269" s="89" t="n"/>
      <c r="AB1269" s="30">
        <f>IF($B1269="","",(COUNTIF(C1269:E1269,"?*")&lt;N(INDEX(Setup!$L$6:$L$23,12)))+(COUNTIF(G1269:I1269,"?*")&lt;N(INDEX(Setup!$L$6:$L$23,12)))+(COUNTIF(K1269:M1269,"?*")&lt;N(INDEX(Setup!$L$6:$L$23,12)))+(COUNTIF(O1269:Q1269,"?*")&lt;N(INDEX(Setup!$L$6:$L$23,12)))+(COUNTIF(S1269:U1269,"?*")&lt;N(INDEX(Setup!$L$6:$L$23,12)))+((W1269="")*(INDEX(Setup!$M$6:$M$23,12)="Y"))+((Y1269="")*(INDEX(Setup!$M$6:$M$23,12)="Y")))</f>
        <v/>
      </c>
      <c r="AC1269" s="91">
        <f>IF($B1269="","",IF(AB1269=0,"✓ covered","⚠ "&amp;AB1269&amp;IF(AB1269=1," gap"," gaps")))</f>
        <v/>
      </c>
    </row>
    <row r="1270" ht="17" customHeight="1">
      <c r="A1270" t="n">
        <v>26</v>
      </c>
      <c r="B1270" s="24">
        <f>IF(Setup!$K$18="","",Setup!$K$18)</f>
        <v/>
      </c>
      <c r="C1270" s="88" t="n"/>
      <c r="D1270" s="88" t="n"/>
      <c r="E1270" s="88" t="n"/>
      <c r="F1270" s="89" t="n"/>
      <c r="G1270" s="88" t="n"/>
      <c r="H1270" s="88" t="n"/>
      <c r="I1270" s="88" t="n"/>
      <c r="J1270" s="89" t="n"/>
      <c r="K1270" s="88" t="n"/>
      <c r="L1270" s="88" t="n"/>
      <c r="M1270" s="88" t="n"/>
      <c r="N1270" s="89" t="n"/>
      <c r="O1270" s="88" t="n"/>
      <c r="P1270" s="88" t="n"/>
      <c r="Q1270" s="88" t="n"/>
      <c r="R1270" s="89" t="n"/>
      <c r="S1270" s="88" t="n"/>
      <c r="T1270" s="88" t="n"/>
      <c r="U1270" s="88" t="n"/>
      <c r="V1270" s="89" t="n"/>
      <c r="W1270" s="88" t="n"/>
      <c r="X1270" s="89" t="n"/>
      <c r="Y1270" s="88" t="n"/>
      <c r="Z1270" s="89" t="n"/>
      <c r="AB1270" s="25">
        <f>IF($B1270="","",(COUNTIF(C1270:E1270,"?*")&lt;N(INDEX(Setup!$L$6:$L$23,13)))+(COUNTIF(G1270:I1270,"?*")&lt;N(INDEX(Setup!$L$6:$L$23,13)))+(COUNTIF(K1270:M1270,"?*")&lt;N(INDEX(Setup!$L$6:$L$23,13)))+(COUNTIF(O1270:Q1270,"?*")&lt;N(INDEX(Setup!$L$6:$L$23,13)))+(COUNTIF(S1270:U1270,"?*")&lt;N(INDEX(Setup!$L$6:$L$23,13)))+((W1270="")*(INDEX(Setup!$M$6:$M$23,13)="Y"))+((Y1270="")*(INDEX(Setup!$M$6:$M$23,13)="Y")))</f>
        <v/>
      </c>
      <c r="AC1270" s="90">
        <f>IF($B1270="","",IF(AB1270=0,"✓ covered","⚠ "&amp;AB1270&amp;IF(AB1270=1," gap"," gaps")))</f>
        <v/>
      </c>
    </row>
    <row r="1271" ht="17" customHeight="1">
      <c r="A1271" t="n">
        <v>26</v>
      </c>
      <c r="B1271" s="29">
        <f>IF(Setup!$K$19="","",Setup!$K$19)</f>
        <v/>
      </c>
      <c r="C1271" s="88" t="n"/>
      <c r="D1271" s="88" t="n"/>
      <c r="E1271" s="88" t="n"/>
      <c r="F1271" s="89" t="n"/>
      <c r="G1271" s="88" t="n"/>
      <c r="H1271" s="88" t="n"/>
      <c r="I1271" s="88" t="n"/>
      <c r="J1271" s="89" t="n"/>
      <c r="K1271" s="88" t="n"/>
      <c r="L1271" s="88" t="n"/>
      <c r="M1271" s="88" t="n"/>
      <c r="N1271" s="89" t="n"/>
      <c r="O1271" s="88" t="n"/>
      <c r="P1271" s="88" t="n"/>
      <c r="Q1271" s="88" t="n"/>
      <c r="R1271" s="89" t="n"/>
      <c r="S1271" s="88" t="n"/>
      <c r="T1271" s="88" t="n"/>
      <c r="U1271" s="88" t="n"/>
      <c r="V1271" s="89" t="n"/>
      <c r="W1271" s="88" t="n"/>
      <c r="X1271" s="89" t="n"/>
      <c r="Y1271" s="88" t="n"/>
      <c r="Z1271" s="89" t="n"/>
      <c r="AB1271" s="30">
        <f>IF($B1271="","",(COUNTIF(C1271:E1271,"?*")&lt;N(INDEX(Setup!$L$6:$L$23,14)))+(COUNTIF(G1271:I1271,"?*")&lt;N(INDEX(Setup!$L$6:$L$23,14)))+(COUNTIF(K1271:M1271,"?*")&lt;N(INDEX(Setup!$L$6:$L$23,14)))+(COUNTIF(O1271:Q1271,"?*")&lt;N(INDEX(Setup!$L$6:$L$23,14)))+(COUNTIF(S1271:U1271,"?*")&lt;N(INDEX(Setup!$L$6:$L$23,14)))+((W1271="")*(INDEX(Setup!$M$6:$M$23,14)="Y"))+((Y1271="")*(INDEX(Setup!$M$6:$M$23,14)="Y")))</f>
        <v/>
      </c>
      <c r="AC1271" s="91">
        <f>IF($B1271="","",IF(AB1271=0,"✓ covered","⚠ "&amp;AB1271&amp;IF(AB1271=1," gap"," gaps")))</f>
        <v/>
      </c>
    </row>
    <row r="1272" ht="17" customHeight="1">
      <c r="A1272" t="n">
        <v>26</v>
      </c>
      <c r="B1272" s="24">
        <f>IF(Setup!$K$20="","",Setup!$K$20)</f>
        <v/>
      </c>
      <c r="C1272" s="88" t="n"/>
      <c r="D1272" s="88" t="n"/>
      <c r="E1272" s="88" t="n"/>
      <c r="F1272" s="89" t="n"/>
      <c r="G1272" s="88" t="n"/>
      <c r="H1272" s="88" t="n"/>
      <c r="I1272" s="88" t="n"/>
      <c r="J1272" s="89" t="n"/>
      <c r="K1272" s="88" t="n"/>
      <c r="L1272" s="88" t="n"/>
      <c r="M1272" s="88" t="n"/>
      <c r="N1272" s="89" t="n"/>
      <c r="O1272" s="88" t="n"/>
      <c r="P1272" s="88" t="n"/>
      <c r="Q1272" s="88" t="n"/>
      <c r="R1272" s="89" t="n"/>
      <c r="S1272" s="88" t="n"/>
      <c r="T1272" s="88" t="n"/>
      <c r="U1272" s="88" t="n"/>
      <c r="V1272" s="89" t="n"/>
      <c r="W1272" s="88" t="n"/>
      <c r="X1272" s="89" t="n"/>
      <c r="Y1272" s="88" t="n"/>
      <c r="Z1272" s="89" t="n"/>
      <c r="AB1272" s="25">
        <f>IF($B1272="","",(COUNTIF(C1272:E1272,"?*")&lt;N(INDEX(Setup!$L$6:$L$23,15)))+(COUNTIF(G1272:I1272,"?*")&lt;N(INDEX(Setup!$L$6:$L$23,15)))+(COUNTIF(K1272:M1272,"?*")&lt;N(INDEX(Setup!$L$6:$L$23,15)))+(COUNTIF(O1272:Q1272,"?*")&lt;N(INDEX(Setup!$L$6:$L$23,15)))+(COUNTIF(S1272:U1272,"?*")&lt;N(INDEX(Setup!$L$6:$L$23,15)))+((W1272="")*(INDEX(Setup!$M$6:$M$23,15)="Y"))+((Y1272="")*(INDEX(Setup!$M$6:$M$23,15)="Y")))</f>
        <v/>
      </c>
      <c r="AC1272" s="90">
        <f>IF($B1272="","",IF(AB1272=0,"✓ covered","⚠ "&amp;AB1272&amp;IF(AB1272=1," gap"," gaps")))</f>
        <v/>
      </c>
    </row>
    <row r="1273" ht="17" customHeight="1">
      <c r="A1273" t="n">
        <v>26</v>
      </c>
      <c r="B1273" s="29">
        <f>IF(Setup!$K$21="","",Setup!$K$21)</f>
        <v/>
      </c>
      <c r="C1273" s="88" t="n"/>
      <c r="D1273" s="88" t="n"/>
      <c r="E1273" s="88" t="n"/>
      <c r="F1273" s="89" t="n"/>
      <c r="G1273" s="88" t="n"/>
      <c r="H1273" s="88" t="n"/>
      <c r="I1273" s="88" t="n"/>
      <c r="J1273" s="89" t="n"/>
      <c r="K1273" s="88" t="n"/>
      <c r="L1273" s="88" t="n"/>
      <c r="M1273" s="88" t="n"/>
      <c r="N1273" s="89" t="n"/>
      <c r="O1273" s="88" t="n"/>
      <c r="P1273" s="88" t="n"/>
      <c r="Q1273" s="88" t="n"/>
      <c r="R1273" s="89" t="n"/>
      <c r="S1273" s="88" t="n"/>
      <c r="T1273" s="88" t="n"/>
      <c r="U1273" s="88" t="n"/>
      <c r="V1273" s="89" t="n"/>
      <c r="W1273" s="88" t="n"/>
      <c r="X1273" s="89" t="n"/>
      <c r="Y1273" s="88" t="n"/>
      <c r="Z1273" s="89" t="n"/>
      <c r="AB1273" s="30">
        <f>IF($B1273="","",(COUNTIF(C1273:E1273,"?*")&lt;N(INDEX(Setup!$L$6:$L$23,16)))+(COUNTIF(G1273:I1273,"?*")&lt;N(INDEX(Setup!$L$6:$L$23,16)))+(COUNTIF(K1273:M1273,"?*")&lt;N(INDEX(Setup!$L$6:$L$23,16)))+(COUNTIF(O1273:Q1273,"?*")&lt;N(INDEX(Setup!$L$6:$L$23,16)))+(COUNTIF(S1273:U1273,"?*")&lt;N(INDEX(Setup!$L$6:$L$23,16)))+((W1273="")*(INDEX(Setup!$M$6:$M$23,16)="Y"))+((Y1273="")*(INDEX(Setup!$M$6:$M$23,16)="Y")))</f>
        <v/>
      </c>
      <c r="AC1273" s="91">
        <f>IF($B1273="","",IF(AB1273=0,"✓ covered","⚠ "&amp;AB1273&amp;IF(AB1273=1," gap"," gaps")))</f>
        <v/>
      </c>
    </row>
    <row r="1274" ht="17" customHeight="1">
      <c r="A1274" t="n">
        <v>26</v>
      </c>
      <c r="B1274" s="24">
        <f>IF(Setup!$K$22="","",Setup!$K$22)</f>
        <v/>
      </c>
      <c r="C1274" s="88" t="n"/>
      <c r="D1274" s="88" t="n"/>
      <c r="E1274" s="88" t="n"/>
      <c r="F1274" s="89" t="n"/>
      <c r="G1274" s="88" t="n"/>
      <c r="H1274" s="88" t="n"/>
      <c r="I1274" s="88" t="n"/>
      <c r="J1274" s="89" t="n"/>
      <c r="K1274" s="88" t="n"/>
      <c r="L1274" s="88" t="n"/>
      <c r="M1274" s="88" t="n"/>
      <c r="N1274" s="89" t="n"/>
      <c r="O1274" s="88" t="n"/>
      <c r="P1274" s="88" t="n"/>
      <c r="Q1274" s="88" t="n"/>
      <c r="R1274" s="89" t="n"/>
      <c r="S1274" s="88" t="n"/>
      <c r="T1274" s="88" t="n"/>
      <c r="U1274" s="88" t="n"/>
      <c r="V1274" s="89" t="n"/>
      <c r="W1274" s="88" t="n"/>
      <c r="X1274" s="89" t="n"/>
      <c r="Y1274" s="88" t="n"/>
      <c r="Z1274" s="89" t="n"/>
      <c r="AB1274" s="25">
        <f>IF($B1274="","",(COUNTIF(C1274:E1274,"?*")&lt;N(INDEX(Setup!$L$6:$L$23,17)))+(COUNTIF(G1274:I1274,"?*")&lt;N(INDEX(Setup!$L$6:$L$23,17)))+(COUNTIF(K1274:M1274,"?*")&lt;N(INDEX(Setup!$L$6:$L$23,17)))+(COUNTIF(O1274:Q1274,"?*")&lt;N(INDEX(Setup!$L$6:$L$23,17)))+(COUNTIF(S1274:U1274,"?*")&lt;N(INDEX(Setup!$L$6:$L$23,17)))+((W1274="")*(INDEX(Setup!$M$6:$M$23,17)="Y"))+((Y1274="")*(INDEX(Setup!$M$6:$M$23,17)="Y")))</f>
        <v/>
      </c>
      <c r="AC1274" s="90">
        <f>IF($B1274="","",IF(AB1274=0,"✓ covered","⚠ "&amp;AB1274&amp;IF(AB1274=1," gap"," gaps")))</f>
        <v/>
      </c>
    </row>
    <row r="1275" ht="17" customHeight="1">
      <c r="A1275" t="n">
        <v>26</v>
      </c>
      <c r="B1275" s="29">
        <f>IF(Setup!$K$23="","",Setup!$K$23)</f>
        <v/>
      </c>
      <c r="C1275" s="88" t="n"/>
      <c r="D1275" s="88" t="n"/>
      <c r="E1275" s="88" t="n"/>
      <c r="F1275" s="89" t="n"/>
      <c r="G1275" s="88" t="n"/>
      <c r="H1275" s="88" t="n"/>
      <c r="I1275" s="88" t="n"/>
      <c r="J1275" s="89" t="n"/>
      <c r="K1275" s="88" t="n"/>
      <c r="L1275" s="88" t="n"/>
      <c r="M1275" s="88" t="n"/>
      <c r="N1275" s="89" t="n"/>
      <c r="O1275" s="88" t="n"/>
      <c r="P1275" s="88" t="n"/>
      <c r="Q1275" s="88" t="n"/>
      <c r="R1275" s="89" t="n"/>
      <c r="S1275" s="88" t="n"/>
      <c r="T1275" s="88" t="n"/>
      <c r="U1275" s="88" t="n"/>
      <c r="V1275" s="89" t="n"/>
      <c r="W1275" s="88" t="n"/>
      <c r="X1275" s="89" t="n"/>
      <c r="Y1275" s="88" t="n"/>
      <c r="Z1275" s="89" t="n"/>
      <c r="AB1275" s="30">
        <f>IF($B1275="","",(COUNTIF(C1275:E1275,"?*")&lt;N(INDEX(Setup!$L$6:$L$23,18)))+(COUNTIF(G1275:I1275,"?*")&lt;N(INDEX(Setup!$L$6:$L$23,18)))+(COUNTIF(K1275:M1275,"?*")&lt;N(INDEX(Setup!$L$6:$L$23,18)))+(COUNTIF(O1275:Q1275,"?*")&lt;N(INDEX(Setup!$L$6:$L$23,18)))+(COUNTIF(S1275:U1275,"?*")&lt;N(INDEX(Setup!$L$6:$L$23,18)))+((W1275="")*(INDEX(Setup!$M$6:$M$23,18)="Y"))+((Y1275="")*(INDEX(Setup!$M$6:$M$23,18)="Y")))</f>
        <v/>
      </c>
      <c r="AC1275" s="91">
        <f>IF($B1275="","",IF(AB1275=0,"✓ covered","⚠ "&amp;AB1275&amp;IF(AB1275=1," gap"," gaps")))</f>
        <v/>
      </c>
    </row>
    <row r="1276" ht="18" customHeight="1">
      <c r="A1276" t="n">
        <v>26</v>
      </c>
      <c r="B1276" s="78" t="inlineStr">
        <is>
          <t>TEAM AVAILABILITY</t>
        </is>
      </c>
      <c r="C1276" s="92" t="inlineStr">
        <is>
          <t>Mon</t>
        </is>
      </c>
      <c r="D1276" s="93" t="n"/>
      <c r="E1276" s="93" t="n"/>
      <c r="F1276" s="94" t="n"/>
      <c r="G1276" s="92" t="inlineStr">
        <is>
          <t>Tue</t>
        </is>
      </c>
      <c r="H1276" s="93" t="n"/>
      <c r="I1276" s="93" t="n"/>
      <c r="J1276" s="94" t="n"/>
      <c r="K1276" s="92" t="inlineStr">
        <is>
          <t>Wed</t>
        </is>
      </c>
      <c r="L1276" s="93" t="n"/>
      <c r="M1276" s="93" t="n"/>
      <c r="N1276" s="94" t="n"/>
      <c r="O1276" s="92" t="inlineStr">
        <is>
          <t>Thu</t>
        </is>
      </c>
      <c r="P1276" s="93" t="n"/>
      <c r="Q1276" s="93" t="n"/>
      <c r="R1276" s="94" t="n"/>
      <c r="S1276" s="92" t="inlineStr">
        <is>
          <t>Fri</t>
        </is>
      </c>
      <c r="T1276" s="93" t="n"/>
      <c r="U1276" s="93" t="n"/>
      <c r="V1276" s="94" t="n"/>
      <c r="W1276" s="95" t="inlineStr">
        <is>
          <t>Sat</t>
        </is>
      </c>
      <c r="X1276" s="96" t="n"/>
      <c r="Y1276" s="95" t="inlineStr">
        <is>
          <t>Sun</t>
        </is>
      </c>
      <c r="Z1276" s="96" t="n"/>
      <c r="AB1276" s="97" t="inlineStr">
        <is>
          <t>Days rostered</t>
        </is>
      </c>
      <c r="AC1276" s="97" t="inlineStr">
        <is>
          <t>Conflicts</t>
        </is>
      </c>
    </row>
    <row r="1277" ht="15" customHeight="1">
      <c r="A1277" t="n">
        <v>26</v>
      </c>
      <c r="B1277" s="35">
        <f>IF(Setup!$B$6="","",Setup!$B$6)</f>
        <v/>
      </c>
      <c r="C1277" s="98" t="n"/>
      <c r="D1277" s="99" t="n"/>
      <c r="E1277" s="99" t="n"/>
      <c r="F1277" s="100" t="n"/>
      <c r="G1277" s="98" t="n"/>
      <c r="H1277" s="99" t="n"/>
      <c r="I1277" s="99" t="n"/>
      <c r="J1277" s="100" t="n"/>
      <c r="K1277" s="98" t="n"/>
      <c r="L1277" s="99" t="n"/>
      <c r="M1277" s="99" t="n"/>
      <c r="N1277" s="100" t="n"/>
      <c r="O1277" s="98" t="n"/>
      <c r="P1277" s="99" t="n"/>
      <c r="Q1277" s="99" t="n"/>
      <c r="R1277" s="100" t="n"/>
      <c r="S1277" s="98" t="n"/>
      <c r="T1277" s="99" t="n"/>
      <c r="U1277" s="99" t="n"/>
      <c r="V1277" s="100" t="n"/>
      <c r="W1277" s="98" t="n"/>
      <c r="X1277" s="100" t="n"/>
      <c r="Y1277" s="98" t="n"/>
      <c r="Z1277" s="100" t="n"/>
      <c r="AB1277" s="101">
        <f>IF($B1277="","",(COUNTIF(C1258:E1275,$B1277)+COUNTIF(C1258:E1275,$B1277&amp;" ~*")&gt;0)+(COUNTIF(G1258:I1275,$B1277)+COUNTIF(G1258:I1275,$B1277&amp;" ~*")&gt;0)+(COUNTIF(K1258:M1275,$B1277)+COUNTIF(K1258:M1275,$B1277&amp;" ~*")&gt;0)+(COUNTIF(O1258:Q1275,$B1277)+COUNTIF(O1258:Q1275,$B1277&amp;" ~*")&gt;0)+(COUNTIF(S1258:U1275,$B1277)+COUNTIF(S1258:U1275,$B1277&amp;" ~*")&gt;0)+(COUNTIF(W1258:W1275,$B1277)+COUNTIF(W1258:W1275,$B1277&amp;" ~*")&gt;0)+(COUNTIF(Y1258:Y1275,$B1277)+COUNTIF(Y1258:Y1275,$B1277&amp;" ~*")&gt;0))</f>
        <v/>
      </c>
      <c r="AC1277" s="36">
        <f>IF($B1277="","",(IFERROR(INDEX(Setup!$G$33:$G$40,MATCH(C1277,Setup!$B$33:$B$40,0)),0)=1)*(COUNTIF(C1258:E1275,$B1277)+COUNTIF(C1258:E1275,$B1277&amp;" ~*")&gt;0)+(IFERROR(INDEX(Setup!$G$33:$G$40,MATCH(G1277,Setup!$B$33:$B$40,0)),0)=1)*(COUNTIF(G1258:I1275,$B1277)+COUNTIF(G1258:I1275,$B1277&amp;" ~*")&gt;0)+(IFERROR(INDEX(Setup!$G$33:$G$40,MATCH(K1277,Setup!$B$33:$B$40,0)),0)=1)*(COUNTIF(K1258:M1275,$B1277)+COUNTIF(K1258:M1275,$B1277&amp;" ~*")&gt;0)+(IFERROR(INDEX(Setup!$G$33:$G$40,MATCH(O1277,Setup!$B$33:$B$40,0)),0)=1)*(COUNTIF(O1258:Q1275,$B1277)+COUNTIF(O1258:Q1275,$B1277&amp;" ~*")&gt;0)+(IFERROR(INDEX(Setup!$G$33:$G$40,MATCH(S1277,Setup!$B$33:$B$40,0)),0)=1)*(COUNTIF(S1258:U1275,$B1277)+COUNTIF(S1258:U1275,$B1277&amp;" ~*")&gt;0)+(IFERROR(INDEX(Setup!$G$33:$G$40,MATCH(W1277,Setup!$B$33:$B$40,0)),0)=1)*(COUNTIF(W1258:W1275,$B1277)+COUNTIF(W1258:W1275,$B1277&amp;" ~*")&gt;0)+(IFERROR(INDEX(Setup!$G$33:$G$40,MATCH(Y1277,Setup!$B$33:$B$40,0)),0)=1)*(COUNTIF(Y1258:Y1275,$B1277)+COUNTIF(Y1258:Y1275,$B1277&amp;" ~*")&gt;0))</f>
        <v/>
      </c>
    </row>
    <row r="1278" ht="15" customHeight="1">
      <c r="A1278" t="n">
        <v>26</v>
      </c>
      <c r="B1278" s="37">
        <f>IF(Setup!$B$7="","",Setup!$B$7)</f>
        <v/>
      </c>
      <c r="C1278" s="102" t="n"/>
      <c r="D1278" s="103" t="n"/>
      <c r="E1278" s="103" t="n"/>
      <c r="F1278" s="104" t="n"/>
      <c r="G1278" s="102" t="n"/>
      <c r="H1278" s="103" t="n"/>
      <c r="I1278" s="103" t="n"/>
      <c r="J1278" s="104" t="n"/>
      <c r="K1278" s="102" t="n"/>
      <c r="L1278" s="103" t="n"/>
      <c r="M1278" s="103" t="n"/>
      <c r="N1278" s="104" t="n"/>
      <c r="O1278" s="102" t="n"/>
      <c r="P1278" s="103" t="n"/>
      <c r="Q1278" s="103" t="n"/>
      <c r="R1278" s="104" t="n"/>
      <c r="S1278" s="102" t="n"/>
      <c r="T1278" s="103" t="n"/>
      <c r="U1278" s="103" t="n"/>
      <c r="V1278" s="104" t="n"/>
      <c r="W1278" s="102" t="n"/>
      <c r="X1278" s="104" t="n"/>
      <c r="Y1278" s="102" t="n"/>
      <c r="Z1278" s="104" t="n"/>
      <c r="AB1278" s="105">
        <f>IF($B1278="","",(COUNTIF(C1258:E1275,$B1278)+COUNTIF(C1258:E1275,$B1278&amp;" ~*")&gt;0)+(COUNTIF(G1258:I1275,$B1278)+COUNTIF(G1258:I1275,$B1278&amp;" ~*")&gt;0)+(COUNTIF(K1258:M1275,$B1278)+COUNTIF(K1258:M1275,$B1278&amp;" ~*")&gt;0)+(COUNTIF(O1258:Q1275,$B1278)+COUNTIF(O1258:Q1275,$B1278&amp;" ~*")&gt;0)+(COUNTIF(S1258:U1275,$B1278)+COUNTIF(S1258:U1275,$B1278&amp;" ~*")&gt;0)+(COUNTIF(W1258:W1275,$B1278)+COUNTIF(W1258:W1275,$B1278&amp;" ~*")&gt;0)+(COUNTIF(Y1258:Y1275,$B1278)+COUNTIF(Y1258:Y1275,$B1278&amp;" ~*")&gt;0))</f>
        <v/>
      </c>
      <c r="AC1278" s="38">
        <f>IF($B1278="","",(IFERROR(INDEX(Setup!$G$33:$G$40,MATCH(C1278,Setup!$B$33:$B$40,0)),0)=1)*(COUNTIF(C1258:E1275,$B1278)+COUNTIF(C1258:E1275,$B1278&amp;" ~*")&gt;0)+(IFERROR(INDEX(Setup!$G$33:$G$40,MATCH(G1278,Setup!$B$33:$B$40,0)),0)=1)*(COUNTIF(G1258:I1275,$B1278)+COUNTIF(G1258:I1275,$B1278&amp;" ~*")&gt;0)+(IFERROR(INDEX(Setup!$G$33:$G$40,MATCH(K1278,Setup!$B$33:$B$40,0)),0)=1)*(COUNTIF(K1258:M1275,$B1278)+COUNTIF(K1258:M1275,$B1278&amp;" ~*")&gt;0)+(IFERROR(INDEX(Setup!$G$33:$G$40,MATCH(O1278,Setup!$B$33:$B$40,0)),0)=1)*(COUNTIF(O1258:Q1275,$B1278)+COUNTIF(O1258:Q1275,$B1278&amp;" ~*")&gt;0)+(IFERROR(INDEX(Setup!$G$33:$G$40,MATCH(S1278,Setup!$B$33:$B$40,0)),0)=1)*(COUNTIF(S1258:U1275,$B1278)+COUNTIF(S1258:U1275,$B1278&amp;" ~*")&gt;0)+(IFERROR(INDEX(Setup!$G$33:$G$40,MATCH(W1278,Setup!$B$33:$B$40,0)),0)=1)*(COUNTIF(W1258:W1275,$B1278)+COUNTIF(W1258:W1275,$B1278&amp;" ~*")&gt;0)+(IFERROR(INDEX(Setup!$G$33:$G$40,MATCH(Y1278,Setup!$B$33:$B$40,0)),0)=1)*(COUNTIF(Y1258:Y1275,$B1278)+COUNTIF(Y1258:Y1275,$B1278&amp;" ~*")&gt;0))</f>
        <v/>
      </c>
    </row>
    <row r="1279" ht="15" customHeight="1">
      <c r="A1279" t="n">
        <v>26</v>
      </c>
      <c r="B1279" s="35">
        <f>IF(Setup!$B$8="","",Setup!$B$8)</f>
        <v/>
      </c>
      <c r="C1279" s="98" t="n"/>
      <c r="D1279" s="99" t="n"/>
      <c r="E1279" s="99" t="n"/>
      <c r="F1279" s="100" t="n"/>
      <c r="G1279" s="98" t="n"/>
      <c r="H1279" s="99" t="n"/>
      <c r="I1279" s="99" t="n"/>
      <c r="J1279" s="100" t="n"/>
      <c r="K1279" s="98" t="n"/>
      <c r="L1279" s="99" t="n"/>
      <c r="M1279" s="99" t="n"/>
      <c r="N1279" s="100" t="n"/>
      <c r="O1279" s="98" t="n"/>
      <c r="P1279" s="99" t="n"/>
      <c r="Q1279" s="99" t="n"/>
      <c r="R1279" s="100" t="n"/>
      <c r="S1279" s="98" t="n"/>
      <c r="T1279" s="99" t="n"/>
      <c r="U1279" s="99" t="n"/>
      <c r="V1279" s="100" t="n"/>
      <c r="W1279" s="98" t="n"/>
      <c r="X1279" s="100" t="n"/>
      <c r="Y1279" s="98" t="n"/>
      <c r="Z1279" s="100" t="n"/>
      <c r="AB1279" s="101">
        <f>IF($B1279="","",(COUNTIF(C1258:E1275,$B1279)+COUNTIF(C1258:E1275,$B1279&amp;" ~*")&gt;0)+(COUNTIF(G1258:I1275,$B1279)+COUNTIF(G1258:I1275,$B1279&amp;" ~*")&gt;0)+(COUNTIF(K1258:M1275,$B1279)+COUNTIF(K1258:M1275,$B1279&amp;" ~*")&gt;0)+(COUNTIF(O1258:Q1275,$B1279)+COUNTIF(O1258:Q1275,$B1279&amp;" ~*")&gt;0)+(COUNTIF(S1258:U1275,$B1279)+COUNTIF(S1258:U1275,$B1279&amp;" ~*")&gt;0)+(COUNTIF(W1258:W1275,$B1279)+COUNTIF(W1258:W1275,$B1279&amp;" ~*")&gt;0)+(COUNTIF(Y1258:Y1275,$B1279)+COUNTIF(Y1258:Y1275,$B1279&amp;" ~*")&gt;0))</f>
        <v/>
      </c>
      <c r="AC1279" s="36">
        <f>IF($B1279="","",(IFERROR(INDEX(Setup!$G$33:$G$40,MATCH(C1279,Setup!$B$33:$B$40,0)),0)=1)*(COUNTIF(C1258:E1275,$B1279)+COUNTIF(C1258:E1275,$B1279&amp;" ~*")&gt;0)+(IFERROR(INDEX(Setup!$G$33:$G$40,MATCH(G1279,Setup!$B$33:$B$40,0)),0)=1)*(COUNTIF(G1258:I1275,$B1279)+COUNTIF(G1258:I1275,$B1279&amp;" ~*")&gt;0)+(IFERROR(INDEX(Setup!$G$33:$G$40,MATCH(K1279,Setup!$B$33:$B$40,0)),0)=1)*(COUNTIF(K1258:M1275,$B1279)+COUNTIF(K1258:M1275,$B1279&amp;" ~*")&gt;0)+(IFERROR(INDEX(Setup!$G$33:$G$40,MATCH(O1279,Setup!$B$33:$B$40,0)),0)=1)*(COUNTIF(O1258:Q1275,$B1279)+COUNTIF(O1258:Q1275,$B1279&amp;" ~*")&gt;0)+(IFERROR(INDEX(Setup!$G$33:$G$40,MATCH(S1279,Setup!$B$33:$B$40,0)),0)=1)*(COUNTIF(S1258:U1275,$B1279)+COUNTIF(S1258:U1275,$B1279&amp;" ~*")&gt;0)+(IFERROR(INDEX(Setup!$G$33:$G$40,MATCH(W1279,Setup!$B$33:$B$40,0)),0)=1)*(COUNTIF(W1258:W1275,$B1279)+COUNTIF(W1258:W1275,$B1279&amp;" ~*")&gt;0)+(IFERROR(INDEX(Setup!$G$33:$G$40,MATCH(Y1279,Setup!$B$33:$B$40,0)),0)=1)*(COUNTIF(Y1258:Y1275,$B1279)+COUNTIF(Y1258:Y1275,$B1279&amp;" ~*")&gt;0))</f>
        <v/>
      </c>
    </row>
    <row r="1280" ht="15" customHeight="1">
      <c r="A1280" t="n">
        <v>26</v>
      </c>
      <c r="B1280" s="37">
        <f>IF(Setup!$B$9="","",Setup!$B$9)</f>
        <v/>
      </c>
      <c r="C1280" s="102" t="n"/>
      <c r="D1280" s="103" t="n"/>
      <c r="E1280" s="103" t="n"/>
      <c r="F1280" s="104" t="n"/>
      <c r="G1280" s="102" t="n"/>
      <c r="H1280" s="103" t="n"/>
      <c r="I1280" s="103" t="n"/>
      <c r="J1280" s="104" t="n"/>
      <c r="K1280" s="102" t="n"/>
      <c r="L1280" s="103" t="n"/>
      <c r="M1280" s="103" t="n"/>
      <c r="N1280" s="104" t="n"/>
      <c r="O1280" s="102" t="n"/>
      <c r="P1280" s="103" t="n"/>
      <c r="Q1280" s="103" t="n"/>
      <c r="R1280" s="104" t="n"/>
      <c r="S1280" s="102" t="n"/>
      <c r="T1280" s="103" t="n"/>
      <c r="U1280" s="103" t="n"/>
      <c r="V1280" s="104" t="n"/>
      <c r="W1280" s="102" t="n"/>
      <c r="X1280" s="104" t="n"/>
      <c r="Y1280" s="102" t="n"/>
      <c r="Z1280" s="104" t="n"/>
      <c r="AB1280" s="105">
        <f>IF($B1280="","",(COUNTIF(C1258:E1275,$B1280)+COUNTIF(C1258:E1275,$B1280&amp;" ~*")&gt;0)+(COUNTIF(G1258:I1275,$B1280)+COUNTIF(G1258:I1275,$B1280&amp;" ~*")&gt;0)+(COUNTIF(K1258:M1275,$B1280)+COUNTIF(K1258:M1275,$B1280&amp;" ~*")&gt;0)+(COUNTIF(O1258:Q1275,$B1280)+COUNTIF(O1258:Q1275,$B1280&amp;" ~*")&gt;0)+(COUNTIF(S1258:U1275,$B1280)+COUNTIF(S1258:U1275,$B1280&amp;" ~*")&gt;0)+(COUNTIF(W1258:W1275,$B1280)+COUNTIF(W1258:W1275,$B1280&amp;" ~*")&gt;0)+(COUNTIF(Y1258:Y1275,$B1280)+COUNTIF(Y1258:Y1275,$B1280&amp;" ~*")&gt;0))</f>
        <v/>
      </c>
      <c r="AC1280" s="38">
        <f>IF($B1280="","",(IFERROR(INDEX(Setup!$G$33:$G$40,MATCH(C1280,Setup!$B$33:$B$40,0)),0)=1)*(COUNTIF(C1258:E1275,$B1280)+COUNTIF(C1258:E1275,$B1280&amp;" ~*")&gt;0)+(IFERROR(INDEX(Setup!$G$33:$G$40,MATCH(G1280,Setup!$B$33:$B$40,0)),0)=1)*(COUNTIF(G1258:I1275,$B1280)+COUNTIF(G1258:I1275,$B1280&amp;" ~*")&gt;0)+(IFERROR(INDEX(Setup!$G$33:$G$40,MATCH(K1280,Setup!$B$33:$B$40,0)),0)=1)*(COUNTIF(K1258:M1275,$B1280)+COUNTIF(K1258:M1275,$B1280&amp;" ~*")&gt;0)+(IFERROR(INDEX(Setup!$G$33:$G$40,MATCH(O1280,Setup!$B$33:$B$40,0)),0)=1)*(COUNTIF(O1258:Q1275,$B1280)+COUNTIF(O1258:Q1275,$B1280&amp;" ~*")&gt;0)+(IFERROR(INDEX(Setup!$G$33:$G$40,MATCH(S1280,Setup!$B$33:$B$40,0)),0)=1)*(COUNTIF(S1258:U1275,$B1280)+COUNTIF(S1258:U1275,$B1280&amp;" ~*")&gt;0)+(IFERROR(INDEX(Setup!$G$33:$G$40,MATCH(W1280,Setup!$B$33:$B$40,0)),0)=1)*(COUNTIF(W1258:W1275,$B1280)+COUNTIF(W1258:W1275,$B1280&amp;" ~*")&gt;0)+(IFERROR(INDEX(Setup!$G$33:$G$40,MATCH(Y1280,Setup!$B$33:$B$40,0)),0)=1)*(COUNTIF(Y1258:Y1275,$B1280)+COUNTIF(Y1258:Y1275,$B1280&amp;" ~*")&gt;0))</f>
        <v/>
      </c>
    </row>
    <row r="1281" ht="15" customHeight="1">
      <c r="A1281" t="n">
        <v>26</v>
      </c>
      <c r="B1281" s="35">
        <f>IF(Setup!$B$10="","",Setup!$B$10)</f>
        <v/>
      </c>
      <c r="C1281" s="98" t="n"/>
      <c r="D1281" s="99" t="n"/>
      <c r="E1281" s="99" t="n"/>
      <c r="F1281" s="100" t="n"/>
      <c r="G1281" s="98" t="n"/>
      <c r="H1281" s="99" t="n"/>
      <c r="I1281" s="99" t="n"/>
      <c r="J1281" s="100" t="n"/>
      <c r="K1281" s="98" t="n"/>
      <c r="L1281" s="99" t="n"/>
      <c r="M1281" s="99" t="n"/>
      <c r="N1281" s="100" t="n"/>
      <c r="O1281" s="98" t="n"/>
      <c r="P1281" s="99" t="n"/>
      <c r="Q1281" s="99" t="n"/>
      <c r="R1281" s="100" t="n"/>
      <c r="S1281" s="98" t="n"/>
      <c r="T1281" s="99" t="n"/>
      <c r="U1281" s="99" t="n"/>
      <c r="V1281" s="100" t="n"/>
      <c r="W1281" s="98" t="n"/>
      <c r="X1281" s="100" t="n"/>
      <c r="Y1281" s="98" t="n"/>
      <c r="Z1281" s="100" t="n"/>
      <c r="AB1281" s="101">
        <f>IF($B1281="","",(COUNTIF(C1258:E1275,$B1281)+COUNTIF(C1258:E1275,$B1281&amp;" ~*")&gt;0)+(COUNTIF(G1258:I1275,$B1281)+COUNTIF(G1258:I1275,$B1281&amp;" ~*")&gt;0)+(COUNTIF(K1258:M1275,$B1281)+COUNTIF(K1258:M1275,$B1281&amp;" ~*")&gt;0)+(COUNTIF(O1258:Q1275,$B1281)+COUNTIF(O1258:Q1275,$B1281&amp;" ~*")&gt;0)+(COUNTIF(S1258:U1275,$B1281)+COUNTIF(S1258:U1275,$B1281&amp;" ~*")&gt;0)+(COUNTIF(W1258:W1275,$B1281)+COUNTIF(W1258:W1275,$B1281&amp;" ~*")&gt;0)+(COUNTIF(Y1258:Y1275,$B1281)+COUNTIF(Y1258:Y1275,$B1281&amp;" ~*")&gt;0))</f>
        <v/>
      </c>
      <c r="AC1281" s="36">
        <f>IF($B1281="","",(IFERROR(INDEX(Setup!$G$33:$G$40,MATCH(C1281,Setup!$B$33:$B$40,0)),0)=1)*(COUNTIF(C1258:E1275,$B1281)+COUNTIF(C1258:E1275,$B1281&amp;" ~*")&gt;0)+(IFERROR(INDEX(Setup!$G$33:$G$40,MATCH(G1281,Setup!$B$33:$B$40,0)),0)=1)*(COUNTIF(G1258:I1275,$B1281)+COUNTIF(G1258:I1275,$B1281&amp;" ~*")&gt;0)+(IFERROR(INDEX(Setup!$G$33:$G$40,MATCH(K1281,Setup!$B$33:$B$40,0)),0)=1)*(COUNTIF(K1258:M1275,$B1281)+COUNTIF(K1258:M1275,$B1281&amp;" ~*")&gt;0)+(IFERROR(INDEX(Setup!$G$33:$G$40,MATCH(O1281,Setup!$B$33:$B$40,0)),0)=1)*(COUNTIF(O1258:Q1275,$B1281)+COUNTIF(O1258:Q1275,$B1281&amp;" ~*")&gt;0)+(IFERROR(INDEX(Setup!$G$33:$G$40,MATCH(S1281,Setup!$B$33:$B$40,0)),0)=1)*(COUNTIF(S1258:U1275,$B1281)+COUNTIF(S1258:U1275,$B1281&amp;" ~*")&gt;0)+(IFERROR(INDEX(Setup!$G$33:$G$40,MATCH(W1281,Setup!$B$33:$B$40,0)),0)=1)*(COUNTIF(W1258:W1275,$B1281)+COUNTIF(W1258:W1275,$B1281&amp;" ~*")&gt;0)+(IFERROR(INDEX(Setup!$G$33:$G$40,MATCH(Y1281,Setup!$B$33:$B$40,0)),0)=1)*(COUNTIF(Y1258:Y1275,$B1281)+COUNTIF(Y1258:Y1275,$B1281&amp;" ~*")&gt;0))</f>
        <v/>
      </c>
    </row>
    <row r="1282" ht="15" customHeight="1">
      <c r="A1282" t="n">
        <v>26</v>
      </c>
      <c r="B1282" s="37">
        <f>IF(Setup!$B$11="","",Setup!$B$11)</f>
        <v/>
      </c>
      <c r="C1282" s="102" t="n"/>
      <c r="D1282" s="103" t="n"/>
      <c r="E1282" s="103" t="n"/>
      <c r="F1282" s="104" t="n"/>
      <c r="G1282" s="102" t="n"/>
      <c r="H1282" s="103" t="n"/>
      <c r="I1282" s="103" t="n"/>
      <c r="J1282" s="104" t="n"/>
      <c r="K1282" s="102" t="n"/>
      <c r="L1282" s="103" t="n"/>
      <c r="M1282" s="103" t="n"/>
      <c r="N1282" s="104" t="n"/>
      <c r="O1282" s="102" t="n"/>
      <c r="P1282" s="103" t="n"/>
      <c r="Q1282" s="103" t="n"/>
      <c r="R1282" s="104" t="n"/>
      <c r="S1282" s="102" t="n"/>
      <c r="T1282" s="103" t="n"/>
      <c r="U1282" s="103" t="n"/>
      <c r="V1282" s="104" t="n"/>
      <c r="W1282" s="102" t="n"/>
      <c r="X1282" s="104" t="n"/>
      <c r="Y1282" s="102" t="n"/>
      <c r="Z1282" s="104" t="n"/>
      <c r="AB1282" s="105">
        <f>IF($B1282="","",(COUNTIF(C1258:E1275,$B1282)+COUNTIF(C1258:E1275,$B1282&amp;" ~*")&gt;0)+(COUNTIF(G1258:I1275,$B1282)+COUNTIF(G1258:I1275,$B1282&amp;" ~*")&gt;0)+(COUNTIF(K1258:M1275,$B1282)+COUNTIF(K1258:M1275,$B1282&amp;" ~*")&gt;0)+(COUNTIF(O1258:Q1275,$B1282)+COUNTIF(O1258:Q1275,$B1282&amp;" ~*")&gt;0)+(COUNTIF(S1258:U1275,$B1282)+COUNTIF(S1258:U1275,$B1282&amp;" ~*")&gt;0)+(COUNTIF(W1258:W1275,$B1282)+COUNTIF(W1258:W1275,$B1282&amp;" ~*")&gt;0)+(COUNTIF(Y1258:Y1275,$B1282)+COUNTIF(Y1258:Y1275,$B1282&amp;" ~*")&gt;0))</f>
        <v/>
      </c>
      <c r="AC1282" s="38">
        <f>IF($B1282="","",(IFERROR(INDEX(Setup!$G$33:$G$40,MATCH(C1282,Setup!$B$33:$B$40,0)),0)=1)*(COUNTIF(C1258:E1275,$B1282)+COUNTIF(C1258:E1275,$B1282&amp;" ~*")&gt;0)+(IFERROR(INDEX(Setup!$G$33:$G$40,MATCH(G1282,Setup!$B$33:$B$40,0)),0)=1)*(COUNTIF(G1258:I1275,$B1282)+COUNTIF(G1258:I1275,$B1282&amp;" ~*")&gt;0)+(IFERROR(INDEX(Setup!$G$33:$G$40,MATCH(K1282,Setup!$B$33:$B$40,0)),0)=1)*(COUNTIF(K1258:M1275,$B1282)+COUNTIF(K1258:M1275,$B1282&amp;" ~*")&gt;0)+(IFERROR(INDEX(Setup!$G$33:$G$40,MATCH(O1282,Setup!$B$33:$B$40,0)),0)=1)*(COUNTIF(O1258:Q1275,$B1282)+COUNTIF(O1258:Q1275,$B1282&amp;" ~*")&gt;0)+(IFERROR(INDEX(Setup!$G$33:$G$40,MATCH(S1282,Setup!$B$33:$B$40,0)),0)=1)*(COUNTIF(S1258:U1275,$B1282)+COUNTIF(S1258:U1275,$B1282&amp;" ~*")&gt;0)+(IFERROR(INDEX(Setup!$G$33:$G$40,MATCH(W1282,Setup!$B$33:$B$40,0)),0)=1)*(COUNTIF(W1258:W1275,$B1282)+COUNTIF(W1258:W1275,$B1282&amp;" ~*")&gt;0)+(IFERROR(INDEX(Setup!$G$33:$G$40,MATCH(Y1282,Setup!$B$33:$B$40,0)),0)=1)*(COUNTIF(Y1258:Y1275,$B1282)+COUNTIF(Y1258:Y1275,$B1282&amp;" ~*")&gt;0))</f>
        <v/>
      </c>
    </row>
    <row r="1283" ht="15" customHeight="1">
      <c r="A1283" t="n">
        <v>26</v>
      </c>
      <c r="B1283" s="35">
        <f>IF(Setup!$B$12="","",Setup!$B$12)</f>
        <v/>
      </c>
      <c r="C1283" s="98" t="n"/>
      <c r="D1283" s="99" t="n"/>
      <c r="E1283" s="99" t="n"/>
      <c r="F1283" s="100" t="n"/>
      <c r="G1283" s="98" t="n"/>
      <c r="H1283" s="99" t="n"/>
      <c r="I1283" s="99" t="n"/>
      <c r="J1283" s="100" t="n"/>
      <c r="K1283" s="98" t="n"/>
      <c r="L1283" s="99" t="n"/>
      <c r="M1283" s="99" t="n"/>
      <c r="N1283" s="100" t="n"/>
      <c r="O1283" s="98" t="n"/>
      <c r="P1283" s="99" t="n"/>
      <c r="Q1283" s="99" t="n"/>
      <c r="R1283" s="100" t="n"/>
      <c r="S1283" s="98" t="n"/>
      <c r="T1283" s="99" t="n"/>
      <c r="U1283" s="99" t="n"/>
      <c r="V1283" s="100" t="n"/>
      <c r="W1283" s="98" t="n"/>
      <c r="X1283" s="100" t="n"/>
      <c r="Y1283" s="98" t="n"/>
      <c r="Z1283" s="100" t="n"/>
      <c r="AB1283" s="101">
        <f>IF($B1283="","",(COUNTIF(C1258:E1275,$B1283)+COUNTIF(C1258:E1275,$B1283&amp;" ~*")&gt;0)+(COUNTIF(G1258:I1275,$B1283)+COUNTIF(G1258:I1275,$B1283&amp;" ~*")&gt;0)+(COUNTIF(K1258:M1275,$B1283)+COUNTIF(K1258:M1275,$B1283&amp;" ~*")&gt;0)+(COUNTIF(O1258:Q1275,$B1283)+COUNTIF(O1258:Q1275,$B1283&amp;" ~*")&gt;0)+(COUNTIF(S1258:U1275,$B1283)+COUNTIF(S1258:U1275,$B1283&amp;" ~*")&gt;0)+(COUNTIF(W1258:W1275,$B1283)+COUNTIF(W1258:W1275,$B1283&amp;" ~*")&gt;0)+(COUNTIF(Y1258:Y1275,$B1283)+COUNTIF(Y1258:Y1275,$B1283&amp;" ~*")&gt;0))</f>
        <v/>
      </c>
      <c r="AC1283" s="36">
        <f>IF($B1283="","",(IFERROR(INDEX(Setup!$G$33:$G$40,MATCH(C1283,Setup!$B$33:$B$40,0)),0)=1)*(COUNTIF(C1258:E1275,$B1283)+COUNTIF(C1258:E1275,$B1283&amp;" ~*")&gt;0)+(IFERROR(INDEX(Setup!$G$33:$G$40,MATCH(G1283,Setup!$B$33:$B$40,0)),0)=1)*(COUNTIF(G1258:I1275,$B1283)+COUNTIF(G1258:I1275,$B1283&amp;" ~*")&gt;0)+(IFERROR(INDEX(Setup!$G$33:$G$40,MATCH(K1283,Setup!$B$33:$B$40,0)),0)=1)*(COUNTIF(K1258:M1275,$B1283)+COUNTIF(K1258:M1275,$B1283&amp;" ~*")&gt;0)+(IFERROR(INDEX(Setup!$G$33:$G$40,MATCH(O1283,Setup!$B$33:$B$40,0)),0)=1)*(COUNTIF(O1258:Q1275,$B1283)+COUNTIF(O1258:Q1275,$B1283&amp;" ~*")&gt;0)+(IFERROR(INDEX(Setup!$G$33:$G$40,MATCH(S1283,Setup!$B$33:$B$40,0)),0)=1)*(COUNTIF(S1258:U1275,$B1283)+COUNTIF(S1258:U1275,$B1283&amp;" ~*")&gt;0)+(IFERROR(INDEX(Setup!$G$33:$G$40,MATCH(W1283,Setup!$B$33:$B$40,0)),0)=1)*(COUNTIF(W1258:W1275,$B1283)+COUNTIF(W1258:W1275,$B1283&amp;" ~*")&gt;0)+(IFERROR(INDEX(Setup!$G$33:$G$40,MATCH(Y1283,Setup!$B$33:$B$40,0)),0)=1)*(COUNTIF(Y1258:Y1275,$B1283)+COUNTIF(Y1258:Y1275,$B1283&amp;" ~*")&gt;0))</f>
        <v/>
      </c>
    </row>
    <row r="1284" ht="15" customHeight="1">
      <c r="A1284" t="n">
        <v>26</v>
      </c>
      <c r="B1284" s="37">
        <f>IF(Setup!$B$13="","",Setup!$B$13)</f>
        <v/>
      </c>
      <c r="C1284" s="102" t="n"/>
      <c r="D1284" s="103" t="n"/>
      <c r="E1284" s="103" t="n"/>
      <c r="F1284" s="104" t="n"/>
      <c r="G1284" s="102" t="n"/>
      <c r="H1284" s="103" t="n"/>
      <c r="I1284" s="103" t="n"/>
      <c r="J1284" s="104" t="n"/>
      <c r="K1284" s="102" t="n"/>
      <c r="L1284" s="103" t="n"/>
      <c r="M1284" s="103" t="n"/>
      <c r="N1284" s="104" t="n"/>
      <c r="O1284" s="102" t="n"/>
      <c r="P1284" s="103" t="n"/>
      <c r="Q1284" s="103" t="n"/>
      <c r="R1284" s="104" t="n"/>
      <c r="S1284" s="102" t="n"/>
      <c r="T1284" s="103" t="n"/>
      <c r="U1284" s="103" t="n"/>
      <c r="V1284" s="104" t="n"/>
      <c r="W1284" s="102" t="n"/>
      <c r="X1284" s="104" t="n"/>
      <c r="Y1284" s="102" t="n"/>
      <c r="Z1284" s="104" t="n"/>
      <c r="AB1284" s="105">
        <f>IF($B1284="","",(COUNTIF(C1258:E1275,$B1284)+COUNTIF(C1258:E1275,$B1284&amp;" ~*")&gt;0)+(COUNTIF(G1258:I1275,$B1284)+COUNTIF(G1258:I1275,$B1284&amp;" ~*")&gt;0)+(COUNTIF(K1258:M1275,$B1284)+COUNTIF(K1258:M1275,$B1284&amp;" ~*")&gt;0)+(COUNTIF(O1258:Q1275,$B1284)+COUNTIF(O1258:Q1275,$B1284&amp;" ~*")&gt;0)+(COUNTIF(S1258:U1275,$B1284)+COUNTIF(S1258:U1275,$B1284&amp;" ~*")&gt;0)+(COUNTIF(W1258:W1275,$B1284)+COUNTIF(W1258:W1275,$B1284&amp;" ~*")&gt;0)+(COUNTIF(Y1258:Y1275,$B1284)+COUNTIF(Y1258:Y1275,$B1284&amp;" ~*")&gt;0))</f>
        <v/>
      </c>
      <c r="AC1284" s="38">
        <f>IF($B1284="","",(IFERROR(INDEX(Setup!$G$33:$G$40,MATCH(C1284,Setup!$B$33:$B$40,0)),0)=1)*(COUNTIF(C1258:E1275,$B1284)+COUNTIF(C1258:E1275,$B1284&amp;" ~*")&gt;0)+(IFERROR(INDEX(Setup!$G$33:$G$40,MATCH(G1284,Setup!$B$33:$B$40,0)),0)=1)*(COUNTIF(G1258:I1275,$B1284)+COUNTIF(G1258:I1275,$B1284&amp;" ~*")&gt;0)+(IFERROR(INDEX(Setup!$G$33:$G$40,MATCH(K1284,Setup!$B$33:$B$40,0)),0)=1)*(COUNTIF(K1258:M1275,$B1284)+COUNTIF(K1258:M1275,$B1284&amp;" ~*")&gt;0)+(IFERROR(INDEX(Setup!$G$33:$G$40,MATCH(O1284,Setup!$B$33:$B$40,0)),0)=1)*(COUNTIF(O1258:Q1275,$B1284)+COUNTIF(O1258:Q1275,$B1284&amp;" ~*")&gt;0)+(IFERROR(INDEX(Setup!$G$33:$G$40,MATCH(S1284,Setup!$B$33:$B$40,0)),0)=1)*(COUNTIF(S1258:U1275,$B1284)+COUNTIF(S1258:U1275,$B1284&amp;" ~*")&gt;0)+(IFERROR(INDEX(Setup!$G$33:$G$40,MATCH(W1284,Setup!$B$33:$B$40,0)),0)=1)*(COUNTIF(W1258:W1275,$B1284)+COUNTIF(W1258:W1275,$B1284&amp;" ~*")&gt;0)+(IFERROR(INDEX(Setup!$G$33:$G$40,MATCH(Y1284,Setup!$B$33:$B$40,0)),0)=1)*(COUNTIF(Y1258:Y1275,$B1284)+COUNTIF(Y1258:Y1275,$B1284&amp;" ~*")&gt;0))</f>
        <v/>
      </c>
    </row>
    <row r="1285" ht="15" customHeight="1">
      <c r="A1285" t="n">
        <v>26</v>
      </c>
      <c r="B1285" s="35">
        <f>IF(Setup!$B$14="","",Setup!$B$14)</f>
        <v/>
      </c>
      <c r="C1285" s="98" t="n"/>
      <c r="D1285" s="99" t="n"/>
      <c r="E1285" s="99" t="n"/>
      <c r="F1285" s="100" t="n"/>
      <c r="G1285" s="98" t="n"/>
      <c r="H1285" s="99" t="n"/>
      <c r="I1285" s="99" t="n"/>
      <c r="J1285" s="100" t="n"/>
      <c r="K1285" s="98" t="n"/>
      <c r="L1285" s="99" t="n"/>
      <c r="M1285" s="99" t="n"/>
      <c r="N1285" s="100" t="n"/>
      <c r="O1285" s="98" t="n"/>
      <c r="P1285" s="99" t="n"/>
      <c r="Q1285" s="99" t="n"/>
      <c r="R1285" s="100" t="n"/>
      <c r="S1285" s="98" t="n"/>
      <c r="T1285" s="99" t="n"/>
      <c r="U1285" s="99" t="n"/>
      <c r="V1285" s="100" t="n"/>
      <c r="W1285" s="98" t="n"/>
      <c r="X1285" s="100" t="n"/>
      <c r="Y1285" s="98" t="n"/>
      <c r="Z1285" s="100" t="n"/>
      <c r="AB1285" s="101">
        <f>IF($B1285="","",(COUNTIF(C1258:E1275,$B1285)+COUNTIF(C1258:E1275,$B1285&amp;" ~*")&gt;0)+(COUNTIF(G1258:I1275,$B1285)+COUNTIF(G1258:I1275,$B1285&amp;" ~*")&gt;0)+(COUNTIF(K1258:M1275,$B1285)+COUNTIF(K1258:M1275,$B1285&amp;" ~*")&gt;0)+(COUNTIF(O1258:Q1275,$B1285)+COUNTIF(O1258:Q1275,$B1285&amp;" ~*")&gt;0)+(COUNTIF(S1258:U1275,$B1285)+COUNTIF(S1258:U1275,$B1285&amp;" ~*")&gt;0)+(COUNTIF(W1258:W1275,$B1285)+COUNTIF(W1258:W1275,$B1285&amp;" ~*")&gt;0)+(COUNTIF(Y1258:Y1275,$B1285)+COUNTIF(Y1258:Y1275,$B1285&amp;" ~*")&gt;0))</f>
        <v/>
      </c>
      <c r="AC1285" s="36">
        <f>IF($B1285="","",(IFERROR(INDEX(Setup!$G$33:$G$40,MATCH(C1285,Setup!$B$33:$B$40,0)),0)=1)*(COUNTIF(C1258:E1275,$B1285)+COUNTIF(C1258:E1275,$B1285&amp;" ~*")&gt;0)+(IFERROR(INDEX(Setup!$G$33:$G$40,MATCH(G1285,Setup!$B$33:$B$40,0)),0)=1)*(COUNTIF(G1258:I1275,$B1285)+COUNTIF(G1258:I1275,$B1285&amp;" ~*")&gt;0)+(IFERROR(INDEX(Setup!$G$33:$G$40,MATCH(K1285,Setup!$B$33:$B$40,0)),0)=1)*(COUNTIF(K1258:M1275,$B1285)+COUNTIF(K1258:M1275,$B1285&amp;" ~*")&gt;0)+(IFERROR(INDEX(Setup!$G$33:$G$40,MATCH(O1285,Setup!$B$33:$B$40,0)),0)=1)*(COUNTIF(O1258:Q1275,$B1285)+COUNTIF(O1258:Q1275,$B1285&amp;" ~*")&gt;0)+(IFERROR(INDEX(Setup!$G$33:$G$40,MATCH(S1285,Setup!$B$33:$B$40,0)),0)=1)*(COUNTIF(S1258:U1275,$B1285)+COUNTIF(S1258:U1275,$B1285&amp;" ~*")&gt;0)+(IFERROR(INDEX(Setup!$G$33:$G$40,MATCH(W1285,Setup!$B$33:$B$40,0)),0)=1)*(COUNTIF(W1258:W1275,$B1285)+COUNTIF(W1258:W1275,$B1285&amp;" ~*")&gt;0)+(IFERROR(INDEX(Setup!$G$33:$G$40,MATCH(Y1285,Setup!$B$33:$B$40,0)),0)=1)*(COUNTIF(Y1258:Y1275,$B1285)+COUNTIF(Y1258:Y1275,$B1285&amp;" ~*")&gt;0))</f>
        <v/>
      </c>
    </row>
    <row r="1286" ht="15" customHeight="1">
      <c r="A1286" t="n">
        <v>26</v>
      </c>
      <c r="B1286" s="37">
        <f>IF(Setup!$B$15="","",Setup!$B$15)</f>
        <v/>
      </c>
      <c r="C1286" s="102" t="n"/>
      <c r="D1286" s="103" t="n"/>
      <c r="E1286" s="103" t="n"/>
      <c r="F1286" s="104" t="n"/>
      <c r="G1286" s="102" t="n"/>
      <c r="H1286" s="103" t="n"/>
      <c r="I1286" s="103" t="n"/>
      <c r="J1286" s="104" t="n"/>
      <c r="K1286" s="102" t="n"/>
      <c r="L1286" s="103" t="n"/>
      <c r="M1286" s="103" t="n"/>
      <c r="N1286" s="104" t="n"/>
      <c r="O1286" s="102" t="n"/>
      <c r="P1286" s="103" t="n"/>
      <c r="Q1286" s="103" t="n"/>
      <c r="R1286" s="104" t="n"/>
      <c r="S1286" s="102" t="n"/>
      <c r="T1286" s="103" t="n"/>
      <c r="U1286" s="103" t="n"/>
      <c r="V1286" s="104" t="n"/>
      <c r="W1286" s="102" t="n"/>
      <c r="X1286" s="104" t="n"/>
      <c r="Y1286" s="102" t="n"/>
      <c r="Z1286" s="104" t="n"/>
      <c r="AB1286" s="105">
        <f>IF($B1286="","",(COUNTIF(C1258:E1275,$B1286)+COUNTIF(C1258:E1275,$B1286&amp;" ~*")&gt;0)+(COUNTIF(G1258:I1275,$B1286)+COUNTIF(G1258:I1275,$B1286&amp;" ~*")&gt;0)+(COUNTIF(K1258:M1275,$B1286)+COUNTIF(K1258:M1275,$B1286&amp;" ~*")&gt;0)+(COUNTIF(O1258:Q1275,$B1286)+COUNTIF(O1258:Q1275,$B1286&amp;" ~*")&gt;0)+(COUNTIF(S1258:U1275,$B1286)+COUNTIF(S1258:U1275,$B1286&amp;" ~*")&gt;0)+(COUNTIF(W1258:W1275,$B1286)+COUNTIF(W1258:W1275,$B1286&amp;" ~*")&gt;0)+(COUNTIF(Y1258:Y1275,$B1286)+COUNTIF(Y1258:Y1275,$B1286&amp;" ~*")&gt;0))</f>
        <v/>
      </c>
      <c r="AC1286" s="38">
        <f>IF($B1286="","",(IFERROR(INDEX(Setup!$G$33:$G$40,MATCH(C1286,Setup!$B$33:$B$40,0)),0)=1)*(COUNTIF(C1258:E1275,$B1286)+COUNTIF(C1258:E1275,$B1286&amp;" ~*")&gt;0)+(IFERROR(INDEX(Setup!$G$33:$G$40,MATCH(G1286,Setup!$B$33:$B$40,0)),0)=1)*(COUNTIF(G1258:I1275,$B1286)+COUNTIF(G1258:I1275,$B1286&amp;" ~*")&gt;0)+(IFERROR(INDEX(Setup!$G$33:$G$40,MATCH(K1286,Setup!$B$33:$B$40,0)),0)=1)*(COUNTIF(K1258:M1275,$B1286)+COUNTIF(K1258:M1275,$B1286&amp;" ~*")&gt;0)+(IFERROR(INDEX(Setup!$G$33:$G$40,MATCH(O1286,Setup!$B$33:$B$40,0)),0)=1)*(COUNTIF(O1258:Q1275,$B1286)+COUNTIF(O1258:Q1275,$B1286&amp;" ~*")&gt;0)+(IFERROR(INDEX(Setup!$G$33:$G$40,MATCH(S1286,Setup!$B$33:$B$40,0)),0)=1)*(COUNTIF(S1258:U1275,$B1286)+COUNTIF(S1258:U1275,$B1286&amp;" ~*")&gt;0)+(IFERROR(INDEX(Setup!$G$33:$G$40,MATCH(W1286,Setup!$B$33:$B$40,0)),0)=1)*(COUNTIF(W1258:W1275,$B1286)+COUNTIF(W1258:W1275,$B1286&amp;" ~*")&gt;0)+(IFERROR(INDEX(Setup!$G$33:$G$40,MATCH(Y1286,Setup!$B$33:$B$40,0)),0)=1)*(COUNTIF(Y1258:Y1275,$B1286)+COUNTIF(Y1258:Y1275,$B1286&amp;" ~*")&gt;0))</f>
        <v/>
      </c>
    </row>
    <row r="1287" ht="15" customHeight="1">
      <c r="A1287" t="n">
        <v>26</v>
      </c>
      <c r="B1287" s="35">
        <f>IF(Setup!$B$16="","",Setup!$B$16)</f>
        <v/>
      </c>
      <c r="C1287" s="98" t="n"/>
      <c r="D1287" s="99" t="n"/>
      <c r="E1287" s="99" t="n"/>
      <c r="F1287" s="100" t="n"/>
      <c r="G1287" s="98" t="n"/>
      <c r="H1287" s="99" t="n"/>
      <c r="I1287" s="99" t="n"/>
      <c r="J1287" s="100" t="n"/>
      <c r="K1287" s="98" t="n"/>
      <c r="L1287" s="99" t="n"/>
      <c r="M1287" s="99" t="n"/>
      <c r="N1287" s="100" t="n"/>
      <c r="O1287" s="98" t="n"/>
      <c r="P1287" s="99" t="n"/>
      <c r="Q1287" s="99" t="n"/>
      <c r="R1287" s="100" t="n"/>
      <c r="S1287" s="98" t="n"/>
      <c r="T1287" s="99" t="n"/>
      <c r="U1287" s="99" t="n"/>
      <c r="V1287" s="100" t="n"/>
      <c r="W1287" s="98" t="n"/>
      <c r="X1287" s="100" t="n"/>
      <c r="Y1287" s="98" t="n"/>
      <c r="Z1287" s="100" t="n"/>
      <c r="AB1287" s="101">
        <f>IF($B1287="","",(COUNTIF(C1258:E1275,$B1287)+COUNTIF(C1258:E1275,$B1287&amp;" ~*")&gt;0)+(COUNTIF(G1258:I1275,$B1287)+COUNTIF(G1258:I1275,$B1287&amp;" ~*")&gt;0)+(COUNTIF(K1258:M1275,$B1287)+COUNTIF(K1258:M1275,$B1287&amp;" ~*")&gt;0)+(COUNTIF(O1258:Q1275,$B1287)+COUNTIF(O1258:Q1275,$B1287&amp;" ~*")&gt;0)+(COUNTIF(S1258:U1275,$B1287)+COUNTIF(S1258:U1275,$B1287&amp;" ~*")&gt;0)+(COUNTIF(W1258:W1275,$B1287)+COUNTIF(W1258:W1275,$B1287&amp;" ~*")&gt;0)+(COUNTIF(Y1258:Y1275,$B1287)+COUNTIF(Y1258:Y1275,$B1287&amp;" ~*")&gt;0))</f>
        <v/>
      </c>
      <c r="AC1287" s="36">
        <f>IF($B1287="","",(IFERROR(INDEX(Setup!$G$33:$G$40,MATCH(C1287,Setup!$B$33:$B$40,0)),0)=1)*(COUNTIF(C1258:E1275,$B1287)+COUNTIF(C1258:E1275,$B1287&amp;" ~*")&gt;0)+(IFERROR(INDEX(Setup!$G$33:$G$40,MATCH(G1287,Setup!$B$33:$B$40,0)),0)=1)*(COUNTIF(G1258:I1275,$B1287)+COUNTIF(G1258:I1275,$B1287&amp;" ~*")&gt;0)+(IFERROR(INDEX(Setup!$G$33:$G$40,MATCH(K1287,Setup!$B$33:$B$40,0)),0)=1)*(COUNTIF(K1258:M1275,$B1287)+COUNTIF(K1258:M1275,$B1287&amp;" ~*")&gt;0)+(IFERROR(INDEX(Setup!$G$33:$G$40,MATCH(O1287,Setup!$B$33:$B$40,0)),0)=1)*(COUNTIF(O1258:Q1275,$B1287)+COUNTIF(O1258:Q1275,$B1287&amp;" ~*")&gt;0)+(IFERROR(INDEX(Setup!$G$33:$G$40,MATCH(S1287,Setup!$B$33:$B$40,0)),0)=1)*(COUNTIF(S1258:U1275,$B1287)+COUNTIF(S1258:U1275,$B1287&amp;" ~*")&gt;0)+(IFERROR(INDEX(Setup!$G$33:$G$40,MATCH(W1287,Setup!$B$33:$B$40,0)),0)=1)*(COUNTIF(W1258:W1275,$B1287)+COUNTIF(W1258:W1275,$B1287&amp;" ~*")&gt;0)+(IFERROR(INDEX(Setup!$G$33:$G$40,MATCH(Y1287,Setup!$B$33:$B$40,0)),0)=1)*(COUNTIF(Y1258:Y1275,$B1287)+COUNTIF(Y1258:Y1275,$B1287&amp;" ~*")&gt;0))</f>
        <v/>
      </c>
    </row>
    <row r="1288" ht="15" customHeight="1">
      <c r="A1288" t="n">
        <v>26</v>
      </c>
      <c r="B1288" s="37">
        <f>IF(Setup!$B$17="","",Setup!$B$17)</f>
        <v/>
      </c>
      <c r="C1288" s="102" t="n"/>
      <c r="D1288" s="103" t="n"/>
      <c r="E1288" s="103" t="n"/>
      <c r="F1288" s="104" t="n"/>
      <c r="G1288" s="102" t="n"/>
      <c r="H1288" s="103" t="n"/>
      <c r="I1288" s="103" t="n"/>
      <c r="J1288" s="104" t="n"/>
      <c r="K1288" s="102" t="n"/>
      <c r="L1288" s="103" t="n"/>
      <c r="M1288" s="103" t="n"/>
      <c r="N1288" s="104" t="n"/>
      <c r="O1288" s="102" t="n"/>
      <c r="P1288" s="103" t="n"/>
      <c r="Q1288" s="103" t="n"/>
      <c r="R1288" s="104" t="n"/>
      <c r="S1288" s="102" t="n"/>
      <c r="T1288" s="103" t="n"/>
      <c r="U1288" s="103" t="n"/>
      <c r="V1288" s="104" t="n"/>
      <c r="W1288" s="102" t="n"/>
      <c r="X1288" s="104" t="n"/>
      <c r="Y1288" s="102" t="n"/>
      <c r="Z1288" s="104" t="n"/>
      <c r="AB1288" s="105">
        <f>IF($B1288="","",(COUNTIF(C1258:E1275,$B1288)+COUNTIF(C1258:E1275,$B1288&amp;" ~*")&gt;0)+(COUNTIF(G1258:I1275,$B1288)+COUNTIF(G1258:I1275,$B1288&amp;" ~*")&gt;0)+(COUNTIF(K1258:M1275,$B1288)+COUNTIF(K1258:M1275,$B1288&amp;" ~*")&gt;0)+(COUNTIF(O1258:Q1275,$B1288)+COUNTIF(O1258:Q1275,$B1288&amp;" ~*")&gt;0)+(COUNTIF(S1258:U1275,$B1288)+COUNTIF(S1258:U1275,$B1288&amp;" ~*")&gt;0)+(COUNTIF(W1258:W1275,$B1288)+COUNTIF(W1258:W1275,$B1288&amp;" ~*")&gt;0)+(COUNTIF(Y1258:Y1275,$B1288)+COUNTIF(Y1258:Y1275,$B1288&amp;" ~*")&gt;0))</f>
        <v/>
      </c>
      <c r="AC1288" s="38">
        <f>IF($B1288="","",(IFERROR(INDEX(Setup!$G$33:$G$40,MATCH(C1288,Setup!$B$33:$B$40,0)),0)=1)*(COUNTIF(C1258:E1275,$B1288)+COUNTIF(C1258:E1275,$B1288&amp;" ~*")&gt;0)+(IFERROR(INDEX(Setup!$G$33:$G$40,MATCH(G1288,Setup!$B$33:$B$40,0)),0)=1)*(COUNTIF(G1258:I1275,$B1288)+COUNTIF(G1258:I1275,$B1288&amp;" ~*")&gt;0)+(IFERROR(INDEX(Setup!$G$33:$G$40,MATCH(K1288,Setup!$B$33:$B$40,0)),0)=1)*(COUNTIF(K1258:M1275,$B1288)+COUNTIF(K1258:M1275,$B1288&amp;" ~*")&gt;0)+(IFERROR(INDEX(Setup!$G$33:$G$40,MATCH(O1288,Setup!$B$33:$B$40,0)),0)=1)*(COUNTIF(O1258:Q1275,$B1288)+COUNTIF(O1258:Q1275,$B1288&amp;" ~*")&gt;0)+(IFERROR(INDEX(Setup!$G$33:$G$40,MATCH(S1288,Setup!$B$33:$B$40,0)),0)=1)*(COUNTIF(S1258:U1275,$B1288)+COUNTIF(S1258:U1275,$B1288&amp;" ~*")&gt;0)+(IFERROR(INDEX(Setup!$G$33:$G$40,MATCH(W1288,Setup!$B$33:$B$40,0)),0)=1)*(COUNTIF(W1258:W1275,$B1288)+COUNTIF(W1258:W1275,$B1288&amp;" ~*")&gt;0)+(IFERROR(INDEX(Setup!$G$33:$G$40,MATCH(Y1288,Setup!$B$33:$B$40,0)),0)=1)*(COUNTIF(Y1258:Y1275,$B1288)+COUNTIF(Y1258:Y1275,$B1288&amp;" ~*")&gt;0))</f>
        <v/>
      </c>
    </row>
    <row r="1289" ht="15" customHeight="1">
      <c r="A1289" t="n">
        <v>26</v>
      </c>
      <c r="B1289" s="35">
        <f>IF(Setup!$B$18="","",Setup!$B$18)</f>
        <v/>
      </c>
      <c r="C1289" s="98" t="n"/>
      <c r="D1289" s="99" t="n"/>
      <c r="E1289" s="99" t="n"/>
      <c r="F1289" s="100" t="n"/>
      <c r="G1289" s="98" t="n"/>
      <c r="H1289" s="99" t="n"/>
      <c r="I1289" s="99" t="n"/>
      <c r="J1289" s="100" t="n"/>
      <c r="K1289" s="98" t="n"/>
      <c r="L1289" s="99" t="n"/>
      <c r="M1289" s="99" t="n"/>
      <c r="N1289" s="100" t="n"/>
      <c r="O1289" s="98" t="n"/>
      <c r="P1289" s="99" t="n"/>
      <c r="Q1289" s="99" t="n"/>
      <c r="R1289" s="100" t="n"/>
      <c r="S1289" s="98" t="n"/>
      <c r="T1289" s="99" t="n"/>
      <c r="U1289" s="99" t="n"/>
      <c r="V1289" s="100" t="n"/>
      <c r="W1289" s="98" t="n"/>
      <c r="X1289" s="100" t="n"/>
      <c r="Y1289" s="98" t="n"/>
      <c r="Z1289" s="100" t="n"/>
      <c r="AB1289" s="101">
        <f>IF($B1289="","",(COUNTIF(C1258:E1275,$B1289)+COUNTIF(C1258:E1275,$B1289&amp;" ~*")&gt;0)+(COUNTIF(G1258:I1275,$B1289)+COUNTIF(G1258:I1275,$B1289&amp;" ~*")&gt;0)+(COUNTIF(K1258:M1275,$B1289)+COUNTIF(K1258:M1275,$B1289&amp;" ~*")&gt;0)+(COUNTIF(O1258:Q1275,$B1289)+COUNTIF(O1258:Q1275,$B1289&amp;" ~*")&gt;0)+(COUNTIF(S1258:U1275,$B1289)+COUNTIF(S1258:U1275,$B1289&amp;" ~*")&gt;0)+(COUNTIF(W1258:W1275,$B1289)+COUNTIF(W1258:W1275,$B1289&amp;" ~*")&gt;0)+(COUNTIF(Y1258:Y1275,$B1289)+COUNTIF(Y1258:Y1275,$B1289&amp;" ~*")&gt;0))</f>
        <v/>
      </c>
      <c r="AC1289" s="36">
        <f>IF($B1289="","",(IFERROR(INDEX(Setup!$G$33:$G$40,MATCH(C1289,Setup!$B$33:$B$40,0)),0)=1)*(COUNTIF(C1258:E1275,$B1289)+COUNTIF(C1258:E1275,$B1289&amp;" ~*")&gt;0)+(IFERROR(INDEX(Setup!$G$33:$G$40,MATCH(G1289,Setup!$B$33:$B$40,0)),0)=1)*(COUNTIF(G1258:I1275,$B1289)+COUNTIF(G1258:I1275,$B1289&amp;" ~*")&gt;0)+(IFERROR(INDEX(Setup!$G$33:$G$40,MATCH(K1289,Setup!$B$33:$B$40,0)),0)=1)*(COUNTIF(K1258:M1275,$B1289)+COUNTIF(K1258:M1275,$B1289&amp;" ~*")&gt;0)+(IFERROR(INDEX(Setup!$G$33:$G$40,MATCH(O1289,Setup!$B$33:$B$40,0)),0)=1)*(COUNTIF(O1258:Q1275,$B1289)+COUNTIF(O1258:Q1275,$B1289&amp;" ~*")&gt;0)+(IFERROR(INDEX(Setup!$G$33:$G$40,MATCH(S1289,Setup!$B$33:$B$40,0)),0)=1)*(COUNTIF(S1258:U1275,$B1289)+COUNTIF(S1258:U1275,$B1289&amp;" ~*")&gt;0)+(IFERROR(INDEX(Setup!$G$33:$G$40,MATCH(W1289,Setup!$B$33:$B$40,0)),0)=1)*(COUNTIF(W1258:W1275,$B1289)+COUNTIF(W1258:W1275,$B1289&amp;" ~*")&gt;0)+(IFERROR(INDEX(Setup!$G$33:$G$40,MATCH(Y1289,Setup!$B$33:$B$40,0)),0)=1)*(COUNTIF(Y1258:Y1275,$B1289)+COUNTIF(Y1258:Y1275,$B1289&amp;" ~*")&gt;0))</f>
        <v/>
      </c>
    </row>
    <row r="1290" ht="15" customHeight="1">
      <c r="A1290" t="n">
        <v>26</v>
      </c>
      <c r="B1290" s="37">
        <f>IF(Setup!$B$19="","",Setup!$B$19)</f>
        <v/>
      </c>
      <c r="C1290" s="102" t="n"/>
      <c r="D1290" s="103" t="n"/>
      <c r="E1290" s="103" t="n"/>
      <c r="F1290" s="104" t="n"/>
      <c r="G1290" s="102" t="n"/>
      <c r="H1290" s="103" t="n"/>
      <c r="I1290" s="103" t="n"/>
      <c r="J1290" s="104" t="n"/>
      <c r="K1290" s="102" t="n"/>
      <c r="L1290" s="103" t="n"/>
      <c r="M1290" s="103" t="n"/>
      <c r="N1290" s="104" t="n"/>
      <c r="O1290" s="102" t="n"/>
      <c r="P1290" s="103" t="n"/>
      <c r="Q1290" s="103" t="n"/>
      <c r="R1290" s="104" t="n"/>
      <c r="S1290" s="102" t="n"/>
      <c r="T1290" s="103" t="n"/>
      <c r="U1290" s="103" t="n"/>
      <c r="V1290" s="104" t="n"/>
      <c r="W1290" s="102" t="n"/>
      <c r="X1290" s="104" t="n"/>
      <c r="Y1290" s="102" t="n"/>
      <c r="Z1290" s="104" t="n"/>
      <c r="AB1290" s="105">
        <f>IF($B1290="","",(COUNTIF(C1258:E1275,$B1290)+COUNTIF(C1258:E1275,$B1290&amp;" ~*")&gt;0)+(COUNTIF(G1258:I1275,$B1290)+COUNTIF(G1258:I1275,$B1290&amp;" ~*")&gt;0)+(COUNTIF(K1258:M1275,$B1290)+COUNTIF(K1258:M1275,$B1290&amp;" ~*")&gt;0)+(COUNTIF(O1258:Q1275,$B1290)+COUNTIF(O1258:Q1275,$B1290&amp;" ~*")&gt;0)+(COUNTIF(S1258:U1275,$B1290)+COUNTIF(S1258:U1275,$B1290&amp;" ~*")&gt;0)+(COUNTIF(W1258:W1275,$B1290)+COUNTIF(W1258:W1275,$B1290&amp;" ~*")&gt;0)+(COUNTIF(Y1258:Y1275,$B1290)+COUNTIF(Y1258:Y1275,$B1290&amp;" ~*")&gt;0))</f>
        <v/>
      </c>
      <c r="AC1290" s="38">
        <f>IF($B1290="","",(IFERROR(INDEX(Setup!$G$33:$G$40,MATCH(C1290,Setup!$B$33:$B$40,0)),0)=1)*(COUNTIF(C1258:E1275,$B1290)+COUNTIF(C1258:E1275,$B1290&amp;" ~*")&gt;0)+(IFERROR(INDEX(Setup!$G$33:$G$40,MATCH(G1290,Setup!$B$33:$B$40,0)),0)=1)*(COUNTIF(G1258:I1275,$B1290)+COUNTIF(G1258:I1275,$B1290&amp;" ~*")&gt;0)+(IFERROR(INDEX(Setup!$G$33:$G$40,MATCH(K1290,Setup!$B$33:$B$40,0)),0)=1)*(COUNTIF(K1258:M1275,$B1290)+COUNTIF(K1258:M1275,$B1290&amp;" ~*")&gt;0)+(IFERROR(INDEX(Setup!$G$33:$G$40,MATCH(O1290,Setup!$B$33:$B$40,0)),0)=1)*(COUNTIF(O1258:Q1275,$B1290)+COUNTIF(O1258:Q1275,$B1290&amp;" ~*")&gt;0)+(IFERROR(INDEX(Setup!$G$33:$G$40,MATCH(S1290,Setup!$B$33:$B$40,0)),0)=1)*(COUNTIF(S1258:U1275,$B1290)+COUNTIF(S1258:U1275,$B1290&amp;" ~*")&gt;0)+(IFERROR(INDEX(Setup!$G$33:$G$40,MATCH(W1290,Setup!$B$33:$B$40,0)),0)=1)*(COUNTIF(W1258:W1275,$B1290)+COUNTIF(W1258:W1275,$B1290&amp;" ~*")&gt;0)+(IFERROR(INDEX(Setup!$G$33:$G$40,MATCH(Y1290,Setup!$B$33:$B$40,0)),0)=1)*(COUNTIF(Y1258:Y1275,$B1290)+COUNTIF(Y1258:Y1275,$B1290&amp;" ~*")&gt;0))</f>
        <v/>
      </c>
    </row>
    <row r="1291" ht="15" customHeight="1">
      <c r="A1291" t="n">
        <v>26</v>
      </c>
      <c r="B1291" s="35">
        <f>IF(Setup!$B$20="","",Setup!$B$20)</f>
        <v/>
      </c>
      <c r="C1291" s="98" t="n"/>
      <c r="D1291" s="99" t="n"/>
      <c r="E1291" s="99" t="n"/>
      <c r="F1291" s="100" t="n"/>
      <c r="G1291" s="98" t="n"/>
      <c r="H1291" s="99" t="n"/>
      <c r="I1291" s="99" t="n"/>
      <c r="J1291" s="100" t="n"/>
      <c r="K1291" s="98" t="n"/>
      <c r="L1291" s="99" t="n"/>
      <c r="M1291" s="99" t="n"/>
      <c r="N1291" s="100" t="n"/>
      <c r="O1291" s="98" t="n"/>
      <c r="P1291" s="99" t="n"/>
      <c r="Q1291" s="99" t="n"/>
      <c r="R1291" s="100" t="n"/>
      <c r="S1291" s="98" t="n"/>
      <c r="T1291" s="99" t="n"/>
      <c r="U1291" s="99" t="n"/>
      <c r="V1291" s="100" t="n"/>
      <c r="W1291" s="98" t="n"/>
      <c r="X1291" s="100" t="n"/>
      <c r="Y1291" s="98" t="n"/>
      <c r="Z1291" s="100" t="n"/>
      <c r="AB1291" s="101">
        <f>IF($B1291="","",(COUNTIF(C1258:E1275,$B1291)+COUNTIF(C1258:E1275,$B1291&amp;" ~*")&gt;0)+(COUNTIF(G1258:I1275,$B1291)+COUNTIF(G1258:I1275,$B1291&amp;" ~*")&gt;0)+(COUNTIF(K1258:M1275,$B1291)+COUNTIF(K1258:M1275,$B1291&amp;" ~*")&gt;0)+(COUNTIF(O1258:Q1275,$B1291)+COUNTIF(O1258:Q1275,$B1291&amp;" ~*")&gt;0)+(COUNTIF(S1258:U1275,$B1291)+COUNTIF(S1258:U1275,$B1291&amp;" ~*")&gt;0)+(COUNTIF(W1258:W1275,$B1291)+COUNTIF(W1258:W1275,$B1291&amp;" ~*")&gt;0)+(COUNTIF(Y1258:Y1275,$B1291)+COUNTIF(Y1258:Y1275,$B1291&amp;" ~*")&gt;0))</f>
        <v/>
      </c>
      <c r="AC1291" s="36">
        <f>IF($B1291="","",(IFERROR(INDEX(Setup!$G$33:$G$40,MATCH(C1291,Setup!$B$33:$B$40,0)),0)=1)*(COUNTIF(C1258:E1275,$B1291)+COUNTIF(C1258:E1275,$B1291&amp;" ~*")&gt;0)+(IFERROR(INDEX(Setup!$G$33:$G$40,MATCH(G1291,Setup!$B$33:$B$40,0)),0)=1)*(COUNTIF(G1258:I1275,$B1291)+COUNTIF(G1258:I1275,$B1291&amp;" ~*")&gt;0)+(IFERROR(INDEX(Setup!$G$33:$G$40,MATCH(K1291,Setup!$B$33:$B$40,0)),0)=1)*(COUNTIF(K1258:M1275,$B1291)+COUNTIF(K1258:M1275,$B1291&amp;" ~*")&gt;0)+(IFERROR(INDEX(Setup!$G$33:$G$40,MATCH(O1291,Setup!$B$33:$B$40,0)),0)=1)*(COUNTIF(O1258:Q1275,$B1291)+COUNTIF(O1258:Q1275,$B1291&amp;" ~*")&gt;0)+(IFERROR(INDEX(Setup!$G$33:$G$40,MATCH(S1291,Setup!$B$33:$B$40,0)),0)=1)*(COUNTIF(S1258:U1275,$B1291)+COUNTIF(S1258:U1275,$B1291&amp;" ~*")&gt;0)+(IFERROR(INDEX(Setup!$G$33:$G$40,MATCH(W1291,Setup!$B$33:$B$40,0)),0)=1)*(COUNTIF(W1258:W1275,$B1291)+COUNTIF(W1258:W1275,$B1291&amp;" ~*")&gt;0)+(IFERROR(INDEX(Setup!$G$33:$G$40,MATCH(Y1291,Setup!$B$33:$B$40,0)),0)=1)*(COUNTIF(Y1258:Y1275,$B1291)+COUNTIF(Y1258:Y1275,$B1291&amp;" ~*")&gt;0))</f>
        <v/>
      </c>
    </row>
    <row r="1292" ht="15" customHeight="1">
      <c r="A1292" t="n">
        <v>26</v>
      </c>
      <c r="B1292" s="37">
        <f>IF(Setup!$B$21="","",Setup!$B$21)</f>
        <v/>
      </c>
      <c r="C1292" s="102" t="n"/>
      <c r="D1292" s="103" t="n"/>
      <c r="E1292" s="103" t="n"/>
      <c r="F1292" s="104" t="n"/>
      <c r="G1292" s="102" t="n"/>
      <c r="H1292" s="103" t="n"/>
      <c r="I1292" s="103" t="n"/>
      <c r="J1292" s="104" t="n"/>
      <c r="K1292" s="102" t="n"/>
      <c r="L1292" s="103" t="n"/>
      <c r="M1292" s="103" t="n"/>
      <c r="N1292" s="104" t="n"/>
      <c r="O1292" s="102" t="n"/>
      <c r="P1292" s="103" t="n"/>
      <c r="Q1292" s="103" t="n"/>
      <c r="R1292" s="104" t="n"/>
      <c r="S1292" s="102" t="n"/>
      <c r="T1292" s="103" t="n"/>
      <c r="U1292" s="103" t="n"/>
      <c r="V1292" s="104" t="n"/>
      <c r="W1292" s="102" t="n"/>
      <c r="X1292" s="104" t="n"/>
      <c r="Y1292" s="102" t="n"/>
      <c r="Z1292" s="104" t="n"/>
      <c r="AB1292" s="105">
        <f>IF($B1292="","",(COUNTIF(C1258:E1275,$B1292)+COUNTIF(C1258:E1275,$B1292&amp;" ~*")&gt;0)+(COUNTIF(G1258:I1275,$B1292)+COUNTIF(G1258:I1275,$B1292&amp;" ~*")&gt;0)+(COUNTIF(K1258:M1275,$B1292)+COUNTIF(K1258:M1275,$B1292&amp;" ~*")&gt;0)+(COUNTIF(O1258:Q1275,$B1292)+COUNTIF(O1258:Q1275,$B1292&amp;" ~*")&gt;0)+(COUNTIF(S1258:U1275,$B1292)+COUNTIF(S1258:U1275,$B1292&amp;" ~*")&gt;0)+(COUNTIF(W1258:W1275,$B1292)+COUNTIF(W1258:W1275,$B1292&amp;" ~*")&gt;0)+(COUNTIF(Y1258:Y1275,$B1292)+COUNTIF(Y1258:Y1275,$B1292&amp;" ~*")&gt;0))</f>
        <v/>
      </c>
      <c r="AC1292" s="38">
        <f>IF($B1292="","",(IFERROR(INDEX(Setup!$G$33:$G$40,MATCH(C1292,Setup!$B$33:$B$40,0)),0)=1)*(COUNTIF(C1258:E1275,$B1292)+COUNTIF(C1258:E1275,$B1292&amp;" ~*")&gt;0)+(IFERROR(INDEX(Setup!$G$33:$G$40,MATCH(G1292,Setup!$B$33:$B$40,0)),0)=1)*(COUNTIF(G1258:I1275,$B1292)+COUNTIF(G1258:I1275,$B1292&amp;" ~*")&gt;0)+(IFERROR(INDEX(Setup!$G$33:$G$40,MATCH(K1292,Setup!$B$33:$B$40,0)),0)=1)*(COUNTIF(K1258:M1275,$B1292)+COUNTIF(K1258:M1275,$B1292&amp;" ~*")&gt;0)+(IFERROR(INDEX(Setup!$G$33:$G$40,MATCH(O1292,Setup!$B$33:$B$40,0)),0)=1)*(COUNTIF(O1258:Q1275,$B1292)+COUNTIF(O1258:Q1275,$B1292&amp;" ~*")&gt;0)+(IFERROR(INDEX(Setup!$G$33:$G$40,MATCH(S1292,Setup!$B$33:$B$40,0)),0)=1)*(COUNTIF(S1258:U1275,$B1292)+COUNTIF(S1258:U1275,$B1292&amp;" ~*")&gt;0)+(IFERROR(INDEX(Setup!$G$33:$G$40,MATCH(W1292,Setup!$B$33:$B$40,0)),0)=1)*(COUNTIF(W1258:W1275,$B1292)+COUNTIF(W1258:W1275,$B1292&amp;" ~*")&gt;0)+(IFERROR(INDEX(Setup!$G$33:$G$40,MATCH(Y1292,Setup!$B$33:$B$40,0)),0)=1)*(COUNTIF(Y1258:Y1275,$B1292)+COUNTIF(Y1258:Y1275,$B1292&amp;" ~*")&gt;0))</f>
        <v/>
      </c>
    </row>
    <row r="1293" ht="15" customHeight="1">
      <c r="A1293" t="n">
        <v>26</v>
      </c>
      <c r="B1293" s="35">
        <f>IF(Setup!$B$22="","",Setup!$B$22)</f>
        <v/>
      </c>
      <c r="C1293" s="98" t="n"/>
      <c r="D1293" s="99" t="n"/>
      <c r="E1293" s="99" t="n"/>
      <c r="F1293" s="100" t="n"/>
      <c r="G1293" s="98" t="n"/>
      <c r="H1293" s="99" t="n"/>
      <c r="I1293" s="99" t="n"/>
      <c r="J1293" s="100" t="n"/>
      <c r="K1293" s="98" t="n"/>
      <c r="L1293" s="99" t="n"/>
      <c r="M1293" s="99" t="n"/>
      <c r="N1293" s="100" t="n"/>
      <c r="O1293" s="98" t="n"/>
      <c r="P1293" s="99" t="n"/>
      <c r="Q1293" s="99" t="n"/>
      <c r="R1293" s="100" t="n"/>
      <c r="S1293" s="98" t="n"/>
      <c r="T1293" s="99" t="n"/>
      <c r="U1293" s="99" t="n"/>
      <c r="V1293" s="100" t="n"/>
      <c r="W1293" s="98" t="n"/>
      <c r="X1293" s="100" t="n"/>
      <c r="Y1293" s="98" t="n"/>
      <c r="Z1293" s="100" t="n"/>
      <c r="AB1293" s="101">
        <f>IF($B1293="","",(COUNTIF(C1258:E1275,$B1293)+COUNTIF(C1258:E1275,$B1293&amp;" ~*")&gt;0)+(COUNTIF(G1258:I1275,$B1293)+COUNTIF(G1258:I1275,$B1293&amp;" ~*")&gt;0)+(COUNTIF(K1258:M1275,$B1293)+COUNTIF(K1258:M1275,$B1293&amp;" ~*")&gt;0)+(COUNTIF(O1258:Q1275,$B1293)+COUNTIF(O1258:Q1275,$B1293&amp;" ~*")&gt;0)+(COUNTIF(S1258:U1275,$B1293)+COUNTIF(S1258:U1275,$B1293&amp;" ~*")&gt;0)+(COUNTIF(W1258:W1275,$B1293)+COUNTIF(W1258:W1275,$B1293&amp;" ~*")&gt;0)+(COUNTIF(Y1258:Y1275,$B1293)+COUNTIF(Y1258:Y1275,$B1293&amp;" ~*")&gt;0))</f>
        <v/>
      </c>
      <c r="AC1293" s="36">
        <f>IF($B1293="","",(IFERROR(INDEX(Setup!$G$33:$G$40,MATCH(C1293,Setup!$B$33:$B$40,0)),0)=1)*(COUNTIF(C1258:E1275,$B1293)+COUNTIF(C1258:E1275,$B1293&amp;" ~*")&gt;0)+(IFERROR(INDEX(Setup!$G$33:$G$40,MATCH(G1293,Setup!$B$33:$B$40,0)),0)=1)*(COUNTIF(G1258:I1275,$B1293)+COUNTIF(G1258:I1275,$B1293&amp;" ~*")&gt;0)+(IFERROR(INDEX(Setup!$G$33:$G$40,MATCH(K1293,Setup!$B$33:$B$40,0)),0)=1)*(COUNTIF(K1258:M1275,$B1293)+COUNTIF(K1258:M1275,$B1293&amp;" ~*")&gt;0)+(IFERROR(INDEX(Setup!$G$33:$G$40,MATCH(O1293,Setup!$B$33:$B$40,0)),0)=1)*(COUNTIF(O1258:Q1275,$B1293)+COUNTIF(O1258:Q1275,$B1293&amp;" ~*")&gt;0)+(IFERROR(INDEX(Setup!$G$33:$G$40,MATCH(S1293,Setup!$B$33:$B$40,0)),0)=1)*(COUNTIF(S1258:U1275,$B1293)+COUNTIF(S1258:U1275,$B1293&amp;" ~*")&gt;0)+(IFERROR(INDEX(Setup!$G$33:$G$40,MATCH(W1293,Setup!$B$33:$B$40,0)),0)=1)*(COUNTIF(W1258:W1275,$B1293)+COUNTIF(W1258:W1275,$B1293&amp;" ~*")&gt;0)+(IFERROR(INDEX(Setup!$G$33:$G$40,MATCH(Y1293,Setup!$B$33:$B$40,0)),0)=1)*(COUNTIF(Y1258:Y1275,$B1293)+COUNTIF(Y1258:Y1275,$B1293&amp;" ~*")&gt;0))</f>
        <v/>
      </c>
    </row>
    <row r="1294" ht="15" customHeight="1">
      <c r="A1294" t="n">
        <v>26</v>
      </c>
      <c r="B1294" s="37">
        <f>IF(Setup!$B$23="","",Setup!$B$23)</f>
        <v/>
      </c>
      <c r="C1294" s="102" t="n"/>
      <c r="D1294" s="103" t="n"/>
      <c r="E1294" s="103" t="n"/>
      <c r="F1294" s="104" t="n"/>
      <c r="G1294" s="102" t="n"/>
      <c r="H1294" s="103" t="n"/>
      <c r="I1294" s="103" t="n"/>
      <c r="J1294" s="104" t="n"/>
      <c r="K1294" s="102" t="n"/>
      <c r="L1294" s="103" t="n"/>
      <c r="M1294" s="103" t="n"/>
      <c r="N1294" s="104" t="n"/>
      <c r="O1294" s="102" t="n"/>
      <c r="P1294" s="103" t="n"/>
      <c r="Q1294" s="103" t="n"/>
      <c r="R1294" s="104" t="n"/>
      <c r="S1294" s="102" t="n"/>
      <c r="T1294" s="103" t="n"/>
      <c r="U1294" s="103" t="n"/>
      <c r="V1294" s="104" t="n"/>
      <c r="W1294" s="102" t="n"/>
      <c r="X1294" s="104" t="n"/>
      <c r="Y1294" s="102" t="n"/>
      <c r="Z1294" s="104" t="n"/>
      <c r="AB1294" s="105">
        <f>IF($B1294="","",(COUNTIF(C1258:E1275,$B1294)+COUNTIF(C1258:E1275,$B1294&amp;" ~*")&gt;0)+(COUNTIF(G1258:I1275,$B1294)+COUNTIF(G1258:I1275,$B1294&amp;" ~*")&gt;0)+(COUNTIF(K1258:M1275,$B1294)+COUNTIF(K1258:M1275,$B1294&amp;" ~*")&gt;0)+(COUNTIF(O1258:Q1275,$B1294)+COUNTIF(O1258:Q1275,$B1294&amp;" ~*")&gt;0)+(COUNTIF(S1258:U1275,$B1294)+COUNTIF(S1258:U1275,$B1294&amp;" ~*")&gt;0)+(COUNTIF(W1258:W1275,$B1294)+COUNTIF(W1258:W1275,$B1294&amp;" ~*")&gt;0)+(COUNTIF(Y1258:Y1275,$B1294)+COUNTIF(Y1258:Y1275,$B1294&amp;" ~*")&gt;0))</f>
        <v/>
      </c>
      <c r="AC1294" s="38">
        <f>IF($B1294="","",(IFERROR(INDEX(Setup!$G$33:$G$40,MATCH(C1294,Setup!$B$33:$B$40,0)),0)=1)*(COUNTIF(C1258:E1275,$B1294)+COUNTIF(C1258:E1275,$B1294&amp;" ~*")&gt;0)+(IFERROR(INDEX(Setup!$G$33:$G$40,MATCH(G1294,Setup!$B$33:$B$40,0)),0)=1)*(COUNTIF(G1258:I1275,$B1294)+COUNTIF(G1258:I1275,$B1294&amp;" ~*")&gt;0)+(IFERROR(INDEX(Setup!$G$33:$G$40,MATCH(K1294,Setup!$B$33:$B$40,0)),0)=1)*(COUNTIF(K1258:M1275,$B1294)+COUNTIF(K1258:M1275,$B1294&amp;" ~*")&gt;0)+(IFERROR(INDEX(Setup!$G$33:$G$40,MATCH(O1294,Setup!$B$33:$B$40,0)),0)=1)*(COUNTIF(O1258:Q1275,$B1294)+COUNTIF(O1258:Q1275,$B1294&amp;" ~*")&gt;0)+(IFERROR(INDEX(Setup!$G$33:$G$40,MATCH(S1294,Setup!$B$33:$B$40,0)),0)=1)*(COUNTIF(S1258:U1275,$B1294)+COUNTIF(S1258:U1275,$B1294&amp;" ~*")&gt;0)+(IFERROR(INDEX(Setup!$G$33:$G$40,MATCH(W1294,Setup!$B$33:$B$40,0)),0)=1)*(COUNTIF(W1258:W1275,$B1294)+COUNTIF(W1258:W1275,$B1294&amp;" ~*")&gt;0)+(IFERROR(INDEX(Setup!$G$33:$G$40,MATCH(Y1294,Setup!$B$33:$B$40,0)),0)=1)*(COUNTIF(Y1258:Y1275,$B1294)+COUNTIF(Y1258:Y1275,$B1294&amp;" ~*")&gt;0))</f>
        <v/>
      </c>
    </row>
    <row r="1295" ht="15" customHeight="1">
      <c r="A1295" t="n">
        <v>26</v>
      </c>
      <c r="B1295" s="35">
        <f>IF(Setup!$B$24="","",Setup!$B$24)</f>
        <v/>
      </c>
      <c r="C1295" s="98" t="n"/>
      <c r="D1295" s="99" t="n"/>
      <c r="E1295" s="99" t="n"/>
      <c r="F1295" s="100" t="n"/>
      <c r="G1295" s="98" t="n"/>
      <c r="H1295" s="99" t="n"/>
      <c r="I1295" s="99" t="n"/>
      <c r="J1295" s="100" t="n"/>
      <c r="K1295" s="98" t="n"/>
      <c r="L1295" s="99" t="n"/>
      <c r="M1295" s="99" t="n"/>
      <c r="N1295" s="100" t="n"/>
      <c r="O1295" s="98" t="n"/>
      <c r="P1295" s="99" t="n"/>
      <c r="Q1295" s="99" t="n"/>
      <c r="R1295" s="100" t="n"/>
      <c r="S1295" s="98" t="n"/>
      <c r="T1295" s="99" t="n"/>
      <c r="U1295" s="99" t="n"/>
      <c r="V1295" s="100" t="n"/>
      <c r="W1295" s="98" t="n"/>
      <c r="X1295" s="100" t="n"/>
      <c r="Y1295" s="98" t="n"/>
      <c r="Z1295" s="100" t="n"/>
      <c r="AB1295" s="101">
        <f>IF($B1295="","",(COUNTIF(C1258:E1275,$B1295)+COUNTIF(C1258:E1275,$B1295&amp;" ~*")&gt;0)+(COUNTIF(G1258:I1275,$B1295)+COUNTIF(G1258:I1275,$B1295&amp;" ~*")&gt;0)+(COUNTIF(K1258:M1275,$B1295)+COUNTIF(K1258:M1275,$B1295&amp;" ~*")&gt;0)+(COUNTIF(O1258:Q1275,$B1295)+COUNTIF(O1258:Q1275,$B1295&amp;" ~*")&gt;0)+(COUNTIF(S1258:U1275,$B1295)+COUNTIF(S1258:U1275,$B1295&amp;" ~*")&gt;0)+(COUNTIF(W1258:W1275,$B1295)+COUNTIF(W1258:W1275,$B1295&amp;" ~*")&gt;0)+(COUNTIF(Y1258:Y1275,$B1295)+COUNTIF(Y1258:Y1275,$B1295&amp;" ~*")&gt;0))</f>
        <v/>
      </c>
      <c r="AC1295" s="36">
        <f>IF($B1295="","",(IFERROR(INDEX(Setup!$G$33:$G$40,MATCH(C1295,Setup!$B$33:$B$40,0)),0)=1)*(COUNTIF(C1258:E1275,$B1295)+COUNTIF(C1258:E1275,$B1295&amp;" ~*")&gt;0)+(IFERROR(INDEX(Setup!$G$33:$G$40,MATCH(G1295,Setup!$B$33:$B$40,0)),0)=1)*(COUNTIF(G1258:I1275,$B1295)+COUNTIF(G1258:I1275,$B1295&amp;" ~*")&gt;0)+(IFERROR(INDEX(Setup!$G$33:$G$40,MATCH(K1295,Setup!$B$33:$B$40,0)),0)=1)*(COUNTIF(K1258:M1275,$B1295)+COUNTIF(K1258:M1275,$B1295&amp;" ~*")&gt;0)+(IFERROR(INDEX(Setup!$G$33:$G$40,MATCH(O1295,Setup!$B$33:$B$40,0)),0)=1)*(COUNTIF(O1258:Q1275,$B1295)+COUNTIF(O1258:Q1275,$B1295&amp;" ~*")&gt;0)+(IFERROR(INDEX(Setup!$G$33:$G$40,MATCH(S1295,Setup!$B$33:$B$40,0)),0)=1)*(COUNTIF(S1258:U1275,$B1295)+COUNTIF(S1258:U1275,$B1295&amp;" ~*")&gt;0)+(IFERROR(INDEX(Setup!$G$33:$G$40,MATCH(W1295,Setup!$B$33:$B$40,0)),0)=1)*(COUNTIF(W1258:W1275,$B1295)+COUNTIF(W1258:W1275,$B1295&amp;" ~*")&gt;0)+(IFERROR(INDEX(Setup!$G$33:$G$40,MATCH(Y1295,Setup!$B$33:$B$40,0)),0)=1)*(COUNTIF(Y1258:Y1275,$B1295)+COUNTIF(Y1258:Y1275,$B1295&amp;" ~*")&gt;0))</f>
        <v/>
      </c>
    </row>
    <row r="1296" ht="15" customHeight="1">
      <c r="A1296" t="n">
        <v>26</v>
      </c>
      <c r="B1296" s="37">
        <f>IF(Setup!$B$25="","",Setup!$B$25)</f>
        <v/>
      </c>
      <c r="C1296" s="102" t="n"/>
      <c r="D1296" s="103" t="n"/>
      <c r="E1296" s="103" t="n"/>
      <c r="F1296" s="104" t="n"/>
      <c r="G1296" s="102" t="n"/>
      <c r="H1296" s="103" t="n"/>
      <c r="I1296" s="103" t="n"/>
      <c r="J1296" s="104" t="n"/>
      <c r="K1296" s="102" t="n"/>
      <c r="L1296" s="103" t="n"/>
      <c r="M1296" s="103" t="n"/>
      <c r="N1296" s="104" t="n"/>
      <c r="O1296" s="102" t="n"/>
      <c r="P1296" s="103" t="n"/>
      <c r="Q1296" s="103" t="n"/>
      <c r="R1296" s="104" t="n"/>
      <c r="S1296" s="102" t="n"/>
      <c r="T1296" s="103" t="n"/>
      <c r="U1296" s="103" t="n"/>
      <c r="V1296" s="104" t="n"/>
      <c r="W1296" s="102" t="n"/>
      <c r="X1296" s="104" t="n"/>
      <c r="Y1296" s="102" t="n"/>
      <c r="Z1296" s="104" t="n"/>
      <c r="AB1296" s="105">
        <f>IF($B1296="","",(COUNTIF(C1258:E1275,$B1296)+COUNTIF(C1258:E1275,$B1296&amp;" ~*")&gt;0)+(COUNTIF(G1258:I1275,$B1296)+COUNTIF(G1258:I1275,$B1296&amp;" ~*")&gt;0)+(COUNTIF(K1258:M1275,$B1296)+COUNTIF(K1258:M1275,$B1296&amp;" ~*")&gt;0)+(COUNTIF(O1258:Q1275,$B1296)+COUNTIF(O1258:Q1275,$B1296&amp;" ~*")&gt;0)+(COUNTIF(S1258:U1275,$B1296)+COUNTIF(S1258:U1275,$B1296&amp;" ~*")&gt;0)+(COUNTIF(W1258:W1275,$B1296)+COUNTIF(W1258:W1275,$B1296&amp;" ~*")&gt;0)+(COUNTIF(Y1258:Y1275,$B1296)+COUNTIF(Y1258:Y1275,$B1296&amp;" ~*")&gt;0))</f>
        <v/>
      </c>
      <c r="AC1296" s="38">
        <f>IF($B1296="","",(IFERROR(INDEX(Setup!$G$33:$G$40,MATCH(C1296,Setup!$B$33:$B$40,0)),0)=1)*(COUNTIF(C1258:E1275,$B1296)+COUNTIF(C1258:E1275,$B1296&amp;" ~*")&gt;0)+(IFERROR(INDEX(Setup!$G$33:$G$40,MATCH(G1296,Setup!$B$33:$B$40,0)),0)=1)*(COUNTIF(G1258:I1275,$B1296)+COUNTIF(G1258:I1275,$B1296&amp;" ~*")&gt;0)+(IFERROR(INDEX(Setup!$G$33:$G$40,MATCH(K1296,Setup!$B$33:$B$40,0)),0)=1)*(COUNTIF(K1258:M1275,$B1296)+COUNTIF(K1258:M1275,$B1296&amp;" ~*")&gt;0)+(IFERROR(INDEX(Setup!$G$33:$G$40,MATCH(O1296,Setup!$B$33:$B$40,0)),0)=1)*(COUNTIF(O1258:Q1275,$B1296)+COUNTIF(O1258:Q1275,$B1296&amp;" ~*")&gt;0)+(IFERROR(INDEX(Setup!$G$33:$G$40,MATCH(S1296,Setup!$B$33:$B$40,0)),0)=1)*(COUNTIF(S1258:U1275,$B1296)+COUNTIF(S1258:U1275,$B1296&amp;" ~*")&gt;0)+(IFERROR(INDEX(Setup!$G$33:$G$40,MATCH(W1296,Setup!$B$33:$B$40,0)),0)=1)*(COUNTIF(W1258:W1275,$B1296)+COUNTIF(W1258:W1275,$B1296&amp;" ~*")&gt;0)+(IFERROR(INDEX(Setup!$G$33:$G$40,MATCH(Y1296,Setup!$B$33:$B$40,0)),0)=1)*(COUNTIF(Y1258:Y1275,$B1296)+COUNTIF(Y1258:Y1275,$B1296&amp;" ~*")&gt;0))</f>
        <v/>
      </c>
    </row>
    <row r="1297" ht="15" customHeight="1">
      <c r="A1297" t="n">
        <v>26</v>
      </c>
      <c r="B1297" s="35">
        <f>IF(Setup!$B$26="","",Setup!$B$26)</f>
        <v/>
      </c>
      <c r="C1297" s="98" t="n"/>
      <c r="D1297" s="99" t="n"/>
      <c r="E1297" s="99" t="n"/>
      <c r="F1297" s="100" t="n"/>
      <c r="G1297" s="98" t="n"/>
      <c r="H1297" s="99" t="n"/>
      <c r="I1297" s="99" t="n"/>
      <c r="J1297" s="100" t="n"/>
      <c r="K1297" s="98" t="n"/>
      <c r="L1297" s="99" t="n"/>
      <c r="M1297" s="99" t="n"/>
      <c r="N1297" s="100" t="n"/>
      <c r="O1297" s="98" t="n"/>
      <c r="P1297" s="99" t="n"/>
      <c r="Q1297" s="99" t="n"/>
      <c r="R1297" s="100" t="n"/>
      <c r="S1297" s="98" t="n"/>
      <c r="T1297" s="99" t="n"/>
      <c r="U1297" s="99" t="n"/>
      <c r="V1297" s="100" t="n"/>
      <c r="W1297" s="98" t="n"/>
      <c r="X1297" s="100" t="n"/>
      <c r="Y1297" s="98" t="n"/>
      <c r="Z1297" s="100" t="n"/>
      <c r="AB1297" s="101">
        <f>IF($B1297="","",(COUNTIF(C1258:E1275,$B1297)+COUNTIF(C1258:E1275,$B1297&amp;" ~*")&gt;0)+(COUNTIF(G1258:I1275,$B1297)+COUNTIF(G1258:I1275,$B1297&amp;" ~*")&gt;0)+(COUNTIF(K1258:M1275,$B1297)+COUNTIF(K1258:M1275,$B1297&amp;" ~*")&gt;0)+(COUNTIF(O1258:Q1275,$B1297)+COUNTIF(O1258:Q1275,$B1297&amp;" ~*")&gt;0)+(COUNTIF(S1258:U1275,$B1297)+COUNTIF(S1258:U1275,$B1297&amp;" ~*")&gt;0)+(COUNTIF(W1258:W1275,$B1297)+COUNTIF(W1258:W1275,$B1297&amp;" ~*")&gt;0)+(COUNTIF(Y1258:Y1275,$B1297)+COUNTIF(Y1258:Y1275,$B1297&amp;" ~*")&gt;0))</f>
        <v/>
      </c>
      <c r="AC1297" s="36">
        <f>IF($B1297="","",(IFERROR(INDEX(Setup!$G$33:$G$40,MATCH(C1297,Setup!$B$33:$B$40,0)),0)=1)*(COUNTIF(C1258:E1275,$B1297)+COUNTIF(C1258:E1275,$B1297&amp;" ~*")&gt;0)+(IFERROR(INDEX(Setup!$G$33:$G$40,MATCH(G1297,Setup!$B$33:$B$40,0)),0)=1)*(COUNTIF(G1258:I1275,$B1297)+COUNTIF(G1258:I1275,$B1297&amp;" ~*")&gt;0)+(IFERROR(INDEX(Setup!$G$33:$G$40,MATCH(K1297,Setup!$B$33:$B$40,0)),0)=1)*(COUNTIF(K1258:M1275,$B1297)+COUNTIF(K1258:M1275,$B1297&amp;" ~*")&gt;0)+(IFERROR(INDEX(Setup!$G$33:$G$40,MATCH(O1297,Setup!$B$33:$B$40,0)),0)=1)*(COUNTIF(O1258:Q1275,$B1297)+COUNTIF(O1258:Q1275,$B1297&amp;" ~*")&gt;0)+(IFERROR(INDEX(Setup!$G$33:$G$40,MATCH(S1297,Setup!$B$33:$B$40,0)),0)=1)*(COUNTIF(S1258:U1275,$B1297)+COUNTIF(S1258:U1275,$B1297&amp;" ~*")&gt;0)+(IFERROR(INDEX(Setup!$G$33:$G$40,MATCH(W1297,Setup!$B$33:$B$40,0)),0)=1)*(COUNTIF(W1258:W1275,$B1297)+COUNTIF(W1258:W1275,$B1297&amp;" ~*")&gt;0)+(IFERROR(INDEX(Setup!$G$33:$G$40,MATCH(Y1297,Setup!$B$33:$B$40,0)),0)=1)*(COUNTIF(Y1258:Y1275,$B1297)+COUNTIF(Y1258:Y1275,$B1297&amp;" ~*")&gt;0))</f>
        <v/>
      </c>
    </row>
    <row r="1298" ht="15" customHeight="1">
      <c r="A1298" t="n">
        <v>26</v>
      </c>
      <c r="B1298" s="37">
        <f>IF(Setup!$B$27="","",Setup!$B$27)</f>
        <v/>
      </c>
      <c r="C1298" s="102" t="n"/>
      <c r="D1298" s="103" t="n"/>
      <c r="E1298" s="103" t="n"/>
      <c r="F1298" s="104" t="n"/>
      <c r="G1298" s="102" t="n"/>
      <c r="H1298" s="103" t="n"/>
      <c r="I1298" s="103" t="n"/>
      <c r="J1298" s="104" t="n"/>
      <c r="K1298" s="102" t="n"/>
      <c r="L1298" s="103" t="n"/>
      <c r="M1298" s="103" t="n"/>
      <c r="N1298" s="104" t="n"/>
      <c r="O1298" s="102" t="n"/>
      <c r="P1298" s="103" t="n"/>
      <c r="Q1298" s="103" t="n"/>
      <c r="R1298" s="104" t="n"/>
      <c r="S1298" s="102" t="n"/>
      <c r="T1298" s="103" t="n"/>
      <c r="U1298" s="103" t="n"/>
      <c r="V1298" s="104" t="n"/>
      <c r="W1298" s="102" t="n"/>
      <c r="X1298" s="104" t="n"/>
      <c r="Y1298" s="102" t="n"/>
      <c r="Z1298" s="104" t="n"/>
      <c r="AB1298" s="105">
        <f>IF($B1298="","",(COUNTIF(C1258:E1275,$B1298)+COUNTIF(C1258:E1275,$B1298&amp;" ~*")&gt;0)+(COUNTIF(G1258:I1275,$B1298)+COUNTIF(G1258:I1275,$B1298&amp;" ~*")&gt;0)+(COUNTIF(K1258:M1275,$B1298)+COUNTIF(K1258:M1275,$B1298&amp;" ~*")&gt;0)+(COUNTIF(O1258:Q1275,$B1298)+COUNTIF(O1258:Q1275,$B1298&amp;" ~*")&gt;0)+(COUNTIF(S1258:U1275,$B1298)+COUNTIF(S1258:U1275,$B1298&amp;" ~*")&gt;0)+(COUNTIF(W1258:W1275,$B1298)+COUNTIF(W1258:W1275,$B1298&amp;" ~*")&gt;0)+(COUNTIF(Y1258:Y1275,$B1298)+COUNTIF(Y1258:Y1275,$B1298&amp;" ~*")&gt;0))</f>
        <v/>
      </c>
      <c r="AC1298" s="38">
        <f>IF($B1298="","",(IFERROR(INDEX(Setup!$G$33:$G$40,MATCH(C1298,Setup!$B$33:$B$40,0)),0)=1)*(COUNTIF(C1258:E1275,$B1298)+COUNTIF(C1258:E1275,$B1298&amp;" ~*")&gt;0)+(IFERROR(INDEX(Setup!$G$33:$G$40,MATCH(G1298,Setup!$B$33:$B$40,0)),0)=1)*(COUNTIF(G1258:I1275,$B1298)+COUNTIF(G1258:I1275,$B1298&amp;" ~*")&gt;0)+(IFERROR(INDEX(Setup!$G$33:$G$40,MATCH(K1298,Setup!$B$33:$B$40,0)),0)=1)*(COUNTIF(K1258:M1275,$B1298)+COUNTIF(K1258:M1275,$B1298&amp;" ~*")&gt;0)+(IFERROR(INDEX(Setup!$G$33:$G$40,MATCH(O1298,Setup!$B$33:$B$40,0)),0)=1)*(COUNTIF(O1258:Q1275,$B1298)+COUNTIF(O1258:Q1275,$B1298&amp;" ~*")&gt;0)+(IFERROR(INDEX(Setup!$G$33:$G$40,MATCH(S1298,Setup!$B$33:$B$40,0)),0)=1)*(COUNTIF(S1258:U1275,$B1298)+COUNTIF(S1258:U1275,$B1298&amp;" ~*")&gt;0)+(IFERROR(INDEX(Setup!$G$33:$G$40,MATCH(W1298,Setup!$B$33:$B$40,0)),0)=1)*(COUNTIF(W1258:W1275,$B1298)+COUNTIF(W1258:W1275,$B1298&amp;" ~*")&gt;0)+(IFERROR(INDEX(Setup!$G$33:$G$40,MATCH(Y1298,Setup!$B$33:$B$40,0)),0)=1)*(COUNTIF(Y1258:Y1275,$B1298)+COUNTIF(Y1258:Y1275,$B1298&amp;" ~*")&gt;0))</f>
        <v/>
      </c>
    </row>
    <row r="1299" ht="15" customHeight="1">
      <c r="A1299" t="n">
        <v>26</v>
      </c>
      <c r="B1299" s="35">
        <f>IF(Setup!$B$28="","",Setup!$B$28)</f>
        <v/>
      </c>
      <c r="C1299" s="98" t="n"/>
      <c r="D1299" s="99" t="n"/>
      <c r="E1299" s="99" t="n"/>
      <c r="F1299" s="100" t="n"/>
      <c r="G1299" s="98" t="n"/>
      <c r="H1299" s="99" t="n"/>
      <c r="I1299" s="99" t="n"/>
      <c r="J1299" s="100" t="n"/>
      <c r="K1299" s="98" t="n"/>
      <c r="L1299" s="99" t="n"/>
      <c r="M1299" s="99" t="n"/>
      <c r="N1299" s="100" t="n"/>
      <c r="O1299" s="98" t="n"/>
      <c r="P1299" s="99" t="n"/>
      <c r="Q1299" s="99" t="n"/>
      <c r="R1299" s="100" t="n"/>
      <c r="S1299" s="98" t="n"/>
      <c r="T1299" s="99" t="n"/>
      <c r="U1299" s="99" t="n"/>
      <c r="V1299" s="100" t="n"/>
      <c r="W1299" s="98" t="n"/>
      <c r="X1299" s="100" t="n"/>
      <c r="Y1299" s="98" t="n"/>
      <c r="Z1299" s="100" t="n"/>
      <c r="AB1299" s="101">
        <f>IF($B1299="","",(COUNTIF(C1258:E1275,$B1299)+COUNTIF(C1258:E1275,$B1299&amp;" ~*")&gt;0)+(COUNTIF(G1258:I1275,$B1299)+COUNTIF(G1258:I1275,$B1299&amp;" ~*")&gt;0)+(COUNTIF(K1258:M1275,$B1299)+COUNTIF(K1258:M1275,$B1299&amp;" ~*")&gt;0)+(COUNTIF(O1258:Q1275,$B1299)+COUNTIF(O1258:Q1275,$B1299&amp;" ~*")&gt;0)+(COUNTIF(S1258:U1275,$B1299)+COUNTIF(S1258:U1275,$B1299&amp;" ~*")&gt;0)+(COUNTIF(W1258:W1275,$B1299)+COUNTIF(W1258:W1275,$B1299&amp;" ~*")&gt;0)+(COUNTIF(Y1258:Y1275,$B1299)+COUNTIF(Y1258:Y1275,$B1299&amp;" ~*")&gt;0))</f>
        <v/>
      </c>
      <c r="AC1299" s="36">
        <f>IF($B1299="","",(IFERROR(INDEX(Setup!$G$33:$G$40,MATCH(C1299,Setup!$B$33:$B$40,0)),0)=1)*(COUNTIF(C1258:E1275,$B1299)+COUNTIF(C1258:E1275,$B1299&amp;" ~*")&gt;0)+(IFERROR(INDEX(Setup!$G$33:$G$40,MATCH(G1299,Setup!$B$33:$B$40,0)),0)=1)*(COUNTIF(G1258:I1275,$B1299)+COUNTIF(G1258:I1275,$B1299&amp;" ~*")&gt;0)+(IFERROR(INDEX(Setup!$G$33:$G$40,MATCH(K1299,Setup!$B$33:$B$40,0)),0)=1)*(COUNTIF(K1258:M1275,$B1299)+COUNTIF(K1258:M1275,$B1299&amp;" ~*")&gt;0)+(IFERROR(INDEX(Setup!$G$33:$G$40,MATCH(O1299,Setup!$B$33:$B$40,0)),0)=1)*(COUNTIF(O1258:Q1275,$B1299)+COUNTIF(O1258:Q1275,$B1299&amp;" ~*")&gt;0)+(IFERROR(INDEX(Setup!$G$33:$G$40,MATCH(S1299,Setup!$B$33:$B$40,0)),0)=1)*(COUNTIF(S1258:U1275,$B1299)+COUNTIF(S1258:U1275,$B1299&amp;" ~*")&gt;0)+(IFERROR(INDEX(Setup!$G$33:$G$40,MATCH(W1299,Setup!$B$33:$B$40,0)),0)=1)*(COUNTIF(W1258:W1275,$B1299)+COUNTIF(W1258:W1275,$B1299&amp;" ~*")&gt;0)+(IFERROR(INDEX(Setup!$G$33:$G$40,MATCH(Y1299,Setup!$B$33:$B$40,0)),0)=1)*(COUNTIF(Y1258:Y1275,$B1299)+COUNTIF(Y1258:Y1275,$B1299&amp;" ~*")&gt;0))</f>
        <v/>
      </c>
    </row>
    <row r="1300" ht="15" customHeight="1">
      <c r="A1300" t="n">
        <v>26</v>
      </c>
      <c r="B1300" s="37">
        <f>IF(Setup!$B$29="","",Setup!$B$29)</f>
        <v/>
      </c>
      <c r="C1300" s="102" t="n"/>
      <c r="D1300" s="103" t="n"/>
      <c r="E1300" s="103" t="n"/>
      <c r="F1300" s="104" t="n"/>
      <c r="G1300" s="102" t="n"/>
      <c r="H1300" s="103" t="n"/>
      <c r="I1300" s="103" t="n"/>
      <c r="J1300" s="104" t="n"/>
      <c r="K1300" s="102" t="n"/>
      <c r="L1300" s="103" t="n"/>
      <c r="M1300" s="103" t="n"/>
      <c r="N1300" s="104" t="n"/>
      <c r="O1300" s="102" t="n"/>
      <c r="P1300" s="103" t="n"/>
      <c r="Q1300" s="103" t="n"/>
      <c r="R1300" s="104" t="n"/>
      <c r="S1300" s="102" t="n"/>
      <c r="T1300" s="103" t="n"/>
      <c r="U1300" s="103" t="n"/>
      <c r="V1300" s="104" t="n"/>
      <c r="W1300" s="102" t="n"/>
      <c r="X1300" s="104" t="n"/>
      <c r="Y1300" s="102" t="n"/>
      <c r="Z1300" s="104" t="n"/>
      <c r="AB1300" s="105">
        <f>IF($B1300="","",(COUNTIF(C1258:E1275,$B1300)+COUNTIF(C1258:E1275,$B1300&amp;" ~*")&gt;0)+(COUNTIF(G1258:I1275,$B1300)+COUNTIF(G1258:I1275,$B1300&amp;" ~*")&gt;0)+(COUNTIF(K1258:M1275,$B1300)+COUNTIF(K1258:M1275,$B1300&amp;" ~*")&gt;0)+(COUNTIF(O1258:Q1275,$B1300)+COUNTIF(O1258:Q1275,$B1300&amp;" ~*")&gt;0)+(COUNTIF(S1258:U1275,$B1300)+COUNTIF(S1258:U1275,$B1300&amp;" ~*")&gt;0)+(COUNTIF(W1258:W1275,$B1300)+COUNTIF(W1258:W1275,$B1300&amp;" ~*")&gt;0)+(COUNTIF(Y1258:Y1275,$B1300)+COUNTIF(Y1258:Y1275,$B1300&amp;" ~*")&gt;0))</f>
        <v/>
      </c>
      <c r="AC1300" s="38">
        <f>IF($B1300="","",(IFERROR(INDEX(Setup!$G$33:$G$40,MATCH(C1300,Setup!$B$33:$B$40,0)),0)=1)*(COUNTIF(C1258:E1275,$B1300)+COUNTIF(C1258:E1275,$B1300&amp;" ~*")&gt;0)+(IFERROR(INDEX(Setup!$G$33:$G$40,MATCH(G1300,Setup!$B$33:$B$40,0)),0)=1)*(COUNTIF(G1258:I1275,$B1300)+COUNTIF(G1258:I1275,$B1300&amp;" ~*")&gt;0)+(IFERROR(INDEX(Setup!$G$33:$G$40,MATCH(K1300,Setup!$B$33:$B$40,0)),0)=1)*(COUNTIF(K1258:M1275,$B1300)+COUNTIF(K1258:M1275,$B1300&amp;" ~*")&gt;0)+(IFERROR(INDEX(Setup!$G$33:$G$40,MATCH(O1300,Setup!$B$33:$B$40,0)),0)=1)*(COUNTIF(O1258:Q1275,$B1300)+COUNTIF(O1258:Q1275,$B1300&amp;" ~*")&gt;0)+(IFERROR(INDEX(Setup!$G$33:$G$40,MATCH(S1300,Setup!$B$33:$B$40,0)),0)=1)*(COUNTIF(S1258:U1275,$B1300)+COUNTIF(S1258:U1275,$B1300&amp;" ~*")&gt;0)+(IFERROR(INDEX(Setup!$G$33:$G$40,MATCH(W1300,Setup!$B$33:$B$40,0)),0)=1)*(COUNTIF(W1258:W1275,$B1300)+COUNTIF(W1258:W1275,$B1300&amp;" ~*")&gt;0)+(IFERROR(INDEX(Setup!$G$33:$G$40,MATCH(Y1300,Setup!$B$33:$B$40,0)),0)=1)*(COUNTIF(Y1258:Y1275,$B1300)+COUNTIF(Y1258:Y1275,$B1300&amp;" ~*")&gt;0))</f>
        <v/>
      </c>
    </row>
    <row r="1301" ht="16" customHeight="1">
      <c r="A1301" t="n">
        <v>26</v>
      </c>
      <c r="B1301" s="106" t="inlineStr">
        <is>
          <t>Available people</t>
        </is>
      </c>
      <c r="C1301" s="107">
        <f>COUNTIFS(Setup!$E$6:$E$29,"Y",Setup!$B$6:$B$29,"?*")-SUMPRODUCT(COUNTIF(C1277:C1300,Setup!$F$33:$F$40))</f>
        <v/>
      </c>
      <c r="D1301" s="107" t="n"/>
      <c r="E1301" s="107" t="n"/>
      <c r="F1301" s="107" t="n"/>
      <c r="G1301" s="107">
        <f>COUNTIFS(Setup!$E$6:$E$29,"Y",Setup!$B$6:$B$29,"?*")-SUMPRODUCT(COUNTIF(G1277:G1300,Setup!$F$33:$F$40))</f>
        <v/>
      </c>
      <c r="H1301" s="107" t="n"/>
      <c r="I1301" s="107" t="n"/>
      <c r="J1301" s="107" t="n"/>
      <c r="K1301" s="107">
        <f>COUNTIFS(Setup!$E$6:$E$29,"Y",Setup!$B$6:$B$29,"?*")-SUMPRODUCT(COUNTIF(K1277:K1300,Setup!$F$33:$F$40))</f>
        <v/>
      </c>
      <c r="L1301" s="107" t="n"/>
      <c r="M1301" s="107" t="n"/>
      <c r="N1301" s="107" t="n"/>
      <c r="O1301" s="107">
        <f>COUNTIFS(Setup!$E$6:$E$29,"Y",Setup!$B$6:$B$29,"?*")-SUMPRODUCT(COUNTIF(O1277:O1300,Setup!$F$33:$F$40))</f>
        <v/>
      </c>
      <c r="P1301" s="107" t="n"/>
      <c r="Q1301" s="107" t="n"/>
      <c r="R1301" s="107" t="n"/>
      <c r="S1301" s="107">
        <f>COUNTIFS(Setup!$E$6:$E$29,"Y",Setup!$B$6:$B$29,"?*")-SUMPRODUCT(COUNTIF(S1277:S1300,Setup!$F$33:$F$40))</f>
        <v/>
      </c>
      <c r="T1301" s="107" t="n"/>
      <c r="U1301" s="107" t="n"/>
      <c r="V1301" s="107" t="n"/>
      <c r="W1301" s="107">
        <f>COUNTIFS(Setup!$E$6:$E$29,"Y",Setup!$B$6:$B$29,"?*")-SUMPRODUCT(COUNTIF(W1277:W1300,Setup!$F$33:$F$40))</f>
        <v/>
      </c>
      <c r="X1301" s="107" t="n"/>
      <c r="Y1301" s="107">
        <f>COUNTIFS(Setup!$E$6:$E$29,"Y",Setup!$B$6:$B$29,"?*")-SUMPRODUCT(COUNTIF(Y1277:Y1300,Setup!$F$33:$F$40))</f>
        <v/>
      </c>
      <c r="Z1301" s="107" t="n"/>
      <c r="AB1301" s="108">
        <f>SUM(AB1277:AB1300)</f>
        <v/>
      </c>
      <c r="AC1301" s="109">
        <f>SUM(AC1277:AC1300)</f>
        <v/>
      </c>
    </row>
    <row r="1302" ht="30" customHeight="1">
      <c r="A1302" t="n">
        <v>26</v>
      </c>
      <c r="B1302" s="110" t="inlineStr">
        <is>
          <t>Week notes</t>
        </is>
      </c>
      <c r="C1302" s="111" t="n"/>
      <c r="D1302" s="112" t="n"/>
      <c r="E1302" s="112" t="n"/>
      <c r="F1302" s="112" t="n"/>
      <c r="G1302" s="112" t="n"/>
      <c r="H1302" s="112" t="n"/>
      <c r="I1302" s="112" t="n"/>
      <c r="J1302" s="112" t="n"/>
      <c r="K1302" s="112" t="n"/>
      <c r="L1302" s="112" t="n"/>
      <c r="M1302" s="112" t="n"/>
      <c r="N1302" s="112" t="n"/>
      <c r="O1302" s="112" t="n"/>
      <c r="P1302" s="112" t="n"/>
      <c r="Q1302" s="112" t="n"/>
      <c r="R1302" s="112" t="n"/>
      <c r="S1302" s="112" t="n"/>
      <c r="T1302" s="112" t="n"/>
      <c r="U1302" s="112" t="n"/>
      <c r="V1302" s="112" t="n"/>
      <c r="W1302" s="112" t="n"/>
      <c r="X1302" s="112" t="n"/>
      <c r="Y1302" s="112" t="n"/>
      <c r="Z1302" s="113" t="n"/>
    </row>
    <row r="1303" ht="8" customHeight="1">
      <c r="A1303" t="n">
        <v>26</v>
      </c>
    </row>
    <row r="1304" ht="8" customHeight="1">
      <c r="A1304" t="n">
        <v>26</v>
      </c>
    </row>
    <row r="1305" ht="24" customHeight="1">
      <c r="A1305" t="n">
        <v>27</v>
      </c>
      <c r="B1305" s="73">
        <f>"WEEK 27     "&amp;TEXT(C1306,"ddd d mmm")&amp;"  –  "&amp;TEXT(C1306+6,"ddd d mmm yyyy")</f>
        <v/>
      </c>
      <c r="S1305" s="74">
        <f>IF(TODAY()&lt;C1306,"FUTURE",IF(TODAY()&gt;C1306+6,"PAST","THIS WEEK"))</f>
        <v/>
      </c>
      <c r="W1305" s="75">
        <f>IF(AND(Engine!$B$8=$AC$3,Engine!$B$9=$A1305),"◀ ACTIVE WEEK","")</f>
        <v/>
      </c>
      <c r="AA1305" s="76" t="n"/>
      <c r="AB1305" s="77" t="inlineStr">
        <is>
          <t>◀ Prev</t>
        </is>
      </c>
      <c r="AC1305" s="77" t="inlineStr">
        <is>
          <t>Next ▶</t>
        </is>
      </c>
    </row>
    <row r="1306" ht="18" customHeight="1">
      <c r="A1306" t="n">
        <v>27</v>
      </c>
      <c r="B1306" s="78" t="inlineStr">
        <is>
          <t>DUTY</t>
        </is>
      </c>
      <c r="C1306" s="79">
        <f>$AC$2+7*($A1306-1)</f>
        <v/>
      </c>
      <c r="D1306" s="80" t="n"/>
      <c r="E1306" s="80" t="n"/>
      <c r="F1306" s="81" t="n"/>
      <c r="G1306" s="79">
        <f>C1306+1</f>
        <v/>
      </c>
      <c r="H1306" s="80" t="n"/>
      <c r="I1306" s="80" t="n"/>
      <c r="J1306" s="81" t="n"/>
      <c r="K1306" s="79">
        <f>C1306+2</f>
        <v/>
      </c>
      <c r="L1306" s="80" t="n"/>
      <c r="M1306" s="80" t="n"/>
      <c r="N1306" s="81" t="n"/>
      <c r="O1306" s="79">
        <f>C1306+3</f>
        <v/>
      </c>
      <c r="P1306" s="80" t="n"/>
      <c r="Q1306" s="80" t="n"/>
      <c r="R1306" s="81" t="n"/>
      <c r="S1306" s="79">
        <f>C1306+4</f>
        <v/>
      </c>
      <c r="T1306" s="80" t="n"/>
      <c r="U1306" s="80" t="n"/>
      <c r="V1306" s="81" t="n"/>
      <c r="W1306" s="82">
        <f>C1306+5</f>
        <v/>
      </c>
      <c r="X1306" s="83" t="n"/>
      <c r="Y1306" s="82">
        <f>C1306+6</f>
        <v/>
      </c>
      <c r="Z1306" s="83" t="n"/>
      <c r="AB1306" s="72" t="inlineStr">
        <is>
          <t>Gaps</t>
        </is>
      </c>
      <c r="AC1306" s="72" t="inlineStr">
        <is>
          <t>Cover</t>
        </is>
      </c>
    </row>
    <row r="1307" ht="14" customHeight="1">
      <c r="A1307" t="n">
        <v>27</v>
      </c>
      <c r="B1307" s="84" t="inlineStr">
        <is>
          <t>(from Setup)</t>
        </is>
      </c>
      <c r="C1307" s="85" t="inlineStr">
        <is>
          <t>1</t>
        </is>
      </c>
      <c r="D1307" s="85" t="inlineStr">
        <is>
          <t>2</t>
        </is>
      </c>
      <c r="E1307" s="85" t="inlineStr">
        <is>
          <t>3</t>
        </is>
      </c>
      <c r="F1307" s="85" t="inlineStr">
        <is>
          <t>Notes</t>
        </is>
      </c>
      <c r="G1307" s="85" t="inlineStr">
        <is>
          <t>1</t>
        </is>
      </c>
      <c r="H1307" s="85" t="inlineStr">
        <is>
          <t>2</t>
        </is>
      </c>
      <c r="I1307" s="85" t="inlineStr">
        <is>
          <t>3</t>
        </is>
      </c>
      <c r="J1307" s="85" t="inlineStr">
        <is>
          <t>Notes</t>
        </is>
      </c>
      <c r="K1307" s="85" t="inlineStr">
        <is>
          <t>1</t>
        </is>
      </c>
      <c r="L1307" s="85" t="inlineStr">
        <is>
          <t>2</t>
        </is>
      </c>
      <c r="M1307" s="85" t="inlineStr">
        <is>
          <t>3</t>
        </is>
      </c>
      <c r="N1307" s="85" t="inlineStr">
        <is>
          <t>Notes</t>
        </is>
      </c>
      <c r="O1307" s="85" t="inlineStr">
        <is>
          <t>1</t>
        </is>
      </c>
      <c r="P1307" s="85" t="inlineStr">
        <is>
          <t>2</t>
        </is>
      </c>
      <c r="Q1307" s="85" t="inlineStr">
        <is>
          <t>3</t>
        </is>
      </c>
      <c r="R1307" s="85" t="inlineStr">
        <is>
          <t>Notes</t>
        </is>
      </c>
      <c r="S1307" s="85" t="inlineStr">
        <is>
          <t>1</t>
        </is>
      </c>
      <c r="T1307" s="85" t="inlineStr">
        <is>
          <t>2</t>
        </is>
      </c>
      <c r="U1307" s="85" t="inlineStr">
        <is>
          <t>3</t>
        </is>
      </c>
      <c r="V1307" s="85" t="inlineStr">
        <is>
          <t>Notes</t>
        </is>
      </c>
      <c r="W1307" s="85" t="inlineStr">
        <is>
          <t>Cover</t>
        </is>
      </c>
      <c r="X1307" s="85" t="inlineStr">
        <is>
          <t>Notes</t>
        </is>
      </c>
      <c r="Y1307" s="85" t="inlineStr">
        <is>
          <t>Cover</t>
        </is>
      </c>
      <c r="Z1307" s="85" t="inlineStr">
        <is>
          <t>Notes</t>
        </is>
      </c>
      <c r="AB1307" s="86" t="inlineStr">
        <is>
          <t>weekdays short</t>
        </is>
      </c>
      <c r="AC1307" s="87" t="inlineStr"/>
    </row>
    <row r="1308" ht="17" customHeight="1">
      <c r="A1308" t="n">
        <v>27</v>
      </c>
      <c r="B1308" s="24">
        <f>IF(Setup!$K$6="","",Setup!$K$6)</f>
        <v/>
      </c>
      <c r="C1308" s="88" t="n"/>
      <c r="D1308" s="88" t="n"/>
      <c r="E1308" s="88" t="n"/>
      <c r="F1308" s="89" t="n"/>
      <c r="G1308" s="88" t="n"/>
      <c r="H1308" s="88" t="n"/>
      <c r="I1308" s="88" t="n"/>
      <c r="J1308" s="89" t="n"/>
      <c r="K1308" s="88" t="n"/>
      <c r="L1308" s="88" t="n"/>
      <c r="M1308" s="88" t="n"/>
      <c r="N1308" s="89" t="n"/>
      <c r="O1308" s="88" t="n"/>
      <c r="P1308" s="88" t="n"/>
      <c r="Q1308" s="88" t="n"/>
      <c r="R1308" s="89" t="n"/>
      <c r="S1308" s="88" t="n"/>
      <c r="T1308" s="88" t="n"/>
      <c r="U1308" s="88" t="n"/>
      <c r="V1308" s="89" t="n"/>
      <c r="W1308" s="88" t="n"/>
      <c r="X1308" s="89" t="n"/>
      <c r="Y1308" s="88" t="n"/>
      <c r="Z1308" s="89" t="n"/>
      <c r="AB1308" s="25">
        <f>IF($B1308="","",(COUNTIF(C1308:E1308,"?*")&lt;N(INDEX(Setup!$L$6:$L$23,1)))+(COUNTIF(G1308:I1308,"?*")&lt;N(INDEX(Setup!$L$6:$L$23,1)))+(COUNTIF(K1308:M1308,"?*")&lt;N(INDEX(Setup!$L$6:$L$23,1)))+(COUNTIF(O1308:Q1308,"?*")&lt;N(INDEX(Setup!$L$6:$L$23,1)))+(COUNTIF(S1308:U1308,"?*")&lt;N(INDEX(Setup!$L$6:$L$23,1)))+((W1308="")*(INDEX(Setup!$M$6:$M$23,1)="Y"))+((Y1308="")*(INDEX(Setup!$M$6:$M$23,1)="Y")))</f>
        <v/>
      </c>
      <c r="AC1308" s="90">
        <f>IF($B1308="","",IF(AB1308=0,"✓ covered","⚠ "&amp;AB1308&amp;IF(AB1308=1," gap"," gaps")))</f>
        <v/>
      </c>
    </row>
    <row r="1309" ht="17" customHeight="1">
      <c r="A1309" t="n">
        <v>27</v>
      </c>
      <c r="B1309" s="29">
        <f>IF(Setup!$K$7="","",Setup!$K$7)</f>
        <v/>
      </c>
      <c r="C1309" s="88" t="n"/>
      <c r="D1309" s="88" t="n"/>
      <c r="E1309" s="88" t="n"/>
      <c r="F1309" s="89" t="n"/>
      <c r="G1309" s="88" t="n"/>
      <c r="H1309" s="88" t="n"/>
      <c r="I1309" s="88" t="n"/>
      <c r="J1309" s="89" t="n"/>
      <c r="K1309" s="88" t="n"/>
      <c r="L1309" s="88" t="n"/>
      <c r="M1309" s="88" t="n"/>
      <c r="N1309" s="89" t="n"/>
      <c r="O1309" s="88" t="n"/>
      <c r="P1309" s="88" t="n"/>
      <c r="Q1309" s="88" t="n"/>
      <c r="R1309" s="89" t="n"/>
      <c r="S1309" s="88" t="n"/>
      <c r="T1309" s="88" t="n"/>
      <c r="U1309" s="88" t="n"/>
      <c r="V1309" s="89" t="n"/>
      <c r="W1309" s="88" t="n"/>
      <c r="X1309" s="89" t="n"/>
      <c r="Y1309" s="88" t="n"/>
      <c r="Z1309" s="89" t="n"/>
      <c r="AB1309" s="30">
        <f>IF($B1309="","",(COUNTIF(C1309:E1309,"?*")&lt;N(INDEX(Setup!$L$6:$L$23,2)))+(COUNTIF(G1309:I1309,"?*")&lt;N(INDEX(Setup!$L$6:$L$23,2)))+(COUNTIF(K1309:M1309,"?*")&lt;N(INDEX(Setup!$L$6:$L$23,2)))+(COUNTIF(O1309:Q1309,"?*")&lt;N(INDEX(Setup!$L$6:$L$23,2)))+(COUNTIF(S1309:U1309,"?*")&lt;N(INDEX(Setup!$L$6:$L$23,2)))+((W1309="")*(INDEX(Setup!$M$6:$M$23,2)="Y"))+((Y1309="")*(INDEX(Setup!$M$6:$M$23,2)="Y")))</f>
        <v/>
      </c>
      <c r="AC1309" s="91">
        <f>IF($B1309="","",IF(AB1309=0,"✓ covered","⚠ "&amp;AB1309&amp;IF(AB1309=1," gap"," gaps")))</f>
        <v/>
      </c>
    </row>
    <row r="1310" ht="17" customHeight="1">
      <c r="A1310" t="n">
        <v>27</v>
      </c>
      <c r="B1310" s="24">
        <f>IF(Setup!$K$8="","",Setup!$K$8)</f>
        <v/>
      </c>
      <c r="C1310" s="88" t="n"/>
      <c r="D1310" s="88" t="n"/>
      <c r="E1310" s="88" t="n"/>
      <c r="F1310" s="89" t="n"/>
      <c r="G1310" s="88" t="n"/>
      <c r="H1310" s="88" t="n"/>
      <c r="I1310" s="88" t="n"/>
      <c r="J1310" s="89" t="n"/>
      <c r="K1310" s="88" t="n"/>
      <c r="L1310" s="88" t="n"/>
      <c r="M1310" s="88" t="n"/>
      <c r="N1310" s="89" t="n"/>
      <c r="O1310" s="88" t="n"/>
      <c r="P1310" s="88" t="n"/>
      <c r="Q1310" s="88" t="n"/>
      <c r="R1310" s="89" t="n"/>
      <c r="S1310" s="88" t="n"/>
      <c r="T1310" s="88" t="n"/>
      <c r="U1310" s="88" t="n"/>
      <c r="V1310" s="89" t="n"/>
      <c r="W1310" s="88" t="n"/>
      <c r="X1310" s="89" t="n"/>
      <c r="Y1310" s="88" t="n"/>
      <c r="Z1310" s="89" t="n"/>
      <c r="AB1310" s="25">
        <f>IF($B1310="","",(COUNTIF(C1310:E1310,"?*")&lt;N(INDEX(Setup!$L$6:$L$23,3)))+(COUNTIF(G1310:I1310,"?*")&lt;N(INDEX(Setup!$L$6:$L$23,3)))+(COUNTIF(K1310:M1310,"?*")&lt;N(INDEX(Setup!$L$6:$L$23,3)))+(COUNTIF(O1310:Q1310,"?*")&lt;N(INDEX(Setup!$L$6:$L$23,3)))+(COUNTIF(S1310:U1310,"?*")&lt;N(INDEX(Setup!$L$6:$L$23,3)))+((W1310="")*(INDEX(Setup!$M$6:$M$23,3)="Y"))+((Y1310="")*(INDEX(Setup!$M$6:$M$23,3)="Y")))</f>
        <v/>
      </c>
      <c r="AC1310" s="90">
        <f>IF($B1310="","",IF(AB1310=0,"✓ covered","⚠ "&amp;AB1310&amp;IF(AB1310=1," gap"," gaps")))</f>
        <v/>
      </c>
    </row>
    <row r="1311" ht="17" customHeight="1">
      <c r="A1311" t="n">
        <v>27</v>
      </c>
      <c r="B1311" s="29">
        <f>IF(Setup!$K$9="","",Setup!$K$9)</f>
        <v/>
      </c>
      <c r="C1311" s="88" t="n"/>
      <c r="D1311" s="88" t="n"/>
      <c r="E1311" s="88" t="n"/>
      <c r="F1311" s="89" t="n"/>
      <c r="G1311" s="88" t="n"/>
      <c r="H1311" s="88" t="n"/>
      <c r="I1311" s="88" t="n"/>
      <c r="J1311" s="89" t="n"/>
      <c r="K1311" s="88" t="n"/>
      <c r="L1311" s="88" t="n"/>
      <c r="M1311" s="88" t="n"/>
      <c r="N1311" s="89" t="n"/>
      <c r="O1311" s="88" t="n"/>
      <c r="P1311" s="88" t="n"/>
      <c r="Q1311" s="88" t="n"/>
      <c r="R1311" s="89" t="n"/>
      <c r="S1311" s="88" t="n"/>
      <c r="T1311" s="88" t="n"/>
      <c r="U1311" s="88" t="n"/>
      <c r="V1311" s="89" t="n"/>
      <c r="W1311" s="88" t="n"/>
      <c r="X1311" s="89" t="n"/>
      <c r="Y1311" s="88" t="n"/>
      <c r="Z1311" s="89" t="n"/>
      <c r="AB1311" s="30">
        <f>IF($B1311="","",(COUNTIF(C1311:E1311,"?*")&lt;N(INDEX(Setup!$L$6:$L$23,4)))+(COUNTIF(G1311:I1311,"?*")&lt;N(INDEX(Setup!$L$6:$L$23,4)))+(COUNTIF(K1311:M1311,"?*")&lt;N(INDEX(Setup!$L$6:$L$23,4)))+(COUNTIF(O1311:Q1311,"?*")&lt;N(INDEX(Setup!$L$6:$L$23,4)))+(COUNTIF(S1311:U1311,"?*")&lt;N(INDEX(Setup!$L$6:$L$23,4)))+((W1311="")*(INDEX(Setup!$M$6:$M$23,4)="Y"))+((Y1311="")*(INDEX(Setup!$M$6:$M$23,4)="Y")))</f>
        <v/>
      </c>
      <c r="AC1311" s="91">
        <f>IF($B1311="","",IF(AB1311=0,"✓ covered","⚠ "&amp;AB1311&amp;IF(AB1311=1," gap"," gaps")))</f>
        <v/>
      </c>
    </row>
    <row r="1312" ht="17" customHeight="1">
      <c r="A1312" t="n">
        <v>27</v>
      </c>
      <c r="B1312" s="24">
        <f>IF(Setup!$K$10="","",Setup!$K$10)</f>
        <v/>
      </c>
      <c r="C1312" s="88" t="n"/>
      <c r="D1312" s="88" t="n"/>
      <c r="E1312" s="88" t="n"/>
      <c r="F1312" s="89" t="n"/>
      <c r="G1312" s="88" t="n"/>
      <c r="H1312" s="88" t="n"/>
      <c r="I1312" s="88" t="n"/>
      <c r="J1312" s="89" t="n"/>
      <c r="K1312" s="88" t="n"/>
      <c r="L1312" s="88" t="n"/>
      <c r="M1312" s="88" t="n"/>
      <c r="N1312" s="89" t="n"/>
      <c r="O1312" s="88" t="n"/>
      <c r="P1312" s="88" t="n"/>
      <c r="Q1312" s="88" t="n"/>
      <c r="R1312" s="89" t="n"/>
      <c r="S1312" s="88" t="n"/>
      <c r="T1312" s="88" t="n"/>
      <c r="U1312" s="88" t="n"/>
      <c r="V1312" s="89" t="n"/>
      <c r="W1312" s="88" t="n"/>
      <c r="X1312" s="89" t="n"/>
      <c r="Y1312" s="88" t="n"/>
      <c r="Z1312" s="89" t="n"/>
      <c r="AB1312" s="25">
        <f>IF($B1312="","",(COUNTIF(C1312:E1312,"?*")&lt;N(INDEX(Setup!$L$6:$L$23,5)))+(COUNTIF(G1312:I1312,"?*")&lt;N(INDEX(Setup!$L$6:$L$23,5)))+(COUNTIF(K1312:M1312,"?*")&lt;N(INDEX(Setup!$L$6:$L$23,5)))+(COUNTIF(O1312:Q1312,"?*")&lt;N(INDEX(Setup!$L$6:$L$23,5)))+(COUNTIF(S1312:U1312,"?*")&lt;N(INDEX(Setup!$L$6:$L$23,5)))+((W1312="")*(INDEX(Setup!$M$6:$M$23,5)="Y"))+((Y1312="")*(INDEX(Setup!$M$6:$M$23,5)="Y")))</f>
        <v/>
      </c>
      <c r="AC1312" s="90">
        <f>IF($B1312="","",IF(AB1312=0,"✓ covered","⚠ "&amp;AB1312&amp;IF(AB1312=1," gap"," gaps")))</f>
        <v/>
      </c>
    </row>
    <row r="1313" ht="17" customHeight="1">
      <c r="A1313" t="n">
        <v>27</v>
      </c>
      <c r="B1313" s="29">
        <f>IF(Setup!$K$11="","",Setup!$K$11)</f>
        <v/>
      </c>
      <c r="C1313" s="88" t="n"/>
      <c r="D1313" s="88" t="n"/>
      <c r="E1313" s="88" t="n"/>
      <c r="F1313" s="89" t="n"/>
      <c r="G1313" s="88" t="n"/>
      <c r="H1313" s="88" t="n"/>
      <c r="I1313" s="88" t="n"/>
      <c r="J1313" s="89" t="n"/>
      <c r="K1313" s="88" t="n"/>
      <c r="L1313" s="88" t="n"/>
      <c r="M1313" s="88" t="n"/>
      <c r="N1313" s="89" t="n"/>
      <c r="O1313" s="88" t="n"/>
      <c r="P1313" s="88" t="n"/>
      <c r="Q1313" s="88" t="n"/>
      <c r="R1313" s="89" t="n"/>
      <c r="S1313" s="88" t="n"/>
      <c r="T1313" s="88" t="n"/>
      <c r="U1313" s="88" t="n"/>
      <c r="V1313" s="89" t="n"/>
      <c r="W1313" s="88" t="n"/>
      <c r="X1313" s="89" t="n"/>
      <c r="Y1313" s="88" t="n"/>
      <c r="Z1313" s="89" t="n"/>
      <c r="AB1313" s="30">
        <f>IF($B1313="","",(COUNTIF(C1313:E1313,"?*")&lt;N(INDEX(Setup!$L$6:$L$23,6)))+(COUNTIF(G1313:I1313,"?*")&lt;N(INDEX(Setup!$L$6:$L$23,6)))+(COUNTIF(K1313:M1313,"?*")&lt;N(INDEX(Setup!$L$6:$L$23,6)))+(COUNTIF(O1313:Q1313,"?*")&lt;N(INDEX(Setup!$L$6:$L$23,6)))+(COUNTIF(S1313:U1313,"?*")&lt;N(INDEX(Setup!$L$6:$L$23,6)))+((W1313="")*(INDEX(Setup!$M$6:$M$23,6)="Y"))+((Y1313="")*(INDEX(Setup!$M$6:$M$23,6)="Y")))</f>
        <v/>
      </c>
      <c r="AC1313" s="91">
        <f>IF($B1313="","",IF(AB1313=0,"✓ covered","⚠ "&amp;AB1313&amp;IF(AB1313=1," gap"," gaps")))</f>
        <v/>
      </c>
    </row>
    <row r="1314" ht="17" customHeight="1">
      <c r="A1314" t="n">
        <v>27</v>
      </c>
      <c r="B1314" s="24">
        <f>IF(Setup!$K$12="","",Setup!$K$12)</f>
        <v/>
      </c>
      <c r="C1314" s="88" t="n"/>
      <c r="D1314" s="88" t="n"/>
      <c r="E1314" s="88" t="n"/>
      <c r="F1314" s="89" t="n"/>
      <c r="G1314" s="88" t="n"/>
      <c r="H1314" s="88" t="n"/>
      <c r="I1314" s="88" t="n"/>
      <c r="J1314" s="89" t="n"/>
      <c r="K1314" s="88" t="n"/>
      <c r="L1314" s="88" t="n"/>
      <c r="M1314" s="88" t="n"/>
      <c r="N1314" s="89" t="n"/>
      <c r="O1314" s="88" t="n"/>
      <c r="P1314" s="88" t="n"/>
      <c r="Q1314" s="88" t="n"/>
      <c r="R1314" s="89" t="n"/>
      <c r="S1314" s="88" t="n"/>
      <c r="T1314" s="88" t="n"/>
      <c r="U1314" s="88" t="n"/>
      <c r="V1314" s="89" t="n"/>
      <c r="W1314" s="88" t="n"/>
      <c r="X1314" s="89" t="n"/>
      <c r="Y1314" s="88" t="n"/>
      <c r="Z1314" s="89" t="n"/>
      <c r="AB1314" s="25">
        <f>IF($B1314="","",(COUNTIF(C1314:E1314,"?*")&lt;N(INDEX(Setup!$L$6:$L$23,7)))+(COUNTIF(G1314:I1314,"?*")&lt;N(INDEX(Setup!$L$6:$L$23,7)))+(COUNTIF(K1314:M1314,"?*")&lt;N(INDEX(Setup!$L$6:$L$23,7)))+(COUNTIF(O1314:Q1314,"?*")&lt;N(INDEX(Setup!$L$6:$L$23,7)))+(COUNTIF(S1314:U1314,"?*")&lt;N(INDEX(Setup!$L$6:$L$23,7)))+((W1314="")*(INDEX(Setup!$M$6:$M$23,7)="Y"))+((Y1314="")*(INDEX(Setup!$M$6:$M$23,7)="Y")))</f>
        <v/>
      </c>
      <c r="AC1314" s="90">
        <f>IF($B1314="","",IF(AB1314=0,"✓ covered","⚠ "&amp;AB1314&amp;IF(AB1314=1," gap"," gaps")))</f>
        <v/>
      </c>
    </row>
    <row r="1315" ht="17" customHeight="1">
      <c r="A1315" t="n">
        <v>27</v>
      </c>
      <c r="B1315" s="29">
        <f>IF(Setup!$K$13="","",Setup!$K$13)</f>
        <v/>
      </c>
      <c r="C1315" s="88" t="n"/>
      <c r="D1315" s="88" t="n"/>
      <c r="E1315" s="88" t="n"/>
      <c r="F1315" s="89" t="n"/>
      <c r="G1315" s="88" t="n"/>
      <c r="H1315" s="88" t="n"/>
      <c r="I1315" s="88" t="n"/>
      <c r="J1315" s="89" t="n"/>
      <c r="K1315" s="88" t="n"/>
      <c r="L1315" s="88" t="n"/>
      <c r="M1315" s="88" t="n"/>
      <c r="N1315" s="89" t="n"/>
      <c r="O1315" s="88" t="n"/>
      <c r="P1315" s="88" t="n"/>
      <c r="Q1315" s="88" t="n"/>
      <c r="R1315" s="89" t="n"/>
      <c r="S1315" s="88" t="n"/>
      <c r="T1315" s="88" t="n"/>
      <c r="U1315" s="88" t="n"/>
      <c r="V1315" s="89" t="n"/>
      <c r="W1315" s="88" t="n"/>
      <c r="X1315" s="89" t="n"/>
      <c r="Y1315" s="88" t="n"/>
      <c r="Z1315" s="89" t="n"/>
      <c r="AB1315" s="30">
        <f>IF($B1315="","",(COUNTIF(C1315:E1315,"?*")&lt;N(INDEX(Setup!$L$6:$L$23,8)))+(COUNTIF(G1315:I1315,"?*")&lt;N(INDEX(Setup!$L$6:$L$23,8)))+(COUNTIF(K1315:M1315,"?*")&lt;N(INDEX(Setup!$L$6:$L$23,8)))+(COUNTIF(O1315:Q1315,"?*")&lt;N(INDEX(Setup!$L$6:$L$23,8)))+(COUNTIF(S1315:U1315,"?*")&lt;N(INDEX(Setup!$L$6:$L$23,8)))+((W1315="")*(INDEX(Setup!$M$6:$M$23,8)="Y"))+((Y1315="")*(INDEX(Setup!$M$6:$M$23,8)="Y")))</f>
        <v/>
      </c>
      <c r="AC1315" s="91">
        <f>IF($B1315="","",IF(AB1315=0,"✓ covered","⚠ "&amp;AB1315&amp;IF(AB1315=1," gap"," gaps")))</f>
        <v/>
      </c>
    </row>
    <row r="1316" ht="17" customHeight="1">
      <c r="A1316" t="n">
        <v>27</v>
      </c>
      <c r="B1316" s="24">
        <f>IF(Setup!$K$14="","",Setup!$K$14)</f>
        <v/>
      </c>
      <c r="C1316" s="88" t="n"/>
      <c r="D1316" s="88" t="n"/>
      <c r="E1316" s="88" t="n"/>
      <c r="F1316" s="89" t="n"/>
      <c r="G1316" s="88" t="n"/>
      <c r="H1316" s="88" t="n"/>
      <c r="I1316" s="88" t="n"/>
      <c r="J1316" s="89" t="n"/>
      <c r="K1316" s="88" t="n"/>
      <c r="L1316" s="88" t="n"/>
      <c r="M1316" s="88" t="n"/>
      <c r="N1316" s="89" t="n"/>
      <c r="O1316" s="88" t="n"/>
      <c r="P1316" s="88" t="n"/>
      <c r="Q1316" s="88" t="n"/>
      <c r="R1316" s="89" t="n"/>
      <c r="S1316" s="88" t="n"/>
      <c r="T1316" s="88" t="n"/>
      <c r="U1316" s="88" t="n"/>
      <c r="V1316" s="89" t="n"/>
      <c r="W1316" s="88" t="n"/>
      <c r="X1316" s="89" t="n"/>
      <c r="Y1316" s="88" t="n"/>
      <c r="Z1316" s="89" t="n"/>
      <c r="AB1316" s="25">
        <f>IF($B1316="","",(COUNTIF(C1316:E1316,"?*")&lt;N(INDEX(Setup!$L$6:$L$23,9)))+(COUNTIF(G1316:I1316,"?*")&lt;N(INDEX(Setup!$L$6:$L$23,9)))+(COUNTIF(K1316:M1316,"?*")&lt;N(INDEX(Setup!$L$6:$L$23,9)))+(COUNTIF(O1316:Q1316,"?*")&lt;N(INDEX(Setup!$L$6:$L$23,9)))+(COUNTIF(S1316:U1316,"?*")&lt;N(INDEX(Setup!$L$6:$L$23,9)))+((W1316="")*(INDEX(Setup!$M$6:$M$23,9)="Y"))+((Y1316="")*(INDEX(Setup!$M$6:$M$23,9)="Y")))</f>
        <v/>
      </c>
      <c r="AC1316" s="90">
        <f>IF($B1316="","",IF(AB1316=0,"✓ covered","⚠ "&amp;AB1316&amp;IF(AB1316=1," gap"," gaps")))</f>
        <v/>
      </c>
    </row>
    <row r="1317" ht="17" customHeight="1">
      <c r="A1317" t="n">
        <v>27</v>
      </c>
      <c r="B1317" s="29">
        <f>IF(Setup!$K$15="","",Setup!$K$15)</f>
        <v/>
      </c>
      <c r="C1317" s="88" t="n"/>
      <c r="D1317" s="88" t="n"/>
      <c r="E1317" s="88" t="n"/>
      <c r="F1317" s="89" t="n"/>
      <c r="G1317" s="88" t="n"/>
      <c r="H1317" s="88" t="n"/>
      <c r="I1317" s="88" t="n"/>
      <c r="J1317" s="89" t="n"/>
      <c r="K1317" s="88" t="n"/>
      <c r="L1317" s="88" t="n"/>
      <c r="M1317" s="88" t="n"/>
      <c r="N1317" s="89" t="n"/>
      <c r="O1317" s="88" t="n"/>
      <c r="P1317" s="88" t="n"/>
      <c r="Q1317" s="88" t="n"/>
      <c r="R1317" s="89" t="n"/>
      <c r="S1317" s="88" t="n"/>
      <c r="T1317" s="88" t="n"/>
      <c r="U1317" s="88" t="n"/>
      <c r="V1317" s="89" t="n"/>
      <c r="W1317" s="88" t="n"/>
      <c r="X1317" s="89" t="n"/>
      <c r="Y1317" s="88" t="n"/>
      <c r="Z1317" s="89" t="n"/>
      <c r="AB1317" s="30">
        <f>IF($B1317="","",(COUNTIF(C1317:E1317,"?*")&lt;N(INDEX(Setup!$L$6:$L$23,10)))+(COUNTIF(G1317:I1317,"?*")&lt;N(INDEX(Setup!$L$6:$L$23,10)))+(COUNTIF(K1317:M1317,"?*")&lt;N(INDEX(Setup!$L$6:$L$23,10)))+(COUNTIF(O1317:Q1317,"?*")&lt;N(INDEX(Setup!$L$6:$L$23,10)))+(COUNTIF(S1317:U1317,"?*")&lt;N(INDEX(Setup!$L$6:$L$23,10)))+((W1317="")*(INDEX(Setup!$M$6:$M$23,10)="Y"))+((Y1317="")*(INDEX(Setup!$M$6:$M$23,10)="Y")))</f>
        <v/>
      </c>
      <c r="AC1317" s="91">
        <f>IF($B1317="","",IF(AB1317=0,"✓ covered","⚠ "&amp;AB1317&amp;IF(AB1317=1," gap"," gaps")))</f>
        <v/>
      </c>
    </row>
    <row r="1318" ht="17" customHeight="1">
      <c r="A1318" t="n">
        <v>27</v>
      </c>
      <c r="B1318" s="24">
        <f>IF(Setup!$K$16="","",Setup!$K$16)</f>
        <v/>
      </c>
      <c r="C1318" s="88" t="n"/>
      <c r="D1318" s="88" t="n"/>
      <c r="E1318" s="88" t="n"/>
      <c r="F1318" s="89" t="n"/>
      <c r="G1318" s="88" t="n"/>
      <c r="H1318" s="88" t="n"/>
      <c r="I1318" s="88" t="n"/>
      <c r="J1318" s="89" t="n"/>
      <c r="K1318" s="88" t="n"/>
      <c r="L1318" s="88" t="n"/>
      <c r="M1318" s="88" t="n"/>
      <c r="N1318" s="89" t="n"/>
      <c r="O1318" s="88" t="n"/>
      <c r="P1318" s="88" t="n"/>
      <c r="Q1318" s="88" t="n"/>
      <c r="R1318" s="89" t="n"/>
      <c r="S1318" s="88" t="n"/>
      <c r="T1318" s="88" t="n"/>
      <c r="U1318" s="88" t="n"/>
      <c r="V1318" s="89" t="n"/>
      <c r="W1318" s="88" t="n"/>
      <c r="X1318" s="89" t="n"/>
      <c r="Y1318" s="88" t="n"/>
      <c r="Z1318" s="89" t="n"/>
      <c r="AB1318" s="25">
        <f>IF($B1318="","",(COUNTIF(C1318:E1318,"?*")&lt;N(INDEX(Setup!$L$6:$L$23,11)))+(COUNTIF(G1318:I1318,"?*")&lt;N(INDEX(Setup!$L$6:$L$23,11)))+(COUNTIF(K1318:M1318,"?*")&lt;N(INDEX(Setup!$L$6:$L$23,11)))+(COUNTIF(O1318:Q1318,"?*")&lt;N(INDEX(Setup!$L$6:$L$23,11)))+(COUNTIF(S1318:U1318,"?*")&lt;N(INDEX(Setup!$L$6:$L$23,11)))+((W1318="")*(INDEX(Setup!$M$6:$M$23,11)="Y"))+((Y1318="")*(INDEX(Setup!$M$6:$M$23,11)="Y")))</f>
        <v/>
      </c>
      <c r="AC1318" s="90">
        <f>IF($B1318="","",IF(AB1318=0,"✓ covered","⚠ "&amp;AB1318&amp;IF(AB1318=1," gap"," gaps")))</f>
        <v/>
      </c>
    </row>
    <row r="1319" ht="17" customHeight="1">
      <c r="A1319" t="n">
        <v>27</v>
      </c>
      <c r="B1319" s="29">
        <f>IF(Setup!$K$17="","",Setup!$K$17)</f>
        <v/>
      </c>
      <c r="C1319" s="88" t="n"/>
      <c r="D1319" s="88" t="n"/>
      <c r="E1319" s="88" t="n"/>
      <c r="F1319" s="89" t="n"/>
      <c r="G1319" s="88" t="n"/>
      <c r="H1319" s="88" t="n"/>
      <c r="I1319" s="88" t="n"/>
      <c r="J1319" s="89" t="n"/>
      <c r="K1319" s="88" t="n"/>
      <c r="L1319" s="88" t="n"/>
      <c r="M1319" s="88" t="n"/>
      <c r="N1319" s="89" t="n"/>
      <c r="O1319" s="88" t="n"/>
      <c r="P1319" s="88" t="n"/>
      <c r="Q1319" s="88" t="n"/>
      <c r="R1319" s="89" t="n"/>
      <c r="S1319" s="88" t="n"/>
      <c r="T1319" s="88" t="n"/>
      <c r="U1319" s="88" t="n"/>
      <c r="V1319" s="89" t="n"/>
      <c r="W1319" s="88" t="n"/>
      <c r="X1319" s="89" t="n"/>
      <c r="Y1319" s="88" t="n"/>
      <c r="Z1319" s="89" t="n"/>
      <c r="AB1319" s="30">
        <f>IF($B1319="","",(COUNTIF(C1319:E1319,"?*")&lt;N(INDEX(Setup!$L$6:$L$23,12)))+(COUNTIF(G1319:I1319,"?*")&lt;N(INDEX(Setup!$L$6:$L$23,12)))+(COUNTIF(K1319:M1319,"?*")&lt;N(INDEX(Setup!$L$6:$L$23,12)))+(COUNTIF(O1319:Q1319,"?*")&lt;N(INDEX(Setup!$L$6:$L$23,12)))+(COUNTIF(S1319:U1319,"?*")&lt;N(INDEX(Setup!$L$6:$L$23,12)))+((W1319="")*(INDEX(Setup!$M$6:$M$23,12)="Y"))+((Y1319="")*(INDEX(Setup!$M$6:$M$23,12)="Y")))</f>
        <v/>
      </c>
      <c r="AC1319" s="91">
        <f>IF($B1319="","",IF(AB1319=0,"✓ covered","⚠ "&amp;AB1319&amp;IF(AB1319=1," gap"," gaps")))</f>
        <v/>
      </c>
    </row>
    <row r="1320" ht="17" customHeight="1">
      <c r="A1320" t="n">
        <v>27</v>
      </c>
      <c r="B1320" s="24">
        <f>IF(Setup!$K$18="","",Setup!$K$18)</f>
        <v/>
      </c>
      <c r="C1320" s="88" t="inlineStr">
        <is>
          <t>TB</t>
        </is>
      </c>
      <c r="D1320" s="88" t="inlineStr">
        <is>
          <t>TB</t>
        </is>
      </c>
      <c r="E1320" s="88" t="n"/>
      <c r="F1320" s="89" t="n"/>
      <c r="G1320" s="88" t="n"/>
      <c r="H1320" s="88" t="n"/>
      <c r="I1320" s="88" t="n"/>
      <c r="J1320" s="89" t="n"/>
      <c r="K1320" s="88" t="n"/>
      <c r="L1320" s="88" t="n"/>
      <c r="M1320" s="88" t="n"/>
      <c r="N1320" s="89" t="n"/>
      <c r="O1320" s="88" t="n"/>
      <c r="P1320" s="88" t="n"/>
      <c r="Q1320" s="88" t="n"/>
      <c r="R1320" s="89" t="n"/>
      <c r="S1320" s="88" t="n"/>
      <c r="T1320" s="88" t="n"/>
      <c r="U1320" s="88" t="n"/>
      <c r="V1320" s="89" t="n"/>
      <c r="W1320" s="88" t="n"/>
      <c r="X1320" s="89" t="n"/>
      <c r="Y1320" s="88" t="n"/>
      <c r="Z1320" s="89" t="n"/>
      <c r="AB1320" s="25">
        <f>IF($B1320="","",(COUNTIF(C1320:E1320,"?*")&lt;N(INDEX(Setup!$L$6:$L$23,13)))+(COUNTIF(G1320:I1320,"?*")&lt;N(INDEX(Setup!$L$6:$L$23,13)))+(COUNTIF(K1320:M1320,"?*")&lt;N(INDEX(Setup!$L$6:$L$23,13)))+(COUNTIF(O1320:Q1320,"?*")&lt;N(INDEX(Setup!$L$6:$L$23,13)))+(COUNTIF(S1320:U1320,"?*")&lt;N(INDEX(Setup!$L$6:$L$23,13)))+((W1320="")*(INDEX(Setup!$M$6:$M$23,13)="Y"))+((Y1320="")*(INDEX(Setup!$M$6:$M$23,13)="Y")))</f>
        <v/>
      </c>
      <c r="AC1320" s="90">
        <f>IF($B1320="","",IF(AB1320=0,"✓ covered","⚠ "&amp;AB1320&amp;IF(AB1320=1," gap"," gaps")))</f>
        <v/>
      </c>
    </row>
    <row r="1321" ht="17" customHeight="1">
      <c r="A1321" t="n">
        <v>27</v>
      </c>
      <c r="B1321" s="29">
        <f>IF(Setup!$K$19="","",Setup!$K$19)</f>
        <v/>
      </c>
      <c r="C1321" s="88" t="n"/>
      <c r="D1321" s="88" t="n"/>
      <c r="E1321" s="88" t="n"/>
      <c r="F1321" s="89" t="n"/>
      <c r="G1321" s="88" t="n"/>
      <c r="H1321" s="88" t="n"/>
      <c r="I1321" s="88" t="n"/>
      <c r="J1321" s="89" t="n"/>
      <c r="K1321" s="88" t="n"/>
      <c r="L1321" s="88" t="n"/>
      <c r="M1321" s="88" t="n"/>
      <c r="N1321" s="89" t="n"/>
      <c r="O1321" s="88" t="n"/>
      <c r="P1321" s="88" t="n"/>
      <c r="Q1321" s="88" t="n"/>
      <c r="R1321" s="89" t="n"/>
      <c r="S1321" s="88" t="n"/>
      <c r="T1321" s="88" t="n"/>
      <c r="U1321" s="88" t="n"/>
      <c r="V1321" s="89" t="n"/>
      <c r="W1321" s="88" t="n"/>
      <c r="X1321" s="89" t="n"/>
      <c r="Y1321" s="88" t="n"/>
      <c r="Z1321" s="89" t="n"/>
      <c r="AB1321" s="30">
        <f>IF($B1321="","",(COUNTIF(C1321:E1321,"?*")&lt;N(INDEX(Setup!$L$6:$L$23,14)))+(COUNTIF(G1321:I1321,"?*")&lt;N(INDEX(Setup!$L$6:$L$23,14)))+(COUNTIF(K1321:M1321,"?*")&lt;N(INDEX(Setup!$L$6:$L$23,14)))+(COUNTIF(O1321:Q1321,"?*")&lt;N(INDEX(Setup!$L$6:$L$23,14)))+(COUNTIF(S1321:U1321,"?*")&lt;N(INDEX(Setup!$L$6:$L$23,14)))+((W1321="")*(INDEX(Setup!$M$6:$M$23,14)="Y"))+((Y1321="")*(INDEX(Setup!$M$6:$M$23,14)="Y")))</f>
        <v/>
      </c>
      <c r="AC1321" s="91">
        <f>IF($B1321="","",IF(AB1321=0,"✓ covered","⚠ "&amp;AB1321&amp;IF(AB1321=1," gap"," gaps")))</f>
        <v/>
      </c>
    </row>
    <row r="1322" ht="17" customHeight="1">
      <c r="A1322" t="n">
        <v>27</v>
      </c>
      <c r="B1322" s="24">
        <f>IF(Setup!$K$20="","",Setup!$K$20)</f>
        <v/>
      </c>
      <c r="C1322" s="88" t="n"/>
      <c r="D1322" s="88" t="n"/>
      <c r="E1322" s="88" t="n"/>
      <c r="F1322" s="89" t="n"/>
      <c r="G1322" s="88" t="n"/>
      <c r="H1322" s="88" t="n"/>
      <c r="I1322" s="88" t="n"/>
      <c r="J1322" s="89" t="n"/>
      <c r="K1322" s="88" t="n"/>
      <c r="L1322" s="88" t="n"/>
      <c r="M1322" s="88" t="n"/>
      <c r="N1322" s="89" t="n"/>
      <c r="O1322" s="88" t="n"/>
      <c r="P1322" s="88" t="n"/>
      <c r="Q1322" s="88" t="n"/>
      <c r="R1322" s="89" t="n"/>
      <c r="S1322" s="88" t="n"/>
      <c r="T1322" s="88" t="n"/>
      <c r="U1322" s="88" t="n"/>
      <c r="V1322" s="89" t="n"/>
      <c r="W1322" s="88" t="n"/>
      <c r="X1322" s="89" t="n"/>
      <c r="Y1322" s="88" t="n"/>
      <c r="Z1322" s="89" t="n"/>
      <c r="AB1322" s="25">
        <f>IF($B1322="","",(COUNTIF(C1322:E1322,"?*")&lt;N(INDEX(Setup!$L$6:$L$23,15)))+(COUNTIF(G1322:I1322,"?*")&lt;N(INDEX(Setup!$L$6:$L$23,15)))+(COUNTIF(K1322:M1322,"?*")&lt;N(INDEX(Setup!$L$6:$L$23,15)))+(COUNTIF(O1322:Q1322,"?*")&lt;N(INDEX(Setup!$L$6:$L$23,15)))+(COUNTIF(S1322:U1322,"?*")&lt;N(INDEX(Setup!$L$6:$L$23,15)))+((W1322="")*(INDEX(Setup!$M$6:$M$23,15)="Y"))+((Y1322="")*(INDEX(Setup!$M$6:$M$23,15)="Y")))</f>
        <v/>
      </c>
      <c r="AC1322" s="90">
        <f>IF($B1322="","",IF(AB1322=0,"✓ covered","⚠ "&amp;AB1322&amp;IF(AB1322=1," gap"," gaps")))</f>
        <v/>
      </c>
    </row>
    <row r="1323" ht="17" customHeight="1">
      <c r="A1323" t="n">
        <v>27</v>
      </c>
      <c r="B1323" s="29">
        <f>IF(Setup!$K$21="","",Setup!$K$21)</f>
        <v/>
      </c>
      <c r="C1323" s="88" t="n"/>
      <c r="D1323" s="88" t="n"/>
      <c r="E1323" s="88" t="n"/>
      <c r="F1323" s="89" t="n"/>
      <c r="G1323" s="88" t="n"/>
      <c r="H1323" s="88" t="n"/>
      <c r="I1323" s="88" t="n"/>
      <c r="J1323" s="89" t="n"/>
      <c r="K1323" s="88" t="n"/>
      <c r="L1323" s="88" t="n"/>
      <c r="M1323" s="88" t="n"/>
      <c r="N1323" s="89" t="n"/>
      <c r="O1323" s="88" t="n"/>
      <c r="P1323" s="88" t="n"/>
      <c r="Q1323" s="88" t="n"/>
      <c r="R1323" s="89" t="n"/>
      <c r="S1323" s="88" t="n"/>
      <c r="T1323" s="88" t="n"/>
      <c r="U1323" s="88" t="n"/>
      <c r="V1323" s="89" t="n"/>
      <c r="W1323" s="88" t="n"/>
      <c r="X1323" s="89" t="n"/>
      <c r="Y1323" s="88" t="n"/>
      <c r="Z1323" s="89" t="n"/>
      <c r="AB1323" s="30">
        <f>IF($B1323="","",(COUNTIF(C1323:E1323,"?*")&lt;N(INDEX(Setup!$L$6:$L$23,16)))+(COUNTIF(G1323:I1323,"?*")&lt;N(INDEX(Setup!$L$6:$L$23,16)))+(COUNTIF(K1323:M1323,"?*")&lt;N(INDEX(Setup!$L$6:$L$23,16)))+(COUNTIF(O1323:Q1323,"?*")&lt;N(INDEX(Setup!$L$6:$L$23,16)))+(COUNTIF(S1323:U1323,"?*")&lt;N(INDEX(Setup!$L$6:$L$23,16)))+((W1323="")*(INDEX(Setup!$M$6:$M$23,16)="Y"))+((Y1323="")*(INDEX(Setup!$M$6:$M$23,16)="Y")))</f>
        <v/>
      </c>
      <c r="AC1323" s="91">
        <f>IF($B1323="","",IF(AB1323=0,"✓ covered","⚠ "&amp;AB1323&amp;IF(AB1323=1," gap"," gaps")))</f>
        <v/>
      </c>
    </row>
    <row r="1324" ht="17" customHeight="1">
      <c r="A1324" t="n">
        <v>27</v>
      </c>
      <c r="B1324" s="24">
        <f>IF(Setup!$K$22="","",Setup!$K$22)</f>
        <v/>
      </c>
      <c r="C1324" s="88" t="n"/>
      <c r="D1324" s="88" t="n"/>
      <c r="E1324" s="88" t="n"/>
      <c r="F1324" s="89" t="n"/>
      <c r="G1324" s="88" t="n"/>
      <c r="H1324" s="88" t="n"/>
      <c r="I1324" s="88" t="n"/>
      <c r="J1324" s="89" t="n"/>
      <c r="K1324" s="88" t="n"/>
      <c r="L1324" s="88" t="n"/>
      <c r="M1324" s="88" t="n"/>
      <c r="N1324" s="89" t="n"/>
      <c r="O1324" s="88" t="n"/>
      <c r="P1324" s="88" t="n"/>
      <c r="Q1324" s="88" t="n"/>
      <c r="R1324" s="89" t="n"/>
      <c r="S1324" s="88" t="n"/>
      <c r="T1324" s="88" t="n"/>
      <c r="U1324" s="88" t="n"/>
      <c r="V1324" s="89" t="n"/>
      <c r="W1324" s="88" t="n"/>
      <c r="X1324" s="89" t="n"/>
      <c r="Y1324" s="88" t="n"/>
      <c r="Z1324" s="89" t="n"/>
      <c r="AB1324" s="25">
        <f>IF($B1324="","",(COUNTIF(C1324:E1324,"?*")&lt;N(INDEX(Setup!$L$6:$L$23,17)))+(COUNTIF(G1324:I1324,"?*")&lt;N(INDEX(Setup!$L$6:$L$23,17)))+(COUNTIF(K1324:M1324,"?*")&lt;N(INDEX(Setup!$L$6:$L$23,17)))+(COUNTIF(O1324:Q1324,"?*")&lt;N(INDEX(Setup!$L$6:$L$23,17)))+(COUNTIF(S1324:U1324,"?*")&lt;N(INDEX(Setup!$L$6:$L$23,17)))+((W1324="")*(INDEX(Setup!$M$6:$M$23,17)="Y"))+((Y1324="")*(INDEX(Setup!$M$6:$M$23,17)="Y")))</f>
        <v/>
      </c>
      <c r="AC1324" s="90">
        <f>IF($B1324="","",IF(AB1324=0,"✓ covered","⚠ "&amp;AB1324&amp;IF(AB1324=1," gap"," gaps")))</f>
        <v/>
      </c>
    </row>
    <row r="1325" ht="17" customHeight="1">
      <c r="A1325" t="n">
        <v>27</v>
      </c>
      <c r="B1325" s="29">
        <f>IF(Setup!$K$23="","",Setup!$K$23)</f>
        <v/>
      </c>
      <c r="C1325" s="88" t="n"/>
      <c r="D1325" s="88" t="n"/>
      <c r="E1325" s="88" t="n"/>
      <c r="F1325" s="89" t="n"/>
      <c r="G1325" s="88" t="n"/>
      <c r="H1325" s="88" t="n"/>
      <c r="I1325" s="88" t="n"/>
      <c r="J1325" s="89" t="n"/>
      <c r="K1325" s="88" t="n"/>
      <c r="L1325" s="88" t="n"/>
      <c r="M1325" s="88" t="n"/>
      <c r="N1325" s="89" t="n"/>
      <c r="O1325" s="88" t="n"/>
      <c r="P1325" s="88" t="n"/>
      <c r="Q1325" s="88" t="n"/>
      <c r="R1325" s="89" t="n"/>
      <c r="S1325" s="88" t="n"/>
      <c r="T1325" s="88" t="n"/>
      <c r="U1325" s="88" t="n"/>
      <c r="V1325" s="89" t="n"/>
      <c r="W1325" s="88" t="n"/>
      <c r="X1325" s="89" t="n"/>
      <c r="Y1325" s="88" t="n"/>
      <c r="Z1325" s="89" t="n"/>
      <c r="AB1325" s="30">
        <f>IF($B1325="","",(COUNTIF(C1325:E1325,"?*")&lt;N(INDEX(Setup!$L$6:$L$23,18)))+(COUNTIF(G1325:I1325,"?*")&lt;N(INDEX(Setup!$L$6:$L$23,18)))+(COUNTIF(K1325:M1325,"?*")&lt;N(INDEX(Setup!$L$6:$L$23,18)))+(COUNTIF(O1325:Q1325,"?*")&lt;N(INDEX(Setup!$L$6:$L$23,18)))+(COUNTIF(S1325:U1325,"?*")&lt;N(INDEX(Setup!$L$6:$L$23,18)))+((W1325="")*(INDEX(Setup!$M$6:$M$23,18)="Y"))+((Y1325="")*(INDEX(Setup!$M$6:$M$23,18)="Y")))</f>
        <v/>
      </c>
      <c r="AC1325" s="91">
        <f>IF($B1325="","",IF(AB1325=0,"✓ covered","⚠ "&amp;AB1325&amp;IF(AB1325=1," gap"," gaps")))</f>
        <v/>
      </c>
    </row>
    <row r="1326" ht="18" customHeight="1">
      <c r="A1326" t="n">
        <v>27</v>
      </c>
      <c r="B1326" s="78" t="inlineStr">
        <is>
          <t>TEAM AVAILABILITY</t>
        </is>
      </c>
      <c r="C1326" s="92" t="inlineStr">
        <is>
          <t>Mon</t>
        </is>
      </c>
      <c r="D1326" s="93" t="n"/>
      <c r="E1326" s="93" t="n"/>
      <c r="F1326" s="94" t="n"/>
      <c r="G1326" s="92" t="inlineStr">
        <is>
          <t>Tue</t>
        </is>
      </c>
      <c r="H1326" s="93" t="n"/>
      <c r="I1326" s="93" t="n"/>
      <c r="J1326" s="94" t="n"/>
      <c r="K1326" s="92" t="inlineStr">
        <is>
          <t>Wed</t>
        </is>
      </c>
      <c r="L1326" s="93" t="n"/>
      <c r="M1326" s="93" t="n"/>
      <c r="N1326" s="94" t="n"/>
      <c r="O1326" s="92" t="inlineStr">
        <is>
          <t>Thu</t>
        </is>
      </c>
      <c r="P1326" s="93" t="n"/>
      <c r="Q1326" s="93" t="n"/>
      <c r="R1326" s="94" t="n"/>
      <c r="S1326" s="92" t="inlineStr">
        <is>
          <t>Fri</t>
        </is>
      </c>
      <c r="T1326" s="93" t="n"/>
      <c r="U1326" s="93" t="n"/>
      <c r="V1326" s="94" t="n"/>
      <c r="W1326" s="95" t="inlineStr">
        <is>
          <t>Sat</t>
        </is>
      </c>
      <c r="X1326" s="96" t="n"/>
      <c r="Y1326" s="95" t="inlineStr">
        <is>
          <t>Sun</t>
        </is>
      </c>
      <c r="Z1326" s="96" t="n"/>
      <c r="AB1326" s="97" t="inlineStr">
        <is>
          <t>Days rostered</t>
        </is>
      </c>
      <c r="AC1326" s="97" t="inlineStr">
        <is>
          <t>Conflicts</t>
        </is>
      </c>
    </row>
    <row r="1327" ht="15" customHeight="1">
      <c r="A1327" t="n">
        <v>27</v>
      </c>
      <c r="B1327" s="35">
        <f>IF(Setup!$B$6="","",Setup!$B$6)</f>
        <v/>
      </c>
      <c r="C1327" s="98" t="inlineStr">
        <is>
          <t>AL</t>
        </is>
      </c>
      <c r="D1327" s="99" t="n"/>
      <c r="E1327" s="99" t="n"/>
      <c r="F1327" s="100" t="n"/>
      <c r="G1327" s="98" t="n"/>
      <c r="H1327" s="99" t="n"/>
      <c r="I1327" s="99" t="n"/>
      <c r="J1327" s="100" t="n"/>
      <c r="K1327" s="98" t="n"/>
      <c r="L1327" s="99" t="n"/>
      <c r="M1327" s="99" t="n"/>
      <c r="N1327" s="100" t="n"/>
      <c r="O1327" s="98" t="n"/>
      <c r="P1327" s="99" t="n"/>
      <c r="Q1327" s="99" t="n"/>
      <c r="R1327" s="100" t="n"/>
      <c r="S1327" s="98" t="n"/>
      <c r="T1327" s="99" t="n"/>
      <c r="U1327" s="99" t="n"/>
      <c r="V1327" s="100" t="n"/>
      <c r="W1327" s="98" t="n"/>
      <c r="X1327" s="100" t="n"/>
      <c r="Y1327" s="98" t="n"/>
      <c r="Z1327" s="100" t="n"/>
      <c r="AB1327" s="101">
        <f>IF($B1327="","",(COUNTIF(C1308:E1325,$B1327)+COUNTIF(C1308:E1325,$B1327&amp;" ~*")&gt;0)+(COUNTIF(G1308:I1325,$B1327)+COUNTIF(G1308:I1325,$B1327&amp;" ~*")&gt;0)+(COUNTIF(K1308:M1325,$B1327)+COUNTIF(K1308:M1325,$B1327&amp;" ~*")&gt;0)+(COUNTIF(O1308:Q1325,$B1327)+COUNTIF(O1308:Q1325,$B1327&amp;" ~*")&gt;0)+(COUNTIF(S1308:U1325,$B1327)+COUNTIF(S1308:U1325,$B1327&amp;" ~*")&gt;0)+(COUNTIF(W1308:W1325,$B1327)+COUNTIF(W1308:W1325,$B1327&amp;" ~*")&gt;0)+(COUNTIF(Y1308:Y1325,$B1327)+COUNTIF(Y1308:Y1325,$B1327&amp;" ~*")&gt;0))</f>
        <v/>
      </c>
      <c r="AC1327" s="36">
        <f>IF($B1327="","",(IFERROR(INDEX(Setup!$G$33:$G$40,MATCH(C1327,Setup!$B$33:$B$40,0)),0)=1)*(COUNTIF(C1308:E1325,$B1327)+COUNTIF(C1308:E1325,$B1327&amp;" ~*")&gt;0)+(IFERROR(INDEX(Setup!$G$33:$G$40,MATCH(G1327,Setup!$B$33:$B$40,0)),0)=1)*(COUNTIF(G1308:I1325,$B1327)+COUNTIF(G1308:I1325,$B1327&amp;" ~*")&gt;0)+(IFERROR(INDEX(Setup!$G$33:$G$40,MATCH(K1327,Setup!$B$33:$B$40,0)),0)=1)*(COUNTIF(K1308:M1325,$B1327)+COUNTIF(K1308:M1325,$B1327&amp;" ~*")&gt;0)+(IFERROR(INDEX(Setup!$G$33:$G$40,MATCH(O1327,Setup!$B$33:$B$40,0)),0)=1)*(COUNTIF(O1308:Q1325,$B1327)+COUNTIF(O1308:Q1325,$B1327&amp;" ~*")&gt;0)+(IFERROR(INDEX(Setup!$G$33:$G$40,MATCH(S1327,Setup!$B$33:$B$40,0)),0)=1)*(COUNTIF(S1308:U1325,$B1327)+COUNTIF(S1308:U1325,$B1327&amp;" ~*")&gt;0)+(IFERROR(INDEX(Setup!$G$33:$G$40,MATCH(W1327,Setup!$B$33:$B$40,0)),0)=1)*(COUNTIF(W1308:W1325,$B1327)+COUNTIF(W1308:W1325,$B1327&amp;" ~*")&gt;0)+(IFERROR(INDEX(Setup!$G$33:$G$40,MATCH(Y1327,Setup!$B$33:$B$40,0)),0)=1)*(COUNTIF(Y1308:Y1325,$B1327)+COUNTIF(Y1308:Y1325,$B1327&amp;" ~*")&gt;0))</f>
        <v/>
      </c>
    </row>
    <row r="1328" ht="15" customHeight="1">
      <c r="A1328" t="n">
        <v>27</v>
      </c>
      <c r="B1328" s="37">
        <f>IF(Setup!$B$7="","",Setup!$B$7)</f>
        <v/>
      </c>
      <c r="C1328" s="102" t="n"/>
      <c r="D1328" s="103" t="n"/>
      <c r="E1328" s="103" t="n"/>
      <c r="F1328" s="104" t="n"/>
      <c r="G1328" s="102" t="n"/>
      <c r="H1328" s="103" t="n"/>
      <c r="I1328" s="103" t="n"/>
      <c r="J1328" s="104" t="n"/>
      <c r="K1328" s="102" t="n"/>
      <c r="L1328" s="103" t="n"/>
      <c r="M1328" s="103" t="n"/>
      <c r="N1328" s="104" t="n"/>
      <c r="O1328" s="102" t="n"/>
      <c r="P1328" s="103" t="n"/>
      <c r="Q1328" s="103" t="n"/>
      <c r="R1328" s="104" t="n"/>
      <c r="S1328" s="102" t="n"/>
      <c r="T1328" s="103" t="n"/>
      <c r="U1328" s="103" t="n"/>
      <c r="V1328" s="104" t="n"/>
      <c r="W1328" s="102" t="n"/>
      <c r="X1328" s="104" t="n"/>
      <c r="Y1328" s="102" t="n"/>
      <c r="Z1328" s="104" t="n"/>
      <c r="AB1328" s="105">
        <f>IF($B1328="","",(COUNTIF(C1308:E1325,$B1328)+COUNTIF(C1308:E1325,$B1328&amp;" ~*")&gt;0)+(COUNTIF(G1308:I1325,$B1328)+COUNTIF(G1308:I1325,$B1328&amp;" ~*")&gt;0)+(COUNTIF(K1308:M1325,$B1328)+COUNTIF(K1308:M1325,$B1328&amp;" ~*")&gt;0)+(COUNTIF(O1308:Q1325,$B1328)+COUNTIF(O1308:Q1325,$B1328&amp;" ~*")&gt;0)+(COUNTIF(S1308:U1325,$B1328)+COUNTIF(S1308:U1325,$B1328&amp;" ~*")&gt;0)+(COUNTIF(W1308:W1325,$B1328)+COUNTIF(W1308:W1325,$B1328&amp;" ~*")&gt;0)+(COUNTIF(Y1308:Y1325,$B1328)+COUNTIF(Y1308:Y1325,$B1328&amp;" ~*")&gt;0))</f>
        <v/>
      </c>
      <c r="AC1328" s="38">
        <f>IF($B1328="","",(IFERROR(INDEX(Setup!$G$33:$G$40,MATCH(C1328,Setup!$B$33:$B$40,0)),0)=1)*(COUNTIF(C1308:E1325,$B1328)+COUNTIF(C1308:E1325,$B1328&amp;" ~*")&gt;0)+(IFERROR(INDEX(Setup!$G$33:$G$40,MATCH(G1328,Setup!$B$33:$B$40,0)),0)=1)*(COUNTIF(G1308:I1325,$B1328)+COUNTIF(G1308:I1325,$B1328&amp;" ~*")&gt;0)+(IFERROR(INDEX(Setup!$G$33:$G$40,MATCH(K1328,Setup!$B$33:$B$40,0)),0)=1)*(COUNTIF(K1308:M1325,$B1328)+COUNTIF(K1308:M1325,$B1328&amp;" ~*")&gt;0)+(IFERROR(INDEX(Setup!$G$33:$G$40,MATCH(O1328,Setup!$B$33:$B$40,0)),0)=1)*(COUNTIF(O1308:Q1325,$B1328)+COUNTIF(O1308:Q1325,$B1328&amp;" ~*")&gt;0)+(IFERROR(INDEX(Setup!$G$33:$G$40,MATCH(S1328,Setup!$B$33:$B$40,0)),0)=1)*(COUNTIF(S1308:U1325,$B1328)+COUNTIF(S1308:U1325,$B1328&amp;" ~*")&gt;0)+(IFERROR(INDEX(Setup!$G$33:$G$40,MATCH(W1328,Setup!$B$33:$B$40,0)),0)=1)*(COUNTIF(W1308:W1325,$B1328)+COUNTIF(W1308:W1325,$B1328&amp;" ~*")&gt;0)+(IFERROR(INDEX(Setup!$G$33:$G$40,MATCH(Y1328,Setup!$B$33:$B$40,0)),0)=1)*(COUNTIF(Y1308:Y1325,$B1328)+COUNTIF(Y1308:Y1325,$B1328&amp;" ~*")&gt;0))</f>
        <v/>
      </c>
    </row>
    <row r="1329" ht="15" customHeight="1">
      <c r="A1329" t="n">
        <v>27</v>
      </c>
      <c r="B1329" s="35">
        <f>IF(Setup!$B$8="","",Setup!$B$8)</f>
        <v/>
      </c>
      <c r="C1329" s="98" t="n"/>
      <c r="D1329" s="99" t="n"/>
      <c r="E1329" s="99" t="n"/>
      <c r="F1329" s="100" t="n"/>
      <c r="G1329" s="98" t="n"/>
      <c r="H1329" s="99" t="n"/>
      <c r="I1329" s="99" t="n"/>
      <c r="J1329" s="100" t="n"/>
      <c r="K1329" s="98" t="n"/>
      <c r="L1329" s="99" t="n"/>
      <c r="M1329" s="99" t="n"/>
      <c r="N1329" s="100" t="n"/>
      <c r="O1329" s="98" t="n"/>
      <c r="P1329" s="99" t="n"/>
      <c r="Q1329" s="99" t="n"/>
      <c r="R1329" s="100" t="n"/>
      <c r="S1329" s="98" t="n"/>
      <c r="T1329" s="99" t="n"/>
      <c r="U1329" s="99" t="n"/>
      <c r="V1329" s="100" t="n"/>
      <c r="W1329" s="98" t="n"/>
      <c r="X1329" s="100" t="n"/>
      <c r="Y1329" s="98" t="n"/>
      <c r="Z1329" s="100" t="n"/>
      <c r="AB1329" s="101">
        <f>IF($B1329="","",(COUNTIF(C1308:E1325,$B1329)+COUNTIF(C1308:E1325,$B1329&amp;" ~*")&gt;0)+(COUNTIF(G1308:I1325,$B1329)+COUNTIF(G1308:I1325,$B1329&amp;" ~*")&gt;0)+(COUNTIF(K1308:M1325,$B1329)+COUNTIF(K1308:M1325,$B1329&amp;" ~*")&gt;0)+(COUNTIF(O1308:Q1325,$B1329)+COUNTIF(O1308:Q1325,$B1329&amp;" ~*")&gt;0)+(COUNTIF(S1308:U1325,$B1329)+COUNTIF(S1308:U1325,$B1329&amp;" ~*")&gt;0)+(COUNTIF(W1308:W1325,$B1329)+COUNTIF(W1308:W1325,$B1329&amp;" ~*")&gt;0)+(COUNTIF(Y1308:Y1325,$B1329)+COUNTIF(Y1308:Y1325,$B1329&amp;" ~*")&gt;0))</f>
        <v/>
      </c>
      <c r="AC1329" s="36">
        <f>IF($B1329="","",(IFERROR(INDEX(Setup!$G$33:$G$40,MATCH(C1329,Setup!$B$33:$B$40,0)),0)=1)*(COUNTIF(C1308:E1325,$B1329)+COUNTIF(C1308:E1325,$B1329&amp;" ~*")&gt;0)+(IFERROR(INDEX(Setup!$G$33:$G$40,MATCH(G1329,Setup!$B$33:$B$40,0)),0)=1)*(COUNTIF(G1308:I1325,$B1329)+COUNTIF(G1308:I1325,$B1329&amp;" ~*")&gt;0)+(IFERROR(INDEX(Setup!$G$33:$G$40,MATCH(K1329,Setup!$B$33:$B$40,0)),0)=1)*(COUNTIF(K1308:M1325,$B1329)+COUNTIF(K1308:M1325,$B1329&amp;" ~*")&gt;0)+(IFERROR(INDEX(Setup!$G$33:$G$40,MATCH(O1329,Setup!$B$33:$B$40,0)),0)=1)*(COUNTIF(O1308:Q1325,$B1329)+COUNTIF(O1308:Q1325,$B1329&amp;" ~*")&gt;0)+(IFERROR(INDEX(Setup!$G$33:$G$40,MATCH(S1329,Setup!$B$33:$B$40,0)),0)=1)*(COUNTIF(S1308:U1325,$B1329)+COUNTIF(S1308:U1325,$B1329&amp;" ~*")&gt;0)+(IFERROR(INDEX(Setup!$G$33:$G$40,MATCH(W1329,Setup!$B$33:$B$40,0)),0)=1)*(COUNTIF(W1308:W1325,$B1329)+COUNTIF(W1308:W1325,$B1329&amp;" ~*")&gt;0)+(IFERROR(INDEX(Setup!$G$33:$G$40,MATCH(Y1329,Setup!$B$33:$B$40,0)),0)=1)*(COUNTIF(Y1308:Y1325,$B1329)+COUNTIF(Y1308:Y1325,$B1329&amp;" ~*")&gt;0))</f>
        <v/>
      </c>
    </row>
    <row r="1330" ht="15" customHeight="1">
      <c r="A1330" t="n">
        <v>27</v>
      </c>
      <c r="B1330" s="37">
        <f>IF(Setup!$B$9="","",Setup!$B$9)</f>
        <v/>
      </c>
      <c r="C1330" s="102" t="n"/>
      <c r="D1330" s="103" t="n"/>
      <c r="E1330" s="103" t="n"/>
      <c r="F1330" s="104" t="n"/>
      <c r="G1330" s="102" t="n"/>
      <c r="H1330" s="103" t="n"/>
      <c r="I1330" s="103" t="n"/>
      <c r="J1330" s="104" t="n"/>
      <c r="K1330" s="102" t="n"/>
      <c r="L1330" s="103" t="n"/>
      <c r="M1330" s="103" t="n"/>
      <c r="N1330" s="104" t="n"/>
      <c r="O1330" s="102" t="n"/>
      <c r="P1330" s="103" t="n"/>
      <c r="Q1330" s="103" t="n"/>
      <c r="R1330" s="104" t="n"/>
      <c r="S1330" s="102" t="n"/>
      <c r="T1330" s="103" t="n"/>
      <c r="U1330" s="103" t="n"/>
      <c r="V1330" s="104" t="n"/>
      <c r="W1330" s="102" t="n"/>
      <c r="X1330" s="104" t="n"/>
      <c r="Y1330" s="102" t="n"/>
      <c r="Z1330" s="104" t="n"/>
      <c r="AB1330" s="105">
        <f>IF($B1330="","",(COUNTIF(C1308:E1325,$B1330)+COUNTIF(C1308:E1325,$B1330&amp;" ~*")&gt;0)+(COUNTIF(G1308:I1325,$B1330)+COUNTIF(G1308:I1325,$B1330&amp;" ~*")&gt;0)+(COUNTIF(K1308:M1325,$B1330)+COUNTIF(K1308:M1325,$B1330&amp;" ~*")&gt;0)+(COUNTIF(O1308:Q1325,$B1330)+COUNTIF(O1308:Q1325,$B1330&amp;" ~*")&gt;0)+(COUNTIF(S1308:U1325,$B1330)+COUNTIF(S1308:U1325,$B1330&amp;" ~*")&gt;0)+(COUNTIF(W1308:W1325,$B1330)+COUNTIF(W1308:W1325,$B1330&amp;" ~*")&gt;0)+(COUNTIF(Y1308:Y1325,$B1330)+COUNTIF(Y1308:Y1325,$B1330&amp;" ~*")&gt;0))</f>
        <v/>
      </c>
      <c r="AC1330" s="38">
        <f>IF($B1330="","",(IFERROR(INDEX(Setup!$G$33:$G$40,MATCH(C1330,Setup!$B$33:$B$40,0)),0)=1)*(COUNTIF(C1308:E1325,$B1330)+COUNTIF(C1308:E1325,$B1330&amp;" ~*")&gt;0)+(IFERROR(INDEX(Setup!$G$33:$G$40,MATCH(G1330,Setup!$B$33:$B$40,0)),0)=1)*(COUNTIF(G1308:I1325,$B1330)+COUNTIF(G1308:I1325,$B1330&amp;" ~*")&gt;0)+(IFERROR(INDEX(Setup!$G$33:$G$40,MATCH(K1330,Setup!$B$33:$B$40,0)),0)=1)*(COUNTIF(K1308:M1325,$B1330)+COUNTIF(K1308:M1325,$B1330&amp;" ~*")&gt;0)+(IFERROR(INDEX(Setup!$G$33:$G$40,MATCH(O1330,Setup!$B$33:$B$40,0)),0)=1)*(COUNTIF(O1308:Q1325,$B1330)+COUNTIF(O1308:Q1325,$B1330&amp;" ~*")&gt;0)+(IFERROR(INDEX(Setup!$G$33:$G$40,MATCH(S1330,Setup!$B$33:$B$40,0)),0)=1)*(COUNTIF(S1308:U1325,$B1330)+COUNTIF(S1308:U1325,$B1330&amp;" ~*")&gt;0)+(IFERROR(INDEX(Setup!$G$33:$G$40,MATCH(W1330,Setup!$B$33:$B$40,0)),0)=1)*(COUNTIF(W1308:W1325,$B1330)+COUNTIF(W1308:W1325,$B1330&amp;" ~*")&gt;0)+(IFERROR(INDEX(Setup!$G$33:$G$40,MATCH(Y1330,Setup!$B$33:$B$40,0)),0)=1)*(COUNTIF(Y1308:Y1325,$B1330)+COUNTIF(Y1308:Y1325,$B1330&amp;" ~*")&gt;0))</f>
        <v/>
      </c>
    </row>
    <row r="1331" ht="15" customHeight="1">
      <c r="A1331" t="n">
        <v>27</v>
      </c>
      <c r="B1331" s="35">
        <f>IF(Setup!$B$10="","",Setup!$B$10)</f>
        <v/>
      </c>
      <c r="C1331" s="98" t="n"/>
      <c r="D1331" s="99" t="n"/>
      <c r="E1331" s="99" t="n"/>
      <c r="F1331" s="100" t="n"/>
      <c r="G1331" s="98" t="n"/>
      <c r="H1331" s="99" t="n"/>
      <c r="I1331" s="99" t="n"/>
      <c r="J1331" s="100" t="n"/>
      <c r="K1331" s="98" t="n"/>
      <c r="L1331" s="99" t="n"/>
      <c r="M1331" s="99" t="n"/>
      <c r="N1331" s="100" t="n"/>
      <c r="O1331" s="98" t="n"/>
      <c r="P1331" s="99" t="n"/>
      <c r="Q1331" s="99" t="n"/>
      <c r="R1331" s="100" t="n"/>
      <c r="S1331" s="98" t="n"/>
      <c r="T1331" s="99" t="n"/>
      <c r="U1331" s="99" t="n"/>
      <c r="V1331" s="100" t="n"/>
      <c r="W1331" s="98" t="n"/>
      <c r="X1331" s="100" t="n"/>
      <c r="Y1331" s="98" t="n"/>
      <c r="Z1331" s="100" t="n"/>
      <c r="AB1331" s="101">
        <f>IF($B1331="","",(COUNTIF(C1308:E1325,$B1331)+COUNTIF(C1308:E1325,$B1331&amp;" ~*")&gt;0)+(COUNTIF(G1308:I1325,$B1331)+COUNTIF(G1308:I1325,$B1331&amp;" ~*")&gt;0)+(COUNTIF(K1308:M1325,$B1331)+COUNTIF(K1308:M1325,$B1331&amp;" ~*")&gt;0)+(COUNTIF(O1308:Q1325,$B1331)+COUNTIF(O1308:Q1325,$B1331&amp;" ~*")&gt;0)+(COUNTIF(S1308:U1325,$B1331)+COUNTIF(S1308:U1325,$B1331&amp;" ~*")&gt;0)+(COUNTIF(W1308:W1325,$B1331)+COUNTIF(W1308:W1325,$B1331&amp;" ~*")&gt;0)+(COUNTIF(Y1308:Y1325,$B1331)+COUNTIF(Y1308:Y1325,$B1331&amp;" ~*")&gt;0))</f>
        <v/>
      </c>
      <c r="AC1331" s="36">
        <f>IF($B1331="","",(IFERROR(INDEX(Setup!$G$33:$G$40,MATCH(C1331,Setup!$B$33:$B$40,0)),0)=1)*(COUNTIF(C1308:E1325,$B1331)+COUNTIF(C1308:E1325,$B1331&amp;" ~*")&gt;0)+(IFERROR(INDEX(Setup!$G$33:$G$40,MATCH(G1331,Setup!$B$33:$B$40,0)),0)=1)*(COUNTIF(G1308:I1325,$B1331)+COUNTIF(G1308:I1325,$B1331&amp;" ~*")&gt;0)+(IFERROR(INDEX(Setup!$G$33:$G$40,MATCH(K1331,Setup!$B$33:$B$40,0)),0)=1)*(COUNTIF(K1308:M1325,$B1331)+COUNTIF(K1308:M1325,$B1331&amp;" ~*")&gt;0)+(IFERROR(INDEX(Setup!$G$33:$G$40,MATCH(O1331,Setup!$B$33:$B$40,0)),0)=1)*(COUNTIF(O1308:Q1325,$B1331)+COUNTIF(O1308:Q1325,$B1331&amp;" ~*")&gt;0)+(IFERROR(INDEX(Setup!$G$33:$G$40,MATCH(S1331,Setup!$B$33:$B$40,0)),0)=1)*(COUNTIF(S1308:U1325,$B1331)+COUNTIF(S1308:U1325,$B1331&amp;" ~*")&gt;0)+(IFERROR(INDEX(Setup!$G$33:$G$40,MATCH(W1331,Setup!$B$33:$B$40,0)),0)=1)*(COUNTIF(W1308:W1325,$B1331)+COUNTIF(W1308:W1325,$B1331&amp;" ~*")&gt;0)+(IFERROR(INDEX(Setup!$G$33:$G$40,MATCH(Y1331,Setup!$B$33:$B$40,0)),0)=1)*(COUNTIF(Y1308:Y1325,$B1331)+COUNTIF(Y1308:Y1325,$B1331&amp;" ~*")&gt;0))</f>
        <v/>
      </c>
    </row>
    <row r="1332" ht="15" customHeight="1">
      <c r="A1332" t="n">
        <v>27</v>
      </c>
      <c r="B1332" s="37">
        <f>IF(Setup!$B$11="","",Setup!$B$11)</f>
        <v/>
      </c>
      <c r="C1332" s="102" t="n"/>
      <c r="D1332" s="103" t="n"/>
      <c r="E1332" s="103" t="n"/>
      <c r="F1332" s="104" t="n"/>
      <c r="G1332" s="102" t="n"/>
      <c r="H1332" s="103" t="n"/>
      <c r="I1332" s="103" t="n"/>
      <c r="J1332" s="104" t="n"/>
      <c r="K1332" s="102" t="n"/>
      <c r="L1332" s="103" t="n"/>
      <c r="M1332" s="103" t="n"/>
      <c r="N1332" s="104" t="n"/>
      <c r="O1332" s="102" t="n"/>
      <c r="P1332" s="103" t="n"/>
      <c r="Q1332" s="103" t="n"/>
      <c r="R1332" s="104" t="n"/>
      <c r="S1332" s="102" t="n"/>
      <c r="T1332" s="103" t="n"/>
      <c r="U1332" s="103" t="n"/>
      <c r="V1332" s="104" t="n"/>
      <c r="W1332" s="102" t="n"/>
      <c r="X1332" s="104" t="n"/>
      <c r="Y1332" s="102" t="n"/>
      <c r="Z1332" s="104" t="n"/>
      <c r="AB1332" s="105">
        <f>IF($B1332="","",(COUNTIF(C1308:E1325,$B1332)+COUNTIF(C1308:E1325,$B1332&amp;" ~*")&gt;0)+(COUNTIF(G1308:I1325,$B1332)+COUNTIF(G1308:I1325,$B1332&amp;" ~*")&gt;0)+(COUNTIF(K1308:M1325,$B1332)+COUNTIF(K1308:M1325,$B1332&amp;" ~*")&gt;0)+(COUNTIF(O1308:Q1325,$B1332)+COUNTIF(O1308:Q1325,$B1332&amp;" ~*")&gt;0)+(COUNTIF(S1308:U1325,$B1332)+COUNTIF(S1308:U1325,$B1332&amp;" ~*")&gt;0)+(COUNTIF(W1308:W1325,$B1332)+COUNTIF(W1308:W1325,$B1332&amp;" ~*")&gt;0)+(COUNTIF(Y1308:Y1325,$B1332)+COUNTIF(Y1308:Y1325,$B1332&amp;" ~*")&gt;0))</f>
        <v/>
      </c>
      <c r="AC1332" s="38">
        <f>IF($B1332="","",(IFERROR(INDEX(Setup!$G$33:$G$40,MATCH(C1332,Setup!$B$33:$B$40,0)),0)=1)*(COUNTIF(C1308:E1325,$B1332)+COUNTIF(C1308:E1325,$B1332&amp;" ~*")&gt;0)+(IFERROR(INDEX(Setup!$G$33:$G$40,MATCH(G1332,Setup!$B$33:$B$40,0)),0)=1)*(COUNTIF(G1308:I1325,$B1332)+COUNTIF(G1308:I1325,$B1332&amp;" ~*")&gt;0)+(IFERROR(INDEX(Setup!$G$33:$G$40,MATCH(K1332,Setup!$B$33:$B$40,0)),0)=1)*(COUNTIF(K1308:M1325,$B1332)+COUNTIF(K1308:M1325,$B1332&amp;" ~*")&gt;0)+(IFERROR(INDEX(Setup!$G$33:$G$40,MATCH(O1332,Setup!$B$33:$B$40,0)),0)=1)*(COUNTIF(O1308:Q1325,$B1332)+COUNTIF(O1308:Q1325,$B1332&amp;" ~*")&gt;0)+(IFERROR(INDEX(Setup!$G$33:$G$40,MATCH(S1332,Setup!$B$33:$B$40,0)),0)=1)*(COUNTIF(S1308:U1325,$B1332)+COUNTIF(S1308:U1325,$B1332&amp;" ~*")&gt;0)+(IFERROR(INDEX(Setup!$G$33:$G$40,MATCH(W1332,Setup!$B$33:$B$40,0)),0)=1)*(COUNTIF(W1308:W1325,$B1332)+COUNTIF(W1308:W1325,$B1332&amp;" ~*")&gt;0)+(IFERROR(INDEX(Setup!$G$33:$G$40,MATCH(Y1332,Setup!$B$33:$B$40,0)),0)=1)*(COUNTIF(Y1308:Y1325,$B1332)+COUNTIF(Y1308:Y1325,$B1332&amp;" ~*")&gt;0))</f>
        <v/>
      </c>
    </row>
    <row r="1333" ht="15" customHeight="1">
      <c r="A1333" t="n">
        <v>27</v>
      </c>
      <c r="B1333" s="35">
        <f>IF(Setup!$B$12="","",Setup!$B$12)</f>
        <v/>
      </c>
      <c r="C1333" s="98" t="n"/>
      <c r="D1333" s="99" t="n"/>
      <c r="E1333" s="99" t="n"/>
      <c r="F1333" s="100" t="n"/>
      <c r="G1333" s="98" t="n"/>
      <c r="H1333" s="99" t="n"/>
      <c r="I1333" s="99" t="n"/>
      <c r="J1333" s="100" t="n"/>
      <c r="K1333" s="98" t="n"/>
      <c r="L1333" s="99" t="n"/>
      <c r="M1333" s="99" t="n"/>
      <c r="N1333" s="100" t="n"/>
      <c r="O1333" s="98" t="n"/>
      <c r="P1333" s="99" t="n"/>
      <c r="Q1333" s="99" t="n"/>
      <c r="R1333" s="100" t="n"/>
      <c r="S1333" s="98" t="n"/>
      <c r="T1333" s="99" t="n"/>
      <c r="U1333" s="99" t="n"/>
      <c r="V1333" s="100" t="n"/>
      <c r="W1333" s="98" t="n"/>
      <c r="X1333" s="100" t="n"/>
      <c r="Y1333" s="98" t="n"/>
      <c r="Z1333" s="100" t="n"/>
      <c r="AB1333" s="101">
        <f>IF($B1333="","",(COUNTIF(C1308:E1325,$B1333)+COUNTIF(C1308:E1325,$B1333&amp;" ~*")&gt;0)+(COUNTIF(G1308:I1325,$B1333)+COUNTIF(G1308:I1325,$B1333&amp;" ~*")&gt;0)+(COUNTIF(K1308:M1325,$B1333)+COUNTIF(K1308:M1325,$B1333&amp;" ~*")&gt;0)+(COUNTIF(O1308:Q1325,$B1333)+COUNTIF(O1308:Q1325,$B1333&amp;" ~*")&gt;0)+(COUNTIF(S1308:U1325,$B1333)+COUNTIF(S1308:U1325,$B1333&amp;" ~*")&gt;0)+(COUNTIF(W1308:W1325,$B1333)+COUNTIF(W1308:W1325,$B1333&amp;" ~*")&gt;0)+(COUNTIF(Y1308:Y1325,$B1333)+COUNTIF(Y1308:Y1325,$B1333&amp;" ~*")&gt;0))</f>
        <v/>
      </c>
      <c r="AC1333" s="36">
        <f>IF($B1333="","",(IFERROR(INDEX(Setup!$G$33:$G$40,MATCH(C1333,Setup!$B$33:$B$40,0)),0)=1)*(COUNTIF(C1308:E1325,$B1333)+COUNTIF(C1308:E1325,$B1333&amp;" ~*")&gt;0)+(IFERROR(INDEX(Setup!$G$33:$G$40,MATCH(G1333,Setup!$B$33:$B$40,0)),0)=1)*(COUNTIF(G1308:I1325,$B1333)+COUNTIF(G1308:I1325,$B1333&amp;" ~*")&gt;0)+(IFERROR(INDEX(Setup!$G$33:$G$40,MATCH(K1333,Setup!$B$33:$B$40,0)),0)=1)*(COUNTIF(K1308:M1325,$B1333)+COUNTIF(K1308:M1325,$B1333&amp;" ~*")&gt;0)+(IFERROR(INDEX(Setup!$G$33:$G$40,MATCH(O1333,Setup!$B$33:$B$40,0)),0)=1)*(COUNTIF(O1308:Q1325,$B1333)+COUNTIF(O1308:Q1325,$B1333&amp;" ~*")&gt;0)+(IFERROR(INDEX(Setup!$G$33:$G$40,MATCH(S1333,Setup!$B$33:$B$40,0)),0)=1)*(COUNTIF(S1308:U1325,$B1333)+COUNTIF(S1308:U1325,$B1333&amp;" ~*")&gt;0)+(IFERROR(INDEX(Setup!$G$33:$G$40,MATCH(W1333,Setup!$B$33:$B$40,0)),0)=1)*(COUNTIF(W1308:W1325,$B1333)+COUNTIF(W1308:W1325,$B1333&amp;" ~*")&gt;0)+(IFERROR(INDEX(Setup!$G$33:$G$40,MATCH(Y1333,Setup!$B$33:$B$40,0)),0)=1)*(COUNTIF(Y1308:Y1325,$B1333)+COUNTIF(Y1308:Y1325,$B1333&amp;" ~*")&gt;0))</f>
        <v/>
      </c>
    </row>
    <row r="1334" ht="15" customHeight="1">
      <c r="A1334" t="n">
        <v>27</v>
      </c>
      <c r="B1334" s="37">
        <f>IF(Setup!$B$13="","",Setup!$B$13)</f>
        <v/>
      </c>
      <c r="C1334" s="102" t="n"/>
      <c r="D1334" s="103" t="n"/>
      <c r="E1334" s="103" t="n"/>
      <c r="F1334" s="104" t="n"/>
      <c r="G1334" s="102" t="n"/>
      <c r="H1334" s="103" t="n"/>
      <c r="I1334" s="103" t="n"/>
      <c r="J1334" s="104" t="n"/>
      <c r="K1334" s="102" t="n"/>
      <c r="L1334" s="103" t="n"/>
      <c r="M1334" s="103" t="n"/>
      <c r="N1334" s="104" t="n"/>
      <c r="O1334" s="102" t="n"/>
      <c r="P1334" s="103" t="n"/>
      <c r="Q1334" s="103" t="n"/>
      <c r="R1334" s="104" t="n"/>
      <c r="S1334" s="102" t="n"/>
      <c r="T1334" s="103" t="n"/>
      <c r="U1334" s="103" t="n"/>
      <c r="V1334" s="104" t="n"/>
      <c r="W1334" s="102" t="n"/>
      <c r="X1334" s="104" t="n"/>
      <c r="Y1334" s="102" t="n"/>
      <c r="Z1334" s="104" t="n"/>
      <c r="AB1334" s="105">
        <f>IF($B1334="","",(COUNTIF(C1308:E1325,$B1334)+COUNTIF(C1308:E1325,$B1334&amp;" ~*")&gt;0)+(COUNTIF(G1308:I1325,$B1334)+COUNTIF(G1308:I1325,$B1334&amp;" ~*")&gt;0)+(COUNTIF(K1308:M1325,$B1334)+COUNTIF(K1308:M1325,$B1334&amp;" ~*")&gt;0)+(COUNTIF(O1308:Q1325,$B1334)+COUNTIF(O1308:Q1325,$B1334&amp;" ~*")&gt;0)+(COUNTIF(S1308:U1325,$B1334)+COUNTIF(S1308:U1325,$B1334&amp;" ~*")&gt;0)+(COUNTIF(W1308:W1325,$B1334)+COUNTIF(W1308:W1325,$B1334&amp;" ~*")&gt;0)+(COUNTIF(Y1308:Y1325,$B1334)+COUNTIF(Y1308:Y1325,$B1334&amp;" ~*")&gt;0))</f>
        <v/>
      </c>
      <c r="AC1334" s="38">
        <f>IF($B1334="","",(IFERROR(INDEX(Setup!$G$33:$G$40,MATCH(C1334,Setup!$B$33:$B$40,0)),0)=1)*(COUNTIF(C1308:E1325,$B1334)+COUNTIF(C1308:E1325,$B1334&amp;" ~*")&gt;0)+(IFERROR(INDEX(Setup!$G$33:$G$40,MATCH(G1334,Setup!$B$33:$B$40,0)),0)=1)*(COUNTIF(G1308:I1325,$B1334)+COUNTIF(G1308:I1325,$B1334&amp;" ~*")&gt;0)+(IFERROR(INDEX(Setup!$G$33:$G$40,MATCH(K1334,Setup!$B$33:$B$40,0)),0)=1)*(COUNTIF(K1308:M1325,$B1334)+COUNTIF(K1308:M1325,$B1334&amp;" ~*")&gt;0)+(IFERROR(INDEX(Setup!$G$33:$G$40,MATCH(O1334,Setup!$B$33:$B$40,0)),0)=1)*(COUNTIF(O1308:Q1325,$B1334)+COUNTIF(O1308:Q1325,$B1334&amp;" ~*")&gt;0)+(IFERROR(INDEX(Setup!$G$33:$G$40,MATCH(S1334,Setup!$B$33:$B$40,0)),0)=1)*(COUNTIF(S1308:U1325,$B1334)+COUNTIF(S1308:U1325,$B1334&amp;" ~*")&gt;0)+(IFERROR(INDEX(Setup!$G$33:$G$40,MATCH(W1334,Setup!$B$33:$B$40,0)),0)=1)*(COUNTIF(W1308:W1325,$B1334)+COUNTIF(W1308:W1325,$B1334&amp;" ~*")&gt;0)+(IFERROR(INDEX(Setup!$G$33:$G$40,MATCH(Y1334,Setup!$B$33:$B$40,0)),0)=1)*(COUNTIF(Y1308:Y1325,$B1334)+COUNTIF(Y1308:Y1325,$B1334&amp;" ~*")&gt;0))</f>
        <v/>
      </c>
    </row>
    <row r="1335" ht="15" customHeight="1">
      <c r="A1335" t="n">
        <v>27</v>
      </c>
      <c r="B1335" s="35">
        <f>IF(Setup!$B$14="","",Setup!$B$14)</f>
        <v/>
      </c>
      <c r="C1335" s="98" t="inlineStr">
        <is>
          <t>AL</t>
        </is>
      </c>
      <c r="D1335" s="99" t="n"/>
      <c r="E1335" s="99" t="n"/>
      <c r="F1335" s="100" t="n"/>
      <c r="G1335" s="98" t="n"/>
      <c r="H1335" s="99" t="n"/>
      <c r="I1335" s="99" t="n"/>
      <c r="J1335" s="100" t="n"/>
      <c r="K1335" s="98" t="n"/>
      <c r="L1335" s="99" t="n"/>
      <c r="M1335" s="99" t="n"/>
      <c r="N1335" s="100" t="n"/>
      <c r="O1335" s="98" t="n"/>
      <c r="P1335" s="99" t="n"/>
      <c r="Q1335" s="99" t="n"/>
      <c r="R1335" s="100" t="n"/>
      <c r="S1335" s="98" t="n"/>
      <c r="T1335" s="99" t="n"/>
      <c r="U1335" s="99" t="n"/>
      <c r="V1335" s="100" t="n"/>
      <c r="W1335" s="98" t="n"/>
      <c r="X1335" s="100" t="n"/>
      <c r="Y1335" s="98" t="n"/>
      <c r="Z1335" s="100" t="n"/>
      <c r="AB1335" s="101">
        <f>IF($B1335="","",(COUNTIF(C1308:E1325,$B1335)+COUNTIF(C1308:E1325,$B1335&amp;" ~*")&gt;0)+(COUNTIF(G1308:I1325,$B1335)+COUNTIF(G1308:I1325,$B1335&amp;" ~*")&gt;0)+(COUNTIF(K1308:M1325,$B1335)+COUNTIF(K1308:M1325,$B1335&amp;" ~*")&gt;0)+(COUNTIF(O1308:Q1325,$B1335)+COUNTIF(O1308:Q1325,$B1335&amp;" ~*")&gt;0)+(COUNTIF(S1308:U1325,$B1335)+COUNTIF(S1308:U1325,$B1335&amp;" ~*")&gt;0)+(COUNTIF(W1308:W1325,$B1335)+COUNTIF(W1308:W1325,$B1335&amp;" ~*")&gt;0)+(COUNTIF(Y1308:Y1325,$B1335)+COUNTIF(Y1308:Y1325,$B1335&amp;" ~*")&gt;0))</f>
        <v/>
      </c>
      <c r="AC1335" s="36">
        <f>IF($B1335="","",(IFERROR(INDEX(Setup!$G$33:$G$40,MATCH(C1335,Setup!$B$33:$B$40,0)),0)=1)*(COUNTIF(C1308:E1325,$B1335)+COUNTIF(C1308:E1325,$B1335&amp;" ~*")&gt;0)+(IFERROR(INDEX(Setup!$G$33:$G$40,MATCH(G1335,Setup!$B$33:$B$40,0)),0)=1)*(COUNTIF(G1308:I1325,$B1335)+COUNTIF(G1308:I1325,$B1335&amp;" ~*")&gt;0)+(IFERROR(INDEX(Setup!$G$33:$G$40,MATCH(K1335,Setup!$B$33:$B$40,0)),0)=1)*(COUNTIF(K1308:M1325,$B1335)+COUNTIF(K1308:M1325,$B1335&amp;" ~*")&gt;0)+(IFERROR(INDEX(Setup!$G$33:$G$40,MATCH(O1335,Setup!$B$33:$B$40,0)),0)=1)*(COUNTIF(O1308:Q1325,$B1335)+COUNTIF(O1308:Q1325,$B1335&amp;" ~*")&gt;0)+(IFERROR(INDEX(Setup!$G$33:$G$40,MATCH(S1335,Setup!$B$33:$B$40,0)),0)=1)*(COUNTIF(S1308:U1325,$B1335)+COUNTIF(S1308:U1325,$B1335&amp;" ~*")&gt;0)+(IFERROR(INDEX(Setup!$G$33:$G$40,MATCH(W1335,Setup!$B$33:$B$40,0)),0)=1)*(COUNTIF(W1308:W1325,$B1335)+COUNTIF(W1308:W1325,$B1335&amp;" ~*")&gt;0)+(IFERROR(INDEX(Setup!$G$33:$G$40,MATCH(Y1335,Setup!$B$33:$B$40,0)),0)=1)*(COUNTIF(Y1308:Y1325,$B1335)+COUNTIF(Y1308:Y1325,$B1335&amp;" ~*")&gt;0))</f>
        <v/>
      </c>
    </row>
    <row r="1336" ht="15" customHeight="1">
      <c r="A1336" t="n">
        <v>27</v>
      </c>
      <c r="B1336" s="37">
        <f>IF(Setup!$B$15="","",Setup!$B$15)</f>
        <v/>
      </c>
      <c r="C1336" s="102" t="n"/>
      <c r="D1336" s="103" t="n"/>
      <c r="E1336" s="103" t="n"/>
      <c r="F1336" s="104" t="n"/>
      <c r="G1336" s="102" t="n"/>
      <c r="H1336" s="103" t="n"/>
      <c r="I1336" s="103" t="n"/>
      <c r="J1336" s="104" t="n"/>
      <c r="K1336" s="102" t="n"/>
      <c r="L1336" s="103" t="n"/>
      <c r="M1336" s="103" t="n"/>
      <c r="N1336" s="104" t="n"/>
      <c r="O1336" s="102" t="n"/>
      <c r="P1336" s="103" t="n"/>
      <c r="Q1336" s="103" t="n"/>
      <c r="R1336" s="104" t="n"/>
      <c r="S1336" s="102" t="n"/>
      <c r="T1336" s="103" t="n"/>
      <c r="U1336" s="103" t="n"/>
      <c r="V1336" s="104" t="n"/>
      <c r="W1336" s="102" t="n"/>
      <c r="X1336" s="104" t="n"/>
      <c r="Y1336" s="102" t="n"/>
      <c r="Z1336" s="104" t="n"/>
      <c r="AB1336" s="105">
        <f>IF($B1336="","",(COUNTIF(C1308:E1325,$B1336)+COUNTIF(C1308:E1325,$B1336&amp;" ~*")&gt;0)+(COUNTIF(G1308:I1325,$B1336)+COUNTIF(G1308:I1325,$B1336&amp;" ~*")&gt;0)+(COUNTIF(K1308:M1325,$B1336)+COUNTIF(K1308:M1325,$B1336&amp;" ~*")&gt;0)+(COUNTIF(O1308:Q1325,$B1336)+COUNTIF(O1308:Q1325,$B1336&amp;" ~*")&gt;0)+(COUNTIF(S1308:U1325,$B1336)+COUNTIF(S1308:U1325,$B1336&amp;" ~*")&gt;0)+(COUNTIF(W1308:W1325,$B1336)+COUNTIF(W1308:W1325,$B1336&amp;" ~*")&gt;0)+(COUNTIF(Y1308:Y1325,$B1336)+COUNTIF(Y1308:Y1325,$B1336&amp;" ~*")&gt;0))</f>
        <v/>
      </c>
      <c r="AC1336" s="38">
        <f>IF($B1336="","",(IFERROR(INDEX(Setup!$G$33:$G$40,MATCH(C1336,Setup!$B$33:$B$40,0)),0)=1)*(COUNTIF(C1308:E1325,$B1336)+COUNTIF(C1308:E1325,$B1336&amp;" ~*")&gt;0)+(IFERROR(INDEX(Setup!$G$33:$G$40,MATCH(G1336,Setup!$B$33:$B$40,0)),0)=1)*(COUNTIF(G1308:I1325,$B1336)+COUNTIF(G1308:I1325,$B1336&amp;" ~*")&gt;0)+(IFERROR(INDEX(Setup!$G$33:$G$40,MATCH(K1336,Setup!$B$33:$B$40,0)),0)=1)*(COUNTIF(K1308:M1325,$B1336)+COUNTIF(K1308:M1325,$B1336&amp;" ~*")&gt;0)+(IFERROR(INDEX(Setup!$G$33:$G$40,MATCH(O1336,Setup!$B$33:$B$40,0)),0)=1)*(COUNTIF(O1308:Q1325,$B1336)+COUNTIF(O1308:Q1325,$B1336&amp;" ~*")&gt;0)+(IFERROR(INDEX(Setup!$G$33:$G$40,MATCH(S1336,Setup!$B$33:$B$40,0)),0)=1)*(COUNTIF(S1308:U1325,$B1336)+COUNTIF(S1308:U1325,$B1336&amp;" ~*")&gt;0)+(IFERROR(INDEX(Setup!$G$33:$G$40,MATCH(W1336,Setup!$B$33:$B$40,0)),0)=1)*(COUNTIF(W1308:W1325,$B1336)+COUNTIF(W1308:W1325,$B1336&amp;" ~*")&gt;0)+(IFERROR(INDEX(Setup!$G$33:$G$40,MATCH(Y1336,Setup!$B$33:$B$40,0)),0)=1)*(COUNTIF(Y1308:Y1325,$B1336)+COUNTIF(Y1308:Y1325,$B1336&amp;" ~*")&gt;0))</f>
        <v/>
      </c>
    </row>
    <row r="1337" ht="15" customHeight="1">
      <c r="A1337" t="n">
        <v>27</v>
      </c>
      <c r="B1337" s="35">
        <f>IF(Setup!$B$16="","",Setup!$B$16)</f>
        <v/>
      </c>
      <c r="C1337" s="98" t="n"/>
      <c r="D1337" s="99" t="n"/>
      <c r="E1337" s="99" t="n"/>
      <c r="F1337" s="100" t="n"/>
      <c r="G1337" s="98" t="n"/>
      <c r="H1337" s="99" t="n"/>
      <c r="I1337" s="99" t="n"/>
      <c r="J1337" s="100" t="n"/>
      <c r="K1337" s="98" t="n"/>
      <c r="L1337" s="99" t="n"/>
      <c r="M1337" s="99" t="n"/>
      <c r="N1337" s="100" t="n"/>
      <c r="O1337" s="98" t="n"/>
      <c r="P1337" s="99" t="n"/>
      <c r="Q1337" s="99" t="n"/>
      <c r="R1337" s="100" t="n"/>
      <c r="S1337" s="98" t="n"/>
      <c r="T1337" s="99" t="n"/>
      <c r="U1337" s="99" t="n"/>
      <c r="V1337" s="100" t="n"/>
      <c r="W1337" s="98" t="n"/>
      <c r="X1337" s="100" t="n"/>
      <c r="Y1337" s="98" t="n"/>
      <c r="Z1337" s="100" t="n"/>
      <c r="AB1337" s="101">
        <f>IF($B1337="","",(COUNTIF(C1308:E1325,$B1337)+COUNTIF(C1308:E1325,$B1337&amp;" ~*")&gt;0)+(COUNTIF(G1308:I1325,$B1337)+COUNTIF(G1308:I1325,$B1337&amp;" ~*")&gt;0)+(COUNTIF(K1308:M1325,$B1337)+COUNTIF(K1308:M1325,$B1337&amp;" ~*")&gt;0)+(COUNTIF(O1308:Q1325,$B1337)+COUNTIF(O1308:Q1325,$B1337&amp;" ~*")&gt;0)+(COUNTIF(S1308:U1325,$B1337)+COUNTIF(S1308:U1325,$B1337&amp;" ~*")&gt;0)+(COUNTIF(W1308:W1325,$B1337)+COUNTIF(W1308:W1325,$B1337&amp;" ~*")&gt;0)+(COUNTIF(Y1308:Y1325,$B1337)+COUNTIF(Y1308:Y1325,$B1337&amp;" ~*")&gt;0))</f>
        <v/>
      </c>
      <c r="AC1337" s="36">
        <f>IF($B1337="","",(IFERROR(INDEX(Setup!$G$33:$G$40,MATCH(C1337,Setup!$B$33:$B$40,0)),0)=1)*(COUNTIF(C1308:E1325,$B1337)+COUNTIF(C1308:E1325,$B1337&amp;" ~*")&gt;0)+(IFERROR(INDEX(Setup!$G$33:$G$40,MATCH(G1337,Setup!$B$33:$B$40,0)),0)=1)*(COUNTIF(G1308:I1325,$B1337)+COUNTIF(G1308:I1325,$B1337&amp;" ~*")&gt;0)+(IFERROR(INDEX(Setup!$G$33:$G$40,MATCH(K1337,Setup!$B$33:$B$40,0)),0)=1)*(COUNTIF(K1308:M1325,$B1337)+COUNTIF(K1308:M1325,$B1337&amp;" ~*")&gt;0)+(IFERROR(INDEX(Setup!$G$33:$G$40,MATCH(O1337,Setup!$B$33:$B$40,0)),0)=1)*(COUNTIF(O1308:Q1325,$B1337)+COUNTIF(O1308:Q1325,$B1337&amp;" ~*")&gt;0)+(IFERROR(INDEX(Setup!$G$33:$G$40,MATCH(S1337,Setup!$B$33:$B$40,0)),0)=1)*(COUNTIF(S1308:U1325,$B1337)+COUNTIF(S1308:U1325,$B1337&amp;" ~*")&gt;0)+(IFERROR(INDEX(Setup!$G$33:$G$40,MATCH(W1337,Setup!$B$33:$B$40,0)),0)=1)*(COUNTIF(W1308:W1325,$B1337)+COUNTIF(W1308:W1325,$B1337&amp;" ~*")&gt;0)+(IFERROR(INDEX(Setup!$G$33:$G$40,MATCH(Y1337,Setup!$B$33:$B$40,0)),0)=1)*(COUNTIF(Y1308:Y1325,$B1337)+COUNTIF(Y1308:Y1325,$B1337&amp;" ~*")&gt;0))</f>
        <v/>
      </c>
    </row>
    <row r="1338" ht="15" customHeight="1">
      <c r="A1338" t="n">
        <v>27</v>
      </c>
      <c r="B1338" s="37">
        <f>IF(Setup!$B$17="","",Setup!$B$17)</f>
        <v/>
      </c>
      <c r="C1338" s="102" t="n"/>
      <c r="D1338" s="103" t="n"/>
      <c r="E1338" s="103" t="n"/>
      <c r="F1338" s="104" t="n"/>
      <c r="G1338" s="102" t="n"/>
      <c r="H1338" s="103" t="n"/>
      <c r="I1338" s="103" t="n"/>
      <c r="J1338" s="104" t="n"/>
      <c r="K1338" s="102" t="n"/>
      <c r="L1338" s="103" t="n"/>
      <c r="M1338" s="103" t="n"/>
      <c r="N1338" s="104" t="n"/>
      <c r="O1338" s="102" t="n"/>
      <c r="P1338" s="103" t="n"/>
      <c r="Q1338" s="103" t="n"/>
      <c r="R1338" s="104" t="n"/>
      <c r="S1338" s="102" t="n"/>
      <c r="T1338" s="103" t="n"/>
      <c r="U1338" s="103" t="n"/>
      <c r="V1338" s="104" t="n"/>
      <c r="W1338" s="102" t="n"/>
      <c r="X1338" s="104" t="n"/>
      <c r="Y1338" s="102" t="n"/>
      <c r="Z1338" s="104" t="n"/>
      <c r="AB1338" s="105">
        <f>IF($B1338="","",(COUNTIF(C1308:E1325,$B1338)+COUNTIF(C1308:E1325,$B1338&amp;" ~*")&gt;0)+(COUNTIF(G1308:I1325,$B1338)+COUNTIF(G1308:I1325,$B1338&amp;" ~*")&gt;0)+(COUNTIF(K1308:M1325,$B1338)+COUNTIF(K1308:M1325,$B1338&amp;" ~*")&gt;0)+(COUNTIF(O1308:Q1325,$B1338)+COUNTIF(O1308:Q1325,$B1338&amp;" ~*")&gt;0)+(COUNTIF(S1308:U1325,$B1338)+COUNTIF(S1308:U1325,$B1338&amp;" ~*")&gt;0)+(COUNTIF(W1308:W1325,$B1338)+COUNTIF(W1308:W1325,$B1338&amp;" ~*")&gt;0)+(COUNTIF(Y1308:Y1325,$B1338)+COUNTIF(Y1308:Y1325,$B1338&amp;" ~*")&gt;0))</f>
        <v/>
      </c>
      <c r="AC1338" s="38">
        <f>IF($B1338="","",(IFERROR(INDEX(Setup!$G$33:$G$40,MATCH(C1338,Setup!$B$33:$B$40,0)),0)=1)*(COUNTIF(C1308:E1325,$B1338)+COUNTIF(C1308:E1325,$B1338&amp;" ~*")&gt;0)+(IFERROR(INDEX(Setup!$G$33:$G$40,MATCH(G1338,Setup!$B$33:$B$40,0)),0)=1)*(COUNTIF(G1308:I1325,$B1338)+COUNTIF(G1308:I1325,$B1338&amp;" ~*")&gt;0)+(IFERROR(INDEX(Setup!$G$33:$G$40,MATCH(K1338,Setup!$B$33:$B$40,0)),0)=1)*(COUNTIF(K1308:M1325,$B1338)+COUNTIF(K1308:M1325,$B1338&amp;" ~*")&gt;0)+(IFERROR(INDEX(Setup!$G$33:$G$40,MATCH(O1338,Setup!$B$33:$B$40,0)),0)=1)*(COUNTIF(O1308:Q1325,$B1338)+COUNTIF(O1308:Q1325,$B1338&amp;" ~*")&gt;0)+(IFERROR(INDEX(Setup!$G$33:$G$40,MATCH(S1338,Setup!$B$33:$B$40,0)),0)=1)*(COUNTIF(S1308:U1325,$B1338)+COUNTIF(S1308:U1325,$B1338&amp;" ~*")&gt;0)+(IFERROR(INDEX(Setup!$G$33:$G$40,MATCH(W1338,Setup!$B$33:$B$40,0)),0)=1)*(COUNTIF(W1308:W1325,$B1338)+COUNTIF(W1308:W1325,$B1338&amp;" ~*")&gt;0)+(IFERROR(INDEX(Setup!$G$33:$G$40,MATCH(Y1338,Setup!$B$33:$B$40,0)),0)=1)*(COUNTIF(Y1308:Y1325,$B1338)+COUNTIF(Y1308:Y1325,$B1338&amp;" ~*")&gt;0))</f>
        <v/>
      </c>
    </row>
    <row r="1339" ht="15" customHeight="1">
      <c r="A1339" t="n">
        <v>27</v>
      </c>
      <c r="B1339" s="35">
        <f>IF(Setup!$B$18="","",Setup!$B$18)</f>
        <v/>
      </c>
      <c r="C1339" s="98" t="n"/>
      <c r="D1339" s="99" t="n"/>
      <c r="E1339" s="99" t="n"/>
      <c r="F1339" s="100" t="n"/>
      <c r="G1339" s="98" t="n"/>
      <c r="H1339" s="99" t="n"/>
      <c r="I1339" s="99" t="n"/>
      <c r="J1339" s="100" t="n"/>
      <c r="K1339" s="98" t="n"/>
      <c r="L1339" s="99" t="n"/>
      <c r="M1339" s="99" t="n"/>
      <c r="N1339" s="100" t="n"/>
      <c r="O1339" s="98" t="n"/>
      <c r="P1339" s="99" t="n"/>
      <c r="Q1339" s="99" t="n"/>
      <c r="R1339" s="100" t="n"/>
      <c r="S1339" s="98" t="n"/>
      <c r="T1339" s="99" t="n"/>
      <c r="U1339" s="99" t="n"/>
      <c r="V1339" s="100" t="n"/>
      <c r="W1339" s="98" t="n"/>
      <c r="X1339" s="100" t="n"/>
      <c r="Y1339" s="98" t="n"/>
      <c r="Z1339" s="100" t="n"/>
      <c r="AB1339" s="101">
        <f>IF($B1339="","",(COUNTIF(C1308:E1325,$B1339)+COUNTIF(C1308:E1325,$B1339&amp;" ~*")&gt;0)+(COUNTIF(G1308:I1325,$B1339)+COUNTIF(G1308:I1325,$B1339&amp;" ~*")&gt;0)+(COUNTIF(K1308:M1325,$B1339)+COUNTIF(K1308:M1325,$B1339&amp;" ~*")&gt;0)+(COUNTIF(O1308:Q1325,$B1339)+COUNTIF(O1308:Q1325,$B1339&amp;" ~*")&gt;0)+(COUNTIF(S1308:U1325,$B1339)+COUNTIF(S1308:U1325,$B1339&amp;" ~*")&gt;0)+(COUNTIF(W1308:W1325,$B1339)+COUNTIF(W1308:W1325,$B1339&amp;" ~*")&gt;0)+(COUNTIF(Y1308:Y1325,$B1339)+COUNTIF(Y1308:Y1325,$B1339&amp;" ~*")&gt;0))</f>
        <v/>
      </c>
      <c r="AC1339" s="36">
        <f>IF($B1339="","",(IFERROR(INDEX(Setup!$G$33:$G$40,MATCH(C1339,Setup!$B$33:$B$40,0)),0)=1)*(COUNTIF(C1308:E1325,$B1339)+COUNTIF(C1308:E1325,$B1339&amp;" ~*")&gt;0)+(IFERROR(INDEX(Setup!$G$33:$G$40,MATCH(G1339,Setup!$B$33:$B$40,0)),0)=1)*(COUNTIF(G1308:I1325,$B1339)+COUNTIF(G1308:I1325,$B1339&amp;" ~*")&gt;0)+(IFERROR(INDEX(Setup!$G$33:$G$40,MATCH(K1339,Setup!$B$33:$B$40,0)),0)=1)*(COUNTIF(K1308:M1325,$B1339)+COUNTIF(K1308:M1325,$B1339&amp;" ~*")&gt;0)+(IFERROR(INDEX(Setup!$G$33:$G$40,MATCH(O1339,Setup!$B$33:$B$40,0)),0)=1)*(COUNTIF(O1308:Q1325,$B1339)+COUNTIF(O1308:Q1325,$B1339&amp;" ~*")&gt;0)+(IFERROR(INDEX(Setup!$G$33:$G$40,MATCH(S1339,Setup!$B$33:$B$40,0)),0)=1)*(COUNTIF(S1308:U1325,$B1339)+COUNTIF(S1308:U1325,$B1339&amp;" ~*")&gt;0)+(IFERROR(INDEX(Setup!$G$33:$G$40,MATCH(W1339,Setup!$B$33:$B$40,0)),0)=1)*(COUNTIF(W1308:W1325,$B1339)+COUNTIF(W1308:W1325,$B1339&amp;" ~*")&gt;0)+(IFERROR(INDEX(Setup!$G$33:$G$40,MATCH(Y1339,Setup!$B$33:$B$40,0)),0)=1)*(COUNTIF(Y1308:Y1325,$B1339)+COUNTIF(Y1308:Y1325,$B1339&amp;" ~*")&gt;0))</f>
        <v/>
      </c>
    </row>
    <row r="1340" ht="15" customHeight="1">
      <c r="A1340" t="n">
        <v>27</v>
      </c>
      <c r="B1340" s="37">
        <f>IF(Setup!$B$19="","",Setup!$B$19)</f>
        <v/>
      </c>
      <c r="C1340" s="102" t="n"/>
      <c r="D1340" s="103" t="n"/>
      <c r="E1340" s="103" t="n"/>
      <c r="F1340" s="104" t="n"/>
      <c r="G1340" s="102" t="n"/>
      <c r="H1340" s="103" t="n"/>
      <c r="I1340" s="103" t="n"/>
      <c r="J1340" s="104" t="n"/>
      <c r="K1340" s="102" t="n"/>
      <c r="L1340" s="103" t="n"/>
      <c r="M1340" s="103" t="n"/>
      <c r="N1340" s="104" t="n"/>
      <c r="O1340" s="102" t="n"/>
      <c r="P1340" s="103" t="n"/>
      <c r="Q1340" s="103" t="n"/>
      <c r="R1340" s="104" t="n"/>
      <c r="S1340" s="102" t="n"/>
      <c r="T1340" s="103" t="n"/>
      <c r="U1340" s="103" t="n"/>
      <c r="V1340" s="104" t="n"/>
      <c r="W1340" s="102" t="n"/>
      <c r="X1340" s="104" t="n"/>
      <c r="Y1340" s="102" t="n"/>
      <c r="Z1340" s="104" t="n"/>
      <c r="AB1340" s="105">
        <f>IF($B1340="","",(COUNTIF(C1308:E1325,$B1340)+COUNTIF(C1308:E1325,$B1340&amp;" ~*")&gt;0)+(COUNTIF(G1308:I1325,$B1340)+COUNTIF(G1308:I1325,$B1340&amp;" ~*")&gt;0)+(COUNTIF(K1308:M1325,$B1340)+COUNTIF(K1308:M1325,$B1340&amp;" ~*")&gt;0)+(COUNTIF(O1308:Q1325,$B1340)+COUNTIF(O1308:Q1325,$B1340&amp;" ~*")&gt;0)+(COUNTIF(S1308:U1325,$B1340)+COUNTIF(S1308:U1325,$B1340&amp;" ~*")&gt;0)+(COUNTIF(W1308:W1325,$B1340)+COUNTIF(W1308:W1325,$B1340&amp;" ~*")&gt;0)+(COUNTIF(Y1308:Y1325,$B1340)+COUNTIF(Y1308:Y1325,$B1340&amp;" ~*")&gt;0))</f>
        <v/>
      </c>
      <c r="AC1340" s="38">
        <f>IF($B1340="","",(IFERROR(INDEX(Setup!$G$33:$G$40,MATCH(C1340,Setup!$B$33:$B$40,0)),0)=1)*(COUNTIF(C1308:E1325,$B1340)+COUNTIF(C1308:E1325,$B1340&amp;" ~*")&gt;0)+(IFERROR(INDEX(Setup!$G$33:$G$40,MATCH(G1340,Setup!$B$33:$B$40,0)),0)=1)*(COUNTIF(G1308:I1325,$B1340)+COUNTIF(G1308:I1325,$B1340&amp;" ~*")&gt;0)+(IFERROR(INDEX(Setup!$G$33:$G$40,MATCH(K1340,Setup!$B$33:$B$40,0)),0)=1)*(COUNTIF(K1308:M1325,$B1340)+COUNTIF(K1308:M1325,$B1340&amp;" ~*")&gt;0)+(IFERROR(INDEX(Setup!$G$33:$G$40,MATCH(O1340,Setup!$B$33:$B$40,0)),0)=1)*(COUNTIF(O1308:Q1325,$B1340)+COUNTIF(O1308:Q1325,$B1340&amp;" ~*")&gt;0)+(IFERROR(INDEX(Setup!$G$33:$G$40,MATCH(S1340,Setup!$B$33:$B$40,0)),0)=1)*(COUNTIF(S1308:U1325,$B1340)+COUNTIF(S1308:U1325,$B1340&amp;" ~*")&gt;0)+(IFERROR(INDEX(Setup!$G$33:$G$40,MATCH(W1340,Setup!$B$33:$B$40,0)),0)=1)*(COUNTIF(W1308:W1325,$B1340)+COUNTIF(W1308:W1325,$B1340&amp;" ~*")&gt;0)+(IFERROR(INDEX(Setup!$G$33:$G$40,MATCH(Y1340,Setup!$B$33:$B$40,0)),0)=1)*(COUNTIF(Y1308:Y1325,$B1340)+COUNTIF(Y1308:Y1325,$B1340&amp;" ~*")&gt;0))</f>
        <v/>
      </c>
    </row>
    <row r="1341" ht="15" customHeight="1">
      <c r="A1341" t="n">
        <v>27</v>
      </c>
      <c r="B1341" s="35">
        <f>IF(Setup!$B$20="","",Setup!$B$20)</f>
        <v/>
      </c>
      <c r="C1341" s="98" t="n"/>
      <c r="D1341" s="99" t="n"/>
      <c r="E1341" s="99" t="n"/>
      <c r="F1341" s="100" t="n"/>
      <c r="G1341" s="98" t="n"/>
      <c r="H1341" s="99" t="n"/>
      <c r="I1341" s="99" t="n"/>
      <c r="J1341" s="100" t="n"/>
      <c r="K1341" s="98" t="n"/>
      <c r="L1341" s="99" t="n"/>
      <c r="M1341" s="99" t="n"/>
      <c r="N1341" s="100" t="n"/>
      <c r="O1341" s="98" t="n"/>
      <c r="P1341" s="99" t="n"/>
      <c r="Q1341" s="99" t="n"/>
      <c r="R1341" s="100" t="n"/>
      <c r="S1341" s="98" t="n"/>
      <c r="T1341" s="99" t="n"/>
      <c r="U1341" s="99" t="n"/>
      <c r="V1341" s="100" t="n"/>
      <c r="W1341" s="98" t="n"/>
      <c r="X1341" s="100" t="n"/>
      <c r="Y1341" s="98" t="n"/>
      <c r="Z1341" s="100" t="n"/>
      <c r="AB1341" s="101">
        <f>IF($B1341="","",(COUNTIF(C1308:E1325,$B1341)+COUNTIF(C1308:E1325,$B1341&amp;" ~*")&gt;0)+(COUNTIF(G1308:I1325,$B1341)+COUNTIF(G1308:I1325,$B1341&amp;" ~*")&gt;0)+(COUNTIF(K1308:M1325,$B1341)+COUNTIF(K1308:M1325,$B1341&amp;" ~*")&gt;0)+(COUNTIF(O1308:Q1325,$B1341)+COUNTIF(O1308:Q1325,$B1341&amp;" ~*")&gt;0)+(COUNTIF(S1308:U1325,$B1341)+COUNTIF(S1308:U1325,$B1341&amp;" ~*")&gt;0)+(COUNTIF(W1308:W1325,$B1341)+COUNTIF(W1308:W1325,$B1341&amp;" ~*")&gt;0)+(COUNTIF(Y1308:Y1325,$B1341)+COUNTIF(Y1308:Y1325,$B1341&amp;" ~*")&gt;0))</f>
        <v/>
      </c>
      <c r="AC1341" s="36">
        <f>IF($B1341="","",(IFERROR(INDEX(Setup!$G$33:$G$40,MATCH(C1341,Setup!$B$33:$B$40,0)),0)=1)*(COUNTIF(C1308:E1325,$B1341)+COUNTIF(C1308:E1325,$B1341&amp;" ~*")&gt;0)+(IFERROR(INDEX(Setup!$G$33:$G$40,MATCH(G1341,Setup!$B$33:$B$40,0)),0)=1)*(COUNTIF(G1308:I1325,$B1341)+COUNTIF(G1308:I1325,$B1341&amp;" ~*")&gt;0)+(IFERROR(INDEX(Setup!$G$33:$G$40,MATCH(K1341,Setup!$B$33:$B$40,0)),0)=1)*(COUNTIF(K1308:M1325,$B1341)+COUNTIF(K1308:M1325,$B1341&amp;" ~*")&gt;0)+(IFERROR(INDEX(Setup!$G$33:$G$40,MATCH(O1341,Setup!$B$33:$B$40,0)),0)=1)*(COUNTIF(O1308:Q1325,$B1341)+COUNTIF(O1308:Q1325,$B1341&amp;" ~*")&gt;0)+(IFERROR(INDEX(Setup!$G$33:$G$40,MATCH(S1341,Setup!$B$33:$B$40,0)),0)=1)*(COUNTIF(S1308:U1325,$B1341)+COUNTIF(S1308:U1325,$B1341&amp;" ~*")&gt;0)+(IFERROR(INDEX(Setup!$G$33:$G$40,MATCH(W1341,Setup!$B$33:$B$40,0)),0)=1)*(COUNTIF(W1308:W1325,$B1341)+COUNTIF(W1308:W1325,$B1341&amp;" ~*")&gt;0)+(IFERROR(INDEX(Setup!$G$33:$G$40,MATCH(Y1341,Setup!$B$33:$B$40,0)),0)=1)*(COUNTIF(Y1308:Y1325,$B1341)+COUNTIF(Y1308:Y1325,$B1341&amp;" ~*")&gt;0))</f>
        <v/>
      </c>
    </row>
    <row r="1342" ht="15" customHeight="1">
      <c r="A1342" t="n">
        <v>27</v>
      </c>
      <c r="B1342" s="37">
        <f>IF(Setup!$B$21="","",Setup!$B$21)</f>
        <v/>
      </c>
      <c r="C1342" s="102" t="n"/>
      <c r="D1342" s="103" t="n"/>
      <c r="E1342" s="103" t="n"/>
      <c r="F1342" s="104" t="n"/>
      <c r="G1342" s="102" t="n"/>
      <c r="H1342" s="103" t="n"/>
      <c r="I1342" s="103" t="n"/>
      <c r="J1342" s="104" t="n"/>
      <c r="K1342" s="102" t="n"/>
      <c r="L1342" s="103" t="n"/>
      <c r="M1342" s="103" t="n"/>
      <c r="N1342" s="104" t="n"/>
      <c r="O1342" s="102" t="n"/>
      <c r="P1342" s="103" t="n"/>
      <c r="Q1342" s="103" t="n"/>
      <c r="R1342" s="104" t="n"/>
      <c r="S1342" s="102" t="n"/>
      <c r="T1342" s="103" t="n"/>
      <c r="U1342" s="103" t="n"/>
      <c r="V1342" s="104" t="n"/>
      <c r="W1342" s="102" t="n"/>
      <c r="X1342" s="104" t="n"/>
      <c r="Y1342" s="102" t="n"/>
      <c r="Z1342" s="104" t="n"/>
      <c r="AB1342" s="105">
        <f>IF($B1342="","",(COUNTIF(C1308:E1325,$B1342)+COUNTIF(C1308:E1325,$B1342&amp;" ~*")&gt;0)+(COUNTIF(G1308:I1325,$B1342)+COUNTIF(G1308:I1325,$B1342&amp;" ~*")&gt;0)+(COUNTIF(K1308:M1325,$B1342)+COUNTIF(K1308:M1325,$B1342&amp;" ~*")&gt;0)+(COUNTIF(O1308:Q1325,$B1342)+COUNTIF(O1308:Q1325,$B1342&amp;" ~*")&gt;0)+(COUNTIF(S1308:U1325,$B1342)+COUNTIF(S1308:U1325,$B1342&amp;" ~*")&gt;0)+(COUNTIF(W1308:W1325,$B1342)+COUNTIF(W1308:W1325,$B1342&amp;" ~*")&gt;0)+(COUNTIF(Y1308:Y1325,$B1342)+COUNTIF(Y1308:Y1325,$B1342&amp;" ~*")&gt;0))</f>
        <v/>
      </c>
      <c r="AC1342" s="38">
        <f>IF($B1342="","",(IFERROR(INDEX(Setup!$G$33:$G$40,MATCH(C1342,Setup!$B$33:$B$40,0)),0)=1)*(COUNTIF(C1308:E1325,$B1342)+COUNTIF(C1308:E1325,$B1342&amp;" ~*")&gt;0)+(IFERROR(INDEX(Setup!$G$33:$G$40,MATCH(G1342,Setup!$B$33:$B$40,0)),0)=1)*(COUNTIF(G1308:I1325,$B1342)+COUNTIF(G1308:I1325,$B1342&amp;" ~*")&gt;0)+(IFERROR(INDEX(Setup!$G$33:$G$40,MATCH(K1342,Setup!$B$33:$B$40,0)),0)=1)*(COUNTIF(K1308:M1325,$B1342)+COUNTIF(K1308:M1325,$B1342&amp;" ~*")&gt;0)+(IFERROR(INDEX(Setup!$G$33:$G$40,MATCH(O1342,Setup!$B$33:$B$40,0)),0)=1)*(COUNTIF(O1308:Q1325,$B1342)+COUNTIF(O1308:Q1325,$B1342&amp;" ~*")&gt;0)+(IFERROR(INDEX(Setup!$G$33:$G$40,MATCH(S1342,Setup!$B$33:$B$40,0)),0)=1)*(COUNTIF(S1308:U1325,$B1342)+COUNTIF(S1308:U1325,$B1342&amp;" ~*")&gt;0)+(IFERROR(INDEX(Setup!$G$33:$G$40,MATCH(W1342,Setup!$B$33:$B$40,0)),0)=1)*(COUNTIF(W1308:W1325,$B1342)+COUNTIF(W1308:W1325,$B1342&amp;" ~*")&gt;0)+(IFERROR(INDEX(Setup!$G$33:$G$40,MATCH(Y1342,Setup!$B$33:$B$40,0)),0)=1)*(COUNTIF(Y1308:Y1325,$B1342)+COUNTIF(Y1308:Y1325,$B1342&amp;" ~*")&gt;0))</f>
        <v/>
      </c>
    </row>
    <row r="1343" ht="15" customHeight="1">
      <c r="A1343" t="n">
        <v>27</v>
      </c>
      <c r="B1343" s="35">
        <f>IF(Setup!$B$22="","",Setup!$B$22)</f>
        <v/>
      </c>
      <c r="C1343" s="98" t="n"/>
      <c r="D1343" s="99" t="n"/>
      <c r="E1343" s="99" t="n"/>
      <c r="F1343" s="100" t="n"/>
      <c r="G1343" s="98" t="n"/>
      <c r="H1343" s="99" t="n"/>
      <c r="I1343" s="99" t="n"/>
      <c r="J1343" s="100" t="n"/>
      <c r="K1343" s="98" t="n"/>
      <c r="L1343" s="99" t="n"/>
      <c r="M1343" s="99" t="n"/>
      <c r="N1343" s="100" t="n"/>
      <c r="O1343" s="98" t="n"/>
      <c r="P1343" s="99" t="n"/>
      <c r="Q1343" s="99" t="n"/>
      <c r="R1343" s="100" t="n"/>
      <c r="S1343" s="98" t="n"/>
      <c r="T1343" s="99" t="n"/>
      <c r="U1343" s="99" t="n"/>
      <c r="V1343" s="100" t="n"/>
      <c r="W1343" s="98" t="n"/>
      <c r="X1343" s="100" t="n"/>
      <c r="Y1343" s="98" t="n"/>
      <c r="Z1343" s="100" t="n"/>
      <c r="AB1343" s="101">
        <f>IF($B1343="","",(COUNTIF(C1308:E1325,$B1343)+COUNTIF(C1308:E1325,$B1343&amp;" ~*")&gt;0)+(COUNTIF(G1308:I1325,$B1343)+COUNTIF(G1308:I1325,$B1343&amp;" ~*")&gt;0)+(COUNTIF(K1308:M1325,$B1343)+COUNTIF(K1308:M1325,$B1343&amp;" ~*")&gt;0)+(COUNTIF(O1308:Q1325,$B1343)+COUNTIF(O1308:Q1325,$B1343&amp;" ~*")&gt;0)+(COUNTIF(S1308:U1325,$B1343)+COUNTIF(S1308:U1325,$B1343&amp;" ~*")&gt;0)+(COUNTIF(W1308:W1325,$B1343)+COUNTIF(W1308:W1325,$B1343&amp;" ~*")&gt;0)+(COUNTIF(Y1308:Y1325,$B1343)+COUNTIF(Y1308:Y1325,$B1343&amp;" ~*")&gt;0))</f>
        <v/>
      </c>
      <c r="AC1343" s="36">
        <f>IF($B1343="","",(IFERROR(INDEX(Setup!$G$33:$G$40,MATCH(C1343,Setup!$B$33:$B$40,0)),0)=1)*(COUNTIF(C1308:E1325,$B1343)+COUNTIF(C1308:E1325,$B1343&amp;" ~*")&gt;0)+(IFERROR(INDEX(Setup!$G$33:$G$40,MATCH(G1343,Setup!$B$33:$B$40,0)),0)=1)*(COUNTIF(G1308:I1325,$B1343)+COUNTIF(G1308:I1325,$B1343&amp;" ~*")&gt;0)+(IFERROR(INDEX(Setup!$G$33:$G$40,MATCH(K1343,Setup!$B$33:$B$40,0)),0)=1)*(COUNTIF(K1308:M1325,$B1343)+COUNTIF(K1308:M1325,$B1343&amp;" ~*")&gt;0)+(IFERROR(INDEX(Setup!$G$33:$G$40,MATCH(O1343,Setup!$B$33:$B$40,0)),0)=1)*(COUNTIF(O1308:Q1325,$B1343)+COUNTIF(O1308:Q1325,$B1343&amp;" ~*")&gt;0)+(IFERROR(INDEX(Setup!$G$33:$G$40,MATCH(S1343,Setup!$B$33:$B$40,0)),0)=1)*(COUNTIF(S1308:U1325,$B1343)+COUNTIF(S1308:U1325,$B1343&amp;" ~*")&gt;0)+(IFERROR(INDEX(Setup!$G$33:$G$40,MATCH(W1343,Setup!$B$33:$B$40,0)),0)=1)*(COUNTIF(W1308:W1325,$B1343)+COUNTIF(W1308:W1325,$B1343&amp;" ~*")&gt;0)+(IFERROR(INDEX(Setup!$G$33:$G$40,MATCH(Y1343,Setup!$B$33:$B$40,0)),0)=1)*(COUNTIF(Y1308:Y1325,$B1343)+COUNTIF(Y1308:Y1325,$B1343&amp;" ~*")&gt;0))</f>
        <v/>
      </c>
    </row>
    <row r="1344" ht="15" customHeight="1">
      <c r="A1344" t="n">
        <v>27</v>
      </c>
      <c r="B1344" s="37">
        <f>IF(Setup!$B$23="","",Setup!$B$23)</f>
        <v/>
      </c>
      <c r="C1344" s="102" t="n"/>
      <c r="D1344" s="103" t="n"/>
      <c r="E1344" s="103" t="n"/>
      <c r="F1344" s="104" t="n"/>
      <c r="G1344" s="102" t="n"/>
      <c r="H1344" s="103" t="n"/>
      <c r="I1344" s="103" t="n"/>
      <c r="J1344" s="104" t="n"/>
      <c r="K1344" s="102" t="n"/>
      <c r="L1344" s="103" t="n"/>
      <c r="M1344" s="103" t="n"/>
      <c r="N1344" s="104" t="n"/>
      <c r="O1344" s="102" t="n"/>
      <c r="P1344" s="103" t="n"/>
      <c r="Q1344" s="103" t="n"/>
      <c r="R1344" s="104" t="n"/>
      <c r="S1344" s="102" t="n"/>
      <c r="T1344" s="103" t="n"/>
      <c r="U1344" s="103" t="n"/>
      <c r="V1344" s="104" t="n"/>
      <c r="W1344" s="102" t="n"/>
      <c r="X1344" s="104" t="n"/>
      <c r="Y1344" s="102" t="n"/>
      <c r="Z1344" s="104" t="n"/>
      <c r="AB1344" s="105">
        <f>IF($B1344="","",(COUNTIF(C1308:E1325,$B1344)+COUNTIF(C1308:E1325,$B1344&amp;" ~*")&gt;0)+(COUNTIF(G1308:I1325,$B1344)+COUNTIF(G1308:I1325,$B1344&amp;" ~*")&gt;0)+(COUNTIF(K1308:M1325,$B1344)+COUNTIF(K1308:M1325,$B1344&amp;" ~*")&gt;0)+(COUNTIF(O1308:Q1325,$B1344)+COUNTIF(O1308:Q1325,$B1344&amp;" ~*")&gt;0)+(COUNTIF(S1308:U1325,$B1344)+COUNTIF(S1308:U1325,$B1344&amp;" ~*")&gt;0)+(COUNTIF(W1308:W1325,$B1344)+COUNTIF(W1308:W1325,$B1344&amp;" ~*")&gt;0)+(COUNTIF(Y1308:Y1325,$B1344)+COUNTIF(Y1308:Y1325,$B1344&amp;" ~*")&gt;0))</f>
        <v/>
      </c>
      <c r="AC1344" s="38">
        <f>IF($B1344="","",(IFERROR(INDEX(Setup!$G$33:$G$40,MATCH(C1344,Setup!$B$33:$B$40,0)),0)=1)*(COUNTIF(C1308:E1325,$B1344)+COUNTIF(C1308:E1325,$B1344&amp;" ~*")&gt;0)+(IFERROR(INDEX(Setup!$G$33:$G$40,MATCH(G1344,Setup!$B$33:$B$40,0)),0)=1)*(COUNTIF(G1308:I1325,$B1344)+COUNTIF(G1308:I1325,$B1344&amp;" ~*")&gt;0)+(IFERROR(INDEX(Setup!$G$33:$G$40,MATCH(K1344,Setup!$B$33:$B$40,0)),0)=1)*(COUNTIF(K1308:M1325,$B1344)+COUNTIF(K1308:M1325,$B1344&amp;" ~*")&gt;0)+(IFERROR(INDEX(Setup!$G$33:$G$40,MATCH(O1344,Setup!$B$33:$B$40,0)),0)=1)*(COUNTIF(O1308:Q1325,$B1344)+COUNTIF(O1308:Q1325,$B1344&amp;" ~*")&gt;0)+(IFERROR(INDEX(Setup!$G$33:$G$40,MATCH(S1344,Setup!$B$33:$B$40,0)),0)=1)*(COUNTIF(S1308:U1325,$B1344)+COUNTIF(S1308:U1325,$B1344&amp;" ~*")&gt;0)+(IFERROR(INDEX(Setup!$G$33:$G$40,MATCH(W1344,Setup!$B$33:$B$40,0)),0)=1)*(COUNTIF(W1308:W1325,$B1344)+COUNTIF(W1308:W1325,$B1344&amp;" ~*")&gt;0)+(IFERROR(INDEX(Setup!$G$33:$G$40,MATCH(Y1344,Setup!$B$33:$B$40,0)),0)=1)*(COUNTIF(Y1308:Y1325,$B1344)+COUNTIF(Y1308:Y1325,$B1344&amp;" ~*")&gt;0))</f>
        <v/>
      </c>
    </row>
    <row r="1345" ht="15" customHeight="1">
      <c r="A1345" t="n">
        <v>27</v>
      </c>
      <c r="B1345" s="35">
        <f>IF(Setup!$B$24="","",Setup!$B$24)</f>
        <v/>
      </c>
      <c r="C1345" s="98" t="n"/>
      <c r="D1345" s="99" t="n"/>
      <c r="E1345" s="99" t="n"/>
      <c r="F1345" s="100" t="n"/>
      <c r="G1345" s="98" t="n"/>
      <c r="H1345" s="99" t="n"/>
      <c r="I1345" s="99" t="n"/>
      <c r="J1345" s="100" t="n"/>
      <c r="K1345" s="98" t="n"/>
      <c r="L1345" s="99" t="n"/>
      <c r="M1345" s="99" t="n"/>
      <c r="N1345" s="100" t="n"/>
      <c r="O1345" s="98" t="n"/>
      <c r="P1345" s="99" t="n"/>
      <c r="Q1345" s="99" t="n"/>
      <c r="R1345" s="100" t="n"/>
      <c r="S1345" s="98" t="n"/>
      <c r="T1345" s="99" t="n"/>
      <c r="U1345" s="99" t="n"/>
      <c r="V1345" s="100" t="n"/>
      <c r="W1345" s="98" t="n"/>
      <c r="X1345" s="100" t="n"/>
      <c r="Y1345" s="98" t="n"/>
      <c r="Z1345" s="100" t="n"/>
      <c r="AB1345" s="101">
        <f>IF($B1345="","",(COUNTIF(C1308:E1325,$B1345)+COUNTIF(C1308:E1325,$B1345&amp;" ~*")&gt;0)+(COUNTIF(G1308:I1325,$B1345)+COUNTIF(G1308:I1325,$B1345&amp;" ~*")&gt;0)+(COUNTIF(K1308:M1325,$B1345)+COUNTIF(K1308:M1325,$B1345&amp;" ~*")&gt;0)+(COUNTIF(O1308:Q1325,$B1345)+COUNTIF(O1308:Q1325,$B1345&amp;" ~*")&gt;0)+(COUNTIF(S1308:U1325,$B1345)+COUNTIF(S1308:U1325,$B1345&amp;" ~*")&gt;0)+(COUNTIF(W1308:W1325,$B1345)+COUNTIF(W1308:W1325,$B1345&amp;" ~*")&gt;0)+(COUNTIF(Y1308:Y1325,$B1345)+COUNTIF(Y1308:Y1325,$B1345&amp;" ~*")&gt;0))</f>
        <v/>
      </c>
      <c r="AC1345" s="36">
        <f>IF($B1345="","",(IFERROR(INDEX(Setup!$G$33:$G$40,MATCH(C1345,Setup!$B$33:$B$40,0)),0)=1)*(COUNTIF(C1308:E1325,$B1345)+COUNTIF(C1308:E1325,$B1345&amp;" ~*")&gt;0)+(IFERROR(INDEX(Setup!$G$33:$G$40,MATCH(G1345,Setup!$B$33:$B$40,0)),0)=1)*(COUNTIF(G1308:I1325,$B1345)+COUNTIF(G1308:I1325,$B1345&amp;" ~*")&gt;0)+(IFERROR(INDEX(Setup!$G$33:$G$40,MATCH(K1345,Setup!$B$33:$B$40,0)),0)=1)*(COUNTIF(K1308:M1325,$B1345)+COUNTIF(K1308:M1325,$B1345&amp;" ~*")&gt;0)+(IFERROR(INDEX(Setup!$G$33:$G$40,MATCH(O1345,Setup!$B$33:$B$40,0)),0)=1)*(COUNTIF(O1308:Q1325,$B1345)+COUNTIF(O1308:Q1325,$B1345&amp;" ~*")&gt;0)+(IFERROR(INDEX(Setup!$G$33:$G$40,MATCH(S1345,Setup!$B$33:$B$40,0)),0)=1)*(COUNTIF(S1308:U1325,$B1345)+COUNTIF(S1308:U1325,$B1345&amp;" ~*")&gt;0)+(IFERROR(INDEX(Setup!$G$33:$G$40,MATCH(W1345,Setup!$B$33:$B$40,0)),0)=1)*(COUNTIF(W1308:W1325,$B1345)+COUNTIF(W1308:W1325,$B1345&amp;" ~*")&gt;0)+(IFERROR(INDEX(Setup!$G$33:$G$40,MATCH(Y1345,Setup!$B$33:$B$40,0)),0)=1)*(COUNTIF(Y1308:Y1325,$B1345)+COUNTIF(Y1308:Y1325,$B1345&amp;" ~*")&gt;0))</f>
        <v/>
      </c>
    </row>
    <row r="1346" ht="15" customHeight="1">
      <c r="A1346" t="n">
        <v>27</v>
      </c>
      <c r="B1346" s="37">
        <f>IF(Setup!$B$25="","",Setup!$B$25)</f>
        <v/>
      </c>
      <c r="C1346" s="102" t="n"/>
      <c r="D1346" s="103" t="n"/>
      <c r="E1346" s="103" t="n"/>
      <c r="F1346" s="104" t="n"/>
      <c r="G1346" s="102" t="n"/>
      <c r="H1346" s="103" t="n"/>
      <c r="I1346" s="103" t="n"/>
      <c r="J1346" s="104" t="n"/>
      <c r="K1346" s="102" t="n"/>
      <c r="L1346" s="103" t="n"/>
      <c r="M1346" s="103" t="n"/>
      <c r="N1346" s="104" t="n"/>
      <c r="O1346" s="102" t="n"/>
      <c r="P1346" s="103" t="n"/>
      <c r="Q1346" s="103" t="n"/>
      <c r="R1346" s="104" t="n"/>
      <c r="S1346" s="102" t="n"/>
      <c r="T1346" s="103" t="n"/>
      <c r="U1346" s="103" t="n"/>
      <c r="V1346" s="104" t="n"/>
      <c r="W1346" s="102" t="n"/>
      <c r="X1346" s="104" t="n"/>
      <c r="Y1346" s="102" t="n"/>
      <c r="Z1346" s="104" t="n"/>
      <c r="AB1346" s="105">
        <f>IF($B1346="","",(COUNTIF(C1308:E1325,$B1346)+COUNTIF(C1308:E1325,$B1346&amp;" ~*")&gt;0)+(COUNTIF(G1308:I1325,$B1346)+COUNTIF(G1308:I1325,$B1346&amp;" ~*")&gt;0)+(COUNTIF(K1308:M1325,$B1346)+COUNTIF(K1308:M1325,$B1346&amp;" ~*")&gt;0)+(COUNTIF(O1308:Q1325,$B1346)+COUNTIF(O1308:Q1325,$B1346&amp;" ~*")&gt;0)+(COUNTIF(S1308:U1325,$B1346)+COUNTIF(S1308:U1325,$B1346&amp;" ~*")&gt;0)+(COUNTIF(W1308:W1325,$B1346)+COUNTIF(W1308:W1325,$B1346&amp;" ~*")&gt;0)+(COUNTIF(Y1308:Y1325,$B1346)+COUNTIF(Y1308:Y1325,$B1346&amp;" ~*")&gt;0))</f>
        <v/>
      </c>
      <c r="AC1346" s="38">
        <f>IF($B1346="","",(IFERROR(INDEX(Setup!$G$33:$G$40,MATCH(C1346,Setup!$B$33:$B$40,0)),0)=1)*(COUNTIF(C1308:E1325,$B1346)+COUNTIF(C1308:E1325,$B1346&amp;" ~*")&gt;0)+(IFERROR(INDEX(Setup!$G$33:$G$40,MATCH(G1346,Setup!$B$33:$B$40,0)),0)=1)*(COUNTIF(G1308:I1325,$B1346)+COUNTIF(G1308:I1325,$B1346&amp;" ~*")&gt;0)+(IFERROR(INDEX(Setup!$G$33:$G$40,MATCH(K1346,Setup!$B$33:$B$40,0)),0)=1)*(COUNTIF(K1308:M1325,$B1346)+COUNTIF(K1308:M1325,$B1346&amp;" ~*")&gt;0)+(IFERROR(INDEX(Setup!$G$33:$G$40,MATCH(O1346,Setup!$B$33:$B$40,0)),0)=1)*(COUNTIF(O1308:Q1325,$B1346)+COUNTIF(O1308:Q1325,$B1346&amp;" ~*")&gt;0)+(IFERROR(INDEX(Setup!$G$33:$G$40,MATCH(S1346,Setup!$B$33:$B$40,0)),0)=1)*(COUNTIF(S1308:U1325,$B1346)+COUNTIF(S1308:U1325,$B1346&amp;" ~*")&gt;0)+(IFERROR(INDEX(Setup!$G$33:$G$40,MATCH(W1346,Setup!$B$33:$B$40,0)),0)=1)*(COUNTIF(W1308:W1325,$B1346)+COUNTIF(W1308:W1325,$B1346&amp;" ~*")&gt;0)+(IFERROR(INDEX(Setup!$G$33:$G$40,MATCH(Y1346,Setup!$B$33:$B$40,0)),0)=1)*(COUNTIF(Y1308:Y1325,$B1346)+COUNTIF(Y1308:Y1325,$B1346&amp;" ~*")&gt;0))</f>
        <v/>
      </c>
    </row>
    <row r="1347" ht="15" customHeight="1">
      <c r="A1347" t="n">
        <v>27</v>
      </c>
      <c r="B1347" s="35">
        <f>IF(Setup!$B$26="","",Setup!$B$26)</f>
        <v/>
      </c>
      <c r="C1347" s="98" t="n"/>
      <c r="D1347" s="99" t="n"/>
      <c r="E1347" s="99" t="n"/>
      <c r="F1347" s="100" t="n"/>
      <c r="G1347" s="98" t="n"/>
      <c r="H1347" s="99" t="n"/>
      <c r="I1347" s="99" t="n"/>
      <c r="J1347" s="100" t="n"/>
      <c r="K1347" s="98" t="n"/>
      <c r="L1347" s="99" t="n"/>
      <c r="M1347" s="99" t="n"/>
      <c r="N1347" s="100" t="n"/>
      <c r="O1347" s="98" t="n"/>
      <c r="P1347" s="99" t="n"/>
      <c r="Q1347" s="99" t="n"/>
      <c r="R1347" s="100" t="n"/>
      <c r="S1347" s="98" t="n"/>
      <c r="T1347" s="99" t="n"/>
      <c r="U1347" s="99" t="n"/>
      <c r="V1347" s="100" t="n"/>
      <c r="W1347" s="98" t="n"/>
      <c r="X1347" s="100" t="n"/>
      <c r="Y1347" s="98" t="n"/>
      <c r="Z1347" s="100" t="n"/>
      <c r="AB1347" s="101">
        <f>IF($B1347="","",(COUNTIF(C1308:E1325,$B1347)+COUNTIF(C1308:E1325,$B1347&amp;" ~*")&gt;0)+(COUNTIF(G1308:I1325,$B1347)+COUNTIF(G1308:I1325,$B1347&amp;" ~*")&gt;0)+(COUNTIF(K1308:M1325,$B1347)+COUNTIF(K1308:M1325,$B1347&amp;" ~*")&gt;0)+(COUNTIF(O1308:Q1325,$B1347)+COUNTIF(O1308:Q1325,$B1347&amp;" ~*")&gt;0)+(COUNTIF(S1308:U1325,$B1347)+COUNTIF(S1308:U1325,$B1347&amp;" ~*")&gt;0)+(COUNTIF(W1308:W1325,$B1347)+COUNTIF(W1308:W1325,$B1347&amp;" ~*")&gt;0)+(COUNTIF(Y1308:Y1325,$B1347)+COUNTIF(Y1308:Y1325,$B1347&amp;" ~*")&gt;0))</f>
        <v/>
      </c>
      <c r="AC1347" s="36">
        <f>IF($B1347="","",(IFERROR(INDEX(Setup!$G$33:$G$40,MATCH(C1347,Setup!$B$33:$B$40,0)),0)=1)*(COUNTIF(C1308:E1325,$B1347)+COUNTIF(C1308:E1325,$B1347&amp;" ~*")&gt;0)+(IFERROR(INDEX(Setup!$G$33:$G$40,MATCH(G1347,Setup!$B$33:$B$40,0)),0)=1)*(COUNTIF(G1308:I1325,$B1347)+COUNTIF(G1308:I1325,$B1347&amp;" ~*")&gt;0)+(IFERROR(INDEX(Setup!$G$33:$G$40,MATCH(K1347,Setup!$B$33:$B$40,0)),0)=1)*(COUNTIF(K1308:M1325,$B1347)+COUNTIF(K1308:M1325,$B1347&amp;" ~*")&gt;0)+(IFERROR(INDEX(Setup!$G$33:$G$40,MATCH(O1347,Setup!$B$33:$B$40,0)),0)=1)*(COUNTIF(O1308:Q1325,$B1347)+COUNTIF(O1308:Q1325,$B1347&amp;" ~*")&gt;0)+(IFERROR(INDEX(Setup!$G$33:$G$40,MATCH(S1347,Setup!$B$33:$B$40,0)),0)=1)*(COUNTIF(S1308:U1325,$B1347)+COUNTIF(S1308:U1325,$B1347&amp;" ~*")&gt;0)+(IFERROR(INDEX(Setup!$G$33:$G$40,MATCH(W1347,Setup!$B$33:$B$40,0)),0)=1)*(COUNTIF(W1308:W1325,$B1347)+COUNTIF(W1308:W1325,$B1347&amp;" ~*")&gt;0)+(IFERROR(INDEX(Setup!$G$33:$G$40,MATCH(Y1347,Setup!$B$33:$B$40,0)),0)=1)*(COUNTIF(Y1308:Y1325,$B1347)+COUNTIF(Y1308:Y1325,$B1347&amp;" ~*")&gt;0))</f>
        <v/>
      </c>
    </row>
    <row r="1348" ht="15" customHeight="1">
      <c r="A1348" t="n">
        <v>27</v>
      </c>
      <c r="B1348" s="37">
        <f>IF(Setup!$B$27="","",Setup!$B$27)</f>
        <v/>
      </c>
      <c r="C1348" s="102" t="n"/>
      <c r="D1348" s="103" t="n"/>
      <c r="E1348" s="103" t="n"/>
      <c r="F1348" s="104" t="n"/>
      <c r="G1348" s="102" t="n"/>
      <c r="H1348" s="103" t="n"/>
      <c r="I1348" s="103" t="n"/>
      <c r="J1348" s="104" t="n"/>
      <c r="K1348" s="102" t="n"/>
      <c r="L1348" s="103" t="n"/>
      <c r="M1348" s="103" t="n"/>
      <c r="N1348" s="104" t="n"/>
      <c r="O1348" s="102" t="n"/>
      <c r="P1348" s="103" t="n"/>
      <c r="Q1348" s="103" t="n"/>
      <c r="R1348" s="104" t="n"/>
      <c r="S1348" s="102" t="n"/>
      <c r="T1348" s="103" t="n"/>
      <c r="U1348" s="103" t="n"/>
      <c r="V1348" s="104" t="n"/>
      <c r="W1348" s="102" t="n"/>
      <c r="X1348" s="104" t="n"/>
      <c r="Y1348" s="102" t="n"/>
      <c r="Z1348" s="104" t="n"/>
      <c r="AB1348" s="105">
        <f>IF($B1348="","",(COUNTIF(C1308:E1325,$B1348)+COUNTIF(C1308:E1325,$B1348&amp;" ~*")&gt;0)+(COUNTIF(G1308:I1325,$B1348)+COUNTIF(G1308:I1325,$B1348&amp;" ~*")&gt;0)+(COUNTIF(K1308:M1325,$B1348)+COUNTIF(K1308:M1325,$B1348&amp;" ~*")&gt;0)+(COUNTIF(O1308:Q1325,$B1348)+COUNTIF(O1308:Q1325,$B1348&amp;" ~*")&gt;0)+(COUNTIF(S1308:U1325,$B1348)+COUNTIF(S1308:U1325,$B1348&amp;" ~*")&gt;0)+(COUNTIF(W1308:W1325,$B1348)+COUNTIF(W1308:W1325,$B1348&amp;" ~*")&gt;0)+(COUNTIF(Y1308:Y1325,$B1348)+COUNTIF(Y1308:Y1325,$B1348&amp;" ~*")&gt;0))</f>
        <v/>
      </c>
      <c r="AC1348" s="38">
        <f>IF($B1348="","",(IFERROR(INDEX(Setup!$G$33:$G$40,MATCH(C1348,Setup!$B$33:$B$40,0)),0)=1)*(COUNTIF(C1308:E1325,$B1348)+COUNTIF(C1308:E1325,$B1348&amp;" ~*")&gt;0)+(IFERROR(INDEX(Setup!$G$33:$G$40,MATCH(G1348,Setup!$B$33:$B$40,0)),0)=1)*(COUNTIF(G1308:I1325,$B1348)+COUNTIF(G1308:I1325,$B1348&amp;" ~*")&gt;0)+(IFERROR(INDEX(Setup!$G$33:$G$40,MATCH(K1348,Setup!$B$33:$B$40,0)),0)=1)*(COUNTIF(K1308:M1325,$B1348)+COUNTIF(K1308:M1325,$B1348&amp;" ~*")&gt;0)+(IFERROR(INDEX(Setup!$G$33:$G$40,MATCH(O1348,Setup!$B$33:$B$40,0)),0)=1)*(COUNTIF(O1308:Q1325,$B1348)+COUNTIF(O1308:Q1325,$B1348&amp;" ~*")&gt;0)+(IFERROR(INDEX(Setup!$G$33:$G$40,MATCH(S1348,Setup!$B$33:$B$40,0)),0)=1)*(COUNTIF(S1308:U1325,$B1348)+COUNTIF(S1308:U1325,$B1348&amp;" ~*")&gt;0)+(IFERROR(INDEX(Setup!$G$33:$G$40,MATCH(W1348,Setup!$B$33:$B$40,0)),0)=1)*(COUNTIF(W1308:W1325,$B1348)+COUNTIF(W1308:W1325,$B1348&amp;" ~*")&gt;0)+(IFERROR(INDEX(Setup!$G$33:$G$40,MATCH(Y1348,Setup!$B$33:$B$40,0)),0)=1)*(COUNTIF(Y1308:Y1325,$B1348)+COUNTIF(Y1308:Y1325,$B1348&amp;" ~*")&gt;0))</f>
        <v/>
      </c>
    </row>
    <row r="1349" ht="15" customHeight="1">
      <c r="A1349" t="n">
        <v>27</v>
      </c>
      <c r="B1349" s="35">
        <f>IF(Setup!$B$28="","",Setup!$B$28)</f>
        <v/>
      </c>
      <c r="C1349" s="98" t="n"/>
      <c r="D1349" s="99" t="n"/>
      <c r="E1349" s="99" t="n"/>
      <c r="F1349" s="100" t="n"/>
      <c r="G1349" s="98" t="n"/>
      <c r="H1349" s="99" t="n"/>
      <c r="I1349" s="99" t="n"/>
      <c r="J1349" s="100" t="n"/>
      <c r="K1349" s="98" t="n"/>
      <c r="L1349" s="99" t="n"/>
      <c r="M1349" s="99" t="n"/>
      <c r="N1349" s="100" t="n"/>
      <c r="O1349" s="98" t="n"/>
      <c r="P1349" s="99" t="n"/>
      <c r="Q1349" s="99" t="n"/>
      <c r="R1349" s="100" t="n"/>
      <c r="S1349" s="98" t="n"/>
      <c r="T1349" s="99" t="n"/>
      <c r="U1349" s="99" t="n"/>
      <c r="V1349" s="100" t="n"/>
      <c r="W1349" s="98" t="n"/>
      <c r="X1349" s="100" t="n"/>
      <c r="Y1349" s="98" t="n"/>
      <c r="Z1349" s="100" t="n"/>
      <c r="AB1349" s="101">
        <f>IF($B1349="","",(COUNTIF(C1308:E1325,$B1349)+COUNTIF(C1308:E1325,$B1349&amp;" ~*")&gt;0)+(COUNTIF(G1308:I1325,$B1349)+COUNTIF(G1308:I1325,$B1349&amp;" ~*")&gt;0)+(COUNTIF(K1308:M1325,$B1349)+COUNTIF(K1308:M1325,$B1349&amp;" ~*")&gt;0)+(COUNTIF(O1308:Q1325,$B1349)+COUNTIF(O1308:Q1325,$B1349&amp;" ~*")&gt;0)+(COUNTIF(S1308:U1325,$B1349)+COUNTIF(S1308:U1325,$B1349&amp;" ~*")&gt;0)+(COUNTIF(W1308:W1325,$B1349)+COUNTIF(W1308:W1325,$B1349&amp;" ~*")&gt;0)+(COUNTIF(Y1308:Y1325,$B1349)+COUNTIF(Y1308:Y1325,$B1349&amp;" ~*")&gt;0))</f>
        <v/>
      </c>
      <c r="AC1349" s="36">
        <f>IF($B1349="","",(IFERROR(INDEX(Setup!$G$33:$G$40,MATCH(C1349,Setup!$B$33:$B$40,0)),0)=1)*(COUNTIF(C1308:E1325,$B1349)+COUNTIF(C1308:E1325,$B1349&amp;" ~*")&gt;0)+(IFERROR(INDEX(Setup!$G$33:$G$40,MATCH(G1349,Setup!$B$33:$B$40,0)),0)=1)*(COUNTIF(G1308:I1325,$B1349)+COUNTIF(G1308:I1325,$B1349&amp;" ~*")&gt;0)+(IFERROR(INDEX(Setup!$G$33:$G$40,MATCH(K1349,Setup!$B$33:$B$40,0)),0)=1)*(COUNTIF(K1308:M1325,$B1349)+COUNTIF(K1308:M1325,$B1349&amp;" ~*")&gt;0)+(IFERROR(INDEX(Setup!$G$33:$G$40,MATCH(O1349,Setup!$B$33:$B$40,0)),0)=1)*(COUNTIF(O1308:Q1325,$B1349)+COUNTIF(O1308:Q1325,$B1349&amp;" ~*")&gt;0)+(IFERROR(INDEX(Setup!$G$33:$G$40,MATCH(S1349,Setup!$B$33:$B$40,0)),0)=1)*(COUNTIF(S1308:U1325,$B1349)+COUNTIF(S1308:U1325,$B1349&amp;" ~*")&gt;0)+(IFERROR(INDEX(Setup!$G$33:$G$40,MATCH(W1349,Setup!$B$33:$B$40,0)),0)=1)*(COUNTIF(W1308:W1325,$B1349)+COUNTIF(W1308:W1325,$B1349&amp;" ~*")&gt;0)+(IFERROR(INDEX(Setup!$G$33:$G$40,MATCH(Y1349,Setup!$B$33:$B$40,0)),0)=1)*(COUNTIF(Y1308:Y1325,$B1349)+COUNTIF(Y1308:Y1325,$B1349&amp;" ~*")&gt;0))</f>
        <v/>
      </c>
    </row>
    <row r="1350" ht="15" customHeight="1">
      <c r="A1350" t="n">
        <v>27</v>
      </c>
      <c r="B1350" s="37">
        <f>IF(Setup!$B$29="","",Setup!$B$29)</f>
        <v/>
      </c>
      <c r="C1350" s="102" t="n"/>
      <c r="D1350" s="103" t="n"/>
      <c r="E1350" s="103" t="n"/>
      <c r="F1350" s="104" t="n"/>
      <c r="G1350" s="102" t="n"/>
      <c r="H1350" s="103" t="n"/>
      <c r="I1350" s="103" t="n"/>
      <c r="J1350" s="104" t="n"/>
      <c r="K1350" s="102" t="n"/>
      <c r="L1350" s="103" t="n"/>
      <c r="M1350" s="103" t="n"/>
      <c r="N1350" s="104" t="n"/>
      <c r="O1350" s="102" t="n"/>
      <c r="P1350" s="103" t="n"/>
      <c r="Q1350" s="103" t="n"/>
      <c r="R1350" s="104" t="n"/>
      <c r="S1350" s="102" t="n"/>
      <c r="T1350" s="103" t="n"/>
      <c r="U1350" s="103" t="n"/>
      <c r="V1350" s="104" t="n"/>
      <c r="W1350" s="102" t="n"/>
      <c r="X1350" s="104" t="n"/>
      <c r="Y1350" s="102" t="n"/>
      <c r="Z1350" s="104" t="n"/>
      <c r="AB1350" s="105">
        <f>IF($B1350="","",(COUNTIF(C1308:E1325,$B1350)+COUNTIF(C1308:E1325,$B1350&amp;" ~*")&gt;0)+(COUNTIF(G1308:I1325,$B1350)+COUNTIF(G1308:I1325,$B1350&amp;" ~*")&gt;0)+(COUNTIF(K1308:M1325,$B1350)+COUNTIF(K1308:M1325,$B1350&amp;" ~*")&gt;0)+(COUNTIF(O1308:Q1325,$B1350)+COUNTIF(O1308:Q1325,$B1350&amp;" ~*")&gt;0)+(COUNTIF(S1308:U1325,$B1350)+COUNTIF(S1308:U1325,$B1350&amp;" ~*")&gt;0)+(COUNTIF(W1308:W1325,$B1350)+COUNTIF(W1308:W1325,$B1350&amp;" ~*")&gt;0)+(COUNTIF(Y1308:Y1325,$B1350)+COUNTIF(Y1308:Y1325,$B1350&amp;" ~*")&gt;0))</f>
        <v/>
      </c>
      <c r="AC1350" s="38">
        <f>IF($B1350="","",(IFERROR(INDEX(Setup!$G$33:$G$40,MATCH(C1350,Setup!$B$33:$B$40,0)),0)=1)*(COUNTIF(C1308:E1325,$B1350)+COUNTIF(C1308:E1325,$B1350&amp;" ~*")&gt;0)+(IFERROR(INDEX(Setup!$G$33:$G$40,MATCH(G1350,Setup!$B$33:$B$40,0)),0)=1)*(COUNTIF(G1308:I1325,$B1350)+COUNTIF(G1308:I1325,$B1350&amp;" ~*")&gt;0)+(IFERROR(INDEX(Setup!$G$33:$G$40,MATCH(K1350,Setup!$B$33:$B$40,0)),0)=1)*(COUNTIF(K1308:M1325,$B1350)+COUNTIF(K1308:M1325,$B1350&amp;" ~*")&gt;0)+(IFERROR(INDEX(Setup!$G$33:$G$40,MATCH(O1350,Setup!$B$33:$B$40,0)),0)=1)*(COUNTIF(O1308:Q1325,$B1350)+COUNTIF(O1308:Q1325,$B1350&amp;" ~*")&gt;0)+(IFERROR(INDEX(Setup!$G$33:$G$40,MATCH(S1350,Setup!$B$33:$B$40,0)),0)=1)*(COUNTIF(S1308:U1325,$B1350)+COUNTIF(S1308:U1325,$B1350&amp;" ~*")&gt;0)+(IFERROR(INDEX(Setup!$G$33:$G$40,MATCH(W1350,Setup!$B$33:$B$40,0)),0)=1)*(COUNTIF(W1308:W1325,$B1350)+COUNTIF(W1308:W1325,$B1350&amp;" ~*")&gt;0)+(IFERROR(INDEX(Setup!$G$33:$G$40,MATCH(Y1350,Setup!$B$33:$B$40,0)),0)=1)*(COUNTIF(Y1308:Y1325,$B1350)+COUNTIF(Y1308:Y1325,$B1350&amp;" ~*")&gt;0))</f>
        <v/>
      </c>
    </row>
    <row r="1351" ht="16" customHeight="1">
      <c r="A1351" t="n">
        <v>27</v>
      </c>
      <c r="B1351" s="106" t="inlineStr">
        <is>
          <t>Available people</t>
        </is>
      </c>
      <c r="C1351" s="107">
        <f>COUNTIFS(Setup!$E$6:$E$29,"Y",Setup!$B$6:$B$29,"?*")-SUMPRODUCT(COUNTIF(C1327:C1350,Setup!$F$33:$F$40))</f>
        <v/>
      </c>
      <c r="D1351" s="107" t="n"/>
      <c r="E1351" s="107" t="n"/>
      <c r="F1351" s="107" t="n"/>
      <c r="G1351" s="107">
        <f>COUNTIFS(Setup!$E$6:$E$29,"Y",Setup!$B$6:$B$29,"?*")-SUMPRODUCT(COUNTIF(G1327:G1350,Setup!$F$33:$F$40))</f>
        <v/>
      </c>
      <c r="H1351" s="107" t="n"/>
      <c r="I1351" s="107" t="n"/>
      <c r="J1351" s="107" t="n"/>
      <c r="K1351" s="107">
        <f>COUNTIFS(Setup!$E$6:$E$29,"Y",Setup!$B$6:$B$29,"?*")-SUMPRODUCT(COUNTIF(K1327:K1350,Setup!$F$33:$F$40))</f>
        <v/>
      </c>
      <c r="L1351" s="107" t="n"/>
      <c r="M1351" s="107" t="n"/>
      <c r="N1351" s="107" t="n"/>
      <c r="O1351" s="107">
        <f>COUNTIFS(Setup!$E$6:$E$29,"Y",Setup!$B$6:$B$29,"?*")-SUMPRODUCT(COUNTIF(O1327:O1350,Setup!$F$33:$F$40))</f>
        <v/>
      </c>
      <c r="P1351" s="107" t="n"/>
      <c r="Q1351" s="107" t="n"/>
      <c r="R1351" s="107" t="n"/>
      <c r="S1351" s="107">
        <f>COUNTIFS(Setup!$E$6:$E$29,"Y",Setup!$B$6:$B$29,"?*")-SUMPRODUCT(COUNTIF(S1327:S1350,Setup!$F$33:$F$40))</f>
        <v/>
      </c>
      <c r="T1351" s="107" t="n"/>
      <c r="U1351" s="107" t="n"/>
      <c r="V1351" s="107" t="n"/>
      <c r="W1351" s="107">
        <f>COUNTIFS(Setup!$E$6:$E$29,"Y",Setup!$B$6:$B$29,"?*")-SUMPRODUCT(COUNTIF(W1327:W1350,Setup!$F$33:$F$40))</f>
        <v/>
      </c>
      <c r="X1351" s="107" t="n"/>
      <c r="Y1351" s="107">
        <f>COUNTIFS(Setup!$E$6:$E$29,"Y",Setup!$B$6:$B$29,"?*")-SUMPRODUCT(COUNTIF(Y1327:Y1350,Setup!$F$33:$F$40))</f>
        <v/>
      </c>
      <c r="Z1351" s="107" t="n"/>
      <c r="AB1351" s="108">
        <f>SUM(AB1327:AB1350)</f>
        <v/>
      </c>
      <c r="AC1351" s="109">
        <f>SUM(AC1327:AC1350)</f>
        <v/>
      </c>
    </row>
    <row r="1352" ht="30" customHeight="1">
      <c r="A1352" t="n">
        <v>27</v>
      </c>
      <c r="B1352" s="110" t="inlineStr">
        <is>
          <t>Week notes</t>
        </is>
      </c>
      <c r="C1352" s="111" t="n"/>
      <c r="D1352" s="112" t="n"/>
      <c r="E1352" s="112" t="n"/>
      <c r="F1352" s="112" t="n"/>
      <c r="G1352" s="112" t="n"/>
      <c r="H1352" s="112" t="n"/>
      <c r="I1352" s="112" t="n"/>
      <c r="J1352" s="112" t="n"/>
      <c r="K1352" s="112" t="n"/>
      <c r="L1352" s="112" t="n"/>
      <c r="M1352" s="112" t="n"/>
      <c r="N1352" s="112" t="n"/>
      <c r="O1352" s="112" t="n"/>
      <c r="P1352" s="112" t="n"/>
      <c r="Q1352" s="112" t="n"/>
      <c r="R1352" s="112" t="n"/>
      <c r="S1352" s="112" t="n"/>
      <c r="T1352" s="112" t="n"/>
      <c r="U1352" s="112" t="n"/>
      <c r="V1352" s="112" t="n"/>
      <c r="W1352" s="112" t="n"/>
      <c r="X1352" s="112" t="n"/>
      <c r="Y1352" s="112" t="n"/>
      <c r="Z1352" s="113" t="n"/>
    </row>
    <row r="1353" ht="8" customHeight="1">
      <c r="A1353" t="n">
        <v>27</v>
      </c>
    </row>
    <row r="1354" ht="8" customHeight="1">
      <c r="A1354" t="n">
        <v>27</v>
      </c>
    </row>
    <row r="1355" ht="24" customHeight="1">
      <c r="A1355" t="n">
        <v>28</v>
      </c>
      <c r="B1355" s="73">
        <f>"WEEK 28     "&amp;TEXT(C1356,"ddd d mmm")&amp;"  –  "&amp;TEXT(C1356+6,"ddd d mmm yyyy")</f>
        <v/>
      </c>
      <c r="S1355" s="74">
        <f>IF(TODAY()&lt;C1356,"FUTURE",IF(TODAY()&gt;C1356+6,"PAST","THIS WEEK"))</f>
        <v/>
      </c>
      <c r="W1355" s="75">
        <f>IF(AND(Engine!$B$8=$AC$3,Engine!$B$9=$A1355),"◀ ACTIVE WEEK","")</f>
        <v/>
      </c>
      <c r="AA1355" s="76" t="n"/>
      <c r="AB1355" s="77" t="inlineStr">
        <is>
          <t>◀ Prev</t>
        </is>
      </c>
      <c r="AC1355" s="77" t="inlineStr">
        <is>
          <t>Next ▶</t>
        </is>
      </c>
    </row>
    <row r="1356" ht="18" customHeight="1">
      <c r="A1356" t="n">
        <v>28</v>
      </c>
      <c r="B1356" s="78" t="inlineStr">
        <is>
          <t>DUTY</t>
        </is>
      </c>
      <c r="C1356" s="79">
        <f>$AC$2+7*($A1356-1)</f>
        <v/>
      </c>
      <c r="D1356" s="80" t="n"/>
      <c r="E1356" s="80" t="n"/>
      <c r="F1356" s="81" t="n"/>
      <c r="G1356" s="79">
        <f>C1356+1</f>
        <v/>
      </c>
      <c r="H1356" s="80" t="n"/>
      <c r="I1356" s="80" t="n"/>
      <c r="J1356" s="81" t="n"/>
      <c r="K1356" s="79">
        <f>C1356+2</f>
        <v/>
      </c>
      <c r="L1356" s="80" t="n"/>
      <c r="M1356" s="80" t="n"/>
      <c r="N1356" s="81" t="n"/>
      <c r="O1356" s="79">
        <f>C1356+3</f>
        <v/>
      </c>
      <c r="P1356" s="80" t="n"/>
      <c r="Q1356" s="80" t="n"/>
      <c r="R1356" s="81" t="n"/>
      <c r="S1356" s="79">
        <f>C1356+4</f>
        <v/>
      </c>
      <c r="T1356" s="80" t="n"/>
      <c r="U1356" s="80" t="n"/>
      <c r="V1356" s="81" t="n"/>
      <c r="W1356" s="82">
        <f>C1356+5</f>
        <v/>
      </c>
      <c r="X1356" s="83" t="n"/>
      <c r="Y1356" s="82">
        <f>C1356+6</f>
        <v/>
      </c>
      <c r="Z1356" s="83" t="n"/>
      <c r="AB1356" s="72" t="inlineStr">
        <is>
          <t>Gaps</t>
        </is>
      </c>
      <c r="AC1356" s="72" t="inlineStr">
        <is>
          <t>Cover</t>
        </is>
      </c>
    </row>
    <row r="1357" ht="14" customHeight="1">
      <c r="A1357" t="n">
        <v>28</v>
      </c>
      <c r="B1357" s="84" t="inlineStr">
        <is>
          <t>(from Setup)</t>
        </is>
      </c>
      <c r="C1357" s="85" t="inlineStr">
        <is>
          <t>1</t>
        </is>
      </c>
      <c r="D1357" s="85" t="inlineStr">
        <is>
          <t>2</t>
        </is>
      </c>
      <c r="E1357" s="85" t="inlineStr">
        <is>
          <t>3</t>
        </is>
      </c>
      <c r="F1357" s="85" t="inlineStr">
        <is>
          <t>Notes</t>
        </is>
      </c>
      <c r="G1357" s="85" t="inlineStr">
        <is>
          <t>1</t>
        </is>
      </c>
      <c r="H1357" s="85" t="inlineStr">
        <is>
          <t>2</t>
        </is>
      </c>
      <c r="I1357" s="85" t="inlineStr">
        <is>
          <t>3</t>
        </is>
      </c>
      <c r="J1357" s="85" t="inlineStr">
        <is>
          <t>Notes</t>
        </is>
      </c>
      <c r="K1357" s="85" t="inlineStr">
        <is>
          <t>1</t>
        </is>
      </c>
      <c r="L1357" s="85" t="inlineStr">
        <is>
          <t>2</t>
        </is>
      </c>
      <c r="M1357" s="85" t="inlineStr">
        <is>
          <t>3</t>
        </is>
      </c>
      <c r="N1357" s="85" t="inlineStr">
        <is>
          <t>Notes</t>
        </is>
      </c>
      <c r="O1357" s="85" t="inlineStr">
        <is>
          <t>1</t>
        </is>
      </c>
      <c r="P1357" s="85" t="inlineStr">
        <is>
          <t>2</t>
        </is>
      </c>
      <c r="Q1357" s="85" t="inlineStr">
        <is>
          <t>3</t>
        </is>
      </c>
      <c r="R1357" s="85" t="inlineStr">
        <is>
          <t>Notes</t>
        </is>
      </c>
      <c r="S1357" s="85" t="inlineStr">
        <is>
          <t>1</t>
        </is>
      </c>
      <c r="T1357" s="85" t="inlineStr">
        <is>
          <t>2</t>
        </is>
      </c>
      <c r="U1357" s="85" t="inlineStr">
        <is>
          <t>3</t>
        </is>
      </c>
      <c r="V1357" s="85" t="inlineStr">
        <is>
          <t>Notes</t>
        </is>
      </c>
      <c r="W1357" s="85" t="inlineStr">
        <is>
          <t>Cover</t>
        </is>
      </c>
      <c r="X1357" s="85" t="inlineStr">
        <is>
          <t>Notes</t>
        </is>
      </c>
      <c r="Y1357" s="85" t="inlineStr">
        <is>
          <t>Cover</t>
        </is>
      </c>
      <c r="Z1357" s="85" t="inlineStr">
        <is>
          <t>Notes</t>
        </is>
      </c>
      <c r="AB1357" s="86" t="inlineStr">
        <is>
          <t>weekdays short</t>
        </is>
      </c>
      <c r="AC1357" s="87" t="inlineStr"/>
    </row>
    <row r="1358" ht="17" customHeight="1">
      <c r="A1358" t="n">
        <v>28</v>
      </c>
      <c r="B1358" s="24">
        <f>IF(Setup!$K$6="","",Setup!$K$6)</f>
        <v/>
      </c>
      <c r="C1358" s="88" t="n"/>
      <c r="D1358" s="88" t="n"/>
      <c r="E1358" s="88" t="n"/>
      <c r="F1358" s="89" t="n"/>
      <c r="G1358" s="88" t="n"/>
      <c r="H1358" s="88" t="n"/>
      <c r="I1358" s="88" t="n"/>
      <c r="J1358" s="89" t="n"/>
      <c r="K1358" s="88" t="n"/>
      <c r="L1358" s="88" t="n"/>
      <c r="M1358" s="88" t="n"/>
      <c r="N1358" s="89" t="n"/>
      <c r="O1358" s="88" t="n"/>
      <c r="P1358" s="88" t="n"/>
      <c r="Q1358" s="88" t="n"/>
      <c r="R1358" s="89" t="n"/>
      <c r="S1358" s="88" t="n"/>
      <c r="T1358" s="88" t="n"/>
      <c r="U1358" s="88" t="n"/>
      <c r="V1358" s="89" t="n"/>
      <c r="W1358" s="88" t="n"/>
      <c r="X1358" s="89" t="n"/>
      <c r="Y1358" s="88" t="n"/>
      <c r="Z1358" s="89" t="n"/>
      <c r="AB1358" s="25">
        <f>IF($B1358="","",(COUNTIF(C1358:E1358,"?*")&lt;N(INDEX(Setup!$L$6:$L$23,1)))+(COUNTIF(G1358:I1358,"?*")&lt;N(INDEX(Setup!$L$6:$L$23,1)))+(COUNTIF(K1358:M1358,"?*")&lt;N(INDEX(Setup!$L$6:$L$23,1)))+(COUNTIF(O1358:Q1358,"?*")&lt;N(INDEX(Setup!$L$6:$L$23,1)))+(COUNTIF(S1358:U1358,"?*")&lt;N(INDEX(Setup!$L$6:$L$23,1)))+((W1358="")*(INDEX(Setup!$M$6:$M$23,1)="Y"))+((Y1358="")*(INDEX(Setup!$M$6:$M$23,1)="Y")))</f>
        <v/>
      </c>
      <c r="AC1358" s="90">
        <f>IF($B1358="","",IF(AB1358=0,"✓ covered","⚠ "&amp;AB1358&amp;IF(AB1358=1," gap"," gaps")))</f>
        <v/>
      </c>
    </row>
    <row r="1359" ht="17" customHeight="1">
      <c r="A1359" t="n">
        <v>28</v>
      </c>
      <c r="B1359" s="29">
        <f>IF(Setup!$K$7="","",Setup!$K$7)</f>
        <v/>
      </c>
      <c r="C1359" s="88" t="n"/>
      <c r="D1359" s="88" t="n"/>
      <c r="E1359" s="88" t="n"/>
      <c r="F1359" s="89" t="n"/>
      <c r="G1359" s="88" t="n"/>
      <c r="H1359" s="88" t="n"/>
      <c r="I1359" s="88" t="n"/>
      <c r="J1359" s="89" t="n"/>
      <c r="K1359" s="88" t="n"/>
      <c r="L1359" s="88" t="n"/>
      <c r="M1359" s="88" t="n"/>
      <c r="N1359" s="89" t="n"/>
      <c r="O1359" s="88" t="n"/>
      <c r="P1359" s="88" t="n"/>
      <c r="Q1359" s="88" t="n"/>
      <c r="R1359" s="89" t="n"/>
      <c r="S1359" s="88" t="n"/>
      <c r="T1359" s="88" t="n"/>
      <c r="U1359" s="88" t="n"/>
      <c r="V1359" s="89" t="n"/>
      <c r="W1359" s="88" t="n"/>
      <c r="X1359" s="89" t="n"/>
      <c r="Y1359" s="88" t="n"/>
      <c r="Z1359" s="89" t="n"/>
      <c r="AB1359" s="30">
        <f>IF($B1359="","",(COUNTIF(C1359:E1359,"?*")&lt;N(INDEX(Setup!$L$6:$L$23,2)))+(COUNTIF(G1359:I1359,"?*")&lt;N(INDEX(Setup!$L$6:$L$23,2)))+(COUNTIF(K1359:M1359,"?*")&lt;N(INDEX(Setup!$L$6:$L$23,2)))+(COUNTIF(O1359:Q1359,"?*")&lt;N(INDEX(Setup!$L$6:$L$23,2)))+(COUNTIF(S1359:U1359,"?*")&lt;N(INDEX(Setup!$L$6:$L$23,2)))+((W1359="")*(INDEX(Setup!$M$6:$M$23,2)="Y"))+((Y1359="")*(INDEX(Setup!$M$6:$M$23,2)="Y")))</f>
        <v/>
      </c>
      <c r="AC1359" s="91">
        <f>IF($B1359="","",IF(AB1359=0,"✓ covered","⚠ "&amp;AB1359&amp;IF(AB1359=1," gap"," gaps")))</f>
        <v/>
      </c>
    </row>
    <row r="1360" ht="17" customHeight="1">
      <c r="A1360" t="n">
        <v>28</v>
      </c>
      <c r="B1360" s="24">
        <f>IF(Setup!$K$8="","",Setup!$K$8)</f>
        <v/>
      </c>
      <c r="C1360" s="88" t="n"/>
      <c r="D1360" s="88" t="n"/>
      <c r="E1360" s="88" t="n"/>
      <c r="F1360" s="89" t="n"/>
      <c r="G1360" s="88" t="n"/>
      <c r="H1360" s="88" t="n"/>
      <c r="I1360" s="88" t="n"/>
      <c r="J1360" s="89" t="n"/>
      <c r="K1360" s="88" t="n"/>
      <c r="L1360" s="88" t="n"/>
      <c r="M1360" s="88" t="n"/>
      <c r="N1360" s="89" t="n"/>
      <c r="O1360" s="88" t="n"/>
      <c r="P1360" s="88" t="n"/>
      <c r="Q1360" s="88" t="n"/>
      <c r="R1360" s="89" t="n"/>
      <c r="S1360" s="88" t="n"/>
      <c r="T1360" s="88" t="n"/>
      <c r="U1360" s="88" t="n"/>
      <c r="V1360" s="89" t="n"/>
      <c r="W1360" s="88" t="n"/>
      <c r="X1360" s="89" t="n"/>
      <c r="Y1360" s="88" t="n"/>
      <c r="Z1360" s="89" t="n"/>
      <c r="AB1360" s="25">
        <f>IF($B1360="","",(COUNTIF(C1360:E1360,"?*")&lt;N(INDEX(Setup!$L$6:$L$23,3)))+(COUNTIF(G1360:I1360,"?*")&lt;N(INDEX(Setup!$L$6:$L$23,3)))+(COUNTIF(K1360:M1360,"?*")&lt;N(INDEX(Setup!$L$6:$L$23,3)))+(COUNTIF(O1360:Q1360,"?*")&lt;N(INDEX(Setup!$L$6:$L$23,3)))+(COUNTIF(S1360:U1360,"?*")&lt;N(INDEX(Setup!$L$6:$L$23,3)))+((W1360="")*(INDEX(Setup!$M$6:$M$23,3)="Y"))+((Y1360="")*(INDEX(Setup!$M$6:$M$23,3)="Y")))</f>
        <v/>
      </c>
      <c r="AC1360" s="90">
        <f>IF($B1360="","",IF(AB1360=0,"✓ covered","⚠ "&amp;AB1360&amp;IF(AB1360=1," gap"," gaps")))</f>
        <v/>
      </c>
    </row>
    <row r="1361" ht="17" customHeight="1">
      <c r="A1361" t="n">
        <v>28</v>
      </c>
      <c r="B1361" s="29">
        <f>IF(Setup!$K$9="","",Setup!$K$9)</f>
        <v/>
      </c>
      <c r="C1361" s="88" t="n"/>
      <c r="D1361" s="88" t="n"/>
      <c r="E1361" s="88" t="n"/>
      <c r="F1361" s="89" t="n"/>
      <c r="G1361" s="88" t="n"/>
      <c r="H1361" s="88" t="n"/>
      <c r="I1361" s="88" t="n"/>
      <c r="J1361" s="89" t="n"/>
      <c r="K1361" s="88" t="n"/>
      <c r="L1361" s="88" t="n"/>
      <c r="M1361" s="88" t="n"/>
      <c r="N1361" s="89" t="n"/>
      <c r="O1361" s="88" t="n"/>
      <c r="P1361" s="88" t="n"/>
      <c r="Q1361" s="88" t="n"/>
      <c r="R1361" s="89" t="n"/>
      <c r="S1361" s="88" t="n"/>
      <c r="T1361" s="88" t="n"/>
      <c r="U1361" s="88" t="n"/>
      <c r="V1361" s="89" t="n"/>
      <c r="W1361" s="88" t="n"/>
      <c r="X1361" s="89" t="n"/>
      <c r="Y1361" s="88" t="n"/>
      <c r="Z1361" s="89" t="n"/>
      <c r="AB1361" s="30">
        <f>IF($B1361="","",(COUNTIF(C1361:E1361,"?*")&lt;N(INDEX(Setup!$L$6:$L$23,4)))+(COUNTIF(G1361:I1361,"?*")&lt;N(INDEX(Setup!$L$6:$L$23,4)))+(COUNTIF(K1361:M1361,"?*")&lt;N(INDEX(Setup!$L$6:$L$23,4)))+(COUNTIF(O1361:Q1361,"?*")&lt;N(INDEX(Setup!$L$6:$L$23,4)))+(COUNTIF(S1361:U1361,"?*")&lt;N(INDEX(Setup!$L$6:$L$23,4)))+((W1361="")*(INDEX(Setup!$M$6:$M$23,4)="Y"))+((Y1361="")*(INDEX(Setup!$M$6:$M$23,4)="Y")))</f>
        <v/>
      </c>
      <c r="AC1361" s="91">
        <f>IF($B1361="","",IF(AB1361=0,"✓ covered","⚠ "&amp;AB1361&amp;IF(AB1361=1," gap"," gaps")))</f>
        <v/>
      </c>
    </row>
    <row r="1362" ht="17" customHeight="1">
      <c r="A1362" t="n">
        <v>28</v>
      </c>
      <c r="B1362" s="24">
        <f>IF(Setup!$K$10="","",Setup!$K$10)</f>
        <v/>
      </c>
      <c r="C1362" s="88" t="n"/>
      <c r="D1362" s="88" t="n"/>
      <c r="E1362" s="88" t="n"/>
      <c r="F1362" s="89" t="n"/>
      <c r="G1362" s="88" t="n"/>
      <c r="H1362" s="88" t="n"/>
      <c r="I1362" s="88" t="n"/>
      <c r="J1362" s="89" t="n"/>
      <c r="K1362" s="88" t="n"/>
      <c r="L1362" s="88" t="n"/>
      <c r="M1362" s="88" t="n"/>
      <c r="N1362" s="89" t="n"/>
      <c r="O1362" s="88" t="n"/>
      <c r="P1362" s="88" t="n"/>
      <c r="Q1362" s="88" t="n"/>
      <c r="R1362" s="89" t="n"/>
      <c r="S1362" s="88" t="n"/>
      <c r="T1362" s="88" t="n"/>
      <c r="U1362" s="88" t="n"/>
      <c r="V1362" s="89" t="n"/>
      <c r="W1362" s="88" t="n"/>
      <c r="X1362" s="89" t="n"/>
      <c r="Y1362" s="88" t="n"/>
      <c r="Z1362" s="89" t="n"/>
      <c r="AB1362" s="25">
        <f>IF($B1362="","",(COUNTIF(C1362:E1362,"?*")&lt;N(INDEX(Setup!$L$6:$L$23,5)))+(COUNTIF(G1362:I1362,"?*")&lt;N(INDEX(Setup!$L$6:$L$23,5)))+(COUNTIF(K1362:M1362,"?*")&lt;N(INDEX(Setup!$L$6:$L$23,5)))+(COUNTIF(O1362:Q1362,"?*")&lt;N(INDEX(Setup!$L$6:$L$23,5)))+(COUNTIF(S1362:U1362,"?*")&lt;N(INDEX(Setup!$L$6:$L$23,5)))+((W1362="")*(INDEX(Setup!$M$6:$M$23,5)="Y"))+((Y1362="")*(INDEX(Setup!$M$6:$M$23,5)="Y")))</f>
        <v/>
      </c>
      <c r="AC1362" s="90">
        <f>IF($B1362="","",IF(AB1362=0,"✓ covered","⚠ "&amp;AB1362&amp;IF(AB1362=1," gap"," gaps")))</f>
        <v/>
      </c>
    </row>
    <row r="1363" ht="17" customHeight="1">
      <c r="A1363" t="n">
        <v>28</v>
      </c>
      <c r="B1363" s="29">
        <f>IF(Setup!$K$11="","",Setup!$K$11)</f>
        <v/>
      </c>
      <c r="C1363" s="88" t="n"/>
      <c r="D1363" s="88" t="n"/>
      <c r="E1363" s="88" t="n"/>
      <c r="F1363" s="89" t="n"/>
      <c r="G1363" s="88" t="n"/>
      <c r="H1363" s="88" t="n"/>
      <c r="I1363" s="88" t="n"/>
      <c r="J1363" s="89" t="n"/>
      <c r="K1363" s="88" t="n"/>
      <c r="L1363" s="88" t="n"/>
      <c r="M1363" s="88" t="n"/>
      <c r="N1363" s="89" t="n"/>
      <c r="O1363" s="88" t="n"/>
      <c r="P1363" s="88" t="n"/>
      <c r="Q1363" s="88" t="n"/>
      <c r="R1363" s="89" t="n"/>
      <c r="S1363" s="88" t="n"/>
      <c r="T1363" s="88" t="n"/>
      <c r="U1363" s="88" t="n"/>
      <c r="V1363" s="89" t="n"/>
      <c r="W1363" s="88" t="n"/>
      <c r="X1363" s="89" t="n"/>
      <c r="Y1363" s="88" t="n"/>
      <c r="Z1363" s="89" t="n"/>
      <c r="AB1363" s="30">
        <f>IF($B1363="","",(COUNTIF(C1363:E1363,"?*")&lt;N(INDEX(Setup!$L$6:$L$23,6)))+(COUNTIF(G1363:I1363,"?*")&lt;N(INDEX(Setup!$L$6:$L$23,6)))+(COUNTIF(K1363:M1363,"?*")&lt;N(INDEX(Setup!$L$6:$L$23,6)))+(COUNTIF(O1363:Q1363,"?*")&lt;N(INDEX(Setup!$L$6:$L$23,6)))+(COUNTIF(S1363:U1363,"?*")&lt;N(INDEX(Setup!$L$6:$L$23,6)))+((W1363="")*(INDEX(Setup!$M$6:$M$23,6)="Y"))+((Y1363="")*(INDEX(Setup!$M$6:$M$23,6)="Y")))</f>
        <v/>
      </c>
      <c r="AC1363" s="91">
        <f>IF($B1363="","",IF(AB1363=0,"✓ covered","⚠ "&amp;AB1363&amp;IF(AB1363=1," gap"," gaps")))</f>
        <v/>
      </c>
    </row>
    <row r="1364" ht="17" customHeight="1">
      <c r="A1364" t="n">
        <v>28</v>
      </c>
      <c r="B1364" s="24">
        <f>IF(Setup!$K$12="","",Setup!$K$12)</f>
        <v/>
      </c>
      <c r="C1364" s="88" t="n"/>
      <c r="D1364" s="88" t="n"/>
      <c r="E1364" s="88" t="n"/>
      <c r="F1364" s="89" t="n"/>
      <c r="G1364" s="88" t="n"/>
      <c r="H1364" s="88" t="n"/>
      <c r="I1364" s="88" t="n"/>
      <c r="J1364" s="89" t="n"/>
      <c r="K1364" s="88" t="n"/>
      <c r="L1364" s="88" t="n"/>
      <c r="M1364" s="88" t="n"/>
      <c r="N1364" s="89" t="n"/>
      <c r="O1364" s="88" t="n"/>
      <c r="P1364" s="88" t="n"/>
      <c r="Q1364" s="88" t="n"/>
      <c r="R1364" s="89" t="n"/>
      <c r="S1364" s="88" t="n"/>
      <c r="T1364" s="88" t="n"/>
      <c r="U1364" s="88" t="n"/>
      <c r="V1364" s="89" t="n"/>
      <c r="W1364" s="88" t="n"/>
      <c r="X1364" s="89" t="n"/>
      <c r="Y1364" s="88" t="n"/>
      <c r="Z1364" s="89" t="n"/>
      <c r="AB1364" s="25">
        <f>IF($B1364="","",(COUNTIF(C1364:E1364,"?*")&lt;N(INDEX(Setup!$L$6:$L$23,7)))+(COUNTIF(G1364:I1364,"?*")&lt;N(INDEX(Setup!$L$6:$L$23,7)))+(COUNTIF(K1364:M1364,"?*")&lt;N(INDEX(Setup!$L$6:$L$23,7)))+(COUNTIF(O1364:Q1364,"?*")&lt;N(INDEX(Setup!$L$6:$L$23,7)))+(COUNTIF(S1364:U1364,"?*")&lt;N(INDEX(Setup!$L$6:$L$23,7)))+((W1364="")*(INDEX(Setup!$M$6:$M$23,7)="Y"))+((Y1364="")*(INDEX(Setup!$M$6:$M$23,7)="Y")))</f>
        <v/>
      </c>
      <c r="AC1364" s="90">
        <f>IF($B1364="","",IF(AB1364=0,"✓ covered","⚠ "&amp;AB1364&amp;IF(AB1364=1," gap"," gaps")))</f>
        <v/>
      </c>
    </row>
    <row r="1365" ht="17" customHeight="1">
      <c r="A1365" t="n">
        <v>28</v>
      </c>
      <c r="B1365" s="29">
        <f>IF(Setup!$K$13="","",Setup!$K$13)</f>
        <v/>
      </c>
      <c r="C1365" s="88" t="n"/>
      <c r="D1365" s="88" t="n"/>
      <c r="E1365" s="88" t="n"/>
      <c r="F1365" s="89" t="n"/>
      <c r="G1365" s="88" t="n"/>
      <c r="H1365" s="88" t="n"/>
      <c r="I1365" s="88" t="n"/>
      <c r="J1365" s="89" t="n"/>
      <c r="K1365" s="88" t="n"/>
      <c r="L1365" s="88" t="n"/>
      <c r="M1365" s="88" t="n"/>
      <c r="N1365" s="89" t="n"/>
      <c r="O1365" s="88" t="n"/>
      <c r="P1365" s="88" t="n"/>
      <c r="Q1365" s="88" t="n"/>
      <c r="R1365" s="89" t="n"/>
      <c r="S1365" s="88" t="n"/>
      <c r="T1365" s="88" t="n"/>
      <c r="U1365" s="88" t="n"/>
      <c r="V1365" s="89" t="n"/>
      <c r="W1365" s="88" t="n"/>
      <c r="X1365" s="89" t="n"/>
      <c r="Y1365" s="88" t="n"/>
      <c r="Z1365" s="89" t="n"/>
      <c r="AB1365" s="30">
        <f>IF($B1365="","",(COUNTIF(C1365:E1365,"?*")&lt;N(INDEX(Setup!$L$6:$L$23,8)))+(COUNTIF(G1365:I1365,"?*")&lt;N(INDEX(Setup!$L$6:$L$23,8)))+(COUNTIF(K1365:M1365,"?*")&lt;N(INDEX(Setup!$L$6:$L$23,8)))+(COUNTIF(O1365:Q1365,"?*")&lt;N(INDEX(Setup!$L$6:$L$23,8)))+(COUNTIF(S1365:U1365,"?*")&lt;N(INDEX(Setup!$L$6:$L$23,8)))+((W1365="")*(INDEX(Setup!$M$6:$M$23,8)="Y"))+((Y1365="")*(INDEX(Setup!$M$6:$M$23,8)="Y")))</f>
        <v/>
      </c>
      <c r="AC1365" s="91">
        <f>IF($B1365="","",IF(AB1365=0,"✓ covered","⚠ "&amp;AB1365&amp;IF(AB1365=1," gap"," gaps")))</f>
        <v/>
      </c>
    </row>
    <row r="1366" ht="17" customHeight="1">
      <c r="A1366" t="n">
        <v>28</v>
      </c>
      <c r="B1366" s="24">
        <f>IF(Setup!$K$14="","",Setup!$K$14)</f>
        <v/>
      </c>
      <c r="C1366" s="88" t="n"/>
      <c r="D1366" s="88" t="n"/>
      <c r="E1366" s="88" t="n"/>
      <c r="F1366" s="89" t="n"/>
      <c r="G1366" s="88" t="n"/>
      <c r="H1366" s="88" t="n"/>
      <c r="I1366" s="88" t="n"/>
      <c r="J1366" s="89" t="n"/>
      <c r="K1366" s="88" t="n"/>
      <c r="L1366" s="88" t="n"/>
      <c r="M1366" s="88" t="n"/>
      <c r="N1366" s="89" t="n"/>
      <c r="O1366" s="88" t="n"/>
      <c r="P1366" s="88" t="n"/>
      <c r="Q1366" s="88" t="n"/>
      <c r="R1366" s="89" t="n"/>
      <c r="S1366" s="88" t="n"/>
      <c r="T1366" s="88" t="n"/>
      <c r="U1366" s="88" t="n"/>
      <c r="V1366" s="89" t="n"/>
      <c r="W1366" s="88" t="n"/>
      <c r="X1366" s="89" t="n"/>
      <c r="Y1366" s="88" t="n"/>
      <c r="Z1366" s="89" t="n"/>
      <c r="AB1366" s="25">
        <f>IF($B1366="","",(COUNTIF(C1366:E1366,"?*")&lt;N(INDEX(Setup!$L$6:$L$23,9)))+(COUNTIF(G1366:I1366,"?*")&lt;N(INDEX(Setup!$L$6:$L$23,9)))+(COUNTIF(K1366:M1366,"?*")&lt;N(INDEX(Setup!$L$6:$L$23,9)))+(COUNTIF(O1366:Q1366,"?*")&lt;N(INDEX(Setup!$L$6:$L$23,9)))+(COUNTIF(S1366:U1366,"?*")&lt;N(INDEX(Setup!$L$6:$L$23,9)))+((W1366="")*(INDEX(Setup!$M$6:$M$23,9)="Y"))+((Y1366="")*(INDEX(Setup!$M$6:$M$23,9)="Y")))</f>
        <v/>
      </c>
      <c r="AC1366" s="90">
        <f>IF($B1366="","",IF(AB1366=0,"✓ covered","⚠ "&amp;AB1366&amp;IF(AB1366=1," gap"," gaps")))</f>
        <v/>
      </c>
    </row>
    <row r="1367" ht="17" customHeight="1">
      <c r="A1367" t="n">
        <v>28</v>
      </c>
      <c r="B1367" s="29">
        <f>IF(Setup!$K$15="","",Setup!$K$15)</f>
        <v/>
      </c>
      <c r="C1367" s="88" t="n"/>
      <c r="D1367" s="88" t="n"/>
      <c r="E1367" s="88" t="n"/>
      <c r="F1367" s="89" t="n"/>
      <c r="G1367" s="88" t="n"/>
      <c r="H1367" s="88" t="n"/>
      <c r="I1367" s="88" t="n"/>
      <c r="J1367" s="89" t="n"/>
      <c r="K1367" s="88" t="n"/>
      <c r="L1367" s="88" t="n"/>
      <c r="M1367" s="88" t="n"/>
      <c r="N1367" s="89" t="n"/>
      <c r="O1367" s="88" t="n"/>
      <c r="P1367" s="88" t="n"/>
      <c r="Q1367" s="88" t="n"/>
      <c r="R1367" s="89" t="n"/>
      <c r="S1367" s="88" t="n"/>
      <c r="T1367" s="88" t="n"/>
      <c r="U1367" s="88" t="n"/>
      <c r="V1367" s="89" t="n"/>
      <c r="W1367" s="88" t="n"/>
      <c r="X1367" s="89" t="n"/>
      <c r="Y1367" s="88" t="n"/>
      <c r="Z1367" s="89" t="n"/>
      <c r="AB1367" s="30">
        <f>IF($B1367="","",(COUNTIF(C1367:E1367,"?*")&lt;N(INDEX(Setup!$L$6:$L$23,10)))+(COUNTIF(G1367:I1367,"?*")&lt;N(INDEX(Setup!$L$6:$L$23,10)))+(COUNTIF(K1367:M1367,"?*")&lt;N(INDEX(Setup!$L$6:$L$23,10)))+(COUNTIF(O1367:Q1367,"?*")&lt;N(INDEX(Setup!$L$6:$L$23,10)))+(COUNTIF(S1367:U1367,"?*")&lt;N(INDEX(Setup!$L$6:$L$23,10)))+((W1367="")*(INDEX(Setup!$M$6:$M$23,10)="Y"))+((Y1367="")*(INDEX(Setup!$M$6:$M$23,10)="Y")))</f>
        <v/>
      </c>
      <c r="AC1367" s="91">
        <f>IF($B1367="","",IF(AB1367=0,"✓ covered","⚠ "&amp;AB1367&amp;IF(AB1367=1," gap"," gaps")))</f>
        <v/>
      </c>
    </row>
    <row r="1368" ht="17" customHeight="1">
      <c r="A1368" t="n">
        <v>28</v>
      </c>
      <c r="B1368" s="24">
        <f>IF(Setup!$K$16="","",Setup!$K$16)</f>
        <v/>
      </c>
      <c r="C1368" s="88" t="n"/>
      <c r="D1368" s="88" t="n"/>
      <c r="E1368" s="88" t="n"/>
      <c r="F1368" s="89" t="n"/>
      <c r="G1368" s="88" t="n"/>
      <c r="H1368" s="88" t="n"/>
      <c r="I1368" s="88" t="n"/>
      <c r="J1368" s="89" t="n"/>
      <c r="K1368" s="88" t="n"/>
      <c r="L1368" s="88" t="n"/>
      <c r="M1368" s="88" t="n"/>
      <c r="N1368" s="89" t="n"/>
      <c r="O1368" s="88" t="n"/>
      <c r="P1368" s="88" t="n"/>
      <c r="Q1368" s="88" t="n"/>
      <c r="R1368" s="89" t="n"/>
      <c r="S1368" s="88" t="n"/>
      <c r="T1368" s="88" t="n"/>
      <c r="U1368" s="88" t="n"/>
      <c r="V1368" s="89" t="n"/>
      <c r="W1368" s="88" t="n"/>
      <c r="X1368" s="89" t="n"/>
      <c r="Y1368" s="88" t="n"/>
      <c r="Z1368" s="89" t="n"/>
      <c r="AB1368" s="25">
        <f>IF($B1368="","",(COUNTIF(C1368:E1368,"?*")&lt;N(INDEX(Setup!$L$6:$L$23,11)))+(COUNTIF(G1368:I1368,"?*")&lt;N(INDEX(Setup!$L$6:$L$23,11)))+(COUNTIF(K1368:M1368,"?*")&lt;N(INDEX(Setup!$L$6:$L$23,11)))+(COUNTIF(O1368:Q1368,"?*")&lt;N(INDEX(Setup!$L$6:$L$23,11)))+(COUNTIF(S1368:U1368,"?*")&lt;N(INDEX(Setup!$L$6:$L$23,11)))+((W1368="")*(INDEX(Setup!$M$6:$M$23,11)="Y"))+((Y1368="")*(INDEX(Setup!$M$6:$M$23,11)="Y")))</f>
        <v/>
      </c>
      <c r="AC1368" s="90">
        <f>IF($B1368="","",IF(AB1368=0,"✓ covered","⚠ "&amp;AB1368&amp;IF(AB1368=1," gap"," gaps")))</f>
        <v/>
      </c>
    </row>
    <row r="1369" ht="17" customHeight="1">
      <c r="A1369" t="n">
        <v>28</v>
      </c>
      <c r="B1369" s="29">
        <f>IF(Setup!$K$17="","",Setup!$K$17)</f>
        <v/>
      </c>
      <c r="C1369" s="88" t="n"/>
      <c r="D1369" s="88" t="n"/>
      <c r="E1369" s="88" t="n"/>
      <c r="F1369" s="89" t="n"/>
      <c r="G1369" s="88" t="n"/>
      <c r="H1369" s="88" t="n"/>
      <c r="I1369" s="88" t="n"/>
      <c r="J1369" s="89" t="n"/>
      <c r="K1369" s="88" t="n"/>
      <c r="L1369" s="88" t="n"/>
      <c r="M1369" s="88" t="n"/>
      <c r="N1369" s="89" t="n"/>
      <c r="O1369" s="88" t="n"/>
      <c r="P1369" s="88" t="n"/>
      <c r="Q1369" s="88" t="n"/>
      <c r="R1369" s="89" t="n"/>
      <c r="S1369" s="88" t="n"/>
      <c r="T1369" s="88" t="n"/>
      <c r="U1369" s="88" t="n"/>
      <c r="V1369" s="89" t="n"/>
      <c r="W1369" s="88" t="n"/>
      <c r="X1369" s="89" t="n"/>
      <c r="Y1369" s="88" t="n"/>
      <c r="Z1369" s="89" t="n"/>
      <c r="AB1369" s="30">
        <f>IF($B1369="","",(COUNTIF(C1369:E1369,"?*")&lt;N(INDEX(Setup!$L$6:$L$23,12)))+(COUNTIF(G1369:I1369,"?*")&lt;N(INDEX(Setup!$L$6:$L$23,12)))+(COUNTIF(K1369:M1369,"?*")&lt;N(INDEX(Setup!$L$6:$L$23,12)))+(COUNTIF(O1369:Q1369,"?*")&lt;N(INDEX(Setup!$L$6:$L$23,12)))+(COUNTIF(S1369:U1369,"?*")&lt;N(INDEX(Setup!$L$6:$L$23,12)))+((W1369="")*(INDEX(Setup!$M$6:$M$23,12)="Y"))+((Y1369="")*(INDEX(Setup!$M$6:$M$23,12)="Y")))</f>
        <v/>
      </c>
      <c r="AC1369" s="91">
        <f>IF($B1369="","",IF(AB1369=0,"✓ covered","⚠ "&amp;AB1369&amp;IF(AB1369=1," gap"," gaps")))</f>
        <v/>
      </c>
    </row>
    <row r="1370" ht="17" customHeight="1">
      <c r="A1370" t="n">
        <v>28</v>
      </c>
      <c r="B1370" s="24">
        <f>IF(Setup!$K$18="","",Setup!$K$18)</f>
        <v/>
      </c>
      <c r="C1370" s="88" t="n"/>
      <c r="D1370" s="88" t="n"/>
      <c r="E1370" s="88" t="n"/>
      <c r="F1370" s="89" t="n"/>
      <c r="G1370" s="88" t="n"/>
      <c r="H1370" s="88" t="n"/>
      <c r="I1370" s="88" t="n"/>
      <c r="J1370" s="89" t="n"/>
      <c r="K1370" s="88" t="n"/>
      <c r="L1370" s="88" t="n"/>
      <c r="M1370" s="88" t="n"/>
      <c r="N1370" s="89" t="n"/>
      <c r="O1370" s="88" t="n"/>
      <c r="P1370" s="88" t="n"/>
      <c r="Q1370" s="88" t="n"/>
      <c r="R1370" s="89" t="n"/>
      <c r="S1370" s="88" t="n"/>
      <c r="T1370" s="88" t="n"/>
      <c r="U1370" s="88" t="n"/>
      <c r="V1370" s="89" t="n"/>
      <c r="W1370" s="88" t="n"/>
      <c r="X1370" s="89" t="n"/>
      <c r="Y1370" s="88" t="n"/>
      <c r="Z1370" s="89" t="n"/>
      <c r="AB1370" s="25">
        <f>IF($B1370="","",(COUNTIF(C1370:E1370,"?*")&lt;N(INDEX(Setup!$L$6:$L$23,13)))+(COUNTIF(G1370:I1370,"?*")&lt;N(INDEX(Setup!$L$6:$L$23,13)))+(COUNTIF(K1370:M1370,"?*")&lt;N(INDEX(Setup!$L$6:$L$23,13)))+(COUNTIF(O1370:Q1370,"?*")&lt;N(INDEX(Setup!$L$6:$L$23,13)))+(COUNTIF(S1370:U1370,"?*")&lt;N(INDEX(Setup!$L$6:$L$23,13)))+((W1370="")*(INDEX(Setup!$M$6:$M$23,13)="Y"))+((Y1370="")*(INDEX(Setup!$M$6:$M$23,13)="Y")))</f>
        <v/>
      </c>
      <c r="AC1370" s="90">
        <f>IF($B1370="","",IF(AB1370=0,"✓ covered","⚠ "&amp;AB1370&amp;IF(AB1370=1," gap"," gaps")))</f>
        <v/>
      </c>
    </row>
    <row r="1371" ht="17" customHeight="1">
      <c r="A1371" t="n">
        <v>28</v>
      </c>
      <c r="B1371" s="29">
        <f>IF(Setup!$K$19="","",Setup!$K$19)</f>
        <v/>
      </c>
      <c r="C1371" s="88" t="n"/>
      <c r="D1371" s="88" t="n"/>
      <c r="E1371" s="88" t="n"/>
      <c r="F1371" s="89" t="n"/>
      <c r="G1371" s="88" t="n"/>
      <c r="H1371" s="88" t="n"/>
      <c r="I1371" s="88" t="n"/>
      <c r="J1371" s="89" t="n"/>
      <c r="K1371" s="88" t="n"/>
      <c r="L1371" s="88" t="n"/>
      <c r="M1371" s="88" t="n"/>
      <c r="N1371" s="89" t="n"/>
      <c r="O1371" s="88" t="n"/>
      <c r="P1371" s="88" t="n"/>
      <c r="Q1371" s="88" t="n"/>
      <c r="R1371" s="89" t="n"/>
      <c r="S1371" s="88" t="n"/>
      <c r="T1371" s="88" t="n"/>
      <c r="U1371" s="88" t="n"/>
      <c r="V1371" s="89" t="n"/>
      <c r="W1371" s="88" t="n"/>
      <c r="X1371" s="89" t="n"/>
      <c r="Y1371" s="88" t="n"/>
      <c r="Z1371" s="89" t="n"/>
      <c r="AB1371" s="30">
        <f>IF($B1371="","",(COUNTIF(C1371:E1371,"?*")&lt;N(INDEX(Setup!$L$6:$L$23,14)))+(COUNTIF(G1371:I1371,"?*")&lt;N(INDEX(Setup!$L$6:$L$23,14)))+(COUNTIF(K1371:M1371,"?*")&lt;N(INDEX(Setup!$L$6:$L$23,14)))+(COUNTIF(O1371:Q1371,"?*")&lt;N(INDEX(Setup!$L$6:$L$23,14)))+(COUNTIF(S1371:U1371,"?*")&lt;N(INDEX(Setup!$L$6:$L$23,14)))+((W1371="")*(INDEX(Setup!$M$6:$M$23,14)="Y"))+((Y1371="")*(INDEX(Setup!$M$6:$M$23,14)="Y")))</f>
        <v/>
      </c>
      <c r="AC1371" s="91">
        <f>IF($B1371="","",IF(AB1371=0,"✓ covered","⚠ "&amp;AB1371&amp;IF(AB1371=1," gap"," gaps")))</f>
        <v/>
      </c>
    </row>
    <row r="1372" ht="17" customHeight="1">
      <c r="A1372" t="n">
        <v>28</v>
      </c>
      <c r="B1372" s="24">
        <f>IF(Setup!$K$20="","",Setup!$K$20)</f>
        <v/>
      </c>
      <c r="C1372" s="88" t="n"/>
      <c r="D1372" s="88" t="n"/>
      <c r="E1372" s="88" t="n"/>
      <c r="F1372" s="89" t="n"/>
      <c r="G1372" s="88" t="n"/>
      <c r="H1372" s="88" t="n"/>
      <c r="I1372" s="88" t="n"/>
      <c r="J1372" s="89" t="n"/>
      <c r="K1372" s="88" t="n"/>
      <c r="L1372" s="88" t="n"/>
      <c r="M1372" s="88" t="n"/>
      <c r="N1372" s="89" t="n"/>
      <c r="O1372" s="88" t="n"/>
      <c r="P1372" s="88" t="n"/>
      <c r="Q1372" s="88" t="n"/>
      <c r="R1372" s="89" t="n"/>
      <c r="S1372" s="88" t="n"/>
      <c r="T1372" s="88" t="n"/>
      <c r="U1372" s="88" t="n"/>
      <c r="V1372" s="89" t="n"/>
      <c r="W1372" s="88" t="n"/>
      <c r="X1372" s="89" t="n"/>
      <c r="Y1372" s="88" t="n"/>
      <c r="Z1372" s="89" t="n"/>
      <c r="AB1372" s="25">
        <f>IF($B1372="","",(COUNTIF(C1372:E1372,"?*")&lt;N(INDEX(Setup!$L$6:$L$23,15)))+(COUNTIF(G1372:I1372,"?*")&lt;N(INDEX(Setup!$L$6:$L$23,15)))+(COUNTIF(K1372:M1372,"?*")&lt;N(INDEX(Setup!$L$6:$L$23,15)))+(COUNTIF(O1372:Q1372,"?*")&lt;N(INDEX(Setup!$L$6:$L$23,15)))+(COUNTIF(S1372:U1372,"?*")&lt;N(INDEX(Setup!$L$6:$L$23,15)))+((W1372="")*(INDEX(Setup!$M$6:$M$23,15)="Y"))+((Y1372="")*(INDEX(Setup!$M$6:$M$23,15)="Y")))</f>
        <v/>
      </c>
      <c r="AC1372" s="90">
        <f>IF($B1372="","",IF(AB1372=0,"✓ covered","⚠ "&amp;AB1372&amp;IF(AB1372=1," gap"," gaps")))</f>
        <v/>
      </c>
    </row>
    <row r="1373" ht="17" customHeight="1">
      <c r="A1373" t="n">
        <v>28</v>
      </c>
      <c r="B1373" s="29">
        <f>IF(Setup!$K$21="","",Setup!$K$21)</f>
        <v/>
      </c>
      <c r="C1373" s="88" t="n"/>
      <c r="D1373" s="88" t="n"/>
      <c r="E1373" s="88" t="n"/>
      <c r="F1373" s="89" t="n"/>
      <c r="G1373" s="88" t="n"/>
      <c r="H1373" s="88" t="n"/>
      <c r="I1373" s="88" t="n"/>
      <c r="J1373" s="89" t="n"/>
      <c r="K1373" s="88" t="n"/>
      <c r="L1373" s="88" t="n"/>
      <c r="M1373" s="88" t="n"/>
      <c r="N1373" s="89" t="n"/>
      <c r="O1373" s="88" t="n"/>
      <c r="P1373" s="88" t="n"/>
      <c r="Q1373" s="88" t="n"/>
      <c r="R1373" s="89" t="n"/>
      <c r="S1373" s="88" t="n"/>
      <c r="T1373" s="88" t="n"/>
      <c r="U1373" s="88" t="n"/>
      <c r="V1373" s="89" t="n"/>
      <c r="W1373" s="88" t="n"/>
      <c r="X1373" s="89" t="n"/>
      <c r="Y1373" s="88" t="n"/>
      <c r="Z1373" s="89" t="n"/>
      <c r="AB1373" s="30">
        <f>IF($B1373="","",(COUNTIF(C1373:E1373,"?*")&lt;N(INDEX(Setup!$L$6:$L$23,16)))+(COUNTIF(G1373:I1373,"?*")&lt;N(INDEX(Setup!$L$6:$L$23,16)))+(COUNTIF(K1373:M1373,"?*")&lt;N(INDEX(Setup!$L$6:$L$23,16)))+(COUNTIF(O1373:Q1373,"?*")&lt;N(INDEX(Setup!$L$6:$L$23,16)))+(COUNTIF(S1373:U1373,"?*")&lt;N(INDEX(Setup!$L$6:$L$23,16)))+((W1373="")*(INDEX(Setup!$M$6:$M$23,16)="Y"))+((Y1373="")*(INDEX(Setup!$M$6:$M$23,16)="Y")))</f>
        <v/>
      </c>
      <c r="AC1373" s="91">
        <f>IF($B1373="","",IF(AB1373=0,"✓ covered","⚠ "&amp;AB1373&amp;IF(AB1373=1," gap"," gaps")))</f>
        <v/>
      </c>
    </row>
    <row r="1374" ht="17" customHeight="1">
      <c r="A1374" t="n">
        <v>28</v>
      </c>
      <c r="B1374" s="24">
        <f>IF(Setup!$K$22="","",Setup!$K$22)</f>
        <v/>
      </c>
      <c r="C1374" s="88" t="n"/>
      <c r="D1374" s="88" t="n"/>
      <c r="E1374" s="88" t="n"/>
      <c r="F1374" s="89" t="n"/>
      <c r="G1374" s="88" t="n"/>
      <c r="H1374" s="88" t="n"/>
      <c r="I1374" s="88" t="n"/>
      <c r="J1374" s="89" t="n"/>
      <c r="K1374" s="88" t="n"/>
      <c r="L1374" s="88" t="n"/>
      <c r="M1374" s="88" t="n"/>
      <c r="N1374" s="89" t="n"/>
      <c r="O1374" s="88" t="n"/>
      <c r="P1374" s="88" t="n"/>
      <c r="Q1374" s="88" t="n"/>
      <c r="R1374" s="89" t="n"/>
      <c r="S1374" s="88" t="n"/>
      <c r="T1374" s="88" t="n"/>
      <c r="U1374" s="88" t="n"/>
      <c r="V1374" s="89" t="n"/>
      <c r="W1374" s="88" t="n"/>
      <c r="X1374" s="89" t="n"/>
      <c r="Y1374" s="88" t="n"/>
      <c r="Z1374" s="89" t="n"/>
      <c r="AB1374" s="25">
        <f>IF($B1374="","",(COUNTIF(C1374:E1374,"?*")&lt;N(INDEX(Setup!$L$6:$L$23,17)))+(COUNTIF(G1374:I1374,"?*")&lt;N(INDEX(Setup!$L$6:$L$23,17)))+(COUNTIF(K1374:M1374,"?*")&lt;N(INDEX(Setup!$L$6:$L$23,17)))+(COUNTIF(O1374:Q1374,"?*")&lt;N(INDEX(Setup!$L$6:$L$23,17)))+(COUNTIF(S1374:U1374,"?*")&lt;N(INDEX(Setup!$L$6:$L$23,17)))+((W1374="")*(INDEX(Setup!$M$6:$M$23,17)="Y"))+((Y1374="")*(INDEX(Setup!$M$6:$M$23,17)="Y")))</f>
        <v/>
      </c>
      <c r="AC1374" s="90">
        <f>IF($B1374="","",IF(AB1374=0,"✓ covered","⚠ "&amp;AB1374&amp;IF(AB1374=1," gap"," gaps")))</f>
        <v/>
      </c>
    </row>
    <row r="1375" ht="17" customHeight="1">
      <c r="A1375" t="n">
        <v>28</v>
      </c>
      <c r="B1375" s="29">
        <f>IF(Setup!$K$23="","",Setup!$K$23)</f>
        <v/>
      </c>
      <c r="C1375" s="88" t="n"/>
      <c r="D1375" s="88" t="n"/>
      <c r="E1375" s="88" t="n"/>
      <c r="F1375" s="89" t="n"/>
      <c r="G1375" s="88" t="n"/>
      <c r="H1375" s="88" t="n"/>
      <c r="I1375" s="88" t="n"/>
      <c r="J1375" s="89" t="n"/>
      <c r="K1375" s="88" t="n"/>
      <c r="L1375" s="88" t="n"/>
      <c r="M1375" s="88" t="n"/>
      <c r="N1375" s="89" t="n"/>
      <c r="O1375" s="88" t="n"/>
      <c r="P1375" s="88" t="n"/>
      <c r="Q1375" s="88" t="n"/>
      <c r="R1375" s="89" t="n"/>
      <c r="S1375" s="88" t="n"/>
      <c r="T1375" s="88" t="n"/>
      <c r="U1375" s="88" t="n"/>
      <c r="V1375" s="89" t="n"/>
      <c r="W1375" s="88" t="n"/>
      <c r="X1375" s="89" t="n"/>
      <c r="Y1375" s="88" t="n"/>
      <c r="Z1375" s="89" t="n"/>
      <c r="AB1375" s="30">
        <f>IF($B1375="","",(COUNTIF(C1375:E1375,"?*")&lt;N(INDEX(Setup!$L$6:$L$23,18)))+(COUNTIF(G1375:I1375,"?*")&lt;N(INDEX(Setup!$L$6:$L$23,18)))+(COUNTIF(K1375:M1375,"?*")&lt;N(INDEX(Setup!$L$6:$L$23,18)))+(COUNTIF(O1375:Q1375,"?*")&lt;N(INDEX(Setup!$L$6:$L$23,18)))+(COUNTIF(S1375:U1375,"?*")&lt;N(INDEX(Setup!$L$6:$L$23,18)))+((W1375="")*(INDEX(Setup!$M$6:$M$23,18)="Y"))+((Y1375="")*(INDEX(Setup!$M$6:$M$23,18)="Y")))</f>
        <v/>
      </c>
      <c r="AC1375" s="91">
        <f>IF($B1375="","",IF(AB1375=0,"✓ covered","⚠ "&amp;AB1375&amp;IF(AB1375=1," gap"," gaps")))</f>
        <v/>
      </c>
    </row>
    <row r="1376" ht="18" customHeight="1">
      <c r="A1376" t="n">
        <v>28</v>
      </c>
      <c r="B1376" s="78" t="inlineStr">
        <is>
          <t>TEAM AVAILABILITY</t>
        </is>
      </c>
      <c r="C1376" s="92" t="inlineStr">
        <is>
          <t>Mon</t>
        </is>
      </c>
      <c r="D1376" s="93" t="n"/>
      <c r="E1376" s="93" t="n"/>
      <c r="F1376" s="94" t="n"/>
      <c r="G1376" s="92" t="inlineStr">
        <is>
          <t>Tue</t>
        </is>
      </c>
      <c r="H1376" s="93" t="n"/>
      <c r="I1376" s="93" t="n"/>
      <c r="J1376" s="94" t="n"/>
      <c r="K1376" s="92" t="inlineStr">
        <is>
          <t>Wed</t>
        </is>
      </c>
      <c r="L1376" s="93" t="n"/>
      <c r="M1376" s="93" t="n"/>
      <c r="N1376" s="94" t="n"/>
      <c r="O1376" s="92" t="inlineStr">
        <is>
          <t>Thu</t>
        </is>
      </c>
      <c r="P1376" s="93" t="n"/>
      <c r="Q1376" s="93" t="n"/>
      <c r="R1376" s="94" t="n"/>
      <c r="S1376" s="92" t="inlineStr">
        <is>
          <t>Fri</t>
        </is>
      </c>
      <c r="T1376" s="93" t="n"/>
      <c r="U1376" s="93" t="n"/>
      <c r="V1376" s="94" t="n"/>
      <c r="W1376" s="95" t="inlineStr">
        <is>
          <t>Sat</t>
        </is>
      </c>
      <c r="X1376" s="96" t="n"/>
      <c r="Y1376" s="95" t="inlineStr">
        <is>
          <t>Sun</t>
        </is>
      </c>
      <c r="Z1376" s="96" t="n"/>
      <c r="AB1376" s="97" t="inlineStr">
        <is>
          <t>Days rostered</t>
        </is>
      </c>
      <c r="AC1376" s="97" t="inlineStr">
        <is>
          <t>Conflicts</t>
        </is>
      </c>
    </row>
    <row r="1377" ht="15" customHeight="1">
      <c r="A1377" t="n">
        <v>28</v>
      </c>
      <c r="B1377" s="35">
        <f>IF(Setup!$B$6="","",Setup!$B$6)</f>
        <v/>
      </c>
      <c r="C1377" s="98" t="n"/>
      <c r="D1377" s="99" t="n"/>
      <c r="E1377" s="99" t="n"/>
      <c r="F1377" s="100" t="n"/>
      <c r="G1377" s="98" t="n"/>
      <c r="H1377" s="99" t="n"/>
      <c r="I1377" s="99" t="n"/>
      <c r="J1377" s="100" t="n"/>
      <c r="K1377" s="98" t="n"/>
      <c r="L1377" s="99" t="n"/>
      <c r="M1377" s="99" t="n"/>
      <c r="N1377" s="100" t="n"/>
      <c r="O1377" s="98" t="n"/>
      <c r="P1377" s="99" t="n"/>
      <c r="Q1377" s="99" t="n"/>
      <c r="R1377" s="100" t="n"/>
      <c r="S1377" s="98" t="n"/>
      <c r="T1377" s="99" t="n"/>
      <c r="U1377" s="99" t="n"/>
      <c r="V1377" s="100" t="n"/>
      <c r="W1377" s="98" t="n"/>
      <c r="X1377" s="100" t="n"/>
      <c r="Y1377" s="98" t="n"/>
      <c r="Z1377" s="100" t="n"/>
      <c r="AB1377" s="101">
        <f>IF($B1377="","",(COUNTIF(C1358:E1375,$B1377)+COUNTIF(C1358:E1375,$B1377&amp;" ~*")&gt;0)+(COUNTIF(G1358:I1375,$B1377)+COUNTIF(G1358:I1375,$B1377&amp;" ~*")&gt;0)+(COUNTIF(K1358:M1375,$B1377)+COUNTIF(K1358:M1375,$B1377&amp;" ~*")&gt;0)+(COUNTIF(O1358:Q1375,$B1377)+COUNTIF(O1358:Q1375,$B1377&amp;" ~*")&gt;0)+(COUNTIF(S1358:U1375,$B1377)+COUNTIF(S1358:U1375,$B1377&amp;" ~*")&gt;0)+(COUNTIF(W1358:W1375,$B1377)+COUNTIF(W1358:W1375,$B1377&amp;" ~*")&gt;0)+(COUNTIF(Y1358:Y1375,$B1377)+COUNTIF(Y1358:Y1375,$B1377&amp;" ~*")&gt;0))</f>
        <v/>
      </c>
      <c r="AC1377" s="36">
        <f>IF($B1377="","",(IFERROR(INDEX(Setup!$G$33:$G$40,MATCH(C1377,Setup!$B$33:$B$40,0)),0)=1)*(COUNTIF(C1358:E1375,$B1377)+COUNTIF(C1358:E1375,$B1377&amp;" ~*")&gt;0)+(IFERROR(INDEX(Setup!$G$33:$G$40,MATCH(G1377,Setup!$B$33:$B$40,0)),0)=1)*(COUNTIF(G1358:I1375,$B1377)+COUNTIF(G1358:I1375,$B1377&amp;" ~*")&gt;0)+(IFERROR(INDEX(Setup!$G$33:$G$40,MATCH(K1377,Setup!$B$33:$B$40,0)),0)=1)*(COUNTIF(K1358:M1375,$B1377)+COUNTIF(K1358:M1375,$B1377&amp;" ~*")&gt;0)+(IFERROR(INDEX(Setup!$G$33:$G$40,MATCH(O1377,Setup!$B$33:$B$40,0)),0)=1)*(COUNTIF(O1358:Q1375,$B1377)+COUNTIF(O1358:Q1375,$B1377&amp;" ~*")&gt;0)+(IFERROR(INDEX(Setup!$G$33:$G$40,MATCH(S1377,Setup!$B$33:$B$40,0)),0)=1)*(COUNTIF(S1358:U1375,$B1377)+COUNTIF(S1358:U1375,$B1377&amp;" ~*")&gt;0)+(IFERROR(INDEX(Setup!$G$33:$G$40,MATCH(W1377,Setup!$B$33:$B$40,0)),0)=1)*(COUNTIF(W1358:W1375,$B1377)+COUNTIF(W1358:W1375,$B1377&amp;" ~*")&gt;0)+(IFERROR(INDEX(Setup!$G$33:$G$40,MATCH(Y1377,Setup!$B$33:$B$40,0)),0)=1)*(COUNTIF(Y1358:Y1375,$B1377)+COUNTIF(Y1358:Y1375,$B1377&amp;" ~*")&gt;0))</f>
        <v/>
      </c>
    </row>
    <row r="1378" ht="15" customHeight="1">
      <c r="A1378" t="n">
        <v>28</v>
      </c>
      <c r="B1378" s="37">
        <f>IF(Setup!$B$7="","",Setup!$B$7)</f>
        <v/>
      </c>
      <c r="C1378" s="102" t="n"/>
      <c r="D1378" s="103" t="n"/>
      <c r="E1378" s="103" t="n"/>
      <c r="F1378" s="104" t="n"/>
      <c r="G1378" s="102" t="n"/>
      <c r="H1378" s="103" t="n"/>
      <c r="I1378" s="103" t="n"/>
      <c r="J1378" s="104" t="n"/>
      <c r="K1378" s="102" t="n"/>
      <c r="L1378" s="103" t="n"/>
      <c r="M1378" s="103" t="n"/>
      <c r="N1378" s="104" t="n"/>
      <c r="O1378" s="102" t="n"/>
      <c r="P1378" s="103" t="n"/>
      <c r="Q1378" s="103" t="n"/>
      <c r="R1378" s="104" t="n"/>
      <c r="S1378" s="102" t="n"/>
      <c r="T1378" s="103" t="n"/>
      <c r="U1378" s="103" t="n"/>
      <c r="V1378" s="104" t="n"/>
      <c r="W1378" s="102" t="n"/>
      <c r="X1378" s="104" t="n"/>
      <c r="Y1378" s="102" t="n"/>
      <c r="Z1378" s="104" t="n"/>
      <c r="AB1378" s="105">
        <f>IF($B1378="","",(COUNTIF(C1358:E1375,$B1378)+COUNTIF(C1358:E1375,$B1378&amp;" ~*")&gt;0)+(COUNTIF(G1358:I1375,$B1378)+COUNTIF(G1358:I1375,$B1378&amp;" ~*")&gt;0)+(COUNTIF(K1358:M1375,$B1378)+COUNTIF(K1358:M1375,$B1378&amp;" ~*")&gt;0)+(COUNTIF(O1358:Q1375,$B1378)+COUNTIF(O1358:Q1375,$B1378&amp;" ~*")&gt;0)+(COUNTIF(S1358:U1375,$B1378)+COUNTIF(S1358:U1375,$B1378&amp;" ~*")&gt;0)+(COUNTIF(W1358:W1375,$B1378)+COUNTIF(W1358:W1375,$B1378&amp;" ~*")&gt;0)+(COUNTIF(Y1358:Y1375,$B1378)+COUNTIF(Y1358:Y1375,$B1378&amp;" ~*")&gt;0))</f>
        <v/>
      </c>
      <c r="AC1378" s="38">
        <f>IF($B1378="","",(IFERROR(INDEX(Setup!$G$33:$G$40,MATCH(C1378,Setup!$B$33:$B$40,0)),0)=1)*(COUNTIF(C1358:E1375,$B1378)+COUNTIF(C1358:E1375,$B1378&amp;" ~*")&gt;0)+(IFERROR(INDEX(Setup!$G$33:$G$40,MATCH(G1378,Setup!$B$33:$B$40,0)),0)=1)*(COUNTIF(G1358:I1375,$B1378)+COUNTIF(G1358:I1375,$B1378&amp;" ~*")&gt;0)+(IFERROR(INDEX(Setup!$G$33:$G$40,MATCH(K1378,Setup!$B$33:$B$40,0)),0)=1)*(COUNTIF(K1358:M1375,$B1378)+COUNTIF(K1358:M1375,$B1378&amp;" ~*")&gt;0)+(IFERROR(INDEX(Setup!$G$33:$G$40,MATCH(O1378,Setup!$B$33:$B$40,0)),0)=1)*(COUNTIF(O1358:Q1375,$B1378)+COUNTIF(O1358:Q1375,$B1378&amp;" ~*")&gt;0)+(IFERROR(INDEX(Setup!$G$33:$G$40,MATCH(S1378,Setup!$B$33:$B$40,0)),0)=1)*(COUNTIF(S1358:U1375,$B1378)+COUNTIF(S1358:U1375,$B1378&amp;" ~*")&gt;0)+(IFERROR(INDEX(Setup!$G$33:$G$40,MATCH(W1378,Setup!$B$33:$B$40,0)),0)=1)*(COUNTIF(W1358:W1375,$B1378)+COUNTIF(W1358:W1375,$B1378&amp;" ~*")&gt;0)+(IFERROR(INDEX(Setup!$G$33:$G$40,MATCH(Y1378,Setup!$B$33:$B$40,0)),0)=1)*(COUNTIF(Y1358:Y1375,$B1378)+COUNTIF(Y1358:Y1375,$B1378&amp;" ~*")&gt;0))</f>
        <v/>
      </c>
    </row>
    <row r="1379" ht="15" customHeight="1">
      <c r="A1379" t="n">
        <v>28</v>
      </c>
      <c r="B1379" s="35">
        <f>IF(Setup!$B$8="","",Setup!$B$8)</f>
        <v/>
      </c>
      <c r="C1379" s="98" t="n"/>
      <c r="D1379" s="99" t="n"/>
      <c r="E1379" s="99" t="n"/>
      <c r="F1379" s="100" t="n"/>
      <c r="G1379" s="98" t="n"/>
      <c r="H1379" s="99" t="n"/>
      <c r="I1379" s="99" t="n"/>
      <c r="J1379" s="100" t="n"/>
      <c r="K1379" s="98" t="n"/>
      <c r="L1379" s="99" t="n"/>
      <c r="M1379" s="99" t="n"/>
      <c r="N1379" s="100" t="n"/>
      <c r="O1379" s="98" t="n"/>
      <c r="P1379" s="99" t="n"/>
      <c r="Q1379" s="99" t="n"/>
      <c r="R1379" s="100" t="n"/>
      <c r="S1379" s="98" t="n"/>
      <c r="T1379" s="99" t="n"/>
      <c r="U1379" s="99" t="n"/>
      <c r="V1379" s="100" t="n"/>
      <c r="W1379" s="98" t="n"/>
      <c r="X1379" s="100" t="n"/>
      <c r="Y1379" s="98" t="n"/>
      <c r="Z1379" s="100" t="n"/>
      <c r="AB1379" s="101">
        <f>IF($B1379="","",(COUNTIF(C1358:E1375,$B1379)+COUNTIF(C1358:E1375,$B1379&amp;" ~*")&gt;0)+(COUNTIF(G1358:I1375,$B1379)+COUNTIF(G1358:I1375,$B1379&amp;" ~*")&gt;0)+(COUNTIF(K1358:M1375,$B1379)+COUNTIF(K1358:M1375,$B1379&amp;" ~*")&gt;0)+(COUNTIF(O1358:Q1375,$B1379)+COUNTIF(O1358:Q1375,$B1379&amp;" ~*")&gt;0)+(COUNTIF(S1358:U1375,$B1379)+COUNTIF(S1358:U1375,$B1379&amp;" ~*")&gt;0)+(COUNTIF(W1358:W1375,$B1379)+COUNTIF(W1358:W1375,$B1379&amp;" ~*")&gt;0)+(COUNTIF(Y1358:Y1375,$B1379)+COUNTIF(Y1358:Y1375,$B1379&amp;" ~*")&gt;0))</f>
        <v/>
      </c>
      <c r="AC1379" s="36">
        <f>IF($B1379="","",(IFERROR(INDEX(Setup!$G$33:$G$40,MATCH(C1379,Setup!$B$33:$B$40,0)),0)=1)*(COUNTIF(C1358:E1375,$B1379)+COUNTIF(C1358:E1375,$B1379&amp;" ~*")&gt;0)+(IFERROR(INDEX(Setup!$G$33:$G$40,MATCH(G1379,Setup!$B$33:$B$40,0)),0)=1)*(COUNTIF(G1358:I1375,$B1379)+COUNTIF(G1358:I1375,$B1379&amp;" ~*")&gt;0)+(IFERROR(INDEX(Setup!$G$33:$G$40,MATCH(K1379,Setup!$B$33:$B$40,0)),0)=1)*(COUNTIF(K1358:M1375,$B1379)+COUNTIF(K1358:M1375,$B1379&amp;" ~*")&gt;0)+(IFERROR(INDEX(Setup!$G$33:$G$40,MATCH(O1379,Setup!$B$33:$B$40,0)),0)=1)*(COUNTIF(O1358:Q1375,$B1379)+COUNTIF(O1358:Q1375,$B1379&amp;" ~*")&gt;0)+(IFERROR(INDEX(Setup!$G$33:$G$40,MATCH(S1379,Setup!$B$33:$B$40,0)),0)=1)*(COUNTIF(S1358:U1375,$B1379)+COUNTIF(S1358:U1375,$B1379&amp;" ~*")&gt;0)+(IFERROR(INDEX(Setup!$G$33:$G$40,MATCH(W1379,Setup!$B$33:$B$40,0)),0)=1)*(COUNTIF(W1358:W1375,$B1379)+COUNTIF(W1358:W1375,$B1379&amp;" ~*")&gt;0)+(IFERROR(INDEX(Setup!$G$33:$G$40,MATCH(Y1379,Setup!$B$33:$B$40,0)),0)=1)*(COUNTIF(Y1358:Y1375,$B1379)+COUNTIF(Y1358:Y1375,$B1379&amp;" ~*")&gt;0))</f>
        <v/>
      </c>
    </row>
    <row r="1380" ht="15" customHeight="1">
      <c r="A1380" t="n">
        <v>28</v>
      </c>
      <c r="B1380" s="37">
        <f>IF(Setup!$B$9="","",Setup!$B$9)</f>
        <v/>
      </c>
      <c r="C1380" s="102" t="n"/>
      <c r="D1380" s="103" t="n"/>
      <c r="E1380" s="103" t="n"/>
      <c r="F1380" s="104" t="n"/>
      <c r="G1380" s="102" t="n"/>
      <c r="H1380" s="103" t="n"/>
      <c r="I1380" s="103" t="n"/>
      <c r="J1380" s="104" t="n"/>
      <c r="K1380" s="102" t="n"/>
      <c r="L1380" s="103" t="n"/>
      <c r="M1380" s="103" t="n"/>
      <c r="N1380" s="104" t="n"/>
      <c r="O1380" s="102" t="n"/>
      <c r="P1380" s="103" t="n"/>
      <c r="Q1380" s="103" t="n"/>
      <c r="R1380" s="104" t="n"/>
      <c r="S1380" s="102" t="n"/>
      <c r="T1380" s="103" t="n"/>
      <c r="U1380" s="103" t="n"/>
      <c r="V1380" s="104" t="n"/>
      <c r="W1380" s="102" t="n"/>
      <c r="X1380" s="104" t="n"/>
      <c r="Y1380" s="102" t="n"/>
      <c r="Z1380" s="104" t="n"/>
      <c r="AB1380" s="105">
        <f>IF($B1380="","",(COUNTIF(C1358:E1375,$B1380)+COUNTIF(C1358:E1375,$B1380&amp;" ~*")&gt;0)+(COUNTIF(G1358:I1375,$B1380)+COUNTIF(G1358:I1375,$B1380&amp;" ~*")&gt;0)+(COUNTIF(K1358:M1375,$B1380)+COUNTIF(K1358:M1375,$B1380&amp;" ~*")&gt;0)+(COUNTIF(O1358:Q1375,$B1380)+COUNTIF(O1358:Q1375,$B1380&amp;" ~*")&gt;0)+(COUNTIF(S1358:U1375,$B1380)+COUNTIF(S1358:U1375,$B1380&amp;" ~*")&gt;0)+(COUNTIF(W1358:W1375,$B1380)+COUNTIF(W1358:W1375,$B1380&amp;" ~*")&gt;0)+(COUNTIF(Y1358:Y1375,$B1380)+COUNTIF(Y1358:Y1375,$B1380&amp;" ~*")&gt;0))</f>
        <v/>
      </c>
      <c r="AC1380" s="38">
        <f>IF($B1380="","",(IFERROR(INDEX(Setup!$G$33:$G$40,MATCH(C1380,Setup!$B$33:$B$40,0)),0)=1)*(COUNTIF(C1358:E1375,$B1380)+COUNTIF(C1358:E1375,$B1380&amp;" ~*")&gt;0)+(IFERROR(INDEX(Setup!$G$33:$G$40,MATCH(G1380,Setup!$B$33:$B$40,0)),0)=1)*(COUNTIF(G1358:I1375,$B1380)+COUNTIF(G1358:I1375,$B1380&amp;" ~*")&gt;0)+(IFERROR(INDEX(Setup!$G$33:$G$40,MATCH(K1380,Setup!$B$33:$B$40,0)),0)=1)*(COUNTIF(K1358:M1375,$B1380)+COUNTIF(K1358:M1375,$B1380&amp;" ~*")&gt;0)+(IFERROR(INDEX(Setup!$G$33:$G$40,MATCH(O1380,Setup!$B$33:$B$40,0)),0)=1)*(COUNTIF(O1358:Q1375,$B1380)+COUNTIF(O1358:Q1375,$B1380&amp;" ~*")&gt;0)+(IFERROR(INDEX(Setup!$G$33:$G$40,MATCH(S1380,Setup!$B$33:$B$40,0)),0)=1)*(COUNTIF(S1358:U1375,$B1380)+COUNTIF(S1358:U1375,$B1380&amp;" ~*")&gt;0)+(IFERROR(INDEX(Setup!$G$33:$G$40,MATCH(W1380,Setup!$B$33:$B$40,0)),0)=1)*(COUNTIF(W1358:W1375,$B1380)+COUNTIF(W1358:W1375,$B1380&amp;" ~*")&gt;0)+(IFERROR(INDEX(Setup!$G$33:$G$40,MATCH(Y1380,Setup!$B$33:$B$40,0)),0)=1)*(COUNTIF(Y1358:Y1375,$B1380)+COUNTIF(Y1358:Y1375,$B1380&amp;" ~*")&gt;0))</f>
        <v/>
      </c>
    </row>
    <row r="1381" ht="15" customHeight="1">
      <c r="A1381" t="n">
        <v>28</v>
      </c>
      <c r="B1381" s="35">
        <f>IF(Setup!$B$10="","",Setup!$B$10)</f>
        <v/>
      </c>
      <c r="C1381" s="98" t="n"/>
      <c r="D1381" s="99" t="n"/>
      <c r="E1381" s="99" t="n"/>
      <c r="F1381" s="100" t="n"/>
      <c r="G1381" s="98" t="n"/>
      <c r="H1381" s="99" t="n"/>
      <c r="I1381" s="99" t="n"/>
      <c r="J1381" s="100" t="n"/>
      <c r="K1381" s="98" t="n"/>
      <c r="L1381" s="99" t="n"/>
      <c r="M1381" s="99" t="n"/>
      <c r="N1381" s="100" t="n"/>
      <c r="O1381" s="98" t="n"/>
      <c r="P1381" s="99" t="n"/>
      <c r="Q1381" s="99" t="n"/>
      <c r="R1381" s="100" t="n"/>
      <c r="S1381" s="98" t="n"/>
      <c r="T1381" s="99" t="n"/>
      <c r="U1381" s="99" t="n"/>
      <c r="V1381" s="100" t="n"/>
      <c r="W1381" s="98" t="n"/>
      <c r="X1381" s="100" t="n"/>
      <c r="Y1381" s="98" t="n"/>
      <c r="Z1381" s="100" t="n"/>
      <c r="AB1381" s="101">
        <f>IF($B1381="","",(COUNTIF(C1358:E1375,$B1381)+COUNTIF(C1358:E1375,$B1381&amp;" ~*")&gt;0)+(COUNTIF(G1358:I1375,$B1381)+COUNTIF(G1358:I1375,$B1381&amp;" ~*")&gt;0)+(COUNTIF(K1358:M1375,$B1381)+COUNTIF(K1358:M1375,$B1381&amp;" ~*")&gt;0)+(COUNTIF(O1358:Q1375,$B1381)+COUNTIF(O1358:Q1375,$B1381&amp;" ~*")&gt;0)+(COUNTIF(S1358:U1375,$B1381)+COUNTIF(S1358:U1375,$B1381&amp;" ~*")&gt;0)+(COUNTIF(W1358:W1375,$B1381)+COUNTIF(W1358:W1375,$B1381&amp;" ~*")&gt;0)+(COUNTIF(Y1358:Y1375,$B1381)+COUNTIF(Y1358:Y1375,$B1381&amp;" ~*")&gt;0))</f>
        <v/>
      </c>
      <c r="AC1381" s="36">
        <f>IF($B1381="","",(IFERROR(INDEX(Setup!$G$33:$G$40,MATCH(C1381,Setup!$B$33:$B$40,0)),0)=1)*(COUNTIF(C1358:E1375,$B1381)+COUNTIF(C1358:E1375,$B1381&amp;" ~*")&gt;0)+(IFERROR(INDEX(Setup!$G$33:$G$40,MATCH(G1381,Setup!$B$33:$B$40,0)),0)=1)*(COUNTIF(G1358:I1375,$B1381)+COUNTIF(G1358:I1375,$B1381&amp;" ~*")&gt;0)+(IFERROR(INDEX(Setup!$G$33:$G$40,MATCH(K1381,Setup!$B$33:$B$40,0)),0)=1)*(COUNTIF(K1358:M1375,$B1381)+COUNTIF(K1358:M1375,$B1381&amp;" ~*")&gt;0)+(IFERROR(INDEX(Setup!$G$33:$G$40,MATCH(O1381,Setup!$B$33:$B$40,0)),0)=1)*(COUNTIF(O1358:Q1375,$B1381)+COUNTIF(O1358:Q1375,$B1381&amp;" ~*")&gt;0)+(IFERROR(INDEX(Setup!$G$33:$G$40,MATCH(S1381,Setup!$B$33:$B$40,0)),0)=1)*(COUNTIF(S1358:U1375,$B1381)+COUNTIF(S1358:U1375,$B1381&amp;" ~*")&gt;0)+(IFERROR(INDEX(Setup!$G$33:$G$40,MATCH(W1381,Setup!$B$33:$B$40,0)),0)=1)*(COUNTIF(W1358:W1375,$B1381)+COUNTIF(W1358:W1375,$B1381&amp;" ~*")&gt;0)+(IFERROR(INDEX(Setup!$G$33:$G$40,MATCH(Y1381,Setup!$B$33:$B$40,0)),0)=1)*(COUNTIF(Y1358:Y1375,$B1381)+COUNTIF(Y1358:Y1375,$B1381&amp;" ~*")&gt;0))</f>
        <v/>
      </c>
    </row>
    <row r="1382" ht="15" customHeight="1">
      <c r="A1382" t="n">
        <v>28</v>
      </c>
      <c r="B1382" s="37">
        <f>IF(Setup!$B$11="","",Setup!$B$11)</f>
        <v/>
      </c>
      <c r="C1382" s="102" t="n"/>
      <c r="D1382" s="103" t="n"/>
      <c r="E1382" s="103" t="n"/>
      <c r="F1382" s="104" t="n"/>
      <c r="G1382" s="102" t="n"/>
      <c r="H1382" s="103" t="n"/>
      <c r="I1382" s="103" t="n"/>
      <c r="J1382" s="104" t="n"/>
      <c r="K1382" s="102" t="n"/>
      <c r="L1382" s="103" t="n"/>
      <c r="M1382" s="103" t="n"/>
      <c r="N1382" s="104" t="n"/>
      <c r="O1382" s="102" t="n"/>
      <c r="P1382" s="103" t="n"/>
      <c r="Q1382" s="103" t="n"/>
      <c r="R1382" s="104" t="n"/>
      <c r="S1382" s="102" t="n"/>
      <c r="T1382" s="103" t="n"/>
      <c r="U1382" s="103" t="n"/>
      <c r="V1382" s="104" t="n"/>
      <c r="W1382" s="102" t="n"/>
      <c r="X1382" s="104" t="n"/>
      <c r="Y1382" s="102" t="n"/>
      <c r="Z1382" s="104" t="n"/>
      <c r="AB1382" s="105">
        <f>IF($B1382="","",(COUNTIF(C1358:E1375,$B1382)+COUNTIF(C1358:E1375,$B1382&amp;" ~*")&gt;0)+(COUNTIF(G1358:I1375,$B1382)+COUNTIF(G1358:I1375,$B1382&amp;" ~*")&gt;0)+(COUNTIF(K1358:M1375,$B1382)+COUNTIF(K1358:M1375,$B1382&amp;" ~*")&gt;0)+(COUNTIF(O1358:Q1375,$B1382)+COUNTIF(O1358:Q1375,$B1382&amp;" ~*")&gt;0)+(COUNTIF(S1358:U1375,$B1382)+COUNTIF(S1358:U1375,$B1382&amp;" ~*")&gt;0)+(COUNTIF(W1358:W1375,$B1382)+COUNTIF(W1358:W1375,$B1382&amp;" ~*")&gt;0)+(COUNTIF(Y1358:Y1375,$B1382)+COUNTIF(Y1358:Y1375,$B1382&amp;" ~*")&gt;0))</f>
        <v/>
      </c>
      <c r="AC1382" s="38">
        <f>IF($B1382="","",(IFERROR(INDEX(Setup!$G$33:$G$40,MATCH(C1382,Setup!$B$33:$B$40,0)),0)=1)*(COUNTIF(C1358:E1375,$B1382)+COUNTIF(C1358:E1375,$B1382&amp;" ~*")&gt;0)+(IFERROR(INDEX(Setup!$G$33:$G$40,MATCH(G1382,Setup!$B$33:$B$40,0)),0)=1)*(COUNTIF(G1358:I1375,$B1382)+COUNTIF(G1358:I1375,$B1382&amp;" ~*")&gt;0)+(IFERROR(INDEX(Setup!$G$33:$G$40,MATCH(K1382,Setup!$B$33:$B$40,0)),0)=1)*(COUNTIF(K1358:M1375,$B1382)+COUNTIF(K1358:M1375,$B1382&amp;" ~*")&gt;0)+(IFERROR(INDEX(Setup!$G$33:$G$40,MATCH(O1382,Setup!$B$33:$B$40,0)),0)=1)*(COUNTIF(O1358:Q1375,$B1382)+COUNTIF(O1358:Q1375,$B1382&amp;" ~*")&gt;0)+(IFERROR(INDEX(Setup!$G$33:$G$40,MATCH(S1382,Setup!$B$33:$B$40,0)),0)=1)*(COUNTIF(S1358:U1375,$B1382)+COUNTIF(S1358:U1375,$B1382&amp;" ~*")&gt;0)+(IFERROR(INDEX(Setup!$G$33:$G$40,MATCH(W1382,Setup!$B$33:$B$40,0)),0)=1)*(COUNTIF(W1358:W1375,$B1382)+COUNTIF(W1358:W1375,$B1382&amp;" ~*")&gt;0)+(IFERROR(INDEX(Setup!$G$33:$G$40,MATCH(Y1382,Setup!$B$33:$B$40,0)),0)=1)*(COUNTIF(Y1358:Y1375,$B1382)+COUNTIF(Y1358:Y1375,$B1382&amp;" ~*")&gt;0))</f>
        <v/>
      </c>
    </row>
    <row r="1383" ht="15" customHeight="1">
      <c r="A1383" t="n">
        <v>28</v>
      </c>
      <c r="B1383" s="35">
        <f>IF(Setup!$B$12="","",Setup!$B$12)</f>
        <v/>
      </c>
      <c r="C1383" s="98" t="n"/>
      <c r="D1383" s="99" t="n"/>
      <c r="E1383" s="99" t="n"/>
      <c r="F1383" s="100" t="n"/>
      <c r="G1383" s="98" t="n"/>
      <c r="H1383" s="99" t="n"/>
      <c r="I1383" s="99" t="n"/>
      <c r="J1383" s="100" t="n"/>
      <c r="K1383" s="98" t="n"/>
      <c r="L1383" s="99" t="n"/>
      <c r="M1383" s="99" t="n"/>
      <c r="N1383" s="100" t="n"/>
      <c r="O1383" s="98" t="n"/>
      <c r="P1383" s="99" t="n"/>
      <c r="Q1383" s="99" t="n"/>
      <c r="R1383" s="100" t="n"/>
      <c r="S1383" s="98" t="n"/>
      <c r="T1383" s="99" t="n"/>
      <c r="U1383" s="99" t="n"/>
      <c r="V1383" s="100" t="n"/>
      <c r="W1383" s="98" t="n"/>
      <c r="X1383" s="100" t="n"/>
      <c r="Y1383" s="98" t="n"/>
      <c r="Z1383" s="100" t="n"/>
      <c r="AB1383" s="101">
        <f>IF($B1383="","",(COUNTIF(C1358:E1375,$B1383)+COUNTIF(C1358:E1375,$B1383&amp;" ~*")&gt;0)+(COUNTIF(G1358:I1375,$B1383)+COUNTIF(G1358:I1375,$B1383&amp;" ~*")&gt;0)+(COUNTIF(K1358:M1375,$B1383)+COUNTIF(K1358:M1375,$B1383&amp;" ~*")&gt;0)+(COUNTIF(O1358:Q1375,$B1383)+COUNTIF(O1358:Q1375,$B1383&amp;" ~*")&gt;0)+(COUNTIF(S1358:U1375,$B1383)+COUNTIF(S1358:U1375,$B1383&amp;" ~*")&gt;0)+(COUNTIF(W1358:W1375,$B1383)+COUNTIF(W1358:W1375,$B1383&amp;" ~*")&gt;0)+(COUNTIF(Y1358:Y1375,$B1383)+COUNTIF(Y1358:Y1375,$B1383&amp;" ~*")&gt;0))</f>
        <v/>
      </c>
      <c r="AC1383" s="36">
        <f>IF($B1383="","",(IFERROR(INDEX(Setup!$G$33:$G$40,MATCH(C1383,Setup!$B$33:$B$40,0)),0)=1)*(COUNTIF(C1358:E1375,$B1383)+COUNTIF(C1358:E1375,$B1383&amp;" ~*")&gt;0)+(IFERROR(INDEX(Setup!$G$33:$G$40,MATCH(G1383,Setup!$B$33:$B$40,0)),0)=1)*(COUNTIF(G1358:I1375,$B1383)+COUNTIF(G1358:I1375,$B1383&amp;" ~*")&gt;0)+(IFERROR(INDEX(Setup!$G$33:$G$40,MATCH(K1383,Setup!$B$33:$B$40,0)),0)=1)*(COUNTIF(K1358:M1375,$B1383)+COUNTIF(K1358:M1375,$B1383&amp;" ~*")&gt;0)+(IFERROR(INDEX(Setup!$G$33:$G$40,MATCH(O1383,Setup!$B$33:$B$40,0)),0)=1)*(COUNTIF(O1358:Q1375,$B1383)+COUNTIF(O1358:Q1375,$B1383&amp;" ~*")&gt;0)+(IFERROR(INDEX(Setup!$G$33:$G$40,MATCH(S1383,Setup!$B$33:$B$40,0)),0)=1)*(COUNTIF(S1358:U1375,$B1383)+COUNTIF(S1358:U1375,$B1383&amp;" ~*")&gt;0)+(IFERROR(INDEX(Setup!$G$33:$G$40,MATCH(W1383,Setup!$B$33:$B$40,0)),0)=1)*(COUNTIF(W1358:W1375,$B1383)+COUNTIF(W1358:W1375,$B1383&amp;" ~*")&gt;0)+(IFERROR(INDEX(Setup!$G$33:$G$40,MATCH(Y1383,Setup!$B$33:$B$40,0)),0)=1)*(COUNTIF(Y1358:Y1375,$B1383)+COUNTIF(Y1358:Y1375,$B1383&amp;" ~*")&gt;0))</f>
        <v/>
      </c>
    </row>
    <row r="1384" ht="15" customHeight="1">
      <c r="A1384" t="n">
        <v>28</v>
      </c>
      <c r="B1384" s="37">
        <f>IF(Setup!$B$13="","",Setup!$B$13)</f>
        <v/>
      </c>
      <c r="C1384" s="102" t="n"/>
      <c r="D1384" s="103" t="n"/>
      <c r="E1384" s="103" t="n"/>
      <c r="F1384" s="104" t="n"/>
      <c r="G1384" s="102" t="n"/>
      <c r="H1384" s="103" t="n"/>
      <c r="I1384" s="103" t="n"/>
      <c r="J1384" s="104" t="n"/>
      <c r="K1384" s="102" t="n"/>
      <c r="L1384" s="103" t="n"/>
      <c r="M1384" s="103" t="n"/>
      <c r="N1384" s="104" t="n"/>
      <c r="O1384" s="102" t="n"/>
      <c r="P1384" s="103" t="n"/>
      <c r="Q1384" s="103" t="n"/>
      <c r="R1384" s="104" t="n"/>
      <c r="S1384" s="102" t="n"/>
      <c r="T1384" s="103" t="n"/>
      <c r="U1384" s="103" t="n"/>
      <c r="V1384" s="104" t="n"/>
      <c r="W1384" s="102" t="n"/>
      <c r="X1384" s="104" t="n"/>
      <c r="Y1384" s="102" t="n"/>
      <c r="Z1384" s="104" t="n"/>
      <c r="AB1384" s="105">
        <f>IF($B1384="","",(COUNTIF(C1358:E1375,$B1384)+COUNTIF(C1358:E1375,$B1384&amp;" ~*")&gt;0)+(COUNTIF(G1358:I1375,$B1384)+COUNTIF(G1358:I1375,$B1384&amp;" ~*")&gt;0)+(COUNTIF(K1358:M1375,$B1384)+COUNTIF(K1358:M1375,$B1384&amp;" ~*")&gt;0)+(COUNTIF(O1358:Q1375,$B1384)+COUNTIF(O1358:Q1375,$B1384&amp;" ~*")&gt;0)+(COUNTIF(S1358:U1375,$B1384)+COUNTIF(S1358:U1375,$B1384&amp;" ~*")&gt;0)+(COUNTIF(W1358:W1375,$B1384)+COUNTIF(W1358:W1375,$B1384&amp;" ~*")&gt;0)+(COUNTIF(Y1358:Y1375,$B1384)+COUNTIF(Y1358:Y1375,$B1384&amp;" ~*")&gt;0))</f>
        <v/>
      </c>
      <c r="AC1384" s="38">
        <f>IF($B1384="","",(IFERROR(INDEX(Setup!$G$33:$G$40,MATCH(C1384,Setup!$B$33:$B$40,0)),0)=1)*(COUNTIF(C1358:E1375,$B1384)+COUNTIF(C1358:E1375,$B1384&amp;" ~*")&gt;0)+(IFERROR(INDEX(Setup!$G$33:$G$40,MATCH(G1384,Setup!$B$33:$B$40,0)),0)=1)*(COUNTIF(G1358:I1375,$B1384)+COUNTIF(G1358:I1375,$B1384&amp;" ~*")&gt;0)+(IFERROR(INDEX(Setup!$G$33:$G$40,MATCH(K1384,Setup!$B$33:$B$40,0)),0)=1)*(COUNTIF(K1358:M1375,$B1384)+COUNTIF(K1358:M1375,$B1384&amp;" ~*")&gt;0)+(IFERROR(INDEX(Setup!$G$33:$G$40,MATCH(O1384,Setup!$B$33:$B$40,0)),0)=1)*(COUNTIF(O1358:Q1375,$B1384)+COUNTIF(O1358:Q1375,$B1384&amp;" ~*")&gt;0)+(IFERROR(INDEX(Setup!$G$33:$G$40,MATCH(S1384,Setup!$B$33:$B$40,0)),0)=1)*(COUNTIF(S1358:U1375,$B1384)+COUNTIF(S1358:U1375,$B1384&amp;" ~*")&gt;0)+(IFERROR(INDEX(Setup!$G$33:$G$40,MATCH(W1384,Setup!$B$33:$B$40,0)),0)=1)*(COUNTIF(W1358:W1375,$B1384)+COUNTIF(W1358:W1375,$B1384&amp;" ~*")&gt;0)+(IFERROR(INDEX(Setup!$G$33:$G$40,MATCH(Y1384,Setup!$B$33:$B$40,0)),0)=1)*(COUNTIF(Y1358:Y1375,$B1384)+COUNTIF(Y1358:Y1375,$B1384&amp;" ~*")&gt;0))</f>
        <v/>
      </c>
    </row>
    <row r="1385" ht="15" customHeight="1">
      <c r="A1385" t="n">
        <v>28</v>
      </c>
      <c r="B1385" s="35">
        <f>IF(Setup!$B$14="","",Setup!$B$14)</f>
        <v/>
      </c>
      <c r="C1385" s="98" t="n"/>
      <c r="D1385" s="99" t="n"/>
      <c r="E1385" s="99" t="n"/>
      <c r="F1385" s="100" t="n"/>
      <c r="G1385" s="98" t="n"/>
      <c r="H1385" s="99" t="n"/>
      <c r="I1385" s="99" t="n"/>
      <c r="J1385" s="100" t="n"/>
      <c r="K1385" s="98" t="n"/>
      <c r="L1385" s="99" t="n"/>
      <c r="M1385" s="99" t="n"/>
      <c r="N1385" s="100" t="n"/>
      <c r="O1385" s="98" t="n"/>
      <c r="P1385" s="99" t="n"/>
      <c r="Q1385" s="99" t="n"/>
      <c r="R1385" s="100" t="n"/>
      <c r="S1385" s="98" t="n"/>
      <c r="T1385" s="99" t="n"/>
      <c r="U1385" s="99" t="n"/>
      <c r="V1385" s="100" t="n"/>
      <c r="W1385" s="98" t="n"/>
      <c r="X1385" s="100" t="n"/>
      <c r="Y1385" s="98" t="n"/>
      <c r="Z1385" s="100" t="n"/>
      <c r="AB1385" s="101">
        <f>IF($B1385="","",(COUNTIF(C1358:E1375,$B1385)+COUNTIF(C1358:E1375,$B1385&amp;" ~*")&gt;0)+(COUNTIF(G1358:I1375,$B1385)+COUNTIF(G1358:I1375,$B1385&amp;" ~*")&gt;0)+(COUNTIF(K1358:M1375,$B1385)+COUNTIF(K1358:M1375,$B1385&amp;" ~*")&gt;0)+(COUNTIF(O1358:Q1375,$B1385)+COUNTIF(O1358:Q1375,$B1385&amp;" ~*")&gt;0)+(COUNTIF(S1358:U1375,$B1385)+COUNTIF(S1358:U1375,$B1385&amp;" ~*")&gt;0)+(COUNTIF(W1358:W1375,$B1385)+COUNTIF(W1358:W1375,$B1385&amp;" ~*")&gt;0)+(COUNTIF(Y1358:Y1375,$B1385)+COUNTIF(Y1358:Y1375,$B1385&amp;" ~*")&gt;0))</f>
        <v/>
      </c>
      <c r="AC1385" s="36">
        <f>IF($B1385="","",(IFERROR(INDEX(Setup!$G$33:$G$40,MATCH(C1385,Setup!$B$33:$B$40,0)),0)=1)*(COUNTIF(C1358:E1375,$B1385)+COUNTIF(C1358:E1375,$B1385&amp;" ~*")&gt;0)+(IFERROR(INDEX(Setup!$G$33:$G$40,MATCH(G1385,Setup!$B$33:$B$40,0)),0)=1)*(COUNTIF(G1358:I1375,$B1385)+COUNTIF(G1358:I1375,$B1385&amp;" ~*")&gt;0)+(IFERROR(INDEX(Setup!$G$33:$G$40,MATCH(K1385,Setup!$B$33:$B$40,0)),0)=1)*(COUNTIF(K1358:M1375,$B1385)+COUNTIF(K1358:M1375,$B1385&amp;" ~*")&gt;0)+(IFERROR(INDEX(Setup!$G$33:$G$40,MATCH(O1385,Setup!$B$33:$B$40,0)),0)=1)*(COUNTIF(O1358:Q1375,$B1385)+COUNTIF(O1358:Q1375,$B1385&amp;" ~*")&gt;0)+(IFERROR(INDEX(Setup!$G$33:$G$40,MATCH(S1385,Setup!$B$33:$B$40,0)),0)=1)*(COUNTIF(S1358:U1375,$B1385)+COUNTIF(S1358:U1375,$B1385&amp;" ~*")&gt;0)+(IFERROR(INDEX(Setup!$G$33:$G$40,MATCH(W1385,Setup!$B$33:$B$40,0)),0)=1)*(COUNTIF(W1358:W1375,$B1385)+COUNTIF(W1358:W1375,$B1385&amp;" ~*")&gt;0)+(IFERROR(INDEX(Setup!$G$33:$G$40,MATCH(Y1385,Setup!$B$33:$B$40,0)),0)=1)*(COUNTIF(Y1358:Y1375,$B1385)+COUNTIF(Y1358:Y1375,$B1385&amp;" ~*")&gt;0))</f>
        <v/>
      </c>
    </row>
    <row r="1386" ht="15" customHeight="1">
      <c r="A1386" t="n">
        <v>28</v>
      </c>
      <c r="B1386" s="37">
        <f>IF(Setup!$B$15="","",Setup!$B$15)</f>
        <v/>
      </c>
      <c r="C1386" s="102" t="n"/>
      <c r="D1386" s="103" t="n"/>
      <c r="E1386" s="103" t="n"/>
      <c r="F1386" s="104" t="n"/>
      <c r="G1386" s="102" t="n"/>
      <c r="H1386" s="103" t="n"/>
      <c r="I1386" s="103" t="n"/>
      <c r="J1386" s="104" t="n"/>
      <c r="K1386" s="102" t="inlineStr">
        <is>
          <t>AL</t>
        </is>
      </c>
      <c r="L1386" s="103" t="n"/>
      <c r="M1386" s="103" t="n"/>
      <c r="N1386" s="104" t="n"/>
      <c r="O1386" s="102" t="inlineStr">
        <is>
          <t>AL</t>
        </is>
      </c>
      <c r="P1386" s="103" t="n"/>
      <c r="Q1386" s="103" t="n"/>
      <c r="R1386" s="104" t="n"/>
      <c r="S1386" s="102" t="inlineStr">
        <is>
          <t>AL</t>
        </is>
      </c>
      <c r="T1386" s="103" t="n"/>
      <c r="U1386" s="103" t="n"/>
      <c r="V1386" s="104" t="n"/>
      <c r="W1386" s="102" t="n"/>
      <c r="X1386" s="104" t="n"/>
      <c r="Y1386" s="102" t="n"/>
      <c r="Z1386" s="104" t="n"/>
      <c r="AB1386" s="105">
        <f>IF($B1386="","",(COUNTIF(C1358:E1375,$B1386)+COUNTIF(C1358:E1375,$B1386&amp;" ~*")&gt;0)+(COUNTIF(G1358:I1375,$B1386)+COUNTIF(G1358:I1375,$B1386&amp;" ~*")&gt;0)+(COUNTIF(K1358:M1375,$B1386)+COUNTIF(K1358:M1375,$B1386&amp;" ~*")&gt;0)+(COUNTIF(O1358:Q1375,$B1386)+COUNTIF(O1358:Q1375,$B1386&amp;" ~*")&gt;0)+(COUNTIF(S1358:U1375,$B1386)+COUNTIF(S1358:U1375,$B1386&amp;" ~*")&gt;0)+(COUNTIF(W1358:W1375,$B1386)+COUNTIF(W1358:W1375,$B1386&amp;" ~*")&gt;0)+(COUNTIF(Y1358:Y1375,$B1386)+COUNTIF(Y1358:Y1375,$B1386&amp;" ~*")&gt;0))</f>
        <v/>
      </c>
      <c r="AC1386" s="38">
        <f>IF($B1386="","",(IFERROR(INDEX(Setup!$G$33:$G$40,MATCH(C1386,Setup!$B$33:$B$40,0)),0)=1)*(COUNTIF(C1358:E1375,$B1386)+COUNTIF(C1358:E1375,$B1386&amp;" ~*")&gt;0)+(IFERROR(INDEX(Setup!$G$33:$G$40,MATCH(G1386,Setup!$B$33:$B$40,0)),0)=1)*(COUNTIF(G1358:I1375,$B1386)+COUNTIF(G1358:I1375,$B1386&amp;" ~*")&gt;0)+(IFERROR(INDEX(Setup!$G$33:$G$40,MATCH(K1386,Setup!$B$33:$B$40,0)),0)=1)*(COUNTIF(K1358:M1375,$B1386)+COUNTIF(K1358:M1375,$B1386&amp;" ~*")&gt;0)+(IFERROR(INDEX(Setup!$G$33:$G$40,MATCH(O1386,Setup!$B$33:$B$40,0)),0)=1)*(COUNTIF(O1358:Q1375,$B1386)+COUNTIF(O1358:Q1375,$B1386&amp;" ~*")&gt;0)+(IFERROR(INDEX(Setup!$G$33:$G$40,MATCH(S1386,Setup!$B$33:$B$40,0)),0)=1)*(COUNTIF(S1358:U1375,$B1386)+COUNTIF(S1358:U1375,$B1386&amp;" ~*")&gt;0)+(IFERROR(INDEX(Setup!$G$33:$G$40,MATCH(W1386,Setup!$B$33:$B$40,0)),0)=1)*(COUNTIF(W1358:W1375,$B1386)+COUNTIF(W1358:W1375,$B1386&amp;" ~*")&gt;0)+(IFERROR(INDEX(Setup!$G$33:$G$40,MATCH(Y1386,Setup!$B$33:$B$40,0)),0)=1)*(COUNTIF(Y1358:Y1375,$B1386)+COUNTIF(Y1358:Y1375,$B1386&amp;" ~*")&gt;0))</f>
        <v/>
      </c>
    </row>
    <row r="1387" ht="15" customHeight="1">
      <c r="A1387" t="n">
        <v>28</v>
      </c>
      <c r="B1387" s="35">
        <f>IF(Setup!$B$16="","",Setup!$B$16)</f>
        <v/>
      </c>
      <c r="C1387" s="98" t="n"/>
      <c r="D1387" s="99" t="n"/>
      <c r="E1387" s="99" t="n"/>
      <c r="F1387" s="100" t="n"/>
      <c r="G1387" s="98" t="n"/>
      <c r="H1387" s="99" t="n"/>
      <c r="I1387" s="99" t="n"/>
      <c r="J1387" s="100" t="n"/>
      <c r="K1387" s="98" t="n"/>
      <c r="L1387" s="99" t="n"/>
      <c r="M1387" s="99" t="n"/>
      <c r="N1387" s="100" t="n"/>
      <c r="O1387" s="98" t="n"/>
      <c r="P1387" s="99" t="n"/>
      <c r="Q1387" s="99" t="n"/>
      <c r="R1387" s="100" t="n"/>
      <c r="S1387" s="98" t="n"/>
      <c r="T1387" s="99" t="n"/>
      <c r="U1387" s="99" t="n"/>
      <c r="V1387" s="100" t="n"/>
      <c r="W1387" s="98" t="n"/>
      <c r="X1387" s="100" t="n"/>
      <c r="Y1387" s="98" t="n"/>
      <c r="Z1387" s="100" t="n"/>
      <c r="AB1387" s="101">
        <f>IF($B1387="","",(COUNTIF(C1358:E1375,$B1387)+COUNTIF(C1358:E1375,$B1387&amp;" ~*")&gt;0)+(COUNTIF(G1358:I1375,$B1387)+COUNTIF(G1358:I1375,$B1387&amp;" ~*")&gt;0)+(COUNTIF(K1358:M1375,$B1387)+COUNTIF(K1358:M1375,$B1387&amp;" ~*")&gt;0)+(COUNTIF(O1358:Q1375,$B1387)+COUNTIF(O1358:Q1375,$B1387&amp;" ~*")&gt;0)+(COUNTIF(S1358:U1375,$B1387)+COUNTIF(S1358:U1375,$B1387&amp;" ~*")&gt;0)+(COUNTIF(W1358:W1375,$B1387)+COUNTIF(W1358:W1375,$B1387&amp;" ~*")&gt;0)+(COUNTIF(Y1358:Y1375,$B1387)+COUNTIF(Y1358:Y1375,$B1387&amp;" ~*")&gt;0))</f>
        <v/>
      </c>
      <c r="AC1387" s="36">
        <f>IF($B1387="","",(IFERROR(INDEX(Setup!$G$33:$G$40,MATCH(C1387,Setup!$B$33:$B$40,0)),0)=1)*(COUNTIF(C1358:E1375,$B1387)+COUNTIF(C1358:E1375,$B1387&amp;" ~*")&gt;0)+(IFERROR(INDEX(Setup!$G$33:$G$40,MATCH(G1387,Setup!$B$33:$B$40,0)),0)=1)*(COUNTIF(G1358:I1375,$B1387)+COUNTIF(G1358:I1375,$B1387&amp;" ~*")&gt;0)+(IFERROR(INDEX(Setup!$G$33:$G$40,MATCH(K1387,Setup!$B$33:$B$40,0)),0)=1)*(COUNTIF(K1358:M1375,$B1387)+COUNTIF(K1358:M1375,$B1387&amp;" ~*")&gt;0)+(IFERROR(INDEX(Setup!$G$33:$G$40,MATCH(O1387,Setup!$B$33:$B$40,0)),0)=1)*(COUNTIF(O1358:Q1375,$B1387)+COUNTIF(O1358:Q1375,$B1387&amp;" ~*")&gt;0)+(IFERROR(INDEX(Setup!$G$33:$G$40,MATCH(S1387,Setup!$B$33:$B$40,0)),0)=1)*(COUNTIF(S1358:U1375,$B1387)+COUNTIF(S1358:U1375,$B1387&amp;" ~*")&gt;0)+(IFERROR(INDEX(Setup!$G$33:$G$40,MATCH(W1387,Setup!$B$33:$B$40,0)),0)=1)*(COUNTIF(W1358:W1375,$B1387)+COUNTIF(W1358:W1375,$B1387&amp;" ~*")&gt;0)+(IFERROR(INDEX(Setup!$G$33:$G$40,MATCH(Y1387,Setup!$B$33:$B$40,0)),0)=1)*(COUNTIF(Y1358:Y1375,$B1387)+COUNTIF(Y1358:Y1375,$B1387&amp;" ~*")&gt;0))</f>
        <v/>
      </c>
    </row>
    <row r="1388" ht="15" customHeight="1">
      <c r="A1388" t="n">
        <v>28</v>
      </c>
      <c r="B1388" s="37">
        <f>IF(Setup!$B$17="","",Setup!$B$17)</f>
        <v/>
      </c>
      <c r="C1388" s="102" t="n"/>
      <c r="D1388" s="103" t="n"/>
      <c r="E1388" s="103" t="n"/>
      <c r="F1388" s="104" t="n"/>
      <c r="G1388" s="102" t="n"/>
      <c r="H1388" s="103" t="n"/>
      <c r="I1388" s="103" t="n"/>
      <c r="J1388" s="104" t="n"/>
      <c r="K1388" s="102" t="n"/>
      <c r="L1388" s="103" t="n"/>
      <c r="M1388" s="103" t="n"/>
      <c r="N1388" s="104" t="n"/>
      <c r="O1388" s="102" t="n"/>
      <c r="P1388" s="103" t="n"/>
      <c r="Q1388" s="103" t="n"/>
      <c r="R1388" s="104" t="n"/>
      <c r="S1388" s="102" t="n"/>
      <c r="T1388" s="103" t="n"/>
      <c r="U1388" s="103" t="n"/>
      <c r="V1388" s="104" t="n"/>
      <c r="W1388" s="102" t="n"/>
      <c r="X1388" s="104" t="n"/>
      <c r="Y1388" s="102" t="n"/>
      <c r="Z1388" s="104" t="n"/>
      <c r="AB1388" s="105">
        <f>IF($B1388="","",(COUNTIF(C1358:E1375,$B1388)+COUNTIF(C1358:E1375,$B1388&amp;" ~*")&gt;0)+(COUNTIF(G1358:I1375,$B1388)+COUNTIF(G1358:I1375,$B1388&amp;" ~*")&gt;0)+(COUNTIF(K1358:M1375,$B1388)+COUNTIF(K1358:M1375,$B1388&amp;" ~*")&gt;0)+(COUNTIF(O1358:Q1375,$B1388)+COUNTIF(O1358:Q1375,$B1388&amp;" ~*")&gt;0)+(COUNTIF(S1358:U1375,$B1388)+COUNTIF(S1358:U1375,$B1388&amp;" ~*")&gt;0)+(COUNTIF(W1358:W1375,$B1388)+COUNTIF(W1358:W1375,$B1388&amp;" ~*")&gt;0)+(COUNTIF(Y1358:Y1375,$B1388)+COUNTIF(Y1358:Y1375,$B1388&amp;" ~*")&gt;0))</f>
        <v/>
      </c>
      <c r="AC1388" s="38">
        <f>IF($B1388="","",(IFERROR(INDEX(Setup!$G$33:$G$40,MATCH(C1388,Setup!$B$33:$B$40,0)),0)=1)*(COUNTIF(C1358:E1375,$B1388)+COUNTIF(C1358:E1375,$B1388&amp;" ~*")&gt;0)+(IFERROR(INDEX(Setup!$G$33:$G$40,MATCH(G1388,Setup!$B$33:$B$40,0)),0)=1)*(COUNTIF(G1358:I1375,$B1388)+COUNTIF(G1358:I1375,$B1388&amp;" ~*")&gt;0)+(IFERROR(INDEX(Setup!$G$33:$G$40,MATCH(K1388,Setup!$B$33:$B$40,0)),0)=1)*(COUNTIF(K1358:M1375,$B1388)+COUNTIF(K1358:M1375,$B1388&amp;" ~*")&gt;0)+(IFERROR(INDEX(Setup!$G$33:$G$40,MATCH(O1388,Setup!$B$33:$B$40,0)),0)=1)*(COUNTIF(O1358:Q1375,$B1388)+COUNTIF(O1358:Q1375,$B1388&amp;" ~*")&gt;0)+(IFERROR(INDEX(Setup!$G$33:$G$40,MATCH(S1388,Setup!$B$33:$B$40,0)),0)=1)*(COUNTIF(S1358:U1375,$B1388)+COUNTIF(S1358:U1375,$B1388&amp;" ~*")&gt;0)+(IFERROR(INDEX(Setup!$G$33:$G$40,MATCH(W1388,Setup!$B$33:$B$40,0)),0)=1)*(COUNTIF(W1358:W1375,$B1388)+COUNTIF(W1358:W1375,$B1388&amp;" ~*")&gt;0)+(IFERROR(INDEX(Setup!$G$33:$G$40,MATCH(Y1388,Setup!$B$33:$B$40,0)),0)=1)*(COUNTIF(Y1358:Y1375,$B1388)+COUNTIF(Y1358:Y1375,$B1388&amp;" ~*")&gt;0))</f>
        <v/>
      </c>
    </row>
    <row r="1389" ht="15" customHeight="1">
      <c r="A1389" t="n">
        <v>28</v>
      </c>
      <c r="B1389" s="35">
        <f>IF(Setup!$B$18="","",Setup!$B$18)</f>
        <v/>
      </c>
      <c r="C1389" s="98" t="n"/>
      <c r="D1389" s="99" t="n"/>
      <c r="E1389" s="99" t="n"/>
      <c r="F1389" s="100" t="n"/>
      <c r="G1389" s="98" t="n"/>
      <c r="H1389" s="99" t="n"/>
      <c r="I1389" s="99" t="n"/>
      <c r="J1389" s="100" t="n"/>
      <c r="K1389" s="98" t="n"/>
      <c r="L1389" s="99" t="n"/>
      <c r="M1389" s="99" t="n"/>
      <c r="N1389" s="100" t="n"/>
      <c r="O1389" s="98" t="n"/>
      <c r="P1389" s="99" t="n"/>
      <c r="Q1389" s="99" t="n"/>
      <c r="R1389" s="100" t="n"/>
      <c r="S1389" s="98" t="n"/>
      <c r="T1389" s="99" t="n"/>
      <c r="U1389" s="99" t="n"/>
      <c r="V1389" s="100" t="n"/>
      <c r="W1389" s="98" t="n"/>
      <c r="X1389" s="100" t="n"/>
      <c r="Y1389" s="98" t="n"/>
      <c r="Z1389" s="100" t="n"/>
      <c r="AB1389" s="101">
        <f>IF($B1389="","",(COUNTIF(C1358:E1375,$B1389)+COUNTIF(C1358:E1375,$B1389&amp;" ~*")&gt;0)+(COUNTIF(G1358:I1375,$B1389)+COUNTIF(G1358:I1375,$B1389&amp;" ~*")&gt;0)+(COUNTIF(K1358:M1375,$B1389)+COUNTIF(K1358:M1375,$B1389&amp;" ~*")&gt;0)+(COUNTIF(O1358:Q1375,$B1389)+COUNTIF(O1358:Q1375,$B1389&amp;" ~*")&gt;0)+(COUNTIF(S1358:U1375,$B1389)+COUNTIF(S1358:U1375,$B1389&amp;" ~*")&gt;0)+(COUNTIF(W1358:W1375,$B1389)+COUNTIF(W1358:W1375,$B1389&amp;" ~*")&gt;0)+(COUNTIF(Y1358:Y1375,$B1389)+COUNTIF(Y1358:Y1375,$B1389&amp;" ~*")&gt;0))</f>
        <v/>
      </c>
      <c r="AC1389" s="36">
        <f>IF($B1389="","",(IFERROR(INDEX(Setup!$G$33:$G$40,MATCH(C1389,Setup!$B$33:$B$40,0)),0)=1)*(COUNTIF(C1358:E1375,$B1389)+COUNTIF(C1358:E1375,$B1389&amp;" ~*")&gt;0)+(IFERROR(INDEX(Setup!$G$33:$G$40,MATCH(G1389,Setup!$B$33:$B$40,0)),0)=1)*(COUNTIF(G1358:I1375,$B1389)+COUNTIF(G1358:I1375,$B1389&amp;" ~*")&gt;0)+(IFERROR(INDEX(Setup!$G$33:$G$40,MATCH(K1389,Setup!$B$33:$B$40,0)),0)=1)*(COUNTIF(K1358:M1375,$B1389)+COUNTIF(K1358:M1375,$B1389&amp;" ~*")&gt;0)+(IFERROR(INDEX(Setup!$G$33:$G$40,MATCH(O1389,Setup!$B$33:$B$40,0)),0)=1)*(COUNTIF(O1358:Q1375,$B1389)+COUNTIF(O1358:Q1375,$B1389&amp;" ~*")&gt;0)+(IFERROR(INDEX(Setup!$G$33:$G$40,MATCH(S1389,Setup!$B$33:$B$40,0)),0)=1)*(COUNTIF(S1358:U1375,$B1389)+COUNTIF(S1358:U1375,$B1389&amp;" ~*")&gt;0)+(IFERROR(INDEX(Setup!$G$33:$G$40,MATCH(W1389,Setup!$B$33:$B$40,0)),0)=1)*(COUNTIF(W1358:W1375,$B1389)+COUNTIF(W1358:W1375,$B1389&amp;" ~*")&gt;0)+(IFERROR(INDEX(Setup!$G$33:$G$40,MATCH(Y1389,Setup!$B$33:$B$40,0)),0)=1)*(COUNTIF(Y1358:Y1375,$B1389)+COUNTIF(Y1358:Y1375,$B1389&amp;" ~*")&gt;0))</f>
        <v/>
      </c>
    </row>
    <row r="1390" ht="15" customHeight="1">
      <c r="A1390" t="n">
        <v>28</v>
      </c>
      <c r="B1390" s="37">
        <f>IF(Setup!$B$19="","",Setup!$B$19)</f>
        <v/>
      </c>
      <c r="C1390" s="102" t="n"/>
      <c r="D1390" s="103" t="n"/>
      <c r="E1390" s="103" t="n"/>
      <c r="F1390" s="104" t="n"/>
      <c r="G1390" s="102" t="n"/>
      <c r="H1390" s="103" t="n"/>
      <c r="I1390" s="103" t="n"/>
      <c r="J1390" s="104" t="n"/>
      <c r="K1390" s="102" t="n"/>
      <c r="L1390" s="103" t="n"/>
      <c r="M1390" s="103" t="n"/>
      <c r="N1390" s="104" t="n"/>
      <c r="O1390" s="102" t="n"/>
      <c r="P1390" s="103" t="n"/>
      <c r="Q1390" s="103" t="n"/>
      <c r="R1390" s="104" t="n"/>
      <c r="S1390" s="102" t="n"/>
      <c r="T1390" s="103" t="n"/>
      <c r="U1390" s="103" t="n"/>
      <c r="V1390" s="104" t="n"/>
      <c r="W1390" s="102" t="n"/>
      <c r="X1390" s="104" t="n"/>
      <c r="Y1390" s="102" t="n"/>
      <c r="Z1390" s="104" t="n"/>
      <c r="AB1390" s="105">
        <f>IF($B1390="","",(COUNTIF(C1358:E1375,$B1390)+COUNTIF(C1358:E1375,$B1390&amp;" ~*")&gt;0)+(COUNTIF(G1358:I1375,$B1390)+COUNTIF(G1358:I1375,$B1390&amp;" ~*")&gt;0)+(COUNTIF(K1358:M1375,$B1390)+COUNTIF(K1358:M1375,$B1390&amp;" ~*")&gt;0)+(COUNTIF(O1358:Q1375,$B1390)+COUNTIF(O1358:Q1375,$B1390&amp;" ~*")&gt;0)+(COUNTIF(S1358:U1375,$B1390)+COUNTIF(S1358:U1375,$B1390&amp;" ~*")&gt;0)+(COUNTIF(W1358:W1375,$B1390)+COUNTIF(W1358:W1375,$B1390&amp;" ~*")&gt;0)+(COUNTIF(Y1358:Y1375,$B1390)+COUNTIF(Y1358:Y1375,$B1390&amp;" ~*")&gt;0))</f>
        <v/>
      </c>
      <c r="AC1390" s="38">
        <f>IF($B1390="","",(IFERROR(INDEX(Setup!$G$33:$G$40,MATCH(C1390,Setup!$B$33:$B$40,0)),0)=1)*(COUNTIF(C1358:E1375,$B1390)+COUNTIF(C1358:E1375,$B1390&amp;" ~*")&gt;0)+(IFERROR(INDEX(Setup!$G$33:$G$40,MATCH(G1390,Setup!$B$33:$B$40,0)),0)=1)*(COUNTIF(G1358:I1375,$B1390)+COUNTIF(G1358:I1375,$B1390&amp;" ~*")&gt;0)+(IFERROR(INDEX(Setup!$G$33:$G$40,MATCH(K1390,Setup!$B$33:$B$40,0)),0)=1)*(COUNTIF(K1358:M1375,$B1390)+COUNTIF(K1358:M1375,$B1390&amp;" ~*")&gt;0)+(IFERROR(INDEX(Setup!$G$33:$G$40,MATCH(O1390,Setup!$B$33:$B$40,0)),0)=1)*(COUNTIF(O1358:Q1375,$B1390)+COUNTIF(O1358:Q1375,$B1390&amp;" ~*")&gt;0)+(IFERROR(INDEX(Setup!$G$33:$G$40,MATCH(S1390,Setup!$B$33:$B$40,0)),0)=1)*(COUNTIF(S1358:U1375,$B1390)+COUNTIF(S1358:U1375,$B1390&amp;" ~*")&gt;0)+(IFERROR(INDEX(Setup!$G$33:$G$40,MATCH(W1390,Setup!$B$33:$B$40,0)),0)=1)*(COUNTIF(W1358:W1375,$B1390)+COUNTIF(W1358:W1375,$B1390&amp;" ~*")&gt;0)+(IFERROR(INDEX(Setup!$G$33:$G$40,MATCH(Y1390,Setup!$B$33:$B$40,0)),0)=1)*(COUNTIF(Y1358:Y1375,$B1390)+COUNTIF(Y1358:Y1375,$B1390&amp;" ~*")&gt;0))</f>
        <v/>
      </c>
    </row>
    <row r="1391" ht="15" customHeight="1">
      <c r="A1391" t="n">
        <v>28</v>
      </c>
      <c r="B1391" s="35">
        <f>IF(Setup!$B$20="","",Setup!$B$20)</f>
        <v/>
      </c>
      <c r="C1391" s="98" t="n"/>
      <c r="D1391" s="99" t="n"/>
      <c r="E1391" s="99" t="n"/>
      <c r="F1391" s="100" t="n"/>
      <c r="G1391" s="98" t="n"/>
      <c r="H1391" s="99" t="n"/>
      <c r="I1391" s="99" t="n"/>
      <c r="J1391" s="100" t="n"/>
      <c r="K1391" s="98" t="n"/>
      <c r="L1391" s="99" t="n"/>
      <c r="M1391" s="99" t="n"/>
      <c r="N1391" s="100" t="n"/>
      <c r="O1391" s="98" t="n"/>
      <c r="P1391" s="99" t="n"/>
      <c r="Q1391" s="99" t="n"/>
      <c r="R1391" s="100" t="n"/>
      <c r="S1391" s="98" t="n"/>
      <c r="T1391" s="99" t="n"/>
      <c r="U1391" s="99" t="n"/>
      <c r="V1391" s="100" t="n"/>
      <c r="W1391" s="98" t="n"/>
      <c r="X1391" s="100" t="n"/>
      <c r="Y1391" s="98" t="n"/>
      <c r="Z1391" s="100" t="n"/>
      <c r="AB1391" s="101">
        <f>IF($B1391="","",(COUNTIF(C1358:E1375,$B1391)+COUNTIF(C1358:E1375,$B1391&amp;" ~*")&gt;0)+(COUNTIF(G1358:I1375,$B1391)+COUNTIF(G1358:I1375,$B1391&amp;" ~*")&gt;0)+(COUNTIF(K1358:M1375,$B1391)+COUNTIF(K1358:M1375,$B1391&amp;" ~*")&gt;0)+(COUNTIF(O1358:Q1375,$B1391)+COUNTIF(O1358:Q1375,$B1391&amp;" ~*")&gt;0)+(COUNTIF(S1358:U1375,$B1391)+COUNTIF(S1358:U1375,$B1391&amp;" ~*")&gt;0)+(COUNTIF(W1358:W1375,$B1391)+COUNTIF(W1358:W1375,$B1391&amp;" ~*")&gt;0)+(COUNTIF(Y1358:Y1375,$B1391)+COUNTIF(Y1358:Y1375,$B1391&amp;" ~*")&gt;0))</f>
        <v/>
      </c>
      <c r="AC1391" s="36">
        <f>IF($B1391="","",(IFERROR(INDEX(Setup!$G$33:$G$40,MATCH(C1391,Setup!$B$33:$B$40,0)),0)=1)*(COUNTIF(C1358:E1375,$B1391)+COUNTIF(C1358:E1375,$B1391&amp;" ~*")&gt;0)+(IFERROR(INDEX(Setup!$G$33:$G$40,MATCH(G1391,Setup!$B$33:$B$40,0)),0)=1)*(COUNTIF(G1358:I1375,$B1391)+COUNTIF(G1358:I1375,$B1391&amp;" ~*")&gt;0)+(IFERROR(INDEX(Setup!$G$33:$G$40,MATCH(K1391,Setup!$B$33:$B$40,0)),0)=1)*(COUNTIF(K1358:M1375,$B1391)+COUNTIF(K1358:M1375,$B1391&amp;" ~*")&gt;0)+(IFERROR(INDEX(Setup!$G$33:$G$40,MATCH(O1391,Setup!$B$33:$B$40,0)),0)=1)*(COUNTIF(O1358:Q1375,$B1391)+COUNTIF(O1358:Q1375,$B1391&amp;" ~*")&gt;0)+(IFERROR(INDEX(Setup!$G$33:$G$40,MATCH(S1391,Setup!$B$33:$B$40,0)),0)=1)*(COUNTIF(S1358:U1375,$B1391)+COUNTIF(S1358:U1375,$B1391&amp;" ~*")&gt;0)+(IFERROR(INDEX(Setup!$G$33:$G$40,MATCH(W1391,Setup!$B$33:$B$40,0)),0)=1)*(COUNTIF(W1358:W1375,$B1391)+COUNTIF(W1358:W1375,$B1391&amp;" ~*")&gt;0)+(IFERROR(INDEX(Setup!$G$33:$G$40,MATCH(Y1391,Setup!$B$33:$B$40,0)),0)=1)*(COUNTIF(Y1358:Y1375,$B1391)+COUNTIF(Y1358:Y1375,$B1391&amp;" ~*")&gt;0))</f>
        <v/>
      </c>
    </row>
    <row r="1392" ht="15" customHeight="1">
      <c r="A1392" t="n">
        <v>28</v>
      </c>
      <c r="B1392" s="37">
        <f>IF(Setup!$B$21="","",Setup!$B$21)</f>
        <v/>
      </c>
      <c r="C1392" s="102" t="n"/>
      <c r="D1392" s="103" t="n"/>
      <c r="E1392" s="103" t="n"/>
      <c r="F1392" s="104" t="n"/>
      <c r="G1392" s="102" t="n"/>
      <c r="H1392" s="103" t="n"/>
      <c r="I1392" s="103" t="n"/>
      <c r="J1392" s="104" t="n"/>
      <c r="K1392" s="102" t="n"/>
      <c r="L1392" s="103" t="n"/>
      <c r="M1392" s="103" t="n"/>
      <c r="N1392" s="104" t="n"/>
      <c r="O1392" s="102" t="n"/>
      <c r="P1392" s="103" t="n"/>
      <c r="Q1392" s="103" t="n"/>
      <c r="R1392" s="104" t="n"/>
      <c r="S1392" s="102" t="n"/>
      <c r="T1392" s="103" t="n"/>
      <c r="U1392" s="103" t="n"/>
      <c r="V1392" s="104" t="n"/>
      <c r="W1392" s="102" t="n"/>
      <c r="X1392" s="104" t="n"/>
      <c r="Y1392" s="102" t="n"/>
      <c r="Z1392" s="104" t="n"/>
      <c r="AB1392" s="105">
        <f>IF($B1392="","",(COUNTIF(C1358:E1375,$B1392)+COUNTIF(C1358:E1375,$B1392&amp;" ~*")&gt;0)+(COUNTIF(G1358:I1375,$B1392)+COUNTIF(G1358:I1375,$B1392&amp;" ~*")&gt;0)+(COUNTIF(K1358:M1375,$B1392)+COUNTIF(K1358:M1375,$B1392&amp;" ~*")&gt;0)+(COUNTIF(O1358:Q1375,$B1392)+COUNTIF(O1358:Q1375,$B1392&amp;" ~*")&gt;0)+(COUNTIF(S1358:U1375,$B1392)+COUNTIF(S1358:U1375,$B1392&amp;" ~*")&gt;0)+(COUNTIF(W1358:W1375,$B1392)+COUNTIF(W1358:W1375,$B1392&amp;" ~*")&gt;0)+(COUNTIF(Y1358:Y1375,$B1392)+COUNTIF(Y1358:Y1375,$B1392&amp;" ~*")&gt;0))</f>
        <v/>
      </c>
      <c r="AC1392" s="38">
        <f>IF($B1392="","",(IFERROR(INDEX(Setup!$G$33:$G$40,MATCH(C1392,Setup!$B$33:$B$40,0)),0)=1)*(COUNTIF(C1358:E1375,$B1392)+COUNTIF(C1358:E1375,$B1392&amp;" ~*")&gt;0)+(IFERROR(INDEX(Setup!$G$33:$G$40,MATCH(G1392,Setup!$B$33:$B$40,0)),0)=1)*(COUNTIF(G1358:I1375,$B1392)+COUNTIF(G1358:I1375,$B1392&amp;" ~*")&gt;0)+(IFERROR(INDEX(Setup!$G$33:$G$40,MATCH(K1392,Setup!$B$33:$B$40,0)),0)=1)*(COUNTIF(K1358:M1375,$B1392)+COUNTIF(K1358:M1375,$B1392&amp;" ~*")&gt;0)+(IFERROR(INDEX(Setup!$G$33:$G$40,MATCH(O1392,Setup!$B$33:$B$40,0)),0)=1)*(COUNTIF(O1358:Q1375,$B1392)+COUNTIF(O1358:Q1375,$B1392&amp;" ~*")&gt;0)+(IFERROR(INDEX(Setup!$G$33:$G$40,MATCH(S1392,Setup!$B$33:$B$40,0)),0)=1)*(COUNTIF(S1358:U1375,$B1392)+COUNTIF(S1358:U1375,$B1392&amp;" ~*")&gt;0)+(IFERROR(INDEX(Setup!$G$33:$G$40,MATCH(W1392,Setup!$B$33:$B$40,0)),0)=1)*(COUNTIF(W1358:W1375,$B1392)+COUNTIF(W1358:W1375,$B1392&amp;" ~*")&gt;0)+(IFERROR(INDEX(Setup!$G$33:$G$40,MATCH(Y1392,Setup!$B$33:$B$40,0)),0)=1)*(COUNTIF(Y1358:Y1375,$B1392)+COUNTIF(Y1358:Y1375,$B1392&amp;" ~*")&gt;0))</f>
        <v/>
      </c>
    </row>
    <row r="1393" ht="15" customHeight="1">
      <c r="A1393" t="n">
        <v>28</v>
      </c>
      <c r="B1393" s="35">
        <f>IF(Setup!$B$22="","",Setup!$B$22)</f>
        <v/>
      </c>
      <c r="C1393" s="98" t="n"/>
      <c r="D1393" s="99" t="n"/>
      <c r="E1393" s="99" t="n"/>
      <c r="F1393" s="100" t="n"/>
      <c r="G1393" s="98" t="n"/>
      <c r="H1393" s="99" t="n"/>
      <c r="I1393" s="99" t="n"/>
      <c r="J1393" s="100" t="n"/>
      <c r="K1393" s="98" t="n"/>
      <c r="L1393" s="99" t="n"/>
      <c r="M1393" s="99" t="n"/>
      <c r="N1393" s="100" t="n"/>
      <c r="O1393" s="98" t="n"/>
      <c r="P1393" s="99" t="n"/>
      <c r="Q1393" s="99" t="n"/>
      <c r="R1393" s="100" t="n"/>
      <c r="S1393" s="98" t="n"/>
      <c r="T1393" s="99" t="n"/>
      <c r="U1393" s="99" t="n"/>
      <c r="V1393" s="100" t="n"/>
      <c r="W1393" s="98" t="n"/>
      <c r="X1393" s="100" t="n"/>
      <c r="Y1393" s="98" t="n"/>
      <c r="Z1393" s="100" t="n"/>
      <c r="AB1393" s="101">
        <f>IF($B1393="","",(COUNTIF(C1358:E1375,$B1393)+COUNTIF(C1358:E1375,$B1393&amp;" ~*")&gt;0)+(COUNTIF(G1358:I1375,$B1393)+COUNTIF(G1358:I1375,$B1393&amp;" ~*")&gt;0)+(COUNTIF(K1358:M1375,$B1393)+COUNTIF(K1358:M1375,$B1393&amp;" ~*")&gt;0)+(COUNTIF(O1358:Q1375,$B1393)+COUNTIF(O1358:Q1375,$B1393&amp;" ~*")&gt;0)+(COUNTIF(S1358:U1375,$B1393)+COUNTIF(S1358:U1375,$B1393&amp;" ~*")&gt;0)+(COUNTIF(W1358:W1375,$B1393)+COUNTIF(W1358:W1375,$B1393&amp;" ~*")&gt;0)+(COUNTIF(Y1358:Y1375,$B1393)+COUNTIF(Y1358:Y1375,$B1393&amp;" ~*")&gt;0))</f>
        <v/>
      </c>
      <c r="AC1393" s="36">
        <f>IF($B1393="","",(IFERROR(INDEX(Setup!$G$33:$G$40,MATCH(C1393,Setup!$B$33:$B$40,0)),0)=1)*(COUNTIF(C1358:E1375,$B1393)+COUNTIF(C1358:E1375,$B1393&amp;" ~*")&gt;0)+(IFERROR(INDEX(Setup!$G$33:$G$40,MATCH(G1393,Setup!$B$33:$B$40,0)),0)=1)*(COUNTIF(G1358:I1375,$B1393)+COUNTIF(G1358:I1375,$B1393&amp;" ~*")&gt;0)+(IFERROR(INDEX(Setup!$G$33:$G$40,MATCH(K1393,Setup!$B$33:$B$40,0)),0)=1)*(COUNTIF(K1358:M1375,$B1393)+COUNTIF(K1358:M1375,$B1393&amp;" ~*")&gt;0)+(IFERROR(INDEX(Setup!$G$33:$G$40,MATCH(O1393,Setup!$B$33:$B$40,0)),0)=1)*(COUNTIF(O1358:Q1375,$B1393)+COUNTIF(O1358:Q1375,$B1393&amp;" ~*")&gt;0)+(IFERROR(INDEX(Setup!$G$33:$G$40,MATCH(S1393,Setup!$B$33:$B$40,0)),0)=1)*(COUNTIF(S1358:U1375,$B1393)+COUNTIF(S1358:U1375,$B1393&amp;" ~*")&gt;0)+(IFERROR(INDEX(Setup!$G$33:$G$40,MATCH(W1393,Setup!$B$33:$B$40,0)),0)=1)*(COUNTIF(W1358:W1375,$B1393)+COUNTIF(W1358:W1375,$B1393&amp;" ~*")&gt;0)+(IFERROR(INDEX(Setup!$G$33:$G$40,MATCH(Y1393,Setup!$B$33:$B$40,0)),0)=1)*(COUNTIF(Y1358:Y1375,$B1393)+COUNTIF(Y1358:Y1375,$B1393&amp;" ~*")&gt;0))</f>
        <v/>
      </c>
    </row>
    <row r="1394" ht="15" customHeight="1">
      <c r="A1394" t="n">
        <v>28</v>
      </c>
      <c r="B1394" s="37">
        <f>IF(Setup!$B$23="","",Setup!$B$23)</f>
        <v/>
      </c>
      <c r="C1394" s="102" t="n"/>
      <c r="D1394" s="103" t="n"/>
      <c r="E1394" s="103" t="n"/>
      <c r="F1394" s="104" t="n"/>
      <c r="G1394" s="102" t="n"/>
      <c r="H1394" s="103" t="n"/>
      <c r="I1394" s="103" t="n"/>
      <c r="J1394" s="104" t="n"/>
      <c r="K1394" s="102" t="n"/>
      <c r="L1394" s="103" t="n"/>
      <c r="M1394" s="103" t="n"/>
      <c r="N1394" s="104" t="n"/>
      <c r="O1394" s="102" t="n"/>
      <c r="P1394" s="103" t="n"/>
      <c r="Q1394" s="103" t="n"/>
      <c r="R1394" s="104" t="n"/>
      <c r="S1394" s="102" t="n"/>
      <c r="T1394" s="103" t="n"/>
      <c r="U1394" s="103" t="n"/>
      <c r="V1394" s="104" t="n"/>
      <c r="W1394" s="102" t="n"/>
      <c r="X1394" s="104" t="n"/>
      <c r="Y1394" s="102" t="n"/>
      <c r="Z1394" s="104" t="n"/>
      <c r="AB1394" s="105">
        <f>IF($B1394="","",(COUNTIF(C1358:E1375,$B1394)+COUNTIF(C1358:E1375,$B1394&amp;" ~*")&gt;0)+(COUNTIF(G1358:I1375,$B1394)+COUNTIF(G1358:I1375,$B1394&amp;" ~*")&gt;0)+(COUNTIF(K1358:M1375,$B1394)+COUNTIF(K1358:M1375,$B1394&amp;" ~*")&gt;0)+(COUNTIF(O1358:Q1375,$B1394)+COUNTIF(O1358:Q1375,$B1394&amp;" ~*")&gt;0)+(COUNTIF(S1358:U1375,$B1394)+COUNTIF(S1358:U1375,$B1394&amp;" ~*")&gt;0)+(COUNTIF(W1358:W1375,$B1394)+COUNTIF(W1358:W1375,$B1394&amp;" ~*")&gt;0)+(COUNTIF(Y1358:Y1375,$B1394)+COUNTIF(Y1358:Y1375,$B1394&amp;" ~*")&gt;0))</f>
        <v/>
      </c>
      <c r="AC1394" s="38">
        <f>IF($B1394="","",(IFERROR(INDEX(Setup!$G$33:$G$40,MATCH(C1394,Setup!$B$33:$B$40,0)),0)=1)*(COUNTIF(C1358:E1375,$B1394)+COUNTIF(C1358:E1375,$B1394&amp;" ~*")&gt;0)+(IFERROR(INDEX(Setup!$G$33:$G$40,MATCH(G1394,Setup!$B$33:$B$40,0)),0)=1)*(COUNTIF(G1358:I1375,$B1394)+COUNTIF(G1358:I1375,$B1394&amp;" ~*")&gt;0)+(IFERROR(INDEX(Setup!$G$33:$G$40,MATCH(K1394,Setup!$B$33:$B$40,0)),0)=1)*(COUNTIF(K1358:M1375,$B1394)+COUNTIF(K1358:M1375,$B1394&amp;" ~*")&gt;0)+(IFERROR(INDEX(Setup!$G$33:$G$40,MATCH(O1394,Setup!$B$33:$B$40,0)),0)=1)*(COUNTIF(O1358:Q1375,$B1394)+COUNTIF(O1358:Q1375,$B1394&amp;" ~*")&gt;0)+(IFERROR(INDEX(Setup!$G$33:$G$40,MATCH(S1394,Setup!$B$33:$B$40,0)),0)=1)*(COUNTIF(S1358:U1375,$B1394)+COUNTIF(S1358:U1375,$B1394&amp;" ~*")&gt;0)+(IFERROR(INDEX(Setup!$G$33:$G$40,MATCH(W1394,Setup!$B$33:$B$40,0)),0)=1)*(COUNTIF(W1358:W1375,$B1394)+COUNTIF(W1358:W1375,$B1394&amp;" ~*")&gt;0)+(IFERROR(INDEX(Setup!$G$33:$G$40,MATCH(Y1394,Setup!$B$33:$B$40,0)),0)=1)*(COUNTIF(Y1358:Y1375,$B1394)+COUNTIF(Y1358:Y1375,$B1394&amp;" ~*")&gt;0))</f>
        <v/>
      </c>
    </row>
    <row r="1395" ht="15" customHeight="1">
      <c r="A1395" t="n">
        <v>28</v>
      </c>
      <c r="B1395" s="35">
        <f>IF(Setup!$B$24="","",Setup!$B$24)</f>
        <v/>
      </c>
      <c r="C1395" s="98" t="n"/>
      <c r="D1395" s="99" t="n"/>
      <c r="E1395" s="99" t="n"/>
      <c r="F1395" s="100" t="n"/>
      <c r="G1395" s="98" t="n"/>
      <c r="H1395" s="99" t="n"/>
      <c r="I1395" s="99" t="n"/>
      <c r="J1395" s="100" t="n"/>
      <c r="K1395" s="98" t="n"/>
      <c r="L1395" s="99" t="n"/>
      <c r="M1395" s="99" t="n"/>
      <c r="N1395" s="100" t="n"/>
      <c r="O1395" s="98" t="n"/>
      <c r="P1395" s="99" t="n"/>
      <c r="Q1395" s="99" t="n"/>
      <c r="R1395" s="100" t="n"/>
      <c r="S1395" s="98" t="n"/>
      <c r="T1395" s="99" t="n"/>
      <c r="U1395" s="99" t="n"/>
      <c r="V1395" s="100" t="n"/>
      <c r="W1395" s="98" t="n"/>
      <c r="X1395" s="100" t="n"/>
      <c r="Y1395" s="98" t="n"/>
      <c r="Z1395" s="100" t="n"/>
      <c r="AB1395" s="101">
        <f>IF($B1395="","",(COUNTIF(C1358:E1375,$B1395)+COUNTIF(C1358:E1375,$B1395&amp;" ~*")&gt;0)+(COUNTIF(G1358:I1375,$B1395)+COUNTIF(G1358:I1375,$B1395&amp;" ~*")&gt;0)+(COUNTIF(K1358:M1375,$B1395)+COUNTIF(K1358:M1375,$B1395&amp;" ~*")&gt;0)+(COUNTIF(O1358:Q1375,$B1395)+COUNTIF(O1358:Q1375,$B1395&amp;" ~*")&gt;0)+(COUNTIF(S1358:U1375,$B1395)+COUNTIF(S1358:U1375,$B1395&amp;" ~*")&gt;0)+(COUNTIF(W1358:W1375,$B1395)+COUNTIF(W1358:W1375,$B1395&amp;" ~*")&gt;0)+(COUNTIF(Y1358:Y1375,$B1395)+COUNTIF(Y1358:Y1375,$B1395&amp;" ~*")&gt;0))</f>
        <v/>
      </c>
      <c r="AC1395" s="36">
        <f>IF($B1395="","",(IFERROR(INDEX(Setup!$G$33:$G$40,MATCH(C1395,Setup!$B$33:$B$40,0)),0)=1)*(COUNTIF(C1358:E1375,$B1395)+COUNTIF(C1358:E1375,$B1395&amp;" ~*")&gt;0)+(IFERROR(INDEX(Setup!$G$33:$G$40,MATCH(G1395,Setup!$B$33:$B$40,0)),0)=1)*(COUNTIF(G1358:I1375,$B1395)+COUNTIF(G1358:I1375,$B1395&amp;" ~*")&gt;0)+(IFERROR(INDEX(Setup!$G$33:$G$40,MATCH(K1395,Setup!$B$33:$B$40,0)),0)=1)*(COUNTIF(K1358:M1375,$B1395)+COUNTIF(K1358:M1375,$B1395&amp;" ~*")&gt;0)+(IFERROR(INDEX(Setup!$G$33:$G$40,MATCH(O1395,Setup!$B$33:$B$40,0)),0)=1)*(COUNTIF(O1358:Q1375,$B1395)+COUNTIF(O1358:Q1375,$B1395&amp;" ~*")&gt;0)+(IFERROR(INDEX(Setup!$G$33:$G$40,MATCH(S1395,Setup!$B$33:$B$40,0)),0)=1)*(COUNTIF(S1358:U1375,$B1395)+COUNTIF(S1358:U1375,$B1395&amp;" ~*")&gt;0)+(IFERROR(INDEX(Setup!$G$33:$G$40,MATCH(W1395,Setup!$B$33:$B$40,0)),0)=1)*(COUNTIF(W1358:W1375,$B1395)+COUNTIF(W1358:W1375,$B1395&amp;" ~*")&gt;0)+(IFERROR(INDEX(Setup!$G$33:$G$40,MATCH(Y1395,Setup!$B$33:$B$40,0)),0)=1)*(COUNTIF(Y1358:Y1375,$B1395)+COUNTIF(Y1358:Y1375,$B1395&amp;" ~*")&gt;0))</f>
        <v/>
      </c>
    </row>
    <row r="1396" ht="15" customHeight="1">
      <c r="A1396" t="n">
        <v>28</v>
      </c>
      <c r="B1396" s="37">
        <f>IF(Setup!$B$25="","",Setup!$B$25)</f>
        <v/>
      </c>
      <c r="C1396" s="102" t="n"/>
      <c r="D1396" s="103" t="n"/>
      <c r="E1396" s="103" t="n"/>
      <c r="F1396" s="104" t="n"/>
      <c r="G1396" s="102" t="n"/>
      <c r="H1396" s="103" t="n"/>
      <c r="I1396" s="103" t="n"/>
      <c r="J1396" s="104" t="n"/>
      <c r="K1396" s="102" t="n"/>
      <c r="L1396" s="103" t="n"/>
      <c r="M1396" s="103" t="n"/>
      <c r="N1396" s="104" t="n"/>
      <c r="O1396" s="102" t="n"/>
      <c r="P1396" s="103" t="n"/>
      <c r="Q1396" s="103" t="n"/>
      <c r="R1396" s="104" t="n"/>
      <c r="S1396" s="102" t="n"/>
      <c r="T1396" s="103" t="n"/>
      <c r="U1396" s="103" t="n"/>
      <c r="V1396" s="104" t="n"/>
      <c r="W1396" s="102" t="n"/>
      <c r="X1396" s="104" t="n"/>
      <c r="Y1396" s="102" t="n"/>
      <c r="Z1396" s="104" t="n"/>
      <c r="AB1396" s="105">
        <f>IF($B1396="","",(COUNTIF(C1358:E1375,$B1396)+COUNTIF(C1358:E1375,$B1396&amp;" ~*")&gt;0)+(COUNTIF(G1358:I1375,$B1396)+COUNTIF(G1358:I1375,$B1396&amp;" ~*")&gt;0)+(COUNTIF(K1358:M1375,$B1396)+COUNTIF(K1358:M1375,$B1396&amp;" ~*")&gt;0)+(COUNTIF(O1358:Q1375,$B1396)+COUNTIF(O1358:Q1375,$B1396&amp;" ~*")&gt;0)+(COUNTIF(S1358:U1375,$B1396)+COUNTIF(S1358:U1375,$B1396&amp;" ~*")&gt;0)+(COUNTIF(W1358:W1375,$B1396)+COUNTIF(W1358:W1375,$B1396&amp;" ~*")&gt;0)+(COUNTIF(Y1358:Y1375,$B1396)+COUNTIF(Y1358:Y1375,$B1396&amp;" ~*")&gt;0))</f>
        <v/>
      </c>
      <c r="AC1396" s="38">
        <f>IF($B1396="","",(IFERROR(INDEX(Setup!$G$33:$G$40,MATCH(C1396,Setup!$B$33:$B$40,0)),0)=1)*(COUNTIF(C1358:E1375,$B1396)+COUNTIF(C1358:E1375,$B1396&amp;" ~*")&gt;0)+(IFERROR(INDEX(Setup!$G$33:$G$40,MATCH(G1396,Setup!$B$33:$B$40,0)),0)=1)*(COUNTIF(G1358:I1375,$B1396)+COUNTIF(G1358:I1375,$B1396&amp;" ~*")&gt;0)+(IFERROR(INDEX(Setup!$G$33:$G$40,MATCH(K1396,Setup!$B$33:$B$40,0)),0)=1)*(COUNTIF(K1358:M1375,$B1396)+COUNTIF(K1358:M1375,$B1396&amp;" ~*")&gt;0)+(IFERROR(INDEX(Setup!$G$33:$G$40,MATCH(O1396,Setup!$B$33:$B$40,0)),0)=1)*(COUNTIF(O1358:Q1375,$B1396)+COUNTIF(O1358:Q1375,$B1396&amp;" ~*")&gt;0)+(IFERROR(INDEX(Setup!$G$33:$G$40,MATCH(S1396,Setup!$B$33:$B$40,0)),0)=1)*(COUNTIF(S1358:U1375,$B1396)+COUNTIF(S1358:U1375,$B1396&amp;" ~*")&gt;0)+(IFERROR(INDEX(Setup!$G$33:$G$40,MATCH(W1396,Setup!$B$33:$B$40,0)),0)=1)*(COUNTIF(W1358:W1375,$B1396)+COUNTIF(W1358:W1375,$B1396&amp;" ~*")&gt;0)+(IFERROR(INDEX(Setup!$G$33:$G$40,MATCH(Y1396,Setup!$B$33:$B$40,0)),0)=1)*(COUNTIF(Y1358:Y1375,$B1396)+COUNTIF(Y1358:Y1375,$B1396&amp;" ~*")&gt;0))</f>
        <v/>
      </c>
    </row>
    <row r="1397" ht="15" customHeight="1">
      <c r="A1397" t="n">
        <v>28</v>
      </c>
      <c r="B1397" s="35">
        <f>IF(Setup!$B$26="","",Setup!$B$26)</f>
        <v/>
      </c>
      <c r="C1397" s="98" t="n"/>
      <c r="D1397" s="99" t="n"/>
      <c r="E1397" s="99" t="n"/>
      <c r="F1397" s="100" t="n"/>
      <c r="G1397" s="98" t="n"/>
      <c r="H1397" s="99" t="n"/>
      <c r="I1397" s="99" t="n"/>
      <c r="J1397" s="100" t="n"/>
      <c r="K1397" s="98" t="n"/>
      <c r="L1397" s="99" t="n"/>
      <c r="M1397" s="99" t="n"/>
      <c r="N1397" s="100" t="n"/>
      <c r="O1397" s="98" t="n"/>
      <c r="P1397" s="99" t="n"/>
      <c r="Q1397" s="99" t="n"/>
      <c r="R1397" s="100" t="n"/>
      <c r="S1397" s="98" t="n"/>
      <c r="T1397" s="99" t="n"/>
      <c r="U1397" s="99" t="n"/>
      <c r="V1397" s="100" t="n"/>
      <c r="W1397" s="98" t="n"/>
      <c r="X1397" s="100" t="n"/>
      <c r="Y1397" s="98" t="n"/>
      <c r="Z1397" s="100" t="n"/>
      <c r="AB1397" s="101">
        <f>IF($B1397="","",(COUNTIF(C1358:E1375,$B1397)+COUNTIF(C1358:E1375,$B1397&amp;" ~*")&gt;0)+(COUNTIF(G1358:I1375,$B1397)+COUNTIF(G1358:I1375,$B1397&amp;" ~*")&gt;0)+(COUNTIF(K1358:M1375,$B1397)+COUNTIF(K1358:M1375,$B1397&amp;" ~*")&gt;0)+(COUNTIF(O1358:Q1375,$B1397)+COUNTIF(O1358:Q1375,$B1397&amp;" ~*")&gt;0)+(COUNTIF(S1358:U1375,$B1397)+COUNTIF(S1358:U1375,$B1397&amp;" ~*")&gt;0)+(COUNTIF(W1358:W1375,$B1397)+COUNTIF(W1358:W1375,$B1397&amp;" ~*")&gt;0)+(COUNTIF(Y1358:Y1375,$B1397)+COUNTIF(Y1358:Y1375,$B1397&amp;" ~*")&gt;0))</f>
        <v/>
      </c>
      <c r="AC1397" s="36">
        <f>IF($B1397="","",(IFERROR(INDEX(Setup!$G$33:$G$40,MATCH(C1397,Setup!$B$33:$B$40,0)),0)=1)*(COUNTIF(C1358:E1375,$B1397)+COUNTIF(C1358:E1375,$B1397&amp;" ~*")&gt;0)+(IFERROR(INDEX(Setup!$G$33:$G$40,MATCH(G1397,Setup!$B$33:$B$40,0)),0)=1)*(COUNTIF(G1358:I1375,$B1397)+COUNTIF(G1358:I1375,$B1397&amp;" ~*")&gt;0)+(IFERROR(INDEX(Setup!$G$33:$G$40,MATCH(K1397,Setup!$B$33:$B$40,0)),0)=1)*(COUNTIF(K1358:M1375,$B1397)+COUNTIF(K1358:M1375,$B1397&amp;" ~*")&gt;0)+(IFERROR(INDEX(Setup!$G$33:$G$40,MATCH(O1397,Setup!$B$33:$B$40,0)),0)=1)*(COUNTIF(O1358:Q1375,$B1397)+COUNTIF(O1358:Q1375,$B1397&amp;" ~*")&gt;0)+(IFERROR(INDEX(Setup!$G$33:$G$40,MATCH(S1397,Setup!$B$33:$B$40,0)),0)=1)*(COUNTIF(S1358:U1375,$B1397)+COUNTIF(S1358:U1375,$B1397&amp;" ~*")&gt;0)+(IFERROR(INDEX(Setup!$G$33:$G$40,MATCH(W1397,Setup!$B$33:$B$40,0)),0)=1)*(COUNTIF(W1358:W1375,$B1397)+COUNTIF(W1358:W1375,$B1397&amp;" ~*")&gt;0)+(IFERROR(INDEX(Setup!$G$33:$G$40,MATCH(Y1397,Setup!$B$33:$B$40,0)),0)=1)*(COUNTIF(Y1358:Y1375,$B1397)+COUNTIF(Y1358:Y1375,$B1397&amp;" ~*")&gt;0))</f>
        <v/>
      </c>
    </row>
    <row r="1398" ht="15" customHeight="1">
      <c r="A1398" t="n">
        <v>28</v>
      </c>
      <c r="B1398" s="37">
        <f>IF(Setup!$B$27="","",Setup!$B$27)</f>
        <v/>
      </c>
      <c r="C1398" s="102" t="n"/>
      <c r="D1398" s="103" t="n"/>
      <c r="E1398" s="103" t="n"/>
      <c r="F1398" s="104" t="n"/>
      <c r="G1398" s="102" t="n"/>
      <c r="H1398" s="103" t="n"/>
      <c r="I1398" s="103" t="n"/>
      <c r="J1398" s="104" t="n"/>
      <c r="K1398" s="102" t="n"/>
      <c r="L1398" s="103" t="n"/>
      <c r="M1398" s="103" t="n"/>
      <c r="N1398" s="104" t="n"/>
      <c r="O1398" s="102" t="n"/>
      <c r="P1398" s="103" t="n"/>
      <c r="Q1398" s="103" t="n"/>
      <c r="R1398" s="104" t="n"/>
      <c r="S1398" s="102" t="n"/>
      <c r="T1398" s="103" t="n"/>
      <c r="U1398" s="103" t="n"/>
      <c r="V1398" s="104" t="n"/>
      <c r="W1398" s="102" t="n"/>
      <c r="X1398" s="104" t="n"/>
      <c r="Y1398" s="102" t="n"/>
      <c r="Z1398" s="104" t="n"/>
      <c r="AB1398" s="105">
        <f>IF($B1398="","",(COUNTIF(C1358:E1375,$B1398)+COUNTIF(C1358:E1375,$B1398&amp;" ~*")&gt;0)+(COUNTIF(G1358:I1375,$B1398)+COUNTIF(G1358:I1375,$B1398&amp;" ~*")&gt;0)+(COUNTIF(K1358:M1375,$B1398)+COUNTIF(K1358:M1375,$B1398&amp;" ~*")&gt;0)+(COUNTIF(O1358:Q1375,$B1398)+COUNTIF(O1358:Q1375,$B1398&amp;" ~*")&gt;0)+(COUNTIF(S1358:U1375,$B1398)+COUNTIF(S1358:U1375,$B1398&amp;" ~*")&gt;0)+(COUNTIF(W1358:W1375,$B1398)+COUNTIF(W1358:W1375,$B1398&amp;" ~*")&gt;0)+(COUNTIF(Y1358:Y1375,$B1398)+COUNTIF(Y1358:Y1375,$B1398&amp;" ~*")&gt;0))</f>
        <v/>
      </c>
      <c r="AC1398" s="38">
        <f>IF($B1398="","",(IFERROR(INDEX(Setup!$G$33:$G$40,MATCH(C1398,Setup!$B$33:$B$40,0)),0)=1)*(COUNTIF(C1358:E1375,$B1398)+COUNTIF(C1358:E1375,$B1398&amp;" ~*")&gt;0)+(IFERROR(INDEX(Setup!$G$33:$G$40,MATCH(G1398,Setup!$B$33:$B$40,0)),0)=1)*(COUNTIF(G1358:I1375,$B1398)+COUNTIF(G1358:I1375,$B1398&amp;" ~*")&gt;0)+(IFERROR(INDEX(Setup!$G$33:$G$40,MATCH(K1398,Setup!$B$33:$B$40,0)),0)=1)*(COUNTIF(K1358:M1375,$B1398)+COUNTIF(K1358:M1375,$B1398&amp;" ~*")&gt;0)+(IFERROR(INDEX(Setup!$G$33:$G$40,MATCH(O1398,Setup!$B$33:$B$40,0)),0)=1)*(COUNTIF(O1358:Q1375,$B1398)+COUNTIF(O1358:Q1375,$B1398&amp;" ~*")&gt;0)+(IFERROR(INDEX(Setup!$G$33:$G$40,MATCH(S1398,Setup!$B$33:$B$40,0)),0)=1)*(COUNTIF(S1358:U1375,$B1398)+COUNTIF(S1358:U1375,$B1398&amp;" ~*")&gt;0)+(IFERROR(INDEX(Setup!$G$33:$G$40,MATCH(W1398,Setup!$B$33:$B$40,0)),0)=1)*(COUNTIF(W1358:W1375,$B1398)+COUNTIF(W1358:W1375,$B1398&amp;" ~*")&gt;0)+(IFERROR(INDEX(Setup!$G$33:$G$40,MATCH(Y1398,Setup!$B$33:$B$40,0)),0)=1)*(COUNTIF(Y1358:Y1375,$B1398)+COUNTIF(Y1358:Y1375,$B1398&amp;" ~*")&gt;0))</f>
        <v/>
      </c>
    </row>
    <row r="1399" ht="15" customHeight="1">
      <c r="A1399" t="n">
        <v>28</v>
      </c>
      <c r="B1399" s="35">
        <f>IF(Setup!$B$28="","",Setup!$B$28)</f>
        <v/>
      </c>
      <c r="C1399" s="98" t="n"/>
      <c r="D1399" s="99" t="n"/>
      <c r="E1399" s="99" t="n"/>
      <c r="F1399" s="100" t="n"/>
      <c r="G1399" s="98" t="n"/>
      <c r="H1399" s="99" t="n"/>
      <c r="I1399" s="99" t="n"/>
      <c r="J1399" s="100" t="n"/>
      <c r="K1399" s="98" t="n"/>
      <c r="L1399" s="99" t="n"/>
      <c r="M1399" s="99" t="n"/>
      <c r="N1399" s="100" t="n"/>
      <c r="O1399" s="98" t="n"/>
      <c r="P1399" s="99" t="n"/>
      <c r="Q1399" s="99" t="n"/>
      <c r="R1399" s="100" t="n"/>
      <c r="S1399" s="98" t="n"/>
      <c r="T1399" s="99" t="n"/>
      <c r="U1399" s="99" t="n"/>
      <c r="V1399" s="100" t="n"/>
      <c r="W1399" s="98" t="n"/>
      <c r="X1399" s="100" t="n"/>
      <c r="Y1399" s="98" t="n"/>
      <c r="Z1399" s="100" t="n"/>
      <c r="AB1399" s="101">
        <f>IF($B1399="","",(COUNTIF(C1358:E1375,$B1399)+COUNTIF(C1358:E1375,$B1399&amp;" ~*")&gt;0)+(COUNTIF(G1358:I1375,$B1399)+COUNTIF(G1358:I1375,$B1399&amp;" ~*")&gt;0)+(COUNTIF(K1358:M1375,$B1399)+COUNTIF(K1358:M1375,$B1399&amp;" ~*")&gt;0)+(COUNTIF(O1358:Q1375,$B1399)+COUNTIF(O1358:Q1375,$B1399&amp;" ~*")&gt;0)+(COUNTIF(S1358:U1375,$B1399)+COUNTIF(S1358:U1375,$B1399&amp;" ~*")&gt;0)+(COUNTIF(W1358:W1375,$B1399)+COUNTIF(W1358:W1375,$B1399&amp;" ~*")&gt;0)+(COUNTIF(Y1358:Y1375,$B1399)+COUNTIF(Y1358:Y1375,$B1399&amp;" ~*")&gt;0))</f>
        <v/>
      </c>
      <c r="AC1399" s="36">
        <f>IF($B1399="","",(IFERROR(INDEX(Setup!$G$33:$G$40,MATCH(C1399,Setup!$B$33:$B$40,0)),0)=1)*(COUNTIF(C1358:E1375,$B1399)+COUNTIF(C1358:E1375,$B1399&amp;" ~*")&gt;0)+(IFERROR(INDEX(Setup!$G$33:$G$40,MATCH(G1399,Setup!$B$33:$B$40,0)),0)=1)*(COUNTIF(G1358:I1375,$B1399)+COUNTIF(G1358:I1375,$B1399&amp;" ~*")&gt;0)+(IFERROR(INDEX(Setup!$G$33:$G$40,MATCH(K1399,Setup!$B$33:$B$40,0)),0)=1)*(COUNTIF(K1358:M1375,$B1399)+COUNTIF(K1358:M1375,$B1399&amp;" ~*")&gt;0)+(IFERROR(INDEX(Setup!$G$33:$G$40,MATCH(O1399,Setup!$B$33:$B$40,0)),0)=1)*(COUNTIF(O1358:Q1375,$B1399)+COUNTIF(O1358:Q1375,$B1399&amp;" ~*")&gt;0)+(IFERROR(INDEX(Setup!$G$33:$G$40,MATCH(S1399,Setup!$B$33:$B$40,0)),0)=1)*(COUNTIF(S1358:U1375,$B1399)+COUNTIF(S1358:U1375,$B1399&amp;" ~*")&gt;0)+(IFERROR(INDEX(Setup!$G$33:$G$40,MATCH(W1399,Setup!$B$33:$B$40,0)),0)=1)*(COUNTIF(W1358:W1375,$B1399)+COUNTIF(W1358:W1375,$B1399&amp;" ~*")&gt;0)+(IFERROR(INDEX(Setup!$G$33:$G$40,MATCH(Y1399,Setup!$B$33:$B$40,0)),0)=1)*(COUNTIF(Y1358:Y1375,$B1399)+COUNTIF(Y1358:Y1375,$B1399&amp;" ~*")&gt;0))</f>
        <v/>
      </c>
    </row>
    <row r="1400" ht="15" customHeight="1">
      <c r="A1400" t="n">
        <v>28</v>
      </c>
      <c r="B1400" s="37">
        <f>IF(Setup!$B$29="","",Setup!$B$29)</f>
        <v/>
      </c>
      <c r="C1400" s="102" t="n"/>
      <c r="D1400" s="103" t="n"/>
      <c r="E1400" s="103" t="n"/>
      <c r="F1400" s="104" t="n"/>
      <c r="G1400" s="102" t="n"/>
      <c r="H1400" s="103" t="n"/>
      <c r="I1400" s="103" t="n"/>
      <c r="J1400" s="104" t="n"/>
      <c r="K1400" s="102" t="n"/>
      <c r="L1400" s="103" t="n"/>
      <c r="M1400" s="103" t="n"/>
      <c r="N1400" s="104" t="n"/>
      <c r="O1400" s="102" t="n"/>
      <c r="P1400" s="103" t="n"/>
      <c r="Q1400" s="103" t="n"/>
      <c r="R1400" s="104" t="n"/>
      <c r="S1400" s="102" t="n"/>
      <c r="T1400" s="103" t="n"/>
      <c r="U1400" s="103" t="n"/>
      <c r="V1400" s="104" t="n"/>
      <c r="W1400" s="102" t="n"/>
      <c r="X1400" s="104" t="n"/>
      <c r="Y1400" s="102" t="n"/>
      <c r="Z1400" s="104" t="n"/>
      <c r="AB1400" s="105">
        <f>IF($B1400="","",(COUNTIF(C1358:E1375,$B1400)+COUNTIF(C1358:E1375,$B1400&amp;" ~*")&gt;0)+(COUNTIF(G1358:I1375,$B1400)+COUNTIF(G1358:I1375,$B1400&amp;" ~*")&gt;0)+(COUNTIF(K1358:M1375,$B1400)+COUNTIF(K1358:M1375,$B1400&amp;" ~*")&gt;0)+(COUNTIF(O1358:Q1375,$B1400)+COUNTIF(O1358:Q1375,$B1400&amp;" ~*")&gt;0)+(COUNTIF(S1358:U1375,$B1400)+COUNTIF(S1358:U1375,$B1400&amp;" ~*")&gt;0)+(COUNTIF(W1358:W1375,$B1400)+COUNTIF(W1358:W1375,$B1400&amp;" ~*")&gt;0)+(COUNTIF(Y1358:Y1375,$B1400)+COUNTIF(Y1358:Y1375,$B1400&amp;" ~*")&gt;0))</f>
        <v/>
      </c>
      <c r="AC1400" s="38">
        <f>IF($B1400="","",(IFERROR(INDEX(Setup!$G$33:$G$40,MATCH(C1400,Setup!$B$33:$B$40,0)),0)=1)*(COUNTIF(C1358:E1375,$B1400)+COUNTIF(C1358:E1375,$B1400&amp;" ~*")&gt;0)+(IFERROR(INDEX(Setup!$G$33:$G$40,MATCH(G1400,Setup!$B$33:$B$40,0)),0)=1)*(COUNTIF(G1358:I1375,$B1400)+COUNTIF(G1358:I1375,$B1400&amp;" ~*")&gt;0)+(IFERROR(INDEX(Setup!$G$33:$G$40,MATCH(K1400,Setup!$B$33:$B$40,0)),0)=1)*(COUNTIF(K1358:M1375,$B1400)+COUNTIF(K1358:M1375,$B1400&amp;" ~*")&gt;0)+(IFERROR(INDEX(Setup!$G$33:$G$40,MATCH(O1400,Setup!$B$33:$B$40,0)),0)=1)*(COUNTIF(O1358:Q1375,$B1400)+COUNTIF(O1358:Q1375,$B1400&amp;" ~*")&gt;0)+(IFERROR(INDEX(Setup!$G$33:$G$40,MATCH(S1400,Setup!$B$33:$B$40,0)),0)=1)*(COUNTIF(S1358:U1375,$B1400)+COUNTIF(S1358:U1375,$B1400&amp;" ~*")&gt;0)+(IFERROR(INDEX(Setup!$G$33:$G$40,MATCH(W1400,Setup!$B$33:$B$40,0)),0)=1)*(COUNTIF(W1358:W1375,$B1400)+COUNTIF(W1358:W1375,$B1400&amp;" ~*")&gt;0)+(IFERROR(INDEX(Setup!$G$33:$G$40,MATCH(Y1400,Setup!$B$33:$B$40,0)),0)=1)*(COUNTIF(Y1358:Y1375,$B1400)+COUNTIF(Y1358:Y1375,$B1400&amp;" ~*")&gt;0))</f>
        <v/>
      </c>
    </row>
    <row r="1401" ht="16" customHeight="1">
      <c r="A1401" t="n">
        <v>28</v>
      </c>
      <c r="B1401" s="106" t="inlineStr">
        <is>
          <t>Available people</t>
        </is>
      </c>
      <c r="C1401" s="107">
        <f>COUNTIFS(Setup!$E$6:$E$29,"Y",Setup!$B$6:$B$29,"?*")-SUMPRODUCT(COUNTIF(C1377:C1400,Setup!$F$33:$F$40))</f>
        <v/>
      </c>
      <c r="D1401" s="107" t="n"/>
      <c r="E1401" s="107" t="n"/>
      <c r="F1401" s="107" t="n"/>
      <c r="G1401" s="107">
        <f>COUNTIFS(Setup!$E$6:$E$29,"Y",Setup!$B$6:$B$29,"?*")-SUMPRODUCT(COUNTIF(G1377:G1400,Setup!$F$33:$F$40))</f>
        <v/>
      </c>
      <c r="H1401" s="107" t="n"/>
      <c r="I1401" s="107" t="n"/>
      <c r="J1401" s="107" t="n"/>
      <c r="K1401" s="107">
        <f>COUNTIFS(Setup!$E$6:$E$29,"Y",Setup!$B$6:$B$29,"?*")-SUMPRODUCT(COUNTIF(K1377:K1400,Setup!$F$33:$F$40))</f>
        <v/>
      </c>
      <c r="L1401" s="107" t="n"/>
      <c r="M1401" s="107" t="n"/>
      <c r="N1401" s="107" t="n"/>
      <c r="O1401" s="107">
        <f>COUNTIFS(Setup!$E$6:$E$29,"Y",Setup!$B$6:$B$29,"?*")-SUMPRODUCT(COUNTIF(O1377:O1400,Setup!$F$33:$F$40))</f>
        <v/>
      </c>
      <c r="P1401" s="107" t="n"/>
      <c r="Q1401" s="107" t="n"/>
      <c r="R1401" s="107" t="n"/>
      <c r="S1401" s="107">
        <f>COUNTIFS(Setup!$E$6:$E$29,"Y",Setup!$B$6:$B$29,"?*")-SUMPRODUCT(COUNTIF(S1377:S1400,Setup!$F$33:$F$40))</f>
        <v/>
      </c>
      <c r="T1401" s="107" t="n"/>
      <c r="U1401" s="107" t="n"/>
      <c r="V1401" s="107" t="n"/>
      <c r="W1401" s="107">
        <f>COUNTIFS(Setup!$E$6:$E$29,"Y",Setup!$B$6:$B$29,"?*")-SUMPRODUCT(COUNTIF(W1377:W1400,Setup!$F$33:$F$40))</f>
        <v/>
      </c>
      <c r="X1401" s="107" t="n"/>
      <c r="Y1401" s="107">
        <f>COUNTIFS(Setup!$E$6:$E$29,"Y",Setup!$B$6:$B$29,"?*")-SUMPRODUCT(COUNTIF(Y1377:Y1400,Setup!$F$33:$F$40))</f>
        <v/>
      </c>
      <c r="Z1401" s="107" t="n"/>
      <c r="AB1401" s="108">
        <f>SUM(AB1377:AB1400)</f>
        <v/>
      </c>
      <c r="AC1401" s="109">
        <f>SUM(AC1377:AC1400)</f>
        <v/>
      </c>
    </row>
    <row r="1402" ht="30" customHeight="1">
      <c r="A1402" t="n">
        <v>28</v>
      </c>
      <c r="B1402" s="110" t="inlineStr">
        <is>
          <t>Week notes</t>
        </is>
      </c>
      <c r="C1402" s="111" t="n"/>
      <c r="D1402" s="112" t="n"/>
      <c r="E1402" s="112" t="n"/>
      <c r="F1402" s="112" t="n"/>
      <c r="G1402" s="112" t="n"/>
      <c r="H1402" s="112" t="n"/>
      <c r="I1402" s="112" t="n"/>
      <c r="J1402" s="112" t="n"/>
      <c r="K1402" s="112" t="n"/>
      <c r="L1402" s="112" t="n"/>
      <c r="M1402" s="112" t="n"/>
      <c r="N1402" s="112" t="n"/>
      <c r="O1402" s="112" t="n"/>
      <c r="P1402" s="112" t="n"/>
      <c r="Q1402" s="112" t="n"/>
      <c r="R1402" s="112" t="n"/>
      <c r="S1402" s="112" t="n"/>
      <c r="T1402" s="112" t="n"/>
      <c r="U1402" s="112" t="n"/>
      <c r="V1402" s="112" t="n"/>
      <c r="W1402" s="112" t="n"/>
      <c r="X1402" s="112" t="n"/>
      <c r="Y1402" s="112" t="n"/>
      <c r="Z1402" s="113" t="n"/>
    </row>
    <row r="1403" ht="8" customHeight="1">
      <c r="A1403" t="n">
        <v>28</v>
      </c>
    </row>
    <row r="1404" ht="8" customHeight="1">
      <c r="A1404" t="n">
        <v>28</v>
      </c>
    </row>
    <row r="1405" ht="24" customHeight="1">
      <c r="A1405" t="n">
        <v>29</v>
      </c>
      <c r="B1405" s="73">
        <f>"WEEK 29     "&amp;TEXT(C1406,"ddd d mmm")&amp;"  –  "&amp;TEXT(C1406+6,"ddd d mmm yyyy")</f>
        <v/>
      </c>
      <c r="S1405" s="74">
        <f>IF(TODAY()&lt;C1406,"FUTURE",IF(TODAY()&gt;C1406+6,"PAST","THIS WEEK"))</f>
        <v/>
      </c>
      <c r="W1405" s="75">
        <f>IF(AND(Engine!$B$8=$AC$3,Engine!$B$9=$A1405),"◀ ACTIVE WEEK","")</f>
        <v/>
      </c>
      <c r="AA1405" s="76" t="n"/>
      <c r="AB1405" s="77" t="inlineStr">
        <is>
          <t>◀ Prev</t>
        </is>
      </c>
      <c r="AC1405" s="77" t="inlineStr">
        <is>
          <t>Next ▶</t>
        </is>
      </c>
    </row>
    <row r="1406" ht="18" customHeight="1">
      <c r="A1406" t="n">
        <v>29</v>
      </c>
      <c r="B1406" s="78" t="inlineStr">
        <is>
          <t>DUTY</t>
        </is>
      </c>
      <c r="C1406" s="79">
        <f>$AC$2+7*($A1406-1)</f>
        <v/>
      </c>
      <c r="D1406" s="80" t="n"/>
      <c r="E1406" s="80" t="n"/>
      <c r="F1406" s="81" t="n"/>
      <c r="G1406" s="79">
        <f>C1406+1</f>
        <v/>
      </c>
      <c r="H1406" s="80" t="n"/>
      <c r="I1406" s="80" t="n"/>
      <c r="J1406" s="81" t="n"/>
      <c r="K1406" s="79">
        <f>C1406+2</f>
        <v/>
      </c>
      <c r="L1406" s="80" t="n"/>
      <c r="M1406" s="80" t="n"/>
      <c r="N1406" s="81" t="n"/>
      <c r="O1406" s="79">
        <f>C1406+3</f>
        <v/>
      </c>
      <c r="P1406" s="80" t="n"/>
      <c r="Q1406" s="80" t="n"/>
      <c r="R1406" s="81" t="n"/>
      <c r="S1406" s="79">
        <f>C1406+4</f>
        <v/>
      </c>
      <c r="T1406" s="80" t="n"/>
      <c r="U1406" s="80" t="n"/>
      <c r="V1406" s="81" t="n"/>
      <c r="W1406" s="82">
        <f>C1406+5</f>
        <v/>
      </c>
      <c r="X1406" s="83" t="n"/>
      <c r="Y1406" s="82">
        <f>C1406+6</f>
        <v/>
      </c>
      <c r="Z1406" s="83" t="n"/>
      <c r="AB1406" s="72" t="inlineStr">
        <is>
          <t>Gaps</t>
        </is>
      </c>
      <c r="AC1406" s="72" t="inlineStr">
        <is>
          <t>Cover</t>
        </is>
      </c>
    </row>
    <row r="1407" ht="14" customHeight="1">
      <c r="A1407" t="n">
        <v>29</v>
      </c>
      <c r="B1407" s="84" t="inlineStr">
        <is>
          <t>(from Setup)</t>
        </is>
      </c>
      <c r="C1407" s="85" t="inlineStr">
        <is>
          <t>1</t>
        </is>
      </c>
      <c r="D1407" s="85" t="inlineStr">
        <is>
          <t>2</t>
        </is>
      </c>
      <c r="E1407" s="85" t="inlineStr">
        <is>
          <t>3</t>
        </is>
      </c>
      <c r="F1407" s="85" t="inlineStr">
        <is>
          <t>Notes</t>
        </is>
      </c>
      <c r="G1407" s="85" t="inlineStr">
        <is>
          <t>1</t>
        </is>
      </c>
      <c r="H1407" s="85" t="inlineStr">
        <is>
          <t>2</t>
        </is>
      </c>
      <c r="I1407" s="85" t="inlineStr">
        <is>
          <t>3</t>
        </is>
      </c>
      <c r="J1407" s="85" t="inlineStr">
        <is>
          <t>Notes</t>
        </is>
      </c>
      <c r="K1407" s="85" t="inlineStr">
        <is>
          <t>1</t>
        </is>
      </c>
      <c r="L1407" s="85" t="inlineStr">
        <is>
          <t>2</t>
        </is>
      </c>
      <c r="M1407" s="85" t="inlineStr">
        <is>
          <t>3</t>
        </is>
      </c>
      <c r="N1407" s="85" t="inlineStr">
        <is>
          <t>Notes</t>
        </is>
      </c>
      <c r="O1407" s="85" t="inlineStr">
        <is>
          <t>1</t>
        </is>
      </c>
      <c r="P1407" s="85" t="inlineStr">
        <is>
          <t>2</t>
        </is>
      </c>
      <c r="Q1407" s="85" t="inlineStr">
        <is>
          <t>3</t>
        </is>
      </c>
      <c r="R1407" s="85" t="inlineStr">
        <is>
          <t>Notes</t>
        </is>
      </c>
      <c r="S1407" s="85" t="inlineStr">
        <is>
          <t>1</t>
        </is>
      </c>
      <c r="T1407" s="85" t="inlineStr">
        <is>
          <t>2</t>
        </is>
      </c>
      <c r="U1407" s="85" t="inlineStr">
        <is>
          <t>3</t>
        </is>
      </c>
      <c r="V1407" s="85" t="inlineStr">
        <is>
          <t>Notes</t>
        </is>
      </c>
      <c r="W1407" s="85" t="inlineStr">
        <is>
          <t>Cover</t>
        </is>
      </c>
      <c r="X1407" s="85" t="inlineStr">
        <is>
          <t>Notes</t>
        </is>
      </c>
      <c r="Y1407" s="85" t="inlineStr">
        <is>
          <t>Cover</t>
        </is>
      </c>
      <c r="Z1407" s="85" t="inlineStr">
        <is>
          <t>Notes</t>
        </is>
      </c>
      <c r="AB1407" s="86" t="inlineStr">
        <is>
          <t>weekdays short</t>
        </is>
      </c>
      <c r="AC1407" s="87" t="inlineStr"/>
    </row>
    <row r="1408" ht="17" customHeight="1">
      <c r="A1408" t="n">
        <v>29</v>
      </c>
      <c r="B1408" s="24">
        <f>IF(Setup!$K$6="","",Setup!$K$6)</f>
        <v/>
      </c>
      <c r="C1408" s="88" t="n"/>
      <c r="D1408" s="88" t="n"/>
      <c r="E1408" s="88" t="n"/>
      <c r="F1408" s="89" t="n"/>
      <c r="G1408" s="88" t="n"/>
      <c r="H1408" s="88" t="n"/>
      <c r="I1408" s="88" t="n"/>
      <c r="J1408" s="89" t="n"/>
      <c r="K1408" s="88" t="n"/>
      <c r="L1408" s="88" t="n"/>
      <c r="M1408" s="88" t="n"/>
      <c r="N1408" s="89" t="n"/>
      <c r="O1408" s="88" t="n"/>
      <c r="P1408" s="88" t="n"/>
      <c r="Q1408" s="88" t="n"/>
      <c r="R1408" s="89" t="n"/>
      <c r="S1408" s="88" t="n"/>
      <c r="T1408" s="88" t="n"/>
      <c r="U1408" s="88" t="n"/>
      <c r="V1408" s="89" t="n"/>
      <c r="W1408" s="88" t="n"/>
      <c r="X1408" s="89" t="n"/>
      <c r="Y1408" s="88" t="n"/>
      <c r="Z1408" s="89" t="n"/>
      <c r="AB1408" s="25">
        <f>IF($B1408="","",(COUNTIF(C1408:E1408,"?*")&lt;N(INDEX(Setup!$L$6:$L$23,1)))+(COUNTIF(G1408:I1408,"?*")&lt;N(INDEX(Setup!$L$6:$L$23,1)))+(COUNTIF(K1408:M1408,"?*")&lt;N(INDEX(Setup!$L$6:$L$23,1)))+(COUNTIF(O1408:Q1408,"?*")&lt;N(INDEX(Setup!$L$6:$L$23,1)))+(COUNTIF(S1408:U1408,"?*")&lt;N(INDEX(Setup!$L$6:$L$23,1)))+((W1408="")*(INDEX(Setup!$M$6:$M$23,1)="Y"))+((Y1408="")*(INDEX(Setup!$M$6:$M$23,1)="Y")))</f>
        <v/>
      </c>
      <c r="AC1408" s="90">
        <f>IF($B1408="","",IF(AB1408=0,"✓ covered","⚠ "&amp;AB1408&amp;IF(AB1408=1," gap"," gaps")))</f>
        <v/>
      </c>
    </row>
    <row r="1409" ht="17" customHeight="1">
      <c r="A1409" t="n">
        <v>29</v>
      </c>
      <c r="B1409" s="29">
        <f>IF(Setup!$K$7="","",Setup!$K$7)</f>
        <v/>
      </c>
      <c r="C1409" s="88" t="n"/>
      <c r="D1409" s="88" t="n"/>
      <c r="E1409" s="88" t="n"/>
      <c r="F1409" s="89" t="n"/>
      <c r="G1409" s="88" t="n"/>
      <c r="H1409" s="88" t="n"/>
      <c r="I1409" s="88" t="n"/>
      <c r="J1409" s="89" t="n"/>
      <c r="K1409" s="88" t="n"/>
      <c r="L1409" s="88" t="n"/>
      <c r="M1409" s="88" t="n"/>
      <c r="N1409" s="89" t="n"/>
      <c r="O1409" s="88" t="n"/>
      <c r="P1409" s="88" t="n"/>
      <c r="Q1409" s="88" t="n"/>
      <c r="R1409" s="89" t="n"/>
      <c r="S1409" s="88" t="n"/>
      <c r="T1409" s="88" t="n"/>
      <c r="U1409" s="88" t="n"/>
      <c r="V1409" s="89" t="n"/>
      <c r="W1409" s="88" t="n"/>
      <c r="X1409" s="89" t="n"/>
      <c r="Y1409" s="88" t="n"/>
      <c r="Z1409" s="89" t="n"/>
      <c r="AB1409" s="30">
        <f>IF($B1409="","",(COUNTIF(C1409:E1409,"?*")&lt;N(INDEX(Setup!$L$6:$L$23,2)))+(COUNTIF(G1409:I1409,"?*")&lt;N(INDEX(Setup!$L$6:$L$23,2)))+(COUNTIF(K1409:M1409,"?*")&lt;N(INDEX(Setup!$L$6:$L$23,2)))+(COUNTIF(O1409:Q1409,"?*")&lt;N(INDEX(Setup!$L$6:$L$23,2)))+(COUNTIF(S1409:U1409,"?*")&lt;N(INDEX(Setup!$L$6:$L$23,2)))+((W1409="")*(INDEX(Setup!$M$6:$M$23,2)="Y"))+((Y1409="")*(INDEX(Setup!$M$6:$M$23,2)="Y")))</f>
        <v/>
      </c>
      <c r="AC1409" s="91">
        <f>IF($B1409="","",IF(AB1409=0,"✓ covered","⚠ "&amp;AB1409&amp;IF(AB1409=1," gap"," gaps")))</f>
        <v/>
      </c>
    </row>
    <row r="1410" ht="17" customHeight="1">
      <c r="A1410" t="n">
        <v>29</v>
      </c>
      <c r="B1410" s="24">
        <f>IF(Setup!$K$8="","",Setup!$K$8)</f>
        <v/>
      </c>
      <c r="C1410" s="88" t="n"/>
      <c r="D1410" s="88" t="n"/>
      <c r="E1410" s="88" t="n"/>
      <c r="F1410" s="89" t="n"/>
      <c r="G1410" s="88" t="n"/>
      <c r="H1410" s="88" t="n"/>
      <c r="I1410" s="88" t="n"/>
      <c r="J1410" s="89" t="n"/>
      <c r="K1410" s="88" t="n"/>
      <c r="L1410" s="88" t="n"/>
      <c r="M1410" s="88" t="n"/>
      <c r="N1410" s="89" t="n"/>
      <c r="O1410" s="88" t="n"/>
      <c r="P1410" s="88" t="n"/>
      <c r="Q1410" s="88" t="n"/>
      <c r="R1410" s="89" t="n"/>
      <c r="S1410" s="88" t="n"/>
      <c r="T1410" s="88" t="n"/>
      <c r="U1410" s="88" t="n"/>
      <c r="V1410" s="89" t="n"/>
      <c r="W1410" s="88" t="n"/>
      <c r="X1410" s="89" t="n"/>
      <c r="Y1410" s="88" t="n"/>
      <c r="Z1410" s="89" t="n"/>
      <c r="AB1410" s="25">
        <f>IF($B1410="","",(COUNTIF(C1410:E1410,"?*")&lt;N(INDEX(Setup!$L$6:$L$23,3)))+(COUNTIF(G1410:I1410,"?*")&lt;N(INDEX(Setup!$L$6:$L$23,3)))+(COUNTIF(K1410:M1410,"?*")&lt;N(INDEX(Setup!$L$6:$L$23,3)))+(COUNTIF(O1410:Q1410,"?*")&lt;N(INDEX(Setup!$L$6:$L$23,3)))+(COUNTIF(S1410:U1410,"?*")&lt;N(INDEX(Setup!$L$6:$L$23,3)))+((W1410="")*(INDEX(Setup!$M$6:$M$23,3)="Y"))+((Y1410="")*(INDEX(Setup!$M$6:$M$23,3)="Y")))</f>
        <v/>
      </c>
      <c r="AC1410" s="90">
        <f>IF($B1410="","",IF(AB1410=0,"✓ covered","⚠ "&amp;AB1410&amp;IF(AB1410=1," gap"," gaps")))</f>
        <v/>
      </c>
    </row>
    <row r="1411" ht="17" customHeight="1">
      <c r="A1411" t="n">
        <v>29</v>
      </c>
      <c r="B1411" s="29">
        <f>IF(Setup!$K$9="","",Setup!$K$9)</f>
        <v/>
      </c>
      <c r="C1411" s="88" t="n"/>
      <c r="D1411" s="88" t="n"/>
      <c r="E1411" s="88" t="n"/>
      <c r="F1411" s="89" t="n"/>
      <c r="G1411" s="88" t="n"/>
      <c r="H1411" s="88" t="n"/>
      <c r="I1411" s="88" t="n"/>
      <c r="J1411" s="89" t="n"/>
      <c r="K1411" s="88" t="n"/>
      <c r="L1411" s="88" t="n"/>
      <c r="M1411" s="88" t="n"/>
      <c r="N1411" s="89" t="n"/>
      <c r="O1411" s="88" t="n"/>
      <c r="P1411" s="88" t="n"/>
      <c r="Q1411" s="88" t="n"/>
      <c r="R1411" s="89" t="n"/>
      <c r="S1411" s="88" t="n"/>
      <c r="T1411" s="88" t="n"/>
      <c r="U1411" s="88" t="n"/>
      <c r="V1411" s="89" t="n"/>
      <c r="W1411" s="88" t="n"/>
      <c r="X1411" s="89" t="n"/>
      <c r="Y1411" s="88" t="n"/>
      <c r="Z1411" s="89" t="n"/>
      <c r="AB1411" s="30">
        <f>IF($B1411="","",(COUNTIF(C1411:E1411,"?*")&lt;N(INDEX(Setup!$L$6:$L$23,4)))+(COUNTIF(G1411:I1411,"?*")&lt;N(INDEX(Setup!$L$6:$L$23,4)))+(COUNTIF(K1411:M1411,"?*")&lt;N(INDEX(Setup!$L$6:$L$23,4)))+(COUNTIF(O1411:Q1411,"?*")&lt;N(INDEX(Setup!$L$6:$L$23,4)))+(COUNTIF(S1411:U1411,"?*")&lt;N(INDEX(Setup!$L$6:$L$23,4)))+((W1411="")*(INDEX(Setup!$M$6:$M$23,4)="Y"))+((Y1411="")*(INDEX(Setup!$M$6:$M$23,4)="Y")))</f>
        <v/>
      </c>
      <c r="AC1411" s="91">
        <f>IF($B1411="","",IF(AB1411=0,"✓ covered","⚠ "&amp;AB1411&amp;IF(AB1411=1," gap"," gaps")))</f>
        <v/>
      </c>
    </row>
    <row r="1412" ht="17" customHeight="1">
      <c r="A1412" t="n">
        <v>29</v>
      </c>
      <c r="B1412" s="24">
        <f>IF(Setup!$K$10="","",Setup!$K$10)</f>
        <v/>
      </c>
      <c r="C1412" s="88" t="n"/>
      <c r="D1412" s="88" t="n"/>
      <c r="E1412" s="88" t="n"/>
      <c r="F1412" s="89" t="n"/>
      <c r="G1412" s="88" t="n"/>
      <c r="H1412" s="88" t="n"/>
      <c r="I1412" s="88" t="n"/>
      <c r="J1412" s="89" t="n"/>
      <c r="K1412" s="88" t="n"/>
      <c r="L1412" s="88" t="n"/>
      <c r="M1412" s="88" t="n"/>
      <c r="N1412" s="89" t="n"/>
      <c r="O1412" s="88" t="n"/>
      <c r="P1412" s="88" t="n"/>
      <c r="Q1412" s="88" t="n"/>
      <c r="R1412" s="89" t="n"/>
      <c r="S1412" s="88" t="n"/>
      <c r="T1412" s="88" t="n"/>
      <c r="U1412" s="88" t="n"/>
      <c r="V1412" s="89" t="n"/>
      <c r="W1412" s="88" t="n"/>
      <c r="X1412" s="89" t="n"/>
      <c r="Y1412" s="88" t="n"/>
      <c r="Z1412" s="89" t="n"/>
      <c r="AB1412" s="25">
        <f>IF($B1412="","",(COUNTIF(C1412:E1412,"?*")&lt;N(INDEX(Setup!$L$6:$L$23,5)))+(COUNTIF(G1412:I1412,"?*")&lt;N(INDEX(Setup!$L$6:$L$23,5)))+(COUNTIF(K1412:M1412,"?*")&lt;N(INDEX(Setup!$L$6:$L$23,5)))+(COUNTIF(O1412:Q1412,"?*")&lt;N(INDEX(Setup!$L$6:$L$23,5)))+(COUNTIF(S1412:U1412,"?*")&lt;N(INDEX(Setup!$L$6:$L$23,5)))+((W1412="")*(INDEX(Setup!$M$6:$M$23,5)="Y"))+((Y1412="")*(INDEX(Setup!$M$6:$M$23,5)="Y")))</f>
        <v/>
      </c>
      <c r="AC1412" s="90">
        <f>IF($B1412="","",IF(AB1412=0,"✓ covered","⚠ "&amp;AB1412&amp;IF(AB1412=1," gap"," gaps")))</f>
        <v/>
      </c>
    </row>
    <row r="1413" ht="17" customHeight="1">
      <c r="A1413" t="n">
        <v>29</v>
      </c>
      <c r="B1413" s="29">
        <f>IF(Setup!$K$11="","",Setup!$K$11)</f>
        <v/>
      </c>
      <c r="C1413" s="88" t="n"/>
      <c r="D1413" s="88" t="n"/>
      <c r="E1413" s="88" t="n"/>
      <c r="F1413" s="89" t="n"/>
      <c r="G1413" s="88" t="n"/>
      <c r="H1413" s="88" t="n"/>
      <c r="I1413" s="88" t="n"/>
      <c r="J1413" s="89" t="n"/>
      <c r="K1413" s="88" t="n"/>
      <c r="L1413" s="88" t="n"/>
      <c r="M1413" s="88" t="n"/>
      <c r="N1413" s="89" t="n"/>
      <c r="O1413" s="88" t="n"/>
      <c r="P1413" s="88" t="n"/>
      <c r="Q1413" s="88" t="n"/>
      <c r="R1413" s="89" t="n"/>
      <c r="S1413" s="88" t="n"/>
      <c r="T1413" s="88" t="n"/>
      <c r="U1413" s="88" t="n"/>
      <c r="V1413" s="89" t="n"/>
      <c r="W1413" s="88" t="n"/>
      <c r="X1413" s="89" t="n"/>
      <c r="Y1413" s="88" t="n"/>
      <c r="Z1413" s="89" t="n"/>
      <c r="AB1413" s="30">
        <f>IF($B1413="","",(COUNTIF(C1413:E1413,"?*")&lt;N(INDEX(Setup!$L$6:$L$23,6)))+(COUNTIF(G1413:I1413,"?*")&lt;N(INDEX(Setup!$L$6:$L$23,6)))+(COUNTIF(K1413:M1413,"?*")&lt;N(INDEX(Setup!$L$6:$L$23,6)))+(COUNTIF(O1413:Q1413,"?*")&lt;N(INDEX(Setup!$L$6:$L$23,6)))+(COUNTIF(S1413:U1413,"?*")&lt;N(INDEX(Setup!$L$6:$L$23,6)))+((W1413="")*(INDEX(Setup!$M$6:$M$23,6)="Y"))+((Y1413="")*(INDEX(Setup!$M$6:$M$23,6)="Y")))</f>
        <v/>
      </c>
      <c r="AC1413" s="91">
        <f>IF($B1413="","",IF(AB1413=0,"✓ covered","⚠ "&amp;AB1413&amp;IF(AB1413=1," gap"," gaps")))</f>
        <v/>
      </c>
    </row>
    <row r="1414" ht="17" customHeight="1">
      <c r="A1414" t="n">
        <v>29</v>
      </c>
      <c r="B1414" s="24">
        <f>IF(Setup!$K$12="","",Setup!$K$12)</f>
        <v/>
      </c>
      <c r="C1414" s="88" t="n"/>
      <c r="D1414" s="88" t="n"/>
      <c r="E1414" s="88" t="n"/>
      <c r="F1414" s="89" t="n"/>
      <c r="G1414" s="88" t="n"/>
      <c r="H1414" s="88" t="n"/>
      <c r="I1414" s="88" t="n"/>
      <c r="J1414" s="89" t="n"/>
      <c r="K1414" s="88" t="n"/>
      <c r="L1414" s="88" t="n"/>
      <c r="M1414" s="88" t="n"/>
      <c r="N1414" s="89" t="n"/>
      <c r="O1414" s="88" t="n"/>
      <c r="P1414" s="88" t="n"/>
      <c r="Q1414" s="88" t="n"/>
      <c r="R1414" s="89" t="n"/>
      <c r="S1414" s="88" t="n"/>
      <c r="T1414" s="88" t="n"/>
      <c r="U1414" s="88" t="n"/>
      <c r="V1414" s="89" t="n"/>
      <c r="W1414" s="88" t="n"/>
      <c r="X1414" s="89" t="n"/>
      <c r="Y1414" s="88" t="n"/>
      <c r="Z1414" s="89" t="n"/>
      <c r="AB1414" s="25">
        <f>IF($B1414="","",(COUNTIF(C1414:E1414,"?*")&lt;N(INDEX(Setup!$L$6:$L$23,7)))+(COUNTIF(G1414:I1414,"?*")&lt;N(INDEX(Setup!$L$6:$L$23,7)))+(COUNTIF(K1414:M1414,"?*")&lt;N(INDEX(Setup!$L$6:$L$23,7)))+(COUNTIF(O1414:Q1414,"?*")&lt;N(INDEX(Setup!$L$6:$L$23,7)))+(COUNTIF(S1414:U1414,"?*")&lt;N(INDEX(Setup!$L$6:$L$23,7)))+((W1414="")*(INDEX(Setup!$M$6:$M$23,7)="Y"))+((Y1414="")*(INDEX(Setup!$M$6:$M$23,7)="Y")))</f>
        <v/>
      </c>
      <c r="AC1414" s="90">
        <f>IF($B1414="","",IF(AB1414=0,"✓ covered","⚠ "&amp;AB1414&amp;IF(AB1414=1," gap"," gaps")))</f>
        <v/>
      </c>
    </row>
    <row r="1415" ht="17" customHeight="1">
      <c r="A1415" t="n">
        <v>29</v>
      </c>
      <c r="B1415" s="29">
        <f>IF(Setup!$K$13="","",Setup!$K$13)</f>
        <v/>
      </c>
      <c r="C1415" s="88" t="n"/>
      <c r="D1415" s="88" t="n"/>
      <c r="E1415" s="88" t="n"/>
      <c r="F1415" s="89" t="n"/>
      <c r="G1415" s="88" t="n"/>
      <c r="H1415" s="88" t="n"/>
      <c r="I1415" s="88" t="n"/>
      <c r="J1415" s="89" t="n"/>
      <c r="K1415" s="88" t="n"/>
      <c r="L1415" s="88" t="n"/>
      <c r="M1415" s="88" t="n"/>
      <c r="N1415" s="89" t="n"/>
      <c r="O1415" s="88" t="n"/>
      <c r="P1415" s="88" t="n"/>
      <c r="Q1415" s="88" t="n"/>
      <c r="R1415" s="89" t="n"/>
      <c r="S1415" s="88" t="n"/>
      <c r="T1415" s="88" t="n"/>
      <c r="U1415" s="88" t="n"/>
      <c r="V1415" s="89" t="n"/>
      <c r="W1415" s="88" t="n"/>
      <c r="X1415" s="89" t="n"/>
      <c r="Y1415" s="88" t="n"/>
      <c r="Z1415" s="89" t="n"/>
      <c r="AB1415" s="30">
        <f>IF($B1415="","",(COUNTIF(C1415:E1415,"?*")&lt;N(INDEX(Setup!$L$6:$L$23,8)))+(COUNTIF(G1415:I1415,"?*")&lt;N(INDEX(Setup!$L$6:$L$23,8)))+(COUNTIF(K1415:M1415,"?*")&lt;N(INDEX(Setup!$L$6:$L$23,8)))+(COUNTIF(O1415:Q1415,"?*")&lt;N(INDEX(Setup!$L$6:$L$23,8)))+(COUNTIF(S1415:U1415,"?*")&lt;N(INDEX(Setup!$L$6:$L$23,8)))+((W1415="")*(INDEX(Setup!$M$6:$M$23,8)="Y"))+((Y1415="")*(INDEX(Setup!$M$6:$M$23,8)="Y")))</f>
        <v/>
      </c>
      <c r="AC1415" s="91">
        <f>IF($B1415="","",IF(AB1415=0,"✓ covered","⚠ "&amp;AB1415&amp;IF(AB1415=1," gap"," gaps")))</f>
        <v/>
      </c>
    </row>
    <row r="1416" ht="17" customHeight="1">
      <c r="A1416" t="n">
        <v>29</v>
      </c>
      <c r="B1416" s="24">
        <f>IF(Setup!$K$14="","",Setup!$K$14)</f>
        <v/>
      </c>
      <c r="C1416" s="88" t="n"/>
      <c r="D1416" s="88" t="n"/>
      <c r="E1416" s="88" t="n"/>
      <c r="F1416" s="89" t="n"/>
      <c r="G1416" s="88" t="n"/>
      <c r="H1416" s="88" t="n"/>
      <c r="I1416" s="88" t="n"/>
      <c r="J1416" s="89" t="n"/>
      <c r="K1416" s="88" t="n"/>
      <c r="L1416" s="88" t="n"/>
      <c r="M1416" s="88" t="n"/>
      <c r="N1416" s="89" t="n"/>
      <c r="O1416" s="88" t="n"/>
      <c r="P1416" s="88" t="n"/>
      <c r="Q1416" s="88" t="n"/>
      <c r="R1416" s="89" t="n"/>
      <c r="S1416" s="88" t="n"/>
      <c r="T1416" s="88" t="n"/>
      <c r="U1416" s="88" t="n"/>
      <c r="V1416" s="89" t="n"/>
      <c r="W1416" s="88" t="n"/>
      <c r="X1416" s="89" t="n"/>
      <c r="Y1416" s="88" t="n"/>
      <c r="Z1416" s="89" t="n"/>
      <c r="AB1416" s="25">
        <f>IF($B1416="","",(COUNTIF(C1416:E1416,"?*")&lt;N(INDEX(Setup!$L$6:$L$23,9)))+(COUNTIF(G1416:I1416,"?*")&lt;N(INDEX(Setup!$L$6:$L$23,9)))+(COUNTIF(K1416:M1416,"?*")&lt;N(INDEX(Setup!$L$6:$L$23,9)))+(COUNTIF(O1416:Q1416,"?*")&lt;N(INDEX(Setup!$L$6:$L$23,9)))+(COUNTIF(S1416:U1416,"?*")&lt;N(INDEX(Setup!$L$6:$L$23,9)))+((W1416="")*(INDEX(Setup!$M$6:$M$23,9)="Y"))+((Y1416="")*(INDEX(Setup!$M$6:$M$23,9)="Y")))</f>
        <v/>
      </c>
      <c r="AC1416" s="90">
        <f>IF($B1416="","",IF(AB1416=0,"✓ covered","⚠ "&amp;AB1416&amp;IF(AB1416=1," gap"," gaps")))</f>
        <v/>
      </c>
    </row>
    <row r="1417" ht="17" customHeight="1">
      <c r="A1417" t="n">
        <v>29</v>
      </c>
      <c r="B1417" s="29">
        <f>IF(Setup!$K$15="","",Setup!$K$15)</f>
        <v/>
      </c>
      <c r="C1417" s="88" t="n"/>
      <c r="D1417" s="88" t="n"/>
      <c r="E1417" s="88" t="n"/>
      <c r="F1417" s="89" t="n"/>
      <c r="G1417" s="88" t="n"/>
      <c r="H1417" s="88" t="n"/>
      <c r="I1417" s="88" t="n"/>
      <c r="J1417" s="89" t="n"/>
      <c r="K1417" s="88" t="n"/>
      <c r="L1417" s="88" t="n"/>
      <c r="M1417" s="88" t="n"/>
      <c r="N1417" s="89" t="n"/>
      <c r="O1417" s="88" t="n"/>
      <c r="P1417" s="88" t="n"/>
      <c r="Q1417" s="88" t="n"/>
      <c r="R1417" s="89" t="n"/>
      <c r="S1417" s="88" t="n"/>
      <c r="T1417" s="88" t="n"/>
      <c r="U1417" s="88" t="n"/>
      <c r="V1417" s="89" t="n"/>
      <c r="W1417" s="88" t="n"/>
      <c r="X1417" s="89" t="n"/>
      <c r="Y1417" s="88" t="n"/>
      <c r="Z1417" s="89" t="n"/>
      <c r="AB1417" s="30">
        <f>IF($B1417="","",(COUNTIF(C1417:E1417,"?*")&lt;N(INDEX(Setup!$L$6:$L$23,10)))+(COUNTIF(G1417:I1417,"?*")&lt;N(INDEX(Setup!$L$6:$L$23,10)))+(COUNTIF(K1417:M1417,"?*")&lt;N(INDEX(Setup!$L$6:$L$23,10)))+(COUNTIF(O1417:Q1417,"?*")&lt;N(INDEX(Setup!$L$6:$L$23,10)))+(COUNTIF(S1417:U1417,"?*")&lt;N(INDEX(Setup!$L$6:$L$23,10)))+((W1417="")*(INDEX(Setup!$M$6:$M$23,10)="Y"))+((Y1417="")*(INDEX(Setup!$M$6:$M$23,10)="Y")))</f>
        <v/>
      </c>
      <c r="AC1417" s="91">
        <f>IF($B1417="","",IF(AB1417=0,"✓ covered","⚠ "&amp;AB1417&amp;IF(AB1417=1," gap"," gaps")))</f>
        <v/>
      </c>
    </row>
    <row r="1418" ht="17" customHeight="1">
      <c r="A1418" t="n">
        <v>29</v>
      </c>
      <c r="B1418" s="24">
        <f>IF(Setup!$K$16="","",Setup!$K$16)</f>
        <v/>
      </c>
      <c r="C1418" s="88" t="n"/>
      <c r="D1418" s="88" t="n"/>
      <c r="E1418" s="88" t="n"/>
      <c r="F1418" s="89" t="n"/>
      <c r="G1418" s="88" t="n"/>
      <c r="H1418" s="88" t="n"/>
      <c r="I1418" s="88" t="n"/>
      <c r="J1418" s="89" t="n"/>
      <c r="K1418" s="88" t="n"/>
      <c r="L1418" s="88" t="n"/>
      <c r="M1418" s="88" t="n"/>
      <c r="N1418" s="89" t="n"/>
      <c r="O1418" s="88" t="n"/>
      <c r="P1418" s="88" t="n"/>
      <c r="Q1418" s="88" t="n"/>
      <c r="R1418" s="89" t="n"/>
      <c r="S1418" s="88" t="n"/>
      <c r="T1418" s="88" t="n"/>
      <c r="U1418" s="88" t="n"/>
      <c r="V1418" s="89" t="n"/>
      <c r="W1418" s="88" t="n"/>
      <c r="X1418" s="89" t="n"/>
      <c r="Y1418" s="88" t="n"/>
      <c r="Z1418" s="89" t="n"/>
      <c r="AB1418" s="25">
        <f>IF($B1418="","",(COUNTIF(C1418:E1418,"?*")&lt;N(INDEX(Setup!$L$6:$L$23,11)))+(COUNTIF(G1418:I1418,"?*")&lt;N(INDEX(Setup!$L$6:$L$23,11)))+(COUNTIF(K1418:M1418,"?*")&lt;N(INDEX(Setup!$L$6:$L$23,11)))+(COUNTIF(O1418:Q1418,"?*")&lt;N(INDEX(Setup!$L$6:$L$23,11)))+(COUNTIF(S1418:U1418,"?*")&lt;N(INDEX(Setup!$L$6:$L$23,11)))+((W1418="")*(INDEX(Setup!$M$6:$M$23,11)="Y"))+((Y1418="")*(INDEX(Setup!$M$6:$M$23,11)="Y")))</f>
        <v/>
      </c>
      <c r="AC1418" s="90">
        <f>IF($B1418="","",IF(AB1418=0,"✓ covered","⚠ "&amp;AB1418&amp;IF(AB1418=1," gap"," gaps")))</f>
        <v/>
      </c>
    </row>
    <row r="1419" ht="17" customHeight="1">
      <c r="A1419" t="n">
        <v>29</v>
      </c>
      <c r="B1419" s="29">
        <f>IF(Setup!$K$17="","",Setup!$K$17)</f>
        <v/>
      </c>
      <c r="C1419" s="88" t="n"/>
      <c r="D1419" s="88" t="n"/>
      <c r="E1419" s="88" t="n"/>
      <c r="F1419" s="89" t="n"/>
      <c r="G1419" s="88" t="n"/>
      <c r="H1419" s="88" t="n"/>
      <c r="I1419" s="88" t="n"/>
      <c r="J1419" s="89" t="n"/>
      <c r="K1419" s="88" t="n"/>
      <c r="L1419" s="88" t="n"/>
      <c r="M1419" s="88" t="n"/>
      <c r="N1419" s="89" t="n"/>
      <c r="O1419" s="88" t="n"/>
      <c r="P1419" s="88" t="n"/>
      <c r="Q1419" s="88" t="n"/>
      <c r="R1419" s="89" t="n"/>
      <c r="S1419" s="88" t="n"/>
      <c r="T1419" s="88" t="n"/>
      <c r="U1419" s="88" t="n"/>
      <c r="V1419" s="89" t="n"/>
      <c r="W1419" s="88" t="n"/>
      <c r="X1419" s="89" t="n"/>
      <c r="Y1419" s="88" t="n"/>
      <c r="Z1419" s="89" t="n"/>
      <c r="AB1419" s="30">
        <f>IF($B1419="","",(COUNTIF(C1419:E1419,"?*")&lt;N(INDEX(Setup!$L$6:$L$23,12)))+(COUNTIF(G1419:I1419,"?*")&lt;N(INDEX(Setup!$L$6:$L$23,12)))+(COUNTIF(K1419:M1419,"?*")&lt;N(INDEX(Setup!$L$6:$L$23,12)))+(COUNTIF(O1419:Q1419,"?*")&lt;N(INDEX(Setup!$L$6:$L$23,12)))+(COUNTIF(S1419:U1419,"?*")&lt;N(INDEX(Setup!$L$6:$L$23,12)))+((W1419="")*(INDEX(Setup!$M$6:$M$23,12)="Y"))+((Y1419="")*(INDEX(Setup!$M$6:$M$23,12)="Y")))</f>
        <v/>
      </c>
      <c r="AC1419" s="91">
        <f>IF($B1419="","",IF(AB1419=0,"✓ covered","⚠ "&amp;AB1419&amp;IF(AB1419=1," gap"," gaps")))</f>
        <v/>
      </c>
    </row>
    <row r="1420" ht="17" customHeight="1">
      <c r="A1420" t="n">
        <v>29</v>
      </c>
      <c r="B1420" s="24">
        <f>IF(Setup!$K$18="","",Setup!$K$18)</f>
        <v/>
      </c>
      <c r="C1420" s="88" t="n"/>
      <c r="D1420" s="88" t="n"/>
      <c r="E1420" s="88" t="n"/>
      <c r="F1420" s="89" t="n"/>
      <c r="G1420" s="88" t="n"/>
      <c r="H1420" s="88" t="n"/>
      <c r="I1420" s="88" t="n"/>
      <c r="J1420" s="89" t="n"/>
      <c r="K1420" s="88" t="n"/>
      <c r="L1420" s="88" t="n"/>
      <c r="M1420" s="88" t="n"/>
      <c r="N1420" s="89" t="n"/>
      <c r="O1420" s="88" t="n"/>
      <c r="P1420" s="88" t="n"/>
      <c r="Q1420" s="88" t="n"/>
      <c r="R1420" s="89" t="n"/>
      <c r="S1420" s="88" t="n"/>
      <c r="T1420" s="88" t="n"/>
      <c r="U1420" s="88" t="n"/>
      <c r="V1420" s="89" t="n"/>
      <c r="W1420" s="88" t="n"/>
      <c r="X1420" s="89" t="n"/>
      <c r="Y1420" s="88" t="n"/>
      <c r="Z1420" s="89" t="n"/>
      <c r="AB1420" s="25">
        <f>IF($B1420="","",(COUNTIF(C1420:E1420,"?*")&lt;N(INDEX(Setup!$L$6:$L$23,13)))+(COUNTIF(G1420:I1420,"?*")&lt;N(INDEX(Setup!$L$6:$L$23,13)))+(COUNTIF(K1420:M1420,"?*")&lt;N(INDEX(Setup!$L$6:$L$23,13)))+(COUNTIF(O1420:Q1420,"?*")&lt;N(INDEX(Setup!$L$6:$L$23,13)))+(COUNTIF(S1420:U1420,"?*")&lt;N(INDEX(Setup!$L$6:$L$23,13)))+((W1420="")*(INDEX(Setup!$M$6:$M$23,13)="Y"))+((Y1420="")*(INDEX(Setup!$M$6:$M$23,13)="Y")))</f>
        <v/>
      </c>
      <c r="AC1420" s="90">
        <f>IF($B1420="","",IF(AB1420=0,"✓ covered","⚠ "&amp;AB1420&amp;IF(AB1420=1," gap"," gaps")))</f>
        <v/>
      </c>
    </row>
    <row r="1421" ht="17" customHeight="1">
      <c r="A1421" t="n">
        <v>29</v>
      </c>
      <c r="B1421" s="29">
        <f>IF(Setup!$K$19="","",Setup!$K$19)</f>
        <v/>
      </c>
      <c r="C1421" s="88" t="n"/>
      <c r="D1421" s="88" t="n"/>
      <c r="E1421" s="88" t="n"/>
      <c r="F1421" s="89" t="n"/>
      <c r="G1421" s="88" t="n"/>
      <c r="H1421" s="88" t="n"/>
      <c r="I1421" s="88" t="n"/>
      <c r="J1421" s="89" t="n"/>
      <c r="K1421" s="88" t="n"/>
      <c r="L1421" s="88" t="n"/>
      <c r="M1421" s="88" t="n"/>
      <c r="N1421" s="89" t="n"/>
      <c r="O1421" s="88" t="n"/>
      <c r="P1421" s="88" t="n"/>
      <c r="Q1421" s="88" t="n"/>
      <c r="R1421" s="89" t="n"/>
      <c r="S1421" s="88" t="n"/>
      <c r="T1421" s="88" t="n"/>
      <c r="U1421" s="88" t="n"/>
      <c r="V1421" s="89" t="n"/>
      <c r="W1421" s="88" t="n"/>
      <c r="X1421" s="89" t="n"/>
      <c r="Y1421" s="88" t="n"/>
      <c r="Z1421" s="89" t="n"/>
      <c r="AB1421" s="30">
        <f>IF($B1421="","",(COUNTIF(C1421:E1421,"?*")&lt;N(INDEX(Setup!$L$6:$L$23,14)))+(COUNTIF(G1421:I1421,"?*")&lt;N(INDEX(Setup!$L$6:$L$23,14)))+(COUNTIF(K1421:M1421,"?*")&lt;N(INDEX(Setup!$L$6:$L$23,14)))+(COUNTIF(O1421:Q1421,"?*")&lt;N(INDEX(Setup!$L$6:$L$23,14)))+(COUNTIF(S1421:U1421,"?*")&lt;N(INDEX(Setup!$L$6:$L$23,14)))+((W1421="")*(INDEX(Setup!$M$6:$M$23,14)="Y"))+((Y1421="")*(INDEX(Setup!$M$6:$M$23,14)="Y")))</f>
        <v/>
      </c>
      <c r="AC1421" s="91">
        <f>IF($B1421="","",IF(AB1421=0,"✓ covered","⚠ "&amp;AB1421&amp;IF(AB1421=1," gap"," gaps")))</f>
        <v/>
      </c>
    </row>
    <row r="1422" ht="17" customHeight="1">
      <c r="A1422" t="n">
        <v>29</v>
      </c>
      <c r="B1422" s="24">
        <f>IF(Setup!$K$20="","",Setup!$K$20)</f>
        <v/>
      </c>
      <c r="C1422" s="88" t="n"/>
      <c r="D1422" s="88" t="n"/>
      <c r="E1422" s="88" t="n"/>
      <c r="F1422" s="89" t="n"/>
      <c r="G1422" s="88" t="n"/>
      <c r="H1422" s="88" t="n"/>
      <c r="I1422" s="88" t="n"/>
      <c r="J1422" s="89" t="n"/>
      <c r="K1422" s="88" t="n"/>
      <c r="L1422" s="88" t="n"/>
      <c r="M1422" s="88" t="n"/>
      <c r="N1422" s="89" t="n"/>
      <c r="O1422" s="88" t="n"/>
      <c r="P1422" s="88" t="n"/>
      <c r="Q1422" s="88" t="n"/>
      <c r="R1422" s="89" t="n"/>
      <c r="S1422" s="88" t="n"/>
      <c r="T1422" s="88" t="n"/>
      <c r="U1422" s="88" t="n"/>
      <c r="V1422" s="89" t="n"/>
      <c r="W1422" s="88" t="n"/>
      <c r="X1422" s="89" t="n"/>
      <c r="Y1422" s="88" t="n"/>
      <c r="Z1422" s="89" t="n"/>
      <c r="AB1422" s="25">
        <f>IF($B1422="","",(COUNTIF(C1422:E1422,"?*")&lt;N(INDEX(Setup!$L$6:$L$23,15)))+(COUNTIF(G1422:I1422,"?*")&lt;N(INDEX(Setup!$L$6:$L$23,15)))+(COUNTIF(K1422:M1422,"?*")&lt;N(INDEX(Setup!$L$6:$L$23,15)))+(COUNTIF(O1422:Q1422,"?*")&lt;N(INDEX(Setup!$L$6:$L$23,15)))+(COUNTIF(S1422:U1422,"?*")&lt;N(INDEX(Setup!$L$6:$L$23,15)))+((W1422="")*(INDEX(Setup!$M$6:$M$23,15)="Y"))+((Y1422="")*(INDEX(Setup!$M$6:$M$23,15)="Y")))</f>
        <v/>
      </c>
      <c r="AC1422" s="90">
        <f>IF($B1422="","",IF(AB1422=0,"✓ covered","⚠ "&amp;AB1422&amp;IF(AB1422=1," gap"," gaps")))</f>
        <v/>
      </c>
    </row>
    <row r="1423" ht="17" customHeight="1">
      <c r="A1423" t="n">
        <v>29</v>
      </c>
      <c r="B1423" s="29">
        <f>IF(Setup!$K$21="","",Setup!$K$21)</f>
        <v/>
      </c>
      <c r="C1423" s="88" t="n"/>
      <c r="D1423" s="88" t="n"/>
      <c r="E1423" s="88" t="n"/>
      <c r="F1423" s="89" t="n"/>
      <c r="G1423" s="88" t="n"/>
      <c r="H1423" s="88" t="n"/>
      <c r="I1423" s="88" t="n"/>
      <c r="J1423" s="89" t="n"/>
      <c r="K1423" s="88" t="n"/>
      <c r="L1423" s="88" t="n"/>
      <c r="M1423" s="88" t="n"/>
      <c r="N1423" s="89" t="n"/>
      <c r="O1423" s="88" t="n"/>
      <c r="P1423" s="88" t="n"/>
      <c r="Q1423" s="88" t="n"/>
      <c r="R1423" s="89" t="n"/>
      <c r="S1423" s="88" t="n"/>
      <c r="T1423" s="88" t="n"/>
      <c r="U1423" s="88" t="n"/>
      <c r="V1423" s="89" t="n"/>
      <c r="W1423" s="88" t="n"/>
      <c r="X1423" s="89" t="n"/>
      <c r="Y1423" s="88" t="n"/>
      <c r="Z1423" s="89" t="n"/>
      <c r="AB1423" s="30">
        <f>IF($B1423="","",(COUNTIF(C1423:E1423,"?*")&lt;N(INDEX(Setup!$L$6:$L$23,16)))+(COUNTIF(G1423:I1423,"?*")&lt;N(INDEX(Setup!$L$6:$L$23,16)))+(COUNTIF(K1423:M1423,"?*")&lt;N(INDEX(Setup!$L$6:$L$23,16)))+(COUNTIF(O1423:Q1423,"?*")&lt;N(INDEX(Setup!$L$6:$L$23,16)))+(COUNTIF(S1423:U1423,"?*")&lt;N(INDEX(Setup!$L$6:$L$23,16)))+((W1423="")*(INDEX(Setup!$M$6:$M$23,16)="Y"))+((Y1423="")*(INDEX(Setup!$M$6:$M$23,16)="Y")))</f>
        <v/>
      </c>
      <c r="AC1423" s="91">
        <f>IF($B1423="","",IF(AB1423=0,"✓ covered","⚠ "&amp;AB1423&amp;IF(AB1423=1," gap"," gaps")))</f>
        <v/>
      </c>
    </row>
    <row r="1424" ht="17" customHeight="1">
      <c r="A1424" t="n">
        <v>29</v>
      </c>
      <c r="B1424" s="24">
        <f>IF(Setup!$K$22="","",Setup!$K$22)</f>
        <v/>
      </c>
      <c r="C1424" s="88" t="n"/>
      <c r="D1424" s="88" t="n"/>
      <c r="E1424" s="88" t="n"/>
      <c r="F1424" s="89" t="n"/>
      <c r="G1424" s="88" t="n"/>
      <c r="H1424" s="88" t="n"/>
      <c r="I1424" s="88" t="n"/>
      <c r="J1424" s="89" t="n"/>
      <c r="K1424" s="88" t="n"/>
      <c r="L1424" s="88" t="n"/>
      <c r="M1424" s="88" t="n"/>
      <c r="N1424" s="89" t="n"/>
      <c r="O1424" s="88" t="n"/>
      <c r="P1424" s="88" t="n"/>
      <c r="Q1424" s="88" t="n"/>
      <c r="R1424" s="89" t="n"/>
      <c r="S1424" s="88" t="n"/>
      <c r="T1424" s="88" t="n"/>
      <c r="U1424" s="88" t="n"/>
      <c r="V1424" s="89" t="n"/>
      <c r="W1424" s="88" t="n"/>
      <c r="X1424" s="89" t="n"/>
      <c r="Y1424" s="88" t="n"/>
      <c r="Z1424" s="89" t="n"/>
      <c r="AB1424" s="25">
        <f>IF($B1424="","",(COUNTIF(C1424:E1424,"?*")&lt;N(INDEX(Setup!$L$6:$L$23,17)))+(COUNTIF(G1424:I1424,"?*")&lt;N(INDEX(Setup!$L$6:$L$23,17)))+(COUNTIF(K1424:M1424,"?*")&lt;N(INDEX(Setup!$L$6:$L$23,17)))+(COUNTIF(O1424:Q1424,"?*")&lt;N(INDEX(Setup!$L$6:$L$23,17)))+(COUNTIF(S1424:U1424,"?*")&lt;N(INDEX(Setup!$L$6:$L$23,17)))+((W1424="")*(INDEX(Setup!$M$6:$M$23,17)="Y"))+((Y1424="")*(INDEX(Setup!$M$6:$M$23,17)="Y")))</f>
        <v/>
      </c>
      <c r="AC1424" s="90">
        <f>IF($B1424="","",IF(AB1424=0,"✓ covered","⚠ "&amp;AB1424&amp;IF(AB1424=1," gap"," gaps")))</f>
        <v/>
      </c>
    </row>
    <row r="1425" ht="17" customHeight="1">
      <c r="A1425" t="n">
        <v>29</v>
      </c>
      <c r="B1425" s="29">
        <f>IF(Setup!$K$23="","",Setup!$K$23)</f>
        <v/>
      </c>
      <c r="C1425" s="88" t="n"/>
      <c r="D1425" s="88" t="n"/>
      <c r="E1425" s="88" t="n"/>
      <c r="F1425" s="89" t="n"/>
      <c r="G1425" s="88" t="n"/>
      <c r="H1425" s="88" t="n"/>
      <c r="I1425" s="88" t="n"/>
      <c r="J1425" s="89" t="n"/>
      <c r="K1425" s="88" t="n"/>
      <c r="L1425" s="88" t="n"/>
      <c r="M1425" s="88" t="n"/>
      <c r="N1425" s="89" t="n"/>
      <c r="O1425" s="88" t="n"/>
      <c r="P1425" s="88" t="n"/>
      <c r="Q1425" s="88" t="n"/>
      <c r="R1425" s="89" t="n"/>
      <c r="S1425" s="88" t="n"/>
      <c r="T1425" s="88" t="n"/>
      <c r="U1425" s="88" t="n"/>
      <c r="V1425" s="89" t="n"/>
      <c r="W1425" s="88" t="n"/>
      <c r="X1425" s="89" t="n"/>
      <c r="Y1425" s="88" t="n"/>
      <c r="Z1425" s="89" t="n"/>
      <c r="AB1425" s="30">
        <f>IF($B1425="","",(COUNTIF(C1425:E1425,"?*")&lt;N(INDEX(Setup!$L$6:$L$23,18)))+(COUNTIF(G1425:I1425,"?*")&lt;N(INDEX(Setup!$L$6:$L$23,18)))+(COUNTIF(K1425:M1425,"?*")&lt;N(INDEX(Setup!$L$6:$L$23,18)))+(COUNTIF(O1425:Q1425,"?*")&lt;N(INDEX(Setup!$L$6:$L$23,18)))+(COUNTIF(S1425:U1425,"?*")&lt;N(INDEX(Setup!$L$6:$L$23,18)))+((W1425="")*(INDEX(Setup!$M$6:$M$23,18)="Y"))+((Y1425="")*(INDEX(Setup!$M$6:$M$23,18)="Y")))</f>
        <v/>
      </c>
      <c r="AC1425" s="91">
        <f>IF($B1425="","",IF(AB1425=0,"✓ covered","⚠ "&amp;AB1425&amp;IF(AB1425=1," gap"," gaps")))</f>
        <v/>
      </c>
    </row>
    <row r="1426" ht="18" customHeight="1">
      <c r="A1426" t="n">
        <v>29</v>
      </c>
      <c r="B1426" s="78" t="inlineStr">
        <is>
          <t>TEAM AVAILABILITY</t>
        </is>
      </c>
      <c r="C1426" s="92" t="inlineStr">
        <is>
          <t>Mon</t>
        </is>
      </c>
      <c r="D1426" s="93" t="n"/>
      <c r="E1426" s="93" t="n"/>
      <c r="F1426" s="94" t="n"/>
      <c r="G1426" s="92" t="inlineStr">
        <is>
          <t>Tue</t>
        </is>
      </c>
      <c r="H1426" s="93" t="n"/>
      <c r="I1426" s="93" t="n"/>
      <c r="J1426" s="94" t="n"/>
      <c r="K1426" s="92" t="inlineStr">
        <is>
          <t>Wed</t>
        </is>
      </c>
      <c r="L1426" s="93" t="n"/>
      <c r="M1426" s="93" t="n"/>
      <c r="N1426" s="94" t="n"/>
      <c r="O1426" s="92" t="inlineStr">
        <is>
          <t>Thu</t>
        </is>
      </c>
      <c r="P1426" s="93" t="n"/>
      <c r="Q1426" s="93" t="n"/>
      <c r="R1426" s="94" t="n"/>
      <c r="S1426" s="92" t="inlineStr">
        <is>
          <t>Fri</t>
        </is>
      </c>
      <c r="T1426" s="93" t="n"/>
      <c r="U1426" s="93" t="n"/>
      <c r="V1426" s="94" t="n"/>
      <c r="W1426" s="95" t="inlineStr">
        <is>
          <t>Sat</t>
        </is>
      </c>
      <c r="X1426" s="96" t="n"/>
      <c r="Y1426" s="95" t="inlineStr">
        <is>
          <t>Sun</t>
        </is>
      </c>
      <c r="Z1426" s="96" t="n"/>
      <c r="AB1426" s="97" t="inlineStr">
        <is>
          <t>Days rostered</t>
        </is>
      </c>
      <c r="AC1426" s="97" t="inlineStr">
        <is>
          <t>Conflicts</t>
        </is>
      </c>
    </row>
    <row r="1427" ht="15" customHeight="1">
      <c r="A1427" t="n">
        <v>29</v>
      </c>
      <c r="B1427" s="35">
        <f>IF(Setup!$B$6="","",Setup!$B$6)</f>
        <v/>
      </c>
      <c r="C1427" s="98" t="n"/>
      <c r="D1427" s="99" t="n"/>
      <c r="E1427" s="99" t="n"/>
      <c r="F1427" s="100" t="n"/>
      <c r="G1427" s="98" t="n"/>
      <c r="H1427" s="99" t="n"/>
      <c r="I1427" s="99" t="n"/>
      <c r="J1427" s="100" t="n"/>
      <c r="K1427" s="98" t="n"/>
      <c r="L1427" s="99" t="n"/>
      <c r="M1427" s="99" t="n"/>
      <c r="N1427" s="100" t="n"/>
      <c r="O1427" s="98" t="n"/>
      <c r="P1427" s="99" t="n"/>
      <c r="Q1427" s="99" t="n"/>
      <c r="R1427" s="100" t="n"/>
      <c r="S1427" s="98" t="n"/>
      <c r="T1427" s="99" t="n"/>
      <c r="U1427" s="99" t="n"/>
      <c r="V1427" s="100" t="n"/>
      <c r="W1427" s="98" t="n"/>
      <c r="X1427" s="100" t="n"/>
      <c r="Y1427" s="98" t="n"/>
      <c r="Z1427" s="100" t="n"/>
      <c r="AB1427" s="101">
        <f>IF($B1427="","",(COUNTIF(C1408:E1425,$B1427)+COUNTIF(C1408:E1425,$B1427&amp;" ~*")&gt;0)+(COUNTIF(G1408:I1425,$B1427)+COUNTIF(G1408:I1425,$B1427&amp;" ~*")&gt;0)+(COUNTIF(K1408:M1425,$B1427)+COUNTIF(K1408:M1425,$B1427&amp;" ~*")&gt;0)+(COUNTIF(O1408:Q1425,$B1427)+COUNTIF(O1408:Q1425,$B1427&amp;" ~*")&gt;0)+(COUNTIF(S1408:U1425,$B1427)+COUNTIF(S1408:U1425,$B1427&amp;" ~*")&gt;0)+(COUNTIF(W1408:W1425,$B1427)+COUNTIF(W1408:W1425,$B1427&amp;" ~*")&gt;0)+(COUNTIF(Y1408:Y1425,$B1427)+COUNTIF(Y1408:Y1425,$B1427&amp;" ~*")&gt;0))</f>
        <v/>
      </c>
      <c r="AC1427" s="36">
        <f>IF($B1427="","",(IFERROR(INDEX(Setup!$G$33:$G$40,MATCH(C1427,Setup!$B$33:$B$40,0)),0)=1)*(COUNTIF(C1408:E1425,$B1427)+COUNTIF(C1408:E1425,$B1427&amp;" ~*")&gt;0)+(IFERROR(INDEX(Setup!$G$33:$G$40,MATCH(G1427,Setup!$B$33:$B$40,0)),0)=1)*(COUNTIF(G1408:I1425,$B1427)+COUNTIF(G1408:I1425,$B1427&amp;" ~*")&gt;0)+(IFERROR(INDEX(Setup!$G$33:$G$40,MATCH(K1427,Setup!$B$33:$B$40,0)),0)=1)*(COUNTIF(K1408:M1425,$B1427)+COUNTIF(K1408:M1425,$B1427&amp;" ~*")&gt;0)+(IFERROR(INDEX(Setup!$G$33:$G$40,MATCH(O1427,Setup!$B$33:$B$40,0)),0)=1)*(COUNTIF(O1408:Q1425,$B1427)+COUNTIF(O1408:Q1425,$B1427&amp;" ~*")&gt;0)+(IFERROR(INDEX(Setup!$G$33:$G$40,MATCH(S1427,Setup!$B$33:$B$40,0)),0)=1)*(COUNTIF(S1408:U1425,$B1427)+COUNTIF(S1408:U1425,$B1427&amp;" ~*")&gt;0)+(IFERROR(INDEX(Setup!$G$33:$G$40,MATCH(W1427,Setup!$B$33:$B$40,0)),0)=1)*(COUNTIF(W1408:W1425,$B1427)+COUNTIF(W1408:W1425,$B1427&amp;" ~*")&gt;0)+(IFERROR(INDEX(Setup!$G$33:$G$40,MATCH(Y1427,Setup!$B$33:$B$40,0)),0)=1)*(COUNTIF(Y1408:Y1425,$B1427)+COUNTIF(Y1408:Y1425,$B1427&amp;" ~*")&gt;0))</f>
        <v/>
      </c>
    </row>
    <row r="1428" ht="15" customHeight="1">
      <c r="A1428" t="n">
        <v>29</v>
      </c>
      <c r="B1428" s="37">
        <f>IF(Setup!$B$7="","",Setup!$B$7)</f>
        <v/>
      </c>
      <c r="C1428" s="102" t="n"/>
      <c r="D1428" s="103" t="n"/>
      <c r="E1428" s="103" t="n"/>
      <c r="F1428" s="104" t="n"/>
      <c r="G1428" s="102" t="n"/>
      <c r="H1428" s="103" t="n"/>
      <c r="I1428" s="103" t="n"/>
      <c r="J1428" s="104" t="n"/>
      <c r="K1428" s="102" t="n"/>
      <c r="L1428" s="103" t="n"/>
      <c r="M1428" s="103" t="n"/>
      <c r="N1428" s="104" t="n"/>
      <c r="O1428" s="102" t="n"/>
      <c r="P1428" s="103" t="n"/>
      <c r="Q1428" s="103" t="n"/>
      <c r="R1428" s="104" t="n"/>
      <c r="S1428" s="102" t="n"/>
      <c r="T1428" s="103" t="n"/>
      <c r="U1428" s="103" t="n"/>
      <c r="V1428" s="104" t="n"/>
      <c r="W1428" s="102" t="n"/>
      <c r="X1428" s="104" t="n"/>
      <c r="Y1428" s="102" t="n"/>
      <c r="Z1428" s="104" t="n"/>
      <c r="AB1428" s="105">
        <f>IF($B1428="","",(COUNTIF(C1408:E1425,$B1428)+COUNTIF(C1408:E1425,$B1428&amp;" ~*")&gt;0)+(COUNTIF(G1408:I1425,$B1428)+COUNTIF(G1408:I1425,$B1428&amp;" ~*")&gt;0)+(COUNTIF(K1408:M1425,$B1428)+COUNTIF(K1408:M1425,$B1428&amp;" ~*")&gt;0)+(COUNTIF(O1408:Q1425,$B1428)+COUNTIF(O1408:Q1425,$B1428&amp;" ~*")&gt;0)+(COUNTIF(S1408:U1425,$B1428)+COUNTIF(S1408:U1425,$B1428&amp;" ~*")&gt;0)+(COUNTIF(W1408:W1425,$B1428)+COUNTIF(W1408:W1425,$B1428&amp;" ~*")&gt;0)+(COUNTIF(Y1408:Y1425,$B1428)+COUNTIF(Y1408:Y1425,$B1428&amp;" ~*")&gt;0))</f>
        <v/>
      </c>
      <c r="AC1428" s="38">
        <f>IF($B1428="","",(IFERROR(INDEX(Setup!$G$33:$G$40,MATCH(C1428,Setup!$B$33:$B$40,0)),0)=1)*(COUNTIF(C1408:E1425,$B1428)+COUNTIF(C1408:E1425,$B1428&amp;" ~*")&gt;0)+(IFERROR(INDEX(Setup!$G$33:$G$40,MATCH(G1428,Setup!$B$33:$B$40,0)),0)=1)*(COUNTIF(G1408:I1425,$B1428)+COUNTIF(G1408:I1425,$B1428&amp;" ~*")&gt;0)+(IFERROR(INDEX(Setup!$G$33:$G$40,MATCH(K1428,Setup!$B$33:$B$40,0)),0)=1)*(COUNTIF(K1408:M1425,$B1428)+COUNTIF(K1408:M1425,$B1428&amp;" ~*")&gt;0)+(IFERROR(INDEX(Setup!$G$33:$G$40,MATCH(O1428,Setup!$B$33:$B$40,0)),0)=1)*(COUNTIF(O1408:Q1425,$B1428)+COUNTIF(O1408:Q1425,$B1428&amp;" ~*")&gt;0)+(IFERROR(INDEX(Setup!$G$33:$G$40,MATCH(S1428,Setup!$B$33:$B$40,0)),0)=1)*(COUNTIF(S1408:U1425,$B1428)+COUNTIF(S1408:U1425,$B1428&amp;" ~*")&gt;0)+(IFERROR(INDEX(Setup!$G$33:$G$40,MATCH(W1428,Setup!$B$33:$B$40,0)),0)=1)*(COUNTIF(W1408:W1425,$B1428)+COUNTIF(W1408:W1425,$B1428&amp;" ~*")&gt;0)+(IFERROR(INDEX(Setup!$G$33:$G$40,MATCH(Y1428,Setup!$B$33:$B$40,0)),0)=1)*(COUNTIF(Y1408:Y1425,$B1428)+COUNTIF(Y1408:Y1425,$B1428&amp;" ~*")&gt;0))</f>
        <v/>
      </c>
    </row>
    <row r="1429" ht="15" customHeight="1">
      <c r="A1429" t="n">
        <v>29</v>
      </c>
      <c r="B1429" s="35">
        <f>IF(Setup!$B$8="","",Setup!$B$8)</f>
        <v/>
      </c>
      <c r="C1429" s="98" t="n"/>
      <c r="D1429" s="99" t="n"/>
      <c r="E1429" s="99" t="n"/>
      <c r="F1429" s="100" t="n"/>
      <c r="G1429" s="98" t="n"/>
      <c r="H1429" s="99" t="n"/>
      <c r="I1429" s="99" t="n"/>
      <c r="J1429" s="100" t="n"/>
      <c r="K1429" s="98" t="n"/>
      <c r="L1429" s="99" t="n"/>
      <c r="M1429" s="99" t="n"/>
      <c r="N1429" s="100" t="n"/>
      <c r="O1429" s="98" t="n"/>
      <c r="P1429" s="99" t="n"/>
      <c r="Q1429" s="99" t="n"/>
      <c r="R1429" s="100" t="n"/>
      <c r="S1429" s="98" t="n"/>
      <c r="T1429" s="99" t="n"/>
      <c r="U1429" s="99" t="n"/>
      <c r="V1429" s="100" t="n"/>
      <c r="W1429" s="98" t="n"/>
      <c r="X1429" s="100" t="n"/>
      <c r="Y1429" s="98" t="n"/>
      <c r="Z1429" s="100" t="n"/>
      <c r="AB1429" s="101">
        <f>IF($B1429="","",(COUNTIF(C1408:E1425,$B1429)+COUNTIF(C1408:E1425,$B1429&amp;" ~*")&gt;0)+(COUNTIF(G1408:I1425,$B1429)+COUNTIF(G1408:I1425,$B1429&amp;" ~*")&gt;0)+(COUNTIF(K1408:M1425,$B1429)+COUNTIF(K1408:M1425,$B1429&amp;" ~*")&gt;0)+(COUNTIF(O1408:Q1425,$B1429)+COUNTIF(O1408:Q1425,$B1429&amp;" ~*")&gt;0)+(COUNTIF(S1408:U1425,$B1429)+COUNTIF(S1408:U1425,$B1429&amp;" ~*")&gt;0)+(COUNTIF(W1408:W1425,$B1429)+COUNTIF(W1408:W1425,$B1429&amp;" ~*")&gt;0)+(COUNTIF(Y1408:Y1425,$B1429)+COUNTIF(Y1408:Y1425,$B1429&amp;" ~*")&gt;0))</f>
        <v/>
      </c>
      <c r="AC1429" s="36">
        <f>IF($B1429="","",(IFERROR(INDEX(Setup!$G$33:$G$40,MATCH(C1429,Setup!$B$33:$B$40,0)),0)=1)*(COUNTIF(C1408:E1425,$B1429)+COUNTIF(C1408:E1425,$B1429&amp;" ~*")&gt;0)+(IFERROR(INDEX(Setup!$G$33:$G$40,MATCH(G1429,Setup!$B$33:$B$40,0)),0)=1)*(COUNTIF(G1408:I1425,$B1429)+COUNTIF(G1408:I1425,$B1429&amp;" ~*")&gt;0)+(IFERROR(INDEX(Setup!$G$33:$G$40,MATCH(K1429,Setup!$B$33:$B$40,0)),0)=1)*(COUNTIF(K1408:M1425,$B1429)+COUNTIF(K1408:M1425,$B1429&amp;" ~*")&gt;0)+(IFERROR(INDEX(Setup!$G$33:$G$40,MATCH(O1429,Setup!$B$33:$B$40,0)),0)=1)*(COUNTIF(O1408:Q1425,$B1429)+COUNTIF(O1408:Q1425,$B1429&amp;" ~*")&gt;0)+(IFERROR(INDEX(Setup!$G$33:$G$40,MATCH(S1429,Setup!$B$33:$B$40,0)),0)=1)*(COUNTIF(S1408:U1425,$B1429)+COUNTIF(S1408:U1425,$B1429&amp;" ~*")&gt;0)+(IFERROR(INDEX(Setup!$G$33:$G$40,MATCH(W1429,Setup!$B$33:$B$40,0)),0)=1)*(COUNTIF(W1408:W1425,$B1429)+COUNTIF(W1408:W1425,$B1429&amp;" ~*")&gt;0)+(IFERROR(INDEX(Setup!$G$33:$G$40,MATCH(Y1429,Setup!$B$33:$B$40,0)),0)=1)*(COUNTIF(Y1408:Y1425,$B1429)+COUNTIF(Y1408:Y1425,$B1429&amp;" ~*")&gt;0))</f>
        <v/>
      </c>
    </row>
    <row r="1430" ht="15" customHeight="1">
      <c r="A1430" t="n">
        <v>29</v>
      </c>
      <c r="B1430" s="37">
        <f>IF(Setup!$B$9="","",Setup!$B$9)</f>
        <v/>
      </c>
      <c r="C1430" s="102" t="n"/>
      <c r="D1430" s="103" t="n"/>
      <c r="E1430" s="103" t="n"/>
      <c r="F1430" s="104" t="n"/>
      <c r="G1430" s="102" t="n"/>
      <c r="H1430" s="103" t="n"/>
      <c r="I1430" s="103" t="n"/>
      <c r="J1430" s="104" t="n"/>
      <c r="K1430" s="102" t="n"/>
      <c r="L1430" s="103" t="n"/>
      <c r="M1430" s="103" t="n"/>
      <c r="N1430" s="104" t="n"/>
      <c r="O1430" s="102" t="n"/>
      <c r="P1430" s="103" t="n"/>
      <c r="Q1430" s="103" t="n"/>
      <c r="R1430" s="104" t="n"/>
      <c r="S1430" s="102" t="n"/>
      <c r="T1430" s="103" t="n"/>
      <c r="U1430" s="103" t="n"/>
      <c r="V1430" s="104" t="n"/>
      <c r="W1430" s="102" t="n"/>
      <c r="X1430" s="104" t="n"/>
      <c r="Y1430" s="102" t="n"/>
      <c r="Z1430" s="104" t="n"/>
      <c r="AB1430" s="105">
        <f>IF($B1430="","",(COUNTIF(C1408:E1425,$B1430)+COUNTIF(C1408:E1425,$B1430&amp;" ~*")&gt;0)+(COUNTIF(G1408:I1425,$B1430)+COUNTIF(G1408:I1425,$B1430&amp;" ~*")&gt;0)+(COUNTIF(K1408:M1425,$B1430)+COUNTIF(K1408:M1425,$B1430&amp;" ~*")&gt;0)+(COUNTIF(O1408:Q1425,$B1430)+COUNTIF(O1408:Q1425,$B1430&amp;" ~*")&gt;0)+(COUNTIF(S1408:U1425,$B1430)+COUNTIF(S1408:U1425,$B1430&amp;" ~*")&gt;0)+(COUNTIF(W1408:W1425,$B1430)+COUNTIF(W1408:W1425,$B1430&amp;" ~*")&gt;0)+(COUNTIF(Y1408:Y1425,$B1430)+COUNTIF(Y1408:Y1425,$B1430&amp;" ~*")&gt;0))</f>
        <v/>
      </c>
      <c r="AC1430" s="38">
        <f>IF($B1430="","",(IFERROR(INDEX(Setup!$G$33:$G$40,MATCH(C1430,Setup!$B$33:$B$40,0)),0)=1)*(COUNTIF(C1408:E1425,$B1430)+COUNTIF(C1408:E1425,$B1430&amp;" ~*")&gt;0)+(IFERROR(INDEX(Setup!$G$33:$G$40,MATCH(G1430,Setup!$B$33:$B$40,0)),0)=1)*(COUNTIF(G1408:I1425,$B1430)+COUNTIF(G1408:I1425,$B1430&amp;" ~*")&gt;0)+(IFERROR(INDEX(Setup!$G$33:$G$40,MATCH(K1430,Setup!$B$33:$B$40,0)),0)=1)*(COUNTIF(K1408:M1425,$B1430)+COUNTIF(K1408:M1425,$B1430&amp;" ~*")&gt;0)+(IFERROR(INDEX(Setup!$G$33:$G$40,MATCH(O1430,Setup!$B$33:$B$40,0)),0)=1)*(COUNTIF(O1408:Q1425,$B1430)+COUNTIF(O1408:Q1425,$B1430&amp;" ~*")&gt;0)+(IFERROR(INDEX(Setup!$G$33:$G$40,MATCH(S1430,Setup!$B$33:$B$40,0)),0)=1)*(COUNTIF(S1408:U1425,$B1430)+COUNTIF(S1408:U1425,$B1430&amp;" ~*")&gt;0)+(IFERROR(INDEX(Setup!$G$33:$G$40,MATCH(W1430,Setup!$B$33:$B$40,0)),0)=1)*(COUNTIF(W1408:W1425,$B1430)+COUNTIF(W1408:W1425,$B1430&amp;" ~*")&gt;0)+(IFERROR(INDEX(Setup!$G$33:$G$40,MATCH(Y1430,Setup!$B$33:$B$40,0)),0)=1)*(COUNTIF(Y1408:Y1425,$B1430)+COUNTIF(Y1408:Y1425,$B1430&amp;" ~*")&gt;0))</f>
        <v/>
      </c>
    </row>
    <row r="1431" ht="15" customHeight="1">
      <c r="A1431" t="n">
        <v>29</v>
      </c>
      <c r="B1431" s="35">
        <f>IF(Setup!$B$10="","",Setup!$B$10)</f>
        <v/>
      </c>
      <c r="C1431" s="98" t="n"/>
      <c r="D1431" s="99" t="n"/>
      <c r="E1431" s="99" t="n"/>
      <c r="F1431" s="100" t="n"/>
      <c r="G1431" s="98" t="n"/>
      <c r="H1431" s="99" t="n"/>
      <c r="I1431" s="99" t="n"/>
      <c r="J1431" s="100" t="n"/>
      <c r="K1431" s="98" t="n"/>
      <c r="L1431" s="99" t="n"/>
      <c r="M1431" s="99" t="n"/>
      <c r="N1431" s="100" t="n"/>
      <c r="O1431" s="98" t="n"/>
      <c r="P1431" s="99" t="n"/>
      <c r="Q1431" s="99" t="n"/>
      <c r="R1431" s="100" t="n"/>
      <c r="S1431" s="98" t="n"/>
      <c r="T1431" s="99" t="n"/>
      <c r="U1431" s="99" t="n"/>
      <c r="V1431" s="100" t="n"/>
      <c r="W1431" s="98" t="n"/>
      <c r="X1431" s="100" t="n"/>
      <c r="Y1431" s="98" t="n"/>
      <c r="Z1431" s="100" t="n"/>
      <c r="AB1431" s="101">
        <f>IF($B1431="","",(COUNTIF(C1408:E1425,$B1431)+COUNTIF(C1408:E1425,$B1431&amp;" ~*")&gt;0)+(COUNTIF(G1408:I1425,$B1431)+COUNTIF(G1408:I1425,$B1431&amp;" ~*")&gt;0)+(COUNTIF(K1408:M1425,$B1431)+COUNTIF(K1408:M1425,$B1431&amp;" ~*")&gt;0)+(COUNTIF(O1408:Q1425,$B1431)+COUNTIF(O1408:Q1425,$B1431&amp;" ~*")&gt;0)+(COUNTIF(S1408:U1425,$B1431)+COUNTIF(S1408:U1425,$B1431&amp;" ~*")&gt;0)+(COUNTIF(W1408:W1425,$B1431)+COUNTIF(W1408:W1425,$B1431&amp;" ~*")&gt;0)+(COUNTIF(Y1408:Y1425,$B1431)+COUNTIF(Y1408:Y1425,$B1431&amp;" ~*")&gt;0))</f>
        <v/>
      </c>
      <c r="AC1431" s="36">
        <f>IF($B1431="","",(IFERROR(INDEX(Setup!$G$33:$G$40,MATCH(C1431,Setup!$B$33:$B$40,0)),0)=1)*(COUNTIF(C1408:E1425,$B1431)+COUNTIF(C1408:E1425,$B1431&amp;" ~*")&gt;0)+(IFERROR(INDEX(Setup!$G$33:$G$40,MATCH(G1431,Setup!$B$33:$B$40,0)),0)=1)*(COUNTIF(G1408:I1425,$B1431)+COUNTIF(G1408:I1425,$B1431&amp;" ~*")&gt;0)+(IFERROR(INDEX(Setup!$G$33:$G$40,MATCH(K1431,Setup!$B$33:$B$40,0)),0)=1)*(COUNTIF(K1408:M1425,$B1431)+COUNTIF(K1408:M1425,$B1431&amp;" ~*")&gt;0)+(IFERROR(INDEX(Setup!$G$33:$G$40,MATCH(O1431,Setup!$B$33:$B$40,0)),0)=1)*(COUNTIF(O1408:Q1425,$B1431)+COUNTIF(O1408:Q1425,$B1431&amp;" ~*")&gt;0)+(IFERROR(INDEX(Setup!$G$33:$G$40,MATCH(S1431,Setup!$B$33:$B$40,0)),0)=1)*(COUNTIF(S1408:U1425,$B1431)+COUNTIF(S1408:U1425,$B1431&amp;" ~*")&gt;0)+(IFERROR(INDEX(Setup!$G$33:$G$40,MATCH(W1431,Setup!$B$33:$B$40,0)),0)=1)*(COUNTIF(W1408:W1425,$B1431)+COUNTIF(W1408:W1425,$B1431&amp;" ~*")&gt;0)+(IFERROR(INDEX(Setup!$G$33:$G$40,MATCH(Y1431,Setup!$B$33:$B$40,0)),0)=1)*(COUNTIF(Y1408:Y1425,$B1431)+COUNTIF(Y1408:Y1425,$B1431&amp;" ~*")&gt;0))</f>
        <v/>
      </c>
    </row>
    <row r="1432" ht="15" customHeight="1">
      <c r="A1432" t="n">
        <v>29</v>
      </c>
      <c r="B1432" s="37">
        <f>IF(Setup!$B$11="","",Setup!$B$11)</f>
        <v/>
      </c>
      <c r="C1432" s="102" t="n"/>
      <c r="D1432" s="103" t="n"/>
      <c r="E1432" s="103" t="n"/>
      <c r="F1432" s="104" t="n"/>
      <c r="G1432" s="102" t="n"/>
      <c r="H1432" s="103" t="n"/>
      <c r="I1432" s="103" t="n"/>
      <c r="J1432" s="104" t="n"/>
      <c r="K1432" s="102" t="n"/>
      <c r="L1432" s="103" t="n"/>
      <c r="M1432" s="103" t="n"/>
      <c r="N1432" s="104" t="n"/>
      <c r="O1432" s="102" t="n"/>
      <c r="P1432" s="103" t="n"/>
      <c r="Q1432" s="103" t="n"/>
      <c r="R1432" s="104" t="n"/>
      <c r="S1432" s="102" t="n"/>
      <c r="T1432" s="103" t="n"/>
      <c r="U1432" s="103" t="n"/>
      <c r="V1432" s="104" t="n"/>
      <c r="W1432" s="102" t="n"/>
      <c r="X1432" s="104" t="n"/>
      <c r="Y1432" s="102" t="n"/>
      <c r="Z1432" s="104" t="n"/>
      <c r="AB1432" s="105">
        <f>IF($B1432="","",(COUNTIF(C1408:E1425,$B1432)+COUNTIF(C1408:E1425,$B1432&amp;" ~*")&gt;0)+(COUNTIF(G1408:I1425,$B1432)+COUNTIF(G1408:I1425,$B1432&amp;" ~*")&gt;0)+(COUNTIF(K1408:M1425,$B1432)+COUNTIF(K1408:M1425,$B1432&amp;" ~*")&gt;0)+(COUNTIF(O1408:Q1425,$B1432)+COUNTIF(O1408:Q1425,$B1432&amp;" ~*")&gt;0)+(COUNTIF(S1408:U1425,$B1432)+COUNTIF(S1408:U1425,$B1432&amp;" ~*")&gt;0)+(COUNTIF(W1408:W1425,$B1432)+COUNTIF(W1408:W1425,$B1432&amp;" ~*")&gt;0)+(COUNTIF(Y1408:Y1425,$B1432)+COUNTIF(Y1408:Y1425,$B1432&amp;" ~*")&gt;0))</f>
        <v/>
      </c>
      <c r="AC1432" s="38">
        <f>IF($B1432="","",(IFERROR(INDEX(Setup!$G$33:$G$40,MATCH(C1432,Setup!$B$33:$B$40,0)),0)=1)*(COUNTIF(C1408:E1425,$B1432)+COUNTIF(C1408:E1425,$B1432&amp;" ~*")&gt;0)+(IFERROR(INDEX(Setup!$G$33:$G$40,MATCH(G1432,Setup!$B$33:$B$40,0)),0)=1)*(COUNTIF(G1408:I1425,$B1432)+COUNTIF(G1408:I1425,$B1432&amp;" ~*")&gt;0)+(IFERROR(INDEX(Setup!$G$33:$G$40,MATCH(K1432,Setup!$B$33:$B$40,0)),0)=1)*(COUNTIF(K1408:M1425,$B1432)+COUNTIF(K1408:M1425,$B1432&amp;" ~*")&gt;0)+(IFERROR(INDEX(Setup!$G$33:$G$40,MATCH(O1432,Setup!$B$33:$B$40,0)),0)=1)*(COUNTIF(O1408:Q1425,$B1432)+COUNTIF(O1408:Q1425,$B1432&amp;" ~*")&gt;0)+(IFERROR(INDEX(Setup!$G$33:$G$40,MATCH(S1432,Setup!$B$33:$B$40,0)),0)=1)*(COUNTIF(S1408:U1425,$B1432)+COUNTIF(S1408:U1425,$B1432&amp;" ~*")&gt;0)+(IFERROR(INDEX(Setup!$G$33:$G$40,MATCH(W1432,Setup!$B$33:$B$40,0)),0)=1)*(COUNTIF(W1408:W1425,$B1432)+COUNTIF(W1408:W1425,$B1432&amp;" ~*")&gt;0)+(IFERROR(INDEX(Setup!$G$33:$G$40,MATCH(Y1432,Setup!$B$33:$B$40,0)),0)=1)*(COUNTIF(Y1408:Y1425,$B1432)+COUNTIF(Y1408:Y1425,$B1432&amp;" ~*")&gt;0))</f>
        <v/>
      </c>
    </row>
    <row r="1433" ht="15" customHeight="1">
      <c r="A1433" t="n">
        <v>29</v>
      </c>
      <c r="B1433" s="35">
        <f>IF(Setup!$B$12="","",Setup!$B$12)</f>
        <v/>
      </c>
      <c r="C1433" s="98" t="n"/>
      <c r="D1433" s="99" t="n"/>
      <c r="E1433" s="99" t="n"/>
      <c r="F1433" s="100" t="n"/>
      <c r="G1433" s="98" t="n"/>
      <c r="H1433" s="99" t="n"/>
      <c r="I1433" s="99" t="n"/>
      <c r="J1433" s="100" t="n"/>
      <c r="K1433" s="98" t="n"/>
      <c r="L1433" s="99" t="n"/>
      <c r="M1433" s="99" t="n"/>
      <c r="N1433" s="100" t="n"/>
      <c r="O1433" s="98" t="n"/>
      <c r="P1433" s="99" t="n"/>
      <c r="Q1433" s="99" t="n"/>
      <c r="R1433" s="100" t="n"/>
      <c r="S1433" s="98" t="n"/>
      <c r="T1433" s="99" t="n"/>
      <c r="U1433" s="99" t="n"/>
      <c r="V1433" s="100" t="n"/>
      <c r="W1433" s="98" t="n"/>
      <c r="X1433" s="100" t="n"/>
      <c r="Y1433" s="98" t="n"/>
      <c r="Z1433" s="100" t="n"/>
      <c r="AB1433" s="101">
        <f>IF($B1433="","",(COUNTIF(C1408:E1425,$B1433)+COUNTIF(C1408:E1425,$B1433&amp;" ~*")&gt;0)+(COUNTIF(G1408:I1425,$B1433)+COUNTIF(G1408:I1425,$B1433&amp;" ~*")&gt;0)+(COUNTIF(K1408:M1425,$B1433)+COUNTIF(K1408:M1425,$B1433&amp;" ~*")&gt;0)+(COUNTIF(O1408:Q1425,$B1433)+COUNTIF(O1408:Q1425,$B1433&amp;" ~*")&gt;0)+(COUNTIF(S1408:U1425,$B1433)+COUNTIF(S1408:U1425,$B1433&amp;" ~*")&gt;0)+(COUNTIF(W1408:W1425,$B1433)+COUNTIF(W1408:W1425,$B1433&amp;" ~*")&gt;0)+(COUNTIF(Y1408:Y1425,$B1433)+COUNTIF(Y1408:Y1425,$B1433&amp;" ~*")&gt;0))</f>
        <v/>
      </c>
      <c r="AC1433" s="36">
        <f>IF($B1433="","",(IFERROR(INDEX(Setup!$G$33:$G$40,MATCH(C1433,Setup!$B$33:$B$40,0)),0)=1)*(COUNTIF(C1408:E1425,$B1433)+COUNTIF(C1408:E1425,$B1433&amp;" ~*")&gt;0)+(IFERROR(INDEX(Setup!$G$33:$G$40,MATCH(G1433,Setup!$B$33:$B$40,0)),0)=1)*(COUNTIF(G1408:I1425,$B1433)+COUNTIF(G1408:I1425,$B1433&amp;" ~*")&gt;0)+(IFERROR(INDEX(Setup!$G$33:$G$40,MATCH(K1433,Setup!$B$33:$B$40,0)),0)=1)*(COUNTIF(K1408:M1425,$B1433)+COUNTIF(K1408:M1425,$B1433&amp;" ~*")&gt;0)+(IFERROR(INDEX(Setup!$G$33:$G$40,MATCH(O1433,Setup!$B$33:$B$40,0)),0)=1)*(COUNTIF(O1408:Q1425,$B1433)+COUNTIF(O1408:Q1425,$B1433&amp;" ~*")&gt;0)+(IFERROR(INDEX(Setup!$G$33:$G$40,MATCH(S1433,Setup!$B$33:$B$40,0)),0)=1)*(COUNTIF(S1408:U1425,$B1433)+COUNTIF(S1408:U1425,$B1433&amp;" ~*")&gt;0)+(IFERROR(INDEX(Setup!$G$33:$G$40,MATCH(W1433,Setup!$B$33:$B$40,0)),0)=1)*(COUNTIF(W1408:W1425,$B1433)+COUNTIF(W1408:W1425,$B1433&amp;" ~*")&gt;0)+(IFERROR(INDEX(Setup!$G$33:$G$40,MATCH(Y1433,Setup!$B$33:$B$40,0)),0)=1)*(COUNTIF(Y1408:Y1425,$B1433)+COUNTIF(Y1408:Y1425,$B1433&amp;" ~*")&gt;0))</f>
        <v/>
      </c>
    </row>
    <row r="1434" ht="15" customHeight="1">
      <c r="A1434" t="n">
        <v>29</v>
      </c>
      <c r="B1434" s="37">
        <f>IF(Setup!$B$13="","",Setup!$B$13)</f>
        <v/>
      </c>
      <c r="C1434" s="102" t="n"/>
      <c r="D1434" s="103" t="n"/>
      <c r="E1434" s="103" t="n"/>
      <c r="F1434" s="104" t="n"/>
      <c r="G1434" s="102" t="n"/>
      <c r="H1434" s="103" t="n"/>
      <c r="I1434" s="103" t="n"/>
      <c r="J1434" s="104" t="n"/>
      <c r="K1434" s="102" t="n"/>
      <c r="L1434" s="103" t="n"/>
      <c r="M1434" s="103" t="n"/>
      <c r="N1434" s="104" t="n"/>
      <c r="O1434" s="102" t="n"/>
      <c r="P1434" s="103" t="n"/>
      <c r="Q1434" s="103" t="n"/>
      <c r="R1434" s="104" t="n"/>
      <c r="S1434" s="102" t="n"/>
      <c r="T1434" s="103" t="n"/>
      <c r="U1434" s="103" t="n"/>
      <c r="V1434" s="104" t="n"/>
      <c r="W1434" s="102" t="n"/>
      <c r="X1434" s="104" t="n"/>
      <c r="Y1434" s="102" t="n"/>
      <c r="Z1434" s="104" t="n"/>
      <c r="AB1434" s="105">
        <f>IF($B1434="","",(COUNTIF(C1408:E1425,$B1434)+COUNTIF(C1408:E1425,$B1434&amp;" ~*")&gt;0)+(COUNTIF(G1408:I1425,$B1434)+COUNTIF(G1408:I1425,$B1434&amp;" ~*")&gt;0)+(COUNTIF(K1408:M1425,$B1434)+COUNTIF(K1408:M1425,$B1434&amp;" ~*")&gt;0)+(COUNTIF(O1408:Q1425,$B1434)+COUNTIF(O1408:Q1425,$B1434&amp;" ~*")&gt;0)+(COUNTIF(S1408:U1425,$B1434)+COUNTIF(S1408:U1425,$B1434&amp;" ~*")&gt;0)+(COUNTIF(W1408:W1425,$B1434)+COUNTIF(W1408:W1425,$B1434&amp;" ~*")&gt;0)+(COUNTIF(Y1408:Y1425,$B1434)+COUNTIF(Y1408:Y1425,$B1434&amp;" ~*")&gt;0))</f>
        <v/>
      </c>
      <c r="AC1434" s="38">
        <f>IF($B1434="","",(IFERROR(INDEX(Setup!$G$33:$G$40,MATCH(C1434,Setup!$B$33:$B$40,0)),0)=1)*(COUNTIF(C1408:E1425,$B1434)+COUNTIF(C1408:E1425,$B1434&amp;" ~*")&gt;0)+(IFERROR(INDEX(Setup!$G$33:$G$40,MATCH(G1434,Setup!$B$33:$B$40,0)),0)=1)*(COUNTIF(G1408:I1425,$B1434)+COUNTIF(G1408:I1425,$B1434&amp;" ~*")&gt;0)+(IFERROR(INDEX(Setup!$G$33:$G$40,MATCH(K1434,Setup!$B$33:$B$40,0)),0)=1)*(COUNTIF(K1408:M1425,$B1434)+COUNTIF(K1408:M1425,$B1434&amp;" ~*")&gt;0)+(IFERROR(INDEX(Setup!$G$33:$G$40,MATCH(O1434,Setup!$B$33:$B$40,0)),0)=1)*(COUNTIF(O1408:Q1425,$B1434)+COUNTIF(O1408:Q1425,$B1434&amp;" ~*")&gt;0)+(IFERROR(INDEX(Setup!$G$33:$G$40,MATCH(S1434,Setup!$B$33:$B$40,0)),0)=1)*(COUNTIF(S1408:U1425,$B1434)+COUNTIF(S1408:U1425,$B1434&amp;" ~*")&gt;0)+(IFERROR(INDEX(Setup!$G$33:$G$40,MATCH(W1434,Setup!$B$33:$B$40,0)),0)=1)*(COUNTIF(W1408:W1425,$B1434)+COUNTIF(W1408:W1425,$B1434&amp;" ~*")&gt;0)+(IFERROR(INDEX(Setup!$G$33:$G$40,MATCH(Y1434,Setup!$B$33:$B$40,0)),0)=1)*(COUNTIF(Y1408:Y1425,$B1434)+COUNTIF(Y1408:Y1425,$B1434&amp;" ~*")&gt;0))</f>
        <v/>
      </c>
    </row>
    <row r="1435" ht="15" customHeight="1">
      <c r="A1435" t="n">
        <v>29</v>
      </c>
      <c r="B1435" s="35">
        <f>IF(Setup!$B$14="","",Setup!$B$14)</f>
        <v/>
      </c>
      <c r="C1435" s="98" t="n"/>
      <c r="D1435" s="99" t="n"/>
      <c r="E1435" s="99" t="n"/>
      <c r="F1435" s="100" t="n"/>
      <c r="G1435" s="98" t="n"/>
      <c r="H1435" s="99" t="n"/>
      <c r="I1435" s="99" t="n"/>
      <c r="J1435" s="100" t="n"/>
      <c r="K1435" s="98" t="n"/>
      <c r="L1435" s="99" t="n"/>
      <c r="M1435" s="99" t="n"/>
      <c r="N1435" s="100" t="n"/>
      <c r="O1435" s="98" t="n"/>
      <c r="P1435" s="99" t="n"/>
      <c r="Q1435" s="99" t="n"/>
      <c r="R1435" s="100" t="n"/>
      <c r="S1435" s="98" t="n"/>
      <c r="T1435" s="99" t="n"/>
      <c r="U1435" s="99" t="n"/>
      <c r="V1435" s="100" t="n"/>
      <c r="W1435" s="98" t="n"/>
      <c r="X1435" s="100" t="n"/>
      <c r="Y1435" s="98" t="n"/>
      <c r="Z1435" s="100" t="n"/>
      <c r="AB1435" s="101">
        <f>IF($B1435="","",(COUNTIF(C1408:E1425,$B1435)+COUNTIF(C1408:E1425,$B1435&amp;" ~*")&gt;0)+(COUNTIF(G1408:I1425,$B1435)+COUNTIF(G1408:I1425,$B1435&amp;" ~*")&gt;0)+(COUNTIF(K1408:M1425,$B1435)+COUNTIF(K1408:M1425,$B1435&amp;" ~*")&gt;0)+(COUNTIF(O1408:Q1425,$B1435)+COUNTIF(O1408:Q1425,$B1435&amp;" ~*")&gt;0)+(COUNTIF(S1408:U1425,$B1435)+COUNTIF(S1408:U1425,$B1435&amp;" ~*")&gt;0)+(COUNTIF(W1408:W1425,$B1435)+COUNTIF(W1408:W1425,$B1435&amp;" ~*")&gt;0)+(COUNTIF(Y1408:Y1425,$B1435)+COUNTIF(Y1408:Y1425,$B1435&amp;" ~*")&gt;0))</f>
        <v/>
      </c>
      <c r="AC1435" s="36">
        <f>IF($B1435="","",(IFERROR(INDEX(Setup!$G$33:$G$40,MATCH(C1435,Setup!$B$33:$B$40,0)),0)=1)*(COUNTIF(C1408:E1425,$B1435)+COUNTIF(C1408:E1425,$B1435&amp;" ~*")&gt;0)+(IFERROR(INDEX(Setup!$G$33:$G$40,MATCH(G1435,Setup!$B$33:$B$40,0)),0)=1)*(COUNTIF(G1408:I1425,$B1435)+COUNTIF(G1408:I1425,$B1435&amp;" ~*")&gt;0)+(IFERROR(INDEX(Setup!$G$33:$G$40,MATCH(K1435,Setup!$B$33:$B$40,0)),0)=1)*(COUNTIF(K1408:M1425,$B1435)+COUNTIF(K1408:M1425,$B1435&amp;" ~*")&gt;0)+(IFERROR(INDEX(Setup!$G$33:$G$40,MATCH(O1435,Setup!$B$33:$B$40,0)),0)=1)*(COUNTIF(O1408:Q1425,$B1435)+COUNTIF(O1408:Q1425,$B1435&amp;" ~*")&gt;0)+(IFERROR(INDEX(Setup!$G$33:$G$40,MATCH(S1435,Setup!$B$33:$B$40,0)),0)=1)*(COUNTIF(S1408:U1425,$B1435)+COUNTIF(S1408:U1425,$B1435&amp;" ~*")&gt;0)+(IFERROR(INDEX(Setup!$G$33:$G$40,MATCH(W1435,Setup!$B$33:$B$40,0)),0)=1)*(COUNTIF(W1408:W1425,$B1435)+COUNTIF(W1408:W1425,$B1435&amp;" ~*")&gt;0)+(IFERROR(INDEX(Setup!$G$33:$G$40,MATCH(Y1435,Setup!$B$33:$B$40,0)),0)=1)*(COUNTIF(Y1408:Y1425,$B1435)+COUNTIF(Y1408:Y1425,$B1435&amp;" ~*")&gt;0))</f>
        <v/>
      </c>
    </row>
    <row r="1436" ht="15" customHeight="1">
      <c r="A1436" t="n">
        <v>29</v>
      </c>
      <c r="B1436" s="37">
        <f>IF(Setup!$B$15="","",Setup!$B$15)</f>
        <v/>
      </c>
      <c r="C1436" s="102" t="n"/>
      <c r="D1436" s="103" t="n"/>
      <c r="E1436" s="103" t="n"/>
      <c r="F1436" s="104" t="n"/>
      <c r="G1436" s="102" t="n"/>
      <c r="H1436" s="103" t="n"/>
      <c r="I1436" s="103" t="n"/>
      <c r="J1436" s="104" t="n"/>
      <c r="K1436" s="102" t="n"/>
      <c r="L1436" s="103" t="n"/>
      <c r="M1436" s="103" t="n"/>
      <c r="N1436" s="104" t="n"/>
      <c r="O1436" s="102" t="n"/>
      <c r="P1436" s="103" t="n"/>
      <c r="Q1436" s="103" t="n"/>
      <c r="R1436" s="104" t="n"/>
      <c r="S1436" s="102" t="n"/>
      <c r="T1436" s="103" t="n"/>
      <c r="U1436" s="103" t="n"/>
      <c r="V1436" s="104" t="n"/>
      <c r="W1436" s="102" t="n"/>
      <c r="X1436" s="104" t="n"/>
      <c r="Y1436" s="102" t="n"/>
      <c r="Z1436" s="104" t="n"/>
      <c r="AB1436" s="105">
        <f>IF($B1436="","",(COUNTIF(C1408:E1425,$B1436)+COUNTIF(C1408:E1425,$B1436&amp;" ~*")&gt;0)+(COUNTIF(G1408:I1425,$B1436)+COUNTIF(G1408:I1425,$B1436&amp;" ~*")&gt;0)+(COUNTIF(K1408:M1425,$B1436)+COUNTIF(K1408:M1425,$B1436&amp;" ~*")&gt;0)+(COUNTIF(O1408:Q1425,$B1436)+COUNTIF(O1408:Q1425,$B1436&amp;" ~*")&gt;0)+(COUNTIF(S1408:U1425,$B1436)+COUNTIF(S1408:U1425,$B1436&amp;" ~*")&gt;0)+(COUNTIF(W1408:W1425,$B1436)+COUNTIF(W1408:W1425,$B1436&amp;" ~*")&gt;0)+(COUNTIF(Y1408:Y1425,$B1436)+COUNTIF(Y1408:Y1425,$B1436&amp;" ~*")&gt;0))</f>
        <v/>
      </c>
      <c r="AC1436" s="38">
        <f>IF($B1436="","",(IFERROR(INDEX(Setup!$G$33:$G$40,MATCH(C1436,Setup!$B$33:$B$40,0)),0)=1)*(COUNTIF(C1408:E1425,$B1436)+COUNTIF(C1408:E1425,$B1436&amp;" ~*")&gt;0)+(IFERROR(INDEX(Setup!$G$33:$G$40,MATCH(G1436,Setup!$B$33:$B$40,0)),0)=1)*(COUNTIF(G1408:I1425,$B1436)+COUNTIF(G1408:I1425,$B1436&amp;" ~*")&gt;0)+(IFERROR(INDEX(Setup!$G$33:$G$40,MATCH(K1436,Setup!$B$33:$B$40,0)),0)=1)*(COUNTIF(K1408:M1425,$B1436)+COUNTIF(K1408:M1425,$B1436&amp;" ~*")&gt;0)+(IFERROR(INDEX(Setup!$G$33:$G$40,MATCH(O1436,Setup!$B$33:$B$40,0)),0)=1)*(COUNTIF(O1408:Q1425,$B1436)+COUNTIF(O1408:Q1425,$B1436&amp;" ~*")&gt;0)+(IFERROR(INDEX(Setup!$G$33:$G$40,MATCH(S1436,Setup!$B$33:$B$40,0)),0)=1)*(COUNTIF(S1408:U1425,$B1436)+COUNTIF(S1408:U1425,$B1436&amp;" ~*")&gt;0)+(IFERROR(INDEX(Setup!$G$33:$G$40,MATCH(W1436,Setup!$B$33:$B$40,0)),0)=1)*(COUNTIF(W1408:W1425,$B1436)+COUNTIF(W1408:W1425,$B1436&amp;" ~*")&gt;0)+(IFERROR(INDEX(Setup!$G$33:$G$40,MATCH(Y1436,Setup!$B$33:$B$40,0)),0)=1)*(COUNTIF(Y1408:Y1425,$B1436)+COUNTIF(Y1408:Y1425,$B1436&amp;" ~*")&gt;0))</f>
        <v/>
      </c>
    </row>
    <row r="1437" ht="15" customHeight="1">
      <c r="A1437" t="n">
        <v>29</v>
      </c>
      <c r="B1437" s="35">
        <f>IF(Setup!$B$16="","",Setup!$B$16)</f>
        <v/>
      </c>
      <c r="C1437" s="98" t="n"/>
      <c r="D1437" s="99" t="n"/>
      <c r="E1437" s="99" t="n"/>
      <c r="F1437" s="100" t="n"/>
      <c r="G1437" s="98" t="n"/>
      <c r="H1437" s="99" t="n"/>
      <c r="I1437" s="99" t="n"/>
      <c r="J1437" s="100" t="n"/>
      <c r="K1437" s="98" t="n"/>
      <c r="L1437" s="99" t="n"/>
      <c r="M1437" s="99" t="n"/>
      <c r="N1437" s="100" t="n"/>
      <c r="O1437" s="98" t="n"/>
      <c r="P1437" s="99" t="n"/>
      <c r="Q1437" s="99" t="n"/>
      <c r="R1437" s="100" t="n"/>
      <c r="S1437" s="98" t="n"/>
      <c r="T1437" s="99" t="n"/>
      <c r="U1437" s="99" t="n"/>
      <c r="V1437" s="100" t="n"/>
      <c r="W1437" s="98" t="n"/>
      <c r="X1437" s="100" t="n"/>
      <c r="Y1437" s="98" t="n"/>
      <c r="Z1437" s="100" t="n"/>
      <c r="AB1437" s="101">
        <f>IF($B1437="","",(COUNTIF(C1408:E1425,$B1437)+COUNTIF(C1408:E1425,$B1437&amp;" ~*")&gt;0)+(COUNTIF(G1408:I1425,$B1437)+COUNTIF(G1408:I1425,$B1437&amp;" ~*")&gt;0)+(COUNTIF(K1408:M1425,$B1437)+COUNTIF(K1408:M1425,$B1437&amp;" ~*")&gt;0)+(COUNTIF(O1408:Q1425,$B1437)+COUNTIF(O1408:Q1425,$B1437&amp;" ~*")&gt;0)+(COUNTIF(S1408:U1425,$B1437)+COUNTIF(S1408:U1425,$B1437&amp;" ~*")&gt;0)+(COUNTIF(W1408:W1425,$B1437)+COUNTIF(W1408:W1425,$B1437&amp;" ~*")&gt;0)+(COUNTIF(Y1408:Y1425,$B1437)+COUNTIF(Y1408:Y1425,$B1437&amp;" ~*")&gt;0))</f>
        <v/>
      </c>
      <c r="AC1437" s="36">
        <f>IF($B1437="","",(IFERROR(INDEX(Setup!$G$33:$G$40,MATCH(C1437,Setup!$B$33:$B$40,0)),0)=1)*(COUNTIF(C1408:E1425,$B1437)+COUNTIF(C1408:E1425,$B1437&amp;" ~*")&gt;0)+(IFERROR(INDEX(Setup!$G$33:$G$40,MATCH(G1437,Setup!$B$33:$B$40,0)),0)=1)*(COUNTIF(G1408:I1425,$B1437)+COUNTIF(G1408:I1425,$B1437&amp;" ~*")&gt;0)+(IFERROR(INDEX(Setup!$G$33:$G$40,MATCH(K1437,Setup!$B$33:$B$40,0)),0)=1)*(COUNTIF(K1408:M1425,$B1437)+COUNTIF(K1408:M1425,$B1437&amp;" ~*")&gt;0)+(IFERROR(INDEX(Setup!$G$33:$G$40,MATCH(O1437,Setup!$B$33:$B$40,0)),0)=1)*(COUNTIF(O1408:Q1425,$B1437)+COUNTIF(O1408:Q1425,$B1437&amp;" ~*")&gt;0)+(IFERROR(INDEX(Setup!$G$33:$G$40,MATCH(S1437,Setup!$B$33:$B$40,0)),0)=1)*(COUNTIF(S1408:U1425,$B1437)+COUNTIF(S1408:U1425,$B1437&amp;" ~*")&gt;0)+(IFERROR(INDEX(Setup!$G$33:$G$40,MATCH(W1437,Setup!$B$33:$B$40,0)),0)=1)*(COUNTIF(W1408:W1425,$B1437)+COUNTIF(W1408:W1425,$B1437&amp;" ~*")&gt;0)+(IFERROR(INDEX(Setup!$G$33:$G$40,MATCH(Y1437,Setup!$B$33:$B$40,0)),0)=1)*(COUNTIF(Y1408:Y1425,$B1437)+COUNTIF(Y1408:Y1425,$B1437&amp;" ~*")&gt;0))</f>
        <v/>
      </c>
    </row>
    <row r="1438" ht="15" customHeight="1">
      <c r="A1438" t="n">
        <v>29</v>
      </c>
      <c r="B1438" s="37">
        <f>IF(Setup!$B$17="","",Setup!$B$17)</f>
        <v/>
      </c>
      <c r="C1438" s="102" t="n"/>
      <c r="D1438" s="103" t="n"/>
      <c r="E1438" s="103" t="n"/>
      <c r="F1438" s="104" t="n"/>
      <c r="G1438" s="102" t="n"/>
      <c r="H1438" s="103" t="n"/>
      <c r="I1438" s="103" t="n"/>
      <c r="J1438" s="104" t="n"/>
      <c r="K1438" s="102" t="n"/>
      <c r="L1438" s="103" t="n"/>
      <c r="M1438" s="103" t="n"/>
      <c r="N1438" s="104" t="n"/>
      <c r="O1438" s="102" t="n"/>
      <c r="P1438" s="103" t="n"/>
      <c r="Q1438" s="103" t="n"/>
      <c r="R1438" s="104" t="n"/>
      <c r="S1438" s="102" t="n"/>
      <c r="T1438" s="103" t="n"/>
      <c r="U1438" s="103" t="n"/>
      <c r="V1438" s="104" t="n"/>
      <c r="W1438" s="102" t="n"/>
      <c r="X1438" s="104" t="n"/>
      <c r="Y1438" s="102" t="n"/>
      <c r="Z1438" s="104" t="n"/>
      <c r="AB1438" s="105">
        <f>IF($B1438="","",(COUNTIF(C1408:E1425,$B1438)+COUNTIF(C1408:E1425,$B1438&amp;" ~*")&gt;0)+(COUNTIF(G1408:I1425,$B1438)+COUNTIF(G1408:I1425,$B1438&amp;" ~*")&gt;0)+(COUNTIF(K1408:M1425,$B1438)+COUNTIF(K1408:M1425,$B1438&amp;" ~*")&gt;0)+(COUNTIF(O1408:Q1425,$B1438)+COUNTIF(O1408:Q1425,$B1438&amp;" ~*")&gt;0)+(COUNTIF(S1408:U1425,$B1438)+COUNTIF(S1408:U1425,$B1438&amp;" ~*")&gt;0)+(COUNTIF(W1408:W1425,$B1438)+COUNTIF(W1408:W1425,$B1438&amp;" ~*")&gt;0)+(COUNTIF(Y1408:Y1425,$B1438)+COUNTIF(Y1408:Y1425,$B1438&amp;" ~*")&gt;0))</f>
        <v/>
      </c>
      <c r="AC1438" s="38">
        <f>IF($B1438="","",(IFERROR(INDEX(Setup!$G$33:$G$40,MATCH(C1438,Setup!$B$33:$B$40,0)),0)=1)*(COUNTIF(C1408:E1425,$B1438)+COUNTIF(C1408:E1425,$B1438&amp;" ~*")&gt;0)+(IFERROR(INDEX(Setup!$G$33:$G$40,MATCH(G1438,Setup!$B$33:$B$40,0)),0)=1)*(COUNTIF(G1408:I1425,$B1438)+COUNTIF(G1408:I1425,$B1438&amp;" ~*")&gt;0)+(IFERROR(INDEX(Setup!$G$33:$G$40,MATCH(K1438,Setup!$B$33:$B$40,0)),0)=1)*(COUNTIF(K1408:M1425,$B1438)+COUNTIF(K1408:M1425,$B1438&amp;" ~*")&gt;0)+(IFERROR(INDEX(Setup!$G$33:$G$40,MATCH(O1438,Setup!$B$33:$B$40,0)),0)=1)*(COUNTIF(O1408:Q1425,$B1438)+COUNTIF(O1408:Q1425,$B1438&amp;" ~*")&gt;0)+(IFERROR(INDEX(Setup!$G$33:$G$40,MATCH(S1438,Setup!$B$33:$B$40,0)),0)=1)*(COUNTIF(S1408:U1425,$B1438)+COUNTIF(S1408:U1425,$B1438&amp;" ~*")&gt;0)+(IFERROR(INDEX(Setup!$G$33:$G$40,MATCH(W1438,Setup!$B$33:$B$40,0)),0)=1)*(COUNTIF(W1408:W1425,$B1438)+COUNTIF(W1408:W1425,$B1438&amp;" ~*")&gt;0)+(IFERROR(INDEX(Setup!$G$33:$G$40,MATCH(Y1438,Setup!$B$33:$B$40,0)),0)=1)*(COUNTIF(Y1408:Y1425,$B1438)+COUNTIF(Y1408:Y1425,$B1438&amp;" ~*")&gt;0))</f>
        <v/>
      </c>
    </row>
    <row r="1439" ht="15" customHeight="1">
      <c r="A1439" t="n">
        <v>29</v>
      </c>
      <c r="B1439" s="35">
        <f>IF(Setup!$B$18="","",Setup!$B$18)</f>
        <v/>
      </c>
      <c r="C1439" s="98" t="n"/>
      <c r="D1439" s="99" t="n"/>
      <c r="E1439" s="99" t="n"/>
      <c r="F1439" s="100" t="n"/>
      <c r="G1439" s="98" t="n"/>
      <c r="H1439" s="99" t="n"/>
      <c r="I1439" s="99" t="n"/>
      <c r="J1439" s="100" t="n"/>
      <c r="K1439" s="98" t="n"/>
      <c r="L1439" s="99" t="n"/>
      <c r="M1439" s="99" t="n"/>
      <c r="N1439" s="100" t="n"/>
      <c r="O1439" s="98" t="n"/>
      <c r="P1439" s="99" t="n"/>
      <c r="Q1439" s="99" t="n"/>
      <c r="R1439" s="100" t="n"/>
      <c r="S1439" s="98" t="n"/>
      <c r="T1439" s="99" t="n"/>
      <c r="U1439" s="99" t="n"/>
      <c r="V1439" s="100" t="n"/>
      <c r="W1439" s="98" t="n"/>
      <c r="X1439" s="100" t="n"/>
      <c r="Y1439" s="98" t="n"/>
      <c r="Z1439" s="100" t="n"/>
      <c r="AB1439" s="101">
        <f>IF($B1439="","",(COUNTIF(C1408:E1425,$B1439)+COUNTIF(C1408:E1425,$B1439&amp;" ~*")&gt;0)+(COUNTIF(G1408:I1425,$B1439)+COUNTIF(G1408:I1425,$B1439&amp;" ~*")&gt;0)+(COUNTIF(K1408:M1425,$B1439)+COUNTIF(K1408:M1425,$B1439&amp;" ~*")&gt;0)+(COUNTIF(O1408:Q1425,$B1439)+COUNTIF(O1408:Q1425,$B1439&amp;" ~*")&gt;0)+(COUNTIF(S1408:U1425,$B1439)+COUNTIF(S1408:U1425,$B1439&amp;" ~*")&gt;0)+(COUNTIF(W1408:W1425,$B1439)+COUNTIF(W1408:W1425,$B1439&amp;" ~*")&gt;0)+(COUNTIF(Y1408:Y1425,$B1439)+COUNTIF(Y1408:Y1425,$B1439&amp;" ~*")&gt;0))</f>
        <v/>
      </c>
      <c r="AC1439" s="36">
        <f>IF($B1439="","",(IFERROR(INDEX(Setup!$G$33:$G$40,MATCH(C1439,Setup!$B$33:$B$40,0)),0)=1)*(COUNTIF(C1408:E1425,$B1439)+COUNTIF(C1408:E1425,$B1439&amp;" ~*")&gt;0)+(IFERROR(INDEX(Setup!$G$33:$G$40,MATCH(G1439,Setup!$B$33:$B$40,0)),0)=1)*(COUNTIF(G1408:I1425,$B1439)+COUNTIF(G1408:I1425,$B1439&amp;" ~*")&gt;0)+(IFERROR(INDEX(Setup!$G$33:$G$40,MATCH(K1439,Setup!$B$33:$B$40,0)),0)=1)*(COUNTIF(K1408:M1425,$B1439)+COUNTIF(K1408:M1425,$B1439&amp;" ~*")&gt;0)+(IFERROR(INDEX(Setup!$G$33:$G$40,MATCH(O1439,Setup!$B$33:$B$40,0)),0)=1)*(COUNTIF(O1408:Q1425,$B1439)+COUNTIF(O1408:Q1425,$B1439&amp;" ~*")&gt;0)+(IFERROR(INDEX(Setup!$G$33:$G$40,MATCH(S1439,Setup!$B$33:$B$40,0)),0)=1)*(COUNTIF(S1408:U1425,$B1439)+COUNTIF(S1408:U1425,$B1439&amp;" ~*")&gt;0)+(IFERROR(INDEX(Setup!$G$33:$G$40,MATCH(W1439,Setup!$B$33:$B$40,0)),0)=1)*(COUNTIF(W1408:W1425,$B1439)+COUNTIF(W1408:W1425,$B1439&amp;" ~*")&gt;0)+(IFERROR(INDEX(Setup!$G$33:$G$40,MATCH(Y1439,Setup!$B$33:$B$40,0)),0)=1)*(COUNTIF(Y1408:Y1425,$B1439)+COUNTIF(Y1408:Y1425,$B1439&amp;" ~*")&gt;0))</f>
        <v/>
      </c>
    </row>
    <row r="1440" ht="15" customHeight="1">
      <c r="A1440" t="n">
        <v>29</v>
      </c>
      <c r="B1440" s="37">
        <f>IF(Setup!$B$19="","",Setup!$B$19)</f>
        <v/>
      </c>
      <c r="C1440" s="102" t="n"/>
      <c r="D1440" s="103" t="n"/>
      <c r="E1440" s="103" t="n"/>
      <c r="F1440" s="104" t="n"/>
      <c r="G1440" s="102" t="n"/>
      <c r="H1440" s="103" t="n"/>
      <c r="I1440" s="103" t="n"/>
      <c r="J1440" s="104" t="n"/>
      <c r="K1440" s="102" t="n"/>
      <c r="L1440" s="103" t="n"/>
      <c r="M1440" s="103" t="n"/>
      <c r="N1440" s="104" t="n"/>
      <c r="O1440" s="102" t="n"/>
      <c r="P1440" s="103" t="n"/>
      <c r="Q1440" s="103" t="n"/>
      <c r="R1440" s="104" t="n"/>
      <c r="S1440" s="102" t="n"/>
      <c r="T1440" s="103" t="n"/>
      <c r="U1440" s="103" t="n"/>
      <c r="V1440" s="104" t="n"/>
      <c r="W1440" s="102" t="n"/>
      <c r="X1440" s="104" t="n"/>
      <c r="Y1440" s="102" t="n"/>
      <c r="Z1440" s="104" t="n"/>
      <c r="AB1440" s="105">
        <f>IF($B1440="","",(COUNTIF(C1408:E1425,$B1440)+COUNTIF(C1408:E1425,$B1440&amp;" ~*")&gt;0)+(COUNTIF(G1408:I1425,$B1440)+COUNTIF(G1408:I1425,$B1440&amp;" ~*")&gt;0)+(COUNTIF(K1408:M1425,$B1440)+COUNTIF(K1408:M1425,$B1440&amp;" ~*")&gt;0)+(COUNTIF(O1408:Q1425,$B1440)+COUNTIF(O1408:Q1425,$B1440&amp;" ~*")&gt;0)+(COUNTIF(S1408:U1425,$B1440)+COUNTIF(S1408:U1425,$B1440&amp;" ~*")&gt;0)+(COUNTIF(W1408:W1425,$B1440)+COUNTIF(W1408:W1425,$B1440&amp;" ~*")&gt;0)+(COUNTIF(Y1408:Y1425,$B1440)+COUNTIF(Y1408:Y1425,$B1440&amp;" ~*")&gt;0))</f>
        <v/>
      </c>
      <c r="AC1440" s="38">
        <f>IF($B1440="","",(IFERROR(INDEX(Setup!$G$33:$G$40,MATCH(C1440,Setup!$B$33:$B$40,0)),0)=1)*(COUNTIF(C1408:E1425,$B1440)+COUNTIF(C1408:E1425,$B1440&amp;" ~*")&gt;0)+(IFERROR(INDEX(Setup!$G$33:$G$40,MATCH(G1440,Setup!$B$33:$B$40,0)),0)=1)*(COUNTIF(G1408:I1425,$B1440)+COUNTIF(G1408:I1425,$B1440&amp;" ~*")&gt;0)+(IFERROR(INDEX(Setup!$G$33:$G$40,MATCH(K1440,Setup!$B$33:$B$40,0)),0)=1)*(COUNTIF(K1408:M1425,$B1440)+COUNTIF(K1408:M1425,$B1440&amp;" ~*")&gt;0)+(IFERROR(INDEX(Setup!$G$33:$G$40,MATCH(O1440,Setup!$B$33:$B$40,0)),0)=1)*(COUNTIF(O1408:Q1425,$B1440)+COUNTIF(O1408:Q1425,$B1440&amp;" ~*")&gt;0)+(IFERROR(INDEX(Setup!$G$33:$G$40,MATCH(S1440,Setup!$B$33:$B$40,0)),0)=1)*(COUNTIF(S1408:U1425,$B1440)+COUNTIF(S1408:U1425,$B1440&amp;" ~*")&gt;0)+(IFERROR(INDEX(Setup!$G$33:$G$40,MATCH(W1440,Setup!$B$33:$B$40,0)),0)=1)*(COUNTIF(W1408:W1425,$B1440)+COUNTIF(W1408:W1425,$B1440&amp;" ~*")&gt;0)+(IFERROR(INDEX(Setup!$G$33:$G$40,MATCH(Y1440,Setup!$B$33:$B$40,0)),0)=1)*(COUNTIF(Y1408:Y1425,$B1440)+COUNTIF(Y1408:Y1425,$B1440&amp;" ~*")&gt;0))</f>
        <v/>
      </c>
    </row>
    <row r="1441" ht="15" customHeight="1">
      <c r="A1441" t="n">
        <v>29</v>
      </c>
      <c r="B1441" s="35">
        <f>IF(Setup!$B$20="","",Setup!$B$20)</f>
        <v/>
      </c>
      <c r="C1441" s="98" t="n"/>
      <c r="D1441" s="99" t="n"/>
      <c r="E1441" s="99" t="n"/>
      <c r="F1441" s="100" t="n"/>
      <c r="G1441" s="98" t="n"/>
      <c r="H1441" s="99" t="n"/>
      <c r="I1441" s="99" t="n"/>
      <c r="J1441" s="100" t="n"/>
      <c r="K1441" s="98" t="n"/>
      <c r="L1441" s="99" t="n"/>
      <c r="M1441" s="99" t="n"/>
      <c r="N1441" s="100" t="n"/>
      <c r="O1441" s="98" t="n"/>
      <c r="P1441" s="99" t="n"/>
      <c r="Q1441" s="99" t="n"/>
      <c r="R1441" s="100" t="n"/>
      <c r="S1441" s="98" t="n"/>
      <c r="T1441" s="99" t="n"/>
      <c r="U1441" s="99" t="n"/>
      <c r="V1441" s="100" t="n"/>
      <c r="W1441" s="98" t="n"/>
      <c r="X1441" s="100" t="n"/>
      <c r="Y1441" s="98" t="n"/>
      <c r="Z1441" s="100" t="n"/>
      <c r="AB1441" s="101">
        <f>IF($B1441="","",(COUNTIF(C1408:E1425,$B1441)+COUNTIF(C1408:E1425,$B1441&amp;" ~*")&gt;0)+(COUNTIF(G1408:I1425,$B1441)+COUNTIF(G1408:I1425,$B1441&amp;" ~*")&gt;0)+(COUNTIF(K1408:M1425,$B1441)+COUNTIF(K1408:M1425,$B1441&amp;" ~*")&gt;0)+(COUNTIF(O1408:Q1425,$B1441)+COUNTIF(O1408:Q1425,$B1441&amp;" ~*")&gt;0)+(COUNTIF(S1408:U1425,$B1441)+COUNTIF(S1408:U1425,$B1441&amp;" ~*")&gt;0)+(COUNTIF(W1408:W1425,$B1441)+COUNTIF(W1408:W1425,$B1441&amp;" ~*")&gt;0)+(COUNTIF(Y1408:Y1425,$B1441)+COUNTIF(Y1408:Y1425,$B1441&amp;" ~*")&gt;0))</f>
        <v/>
      </c>
      <c r="AC1441" s="36">
        <f>IF($B1441="","",(IFERROR(INDEX(Setup!$G$33:$G$40,MATCH(C1441,Setup!$B$33:$B$40,0)),0)=1)*(COUNTIF(C1408:E1425,$B1441)+COUNTIF(C1408:E1425,$B1441&amp;" ~*")&gt;0)+(IFERROR(INDEX(Setup!$G$33:$G$40,MATCH(G1441,Setup!$B$33:$B$40,0)),0)=1)*(COUNTIF(G1408:I1425,$B1441)+COUNTIF(G1408:I1425,$B1441&amp;" ~*")&gt;0)+(IFERROR(INDEX(Setup!$G$33:$G$40,MATCH(K1441,Setup!$B$33:$B$40,0)),0)=1)*(COUNTIF(K1408:M1425,$B1441)+COUNTIF(K1408:M1425,$B1441&amp;" ~*")&gt;0)+(IFERROR(INDEX(Setup!$G$33:$G$40,MATCH(O1441,Setup!$B$33:$B$40,0)),0)=1)*(COUNTIF(O1408:Q1425,$B1441)+COUNTIF(O1408:Q1425,$B1441&amp;" ~*")&gt;0)+(IFERROR(INDEX(Setup!$G$33:$G$40,MATCH(S1441,Setup!$B$33:$B$40,0)),0)=1)*(COUNTIF(S1408:U1425,$B1441)+COUNTIF(S1408:U1425,$B1441&amp;" ~*")&gt;0)+(IFERROR(INDEX(Setup!$G$33:$G$40,MATCH(W1441,Setup!$B$33:$B$40,0)),0)=1)*(COUNTIF(W1408:W1425,$B1441)+COUNTIF(W1408:W1425,$B1441&amp;" ~*")&gt;0)+(IFERROR(INDEX(Setup!$G$33:$G$40,MATCH(Y1441,Setup!$B$33:$B$40,0)),0)=1)*(COUNTIF(Y1408:Y1425,$B1441)+COUNTIF(Y1408:Y1425,$B1441&amp;" ~*")&gt;0))</f>
        <v/>
      </c>
    </row>
    <row r="1442" ht="15" customHeight="1">
      <c r="A1442" t="n">
        <v>29</v>
      </c>
      <c r="B1442" s="37">
        <f>IF(Setup!$B$21="","",Setup!$B$21)</f>
        <v/>
      </c>
      <c r="C1442" s="102" t="n"/>
      <c r="D1442" s="103" t="n"/>
      <c r="E1442" s="103" t="n"/>
      <c r="F1442" s="104" t="n"/>
      <c r="G1442" s="102" t="n"/>
      <c r="H1442" s="103" t="n"/>
      <c r="I1442" s="103" t="n"/>
      <c r="J1442" s="104" t="n"/>
      <c r="K1442" s="102" t="n"/>
      <c r="L1442" s="103" t="n"/>
      <c r="M1442" s="103" t="n"/>
      <c r="N1442" s="104" t="n"/>
      <c r="O1442" s="102" t="n"/>
      <c r="P1442" s="103" t="n"/>
      <c r="Q1442" s="103" t="n"/>
      <c r="R1442" s="104" t="n"/>
      <c r="S1442" s="102" t="n"/>
      <c r="T1442" s="103" t="n"/>
      <c r="U1442" s="103" t="n"/>
      <c r="V1442" s="104" t="n"/>
      <c r="W1442" s="102" t="n"/>
      <c r="X1442" s="104" t="n"/>
      <c r="Y1442" s="102" t="n"/>
      <c r="Z1442" s="104" t="n"/>
      <c r="AB1442" s="105">
        <f>IF($B1442="","",(COUNTIF(C1408:E1425,$B1442)+COUNTIF(C1408:E1425,$B1442&amp;" ~*")&gt;0)+(COUNTIF(G1408:I1425,$B1442)+COUNTIF(G1408:I1425,$B1442&amp;" ~*")&gt;0)+(COUNTIF(K1408:M1425,$B1442)+COUNTIF(K1408:M1425,$B1442&amp;" ~*")&gt;0)+(COUNTIF(O1408:Q1425,$B1442)+COUNTIF(O1408:Q1425,$B1442&amp;" ~*")&gt;0)+(COUNTIF(S1408:U1425,$B1442)+COUNTIF(S1408:U1425,$B1442&amp;" ~*")&gt;0)+(COUNTIF(W1408:W1425,$B1442)+COUNTIF(W1408:W1425,$B1442&amp;" ~*")&gt;0)+(COUNTIF(Y1408:Y1425,$B1442)+COUNTIF(Y1408:Y1425,$B1442&amp;" ~*")&gt;0))</f>
        <v/>
      </c>
      <c r="AC1442" s="38">
        <f>IF($B1442="","",(IFERROR(INDEX(Setup!$G$33:$G$40,MATCH(C1442,Setup!$B$33:$B$40,0)),0)=1)*(COUNTIF(C1408:E1425,$B1442)+COUNTIF(C1408:E1425,$B1442&amp;" ~*")&gt;0)+(IFERROR(INDEX(Setup!$G$33:$G$40,MATCH(G1442,Setup!$B$33:$B$40,0)),0)=1)*(COUNTIF(G1408:I1425,$B1442)+COUNTIF(G1408:I1425,$B1442&amp;" ~*")&gt;0)+(IFERROR(INDEX(Setup!$G$33:$G$40,MATCH(K1442,Setup!$B$33:$B$40,0)),0)=1)*(COUNTIF(K1408:M1425,$B1442)+COUNTIF(K1408:M1425,$B1442&amp;" ~*")&gt;0)+(IFERROR(INDEX(Setup!$G$33:$G$40,MATCH(O1442,Setup!$B$33:$B$40,0)),0)=1)*(COUNTIF(O1408:Q1425,$B1442)+COUNTIF(O1408:Q1425,$B1442&amp;" ~*")&gt;0)+(IFERROR(INDEX(Setup!$G$33:$G$40,MATCH(S1442,Setup!$B$33:$B$40,0)),0)=1)*(COUNTIF(S1408:U1425,$B1442)+COUNTIF(S1408:U1425,$B1442&amp;" ~*")&gt;0)+(IFERROR(INDEX(Setup!$G$33:$G$40,MATCH(W1442,Setup!$B$33:$B$40,0)),0)=1)*(COUNTIF(W1408:W1425,$B1442)+COUNTIF(W1408:W1425,$B1442&amp;" ~*")&gt;0)+(IFERROR(INDEX(Setup!$G$33:$G$40,MATCH(Y1442,Setup!$B$33:$B$40,0)),0)=1)*(COUNTIF(Y1408:Y1425,$B1442)+COUNTIF(Y1408:Y1425,$B1442&amp;" ~*")&gt;0))</f>
        <v/>
      </c>
    </row>
    <row r="1443" ht="15" customHeight="1">
      <c r="A1443" t="n">
        <v>29</v>
      </c>
      <c r="B1443" s="35">
        <f>IF(Setup!$B$22="","",Setup!$B$22)</f>
        <v/>
      </c>
      <c r="C1443" s="98" t="n"/>
      <c r="D1443" s="99" t="n"/>
      <c r="E1443" s="99" t="n"/>
      <c r="F1443" s="100" t="n"/>
      <c r="G1443" s="98" t="n"/>
      <c r="H1443" s="99" t="n"/>
      <c r="I1443" s="99" t="n"/>
      <c r="J1443" s="100" t="n"/>
      <c r="K1443" s="98" t="n"/>
      <c r="L1443" s="99" t="n"/>
      <c r="M1443" s="99" t="n"/>
      <c r="N1443" s="100" t="n"/>
      <c r="O1443" s="98" t="n"/>
      <c r="P1443" s="99" t="n"/>
      <c r="Q1443" s="99" t="n"/>
      <c r="R1443" s="100" t="n"/>
      <c r="S1443" s="98" t="n"/>
      <c r="T1443" s="99" t="n"/>
      <c r="U1443" s="99" t="n"/>
      <c r="V1443" s="100" t="n"/>
      <c r="W1443" s="98" t="n"/>
      <c r="X1443" s="100" t="n"/>
      <c r="Y1443" s="98" t="n"/>
      <c r="Z1443" s="100" t="n"/>
      <c r="AB1443" s="101">
        <f>IF($B1443="","",(COUNTIF(C1408:E1425,$B1443)+COUNTIF(C1408:E1425,$B1443&amp;" ~*")&gt;0)+(COUNTIF(G1408:I1425,$B1443)+COUNTIF(G1408:I1425,$B1443&amp;" ~*")&gt;0)+(COUNTIF(K1408:M1425,$B1443)+COUNTIF(K1408:M1425,$B1443&amp;" ~*")&gt;0)+(COUNTIF(O1408:Q1425,$B1443)+COUNTIF(O1408:Q1425,$B1443&amp;" ~*")&gt;0)+(COUNTIF(S1408:U1425,$B1443)+COUNTIF(S1408:U1425,$B1443&amp;" ~*")&gt;0)+(COUNTIF(W1408:W1425,$B1443)+COUNTIF(W1408:W1425,$B1443&amp;" ~*")&gt;0)+(COUNTIF(Y1408:Y1425,$B1443)+COUNTIF(Y1408:Y1425,$B1443&amp;" ~*")&gt;0))</f>
        <v/>
      </c>
      <c r="AC1443" s="36">
        <f>IF($B1443="","",(IFERROR(INDEX(Setup!$G$33:$G$40,MATCH(C1443,Setup!$B$33:$B$40,0)),0)=1)*(COUNTIF(C1408:E1425,$B1443)+COUNTIF(C1408:E1425,$B1443&amp;" ~*")&gt;0)+(IFERROR(INDEX(Setup!$G$33:$G$40,MATCH(G1443,Setup!$B$33:$B$40,0)),0)=1)*(COUNTIF(G1408:I1425,$B1443)+COUNTIF(G1408:I1425,$B1443&amp;" ~*")&gt;0)+(IFERROR(INDEX(Setup!$G$33:$G$40,MATCH(K1443,Setup!$B$33:$B$40,0)),0)=1)*(COUNTIF(K1408:M1425,$B1443)+COUNTIF(K1408:M1425,$B1443&amp;" ~*")&gt;0)+(IFERROR(INDEX(Setup!$G$33:$G$40,MATCH(O1443,Setup!$B$33:$B$40,0)),0)=1)*(COUNTIF(O1408:Q1425,$B1443)+COUNTIF(O1408:Q1425,$B1443&amp;" ~*")&gt;0)+(IFERROR(INDEX(Setup!$G$33:$G$40,MATCH(S1443,Setup!$B$33:$B$40,0)),0)=1)*(COUNTIF(S1408:U1425,$B1443)+COUNTIF(S1408:U1425,$B1443&amp;" ~*")&gt;0)+(IFERROR(INDEX(Setup!$G$33:$G$40,MATCH(W1443,Setup!$B$33:$B$40,0)),0)=1)*(COUNTIF(W1408:W1425,$B1443)+COUNTIF(W1408:W1425,$B1443&amp;" ~*")&gt;0)+(IFERROR(INDEX(Setup!$G$33:$G$40,MATCH(Y1443,Setup!$B$33:$B$40,0)),0)=1)*(COUNTIF(Y1408:Y1425,$B1443)+COUNTIF(Y1408:Y1425,$B1443&amp;" ~*")&gt;0))</f>
        <v/>
      </c>
    </row>
    <row r="1444" ht="15" customHeight="1">
      <c r="A1444" t="n">
        <v>29</v>
      </c>
      <c r="B1444" s="37">
        <f>IF(Setup!$B$23="","",Setup!$B$23)</f>
        <v/>
      </c>
      <c r="C1444" s="102" t="n"/>
      <c r="D1444" s="103" t="n"/>
      <c r="E1444" s="103" t="n"/>
      <c r="F1444" s="104" t="n"/>
      <c r="G1444" s="102" t="n"/>
      <c r="H1444" s="103" t="n"/>
      <c r="I1444" s="103" t="n"/>
      <c r="J1444" s="104" t="n"/>
      <c r="K1444" s="102" t="n"/>
      <c r="L1444" s="103" t="n"/>
      <c r="M1444" s="103" t="n"/>
      <c r="N1444" s="104" t="n"/>
      <c r="O1444" s="102" t="n"/>
      <c r="P1444" s="103" t="n"/>
      <c r="Q1444" s="103" t="n"/>
      <c r="R1444" s="104" t="n"/>
      <c r="S1444" s="102" t="n"/>
      <c r="T1444" s="103" t="n"/>
      <c r="U1444" s="103" t="n"/>
      <c r="V1444" s="104" t="n"/>
      <c r="W1444" s="102" t="n"/>
      <c r="X1444" s="104" t="n"/>
      <c r="Y1444" s="102" t="n"/>
      <c r="Z1444" s="104" t="n"/>
      <c r="AB1444" s="105">
        <f>IF($B1444="","",(COUNTIF(C1408:E1425,$B1444)+COUNTIF(C1408:E1425,$B1444&amp;" ~*")&gt;0)+(COUNTIF(G1408:I1425,$B1444)+COUNTIF(G1408:I1425,$B1444&amp;" ~*")&gt;0)+(COUNTIF(K1408:M1425,$B1444)+COUNTIF(K1408:M1425,$B1444&amp;" ~*")&gt;0)+(COUNTIF(O1408:Q1425,$B1444)+COUNTIF(O1408:Q1425,$B1444&amp;" ~*")&gt;0)+(COUNTIF(S1408:U1425,$B1444)+COUNTIF(S1408:U1425,$B1444&amp;" ~*")&gt;0)+(COUNTIF(W1408:W1425,$B1444)+COUNTIF(W1408:W1425,$B1444&amp;" ~*")&gt;0)+(COUNTIF(Y1408:Y1425,$B1444)+COUNTIF(Y1408:Y1425,$B1444&amp;" ~*")&gt;0))</f>
        <v/>
      </c>
      <c r="AC1444" s="38">
        <f>IF($B1444="","",(IFERROR(INDEX(Setup!$G$33:$G$40,MATCH(C1444,Setup!$B$33:$B$40,0)),0)=1)*(COUNTIF(C1408:E1425,$B1444)+COUNTIF(C1408:E1425,$B1444&amp;" ~*")&gt;0)+(IFERROR(INDEX(Setup!$G$33:$G$40,MATCH(G1444,Setup!$B$33:$B$40,0)),0)=1)*(COUNTIF(G1408:I1425,$B1444)+COUNTIF(G1408:I1425,$B1444&amp;" ~*")&gt;0)+(IFERROR(INDEX(Setup!$G$33:$G$40,MATCH(K1444,Setup!$B$33:$B$40,0)),0)=1)*(COUNTIF(K1408:M1425,$B1444)+COUNTIF(K1408:M1425,$B1444&amp;" ~*")&gt;0)+(IFERROR(INDEX(Setup!$G$33:$G$40,MATCH(O1444,Setup!$B$33:$B$40,0)),0)=1)*(COUNTIF(O1408:Q1425,$B1444)+COUNTIF(O1408:Q1425,$B1444&amp;" ~*")&gt;0)+(IFERROR(INDEX(Setup!$G$33:$G$40,MATCH(S1444,Setup!$B$33:$B$40,0)),0)=1)*(COUNTIF(S1408:U1425,$B1444)+COUNTIF(S1408:U1425,$B1444&amp;" ~*")&gt;0)+(IFERROR(INDEX(Setup!$G$33:$G$40,MATCH(W1444,Setup!$B$33:$B$40,0)),0)=1)*(COUNTIF(W1408:W1425,$B1444)+COUNTIF(W1408:W1425,$B1444&amp;" ~*")&gt;0)+(IFERROR(INDEX(Setup!$G$33:$G$40,MATCH(Y1444,Setup!$B$33:$B$40,0)),0)=1)*(COUNTIF(Y1408:Y1425,$B1444)+COUNTIF(Y1408:Y1425,$B1444&amp;" ~*")&gt;0))</f>
        <v/>
      </c>
    </row>
    <row r="1445" ht="15" customHeight="1">
      <c r="A1445" t="n">
        <v>29</v>
      </c>
      <c r="B1445" s="35">
        <f>IF(Setup!$B$24="","",Setup!$B$24)</f>
        <v/>
      </c>
      <c r="C1445" s="98" t="n"/>
      <c r="D1445" s="99" t="n"/>
      <c r="E1445" s="99" t="n"/>
      <c r="F1445" s="100" t="n"/>
      <c r="G1445" s="98" t="n"/>
      <c r="H1445" s="99" t="n"/>
      <c r="I1445" s="99" t="n"/>
      <c r="J1445" s="100" t="n"/>
      <c r="K1445" s="98" t="n"/>
      <c r="L1445" s="99" t="n"/>
      <c r="M1445" s="99" t="n"/>
      <c r="N1445" s="100" t="n"/>
      <c r="O1445" s="98" t="n"/>
      <c r="P1445" s="99" t="n"/>
      <c r="Q1445" s="99" t="n"/>
      <c r="R1445" s="100" t="n"/>
      <c r="S1445" s="98" t="n"/>
      <c r="T1445" s="99" t="n"/>
      <c r="U1445" s="99" t="n"/>
      <c r="V1445" s="100" t="n"/>
      <c r="W1445" s="98" t="n"/>
      <c r="X1445" s="100" t="n"/>
      <c r="Y1445" s="98" t="n"/>
      <c r="Z1445" s="100" t="n"/>
      <c r="AB1445" s="101">
        <f>IF($B1445="","",(COUNTIF(C1408:E1425,$B1445)+COUNTIF(C1408:E1425,$B1445&amp;" ~*")&gt;0)+(COUNTIF(G1408:I1425,$B1445)+COUNTIF(G1408:I1425,$B1445&amp;" ~*")&gt;0)+(COUNTIF(K1408:M1425,$B1445)+COUNTIF(K1408:M1425,$B1445&amp;" ~*")&gt;0)+(COUNTIF(O1408:Q1425,$B1445)+COUNTIF(O1408:Q1425,$B1445&amp;" ~*")&gt;0)+(COUNTIF(S1408:U1425,$B1445)+COUNTIF(S1408:U1425,$B1445&amp;" ~*")&gt;0)+(COUNTIF(W1408:W1425,$B1445)+COUNTIF(W1408:W1425,$B1445&amp;" ~*")&gt;0)+(COUNTIF(Y1408:Y1425,$B1445)+COUNTIF(Y1408:Y1425,$B1445&amp;" ~*")&gt;0))</f>
        <v/>
      </c>
      <c r="AC1445" s="36">
        <f>IF($B1445="","",(IFERROR(INDEX(Setup!$G$33:$G$40,MATCH(C1445,Setup!$B$33:$B$40,0)),0)=1)*(COUNTIF(C1408:E1425,$B1445)+COUNTIF(C1408:E1425,$B1445&amp;" ~*")&gt;0)+(IFERROR(INDEX(Setup!$G$33:$G$40,MATCH(G1445,Setup!$B$33:$B$40,0)),0)=1)*(COUNTIF(G1408:I1425,$B1445)+COUNTIF(G1408:I1425,$B1445&amp;" ~*")&gt;0)+(IFERROR(INDEX(Setup!$G$33:$G$40,MATCH(K1445,Setup!$B$33:$B$40,0)),0)=1)*(COUNTIF(K1408:M1425,$B1445)+COUNTIF(K1408:M1425,$B1445&amp;" ~*")&gt;0)+(IFERROR(INDEX(Setup!$G$33:$G$40,MATCH(O1445,Setup!$B$33:$B$40,0)),0)=1)*(COUNTIF(O1408:Q1425,$B1445)+COUNTIF(O1408:Q1425,$B1445&amp;" ~*")&gt;0)+(IFERROR(INDEX(Setup!$G$33:$G$40,MATCH(S1445,Setup!$B$33:$B$40,0)),0)=1)*(COUNTIF(S1408:U1425,$B1445)+COUNTIF(S1408:U1425,$B1445&amp;" ~*")&gt;0)+(IFERROR(INDEX(Setup!$G$33:$G$40,MATCH(W1445,Setup!$B$33:$B$40,0)),0)=1)*(COUNTIF(W1408:W1425,$B1445)+COUNTIF(W1408:W1425,$B1445&amp;" ~*")&gt;0)+(IFERROR(INDEX(Setup!$G$33:$G$40,MATCH(Y1445,Setup!$B$33:$B$40,0)),0)=1)*(COUNTIF(Y1408:Y1425,$B1445)+COUNTIF(Y1408:Y1425,$B1445&amp;" ~*")&gt;0))</f>
        <v/>
      </c>
    </row>
    <row r="1446" ht="15" customHeight="1">
      <c r="A1446" t="n">
        <v>29</v>
      </c>
      <c r="B1446" s="37">
        <f>IF(Setup!$B$25="","",Setup!$B$25)</f>
        <v/>
      </c>
      <c r="C1446" s="102" t="n"/>
      <c r="D1446" s="103" t="n"/>
      <c r="E1446" s="103" t="n"/>
      <c r="F1446" s="104" t="n"/>
      <c r="G1446" s="102" t="n"/>
      <c r="H1446" s="103" t="n"/>
      <c r="I1446" s="103" t="n"/>
      <c r="J1446" s="104" t="n"/>
      <c r="K1446" s="102" t="n"/>
      <c r="L1446" s="103" t="n"/>
      <c r="M1446" s="103" t="n"/>
      <c r="N1446" s="104" t="n"/>
      <c r="O1446" s="102" t="n"/>
      <c r="P1446" s="103" t="n"/>
      <c r="Q1446" s="103" t="n"/>
      <c r="R1446" s="104" t="n"/>
      <c r="S1446" s="102" t="n"/>
      <c r="T1446" s="103" t="n"/>
      <c r="U1446" s="103" t="n"/>
      <c r="V1446" s="104" t="n"/>
      <c r="W1446" s="102" t="n"/>
      <c r="X1446" s="104" t="n"/>
      <c r="Y1446" s="102" t="n"/>
      <c r="Z1446" s="104" t="n"/>
      <c r="AB1446" s="105">
        <f>IF($B1446="","",(COUNTIF(C1408:E1425,$B1446)+COUNTIF(C1408:E1425,$B1446&amp;" ~*")&gt;0)+(COUNTIF(G1408:I1425,$B1446)+COUNTIF(G1408:I1425,$B1446&amp;" ~*")&gt;0)+(COUNTIF(K1408:M1425,$B1446)+COUNTIF(K1408:M1425,$B1446&amp;" ~*")&gt;0)+(COUNTIF(O1408:Q1425,$B1446)+COUNTIF(O1408:Q1425,$B1446&amp;" ~*")&gt;0)+(COUNTIF(S1408:U1425,$B1446)+COUNTIF(S1408:U1425,$B1446&amp;" ~*")&gt;0)+(COUNTIF(W1408:W1425,$B1446)+COUNTIF(W1408:W1425,$B1446&amp;" ~*")&gt;0)+(COUNTIF(Y1408:Y1425,$B1446)+COUNTIF(Y1408:Y1425,$B1446&amp;" ~*")&gt;0))</f>
        <v/>
      </c>
      <c r="AC1446" s="38">
        <f>IF($B1446="","",(IFERROR(INDEX(Setup!$G$33:$G$40,MATCH(C1446,Setup!$B$33:$B$40,0)),0)=1)*(COUNTIF(C1408:E1425,$B1446)+COUNTIF(C1408:E1425,$B1446&amp;" ~*")&gt;0)+(IFERROR(INDEX(Setup!$G$33:$G$40,MATCH(G1446,Setup!$B$33:$B$40,0)),0)=1)*(COUNTIF(G1408:I1425,$B1446)+COUNTIF(G1408:I1425,$B1446&amp;" ~*")&gt;0)+(IFERROR(INDEX(Setup!$G$33:$G$40,MATCH(K1446,Setup!$B$33:$B$40,0)),0)=1)*(COUNTIF(K1408:M1425,$B1446)+COUNTIF(K1408:M1425,$B1446&amp;" ~*")&gt;0)+(IFERROR(INDEX(Setup!$G$33:$G$40,MATCH(O1446,Setup!$B$33:$B$40,0)),0)=1)*(COUNTIF(O1408:Q1425,$B1446)+COUNTIF(O1408:Q1425,$B1446&amp;" ~*")&gt;0)+(IFERROR(INDEX(Setup!$G$33:$G$40,MATCH(S1446,Setup!$B$33:$B$40,0)),0)=1)*(COUNTIF(S1408:U1425,$B1446)+COUNTIF(S1408:U1425,$B1446&amp;" ~*")&gt;0)+(IFERROR(INDEX(Setup!$G$33:$G$40,MATCH(W1446,Setup!$B$33:$B$40,0)),0)=1)*(COUNTIF(W1408:W1425,$B1446)+COUNTIF(W1408:W1425,$B1446&amp;" ~*")&gt;0)+(IFERROR(INDEX(Setup!$G$33:$G$40,MATCH(Y1446,Setup!$B$33:$B$40,0)),0)=1)*(COUNTIF(Y1408:Y1425,$B1446)+COUNTIF(Y1408:Y1425,$B1446&amp;" ~*")&gt;0))</f>
        <v/>
      </c>
    </row>
    <row r="1447" ht="15" customHeight="1">
      <c r="A1447" t="n">
        <v>29</v>
      </c>
      <c r="B1447" s="35">
        <f>IF(Setup!$B$26="","",Setup!$B$26)</f>
        <v/>
      </c>
      <c r="C1447" s="98" t="n"/>
      <c r="D1447" s="99" t="n"/>
      <c r="E1447" s="99" t="n"/>
      <c r="F1447" s="100" t="n"/>
      <c r="G1447" s="98" t="n"/>
      <c r="H1447" s="99" t="n"/>
      <c r="I1447" s="99" t="n"/>
      <c r="J1447" s="100" t="n"/>
      <c r="K1447" s="98" t="n"/>
      <c r="L1447" s="99" t="n"/>
      <c r="M1447" s="99" t="n"/>
      <c r="N1447" s="100" t="n"/>
      <c r="O1447" s="98" t="n"/>
      <c r="P1447" s="99" t="n"/>
      <c r="Q1447" s="99" t="n"/>
      <c r="R1447" s="100" t="n"/>
      <c r="S1447" s="98" t="n"/>
      <c r="T1447" s="99" t="n"/>
      <c r="U1447" s="99" t="n"/>
      <c r="V1447" s="100" t="n"/>
      <c r="W1447" s="98" t="n"/>
      <c r="X1447" s="100" t="n"/>
      <c r="Y1447" s="98" t="n"/>
      <c r="Z1447" s="100" t="n"/>
      <c r="AB1447" s="101">
        <f>IF($B1447="","",(COUNTIF(C1408:E1425,$B1447)+COUNTIF(C1408:E1425,$B1447&amp;" ~*")&gt;0)+(COUNTIF(G1408:I1425,$B1447)+COUNTIF(G1408:I1425,$B1447&amp;" ~*")&gt;0)+(COUNTIF(K1408:M1425,$B1447)+COUNTIF(K1408:M1425,$B1447&amp;" ~*")&gt;0)+(COUNTIF(O1408:Q1425,$B1447)+COUNTIF(O1408:Q1425,$B1447&amp;" ~*")&gt;0)+(COUNTIF(S1408:U1425,$B1447)+COUNTIF(S1408:U1425,$B1447&amp;" ~*")&gt;0)+(COUNTIF(W1408:W1425,$B1447)+COUNTIF(W1408:W1425,$B1447&amp;" ~*")&gt;0)+(COUNTIF(Y1408:Y1425,$B1447)+COUNTIF(Y1408:Y1425,$B1447&amp;" ~*")&gt;0))</f>
        <v/>
      </c>
      <c r="AC1447" s="36">
        <f>IF($B1447="","",(IFERROR(INDEX(Setup!$G$33:$G$40,MATCH(C1447,Setup!$B$33:$B$40,0)),0)=1)*(COUNTIF(C1408:E1425,$B1447)+COUNTIF(C1408:E1425,$B1447&amp;" ~*")&gt;0)+(IFERROR(INDEX(Setup!$G$33:$G$40,MATCH(G1447,Setup!$B$33:$B$40,0)),0)=1)*(COUNTIF(G1408:I1425,$B1447)+COUNTIF(G1408:I1425,$B1447&amp;" ~*")&gt;0)+(IFERROR(INDEX(Setup!$G$33:$G$40,MATCH(K1447,Setup!$B$33:$B$40,0)),0)=1)*(COUNTIF(K1408:M1425,$B1447)+COUNTIF(K1408:M1425,$B1447&amp;" ~*")&gt;0)+(IFERROR(INDEX(Setup!$G$33:$G$40,MATCH(O1447,Setup!$B$33:$B$40,0)),0)=1)*(COUNTIF(O1408:Q1425,$B1447)+COUNTIF(O1408:Q1425,$B1447&amp;" ~*")&gt;0)+(IFERROR(INDEX(Setup!$G$33:$G$40,MATCH(S1447,Setup!$B$33:$B$40,0)),0)=1)*(COUNTIF(S1408:U1425,$B1447)+COUNTIF(S1408:U1425,$B1447&amp;" ~*")&gt;0)+(IFERROR(INDEX(Setup!$G$33:$G$40,MATCH(W1447,Setup!$B$33:$B$40,0)),0)=1)*(COUNTIF(W1408:W1425,$B1447)+COUNTIF(W1408:W1425,$B1447&amp;" ~*")&gt;0)+(IFERROR(INDEX(Setup!$G$33:$G$40,MATCH(Y1447,Setup!$B$33:$B$40,0)),0)=1)*(COUNTIF(Y1408:Y1425,$B1447)+COUNTIF(Y1408:Y1425,$B1447&amp;" ~*")&gt;0))</f>
        <v/>
      </c>
    </row>
    <row r="1448" ht="15" customHeight="1">
      <c r="A1448" t="n">
        <v>29</v>
      </c>
      <c r="B1448" s="37">
        <f>IF(Setup!$B$27="","",Setup!$B$27)</f>
        <v/>
      </c>
      <c r="C1448" s="102" t="n"/>
      <c r="D1448" s="103" t="n"/>
      <c r="E1448" s="103" t="n"/>
      <c r="F1448" s="104" t="n"/>
      <c r="G1448" s="102" t="n"/>
      <c r="H1448" s="103" t="n"/>
      <c r="I1448" s="103" t="n"/>
      <c r="J1448" s="104" t="n"/>
      <c r="K1448" s="102" t="n"/>
      <c r="L1448" s="103" t="n"/>
      <c r="M1448" s="103" t="n"/>
      <c r="N1448" s="104" t="n"/>
      <c r="O1448" s="102" t="n"/>
      <c r="P1448" s="103" t="n"/>
      <c r="Q1448" s="103" t="n"/>
      <c r="R1448" s="104" t="n"/>
      <c r="S1448" s="102" t="n"/>
      <c r="T1448" s="103" t="n"/>
      <c r="U1448" s="103" t="n"/>
      <c r="V1448" s="104" t="n"/>
      <c r="W1448" s="102" t="n"/>
      <c r="X1448" s="104" t="n"/>
      <c r="Y1448" s="102" t="n"/>
      <c r="Z1448" s="104" t="n"/>
      <c r="AB1448" s="105">
        <f>IF($B1448="","",(COUNTIF(C1408:E1425,$B1448)+COUNTIF(C1408:E1425,$B1448&amp;" ~*")&gt;0)+(COUNTIF(G1408:I1425,$B1448)+COUNTIF(G1408:I1425,$B1448&amp;" ~*")&gt;0)+(COUNTIF(K1408:M1425,$B1448)+COUNTIF(K1408:M1425,$B1448&amp;" ~*")&gt;0)+(COUNTIF(O1408:Q1425,$B1448)+COUNTIF(O1408:Q1425,$B1448&amp;" ~*")&gt;0)+(COUNTIF(S1408:U1425,$B1448)+COUNTIF(S1408:U1425,$B1448&amp;" ~*")&gt;0)+(COUNTIF(W1408:W1425,$B1448)+COUNTIF(W1408:W1425,$B1448&amp;" ~*")&gt;0)+(COUNTIF(Y1408:Y1425,$B1448)+COUNTIF(Y1408:Y1425,$B1448&amp;" ~*")&gt;0))</f>
        <v/>
      </c>
      <c r="AC1448" s="38">
        <f>IF($B1448="","",(IFERROR(INDEX(Setup!$G$33:$G$40,MATCH(C1448,Setup!$B$33:$B$40,0)),0)=1)*(COUNTIF(C1408:E1425,$B1448)+COUNTIF(C1408:E1425,$B1448&amp;" ~*")&gt;0)+(IFERROR(INDEX(Setup!$G$33:$G$40,MATCH(G1448,Setup!$B$33:$B$40,0)),0)=1)*(COUNTIF(G1408:I1425,$B1448)+COUNTIF(G1408:I1425,$B1448&amp;" ~*")&gt;0)+(IFERROR(INDEX(Setup!$G$33:$G$40,MATCH(K1448,Setup!$B$33:$B$40,0)),0)=1)*(COUNTIF(K1408:M1425,$B1448)+COUNTIF(K1408:M1425,$B1448&amp;" ~*")&gt;0)+(IFERROR(INDEX(Setup!$G$33:$G$40,MATCH(O1448,Setup!$B$33:$B$40,0)),0)=1)*(COUNTIF(O1408:Q1425,$B1448)+COUNTIF(O1408:Q1425,$B1448&amp;" ~*")&gt;0)+(IFERROR(INDEX(Setup!$G$33:$G$40,MATCH(S1448,Setup!$B$33:$B$40,0)),0)=1)*(COUNTIF(S1408:U1425,$B1448)+COUNTIF(S1408:U1425,$B1448&amp;" ~*")&gt;0)+(IFERROR(INDEX(Setup!$G$33:$G$40,MATCH(W1448,Setup!$B$33:$B$40,0)),0)=1)*(COUNTIF(W1408:W1425,$B1448)+COUNTIF(W1408:W1425,$B1448&amp;" ~*")&gt;0)+(IFERROR(INDEX(Setup!$G$33:$G$40,MATCH(Y1448,Setup!$B$33:$B$40,0)),0)=1)*(COUNTIF(Y1408:Y1425,$B1448)+COUNTIF(Y1408:Y1425,$B1448&amp;" ~*")&gt;0))</f>
        <v/>
      </c>
    </row>
    <row r="1449" ht="15" customHeight="1">
      <c r="A1449" t="n">
        <v>29</v>
      </c>
      <c r="B1449" s="35">
        <f>IF(Setup!$B$28="","",Setup!$B$28)</f>
        <v/>
      </c>
      <c r="C1449" s="98" t="n"/>
      <c r="D1449" s="99" t="n"/>
      <c r="E1449" s="99" t="n"/>
      <c r="F1449" s="100" t="n"/>
      <c r="G1449" s="98" t="n"/>
      <c r="H1449" s="99" t="n"/>
      <c r="I1449" s="99" t="n"/>
      <c r="J1449" s="100" t="n"/>
      <c r="K1449" s="98" t="n"/>
      <c r="L1449" s="99" t="n"/>
      <c r="M1449" s="99" t="n"/>
      <c r="N1449" s="100" t="n"/>
      <c r="O1449" s="98" t="n"/>
      <c r="P1449" s="99" t="n"/>
      <c r="Q1449" s="99" t="n"/>
      <c r="R1449" s="100" t="n"/>
      <c r="S1449" s="98" t="n"/>
      <c r="T1449" s="99" t="n"/>
      <c r="U1449" s="99" t="n"/>
      <c r="V1449" s="100" t="n"/>
      <c r="W1449" s="98" t="n"/>
      <c r="X1449" s="100" t="n"/>
      <c r="Y1449" s="98" t="n"/>
      <c r="Z1449" s="100" t="n"/>
      <c r="AB1449" s="101">
        <f>IF($B1449="","",(COUNTIF(C1408:E1425,$B1449)+COUNTIF(C1408:E1425,$B1449&amp;" ~*")&gt;0)+(COUNTIF(G1408:I1425,$B1449)+COUNTIF(G1408:I1425,$B1449&amp;" ~*")&gt;0)+(COUNTIF(K1408:M1425,$B1449)+COUNTIF(K1408:M1425,$B1449&amp;" ~*")&gt;0)+(COUNTIF(O1408:Q1425,$B1449)+COUNTIF(O1408:Q1425,$B1449&amp;" ~*")&gt;0)+(COUNTIF(S1408:U1425,$B1449)+COUNTIF(S1408:U1425,$B1449&amp;" ~*")&gt;0)+(COUNTIF(W1408:W1425,$B1449)+COUNTIF(W1408:W1425,$B1449&amp;" ~*")&gt;0)+(COUNTIF(Y1408:Y1425,$B1449)+COUNTIF(Y1408:Y1425,$B1449&amp;" ~*")&gt;0))</f>
        <v/>
      </c>
      <c r="AC1449" s="36">
        <f>IF($B1449="","",(IFERROR(INDEX(Setup!$G$33:$G$40,MATCH(C1449,Setup!$B$33:$B$40,0)),0)=1)*(COUNTIF(C1408:E1425,$B1449)+COUNTIF(C1408:E1425,$B1449&amp;" ~*")&gt;0)+(IFERROR(INDEX(Setup!$G$33:$G$40,MATCH(G1449,Setup!$B$33:$B$40,0)),0)=1)*(COUNTIF(G1408:I1425,$B1449)+COUNTIF(G1408:I1425,$B1449&amp;" ~*")&gt;0)+(IFERROR(INDEX(Setup!$G$33:$G$40,MATCH(K1449,Setup!$B$33:$B$40,0)),0)=1)*(COUNTIF(K1408:M1425,$B1449)+COUNTIF(K1408:M1425,$B1449&amp;" ~*")&gt;0)+(IFERROR(INDEX(Setup!$G$33:$G$40,MATCH(O1449,Setup!$B$33:$B$40,0)),0)=1)*(COUNTIF(O1408:Q1425,$B1449)+COUNTIF(O1408:Q1425,$B1449&amp;" ~*")&gt;0)+(IFERROR(INDEX(Setup!$G$33:$G$40,MATCH(S1449,Setup!$B$33:$B$40,0)),0)=1)*(COUNTIF(S1408:U1425,$B1449)+COUNTIF(S1408:U1425,$B1449&amp;" ~*")&gt;0)+(IFERROR(INDEX(Setup!$G$33:$G$40,MATCH(W1449,Setup!$B$33:$B$40,0)),0)=1)*(COUNTIF(W1408:W1425,$B1449)+COUNTIF(W1408:W1425,$B1449&amp;" ~*")&gt;0)+(IFERROR(INDEX(Setup!$G$33:$G$40,MATCH(Y1449,Setup!$B$33:$B$40,0)),0)=1)*(COUNTIF(Y1408:Y1425,$B1449)+COUNTIF(Y1408:Y1425,$B1449&amp;" ~*")&gt;0))</f>
        <v/>
      </c>
    </row>
    <row r="1450" ht="15" customHeight="1">
      <c r="A1450" t="n">
        <v>29</v>
      </c>
      <c r="B1450" s="37">
        <f>IF(Setup!$B$29="","",Setup!$B$29)</f>
        <v/>
      </c>
      <c r="C1450" s="102" t="n"/>
      <c r="D1450" s="103" t="n"/>
      <c r="E1450" s="103" t="n"/>
      <c r="F1450" s="104" t="n"/>
      <c r="G1450" s="102" t="n"/>
      <c r="H1450" s="103" t="n"/>
      <c r="I1450" s="103" t="n"/>
      <c r="J1450" s="104" t="n"/>
      <c r="K1450" s="102" t="n"/>
      <c r="L1450" s="103" t="n"/>
      <c r="M1450" s="103" t="n"/>
      <c r="N1450" s="104" t="n"/>
      <c r="O1450" s="102" t="n"/>
      <c r="P1450" s="103" t="n"/>
      <c r="Q1450" s="103" t="n"/>
      <c r="R1450" s="104" t="n"/>
      <c r="S1450" s="102" t="n"/>
      <c r="T1450" s="103" t="n"/>
      <c r="U1450" s="103" t="n"/>
      <c r="V1450" s="104" t="n"/>
      <c r="W1450" s="102" t="n"/>
      <c r="X1450" s="104" t="n"/>
      <c r="Y1450" s="102" t="n"/>
      <c r="Z1450" s="104" t="n"/>
      <c r="AB1450" s="105">
        <f>IF($B1450="","",(COUNTIF(C1408:E1425,$B1450)+COUNTIF(C1408:E1425,$B1450&amp;" ~*")&gt;0)+(COUNTIF(G1408:I1425,$B1450)+COUNTIF(G1408:I1425,$B1450&amp;" ~*")&gt;0)+(COUNTIF(K1408:M1425,$B1450)+COUNTIF(K1408:M1425,$B1450&amp;" ~*")&gt;0)+(COUNTIF(O1408:Q1425,$B1450)+COUNTIF(O1408:Q1425,$B1450&amp;" ~*")&gt;0)+(COUNTIF(S1408:U1425,$B1450)+COUNTIF(S1408:U1425,$B1450&amp;" ~*")&gt;0)+(COUNTIF(W1408:W1425,$B1450)+COUNTIF(W1408:W1425,$B1450&amp;" ~*")&gt;0)+(COUNTIF(Y1408:Y1425,$B1450)+COUNTIF(Y1408:Y1425,$B1450&amp;" ~*")&gt;0))</f>
        <v/>
      </c>
      <c r="AC1450" s="38">
        <f>IF($B1450="","",(IFERROR(INDEX(Setup!$G$33:$G$40,MATCH(C1450,Setup!$B$33:$B$40,0)),0)=1)*(COUNTIF(C1408:E1425,$B1450)+COUNTIF(C1408:E1425,$B1450&amp;" ~*")&gt;0)+(IFERROR(INDEX(Setup!$G$33:$G$40,MATCH(G1450,Setup!$B$33:$B$40,0)),0)=1)*(COUNTIF(G1408:I1425,$B1450)+COUNTIF(G1408:I1425,$B1450&amp;" ~*")&gt;0)+(IFERROR(INDEX(Setup!$G$33:$G$40,MATCH(K1450,Setup!$B$33:$B$40,0)),0)=1)*(COUNTIF(K1408:M1425,$B1450)+COUNTIF(K1408:M1425,$B1450&amp;" ~*")&gt;0)+(IFERROR(INDEX(Setup!$G$33:$G$40,MATCH(O1450,Setup!$B$33:$B$40,0)),0)=1)*(COUNTIF(O1408:Q1425,$B1450)+COUNTIF(O1408:Q1425,$B1450&amp;" ~*")&gt;0)+(IFERROR(INDEX(Setup!$G$33:$G$40,MATCH(S1450,Setup!$B$33:$B$40,0)),0)=1)*(COUNTIF(S1408:U1425,$B1450)+COUNTIF(S1408:U1425,$B1450&amp;" ~*")&gt;0)+(IFERROR(INDEX(Setup!$G$33:$G$40,MATCH(W1450,Setup!$B$33:$B$40,0)),0)=1)*(COUNTIF(W1408:W1425,$B1450)+COUNTIF(W1408:W1425,$B1450&amp;" ~*")&gt;0)+(IFERROR(INDEX(Setup!$G$33:$G$40,MATCH(Y1450,Setup!$B$33:$B$40,0)),0)=1)*(COUNTIF(Y1408:Y1425,$B1450)+COUNTIF(Y1408:Y1425,$B1450&amp;" ~*")&gt;0))</f>
        <v/>
      </c>
    </row>
    <row r="1451" ht="16" customHeight="1">
      <c r="A1451" t="n">
        <v>29</v>
      </c>
      <c r="B1451" s="106" t="inlineStr">
        <is>
          <t>Available people</t>
        </is>
      </c>
      <c r="C1451" s="107">
        <f>COUNTIFS(Setup!$E$6:$E$29,"Y",Setup!$B$6:$B$29,"?*")-SUMPRODUCT(COUNTIF(C1427:C1450,Setup!$F$33:$F$40))</f>
        <v/>
      </c>
      <c r="D1451" s="107" t="n"/>
      <c r="E1451" s="107" t="n"/>
      <c r="F1451" s="107" t="n"/>
      <c r="G1451" s="107">
        <f>COUNTIFS(Setup!$E$6:$E$29,"Y",Setup!$B$6:$B$29,"?*")-SUMPRODUCT(COUNTIF(G1427:G1450,Setup!$F$33:$F$40))</f>
        <v/>
      </c>
      <c r="H1451" s="107" t="n"/>
      <c r="I1451" s="107" t="n"/>
      <c r="J1451" s="107" t="n"/>
      <c r="K1451" s="107">
        <f>COUNTIFS(Setup!$E$6:$E$29,"Y",Setup!$B$6:$B$29,"?*")-SUMPRODUCT(COUNTIF(K1427:K1450,Setup!$F$33:$F$40))</f>
        <v/>
      </c>
      <c r="L1451" s="107" t="n"/>
      <c r="M1451" s="107" t="n"/>
      <c r="N1451" s="107" t="n"/>
      <c r="O1451" s="107">
        <f>COUNTIFS(Setup!$E$6:$E$29,"Y",Setup!$B$6:$B$29,"?*")-SUMPRODUCT(COUNTIF(O1427:O1450,Setup!$F$33:$F$40))</f>
        <v/>
      </c>
      <c r="P1451" s="107" t="n"/>
      <c r="Q1451" s="107" t="n"/>
      <c r="R1451" s="107" t="n"/>
      <c r="S1451" s="107">
        <f>COUNTIFS(Setup!$E$6:$E$29,"Y",Setup!$B$6:$B$29,"?*")-SUMPRODUCT(COUNTIF(S1427:S1450,Setup!$F$33:$F$40))</f>
        <v/>
      </c>
      <c r="T1451" s="107" t="n"/>
      <c r="U1451" s="107" t="n"/>
      <c r="V1451" s="107" t="n"/>
      <c r="W1451" s="107">
        <f>COUNTIFS(Setup!$E$6:$E$29,"Y",Setup!$B$6:$B$29,"?*")-SUMPRODUCT(COUNTIF(W1427:W1450,Setup!$F$33:$F$40))</f>
        <v/>
      </c>
      <c r="X1451" s="107" t="n"/>
      <c r="Y1451" s="107">
        <f>COUNTIFS(Setup!$E$6:$E$29,"Y",Setup!$B$6:$B$29,"?*")-SUMPRODUCT(COUNTIF(Y1427:Y1450,Setup!$F$33:$F$40))</f>
        <v/>
      </c>
      <c r="Z1451" s="107" t="n"/>
      <c r="AB1451" s="108">
        <f>SUM(AB1427:AB1450)</f>
        <v/>
      </c>
      <c r="AC1451" s="109">
        <f>SUM(AC1427:AC1450)</f>
        <v/>
      </c>
    </row>
    <row r="1452" ht="30" customHeight="1">
      <c r="A1452" t="n">
        <v>29</v>
      </c>
      <c r="B1452" s="110" t="inlineStr">
        <is>
          <t>Week notes</t>
        </is>
      </c>
      <c r="C1452" s="111" t="n"/>
      <c r="D1452" s="112" t="n"/>
      <c r="E1452" s="112" t="n"/>
      <c r="F1452" s="112" t="n"/>
      <c r="G1452" s="112" t="n"/>
      <c r="H1452" s="112" t="n"/>
      <c r="I1452" s="112" t="n"/>
      <c r="J1452" s="112" t="n"/>
      <c r="K1452" s="112" t="n"/>
      <c r="L1452" s="112" t="n"/>
      <c r="M1452" s="112" t="n"/>
      <c r="N1452" s="112" t="n"/>
      <c r="O1452" s="112" t="n"/>
      <c r="P1452" s="112" t="n"/>
      <c r="Q1452" s="112" t="n"/>
      <c r="R1452" s="112" t="n"/>
      <c r="S1452" s="112" t="n"/>
      <c r="T1452" s="112" t="n"/>
      <c r="U1452" s="112" t="n"/>
      <c r="V1452" s="112" t="n"/>
      <c r="W1452" s="112" t="n"/>
      <c r="X1452" s="112" t="n"/>
      <c r="Y1452" s="112" t="n"/>
      <c r="Z1452" s="113" t="n"/>
    </row>
    <row r="1453" ht="8" customHeight="1">
      <c r="A1453" t="n">
        <v>29</v>
      </c>
    </row>
    <row r="1454" ht="8" customHeight="1">
      <c r="A1454" t="n">
        <v>29</v>
      </c>
    </row>
    <row r="1455" ht="24" customHeight="1">
      <c r="A1455" t="n">
        <v>30</v>
      </c>
      <c r="B1455" s="73">
        <f>"WEEK 30     "&amp;TEXT(C1456,"ddd d mmm")&amp;"  –  "&amp;TEXT(C1456+6,"ddd d mmm yyyy")</f>
        <v/>
      </c>
      <c r="S1455" s="74">
        <f>IF(TODAY()&lt;C1456,"FUTURE",IF(TODAY()&gt;C1456+6,"PAST","THIS WEEK"))</f>
        <v/>
      </c>
      <c r="W1455" s="75">
        <f>IF(AND(Engine!$B$8=$AC$3,Engine!$B$9=$A1455),"◀ ACTIVE WEEK","")</f>
        <v/>
      </c>
      <c r="AA1455" s="76" t="n"/>
      <c r="AB1455" s="77" t="inlineStr">
        <is>
          <t>◀ Prev</t>
        </is>
      </c>
      <c r="AC1455" s="77" t="inlineStr">
        <is>
          <t>Next ▶</t>
        </is>
      </c>
    </row>
    <row r="1456" ht="18" customHeight="1">
      <c r="A1456" t="n">
        <v>30</v>
      </c>
      <c r="B1456" s="78" t="inlineStr">
        <is>
          <t>DUTY</t>
        </is>
      </c>
      <c r="C1456" s="79">
        <f>$AC$2+7*($A1456-1)</f>
        <v/>
      </c>
      <c r="D1456" s="80" t="n"/>
      <c r="E1456" s="80" t="n"/>
      <c r="F1456" s="81" t="n"/>
      <c r="G1456" s="79">
        <f>C1456+1</f>
        <v/>
      </c>
      <c r="H1456" s="80" t="n"/>
      <c r="I1456" s="80" t="n"/>
      <c r="J1456" s="81" t="n"/>
      <c r="K1456" s="79">
        <f>C1456+2</f>
        <v/>
      </c>
      <c r="L1456" s="80" t="n"/>
      <c r="M1456" s="80" t="n"/>
      <c r="N1456" s="81" t="n"/>
      <c r="O1456" s="79">
        <f>C1456+3</f>
        <v/>
      </c>
      <c r="P1456" s="80" t="n"/>
      <c r="Q1456" s="80" t="n"/>
      <c r="R1456" s="81" t="n"/>
      <c r="S1456" s="79">
        <f>C1456+4</f>
        <v/>
      </c>
      <c r="T1456" s="80" t="n"/>
      <c r="U1456" s="80" t="n"/>
      <c r="V1456" s="81" t="n"/>
      <c r="W1456" s="82">
        <f>C1456+5</f>
        <v/>
      </c>
      <c r="X1456" s="83" t="n"/>
      <c r="Y1456" s="82">
        <f>C1456+6</f>
        <v/>
      </c>
      <c r="Z1456" s="83" t="n"/>
      <c r="AB1456" s="72" t="inlineStr">
        <is>
          <t>Gaps</t>
        </is>
      </c>
      <c r="AC1456" s="72" t="inlineStr">
        <is>
          <t>Cover</t>
        </is>
      </c>
    </row>
    <row r="1457" ht="14" customHeight="1">
      <c r="A1457" t="n">
        <v>30</v>
      </c>
      <c r="B1457" s="84" t="inlineStr">
        <is>
          <t>(from Setup)</t>
        </is>
      </c>
      <c r="C1457" s="85" t="inlineStr">
        <is>
          <t>1</t>
        </is>
      </c>
      <c r="D1457" s="85" t="inlineStr">
        <is>
          <t>2</t>
        </is>
      </c>
      <c r="E1457" s="85" t="inlineStr">
        <is>
          <t>3</t>
        </is>
      </c>
      <c r="F1457" s="85" t="inlineStr">
        <is>
          <t>Notes</t>
        </is>
      </c>
      <c r="G1457" s="85" t="inlineStr">
        <is>
          <t>1</t>
        </is>
      </c>
      <c r="H1457" s="85" t="inlineStr">
        <is>
          <t>2</t>
        </is>
      </c>
      <c r="I1457" s="85" t="inlineStr">
        <is>
          <t>3</t>
        </is>
      </c>
      <c r="J1457" s="85" t="inlineStr">
        <is>
          <t>Notes</t>
        </is>
      </c>
      <c r="K1457" s="85" t="inlineStr">
        <is>
          <t>1</t>
        </is>
      </c>
      <c r="L1457" s="85" t="inlineStr">
        <is>
          <t>2</t>
        </is>
      </c>
      <c r="M1457" s="85" t="inlineStr">
        <is>
          <t>3</t>
        </is>
      </c>
      <c r="N1457" s="85" t="inlineStr">
        <is>
          <t>Notes</t>
        </is>
      </c>
      <c r="O1457" s="85" t="inlineStr">
        <is>
          <t>1</t>
        </is>
      </c>
      <c r="P1457" s="85" t="inlineStr">
        <is>
          <t>2</t>
        </is>
      </c>
      <c r="Q1457" s="85" t="inlineStr">
        <is>
          <t>3</t>
        </is>
      </c>
      <c r="R1457" s="85" t="inlineStr">
        <is>
          <t>Notes</t>
        </is>
      </c>
      <c r="S1457" s="85" t="inlineStr">
        <is>
          <t>1</t>
        </is>
      </c>
      <c r="T1457" s="85" t="inlineStr">
        <is>
          <t>2</t>
        </is>
      </c>
      <c r="U1457" s="85" t="inlineStr">
        <is>
          <t>3</t>
        </is>
      </c>
      <c r="V1457" s="85" t="inlineStr">
        <is>
          <t>Notes</t>
        </is>
      </c>
      <c r="W1457" s="85" t="inlineStr">
        <is>
          <t>Cover</t>
        </is>
      </c>
      <c r="X1457" s="85" t="inlineStr">
        <is>
          <t>Notes</t>
        </is>
      </c>
      <c r="Y1457" s="85" t="inlineStr">
        <is>
          <t>Cover</t>
        </is>
      </c>
      <c r="Z1457" s="85" t="inlineStr">
        <is>
          <t>Notes</t>
        </is>
      </c>
      <c r="AB1457" s="86" t="inlineStr">
        <is>
          <t>weekdays short</t>
        </is>
      </c>
      <c r="AC1457" s="87" t="inlineStr"/>
    </row>
    <row r="1458" ht="17" customHeight="1">
      <c r="A1458" t="n">
        <v>30</v>
      </c>
      <c r="B1458" s="24">
        <f>IF(Setup!$K$6="","",Setup!$K$6)</f>
        <v/>
      </c>
      <c r="C1458" s="88" t="n"/>
      <c r="D1458" s="88" t="n"/>
      <c r="E1458" s="88" t="n"/>
      <c r="F1458" s="89" t="n"/>
      <c r="G1458" s="88" t="n"/>
      <c r="H1458" s="88" t="n"/>
      <c r="I1458" s="88" t="n"/>
      <c r="J1458" s="89" t="n"/>
      <c r="K1458" s="88" t="n"/>
      <c r="L1458" s="88" t="n"/>
      <c r="M1458" s="88" t="n"/>
      <c r="N1458" s="89" t="n"/>
      <c r="O1458" s="88" t="n"/>
      <c r="P1458" s="88" t="n"/>
      <c r="Q1458" s="88" t="n"/>
      <c r="R1458" s="89" t="n"/>
      <c r="S1458" s="88" t="n"/>
      <c r="T1458" s="88" t="n"/>
      <c r="U1458" s="88" t="n"/>
      <c r="V1458" s="89" t="n"/>
      <c r="W1458" s="88" t="n"/>
      <c r="X1458" s="89" t="n"/>
      <c r="Y1458" s="88" t="n"/>
      <c r="Z1458" s="89" t="n"/>
      <c r="AB1458" s="25">
        <f>IF($B1458="","",(COUNTIF(C1458:E1458,"?*")&lt;N(INDEX(Setup!$L$6:$L$23,1)))+(COUNTIF(G1458:I1458,"?*")&lt;N(INDEX(Setup!$L$6:$L$23,1)))+(COUNTIF(K1458:M1458,"?*")&lt;N(INDEX(Setup!$L$6:$L$23,1)))+(COUNTIF(O1458:Q1458,"?*")&lt;N(INDEX(Setup!$L$6:$L$23,1)))+(COUNTIF(S1458:U1458,"?*")&lt;N(INDEX(Setup!$L$6:$L$23,1)))+((W1458="")*(INDEX(Setup!$M$6:$M$23,1)="Y"))+((Y1458="")*(INDEX(Setup!$M$6:$M$23,1)="Y")))</f>
        <v/>
      </c>
      <c r="AC1458" s="90">
        <f>IF($B1458="","",IF(AB1458=0,"✓ covered","⚠ "&amp;AB1458&amp;IF(AB1458=1," gap"," gaps")))</f>
        <v/>
      </c>
    </row>
    <row r="1459" ht="17" customHeight="1">
      <c r="A1459" t="n">
        <v>30</v>
      </c>
      <c r="B1459" s="29">
        <f>IF(Setup!$K$7="","",Setup!$K$7)</f>
        <v/>
      </c>
      <c r="C1459" s="88" t="n"/>
      <c r="D1459" s="88" t="n"/>
      <c r="E1459" s="88" t="n"/>
      <c r="F1459" s="89" t="n"/>
      <c r="G1459" s="88" t="n"/>
      <c r="H1459" s="88" t="n"/>
      <c r="I1459" s="88" t="n"/>
      <c r="J1459" s="89" t="n"/>
      <c r="K1459" s="88" t="n"/>
      <c r="L1459" s="88" t="n"/>
      <c r="M1459" s="88" t="n"/>
      <c r="N1459" s="89" t="n"/>
      <c r="O1459" s="88" t="n"/>
      <c r="P1459" s="88" t="n"/>
      <c r="Q1459" s="88" t="n"/>
      <c r="R1459" s="89" t="n"/>
      <c r="S1459" s="88" t="n"/>
      <c r="T1459" s="88" t="n"/>
      <c r="U1459" s="88" t="n"/>
      <c r="V1459" s="89" t="n"/>
      <c r="W1459" s="88" t="n"/>
      <c r="X1459" s="89" t="n"/>
      <c r="Y1459" s="88" t="n"/>
      <c r="Z1459" s="89" t="n"/>
      <c r="AB1459" s="30">
        <f>IF($B1459="","",(COUNTIF(C1459:E1459,"?*")&lt;N(INDEX(Setup!$L$6:$L$23,2)))+(COUNTIF(G1459:I1459,"?*")&lt;N(INDEX(Setup!$L$6:$L$23,2)))+(COUNTIF(K1459:M1459,"?*")&lt;N(INDEX(Setup!$L$6:$L$23,2)))+(COUNTIF(O1459:Q1459,"?*")&lt;N(INDEX(Setup!$L$6:$L$23,2)))+(COUNTIF(S1459:U1459,"?*")&lt;N(INDEX(Setup!$L$6:$L$23,2)))+((W1459="")*(INDEX(Setup!$M$6:$M$23,2)="Y"))+((Y1459="")*(INDEX(Setup!$M$6:$M$23,2)="Y")))</f>
        <v/>
      </c>
      <c r="AC1459" s="91">
        <f>IF($B1459="","",IF(AB1459=0,"✓ covered","⚠ "&amp;AB1459&amp;IF(AB1459=1," gap"," gaps")))</f>
        <v/>
      </c>
    </row>
    <row r="1460" ht="17" customHeight="1">
      <c r="A1460" t="n">
        <v>30</v>
      </c>
      <c r="B1460" s="24">
        <f>IF(Setup!$K$8="","",Setup!$K$8)</f>
        <v/>
      </c>
      <c r="C1460" s="88" t="n"/>
      <c r="D1460" s="88" t="n"/>
      <c r="E1460" s="88" t="n"/>
      <c r="F1460" s="89" t="n"/>
      <c r="G1460" s="88" t="n"/>
      <c r="H1460" s="88" t="n"/>
      <c r="I1460" s="88" t="n"/>
      <c r="J1460" s="89" t="n"/>
      <c r="K1460" s="88" t="n"/>
      <c r="L1460" s="88" t="n"/>
      <c r="M1460" s="88" t="n"/>
      <c r="N1460" s="89" t="n"/>
      <c r="O1460" s="88" t="n"/>
      <c r="P1460" s="88" t="n"/>
      <c r="Q1460" s="88" t="n"/>
      <c r="R1460" s="89" t="n"/>
      <c r="S1460" s="88" t="n"/>
      <c r="T1460" s="88" t="n"/>
      <c r="U1460" s="88" t="n"/>
      <c r="V1460" s="89" t="n"/>
      <c r="W1460" s="88" t="n"/>
      <c r="X1460" s="89" t="n"/>
      <c r="Y1460" s="88" t="n"/>
      <c r="Z1460" s="89" t="n"/>
      <c r="AB1460" s="25">
        <f>IF($B1460="","",(COUNTIF(C1460:E1460,"?*")&lt;N(INDEX(Setup!$L$6:$L$23,3)))+(COUNTIF(G1460:I1460,"?*")&lt;N(INDEX(Setup!$L$6:$L$23,3)))+(COUNTIF(K1460:M1460,"?*")&lt;N(INDEX(Setup!$L$6:$L$23,3)))+(COUNTIF(O1460:Q1460,"?*")&lt;N(INDEX(Setup!$L$6:$L$23,3)))+(COUNTIF(S1460:U1460,"?*")&lt;N(INDEX(Setup!$L$6:$L$23,3)))+((W1460="")*(INDEX(Setup!$M$6:$M$23,3)="Y"))+((Y1460="")*(INDEX(Setup!$M$6:$M$23,3)="Y")))</f>
        <v/>
      </c>
      <c r="AC1460" s="90">
        <f>IF($B1460="","",IF(AB1460=0,"✓ covered","⚠ "&amp;AB1460&amp;IF(AB1460=1," gap"," gaps")))</f>
        <v/>
      </c>
    </row>
    <row r="1461" ht="17" customHeight="1">
      <c r="A1461" t="n">
        <v>30</v>
      </c>
      <c r="B1461" s="29">
        <f>IF(Setup!$K$9="","",Setup!$K$9)</f>
        <v/>
      </c>
      <c r="C1461" s="88" t="n"/>
      <c r="D1461" s="88" t="n"/>
      <c r="E1461" s="88" t="n"/>
      <c r="F1461" s="89" t="n"/>
      <c r="G1461" s="88" t="n"/>
      <c r="H1461" s="88" t="n"/>
      <c r="I1461" s="88" t="n"/>
      <c r="J1461" s="89" t="n"/>
      <c r="K1461" s="88" t="n"/>
      <c r="L1461" s="88" t="n"/>
      <c r="M1461" s="88" t="n"/>
      <c r="N1461" s="89" t="n"/>
      <c r="O1461" s="88" t="n"/>
      <c r="P1461" s="88" t="n"/>
      <c r="Q1461" s="88" t="n"/>
      <c r="R1461" s="89" t="n"/>
      <c r="S1461" s="88" t="n"/>
      <c r="T1461" s="88" t="n"/>
      <c r="U1461" s="88" t="n"/>
      <c r="V1461" s="89" t="n"/>
      <c r="W1461" s="88" t="n"/>
      <c r="X1461" s="89" t="n"/>
      <c r="Y1461" s="88" t="n"/>
      <c r="Z1461" s="89" t="n"/>
      <c r="AB1461" s="30">
        <f>IF($B1461="","",(COUNTIF(C1461:E1461,"?*")&lt;N(INDEX(Setup!$L$6:$L$23,4)))+(COUNTIF(G1461:I1461,"?*")&lt;N(INDEX(Setup!$L$6:$L$23,4)))+(COUNTIF(K1461:M1461,"?*")&lt;N(INDEX(Setup!$L$6:$L$23,4)))+(COUNTIF(O1461:Q1461,"?*")&lt;N(INDEX(Setup!$L$6:$L$23,4)))+(COUNTIF(S1461:U1461,"?*")&lt;N(INDEX(Setup!$L$6:$L$23,4)))+((W1461="")*(INDEX(Setup!$M$6:$M$23,4)="Y"))+((Y1461="")*(INDEX(Setup!$M$6:$M$23,4)="Y")))</f>
        <v/>
      </c>
      <c r="AC1461" s="91">
        <f>IF($B1461="","",IF(AB1461=0,"✓ covered","⚠ "&amp;AB1461&amp;IF(AB1461=1," gap"," gaps")))</f>
        <v/>
      </c>
    </row>
    <row r="1462" ht="17" customHeight="1">
      <c r="A1462" t="n">
        <v>30</v>
      </c>
      <c r="B1462" s="24">
        <f>IF(Setup!$K$10="","",Setup!$K$10)</f>
        <v/>
      </c>
      <c r="C1462" s="88" t="n"/>
      <c r="D1462" s="88" t="n"/>
      <c r="E1462" s="88" t="n"/>
      <c r="F1462" s="89" t="n"/>
      <c r="G1462" s="88" t="n"/>
      <c r="H1462" s="88" t="n"/>
      <c r="I1462" s="88" t="n"/>
      <c r="J1462" s="89" t="n"/>
      <c r="K1462" s="88" t="n"/>
      <c r="L1462" s="88" t="n"/>
      <c r="M1462" s="88" t="n"/>
      <c r="N1462" s="89" t="n"/>
      <c r="O1462" s="88" t="n"/>
      <c r="P1462" s="88" t="n"/>
      <c r="Q1462" s="88" t="n"/>
      <c r="R1462" s="89" t="n"/>
      <c r="S1462" s="88" t="n"/>
      <c r="T1462" s="88" t="n"/>
      <c r="U1462" s="88" t="n"/>
      <c r="V1462" s="89" t="n"/>
      <c r="W1462" s="88" t="n"/>
      <c r="X1462" s="89" t="n"/>
      <c r="Y1462" s="88" t="n"/>
      <c r="Z1462" s="89" t="n"/>
      <c r="AB1462" s="25">
        <f>IF($B1462="","",(COUNTIF(C1462:E1462,"?*")&lt;N(INDEX(Setup!$L$6:$L$23,5)))+(COUNTIF(G1462:I1462,"?*")&lt;N(INDEX(Setup!$L$6:$L$23,5)))+(COUNTIF(K1462:M1462,"?*")&lt;N(INDEX(Setup!$L$6:$L$23,5)))+(COUNTIF(O1462:Q1462,"?*")&lt;N(INDEX(Setup!$L$6:$L$23,5)))+(COUNTIF(S1462:U1462,"?*")&lt;N(INDEX(Setup!$L$6:$L$23,5)))+((W1462="")*(INDEX(Setup!$M$6:$M$23,5)="Y"))+((Y1462="")*(INDEX(Setup!$M$6:$M$23,5)="Y")))</f>
        <v/>
      </c>
      <c r="AC1462" s="90">
        <f>IF($B1462="","",IF(AB1462=0,"✓ covered","⚠ "&amp;AB1462&amp;IF(AB1462=1," gap"," gaps")))</f>
        <v/>
      </c>
    </row>
    <row r="1463" ht="17" customHeight="1">
      <c r="A1463" t="n">
        <v>30</v>
      </c>
      <c r="B1463" s="29">
        <f>IF(Setup!$K$11="","",Setup!$K$11)</f>
        <v/>
      </c>
      <c r="C1463" s="88" t="n"/>
      <c r="D1463" s="88" t="n"/>
      <c r="E1463" s="88" t="n"/>
      <c r="F1463" s="89" t="n"/>
      <c r="G1463" s="88" t="n"/>
      <c r="H1463" s="88" t="n"/>
      <c r="I1463" s="88" t="n"/>
      <c r="J1463" s="89" t="n"/>
      <c r="K1463" s="88" t="n"/>
      <c r="L1463" s="88" t="n"/>
      <c r="M1463" s="88" t="n"/>
      <c r="N1463" s="89" t="n"/>
      <c r="O1463" s="88" t="n"/>
      <c r="P1463" s="88" t="n"/>
      <c r="Q1463" s="88" t="n"/>
      <c r="R1463" s="89" t="n"/>
      <c r="S1463" s="88" t="n"/>
      <c r="T1463" s="88" t="n"/>
      <c r="U1463" s="88" t="n"/>
      <c r="V1463" s="89" t="n"/>
      <c r="W1463" s="88" t="n"/>
      <c r="X1463" s="89" t="n"/>
      <c r="Y1463" s="88" t="n"/>
      <c r="Z1463" s="89" t="n"/>
      <c r="AB1463" s="30">
        <f>IF($B1463="","",(COUNTIF(C1463:E1463,"?*")&lt;N(INDEX(Setup!$L$6:$L$23,6)))+(COUNTIF(G1463:I1463,"?*")&lt;N(INDEX(Setup!$L$6:$L$23,6)))+(COUNTIF(K1463:M1463,"?*")&lt;N(INDEX(Setup!$L$6:$L$23,6)))+(COUNTIF(O1463:Q1463,"?*")&lt;N(INDEX(Setup!$L$6:$L$23,6)))+(COUNTIF(S1463:U1463,"?*")&lt;N(INDEX(Setup!$L$6:$L$23,6)))+((W1463="")*(INDEX(Setup!$M$6:$M$23,6)="Y"))+((Y1463="")*(INDEX(Setup!$M$6:$M$23,6)="Y")))</f>
        <v/>
      </c>
      <c r="AC1463" s="91">
        <f>IF($B1463="","",IF(AB1463=0,"✓ covered","⚠ "&amp;AB1463&amp;IF(AB1463=1," gap"," gaps")))</f>
        <v/>
      </c>
    </row>
    <row r="1464" ht="17" customHeight="1">
      <c r="A1464" t="n">
        <v>30</v>
      </c>
      <c r="B1464" s="24">
        <f>IF(Setup!$K$12="","",Setup!$K$12)</f>
        <v/>
      </c>
      <c r="C1464" s="88" t="n"/>
      <c r="D1464" s="88" t="n"/>
      <c r="E1464" s="88" t="n"/>
      <c r="F1464" s="89" t="n"/>
      <c r="G1464" s="88" t="n"/>
      <c r="H1464" s="88" t="n"/>
      <c r="I1464" s="88" t="n"/>
      <c r="J1464" s="89" t="n"/>
      <c r="K1464" s="88" t="n"/>
      <c r="L1464" s="88" t="n"/>
      <c r="M1464" s="88" t="n"/>
      <c r="N1464" s="89" t="n"/>
      <c r="O1464" s="88" t="n"/>
      <c r="P1464" s="88" t="n"/>
      <c r="Q1464" s="88" t="n"/>
      <c r="R1464" s="89" t="n"/>
      <c r="S1464" s="88" t="n"/>
      <c r="T1464" s="88" t="n"/>
      <c r="U1464" s="88" t="n"/>
      <c r="V1464" s="89" t="n"/>
      <c r="W1464" s="88" t="n"/>
      <c r="X1464" s="89" t="n"/>
      <c r="Y1464" s="88" t="n"/>
      <c r="Z1464" s="89" t="n"/>
      <c r="AB1464" s="25">
        <f>IF($B1464="","",(COUNTIF(C1464:E1464,"?*")&lt;N(INDEX(Setup!$L$6:$L$23,7)))+(COUNTIF(G1464:I1464,"?*")&lt;N(INDEX(Setup!$L$6:$L$23,7)))+(COUNTIF(K1464:M1464,"?*")&lt;N(INDEX(Setup!$L$6:$L$23,7)))+(COUNTIF(O1464:Q1464,"?*")&lt;N(INDEX(Setup!$L$6:$L$23,7)))+(COUNTIF(S1464:U1464,"?*")&lt;N(INDEX(Setup!$L$6:$L$23,7)))+((W1464="")*(INDEX(Setup!$M$6:$M$23,7)="Y"))+((Y1464="")*(INDEX(Setup!$M$6:$M$23,7)="Y")))</f>
        <v/>
      </c>
      <c r="AC1464" s="90">
        <f>IF($B1464="","",IF(AB1464=0,"✓ covered","⚠ "&amp;AB1464&amp;IF(AB1464=1," gap"," gaps")))</f>
        <v/>
      </c>
    </row>
    <row r="1465" ht="17" customHeight="1">
      <c r="A1465" t="n">
        <v>30</v>
      </c>
      <c r="B1465" s="29">
        <f>IF(Setup!$K$13="","",Setup!$K$13)</f>
        <v/>
      </c>
      <c r="C1465" s="88" t="n"/>
      <c r="D1465" s="88" t="n"/>
      <c r="E1465" s="88" t="n"/>
      <c r="F1465" s="89" t="n"/>
      <c r="G1465" s="88" t="n"/>
      <c r="H1465" s="88" t="n"/>
      <c r="I1465" s="88" t="n"/>
      <c r="J1465" s="89" t="n"/>
      <c r="K1465" s="88" t="n"/>
      <c r="L1465" s="88" t="n"/>
      <c r="M1465" s="88" t="n"/>
      <c r="N1465" s="89" t="n"/>
      <c r="O1465" s="88" t="n"/>
      <c r="P1465" s="88" t="n"/>
      <c r="Q1465" s="88" t="n"/>
      <c r="R1465" s="89" t="n"/>
      <c r="S1465" s="88" t="n"/>
      <c r="T1465" s="88" t="n"/>
      <c r="U1465" s="88" t="n"/>
      <c r="V1465" s="89" t="n"/>
      <c r="W1465" s="88" t="n"/>
      <c r="X1465" s="89" t="n"/>
      <c r="Y1465" s="88" t="n"/>
      <c r="Z1465" s="89" t="n"/>
      <c r="AB1465" s="30">
        <f>IF($B1465="","",(COUNTIF(C1465:E1465,"?*")&lt;N(INDEX(Setup!$L$6:$L$23,8)))+(COUNTIF(G1465:I1465,"?*")&lt;N(INDEX(Setup!$L$6:$L$23,8)))+(COUNTIF(K1465:M1465,"?*")&lt;N(INDEX(Setup!$L$6:$L$23,8)))+(COUNTIF(O1465:Q1465,"?*")&lt;N(INDEX(Setup!$L$6:$L$23,8)))+(COUNTIF(S1465:U1465,"?*")&lt;N(INDEX(Setup!$L$6:$L$23,8)))+((W1465="")*(INDEX(Setup!$M$6:$M$23,8)="Y"))+((Y1465="")*(INDEX(Setup!$M$6:$M$23,8)="Y")))</f>
        <v/>
      </c>
      <c r="AC1465" s="91">
        <f>IF($B1465="","",IF(AB1465=0,"✓ covered","⚠ "&amp;AB1465&amp;IF(AB1465=1," gap"," gaps")))</f>
        <v/>
      </c>
    </row>
    <row r="1466" ht="17" customHeight="1">
      <c r="A1466" t="n">
        <v>30</v>
      </c>
      <c r="B1466" s="24">
        <f>IF(Setup!$K$14="","",Setup!$K$14)</f>
        <v/>
      </c>
      <c r="C1466" s="88" t="n"/>
      <c r="D1466" s="88" t="n"/>
      <c r="E1466" s="88" t="n"/>
      <c r="F1466" s="89" t="n"/>
      <c r="G1466" s="88" t="n"/>
      <c r="H1466" s="88" t="n"/>
      <c r="I1466" s="88" t="n"/>
      <c r="J1466" s="89" t="n"/>
      <c r="K1466" s="88" t="n"/>
      <c r="L1466" s="88" t="n"/>
      <c r="M1466" s="88" t="n"/>
      <c r="N1466" s="89" t="n"/>
      <c r="O1466" s="88" t="n"/>
      <c r="P1466" s="88" t="n"/>
      <c r="Q1466" s="88" t="n"/>
      <c r="R1466" s="89" t="n"/>
      <c r="S1466" s="88" t="n"/>
      <c r="T1466" s="88" t="n"/>
      <c r="U1466" s="88" t="n"/>
      <c r="V1466" s="89" t="n"/>
      <c r="W1466" s="88" t="n"/>
      <c r="X1466" s="89" t="n"/>
      <c r="Y1466" s="88" t="n"/>
      <c r="Z1466" s="89" t="n"/>
      <c r="AB1466" s="25">
        <f>IF($B1466="","",(COUNTIF(C1466:E1466,"?*")&lt;N(INDEX(Setup!$L$6:$L$23,9)))+(COUNTIF(G1466:I1466,"?*")&lt;N(INDEX(Setup!$L$6:$L$23,9)))+(COUNTIF(K1466:M1466,"?*")&lt;N(INDEX(Setup!$L$6:$L$23,9)))+(COUNTIF(O1466:Q1466,"?*")&lt;N(INDEX(Setup!$L$6:$L$23,9)))+(COUNTIF(S1466:U1466,"?*")&lt;N(INDEX(Setup!$L$6:$L$23,9)))+((W1466="")*(INDEX(Setup!$M$6:$M$23,9)="Y"))+((Y1466="")*(INDEX(Setup!$M$6:$M$23,9)="Y")))</f>
        <v/>
      </c>
      <c r="AC1466" s="90">
        <f>IF($B1466="","",IF(AB1466=0,"✓ covered","⚠ "&amp;AB1466&amp;IF(AB1466=1," gap"," gaps")))</f>
        <v/>
      </c>
    </row>
    <row r="1467" ht="17" customHeight="1">
      <c r="A1467" t="n">
        <v>30</v>
      </c>
      <c r="B1467" s="29">
        <f>IF(Setup!$K$15="","",Setup!$K$15)</f>
        <v/>
      </c>
      <c r="C1467" s="88" t="n"/>
      <c r="D1467" s="88" t="n"/>
      <c r="E1467" s="88" t="n"/>
      <c r="F1467" s="89" t="n"/>
      <c r="G1467" s="88" t="n"/>
      <c r="H1467" s="88" t="n"/>
      <c r="I1467" s="88" t="n"/>
      <c r="J1467" s="89" t="n"/>
      <c r="K1467" s="88" t="n"/>
      <c r="L1467" s="88" t="n"/>
      <c r="M1467" s="88" t="n"/>
      <c r="N1467" s="89" t="n"/>
      <c r="O1467" s="88" t="n"/>
      <c r="P1467" s="88" t="n"/>
      <c r="Q1467" s="88" t="n"/>
      <c r="R1467" s="89" t="n"/>
      <c r="S1467" s="88" t="n"/>
      <c r="T1467" s="88" t="n"/>
      <c r="U1467" s="88" t="n"/>
      <c r="V1467" s="89" t="n"/>
      <c r="W1467" s="88" t="n"/>
      <c r="X1467" s="89" t="n"/>
      <c r="Y1467" s="88" t="n"/>
      <c r="Z1467" s="89" t="n"/>
      <c r="AB1467" s="30">
        <f>IF($B1467="","",(COUNTIF(C1467:E1467,"?*")&lt;N(INDEX(Setup!$L$6:$L$23,10)))+(COUNTIF(G1467:I1467,"?*")&lt;N(INDEX(Setup!$L$6:$L$23,10)))+(COUNTIF(K1467:M1467,"?*")&lt;N(INDEX(Setup!$L$6:$L$23,10)))+(COUNTIF(O1467:Q1467,"?*")&lt;N(INDEX(Setup!$L$6:$L$23,10)))+(COUNTIF(S1467:U1467,"?*")&lt;N(INDEX(Setup!$L$6:$L$23,10)))+((W1467="")*(INDEX(Setup!$M$6:$M$23,10)="Y"))+((Y1467="")*(INDEX(Setup!$M$6:$M$23,10)="Y")))</f>
        <v/>
      </c>
      <c r="AC1467" s="91">
        <f>IF($B1467="","",IF(AB1467=0,"✓ covered","⚠ "&amp;AB1467&amp;IF(AB1467=1," gap"," gaps")))</f>
        <v/>
      </c>
    </row>
    <row r="1468" ht="17" customHeight="1">
      <c r="A1468" t="n">
        <v>30</v>
      </c>
      <c r="B1468" s="24">
        <f>IF(Setup!$K$16="","",Setup!$K$16)</f>
        <v/>
      </c>
      <c r="C1468" s="88" t="n"/>
      <c r="D1468" s="88" t="n"/>
      <c r="E1468" s="88" t="n"/>
      <c r="F1468" s="89" t="n"/>
      <c r="G1468" s="88" t="n"/>
      <c r="H1468" s="88" t="n"/>
      <c r="I1468" s="88" t="n"/>
      <c r="J1468" s="89" t="n"/>
      <c r="K1468" s="88" t="n"/>
      <c r="L1468" s="88" t="n"/>
      <c r="M1468" s="88" t="n"/>
      <c r="N1468" s="89" t="n"/>
      <c r="O1468" s="88" t="n"/>
      <c r="P1468" s="88" t="n"/>
      <c r="Q1468" s="88" t="n"/>
      <c r="R1468" s="89" t="n"/>
      <c r="S1468" s="88" t="n"/>
      <c r="T1468" s="88" t="n"/>
      <c r="U1468" s="88" t="n"/>
      <c r="V1468" s="89" t="n"/>
      <c r="W1468" s="88" t="n"/>
      <c r="X1468" s="89" t="n"/>
      <c r="Y1468" s="88" t="n"/>
      <c r="Z1468" s="89" t="n"/>
      <c r="AB1468" s="25">
        <f>IF($B1468="","",(COUNTIF(C1468:E1468,"?*")&lt;N(INDEX(Setup!$L$6:$L$23,11)))+(COUNTIF(G1468:I1468,"?*")&lt;N(INDEX(Setup!$L$6:$L$23,11)))+(COUNTIF(K1468:M1468,"?*")&lt;N(INDEX(Setup!$L$6:$L$23,11)))+(COUNTIF(O1468:Q1468,"?*")&lt;N(INDEX(Setup!$L$6:$L$23,11)))+(COUNTIF(S1468:U1468,"?*")&lt;N(INDEX(Setup!$L$6:$L$23,11)))+((W1468="")*(INDEX(Setup!$M$6:$M$23,11)="Y"))+((Y1468="")*(INDEX(Setup!$M$6:$M$23,11)="Y")))</f>
        <v/>
      </c>
      <c r="AC1468" s="90">
        <f>IF($B1468="","",IF(AB1468=0,"✓ covered","⚠ "&amp;AB1468&amp;IF(AB1468=1," gap"," gaps")))</f>
        <v/>
      </c>
    </row>
    <row r="1469" ht="17" customHeight="1">
      <c r="A1469" t="n">
        <v>30</v>
      </c>
      <c r="B1469" s="29">
        <f>IF(Setup!$K$17="","",Setup!$K$17)</f>
        <v/>
      </c>
      <c r="C1469" s="88" t="n"/>
      <c r="D1469" s="88" t="n"/>
      <c r="E1469" s="88" t="n"/>
      <c r="F1469" s="89" t="n"/>
      <c r="G1469" s="88" t="n"/>
      <c r="H1469" s="88" t="n"/>
      <c r="I1469" s="88" t="n"/>
      <c r="J1469" s="89" t="n"/>
      <c r="K1469" s="88" t="n"/>
      <c r="L1469" s="88" t="n"/>
      <c r="M1469" s="88" t="n"/>
      <c r="N1469" s="89" t="n"/>
      <c r="O1469" s="88" t="n"/>
      <c r="P1469" s="88" t="n"/>
      <c r="Q1469" s="88" t="n"/>
      <c r="R1469" s="89" t="n"/>
      <c r="S1469" s="88" t="n"/>
      <c r="T1469" s="88" t="n"/>
      <c r="U1469" s="88" t="n"/>
      <c r="V1469" s="89" t="n"/>
      <c r="W1469" s="88" t="n"/>
      <c r="X1469" s="89" t="n"/>
      <c r="Y1469" s="88" t="n"/>
      <c r="Z1469" s="89" t="n"/>
      <c r="AB1469" s="30">
        <f>IF($B1469="","",(COUNTIF(C1469:E1469,"?*")&lt;N(INDEX(Setup!$L$6:$L$23,12)))+(COUNTIF(G1469:I1469,"?*")&lt;N(INDEX(Setup!$L$6:$L$23,12)))+(COUNTIF(K1469:M1469,"?*")&lt;N(INDEX(Setup!$L$6:$L$23,12)))+(COUNTIF(O1469:Q1469,"?*")&lt;N(INDEX(Setup!$L$6:$L$23,12)))+(COUNTIF(S1469:U1469,"?*")&lt;N(INDEX(Setup!$L$6:$L$23,12)))+((W1469="")*(INDEX(Setup!$M$6:$M$23,12)="Y"))+((Y1469="")*(INDEX(Setup!$M$6:$M$23,12)="Y")))</f>
        <v/>
      </c>
      <c r="AC1469" s="91">
        <f>IF($B1469="","",IF(AB1469=0,"✓ covered","⚠ "&amp;AB1469&amp;IF(AB1469=1," gap"," gaps")))</f>
        <v/>
      </c>
    </row>
    <row r="1470" ht="17" customHeight="1">
      <c r="A1470" t="n">
        <v>30</v>
      </c>
      <c r="B1470" s="24">
        <f>IF(Setup!$K$18="","",Setup!$K$18)</f>
        <v/>
      </c>
      <c r="C1470" s="88" t="n"/>
      <c r="D1470" s="88" t="n"/>
      <c r="E1470" s="88" t="n"/>
      <c r="F1470" s="89" t="n"/>
      <c r="G1470" s="88" t="n"/>
      <c r="H1470" s="88" t="n"/>
      <c r="I1470" s="88" t="n"/>
      <c r="J1470" s="89" t="n"/>
      <c r="K1470" s="88" t="n"/>
      <c r="L1470" s="88" t="n"/>
      <c r="M1470" s="88" t="n"/>
      <c r="N1470" s="89" t="n"/>
      <c r="O1470" s="88" t="n"/>
      <c r="P1470" s="88" t="n"/>
      <c r="Q1470" s="88" t="n"/>
      <c r="R1470" s="89" t="n"/>
      <c r="S1470" s="88" t="n"/>
      <c r="T1470" s="88" t="n"/>
      <c r="U1470" s="88" t="n"/>
      <c r="V1470" s="89" t="n"/>
      <c r="W1470" s="88" t="n"/>
      <c r="X1470" s="89" t="n"/>
      <c r="Y1470" s="88" t="n"/>
      <c r="Z1470" s="89" t="n"/>
      <c r="AB1470" s="25">
        <f>IF($B1470="","",(COUNTIF(C1470:E1470,"?*")&lt;N(INDEX(Setup!$L$6:$L$23,13)))+(COUNTIF(G1470:I1470,"?*")&lt;N(INDEX(Setup!$L$6:$L$23,13)))+(COUNTIF(K1470:M1470,"?*")&lt;N(INDEX(Setup!$L$6:$L$23,13)))+(COUNTIF(O1470:Q1470,"?*")&lt;N(INDEX(Setup!$L$6:$L$23,13)))+(COUNTIF(S1470:U1470,"?*")&lt;N(INDEX(Setup!$L$6:$L$23,13)))+((W1470="")*(INDEX(Setup!$M$6:$M$23,13)="Y"))+((Y1470="")*(INDEX(Setup!$M$6:$M$23,13)="Y")))</f>
        <v/>
      </c>
      <c r="AC1470" s="90">
        <f>IF($B1470="","",IF(AB1470=0,"✓ covered","⚠ "&amp;AB1470&amp;IF(AB1470=1," gap"," gaps")))</f>
        <v/>
      </c>
    </row>
    <row r="1471" ht="17" customHeight="1">
      <c r="A1471" t="n">
        <v>30</v>
      </c>
      <c r="B1471" s="29">
        <f>IF(Setup!$K$19="","",Setup!$K$19)</f>
        <v/>
      </c>
      <c r="C1471" s="88" t="n"/>
      <c r="D1471" s="88" t="n"/>
      <c r="E1471" s="88" t="n"/>
      <c r="F1471" s="89" t="n"/>
      <c r="G1471" s="88" t="n"/>
      <c r="H1471" s="88" t="n"/>
      <c r="I1471" s="88" t="n"/>
      <c r="J1471" s="89" t="n"/>
      <c r="K1471" s="88" t="n"/>
      <c r="L1471" s="88" t="n"/>
      <c r="M1471" s="88" t="n"/>
      <c r="N1471" s="89" t="n"/>
      <c r="O1471" s="88" t="n"/>
      <c r="P1471" s="88" t="n"/>
      <c r="Q1471" s="88" t="n"/>
      <c r="R1471" s="89" t="n"/>
      <c r="S1471" s="88" t="n"/>
      <c r="T1471" s="88" t="n"/>
      <c r="U1471" s="88" t="n"/>
      <c r="V1471" s="89" t="n"/>
      <c r="W1471" s="88" t="n"/>
      <c r="X1471" s="89" t="n"/>
      <c r="Y1471" s="88" t="n"/>
      <c r="Z1471" s="89" t="n"/>
      <c r="AB1471" s="30">
        <f>IF($B1471="","",(COUNTIF(C1471:E1471,"?*")&lt;N(INDEX(Setup!$L$6:$L$23,14)))+(COUNTIF(G1471:I1471,"?*")&lt;N(INDEX(Setup!$L$6:$L$23,14)))+(COUNTIF(K1471:M1471,"?*")&lt;N(INDEX(Setup!$L$6:$L$23,14)))+(COUNTIF(O1471:Q1471,"?*")&lt;N(INDEX(Setup!$L$6:$L$23,14)))+(COUNTIF(S1471:U1471,"?*")&lt;N(INDEX(Setup!$L$6:$L$23,14)))+((W1471="")*(INDEX(Setup!$M$6:$M$23,14)="Y"))+((Y1471="")*(INDEX(Setup!$M$6:$M$23,14)="Y")))</f>
        <v/>
      </c>
      <c r="AC1471" s="91">
        <f>IF($B1471="","",IF(AB1471=0,"✓ covered","⚠ "&amp;AB1471&amp;IF(AB1471=1," gap"," gaps")))</f>
        <v/>
      </c>
    </row>
    <row r="1472" ht="17" customHeight="1">
      <c r="A1472" t="n">
        <v>30</v>
      </c>
      <c r="B1472" s="24">
        <f>IF(Setup!$K$20="","",Setup!$K$20)</f>
        <v/>
      </c>
      <c r="C1472" s="88" t="n"/>
      <c r="D1472" s="88" t="n"/>
      <c r="E1472" s="88" t="n"/>
      <c r="F1472" s="89" t="n"/>
      <c r="G1472" s="88" t="n"/>
      <c r="H1472" s="88" t="n"/>
      <c r="I1472" s="88" t="n"/>
      <c r="J1472" s="89" t="n"/>
      <c r="K1472" s="88" t="n"/>
      <c r="L1472" s="88" t="n"/>
      <c r="M1472" s="88" t="n"/>
      <c r="N1472" s="89" t="n"/>
      <c r="O1472" s="88" t="n"/>
      <c r="P1472" s="88" t="n"/>
      <c r="Q1472" s="88" t="n"/>
      <c r="R1472" s="89" t="n"/>
      <c r="S1472" s="88" t="n"/>
      <c r="T1472" s="88" t="n"/>
      <c r="U1472" s="88" t="n"/>
      <c r="V1472" s="89" t="n"/>
      <c r="W1472" s="88" t="n"/>
      <c r="X1472" s="89" t="n"/>
      <c r="Y1472" s="88" t="n"/>
      <c r="Z1472" s="89" t="n"/>
      <c r="AB1472" s="25">
        <f>IF($B1472="","",(COUNTIF(C1472:E1472,"?*")&lt;N(INDEX(Setup!$L$6:$L$23,15)))+(COUNTIF(G1472:I1472,"?*")&lt;N(INDEX(Setup!$L$6:$L$23,15)))+(COUNTIF(K1472:M1472,"?*")&lt;N(INDEX(Setup!$L$6:$L$23,15)))+(COUNTIF(O1472:Q1472,"?*")&lt;N(INDEX(Setup!$L$6:$L$23,15)))+(COUNTIF(S1472:U1472,"?*")&lt;N(INDEX(Setup!$L$6:$L$23,15)))+((W1472="")*(INDEX(Setup!$M$6:$M$23,15)="Y"))+((Y1472="")*(INDEX(Setup!$M$6:$M$23,15)="Y")))</f>
        <v/>
      </c>
      <c r="AC1472" s="90">
        <f>IF($B1472="","",IF(AB1472=0,"✓ covered","⚠ "&amp;AB1472&amp;IF(AB1472=1," gap"," gaps")))</f>
        <v/>
      </c>
    </row>
    <row r="1473" ht="17" customHeight="1">
      <c r="A1473" t="n">
        <v>30</v>
      </c>
      <c r="B1473" s="29">
        <f>IF(Setup!$K$21="","",Setup!$K$21)</f>
        <v/>
      </c>
      <c r="C1473" s="88" t="n"/>
      <c r="D1473" s="88" t="n"/>
      <c r="E1473" s="88" t="n"/>
      <c r="F1473" s="89" t="n"/>
      <c r="G1473" s="88" t="n"/>
      <c r="H1473" s="88" t="n"/>
      <c r="I1473" s="88" t="n"/>
      <c r="J1473" s="89" t="n"/>
      <c r="K1473" s="88" t="n"/>
      <c r="L1473" s="88" t="n"/>
      <c r="M1473" s="88" t="n"/>
      <c r="N1473" s="89" t="n"/>
      <c r="O1473" s="88" t="n"/>
      <c r="P1473" s="88" t="n"/>
      <c r="Q1473" s="88" t="n"/>
      <c r="R1473" s="89" t="n"/>
      <c r="S1473" s="88" t="n"/>
      <c r="T1473" s="88" t="n"/>
      <c r="U1473" s="88" t="n"/>
      <c r="V1473" s="89" t="n"/>
      <c r="W1473" s="88" t="n"/>
      <c r="X1473" s="89" t="n"/>
      <c r="Y1473" s="88" t="n"/>
      <c r="Z1473" s="89" t="n"/>
      <c r="AB1473" s="30">
        <f>IF($B1473="","",(COUNTIF(C1473:E1473,"?*")&lt;N(INDEX(Setup!$L$6:$L$23,16)))+(COUNTIF(G1473:I1473,"?*")&lt;N(INDEX(Setup!$L$6:$L$23,16)))+(COUNTIF(K1473:M1473,"?*")&lt;N(INDEX(Setup!$L$6:$L$23,16)))+(COUNTIF(O1473:Q1473,"?*")&lt;N(INDEX(Setup!$L$6:$L$23,16)))+(COUNTIF(S1473:U1473,"?*")&lt;N(INDEX(Setup!$L$6:$L$23,16)))+((W1473="")*(INDEX(Setup!$M$6:$M$23,16)="Y"))+((Y1473="")*(INDEX(Setup!$M$6:$M$23,16)="Y")))</f>
        <v/>
      </c>
      <c r="AC1473" s="91">
        <f>IF($B1473="","",IF(AB1473=0,"✓ covered","⚠ "&amp;AB1473&amp;IF(AB1473=1," gap"," gaps")))</f>
        <v/>
      </c>
    </row>
    <row r="1474" ht="17" customHeight="1">
      <c r="A1474" t="n">
        <v>30</v>
      </c>
      <c r="B1474" s="24">
        <f>IF(Setup!$K$22="","",Setup!$K$22)</f>
        <v/>
      </c>
      <c r="C1474" s="88" t="n"/>
      <c r="D1474" s="88" t="n"/>
      <c r="E1474" s="88" t="n"/>
      <c r="F1474" s="89" t="n"/>
      <c r="G1474" s="88" t="n"/>
      <c r="H1474" s="88" t="n"/>
      <c r="I1474" s="88" t="n"/>
      <c r="J1474" s="89" t="n"/>
      <c r="K1474" s="88" t="n"/>
      <c r="L1474" s="88" t="n"/>
      <c r="M1474" s="88" t="n"/>
      <c r="N1474" s="89" t="n"/>
      <c r="O1474" s="88" t="n"/>
      <c r="P1474" s="88" t="n"/>
      <c r="Q1474" s="88" t="n"/>
      <c r="R1474" s="89" t="n"/>
      <c r="S1474" s="88" t="n"/>
      <c r="T1474" s="88" t="n"/>
      <c r="U1474" s="88" t="n"/>
      <c r="V1474" s="89" t="n"/>
      <c r="W1474" s="88" t="n"/>
      <c r="X1474" s="89" t="n"/>
      <c r="Y1474" s="88" t="n"/>
      <c r="Z1474" s="89" t="n"/>
      <c r="AB1474" s="25">
        <f>IF($B1474="","",(COUNTIF(C1474:E1474,"?*")&lt;N(INDEX(Setup!$L$6:$L$23,17)))+(COUNTIF(G1474:I1474,"?*")&lt;N(INDEX(Setup!$L$6:$L$23,17)))+(COUNTIF(K1474:M1474,"?*")&lt;N(INDEX(Setup!$L$6:$L$23,17)))+(COUNTIF(O1474:Q1474,"?*")&lt;N(INDEX(Setup!$L$6:$L$23,17)))+(COUNTIF(S1474:U1474,"?*")&lt;N(INDEX(Setup!$L$6:$L$23,17)))+((W1474="")*(INDEX(Setup!$M$6:$M$23,17)="Y"))+((Y1474="")*(INDEX(Setup!$M$6:$M$23,17)="Y")))</f>
        <v/>
      </c>
      <c r="AC1474" s="90">
        <f>IF($B1474="","",IF(AB1474=0,"✓ covered","⚠ "&amp;AB1474&amp;IF(AB1474=1," gap"," gaps")))</f>
        <v/>
      </c>
    </row>
    <row r="1475" ht="17" customHeight="1">
      <c r="A1475" t="n">
        <v>30</v>
      </c>
      <c r="B1475" s="29">
        <f>IF(Setup!$K$23="","",Setup!$K$23)</f>
        <v/>
      </c>
      <c r="C1475" s="88" t="n"/>
      <c r="D1475" s="88" t="n"/>
      <c r="E1475" s="88" t="n"/>
      <c r="F1475" s="89" t="n"/>
      <c r="G1475" s="88" t="n"/>
      <c r="H1475" s="88" t="n"/>
      <c r="I1475" s="88" t="n"/>
      <c r="J1475" s="89" t="n"/>
      <c r="K1475" s="88" t="n"/>
      <c r="L1475" s="88" t="n"/>
      <c r="M1475" s="88" t="n"/>
      <c r="N1475" s="89" t="n"/>
      <c r="O1475" s="88" t="n"/>
      <c r="P1475" s="88" t="n"/>
      <c r="Q1475" s="88" t="n"/>
      <c r="R1475" s="89" t="n"/>
      <c r="S1475" s="88" t="n"/>
      <c r="T1475" s="88" t="n"/>
      <c r="U1475" s="88" t="n"/>
      <c r="V1475" s="89" t="n"/>
      <c r="W1475" s="88" t="n"/>
      <c r="X1475" s="89" t="n"/>
      <c r="Y1475" s="88" t="n"/>
      <c r="Z1475" s="89" t="n"/>
      <c r="AB1475" s="30">
        <f>IF($B1475="","",(COUNTIF(C1475:E1475,"?*")&lt;N(INDEX(Setup!$L$6:$L$23,18)))+(COUNTIF(G1475:I1475,"?*")&lt;N(INDEX(Setup!$L$6:$L$23,18)))+(COUNTIF(K1475:M1475,"?*")&lt;N(INDEX(Setup!$L$6:$L$23,18)))+(COUNTIF(O1475:Q1475,"?*")&lt;N(INDEX(Setup!$L$6:$L$23,18)))+(COUNTIF(S1475:U1475,"?*")&lt;N(INDEX(Setup!$L$6:$L$23,18)))+((W1475="")*(INDEX(Setup!$M$6:$M$23,18)="Y"))+((Y1475="")*(INDEX(Setup!$M$6:$M$23,18)="Y")))</f>
        <v/>
      </c>
      <c r="AC1475" s="91">
        <f>IF($B1475="","",IF(AB1475=0,"✓ covered","⚠ "&amp;AB1475&amp;IF(AB1475=1," gap"," gaps")))</f>
        <v/>
      </c>
    </row>
    <row r="1476" ht="18" customHeight="1">
      <c r="A1476" t="n">
        <v>30</v>
      </c>
      <c r="B1476" s="78" t="inlineStr">
        <is>
          <t>TEAM AVAILABILITY</t>
        </is>
      </c>
      <c r="C1476" s="92" t="inlineStr">
        <is>
          <t>Mon</t>
        </is>
      </c>
      <c r="D1476" s="93" t="n"/>
      <c r="E1476" s="93" t="n"/>
      <c r="F1476" s="94" t="n"/>
      <c r="G1476" s="92" t="inlineStr">
        <is>
          <t>Tue</t>
        </is>
      </c>
      <c r="H1476" s="93" t="n"/>
      <c r="I1476" s="93" t="n"/>
      <c r="J1476" s="94" t="n"/>
      <c r="K1476" s="92" t="inlineStr">
        <is>
          <t>Wed</t>
        </is>
      </c>
      <c r="L1476" s="93" t="n"/>
      <c r="M1476" s="93" t="n"/>
      <c r="N1476" s="94" t="n"/>
      <c r="O1476" s="92" t="inlineStr">
        <is>
          <t>Thu</t>
        </is>
      </c>
      <c r="P1476" s="93" t="n"/>
      <c r="Q1476" s="93" t="n"/>
      <c r="R1476" s="94" t="n"/>
      <c r="S1476" s="92" t="inlineStr">
        <is>
          <t>Fri</t>
        </is>
      </c>
      <c r="T1476" s="93" t="n"/>
      <c r="U1476" s="93" t="n"/>
      <c r="V1476" s="94" t="n"/>
      <c r="W1476" s="95" t="inlineStr">
        <is>
          <t>Sat</t>
        </is>
      </c>
      <c r="X1476" s="96" t="n"/>
      <c r="Y1476" s="95" t="inlineStr">
        <is>
          <t>Sun</t>
        </is>
      </c>
      <c r="Z1476" s="96" t="n"/>
      <c r="AB1476" s="97" t="inlineStr">
        <is>
          <t>Days rostered</t>
        </is>
      </c>
      <c r="AC1476" s="97" t="inlineStr">
        <is>
          <t>Conflicts</t>
        </is>
      </c>
    </row>
    <row r="1477" ht="15" customHeight="1">
      <c r="A1477" t="n">
        <v>30</v>
      </c>
      <c r="B1477" s="35">
        <f>IF(Setup!$B$6="","",Setup!$B$6)</f>
        <v/>
      </c>
      <c r="C1477" s="98" t="n"/>
      <c r="D1477" s="99" t="n"/>
      <c r="E1477" s="99" t="n"/>
      <c r="F1477" s="100" t="n"/>
      <c r="G1477" s="98" t="n"/>
      <c r="H1477" s="99" t="n"/>
      <c r="I1477" s="99" t="n"/>
      <c r="J1477" s="100" t="n"/>
      <c r="K1477" s="98" t="n"/>
      <c r="L1477" s="99" t="n"/>
      <c r="M1477" s="99" t="n"/>
      <c r="N1477" s="100" t="n"/>
      <c r="O1477" s="98" t="n"/>
      <c r="P1477" s="99" t="n"/>
      <c r="Q1477" s="99" t="n"/>
      <c r="R1477" s="100" t="n"/>
      <c r="S1477" s="98" t="n"/>
      <c r="T1477" s="99" t="n"/>
      <c r="U1477" s="99" t="n"/>
      <c r="V1477" s="100" t="n"/>
      <c r="W1477" s="98" t="n"/>
      <c r="X1477" s="100" t="n"/>
      <c r="Y1477" s="98" t="n"/>
      <c r="Z1477" s="100" t="n"/>
      <c r="AB1477" s="101">
        <f>IF($B1477="","",(COUNTIF(C1458:E1475,$B1477)+COUNTIF(C1458:E1475,$B1477&amp;" ~*")&gt;0)+(COUNTIF(G1458:I1475,$B1477)+COUNTIF(G1458:I1475,$B1477&amp;" ~*")&gt;0)+(COUNTIF(K1458:M1475,$B1477)+COUNTIF(K1458:M1475,$B1477&amp;" ~*")&gt;0)+(COUNTIF(O1458:Q1475,$B1477)+COUNTIF(O1458:Q1475,$B1477&amp;" ~*")&gt;0)+(COUNTIF(S1458:U1475,$B1477)+COUNTIF(S1458:U1475,$B1477&amp;" ~*")&gt;0)+(COUNTIF(W1458:W1475,$B1477)+COUNTIF(W1458:W1475,$B1477&amp;" ~*")&gt;0)+(COUNTIF(Y1458:Y1475,$B1477)+COUNTIF(Y1458:Y1475,$B1477&amp;" ~*")&gt;0))</f>
        <v/>
      </c>
      <c r="AC1477" s="36">
        <f>IF($B1477="","",(IFERROR(INDEX(Setup!$G$33:$G$40,MATCH(C1477,Setup!$B$33:$B$40,0)),0)=1)*(COUNTIF(C1458:E1475,$B1477)+COUNTIF(C1458:E1475,$B1477&amp;" ~*")&gt;0)+(IFERROR(INDEX(Setup!$G$33:$G$40,MATCH(G1477,Setup!$B$33:$B$40,0)),0)=1)*(COUNTIF(G1458:I1475,$B1477)+COUNTIF(G1458:I1475,$B1477&amp;" ~*")&gt;0)+(IFERROR(INDEX(Setup!$G$33:$G$40,MATCH(K1477,Setup!$B$33:$B$40,0)),0)=1)*(COUNTIF(K1458:M1475,$B1477)+COUNTIF(K1458:M1475,$B1477&amp;" ~*")&gt;0)+(IFERROR(INDEX(Setup!$G$33:$G$40,MATCH(O1477,Setup!$B$33:$B$40,0)),0)=1)*(COUNTIF(O1458:Q1475,$B1477)+COUNTIF(O1458:Q1475,$B1477&amp;" ~*")&gt;0)+(IFERROR(INDEX(Setup!$G$33:$G$40,MATCH(S1477,Setup!$B$33:$B$40,0)),0)=1)*(COUNTIF(S1458:U1475,$B1477)+COUNTIF(S1458:U1475,$B1477&amp;" ~*")&gt;0)+(IFERROR(INDEX(Setup!$G$33:$G$40,MATCH(W1477,Setup!$B$33:$B$40,0)),0)=1)*(COUNTIF(W1458:W1475,$B1477)+COUNTIF(W1458:W1475,$B1477&amp;" ~*")&gt;0)+(IFERROR(INDEX(Setup!$G$33:$G$40,MATCH(Y1477,Setup!$B$33:$B$40,0)),0)=1)*(COUNTIF(Y1458:Y1475,$B1477)+COUNTIF(Y1458:Y1475,$B1477&amp;" ~*")&gt;0))</f>
        <v/>
      </c>
    </row>
    <row r="1478" ht="15" customHeight="1">
      <c r="A1478" t="n">
        <v>30</v>
      </c>
      <c r="B1478" s="37">
        <f>IF(Setup!$B$7="","",Setup!$B$7)</f>
        <v/>
      </c>
      <c r="C1478" s="102" t="n"/>
      <c r="D1478" s="103" t="n"/>
      <c r="E1478" s="103" t="n"/>
      <c r="F1478" s="104" t="n"/>
      <c r="G1478" s="102" t="n"/>
      <c r="H1478" s="103" t="n"/>
      <c r="I1478" s="103" t="n"/>
      <c r="J1478" s="104" t="n"/>
      <c r="K1478" s="102" t="n"/>
      <c r="L1478" s="103" t="n"/>
      <c r="M1478" s="103" t="n"/>
      <c r="N1478" s="104" t="n"/>
      <c r="O1478" s="102" t="n"/>
      <c r="P1478" s="103" t="n"/>
      <c r="Q1478" s="103" t="n"/>
      <c r="R1478" s="104" t="n"/>
      <c r="S1478" s="102" t="n"/>
      <c r="T1478" s="103" t="n"/>
      <c r="U1478" s="103" t="n"/>
      <c r="V1478" s="104" t="n"/>
      <c r="W1478" s="102" t="n"/>
      <c r="X1478" s="104" t="n"/>
      <c r="Y1478" s="102" t="n"/>
      <c r="Z1478" s="104" t="n"/>
      <c r="AB1478" s="105">
        <f>IF($B1478="","",(COUNTIF(C1458:E1475,$B1478)+COUNTIF(C1458:E1475,$B1478&amp;" ~*")&gt;0)+(COUNTIF(G1458:I1475,$B1478)+COUNTIF(G1458:I1475,$B1478&amp;" ~*")&gt;0)+(COUNTIF(K1458:M1475,$B1478)+COUNTIF(K1458:M1475,$B1478&amp;" ~*")&gt;0)+(COUNTIF(O1458:Q1475,$B1478)+COUNTIF(O1458:Q1475,$B1478&amp;" ~*")&gt;0)+(COUNTIF(S1458:U1475,$B1478)+COUNTIF(S1458:U1475,$B1478&amp;" ~*")&gt;0)+(COUNTIF(W1458:W1475,$B1478)+COUNTIF(W1458:W1475,$B1478&amp;" ~*")&gt;0)+(COUNTIF(Y1458:Y1475,$B1478)+COUNTIF(Y1458:Y1475,$B1478&amp;" ~*")&gt;0))</f>
        <v/>
      </c>
      <c r="AC1478" s="38">
        <f>IF($B1478="","",(IFERROR(INDEX(Setup!$G$33:$G$40,MATCH(C1478,Setup!$B$33:$B$40,0)),0)=1)*(COUNTIF(C1458:E1475,$B1478)+COUNTIF(C1458:E1475,$B1478&amp;" ~*")&gt;0)+(IFERROR(INDEX(Setup!$G$33:$G$40,MATCH(G1478,Setup!$B$33:$B$40,0)),0)=1)*(COUNTIF(G1458:I1475,$B1478)+COUNTIF(G1458:I1475,$B1478&amp;" ~*")&gt;0)+(IFERROR(INDEX(Setup!$G$33:$G$40,MATCH(K1478,Setup!$B$33:$B$40,0)),0)=1)*(COUNTIF(K1458:M1475,$B1478)+COUNTIF(K1458:M1475,$B1478&amp;" ~*")&gt;0)+(IFERROR(INDEX(Setup!$G$33:$G$40,MATCH(O1478,Setup!$B$33:$B$40,0)),0)=1)*(COUNTIF(O1458:Q1475,$B1478)+COUNTIF(O1458:Q1475,$B1478&amp;" ~*")&gt;0)+(IFERROR(INDEX(Setup!$G$33:$G$40,MATCH(S1478,Setup!$B$33:$B$40,0)),0)=1)*(COUNTIF(S1458:U1475,$B1478)+COUNTIF(S1458:U1475,$B1478&amp;" ~*")&gt;0)+(IFERROR(INDEX(Setup!$G$33:$G$40,MATCH(W1478,Setup!$B$33:$B$40,0)),0)=1)*(COUNTIF(W1458:W1475,$B1478)+COUNTIF(W1458:W1475,$B1478&amp;" ~*")&gt;0)+(IFERROR(INDEX(Setup!$G$33:$G$40,MATCH(Y1478,Setup!$B$33:$B$40,0)),0)=1)*(COUNTIF(Y1458:Y1475,$B1478)+COUNTIF(Y1458:Y1475,$B1478&amp;" ~*")&gt;0))</f>
        <v/>
      </c>
    </row>
    <row r="1479" ht="15" customHeight="1">
      <c r="A1479" t="n">
        <v>30</v>
      </c>
      <c r="B1479" s="35">
        <f>IF(Setup!$B$8="","",Setup!$B$8)</f>
        <v/>
      </c>
      <c r="C1479" s="98" t="n"/>
      <c r="D1479" s="99" t="n"/>
      <c r="E1479" s="99" t="n"/>
      <c r="F1479" s="100" t="n"/>
      <c r="G1479" s="98" t="n"/>
      <c r="H1479" s="99" t="n"/>
      <c r="I1479" s="99" t="n"/>
      <c r="J1479" s="100" t="n"/>
      <c r="K1479" s="98" t="n"/>
      <c r="L1479" s="99" t="n"/>
      <c r="M1479" s="99" t="n"/>
      <c r="N1479" s="100" t="n"/>
      <c r="O1479" s="98" t="n"/>
      <c r="P1479" s="99" t="n"/>
      <c r="Q1479" s="99" t="n"/>
      <c r="R1479" s="100" t="n"/>
      <c r="S1479" s="98" t="n"/>
      <c r="T1479" s="99" t="n"/>
      <c r="U1479" s="99" t="n"/>
      <c r="V1479" s="100" t="n"/>
      <c r="W1479" s="98" t="n"/>
      <c r="X1479" s="100" t="n"/>
      <c r="Y1479" s="98" t="n"/>
      <c r="Z1479" s="100" t="n"/>
      <c r="AB1479" s="101">
        <f>IF($B1479="","",(COUNTIF(C1458:E1475,$B1479)+COUNTIF(C1458:E1475,$B1479&amp;" ~*")&gt;0)+(COUNTIF(G1458:I1475,$B1479)+COUNTIF(G1458:I1475,$B1479&amp;" ~*")&gt;0)+(COUNTIF(K1458:M1475,$B1479)+COUNTIF(K1458:M1475,$B1479&amp;" ~*")&gt;0)+(COUNTIF(O1458:Q1475,$B1479)+COUNTIF(O1458:Q1475,$B1479&amp;" ~*")&gt;0)+(COUNTIF(S1458:U1475,$B1479)+COUNTIF(S1458:U1475,$B1479&amp;" ~*")&gt;0)+(COUNTIF(W1458:W1475,$B1479)+COUNTIF(W1458:W1475,$B1479&amp;" ~*")&gt;0)+(COUNTIF(Y1458:Y1475,$B1479)+COUNTIF(Y1458:Y1475,$B1479&amp;" ~*")&gt;0))</f>
        <v/>
      </c>
      <c r="AC1479" s="36">
        <f>IF($B1479="","",(IFERROR(INDEX(Setup!$G$33:$G$40,MATCH(C1479,Setup!$B$33:$B$40,0)),0)=1)*(COUNTIF(C1458:E1475,$B1479)+COUNTIF(C1458:E1475,$B1479&amp;" ~*")&gt;0)+(IFERROR(INDEX(Setup!$G$33:$G$40,MATCH(G1479,Setup!$B$33:$B$40,0)),0)=1)*(COUNTIF(G1458:I1475,$B1479)+COUNTIF(G1458:I1475,$B1479&amp;" ~*")&gt;0)+(IFERROR(INDEX(Setup!$G$33:$G$40,MATCH(K1479,Setup!$B$33:$B$40,0)),0)=1)*(COUNTIF(K1458:M1475,$B1479)+COUNTIF(K1458:M1475,$B1479&amp;" ~*")&gt;0)+(IFERROR(INDEX(Setup!$G$33:$G$40,MATCH(O1479,Setup!$B$33:$B$40,0)),0)=1)*(COUNTIF(O1458:Q1475,$B1479)+COUNTIF(O1458:Q1475,$B1479&amp;" ~*")&gt;0)+(IFERROR(INDEX(Setup!$G$33:$G$40,MATCH(S1479,Setup!$B$33:$B$40,0)),0)=1)*(COUNTIF(S1458:U1475,$B1479)+COUNTIF(S1458:U1475,$B1479&amp;" ~*")&gt;0)+(IFERROR(INDEX(Setup!$G$33:$G$40,MATCH(W1479,Setup!$B$33:$B$40,0)),0)=1)*(COUNTIF(W1458:W1475,$B1479)+COUNTIF(W1458:W1475,$B1479&amp;" ~*")&gt;0)+(IFERROR(INDEX(Setup!$G$33:$G$40,MATCH(Y1479,Setup!$B$33:$B$40,0)),0)=1)*(COUNTIF(Y1458:Y1475,$B1479)+COUNTIF(Y1458:Y1475,$B1479&amp;" ~*")&gt;0))</f>
        <v/>
      </c>
    </row>
    <row r="1480" ht="15" customHeight="1">
      <c r="A1480" t="n">
        <v>30</v>
      </c>
      <c r="B1480" s="37">
        <f>IF(Setup!$B$9="","",Setup!$B$9)</f>
        <v/>
      </c>
      <c r="C1480" s="102" t="n"/>
      <c r="D1480" s="103" t="n"/>
      <c r="E1480" s="103" t="n"/>
      <c r="F1480" s="104" t="n"/>
      <c r="G1480" s="102" t="n"/>
      <c r="H1480" s="103" t="n"/>
      <c r="I1480" s="103" t="n"/>
      <c r="J1480" s="104" t="n"/>
      <c r="K1480" s="102" t="n"/>
      <c r="L1480" s="103" t="n"/>
      <c r="M1480" s="103" t="n"/>
      <c r="N1480" s="104" t="n"/>
      <c r="O1480" s="102" t="n"/>
      <c r="P1480" s="103" t="n"/>
      <c r="Q1480" s="103" t="n"/>
      <c r="R1480" s="104" t="n"/>
      <c r="S1480" s="102" t="n"/>
      <c r="T1480" s="103" t="n"/>
      <c r="U1480" s="103" t="n"/>
      <c r="V1480" s="104" t="n"/>
      <c r="W1480" s="102" t="n"/>
      <c r="X1480" s="104" t="n"/>
      <c r="Y1480" s="102" t="n"/>
      <c r="Z1480" s="104" t="n"/>
      <c r="AB1480" s="105">
        <f>IF($B1480="","",(COUNTIF(C1458:E1475,$B1480)+COUNTIF(C1458:E1475,$B1480&amp;" ~*")&gt;0)+(COUNTIF(G1458:I1475,$B1480)+COUNTIF(G1458:I1475,$B1480&amp;" ~*")&gt;0)+(COUNTIF(K1458:M1475,$B1480)+COUNTIF(K1458:M1475,$B1480&amp;" ~*")&gt;0)+(COUNTIF(O1458:Q1475,$B1480)+COUNTIF(O1458:Q1475,$B1480&amp;" ~*")&gt;0)+(COUNTIF(S1458:U1475,$B1480)+COUNTIF(S1458:U1475,$B1480&amp;" ~*")&gt;0)+(COUNTIF(W1458:W1475,$B1480)+COUNTIF(W1458:W1475,$B1480&amp;" ~*")&gt;0)+(COUNTIF(Y1458:Y1475,$B1480)+COUNTIF(Y1458:Y1475,$B1480&amp;" ~*")&gt;0))</f>
        <v/>
      </c>
      <c r="AC1480" s="38">
        <f>IF($B1480="","",(IFERROR(INDEX(Setup!$G$33:$G$40,MATCH(C1480,Setup!$B$33:$B$40,0)),0)=1)*(COUNTIF(C1458:E1475,$B1480)+COUNTIF(C1458:E1475,$B1480&amp;" ~*")&gt;0)+(IFERROR(INDEX(Setup!$G$33:$G$40,MATCH(G1480,Setup!$B$33:$B$40,0)),0)=1)*(COUNTIF(G1458:I1475,$B1480)+COUNTIF(G1458:I1475,$B1480&amp;" ~*")&gt;0)+(IFERROR(INDEX(Setup!$G$33:$G$40,MATCH(K1480,Setup!$B$33:$B$40,0)),0)=1)*(COUNTIF(K1458:M1475,$B1480)+COUNTIF(K1458:M1475,$B1480&amp;" ~*")&gt;0)+(IFERROR(INDEX(Setup!$G$33:$G$40,MATCH(O1480,Setup!$B$33:$B$40,0)),0)=1)*(COUNTIF(O1458:Q1475,$B1480)+COUNTIF(O1458:Q1475,$B1480&amp;" ~*")&gt;0)+(IFERROR(INDEX(Setup!$G$33:$G$40,MATCH(S1480,Setup!$B$33:$B$40,0)),0)=1)*(COUNTIF(S1458:U1475,$B1480)+COUNTIF(S1458:U1475,$B1480&amp;" ~*")&gt;0)+(IFERROR(INDEX(Setup!$G$33:$G$40,MATCH(W1480,Setup!$B$33:$B$40,0)),0)=1)*(COUNTIF(W1458:W1475,$B1480)+COUNTIF(W1458:W1475,$B1480&amp;" ~*")&gt;0)+(IFERROR(INDEX(Setup!$G$33:$G$40,MATCH(Y1480,Setup!$B$33:$B$40,0)),0)=1)*(COUNTIF(Y1458:Y1475,$B1480)+COUNTIF(Y1458:Y1475,$B1480&amp;" ~*")&gt;0))</f>
        <v/>
      </c>
    </row>
    <row r="1481" ht="15" customHeight="1">
      <c r="A1481" t="n">
        <v>30</v>
      </c>
      <c r="B1481" s="35">
        <f>IF(Setup!$B$10="","",Setup!$B$10)</f>
        <v/>
      </c>
      <c r="C1481" s="98" t="n"/>
      <c r="D1481" s="99" t="n"/>
      <c r="E1481" s="99" t="n"/>
      <c r="F1481" s="100" t="n"/>
      <c r="G1481" s="98" t="n"/>
      <c r="H1481" s="99" t="n"/>
      <c r="I1481" s="99" t="n"/>
      <c r="J1481" s="100" t="n"/>
      <c r="K1481" s="98" t="n"/>
      <c r="L1481" s="99" t="n"/>
      <c r="M1481" s="99" t="n"/>
      <c r="N1481" s="100" t="n"/>
      <c r="O1481" s="98" t="n"/>
      <c r="P1481" s="99" t="n"/>
      <c r="Q1481" s="99" t="n"/>
      <c r="R1481" s="100" t="n"/>
      <c r="S1481" s="98" t="n"/>
      <c r="T1481" s="99" t="n"/>
      <c r="U1481" s="99" t="n"/>
      <c r="V1481" s="100" t="n"/>
      <c r="W1481" s="98" t="n"/>
      <c r="X1481" s="100" t="n"/>
      <c r="Y1481" s="98" t="n"/>
      <c r="Z1481" s="100" t="n"/>
      <c r="AB1481" s="101">
        <f>IF($B1481="","",(COUNTIF(C1458:E1475,$B1481)+COUNTIF(C1458:E1475,$B1481&amp;" ~*")&gt;0)+(COUNTIF(G1458:I1475,$B1481)+COUNTIF(G1458:I1475,$B1481&amp;" ~*")&gt;0)+(COUNTIF(K1458:M1475,$B1481)+COUNTIF(K1458:M1475,$B1481&amp;" ~*")&gt;0)+(COUNTIF(O1458:Q1475,$B1481)+COUNTIF(O1458:Q1475,$B1481&amp;" ~*")&gt;0)+(COUNTIF(S1458:U1475,$B1481)+COUNTIF(S1458:U1475,$B1481&amp;" ~*")&gt;0)+(COUNTIF(W1458:W1475,$B1481)+COUNTIF(W1458:W1475,$B1481&amp;" ~*")&gt;0)+(COUNTIF(Y1458:Y1475,$B1481)+COUNTIF(Y1458:Y1475,$B1481&amp;" ~*")&gt;0))</f>
        <v/>
      </c>
      <c r="AC1481" s="36">
        <f>IF($B1481="","",(IFERROR(INDEX(Setup!$G$33:$G$40,MATCH(C1481,Setup!$B$33:$B$40,0)),0)=1)*(COUNTIF(C1458:E1475,$B1481)+COUNTIF(C1458:E1475,$B1481&amp;" ~*")&gt;0)+(IFERROR(INDEX(Setup!$G$33:$G$40,MATCH(G1481,Setup!$B$33:$B$40,0)),0)=1)*(COUNTIF(G1458:I1475,$B1481)+COUNTIF(G1458:I1475,$B1481&amp;" ~*")&gt;0)+(IFERROR(INDEX(Setup!$G$33:$G$40,MATCH(K1481,Setup!$B$33:$B$40,0)),0)=1)*(COUNTIF(K1458:M1475,$B1481)+COUNTIF(K1458:M1475,$B1481&amp;" ~*")&gt;0)+(IFERROR(INDEX(Setup!$G$33:$G$40,MATCH(O1481,Setup!$B$33:$B$40,0)),0)=1)*(COUNTIF(O1458:Q1475,$B1481)+COUNTIF(O1458:Q1475,$B1481&amp;" ~*")&gt;0)+(IFERROR(INDEX(Setup!$G$33:$G$40,MATCH(S1481,Setup!$B$33:$B$40,0)),0)=1)*(COUNTIF(S1458:U1475,$B1481)+COUNTIF(S1458:U1475,$B1481&amp;" ~*")&gt;0)+(IFERROR(INDEX(Setup!$G$33:$G$40,MATCH(W1481,Setup!$B$33:$B$40,0)),0)=1)*(COUNTIF(W1458:W1475,$B1481)+COUNTIF(W1458:W1475,$B1481&amp;" ~*")&gt;0)+(IFERROR(INDEX(Setup!$G$33:$G$40,MATCH(Y1481,Setup!$B$33:$B$40,0)),0)=1)*(COUNTIF(Y1458:Y1475,$B1481)+COUNTIF(Y1458:Y1475,$B1481&amp;" ~*")&gt;0))</f>
        <v/>
      </c>
    </row>
    <row r="1482" ht="15" customHeight="1">
      <c r="A1482" t="n">
        <v>30</v>
      </c>
      <c r="B1482" s="37">
        <f>IF(Setup!$B$11="","",Setup!$B$11)</f>
        <v/>
      </c>
      <c r="C1482" s="102" t="n"/>
      <c r="D1482" s="103" t="n"/>
      <c r="E1482" s="103" t="n"/>
      <c r="F1482" s="104" t="n"/>
      <c r="G1482" s="102" t="n"/>
      <c r="H1482" s="103" t="n"/>
      <c r="I1482" s="103" t="n"/>
      <c r="J1482" s="104" t="n"/>
      <c r="K1482" s="102" t="n"/>
      <c r="L1482" s="103" t="n"/>
      <c r="M1482" s="103" t="n"/>
      <c r="N1482" s="104" t="n"/>
      <c r="O1482" s="102" t="n"/>
      <c r="P1482" s="103" t="n"/>
      <c r="Q1482" s="103" t="n"/>
      <c r="R1482" s="104" t="n"/>
      <c r="S1482" s="102" t="n"/>
      <c r="T1482" s="103" t="n"/>
      <c r="U1482" s="103" t="n"/>
      <c r="V1482" s="104" t="n"/>
      <c r="W1482" s="102" t="n"/>
      <c r="X1482" s="104" t="n"/>
      <c r="Y1482" s="102" t="n"/>
      <c r="Z1482" s="104" t="n"/>
      <c r="AB1482" s="105">
        <f>IF($B1482="","",(COUNTIF(C1458:E1475,$B1482)+COUNTIF(C1458:E1475,$B1482&amp;" ~*")&gt;0)+(COUNTIF(G1458:I1475,$B1482)+COUNTIF(G1458:I1475,$B1482&amp;" ~*")&gt;0)+(COUNTIF(K1458:M1475,$B1482)+COUNTIF(K1458:M1475,$B1482&amp;" ~*")&gt;0)+(COUNTIF(O1458:Q1475,$B1482)+COUNTIF(O1458:Q1475,$B1482&amp;" ~*")&gt;0)+(COUNTIF(S1458:U1475,$B1482)+COUNTIF(S1458:U1475,$B1482&amp;" ~*")&gt;0)+(COUNTIF(W1458:W1475,$B1482)+COUNTIF(W1458:W1475,$B1482&amp;" ~*")&gt;0)+(COUNTIF(Y1458:Y1475,$B1482)+COUNTIF(Y1458:Y1475,$B1482&amp;" ~*")&gt;0))</f>
        <v/>
      </c>
      <c r="AC1482" s="38">
        <f>IF($B1482="","",(IFERROR(INDEX(Setup!$G$33:$G$40,MATCH(C1482,Setup!$B$33:$B$40,0)),0)=1)*(COUNTIF(C1458:E1475,$B1482)+COUNTIF(C1458:E1475,$B1482&amp;" ~*")&gt;0)+(IFERROR(INDEX(Setup!$G$33:$G$40,MATCH(G1482,Setup!$B$33:$B$40,0)),0)=1)*(COUNTIF(G1458:I1475,$B1482)+COUNTIF(G1458:I1475,$B1482&amp;" ~*")&gt;0)+(IFERROR(INDEX(Setup!$G$33:$G$40,MATCH(K1482,Setup!$B$33:$B$40,0)),0)=1)*(COUNTIF(K1458:M1475,$B1482)+COUNTIF(K1458:M1475,$B1482&amp;" ~*")&gt;0)+(IFERROR(INDEX(Setup!$G$33:$G$40,MATCH(O1482,Setup!$B$33:$B$40,0)),0)=1)*(COUNTIF(O1458:Q1475,$B1482)+COUNTIF(O1458:Q1475,$B1482&amp;" ~*")&gt;0)+(IFERROR(INDEX(Setup!$G$33:$G$40,MATCH(S1482,Setup!$B$33:$B$40,0)),0)=1)*(COUNTIF(S1458:U1475,$B1482)+COUNTIF(S1458:U1475,$B1482&amp;" ~*")&gt;0)+(IFERROR(INDEX(Setup!$G$33:$G$40,MATCH(W1482,Setup!$B$33:$B$40,0)),0)=1)*(COUNTIF(W1458:W1475,$B1482)+COUNTIF(W1458:W1475,$B1482&amp;" ~*")&gt;0)+(IFERROR(INDEX(Setup!$G$33:$G$40,MATCH(Y1482,Setup!$B$33:$B$40,0)),0)=1)*(COUNTIF(Y1458:Y1475,$B1482)+COUNTIF(Y1458:Y1475,$B1482&amp;" ~*")&gt;0))</f>
        <v/>
      </c>
    </row>
    <row r="1483" ht="15" customHeight="1">
      <c r="A1483" t="n">
        <v>30</v>
      </c>
      <c r="B1483" s="35">
        <f>IF(Setup!$B$12="","",Setup!$B$12)</f>
        <v/>
      </c>
      <c r="C1483" s="98" t="n"/>
      <c r="D1483" s="99" t="n"/>
      <c r="E1483" s="99" t="n"/>
      <c r="F1483" s="100" t="n"/>
      <c r="G1483" s="98" t="n"/>
      <c r="H1483" s="99" t="n"/>
      <c r="I1483" s="99" t="n"/>
      <c r="J1483" s="100" t="n"/>
      <c r="K1483" s="98" t="n"/>
      <c r="L1483" s="99" t="n"/>
      <c r="M1483" s="99" t="n"/>
      <c r="N1483" s="100" t="n"/>
      <c r="O1483" s="98" t="n"/>
      <c r="P1483" s="99" t="n"/>
      <c r="Q1483" s="99" t="n"/>
      <c r="R1483" s="100" t="n"/>
      <c r="S1483" s="98" t="n"/>
      <c r="T1483" s="99" t="n"/>
      <c r="U1483" s="99" t="n"/>
      <c r="V1483" s="100" t="n"/>
      <c r="W1483" s="98" t="n"/>
      <c r="X1483" s="100" t="n"/>
      <c r="Y1483" s="98" t="n"/>
      <c r="Z1483" s="100" t="n"/>
      <c r="AB1483" s="101">
        <f>IF($B1483="","",(COUNTIF(C1458:E1475,$B1483)+COUNTIF(C1458:E1475,$B1483&amp;" ~*")&gt;0)+(COUNTIF(G1458:I1475,$B1483)+COUNTIF(G1458:I1475,$B1483&amp;" ~*")&gt;0)+(COUNTIF(K1458:M1475,$B1483)+COUNTIF(K1458:M1475,$B1483&amp;" ~*")&gt;0)+(COUNTIF(O1458:Q1475,$B1483)+COUNTIF(O1458:Q1475,$B1483&amp;" ~*")&gt;0)+(COUNTIF(S1458:U1475,$B1483)+COUNTIF(S1458:U1475,$B1483&amp;" ~*")&gt;0)+(COUNTIF(W1458:W1475,$B1483)+COUNTIF(W1458:W1475,$B1483&amp;" ~*")&gt;0)+(COUNTIF(Y1458:Y1475,$B1483)+COUNTIF(Y1458:Y1475,$B1483&amp;" ~*")&gt;0))</f>
        <v/>
      </c>
      <c r="AC1483" s="36">
        <f>IF($B1483="","",(IFERROR(INDEX(Setup!$G$33:$G$40,MATCH(C1483,Setup!$B$33:$B$40,0)),0)=1)*(COUNTIF(C1458:E1475,$B1483)+COUNTIF(C1458:E1475,$B1483&amp;" ~*")&gt;0)+(IFERROR(INDEX(Setup!$G$33:$G$40,MATCH(G1483,Setup!$B$33:$B$40,0)),0)=1)*(COUNTIF(G1458:I1475,$B1483)+COUNTIF(G1458:I1475,$B1483&amp;" ~*")&gt;0)+(IFERROR(INDEX(Setup!$G$33:$G$40,MATCH(K1483,Setup!$B$33:$B$40,0)),0)=1)*(COUNTIF(K1458:M1475,$B1483)+COUNTIF(K1458:M1475,$B1483&amp;" ~*")&gt;0)+(IFERROR(INDEX(Setup!$G$33:$G$40,MATCH(O1483,Setup!$B$33:$B$40,0)),0)=1)*(COUNTIF(O1458:Q1475,$B1483)+COUNTIF(O1458:Q1475,$B1483&amp;" ~*")&gt;0)+(IFERROR(INDEX(Setup!$G$33:$G$40,MATCH(S1483,Setup!$B$33:$B$40,0)),0)=1)*(COUNTIF(S1458:U1475,$B1483)+COUNTIF(S1458:U1475,$B1483&amp;" ~*")&gt;0)+(IFERROR(INDEX(Setup!$G$33:$G$40,MATCH(W1483,Setup!$B$33:$B$40,0)),0)=1)*(COUNTIF(W1458:W1475,$B1483)+COUNTIF(W1458:W1475,$B1483&amp;" ~*")&gt;0)+(IFERROR(INDEX(Setup!$G$33:$G$40,MATCH(Y1483,Setup!$B$33:$B$40,0)),0)=1)*(COUNTIF(Y1458:Y1475,$B1483)+COUNTIF(Y1458:Y1475,$B1483&amp;" ~*")&gt;0))</f>
        <v/>
      </c>
    </row>
    <row r="1484" ht="15" customHeight="1">
      <c r="A1484" t="n">
        <v>30</v>
      </c>
      <c r="B1484" s="37">
        <f>IF(Setup!$B$13="","",Setup!$B$13)</f>
        <v/>
      </c>
      <c r="C1484" s="102" t="n"/>
      <c r="D1484" s="103" t="n"/>
      <c r="E1484" s="103" t="n"/>
      <c r="F1484" s="104" t="n"/>
      <c r="G1484" s="102" t="n"/>
      <c r="H1484" s="103" t="n"/>
      <c r="I1484" s="103" t="n"/>
      <c r="J1484" s="104" t="n"/>
      <c r="K1484" s="102" t="n"/>
      <c r="L1484" s="103" t="n"/>
      <c r="M1484" s="103" t="n"/>
      <c r="N1484" s="104" t="n"/>
      <c r="O1484" s="102" t="n"/>
      <c r="P1484" s="103" t="n"/>
      <c r="Q1484" s="103" t="n"/>
      <c r="R1484" s="104" t="n"/>
      <c r="S1484" s="102" t="n"/>
      <c r="T1484" s="103" t="n"/>
      <c r="U1484" s="103" t="n"/>
      <c r="V1484" s="104" t="n"/>
      <c r="W1484" s="102" t="n"/>
      <c r="X1484" s="104" t="n"/>
      <c r="Y1484" s="102" t="n"/>
      <c r="Z1484" s="104" t="n"/>
      <c r="AB1484" s="105">
        <f>IF($B1484="","",(COUNTIF(C1458:E1475,$B1484)+COUNTIF(C1458:E1475,$B1484&amp;" ~*")&gt;0)+(COUNTIF(G1458:I1475,$B1484)+COUNTIF(G1458:I1475,$B1484&amp;" ~*")&gt;0)+(COUNTIF(K1458:M1475,$B1484)+COUNTIF(K1458:M1475,$B1484&amp;" ~*")&gt;0)+(COUNTIF(O1458:Q1475,$B1484)+COUNTIF(O1458:Q1475,$B1484&amp;" ~*")&gt;0)+(COUNTIF(S1458:U1475,$B1484)+COUNTIF(S1458:U1475,$B1484&amp;" ~*")&gt;0)+(COUNTIF(W1458:W1475,$B1484)+COUNTIF(W1458:W1475,$B1484&amp;" ~*")&gt;0)+(COUNTIF(Y1458:Y1475,$B1484)+COUNTIF(Y1458:Y1475,$B1484&amp;" ~*")&gt;0))</f>
        <v/>
      </c>
      <c r="AC1484" s="38">
        <f>IF($B1484="","",(IFERROR(INDEX(Setup!$G$33:$G$40,MATCH(C1484,Setup!$B$33:$B$40,0)),0)=1)*(COUNTIF(C1458:E1475,$B1484)+COUNTIF(C1458:E1475,$B1484&amp;" ~*")&gt;0)+(IFERROR(INDEX(Setup!$G$33:$G$40,MATCH(G1484,Setup!$B$33:$B$40,0)),0)=1)*(COUNTIF(G1458:I1475,$B1484)+COUNTIF(G1458:I1475,$B1484&amp;" ~*")&gt;0)+(IFERROR(INDEX(Setup!$G$33:$G$40,MATCH(K1484,Setup!$B$33:$B$40,0)),0)=1)*(COUNTIF(K1458:M1475,$B1484)+COUNTIF(K1458:M1475,$B1484&amp;" ~*")&gt;0)+(IFERROR(INDEX(Setup!$G$33:$G$40,MATCH(O1484,Setup!$B$33:$B$40,0)),0)=1)*(COUNTIF(O1458:Q1475,$B1484)+COUNTIF(O1458:Q1475,$B1484&amp;" ~*")&gt;0)+(IFERROR(INDEX(Setup!$G$33:$G$40,MATCH(S1484,Setup!$B$33:$B$40,0)),0)=1)*(COUNTIF(S1458:U1475,$B1484)+COUNTIF(S1458:U1475,$B1484&amp;" ~*")&gt;0)+(IFERROR(INDEX(Setup!$G$33:$G$40,MATCH(W1484,Setup!$B$33:$B$40,0)),0)=1)*(COUNTIF(W1458:W1475,$B1484)+COUNTIF(W1458:W1475,$B1484&amp;" ~*")&gt;0)+(IFERROR(INDEX(Setup!$G$33:$G$40,MATCH(Y1484,Setup!$B$33:$B$40,0)),0)=1)*(COUNTIF(Y1458:Y1475,$B1484)+COUNTIF(Y1458:Y1475,$B1484&amp;" ~*")&gt;0))</f>
        <v/>
      </c>
    </row>
    <row r="1485" ht="15" customHeight="1">
      <c r="A1485" t="n">
        <v>30</v>
      </c>
      <c r="B1485" s="35">
        <f>IF(Setup!$B$14="","",Setup!$B$14)</f>
        <v/>
      </c>
      <c r="C1485" s="98" t="n"/>
      <c r="D1485" s="99" t="n"/>
      <c r="E1485" s="99" t="n"/>
      <c r="F1485" s="100" t="n"/>
      <c r="G1485" s="98" t="n"/>
      <c r="H1485" s="99" t="n"/>
      <c r="I1485" s="99" t="n"/>
      <c r="J1485" s="100" t="n"/>
      <c r="K1485" s="98" t="n"/>
      <c r="L1485" s="99" t="n"/>
      <c r="M1485" s="99" t="n"/>
      <c r="N1485" s="100" t="n"/>
      <c r="O1485" s="98" t="n"/>
      <c r="P1485" s="99" t="n"/>
      <c r="Q1485" s="99" t="n"/>
      <c r="R1485" s="100" t="n"/>
      <c r="S1485" s="98" t="n"/>
      <c r="T1485" s="99" t="n"/>
      <c r="U1485" s="99" t="n"/>
      <c r="V1485" s="100" t="n"/>
      <c r="W1485" s="98" t="n"/>
      <c r="X1485" s="100" t="n"/>
      <c r="Y1485" s="98" t="n"/>
      <c r="Z1485" s="100" t="n"/>
      <c r="AB1485" s="101">
        <f>IF($B1485="","",(COUNTIF(C1458:E1475,$B1485)+COUNTIF(C1458:E1475,$B1485&amp;" ~*")&gt;0)+(COUNTIF(G1458:I1475,$B1485)+COUNTIF(G1458:I1475,$B1485&amp;" ~*")&gt;0)+(COUNTIF(K1458:M1475,$B1485)+COUNTIF(K1458:M1475,$B1485&amp;" ~*")&gt;0)+(COUNTIF(O1458:Q1475,$B1485)+COUNTIF(O1458:Q1475,$B1485&amp;" ~*")&gt;0)+(COUNTIF(S1458:U1475,$B1485)+COUNTIF(S1458:U1475,$B1485&amp;" ~*")&gt;0)+(COUNTIF(W1458:W1475,$B1485)+COUNTIF(W1458:W1475,$B1485&amp;" ~*")&gt;0)+(COUNTIF(Y1458:Y1475,$B1485)+COUNTIF(Y1458:Y1475,$B1485&amp;" ~*")&gt;0))</f>
        <v/>
      </c>
      <c r="AC1485" s="36">
        <f>IF($B1485="","",(IFERROR(INDEX(Setup!$G$33:$G$40,MATCH(C1485,Setup!$B$33:$B$40,0)),0)=1)*(COUNTIF(C1458:E1475,$B1485)+COUNTIF(C1458:E1475,$B1485&amp;" ~*")&gt;0)+(IFERROR(INDEX(Setup!$G$33:$G$40,MATCH(G1485,Setup!$B$33:$B$40,0)),0)=1)*(COUNTIF(G1458:I1475,$B1485)+COUNTIF(G1458:I1475,$B1485&amp;" ~*")&gt;0)+(IFERROR(INDEX(Setup!$G$33:$G$40,MATCH(K1485,Setup!$B$33:$B$40,0)),0)=1)*(COUNTIF(K1458:M1475,$B1485)+COUNTIF(K1458:M1475,$B1485&amp;" ~*")&gt;0)+(IFERROR(INDEX(Setup!$G$33:$G$40,MATCH(O1485,Setup!$B$33:$B$40,0)),0)=1)*(COUNTIF(O1458:Q1475,$B1485)+COUNTIF(O1458:Q1475,$B1485&amp;" ~*")&gt;0)+(IFERROR(INDEX(Setup!$G$33:$G$40,MATCH(S1485,Setup!$B$33:$B$40,0)),0)=1)*(COUNTIF(S1458:U1475,$B1485)+COUNTIF(S1458:U1475,$B1485&amp;" ~*")&gt;0)+(IFERROR(INDEX(Setup!$G$33:$G$40,MATCH(W1485,Setup!$B$33:$B$40,0)),0)=1)*(COUNTIF(W1458:W1475,$B1485)+COUNTIF(W1458:W1475,$B1485&amp;" ~*")&gt;0)+(IFERROR(INDEX(Setup!$G$33:$G$40,MATCH(Y1485,Setup!$B$33:$B$40,0)),0)=1)*(COUNTIF(Y1458:Y1475,$B1485)+COUNTIF(Y1458:Y1475,$B1485&amp;" ~*")&gt;0))</f>
        <v/>
      </c>
    </row>
    <row r="1486" ht="15" customHeight="1">
      <c r="A1486" t="n">
        <v>30</v>
      </c>
      <c r="B1486" s="37">
        <f>IF(Setup!$B$15="","",Setup!$B$15)</f>
        <v/>
      </c>
      <c r="C1486" s="102" t="n"/>
      <c r="D1486" s="103" t="n"/>
      <c r="E1486" s="103" t="n"/>
      <c r="F1486" s="104" t="n"/>
      <c r="G1486" s="102" t="n"/>
      <c r="H1486" s="103" t="n"/>
      <c r="I1486" s="103" t="n"/>
      <c r="J1486" s="104" t="n"/>
      <c r="K1486" s="102" t="n"/>
      <c r="L1486" s="103" t="n"/>
      <c r="M1486" s="103" t="n"/>
      <c r="N1486" s="104" t="n"/>
      <c r="O1486" s="102" t="n"/>
      <c r="P1486" s="103" t="n"/>
      <c r="Q1486" s="103" t="n"/>
      <c r="R1486" s="104" t="n"/>
      <c r="S1486" s="102" t="n"/>
      <c r="T1486" s="103" t="n"/>
      <c r="U1486" s="103" t="n"/>
      <c r="V1486" s="104" t="n"/>
      <c r="W1486" s="102" t="n"/>
      <c r="X1486" s="104" t="n"/>
      <c r="Y1486" s="102" t="n"/>
      <c r="Z1486" s="104" t="n"/>
      <c r="AB1486" s="105">
        <f>IF($B1486="","",(COUNTIF(C1458:E1475,$B1486)+COUNTIF(C1458:E1475,$B1486&amp;" ~*")&gt;0)+(COUNTIF(G1458:I1475,$B1486)+COUNTIF(G1458:I1475,$B1486&amp;" ~*")&gt;0)+(COUNTIF(K1458:M1475,$B1486)+COUNTIF(K1458:M1475,$B1486&amp;" ~*")&gt;0)+(COUNTIF(O1458:Q1475,$B1486)+COUNTIF(O1458:Q1475,$B1486&amp;" ~*")&gt;0)+(COUNTIF(S1458:U1475,$B1486)+COUNTIF(S1458:U1475,$B1486&amp;" ~*")&gt;0)+(COUNTIF(W1458:W1475,$B1486)+COUNTIF(W1458:W1475,$B1486&amp;" ~*")&gt;0)+(COUNTIF(Y1458:Y1475,$B1486)+COUNTIF(Y1458:Y1475,$B1486&amp;" ~*")&gt;0))</f>
        <v/>
      </c>
      <c r="AC1486" s="38">
        <f>IF($B1486="","",(IFERROR(INDEX(Setup!$G$33:$G$40,MATCH(C1486,Setup!$B$33:$B$40,0)),0)=1)*(COUNTIF(C1458:E1475,$B1486)+COUNTIF(C1458:E1475,$B1486&amp;" ~*")&gt;0)+(IFERROR(INDEX(Setup!$G$33:$G$40,MATCH(G1486,Setup!$B$33:$B$40,0)),0)=1)*(COUNTIF(G1458:I1475,$B1486)+COUNTIF(G1458:I1475,$B1486&amp;" ~*")&gt;0)+(IFERROR(INDEX(Setup!$G$33:$G$40,MATCH(K1486,Setup!$B$33:$B$40,0)),0)=1)*(COUNTIF(K1458:M1475,$B1486)+COUNTIF(K1458:M1475,$B1486&amp;" ~*")&gt;0)+(IFERROR(INDEX(Setup!$G$33:$G$40,MATCH(O1486,Setup!$B$33:$B$40,0)),0)=1)*(COUNTIF(O1458:Q1475,$B1486)+COUNTIF(O1458:Q1475,$B1486&amp;" ~*")&gt;0)+(IFERROR(INDEX(Setup!$G$33:$G$40,MATCH(S1486,Setup!$B$33:$B$40,0)),0)=1)*(COUNTIF(S1458:U1475,$B1486)+COUNTIF(S1458:U1475,$B1486&amp;" ~*")&gt;0)+(IFERROR(INDEX(Setup!$G$33:$G$40,MATCH(W1486,Setup!$B$33:$B$40,0)),0)=1)*(COUNTIF(W1458:W1475,$B1486)+COUNTIF(W1458:W1475,$B1486&amp;" ~*")&gt;0)+(IFERROR(INDEX(Setup!$G$33:$G$40,MATCH(Y1486,Setup!$B$33:$B$40,0)),0)=1)*(COUNTIF(Y1458:Y1475,$B1486)+COUNTIF(Y1458:Y1475,$B1486&amp;" ~*")&gt;0))</f>
        <v/>
      </c>
    </row>
    <row r="1487" ht="15" customHeight="1">
      <c r="A1487" t="n">
        <v>30</v>
      </c>
      <c r="B1487" s="35">
        <f>IF(Setup!$B$16="","",Setup!$B$16)</f>
        <v/>
      </c>
      <c r="C1487" s="98" t="n"/>
      <c r="D1487" s="99" t="n"/>
      <c r="E1487" s="99" t="n"/>
      <c r="F1487" s="100" t="n"/>
      <c r="G1487" s="98" t="n"/>
      <c r="H1487" s="99" t="n"/>
      <c r="I1487" s="99" t="n"/>
      <c r="J1487" s="100" t="n"/>
      <c r="K1487" s="98" t="n"/>
      <c r="L1487" s="99" t="n"/>
      <c r="M1487" s="99" t="n"/>
      <c r="N1487" s="100" t="n"/>
      <c r="O1487" s="98" t="n"/>
      <c r="P1487" s="99" t="n"/>
      <c r="Q1487" s="99" t="n"/>
      <c r="R1487" s="100" t="n"/>
      <c r="S1487" s="98" t="n"/>
      <c r="T1487" s="99" t="n"/>
      <c r="U1487" s="99" t="n"/>
      <c r="V1487" s="100" t="n"/>
      <c r="W1487" s="98" t="n"/>
      <c r="X1487" s="100" t="n"/>
      <c r="Y1487" s="98" t="n"/>
      <c r="Z1487" s="100" t="n"/>
      <c r="AB1487" s="101">
        <f>IF($B1487="","",(COUNTIF(C1458:E1475,$B1487)+COUNTIF(C1458:E1475,$B1487&amp;" ~*")&gt;0)+(COUNTIF(G1458:I1475,$B1487)+COUNTIF(G1458:I1475,$B1487&amp;" ~*")&gt;0)+(COUNTIF(K1458:M1475,$B1487)+COUNTIF(K1458:M1475,$B1487&amp;" ~*")&gt;0)+(COUNTIF(O1458:Q1475,$B1487)+COUNTIF(O1458:Q1475,$B1487&amp;" ~*")&gt;0)+(COUNTIF(S1458:U1475,$B1487)+COUNTIF(S1458:U1475,$B1487&amp;" ~*")&gt;0)+(COUNTIF(W1458:W1475,$B1487)+COUNTIF(W1458:W1475,$B1487&amp;" ~*")&gt;0)+(COUNTIF(Y1458:Y1475,$B1487)+COUNTIF(Y1458:Y1475,$B1487&amp;" ~*")&gt;0))</f>
        <v/>
      </c>
      <c r="AC1487" s="36">
        <f>IF($B1487="","",(IFERROR(INDEX(Setup!$G$33:$G$40,MATCH(C1487,Setup!$B$33:$B$40,0)),0)=1)*(COUNTIF(C1458:E1475,$B1487)+COUNTIF(C1458:E1475,$B1487&amp;" ~*")&gt;0)+(IFERROR(INDEX(Setup!$G$33:$G$40,MATCH(G1487,Setup!$B$33:$B$40,0)),0)=1)*(COUNTIF(G1458:I1475,$B1487)+COUNTIF(G1458:I1475,$B1487&amp;" ~*")&gt;0)+(IFERROR(INDEX(Setup!$G$33:$G$40,MATCH(K1487,Setup!$B$33:$B$40,0)),0)=1)*(COUNTIF(K1458:M1475,$B1487)+COUNTIF(K1458:M1475,$B1487&amp;" ~*")&gt;0)+(IFERROR(INDEX(Setup!$G$33:$G$40,MATCH(O1487,Setup!$B$33:$B$40,0)),0)=1)*(COUNTIF(O1458:Q1475,$B1487)+COUNTIF(O1458:Q1475,$B1487&amp;" ~*")&gt;0)+(IFERROR(INDEX(Setup!$G$33:$G$40,MATCH(S1487,Setup!$B$33:$B$40,0)),0)=1)*(COUNTIF(S1458:U1475,$B1487)+COUNTIF(S1458:U1475,$B1487&amp;" ~*")&gt;0)+(IFERROR(INDEX(Setup!$G$33:$G$40,MATCH(W1487,Setup!$B$33:$B$40,0)),0)=1)*(COUNTIF(W1458:W1475,$B1487)+COUNTIF(W1458:W1475,$B1487&amp;" ~*")&gt;0)+(IFERROR(INDEX(Setup!$G$33:$G$40,MATCH(Y1487,Setup!$B$33:$B$40,0)),0)=1)*(COUNTIF(Y1458:Y1475,$B1487)+COUNTIF(Y1458:Y1475,$B1487&amp;" ~*")&gt;0))</f>
        <v/>
      </c>
    </row>
    <row r="1488" ht="15" customHeight="1">
      <c r="A1488" t="n">
        <v>30</v>
      </c>
      <c r="B1488" s="37">
        <f>IF(Setup!$B$17="","",Setup!$B$17)</f>
        <v/>
      </c>
      <c r="C1488" s="102" t="n"/>
      <c r="D1488" s="103" t="n"/>
      <c r="E1488" s="103" t="n"/>
      <c r="F1488" s="104" t="n"/>
      <c r="G1488" s="102" t="n"/>
      <c r="H1488" s="103" t="n"/>
      <c r="I1488" s="103" t="n"/>
      <c r="J1488" s="104" t="n"/>
      <c r="K1488" s="102" t="n"/>
      <c r="L1488" s="103" t="n"/>
      <c r="M1488" s="103" t="n"/>
      <c r="N1488" s="104" t="n"/>
      <c r="O1488" s="102" t="n"/>
      <c r="P1488" s="103" t="n"/>
      <c r="Q1488" s="103" t="n"/>
      <c r="R1488" s="104" t="n"/>
      <c r="S1488" s="102" t="n"/>
      <c r="T1488" s="103" t="n"/>
      <c r="U1488" s="103" t="n"/>
      <c r="V1488" s="104" t="n"/>
      <c r="W1488" s="102" t="n"/>
      <c r="X1488" s="104" t="n"/>
      <c r="Y1488" s="102" t="n"/>
      <c r="Z1488" s="104" t="n"/>
      <c r="AB1488" s="105">
        <f>IF($B1488="","",(COUNTIF(C1458:E1475,$B1488)+COUNTIF(C1458:E1475,$B1488&amp;" ~*")&gt;0)+(COUNTIF(G1458:I1475,$B1488)+COUNTIF(G1458:I1475,$B1488&amp;" ~*")&gt;0)+(COUNTIF(K1458:M1475,$B1488)+COUNTIF(K1458:M1475,$B1488&amp;" ~*")&gt;0)+(COUNTIF(O1458:Q1475,$B1488)+COUNTIF(O1458:Q1475,$B1488&amp;" ~*")&gt;0)+(COUNTIF(S1458:U1475,$B1488)+COUNTIF(S1458:U1475,$B1488&amp;" ~*")&gt;0)+(COUNTIF(W1458:W1475,$B1488)+COUNTIF(W1458:W1475,$B1488&amp;" ~*")&gt;0)+(COUNTIF(Y1458:Y1475,$B1488)+COUNTIF(Y1458:Y1475,$B1488&amp;" ~*")&gt;0))</f>
        <v/>
      </c>
      <c r="AC1488" s="38">
        <f>IF($B1488="","",(IFERROR(INDEX(Setup!$G$33:$G$40,MATCH(C1488,Setup!$B$33:$B$40,0)),0)=1)*(COUNTIF(C1458:E1475,$B1488)+COUNTIF(C1458:E1475,$B1488&amp;" ~*")&gt;0)+(IFERROR(INDEX(Setup!$G$33:$G$40,MATCH(G1488,Setup!$B$33:$B$40,0)),0)=1)*(COUNTIF(G1458:I1475,$B1488)+COUNTIF(G1458:I1475,$B1488&amp;" ~*")&gt;0)+(IFERROR(INDEX(Setup!$G$33:$G$40,MATCH(K1488,Setup!$B$33:$B$40,0)),0)=1)*(COUNTIF(K1458:M1475,$B1488)+COUNTIF(K1458:M1475,$B1488&amp;" ~*")&gt;0)+(IFERROR(INDEX(Setup!$G$33:$G$40,MATCH(O1488,Setup!$B$33:$B$40,0)),0)=1)*(COUNTIF(O1458:Q1475,$B1488)+COUNTIF(O1458:Q1475,$B1488&amp;" ~*")&gt;0)+(IFERROR(INDEX(Setup!$G$33:$G$40,MATCH(S1488,Setup!$B$33:$B$40,0)),0)=1)*(COUNTIF(S1458:U1475,$B1488)+COUNTIF(S1458:U1475,$B1488&amp;" ~*")&gt;0)+(IFERROR(INDEX(Setup!$G$33:$G$40,MATCH(W1488,Setup!$B$33:$B$40,0)),0)=1)*(COUNTIF(W1458:W1475,$B1488)+COUNTIF(W1458:W1475,$B1488&amp;" ~*")&gt;0)+(IFERROR(INDEX(Setup!$G$33:$G$40,MATCH(Y1488,Setup!$B$33:$B$40,0)),0)=1)*(COUNTIF(Y1458:Y1475,$B1488)+COUNTIF(Y1458:Y1475,$B1488&amp;" ~*")&gt;0))</f>
        <v/>
      </c>
    </row>
    <row r="1489" ht="15" customHeight="1">
      <c r="A1489" t="n">
        <v>30</v>
      </c>
      <c r="B1489" s="35">
        <f>IF(Setup!$B$18="","",Setup!$B$18)</f>
        <v/>
      </c>
      <c r="C1489" s="98" t="n"/>
      <c r="D1489" s="99" t="n"/>
      <c r="E1489" s="99" t="n"/>
      <c r="F1489" s="100" t="n"/>
      <c r="G1489" s="98" t="n"/>
      <c r="H1489" s="99" t="n"/>
      <c r="I1489" s="99" t="n"/>
      <c r="J1489" s="100" t="n"/>
      <c r="K1489" s="98" t="n"/>
      <c r="L1489" s="99" t="n"/>
      <c r="M1489" s="99" t="n"/>
      <c r="N1489" s="100" t="n"/>
      <c r="O1489" s="98" t="n"/>
      <c r="P1489" s="99" t="n"/>
      <c r="Q1489" s="99" t="n"/>
      <c r="R1489" s="100" t="n"/>
      <c r="S1489" s="98" t="n"/>
      <c r="T1489" s="99" t="n"/>
      <c r="U1489" s="99" t="n"/>
      <c r="V1489" s="100" t="n"/>
      <c r="W1489" s="98" t="n"/>
      <c r="X1489" s="100" t="n"/>
      <c r="Y1489" s="98" t="n"/>
      <c r="Z1489" s="100" t="n"/>
      <c r="AB1489" s="101">
        <f>IF($B1489="","",(COUNTIF(C1458:E1475,$B1489)+COUNTIF(C1458:E1475,$B1489&amp;" ~*")&gt;0)+(COUNTIF(G1458:I1475,$B1489)+COUNTIF(G1458:I1475,$B1489&amp;" ~*")&gt;0)+(COUNTIF(K1458:M1475,$B1489)+COUNTIF(K1458:M1475,$B1489&amp;" ~*")&gt;0)+(COUNTIF(O1458:Q1475,$B1489)+COUNTIF(O1458:Q1475,$B1489&amp;" ~*")&gt;0)+(COUNTIF(S1458:U1475,$B1489)+COUNTIF(S1458:U1475,$B1489&amp;" ~*")&gt;0)+(COUNTIF(W1458:W1475,$B1489)+COUNTIF(W1458:W1475,$B1489&amp;" ~*")&gt;0)+(COUNTIF(Y1458:Y1475,$B1489)+COUNTIF(Y1458:Y1475,$B1489&amp;" ~*")&gt;0))</f>
        <v/>
      </c>
      <c r="AC1489" s="36">
        <f>IF($B1489="","",(IFERROR(INDEX(Setup!$G$33:$G$40,MATCH(C1489,Setup!$B$33:$B$40,0)),0)=1)*(COUNTIF(C1458:E1475,$B1489)+COUNTIF(C1458:E1475,$B1489&amp;" ~*")&gt;0)+(IFERROR(INDEX(Setup!$G$33:$G$40,MATCH(G1489,Setup!$B$33:$B$40,0)),0)=1)*(COUNTIF(G1458:I1475,$B1489)+COUNTIF(G1458:I1475,$B1489&amp;" ~*")&gt;0)+(IFERROR(INDEX(Setup!$G$33:$G$40,MATCH(K1489,Setup!$B$33:$B$40,0)),0)=1)*(COUNTIF(K1458:M1475,$B1489)+COUNTIF(K1458:M1475,$B1489&amp;" ~*")&gt;0)+(IFERROR(INDEX(Setup!$G$33:$G$40,MATCH(O1489,Setup!$B$33:$B$40,0)),0)=1)*(COUNTIF(O1458:Q1475,$B1489)+COUNTIF(O1458:Q1475,$B1489&amp;" ~*")&gt;0)+(IFERROR(INDEX(Setup!$G$33:$G$40,MATCH(S1489,Setup!$B$33:$B$40,0)),0)=1)*(COUNTIF(S1458:U1475,$B1489)+COUNTIF(S1458:U1475,$B1489&amp;" ~*")&gt;0)+(IFERROR(INDEX(Setup!$G$33:$G$40,MATCH(W1489,Setup!$B$33:$B$40,0)),0)=1)*(COUNTIF(W1458:W1475,$B1489)+COUNTIF(W1458:W1475,$B1489&amp;" ~*")&gt;0)+(IFERROR(INDEX(Setup!$G$33:$G$40,MATCH(Y1489,Setup!$B$33:$B$40,0)),0)=1)*(COUNTIF(Y1458:Y1475,$B1489)+COUNTIF(Y1458:Y1475,$B1489&amp;" ~*")&gt;0))</f>
        <v/>
      </c>
    </row>
    <row r="1490" ht="15" customHeight="1">
      <c r="A1490" t="n">
        <v>30</v>
      </c>
      <c r="B1490" s="37">
        <f>IF(Setup!$B$19="","",Setup!$B$19)</f>
        <v/>
      </c>
      <c r="C1490" s="102" t="n"/>
      <c r="D1490" s="103" t="n"/>
      <c r="E1490" s="103" t="n"/>
      <c r="F1490" s="104" t="n"/>
      <c r="G1490" s="102" t="n"/>
      <c r="H1490" s="103" t="n"/>
      <c r="I1490" s="103" t="n"/>
      <c r="J1490" s="104" t="n"/>
      <c r="K1490" s="102" t="n"/>
      <c r="L1490" s="103" t="n"/>
      <c r="M1490" s="103" t="n"/>
      <c r="N1490" s="104" t="n"/>
      <c r="O1490" s="102" t="n"/>
      <c r="P1490" s="103" t="n"/>
      <c r="Q1490" s="103" t="n"/>
      <c r="R1490" s="104" t="n"/>
      <c r="S1490" s="102" t="n"/>
      <c r="T1490" s="103" t="n"/>
      <c r="U1490" s="103" t="n"/>
      <c r="V1490" s="104" t="n"/>
      <c r="W1490" s="102" t="n"/>
      <c r="X1490" s="104" t="n"/>
      <c r="Y1490" s="102" t="n"/>
      <c r="Z1490" s="104" t="n"/>
      <c r="AB1490" s="105">
        <f>IF($B1490="","",(COUNTIF(C1458:E1475,$B1490)+COUNTIF(C1458:E1475,$B1490&amp;" ~*")&gt;0)+(COUNTIF(G1458:I1475,$B1490)+COUNTIF(G1458:I1475,$B1490&amp;" ~*")&gt;0)+(COUNTIF(K1458:M1475,$B1490)+COUNTIF(K1458:M1475,$B1490&amp;" ~*")&gt;0)+(COUNTIF(O1458:Q1475,$B1490)+COUNTIF(O1458:Q1475,$B1490&amp;" ~*")&gt;0)+(COUNTIF(S1458:U1475,$B1490)+COUNTIF(S1458:U1475,$B1490&amp;" ~*")&gt;0)+(COUNTIF(W1458:W1475,$B1490)+COUNTIF(W1458:W1475,$B1490&amp;" ~*")&gt;0)+(COUNTIF(Y1458:Y1475,$B1490)+COUNTIF(Y1458:Y1475,$B1490&amp;" ~*")&gt;0))</f>
        <v/>
      </c>
      <c r="AC1490" s="38">
        <f>IF($B1490="","",(IFERROR(INDEX(Setup!$G$33:$G$40,MATCH(C1490,Setup!$B$33:$B$40,0)),0)=1)*(COUNTIF(C1458:E1475,$B1490)+COUNTIF(C1458:E1475,$B1490&amp;" ~*")&gt;0)+(IFERROR(INDEX(Setup!$G$33:$G$40,MATCH(G1490,Setup!$B$33:$B$40,0)),0)=1)*(COUNTIF(G1458:I1475,$B1490)+COUNTIF(G1458:I1475,$B1490&amp;" ~*")&gt;0)+(IFERROR(INDEX(Setup!$G$33:$G$40,MATCH(K1490,Setup!$B$33:$B$40,0)),0)=1)*(COUNTIF(K1458:M1475,$B1490)+COUNTIF(K1458:M1475,$B1490&amp;" ~*")&gt;0)+(IFERROR(INDEX(Setup!$G$33:$G$40,MATCH(O1490,Setup!$B$33:$B$40,0)),0)=1)*(COUNTIF(O1458:Q1475,$B1490)+COUNTIF(O1458:Q1475,$B1490&amp;" ~*")&gt;0)+(IFERROR(INDEX(Setup!$G$33:$G$40,MATCH(S1490,Setup!$B$33:$B$40,0)),0)=1)*(COUNTIF(S1458:U1475,$B1490)+COUNTIF(S1458:U1475,$B1490&amp;" ~*")&gt;0)+(IFERROR(INDEX(Setup!$G$33:$G$40,MATCH(W1490,Setup!$B$33:$B$40,0)),0)=1)*(COUNTIF(W1458:W1475,$B1490)+COUNTIF(W1458:W1475,$B1490&amp;" ~*")&gt;0)+(IFERROR(INDEX(Setup!$G$33:$G$40,MATCH(Y1490,Setup!$B$33:$B$40,0)),0)=1)*(COUNTIF(Y1458:Y1475,$B1490)+COUNTIF(Y1458:Y1475,$B1490&amp;" ~*")&gt;0))</f>
        <v/>
      </c>
    </row>
    <row r="1491" ht="15" customHeight="1">
      <c r="A1491" t="n">
        <v>30</v>
      </c>
      <c r="B1491" s="35">
        <f>IF(Setup!$B$20="","",Setup!$B$20)</f>
        <v/>
      </c>
      <c r="C1491" s="98" t="n"/>
      <c r="D1491" s="99" t="n"/>
      <c r="E1491" s="99" t="n"/>
      <c r="F1491" s="100" t="n"/>
      <c r="G1491" s="98" t="n"/>
      <c r="H1491" s="99" t="n"/>
      <c r="I1491" s="99" t="n"/>
      <c r="J1491" s="100" t="n"/>
      <c r="K1491" s="98" t="n"/>
      <c r="L1491" s="99" t="n"/>
      <c r="M1491" s="99" t="n"/>
      <c r="N1491" s="100" t="n"/>
      <c r="O1491" s="98" t="n"/>
      <c r="P1491" s="99" t="n"/>
      <c r="Q1491" s="99" t="n"/>
      <c r="R1491" s="100" t="n"/>
      <c r="S1491" s="98" t="n"/>
      <c r="T1491" s="99" t="n"/>
      <c r="U1491" s="99" t="n"/>
      <c r="V1491" s="100" t="n"/>
      <c r="W1491" s="98" t="n"/>
      <c r="X1491" s="100" t="n"/>
      <c r="Y1491" s="98" t="n"/>
      <c r="Z1491" s="100" t="n"/>
      <c r="AB1491" s="101">
        <f>IF($B1491="","",(COUNTIF(C1458:E1475,$B1491)+COUNTIF(C1458:E1475,$B1491&amp;" ~*")&gt;0)+(COUNTIF(G1458:I1475,$B1491)+COUNTIF(G1458:I1475,$B1491&amp;" ~*")&gt;0)+(COUNTIF(K1458:M1475,$B1491)+COUNTIF(K1458:M1475,$B1491&amp;" ~*")&gt;0)+(COUNTIF(O1458:Q1475,$B1491)+COUNTIF(O1458:Q1475,$B1491&amp;" ~*")&gt;0)+(COUNTIF(S1458:U1475,$B1491)+COUNTIF(S1458:U1475,$B1491&amp;" ~*")&gt;0)+(COUNTIF(W1458:W1475,$B1491)+COUNTIF(W1458:W1475,$B1491&amp;" ~*")&gt;0)+(COUNTIF(Y1458:Y1475,$B1491)+COUNTIF(Y1458:Y1475,$B1491&amp;" ~*")&gt;0))</f>
        <v/>
      </c>
      <c r="AC1491" s="36">
        <f>IF($B1491="","",(IFERROR(INDEX(Setup!$G$33:$G$40,MATCH(C1491,Setup!$B$33:$B$40,0)),0)=1)*(COUNTIF(C1458:E1475,$B1491)+COUNTIF(C1458:E1475,$B1491&amp;" ~*")&gt;0)+(IFERROR(INDEX(Setup!$G$33:$G$40,MATCH(G1491,Setup!$B$33:$B$40,0)),0)=1)*(COUNTIF(G1458:I1475,$B1491)+COUNTIF(G1458:I1475,$B1491&amp;" ~*")&gt;0)+(IFERROR(INDEX(Setup!$G$33:$G$40,MATCH(K1491,Setup!$B$33:$B$40,0)),0)=1)*(COUNTIF(K1458:M1475,$B1491)+COUNTIF(K1458:M1475,$B1491&amp;" ~*")&gt;0)+(IFERROR(INDEX(Setup!$G$33:$G$40,MATCH(O1491,Setup!$B$33:$B$40,0)),0)=1)*(COUNTIF(O1458:Q1475,$B1491)+COUNTIF(O1458:Q1475,$B1491&amp;" ~*")&gt;0)+(IFERROR(INDEX(Setup!$G$33:$G$40,MATCH(S1491,Setup!$B$33:$B$40,0)),0)=1)*(COUNTIF(S1458:U1475,$B1491)+COUNTIF(S1458:U1475,$B1491&amp;" ~*")&gt;0)+(IFERROR(INDEX(Setup!$G$33:$G$40,MATCH(W1491,Setup!$B$33:$B$40,0)),0)=1)*(COUNTIF(W1458:W1475,$B1491)+COUNTIF(W1458:W1475,$B1491&amp;" ~*")&gt;0)+(IFERROR(INDEX(Setup!$G$33:$G$40,MATCH(Y1491,Setup!$B$33:$B$40,0)),0)=1)*(COUNTIF(Y1458:Y1475,$B1491)+COUNTIF(Y1458:Y1475,$B1491&amp;" ~*")&gt;0))</f>
        <v/>
      </c>
    </row>
    <row r="1492" ht="15" customHeight="1">
      <c r="A1492" t="n">
        <v>30</v>
      </c>
      <c r="B1492" s="37">
        <f>IF(Setup!$B$21="","",Setup!$B$21)</f>
        <v/>
      </c>
      <c r="C1492" s="102" t="n"/>
      <c r="D1492" s="103" t="n"/>
      <c r="E1492" s="103" t="n"/>
      <c r="F1492" s="104" t="n"/>
      <c r="G1492" s="102" t="n"/>
      <c r="H1492" s="103" t="n"/>
      <c r="I1492" s="103" t="n"/>
      <c r="J1492" s="104" t="n"/>
      <c r="K1492" s="102" t="n"/>
      <c r="L1492" s="103" t="n"/>
      <c r="M1492" s="103" t="n"/>
      <c r="N1492" s="104" t="n"/>
      <c r="O1492" s="102" t="n"/>
      <c r="P1492" s="103" t="n"/>
      <c r="Q1492" s="103" t="n"/>
      <c r="R1492" s="104" t="n"/>
      <c r="S1492" s="102" t="n"/>
      <c r="T1492" s="103" t="n"/>
      <c r="U1492" s="103" t="n"/>
      <c r="V1492" s="104" t="n"/>
      <c r="W1492" s="102" t="n"/>
      <c r="X1492" s="104" t="n"/>
      <c r="Y1492" s="102" t="n"/>
      <c r="Z1492" s="104" t="n"/>
      <c r="AB1492" s="105">
        <f>IF($B1492="","",(COUNTIF(C1458:E1475,$B1492)+COUNTIF(C1458:E1475,$B1492&amp;" ~*")&gt;0)+(COUNTIF(G1458:I1475,$B1492)+COUNTIF(G1458:I1475,$B1492&amp;" ~*")&gt;0)+(COUNTIF(K1458:M1475,$B1492)+COUNTIF(K1458:M1475,$B1492&amp;" ~*")&gt;0)+(COUNTIF(O1458:Q1475,$B1492)+COUNTIF(O1458:Q1475,$B1492&amp;" ~*")&gt;0)+(COUNTIF(S1458:U1475,$B1492)+COUNTIF(S1458:U1475,$B1492&amp;" ~*")&gt;0)+(COUNTIF(W1458:W1475,$B1492)+COUNTIF(W1458:W1475,$B1492&amp;" ~*")&gt;0)+(COUNTIF(Y1458:Y1475,$B1492)+COUNTIF(Y1458:Y1475,$B1492&amp;" ~*")&gt;0))</f>
        <v/>
      </c>
      <c r="AC1492" s="38">
        <f>IF($B1492="","",(IFERROR(INDEX(Setup!$G$33:$G$40,MATCH(C1492,Setup!$B$33:$B$40,0)),0)=1)*(COUNTIF(C1458:E1475,$B1492)+COUNTIF(C1458:E1475,$B1492&amp;" ~*")&gt;0)+(IFERROR(INDEX(Setup!$G$33:$G$40,MATCH(G1492,Setup!$B$33:$B$40,0)),0)=1)*(COUNTIF(G1458:I1475,$B1492)+COUNTIF(G1458:I1475,$B1492&amp;" ~*")&gt;0)+(IFERROR(INDEX(Setup!$G$33:$G$40,MATCH(K1492,Setup!$B$33:$B$40,0)),0)=1)*(COUNTIF(K1458:M1475,$B1492)+COUNTIF(K1458:M1475,$B1492&amp;" ~*")&gt;0)+(IFERROR(INDEX(Setup!$G$33:$G$40,MATCH(O1492,Setup!$B$33:$B$40,0)),0)=1)*(COUNTIF(O1458:Q1475,$B1492)+COUNTIF(O1458:Q1475,$B1492&amp;" ~*")&gt;0)+(IFERROR(INDEX(Setup!$G$33:$G$40,MATCH(S1492,Setup!$B$33:$B$40,0)),0)=1)*(COUNTIF(S1458:U1475,$B1492)+COUNTIF(S1458:U1475,$B1492&amp;" ~*")&gt;0)+(IFERROR(INDEX(Setup!$G$33:$G$40,MATCH(W1492,Setup!$B$33:$B$40,0)),0)=1)*(COUNTIF(W1458:W1475,$B1492)+COUNTIF(W1458:W1475,$B1492&amp;" ~*")&gt;0)+(IFERROR(INDEX(Setup!$G$33:$G$40,MATCH(Y1492,Setup!$B$33:$B$40,0)),0)=1)*(COUNTIF(Y1458:Y1475,$B1492)+COUNTIF(Y1458:Y1475,$B1492&amp;" ~*")&gt;0))</f>
        <v/>
      </c>
    </row>
    <row r="1493" ht="15" customHeight="1">
      <c r="A1493" t="n">
        <v>30</v>
      </c>
      <c r="B1493" s="35">
        <f>IF(Setup!$B$22="","",Setup!$B$22)</f>
        <v/>
      </c>
      <c r="C1493" s="98" t="n"/>
      <c r="D1493" s="99" t="n"/>
      <c r="E1493" s="99" t="n"/>
      <c r="F1493" s="100" t="n"/>
      <c r="G1493" s="98" t="n"/>
      <c r="H1493" s="99" t="n"/>
      <c r="I1493" s="99" t="n"/>
      <c r="J1493" s="100" t="n"/>
      <c r="K1493" s="98" t="n"/>
      <c r="L1493" s="99" t="n"/>
      <c r="M1493" s="99" t="n"/>
      <c r="N1493" s="100" t="n"/>
      <c r="O1493" s="98" t="n"/>
      <c r="P1493" s="99" t="n"/>
      <c r="Q1493" s="99" t="n"/>
      <c r="R1493" s="100" t="n"/>
      <c r="S1493" s="98" t="n"/>
      <c r="T1493" s="99" t="n"/>
      <c r="U1493" s="99" t="n"/>
      <c r="V1493" s="100" t="n"/>
      <c r="W1493" s="98" t="n"/>
      <c r="X1493" s="100" t="n"/>
      <c r="Y1493" s="98" t="n"/>
      <c r="Z1493" s="100" t="n"/>
      <c r="AB1493" s="101">
        <f>IF($B1493="","",(COUNTIF(C1458:E1475,$B1493)+COUNTIF(C1458:E1475,$B1493&amp;" ~*")&gt;0)+(COUNTIF(G1458:I1475,$B1493)+COUNTIF(G1458:I1475,$B1493&amp;" ~*")&gt;0)+(COUNTIF(K1458:M1475,$B1493)+COUNTIF(K1458:M1475,$B1493&amp;" ~*")&gt;0)+(COUNTIF(O1458:Q1475,$B1493)+COUNTIF(O1458:Q1475,$B1493&amp;" ~*")&gt;0)+(COUNTIF(S1458:U1475,$B1493)+COUNTIF(S1458:U1475,$B1493&amp;" ~*")&gt;0)+(COUNTIF(W1458:W1475,$B1493)+COUNTIF(W1458:W1475,$B1493&amp;" ~*")&gt;0)+(COUNTIF(Y1458:Y1475,$B1493)+COUNTIF(Y1458:Y1475,$B1493&amp;" ~*")&gt;0))</f>
        <v/>
      </c>
      <c r="AC1493" s="36">
        <f>IF($B1493="","",(IFERROR(INDEX(Setup!$G$33:$G$40,MATCH(C1493,Setup!$B$33:$B$40,0)),0)=1)*(COUNTIF(C1458:E1475,$B1493)+COUNTIF(C1458:E1475,$B1493&amp;" ~*")&gt;0)+(IFERROR(INDEX(Setup!$G$33:$G$40,MATCH(G1493,Setup!$B$33:$B$40,0)),0)=1)*(COUNTIF(G1458:I1475,$B1493)+COUNTIF(G1458:I1475,$B1493&amp;" ~*")&gt;0)+(IFERROR(INDEX(Setup!$G$33:$G$40,MATCH(K1493,Setup!$B$33:$B$40,0)),0)=1)*(COUNTIF(K1458:M1475,$B1493)+COUNTIF(K1458:M1475,$B1493&amp;" ~*")&gt;0)+(IFERROR(INDEX(Setup!$G$33:$G$40,MATCH(O1493,Setup!$B$33:$B$40,0)),0)=1)*(COUNTIF(O1458:Q1475,$B1493)+COUNTIF(O1458:Q1475,$B1493&amp;" ~*")&gt;0)+(IFERROR(INDEX(Setup!$G$33:$G$40,MATCH(S1493,Setup!$B$33:$B$40,0)),0)=1)*(COUNTIF(S1458:U1475,$B1493)+COUNTIF(S1458:U1475,$B1493&amp;" ~*")&gt;0)+(IFERROR(INDEX(Setup!$G$33:$G$40,MATCH(W1493,Setup!$B$33:$B$40,0)),0)=1)*(COUNTIF(W1458:W1475,$B1493)+COUNTIF(W1458:W1475,$B1493&amp;" ~*")&gt;0)+(IFERROR(INDEX(Setup!$G$33:$G$40,MATCH(Y1493,Setup!$B$33:$B$40,0)),0)=1)*(COUNTIF(Y1458:Y1475,$B1493)+COUNTIF(Y1458:Y1475,$B1493&amp;" ~*")&gt;0))</f>
        <v/>
      </c>
    </row>
    <row r="1494" ht="15" customHeight="1">
      <c r="A1494" t="n">
        <v>30</v>
      </c>
      <c r="B1494" s="37">
        <f>IF(Setup!$B$23="","",Setup!$B$23)</f>
        <v/>
      </c>
      <c r="C1494" s="102" t="n"/>
      <c r="D1494" s="103" t="n"/>
      <c r="E1494" s="103" t="n"/>
      <c r="F1494" s="104" t="n"/>
      <c r="G1494" s="102" t="n"/>
      <c r="H1494" s="103" t="n"/>
      <c r="I1494" s="103" t="n"/>
      <c r="J1494" s="104" t="n"/>
      <c r="K1494" s="102" t="n"/>
      <c r="L1494" s="103" t="n"/>
      <c r="M1494" s="103" t="n"/>
      <c r="N1494" s="104" t="n"/>
      <c r="O1494" s="102" t="n"/>
      <c r="P1494" s="103" t="n"/>
      <c r="Q1494" s="103" t="n"/>
      <c r="R1494" s="104" t="n"/>
      <c r="S1494" s="102" t="n"/>
      <c r="T1494" s="103" t="n"/>
      <c r="U1494" s="103" t="n"/>
      <c r="V1494" s="104" t="n"/>
      <c r="W1494" s="102" t="n"/>
      <c r="X1494" s="104" t="n"/>
      <c r="Y1494" s="102" t="n"/>
      <c r="Z1494" s="104" t="n"/>
      <c r="AB1494" s="105">
        <f>IF($B1494="","",(COUNTIF(C1458:E1475,$B1494)+COUNTIF(C1458:E1475,$B1494&amp;" ~*")&gt;0)+(COUNTIF(G1458:I1475,$B1494)+COUNTIF(G1458:I1475,$B1494&amp;" ~*")&gt;0)+(COUNTIF(K1458:M1475,$B1494)+COUNTIF(K1458:M1475,$B1494&amp;" ~*")&gt;0)+(COUNTIF(O1458:Q1475,$B1494)+COUNTIF(O1458:Q1475,$B1494&amp;" ~*")&gt;0)+(COUNTIF(S1458:U1475,$B1494)+COUNTIF(S1458:U1475,$B1494&amp;" ~*")&gt;0)+(COUNTIF(W1458:W1475,$B1494)+COUNTIF(W1458:W1475,$B1494&amp;" ~*")&gt;0)+(COUNTIF(Y1458:Y1475,$B1494)+COUNTIF(Y1458:Y1475,$B1494&amp;" ~*")&gt;0))</f>
        <v/>
      </c>
      <c r="AC1494" s="38">
        <f>IF($B1494="","",(IFERROR(INDEX(Setup!$G$33:$G$40,MATCH(C1494,Setup!$B$33:$B$40,0)),0)=1)*(COUNTIF(C1458:E1475,$B1494)+COUNTIF(C1458:E1475,$B1494&amp;" ~*")&gt;0)+(IFERROR(INDEX(Setup!$G$33:$G$40,MATCH(G1494,Setup!$B$33:$B$40,0)),0)=1)*(COUNTIF(G1458:I1475,$B1494)+COUNTIF(G1458:I1475,$B1494&amp;" ~*")&gt;0)+(IFERROR(INDEX(Setup!$G$33:$G$40,MATCH(K1494,Setup!$B$33:$B$40,0)),0)=1)*(COUNTIF(K1458:M1475,$B1494)+COUNTIF(K1458:M1475,$B1494&amp;" ~*")&gt;0)+(IFERROR(INDEX(Setup!$G$33:$G$40,MATCH(O1494,Setup!$B$33:$B$40,0)),0)=1)*(COUNTIF(O1458:Q1475,$B1494)+COUNTIF(O1458:Q1475,$B1494&amp;" ~*")&gt;0)+(IFERROR(INDEX(Setup!$G$33:$G$40,MATCH(S1494,Setup!$B$33:$B$40,0)),0)=1)*(COUNTIF(S1458:U1475,$B1494)+COUNTIF(S1458:U1475,$B1494&amp;" ~*")&gt;0)+(IFERROR(INDEX(Setup!$G$33:$G$40,MATCH(W1494,Setup!$B$33:$B$40,0)),0)=1)*(COUNTIF(W1458:W1475,$B1494)+COUNTIF(W1458:W1475,$B1494&amp;" ~*")&gt;0)+(IFERROR(INDEX(Setup!$G$33:$G$40,MATCH(Y1494,Setup!$B$33:$B$40,0)),0)=1)*(COUNTIF(Y1458:Y1475,$B1494)+COUNTIF(Y1458:Y1475,$B1494&amp;" ~*")&gt;0))</f>
        <v/>
      </c>
    </row>
    <row r="1495" ht="15" customHeight="1">
      <c r="A1495" t="n">
        <v>30</v>
      </c>
      <c r="B1495" s="35">
        <f>IF(Setup!$B$24="","",Setup!$B$24)</f>
        <v/>
      </c>
      <c r="C1495" s="98" t="n"/>
      <c r="D1495" s="99" t="n"/>
      <c r="E1495" s="99" t="n"/>
      <c r="F1495" s="100" t="n"/>
      <c r="G1495" s="98" t="n"/>
      <c r="H1495" s="99" t="n"/>
      <c r="I1495" s="99" t="n"/>
      <c r="J1495" s="100" t="n"/>
      <c r="K1495" s="98" t="n"/>
      <c r="L1495" s="99" t="n"/>
      <c r="M1495" s="99" t="n"/>
      <c r="N1495" s="100" t="n"/>
      <c r="O1495" s="98" t="n"/>
      <c r="P1495" s="99" t="n"/>
      <c r="Q1495" s="99" t="n"/>
      <c r="R1495" s="100" t="n"/>
      <c r="S1495" s="98" t="n"/>
      <c r="T1495" s="99" t="n"/>
      <c r="U1495" s="99" t="n"/>
      <c r="V1495" s="100" t="n"/>
      <c r="W1495" s="98" t="n"/>
      <c r="X1495" s="100" t="n"/>
      <c r="Y1495" s="98" t="n"/>
      <c r="Z1495" s="100" t="n"/>
      <c r="AB1495" s="101">
        <f>IF($B1495="","",(COUNTIF(C1458:E1475,$B1495)+COUNTIF(C1458:E1475,$B1495&amp;" ~*")&gt;0)+(COUNTIF(G1458:I1475,$B1495)+COUNTIF(G1458:I1475,$B1495&amp;" ~*")&gt;0)+(COUNTIF(K1458:M1475,$B1495)+COUNTIF(K1458:M1475,$B1495&amp;" ~*")&gt;0)+(COUNTIF(O1458:Q1475,$B1495)+COUNTIF(O1458:Q1475,$B1495&amp;" ~*")&gt;0)+(COUNTIF(S1458:U1475,$B1495)+COUNTIF(S1458:U1475,$B1495&amp;" ~*")&gt;0)+(COUNTIF(W1458:W1475,$B1495)+COUNTIF(W1458:W1475,$B1495&amp;" ~*")&gt;0)+(COUNTIF(Y1458:Y1475,$B1495)+COUNTIF(Y1458:Y1475,$B1495&amp;" ~*")&gt;0))</f>
        <v/>
      </c>
      <c r="AC1495" s="36">
        <f>IF($B1495="","",(IFERROR(INDEX(Setup!$G$33:$G$40,MATCH(C1495,Setup!$B$33:$B$40,0)),0)=1)*(COUNTIF(C1458:E1475,$B1495)+COUNTIF(C1458:E1475,$B1495&amp;" ~*")&gt;0)+(IFERROR(INDEX(Setup!$G$33:$G$40,MATCH(G1495,Setup!$B$33:$B$40,0)),0)=1)*(COUNTIF(G1458:I1475,$B1495)+COUNTIF(G1458:I1475,$B1495&amp;" ~*")&gt;0)+(IFERROR(INDEX(Setup!$G$33:$G$40,MATCH(K1495,Setup!$B$33:$B$40,0)),0)=1)*(COUNTIF(K1458:M1475,$B1495)+COUNTIF(K1458:M1475,$B1495&amp;" ~*")&gt;0)+(IFERROR(INDEX(Setup!$G$33:$G$40,MATCH(O1495,Setup!$B$33:$B$40,0)),0)=1)*(COUNTIF(O1458:Q1475,$B1495)+COUNTIF(O1458:Q1475,$B1495&amp;" ~*")&gt;0)+(IFERROR(INDEX(Setup!$G$33:$G$40,MATCH(S1495,Setup!$B$33:$B$40,0)),0)=1)*(COUNTIF(S1458:U1475,$B1495)+COUNTIF(S1458:U1475,$B1495&amp;" ~*")&gt;0)+(IFERROR(INDEX(Setup!$G$33:$G$40,MATCH(W1495,Setup!$B$33:$B$40,0)),0)=1)*(COUNTIF(W1458:W1475,$B1495)+COUNTIF(W1458:W1475,$B1495&amp;" ~*")&gt;0)+(IFERROR(INDEX(Setup!$G$33:$G$40,MATCH(Y1495,Setup!$B$33:$B$40,0)),0)=1)*(COUNTIF(Y1458:Y1475,$B1495)+COUNTIF(Y1458:Y1475,$B1495&amp;" ~*")&gt;0))</f>
        <v/>
      </c>
    </row>
    <row r="1496" ht="15" customHeight="1">
      <c r="A1496" t="n">
        <v>30</v>
      </c>
      <c r="B1496" s="37">
        <f>IF(Setup!$B$25="","",Setup!$B$25)</f>
        <v/>
      </c>
      <c r="C1496" s="102" t="n"/>
      <c r="D1496" s="103" t="n"/>
      <c r="E1496" s="103" t="n"/>
      <c r="F1496" s="104" t="n"/>
      <c r="G1496" s="102" t="n"/>
      <c r="H1496" s="103" t="n"/>
      <c r="I1496" s="103" t="n"/>
      <c r="J1496" s="104" t="n"/>
      <c r="K1496" s="102" t="n"/>
      <c r="L1496" s="103" t="n"/>
      <c r="M1496" s="103" t="n"/>
      <c r="N1496" s="104" t="n"/>
      <c r="O1496" s="102" t="n"/>
      <c r="P1496" s="103" t="n"/>
      <c r="Q1496" s="103" t="n"/>
      <c r="R1496" s="104" t="n"/>
      <c r="S1496" s="102" t="n"/>
      <c r="T1496" s="103" t="n"/>
      <c r="U1496" s="103" t="n"/>
      <c r="V1496" s="104" t="n"/>
      <c r="W1496" s="102" t="n"/>
      <c r="X1496" s="104" t="n"/>
      <c r="Y1496" s="102" t="n"/>
      <c r="Z1496" s="104" t="n"/>
      <c r="AB1496" s="105">
        <f>IF($B1496="","",(COUNTIF(C1458:E1475,$B1496)+COUNTIF(C1458:E1475,$B1496&amp;" ~*")&gt;0)+(COUNTIF(G1458:I1475,$B1496)+COUNTIF(G1458:I1475,$B1496&amp;" ~*")&gt;0)+(COUNTIF(K1458:M1475,$B1496)+COUNTIF(K1458:M1475,$B1496&amp;" ~*")&gt;0)+(COUNTIF(O1458:Q1475,$B1496)+COUNTIF(O1458:Q1475,$B1496&amp;" ~*")&gt;0)+(COUNTIF(S1458:U1475,$B1496)+COUNTIF(S1458:U1475,$B1496&amp;" ~*")&gt;0)+(COUNTIF(W1458:W1475,$B1496)+COUNTIF(W1458:W1475,$B1496&amp;" ~*")&gt;0)+(COUNTIF(Y1458:Y1475,$B1496)+COUNTIF(Y1458:Y1475,$B1496&amp;" ~*")&gt;0))</f>
        <v/>
      </c>
      <c r="AC1496" s="38">
        <f>IF($B1496="","",(IFERROR(INDEX(Setup!$G$33:$G$40,MATCH(C1496,Setup!$B$33:$B$40,0)),0)=1)*(COUNTIF(C1458:E1475,$B1496)+COUNTIF(C1458:E1475,$B1496&amp;" ~*")&gt;0)+(IFERROR(INDEX(Setup!$G$33:$G$40,MATCH(G1496,Setup!$B$33:$B$40,0)),0)=1)*(COUNTIF(G1458:I1475,$B1496)+COUNTIF(G1458:I1475,$B1496&amp;" ~*")&gt;0)+(IFERROR(INDEX(Setup!$G$33:$G$40,MATCH(K1496,Setup!$B$33:$B$40,0)),0)=1)*(COUNTIF(K1458:M1475,$B1496)+COUNTIF(K1458:M1475,$B1496&amp;" ~*")&gt;0)+(IFERROR(INDEX(Setup!$G$33:$G$40,MATCH(O1496,Setup!$B$33:$B$40,0)),0)=1)*(COUNTIF(O1458:Q1475,$B1496)+COUNTIF(O1458:Q1475,$B1496&amp;" ~*")&gt;0)+(IFERROR(INDEX(Setup!$G$33:$G$40,MATCH(S1496,Setup!$B$33:$B$40,0)),0)=1)*(COUNTIF(S1458:U1475,$B1496)+COUNTIF(S1458:U1475,$B1496&amp;" ~*")&gt;0)+(IFERROR(INDEX(Setup!$G$33:$G$40,MATCH(W1496,Setup!$B$33:$B$40,0)),0)=1)*(COUNTIF(W1458:W1475,$B1496)+COUNTIF(W1458:W1475,$B1496&amp;" ~*")&gt;0)+(IFERROR(INDEX(Setup!$G$33:$G$40,MATCH(Y1496,Setup!$B$33:$B$40,0)),0)=1)*(COUNTIF(Y1458:Y1475,$B1496)+COUNTIF(Y1458:Y1475,$B1496&amp;" ~*")&gt;0))</f>
        <v/>
      </c>
    </row>
    <row r="1497" ht="15" customHeight="1">
      <c r="A1497" t="n">
        <v>30</v>
      </c>
      <c r="B1497" s="35">
        <f>IF(Setup!$B$26="","",Setup!$B$26)</f>
        <v/>
      </c>
      <c r="C1497" s="98" t="n"/>
      <c r="D1497" s="99" t="n"/>
      <c r="E1497" s="99" t="n"/>
      <c r="F1497" s="100" t="n"/>
      <c r="G1497" s="98" t="n"/>
      <c r="H1497" s="99" t="n"/>
      <c r="I1497" s="99" t="n"/>
      <c r="J1497" s="100" t="n"/>
      <c r="K1497" s="98" t="n"/>
      <c r="L1497" s="99" t="n"/>
      <c r="M1497" s="99" t="n"/>
      <c r="N1497" s="100" t="n"/>
      <c r="O1497" s="98" t="n"/>
      <c r="P1497" s="99" t="n"/>
      <c r="Q1497" s="99" t="n"/>
      <c r="R1497" s="100" t="n"/>
      <c r="S1497" s="98" t="n"/>
      <c r="T1497" s="99" t="n"/>
      <c r="U1497" s="99" t="n"/>
      <c r="V1497" s="100" t="n"/>
      <c r="W1497" s="98" t="n"/>
      <c r="X1497" s="100" t="n"/>
      <c r="Y1497" s="98" t="n"/>
      <c r="Z1497" s="100" t="n"/>
      <c r="AB1497" s="101">
        <f>IF($B1497="","",(COUNTIF(C1458:E1475,$B1497)+COUNTIF(C1458:E1475,$B1497&amp;" ~*")&gt;0)+(COUNTIF(G1458:I1475,$B1497)+COUNTIF(G1458:I1475,$B1497&amp;" ~*")&gt;0)+(COUNTIF(K1458:M1475,$B1497)+COUNTIF(K1458:M1475,$B1497&amp;" ~*")&gt;0)+(COUNTIF(O1458:Q1475,$B1497)+COUNTIF(O1458:Q1475,$B1497&amp;" ~*")&gt;0)+(COUNTIF(S1458:U1475,$B1497)+COUNTIF(S1458:U1475,$B1497&amp;" ~*")&gt;0)+(COUNTIF(W1458:W1475,$B1497)+COUNTIF(W1458:W1475,$B1497&amp;" ~*")&gt;0)+(COUNTIF(Y1458:Y1475,$B1497)+COUNTIF(Y1458:Y1475,$B1497&amp;" ~*")&gt;0))</f>
        <v/>
      </c>
      <c r="AC1497" s="36">
        <f>IF($B1497="","",(IFERROR(INDEX(Setup!$G$33:$G$40,MATCH(C1497,Setup!$B$33:$B$40,0)),0)=1)*(COUNTIF(C1458:E1475,$B1497)+COUNTIF(C1458:E1475,$B1497&amp;" ~*")&gt;0)+(IFERROR(INDEX(Setup!$G$33:$G$40,MATCH(G1497,Setup!$B$33:$B$40,0)),0)=1)*(COUNTIF(G1458:I1475,$B1497)+COUNTIF(G1458:I1475,$B1497&amp;" ~*")&gt;0)+(IFERROR(INDEX(Setup!$G$33:$G$40,MATCH(K1497,Setup!$B$33:$B$40,0)),0)=1)*(COUNTIF(K1458:M1475,$B1497)+COUNTIF(K1458:M1475,$B1497&amp;" ~*")&gt;0)+(IFERROR(INDEX(Setup!$G$33:$G$40,MATCH(O1497,Setup!$B$33:$B$40,0)),0)=1)*(COUNTIF(O1458:Q1475,$B1497)+COUNTIF(O1458:Q1475,$B1497&amp;" ~*")&gt;0)+(IFERROR(INDEX(Setup!$G$33:$G$40,MATCH(S1497,Setup!$B$33:$B$40,0)),0)=1)*(COUNTIF(S1458:U1475,$B1497)+COUNTIF(S1458:U1475,$B1497&amp;" ~*")&gt;0)+(IFERROR(INDEX(Setup!$G$33:$G$40,MATCH(W1497,Setup!$B$33:$B$40,0)),0)=1)*(COUNTIF(W1458:W1475,$B1497)+COUNTIF(W1458:W1475,$B1497&amp;" ~*")&gt;0)+(IFERROR(INDEX(Setup!$G$33:$G$40,MATCH(Y1497,Setup!$B$33:$B$40,0)),0)=1)*(COUNTIF(Y1458:Y1475,$B1497)+COUNTIF(Y1458:Y1475,$B1497&amp;" ~*")&gt;0))</f>
        <v/>
      </c>
    </row>
    <row r="1498" ht="15" customHeight="1">
      <c r="A1498" t="n">
        <v>30</v>
      </c>
      <c r="B1498" s="37">
        <f>IF(Setup!$B$27="","",Setup!$B$27)</f>
        <v/>
      </c>
      <c r="C1498" s="102" t="n"/>
      <c r="D1498" s="103" t="n"/>
      <c r="E1498" s="103" t="n"/>
      <c r="F1498" s="104" t="n"/>
      <c r="G1498" s="102" t="n"/>
      <c r="H1498" s="103" t="n"/>
      <c r="I1498" s="103" t="n"/>
      <c r="J1498" s="104" t="n"/>
      <c r="K1498" s="102" t="n"/>
      <c r="L1498" s="103" t="n"/>
      <c r="M1498" s="103" t="n"/>
      <c r="N1498" s="104" t="n"/>
      <c r="O1498" s="102" t="n"/>
      <c r="P1498" s="103" t="n"/>
      <c r="Q1498" s="103" t="n"/>
      <c r="R1498" s="104" t="n"/>
      <c r="S1498" s="102" t="n"/>
      <c r="T1498" s="103" t="n"/>
      <c r="U1498" s="103" t="n"/>
      <c r="V1498" s="104" t="n"/>
      <c r="W1498" s="102" t="n"/>
      <c r="X1498" s="104" t="n"/>
      <c r="Y1498" s="102" t="n"/>
      <c r="Z1498" s="104" t="n"/>
      <c r="AB1498" s="105">
        <f>IF($B1498="","",(COUNTIF(C1458:E1475,$B1498)+COUNTIF(C1458:E1475,$B1498&amp;" ~*")&gt;0)+(COUNTIF(G1458:I1475,$B1498)+COUNTIF(G1458:I1475,$B1498&amp;" ~*")&gt;0)+(COUNTIF(K1458:M1475,$B1498)+COUNTIF(K1458:M1475,$B1498&amp;" ~*")&gt;0)+(COUNTIF(O1458:Q1475,$B1498)+COUNTIF(O1458:Q1475,$B1498&amp;" ~*")&gt;0)+(COUNTIF(S1458:U1475,$B1498)+COUNTIF(S1458:U1475,$B1498&amp;" ~*")&gt;0)+(COUNTIF(W1458:W1475,$B1498)+COUNTIF(W1458:W1475,$B1498&amp;" ~*")&gt;0)+(COUNTIF(Y1458:Y1475,$B1498)+COUNTIF(Y1458:Y1475,$B1498&amp;" ~*")&gt;0))</f>
        <v/>
      </c>
      <c r="AC1498" s="38">
        <f>IF($B1498="","",(IFERROR(INDEX(Setup!$G$33:$G$40,MATCH(C1498,Setup!$B$33:$B$40,0)),0)=1)*(COUNTIF(C1458:E1475,$B1498)+COUNTIF(C1458:E1475,$B1498&amp;" ~*")&gt;0)+(IFERROR(INDEX(Setup!$G$33:$G$40,MATCH(G1498,Setup!$B$33:$B$40,0)),0)=1)*(COUNTIF(G1458:I1475,$B1498)+COUNTIF(G1458:I1475,$B1498&amp;" ~*")&gt;0)+(IFERROR(INDEX(Setup!$G$33:$G$40,MATCH(K1498,Setup!$B$33:$B$40,0)),0)=1)*(COUNTIF(K1458:M1475,$B1498)+COUNTIF(K1458:M1475,$B1498&amp;" ~*")&gt;0)+(IFERROR(INDEX(Setup!$G$33:$G$40,MATCH(O1498,Setup!$B$33:$B$40,0)),0)=1)*(COUNTIF(O1458:Q1475,$B1498)+COUNTIF(O1458:Q1475,$B1498&amp;" ~*")&gt;0)+(IFERROR(INDEX(Setup!$G$33:$G$40,MATCH(S1498,Setup!$B$33:$B$40,0)),0)=1)*(COUNTIF(S1458:U1475,$B1498)+COUNTIF(S1458:U1475,$B1498&amp;" ~*")&gt;0)+(IFERROR(INDEX(Setup!$G$33:$G$40,MATCH(W1498,Setup!$B$33:$B$40,0)),0)=1)*(COUNTIF(W1458:W1475,$B1498)+COUNTIF(W1458:W1475,$B1498&amp;" ~*")&gt;0)+(IFERROR(INDEX(Setup!$G$33:$G$40,MATCH(Y1498,Setup!$B$33:$B$40,0)),0)=1)*(COUNTIF(Y1458:Y1475,$B1498)+COUNTIF(Y1458:Y1475,$B1498&amp;" ~*")&gt;0))</f>
        <v/>
      </c>
    </row>
    <row r="1499" ht="15" customHeight="1">
      <c r="A1499" t="n">
        <v>30</v>
      </c>
      <c r="B1499" s="35">
        <f>IF(Setup!$B$28="","",Setup!$B$28)</f>
        <v/>
      </c>
      <c r="C1499" s="98" t="n"/>
      <c r="D1499" s="99" t="n"/>
      <c r="E1499" s="99" t="n"/>
      <c r="F1499" s="100" t="n"/>
      <c r="G1499" s="98" t="n"/>
      <c r="H1499" s="99" t="n"/>
      <c r="I1499" s="99" t="n"/>
      <c r="J1499" s="100" t="n"/>
      <c r="K1499" s="98" t="n"/>
      <c r="L1499" s="99" t="n"/>
      <c r="M1499" s="99" t="n"/>
      <c r="N1499" s="100" t="n"/>
      <c r="O1499" s="98" t="n"/>
      <c r="P1499" s="99" t="n"/>
      <c r="Q1499" s="99" t="n"/>
      <c r="R1499" s="100" t="n"/>
      <c r="S1499" s="98" t="n"/>
      <c r="T1499" s="99" t="n"/>
      <c r="U1499" s="99" t="n"/>
      <c r="V1499" s="100" t="n"/>
      <c r="W1499" s="98" t="n"/>
      <c r="X1499" s="100" t="n"/>
      <c r="Y1499" s="98" t="n"/>
      <c r="Z1499" s="100" t="n"/>
      <c r="AB1499" s="101">
        <f>IF($B1499="","",(COUNTIF(C1458:E1475,$B1499)+COUNTIF(C1458:E1475,$B1499&amp;" ~*")&gt;0)+(COUNTIF(G1458:I1475,$B1499)+COUNTIF(G1458:I1475,$B1499&amp;" ~*")&gt;0)+(COUNTIF(K1458:M1475,$B1499)+COUNTIF(K1458:M1475,$B1499&amp;" ~*")&gt;0)+(COUNTIF(O1458:Q1475,$B1499)+COUNTIF(O1458:Q1475,$B1499&amp;" ~*")&gt;0)+(COUNTIF(S1458:U1475,$B1499)+COUNTIF(S1458:U1475,$B1499&amp;" ~*")&gt;0)+(COUNTIF(W1458:W1475,$B1499)+COUNTIF(W1458:W1475,$B1499&amp;" ~*")&gt;0)+(COUNTIF(Y1458:Y1475,$B1499)+COUNTIF(Y1458:Y1475,$B1499&amp;" ~*")&gt;0))</f>
        <v/>
      </c>
      <c r="AC1499" s="36">
        <f>IF($B1499="","",(IFERROR(INDEX(Setup!$G$33:$G$40,MATCH(C1499,Setup!$B$33:$B$40,0)),0)=1)*(COUNTIF(C1458:E1475,$B1499)+COUNTIF(C1458:E1475,$B1499&amp;" ~*")&gt;0)+(IFERROR(INDEX(Setup!$G$33:$G$40,MATCH(G1499,Setup!$B$33:$B$40,0)),0)=1)*(COUNTIF(G1458:I1475,$B1499)+COUNTIF(G1458:I1475,$B1499&amp;" ~*")&gt;0)+(IFERROR(INDEX(Setup!$G$33:$G$40,MATCH(K1499,Setup!$B$33:$B$40,0)),0)=1)*(COUNTIF(K1458:M1475,$B1499)+COUNTIF(K1458:M1475,$B1499&amp;" ~*")&gt;0)+(IFERROR(INDEX(Setup!$G$33:$G$40,MATCH(O1499,Setup!$B$33:$B$40,0)),0)=1)*(COUNTIF(O1458:Q1475,$B1499)+COUNTIF(O1458:Q1475,$B1499&amp;" ~*")&gt;0)+(IFERROR(INDEX(Setup!$G$33:$G$40,MATCH(S1499,Setup!$B$33:$B$40,0)),0)=1)*(COUNTIF(S1458:U1475,$B1499)+COUNTIF(S1458:U1475,$B1499&amp;" ~*")&gt;0)+(IFERROR(INDEX(Setup!$G$33:$G$40,MATCH(W1499,Setup!$B$33:$B$40,0)),0)=1)*(COUNTIF(W1458:W1475,$B1499)+COUNTIF(W1458:W1475,$B1499&amp;" ~*")&gt;0)+(IFERROR(INDEX(Setup!$G$33:$G$40,MATCH(Y1499,Setup!$B$33:$B$40,0)),0)=1)*(COUNTIF(Y1458:Y1475,$B1499)+COUNTIF(Y1458:Y1475,$B1499&amp;" ~*")&gt;0))</f>
        <v/>
      </c>
    </row>
    <row r="1500" ht="15" customHeight="1">
      <c r="A1500" t="n">
        <v>30</v>
      </c>
      <c r="B1500" s="37">
        <f>IF(Setup!$B$29="","",Setup!$B$29)</f>
        <v/>
      </c>
      <c r="C1500" s="102" t="n"/>
      <c r="D1500" s="103" t="n"/>
      <c r="E1500" s="103" t="n"/>
      <c r="F1500" s="104" t="n"/>
      <c r="G1500" s="102" t="n"/>
      <c r="H1500" s="103" t="n"/>
      <c r="I1500" s="103" t="n"/>
      <c r="J1500" s="104" t="n"/>
      <c r="K1500" s="102" t="n"/>
      <c r="L1500" s="103" t="n"/>
      <c r="M1500" s="103" t="n"/>
      <c r="N1500" s="104" t="n"/>
      <c r="O1500" s="102" t="n"/>
      <c r="P1500" s="103" t="n"/>
      <c r="Q1500" s="103" t="n"/>
      <c r="R1500" s="104" t="n"/>
      <c r="S1500" s="102" t="n"/>
      <c r="T1500" s="103" t="n"/>
      <c r="U1500" s="103" t="n"/>
      <c r="V1500" s="104" t="n"/>
      <c r="W1500" s="102" t="n"/>
      <c r="X1500" s="104" t="n"/>
      <c r="Y1500" s="102" t="n"/>
      <c r="Z1500" s="104" t="n"/>
      <c r="AB1500" s="105">
        <f>IF($B1500="","",(COUNTIF(C1458:E1475,$B1500)+COUNTIF(C1458:E1475,$B1500&amp;" ~*")&gt;0)+(COUNTIF(G1458:I1475,$B1500)+COUNTIF(G1458:I1475,$B1500&amp;" ~*")&gt;0)+(COUNTIF(K1458:M1475,$B1500)+COUNTIF(K1458:M1475,$B1500&amp;" ~*")&gt;0)+(COUNTIF(O1458:Q1475,$B1500)+COUNTIF(O1458:Q1475,$B1500&amp;" ~*")&gt;0)+(COUNTIF(S1458:U1475,$B1500)+COUNTIF(S1458:U1475,$B1500&amp;" ~*")&gt;0)+(COUNTIF(W1458:W1475,$B1500)+COUNTIF(W1458:W1475,$B1500&amp;" ~*")&gt;0)+(COUNTIF(Y1458:Y1475,$B1500)+COUNTIF(Y1458:Y1475,$B1500&amp;" ~*")&gt;0))</f>
        <v/>
      </c>
      <c r="AC1500" s="38">
        <f>IF($B1500="","",(IFERROR(INDEX(Setup!$G$33:$G$40,MATCH(C1500,Setup!$B$33:$B$40,0)),0)=1)*(COUNTIF(C1458:E1475,$B1500)+COUNTIF(C1458:E1475,$B1500&amp;" ~*")&gt;0)+(IFERROR(INDEX(Setup!$G$33:$G$40,MATCH(G1500,Setup!$B$33:$B$40,0)),0)=1)*(COUNTIF(G1458:I1475,$B1500)+COUNTIF(G1458:I1475,$B1500&amp;" ~*")&gt;0)+(IFERROR(INDEX(Setup!$G$33:$G$40,MATCH(K1500,Setup!$B$33:$B$40,0)),0)=1)*(COUNTIF(K1458:M1475,$B1500)+COUNTIF(K1458:M1475,$B1500&amp;" ~*")&gt;0)+(IFERROR(INDEX(Setup!$G$33:$G$40,MATCH(O1500,Setup!$B$33:$B$40,0)),0)=1)*(COUNTIF(O1458:Q1475,$B1500)+COUNTIF(O1458:Q1475,$B1500&amp;" ~*")&gt;0)+(IFERROR(INDEX(Setup!$G$33:$G$40,MATCH(S1500,Setup!$B$33:$B$40,0)),0)=1)*(COUNTIF(S1458:U1475,$B1500)+COUNTIF(S1458:U1475,$B1500&amp;" ~*")&gt;0)+(IFERROR(INDEX(Setup!$G$33:$G$40,MATCH(W1500,Setup!$B$33:$B$40,0)),0)=1)*(COUNTIF(W1458:W1475,$B1500)+COUNTIF(W1458:W1475,$B1500&amp;" ~*")&gt;0)+(IFERROR(INDEX(Setup!$G$33:$G$40,MATCH(Y1500,Setup!$B$33:$B$40,0)),0)=1)*(COUNTIF(Y1458:Y1475,$B1500)+COUNTIF(Y1458:Y1475,$B1500&amp;" ~*")&gt;0))</f>
        <v/>
      </c>
    </row>
    <row r="1501" ht="16" customHeight="1">
      <c r="A1501" t="n">
        <v>30</v>
      </c>
      <c r="B1501" s="106" t="inlineStr">
        <is>
          <t>Available people</t>
        </is>
      </c>
      <c r="C1501" s="107">
        <f>COUNTIFS(Setup!$E$6:$E$29,"Y",Setup!$B$6:$B$29,"?*")-SUMPRODUCT(COUNTIF(C1477:C1500,Setup!$F$33:$F$40))</f>
        <v/>
      </c>
      <c r="D1501" s="107" t="n"/>
      <c r="E1501" s="107" t="n"/>
      <c r="F1501" s="107" t="n"/>
      <c r="G1501" s="107">
        <f>COUNTIFS(Setup!$E$6:$E$29,"Y",Setup!$B$6:$B$29,"?*")-SUMPRODUCT(COUNTIF(G1477:G1500,Setup!$F$33:$F$40))</f>
        <v/>
      </c>
      <c r="H1501" s="107" t="n"/>
      <c r="I1501" s="107" t="n"/>
      <c r="J1501" s="107" t="n"/>
      <c r="K1501" s="107">
        <f>COUNTIFS(Setup!$E$6:$E$29,"Y",Setup!$B$6:$B$29,"?*")-SUMPRODUCT(COUNTIF(K1477:K1500,Setup!$F$33:$F$40))</f>
        <v/>
      </c>
      <c r="L1501" s="107" t="n"/>
      <c r="M1501" s="107" t="n"/>
      <c r="N1501" s="107" t="n"/>
      <c r="O1501" s="107">
        <f>COUNTIFS(Setup!$E$6:$E$29,"Y",Setup!$B$6:$B$29,"?*")-SUMPRODUCT(COUNTIF(O1477:O1500,Setup!$F$33:$F$40))</f>
        <v/>
      </c>
      <c r="P1501" s="107" t="n"/>
      <c r="Q1501" s="107" t="n"/>
      <c r="R1501" s="107" t="n"/>
      <c r="S1501" s="107">
        <f>COUNTIFS(Setup!$E$6:$E$29,"Y",Setup!$B$6:$B$29,"?*")-SUMPRODUCT(COUNTIF(S1477:S1500,Setup!$F$33:$F$40))</f>
        <v/>
      </c>
      <c r="T1501" s="107" t="n"/>
      <c r="U1501" s="107" t="n"/>
      <c r="V1501" s="107" t="n"/>
      <c r="W1501" s="107">
        <f>COUNTIFS(Setup!$E$6:$E$29,"Y",Setup!$B$6:$B$29,"?*")-SUMPRODUCT(COUNTIF(W1477:W1500,Setup!$F$33:$F$40))</f>
        <v/>
      </c>
      <c r="X1501" s="107" t="n"/>
      <c r="Y1501" s="107">
        <f>COUNTIFS(Setup!$E$6:$E$29,"Y",Setup!$B$6:$B$29,"?*")-SUMPRODUCT(COUNTIF(Y1477:Y1500,Setup!$F$33:$F$40))</f>
        <v/>
      </c>
      <c r="Z1501" s="107" t="n"/>
      <c r="AB1501" s="108">
        <f>SUM(AB1477:AB1500)</f>
        <v/>
      </c>
      <c r="AC1501" s="109">
        <f>SUM(AC1477:AC1500)</f>
        <v/>
      </c>
    </row>
    <row r="1502" ht="30" customHeight="1">
      <c r="A1502" t="n">
        <v>30</v>
      </c>
      <c r="B1502" s="110" t="inlineStr">
        <is>
          <t>Week notes</t>
        </is>
      </c>
      <c r="C1502" s="111" t="n"/>
      <c r="D1502" s="112" t="n"/>
      <c r="E1502" s="112" t="n"/>
      <c r="F1502" s="112" t="n"/>
      <c r="G1502" s="112" t="n"/>
      <c r="H1502" s="112" t="n"/>
      <c r="I1502" s="112" t="n"/>
      <c r="J1502" s="112" t="n"/>
      <c r="K1502" s="112" t="n"/>
      <c r="L1502" s="112" t="n"/>
      <c r="M1502" s="112" t="n"/>
      <c r="N1502" s="112" t="n"/>
      <c r="O1502" s="112" t="n"/>
      <c r="P1502" s="112" t="n"/>
      <c r="Q1502" s="112" t="n"/>
      <c r="R1502" s="112" t="n"/>
      <c r="S1502" s="112" t="n"/>
      <c r="T1502" s="112" t="n"/>
      <c r="U1502" s="112" t="n"/>
      <c r="V1502" s="112" t="n"/>
      <c r="W1502" s="112" t="n"/>
      <c r="X1502" s="112" t="n"/>
      <c r="Y1502" s="112" t="n"/>
      <c r="Z1502" s="113" t="n"/>
    </row>
    <row r="1503" ht="8" customHeight="1">
      <c r="A1503" t="n">
        <v>30</v>
      </c>
    </row>
    <row r="1504" ht="8" customHeight="1">
      <c r="A1504" t="n">
        <v>30</v>
      </c>
    </row>
    <row r="1505" ht="24" customHeight="1">
      <c r="A1505" t="n">
        <v>31</v>
      </c>
      <c r="B1505" s="73">
        <f>"WEEK 31     "&amp;TEXT(C1506,"ddd d mmm")&amp;"  –  "&amp;TEXT(C1506+6,"ddd d mmm yyyy")</f>
        <v/>
      </c>
      <c r="S1505" s="74">
        <f>IF(TODAY()&lt;C1506,"FUTURE",IF(TODAY()&gt;C1506+6,"PAST","THIS WEEK"))</f>
        <v/>
      </c>
      <c r="W1505" s="75">
        <f>IF(AND(Engine!$B$8=$AC$3,Engine!$B$9=$A1505),"◀ ACTIVE WEEK","")</f>
        <v/>
      </c>
      <c r="AA1505" s="76" t="n"/>
      <c r="AB1505" s="77" t="inlineStr">
        <is>
          <t>◀ Prev</t>
        </is>
      </c>
      <c r="AC1505" s="77" t="inlineStr">
        <is>
          <t>Next ▶</t>
        </is>
      </c>
    </row>
    <row r="1506" ht="18" customHeight="1">
      <c r="A1506" t="n">
        <v>31</v>
      </c>
      <c r="B1506" s="78" t="inlineStr">
        <is>
          <t>DUTY</t>
        </is>
      </c>
      <c r="C1506" s="79">
        <f>$AC$2+7*($A1506-1)</f>
        <v/>
      </c>
      <c r="D1506" s="80" t="n"/>
      <c r="E1506" s="80" t="n"/>
      <c r="F1506" s="81" t="n"/>
      <c r="G1506" s="79">
        <f>C1506+1</f>
        <v/>
      </c>
      <c r="H1506" s="80" t="n"/>
      <c r="I1506" s="80" t="n"/>
      <c r="J1506" s="81" t="n"/>
      <c r="K1506" s="79">
        <f>C1506+2</f>
        <v/>
      </c>
      <c r="L1506" s="80" t="n"/>
      <c r="M1506" s="80" t="n"/>
      <c r="N1506" s="81" t="n"/>
      <c r="O1506" s="79">
        <f>C1506+3</f>
        <v/>
      </c>
      <c r="P1506" s="80" t="n"/>
      <c r="Q1506" s="80" t="n"/>
      <c r="R1506" s="81" t="n"/>
      <c r="S1506" s="79">
        <f>C1506+4</f>
        <v/>
      </c>
      <c r="T1506" s="80" t="n"/>
      <c r="U1506" s="80" t="n"/>
      <c r="V1506" s="81" t="n"/>
      <c r="W1506" s="82">
        <f>C1506+5</f>
        <v/>
      </c>
      <c r="X1506" s="83" t="n"/>
      <c r="Y1506" s="82">
        <f>C1506+6</f>
        <v/>
      </c>
      <c r="Z1506" s="83" t="n"/>
      <c r="AB1506" s="72" t="inlineStr">
        <is>
          <t>Gaps</t>
        </is>
      </c>
      <c r="AC1506" s="72" t="inlineStr">
        <is>
          <t>Cover</t>
        </is>
      </c>
    </row>
    <row r="1507" ht="14" customHeight="1">
      <c r="A1507" t="n">
        <v>31</v>
      </c>
      <c r="B1507" s="84" t="inlineStr">
        <is>
          <t>(from Setup)</t>
        </is>
      </c>
      <c r="C1507" s="85" t="inlineStr">
        <is>
          <t>1</t>
        </is>
      </c>
      <c r="D1507" s="85" t="inlineStr">
        <is>
          <t>2</t>
        </is>
      </c>
      <c r="E1507" s="85" t="inlineStr">
        <is>
          <t>3</t>
        </is>
      </c>
      <c r="F1507" s="85" t="inlineStr">
        <is>
          <t>Notes</t>
        </is>
      </c>
      <c r="G1507" s="85" t="inlineStr">
        <is>
          <t>1</t>
        </is>
      </c>
      <c r="H1507" s="85" t="inlineStr">
        <is>
          <t>2</t>
        </is>
      </c>
      <c r="I1507" s="85" t="inlineStr">
        <is>
          <t>3</t>
        </is>
      </c>
      <c r="J1507" s="85" t="inlineStr">
        <is>
          <t>Notes</t>
        </is>
      </c>
      <c r="K1507" s="85" t="inlineStr">
        <is>
          <t>1</t>
        </is>
      </c>
      <c r="L1507" s="85" t="inlineStr">
        <is>
          <t>2</t>
        </is>
      </c>
      <c r="M1507" s="85" t="inlineStr">
        <is>
          <t>3</t>
        </is>
      </c>
      <c r="N1507" s="85" t="inlineStr">
        <is>
          <t>Notes</t>
        </is>
      </c>
      <c r="O1507" s="85" t="inlineStr">
        <is>
          <t>1</t>
        </is>
      </c>
      <c r="P1507" s="85" t="inlineStr">
        <is>
          <t>2</t>
        </is>
      </c>
      <c r="Q1507" s="85" t="inlineStr">
        <is>
          <t>3</t>
        </is>
      </c>
      <c r="R1507" s="85" t="inlineStr">
        <is>
          <t>Notes</t>
        </is>
      </c>
      <c r="S1507" s="85" t="inlineStr">
        <is>
          <t>1</t>
        </is>
      </c>
      <c r="T1507" s="85" t="inlineStr">
        <is>
          <t>2</t>
        </is>
      </c>
      <c r="U1507" s="85" t="inlineStr">
        <is>
          <t>3</t>
        </is>
      </c>
      <c r="V1507" s="85" t="inlineStr">
        <is>
          <t>Notes</t>
        </is>
      </c>
      <c r="W1507" s="85" t="inlineStr">
        <is>
          <t>Cover</t>
        </is>
      </c>
      <c r="X1507" s="85" t="inlineStr">
        <is>
          <t>Notes</t>
        </is>
      </c>
      <c r="Y1507" s="85" t="inlineStr">
        <is>
          <t>Cover</t>
        </is>
      </c>
      <c r="Z1507" s="85" t="inlineStr">
        <is>
          <t>Notes</t>
        </is>
      </c>
      <c r="AB1507" s="86" t="inlineStr">
        <is>
          <t>weekdays short</t>
        </is>
      </c>
      <c r="AC1507" s="87" t="inlineStr"/>
    </row>
    <row r="1508" ht="17" customHeight="1">
      <c r="A1508" t="n">
        <v>31</v>
      </c>
      <c r="B1508" s="24">
        <f>IF(Setup!$K$6="","",Setup!$K$6)</f>
        <v/>
      </c>
      <c r="C1508" s="88" t="n"/>
      <c r="D1508" s="88" t="n"/>
      <c r="E1508" s="88" t="n"/>
      <c r="F1508" s="89" t="n"/>
      <c r="G1508" s="88" t="n"/>
      <c r="H1508" s="88" t="n"/>
      <c r="I1508" s="88" t="n"/>
      <c r="J1508" s="89" t="n"/>
      <c r="K1508" s="88" t="n"/>
      <c r="L1508" s="88" t="n"/>
      <c r="M1508" s="88" t="n"/>
      <c r="N1508" s="89" t="n"/>
      <c r="O1508" s="88" t="n"/>
      <c r="P1508" s="88" t="n"/>
      <c r="Q1508" s="88" t="n"/>
      <c r="R1508" s="89" t="n"/>
      <c r="S1508" s="88" t="n"/>
      <c r="T1508" s="88" t="n"/>
      <c r="U1508" s="88" t="n"/>
      <c r="V1508" s="89" t="n"/>
      <c r="W1508" s="88" t="n"/>
      <c r="X1508" s="89" t="n"/>
      <c r="Y1508" s="88" t="n"/>
      <c r="Z1508" s="89" t="n"/>
      <c r="AB1508" s="25">
        <f>IF($B1508="","",(COUNTIF(C1508:E1508,"?*")&lt;N(INDEX(Setup!$L$6:$L$23,1)))+(COUNTIF(G1508:I1508,"?*")&lt;N(INDEX(Setup!$L$6:$L$23,1)))+(COUNTIF(K1508:M1508,"?*")&lt;N(INDEX(Setup!$L$6:$L$23,1)))+(COUNTIF(O1508:Q1508,"?*")&lt;N(INDEX(Setup!$L$6:$L$23,1)))+(COUNTIF(S1508:U1508,"?*")&lt;N(INDEX(Setup!$L$6:$L$23,1)))+((W1508="")*(INDEX(Setup!$M$6:$M$23,1)="Y"))+((Y1508="")*(INDEX(Setup!$M$6:$M$23,1)="Y")))</f>
        <v/>
      </c>
      <c r="AC1508" s="90">
        <f>IF($B1508="","",IF(AB1508=0,"✓ covered","⚠ "&amp;AB1508&amp;IF(AB1508=1," gap"," gaps")))</f>
        <v/>
      </c>
    </row>
    <row r="1509" ht="17" customHeight="1">
      <c r="A1509" t="n">
        <v>31</v>
      </c>
      <c r="B1509" s="29">
        <f>IF(Setup!$K$7="","",Setup!$K$7)</f>
        <v/>
      </c>
      <c r="C1509" s="88" t="n"/>
      <c r="D1509" s="88" t="n"/>
      <c r="E1509" s="88" t="n"/>
      <c r="F1509" s="89" t="n"/>
      <c r="G1509" s="88" t="n"/>
      <c r="H1509" s="88" t="n"/>
      <c r="I1509" s="88" t="n"/>
      <c r="J1509" s="89" t="n"/>
      <c r="K1509" s="88" t="n"/>
      <c r="L1509" s="88" t="n"/>
      <c r="M1509" s="88" t="n"/>
      <c r="N1509" s="89" t="n"/>
      <c r="O1509" s="88" t="n"/>
      <c r="P1509" s="88" t="n"/>
      <c r="Q1509" s="88" t="n"/>
      <c r="R1509" s="89" t="n"/>
      <c r="S1509" s="88" t="n"/>
      <c r="T1509" s="88" t="n"/>
      <c r="U1509" s="88" t="n"/>
      <c r="V1509" s="89" t="n"/>
      <c r="W1509" s="88" t="n"/>
      <c r="X1509" s="89" t="n"/>
      <c r="Y1509" s="88" t="n"/>
      <c r="Z1509" s="89" t="n"/>
      <c r="AB1509" s="30">
        <f>IF($B1509="","",(COUNTIF(C1509:E1509,"?*")&lt;N(INDEX(Setup!$L$6:$L$23,2)))+(COUNTIF(G1509:I1509,"?*")&lt;N(INDEX(Setup!$L$6:$L$23,2)))+(COUNTIF(K1509:M1509,"?*")&lt;N(INDEX(Setup!$L$6:$L$23,2)))+(COUNTIF(O1509:Q1509,"?*")&lt;N(INDEX(Setup!$L$6:$L$23,2)))+(COUNTIF(S1509:U1509,"?*")&lt;N(INDEX(Setup!$L$6:$L$23,2)))+((W1509="")*(INDEX(Setup!$M$6:$M$23,2)="Y"))+((Y1509="")*(INDEX(Setup!$M$6:$M$23,2)="Y")))</f>
        <v/>
      </c>
      <c r="AC1509" s="91">
        <f>IF($B1509="","",IF(AB1509=0,"✓ covered","⚠ "&amp;AB1509&amp;IF(AB1509=1," gap"," gaps")))</f>
        <v/>
      </c>
    </row>
    <row r="1510" ht="17" customHeight="1">
      <c r="A1510" t="n">
        <v>31</v>
      </c>
      <c r="B1510" s="24">
        <f>IF(Setup!$K$8="","",Setup!$K$8)</f>
        <v/>
      </c>
      <c r="C1510" s="88" t="n"/>
      <c r="D1510" s="88" t="n"/>
      <c r="E1510" s="88" t="n"/>
      <c r="F1510" s="89" t="n"/>
      <c r="G1510" s="88" t="n"/>
      <c r="H1510" s="88" t="n"/>
      <c r="I1510" s="88" t="n"/>
      <c r="J1510" s="89" t="n"/>
      <c r="K1510" s="88" t="n"/>
      <c r="L1510" s="88" t="n"/>
      <c r="M1510" s="88" t="n"/>
      <c r="N1510" s="89" t="n"/>
      <c r="O1510" s="88" t="n"/>
      <c r="P1510" s="88" t="n"/>
      <c r="Q1510" s="88" t="n"/>
      <c r="R1510" s="89" t="n"/>
      <c r="S1510" s="88" t="n"/>
      <c r="T1510" s="88" t="n"/>
      <c r="U1510" s="88" t="n"/>
      <c r="V1510" s="89" t="n"/>
      <c r="W1510" s="88" t="n"/>
      <c r="X1510" s="89" t="n"/>
      <c r="Y1510" s="88" t="n"/>
      <c r="Z1510" s="89" t="n"/>
      <c r="AB1510" s="25">
        <f>IF($B1510="","",(COUNTIF(C1510:E1510,"?*")&lt;N(INDEX(Setup!$L$6:$L$23,3)))+(COUNTIF(G1510:I1510,"?*")&lt;N(INDEX(Setup!$L$6:$L$23,3)))+(COUNTIF(K1510:M1510,"?*")&lt;N(INDEX(Setup!$L$6:$L$23,3)))+(COUNTIF(O1510:Q1510,"?*")&lt;N(INDEX(Setup!$L$6:$L$23,3)))+(COUNTIF(S1510:U1510,"?*")&lt;N(INDEX(Setup!$L$6:$L$23,3)))+((W1510="")*(INDEX(Setup!$M$6:$M$23,3)="Y"))+((Y1510="")*(INDEX(Setup!$M$6:$M$23,3)="Y")))</f>
        <v/>
      </c>
      <c r="AC1510" s="90">
        <f>IF($B1510="","",IF(AB1510=0,"✓ covered","⚠ "&amp;AB1510&amp;IF(AB1510=1," gap"," gaps")))</f>
        <v/>
      </c>
    </row>
    <row r="1511" ht="17" customHeight="1">
      <c r="A1511" t="n">
        <v>31</v>
      </c>
      <c r="B1511" s="29">
        <f>IF(Setup!$K$9="","",Setup!$K$9)</f>
        <v/>
      </c>
      <c r="C1511" s="88" t="n"/>
      <c r="D1511" s="88" t="n"/>
      <c r="E1511" s="88" t="n"/>
      <c r="F1511" s="89" t="n"/>
      <c r="G1511" s="88" t="n"/>
      <c r="H1511" s="88" t="n"/>
      <c r="I1511" s="88" t="n"/>
      <c r="J1511" s="89" t="n"/>
      <c r="K1511" s="88" t="n"/>
      <c r="L1511" s="88" t="n"/>
      <c r="M1511" s="88" t="n"/>
      <c r="N1511" s="89" t="n"/>
      <c r="O1511" s="88" t="n"/>
      <c r="P1511" s="88" t="n"/>
      <c r="Q1511" s="88" t="n"/>
      <c r="R1511" s="89" t="n"/>
      <c r="S1511" s="88" t="n"/>
      <c r="T1511" s="88" t="n"/>
      <c r="U1511" s="88" t="n"/>
      <c r="V1511" s="89" t="n"/>
      <c r="W1511" s="88" t="n"/>
      <c r="X1511" s="89" t="n"/>
      <c r="Y1511" s="88" t="n"/>
      <c r="Z1511" s="89" t="n"/>
      <c r="AB1511" s="30">
        <f>IF($B1511="","",(COUNTIF(C1511:E1511,"?*")&lt;N(INDEX(Setup!$L$6:$L$23,4)))+(COUNTIF(G1511:I1511,"?*")&lt;N(INDEX(Setup!$L$6:$L$23,4)))+(COUNTIF(K1511:M1511,"?*")&lt;N(INDEX(Setup!$L$6:$L$23,4)))+(COUNTIF(O1511:Q1511,"?*")&lt;N(INDEX(Setup!$L$6:$L$23,4)))+(COUNTIF(S1511:U1511,"?*")&lt;N(INDEX(Setup!$L$6:$L$23,4)))+((W1511="")*(INDEX(Setup!$M$6:$M$23,4)="Y"))+((Y1511="")*(INDEX(Setup!$M$6:$M$23,4)="Y")))</f>
        <v/>
      </c>
      <c r="AC1511" s="91">
        <f>IF($B1511="","",IF(AB1511=0,"✓ covered","⚠ "&amp;AB1511&amp;IF(AB1511=1," gap"," gaps")))</f>
        <v/>
      </c>
    </row>
    <row r="1512" ht="17" customHeight="1">
      <c r="A1512" t="n">
        <v>31</v>
      </c>
      <c r="B1512" s="24">
        <f>IF(Setup!$K$10="","",Setup!$K$10)</f>
        <v/>
      </c>
      <c r="C1512" s="88" t="n"/>
      <c r="D1512" s="88" t="n"/>
      <c r="E1512" s="88" t="n"/>
      <c r="F1512" s="89" t="n"/>
      <c r="G1512" s="88" t="n"/>
      <c r="H1512" s="88" t="n"/>
      <c r="I1512" s="88" t="n"/>
      <c r="J1512" s="89" t="n"/>
      <c r="K1512" s="88" t="n"/>
      <c r="L1512" s="88" t="n"/>
      <c r="M1512" s="88" t="n"/>
      <c r="N1512" s="89" t="n"/>
      <c r="O1512" s="88" t="n"/>
      <c r="P1512" s="88" t="n"/>
      <c r="Q1512" s="88" t="n"/>
      <c r="R1512" s="89" t="n"/>
      <c r="S1512" s="88" t="n"/>
      <c r="T1512" s="88" t="n"/>
      <c r="U1512" s="88" t="n"/>
      <c r="V1512" s="89" t="n"/>
      <c r="W1512" s="88" t="n"/>
      <c r="X1512" s="89" t="n"/>
      <c r="Y1512" s="88" t="n"/>
      <c r="Z1512" s="89" t="n"/>
      <c r="AB1512" s="25">
        <f>IF($B1512="","",(COUNTIF(C1512:E1512,"?*")&lt;N(INDEX(Setup!$L$6:$L$23,5)))+(COUNTIF(G1512:I1512,"?*")&lt;N(INDEX(Setup!$L$6:$L$23,5)))+(COUNTIF(K1512:M1512,"?*")&lt;N(INDEX(Setup!$L$6:$L$23,5)))+(COUNTIF(O1512:Q1512,"?*")&lt;N(INDEX(Setup!$L$6:$L$23,5)))+(COUNTIF(S1512:U1512,"?*")&lt;N(INDEX(Setup!$L$6:$L$23,5)))+((W1512="")*(INDEX(Setup!$M$6:$M$23,5)="Y"))+((Y1512="")*(INDEX(Setup!$M$6:$M$23,5)="Y")))</f>
        <v/>
      </c>
      <c r="AC1512" s="90">
        <f>IF($B1512="","",IF(AB1512=0,"✓ covered","⚠ "&amp;AB1512&amp;IF(AB1512=1," gap"," gaps")))</f>
        <v/>
      </c>
    </row>
    <row r="1513" ht="17" customHeight="1">
      <c r="A1513" t="n">
        <v>31</v>
      </c>
      <c r="B1513" s="29">
        <f>IF(Setup!$K$11="","",Setup!$K$11)</f>
        <v/>
      </c>
      <c r="C1513" s="88" t="n"/>
      <c r="D1513" s="88" t="n"/>
      <c r="E1513" s="88" t="n"/>
      <c r="F1513" s="89" t="n"/>
      <c r="G1513" s="88" t="n"/>
      <c r="H1513" s="88" t="n"/>
      <c r="I1513" s="88" t="n"/>
      <c r="J1513" s="89" t="n"/>
      <c r="K1513" s="88" t="n"/>
      <c r="L1513" s="88" t="n"/>
      <c r="M1513" s="88" t="n"/>
      <c r="N1513" s="89" t="n"/>
      <c r="O1513" s="88" t="n"/>
      <c r="P1513" s="88" t="n"/>
      <c r="Q1513" s="88" t="n"/>
      <c r="R1513" s="89" t="n"/>
      <c r="S1513" s="88" t="n"/>
      <c r="T1513" s="88" t="n"/>
      <c r="U1513" s="88" t="n"/>
      <c r="V1513" s="89" t="n"/>
      <c r="W1513" s="88" t="n"/>
      <c r="X1513" s="89" t="n"/>
      <c r="Y1513" s="88" t="n"/>
      <c r="Z1513" s="89" t="n"/>
      <c r="AB1513" s="30">
        <f>IF($B1513="","",(COUNTIF(C1513:E1513,"?*")&lt;N(INDEX(Setup!$L$6:$L$23,6)))+(COUNTIF(G1513:I1513,"?*")&lt;N(INDEX(Setup!$L$6:$L$23,6)))+(COUNTIF(K1513:M1513,"?*")&lt;N(INDEX(Setup!$L$6:$L$23,6)))+(COUNTIF(O1513:Q1513,"?*")&lt;N(INDEX(Setup!$L$6:$L$23,6)))+(COUNTIF(S1513:U1513,"?*")&lt;N(INDEX(Setup!$L$6:$L$23,6)))+((W1513="")*(INDEX(Setup!$M$6:$M$23,6)="Y"))+((Y1513="")*(INDEX(Setup!$M$6:$M$23,6)="Y")))</f>
        <v/>
      </c>
      <c r="AC1513" s="91">
        <f>IF($B1513="","",IF(AB1513=0,"✓ covered","⚠ "&amp;AB1513&amp;IF(AB1513=1," gap"," gaps")))</f>
        <v/>
      </c>
    </row>
    <row r="1514" ht="17" customHeight="1">
      <c r="A1514" t="n">
        <v>31</v>
      </c>
      <c r="B1514" s="24">
        <f>IF(Setup!$K$12="","",Setup!$K$12)</f>
        <v/>
      </c>
      <c r="C1514" s="88" t="n"/>
      <c r="D1514" s="88" t="n"/>
      <c r="E1514" s="88" t="n"/>
      <c r="F1514" s="89" t="n"/>
      <c r="G1514" s="88" t="n"/>
      <c r="H1514" s="88" t="n"/>
      <c r="I1514" s="88" t="n"/>
      <c r="J1514" s="89" t="n"/>
      <c r="K1514" s="88" t="n"/>
      <c r="L1514" s="88" t="n"/>
      <c r="M1514" s="88" t="n"/>
      <c r="N1514" s="89" t="n"/>
      <c r="O1514" s="88" t="n"/>
      <c r="P1514" s="88" t="n"/>
      <c r="Q1514" s="88" t="n"/>
      <c r="R1514" s="89" t="n"/>
      <c r="S1514" s="88" t="n"/>
      <c r="T1514" s="88" t="n"/>
      <c r="U1514" s="88" t="n"/>
      <c r="V1514" s="89" t="n"/>
      <c r="W1514" s="88" t="n"/>
      <c r="X1514" s="89" t="n"/>
      <c r="Y1514" s="88" t="n"/>
      <c r="Z1514" s="89" t="n"/>
      <c r="AB1514" s="25">
        <f>IF($B1514="","",(COUNTIF(C1514:E1514,"?*")&lt;N(INDEX(Setup!$L$6:$L$23,7)))+(COUNTIF(G1514:I1514,"?*")&lt;N(INDEX(Setup!$L$6:$L$23,7)))+(COUNTIF(K1514:M1514,"?*")&lt;N(INDEX(Setup!$L$6:$L$23,7)))+(COUNTIF(O1514:Q1514,"?*")&lt;N(INDEX(Setup!$L$6:$L$23,7)))+(COUNTIF(S1514:U1514,"?*")&lt;N(INDEX(Setup!$L$6:$L$23,7)))+((W1514="")*(INDEX(Setup!$M$6:$M$23,7)="Y"))+((Y1514="")*(INDEX(Setup!$M$6:$M$23,7)="Y")))</f>
        <v/>
      </c>
      <c r="AC1514" s="90">
        <f>IF($B1514="","",IF(AB1514=0,"✓ covered","⚠ "&amp;AB1514&amp;IF(AB1514=1," gap"," gaps")))</f>
        <v/>
      </c>
    </row>
    <row r="1515" ht="17" customHeight="1">
      <c r="A1515" t="n">
        <v>31</v>
      </c>
      <c r="B1515" s="29">
        <f>IF(Setup!$K$13="","",Setup!$K$13)</f>
        <v/>
      </c>
      <c r="C1515" s="88" t="n"/>
      <c r="D1515" s="88" t="n"/>
      <c r="E1515" s="88" t="n"/>
      <c r="F1515" s="89" t="n"/>
      <c r="G1515" s="88" t="n"/>
      <c r="H1515" s="88" t="n"/>
      <c r="I1515" s="88" t="n"/>
      <c r="J1515" s="89" t="n"/>
      <c r="K1515" s="88" t="n"/>
      <c r="L1515" s="88" t="n"/>
      <c r="M1515" s="88" t="n"/>
      <c r="N1515" s="89" t="n"/>
      <c r="O1515" s="88" t="n"/>
      <c r="P1515" s="88" t="n"/>
      <c r="Q1515" s="88" t="n"/>
      <c r="R1515" s="89" t="n"/>
      <c r="S1515" s="88" t="n"/>
      <c r="T1515" s="88" t="n"/>
      <c r="U1515" s="88" t="n"/>
      <c r="V1515" s="89" t="n"/>
      <c r="W1515" s="88" t="n"/>
      <c r="X1515" s="89" t="n"/>
      <c r="Y1515" s="88" t="n"/>
      <c r="Z1515" s="89" t="n"/>
      <c r="AB1515" s="30">
        <f>IF($B1515="","",(COUNTIF(C1515:E1515,"?*")&lt;N(INDEX(Setup!$L$6:$L$23,8)))+(COUNTIF(G1515:I1515,"?*")&lt;N(INDEX(Setup!$L$6:$L$23,8)))+(COUNTIF(K1515:M1515,"?*")&lt;N(INDEX(Setup!$L$6:$L$23,8)))+(COUNTIF(O1515:Q1515,"?*")&lt;N(INDEX(Setup!$L$6:$L$23,8)))+(COUNTIF(S1515:U1515,"?*")&lt;N(INDEX(Setup!$L$6:$L$23,8)))+((W1515="")*(INDEX(Setup!$M$6:$M$23,8)="Y"))+((Y1515="")*(INDEX(Setup!$M$6:$M$23,8)="Y")))</f>
        <v/>
      </c>
      <c r="AC1515" s="91">
        <f>IF($B1515="","",IF(AB1515=0,"✓ covered","⚠ "&amp;AB1515&amp;IF(AB1515=1," gap"," gaps")))</f>
        <v/>
      </c>
    </row>
    <row r="1516" ht="17" customHeight="1">
      <c r="A1516" t="n">
        <v>31</v>
      </c>
      <c r="B1516" s="24">
        <f>IF(Setup!$K$14="","",Setup!$K$14)</f>
        <v/>
      </c>
      <c r="C1516" s="88" t="n"/>
      <c r="D1516" s="88" t="n"/>
      <c r="E1516" s="88" t="n"/>
      <c r="F1516" s="89" t="n"/>
      <c r="G1516" s="88" t="n"/>
      <c r="H1516" s="88" t="n"/>
      <c r="I1516" s="88" t="n"/>
      <c r="J1516" s="89" t="n"/>
      <c r="K1516" s="88" t="n"/>
      <c r="L1516" s="88" t="n"/>
      <c r="M1516" s="88" t="n"/>
      <c r="N1516" s="89" t="n"/>
      <c r="O1516" s="88" t="n"/>
      <c r="P1516" s="88" t="n"/>
      <c r="Q1516" s="88" t="n"/>
      <c r="R1516" s="89" t="n"/>
      <c r="S1516" s="88" t="n"/>
      <c r="T1516" s="88" t="n"/>
      <c r="U1516" s="88" t="n"/>
      <c r="V1516" s="89" t="n"/>
      <c r="W1516" s="88" t="n"/>
      <c r="X1516" s="89" t="n"/>
      <c r="Y1516" s="88" t="n"/>
      <c r="Z1516" s="89" t="n"/>
      <c r="AB1516" s="25">
        <f>IF($B1516="","",(COUNTIF(C1516:E1516,"?*")&lt;N(INDEX(Setup!$L$6:$L$23,9)))+(COUNTIF(G1516:I1516,"?*")&lt;N(INDEX(Setup!$L$6:$L$23,9)))+(COUNTIF(K1516:M1516,"?*")&lt;N(INDEX(Setup!$L$6:$L$23,9)))+(COUNTIF(O1516:Q1516,"?*")&lt;N(INDEX(Setup!$L$6:$L$23,9)))+(COUNTIF(S1516:U1516,"?*")&lt;N(INDEX(Setup!$L$6:$L$23,9)))+((W1516="")*(INDEX(Setup!$M$6:$M$23,9)="Y"))+((Y1516="")*(INDEX(Setup!$M$6:$M$23,9)="Y")))</f>
        <v/>
      </c>
      <c r="AC1516" s="90">
        <f>IF($B1516="","",IF(AB1516=0,"✓ covered","⚠ "&amp;AB1516&amp;IF(AB1516=1," gap"," gaps")))</f>
        <v/>
      </c>
    </row>
    <row r="1517" ht="17" customHeight="1">
      <c r="A1517" t="n">
        <v>31</v>
      </c>
      <c r="B1517" s="29">
        <f>IF(Setup!$K$15="","",Setup!$K$15)</f>
        <v/>
      </c>
      <c r="C1517" s="88" t="n"/>
      <c r="D1517" s="88" t="n"/>
      <c r="E1517" s="88" t="n"/>
      <c r="F1517" s="89" t="n"/>
      <c r="G1517" s="88" t="n"/>
      <c r="H1517" s="88" t="n"/>
      <c r="I1517" s="88" t="n"/>
      <c r="J1517" s="89" t="n"/>
      <c r="K1517" s="88" t="n"/>
      <c r="L1517" s="88" t="n"/>
      <c r="M1517" s="88" t="n"/>
      <c r="N1517" s="89" t="n"/>
      <c r="O1517" s="88" t="n"/>
      <c r="P1517" s="88" t="n"/>
      <c r="Q1517" s="88" t="n"/>
      <c r="R1517" s="89" t="n"/>
      <c r="S1517" s="88" t="n"/>
      <c r="T1517" s="88" t="n"/>
      <c r="U1517" s="88" t="n"/>
      <c r="V1517" s="89" t="n"/>
      <c r="W1517" s="88" t="n"/>
      <c r="X1517" s="89" t="n"/>
      <c r="Y1517" s="88" t="n"/>
      <c r="Z1517" s="89" t="n"/>
      <c r="AB1517" s="30">
        <f>IF($B1517="","",(COUNTIF(C1517:E1517,"?*")&lt;N(INDEX(Setup!$L$6:$L$23,10)))+(COUNTIF(G1517:I1517,"?*")&lt;N(INDEX(Setup!$L$6:$L$23,10)))+(COUNTIF(K1517:M1517,"?*")&lt;N(INDEX(Setup!$L$6:$L$23,10)))+(COUNTIF(O1517:Q1517,"?*")&lt;N(INDEX(Setup!$L$6:$L$23,10)))+(COUNTIF(S1517:U1517,"?*")&lt;N(INDEX(Setup!$L$6:$L$23,10)))+((W1517="")*(INDEX(Setup!$M$6:$M$23,10)="Y"))+((Y1517="")*(INDEX(Setup!$M$6:$M$23,10)="Y")))</f>
        <v/>
      </c>
      <c r="AC1517" s="91">
        <f>IF($B1517="","",IF(AB1517=0,"✓ covered","⚠ "&amp;AB1517&amp;IF(AB1517=1," gap"," gaps")))</f>
        <v/>
      </c>
    </row>
    <row r="1518" ht="17" customHeight="1">
      <c r="A1518" t="n">
        <v>31</v>
      </c>
      <c r="B1518" s="24">
        <f>IF(Setup!$K$16="","",Setup!$K$16)</f>
        <v/>
      </c>
      <c r="C1518" s="88" t="n"/>
      <c r="D1518" s="88" t="n"/>
      <c r="E1518" s="88" t="n"/>
      <c r="F1518" s="89" t="n"/>
      <c r="G1518" s="88" t="n"/>
      <c r="H1518" s="88" t="n"/>
      <c r="I1518" s="88" t="n"/>
      <c r="J1518" s="89" t="n"/>
      <c r="K1518" s="88" t="n"/>
      <c r="L1518" s="88" t="n"/>
      <c r="M1518" s="88" t="n"/>
      <c r="N1518" s="89" t="n"/>
      <c r="O1518" s="88" t="n"/>
      <c r="P1518" s="88" t="n"/>
      <c r="Q1518" s="88" t="n"/>
      <c r="R1518" s="89" t="n"/>
      <c r="S1518" s="88" t="n"/>
      <c r="T1518" s="88" t="n"/>
      <c r="U1518" s="88" t="n"/>
      <c r="V1518" s="89" t="n"/>
      <c r="W1518" s="88" t="n"/>
      <c r="X1518" s="89" t="n"/>
      <c r="Y1518" s="88" t="n"/>
      <c r="Z1518" s="89" t="n"/>
      <c r="AB1518" s="25">
        <f>IF($B1518="","",(COUNTIF(C1518:E1518,"?*")&lt;N(INDEX(Setup!$L$6:$L$23,11)))+(COUNTIF(G1518:I1518,"?*")&lt;N(INDEX(Setup!$L$6:$L$23,11)))+(COUNTIF(K1518:M1518,"?*")&lt;N(INDEX(Setup!$L$6:$L$23,11)))+(COUNTIF(O1518:Q1518,"?*")&lt;N(INDEX(Setup!$L$6:$L$23,11)))+(COUNTIF(S1518:U1518,"?*")&lt;N(INDEX(Setup!$L$6:$L$23,11)))+((W1518="")*(INDEX(Setup!$M$6:$M$23,11)="Y"))+((Y1518="")*(INDEX(Setup!$M$6:$M$23,11)="Y")))</f>
        <v/>
      </c>
      <c r="AC1518" s="90">
        <f>IF($B1518="","",IF(AB1518=0,"✓ covered","⚠ "&amp;AB1518&amp;IF(AB1518=1," gap"," gaps")))</f>
        <v/>
      </c>
    </row>
    <row r="1519" ht="17" customHeight="1">
      <c r="A1519" t="n">
        <v>31</v>
      </c>
      <c r="B1519" s="29">
        <f>IF(Setup!$K$17="","",Setup!$K$17)</f>
        <v/>
      </c>
      <c r="C1519" s="88" t="n"/>
      <c r="D1519" s="88" t="n"/>
      <c r="E1519" s="88" t="n"/>
      <c r="F1519" s="89" t="n"/>
      <c r="G1519" s="88" t="n"/>
      <c r="H1519" s="88" t="n"/>
      <c r="I1519" s="88" t="n"/>
      <c r="J1519" s="89" t="n"/>
      <c r="K1519" s="88" t="n"/>
      <c r="L1519" s="88" t="n"/>
      <c r="M1519" s="88" t="n"/>
      <c r="N1519" s="89" t="n"/>
      <c r="O1519" s="88" t="n"/>
      <c r="P1519" s="88" t="n"/>
      <c r="Q1519" s="88" t="n"/>
      <c r="R1519" s="89" t="n"/>
      <c r="S1519" s="88" t="n"/>
      <c r="T1519" s="88" t="n"/>
      <c r="U1519" s="88" t="n"/>
      <c r="V1519" s="89" t="n"/>
      <c r="W1519" s="88" t="n"/>
      <c r="X1519" s="89" t="n"/>
      <c r="Y1519" s="88" t="n"/>
      <c r="Z1519" s="89" t="n"/>
      <c r="AB1519" s="30">
        <f>IF($B1519="","",(COUNTIF(C1519:E1519,"?*")&lt;N(INDEX(Setup!$L$6:$L$23,12)))+(COUNTIF(G1519:I1519,"?*")&lt;N(INDEX(Setup!$L$6:$L$23,12)))+(COUNTIF(K1519:M1519,"?*")&lt;N(INDEX(Setup!$L$6:$L$23,12)))+(COUNTIF(O1519:Q1519,"?*")&lt;N(INDEX(Setup!$L$6:$L$23,12)))+(COUNTIF(S1519:U1519,"?*")&lt;N(INDEX(Setup!$L$6:$L$23,12)))+((W1519="")*(INDEX(Setup!$M$6:$M$23,12)="Y"))+((Y1519="")*(INDEX(Setup!$M$6:$M$23,12)="Y")))</f>
        <v/>
      </c>
      <c r="AC1519" s="91">
        <f>IF($B1519="","",IF(AB1519=0,"✓ covered","⚠ "&amp;AB1519&amp;IF(AB1519=1," gap"," gaps")))</f>
        <v/>
      </c>
    </row>
    <row r="1520" ht="17" customHeight="1">
      <c r="A1520" t="n">
        <v>31</v>
      </c>
      <c r="B1520" s="24">
        <f>IF(Setup!$K$18="","",Setup!$K$18)</f>
        <v/>
      </c>
      <c r="C1520" s="88" t="n"/>
      <c r="D1520" s="88" t="n"/>
      <c r="E1520" s="88" t="n"/>
      <c r="F1520" s="89" t="n"/>
      <c r="G1520" s="88" t="n"/>
      <c r="H1520" s="88" t="n"/>
      <c r="I1520" s="88" t="n"/>
      <c r="J1520" s="89" t="n"/>
      <c r="K1520" s="88" t="n"/>
      <c r="L1520" s="88" t="n"/>
      <c r="M1520" s="88" t="n"/>
      <c r="N1520" s="89" t="n"/>
      <c r="O1520" s="88" t="n"/>
      <c r="P1520" s="88" t="n"/>
      <c r="Q1520" s="88" t="n"/>
      <c r="R1520" s="89" t="n"/>
      <c r="S1520" s="88" t="n"/>
      <c r="T1520" s="88" t="n"/>
      <c r="U1520" s="88" t="n"/>
      <c r="V1520" s="89" t="n"/>
      <c r="W1520" s="88" t="n"/>
      <c r="X1520" s="89" t="n"/>
      <c r="Y1520" s="88" t="n"/>
      <c r="Z1520" s="89" t="n"/>
      <c r="AB1520" s="25">
        <f>IF($B1520="","",(COUNTIF(C1520:E1520,"?*")&lt;N(INDEX(Setup!$L$6:$L$23,13)))+(COUNTIF(G1520:I1520,"?*")&lt;N(INDEX(Setup!$L$6:$L$23,13)))+(COUNTIF(K1520:M1520,"?*")&lt;N(INDEX(Setup!$L$6:$L$23,13)))+(COUNTIF(O1520:Q1520,"?*")&lt;N(INDEX(Setup!$L$6:$L$23,13)))+(COUNTIF(S1520:U1520,"?*")&lt;N(INDEX(Setup!$L$6:$L$23,13)))+((W1520="")*(INDEX(Setup!$M$6:$M$23,13)="Y"))+((Y1520="")*(INDEX(Setup!$M$6:$M$23,13)="Y")))</f>
        <v/>
      </c>
      <c r="AC1520" s="90">
        <f>IF($B1520="","",IF(AB1520=0,"✓ covered","⚠ "&amp;AB1520&amp;IF(AB1520=1," gap"," gaps")))</f>
        <v/>
      </c>
    </row>
    <row r="1521" ht="17" customHeight="1">
      <c r="A1521" t="n">
        <v>31</v>
      </c>
      <c r="B1521" s="29">
        <f>IF(Setup!$K$19="","",Setup!$K$19)</f>
        <v/>
      </c>
      <c r="C1521" s="88" t="n"/>
      <c r="D1521" s="88" t="n"/>
      <c r="E1521" s="88" t="n"/>
      <c r="F1521" s="89" t="n"/>
      <c r="G1521" s="88" t="n"/>
      <c r="H1521" s="88" t="n"/>
      <c r="I1521" s="88" t="n"/>
      <c r="J1521" s="89" t="n"/>
      <c r="K1521" s="88" t="n"/>
      <c r="L1521" s="88" t="n"/>
      <c r="M1521" s="88" t="n"/>
      <c r="N1521" s="89" t="n"/>
      <c r="O1521" s="88" t="n"/>
      <c r="P1521" s="88" t="n"/>
      <c r="Q1521" s="88" t="n"/>
      <c r="R1521" s="89" t="n"/>
      <c r="S1521" s="88" t="n"/>
      <c r="T1521" s="88" t="n"/>
      <c r="U1521" s="88" t="n"/>
      <c r="V1521" s="89" t="n"/>
      <c r="W1521" s="88" t="n"/>
      <c r="X1521" s="89" t="n"/>
      <c r="Y1521" s="88" t="n"/>
      <c r="Z1521" s="89" t="n"/>
      <c r="AB1521" s="30">
        <f>IF($B1521="","",(COUNTIF(C1521:E1521,"?*")&lt;N(INDEX(Setup!$L$6:$L$23,14)))+(COUNTIF(G1521:I1521,"?*")&lt;N(INDEX(Setup!$L$6:$L$23,14)))+(COUNTIF(K1521:M1521,"?*")&lt;N(INDEX(Setup!$L$6:$L$23,14)))+(COUNTIF(O1521:Q1521,"?*")&lt;N(INDEX(Setup!$L$6:$L$23,14)))+(COUNTIF(S1521:U1521,"?*")&lt;N(INDEX(Setup!$L$6:$L$23,14)))+((W1521="")*(INDEX(Setup!$M$6:$M$23,14)="Y"))+((Y1521="")*(INDEX(Setup!$M$6:$M$23,14)="Y")))</f>
        <v/>
      </c>
      <c r="AC1521" s="91">
        <f>IF($B1521="","",IF(AB1521=0,"✓ covered","⚠ "&amp;AB1521&amp;IF(AB1521=1," gap"," gaps")))</f>
        <v/>
      </c>
    </row>
    <row r="1522" ht="17" customHeight="1">
      <c r="A1522" t="n">
        <v>31</v>
      </c>
      <c r="B1522" s="24">
        <f>IF(Setup!$K$20="","",Setup!$K$20)</f>
        <v/>
      </c>
      <c r="C1522" s="88" t="n"/>
      <c r="D1522" s="88" t="n"/>
      <c r="E1522" s="88" t="n"/>
      <c r="F1522" s="89" t="n"/>
      <c r="G1522" s="88" t="n"/>
      <c r="H1522" s="88" t="n"/>
      <c r="I1522" s="88" t="n"/>
      <c r="J1522" s="89" t="n"/>
      <c r="K1522" s="88" t="n"/>
      <c r="L1522" s="88" t="n"/>
      <c r="M1522" s="88" t="n"/>
      <c r="N1522" s="89" t="n"/>
      <c r="O1522" s="88" t="n"/>
      <c r="P1522" s="88" t="n"/>
      <c r="Q1522" s="88" t="n"/>
      <c r="R1522" s="89" t="n"/>
      <c r="S1522" s="88" t="n"/>
      <c r="T1522" s="88" t="n"/>
      <c r="U1522" s="88" t="n"/>
      <c r="V1522" s="89" t="n"/>
      <c r="W1522" s="88" t="n"/>
      <c r="X1522" s="89" t="n"/>
      <c r="Y1522" s="88" t="n"/>
      <c r="Z1522" s="89" t="n"/>
      <c r="AB1522" s="25">
        <f>IF($B1522="","",(COUNTIF(C1522:E1522,"?*")&lt;N(INDEX(Setup!$L$6:$L$23,15)))+(COUNTIF(G1522:I1522,"?*")&lt;N(INDEX(Setup!$L$6:$L$23,15)))+(COUNTIF(K1522:M1522,"?*")&lt;N(INDEX(Setup!$L$6:$L$23,15)))+(COUNTIF(O1522:Q1522,"?*")&lt;N(INDEX(Setup!$L$6:$L$23,15)))+(COUNTIF(S1522:U1522,"?*")&lt;N(INDEX(Setup!$L$6:$L$23,15)))+((W1522="")*(INDEX(Setup!$M$6:$M$23,15)="Y"))+((Y1522="")*(INDEX(Setup!$M$6:$M$23,15)="Y")))</f>
        <v/>
      </c>
      <c r="AC1522" s="90">
        <f>IF($B1522="","",IF(AB1522=0,"✓ covered","⚠ "&amp;AB1522&amp;IF(AB1522=1," gap"," gaps")))</f>
        <v/>
      </c>
    </row>
    <row r="1523" ht="17" customHeight="1">
      <c r="A1523" t="n">
        <v>31</v>
      </c>
      <c r="B1523" s="29">
        <f>IF(Setup!$K$21="","",Setup!$K$21)</f>
        <v/>
      </c>
      <c r="C1523" s="88" t="n"/>
      <c r="D1523" s="88" t="n"/>
      <c r="E1523" s="88" t="n"/>
      <c r="F1523" s="89" t="n"/>
      <c r="G1523" s="88" t="n"/>
      <c r="H1523" s="88" t="n"/>
      <c r="I1523" s="88" t="n"/>
      <c r="J1523" s="89" t="n"/>
      <c r="K1523" s="88" t="n"/>
      <c r="L1523" s="88" t="n"/>
      <c r="M1523" s="88" t="n"/>
      <c r="N1523" s="89" t="n"/>
      <c r="O1523" s="88" t="n"/>
      <c r="P1523" s="88" t="n"/>
      <c r="Q1523" s="88" t="n"/>
      <c r="R1523" s="89" t="n"/>
      <c r="S1523" s="88" t="n"/>
      <c r="T1523" s="88" t="n"/>
      <c r="U1523" s="88" t="n"/>
      <c r="V1523" s="89" t="n"/>
      <c r="W1523" s="88" t="n"/>
      <c r="X1523" s="89" t="n"/>
      <c r="Y1523" s="88" t="n"/>
      <c r="Z1523" s="89" t="n"/>
      <c r="AB1523" s="30">
        <f>IF($B1523="","",(COUNTIF(C1523:E1523,"?*")&lt;N(INDEX(Setup!$L$6:$L$23,16)))+(COUNTIF(G1523:I1523,"?*")&lt;N(INDEX(Setup!$L$6:$L$23,16)))+(COUNTIF(K1523:M1523,"?*")&lt;N(INDEX(Setup!$L$6:$L$23,16)))+(COUNTIF(O1523:Q1523,"?*")&lt;N(INDEX(Setup!$L$6:$L$23,16)))+(COUNTIF(S1523:U1523,"?*")&lt;N(INDEX(Setup!$L$6:$L$23,16)))+((W1523="")*(INDEX(Setup!$M$6:$M$23,16)="Y"))+((Y1523="")*(INDEX(Setup!$M$6:$M$23,16)="Y")))</f>
        <v/>
      </c>
      <c r="AC1523" s="91">
        <f>IF($B1523="","",IF(AB1523=0,"✓ covered","⚠ "&amp;AB1523&amp;IF(AB1523=1," gap"," gaps")))</f>
        <v/>
      </c>
    </row>
    <row r="1524" ht="17" customHeight="1">
      <c r="A1524" t="n">
        <v>31</v>
      </c>
      <c r="B1524" s="24">
        <f>IF(Setup!$K$22="","",Setup!$K$22)</f>
        <v/>
      </c>
      <c r="C1524" s="88" t="n"/>
      <c r="D1524" s="88" t="n"/>
      <c r="E1524" s="88" t="n"/>
      <c r="F1524" s="89" t="n"/>
      <c r="G1524" s="88" t="n"/>
      <c r="H1524" s="88" t="n"/>
      <c r="I1524" s="88" t="n"/>
      <c r="J1524" s="89" t="n"/>
      <c r="K1524" s="88" t="n"/>
      <c r="L1524" s="88" t="n"/>
      <c r="M1524" s="88" t="n"/>
      <c r="N1524" s="89" t="n"/>
      <c r="O1524" s="88" t="n"/>
      <c r="P1524" s="88" t="n"/>
      <c r="Q1524" s="88" t="n"/>
      <c r="R1524" s="89" t="n"/>
      <c r="S1524" s="88" t="n"/>
      <c r="T1524" s="88" t="n"/>
      <c r="U1524" s="88" t="n"/>
      <c r="V1524" s="89" t="n"/>
      <c r="W1524" s="88" t="n"/>
      <c r="X1524" s="89" t="n"/>
      <c r="Y1524" s="88" t="n"/>
      <c r="Z1524" s="89" t="n"/>
      <c r="AB1524" s="25">
        <f>IF($B1524="","",(COUNTIF(C1524:E1524,"?*")&lt;N(INDEX(Setup!$L$6:$L$23,17)))+(COUNTIF(G1524:I1524,"?*")&lt;N(INDEX(Setup!$L$6:$L$23,17)))+(COUNTIF(K1524:M1524,"?*")&lt;N(INDEX(Setup!$L$6:$L$23,17)))+(COUNTIF(O1524:Q1524,"?*")&lt;N(INDEX(Setup!$L$6:$L$23,17)))+(COUNTIF(S1524:U1524,"?*")&lt;N(INDEX(Setup!$L$6:$L$23,17)))+((W1524="")*(INDEX(Setup!$M$6:$M$23,17)="Y"))+((Y1524="")*(INDEX(Setup!$M$6:$M$23,17)="Y")))</f>
        <v/>
      </c>
      <c r="AC1524" s="90">
        <f>IF($B1524="","",IF(AB1524=0,"✓ covered","⚠ "&amp;AB1524&amp;IF(AB1524=1," gap"," gaps")))</f>
        <v/>
      </c>
    </row>
    <row r="1525" ht="17" customHeight="1">
      <c r="A1525" t="n">
        <v>31</v>
      </c>
      <c r="B1525" s="29">
        <f>IF(Setup!$K$23="","",Setup!$K$23)</f>
        <v/>
      </c>
      <c r="C1525" s="88" t="n"/>
      <c r="D1525" s="88" t="n"/>
      <c r="E1525" s="88" t="n"/>
      <c r="F1525" s="89" t="n"/>
      <c r="G1525" s="88" t="n"/>
      <c r="H1525" s="88" t="n"/>
      <c r="I1525" s="88" t="n"/>
      <c r="J1525" s="89" t="n"/>
      <c r="K1525" s="88" t="n"/>
      <c r="L1525" s="88" t="n"/>
      <c r="M1525" s="88" t="n"/>
      <c r="N1525" s="89" t="n"/>
      <c r="O1525" s="88" t="n"/>
      <c r="P1525" s="88" t="n"/>
      <c r="Q1525" s="88" t="n"/>
      <c r="R1525" s="89" t="n"/>
      <c r="S1525" s="88" t="n"/>
      <c r="T1525" s="88" t="n"/>
      <c r="U1525" s="88" t="n"/>
      <c r="V1525" s="89" t="n"/>
      <c r="W1525" s="88" t="n"/>
      <c r="X1525" s="89" t="n"/>
      <c r="Y1525" s="88" t="n"/>
      <c r="Z1525" s="89" t="n"/>
      <c r="AB1525" s="30">
        <f>IF($B1525="","",(COUNTIF(C1525:E1525,"?*")&lt;N(INDEX(Setup!$L$6:$L$23,18)))+(COUNTIF(G1525:I1525,"?*")&lt;N(INDEX(Setup!$L$6:$L$23,18)))+(COUNTIF(K1525:M1525,"?*")&lt;N(INDEX(Setup!$L$6:$L$23,18)))+(COUNTIF(O1525:Q1525,"?*")&lt;N(INDEX(Setup!$L$6:$L$23,18)))+(COUNTIF(S1525:U1525,"?*")&lt;N(INDEX(Setup!$L$6:$L$23,18)))+((W1525="")*(INDEX(Setup!$M$6:$M$23,18)="Y"))+((Y1525="")*(INDEX(Setup!$M$6:$M$23,18)="Y")))</f>
        <v/>
      </c>
      <c r="AC1525" s="91">
        <f>IF($B1525="","",IF(AB1525=0,"✓ covered","⚠ "&amp;AB1525&amp;IF(AB1525=1," gap"," gaps")))</f>
        <v/>
      </c>
    </row>
    <row r="1526" ht="18" customHeight="1">
      <c r="A1526" t="n">
        <v>31</v>
      </c>
      <c r="B1526" s="78" t="inlineStr">
        <is>
          <t>TEAM AVAILABILITY</t>
        </is>
      </c>
      <c r="C1526" s="92" t="inlineStr">
        <is>
          <t>Mon</t>
        </is>
      </c>
      <c r="D1526" s="93" t="n"/>
      <c r="E1526" s="93" t="n"/>
      <c r="F1526" s="94" t="n"/>
      <c r="G1526" s="92" t="inlineStr">
        <is>
          <t>Tue</t>
        </is>
      </c>
      <c r="H1526" s="93" t="n"/>
      <c r="I1526" s="93" t="n"/>
      <c r="J1526" s="94" t="n"/>
      <c r="K1526" s="92" t="inlineStr">
        <is>
          <t>Wed</t>
        </is>
      </c>
      <c r="L1526" s="93" t="n"/>
      <c r="M1526" s="93" t="n"/>
      <c r="N1526" s="94" t="n"/>
      <c r="O1526" s="92" t="inlineStr">
        <is>
          <t>Thu</t>
        </is>
      </c>
      <c r="P1526" s="93" t="n"/>
      <c r="Q1526" s="93" t="n"/>
      <c r="R1526" s="94" t="n"/>
      <c r="S1526" s="92" t="inlineStr">
        <is>
          <t>Fri</t>
        </is>
      </c>
      <c r="T1526" s="93" t="n"/>
      <c r="U1526" s="93" t="n"/>
      <c r="V1526" s="94" t="n"/>
      <c r="W1526" s="95" t="inlineStr">
        <is>
          <t>Sat</t>
        </is>
      </c>
      <c r="X1526" s="96" t="n"/>
      <c r="Y1526" s="95" t="inlineStr">
        <is>
          <t>Sun</t>
        </is>
      </c>
      <c r="Z1526" s="96" t="n"/>
      <c r="AB1526" s="97" t="inlineStr">
        <is>
          <t>Days rostered</t>
        </is>
      </c>
      <c r="AC1526" s="97" t="inlineStr">
        <is>
          <t>Conflicts</t>
        </is>
      </c>
    </row>
    <row r="1527" ht="15" customHeight="1">
      <c r="A1527" t="n">
        <v>31</v>
      </c>
      <c r="B1527" s="35">
        <f>IF(Setup!$B$6="","",Setup!$B$6)</f>
        <v/>
      </c>
      <c r="C1527" s="98" t="n"/>
      <c r="D1527" s="99" t="n"/>
      <c r="E1527" s="99" t="n"/>
      <c r="F1527" s="100" t="n"/>
      <c r="G1527" s="98" t="n"/>
      <c r="H1527" s="99" t="n"/>
      <c r="I1527" s="99" t="n"/>
      <c r="J1527" s="100" t="n"/>
      <c r="K1527" s="98" t="n"/>
      <c r="L1527" s="99" t="n"/>
      <c r="M1527" s="99" t="n"/>
      <c r="N1527" s="100" t="n"/>
      <c r="O1527" s="98" t="n"/>
      <c r="P1527" s="99" t="n"/>
      <c r="Q1527" s="99" t="n"/>
      <c r="R1527" s="100" t="n"/>
      <c r="S1527" s="98" t="n"/>
      <c r="T1527" s="99" t="n"/>
      <c r="U1527" s="99" t="n"/>
      <c r="V1527" s="100" t="n"/>
      <c r="W1527" s="98" t="n"/>
      <c r="X1527" s="100" t="n"/>
      <c r="Y1527" s="98" t="n"/>
      <c r="Z1527" s="100" t="n"/>
      <c r="AB1527" s="101">
        <f>IF($B1527="","",(COUNTIF(C1508:E1525,$B1527)+COUNTIF(C1508:E1525,$B1527&amp;" ~*")&gt;0)+(COUNTIF(G1508:I1525,$B1527)+COUNTIF(G1508:I1525,$B1527&amp;" ~*")&gt;0)+(COUNTIF(K1508:M1525,$B1527)+COUNTIF(K1508:M1525,$B1527&amp;" ~*")&gt;0)+(COUNTIF(O1508:Q1525,$B1527)+COUNTIF(O1508:Q1525,$B1527&amp;" ~*")&gt;0)+(COUNTIF(S1508:U1525,$B1527)+COUNTIF(S1508:U1525,$B1527&amp;" ~*")&gt;0)+(COUNTIF(W1508:W1525,$B1527)+COUNTIF(W1508:W1525,$B1527&amp;" ~*")&gt;0)+(COUNTIF(Y1508:Y1525,$B1527)+COUNTIF(Y1508:Y1525,$B1527&amp;" ~*")&gt;0))</f>
        <v/>
      </c>
      <c r="AC1527" s="36">
        <f>IF($B1527="","",(IFERROR(INDEX(Setup!$G$33:$G$40,MATCH(C1527,Setup!$B$33:$B$40,0)),0)=1)*(COUNTIF(C1508:E1525,$B1527)+COUNTIF(C1508:E1525,$B1527&amp;" ~*")&gt;0)+(IFERROR(INDEX(Setup!$G$33:$G$40,MATCH(G1527,Setup!$B$33:$B$40,0)),0)=1)*(COUNTIF(G1508:I1525,$B1527)+COUNTIF(G1508:I1525,$B1527&amp;" ~*")&gt;0)+(IFERROR(INDEX(Setup!$G$33:$G$40,MATCH(K1527,Setup!$B$33:$B$40,0)),0)=1)*(COUNTIF(K1508:M1525,$B1527)+COUNTIF(K1508:M1525,$B1527&amp;" ~*")&gt;0)+(IFERROR(INDEX(Setup!$G$33:$G$40,MATCH(O1527,Setup!$B$33:$B$40,0)),0)=1)*(COUNTIF(O1508:Q1525,$B1527)+COUNTIF(O1508:Q1525,$B1527&amp;" ~*")&gt;0)+(IFERROR(INDEX(Setup!$G$33:$G$40,MATCH(S1527,Setup!$B$33:$B$40,0)),0)=1)*(COUNTIF(S1508:U1525,$B1527)+COUNTIF(S1508:U1525,$B1527&amp;" ~*")&gt;0)+(IFERROR(INDEX(Setup!$G$33:$G$40,MATCH(W1527,Setup!$B$33:$B$40,0)),0)=1)*(COUNTIF(W1508:W1525,$B1527)+COUNTIF(W1508:W1525,$B1527&amp;" ~*")&gt;0)+(IFERROR(INDEX(Setup!$G$33:$G$40,MATCH(Y1527,Setup!$B$33:$B$40,0)),0)=1)*(COUNTIF(Y1508:Y1525,$B1527)+COUNTIF(Y1508:Y1525,$B1527&amp;" ~*")&gt;0))</f>
        <v/>
      </c>
    </row>
    <row r="1528" ht="15" customHeight="1">
      <c r="A1528" t="n">
        <v>31</v>
      </c>
      <c r="B1528" s="37">
        <f>IF(Setup!$B$7="","",Setup!$B$7)</f>
        <v/>
      </c>
      <c r="C1528" s="102" t="n"/>
      <c r="D1528" s="103" t="n"/>
      <c r="E1528" s="103" t="n"/>
      <c r="F1528" s="104" t="n"/>
      <c r="G1528" s="102" t="n"/>
      <c r="H1528" s="103" t="n"/>
      <c r="I1528" s="103" t="n"/>
      <c r="J1528" s="104" t="n"/>
      <c r="K1528" s="102" t="n"/>
      <c r="L1528" s="103" t="n"/>
      <c r="M1528" s="103" t="n"/>
      <c r="N1528" s="104" t="n"/>
      <c r="O1528" s="102" t="n"/>
      <c r="P1528" s="103" t="n"/>
      <c r="Q1528" s="103" t="n"/>
      <c r="R1528" s="104" t="n"/>
      <c r="S1528" s="102" t="n"/>
      <c r="T1528" s="103" t="n"/>
      <c r="U1528" s="103" t="n"/>
      <c r="V1528" s="104" t="n"/>
      <c r="W1528" s="102" t="n"/>
      <c r="X1528" s="104" t="n"/>
      <c r="Y1528" s="102" t="n"/>
      <c r="Z1528" s="104" t="n"/>
      <c r="AB1528" s="105">
        <f>IF($B1528="","",(COUNTIF(C1508:E1525,$B1528)+COUNTIF(C1508:E1525,$B1528&amp;" ~*")&gt;0)+(COUNTIF(G1508:I1525,$B1528)+COUNTIF(G1508:I1525,$B1528&amp;" ~*")&gt;0)+(COUNTIF(K1508:M1525,$B1528)+COUNTIF(K1508:M1525,$B1528&amp;" ~*")&gt;0)+(COUNTIF(O1508:Q1525,$B1528)+COUNTIF(O1508:Q1525,$B1528&amp;" ~*")&gt;0)+(COUNTIF(S1508:U1525,$B1528)+COUNTIF(S1508:U1525,$B1528&amp;" ~*")&gt;0)+(COUNTIF(W1508:W1525,$B1528)+COUNTIF(W1508:W1525,$B1528&amp;" ~*")&gt;0)+(COUNTIF(Y1508:Y1525,$B1528)+COUNTIF(Y1508:Y1525,$B1528&amp;" ~*")&gt;0))</f>
        <v/>
      </c>
      <c r="AC1528" s="38">
        <f>IF($B1528="","",(IFERROR(INDEX(Setup!$G$33:$G$40,MATCH(C1528,Setup!$B$33:$B$40,0)),0)=1)*(COUNTIF(C1508:E1525,$B1528)+COUNTIF(C1508:E1525,$B1528&amp;" ~*")&gt;0)+(IFERROR(INDEX(Setup!$G$33:$G$40,MATCH(G1528,Setup!$B$33:$B$40,0)),0)=1)*(COUNTIF(G1508:I1525,$B1528)+COUNTIF(G1508:I1525,$B1528&amp;" ~*")&gt;0)+(IFERROR(INDEX(Setup!$G$33:$G$40,MATCH(K1528,Setup!$B$33:$B$40,0)),0)=1)*(COUNTIF(K1508:M1525,$B1528)+COUNTIF(K1508:M1525,$B1528&amp;" ~*")&gt;0)+(IFERROR(INDEX(Setup!$G$33:$G$40,MATCH(O1528,Setup!$B$33:$B$40,0)),0)=1)*(COUNTIF(O1508:Q1525,$B1528)+COUNTIF(O1508:Q1525,$B1528&amp;" ~*")&gt;0)+(IFERROR(INDEX(Setup!$G$33:$G$40,MATCH(S1528,Setup!$B$33:$B$40,0)),0)=1)*(COUNTIF(S1508:U1525,$B1528)+COUNTIF(S1508:U1525,$B1528&amp;" ~*")&gt;0)+(IFERROR(INDEX(Setup!$G$33:$G$40,MATCH(W1528,Setup!$B$33:$B$40,0)),0)=1)*(COUNTIF(W1508:W1525,$B1528)+COUNTIF(W1508:W1525,$B1528&amp;" ~*")&gt;0)+(IFERROR(INDEX(Setup!$G$33:$G$40,MATCH(Y1528,Setup!$B$33:$B$40,0)),0)=1)*(COUNTIF(Y1508:Y1525,$B1528)+COUNTIF(Y1508:Y1525,$B1528&amp;" ~*")&gt;0))</f>
        <v/>
      </c>
    </row>
    <row r="1529" ht="15" customHeight="1">
      <c r="A1529" t="n">
        <v>31</v>
      </c>
      <c r="B1529" s="35">
        <f>IF(Setup!$B$8="","",Setup!$B$8)</f>
        <v/>
      </c>
      <c r="C1529" s="98" t="n"/>
      <c r="D1529" s="99" t="n"/>
      <c r="E1529" s="99" t="n"/>
      <c r="F1529" s="100" t="n"/>
      <c r="G1529" s="98" t="n"/>
      <c r="H1529" s="99" t="n"/>
      <c r="I1529" s="99" t="n"/>
      <c r="J1529" s="100" t="n"/>
      <c r="K1529" s="98" t="n"/>
      <c r="L1529" s="99" t="n"/>
      <c r="M1529" s="99" t="n"/>
      <c r="N1529" s="100" t="n"/>
      <c r="O1529" s="98" t="n"/>
      <c r="P1529" s="99" t="n"/>
      <c r="Q1529" s="99" t="n"/>
      <c r="R1529" s="100" t="n"/>
      <c r="S1529" s="98" t="n"/>
      <c r="T1529" s="99" t="n"/>
      <c r="U1529" s="99" t="n"/>
      <c r="V1529" s="100" t="n"/>
      <c r="W1529" s="98" t="n"/>
      <c r="X1529" s="100" t="n"/>
      <c r="Y1529" s="98" t="n"/>
      <c r="Z1529" s="100" t="n"/>
      <c r="AB1529" s="101">
        <f>IF($B1529="","",(COUNTIF(C1508:E1525,$B1529)+COUNTIF(C1508:E1525,$B1529&amp;" ~*")&gt;0)+(COUNTIF(G1508:I1525,$B1529)+COUNTIF(G1508:I1525,$B1529&amp;" ~*")&gt;0)+(COUNTIF(K1508:M1525,$B1529)+COUNTIF(K1508:M1525,$B1529&amp;" ~*")&gt;0)+(COUNTIF(O1508:Q1525,$B1529)+COUNTIF(O1508:Q1525,$B1529&amp;" ~*")&gt;0)+(COUNTIF(S1508:U1525,$B1529)+COUNTIF(S1508:U1525,$B1529&amp;" ~*")&gt;0)+(COUNTIF(W1508:W1525,$B1529)+COUNTIF(W1508:W1525,$B1529&amp;" ~*")&gt;0)+(COUNTIF(Y1508:Y1525,$B1529)+COUNTIF(Y1508:Y1525,$B1529&amp;" ~*")&gt;0))</f>
        <v/>
      </c>
      <c r="AC1529" s="36">
        <f>IF($B1529="","",(IFERROR(INDEX(Setup!$G$33:$G$40,MATCH(C1529,Setup!$B$33:$B$40,0)),0)=1)*(COUNTIF(C1508:E1525,$B1529)+COUNTIF(C1508:E1525,$B1529&amp;" ~*")&gt;0)+(IFERROR(INDEX(Setup!$G$33:$G$40,MATCH(G1529,Setup!$B$33:$B$40,0)),0)=1)*(COUNTIF(G1508:I1525,$B1529)+COUNTIF(G1508:I1525,$B1529&amp;" ~*")&gt;0)+(IFERROR(INDEX(Setup!$G$33:$G$40,MATCH(K1529,Setup!$B$33:$B$40,0)),0)=1)*(COUNTIF(K1508:M1525,$B1529)+COUNTIF(K1508:M1525,$B1529&amp;" ~*")&gt;0)+(IFERROR(INDEX(Setup!$G$33:$G$40,MATCH(O1529,Setup!$B$33:$B$40,0)),0)=1)*(COUNTIF(O1508:Q1525,$B1529)+COUNTIF(O1508:Q1525,$B1529&amp;" ~*")&gt;0)+(IFERROR(INDEX(Setup!$G$33:$G$40,MATCH(S1529,Setup!$B$33:$B$40,0)),0)=1)*(COUNTIF(S1508:U1525,$B1529)+COUNTIF(S1508:U1525,$B1529&amp;" ~*")&gt;0)+(IFERROR(INDEX(Setup!$G$33:$G$40,MATCH(W1529,Setup!$B$33:$B$40,0)),0)=1)*(COUNTIF(W1508:W1525,$B1529)+COUNTIF(W1508:W1525,$B1529&amp;" ~*")&gt;0)+(IFERROR(INDEX(Setup!$G$33:$G$40,MATCH(Y1529,Setup!$B$33:$B$40,0)),0)=1)*(COUNTIF(Y1508:Y1525,$B1529)+COUNTIF(Y1508:Y1525,$B1529&amp;" ~*")&gt;0))</f>
        <v/>
      </c>
    </row>
    <row r="1530" ht="15" customHeight="1">
      <c r="A1530" t="n">
        <v>31</v>
      </c>
      <c r="B1530" s="37">
        <f>IF(Setup!$B$9="","",Setup!$B$9)</f>
        <v/>
      </c>
      <c r="C1530" s="102" t="n"/>
      <c r="D1530" s="103" t="n"/>
      <c r="E1530" s="103" t="n"/>
      <c r="F1530" s="104" t="n"/>
      <c r="G1530" s="102" t="n"/>
      <c r="H1530" s="103" t="n"/>
      <c r="I1530" s="103" t="n"/>
      <c r="J1530" s="104" t="n"/>
      <c r="K1530" s="102" t="n"/>
      <c r="L1530" s="103" t="n"/>
      <c r="M1530" s="103" t="n"/>
      <c r="N1530" s="104" t="n"/>
      <c r="O1530" s="102" t="n"/>
      <c r="P1530" s="103" t="n"/>
      <c r="Q1530" s="103" t="n"/>
      <c r="R1530" s="104" t="n"/>
      <c r="S1530" s="102" t="n"/>
      <c r="T1530" s="103" t="n"/>
      <c r="U1530" s="103" t="n"/>
      <c r="V1530" s="104" t="n"/>
      <c r="W1530" s="102" t="n"/>
      <c r="X1530" s="104" t="n"/>
      <c r="Y1530" s="102" t="n"/>
      <c r="Z1530" s="104" t="n"/>
      <c r="AB1530" s="105">
        <f>IF($B1530="","",(COUNTIF(C1508:E1525,$B1530)+COUNTIF(C1508:E1525,$B1530&amp;" ~*")&gt;0)+(COUNTIF(G1508:I1525,$B1530)+COUNTIF(G1508:I1525,$B1530&amp;" ~*")&gt;0)+(COUNTIF(K1508:M1525,$B1530)+COUNTIF(K1508:M1525,$B1530&amp;" ~*")&gt;0)+(COUNTIF(O1508:Q1525,$B1530)+COUNTIF(O1508:Q1525,$B1530&amp;" ~*")&gt;0)+(COUNTIF(S1508:U1525,$B1530)+COUNTIF(S1508:U1525,$B1530&amp;" ~*")&gt;0)+(COUNTIF(W1508:W1525,$B1530)+COUNTIF(W1508:W1525,$B1530&amp;" ~*")&gt;0)+(COUNTIF(Y1508:Y1525,$B1530)+COUNTIF(Y1508:Y1525,$B1530&amp;" ~*")&gt;0))</f>
        <v/>
      </c>
      <c r="AC1530" s="38">
        <f>IF($B1530="","",(IFERROR(INDEX(Setup!$G$33:$G$40,MATCH(C1530,Setup!$B$33:$B$40,0)),0)=1)*(COUNTIF(C1508:E1525,$B1530)+COUNTIF(C1508:E1525,$B1530&amp;" ~*")&gt;0)+(IFERROR(INDEX(Setup!$G$33:$G$40,MATCH(G1530,Setup!$B$33:$B$40,0)),0)=1)*(COUNTIF(G1508:I1525,$B1530)+COUNTIF(G1508:I1525,$B1530&amp;" ~*")&gt;0)+(IFERROR(INDEX(Setup!$G$33:$G$40,MATCH(K1530,Setup!$B$33:$B$40,0)),0)=1)*(COUNTIF(K1508:M1525,$B1530)+COUNTIF(K1508:M1525,$B1530&amp;" ~*")&gt;0)+(IFERROR(INDEX(Setup!$G$33:$G$40,MATCH(O1530,Setup!$B$33:$B$40,0)),0)=1)*(COUNTIF(O1508:Q1525,$B1530)+COUNTIF(O1508:Q1525,$B1530&amp;" ~*")&gt;0)+(IFERROR(INDEX(Setup!$G$33:$G$40,MATCH(S1530,Setup!$B$33:$B$40,0)),0)=1)*(COUNTIF(S1508:U1525,$B1530)+COUNTIF(S1508:U1525,$B1530&amp;" ~*")&gt;0)+(IFERROR(INDEX(Setup!$G$33:$G$40,MATCH(W1530,Setup!$B$33:$B$40,0)),0)=1)*(COUNTIF(W1508:W1525,$B1530)+COUNTIF(W1508:W1525,$B1530&amp;" ~*")&gt;0)+(IFERROR(INDEX(Setup!$G$33:$G$40,MATCH(Y1530,Setup!$B$33:$B$40,0)),0)=1)*(COUNTIF(Y1508:Y1525,$B1530)+COUNTIF(Y1508:Y1525,$B1530&amp;" ~*")&gt;0))</f>
        <v/>
      </c>
    </row>
    <row r="1531" ht="15" customHeight="1">
      <c r="A1531" t="n">
        <v>31</v>
      </c>
      <c r="B1531" s="35">
        <f>IF(Setup!$B$10="","",Setup!$B$10)</f>
        <v/>
      </c>
      <c r="C1531" s="98" t="n"/>
      <c r="D1531" s="99" t="n"/>
      <c r="E1531" s="99" t="n"/>
      <c r="F1531" s="100" t="n"/>
      <c r="G1531" s="98" t="n"/>
      <c r="H1531" s="99" t="n"/>
      <c r="I1531" s="99" t="n"/>
      <c r="J1531" s="100" t="n"/>
      <c r="K1531" s="98" t="n"/>
      <c r="L1531" s="99" t="n"/>
      <c r="M1531" s="99" t="n"/>
      <c r="N1531" s="100" t="n"/>
      <c r="O1531" s="98" t="n"/>
      <c r="P1531" s="99" t="n"/>
      <c r="Q1531" s="99" t="n"/>
      <c r="R1531" s="100" t="n"/>
      <c r="S1531" s="98" t="n"/>
      <c r="T1531" s="99" t="n"/>
      <c r="U1531" s="99" t="n"/>
      <c r="V1531" s="100" t="n"/>
      <c r="W1531" s="98" t="n"/>
      <c r="X1531" s="100" t="n"/>
      <c r="Y1531" s="98" t="n"/>
      <c r="Z1531" s="100" t="n"/>
      <c r="AB1531" s="101">
        <f>IF($B1531="","",(COUNTIF(C1508:E1525,$B1531)+COUNTIF(C1508:E1525,$B1531&amp;" ~*")&gt;0)+(COUNTIF(G1508:I1525,$B1531)+COUNTIF(G1508:I1525,$B1531&amp;" ~*")&gt;0)+(COUNTIF(K1508:M1525,$B1531)+COUNTIF(K1508:M1525,$B1531&amp;" ~*")&gt;0)+(COUNTIF(O1508:Q1525,$B1531)+COUNTIF(O1508:Q1525,$B1531&amp;" ~*")&gt;0)+(COUNTIF(S1508:U1525,$B1531)+COUNTIF(S1508:U1525,$B1531&amp;" ~*")&gt;0)+(COUNTIF(W1508:W1525,$B1531)+COUNTIF(W1508:W1525,$B1531&amp;" ~*")&gt;0)+(COUNTIF(Y1508:Y1525,$B1531)+COUNTIF(Y1508:Y1525,$B1531&amp;" ~*")&gt;0))</f>
        <v/>
      </c>
      <c r="AC1531" s="36">
        <f>IF($B1531="","",(IFERROR(INDEX(Setup!$G$33:$G$40,MATCH(C1531,Setup!$B$33:$B$40,0)),0)=1)*(COUNTIF(C1508:E1525,$B1531)+COUNTIF(C1508:E1525,$B1531&amp;" ~*")&gt;0)+(IFERROR(INDEX(Setup!$G$33:$G$40,MATCH(G1531,Setup!$B$33:$B$40,0)),0)=1)*(COUNTIF(G1508:I1525,$B1531)+COUNTIF(G1508:I1525,$B1531&amp;" ~*")&gt;0)+(IFERROR(INDEX(Setup!$G$33:$G$40,MATCH(K1531,Setup!$B$33:$B$40,0)),0)=1)*(COUNTIF(K1508:M1525,$B1531)+COUNTIF(K1508:M1525,$B1531&amp;" ~*")&gt;0)+(IFERROR(INDEX(Setup!$G$33:$G$40,MATCH(O1531,Setup!$B$33:$B$40,0)),0)=1)*(COUNTIF(O1508:Q1525,$B1531)+COUNTIF(O1508:Q1525,$B1531&amp;" ~*")&gt;0)+(IFERROR(INDEX(Setup!$G$33:$G$40,MATCH(S1531,Setup!$B$33:$B$40,0)),0)=1)*(COUNTIF(S1508:U1525,$B1531)+COUNTIF(S1508:U1525,$B1531&amp;" ~*")&gt;0)+(IFERROR(INDEX(Setup!$G$33:$G$40,MATCH(W1531,Setup!$B$33:$B$40,0)),0)=1)*(COUNTIF(W1508:W1525,$B1531)+COUNTIF(W1508:W1525,$B1531&amp;" ~*")&gt;0)+(IFERROR(INDEX(Setup!$G$33:$G$40,MATCH(Y1531,Setup!$B$33:$B$40,0)),0)=1)*(COUNTIF(Y1508:Y1525,$B1531)+COUNTIF(Y1508:Y1525,$B1531&amp;" ~*")&gt;0))</f>
        <v/>
      </c>
    </row>
    <row r="1532" ht="15" customHeight="1">
      <c r="A1532" t="n">
        <v>31</v>
      </c>
      <c r="B1532" s="37">
        <f>IF(Setup!$B$11="","",Setup!$B$11)</f>
        <v/>
      </c>
      <c r="C1532" s="102" t="n"/>
      <c r="D1532" s="103" t="n"/>
      <c r="E1532" s="103" t="n"/>
      <c r="F1532" s="104" t="n"/>
      <c r="G1532" s="102" t="n"/>
      <c r="H1532" s="103" t="n"/>
      <c r="I1532" s="103" t="n"/>
      <c r="J1532" s="104" t="n"/>
      <c r="K1532" s="102" t="n"/>
      <c r="L1532" s="103" t="n"/>
      <c r="M1532" s="103" t="n"/>
      <c r="N1532" s="104" t="n"/>
      <c r="O1532" s="102" t="n"/>
      <c r="P1532" s="103" t="n"/>
      <c r="Q1532" s="103" t="n"/>
      <c r="R1532" s="104" t="n"/>
      <c r="S1532" s="102" t="n"/>
      <c r="T1532" s="103" t="n"/>
      <c r="U1532" s="103" t="n"/>
      <c r="V1532" s="104" t="n"/>
      <c r="W1532" s="102" t="n"/>
      <c r="X1532" s="104" t="n"/>
      <c r="Y1532" s="102" t="n"/>
      <c r="Z1532" s="104" t="n"/>
      <c r="AB1532" s="105">
        <f>IF($B1532="","",(COUNTIF(C1508:E1525,$B1532)+COUNTIF(C1508:E1525,$B1532&amp;" ~*")&gt;0)+(COUNTIF(G1508:I1525,$B1532)+COUNTIF(G1508:I1525,$B1532&amp;" ~*")&gt;0)+(COUNTIF(K1508:M1525,$B1532)+COUNTIF(K1508:M1525,$B1532&amp;" ~*")&gt;0)+(COUNTIF(O1508:Q1525,$B1532)+COUNTIF(O1508:Q1525,$B1532&amp;" ~*")&gt;0)+(COUNTIF(S1508:U1525,$B1532)+COUNTIF(S1508:U1525,$B1532&amp;" ~*")&gt;0)+(COUNTIF(W1508:W1525,$B1532)+COUNTIF(W1508:W1525,$B1532&amp;" ~*")&gt;0)+(COUNTIF(Y1508:Y1525,$B1532)+COUNTIF(Y1508:Y1525,$B1532&amp;" ~*")&gt;0))</f>
        <v/>
      </c>
      <c r="AC1532" s="38">
        <f>IF($B1532="","",(IFERROR(INDEX(Setup!$G$33:$G$40,MATCH(C1532,Setup!$B$33:$B$40,0)),0)=1)*(COUNTIF(C1508:E1525,$B1532)+COUNTIF(C1508:E1525,$B1532&amp;" ~*")&gt;0)+(IFERROR(INDEX(Setup!$G$33:$G$40,MATCH(G1532,Setup!$B$33:$B$40,0)),0)=1)*(COUNTIF(G1508:I1525,$B1532)+COUNTIF(G1508:I1525,$B1532&amp;" ~*")&gt;0)+(IFERROR(INDEX(Setup!$G$33:$G$40,MATCH(K1532,Setup!$B$33:$B$40,0)),0)=1)*(COUNTIF(K1508:M1525,$B1532)+COUNTIF(K1508:M1525,$B1532&amp;" ~*")&gt;0)+(IFERROR(INDEX(Setup!$G$33:$G$40,MATCH(O1532,Setup!$B$33:$B$40,0)),0)=1)*(COUNTIF(O1508:Q1525,$B1532)+COUNTIF(O1508:Q1525,$B1532&amp;" ~*")&gt;0)+(IFERROR(INDEX(Setup!$G$33:$G$40,MATCH(S1532,Setup!$B$33:$B$40,0)),0)=1)*(COUNTIF(S1508:U1525,$B1532)+COUNTIF(S1508:U1525,$B1532&amp;" ~*")&gt;0)+(IFERROR(INDEX(Setup!$G$33:$G$40,MATCH(W1532,Setup!$B$33:$B$40,0)),0)=1)*(COUNTIF(W1508:W1525,$B1532)+COUNTIF(W1508:W1525,$B1532&amp;" ~*")&gt;0)+(IFERROR(INDEX(Setup!$G$33:$G$40,MATCH(Y1532,Setup!$B$33:$B$40,0)),0)=1)*(COUNTIF(Y1508:Y1525,$B1532)+COUNTIF(Y1508:Y1525,$B1532&amp;" ~*")&gt;0))</f>
        <v/>
      </c>
    </row>
    <row r="1533" ht="15" customHeight="1">
      <c r="A1533" t="n">
        <v>31</v>
      </c>
      <c r="B1533" s="35">
        <f>IF(Setup!$B$12="","",Setup!$B$12)</f>
        <v/>
      </c>
      <c r="C1533" s="98" t="n"/>
      <c r="D1533" s="99" t="n"/>
      <c r="E1533" s="99" t="n"/>
      <c r="F1533" s="100" t="n"/>
      <c r="G1533" s="98" t="n"/>
      <c r="H1533" s="99" t="n"/>
      <c r="I1533" s="99" t="n"/>
      <c r="J1533" s="100" t="n"/>
      <c r="K1533" s="98" t="n"/>
      <c r="L1533" s="99" t="n"/>
      <c r="M1533" s="99" t="n"/>
      <c r="N1533" s="100" t="n"/>
      <c r="O1533" s="98" t="n"/>
      <c r="P1533" s="99" t="n"/>
      <c r="Q1533" s="99" t="n"/>
      <c r="R1533" s="100" t="n"/>
      <c r="S1533" s="98" t="n"/>
      <c r="T1533" s="99" t="n"/>
      <c r="U1533" s="99" t="n"/>
      <c r="V1533" s="100" t="n"/>
      <c r="W1533" s="98" t="n"/>
      <c r="X1533" s="100" t="n"/>
      <c r="Y1533" s="98" t="n"/>
      <c r="Z1533" s="100" t="n"/>
      <c r="AB1533" s="101">
        <f>IF($B1533="","",(COUNTIF(C1508:E1525,$B1533)+COUNTIF(C1508:E1525,$B1533&amp;" ~*")&gt;0)+(COUNTIF(G1508:I1525,$B1533)+COUNTIF(G1508:I1525,$B1533&amp;" ~*")&gt;0)+(COUNTIF(K1508:M1525,$B1533)+COUNTIF(K1508:M1525,$B1533&amp;" ~*")&gt;0)+(COUNTIF(O1508:Q1525,$B1533)+COUNTIF(O1508:Q1525,$B1533&amp;" ~*")&gt;0)+(COUNTIF(S1508:U1525,$B1533)+COUNTIF(S1508:U1525,$B1533&amp;" ~*")&gt;0)+(COUNTIF(W1508:W1525,$B1533)+COUNTIF(W1508:W1525,$B1533&amp;" ~*")&gt;0)+(COUNTIF(Y1508:Y1525,$B1533)+COUNTIF(Y1508:Y1525,$B1533&amp;" ~*")&gt;0))</f>
        <v/>
      </c>
      <c r="AC1533" s="36">
        <f>IF($B1533="","",(IFERROR(INDEX(Setup!$G$33:$G$40,MATCH(C1533,Setup!$B$33:$B$40,0)),0)=1)*(COUNTIF(C1508:E1525,$B1533)+COUNTIF(C1508:E1525,$B1533&amp;" ~*")&gt;0)+(IFERROR(INDEX(Setup!$G$33:$G$40,MATCH(G1533,Setup!$B$33:$B$40,0)),0)=1)*(COUNTIF(G1508:I1525,$B1533)+COUNTIF(G1508:I1525,$B1533&amp;" ~*")&gt;0)+(IFERROR(INDEX(Setup!$G$33:$G$40,MATCH(K1533,Setup!$B$33:$B$40,0)),0)=1)*(COUNTIF(K1508:M1525,$B1533)+COUNTIF(K1508:M1525,$B1533&amp;" ~*")&gt;0)+(IFERROR(INDEX(Setup!$G$33:$G$40,MATCH(O1533,Setup!$B$33:$B$40,0)),0)=1)*(COUNTIF(O1508:Q1525,$B1533)+COUNTIF(O1508:Q1525,$B1533&amp;" ~*")&gt;0)+(IFERROR(INDEX(Setup!$G$33:$G$40,MATCH(S1533,Setup!$B$33:$B$40,0)),0)=1)*(COUNTIF(S1508:U1525,$B1533)+COUNTIF(S1508:U1525,$B1533&amp;" ~*")&gt;0)+(IFERROR(INDEX(Setup!$G$33:$G$40,MATCH(W1533,Setup!$B$33:$B$40,0)),0)=1)*(COUNTIF(W1508:W1525,$B1533)+COUNTIF(W1508:W1525,$B1533&amp;" ~*")&gt;0)+(IFERROR(INDEX(Setup!$G$33:$G$40,MATCH(Y1533,Setup!$B$33:$B$40,0)),0)=1)*(COUNTIF(Y1508:Y1525,$B1533)+COUNTIF(Y1508:Y1525,$B1533&amp;" ~*")&gt;0))</f>
        <v/>
      </c>
    </row>
    <row r="1534" ht="15" customHeight="1">
      <c r="A1534" t="n">
        <v>31</v>
      </c>
      <c r="B1534" s="37">
        <f>IF(Setup!$B$13="","",Setup!$B$13)</f>
        <v/>
      </c>
      <c r="C1534" s="102" t="n"/>
      <c r="D1534" s="103" t="n"/>
      <c r="E1534" s="103" t="n"/>
      <c r="F1534" s="104" t="n"/>
      <c r="G1534" s="102" t="n"/>
      <c r="H1534" s="103" t="n"/>
      <c r="I1534" s="103" t="n"/>
      <c r="J1534" s="104" t="n"/>
      <c r="K1534" s="102" t="n"/>
      <c r="L1534" s="103" t="n"/>
      <c r="M1534" s="103" t="n"/>
      <c r="N1534" s="104" t="n"/>
      <c r="O1534" s="102" t="n"/>
      <c r="P1534" s="103" t="n"/>
      <c r="Q1534" s="103" t="n"/>
      <c r="R1534" s="104" t="n"/>
      <c r="S1534" s="102" t="n"/>
      <c r="T1534" s="103" t="n"/>
      <c r="U1534" s="103" t="n"/>
      <c r="V1534" s="104" t="n"/>
      <c r="W1534" s="102" t="n"/>
      <c r="X1534" s="104" t="n"/>
      <c r="Y1534" s="102" t="n"/>
      <c r="Z1534" s="104" t="n"/>
      <c r="AB1534" s="105">
        <f>IF($B1534="","",(COUNTIF(C1508:E1525,$B1534)+COUNTIF(C1508:E1525,$B1534&amp;" ~*")&gt;0)+(COUNTIF(G1508:I1525,$B1534)+COUNTIF(G1508:I1525,$B1534&amp;" ~*")&gt;0)+(COUNTIF(K1508:M1525,$B1534)+COUNTIF(K1508:M1525,$B1534&amp;" ~*")&gt;0)+(COUNTIF(O1508:Q1525,$B1534)+COUNTIF(O1508:Q1525,$B1534&amp;" ~*")&gt;0)+(COUNTIF(S1508:U1525,$B1534)+COUNTIF(S1508:U1525,$B1534&amp;" ~*")&gt;0)+(COUNTIF(W1508:W1525,$B1534)+COUNTIF(W1508:W1525,$B1534&amp;" ~*")&gt;0)+(COUNTIF(Y1508:Y1525,$B1534)+COUNTIF(Y1508:Y1525,$B1534&amp;" ~*")&gt;0))</f>
        <v/>
      </c>
      <c r="AC1534" s="38">
        <f>IF($B1534="","",(IFERROR(INDEX(Setup!$G$33:$G$40,MATCH(C1534,Setup!$B$33:$B$40,0)),0)=1)*(COUNTIF(C1508:E1525,$B1534)+COUNTIF(C1508:E1525,$B1534&amp;" ~*")&gt;0)+(IFERROR(INDEX(Setup!$G$33:$G$40,MATCH(G1534,Setup!$B$33:$B$40,0)),0)=1)*(COUNTIF(G1508:I1525,$B1534)+COUNTIF(G1508:I1525,$B1534&amp;" ~*")&gt;0)+(IFERROR(INDEX(Setup!$G$33:$G$40,MATCH(K1534,Setup!$B$33:$B$40,0)),0)=1)*(COUNTIF(K1508:M1525,$B1534)+COUNTIF(K1508:M1525,$B1534&amp;" ~*")&gt;0)+(IFERROR(INDEX(Setup!$G$33:$G$40,MATCH(O1534,Setup!$B$33:$B$40,0)),0)=1)*(COUNTIF(O1508:Q1525,$B1534)+COUNTIF(O1508:Q1525,$B1534&amp;" ~*")&gt;0)+(IFERROR(INDEX(Setup!$G$33:$G$40,MATCH(S1534,Setup!$B$33:$B$40,0)),0)=1)*(COUNTIF(S1508:U1525,$B1534)+COUNTIF(S1508:U1525,$B1534&amp;" ~*")&gt;0)+(IFERROR(INDEX(Setup!$G$33:$G$40,MATCH(W1534,Setup!$B$33:$B$40,0)),0)=1)*(COUNTIF(W1508:W1525,$B1534)+COUNTIF(W1508:W1525,$B1534&amp;" ~*")&gt;0)+(IFERROR(INDEX(Setup!$G$33:$G$40,MATCH(Y1534,Setup!$B$33:$B$40,0)),0)=1)*(COUNTIF(Y1508:Y1525,$B1534)+COUNTIF(Y1508:Y1525,$B1534&amp;" ~*")&gt;0))</f>
        <v/>
      </c>
    </row>
    <row r="1535" ht="15" customHeight="1">
      <c r="A1535" t="n">
        <v>31</v>
      </c>
      <c r="B1535" s="35">
        <f>IF(Setup!$B$14="","",Setup!$B$14)</f>
        <v/>
      </c>
      <c r="C1535" s="98" t="n"/>
      <c r="D1535" s="99" t="n"/>
      <c r="E1535" s="99" t="n"/>
      <c r="F1535" s="100" t="n"/>
      <c r="G1535" s="98" t="n"/>
      <c r="H1535" s="99" t="n"/>
      <c r="I1535" s="99" t="n"/>
      <c r="J1535" s="100" t="n"/>
      <c r="K1535" s="98" t="n"/>
      <c r="L1535" s="99" t="n"/>
      <c r="M1535" s="99" t="n"/>
      <c r="N1535" s="100" t="n"/>
      <c r="O1535" s="98" t="n"/>
      <c r="P1535" s="99" t="n"/>
      <c r="Q1535" s="99" t="n"/>
      <c r="R1535" s="100" t="n"/>
      <c r="S1535" s="98" t="n"/>
      <c r="T1535" s="99" t="n"/>
      <c r="U1535" s="99" t="n"/>
      <c r="V1535" s="100" t="n"/>
      <c r="W1535" s="98" t="n"/>
      <c r="X1535" s="100" t="n"/>
      <c r="Y1535" s="98" t="n"/>
      <c r="Z1535" s="100" t="n"/>
      <c r="AB1535" s="101">
        <f>IF($B1535="","",(COUNTIF(C1508:E1525,$B1535)+COUNTIF(C1508:E1525,$B1535&amp;" ~*")&gt;0)+(COUNTIF(G1508:I1525,$B1535)+COUNTIF(G1508:I1525,$B1535&amp;" ~*")&gt;0)+(COUNTIF(K1508:M1525,$B1535)+COUNTIF(K1508:M1525,$B1535&amp;" ~*")&gt;0)+(COUNTIF(O1508:Q1525,$B1535)+COUNTIF(O1508:Q1525,$B1535&amp;" ~*")&gt;0)+(COUNTIF(S1508:U1525,$B1535)+COUNTIF(S1508:U1525,$B1535&amp;" ~*")&gt;0)+(COUNTIF(W1508:W1525,$B1535)+COUNTIF(W1508:W1525,$B1535&amp;" ~*")&gt;0)+(COUNTIF(Y1508:Y1525,$B1535)+COUNTIF(Y1508:Y1525,$B1535&amp;" ~*")&gt;0))</f>
        <v/>
      </c>
      <c r="AC1535" s="36">
        <f>IF($B1535="","",(IFERROR(INDEX(Setup!$G$33:$G$40,MATCH(C1535,Setup!$B$33:$B$40,0)),0)=1)*(COUNTIF(C1508:E1525,$B1535)+COUNTIF(C1508:E1525,$B1535&amp;" ~*")&gt;0)+(IFERROR(INDEX(Setup!$G$33:$G$40,MATCH(G1535,Setup!$B$33:$B$40,0)),0)=1)*(COUNTIF(G1508:I1525,$B1535)+COUNTIF(G1508:I1525,$B1535&amp;" ~*")&gt;0)+(IFERROR(INDEX(Setup!$G$33:$G$40,MATCH(K1535,Setup!$B$33:$B$40,0)),0)=1)*(COUNTIF(K1508:M1525,$B1535)+COUNTIF(K1508:M1525,$B1535&amp;" ~*")&gt;0)+(IFERROR(INDEX(Setup!$G$33:$G$40,MATCH(O1535,Setup!$B$33:$B$40,0)),0)=1)*(COUNTIF(O1508:Q1525,$B1535)+COUNTIF(O1508:Q1525,$B1535&amp;" ~*")&gt;0)+(IFERROR(INDEX(Setup!$G$33:$G$40,MATCH(S1535,Setup!$B$33:$B$40,0)),0)=1)*(COUNTIF(S1508:U1525,$B1535)+COUNTIF(S1508:U1525,$B1535&amp;" ~*")&gt;0)+(IFERROR(INDEX(Setup!$G$33:$G$40,MATCH(W1535,Setup!$B$33:$B$40,0)),0)=1)*(COUNTIF(W1508:W1525,$B1535)+COUNTIF(W1508:W1525,$B1535&amp;" ~*")&gt;0)+(IFERROR(INDEX(Setup!$G$33:$G$40,MATCH(Y1535,Setup!$B$33:$B$40,0)),0)=1)*(COUNTIF(Y1508:Y1525,$B1535)+COUNTIF(Y1508:Y1525,$B1535&amp;" ~*")&gt;0))</f>
        <v/>
      </c>
    </row>
    <row r="1536" ht="15" customHeight="1">
      <c r="A1536" t="n">
        <v>31</v>
      </c>
      <c r="B1536" s="37">
        <f>IF(Setup!$B$15="","",Setup!$B$15)</f>
        <v/>
      </c>
      <c r="C1536" s="102" t="n"/>
      <c r="D1536" s="103" t="n"/>
      <c r="E1536" s="103" t="n"/>
      <c r="F1536" s="104" t="n"/>
      <c r="G1536" s="102" t="n"/>
      <c r="H1536" s="103" t="n"/>
      <c r="I1536" s="103" t="n"/>
      <c r="J1536" s="104" t="n"/>
      <c r="K1536" s="102" t="n"/>
      <c r="L1536" s="103" t="n"/>
      <c r="M1536" s="103" t="n"/>
      <c r="N1536" s="104" t="n"/>
      <c r="O1536" s="102" t="n"/>
      <c r="P1536" s="103" t="n"/>
      <c r="Q1536" s="103" t="n"/>
      <c r="R1536" s="104" t="n"/>
      <c r="S1536" s="102" t="n"/>
      <c r="T1536" s="103" t="n"/>
      <c r="U1536" s="103" t="n"/>
      <c r="V1536" s="104" t="n"/>
      <c r="W1536" s="102" t="n"/>
      <c r="X1536" s="104" t="n"/>
      <c r="Y1536" s="102" t="n"/>
      <c r="Z1536" s="104" t="n"/>
      <c r="AB1536" s="105">
        <f>IF($B1536="","",(COUNTIF(C1508:E1525,$B1536)+COUNTIF(C1508:E1525,$B1536&amp;" ~*")&gt;0)+(COUNTIF(G1508:I1525,$B1536)+COUNTIF(G1508:I1525,$B1536&amp;" ~*")&gt;0)+(COUNTIF(K1508:M1525,$B1536)+COUNTIF(K1508:M1525,$B1536&amp;" ~*")&gt;0)+(COUNTIF(O1508:Q1525,$B1536)+COUNTIF(O1508:Q1525,$B1536&amp;" ~*")&gt;0)+(COUNTIF(S1508:U1525,$B1536)+COUNTIF(S1508:U1525,$B1536&amp;" ~*")&gt;0)+(COUNTIF(W1508:W1525,$B1536)+COUNTIF(W1508:W1525,$B1536&amp;" ~*")&gt;0)+(COUNTIF(Y1508:Y1525,$B1536)+COUNTIF(Y1508:Y1525,$B1536&amp;" ~*")&gt;0))</f>
        <v/>
      </c>
      <c r="AC1536" s="38">
        <f>IF($B1536="","",(IFERROR(INDEX(Setup!$G$33:$G$40,MATCH(C1536,Setup!$B$33:$B$40,0)),0)=1)*(COUNTIF(C1508:E1525,$B1536)+COUNTIF(C1508:E1525,$B1536&amp;" ~*")&gt;0)+(IFERROR(INDEX(Setup!$G$33:$G$40,MATCH(G1536,Setup!$B$33:$B$40,0)),0)=1)*(COUNTIF(G1508:I1525,$B1536)+COUNTIF(G1508:I1525,$B1536&amp;" ~*")&gt;0)+(IFERROR(INDEX(Setup!$G$33:$G$40,MATCH(K1536,Setup!$B$33:$B$40,0)),0)=1)*(COUNTIF(K1508:M1525,$B1536)+COUNTIF(K1508:M1525,$B1536&amp;" ~*")&gt;0)+(IFERROR(INDEX(Setup!$G$33:$G$40,MATCH(O1536,Setup!$B$33:$B$40,0)),0)=1)*(COUNTIF(O1508:Q1525,$B1536)+COUNTIF(O1508:Q1525,$B1536&amp;" ~*")&gt;0)+(IFERROR(INDEX(Setup!$G$33:$G$40,MATCH(S1536,Setup!$B$33:$B$40,0)),0)=1)*(COUNTIF(S1508:U1525,$B1536)+COUNTIF(S1508:U1525,$B1536&amp;" ~*")&gt;0)+(IFERROR(INDEX(Setup!$G$33:$G$40,MATCH(W1536,Setup!$B$33:$B$40,0)),0)=1)*(COUNTIF(W1508:W1525,$B1536)+COUNTIF(W1508:W1525,$B1536&amp;" ~*")&gt;0)+(IFERROR(INDEX(Setup!$G$33:$G$40,MATCH(Y1536,Setup!$B$33:$B$40,0)),0)=1)*(COUNTIF(Y1508:Y1525,$B1536)+COUNTIF(Y1508:Y1525,$B1536&amp;" ~*")&gt;0))</f>
        <v/>
      </c>
    </row>
    <row r="1537" ht="15" customHeight="1">
      <c r="A1537" t="n">
        <v>31</v>
      </c>
      <c r="B1537" s="35">
        <f>IF(Setup!$B$16="","",Setup!$B$16)</f>
        <v/>
      </c>
      <c r="C1537" s="98" t="n"/>
      <c r="D1537" s="99" t="n"/>
      <c r="E1537" s="99" t="n"/>
      <c r="F1537" s="100" t="n"/>
      <c r="G1537" s="98" t="n"/>
      <c r="H1537" s="99" t="n"/>
      <c r="I1537" s="99" t="n"/>
      <c r="J1537" s="100" t="n"/>
      <c r="K1537" s="98" t="n"/>
      <c r="L1537" s="99" t="n"/>
      <c r="M1537" s="99" t="n"/>
      <c r="N1537" s="100" t="n"/>
      <c r="O1537" s="98" t="n"/>
      <c r="P1537" s="99" t="n"/>
      <c r="Q1537" s="99" t="n"/>
      <c r="R1537" s="100" t="n"/>
      <c r="S1537" s="98" t="n"/>
      <c r="T1537" s="99" t="n"/>
      <c r="U1537" s="99" t="n"/>
      <c r="V1537" s="100" t="n"/>
      <c r="W1537" s="98" t="n"/>
      <c r="X1537" s="100" t="n"/>
      <c r="Y1537" s="98" t="n"/>
      <c r="Z1537" s="100" t="n"/>
      <c r="AB1537" s="101">
        <f>IF($B1537="","",(COUNTIF(C1508:E1525,$B1537)+COUNTIF(C1508:E1525,$B1537&amp;" ~*")&gt;0)+(COUNTIF(G1508:I1525,$B1537)+COUNTIF(G1508:I1525,$B1537&amp;" ~*")&gt;0)+(COUNTIF(K1508:M1525,$B1537)+COUNTIF(K1508:M1525,$B1537&amp;" ~*")&gt;0)+(COUNTIF(O1508:Q1525,$B1537)+COUNTIF(O1508:Q1525,$B1537&amp;" ~*")&gt;0)+(COUNTIF(S1508:U1525,$B1537)+COUNTIF(S1508:U1525,$B1537&amp;" ~*")&gt;0)+(COUNTIF(W1508:W1525,$B1537)+COUNTIF(W1508:W1525,$B1537&amp;" ~*")&gt;0)+(COUNTIF(Y1508:Y1525,$B1537)+COUNTIF(Y1508:Y1525,$B1537&amp;" ~*")&gt;0))</f>
        <v/>
      </c>
      <c r="AC1537" s="36">
        <f>IF($B1537="","",(IFERROR(INDEX(Setup!$G$33:$G$40,MATCH(C1537,Setup!$B$33:$B$40,0)),0)=1)*(COUNTIF(C1508:E1525,$B1537)+COUNTIF(C1508:E1525,$B1537&amp;" ~*")&gt;0)+(IFERROR(INDEX(Setup!$G$33:$G$40,MATCH(G1537,Setup!$B$33:$B$40,0)),0)=1)*(COUNTIF(G1508:I1525,$B1537)+COUNTIF(G1508:I1525,$B1537&amp;" ~*")&gt;0)+(IFERROR(INDEX(Setup!$G$33:$G$40,MATCH(K1537,Setup!$B$33:$B$40,0)),0)=1)*(COUNTIF(K1508:M1525,$B1537)+COUNTIF(K1508:M1525,$B1537&amp;" ~*")&gt;0)+(IFERROR(INDEX(Setup!$G$33:$G$40,MATCH(O1537,Setup!$B$33:$B$40,0)),0)=1)*(COUNTIF(O1508:Q1525,$B1537)+COUNTIF(O1508:Q1525,$B1537&amp;" ~*")&gt;0)+(IFERROR(INDEX(Setup!$G$33:$G$40,MATCH(S1537,Setup!$B$33:$B$40,0)),0)=1)*(COUNTIF(S1508:U1525,$B1537)+COUNTIF(S1508:U1525,$B1537&amp;" ~*")&gt;0)+(IFERROR(INDEX(Setup!$G$33:$G$40,MATCH(W1537,Setup!$B$33:$B$40,0)),0)=1)*(COUNTIF(W1508:W1525,$B1537)+COUNTIF(W1508:W1525,$B1537&amp;" ~*")&gt;0)+(IFERROR(INDEX(Setup!$G$33:$G$40,MATCH(Y1537,Setup!$B$33:$B$40,0)),0)=1)*(COUNTIF(Y1508:Y1525,$B1537)+COUNTIF(Y1508:Y1525,$B1537&amp;" ~*")&gt;0))</f>
        <v/>
      </c>
    </row>
    <row r="1538" ht="15" customHeight="1">
      <c r="A1538" t="n">
        <v>31</v>
      </c>
      <c r="B1538" s="37">
        <f>IF(Setup!$B$17="","",Setup!$B$17)</f>
        <v/>
      </c>
      <c r="C1538" s="102" t="n"/>
      <c r="D1538" s="103" t="n"/>
      <c r="E1538" s="103" t="n"/>
      <c r="F1538" s="104" t="n"/>
      <c r="G1538" s="102" t="n"/>
      <c r="H1538" s="103" t="n"/>
      <c r="I1538" s="103" t="n"/>
      <c r="J1538" s="104" t="n"/>
      <c r="K1538" s="102" t="n"/>
      <c r="L1538" s="103" t="n"/>
      <c r="M1538" s="103" t="n"/>
      <c r="N1538" s="104" t="n"/>
      <c r="O1538" s="102" t="n"/>
      <c r="P1538" s="103" t="n"/>
      <c r="Q1538" s="103" t="n"/>
      <c r="R1538" s="104" t="n"/>
      <c r="S1538" s="102" t="n"/>
      <c r="T1538" s="103" t="n"/>
      <c r="U1538" s="103" t="n"/>
      <c r="V1538" s="104" t="n"/>
      <c r="W1538" s="102" t="n"/>
      <c r="X1538" s="104" t="n"/>
      <c r="Y1538" s="102" t="n"/>
      <c r="Z1538" s="104" t="n"/>
      <c r="AB1538" s="105">
        <f>IF($B1538="","",(COUNTIF(C1508:E1525,$B1538)+COUNTIF(C1508:E1525,$B1538&amp;" ~*")&gt;0)+(COUNTIF(G1508:I1525,$B1538)+COUNTIF(G1508:I1525,$B1538&amp;" ~*")&gt;0)+(COUNTIF(K1508:M1525,$B1538)+COUNTIF(K1508:M1525,$B1538&amp;" ~*")&gt;0)+(COUNTIF(O1508:Q1525,$B1538)+COUNTIF(O1508:Q1525,$B1538&amp;" ~*")&gt;0)+(COUNTIF(S1508:U1525,$B1538)+COUNTIF(S1508:U1525,$B1538&amp;" ~*")&gt;0)+(COUNTIF(W1508:W1525,$B1538)+COUNTIF(W1508:W1525,$B1538&amp;" ~*")&gt;0)+(COUNTIF(Y1508:Y1525,$B1538)+COUNTIF(Y1508:Y1525,$B1538&amp;" ~*")&gt;0))</f>
        <v/>
      </c>
      <c r="AC1538" s="38">
        <f>IF($B1538="","",(IFERROR(INDEX(Setup!$G$33:$G$40,MATCH(C1538,Setup!$B$33:$B$40,0)),0)=1)*(COUNTIF(C1508:E1525,$B1538)+COUNTIF(C1508:E1525,$B1538&amp;" ~*")&gt;0)+(IFERROR(INDEX(Setup!$G$33:$G$40,MATCH(G1538,Setup!$B$33:$B$40,0)),0)=1)*(COUNTIF(G1508:I1525,$B1538)+COUNTIF(G1508:I1525,$B1538&amp;" ~*")&gt;0)+(IFERROR(INDEX(Setup!$G$33:$G$40,MATCH(K1538,Setup!$B$33:$B$40,0)),0)=1)*(COUNTIF(K1508:M1525,$B1538)+COUNTIF(K1508:M1525,$B1538&amp;" ~*")&gt;0)+(IFERROR(INDEX(Setup!$G$33:$G$40,MATCH(O1538,Setup!$B$33:$B$40,0)),0)=1)*(COUNTIF(O1508:Q1525,$B1538)+COUNTIF(O1508:Q1525,$B1538&amp;" ~*")&gt;0)+(IFERROR(INDEX(Setup!$G$33:$G$40,MATCH(S1538,Setup!$B$33:$B$40,0)),0)=1)*(COUNTIF(S1508:U1525,$B1538)+COUNTIF(S1508:U1525,$B1538&amp;" ~*")&gt;0)+(IFERROR(INDEX(Setup!$G$33:$G$40,MATCH(W1538,Setup!$B$33:$B$40,0)),0)=1)*(COUNTIF(W1508:W1525,$B1538)+COUNTIF(W1508:W1525,$B1538&amp;" ~*")&gt;0)+(IFERROR(INDEX(Setup!$G$33:$G$40,MATCH(Y1538,Setup!$B$33:$B$40,0)),0)=1)*(COUNTIF(Y1508:Y1525,$B1538)+COUNTIF(Y1508:Y1525,$B1538&amp;" ~*")&gt;0))</f>
        <v/>
      </c>
    </row>
    <row r="1539" ht="15" customHeight="1">
      <c r="A1539" t="n">
        <v>31</v>
      </c>
      <c r="B1539" s="35">
        <f>IF(Setup!$B$18="","",Setup!$B$18)</f>
        <v/>
      </c>
      <c r="C1539" s="98" t="n"/>
      <c r="D1539" s="99" t="n"/>
      <c r="E1539" s="99" t="n"/>
      <c r="F1539" s="100" t="n"/>
      <c r="G1539" s="98" t="n"/>
      <c r="H1539" s="99" t="n"/>
      <c r="I1539" s="99" t="n"/>
      <c r="J1539" s="100" t="n"/>
      <c r="K1539" s="98" t="n"/>
      <c r="L1539" s="99" t="n"/>
      <c r="M1539" s="99" t="n"/>
      <c r="N1539" s="100" t="n"/>
      <c r="O1539" s="98" t="n"/>
      <c r="P1539" s="99" t="n"/>
      <c r="Q1539" s="99" t="n"/>
      <c r="R1539" s="100" t="n"/>
      <c r="S1539" s="98" t="n"/>
      <c r="T1539" s="99" t="n"/>
      <c r="U1539" s="99" t="n"/>
      <c r="V1539" s="100" t="n"/>
      <c r="W1539" s="98" t="n"/>
      <c r="X1539" s="100" t="n"/>
      <c r="Y1539" s="98" t="n"/>
      <c r="Z1539" s="100" t="n"/>
      <c r="AB1539" s="101">
        <f>IF($B1539="","",(COUNTIF(C1508:E1525,$B1539)+COUNTIF(C1508:E1525,$B1539&amp;" ~*")&gt;0)+(COUNTIF(G1508:I1525,$B1539)+COUNTIF(G1508:I1525,$B1539&amp;" ~*")&gt;0)+(COUNTIF(K1508:M1525,$B1539)+COUNTIF(K1508:M1525,$B1539&amp;" ~*")&gt;0)+(COUNTIF(O1508:Q1525,$B1539)+COUNTIF(O1508:Q1525,$B1539&amp;" ~*")&gt;0)+(COUNTIF(S1508:U1525,$B1539)+COUNTIF(S1508:U1525,$B1539&amp;" ~*")&gt;0)+(COUNTIF(W1508:W1525,$B1539)+COUNTIF(W1508:W1525,$B1539&amp;" ~*")&gt;0)+(COUNTIF(Y1508:Y1525,$B1539)+COUNTIF(Y1508:Y1525,$B1539&amp;" ~*")&gt;0))</f>
        <v/>
      </c>
      <c r="AC1539" s="36">
        <f>IF($B1539="","",(IFERROR(INDEX(Setup!$G$33:$G$40,MATCH(C1539,Setup!$B$33:$B$40,0)),0)=1)*(COUNTIF(C1508:E1525,$B1539)+COUNTIF(C1508:E1525,$B1539&amp;" ~*")&gt;0)+(IFERROR(INDEX(Setup!$G$33:$G$40,MATCH(G1539,Setup!$B$33:$B$40,0)),0)=1)*(COUNTIF(G1508:I1525,$B1539)+COUNTIF(G1508:I1525,$B1539&amp;" ~*")&gt;0)+(IFERROR(INDEX(Setup!$G$33:$G$40,MATCH(K1539,Setup!$B$33:$B$40,0)),0)=1)*(COUNTIF(K1508:M1525,$B1539)+COUNTIF(K1508:M1525,$B1539&amp;" ~*")&gt;0)+(IFERROR(INDEX(Setup!$G$33:$G$40,MATCH(O1539,Setup!$B$33:$B$40,0)),0)=1)*(COUNTIF(O1508:Q1525,$B1539)+COUNTIF(O1508:Q1525,$B1539&amp;" ~*")&gt;0)+(IFERROR(INDEX(Setup!$G$33:$G$40,MATCH(S1539,Setup!$B$33:$B$40,0)),0)=1)*(COUNTIF(S1508:U1525,$B1539)+COUNTIF(S1508:U1525,$B1539&amp;" ~*")&gt;0)+(IFERROR(INDEX(Setup!$G$33:$G$40,MATCH(W1539,Setup!$B$33:$B$40,0)),0)=1)*(COUNTIF(W1508:W1525,$B1539)+COUNTIF(W1508:W1525,$B1539&amp;" ~*")&gt;0)+(IFERROR(INDEX(Setup!$G$33:$G$40,MATCH(Y1539,Setup!$B$33:$B$40,0)),0)=1)*(COUNTIF(Y1508:Y1525,$B1539)+COUNTIF(Y1508:Y1525,$B1539&amp;" ~*")&gt;0))</f>
        <v/>
      </c>
    </row>
    <row r="1540" ht="15" customHeight="1">
      <c r="A1540" t="n">
        <v>31</v>
      </c>
      <c r="B1540" s="37">
        <f>IF(Setup!$B$19="","",Setup!$B$19)</f>
        <v/>
      </c>
      <c r="C1540" s="102" t="n"/>
      <c r="D1540" s="103" t="n"/>
      <c r="E1540" s="103" t="n"/>
      <c r="F1540" s="104" t="n"/>
      <c r="G1540" s="102" t="n"/>
      <c r="H1540" s="103" t="n"/>
      <c r="I1540" s="103" t="n"/>
      <c r="J1540" s="104" t="n"/>
      <c r="K1540" s="102" t="n"/>
      <c r="L1540" s="103" t="n"/>
      <c r="M1540" s="103" t="n"/>
      <c r="N1540" s="104" t="n"/>
      <c r="O1540" s="102" t="n"/>
      <c r="P1540" s="103" t="n"/>
      <c r="Q1540" s="103" t="n"/>
      <c r="R1540" s="104" t="n"/>
      <c r="S1540" s="102" t="n"/>
      <c r="T1540" s="103" t="n"/>
      <c r="U1540" s="103" t="n"/>
      <c r="V1540" s="104" t="n"/>
      <c r="W1540" s="102" t="n"/>
      <c r="X1540" s="104" t="n"/>
      <c r="Y1540" s="102" t="n"/>
      <c r="Z1540" s="104" t="n"/>
      <c r="AB1540" s="105">
        <f>IF($B1540="","",(COUNTIF(C1508:E1525,$B1540)+COUNTIF(C1508:E1525,$B1540&amp;" ~*")&gt;0)+(COUNTIF(G1508:I1525,$B1540)+COUNTIF(G1508:I1525,$B1540&amp;" ~*")&gt;0)+(COUNTIF(K1508:M1525,$B1540)+COUNTIF(K1508:M1525,$B1540&amp;" ~*")&gt;0)+(COUNTIF(O1508:Q1525,$B1540)+COUNTIF(O1508:Q1525,$B1540&amp;" ~*")&gt;0)+(COUNTIF(S1508:U1525,$B1540)+COUNTIF(S1508:U1525,$B1540&amp;" ~*")&gt;0)+(COUNTIF(W1508:W1525,$B1540)+COUNTIF(W1508:W1525,$B1540&amp;" ~*")&gt;0)+(COUNTIF(Y1508:Y1525,$B1540)+COUNTIF(Y1508:Y1525,$B1540&amp;" ~*")&gt;0))</f>
        <v/>
      </c>
      <c r="AC1540" s="38">
        <f>IF($B1540="","",(IFERROR(INDEX(Setup!$G$33:$G$40,MATCH(C1540,Setup!$B$33:$B$40,0)),0)=1)*(COUNTIF(C1508:E1525,$B1540)+COUNTIF(C1508:E1525,$B1540&amp;" ~*")&gt;0)+(IFERROR(INDEX(Setup!$G$33:$G$40,MATCH(G1540,Setup!$B$33:$B$40,0)),0)=1)*(COUNTIF(G1508:I1525,$B1540)+COUNTIF(G1508:I1525,$B1540&amp;" ~*")&gt;0)+(IFERROR(INDEX(Setup!$G$33:$G$40,MATCH(K1540,Setup!$B$33:$B$40,0)),0)=1)*(COUNTIF(K1508:M1525,$B1540)+COUNTIF(K1508:M1525,$B1540&amp;" ~*")&gt;0)+(IFERROR(INDEX(Setup!$G$33:$G$40,MATCH(O1540,Setup!$B$33:$B$40,0)),0)=1)*(COUNTIF(O1508:Q1525,$B1540)+COUNTIF(O1508:Q1525,$B1540&amp;" ~*")&gt;0)+(IFERROR(INDEX(Setup!$G$33:$G$40,MATCH(S1540,Setup!$B$33:$B$40,0)),0)=1)*(COUNTIF(S1508:U1525,$B1540)+COUNTIF(S1508:U1525,$B1540&amp;" ~*")&gt;0)+(IFERROR(INDEX(Setup!$G$33:$G$40,MATCH(W1540,Setup!$B$33:$B$40,0)),0)=1)*(COUNTIF(W1508:W1525,$B1540)+COUNTIF(W1508:W1525,$B1540&amp;" ~*")&gt;0)+(IFERROR(INDEX(Setup!$G$33:$G$40,MATCH(Y1540,Setup!$B$33:$B$40,0)),0)=1)*(COUNTIF(Y1508:Y1525,$B1540)+COUNTIF(Y1508:Y1525,$B1540&amp;" ~*")&gt;0))</f>
        <v/>
      </c>
    </row>
    <row r="1541" ht="15" customHeight="1">
      <c r="A1541" t="n">
        <v>31</v>
      </c>
      <c r="B1541" s="35">
        <f>IF(Setup!$B$20="","",Setup!$B$20)</f>
        <v/>
      </c>
      <c r="C1541" s="98" t="n"/>
      <c r="D1541" s="99" t="n"/>
      <c r="E1541" s="99" t="n"/>
      <c r="F1541" s="100" t="n"/>
      <c r="G1541" s="98" t="n"/>
      <c r="H1541" s="99" t="n"/>
      <c r="I1541" s="99" t="n"/>
      <c r="J1541" s="100" t="n"/>
      <c r="K1541" s="98" t="n"/>
      <c r="L1541" s="99" t="n"/>
      <c r="M1541" s="99" t="n"/>
      <c r="N1541" s="100" t="n"/>
      <c r="O1541" s="98" t="n"/>
      <c r="P1541" s="99" t="n"/>
      <c r="Q1541" s="99" t="n"/>
      <c r="R1541" s="100" t="n"/>
      <c r="S1541" s="98" t="n"/>
      <c r="T1541" s="99" t="n"/>
      <c r="U1541" s="99" t="n"/>
      <c r="V1541" s="100" t="n"/>
      <c r="W1541" s="98" t="n"/>
      <c r="X1541" s="100" t="n"/>
      <c r="Y1541" s="98" t="n"/>
      <c r="Z1541" s="100" t="n"/>
      <c r="AB1541" s="101">
        <f>IF($B1541="","",(COUNTIF(C1508:E1525,$B1541)+COUNTIF(C1508:E1525,$B1541&amp;" ~*")&gt;0)+(COUNTIF(G1508:I1525,$B1541)+COUNTIF(G1508:I1525,$B1541&amp;" ~*")&gt;0)+(COUNTIF(K1508:M1525,$B1541)+COUNTIF(K1508:M1525,$B1541&amp;" ~*")&gt;0)+(COUNTIF(O1508:Q1525,$B1541)+COUNTIF(O1508:Q1525,$B1541&amp;" ~*")&gt;0)+(COUNTIF(S1508:U1525,$B1541)+COUNTIF(S1508:U1525,$B1541&amp;" ~*")&gt;0)+(COUNTIF(W1508:W1525,$B1541)+COUNTIF(W1508:W1525,$B1541&amp;" ~*")&gt;0)+(COUNTIF(Y1508:Y1525,$B1541)+COUNTIF(Y1508:Y1525,$B1541&amp;" ~*")&gt;0))</f>
        <v/>
      </c>
      <c r="AC1541" s="36">
        <f>IF($B1541="","",(IFERROR(INDEX(Setup!$G$33:$G$40,MATCH(C1541,Setup!$B$33:$B$40,0)),0)=1)*(COUNTIF(C1508:E1525,$B1541)+COUNTIF(C1508:E1525,$B1541&amp;" ~*")&gt;0)+(IFERROR(INDEX(Setup!$G$33:$G$40,MATCH(G1541,Setup!$B$33:$B$40,0)),0)=1)*(COUNTIF(G1508:I1525,$B1541)+COUNTIF(G1508:I1525,$B1541&amp;" ~*")&gt;0)+(IFERROR(INDEX(Setup!$G$33:$G$40,MATCH(K1541,Setup!$B$33:$B$40,0)),0)=1)*(COUNTIF(K1508:M1525,$B1541)+COUNTIF(K1508:M1525,$B1541&amp;" ~*")&gt;0)+(IFERROR(INDEX(Setup!$G$33:$G$40,MATCH(O1541,Setup!$B$33:$B$40,0)),0)=1)*(COUNTIF(O1508:Q1525,$B1541)+COUNTIF(O1508:Q1525,$B1541&amp;" ~*")&gt;0)+(IFERROR(INDEX(Setup!$G$33:$G$40,MATCH(S1541,Setup!$B$33:$B$40,0)),0)=1)*(COUNTIF(S1508:U1525,$B1541)+COUNTIF(S1508:U1525,$B1541&amp;" ~*")&gt;0)+(IFERROR(INDEX(Setup!$G$33:$G$40,MATCH(W1541,Setup!$B$33:$B$40,0)),0)=1)*(COUNTIF(W1508:W1525,$B1541)+COUNTIF(W1508:W1525,$B1541&amp;" ~*")&gt;0)+(IFERROR(INDEX(Setup!$G$33:$G$40,MATCH(Y1541,Setup!$B$33:$B$40,0)),0)=1)*(COUNTIF(Y1508:Y1525,$B1541)+COUNTIF(Y1508:Y1525,$B1541&amp;" ~*")&gt;0))</f>
        <v/>
      </c>
    </row>
    <row r="1542" ht="15" customHeight="1">
      <c r="A1542" t="n">
        <v>31</v>
      </c>
      <c r="B1542" s="37">
        <f>IF(Setup!$B$21="","",Setup!$B$21)</f>
        <v/>
      </c>
      <c r="C1542" s="102" t="n"/>
      <c r="D1542" s="103" t="n"/>
      <c r="E1542" s="103" t="n"/>
      <c r="F1542" s="104" t="n"/>
      <c r="G1542" s="102" t="n"/>
      <c r="H1542" s="103" t="n"/>
      <c r="I1542" s="103" t="n"/>
      <c r="J1542" s="104" t="n"/>
      <c r="K1542" s="102" t="n"/>
      <c r="L1542" s="103" t="n"/>
      <c r="M1542" s="103" t="n"/>
      <c r="N1542" s="104" t="n"/>
      <c r="O1542" s="102" t="n"/>
      <c r="P1542" s="103" t="n"/>
      <c r="Q1542" s="103" t="n"/>
      <c r="R1542" s="104" t="n"/>
      <c r="S1542" s="102" t="n"/>
      <c r="T1542" s="103" t="n"/>
      <c r="U1542" s="103" t="n"/>
      <c r="V1542" s="104" t="n"/>
      <c r="W1542" s="102" t="n"/>
      <c r="X1542" s="104" t="n"/>
      <c r="Y1542" s="102" t="n"/>
      <c r="Z1542" s="104" t="n"/>
      <c r="AB1542" s="105">
        <f>IF($B1542="","",(COUNTIF(C1508:E1525,$B1542)+COUNTIF(C1508:E1525,$B1542&amp;" ~*")&gt;0)+(COUNTIF(G1508:I1525,$B1542)+COUNTIF(G1508:I1525,$B1542&amp;" ~*")&gt;0)+(COUNTIF(K1508:M1525,$B1542)+COUNTIF(K1508:M1525,$B1542&amp;" ~*")&gt;0)+(COUNTIF(O1508:Q1525,$B1542)+COUNTIF(O1508:Q1525,$B1542&amp;" ~*")&gt;0)+(COUNTIF(S1508:U1525,$B1542)+COUNTIF(S1508:U1525,$B1542&amp;" ~*")&gt;0)+(COUNTIF(W1508:W1525,$B1542)+COUNTIF(W1508:W1525,$B1542&amp;" ~*")&gt;0)+(COUNTIF(Y1508:Y1525,$B1542)+COUNTIF(Y1508:Y1525,$B1542&amp;" ~*")&gt;0))</f>
        <v/>
      </c>
      <c r="AC1542" s="38">
        <f>IF($B1542="","",(IFERROR(INDEX(Setup!$G$33:$G$40,MATCH(C1542,Setup!$B$33:$B$40,0)),0)=1)*(COUNTIF(C1508:E1525,$B1542)+COUNTIF(C1508:E1525,$B1542&amp;" ~*")&gt;0)+(IFERROR(INDEX(Setup!$G$33:$G$40,MATCH(G1542,Setup!$B$33:$B$40,0)),0)=1)*(COUNTIF(G1508:I1525,$B1542)+COUNTIF(G1508:I1525,$B1542&amp;" ~*")&gt;0)+(IFERROR(INDEX(Setup!$G$33:$G$40,MATCH(K1542,Setup!$B$33:$B$40,0)),0)=1)*(COUNTIF(K1508:M1525,$B1542)+COUNTIF(K1508:M1525,$B1542&amp;" ~*")&gt;0)+(IFERROR(INDEX(Setup!$G$33:$G$40,MATCH(O1542,Setup!$B$33:$B$40,0)),0)=1)*(COUNTIF(O1508:Q1525,$B1542)+COUNTIF(O1508:Q1525,$B1542&amp;" ~*")&gt;0)+(IFERROR(INDEX(Setup!$G$33:$G$40,MATCH(S1542,Setup!$B$33:$B$40,0)),0)=1)*(COUNTIF(S1508:U1525,$B1542)+COUNTIF(S1508:U1525,$B1542&amp;" ~*")&gt;0)+(IFERROR(INDEX(Setup!$G$33:$G$40,MATCH(W1542,Setup!$B$33:$B$40,0)),0)=1)*(COUNTIF(W1508:W1525,$B1542)+COUNTIF(W1508:W1525,$B1542&amp;" ~*")&gt;0)+(IFERROR(INDEX(Setup!$G$33:$G$40,MATCH(Y1542,Setup!$B$33:$B$40,0)),0)=1)*(COUNTIF(Y1508:Y1525,$B1542)+COUNTIF(Y1508:Y1525,$B1542&amp;" ~*")&gt;0))</f>
        <v/>
      </c>
    </row>
    <row r="1543" ht="15" customHeight="1">
      <c r="A1543" t="n">
        <v>31</v>
      </c>
      <c r="B1543" s="35">
        <f>IF(Setup!$B$22="","",Setup!$B$22)</f>
        <v/>
      </c>
      <c r="C1543" s="98" t="n"/>
      <c r="D1543" s="99" t="n"/>
      <c r="E1543" s="99" t="n"/>
      <c r="F1543" s="100" t="n"/>
      <c r="G1543" s="98" t="n"/>
      <c r="H1543" s="99" t="n"/>
      <c r="I1543" s="99" t="n"/>
      <c r="J1543" s="100" t="n"/>
      <c r="K1543" s="98" t="n"/>
      <c r="L1543" s="99" t="n"/>
      <c r="M1543" s="99" t="n"/>
      <c r="N1543" s="100" t="n"/>
      <c r="O1543" s="98" t="n"/>
      <c r="P1543" s="99" t="n"/>
      <c r="Q1543" s="99" t="n"/>
      <c r="R1543" s="100" t="n"/>
      <c r="S1543" s="98" t="n"/>
      <c r="T1543" s="99" t="n"/>
      <c r="U1543" s="99" t="n"/>
      <c r="V1543" s="100" t="n"/>
      <c r="W1543" s="98" t="n"/>
      <c r="X1543" s="100" t="n"/>
      <c r="Y1543" s="98" t="n"/>
      <c r="Z1543" s="100" t="n"/>
      <c r="AB1543" s="101">
        <f>IF($B1543="","",(COUNTIF(C1508:E1525,$B1543)+COUNTIF(C1508:E1525,$B1543&amp;" ~*")&gt;0)+(COUNTIF(G1508:I1525,$B1543)+COUNTIF(G1508:I1525,$B1543&amp;" ~*")&gt;0)+(COUNTIF(K1508:M1525,$B1543)+COUNTIF(K1508:M1525,$B1543&amp;" ~*")&gt;0)+(COUNTIF(O1508:Q1525,$B1543)+COUNTIF(O1508:Q1525,$B1543&amp;" ~*")&gt;0)+(COUNTIF(S1508:U1525,$B1543)+COUNTIF(S1508:U1525,$B1543&amp;" ~*")&gt;0)+(COUNTIF(W1508:W1525,$B1543)+COUNTIF(W1508:W1525,$B1543&amp;" ~*")&gt;0)+(COUNTIF(Y1508:Y1525,$B1543)+COUNTIF(Y1508:Y1525,$B1543&amp;" ~*")&gt;0))</f>
        <v/>
      </c>
      <c r="AC1543" s="36">
        <f>IF($B1543="","",(IFERROR(INDEX(Setup!$G$33:$G$40,MATCH(C1543,Setup!$B$33:$B$40,0)),0)=1)*(COUNTIF(C1508:E1525,$B1543)+COUNTIF(C1508:E1525,$B1543&amp;" ~*")&gt;0)+(IFERROR(INDEX(Setup!$G$33:$G$40,MATCH(G1543,Setup!$B$33:$B$40,0)),0)=1)*(COUNTIF(G1508:I1525,$B1543)+COUNTIF(G1508:I1525,$B1543&amp;" ~*")&gt;0)+(IFERROR(INDEX(Setup!$G$33:$G$40,MATCH(K1543,Setup!$B$33:$B$40,0)),0)=1)*(COUNTIF(K1508:M1525,$B1543)+COUNTIF(K1508:M1525,$B1543&amp;" ~*")&gt;0)+(IFERROR(INDEX(Setup!$G$33:$G$40,MATCH(O1543,Setup!$B$33:$B$40,0)),0)=1)*(COUNTIF(O1508:Q1525,$B1543)+COUNTIF(O1508:Q1525,$B1543&amp;" ~*")&gt;0)+(IFERROR(INDEX(Setup!$G$33:$G$40,MATCH(S1543,Setup!$B$33:$B$40,0)),0)=1)*(COUNTIF(S1508:U1525,$B1543)+COUNTIF(S1508:U1525,$B1543&amp;" ~*")&gt;0)+(IFERROR(INDEX(Setup!$G$33:$G$40,MATCH(W1543,Setup!$B$33:$B$40,0)),0)=1)*(COUNTIF(W1508:W1525,$B1543)+COUNTIF(W1508:W1525,$B1543&amp;" ~*")&gt;0)+(IFERROR(INDEX(Setup!$G$33:$G$40,MATCH(Y1543,Setup!$B$33:$B$40,0)),0)=1)*(COUNTIF(Y1508:Y1525,$B1543)+COUNTIF(Y1508:Y1525,$B1543&amp;" ~*")&gt;0))</f>
        <v/>
      </c>
    </row>
    <row r="1544" ht="15" customHeight="1">
      <c r="A1544" t="n">
        <v>31</v>
      </c>
      <c r="B1544" s="37">
        <f>IF(Setup!$B$23="","",Setup!$B$23)</f>
        <v/>
      </c>
      <c r="C1544" s="102" t="n"/>
      <c r="D1544" s="103" t="n"/>
      <c r="E1544" s="103" t="n"/>
      <c r="F1544" s="104" t="n"/>
      <c r="G1544" s="102" t="n"/>
      <c r="H1544" s="103" t="n"/>
      <c r="I1544" s="103" t="n"/>
      <c r="J1544" s="104" t="n"/>
      <c r="K1544" s="102" t="n"/>
      <c r="L1544" s="103" t="n"/>
      <c r="M1544" s="103" t="n"/>
      <c r="N1544" s="104" t="n"/>
      <c r="O1544" s="102" t="n"/>
      <c r="P1544" s="103" t="n"/>
      <c r="Q1544" s="103" t="n"/>
      <c r="R1544" s="104" t="n"/>
      <c r="S1544" s="102" t="n"/>
      <c r="T1544" s="103" t="n"/>
      <c r="U1544" s="103" t="n"/>
      <c r="V1544" s="104" t="n"/>
      <c r="W1544" s="102" t="n"/>
      <c r="X1544" s="104" t="n"/>
      <c r="Y1544" s="102" t="n"/>
      <c r="Z1544" s="104" t="n"/>
      <c r="AB1544" s="105">
        <f>IF($B1544="","",(COUNTIF(C1508:E1525,$B1544)+COUNTIF(C1508:E1525,$B1544&amp;" ~*")&gt;0)+(COUNTIF(G1508:I1525,$B1544)+COUNTIF(G1508:I1525,$B1544&amp;" ~*")&gt;0)+(COUNTIF(K1508:M1525,$B1544)+COUNTIF(K1508:M1525,$B1544&amp;" ~*")&gt;0)+(COUNTIF(O1508:Q1525,$B1544)+COUNTIF(O1508:Q1525,$B1544&amp;" ~*")&gt;0)+(COUNTIF(S1508:U1525,$B1544)+COUNTIF(S1508:U1525,$B1544&amp;" ~*")&gt;0)+(COUNTIF(W1508:W1525,$B1544)+COUNTIF(W1508:W1525,$B1544&amp;" ~*")&gt;0)+(COUNTIF(Y1508:Y1525,$B1544)+COUNTIF(Y1508:Y1525,$B1544&amp;" ~*")&gt;0))</f>
        <v/>
      </c>
      <c r="AC1544" s="38">
        <f>IF($B1544="","",(IFERROR(INDEX(Setup!$G$33:$G$40,MATCH(C1544,Setup!$B$33:$B$40,0)),0)=1)*(COUNTIF(C1508:E1525,$B1544)+COUNTIF(C1508:E1525,$B1544&amp;" ~*")&gt;0)+(IFERROR(INDEX(Setup!$G$33:$G$40,MATCH(G1544,Setup!$B$33:$B$40,0)),0)=1)*(COUNTIF(G1508:I1525,$B1544)+COUNTIF(G1508:I1525,$B1544&amp;" ~*")&gt;0)+(IFERROR(INDEX(Setup!$G$33:$G$40,MATCH(K1544,Setup!$B$33:$B$40,0)),0)=1)*(COUNTIF(K1508:M1525,$B1544)+COUNTIF(K1508:M1525,$B1544&amp;" ~*")&gt;0)+(IFERROR(INDEX(Setup!$G$33:$G$40,MATCH(O1544,Setup!$B$33:$B$40,0)),0)=1)*(COUNTIF(O1508:Q1525,$B1544)+COUNTIF(O1508:Q1525,$B1544&amp;" ~*")&gt;0)+(IFERROR(INDEX(Setup!$G$33:$G$40,MATCH(S1544,Setup!$B$33:$B$40,0)),0)=1)*(COUNTIF(S1508:U1525,$B1544)+COUNTIF(S1508:U1525,$B1544&amp;" ~*")&gt;0)+(IFERROR(INDEX(Setup!$G$33:$G$40,MATCH(W1544,Setup!$B$33:$B$40,0)),0)=1)*(COUNTIF(W1508:W1525,$B1544)+COUNTIF(W1508:W1525,$B1544&amp;" ~*")&gt;0)+(IFERROR(INDEX(Setup!$G$33:$G$40,MATCH(Y1544,Setup!$B$33:$B$40,0)),0)=1)*(COUNTIF(Y1508:Y1525,$B1544)+COUNTIF(Y1508:Y1525,$B1544&amp;" ~*")&gt;0))</f>
        <v/>
      </c>
    </row>
    <row r="1545" ht="15" customHeight="1">
      <c r="A1545" t="n">
        <v>31</v>
      </c>
      <c r="B1545" s="35">
        <f>IF(Setup!$B$24="","",Setup!$B$24)</f>
        <v/>
      </c>
      <c r="C1545" s="98" t="n"/>
      <c r="D1545" s="99" t="n"/>
      <c r="E1545" s="99" t="n"/>
      <c r="F1545" s="100" t="n"/>
      <c r="G1545" s="98" t="n"/>
      <c r="H1545" s="99" t="n"/>
      <c r="I1545" s="99" t="n"/>
      <c r="J1545" s="100" t="n"/>
      <c r="K1545" s="98" t="n"/>
      <c r="L1545" s="99" t="n"/>
      <c r="M1545" s="99" t="n"/>
      <c r="N1545" s="100" t="n"/>
      <c r="O1545" s="98" t="n"/>
      <c r="P1545" s="99" t="n"/>
      <c r="Q1545" s="99" t="n"/>
      <c r="R1545" s="100" t="n"/>
      <c r="S1545" s="98" t="n"/>
      <c r="T1545" s="99" t="n"/>
      <c r="U1545" s="99" t="n"/>
      <c r="V1545" s="100" t="n"/>
      <c r="W1545" s="98" t="n"/>
      <c r="X1545" s="100" t="n"/>
      <c r="Y1545" s="98" t="n"/>
      <c r="Z1545" s="100" t="n"/>
      <c r="AB1545" s="101">
        <f>IF($B1545="","",(COUNTIF(C1508:E1525,$B1545)+COUNTIF(C1508:E1525,$B1545&amp;" ~*")&gt;0)+(COUNTIF(G1508:I1525,$B1545)+COUNTIF(G1508:I1525,$B1545&amp;" ~*")&gt;0)+(COUNTIF(K1508:M1525,$B1545)+COUNTIF(K1508:M1525,$B1545&amp;" ~*")&gt;0)+(COUNTIF(O1508:Q1525,$B1545)+COUNTIF(O1508:Q1525,$B1545&amp;" ~*")&gt;0)+(COUNTIF(S1508:U1525,$B1545)+COUNTIF(S1508:U1525,$B1545&amp;" ~*")&gt;0)+(COUNTIF(W1508:W1525,$B1545)+COUNTIF(W1508:W1525,$B1545&amp;" ~*")&gt;0)+(COUNTIF(Y1508:Y1525,$B1545)+COUNTIF(Y1508:Y1525,$B1545&amp;" ~*")&gt;0))</f>
        <v/>
      </c>
      <c r="AC1545" s="36">
        <f>IF($B1545="","",(IFERROR(INDEX(Setup!$G$33:$G$40,MATCH(C1545,Setup!$B$33:$B$40,0)),0)=1)*(COUNTIF(C1508:E1525,$B1545)+COUNTIF(C1508:E1525,$B1545&amp;" ~*")&gt;0)+(IFERROR(INDEX(Setup!$G$33:$G$40,MATCH(G1545,Setup!$B$33:$B$40,0)),0)=1)*(COUNTIF(G1508:I1525,$B1545)+COUNTIF(G1508:I1525,$B1545&amp;" ~*")&gt;0)+(IFERROR(INDEX(Setup!$G$33:$G$40,MATCH(K1545,Setup!$B$33:$B$40,0)),0)=1)*(COUNTIF(K1508:M1525,$B1545)+COUNTIF(K1508:M1525,$B1545&amp;" ~*")&gt;0)+(IFERROR(INDEX(Setup!$G$33:$G$40,MATCH(O1545,Setup!$B$33:$B$40,0)),0)=1)*(COUNTIF(O1508:Q1525,$B1545)+COUNTIF(O1508:Q1525,$B1545&amp;" ~*")&gt;0)+(IFERROR(INDEX(Setup!$G$33:$G$40,MATCH(S1545,Setup!$B$33:$B$40,0)),0)=1)*(COUNTIF(S1508:U1525,$B1545)+COUNTIF(S1508:U1525,$B1545&amp;" ~*")&gt;0)+(IFERROR(INDEX(Setup!$G$33:$G$40,MATCH(W1545,Setup!$B$33:$B$40,0)),0)=1)*(COUNTIF(W1508:W1525,$B1545)+COUNTIF(W1508:W1525,$B1545&amp;" ~*")&gt;0)+(IFERROR(INDEX(Setup!$G$33:$G$40,MATCH(Y1545,Setup!$B$33:$B$40,0)),0)=1)*(COUNTIF(Y1508:Y1525,$B1545)+COUNTIF(Y1508:Y1525,$B1545&amp;" ~*")&gt;0))</f>
        <v/>
      </c>
    </row>
    <row r="1546" ht="15" customHeight="1">
      <c r="A1546" t="n">
        <v>31</v>
      </c>
      <c r="B1546" s="37">
        <f>IF(Setup!$B$25="","",Setup!$B$25)</f>
        <v/>
      </c>
      <c r="C1546" s="102" t="n"/>
      <c r="D1546" s="103" t="n"/>
      <c r="E1546" s="103" t="n"/>
      <c r="F1546" s="104" t="n"/>
      <c r="G1546" s="102" t="n"/>
      <c r="H1546" s="103" t="n"/>
      <c r="I1546" s="103" t="n"/>
      <c r="J1546" s="104" t="n"/>
      <c r="K1546" s="102" t="n"/>
      <c r="L1546" s="103" t="n"/>
      <c r="M1546" s="103" t="n"/>
      <c r="N1546" s="104" t="n"/>
      <c r="O1546" s="102" t="n"/>
      <c r="P1546" s="103" t="n"/>
      <c r="Q1546" s="103" t="n"/>
      <c r="R1546" s="104" t="n"/>
      <c r="S1546" s="102" t="n"/>
      <c r="T1546" s="103" t="n"/>
      <c r="U1546" s="103" t="n"/>
      <c r="V1546" s="104" t="n"/>
      <c r="W1546" s="102" t="n"/>
      <c r="X1546" s="104" t="n"/>
      <c r="Y1546" s="102" t="n"/>
      <c r="Z1546" s="104" t="n"/>
      <c r="AB1546" s="105">
        <f>IF($B1546="","",(COUNTIF(C1508:E1525,$B1546)+COUNTIF(C1508:E1525,$B1546&amp;" ~*")&gt;0)+(COUNTIF(G1508:I1525,$B1546)+COUNTIF(G1508:I1525,$B1546&amp;" ~*")&gt;0)+(COUNTIF(K1508:M1525,$B1546)+COUNTIF(K1508:M1525,$B1546&amp;" ~*")&gt;0)+(COUNTIF(O1508:Q1525,$B1546)+COUNTIF(O1508:Q1525,$B1546&amp;" ~*")&gt;0)+(COUNTIF(S1508:U1525,$B1546)+COUNTIF(S1508:U1525,$B1546&amp;" ~*")&gt;0)+(COUNTIF(W1508:W1525,$B1546)+COUNTIF(W1508:W1525,$B1546&amp;" ~*")&gt;0)+(COUNTIF(Y1508:Y1525,$B1546)+COUNTIF(Y1508:Y1525,$B1546&amp;" ~*")&gt;0))</f>
        <v/>
      </c>
      <c r="AC1546" s="38">
        <f>IF($B1546="","",(IFERROR(INDEX(Setup!$G$33:$G$40,MATCH(C1546,Setup!$B$33:$B$40,0)),0)=1)*(COUNTIF(C1508:E1525,$B1546)+COUNTIF(C1508:E1525,$B1546&amp;" ~*")&gt;0)+(IFERROR(INDEX(Setup!$G$33:$G$40,MATCH(G1546,Setup!$B$33:$B$40,0)),0)=1)*(COUNTIF(G1508:I1525,$B1546)+COUNTIF(G1508:I1525,$B1546&amp;" ~*")&gt;0)+(IFERROR(INDEX(Setup!$G$33:$G$40,MATCH(K1546,Setup!$B$33:$B$40,0)),0)=1)*(COUNTIF(K1508:M1525,$B1546)+COUNTIF(K1508:M1525,$B1546&amp;" ~*")&gt;0)+(IFERROR(INDEX(Setup!$G$33:$G$40,MATCH(O1546,Setup!$B$33:$B$40,0)),0)=1)*(COUNTIF(O1508:Q1525,$B1546)+COUNTIF(O1508:Q1525,$B1546&amp;" ~*")&gt;0)+(IFERROR(INDEX(Setup!$G$33:$G$40,MATCH(S1546,Setup!$B$33:$B$40,0)),0)=1)*(COUNTIF(S1508:U1525,$B1546)+COUNTIF(S1508:U1525,$B1546&amp;" ~*")&gt;0)+(IFERROR(INDEX(Setup!$G$33:$G$40,MATCH(W1546,Setup!$B$33:$B$40,0)),0)=1)*(COUNTIF(W1508:W1525,$B1546)+COUNTIF(W1508:W1525,$B1546&amp;" ~*")&gt;0)+(IFERROR(INDEX(Setup!$G$33:$G$40,MATCH(Y1546,Setup!$B$33:$B$40,0)),0)=1)*(COUNTIF(Y1508:Y1525,$B1546)+COUNTIF(Y1508:Y1525,$B1546&amp;" ~*")&gt;0))</f>
        <v/>
      </c>
    </row>
    <row r="1547" ht="15" customHeight="1">
      <c r="A1547" t="n">
        <v>31</v>
      </c>
      <c r="B1547" s="35">
        <f>IF(Setup!$B$26="","",Setup!$B$26)</f>
        <v/>
      </c>
      <c r="C1547" s="98" t="n"/>
      <c r="D1547" s="99" t="n"/>
      <c r="E1547" s="99" t="n"/>
      <c r="F1547" s="100" t="n"/>
      <c r="G1547" s="98" t="n"/>
      <c r="H1547" s="99" t="n"/>
      <c r="I1547" s="99" t="n"/>
      <c r="J1547" s="100" t="n"/>
      <c r="K1547" s="98" t="n"/>
      <c r="L1547" s="99" t="n"/>
      <c r="M1547" s="99" t="n"/>
      <c r="N1547" s="100" t="n"/>
      <c r="O1547" s="98" t="n"/>
      <c r="P1547" s="99" t="n"/>
      <c r="Q1547" s="99" t="n"/>
      <c r="R1547" s="100" t="n"/>
      <c r="S1547" s="98" t="n"/>
      <c r="T1547" s="99" t="n"/>
      <c r="U1547" s="99" t="n"/>
      <c r="V1547" s="100" t="n"/>
      <c r="W1547" s="98" t="n"/>
      <c r="X1547" s="100" t="n"/>
      <c r="Y1547" s="98" t="n"/>
      <c r="Z1547" s="100" t="n"/>
      <c r="AB1547" s="101">
        <f>IF($B1547="","",(COUNTIF(C1508:E1525,$B1547)+COUNTIF(C1508:E1525,$B1547&amp;" ~*")&gt;0)+(COUNTIF(G1508:I1525,$B1547)+COUNTIF(G1508:I1525,$B1547&amp;" ~*")&gt;0)+(COUNTIF(K1508:M1525,$B1547)+COUNTIF(K1508:M1525,$B1547&amp;" ~*")&gt;0)+(COUNTIF(O1508:Q1525,$B1547)+COUNTIF(O1508:Q1525,$B1547&amp;" ~*")&gt;0)+(COUNTIF(S1508:U1525,$B1547)+COUNTIF(S1508:U1525,$B1547&amp;" ~*")&gt;0)+(COUNTIF(W1508:W1525,$B1547)+COUNTIF(W1508:W1525,$B1547&amp;" ~*")&gt;0)+(COUNTIF(Y1508:Y1525,$B1547)+COUNTIF(Y1508:Y1525,$B1547&amp;" ~*")&gt;0))</f>
        <v/>
      </c>
      <c r="AC1547" s="36">
        <f>IF($B1547="","",(IFERROR(INDEX(Setup!$G$33:$G$40,MATCH(C1547,Setup!$B$33:$B$40,0)),0)=1)*(COUNTIF(C1508:E1525,$B1547)+COUNTIF(C1508:E1525,$B1547&amp;" ~*")&gt;0)+(IFERROR(INDEX(Setup!$G$33:$G$40,MATCH(G1547,Setup!$B$33:$B$40,0)),0)=1)*(COUNTIF(G1508:I1525,$B1547)+COUNTIF(G1508:I1525,$B1547&amp;" ~*")&gt;0)+(IFERROR(INDEX(Setup!$G$33:$G$40,MATCH(K1547,Setup!$B$33:$B$40,0)),0)=1)*(COUNTIF(K1508:M1525,$B1547)+COUNTIF(K1508:M1525,$B1547&amp;" ~*")&gt;0)+(IFERROR(INDEX(Setup!$G$33:$G$40,MATCH(O1547,Setup!$B$33:$B$40,0)),0)=1)*(COUNTIF(O1508:Q1525,$B1547)+COUNTIF(O1508:Q1525,$B1547&amp;" ~*")&gt;0)+(IFERROR(INDEX(Setup!$G$33:$G$40,MATCH(S1547,Setup!$B$33:$B$40,0)),0)=1)*(COUNTIF(S1508:U1525,$B1547)+COUNTIF(S1508:U1525,$B1547&amp;" ~*")&gt;0)+(IFERROR(INDEX(Setup!$G$33:$G$40,MATCH(W1547,Setup!$B$33:$B$40,0)),0)=1)*(COUNTIF(W1508:W1525,$B1547)+COUNTIF(W1508:W1525,$B1547&amp;" ~*")&gt;0)+(IFERROR(INDEX(Setup!$G$33:$G$40,MATCH(Y1547,Setup!$B$33:$B$40,0)),0)=1)*(COUNTIF(Y1508:Y1525,$B1547)+COUNTIF(Y1508:Y1525,$B1547&amp;" ~*")&gt;0))</f>
        <v/>
      </c>
    </row>
    <row r="1548" ht="15" customHeight="1">
      <c r="A1548" t="n">
        <v>31</v>
      </c>
      <c r="B1548" s="37">
        <f>IF(Setup!$B$27="","",Setup!$B$27)</f>
        <v/>
      </c>
      <c r="C1548" s="102" t="n"/>
      <c r="D1548" s="103" t="n"/>
      <c r="E1548" s="103" t="n"/>
      <c r="F1548" s="104" t="n"/>
      <c r="G1548" s="102" t="n"/>
      <c r="H1548" s="103" t="n"/>
      <c r="I1548" s="103" t="n"/>
      <c r="J1548" s="104" t="n"/>
      <c r="K1548" s="102" t="n"/>
      <c r="L1548" s="103" t="n"/>
      <c r="M1548" s="103" t="n"/>
      <c r="N1548" s="104" t="n"/>
      <c r="O1548" s="102" t="n"/>
      <c r="P1548" s="103" t="n"/>
      <c r="Q1548" s="103" t="n"/>
      <c r="R1548" s="104" t="n"/>
      <c r="S1548" s="102" t="n"/>
      <c r="T1548" s="103" t="n"/>
      <c r="U1548" s="103" t="n"/>
      <c r="V1548" s="104" t="n"/>
      <c r="W1548" s="102" t="n"/>
      <c r="X1548" s="104" t="n"/>
      <c r="Y1548" s="102" t="n"/>
      <c r="Z1548" s="104" t="n"/>
      <c r="AB1548" s="105">
        <f>IF($B1548="","",(COUNTIF(C1508:E1525,$B1548)+COUNTIF(C1508:E1525,$B1548&amp;" ~*")&gt;0)+(COUNTIF(G1508:I1525,$B1548)+COUNTIF(G1508:I1525,$B1548&amp;" ~*")&gt;0)+(COUNTIF(K1508:M1525,$B1548)+COUNTIF(K1508:M1525,$B1548&amp;" ~*")&gt;0)+(COUNTIF(O1508:Q1525,$B1548)+COUNTIF(O1508:Q1525,$B1548&amp;" ~*")&gt;0)+(COUNTIF(S1508:U1525,$B1548)+COUNTIF(S1508:U1525,$B1548&amp;" ~*")&gt;0)+(COUNTIF(W1508:W1525,$B1548)+COUNTIF(W1508:W1525,$B1548&amp;" ~*")&gt;0)+(COUNTIF(Y1508:Y1525,$B1548)+COUNTIF(Y1508:Y1525,$B1548&amp;" ~*")&gt;0))</f>
        <v/>
      </c>
      <c r="AC1548" s="38">
        <f>IF($B1548="","",(IFERROR(INDEX(Setup!$G$33:$G$40,MATCH(C1548,Setup!$B$33:$B$40,0)),0)=1)*(COUNTIF(C1508:E1525,$B1548)+COUNTIF(C1508:E1525,$B1548&amp;" ~*")&gt;0)+(IFERROR(INDEX(Setup!$G$33:$G$40,MATCH(G1548,Setup!$B$33:$B$40,0)),0)=1)*(COUNTIF(G1508:I1525,$B1548)+COUNTIF(G1508:I1525,$B1548&amp;" ~*")&gt;0)+(IFERROR(INDEX(Setup!$G$33:$G$40,MATCH(K1548,Setup!$B$33:$B$40,0)),0)=1)*(COUNTIF(K1508:M1525,$B1548)+COUNTIF(K1508:M1525,$B1548&amp;" ~*")&gt;0)+(IFERROR(INDEX(Setup!$G$33:$G$40,MATCH(O1548,Setup!$B$33:$B$40,0)),0)=1)*(COUNTIF(O1508:Q1525,$B1548)+COUNTIF(O1508:Q1525,$B1548&amp;" ~*")&gt;0)+(IFERROR(INDEX(Setup!$G$33:$G$40,MATCH(S1548,Setup!$B$33:$B$40,0)),0)=1)*(COUNTIF(S1508:U1525,$B1548)+COUNTIF(S1508:U1525,$B1548&amp;" ~*")&gt;0)+(IFERROR(INDEX(Setup!$G$33:$G$40,MATCH(W1548,Setup!$B$33:$B$40,0)),0)=1)*(COUNTIF(W1508:W1525,$B1548)+COUNTIF(W1508:W1525,$B1548&amp;" ~*")&gt;0)+(IFERROR(INDEX(Setup!$G$33:$G$40,MATCH(Y1548,Setup!$B$33:$B$40,0)),0)=1)*(COUNTIF(Y1508:Y1525,$B1548)+COUNTIF(Y1508:Y1525,$B1548&amp;" ~*")&gt;0))</f>
        <v/>
      </c>
    </row>
    <row r="1549" ht="15" customHeight="1">
      <c r="A1549" t="n">
        <v>31</v>
      </c>
      <c r="B1549" s="35">
        <f>IF(Setup!$B$28="","",Setup!$B$28)</f>
        <v/>
      </c>
      <c r="C1549" s="98" t="n"/>
      <c r="D1549" s="99" t="n"/>
      <c r="E1549" s="99" t="n"/>
      <c r="F1549" s="100" t="n"/>
      <c r="G1549" s="98" t="n"/>
      <c r="H1549" s="99" t="n"/>
      <c r="I1549" s="99" t="n"/>
      <c r="J1549" s="100" t="n"/>
      <c r="K1549" s="98" t="n"/>
      <c r="L1549" s="99" t="n"/>
      <c r="M1549" s="99" t="n"/>
      <c r="N1549" s="100" t="n"/>
      <c r="O1549" s="98" t="n"/>
      <c r="P1549" s="99" t="n"/>
      <c r="Q1549" s="99" t="n"/>
      <c r="R1549" s="100" t="n"/>
      <c r="S1549" s="98" t="n"/>
      <c r="T1549" s="99" t="n"/>
      <c r="U1549" s="99" t="n"/>
      <c r="V1549" s="100" t="n"/>
      <c r="W1549" s="98" t="n"/>
      <c r="X1549" s="100" t="n"/>
      <c r="Y1549" s="98" t="n"/>
      <c r="Z1549" s="100" t="n"/>
      <c r="AB1549" s="101">
        <f>IF($B1549="","",(COUNTIF(C1508:E1525,$B1549)+COUNTIF(C1508:E1525,$B1549&amp;" ~*")&gt;0)+(COUNTIF(G1508:I1525,$B1549)+COUNTIF(G1508:I1525,$B1549&amp;" ~*")&gt;0)+(COUNTIF(K1508:M1525,$B1549)+COUNTIF(K1508:M1525,$B1549&amp;" ~*")&gt;0)+(COUNTIF(O1508:Q1525,$B1549)+COUNTIF(O1508:Q1525,$B1549&amp;" ~*")&gt;0)+(COUNTIF(S1508:U1525,$B1549)+COUNTIF(S1508:U1525,$B1549&amp;" ~*")&gt;0)+(COUNTIF(W1508:W1525,$B1549)+COUNTIF(W1508:W1525,$B1549&amp;" ~*")&gt;0)+(COUNTIF(Y1508:Y1525,$B1549)+COUNTIF(Y1508:Y1525,$B1549&amp;" ~*")&gt;0))</f>
        <v/>
      </c>
      <c r="AC1549" s="36">
        <f>IF($B1549="","",(IFERROR(INDEX(Setup!$G$33:$G$40,MATCH(C1549,Setup!$B$33:$B$40,0)),0)=1)*(COUNTIF(C1508:E1525,$B1549)+COUNTIF(C1508:E1525,$B1549&amp;" ~*")&gt;0)+(IFERROR(INDEX(Setup!$G$33:$G$40,MATCH(G1549,Setup!$B$33:$B$40,0)),0)=1)*(COUNTIF(G1508:I1525,$B1549)+COUNTIF(G1508:I1525,$B1549&amp;" ~*")&gt;0)+(IFERROR(INDEX(Setup!$G$33:$G$40,MATCH(K1549,Setup!$B$33:$B$40,0)),0)=1)*(COUNTIF(K1508:M1525,$B1549)+COUNTIF(K1508:M1525,$B1549&amp;" ~*")&gt;0)+(IFERROR(INDEX(Setup!$G$33:$G$40,MATCH(O1549,Setup!$B$33:$B$40,0)),0)=1)*(COUNTIF(O1508:Q1525,$B1549)+COUNTIF(O1508:Q1525,$B1549&amp;" ~*")&gt;0)+(IFERROR(INDEX(Setup!$G$33:$G$40,MATCH(S1549,Setup!$B$33:$B$40,0)),0)=1)*(COUNTIF(S1508:U1525,$B1549)+COUNTIF(S1508:U1525,$B1549&amp;" ~*")&gt;0)+(IFERROR(INDEX(Setup!$G$33:$G$40,MATCH(W1549,Setup!$B$33:$B$40,0)),0)=1)*(COUNTIF(W1508:W1525,$B1549)+COUNTIF(W1508:W1525,$B1549&amp;" ~*")&gt;0)+(IFERROR(INDEX(Setup!$G$33:$G$40,MATCH(Y1549,Setup!$B$33:$B$40,0)),0)=1)*(COUNTIF(Y1508:Y1525,$B1549)+COUNTIF(Y1508:Y1525,$B1549&amp;" ~*")&gt;0))</f>
        <v/>
      </c>
    </row>
    <row r="1550" ht="15" customHeight="1">
      <c r="A1550" t="n">
        <v>31</v>
      </c>
      <c r="B1550" s="37">
        <f>IF(Setup!$B$29="","",Setup!$B$29)</f>
        <v/>
      </c>
      <c r="C1550" s="102" t="n"/>
      <c r="D1550" s="103" t="n"/>
      <c r="E1550" s="103" t="n"/>
      <c r="F1550" s="104" t="n"/>
      <c r="G1550" s="102" t="n"/>
      <c r="H1550" s="103" t="n"/>
      <c r="I1550" s="103" t="n"/>
      <c r="J1550" s="104" t="n"/>
      <c r="K1550" s="102" t="n"/>
      <c r="L1550" s="103" t="n"/>
      <c r="M1550" s="103" t="n"/>
      <c r="N1550" s="104" t="n"/>
      <c r="O1550" s="102" t="n"/>
      <c r="P1550" s="103" t="n"/>
      <c r="Q1550" s="103" t="n"/>
      <c r="R1550" s="104" t="n"/>
      <c r="S1550" s="102" t="n"/>
      <c r="T1550" s="103" t="n"/>
      <c r="U1550" s="103" t="n"/>
      <c r="V1550" s="104" t="n"/>
      <c r="W1550" s="102" t="n"/>
      <c r="X1550" s="104" t="n"/>
      <c r="Y1550" s="102" t="n"/>
      <c r="Z1550" s="104" t="n"/>
      <c r="AB1550" s="105">
        <f>IF($B1550="","",(COUNTIF(C1508:E1525,$B1550)+COUNTIF(C1508:E1525,$B1550&amp;" ~*")&gt;0)+(COUNTIF(G1508:I1525,$B1550)+COUNTIF(G1508:I1525,$B1550&amp;" ~*")&gt;0)+(COUNTIF(K1508:M1525,$B1550)+COUNTIF(K1508:M1525,$B1550&amp;" ~*")&gt;0)+(COUNTIF(O1508:Q1525,$B1550)+COUNTIF(O1508:Q1525,$B1550&amp;" ~*")&gt;0)+(COUNTIF(S1508:U1525,$B1550)+COUNTIF(S1508:U1525,$B1550&amp;" ~*")&gt;0)+(COUNTIF(W1508:W1525,$B1550)+COUNTIF(W1508:W1525,$B1550&amp;" ~*")&gt;0)+(COUNTIF(Y1508:Y1525,$B1550)+COUNTIF(Y1508:Y1525,$B1550&amp;" ~*")&gt;0))</f>
        <v/>
      </c>
      <c r="AC1550" s="38">
        <f>IF($B1550="","",(IFERROR(INDEX(Setup!$G$33:$G$40,MATCH(C1550,Setup!$B$33:$B$40,0)),0)=1)*(COUNTIF(C1508:E1525,$B1550)+COUNTIF(C1508:E1525,$B1550&amp;" ~*")&gt;0)+(IFERROR(INDEX(Setup!$G$33:$G$40,MATCH(G1550,Setup!$B$33:$B$40,0)),0)=1)*(COUNTIF(G1508:I1525,$B1550)+COUNTIF(G1508:I1525,$B1550&amp;" ~*")&gt;0)+(IFERROR(INDEX(Setup!$G$33:$G$40,MATCH(K1550,Setup!$B$33:$B$40,0)),0)=1)*(COUNTIF(K1508:M1525,$B1550)+COUNTIF(K1508:M1525,$B1550&amp;" ~*")&gt;0)+(IFERROR(INDEX(Setup!$G$33:$G$40,MATCH(O1550,Setup!$B$33:$B$40,0)),0)=1)*(COUNTIF(O1508:Q1525,$B1550)+COUNTIF(O1508:Q1525,$B1550&amp;" ~*")&gt;0)+(IFERROR(INDEX(Setup!$G$33:$G$40,MATCH(S1550,Setup!$B$33:$B$40,0)),0)=1)*(COUNTIF(S1508:U1525,$B1550)+COUNTIF(S1508:U1525,$B1550&amp;" ~*")&gt;0)+(IFERROR(INDEX(Setup!$G$33:$G$40,MATCH(W1550,Setup!$B$33:$B$40,0)),0)=1)*(COUNTIF(W1508:W1525,$B1550)+COUNTIF(W1508:W1525,$B1550&amp;" ~*")&gt;0)+(IFERROR(INDEX(Setup!$G$33:$G$40,MATCH(Y1550,Setup!$B$33:$B$40,0)),0)=1)*(COUNTIF(Y1508:Y1525,$B1550)+COUNTIF(Y1508:Y1525,$B1550&amp;" ~*")&gt;0))</f>
        <v/>
      </c>
    </row>
    <row r="1551" ht="16" customHeight="1">
      <c r="A1551" t="n">
        <v>31</v>
      </c>
      <c r="B1551" s="106" t="inlineStr">
        <is>
          <t>Available people</t>
        </is>
      </c>
      <c r="C1551" s="107">
        <f>COUNTIFS(Setup!$E$6:$E$29,"Y",Setup!$B$6:$B$29,"?*")-SUMPRODUCT(COUNTIF(C1527:C1550,Setup!$F$33:$F$40))</f>
        <v/>
      </c>
      <c r="D1551" s="107" t="n"/>
      <c r="E1551" s="107" t="n"/>
      <c r="F1551" s="107" t="n"/>
      <c r="G1551" s="107">
        <f>COUNTIFS(Setup!$E$6:$E$29,"Y",Setup!$B$6:$B$29,"?*")-SUMPRODUCT(COUNTIF(G1527:G1550,Setup!$F$33:$F$40))</f>
        <v/>
      </c>
      <c r="H1551" s="107" t="n"/>
      <c r="I1551" s="107" t="n"/>
      <c r="J1551" s="107" t="n"/>
      <c r="K1551" s="107">
        <f>COUNTIFS(Setup!$E$6:$E$29,"Y",Setup!$B$6:$B$29,"?*")-SUMPRODUCT(COUNTIF(K1527:K1550,Setup!$F$33:$F$40))</f>
        <v/>
      </c>
      <c r="L1551" s="107" t="n"/>
      <c r="M1551" s="107" t="n"/>
      <c r="N1551" s="107" t="n"/>
      <c r="O1551" s="107">
        <f>COUNTIFS(Setup!$E$6:$E$29,"Y",Setup!$B$6:$B$29,"?*")-SUMPRODUCT(COUNTIF(O1527:O1550,Setup!$F$33:$F$40))</f>
        <v/>
      </c>
      <c r="P1551" s="107" t="n"/>
      <c r="Q1551" s="107" t="n"/>
      <c r="R1551" s="107" t="n"/>
      <c r="S1551" s="107">
        <f>COUNTIFS(Setup!$E$6:$E$29,"Y",Setup!$B$6:$B$29,"?*")-SUMPRODUCT(COUNTIF(S1527:S1550,Setup!$F$33:$F$40))</f>
        <v/>
      </c>
      <c r="T1551" s="107" t="n"/>
      <c r="U1551" s="107" t="n"/>
      <c r="V1551" s="107" t="n"/>
      <c r="W1551" s="107">
        <f>COUNTIFS(Setup!$E$6:$E$29,"Y",Setup!$B$6:$B$29,"?*")-SUMPRODUCT(COUNTIF(W1527:W1550,Setup!$F$33:$F$40))</f>
        <v/>
      </c>
      <c r="X1551" s="107" t="n"/>
      <c r="Y1551" s="107">
        <f>COUNTIFS(Setup!$E$6:$E$29,"Y",Setup!$B$6:$B$29,"?*")-SUMPRODUCT(COUNTIF(Y1527:Y1550,Setup!$F$33:$F$40))</f>
        <v/>
      </c>
      <c r="Z1551" s="107" t="n"/>
      <c r="AB1551" s="108">
        <f>SUM(AB1527:AB1550)</f>
        <v/>
      </c>
      <c r="AC1551" s="109">
        <f>SUM(AC1527:AC1550)</f>
        <v/>
      </c>
    </row>
    <row r="1552" ht="30" customHeight="1">
      <c r="A1552" t="n">
        <v>31</v>
      </c>
      <c r="B1552" s="110" t="inlineStr">
        <is>
          <t>Week notes</t>
        </is>
      </c>
      <c r="C1552" s="111" t="n"/>
      <c r="D1552" s="112" t="n"/>
      <c r="E1552" s="112" t="n"/>
      <c r="F1552" s="112" t="n"/>
      <c r="G1552" s="112" t="n"/>
      <c r="H1552" s="112" t="n"/>
      <c r="I1552" s="112" t="n"/>
      <c r="J1552" s="112" t="n"/>
      <c r="K1552" s="112" t="n"/>
      <c r="L1552" s="112" t="n"/>
      <c r="M1552" s="112" t="n"/>
      <c r="N1552" s="112" t="n"/>
      <c r="O1552" s="112" t="n"/>
      <c r="P1552" s="112" t="n"/>
      <c r="Q1552" s="112" t="n"/>
      <c r="R1552" s="112" t="n"/>
      <c r="S1552" s="112" t="n"/>
      <c r="T1552" s="112" t="n"/>
      <c r="U1552" s="112" t="n"/>
      <c r="V1552" s="112" t="n"/>
      <c r="W1552" s="112" t="n"/>
      <c r="X1552" s="112" t="n"/>
      <c r="Y1552" s="112" t="n"/>
      <c r="Z1552" s="113" t="n"/>
    </row>
    <row r="1553" ht="8" customHeight="1">
      <c r="A1553" t="n">
        <v>31</v>
      </c>
    </row>
    <row r="1554" ht="8" customHeight="1">
      <c r="A1554" t="n">
        <v>31</v>
      </c>
    </row>
    <row r="1555" ht="24" customHeight="1">
      <c r="A1555" t="n">
        <v>32</v>
      </c>
      <c r="B1555" s="73">
        <f>"WEEK 32     "&amp;TEXT(C1556,"ddd d mmm")&amp;"  –  "&amp;TEXT(C1556+6,"ddd d mmm yyyy")</f>
        <v/>
      </c>
      <c r="S1555" s="74">
        <f>IF(TODAY()&lt;C1556,"FUTURE",IF(TODAY()&gt;C1556+6,"PAST","THIS WEEK"))</f>
        <v/>
      </c>
      <c r="W1555" s="75">
        <f>IF(AND(Engine!$B$8=$AC$3,Engine!$B$9=$A1555),"◀ ACTIVE WEEK","")</f>
        <v/>
      </c>
      <c r="AA1555" s="76" t="n"/>
      <c r="AB1555" s="77" t="inlineStr">
        <is>
          <t>◀ Prev</t>
        </is>
      </c>
      <c r="AC1555" s="77" t="inlineStr">
        <is>
          <t>Next ▶</t>
        </is>
      </c>
    </row>
    <row r="1556" ht="18" customHeight="1">
      <c r="A1556" t="n">
        <v>32</v>
      </c>
      <c r="B1556" s="78" t="inlineStr">
        <is>
          <t>DUTY</t>
        </is>
      </c>
      <c r="C1556" s="79">
        <f>$AC$2+7*($A1556-1)</f>
        <v/>
      </c>
      <c r="D1556" s="80" t="n"/>
      <c r="E1556" s="80" t="n"/>
      <c r="F1556" s="81" t="n"/>
      <c r="G1556" s="79">
        <f>C1556+1</f>
        <v/>
      </c>
      <c r="H1556" s="80" t="n"/>
      <c r="I1556" s="80" t="n"/>
      <c r="J1556" s="81" t="n"/>
      <c r="K1556" s="79">
        <f>C1556+2</f>
        <v/>
      </c>
      <c r="L1556" s="80" t="n"/>
      <c r="M1556" s="80" t="n"/>
      <c r="N1556" s="81" t="n"/>
      <c r="O1556" s="79">
        <f>C1556+3</f>
        <v/>
      </c>
      <c r="P1556" s="80" t="n"/>
      <c r="Q1556" s="80" t="n"/>
      <c r="R1556" s="81" t="n"/>
      <c r="S1556" s="79">
        <f>C1556+4</f>
        <v/>
      </c>
      <c r="T1556" s="80" t="n"/>
      <c r="U1556" s="80" t="n"/>
      <c r="V1556" s="81" t="n"/>
      <c r="W1556" s="82">
        <f>C1556+5</f>
        <v/>
      </c>
      <c r="X1556" s="83" t="n"/>
      <c r="Y1556" s="82">
        <f>C1556+6</f>
        <v/>
      </c>
      <c r="Z1556" s="83" t="n"/>
      <c r="AB1556" s="72" t="inlineStr">
        <is>
          <t>Gaps</t>
        </is>
      </c>
      <c r="AC1556" s="72" t="inlineStr">
        <is>
          <t>Cover</t>
        </is>
      </c>
    </row>
    <row r="1557" ht="14" customHeight="1">
      <c r="A1557" t="n">
        <v>32</v>
      </c>
      <c r="B1557" s="84" t="inlineStr">
        <is>
          <t>(from Setup)</t>
        </is>
      </c>
      <c r="C1557" s="85" t="inlineStr">
        <is>
          <t>1</t>
        </is>
      </c>
      <c r="D1557" s="85" t="inlineStr">
        <is>
          <t>2</t>
        </is>
      </c>
      <c r="E1557" s="85" t="inlineStr">
        <is>
          <t>3</t>
        </is>
      </c>
      <c r="F1557" s="85" t="inlineStr">
        <is>
          <t>Notes</t>
        </is>
      </c>
      <c r="G1557" s="85" t="inlineStr">
        <is>
          <t>1</t>
        </is>
      </c>
      <c r="H1557" s="85" t="inlineStr">
        <is>
          <t>2</t>
        </is>
      </c>
      <c r="I1557" s="85" t="inlineStr">
        <is>
          <t>3</t>
        </is>
      </c>
      <c r="J1557" s="85" t="inlineStr">
        <is>
          <t>Notes</t>
        </is>
      </c>
      <c r="K1557" s="85" t="inlineStr">
        <is>
          <t>1</t>
        </is>
      </c>
      <c r="L1557" s="85" t="inlineStr">
        <is>
          <t>2</t>
        </is>
      </c>
      <c r="M1557" s="85" t="inlineStr">
        <is>
          <t>3</t>
        </is>
      </c>
      <c r="N1557" s="85" t="inlineStr">
        <is>
          <t>Notes</t>
        </is>
      </c>
      <c r="O1557" s="85" t="inlineStr">
        <is>
          <t>1</t>
        </is>
      </c>
      <c r="P1557" s="85" t="inlineStr">
        <is>
          <t>2</t>
        </is>
      </c>
      <c r="Q1557" s="85" t="inlineStr">
        <is>
          <t>3</t>
        </is>
      </c>
      <c r="R1557" s="85" t="inlineStr">
        <is>
          <t>Notes</t>
        </is>
      </c>
      <c r="S1557" s="85" t="inlineStr">
        <is>
          <t>1</t>
        </is>
      </c>
      <c r="T1557" s="85" t="inlineStr">
        <is>
          <t>2</t>
        </is>
      </c>
      <c r="U1557" s="85" t="inlineStr">
        <is>
          <t>3</t>
        </is>
      </c>
      <c r="V1557" s="85" t="inlineStr">
        <is>
          <t>Notes</t>
        </is>
      </c>
      <c r="W1557" s="85" t="inlineStr">
        <is>
          <t>Cover</t>
        </is>
      </c>
      <c r="X1557" s="85" t="inlineStr">
        <is>
          <t>Notes</t>
        </is>
      </c>
      <c r="Y1557" s="85" t="inlineStr">
        <is>
          <t>Cover</t>
        </is>
      </c>
      <c r="Z1557" s="85" t="inlineStr">
        <is>
          <t>Notes</t>
        </is>
      </c>
      <c r="AB1557" s="86" t="inlineStr">
        <is>
          <t>weekdays short</t>
        </is>
      </c>
      <c r="AC1557" s="87" t="inlineStr"/>
    </row>
    <row r="1558" ht="17" customHeight="1">
      <c r="A1558" t="n">
        <v>32</v>
      </c>
      <c r="B1558" s="24">
        <f>IF(Setup!$K$6="","",Setup!$K$6)</f>
        <v/>
      </c>
      <c r="C1558" s="88" t="n"/>
      <c r="D1558" s="88" t="n"/>
      <c r="E1558" s="88" t="n"/>
      <c r="F1558" s="89" t="n"/>
      <c r="G1558" s="88" t="n"/>
      <c r="H1558" s="88" t="n"/>
      <c r="I1558" s="88" t="n"/>
      <c r="J1558" s="89" t="n"/>
      <c r="K1558" s="88" t="n"/>
      <c r="L1558" s="88" t="n"/>
      <c r="M1558" s="88" t="n"/>
      <c r="N1558" s="89" t="n"/>
      <c r="O1558" s="88" t="n"/>
      <c r="P1558" s="88" t="n"/>
      <c r="Q1558" s="88" t="n"/>
      <c r="R1558" s="89" t="n"/>
      <c r="S1558" s="88" t="n"/>
      <c r="T1558" s="88" t="n"/>
      <c r="U1558" s="88" t="n"/>
      <c r="V1558" s="89" t="n"/>
      <c r="W1558" s="88" t="n"/>
      <c r="X1558" s="89" t="n"/>
      <c r="Y1558" s="88" t="n"/>
      <c r="Z1558" s="89" t="n"/>
      <c r="AB1558" s="25">
        <f>IF($B1558="","",(COUNTIF(C1558:E1558,"?*")&lt;N(INDEX(Setup!$L$6:$L$23,1)))+(COUNTIF(G1558:I1558,"?*")&lt;N(INDEX(Setup!$L$6:$L$23,1)))+(COUNTIF(K1558:M1558,"?*")&lt;N(INDEX(Setup!$L$6:$L$23,1)))+(COUNTIF(O1558:Q1558,"?*")&lt;N(INDEX(Setup!$L$6:$L$23,1)))+(COUNTIF(S1558:U1558,"?*")&lt;N(INDEX(Setup!$L$6:$L$23,1)))+((W1558="")*(INDEX(Setup!$M$6:$M$23,1)="Y"))+((Y1558="")*(INDEX(Setup!$M$6:$M$23,1)="Y")))</f>
        <v/>
      </c>
      <c r="AC1558" s="90">
        <f>IF($B1558="","",IF(AB1558=0,"✓ covered","⚠ "&amp;AB1558&amp;IF(AB1558=1," gap"," gaps")))</f>
        <v/>
      </c>
    </row>
    <row r="1559" ht="17" customHeight="1">
      <c r="A1559" t="n">
        <v>32</v>
      </c>
      <c r="B1559" s="29">
        <f>IF(Setup!$K$7="","",Setup!$K$7)</f>
        <v/>
      </c>
      <c r="C1559" s="88" t="n"/>
      <c r="D1559" s="88" t="n"/>
      <c r="E1559" s="88" t="n"/>
      <c r="F1559" s="89" t="n"/>
      <c r="G1559" s="88" t="n"/>
      <c r="H1559" s="88" t="n"/>
      <c r="I1559" s="88" t="n"/>
      <c r="J1559" s="89" t="n"/>
      <c r="K1559" s="88" t="n"/>
      <c r="L1559" s="88" t="n"/>
      <c r="M1559" s="88" t="n"/>
      <c r="N1559" s="89" t="n"/>
      <c r="O1559" s="88" t="n"/>
      <c r="P1559" s="88" t="n"/>
      <c r="Q1559" s="88" t="n"/>
      <c r="R1559" s="89" t="n"/>
      <c r="S1559" s="88" t="n"/>
      <c r="T1559" s="88" t="n"/>
      <c r="U1559" s="88" t="n"/>
      <c r="V1559" s="89" t="n"/>
      <c r="W1559" s="88" t="n"/>
      <c r="X1559" s="89" t="n"/>
      <c r="Y1559" s="88" t="n"/>
      <c r="Z1559" s="89" t="n"/>
      <c r="AB1559" s="30">
        <f>IF($B1559="","",(COUNTIF(C1559:E1559,"?*")&lt;N(INDEX(Setup!$L$6:$L$23,2)))+(COUNTIF(G1559:I1559,"?*")&lt;N(INDEX(Setup!$L$6:$L$23,2)))+(COUNTIF(K1559:M1559,"?*")&lt;N(INDEX(Setup!$L$6:$L$23,2)))+(COUNTIF(O1559:Q1559,"?*")&lt;N(INDEX(Setup!$L$6:$L$23,2)))+(COUNTIF(S1559:U1559,"?*")&lt;N(INDEX(Setup!$L$6:$L$23,2)))+((W1559="")*(INDEX(Setup!$M$6:$M$23,2)="Y"))+((Y1559="")*(INDEX(Setup!$M$6:$M$23,2)="Y")))</f>
        <v/>
      </c>
      <c r="AC1559" s="91">
        <f>IF($B1559="","",IF(AB1559=0,"✓ covered","⚠ "&amp;AB1559&amp;IF(AB1559=1," gap"," gaps")))</f>
        <v/>
      </c>
    </row>
    <row r="1560" ht="17" customHeight="1">
      <c r="A1560" t="n">
        <v>32</v>
      </c>
      <c r="B1560" s="24">
        <f>IF(Setup!$K$8="","",Setup!$K$8)</f>
        <v/>
      </c>
      <c r="C1560" s="88" t="n"/>
      <c r="D1560" s="88" t="n"/>
      <c r="E1560" s="88" t="n"/>
      <c r="F1560" s="89" t="n"/>
      <c r="G1560" s="88" t="n"/>
      <c r="H1560" s="88" t="n"/>
      <c r="I1560" s="88" t="n"/>
      <c r="J1560" s="89" t="n"/>
      <c r="K1560" s="88" t="n"/>
      <c r="L1560" s="88" t="n"/>
      <c r="M1560" s="88" t="n"/>
      <c r="N1560" s="89" t="n"/>
      <c r="O1560" s="88" t="n"/>
      <c r="P1560" s="88" t="n"/>
      <c r="Q1560" s="88" t="n"/>
      <c r="R1560" s="89" t="n"/>
      <c r="S1560" s="88" t="n"/>
      <c r="T1560" s="88" t="n"/>
      <c r="U1560" s="88" t="n"/>
      <c r="V1560" s="89" t="n"/>
      <c r="W1560" s="88" t="n"/>
      <c r="X1560" s="89" t="n"/>
      <c r="Y1560" s="88" t="n"/>
      <c r="Z1560" s="89" t="n"/>
      <c r="AB1560" s="25">
        <f>IF($B1560="","",(COUNTIF(C1560:E1560,"?*")&lt;N(INDEX(Setup!$L$6:$L$23,3)))+(COUNTIF(G1560:I1560,"?*")&lt;N(INDEX(Setup!$L$6:$L$23,3)))+(COUNTIF(K1560:M1560,"?*")&lt;N(INDEX(Setup!$L$6:$L$23,3)))+(COUNTIF(O1560:Q1560,"?*")&lt;N(INDEX(Setup!$L$6:$L$23,3)))+(COUNTIF(S1560:U1560,"?*")&lt;N(INDEX(Setup!$L$6:$L$23,3)))+((W1560="")*(INDEX(Setup!$M$6:$M$23,3)="Y"))+((Y1560="")*(INDEX(Setup!$M$6:$M$23,3)="Y")))</f>
        <v/>
      </c>
      <c r="AC1560" s="90">
        <f>IF($B1560="","",IF(AB1560=0,"✓ covered","⚠ "&amp;AB1560&amp;IF(AB1560=1," gap"," gaps")))</f>
        <v/>
      </c>
    </row>
    <row r="1561" ht="17" customHeight="1">
      <c r="A1561" t="n">
        <v>32</v>
      </c>
      <c r="B1561" s="29">
        <f>IF(Setup!$K$9="","",Setup!$K$9)</f>
        <v/>
      </c>
      <c r="C1561" s="88" t="n"/>
      <c r="D1561" s="88" t="n"/>
      <c r="E1561" s="88" t="n"/>
      <c r="F1561" s="89" t="n"/>
      <c r="G1561" s="88" t="n"/>
      <c r="H1561" s="88" t="n"/>
      <c r="I1561" s="88" t="n"/>
      <c r="J1561" s="89" t="n"/>
      <c r="K1561" s="88" t="n"/>
      <c r="L1561" s="88" t="n"/>
      <c r="M1561" s="88" t="n"/>
      <c r="N1561" s="89" t="n"/>
      <c r="O1561" s="88" t="n"/>
      <c r="P1561" s="88" t="n"/>
      <c r="Q1561" s="88" t="n"/>
      <c r="R1561" s="89" t="n"/>
      <c r="S1561" s="88" t="n"/>
      <c r="T1561" s="88" t="n"/>
      <c r="U1561" s="88" t="n"/>
      <c r="V1561" s="89" t="n"/>
      <c r="W1561" s="88" t="n"/>
      <c r="X1561" s="89" t="n"/>
      <c r="Y1561" s="88" t="n"/>
      <c r="Z1561" s="89" t="n"/>
      <c r="AB1561" s="30">
        <f>IF($B1561="","",(COUNTIF(C1561:E1561,"?*")&lt;N(INDEX(Setup!$L$6:$L$23,4)))+(COUNTIF(G1561:I1561,"?*")&lt;N(INDEX(Setup!$L$6:$L$23,4)))+(COUNTIF(K1561:M1561,"?*")&lt;N(INDEX(Setup!$L$6:$L$23,4)))+(COUNTIF(O1561:Q1561,"?*")&lt;N(INDEX(Setup!$L$6:$L$23,4)))+(COUNTIF(S1561:U1561,"?*")&lt;N(INDEX(Setup!$L$6:$L$23,4)))+((W1561="")*(INDEX(Setup!$M$6:$M$23,4)="Y"))+((Y1561="")*(INDEX(Setup!$M$6:$M$23,4)="Y")))</f>
        <v/>
      </c>
      <c r="AC1561" s="91">
        <f>IF($B1561="","",IF(AB1561=0,"✓ covered","⚠ "&amp;AB1561&amp;IF(AB1561=1," gap"," gaps")))</f>
        <v/>
      </c>
    </row>
    <row r="1562" ht="17" customHeight="1">
      <c r="A1562" t="n">
        <v>32</v>
      </c>
      <c r="B1562" s="24">
        <f>IF(Setup!$K$10="","",Setup!$K$10)</f>
        <v/>
      </c>
      <c r="C1562" s="88" t="n"/>
      <c r="D1562" s="88" t="n"/>
      <c r="E1562" s="88" t="n"/>
      <c r="F1562" s="89" t="n"/>
      <c r="G1562" s="88" t="n"/>
      <c r="H1562" s="88" t="n"/>
      <c r="I1562" s="88" t="n"/>
      <c r="J1562" s="89" t="n"/>
      <c r="K1562" s="88" t="n"/>
      <c r="L1562" s="88" t="n"/>
      <c r="M1562" s="88" t="n"/>
      <c r="N1562" s="89" t="n"/>
      <c r="O1562" s="88" t="n"/>
      <c r="P1562" s="88" t="n"/>
      <c r="Q1562" s="88" t="n"/>
      <c r="R1562" s="89" t="n"/>
      <c r="S1562" s="88" t="n"/>
      <c r="T1562" s="88" t="n"/>
      <c r="U1562" s="88" t="n"/>
      <c r="V1562" s="89" t="n"/>
      <c r="W1562" s="88" t="n"/>
      <c r="X1562" s="89" t="n"/>
      <c r="Y1562" s="88" t="n"/>
      <c r="Z1562" s="89" t="n"/>
      <c r="AB1562" s="25">
        <f>IF($B1562="","",(COUNTIF(C1562:E1562,"?*")&lt;N(INDEX(Setup!$L$6:$L$23,5)))+(COUNTIF(G1562:I1562,"?*")&lt;N(INDEX(Setup!$L$6:$L$23,5)))+(COUNTIF(K1562:M1562,"?*")&lt;N(INDEX(Setup!$L$6:$L$23,5)))+(COUNTIF(O1562:Q1562,"?*")&lt;N(INDEX(Setup!$L$6:$L$23,5)))+(COUNTIF(S1562:U1562,"?*")&lt;N(INDEX(Setup!$L$6:$L$23,5)))+((W1562="")*(INDEX(Setup!$M$6:$M$23,5)="Y"))+((Y1562="")*(INDEX(Setup!$M$6:$M$23,5)="Y")))</f>
        <v/>
      </c>
      <c r="AC1562" s="90">
        <f>IF($B1562="","",IF(AB1562=0,"✓ covered","⚠ "&amp;AB1562&amp;IF(AB1562=1," gap"," gaps")))</f>
        <v/>
      </c>
    </row>
    <row r="1563" ht="17" customHeight="1">
      <c r="A1563" t="n">
        <v>32</v>
      </c>
      <c r="B1563" s="29">
        <f>IF(Setup!$K$11="","",Setup!$K$11)</f>
        <v/>
      </c>
      <c r="C1563" s="88" t="n"/>
      <c r="D1563" s="88" t="n"/>
      <c r="E1563" s="88" t="n"/>
      <c r="F1563" s="89" t="n"/>
      <c r="G1563" s="88" t="n"/>
      <c r="H1563" s="88" t="n"/>
      <c r="I1563" s="88" t="n"/>
      <c r="J1563" s="89" t="n"/>
      <c r="K1563" s="88" t="n"/>
      <c r="L1563" s="88" t="n"/>
      <c r="M1563" s="88" t="n"/>
      <c r="N1563" s="89" t="n"/>
      <c r="O1563" s="88" t="n"/>
      <c r="P1563" s="88" t="n"/>
      <c r="Q1563" s="88" t="n"/>
      <c r="R1563" s="89" t="n"/>
      <c r="S1563" s="88" t="n"/>
      <c r="T1563" s="88" t="n"/>
      <c r="U1563" s="88" t="n"/>
      <c r="V1563" s="89" t="n"/>
      <c r="W1563" s="88" t="n"/>
      <c r="X1563" s="89" t="n"/>
      <c r="Y1563" s="88" t="n"/>
      <c r="Z1563" s="89" t="n"/>
      <c r="AB1563" s="30">
        <f>IF($B1563="","",(COUNTIF(C1563:E1563,"?*")&lt;N(INDEX(Setup!$L$6:$L$23,6)))+(COUNTIF(G1563:I1563,"?*")&lt;N(INDEX(Setup!$L$6:$L$23,6)))+(COUNTIF(K1563:M1563,"?*")&lt;N(INDEX(Setup!$L$6:$L$23,6)))+(COUNTIF(O1563:Q1563,"?*")&lt;N(INDEX(Setup!$L$6:$L$23,6)))+(COUNTIF(S1563:U1563,"?*")&lt;N(INDEX(Setup!$L$6:$L$23,6)))+((W1563="")*(INDEX(Setup!$M$6:$M$23,6)="Y"))+((Y1563="")*(INDEX(Setup!$M$6:$M$23,6)="Y")))</f>
        <v/>
      </c>
      <c r="AC1563" s="91">
        <f>IF($B1563="","",IF(AB1563=0,"✓ covered","⚠ "&amp;AB1563&amp;IF(AB1563=1," gap"," gaps")))</f>
        <v/>
      </c>
    </row>
    <row r="1564" ht="17" customHeight="1">
      <c r="A1564" t="n">
        <v>32</v>
      </c>
      <c r="B1564" s="24">
        <f>IF(Setup!$K$12="","",Setup!$K$12)</f>
        <v/>
      </c>
      <c r="C1564" s="88" t="n"/>
      <c r="D1564" s="88" t="n"/>
      <c r="E1564" s="88" t="n"/>
      <c r="F1564" s="89" t="n"/>
      <c r="G1564" s="88" t="n"/>
      <c r="H1564" s="88" t="n"/>
      <c r="I1564" s="88" t="n"/>
      <c r="J1564" s="89" t="n"/>
      <c r="K1564" s="88" t="n"/>
      <c r="L1564" s="88" t="n"/>
      <c r="M1564" s="88" t="n"/>
      <c r="N1564" s="89" t="n"/>
      <c r="O1564" s="88" t="n"/>
      <c r="P1564" s="88" t="n"/>
      <c r="Q1564" s="88" t="n"/>
      <c r="R1564" s="89" t="n"/>
      <c r="S1564" s="88" t="n"/>
      <c r="T1564" s="88" t="n"/>
      <c r="U1564" s="88" t="n"/>
      <c r="V1564" s="89" t="n"/>
      <c r="W1564" s="88" t="n"/>
      <c r="X1564" s="89" t="n"/>
      <c r="Y1564" s="88" t="n"/>
      <c r="Z1564" s="89" t="n"/>
      <c r="AB1564" s="25">
        <f>IF($B1564="","",(COUNTIF(C1564:E1564,"?*")&lt;N(INDEX(Setup!$L$6:$L$23,7)))+(COUNTIF(G1564:I1564,"?*")&lt;N(INDEX(Setup!$L$6:$L$23,7)))+(COUNTIF(K1564:M1564,"?*")&lt;N(INDEX(Setup!$L$6:$L$23,7)))+(COUNTIF(O1564:Q1564,"?*")&lt;N(INDEX(Setup!$L$6:$L$23,7)))+(COUNTIF(S1564:U1564,"?*")&lt;N(INDEX(Setup!$L$6:$L$23,7)))+((W1564="")*(INDEX(Setup!$M$6:$M$23,7)="Y"))+((Y1564="")*(INDEX(Setup!$M$6:$M$23,7)="Y")))</f>
        <v/>
      </c>
      <c r="AC1564" s="90">
        <f>IF($B1564="","",IF(AB1564=0,"✓ covered","⚠ "&amp;AB1564&amp;IF(AB1564=1," gap"," gaps")))</f>
        <v/>
      </c>
    </row>
    <row r="1565" ht="17" customHeight="1">
      <c r="A1565" t="n">
        <v>32</v>
      </c>
      <c r="B1565" s="29">
        <f>IF(Setup!$K$13="","",Setup!$K$13)</f>
        <v/>
      </c>
      <c r="C1565" s="88" t="n"/>
      <c r="D1565" s="88" t="n"/>
      <c r="E1565" s="88" t="n"/>
      <c r="F1565" s="89" t="n"/>
      <c r="G1565" s="88" t="n"/>
      <c r="H1565" s="88" t="n"/>
      <c r="I1565" s="88" t="n"/>
      <c r="J1565" s="89" t="n"/>
      <c r="K1565" s="88" t="n"/>
      <c r="L1565" s="88" t="n"/>
      <c r="M1565" s="88" t="n"/>
      <c r="N1565" s="89" t="n"/>
      <c r="O1565" s="88" t="n"/>
      <c r="P1565" s="88" t="n"/>
      <c r="Q1565" s="88" t="n"/>
      <c r="R1565" s="89" t="n"/>
      <c r="S1565" s="88" t="n"/>
      <c r="T1565" s="88" t="n"/>
      <c r="U1565" s="88" t="n"/>
      <c r="V1565" s="89" t="n"/>
      <c r="W1565" s="88" t="n"/>
      <c r="X1565" s="89" t="n"/>
      <c r="Y1565" s="88" t="n"/>
      <c r="Z1565" s="89" t="n"/>
      <c r="AB1565" s="30">
        <f>IF($B1565="","",(COUNTIF(C1565:E1565,"?*")&lt;N(INDEX(Setup!$L$6:$L$23,8)))+(COUNTIF(G1565:I1565,"?*")&lt;N(INDEX(Setup!$L$6:$L$23,8)))+(COUNTIF(K1565:M1565,"?*")&lt;N(INDEX(Setup!$L$6:$L$23,8)))+(COUNTIF(O1565:Q1565,"?*")&lt;N(INDEX(Setup!$L$6:$L$23,8)))+(COUNTIF(S1565:U1565,"?*")&lt;N(INDEX(Setup!$L$6:$L$23,8)))+((W1565="")*(INDEX(Setup!$M$6:$M$23,8)="Y"))+((Y1565="")*(INDEX(Setup!$M$6:$M$23,8)="Y")))</f>
        <v/>
      </c>
      <c r="AC1565" s="91">
        <f>IF($B1565="","",IF(AB1565=0,"✓ covered","⚠ "&amp;AB1565&amp;IF(AB1565=1," gap"," gaps")))</f>
        <v/>
      </c>
    </row>
    <row r="1566" ht="17" customHeight="1">
      <c r="A1566" t="n">
        <v>32</v>
      </c>
      <c r="B1566" s="24">
        <f>IF(Setup!$K$14="","",Setup!$K$14)</f>
        <v/>
      </c>
      <c r="C1566" s="88" t="n"/>
      <c r="D1566" s="88" t="n"/>
      <c r="E1566" s="88" t="n"/>
      <c r="F1566" s="89" t="n"/>
      <c r="G1566" s="88" t="n"/>
      <c r="H1566" s="88" t="n"/>
      <c r="I1566" s="88" t="n"/>
      <c r="J1566" s="89" t="n"/>
      <c r="K1566" s="88" t="n"/>
      <c r="L1566" s="88" t="n"/>
      <c r="M1566" s="88" t="n"/>
      <c r="N1566" s="89" t="n"/>
      <c r="O1566" s="88" t="n"/>
      <c r="P1566" s="88" t="n"/>
      <c r="Q1566" s="88" t="n"/>
      <c r="R1566" s="89" t="n"/>
      <c r="S1566" s="88" t="n"/>
      <c r="T1566" s="88" t="n"/>
      <c r="U1566" s="88" t="n"/>
      <c r="V1566" s="89" t="n"/>
      <c r="W1566" s="88" t="n"/>
      <c r="X1566" s="89" t="n"/>
      <c r="Y1566" s="88" t="n"/>
      <c r="Z1566" s="89" t="n"/>
      <c r="AB1566" s="25">
        <f>IF($B1566="","",(COUNTIF(C1566:E1566,"?*")&lt;N(INDEX(Setup!$L$6:$L$23,9)))+(COUNTIF(G1566:I1566,"?*")&lt;N(INDEX(Setup!$L$6:$L$23,9)))+(COUNTIF(K1566:M1566,"?*")&lt;N(INDEX(Setup!$L$6:$L$23,9)))+(COUNTIF(O1566:Q1566,"?*")&lt;N(INDEX(Setup!$L$6:$L$23,9)))+(COUNTIF(S1566:U1566,"?*")&lt;N(INDEX(Setup!$L$6:$L$23,9)))+((W1566="")*(INDEX(Setup!$M$6:$M$23,9)="Y"))+((Y1566="")*(INDEX(Setup!$M$6:$M$23,9)="Y")))</f>
        <v/>
      </c>
      <c r="AC1566" s="90">
        <f>IF($B1566="","",IF(AB1566=0,"✓ covered","⚠ "&amp;AB1566&amp;IF(AB1566=1," gap"," gaps")))</f>
        <v/>
      </c>
    </row>
    <row r="1567" ht="17" customHeight="1">
      <c r="A1567" t="n">
        <v>32</v>
      </c>
      <c r="B1567" s="29">
        <f>IF(Setup!$K$15="","",Setup!$K$15)</f>
        <v/>
      </c>
      <c r="C1567" s="88" t="n"/>
      <c r="D1567" s="88" t="n"/>
      <c r="E1567" s="88" t="n"/>
      <c r="F1567" s="89" t="n"/>
      <c r="G1567" s="88" t="n"/>
      <c r="H1567" s="88" t="n"/>
      <c r="I1567" s="88" t="n"/>
      <c r="J1567" s="89" t="n"/>
      <c r="K1567" s="88" t="n"/>
      <c r="L1567" s="88" t="n"/>
      <c r="M1567" s="88" t="n"/>
      <c r="N1567" s="89" t="n"/>
      <c r="O1567" s="88" t="n"/>
      <c r="P1567" s="88" t="n"/>
      <c r="Q1567" s="88" t="n"/>
      <c r="R1567" s="89" t="n"/>
      <c r="S1567" s="88" t="n"/>
      <c r="T1567" s="88" t="n"/>
      <c r="U1567" s="88" t="n"/>
      <c r="V1567" s="89" t="n"/>
      <c r="W1567" s="88" t="n"/>
      <c r="X1567" s="89" t="n"/>
      <c r="Y1567" s="88" t="n"/>
      <c r="Z1567" s="89" t="n"/>
      <c r="AB1567" s="30">
        <f>IF($B1567="","",(COUNTIF(C1567:E1567,"?*")&lt;N(INDEX(Setup!$L$6:$L$23,10)))+(COUNTIF(G1567:I1567,"?*")&lt;N(INDEX(Setup!$L$6:$L$23,10)))+(COUNTIF(K1567:M1567,"?*")&lt;N(INDEX(Setup!$L$6:$L$23,10)))+(COUNTIF(O1567:Q1567,"?*")&lt;N(INDEX(Setup!$L$6:$L$23,10)))+(COUNTIF(S1567:U1567,"?*")&lt;N(INDEX(Setup!$L$6:$L$23,10)))+((W1567="")*(INDEX(Setup!$M$6:$M$23,10)="Y"))+((Y1567="")*(INDEX(Setup!$M$6:$M$23,10)="Y")))</f>
        <v/>
      </c>
      <c r="AC1567" s="91">
        <f>IF($B1567="","",IF(AB1567=0,"✓ covered","⚠ "&amp;AB1567&amp;IF(AB1567=1," gap"," gaps")))</f>
        <v/>
      </c>
    </row>
    <row r="1568" ht="17" customHeight="1">
      <c r="A1568" t="n">
        <v>32</v>
      </c>
      <c r="B1568" s="24">
        <f>IF(Setup!$K$16="","",Setup!$K$16)</f>
        <v/>
      </c>
      <c r="C1568" s="88" t="n"/>
      <c r="D1568" s="88" t="n"/>
      <c r="E1568" s="88" t="n"/>
      <c r="F1568" s="89" t="n"/>
      <c r="G1568" s="88" t="n"/>
      <c r="H1568" s="88" t="n"/>
      <c r="I1568" s="88" t="n"/>
      <c r="J1568" s="89" t="n"/>
      <c r="K1568" s="88" t="n"/>
      <c r="L1568" s="88" t="n"/>
      <c r="M1568" s="88" t="n"/>
      <c r="N1568" s="89" t="n"/>
      <c r="O1568" s="88" t="n"/>
      <c r="P1568" s="88" t="n"/>
      <c r="Q1568" s="88" t="n"/>
      <c r="R1568" s="89" t="n"/>
      <c r="S1568" s="88" t="n"/>
      <c r="T1568" s="88" t="n"/>
      <c r="U1568" s="88" t="n"/>
      <c r="V1568" s="89" t="n"/>
      <c r="W1568" s="88" t="n"/>
      <c r="X1568" s="89" t="n"/>
      <c r="Y1568" s="88" t="n"/>
      <c r="Z1568" s="89" t="n"/>
      <c r="AB1568" s="25">
        <f>IF($B1568="","",(COUNTIF(C1568:E1568,"?*")&lt;N(INDEX(Setup!$L$6:$L$23,11)))+(COUNTIF(G1568:I1568,"?*")&lt;N(INDEX(Setup!$L$6:$L$23,11)))+(COUNTIF(K1568:M1568,"?*")&lt;N(INDEX(Setup!$L$6:$L$23,11)))+(COUNTIF(O1568:Q1568,"?*")&lt;N(INDEX(Setup!$L$6:$L$23,11)))+(COUNTIF(S1568:U1568,"?*")&lt;N(INDEX(Setup!$L$6:$L$23,11)))+((W1568="")*(INDEX(Setup!$M$6:$M$23,11)="Y"))+((Y1568="")*(INDEX(Setup!$M$6:$M$23,11)="Y")))</f>
        <v/>
      </c>
      <c r="AC1568" s="90">
        <f>IF($B1568="","",IF(AB1568=0,"✓ covered","⚠ "&amp;AB1568&amp;IF(AB1568=1," gap"," gaps")))</f>
        <v/>
      </c>
    </row>
    <row r="1569" ht="17" customHeight="1">
      <c r="A1569" t="n">
        <v>32</v>
      </c>
      <c r="B1569" s="29">
        <f>IF(Setup!$K$17="","",Setup!$K$17)</f>
        <v/>
      </c>
      <c r="C1569" s="88" t="n"/>
      <c r="D1569" s="88" t="n"/>
      <c r="E1569" s="88" t="n"/>
      <c r="F1569" s="89" t="n"/>
      <c r="G1569" s="88" t="n"/>
      <c r="H1569" s="88" t="n"/>
      <c r="I1569" s="88" t="n"/>
      <c r="J1569" s="89" t="n"/>
      <c r="K1569" s="88" t="n"/>
      <c r="L1569" s="88" t="n"/>
      <c r="M1569" s="88" t="n"/>
      <c r="N1569" s="89" t="n"/>
      <c r="O1569" s="88" t="n"/>
      <c r="P1569" s="88" t="n"/>
      <c r="Q1569" s="88" t="n"/>
      <c r="R1569" s="89" t="n"/>
      <c r="S1569" s="88" t="n"/>
      <c r="T1569" s="88" t="n"/>
      <c r="U1569" s="88" t="n"/>
      <c r="V1569" s="89" t="n"/>
      <c r="W1569" s="88" t="n"/>
      <c r="X1569" s="89" t="n"/>
      <c r="Y1569" s="88" t="n"/>
      <c r="Z1569" s="89" t="n"/>
      <c r="AB1569" s="30">
        <f>IF($B1569="","",(COUNTIF(C1569:E1569,"?*")&lt;N(INDEX(Setup!$L$6:$L$23,12)))+(COUNTIF(G1569:I1569,"?*")&lt;N(INDEX(Setup!$L$6:$L$23,12)))+(COUNTIF(K1569:M1569,"?*")&lt;N(INDEX(Setup!$L$6:$L$23,12)))+(COUNTIF(O1569:Q1569,"?*")&lt;N(INDEX(Setup!$L$6:$L$23,12)))+(COUNTIF(S1569:U1569,"?*")&lt;N(INDEX(Setup!$L$6:$L$23,12)))+((W1569="")*(INDEX(Setup!$M$6:$M$23,12)="Y"))+((Y1569="")*(INDEX(Setup!$M$6:$M$23,12)="Y")))</f>
        <v/>
      </c>
      <c r="AC1569" s="91">
        <f>IF($B1569="","",IF(AB1569=0,"✓ covered","⚠ "&amp;AB1569&amp;IF(AB1569=1," gap"," gaps")))</f>
        <v/>
      </c>
    </row>
    <row r="1570" ht="17" customHeight="1">
      <c r="A1570" t="n">
        <v>32</v>
      </c>
      <c r="B1570" s="24">
        <f>IF(Setup!$K$18="","",Setup!$K$18)</f>
        <v/>
      </c>
      <c r="C1570" s="88" t="n"/>
      <c r="D1570" s="88" t="n"/>
      <c r="E1570" s="88" t="n"/>
      <c r="F1570" s="89" t="n"/>
      <c r="G1570" s="88" t="n"/>
      <c r="H1570" s="88" t="n"/>
      <c r="I1570" s="88" t="n"/>
      <c r="J1570" s="89" t="n"/>
      <c r="K1570" s="88" t="n"/>
      <c r="L1570" s="88" t="n"/>
      <c r="M1570" s="88" t="n"/>
      <c r="N1570" s="89" t="n"/>
      <c r="O1570" s="88" t="n"/>
      <c r="P1570" s="88" t="n"/>
      <c r="Q1570" s="88" t="n"/>
      <c r="R1570" s="89" t="n"/>
      <c r="S1570" s="88" t="n"/>
      <c r="T1570" s="88" t="n"/>
      <c r="U1570" s="88" t="n"/>
      <c r="V1570" s="89" t="n"/>
      <c r="W1570" s="88" t="n"/>
      <c r="X1570" s="89" t="n"/>
      <c r="Y1570" s="88" t="n"/>
      <c r="Z1570" s="89" t="n"/>
      <c r="AB1570" s="25">
        <f>IF($B1570="","",(COUNTIF(C1570:E1570,"?*")&lt;N(INDEX(Setup!$L$6:$L$23,13)))+(COUNTIF(G1570:I1570,"?*")&lt;N(INDEX(Setup!$L$6:$L$23,13)))+(COUNTIF(K1570:M1570,"?*")&lt;N(INDEX(Setup!$L$6:$L$23,13)))+(COUNTIF(O1570:Q1570,"?*")&lt;N(INDEX(Setup!$L$6:$L$23,13)))+(COUNTIF(S1570:U1570,"?*")&lt;N(INDEX(Setup!$L$6:$L$23,13)))+((W1570="")*(INDEX(Setup!$M$6:$M$23,13)="Y"))+((Y1570="")*(INDEX(Setup!$M$6:$M$23,13)="Y")))</f>
        <v/>
      </c>
      <c r="AC1570" s="90">
        <f>IF($B1570="","",IF(AB1570=0,"✓ covered","⚠ "&amp;AB1570&amp;IF(AB1570=1," gap"," gaps")))</f>
        <v/>
      </c>
    </row>
    <row r="1571" ht="17" customHeight="1">
      <c r="A1571" t="n">
        <v>32</v>
      </c>
      <c r="B1571" s="29">
        <f>IF(Setup!$K$19="","",Setup!$K$19)</f>
        <v/>
      </c>
      <c r="C1571" s="88" t="n"/>
      <c r="D1571" s="88" t="n"/>
      <c r="E1571" s="88" t="n"/>
      <c r="F1571" s="89" t="n"/>
      <c r="G1571" s="88" t="n"/>
      <c r="H1571" s="88" t="n"/>
      <c r="I1571" s="88" t="n"/>
      <c r="J1571" s="89" t="n"/>
      <c r="K1571" s="88" t="n"/>
      <c r="L1571" s="88" t="n"/>
      <c r="M1571" s="88" t="n"/>
      <c r="N1571" s="89" t="n"/>
      <c r="O1571" s="88" t="n"/>
      <c r="P1571" s="88" t="n"/>
      <c r="Q1571" s="88" t="n"/>
      <c r="R1571" s="89" t="n"/>
      <c r="S1571" s="88" t="n"/>
      <c r="T1571" s="88" t="n"/>
      <c r="U1571" s="88" t="n"/>
      <c r="V1571" s="89" t="n"/>
      <c r="W1571" s="88" t="n"/>
      <c r="X1571" s="89" t="n"/>
      <c r="Y1571" s="88" t="n"/>
      <c r="Z1571" s="89" t="n"/>
      <c r="AB1571" s="30">
        <f>IF($B1571="","",(COUNTIF(C1571:E1571,"?*")&lt;N(INDEX(Setup!$L$6:$L$23,14)))+(COUNTIF(G1571:I1571,"?*")&lt;N(INDEX(Setup!$L$6:$L$23,14)))+(COUNTIF(K1571:M1571,"?*")&lt;N(INDEX(Setup!$L$6:$L$23,14)))+(COUNTIF(O1571:Q1571,"?*")&lt;N(INDEX(Setup!$L$6:$L$23,14)))+(COUNTIF(S1571:U1571,"?*")&lt;N(INDEX(Setup!$L$6:$L$23,14)))+((W1571="")*(INDEX(Setup!$M$6:$M$23,14)="Y"))+((Y1571="")*(INDEX(Setup!$M$6:$M$23,14)="Y")))</f>
        <v/>
      </c>
      <c r="AC1571" s="91">
        <f>IF($B1571="","",IF(AB1571=0,"✓ covered","⚠ "&amp;AB1571&amp;IF(AB1571=1," gap"," gaps")))</f>
        <v/>
      </c>
    </row>
    <row r="1572" ht="17" customHeight="1">
      <c r="A1572" t="n">
        <v>32</v>
      </c>
      <c r="B1572" s="24">
        <f>IF(Setup!$K$20="","",Setup!$K$20)</f>
        <v/>
      </c>
      <c r="C1572" s="88" t="n"/>
      <c r="D1572" s="88" t="n"/>
      <c r="E1572" s="88" t="n"/>
      <c r="F1572" s="89" t="n"/>
      <c r="G1572" s="88" t="n"/>
      <c r="H1572" s="88" t="n"/>
      <c r="I1572" s="88" t="n"/>
      <c r="J1572" s="89" t="n"/>
      <c r="K1572" s="88" t="n"/>
      <c r="L1572" s="88" t="n"/>
      <c r="M1572" s="88" t="n"/>
      <c r="N1572" s="89" t="n"/>
      <c r="O1572" s="88" t="n"/>
      <c r="P1572" s="88" t="n"/>
      <c r="Q1572" s="88" t="n"/>
      <c r="R1572" s="89" t="n"/>
      <c r="S1572" s="88" t="n"/>
      <c r="T1572" s="88" t="n"/>
      <c r="U1572" s="88" t="n"/>
      <c r="V1572" s="89" t="n"/>
      <c r="W1572" s="88" t="n"/>
      <c r="X1572" s="89" t="n"/>
      <c r="Y1572" s="88" t="n"/>
      <c r="Z1572" s="89" t="n"/>
      <c r="AB1572" s="25">
        <f>IF($B1572="","",(COUNTIF(C1572:E1572,"?*")&lt;N(INDEX(Setup!$L$6:$L$23,15)))+(COUNTIF(G1572:I1572,"?*")&lt;N(INDEX(Setup!$L$6:$L$23,15)))+(COUNTIF(K1572:M1572,"?*")&lt;N(INDEX(Setup!$L$6:$L$23,15)))+(COUNTIF(O1572:Q1572,"?*")&lt;N(INDEX(Setup!$L$6:$L$23,15)))+(COUNTIF(S1572:U1572,"?*")&lt;N(INDEX(Setup!$L$6:$L$23,15)))+((W1572="")*(INDEX(Setup!$M$6:$M$23,15)="Y"))+((Y1572="")*(INDEX(Setup!$M$6:$M$23,15)="Y")))</f>
        <v/>
      </c>
      <c r="AC1572" s="90">
        <f>IF($B1572="","",IF(AB1572=0,"✓ covered","⚠ "&amp;AB1572&amp;IF(AB1572=1," gap"," gaps")))</f>
        <v/>
      </c>
    </row>
    <row r="1573" ht="17" customHeight="1">
      <c r="A1573" t="n">
        <v>32</v>
      </c>
      <c r="B1573" s="29">
        <f>IF(Setup!$K$21="","",Setup!$K$21)</f>
        <v/>
      </c>
      <c r="C1573" s="88" t="n"/>
      <c r="D1573" s="88" t="n"/>
      <c r="E1573" s="88" t="n"/>
      <c r="F1573" s="89" t="n"/>
      <c r="G1573" s="88" t="n"/>
      <c r="H1573" s="88" t="n"/>
      <c r="I1573" s="88" t="n"/>
      <c r="J1573" s="89" t="n"/>
      <c r="K1573" s="88" t="n"/>
      <c r="L1573" s="88" t="n"/>
      <c r="M1573" s="88" t="n"/>
      <c r="N1573" s="89" t="n"/>
      <c r="O1573" s="88" t="n"/>
      <c r="P1573" s="88" t="n"/>
      <c r="Q1573" s="88" t="n"/>
      <c r="R1573" s="89" t="n"/>
      <c r="S1573" s="88" t="n"/>
      <c r="T1573" s="88" t="n"/>
      <c r="U1573" s="88" t="n"/>
      <c r="V1573" s="89" t="n"/>
      <c r="W1573" s="88" t="n"/>
      <c r="X1573" s="89" t="n"/>
      <c r="Y1573" s="88" t="n"/>
      <c r="Z1573" s="89" t="n"/>
      <c r="AB1573" s="30">
        <f>IF($B1573="","",(COUNTIF(C1573:E1573,"?*")&lt;N(INDEX(Setup!$L$6:$L$23,16)))+(COUNTIF(G1573:I1573,"?*")&lt;N(INDEX(Setup!$L$6:$L$23,16)))+(COUNTIF(K1573:M1573,"?*")&lt;N(INDEX(Setup!$L$6:$L$23,16)))+(COUNTIF(O1573:Q1573,"?*")&lt;N(INDEX(Setup!$L$6:$L$23,16)))+(COUNTIF(S1573:U1573,"?*")&lt;N(INDEX(Setup!$L$6:$L$23,16)))+((W1573="")*(INDEX(Setup!$M$6:$M$23,16)="Y"))+((Y1573="")*(INDEX(Setup!$M$6:$M$23,16)="Y")))</f>
        <v/>
      </c>
      <c r="AC1573" s="91">
        <f>IF($B1573="","",IF(AB1573=0,"✓ covered","⚠ "&amp;AB1573&amp;IF(AB1573=1," gap"," gaps")))</f>
        <v/>
      </c>
    </row>
    <row r="1574" ht="17" customHeight="1">
      <c r="A1574" t="n">
        <v>32</v>
      </c>
      <c r="B1574" s="24">
        <f>IF(Setup!$K$22="","",Setup!$K$22)</f>
        <v/>
      </c>
      <c r="C1574" s="88" t="n"/>
      <c r="D1574" s="88" t="n"/>
      <c r="E1574" s="88" t="n"/>
      <c r="F1574" s="89" t="n"/>
      <c r="G1574" s="88" t="n"/>
      <c r="H1574" s="88" t="n"/>
      <c r="I1574" s="88" t="n"/>
      <c r="J1574" s="89" t="n"/>
      <c r="K1574" s="88" t="n"/>
      <c r="L1574" s="88" t="n"/>
      <c r="M1574" s="88" t="n"/>
      <c r="N1574" s="89" t="n"/>
      <c r="O1574" s="88" t="n"/>
      <c r="P1574" s="88" t="n"/>
      <c r="Q1574" s="88" t="n"/>
      <c r="R1574" s="89" t="n"/>
      <c r="S1574" s="88" t="n"/>
      <c r="T1574" s="88" t="n"/>
      <c r="U1574" s="88" t="n"/>
      <c r="V1574" s="89" t="n"/>
      <c r="W1574" s="88" t="n"/>
      <c r="X1574" s="89" t="n"/>
      <c r="Y1574" s="88" t="n"/>
      <c r="Z1574" s="89" t="n"/>
      <c r="AB1574" s="25">
        <f>IF($B1574="","",(COUNTIF(C1574:E1574,"?*")&lt;N(INDEX(Setup!$L$6:$L$23,17)))+(COUNTIF(G1574:I1574,"?*")&lt;N(INDEX(Setup!$L$6:$L$23,17)))+(COUNTIF(K1574:M1574,"?*")&lt;N(INDEX(Setup!$L$6:$L$23,17)))+(COUNTIF(O1574:Q1574,"?*")&lt;N(INDEX(Setup!$L$6:$L$23,17)))+(COUNTIF(S1574:U1574,"?*")&lt;N(INDEX(Setup!$L$6:$L$23,17)))+((W1574="")*(INDEX(Setup!$M$6:$M$23,17)="Y"))+((Y1574="")*(INDEX(Setup!$M$6:$M$23,17)="Y")))</f>
        <v/>
      </c>
      <c r="AC1574" s="90">
        <f>IF($B1574="","",IF(AB1574=0,"✓ covered","⚠ "&amp;AB1574&amp;IF(AB1574=1," gap"," gaps")))</f>
        <v/>
      </c>
    </row>
    <row r="1575" ht="17" customHeight="1">
      <c r="A1575" t="n">
        <v>32</v>
      </c>
      <c r="B1575" s="29">
        <f>IF(Setup!$K$23="","",Setup!$K$23)</f>
        <v/>
      </c>
      <c r="C1575" s="88" t="n"/>
      <c r="D1575" s="88" t="n"/>
      <c r="E1575" s="88" t="n"/>
      <c r="F1575" s="89" t="n"/>
      <c r="G1575" s="88" t="n"/>
      <c r="H1575" s="88" t="n"/>
      <c r="I1575" s="88" t="n"/>
      <c r="J1575" s="89" t="n"/>
      <c r="K1575" s="88" t="n"/>
      <c r="L1575" s="88" t="n"/>
      <c r="M1575" s="88" t="n"/>
      <c r="N1575" s="89" t="n"/>
      <c r="O1575" s="88" t="n"/>
      <c r="P1575" s="88" t="n"/>
      <c r="Q1575" s="88" t="n"/>
      <c r="R1575" s="89" t="n"/>
      <c r="S1575" s="88" t="n"/>
      <c r="T1575" s="88" t="n"/>
      <c r="U1575" s="88" t="n"/>
      <c r="V1575" s="89" t="n"/>
      <c r="W1575" s="88" t="n"/>
      <c r="X1575" s="89" t="n"/>
      <c r="Y1575" s="88" t="n"/>
      <c r="Z1575" s="89" t="n"/>
      <c r="AB1575" s="30">
        <f>IF($B1575="","",(COUNTIF(C1575:E1575,"?*")&lt;N(INDEX(Setup!$L$6:$L$23,18)))+(COUNTIF(G1575:I1575,"?*")&lt;N(INDEX(Setup!$L$6:$L$23,18)))+(COUNTIF(K1575:M1575,"?*")&lt;N(INDEX(Setup!$L$6:$L$23,18)))+(COUNTIF(O1575:Q1575,"?*")&lt;N(INDEX(Setup!$L$6:$L$23,18)))+(COUNTIF(S1575:U1575,"?*")&lt;N(INDEX(Setup!$L$6:$L$23,18)))+((W1575="")*(INDEX(Setup!$M$6:$M$23,18)="Y"))+((Y1575="")*(INDEX(Setup!$M$6:$M$23,18)="Y")))</f>
        <v/>
      </c>
      <c r="AC1575" s="91">
        <f>IF($B1575="","",IF(AB1575=0,"✓ covered","⚠ "&amp;AB1575&amp;IF(AB1575=1," gap"," gaps")))</f>
        <v/>
      </c>
    </row>
    <row r="1576" ht="18" customHeight="1">
      <c r="A1576" t="n">
        <v>32</v>
      </c>
      <c r="B1576" s="78" t="inlineStr">
        <is>
          <t>TEAM AVAILABILITY</t>
        </is>
      </c>
      <c r="C1576" s="92" t="inlineStr">
        <is>
          <t>Mon</t>
        </is>
      </c>
      <c r="D1576" s="93" t="n"/>
      <c r="E1576" s="93" t="n"/>
      <c r="F1576" s="94" t="n"/>
      <c r="G1576" s="92" t="inlineStr">
        <is>
          <t>Tue</t>
        </is>
      </c>
      <c r="H1576" s="93" t="n"/>
      <c r="I1576" s="93" t="n"/>
      <c r="J1576" s="94" t="n"/>
      <c r="K1576" s="92" t="inlineStr">
        <is>
          <t>Wed</t>
        </is>
      </c>
      <c r="L1576" s="93" t="n"/>
      <c r="M1576" s="93" t="n"/>
      <c r="N1576" s="94" t="n"/>
      <c r="O1576" s="92" t="inlineStr">
        <is>
          <t>Thu</t>
        </is>
      </c>
      <c r="P1576" s="93" t="n"/>
      <c r="Q1576" s="93" t="n"/>
      <c r="R1576" s="94" t="n"/>
      <c r="S1576" s="92" t="inlineStr">
        <is>
          <t>Fri</t>
        </is>
      </c>
      <c r="T1576" s="93" t="n"/>
      <c r="U1576" s="93" t="n"/>
      <c r="V1576" s="94" t="n"/>
      <c r="W1576" s="95" t="inlineStr">
        <is>
          <t>Sat</t>
        </is>
      </c>
      <c r="X1576" s="96" t="n"/>
      <c r="Y1576" s="95" t="inlineStr">
        <is>
          <t>Sun</t>
        </is>
      </c>
      <c r="Z1576" s="96" t="n"/>
      <c r="AB1576" s="97" t="inlineStr">
        <is>
          <t>Days rostered</t>
        </is>
      </c>
      <c r="AC1576" s="97" t="inlineStr">
        <is>
          <t>Conflicts</t>
        </is>
      </c>
    </row>
    <row r="1577" ht="15" customHeight="1">
      <c r="A1577" t="n">
        <v>32</v>
      </c>
      <c r="B1577" s="35">
        <f>IF(Setup!$B$6="","",Setup!$B$6)</f>
        <v/>
      </c>
      <c r="C1577" s="98" t="n"/>
      <c r="D1577" s="99" t="n"/>
      <c r="E1577" s="99" t="n"/>
      <c r="F1577" s="100" t="n"/>
      <c r="G1577" s="98" t="n"/>
      <c r="H1577" s="99" t="n"/>
      <c r="I1577" s="99" t="n"/>
      <c r="J1577" s="100" t="n"/>
      <c r="K1577" s="98" t="n"/>
      <c r="L1577" s="99" t="n"/>
      <c r="M1577" s="99" t="n"/>
      <c r="N1577" s="100" t="n"/>
      <c r="O1577" s="98" t="n"/>
      <c r="P1577" s="99" t="n"/>
      <c r="Q1577" s="99" t="n"/>
      <c r="R1577" s="100" t="n"/>
      <c r="S1577" s="98" t="n"/>
      <c r="T1577" s="99" t="n"/>
      <c r="U1577" s="99" t="n"/>
      <c r="V1577" s="100" t="n"/>
      <c r="W1577" s="98" t="n"/>
      <c r="X1577" s="100" t="n"/>
      <c r="Y1577" s="98" t="n"/>
      <c r="Z1577" s="100" t="n"/>
      <c r="AB1577" s="101">
        <f>IF($B1577="","",(COUNTIF(C1558:E1575,$B1577)+COUNTIF(C1558:E1575,$B1577&amp;" ~*")&gt;0)+(COUNTIF(G1558:I1575,$B1577)+COUNTIF(G1558:I1575,$B1577&amp;" ~*")&gt;0)+(COUNTIF(K1558:M1575,$B1577)+COUNTIF(K1558:M1575,$B1577&amp;" ~*")&gt;0)+(COUNTIF(O1558:Q1575,$B1577)+COUNTIF(O1558:Q1575,$B1577&amp;" ~*")&gt;0)+(COUNTIF(S1558:U1575,$B1577)+COUNTIF(S1558:U1575,$B1577&amp;" ~*")&gt;0)+(COUNTIF(W1558:W1575,$B1577)+COUNTIF(W1558:W1575,$B1577&amp;" ~*")&gt;0)+(COUNTIF(Y1558:Y1575,$B1577)+COUNTIF(Y1558:Y1575,$B1577&amp;" ~*")&gt;0))</f>
        <v/>
      </c>
      <c r="AC1577" s="36">
        <f>IF($B1577="","",(IFERROR(INDEX(Setup!$G$33:$G$40,MATCH(C1577,Setup!$B$33:$B$40,0)),0)=1)*(COUNTIF(C1558:E1575,$B1577)+COUNTIF(C1558:E1575,$B1577&amp;" ~*")&gt;0)+(IFERROR(INDEX(Setup!$G$33:$G$40,MATCH(G1577,Setup!$B$33:$B$40,0)),0)=1)*(COUNTIF(G1558:I1575,$B1577)+COUNTIF(G1558:I1575,$B1577&amp;" ~*")&gt;0)+(IFERROR(INDEX(Setup!$G$33:$G$40,MATCH(K1577,Setup!$B$33:$B$40,0)),0)=1)*(COUNTIF(K1558:M1575,$B1577)+COUNTIF(K1558:M1575,$B1577&amp;" ~*")&gt;0)+(IFERROR(INDEX(Setup!$G$33:$G$40,MATCH(O1577,Setup!$B$33:$B$40,0)),0)=1)*(COUNTIF(O1558:Q1575,$B1577)+COUNTIF(O1558:Q1575,$B1577&amp;" ~*")&gt;0)+(IFERROR(INDEX(Setup!$G$33:$G$40,MATCH(S1577,Setup!$B$33:$B$40,0)),0)=1)*(COUNTIF(S1558:U1575,$B1577)+COUNTIF(S1558:U1575,$B1577&amp;" ~*")&gt;0)+(IFERROR(INDEX(Setup!$G$33:$G$40,MATCH(W1577,Setup!$B$33:$B$40,0)),0)=1)*(COUNTIF(W1558:W1575,$B1577)+COUNTIF(W1558:W1575,$B1577&amp;" ~*")&gt;0)+(IFERROR(INDEX(Setup!$G$33:$G$40,MATCH(Y1577,Setup!$B$33:$B$40,0)),0)=1)*(COUNTIF(Y1558:Y1575,$B1577)+COUNTIF(Y1558:Y1575,$B1577&amp;" ~*")&gt;0))</f>
        <v/>
      </c>
    </row>
    <row r="1578" ht="15" customHeight="1">
      <c r="A1578" t="n">
        <v>32</v>
      </c>
      <c r="B1578" s="37">
        <f>IF(Setup!$B$7="","",Setup!$B$7)</f>
        <v/>
      </c>
      <c r="C1578" s="102" t="n"/>
      <c r="D1578" s="103" t="n"/>
      <c r="E1578" s="103" t="n"/>
      <c r="F1578" s="104" t="n"/>
      <c r="G1578" s="102" t="n"/>
      <c r="H1578" s="103" t="n"/>
      <c r="I1578" s="103" t="n"/>
      <c r="J1578" s="104" t="n"/>
      <c r="K1578" s="102" t="n"/>
      <c r="L1578" s="103" t="n"/>
      <c r="M1578" s="103" t="n"/>
      <c r="N1578" s="104" t="n"/>
      <c r="O1578" s="102" t="n"/>
      <c r="P1578" s="103" t="n"/>
      <c r="Q1578" s="103" t="n"/>
      <c r="R1578" s="104" t="n"/>
      <c r="S1578" s="102" t="n"/>
      <c r="T1578" s="103" t="n"/>
      <c r="U1578" s="103" t="n"/>
      <c r="V1578" s="104" t="n"/>
      <c r="W1578" s="102" t="n"/>
      <c r="X1578" s="104" t="n"/>
      <c r="Y1578" s="102" t="n"/>
      <c r="Z1578" s="104" t="n"/>
      <c r="AB1578" s="105">
        <f>IF($B1578="","",(COUNTIF(C1558:E1575,$B1578)+COUNTIF(C1558:E1575,$B1578&amp;" ~*")&gt;0)+(COUNTIF(G1558:I1575,$B1578)+COUNTIF(G1558:I1575,$B1578&amp;" ~*")&gt;0)+(COUNTIF(K1558:M1575,$B1578)+COUNTIF(K1558:M1575,$B1578&amp;" ~*")&gt;0)+(COUNTIF(O1558:Q1575,$B1578)+COUNTIF(O1558:Q1575,$B1578&amp;" ~*")&gt;0)+(COUNTIF(S1558:U1575,$B1578)+COUNTIF(S1558:U1575,$B1578&amp;" ~*")&gt;0)+(COUNTIF(W1558:W1575,$B1578)+COUNTIF(W1558:W1575,$B1578&amp;" ~*")&gt;0)+(COUNTIF(Y1558:Y1575,$B1578)+COUNTIF(Y1558:Y1575,$B1578&amp;" ~*")&gt;0))</f>
        <v/>
      </c>
      <c r="AC1578" s="38">
        <f>IF($B1578="","",(IFERROR(INDEX(Setup!$G$33:$G$40,MATCH(C1578,Setup!$B$33:$B$40,0)),0)=1)*(COUNTIF(C1558:E1575,$B1578)+COUNTIF(C1558:E1575,$B1578&amp;" ~*")&gt;0)+(IFERROR(INDEX(Setup!$G$33:$G$40,MATCH(G1578,Setup!$B$33:$B$40,0)),0)=1)*(COUNTIF(G1558:I1575,$B1578)+COUNTIF(G1558:I1575,$B1578&amp;" ~*")&gt;0)+(IFERROR(INDEX(Setup!$G$33:$G$40,MATCH(K1578,Setup!$B$33:$B$40,0)),0)=1)*(COUNTIF(K1558:M1575,$B1578)+COUNTIF(K1558:M1575,$B1578&amp;" ~*")&gt;0)+(IFERROR(INDEX(Setup!$G$33:$G$40,MATCH(O1578,Setup!$B$33:$B$40,0)),0)=1)*(COUNTIF(O1558:Q1575,$B1578)+COUNTIF(O1558:Q1575,$B1578&amp;" ~*")&gt;0)+(IFERROR(INDEX(Setup!$G$33:$G$40,MATCH(S1578,Setup!$B$33:$B$40,0)),0)=1)*(COUNTIF(S1558:U1575,$B1578)+COUNTIF(S1558:U1575,$B1578&amp;" ~*")&gt;0)+(IFERROR(INDEX(Setup!$G$33:$G$40,MATCH(W1578,Setup!$B$33:$B$40,0)),0)=1)*(COUNTIF(W1558:W1575,$B1578)+COUNTIF(W1558:W1575,$B1578&amp;" ~*")&gt;0)+(IFERROR(INDEX(Setup!$G$33:$G$40,MATCH(Y1578,Setup!$B$33:$B$40,0)),0)=1)*(COUNTIF(Y1558:Y1575,$B1578)+COUNTIF(Y1558:Y1575,$B1578&amp;" ~*")&gt;0))</f>
        <v/>
      </c>
    </row>
    <row r="1579" ht="15" customHeight="1">
      <c r="A1579" t="n">
        <v>32</v>
      </c>
      <c r="B1579" s="35">
        <f>IF(Setup!$B$8="","",Setup!$B$8)</f>
        <v/>
      </c>
      <c r="C1579" s="98" t="n"/>
      <c r="D1579" s="99" t="n"/>
      <c r="E1579" s="99" t="n"/>
      <c r="F1579" s="100" t="n"/>
      <c r="G1579" s="98" t="n"/>
      <c r="H1579" s="99" t="n"/>
      <c r="I1579" s="99" t="n"/>
      <c r="J1579" s="100" t="n"/>
      <c r="K1579" s="98" t="n"/>
      <c r="L1579" s="99" t="n"/>
      <c r="M1579" s="99" t="n"/>
      <c r="N1579" s="100" t="n"/>
      <c r="O1579" s="98" t="n"/>
      <c r="P1579" s="99" t="n"/>
      <c r="Q1579" s="99" t="n"/>
      <c r="R1579" s="100" t="n"/>
      <c r="S1579" s="98" t="n"/>
      <c r="T1579" s="99" t="n"/>
      <c r="U1579" s="99" t="n"/>
      <c r="V1579" s="100" t="n"/>
      <c r="W1579" s="98" t="n"/>
      <c r="X1579" s="100" t="n"/>
      <c r="Y1579" s="98" t="n"/>
      <c r="Z1579" s="100" t="n"/>
      <c r="AB1579" s="101">
        <f>IF($B1579="","",(COUNTIF(C1558:E1575,$B1579)+COUNTIF(C1558:E1575,$B1579&amp;" ~*")&gt;0)+(COUNTIF(G1558:I1575,$B1579)+COUNTIF(G1558:I1575,$B1579&amp;" ~*")&gt;0)+(COUNTIF(K1558:M1575,$B1579)+COUNTIF(K1558:M1575,$B1579&amp;" ~*")&gt;0)+(COUNTIF(O1558:Q1575,$B1579)+COUNTIF(O1558:Q1575,$B1579&amp;" ~*")&gt;0)+(COUNTIF(S1558:U1575,$B1579)+COUNTIF(S1558:U1575,$B1579&amp;" ~*")&gt;0)+(COUNTIF(W1558:W1575,$B1579)+COUNTIF(W1558:W1575,$B1579&amp;" ~*")&gt;0)+(COUNTIF(Y1558:Y1575,$B1579)+COUNTIF(Y1558:Y1575,$B1579&amp;" ~*")&gt;0))</f>
        <v/>
      </c>
      <c r="AC1579" s="36">
        <f>IF($B1579="","",(IFERROR(INDEX(Setup!$G$33:$G$40,MATCH(C1579,Setup!$B$33:$B$40,0)),0)=1)*(COUNTIF(C1558:E1575,$B1579)+COUNTIF(C1558:E1575,$B1579&amp;" ~*")&gt;0)+(IFERROR(INDEX(Setup!$G$33:$G$40,MATCH(G1579,Setup!$B$33:$B$40,0)),0)=1)*(COUNTIF(G1558:I1575,$B1579)+COUNTIF(G1558:I1575,$B1579&amp;" ~*")&gt;0)+(IFERROR(INDEX(Setup!$G$33:$G$40,MATCH(K1579,Setup!$B$33:$B$40,0)),0)=1)*(COUNTIF(K1558:M1575,$B1579)+COUNTIF(K1558:M1575,$B1579&amp;" ~*")&gt;0)+(IFERROR(INDEX(Setup!$G$33:$G$40,MATCH(O1579,Setup!$B$33:$B$40,0)),0)=1)*(COUNTIF(O1558:Q1575,$B1579)+COUNTIF(O1558:Q1575,$B1579&amp;" ~*")&gt;0)+(IFERROR(INDEX(Setup!$G$33:$G$40,MATCH(S1579,Setup!$B$33:$B$40,0)),0)=1)*(COUNTIF(S1558:U1575,$B1579)+COUNTIF(S1558:U1575,$B1579&amp;" ~*")&gt;0)+(IFERROR(INDEX(Setup!$G$33:$G$40,MATCH(W1579,Setup!$B$33:$B$40,0)),0)=1)*(COUNTIF(W1558:W1575,$B1579)+COUNTIF(W1558:W1575,$B1579&amp;" ~*")&gt;0)+(IFERROR(INDEX(Setup!$G$33:$G$40,MATCH(Y1579,Setup!$B$33:$B$40,0)),0)=1)*(COUNTIF(Y1558:Y1575,$B1579)+COUNTIF(Y1558:Y1575,$B1579&amp;" ~*")&gt;0))</f>
        <v/>
      </c>
    </row>
    <row r="1580" ht="15" customHeight="1">
      <c r="A1580" t="n">
        <v>32</v>
      </c>
      <c r="B1580" s="37">
        <f>IF(Setup!$B$9="","",Setup!$B$9)</f>
        <v/>
      </c>
      <c r="C1580" s="102" t="n"/>
      <c r="D1580" s="103" t="n"/>
      <c r="E1580" s="103" t="n"/>
      <c r="F1580" s="104" t="n"/>
      <c r="G1580" s="102" t="n"/>
      <c r="H1580" s="103" t="n"/>
      <c r="I1580" s="103" t="n"/>
      <c r="J1580" s="104" t="n"/>
      <c r="K1580" s="102" t="n"/>
      <c r="L1580" s="103" t="n"/>
      <c r="M1580" s="103" t="n"/>
      <c r="N1580" s="104" t="n"/>
      <c r="O1580" s="102" t="n"/>
      <c r="P1580" s="103" t="n"/>
      <c r="Q1580" s="103" t="n"/>
      <c r="R1580" s="104" t="n"/>
      <c r="S1580" s="102" t="n"/>
      <c r="T1580" s="103" t="n"/>
      <c r="U1580" s="103" t="n"/>
      <c r="V1580" s="104" t="n"/>
      <c r="W1580" s="102" t="n"/>
      <c r="X1580" s="104" t="n"/>
      <c r="Y1580" s="102" t="n"/>
      <c r="Z1580" s="104" t="n"/>
      <c r="AB1580" s="105">
        <f>IF($B1580="","",(COUNTIF(C1558:E1575,$B1580)+COUNTIF(C1558:E1575,$B1580&amp;" ~*")&gt;0)+(COUNTIF(G1558:I1575,$B1580)+COUNTIF(G1558:I1575,$B1580&amp;" ~*")&gt;0)+(COUNTIF(K1558:M1575,$B1580)+COUNTIF(K1558:M1575,$B1580&amp;" ~*")&gt;0)+(COUNTIF(O1558:Q1575,$B1580)+COUNTIF(O1558:Q1575,$B1580&amp;" ~*")&gt;0)+(COUNTIF(S1558:U1575,$B1580)+COUNTIF(S1558:U1575,$B1580&amp;" ~*")&gt;0)+(COUNTIF(W1558:W1575,$B1580)+COUNTIF(W1558:W1575,$B1580&amp;" ~*")&gt;0)+(COUNTIF(Y1558:Y1575,$B1580)+COUNTIF(Y1558:Y1575,$B1580&amp;" ~*")&gt;0))</f>
        <v/>
      </c>
      <c r="AC1580" s="38">
        <f>IF($B1580="","",(IFERROR(INDEX(Setup!$G$33:$G$40,MATCH(C1580,Setup!$B$33:$B$40,0)),0)=1)*(COUNTIF(C1558:E1575,$B1580)+COUNTIF(C1558:E1575,$B1580&amp;" ~*")&gt;0)+(IFERROR(INDEX(Setup!$G$33:$G$40,MATCH(G1580,Setup!$B$33:$B$40,0)),0)=1)*(COUNTIF(G1558:I1575,$B1580)+COUNTIF(G1558:I1575,$B1580&amp;" ~*")&gt;0)+(IFERROR(INDEX(Setup!$G$33:$G$40,MATCH(K1580,Setup!$B$33:$B$40,0)),0)=1)*(COUNTIF(K1558:M1575,$B1580)+COUNTIF(K1558:M1575,$B1580&amp;" ~*")&gt;0)+(IFERROR(INDEX(Setup!$G$33:$G$40,MATCH(O1580,Setup!$B$33:$B$40,0)),0)=1)*(COUNTIF(O1558:Q1575,$B1580)+COUNTIF(O1558:Q1575,$B1580&amp;" ~*")&gt;0)+(IFERROR(INDEX(Setup!$G$33:$G$40,MATCH(S1580,Setup!$B$33:$B$40,0)),0)=1)*(COUNTIF(S1558:U1575,$B1580)+COUNTIF(S1558:U1575,$B1580&amp;" ~*")&gt;0)+(IFERROR(INDEX(Setup!$G$33:$G$40,MATCH(W1580,Setup!$B$33:$B$40,0)),0)=1)*(COUNTIF(W1558:W1575,$B1580)+COUNTIF(W1558:W1575,$B1580&amp;" ~*")&gt;0)+(IFERROR(INDEX(Setup!$G$33:$G$40,MATCH(Y1580,Setup!$B$33:$B$40,0)),0)=1)*(COUNTIF(Y1558:Y1575,$B1580)+COUNTIF(Y1558:Y1575,$B1580&amp;" ~*")&gt;0))</f>
        <v/>
      </c>
    </row>
    <row r="1581" ht="15" customHeight="1">
      <c r="A1581" t="n">
        <v>32</v>
      </c>
      <c r="B1581" s="35">
        <f>IF(Setup!$B$10="","",Setup!$B$10)</f>
        <v/>
      </c>
      <c r="C1581" s="98" t="n"/>
      <c r="D1581" s="99" t="n"/>
      <c r="E1581" s="99" t="n"/>
      <c r="F1581" s="100" t="n"/>
      <c r="G1581" s="98" t="n"/>
      <c r="H1581" s="99" t="n"/>
      <c r="I1581" s="99" t="n"/>
      <c r="J1581" s="100" t="n"/>
      <c r="K1581" s="98" t="n"/>
      <c r="L1581" s="99" t="n"/>
      <c r="M1581" s="99" t="n"/>
      <c r="N1581" s="100" t="n"/>
      <c r="O1581" s="98" t="n"/>
      <c r="P1581" s="99" t="n"/>
      <c r="Q1581" s="99" t="n"/>
      <c r="R1581" s="100" t="n"/>
      <c r="S1581" s="98" t="n"/>
      <c r="T1581" s="99" t="n"/>
      <c r="U1581" s="99" t="n"/>
      <c r="V1581" s="100" t="n"/>
      <c r="W1581" s="98" t="n"/>
      <c r="X1581" s="100" t="n"/>
      <c r="Y1581" s="98" t="n"/>
      <c r="Z1581" s="100" t="n"/>
      <c r="AB1581" s="101">
        <f>IF($B1581="","",(COUNTIF(C1558:E1575,$B1581)+COUNTIF(C1558:E1575,$B1581&amp;" ~*")&gt;0)+(COUNTIF(G1558:I1575,$B1581)+COUNTIF(G1558:I1575,$B1581&amp;" ~*")&gt;0)+(COUNTIF(K1558:M1575,$B1581)+COUNTIF(K1558:M1575,$B1581&amp;" ~*")&gt;0)+(COUNTIF(O1558:Q1575,$B1581)+COUNTIF(O1558:Q1575,$B1581&amp;" ~*")&gt;0)+(COUNTIF(S1558:U1575,$B1581)+COUNTIF(S1558:U1575,$B1581&amp;" ~*")&gt;0)+(COUNTIF(W1558:W1575,$B1581)+COUNTIF(W1558:W1575,$B1581&amp;" ~*")&gt;0)+(COUNTIF(Y1558:Y1575,$B1581)+COUNTIF(Y1558:Y1575,$B1581&amp;" ~*")&gt;0))</f>
        <v/>
      </c>
      <c r="AC1581" s="36">
        <f>IF($B1581="","",(IFERROR(INDEX(Setup!$G$33:$G$40,MATCH(C1581,Setup!$B$33:$B$40,0)),0)=1)*(COUNTIF(C1558:E1575,$B1581)+COUNTIF(C1558:E1575,$B1581&amp;" ~*")&gt;0)+(IFERROR(INDEX(Setup!$G$33:$G$40,MATCH(G1581,Setup!$B$33:$B$40,0)),0)=1)*(COUNTIF(G1558:I1575,$B1581)+COUNTIF(G1558:I1575,$B1581&amp;" ~*")&gt;0)+(IFERROR(INDEX(Setup!$G$33:$G$40,MATCH(K1581,Setup!$B$33:$B$40,0)),0)=1)*(COUNTIF(K1558:M1575,$B1581)+COUNTIF(K1558:M1575,$B1581&amp;" ~*")&gt;0)+(IFERROR(INDEX(Setup!$G$33:$G$40,MATCH(O1581,Setup!$B$33:$B$40,0)),0)=1)*(COUNTIF(O1558:Q1575,$B1581)+COUNTIF(O1558:Q1575,$B1581&amp;" ~*")&gt;0)+(IFERROR(INDEX(Setup!$G$33:$G$40,MATCH(S1581,Setup!$B$33:$B$40,0)),0)=1)*(COUNTIF(S1558:U1575,$B1581)+COUNTIF(S1558:U1575,$B1581&amp;" ~*")&gt;0)+(IFERROR(INDEX(Setup!$G$33:$G$40,MATCH(W1581,Setup!$B$33:$B$40,0)),0)=1)*(COUNTIF(W1558:W1575,$B1581)+COUNTIF(W1558:W1575,$B1581&amp;" ~*")&gt;0)+(IFERROR(INDEX(Setup!$G$33:$G$40,MATCH(Y1581,Setup!$B$33:$B$40,0)),0)=1)*(COUNTIF(Y1558:Y1575,$B1581)+COUNTIF(Y1558:Y1575,$B1581&amp;" ~*")&gt;0))</f>
        <v/>
      </c>
    </row>
    <row r="1582" ht="15" customHeight="1">
      <c r="A1582" t="n">
        <v>32</v>
      </c>
      <c r="B1582" s="37">
        <f>IF(Setup!$B$11="","",Setup!$B$11)</f>
        <v/>
      </c>
      <c r="C1582" s="102" t="n"/>
      <c r="D1582" s="103" t="n"/>
      <c r="E1582" s="103" t="n"/>
      <c r="F1582" s="104" t="n"/>
      <c r="G1582" s="102" t="n"/>
      <c r="H1582" s="103" t="n"/>
      <c r="I1582" s="103" t="n"/>
      <c r="J1582" s="104" t="n"/>
      <c r="K1582" s="102" t="n"/>
      <c r="L1582" s="103" t="n"/>
      <c r="M1582" s="103" t="n"/>
      <c r="N1582" s="104" t="n"/>
      <c r="O1582" s="102" t="n"/>
      <c r="P1582" s="103" t="n"/>
      <c r="Q1582" s="103" t="n"/>
      <c r="R1582" s="104" t="n"/>
      <c r="S1582" s="102" t="n"/>
      <c r="T1582" s="103" t="n"/>
      <c r="U1582" s="103" t="n"/>
      <c r="V1582" s="104" t="n"/>
      <c r="W1582" s="102" t="n"/>
      <c r="X1582" s="104" t="n"/>
      <c r="Y1582" s="102" t="n"/>
      <c r="Z1582" s="104" t="n"/>
      <c r="AB1582" s="105">
        <f>IF($B1582="","",(COUNTIF(C1558:E1575,$B1582)+COUNTIF(C1558:E1575,$B1582&amp;" ~*")&gt;0)+(COUNTIF(G1558:I1575,$B1582)+COUNTIF(G1558:I1575,$B1582&amp;" ~*")&gt;0)+(COUNTIF(K1558:M1575,$B1582)+COUNTIF(K1558:M1575,$B1582&amp;" ~*")&gt;0)+(COUNTIF(O1558:Q1575,$B1582)+COUNTIF(O1558:Q1575,$B1582&amp;" ~*")&gt;0)+(COUNTIF(S1558:U1575,$B1582)+COUNTIF(S1558:U1575,$B1582&amp;" ~*")&gt;0)+(COUNTIF(W1558:W1575,$B1582)+COUNTIF(W1558:W1575,$B1582&amp;" ~*")&gt;0)+(COUNTIF(Y1558:Y1575,$B1582)+COUNTIF(Y1558:Y1575,$B1582&amp;" ~*")&gt;0))</f>
        <v/>
      </c>
      <c r="AC1582" s="38">
        <f>IF($B1582="","",(IFERROR(INDEX(Setup!$G$33:$G$40,MATCH(C1582,Setup!$B$33:$B$40,0)),0)=1)*(COUNTIF(C1558:E1575,$B1582)+COUNTIF(C1558:E1575,$B1582&amp;" ~*")&gt;0)+(IFERROR(INDEX(Setup!$G$33:$G$40,MATCH(G1582,Setup!$B$33:$B$40,0)),0)=1)*(COUNTIF(G1558:I1575,$B1582)+COUNTIF(G1558:I1575,$B1582&amp;" ~*")&gt;0)+(IFERROR(INDEX(Setup!$G$33:$G$40,MATCH(K1582,Setup!$B$33:$B$40,0)),0)=1)*(COUNTIF(K1558:M1575,$B1582)+COUNTIF(K1558:M1575,$B1582&amp;" ~*")&gt;0)+(IFERROR(INDEX(Setup!$G$33:$G$40,MATCH(O1582,Setup!$B$33:$B$40,0)),0)=1)*(COUNTIF(O1558:Q1575,$B1582)+COUNTIF(O1558:Q1575,$B1582&amp;" ~*")&gt;0)+(IFERROR(INDEX(Setup!$G$33:$G$40,MATCH(S1582,Setup!$B$33:$B$40,0)),0)=1)*(COUNTIF(S1558:U1575,$B1582)+COUNTIF(S1558:U1575,$B1582&amp;" ~*")&gt;0)+(IFERROR(INDEX(Setup!$G$33:$G$40,MATCH(W1582,Setup!$B$33:$B$40,0)),0)=1)*(COUNTIF(W1558:W1575,$B1582)+COUNTIF(W1558:W1575,$B1582&amp;" ~*")&gt;0)+(IFERROR(INDEX(Setup!$G$33:$G$40,MATCH(Y1582,Setup!$B$33:$B$40,0)),0)=1)*(COUNTIF(Y1558:Y1575,$B1582)+COUNTIF(Y1558:Y1575,$B1582&amp;" ~*")&gt;0))</f>
        <v/>
      </c>
    </row>
    <row r="1583" ht="15" customHeight="1">
      <c r="A1583" t="n">
        <v>32</v>
      </c>
      <c r="B1583" s="35">
        <f>IF(Setup!$B$12="","",Setup!$B$12)</f>
        <v/>
      </c>
      <c r="C1583" s="98" t="n"/>
      <c r="D1583" s="99" t="n"/>
      <c r="E1583" s="99" t="n"/>
      <c r="F1583" s="100" t="n"/>
      <c r="G1583" s="98" t="n"/>
      <c r="H1583" s="99" t="n"/>
      <c r="I1583" s="99" t="n"/>
      <c r="J1583" s="100" t="n"/>
      <c r="K1583" s="98" t="n"/>
      <c r="L1583" s="99" t="n"/>
      <c r="M1583" s="99" t="n"/>
      <c r="N1583" s="100" t="n"/>
      <c r="O1583" s="98" t="n"/>
      <c r="P1583" s="99" t="n"/>
      <c r="Q1583" s="99" t="n"/>
      <c r="R1583" s="100" t="n"/>
      <c r="S1583" s="98" t="n"/>
      <c r="T1583" s="99" t="n"/>
      <c r="U1583" s="99" t="n"/>
      <c r="V1583" s="100" t="n"/>
      <c r="W1583" s="98" t="n"/>
      <c r="X1583" s="100" t="n"/>
      <c r="Y1583" s="98" t="n"/>
      <c r="Z1583" s="100" t="n"/>
      <c r="AB1583" s="101">
        <f>IF($B1583="","",(COUNTIF(C1558:E1575,$B1583)+COUNTIF(C1558:E1575,$B1583&amp;" ~*")&gt;0)+(COUNTIF(G1558:I1575,$B1583)+COUNTIF(G1558:I1575,$B1583&amp;" ~*")&gt;0)+(COUNTIF(K1558:M1575,$B1583)+COUNTIF(K1558:M1575,$B1583&amp;" ~*")&gt;0)+(COUNTIF(O1558:Q1575,$B1583)+COUNTIF(O1558:Q1575,$B1583&amp;" ~*")&gt;0)+(COUNTIF(S1558:U1575,$B1583)+COUNTIF(S1558:U1575,$B1583&amp;" ~*")&gt;0)+(COUNTIF(W1558:W1575,$B1583)+COUNTIF(W1558:W1575,$B1583&amp;" ~*")&gt;0)+(COUNTIF(Y1558:Y1575,$B1583)+COUNTIF(Y1558:Y1575,$B1583&amp;" ~*")&gt;0))</f>
        <v/>
      </c>
      <c r="AC1583" s="36">
        <f>IF($B1583="","",(IFERROR(INDEX(Setup!$G$33:$G$40,MATCH(C1583,Setup!$B$33:$B$40,0)),0)=1)*(COUNTIF(C1558:E1575,$B1583)+COUNTIF(C1558:E1575,$B1583&amp;" ~*")&gt;0)+(IFERROR(INDEX(Setup!$G$33:$G$40,MATCH(G1583,Setup!$B$33:$B$40,0)),0)=1)*(COUNTIF(G1558:I1575,$B1583)+COUNTIF(G1558:I1575,$B1583&amp;" ~*")&gt;0)+(IFERROR(INDEX(Setup!$G$33:$G$40,MATCH(K1583,Setup!$B$33:$B$40,0)),0)=1)*(COUNTIF(K1558:M1575,$B1583)+COUNTIF(K1558:M1575,$B1583&amp;" ~*")&gt;0)+(IFERROR(INDEX(Setup!$G$33:$G$40,MATCH(O1583,Setup!$B$33:$B$40,0)),0)=1)*(COUNTIF(O1558:Q1575,$B1583)+COUNTIF(O1558:Q1575,$B1583&amp;" ~*")&gt;0)+(IFERROR(INDEX(Setup!$G$33:$G$40,MATCH(S1583,Setup!$B$33:$B$40,0)),0)=1)*(COUNTIF(S1558:U1575,$B1583)+COUNTIF(S1558:U1575,$B1583&amp;" ~*")&gt;0)+(IFERROR(INDEX(Setup!$G$33:$G$40,MATCH(W1583,Setup!$B$33:$B$40,0)),0)=1)*(COUNTIF(W1558:W1575,$B1583)+COUNTIF(W1558:W1575,$B1583&amp;" ~*")&gt;0)+(IFERROR(INDEX(Setup!$G$33:$G$40,MATCH(Y1583,Setup!$B$33:$B$40,0)),0)=1)*(COUNTIF(Y1558:Y1575,$B1583)+COUNTIF(Y1558:Y1575,$B1583&amp;" ~*")&gt;0))</f>
        <v/>
      </c>
    </row>
    <row r="1584" ht="15" customHeight="1">
      <c r="A1584" t="n">
        <v>32</v>
      </c>
      <c r="B1584" s="37">
        <f>IF(Setup!$B$13="","",Setup!$B$13)</f>
        <v/>
      </c>
      <c r="C1584" s="102" t="n"/>
      <c r="D1584" s="103" t="n"/>
      <c r="E1584" s="103" t="n"/>
      <c r="F1584" s="104" t="n"/>
      <c r="G1584" s="102" t="n"/>
      <c r="H1584" s="103" t="n"/>
      <c r="I1584" s="103" t="n"/>
      <c r="J1584" s="104" t="n"/>
      <c r="K1584" s="102" t="n"/>
      <c r="L1584" s="103" t="n"/>
      <c r="M1584" s="103" t="n"/>
      <c r="N1584" s="104" t="n"/>
      <c r="O1584" s="102" t="n"/>
      <c r="P1584" s="103" t="n"/>
      <c r="Q1584" s="103" t="n"/>
      <c r="R1584" s="104" t="n"/>
      <c r="S1584" s="102" t="n"/>
      <c r="T1584" s="103" t="n"/>
      <c r="U1584" s="103" t="n"/>
      <c r="V1584" s="104" t="n"/>
      <c r="W1584" s="102" t="n"/>
      <c r="X1584" s="104" t="n"/>
      <c r="Y1584" s="102" t="n"/>
      <c r="Z1584" s="104" t="n"/>
      <c r="AB1584" s="105">
        <f>IF($B1584="","",(COUNTIF(C1558:E1575,$B1584)+COUNTIF(C1558:E1575,$B1584&amp;" ~*")&gt;0)+(COUNTIF(G1558:I1575,$B1584)+COUNTIF(G1558:I1575,$B1584&amp;" ~*")&gt;0)+(COUNTIF(K1558:M1575,$B1584)+COUNTIF(K1558:M1575,$B1584&amp;" ~*")&gt;0)+(COUNTIF(O1558:Q1575,$B1584)+COUNTIF(O1558:Q1575,$B1584&amp;" ~*")&gt;0)+(COUNTIF(S1558:U1575,$B1584)+COUNTIF(S1558:U1575,$B1584&amp;" ~*")&gt;0)+(COUNTIF(W1558:W1575,$B1584)+COUNTIF(W1558:W1575,$B1584&amp;" ~*")&gt;0)+(COUNTIF(Y1558:Y1575,$B1584)+COUNTIF(Y1558:Y1575,$B1584&amp;" ~*")&gt;0))</f>
        <v/>
      </c>
      <c r="AC1584" s="38">
        <f>IF($B1584="","",(IFERROR(INDEX(Setup!$G$33:$G$40,MATCH(C1584,Setup!$B$33:$B$40,0)),0)=1)*(COUNTIF(C1558:E1575,$B1584)+COUNTIF(C1558:E1575,$B1584&amp;" ~*")&gt;0)+(IFERROR(INDEX(Setup!$G$33:$G$40,MATCH(G1584,Setup!$B$33:$B$40,0)),0)=1)*(COUNTIF(G1558:I1575,$B1584)+COUNTIF(G1558:I1575,$B1584&amp;" ~*")&gt;0)+(IFERROR(INDEX(Setup!$G$33:$G$40,MATCH(K1584,Setup!$B$33:$B$40,0)),0)=1)*(COUNTIF(K1558:M1575,$B1584)+COUNTIF(K1558:M1575,$B1584&amp;" ~*")&gt;0)+(IFERROR(INDEX(Setup!$G$33:$G$40,MATCH(O1584,Setup!$B$33:$B$40,0)),0)=1)*(COUNTIF(O1558:Q1575,$B1584)+COUNTIF(O1558:Q1575,$B1584&amp;" ~*")&gt;0)+(IFERROR(INDEX(Setup!$G$33:$G$40,MATCH(S1584,Setup!$B$33:$B$40,0)),0)=1)*(COUNTIF(S1558:U1575,$B1584)+COUNTIF(S1558:U1575,$B1584&amp;" ~*")&gt;0)+(IFERROR(INDEX(Setup!$G$33:$G$40,MATCH(W1584,Setup!$B$33:$B$40,0)),0)=1)*(COUNTIF(W1558:W1575,$B1584)+COUNTIF(W1558:W1575,$B1584&amp;" ~*")&gt;0)+(IFERROR(INDEX(Setup!$G$33:$G$40,MATCH(Y1584,Setup!$B$33:$B$40,0)),0)=1)*(COUNTIF(Y1558:Y1575,$B1584)+COUNTIF(Y1558:Y1575,$B1584&amp;" ~*")&gt;0))</f>
        <v/>
      </c>
    </row>
    <row r="1585" ht="15" customHeight="1">
      <c r="A1585" t="n">
        <v>32</v>
      </c>
      <c r="B1585" s="35">
        <f>IF(Setup!$B$14="","",Setup!$B$14)</f>
        <v/>
      </c>
      <c r="C1585" s="98" t="n"/>
      <c r="D1585" s="99" t="n"/>
      <c r="E1585" s="99" t="n"/>
      <c r="F1585" s="100" t="n"/>
      <c r="G1585" s="98" t="n"/>
      <c r="H1585" s="99" t="n"/>
      <c r="I1585" s="99" t="n"/>
      <c r="J1585" s="100" t="n"/>
      <c r="K1585" s="98" t="n"/>
      <c r="L1585" s="99" t="n"/>
      <c r="M1585" s="99" t="n"/>
      <c r="N1585" s="100" t="n"/>
      <c r="O1585" s="98" t="n"/>
      <c r="P1585" s="99" t="n"/>
      <c r="Q1585" s="99" t="n"/>
      <c r="R1585" s="100" t="n"/>
      <c r="S1585" s="98" t="n"/>
      <c r="T1585" s="99" t="n"/>
      <c r="U1585" s="99" t="n"/>
      <c r="V1585" s="100" t="n"/>
      <c r="W1585" s="98" t="n"/>
      <c r="X1585" s="100" t="n"/>
      <c r="Y1585" s="98" t="n"/>
      <c r="Z1585" s="100" t="n"/>
      <c r="AB1585" s="101">
        <f>IF($B1585="","",(COUNTIF(C1558:E1575,$B1585)+COUNTIF(C1558:E1575,$B1585&amp;" ~*")&gt;0)+(COUNTIF(G1558:I1575,$B1585)+COUNTIF(G1558:I1575,$B1585&amp;" ~*")&gt;0)+(COUNTIF(K1558:M1575,$B1585)+COUNTIF(K1558:M1575,$B1585&amp;" ~*")&gt;0)+(COUNTIF(O1558:Q1575,$B1585)+COUNTIF(O1558:Q1575,$B1585&amp;" ~*")&gt;0)+(COUNTIF(S1558:U1575,$B1585)+COUNTIF(S1558:U1575,$B1585&amp;" ~*")&gt;0)+(COUNTIF(W1558:W1575,$B1585)+COUNTIF(W1558:W1575,$B1585&amp;" ~*")&gt;0)+(COUNTIF(Y1558:Y1575,$B1585)+COUNTIF(Y1558:Y1575,$B1585&amp;" ~*")&gt;0))</f>
        <v/>
      </c>
      <c r="AC1585" s="36">
        <f>IF($B1585="","",(IFERROR(INDEX(Setup!$G$33:$G$40,MATCH(C1585,Setup!$B$33:$B$40,0)),0)=1)*(COUNTIF(C1558:E1575,$B1585)+COUNTIF(C1558:E1575,$B1585&amp;" ~*")&gt;0)+(IFERROR(INDEX(Setup!$G$33:$G$40,MATCH(G1585,Setup!$B$33:$B$40,0)),0)=1)*(COUNTIF(G1558:I1575,$B1585)+COUNTIF(G1558:I1575,$B1585&amp;" ~*")&gt;0)+(IFERROR(INDEX(Setup!$G$33:$G$40,MATCH(K1585,Setup!$B$33:$B$40,0)),0)=1)*(COUNTIF(K1558:M1575,$B1585)+COUNTIF(K1558:M1575,$B1585&amp;" ~*")&gt;0)+(IFERROR(INDEX(Setup!$G$33:$G$40,MATCH(O1585,Setup!$B$33:$B$40,0)),0)=1)*(COUNTIF(O1558:Q1575,$B1585)+COUNTIF(O1558:Q1575,$B1585&amp;" ~*")&gt;0)+(IFERROR(INDEX(Setup!$G$33:$G$40,MATCH(S1585,Setup!$B$33:$B$40,0)),0)=1)*(COUNTIF(S1558:U1575,$B1585)+COUNTIF(S1558:U1575,$B1585&amp;" ~*")&gt;0)+(IFERROR(INDEX(Setup!$G$33:$G$40,MATCH(W1585,Setup!$B$33:$B$40,0)),0)=1)*(COUNTIF(W1558:W1575,$B1585)+COUNTIF(W1558:W1575,$B1585&amp;" ~*")&gt;0)+(IFERROR(INDEX(Setup!$G$33:$G$40,MATCH(Y1585,Setup!$B$33:$B$40,0)),0)=1)*(COUNTIF(Y1558:Y1575,$B1585)+COUNTIF(Y1558:Y1575,$B1585&amp;" ~*")&gt;0))</f>
        <v/>
      </c>
    </row>
    <row r="1586" ht="15" customHeight="1">
      <c r="A1586" t="n">
        <v>32</v>
      </c>
      <c r="B1586" s="37">
        <f>IF(Setup!$B$15="","",Setup!$B$15)</f>
        <v/>
      </c>
      <c r="C1586" s="102" t="n"/>
      <c r="D1586" s="103" t="n"/>
      <c r="E1586" s="103" t="n"/>
      <c r="F1586" s="104" t="n"/>
      <c r="G1586" s="102" t="n"/>
      <c r="H1586" s="103" t="n"/>
      <c r="I1586" s="103" t="n"/>
      <c r="J1586" s="104" t="n"/>
      <c r="K1586" s="102" t="n"/>
      <c r="L1586" s="103" t="n"/>
      <c r="M1586" s="103" t="n"/>
      <c r="N1586" s="104" t="n"/>
      <c r="O1586" s="102" t="n"/>
      <c r="P1586" s="103" t="n"/>
      <c r="Q1586" s="103" t="n"/>
      <c r="R1586" s="104" t="n"/>
      <c r="S1586" s="102" t="n"/>
      <c r="T1586" s="103" t="n"/>
      <c r="U1586" s="103" t="n"/>
      <c r="V1586" s="104" t="n"/>
      <c r="W1586" s="102" t="n"/>
      <c r="X1586" s="104" t="n"/>
      <c r="Y1586" s="102" t="n"/>
      <c r="Z1586" s="104" t="n"/>
      <c r="AB1586" s="105">
        <f>IF($B1586="","",(COUNTIF(C1558:E1575,$B1586)+COUNTIF(C1558:E1575,$B1586&amp;" ~*")&gt;0)+(COUNTIF(G1558:I1575,$B1586)+COUNTIF(G1558:I1575,$B1586&amp;" ~*")&gt;0)+(COUNTIF(K1558:M1575,$B1586)+COUNTIF(K1558:M1575,$B1586&amp;" ~*")&gt;0)+(COUNTIF(O1558:Q1575,$B1586)+COUNTIF(O1558:Q1575,$B1586&amp;" ~*")&gt;0)+(COUNTIF(S1558:U1575,$B1586)+COUNTIF(S1558:U1575,$B1586&amp;" ~*")&gt;0)+(COUNTIF(W1558:W1575,$B1586)+COUNTIF(W1558:W1575,$B1586&amp;" ~*")&gt;0)+(COUNTIF(Y1558:Y1575,$B1586)+COUNTIF(Y1558:Y1575,$B1586&amp;" ~*")&gt;0))</f>
        <v/>
      </c>
      <c r="AC1586" s="38">
        <f>IF($B1586="","",(IFERROR(INDEX(Setup!$G$33:$G$40,MATCH(C1586,Setup!$B$33:$B$40,0)),0)=1)*(COUNTIF(C1558:E1575,$B1586)+COUNTIF(C1558:E1575,$B1586&amp;" ~*")&gt;0)+(IFERROR(INDEX(Setup!$G$33:$G$40,MATCH(G1586,Setup!$B$33:$B$40,0)),0)=1)*(COUNTIF(G1558:I1575,$B1586)+COUNTIF(G1558:I1575,$B1586&amp;" ~*")&gt;0)+(IFERROR(INDEX(Setup!$G$33:$G$40,MATCH(K1586,Setup!$B$33:$B$40,0)),0)=1)*(COUNTIF(K1558:M1575,$B1586)+COUNTIF(K1558:M1575,$B1586&amp;" ~*")&gt;0)+(IFERROR(INDEX(Setup!$G$33:$G$40,MATCH(O1586,Setup!$B$33:$B$40,0)),0)=1)*(COUNTIF(O1558:Q1575,$B1586)+COUNTIF(O1558:Q1575,$B1586&amp;" ~*")&gt;0)+(IFERROR(INDEX(Setup!$G$33:$G$40,MATCH(S1586,Setup!$B$33:$B$40,0)),0)=1)*(COUNTIF(S1558:U1575,$B1586)+COUNTIF(S1558:U1575,$B1586&amp;" ~*")&gt;0)+(IFERROR(INDEX(Setup!$G$33:$G$40,MATCH(W1586,Setup!$B$33:$B$40,0)),0)=1)*(COUNTIF(W1558:W1575,$B1586)+COUNTIF(W1558:W1575,$B1586&amp;" ~*")&gt;0)+(IFERROR(INDEX(Setup!$G$33:$G$40,MATCH(Y1586,Setup!$B$33:$B$40,0)),0)=1)*(COUNTIF(Y1558:Y1575,$B1586)+COUNTIF(Y1558:Y1575,$B1586&amp;" ~*")&gt;0))</f>
        <v/>
      </c>
    </row>
    <row r="1587" ht="15" customHeight="1">
      <c r="A1587" t="n">
        <v>32</v>
      </c>
      <c r="B1587" s="35">
        <f>IF(Setup!$B$16="","",Setup!$B$16)</f>
        <v/>
      </c>
      <c r="C1587" s="98" t="n"/>
      <c r="D1587" s="99" t="n"/>
      <c r="E1587" s="99" t="n"/>
      <c r="F1587" s="100" t="n"/>
      <c r="G1587" s="98" t="n"/>
      <c r="H1587" s="99" t="n"/>
      <c r="I1587" s="99" t="n"/>
      <c r="J1587" s="100" t="n"/>
      <c r="K1587" s="98" t="n"/>
      <c r="L1587" s="99" t="n"/>
      <c r="M1587" s="99" t="n"/>
      <c r="N1587" s="100" t="n"/>
      <c r="O1587" s="98" t="n"/>
      <c r="P1587" s="99" t="n"/>
      <c r="Q1587" s="99" t="n"/>
      <c r="R1587" s="100" t="n"/>
      <c r="S1587" s="98" t="n"/>
      <c r="T1587" s="99" t="n"/>
      <c r="U1587" s="99" t="n"/>
      <c r="V1587" s="100" t="n"/>
      <c r="W1587" s="98" t="n"/>
      <c r="X1587" s="100" t="n"/>
      <c r="Y1587" s="98" t="n"/>
      <c r="Z1587" s="100" t="n"/>
      <c r="AB1587" s="101">
        <f>IF($B1587="","",(COUNTIF(C1558:E1575,$B1587)+COUNTIF(C1558:E1575,$B1587&amp;" ~*")&gt;0)+(COUNTIF(G1558:I1575,$B1587)+COUNTIF(G1558:I1575,$B1587&amp;" ~*")&gt;0)+(COUNTIF(K1558:M1575,$B1587)+COUNTIF(K1558:M1575,$B1587&amp;" ~*")&gt;0)+(COUNTIF(O1558:Q1575,$B1587)+COUNTIF(O1558:Q1575,$B1587&amp;" ~*")&gt;0)+(COUNTIF(S1558:U1575,$B1587)+COUNTIF(S1558:U1575,$B1587&amp;" ~*")&gt;0)+(COUNTIF(W1558:W1575,$B1587)+COUNTIF(W1558:W1575,$B1587&amp;" ~*")&gt;0)+(COUNTIF(Y1558:Y1575,$B1587)+COUNTIF(Y1558:Y1575,$B1587&amp;" ~*")&gt;0))</f>
        <v/>
      </c>
      <c r="AC1587" s="36">
        <f>IF($B1587="","",(IFERROR(INDEX(Setup!$G$33:$G$40,MATCH(C1587,Setup!$B$33:$B$40,0)),0)=1)*(COUNTIF(C1558:E1575,$B1587)+COUNTIF(C1558:E1575,$B1587&amp;" ~*")&gt;0)+(IFERROR(INDEX(Setup!$G$33:$G$40,MATCH(G1587,Setup!$B$33:$B$40,0)),0)=1)*(COUNTIF(G1558:I1575,$B1587)+COUNTIF(G1558:I1575,$B1587&amp;" ~*")&gt;0)+(IFERROR(INDEX(Setup!$G$33:$G$40,MATCH(K1587,Setup!$B$33:$B$40,0)),0)=1)*(COUNTIF(K1558:M1575,$B1587)+COUNTIF(K1558:M1575,$B1587&amp;" ~*")&gt;0)+(IFERROR(INDEX(Setup!$G$33:$G$40,MATCH(O1587,Setup!$B$33:$B$40,0)),0)=1)*(COUNTIF(O1558:Q1575,$B1587)+COUNTIF(O1558:Q1575,$B1587&amp;" ~*")&gt;0)+(IFERROR(INDEX(Setup!$G$33:$G$40,MATCH(S1587,Setup!$B$33:$B$40,0)),0)=1)*(COUNTIF(S1558:U1575,$B1587)+COUNTIF(S1558:U1575,$B1587&amp;" ~*")&gt;0)+(IFERROR(INDEX(Setup!$G$33:$G$40,MATCH(W1587,Setup!$B$33:$B$40,0)),0)=1)*(COUNTIF(W1558:W1575,$B1587)+COUNTIF(W1558:W1575,$B1587&amp;" ~*")&gt;0)+(IFERROR(INDEX(Setup!$G$33:$G$40,MATCH(Y1587,Setup!$B$33:$B$40,0)),0)=1)*(COUNTIF(Y1558:Y1575,$B1587)+COUNTIF(Y1558:Y1575,$B1587&amp;" ~*")&gt;0))</f>
        <v/>
      </c>
    </row>
    <row r="1588" ht="15" customHeight="1">
      <c r="A1588" t="n">
        <v>32</v>
      </c>
      <c r="B1588" s="37">
        <f>IF(Setup!$B$17="","",Setup!$B$17)</f>
        <v/>
      </c>
      <c r="C1588" s="102" t="n"/>
      <c r="D1588" s="103" t="n"/>
      <c r="E1588" s="103" t="n"/>
      <c r="F1588" s="104" t="n"/>
      <c r="G1588" s="102" t="n"/>
      <c r="H1588" s="103" t="n"/>
      <c r="I1588" s="103" t="n"/>
      <c r="J1588" s="104" t="n"/>
      <c r="K1588" s="102" t="n"/>
      <c r="L1588" s="103" t="n"/>
      <c r="M1588" s="103" t="n"/>
      <c r="N1588" s="104" t="n"/>
      <c r="O1588" s="102" t="n"/>
      <c r="P1588" s="103" t="n"/>
      <c r="Q1588" s="103" t="n"/>
      <c r="R1588" s="104" t="n"/>
      <c r="S1588" s="102" t="n"/>
      <c r="T1588" s="103" t="n"/>
      <c r="U1588" s="103" t="n"/>
      <c r="V1588" s="104" t="n"/>
      <c r="W1588" s="102" t="n"/>
      <c r="X1588" s="104" t="n"/>
      <c r="Y1588" s="102" t="n"/>
      <c r="Z1588" s="104" t="n"/>
      <c r="AB1588" s="105">
        <f>IF($B1588="","",(COUNTIF(C1558:E1575,$B1588)+COUNTIF(C1558:E1575,$B1588&amp;" ~*")&gt;0)+(COUNTIF(G1558:I1575,$B1588)+COUNTIF(G1558:I1575,$B1588&amp;" ~*")&gt;0)+(COUNTIF(K1558:M1575,$B1588)+COUNTIF(K1558:M1575,$B1588&amp;" ~*")&gt;0)+(COUNTIF(O1558:Q1575,$B1588)+COUNTIF(O1558:Q1575,$B1588&amp;" ~*")&gt;0)+(COUNTIF(S1558:U1575,$B1588)+COUNTIF(S1558:U1575,$B1588&amp;" ~*")&gt;0)+(COUNTIF(W1558:W1575,$B1588)+COUNTIF(W1558:W1575,$B1588&amp;" ~*")&gt;0)+(COUNTIF(Y1558:Y1575,$B1588)+COUNTIF(Y1558:Y1575,$B1588&amp;" ~*")&gt;0))</f>
        <v/>
      </c>
      <c r="AC1588" s="38">
        <f>IF($B1588="","",(IFERROR(INDEX(Setup!$G$33:$G$40,MATCH(C1588,Setup!$B$33:$B$40,0)),0)=1)*(COUNTIF(C1558:E1575,$B1588)+COUNTIF(C1558:E1575,$B1588&amp;" ~*")&gt;0)+(IFERROR(INDEX(Setup!$G$33:$G$40,MATCH(G1588,Setup!$B$33:$B$40,0)),0)=1)*(COUNTIF(G1558:I1575,$B1588)+COUNTIF(G1558:I1575,$B1588&amp;" ~*")&gt;0)+(IFERROR(INDEX(Setup!$G$33:$G$40,MATCH(K1588,Setup!$B$33:$B$40,0)),0)=1)*(COUNTIF(K1558:M1575,$B1588)+COUNTIF(K1558:M1575,$B1588&amp;" ~*")&gt;0)+(IFERROR(INDEX(Setup!$G$33:$G$40,MATCH(O1588,Setup!$B$33:$B$40,0)),0)=1)*(COUNTIF(O1558:Q1575,$B1588)+COUNTIF(O1558:Q1575,$B1588&amp;" ~*")&gt;0)+(IFERROR(INDEX(Setup!$G$33:$G$40,MATCH(S1588,Setup!$B$33:$B$40,0)),0)=1)*(COUNTIF(S1558:U1575,$B1588)+COUNTIF(S1558:U1575,$B1588&amp;" ~*")&gt;0)+(IFERROR(INDEX(Setup!$G$33:$G$40,MATCH(W1588,Setup!$B$33:$B$40,0)),0)=1)*(COUNTIF(W1558:W1575,$B1588)+COUNTIF(W1558:W1575,$B1588&amp;" ~*")&gt;0)+(IFERROR(INDEX(Setup!$G$33:$G$40,MATCH(Y1588,Setup!$B$33:$B$40,0)),0)=1)*(COUNTIF(Y1558:Y1575,$B1588)+COUNTIF(Y1558:Y1575,$B1588&amp;" ~*")&gt;0))</f>
        <v/>
      </c>
    </row>
    <row r="1589" ht="15" customHeight="1">
      <c r="A1589" t="n">
        <v>32</v>
      </c>
      <c r="B1589" s="35">
        <f>IF(Setup!$B$18="","",Setup!$B$18)</f>
        <v/>
      </c>
      <c r="C1589" s="98" t="n"/>
      <c r="D1589" s="99" t="n"/>
      <c r="E1589" s="99" t="n"/>
      <c r="F1589" s="100" t="n"/>
      <c r="G1589" s="98" t="n"/>
      <c r="H1589" s="99" t="n"/>
      <c r="I1589" s="99" t="n"/>
      <c r="J1589" s="100" t="n"/>
      <c r="K1589" s="98" t="n"/>
      <c r="L1589" s="99" t="n"/>
      <c r="M1589" s="99" t="n"/>
      <c r="N1589" s="100" t="n"/>
      <c r="O1589" s="98" t="n"/>
      <c r="P1589" s="99" t="n"/>
      <c r="Q1589" s="99" t="n"/>
      <c r="R1589" s="100" t="n"/>
      <c r="S1589" s="98" t="n"/>
      <c r="T1589" s="99" t="n"/>
      <c r="U1589" s="99" t="n"/>
      <c r="V1589" s="100" t="n"/>
      <c r="W1589" s="98" t="n"/>
      <c r="X1589" s="100" t="n"/>
      <c r="Y1589" s="98" t="n"/>
      <c r="Z1589" s="100" t="n"/>
      <c r="AB1589" s="101">
        <f>IF($B1589="","",(COUNTIF(C1558:E1575,$B1589)+COUNTIF(C1558:E1575,$B1589&amp;" ~*")&gt;0)+(COUNTIF(G1558:I1575,$B1589)+COUNTIF(G1558:I1575,$B1589&amp;" ~*")&gt;0)+(COUNTIF(K1558:M1575,$B1589)+COUNTIF(K1558:M1575,$B1589&amp;" ~*")&gt;0)+(COUNTIF(O1558:Q1575,$B1589)+COUNTIF(O1558:Q1575,$B1589&amp;" ~*")&gt;0)+(COUNTIF(S1558:U1575,$B1589)+COUNTIF(S1558:U1575,$B1589&amp;" ~*")&gt;0)+(COUNTIF(W1558:W1575,$B1589)+COUNTIF(W1558:W1575,$B1589&amp;" ~*")&gt;0)+(COUNTIF(Y1558:Y1575,$B1589)+COUNTIF(Y1558:Y1575,$B1589&amp;" ~*")&gt;0))</f>
        <v/>
      </c>
      <c r="AC1589" s="36">
        <f>IF($B1589="","",(IFERROR(INDEX(Setup!$G$33:$G$40,MATCH(C1589,Setup!$B$33:$B$40,0)),0)=1)*(COUNTIF(C1558:E1575,$B1589)+COUNTIF(C1558:E1575,$B1589&amp;" ~*")&gt;0)+(IFERROR(INDEX(Setup!$G$33:$G$40,MATCH(G1589,Setup!$B$33:$B$40,0)),0)=1)*(COUNTIF(G1558:I1575,$B1589)+COUNTIF(G1558:I1575,$B1589&amp;" ~*")&gt;0)+(IFERROR(INDEX(Setup!$G$33:$G$40,MATCH(K1589,Setup!$B$33:$B$40,0)),0)=1)*(COUNTIF(K1558:M1575,$B1589)+COUNTIF(K1558:M1575,$B1589&amp;" ~*")&gt;0)+(IFERROR(INDEX(Setup!$G$33:$G$40,MATCH(O1589,Setup!$B$33:$B$40,0)),0)=1)*(COUNTIF(O1558:Q1575,$B1589)+COUNTIF(O1558:Q1575,$B1589&amp;" ~*")&gt;0)+(IFERROR(INDEX(Setup!$G$33:$G$40,MATCH(S1589,Setup!$B$33:$B$40,0)),0)=1)*(COUNTIF(S1558:U1575,$B1589)+COUNTIF(S1558:U1575,$B1589&amp;" ~*")&gt;0)+(IFERROR(INDEX(Setup!$G$33:$G$40,MATCH(W1589,Setup!$B$33:$B$40,0)),0)=1)*(COUNTIF(W1558:W1575,$B1589)+COUNTIF(W1558:W1575,$B1589&amp;" ~*")&gt;0)+(IFERROR(INDEX(Setup!$G$33:$G$40,MATCH(Y1589,Setup!$B$33:$B$40,0)),0)=1)*(COUNTIF(Y1558:Y1575,$B1589)+COUNTIF(Y1558:Y1575,$B1589&amp;" ~*")&gt;0))</f>
        <v/>
      </c>
    </row>
    <row r="1590" ht="15" customHeight="1">
      <c r="A1590" t="n">
        <v>32</v>
      </c>
      <c r="B1590" s="37">
        <f>IF(Setup!$B$19="","",Setup!$B$19)</f>
        <v/>
      </c>
      <c r="C1590" s="102" t="n"/>
      <c r="D1590" s="103" t="n"/>
      <c r="E1590" s="103" t="n"/>
      <c r="F1590" s="104" t="n"/>
      <c r="G1590" s="102" t="n"/>
      <c r="H1590" s="103" t="n"/>
      <c r="I1590" s="103" t="n"/>
      <c r="J1590" s="104" t="n"/>
      <c r="K1590" s="102" t="n"/>
      <c r="L1590" s="103" t="n"/>
      <c r="M1590" s="103" t="n"/>
      <c r="N1590" s="104" t="n"/>
      <c r="O1590" s="102" t="n"/>
      <c r="P1590" s="103" t="n"/>
      <c r="Q1590" s="103" t="n"/>
      <c r="R1590" s="104" t="n"/>
      <c r="S1590" s="102" t="n"/>
      <c r="T1590" s="103" t="n"/>
      <c r="U1590" s="103" t="n"/>
      <c r="V1590" s="104" t="n"/>
      <c r="W1590" s="102" t="n"/>
      <c r="X1590" s="104" t="n"/>
      <c r="Y1590" s="102" t="n"/>
      <c r="Z1590" s="104" t="n"/>
      <c r="AB1590" s="105">
        <f>IF($B1590="","",(COUNTIF(C1558:E1575,$B1590)+COUNTIF(C1558:E1575,$B1590&amp;" ~*")&gt;0)+(COUNTIF(G1558:I1575,$B1590)+COUNTIF(G1558:I1575,$B1590&amp;" ~*")&gt;0)+(COUNTIF(K1558:M1575,$B1590)+COUNTIF(K1558:M1575,$B1590&amp;" ~*")&gt;0)+(COUNTIF(O1558:Q1575,$B1590)+COUNTIF(O1558:Q1575,$B1590&amp;" ~*")&gt;0)+(COUNTIF(S1558:U1575,$B1590)+COUNTIF(S1558:U1575,$B1590&amp;" ~*")&gt;0)+(COUNTIF(W1558:W1575,$B1590)+COUNTIF(W1558:W1575,$B1590&amp;" ~*")&gt;0)+(COUNTIF(Y1558:Y1575,$B1590)+COUNTIF(Y1558:Y1575,$B1590&amp;" ~*")&gt;0))</f>
        <v/>
      </c>
      <c r="AC1590" s="38">
        <f>IF($B1590="","",(IFERROR(INDEX(Setup!$G$33:$G$40,MATCH(C1590,Setup!$B$33:$B$40,0)),0)=1)*(COUNTIF(C1558:E1575,$B1590)+COUNTIF(C1558:E1575,$B1590&amp;" ~*")&gt;0)+(IFERROR(INDEX(Setup!$G$33:$G$40,MATCH(G1590,Setup!$B$33:$B$40,0)),0)=1)*(COUNTIF(G1558:I1575,$B1590)+COUNTIF(G1558:I1575,$B1590&amp;" ~*")&gt;0)+(IFERROR(INDEX(Setup!$G$33:$G$40,MATCH(K1590,Setup!$B$33:$B$40,0)),0)=1)*(COUNTIF(K1558:M1575,$B1590)+COUNTIF(K1558:M1575,$B1590&amp;" ~*")&gt;0)+(IFERROR(INDEX(Setup!$G$33:$G$40,MATCH(O1590,Setup!$B$33:$B$40,0)),0)=1)*(COUNTIF(O1558:Q1575,$B1590)+COUNTIF(O1558:Q1575,$B1590&amp;" ~*")&gt;0)+(IFERROR(INDEX(Setup!$G$33:$G$40,MATCH(S1590,Setup!$B$33:$B$40,0)),0)=1)*(COUNTIF(S1558:U1575,$B1590)+COUNTIF(S1558:U1575,$B1590&amp;" ~*")&gt;0)+(IFERROR(INDEX(Setup!$G$33:$G$40,MATCH(W1590,Setup!$B$33:$B$40,0)),0)=1)*(COUNTIF(W1558:W1575,$B1590)+COUNTIF(W1558:W1575,$B1590&amp;" ~*")&gt;0)+(IFERROR(INDEX(Setup!$G$33:$G$40,MATCH(Y1590,Setup!$B$33:$B$40,0)),0)=1)*(COUNTIF(Y1558:Y1575,$B1590)+COUNTIF(Y1558:Y1575,$B1590&amp;" ~*")&gt;0))</f>
        <v/>
      </c>
    </row>
    <row r="1591" ht="15" customHeight="1">
      <c r="A1591" t="n">
        <v>32</v>
      </c>
      <c r="B1591" s="35">
        <f>IF(Setup!$B$20="","",Setup!$B$20)</f>
        <v/>
      </c>
      <c r="C1591" s="98" t="n"/>
      <c r="D1591" s="99" t="n"/>
      <c r="E1591" s="99" t="n"/>
      <c r="F1591" s="100" t="n"/>
      <c r="G1591" s="98" t="n"/>
      <c r="H1591" s="99" t="n"/>
      <c r="I1591" s="99" t="n"/>
      <c r="J1591" s="100" t="n"/>
      <c r="K1591" s="98" t="n"/>
      <c r="L1591" s="99" t="n"/>
      <c r="M1591" s="99" t="n"/>
      <c r="N1591" s="100" t="n"/>
      <c r="O1591" s="98" t="n"/>
      <c r="P1591" s="99" t="n"/>
      <c r="Q1591" s="99" t="n"/>
      <c r="R1591" s="100" t="n"/>
      <c r="S1591" s="98" t="n"/>
      <c r="T1591" s="99" t="n"/>
      <c r="U1591" s="99" t="n"/>
      <c r="V1591" s="100" t="n"/>
      <c r="W1591" s="98" t="n"/>
      <c r="X1591" s="100" t="n"/>
      <c r="Y1591" s="98" t="n"/>
      <c r="Z1591" s="100" t="n"/>
      <c r="AB1591" s="101">
        <f>IF($B1591="","",(COUNTIF(C1558:E1575,$B1591)+COUNTIF(C1558:E1575,$B1591&amp;" ~*")&gt;0)+(COUNTIF(G1558:I1575,$B1591)+COUNTIF(G1558:I1575,$B1591&amp;" ~*")&gt;0)+(COUNTIF(K1558:M1575,$B1591)+COUNTIF(K1558:M1575,$B1591&amp;" ~*")&gt;0)+(COUNTIF(O1558:Q1575,$B1591)+COUNTIF(O1558:Q1575,$B1591&amp;" ~*")&gt;0)+(COUNTIF(S1558:U1575,$B1591)+COUNTIF(S1558:U1575,$B1591&amp;" ~*")&gt;0)+(COUNTIF(W1558:W1575,$B1591)+COUNTIF(W1558:W1575,$B1591&amp;" ~*")&gt;0)+(COUNTIF(Y1558:Y1575,$B1591)+COUNTIF(Y1558:Y1575,$B1591&amp;" ~*")&gt;0))</f>
        <v/>
      </c>
      <c r="AC1591" s="36">
        <f>IF($B1591="","",(IFERROR(INDEX(Setup!$G$33:$G$40,MATCH(C1591,Setup!$B$33:$B$40,0)),0)=1)*(COUNTIF(C1558:E1575,$B1591)+COUNTIF(C1558:E1575,$B1591&amp;" ~*")&gt;0)+(IFERROR(INDEX(Setup!$G$33:$G$40,MATCH(G1591,Setup!$B$33:$B$40,0)),0)=1)*(COUNTIF(G1558:I1575,$B1591)+COUNTIF(G1558:I1575,$B1591&amp;" ~*")&gt;0)+(IFERROR(INDEX(Setup!$G$33:$G$40,MATCH(K1591,Setup!$B$33:$B$40,0)),0)=1)*(COUNTIF(K1558:M1575,$B1591)+COUNTIF(K1558:M1575,$B1591&amp;" ~*")&gt;0)+(IFERROR(INDEX(Setup!$G$33:$G$40,MATCH(O1591,Setup!$B$33:$B$40,0)),0)=1)*(COUNTIF(O1558:Q1575,$B1591)+COUNTIF(O1558:Q1575,$B1591&amp;" ~*")&gt;0)+(IFERROR(INDEX(Setup!$G$33:$G$40,MATCH(S1591,Setup!$B$33:$B$40,0)),0)=1)*(COUNTIF(S1558:U1575,$B1591)+COUNTIF(S1558:U1575,$B1591&amp;" ~*")&gt;0)+(IFERROR(INDEX(Setup!$G$33:$G$40,MATCH(W1591,Setup!$B$33:$B$40,0)),0)=1)*(COUNTIF(W1558:W1575,$B1591)+COUNTIF(W1558:W1575,$B1591&amp;" ~*")&gt;0)+(IFERROR(INDEX(Setup!$G$33:$G$40,MATCH(Y1591,Setup!$B$33:$B$40,0)),0)=1)*(COUNTIF(Y1558:Y1575,$B1591)+COUNTIF(Y1558:Y1575,$B1591&amp;" ~*")&gt;0))</f>
        <v/>
      </c>
    </row>
    <row r="1592" ht="15" customHeight="1">
      <c r="A1592" t="n">
        <v>32</v>
      </c>
      <c r="B1592" s="37">
        <f>IF(Setup!$B$21="","",Setup!$B$21)</f>
        <v/>
      </c>
      <c r="C1592" s="102" t="n"/>
      <c r="D1592" s="103" t="n"/>
      <c r="E1592" s="103" t="n"/>
      <c r="F1592" s="104" t="n"/>
      <c r="G1592" s="102" t="n"/>
      <c r="H1592" s="103" t="n"/>
      <c r="I1592" s="103" t="n"/>
      <c r="J1592" s="104" t="n"/>
      <c r="K1592" s="102" t="n"/>
      <c r="L1592" s="103" t="n"/>
      <c r="M1592" s="103" t="n"/>
      <c r="N1592" s="104" t="n"/>
      <c r="O1592" s="102" t="n"/>
      <c r="P1592" s="103" t="n"/>
      <c r="Q1592" s="103" t="n"/>
      <c r="R1592" s="104" t="n"/>
      <c r="S1592" s="102" t="n"/>
      <c r="T1592" s="103" t="n"/>
      <c r="U1592" s="103" t="n"/>
      <c r="V1592" s="104" t="n"/>
      <c r="W1592" s="102" t="n"/>
      <c r="X1592" s="104" t="n"/>
      <c r="Y1592" s="102" t="n"/>
      <c r="Z1592" s="104" t="n"/>
      <c r="AB1592" s="105">
        <f>IF($B1592="","",(COUNTIF(C1558:E1575,$B1592)+COUNTIF(C1558:E1575,$B1592&amp;" ~*")&gt;0)+(COUNTIF(G1558:I1575,$B1592)+COUNTIF(G1558:I1575,$B1592&amp;" ~*")&gt;0)+(COUNTIF(K1558:M1575,$B1592)+COUNTIF(K1558:M1575,$B1592&amp;" ~*")&gt;0)+(COUNTIF(O1558:Q1575,$B1592)+COUNTIF(O1558:Q1575,$B1592&amp;" ~*")&gt;0)+(COUNTIF(S1558:U1575,$B1592)+COUNTIF(S1558:U1575,$B1592&amp;" ~*")&gt;0)+(COUNTIF(W1558:W1575,$B1592)+COUNTIF(W1558:W1575,$B1592&amp;" ~*")&gt;0)+(COUNTIF(Y1558:Y1575,$B1592)+COUNTIF(Y1558:Y1575,$B1592&amp;" ~*")&gt;0))</f>
        <v/>
      </c>
      <c r="AC1592" s="38">
        <f>IF($B1592="","",(IFERROR(INDEX(Setup!$G$33:$G$40,MATCH(C1592,Setup!$B$33:$B$40,0)),0)=1)*(COUNTIF(C1558:E1575,$B1592)+COUNTIF(C1558:E1575,$B1592&amp;" ~*")&gt;0)+(IFERROR(INDEX(Setup!$G$33:$G$40,MATCH(G1592,Setup!$B$33:$B$40,0)),0)=1)*(COUNTIF(G1558:I1575,$B1592)+COUNTIF(G1558:I1575,$B1592&amp;" ~*")&gt;0)+(IFERROR(INDEX(Setup!$G$33:$G$40,MATCH(K1592,Setup!$B$33:$B$40,0)),0)=1)*(COUNTIF(K1558:M1575,$B1592)+COUNTIF(K1558:M1575,$B1592&amp;" ~*")&gt;0)+(IFERROR(INDEX(Setup!$G$33:$G$40,MATCH(O1592,Setup!$B$33:$B$40,0)),0)=1)*(COUNTIF(O1558:Q1575,$B1592)+COUNTIF(O1558:Q1575,$B1592&amp;" ~*")&gt;0)+(IFERROR(INDEX(Setup!$G$33:$G$40,MATCH(S1592,Setup!$B$33:$B$40,0)),0)=1)*(COUNTIF(S1558:U1575,$B1592)+COUNTIF(S1558:U1575,$B1592&amp;" ~*")&gt;0)+(IFERROR(INDEX(Setup!$G$33:$G$40,MATCH(W1592,Setup!$B$33:$B$40,0)),0)=1)*(COUNTIF(W1558:W1575,$B1592)+COUNTIF(W1558:W1575,$B1592&amp;" ~*")&gt;0)+(IFERROR(INDEX(Setup!$G$33:$G$40,MATCH(Y1592,Setup!$B$33:$B$40,0)),0)=1)*(COUNTIF(Y1558:Y1575,$B1592)+COUNTIF(Y1558:Y1575,$B1592&amp;" ~*")&gt;0))</f>
        <v/>
      </c>
    </row>
    <row r="1593" ht="15" customHeight="1">
      <c r="A1593" t="n">
        <v>32</v>
      </c>
      <c r="B1593" s="35">
        <f>IF(Setup!$B$22="","",Setup!$B$22)</f>
        <v/>
      </c>
      <c r="C1593" s="98" t="n"/>
      <c r="D1593" s="99" t="n"/>
      <c r="E1593" s="99" t="n"/>
      <c r="F1593" s="100" t="n"/>
      <c r="G1593" s="98" t="n"/>
      <c r="H1593" s="99" t="n"/>
      <c r="I1593" s="99" t="n"/>
      <c r="J1593" s="100" t="n"/>
      <c r="K1593" s="98" t="n"/>
      <c r="L1593" s="99" t="n"/>
      <c r="M1593" s="99" t="n"/>
      <c r="N1593" s="100" t="n"/>
      <c r="O1593" s="98" t="n"/>
      <c r="P1593" s="99" t="n"/>
      <c r="Q1593" s="99" t="n"/>
      <c r="R1593" s="100" t="n"/>
      <c r="S1593" s="98" t="n"/>
      <c r="T1593" s="99" t="n"/>
      <c r="U1593" s="99" t="n"/>
      <c r="V1593" s="100" t="n"/>
      <c r="W1593" s="98" t="n"/>
      <c r="X1593" s="100" t="n"/>
      <c r="Y1593" s="98" t="n"/>
      <c r="Z1593" s="100" t="n"/>
      <c r="AB1593" s="101">
        <f>IF($B1593="","",(COUNTIF(C1558:E1575,$B1593)+COUNTIF(C1558:E1575,$B1593&amp;" ~*")&gt;0)+(COUNTIF(G1558:I1575,$B1593)+COUNTIF(G1558:I1575,$B1593&amp;" ~*")&gt;0)+(COUNTIF(K1558:M1575,$B1593)+COUNTIF(K1558:M1575,$B1593&amp;" ~*")&gt;0)+(COUNTIF(O1558:Q1575,$B1593)+COUNTIF(O1558:Q1575,$B1593&amp;" ~*")&gt;0)+(COUNTIF(S1558:U1575,$B1593)+COUNTIF(S1558:U1575,$B1593&amp;" ~*")&gt;0)+(COUNTIF(W1558:W1575,$B1593)+COUNTIF(W1558:W1575,$B1593&amp;" ~*")&gt;0)+(COUNTIF(Y1558:Y1575,$B1593)+COUNTIF(Y1558:Y1575,$B1593&amp;" ~*")&gt;0))</f>
        <v/>
      </c>
      <c r="AC1593" s="36">
        <f>IF($B1593="","",(IFERROR(INDEX(Setup!$G$33:$G$40,MATCH(C1593,Setup!$B$33:$B$40,0)),0)=1)*(COUNTIF(C1558:E1575,$B1593)+COUNTIF(C1558:E1575,$B1593&amp;" ~*")&gt;0)+(IFERROR(INDEX(Setup!$G$33:$G$40,MATCH(G1593,Setup!$B$33:$B$40,0)),0)=1)*(COUNTIF(G1558:I1575,$B1593)+COUNTIF(G1558:I1575,$B1593&amp;" ~*")&gt;0)+(IFERROR(INDEX(Setup!$G$33:$G$40,MATCH(K1593,Setup!$B$33:$B$40,0)),0)=1)*(COUNTIF(K1558:M1575,$B1593)+COUNTIF(K1558:M1575,$B1593&amp;" ~*")&gt;0)+(IFERROR(INDEX(Setup!$G$33:$G$40,MATCH(O1593,Setup!$B$33:$B$40,0)),0)=1)*(COUNTIF(O1558:Q1575,$B1593)+COUNTIF(O1558:Q1575,$B1593&amp;" ~*")&gt;0)+(IFERROR(INDEX(Setup!$G$33:$G$40,MATCH(S1593,Setup!$B$33:$B$40,0)),0)=1)*(COUNTIF(S1558:U1575,$B1593)+COUNTIF(S1558:U1575,$B1593&amp;" ~*")&gt;0)+(IFERROR(INDEX(Setup!$G$33:$G$40,MATCH(W1593,Setup!$B$33:$B$40,0)),0)=1)*(COUNTIF(W1558:W1575,$B1593)+COUNTIF(W1558:W1575,$B1593&amp;" ~*")&gt;0)+(IFERROR(INDEX(Setup!$G$33:$G$40,MATCH(Y1593,Setup!$B$33:$B$40,0)),0)=1)*(COUNTIF(Y1558:Y1575,$B1593)+COUNTIF(Y1558:Y1575,$B1593&amp;" ~*")&gt;0))</f>
        <v/>
      </c>
    </row>
    <row r="1594" ht="15" customHeight="1">
      <c r="A1594" t="n">
        <v>32</v>
      </c>
      <c r="B1594" s="37">
        <f>IF(Setup!$B$23="","",Setup!$B$23)</f>
        <v/>
      </c>
      <c r="C1594" s="102" t="n"/>
      <c r="D1594" s="103" t="n"/>
      <c r="E1594" s="103" t="n"/>
      <c r="F1594" s="104" t="n"/>
      <c r="G1594" s="102" t="n"/>
      <c r="H1594" s="103" t="n"/>
      <c r="I1594" s="103" t="n"/>
      <c r="J1594" s="104" t="n"/>
      <c r="K1594" s="102" t="n"/>
      <c r="L1594" s="103" t="n"/>
      <c r="M1594" s="103" t="n"/>
      <c r="N1594" s="104" t="n"/>
      <c r="O1594" s="102" t="n"/>
      <c r="P1594" s="103" t="n"/>
      <c r="Q1594" s="103" t="n"/>
      <c r="R1594" s="104" t="n"/>
      <c r="S1594" s="102" t="n"/>
      <c r="T1594" s="103" t="n"/>
      <c r="U1594" s="103" t="n"/>
      <c r="V1594" s="104" t="n"/>
      <c r="W1594" s="102" t="n"/>
      <c r="X1594" s="104" t="n"/>
      <c r="Y1594" s="102" t="n"/>
      <c r="Z1594" s="104" t="n"/>
      <c r="AB1594" s="105">
        <f>IF($B1594="","",(COUNTIF(C1558:E1575,$B1594)+COUNTIF(C1558:E1575,$B1594&amp;" ~*")&gt;0)+(COUNTIF(G1558:I1575,$B1594)+COUNTIF(G1558:I1575,$B1594&amp;" ~*")&gt;0)+(COUNTIF(K1558:M1575,$B1594)+COUNTIF(K1558:M1575,$B1594&amp;" ~*")&gt;0)+(COUNTIF(O1558:Q1575,$B1594)+COUNTIF(O1558:Q1575,$B1594&amp;" ~*")&gt;0)+(COUNTIF(S1558:U1575,$B1594)+COUNTIF(S1558:U1575,$B1594&amp;" ~*")&gt;0)+(COUNTIF(W1558:W1575,$B1594)+COUNTIF(W1558:W1575,$B1594&amp;" ~*")&gt;0)+(COUNTIF(Y1558:Y1575,$B1594)+COUNTIF(Y1558:Y1575,$B1594&amp;" ~*")&gt;0))</f>
        <v/>
      </c>
      <c r="AC1594" s="38">
        <f>IF($B1594="","",(IFERROR(INDEX(Setup!$G$33:$G$40,MATCH(C1594,Setup!$B$33:$B$40,0)),0)=1)*(COUNTIF(C1558:E1575,$B1594)+COUNTIF(C1558:E1575,$B1594&amp;" ~*")&gt;0)+(IFERROR(INDEX(Setup!$G$33:$G$40,MATCH(G1594,Setup!$B$33:$B$40,0)),0)=1)*(COUNTIF(G1558:I1575,$B1594)+COUNTIF(G1558:I1575,$B1594&amp;" ~*")&gt;0)+(IFERROR(INDEX(Setup!$G$33:$G$40,MATCH(K1594,Setup!$B$33:$B$40,0)),0)=1)*(COUNTIF(K1558:M1575,$B1594)+COUNTIF(K1558:M1575,$B1594&amp;" ~*")&gt;0)+(IFERROR(INDEX(Setup!$G$33:$G$40,MATCH(O1594,Setup!$B$33:$B$40,0)),0)=1)*(COUNTIF(O1558:Q1575,$B1594)+COUNTIF(O1558:Q1575,$B1594&amp;" ~*")&gt;0)+(IFERROR(INDEX(Setup!$G$33:$G$40,MATCH(S1594,Setup!$B$33:$B$40,0)),0)=1)*(COUNTIF(S1558:U1575,$B1594)+COUNTIF(S1558:U1575,$B1594&amp;" ~*")&gt;0)+(IFERROR(INDEX(Setup!$G$33:$G$40,MATCH(W1594,Setup!$B$33:$B$40,0)),0)=1)*(COUNTIF(W1558:W1575,$B1594)+COUNTIF(W1558:W1575,$B1594&amp;" ~*")&gt;0)+(IFERROR(INDEX(Setup!$G$33:$G$40,MATCH(Y1594,Setup!$B$33:$B$40,0)),0)=1)*(COUNTIF(Y1558:Y1575,$B1594)+COUNTIF(Y1558:Y1575,$B1594&amp;" ~*")&gt;0))</f>
        <v/>
      </c>
    </row>
    <row r="1595" ht="15" customHeight="1">
      <c r="A1595" t="n">
        <v>32</v>
      </c>
      <c r="B1595" s="35">
        <f>IF(Setup!$B$24="","",Setup!$B$24)</f>
        <v/>
      </c>
      <c r="C1595" s="98" t="n"/>
      <c r="D1595" s="99" t="n"/>
      <c r="E1595" s="99" t="n"/>
      <c r="F1595" s="100" t="n"/>
      <c r="G1595" s="98" t="n"/>
      <c r="H1595" s="99" t="n"/>
      <c r="I1595" s="99" t="n"/>
      <c r="J1595" s="100" t="n"/>
      <c r="K1595" s="98" t="n"/>
      <c r="L1595" s="99" t="n"/>
      <c r="M1595" s="99" t="n"/>
      <c r="N1595" s="100" t="n"/>
      <c r="O1595" s="98" t="n"/>
      <c r="P1595" s="99" t="n"/>
      <c r="Q1595" s="99" t="n"/>
      <c r="R1595" s="100" t="n"/>
      <c r="S1595" s="98" t="n"/>
      <c r="T1595" s="99" t="n"/>
      <c r="U1595" s="99" t="n"/>
      <c r="V1595" s="100" t="n"/>
      <c r="W1595" s="98" t="n"/>
      <c r="X1595" s="100" t="n"/>
      <c r="Y1595" s="98" t="n"/>
      <c r="Z1595" s="100" t="n"/>
      <c r="AB1595" s="101">
        <f>IF($B1595="","",(COUNTIF(C1558:E1575,$B1595)+COUNTIF(C1558:E1575,$B1595&amp;" ~*")&gt;0)+(COUNTIF(G1558:I1575,$B1595)+COUNTIF(G1558:I1575,$B1595&amp;" ~*")&gt;0)+(COUNTIF(K1558:M1575,$B1595)+COUNTIF(K1558:M1575,$B1595&amp;" ~*")&gt;0)+(COUNTIF(O1558:Q1575,$B1595)+COUNTIF(O1558:Q1575,$B1595&amp;" ~*")&gt;0)+(COUNTIF(S1558:U1575,$B1595)+COUNTIF(S1558:U1575,$B1595&amp;" ~*")&gt;0)+(COUNTIF(W1558:W1575,$B1595)+COUNTIF(W1558:W1575,$B1595&amp;" ~*")&gt;0)+(COUNTIF(Y1558:Y1575,$B1595)+COUNTIF(Y1558:Y1575,$B1595&amp;" ~*")&gt;0))</f>
        <v/>
      </c>
      <c r="AC1595" s="36">
        <f>IF($B1595="","",(IFERROR(INDEX(Setup!$G$33:$G$40,MATCH(C1595,Setup!$B$33:$B$40,0)),0)=1)*(COUNTIF(C1558:E1575,$B1595)+COUNTIF(C1558:E1575,$B1595&amp;" ~*")&gt;0)+(IFERROR(INDEX(Setup!$G$33:$G$40,MATCH(G1595,Setup!$B$33:$B$40,0)),0)=1)*(COUNTIF(G1558:I1575,$B1595)+COUNTIF(G1558:I1575,$B1595&amp;" ~*")&gt;0)+(IFERROR(INDEX(Setup!$G$33:$G$40,MATCH(K1595,Setup!$B$33:$B$40,0)),0)=1)*(COUNTIF(K1558:M1575,$B1595)+COUNTIF(K1558:M1575,$B1595&amp;" ~*")&gt;0)+(IFERROR(INDEX(Setup!$G$33:$G$40,MATCH(O1595,Setup!$B$33:$B$40,0)),0)=1)*(COUNTIF(O1558:Q1575,$B1595)+COUNTIF(O1558:Q1575,$B1595&amp;" ~*")&gt;0)+(IFERROR(INDEX(Setup!$G$33:$G$40,MATCH(S1595,Setup!$B$33:$B$40,0)),0)=1)*(COUNTIF(S1558:U1575,$B1595)+COUNTIF(S1558:U1575,$B1595&amp;" ~*")&gt;0)+(IFERROR(INDEX(Setup!$G$33:$G$40,MATCH(W1595,Setup!$B$33:$B$40,0)),0)=1)*(COUNTIF(W1558:W1575,$B1595)+COUNTIF(W1558:W1575,$B1595&amp;" ~*")&gt;0)+(IFERROR(INDEX(Setup!$G$33:$G$40,MATCH(Y1595,Setup!$B$33:$B$40,0)),0)=1)*(COUNTIF(Y1558:Y1575,$B1595)+COUNTIF(Y1558:Y1575,$B1595&amp;" ~*")&gt;0))</f>
        <v/>
      </c>
    </row>
    <row r="1596" ht="15" customHeight="1">
      <c r="A1596" t="n">
        <v>32</v>
      </c>
      <c r="B1596" s="37">
        <f>IF(Setup!$B$25="","",Setup!$B$25)</f>
        <v/>
      </c>
      <c r="C1596" s="102" t="n"/>
      <c r="D1596" s="103" t="n"/>
      <c r="E1596" s="103" t="n"/>
      <c r="F1596" s="104" t="n"/>
      <c r="G1596" s="102" t="n"/>
      <c r="H1596" s="103" t="n"/>
      <c r="I1596" s="103" t="n"/>
      <c r="J1596" s="104" t="n"/>
      <c r="K1596" s="102" t="n"/>
      <c r="L1596" s="103" t="n"/>
      <c r="M1596" s="103" t="n"/>
      <c r="N1596" s="104" t="n"/>
      <c r="O1596" s="102" t="n"/>
      <c r="P1596" s="103" t="n"/>
      <c r="Q1596" s="103" t="n"/>
      <c r="R1596" s="104" t="n"/>
      <c r="S1596" s="102" t="n"/>
      <c r="T1596" s="103" t="n"/>
      <c r="U1596" s="103" t="n"/>
      <c r="V1596" s="104" t="n"/>
      <c r="W1596" s="102" t="n"/>
      <c r="X1596" s="104" t="n"/>
      <c r="Y1596" s="102" t="n"/>
      <c r="Z1596" s="104" t="n"/>
      <c r="AB1596" s="105">
        <f>IF($B1596="","",(COUNTIF(C1558:E1575,$B1596)+COUNTIF(C1558:E1575,$B1596&amp;" ~*")&gt;0)+(COUNTIF(G1558:I1575,$B1596)+COUNTIF(G1558:I1575,$B1596&amp;" ~*")&gt;0)+(COUNTIF(K1558:M1575,$B1596)+COUNTIF(K1558:M1575,$B1596&amp;" ~*")&gt;0)+(COUNTIF(O1558:Q1575,$B1596)+COUNTIF(O1558:Q1575,$B1596&amp;" ~*")&gt;0)+(COUNTIF(S1558:U1575,$B1596)+COUNTIF(S1558:U1575,$B1596&amp;" ~*")&gt;0)+(COUNTIF(W1558:W1575,$B1596)+COUNTIF(W1558:W1575,$B1596&amp;" ~*")&gt;0)+(COUNTIF(Y1558:Y1575,$B1596)+COUNTIF(Y1558:Y1575,$B1596&amp;" ~*")&gt;0))</f>
        <v/>
      </c>
      <c r="AC1596" s="38">
        <f>IF($B1596="","",(IFERROR(INDEX(Setup!$G$33:$G$40,MATCH(C1596,Setup!$B$33:$B$40,0)),0)=1)*(COUNTIF(C1558:E1575,$B1596)+COUNTIF(C1558:E1575,$B1596&amp;" ~*")&gt;0)+(IFERROR(INDEX(Setup!$G$33:$G$40,MATCH(G1596,Setup!$B$33:$B$40,0)),0)=1)*(COUNTIF(G1558:I1575,$B1596)+COUNTIF(G1558:I1575,$B1596&amp;" ~*")&gt;0)+(IFERROR(INDEX(Setup!$G$33:$G$40,MATCH(K1596,Setup!$B$33:$B$40,0)),0)=1)*(COUNTIF(K1558:M1575,$B1596)+COUNTIF(K1558:M1575,$B1596&amp;" ~*")&gt;0)+(IFERROR(INDEX(Setup!$G$33:$G$40,MATCH(O1596,Setup!$B$33:$B$40,0)),0)=1)*(COUNTIF(O1558:Q1575,$B1596)+COUNTIF(O1558:Q1575,$B1596&amp;" ~*")&gt;0)+(IFERROR(INDEX(Setup!$G$33:$G$40,MATCH(S1596,Setup!$B$33:$B$40,0)),0)=1)*(COUNTIF(S1558:U1575,$B1596)+COUNTIF(S1558:U1575,$B1596&amp;" ~*")&gt;0)+(IFERROR(INDEX(Setup!$G$33:$G$40,MATCH(W1596,Setup!$B$33:$B$40,0)),0)=1)*(COUNTIF(W1558:W1575,$B1596)+COUNTIF(W1558:W1575,$B1596&amp;" ~*")&gt;0)+(IFERROR(INDEX(Setup!$G$33:$G$40,MATCH(Y1596,Setup!$B$33:$B$40,0)),0)=1)*(COUNTIF(Y1558:Y1575,$B1596)+COUNTIF(Y1558:Y1575,$B1596&amp;" ~*")&gt;0))</f>
        <v/>
      </c>
    </row>
    <row r="1597" ht="15" customHeight="1">
      <c r="A1597" t="n">
        <v>32</v>
      </c>
      <c r="B1597" s="35">
        <f>IF(Setup!$B$26="","",Setup!$B$26)</f>
        <v/>
      </c>
      <c r="C1597" s="98" t="n"/>
      <c r="D1597" s="99" t="n"/>
      <c r="E1597" s="99" t="n"/>
      <c r="F1597" s="100" t="n"/>
      <c r="G1597" s="98" t="n"/>
      <c r="H1597" s="99" t="n"/>
      <c r="I1597" s="99" t="n"/>
      <c r="J1597" s="100" t="n"/>
      <c r="K1597" s="98" t="n"/>
      <c r="L1597" s="99" t="n"/>
      <c r="M1597" s="99" t="n"/>
      <c r="N1597" s="100" t="n"/>
      <c r="O1597" s="98" t="n"/>
      <c r="P1597" s="99" t="n"/>
      <c r="Q1597" s="99" t="n"/>
      <c r="R1597" s="100" t="n"/>
      <c r="S1597" s="98" t="n"/>
      <c r="T1597" s="99" t="n"/>
      <c r="U1597" s="99" t="n"/>
      <c r="V1597" s="100" t="n"/>
      <c r="W1597" s="98" t="n"/>
      <c r="X1597" s="100" t="n"/>
      <c r="Y1597" s="98" t="n"/>
      <c r="Z1597" s="100" t="n"/>
      <c r="AB1597" s="101">
        <f>IF($B1597="","",(COUNTIF(C1558:E1575,$B1597)+COUNTIF(C1558:E1575,$B1597&amp;" ~*")&gt;0)+(COUNTIF(G1558:I1575,$B1597)+COUNTIF(G1558:I1575,$B1597&amp;" ~*")&gt;0)+(COUNTIF(K1558:M1575,$B1597)+COUNTIF(K1558:M1575,$B1597&amp;" ~*")&gt;0)+(COUNTIF(O1558:Q1575,$B1597)+COUNTIF(O1558:Q1575,$B1597&amp;" ~*")&gt;0)+(COUNTIF(S1558:U1575,$B1597)+COUNTIF(S1558:U1575,$B1597&amp;" ~*")&gt;0)+(COUNTIF(W1558:W1575,$B1597)+COUNTIF(W1558:W1575,$B1597&amp;" ~*")&gt;0)+(COUNTIF(Y1558:Y1575,$B1597)+COUNTIF(Y1558:Y1575,$B1597&amp;" ~*")&gt;0))</f>
        <v/>
      </c>
      <c r="AC1597" s="36">
        <f>IF($B1597="","",(IFERROR(INDEX(Setup!$G$33:$G$40,MATCH(C1597,Setup!$B$33:$B$40,0)),0)=1)*(COUNTIF(C1558:E1575,$B1597)+COUNTIF(C1558:E1575,$B1597&amp;" ~*")&gt;0)+(IFERROR(INDEX(Setup!$G$33:$G$40,MATCH(G1597,Setup!$B$33:$B$40,0)),0)=1)*(COUNTIF(G1558:I1575,$B1597)+COUNTIF(G1558:I1575,$B1597&amp;" ~*")&gt;0)+(IFERROR(INDEX(Setup!$G$33:$G$40,MATCH(K1597,Setup!$B$33:$B$40,0)),0)=1)*(COUNTIF(K1558:M1575,$B1597)+COUNTIF(K1558:M1575,$B1597&amp;" ~*")&gt;0)+(IFERROR(INDEX(Setup!$G$33:$G$40,MATCH(O1597,Setup!$B$33:$B$40,0)),0)=1)*(COUNTIF(O1558:Q1575,$B1597)+COUNTIF(O1558:Q1575,$B1597&amp;" ~*")&gt;0)+(IFERROR(INDEX(Setup!$G$33:$G$40,MATCH(S1597,Setup!$B$33:$B$40,0)),0)=1)*(COUNTIF(S1558:U1575,$B1597)+COUNTIF(S1558:U1575,$B1597&amp;" ~*")&gt;0)+(IFERROR(INDEX(Setup!$G$33:$G$40,MATCH(W1597,Setup!$B$33:$B$40,0)),0)=1)*(COUNTIF(W1558:W1575,$B1597)+COUNTIF(W1558:W1575,$B1597&amp;" ~*")&gt;0)+(IFERROR(INDEX(Setup!$G$33:$G$40,MATCH(Y1597,Setup!$B$33:$B$40,0)),0)=1)*(COUNTIF(Y1558:Y1575,$B1597)+COUNTIF(Y1558:Y1575,$B1597&amp;" ~*")&gt;0))</f>
        <v/>
      </c>
    </row>
    <row r="1598" ht="15" customHeight="1">
      <c r="A1598" t="n">
        <v>32</v>
      </c>
      <c r="B1598" s="37">
        <f>IF(Setup!$B$27="","",Setup!$B$27)</f>
        <v/>
      </c>
      <c r="C1598" s="102" t="n"/>
      <c r="D1598" s="103" t="n"/>
      <c r="E1598" s="103" t="n"/>
      <c r="F1598" s="104" t="n"/>
      <c r="G1598" s="102" t="n"/>
      <c r="H1598" s="103" t="n"/>
      <c r="I1598" s="103" t="n"/>
      <c r="J1598" s="104" t="n"/>
      <c r="K1598" s="102" t="n"/>
      <c r="L1598" s="103" t="n"/>
      <c r="M1598" s="103" t="n"/>
      <c r="N1598" s="104" t="n"/>
      <c r="O1598" s="102" t="n"/>
      <c r="P1598" s="103" t="n"/>
      <c r="Q1598" s="103" t="n"/>
      <c r="R1598" s="104" t="n"/>
      <c r="S1598" s="102" t="n"/>
      <c r="T1598" s="103" t="n"/>
      <c r="U1598" s="103" t="n"/>
      <c r="V1598" s="104" t="n"/>
      <c r="W1598" s="102" t="n"/>
      <c r="X1598" s="104" t="n"/>
      <c r="Y1598" s="102" t="n"/>
      <c r="Z1598" s="104" t="n"/>
      <c r="AB1598" s="105">
        <f>IF($B1598="","",(COUNTIF(C1558:E1575,$B1598)+COUNTIF(C1558:E1575,$B1598&amp;" ~*")&gt;0)+(COUNTIF(G1558:I1575,$B1598)+COUNTIF(G1558:I1575,$B1598&amp;" ~*")&gt;0)+(COUNTIF(K1558:M1575,$B1598)+COUNTIF(K1558:M1575,$B1598&amp;" ~*")&gt;0)+(COUNTIF(O1558:Q1575,$B1598)+COUNTIF(O1558:Q1575,$B1598&amp;" ~*")&gt;0)+(COUNTIF(S1558:U1575,$B1598)+COUNTIF(S1558:U1575,$B1598&amp;" ~*")&gt;0)+(COUNTIF(W1558:W1575,$B1598)+COUNTIF(W1558:W1575,$B1598&amp;" ~*")&gt;0)+(COUNTIF(Y1558:Y1575,$B1598)+COUNTIF(Y1558:Y1575,$B1598&amp;" ~*")&gt;0))</f>
        <v/>
      </c>
      <c r="AC1598" s="38">
        <f>IF($B1598="","",(IFERROR(INDEX(Setup!$G$33:$G$40,MATCH(C1598,Setup!$B$33:$B$40,0)),0)=1)*(COUNTIF(C1558:E1575,$B1598)+COUNTIF(C1558:E1575,$B1598&amp;" ~*")&gt;0)+(IFERROR(INDEX(Setup!$G$33:$G$40,MATCH(G1598,Setup!$B$33:$B$40,0)),0)=1)*(COUNTIF(G1558:I1575,$B1598)+COUNTIF(G1558:I1575,$B1598&amp;" ~*")&gt;0)+(IFERROR(INDEX(Setup!$G$33:$G$40,MATCH(K1598,Setup!$B$33:$B$40,0)),0)=1)*(COUNTIF(K1558:M1575,$B1598)+COUNTIF(K1558:M1575,$B1598&amp;" ~*")&gt;0)+(IFERROR(INDEX(Setup!$G$33:$G$40,MATCH(O1598,Setup!$B$33:$B$40,0)),0)=1)*(COUNTIF(O1558:Q1575,$B1598)+COUNTIF(O1558:Q1575,$B1598&amp;" ~*")&gt;0)+(IFERROR(INDEX(Setup!$G$33:$G$40,MATCH(S1598,Setup!$B$33:$B$40,0)),0)=1)*(COUNTIF(S1558:U1575,$B1598)+COUNTIF(S1558:U1575,$B1598&amp;" ~*")&gt;0)+(IFERROR(INDEX(Setup!$G$33:$G$40,MATCH(W1598,Setup!$B$33:$B$40,0)),0)=1)*(COUNTIF(W1558:W1575,$B1598)+COUNTIF(W1558:W1575,$B1598&amp;" ~*")&gt;0)+(IFERROR(INDEX(Setup!$G$33:$G$40,MATCH(Y1598,Setup!$B$33:$B$40,0)),0)=1)*(COUNTIF(Y1558:Y1575,$B1598)+COUNTIF(Y1558:Y1575,$B1598&amp;" ~*")&gt;0))</f>
        <v/>
      </c>
    </row>
    <row r="1599" ht="15" customHeight="1">
      <c r="A1599" t="n">
        <v>32</v>
      </c>
      <c r="B1599" s="35">
        <f>IF(Setup!$B$28="","",Setup!$B$28)</f>
        <v/>
      </c>
      <c r="C1599" s="98" t="n"/>
      <c r="D1599" s="99" t="n"/>
      <c r="E1599" s="99" t="n"/>
      <c r="F1599" s="100" t="n"/>
      <c r="G1599" s="98" t="n"/>
      <c r="H1599" s="99" t="n"/>
      <c r="I1599" s="99" t="n"/>
      <c r="J1599" s="100" t="n"/>
      <c r="K1599" s="98" t="n"/>
      <c r="L1599" s="99" t="n"/>
      <c r="M1599" s="99" t="n"/>
      <c r="N1599" s="100" t="n"/>
      <c r="O1599" s="98" t="n"/>
      <c r="P1599" s="99" t="n"/>
      <c r="Q1599" s="99" t="n"/>
      <c r="R1599" s="100" t="n"/>
      <c r="S1599" s="98" t="n"/>
      <c r="T1599" s="99" t="n"/>
      <c r="U1599" s="99" t="n"/>
      <c r="V1599" s="100" t="n"/>
      <c r="W1599" s="98" t="n"/>
      <c r="X1599" s="100" t="n"/>
      <c r="Y1599" s="98" t="n"/>
      <c r="Z1599" s="100" t="n"/>
      <c r="AB1599" s="101">
        <f>IF($B1599="","",(COUNTIF(C1558:E1575,$B1599)+COUNTIF(C1558:E1575,$B1599&amp;" ~*")&gt;0)+(COUNTIF(G1558:I1575,$B1599)+COUNTIF(G1558:I1575,$B1599&amp;" ~*")&gt;0)+(COUNTIF(K1558:M1575,$B1599)+COUNTIF(K1558:M1575,$B1599&amp;" ~*")&gt;0)+(COUNTIF(O1558:Q1575,$B1599)+COUNTIF(O1558:Q1575,$B1599&amp;" ~*")&gt;0)+(COUNTIF(S1558:U1575,$B1599)+COUNTIF(S1558:U1575,$B1599&amp;" ~*")&gt;0)+(COUNTIF(W1558:W1575,$B1599)+COUNTIF(W1558:W1575,$B1599&amp;" ~*")&gt;0)+(COUNTIF(Y1558:Y1575,$B1599)+COUNTIF(Y1558:Y1575,$B1599&amp;" ~*")&gt;0))</f>
        <v/>
      </c>
      <c r="AC1599" s="36">
        <f>IF($B1599="","",(IFERROR(INDEX(Setup!$G$33:$G$40,MATCH(C1599,Setup!$B$33:$B$40,0)),0)=1)*(COUNTIF(C1558:E1575,$B1599)+COUNTIF(C1558:E1575,$B1599&amp;" ~*")&gt;0)+(IFERROR(INDEX(Setup!$G$33:$G$40,MATCH(G1599,Setup!$B$33:$B$40,0)),0)=1)*(COUNTIF(G1558:I1575,$B1599)+COUNTIF(G1558:I1575,$B1599&amp;" ~*")&gt;0)+(IFERROR(INDEX(Setup!$G$33:$G$40,MATCH(K1599,Setup!$B$33:$B$40,0)),0)=1)*(COUNTIF(K1558:M1575,$B1599)+COUNTIF(K1558:M1575,$B1599&amp;" ~*")&gt;0)+(IFERROR(INDEX(Setup!$G$33:$G$40,MATCH(O1599,Setup!$B$33:$B$40,0)),0)=1)*(COUNTIF(O1558:Q1575,$B1599)+COUNTIF(O1558:Q1575,$B1599&amp;" ~*")&gt;0)+(IFERROR(INDEX(Setup!$G$33:$G$40,MATCH(S1599,Setup!$B$33:$B$40,0)),0)=1)*(COUNTIF(S1558:U1575,$B1599)+COUNTIF(S1558:U1575,$B1599&amp;" ~*")&gt;0)+(IFERROR(INDEX(Setup!$G$33:$G$40,MATCH(W1599,Setup!$B$33:$B$40,0)),0)=1)*(COUNTIF(W1558:W1575,$B1599)+COUNTIF(W1558:W1575,$B1599&amp;" ~*")&gt;0)+(IFERROR(INDEX(Setup!$G$33:$G$40,MATCH(Y1599,Setup!$B$33:$B$40,0)),0)=1)*(COUNTIF(Y1558:Y1575,$B1599)+COUNTIF(Y1558:Y1575,$B1599&amp;" ~*")&gt;0))</f>
        <v/>
      </c>
    </row>
    <row r="1600" ht="15" customHeight="1">
      <c r="A1600" t="n">
        <v>32</v>
      </c>
      <c r="B1600" s="37">
        <f>IF(Setup!$B$29="","",Setup!$B$29)</f>
        <v/>
      </c>
      <c r="C1600" s="102" t="n"/>
      <c r="D1600" s="103" t="n"/>
      <c r="E1600" s="103" t="n"/>
      <c r="F1600" s="104" t="n"/>
      <c r="G1600" s="102" t="n"/>
      <c r="H1600" s="103" t="n"/>
      <c r="I1600" s="103" t="n"/>
      <c r="J1600" s="104" t="n"/>
      <c r="K1600" s="102" t="n"/>
      <c r="L1600" s="103" t="n"/>
      <c r="M1600" s="103" t="n"/>
      <c r="N1600" s="104" t="n"/>
      <c r="O1600" s="102" t="n"/>
      <c r="P1600" s="103" t="n"/>
      <c r="Q1600" s="103" t="n"/>
      <c r="R1600" s="104" t="n"/>
      <c r="S1600" s="102" t="n"/>
      <c r="T1600" s="103" t="n"/>
      <c r="U1600" s="103" t="n"/>
      <c r="V1600" s="104" t="n"/>
      <c r="W1600" s="102" t="n"/>
      <c r="X1600" s="104" t="n"/>
      <c r="Y1600" s="102" t="n"/>
      <c r="Z1600" s="104" t="n"/>
      <c r="AB1600" s="105">
        <f>IF($B1600="","",(COUNTIF(C1558:E1575,$B1600)+COUNTIF(C1558:E1575,$B1600&amp;" ~*")&gt;0)+(COUNTIF(G1558:I1575,$B1600)+COUNTIF(G1558:I1575,$B1600&amp;" ~*")&gt;0)+(COUNTIF(K1558:M1575,$B1600)+COUNTIF(K1558:M1575,$B1600&amp;" ~*")&gt;0)+(COUNTIF(O1558:Q1575,$B1600)+COUNTIF(O1558:Q1575,$B1600&amp;" ~*")&gt;0)+(COUNTIF(S1558:U1575,$B1600)+COUNTIF(S1558:U1575,$B1600&amp;" ~*")&gt;0)+(COUNTIF(W1558:W1575,$B1600)+COUNTIF(W1558:W1575,$B1600&amp;" ~*")&gt;0)+(COUNTIF(Y1558:Y1575,$B1600)+COUNTIF(Y1558:Y1575,$B1600&amp;" ~*")&gt;0))</f>
        <v/>
      </c>
      <c r="AC1600" s="38">
        <f>IF($B1600="","",(IFERROR(INDEX(Setup!$G$33:$G$40,MATCH(C1600,Setup!$B$33:$B$40,0)),0)=1)*(COUNTIF(C1558:E1575,$B1600)+COUNTIF(C1558:E1575,$B1600&amp;" ~*")&gt;0)+(IFERROR(INDEX(Setup!$G$33:$G$40,MATCH(G1600,Setup!$B$33:$B$40,0)),0)=1)*(COUNTIF(G1558:I1575,$B1600)+COUNTIF(G1558:I1575,$B1600&amp;" ~*")&gt;0)+(IFERROR(INDEX(Setup!$G$33:$G$40,MATCH(K1600,Setup!$B$33:$B$40,0)),0)=1)*(COUNTIF(K1558:M1575,$B1600)+COUNTIF(K1558:M1575,$B1600&amp;" ~*")&gt;0)+(IFERROR(INDEX(Setup!$G$33:$G$40,MATCH(O1600,Setup!$B$33:$B$40,0)),0)=1)*(COUNTIF(O1558:Q1575,$B1600)+COUNTIF(O1558:Q1575,$B1600&amp;" ~*")&gt;0)+(IFERROR(INDEX(Setup!$G$33:$G$40,MATCH(S1600,Setup!$B$33:$B$40,0)),0)=1)*(COUNTIF(S1558:U1575,$B1600)+COUNTIF(S1558:U1575,$B1600&amp;" ~*")&gt;0)+(IFERROR(INDEX(Setup!$G$33:$G$40,MATCH(W1600,Setup!$B$33:$B$40,0)),0)=1)*(COUNTIF(W1558:W1575,$B1600)+COUNTIF(W1558:W1575,$B1600&amp;" ~*")&gt;0)+(IFERROR(INDEX(Setup!$G$33:$G$40,MATCH(Y1600,Setup!$B$33:$B$40,0)),0)=1)*(COUNTIF(Y1558:Y1575,$B1600)+COUNTIF(Y1558:Y1575,$B1600&amp;" ~*")&gt;0))</f>
        <v/>
      </c>
    </row>
    <row r="1601" ht="16" customHeight="1">
      <c r="A1601" t="n">
        <v>32</v>
      </c>
      <c r="B1601" s="106" t="inlineStr">
        <is>
          <t>Available people</t>
        </is>
      </c>
      <c r="C1601" s="107">
        <f>COUNTIFS(Setup!$E$6:$E$29,"Y",Setup!$B$6:$B$29,"?*")-SUMPRODUCT(COUNTIF(C1577:C1600,Setup!$F$33:$F$40))</f>
        <v/>
      </c>
      <c r="D1601" s="107" t="n"/>
      <c r="E1601" s="107" t="n"/>
      <c r="F1601" s="107" t="n"/>
      <c r="G1601" s="107">
        <f>COUNTIFS(Setup!$E$6:$E$29,"Y",Setup!$B$6:$B$29,"?*")-SUMPRODUCT(COUNTIF(G1577:G1600,Setup!$F$33:$F$40))</f>
        <v/>
      </c>
      <c r="H1601" s="107" t="n"/>
      <c r="I1601" s="107" t="n"/>
      <c r="J1601" s="107" t="n"/>
      <c r="K1601" s="107">
        <f>COUNTIFS(Setup!$E$6:$E$29,"Y",Setup!$B$6:$B$29,"?*")-SUMPRODUCT(COUNTIF(K1577:K1600,Setup!$F$33:$F$40))</f>
        <v/>
      </c>
      <c r="L1601" s="107" t="n"/>
      <c r="M1601" s="107" t="n"/>
      <c r="N1601" s="107" t="n"/>
      <c r="O1601" s="107">
        <f>COUNTIFS(Setup!$E$6:$E$29,"Y",Setup!$B$6:$B$29,"?*")-SUMPRODUCT(COUNTIF(O1577:O1600,Setup!$F$33:$F$40))</f>
        <v/>
      </c>
      <c r="P1601" s="107" t="n"/>
      <c r="Q1601" s="107" t="n"/>
      <c r="R1601" s="107" t="n"/>
      <c r="S1601" s="107">
        <f>COUNTIFS(Setup!$E$6:$E$29,"Y",Setup!$B$6:$B$29,"?*")-SUMPRODUCT(COUNTIF(S1577:S1600,Setup!$F$33:$F$40))</f>
        <v/>
      </c>
      <c r="T1601" s="107" t="n"/>
      <c r="U1601" s="107" t="n"/>
      <c r="V1601" s="107" t="n"/>
      <c r="W1601" s="107">
        <f>COUNTIFS(Setup!$E$6:$E$29,"Y",Setup!$B$6:$B$29,"?*")-SUMPRODUCT(COUNTIF(W1577:W1600,Setup!$F$33:$F$40))</f>
        <v/>
      </c>
      <c r="X1601" s="107" t="n"/>
      <c r="Y1601" s="107">
        <f>COUNTIFS(Setup!$E$6:$E$29,"Y",Setup!$B$6:$B$29,"?*")-SUMPRODUCT(COUNTIF(Y1577:Y1600,Setup!$F$33:$F$40))</f>
        <v/>
      </c>
      <c r="Z1601" s="107" t="n"/>
      <c r="AB1601" s="108">
        <f>SUM(AB1577:AB1600)</f>
        <v/>
      </c>
      <c r="AC1601" s="109">
        <f>SUM(AC1577:AC1600)</f>
        <v/>
      </c>
    </row>
    <row r="1602" ht="30" customHeight="1">
      <c r="A1602" t="n">
        <v>32</v>
      </c>
      <c r="B1602" s="110" t="inlineStr">
        <is>
          <t>Week notes</t>
        </is>
      </c>
      <c r="C1602" s="111" t="n"/>
      <c r="D1602" s="112" t="n"/>
      <c r="E1602" s="112" t="n"/>
      <c r="F1602" s="112" t="n"/>
      <c r="G1602" s="112" t="n"/>
      <c r="H1602" s="112" t="n"/>
      <c r="I1602" s="112" t="n"/>
      <c r="J1602" s="112" t="n"/>
      <c r="K1602" s="112" t="n"/>
      <c r="L1602" s="112" t="n"/>
      <c r="M1602" s="112" t="n"/>
      <c r="N1602" s="112" t="n"/>
      <c r="O1602" s="112" t="n"/>
      <c r="P1602" s="112" t="n"/>
      <c r="Q1602" s="112" t="n"/>
      <c r="R1602" s="112" t="n"/>
      <c r="S1602" s="112" t="n"/>
      <c r="T1602" s="112" t="n"/>
      <c r="U1602" s="112" t="n"/>
      <c r="V1602" s="112" t="n"/>
      <c r="W1602" s="112" t="n"/>
      <c r="X1602" s="112" t="n"/>
      <c r="Y1602" s="112" t="n"/>
      <c r="Z1602" s="113" t="n"/>
    </row>
    <row r="1603" ht="8" customHeight="1">
      <c r="A1603" t="n">
        <v>32</v>
      </c>
    </row>
    <row r="1604" ht="8" customHeight="1">
      <c r="A1604" t="n">
        <v>32</v>
      </c>
    </row>
    <row r="1605" ht="24" customHeight="1">
      <c r="A1605" t="n">
        <v>33</v>
      </c>
      <c r="B1605" s="73">
        <f>"WEEK 33     "&amp;TEXT(C1606,"ddd d mmm")&amp;"  –  "&amp;TEXT(C1606+6,"ddd d mmm yyyy")</f>
        <v/>
      </c>
      <c r="S1605" s="74">
        <f>IF(TODAY()&lt;C1606,"FUTURE",IF(TODAY()&gt;C1606+6,"PAST","THIS WEEK"))</f>
        <v/>
      </c>
      <c r="W1605" s="75">
        <f>IF(AND(Engine!$B$8=$AC$3,Engine!$B$9=$A1605),"◀ ACTIVE WEEK","")</f>
        <v/>
      </c>
      <c r="AA1605" s="76" t="n"/>
      <c r="AB1605" s="77" t="inlineStr">
        <is>
          <t>◀ Prev</t>
        </is>
      </c>
      <c r="AC1605" s="77" t="inlineStr">
        <is>
          <t>Next ▶</t>
        </is>
      </c>
    </row>
    <row r="1606" ht="18" customHeight="1">
      <c r="A1606" t="n">
        <v>33</v>
      </c>
      <c r="B1606" s="78" t="inlineStr">
        <is>
          <t>DUTY</t>
        </is>
      </c>
      <c r="C1606" s="79">
        <f>$AC$2+7*($A1606-1)</f>
        <v/>
      </c>
      <c r="D1606" s="80" t="n"/>
      <c r="E1606" s="80" t="n"/>
      <c r="F1606" s="81" t="n"/>
      <c r="G1606" s="79">
        <f>C1606+1</f>
        <v/>
      </c>
      <c r="H1606" s="80" t="n"/>
      <c r="I1606" s="80" t="n"/>
      <c r="J1606" s="81" t="n"/>
      <c r="K1606" s="79">
        <f>C1606+2</f>
        <v/>
      </c>
      <c r="L1606" s="80" t="n"/>
      <c r="M1606" s="80" t="n"/>
      <c r="N1606" s="81" t="n"/>
      <c r="O1606" s="79">
        <f>C1606+3</f>
        <v/>
      </c>
      <c r="P1606" s="80" t="n"/>
      <c r="Q1606" s="80" t="n"/>
      <c r="R1606" s="81" t="n"/>
      <c r="S1606" s="79">
        <f>C1606+4</f>
        <v/>
      </c>
      <c r="T1606" s="80" t="n"/>
      <c r="U1606" s="80" t="n"/>
      <c r="V1606" s="81" t="n"/>
      <c r="W1606" s="82">
        <f>C1606+5</f>
        <v/>
      </c>
      <c r="X1606" s="83" t="n"/>
      <c r="Y1606" s="82">
        <f>C1606+6</f>
        <v/>
      </c>
      <c r="Z1606" s="83" t="n"/>
      <c r="AB1606" s="72" t="inlineStr">
        <is>
          <t>Gaps</t>
        </is>
      </c>
      <c r="AC1606" s="72" t="inlineStr">
        <is>
          <t>Cover</t>
        </is>
      </c>
    </row>
    <row r="1607" ht="14" customHeight="1">
      <c r="A1607" t="n">
        <v>33</v>
      </c>
      <c r="B1607" s="84" t="inlineStr">
        <is>
          <t>(from Setup)</t>
        </is>
      </c>
      <c r="C1607" s="85" t="inlineStr">
        <is>
          <t>1</t>
        </is>
      </c>
      <c r="D1607" s="85" t="inlineStr">
        <is>
          <t>2</t>
        </is>
      </c>
      <c r="E1607" s="85" t="inlineStr">
        <is>
          <t>3</t>
        </is>
      </c>
      <c r="F1607" s="85" t="inlineStr">
        <is>
          <t>Notes</t>
        </is>
      </c>
      <c r="G1607" s="85" t="inlineStr">
        <is>
          <t>1</t>
        </is>
      </c>
      <c r="H1607" s="85" t="inlineStr">
        <is>
          <t>2</t>
        </is>
      </c>
      <c r="I1607" s="85" t="inlineStr">
        <is>
          <t>3</t>
        </is>
      </c>
      <c r="J1607" s="85" t="inlineStr">
        <is>
          <t>Notes</t>
        </is>
      </c>
      <c r="K1607" s="85" t="inlineStr">
        <is>
          <t>1</t>
        </is>
      </c>
      <c r="L1607" s="85" t="inlineStr">
        <is>
          <t>2</t>
        </is>
      </c>
      <c r="M1607" s="85" t="inlineStr">
        <is>
          <t>3</t>
        </is>
      </c>
      <c r="N1607" s="85" t="inlineStr">
        <is>
          <t>Notes</t>
        </is>
      </c>
      <c r="O1607" s="85" t="inlineStr">
        <is>
          <t>1</t>
        </is>
      </c>
      <c r="P1607" s="85" t="inlineStr">
        <is>
          <t>2</t>
        </is>
      </c>
      <c r="Q1607" s="85" t="inlineStr">
        <is>
          <t>3</t>
        </is>
      </c>
      <c r="R1607" s="85" t="inlineStr">
        <is>
          <t>Notes</t>
        </is>
      </c>
      <c r="S1607" s="85" t="inlineStr">
        <is>
          <t>1</t>
        </is>
      </c>
      <c r="T1607" s="85" t="inlineStr">
        <is>
          <t>2</t>
        </is>
      </c>
      <c r="U1607" s="85" t="inlineStr">
        <is>
          <t>3</t>
        </is>
      </c>
      <c r="V1607" s="85" t="inlineStr">
        <is>
          <t>Notes</t>
        </is>
      </c>
      <c r="W1607" s="85" t="inlineStr">
        <is>
          <t>Cover</t>
        </is>
      </c>
      <c r="X1607" s="85" t="inlineStr">
        <is>
          <t>Notes</t>
        </is>
      </c>
      <c r="Y1607" s="85" t="inlineStr">
        <is>
          <t>Cover</t>
        </is>
      </c>
      <c r="Z1607" s="85" t="inlineStr">
        <is>
          <t>Notes</t>
        </is>
      </c>
      <c r="AB1607" s="86" t="inlineStr">
        <is>
          <t>weekdays short</t>
        </is>
      </c>
      <c r="AC1607" s="87" t="inlineStr"/>
    </row>
    <row r="1608" ht="17" customHeight="1">
      <c r="A1608" t="n">
        <v>33</v>
      </c>
      <c r="B1608" s="24">
        <f>IF(Setup!$K$6="","",Setup!$K$6)</f>
        <v/>
      </c>
      <c r="C1608" s="88" t="n"/>
      <c r="D1608" s="88" t="n"/>
      <c r="E1608" s="88" t="n"/>
      <c r="F1608" s="89" t="n"/>
      <c r="G1608" s="88" t="n"/>
      <c r="H1608" s="88" t="n"/>
      <c r="I1608" s="88" t="n"/>
      <c r="J1608" s="89" t="n"/>
      <c r="K1608" s="88" t="n"/>
      <c r="L1608" s="88" t="n"/>
      <c r="M1608" s="88" t="n"/>
      <c r="N1608" s="89" t="n"/>
      <c r="O1608" s="88" t="n"/>
      <c r="P1608" s="88" t="n"/>
      <c r="Q1608" s="88" t="n"/>
      <c r="R1608" s="89" t="n"/>
      <c r="S1608" s="88" t="n"/>
      <c r="T1608" s="88" t="n"/>
      <c r="U1608" s="88" t="n"/>
      <c r="V1608" s="89" t="n"/>
      <c r="W1608" s="88" t="n"/>
      <c r="X1608" s="89" t="n"/>
      <c r="Y1608" s="88" t="n"/>
      <c r="Z1608" s="89" t="n"/>
      <c r="AB1608" s="25">
        <f>IF($B1608="","",(COUNTIF(C1608:E1608,"?*")&lt;N(INDEX(Setup!$L$6:$L$23,1)))+(COUNTIF(G1608:I1608,"?*")&lt;N(INDEX(Setup!$L$6:$L$23,1)))+(COUNTIF(K1608:M1608,"?*")&lt;N(INDEX(Setup!$L$6:$L$23,1)))+(COUNTIF(O1608:Q1608,"?*")&lt;N(INDEX(Setup!$L$6:$L$23,1)))+(COUNTIF(S1608:U1608,"?*")&lt;N(INDEX(Setup!$L$6:$L$23,1)))+((W1608="")*(INDEX(Setup!$M$6:$M$23,1)="Y"))+((Y1608="")*(INDEX(Setup!$M$6:$M$23,1)="Y")))</f>
        <v/>
      </c>
      <c r="AC1608" s="90">
        <f>IF($B1608="","",IF(AB1608=0,"✓ covered","⚠ "&amp;AB1608&amp;IF(AB1608=1," gap"," gaps")))</f>
        <v/>
      </c>
    </row>
    <row r="1609" ht="17" customHeight="1">
      <c r="A1609" t="n">
        <v>33</v>
      </c>
      <c r="B1609" s="29">
        <f>IF(Setup!$K$7="","",Setup!$K$7)</f>
        <v/>
      </c>
      <c r="C1609" s="88" t="n"/>
      <c r="D1609" s="88" t="n"/>
      <c r="E1609" s="88" t="n"/>
      <c r="F1609" s="89" t="n"/>
      <c r="G1609" s="88" t="n"/>
      <c r="H1609" s="88" t="n"/>
      <c r="I1609" s="88" t="n"/>
      <c r="J1609" s="89" t="n"/>
      <c r="K1609" s="88" t="n"/>
      <c r="L1609" s="88" t="n"/>
      <c r="M1609" s="88" t="n"/>
      <c r="N1609" s="89" t="n"/>
      <c r="O1609" s="88" t="n"/>
      <c r="P1609" s="88" t="n"/>
      <c r="Q1609" s="88" t="n"/>
      <c r="R1609" s="89" t="n"/>
      <c r="S1609" s="88" t="n"/>
      <c r="T1609" s="88" t="n"/>
      <c r="U1609" s="88" t="n"/>
      <c r="V1609" s="89" t="n"/>
      <c r="W1609" s="88" t="n"/>
      <c r="X1609" s="89" t="n"/>
      <c r="Y1609" s="88" t="n"/>
      <c r="Z1609" s="89" t="n"/>
      <c r="AB1609" s="30">
        <f>IF($B1609="","",(COUNTIF(C1609:E1609,"?*")&lt;N(INDEX(Setup!$L$6:$L$23,2)))+(COUNTIF(G1609:I1609,"?*")&lt;N(INDEX(Setup!$L$6:$L$23,2)))+(COUNTIF(K1609:M1609,"?*")&lt;N(INDEX(Setup!$L$6:$L$23,2)))+(COUNTIF(O1609:Q1609,"?*")&lt;N(INDEX(Setup!$L$6:$L$23,2)))+(COUNTIF(S1609:U1609,"?*")&lt;N(INDEX(Setup!$L$6:$L$23,2)))+((W1609="")*(INDEX(Setup!$M$6:$M$23,2)="Y"))+((Y1609="")*(INDEX(Setup!$M$6:$M$23,2)="Y")))</f>
        <v/>
      </c>
      <c r="AC1609" s="91">
        <f>IF($B1609="","",IF(AB1609=0,"✓ covered","⚠ "&amp;AB1609&amp;IF(AB1609=1," gap"," gaps")))</f>
        <v/>
      </c>
    </row>
    <row r="1610" ht="17" customHeight="1">
      <c r="A1610" t="n">
        <v>33</v>
      </c>
      <c r="B1610" s="24">
        <f>IF(Setup!$K$8="","",Setup!$K$8)</f>
        <v/>
      </c>
      <c r="C1610" s="88" t="n"/>
      <c r="D1610" s="88" t="n"/>
      <c r="E1610" s="88" t="n"/>
      <c r="F1610" s="89" t="n"/>
      <c r="G1610" s="88" t="n"/>
      <c r="H1610" s="88" t="n"/>
      <c r="I1610" s="88" t="n"/>
      <c r="J1610" s="89" t="n"/>
      <c r="K1610" s="88" t="n"/>
      <c r="L1610" s="88" t="n"/>
      <c r="M1610" s="88" t="n"/>
      <c r="N1610" s="89" t="n"/>
      <c r="O1610" s="88" t="n"/>
      <c r="P1610" s="88" t="n"/>
      <c r="Q1610" s="88" t="n"/>
      <c r="R1610" s="89" t="n"/>
      <c r="S1610" s="88" t="n"/>
      <c r="T1610" s="88" t="n"/>
      <c r="U1610" s="88" t="n"/>
      <c r="V1610" s="89" t="n"/>
      <c r="W1610" s="88" t="n"/>
      <c r="X1610" s="89" t="n"/>
      <c r="Y1610" s="88" t="n"/>
      <c r="Z1610" s="89" t="n"/>
      <c r="AB1610" s="25">
        <f>IF($B1610="","",(COUNTIF(C1610:E1610,"?*")&lt;N(INDEX(Setup!$L$6:$L$23,3)))+(COUNTIF(G1610:I1610,"?*")&lt;N(INDEX(Setup!$L$6:$L$23,3)))+(COUNTIF(K1610:M1610,"?*")&lt;N(INDEX(Setup!$L$6:$L$23,3)))+(COUNTIF(O1610:Q1610,"?*")&lt;N(INDEX(Setup!$L$6:$L$23,3)))+(COUNTIF(S1610:U1610,"?*")&lt;N(INDEX(Setup!$L$6:$L$23,3)))+((W1610="")*(INDEX(Setup!$M$6:$M$23,3)="Y"))+((Y1610="")*(INDEX(Setup!$M$6:$M$23,3)="Y")))</f>
        <v/>
      </c>
      <c r="AC1610" s="90">
        <f>IF($B1610="","",IF(AB1610=0,"✓ covered","⚠ "&amp;AB1610&amp;IF(AB1610=1," gap"," gaps")))</f>
        <v/>
      </c>
    </row>
    <row r="1611" ht="17" customHeight="1">
      <c r="A1611" t="n">
        <v>33</v>
      </c>
      <c r="B1611" s="29">
        <f>IF(Setup!$K$9="","",Setup!$K$9)</f>
        <v/>
      </c>
      <c r="C1611" s="88" t="n"/>
      <c r="D1611" s="88" t="n"/>
      <c r="E1611" s="88" t="n"/>
      <c r="F1611" s="89" t="n"/>
      <c r="G1611" s="88" t="n"/>
      <c r="H1611" s="88" t="n"/>
      <c r="I1611" s="88" t="n"/>
      <c r="J1611" s="89" t="n"/>
      <c r="K1611" s="88" t="n"/>
      <c r="L1611" s="88" t="n"/>
      <c r="M1611" s="88" t="n"/>
      <c r="N1611" s="89" t="n"/>
      <c r="O1611" s="88" t="n"/>
      <c r="P1611" s="88" t="n"/>
      <c r="Q1611" s="88" t="n"/>
      <c r="R1611" s="89" t="n"/>
      <c r="S1611" s="88" t="n"/>
      <c r="T1611" s="88" t="n"/>
      <c r="U1611" s="88" t="n"/>
      <c r="V1611" s="89" t="n"/>
      <c r="W1611" s="88" t="n"/>
      <c r="X1611" s="89" t="n"/>
      <c r="Y1611" s="88" t="n"/>
      <c r="Z1611" s="89" t="n"/>
      <c r="AB1611" s="30">
        <f>IF($B1611="","",(COUNTIF(C1611:E1611,"?*")&lt;N(INDEX(Setup!$L$6:$L$23,4)))+(COUNTIF(G1611:I1611,"?*")&lt;N(INDEX(Setup!$L$6:$L$23,4)))+(COUNTIF(K1611:M1611,"?*")&lt;N(INDEX(Setup!$L$6:$L$23,4)))+(COUNTIF(O1611:Q1611,"?*")&lt;N(INDEX(Setup!$L$6:$L$23,4)))+(COUNTIF(S1611:U1611,"?*")&lt;N(INDEX(Setup!$L$6:$L$23,4)))+((W1611="")*(INDEX(Setup!$M$6:$M$23,4)="Y"))+((Y1611="")*(INDEX(Setup!$M$6:$M$23,4)="Y")))</f>
        <v/>
      </c>
      <c r="AC1611" s="91">
        <f>IF($B1611="","",IF(AB1611=0,"✓ covered","⚠ "&amp;AB1611&amp;IF(AB1611=1," gap"," gaps")))</f>
        <v/>
      </c>
    </row>
    <row r="1612" ht="17" customHeight="1">
      <c r="A1612" t="n">
        <v>33</v>
      </c>
      <c r="B1612" s="24">
        <f>IF(Setup!$K$10="","",Setup!$K$10)</f>
        <v/>
      </c>
      <c r="C1612" s="88" t="n"/>
      <c r="D1612" s="88" t="n"/>
      <c r="E1612" s="88" t="n"/>
      <c r="F1612" s="89" t="n"/>
      <c r="G1612" s="88" t="n"/>
      <c r="H1612" s="88" t="n"/>
      <c r="I1612" s="88" t="n"/>
      <c r="J1612" s="89" t="n"/>
      <c r="K1612" s="88" t="n"/>
      <c r="L1612" s="88" t="n"/>
      <c r="M1612" s="88" t="n"/>
      <c r="N1612" s="89" t="n"/>
      <c r="O1612" s="88" t="n"/>
      <c r="P1612" s="88" t="n"/>
      <c r="Q1612" s="88" t="n"/>
      <c r="R1612" s="89" t="n"/>
      <c r="S1612" s="88" t="n"/>
      <c r="T1612" s="88" t="n"/>
      <c r="U1612" s="88" t="n"/>
      <c r="V1612" s="89" t="n"/>
      <c r="W1612" s="88" t="n"/>
      <c r="X1612" s="89" t="n"/>
      <c r="Y1612" s="88" t="n"/>
      <c r="Z1612" s="89" t="n"/>
      <c r="AB1612" s="25">
        <f>IF($B1612="","",(COUNTIF(C1612:E1612,"?*")&lt;N(INDEX(Setup!$L$6:$L$23,5)))+(COUNTIF(G1612:I1612,"?*")&lt;N(INDEX(Setup!$L$6:$L$23,5)))+(COUNTIF(K1612:M1612,"?*")&lt;N(INDEX(Setup!$L$6:$L$23,5)))+(COUNTIF(O1612:Q1612,"?*")&lt;N(INDEX(Setup!$L$6:$L$23,5)))+(COUNTIF(S1612:U1612,"?*")&lt;N(INDEX(Setup!$L$6:$L$23,5)))+((W1612="")*(INDEX(Setup!$M$6:$M$23,5)="Y"))+((Y1612="")*(INDEX(Setup!$M$6:$M$23,5)="Y")))</f>
        <v/>
      </c>
      <c r="AC1612" s="90">
        <f>IF($B1612="","",IF(AB1612=0,"✓ covered","⚠ "&amp;AB1612&amp;IF(AB1612=1," gap"," gaps")))</f>
        <v/>
      </c>
    </row>
    <row r="1613" ht="17" customHeight="1">
      <c r="A1613" t="n">
        <v>33</v>
      </c>
      <c r="B1613" s="29">
        <f>IF(Setup!$K$11="","",Setup!$K$11)</f>
        <v/>
      </c>
      <c r="C1613" s="88" t="n"/>
      <c r="D1613" s="88" t="n"/>
      <c r="E1613" s="88" t="n"/>
      <c r="F1613" s="89" t="n"/>
      <c r="G1613" s="88" t="n"/>
      <c r="H1613" s="88" t="n"/>
      <c r="I1613" s="88" t="n"/>
      <c r="J1613" s="89" t="n"/>
      <c r="K1613" s="88" t="n"/>
      <c r="L1613" s="88" t="n"/>
      <c r="M1613" s="88" t="n"/>
      <c r="N1613" s="89" t="n"/>
      <c r="O1613" s="88" t="n"/>
      <c r="P1613" s="88" t="n"/>
      <c r="Q1613" s="88" t="n"/>
      <c r="R1613" s="89" t="n"/>
      <c r="S1613" s="88" t="n"/>
      <c r="T1613" s="88" t="n"/>
      <c r="U1613" s="88" t="n"/>
      <c r="V1613" s="89" t="n"/>
      <c r="W1613" s="88" t="n"/>
      <c r="X1613" s="89" t="n"/>
      <c r="Y1613" s="88" t="n"/>
      <c r="Z1613" s="89" t="n"/>
      <c r="AB1613" s="30">
        <f>IF($B1613="","",(COUNTIF(C1613:E1613,"?*")&lt;N(INDEX(Setup!$L$6:$L$23,6)))+(COUNTIF(G1613:I1613,"?*")&lt;N(INDEX(Setup!$L$6:$L$23,6)))+(COUNTIF(K1613:M1613,"?*")&lt;N(INDEX(Setup!$L$6:$L$23,6)))+(COUNTIF(O1613:Q1613,"?*")&lt;N(INDEX(Setup!$L$6:$L$23,6)))+(COUNTIF(S1613:U1613,"?*")&lt;N(INDEX(Setup!$L$6:$L$23,6)))+((W1613="")*(INDEX(Setup!$M$6:$M$23,6)="Y"))+((Y1613="")*(INDEX(Setup!$M$6:$M$23,6)="Y")))</f>
        <v/>
      </c>
      <c r="AC1613" s="91">
        <f>IF($B1613="","",IF(AB1613=0,"✓ covered","⚠ "&amp;AB1613&amp;IF(AB1613=1," gap"," gaps")))</f>
        <v/>
      </c>
    </row>
    <row r="1614" ht="17" customHeight="1">
      <c r="A1614" t="n">
        <v>33</v>
      </c>
      <c r="B1614" s="24">
        <f>IF(Setup!$K$12="","",Setup!$K$12)</f>
        <v/>
      </c>
      <c r="C1614" s="88" t="n"/>
      <c r="D1614" s="88" t="n"/>
      <c r="E1614" s="88" t="n"/>
      <c r="F1614" s="89" t="n"/>
      <c r="G1614" s="88" t="n"/>
      <c r="H1614" s="88" t="n"/>
      <c r="I1614" s="88" t="n"/>
      <c r="J1614" s="89" t="n"/>
      <c r="K1614" s="88" t="n"/>
      <c r="L1614" s="88" t="n"/>
      <c r="M1614" s="88" t="n"/>
      <c r="N1614" s="89" t="n"/>
      <c r="O1614" s="88" t="n"/>
      <c r="P1614" s="88" t="n"/>
      <c r="Q1614" s="88" t="n"/>
      <c r="R1614" s="89" t="n"/>
      <c r="S1614" s="88" t="n"/>
      <c r="T1614" s="88" t="n"/>
      <c r="U1614" s="88" t="n"/>
      <c r="V1614" s="89" t="n"/>
      <c r="W1614" s="88" t="n"/>
      <c r="X1614" s="89" t="n"/>
      <c r="Y1614" s="88" t="n"/>
      <c r="Z1614" s="89" t="n"/>
      <c r="AB1614" s="25">
        <f>IF($B1614="","",(COUNTIF(C1614:E1614,"?*")&lt;N(INDEX(Setup!$L$6:$L$23,7)))+(COUNTIF(G1614:I1614,"?*")&lt;N(INDEX(Setup!$L$6:$L$23,7)))+(COUNTIF(K1614:M1614,"?*")&lt;N(INDEX(Setup!$L$6:$L$23,7)))+(COUNTIF(O1614:Q1614,"?*")&lt;N(INDEX(Setup!$L$6:$L$23,7)))+(COUNTIF(S1614:U1614,"?*")&lt;N(INDEX(Setup!$L$6:$L$23,7)))+((W1614="")*(INDEX(Setup!$M$6:$M$23,7)="Y"))+((Y1614="")*(INDEX(Setup!$M$6:$M$23,7)="Y")))</f>
        <v/>
      </c>
      <c r="AC1614" s="90">
        <f>IF($B1614="","",IF(AB1614=0,"✓ covered","⚠ "&amp;AB1614&amp;IF(AB1614=1," gap"," gaps")))</f>
        <v/>
      </c>
    </row>
    <row r="1615" ht="17" customHeight="1">
      <c r="A1615" t="n">
        <v>33</v>
      </c>
      <c r="B1615" s="29">
        <f>IF(Setup!$K$13="","",Setup!$K$13)</f>
        <v/>
      </c>
      <c r="C1615" s="88" t="n"/>
      <c r="D1615" s="88" t="n"/>
      <c r="E1615" s="88" t="n"/>
      <c r="F1615" s="89" t="n"/>
      <c r="G1615" s="88" t="n"/>
      <c r="H1615" s="88" t="n"/>
      <c r="I1615" s="88" t="n"/>
      <c r="J1615" s="89" t="n"/>
      <c r="K1615" s="88" t="n"/>
      <c r="L1615" s="88" t="n"/>
      <c r="M1615" s="88" t="n"/>
      <c r="N1615" s="89" t="n"/>
      <c r="O1615" s="88" t="n"/>
      <c r="P1615" s="88" t="n"/>
      <c r="Q1615" s="88" t="n"/>
      <c r="R1615" s="89" t="n"/>
      <c r="S1615" s="88" t="n"/>
      <c r="T1615" s="88" t="n"/>
      <c r="U1615" s="88" t="n"/>
      <c r="V1615" s="89" t="n"/>
      <c r="W1615" s="88" t="n"/>
      <c r="X1615" s="89" t="n"/>
      <c r="Y1615" s="88" t="n"/>
      <c r="Z1615" s="89" t="n"/>
      <c r="AB1615" s="30">
        <f>IF($B1615="","",(COUNTIF(C1615:E1615,"?*")&lt;N(INDEX(Setup!$L$6:$L$23,8)))+(COUNTIF(G1615:I1615,"?*")&lt;N(INDEX(Setup!$L$6:$L$23,8)))+(COUNTIF(K1615:M1615,"?*")&lt;N(INDEX(Setup!$L$6:$L$23,8)))+(COUNTIF(O1615:Q1615,"?*")&lt;N(INDEX(Setup!$L$6:$L$23,8)))+(COUNTIF(S1615:U1615,"?*")&lt;N(INDEX(Setup!$L$6:$L$23,8)))+((W1615="")*(INDEX(Setup!$M$6:$M$23,8)="Y"))+((Y1615="")*(INDEX(Setup!$M$6:$M$23,8)="Y")))</f>
        <v/>
      </c>
      <c r="AC1615" s="91">
        <f>IF($B1615="","",IF(AB1615=0,"✓ covered","⚠ "&amp;AB1615&amp;IF(AB1615=1," gap"," gaps")))</f>
        <v/>
      </c>
    </row>
    <row r="1616" ht="17" customHeight="1">
      <c r="A1616" t="n">
        <v>33</v>
      </c>
      <c r="B1616" s="24">
        <f>IF(Setup!$K$14="","",Setup!$K$14)</f>
        <v/>
      </c>
      <c r="C1616" s="88" t="n"/>
      <c r="D1616" s="88" t="n"/>
      <c r="E1616" s="88" t="n"/>
      <c r="F1616" s="89" t="n"/>
      <c r="G1616" s="88" t="n"/>
      <c r="H1616" s="88" t="n"/>
      <c r="I1616" s="88" t="n"/>
      <c r="J1616" s="89" t="n"/>
      <c r="K1616" s="88" t="n"/>
      <c r="L1616" s="88" t="n"/>
      <c r="M1616" s="88" t="n"/>
      <c r="N1616" s="89" t="n"/>
      <c r="O1616" s="88" t="n"/>
      <c r="P1616" s="88" t="n"/>
      <c r="Q1616" s="88" t="n"/>
      <c r="R1616" s="89" t="n"/>
      <c r="S1616" s="88" t="n"/>
      <c r="T1616" s="88" t="n"/>
      <c r="U1616" s="88" t="n"/>
      <c r="V1616" s="89" t="n"/>
      <c r="W1616" s="88" t="n"/>
      <c r="X1616" s="89" t="n"/>
      <c r="Y1616" s="88" t="n"/>
      <c r="Z1616" s="89" t="n"/>
      <c r="AB1616" s="25">
        <f>IF($B1616="","",(COUNTIF(C1616:E1616,"?*")&lt;N(INDEX(Setup!$L$6:$L$23,9)))+(COUNTIF(G1616:I1616,"?*")&lt;N(INDEX(Setup!$L$6:$L$23,9)))+(COUNTIF(K1616:M1616,"?*")&lt;N(INDEX(Setup!$L$6:$L$23,9)))+(COUNTIF(O1616:Q1616,"?*")&lt;N(INDEX(Setup!$L$6:$L$23,9)))+(COUNTIF(S1616:U1616,"?*")&lt;N(INDEX(Setup!$L$6:$L$23,9)))+((W1616="")*(INDEX(Setup!$M$6:$M$23,9)="Y"))+((Y1616="")*(INDEX(Setup!$M$6:$M$23,9)="Y")))</f>
        <v/>
      </c>
      <c r="AC1616" s="90">
        <f>IF($B1616="","",IF(AB1616=0,"✓ covered","⚠ "&amp;AB1616&amp;IF(AB1616=1," gap"," gaps")))</f>
        <v/>
      </c>
    </row>
    <row r="1617" ht="17" customHeight="1">
      <c r="A1617" t="n">
        <v>33</v>
      </c>
      <c r="B1617" s="29">
        <f>IF(Setup!$K$15="","",Setup!$K$15)</f>
        <v/>
      </c>
      <c r="C1617" s="88" t="n"/>
      <c r="D1617" s="88" t="n"/>
      <c r="E1617" s="88" t="n"/>
      <c r="F1617" s="89" t="n"/>
      <c r="G1617" s="88" t="n"/>
      <c r="H1617" s="88" t="n"/>
      <c r="I1617" s="88" t="n"/>
      <c r="J1617" s="89" t="n"/>
      <c r="K1617" s="88" t="n"/>
      <c r="L1617" s="88" t="n"/>
      <c r="M1617" s="88" t="n"/>
      <c r="N1617" s="89" t="n"/>
      <c r="O1617" s="88" t="n"/>
      <c r="P1617" s="88" t="n"/>
      <c r="Q1617" s="88" t="n"/>
      <c r="R1617" s="89" t="n"/>
      <c r="S1617" s="88" t="n"/>
      <c r="T1617" s="88" t="n"/>
      <c r="U1617" s="88" t="n"/>
      <c r="V1617" s="89" t="n"/>
      <c r="W1617" s="88" t="n"/>
      <c r="X1617" s="89" t="n"/>
      <c r="Y1617" s="88" t="n"/>
      <c r="Z1617" s="89" t="n"/>
      <c r="AB1617" s="30">
        <f>IF($B1617="","",(COUNTIF(C1617:E1617,"?*")&lt;N(INDEX(Setup!$L$6:$L$23,10)))+(COUNTIF(G1617:I1617,"?*")&lt;N(INDEX(Setup!$L$6:$L$23,10)))+(COUNTIF(K1617:M1617,"?*")&lt;N(INDEX(Setup!$L$6:$L$23,10)))+(COUNTIF(O1617:Q1617,"?*")&lt;N(INDEX(Setup!$L$6:$L$23,10)))+(COUNTIF(S1617:U1617,"?*")&lt;N(INDEX(Setup!$L$6:$L$23,10)))+((W1617="")*(INDEX(Setup!$M$6:$M$23,10)="Y"))+((Y1617="")*(INDEX(Setup!$M$6:$M$23,10)="Y")))</f>
        <v/>
      </c>
      <c r="AC1617" s="91">
        <f>IF($B1617="","",IF(AB1617=0,"✓ covered","⚠ "&amp;AB1617&amp;IF(AB1617=1," gap"," gaps")))</f>
        <v/>
      </c>
    </row>
    <row r="1618" ht="17" customHeight="1">
      <c r="A1618" t="n">
        <v>33</v>
      </c>
      <c r="B1618" s="24">
        <f>IF(Setup!$K$16="","",Setup!$K$16)</f>
        <v/>
      </c>
      <c r="C1618" s="88" t="n"/>
      <c r="D1618" s="88" t="n"/>
      <c r="E1618" s="88" t="n"/>
      <c r="F1618" s="89" t="n"/>
      <c r="G1618" s="88" t="n"/>
      <c r="H1618" s="88" t="n"/>
      <c r="I1618" s="88" t="n"/>
      <c r="J1618" s="89" t="n"/>
      <c r="K1618" s="88" t="n"/>
      <c r="L1618" s="88" t="n"/>
      <c r="M1618" s="88" t="n"/>
      <c r="N1618" s="89" t="n"/>
      <c r="O1618" s="88" t="n"/>
      <c r="P1618" s="88" t="n"/>
      <c r="Q1618" s="88" t="n"/>
      <c r="R1618" s="89" t="n"/>
      <c r="S1618" s="88" t="n"/>
      <c r="T1618" s="88" t="n"/>
      <c r="U1618" s="88" t="n"/>
      <c r="V1618" s="89" t="n"/>
      <c r="W1618" s="88" t="n"/>
      <c r="X1618" s="89" t="n"/>
      <c r="Y1618" s="88" t="n"/>
      <c r="Z1618" s="89" t="n"/>
      <c r="AB1618" s="25">
        <f>IF($B1618="","",(COUNTIF(C1618:E1618,"?*")&lt;N(INDEX(Setup!$L$6:$L$23,11)))+(COUNTIF(G1618:I1618,"?*")&lt;N(INDEX(Setup!$L$6:$L$23,11)))+(COUNTIF(K1618:M1618,"?*")&lt;N(INDEX(Setup!$L$6:$L$23,11)))+(COUNTIF(O1618:Q1618,"?*")&lt;N(INDEX(Setup!$L$6:$L$23,11)))+(COUNTIF(S1618:U1618,"?*")&lt;N(INDEX(Setup!$L$6:$L$23,11)))+((W1618="")*(INDEX(Setup!$M$6:$M$23,11)="Y"))+((Y1618="")*(INDEX(Setup!$M$6:$M$23,11)="Y")))</f>
        <v/>
      </c>
      <c r="AC1618" s="90">
        <f>IF($B1618="","",IF(AB1618=0,"✓ covered","⚠ "&amp;AB1618&amp;IF(AB1618=1," gap"," gaps")))</f>
        <v/>
      </c>
    </row>
    <row r="1619" ht="17" customHeight="1">
      <c r="A1619" t="n">
        <v>33</v>
      </c>
      <c r="B1619" s="29">
        <f>IF(Setup!$K$17="","",Setup!$K$17)</f>
        <v/>
      </c>
      <c r="C1619" s="88" t="n"/>
      <c r="D1619" s="88" t="n"/>
      <c r="E1619" s="88" t="n"/>
      <c r="F1619" s="89" t="n"/>
      <c r="G1619" s="88" t="n"/>
      <c r="H1619" s="88" t="n"/>
      <c r="I1619" s="88" t="n"/>
      <c r="J1619" s="89" t="n"/>
      <c r="K1619" s="88" t="n"/>
      <c r="L1619" s="88" t="n"/>
      <c r="M1619" s="88" t="n"/>
      <c r="N1619" s="89" t="n"/>
      <c r="O1619" s="88" t="n"/>
      <c r="P1619" s="88" t="n"/>
      <c r="Q1619" s="88" t="n"/>
      <c r="R1619" s="89" t="n"/>
      <c r="S1619" s="88" t="n"/>
      <c r="T1619" s="88" t="n"/>
      <c r="U1619" s="88" t="n"/>
      <c r="V1619" s="89" t="n"/>
      <c r="W1619" s="88" t="n"/>
      <c r="X1619" s="89" t="n"/>
      <c r="Y1619" s="88" t="n"/>
      <c r="Z1619" s="89" t="n"/>
      <c r="AB1619" s="30">
        <f>IF($B1619="","",(COUNTIF(C1619:E1619,"?*")&lt;N(INDEX(Setup!$L$6:$L$23,12)))+(COUNTIF(G1619:I1619,"?*")&lt;N(INDEX(Setup!$L$6:$L$23,12)))+(COUNTIF(K1619:M1619,"?*")&lt;N(INDEX(Setup!$L$6:$L$23,12)))+(COUNTIF(O1619:Q1619,"?*")&lt;N(INDEX(Setup!$L$6:$L$23,12)))+(COUNTIF(S1619:U1619,"?*")&lt;N(INDEX(Setup!$L$6:$L$23,12)))+((W1619="")*(INDEX(Setup!$M$6:$M$23,12)="Y"))+((Y1619="")*(INDEX(Setup!$M$6:$M$23,12)="Y")))</f>
        <v/>
      </c>
      <c r="AC1619" s="91">
        <f>IF($B1619="","",IF(AB1619=0,"✓ covered","⚠ "&amp;AB1619&amp;IF(AB1619=1," gap"," gaps")))</f>
        <v/>
      </c>
    </row>
    <row r="1620" ht="17" customHeight="1">
      <c r="A1620" t="n">
        <v>33</v>
      </c>
      <c r="B1620" s="24">
        <f>IF(Setup!$K$18="","",Setup!$K$18)</f>
        <v/>
      </c>
      <c r="C1620" s="88" t="n"/>
      <c r="D1620" s="88" t="n"/>
      <c r="E1620" s="88" t="n"/>
      <c r="F1620" s="89" t="n"/>
      <c r="G1620" s="88" t="n"/>
      <c r="H1620" s="88" t="n"/>
      <c r="I1620" s="88" t="n"/>
      <c r="J1620" s="89" t="n"/>
      <c r="K1620" s="88" t="n"/>
      <c r="L1620" s="88" t="n"/>
      <c r="M1620" s="88" t="n"/>
      <c r="N1620" s="89" t="n"/>
      <c r="O1620" s="88" t="n"/>
      <c r="P1620" s="88" t="n"/>
      <c r="Q1620" s="88" t="n"/>
      <c r="R1620" s="89" t="n"/>
      <c r="S1620" s="88" t="n"/>
      <c r="T1620" s="88" t="n"/>
      <c r="U1620" s="88" t="n"/>
      <c r="V1620" s="89" t="n"/>
      <c r="W1620" s="88" t="n"/>
      <c r="X1620" s="89" t="n"/>
      <c r="Y1620" s="88" t="n"/>
      <c r="Z1620" s="89" t="n"/>
      <c r="AB1620" s="25">
        <f>IF($B1620="","",(COUNTIF(C1620:E1620,"?*")&lt;N(INDEX(Setup!$L$6:$L$23,13)))+(COUNTIF(G1620:I1620,"?*")&lt;N(INDEX(Setup!$L$6:$L$23,13)))+(COUNTIF(K1620:M1620,"?*")&lt;N(INDEX(Setup!$L$6:$L$23,13)))+(COUNTIF(O1620:Q1620,"?*")&lt;N(INDEX(Setup!$L$6:$L$23,13)))+(COUNTIF(S1620:U1620,"?*")&lt;N(INDEX(Setup!$L$6:$L$23,13)))+((W1620="")*(INDEX(Setup!$M$6:$M$23,13)="Y"))+((Y1620="")*(INDEX(Setup!$M$6:$M$23,13)="Y")))</f>
        <v/>
      </c>
      <c r="AC1620" s="90">
        <f>IF($B1620="","",IF(AB1620=0,"✓ covered","⚠ "&amp;AB1620&amp;IF(AB1620=1," gap"," gaps")))</f>
        <v/>
      </c>
    </row>
    <row r="1621" ht="17" customHeight="1">
      <c r="A1621" t="n">
        <v>33</v>
      </c>
      <c r="B1621" s="29">
        <f>IF(Setup!$K$19="","",Setup!$K$19)</f>
        <v/>
      </c>
      <c r="C1621" s="88" t="n"/>
      <c r="D1621" s="88" t="n"/>
      <c r="E1621" s="88" t="n"/>
      <c r="F1621" s="89" t="n"/>
      <c r="G1621" s="88" t="n"/>
      <c r="H1621" s="88" t="n"/>
      <c r="I1621" s="88" t="n"/>
      <c r="J1621" s="89" t="n"/>
      <c r="K1621" s="88" t="n"/>
      <c r="L1621" s="88" t="n"/>
      <c r="M1621" s="88" t="n"/>
      <c r="N1621" s="89" t="n"/>
      <c r="O1621" s="88" t="n"/>
      <c r="P1621" s="88" t="n"/>
      <c r="Q1621" s="88" t="n"/>
      <c r="R1621" s="89" t="n"/>
      <c r="S1621" s="88" t="n"/>
      <c r="T1621" s="88" t="n"/>
      <c r="U1621" s="88" t="n"/>
      <c r="V1621" s="89" t="n"/>
      <c r="W1621" s="88" t="n"/>
      <c r="X1621" s="89" t="n"/>
      <c r="Y1621" s="88" t="n"/>
      <c r="Z1621" s="89" t="n"/>
      <c r="AB1621" s="30">
        <f>IF($B1621="","",(COUNTIF(C1621:E1621,"?*")&lt;N(INDEX(Setup!$L$6:$L$23,14)))+(COUNTIF(G1621:I1621,"?*")&lt;N(INDEX(Setup!$L$6:$L$23,14)))+(COUNTIF(K1621:M1621,"?*")&lt;N(INDEX(Setup!$L$6:$L$23,14)))+(COUNTIF(O1621:Q1621,"?*")&lt;N(INDEX(Setup!$L$6:$L$23,14)))+(COUNTIF(S1621:U1621,"?*")&lt;N(INDEX(Setup!$L$6:$L$23,14)))+((W1621="")*(INDEX(Setup!$M$6:$M$23,14)="Y"))+((Y1621="")*(INDEX(Setup!$M$6:$M$23,14)="Y")))</f>
        <v/>
      </c>
      <c r="AC1621" s="91">
        <f>IF($B1621="","",IF(AB1621=0,"✓ covered","⚠ "&amp;AB1621&amp;IF(AB1621=1," gap"," gaps")))</f>
        <v/>
      </c>
    </row>
    <row r="1622" ht="17" customHeight="1">
      <c r="A1622" t="n">
        <v>33</v>
      </c>
      <c r="B1622" s="24">
        <f>IF(Setup!$K$20="","",Setup!$K$20)</f>
        <v/>
      </c>
      <c r="C1622" s="88" t="n"/>
      <c r="D1622" s="88" t="n"/>
      <c r="E1622" s="88" t="n"/>
      <c r="F1622" s="89" t="n"/>
      <c r="G1622" s="88" t="n"/>
      <c r="H1622" s="88" t="n"/>
      <c r="I1622" s="88" t="n"/>
      <c r="J1622" s="89" t="n"/>
      <c r="K1622" s="88" t="n"/>
      <c r="L1622" s="88" t="n"/>
      <c r="M1622" s="88" t="n"/>
      <c r="N1622" s="89" t="n"/>
      <c r="O1622" s="88" t="n"/>
      <c r="P1622" s="88" t="n"/>
      <c r="Q1622" s="88" t="n"/>
      <c r="R1622" s="89" t="n"/>
      <c r="S1622" s="88" t="n"/>
      <c r="T1622" s="88" t="n"/>
      <c r="U1622" s="88" t="n"/>
      <c r="V1622" s="89" t="n"/>
      <c r="W1622" s="88" t="n"/>
      <c r="X1622" s="89" t="n"/>
      <c r="Y1622" s="88" t="n"/>
      <c r="Z1622" s="89" t="n"/>
      <c r="AB1622" s="25">
        <f>IF($B1622="","",(COUNTIF(C1622:E1622,"?*")&lt;N(INDEX(Setup!$L$6:$L$23,15)))+(COUNTIF(G1622:I1622,"?*")&lt;N(INDEX(Setup!$L$6:$L$23,15)))+(COUNTIF(K1622:M1622,"?*")&lt;N(INDEX(Setup!$L$6:$L$23,15)))+(COUNTIF(O1622:Q1622,"?*")&lt;N(INDEX(Setup!$L$6:$L$23,15)))+(COUNTIF(S1622:U1622,"?*")&lt;N(INDEX(Setup!$L$6:$L$23,15)))+((W1622="")*(INDEX(Setup!$M$6:$M$23,15)="Y"))+((Y1622="")*(INDEX(Setup!$M$6:$M$23,15)="Y")))</f>
        <v/>
      </c>
      <c r="AC1622" s="90">
        <f>IF($B1622="","",IF(AB1622=0,"✓ covered","⚠ "&amp;AB1622&amp;IF(AB1622=1," gap"," gaps")))</f>
        <v/>
      </c>
    </row>
    <row r="1623" ht="17" customHeight="1">
      <c r="A1623" t="n">
        <v>33</v>
      </c>
      <c r="B1623" s="29">
        <f>IF(Setup!$K$21="","",Setup!$K$21)</f>
        <v/>
      </c>
      <c r="C1623" s="88" t="n"/>
      <c r="D1623" s="88" t="n"/>
      <c r="E1623" s="88" t="n"/>
      <c r="F1623" s="89" t="n"/>
      <c r="G1623" s="88" t="n"/>
      <c r="H1623" s="88" t="n"/>
      <c r="I1623" s="88" t="n"/>
      <c r="J1623" s="89" t="n"/>
      <c r="K1623" s="88" t="n"/>
      <c r="L1623" s="88" t="n"/>
      <c r="M1623" s="88" t="n"/>
      <c r="N1623" s="89" t="n"/>
      <c r="O1623" s="88" t="n"/>
      <c r="P1623" s="88" t="n"/>
      <c r="Q1623" s="88" t="n"/>
      <c r="R1623" s="89" t="n"/>
      <c r="S1623" s="88" t="n"/>
      <c r="T1623" s="88" t="n"/>
      <c r="U1623" s="88" t="n"/>
      <c r="V1623" s="89" t="n"/>
      <c r="W1623" s="88" t="n"/>
      <c r="X1623" s="89" t="n"/>
      <c r="Y1623" s="88" t="n"/>
      <c r="Z1623" s="89" t="n"/>
      <c r="AB1623" s="30">
        <f>IF($B1623="","",(COUNTIF(C1623:E1623,"?*")&lt;N(INDEX(Setup!$L$6:$L$23,16)))+(COUNTIF(G1623:I1623,"?*")&lt;N(INDEX(Setup!$L$6:$L$23,16)))+(COUNTIF(K1623:M1623,"?*")&lt;N(INDEX(Setup!$L$6:$L$23,16)))+(COUNTIF(O1623:Q1623,"?*")&lt;N(INDEX(Setup!$L$6:$L$23,16)))+(COUNTIF(S1623:U1623,"?*")&lt;N(INDEX(Setup!$L$6:$L$23,16)))+((W1623="")*(INDEX(Setup!$M$6:$M$23,16)="Y"))+((Y1623="")*(INDEX(Setup!$M$6:$M$23,16)="Y")))</f>
        <v/>
      </c>
      <c r="AC1623" s="91">
        <f>IF($B1623="","",IF(AB1623=0,"✓ covered","⚠ "&amp;AB1623&amp;IF(AB1623=1," gap"," gaps")))</f>
        <v/>
      </c>
    </row>
    <row r="1624" ht="17" customHeight="1">
      <c r="A1624" t="n">
        <v>33</v>
      </c>
      <c r="B1624" s="24">
        <f>IF(Setup!$K$22="","",Setup!$K$22)</f>
        <v/>
      </c>
      <c r="C1624" s="88" t="n"/>
      <c r="D1624" s="88" t="n"/>
      <c r="E1624" s="88" t="n"/>
      <c r="F1624" s="89" t="n"/>
      <c r="G1624" s="88" t="n"/>
      <c r="H1624" s="88" t="n"/>
      <c r="I1624" s="88" t="n"/>
      <c r="J1624" s="89" t="n"/>
      <c r="K1624" s="88" t="n"/>
      <c r="L1624" s="88" t="n"/>
      <c r="M1624" s="88" t="n"/>
      <c r="N1624" s="89" t="n"/>
      <c r="O1624" s="88" t="n"/>
      <c r="P1624" s="88" t="n"/>
      <c r="Q1624" s="88" t="n"/>
      <c r="R1624" s="89" t="n"/>
      <c r="S1624" s="88" t="n"/>
      <c r="T1624" s="88" t="n"/>
      <c r="U1624" s="88" t="n"/>
      <c r="V1624" s="89" t="n"/>
      <c r="W1624" s="88" t="n"/>
      <c r="X1624" s="89" t="n"/>
      <c r="Y1624" s="88" t="n"/>
      <c r="Z1624" s="89" t="n"/>
      <c r="AB1624" s="25">
        <f>IF($B1624="","",(COUNTIF(C1624:E1624,"?*")&lt;N(INDEX(Setup!$L$6:$L$23,17)))+(COUNTIF(G1624:I1624,"?*")&lt;N(INDEX(Setup!$L$6:$L$23,17)))+(COUNTIF(K1624:M1624,"?*")&lt;N(INDEX(Setup!$L$6:$L$23,17)))+(COUNTIF(O1624:Q1624,"?*")&lt;N(INDEX(Setup!$L$6:$L$23,17)))+(COUNTIF(S1624:U1624,"?*")&lt;N(INDEX(Setup!$L$6:$L$23,17)))+((W1624="")*(INDEX(Setup!$M$6:$M$23,17)="Y"))+((Y1624="")*(INDEX(Setup!$M$6:$M$23,17)="Y")))</f>
        <v/>
      </c>
      <c r="AC1624" s="90">
        <f>IF($B1624="","",IF(AB1624=0,"✓ covered","⚠ "&amp;AB1624&amp;IF(AB1624=1," gap"," gaps")))</f>
        <v/>
      </c>
    </row>
    <row r="1625" ht="17" customHeight="1">
      <c r="A1625" t="n">
        <v>33</v>
      </c>
      <c r="B1625" s="29">
        <f>IF(Setup!$K$23="","",Setup!$K$23)</f>
        <v/>
      </c>
      <c r="C1625" s="88" t="n"/>
      <c r="D1625" s="88" t="n"/>
      <c r="E1625" s="88" t="n"/>
      <c r="F1625" s="89" t="n"/>
      <c r="G1625" s="88" t="n"/>
      <c r="H1625" s="88" t="n"/>
      <c r="I1625" s="88" t="n"/>
      <c r="J1625" s="89" t="n"/>
      <c r="K1625" s="88" t="n"/>
      <c r="L1625" s="88" t="n"/>
      <c r="M1625" s="88" t="n"/>
      <c r="N1625" s="89" t="n"/>
      <c r="O1625" s="88" t="n"/>
      <c r="P1625" s="88" t="n"/>
      <c r="Q1625" s="88" t="n"/>
      <c r="R1625" s="89" t="n"/>
      <c r="S1625" s="88" t="n"/>
      <c r="T1625" s="88" t="n"/>
      <c r="U1625" s="88" t="n"/>
      <c r="V1625" s="89" t="n"/>
      <c r="W1625" s="88" t="n"/>
      <c r="X1625" s="89" t="n"/>
      <c r="Y1625" s="88" t="n"/>
      <c r="Z1625" s="89" t="n"/>
      <c r="AB1625" s="30">
        <f>IF($B1625="","",(COUNTIF(C1625:E1625,"?*")&lt;N(INDEX(Setup!$L$6:$L$23,18)))+(COUNTIF(G1625:I1625,"?*")&lt;N(INDEX(Setup!$L$6:$L$23,18)))+(COUNTIF(K1625:M1625,"?*")&lt;N(INDEX(Setup!$L$6:$L$23,18)))+(COUNTIF(O1625:Q1625,"?*")&lt;N(INDEX(Setup!$L$6:$L$23,18)))+(COUNTIF(S1625:U1625,"?*")&lt;N(INDEX(Setup!$L$6:$L$23,18)))+((W1625="")*(INDEX(Setup!$M$6:$M$23,18)="Y"))+((Y1625="")*(INDEX(Setup!$M$6:$M$23,18)="Y")))</f>
        <v/>
      </c>
      <c r="AC1625" s="91">
        <f>IF($B1625="","",IF(AB1625=0,"✓ covered","⚠ "&amp;AB1625&amp;IF(AB1625=1," gap"," gaps")))</f>
        <v/>
      </c>
    </row>
    <row r="1626" ht="18" customHeight="1">
      <c r="A1626" t="n">
        <v>33</v>
      </c>
      <c r="B1626" s="78" t="inlineStr">
        <is>
          <t>TEAM AVAILABILITY</t>
        </is>
      </c>
      <c r="C1626" s="92" t="inlineStr">
        <is>
          <t>Mon</t>
        </is>
      </c>
      <c r="D1626" s="93" t="n"/>
      <c r="E1626" s="93" t="n"/>
      <c r="F1626" s="94" t="n"/>
      <c r="G1626" s="92" t="inlineStr">
        <is>
          <t>Tue</t>
        </is>
      </c>
      <c r="H1626" s="93" t="n"/>
      <c r="I1626" s="93" t="n"/>
      <c r="J1626" s="94" t="n"/>
      <c r="K1626" s="92" t="inlineStr">
        <is>
          <t>Wed</t>
        </is>
      </c>
      <c r="L1626" s="93" t="n"/>
      <c r="M1626" s="93" t="n"/>
      <c r="N1626" s="94" t="n"/>
      <c r="O1626" s="92" t="inlineStr">
        <is>
          <t>Thu</t>
        </is>
      </c>
      <c r="P1626" s="93" t="n"/>
      <c r="Q1626" s="93" t="n"/>
      <c r="R1626" s="94" t="n"/>
      <c r="S1626" s="92" t="inlineStr">
        <is>
          <t>Fri</t>
        </is>
      </c>
      <c r="T1626" s="93" t="n"/>
      <c r="U1626" s="93" t="n"/>
      <c r="V1626" s="94" t="n"/>
      <c r="W1626" s="95" t="inlineStr">
        <is>
          <t>Sat</t>
        </is>
      </c>
      <c r="X1626" s="96" t="n"/>
      <c r="Y1626" s="95" t="inlineStr">
        <is>
          <t>Sun</t>
        </is>
      </c>
      <c r="Z1626" s="96" t="n"/>
      <c r="AB1626" s="97" t="inlineStr">
        <is>
          <t>Days rostered</t>
        </is>
      </c>
      <c r="AC1626" s="97" t="inlineStr">
        <is>
          <t>Conflicts</t>
        </is>
      </c>
    </row>
    <row r="1627" ht="15" customHeight="1">
      <c r="A1627" t="n">
        <v>33</v>
      </c>
      <c r="B1627" s="35">
        <f>IF(Setup!$B$6="","",Setup!$B$6)</f>
        <v/>
      </c>
      <c r="C1627" s="98" t="n"/>
      <c r="D1627" s="99" t="n"/>
      <c r="E1627" s="99" t="n"/>
      <c r="F1627" s="100" t="n"/>
      <c r="G1627" s="98" t="n"/>
      <c r="H1627" s="99" t="n"/>
      <c r="I1627" s="99" t="n"/>
      <c r="J1627" s="100" t="n"/>
      <c r="K1627" s="98" t="n"/>
      <c r="L1627" s="99" t="n"/>
      <c r="M1627" s="99" t="n"/>
      <c r="N1627" s="100" t="n"/>
      <c r="O1627" s="98" t="n"/>
      <c r="P1627" s="99" t="n"/>
      <c r="Q1627" s="99" t="n"/>
      <c r="R1627" s="100" t="n"/>
      <c r="S1627" s="98" t="n"/>
      <c r="T1627" s="99" t="n"/>
      <c r="U1627" s="99" t="n"/>
      <c r="V1627" s="100" t="n"/>
      <c r="W1627" s="98" t="n"/>
      <c r="X1627" s="100" t="n"/>
      <c r="Y1627" s="98" t="n"/>
      <c r="Z1627" s="100" t="n"/>
      <c r="AB1627" s="101">
        <f>IF($B1627="","",(COUNTIF(C1608:E1625,$B1627)+COUNTIF(C1608:E1625,$B1627&amp;" ~*")&gt;0)+(COUNTIF(G1608:I1625,$B1627)+COUNTIF(G1608:I1625,$B1627&amp;" ~*")&gt;0)+(COUNTIF(K1608:M1625,$B1627)+COUNTIF(K1608:M1625,$B1627&amp;" ~*")&gt;0)+(COUNTIF(O1608:Q1625,$B1627)+COUNTIF(O1608:Q1625,$B1627&amp;" ~*")&gt;0)+(COUNTIF(S1608:U1625,$B1627)+COUNTIF(S1608:U1625,$B1627&amp;" ~*")&gt;0)+(COUNTIF(W1608:W1625,$B1627)+COUNTIF(W1608:W1625,$B1627&amp;" ~*")&gt;0)+(COUNTIF(Y1608:Y1625,$B1627)+COUNTIF(Y1608:Y1625,$B1627&amp;" ~*")&gt;0))</f>
        <v/>
      </c>
      <c r="AC1627" s="36">
        <f>IF($B1627="","",(IFERROR(INDEX(Setup!$G$33:$G$40,MATCH(C1627,Setup!$B$33:$B$40,0)),0)=1)*(COUNTIF(C1608:E1625,$B1627)+COUNTIF(C1608:E1625,$B1627&amp;" ~*")&gt;0)+(IFERROR(INDEX(Setup!$G$33:$G$40,MATCH(G1627,Setup!$B$33:$B$40,0)),0)=1)*(COUNTIF(G1608:I1625,$B1627)+COUNTIF(G1608:I1625,$B1627&amp;" ~*")&gt;0)+(IFERROR(INDEX(Setup!$G$33:$G$40,MATCH(K1627,Setup!$B$33:$B$40,0)),0)=1)*(COUNTIF(K1608:M1625,$B1627)+COUNTIF(K1608:M1625,$B1627&amp;" ~*")&gt;0)+(IFERROR(INDEX(Setup!$G$33:$G$40,MATCH(O1627,Setup!$B$33:$B$40,0)),0)=1)*(COUNTIF(O1608:Q1625,$B1627)+COUNTIF(O1608:Q1625,$B1627&amp;" ~*")&gt;0)+(IFERROR(INDEX(Setup!$G$33:$G$40,MATCH(S1627,Setup!$B$33:$B$40,0)),0)=1)*(COUNTIF(S1608:U1625,$B1627)+COUNTIF(S1608:U1625,$B1627&amp;" ~*")&gt;0)+(IFERROR(INDEX(Setup!$G$33:$G$40,MATCH(W1627,Setup!$B$33:$B$40,0)),0)=1)*(COUNTIF(W1608:W1625,$B1627)+COUNTIF(W1608:W1625,$B1627&amp;" ~*")&gt;0)+(IFERROR(INDEX(Setup!$G$33:$G$40,MATCH(Y1627,Setup!$B$33:$B$40,0)),0)=1)*(COUNTIF(Y1608:Y1625,$B1627)+COUNTIF(Y1608:Y1625,$B1627&amp;" ~*")&gt;0))</f>
        <v/>
      </c>
    </row>
    <row r="1628" ht="15" customHeight="1">
      <c r="A1628" t="n">
        <v>33</v>
      </c>
      <c r="B1628" s="37">
        <f>IF(Setup!$B$7="","",Setup!$B$7)</f>
        <v/>
      </c>
      <c r="C1628" s="102" t="n"/>
      <c r="D1628" s="103" t="n"/>
      <c r="E1628" s="103" t="n"/>
      <c r="F1628" s="104" t="n"/>
      <c r="G1628" s="102" t="n"/>
      <c r="H1628" s="103" t="n"/>
      <c r="I1628" s="103" t="n"/>
      <c r="J1628" s="104" t="n"/>
      <c r="K1628" s="102" t="n"/>
      <c r="L1628" s="103" t="n"/>
      <c r="M1628" s="103" t="n"/>
      <c r="N1628" s="104" t="n"/>
      <c r="O1628" s="102" t="n"/>
      <c r="P1628" s="103" t="n"/>
      <c r="Q1628" s="103" t="n"/>
      <c r="R1628" s="104" t="n"/>
      <c r="S1628" s="102" t="n"/>
      <c r="T1628" s="103" t="n"/>
      <c r="U1628" s="103" t="n"/>
      <c r="V1628" s="104" t="n"/>
      <c r="W1628" s="102" t="n"/>
      <c r="X1628" s="104" t="n"/>
      <c r="Y1628" s="102" t="n"/>
      <c r="Z1628" s="104" t="n"/>
      <c r="AB1628" s="105">
        <f>IF($B1628="","",(COUNTIF(C1608:E1625,$B1628)+COUNTIF(C1608:E1625,$B1628&amp;" ~*")&gt;0)+(COUNTIF(G1608:I1625,$B1628)+COUNTIF(G1608:I1625,$B1628&amp;" ~*")&gt;0)+(COUNTIF(K1608:M1625,$B1628)+COUNTIF(K1608:M1625,$B1628&amp;" ~*")&gt;0)+(COUNTIF(O1608:Q1625,$B1628)+COUNTIF(O1608:Q1625,$B1628&amp;" ~*")&gt;0)+(COUNTIF(S1608:U1625,$B1628)+COUNTIF(S1608:U1625,$B1628&amp;" ~*")&gt;0)+(COUNTIF(W1608:W1625,$B1628)+COUNTIF(W1608:W1625,$B1628&amp;" ~*")&gt;0)+(COUNTIF(Y1608:Y1625,$B1628)+COUNTIF(Y1608:Y1625,$B1628&amp;" ~*")&gt;0))</f>
        <v/>
      </c>
      <c r="AC1628" s="38">
        <f>IF($B1628="","",(IFERROR(INDEX(Setup!$G$33:$G$40,MATCH(C1628,Setup!$B$33:$B$40,0)),0)=1)*(COUNTIF(C1608:E1625,$B1628)+COUNTIF(C1608:E1625,$B1628&amp;" ~*")&gt;0)+(IFERROR(INDEX(Setup!$G$33:$G$40,MATCH(G1628,Setup!$B$33:$B$40,0)),0)=1)*(COUNTIF(G1608:I1625,$B1628)+COUNTIF(G1608:I1625,$B1628&amp;" ~*")&gt;0)+(IFERROR(INDEX(Setup!$G$33:$G$40,MATCH(K1628,Setup!$B$33:$B$40,0)),0)=1)*(COUNTIF(K1608:M1625,$B1628)+COUNTIF(K1608:M1625,$B1628&amp;" ~*")&gt;0)+(IFERROR(INDEX(Setup!$G$33:$G$40,MATCH(O1628,Setup!$B$33:$B$40,0)),0)=1)*(COUNTIF(O1608:Q1625,$B1628)+COUNTIF(O1608:Q1625,$B1628&amp;" ~*")&gt;0)+(IFERROR(INDEX(Setup!$G$33:$G$40,MATCH(S1628,Setup!$B$33:$B$40,0)),0)=1)*(COUNTIF(S1608:U1625,$B1628)+COUNTIF(S1608:U1625,$B1628&amp;" ~*")&gt;0)+(IFERROR(INDEX(Setup!$G$33:$G$40,MATCH(W1628,Setup!$B$33:$B$40,0)),0)=1)*(COUNTIF(W1608:W1625,$B1628)+COUNTIF(W1608:W1625,$B1628&amp;" ~*")&gt;0)+(IFERROR(INDEX(Setup!$G$33:$G$40,MATCH(Y1628,Setup!$B$33:$B$40,0)),0)=1)*(COUNTIF(Y1608:Y1625,$B1628)+COUNTIF(Y1608:Y1625,$B1628&amp;" ~*")&gt;0))</f>
        <v/>
      </c>
    </row>
    <row r="1629" ht="15" customHeight="1">
      <c r="A1629" t="n">
        <v>33</v>
      </c>
      <c r="B1629" s="35">
        <f>IF(Setup!$B$8="","",Setup!$B$8)</f>
        <v/>
      </c>
      <c r="C1629" s="98" t="n"/>
      <c r="D1629" s="99" t="n"/>
      <c r="E1629" s="99" t="n"/>
      <c r="F1629" s="100" t="n"/>
      <c r="G1629" s="98" t="n"/>
      <c r="H1629" s="99" t="n"/>
      <c r="I1629" s="99" t="n"/>
      <c r="J1629" s="100" t="n"/>
      <c r="K1629" s="98" t="n"/>
      <c r="L1629" s="99" t="n"/>
      <c r="M1629" s="99" t="n"/>
      <c r="N1629" s="100" t="n"/>
      <c r="O1629" s="98" t="n"/>
      <c r="P1629" s="99" t="n"/>
      <c r="Q1629" s="99" t="n"/>
      <c r="R1629" s="100" t="n"/>
      <c r="S1629" s="98" t="n"/>
      <c r="T1629" s="99" t="n"/>
      <c r="U1629" s="99" t="n"/>
      <c r="V1629" s="100" t="n"/>
      <c r="W1629" s="98" t="n"/>
      <c r="X1629" s="100" t="n"/>
      <c r="Y1629" s="98" t="n"/>
      <c r="Z1629" s="100" t="n"/>
      <c r="AB1629" s="101">
        <f>IF($B1629="","",(COUNTIF(C1608:E1625,$B1629)+COUNTIF(C1608:E1625,$B1629&amp;" ~*")&gt;0)+(COUNTIF(G1608:I1625,$B1629)+COUNTIF(G1608:I1625,$B1629&amp;" ~*")&gt;0)+(COUNTIF(K1608:M1625,$B1629)+COUNTIF(K1608:M1625,$B1629&amp;" ~*")&gt;0)+(COUNTIF(O1608:Q1625,$B1629)+COUNTIF(O1608:Q1625,$B1629&amp;" ~*")&gt;0)+(COUNTIF(S1608:U1625,$B1629)+COUNTIF(S1608:U1625,$B1629&amp;" ~*")&gt;0)+(COUNTIF(W1608:W1625,$B1629)+COUNTIF(W1608:W1625,$B1629&amp;" ~*")&gt;0)+(COUNTIF(Y1608:Y1625,$B1629)+COUNTIF(Y1608:Y1625,$B1629&amp;" ~*")&gt;0))</f>
        <v/>
      </c>
      <c r="AC1629" s="36">
        <f>IF($B1629="","",(IFERROR(INDEX(Setup!$G$33:$G$40,MATCH(C1629,Setup!$B$33:$B$40,0)),0)=1)*(COUNTIF(C1608:E1625,$B1629)+COUNTIF(C1608:E1625,$B1629&amp;" ~*")&gt;0)+(IFERROR(INDEX(Setup!$G$33:$G$40,MATCH(G1629,Setup!$B$33:$B$40,0)),0)=1)*(COUNTIF(G1608:I1625,$B1629)+COUNTIF(G1608:I1625,$B1629&amp;" ~*")&gt;0)+(IFERROR(INDEX(Setup!$G$33:$G$40,MATCH(K1629,Setup!$B$33:$B$40,0)),0)=1)*(COUNTIF(K1608:M1625,$B1629)+COUNTIF(K1608:M1625,$B1629&amp;" ~*")&gt;0)+(IFERROR(INDEX(Setup!$G$33:$G$40,MATCH(O1629,Setup!$B$33:$B$40,0)),0)=1)*(COUNTIF(O1608:Q1625,$B1629)+COUNTIF(O1608:Q1625,$B1629&amp;" ~*")&gt;0)+(IFERROR(INDEX(Setup!$G$33:$G$40,MATCH(S1629,Setup!$B$33:$B$40,0)),0)=1)*(COUNTIF(S1608:U1625,$B1629)+COUNTIF(S1608:U1625,$B1629&amp;" ~*")&gt;0)+(IFERROR(INDEX(Setup!$G$33:$G$40,MATCH(W1629,Setup!$B$33:$B$40,0)),0)=1)*(COUNTIF(W1608:W1625,$B1629)+COUNTIF(W1608:W1625,$B1629&amp;" ~*")&gt;0)+(IFERROR(INDEX(Setup!$G$33:$G$40,MATCH(Y1629,Setup!$B$33:$B$40,0)),0)=1)*(COUNTIF(Y1608:Y1625,$B1629)+COUNTIF(Y1608:Y1625,$B1629&amp;" ~*")&gt;0))</f>
        <v/>
      </c>
    </row>
    <row r="1630" ht="15" customHeight="1">
      <c r="A1630" t="n">
        <v>33</v>
      </c>
      <c r="B1630" s="37">
        <f>IF(Setup!$B$9="","",Setup!$B$9)</f>
        <v/>
      </c>
      <c r="C1630" s="102" t="n"/>
      <c r="D1630" s="103" t="n"/>
      <c r="E1630" s="103" t="n"/>
      <c r="F1630" s="104" t="n"/>
      <c r="G1630" s="102" t="n"/>
      <c r="H1630" s="103" t="n"/>
      <c r="I1630" s="103" t="n"/>
      <c r="J1630" s="104" t="n"/>
      <c r="K1630" s="102" t="n"/>
      <c r="L1630" s="103" t="n"/>
      <c r="M1630" s="103" t="n"/>
      <c r="N1630" s="104" t="n"/>
      <c r="O1630" s="102" t="n"/>
      <c r="P1630" s="103" t="n"/>
      <c r="Q1630" s="103" t="n"/>
      <c r="R1630" s="104" t="n"/>
      <c r="S1630" s="102" t="n"/>
      <c r="T1630" s="103" t="n"/>
      <c r="U1630" s="103" t="n"/>
      <c r="V1630" s="104" t="n"/>
      <c r="W1630" s="102" t="n"/>
      <c r="X1630" s="104" t="n"/>
      <c r="Y1630" s="102" t="n"/>
      <c r="Z1630" s="104" t="n"/>
      <c r="AB1630" s="105">
        <f>IF($B1630="","",(COUNTIF(C1608:E1625,$B1630)+COUNTIF(C1608:E1625,$B1630&amp;" ~*")&gt;0)+(COUNTIF(G1608:I1625,$B1630)+COUNTIF(G1608:I1625,$B1630&amp;" ~*")&gt;0)+(COUNTIF(K1608:M1625,$B1630)+COUNTIF(K1608:M1625,$B1630&amp;" ~*")&gt;0)+(COUNTIF(O1608:Q1625,$B1630)+COUNTIF(O1608:Q1625,$B1630&amp;" ~*")&gt;0)+(COUNTIF(S1608:U1625,$B1630)+COUNTIF(S1608:U1625,$B1630&amp;" ~*")&gt;0)+(COUNTIF(W1608:W1625,$B1630)+COUNTIF(W1608:W1625,$B1630&amp;" ~*")&gt;0)+(COUNTIF(Y1608:Y1625,$B1630)+COUNTIF(Y1608:Y1625,$B1630&amp;" ~*")&gt;0))</f>
        <v/>
      </c>
      <c r="AC1630" s="38">
        <f>IF($B1630="","",(IFERROR(INDEX(Setup!$G$33:$G$40,MATCH(C1630,Setup!$B$33:$B$40,0)),0)=1)*(COUNTIF(C1608:E1625,$B1630)+COUNTIF(C1608:E1625,$B1630&amp;" ~*")&gt;0)+(IFERROR(INDEX(Setup!$G$33:$G$40,MATCH(G1630,Setup!$B$33:$B$40,0)),0)=1)*(COUNTIF(G1608:I1625,$B1630)+COUNTIF(G1608:I1625,$B1630&amp;" ~*")&gt;0)+(IFERROR(INDEX(Setup!$G$33:$G$40,MATCH(K1630,Setup!$B$33:$B$40,0)),0)=1)*(COUNTIF(K1608:M1625,$B1630)+COUNTIF(K1608:M1625,$B1630&amp;" ~*")&gt;0)+(IFERROR(INDEX(Setup!$G$33:$G$40,MATCH(O1630,Setup!$B$33:$B$40,0)),0)=1)*(COUNTIF(O1608:Q1625,$B1630)+COUNTIF(O1608:Q1625,$B1630&amp;" ~*")&gt;0)+(IFERROR(INDEX(Setup!$G$33:$G$40,MATCH(S1630,Setup!$B$33:$B$40,0)),0)=1)*(COUNTIF(S1608:U1625,$B1630)+COUNTIF(S1608:U1625,$B1630&amp;" ~*")&gt;0)+(IFERROR(INDEX(Setup!$G$33:$G$40,MATCH(W1630,Setup!$B$33:$B$40,0)),0)=1)*(COUNTIF(W1608:W1625,$B1630)+COUNTIF(W1608:W1625,$B1630&amp;" ~*")&gt;0)+(IFERROR(INDEX(Setup!$G$33:$G$40,MATCH(Y1630,Setup!$B$33:$B$40,0)),0)=1)*(COUNTIF(Y1608:Y1625,$B1630)+COUNTIF(Y1608:Y1625,$B1630&amp;" ~*")&gt;0))</f>
        <v/>
      </c>
    </row>
    <row r="1631" ht="15" customHeight="1">
      <c r="A1631" t="n">
        <v>33</v>
      </c>
      <c r="B1631" s="35">
        <f>IF(Setup!$B$10="","",Setup!$B$10)</f>
        <v/>
      </c>
      <c r="C1631" s="98" t="n"/>
      <c r="D1631" s="99" t="n"/>
      <c r="E1631" s="99" t="n"/>
      <c r="F1631" s="100" t="n"/>
      <c r="G1631" s="98" t="n"/>
      <c r="H1631" s="99" t="n"/>
      <c r="I1631" s="99" t="n"/>
      <c r="J1631" s="100" t="n"/>
      <c r="K1631" s="98" t="n"/>
      <c r="L1631" s="99" t="n"/>
      <c r="M1631" s="99" t="n"/>
      <c r="N1631" s="100" t="n"/>
      <c r="O1631" s="98" t="n"/>
      <c r="P1631" s="99" t="n"/>
      <c r="Q1631" s="99" t="n"/>
      <c r="R1631" s="100" t="n"/>
      <c r="S1631" s="98" t="n"/>
      <c r="T1631" s="99" t="n"/>
      <c r="U1631" s="99" t="n"/>
      <c r="V1631" s="100" t="n"/>
      <c r="W1631" s="98" t="n"/>
      <c r="X1631" s="100" t="n"/>
      <c r="Y1631" s="98" t="n"/>
      <c r="Z1631" s="100" t="n"/>
      <c r="AB1631" s="101">
        <f>IF($B1631="","",(COUNTIF(C1608:E1625,$B1631)+COUNTIF(C1608:E1625,$B1631&amp;" ~*")&gt;0)+(COUNTIF(G1608:I1625,$B1631)+COUNTIF(G1608:I1625,$B1631&amp;" ~*")&gt;0)+(COUNTIF(K1608:M1625,$B1631)+COUNTIF(K1608:M1625,$B1631&amp;" ~*")&gt;0)+(COUNTIF(O1608:Q1625,$B1631)+COUNTIF(O1608:Q1625,$B1631&amp;" ~*")&gt;0)+(COUNTIF(S1608:U1625,$B1631)+COUNTIF(S1608:U1625,$B1631&amp;" ~*")&gt;0)+(COUNTIF(W1608:W1625,$B1631)+COUNTIF(W1608:W1625,$B1631&amp;" ~*")&gt;0)+(COUNTIF(Y1608:Y1625,$B1631)+COUNTIF(Y1608:Y1625,$B1631&amp;" ~*")&gt;0))</f>
        <v/>
      </c>
      <c r="AC1631" s="36">
        <f>IF($B1631="","",(IFERROR(INDEX(Setup!$G$33:$G$40,MATCH(C1631,Setup!$B$33:$B$40,0)),0)=1)*(COUNTIF(C1608:E1625,$B1631)+COUNTIF(C1608:E1625,$B1631&amp;" ~*")&gt;0)+(IFERROR(INDEX(Setup!$G$33:$G$40,MATCH(G1631,Setup!$B$33:$B$40,0)),0)=1)*(COUNTIF(G1608:I1625,$B1631)+COUNTIF(G1608:I1625,$B1631&amp;" ~*")&gt;0)+(IFERROR(INDEX(Setup!$G$33:$G$40,MATCH(K1631,Setup!$B$33:$B$40,0)),0)=1)*(COUNTIF(K1608:M1625,$B1631)+COUNTIF(K1608:M1625,$B1631&amp;" ~*")&gt;0)+(IFERROR(INDEX(Setup!$G$33:$G$40,MATCH(O1631,Setup!$B$33:$B$40,0)),0)=1)*(COUNTIF(O1608:Q1625,$B1631)+COUNTIF(O1608:Q1625,$B1631&amp;" ~*")&gt;0)+(IFERROR(INDEX(Setup!$G$33:$G$40,MATCH(S1631,Setup!$B$33:$B$40,0)),0)=1)*(COUNTIF(S1608:U1625,$B1631)+COUNTIF(S1608:U1625,$B1631&amp;" ~*")&gt;0)+(IFERROR(INDEX(Setup!$G$33:$G$40,MATCH(W1631,Setup!$B$33:$B$40,0)),0)=1)*(COUNTIF(W1608:W1625,$B1631)+COUNTIF(W1608:W1625,$B1631&amp;" ~*")&gt;0)+(IFERROR(INDEX(Setup!$G$33:$G$40,MATCH(Y1631,Setup!$B$33:$B$40,0)),0)=1)*(COUNTIF(Y1608:Y1625,$B1631)+COUNTIF(Y1608:Y1625,$B1631&amp;" ~*")&gt;0))</f>
        <v/>
      </c>
    </row>
    <row r="1632" ht="15" customHeight="1">
      <c r="A1632" t="n">
        <v>33</v>
      </c>
      <c r="B1632" s="37">
        <f>IF(Setup!$B$11="","",Setup!$B$11)</f>
        <v/>
      </c>
      <c r="C1632" s="102" t="n"/>
      <c r="D1632" s="103" t="n"/>
      <c r="E1632" s="103" t="n"/>
      <c r="F1632" s="104" t="n"/>
      <c r="G1632" s="102" t="n"/>
      <c r="H1632" s="103" t="n"/>
      <c r="I1632" s="103" t="n"/>
      <c r="J1632" s="104" t="n"/>
      <c r="K1632" s="102" t="n"/>
      <c r="L1632" s="103" t="n"/>
      <c r="M1632" s="103" t="n"/>
      <c r="N1632" s="104" t="n"/>
      <c r="O1632" s="102" t="n"/>
      <c r="P1632" s="103" t="n"/>
      <c r="Q1632" s="103" t="n"/>
      <c r="R1632" s="104" t="n"/>
      <c r="S1632" s="102" t="n"/>
      <c r="T1632" s="103" t="n"/>
      <c r="U1632" s="103" t="n"/>
      <c r="V1632" s="104" t="n"/>
      <c r="W1632" s="102" t="n"/>
      <c r="X1632" s="104" t="n"/>
      <c r="Y1632" s="102" t="n"/>
      <c r="Z1632" s="104" t="n"/>
      <c r="AB1632" s="105">
        <f>IF($B1632="","",(COUNTIF(C1608:E1625,$B1632)+COUNTIF(C1608:E1625,$B1632&amp;" ~*")&gt;0)+(COUNTIF(G1608:I1625,$B1632)+COUNTIF(G1608:I1625,$B1632&amp;" ~*")&gt;0)+(COUNTIF(K1608:M1625,$B1632)+COUNTIF(K1608:M1625,$B1632&amp;" ~*")&gt;0)+(COUNTIF(O1608:Q1625,$B1632)+COUNTIF(O1608:Q1625,$B1632&amp;" ~*")&gt;0)+(COUNTIF(S1608:U1625,$B1632)+COUNTIF(S1608:U1625,$B1632&amp;" ~*")&gt;0)+(COUNTIF(W1608:W1625,$B1632)+COUNTIF(W1608:W1625,$B1632&amp;" ~*")&gt;0)+(COUNTIF(Y1608:Y1625,$B1632)+COUNTIF(Y1608:Y1625,$B1632&amp;" ~*")&gt;0))</f>
        <v/>
      </c>
      <c r="AC1632" s="38">
        <f>IF($B1632="","",(IFERROR(INDEX(Setup!$G$33:$G$40,MATCH(C1632,Setup!$B$33:$B$40,0)),0)=1)*(COUNTIF(C1608:E1625,$B1632)+COUNTIF(C1608:E1625,$B1632&amp;" ~*")&gt;0)+(IFERROR(INDEX(Setup!$G$33:$G$40,MATCH(G1632,Setup!$B$33:$B$40,0)),0)=1)*(COUNTIF(G1608:I1625,$B1632)+COUNTIF(G1608:I1625,$B1632&amp;" ~*")&gt;0)+(IFERROR(INDEX(Setup!$G$33:$G$40,MATCH(K1632,Setup!$B$33:$B$40,0)),0)=1)*(COUNTIF(K1608:M1625,$B1632)+COUNTIF(K1608:M1625,$B1632&amp;" ~*")&gt;0)+(IFERROR(INDEX(Setup!$G$33:$G$40,MATCH(O1632,Setup!$B$33:$B$40,0)),0)=1)*(COUNTIF(O1608:Q1625,$B1632)+COUNTIF(O1608:Q1625,$B1632&amp;" ~*")&gt;0)+(IFERROR(INDEX(Setup!$G$33:$G$40,MATCH(S1632,Setup!$B$33:$B$40,0)),0)=1)*(COUNTIF(S1608:U1625,$B1632)+COUNTIF(S1608:U1625,$B1632&amp;" ~*")&gt;0)+(IFERROR(INDEX(Setup!$G$33:$G$40,MATCH(W1632,Setup!$B$33:$B$40,0)),0)=1)*(COUNTIF(W1608:W1625,$B1632)+COUNTIF(W1608:W1625,$B1632&amp;" ~*")&gt;0)+(IFERROR(INDEX(Setup!$G$33:$G$40,MATCH(Y1632,Setup!$B$33:$B$40,0)),0)=1)*(COUNTIF(Y1608:Y1625,$B1632)+COUNTIF(Y1608:Y1625,$B1632&amp;" ~*")&gt;0))</f>
        <v/>
      </c>
    </row>
    <row r="1633" ht="15" customHeight="1">
      <c r="A1633" t="n">
        <v>33</v>
      </c>
      <c r="B1633" s="35">
        <f>IF(Setup!$B$12="","",Setup!$B$12)</f>
        <v/>
      </c>
      <c r="C1633" s="98" t="n"/>
      <c r="D1633" s="99" t="n"/>
      <c r="E1633" s="99" t="n"/>
      <c r="F1633" s="100" t="n"/>
      <c r="G1633" s="98" t="n"/>
      <c r="H1633" s="99" t="n"/>
      <c r="I1633" s="99" t="n"/>
      <c r="J1633" s="100" t="n"/>
      <c r="K1633" s="98" t="n"/>
      <c r="L1633" s="99" t="n"/>
      <c r="M1633" s="99" t="n"/>
      <c r="N1633" s="100" t="n"/>
      <c r="O1633" s="98" t="n"/>
      <c r="P1633" s="99" t="n"/>
      <c r="Q1633" s="99" t="n"/>
      <c r="R1633" s="100" t="n"/>
      <c r="S1633" s="98" t="n"/>
      <c r="T1633" s="99" t="n"/>
      <c r="U1633" s="99" t="n"/>
      <c r="V1633" s="100" t="n"/>
      <c r="W1633" s="98" t="n"/>
      <c r="X1633" s="100" t="n"/>
      <c r="Y1633" s="98" t="n"/>
      <c r="Z1633" s="100" t="n"/>
      <c r="AB1633" s="101">
        <f>IF($B1633="","",(COUNTIF(C1608:E1625,$B1633)+COUNTIF(C1608:E1625,$B1633&amp;" ~*")&gt;0)+(COUNTIF(G1608:I1625,$B1633)+COUNTIF(G1608:I1625,$B1633&amp;" ~*")&gt;0)+(COUNTIF(K1608:M1625,$B1633)+COUNTIF(K1608:M1625,$B1633&amp;" ~*")&gt;0)+(COUNTIF(O1608:Q1625,$B1633)+COUNTIF(O1608:Q1625,$B1633&amp;" ~*")&gt;0)+(COUNTIF(S1608:U1625,$B1633)+COUNTIF(S1608:U1625,$B1633&amp;" ~*")&gt;0)+(COUNTIF(W1608:W1625,$B1633)+COUNTIF(W1608:W1625,$B1633&amp;" ~*")&gt;0)+(COUNTIF(Y1608:Y1625,$B1633)+COUNTIF(Y1608:Y1625,$B1633&amp;" ~*")&gt;0))</f>
        <v/>
      </c>
      <c r="AC1633" s="36">
        <f>IF($B1633="","",(IFERROR(INDEX(Setup!$G$33:$G$40,MATCH(C1633,Setup!$B$33:$B$40,0)),0)=1)*(COUNTIF(C1608:E1625,$B1633)+COUNTIF(C1608:E1625,$B1633&amp;" ~*")&gt;0)+(IFERROR(INDEX(Setup!$G$33:$G$40,MATCH(G1633,Setup!$B$33:$B$40,0)),0)=1)*(COUNTIF(G1608:I1625,$B1633)+COUNTIF(G1608:I1625,$B1633&amp;" ~*")&gt;0)+(IFERROR(INDEX(Setup!$G$33:$G$40,MATCH(K1633,Setup!$B$33:$B$40,0)),0)=1)*(COUNTIF(K1608:M1625,$B1633)+COUNTIF(K1608:M1625,$B1633&amp;" ~*")&gt;0)+(IFERROR(INDEX(Setup!$G$33:$G$40,MATCH(O1633,Setup!$B$33:$B$40,0)),0)=1)*(COUNTIF(O1608:Q1625,$B1633)+COUNTIF(O1608:Q1625,$B1633&amp;" ~*")&gt;0)+(IFERROR(INDEX(Setup!$G$33:$G$40,MATCH(S1633,Setup!$B$33:$B$40,0)),0)=1)*(COUNTIF(S1608:U1625,$B1633)+COUNTIF(S1608:U1625,$B1633&amp;" ~*")&gt;0)+(IFERROR(INDEX(Setup!$G$33:$G$40,MATCH(W1633,Setup!$B$33:$B$40,0)),0)=1)*(COUNTIF(W1608:W1625,$B1633)+COUNTIF(W1608:W1625,$B1633&amp;" ~*")&gt;0)+(IFERROR(INDEX(Setup!$G$33:$G$40,MATCH(Y1633,Setup!$B$33:$B$40,0)),0)=1)*(COUNTIF(Y1608:Y1625,$B1633)+COUNTIF(Y1608:Y1625,$B1633&amp;" ~*")&gt;0))</f>
        <v/>
      </c>
    </row>
    <row r="1634" ht="15" customHeight="1">
      <c r="A1634" t="n">
        <v>33</v>
      </c>
      <c r="B1634" s="37">
        <f>IF(Setup!$B$13="","",Setup!$B$13)</f>
        <v/>
      </c>
      <c r="C1634" s="102" t="n"/>
      <c r="D1634" s="103" t="n"/>
      <c r="E1634" s="103" t="n"/>
      <c r="F1634" s="104" t="n"/>
      <c r="G1634" s="102" t="n"/>
      <c r="H1634" s="103" t="n"/>
      <c r="I1634" s="103" t="n"/>
      <c r="J1634" s="104" t="n"/>
      <c r="K1634" s="102" t="n"/>
      <c r="L1634" s="103" t="n"/>
      <c r="M1634" s="103" t="n"/>
      <c r="N1634" s="104" t="n"/>
      <c r="O1634" s="102" t="n"/>
      <c r="P1634" s="103" t="n"/>
      <c r="Q1634" s="103" t="n"/>
      <c r="R1634" s="104" t="n"/>
      <c r="S1634" s="102" t="n"/>
      <c r="T1634" s="103" t="n"/>
      <c r="U1634" s="103" t="n"/>
      <c r="V1634" s="104" t="n"/>
      <c r="W1634" s="102" t="n"/>
      <c r="X1634" s="104" t="n"/>
      <c r="Y1634" s="102" t="n"/>
      <c r="Z1634" s="104" t="n"/>
      <c r="AB1634" s="105">
        <f>IF($B1634="","",(COUNTIF(C1608:E1625,$B1634)+COUNTIF(C1608:E1625,$B1634&amp;" ~*")&gt;0)+(COUNTIF(G1608:I1625,$B1634)+COUNTIF(G1608:I1625,$B1634&amp;" ~*")&gt;0)+(COUNTIF(K1608:M1625,$B1634)+COUNTIF(K1608:M1625,$B1634&amp;" ~*")&gt;0)+(COUNTIF(O1608:Q1625,$B1634)+COUNTIF(O1608:Q1625,$B1634&amp;" ~*")&gt;0)+(COUNTIF(S1608:U1625,$B1634)+COUNTIF(S1608:U1625,$B1634&amp;" ~*")&gt;0)+(COUNTIF(W1608:W1625,$B1634)+COUNTIF(W1608:W1625,$B1634&amp;" ~*")&gt;0)+(COUNTIF(Y1608:Y1625,$B1634)+COUNTIF(Y1608:Y1625,$B1634&amp;" ~*")&gt;0))</f>
        <v/>
      </c>
      <c r="AC1634" s="38">
        <f>IF($B1634="","",(IFERROR(INDEX(Setup!$G$33:$G$40,MATCH(C1634,Setup!$B$33:$B$40,0)),0)=1)*(COUNTIF(C1608:E1625,$B1634)+COUNTIF(C1608:E1625,$B1634&amp;" ~*")&gt;0)+(IFERROR(INDEX(Setup!$G$33:$G$40,MATCH(G1634,Setup!$B$33:$B$40,0)),0)=1)*(COUNTIF(G1608:I1625,$B1634)+COUNTIF(G1608:I1625,$B1634&amp;" ~*")&gt;0)+(IFERROR(INDEX(Setup!$G$33:$G$40,MATCH(K1634,Setup!$B$33:$B$40,0)),0)=1)*(COUNTIF(K1608:M1625,$B1634)+COUNTIF(K1608:M1625,$B1634&amp;" ~*")&gt;0)+(IFERROR(INDEX(Setup!$G$33:$G$40,MATCH(O1634,Setup!$B$33:$B$40,0)),0)=1)*(COUNTIF(O1608:Q1625,$B1634)+COUNTIF(O1608:Q1625,$B1634&amp;" ~*")&gt;0)+(IFERROR(INDEX(Setup!$G$33:$G$40,MATCH(S1634,Setup!$B$33:$B$40,0)),0)=1)*(COUNTIF(S1608:U1625,$B1634)+COUNTIF(S1608:U1625,$B1634&amp;" ~*")&gt;0)+(IFERROR(INDEX(Setup!$G$33:$G$40,MATCH(W1634,Setup!$B$33:$B$40,0)),0)=1)*(COUNTIF(W1608:W1625,$B1634)+COUNTIF(W1608:W1625,$B1634&amp;" ~*")&gt;0)+(IFERROR(INDEX(Setup!$G$33:$G$40,MATCH(Y1634,Setup!$B$33:$B$40,0)),0)=1)*(COUNTIF(Y1608:Y1625,$B1634)+COUNTIF(Y1608:Y1625,$B1634&amp;" ~*")&gt;0))</f>
        <v/>
      </c>
    </row>
    <row r="1635" ht="15" customHeight="1">
      <c r="A1635" t="n">
        <v>33</v>
      </c>
      <c r="B1635" s="35">
        <f>IF(Setup!$B$14="","",Setup!$B$14)</f>
        <v/>
      </c>
      <c r="C1635" s="98" t="n"/>
      <c r="D1635" s="99" t="n"/>
      <c r="E1635" s="99" t="n"/>
      <c r="F1635" s="100" t="n"/>
      <c r="G1635" s="98" t="n"/>
      <c r="H1635" s="99" t="n"/>
      <c r="I1635" s="99" t="n"/>
      <c r="J1635" s="100" t="n"/>
      <c r="K1635" s="98" t="n"/>
      <c r="L1635" s="99" t="n"/>
      <c r="M1635" s="99" t="n"/>
      <c r="N1635" s="100" t="n"/>
      <c r="O1635" s="98" t="n"/>
      <c r="P1635" s="99" t="n"/>
      <c r="Q1635" s="99" t="n"/>
      <c r="R1635" s="100" t="n"/>
      <c r="S1635" s="98" t="n"/>
      <c r="T1635" s="99" t="n"/>
      <c r="U1635" s="99" t="n"/>
      <c r="V1635" s="100" t="n"/>
      <c r="W1635" s="98" t="n"/>
      <c r="X1635" s="100" t="n"/>
      <c r="Y1635" s="98" t="n"/>
      <c r="Z1635" s="100" t="n"/>
      <c r="AB1635" s="101">
        <f>IF($B1635="","",(COUNTIF(C1608:E1625,$B1635)+COUNTIF(C1608:E1625,$B1635&amp;" ~*")&gt;0)+(COUNTIF(G1608:I1625,$B1635)+COUNTIF(G1608:I1625,$B1635&amp;" ~*")&gt;0)+(COUNTIF(K1608:M1625,$B1635)+COUNTIF(K1608:M1625,$B1635&amp;" ~*")&gt;0)+(COUNTIF(O1608:Q1625,$B1635)+COUNTIF(O1608:Q1625,$B1635&amp;" ~*")&gt;0)+(COUNTIF(S1608:U1625,$B1635)+COUNTIF(S1608:U1625,$B1635&amp;" ~*")&gt;0)+(COUNTIF(W1608:W1625,$B1635)+COUNTIF(W1608:W1625,$B1635&amp;" ~*")&gt;0)+(COUNTIF(Y1608:Y1625,$B1635)+COUNTIF(Y1608:Y1625,$B1635&amp;" ~*")&gt;0))</f>
        <v/>
      </c>
      <c r="AC1635" s="36">
        <f>IF($B1635="","",(IFERROR(INDEX(Setup!$G$33:$G$40,MATCH(C1635,Setup!$B$33:$B$40,0)),0)=1)*(COUNTIF(C1608:E1625,$B1635)+COUNTIF(C1608:E1625,$B1635&amp;" ~*")&gt;0)+(IFERROR(INDEX(Setup!$G$33:$G$40,MATCH(G1635,Setup!$B$33:$B$40,0)),0)=1)*(COUNTIF(G1608:I1625,$B1635)+COUNTIF(G1608:I1625,$B1635&amp;" ~*")&gt;0)+(IFERROR(INDEX(Setup!$G$33:$G$40,MATCH(K1635,Setup!$B$33:$B$40,0)),0)=1)*(COUNTIF(K1608:M1625,$B1635)+COUNTIF(K1608:M1625,$B1635&amp;" ~*")&gt;0)+(IFERROR(INDEX(Setup!$G$33:$G$40,MATCH(O1635,Setup!$B$33:$B$40,0)),0)=1)*(COUNTIF(O1608:Q1625,$B1635)+COUNTIF(O1608:Q1625,$B1635&amp;" ~*")&gt;0)+(IFERROR(INDEX(Setup!$G$33:$G$40,MATCH(S1635,Setup!$B$33:$B$40,0)),0)=1)*(COUNTIF(S1608:U1625,$B1635)+COUNTIF(S1608:U1625,$B1635&amp;" ~*")&gt;0)+(IFERROR(INDEX(Setup!$G$33:$G$40,MATCH(W1635,Setup!$B$33:$B$40,0)),0)=1)*(COUNTIF(W1608:W1625,$B1635)+COUNTIF(W1608:W1625,$B1635&amp;" ~*")&gt;0)+(IFERROR(INDEX(Setup!$G$33:$G$40,MATCH(Y1635,Setup!$B$33:$B$40,0)),0)=1)*(COUNTIF(Y1608:Y1625,$B1635)+COUNTIF(Y1608:Y1625,$B1635&amp;" ~*")&gt;0))</f>
        <v/>
      </c>
    </row>
    <row r="1636" ht="15" customHeight="1">
      <c r="A1636" t="n">
        <v>33</v>
      </c>
      <c r="B1636" s="37">
        <f>IF(Setup!$B$15="","",Setup!$B$15)</f>
        <v/>
      </c>
      <c r="C1636" s="102" t="n"/>
      <c r="D1636" s="103" t="n"/>
      <c r="E1636" s="103" t="n"/>
      <c r="F1636" s="104" t="n"/>
      <c r="G1636" s="102" t="n"/>
      <c r="H1636" s="103" t="n"/>
      <c r="I1636" s="103" t="n"/>
      <c r="J1636" s="104" t="n"/>
      <c r="K1636" s="102" t="n"/>
      <c r="L1636" s="103" t="n"/>
      <c r="M1636" s="103" t="n"/>
      <c r="N1636" s="104" t="n"/>
      <c r="O1636" s="102" t="n"/>
      <c r="P1636" s="103" t="n"/>
      <c r="Q1636" s="103" t="n"/>
      <c r="R1636" s="104" t="n"/>
      <c r="S1636" s="102" t="n"/>
      <c r="T1636" s="103" t="n"/>
      <c r="U1636" s="103" t="n"/>
      <c r="V1636" s="104" t="n"/>
      <c r="W1636" s="102" t="n"/>
      <c r="X1636" s="104" t="n"/>
      <c r="Y1636" s="102" t="n"/>
      <c r="Z1636" s="104" t="n"/>
      <c r="AB1636" s="105">
        <f>IF($B1636="","",(COUNTIF(C1608:E1625,$B1636)+COUNTIF(C1608:E1625,$B1636&amp;" ~*")&gt;0)+(COUNTIF(G1608:I1625,$B1636)+COUNTIF(G1608:I1625,$B1636&amp;" ~*")&gt;0)+(COUNTIF(K1608:M1625,$B1636)+COUNTIF(K1608:M1625,$B1636&amp;" ~*")&gt;0)+(COUNTIF(O1608:Q1625,$B1636)+COUNTIF(O1608:Q1625,$B1636&amp;" ~*")&gt;0)+(COUNTIF(S1608:U1625,$B1636)+COUNTIF(S1608:U1625,$B1636&amp;" ~*")&gt;0)+(COUNTIF(W1608:W1625,$B1636)+COUNTIF(W1608:W1625,$B1636&amp;" ~*")&gt;0)+(COUNTIF(Y1608:Y1625,$B1636)+COUNTIF(Y1608:Y1625,$B1636&amp;" ~*")&gt;0))</f>
        <v/>
      </c>
      <c r="AC1636" s="38">
        <f>IF($B1636="","",(IFERROR(INDEX(Setup!$G$33:$G$40,MATCH(C1636,Setup!$B$33:$B$40,0)),0)=1)*(COUNTIF(C1608:E1625,$B1636)+COUNTIF(C1608:E1625,$B1636&amp;" ~*")&gt;0)+(IFERROR(INDEX(Setup!$G$33:$G$40,MATCH(G1636,Setup!$B$33:$B$40,0)),0)=1)*(COUNTIF(G1608:I1625,$B1636)+COUNTIF(G1608:I1625,$B1636&amp;" ~*")&gt;0)+(IFERROR(INDEX(Setup!$G$33:$G$40,MATCH(K1636,Setup!$B$33:$B$40,0)),0)=1)*(COUNTIF(K1608:M1625,$B1636)+COUNTIF(K1608:M1625,$B1636&amp;" ~*")&gt;0)+(IFERROR(INDEX(Setup!$G$33:$G$40,MATCH(O1636,Setup!$B$33:$B$40,0)),0)=1)*(COUNTIF(O1608:Q1625,$B1636)+COUNTIF(O1608:Q1625,$B1636&amp;" ~*")&gt;0)+(IFERROR(INDEX(Setup!$G$33:$G$40,MATCH(S1636,Setup!$B$33:$B$40,0)),0)=1)*(COUNTIF(S1608:U1625,$B1636)+COUNTIF(S1608:U1625,$B1636&amp;" ~*")&gt;0)+(IFERROR(INDEX(Setup!$G$33:$G$40,MATCH(W1636,Setup!$B$33:$B$40,0)),0)=1)*(COUNTIF(W1608:W1625,$B1636)+COUNTIF(W1608:W1625,$B1636&amp;" ~*")&gt;0)+(IFERROR(INDEX(Setup!$G$33:$G$40,MATCH(Y1636,Setup!$B$33:$B$40,0)),0)=1)*(COUNTIF(Y1608:Y1625,$B1636)+COUNTIF(Y1608:Y1625,$B1636&amp;" ~*")&gt;0))</f>
        <v/>
      </c>
    </row>
    <row r="1637" ht="15" customHeight="1">
      <c r="A1637" t="n">
        <v>33</v>
      </c>
      <c r="B1637" s="35">
        <f>IF(Setup!$B$16="","",Setup!$B$16)</f>
        <v/>
      </c>
      <c r="C1637" s="98" t="n"/>
      <c r="D1637" s="99" t="n"/>
      <c r="E1637" s="99" t="n"/>
      <c r="F1637" s="100" t="n"/>
      <c r="G1637" s="98" t="n"/>
      <c r="H1637" s="99" t="n"/>
      <c r="I1637" s="99" t="n"/>
      <c r="J1637" s="100" t="n"/>
      <c r="K1637" s="98" t="n"/>
      <c r="L1637" s="99" t="n"/>
      <c r="M1637" s="99" t="n"/>
      <c r="N1637" s="100" t="n"/>
      <c r="O1637" s="98" t="n"/>
      <c r="P1637" s="99" t="n"/>
      <c r="Q1637" s="99" t="n"/>
      <c r="R1637" s="100" t="n"/>
      <c r="S1637" s="98" t="n"/>
      <c r="T1637" s="99" t="n"/>
      <c r="U1637" s="99" t="n"/>
      <c r="V1637" s="100" t="n"/>
      <c r="W1637" s="98" t="n"/>
      <c r="X1637" s="100" t="n"/>
      <c r="Y1637" s="98" t="n"/>
      <c r="Z1637" s="100" t="n"/>
      <c r="AB1637" s="101">
        <f>IF($B1637="","",(COUNTIF(C1608:E1625,$B1637)+COUNTIF(C1608:E1625,$B1637&amp;" ~*")&gt;0)+(COUNTIF(G1608:I1625,$B1637)+COUNTIF(G1608:I1625,$B1637&amp;" ~*")&gt;0)+(COUNTIF(K1608:M1625,$B1637)+COUNTIF(K1608:M1625,$B1637&amp;" ~*")&gt;0)+(COUNTIF(O1608:Q1625,$B1637)+COUNTIF(O1608:Q1625,$B1637&amp;" ~*")&gt;0)+(COUNTIF(S1608:U1625,$B1637)+COUNTIF(S1608:U1625,$B1637&amp;" ~*")&gt;0)+(COUNTIF(W1608:W1625,$B1637)+COUNTIF(W1608:W1625,$B1637&amp;" ~*")&gt;0)+(COUNTIF(Y1608:Y1625,$B1637)+COUNTIF(Y1608:Y1625,$B1637&amp;" ~*")&gt;0))</f>
        <v/>
      </c>
      <c r="AC1637" s="36">
        <f>IF($B1637="","",(IFERROR(INDEX(Setup!$G$33:$G$40,MATCH(C1637,Setup!$B$33:$B$40,0)),0)=1)*(COUNTIF(C1608:E1625,$B1637)+COUNTIF(C1608:E1625,$B1637&amp;" ~*")&gt;0)+(IFERROR(INDEX(Setup!$G$33:$G$40,MATCH(G1637,Setup!$B$33:$B$40,0)),0)=1)*(COUNTIF(G1608:I1625,$B1637)+COUNTIF(G1608:I1625,$B1637&amp;" ~*")&gt;0)+(IFERROR(INDEX(Setup!$G$33:$G$40,MATCH(K1637,Setup!$B$33:$B$40,0)),0)=1)*(COUNTIF(K1608:M1625,$B1637)+COUNTIF(K1608:M1625,$B1637&amp;" ~*")&gt;0)+(IFERROR(INDEX(Setup!$G$33:$G$40,MATCH(O1637,Setup!$B$33:$B$40,0)),0)=1)*(COUNTIF(O1608:Q1625,$B1637)+COUNTIF(O1608:Q1625,$B1637&amp;" ~*")&gt;0)+(IFERROR(INDEX(Setup!$G$33:$G$40,MATCH(S1637,Setup!$B$33:$B$40,0)),0)=1)*(COUNTIF(S1608:U1625,$B1637)+COUNTIF(S1608:U1625,$B1637&amp;" ~*")&gt;0)+(IFERROR(INDEX(Setup!$G$33:$G$40,MATCH(W1637,Setup!$B$33:$B$40,0)),0)=1)*(COUNTIF(W1608:W1625,$B1637)+COUNTIF(W1608:W1625,$B1637&amp;" ~*")&gt;0)+(IFERROR(INDEX(Setup!$G$33:$G$40,MATCH(Y1637,Setup!$B$33:$B$40,0)),0)=1)*(COUNTIF(Y1608:Y1625,$B1637)+COUNTIF(Y1608:Y1625,$B1637&amp;" ~*")&gt;0))</f>
        <v/>
      </c>
    </row>
    <row r="1638" ht="15" customHeight="1">
      <c r="A1638" t="n">
        <v>33</v>
      </c>
      <c r="B1638" s="37">
        <f>IF(Setup!$B$17="","",Setup!$B$17)</f>
        <v/>
      </c>
      <c r="C1638" s="102" t="n"/>
      <c r="D1638" s="103" t="n"/>
      <c r="E1638" s="103" t="n"/>
      <c r="F1638" s="104" t="n"/>
      <c r="G1638" s="102" t="n"/>
      <c r="H1638" s="103" t="n"/>
      <c r="I1638" s="103" t="n"/>
      <c r="J1638" s="104" t="n"/>
      <c r="K1638" s="102" t="n"/>
      <c r="L1638" s="103" t="n"/>
      <c r="M1638" s="103" t="n"/>
      <c r="N1638" s="104" t="n"/>
      <c r="O1638" s="102" t="n"/>
      <c r="P1638" s="103" t="n"/>
      <c r="Q1638" s="103" t="n"/>
      <c r="R1638" s="104" t="n"/>
      <c r="S1638" s="102" t="n"/>
      <c r="T1638" s="103" t="n"/>
      <c r="U1638" s="103" t="n"/>
      <c r="V1638" s="104" t="n"/>
      <c r="W1638" s="102" t="n"/>
      <c r="X1638" s="104" t="n"/>
      <c r="Y1638" s="102" t="n"/>
      <c r="Z1638" s="104" t="n"/>
      <c r="AB1638" s="105">
        <f>IF($B1638="","",(COUNTIF(C1608:E1625,$B1638)+COUNTIF(C1608:E1625,$B1638&amp;" ~*")&gt;0)+(COUNTIF(G1608:I1625,$B1638)+COUNTIF(G1608:I1625,$B1638&amp;" ~*")&gt;0)+(COUNTIF(K1608:M1625,$B1638)+COUNTIF(K1608:M1625,$B1638&amp;" ~*")&gt;0)+(COUNTIF(O1608:Q1625,$B1638)+COUNTIF(O1608:Q1625,$B1638&amp;" ~*")&gt;0)+(COUNTIF(S1608:U1625,$B1638)+COUNTIF(S1608:U1625,$B1638&amp;" ~*")&gt;0)+(COUNTIF(W1608:W1625,$B1638)+COUNTIF(W1608:W1625,$B1638&amp;" ~*")&gt;0)+(COUNTIF(Y1608:Y1625,$B1638)+COUNTIF(Y1608:Y1625,$B1638&amp;" ~*")&gt;0))</f>
        <v/>
      </c>
      <c r="AC1638" s="38">
        <f>IF($B1638="","",(IFERROR(INDEX(Setup!$G$33:$G$40,MATCH(C1638,Setup!$B$33:$B$40,0)),0)=1)*(COUNTIF(C1608:E1625,$B1638)+COUNTIF(C1608:E1625,$B1638&amp;" ~*")&gt;0)+(IFERROR(INDEX(Setup!$G$33:$G$40,MATCH(G1638,Setup!$B$33:$B$40,0)),0)=1)*(COUNTIF(G1608:I1625,$B1638)+COUNTIF(G1608:I1625,$B1638&amp;" ~*")&gt;0)+(IFERROR(INDEX(Setup!$G$33:$G$40,MATCH(K1638,Setup!$B$33:$B$40,0)),0)=1)*(COUNTIF(K1608:M1625,$B1638)+COUNTIF(K1608:M1625,$B1638&amp;" ~*")&gt;0)+(IFERROR(INDEX(Setup!$G$33:$G$40,MATCH(O1638,Setup!$B$33:$B$40,0)),0)=1)*(COUNTIF(O1608:Q1625,$B1638)+COUNTIF(O1608:Q1625,$B1638&amp;" ~*")&gt;0)+(IFERROR(INDEX(Setup!$G$33:$G$40,MATCH(S1638,Setup!$B$33:$B$40,0)),0)=1)*(COUNTIF(S1608:U1625,$B1638)+COUNTIF(S1608:U1625,$B1638&amp;" ~*")&gt;0)+(IFERROR(INDEX(Setup!$G$33:$G$40,MATCH(W1638,Setup!$B$33:$B$40,0)),0)=1)*(COUNTIF(W1608:W1625,$B1638)+COUNTIF(W1608:W1625,$B1638&amp;" ~*")&gt;0)+(IFERROR(INDEX(Setup!$G$33:$G$40,MATCH(Y1638,Setup!$B$33:$B$40,0)),0)=1)*(COUNTIF(Y1608:Y1625,$B1638)+COUNTIF(Y1608:Y1625,$B1638&amp;" ~*")&gt;0))</f>
        <v/>
      </c>
    </row>
    <row r="1639" ht="15" customHeight="1">
      <c r="A1639" t="n">
        <v>33</v>
      </c>
      <c r="B1639" s="35">
        <f>IF(Setup!$B$18="","",Setup!$B$18)</f>
        <v/>
      </c>
      <c r="C1639" s="98" t="n"/>
      <c r="D1639" s="99" t="n"/>
      <c r="E1639" s="99" t="n"/>
      <c r="F1639" s="100" t="n"/>
      <c r="G1639" s="98" t="n"/>
      <c r="H1639" s="99" t="n"/>
      <c r="I1639" s="99" t="n"/>
      <c r="J1639" s="100" t="n"/>
      <c r="K1639" s="98" t="n"/>
      <c r="L1639" s="99" t="n"/>
      <c r="M1639" s="99" t="n"/>
      <c r="N1639" s="100" t="n"/>
      <c r="O1639" s="98" t="n"/>
      <c r="P1639" s="99" t="n"/>
      <c r="Q1639" s="99" t="n"/>
      <c r="R1639" s="100" t="n"/>
      <c r="S1639" s="98" t="n"/>
      <c r="T1639" s="99" t="n"/>
      <c r="U1639" s="99" t="n"/>
      <c r="V1639" s="100" t="n"/>
      <c r="W1639" s="98" t="n"/>
      <c r="X1639" s="100" t="n"/>
      <c r="Y1639" s="98" t="n"/>
      <c r="Z1639" s="100" t="n"/>
      <c r="AB1639" s="101">
        <f>IF($B1639="","",(COUNTIF(C1608:E1625,$B1639)+COUNTIF(C1608:E1625,$B1639&amp;" ~*")&gt;0)+(COUNTIF(G1608:I1625,$B1639)+COUNTIF(G1608:I1625,$B1639&amp;" ~*")&gt;0)+(COUNTIF(K1608:M1625,$B1639)+COUNTIF(K1608:M1625,$B1639&amp;" ~*")&gt;0)+(COUNTIF(O1608:Q1625,$B1639)+COUNTIF(O1608:Q1625,$B1639&amp;" ~*")&gt;0)+(COUNTIF(S1608:U1625,$B1639)+COUNTIF(S1608:U1625,$B1639&amp;" ~*")&gt;0)+(COUNTIF(W1608:W1625,$B1639)+COUNTIF(W1608:W1625,$B1639&amp;" ~*")&gt;0)+(COUNTIF(Y1608:Y1625,$B1639)+COUNTIF(Y1608:Y1625,$B1639&amp;" ~*")&gt;0))</f>
        <v/>
      </c>
      <c r="AC1639" s="36">
        <f>IF($B1639="","",(IFERROR(INDEX(Setup!$G$33:$G$40,MATCH(C1639,Setup!$B$33:$B$40,0)),0)=1)*(COUNTIF(C1608:E1625,$B1639)+COUNTIF(C1608:E1625,$B1639&amp;" ~*")&gt;0)+(IFERROR(INDEX(Setup!$G$33:$G$40,MATCH(G1639,Setup!$B$33:$B$40,0)),0)=1)*(COUNTIF(G1608:I1625,$B1639)+COUNTIF(G1608:I1625,$B1639&amp;" ~*")&gt;0)+(IFERROR(INDEX(Setup!$G$33:$G$40,MATCH(K1639,Setup!$B$33:$B$40,0)),0)=1)*(COUNTIF(K1608:M1625,$B1639)+COUNTIF(K1608:M1625,$B1639&amp;" ~*")&gt;0)+(IFERROR(INDEX(Setup!$G$33:$G$40,MATCH(O1639,Setup!$B$33:$B$40,0)),0)=1)*(COUNTIF(O1608:Q1625,$B1639)+COUNTIF(O1608:Q1625,$B1639&amp;" ~*")&gt;0)+(IFERROR(INDEX(Setup!$G$33:$G$40,MATCH(S1639,Setup!$B$33:$B$40,0)),0)=1)*(COUNTIF(S1608:U1625,$B1639)+COUNTIF(S1608:U1625,$B1639&amp;" ~*")&gt;0)+(IFERROR(INDEX(Setup!$G$33:$G$40,MATCH(W1639,Setup!$B$33:$B$40,0)),0)=1)*(COUNTIF(W1608:W1625,$B1639)+COUNTIF(W1608:W1625,$B1639&amp;" ~*")&gt;0)+(IFERROR(INDEX(Setup!$G$33:$G$40,MATCH(Y1639,Setup!$B$33:$B$40,0)),0)=1)*(COUNTIF(Y1608:Y1625,$B1639)+COUNTIF(Y1608:Y1625,$B1639&amp;" ~*")&gt;0))</f>
        <v/>
      </c>
    </row>
    <row r="1640" ht="15" customHeight="1">
      <c r="A1640" t="n">
        <v>33</v>
      </c>
      <c r="B1640" s="37">
        <f>IF(Setup!$B$19="","",Setup!$B$19)</f>
        <v/>
      </c>
      <c r="C1640" s="102" t="n"/>
      <c r="D1640" s="103" t="n"/>
      <c r="E1640" s="103" t="n"/>
      <c r="F1640" s="104" t="n"/>
      <c r="G1640" s="102" t="n"/>
      <c r="H1640" s="103" t="n"/>
      <c r="I1640" s="103" t="n"/>
      <c r="J1640" s="104" t="n"/>
      <c r="K1640" s="102" t="n"/>
      <c r="L1640" s="103" t="n"/>
      <c r="M1640" s="103" t="n"/>
      <c r="N1640" s="104" t="n"/>
      <c r="O1640" s="102" t="n"/>
      <c r="P1640" s="103" t="n"/>
      <c r="Q1640" s="103" t="n"/>
      <c r="R1640" s="104" t="n"/>
      <c r="S1640" s="102" t="n"/>
      <c r="T1640" s="103" t="n"/>
      <c r="U1640" s="103" t="n"/>
      <c r="V1640" s="104" t="n"/>
      <c r="W1640" s="102" t="n"/>
      <c r="X1640" s="104" t="n"/>
      <c r="Y1640" s="102" t="n"/>
      <c r="Z1640" s="104" t="n"/>
      <c r="AB1640" s="105">
        <f>IF($B1640="","",(COUNTIF(C1608:E1625,$B1640)+COUNTIF(C1608:E1625,$B1640&amp;" ~*")&gt;0)+(COUNTIF(G1608:I1625,$B1640)+COUNTIF(G1608:I1625,$B1640&amp;" ~*")&gt;0)+(COUNTIF(K1608:M1625,$B1640)+COUNTIF(K1608:M1625,$B1640&amp;" ~*")&gt;0)+(COUNTIF(O1608:Q1625,$B1640)+COUNTIF(O1608:Q1625,$B1640&amp;" ~*")&gt;0)+(COUNTIF(S1608:U1625,$B1640)+COUNTIF(S1608:U1625,$B1640&amp;" ~*")&gt;0)+(COUNTIF(W1608:W1625,$B1640)+COUNTIF(W1608:W1625,$B1640&amp;" ~*")&gt;0)+(COUNTIF(Y1608:Y1625,$B1640)+COUNTIF(Y1608:Y1625,$B1640&amp;" ~*")&gt;0))</f>
        <v/>
      </c>
      <c r="AC1640" s="38">
        <f>IF($B1640="","",(IFERROR(INDEX(Setup!$G$33:$G$40,MATCH(C1640,Setup!$B$33:$B$40,0)),0)=1)*(COUNTIF(C1608:E1625,$B1640)+COUNTIF(C1608:E1625,$B1640&amp;" ~*")&gt;0)+(IFERROR(INDEX(Setup!$G$33:$G$40,MATCH(G1640,Setup!$B$33:$B$40,0)),0)=1)*(COUNTIF(G1608:I1625,$B1640)+COUNTIF(G1608:I1625,$B1640&amp;" ~*")&gt;0)+(IFERROR(INDEX(Setup!$G$33:$G$40,MATCH(K1640,Setup!$B$33:$B$40,0)),0)=1)*(COUNTIF(K1608:M1625,$B1640)+COUNTIF(K1608:M1625,$B1640&amp;" ~*")&gt;0)+(IFERROR(INDEX(Setup!$G$33:$G$40,MATCH(O1640,Setup!$B$33:$B$40,0)),0)=1)*(COUNTIF(O1608:Q1625,$B1640)+COUNTIF(O1608:Q1625,$B1640&amp;" ~*")&gt;0)+(IFERROR(INDEX(Setup!$G$33:$G$40,MATCH(S1640,Setup!$B$33:$B$40,0)),0)=1)*(COUNTIF(S1608:U1625,$B1640)+COUNTIF(S1608:U1625,$B1640&amp;" ~*")&gt;0)+(IFERROR(INDEX(Setup!$G$33:$G$40,MATCH(W1640,Setup!$B$33:$B$40,0)),0)=1)*(COUNTIF(W1608:W1625,$B1640)+COUNTIF(W1608:W1625,$B1640&amp;" ~*")&gt;0)+(IFERROR(INDEX(Setup!$G$33:$G$40,MATCH(Y1640,Setup!$B$33:$B$40,0)),0)=1)*(COUNTIF(Y1608:Y1625,$B1640)+COUNTIF(Y1608:Y1625,$B1640&amp;" ~*")&gt;0))</f>
        <v/>
      </c>
    </row>
    <row r="1641" ht="15" customHeight="1">
      <c r="A1641" t="n">
        <v>33</v>
      </c>
      <c r="B1641" s="35">
        <f>IF(Setup!$B$20="","",Setup!$B$20)</f>
        <v/>
      </c>
      <c r="C1641" s="98" t="n"/>
      <c r="D1641" s="99" t="n"/>
      <c r="E1641" s="99" t="n"/>
      <c r="F1641" s="100" t="n"/>
      <c r="G1641" s="98" t="n"/>
      <c r="H1641" s="99" t="n"/>
      <c r="I1641" s="99" t="n"/>
      <c r="J1641" s="100" t="n"/>
      <c r="K1641" s="98" t="n"/>
      <c r="L1641" s="99" t="n"/>
      <c r="M1641" s="99" t="n"/>
      <c r="N1641" s="100" t="n"/>
      <c r="O1641" s="98" t="n"/>
      <c r="P1641" s="99" t="n"/>
      <c r="Q1641" s="99" t="n"/>
      <c r="R1641" s="100" t="n"/>
      <c r="S1641" s="98" t="n"/>
      <c r="T1641" s="99" t="n"/>
      <c r="U1641" s="99" t="n"/>
      <c r="V1641" s="100" t="n"/>
      <c r="W1641" s="98" t="n"/>
      <c r="X1641" s="100" t="n"/>
      <c r="Y1641" s="98" t="n"/>
      <c r="Z1641" s="100" t="n"/>
      <c r="AB1641" s="101">
        <f>IF($B1641="","",(COUNTIF(C1608:E1625,$B1641)+COUNTIF(C1608:E1625,$B1641&amp;" ~*")&gt;0)+(COUNTIF(G1608:I1625,$B1641)+COUNTIF(G1608:I1625,$B1641&amp;" ~*")&gt;0)+(COUNTIF(K1608:M1625,$B1641)+COUNTIF(K1608:M1625,$B1641&amp;" ~*")&gt;0)+(COUNTIF(O1608:Q1625,$B1641)+COUNTIF(O1608:Q1625,$B1641&amp;" ~*")&gt;0)+(COUNTIF(S1608:U1625,$B1641)+COUNTIF(S1608:U1625,$B1641&amp;" ~*")&gt;0)+(COUNTIF(W1608:W1625,$B1641)+COUNTIF(W1608:W1625,$B1641&amp;" ~*")&gt;0)+(COUNTIF(Y1608:Y1625,$B1641)+COUNTIF(Y1608:Y1625,$B1641&amp;" ~*")&gt;0))</f>
        <v/>
      </c>
      <c r="AC1641" s="36">
        <f>IF($B1641="","",(IFERROR(INDEX(Setup!$G$33:$G$40,MATCH(C1641,Setup!$B$33:$B$40,0)),0)=1)*(COUNTIF(C1608:E1625,$B1641)+COUNTIF(C1608:E1625,$B1641&amp;" ~*")&gt;0)+(IFERROR(INDEX(Setup!$G$33:$G$40,MATCH(G1641,Setup!$B$33:$B$40,0)),0)=1)*(COUNTIF(G1608:I1625,$B1641)+COUNTIF(G1608:I1625,$B1641&amp;" ~*")&gt;0)+(IFERROR(INDEX(Setup!$G$33:$G$40,MATCH(K1641,Setup!$B$33:$B$40,0)),0)=1)*(COUNTIF(K1608:M1625,$B1641)+COUNTIF(K1608:M1625,$B1641&amp;" ~*")&gt;0)+(IFERROR(INDEX(Setup!$G$33:$G$40,MATCH(O1641,Setup!$B$33:$B$40,0)),0)=1)*(COUNTIF(O1608:Q1625,$B1641)+COUNTIF(O1608:Q1625,$B1641&amp;" ~*")&gt;0)+(IFERROR(INDEX(Setup!$G$33:$G$40,MATCH(S1641,Setup!$B$33:$B$40,0)),0)=1)*(COUNTIF(S1608:U1625,$B1641)+COUNTIF(S1608:U1625,$B1641&amp;" ~*")&gt;0)+(IFERROR(INDEX(Setup!$G$33:$G$40,MATCH(W1641,Setup!$B$33:$B$40,0)),0)=1)*(COUNTIF(W1608:W1625,$B1641)+COUNTIF(W1608:W1625,$B1641&amp;" ~*")&gt;0)+(IFERROR(INDEX(Setup!$G$33:$G$40,MATCH(Y1641,Setup!$B$33:$B$40,0)),0)=1)*(COUNTIF(Y1608:Y1625,$B1641)+COUNTIF(Y1608:Y1625,$B1641&amp;" ~*")&gt;0))</f>
        <v/>
      </c>
    </row>
    <row r="1642" ht="15" customHeight="1">
      <c r="A1642" t="n">
        <v>33</v>
      </c>
      <c r="B1642" s="37">
        <f>IF(Setup!$B$21="","",Setup!$B$21)</f>
        <v/>
      </c>
      <c r="C1642" s="102" t="n"/>
      <c r="D1642" s="103" t="n"/>
      <c r="E1642" s="103" t="n"/>
      <c r="F1642" s="104" t="n"/>
      <c r="G1642" s="102" t="n"/>
      <c r="H1642" s="103" t="n"/>
      <c r="I1642" s="103" t="n"/>
      <c r="J1642" s="104" t="n"/>
      <c r="K1642" s="102" t="n"/>
      <c r="L1642" s="103" t="n"/>
      <c r="M1642" s="103" t="n"/>
      <c r="N1642" s="104" t="n"/>
      <c r="O1642" s="102" t="n"/>
      <c r="P1642" s="103" t="n"/>
      <c r="Q1642" s="103" t="n"/>
      <c r="R1642" s="104" t="n"/>
      <c r="S1642" s="102" t="n"/>
      <c r="T1642" s="103" t="n"/>
      <c r="U1642" s="103" t="n"/>
      <c r="V1642" s="104" t="n"/>
      <c r="W1642" s="102" t="n"/>
      <c r="X1642" s="104" t="n"/>
      <c r="Y1642" s="102" t="n"/>
      <c r="Z1642" s="104" t="n"/>
      <c r="AB1642" s="105">
        <f>IF($B1642="","",(COUNTIF(C1608:E1625,$B1642)+COUNTIF(C1608:E1625,$B1642&amp;" ~*")&gt;0)+(COUNTIF(G1608:I1625,$B1642)+COUNTIF(G1608:I1625,$B1642&amp;" ~*")&gt;0)+(COUNTIF(K1608:M1625,$B1642)+COUNTIF(K1608:M1625,$B1642&amp;" ~*")&gt;0)+(COUNTIF(O1608:Q1625,$B1642)+COUNTIF(O1608:Q1625,$B1642&amp;" ~*")&gt;0)+(COUNTIF(S1608:U1625,$B1642)+COUNTIF(S1608:U1625,$B1642&amp;" ~*")&gt;0)+(COUNTIF(W1608:W1625,$B1642)+COUNTIF(W1608:W1625,$B1642&amp;" ~*")&gt;0)+(COUNTIF(Y1608:Y1625,$B1642)+COUNTIF(Y1608:Y1625,$B1642&amp;" ~*")&gt;0))</f>
        <v/>
      </c>
      <c r="AC1642" s="38">
        <f>IF($B1642="","",(IFERROR(INDEX(Setup!$G$33:$G$40,MATCH(C1642,Setup!$B$33:$B$40,0)),0)=1)*(COUNTIF(C1608:E1625,$B1642)+COUNTIF(C1608:E1625,$B1642&amp;" ~*")&gt;0)+(IFERROR(INDEX(Setup!$G$33:$G$40,MATCH(G1642,Setup!$B$33:$B$40,0)),0)=1)*(COUNTIF(G1608:I1625,$B1642)+COUNTIF(G1608:I1625,$B1642&amp;" ~*")&gt;0)+(IFERROR(INDEX(Setup!$G$33:$G$40,MATCH(K1642,Setup!$B$33:$B$40,0)),0)=1)*(COUNTIF(K1608:M1625,$B1642)+COUNTIF(K1608:M1625,$B1642&amp;" ~*")&gt;0)+(IFERROR(INDEX(Setup!$G$33:$G$40,MATCH(O1642,Setup!$B$33:$B$40,0)),0)=1)*(COUNTIF(O1608:Q1625,$B1642)+COUNTIF(O1608:Q1625,$B1642&amp;" ~*")&gt;0)+(IFERROR(INDEX(Setup!$G$33:$G$40,MATCH(S1642,Setup!$B$33:$B$40,0)),0)=1)*(COUNTIF(S1608:U1625,$B1642)+COUNTIF(S1608:U1625,$B1642&amp;" ~*")&gt;0)+(IFERROR(INDEX(Setup!$G$33:$G$40,MATCH(W1642,Setup!$B$33:$B$40,0)),0)=1)*(COUNTIF(W1608:W1625,$B1642)+COUNTIF(W1608:W1625,$B1642&amp;" ~*")&gt;0)+(IFERROR(INDEX(Setup!$G$33:$G$40,MATCH(Y1642,Setup!$B$33:$B$40,0)),0)=1)*(COUNTIF(Y1608:Y1625,$B1642)+COUNTIF(Y1608:Y1625,$B1642&amp;" ~*")&gt;0))</f>
        <v/>
      </c>
    </row>
    <row r="1643" ht="15" customHeight="1">
      <c r="A1643" t="n">
        <v>33</v>
      </c>
      <c r="B1643" s="35">
        <f>IF(Setup!$B$22="","",Setup!$B$22)</f>
        <v/>
      </c>
      <c r="C1643" s="98" t="n"/>
      <c r="D1643" s="99" t="n"/>
      <c r="E1643" s="99" t="n"/>
      <c r="F1643" s="100" t="n"/>
      <c r="G1643" s="98" t="n"/>
      <c r="H1643" s="99" t="n"/>
      <c r="I1643" s="99" t="n"/>
      <c r="J1643" s="100" t="n"/>
      <c r="K1643" s="98" t="n"/>
      <c r="L1643" s="99" t="n"/>
      <c r="M1643" s="99" t="n"/>
      <c r="N1643" s="100" t="n"/>
      <c r="O1643" s="98" t="n"/>
      <c r="P1643" s="99" t="n"/>
      <c r="Q1643" s="99" t="n"/>
      <c r="R1643" s="100" t="n"/>
      <c r="S1643" s="98" t="n"/>
      <c r="T1643" s="99" t="n"/>
      <c r="U1643" s="99" t="n"/>
      <c r="V1643" s="100" t="n"/>
      <c r="W1643" s="98" t="n"/>
      <c r="X1643" s="100" t="n"/>
      <c r="Y1643" s="98" t="n"/>
      <c r="Z1643" s="100" t="n"/>
      <c r="AB1643" s="101">
        <f>IF($B1643="","",(COUNTIF(C1608:E1625,$B1643)+COUNTIF(C1608:E1625,$B1643&amp;" ~*")&gt;0)+(COUNTIF(G1608:I1625,$B1643)+COUNTIF(G1608:I1625,$B1643&amp;" ~*")&gt;0)+(COUNTIF(K1608:M1625,$B1643)+COUNTIF(K1608:M1625,$B1643&amp;" ~*")&gt;0)+(COUNTIF(O1608:Q1625,$B1643)+COUNTIF(O1608:Q1625,$B1643&amp;" ~*")&gt;0)+(COUNTIF(S1608:U1625,$B1643)+COUNTIF(S1608:U1625,$B1643&amp;" ~*")&gt;0)+(COUNTIF(W1608:W1625,$B1643)+COUNTIF(W1608:W1625,$B1643&amp;" ~*")&gt;0)+(COUNTIF(Y1608:Y1625,$B1643)+COUNTIF(Y1608:Y1625,$B1643&amp;" ~*")&gt;0))</f>
        <v/>
      </c>
      <c r="AC1643" s="36">
        <f>IF($B1643="","",(IFERROR(INDEX(Setup!$G$33:$G$40,MATCH(C1643,Setup!$B$33:$B$40,0)),0)=1)*(COUNTIF(C1608:E1625,$B1643)+COUNTIF(C1608:E1625,$B1643&amp;" ~*")&gt;0)+(IFERROR(INDEX(Setup!$G$33:$G$40,MATCH(G1643,Setup!$B$33:$B$40,0)),0)=1)*(COUNTIF(G1608:I1625,$B1643)+COUNTIF(G1608:I1625,$B1643&amp;" ~*")&gt;0)+(IFERROR(INDEX(Setup!$G$33:$G$40,MATCH(K1643,Setup!$B$33:$B$40,0)),0)=1)*(COUNTIF(K1608:M1625,$B1643)+COUNTIF(K1608:M1625,$B1643&amp;" ~*")&gt;0)+(IFERROR(INDEX(Setup!$G$33:$G$40,MATCH(O1643,Setup!$B$33:$B$40,0)),0)=1)*(COUNTIF(O1608:Q1625,$B1643)+COUNTIF(O1608:Q1625,$B1643&amp;" ~*")&gt;0)+(IFERROR(INDEX(Setup!$G$33:$G$40,MATCH(S1643,Setup!$B$33:$B$40,0)),0)=1)*(COUNTIF(S1608:U1625,$B1643)+COUNTIF(S1608:U1625,$B1643&amp;" ~*")&gt;0)+(IFERROR(INDEX(Setup!$G$33:$G$40,MATCH(W1643,Setup!$B$33:$B$40,0)),0)=1)*(COUNTIF(W1608:W1625,$B1643)+COUNTIF(W1608:W1625,$B1643&amp;" ~*")&gt;0)+(IFERROR(INDEX(Setup!$G$33:$G$40,MATCH(Y1643,Setup!$B$33:$B$40,0)),0)=1)*(COUNTIF(Y1608:Y1625,$B1643)+COUNTIF(Y1608:Y1625,$B1643&amp;" ~*")&gt;0))</f>
        <v/>
      </c>
    </row>
    <row r="1644" ht="15" customHeight="1">
      <c r="A1644" t="n">
        <v>33</v>
      </c>
      <c r="B1644" s="37">
        <f>IF(Setup!$B$23="","",Setup!$B$23)</f>
        <v/>
      </c>
      <c r="C1644" s="102" t="n"/>
      <c r="D1644" s="103" t="n"/>
      <c r="E1644" s="103" t="n"/>
      <c r="F1644" s="104" t="n"/>
      <c r="G1644" s="102" t="n"/>
      <c r="H1644" s="103" t="n"/>
      <c r="I1644" s="103" t="n"/>
      <c r="J1644" s="104" t="n"/>
      <c r="K1644" s="102" t="n"/>
      <c r="L1644" s="103" t="n"/>
      <c r="M1644" s="103" t="n"/>
      <c r="N1644" s="104" t="n"/>
      <c r="O1644" s="102" t="n"/>
      <c r="P1644" s="103" t="n"/>
      <c r="Q1644" s="103" t="n"/>
      <c r="R1644" s="104" t="n"/>
      <c r="S1644" s="102" t="n"/>
      <c r="T1644" s="103" t="n"/>
      <c r="U1644" s="103" t="n"/>
      <c r="V1644" s="104" t="n"/>
      <c r="W1644" s="102" t="n"/>
      <c r="X1644" s="104" t="n"/>
      <c r="Y1644" s="102" t="n"/>
      <c r="Z1644" s="104" t="n"/>
      <c r="AB1644" s="105">
        <f>IF($B1644="","",(COUNTIF(C1608:E1625,$B1644)+COUNTIF(C1608:E1625,$B1644&amp;" ~*")&gt;0)+(COUNTIF(G1608:I1625,$B1644)+COUNTIF(G1608:I1625,$B1644&amp;" ~*")&gt;0)+(COUNTIF(K1608:M1625,$B1644)+COUNTIF(K1608:M1625,$B1644&amp;" ~*")&gt;0)+(COUNTIF(O1608:Q1625,$B1644)+COUNTIF(O1608:Q1625,$B1644&amp;" ~*")&gt;0)+(COUNTIF(S1608:U1625,$B1644)+COUNTIF(S1608:U1625,$B1644&amp;" ~*")&gt;0)+(COUNTIF(W1608:W1625,$B1644)+COUNTIF(W1608:W1625,$B1644&amp;" ~*")&gt;0)+(COUNTIF(Y1608:Y1625,$B1644)+COUNTIF(Y1608:Y1625,$B1644&amp;" ~*")&gt;0))</f>
        <v/>
      </c>
      <c r="AC1644" s="38">
        <f>IF($B1644="","",(IFERROR(INDEX(Setup!$G$33:$G$40,MATCH(C1644,Setup!$B$33:$B$40,0)),0)=1)*(COUNTIF(C1608:E1625,$B1644)+COUNTIF(C1608:E1625,$B1644&amp;" ~*")&gt;0)+(IFERROR(INDEX(Setup!$G$33:$G$40,MATCH(G1644,Setup!$B$33:$B$40,0)),0)=1)*(COUNTIF(G1608:I1625,$B1644)+COUNTIF(G1608:I1625,$B1644&amp;" ~*")&gt;0)+(IFERROR(INDEX(Setup!$G$33:$G$40,MATCH(K1644,Setup!$B$33:$B$40,0)),0)=1)*(COUNTIF(K1608:M1625,$B1644)+COUNTIF(K1608:M1625,$B1644&amp;" ~*")&gt;0)+(IFERROR(INDEX(Setup!$G$33:$G$40,MATCH(O1644,Setup!$B$33:$B$40,0)),0)=1)*(COUNTIF(O1608:Q1625,$B1644)+COUNTIF(O1608:Q1625,$B1644&amp;" ~*")&gt;0)+(IFERROR(INDEX(Setup!$G$33:$G$40,MATCH(S1644,Setup!$B$33:$B$40,0)),0)=1)*(COUNTIF(S1608:U1625,$B1644)+COUNTIF(S1608:U1625,$B1644&amp;" ~*")&gt;0)+(IFERROR(INDEX(Setup!$G$33:$G$40,MATCH(W1644,Setup!$B$33:$B$40,0)),0)=1)*(COUNTIF(W1608:W1625,$B1644)+COUNTIF(W1608:W1625,$B1644&amp;" ~*")&gt;0)+(IFERROR(INDEX(Setup!$G$33:$G$40,MATCH(Y1644,Setup!$B$33:$B$40,0)),0)=1)*(COUNTIF(Y1608:Y1625,$B1644)+COUNTIF(Y1608:Y1625,$B1644&amp;" ~*")&gt;0))</f>
        <v/>
      </c>
    </row>
    <row r="1645" ht="15" customHeight="1">
      <c r="A1645" t="n">
        <v>33</v>
      </c>
      <c r="B1645" s="35">
        <f>IF(Setup!$B$24="","",Setup!$B$24)</f>
        <v/>
      </c>
      <c r="C1645" s="98" t="n"/>
      <c r="D1645" s="99" t="n"/>
      <c r="E1645" s="99" t="n"/>
      <c r="F1645" s="100" t="n"/>
      <c r="G1645" s="98" t="n"/>
      <c r="H1645" s="99" t="n"/>
      <c r="I1645" s="99" t="n"/>
      <c r="J1645" s="100" t="n"/>
      <c r="K1645" s="98" t="n"/>
      <c r="L1645" s="99" t="n"/>
      <c r="M1645" s="99" t="n"/>
      <c r="N1645" s="100" t="n"/>
      <c r="O1645" s="98" t="n"/>
      <c r="P1645" s="99" t="n"/>
      <c r="Q1645" s="99" t="n"/>
      <c r="R1645" s="100" t="n"/>
      <c r="S1645" s="98" t="n"/>
      <c r="T1645" s="99" t="n"/>
      <c r="U1645" s="99" t="n"/>
      <c r="V1645" s="100" t="n"/>
      <c r="W1645" s="98" t="n"/>
      <c r="X1645" s="100" t="n"/>
      <c r="Y1645" s="98" t="n"/>
      <c r="Z1645" s="100" t="n"/>
      <c r="AB1645" s="101">
        <f>IF($B1645="","",(COUNTIF(C1608:E1625,$B1645)+COUNTIF(C1608:E1625,$B1645&amp;" ~*")&gt;0)+(COUNTIF(G1608:I1625,$B1645)+COUNTIF(G1608:I1625,$B1645&amp;" ~*")&gt;0)+(COUNTIF(K1608:M1625,$B1645)+COUNTIF(K1608:M1625,$B1645&amp;" ~*")&gt;0)+(COUNTIF(O1608:Q1625,$B1645)+COUNTIF(O1608:Q1625,$B1645&amp;" ~*")&gt;0)+(COUNTIF(S1608:U1625,$B1645)+COUNTIF(S1608:U1625,$B1645&amp;" ~*")&gt;0)+(COUNTIF(W1608:W1625,$B1645)+COUNTIF(W1608:W1625,$B1645&amp;" ~*")&gt;0)+(COUNTIF(Y1608:Y1625,$B1645)+COUNTIF(Y1608:Y1625,$B1645&amp;" ~*")&gt;0))</f>
        <v/>
      </c>
      <c r="AC1645" s="36">
        <f>IF($B1645="","",(IFERROR(INDEX(Setup!$G$33:$G$40,MATCH(C1645,Setup!$B$33:$B$40,0)),0)=1)*(COUNTIF(C1608:E1625,$B1645)+COUNTIF(C1608:E1625,$B1645&amp;" ~*")&gt;0)+(IFERROR(INDEX(Setup!$G$33:$G$40,MATCH(G1645,Setup!$B$33:$B$40,0)),0)=1)*(COUNTIF(G1608:I1625,$B1645)+COUNTIF(G1608:I1625,$B1645&amp;" ~*")&gt;0)+(IFERROR(INDEX(Setup!$G$33:$G$40,MATCH(K1645,Setup!$B$33:$B$40,0)),0)=1)*(COUNTIF(K1608:M1625,$B1645)+COUNTIF(K1608:M1625,$B1645&amp;" ~*")&gt;0)+(IFERROR(INDEX(Setup!$G$33:$G$40,MATCH(O1645,Setup!$B$33:$B$40,0)),0)=1)*(COUNTIF(O1608:Q1625,$B1645)+COUNTIF(O1608:Q1625,$B1645&amp;" ~*")&gt;0)+(IFERROR(INDEX(Setup!$G$33:$G$40,MATCH(S1645,Setup!$B$33:$B$40,0)),0)=1)*(COUNTIF(S1608:U1625,$B1645)+COUNTIF(S1608:U1625,$B1645&amp;" ~*")&gt;0)+(IFERROR(INDEX(Setup!$G$33:$G$40,MATCH(W1645,Setup!$B$33:$B$40,0)),0)=1)*(COUNTIF(W1608:W1625,$B1645)+COUNTIF(W1608:W1625,$B1645&amp;" ~*")&gt;0)+(IFERROR(INDEX(Setup!$G$33:$G$40,MATCH(Y1645,Setup!$B$33:$B$40,0)),0)=1)*(COUNTIF(Y1608:Y1625,$B1645)+COUNTIF(Y1608:Y1625,$B1645&amp;" ~*")&gt;0))</f>
        <v/>
      </c>
    </row>
    <row r="1646" ht="15" customHeight="1">
      <c r="A1646" t="n">
        <v>33</v>
      </c>
      <c r="B1646" s="37">
        <f>IF(Setup!$B$25="","",Setup!$B$25)</f>
        <v/>
      </c>
      <c r="C1646" s="102" t="n"/>
      <c r="D1646" s="103" t="n"/>
      <c r="E1646" s="103" t="n"/>
      <c r="F1646" s="104" t="n"/>
      <c r="G1646" s="102" t="n"/>
      <c r="H1646" s="103" t="n"/>
      <c r="I1646" s="103" t="n"/>
      <c r="J1646" s="104" t="n"/>
      <c r="K1646" s="102" t="n"/>
      <c r="L1646" s="103" t="n"/>
      <c r="M1646" s="103" t="n"/>
      <c r="N1646" s="104" t="n"/>
      <c r="O1646" s="102" t="n"/>
      <c r="P1646" s="103" t="n"/>
      <c r="Q1646" s="103" t="n"/>
      <c r="R1646" s="104" t="n"/>
      <c r="S1646" s="102" t="n"/>
      <c r="T1646" s="103" t="n"/>
      <c r="U1646" s="103" t="n"/>
      <c r="V1646" s="104" t="n"/>
      <c r="W1646" s="102" t="n"/>
      <c r="X1646" s="104" t="n"/>
      <c r="Y1646" s="102" t="n"/>
      <c r="Z1646" s="104" t="n"/>
      <c r="AB1646" s="105">
        <f>IF($B1646="","",(COUNTIF(C1608:E1625,$B1646)+COUNTIF(C1608:E1625,$B1646&amp;" ~*")&gt;0)+(COUNTIF(G1608:I1625,$B1646)+COUNTIF(G1608:I1625,$B1646&amp;" ~*")&gt;0)+(COUNTIF(K1608:M1625,$B1646)+COUNTIF(K1608:M1625,$B1646&amp;" ~*")&gt;0)+(COUNTIF(O1608:Q1625,$B1646)+COUNTIF(O1608:Q1625,$B1646&amp;" ~*")&gt;0)+(COUNTIF(S1608:U1625,$B1646)+COUNTIF(S1608:U1625,$B1646&amp;" ~*")&gt;0)+(COUNTIF(W1608:W1625,$B1646)+COUNTIF(W1608:W1625,$B1646&amp;" ~*")&gt;0)+(COUNTIF(Y1608:Y1625,$B1646)+COUNTIF(Y1608:Y1625,$B1646&amp;" ~*")&gt;0))</f>
        <v/>
      </c>
      <c r="AC1646" s="38">
        <f>IF($B1646="","",(IFERROR(INDEX(Setup!$G$33:$G$40,MATCH(C1646,Setup!$B$33:$B$40,0)),0)=1)*(COUNTIF(C1608:E1625,$B1646)+COUNTIF(C1608:E1625,$B1646&amp;" ~*")&gt;0)+(IFERROR(INDEX(Setup!$G$33:$G$40,MATCH(G1646,Setup!$B$33:$B$40,0)),0)=1)*(COUNTIF(G1608:I1625,$B1646)+COUNTIF(G1608:I1625,$B1646&amp;" ~*")&gt;0)+(IFERROR(INDEX(Setup!$G$33:$G$40,MATCH(K1646,Setup!$B$33:$B$40,0)),0)=1)*(COUNTIF(K1608:M1625,$B1646)+COUNTIF(K1608:M1625,$B1646&amp;" ~*")&gt;0)+(IFERROR(INDEX(Setup!$G$33:$G$40,MATCH(O1646,Setup!$B$33:$B$40,0)),0)=1)*(COUNTIF(O1608:Q1625,$B1646)+COUNTIF(O1608:Q1625,$B1646&amp;" ~*")&gt;0)+(IFERROR(INDEX(Setup!$G$33:$G$40,MATCH(S1646,Setup!$B$33:$B$40,0)),0)=1)*(COUNTIF(S1608:U1625,$B1646)+COUNTIF(S1608:U1625,$B1646&amp;" ~*")&gt;0)+(IFERROR(INDEX(Setup!$G$33:$G$40,MATCH(W1646,Setup!$B$33:$B$40,0)),0)=1)*(COUNTIF(W1608:W1625,$B1646)+COUNTIF(W1608:W1625,$B1646&amp;" ~*")&gt;0)+(IFERROR(INDEX(Setup!$G$33:$G$40,MATCH(Y1646,Setup!$B$33:$B$40,0)),0)=1)*(COUNTIF(Y1608:Y1625,$B1646)+COUNTIF(Y1608:Y1625,$B1646&amp;" ~*")&gt;0))</f>
        <v/>
      </c>
    </row>
    <row r="1647" ht="15" customHeight="1">
      <c r="A1647" t="n">
        <v>33</v>
      </c>
      <c r="B1647" s="35">
        <f>IF(Setup!$B$26="","",Setup!$B$26)</f>
        <v/>
      </c>
      <c r="C1647" s="98" t="n"/>
      <c r="D1647" s="99" t="n"/>
      <c r="E1647" s="99" t="n"/>
      <c r="F1647" s="100" t="n"/>
      <c r="G1647" s="98" t="n"/>
      <c r="H1647" s="99" t="n"/>
      <c r="I1647" s="99" t="n"/>
      <c r="J1647" s="100" t="n"/>
      <c r="K1647" s="98" t="n"/>
      <c r="L1647" s="99" t="n"/>
      <c r="M1647" s="99" t="n"/>
      <c r="N1647" s="100" t="n"/>
      <c r="O1647" s="98" t="n"/>
      <c r="P1647" s="99" t="n"/>
      <c r="Q1647" s="99" t="n"/>
      <c r="R1647" s="100" t="n"/>
      <c r="S1647" s="98" t="n"/>
      <c r="T1647" s="99" t="n"/>
      <c r="U1647" s="99" t="n"/>
      <c r="V1647" s="100" t="n"/>
      <c r="W1647" s="98" t="n"/>
      <c r="X1647" s="100" t="n"/>
      <c r="Y1647" s="98" t="n"/>
      <c r="Z1647" s="100" t="n"/>
      <c r="AB1647" s="101">
        <f>IF($B1647="","",(COUNTIF(C1608:E1625,$B1647)+COUNTIF(C1608:E1625,$B1647&amp;" ~*")&gt;0)+(COUNTIF(G1608:I1625,$B1647)+COUNTIF(G1608:I1625,$B1647&amp;" ~*")&gt;0)+(COUNTIF(K1608:M1625,$B1647)+COUNTIF(K1608:M1625,$B1647&amp;" ~*")&gt;0)+(COUNTIF(O1608:Q1625,$B1647)+COUNTIF(O1608:Q1625,$B1647&amp;" ~*")&gt;0)+(COUNTIF(S1608:U1625,$B1647)+COUNTIF(S1608:U1625,$B1647&amp;" ~*")&gt;0)+(COUNTIF(W1608:W1625,$B1647)+COUNTIF(W1608:W1625,$B1647&amp;" ~*")&gt;0)+(COUNTIF(Y1608:Y1625,$B1647)+COUNTIF(Y1608:Y1625,$B1647&amp;" ~*")&gt;0))</f>
        <v/>
      </c>
      <c r="AC1647" s="36">
        <f>IF($B1647="","",(IFERROR(INDEX(Setup!$G$33:$G$40,MATCH(C1647,Setup!$B$33:$B$40,0)),0)=1)*(COUNTIF(C1608:E1625,$B1647)+COUNTIF(C1608:E1625,$B1647&amp;" ~*")&gt;0)+(IFERROR(INDEX(Setup!$G$33:$G$40,MATCH(G1647,Setup!$B$33:$B$40,0)),0)=1)*(COUNTIF(G1608:I1625,$B1647)+COUNTIF(G1608:I1625,$B1647&amp;" ~*")&gt;0)+(IFERROR(INDEX(Setup!$G$33:$G$40,MATCH(K1647,Setup!$B$33:$B$40,0)),0)=1)*(COUNTIF(K1608:M1625,$B1647)+COUNTIF(K1608:M1625,$B1647&amp;" ~*")&gt;0)+(IFERROR(INDEX(Setup!$G$33:$G$40,MATCH(O1647,Setup!$B$33:$B$40,0)),0)=1)*(COUNTIF(O1608:Q1625,$B1647)+COUNTIF(O1608:Q1625,$B1647&amp;" ~*")&gt;0)+(IFERROR(INDEX(Setup!$G$33:$G$40,MATCH(S1647,Setup!$B$33:$B$40,0)),0)=1)*(COUNTIF(S1608:U1625,$B1647)+COUNTIF(S1608:U1625,$B1647&amp;" ~*")&gt;0)+(IFERROR(INDEX(Setup!$G$33:$G$40,MATCH(W1647,Setup!$B$33:$B$40,0)),0)=1)*(COUNTIF(W1608:W1625,$B1647)+COUNTIF(W1608:W1625,$B1647&amp;" ~*")&gt;0)+(IFERROR(INDEX(Setup!$G$33:$G$40,MATCH(Y1647,Setup!$B$33:$B$40,0)),0)=1)*(COUNTIF(Y1608:Y1625,$B1647)+COUNTIF(Y1608:Y1625,$B1647&amp;" ~*")&gt;0))</f>
        <v/>
      </c>
    </row>
    <row r="1648" ht="15" customHeight="1">
      <c r="A1648" t="n">
        <v>33</v>
      </c>
      <c r="B1648" s="37">
        <f>IF(Setup!$B$27="","",Setup!$B$27)</f>
        <v/>
      </c>
      <c r="C1648" s="102" t="n"/>
      <c r="D1648" s="103" t="n"/>
      <c r="E1648" s="103" t="n"/>
      <c r="F1648" s="104" t="n"/>
      <c r="G1648" s="102" t="n"/>
      <c r="H1648" s="103" t="n"/>
      <c r="I1648" s="103" t="n"/>
      <c r="J1648" s="104" t="n"/>
      <c r="K1648" s="102" t="n"/>
      <c r="L1648" s="103" t="n"/>
      <c r="M1648" s="103" t="n"/>
      <c r="N1648" s="104" t="n"/>
      <c r="O1648" s="102" t="n"/>
      <c r="P1648" s="103" t="n"/>
      <c r="Q1648" s="103" t="n"/>
      <c r="R1648" s="104" t="n"/>
      <c r="S1648" s="102" t="n"/>
      <c r="T1648" s="103" t="n"/>
      <c r="U1648" s="103" t="n"/>
      <c r="V1648" s="104" t="n"/>
      <c r="W1648" s="102" t="n"/>
      <c r="X1648" s="104" t="n"/>
      <c r="Y1648" s="102" t="n"/>
      <c r="Z1648" s="104" t="n"/>
      <c r="AB1648" s="105">
        <f>IF($B1648="","",(COUNTIF(C1608:E1625,$B1648)+COUNTIF(C1608:E1625,$B1648&amp;" ~*")&gt;0)+(COUNTIF(G1608:I1625,$B1648)+COUNTIF(G1608:I1625,$B1648&amp;" ~*")&gt;0)+(COUNTIF(K1608:M1625,$B1648)+COUNTIF(K1608:M1625,$B1648&amp;" ~*")&gt;0)+(COUNTIF(O1608:Q1625,$B1648)+COUNTIF(O1608:Q1625,$B1648&amp;" ~*")&gt;0)+(COUNTIF(S1608:U1625,$B1648)+COUNTIF(S1608:U1625,$B1648&amp;" ~*")&gt;0)+(COUNTIF(W1608:W1625,$B1648)+COUNTIF(W1608:W1625,$B1648&amp;" ~*")&gt;0)+(COUNTIF(Y1608:Y1625,$B1648)+COUNTIF(Y1608:Y1625,$B1648&amp;" ~*")&gt;0))</f>
        <v/>
      </c>
      <c r="AC1648" s="38">
        <f>IF($B1648="","",(IFERROR(INDEX(Setup!$G$33:$G$40,MATCH(C1648,Setup!$B$33:$B$40,0)),0)=1)*(COUNTIF(C1608:E1625,$B1648)+COUNTIF(C1608:E1625,$B1648&amp;" ~*")&gt;0)+(IFERROR(INDEX(Setup!$G$33:$G$40,MATCH(G1648,Setup!$B$33:$B$40,0)),0)=1)*(COUNTIF(G1608:I1625,$B1648)+COUNTIF(G1608:I1625,$B1648&amp;" ~*")&gt;0)+(IFERROR(INDEX(Setup!$G$33:$G$40,MATCH(K1648,Setup!$B$33:$B$40,0)),0)=1)*(COUNTIF(K1608:M1625,$B1648)+COUNTIF(K1608:M1625,$B1648&amp;" ~*")&gt;0)+(IFERROR(INDEX(Setup!$G$33:$G$40,MATCH(O1648,Setup!$B$33:$B$40,0)),0)=1)*(COUNTIF(O1608:Q1625,$B1648)+COUNTIF(O1608:Q1625,$B1648&amp;" ~*")&gt;0)+(IFERROR(INDEX(Setup!$G$33:$G$40,MATCH(S1648,Setup!$B$33:$B$40,0)),0)=1)*(COUNTIF(S1608:U1625,$B1648)+COUNTIF(S1608:U1625,$B1648&amp;" ~*")&gt;0)+(IFERROR(INDEX(Setup!$G$33:$G$40,MATCH(W1648,Setup!$B$33:$B$40,0)),0)=1)*(COUNTIF(W1608:W1625,$B1648)+COUNTIF(W1608:W1625,$B1648&amp;" ~*")&gt;0)+(IFERROR(INDEX(Setup!$G$33:$G$40,MATCH(Y1648,Setup!$B$33:$B$40,0)),0)=1)*(COUNTIF(Y1608:Y1625,$B1648)+COUNTIF(Y1608:Y1625,$B1648&amp;" ~*")&gt;0))</f>
        <v/>
      </c>
    </row>
    <row r="1649" ht="15" customHeight="1">
      <c r="A1649" t="n">
        <v>33</v>
      </c>
      <c r="B1649" s="35">
        <f>IF(Setup!$B$28="","",Setup!$B$28)</f>
        <v/>
      </c>
      <c r="C1649" s="98" t="n"/>
      <c r="D1649" s="99" t="n"/>
      <c r="E1649" s="99" t="n"/>
      <c r="F1649" s="100" t="n"/>
      <c r="G1649" s="98" t="n"/>
      <c r="H1649" s="99" t="n"/>
      <c r="I1649" s="99" t="n"/>
      <c r="J1649" s="100" t="n"/>
      <c r="K1649" s="98" t="n"/>
      <c r="L1649" s="99" t="n"/>
      <c r="M1649" s="99" t="n"/>
      <c r="N1649" s="100" t="n"/>
      <c r="O1649" s="98" t="n"/>
      <c r="P1649" s="99" t="n"/>
      <c r="Q1649" s="99" t="n"/>
      <c r="R1649" s="100" t="n"/>
      <c r="S1649" s="98" t="n"/>
      <c r="T1649" s="99" t="n"/>
      <c r="U1649" s="99" t="n"/>
      <c r="V1649" s="100" t="n"/>
      <c r="W1649" s="98" t="n"/>
      <c r="X1649" s="100" t="n"/>
      <c r="Y1649" s="98" t="n"/>
      <c r="Z1649" s="100" t="n"/>
      <c r="AB1649" s="101">
        <f>IF($B1649="","",(COUNTIF(C1608:E1625,$B1649)+COUNTIF(C1608:E1625,$B1649&amp;" ~*")&gt;0)+(COUNTIF(G1608:I1625,$B1649)+COUNTIF(G1608:I1625,$B1649&amp;" ~*")&gt;0)+(COUNTIF(K1608:M1625,$B1649)+COUNTIF(K1608:M1625,$B1649&amp;" ~*")&gt;0)+(COUNTIF(O1608:Q1625,$B1649)+COUNTIF(O1608:Q1625,$B1649&amp;" ~*")&gt;0)+(COUNTIF(S1608:U1625,$B1649)+COUNTIF(S1608:U1625,$B1649&amp;" ~*")&gt;0)+(COUNTIF(W1608:W1625,$B1649)+COUNTIF(W1608:W1625,$B1649&amp;" ~*")&gt;0)+(COUNTIF(Y1608:Y1625,$B1649)+COUNTIF(Y1608:Y1625,$B1649&amp;" ~*")&gt;0))</f>
        <v/>
      </c>
      <c r="AC1649" s="36">
        <f>IF($B1649="","",(IFERROR(INDEX(Setup!$G$33:$G$40,MATCH(C1649,Setup!$B$33:$B$40,0)),0)=1)*(COUNTIF(C1608:E1625,$B1649)+COUNTIF(C1608:E1625,$B1649&amp;" ~*")&gt;0)+(IFERROR(INDEX(Setup!$G$33:$G$40,MATCH(G1649,Setup!$B$33:$B$40,0)),0)=1)*(COUNTIF(G1608:I1625,$B1649)+COUNTIF(G1608:I1625,$B1649&amp;" ~*")&gt;0)+(IFERROR(INDEX(Setup!$G$33:$G$40,MATCH(K1649,Setup!$B$33:$B$40,0)),0)=1)*(COUNTIF(K1608:M1625,$B1649)+COUNTIF(K1608:M1625,$B1649&amp;" ~*")&gt;0)+(IFERROR(INDEX(Setup!$G$33:$G$40,MATCH(O1649,Setup!$B$33:$B$40,0)),0)=1)*(COUNTIF(O1608:Q1625,$B1649)+COUNTIF(O1608:Q1625,$B1649&amp;" ~*")&gt;0)+(IFERROR(INDEX(Setup!$G$33:$G$40,MATCH(S1649,Setup!$B$33:$B$40,0)),0)=1)*(COUNTIF(S1608:U1625,$B1649)+COUNTIF(S1608:U1625,$B1649&amp;" ~*")&gt;0)+(IFERROR(INDEX(Setup!$G$33:$G$40,MATCH(W1649,Setup!$B$33:$B$40,0)),0)=1)*(COUNTIF(W1608:W1625,$B1649)+COUNTIF(W1608:W1625,$B1649&amp;" ~*")&gt;0)+(IFERROR(INDEX(Setup!$G$33:$G$40,MATCH(Y1649,Setup!$B$33:$B$40,0)),0)=1)*(COUNTIF(Y1608:Y1625,$B1649)+COUNTIF(Y1608:Y1625,$B1649&amp;" ~*")&gt;0))</f>
        <v/>
      </c>
    </row>
    <row r="1650" ht="15" customHeight="1">
      <c r="A1650" t="n">
        <v>33</v>
      </c>
      <c r="B1650" s="37">
        <f>IF(Setup!$B$29="","",Setup!$B$29)</f>
        <v/>
      </c>
      <c r="C1650" s="102" t="n"/>
      <c r="D1650" s="103" t="n"/>
      <c r="E1650" s="103" t="n"/>
      <c r="F1650" s="104" t="n"/>
      <c r="G1650" s="102" t="n"/>
      <c r="H1650" s="103" t="n"/>
      <c r="I1650" s="103" t="n"/>
      <c r="J1650" s="104" t="n"/>
      <c r="K1650" s="102" t="n"/>
      <c r="L1650" s="103" t="n"/>
      <c r="M1650" s="103" t="n"/>
      <c r="N1650" s="104" t="n"/>
      <c r="O1650" s="102" t="n"/>
      <c r="P1650" s="103" t="n"/>
      <c r="Q1650" s="103" t="n"/>
      <c r="R1650" s="104" t="n"/>
      <c r="S1650" s="102" t="n"/>
      <c r="T1650" s="103" t="n"/>
      <c r="U1650" s="103" t="n"/>
      <c r="V1650" s="104" t="n"/>
      <c r="W1650" s="102" t="n"/>
      <c r="X1650" s="104" t="n"/>
      <c r="Y1650" s="102" t="n"/>
      <c r="Z1650" s="104" t="n"/>
      <c r="AB1650" s="105">
        <f>IF($B1650="","",(COUNTIF(C1608:E1625,$B1650)+COUNTIF(C1608:E1625,$B1650&amp;" ~*")&gt;0)+(COUNTIF(G1608:I1625,$B1650)+COUNTIF(G1608:I1625,$B1650&amp;" ~*")&gt;0)+(COUNTIF(K1608:M1625,$B1650)+COUNTIF(K1608:M1625,$B1650&amp;" ~*")&gt;0)+(COUNTIF(O1608:Q1625,$B1650)+COUNTIF(O1608:Q1625,$B1650&amp;" ~*")&gt;0)+(COUNTIF(S1608:U1625,$B1650)+COUNTIF(S1608:U1625,$B1650&amp;" ~*")&gt;0)+(COUNTIF(W1608:W1625,$B1650)+COUNTIF(W1608:W1625,$B1650&amp;" ~*")&gt;0)+(COUNTIF(Y1608:Y1625,$B1650)+COUNTIF(Y1608:Y1625,$B1650&amp;" ~*")&gt;0))</f>
        <v/>
      </c>
      <c r="AC1650" s="38">
        <f>IF($B1650="","",(IFERROR(INDEX(Setup!$G$33:$G$40,MATCH(C1650,Setup!$B$33:$B$40,0)),0)=1)*(COUNTIF(C1608:E1625,$B1650)+COUNTIF(C1608:E1625,$B1650&amp;" ~*")&gt;0)+(IFERROR(INDEX(Setup!$G$33:$G$40,MATCH(G1650,Setup!$B$33:$B$40,0)),0)=1)*(COUNTIF(G1608:I1625,$B1650)+COUNTIF(G1608:I1625,$B1650&amp;" ~*")&gt;0)+(IFERROR(INDEX(Setup!$G$33:$G$40,MATCH(K1650,Setup!$B$33:$B$40,0)),0)=1)*(COUNTIF(K1608:M1625,$B1650)+COUNTIF(K1608:M1625,$B1650&amp;" ~*")&gt;0)+(IFERROR(INDEX(Setup!$G$33:$G$40,MATCH(O1650,Setup!$B$33:$B$40,0)),0)=1)*(COUNTIF(O1608:Q1625,$B1650)+COUNTIF(O1608:Q1625,$B1650&amp;" ~*")&gt;0)+(IFERROR(INDEX(Setup!$G$33:$G$40,MATCH(S1650,Setup!$B$33:$B$40,0)),0)=1)*(COUNTIF(S1608:U1625,$B1650)+COUNTIF(S1608:U1625,$B1650&amp;" ~*")&gt;0)+(IFERROR(INDEX(Setup!$G$33:$G$40,MATCH(W1650,Setup!$B$33:$B$40,0)),0)=1)*(COUNTIF(W1608:W1625,$B1650)+COUNTIF(W1608:W1625,$B1650&amp;" ~*")&gt;0)+(IFERROR(INDEX(Setup!$G$33:$G$40,MATCH(Y1650,Setup!$B$33:$B$40,0)),0)=1)*(COUNTIF(Y1608:Y1625,$B1650)+COUNTIF(Y1608:Y1625,$B1650&amp;" ~*")&gt;0))</f>
        <v/>
      </c>
    </row>
    <row r="1651" ht="16" customHeight="1">
      <c r="A1651" t="n">
        <v>33</v>
      </c>
      <c r="B1651" s="106" t="inlineStr">
        <is>
          <t>Available people</t>
        </is>
      </c>
      <c r="C1651" s="107">
        <f>COUNTIFS(Setup!$E$6:$E$29,"Y",Setup!$B$6:$B$29,"?*")-SUMPRODUCT(COUNTIF(C1627:C1650,Setup!$F$33:$F$40))</f>
        <v/>
      </c>
      <c r="D1651" s="107" t="n"/>
      <c r="E1651" s="107" t="n"/>
      <c r="F1651" s="107" t="n"/>
      <c r="G1651" s="107">
        <f>COUNTIFS(Setup!$E$6:$E$29,"Y",Setup!$B$6:$B$29,"?*")-SUMPRODUCT(COUNTIF(G1627:G1650,Setup!$F$33:$F$40))</f>
        <v/>
      </c>
      <c r="H1651" s="107" t="n"/>
      <c r="I1651" s="107" t="n"/>
      <c r="J1651" s="107" t="n"/>
      <c r="K1651" s="107">
        <f>COUNTIFS(Setup!$E$6:$E$29,"Y",Setup!$B$6:$B$29,"?*")-SUMPRODUCT(COUNTIF(K1627:K1650,Setup!$F$33:$F$40))</f>
        <v/>
      </c>
      <c r="L1651" s="107" t="n"/>
      <c r="M1651" s="107" t="n"/>
      <c r="N1651" s="107" t="n"/>
      <c r="O1651" s="107">
        <f>COUNTIFS(Setup!$E$6:$E$29,"Y",Setup!$B$6:$B$29,"?*")-SUMPRODUCT(COUNTIF(O1627:O1650,Setup!$F$33:$F$40))</f>
        <v/>
      </c>
      <c r="P1651" s="107" t="n"/>
      <c r="Q1651" s="107" t="n"/>
      <c r="R1651" s="107" t="n"/>
      <c r="S1651" s="107">
        <f>COUNTIFS(Setup!$E$6:$E$29,"Y",Setup!$B$6:$B$29,"?*")-SUMPRODUCT(COUNTIF(S1627:S1650,Setup!$F$33:$F$40))</f>
        <v/>
      </c>
      <c r="T1651" s="107" t="n"/>
      <c r="U1651" s="107" t="n"/>
      <c r="V1651" s="107" t="n"/>
      <c r="W1651" s="107">
        <f>COUNTIFS(Setup!$E$6:$E$29,"Y",Setup!$B$6:$B$29,"?*")-SUMPRODUCT(COUNTIF(W1627:W1650,Setup!$F$33:$F$40))</f>
        <v/>
      </c>
      <c r="X1651" s="107" t="n"/>
      <c r="Y1651" s="107">
        <f>COUNTIFS(Setup!$E$6:$E$29,"Y",Setup!$B$6:$B$29,"?*")-SUMPRODUCT(COUNTIF(Y1627:Y1650,Setup!$F$33:$F$40))</f>
        <v/>
      </c>
      <c r="Z1651" s="107" t="n"/>
      <c r="AB1651" s="108">
        <f>SUM(AB1627:AB1650)</f>
        <v/>
      </c>
      <c r="AC1651" s="109">
        <f>SUM(AC1627:AC1650)</f>
        <v/>
      </c>
    </row>
    <row r="1652" ht="30" customHeight="1">
      <c r="A1652" t="n">
        <v>33</v>
      </c>
      <c r="B1652" s="110" t="inlineStr">
        <is>
          <t>Week notes</t>
        </is>
      </c>
      <c r="C1652" s="111" t="n"/>
      <c r="D1652" s="112" t="n"/>
      <c r="E1652" s="112" t="n"/>
      <c r="F1652" s="112" t="n"/>
      <c r="G1652" s="112" t="n"/>
      <c r="H1652" s="112" t="n"/>
      <c r="I1652" s="112" t="n"/>
      <c r="J1652" s="112" t="n"/>
      <c r="K1652" s="112" t="n"/>
      <c r="L1652" s="112" t="n"/>
      <c r="M1652" s="112" t="n"/>
      <c r="N1652" s="112" t="n"/>
      <c r="O1652" s="112" t="n"/>
      <c r="P1652" s="112" t="n"/>
      <c r="Q1652" s="112" t="n"/>
      <c r="R1652" s="112" t="n"/>
      <c r="S1652" s="112" t="n"/>
      <c r="T1652" s="112" t="n"/>
      <c r="U1652" s="112" t="n"/>
      <c r="V1652" s="112" t="n"/>
      <c r="W1652" s="112" t="n"/>
      <c r="X1652" s="112" t="n"/>
      <c r="Y1652" s="112" t="n"/>
      <c r="Z1652" s="113" t="n"/>
    </row>
    <row r="1653" ht="8" customHeight="1">
      <c r="A1653" t="n">
        <v>33</v>
      </c>
    </row>
    <row r="1654" ht="8" customHeight="1">
      <c r="A1654" t="n">
        <v>33</v>
      </c>
    </row>
    <row r="1655" ht="24" customHeight="1">
      <c r="A1655" t="n">
        <v>34</v>
      </c>
      <c r="B1655" s="73">
        <f>"WEEK 34     "&amp;TEXT(C1656,"ddd d mmm")&amp;"  –  "&amp;TEXT(C1656+6,"ddd d mmm yyyy")</f>
        <v/>
      </c>
      <c r="S1655" s="74">
        <f>IF(TODAY()&lt;C1656,"FUTURE",IF(TODAY()&gt;C1656+6,"PAST","THIS WEEK"))</f>
        <v/>
      </c>
      <c r="W1655" s="75">
        <f>IF(AND(Engine!$B$8=$AC$3,Engine!$B$9=$A1655),"◀ ACTIVE WEEK","")</f>
        <v/>
      </c>
      <c r="AA1655" s="76" t="n"/>
      <c r="AB1655" s="77" t="inlineStr">
        <is>
          <t>◀ Prev</t>
        </is>
      </c>
      <c r="AC1655" s="77" t="inlineStr">
        <is>
          <t>Next ▶</t>
        </is>
      </c>
    </row>
    <row r="1656" ht="18" customHeight="1">
      <c r="A1656" t="n">
        <v>34</v>
      </c>
      <c r="B1656" s="78" t="inlineStr">
        <is>
          <t>DUTY</t>
        </is>
      </c>
      <c r="C1656" s="79">
        <f>$AC$2+7*($A1656-1)</f>
        <v/>
      </c>
      <c r="D1656" s="80" t="n"/>
      <c r="E1656" s="80" t="n"/>
      <c r="F1656" s="81" t="n"/>
      <c r="G1656" s="79">
        <f>C1656+1</f>
        <v/>
      </c>
      <c r="H1656" s="80" t="n"/>
      <c r="I1656" s="80" t="n"/>
      <c r="J1656" s="81" t="n"/>
      <c r="K1656" s="79">
        <f>C1656+2</f>
        <v/>
      </c>
      <c r="L1656" s="80" t="n"/>
      <c r="M1656" s="80" t="n"/>
      <c r="N1656" s="81" t="n"/>
      <c r="O1656" s="79">
        <f>C1656+3</f>
        <v/>
      </c>
      <c r="P1656" s="80" t="n"/>
      <c r="Q1656" s="80" t="n"/>
      <c r="R1656" s="81" t="n"/>
      <c r="S1656" s="79">
        <f>C1656+4</f>
        <v/>
      </c>
      <c r="T1656" s="80" t="n"/>
      <c r="U1656" s="80" t="n"/>
      <c r="V1656" s="81" t="n"/>
      <c r="W1656" s="82">
        <f>C1656+5</f>
        <v/>
      </c>
      <c r="X1656" s="83" t="n"/>
      <c r="Y1656" s="82">
        <f>C1656+6</f>
        <v/>
      </c>
      <c r="Z1656" s="83" t="n"/>
      <c r="AB1656" s="72" t="inlineStr">
        <is>
          <t>Gaps</t>
        </is>
      </c>
      <c r="AC1656" s="72" t="inlineStr">
        <is>
          <t>Cover</t>
        </is>
      </c>
    </row>
    <row r="1657" ht="14" customHeight="1">
      <c r="A1657" t="n">
        <v>34</v>
      </c>
      <c r="B1657" s="84" t="inlineStr">
        <is>
          <t>(from Setup)</t>
        </is>
      </c>
      <c r="C1657" s="85" t="inlineStr">
        <is>
          <t>1</t>
        </is>
      </c>
      <c r="D1657" s="85" t="inlineStr">
        <is>
          <t>2</t>
        </is>
      </c>
      <c r="E1657" s="85" t="inlineStr">
        <is>
          <t>3</t>
        </is>
      </c>
      <c r="F1657" s="85" t="inlineStr">
        <is>
          <t>Notes</t>
        </is>
      </c>
      <c r="G1657" s="85" t="inlineStr">
        <is>
          <t>1</t>
        </is>
      </c>
      <c r="H1657" s="85" t="inlineStr">
        <is>
          <t>2</t>
        </is>
      </c>
      <c r="I1657" s="85" t="inlineStr">
        <is>
          <t>3</t>
        </is>
      </c>
      <c r="J1657" s="85" t="inlineStr">
        <is>
          <t>Notes</t>
        </is>
      </c>
      <c r="K1657" s="85" t="inlineStr">
        <is>
          <t>1</t>
        </is>
      </c>
      <c r="L1657" s="85" t="inlineStr">
        <is>
          <t>2</t>
        </is>
      </c>
      <c r="M1657" s="85" t="inlineStr">
        <is>
          <t>3</t>
        </is>
      </c>
      <c r="N1657" s="85" t="inlineStr">
        <is>
          <t>Notes</t>
        </is>
      </c>
      <c r="O1657" s="85" t="inlineStr">
        <is>
          <t>1</t>
        </is>
      </c>
      <c r="P1657" s="85" t="inlineStr">
        <is>
          <t>2</t>
        </is>
      </c>
      <c r="Q1657" s="85" t="inlineStr">
        <is>
          <t>3</t>
        </is>
      </c>
      <c r="R1657" s="85" t="inlineStr">
        <is>
          <t>Notes</t>
        </is>
      </c>
      <c r="S1657" s="85" t="inlineStr">
        <is>
          <t>1</t>
        </is>
      </c>
      <c r="T1657" s="85" t="inlineStr">
        <is>
          <t>2</t>
        </is>
      </c>
      <c r="U1657" s="85" t="inlineStr">
        <is>
          <t>3</t>
        </is>
      </c>
      <c r="V1657" s="85" t="inlineStr">
        <is>
          <t>Notes</t>
        </is>
      </c>
      <c r="W1657" s="85" t="inlineStr">
        <is>
          <t>Cover</t>
        </is>
      </c>
      <c r="X1657" s="85" t="inlineStr">
        <is>
          <t>Notes</t>
        </is>
      </c>
      <c r="Y1657" s="85" t="inlineStr">
        <is>
          <t>Cover</t>
        </is>
      </c>
      <c r="Z1657" s="85" t="inlineStr">
        <is>
          <t>Notes</t>
        </is>
      </c>
      <c r="AB1657" s="86" t="inlineStr">
        <is>
          <t>weekdays short</t>
        </is>
      </c>
      <c r="AC1657" s="87" t="inlineStr"/>
    </row>
    <row r="1658" ht="17" customHeight="1">
      <c r="A1658" t="n">
        <v>34</v>
      </c>
      <c r="B1658" s="24">
        <f>IF(Setup!$K$6="","",Setup!$K$6)</f>
        <v/>
      </c>
      <c r="C1658" s="88" t="n"/>
      <c r="D1658" s="88" t="n"/>
      <c r="E1658" s="88" t="n"/>
      <c r="F1658" s="89" t="n"/>
      <c r="G1658" s="88" t="n"/>
      <c r="H1658" s="88" t="n"/>
      <c r="I1658" s="88" t="n"/>
      <c r="J1658" s="89" t="n"/>
      <c r="K1658" s="88" t="n"/>
      <c r="L1658" s="88" t="n"/>
      <c r="M1658" s="88" t="n"/>
      <c r="N1658" s="89" t="n"/>
      <c r="O1658" s="88" t="n"/>
      <c r="P1658" s="88" t="n"/>
      <c r="Q1658" s="88" t="n"/>
      <c r="R1658" s="89" t="n"/>
      <c r="S1658" s="88" t="n"/>
      <c r="T1658" s="88" t="n"/>
      <c r="U1658" s="88" t="n"/>
      <c r="V1658" s="89" t="n"/>
      <c r="W1658" s="88" t="n"/>
      <c r="X1658" s="89" t="n"/>
      <c r="Y1658" s="88" t="n"/>
      <c r="Z1658" s="89" t="n"/>
      <c r="AB1658" s="25">
        <f>IF($B1658="","",(COUNTIF(C1658:E1658,"?*")&lt;N(INDEX(Setup!$L$6:$L$23,1)))+(COUNTIF(G1658:I1658,"?*")&lt;N(INDEX(Setup!$L$6:$L$23,1)))+(COUNTIF(K1658:M1658,"?*")&lt;N(INDEX(Setup!$L$6:$L$23,1)))+(COUNTIF(O1658:Q1658,"?*")&lt;N(INDEX(Setup!$L$6:$L$23,1)))+(COUNTIF(S1658:U1658,"?*")&lt;N(INDEX(Setup!$L$6:$L$23,1)))+((W1658="")*(INDEX(Setup!$M$6:$M$23,1)="Y"))+((Y1658="")*(INDEX(Setup!$M$6:$M$23,1)="Y")))</f>
        <v/>
      </c>
      <c r="AC1658" s="90">
        <f>IF($B1658="","",IF(AB1658=0,"✓ covered","⚠ "&amp;AB1658&amp;IF(AB1658=1," gap"," gaps")))</f>
        <v/>
      </c>
    </row>
    <row r="1659" ht="17" customHeight="1">
      <c r="A1659" t="n">
        <v>34</v>
      </c>
      <c r="B1659" s="29">
        <f>IF(Setup!$K$7="","",Setup!$K$7)</f>
        <v/>
      </c>
      <c r="C1659" s="88" t="n"/>
      <c r="D1659" s="88" t="n"/>
      <c r="E1659" s="88" t="n"/>
      <c r="F1659" s="89" t="n"/>
      <c r="G1659" s="88" t="n"/>
      <c r="H1659" s="88" t="n"/>
      <c r="I1659" s="88" t="n"/>
      <c r="J1659" s="89" t="n"/>
      <c r="K1659" s="88" t="n"/>
      <c r="L1659" s="88" t="n"/>
      <c r="M1659" s="88" t="n"/>
      <c r="N1659" s="89" t="n"/>
      <c r="O1659" s="88" t="n"/>
      <c r="P1659" s="88" t="n"/>
      <c r="Q1659" s="88" t="n"/>
      <c r="R1659" s="89" t="n"/>
      <c r="S1659" s="88" t="n"/>
      <c r="T1659" s="88" t="n"/>
      <c r="U1659" s="88" t="n"/>
      <c r="V1659" s="89" t="n"/>
      <c r="W1659" s="88" t="n"/>
      <c r="X1659" s="89" t="n"/>
      <c r="Y1659" s="88" t="n"/>
      <c r="Z1659" s="89" t="n"/>
      <c r="AB1659" s="30">
        <f>IF($B1659="","",(COUNTIF(C1659:E1659,"?*")&lt;N(INDEX(Setup!$L$6:$L$23,2)))+(COUNTIF(G1659:I1659,"?*")&lt;N(INDEX(Setup!$L$6:$L$23,2)))+(COUNTIF(K1659:M1659,"?*")&lt;N(INDEX(Setup!$L$6:$L$23,2)))+(COUNTIF(O1659:Q1659,"?*")&lt;N(INDEX(Setup!$L$6:$L$23,2)))+(COUNTIF(S1659:U1659,"?*")&lt;N(INDEX(Setup!$L$6:$L$23,2)))+((W1659="")*(INDEX(Setup!$M$6:$M$23,2)="Y"))+((Y1659="")*(INDEX(Setup!$M$6:$M$23,2)="Y")))</f>
        <v/>
      </c>
      <c r="AC1659" s="91">
        <f>IF($B1659="","",IF(AB1659=0,"✓ covered","⚠ "&amp;AB1659&amp;IF(AB1659=1," gap"," gaps")))</f>
        <v/>
      </c>
    </row>
    <row r="1660" ht="17" customHeight="1">
      <c r="A1660" t="n">
        <v>34</v>
      </c>
      <c r="B1660" s="24">
        <f>IF(Setup!$K$8="","",Setup!$K$8)</f>
        <v/>
      </c>
      <c r="C1660" s="88" t="n"/>
      <c r="D1660" s="88" t="n"/>
      <c r="E1660" s="88" t="n"/>
      <c r="F1660" s="89" t="n"/>
      <c r="G1660" s="88" t="n"/>
      <c r="H1660" s="88" t="n"/>
      <c r="I1660" s="88" t="n"/>
      <c r="J1660" s="89" t="n"/>
      <c r="K1660" s="88" t="n"/>
      <c r="L1660" s="88" t="n"/>
      <c r="M1660" s="88" t="n"/>
      <c r="N1660" s="89" t="n"/>
      <c r="O1660" s="88" t="n"/>
      <c r="P1660" s="88" t="n"/>
      <c r="Q1660" s="88" t="n"/>
      <c r="R1660" s="89" t="n"/>
      <c r="S1660" s="88" t="n"/>
      <c r="T1660" s="88" t="n"/>
      <c r="U1660" s="88" t="n"/>
      <c r="V1660" s="89" t="n"/>
      <c r="W1660" s="88" t="n"/>
      <c r="X1660" s="89" t="n"/>
      <c r="Y1660" s="88" t="n"/>
      <c r="Z1660" s="89" t="n"/>
      <c r="AB1660" s="25">
        <f>IF($B1660="","",(COUNTIF(C1660:E1660,"?*")&lt;N(INDEX(Setup!$L$6:$L$23,3)))+(COUNTIF(G1660:I1660,"?*")&lt;N(INDEX(Setup!$L$6:$L$23,3)))+(COUNTIF(K1660:M1660,"?*")&lt;N(INDEX(Setup!$L$6:$L$23,3)))+(COUNTIF(O1660:Q1660,"?*")&lt;N(INDEX(Setup!$L$6:$L$23,3)))+(COUNTIF(S1660:U1660,"?*")&lt;N(INDEX(Setup!$L$6:$L$23,3)))+((W1660="")*(INDEX(Setup!$M$6:$M$23,3)="Y"))+((Y1660="")*(INDEX(Setup!$M$6:$M$23,3)="Y")))</f>
        <v/>
      </c>
      <c r="AC1660" s="90">
        <f>IF($B1660="","",IF(AB1660=0,"✓ covered","⚠ "&amp;AB1660&amp;IF(AB1660=1," gap"," gaps")))</f>
        <v/>
      </c>
    </row>
    <row r="1661" ht="17" customHeight="1">
      <c r="A1661" t="n">
        <v>34</v>
      </c>
      <c r="B1661" s="29">
        <f>IF(Setup!$K$9="","",Setup!$K$9)</f>
        <v/>
      </c>
      <c r="C1661" s="88" t="n"/>
      <c r="D1661" s="88" t="n"/>
      <c r="E1661" s="88" t="n"/>
      <c r="F1661" s="89" t="n"/>
      <c r="G1661" s="88" t="n"/>
      <c r="H1661" s="88" t="n"/>
      <c r="I1661" s="88" t="n"/>
      <c r="J1661" s="89" t="n"/>
      <c r="K1661" s="88" t="n"/>
      <c r="L1661" s="88" t="n"/>
      <c r="M1661" s="88" t="n"/>
      <c r="N1661" s="89" t="n"/>
      <c r="O1661" s="88" t="n"/>
      <c r="P1661" s="88" t="n"/>
      <c r="Q1661" s="88" t="n"/>
      <c r="R1661" s="89" t="n"/>
      <c r="S1661" s="88" t="n"/>
      <c r="T1661" s="88" t="n"/>
      <c r="U1661" s="88" t="n"/>
      <c r="V1661" s="89" t="n"/>
      <c r="W1661" s="88" t="n"/>
      <c r="X1661" s="89" t="n"/>
      <c r="Y1661" s="88" t="n"/>
      <c r="Z1661" s="89" t="n"/>
      <c r="AB1661" s="30">
        <f>IF($B1661="","",(COUNTIF(C1661:E1661,"?*")&lt;N(INDEX(Setup!$L$6:$L$23,4)))+(COUNTIF(G1661:I1661,"?*")&lt;N(INDEX(Setup!$L$6:$L$23,4)))+(COUNTIF(K1661:M1661,"?*")&lt;N(INDEX(Setup!$L$6:$L$23,4)))+(COUNTIF(O1661:Q1661,"?*")&lt;N(INDEX(Setup!$L$6:$L$23,4)))+(COUNTIF(S1661:U1661,"?*")&lt;N(INDEX(Setup!$L$6:$L$23,4)))+((W1661="")*(INDEX(Setup!$M$6:$M$23,4)="Y"))+((Y1661="")*(INDEX(Setup!$M$6:$M$23,4)="Y")))</f>
        <v/>
      </c>
      <c r="AC1661" s="91">
        <f>IF($B1661="","",IF(AB1661=0,"✓ covered","⚠ "&amp;AB1661&amp;IF(AB1661=1," gap"," gaps")))</f>
        <v/>
      </c>
    </row>
    <row r="1662" ht="17" customHeight="1">
      <c r="A1662" t="n">
        <v>34</v>
      </c>
      <c r="B1662" s="24">
        <f>IF(Setup!$K$10="","",Setup!$K$10)</f>
        <v/>
      </c>
      <c r="C1662" s="88" t="n"/>
      <c r="D1662" s="88" t="n"/>
      <c r="E1662" s="88" t="n"/>
      <c r="F1662" s="89" t="n"/>
      <c r="G1662" s="88" t="n"/>
      <c r="H1662" s="88" t="n"/>
      <c r="I1662" s="88" t="n"/>
      <c r="J1662" s="89" t="n"/>
      <c r="K1662" s="88" t="n"/>
      <c r="L1662" s="88" t="n"/>
      <c r="M1662" s="88" t="n"/>
      <c r="N1662" s="89" t="n"/>
      <c r="O1662" s="88" t="n"/>
      <c r="P1662" s="88" t="n"/>
      <c r="Q1662" s="88" t="n"/>
      <c r="R1662" s="89" t="n"/>
      <c r="S1662" s="88" t="n"/>
      <c r="T1662" s="88" t="n"/>
      <c r="U1662" s="88" t="n"/>
      <c r="V1662" s="89" t="n"/>
      <c r="W1662" s="88" t="n"/>
      <c r="X1662" s="89" t="n"/>
      <c r="Y1662" s="88" t="n"/>
      <c r="Z1662" s="89" t="n"/>
      <c r="AB1662" s="25">
        <f>IF($B1662="","",(COUNTIF(C1662:E1662,"?*")&lt;N(INDEX(Setup!$L$6:$L$23,5)))+(COUNTIF(G1662:I1662,"?*")&lt;N(INDEX(Setup!$L$6:$L$23,5)))+(COUNTIF(K1662:M1662,"?*")&lt;N(INDEX(Setup!$L$6:$L$23,5)))+(COUNTIF(O1662:Q1662,"?*")&lt;N(INDEX(Setup!$L$6:$L$23,5)))+(COUNTIF(S1662:U1662,"?*")&lt;N(INDEX(Setup!$L$6:$L$23,5)))+((W1662="")*(INDEX(Setup!$M$6:$M$23,5)="Y"))+((Y1662="")*(INDEX(Setup!$M$6:$M$23,5)="Y")))</f>
        <v/>
      </c>
      <c r="AC1662" s="90">
        <f>IF($B1662="","",IF(AB1662=0,"✓ covered","⚠ "&amp;AB1662&amp;IF(AB1662=1," gap"," gaps")))</f>
        <v/>
      </c>
    </row>
    <row r="1663" ht="17" customHeight="1">
      <c r="A1663" t="n">
        <v>34</v>
      </c>
      <c r="B1663" s="29">
        <f>IF(Setup!$K$11="","",Setup!$K$11)</f>
        <v/>
      </c>
      <c r="C1663" s="88" t="n"/>
      <c r="D1663" s="88" t="n"/>
      <c r="E1663" s="88" t="n"/>
      <c r="F1663" s="89" t="n"/>
      <c r="G1663" s="88" t="n"/>
      <c r="H1663" s="88" t="n"/>
      <c r="I1663" s="88" t="n"/>
      <c r="J1663" s="89" t="n"/>
      <c r="K1663" s="88" t="n"/>
      <c r="L1663" s="88" t="n"/>
      <c r="M1663" s="88" t="n"/>
      <c r="N1663" s="89" t="n"/>
      <c r="O1663" s="88" t="n"/>
      <c r="P1663" s="88" t="n"/>
      <c r="Q1663" s="88" t="n"/>
      <c r="R1663" s="89" t="n"/>
      <c r="S1663" s="88" t="n"/>
      <c r="T1663" s="88" t="n"/>
      <c r="U1663" s="88" t="n"/>
      <c r="V1663" s="89" t="n"/>
      <c r="W1663" s="88" t="n"/>
      <c r="X1663" s="89" t="n"/>
      <c r="Y1663" s="88" t="n"/>
      <c r="Z1663" s="89" t="n"/>
      <c r="AB1663" s="30">
        <f>IF($B1663="","",(COUNTIF(C1663:E1663,"?*")&lt;N(INDEX(Setup!$L$6:$L$23,6)))+(COUNTIF(G1663:I1663,"?*")&lt;N(INDEX(Setup!$L$6:$L$23,6)))+(COUNTIF(K1663:M1663,"?*")&lt;N(INDEX(Setup!$L$6:$L$23,6)))+(COUNTIF(O1663:Q1663,"?*")&lt;N(INDEX(Setup!$L$6:$L$23,6)))+(COUNTIF(S1663:U1663,"?*")&lt;N(INDEX(Setup!$L$6:$L$23,6)))+((W1663="")*(INDEX(Setup!$M$6:$M$23,6)="Y"))+((Y1663="")*(INDEX(Setup!$M$6:$M$23,6)="Y")))</f>
        <v/>
      </c>
      <c r="AC1663" s="91">
        <f>IF($B1663="","",IF(AB1663=0,"✓ covered","⚠ "&amp;AB1663&amp;IF(AB1663=1," gap"," gaps")))</f>
        <v/>
      </c>
    </row>
    <row r="1664" ht="17" customHeight="1">
      <c r="A1664" t="n">
        <v>34</v>
      </c>
      <c r="B1664" s="24">
        <f>IF(Setup!$K$12="","",Setup!$K$12)</f>
        <v/>
      </c>
      <c r="C1664" s="88" t="n"/>
      <c r="D1664" s="88" t="n"/>
      <c r="E1664" s="88" t="n"/>
      <c r="F1664" s="89" t="n"/>
      <c r="G1664" s="88" t="n"/>
      <c r="H1664" s="88" t="n"/>
      <c r="I1664" s="88" t="n"/>
      <c r="J1664" s="89" t="n"/>
      <c r="K1664" s="88" t="n"/>
      <c r="L1664" s="88" t="n"/>
      <c r="M1664" s="88" t="n"/>
      <c r="N1664" s="89" t="n"/>
      <c r="O1664" s="88" t="n"/>
      <c r="P1664" s="88" t="n"/>
      <c r="Q1664" s="88" t="n"/>
      <c r="R1664" s="89" t="n"/>
      <c r="S1664" s="88" t="n"/>
      <c r="T1664" s="88" t="n"/>
      <c r="U1664" s="88" t="n"/>
      <c r="V1664" s="89" t="n"/>
      <c r="W1664" s="88" t="n"/>
      <c r="X1664" s="89" t="n"/>
      <c r="Y1664" s="88" t="n"/>
      <c r="Z1664" s="89" t="n"/>
      <c r="AB1664" s="25">
        <f>IF($B1664="","",(COUNTIF(C1664:E1664,"?*")&lt;N(INDEX(Setup!$L$6:$L$23,7)))+(COUNTIF(G1664:I1664,"?*")&lt;N(INDEX(Setup!$L$6:$L$23,7)))+(COUNTIF(K1664:M1664,"?*")&lt;N(INDEX(Setup!$L$6:$L$23,7)))+(COUNTIF(O1664:Q1664,"?*")&lt;N(INDEX(Setup!$L$6:$L$23,7)))+(COUNTIF(S1664:U1664,"?*")&lt;N(INDEX(Setup!$L$6:$L$23,7)))+((W1664="")*(INDEX(Setup!$M$6:$M$23,7)="Y"))+((Y1664="")*(INDEX(Setup!$M$6:$M$23,7)="Y")))</f>
        <v/>
      </c>
      <c r="AC1664" s="90">
        <f>IF($B1664="","",IF(AB1664=0,"✓ covered","⚠ "&amp;AB1664&amp;IF(AB1664=1," gap"," gaps")))</f>
        <v/>
      </c>
    </row>
    <row r="1665" ht="17" customHeight="1">
      <c r="A1665" t="n">
        <v>34</v>
      </c>
      <c r="B1665" s="29">
        <f>IF(Setup!$K$13="","",Setup!$K$13)</f>
        <v/>
      </c>
      <c r="C1665" s="88" t="n"/>
      <c r="D1665" s="88" t="n"/>
      <c r="E1665" s="88" t="n"/>
      <c r="F1665" s="89" t="n"/>
      <c r="G1665" s="88" t="n"/>
      <c r="H1665" s="88" t="n"/>
      <c r="I1665" s="88" t="n"/>
      <c r="J1665" s="89" t="n"/>
      <c r="K1665" s="88" t="n"/>
      <c r="L1665" s="88" t="n"/>
      <c r="M1665" s="88" t="n"/>
      <c r="N1665" s="89" t="n"/>
      <c r="O1665" s="88" t="n"/>
      <c r="P1665" s="88" t="n"/>
      <c r="Q1665" s="88" t="n"/>
      <c r="R1665" s="89" t="n"/>
      <c r="S1665" s="88" t="n"/>
      <c r="T1665" s="88" t="n"/>
      <c r="U1665" s="88" t="n"/>
      <c r="V1665" s="89" t="n"/>
      <c r="W1665" s="88" t="n"/>
      <c r="X1665" s="89" t="n"/>
      <c r="Y1665" s="88" t="n"/>
      <c r="Z1665" s="89" t="n"/>
      <c r="AB1665" s="30">
        <f>IF($B1665="","",(COUNTIF(C1665:E1665,"?*")&lt;N(INDEX(Setup!$L$6:$L$23,8)))+(COUNTIF(G1665:I1665,"?*")&lt;N(INDEX(Setup!$L$6:$L$23,8)))+(COUNTIF(K1665:M1665,"?*")&lt;N(INDEX(Setup!$L$6:$L$23,8)))+(COUNTIF(O1665:Q1665,"?*")&lt;N(INDEX(Setup!$L$6:$L$23,8)))+(COUNTIF(S1665:U1665,"?*")&lt;N(INDEX(Setup!$L$6:$L$23,8)))+((W1665="")*(INDEX(Setup!$M$6:$M$23,8)="Y"))+((Y1665="")*(INDEX(Setup!$M$6:$M$23,8)="Y")))</f>
        <v/>
      </c>
      <c r="AC1665" s="91">
        <f>IF($B1665="","",IF(AB1665=0,"✓ covered","⚠ "&amp;AB1665&amp;IF(AB1665=1," gap"," gaps")))</f>
        <v/>
      </c>
    </row>
    <row r="1666" ht="17" customHeight="1">
      <c r="A1666" t="n">
        <v>34</v>
      </c>
      <c r="B1666" s="24">
        <f>IF(Setup!$K$14="","",Setup!$K$14)</f>
        <v/>
      </c>
      <c r="C1666" s="88" t="n"/>
      <c r="D1666" s="88" t="n"/>
      <c r="E1666" s="88" t="n"/>
      <c r="F1666" s="89" t="n"/>
      <c r="G1666" s="88" t="n"/>
      <c r="H1666" s="88" t="n"/>
      <c r="I1666" s="88" t="n"/>
      <c r="J1666" s="89" t="n"/>
      <c r="K1666" s="88" t="n"/>
      <c r="L1666" s="88" t="n"/>
      <c r="M1666" s="88" t="n"/>
      <c r="N1666" s="89" t="n"/>
      <c r="O1666" s="88" t="n"/>
      <c r="P1666" s="88" t="n"/>
      <c r="Q1666" s="88" t="n"/>
      <c r="R1666" s="89" t="n"/>
      <c r="S1666" s="88" t="n"/>
      <c r="T1666" s="88" t="n"/>
      <c r="U1666" s="88" t="n"/>
      <c r="V1666" s="89" t="n"/>
      <c r="W1666" s="88" t="n"/>
      <c r="X1666" s="89" t="n"/>
      <c r="Y1666" s="88" t="n"/>
      <c r="Z1666" s="89" t="n"/>
      <c r="AB1666" s="25">
        <f>IF($B1666="","",(COUNTIF(C1666:E1666,"?*")&lt;N(INDEX(Setup!$L$6:$L$23,9)))+(COUNTIF(G1666:I1666,"?*")&lt;N(INDEX(Setup!$L$6:$L$23,9)))+(COUNTIF(K1666:M1666,"?*")&lt;N(INDEX(Setup!$L$6:$L$23,9)))+(COUNTIF(O1666:Q1666,"?*")&lt;N(INDEX(Setup!$L$6:$L$23,9)))+(COUNTIF(S1666:U1666,"?*")&lt;N(INDEX(Setup!$L$6:$L$23,9)))+((W1666="")*(INDEX(Setup!$M$6:$M$23,9)="Y"))+((Y1666="")*(INDEX(Setup!$M$6:$M$23,9)="Y")))</f>
        <v/>
      </c>
      <c r="AC1666" s="90">
        <f>IF($B1666="","",IF(AB1666=0,"✓ covered","⚠ "&amp;AB1666&amp;IF(AB1666=1," gap"," gaps")))</f>
        <v/>
      </c>
    </row>
    <row r="1667" ht="17" customHeight="1">
      <c r="A1667" t="n">
        <v>34</v>
      </c>
      <c r="B1667" s="29">
        <f>IF(Setup!$K$15="","",Setup!$K$15)</f>
        <v/>
      </c>
      <c r="C1667" s="88" t="n"/>
      <c r="D1667" s="88" t="n"/>
      <c r="E1667" s="88" t="n"/>
      <c r="F1667" s="89" t="n"/>
      <c r="G1667" s="88" t="n"/>
      <c r="H1667" s="88" t="n"/>
      <c r="I1667" s="88" t="n"/>
      <c r="J1667" s="89" t="n"/>
      <c r="K1667" s="88" t="n"/>
      <c r="L1667" s="88" t="n"/>
      <c r="M1667" s="88" t="n"/>
      <c r="N1667" s="89" t="n"/>
      <c r="O1667" s="88" t="n"/>
      <c r="P1667" s="88" t="n"/>
      <c r="Q1667" s="88" t="n"/>
      <c r="R1667" s="89" t="n"/>
      <c r="S1667" s="88" t="n"/>
      <c r="T1667" s="88" t="n"/>
      <c r="U1667" s="88" t="n"/>
      <c r="V1667" s="89" t="n"/>
      <c r="W1667" s="88" t="n"/>
      <c r="X1667" s="89" t="n"/>
      <c r="Y1667" s="88" t="n"/>
      <c r="Z1667" s="89" t="n"/>
      <c r="AB1667" s="30">
        <f>IF($B1667="","",(COUNTIF(C1667:E1667,"?*")&lt;N(INDEX(Setup!$L$6:$L$23,10)))+(COUNTIF(G1667:I1667,"?*")&lt;N(INDEX(Setup!$L$6:$L$23,10)))+(COUNTIF(K1667:M1667,"?*")&lt;N(INDEX(Setup!$L$6:$L$23,10)))+(COUNTIF(O1667:Q1667,"?*")&lt;N(INDEX(Setup!$L$6:$L$23,10)))+(COUNTIF(S1667:U1667,"?*")&lt;N(INDEX(Setup!$L$6:$L$23,10)))+((W1667="")*(INDEX(Setup!$M$6:$M$23,10)="Y"))+((Y1667="")*(INDEX(Setup!$M$6:$M$23,10)="Y")))</f>
        <v/>
      </c>
      <c r="AC1667" s="91">
        <f>IF($B1667="","",IF(AB1667=0,"✓ covered","⚠ "&amp;AB1667&amp;IF(AB1667=1," gap"," gaps")))</f>
        <v/>
      </c>
    </row>
    <row r="1668" ht="17" customHeight="1">
      <c r="A1668" t="n">
        <v>34</v>
      </c>
      <c r="B1668" s="24">
        <f>IF(Setup!$K$16="","",Setup!$K$16)</f>
        <v/>
      </c>
      <c r="C1668" s="88" t="n"/>
      <c r="D1668" s="88" t="n"/>
      <c r="E1668" s="88" t="n"/>
      <c r="F1668" s="89" t="n"/>
      <c r="G1668" s="88" t="n"/>
      <c r="H1668" s="88" t="n"/>
      <c r="I1668" s="88" t="n"/>
      <c r="J1668" s="89" t="n"/>
      <c r="K1668" s="88" t="n"/>
      <c r="L1668" s="88" t="n"/>
      <c r="M1668" s="88" t="n"/>
      <c r="N1668" s="89" t="n"/>
      <c r="O1668" s="88" t="n"/>
      <c r="P1668" s="88" t="n"/>
      <c r="Q1668" s="88" t="n"/>
      <c r="R1668" s="89" t="n"/>
      <c r="S1668" s="88" t="n"/>
      <c r="T1668" s="88" t="n"/>
      <c r="U1668" s="88" t="n"/>
      <c r="V1668" s="89" t="n"/>
      <c r="W1668" s="88" t="n"/>
      <c r="X1668" s="89" t="n"/>
      <c r="Y1668" s="88" t="n"/>
      <c r="Z1668" s="89" t="n"/>
      <c r="AB1668" s="25">
        <f>IF($B1668="","",(COUNTIF(C1668:E1668,"?*")&lt;N(INDEX(Setup!$L$6:$L$23,11)))+(COUNTIF(G1668:I1668,"?*")&lt;N(INDEX(Setup!$L$6:$L$23,11)))+(COUNTIF(K1668:M1668,"?*")&lt;N(INDEX(Setup!$L$6:$L$23,11)))+(COUNTIF(O1668:Q1668,"?*")&lt;N(INDEX(Setup!$L$6:$L$23,11)))+(COUNTIF(S1668:U1668,"?*")&lt;N(INDEX(Setup!$L$6:$L$23,11)))+((W1668="")*(INDEX(Setup!$M$6:$M$23,11)="Y"))+((Y1668="")*(INDEX(Setup!$M$6:$M$23,11)="Y")))</f>
        <v/>
      </c>
      <c r="AC1668" s="90">
        <f>IF($B1668="","",IF(AB1668=0,"✓ covered","⚠ "&amp;AB1668&amp;IF(AB1668=1," gap"," gaps")))</f>
        <v/>
      </c>
    </row>
    <row r="1669" ht="17" customHeight="1">
      <c r="A1669" t="n">
        <v>34</v>
      </c>
      <c r="B1669" s="29">
        <f>IF(Setup!$K$17="","",Setup!$K$17)</f>
        <v/>
      </c>
      <c r="C1669" s="88" t="n"/>
      <c r="D1669" s="88" t="n"/>
      <c r="E1669" s="88" t="n"/>
      <c r="F1669" s="89" t="n"/>
      <c r="G1669" s="88" t="n"/>
      <c r="H1669" s="88" t="n"/>
      <c r="I1669" s="88" t="n"/>
      <c r="J1669" s="89" t="n"/>
      <c r="K1669" s="88" t="n"/>
      <c r="L1669" s="88" t="n"/>
      <c r="M1669" s="88" t="n"/>
      <c r="N1669" s="89" t="n"/>
      <c r="O1669" s="88" t="n"/>
      <c r="P1669" s="88" t="n"/>
      <c r="Q1669" s="88" t="n"/>
      <c r="R1669" s="89" t="n"/>
      <c r="S1669" s="88" t="n"/>
      <c r="T1669" s="88" t="n"/>
      <c r="U1669" s="88" t="n"/>
      <c r="V1669" s="89" t="n"/>
      <c r="W1669" s="88" t="n"/>
      <c r="X1669" s="89" t="n"/>
      <c r="Y1669" s="88" t="n"/>
      <c r="Z1669" s="89" t="n"/>
      <c r="AB1669" s="30">
        <f>IF($B1669="","",(COUNTIF(C1669:E1669,"?*")&lt;N(INDEX(Setup!$L$6:$L$23,12)))+(COUNTIF(G1669:I1669,"?*")&lt;N(INDEX(Setup!$L$6:$L$23,12)))+(COUNTIF(K1669:M1669,"?*")&lt;N(INDEX(Setup!$L$6:$L$23,12)))+(COUNTIF(O1669:Q1669,"?*")&lt;N(INDEX(Setup!$L$6:$L$23,12)))+(COUNTIF(S1669:U1669,"?*")&lt;N(INDEX(Setup!$L$6:$L$23,12)))+((W1669="")*(INDEX(Setup!$M$6:$M$23,12)="Y"))+((Y1669="")*(INDEX(Setup!$M$6:$M$23,12)="Y")))</f>
        <v/>
      </c>
      <c r="AC1669" s="91">
        <f>IF($B1669="","",IF(AB1669=0,"✓ covered","⚠ "&amp;AB1669&amp;IF(AB1669=1," gap"," gaps")))</f>
        <v/>
      </c>
    </row>
    <row r="1670" ht="17" customHeight="1">
      <c r="A1670" t="n">
        <v>34</v>
      </c>
      <c r="B1670" s="24">
        <f>IF(Setup!$K$18="","",Setup!$K$18)</f>
        <v/>
      </c>
      <c r="C1670" s="88" t="n"/>
      <c r="D1670" s="88" t="n"/>
      <c r="E1670" s="88" t="n"/>
      <c r="F1670" s="89" t="n"/>
      <c r="G1670" s="88" t="n"/>
      <c r="H1670" s="88" t="n"/>
      <c r="I1670" s="88" t="n"/>
      <c r="J1670" s="89" t="n"/>
      <c r="K1670" s="88" t="n"/>
      <c r="L1670" s="88" t="n"/>
      <c r="M1670" s="88" t="n"/>
      <c r="N1670" s="89" t="n"/>
      <c r="O1670" s="88" t="n"/>
      <c r="P1670" s="88" t="n"/>
      <c r="Q1670" s="88" t="n"/>
      <c r="R1670" s="89" t="n"/>
      <c r="S1670" s="88" t="n"/>
      <c r="T1670" s="88" t="n"/>
      <c r="U1670" s="88" t="n"/>
      <c r="V1670" s="89" t="n"/>
      <c r="W1670" s="88" t="n"/>
      <c r="X1670" s="89" t="n"/>
      <c r="Y1670" s="88" t="n"/>
      <c r="Z1670" s="89" t="n"/>
      <c r="AB1670" s="25">
        <f>IF($B1670="","",(COUNTIF(C1670:E1670,"?*")&lt;N(INDEX(Setup!$L$6:$L$23,13)))+(COUNTIF(G1670:I1670,"?*")&lt;N(INDEX(Setup!$L$6:$L$23,13)))+(COUNTIF(K1670:M1670,"?*")&lt;N(INDEX(Setup!$L$6:$L$23,13)))+(COUNTIF(O1670:Q1670,"?*")&lt;N(INDEX(Setup!$L$6:$L$23,13)))+(COUNTIF(S1670:U1670,"?*")&lt;N(INDEX(Setup!$L$6:$L$23,13)))+((W1670="")*(INDEX(Setup!$M$6:$M$23,13)="Y"))+((Y1670="")*(INDEX(Setup!$M$6:$M$23,13)="Y")))</f>
        <v/>
      </c>
      <c r="AC1670" s="90">
        <f>IF($B1670="","",IF(AB1670=0,"✓ covered","⚠ "&amp;AB1670&amp;IF(AB1670=1," gap"," gaps")))</f>
        <v/>
      </c>
    </row>
    <row r="1671" ht="17" customHeight="1">
      <c r="A1671" t="n">
        <v>34</v>
      </c>
      <c r="B1671" s="29">
        <f>IF(Setup!$K$19="","",Setup!$K$19)</f>
        <v/>
      </c>
      <c r="C1671" s="88" t="n"/>
      <c r="D1671" s="88" t="n"/>
      <c r="E1671" s="88" t="n"/>
      <c r="F1671" s="89" t="n"/>
      <c r="G1671" s="88" t="n"/>
      <c r="H1671" s="88" t="n"/>
      <c r="I1671" s="88" t="n"/>
      <c r="J1671" s="89" t="n"/>
      <c r="K1671" s="88" t="n"/>
      <c r="L1671" s="88" t="n"/>
      <c r="M1671" s="88" t="n"/>
      <c r="N1671" s="89" t="n"/>
      <c r="O1671" s="88" t="n"/>
      <c r="P1671" s="88" t="n"/>
      <c r="Q1671" s="88" t="n"/>
      <c r="R1671" s="89" t="n"/>
      <c r="S1671" s="88" t="n"/>
      <c r="T1671" s="88" t="n"/>
      <c r="U1671" s="88" t="n"/>
      <c r="V1671" s="89" t="n"/>
      <c r="W1671" s="88" t="n"/>
      <c r="X1671" s="89" t="n"/>
      <c r="Y1671" s="88" t="n"/>
      <c r="Z1671" s="89" t="n"/>
      <c r="AB1671" s="30">
        <f>IF($B1671="","",(COUNTIF(C1671:E1671,"?*")&lt;N(INDEX(Setup!$L$6:$L$23,14)))+(COUNTIF(G1671:I1671,"?*")&lt;N(INDEX(Setup!$L$6:$L$23,14)))+(COUNTIF(K1671:M1671,"?*")&lt;N(INDEX(Setup!$L$6:$L$23,14)))+(COUNTIF(O1671:Q1671,"?*")&lt;N(INDEX(Setup!$L$6:$L$23,14)))+(COUNTIF(S1671:U1671,"?*")&lt;N(INDEX(Setup!$L$6:$L$23,14)))+((W1671="")*(INDEX(Setup!$M$6:$M$23,14)="Y"))+((Y1671="")*(INDEX(Setup!$M$6:$M$23,14)="Y")))</f>
        <v/>
      </c>
      <c r="AC1671" s="91">
        <f>IF($B1671="","",IF(AB1671=0,"✓ covered","⚠ "&amp;AB1671&amp;IF(AB1671=1," gap"," gaps")))</f>
        <v/>
      </c>
    </row>
    <row r="1672" ht="17" customHeight="1">
      <c r="A1672" t="n">
        <v>34</v>
      </c>
      <c r="B1672" s="24">
        <f>IF(Setup!$K$20="","",Setup!$K$20)</f>
        <v/>
      </c>
      <c r="C1672" s="88" t="n"/>
      <c r="D1672" s="88" t="n"/>
      <c r="E1672" s="88" t="n"/>
      <c r="F1672" s="89" t="n"/>
      <c r="G1672" s="88" t="n"/>
      <c r="H1672" s="88" t="n"/>
      <c r="I1672" s="88" t="n"/>
      <c r="J1672" s="89" t="n"/>
      <c r="K1672" s="88" t="n"/>
      <c r="L1672" s="88" t="n"/>
      <c r="M1672" s="88" t="n"/>
      <c r="N1672" s="89" t="n"/>
      <c r="O1672" s="88" t="n"/>
      <c r="P1672" s="88" t="n"/>
      <c r="Q1672" s="88" t="n"/>
      <c r="R1672" s="89" t="n"/>
      <c r="S1672" s="88" t="n"/>
      <c r="T1672" s="88" t="n"/>
      <c r="U1672" s="88" t="n"/>
      <c r="V1672" s="89" t="n"/>
      <c r="W1672" s="88" t="n"/>
      <c r="X1672" s="89" t="n"/>
      <c r="Y1672" s="88" t="n"/>
      <c r="Z1672" s="89" t="n"/>
      <c r="AB1672" s="25">
        <f>IF($B1672="","",(COUNTIF(C1672:E1672,"?*")&lt;N(INDEX(Setup!$L$6:$L$23,15)))+(COUNTIF(G1672:I1672,"?*")&lt;N(INDEX(Setup!$L$6:$L$23,15)))+(COUNTIF(K1672:M1672,"?*")&lt;N(INDEX(Setup!$L$6:$L$23,15)))+(COUNTIF(O1672:Q1672,"?*")&lt;N(INDEX(Setup!$L$6:$L$23,15)))+(COUNTIF(S1672:U1672,"?*")&lt;N(INDEX(Setup!$L$6:$L$23,15)))+((W1672="")*(INDEX(Setup!$M$6:$M$23,15)="Y"))+((Y1672="")*(INDEX(Setup!$M$6:$M$23,15)="Y")))</f>
        <v/>
      </c>
      <c r="AC1672" s="90">
        <f>IF($B1672="","",IF(AB1672=0,"✓ covered","⚠ "&amp;AB1672&amp;IF(AB1672=1," gap"," gaps")))</f>
        <v/>
      </c>
    </row>
    <row r="1673" ht="17" customHeight="1">
      <c r="A1673" t="n">
        <v>34</v>
      </c>
      <c r="B1673" s="29">
        <f>IF(Setup!$K$21="","",Setup!$K$21)</f>
        <v/>
      </c>
      <c r="C1673" s="88" t="n"/>
      <c r="D1673" s="88" t="n"/>
      <c r="E1673" s="88" t="n"/>
      <c r="F1673" s="89" t="n"/>
      <c r="G1673" s="88" t="n"/>
      <c r="H1673" s="88" t="n"/>
      <c r="I1673" s="88" t="n"/>
      <c r="J1673" s="89" t="n"/>
      <c r="K1673" s="88" t="n"/>
      <c r="L1673" s="88" t="n"/>
      <c r="M1673" s="88" t="n"/>
      <c r="N1673" s="89" t="n"/>
      <c r="O1673" s="88" t="n"/>
      <c r="P1673" s="88" t="n"/>
      <c r="Q1673" s="88" t="n"/>
      <c r="R1673" s="89" t="n"/>
      <c r="S1673" s="88" t="n"/>
      <c r="T1673" s="88" t="n"/>
      <c r="U1673" s="88" t="n"/>
      <c r="V1673" s="89" t="n"/>
      <c r="W1673" s="88" t="n"/>
      <c r="X1673" s="89" t="n"/>
      <c r="Y1673" s="88" t="n"/>
      <c r="Z1673" s="89" t="n"/>
      <c r="AB1673" s="30">
        <f>IF($B1673="","",(COUNTIF(C1673:E1673,"?*")&lt;N(INDEX(Setup!$L$6:$L$23,16)))+(COUNTIF(G1673:I1673,"?*")&lt;N(INDEX(Setup!$L$6:$L$23,16)))+(COUNTIF(K1673:M1673,"?*")&lt;N(INDEX(Setup!$L$6:$L$23,16)))+(COUNTIF(O1673:Q1673,"?*")&lt;N(INDEX(Setup!$L$6:$L$23,16)))+(COUNTIF(S1673:U1673,"?*")&lt;N(INDEX(Setup!$L$6:$L$23,16)))+((W1673="")*(INDEX(Setup!$M$6:$M$23,16)="Y"))+((Y1673="")*(INDEX(Setup!$M$6:$M$23,16)="Y")))</f>
        <v/>
      </c>
      <c r="AC1673" s="91">
        <f>IF($B1673="","",IF(AB1673=0,"✓ covered","⚠ "&amp;AB1673&amp;IF(AB1673=1," gap"," gaps")))</f>
        <v/>
      </c>
    </row>
    <row r="1674" ht="17" customHeight="1">
      <c r="A1674" t="n">
        <v>34</v>
      </c>
      <c r="B1674" s="24">
        <f>IF(Setup!$K$22="","",Setup!$K$22)</f>
        <v/>
      </c>
      <c r="C1674" s="88" t="n"/>
      <c r="D1674" s="88" t="n"/>
      <c r="E1674" s="88" t="n"/>
      <c r="F1674" s="89" t="n"/>
      <c r="G1674" s="88" t="n"/>
      <c r="H1674" s="88" t="n"/>
      <c r="I1674" s="88" t="n"/>
      <c r="J1674" s="89" t="n"/>
      <c r="K1674" s="88" t="n"/>
      <c r="L1674" s="88" t="n"/>
      <c r="M1674" s="88" t="n"/>
      <c r="N1674" s="89" t="n"/>
      <c r="O1674" s="88" t="n"/>
      <c r="P1674" s="88" t="n"/>
      <c r="Q1674" s="88" t="n"/>
      <c r="R1674" s="89" t="n"/>
      <c r="S1674" s="88" t="n"/>
      <c r="T1674" s="88" t="n"/>
      <c r="U1674" s="88" t="n"/>
      <c r="V1674" s="89" t="n"/>
      <c r="W1674" s="88" t="n"/>
      <c r="X1674" s="89" t="n"/>
      <c r="Y1674" s="88" t="n"/>
      <c r="Z1674" s="89" t="n"/>
      <c r="AB1674" s="25">
        <f>IF($B1674="","",(COUNTIF(C1674:E1674,"?*")&lt;N(INDEX(Setup!$L$6:$L$23,17)))+(COUNTIF(G1674:I1674,"?*")&lt;N(INDEX(Setup!$L$6:$L$23,17)))+(COUNTIF(K1674:M1674,"?*")&lt;N(INDEX(Setup!$L$6:$L$23,17)))+(COUNTIF(O1674:Q1674,"?*")&lt;N(INDEX(Setup!$L$6:$L$23,17)))+(COUNTIF(S1674:U1674,"?*")&lt;N(INDEX(Setup!$L$6:$L$23,17)))+((W1674="")*(INDEX(Setup!$M$6:$M$23,17)="Y"))+((Y1674="")*(INDEX(Setup!$M$6:$M$23,17)="Y")))</f>
        <v/>
      </c>
      <c r="AC1674" s="90">
        <f>IF($B1674="","",IF(AB1674=0,"✓ covered","⚠ "&amp;AB1674&amp;IF(AB1674=1," gap"," gaps")))</f>
        <v/>
      </c>
    </row>
    <row r="1675" ht="17" customHeight="1">
      <c r="A1675" t="n">
        <v>34</v>
      </c>
      <c r="B1675" s="29">
        <f>IF(Setup!$K$23="","",Setup!$K$23)</f>
        <v/>
      </c>
      <c r="C1675" s="88" t="n"/>
      <c r="D1675" s="88" t="n"/>
      <c r="E1675" s="88" t="n"/>
      <c r="F1675" s="89" t="n"/>
      <c r="G1675" s="88" t="n"/>
      <c r="H1675" s="88" t="n"/>
      <c r="I1675" s="88" t="n"/>
      <c r="J1675" s="89" t="n"/>
      <c r="K1675" s="88" t="n"/>
      <c r="L1675" s="88" t="n"/>
      <c r="M1675" s="88" t="n"/>
      <c r="N1675" s="89" t="n"/>
      <c r="O1675" s="88" t="n"/>
      <c r="P1675" s="88" t="n"/>
      <c r="Q1675" s="88" t="n"/>
      <c r="R1675" s="89" t="n"/>
      <c r="S1675" s="88" t="n"/>
      <c r="T1675" s="88" t="n"/>
      <c r="U1675" s="88" t="n"/>
      <c r="V1675" s="89" t="n"/>
      <c r="W1675" s="88" t="n"/>
      <c r="X1675" s="89" t="n"/>
      <c r="Y1675" s="88" t="n"/>
      <c r="Z1675" s="89" t="n"/>
      <c r="AB1675" s="30">
        <f>IF($B1675="","",(COUNTIF(C1675:E1675,"?*")&lt;N(INDEX(Setup!$L$6:$L$23,18)))+(COUNTIF(G1675:I1675,"?*")&lt;N(INDEX(Setup!$L$6:$L$23,18)))+(COUNTIF(K1675:M1675,"?*")&lt;N(INDEX(Setup!$L$6:$L$23,18)))+(COUNTIF(O1675:Q1675,"?*")&lt;N(INDEX(Setup!$L$6:$L$23,18)))+(COUNTIF(S1675:U1675,"?*")&lt;N(INDEX(Setup!$L$6:$L$23,18)))+((W1675="")*(INDEX(Setup!$M$6:$M$23,18)="Y"))+((Y1675="")*(INDEX(Setup!$M$6:$M$23,18)="Y")))</f>
        <v/>
      </c>
      <c r="AC1675" s="91">
        <f>IF($B1675="","",IF(AB1675=0,"✓ covered","⚠ "&amp;AB1675&amp;IF(AB1675=1," gap"," gaps")))</f>
        <v/>
      </c>
    </row>
    <row r="1676" ht="18" customHeight="1">
      <c r="A1676" t="n">
        <v>34</v>
      </c>
      <c r="B1676" s="78" t="inlineStr">
        <is>
          <t>TEAM AVAILABILITY</t>
        </is>
      </c>
      <c r="C1676" s="92" t="inlineStr">
        <is>
          <t>Mon</t>
        </is>
      </c>
      <c r="D1676" s="93" t="n"/>
      <c r="E1676" s="93" t="n"/>
      <c r="F1676" s="94" t="n"/>
      <c r="G1676" s="92" t="inlineStr">
        <is>
          <t>Tue</t>
        </is>
      </c>
      <c r="H1676" s="93" t="n"/>
      <c r="I1676" s="93" t="n"/>
      <c r="J1676" s="94" t="n"/>
      <c r="K1676" s="92" t="inlineStr">
        <is>
          <t>Wed</t>
        </is>
      </c>
      <c r="L1676" s="93" t="n"/>
      <c r="M1676" s="93" t="n"/>
      <c r="N1676" s="94" t="n"/>
      <c r="O1676" s="92" t="inlineStr">
        <is>
          <t>Thu</t>
        </is>
      </c>
      <c r="P1676" s="93" t="n"/>
      <c r="Q1676" s="93" t="n"/>
      <c r="R1676" s="94" t="n"/>
      <c r="S1676" s="92" t="inlineStr">
        <is>
          <t>Fri</t>
        </is>
      </c>
      <c r="T1676" s="93" t="n"/>
      <c r="U1676" s="93" t="n"/>
      <c r="V1676" s="94" t="n"/>
      <c r="W1676" s="95" t="inlineStr">
        <is>
          <t>Sat</t>
        </is>
      </c>
      <c r="X1676" s="96" t="n"/>
      <c r="Y1676" s="95" t="inlineStr">
        <is>
          <t>Sun</t>
        </is>
      </c>
      <c r="Z1676" s="96" t="n"/>
      <c r="AB1676" s="97" t="inlineStr">
        <is>
          <t>Days rostered</t>
        </is>
      </c>
      <c r="AC1676" s="97" t="inlineStr">
        <is>
          <t>Conflicts</t>
        </is>
      </c>
    </row>
    <row r="1677" ht="15" customHeight="1">
      <c r="A1677" t="n">
        <v>34</v>
      </c>
      <c r="B1677" s="35">
        <f>IF(Setup!$B$6="","",Setup!$B$6)</f>
        <v/>
      </c>
      <c r="C1677" s="98" t="n"/>
      <c r="D1677" s="99" t="n"/>
      <c r="E1677" s="99" t="n"/>
      <c r="F1677" s="100" t="n"/>
      <c r="G1677" s="98" t="n"/>
      <c r="H1677" s="99" t="n"/>
      <c r="I1677" s="99" t="n"/>
      <c r="J1677" s="100" t="n"/>
      <c r="K1677" s="98" t="n"/>
      <c r="L1677" s="99" t="n"/>
      <c r="M1677" s="99" t="n"/>
      <c r="N1677" s="100" t="n"/>
      <c r="O1677" s="98" t="n"/>
      <c r="P1677" s="99" t="n"/>
      <c r="Q1677" s="99" t="n"/>
      <c r="R1677" s="100" t="n"/>
      <c r="S1677" s="98" t="n"/>
      <c r="T1677" s="99" t="n"/>
      <c r="U1677" s="99" t="n"/>
      <c r="V1677" s="100" t="n"/>
      <c r="W1677" s="98" t="n"/>
      <c r="X1677" s="100" t="n"/>
      <c r="Y1677" s="98" t="n"/>
      <c r="Z1677" s="100" t="n"/>
      <c r="AB1677" s="101">
        <f>IF($B1677="","",(COUNTIF(C1658:E1675,$B1677)+COUNTIF(C1658:E1675,$B1677&amp;" ~*")&gt;0)+(COUNTIF(G1658:I1675,$B1677)+COUNTIF(G1658:I1675,$B1677&amp;" ~*")&gt;0)+(COUNTIF(K1658:M1675,$B1677)+COUNTIF(K1658:M1675,$B1677&amp;" ~*")&gt;0)+(COUNTIF(O1658:Q1675,$B1677)+COUNTIF(O1658:Q1675,$B1677&amp;" ~*")&gt;0)+(COUNTIF(S1658:U1675,$B1677)+COUNTIF(S1658:U1675,$B1677&amp;" ~*")&gt;0)+(COUNTIF(W1658:W1675,$B1677)+COUNTIF(W1658:W1675,$B1677&amp;" ~*")&gt;0)+(COUNTIF(Y1658:Y1675,$B1677)+COUNTIF(Y1658:Y1675,$B1677&amp;" ~*")&gt;0))</f>
        <v/>
      </c>
      <c r="AC1677" s="36">
        <f>IF($B1677="","",(IFERROR(INDEX(Setup!$G$33:$G$40,MATCH(C1677,Setup!$B$33:$B$40,0)),0)=1)*(COUNTIF(C1658:E1675,$B1677)+COUNTIF(C1658:E1675,$B1677&amp;" ~*")&gt;0)+(IFERROR(INDEX(Setup!$G$33:$G$40,MATCH(G1677,Setup!$B$33:$B$40,0)),0)=1)*(COUNTIF(G1658:I1675,$B1677)+COUNTIF(G1658:I1675,$B1677&amp;" ~*")&gt;0)+(IFERROR(INDEX(Setup!$G$33:$G$40,MATCH(K1677,Setup!$B$33:$B$40,0)),0)=1)*(COUNTIF(K1658:M1675,$B1677)+COUNTIF(K1658:M1675,$B1677&amp;" ~*")&gt;0)+(IFERROR(INDEX(Setup!$G$33:$G$40,MATCH(O1677,Setup!$B$33:$B$40,0)),0)=1)*(COUNTIF(O1658:Q1675,$B1677)+COUNTIF(O1658:Q1675,$B1677&amp;" ~*")&gt;0)+(IFERROR(INDEX(Setup!$G$33:$G$40,MATCH(S1677,Setup!$B$33:$B$40,0)),0)=1)*(COUNTIF(S1658:U1675,$B1677)+COUNTIF(S1658:U1675,$B1677&amp;" ~*")&gt;0)+(IFERROR(INDEX(Setup!$G$33:$G$40,MATCH(W1677,Setup!$B$33:$B$40,0)),0)=1)*(COUNTIF(W1658:W1675,$B1677)+COUNTIF(W1658:W1675,$B1677&amp;" ~*")&gt;0)+(IFERROR(INDEX(Setup!$G$33:$G$40,MATCH(Y1677,Setup!$B$33:$B$40,0)),0)=1)*(COUNTIF(Y1658:Y1675,$B1677)+COUNTIF(Y1658:Y1675,$B1677&amp;" ~*")&gt;0))</f>
        <v/>
      </c>
    </row>
    <row r="1678" ht="15" customHeight="1">
      <c r="A1678" t="n">
        <v>34</v>
      </c>
      <c r="B1678" s="37">
        <f>IF(Setup!$B$7="","",Setup!$B$7)</f>
        <v/>
      </c>
      <c r="C1678" s="102" t="n"/>
      <c r="D1678" s="103" t="n"/>
      <c r="E1678" s="103" t="n"/>
      <c r="F1678" s="104" t="n"/>
      <c r="G1678" s="102" t="n"/>
      <c r="H1678" s="103" t="n"/>
      <c r="I1678" s="103" t="n"/>
      <c r="J1678" s="104" t="n"/>
      <c r="K1678" s="102" t="n"/>
      <c r="L1678" s="103" t="n"/>
      <c r="M1678" s="103" t="n"/>
      <c r="N1678" s="104" t="n"/>
      <c r="O1678" s="102" t="n"/>
      <c r="P1678" s="103" t="n"/>
      <c r="Q1678" s="103" t="n"/>
      <c r="R1678" s="104" t="n"/>
      <c r="S1678" s="102" t="n"/>
      <c r="T1678" s="103" t="n"/>
      <c r="U1678" s="103" t="n"/>
      <c r="V1678" s="104" t="n"/>
      <c r="W1678" s="102" t="n"/>
      <c r="X1678" s="104" t="n"/>
      <c r="Y1678" s="102" t="n"/>
      <c r="Z1678" s="104" t="n"/>
      <c r="AB1678" s="105">
        <f>IF($B1678="","",(COUNTIF(C1658:E1675,$B1678)+COUNTIF(C1658:E1675,$B1678&amp;" ~*")&gt;0)+(COUNTIF(G1658:I1675,$B1678)+COUNTIF(G1658:I1675,$B1678&amp;" ~*")&gt;0)+(COUNTIF(K1658:M1675,$B1678)+COUNTIF(K1658:M1675,$B1678&amp;" ~*")&gt;0)+(COUNTIF(O1658:Q1675,$B1678)+COUNTIF(O1658:Q1675,$B1678&amp;" ~*")&gt;0)+(COUNTIF(S1658:U1675,$B1678)+COUNTIF(S1658:U1675,$B1678&amp;" ~*")&gt;0)+(COUNTIF(W1658:W1675,$B1678)+COUNTIF(W1658:W1675,$B1678&amp;" ~*")&gt;0)+(COUNTIF(Y1658:Y1675,$B1678)+COUNTIF(Y1658:Y1675,$B1678&amp;" ~*")&gt;0))</f>
        <v/>
      </c>
      <c r="AC1678" s="38">
        <f>IF($B1678="","",(IFERROR(INDEX(Setup!$G$33:$G$40,MATCH(C1678,Setup!$B$33:$B$40,0)),0)=1)*(COUNTIF(C1658:E1675,$B1678)+COUNTIF(C1658:E1675,$B1678&amp;" ~*")&gt;0)+(IFERROR(INDEX(Setup!$G$33:$G$40,MATCH(G1678,Setup!$B$33:$B$40,0)),0)=1)*(COUNTIF(G1658:I1675,$B1678)+COUNTIF(G1658:I1675,$B1678&amp;" ~*")&gt;0)+(IFERROR(INDEX(Setup!$G$33:$G$40,MATCH(K1678,Setup!$B$33:$B$40,0)),0)=1)*(COUNTIF(K1658:M1675,$B1678)+COUNTIF(K1658:M1675,$B1678&amp;" ~*")&gt;0)+(IFERROR(INDEX(Setup!$G$33:$G$40,MATCH(O1678,Setup!$B$33:$B$40,0)),0)=1)*(COUNTIF(O1658:Q1675,$B1678)+COUNTIF(O1658:Q1675,$B1678&amp;" ~*")&gt;0)+(IFERROR(INDEX(Setup!$G$33:$G$40,MATCH(S1678,Setup!$B$33:$B$40,0)),0)=1)*(COUNTIF(S1658:U1675,$B1678)+COUNTIF(S1658:U1675,$B1678&amp;" ~*")&gt;0)+(IFERROR(INDEX(Setup!$G$33:$G$40,MATCH(W1678,Setup!$B$33:$B$40,0)),0)=1)*(COUNTIF(W1658:W1675,$B1678)+COUNTIF(W1658:W1675,$B1678&amp;" ~*")&gt;0)+(IFERROR(INDEX(Setup!$G$33:$G$40,MATCH(Y1678,Setup!$B$33:$B$40,0)),0)=1)*(COUNTIF(Y1658:Y1675,$B1678)+COUNTIF(Y1658:Y1675,$B1678&amp;" ~*")&gt;0))</f>
        <v/>
      </c>
    </row>
    <row r="1679" ht="15" customHeight="1">
      <c r="A1679" t="n">
        <v>34</v>
      </c>
      <c r="B1679" s="35">
        <f>IF(Setup!$B$8="","",Setup!$B$8)</f>
        <v/>
      </c>
      <c r="C1679" s="98" t="n"/>
      <c r="D1679" s="99" t="n"/>
      <c r="E1679" s="99" t="n"/>
      <c r="F1679" s="100" t="n"/>
      <c r="G1679" s="98" t="n"/>
      <c r="H1679" s="99" t="n"/>
      <c r="I1679" s="99" t="n"/>
      <c r="J1679" s="100" t="n"/>
      <c r="K1679" s="98" t="n"/>
      <c r="L1679" s="99" t="n"/>
      <c r="M1679" s="99" t="n"/>
      <c r="N1679" s="100" t="n"/>
      <c r="O1679" s="98" t="n"/>
      <c r="P1679" s="99" t="n"/>
      <c r="Q1679" s="99" t="n"/>
      <c r="R1679" s="100" t="n"/>
      <c r="S1679" s="98" t="n"/>
      <c r="T1679" s="99" t="n"/>
      <c r="U1679" s="99" t="n"/>
      <c r="V1679" s="100" t="n"/>
      <c r="W1679" s="98" t="n"/>
      <c r="X1679" s="100" t="n"/>
      <c r="Y1679" s="98" t="n"/>
      <c r="Z1679" s="100" t="n"/>
      <c r="AB1679" s="101">
        <f>IF($B1679="","",(COUNTIF(C1658:E1675,$B1679)+COUNTIF(C1658:E1675,$B1679&amp;" ~*")&gt;0)+(COUNTIF(G1658:I1675,$B1679)+COUNTIF(G1658:I1675,$B1679&amp;" ~*")&gt;0)+(COUNTIF(K1658:M1675,$B1679)+COUNTIF(K1658:M1675,$B1679&amp;" ~*")&gt;0)+(COUNTIF(O1658:Q1675,$B1679)+COUNTIF(O1658:Q1675,$B1679&amp;" ~*")&gt;0)+(COUNTIF(S1658:U1675,$B1679)+COUNTIF(S1658:U1675,$B1679&amp;" ~*")&gt;0)+(COUNTIF(W1658:W1675,$B1679)+COUNTIF(W1658:W1675,$B1679&amp;" ~*")&gt;0)+(COUNTIF(Y1658:Y1675,$B1679)+COUNTIF(Y1658:Y1675,$B1679&amp;" ~*")&gt;0))</f>
        <v/>
      </c>
      <c r="AC1679" s="36">
        <f>IF($B1679="","",(IFERROR(INDEX(Setup!$G$33:$G$40,MATCH(C1679,Setup!$B$33:$B$40,0)),0)=1)*(COUNTIF(C1658:E1675,$B1679)+COUNTIF(C1658:E1675,$B1679&amp;" ~*")&gt;0)+(IFERROR(INDEX(Setup!$G$33:$G$40,MATCH(G1679,Setup!$B$33:$B$40,0)),0)=1)*(COUNTIF(G1658:I1675,$B1679)+COUNTIF(G1658:I1675,$B1679&amp;" ~*")&gt;0)+(IFERROR(INDEX(Setup!$G$33:$G$40,MATCH(K1679,Setup!$B$33:$B$40,0)),0)=1)*(COUNTIF(K1658:M1675,$B1679)+COUNTIF(K1658:M1675,$B1679&amp;" ~*")&gt;0)+(IFERROR(INDEX(Setup!$G$33:$G$40,MATCH(O1679,Setup!$B$33:$B$40,0)),0)=1)*(COUNTIF(O1658:Q1675,$B1679)+COUNTIF(O1658:Q1675,$B1679&amp;" ~*")&gt;0)+(IFERROR(INDEX(Setup!$G$33:$G$40,MATCH(S1679,Setup!$B$33:$B$40,0)),0)=1)*(COUNTIF(S1658:U1675,$B1679)+COUNTIF(S1658:U1675,$B1679&amp;" ~*")&gt;0)+(IFERROR(INDEX(Setup!$G$33:$G$40,MATCH(W1679,Setup!$B$33:$B$40,0)),0)=1)*(COUNTIF(W1658:W1675,$B1679)+COUNTIF(W1658:W1675,$B1679&amp;" ~*")&gt;0)+(IFERROR(INDEX(Setup!$G$33:$G$40,MATCH(Y1679,Setup!$B$33:$B$40,0)),0)=1)*(COUNTIF(Y1658:Y1675,$B1679)+COUNTIF(Y1658:Y1675,$B1679&amp;" ~*")&gt;0))</f>
        <v/>
      </c>
    </row>
    <row r="1680" ht="15" customHeight="1">
      <c r="A1680" t="n">
        <v>34</v>
      </c>
      <c r="B1680" s="37">
        <f>IF(Setup!$B$9="","",Setup!$B$9)</f>
        <v/>
      </c>
      <c r="C1680" s="102" t="n"/>
      <c r="D1680" s="103" t="n"/>
      <c r="E1680" s="103" t="n"/>
      <c r="F1680" s="104" t="n"/>
      <c r="G1680" s="102" t="n"/>
      <c r="H1680" s="103" t="n"/>
      <c r="I1680" s="103" t="n"/>
      <c r="J1680" s="104" t="n"/>
      <c r="K1680" s="102" t="n"/>
      <c r="L1680" s="103" t="n"/>
      <c r="M1680" s="103" t="n"/>
      <c r="N1680" s="104" t="n"/>
      <c r="O1680" s="102" t="n"/>
      <c r="P1680" s="103" t="n"/>
      <c r="Q1680" s="103" t="n"/>
      <c r="R1680" s="104" t="n"/>
      <c r="S1680" s="102" t="n"/>
      <c r="T1680" s="103" t="n"/>
      <c r="U1680" s="103" t="n"/>
      <c r="V1680" s="104" t="n"/>
      <c r="W1680" s="102" t="n"/>
      <c r="X1680" s="104" t="n"/>
      <c r="Y1680" s="102" t="n"/>
      <c r="Z1680" s="104" t="n"/>
      <c r="AB1680" s="105">
        <f>IF($B1680="","",(COUNTIF(C1658:E1675,$B1680)+COUNTIF(C1658:E1675,$B1680&amp;" ~*")&gt;0)+(COUNTIF(G1658:I1675,$B1680)+COUNTIF(G1658:I1675,$B1680&amp;" ~*")&gt;0)+(COUNTIF(K1658:M1675,$B1680)+COUNTIF(K1658:M1675,$B1680&amp;" ~*")&gt;0)+(COUNTIF(O1658:Q1675,$B1680)+COUNTIF(O1658:Q1675,$B1680&amp;" ~*")&gt;0)+(COUNTIF(S1658:U1675,$B1680)+COUNTIF(S1658:U1675,$B1680&amp;" ~*")&gt;0)+(COUNTIF(W1658:W1675,$B1680)+COUNTIF(W1658:W1675,$B1680&amp;" ~*")&gt;0)+(COUNTIF(Y1658:Y1675,$B1680)+COUNTIF(Y1658:Y1675,$B1680&amp;" ~*")&gt;0))</f>
        <v/>
      </c>
      <c r="AC1680" s="38">
        <f>IF($B1680="","",(IFERROR(INDEX(Setup!$G$33:$G$40,MATCH(C1680,Setup!$B$33:$B$40,0)),0)=1)*(COUNTIF(C1658:E1675,$B1680)+COUNTIF(C1658:E1675,$B1680&amp;" ~*")&gt;0)+(IFERROR(INDEX(Setup!$G$33:$G$40,MATCH(G1680,Setup!$B$33:$B$40,0)),0)=1)*(COUNTIF(G1658:I1675,$B1680)+COUNTIF(G1658:I1675,$B1680&amp;" ~*")&gt;0)+(IFERROR(INDEX(Setup!$G$33:$G$40,MATCH(K1680,Setup!$B$33:$B$40,0)),0)=1)*(COUNTIF(K1658:M1675,$B1680)+COUNTIF(K1658:M1675,$B1680&amp;" ~*")&gt;0)+(IFERROR(INDEX(Setup!$G$33:$G$40,MATCH(O1680,Setup!$B$33:$B$40,0)),0)=1)*(COUNTIF(O1658:Q1675,$B1680)+COUNTIF(O1658:Q1675,$B1680&amp;" ~*")&gt;0)+(IFERROR(INDEX(Setup!$G$33:$G$40,MATCH(S1680,Setup!$B$33:$B$40,0)),0)=1)*(COUNTIF(S1658:U1675,$B1680)+COUNTIF(S1658:U1675,$B1680&amp;" ~*")&gt;0)+(IFERROR(INDEX(Setup!$G$33:$G$40,MATCH(W1680,Setup!$B$33:$B$40,0)),0)=1)*(COUNTIF(W1658:W1675,$B1680)+COUNTIF(W1658:W1675,$B1680&amp;" ~*")&gt;0)+(IFERROR(INDEX(Setup!$G$33:$G$40,MATCH(Y1680,Setup!$B$33:$B$40,0)),0)=1)*(COUNTIF(Y1658:Y1675,$B1680)+COUNTIF(Y1658:Y1675,$B1680&amp;" ~*")&gt;0))</f>
        <v/>
      </c>
    </row>
    <row r="1681" ht="15" customHeight="1">
      <c r="A1681" t="n">
        <v>34</v>
      </c>
      <c r="B1681" s="35">
        <f>IF(Setup!$B$10="","",Setup!$B$10)</f>
        <v/>
      </c>
      <c r="C1681" s="98" t="n"/>
      <c r="D1681" s="99" t="n"/>
      <c r="E1681" s="99" t="n"/>
      <c r="F1681" s="100" t="n"/>
      <c r="G1681" s="98" t="n"/>
      <c r="H1681" s="99" t="n"/>
      <c r="I1681" s="99" t="n"/>
      <c r="J1681" s="100" t="n"/>
      <c r="K1681" s="98" t="n"/>
      <c r="L1681" s="99" t="n"/>
      <c r="M1681" s="99" t="n"/>
      <c r="N1681" s="100" t="n"/>
      <c r="O1681" s="98" t="n"/>
      <c r="P1681" s="99" t="n"/>
      <c r="Q1681" s="99" t="n"/>
      <c r="R1681" s="100" t="n"/>
      <c r="S1681" s="98" t="n"/>
      <c r="T1681" s="99" t="n"/>
      <c r="U1681" s="99" t="n"/>
      <c r="V1681" s="100" t="n"/>
      <c r="W1681" s="98" t="n"/>
      <c r="X1681" s="100" t="n"/>
      <c r="Y1681" s="98" t="n"/>
      <c r="Z1681" s="100" t="n"/>
      <c r="AB1681" s="101">
        <f>IF($B1681="","",(COUNTIF(C1658:E1675,$B1681)+COUNTIF(C1658:E1675,$B1681&amp;" ~*")&gt;0)+(COUNTIF(G1658:I1675,$B1681)+COUNTIF(G1658:I1675,$B1681&amp;" ~*")&gt;0)+(COUNTIF(K1658:M1675,$B1681)+COUNTIF(K1658:M1675,$B1681&amp;" ~*")&gt;0)+(COUNTIF(O1658:Q1675,$B1681)+COUNTIF(O1658:Q1675,$B1681&amp;" ~*")&gt;0)+(COUNTIF(S1658:U1675,$B1681)+COUNTIF(S1658:U1675,$B1681&amp;" ~*")&gt;0)+(COUNTIF(W1658:W1675,$B1681)+COUNTIF(W1658:W1675,$B1681&amp;" ~*")&gt;0)+(COUNTIF(Y1658:Y1675,$B1681)+COUNTIF(Y1658:Y1675,$B1681&amp;" ~*")&gt;0))</f>
        <v/>
      </c>
      <c r="AC1681" s="36">
        <f>IF($B1681="","",(IFERROR(INDEX(Setup!$G$33:$G$40,MATCH(C1681,Setup!$B$33:$B$40,0)),0)=1)*(COUNTIF(C1658:E1675,$B1681)+COUNTIF(C1658:E1675,$B1681&amp;" ~*")&gt;0)+(IFERROR(INDEX(Setup!$G$33:$G$40,MATCH(G1681,Setup!$B$33:$B$40,0)),0)=1)*(COUNTIF(G1658:I1675,$B1681)+COUNTIF(G1658:I1675,$B1681&amp;" ~*")&gt;0)+(IFERROR(INDEX(Setup!$G$33:$G$40,MATCH(K1681,Setup!$B$33:$B$40,0)),0)=1)*(COUNTIF(K1658:M1675,$B1681)+COUNTIF(K1658:M1675,$B1681&amp;" ~*")&gt;0)+(IFERROR(INDEX(Setup!$G$33:$G$40,MATCH(O1681,Setup!$B$33:$B$40,0)),0)=1)*(COUNTIF(O1658:Q1675,$B1681)+COUNTIF(O1658:Q1675,$B1681&amp;" ~*")&gt;0)+(IFERROR(INDEX(Setup!$G$33:$G$40,MATCH(S1681,Setup!$B$33:$B$40,0)),0)=1)*(COUNTIF(S1658:U1675,$B1681)+COUNTIF(S1658:U1675,$B1681&amp;" ~*")&gt;0)+(IFERROR(INDEX(Setup!$G$33:$G$40,MATCH(W1681,Setup!$B$33:$B$40,0)),0)=1)*(COUNTIF(W1658:W1675,$B1681)+COUNTIF(W1658:W1675,$B1681&amp;" ~*")&gt;0)+(IFERROR(INDEX(Setup!$G$33:$G$40,MATCH(Y1681,Setup!$B$33:$B$40,0)),0)=1)*(COUNTIF(Y1658:Y1675,$B1681)+COUNTIF(Y1658:Y1675,$B1681&amp;" ~*")&gt;0))</f>
        <v/>
      </c>
    </row>
    <row r="1682" ht="15" customHeight="1">
      <c r="A1682" t="n">
        <v>34</v>
      </c>
      <c r="B1682" s="37">
        <f>IF(Setup!$B$11="","",Setup!$B$11)</f>
        <v/>
      </c>
      <c r="C1682" s="102" t="n"/>
      <c r="D1682" s="103" t="n"/>
      <c r="E1682" s="103" t="n"/>
      <c r="F1682" s="104" t="n"/>
      <c r="G1682" s="102" t="n"/>
      <c r="H1682" s="103" t="n"/>
      <c r="I1682" s="103" t="n"/>
      <c r="J1682" s="104" t="n"/>
      <c r="K1682" s="102" t="n"/>
      <c r="L1682" s="103" t="n"/>
      <c r="M1682" s="103" t="n"/>
      <c r="N1682" s="104" t="n"/>
      <c r="O1682" s="102" t="n"/>
      <c r="P1682" s="103" t="n"/>
      <c r="Q1682" s="103" t="n"/>
      <c r="R1682" s="104" t="n"/>
      <c r="S1682" s="102" t="n"/>
      <c r="T1682" s="103" t="n"/>
      <c r="U1682" s="103" t="n"/>
      <c r="V1682" s="104" t="n"/>
      <c r="W1682" s="102" t="n"/>
      <c r="X1682" s="104" t="n"/>
      <c r="Y1682" s="102" t="n"/>
      <c r="Z1682" s="104" t="n"/>
      <c r="AB1682" s="105">
        <f>IF($B1682="","",(COUNTIF(C1658:E1675,$B1682)+COUNTIF(C1658:E1675,$B1682&amp;" ~*")&gt;0)+(COUNTIF(G1658:I1675,$B1682)+COUNTIF(G1658:I1675,$B1682&amp;" ~*")&gt;0)+(COUNTIF(K1658:M1675,$B1682)+COUNTIF(K1658:M1675,$B1682&amp;" ~*")&gt;0)+(COUNTIF(O1658:Q1675,$B1682)+COUNTIF(O1658:Q1675,$B1682&amp;" ~*")&gt;0)+(COUNTIF(S1658:U1675,$B1682)+COUNTIF(S1658:U1675,$B1682&amp;" ~*")&gt;0)+(COUNTIF(W1658:W1675,$B1682)+COUNTIF(W1658:W1675,$B1682&amp;" ~*")&gt;0)+(COUNTIF(Y1658:Y1675,$B1682)+COUNTIF(Y1658:Y1675,$B1682&amp;" ~*")&gt;0))</f>
        <v/>
      </c>
      <c r="AC1682" s="38">
        <f>IF($B1682="","",(IFERROR(INDEX(Setup!$G$33:$G$40,MATCH(C1682,Setup!$B$33:$B$40,0)),0)=1)*(COUNTIF(C1658:E1675,$B1682)+COUNTIF(C1658:E1675,$B1682&amp;" ~*")&gt;0)+(IFERROR(INDEX(Setup!$G$33:$G$40,MATCH(G1682,Setup!$B$33:$B$40,0)),0)=1)*(COUNTIF(G1658:I1675,$B1682)+COUNTIF(G1658:I1675,$B1682&amp;" ~*")&gt;0)+(IFERROR(INDEX(Setup!$G$33:$G$40,MATCH(K1682,Setup!$B$33:$B$40,0)),0)=1)*(COUNTIF(K1658:M1675,$B1682)+COUNTIF(K1658:M1675,$B1682&amp;" ~*")&gt;0)+(IFERROR(INDEX(Setup!$G$33:$G$40,MATCH(O1682,Setup!$B$33:$B$40,0)),0)=1)*(COUNTIF(O1658:Q1675,$B1682)+COUNTIF(O1658:Q1675,$B1682&amp;" ~*")&gt;0)+(IFERROR(INDEX(Setup!$G$33:$G$40,MATCH(S1682,Setup!$B$33:$B$40,0)),0)=1)*(COUNTIF(S1658:U1675,$B1682)+COUNTIF(S1658:U1675,$B1682&amp;" ~*")&gt;0)+(IFERROR(INDEX(Setup!$G$33:$G$40,MATCH(W1682,Setup!$B$33:$B$40,0)),0)=1)*(COUNTIF(W1658:W1675,$B1682)+COUNTIF(W1658:W1675,$B1682&amp;" ~*")&gt;0)+(IFERROR(INDEX(Setup!$G$33:$G$40,MATCH(Y1682,Setup!$B$33:$B$40,0)),0)=1)*(COUNTIF(Y1658:Y1675,$B1682)+COUNTIF(Y1658:Y1675,$B1682&amp;" ~*")&gt;0))</f>
        <v/>
      </c>
    </row>
    <row r="1683" ht="15" customHeight="1">
      <c r="A1683" t="n">
        <v>34</v>
      </c>
      <c r="B1683" s="35">
        <f>IF(Setup!$B$12="","",Setup!$B$12)</f>
        <v/>
      </c>
      <c r="C1683" s="98" t="n"/>
      <c r="D1683" s="99" t="n"/>
      <c r="E1683" s="99" t="n"/>
      <c r="F1683" s="100" t="n"/>
      <c r="G1683" s="98" t="n"/>
      <c r="H1683" s="99" t="n"/>
      <c r="I1683" s="99" t="n"/>
      <c r="J1683" s="100" t="n"/>
      <c r="K1683" s="98" t="n"/>
      <c r="L1683" s="99" t="n"/>
      <c r="M1683" s="99" t="n"/>
      <c r="N1683" s="100" t="n"/>
      <c r="O1683" s="98" t="n"/>
      <c r="P1683" s="99" t="n"/>
      <c r="Q1683" s="99" t="n"/>
      <c r="R1683" s="100" t="n"/>
      <c r="S1683" s="98" t="n"/>
      <c r="T1683" s="99" t="n"/>
      <c r="U1683" s="99" t="n"/>
      <c r="V1683" s="100" t="n"/>
      <c r="W1683" s="98" t="n"/>
      <c r="X1683" s="100" t="n"/>
      <c r="Y1683" s="98" t="n"/>
      <c r="Z1683" s="100" t="n"/>
      <c r="AB1683" s="101">
        <f>IF($B1683="","",(COUNTIF(C1658:E1675,$B1683)+COUNTIF(C1658:E1675,$B1683&amp;" ~*")&gt;0)+(COUNTIF(G1658:I1675,$B1683)+COUNTIF(G1658:I1675,$B1683&amp;" ~*")&gt;0)+(COUNTIF(K1658:M1675,$B1683)+COUNTIF(K1658:M1675,$B1683&amp;" ~*")&gt;0)+(COUNTIF(O1658:Q1675,$B1683)+COUNTIF(O1658:Q1675,$B1683&amp;" ~*")&gt;0)+(COUNTIF(S1658:U1675,$B1683)+COUNTIF(S1658:U1675,$B1683&amp;" ~*")&gt;0)+(COUNTIF(W1658:W1675,$B1683)+COUNTIF(W1658:W1675,$B1683&amp;" ~*")&gt;0)+(COUNTIF(Y1658:Y1675,$B1683)+COUNTIF(Y1658:Y1675,$B1683&amp;" ~*")&gt;0))</f>
        <v/>
      </c>
      <c r="AC1683" s="36">
        <f>IF($B1683="","",(IFERROR(INDEX(Setup!$G$33:$G$40,MATCH(C1683,Setup!$B$33:$B$40,0)),0)=1)*(COUNTIF(C1658:E1675,$B1683)+COUNTIF(C1658:E1675,$B1683&amp;" ~*")&gt;0)+(IFERROR(INDEX(Setup!$G$33:$G$40,MATCH(G1683,Setup!$B$33:$B$40,0)),0)=1)*(COUNTIF(G1658:I1675,$B1683)+COUNTIF(G1658:I1675,$B1683&amp;" ~*")&gt;0)+(IFERROR(INDEX(Setup!$G$33:$G$40,MATCH(K1683,Setup!$B$33:$B$40,0)),0)=1)*(COUNTIF(K1658:M1675,$B1683)+COUNTIF(K1658:M1675,$B1683&amp;" ~*")&gt;0)+(IFERROR(INDEX(Setup!$G$33:$G$40,MATCH(O1683,Setup!$B$33:$B$40,0)),0)=1)*(COUNTIF(O1658:Q1675,$B1683)+COUNTIF(O1658:Q1675,$B1683&amp;" ~*")&gt;0)+(IFERROR(INDEX(Setup!$G$33:$G$40,MATCH(S1683,Setup!$B$33:$B$40,0)),0)=1)*(COUNTIF(S1658:U1675,$B1683)+COUNTIF(S1658:U1675,$B1683&amp;" ~*")&gt;0)+(IFERROR(INDEX(Setup!$G$33:$G$40,MATCH(W1683,Setup!$B$33:$B$40,0)),0)=1)*(COUNTIF(W1658:W1675,$B1683)+COUNTIF(W1658:W1675,$B1683&amp;" ~*")&gt;0)+(IFERROR(INDEX(Setup!$G$33:$G$40,MATCH(Y1683,Setup!$B$33:$B$40,0)),0)=1)*(COUNTIF(Y1658:Y1675,$B1683)+COUNTIF(Y1658:Y1675,$B1683&amp;" ~*")&gt;0))</f>
        <v/>
      </c>
    </row>
    <row r="1684" ht="15" customHeight="1">
      <c r="A1684" t="n">
        <v>34</v>
      </c>
      <c r="B1684" s="37">
        <f>IF(Setup!$B$13="","",Setup!$B$13)</f>
        <v/>
      </c>
      <c r="C1684" s="102" t="n"/>
      <c r="D1684" s="103" t="n"/>
      <c r="E1684" s="103" t="n"/>
      <c r="F1684" s="104" t="n"/>
      <c r="G1684" s="102" t="n"/>
      <c r="H1684" s="103" t="n"/>
      <c r="I1684" s="103" t="n"/>
      <c r="J1684" s="104" t="n"/>
      <c r="K1684" s="102" t="n"/>
      <c r="L1684" s="103" t="n"/>
      <c r="M1684" s="103" t="n"/>
      <c r="N1684" s="104" t="n"/>
      <c r="O1684" s="102" t="n"/>
      <c r="P1684" s="103" t="n"/>
      <c r="Q1684" s="103" t="n"/>
      <c r="R1684" s="104" t="n"/>
      <c r="S1684" s="102" t="n"/>
      <c r="T1684" s="103" t="n"/>
      <c r="U1684" s="103" t="n"/>
      <c r="V1684" s="104" t="n"/>
      <c r="W1684" s="102" t="n"/>
      <c r="X1684" s="104" t="n"/>
      <c r="Y1684" s="102" t="n"/>
      <c r="Z1684" s="104" t="n"/>
      <c r="AB1684" s="105">
        <f>IF($B1684="","",(COUNTIF(C1658:E1675,$B1684)+COUNTIF(C1658:E1675,$B1684&amp;" ~*")&gt;0)+(COUNTIF(G1658:I1675,$B1684)+COUNTIF(G1658:I1675,$B1684&amp;" ~*")&gt;0)+(COUNTIF(K1658:M1675,$B1684)+COUNTIF(K1658:M1675,$B1684&amp;" ~*")&gt;0)+(COUNTIF(O1658:Q1675,$B1684)+COUNTIF(O1658:Q1675,$B1684&amp;" ~*")&gt;0)+(COUNTIF(S1658:U1675,$B1684)+COUNTIF(S1658:U1675,$B1684&amp;" ~*")&gt;0)+(COUNTIF(W1658:W1675,$B1684)+COUNTIF(W1658:W1675,$B1684&amp;" ~*")&gt;0)+(COUNTIF(Y1658:Y1675,$B1684)+COUNTIF(Y1658:Y1675,$B1684&amp;" ~*")&gt;0))</f>
        <v/>
      </c>
      <c r="AC1684" s="38">
        <f>IF($B1684="","",(IFERROR(INDEX(Setup!$G$33:$G$40,MATCH(C1684,Setup!$B$33:$B$40,0)),0)=1)*(COUNTIF(C1658:E1675,$B1684)+COUNTIF(C1658:E1675,$B1684&amp;" ~*")&gt;0)+(IFERROR(INDEX(Setup!$G$33:$G$40,MATCH(G1684,Setup!$B$33:$B$40,0)),0)=1)*(COUNTIF(G1658:I1675,$B1684)+COUNTIF(G1658:I1675,$B1684&amp;" ~*")&gt;0)+(IFERROR(INDEX(Setup!$G$33:$G$40,MATCH(K1684,Setup!$B$33:$B$40,0)),0)=1)*(COUNTIF(K1658:M1675,$B1684)+COUNTIF(K1658:M1675,$B1684&amp;" ~*")&gt;0)+(IFERROR(INDEX(Setup!$G$33:$G$40,MATCH(O1684,Setup!$B$33:$B$40,0)),0)=1)*(COUNTIF(O1658:Q1675,$B1684)+COUNTIF(O1658:Q1675,$B1684&amp;" ~*")&gt;0)+(IFERROR(INDEX(Setup!$G$33:$G$40,MATCH(S1684,Setup!$B$33:$B$40,0)),0)=1)*(COUNTIF(S1658:U1675,$B1684)+COUNTIF(S1658:U1675,$B1684&amp;" ~*")&gt;0)+(IFERROR(INDEX(Setup!$G$33:$G$40,MATCH(W1684,Setup!$B$33:$B$40,0)),0)=1)*(COUNTIF(W1658:W1675,$B1684)+COUNTIF(W1658:W1675,$B1684&amp;" ~*")&gt;0)+(IFERROR(INDEX(Setup!$G$33:$G$40,MATCH(Y1684,Setup!$B$33:$B$40,0)),0)=1)*(COUNTIF(Y1658:Y1675,$B1684)+COUNTIF(Y1658:Y1675,$B1684&amp;" ~*")&gt;0))</f>
        <v/>
      </c>
    </row>
    <row r="1685" ht="15" customHeight="1">
      <c r="A1685" t="n">
        <v>34</v>
      </c>
      <c r="B1685" s="35">
        <f>IF(Setup!$B$14="","",Setup!$B$14)</f>
        <v/>
      </c>
      <c r="C1685" s="98" t="n"/>
      <c r="D1685" s="99" t="n"/>
      <c r="E1685" s="99" t="n"/>
      <c r="F1685" s="100" t="n"/>
      <c r="G1685" s="98" t="n"/>
      <c r="H1685" s="99" t="n"/>
      <c r="I1685" s="99" t="n"/>
      <c r="J1685" s="100" t="n"/>
      <c r="K1685" s="98" t="n"/>
      <c r="L1685" s="99" t="n"/>
      <c r="M1685" s="99" t="n"/>
      <c r="N1685" s="100" t="n"/>
      <c r="O1685" s="98" t="n"/>
      <c r="P1685" s="99" t="n"/>
      <c r="Q1685" s="99" t="n"/>
      <c r="R1685" s="100" t="n"/>
      <c r="S1685" s="98" t="n"/>
      <c r="T1685" s="99" t="n"/>
      <c r="U1685" s="99" t="n"/>
      <c r="V1685" s="100" t="n"/>
      <c r="W1685" s="98" t="n"/>
      <c r="X1685" s="100" t="n"/>
      <c r="Y1685" s="98" t="n"/>
      <c r="Z1685" s="100" t="n"/>
      <c r="AB1685" s="101">
        <f>IF($B1685="","",(COUNTIF(C1658:E1675,$B1685)+COUNTIF(C1658:E1675,$B1685&amp;" ~*")&gt;0)+(COUNTIF(G1658:I1675,$B1685)+COUNTIF(G1658:I1675,$B1685&amp;" ~*")&gt;0)+(COUNTIF(K1658:M1675,$B1685)+COUNTIF(K1658:M1675,$B1685&amp;" ~*")&gt;0)+(COUNTIF(O1658:Q1675,$B1685)+COUNTIF(O1658:Q1675,$B1685&amp;" ~*")&gt;0)+(COUNTIF(S1658:U1675,$B1685)+COUNTIF(S1658:U1675,$B1685&amp;" ~*")&gt;0)+(COUNTIF(W1658:W1675,$B1685)+COUNTIF(W1658:W1675,$B1685&amp;" ~*")&gt;0)+(COUNTIF(Y1658:Y1675,$B1685)+COUNTIF(Y1658:Y1675,$B1685&amp;" ~*")&gt;0))</f>
        <v/>
      </c>
      <c r="AC1685" s="36">
        <f>IF($B1685="","",(IFERROR(INDEX(Setup!$G$33:$G$40,MATCH(C1685,Setup!$B$33:$B$40,0)),0)=1)*(COUNTIF(C1658:E1675,$B1685)+COUNTIF(C1658:E1675,$B1685&amp;" ~*")&gt;0)+(IFERROR(INDEX(Setup!$G$33:$G$40,MATCH(G1685,Setup!$B$33:$B$40,0)),0)=1)*(COUNTIF(G1658:I1675,$B1685)+COUNTIF(G1658:I1675,$B1685&amp;" ~*")&gt;0)+(IFERROR(INDEX(Setup!$G$33:$G$40,MATCH(K1685,Setup!$B$33:$B$40,0)),0)=1)*(COUNTIF(K1658:M1675,$B1685)+COUNTIF(K1658:M1675,$B1685&amp;" ~*")&gt;0)+(IFERROR(INDEX(Setup!$G$33:$G$40,MATCH(O1685,Setup!$B$33:$B$40,0)),0)=1)*(COUNTIF(O1658:Q1675,$B1685)+COUNTIF(O1658:Q1675,$B1685&amp;" ~*")&gt;0)+(IFERROR(INDEX(Setup!$G$33:$G$40,MATCH(S1685,Setup!$B$33:$B$40,0)),0)=1)*(COUNTIF(S1658:U1675,$B1685)+COUNTIF(S1658:U1675,$B1685&amp;" ~*")&gt;0)+(IFERROR(INDEX(Setup!$G$33:$G$40,MATCH(W1685,Setup!$B$33:$B$40,0)),0)=1)*(COUNTIF(W1658:W1675,$B1685)+COUNTIF(W1658:W1675,$B1685&amp;" ~*")&gt;0)+(IFERROR(INDEX(Setup!$G$33:$G$40,MATCH(Y1685,Setup!$B$33:$B$40,0)),0)=1)*(COUNTIF(Y1658:Y1675,$B1685)+COUNTIF(Y1658:Y1675,$B1685&amp;" ~*")&gt;0))</f>
        <v/>
      </c>
    </row>
    <row r="1686" ht="15" customHeight="1">
      <c r="A1686" t="n">
        <v>34</v>
      </c>
      <c r="B1686" s="37">
        <f>IF(Setup!$B$15="","",Setup!$B$15)</f>
        <v/>
      </c>
      <c r="C1686" s="102" t="n"/>
      <c r="D1686" s="103" t="n"/>
      <c r="E1686" s="103" t="n"/>
      <c r="F1686" s="104" t="n"/>
      <c r="G1686" s="102" t="n"/>
      <c r="H1686" s="103" t="n"/>
      <c r="I1686" s="103" t="n"/>
      <c r="J1686" s="104" t="n"/>
      <c r="K1686" s="102" t="n"/>
      <c r="L1686" s="103" t="n"/>
      <c r="M1686" s="103" t="n"/>
      <c r="N1686" s="104" t="n"/>
      <c r="O1686" s="102" t="n"/>
      <c r="P1686" s="103" t="n"/>
      <c r="Q1686" s="103" t="n"/>
      <c r="R1686" s="104" t="n"/>
      <c r="S1686" s="102" t="n"/>
      <c r="T1686" s="103" t="n"/>
      <c r="U1686" s="103" t="n"/>
      <c r="V1686" s="104" t="n"/>
      <c r="W1686" s="102" t="n"/>
      <c r="X1686" s="104" t="n"/>
      <c r="Y1686" s="102" t="n"/>
      <c r="Z1686" s="104" t="n"/>
      <c r="AB1686" s="105">
        <f>IF($B1686="","",(COUNTIF(C1658:E1675,$B1686)+COUNTIF(C1658:E1675,$B1686&amp;" ~*")&gt;0)+(COUNTIF(G1658:I1675,$B1686)+COUNTIF(G1658:I1675,$B1686&amp;" ~*")&gt;0)+(COUNTIF(K1658:M1675,$B1686)+COUNTIF(K1658:M1675,$B1686&amp;" ~*")&gt;0)+(COUNTIF(O1658:Q1675,$B1686)+COUNTIF(O1658:Q1675,$B1686&amp;" ~*")&gt;0)+(COUNTIF(S1658:U1675,$B1686)+COUNTIF(S1658:U1675,$B1686&amp;" ~*")&gt;0)+(COUNTIF(W1658:W1675,$B1686)+COUNTIF(W1658:W1675,$B1686&amp;" ~*")&gt;0)+(COUNTIF(Y1658:Y1675,$B1686)+COUNTIF(Y1658:Y1675,$B1686&amp;" ~*")&gt;0))</f>
        <v/>
      </c>
      <c r="AC1686" s="38">
        <f>IF($B1686="","",(IFERROR(INDEX(Setup!$G$33:$G$40,MATCH(C1686,Setup!$B$33:$B$40,0)),0)=1)*(COUNTIF(C1658:E1675,$B1686)+COUNTIF(C1658:E1675,$B1686&amp;" ~*")&gt;0)+(IFERROR(INDEX(Setup!$G$33:$G$40,MATCH(G1686,Setup!$B$33:$B$40,0)),0)=1)*(COUNTIF(G1658:I1675,$B1686)+COUNTIF(G1658:I1675,$B1686&amp;" ~*")&gt;0)+(IFERROR(INDEX(Setup!$G$33:$G$40,MATCH(K1686,Setup!$B$33:$B$40,0)),0)=1)*(COUNTIF(K1658:M1675,$B1686)+COUNTIF(K1658:M1675,$B1686&amp;" ~*")&gt;0)+(IFERROR(INDEX(Setup!$G$33:$G$40,MATCH(O1686,Setup!$B$33:$B$40,0)),0)=1)*(COUNTIF(O1658:Q1675,$B1686)+COUNTIF(O1658:Q1675,$B1686&amp;" ~*")&gt;0)+(IFERROR(INDEX(Setup!$G$33:$G$40,MATCH(S1686,Setup!$B$33:$B$40,0)),0)=1)*(COUNTIF(S1658:U1675,$B1686)+COUNTIF(S1658:U1675,$B1686&amp;" ~*")&gt;0)+(IFERROR(INDEX(Setup!$G$33:$G$40,MATCH(W1686,Setup!$B$33:$B$40,0)),0)=1)*(COUNTIF(W1658:W1675,$B1686)+COUNTIF(W1658:W1675,$B1686&amp;" ~*")&gt;0)+(IFERROR(INDEX(Setup!$G$33:$G$40,MATCH(Y1686,Setup!$B$33:$B$40,0)),0)=1)*(COUNTIF(Y1658:Y1675,$B1686)+COUNTIF(Y1658:Y1675,$B1686&amp;" ~*")&gt;0))</f>
        <v/>
      </c>
    </row>
    <row r="1687" ht="15" customHeight="1">
      <c r="A1687" t="n">
        <v>34</v>
      </c>
      <c r="B1687" s="35">
        <f>IF(Setup!$B$16="","",Setup!$B$16)</f>
        <v/>
      </c>
      <c r="C1687" s="98" t="n"/>
      <c r="D1687" s="99" t="n"/>
      <c r="E1687" s="99" t="n"/>
      <c r="F1687" s="100" t="n"/>
      <c r="G1687" s="98" t="n"/>
      <c r="H1687" s="99" t="n"/>
      <c r="I1687" s="99" t="n"/>
      <c r="J1687" s="100" t="n"/>
      <c r="K1687" s="98" t="n"/>
      <c r="L1687" s="99" t="n"/>
      <c r="M1687" s="99" t="n"/>
      <c r="N1687" s="100" t="n"/>
      <c r="O1687" s="98" t="n"/>
      <c r="P1687" s="99" t="n"/>
      <c r="Q1687" s="99" t="n"/>
      <c r="R1687" s="100" t="n"/>
      <c r="S1687" s="98" t="n"/>
      <c r="T1687" s="99" t="n"/>
      <c r="U1687" s="99" t="n"/>
      <c r="V1687" s="100" t="n"/>
      <c r="W1687" s="98" t="n"/>
      <c r="X1687" s="100" t="n"/>
      <c r="Y1687" s="98" t="n"/>
      <c r="Z1687" s="100" t="n"/>
      <c r="AB1687" s="101">
        <f>IF($B1687="","",(COUNTIF(C1658:E1675,$B1687)+COUNTIF(C1658:E1675,$B1687&amp;" ~*")&gt;0)+(COUNTIF(G1658:I1675,$B1687)+COUNTIF(G1658:I1675,$B1687&amp;" ~*")&gt;0)+(COUNTIF(K1658:M1675,$B1687)+COUNTIF(K1658:M1675,$B1687&amp;" ~*")&gt;0)+(COUNTIF(O1658:Q1675,$B1687)+COUNTIF(O1658:Q1675,$B1687&amp;" ~*")&gt;0)+(COUNTIF(S1658:U1675,$B1687)+COUNTIF(S1658:U1675,$B1687&amp;" ~*")&gt;0)+(COUNTIF(W1658:W1675,$B1687)+COUNTIF(W1658:W1675,$B1687&amp;" ~*")&gt;0)+(COUNTIF(Y1658:Y1675,$B1687)+COUNTIF(Y1658:Y1675,$B1687&amp;" ~*")&gt;0))</f>
        <v/>
      </c>
      <c r="AC1687" s="36">
        <f>IF($B1687="","",(IFERROR(INDEX(Setup!$G$33:$G$40,MATCH(C1687,Setup!$B$33:$B$40,0)),0)=1)*(COUNTIF(C1658:E1675,$B1687)+COUNTIF(C1658:E1675,$B1687&amp;" ~*")&gt;0)+(IFERROR(INDEX(Setup!$G$33:$G$40,MATCH(G1687,Setup!$B$33:$B$40,0)),0)=1)*(COUNTIF(G1658:I1675,$B1687)+COUNTIF(G1658:I1675,$B1687&amp;" ~*")&gt;0)+(IFERROR(INDEX(Setup!$G$33:$G$40,MATCH(K1687,Setup!$B$33:$B$40,0)),0)=1)*(COUNTIF(K1658:M1675,$B1687)+COUNTIF(K1658:M1675,$B1687&amp;" ~*")&gt;0)+(IFERROR(INDEX(Setup!$G$33:$G$40,MATCH(O1687,Setup!$B$33:$B$40,0)),0)=1)*(COUNTIF(O1658:Q1675,$B1687)+COUNTIF(O1658:Q1675,$B1687&amp;" ~*")&gt;0)+(IFERROR(INDEX(Setup!$G$33:$G$40,MATCH(S1687,Setup!$B$33:$B$40,0)),0)=1)*(COUNTIF(S1658:U1675,$B1687)+COUNTIF(S1658:U1675,$B1687&amp;" ~*")&gt;0)+(IFERROR(INDEX(Setup!$G$33:$G$40,MATCH(W1687,Setup!$B$33:$B$40,0)),0)=1)*(COUNTIF(W1658:W1675,$B1687)+COUNTIF(W1658:W1675,$B1687&amp;" ~*")&gt;0)+(IFERROR(INDEX(Setup!$G$33:$G$40,MATCH(Y1687,Setup!$B$33:$B$40,0)),0)=1)*(COUNTIF(Y1658:Y1675,$B1687)+COUNTIF(Y1658:Y1675,$B1687&amp;" ~*")&gt;0))</f>
        <v/>
      </c>
    </row>
    <row r="1688" ht="15" customHeight="1">
      <c r="A1688" t="n">
        <v>34</v>
      </c>
      <c r="B1688" s="37">
        <f>IF(Setup!$B$17="","",Setup!$B$17)</f>
        <v/>
      </c>
      <c r="C1688" s="102" t="n"/>
      <c r="D1688" s="103" t="n"/>
      <c r="E1688" s="103" t="n"/>
      <c r="F1688" s="104" t="n"/>
      <c r="G1688" s="102" t="n"/>
      <c r="H1688" s="103" t="n"/>
      <c r="I1688" s="103" t="n"/>
      <c r="J1688" s="104" t="n"/>
      <c r="K1688" s="102" t="n"/>
      <c r="L1688" s="103" t="n"/>
      <c r="M1688" s="103" t="n"/>
      <c r="N1688" s="104" t="n"/>
      <c r="O1688" s="102" t="n"/>
      <c r="P1688" s="103" t="n"/>
      <c r="Q1688" s="103" t="n"/>
      <c r="R1688" s="104" t="n"/>
      <c r="S1688" s="102" t="n"/>
      <c r="T1688" s="103" t="n"/>
      <c r="U1688" s="103" t="n"/>
      <c r="V1688" s="104" t="n"/>
      <c r="W1688" s="102" t="n"/>
      <c r="X1688" s="104" t="n"/>
      <c r="Y1688" s="102" t="n"/>
      <c r="Z1688" s="104" t="n"/>
      <c r="AB1688" s="105">
        <f>IF($B1688="","",(COUNTIF(C1658:E1675,$B1688)+COUNTIF(C1658:E1675,$B1688&amp;" ~*")&gt;0)+(COUNTIF(G1658:I1675,$B1688)+COUNTIF(G1658:I1675,$B1688&amp;" ~*")&gt;0)+(COUNTIF(K1658:M1675,$B1688)+COUNTIF(K1658:M1675,$B1688&amp;" ~*")&gt;0)+(COUNTIF(O1658:Q1675,$B1688)+COUNTIF(O1658:Q1675,$B1688&amp;" ~*")&gt;0)+(COUNTIF(S1658:U1675,$B1688)+COUNTIF(S1658:U1675,$B1688&amp;" ~*")&gt;0)+(COUNTIF(W1658:W1675,$B1688)+COUNTIF(W1658:W1675,$B1688&amp;" ~*")&gt;0)+(COUNTIF(Y1658:Y1675,$B1688)+COUNTIF(Y1658:Y1675,$B1688&amp;" ~*")&gt;0))</f>
        <v/>
      </c>
      <c r="AC1688" s="38">
        <f>IF($B1688="","",(IFERROR(INDEX(Setup!$G$33:$G$40,MATCH(C1688,Setup!$B$33:$B$40,0)),0)=1)*(COUNTIF(C1658:E1675,$B1688)+COUNTIF(C1658:E1675,$B1688&amp;" ~*")&gt;0)+(IFERROR(INDEX(Setup!$G$33:$G$40,MATCH(G1688,Setup!$B$33:$B$40,0)),0)=1)*(COUNTIF(G1658:I1675,$B1688)+COUNTIF(G1658:I1675,$B1688&amp;" ~*")&gt;0)+(IFERROR(INDEX(Setup!$G$33:$G$40,MATCH(K1688,Setup!$B$33:$B$40,0)),0)=1)*(COUNTIF(K1658:M1675,$B1688)+COUNTIF(K1658:M1675,$B1688&amp;" ~*")&gt;0)+(IFERROR(INDEX(Setup!$G$33:$G$40,MATCH(O1688,Setup!$B$33:$B$40,0)),0)=1)*(COUNTIF(O1658:Q1675,$B1688)+COUNTIF(O1658:Q1675,$B1688&amp;" ~*")&gt;0)+(IFERROR(INDEX(Setup!$G$33:$G$40,MATCH(S1688,Setup!$B$33:$B$40,0)),0)=1)*(COUNTIF(S1658:U1675,$B1688)+COUNTIF(S1658:U1675,$B1688&amp;" ~*")&gt;0)+(IFERROR(INDEX(Setup!$G$33:$G$40,MATCH(W1688,Setup!$B$33:$B$40,0)),0)=1)*(COUNTIF(W1658:W1675,$B1688)+COUNTIF(W1658:W1675,$B1688&amp;" ~*")&gt;0)+(IFERROR(INDEX(Setup!$G$33:$G$40,MATCH(Y1688,Setup!$B$33:$B$40,0)),0)=1)*(COUNTIF(Y1658:Y1675,$B1688)+COUNTIF(Y1658:Y1675,$B1688&amp;" ~*")&gt;0))</f>
        <v/>
      </c>
    </row>
    <row r="1689" ht="15" customHeight="1">
      <c r="A1689" t="n">
        <v>34</v>
      </c>
      <c r="B1689" s="35">
        <f>IF(Setup!$B$18="","",Setup!$B$18)</f>
        <v/>
      </c>
      <c r="C1689" s="98" t="n"/>
      <c r="D1689" s="99" t="n"/>
      <c r="E1689" s="99" t="n"/>
      <c r="F1689" s="100" t="n"/>
      <c r="G1689" s="98" t="n"/>
      <c r="H1689" s="99" t="n"/>
      <c r="I1689" s="99" t="n"/>
      <c r="J1689" s="100" t="n"/>
      <c r="K1689" s="98" t="n"/>
      <c r="L1689" s="99" t="n"/>
      <c r="M1689" s="99" t="n"/>
      <c r="N1689" s="100" t="n"/>
      <c r="O1689" s="98" t="n"/>
      <c r="P1689" s="99" t="n"/>
      <c r="Q1689" s="99" t="n"/>
      <c r="R1689" s="100" t="n"/>
      <c r="S1689" s="98" t="n"/>
      <c r="T1689" s="99" t="n"/>
      <c r="U1689" s="99" t="n"/>
      <c r="V1689" s="100" t="n"/>
      <c r="W1689" s="98" t="n"/>
      <c r="X1689" s="100" t="n"/>
      <c r="Y1689" s="98" t="n"/>
      <c r="Z1689" s="100" t="n"/>
      <c r="AB1689" s="101">
        <f>IF($B1689="","",(COUNTIF(C1658:E1675,$B1689)+COUNTIF(C1658:E1675,$B1689&amp;" ~*")&gt;0)+(COUNTIF(G1658:I1675,$B1689)+COUNTIF(G1658:I1675,$B1689&amp;" ~*")&gt;0)+(COUNTIF(K1658:M1675,$B1689)+COUNTIF(K1658:M1675,$B1689&amp;" ~*")&gt;0)+(COUNTIF(O1658:Q1675,$B1689)+COUNTIF(O1658:Q1675,$B1689&amp;" ~*")&gt;0)+(COUNTIF(S1658:U1675,$B1689)+COUNTIF(S1658:U1675,$B1689&amp;" ~*")&gt;0)+(COUNTIF(W1658:W1675,$B1689)+COUNTIF(W1658:W1675,$B1689&amp;" ~*")&gt;0)+(COUNTIF(Y1658:Y1675,$B1689)+COUNTIF(Y1658:Y1675,$B1689&amp;" ~*")&gt;0))</f>
        <v/>
      </c>
      <c r="AC1689" s="36">
        <f>IF($B1689="","",(IFERROR(INDEX(Setup!$G$33:$G$40,MATCH(C1689,Setup!$B$33:$B$40,0)),0)=1)*(COUNTIF(C1658:E1675,$B1689)+COUNTIF(C1658:E1675,$B1689&amp;" ~*")&gt;0)+(IFERROR(INDEX(Setup!$G$33:$G$40,MATCH(G1689,Setup!$B$33:$B$40,0)),0)=1)*(COUNTIF(G1658:I1675,$B1689)+COUNTIF(G1658:I1675,$B1689&amp;" ~*")&gt;0)+(IFERROR(INDEX(Setup!$G$33:$G$40,MATCH(K1689,Setup!$B$33:$B$40,0)),0)=1)*(COUNTIF(K1658:M1675,$B1689)+COUNTIF(K1658:M1675,$B1689&amp;" ~*")&gt;0)+(IFERROR(INDEX(Setup!$G$33:$G$40,MATCH(O1689,Setup!$B$33:$B$40,0)),0)=1)*(COUNTIF(O1658:Q1675,$B1689)+COUNTIF(O1658:Q1675,$B1689&amp;" ~*")&gt;0)+(IFERROR(INDEX(Setup!$G$33:$G$40,MATCH(S1689,Setup!$B$33:$B$40,0)),0)=1)*(COUNTIF(S1658:U1675,$B1689)+COUNTIF(S1658:U1675,$B1689&amp;" ~*")&gt;0)+(IFERROR(INDEX(Setup!$G$33:$G$40,MATCH(W1689,Setup!$B$33:$B$40,0)),0)=1)*(COUNTIF(W1658:W1675,$B1689)+COUNTIF(W1658:W1675,$B1689&amp;" ~*")&gt;0)+(IFERROR(INDEX(Setup!$G$33:$G$40,MATCH(Y1689,Setup!$B$33:$B$40,0)),0)=1)*(COUNTIF(Y1658:Y1675,$B1689)+COUNTIF(Y1658:Y1675,$B1689&amp;" ~*")&gt;0))</f>
        <v/>
      </c>
    </row>
    <row r="1690" ht="15" customHeight="1">
      <c r="A1690" t="n">
        <v>34</v>
      </c>
      <c r="B1690" s="37">
        <f>IF(Setup!$B$19="","",Setup!$B$19)</f>
        <v/>
      </c>
      <c r="C1690" s="102" t="n"/>
      <c r="D1690" s="103" t="n"/>
      <c r="E1690" s="103" t="n"/>
      <c r="F1690" s="104" t="n"/>
      <c r="G1690" s="102" t="n"/>
      <c r="H1690" s="103" t="n"/>
      <c r="I1690" s="103" t="n"/>
      <c r="J1690" s="104" t="n"/>
      <c r="K1690" s="102" t="n"/>
      <c r="L1690" s="103" t="n"/>
      <c r="M1690" s="103" t="n"/>
      <c r="N1690" s="104" t="n"/>
      <c r="O1690" s="102" t="n"/>
      <c r="P1690" s="103" t="n"/>
      <c r="Q1690" s="103" t="n"/>
      <c r="R1690" s="104" t="n"/>
      <c r="S1690" s="102" t="n"/>
      <c r="T1690" s="103" t="n"/>
      <c r="U1690" s="103" t="n"/>
      <c r="V1690" s="104" t="n"/>
      <c r="W1690" s="102" t="n"/>
      <c r="X1690" s="104" t="n"/>
      <c r="Y1690" s="102" t="n"/>
      <c r="Z1690" s="104" t="n"/>
      <c r="AB1690" s="105">
        <f>IF($B1690="","",(COUNTIF(C1658:E1675,$B1690)+COUNTIF(C1658:E1675,$B1690&amp;" ~*")&gt;0)+(COUNTIF(G1658:I1675,$B1690)+COUNTIF(G1658:I1675,$B1690&amp;" ~*")&gt;0)+(COUNTIF(K1658:M1675,$B1690)+COUNTIF(K1658:M1675,$B1690&amp;" ~*")&gt;0)+(COUNTIF(O1658:Q1675,$B1690)+COUNTIF(O1658:Q1675,$B1690&amp;" ~*")&gt;0)+(COUNTIF(S1658:U1675,$B1690)+COUNTIF(S1658:U1675,$B1690&amp;" ~*")&gt;0)+(COUNTIF(W1658:W1675,$B1690)+COUNTIF(W1658:W1675,$B1690&amp;" ~*")&gt;0)+(COUNTIF(Y1658:Y1675,$B1690)+COUNTIF(Y1658:Y1675,$B1690&amp;" ~*")&gt;0))</f>
        <v/>
      </c>
      <c r="AC1690" s="38">
        <f>IF($B1690="","",(IFERROR(INDEX(Setup!$G$33:$G$40,MATCH(C1690,Setup!$B$33:$B$40,0)),0)=1)*(COUNTIF(C1658:E1675,$B1690)+COUNTIF(C1658:E1675,$B1690&amp;" ~*")&gt;0)+(IFERROR(INDEX(Setup!$G$33:$G$40,MATCH(G1690,Setup!$B$33:$B$40,0)),0)=1)*(COUNTIF(G1658:I1675,$B1690)+COUNTIF(G1658:I1675,$B1690&amp;" ~*")&gt;0)+(IFERROR(INDEX(Setup!$G$33:$G$40,MATCH(K1690,Setup!$B$33:$B$40,0)),0)=1)*(COUNTIF(K1658:M1675,$B1690)+COUNTIF(K1658:M1675,$B1690&amp;" ~*")&gt;0)+(IFERROR(INDEX(Setup!$G$33:$G$40,MATCH(O1690,Setup!$B$33:$B$40,0)),0)=1)*(COUNTIF(O1658:Q1675,$B1690)+COUNTIF(O1658:Q1675,$B1690&amp;" ~*")&gt;0)+(IFERROR(INDEX(Setup!$G$33:$G$40,MATCH(S1690,Setup!$B$33:$B$40,0)),0)=1)*(COUNTIF(S1658:U1675,$B1690)+COUNTIF(S1658:U1675,$B1690&amp;" ~*")&gt;0)+(IFERROR(INDEX(Setup!$G$33:$G$40,MATCH(W1690,Setup!$B$33:$B$40,0)),0)=1)*(COUNTIF(W1658:W1675,$B1690)+COUNTIF(W1658:W1675,$B1690&amp;" ~*")&gt;0)+(IFERROR(INDEX(Setup!$G$33:$G$40,MATCH(Y1690,Setup!$B$33:$B$40,0)),0)=1)*(COUNTIF(Y1658:Y1675,$B1690)+COUNTIF(Y1658:Y1675,$B1690&amp;" ~*")&gt;0))</f>
        <v/>
      </c>
    </row>
    <row r="1691" ht="15" customHeight="1">
      <c r="A1691" t="n">
        <v>34</v>
      </c>
      <c r="B1691" s="35">
        <f>IF(Setup!$B$20="","",Setup!$B$20)</f>
        <v/>
      </c>
      <c r="C1691" s="98" t="n"/>
      <c r="D1691" s="99" t="n"/>
      <c r="E1691" s="99" t="n"/>
      <c r="F1691" s="100" t="n"/>
      <c r="G1691" s="98" t="n"/>
      <c r="H1691" s="99" t="n"/>
      <c r="I1691" s="99" t="n"/>
      <c r="J1691" s="100" t="n"/>
      <c r="K1691" s="98" t="n"/>
      <c r="L1691" s="99" t="n"/>
      <c r="M1691" s="99" t="n"/>
      <c r="N1691" s="100" t="n"/>
      <c r="O1691" s="98" t="n"/>
      <c r="P1691" s="99" t="n"/>
      <c r="Q1691" s="99" t="n"/>
      <c r="R1691" s="100" t="n"/>
      <c r="S1691" s="98" t="n"/>
      <c r="T1691" s="99" t="n"/>
      <c r="U1691" s="99" t="n"/>
      <c r="V1691" s="100" t="n"/>
      <c r="W1691" s="98" t="n"/>
      <c r="X1691" s="100" t="n"/>
      <c r="Y1691" s="98" t="n"/>
      <c r="Z1691" s="100" t="n"/>
      <c r="AB1691" s="101">
        <f>IF($B1691="","",(COUNTIF(C1658:E1675,$B1691)+COUNTIF(C1658:E1675,$B1691&amp;" ~*")&gt;0)+(COUNTIF(G1658:I1675,$B1691)+COUNTIF(G1658:I1675,$B1691&amp;" ~*")&gt;0)+(COUNTIF(K1658:M1675,$B1691)+COUNTIF(K1658:M1675,$B1691&amp;" ~*")&gt;0)+(COUNTIF(O1658:Q1675,$B1691)+COUNTIF(O1658:Q1675,$B1691&amp;" ~*")&gt;0)+(COUNTIF(S1658:U1675,$B1691)+COUNTIF(S1658:U1675,$B1691&amp;" ~*")&gt;0)+(COUNTIF(W1658:W1675,$B1691)+COUNTIF(W1658:W1675,$B1691&amp;" ~*")&gt;0)+(COUNTIF(Y1658:Y1675,$B1691)+COUNTIF(Y1658:Y1675,$B1691&amp;" ~*")&gt;0))</f>
        <v/>
      </c>
      <c r="AC1691" s="36">
        <f>IF($B1691="","",(IFERROR(INDEX(Setup!$G$33:$G$40,MATCH(C1691,Setup!$B$33:$B$40,0)),0)=1)*(COUNTIF(C1658:E1675,$B1691)+COUNTIF(C1658:E1675,$B1691&amp;" ~*")&gt;0)+(IFERROR(INDEX(Setup!$G$33:$G$40,MATCH(G1691,Setup!$B$33:$B$40,0)),0)=1)*(COUNTIF(G1658:I1675,$B1691)+COUNTIF(G1658:I1675,$B1691&amp;" ~*")&gt;0)+(IFERROR(INDEX(Setup!$G$33:$G$40,MATCH(K1691,Setup!$B$33:$B$40,0)),0)=1)*(COUNTIF(K1658:M1675,$B1691)+COUNTIF(K1658:M1675,$B1691&amp;" ~*")&gt;0)+(IFERROR(INDEX(Setup!$G$33:$G$40,MATCH(O1691,Setup!$B$33:$B$40,0)),0)=1)*(COUNTIF(O1658:Q1675,$B1691)+COUNTIF(O1658:Q1675,$B1691&amp;" ~*")&gt;0)+(IFERROR(INDEX(Setup!$G$33:$G$40,MATCH(S1691,Setup!$B$33:$B$40,0)),0)=1)*(COUNTIF(S1658:U1675,$B1691)+COUNTIF(S1658:U1675,$B1691&amp;" ~*")&gt;0)+(IFERROR(INDEX(Setup!$G$33:$G$40,MATCH(W1691,Setup!$B$33:$B$40,0)),0)=1)*(COUNTIF(W1658:W1675,$B1691)+COUNTIF(W1658:W1675,$B1691&amp;" ~*")&gt;0)+(IFERROR(INDEX(Setup!$G$33:$G$40,MATCH(Y1691,Setup!$B$33:$B$40,0)),0)=1)*(COUNTIF(Y1658:Y1675,$B1691)+COUNTIF(Y1658:Y1675,$B1691&amp;" ~*")&gt;0))</f>
        <v/>
      </c>
    </row>
    <row r="1692" ht="15" customHeight="1">
      <c r="A1692" t="n">
        <v>34</v>
      </c>
      <c r="B1692" s="37">
        <f>IF(Setup!$B$21="","",Setup!$B$21)</f>
        <v/>
      </c>
      <c r="C1692" s="102" t="n"/>
      <c r="D1692" s="103" t="n"/>
      <c r="E1692" s="103" t="n"/>
      <c r="F1692" s="104" t="n"/>
      <c r="G1692" s="102" t="n"/>
      <c r="H1692" s="103" t="n"/>
      <c r="I1692" s="103" t="n"/>
      <c r="J1692" s="104" t="n"/>
      <c r="K1692" s="102" t="n"/>
      <c r="L1692" s="103" t="n"/>
      <c r="M1692" s="103" t="n"/>
      <c r="N1692" s="104" t="n"/>
      <c r="O1692" s="102" t="n"/>
      <c r="P1692" s="103" t="n"/>
      <c r="Q1692" s="103" t="n"/>
      <c r="R1692" s="104" t="n"/>
      <c r="S1692" s="102" t="n"/>
      <c r="T1692" s="103" t="n"/>
      <c r="U1692" s="103" t="n"/>
      <c r="V1692" s="104" t="n"/>
      <c r="W1692" s="102" t="n"/>
      <c r="X1692" s="104" t="n"/>
      <c r="Y1692" s="102" t="n"/>
      <c r="Z1692" s="104" t="n"/>
      <c r="AB1692" s="105">
        <f>IF($B1692="","",(COUNTIF(C1658:E1675,$B1692)+COUNTIF(C1658:E1675,$B1692&amp;" ~*")&gt;0)+(COUNTIF(G1658:I1675,$B1692)+COUNTIF(G1658:I1675,$B1692&amp;" ~*")&gt;0)+(COUNTIF(K1658:M1675,$B1692)+COUNTIF(K1658:M1675,$B1692&amp;" ~*")&gt;0)+(COUNTIF(O1658:Q1675,$B1692)+COUNTIF(O1658:Q1675,$B1692&amp;" ~*")&gt;0)+(COUNTIF(S1658:U1675,$B1692)+COUNTIF(S1658:U1675,$B1692&amp;" ~*")&gt;0)+(COUNTIF(W1658:W1675,$B1692)+COUNTIF(W1658:W1675,$B1692&amp;" ~*")&gt;0)+(COUNTIF(Y1658:Y1675,$B1692)+COUNTIF(Y1658:Y1675,$B1692&amp;" ~*")&gt;0))</f>
        <v/>
      </c>
      <c r="AC1692" s="38">
        <f>IF($B1692="","",(IFERROR(INDEX(Setup!$G$33:$G$40,MATCH(C1692,Setup!$B$33:$B$40,0)),0)=1)*(COUNTIF(C1658:E1675,$B1692)+COUNTIF(C1658:E1675,$B1692&amp;" ~*")&gt;0)+(IFERROR(INDEX(Setup!$G$33:$G$40,MATCH(G1692,Setup!$B$33:$B$40,0)),0)=1)*(COUNTIF(G1658:I1675,$B1692)+COUNTIF(G1658:I1675,$B1692&amp;" ~*")&gt;0)+(IFERROR(INDEX(Setup!$G$33:$G$40,MATCH(K1692,Setup!$B$33:$B$40,0)),0)=1)*(COUNTIF(K1658:M1675,$B1692)+COUNTIF(K1658:M1675,$B1692&amp;" ~*")&gt;0)+(IFERROR(INDEX(Setup!$G$33:$G$40,MATCH(O1692,Setup!$B$33:$B$40,0)),0)=1)*(COUNTIF(O1658:Q1675,$B1692)+COUNTIF(O1658:Q1675,$B1692&amp;" ~*")&gt;0)+(IFERROR(INDEX(Setup!$G$33:$G$40,MATCH(S1692,Setup!$B$33:$B$40,0)),0)=1)*(COUNTIF(S1658:U1675,$B1692)+COUNTIF(S1658:U1675,$B1692&amp;" ~*")&gt;0)+(IFERROR(INDEX(Setup!$G$33:$G$40,MATCH(W1692,Setup!$B$33:$B$40,0)),0)=1)*(COUNTIF(W1658:W1675,$B1692)+COUNTIF(W1658:W1675,$B1692&amp;" ~*")&gt;0)+(IFERROR(INDEX(Setup!$G$33:$G$40,MATCH(Y1692,Setup!$B$33:$B$40,0)),0)=1)*(COUNTIF(Y1658:Y1675,$B1692)+COUNTIF(Y1658:Y1675,$B1692&amp;" ~*")&gt;0))</f>
        <v/>
      </c>
    </row>
    <row r="1693" ht="15" customHeight="1">
      <c r="A1693" t="n">
        <v>34</v>
      </c>
      <c r="B1693" s="35">
        <f>IF(Setup!$B$22="","",Setup!$B$22)</f>
        <v/>
      </c>
      <c r="C1693" s="98" t="n"/>
      <c r="D1693" s="99" t="n"/>
      <c r="E1693" s="99" t="n"/>
      <c r="F1693" s="100" t="n"/>
      <c r="G1693" s="98" t="n"/>
      <c r="H1693" s="99" t="n"/>
      <c r="I1693" s="99" t="n"/>
      <c r="J1693" s="100" t="n"/>
      <c r="K1693" s="98" t="n"/>
      <c r="L1693" s="99" t="n"/>
      <c r="M1693" s="99" t="n"/>
      <c r="N1693" s="100" t="n"/>
      <c r="O1693" s="98" t="n"/>
      <c r="P1693" s="99" t="n"/>
      <c r="Q1693" s="99" t="n"/>
      <c r="R1693" s="100" t="n"/>
      <c r="S1693" s="98" t="n"/>
      <c r="T1693" s="99" t="n"/>
      <c r="U1693" s="99" t="n"/>
      <c r="V1693" s="100" t="n"/>
      <c r="W1693" s="98" t="n"/>
      <c r="X1693" s="100" t="n"/>
      <c r="Y1693" s="98" t="n"/>
      <c r="Z1693" s="100" t="n"/>
      <c r="AB1693" s="101">
        <f>IF($B1693="","",(COUNTIF(C1658:E1675,$B1693)+COUNTIF(C1658:E1675,$B1693&amp;" ~*")&gt;0)+(COUNTIF(G1658:I1675,$B1693)+COUNTIF(G1658:I1675,$B1693&amp;" ~*")&gt;0)+(COUNTIF(K1658:M1675,$B1693)+COUNTIF(K1658:M1675,$B1693&amp;" ~*")&gt;0)+(COUNTIF(O1658:Q1675,$B1693)+COUNTIF(O1658:Q1675,$B1693&amp;" ~*")&gt;0)+(COUNTIF(S1658:U1675,$B1693)+COUNTIF(S1658:U1675,$B1693&amp;" ~*")&gt;0)+(COUNTIF(W1658:W1675,$B1693)+COUNTIF(W1658:W1675,$B1693&amp;" ~*")&gt;0)+(COUNTIF(Y1658:Y1675,$B1693)+COUNTIF(Y1658:Y1675,$B1693&amp;" ~*")&gt;0))</f>
        <v/>
      </c>
      <c r="AC1693" s="36">
        <f>IF($B1693="","",(IFERROR(INDEX(Setup!$G$33:$G$40,MATCH(C1693,Setup!$B$33:$B$40,0)),0)=1)*(COUNTIF(C1658:E1675,$B1693)+COUNTIF(C1658:E1675,$B1693&amp;" ~*")&gt;0)+(IFERROR(INDEX(Setup!$G$33:$G$40,MATCH(G1693,Setup!$B$33:$B$40,0)),0)=1)*(COUNTIF(G1658:I1675,$B1693)+COUNTIF(G1658:I1675,$B1693&amp;" ~*")&gt;0)+(IFERROR(INDEX(Setup!$G$33:$G$40,MATCH(K1693,Setup!$B$33:$B$40,0)),0)=1)*(COUNTIF(K1658:M1675,$B1693)+COUNTIF(K1658:M1675,$B1693&amp;" ~*")&gt;0)+(IFERROR(INDEX(Setup!$G$33:$G$40,MATCH(O1693,Setup!$B$33:$B$40,0)),0)=1)*(COUNTIF(O1658:Q1675,$B1693)+COUNTIF(O1658:Q1675,$B1693&amp;" ~*")&gt;0)+(IFERROR(INDEX(Setup!$G$33:$G$40,MATCH(S1693,Setup!$B$33:$B$40,0)),0)=1)*(COUNTIF(S1658:U1675,$B1693)+COUNTIF(S1658:U1675,$B1693&amp;" ~*")&gt;0)+(IFERROR(INDEX(Setup!$G$33:$G$40,MATCH(W1693,Setup!$B$33:$B$40,0)),0)=1)*(COUNTIF(W1658:W1675,$B1693)+COUNTIF(W1658:W1675,$B1693&amp;" ~*")&gt;0)+(IFERROR(INDEX(Setup!$G$33:$G$40,MATCH(Y1693,Setup!$B$33:$B$40,0)),0)=1)*(COUNTIF(Y1658:Y1675,$B1693)+COUNTIF(Y1658:Y1675,$B1693&amp;" ~*")&gt;0))</f>
        <v/>
      </c>
    </row>
    <row r="1694" ht="15" customHeight="1">
      <c r="A1694" t="n">
        <v>34</v>
      </c>
      <c r="B1694" s="37">
        <f>IF(Setup!$B$23="","",Setup!$B$23)</f>
        <v/>
      </c>
      <c r="C1694" s="102" t="n"/>
      <c r="D1694" s="103" t="n"/>
      <c r="E1694" s="103" t="n"/>
      <c r="F1694" s="104" t="n"/>
      <c r="G1694" s="102" t="n"/>
      <c r="H1694" s="103" t="n"/>
      <c r="I1694" s="103" t="n"/>
      <c r="J1694" s="104" t="n"/>
      <c r="K1694" s="102" t="n"/>
      <c r="L1694" s="103" t="n"/>
      <c r="M1694" s="103" t="n"/>
      <c r="N1694" s="104" t="n"/>
      <c r="O1694" s="102" t="n"/>
      <c r="P1694" s="103" t="n"/>
      <c r="Q1694" s="103" t="n"/>
      <c r="R1694" s="104" t="n"/>
      <c r="S1694" s="102" t="n"/>
      <c r="T1694" s="103" t="n"/>
      <c r="U1694" s="103" t="n"/>
      <c r="V1694" s="104" t="n"/>
      <c r="W1694" s="102" t="n"/>
      <c r="X1694" s="104" t="n"/>
      <c r="Y1694" s="102" t="n"/>
      <c r="Z1694" s="104" t="n"/>
      <c r="AB1694" s="105">
        <f>IF($B1694="","",(COUNTIF(C1658:E1675,$B1694)+COUNTIF(C1658:E1675,$B1694&amp;" ~*")&gt;0)+(COUNTIF(G1658:I1675,$B1694)+COUNTIF(G1658:I1675,$B1694&amp;" ~*")&gt;0)+(COUNTIF(K1658:M1675,$B1694)+COUNTIF(K1658:M1675,$B1694&amp;" ~*")&gt;0)+(COUNTIF(O1658:Q1675,$B1694)+COUNTIF(O1658:Q1675,$B1694&amp;" ~*")&gt;0)+(COUNTIF(S1658:U1675,$B1694)+COUNTIF(S1658:U1675,$B1694&amp;" ~*")&gt;0)+(COUNTIF(W1658:W1675,$B1694)+COUNTIF(W1658:W1675,$B1694&amp;" ~*")&gt;0)+(COUNTIF(Y1658:Y1675,$B1694)+COUNTIF(Y1658:Y1675,$B1694&amp;" ~*")&gt;0))</f>
        <v/>
      </c>
      <c r="AC1694" s="38">
        <f>IF($B1694="","",(IFERROR(INDEX(Setup!$G$33:$G$40,MATCH(C1694,Setup!$B$33:$B$40,0)),0)=1)*(COUNTIF(C1658:E1675,$B1694)+COUNTIF(C1658:E1675,$B1694&amp;" ~*")&gt;0)+(IFERROR(INDEX(Setup!$G$33:$G$40,MATCH(G1694,Setup!$B$33:$B$40,0)),0)=1)*(COUNTIF(G1658:I1675,$B1694)+COUNTIF(G1658:I1675,$B1694&amp;" ~*")&gt;0)+(IFERROR(INDEX(Setup!$G$33:$G$40,MATCH(K1694,Setup!$B$33:$B$40,0)),0)=1)*(COUNTIF(K1658:M1675,$B1694)+COUNTIF(K1658:M1675,$B1694&amp;" ~*")&gt;0)+(IFERROR(INDEX(Setup!$G$33:$G$40,MATCH(O1694,Setup!$B$33:$B$40,0)),0)=1)*(COUNTIF(O1658:Q1675,$B1694)+COUNTIF(O1658:Q1675,$B1694&amp;" ~*")&gt;0)+(IFERROR(INDEX(Setup!$G$33:$G$40,MATCH(S1694,Setup!$B$33:$B$40,0)),0)=1)*(COUNTIF(S1658:U1675,$B1694)+COUNTIF(S1658:U1675,$B1694&amp;" ~*")&gt;0)+(IFERROR(INDEX(Setup!$G$33:$G$40,MATCH(W1694,Setup!$B$33:$B$40,0)),0)=1)*(COUNTIF(W1658:W1675,$B1694)+COUNTIF(W1658:W1675,$B1694&amp;" ~*")&gt;0)+(IFERROR(INDEX(Setup!$G$33:$G$40,MATCH(Y1694,Setup!$B$33:$B$40,0)),0)=1)*(COUNTIF(Y1658:Y1675,$B1694)+COUNTIF(Y1658:Y1675,$B1694&amp;" ~*")&gt;0))</f>
        <v/>
      </c>
    </row>
    <row r="1695" ht="15" customHeight="1">
      <c r="A1695" t="n">
        <v>34</v>
      </c>
      <c r="B1695" s="35">
        <f>IF(Setup!$B$24="","",Setup!$B$24)</f>
        <v/>
      </c>
      <c r="C1695" s="98" t="n"/>
      <c r="D1695" s="99" t="n"/>
      <c r="E1695" s="99" t="n"/>
      <c r="F1695" s="100" t="n"/>
      <c r="G1695" s="98" t="n"/>
      <c r="H1695" s="99" t="n"/>
      <c r="I1695" s="99" t="n"/>
      <c r="J1695" s="100" t="n"/>
      <c r="K1695" s="98" t="n"/>
      <c r="L1695" s="99" t="n"/>
      <c r="M1695" s="99" t="n"/>
      <c r="N1695" s="100" t="n"/>
      <c r="O1695" s="98" t="n"/>
      <c r="P1695" s="99" t="n"/>
      <c r="Q1695" s="99" t="n"/>
      <c r="R1695" s="100" t="n"/>
      <c r="S1695" s="98" t="n"/>
      <c r="T1695" s="99" t="n"/>
      <c r="U1695" s="99" t="n"/>
      <c r="V1695" s="100" t="n"/>
      <c r="W1695" s="98" t="n"/>
      <c r="X1695" s="100" t="n"/>
      <c r="Y1695" s="98" t="n"/>
      <c r="Z1695" s="100" t="n"/>
      <c r="AB1695" s="101">
        <f>IF($B1695="","",(COUNTIF(C1658:E1675,$B1695)+COUNTIF(C1658:E1675,$B1695&amp;" ~*")&gt;0)+(COUNTIF(G1658:I1675,$B1695)+COUNTIF(G1658:I1675,$B1695&amp;" ~*")&gt;0)+(COUNTIF(K1658:M1675,$B1695)+COUNTIF(K1658:M1675,$B1695&amp;" ~*")&gt;0)+(COUNTIF(O1658:Q1675,$B1695)+COUNTIF(O1658:Q1675,$B1695&amp;" ~*")&gt;0)+(COUNTIF(S1658:U1675,$B1695)+COUNTIF(S1658:U1675,$B1695&amp;" ~*")&gt;0)+(COUNTIF(W1658:W1675,$B1695)+COUNTIF(W1658:W1675,$B1695&amp;" ~*")&gt;0)+(COUNTIF(Y1658:Y1675,$B1695)+COUNTIF(Y1658:Y1675,$B1695&amp;" ~*")&gt;0))</f>
        <v/>
      </c>
      <c r="AC1695" s="36">
        <f>IF($B1695="","",(IFERROR(INDEX(Setup!$G$33:$G$40,MATCH(C1695,Setup!$B$33:$B$40,0)),0)=1)*(COUNTIF(C1658:E1675,$B1695)+COUNTIF(C1658:E1675,$B1695&amp;" ~*")&gt;0)+(IFERROR(INDEX(Setup!$G$33:$G$40,MATCH(G1695,Setup!$B$33:$B$40,0)),0)=1)*(COUNTIF(G1658:I1675,$B1695)+COUNTIF(G1658:I1675,$B1695&amp;" ~*")&gt;0)+(IFERROR(INDEX(Setup!$G$33:$G$40,MATCH(K1695,Setup!$B$33:$B$40,0)),0)=1)*(COUNTIF(K1658:M1675,$B1695)+COUNTIF(K1658:M1675,$B1695&amp;" ~*")&gt;0)+(IFERROR(INDEX(Setup!$G$33:$G$40,MATCH(O1695,Setup!$B$33:$B$40,0)),0)=1)*(COUNTIF(O1658:Q1675,$B1695)+COUNTIF(O1658:Q1675,$B1695&amp;" ~*")&gt;0)+(IFERROR(INDEX(Setup!$G$33:$G$40,MATCH(S1695,Setup!$B$33:$B$40,0)),0)=1)*(COUNTIF(S1658:U1675,$B1695)+COUNTIF(S1658:U1675,$B1695&amp;" ~*")&gt;0)+(IFERROR(INDEX(Setup!$G$33:$G$40,MATCH(W1695,Setup!$B$33:$B$40,0)),0)=1)*(COUNTIF(W1658:W1675,$B1695)+COUNTIF(W1658:W1675,$B1695&amp;" ~*")&gt;0)+(IFERROR(INDEX(Setup!$G$33:$G$40,MATCH(Y1695,Setup!$B$33:$B$40,0)),0)=1)*(COUNTIF(Y1658:Y1675,$B1695)+COUNTIF(Y1658:Y1675,$B1695&amp;" ~*")&gt;0))</f>
        <v/>
      </c>
    </row>
    <row r="1696" ht="15" customHeight="1">
      <c r="A1696" t="n">
        <v>34</v>
      </c>
      <c r="B1696" s="37">
        <f>IF(Setup!$B$25="","",Setup!$B$25)</f>
        <v/>
      </c>
      <c r="C1696" s="102" t="n"/>
      <c r="D1696" s="103" t="n"/>
      <c r="E1696" s="103" t="n"/>
      <c r="F1696" s="104" t="n"/>
      <c r="G1696" s="102" t="n"/>
      <c r="H1696" s="103" t="n"/>
      <c r="I1696" s="103" t="n"/>
      <c r="J1696" s="104" t="n"/>
      <c r="K1696" s="102" t="n"/>
      <c r="L1696" s="103" t="n"/>
      <c r="M1696" s="103" t="n"/>
      <c r="N1696" s="104" t="n"/>
      <c r="O1696" s="102" t="n"/>
      <c r="P1696" s="103" t="n"/>
      <c r="Q1696" s="103" t="n"/>
      <c r="R1696" s="104" t="n"/>
      <c r="S1696" s="102" t="n"/>
      <c r="T1696" s="103" t="n"/>
      <c r="U1696" s="103" t="n"/>
      <c r="V1696" s="104" t="n"/>
      <c r="W1696" s="102" t="n"/>
      <c r="X1696" s="104" t="n"/>
      <c r="Y1696" s="102" t="n"/>
      <c r="Z1696" s="104" t="n"/>
      <c r="AB1696" s="105">
        <f>IF($B1696="","",(COUNTIF(C1658:E1675,$B1696)+COUNTIF(C1658:E1675,$B1696&amp;" ~*")&gt;0)+(COUNTIF(G1658:I1675,$B1696)+COUNTIF(G1658:I1675,$B1696&amp;" ~*")&gt;0)+(COUNTIF(K1658:M1675,$B1696)+COUNTIF(K1658:M1675,$B1696&amp;" ~*")&gt;0)+(COUNTIF(O1658:Q1675,$B1696)+COUNTIF(O1658:Q1675,$B1696&amp;" ~*")&gt;0)+(COUNTIF(S1658:U1675,$B1696)+COUNTIF(S1658:U1675,$B1696&amp;" ~*")&gt;0)+(COUNTIF(W1658:W1675,$B1696)+COUNTIF(W1658:W1675,$B1696&amp;" ~*")&gt;0)+(COUNTIF(Y1658:Y1675,$B1696)+COUNTIF(Y1658:Y1675,$B1696&amp;" ~*")&gt;0))</f>
        <v/>
      </c>
      <c r="AC1696" s="38">
        <f>IF($B1696="","",(IFERROR(INDEX(Setup!$G$33:$G$40,MATCH(C1696,Setup!$B$33:$B$40,0)),0)=1)*(COUNTIF(C1658:E1675,$B1696)+COUNTIF(C1658:E1675,$B1696&amp;" ~*")&gt;0)+(IFERROR(INDEX(Setup!$G$33:$G$40,MATCH(G1696,Setup!$B$33:$B$40,0)),0)=1)*(COUNTIF(G1658:I1675,$B1696)+COUNTIF(G1658:I1675,$B1696&amp;" ~*")&gt;0)+(IFERROR(INDEX(Setup!$G$33:$G$40,MATCH(K1696,Setup!$B$33:$B$40,0)),0)=1)*(COUNTIF(K1658:M1675,$B1696)+COUNTIF(K1658:M1675,$B1696&amp;" ~*")&gt;0)+(IFERROR(INDEX(Setup!$G$33:$G$40,MATCH(O1696,Setup!$B$33:$B$40,0)),0)=1)*(COUNTIF(O1658:Q1675,$B1696)+COUNTIF(O1658:Q1675,$B1696&amp;" ~*")&gt;0)+(IFERROR(INDEX(Setup!$G$33:$G$40,MATCH(S1696,Setup!$B$33:$B$40,0)),0)=1)*(COUNTIF(S1658:U1675,$B1696)+COUNTIF(S1658:U1675,$B1696&amp;" ~*")&gt;0)+(IFERROR(INDEX(Setup!$G$33:$G$40,MATCH(W1696,Setup!$B$33:$B$40,0)),0)=1)*(COUNTIF(W1658:W1675,$B1696)+COUNTIF(W1658:W1675,$B1696&amp;" ~*")&gt;0)+(IFERROR(INDEX(Setup!$G$33:$G$40,MATCH(Y1696,Setup!$B$33:$B$40,0)),0)=1)*(COUNTIF(Y1658:Y1675,$B1696)+COUNTIF(Y1658:Y1675,$B1696&amp;" ~*")&gt;0))</f>
        <v/>
      </c>
    </row>
    <row r="1697" ht="15" customHeight="1">
      <c r="A1697" t="n">
        <v>34</v>
      </c>
      <c r="B1697" s="35">
        <f>IF(Setup!$B$26="","",Setup!$B$26)</f>
        <v/>
      </c>
      <c r="C1697" s="98" t="n"/>
      <c r="D1697" s="99" t="n"/>
      <c r="E1697" s="99" t="n"/>
      <c r="F1697" s="100" t="n"/>
      <c r="G1697" s="98" t="n"/>
      <c r="H1697" s="99" t="n"/>
      <c r="I1697" s="99" t="n"/>
      <c r="J1697" s="100" t="n"/>
      <c r="K1697" s="98" t="n"/>
      <c r="L1697" s="99" t="n"/>
      <c r="M1697" s="99" t="n"/>
      <c r="N1697" s="100" t="n"/>
      <c r="O1697" s="98" t="n"/>
      <c r="P1697" s="99" t="n"/>
      <c r="Q1697" s="99" t="n"/>
      <c r="R1697" s="100" t="n"/>
      <c r="S1697" s="98" t="n"/>
      <c r="T1697" s="99" t="n"/>
      <c r="U1697" s="99" t="n"/>
      <c r="V1697" s="100" t="n"/>
      <c r="W1697" s="98" t="n"/>
      <c r="X1697" s="100" t="n"/>
      <c r="Y1697" s="98" t="n"/>
      <c r="Z1697" s="100" t="n"/>
      <c r="AB1697" s="101">
        <f>IF($B1697="","",(COUNTIF(C1658:E1675,$B1697)+COUNTIF(C1658:E1675,$B1697&amp;" ~*")&gt;0)+(COUNTIF(G1658:I1675,$B1697)+COUNTIF(G1658:I1675,$B1697&amp;" ~*")&gt;0)+(COUNTIF(K1658:M1675,$B1697)+COUNTIF(K1658:M1675,$B1697&amp;" ~*")&gt;0)+(COUNTIF(O1658:Q1675,$B1697)+COUNTIF(O1658:Q1675,$B1697&amp;" ~*")&gt;0)+(COUNTIF(S1658:U1675,$B1697)+COUNTIF(S1658:U1675,$B1697&amp;" ~*")&gt;0)+(COUNTIF(W1658:W1675,$B1697)+COUNTIF(W1658:W1675,$B1697&amp;" ~*")&gt;0)+(COUNTIF(Y1658:Y1675,$B1697)+COUNTIF(Y1658:Y1675,$B1697&amp;" ~*")&gt;0))</f>
        <v/>
      </c>
      <c r="AC1697" s="36">
        <f>IF($B1697="","",(IFERROR(INDEX(Setup!$G$33:$G$40,MATCH(C1697,Setup!$B$33:$B$40,0)),0)=1)*(COUNTIF(C1658:E1675,$B1697)+COUNTIF(C1658:E1675,$B1697&amp;" ~*")&gt;0)+(IFERROR(INDEX(Setup!$G$33:$G$40,MATCH(G1697,Setup!$B$33:$B$40,0)),0)=1)*(COUNTIF(G1658:I1675,$B1697)+COUNTIF(G1658:I1675,$B1697&amp;" ~*")&gt;0)+(IFERROR(INDEX(Setup!$G$33:$G$40,MATCH(K1697,Setup!$B$33:$B$40,0)),0)=1)*(COUNTIF(K1658:M1675,$B1697)+COUNTIF(K1658:M1675,$B1697&amp;" ~*")&gt;0)+(IFERROR(INDEX(Setup!$G$33:$G$40,MATCH(O1697,Setup!$B$33:$B$40,0)),0)=1)*(COUNTIF(O1658:Q1675,$B1697)+COUNTIF(O1658:Q1675,$B1697&amp;" ~*")&gt;0)+(IFERROR(INDEX(Setup!$G$33:$G$40,MATCH(S1697,Setup!$B$33:$B$40,0)),0)=1)*(COUNTIF(S1658:U1675,$B1697)+COUNTIF(S1658:U1675,$B1697&amp;" ~*")&gt;0)+(IFERROR(INDEX(Setup!$G$33:$G$40,MATCH(W1697,Setup!$B$33:$B$40,0)),0)=1)*(COUNTIF(W1658:W1675,$B1697)+COUNTIF(W1658:W1675,$B1697&amp;" ~*")&gt;0)+(IFERROR(INDEX(Setup!$G$33:$G$40,MATCH(Y1697,Setup!$B$33:$B$40,0)),0)=1)*(COUNTIF(Y1658:Y1675,$B1697)+COUNTIF(Y1658:Y1675,$B1697&amp;" ~*")&gt;0))</f>
        <v/>
      </c>
    </row>
    <row r="1698" ht="15" customHeight="1">
      <c r="A1698" t="n">
        <v>34</v>
      </c>
      <c r="B1698" s="37">
        <f>IF(Setup!$B$27="","",Setup!$B$27)</f>
        <v/>
      </c>
      <c r="C1698" s="102" t="n"/>
      <c r="D1698" s="103" t="n"/>
      <c r="E1698" s="103" t="n"/>
      <c r="F1698" s="104" t="n"/>
      <c r="G1698" s="102" t="n"/>
      <c r="H1698" s="103" t="n"/>
      <c r="I1698" s="103" t="n"/>
      <c r="J1698" s="104" t="n"/>
      <c r="K1698" s="102" t="n"/>
      <c r="L1698" s="103" t="n"/>
      <c r="M1698" s="103" t="n"/>
      <c r="N1698" s="104" t="n"/>
      <c r="O1698" s="102" t="n"/>
      <c r="P1698" s="103" t="n"/>
      <c r="Q1698" s="103" t="n"/>
      <c r="R1698" s="104" t="n"/>
      <c r="S1698" s="102" t="n"/>
      <c r="T1698" s="103" t="n"/>
      <c r="U1698" s="103" t="n"/>
      <c r="V1698" s="104" t="n"/>
      <c r="W1698" s="102" t="n"/>
      <c r="X1698" s="104" t="n"/>
      <c r="Y1698" s="102" t="n"/>
      <c r="Z1698" s="104" t="n"/>
      <c r="AB1698" s="105">
        <f>IF($B1698="","",(COUNTIF(C1658:E1675,$B1698)+COUNTIF(C1658:E1675,$B1698&amp;" ~*")&gt;0)+(COUNTIF(G1658:I1675,$B1698)+COUNTIF(G1658:I1675,$B1698&amp;" ~*")&gt;0)+(COUNTIF(K1658:M1675,$B1698)+COUNTIF(K1658:M1675,$B1698&amp;" ~*")&gt;0)+(COUNTIF(O1658:Q1675,$B1698)+COUNTIF(O1658:Q1675,$B1698&amp;" ~*")&gt;0)+(COUNTIF(S1658:U1675,$B1698)+COUNTIF(S1658:U1675,$B1698&amp;" ~*")&gt;0)+(COUNTIF(W1658:W1675,$B1698)+COUNTIF(W1658:W1675,$B1698&amp;" ~*")&gt;0)+(COUNTIF(Y1658:Y1675,$B1698)+COUNTIF(Y1658:Y1675,$B1698&amp;" ~*")&gt;0))</f>
        <v/>
      </c>
      <c r="AC1698" s="38">
        <f>IF($B1698="","",(IFERROR(INDEX(Setup!$G$33:$G$40,MATCH(C1698,Setup!$B$33:$B$40,0)),0)=1)*(COUNTIF(C1658:E1675,$B1698)+COUNTIF(C1658:E1675,$B1698&amp;" ~*")&gt;0)+(IFERROR(INDEX(Setup!$G$33:$G$40,MATCH(G1698,Setup!$B$33:$B$40,0)),0)=1)*(COUNTIF(G1658:I1675,$B1698)+COUNTIF(G1658:I1675,$B1698&amp;" ~*")&gt;0)+(IFERROR(INDEX(Setup!$G$33:$G$40,MATCH(K1698,Setup!$B$33:$B$40,0)),0)=1)*(COUNTIF(K1658:M1675,$B1698)+COUNTIF(K1658:M1675,$B1698&amp;" ~*")&gt;0)+(IFERROR(INDEX(Setup!$G$33:$G$40,MATCH(O1698,Setup!$B$33:$B$40,0)),0)=1)*(COUNTIF(O1658:Q1675,$B1698)+COUNTIF(O1658:Q1675,$B1698&amp;" ~*")&gt;0)+(IFERROR(INDEX(Setup!$G$33:$G$40,MATCH(S1698,Setup!$B$33:$B$40,0)),0)=1)*(COUNTIF(S1658:U1675,$B1698)+COUNTIF(S1658:U1675,$B1698&amp;" ~*")&gt;0)+(IFERROR(INDEX(Setup!$G$33:$G$40,MATCH(W1698,Setup!$B$33:$B$40,0)),0)=1)*(COUNTIF(W1658:W1675,$B1698)+COUNTIF(W1658:W1675,$B1698&amp;" ~*")&gt;0)+(IFERROR(INDEX(Setup!$G$33:$G$40,MATCH(Y1698,Setup!$B$33:$B$40,0)),0)=1)*(COUNTIF(Y1658:Y1675,$B1698)+COUNTIF(Y1658:Y1675,$B1698&amp;" ~*")&gt;0))</f>
        <v/>
      </c>
    </row>
    <row r="1699" ht="15" customHeight="1">
      <c r="A1699" t="n">
        <v>34</v>
      </c>
      <c r="B1699" s="35">
        <f>IF(Setup!$B$28="","",Setup!$B$28)</f>
        <v/>
      </c>
      <c r="C1699" s="98" t="n"/>
      <c r="D1699" s="99" t="n"/>
      <c r="E1699" s="99" t="n"/>
      <c r="F1699" s="100" t="n"/>
      <c r="G1699" s="98" t="n"/>
      <c r="H1699" s="99" t="n"/>
      <c r="I1699" s="99" t="n"/>
      <c r="J1699" s="100" t="n"/>
      <c r="K1699" s="98" t="n"/>
      <c r="L1699" s="99" t="n"/>
      <c r="M1699" s="99" t="n"/>
      <c r="N1699" s="100" t="n"/>
      <c r="O1699" s="98" t="n"/>
      <c r="P1699" s="99" t="n"/>
      <c r="Q1699" s="99" t="n"/>
      <c r="R1699" s="100" t="n"/>
      <c r="S1699" s="98" t="n"/>
      <c r="T1699" s="99" t="n"/>
      <c r="U1699" s="99" t="n"/>
      <c r="V1699" s="100" t="n"/>
      <c r="W1699" s="98" t="n"/>
      <c r="X1699" s="100" t="n"/>
      <c r="Y1699" s="98" t="n"/>
      <c r="Z1699" s="100" t="n"/>
      <c r="AB1699" s="101">
        <f>IF($B1699="","",(COUNTIF(C1658:E1675,$B1699)+COUNTIF(C1658:E1675,$B1699&amp;" ~*")&gt;0)+(COUNTIF(G1658:I1675,$B1699)+COUNTIF(G1658:I1675,$B1699&amp;" ~*")&gt;0)+(COUNTIF(K1658:M1675,$B1699)+COUNTIF(K1658:M1675,$B1699&amp;" ~*")&gt;0)+(COUNTIF(O1658:Q1675,$B1699)+COUNTIF(O1658:Q1675,$B1699&amp;" ~*")&gt;0)+(COUNTIF(S1658:U1675,$B1699)+COUNTIF(S1658:U1675,$B1699&amp;" ~*")&gt;0)+(COUNTIF(W1658:W1675,$B1699)+COUNTIF(W1658:W1675,$B1699&amp;" ~*")&gt;0)+(COUNTIF(Y1658:Y1675,$B1699)+COUNTIF(Y1658:Y1675,$B1699&amp;" ~*")&gt;0))</f>
        <v/>
      </c>
      <c r="AC1699" s="36">
        <f>IF($B1699="","",(IFERROR(INDEX(Setup!$G$33:$G$40,MATCH(C1699,Setup!$B$33:$B$40,0)),0)=1)*(COUNTIF(C1658:E1675,$B1699)+COUNTIF(C1658:E1675,$B1699&amp;" ~*")&gt;0)+(IFERROR(INDEX(Setup!$G$33:$G$40,MATCH(G1699,Setup!$B$33:$B$40,0)),0)=1)*(COUNTIF(G1658:I1675,$B1699)+COUNTIF(G1658:I1675,$B1699&amp;" ~*")&gt;0)+(IFERROR(INDEX(Setup!$G$33:$G$40,MATCH(K1699,Setup!$B$33:$B$40,0)),0)=1)*(COUNTIF(K1658:M1675,$B1699)+COUNTIF(K1658:M1675,$B1699&amp;" ~*")&gt;0)+(IFERROR(INDEX(Setup!$G$33:$G$40,MATCH(O1699,Setup!$B$33:$B$40,0)),0)=1)*(COUNTIF(O1658:Q1675,$B1699)+COUNTIF(O1658:Q1675,$B1699&amp;" ~*")&gt;0)+(IFERROR(INDEX(Setup!$G$33:$G$40,MATCH(S1699,Setup!$B$33:$B$40,0)),0)=1)*(COUNTIF(S1658:U1675,$B1699)+COUNTIF(S1658:U1675,$B1699&amp;" ~*")&gt;0)+(IFERROR(INDEX(Setup!$G$33:$G$40,MATCH(W1699,Setup!$B$33:$B$40,0)),0)=1)*(COUNTIF(W1658:W1675,$B1699)+COUNTIF(W1658:W1675,$B1699&amp;" ~*")&gt;0)+(IFERROR(INDEX(Setup!$G$33:$G$40,MATCH(Y1699,Setup!$B$33:$B$40,0)),0)=1)*(COUNTIF(Y1658:Y1675,$B1699)+COUNTIF(Y1658:Y1675,$B1699&amp;" ~*")&gt;0))</f>
        <v/>
      </c>
    </row>
    <row r="1700" ht="15" customHeight="1">
      <c r="A1700" t="n">
        <v>34</v>
      </c>
      <c r="B1700" s="37">
        <f>IF(Setup!$B$29="","",Setup!$B$29)</f>
        <v/>
      </c>
      <c r="C1700" s="102" t="n"/>
      <c r="D1700" s="103" t="n"/>
      <c r="E1700" s="103" t="n"/>
      <c r="F1700" s="104" t="n"/>
      <c r="G1700" s="102" t="n"/>
      <c r="H1700" s="103" t="n"/>
      <c r="I1700" s="103" t="n"/>
      <c r="J1700" s="104" t="n"/>
      <c r="K1700" s="102" t="n"/>
      <c r="L1700" s="103" t="n"/>
      <c r="M1700" s="103" t="n"/>
      <c r="N1700" s="104" t="n"/>
      <c r="O1700" s="102" t="n"/>
      <c r="P1700" s="103" t="n"/>
      <c r="Q1700" s="103" t="n"/>
      <c r="R1700" s="104" t="n"/>
      <c r="S1700" s="102" t="n"/>
      <c r="T1700" s="103" t="n"/>
      <c r="U1700" s="103" t="n"/>
      <c r="V1700" s="104" t="n"/>
      <c r="W1700" s="102" t="n"/>
      <c r="X1700" s="104" t="n"/>
      <c r="Y1700" s="102" t="n"/>
      <c r="Z1700" s="104" t="n"/>
      <c r="AB1700" s="105">
        <f>IF($B1700="","",(COUNTIF(C1658:E1675,$B1700)+COUNTIF(C1658:E1675,$B1700&amp;" ~*")&gt;0)+(COUNTIF(G1658:I1675,$B1700)+COUNTIF(G1658:I1675,$B1700&amp;" ~*")&gt;0)+(COUNTIF(K1658:M1675,$B1700)+COUNTIF(K1658:M1675,$B1700&amp;" ~*")&gt;0)+(COUNTIF(O1658:Q1675,$B1700)+COUNTIF(O1658:Q1675,$B1700&amp;" ~*")&gt;0)+(COUNTIF(S1658:U1675,$B1700)+COUNTIF(S1658:U1675,$B1700&amp;" ~*")&gt;0)+(COUNTIF(W1658:W1675,$B1700)+COUNTIF(W1658:W1675,$B1700&amp;" ~*")&gt;0)+(COUNTIF(Y1658:Y1675,$B1700)+COUNTIF(Y1658:Y1675,$B1700&amp;" ~*")&gt;0))</f>
        <v/>
      </c>
      <c r="AC1700" s="38">
        <f>IF($B1700="","",(IFERROR(INDEX(Setup!$G$33:$G$40,MATCH(C1700,Setup!$B$33:$B$40,0)),0)=1)*(COUNTIF(C1658:E1675,$B1700)+COUNTIF(C1658:E1675,$B1700&amp;" ~*")&gt;0)+(IFERROR(INDEX(Setup!$G$33:$G$40,MATCH(G1700,Setup!$B$33:$B$40,0)),0)=1)*(COUNTIF(G1658:I1675,$B1700)+COUNTIF(G1658:I1675,$B1700&amp;" ~*")&gt;0)+(IFERROR(INDEX(Setup!$G$33:$G$40,MATCH(K1700,Setup!$B$33:$B$40,0)),0)=1)*(COUNTIF(K1658:M1675,$B1700)+COUNTIF(K1658:M1675,$B1700&amp;" ~*")&gt;0)+(IFERROR(INDEX(Setup!$G$33:$G$40,MATCH(O1700,Setup!$B$33:$B$40,0)),0)=1)*(COUNTIF(O1658:Q1675,$B1700)+COUNTIF(O1658:Q1675,$B1700&amp;" ~*")&gt;0)+(IFERROR(INDEX(Setup!$G$33:$G$40,MATCH(S1700,Setup!$B$33:$B$40,0)),0)=1)*(COUNTIF(S1658:U1675,$B1700)+COUNTIF(S1658:U1675,$B1700&amp;" ~*")&gt;0)+(IFERROR(INDEX(Setup!$G$33:$G$40,MATCH(W1700,Setup!$B$33:$B$40,0)),0)=1)*(COUNTIF(W1658:W1675,$B1700)+COUNTIF(W1658:W1675,$B1700&amp;" ~*")&gt;0)+(IFERROR(INDEX(Setup!$G$33:$G$40,MATCH(Y1700,Setup!$B$33:$B$40,0)),0)=1)*(COUNTIF(Y1658:Y1675,$B1700)+COUNTIF(Y1658:Y1675,$B1700&amp;" ~*")&gt;0))</f>
        <v/>
      </c>
    </row>
    <row r="1701" ht="16" customHeight="1">
      <c r="A1701" t="n">
        <v>34</v>
      </c>
      <c r="B1701" s="106" t="inlineStr">
        <is>
          <t>Available people</t>
        </is>
      </c>
      <c r="C1701" s="107">
        <f>COUNTIFS(Setup!$E$6:$E$29,"Y",Setup!$B$6:$B$29,"?*")-SUMPRODUCT(COUNTIF(C1677:C1700,Setup!$F$33:$F$40))</f>
        <v/>
      </c>
      <c r="D1701" s="107" t="n"/>
      <c r="E1701" s="107" t="n"/>
      <c r="F1701" s="107" t="n"/>
      <c r="G1701" s="107">
        <f>COUNTIFS(Setup!$E$6:$E$29,"Y",Setup!$B$6:$B$29,"?*")-SUMPRODUCT(COUNTIF(G1677:G1700,Setup!$F$33:$F$40))</f>
        <v/>
      </c>
      <c r="H1701" s="107" t="n"/>
      <c r="I1701" s="107" t="n"/>
      <c r="J1701" s="107" t="n"/>
      <c r="K1701" s="107">
        <f>COUNTIFS(Setup!$E$6:$E$29,"Y",Setup!$B$6:$B$29,"?*")-SUMPRODUCT(COUNTIF(K1677:K1700,Setup!$F$33:$F$40))</f>
        <v/>
      </c>
      <c r="L1701" s="107" t="n"/>
      <c r="M1701" s="107" t="n"/>
      <c r="N1701" s="107" t="n"/>
      <c r="O1701" s="107">
        <f>COUNTIFS(Setup!$E$6:$E$29,"Y",Setup!$B$6:$B$29,"?*")-SUMPRODUCT(COUNTIF(O1677:O1700,Setup!$F$33:$F$40))</f>
        <v/>
      </c>
      <c r="P1701" s="107" t="n"/>
      <c r="Q1701" s="107" t="n"/>
      <c r="R1701" s="107" t="n"/>
      <c r="S1701" s="107">
        <f>COUNTIFS(Setup!$E$6:$E$29,"Y",Setup!$B$6:$B$29,"?*")-SUMPRODUCT(COUNTIF(S1677:S1700,Setup!$F$33:$F$40))</f>
        <v/>
      </c>
      <c r="T1701" s="107" t="n"/>
      <c r="U1701" s="107" t="n"/>
      <c r="V1701" s="107" t="n"/>
      <c r="W1701" s="107">
        <f>COUNTIFS(Setup!$E$6:$E$29,"Y",Setup!$B$6:$B$29,"?*")-SUMPRODUCT(COUNTIF(W1677:W1700,Setup!$F$33:$F$40))</f>
        <v/>
      </c>
      <c r="X1701" s="107" t="n"/>
      <c r="Y1701" s="107">
        <f>COUNTIFS(Setup!$E$6:$E$29,"Y",Setup!$B$6:$B$29,"?*")-SUMPRODUCT(COUNTIF(Y1677:Y1700,Setup!$F$33:$F$40))</f>
        <v/>
      </c>
      <c r="Z1701" s="107" t="n"/>
      <c r="AB1701" s="108">
        <f>SUM(AB1677:AB1700)</f>
        <v/>
      </c>
      <c r="AC1701" s="109">
        <f>SUM(AC1677:AC1700)</f>
        <v/>
      </c>
    </row>
    <row r="1702" ht="30" customHeight="1">
      <c r="A1702" t="n">
        <v>34</v>
      </c>
      <c r="B1702" s="110" t="inlineStr">
        <is>
          <t>Week notes</t>
        </is>
      </c>
      <c r="C1702" s="111" t="n"/>
      <c r="D1702" s="112" t="n"/>
      <c r="E1702" s="112" t="n"/>
      <c r="F1702" s="112" t="n"/>
      <c r="G1702" s="112" t="n"/>
      <c r="H1702" s="112" t="n"/>
      <c r="I1702" s="112" t="n"/>
      <c r="J1702" s="112" t="n"/>
      <c r="K1702" s="112" t="n"/>
      <c r="L1702" s="112" t="n"/>
      <c r="M1702" s="112" t="n"/>
      <c r="N1702" s="112" t="n"/>
      <c r="O1702" s="112" t="n"/>
      <c r="P1702" s="112" t="n"/>
      <c r="Q1702" s="112" t="n"/>
      <c r="R1702" s="112" t="n"/>
      <c r="S1702" s="112" t="n"/>
      <c r="T1702" s="112" t="n"/>
      <c r="U1702" s="112" t="n"/>
      <c r="V1702" s="112" t="n"/>
      <c r="W1702" s="112" t="n"/>
      <c r="X1702" s="112" t="n"/>
      <c r="Y1702" s="112" t="n"/>
      <c r="Z1702" s="113" t="n"/>
    </row>
    <row r="1703" ht="8" customHeight="1">
      <c r="A1703" t="n">
        <v>34</v>
      </c>
    </row>
    <row r="1704" ht="8" customHeight="1">
      <c r="A1704" t="n">
        <v>34</v>
      </c>
    </row>
    <row r="1705" ht="24" customHeight="1">
      <c r="A1705" t="n">
        <v>35</v>
      </c>
      <c r="B1705" s="73">
        <f>"WEEK 35     "&amp;TEXT(C1706,"ddd d mmm")&amp;"  –  "&amp;TEXT(C1706+6,"ddd d mmm yyyy")</f>
        <v/>
      </c>
      <c r="S1705" s="74">
        <f>IF(TODAY()&lt;C1706,"FUTURE",IF(TODAY()&gt;C1706+6,"PAST","THIS WEEK"))</f>
        <v/>
      </c>
      <c r="W1705" s="75">
        <f>IF(AND(Engine!$B$8=$AC$3,Engine!$B$9=$A1705),"◀ ACTIVE WEEK","")</f>
        <v/>
      </c>
      <c r="AA1705" s="76" t="n"/>
      <c r="AB1705" s="77" t="inlineStr">
        <is>
          <t>◀ Prev</t>
        </is>
      </c>
      <c r="AC1705" s="77" t="inlineStr">
        <is>
          <t>Next ▶</t>
        </is>
      </c>
    </row>
    <row r="1706" ht="18" customHeight="1">
      <c r="A1706" t="n">
        <v>35</v>
      </c>
      <c r="B1706" s="78" t="inlineStr">
        <is>
          <t>DUTY</t>
        </is>
      </c>
      <c r="C1706" s="79">
        <f>$AC$2+7*($A1706-1)</f>
        <v/>
      </c>
      <c r="D1706" s="80" t="n"/>
      <c r="E1706" s="80" t="n"/>
      <c r="F1706" s="81" t="n"/>
      <c r="G1706" s="79">
        <f>C1706+1</f>
        <v/>
      </c>
      <c r="H1706" s="80" t="n"/>
      <c r="I1706" s="80" t="n"/>
      <c r="J1706" s="81" t="n"/>
      <c r="K1706" s="79">
        <f>C1706+2</f>
        <v/>
      </c>
      <c r="L1706" s="80" t="n"/>
      <c r="M1706" s="80" t="n"/>
      <c r="N1706" s="81" t="n"/>
      <c r="O1706" s="79">
        <f>C1706+3</f>
        <v/>
      </c>
      <c r="P1706" s="80" t="n"/>
      <c r="Q1706" s="80" t="n"/>
      <c r="R1706" s="81" t="n"/>
      <c r="S1706" s="79">
        <f>C1706+4</f>
        <v/>
      </c>
      <c r="T1706" s="80" t="n"/>
      <c r="U1706" s="80" t="n"/>
      <c r="V1706" s="81" t="n"/>
      <c r="W1706" s="82">
        <f>C1706+5</f>
        <v/>
      </c>
      <c r="X1706" s="83" t="n"/>
      <c r="Y1706" s="82">
        <f>C1706+6</f>
        <v/>
      </c>
      <c r="Z1706" s="83" t="n"/>
      <c r="AB1706" s="72" t="inlineStr">
        <is>
          <t>Gaps</t>
        </is>
      </c>
      <c r="AC1706" s="72" t="inlineStr">
        <is>
          <t>Cover</t>
        </is>
      </c>
    </row>
    <row r="1707" ht="14" customHeight="1">
      <c r="A1707" t="n">
        <v>35</v>
      </c>
      <c r="B1707" s="84" t="inlineStr">
        <is>
          <t>(from Setup)</t>
        </is>
      </c>
      <c r="C1707" s="85" t="inlineStr">
        <is>
          <t>1</t>
        </is>
      </c>
      <c r="D1707" s="85" t="inlineStr">
        <is>
          <t>2</t>
        </is>
      </c>
      <c r="E1707" s="85" t="inlineStr">
        <is>
          <t>3</t>
        </is>
      </c>
      <c r="F1707" s="85" t="inlineStr">
        <is>
          <t>Notes</t>
        </is>
      </c>
      <c r="G1707" s="85" t="inlineStr">
        <is>
          <t>1</t>
        </is>
      </c>
      <c r="H1707" s="85" t="inlineStr">
        <is>
          <t>2</t>
        </is>
      </c>
      <c r="I1707" s="85" t="inlineStr">
        <is>
          <t>3</t>
        </is>
      </c>
      <c r="J1707" s="85" t="inlineStr">
        <is>
          <t>Notes</t>
        </is>
      </c>
      <c r="K1707" s="85" t="inlineStr">
        <is>
          <t>1</t>
        </is>
      </c>
      <c r="L1707" s="85" t="inlineStr">
        <is>
          <t>2</t>
        </is>
      </c>
      <c r="M1707" s="85" t="inlineStr">
        <is>
          <t>3</t>
        </is>
      </c>
      <c r="N1707" s="85" t="inlineStr">
        <is>
          <t>Notes</t>
        </is>
      </c>
      <c r="O1707" s="85" t="inlineStr">
        <is>
          <t>1</t>
        </is>
      </c>
      <c r="P1707" s="85" t="inlineStr">
        <is>
          <t>2</t>
        </is>
      </c>
      <c r="Q1707" s="85" t="inlineStr">
        <is>
          <t>3</t>
        </is>
      </c>
      <c r="R1707" s="85" t="inlineStr">
        <is>
          <t>Notes</t>
        </is>
      </c>
      <c r="S1707" s="85" t="inlineStr">
        <is>
          <t>1</t>
        </is>
      </c>
      <c r="T1707" s="85" t="inlineStr">
        <is>
          <t>2</t>
        </is>
      </c>
      <c r="U1707" s="85" t="inlineStr">
        <is>
          <t>3</t>
        </is>
      </c>
      <c r="V1707" s="85" t="inlineStr">
        <is>
          <t>Notes</t>
        </is>
      </c>
      <c r="W1707" s="85" t="inlineStr">
        <is>
          <t>Cover</t>
        </is>
      </c>
      <c r="X1707" s="85" t="inlineStr">
        <is>
          <t>Notes</t>
        </is>
      </c>
      <c r="Y1707" s="85" t="inlineStr">
        <is>
          <t>Cover</t>
        </is>
      </c>
      <c r="Z1707" s="85" t="inlineStr">
        <is>
          <t>Notes</t>
        </is>
      </c>
      <c r="AB1707" s="86" t="inlineStr">
        <is>
          <t>weekdays short</t>
        </is>
      </c>
      <c r="AC1707" s="87" t="inlineStr"/>
    </row>
    <row r="1708" ht="17" customHeight="1">
      <c r="A1708" t="n">
        <v>35</v>
      </c>
      <c r="B1708" s="24">
        <f>IF(Setup!$K$6="","",Setup!$K$6)</f>
        <v/>
      </c>
      <c r="C1708" s="88" t="n"/>
      <c r="D1708" s="88" t="n"/>
      <c r="E1708" s="88" t="n"/>
      <c r="F1708" s="89" t="n"/>
      <c r="G1708" s="88" t="n"/>
      <c r="H1708" s="88" t="n"/>
      <c r="I1708" s="88" t="n"/>
      <c r="J1708" s="89" t="n"/>
      <c r="K1708" s="88" t="n"/>
      <c r="L1708" s="88" t="n"/>
      <c r="M1708" s="88" t="n"/>
      <c r="N1708" s="89" t="n"/>
      <c r="O1708" s="88" t="n"/>
      <c r="P1708" s="88" t="n"/>
      <c r="Q1708" s="88" t="n"/>
      <c r="R1708" s="89" t="n"/>
      <c r="S1708" s="88" t="n"/>
      <c r="T1708" s="88" t="n"/>
      <c r="U1708" s="88" t="n"/>
      <c r="V1708" s="89" t="n"/>
      <c r="W1708" s="88" t="n"/>
      <c r="X1708" s="89" t="n"/>
      <c r="Y1708" s="88" t="n"/>
      <c r="Z1708" s="89" t="n"/>
      <c r="AB1708" s="25">
        <f>IF($B1708="","",(COUNTIF(C1708:E1708,"?*")&lt;N(INDEX(Setup!$L$6:$L$23,1)))+(COUNTIF(G1708:I1708,"?*")&lt;N(INDEX(Setup!$L$6:$L$23,1)))+(COUNTIF(K1708:M1708,"?*")&lt;N(INDEX(Setup!$L$6:$L$23,1)))+(COUNTIF(O1708:Q1708,"?*")&lt;N(INDEX(Setup!$L$6:$L$23,1)))+(COUNTIF(S1708:U1708,"?*")&lt;N(INDEX(Setup!$L$6:$L$23,1)))+((W1708="")*(INDEX(Setup!$M$6:$M$23,1)="Y"))+((Y1708="")*(INDEX(Setup!$M$6:$M$23,1)="Y")))</f>
        <v/>
      </c>
      <c r="AC1708" s="90">
        <f>IF($B1708="","",IF(AB1708=0,"✓ covered","⚠ "&amp;AB1708&amp;IF(AB1708=1," gap"," gaps")))</f>
        <v/>
      </c>
    </row>
    <row r="1709" ht="17" customHeight="1">
      <c r="A1709" t="n">
        <v>35</v>
      </c>
      <c r="B1709" s="29">
        <f>IF(Setup!$K$7="","",Setup!$K$7)</f>
        <v/>
      </c>
      <c r="C1709" s="88" t="n"/>
      <c r="D1709" s="88" t="n"/>
      <c r="E1709" s="88" t="n"/>
      <c r="F1709" s="89" t="n"/>
      <c r="G1709" s="88" t="n"/>
      <c r="H1709" s="88" t="n"/>
      <c r="I1709" s="88" t="n"/>
      <c r="J1709" s="89" t="n"/>
      <c r="K1709" s="88" t="n"/>
      <c r="L1709" s="88" t="n"/>
      <c r="M1709" s="88" t="n"/>
      <c r="N1709" s="89" t="n"/>
      <c r="O1709" s="88" t="n"/>
      <c r="P1709" s="88" t="n"/>
      <c r="Q1709" s="88" t="n"/>
      <c r="R1709" s="89" t="n"/>
      <c r="S1709" s="88" t="n"/>
      <c r="T1709" s="88" t="n"/>
      <c r="U1709" s="88" t="n"/>
      <c r="V1709" s="89" t="n"/>
      <c r="W1709" s="88" t="n"/>
      <c r="X1709" s="89" t="n"/>
      <c r="Y1709" s="88" t="n"/>
      <c r="Z1709" s="89" t="n"/>
      <c r="AB1709" s="30">
        <f>IF($B1709="","",(COUNTIF(C1709:E1709,"?*")&lt;N(INDEX(Setup!$L$6:$L$23,2)))+(COUNTIF(G1709:I1709,"?*")&lt;N(INDEX(Setup!$L$6:$L$23,2)))+(COUNTIF(K1709:M1709,"?*")&lt;N(INDEX(Setup!$L$6:$L$23,2)))+(COUNTIF(O1709:Q1709,"?*")&lt;N(INDEX(Setup!$L$6:$L$23,2)))+(COUNTIF(S1709:U1709,"?*")&lt;N(INDEX(Setup!$L$6:$L$23,2)))+((W1709="")*(INDEX(Setup!$M$6:$M$23,2)="Y"))+((Y1709="")*(INDEX(Setup!$M$6:$M$23,2)="Y")))</f>
        <v/>
      </c>
      <c r="AC1709" s="91">
        <f>IF($B1709="","",IF(AB1709=0,"✓ covered","⚠ "&amp;AB1709&amp;IF(AB1709=1," gap"," gaps")))</f>
        <v/>
      </c>
    </row>
    <row r="1710" ht="17" customHeight="1">
      <c r="A1710" t="n">
        <v>35</v>
      </c>
      <c r="B1710" s="24">
        <f>IF(Setup!$K$8="","",Setup!$K$8)</f>
        <v/>
      </c>
      <c r="C1710" s="88" t="n"/>
      <c r="D1710" s="88" t="n"/>
      <c r="E1710" s="88" t="n"/>
      <c r="F1710" s="89" t="n"/>
      <c r="G1710" s="88" t="n"/>
      <c r="H1710" s="88" t="n"/>
      <c r="I1710" s="88" t="n"/>
      <c r="J1710" s="89" t="n"/>
      <c r="K1710" s="88" t="n"/>
      <c r="L1710" s="88" t="n"/>
      <c r="M1710" s="88" t="n"/>
      <c r="N1710" s="89" t="n"/>
      <c r="O1710" s="88" t="n"/>
      <c r="P1710" s="88" t="n"/>
      <c r="Q1710" s="88" t="n"/>
      <c r="R1710" s="89" t="n"/>
      <c r="S1710" s="88" t="n"/>
      <c r="T1710" s="88" t="n"/>
      <c r="U1710" s="88" t="n"/>
      <c r="V1710" s="89" t="n"/>
      <c r="W1710" s="88" t="n"/>
      <c r="X1710" s="89" t="n"/>
      <c r="Y1710" s="88" t="n"/>
      <c r="Z1710" s="89" t="n"/>
      <c r="AB1710" s="25">
        <f>IF($B1710="","",(COUNTIF(C1710:E1710,"?*")&lt;N(INDEX(Setup!$L$6:$L$23,3)))+(COUNTIF(G1710:I1710,"?*")&lt;N(INDEX(Setup!$L$6:$L$23,3)))+(COUNTIF(K1710:M1710,"?*")&lt;N(INDEX(Setup!$L$6:$L$23,3)))+(COUNTIF(O1710:Q1710,"?*")&lt;N(INDEX(Setup!$L$6:$L$23,3)))+(COUNTIF(S1710:U1710,"?*")&lt;N(INDEX(Setup!$L$6:$L$23,3)))+((W1710="")*(INDEX(Setup!$M$6:$M$23,3)="Y"))+((Y1710="")*(INDEX(Setup!$M$6:$M$23,3)="Y")))</f>
        <v/>
      </c>
      <c r="AC1710" s="90">
        <f>IF($B1710="","",IF(AB1710=0,"✓ covered","⚠ "&amp;AB1710&amp;IF(AB1710=1," gap"," gaps")))</f>
        <v/>
      </c>
    </row>
    <row r="1711" ht="17" customHeight="1">
      <c r="A1711" t="n">
        <v>35</v>
      </c>
      <c r="B1711" s="29">
        <f>IF(Setup!$K$9="","",Setup!$K$9)</f>
        <v/>
      </c>
      <c r="C1711" s="88" t="n"/>
      <c r="D1711" s="88" t="n"/>
      <c r="E1711" s="88" t="n"/>
      <c r="F1711" s="89" t="n"/>
      <c r="G1711" s="88" t="n"/>
      <c r="H1711" s="88" t="n"/>
      <c r="I1711" s="88" t="n"/>
      <c r="J1711" s="89" t="n"/>
      <c r="K1711" s="88" t="n"/>
      <c r="L1711" s="88" t="n"/>
      <c r="M1711" s="88" t="n"/>
      <c r="N1711" s="89" t="n"/>
      <c r="O1711" s="88" t="n"/>
      <c r="P1711" s="88" t="n"/>
      <c r="Q1711" s="88" t="n"/>
      <c r="R1711" s="89" t="n"/>
      <c r="S1711" s="88" t="n"/>
      <c r="T1711" s="88" t="n"/>
      <c r="U1711" s="88" t="n"/>
      <c r="V1711" s="89" t="n"/>
      <c r="W1711" s="88" t="n"/>
      <c r="X1711" s="89" t="n"/>
      <c r="Y1711" s="88" t="n"/>
      <c r="Z1711" s="89" t="n"/>
      <c r="AB1711" s="30">
        <f>IF($B1711="","",(COUNTIF(C1711:E1711,"?*")&lt;N(INDEX(Setup!$L$6:$L$23,4)))+(COUNTIF(G1711:I1711,"?*")&lt;N(INDEX(Setup!$L$6:$L$23,4)))+(COUNTIF(K1711:M1711,"?*")&lt;N(INDEX(Setup!$L$6:$L$23,4)))+(COUNTIF(O1711:Q1711,"?*")&lt;N(INDEX(Setup!$L$6:$L$23,4)))+(COUNTIF(S1711:U1711,"?*")&lt;N(INDEX(Setup!$L$6:$L$23,4)))+((W1711="")*(INDEX(Setup!$M$6:$M$23,4)="Y"))+((Y1711="")*(INDEX(Setup!$M$6:$M$23,4)="Y")))</f>
        <v/>
      </c>
      <c r="AC1711" s="91">
        <f>IF($B1711="","",IF(AB1711=0,"✓ covered","⚠ "&amp;AB1711&amp;IF(AB1711=1," gap"," gaps")))</f>
        <v/>
      </c>
    </row>
    <row r="1712" ht="17" customHeight="1">
      <c r="A1712" t="n">
        <v>35</v>
      </c>
      <c r="B1712" s="24">
        <f>IF(Setup!$K$10="","",Setup!$K$10)</f>
        <v/>
      </c>
      <c r="C1712" s="88" t="n"/>
      <c r="D1712" s="88" t="n"/>
      <c r="E1712" s="88" t="n"/>
      <c r="F1712" s="89" t="n"/>
      <c r="G1712" s="88" t="n"/>
      <c r="H1712" s="88" t="n"/>
      <c r="I1712" s="88" t="n"/>
      <c r="J1712" s="89" t="n"/>
      <c r="K1712" s="88" t="n"/>
      <c r="L1712" s="88" t="n"/>
      <c r="M1712" s="88" t="n"/>
      <c r="N1712" s="89" t="n"/>
      <c r="O1712" s="88" t="n"/>
      <c r="P1712" s="88" t="n"/>
      <c r="Q1712" s="88" t="n"/>
      <c r="R1712" s="89" t="n"/>
      <c r="S1712" s="88" t="n"/>
      <c r="T1712" s="88" t="n"/>
      <c r="U1712" s="88" t="n"/>
      <c r="V1712" s="89" t="n"/>
      <c r="W1712" s="88" t="n"/>
      <c r="X1712" s="89" t="n"/>
      <c r="Y1712" s="88" t="n"/>
      <c r="Z1712" s="89" t="n"/>
      <c r="AB1712" s="25">
        <f>IF($B1712="","",(COUNTIF(C1712:E1712,"?*")&lt;N(INDEX(Setup!$L$6:$L$23,5)))+(COUNTIF(G1712:I1712,"?*")&lt;N(INDEX(Setup!$L$6:$L$23,5)))+(COUNTIF(K1712:M1712,"?*")&lt;N(INDEX(Setup!$L$6:$L$23,5)))+(COUNTIF(O1712:Q1712,"?*")&lt;N(INDEX(Setup!$L$6:$L$23,5)))+(COUNTIF(S1712:U1712,"?*")&lt;N(INDEX(Setup!$L$6:$L$23,5)))+((W1712="")*(INDEX(Setup!$M$6:$M$23,5)="Y"))+((Y1712="")*(INDEX(Setup!$M$6:$M$23,5)="Y")))</f>
        <v/>
      </c>
      <c r="AC1712" s="90">
        <f>IF($B1712="","",IF(AB1712=0,"✓ covered","⚠ "&amp;AB1712&amp;IF(AB1712=1," gap"," gaps")))</f>
        <v/>
      </c>
    </row>
    <row r="1713" ht="17" customHeight="1">
      <c r="A1713" t="n">
        <v>35</v>
      </c>
      <c r="B1713" s="29">
        <f>IF(Setup!$K$11="","",Setup!$K$11)</f>
        <v/>
      </c>
      <c r="C1713" s="88" t="n"/>
      <c r="D1713" s="88" t="n"/>
      <c r="E1713" s="88" t="n"/>
      <c r="F1713" s="89" t="n"/>
      <c r="G1713" s="88" t="n"/>
      <c r="H1713" s="88" t="n"/>
      <c r="I1713" s="88" t="n"/>
      <c r="J1713" s="89" t="n"/>
      <c r="K1713" s="88" t="n"/>
      <c r="L1713" s="88" t="n"/>
      <c r="M1713" s="88" t="n"/>
      <c r="N1713" s="89" t="n"/>
      <c r="O1713" s="88" t="n"/>
      <c r="P1713" s="88" t="n"/>
      <c r="Q1713" s="88" t="n"/>
      <c r="R1713" s="89" t="n"/>
      <c r="S1713" s="88" t="n"/>
      <c r="T1713" s="88" t="n"/>
      <c r="U1713" s="88" t="n"/>
      <c r="V1713" s="89" t="n"/>
      <c r="W1713" s="88" t="n"/>
      <c r="X1713" s="89" t="n"/>
      <c r="Y1713" s="88" t="n"/>
      <c r="Z1713" s="89" t="n"/>
      <c r="AB1713" s="30">
        <f>IF($B1713="","",(COUNTIF(C1713:E1713,"?*")&lt;N(INDEX(Setup!$L$6:$L$23,6)))+(COUNTIF(G1713:I1713,"?*")&lt;N(INDEX(Setup!$L$6:$L$23,6)))+(COUNTIF(K1713:M1713,"?*")&lt;N(INDEX(Setup!$L$6:$L$23,6)))+(COUNTIF(O1713:Q1713,"?*")&lt;N(INDEX(Setup!$L$6:$L$23,6)))+(COUNTIF(S1713:U1713,"?*")&lt;N(INDEX(Setup!$L$6:$L$23,6)))+((W1713="")*(INDEX(Setup!$M$6:$M$23,6)="Y"))+((Y1713="")*(INDEX(Setup!$M$6:$M$23,6)="Y")))</f>
        <v/>
      </c>
      <c r="AC1713" s="91">
        <f>IF($B1713="","",IF(AB1713=0,"✓ covered","⚠ "&amp;AB1713&amp;IF(AB1713=1," gap"," gaps")))</f>
        <v/>
      </c>
    </row>
    <row r="1714" ht="17" customHeight="1">
      <c r="A1714" t="n">
        <v>35</v>
      </c>
      <c r="B1714" s="24">
        <f>IF(Setup!$K$12="","",Setup!$K$12)</f>
        <v/>
      </c>
      <c r="C1714" s="88" t="n"/>
      <c r="D1714" s="88" t="n"/>
      <c r="E1714" s="88" t="n"/>
      <c r="F1714" s="89" t="n"/>
      <c r="G1714" s="88" t="n"/>
      <c r="H1714" s="88" t="n"/>
      <c r="I1714" s="88" t="n"/>
      <c r="J1714" s="89" t="n"/>
      <c r="K1714" s="88" t="n"/>
      <c r="L1714" s="88" t="n"/>
      <c r="M1714" s="88" t="n"/>
      <c r="N1714" s="89" t="n"/>
      <c r="O1714" s="88" t="n"/>
      <c r="P1714" s="88" t="n"/>
      <c r="Q1714" s="88" t="n"/>
      <c r="R1714" s="89" t="n"/>
      <c r="S1714" s="88" t="n"/>
      <c r="T1714" s="88" t="n"/>
      <c r="U1714" s="88" t="n"/>
      <c r="V1714" s="89" t="n"/>
      <c r="W1714" s="88" t="n"/>
      <c r="X1714" s="89" t="n"/>
      <c r="Y1714" s="88" t="n"/>
      <c r="Z1714" s="89" t="n"/>
      <c r="AB1714" s="25">
        <f>IF($B1714="","",(COUNTIF(C1714:E1714,"?*")&lt;N(INDEX(Setup!$L$6:$L$23,7)))+(COUNTIF(G1714:I1714,"?*")&lt;N(INDEX(Setup!$L$6:$L$23,7)))+(COUNTIF(K1714:M1714,"?*")&lt;N(INDEX(Setup!$L$6:$L$23,7)))+(COUNTIF(O1714:Q1714,"?*")&lt;N(INDEX(Setup!$L$6:$L$23,7)))+(COUNTIF(S1714:U1714,"?*")&lt;N(INDEX(Setup!$L$6:$L$23,7)))+((W1714="")*(INDEX(Setup!$M$6:$M$23,7)="Y"))+((Y1714="")*(INDEX(Setup!$M$6:$M$23,7)="Y")))</f>
        <v/>
      </c>
      <c r="AC1714" s="90">
        <f>IF($B1714="","",IF(AB1714=0,"✓ covered","⚠ "&amp;AB1714&amp;IF(AB1714=1," gap"," gaps")))</f>
        <v/>
      </c>
    </row>
    <row r="1715" ht="17" customHeight="1">
      <c r="A1715" t="n">
        <v>35</v>
      </c>
      <c r="B1715" s="29">
        <f>IF(Setup!$K$13="","",Setup!$K$13)</f>
        <v/>
      </c>
      <c r="C1715" s="88" t="n"/>
      <c r="D1715" s="88" t="n"/>
      <c r="E1715" s="88" t="n"/>
      <c r="F1715" s="89" t="n"/>
      <c r="G1715" s="88" t="n"/>
      <c r="H1715" s="88" t="n"/>
      <c r="I1715" s="88" t="n"/>
      <c r="J1715" s="89" t="n"/>
      <c r="K1715" s="88" t="n"/>
      <c r="L1715" s="88" t="n"/>
      <c r="M1715" s="88" t="n"/>
      <c r="N1715" s="89" t="n"/>
      <c r="O1715" s="88" t="n"/>
      <c r="P1715" s="88" t="n"/>
      <c r="Q1715" s="88" t="n"/>
      <c r="R1715" s="89" t="n"/>
      <c r="S1715" s="88" t="n"/>
      <c r="T1715" s="88" t="n"/>
      <c r="U1715" s="88" t="n"/>
      <c r="V1715" s="89" t="n"/>
      <c r="W1715" s="88" t="n"/>
      <c r="X1715" s="89" t="n"/>
      <c r="Y1715" s="88" t="n"/>
      <c r="Z1715" s="89" t="n"/>
      <c r="AB1715" s="30">
        <f>IF($B1715="","",(COUNTIF(C1715:E1715,"?*")&lt;N(INDEX(Setup!$L$6:$L$23,8)))+(COUNTIF(G1715:I1715,"?*")&lt;N(INDEX(Setup!$L$6:$L$23,8)))+(COUNTIF(K1715:M1715,"?*")&lt;N(INDEX(Setup!$L$6:$L$23,8)))+(COUNTIF(O1715:Q1715,"?*")&lt;N(INDEX(Setup!$L$6:$L$23,8)))+(COUNTIF(S1715:U1715,"?*")&lt;N(INDEX(Setup!$L$6:$L$23,8)))+((W1715="")*(INDEX(Setup!$M$6:$M$23,8)="Y"))+((Y1715="")*(INDEX(Setup!$M$6:$M$23,8)="Y")))</f>
        <v/>
      </c>
      <c r="AC1715" s="91">
        <f>IF($B1715="","",IF(AB1715=0,"✓ covered","⚠ "&amp;AB1715&amp;IF(AB1715=1," gap"," gaps")))</f>
        <v/>
      </c>
    </row>
    <row r="1716" ht="17" customHeight="1">
      <c r="A1716" t="n">
        <v>35</v>
      </c>
      <c r="B1716" s="24">
        <f>IF(Setup!$K$14="","",Setup!$K$14)</f>
        <v/>
      </c>
      <c r="C1716" s="88" t="n"/>
      <c r="D1716" s="88" t="n"/>
      <c r="E1716" s="88" t="n"/>
      <c r="F1716" s="89" t="n"/>
      <c r="G1716" s="88" t="n"/>
      <c r="H1716" s="88" t="n"/>
      <c r="I1716" s="88" t="n"/>
      <c r="J1716" s="89" t="n"/>
      <c r="K1716" s="88" t="n"/>
      <c r="L1716" s="88" t="n"/>
      <c r="M1716" s="88" t="n"/>
      <c r="N1716" s="89" t="n"/>
      <c r="O1716" s="88" t="n"/>
      <c r="P1716" s="88" t="n"/>
      <c r="Q1716" s="88" t="n"/>
      <c r="R1716" s="89" t="n"/>
      <c r="S1716" s="88" t="n"/>
      <c r="T1716" s="88" t="n"/>
      <c r="U1716" s="88" t="n"/>
      <c r="V1716" s="89" t="n"/>
      <c r="W1716" s="88" t="n"/>
      <c r="X1716" s="89" t="n"/>
      <c r="Y1716" s="88" t="n"/>
      <c r="Z1716" s="89" t="n"/>
      <c r="AB1716" s="25">
        <f>IF($B1716="","",(COUNTIF(C1716:E1716,"?*")&lt;N(INDEX(Setup!$L$6:$L$23,9)))+(COUNTIF(G1716:I1716,"?*")&lt;N(INDEX(Setup!$L$6:$L$23,9)))+(COUNTIF(K1716:M1716,"?*")&lt;N(INDEX(Setup!$L$6:$L$23,9)))+(COUNTIF(O1716:Q1716,"?*")&lt;N(INDEX(Setup!$L$6:$L$23,9)))+(COUNTIF(S1716:U1716,"?*")&lt;N(INDEX(Setup!$L$6:$L$23,9)))+((W1716="")*(INDEX(Setup!$M$6:$M$23,9)="Y"))+((Y1716="")*(INDEX(Setup!$M$6:$M$23,9)="Y")))</f>
        <v/>
      </c>
      <c r="AC1716" s="90">
        <f>IF($B1716="","",IF(AB1716=0,"✓ covered","⚠ "&amp;AB1716&amp;IF(AB1716=1," gap"," gaps")))</f>
        <v/>
      </c>
    </row>
    <row r="1717" ht="17" customHeight="1">
      <c r="A1717" t="n">
        <v>35</v>
      </c>
      <c r="B1717" s="29">
        <f>IF(Setup!$K$15="","",Setup!$K$15)</f>
        <v/>
      </c>
      <c r="C1717" s="88" t="n"/>
      <c r="D1717" s="88" t="n"/>
      <c r="E1717" s="88" t="n"/>
      <c r="F1717" s="89" t="n"/>
      <c r="G1717" s="88" t="n"/>
      <c r="H1717" s="88" t="n"/>
      <c r="I1717" s="88" t="n"/>
      <c r="J1717" s="89" t="n"/>
      <c r="K1717" s="88" t="n"/>
      <c r="L1717" s="88" t="n"/>
      <c r="M1717" s="88" t="n"/>
      <c r="N1717" s="89" t="n"/>
      <c r="O1717" s="88" t="n"/>
      <c r="P1717" s="88" t="n"/>
      <c r="Q1717" s="88" t="n"/>
      <c r="R1717" s="89" t="n"/>
      <c r="S1717" s="88" t="n"/>
      <c r="T1717" s="88" t="n"/>
      <c r="U1717" s="88" t="n"/>
      <c r="V1717" s="89" t="n"/>
      <c r="W1717" s="88" t="n"/>
      <c r="X1717" s="89" t="n"/>
      <c r="Y1717" s="88" t="n"/>
      <c r="Z1717" s="89" t="n"/>
      <c r="AB1717" s="30">
        <f>IF($B1717="","",(COUNTIF(C1717:E1717,"?*")&lt;N(INDEX(Setup!$L$6:$L$23,10)))+(COUNTIF(G1717:I1717,"?*")&lt;N(INDEX(Setup!$L$6:$L$23,10)))+(COUNTIF(K1717:M1717,"?*")&lt;N(INDEX(Setup!$L$6:$L$23,10)))+(COUNTIF(O1717:Q1717,"?*")&lt;N(INDEX(Setup!$L$6:$L$23,10)))+(COUNTIF(S1717:U1717,"?*")&lt;N(INDEX(Setup!$L$6:$L$23,10)))+((W1717="")*(INDEX(Setup!$M$6:$M$23,10)="Y"))+((Y1717="")*(INDEX(Setup!$M$6:$M$23,10)="Y")))</f>
        <v/>
      </c>
      <c r="AC1717" s="91">
        <f>IF($B1717="","",IF(AB1717=0,"✓ covered","⚠ "&amp;AB1717&amp;IF(AB1717=1," gap"," gaps")))</f>
        <v/>
      </c>
    </row>
    <row r="1718" ht="17" customHeight="1">
      <c r="A1718" t="n">
        <v>35</v>
      </c>
      <c r="B1718" s="24">
        <f>IF(Setup!$K$16="","",Setup!$K$16)</f>
        <v/>
      </c>
      <c r="C1718" s="88" t="n"/>
      <c r="D1718" s="88" t="n"/>
      <c r="E1718" s="88" t="n"/>
      <c r="F1718" s="89" t="n"/>
      <c r="G1718" s="88" t="n"/>
      <c r="H1718" s="88" t="n"/>
      <c r="I1718" s="88" t="n"/>
      <c r="J1718" s="89" t="n"/>
      <c r="K1718" s="88" t="n"/>
      <c r="L1718" s="88" t="n"/>
      <c r="M1718" s="88" t="n"/>
      <c r="N1718" s="89" t="n"/>
      <c r="O1718" s="88" t="n"/>
      <c r="P1718" s="88" t="n"/>
      <c r="Q1718" s="88" t="n"/>
      <c r="R1718" s="89" t="n"/>
      <c r="S1718" s="88" t="n"/>
      <c r="T1718" s="88" t="n"/>
      <c r="U1718" s="88" t="n"/>
      <c r="V1718" s="89" t="n"/>
      <c r="W1718" s="88" t="n"/>
      <c r="X1718" s="89" t="n"/>
      <c r="Y1718" s="88" t="n"/>
      <c r="Z1718" s="89" t="n"/>
      <c r="AB1718" s="25">
        <f>IF($B1718="","",(COUNTIF(C1718:E1718,"?*")&lt;N(INDEX(Setup!$L$6:$L$23,11)))+(COUNTIF(G1718:I1718,"?*")&lt;N(INDEX(Setup!$L$6:$L$23,11)))+(COUNTIF(K1718:M1718,"?*")&lt;N(INDEX(Setup!$L$6:$L$23,11)))+(COUNTIF(O1718:Q1718,"?*")&lt;N(INDEX(Setup!$L$6:$L$23,11)))+(COUNTIF(S1718:U1718,"?*")&lt;N(INDEX(Setup!$L$6:$L$23,11)))+((W1718="")*(INDEX(Setup!$M$6:$M$23,11)="Y"))+((Y1718="")*(INDEX(Setup!$M$6:$M$23,11)="Y")))</f>
        <v/>
      </c>
      <c r="AC1718" s="90">
        <f>IF($B1718="","",IF(AB1718=0,"✓ covered","⚠ "&amp;AB1718&amp;IF(AB1718=1," gap"," gaps")))</f>
        <v/>
      </c>
    </row>
    <row r="1719" ht="17" customHeight="1">
      <c r="A1719" t="n">
        <v>35</v>
      </c>
      <c r="B1719" s="29">
        <f>IF(Setup!$K$17="","",Setup!$K$17)</f>
        <v/>
      </c>
      <c r="C1719" s="88" t="n"/>
      <c r="D1719" s="88" t="n"/>
      <c r="E1719" s="88" t="n"/>
      <c r="F1719" s="89" t="n"/>
      <c r="G1719" s="88" t="n"/>
      <c r="H1719" s="88" t="n"/>
      <c r="I1719" s="88" t="n"/>
      <c r="J1719" s="89" t="n"/>
      <c r="K1719" s="88" t="n"/>
      <c r="L1719" s="88" t="n"/>
      <c r="M1719" s="88" t="n"/>
      <c r="N1719" s="89" t="n"/>
      <c r="O1719" s="88" t="n"/>
      <c r="P1719" s="88" t="n"/>
      <c r="Q1719" s="88" t="n"/>
      <c r="R1719" s="89" t="n"/>
      <c r="S1719" s="88" t="n"/>
      <c r="T1719" s="88" t="n"/>
      <c r="U1719" s="88" t="n"/>
      <c r="V1719" s="89" t="n"/>
      <c r="W1719" s="88" t="n"/>
      <c r="X1719" s="89" t="n"/>
      <c r="Y1719" s="88" t="n"/>
      <c r="Z1719" s="89" t="n"/>
      <c r="AB1719" s="30">
        <f>IF($B1719="","",(COUNTIF(C1719:E1719,"?*")&lt;N(INDEX(Setup!$L$6:$L$23,12)))+(COUNTIF(G1719:I1719,"?*")&lt;N(INDEX(Setup!$L$6:$L$23,12)))+(COUNTIF(K1719:M1719,"?*")&lt;N(INDEX(Setup!$L$6:$L$23,12)))+(COUNTIF(O1719:Q1719,"?*")&lt;N(INDEX(Setup!$L$6:$L$23,12)))+(COUNTIF(S1719:U1719,"?*")&lt;N(INDEX(Setup!$L$6:$L$23,12)))+((W1719="")*(INDEX(Setup!$M$6:$M$23,12)="Y"))+((Y1719="")*(INDEX(Setup!$M$6:$M$23,12)="Y")))</f>
        <v/>
      </c>
      <c r="AC1719" s="91">
        <f>IF($B1719="","",IF(AB1719=0,"✓ covered","⚠ "&amp;AB1719&amp;IF(AB1719=1," gap"," gaps")))</f>
        <v/>
      </c>
    </row>
    <row r="1720" ht="17" customHeight="1">
      <c r="A1720" t="n">
        <v>35</v>
      </c>
      <c r="B1720" s="24">
        <f>IF(Setup!$K$18="","",Setup!$K$18)</f>
        <v/>
      </c>
      <c r="C1720" s="88" t="n"/>
      <c r="D1720" s="88" t="n"/>
      <c r="E1720" s="88" t="n"/>
      <c r="F1720" s="89" t="n"/>
      <c r="G1720" s="88" t="n"/>
      <c r="H1720" s="88" t="n"/>
      <c r="I1720" s="88" t="n"/>
      <c r="J1720" s="89" t="n"/>
      <c r="K1720" s="88" t="n"/>
      <c r="L1720" s="88" t="n"/>
      <c r="M1720" s="88" t="n"/>
      <c r="N1720" s="89" t="n"/>
      <c r="O1720" s="88" t="n"/>
      <c r="P1720" s="88" t="n"/>
      <c r="Q1720" s="88" t="n"/>
      <c r="R1720" s="89" t="n"/>
      <c r="S1720" s="88" t="n"/>
      <c r="T1720" s="88" t="n"/>
      <c r="U1720" s="88" t="n"/>
      <c r="V1720" s="89" t="n"/>
      <c r="W1720" s="88" t="n"/>
      <c r="X1720" s="89" t="n"/>
      <c r="Y1720" s="88" t="n"/>
      <c r="Z1720" s="89" t="n"/>
      <c r="AB1720" s="25">
        <f>IF($B1720="","",(COUNTIF(C1720:E1720,"?*")&lt;N(INDEX(Setup!$L$6:$L$23,13)))+(COUNTIF(G1720:I1720,"?*")&lt;N(INDEX(Setup!$L$6:$L$23,13)))+(COUNTIF(K1720:M1720,"?*")&lt;N(INDEX(Setup!$L$6:$L$23,13)))+(COUNTIF(O1720:Q1720,"?*")&lt;N(INDEX(Setup!$L$6:$L$23,13)))+(COUNTIF(S1720:U1720,"?*")&lt;N(INDEX(Setup!$L$6:$L$23,13)))+((W1720="")*(INDEX(Setup!$M$6:$M$23,13)="Y"))+((Y1720="")*(INDEX(Setup!$M$6:$M$23,13)="Y")))</f>
        <v/>
      </c>
      <c r="AC1720" s="90">
        <f>IF($B1720="","",IF(AB1720=0,"✓ covered","⚠ "&amp;AB1720&amp;IF(AB1720=1," gap"," gaps")))</f>
        <v/>
      </c>
    </row>
    <row r="1721" ht="17" customHeight="1">
      <c r="A1721" t="n">
        <v>35</v>
      </c>
      <c r="B1721" s="29">
        <f>IF(Setup!$K$19="","",Setup!$K$19)</f>
        <v/>
      </c>
      <c r="C1721" s="88" t="n"/>
      <c r="D1721" s="88" t="n"/>
      <c r="E1721" s="88" t="n"/>
      <c r="F1721" s="89" t="n"/>
      <c r="G1721" s="88" t="n"/>
      <c r="H1721" s="88" t="n"/>
      <c r="I1721" s="88" t="n"/>
      <c r="J1721" s="89" t="n"/>
      <c r="K1721" s="88" t="n"/>
      <c r="L1721" s="88" t="n"/>
      <c r="M1721" s="88" t="n"/>
      <c r="N1721" s="89" t="n"/>
      <c r="O1721" s="88" t="n"/>
      <c r="P1721" s="88" t="n"/>
      <c r="Q1721" s="88" t="n"/>
      <c r="R1721" s="89" t="n"/>
      <c r="S1721" s="88" t="n"/>
      <c r="T1721" s="88" t="n"/>
      <c r="U1721" s="88" t="n"/>
      <c r="V1721" s="89" t="n"/>
      <c r="W1721" s="88" t="n"/>
      <c r="X1721" s="89" t="n"/>
      <c r="Y1721" s="88" t="n"/>
      <c r="Z1721" s="89" t="n"/>
      <c r="AB1721" s="30">
        <f>IF($B1721="","",(COUNTIF(C1721:E1721,"?*")&lt;N(INDEX(Setup!$L$6:$L$23,14)))+(COUNTIF(G1721:I1721,"?*")&lt;N(INDEX(Setup!$L$6:$L$23,14)))+(COUNTIF(K1721:M1721,"?*")&lt;N(INDEX(Setup!$L$6:$L$23,14)))+(COUNTIF(O1721:Q1721,"?*")&lt;N(INDEX(Setup!$L$6:$L$23,14)))+(COUNTIF(S1721:U1721,"?*")&lt;N(INDEX(Setup!$L$6:$L$23,14)))+((W1721="")*(INDEX(Setup!$M$6:$M$23,14)="Y"))+((Y1721="")*(INDEX(Setup!$M$6:$M$23,14)="Y")))</f>
        <v/>
      </c>
      <c r="AC1721" s="91">
        <f>IF($B1721="","",IF(AB1721=0,"✓ covered","⚠ "&amp;AB1721&amp;IF(AB1721=1," gap"," gaps")))</f>
        <v/>
      </c>
    </row>
    <row r="1722" ht="17" customHeight="1">
      <c r="A1722" t="n">
        <v>35</v>
      </c>
      <c r="B1722" s="24">
        <f>IF(Setup!$K$20="","",Setup!$K$20)</f>
        <v/>
      </c>
      <c r="C1722" s="88" t="n"/>
      <c r="D1722" s="88" t="n"/>
      <c r="E1722" s="88" t="n"/>
      <c r="F1722" s="89" t="n"/>
      <c r="G1722" s="88" t="n"/>
      <c r="H1722" s="88" t="n"/>
      <c r="I1722" s="88" t="n"/>
      <c r="J1722" s="89" t="n"/>
      <c r="K1722" s="88" t="n"/>
      <c r="L1722" s="88" t="n"/>
      <c r="M1722" s="88" t="n"/>
      <c r="N1722" s="89" t="n"/>
      <c r="O1722" s="88" t="n"/>
      <c r="P1722" s="88" t="n"/>
      <c r="Q1722" s="88" t="n"/>
      <c r="R1722" s="89" t="n"/>
      <c r="S1722" s="88" t="n"/>
      <c r="T1722" s="88" t="n"/>
      <c r="U1722" s="88" t="n"/>
      <c r="V1722" s="89" t="n"/>
      <c r="W1722" s="88" t="n"/>
      <c r="X1722" s="89" t="n"/>
      <c r="Y1722" s="88" t="n"/>
      <c r="Z1722" s="89" t="n"/>
      <c r="AB1722" s="25">
        <f>IF($B1722="","",(COUNTIF(C1722:E1722,"?*")&lt;N(INDEX(Setup!$L$6:$L$23,15)))+(COUNTIF(G1722:I1722,"?*")&lt;N(INDEX(Setup!$L$6:$L$23,15)))+(COUNTIF(K1722:M1722,"?*")&lt;N(INDEX(Setup!$L$6:$L$23,15)))+(COUNTIF(O1722:Q1722,"?*")&lt;N(INDEX(Setup!$L$6:$L$23,15)))+(COUNTIF(S1722:U1722,"?*")&lt;N(INDEX(Setup!$L$6:$L$23,15)))+((W1722="")*(INDEX(Setup!$M$6:$M$23,15)="Y"))+((Y1722="")*(INDEX(Setup!$M$6:$M$23,15)="Y")))</f>
        <v/>
      </c>
      <c r="AC1722" s="90">
        <f>IF($B1722="","",IF(AB1722=0,"✓ covered","⚠ "&amp;AB1722&amp;IF(AB1722=1," gap"," gaps")))</f>
        <v/>
      </c>
    </row>
    <row r="1723" ht="17" customHeight="1">
      <c r="A1723" t="n">
        <v>35</v>
      </c>
      <c r="B1723" s="29">
        <f>IF(Setup!$K$21="","",Setup!$K$21)</f>
        <v/>
      </c>
      <c r="C1723" s="88" t="n"/>
      <c r="D1723" s="88" t="n"/>
      <c r="E1723" s="88" t="n"/>
      <c r="F1723" s="89" t="n"/>
      <c r="G1723" s="88" t="n"/>
      <c r="H1723" s="88" t="n"/>
      <c r="I1723" s="88" t="n"/>
      <c r="J1723" s="89" t="n"/>
      <c r="K1723" s="88" t="n"/>
      <c r="L1723" s="88" t="n"/>
      <c r="M1723" s="88" t="n"/>
      <c r="N1723" s="89" t="n"/>
      <c r="O1723" s="88" t="n"/>
      <c r="P1723" s="88" t="n"/>
      <c r="Q1723" s="88" t="n"/>
      <c r="R1723" s="89" t="n"/>
      <c r="S1723" s="88" t="n"/>
      <c r="T1723" s="88" t="n"/>
      <c r="U1723" s="88" t="n"/>
      <c r="V1723" s="89" t="n"/>
      <c r="W1723" s="88" t="n"/>
      <c r="X1723" s="89" t="n"/>
      <c r="Y1723" s="88" t="n"/>
      <c r="Z1723" s="89" t="n"/>
      <c r="AB1723" s="30">
        <f>IF($B1723="","",(COUNTIF(C1723:E1723,"?*")&lt;N(INDEX(Setup!$L$6:$L$23,16)))+(COUNTIF(G1723:I1723,"?*")&lt;N(INDEX(Setup!$L$6:$L$23,16)))+(COUNTIF(K1723:M1723,"?*")&lt;N(INDEX(Setup!$L$6:$L$23,16)))+(COUNTIF(O1723:Q1723,"?*")&lt;N(INDEX(Setup!$L$6:$L$23,16)))+(COUNTIF(S1723:U1723,"?*")&lt;N(INDEX(Setup!$L$6:$L$23,16)))+((W1723="")*(INDEX(Setup!$M$6:$M$23,16)="Y"))+((Y1723="")*(INDEX(Setup!$M$6:$M$23,16)="Y")))</f>
        <v/>
      </c>
      <c r="AC1723" s="91">
        <f>IF($B1723="","",IF(AB1723=0,"✓ covered","⚠ "&amp;AB1723&amp;IF(AB1723=1," gap"," gaps")))</f>
        <v/>
      </c>
    </row>
    <row r="1724" ht="17" customHeight="1">
      <c r="A1724" t="n">
        <v>35</v>
      </c>
      <c r="B1724" s="24">
        <f>IF(Setup!$K$22="","",Setup!$K$22)</f>
        <v/>
      </c>
      <c r="C1724" s="88" t="n"/>
      <c r="D1724" s="88" t="n"/>
      <c r="E1724" s="88" t="n"/>
      <c r="F1724" s="89" t="n"/>
      <c r="G1724" s="88" t="n"/>
      <c r="H1724" s="88" t="n"/>
      <c r="I1724" s="88" t="n"/>
      <c r="J1724" s="89" t="n"/>
      <c r="K1724" s="88" t="n"/>
      <c r="L1724" s="88" t="n"/>
      <c r="M1724" s="88" t="n"/>
      <c r="N1724" s="89" t="n"/>
      <c r="O1724" s="88" t="n"/>
      <c r="P1724" s="88" t="n"/>
      <c r="Q1724" s="88" t="n"/>
      <c r="R1724" s="89" t="n"/>
      <c r="S1724" s="88" t="n"/>
      <c r="T1724" s="88" t="n"/>
      <c r="U1724" s="88" t="n"/>
      <c r="V1724" s="89" t="n"/>
      <c r="W1724" s="88" t="n"/>
      <c r="X1724" s="89" t="n"/>
      <c r="Y1724" s="88" t="n"/>
      <c r="Z1724" s="89" t="n"/>
      <c r="AB1724" s="25">
        <f>IF($B1724="","",(COUNTIF(C1724:E1724,"?*")&lt;N(INDEX(Setup!$L$6:$L$23,17)))+(COUNTIF(G1724:I1724,"?*")&lt;N(INDEX(Setup!$L$6:$L$23,17)))+(COUNTIF(K1724:M1724,"?*")&lt;N(INDEX(Setup!$L$6:$L$23,17)))+(COUNTIF(O1724:Q1724,"?*")&lt;N(INDEX(Setup!$L$6:$L$23,17)))+(COUNTIF(S1724:U1724,"?*")&lt;N(INDEX(Setup!$L$6:$L$23,17)))+((W1724="")*(INDEX(Setup!$M$6:$M$23,17)="Y"))+((Y1724="")*(INDEX(Setup!$M$6:$M$23,17)="Y")))</f>
        <v/>
      </c>
      <c r="AC1724" s="90">
        <f>IF($B1724="","",IF(AB1724=0,"✓ covered","⚠ "&amp;AB1724&amp;IF(AB1724=1," gap"," gaps")))</f>
        <v/>
      </c>
    </row>
    <row r="1725" ht="17" customHeight="1">
      <c r="A1725" t="n">
        <v>35</v>
      </c>
      <c r="B1725" s="29">
        <f>IF(Setup!$K$23="","",Setup!$K$23)</f>
        <v/>
      </c>
      <c r="C1725" s="88" t="n"/>
      <c r="D1725" s="88" t="n"/>
      <c r="E1725" s="88" t="n"/>
      <c r="F1725" s="89" t="n"/>
      <c r="G1725" s="88" t="n"/>
      <c r="H1725" s="88" t="n"/>
      <c r="I1725" s="88" t="n"/>
      <c r="J1725" s="89" t="n"/>
      <c r="K1725" s="88" t="n"/>
      <c r="L1725" s="88" t="n"/>
      <c r="M1725" s="88" t="n"/>
      <c r="N1725" s="89" t="n"/>
      <c r="O1725" s="88" t="n"/>
      <c r="P1725" s="88" t="n"/>
      <c r="Q1725" s="88" t="n"/>
      <c r="R1725" s="89" t="n"/>
      <c r="S1725" s="88" t="n"/>
      <c r="T1725" s="88" t="n"/>
      <c r="U1725" s="88" t="n"/>
      <c r="V1725" s="89" t="n"/>
      <c r="W1725" s="88" t="n"/>
      <c r="X1725" s="89" t="n"/>
      <c r="Y1725" s="88" t="n"/>
      <c r="Z1725" s="89" t="n"/>
      <c r="AB1725" s="30">
        <f>IF($B1725="","",(COUNTIF(C1725:E1725,"?*")&lt;N(INDEX(Setup!$L$6:$L$23,18)))+(COUNTIF(G1725:I1725,"?*")&lt;N(INDEX(Setup!$L$6:$L$23,18)))+(COUNTIF(K1725:M1725,"?*")&lt;N(INDEX(Setup!$L$6:$L$23,18)))+(COUNTIF(O1725:Q1725,"?*")&lt;N(INDEX(Setup!$L$6:$L$23,18)))+(COUNTIF(S1725:U1725,"?*")&lt;N(INDEX(Setup!$L$6:$L$23,18)))+((W1725="")*(INDEX(Setup!$M$6:$M$23,18)="Y"))+((Y1725="")*(INDEX(Setup!$M$6:$M$23,18)="Y")))</f>
        <v/>
      </c>
      <c r="AC1725" s="91">
        <f>IF($B1725="","",IF(AB1725=0,"✓ covered","⚠ "&amp;AB1725&amp;IF(AB1725=1," gap"," gaps")))</f>
        <v/>
      </c>
    </row>
    <row r="1726" ht="18" customHeight="1">
      <c r="A1726" t="n">
        <v>35</v>
      </c>
      <c r="B1726" s="78" t="inlineStr">
        <is>
          <t>TEAM AVAILABILITY</t>
        </is>
      </c>
      <c r="C1726" s="92" t="inlineStr">
        <is>
          <t>Mon</t>
        </is>
      </c>
      <c r="D1726" s="93" t="n"/>
      <c r="E1726" s="93" t="n"/>
      <c r="F1726" s="94" t="n"/>
      <c r="G1726" s="92" t="inlineStr">
        <is>
          <t>Tue</t>
        </is>
      </c>
      <c r="H1726" s="93" t="n"/>
      <c r="I1726" s="93" t="n"/>
      <c r="J1726" s="94" t="n"/>
      <c r="K1726" s="92" t="inlineStr">
        <is>
          <t>Wed</t>
        </is>
      </c>
      <c r="L1726" s="93" t="n"/>
      <c r="M1726" s="93" t="n"/>
      <c r="N1726" s="94" t="n"/>
      <c r="O1726" s="92" t="inlineStr">
        <is>
          <t>Thu</t>
        </is>
      </c>
      <c r="P1726" s="93" t="n"/>
      <c r="Q1726" s="93" t="n"/>
      <c r="R1726" s="94" t="n"/>
      <c r="S1726" s="92" t="inlineStr">
        <is>
          <t>Fri</t>
        </is>
      </c>
      <c r="T1726" s="93" t="n"/>
      <c r="U1726" s="93" t="n"/>
      <c r="V1726" s="94" t="n"/>
      <c r="W1726" s="95" t="inlineStr">
        <is>
          <t>Sat</t>
        </is>
      </c>
      <c r="X1726" s="96" t="n"/>
      <c r="Y1726" s="95" t="inlineStr">
        <is>
          <t>Sun</t>
        </is>
      </c>
      <c r="Z1726" s="96" t="n"/>
      <c r="AB1726" s="97" t="inlineStr">
        <is>
          <t>Days rostered</t>
        </is>
      </c>
      <c r="AC1726" s="97" t="inlineStr">
        <is>
          <t>Conflicts</t>
        </is>
      </c>
    </row>
    <row r="1727" ht="15" customHeight="1">
      <c r="A1727" t="n">
        <v>35</v>
      </c>
      <c r="B1727" s="35">
        <f>IF(Setup!$B$6="","",Setup!$B$6)</f>
        <v/>
      </c>
      <c r="C1727" s="98" t="n"/>
      <c r="D1727" s="99" t="n"/>
      <c r="E1727" s="99" t="n"/>
      <c r="F1727" s="100" t="n"/>
      <c r="G1727" s="98" t="n"/>
      <c r="H1727" s="99" t="n"/>
      <c r="I1727" s="99" t="n"/>
      <c r="J1727" s="100" t="n"/>
      <c r="K1727" s="98" t="n"/>
      <c r="L1727" s="99" t="n"/>
      <c r="M1727" s="99" t="n"/>
      <c r="N1727" s="100" t="n"/>
      <c r="O1727" s="98" t="n"/>
      <c r="P1727" s="99" t="n"/>
      <c r="Q1727" s="99" t="n"/>
      <c r="R1727" s="100" t="n"/>
      <c r="S1727" s="98" t="n"/>
      <c r="T1727" s="99" t="n"/>
      <c r="U1727" s="99" t="n"/>
      <c r="V1727" s="100" t="n"/>
      <c r="W1727" s="98" t="n"/>
      <c r="X1727" s="100" t="n"/>
      <c r="Y1727" s="98" t="n"/>
      <c r="Z1727" s="100" t="n"/>
      <c r="AB1727" s="101">
        <f>IF($B1727="","",(COUNTIF(C1708:E1725,$B1727)+COUNTIF(C1708:E1725,$B1727&amp;" ~*")&gt;0)+(COUNTIF(G1708:I1725,$B1727)+COUNTIF(G1708:I1725,$B1727&amp;" ~*")&gt;0)+(COUNTIF(K1708:M1725,$B1727)+COUNTIF(K1708:M1725,$B1727&amp;" ~*")&gt;0)+(COUNTIF(O1708:Q1725,$B1727)+COUNTIF(O1708:Q1725,$B1727&amp;" ~*")&gt;0)+(COUNTIF(S1708:U1725,$B1727)+COUNTIF(S1708:U1725,$B1727&amp;" ~*")&gt;0)+(COUNTIF(W1708:W1725,$B1727)+COUNTIF(W1708:W1725,$B1727&amp;" ~*")&gt;0)+(COUNTIF(Y1708:Y1725,$B1727)+COUNTIF(Y1708:Y1725,$B1727&amp;" ~*")&gt;0))</f>
        <v/>
      </c>
      <c r="AC1727" s="36">
        <f>IF($B1727="","",(IFERROR(INDEX(Setup!$G$33:$G$40,MATCH(C1727,Setup!$B$33:$B$40,0)),0)=1)*(COUNTIF(C1708:E1725,$B1727)+COUNTIF(C1708:E1725,$B1727&amp;" ~*")&gt;0)+(IFERROR(INDEX(Setup!$G$33:$G$40,MATCH(G1727,Setup!$B$33:$B$40,0)),0)=1)*(COUNTIF(G1708:I1725,$B1727)+COUNTIF(G1708:I1725,$B1727&amp;" ~*")&gt;0)+(IFERROR(INDEX(Setup!$G$33:$G$40,MATCH(K1727,Setup!$B$33:$B$40,0)),0)=1)*(COUNTIF(K1708:M1725,$B1727)+COUNTIF(K1708:M1725,$B1727&amp;" ~*")&gt;0)+(IFERROR(INDEX(Setup!$G$33:$G$40,MATCH(O1727,Setup!$B$33:$B$40,0)),0)=1)*(COUNTIF(O1708:Q1725,$B1727)+COUNTIF(O1708:Q1725,$B1727&amp;" ~*")&gt;0)+(IFERROR(INDEX(Setup!$G$33:$G$40,MATCH(S1727,Setup!$B$33:$B$40,0)),0)=1)*(COUNTIF(S1708:U1725,$B1727)+COUNTIF(S1708:U1725,$B1727&amp;" ~*")&gt;0)+(IFERROR(INDEX(Setup!$G$33:$G$40,MATCH(W1727,Setup!$B$33:$B$40,0)),0)=1)*(COUNTIF(W1708:W1725,$B1727)+COUNTIF(W1708:W1725,$B1727&amp;" ~*")&gt;0)+(IFERROR(INDEX(Setup!$G$33:$G$40,MATCH(Y1727,Setup!$B$33:$B$40,0)),0)=1)*(COUNTIF(Y1708:Y1725,$B1727)+COUNTIF(Y1708:Y1725,$B1727&amp;" ~*")&gt;0))</f>
        <v/>
      </c>
    </row>
    <row r="1728" ht="15" customHeight="1">
      <c r="A1728" t="n">
        <v>35</v>
      </c>
      <c r="B1728" s="37">
        <f>IF(Setup!$B$7="","",Setup!$B$7)</f>
        <v/>
      </c>
      <c r="C1728" s="102" t="n"/>
      <c r="D1728" s="103" t="n"/>
      <c r="E1728" s="103" t="n"/>
      <c r="F1728" s="104" t="n"/>
      <c r="G1728" s="102" t="n"/>
      <c r="H1728" s="103" t="n"/>
      <c r="I1728" s="103" t="n"/>
      <c r="J1728" s="104" t="n"/>
      <c r="K1728" s="102" t="n"/>
      <c r="L1728" s="103" t="n"/>
      <c r="M1728" s="103" t="n"/>
      <c r="N1728" s="104" t="n"/>
      <c r="O1728" s="102" t="n"/>
      <c r="P1728" s="103" t="n"/>
      <c r="Q1728" s="103" t="n"/>
      <c r="R1728" s="104" t="n"/>
      <c r="S1728" s="102" t="n"/>
      <c r="T1728" s="103" t="n"/>
      <c r="U1728" s="103" t="n"/>
      <c r="V1728" s="104" t="n"/>
      <c r="W1728" s="102" t="n"/>
      <c r="X1728" s="104" t="n"/>
      <c r="Y1728" s="102" t="n"/>
      <c r="Z1728" s="104" t="n"/>
      <c r="AB1728" s="105">
        <f>IF($B1728="","",(COUNTIF(C1708:E1725,$B1728)+COUNTIF(C1708:E1725,$B1728&amp;" ~*")&gt;0)+(COUNTIF(G1708:I1725,$B1728)+COUNTIF(G1708:I1725,$B1728&amp;" ~*")&gt;0)+(COUNTIF(K1708:M1725,$B1728)+COUNTIF(K1708:M1725,$B1728&amp;" ~*")&gt;0)+(COUNTIF(O1708:Q1725,$B1728)+COUNTIF(O1708:Q1725,$B1728&amp;" ~*")&gt;0)+(COUNTIF(S1708:U1725,$B1728)+COUNTIF(S1708:U1725,$B1728&amp;" ~*")&gt;0)+(COUNTIF(W1708:W1725,$B1728)+COUNTIF(W1708:W1725,$B1728&amp;" ~*")&gt;0)+(COUNTIF(Y1708:Y1725,$B1728)+COUNTIF(Y1708:Y1725,$B1728&amp;" ~*")&gt;0))</f>
        <v/>
      </c>
      <c r="AC1728" s="38">
        <f>IF($B1728="","",(IFERROR(INDEX(Setup!$G$33:$G$40,MATCH(C1728,Setup!$B$33:$B$40,0)),0)=1)*(COUNTIF(C1708:E1725,$B1728)+COUNTIF(C1708:E1725,$B1728&amp;" ~*")&gt;0)+(IFERROR(INDEX(Setup!$G$33:$G$40,MATCH(G1728,Setup!$B$33:$B$40,0)),0)=1)*(COUNTIF(G1708:I1725,$B1728)+COUNTIF(G1708:I1725,$B1728&amp;" ~*")&gt;0)+(IFERROR(INDEX(Setup!$G$33:$G$40,MATCH(K1728,Setup!$B$33:$B$40,0)),0)=1)*(COUNTIF(K1708:M1725,$B1728)+COUNTIF(K1708:M1725,$B1728&amp;" ~*")&gt;0)+(IFERROR(INDEX(Setup!$G$33:$G$40,MATCH(O1728,Setup!$B$33:$B$40,0)),0)=1)*(COUNTIF(O1708:Q1725,$B1728)+COUNTIF(O1708:Q1725,$B1728&amp;" ~*")&gt;0)+(IFERROR(INDEX(Setup!$G$33:$G$40,MATCH(S1728,Setup!$B$33:$B$40,0)),0)=1)*(COUNTIF(S1708:U1725,$B1728)+COUNTIF(S1708:U1725,$B1728&amp;" ~*")&gt;0)+(IFERROR(INDEX(Setup!$G$33:$G$40,MATCH(W1728,Setup!$B$33:$B$40,0)),0)=1)*(COUNTIF(W1708:W1725,$B1728)+COUNTIF(W1708:W1725,$B1728&amp;" ~*")&gt;0)+(IFERROR(INDEX(Setup!$G$33:$G$40,MATCH(Y1728,Setup!$B$33:$B$40,0)),0)=1)*(COUNTIF(Y1708:Y1725,$B1728)+COUNTIF(Y1708:Y1725,$B1728&amp;" ~*")&gt;0))</f>
        <v/>
      </c>
    </row>
    <row r="1729" ht="15" customHeight="1">
      <c r="A1729" t="n">
        <v>35</v>
      </c>
      <c r="B1729" s="35">
        <f>IF(Setup!$B$8="","",Setup!$B$8)</f>
        <v/>
      </c>
      <c r="C1729" s="98" t="n"/>
      <c r="D1729" s="99" t="n"/>
      <c r="E1729" s="99" t="n"/>
      <c r="F1729" s="100" t="n"/>
      <c r="G1729" s="98" t="n"/>
      <c r="H1729" s="99" t="n"/>
      <c r="I1729" s="99" t="n"/>
      <c r="J1729" s="100" t="n"/>
      <c r="K1729" s="98" t="n"/>
      <c r="L1729" s="99" t="n"/>
      <c r="M1729" s="99" t="n"/>
      <c r="N1729" s="100" t="n"/>
      <c r="O1729" s="98" t="n"/>
      <c r="P1729" s="99" t="n"/>
      <c r="Q1729" s="99" t="n"/>
      <c r="R1729" s="100" t="n"/>
      <c r="S1729" s="98" t="n"/>
      <c r="T1729" s="99" t="n"/>
      <c r="U1729" s="99" t="n"/>
      <c r="V1729" s="100" t="n"/>
      <c r="W1729" s="98" t="n"/>
      <c r="X1729" s="100" t="n"/>
      <c r="Y1729" s="98" t="n"/>
      <c r="Z1729" s="100" t="n"/>
      <c r="AB1729" s="101">
        <f>IF($B1729="","",(COUNTIF(C1708:E1725,$B1729)+COUNTIF(C1708:E1725,$B1729&amp;" ~*")&gt;0)+(COUNTIF(G1708:I1725,$B1729)+COUNTIF(G1708:I1725,$B1729&amp;" ~*")&gt;0)+(COUNTIF(K1708:M1725,$B1729)+COUNTIF(K1708:M1725,$B1729&amp;" ~*")&gt;0)+(COUNTIF(O1708:Q1725,$B1729)+COUNTIF(O1708:Q1725,$B1729&amp;" ~*")&gt;0)+(COUNTIF(S1708:U1725,$B1729)+COUNTIF(S1708:U1725,$B1729&amp;" ~*")&gt;0)+(COUNTIF(W1708:W1725,$B1729)+COUNTIF(W1708:W1725,$B1729&amp;" ~*")&gt;0)+(COUNTIF(Y1708:Y1725,$B1729)+COUNTIF(Y1708:Y1725,$B1729&amp;" ~*")&gt;0))</f>
        <v/>
      </c>
      <c r="AC1729" s="36">
        <f>IF($B1729="","",(IFERROR(INDEX(Setup!$G$33:$G$40,MATCH(C1729,Setup!$B$33:$B$40,0)),0)=1)*(COUNTIF(C1708:E1725,$B1729)+COUNTIF(C1708:E1725,$B1729&amp;" ~*")&gt;0)+(IFERROR(INDEX(Setup!$G$33:$G$40,MATCH(G1729,Setup!$B$33:$B$40,0)),0)=1)*(COUNTIF(G1708:I1725,$B1729)+COUNTIF(G1708:I1725,$B1729&amp;" ~*")&gt;0)+(IFERROR(INDEX(Setup!$G$33:$G$40,MATCH(K1729,Setup!$B$33:$B$40,0)),0)=1)*(COUNTIF(K1708:M1725,$B1729)+COUNTIF(K1708:M1725,$B1729&amp;" ~*")&gt;0)+(IFERROR(INDEX(Setup!$G$33:$G$40,MATCH(O1729,Setup!$B$33:$B$40,0)),0)=1)*(COUNTIF(O1708:Q1725,$B1729)+COUNTIF(O1708:Q1725,$B1729&amp;" ~*")&gt;0)+(IFERROR(INDEX(Setup!$G$33:$G$40,MATCH(S1729,Setup!$B$33:$B$40,0)),0)=1)*(COUNTIF(S1708:U1725,$B1729)+COUNTIF(S1708:U1725,$B1729&amp;" ~*")&gt;0)+(IFERROR(INDEX(Setup!$G$33:$G$40,MATCH(W1729,Setup!$B$33:$B$40,0)),0)=1)*(COUNTIF(W1708:W1725,$B1729)+COUNTIF(W1708:W1725,$B1729&amp;" ~*")&gt;0)+(IFERROR(INDEX(Setup!$G$33:$G$40,MATCH(Y1729,Setup!$B$33:$B$40,0)),0)=1)*(COUNTIF(Y1708:Y1725,$B1729)+COUNTIF(Y1708:Y1725,$B1729&amp;" ~*")&gt;0))</f>
        <v/>
      </c>
    </row>
    <row r="1730" ht="15" customHeight="1">
      <c r="A1730" t="n">
        <v>35</v>
      </c>
      <c r="B1730" s="37">
        <f>IF(Setup!$B$9="","",Setup!$B$9)</f>
        <v/>
      </c>
      <c r="C1730" s="102" t="n"/>
      <c r="D1730" s="103" t="n"/>
      <c r="E1730" s="103" t="n"/>
      <c r="F1730" s="104" t="n"/>
      <c r="G1730" s="102" t="n"/>
      <c r="H1730" s="103" t="n"/>
      <c r="I1730" s="103" t="n"/>
      <c r="J1730" s="104" t="n"/>
      <c r="K1730" s="102" t="n"/>
      <c r="L1730" s="103" t="n"/>
      <c r="M1730" s="103" t="n"/>
      <c r="N1730" s="104" t="n"/>
      <c r="O1730" s="102" t="n"/>
      <c r="P1730" s="103" t="n"/>
      <c r="Q1730" s="103" t="n"/>
      <c r="R1730" s="104" t="n"/>
      <c r="S1730" s="102" t="n"/>
      <c r="T1730" s="103" t="n"/>
      <c r="U1730" s="103" t="n"/>
      <c r="V1730" s="104" t="n"/>
      <c r="W1730" s="102" t="n"/>
      <c r="X1730" s="104" t="n"/>
      <c r="Y1730" s="102" t="n"/>
      <c r="Z1730" s="104" t="n"/>
      <c r="AB1730" s="105">
        <f>IF($B1730="","",(COUNTIF(C1708:E1725,$B1730)+COUNTIF(C1708:E1725,$B1730&amp;" ~*")&gt;0)+(COUNTIF(G1708:I1725,$B1730)+COUNTIF(G1708:I1725,$B1730&amp;" ~*")&gt;0)+(COUNTIF(K1708:M1725,$B1730)+COUNTIF(K1708:M1725,$B1730&amp;" ~*")&gt;0)+(COUNTIF(O1708:Q1725,$B1730)+COUNTIF(O1708:Q1725,$B1730&amp;" ~*")&gt;0)+(COUNTIF(S1708:U1725,$B1730)+COUNTIF(S1708:U1725,$B1730&amp;" ~*")&gt;0)+(COUNTIF(W1708:W1725,$B1730)+COUNTIF(W1708:W1725,$B1730&amp;" ~*")&gt;0)+(COUNTIF(Y1708:Y1725,$B1730)+COUNTIF(Y1708:Y1725,$B1730&amp;" ~*")&gt;0))</f>
        <v/>
      </c>
      <c r="AC1730" s="38">
        <f>IF($B1730="","",(IFERROR(INDEX(Setup!$G$33:$G$40,MATCH(C1730,Setup!$B$33:$B$40,0)),0)=1)*(COUNTIF(C1708:E1725,$B1730)+COUNTIF(C1708:E1725,$B1730&amp;" ~*")&gt;0)+(IFERROR(INDEX(Setup!$G$33:$G$40,MATCH(G1730,Setup!$B$33:$B$40,0)),0)=1)*(COUNTIF(G1708:I1725,$B1730)+COUNTIF(G1708:I1725,$B1730&amp;" ~*")&gt;0)+(IFERROR(INDEX(Setup!$G$33:$G$40,MATCH(K1730,Setup!$B$33:$B$40,0)),0)=1)*(COUNTIF(K1708:M1725,$B1730)+COUNTIF(K1708:M1725,$B1730&amp;" ~*")&gt;0)+(IFERROR(INDEX(Setup!$G$33:$G$40,MATCH(O1730,Setup!$B$33:$B$40,0)),0)=1)*(COUNTIF(O1708:Q1725,$B1730)+COUNTIF(O1708:Q1725,$B1730&amp;" ~*")&gt;0)+(IFERROR(INDEX(Setup!$G$33:$G$40,MATCH(S1730,Setup!$B$33:$B$40,0)),0)=1)*(COUNTIF(S1708:U1725,$B1730)+COUNTIF(S1708:U1725,$B1730&amp;" ~*")&gt;0)+(IFERROR(INDEX(Setup!$G$33:$G$40,MATCH(W1730,Setup!$B$33:$B$40,0)),0)=1)*(COUNTIF(W1708:W1725,$B1730)+COUNTIF(W1708:W1725,$B1730&amp;" ~*")&gt;0)+(IFERROR(INDEX(Setup!$G$33:$G$40,MATCH(Y1730,Setup!$B$33:$B$40,0)),0)=1)*(COUNTIF(Y1708:Y1725,$B1730)+COUNTIF(Y1708:Y1725,$B1730&amp;" ~*")&gt;0))</f>
        <v/>
      </c>
    </row>
    <row r="1731" ht="15" customHeight="1">
      <c r="A1731" t="n">
        <v>35</v>
      </c>
      <c r="B1731" s="35">
        <f>IF(Setup!$B$10="","",Setup!$B$10)</f>
        <v/>
      </c>
      <c r="C1731" s="98" t="n"/>
      <c r="D1731" s="99" t="n"/>
      <c r="E1731" s="99" t="n"/>
      <c r="F1731" s="100" t="n"/>
      <c r="G1731" s="98" t="n"/>
      <c r="H1731" s="99" t="n"/>
      <c r="I1731" s="99" t="n"/>
      <c r="J1731" s="100" t="n"/>
      <c r="K1731" s="98" t="n"/>
      <c r="L1731" s="99" t="n"/>
      <c r="M1731" s="99" t="n"/>
      <c r="N1731" s="100" t="n"/>
      <c r="O1731" s="98" t="n"/>
      <c r="P1731" s="99" t="n"/>
      <c r="Q1731" s="99" t="n"/>
      <c r="R1731" s="100" t="n"/>
      <c r="S1731" s="98" t="n"/>
      <c r="T1731" s="99" t="n"/>
      <c r="U1731" s="99" t="n"/>
      <c r="V1731" s="100" t="n"/>
      <c r="W1731" s="98" t="n"/>
      <c r="X1731" s="100" t="n"/>
      <c r="Y1731" s="98" t="n"/>
      <c r="Z1731" s="100" t="n"/>
      <c r="AB1731" s="101">
        <f>IF($B1731="","",(COUNTIF(C1708:E1725,$B1731)+COUNTIF(C1708:E1725,$B1731&amp;" ~*")&gt;0)+(COUNTIF(G1708:I1725,$B1731)+COUNTIF(G1708:I1725,$B1731&amp;" ~*")&gt;0)+(COUNTIF(K1708:M1725,$B1731)+COUNTIF(K1708:M1725,$B1731&amp;" ~*")&gt;0)+(COUNTIF(O1708:Q1725,$B1731)+COUNTIF(O1708:Q1725,$B1731&amp;" ~*")&gt;0)+(COUNTIF(S1708:U1725,$B1731)+COUNTIF(S1708:U1725,$B1731&amp;" ~*")&gt;0)+(COUNTIF(W1708:W1725,$B1731)+COUNTIF(W1708:W1725,$B1731&amp;" ~*")&gt;0)+(COUNTIF(Y1708:Y1725,$B1731)+COUNTIF(Y1708:Y1725,$B1731&amp;" ~*")&gt;0))</f>
        <v/>
      </c>
      <c r="AC1731" s="36">
        <f>IF($B1731="","",(IFERROR(INDEX(Setup!$G$33:$G$40,MATCH(C1731,Setup!$B$33:$B$40,0)),0)=1)*(COUNTIF(C1708:E1725,$B1731)+COUNTIF(C1708:E1725,$B1731&amp;" ~*")&gt;0)+(IFERROR(INDEX(Setup!$G$33:$G$40,MATCH(G1731,Setup!$B$33:$B$40,0)),0)=1)*(COUNTIF(G1708:I1725,$B1731)+COUNTIF(G1708:I1725,$B1731&amp;" ~*")&gt;0)+(IFERROR(INDEX(Setup!$G$33:$G$40,MATCH(K1731,Setup!$B$33:$B$40,0)),0)=1)*(COUNTIF(K1708:M1725,$B1731)+COUNTIF(K1708:M1725,$B1731&amp;" ~*")&gt;0)+(IFERROR(INDEX(Setup!$G$33:$G$40,MATCH(O1731,Setup!$B$33:$B$40,0)),0)=1)*(COUNTIF(O1708:Q1725,$B1731)+COUNTIF(O1708:Q1725,$B1731&amp;" ~*")&gt;0)+(IFERROR(INDEX(Setup!$G$33:$G$40,MATCH(S1731,Setup!$B$33:$B$40,0)),0)=1)*(COUNTIF(S1708:U1725,$B1731)+COUNTIF(S1708:U1725,$B1731&amp;" ~*")&gt;0)+(IFERROR(INDEX(Setup!$G$33:$G$40,MATCH(W1731,Setup!$B$33:$B$40,0)),0)=1)*(COUNTIF(W1708:W1725,$B1731)+COUNTIF(W1708:W1725,$B1731&amp;" ~*")&gt;0)+(IFERROR(INDEX(Setup!$G$33:$G$40,MATCH(Y1731,Setup!$B$33:$B$40,0)),0)=1)*(COUNTIF(Y1708:Y1725,$B1731)+COUNTIF(Y1708:Y1725,$B1731&amp;" ~*")&gt;0))</f>
        <v/>
      </c>
    </row>
    <row r="1732" ht="15" customHeight="1">
      <c r="A1732" t="n">
        <v>35</v>
      </c>
      <c r="B1732" s="37">
        <f>IF(Setup!$B$11="","",Setup!$B$11)</f>
        <v/>
      </c>
      <c r="C1732" s="102" t="n"/>
      <c r="D1732" s="103" t="n"/>
      <c r="E1732" s="103" t="n"/>
      <c r="F1732" s="104" t="n"/>
      <c r="G1732" s="102" t="n"/>
      <c r="H1732" s="103" t="n"/>
      <c r="I1732" s="103" t="n"/>
      <c r="J1732" s="104" t="n"/>
      <c r="K1732" s="102" t="n"/>
      <c r="L1732" s="103" t="n"/>
      <c r="M1732" s="103" t="n"/>
      <c r="N1732" s="104" t="n"/>
      <c r="O1732" s="102" t="n"/>
      <c r="P1732" s="103" t="n"/>
      <c r="Q1732" s="103" t="n"/>
      <c r="R1732" s="104" t="n"/>
      <c r="S1732" s="102" t="n"/>
      <c r="T1732" s="103" t="n"/>
      <c r="U1732" s="103" t="n"/>
      <c r="V1732" s="104" t="n"/>
      <c r="W1732" s="102" t="n"/>
      <c r="X1732" s="104" t="n"/>
      <c r="Y1732" s="102" t="n"/>
      <c r="Z1732" s="104" t="n"/>
      <c r="AB1732" s="105">
        <f>IF($B1732="","",(COUNTIF(C1708:E1725,$B1732)+COUNTIF(C1708:E1725,$B1732&amp;" ~*")&gt;0)+(COUNTIF(G1708:I1725,$B1732)+COUNTIF(G1708:I1725,$B1732&amp;" ~*")&gt;0)+(COUNTIF(K1708:M1725,$B1732)+COUNTIF(K1708:M1725,$B1732&amp;" ~*")&gt;0)+(COUNTIF(O1708:Q1725,$B1732)+COUNTIF(O1708:Q1725,$B1732&amp;" ~*")&gt;0)+(COUNTIF(S1708:U1725,$B1732)+COUNTIF(S1708:U1725,$B1732&amp;" ~*")&gt;0)+(COUNTIF(W1708:W1725,$B1732)+COUNTIF(W1708:W1725,$B1732&amp;" ~*")&gt;0)+(COUNTIF(Y1708:Y1725,$B1732)+COUNTIF(Y1708:Y1725,$B1732&amp;" ~*")&gt;0))</f>
        <v/>
      </c>
      <c r="AC1732" s="38">
        <f>IF($B1732="","",(IFERROR(INDEX(Setup!$G$33:$G$40,MATCH(C1732,Setup!$B$33:$B$40,0)),0)=1)*(COUNTIF(C1708:E1725,$B1732)+COUNTIF(C1708:E1725,$B1732&amp;" ~*")&gt;0)+(IFERROR(INDEX(Setup!$G$33:$G$40,MATCH(G1732,Setup!$B$33:$B$40,0)),0)=1)*(COUNTIF(G1708:I1725,$B1732)+COUNTIF(G1708:I1725,$B1732&amp;" ~*")&gt;0)+(IFERROR(INDEX(Setup!$G$33:$G$40,MATCH(K1732,Setup!$B$33:$B$40,0)),0)=1)*(COUNTIF(K1708:M1725,$B1732)+COUNTIF(K1708:M1725,$B1732&amp;" ~*")&gt;0)+(IFERROR(INDEX(Setup!$G$33:$G$40,MATCH(O1732,Setup!$B$33:$B$40,0)),0)=1)*(COUNTIF(O1708:Q1725,$B1732)+COUNTIF(O1708:Q1725,$B1732&amp;" ~*")&gt;0)+(IFERROR(INDEX(Setup!$G$33:$G$40,MATCH(S1732,Setup!$B$33:$B$40,0)),0)=1)*(COUNTIF(S1708:U1725,$B1732)+COUNTIF(S1708:U1725,$B1732&amp;" ~*")&gt;0)+(IFERROR(INDEX(Setup!$G$33:$G$40,MATCH(W1732,Setup!$B$33:$B$40,0)),0)=1)*(COUNTIF(W1708:W1725,$B1732)+COUNTIF(W1708:W1725,$B1732&amp;" ~*")&gt;0)+(IFERROR(INDEX(Setup!$G$33:$G$40,MATCH(Y1732,Setup!$B$33:$B$40,0)),0)=1)*(COUNTIF(Y1708:Y1725,$B1732)+COUNTIF(Y1708:Y1725,$B1732&amp;" ~*")&gt;0))</f>
        <v/>
      </c>
    </row>
    <row r="1733" ht="15" customHeight="1">
      <c r="A1733" t="n">
        <v>35</v>
      </c>
      <c r="B1733" s="35">
        <f>IF(Setup!$B$12="","",Setup!$B$12)</f>
        <v/>
      </c>
      <c r="C1733" s="98" t="n"/>
      <c r="D1733" s="99" t="n"/>
      <c r="E1733" s="99" t="n"/>
      <c r="F1733" s="100" t="n"/>
      <c r="G1733" s="98" t="n"/>
      <c r="H1733" s="99" t="n"/>
      <c r="I1733" s="99" t="n"/>
      <c r="J1733" s="100" t="n"/>
      <c r="K1733" s="98" t="inlineStr">
        <is>
          <t>AL</t>
        </is>
      </c>
      <c r="L1733" s="99" t="n"/>
      <c r="M1733" s="99" t="n"/>
      <c r="N1733" s="100" t="n"/>
      <c r="O1733" s="98" t="inlineStr">
        <is>
          <t>AL</t>
        </is>
      </c>
      <c r="P1733" s="99" t="n"/>
      <c r="Q1733" s="99" t="n"/>
      <c r="R1733" s="100" t="n"/>
      <c r="S1733" s="98" t="inlineStr">
        <is>
          <t>AL</t>
        </is>
      </c>
      <c r="T1733" s="99" t="n"/>
      <c r="U1733" s="99" t="n"/>
      <c r="V1733" s="100" t="n"/>
      <c r="W1733" s="98" t="n"/>
      <c r="X1733" s="100" t="n"/>
      <c r="Y1733" s="98" t="n"/>
      <c r="Z1733" s="100" t="n"/>
      <c r="AB1733" s="101">
        <f>IF($B1733="","",(COUNTIF(C1708:E1725,$B1733)+COUNTIF(C1708:E1725,$B1733&amp;" ~*")&gt;0)+(COUNTIF(G1708:I1725,$B1733)+COUNTIF(G1708:I1725,$B1733&amp;" ~*")&gt;0)+(COUNTIF(K1708:M1725,$B1733)+COUNTIF(K1708:M1725,$B1733&amp;" ~*")&gt;0)+(COUNTIF(O1708:Q1725,$B1733)+COUNTIF(O1708:Q1725,$B1733&amp;" ~*")&gt;0)+(COUNTIF(S1708:U1725,$B1733)+COUNTIF(S1708:U1725,$B1733&amp;" ~*")&gt;0)+(COUNTIF(W1708:W1725,$B1733)+COUNTIF(W1708:W1725,$B1733&amp;" ~*")&gt;0)+(COUNTIF(Y1708:Y1725,$B1733)+COUNTIF(Y1708:Y1725,$B1733&amp;" ~*")&gt;0))</f>
        <v/>
      </c>
      <c r="AC1733" s="36">
        <f>IF($B1733="","",(IFERROR(INDEX(Setup!$G$33:$G$40,MATCH(C1733,Setup!$B$33:$B$40,0)),0)=1)*(COUNTIF(C1708:E1725,$B1733)+COUNTIF(C1708:E1725,$B1733&amp;" ~*")&gt;0)+(IFERROR(INDEX(Setup!$G$33:$G$40,MATCH(G1733,Setup!$B$33:$B$40,0)),0)=1)*(COUNTIF(G1708:I1725,$B1733)+COUNTIF(G1708:I1725,$B1733&amp;" ~*")&gt;0)+(IFERROR(INDEX(Setup!$G$33:$G$40,MATCH(K1733,Setup!$B$33:$B$40,0)),0)=1)*(COUNTIF(K1708:M1725,$B1733)+COUNTIF(K1708:M1725,$B1733&amp;" ~*")&gt;0)+(IFERROR(INDEX(Setup!$G$33:$G$40,MATCH(O1733,Setup!$B$33:$B$40,0)),0)=1)*(COUNTIF(O1708:Q1725,$B1733)+COUNTIF(O1708:Q1725,$B1733&amp;" ~*")&gt;0)+(IFERROR(INDEX(Setup!$G$33:$G$40,MATCH(S1733,Setup!$B$33:$B$40,0)),0)=1)*(COUNTIF(S1708:U1725,$B1733)+COUNTIF(S1708:U1725,$B1733&amp;" ~*")&gt;0)+(IFERROR(INDEX(Setup!$G$33:$G$40,MATCH(W1733,Setup!$B$33:$B$40,0)),0)=1)*(COUNTIF(W1708:W1725,$B1733)+COUNTIF(W1708:W1725,$B1733&amp;" ~*")&gt;0)+(IFERROR(INDEX(Setup!$G$33:$G$40,MATCH(Y1733,Setup!$B$33:$B$40,0)),0)=1)*(COUNTIF(Y1708:Y1725,$B1733)+COUNTIF(Y1708:Y1725,$B1733&amp;" ~*")&gt;0))</f>
        <v/>
      </c>
    </row>
    <row r="1734" ht="15" customHeight="1">
      <c r="A1734" t="n">
        <v>35</v>
      </c>
      <c r="B1734" s="37">
        <f>IF(Setup!$B$13="","",Setup!$B$13)</f>
        <v/>
      </c>
      <c r="C1734" s="102" t="n"/>
      <c r="D1734" s="103" t="n"/>
      <c r="E1734" s="103" t="n"/>
      <c r="F1734" s="104" t="n"/>
      <c r="G1734" s="102" t="n"/>
      <c r="H1734" s="103" t="n"/>
      <c r="I1734" s="103" t="n"/>
      <c r="J1734" s="104" t="n"/>
      <c r="K1734" s="102" t="n"/>
      <c r="L1734" s="103" t="n"/>
      <c r="M1734" s="103" t="n"/>
      <c r="N1734" s="104" t="n"/>
      <c r="O1734" s="102" t="n"/>
      <c r="P1734" s="103" t="n"/>
      <c r="Q1734" s="103" t="n"/>
      <c r="R1734" s="104" t="n"/>
      <c r="S1734" s="102" t="n"/>
      <c r="T1734" s="103" t="n"/>
      <c r="U1734" s="103" t="n"/>
      <c r="V1734" s="104" t="n"/>
      <c r="W1734" s="102" t="n"/>
      <c r="X1734" s="104" t="n"/>
      <c r="Y1734" s="102" t="n"/>
      <c r="Z1734" s="104" t="n"/>
      <c r="AB1734" s="105">
        <f>IF($B1734="","",(COUNTIF(C1708:E1725,$B1734)+COUNTIF(C1708:E1725,$B1734&amp;" ~*")&gt;0)+(COUNTIF(G1708:I1725,$B1734)+COUNTIF(G1708:I1725,$B1734&amp;" ~*")&gt;0)+(COUNTIF(K1708:M1725,$B1734)+COUNTIF(K1708:M1725,$B1734&amp;" ~*")&gt;0)+(COUNTIF(O1708:Q1725,$B1734)+COUNTIF(O1708:Q1725,$B1734&amp;" ~*")&gt;0)+(COUNTIF(S1708:U1725,$B1734)+COUNTIF(S1708:U1725,$B1734&amp;" ~*")&gt;0)+(COUNTIF(W1708:W1725,$B1734)+COUNTIF(W1708:W1725,$B1734&amp;" ~*")&gt;0)+(COUNTIF(Y1708:Y1725,$B1734)+COUNTIF(Y1708:Y1725,$B1734&amp;" ~*")&gt;0))</f>
        <v/>
      </c>
      <c r="AC1734" s="38">
        <f>IF($B1734="","",(IFERROR(INDEX(Setup!$G$33:$G$40,MATCH(C1734,Setup!$B$33:$B$40,0)),0)=1)*(COUNTIF(C1708:E1725,$B1734)+COUNTIF(C1708:E1725,$B1734&amp;" ~*")&gt;0)+(IFERROR(INDEX(Setup!$G$33:$G$40,MATCH(G1734,Setup!$B$33:$B$40,0)),0)=1)*(COUNTIF(G1708:I1725,$B1734)+COUNTIF(G1708:I1725,$B1734&amp;" ~*")&gt;0)+(IFERROR(INDEX(Setup!$G$33:$G$40,MATCH(K1734,Setup!$B$33:$B$40,0)),0)=1)*(COUNTIF(K1708:M1725,$B1734)+COUNTIF(K1708:M1725,$B1734&amp;" ~*")&gt;0)+(IFERROR(INDEX(Setup!$G$33:$G$40,MATCH(O1734,Setup!$B$33:$B$40,0)),0)=1)*(COUNTIF(O1708:Q1725,$B1734)+COUNTIF(O1708:Q1725,$B1734&amp;" ~*")&gt;0)+(IFERROR(INDEX(Setup!$G$33:$G$40,MATCH(S1734,Setup!$B$33:$B$40,0)),0)=1)*(COUNTIF(S1708:U1725,$B1734)+COUNTIF(S1708:U1725,$B1734&amp;" ~*")&gt;0)+(IFERROR(INDEX(Setup!$G$33:$G$40,MATCH(W1734,Setup!$B$33:$B$40,0)),0)=1)*(COUNTIF(W1708:W1725,$B1734)+COUNTIF(W1708:W1725,$B1734&amp;" ~*")&gt;0)+(IFERROR(INDEX(Setup!$G$33:$G$40,MATCH(Y1734,Setup!$B$33:$B$40,0)),0)=1)*(COUNTIF(Y1708:Y1725,$B1734)+COUNTIF(Y1708:Y1725,$B1734&amp;" ~*")&gt;0))</f>
        <v/>
      </c>
    </row>
    <row r="1735" ht="15" customHeight="1">
      <c r="A1735" t="n">
        <v>35</v>
      </c>
      <c r="B1735" s="35">
        <f>IF(Setup!$B$14="","",Setup!$B$14)</f>
        <v/>
      </c>
      <c r="C1735" s="98" t="n"/>
      <c r="D1735" s="99" t="n"/>
      <c r="E1735" s="99" t="n"/>
      <c r="F1735" s="100" t="n"/>
      <c r="G1735" s="98" t="n"/>
      <c r="H1735" s="99" t="n"/>
      <c r="I1735" s="99" t="n"/>
      <c r="J1735" s="100" t="n"/>
      <c r="K1735" s="98" t="n"/>
      <c r="L1735" s="99" t="n"/>
      <c r="M1735" s="99" t="n"/>
      <c r="N1735" s="100" t="n"/>
      <c r="O1735" s="98" t="n"/>
      <c r="P1735" s="99" t="n"/>
      <c r="Q1735" s="99" t="n"/>
      <c r="R1735" s="100" t="n"/>
      <c r="S1735" s="98" t="n"/>
      <c r="T1735" s="99" t="n"/>
      <c r="U1735" s="99" t="n"/>
      <c r="V1735" s="100" t="n"/>
      <c r="W1735" s="98" t="n"/>
      <c r="X1735" s="100" t="n"/>
      <c r="Y1735" s="98" t="n"/>
      <c r="Z1735" s="100" t="n"/>
      <c r="AB1735" s="101">
        <f>IF($B1735="","",(COUNTIF(C1708:E1725,$B1735)+COUNTIF(C1708:E1725,$B1735&amp;" ~*")&gt;0)+(COUNTIF(G1708:I1725,$B1735)+COUNTIF(G1708:I1725,$B1735&amp;" ~*")&gt;0)+(COUNTIF(K1708:M1725,$B1735)+COUNTIF(K1708:M1725,$B1735&amp;" ~*")&gt;0)+(COUNTIF(O1708:Q1725,$B1735)+COUNTIF(O1708:Q1725,$B1735&amp;" ~*")&gt;0)+(COUNTIF(S1708:U1725,$B1735)+COUNTIF(S1708:U1725,$B1735&amp;" ~*")&gt;0)+(COUNTIF(W1708:W1725,$B1735)+COUNTIF(W1708:W1725,$B1735&amp;" ~*")&gt;0)+(COUNTIF(Y1708:Y1725,$B1735)+COUNTIF(Y1708:Y1725,$B1735&amp;" ~*")&gt;0))</f>
        <v/>
      </c>
      <c r="AC1735" s="36">
        <f>IF($B1735="","",(IFERROR(INDEX(Setup!$G$33:$G$40,MATCH(C1735,Setup!$B$33:$B$40,0)),0)=1)*(COUNTIF(C1708:E1725,$B1735)+COUNTIF(C1708:E1725,$B1735&amp;" ~*")&gt;0)+(IFERROR(INDEX(Setup!$G$33:$G$40,MATCH(G1735,Setup!$B$33:$B$40,0)),0)=1)*(COUNTIF(G1708:I1725,$B1735)+COUNTIF(G1708:I1725,$B1735&amp;" ~*")&gt;0)+(IFERROR(INDEX(Setup!$G$33:$G$40,MATCH(K1735,Setup!$B$33:$B$40,0)),0)=1)*(COUNTIF(K1708:M1725,$B1735)+COUNTIF(K1708:M1725,$B1735&amp;" ~*")&gt;0)+(IFERROR(INDEX(Setup!$G$33:$G$40,MATCH(O1735,Setup!$B$33:$B$40,0)),0)=1)*(COUNTIF(O1708:Q1725,$B1735)+COUNTIF(O1708:Q1725,$B1735&amp;" ~*")&gt;0)+(IFERROR(INDEX(Setup!$G$33:$G$40,MATCH(S1735,Setup!$B$33:$B$40,0)),0)=1)*(COUNTIF(S1708:U1725,$B1735)+COUNTIF(S1708:U1725,$B1735&amp;" ~*")&gt;0)+(IFERROR(INDEX(Setup!$G$33:$G$40,MATCH(W1735,Setup!$B$33:$B$40,0)),0)=1)*(COUNTIF(W1708:W1725,$B1735)+COUNTIF(W1708:W1725,$B1735&amp;" ~*")&gt;0)+(IFERROR(INDEX(Setup!$G$33:$G$40,MATCH(Y1735,Setup!$B$33:$B$40,0)),0)=1)*(COUNTIF(Y1708:Y1725,$B1735)+COUNTIF(Y1708:Y1725,$B1735&amp;" ~*")&gt;0))</f>
        <v/>
      </c>
    </row>
    <row r="1736" ht="15" customHeight="1">
      <c r="A1736" t="n">
        <v>35</v>
      </c>
      <c r="B1736" s="37">
        <f>IF(Setup!$B$15="","",Setup!$B$15)</f>
        <v/>
      </c>
      <c r="C1736" s="102" t="n"/>
      <c r="D1736" s="103" t="n"/>
      <c r="E1736" s="103" t="n"/>
      <c r="F1736" s="104" t="n"/>
      <c r="G1736" s="102" t="n"/>
      <c r="H1736" s="103" t="n"/>
      <c r="I1736" s="103" t="n"/>
      <c r="J1736" s="104" t="n"/>
      <c r="K1736" s="102" t="n"/>
      <c r="L1736" s="103" t="n"/>
      <c r="M1736" s="103" t="n"/>
      <c r="N1736" s="104" t="n"/>
      <c r="O1736" s="102" t="n"/>
      <c r="P1736" s="103" t="n"/>
      <c r="Q1736" s="103" t="n"/>
      <c r="R1736" s="104" t="n"/>
      <c r="S1736" s="102" t="n"/>
      <c r="T1736" s="103" t="n"/>
      <c r="U1736" s="103" t="n"/>
      <c r="V1736" s="104" t="n"/>
      <c r="W1736" s="102" t="n"/>
      <c r="X1736" s="104" t="n"/>
      <c r="Y1736" s="102" t="n"/>
      <c r="Z1736" s="104" t="n"/>
      <c r="AB1736" s="105">
        <f>IF($B1736="","",(COUNTIF(C1708:E1725,$B1736)+COUNTIF(C1708:E1725,$B1736&amp;" ~*")&gt;0)+(COUNTIF(G1708:I1725,$B1736)+COUNTIF(G1708:I1725,$B1736&amp;" ~*")&gt;0)+(COUNTIF(K1708:M1725,$B1736)+COUNTIF(K1708:M1725,$B1736&amp;" ~*")&gt;0)+(COUNTIF(O1708:Q1725,$B1736)+COUNTIF(O1708:Q1725,$B1736&amp;" ~*")&gt;0)+(COUNTIF(S1708:U1725,$B1736)+COUNTIF(S1708:U1725,$B1736&amp;" ~*")&gt;0)+(COUNTIF(W1708:W1725,$B1736)+COUNTIF(W1708:W1725,$B1736&amp;" ~*")&gt;0)+(COUNTIF(Y1708:Y1725,$B1736)+COUNTIF(Y1708:Y1725,$B1736&amp;" ~*")&gt;0))</f>
        <v/>
      </c>
      <c r="AC1736" s="38">
        <f>IF($B1736="","",(IFERROR(INDEX(Setup!$G$33:$G$40,MATCH(C1736,Setup!$B$33:$B$40,0)),0)=1)*(COUNTIF(C1708:E1725,$B1736)+COUNTIF(C1708:E1725,$B1736&amp;" ~*")&gt;0)+(IFERROR(INDEX(Setup!$G$33:$G$40,MATCH(G1736,Setup!$B$33:$B$40,0)),0)=1)*(COUNTIF(G1708:I1725,$B1736)+COUNTIF(G1708:I1725,$B1736&amp;" ~*")&gt;0)+(IFERROR(INDEX(Setup!$G$33:$G$40,MATCH(K1736,Setup!$B$33:$B$40,0)),0)=1)*(COUNTIF(K1708:M1725,$B1736)+COUNTIF(K1708:M1725,$B1736&amp;" ~*")&gt;0)+(IFERROR(INDEX(Setup!$G$33:$G$40,MATCH(O1736,Setup!$B$33:$B$40,0)),0)=1)*(COUNTIF(O1708:Q1725,$B1736)+COUNTIF(O1708:Q1725,$B1736&amp;" ~*")&gt;0)+(IFERROR(INDEX(Setup!$G$33:$G$40,MATCH(S1736,Setup!$B$33:$B$40,0)),0)=1)*(COUNTIF(S1708:U1725,$B1736)+COUNTIF(S1708:U1725,$B1736&amp;" ~*")&gt;0)+(IFERROR(INDEX(Setup!$G$33:$G$40,MATCH(W1736,Setup!$B$33:$B$40,0)),0)=1)*(COUNTIF(W1708:W1725,$B1736)+COUNTIF(W1708:W1725,$B1736&amp;" ~*")&gt;0)+(IFERROR(INDEX(Setup!$G$33:$G$40,MATCH(Y1736,Setup!$B$33:$B$40,0)),0)=1)*(COUNTIF(Y1708:Y1725,$B1736)+COUNTIF(Y1708:Y1725,$B1736&amp;" ~*")&gt;0))</f>
        <v/>
      </c>
    </row>
    <row r="1737" ht="15" customHeight="1">
      <c r="A1737" t="n">
        <v>35</v>
      </c>
      <c r="B1737" s="35">
        <f>IF(Setup!$B$16="","",Setup!$B$16)</f>
        <v/>
      </c>
      <c r="C1737" s="98" t="n"/>
      <c r="D1737" s="99" t="n"/>
      <c r="E1737" s="99" t="n"/>
      <c r="F1737" s="100" t="n"/>
      <c r="G1737" s="98" t="n"/>
      <c r="H1737" s="99" t="n"/>
      <c r="I1737" s="99" t="n"/>
      <c r="J1737" s="100" t="n"/>
      <c r="K1737" s="98" t="n"/>
      <c r="L1737" s="99" t="n"/>
      <c r="M1737" s="99" t="n"/>
      <c r="N1737" s="100" t="n"/>
      <c r="O1737" s="98" t="n"/>
      <c r="P1737" s="99" t="n"/>
      <c r="Q1737" s="99" t="n"/>
      <c r="R1737" s="100" t="n"/>
      <c r="S1737" s="98" t="n"/>
      <c r="T1737" s="99" t="n"/>
      <c r="U1737" s="99" t="n"/>
      <c r="V1737" s="100" t="n"/>
      <c r="W1737" s="98" t="n"/>
      <c r="X1737" s="100" t="n"/>
      <c r="Y1737" s="98" t="n"/>
      <c r="Z1737" s="100" t="n"/>
      <c r="AB1737" s="101">
        <f>IF($B1737="","",(COUNTIF(C1708:E1725,$B1737)+COUNTIF(C1708:E1725,$B1737&amp;" ~*")&gt;0)+(COUNTIF(G1708:I1725,$B1737)+COUNTIF(G1708:I1725,$B1737&amp;" ~*")&gt;0)+(COUNTIF(K1708:M1725,$B1737)+COUNTIF(K1708:M1725,$B1737&amp;" ~*")&gt;0)+(COUNTIF(O1708:Q1725,$B1737)+COUNTIF(O1708:Q1725,$B1737&amp;" ~*")&gt;0)+(COUNTIF(S1708:U1725,$B1737)+COUNTIF(S1708:U1725,$B1737&amp;" ~*")&gt;0)+(COUNTIF(W1708:W1725,$B1737)+COUNTIF(W1708:W1725,$B1737&amp;" ~*")&gt;0)+(COUNTIF(Y1708:Y1725,$B1737)+COUNTIF(Y1708:Y1725,$B1737&amp;" ~*")&gt;0))</f>
        <v/>
      </c>
      <c r="AC1737" s="36">
        <f>IF($B1737="","",(IFERROR(INDEX(Setup!$G$33:$G$40,MATCH(C1737,Setup!$B$33:$B$40,0)),0)=1)*(COUNTIF(C1708:E1725,$B1737)+COUNTIF(C1708:E1725,$B1737&amp;" ~*")&gt;0)+(IFERROR(INDEX(Setup!$G$33:$G$40,MATCH(G1737,Setup!$B$33:$B$40,0)),0)=1)*(COUNTIF(G1708:I1725,$B1737)+COUNTIF(G1708:I1725,$B1737&amp;" ~*")&gt;0)+(IFERROR(INDEX(Setup!$G$33:$G$40,MATCH(K1737,Setup!$B$33:$B$40,0)),0)=1)*(COUNTIF(K1708:M1725,$B1737)+COUNTIF(K1708:M1725,$B1737&amp;" ~*")&gt;0)+(IFERROR(INDEX(Setup!$G$33:$G$40,MATCH(O1737,Setup!$B$33:$B$40,0)),0)=1)*(COUNTIF(O1708:Q1725,$B1737)+COUNTIF(O1708:Q1725,$B1737&amp;" ~*")&gt;0)+(IFERROR(INDEX(Setup!$G$33:$G$40,MATCH(S1737,Setup!$B$33:$B$40,0)),0)=1)*(COUNTIF(S1708:U1725,$B1737)+COUNTIF(S1708:U1725,$B1737&amp;" ~*")&gt;0)+(IFERROR(INDEX(Setup!$G$33:$G$40,MATCH(W1737,Setup!$B$33:$B$40,0)),0)=1)*(COUNTIF(W1708:W1725,$B1737)+COUNTIF(W1708:W1725,$B1737&amp;" ~*")&gt;0)+(IFERROR(INDEX(Setup!$G$33:$G$40,MATCH(Y1737,Setup!$B$33:$B$40,0)),0)=1)*(COUNTIF(Y1708:Y1725,$B1737)+COUNTIF(Y1708:Y1725,$B1737&amp;" ~*")&gt;0))</f>
        <v/>
      </c>
    </row>
    <row r="1738" ht="15" customHeight="1">
      <c r="A1738" t="n">
        <v>35</v>
      </c>
      <c r="B1738" s="37">
        <f>IF(Setup!$B$17="","",Setup!$B$17)</f>
        <v/>
      </c>
      <c r="C1738" s="102" t="n"/>
      <c r="D1738" s="103" t="n"/>
      <c r="E1738" s="103" t="n"/>
      <c r="F1738" s="104" t="n"/>
      <c r="G1738" s="102" t="n"/>
      <c r="H1738" s="103" t="n"/>
      <c r="I1738" s="103" t="n"/>
      <c r="J1738" s="104" t="n"/>
      <c r="K1738" s="102" t="n"/>
      <c r="L1738" s="103" t="n"/>
      <c r="M1738" s="103" t="n"/>
      <c r="N1738" s="104" t="n"/>
      <c r="O1738" s="102" t="n"/>
      <c r="P1738" s="103" t="n"/>
      <c r="Q1738" s="103" t="n"/>
      <c r="R1738" s="104" t="n"/>
      <c r="S1738" s="102" t="n"/>
      <c r="T1738" s="103" t="n"/>
      <c r="U1738" s="103" t="n"/>
      <c r="V1738" s="104" t="n"/>
      <c r="W1738" s="102" t="n"/>
      <c r="X1738" s="104" t="n"/>
      <c r="Y1738" s="102" t="n"/>
      <c r="Z1738" s="104" t="n"/>
      <c r="AB1738" s="105">
        <f>IF($B1738="","",(COUNTIF(C1708:E1725,$B1738)+COUNTIF(C1708:E1725,$B1738&amp;" ~*")&gt;0)+(COUNTIF(G1708:I1725,$B1738)+COUNTIF(G1708:I1725,$B1738&amp;" ~*")&gt;0)+(COUNTIF(K1708:M1725,$B1738)+COUNTIF(K1708:M1725,$B1738&amp;" ~*")&gt;0)+(COUNTIF(O1708:Q1725,$B1738)+COUNTIF(O1708:Q1725,$B1738&amp;" ~*")&gt;0)+(COUNTIF(S1708:U1725,$B1738)+COUNTIF(S1708:U1725,$B1738&amp;" ~*")&gt;0)+(COUNTIF(W1708:W1725,$B1738)+COUNTIF(W1708:W1725,$B1738&amp;" ~*")&gt;0)+(COUNTIF(Y1708:Y1725,$B1738)+COUNTIF(Y1708:Y1725,$B1738&amp;" ~*")&gt;0))</f>
        <v/>
      </c>
      <c r="AC1738" s="38">
        <f>IF($B1738="","",(IFERROR(INDEX(Setup!$G$33:$G$40,MATCH(C1738,Setup!$B$33:$B$40,0)),0)=1)*(COUNTIF(C1708:E1725,$B1738)+COUNTIF(C1708:E1725,$B1738&amp;" ~*")&gt;0)+(IFERROR(INDEX(Setup!$G$33:$G$40,MATCH(G1738,Setup!$B$33:$B$40,0)),0)=1)*(COUNTIF(G1708:I1725,$B1738)+COUNTIF(G1708:I1725,$B1738&amp;" ~*")&gt;0)+(IFERROR(INDEX(Setup!$G$33:$G$40,MATCH(K1738,Setup!$B$33:$B$40,0)),0)=1)*(COUNTIF(K1708:M1725,$B1738)+COUNTIF(K1708:M1725,$B1738&amp;" ~*")&gt;0)+(IFERROR(INDEX(Setup!$G$33:$G$40,MATCH(O1738,Setup!$B$33:$B$40,0)),0)=1)*(COUNTIF(O1708:Q1725,$B1738)+COUNTIF(O1708:Q1725,$B1738&amp;" ~*")&gt;0)+(IFERROR(INDEX(Setup!$G$33:$G$40,MATCH(S1738,Setup!$B$33:$B$40,0)),0)=1)*(COUNTIF(S1708:U1725,$B1738)+COUNTIF(S1708:U1725,$B1738&amp;" ~*")&gt;0)+(IFERROR(INDEX(Setup!$G$33:$G$40,MATCH(W1738,Setup!$B$33:$B$40,0)),0)=1)*(COUNTIF(W1708:W1725,$B1738)+COUNTIF(W1708:W1725,$B1738&amp;" ~*")&gt;0)+(IFERROR(INDEX(Setup!$G$33:$G$40,MATCH(Y1738,Setup!$B$33:$B$40,0)),0)=1)*(COUNTIF(Y1708:Y1725,$B1738)+COUNTIF(Y1708:Y1725,$B1738&amp;" ~*")&gt;0))</f>
        <v/>
      </c>
    </row>
    <row r="1739" ht="15" customHeight="1">
      <c r="A1739" t="n">
        <v>35</v>
      </c>
      <c r="B1739" s="35">
        <f>IF(Setup!$B$18="","",Setup!$B$18)</f>
        <v/>
      </c>
      <c r="C1739" s="98" t="n"/>
      <c r="D1739" s="99" t="n"/>
      <c r="E1739" s="99" t="n"/>
      <c r="F1739" s="100" t="n"/>
      <c r="G1739" s="98" t="n"/>
      <c r="H1739" s="99" t="n"/>
      <c r="I1739" s="99" t="n"/>
      <c r="J1739" s="100" t="n"/>
      <c r="K1739" s="98" t="n"/>
      <c r="L1739" s="99" t="n"/>
      <c r="M1739" s="99" t="n"/>
      <c r="N1739" s="100" t="n"/>
      <c r="O1739" s="98" t="n"/>
      <c r="P1739" s="99" t="n"/>
      <c r="Q1739" s="99" t="n"/>
      <c r="R1739" s="100" t="n"/>
      <c r="S1739" s="98" t="n"/>
      <c r="T1739" s="99" t="n"/>
      <c r="U1739" s="99" t="n"/>
      <c r="V1739" s="100" t="n"/>
      <c r="W1739" s="98" t="n"/>
      <c r="X1739" s="100" t="n"/>
      <c r="Y1739" s="98" t="n"/>
      <c r="Z1739" s="100" t="n"/>
      <c r="AB1739" s="101">
        <f>IF($B1739="","",(COUNTIF(C1708:E1725,$B1739)+COUNTIF(C1708:E1725,$B1739&amp;" ~*")&gt;0)+(COUNTIF(G1708:I1725,$B1739)+COUNTIF(G1708:I1725,$B1739&amp;" ~*")&gt;0)+(COUNTIF(K1708:M1725,$B1739)+COUNTIF(K1708:M1725,$B1739&amp;" ~*")&gt;0)+(COUNTIF(O1708:Q1725,$B1739)+COUNTIF(O1708:Q1725,$B1739&amp;" ~*")&gt;0)+(COUNTIF(S1708:U1725,$B1739)+COUNTIF(S1708:U1725,$B1739&amp;" ~*")&gt;0)+(COUNTIF(W1708:W1725,$B1739)+COUNTIF(W1708:W1725,$B1739&amp;" ~*")&gt;0)+(COUNTIF(Y1708:Y1725,$B1739)+COUNTIF(Y1708:Y1725,$B1739&amp;" ~*")&gt;0))</f>
        <v/>
      </c>
      <c r="AC1739" s="36">
        <f>IF($B1739="","",(IFERROR(INDEX(Setup!$G$33:$G$40,MATCH(C1739,Setup!$B$33:$B$40,0)),0)=1)*(COUNTIF(C1708:E1725,$B1739)+COUNTIF(C1708:E1725,$B1739&amp;" ~*")&gt;0)+(IFERROR(INDEX(Setup!$G$33:$G$40,MATCH(G1739,Setup!$B$33:$B$40,0)),0)=1)*(COUNTIF(G1708:I1725,$B1739)+COUNTIF(G1708:I1725,$B1739&amp;" ~*")&gt;0)+(IFERROR(INDEX(Setup!$G$33:$G$40,MATCH(K1739,Setup!$B$33:$B$40,0)),0)=1)*(COUNTIF(K1708:M1725,$B1739)+COUNTIF(K1708:M1725,$B1739&amp;" ~*")&gt;0)+(IFERROR(INDEX(Setup!$G$33:$G$40,MATCH(O1739,Setup!$B$33:$B$40,0)),0)=1)*(COUNTIF(O1708:Q1725,$B1739)+COUNTIF(O1708:Q1725,$B1739&amp;" ~*")&gt;0)+(IFERROR(INDEX(Setup!$G$33:$G$40,MATCH(S1739,Setup!$B$33:$B$40,0)),0)=1)*(COUNTIF(S1708:U1725,$B1739)+COUNTIF(S1708:U1725,$B1739&amp;" ~*")&gt;0)+(IFERROR(INDEX(Setup!$G$33:$G$40,MATCH(W1739,Setup!$B$33:$B$40,0)),0)=1)*(COUNTIF(W1708:W1725,$B1739)+COUNTIF(W1708:W1725,$B1739&amp;" ~*")&gt;0)+(IFERROR(INDEX(Setup!$G$33:$G$40,MATCH(Y1739,Setup!$B$33:$B$40,0)),0)=1)*(COUNTIF(Y1708:Y1725,$B1739)+COUNTIF(Y1708:Y1725,$B1739&amp;" ~*")&gt;0))</f>
        <v/>
      </c>
    </row>
    <row r="1740" ht="15" customHeight="1">
      <c r="A1740" t="n">
        <v>35</v>
      </c>
      <c r="B1740" s="37">
        <f>IF(Setup!$B$19="","",Setup!$B$19)</f>
        <v/>
      </c>
      <c r="C1740" s="102" t="n"/>
      <c r="D1740" s="103" t="n"/>
      <c r="E1740" s="103" t="n"/>
      <c r="F1740" s="104" t="n"/>
      <c r="G1740" s="102" t="n"/>
      <c r="H1740" s="103" t="n"/>
      <c r="I1740" s="103" t="n"/>
      <c r="J1740" s="104" t="n"/>
      <c r="K1740" s="102" t="n"/>
      <c r="L1740" s="103" t="n"/>
      <c r="M1740" s="103" t="n"/>
      <c r="N1740" s="104" t="n"/>
      <c r="O1740" s="102" t="n"/>
      <c r="P1740" s="103" t="n"/>
      <c r="Q1740" s="103" t="n"/>
      <c r="R1740" s="104" t="n"/>
      <c r="S1740" s="102" t="n"/>
      <c r="T1740" s="103" t="n"/>
      <c r="U1740" s="103" t="n"/>
      <c r="V1740" s="104" t="n"/>
      <c r="W1740" s="102" t="n"/>
      <c r="X1740" s="104" t="n"/>
      <c r="Y1740" s="102" t="n"/>
      <c r="Z1740" s="104" t="n"/>
      <c r="AB1740" s="105">
        <f>IF($B1740="","",(COUNTIF(C1708:E1725,$B1740)+COUNTIF(C1708:E1725,$B1740&amp;" ~*")&gt;0)+(COUNTIF(G1708:I1725,$B1740)+COUNTIF(G1708:I1725,$B1740&amp;" ~*")&gt;0)+(COUNTIF(K1708:M1725,$B1740)+COUNTIF(K1708:M1725,$B1740&amp;" ~*")&gt;0)+(COUNTIF(O1708:Q1725,$B1740)+COUNTIF(O1708:Q1725,$B1740&amp;" ~*")&gt;0)+(COUNTIF(S1708:U1725,$B1740)+COUNTIF(S1708:U1725,$B1740&amp;" ~*")&gt;0)+(COUNTIF(W1708:W1725,$B1740)+COUNTIF(W1708:W1725,$B1740&amp;" ~*")&gt;0)+(COUNTIF(Y1708:Y1725,$B1740)+COUNTIF(Y1708:Y1725,$B1740&amp;" ~*")&gt;0))</f>
        <v/>
      </c>
      <c r="AC1740" s="38">
        <f>IF($B1740="","",(IFERROR(INDEX(Setup!$G$33:$G$40,MATCH(C1740,Setup!$B$33:$B$40,0)),0)=1)*(COUNTIF(C1708:E1725,$B1740)+COUNTIF(C1708:E1725,$B1740&amp;" ~*")&gt;0)+(IFERROR(INDEX(Setup!$G$33:$G$40,MATCH(G1740,Setup!$B$33:$B$40,0)),0)=1)*(COUNTIF(G1708:I1725,$B1740)+COUNTIF(G1708:I1725,$B1740&amp;" ~*")&gt;0)+(IFERROR(INDEX(Setup!$G$33:$G$40,MATCH(K1740,Setup!$B$33:$B$40,0)),0)=1)*(COUNTIF(K1708:M1725,$B1740)+COUNTIF(K1708:M1725,$B1740&amp;" ~*")&gt;0)+(IFERROR(INDEX(Setup!$G$33:$G$40,MATCH(O1740,Setup!$B$33:$B$40,0)),0)=1)*(COUNTIF(O1708:Q1725,$B1740)+COUNTIF(O1708:Q1725,$B1740&amp;" ~*")&gt;0)+(IFERROR(INDEX(Setup!$G$33:$G$40,MATCH(S1740,Setup!$B$33:$B$40,0)),0)=1)*(COUNTIF(S1708:U1725,$B1740)+COUNTIF(S1708:U1725,$B1740&amp;" ~*")&gt;0)+(IFERROR(INDEX(Setup!$G$33:$G$40,MATCH(W1740,Setup!$B$33:$B$40,0)),0)=1)*(COUNTIF(W1708:W1725,$B1740)+COUNTIF(W1708:W1725,$B1740&amp;" ~*")&gt;0)+(IFERROR(INDEX(Setup!$G$33:$G$40,MATCH(Y1740,Setup!$B$33:$B$40,0)),0)=1)*(COUNTIF(Y1708:Y1725,$B1740)+COUNTIF(Y1708:Y1725,$B1740&amp;" ~*")&gt;0))</f>
        <v/>
      </c>
    </row>
    <row r="1741" ht="15" customHeight="1">
      <c r="A1741" t="n">
        <v>35</v>
      </c>
      <c r="B1741" s="35">
        <f>IF(Setup!$B$20="","",Setup!$B$20)</f>
        <v/>
      </c>
      <c r="C1741" s="98" t="n"/>
      <c r="D1741" s="99" t="n"/>
      <c r="E1741" s="99" t="n"/>
      <c r="F1741" s="100" t="n"/>
      <c r="G1741" s="98" t="n"/>
      <c r="H1741" s="99" t="n"/>
      <c r="I1741" s="99" t="n"/>
      <c r="J1741" s="100" t="n"/>
      <c r="K1741" s="98" t="n"/>
      <c r="L1741" s="99" t="n"/>
      <c r="M1741" s="99" t="n"/>
      <c r="N1741" s="100" t="n"/>
      <c r="O1741" s="98" t="n"/>
      <c r="P1741" s="99" t="n"/>
      <c r="Q1741" s="99" t="n"/>
      <c r="R1741" s="100" t="n"/>
      <c r="S1741" s="98" t="n"/>
      <c r="T1741" s="99" t="n"/>
      <c r="U1741" s="99" t="n"/>
      <c r="V1741" s="100" t="n"/>
      <c r="W1741" s="98" t="n"/>
      <c r="X1741" s="100" t="n"/>
      <c r="Y1741" s="98" t="n"/>
      <c r="Z1741" s="100" t="n"/>
      <c r="AB1741" s="101">
        <f>IF($B1741="","",(COUNTIF(C1708:E1725,$B1741)+COUNTIF(C1708:E1725,$B1741&amp;" ~*")&gt;0)+(COUNTIF(G1708:I1725,$B1741)+COUNTIF(G1708:I1725,$B1741&amp;" ~*")&gt;0)+(COUNTIF(K1708:M1725,$B1741)+COUNTIF(K1708:M1725,$B1741&amp;" ~*")&gt;0)+(COUNTIF(O1708:Q1725,$B1741)+COUNTIF(O1708:Q1725,$B1741&amp;" ~*")&gt;0)+(COUNTIF(S1708:U1725,$B1741)+COUNTIF(S1708:U1725,$B1741&amp;" ~*")&gt;0)+(COUNTIF(W1708:W1725,$B1741)+COUNTIF(W1708:W1725,$B1741&amp;" ~*")&gt;0)+(COUNTIF(Y1708:Y1725,$B1741)+COUNTIF(Y1708:Y1725,$B1741&amp;" ~*")&gt;0))</f>
        <v/>
      </c>
      <c r="AC1741" s="36">
        <f>IF($B1741="","",(IFERROR(INDEX(Setup!$G$33:$G$40,MATCH(C1741,Setup!$B$33:$B$40,0)),0)=1)*(COUNTIF(C1708:E1725,$B1741)+COUNTIF(C1708:E1725,$B1741&amp;" ~*")&gt;0)+(IFERROR(INDEX(Setup!$G$33:$G$40,MATCH(G1741,Setup!$B$33:$B$40,0)),0)=1)*(COUNTIF(G1708:I1725,$B1741)+COUNTIF(G1708:I1725,$B1741&amp;" ~*")&gt;0)+(IFERROR(INDEX(Setup!$G$33:$G$40,MATCH(K1741,Setup!$B$33:$B$40,0)),0)=1)*(COUNTIF(K1708:M1725,$B1741)+COUNTIF(K1708:M1725,$B1741&amp;" ~*")&gt;0)+(IFERROR(INDEX(Setup!$G$33:$G$40,MATCH(O1741,Setup!$B$33:$B$40,0)),0)=1)*(COUNTIF(O1708:Q1725,$B1741)+COUNTIF(O1708:Q1725,$B1741&amp;" ~*")&gt;0)+(IFERROR(INDEX(Setup!$G$33:$G$40,MATCH(S1741,Setup!$B$33:$B$40,0)),0)=1)*(COUNTIF(S1708:U1725,$B1741)+COUNTIF(S1708:U1725,$B1741&amp;" ~*")&gt;0)+(IFERROR(INDEX(Setup!$G$33:$G$40,MATCH(W1741,Setup!$B$33:$B$40,0)),0)=1)*(COUNTIF(W1708:W1725,$B1741)+COUNTIF(W1708:W1725,$B1741&amp;" ~*")&gt;0)+(IFERROR(INDEX(Setup!$G$33:$G$40,MATCH(Y1741,Setup!$B$33:$B$40,0)),0)=1)*(COUNTIF(Y1708:Y1725,$B1741)+COUNTIF(Y1708:Y1725,$B1741&amp;" ~*")&gt;0))</f>
        <v/>
      </c>
    </row>
    <row r="1742" ht="15" customHeight="1">
      <c r="A1742" t="n">
        <v>35</v>
      </c>
      <c r="B1742" s="37">
        <f>IF(Setup!$B$21="","",Setup!$B$21)</f>
        <v/>
      </c>
      <c r="C1742" s="102" t="n"/>
      <c r="D1742" s="103" t="n"/>
      <c r="E1742" s="103" t="n"/>
      <c r="F1742" s="104" t="n"/>
      <c r="G1742" s="102" t="n"/>
      <c r="H1742" s="103" t="n"/>
      <c r="I1742" s="103" t="n"/>
      <c r="J1742" s="104" t="n"/>
      <c r="K1742" s="102" t="n"/>
      <c r="L1742" s="103" t="n"/>
      <c r="M1742" s="103" t="n"/>
      <c r="N1742" s="104" t="n"/>
      <c r="O1742" s="102" t="n"/>
      <c r="P1742" s="103" t="n"/>
      <c r="Q1742" s="103" t="n"/>
      <c r="R1742" s="104" t="n"/>
      <c r="S1742" s="102" t="n"/>
      <c r="T1742" s="103" t="n"/>
      <c r="U1742" s="103" t="n"/>
      <c r="V1742" s="104" t="n"/>
      <c r="W1742" s="102" t="n"/>
      <c r="X1742" s="104" t="n"/>
      <c r="Y1742" s="102" t="n"/>
      <c r="Z1742" s="104" t="n"/>
      <c r="AB1742" s="105">
        <f>IF($B1742="","",(COUNTIF(C1708:E1725,$B1742)+COUNTIF(C1708:E1725,$B1742&amp;" ~*")&gt;0)+(COUNTIF(G1708:I1725,$B1742)+COUNTIF(G1708:I1725,$B1742&amp;" ~*")&gt;0)+(COUNTIF(K1708:M1725,$B1742)+COUNTIF(K1708:M1725,$B1742&amp;" ~*")&gt;0)+(COUNTIF(O1708:Q1725,$B1742)+COUNTIF(O1708:Q1725,$B1742&amp;" ~*")&gt;0)+(COUNTIF(S1708:U1725,$B1742)+COUNTIF(S1708:U1725,$B1742&amp;" ~*")&gt;0)+(COUNTIF(W1708:W1725,$B1742)+COUNTIF(W1708:W1725,$B1742&amp;" ~*")&gt;0)+(COUNTIF(Y1708:Y1725,$B1742)+COUNTIF(Y1708:Y1725,$B1742&amp;" ~*")&gt;0))</f>
        <v/>
      </c>
      <c r="AC1742" s="38">
        <f>IF($B1742="","",(IFERROR(INDEX(Setup!$G$33:$G$40,MATCH(C1742,Setup!$B$33:$B$40,0)),0)=1)*(COUNTIF(C1708:E1725,$B1742)+COUNTIF(C1708:E1725,$B1742&amp;" ~*")&gt;0)+(IFERROR(INDEX(Setup!$G$33:$G$40,MATCH(G1742,Setup!$B$33:$B$40,0)),0)=1)*(COUNTIF(G1708:I1725,$B1742)+COUNTIF(G1708:I1725,$B1742&amp;" ~*")&gt;0)+(IFERROR(INDEX(Setup!$G$33:$G$40,MATCH(K1742,Setup!$B$33:$B$40,0)),0)=1)*(COUNTIF(K1708:M1725,$B1742)+COUNTIF(K1708:M1725,$B1742&amp;" ~*")&gt;0)+(IFERROR(INDEX(Setup!$G$33:$G$40,MATCH(O1742,Setup!$B$33:$B$40,0)),0)=1)*(COUNTIF(O1708:Q1725,$B1742)+COUNTIF(O1708:Q1725,$B1742&amp;" ~*")&gt;0)+(IFERROR(INDEX(Setup!$G$33:$G$40,MATCH(S1742,Setup!$B$33:$B$40,0)),0)=1)*(COUNTIF(S1708:U1725,$B1742)+COUNTIF(S1708:U1725,$B1742&amp;" ~*")&gt;0)+(IFERROR(INDEX(Setup!$G$33:$G$40,MATCH(W1742,Setup!$B$33:$B$40,0)),0)=1)*(COUNTIF(W1708:W1725,$B1742)+COUNTIF(W1708:W1725,$B1742&amp;" ~*")&gt;0)+(IFERROR(INDEX(Setup!$G$33:$G$40,MATCH(Y1742,Setup!$B$33:$B$40,0)),0)=1)*(COUNTIF(Y1708:Y1725,$B1742)+COUNTIF(Y1708:Y1725,$B1742&amp;" ~*")&gt;0))</f>
        <v/>
      </c>
    </row>
    <row r="1743" ht="15" customHeight="1">
      <c r="A1743" t="n">
        <v>35</v>
      </c>
      <c r="B1743" s="35">
        <f>IF(Setup!$B$22="","",Setup!$B$22)</f>
        <v/>
      </c>
      <c r="C1743" s="98" t="n"/>
      <c r="D1743" s="99" t="n"/>
      <c r="E1743" s="99" t="n"/>
      <c r="F1743" s="100" t="n"/>
      <c r="G1743" s="98" t="n"/>
      <c r="H1743" s="99" t="n"/>
      <c r="I1743" s="99" t="n"/>
      <c r="J1743" s="100" t="n"/>
      <c r="K1743" s="98" t="n"/>
      <c r="L1743" s="99" t="n"/>
      <c r="M1743" s="99" t="n"/>
      <c r="N1743" s="100" t="n"/>
      <c r="O1743" s="98" t="n"/>
      <c r="P1743" s="99" t="n"/>
      <c r="Q1743" s="99" t="n"/>
      <c r="R1743" s="100" t="n"/>
      <c r="S1743" s="98" t="n"/>
      <c r="T1743" s="99" t="n"/>
      <c r="U1743" s="99" t="n"/>
      <c r="V1743" s="100" t="n"/>
      <c r="W1743" s="98" t="n"/>
      <c r="X1743" s="100" t="n"/>
      <c r="Y1743" s="98" t="n"/>
      <c r="Z1743" s="100" t="n"/>
      <c r="AB1743" s="101">
        <f>IF($B1743="","",(COUNTIF(C1708:E1725,$B1743)+COUNTIF(C1708:E1725,$B1743&amp;" ~*")&gt;0)+(COUNTIF(G1708:I1725,$B1743)+COUNTIF(G1708:I1725,$B1743&amp;" ~*")&gt;0)+(COUNTIF(K1708:M1725,$B1743)+COUNTIF(K1708:M1725,$B1743&amp;" ~*")&gt;0)+(COUNTIF(O1708:Q1725,$B1743)+COUNTIF(O1708:Q1725,$B1743&amp;" ~*")&gt;0)+(COUNTIF(S1708:U1725,$B1743)+COUNTIF(S1708:U1725,$B1743&amp;" ~*")&gt;0)+(COUNTIF(W1708:W1725,$B1743)+COUNTIF(W1708:W1725,$B1743&amp;" ~*")&gt;0)+(COUNTIF(Y1708:Y1725,$B1743)+COUNTIF(Y1708:Y1725,$B1743&amp;" ~*")&gt;0))</f>
        <v/>
      </c>
      <c r="AC1743" s="36">
        <f>IF($B1743="","",(IFERROR(INDEX(Setup!$G$33:$G$40,MATCH(C1743,Setup!$B$33:$B$40,0)),0)=1)*(COUNTIF(C1708:E1725,$B1743)+COUNTIF(C1708:E1725,$B1743&amp;" ~*")&gt;0)+(IFERROR(INDEX(Setup!$G$33:$G$40,MATCH(G1743,Setup!$B$33:$B$40,0)),0)=1)*(COUNTIF(G1708:I1725,$B1743)+COUNTIF(G1708:I1725,$B1743&amp;" ~*")&gt;0)+(IFERROR(INDEX(Setup!$G$33:$G$40,MATCH(K1743,Setup!$B$33:$B$40,0)),0)=1)*(COUNTIF(K1708:M1725,$B1743)+COUNTIF(K1708:M1725,$B1743&amp;" ~*")&gt;0)+(IFERROR(INDEX(Setup!$G$33:$G$40,MATCH(O1743,Setup!$B$33:$B$40,0)),0)=1)*(COUNTIF(O1708:Q1725,$B1743)+COUNTIF(O1708:Q1725,$B1743&amp;" ~*")&gt;0)+(IFERROR(INDEX(Setup!$G$33:$G$40,MATCH(S1743,Setup!$B$33:$B$40,0)),0)=1)*(COUNTIF(S1708:U1725,$B1743)+COUNTIF(S1708:U1725,$B1743&amp;" ~*")&gt;0)+(IFERROR(INDEX(Setup!$G$33:$G$40,MATCH(W1743,Setup!$B$33:$B$40,0)),0)=1)*(COUNTIF(W1708:W1725,$B1743)+COUNTIF(W1708:W1725,$B1743&amp;" ~*")&gt;0)+(IFERROR(INDEX(Setup!$G$33:$G$40,MATCH(Y1743,Setup!$B$33:$B$40,0)),0)=1)*(COUNTIF(Y1708:Y1725,$B1743)+COUNTIF(Y1708:Y1725,$B1743&amp;" ~*")&gt;0))</f>
        <v/>
      </c>
    </row>
    <row r="1744" ht="15" customHeight="1">
      <c r="A1744" t="n">
        <v>35</v>
      </c>
      <c r="B1744" s="37">
        <f>IF(Setup!$B$23="","",Setup!$B$23)</f>
        <v/>
      </c>
      <c r="C1744" s="102" t="n"/>
      <c r="D1744" s="103" t="n"/>
      <c r="E1744" s="103" t="n"/>
      <c r="F1744" s="104" t="n"/>
      <c r="G1744" s="102" t="n"/>
      <c r="H1744" s="103" t="n"/>
      <c r="I1744" s="103" t="n"/>
      <c r="J1744" s="104" t="n"/>
      <c r="K1744" s="102" t="n"/>
      <c r="L1744" s="103" t="n"/>
      <c r="M1744" s="103" t="n"/>
      <c r="N1744" s="104" t="n"/>
      <c r="O1744" s="102" t="n"/>
      <c r="P1744" s="103" t="n"/>
      <c r="Q1744" s="103" t="n"/>
      <c r="R1744" s="104" t="n"/>
      <c r="S1744" s="102" t="n"/>
      <c r="T1744" s="103" t="n"/>
      <c r="U1744" s="103" t="n"/>
      <c r="V1744" s="104" t="n"/>
      <c r="W1744" s="102" t="n"/>
      <c r="X1744" s="104" t="n"/>
      <c r="Y1744" s="102" t="n"/>
      <c r="Z1744" s="104" t="n"/>
      <c r="AB1744" s="105">
        <f>IF($B1744="","",(COUNTIF(C1708:E1725,$B1744)+COUNTIF(C1708:E1725,$B1744&amp;" ~*")&gt;0)+(COUNTIF(G1708:I1725,$B1744)+COUNTIF(G1708:I1725,$B1744&amp;" ~*")&gt;0)+(COUNTIF(K1708:M1725,$B1744)+COUNTIF(K1708:M1725,$B1744&amp;" ~*")&gt;0)+(COUNTIF(O1708:Q1725,$B1744)+COUNTIF(O1708:Q1725,$B1744&amp;" ~*")&gt;0)+(COUNTIF(S1708:U1725,$B1744)+COUNTIF(S1708:U1725,$B1744&amp;" ~*")&gt;0)+(COUNTIF(W1708:W1725,$B1744)+COUNTIF(W1708:W1725,$B1744&amp;" ~*")&gt;0)+(COUNTIF(Y1708:Y1725,$B1744)+COUNTIF(Y1708:Y1725,$B1744&amp;" ~*")&gt;0))</f>
        <v/>
      </c>
      <c r="AC1744" s="38">
        <f>IF($B1744="","",(IFERROR(INDEX(Setup!$G$33:$G$40,MATCH(C1744,Setup!$B$33:$B$40,0)),0)=1)*(COUNTIF(C1708:E1725,$B1744)+COUNTIF(C1708:E1725,$B1744&amp;" ~*")&gt;0)+(IFERROR(INDEX(Setup!$G$33:$G$40,MATCH(G1744,Setup!$B$33:$B$40,0)),0)=1)*(COUNTIF(G1708:I1725,$B1744)+COUNTIF(G1708:I1725,$B1744&amp;" ~*")&gt;0)+(IFERROR(INDEX(Setup!$G$33:$G$40,MATCH(K1744,Setup!$B$33:$B$40,0)),0)=1)*(COUNTIF(K1708:M1725,$B1744)+COUNTIF(K1708:M1725,$B1744&amp;" ~*")&gt;0)+(IFERROR(INDEX(Setup!$G$33:$G$40,MATCH(O1744,Setup!$B$33:$B$40,0)),0)=1)*(COUNTIF(O1708:Q1725,$B1744)+COUNTIF(O1708:Q1725,$B1744&amp;" ~*")&gt;0)+(IFERROR(INDEX(Setup!$G$33:$G$40,MATCH(S1744,Setup!$B$33:$B$40,0)),0)=1)*(COUNTIF(S1708:U1725,$B1744)+COUNTIF(S1708:U1725,$B1744&amp;" ~*")&gt;0)+(IFERROR(INDEX(Setup!$G$33:$G$40,MATCH(W1744,Setup!$B$33:$B$40,0)),0)=1)*(COUNTIF(W1708:W1725,$B1744)+COUNTIF(W1708:W1725,$B1744&amp;" ~*")&gt;0)+(IFERROR(INDEX(Setup!$G$33:$G$40,MATCH(Y1744,Setup!$B$33:$B$40,0)),0)=1)*(COUNTIF(Y1708:Y1725,$B1744)+COUNTIF(Y1708:Y1725,$B1744&amp;" ~*")&gt;0))</f>
        <v/>
      </c>
    </row>
    <row r="1745" ht="15" customHeight="1">
      <c r="A1745" t="n">
        <v>35</v>
      </c>
      <c r="B1745" s="35">
        <f>IF(Setup!$B$24="","",Setup!$B$24)</f>
        <v/>
      </c>
      <c r="C1745" s="98" t="n"/>
      <c r="D1745" s="99" t="n"/>
      <c r="E1745" s="99" t="n"/>
      <c r="F1745" s="100" t="n"/>
      <c r="G1745" s="98" t="n"/>
      <c r="H1745" s="99" t="n"/>
      <c r="I1745" s="99" t="n"/>
      <c r="J1745" s="100" t="n"/>
      <c r="K1745" s="98" t="n"/>
      <c r="L1745" s="99" t="n"/>
      <c r="M1745" s="99" t="n"/>
      <c r="N1745" s="100" t="n"/>
      <c r="O1745" s="98" t="n"/>
      <c r="P1745" s="99" t="n"/>
      <c r="Q1745" s="99" t="n"/>
      <c r="R1745" s="100" t="n"/>
      <c r="S1745" s="98" t="n"/>
      <c r="T1745" s="99" t="n"/>
      <c r="U1745" s="99" t="n"/>
      <c r="V1745" s="100" t="n"/>
      <c r="W1745" s="98" t="n"/>
      <c r="X1745" s="100" t="n"/>
      <c r="Y1745" s="98" t="n"/>
      <c r="Z1745" s="100" t="n"/>
      <c r="AB1745" s="101">
        <f>IF($B1745="","",(COUNTIF(C1708:E1725,$B1745)+COUNTIF(C1708:E1725,$B1745&amp;" ~*")&gt;0)+(COUNTIF(G1708:I1725,$B1745)+COUNTIF(G1708:I1725,$B1745&amp;" ~*")&gt;0)+(COUNTIF(K1708:M1725,$B1745)+COUNTIF(K1708:M1725,$B1745&amp;" ~*")&gt;0)+(COUNTIF(O1708:Q1725,$B1745)+COUNTIF(O1708:Q1725,$B1745&amp;" ~*")&gt;0)+(COUNTIF(S1708:U1725,$B1745)+COUNTIF(S1708:U1725,$B1745&amp;" ~*")&gt;0)+(COUNTIF(W1708:W1725,$B1745)+COUNTIF(W1708:W1725,$B1745&amp;" ~*")&gt;0)+(COUNTIF(Y1708:Y1725,$B1745)+COUNTIF(Y1708:Y1725,$B1745&amp;" ~*")&gt;0))</f>
        <v/>
      </c>
      <c r="AC1745" s="36">
        <f>IF($B1745="","",(IFERROR(INDEX(Setup!$G$33:$G$40,MATCH(C1745,Setup!$B$33:$B$40,0)),0)=1)*(COUNTIF(C1708:E1725,$B1745)+COUNTIF(C1708:E1725,$B1745&amp;" ~*")&gt;0)+(IFERROR(INDEX(Setup!$G$33:$G$40,MATCH(G1745,Setup!$B$33:$B$40,0)),0)=1)*(COUNTIF(G1708:I1725,$B1745)+COUNTIF(G1708:I1725,$B1745&amp;" ~*")&gt;0)+(IFERROR(INDEX(Setup!$G$33:$G$40,MATCH(K1745,Setup!$B$33:$B$40,0)),0)=1)*(COUNTIF(K1708:M1725,$B1745)+COUNTIF(K1708:M1725,$B1745&amp;" ~*")&gt;0)+(IFERROR(INDEX(Setup!$G$33:$G$40,MATCH(O1745,Setup!$B$33:$B$40,0)),0)=1)*(COUNTIF(O1708:Q1725,$B1745)+COUNTIF(O1708:Q1725,$B1745&amp;" ~*")&gt;0)+(IFERROR(INDEX(Setup!$G$33:$G$40,MATCH(S1745,Setup!$B$33:$B$40,0)),0)=1)*(COUNTIF(S1708:U1725,$B1745)+COUNTIF(S1708:U1725,$B1745&amp;" ~*")&gt;0)+(IFERROR(INDEX(Setup!$G$33:$G$40,MATCH(W1745,Setup!$B$33:$B$40,0)),0)=1)*(COUNTIF(W1708:W1725,$B1745)+COUNTIF(W1708:W1725,$B1745&amp;" ~*")&gt;0)+(IFERROR(INDEX(Setup!$G$33:$G$40,MATCH(Y1745,Setup!$B$33:$B$40,0)),0)=1)*(COUNTIF(Y1708:Y1725,$B1745)+COUNTIF(Y1708:Y1725,$B1745&amp;" ~*")&gt;0))</f>
        <v/>
      </c>
    </row>
    <row r="1746" ht="15" customHeight="1">
      <c r="A1746" t="n">
        <v>35</v>
      </c>
      <c r="B1746" s="37">
        <f>IF(Setup!$B$25="","",Setup!$B$25)</f>
        <v/>
      </c>
      <c r="C1746" s="102" t="n"/>
      <c r="D1746" s="103" t="n"/>
      <c r="E1746" s="103" t="n"/>
      <c r="F1746" s="104" t="n"/>
      <c r="G1746" s="102" t="n"/>
      <c r="H1746" s="103" t="n"/>
      <c r="I1746" s="103" t="n"/>
      <c r="J1746" s="104" t="n"/>
      <c r="K1746" s="102" t="n"/>
      <c r="L1746" s="103" t="n"/>
      <c r="M1746" s="103" t="n"/>
      <c r="N1746" s="104" t="n"/>
      <c r="O1746" s="102" t="n"/>
      <c r="P1746" s="103" t="n"/>
      <c r="Q1746" s="103" t="n"/>
      <c r="R1746" s="104" t="n"/>
      <c r="S1746" s="102" t="n"/>
      <c r="T1746" s="103" t="n"/>
      <c r="U1746" s="103" t="n"/>
      <c r="V1746" s="104" t="n"/>
      <c r="W1746" s="102" t="n"/>
      <c r="X1746" s="104" t="n"/>
      <c r="Y1746" s="102" t="n"/>
      <c r="Z1746" s="104" t="n"/>
      <c r="AB1746" s="105">
        <f>IF($B1746="","",(COUNTIF(C1708:E1725,$B1746)+COUNTIF(C1708:E1725,$B1746&amp;" ~*")&gt;0)+(COUNTIF(G1708:I1725,$B1746)+COUNTIF(G1708:I1725,$B1746&amp;" ~*")&gt;0)+(COUNTIF(K1708:M1725,$B1746)+COUNTIF(K1708:M1725,$B1746&amp;" ~*")&gt;0)+(COUNTIF(O1708:Q1725,$B1746)+COUNTIF(O1708:Q1725,$B1746&amp;" ~*")&gt;0)+(COUNTIF(S1708:U1725,$B1746)+COUNTIF(S1708:U1725,$B1746&amp;" ~*")&gt;0)+(COUNTIF(W1708:W1725,$B1746)+COUNTIF(W1708:W1725,$B1746&amp;" ~*")&gt;0)+(COUNTIF(Y1708:Y1725,$B1746)+COUNTIF(Y1708:Y1725,$B1746&amp;" ~*")&gt;0))</f>
        <v/>
      </c>
      <c r="AC1746" s="38">
        <f>IF($B1746="","",(IFERROR(INDEX(Setup!$G$33:$G$40,MATCH(C1746,Setup!$B$33:$B$40,0)),0)=1)*(COUNTIF(C1708:E1725,$B1746)+COUNTIF(C1708:E1725,$B1746&amp;" ~*")&gt;0)+(IFERROR(INDEX(Setup!$G$33:$G$40,MATCH(G1746,Setup!$B$33:$B$40,0)),0)=1)*(COUNTIF(G1708:I1725,$B1746)+COUNTIF(G1708:I1725,$B1746&amp;" ~*")&gt;0)+(IFERROR(INDEX(Setup!$G$33:$G$40,MATCH(K1746,Setup!$B$33:$B$40,0)),0)=1)*(COUNTIF(K1708:M1725,$B1746)+COUNTIF(K1708:M1725,$B1746&amp;" ~*")&gt;0)+(IFERROR(INDEX(Setup!$G$33:$G$40,MATCH(O1746,Setup!$B$33:$B$40,0)),0)=1)*(COUNTIF(O1708:Q1725,$B1746)+COUNTIF(O1708:Q1725,$B1746&amp;" ~*")&gt;0)+(IFERROR(INDEX(Setup!$G$33:$G$40,MATCH(S1746,Setup!$B$33:$B$40,0)),0)=1)*(COUNTIF(S1708:U1725,$B1746)+COUNTIF(S1708:U1725,$B1746&amp;" ~*")&gt;0)+(IFERROR(INDEX(Setup!$G$33:$G$40,MATCH(W1746,Setup!$B$33:$B$40,0)),0)=1)*(COUNTIF(W1708:W1725,$B1746)+COUNTIF(W1708:W1725,$B1746&amp;" ~*")&gt;0)+(IFERROR(INDEX(Setup!$G$33:$G$40,MATCH(Y1746,Setup!$B$33:$B$40,0)),0)=1)*(COUNTIF(Y1708:Y1725,$B1746)+COUNTIF(Y1708:Y1725,$B1746&amp;" ~*")&gt;0))</f>
        <v/>
      </c>
    </row>
    <row r="1747" ht="15" customHeight="1">
      <c r="A1747" t="n">
        <v>35</v>
      </c>
      <c r="B1747" s="35">
        <f>IF(Setup!$B$26="","",Setup!$B$26)</f>
        <v/>
      </c>
      <c r="C1747" s="98" t="n"/>
      <c r="D1747" s="99" t="n"/>
      <c r="E1747" s="99" t="n"/>
      <c r="F1747" s="100" t="n"/>
      <c r="G1747" s="98" t="n"/>
      <c r="H1747" s="99" t="n"/>
      <c r="I1747" s="99" t="n"/>
      <c r="J1747" s="100" t="n"/>
      <c r="K1747" s="98" t="n"/>
      <c r="L1747" s="99" t="n"/>
      <c r="M1747" s="99" t="n"/>
      <c r="N1747" s="100" t="n"/>
      <c r="O1747" s="98" t="n"/>
      <c r="P1747" s="99" t="n"/>
      <c r="Q1747" s="99" t="n"/>
      <c r="R1747" s="100" t="n"/>
      <c r="S1747" s="98" t="n"/>
      <c r="T1747" s="99" t="n"/>
      <c r="U1747" s="99" t="n"/>
      <c r="V1747" s="100" t="n"/>
      <c r="W1747" s="98" t="n"/>
      <c r="X1747" s="100" t="n"/>
      <c r="Y1747" s="98" t="n"/>
      <c r="Z1747" s="100" t="n"/>
      <c r="AB1747" s="101">
        <f>IF($B1747="","",(COUNTIF(C1708:E1725,$B1747)+COUNTIF(C1708:E1725,$B1747&amp;" ~*")&gt;0)+(COUNTIF(G1708:I1725,$B1747)+COUNTIF(G1708:I1725,$B1747&amp;" ~*")&gt;0)+(COUNTIF(K1708:M1725,$B1747)+COUNTIF(K1708:M1725,$B1747&amp;" ~*")&gt;0)+(COUNTIF(O1708:Q1725,$B1747)+COUNTIF(O1708:Q1725,$B1747&amp;" ~*")&gt;0)+(COUNTIF(S1708:U1725,$B1747)+COUNTIF(S1708:U1725,$B1747&amp;" ~*")&gt;0)+(COUNTIF(W1708:W1725,$B1747)+COUNTIF(W1708:W1725,$B1747&amp;" ~*")&gt;0)+(COUNTIF(Y1708:Y1725,$B1747)+COUNTIF(Y1708:Y1725,$B1747&amp;" ~*")&gt;0))</f>
        <v/>
      </c>
      <c r="AC1747" s="36">
        <f>IF($B1747="","",(IFERROR(INDEX(Setup!$G$33:$G$40,MATCH(C1747,Setup!$B$33:$B$40,0)),0)=1)*(COUNTIF(C1708:E1725,$B1747)+COUNTIF(C1708:E1725,$B1747&amp;" ~*")&gt;0)+(IFERROR(INDEX(Setup!$G$33:$G$40,MATCH(G1747,Setup!$B$33:$B$40,0)),0)=1)*(COUNTIF(G1708:I1725,$B1747)+COUNTIF(G1708:I1725,$B1747&amp;" ~*")&gt;0)+(IFERROR(INDEX(Setup!$G$33:$G$40,MATCH(K1747,Setup!$B$33:$B$40,0)),0)=1)*(COUNTIF(K1708:M1725,$B1747)+COUNTIF(K1708:M1725,$B1747&amp;" ~*")&gt;0)+(IFERROR(INDEX(Setup!$G$33:$G$40,MATCH(O1747,Setup!$B$33:$B$40,0)),0)=1)*(COUNTIF(O1708:Q1725,$B1747)+COUNTIF(O1708:Q1725,$B1747&amp;" ~*")&gt;0)+(IFERROR(INDEX(Setup!$G$33:$G$40,MATCH(S1747,Setup!$B$33:$B$40,0)),0)=1)*(COUNTIF(S1708:U1725,$B1747)+COUNTIF(S1708:U1725,$B1747&amp;" ~*")&gt;0)+(IFERROR(INDEX(Setup!$G$33:$G$40,MATCH(W1747,Setup!$B$33:$B$40,0)),0)=1)*(COUNTIF(W1708:W1725,$B1747)+COUNTIF(W1708:W1725,$B1747&amp;" ~*")&gt;0)+(IFERROR(INDEX(Setup!$G$33:$G$40,MATCH(Y1747,Setup!$B$33:$B$40,0)),0)=1)*(COUNTIF(Y1708:Y1725,$B1747)+COUNTIF(Y1708:Y1725,$B1747&amp;" ~*")&gt;0))</f>
        <v/>
      </c>
    </row>
    <row r="1748" ht="15" customHeight="1">
      <c r="A1748" t="n">
        <v>35</v>
      </c>
      <c r="B1748" s="37">
        <f>IF(Setup!$B$27="","",Setup!$B$27)</f>
        <v/>
      </c>
      <c r="C1748" s="102" t="n"/>
      <c r="D1748" s="103" t="n"/>
      <c r="E1748" s="103" t="n"/>
      <c r="F1748" s="104" t="n"/>
      <c r="G1748" s="102" t="n"/>
      <c r="H1748" s="103" t="n"/>
      <c r="I1748" s="103" t="n"/>
      <c r="J1748" s="104" t="n"/>
      <c r="K1748" s="102" t="n"/>
      <c r="L1748" s="103" t="n"/>
      <c r="M1748" s="103" t="n"/>
      <c r="N1748" s="104" t="n"/>
      <c r="O1748" s="102" t="n"/>
      <c r="P1748" s="103" t="n"/>
      <c r="Q1748" s="103" t="n"/>
      <c r="R1748" s="104" t="n"/>
      <c r="S1748" s="102" t="n"/>
      <c r="T1748" s="103" t="n"/>
      <c r="U1748" s="103" t="n"/>
      <c r="V1748" s="104" t="n"/>
      <c r="W1748" s="102" t="n"/>
      <c r="X1748" s="104" t="n"/>
      <c r="Y1748" s="102" t="n"/>
      <c r="Z1748" s="104" t="n"/>
      <c r="AB1748" s="105">
        <f>IF($B1748="","",(COUNTIF(C1708:E1725,$B1748)+COUNTIF(C1708:E1725,$B1748&amp;" ~*")&gt;0)+(COUNTIF(G1708:I1725,$B1748)+COUNTIF(G1708:I1725,$B1748&amp;" ~*")&gt;0)+(COUNTIF(K1708:M1725,$B1748)+COUNTIF(K1708:M1725,$B1748&amp;" ~*")&gt;0)+(COUNTIF(O1708:Q1725,$B1748)+COUNTIF(O1708:Q1725,$B1748&amp;" ~*")&gt;0)+(COUNTIF(S1708:U1725,$B1748)+COUNTIF(S1708:U1725,$B1748&amp;" ~*")&gt;0)+(COUNTIF(W1708:W1725,$B1748)+COUNTIF(W1708:W1725,$B1748&amp;" ~*")&gt;0)+(COUNTIF(Y1708:Y1725,$B1748)+COUNTIF(Y1708:Y1725,$B1748&amp;" ~*")&gt;0))</f>
        <v/>
      </c>
      <c r="AC1748" s="38">
        <f>IF($B1748="","",(IFERROR(INDEX(Setup!$G$33:$G$40,MATCH(C1748,Setup!$B$33:$B$40,0)),0)=1)*(COUNTIF(C1708:E1725,$B1748)+COUNTIF(C1708:E1725,$B1748&amp;" ~*")&gt;0)+(IFERROR(INDEX(Setup!$G$33:$G$40,MATCH(G1748,Setup!$B$33:$B$40,0)),0)=1)*(COUNTIF(G1708:I1725,$B1748)+COUNTIF(G1708:I1725,$B1748&amp;" ~*")&gt;0)+(IFERROR(INDEX(Setup!$G$33:$G$40,MATCH(K1748,Setup!$B$33:$B$40,0)),0)=1)*(COUNTIF(K1708:M1725,$B1748)+COUNTIF(K1708:M1725,$B1748&amp;" ~*")&gt;0)+(IFERROR(INDEX(Setup!$G$33:$G$40,MATCH(O1748,Setup!$B$33:$B$40,0)),0)=1)*(COUNTIF(O1708:Q1725,$B1748)+COUNTIF(O1708:Q1725,$B1748&amp;" ~*")&gt;0)+(IFERROR(INDEX(Setup!$G$33:$G$40,MATCH(S1748,Setup!$B$33:$B$40,0)),0)=1)*(COUNTIF(S1708:U1725,$B1748)+COUNTIF(S1708:U1725,$B1748&amp;" ~*")&gt;0)+(IFERROR(INDEX(Setup!$G$33:$G$40,MATCH(W1748,Setup!$B$33:$B$40,0)),0)=1)*(COUNTIF(W1708:W1725,$B1748)+COUNTIF(W1708:W1725,$B1748&amp;" ~*")&gt;0)+(IFERROR(INDEX(Setup!$G$33:$G$40,MATCH(Y1748,Setup!$B$33:$B$40,0)),0)=1)*(COUNTIF(Y1708:Y1725,$B1748)+COUNTIF(Y1708:Y1725,$B1748&amp;" ~*")&gt;0))</f>
        <v/>
      </c>
    </row>
    <row r="1749" ht="15" customHeight="1">
      <c r="A1749" t="n">
        <v>35</v>
      </c>
      <c r="B1749" s="35">
        <f>IF(Setup!$B$28="","",Setup!$B$28)</f>
        <v/>
      </c>
      <c r="C1749" s="98" t="n"/>
      <c r="D1749" s="99" t="n"/>
      <c r="E1749" s="99" t="n"/>
      <c r="F1749" s="100" t="n"/>
      <c r="G1749" s="98" t="n"/>
      <c r="H1749" s="99" t="n"/>
      <c r="I1749" s="99" t="n"/>
      <c r="J1749" s="100" t="n"/>
      <c r="K1749" s="98" t="n"/>
      <c r="L1749" s="99" t="n"/>
      <c r="M1749" s="99" t="n"/>
      <c r="N1749" s="100" t="n"/>
      <c r="O1749" s="98" t="n"/>
      <c r="P1749" s="99" t="n"/>
      <c r="Q1749" s="99" t="n"/>
      <c r="R1749" s="100" t="n"/>
      <c r="S1749" s="98" t="n"/>
      <c r="T1749" s="99" t="n"/>
      <c r="U1749" s="99" t="n"/>
      <c r="V1749" s="100" t="n"/>
      <c r="W1749" s="98" t="n"/>
      <c r="X1749" s="100" t="n"/>
      <c r="Y1749" s="98" t="n"/>
      <c r="Z1749" s="100" t="n"/>
      <c r="AB1749" s="101">
        <f>IF($B1749="","",(COUNTIF(C1708:E1725,$B1749)+COUNTIF(C1708:E1725,$B1749&amp;" ~*")&gt;0)+(COUNTIF(G1708:I1725,$B1749)+COUNTIF(G1708:I1725,$B1749&amp;" ~*")&gt;0)+(COUNTIF(K1708:M1725,$B1749)+COUNTIF(K1708:M1725,$B1749&amp;" ~*")&gt;0)+(COUNTIF(O1708:Q1725,$B1749)+COUNTIF(O1708:Q1725,$B1749&amp;" ~*")&gt;0)+(COUNTIF(S1708:U1725,$B1749)+COUNTIF(S1708:U1725,$B1749&amp;" ~*")&gt;0)+(COUNTIF(W1708:W1725,$B1749)+COUNTIF(W1708:W1725,$B1749&amp;" ~*")&gt;0)+(COUNTIF(Y1708:Y1725,$B1749)+COUNTIF(Y1708:Y1725,$B1749&amp;" ~*")&gt;0))</f>
        <v/>
      </c>
      <c r="AC1749" s="36">
        <f>IF($B1749="","",(IFERROR(INDEX(Setup!$G$33:$G$40,MATCH(C1749,Setup!$B$33:$B$40,0)),0)=1)*(COUNTIF(C1708:E1725,$B1749)+COUNTIF(C1708:E1725,$B1749&amp;" ~*")&gt;0)+(IFERROR(INDEX(Setup!$G$33:$G$40,MATCH(G1749,Setup!$B$33:$B$40,0)),0)=1)*(COUNTIF(G1708:I1725,$B1749)+COUNTIF(G1708:I1725,$B1749&amp;" ~*")&gt;0)+(IFERROR(INDEX(Setup!$G$33:$G$40,MATCH(K1749,Setup!$B$33:$B$40,0)),0)=1)*(COUNTIF(K1708:M1725,$B1749)+COUNTIF(K1708:M1725,$B1749&amp;" ~*")&gt;0)+(IFERROR(INDEX(Setup!$G$33:$G$40,MATCH(O1749,Setup!$B$33:$B$40,0)),0)=1)*(COUNTIF(O1708:Q1725,$B1749)+COUNTIF(O1708:Q1725,$B1749&amp;" ~*")&gt;0)+(IFERROR(INDEX(Setup!$G$33:$G$40,MATCH(S1749,Setup!$B$33:$B$40,0)),0)=1)*(COUNTIF(S1708:U1725,$B1749)+COUNTIF(S1708:U1725,$B1749&amp;" ~*")&gt;0)+(IFERROR(INDEX(Setup!$G$33:$G$40,MATCH(W1749,Setup!$B$33:$B$40,0)),0)=1)*(COUNTIF(W1708:W1725,$B1749)+COUNTIF(W1708:W1725,$B1749&amp;" ~*")&gt;0)+(IFERROR(INDEX(Setup!$G$33:$G$40,MATCH(Y1749,Setup!$B$33:$B$40,0)),0)=1)*(COUNTIF(Y1708:Y1725,$B1749)+COUNTIF(Y1708:Y1725,$B1749&amp;" ~*")&gt;0))</f>
        <v/>
      </c>
    </row>
    <row r="1750" ht="15" customHeight="1">
      <c r="A1750" t="n">
        <v>35</v>
      </c>
      <c r="B1750" s="37">
        <f>IF(Setup!$B$29="","",Setup!$B$29)</f>
        <v/>
      </c>
      <c r="C1750" s="102" t="n"/>
      <c r="D1750" s="103" t="n"/>
      <c r="E1750" s="103" t="n"/>
      <c r="F1750" s="104" t="n"/>
      <c r="G1750" s="102" t="n"/>
      <c r="H1750" s="103" t="n"/>
      <c r="I1750" s="103" t="n"/>
      <c r="J1750" s="104" t="n"/>
      <c r="K1750" s="102" t="n"/>
      <c r="L1750" s="103" t="n"/>
      <c r="M1750" s="103" t="n"/>
      <c r="N1750" s="104" t="n"/>
      <c r="O1750" s="102" t="n"/>
      <c r="P1750" s="103" t="n"/>
      <c r="Q1750" s="103" t="n"/>
      <c r="R1750" s="104" t="n"/>
      <c r="S1750" s="102" t="n"/>
      <c r="T1750" s="103" t="n"/>
      <c r="U1750" s="103" t="n"/>
      <c r="V1750" s="104" t="n"/>
      <c r="W1750" s="102" t="n"/>
      <c r="X1750" s="104" t="n"/>
      <c r="Y1750" s="102" t="n"/>
      <c r="Z1750" s="104" t="n"/>
      <c r="AB1750" s="105">
        <f>IF($B1750="","",(COUNTIF(C1708:E1725,$B1750)+COUNTIF(C1708:E1725,$B1750&amp;" ~*")&gt;0)+(COUNTIF(G1708:I1725,$B1750)+COUNTIF(G1708:I1725,$B1750&amp;" ~*")&gt;0)+(COUNTIF(K1708:M1725,$B1750)+COUNTIF(K1708:M1725,$B1750&amp;" ~*")&gt;0)+(COUNTIF(O1708:Q1725,$B1750)+COUNTIF(O1708:Q1725,$B1750&amp;" ~*")&gt;0)+(COUNTIF(S1708:U1725,$B1750)+COUNTIF(S1708:U1725,$B1750&amp;" ~*")&gt;0)+(COUNTIF(W1708:W1725,$B1750)+COUNTIF(W1708:W1725,$B1750&amp;" ~*")&gt;0)+(COUNTIF(Y1708:Y1725,$B1750)+COUNTIF(Y1708:Y1725,$B1750&amp;" ~*")&gt;0))</f>
        <v/>
      </c>
      <c r="AC1750" s="38">
        <f>IF($B1750="","",(IFERROR(INDEX(Setup!$G$33:$G$40,MATCH(C1750,Setup!$B$33:$B$40,0)),0)=1)*(COUNTIF(C1708:E1725,$B1750)+COUNTIF(C1708:E1725,$B1750&amp;" ~*")&gt;0)+(IFERROR(INDEX(Setup!$G$33:$G$40,MATCH(G1750,Setup!$B$33:$B$40,0)),0)=1)*(COUNTIF(G1708:I1725,$B1750)+COUNTIF(G1708:I1725,$B1750&amp;" ~*")&gt;0)+(IFERROR(INDEX(Setup!$G$33:$G$40,MATCH(K1750,Setup!$B$33:$B$40,0)),0)=1)*(COUNTIF(K1708:M1725,$B1750)+COUNTIF(K1708:M1725,$B1750&amp;" ~*")&gt;0)+(IFERROR(INDEX(Setup!$G$33:$G$40,MATCH(O1750,Setup!$B$33:$B$40,0)),0)=1)*(COUNTIF(O1708:Q1725,$B1750)+COUNTIF(O1708:Q1725,$B1750&amp;" ~*")&gt;0)+(IFERROR(INDEX(Setup!$G$33:$G$40,MATCH(S1750,Setup!$B$33:$B$40,0)),0)=1)*(COUNTIF(S1708:U1725,$B1750)+COUNTIF(S1708:U1725,$B1750&amp;" ~*")&gt;0)+(IFERROR(INDEX(Setup!$G$33:$G$40,MATCH(W1750,Setup!$B$33:$B$40,0)),0)=1)*(COUNTIF(W1708:W1725,$B1750)+COUNTIF(W1708:W1725,$B1750&amp;" ~*")&gt;0)+(IFERROR(INDEX(Setup!$G$33:$G$40,MATCH(Y1750,Setup!$B$33:$B$40,0)),0)=1)*(COUNTIF(Y1708:Y1725,$B1750)+COUNTIF(Y1708:Y1725,$B1750&amp;" ~*")&gt;0))</f>
        <v/>
      </c>
    </row>
    <row r="1751" ht="16" customHeight="1">
      <c r="A1751" t="n">
        <v>35</v>
      </c>
      <c r="B1751" s="106" t="inlineStr">
        <is>
          <t>Available people</t>
        </is>
      </c>
      <c r="C1751" s="107">
        <f>COUNTIFS(Setup!$E$6:$E$29,"Y",Setup!$B$6:$B$29,"?*")-SUMPRODUCT(COUNTIF(C1727:C1750,Setup!$F$33:$F$40))</f>
        <v/>
      </c>
      <c r="D1751" s="107" t="n"/>
      <c r="E1751" s="107" t="n"/>
      <c r="F1751" s="107" t="n"/>
      <c r="G1751" s="107">
        <f>COUNTIFS(Setup!$E$6:$E$29,"Y",Setup!$B$6:$B$29,"?*")-SUMPRODUCT(COUNTIF(G1727:G1750,Setup!$F$33:$F$40))</f>
        <v/>
      </c>
      <c r="H1751" s="107" t="n"/>
      <c r="I1751" s="107" t="n"/>
      <c r="J1751" s="107" t="n"/>
      <c r="K1751" s="107">
        <f>COUNTIFS(Setup!$E$6:$E$29,"Y",Setup!$B$6:$B$29,"?*")-SUMPRODUCT(COUNTIF(K1727:K1750,Setup!$F$33:$F$40))</f>
        <v/>
      </c>
      <c r="L1751" s="107" t="n"/>
      <c r="M1751" s="107" t="n"/>
      <c r="N1751" s="107" t="n"/>
      <c r="O1751" s="107">
        <f>COUNTIFS(Setup!$E$6:$E$29,"Y",Setup!$B$6:$B$29,"?*")-SUMPRODUCT(COUNTIF(O1727:O1750,Setup!$F$33:$F$40))</f>
        <v/>
      </c>
      <c r="P1751" s="107" t="n"/>
      <c r="Q1751" s="107" t="n"/>
      <c r="R1751" s="107" t="n"/>
      <c r="S1751" s="107">
        <f>COUNTIFS(Setup!$E$6:$E$29,"Y",Setup!$B$6:$B$29,"?*")-SUMPRODUCT(COUNTIF(S1727:S1750,Setup!$F$33:$F$40))</f>
        <v/>
      </c>
      <c r="T1751" s="107" t="n"/>
      <c r="U1751" s="107" t="n"/>
      <c r="V1751" s="107" t="n"/>
      <c r="W1751" s="107">
        <f>COUNTIFS(Setup!$E$6:$E$29,"Y",Setup!$B$6:$B$29,"?*")-SUMPRODUCT(COUNTIF(W1727:W1750,Setup!$F$33:$F$40))</f>
        <v/>
      </c>
      <c r="X1751" s="107" t="n"/>
      <c r="Y1751" s="107">
        <f>COUNTIFS(Setup!$E$6:$E$29,"Y",Setup!$B$6:$B$29,"?*")-SUMPRODUCT(COUNTIF(Y1727:Y1750,Setup!$F$33:$F$40))</f>
        <v/>
      </c>
      <c r="Z1751" s="107" t="n"/>
      <c r="AB1751" s="108">
        <f>SUM(AB1727:AB1750)</f>
        <v/>
      </c>
      <c r="AC1751" s="109">
        <f>SUM(AC1727:AC1750)</f>
        <v/>
      </c>
    </row>
    <row r="1752" ht="30" customHeight="1">
      <c r="A1752" t="n">
        <v>35</v>
      </c>
      <c r="B1752" s="110" t="inlineStr">
        <is>
          <t>Week notes</t>
        </is>
      </c>
      <c r="C1752" s="111" t="n"/>
      <c r="D1752" s="112" t="n"/>
      <c r="E1752" s="112" t="n"/>
      <c r="F1752" s="112" t="n"/>
      <c r="G1752" s="112" t="n"/>
      <c r="H1752" s="112" t="n"/>
      <c r="I1752" s="112" t="n"/>
      <c r="J1752" s="112" t="n"/>
      <c r="K1752" s="112" t="n"/>
      <c r="L1752" s="112" t="n"/>
      <c r="M1752" s="112" t="n"/>
      <c r="N1752" s="112" t="n"/>
      <c r="O1752" s="112" t="n"/>
      <c r="P1752" s="112" t="n"/>
      <c r="Q1752" s="112" t="n"/>
      <c r="R1752" s="112" t="n"/>
      <c r="S1752" s="112" t="n"/>
      <c r="T1752" s="112" t="n"/>
      <c r="U1752" s="112" t="n"/>
      <c r="V1752" s="112" t="n"/>
      <c r="W1752" s="112" t="n"/>
      <c r="X1752" s="112" t="n"/>
      <c r="Y1752" s="112" t="n"/>
      <c r="Z1752" s="113" t="n"/>
    </row>
    <row r="1753" ht="8" customHeight="1">
      <c r="A1753" t="n">
        <v>35</v>
      </c>
    </row>
    <row r="1754" ht="8" customHeight="1">
      <c r="A1754" t="n">
        <v>35</v>
      </c>
    </row>
    <row r="1755" ht="24" customHeight="1">
      <c r="A1755" t="n">
        <v>36</v>
      </c>
      <c r="B1755" s="73">
        <f>"WEEK 36     "&amp;TEXT(C1756,"ddd d mmm")&amp;"  –  "&amp;TEXT(C1756+6,"ddd d mmm yyyy")</f>
        <v/>
      </c>
      <c r="S1755" s="74">
        <f>IF(TODAY()&lt;C1756,"FUTURE",IF(TODAY()&gt;C1756+6,"PAST","THIS WEEK"))</f>
        <v/>
      </c>
      <c r="W1755" s="75">
        <f>IF(AND(Engine!$B$8=$AC$3,Engine!$B$9=$A1755),"◀ ACTIVE WEEK","")</f>
        <v/>
      </c>
      <c r="AA1755" s="76" t="n"/>
      <c r="AB1755" s="77" t="inlineStr">
        <is>
          <t>◀ Prev</t>
        </is>
      </c>
      <c r="AC1755" s="77" t="inlineStr">
        <is>
          <t>Next ▶</t>
        </is>
      </c>
    </row>
    <row r="1756" ht="18" customHeight="1">
      <c r="A1756" t="n">
        <v>36</v>
      </c>
      <c r="B1756" s="78" t="inlineStr">
        <is>
          <t>DUTY</t>
        </is>
      </c>
      <c r="C1756" s="79">
        <f>$AC$2+7*($A1756-1)</f>
        <v/>
      </c>
      <c r="D1756" s="80" t="n"/>
      <c r="E1756" s="80" t="n"/>
      <c r="F1756" s="81" t="n"/>
      <c r="G1756" s="79">
        <f>C1756+1</f>
        <v/>
      </c>
      <c r="H1756" s="80" t="n"/>
      <c r="I1756" s="80" t="n"/>
      <c r="J1756" s="81" t="n"/>
      <c r="K1756" s="79">
        <f>C1756+2</f>
        <v/>
      </c>
      <c r="L1756" s="80" t="n"/>
      <c r="M1756" s="80" t="n"/>
      <c r="N1756" s="81" t="n"/>
      <c r="O1756" s="79">
        <f>C1756+3</f>
        <v/>
      </c>
      <c r="P1756" s="80" t="n"/>
      <c r="Q1756" s="80" t="n"/>
      <c r="R1756" s="81" t="n"/>
      <c r="S1756" s="79">
        <f>C1756+4</f>
        <v/>
      </c>
      <c r="T1756" s="80" t="n"/>
      <c r="U1756" s="80" t="n"/>
      <c r="V1756" s="81" t="n"/>
      <c r="W1756" s="82">
        <f>C1756+5</f>
        <v/>
      </c>
      <c r="X1756" s="83" t="n"/>
      <c r="Y1756" s="82">
        <f>C1756+6</f>
        <v/>
      </c>
      <c r="Z1756" s="83" t="n"/>
      <c r="AB1756" s="72" t="inlineStr">
        <is>
          <t>Gaps</t>
        </is>
      </c>
      <c r="AC1756" s="72" t="inlineStr">
        <is>
          <t>Cover</t>
        </is>
      </c>
    </row>
    <row r="1757" ht="14" customHeight="1">
      <c r="A1757" t="n">
        <v>36</v>
      </c>
      <c r="B1757" s="84" t="inlineStr">
        <is>
          <t>(from Setup)</t>
        </is>
      </c>
      <c r="C1757" s="85" t="inlineStr">
        <is>
          <t>1</t>
        </is>
      </c>
      <c r="D1757" s="85" t="inlineStr">
        <is>
          <t>2</t>
        </is>
      </c>
      <c r="E1757" s="85" t="inlineStr">
        <is>
          <t>3</t>
        </is>
      </c>
      <c r="F1757" s="85" t="inlineStr">
        <is>
          <t>Notes</t>
        </is>
      </c>
      <c r="G1757" s="85" t="inlineStr">
        <is>
          <t>1</t>
        </is>
      </c>
      <c r="H1757" s="85" t="inlineStr">
        <is>
          <t>2</t>
        </is>
      </c>
      <c r="I1757" s="85" t="inlineStr">
        <is>
          <t>3</t>
        </is>
      </c>
      <c r="J1757" s="85" t="inlineStr">
        <is>
          <t>Notes</t>
        </is>
      </c>
      <c r="K1757" s="85" t="inlineStr">
        <is>
          <t>1</t>
        </is>
      </c>
      <c r="L1757" s="85" t="inlineStr">
        <is>
          <t>2</t>
        </is>
      </c>
      <c r="M1757" s="85" t="inlineStr">
        <is>
          <t>3</t>
        </is>
      </c>
      <c r="N1757" s="85" t="inlineStr">
        <is>
          <t>Notes</t>
        </is>
      </c>
      <c r="O1757" s="85" t="inlineStr">
        <is>
          <t>1</t>
        </is>
      </c>
      <c r="P1757" s="85" t="inlineStr">
        <is>
          <t>2</t>
        </is>
      </c>
      <c r="Q1757" s="85" t="inlineStr">
        <is>
          <t>3</t>
        </is>
      </c>
      <c r="R1757" s="85" t="inlineStr">
        <is>
          <t>Notes</t>
        </is>
      </c>
      <c r="S1757" s="85" t="inlineStr">
        <is>
          <t>1</t>
        </is>
      </c>
      <c r="T1757" s="85" t="inlineStr">
        <is>
          <t>2</t>
        </is>
      </c>
      <c r="U1757" s="85" t="inlineStr">
        <is>
          <t>3</t>
        </is>
      </c>
      <c r="V1757" s="85" t="inlineStr">
        <is>
          <t>Notes</t>
        </is>
      </c>
      <c r="W1757" s="85" t="inlineStr">
        <is>
          <t>Cover</t>
        </is>
      </c>
      <c r="X1757" s="85" t="inlineStr">
        <is>
          <t>Notes</t>
        </is>
      </c>
      <c r="Y1757" s="85" t="inlineStr">
        <is>
          <t>Cover</t>
        </is>
      </c>
      <c r="Z1757" s="85" t="inlineStr">
        <is>
          <t>Notes</t>
        </is>
      </c>
      <c r="AB1757" s="86" t="inlineStr">
        <is>
          <t>weekdays short</t>
        </is>
      </c>
      <c r="AC1757" s="87" t="inlineStr"/>
    </row>
    <row r="1758" ht="17" customHeight="1">
      <c r="A1758" t="n">
        <v>36</v>
      </c>
      <c r="B1758" s="24">
        <f>IF(Setup!$K$6="","",Setup!$K$6)</f>
        <v/>
      </c>
      <c r="C1758" s="88" t="n"/>
      <c r="D1758" s="88" t="n"/>
      <c r="E1758" s="88" t="n"/>
      <c r="F1758" s="89" t="n"/>
      <c r="G1758" s="88" t="n"/>
      <c r="H1758" s="88" t="n"/>
      <c r="I1758" s="88" t="n"/>
      <c r="J1758" s="89" t="n"/>
      <c r="K1758" s="88" t="n"/>
      <c r="L1758" s="88" t="n"/>
      <c r="M1758" s="88" t="n"/>
      <c r="N1758" s="89" t="n"/>
      <c r="O1758" s="88" t="n"/>
      <c r="P1758" s="88" t="n"/>
      <c r="Q1758" s="88" t="n"/>
      <c r="R1758" s="89" t="n"/>
      <c r="S1758" s="88" t="n"/>
      <c r="T1758" s="88" t="n"/>
      <c r="U1758" s="88" t="n"/>
      <c r="V1758" s="89" t="n"/>
      <c r="W1758" s="88" t="n"/>
      <c r="X1758" s="89" t="n"/>
      <c r="Y1758" s="88" t="n"/>
      <c r="Z1758" s="89" t="n"/>
      <c r="AB1758" s="25">
        <f>IF($B1758="","",(COUNTIF(C1758:E1758,"?*")&lt;N(INDEX(Setup!$L$6:$L$23,1)))+(COUNTIF(G1758:I1758,"?*")&lt;N(INDEX(Setup!$L$6:$L$23,1)))+(COUNTIF(K1758:M1758,"?*")&lt;N(INDEX(Setup!$L$6:$L$23,1)))+(COUNTIF(O1758:Q1758,"?*")&lt;N(INDEX(Setup!$L$6:$L$23,1)))+(COUNTIF(S1758:U1758,"?*")&lt;N(INDEX(Setup!$L$6:$L$23,1)))+((W1758="")*(INDEX(Setup!$M$6:$M$23,1)="Y"))+((Y1758="")*(INDEX(Setup!$M$6:$M$23,1)="Y")))</f>
        <v/>
      </c>
      <c r="AC1758" s="90">
        <f>IF($B1758="","",IF(AB1758=0,"✓ covered","⚠ "&amp;AB1758&amp;IF(AB1758=1," gap"," gaps")))</f>
        <v/>
      </c>
    </row>
    <row r="1759" ht="17" customHeight="1">
      <c r="A1759" t="n">
        <v>36</v>
      </c>
      <c r="B1759" s="29">
        <f>IF(Setup!$K$7="","",Setup!$K$7)</f>
        <v/>
      </c>
      <c r="C1759" s="88" t="n"/>
      <c r="D1759" s="88" t="n"/>
      <c r="E1759" s="88" t="n"/>
      <c r="F1759" s="89" t="n"/>
      <c r="G1759" s="88" t="n"/>
      <c r="H1759" s="88" t="n"/>
      <c r="I1759" s="88" t="n"/>
      <c r="J1759" s="89" t="n"/>
      <c r="K1759" s="88" t="n"/>
      <c r="L1759" s="88" t="n"/>
      <c r="M1759" s="88" t="n"/>
      <c r="N1759" s="89" t="n"/>
      <c r="O1759" s="88" t="n"/>
      <c r="P1759" s="88" t="n"/>
      <c r="Q1759" s="88" t="n"/>
      <c r="R1759" s="89" t="n"/>
      <c r="S1759" s="88" t="n"/>
      <c r="T1759" s="88" t="n"/>
      <c r="U1759" s="88" t="n"/>
      <c r="V1759" s="89" t="n"/>
      <c r="W1759" s="88" t="n"/>
      <c r="X1759" s="89" t="n"/>
      <c r="Y1759" s="88" t="n"/>
      <c r="Z1759" s="89" t="n"/>
      <c r="AB1759" s="30">
        <f>IF($B1759="","",(COUNTIF(C1759:E1759,"?*")&lt;N(INDEX(Setup!$L$6:$L$23,2)))+(COUNTIF(G1759:I1759,"?*")&lt;N(INDEX(Setup!$L$6:$L$23,2)))+(COUNTIF(K1759:M1759,"?*")&lt;N(INDEX(Setup!$L$6:$L$23,2)))+(COUNTIF(O1759:Q1759,"?*")&lt;N(INDEX(Setup!$L$6:$L$23,2)))+(COUNTIF(S1759:U1759,"?*")&lt;N(INDEX(Setup!$L$6:$L$23,2)))+((W1759="")*(INDEX(Setup!$M$6:$M$23,2)="Y"))+((Y1759="")*(INDEX(Setup!$M$6:$M$23,2)="Y")))</f>
        <v/>
      </c>
      <c r="AC1759" s="91">
        <f>IF($B1759="","",IF(AB1759=0,"✓ covered","⚠ "&amp;AB1759&amp;IF(AB1759=1," gap"," gaps")))</f>
        <v/>
      </c>
    </row>
    <row r="1760" ht="17" customHeight="1">
      <c r="A1760" t="n">
        <v>36</v>
      </c>
      <c r="B1760" s="24">
        <f>IF(Setup!$K$8="","",Setup!$K$8)</f>
        <v/>
      </c>
      <c r="C1760" s="88" t="n"/>
      <c r="D1760" s="88" t="n"/>
      <c r="E1760" s="88" t="n"/>
      <c r="F1760" s="89" t="n"/>
      <c r="G1760" s="88" t="n"/>
      <c r="H1760" s="88" t="n"/>
      <c r="I1760" s="88" t="n"/>
      <c r="J1760" s="89" t="n"/>
      <c r="K1760" s="88" t="n"/>
      <c r="L1760" s="88" t="n"/>
      <c r="M1760" s="88" t="n"/>
      <c r="N1760" s="89" t="n"/>
      <c r="O1760" s="88" t="n"/>
      <c r="P1760" s="88" t="n"/>
      <c r="Q1760" s="88" t="n"/>
      <c r="R1760" s="89" t="n"/>
      <c r="S1760" s="88" t="n"/>
      <c r="T1760" s="88" t="n"/>
      <c r="U1760" s="88" t="n"/>
      <c r="V1760" s="89" t="n"/>
      <c r="W1760" s="88" t="n"/>
      <c r="X1760" s="89" t="n"/>
      <c r="Y1760" s="88" t="n"/>
      <c r="Z1760" s="89" t="n"/>
      <c r="AB1760" s="25">
        <f>IF($B1760="","",(COUNTIF(C1760:E1760,"?*")&lt;N(INDEX(Setup!$L$6:$L$23,3)))+(COUNTIF(G1760:I1760,"?*")&lt;N(INDEX(Setup!$L$6:$L$23,3)))+(COUNTIF(K1760:M1760,"?*")&lt;N(INDEX(Setup!$L$6:$L$23,3)))+(COUNTIF(O1760:Q1760,"?*")&lt;N(INDEX(Setup!$L$6:$L$23,3)))+(COUNTIF(S1760:U1760,"?*")&lt;N(INDEX(Setup!$L$6:$L$23,3)))+((W1760="")*(INDEX(Setup!$M$6:$M$23,3)="Y"))+((Y1760="")*(INDEX(Setup!$M$6:$M$23,3)="Y")))</f>
        <v/>
      </c>
      <c r="AC1760" s="90">
        <f>IF($B1760="","",IF(AB1760=0,"✓ covered","⚠ "&amp;AB1760&amp;IF(AB1760=1," gap"," gaps")))</f>
        <v/>
      </c>
    </row>
    <row r="1761" ht="17" customHeight="1">
      <c r="A1761" t="n">
        <v>36</v>
      </c>
      <c r="B1761" s="29">
        <f>IF(Setup!$K$9="","",Setup!$K$9)</f>
        <v/>
      </c>
      <c r="C1761" s="88" t="n"/>
      <c r="D1761" s="88" t="n"/>
      <c r="E1761" s="88" t="n"/>
      <c r="F1761" s="89" t="n"/>
      <c r="G1761" s="88" t="n"/>
      <c r="H1761" s="88" t="n"/>
      <c r="I1761" s="88" t="n"/>
      <c r="J1761" s="89" t="n"/>
      <c r="K1761" s="88" t="n"/>
      <c r="L1761" s="88" t="n"/>
      <c r="M1761" s="88" t="n"/>
      <c r="N1761" s="89" t="n"/>
      <c r="O1761" s="88" t="n"/>
      <c r="P1761" s="88" t="n"/>
      <c r="Q1761" s="88" t="n"/>
      <c r="R1761" s="89" t="n"/>
      <c r="S1761" s="88" t="n"/>
      <c r="T1761" s="88" t="n"/>
      <c r="U1761" s="88" t="n"/>
      <c r="V1761" s="89" t="n"/>
      <c r="W1761" s="88" t="n"/>
      <c r="X1761" s="89" t="n"/>
      <c r="Y1761" s="88" t="n"/>
      <c r="Z1761" s="89" t="n"/>
      <c r="AB1761" s="30">
        <f>IF($B1761="","",(COUNTIF(C1761:E1761,"?*")&lt;N(INDEX(Setup!$L$6:$L$23,4)))+(COUNTIF(G1761:I1761,"?*")&lt;N(INDEX(Setup!$L$6:$L$23,4)))+(COUNTIF(K1761:M1761,"?*")&lt;N(INDEX(Setup!$L$6:$L$23,4)))+(COUNTIF(O1761:Q1761,"?*")&lt;N(INDEX(Setup!$L$6:$L$23,4)))+(COUNTIF(S1761:U1761,"?*")&lt;N(INDEX(Setup!$L$6:$L$23,4)))+((W1761="")*(INDEX(Setup!$M$6:$M$23,4)="Y"))+((Y1761="")*(INDEX(Setup!$M$6:$M$23,4)="Y")))</f>
        <v/>
      </c>
      <c r="AC1761" s="91">
        <f>IF($B1761="","",IF(AB1761=0,"✓ covered","⚠ "&amp;AB1761&amp;IF(AB1761=1," gap"," gaps")))</f>
        <v/>
      </c>
    </row>
    <row r="1762" ht="17" customHeight="1">
      <c r="A1762" t="n">
        <v>36</v>
      </c>
      <c r="B1762" s="24">
        <f>IF(Setup!$K$10="","",Setup!$K$10)</f>
        <v/>
      </c>
      <c r="C1762" s="88" t="n"/>
      <c r="D1762" s="88" t="n"/>
      <c r="E1762" s="88" t="n"/>
      <c r="F1762" s="89" t="n"/>
      <c r="G1762" s="88" t="n"/>
      <c r="H1762" s="88" t="n"/>
      <c r="I1762" s="88" t="n"/>
      <c r="J1762" s="89" t="n"/>
      <c r="K1762" s="88" t="n"/>
      <c r="L1762" s="88" t="n"/>
      <c r="M1762" s="88" t="n"/>
      <c r="N1762" s="89" t="n"/>
      <c r="O1762" s="88" t="n"/>
      <c r="P1762" s="88" t="n"/>
      <c r="Q1762" s="88" t="n"/>
      <c r="R1762" s="89" t="n"/>
      <c r="S1762" s="88" t="n"/>
      <c r="T1762" s="88" t="n"/>
      <c r="U1762" s="88" t="n"/>
      <c r="V1762" s="89" t="n"/>
      <c r="W1762" s="88" t="n"/>
      <c r="X1762" s="89" t="n"/>
      <c r="Y1762" s="88" t="n"/>
      <c r="Z1762" s="89" t="n"/>
      <c r="AB1762" s="25">
        <f>IF($B1762="","",(COUNTIF(C1762:E1762,"?*")&lt;N(INDEX(Setup!$L$6:$L$23,5)))+(COUNTIF(G1762:I1762,"?*")&lt;N(INDEX(Setup!$L$6:$L$23,5)))+(COUNTIF(K1762:M1762,"?*")&lt;N(INDEX(Setup!$L$6:$L$23,5)))+(COUNTIF(O1762:Q1762,"?*")&lt;N(INDEX(Setup!$L$6:$L$23,5)))+(COUNTIF(S1762:U1762,"?*")&lt;N(INDEX(Setup!$L$6:$L$23,5)))+((W1762="")*(INDEX(Setup!$M$6:$M$23,5)="Y"))+((Y1762="")*(INDEX(Setup!$M$6:$M$23,5)="Y")))</f>
        <v/>
      </c>
      <c r="AC1762" s="90">
        <f>IF($B1762="","",IF(AB1762=0,"✓ covered","⚠ "&amp;AB1762&amp;IF(AB1762=1," gap"," gaps")))</f>
        <v/>
      </c>
    </row>
    <row r="1763" ht="17" customHeight="1">
      <c r="A1763" t="n">
        <v>36</v>
      </c>
      <c r="B1763" s="29">
        <f>IF(Setup!$K$11="","",Setup!$K$11)</f>
        <v/>
      </c>
      <c r="C1763" s="88" t="n"/>
      <c r="D1763" s="88" t="n"/>
      <c r="E1763" s="88" t="n"/>
      <c r="F1763" s="89" t="n"/>
      <c r="G1763" s="88" t="n"/>
      <c r="H1763" s="88" t="n"/>
      <c r="I1763" s="88" t="n"/>
      <c r="J1763" s="89" t="n"/>
      <c r="K1763" s="88" t="n"/>
      <c r="L1763" s="88" t="n"/>
      <c r="M1763" s="88" t="n"/>
      <c r="N1763" s="89" t="n"/>
      <c r="O1763" s="88" t="n"/>
      <c r="P1763" s="88" t="n"/>
      <c r="Q1763" s="88" t="n"/>
      <c r="R1763" s="89" t="n"/>
      <c r="S1763" s="88" t="n"/>
      <c r="T1763" s="88" t="n"/>
      <c r="U1763" s="88" t="n"/>
      <c r="V1763" s="89" t="n"/>
      <c r="W1763" s="88" t="n"/>
      <c r="X1763" s="89" t="n"/>
      <c r="Y1763" s="88" t="n"/>
      <c r="Z1763" s="89" t="n"/>
      <c r="AB1763" s="30">
        <f>IF($B1763="","",(COUNTIF(C1763:E1763,"?*")&lt;N(INDEX(Setup!$L$6:$L$23,6)))+(COUNTIF(G1763:I1763,"?*")&lt;N(INDEX(Setup!$L$6:$L$23,6)))+(COUNTIF(K1763:M1763,"?*")&lt;N(INDEX(Setup!$L$6:$L$23,6)))+(COUNTIF(O1763:Q1763,"?*")&lt;N(INDEX(Setup!$L$6:$L$23,6)))+(COUNTIF(S1763:U1763,"?*")&lt;N(INDEX(Setup!$L$6:$L$23,6)))+((W1763="")*(INDEX(Setup!$M$6:$M$23,6)="Y"))+((Y1763="")*(INDEX(Setup!$M$6:$M$23,6)="Y")))</f>
        <v/>
      </c>
      <c r="AC1763" s="91">
        <f>IF($B1763="","",IF(AB1763=0,"✓ covered","⚠ "&amp;AB1763&amp;IF(AB1763=1," gap"," gaps")))</f>
        <v/>
      </c>
    </row>
    <row r="1764" ht="17" customHeight="1">
      <c r="A1764" t="n">
        <v>36</v>
      </c>
      <c r="B1764" s="24">
        <f>IF(Setup!$K$12="","",Setup!$K$12)</f>
        <v/>
      </c>
      <c r="C1764" s="88" t="n"/>
      <c r="D1764" s="88" t="n"/>
      <c r="E1764" s="88" t="n"/>
      <c r="F1764" s="89" t="n"/>
      <c r="G1764" s="88" t="n"/>
      <c r="H1764" s="88" t="n"/>
      <c r="I1764" s="88" t="n"/>
      <c r="J1764" s="89" t="n"/>
      <c r="K1764" s="88" t="n"/>
      <c r="L1764" s="88" t="n"/>
      <c r="M1764" s="88" t="n"/>
      <c r="N1764" s="89" t="n"/>
      <c r="O1764" s="88" t="n"/>
      <c r="P1764" s="88" t="n"/>
      <c r="Q1764" s="88" t="n"/>
      <c r="R1764" s="89" t="n"/>
      <c r="S1764" s="88" t="n"/>
      <c r="T1764" s="88" t="n"/>
      <c r="U1764" s="88" t="n"/>
      <c r="V1764" s="89" t="n"/>
      <c r="W1764" s="88" t="n"/>
      <c r="X1764" s="89" t="n"/>
      <c r="Y1764" s="88" t="n"/>
      <c r="Z1764" s="89" t="n"/>
      <c r="AB1764" s="25">
        <f>IF($B1764="","",(COUNTIF(C1764:E1764,"?*")&lt;N(INDEX(Setup!$L$6:$L$23,7)))+(COUNTIF(G1764:I1764,"?*")&lt;N(INDEX(Setup!$L$6:$L$23,7)))+(COUNTIF(K1764:M1764,"?*")&lt;N(INDEX(Setup!$L$6:$L$23,7)))+(COUNTIF(O1764:Q1764,"?*")&lt;N(INDEX(Setup!$L$6:$L$23,7)))+(COUNTIF(S1764:U1764,"?*")&lt;N(INDEX(Setup!$L$6:$L$23,7)))+((W1764="")*(INDEX(Setup!$M$6:$M$23,7)="Y"))+((Y1764="")*(INDEX(Setup!$M$6:$M$23,7)="Y")))</f>
        <v/>
      </c>
      <c r="AC1764" s="90">
        <f>IF($B1764="","",IF(AB1764=0,"✓ covered","⚠ "&amp;AB1764&amp;IF(AB1764=1," gap"," gaps")))</f>
        <v/>
      </c>
    </row>
    <row r="1765" ht="17" customHeight="1">
      <c r="A1765" t="n">
        <v>36</v>
      </c>
      <c r="B1765" s="29">
        <f>IF(Setup!$K$13="","",Setup!$K$13)</f>
        <v/>
      </c>
      <c r="C1765" s="88" t="n"/>
      <c r="D1765" s="88" t="n"/>
      <c r="E1765" s="88" t="n"/>
      <c r="F1765" s="89" t="n"/>
      <c r="G1765" s="88" t="n"/>
      <c r="H1765" s="88" t="n"/>
      <c r="I1765" s="88" t="n"/>
      <c r="J1765" s="89" t="n"/>
      <c r="K1765" s="88" t="n"/>
      <c r="L1765" s="88" t="n"/>
      <c r="M1765" s="88" t="n"/>
      <c r="N1765" s="89" t="n"/>
      <c r="O1765" s="88" t="n"/>
      <c r="P1765" s="88" t="n"/>
      <c r="Q1765" s="88" t="n"/>
      <c r="R1765" s="89" t="n"/>
      <c r="S1765" s="88" t="n"/>
      <c r="T1765" s="88" t="n"/>
      <c r="U1765" s="88" t="n"/>
      <c r="V1765" s="89" t="n"/>
      <c r="W1765" s="88" t="n"/>
      <c r="X1765" s="89" t="n"/>
      <c r="Y1765" s="88" t="n"/>
      <c r="Z1765" s="89" t="n"/>
      <c r="AB1765" s="30">
        <f>IF($B1765="","",(COUNTIF(C1765:E1765,"?*")&lt;N(INDEX(Setup!$L$6:$L$23,8)))+(COUNTIF(G1765:I1765,"?*")&lt;N(INDEX(Setup!$L$6:$L$23,8)))+(COUNTIF(K1765:M1765,"?*")&lt;N(INDEX(Setup!$L$6:$L$23,8)))+(COUNTIF(O1765:Q1765,"?*")&lt;N(INDEX(Setup!$L$6:$L$23,8)))+(COUNTIF(S1765:U1765,"?*")&lt;N(INDEX(Setup!$L$6:$L$23,8)))+((W1765="")*(INDEX(Setup!$M$6:$M$23,8)="Y"))+((Y1765="")*(INDEX(Setup!$M$6:$M$23,8)="Y")))</f>
        <v/>
      </c>
      <c r="AC1765" s="91">
        <f>IF($B1765="","",IF(AB1765=0,"✓ covered","⚠ "&amp;AB1765&amp;IF(AB1765=1," gap"," gaps")))</f>
        <v/>
      </c>
    </row>
    <row r="1766" ht="17" customHeight="1">
      <c r="A1766" t="n">
        <v>36</v>
      </c>
      <c r="B1766" s="24">
        <f>IF(Setup!$K$14="","",Setup!$K$14)</f>
        <v/>
      </c>
      <c r="C1766" s="88" t="n"/>
      <c r="D1766" s="88" t="n"/>
      <c r="E1766" s="88" t="n"/>
      <c r="F1766" s="89" t="n"/>
      <c r="G1766" s="88" t="n"/>
      <c r="H1766" s="88" t="n"/>
      <c r="I1766" s="88" t="n"/>
      <c r="J1766" s="89" t="n"/>
      <c r="K1766" s="88" t="n"/>
      <c r="L1766" s="88" t="n"/>
      <c r="M1766" s="88" t="n"/>
      <c r="N1766" s="89" t="n"/>
      <c r="O1766" s="88" t="n"/>
      <c r="P1766" s="88" t="n"/>
      <c r="Q1766" s="88" t="n"/>
      <c r="R1766" s="89" t="n"/>
      <c r="S1766" s="88" t="n"/>
      <c r="T1766" s="88" t="n"/>
      <c r="U1766" s="88" t="n"/>
      <c r="V1766" s="89" t="n"/>
      <c r="W1766" s="88" t="n"/>
      <c r="X1766" s="89" t="n"/>
      <c r="Y1766" s="88" t="n"/>
      <c r="Z1766" s="89" t="n"/>
      <c r="AB1766" s="25">
        <f>IF($B1766="","",(COUNTIF(C1766:E1766,"?*")&lt;N(INDEX(Setup!$L$6:$L$23,9)))+(COUNTIF(G1766:I1766,"?*")&lt;N(INDEX(Setup!$L$6:$L$23,9)))+(COUNTIF(K1766:M1766,"?*")&lt;N(INDEX(Setup!$L$6:$L$23,9)))+(COUNTIF(O1766:Q1766,"?*")&lt;N(INDEX(Setup!$L$6:$L$23,9)))+(COUNTIF(S1766:U1766,"?*")&lt;N(INDEX(Setup!$L$6:$L$23,9)))+((W1766="")*(INDEX(Setup!$M$6:$M$23,9)="Y"))+((Y1766="")*(INDEX(Setup!$M$6:$M$23,9)="Y")))</f>
        <v/>
      </c>
      <c r="AC1766" s="90">
        <f>IF($B1766="","",IF(AB1766=0,"✓ covered","⚠ "&amp;AB1766&amp;IF(AB1766=1," gap"," gaps")))</f>
        <v/>
      </c>
    </row>
    <row r="1767" ht="17" customHeight="1">
      <c r="A1767" t="n">
        <v>36</v>
      </c>
      <c r="B1767" s="29">
        <f>IF(Setup!$K$15="","",Setup!$K$15)</f>
        <v/>
      </c>
      <c r="C1767" s="88" t="n"/>
      <c r="D1767" s="88" t="n"/>
      <c r="E1767" s="88" t="n"/>
      <c r="F1767" s="89" t="n"/>
      <c r="G1767" s="88" t="n"/>
      <c r="H1767" s="88" t="n"/>
      <c r="I1767" s="88" t="n"/>
      <c r="J1767" s="89" t="n"/>
      <c r="K1767" s="88" t="n"/>
      <c r="L1767" s="88" t="n"/>
      <c r="M1767" s="88" t="n"/>
      <c r="N1767" s="89" t="n"/>
      <c r="O1767" s="88" t="n"/>
      <c r="P1767" s="88" t="n"/>
      <c r="Q1767" s="88" t="n"/>
      <c r="R1767" s="89" t="n"/>
      <c r="S1767" s="88" t="n"/>
      <c r="T1767" s="88" t="n"/>
      <c r="U1767" s="88" t="n"/>
      <c r="V1767" s="89" t="n"/>
      <c r="W1767" s="88" t="n"/>
      <c r="X1767" s="89" t="n"/>
      <c r="Y1767" s="88" t="n"/>
      <c r="Z1767" s="89" t="n"/>
      <c r="AB1767" s="30">
        <f>IF($B1767="","",(COUNTIF(C1767:E1767,"?*")&lt;N(INDEX(Setup!$L$6:$L$23,10)))+(COUNTIF(G1767:I1767,"?*")&lt;N(INDEX(Setup!$L$6:$L$23,10)))+(COUNTIF(K1767:M1767,"?*")&lt;N(INDEX(Setup!$L$6:$L$23,10)))+(COUNTIF(O1767:Q1767,"?*")&lt;N(INDEX(Setup!$L$6:$L$23,10)))+(COUNTIF(S1767:U1767,"?*")&lt;N(INDEX(Setup!$L$6:$L$23,10)))+((W1767="")*(INDEX(Setup!$M$6:$M$23,10)="Y"))+((Y1767="")*(INDEX(Setup!$M$6:$M$23,10)="Y")))</f>
        <v/>
      </c>
      <c r="AC1767" s="91">
        <f>IF($B1767="","",IF(AB1767=0,"✓ covered","⚠ "&amp;AB1767&amp;IF(AB1767=1," gap"," gaps")))</f>
        <v/>
      </c>
    </row>
    <row r="1768" ht="17" customHeight="1">
      <c r="A1768" t="n">
        <v>36</v>
      </c>
      <c r="B1768" s="24">
        <f>IF(Setup!$K$16="","",Setup!$K$16)</f>
        <v/>
      </c>
      <c r="C1768" s="88" t="n"/>
      <c r="D1768" s="88" t="n"/>
      <c r="E1768" s="88" t="n"/>
      <c r="F1768" s="89" t="n"/>
      <c r="G1768" s="88" t="n"/>
      <c r="H1768" s="88" t="n"/>
      <c r="I1768" s="88" t="n"/>
      <c r="J1768" s="89" t="n"/>
      <c r="K1768" s="88" t="n"/>
      <c r="L1768" s="88" t="n"/>
      <c r="M1768" s="88" t="n"/>
      <c r="N1768" s="89" t="n"/>
      <c r="O1768" s="88" t="n"/>
      <c r="P1768" s="88" t="n"/>
      <c r="Q1768" s="88" t="n"/>
      <c r="R1768" s="89" t="n"/>
      <c r="S1768" s="88" t="n"/>
      <c r="T1768" s="88" t="n"/>
      <c r="U1768" s="88" t="n"/>
      <c r="V1768" s="89" t="n"/>
      <c r="W1768" s="88" t="n"/>
      <c r="X1768" s="89" t="n"/>
      <c r="Y1768" s="88" t="n"/>
      <c r="Z1768" s="89" t="n"/>
      <c r="AB1768" s="25">
        <f>IF($B1768="","",(COUNTIF(C1768:E1768,"?*")&lt;N(INDEX(Setup!$L$6:$L$23,11)))+(COUNTIF(G1768:I1768,"?*")&lt;N(INDEX(Setup!$L$6:$L$23,11)))+(COUNTIF(K1768:M1768,"?*")&lt;N(INDEX(Setup!$L$6:$L$23,11)))+(COUNTIF(O1768:Q1768,"?*")&lt;N(INDEX(Setup!$L$6:$L$23,11)))+(COUNTIF(S1768:U1768,"?*")&lt;N(INDEX(Setup!$L$6:$L$23,11)))+((W1768="")*(INDEX(Setup!$M$6:$M$23,11)="Y"))+((Y1768="")*(INDEX(Setup!$M$6:$M$23,11)="Y")))</f>
        <v/>
      </c>
      <c r="AC1768" s="90">
        <f>IF($B1768="","",IF(AB1768=0,"✓ covered","⚠ "&amp;AB1768&amp;IF(AB1768=1," gap"," gaps")))</f>
        <v/>
      </c>
    </row>
    <row r="1769" ht="17" customHeight="1">
      <c r="A1769" t="n">
        <v>36</v>
      </c>
      <c r="B1769" s="29">
        <f>IF(Setup!$K$17="","",Setup!$K$17)</f>
        <v/>
      </c>
      <c r="C1769" s="88" t="n"/>
      <c r="D1769" s="88" t="n"/>
      <c r="E1769" s="88" t="n"/>
      <c r="F1769" s="89" t="n"/>
      <c r="G1769" s="88" t="n"/>
      <c r="H1769" s="88" t="n"/>
      <c r="I1769" s="88" t="n"/>
      <c r="J1769" s="89" t="n"/>
      <c r="K1769" s="88" t="n"/>
      <c r="L1769" s="88" t="n"/>
      <c r="M1769" s="88" t="n"/>
      <c r="N1769" s="89" t="n"/>
      <c r="O1769" s="88" t="n"/>
      <c r="P1769" s="88" t="n"/>
      <c r="Q1769" s="88" t="n"/>
      <c r="R1769" s="89" t="n"/>
      <c r="S1769" s="88" t="n"/>
      <c r="T1769" s="88" t="n"/>
      <c r="U1769" s="88" t="n"/>
      <c r="V1769" s="89" t="n"/>
      <c r="W1769" s="88" t="n"/>
      <c r="X1769" s="89" t="n"/>
      <c r="Y1769" s="88" t="n"/>
      <c r="Z1769" s="89" t="n"/>
      <c r="AB1769" s="30">
        <f>IF($B1769="","",(COUNTIF(C1769:E1769,"?*")&lt;N(INDEX(Setup!$L$6:$L$23,12)))+(COUNTIF(G1769:I1769,"?*")&lt;N(INDEX(Setup!$L$6:$L$23,12)))+(COUNTIF(K1769:M1769,"?*")&lt;N(INDEX(Setup!$L$6:$L$23,12)))+(COUNTIF(O1769:Q1769,"?*")&lt;N(INDEX(Setup!$L$6:$L$23,12)))+(COUNTIF(S1769:U1769,"?*")&lt;N(INDEX(Setup!$L$6:$L$23,12)))+((W1769="")*(INDEX(Setup!$M$6:$M$23,12)="Y"))+((Y1769="")*(INDEX(Setup!$M$6:$M$23,12)="Y")))</f>
        <v/>
      </c>
      <c r="AC1769" s="91">
        <f>IF($B1769="","",IF(AB1769=0,"✓ covered","⚠ "&amp;AB1769&amp;IF(AB1769=1," gap"," gaps")))</f>
        <v/>
      </c>
    </row>
    <row r="1770" ht="17" customHeight="1">
      <c r="A1770" t="n">
        <v>36</v>
      </c>
      <c r="B1770" s="24">
        <f>IF(Setup!$K$18="","",Setup!$K$18)</f>
        <v/>
      </c>
      <c r="C1770" s="88" t="n"/>
      <c r="D1770" s="88" t="n"/>
      <c r="E1770" s="88" t="n"/>
      <c r="F1770" s="89" t="n"/>
      <c r="G1770" s="88" t="n"/>
      <c r="H1770" s="88" t="n"/>
      <c r="I1770" s="88" t="n"/>
      <c r="J1770" s="89" t="n"/>
      <c r="K1770" s="88" t="n"/>
      <c r="L1770" s="88" t="n"/>
      <c r="M1770" s="88" t="n"/>
      <c r="N1770" s="89" t="n"/>
      <c r="O1770" s="88" t="n"/>
      <c r="P1770" s="88" t="n"/>
      <c r="Q1770" s="88" t="n"/>
      <c r="R1770" s="89" t="n"/>
      <c r="S1770" s="88" t="n"/>
      <c r="T1770" s="88" t="n"/>
      <c r="U1770" s="88" t="n"/>
      <c r="V1770" s="89" t="n"/>
      <c r="W1770" s="88" t="n"/>
      <c r="X1770" s="89" t="n"/>
      <c r="Y1770" s="88" t="n"/>
      <c r="Z1770" s="89" t="n"/>
      <c r="AB1770" s="25">
        <f>IF($B1770="","",(COUNTIF(C1770:E1770,"?*")&lt;N(INDEX(Setup!$L$6:$L$23,13)))+(COUNTIF(G1770:I1770,"?*")&lt;N(INDEX(Setup!$L$6:$L$23,13)))+(COUNTIF(K1770:M1770,"?*")&lt;N(INDEX(Setup!$L$6:$L$23,13)))+(COUNTIF(O1770:Q1770,"?*")&lt;N(INDEX(Setup!$L$6:$L$23,13)))+(COUNTIF(S1770:U1770,"?*")&lt;N(INDEX(Setup!$L$6:$L$23,13)))+((W1770="")*(INDEX(Setup!$M$6:$M$23,13)="Y"))+((Y1770="")*(INDEX(Setup!$M$6:$M$23,13)="Y")))</f>
        <v/>
      </c>
      <c r="AC1770" s="90">
        <f>IF($B1770="","",IF(AB1770=0,"✓ covered","⚠ "&amp;AB1770&amp;IF(AB1770=1," gap"," gaps")))</f>
        <v/>
      </c>
    </row>
    <row r="1771" ht="17" customHeight="1">
      <c r="A1771" t="n">
        <v>36</v>
      </c>
      <c r="B1771" s="29">
        <f>IF(Setup!$K$19="","",Setup!$K$19)</f>
        <v/>
      </c>
      <c r="C1771" s="88" t="n"/>
      <c r="D1771" s="88" t="n"/>
      <c r="E1771" s="88" t="n"/>
      <c r="F1771" s="89" t="n"/>
      <c r="G1771" s="88" t="n"/>
      <c r="H1771" s="88" t="n"/>
      <c r="I1771" s="88" t="n"/>
      <c r="J1771" s="89" t="n"/>
      <c r="K1771" s="88" t="n"/>
      <c r="L1771" s="88" t="n"/>
      <c r="M1771" s="88" t="n"/>
      <c r="N1771" s="89" t="n"/>
      <c r="O1771" s="88" t="n"/>
      <c r="P1771" s="88" t="n"/>
      <c r="Q1771" s="88" t="n"/>
      <c r="R1771" s="89" t="n"/>
      <c r="S1771" s="88" t="n"/>
      <c r="T1771" s="88" t="n"/>
      <c r="U1771" s="88" t="n"/>
      <c r="V1771" s="89" t="n"/>
      <c r="W1771" s="88" t="n"/>
      <c r="X1771" s="89" t="n"/>
      <c r="Y1771" s="88" t="n"/>
      <c r="Z1771" s="89" t="n"/>
      <c r="AB1771" s="30">
        <f>IF($B1771="","",(COUNTIF(C1771:E1771,"?*")&lt;N(INDEX(Setup!$L$6:$L$23,14)))+(COUNTIF(G1771:I1771,"?*")&lt;N(INDEX(Setup!$L$6:$L$23,14)))+(COUNTIF(K1771:M1771,"?*")&lt;N(INDEX(Setup!$L$6:$L$23,14)))+(COUNTIF(O1771:Q1771,"?*")&lt;N(INDEX(Setup!$L$6:$L$23,14)))+(COUNTIF(S1771:U1771,"?*")&lt;N(INDEX(Setup!$L$6:$L$23,14)))+((W1771="")*(INDEX(Setup!$M$6:$M$23,14)="Y"))+((Y1771="")*(INDEX(Setup!$M$6:$M$23,14)="Y")))</f>
        <v/>
      </c>
      <c r="AC1771" s="91">
        <f>IF($B1771="","",IF(AB1771=0,"✓ covered","⚠ "&amp;AB1771&amp;IF(AB1771=1," gap"," gaps")))</f>
        <v/>
      </c>
    </row>
    <row r="1772" ht="17" customHeight="1">
      <c r="A1772" t="n">
        <v>36</v>
      </c>
      <c r="B1772" s="24">
        <f>IF(Setup!$K$20="","",Setup!$K$20)</f>
        <v/>
      </c>
      <c r="C1772" s="88" t="n"/>
      <c r="D1772" s="88" t="n"/>
      <c r="E1772" s="88" t="n"/>
      <c r="F1772" s="89" t="n"/>
      <c r="G1772" s="88" t="n"/>
      <c r="H1772" s="88" t="n"/>
      <c r="I1772" s="88" t="n"/>
      <c r="J1772" s="89" t="n"/>
      <c r="K1772" s="88" t="n"/>
      <c r="L1772" s="88" t="n"/>
      <c r="M1772" s="88" t="n"/>
      <c r="N1772" s="89" t="n"/>
      <c r="O1772" s="88" t="n"/>
      <c r="P1772" s="88" t="n"/>
      <c r="Q1772" s="88" t="n"/>
      <c r="R1772" s="89" t="n"/>
      <c r="S1772" s="88" t="n"/>
      <c r="T1772" s="88" t="n"/>
      <c r="U1772" s="88" t="n"/>
      <c r="V1772" s="89" t="n"/>
      <c r="W1772" s="88" t="n"/>
      <c r="X1772" s="89" t="n"/>
      <c r="Y1772" s="88" t="n"/>
      <c r="Z1772" s="89" t="n"/>
      <c r="AB1772" s="25">
        <f>IF($B1772="","",(COUNTIF(C1772:E1772,"?*")&lt;N(INDEX(Setup!$L$6:$L$23,15)))+(COUNTIF(G1772:I1772,"?*")&lt;N(INDEX(Setup!$L$6:$L$23,15)))+(COUNTIF(K1772:M1772,"?*")&lt;N(INDEX(Setup!$L$6:$L$23,15)))+(COUNTIF(O1772:Q1772,"?*")&lt;N(INDEX(Setup!$L$6:$L$23,15)))+(COUNTIF(S1772:U1772,"?*")&lt;N(INDEX(Setup!$L$6:$L$23,15)))+((W1772="")*(INDEX(Setup!$M$6:$M$23,15)="Y"))+((Y1772="")*(INDEX(Setup!$M$6:$M$23,15)="Y")))</f>
        <v/>
      </c>
      <c r="AC1772" s="90">
        <f>IF($B1772="","",IF(AB1772=0,"✓ covered","⚠ "&amp;AB1772&amp;IF(AB1772=1," gap"," gaps")))</f>
        <v/>
      </c>
    </row>
    <row r="1773" ht="17" customHeight="1">
      <c r="A1773" t="n">
        <v>36</v>
      </c>
      <c r="B1773" s="29">
        <f>IF(Setup!$K$21="","",Setup!$K$21)</f>
        <v/>
      </c>
      <c r="C1773" s="88" t="n"/>
      <c r="D1773" s="88" t="n"/>
      <c r="E1773" s="88" t="n"/>
      <c r="F1773" s="89" t="n"/>
      <c r="G1773" s="88" t="n"/>
      <c r="H1773" s="88" t="n"/>
      <c r="I1773" s="88" t="n"/>
      <c r="J1773" s="89" t="n"/>
      <c r="K1773" s="88" t="n"/>
      <c r="L1773" s="88" t="n"/>
      <c r="M1773" s="88" t="n"/>
      <c r="N1773" s="89" t="n"/>
      <c r="O1773" s="88" t="n"/>
      <c r="P1773" s="88" t="n"/>
      <c r="Q1773" s="88" t="n"/>
      <c r="R1773" s="89" t="n"/>
      <c r="S1773" s="88" t="n"/>
      <c r="T1773" s="88" t="n"/>
      <c r="U1773" s="88" t="n"/>
      <c r="V1773" s="89" t="n"/>
      <c r="W1773" s="88" t="n"/>
      <c r="X1773" s="89" t="n"/>
      <c r="Y1773" s="88" t="n"/>
      <c r="Z1773" s="89" t="n"/>
      <c r="AB1773" s="30">
        <f>IF($B1773="","",(COUNTIF(C1773:E1773,"?*")&lt;N(INDEX(Setup!$L$6:$L$23,16)))+(COUNTIF(G1773:I1773,"?*")&lt;N(INDEX(Setup!$L$6:$L$23,16)))+(COUNTIF(K1773:M1773,"?*")&lt;N(INDEX(Setup!$L$6:$L$23,16)))+(COUNTIF(O1773:Q1773,"?*")&lt;N(INDEX(Setup!$L$6:$L$23,16)))+(COUNTIF(S1773:U1773,"?*")&lt;N(INDEX(Setup!$L$6:$L$23,16)))+((W1773="")*(INDEX(Setup!$M$6:$M$23,16)="Y"))+((Y1773="")*(INDEX(Setup!$M$6:$M$23,16)="Y")))</f>
        <v/>
      </c>
      <c r="AC1773" s="91">
        <f>IF($B1773="","",IF(AB1773=0,"✓ covered","⚠ "&amp;AB1773&amp;IF(AB1773=1," gap"," gaps")))</f>
        <v/>
      </c>
    </row>
    <row r="1774" ht="17" customHeight="1">
      <c r="A1774" t="n">
        <v>36</v>
      </c>
      <c r="B1774" s="24">
        <f>IF(Setup!$K$22="","",Setup!$K$22)</f>
        <v/>
      </c>
      <c r="C1774" s="88" t="n"/>
      <c r="D1774" s="88" t="n"/>
      <c r="E1774" s="88" t="n"/>
      <c r="F1774" s="89" t="n"/>
      <c r="G1774" s="88" t="n"/>
      <c r="H1774" s="88" t="n"/>
      <c r="I1774" s="88" t="n"/>
      <c r="J1774" s="89" t="n"/>
      <c r="K1774" s="88" t="n"/>
      <c r="L1774" s="88" t="n"/>
      <c r="M1774" s="88" t="n"/>
      <c r="N1774" s="89" t="n"/>
      <c r="O1774" s="88" t="n"/>
      <c r="P1774" s="88" t="n"/>
      <c r="Q1774" s="88" t="n"/>
      <c r="R1774" s="89" t="n"/>
      <c r="S1774" s="88" t="n"/>
      <c r="T1774" s="88" t="n"/>
      <c r="U1774" s="88" t="n"/>
      <c r="V1774" s="89" t="n"/>
      <c r="W1774" s="88" t="n"/>
      <c r="X1774" s="89" t="n"/>
      <c r="Y1774" s="88" t="n"/>
      <c r="Z1774" s="89" t="n"/>
      <c r="AB1774" s="25">
        <f>IF($B1774="","",(COUNTIF(C1774:E1774,"?*")&lt;N(INDEX(Setup!$L$6:$L$23,17)))+(COUNTIF(G1774:I1774,"?*")&lt;N(INDEX(Setup!$L$6:$L$23,17)))+(COUNTIF(K1774:M1774,"?*")&lt;N(INDEX(Setup!$L$6:$L$23,17)))+(COUNTIF(O1774:Q1774,"?*")&lt;N(INDEX(Setup!$L$6:$L$23,17)))+(COUNTIF(S1774:U1774,"?*")&lt;N(INDEX(Setup!$L$6:$L$23,17)))+((W1774="")*(INDEX(Setup!$M$6:$M$23,17)="Y"))+((Y1774="")*(INDEX(Setup!$M$6:$M$23,17)="Y")))</f>
        <v/>
      </c>
      <c r="AC1774" s="90">
        <f>IF($B1774="","",IF(AB1774=0,"✓ covered","⚠ "&amp;AB1774&amp;IF(AB1774=1," gap"," gaps")))</f>
        <v/>
      </c>
    </row>
    <row r="1775" ht="17" customHeight="1">
      <c r="A1775" t="n">
        <v>36</v>
      </c>
      <c r="B1775" s="29">
        <f>IF(Setup!$K$23="","",Setup!$K$23)</f>
        <v/>
      </c>
      <c r="C1775" s="88" t="n"/>
      <c r="D1775" s="88" t="n"/>
      <c r="E1775" s="88" t="n"/>
      <c r="F1775" s="89" t="n"/>
      <c r="G1775" s="88" t="n"/>
      <c r="H1775" s="88" t="n"/>
      <c r="I1775" s="88" t="n"/>
      <c r="J1775" s="89" t="n"/>
      <c r="K1775" s="88" t="n"/>
      <c r="L1775" s="88" t="n"/>
      <c r="M1775" s="88" t="n"/>
      <c r="N1775" s="89" t="n"/>
      <c r="O1775" s="88" t="n"/>
      <c r="P1775" s="88" t="n"/>
      <c r="Q1775" s="88" t="n"/>
      <c r="R1775" s="89" t="n"/>
      <c r="S1775" s="88" t="n"/>
      <c r="T1775" s="88" t="n"/>
      <c r="U1775" s="88" t="n"/>
      <c r="V1775" s="89" t="n"/>
      <c r="W1775" s="88" t="n"/>
      <c r="X1775" s="89" t="n"/>
      <c r="Y1775" s="88" t="n"/>
      <c r="Z1775" s="89" t="n"/>
      <c r="AB1775" s="30">
        <f>IF($B1775="","",(COUNTIF(C1775:E1775,"?*")&lt;N(INDEX(Setup!$L$6:$L$23,18)))+(COUNTIF(G1775:I1775,"?*")&lt;N(INDEX(Setup!$L$6:$L$23,18)))+(COUNTIF(K1775:M1775,"?*")&lt;N(INDEX(Setup!$L$6:$L$23,18)))+(COUNTIF(O1775:Q1775,"?*")&lt;N(INDEX(Setup!$L$6:$L$23,18)))+(COUNTIF(S1775:U1775,"?*")&lt;N(INDEX(Setup!$L$6:$L$23,18)))+((W1775="")*(INDEX(Setup!$M$6:$M$23,18)="Y"))+((Y1775="")*(INDEX(Setup!$M$6:$M$23,18)="Y")))</f>
        <v/>
      </c>
      <c r="AC1775" s="91">
        <f>IF($B1775="","",IF(AB1775=0,"✓ covered","⚠ "&amp;AB1775&amp;IF(AB1775=1," gap"," gaps")))</f>
        <v/>
      </c>
    </row>
    <row r="1776" ht="18" customHeight="1">
      <c r="A1776" t="n">
        <v>36</v>
      </c>
      <c r="B1776" s="78" t="inlineStr">
        <is>
          <t>TEAM AVAILABILITY</t>
        </is>
      </c>
      <c r="C1776" s="92" t="inlineStr">
        <is>
          <t>Mon</t>
        </is>
      </c>
      <c r="D1776" s="93" t="n"/>
      <c r="E1776" s="93" t="n"/>
      <c r="F1776" s="94" t="n"/>
      <c r="G1776" s="92" t="inlineStr">
        <is>
          <t>Tue</t>
        </is>
      </c>
      <c r="H1776" s="93" t="n"/>
      <c r="I1776" s="93" t="n"/>
      <c r="J1776" s="94" t="n"/>
      <c r="K1776" s="92" t="inlineStr">
        <is>
          <t>Wed</t>
        </is>
      </c>
      <c r="L1776" s="93" t="n"/>
      <c r="M1776" s="93" t="n"/>
      <c r="N1776" s="94" t="n"/>
      <c r="O1776" s="92" t="inlineStr">
        <is>
          <t>Thu</t>
        </is>
      </c>
      <c r="P1776" s="93" t="n"/>
      <c r="Q1776" s="93" t="n"/>
      <c r="R1776" s="94" t="n"/>
      <c r="S1776" s="92" t="inlineStr">
        <is>
          <t>Fri</t>
        </is>
      </c>
      <c r="T1776" s="93" t="n"/>
      <c r="U1776" s="93" t="n"/>
      <c r="V1776" s="94" t="n"/>
      <c r="W1776" s="95" t="inlineStr">
        <is>
          <t>Sat</t>
        </is>
      </c>
      <c r="X1776" s="96" t="n"/>
      <c r="Y1776" s="95" t="inlineStr">
        <is>
          <t>Sun</t>
        </is>
      </c>
      <c r="Z1776" s="96" t="n"/>
      <c r="AB1776" s="97" t="inlineStr">
        <is>
          <t>Days rostered</t>
        </is>
      </c>
      <c r="AC1776" s="97" t="inlineStr">
        <is>
          <t>Conflicts</t>
        </is>
      </c>
    </row>
    <row r="1777" ht="15" customHeight="1">
      <c r="A1777" t="n">
        <v>36</v>
      </c>
      <c r="B1777" s="35">
        <f>IF(Setup!$B$6="","",Setup!$B$6)</f>
        <v/>
      </c>
      <c r="C1777" s="98" t="n"/>
      <c r="D1777" s="99" t="n"/>
      <c r="E1777" s="99" t="n"/>
      <c r="F1777" s="100" t="n"/>
      <c r="G1777" s="98" t="n"/>
      <c r="H1777" s="99" t="n"/>
      <c r="I1777" s="99" t="n"/>
      <c r="J1777" s="100" t="n"/>
      <c r="K1777" s="98" t="n"/>
      <c r="L1777" s="99" t="n"/>
      <c r="M1777" s="99" t="n"/>
      <c r="N1777" s="100" t="n"/>
      <c r="O1777" s="98" t="n"/>
      <c r="P1777" s="99" t="n"/>
      <c r="Q1777" s="99" t="n"/>
      <c r="R1777" s="100" t="n"/>
      <c r="S1777" s="98" t="n"/>
      <c r="T1777" s="99" t="n"/>
      <c r="U1777" s="99" t="n"/>
      <c r="V1777" s="100" t="n"/>
      <c r="W1777" s="98" t="n"/>
      <c r="X1777" s="100" t="n"/>
      <c r="Y1777" s="98" t="n"/>
      <c r="Z1777" s="100" t="n"/>
      <c r="AB1777" s="101">
        <f>IF($B1777="","",(COUNTIF(C1758:E1775,$B1777)+COUNTIF(C1758:E1775,$B1777&amp;" ~*")&gt;0)+(COUNTIF(G1758:I1775,$B1777)+COUNTIF(G1758:I1775,$B1777&amp;" ~*")&gt;0)+(COUNTIF(K1758:M1775,$B1777)+COUNTIF(K1758:M1775,$B1777&amp;" ~*")&gt;0)+(COUNTIF(O1758:Q1775,$B1777)+COUNTIF(O1758:Q1775,$B1777&amp;" ~*")&gt;0)+(COUNTIF(S1758:U1775,$B1777)+COUNTIF(S1758:U1775,$B1777&amp;" ~*")&gt;0)+(COUNTIF(W1758:W1775,$B1777)+COUNTIF(W1758:W1775,$B1777&amp;" ~*")&gt;0)+(COUNTIF(Y1758:Y1775,$B1777)+COUNTIF(Y1758:Y1775,$B1777&amp;" ~*")&gt;0))</f>
        <v/>
      </c>
      <c r="AC1777" s="36">
        <f>IF($B1777="","",(IFERROR(INDEX(Setup!$G$33:$G$40,MATCH(C1777,Setup!$B$33:$B$40,0)),0)=1)*(COUNTIF(C1758:E1775,$B1777)+COUNTIF(C1758:E1775,$B1777&amp;" ~*")&gt;0)+(IFERROR(INDEX(Setup!$G$33:$G$40,MATCH(G1777,Setup!$B$33:$B$40,0)),0)=1)*(COUNTIF(G1758:I1775,$B1777)+COUNTIF(G1758:I1775,$B1777&amp;" ~*")&gt;0)+(IFERROR(INDEX(Setup!$G$33:$G$40,MATCH(K1777,Setup!$B$33:$B$40,0)),0)=1)*(COUNTIF(K1758:M1775,$B1777)+COUNTIF(K1758:M1775,$B1777&amp;" ~*")&gt;0)+(IFERROR(INDEX(Setup!$G$33:$G$40,MATCH(O1777,Setup!$B$33:$B$40,0)),0)=1)*(COUNTIF(O1758:Q1775,$B1777)+COUNTIF(O1758:Q1775,$B1777&amp;" ~*")&gt;0)+(IFERROR(INDEX(Setup!$G$33:$G$40,MATCH(S1777,Setup!$B$33:$B$40,0)),0)=1)*(COUNTIF(S1758:U1775,$B1777)+COUNTIF(S1758:U1775,$B1777&amp;" ~*")&gt;0)+(IFERROR(INDEX(Setup!$G$33:$G$40,MATCH(W1777,Setup!$B$33:$B$40,0)),0)=1)*(COUNTIF(W1758:W1775,$B1777)+COUNTIF(W1758:W1775,$B1777&amp;" ~*")&gt;0)+(IFERROR(INDEX(Setup!$G$33:$G$40,MATCH(Y1777,Setup!$B$33:$B$40,0)),0)=1)*(COUNTIF(Y1758:Y1775,$B1777)+COUNTIF(Y1758:Y1775,$B1777&amp;" ~*")&gt;0))</f>
        <v/>
      </c>
    </row>
    <row r="1778" ht="15" customHeight="1">
      <c r="A1778" t="n">
        <v>36</v>
      </c>
      <c r="B1778" s="37">
        <f>IF(Setup!$B$7="","",Setup!$B$7)</f>
        <v/>
      </c>
      <c r="C1778" s="102" t="n"/>
      <c r="D1778" s="103" t="n"/>
      <c r="E1778" s="103" t="n"/>
      <c r="F1778" s="104" t="n"/>
      <c r="G1778" s="102" t="n"/>
      <c r="H1778" s="103" t="n"/>
      <c r="I1778" s="103" t="n"/>
      <c r="J1778" s="104" t="n"/>
      <c r="K1778" s="102" t="n"/>
      <c r="L1778" s="103" t="n"/>
      <c r="M1778" s="103" t="n"/>
      <c r="N1778" s="104" t="n"/>
      <c r="O1778" s="102" t="n"/>
      <c r="P1778" s="103" t="n"/>
      <c r="Q1778" s="103" t="n"/>
      <c r="R1778" s="104" t="n"/>
      <c r="S1778" s="102" t="n"/>
      <c r="T1778" s="103" t="n"/>
      <c r="U1778" s="103" t="n"/>
      <c r="V1778" s="104" t="n"/>
      <c r="W1778" s="102" t="n"/>
      <c r="X1778" s="104" t="n"/>
      <c r="Y1778" s="102" t="n"/>
      <c r="Z1778" s="104" t="n"/>
      <c r="AB1778" s="105">
        <f>IF($B1778="","",(COUNTIF(C1758:E1775,$B1778)+COUNTIF(C1758:E1775,$B1778&amp;" ~*")&gt;0)+(COUNTIF(G1758:I1775,$B1778)+COUNTIF(G1758:I1775,$B1778&amp;" ~*")&gt;0)+(COUNTIF(K1758:M1775,$B1778)+COUNTIF(K1758:M1775,$B1778&amp;" ~*")&gt;0)+(COUNTIF(O1758:Q1775,$B1778)+COUNTIF(O1758:Q1775,$B1778&amp;" ~*")&gt;0)+(COUNTIF(S1758:U1775,$B1778)+COUNTIF(S1758:U1775,$B1778&amp;" ~*")&gt;0)+(COUNTIF(W1758:W1775,$B1778)+COUNTIF(W1758:W1775,$B1778&amp;" ~*")&gt;0)+(COUNTIF(Y1758:Y1775,$B1778)+COUNTIF(Y1758:Y1775,$B1778&amp;" ~*")&gt;0))</f>
        <v/>
      </c>
      <c r="AC1778" s="38">
        <f>IF($B1778="","",(IFERROR(INDEX(Setup!$G$33:$G$40,MATCH(C1778,Setup!$B$33:$B$40,0)),0)=1)*(COUNTIF(C1758:E1775,$B1778)+COUNTIF(C1758:E1775,$B1778&amp;" ~*")&gt;0)+(IFERROR(INDEX(Setup!$G$33:$G$40,MATCH(G1778,Setup!$B$33:$B$40,0)),0)=1)*(COUNTIF(G1758:I1775,$B1778)+COUNTIF(G1758:I1775,$B1778&amp;" ~*")&gt;0)+(IFERROR(INDEX(Setup!$G$33:$G$40,MATCH(K1778,Setup!$B$33:$B$40,0)),0)=1)*(COUNTIF(K1758:M1775,$B1778)+COUNTIF(K1758:M1775,$B1778&amp;" ~*")&gt;0)+(IFERROR(INDEX(Setup!$G$33:$G$40,MATCH(O1778,Setup!$B$33:$B$40,0)),0)=1)*(COUNTIF(O1758:Q1775,$B1778)+COUNTIF(O1758:Q1775,$B1778&amp;" ~*")&gt;0)+(IFERROR(INDEX(Setup!$G$33:$G$40,MATCH(S1778,Setup!$B$33:$B$40,0)),0)=1)*(COUNTIF(S1758:U1775,$B1778)+COUNTIF(S1758:U1775,$B1778&amp;" ~*")&gt;0)+(IFERROR(INDEX(Setup!$G$33:$G$40,MATCH(W1778,Setup!$B$33:$B$40,0)),0)=1)*(COUNTIF(W1758:W1775,$B1778)+COUNTIF(W1758:W1775,$B1778&amp;" ~*")&gt;0)+(IFERROR(INDEX(Setup!$G$33:$G$40,MATCH(Y1778,Setup!$B$33:$B$40,0)),0)=1)*(COUNTIF(Y1758:Y1775,$B1778)+COUNTIF(Y1758:Y1775,$B1778&amp;" ~*")&gt;0))</f>
        <v/>
      </c>
    </row>
    <row r="1779" ht="15" customHeight="1">
      <c r="A1779" t="n">
        <v>36</v>
      </c>
      <c r="B1779" s="35">
        <f>IF(Setup!$B$8="","",Setup!$B$8)</f>
        <v/>
      </c>
      <c r="C1779" s="98" t="n"/>
      <c r="D1779" s="99" t="n"/>
      <c r="E1779" s="99" t="n"/>
      <c r="F1779" s="100" t="n"/>
      <c r="G1779" s="98" t="n"/>
      <c r="H1779" s="99" t="n"/>
      <c r="I1779" s="99" t="n"/>
      <c r="J1779" s="100" t="n"/>
      <c r="K1779" s="98" t="n"/>
      <c r="L1779" s="99" t="n"/>
      <c r="M1779" s="99" t="n"/>
      <c r="N1779" s="100" t="n"/>
      <c r="O1779" s="98" t="n"/>
      <c r="P1779" s="99" t="n"/>
      <c r="Q1779" s="99" t="n"/>
      <c r="R1779" s="100" t="n"/>
      <c r="S1779" s="98" t="n"/>
      <c r="T1779" s="99" t="n"/>
      <c r="U1779" s="99" t="n"/>
      <c r="V1779" s="100" t="n"/>
      <c r="W1779" s="98" t="n"/>
      <c r="X1779" s="100" t="n"/>
      <c r="Y1779" s="98" t="n"/>
      <c r="Z1779" s="100" t="n"/>
      <c r="AB1779" s="101">
        <f>IF($B1779="","",(COUNTIF(C1758:E1775,$B1779)+COUNTIF(C1758:E1775,$B1779&amp;" ~*")&gt;0)+(COUNTIF(G1758:I1775,$B1779)+COUNTIF(G1758:I1775,$B1779&amp;" ~*")&gt;0)+(COUNTIF(K1758:M1775,$B1779)+COUNTIF(K1758:M1775,$B1779&amp;" ~*")&gt;0)+(COUNTIF(O1758:Q1775,$B1779)+COUNTIF(O1758:Q1775,$B1779&amp;" ~*")&gt;0)+(COUNTIF(S1758:U1775,$B1779)+COUNTIF(S1758:U1775,$B1779&amp;" ~*")&gt;0)+(COUNTIF(W1758:W1775,$B1779)+COUNTIF(W1758:W1775,$B1779&amp;" ~*")&gt;0)+(COUNTIF(Y1758:Y1775,$B1779)+COUNTIF(Y1758:Y1775,$B1779&amp;" ~*")&gt;0))</f>
        <v/>
      </c>
      <c r="AC1779" s="36">
        <f>IF($B1779="","",(IFERROR(INDEX(Setup!$G$33:$G$40,MATCH(C1779,Setup!$B$33:$B$40,0)),0)=1)*(COUNTIF(C1758:E1775,$B1779)+COUNTIF(C1758:E1775,$B1779&amp;" ~*")&gt;0)+(IFERROR(INDEX(Setup!$G$33:$G$40,MATCH(G1779,Setup!$B$33:$B$40,0)),0)=1)*(COUNTIF(G1758:I1775,$B1779)+COUNTIF(G1758:I1775,$B1779&amp;" ~*")&gt;0)+(IFERROR(INDEX(Setup!$G$33:$G$40,MATCH(K1779,Setup!$B$33:$B$40,0)),0)=1)*(COUNTIF(K1758:M1775,$B1779)+COUNTIF(K1758:M1775,$B1779&amp;" ~*")&gt;0)+(IFERROR(INDEX(Setup!$G$33:$G$40,MATCH(O1779,Setup!$B$33:$B$40,0)),0)=1)*(COUNTIF(O1758:Q1775,$B1779)+COUNTIF(O1758:Q1775,$B1779&amp;" ~*")&gt;0)+(IFERROR(INDEX(Setup!$G$33:$G$40,MATCH(S1779,Setup!$B$33:$B$40,0)),0)=1)*(COUNTIF(S1758:U1775,$B1779)+COUNTIF(S1758:U1775,$B1779&amp;" ~*")&gt;0)+(IFERROR(INDEX(Setup!$G$33:$G$40,MATCH(W1779,Setup!$B$33:$B$40,0)),0)=1)*(COUNTIF(W1758:W1775,$B1779)+COUNTIF(W1758:W1775,$B1779&amp;" ~*")&gt;0)+(IFERROR(INDEX(Setup!$G$33:$G$40,MATCH(Y1779,Setup!$B$33:$B$40,0)),0)=1)*(COUNTIF(Y1758:Y1775,$B1779)+COUNTIF(Y1758:Y1775,$B1779&amp;" ~*")&gt;0))</f>
        <v/>
      </c>
    </row>
    <row r="1780" ht="15" customHeight="1">
      <c r="A1780" t="n">
        <v>36</v>
      </c>
      <c r="B1780" s="37">
        <f>IF(Setup!$B$9="","",Setup!$B$9)</f>
        <v/>
      </c>
      <c r="C1780" s="102" t="n"/>
      <c r="D1780" s="103" t="n"/>
      <c r="E1780" s="103" t="n"/>
      <c r="F1780" s="104" t="n"/>
      <c r="G1780" s="102" t="n"/>
      <c r="H1780" s="103" t="n"/>
      <c r="I1780" s="103" t="n"/>
      <c r="J1780" s="104" t="n"/>
      <c r="K1780" s="102" t="n"/>
      <c r="L1780" s="103" t="n"/>
      <c r="M1780" s="103" t="n"/>
      <c r="N1780" s="104" t="n"/>
      <c r="O1780" s="102" t="n"/>
      <c r="P1780" s="103" t="n"/>
      <c r="Q1780" s="103" t="n"/>
      <c r="R1780" s="104" t="n"/>
      <c r="S1780" s="102" t="n"/>
      <c r="T1780" s="103" t="n"/>
      <c r="U1780" s="103" t="n"/>
      <c r="V1780" s="104" t="n"/>
      <c r="W1780" s="102" t="n"/>
      <c r="X1780" s="104" t="n"/>
      <c r="Y1780" s="102" t="n"/>
      <c r="Z1780" s="104" t="n"/>
      <c r="AB1780" s="105">
        <f>IF($B1780="","",(COUNTIF(C1758:E1775,$B1780)+COUNTIF(C1758:E1775,$B1780&amp;" ~*")&gt;0)+(COUNTIF(G1758:I1775,$B1780)+COUNTIF(G1758:I1775,$B1780&amp;" ~*")&gt;0)+(COUNTIF(K1758:M1775,$B1780)+COUNTIF(K1758:M1775,$B1780&amp;" ~*")&gt;0)+(COUNTIF(O1758:Q1775,$B1780)+COUNTIF(O1758:Q1775,$B1780&amp;" ~*")&gt;0)+(COUNTIF(S1758:U1775,$B1780)+COUNTIF(S1758:U1775,$B1780&amp;" ~*")&gt;0)+(COUNTIF(W1758:W1775,$B1780)+COUNTIF(W1758:W1775,$B1780&amp;" ~*")&gt;0)+(COUNTIF(Y1758:Y1775,$B1780)+COUNTIF(Y1758:Y1775,$B1780&amp;" ~*")&gt;0))</f>
        <v/>
      </c>
      <c r="AC1780" s="38">
        <f>IF($B1780="","",(IFERROR(INDEX(Setup!$G$33:$G$40,MATCH(C1780,Setup!$B$33:$B$40,0)),0)=1)*(COUNTIF(C1758:E1775,$B1780)+COUNTIF(C1758:E1775,$B1780&amp;" ~*")&gt;0)+(IFERROR(INDEX(Setup!$G$33:$G$40,MATCH(G1780,Setup!$B$33:$B$40,0)),0)=1)*(COUNTIF(G1758:I1775,$B1780)+COUNTIF(G1758:I1775,$B1780&amp;" ~*")&gt;0)+(IFERROR(INDEX(Setup!$G$33:$G$40,MATCH(K1780,Setup!$B$33:$B$40,0)),0)=1)*(COUNTIF(K1758:M1775,$B1780)+COUNTIF(K1758:M1775,$B1780&amp;" ~*")&gt;0)+(IFERROR(INDEX(Setup!$G$33:$G$40,MATCH(O1780,Setup!$B$33:$B$40,0)),0)=1)*(COUNTIF(O1758:Q1775,$B1780)+COUNTIF(O1758:Q1775,$B1780&amp;" ~*")&gt;0)+(IFERROR(INDEX(Setup!$G$33:$G$40,MATCH(S1780,Setup!$B$33:$B$40,0)),0)=1)*(COUNTIF(S1758:U1775,$B1780)+COUNTIF(S1758:U1775,$B1780&amp;" ~*")&gt;0)+(IFERROR(INDEX(Setup!$G$33:$G$40,MATCH(W1780,Setup!$B$33:$B$40,0)),0)=1)*(COUNTIF(W1758:W1775,$B1780)+COUNTIF(W1758:W1775,$B1780&amp;" ~*")&gt;0)+(IFERROR(INDEX(Setup!$G$33:$G$40,MATCH(Y1780,Setup!$B$33:$B$40,0)),0)=1)*(COUNTIF(Y1758:Y1775,$B1780)+COUNTIF(Y1758:Y1775,$B1780&amp;" ~*")&gt;0))</f>
        <v/>
      </c>
    </row>
    <row r="1781" ht="15" customHeight="1">
      <c r="A1781" t="n">
        <v>36</v>
      </c>
      <c r="B1781" s="35">
        <f>IF(Setup!$B$10="","",Setup!$B$10)</f>
        <v/>
      </c>
      <c r="C1781" s="98" t="n"/>
      <c r="D1781" s="99" t="n"/>
      <c r="E1781" s="99" t="n"/>
      <c r="F1781" s="100" t="n"/>
      <c r="G1781" s="98" t="n"/>
      <c r="H1781" s="99" t="n"/>
      <c r="I1781" s="99" t="n"/>
      <c r="J1781" s="100" t="n"/>
      <c r="K1781" s="98" t="n"/>
      <c r="L1781" s="99" t="n"/>
      <c r="M1781" s="99" t="n"/>
      <c r="N1781" s="100" t="n"/>
      <c r="O1781" s="98" t="n"/>
      <c r="P1781" s="99" t="n"/>
      <c r="Q1781" s="99" t="n"/>
      <c r="R1781" s="100" t="n"/>
      <c r="S1781" s="98" t="n"/>
      <c r="T1781" s="99" t="n"/>
      <c r="U1781" s="99" t="n"/>
      <c r="V1781" s="100" t="n"/>
      <c r="W1781" s="98" t="n"/>
      <c r="X1781" s="100" t="n"/>
      <c r="Y1781" s="98" t="n"/>
      <c r="Z1781" s="100" t="n"/>
      <c r="AB1781" s="101">
        <f>IF($B1781="","",(COUNTIF(C1758:E1775,$B1781)+COUNTIF(C1758:E1775,$B1781&amp;" ~*")&gt;0)+(COUNTIF(G1758:I1775,$B1781)+COUNTIF(G1758:I1775,$B1781&amp;" ~*")&gt;0)+(COUNTIF(K1758:M1775,$B1781)+COUNTIF(K1758:M1775,$B1781&amp;" ~*")&gt;0)+(COUNTIF(O1758:Q1775,$B1781)+COUNTIF(O1758:Q1775,$B1781&amp;" ~*")&gt;0)+(COUNTIF(S1758:U1775,$B1781)+COUNTIF(S1758:U1775,$B1781&amp;" ~*")&gt;0)+(COUNTIF(W1758:W1775,$B1781)+COUNTIF(W1758:W1775,$B1781&amp;" ~*")&gt;0)+(COUNTIF(Y1758:Y1775,$B1781)+COUNTIF(Y1758:Y1775,$B1781&amp;" ~*")&gt;0))</f>
        <v/>
      </c>
      <c r="AC1781" s="36">
        <f>IF($B1781="","",(IFERROR(INDEX(Setup!$G$33:$G$40,MATCH(C1781,Setup!$B$33:$B$40,0)),0)=1)*(COUNTIF(C1758:E1775,$B1781)+COUNTIF(C1758:E1775,$B1781&amp;" ~*")&gt;0)+(IFERROR(INDEX(Setup!$G$33:$G$40,MATCH(G1781,Setup!$B$33:$B$40,0)),0)=1)*(COUNTIF(G1758:I1775,$B1781)+COUNTIF(G1758:I1775,$B1781&amp;" ~*")&gt;0)+(IFERROR(INDEX(Setup!$G$33:$G$40,MATCH(K1781,Setup!$B$33:$B$40,0)),0)=1)*(COUNTIF(K1758:M1775,$B1781)+COUNTIF(K1758:M1775,$B1781&amp;" ~*")&gt;0)+(IFERROR(INDEX(Setup!$G$33:$G$40,MATCH(O1781,Setup!$B$33:$B$40,0)),0)=1)*(COUNTIF(O1758:Q1775,$B1781)+COUNTIF(O1758:Q1775,$B1781&amp;" ~*")&gt;0)+(IFERROR(INDEX(Setup!$G$33:$G$40,MATCH(S1781,Setup!$B$33:$B$40,0)),0)=1)*(COUNTIF(S1758:U1775,$B1781)+COUNTIF(S1758:U1775,$B1781&amp;" ~*")&gt;0)+(IFERROR(INDEX(Setup!$G$33:$G$40,MATCH(W1781,Setup!$B$33:$B$40,0)),0)=1)*(COUNTIF(W1758:W1775,$B1781)+COUNTIF(W1758:W1775,$B1781&amp;" ~*")&gt;0)+(IFERROR(INDEX(Setup!$G$33:$G$40,MATCH(Y1781,Setup!$B$33:$B$40,0)),0)=1)*(COUNTIF(Y1758:Y1775,$B1781)+COUNTIF(Y1758:Y1775,$B1781&amp;" ~*")&gt;0))</f>
        <v/>
      </c>
    </row>
    <row r="1782" ht="15" customHeight="1">
      <c r="A1782" t="n">
        <v>36</v>
      </c>
      <c r="B1782" s="37">
        <f>IF(Setup!$B$11="","",Setup!$B$11)</f>
        <v/>
      </c>
      <c r="C1782" s="102" t="n"/>
      <c r="D1782" s="103" t="n"/>
      <c r="E1782" s="103" t="n"/>
      <c r="F1782" s="104" t="n"/>
      <c r="G1782" s="102" t="n"/>
      <c r="H1782" s="103" t="n"/>
      <c r="I1782" s="103" t="n"/>
      <c r="J1782" s="104" t="n"/>
      <c r="K1782" s="102" t="n"/>
      <c r="L1782" s="103" t="n"/>
      <c r="M1782" s="103" t="n"/>
      <c r="N1782" s="104" t="n"/>
      <c r="O1782" s="102" t="n"/>
      <c r="P1782" s="103" t="n"/>
      <c r="Q1782" s="103" t="n"/>
      <c r="R1782" s="104" t="n"/>
      <c r="S1782" s="102" t="n"/>
      <c r="T1782" s="103" t="n"/>
      <c r="U1782" s="103" t="n"/>
      <c r="V1782" s="104" t="n"/>
      <c r="W1782" s="102" t="n"/>
      <c r="X1782" s="104" t="n"/>
      <c r="Y1782" s="102" t="n"/>
      <c r="Z1782" s="104" t="n"/>
      <c r="AB1782" s="105">
        <f>IF($B1782="","",(COUNTIF(C1758:E1775,$B1782)+COUNTIF(C1758:E1775,$B1782&amp;" ~*")&gt;0)+(COUNTIF(G1758:I1775,$B1782)+COUNTIF(G1758:I1775,$B1782&amp;" ~*")&gt;0)+(COUNTIF(K1758:M1775,$B1782)+COUNTIF(K1758:M1775,$B1782&amp;" ~*")&gt;0)+(COUNTIF(O1758:Q1775,$B1782)+COUNTIF(O1758:Q1775,$B1782&amp;" ~*")&gt;0)+(COUNTIF(S1758:U1775,$B1782)+COUNTIF(S1758:U1775,$B1782&amp;" ~*")&gt;0)+(COUNTIF(W1758:W1775,$B1782)+COUNTIF(W1758:W1775,$B1782&amp;" ~*")&gt;0)+(COUNTIF(Y1758:Y1775,$B1782)+COUNTIF(Y1758:Y1775,$B1782&amp;" ~*")&gt;0))</f>
        <v/>
      </c>
      <c r="AC1782" s="38">
        <f>IF($B1782="","",(IFERROR(INDEX(Setup!$G$33:$G$40,MATCH(C1782,Setup!$B$33:$B$40,0)),0)=1)*(COUNTIF(C1758:E1775,$B1782)+COUNTIF(C1758:E1775,$B1782&amp;" ~*")&gt;0)+(IFERROR(INDEX(Setup!$G$33:$G$40,MATCH(G1782,Setup!$B$33:$B$40,0)),0)=1)*(COUNTIF(G1758:I1775,$B1782)+COUNTIF(G1758:I1775,$B1782&amp;" ~*")&gt;0)+(IFERROR(INDEX(Setup!$G$33:$G$40,MATCH(K1782,Setup!$B$33:$B$40,0)),0)=1)*(COUNTIF(K1758:M1775,$B1782)+COUNTIF(K1758:M1775,$B1782&amp;" ~*")&gt;0)+(IFERROR(INDEX(Setup!$G$33:$G$40,MATCH(O1782,Setup!$B$33:$B$40,0)),0)=1)*(COUNTIF(O1758:Q1775,$B1782)+COUNTIF(O1758:Q1775,$B1782&amp;" ~*")&gt;0)+(IFERROR(INDEX(Setup!$G$33:$G$40,MATCH(S1782,Setup!$B$33:$B$40,0)),0)=1)*(COUNTIF(S1758:U1775,$B1782)+COUNTIF(S1758:U1775,$B1782&amp;" ~*")&gt;0)+(IFERROR(INDEX(Setup!$G$33:$G$40,MATCH(W1782,Setup!$B$33:$B$40,0)),0)=1)*(COUNTIF(W1758:W1775,$B1782)+COUNTIF(W1758:W1775,$B1782&amp;" ~*")&gt;0)+(IFERROR(INDEX(Setup!$G$33:$G$40,MATCH(Y1782,Setup!$B$33:$B$40,0)),0)=1)*(COUNTIF(Y1758:Y1775,$B1782)+COUNTIF(Y1758:Y1775,$B1782&amp;" ~*")&gt;0))</f>
        <v/>
      </c>
    </row>
    <row r="1783" ht="15" customHeight="1">
      <c r="A1783" t="n">
        <v>36</v>
      </c>
      <c r="B1783" s="35">
        <f>IF(Setup!$B$12="","",Setup!$B$12)</f>
        <v/>
      </c>
      <c r="C1783" s="98" t="n"/>
      <c r="D1783" s="99" t="n"/>
      <c r="E1783" s="99" t="n"/>
      <c r="F1783" s="100" t="n"/>
      <c r="G1783" s="98" t="n"/>
      <c r="H1783" s="99" t="n"/>
      <c r="I1783" s="99" t="n"/>
      <c r="J1783" s="100" t="n"/>
      <c r="K1783" s="98" t="n"/>
      <c r="L1783" s="99" t="n"/>
      <c r="M1783" s="99" t="n"/>
      <c r="N1783" s="100" t="n"/>
      <c r="O1783" s="98" t="n"/>
      <c r="P1783" s="99" t="n"/>
      <c r="Q1783" s="99" t="n"/>
      <c r="R1783" s="100" t="n"/>
      <c r="S1783" s="98" t="n"/>
      <c r="T1783" s="99" t="n"/>
      <c r="U1783" s="99" t="n"/>
      <c r="V1783" s="100" t="n"/>
      <c r="W1783" s="98" t="n"/>
      <c r="X1783" s="100" t="n"/>
      <c r="Y1783" s="98" t="n"/>
      <c r="Z1783" s="100" t="n"/>
      <c r="AB1783" s="101">
        <f>IF($B1783="","",(COUNTIF(C1758:E1775,$B1783)+COUNTIF(C1758:E1775,$B1783&amp;" ~*")&gt;0)+(COUNTIF(G1758:I1775,$B1783)+COUNTIF(G1758:I1775,$B1783&amp;" ~*")&gt;0)+(COUNTIF(K1758:M1775,$B1783)+COUNTIF(K1758:M1775,$B1783&amp;" ~*")&gt;0)+(COUNTIF(O1758:Q1775,$B1783)+COUNTIF(O1758:Q1775,$B1783&amp;" ~*")&gt;0)+(COUNTIF(S1758:U1775,$B1783)+COUNTIF(S1758:U1775,$B1783&amp;" ~*")&gt;0)+(COUNTIF(W1758:W1775,$B1783)+COUNTIF(W1758:W1775,$B1783&amp;" ~*")&gt;0)+(COUNTIF(Y1758:Y1775,$B1783)+COUNTIF(Y1758:Y1775,$B1783&amp;" ~*")&gt;0))</f>
        <v/>
      </c>
      <c r="AC1783" s="36">
        <f>IF($B1783="","",(IFERROR(INDEX(Setup!$G$33:$G$40,MATCH(C1783,Setup!$B$33:$B$40,0)),0)=1)*(COUNTIF(C1758:E1775,$B1783)+COUNTIF(C1758:E1775,$B1783&amp;" ~*")&gt;0)+(IFERROR(INDEX(Setup!$G$33:$G$40,MATCH(G1783,Setup!$B$33:$B$40,0)),0)=1)*(COUNTIF(G1758:I1775,$B1783)+COUNTIF(G1758:I1775,$B1783&amp;" ~*")&gt;0)+(IFERROR(INDEX(Setup!$G$33:$G$40,MATCH(K1783,Setup!$B$33:$B$40,0)),0)=1)*(COUNTIF(K1758:M1775,$B1783)+COUNTIF(K1758:M1775,$B1783&amp;" ~*")&gt;0)+(IFERROR(INDEX(Setup!$G$33:$G$40,MATCH(O1783,Setup!$B$33:$B$40,0)),0)=1)*(COUNTIF(O1758:Q1775,$B1783)+COUNTIF(O1758:Q1775,$B1783&amp;" ~*")&gt;0)+(IFERROR(INDEX(Setup!$G$33:$G$40,MATCH(S1783,Setup!$B$33:$B$40,0)),0)=1)*(COUNTIF(S1758:U1775,$B1783)+COUNTIF(S1758:U1775,$B1783&amp;" ~*")&gt;0)+(IFERROR(INDEX(Setup!$G$33:$G$40,MATCH(W1783,Setup!$B$33:$B$40,0)),0)=1)*(COUNTIF(W1758:W1775,$B1783)+COUNTIF(W1758:W1775,$B1783&amp;" ~*")&gt;0)+(IFERROR(INDEX(Setup!$G$33:$G$40,MATCH(Y1783,Setup!$B$33:$B$40,0)),0)=1)*(COUNTIF(Y1758:Y1775,$B1783)+COUNTIF(Y1758:Y1775,$B1783&amp;" ~*")&gt;0))</f>
        <v/>
      </c>
    </row>
    <row r="1784" ht="15" customHeight="1">
      <c r="A1784" t="n">
        <v>36</v>
      </c>
      <c r="B1784" s="37">
        <f>IF(Setup!$B$13="","",Setup!$B$13)</f>
        <v/>
      </c>
      <c r="C1784" s="102" t="n"/>
      <c r="D1784" s="103" t="n"/>
      <c r="E1784" s="103" t="n"/>
      <c r="F1784" s="104" t="n"/>
      <c r="G1784" s="102" t="n"/>
      <c r="H1784" s="103" t="n"/>
      <c r="I1784" s="103" t="n"/>
      <c r="J1784" s="104" t="n"/>
      <c r="K1784" s="102" t="n"/>
      <c r="L1784" s="103" t="n"/>
      <c r="M1784" s="103" t="n"/>
      <c r="N1784" s="104" t="n"/>
      <c r="O1784" s="102" t="n"/>
      <c r="P1784" s="103" t="n"/>
      <c r="Q1784" s="103" t="n"/>
      <c r="R1784" s="104" t="n"/>
      <c r="S1784" s="102" t="n"/>
      <c r="T1784" s="103" t="n"/>
      <c r="U1784" s="103" t="n"/>
      <c r="V1784" s="104" t="n"/>
      <c r="W1784" s="102" t="n"/>
      <c r="X1784" s="104" t="n"/>
      <c r="Y1784" s="102" t="n"/>
      <c r="Z1784" s="104" t="n"/>
      <c r="AB1784" s="105">
        <f>IF($B1784="","",(COUNTIF(C1758:E1775,$B1784)+COUNTIF(C1758:E1775,$B1784&amp;" ~*")&gt;0)+(COUNTIF(G1758:I1775,$B1784)+COUNTIF(G1758:I1775,$B1784&amp;" ~*")&gt;0)+(COUNTIF(K1758:M1775,$B1784)+COUNTIF(K1758:M1775,$B1784&amp;" ~*")&gt;0)+(COUNTIF(O1758:Q1775,$B1784)+COUNTIF(O1758:Q1775,$B1784&amp;" ~*")&gt;0)+(COUNTIF(S1758:U1775,$B1784)+COUNTIF(S1758:U1775,$B1784&amp;" ~*")&gt;0)+(COUNTIF(W1758:W1775,$B1784)+COUNTIF(W1758:W1775,$B1784&amp;" ~*")&gt;0)+(COUNTIF(Y1758:Y1775,$B1784)+COUNTIF(Y1758:Y1775,$B1784&amp;" ~*")&gt;0))</f>
        <v/>
      </c>
      <c r="AC1784" s="38">
        <f>IF($B1784="","",(IFERROR(INDEX(Setup!$G$33:$G$40,MATCH(C1784,Setup!$B$33:$B$40,0)),0)=1)*(COUNTIF(C1758:E1775,$B1784)+COUNTIF(C1758:E1775,$B1784&amp;" ~*")&gt;0)+(IFERROR(INDEX(Setup!$G$33:$G$40,MATCH(G1784,Setup!$B$33:$B$40,0)),0)=1)*(COUNTIF(G1758:I1775,$B1784)+COUNTIF(G1758:I1775,$B1784&amp;" ~*")&gt;0)+(IFERROR(INDEX(Setup!$G$33:$G$40,MATCH(K1784,Setup!$B$33:$B$40,0)),0)=1)*(COUNTIF(K1758:M1775,$B1784)+COUNTIF(K1758:M1775,$B1784&amp;" ~*")&gt;0)+(IFERROR(INDEX(Setup!$G$33:$G$40,MATCH(O1784,Setup!$B$33:$B$40,0)),0)=1)*(COUNTIF(O1758:Q1775,$B1784)+COUNTIF(O1758:Q1775,$B1784&amp;" ~*")&gt;0)+(IFERROR(INDEX(Setup!$G$33:$G$40,MATCH(S1784,Setup!$B$33:$B$40,0)),0)=1)*(COUNTIF(S1758:U1775,$B1784)+COUNTIF(S1758:U1775,$B1784&amp;" ~*")&gt;0)+(IFERROR(INDEX(Setup!$G$33:$G$40,MATCH(W1784,Setup!$B$33:$B$40,0)),0)=1)*(COUNTIF(W1758:W1775,$B1784)+COUNTIF(W1758:W1775,$B1784&amp;" ~*")&gt;0)+(IFERROR(INDEX(Setup!$G$33:$G$40,MATCH(Y1784,Setup!$B$33:$B$40,0)),0)=1)*(COUNTIF(Y1758:Y1775,$B1784)+COUNTIF(Y1758:Y1775,$B1784&amp;" ~*")&gt;0))</f>
        <v/>
      </c>
    </row>
    <row r="1785" ht="15" customHeight="1">
      <c r="A1785" t="n">
        <v>36</v>
      </c>
      <c r="B1785" s="35">
        <f>IF(Setup!$B$14="","",Setup!$B$14)</f>
        <v/>
      </c>
      <c r="C1785" s="98" t="n"/>
      <c r="D1785" s="99" t="n"/>
      <c r="E1785" s="99" t="n"/>
      <c r="F1785" s="100" t="n"/>
      <c r="G1785" s="98" t="n"/>
      <c r="H1785" s="99" t="n"/>
      <c r="I1785" s="99" t="n"/>
      <c r="J1785" s="100" t="n"/>
      <c r="K1785" s="98" t="n"/>
      <c r="L1785" s="99" t="n"/>
      <c r="M1785" s="99" t="n"/>
      <c r="N1785" s="100" t="n"/>
      <c r="O1785" s="98" t="n"/>
      <c r="P1785" s="99" t="n"/>
      <c r="Q1785" s="99" t="n"/>
      <c r="R1785" s="100" t="n"/>
      <c r="S1785" s="98" t="n"/>
      <c r="T1785" s="99" t="n"/>
      <c r="U1785" s="99" t="n"/>
      <c r="V1785" s="100" t="n"/>
      <c r="W1785" s="98" t="n"/>
      <c r="X1785" s="100" t="n"/>
      <c r="Y1785" s="98" t="n"/>
      <c r="Z1785" s="100" t="n"/>
      <c r="AB1785" s="101">
        <f>IF($B1785="","",(COUNTIF(C1758:E1775,$B1785)+COUNTIF(C1758:E1775,$B1785&amp;" ~*")&gt;0)+(COUNTIF(G1758:I1775,$B1785)+COUNTIF(G1758:I1775,$B1785&amp;" ~*")&gt;0)+(COUNTIF(K1758:M1775,$B1785)+COUNTIF(K1758:M1775,$B1785&amp;" ~*")&gt;0)+(COUNTIF(O1758:Q1775,$B1785)+COUNTIF(O1758:Q1775,$B1785&amp;" ~*")&gt;0)+(COUNTIF(S1758:U1775,$B1785)+COUNTIF(S1758:U1775,$B1785&amp;" ~*")&gt;0)+(COUNTIF(W1758:W1775,$B1785)+COUNTIF(W1758:W1775,$B1785&amp;" ~*")&gt;0)+(COUNTIF(Y1758:Y1775,$B1785)+COUNTIF(Y1758:Y1775,$B1785&amp;" ~*")&gt;0))</f>
        <v/>
      </c>
      <c r="AC1785" s="36">
        <f>IF($B1785="","",(IFERROR(INDEX(Setup!$G$33:$G$40,MATCH(C1785,Setup!$B$33:$B$40,0)),0)=1)*(COUNTIF(C1758:E1775,$B1785)+COUNTIF(C1758:E1775,$B1785&amp;" ~*")&gt;0)+(IFERROR(INDEX(Setup!$G$33:$G$40,MATCH(G1785,Setup!$B$33:$B$40,0)),0)=1)*(COUNTIF(G1758:I1775,$B1785)+COUNTIF(G1758:I1775,$B1785&amp;" ~*")&gt;0)+(IFERROR(INDEX(Setup!$G$33:$G$40,MATCH(K1785,Setup!$B$33:$B$40,0)),0)=1)*(COUNTIF(K1758:M1775,$B1785)+COUNTIF(K1758:M1775,$B1785&amp;" ~*")&gt;0)+(IFERROR(INDEX(Setup!$G$33:$G$40,MATCH(O1785,Setup!$B$33:$B$40,0)),0)=1)*(COUNTIF(O1758:Q1775,$B1785)+COUNTIF(O1758:Q1775,$B1785&amp;" ~*")&gt;0)+(IFERROR(INDEX(Setup!$G$33:$G$40,MATCH(S1785,Setup!$B$33:$B$40,0)),0)=1)*(COUNTIF(S1758:U1775,$B1785)+COUNTIF(S1758:U1775,$B1785&amp;" ~*")&gt;0)+(IFERROR(INDEX(Setup!$G$33:$G$40,MATCH(W1785,Setup!$B$33:$B$40,0)),0)=1)*(COUNTIF(W1758:W1775,$B1785)+COUNTIF(W1758:W1775,$B1785&amp;" ~*")&gt;0)+(IFERROR(INDEX(Setup!$G$33:$G$40,MATCH(Y1785,Setup!$B$33:$B$40,0)),0)=1)*(COUNTIF(Y1758:Y1775,$B1785)+COUNTIF(Y1758:Y1775,$B1785&amp;" ~*")&gt;0))</f>
        <v/>
      </c>
    </row>
    <row r="1786" ht="15" customHeight="1">
      <c r="A1786" t="n">
        <v>36</v>
      </c>
      <c r="B1786" s="37">
        <f>IF(Setup!$B$15="","",Setup!$B$15)</f>
        <v/>
      </c>
      <c r="C1786" s="102" t="n"/>
      <c r="D1786" s="103" t="n"/>
      <c r="E1786" s="103" t="n"/>
      <c r="F1786" s="104" t="n"/>
      <c r="G1786" s="102" t="n"/>
      <c r="H1786" s="103" t="n"/>
      <c r="I1786" s="103" t="n"/>
      <c r="J1786" s="104" t="n"/>
      <c r="K1786" s="102" t="n"/>
      <c r="L1786" s="103" t="n"/>
      <c r="M1786" s="103" t="n"/>
      <c r="N1786" s="104" t="n"/>
      <c r="O1786" s="102" t="n"/>
      <c r="P1786" s="103" t="n"/>
      <c r="Q1786" s="103" t="n"/>
      <c r="R1786" s="104" t="n"/>
      <c r="S1786" s="102" t="n"/>
      <c r="T1786" s="103" t="n"/>
      <c r="U1786" s="103" t="n"/>
      <c r="V1786" s="104" t="n"/>
      <c r="W1786" s="102" t="n"/>
      <c r="X1786" s="104" t="n"/>
      <c r="Y1786" s="102" t="n"/>
      <c r="Z1786" s="104" t="n"/>
      <c r="AB1786" s="105">
        <f>IF($B1786="","",(COUNTIF(C1758:E1775,$B1786)+COUNTIF(C1758:E1775,$B1786&amp;" ~*")&gt;0)+(COUNTIF(G1758:I1775,$B1786)+COUNTIF(G1758:I1775,$B1786&amp;" ~*")&gt;0)+(COUNTIF(K1758:M1775,$B1786)+COUNTIF(K1758:M1775,$B1786&amp;" ~*")&gt;0)+(COUNTIF(O1758:Q1775,$B1786)+COUNTIF(O1758:Q1775,$B1786&amp;" ~*")&gt;0)+(COUNTIF(S1758:U1775,$B1786)+COUNTIF(S1758:U1775,$B1786&amp;" ~*")&gt;0)+(COUNTIF(W1758:W1775,$B1786)+COUNTIF(W1758:W1775,$B1786&amp;" ~*")&gt;0)+(COUNTIF(Y1758:Y1775,$B1786)+COUNTIF(Y1758:Y1775,$B1786&amp;" ~*")&gt;0))</f>
        <v/>
      </c>
      <c r="AC1786" s="38">
        <f>IF($B1786="","",(IFERROR(INDEX(Setup!$G$33:$G$40,MATCH(C1786,Setup!$B$33:$B$40,0)),0)=1)*(COUNTIF(C1758:E1775,$B1786)+COUNTIF(C1758:E1775,$B1786&amp;" ~*")&gt;0)+(IFERROR(INDEX(Setup!$G$33:$G$40,MATCH(G1786,Setup!$B$33:$B$40,0)),0)=1)*(COUNTIF(G1758:I1775,$B1786)+COUNTIF(G1758:I1775,$B1786&amp;" ~*")&gt;0)+(IFERROR(INDEX(Setup!$G$33:$G$40,MATCH(K1786,Setup!$B$33:$B$40,0)),0)=1)*(COUNTIF(K1758:M1775,$B1786)+COUNTIF(K1758:M1775,$B1786&amp;" ~*")&gt;0)+(IFERROR(INDEX(Setup!$G$33:$G$40,MATCH(O1786,Setup!$B$33:$B$40,0)),0)=1)*(COUNTIF(O1758:Q1775,$B1786)+COUNTIF(O1758:Q1775,$B1786&amp;" ~*")&gt;0)+(IFERROR(INDEX(Setup!$G$33:$G$40,MATCH(S1786,Setup!$B$33:$B$40,0)),0)=1)*(COUNTIF(S1758:U1775,$B1786)+COUNTIF(S1758:U1775,$B1786&amp;" ~*")&gt;0)+(IFERROR(INDEX(Setup!$G$33:$G$40,MATCH(W1786,Setup!$B$33:$B$40,0)),0)=1)*(COUNTIF(W1758:W1775,$B1786)+COUNTIF(W1758:W1775,$B1786&amp;" ~*")&gt;0)+(IFERROR(INDEX(Setup!$G$33:$G$40,MATCH(Y1786,Setup!$B$33:$B$40,0)),0)=1)*(COUNTIF(Y1758:Y1775,$B1786)+COUNTIF(Y1758:Y1775,$B1786&amp;" ~*")&gt;0))</f>
        <v/>
      </c>
    </row>
    <row r="1787" ht="15" customHeight="1">
      <c r="A1787" t="n">
        <v>36</v>
      </c>
      <c r="B1787" s="35">
        <f>IF(Setup!$B$16="","",Setup!$B$16)</f>
        <v/>
      </c>
      <c r="C1787" s="98" t="n"/>
      <c r="D1787" s="99" t="n"/>
      <c r="E1787" s="99" t="n"/>
      <c r="F1787" s="100" t="n"/>
      <c r="G1787" s="98" t="n"/>
      <c r="H1787" s="99" t="n"/>
      <c r="I1787" s="99" t="n"/>
      <c r="J1787" s="100" t="n"/>
      <c r="K1787" s="98" t="n"/>
      <c r="L1787" s="99" t="n"/>
      <c r="M1787" s="99" t="n"/>
      <c r="N1787" s="100" t="n"/>
      <c r="O1787" s="98" t="n"/>
      <c r="P1787" s="99" t="n"/>
      <c r="Q1787" s="99" t="n"/>
      <c r="R1787" s="100" t="n"/>
      <c r="S1787" s="98" t="n"/>
      <c r="T1787" s="99" t="n"/>
      <c r="U1787" s="99" t="n"/>
      <c r="V1787" s="100" t="n"/>
      <c r="W1787" s="98" t="n"/>
      <c r="X1787" s="100" t="n"/>
      <c r="Y1787" s="98" t="n"/>
      <c r="Z1787" s="100" t="n"/>
      <c r="AB1787" s="101">
        <f>IF($B1787="","",(COUNTIF(C1758:E1775,$B1787)+COUNTIF(C1758:E1775,$B1787&amp;" ~*")&gt;0)+(COUNTIF(G1758:I1775,$B1787)+COUNTIF(G1758:I1775,$B1787&amp;" ~*")&gt;0)+(COUNTIF(K1758:M1775,$B1787)+COUNTIF(K1758:M1775,$B1787&amp;" ~*")&gt;0)+(COUNTIF(O1758:Q1775,$B1787)+COUNTIF(O1758:Q1775,$B1787&amp;" ~*")&gt;0)+(COUNTIF(S1758:U1775,$B1787)+COUNTIF(S1758:U1775,$B1787&amp;" ~*")&gt;0)+(COUNTIF(W1758:W1775,$B1787)+COUNTIF(W1758:W1775,$B1787&amp;" ~*")&gt;0)+(COUNTIF(Y1758:Y1775,$B1787)+COUNTIF(Y1758:Y1775,$B1787&amp;" ~*")&gt;0))</f>
        <v/>
      </c>
      <c r="AC1787" s="36">
        <f>IF($B1787="","",(IFERROR(INDEX(Setup!$G$33:$G$40,MATCH(C1787,Setup!$B$33:$B$40,0)),0)=1)*(COUNTIF(C1758:E1775,$B1787)+COUNTIF(C1758:E1775,$B1787&amp;" ~*")&gt;0)+(IFERROR(INDEX(Setup!$G$33:$G$40,MATCH(G1787,Setup!$B$33:$B$40,0)),0)=1)*(COUNTIF(G1758:I1775,$B1787)+COUNTIF(G1758:I1775,$B1787&amp;" ~*")&gt;0)+(IFERROR(INDEX(Setup!$G$33:$G$40,MATCH(K1787,Setup!$B$33:$B$40,0)),0)=1)*(COUNTIF(K1758:M1775,$B1787)+COUNTIF(K1758:M1775,$B1787&amp;" ~*")&gt;0)+(IFERROR(INDEX(Setup!$G$33:$G$40,MATCH(O1787,Setup!$B$33:$B$40,0)),0)=1)*(COUNTIF(O1758:Q1775,$B1787)+COUNTIF(O1758:Q1775,$B1787&amp;" ~*")&gt;0)+(IFERROR(INDEX(Setup!$G$33:$G$40,MATCH(S1787,Setup!$B$33:$B$40,0)),0)=1)*(COUNTIF(S1758:U1775,$B1787)+COUNTIF(S1758:U1775,$B1787&amp;" ~*")&gt;0)+(IFERROR(INDEX(Setup!$G$33:$G$40,MATCH(W1787,Setup!$B$33:$B$40,0)),0)=1)*(COUNTIF(W1758:W1775,$B1787)+COUNTIF(W1758:W1775,$B1787&amp;" ~*")&gt;0)+(IFERROR(INDEX(Setup!$G$33:$G$40,MATCH(Y1787,Setup!$B$33:$B$40,0)),0)=1)*(COUNTIF(Y1758:Y1775,$B1787)+COUNTIF(Y1758:Y1775,$B1787&amp;" ~*")&gt;0))</f>
        <v/>
      </c>
    </row>
    <row r="1788" ht="15" customHeight="1">
      <c r="A1788" t="n">
        <v>36</v>
      </c>
      <c r="B1788" s="37">
        <f>IF(Setup!$B$17="","",Setup!$B$17)</f>
        <v/>
      </c>
      <c r="C1788" s="102" t="n"/>
      <c r="D1788" s="103" t="n"/>
      <c r="E1788" s="103" t="n"/>
      <c r="F1788" s="104" t="n"/>
      <c r="G1788" s="102" t="n"/>
      <c r="H1788" s="103" t="n"/>
      <c r="I1788" s="103" t="n"/>
      <c r="J1788" s="104" t="n"/>
      <c r="K1788" s="102" t="n"/>
      <c r="L1788" s="103" t="n"/>
      <c r="M1788" s="103" t="n"/>
      <c r="N1788" s="104" t="n"/>
      <c r="O1788" s="102" t="n"/>
      <c r="P1788" s="103" t="n"/>
      <c r="Q1788" s="103" t="n"/>
      <c r="R1788" s="104" t="n"/>
      <c r="S1788" s="102" t="n"/>
      <c r="T1788" s="103" t="n"/>
      <c r="U1788" s="103" t="n"/>
      <c r="V1788" s="104" t="n"/>
      <c r="W1788" s="102" t="n"/>
      <c r="X1788" s="104" t="n"/>
      <c r="Y1788" s="102" t="n"/>
      <c r="Z1788" s="104" t="n"/>
      <c r="AB1788" s="105">
        <f>IF($B1788="","",(COUNTIF(C1758:E1775,$B1788)+COUNTIF(C1758:E1775,$B1788&amp;" ~*")&gt;0)+(COUNTIF(G1758:I1775,$B1788)+COUNTIF(G1758:I1775,$B1788&amp;" ~*")&gt;0)+(COUNTIF(K1758:M1775,$B1788)+COUNTIF(K1758:M1775,$B1788&amp;" ~*")&gt;0)+(COUNTIF(O1758:Q1775,$B1788)+COUNTIF(O1758:Q1775,$B1788&amp;" ~*")&gt;0)+(COUNTIF(S1758:U1775,$B1788)+COUNTIF(S1758:U1775,$B1788&amp;" ~*")&gt;0)+(COUNTIF(W1758:W1775,$B1788)+COUNTIF(W1758:W1775,$B1788&amp;" ~*")&gt;0)+(COUNTIF(Y1758:Y1775,$B1788)+COUNTIF(Y1758:Y1775,$B1788&amp;" ~*")&gt;0))</f>
        <v/>
      </c>
      <c r="AC1788" s="38">
        <f>IF($B1788="","",(IFERROR(INDEX(Setup!$G$33:$G$40,MATCH(C1788,Setup!$B$33:$B$40,0)),0)=1)*(COUNTIF(C1758:E1775,$B1788)+COUNTIF(C1758:E1775,$B1788&amp;" ~*")&gt;0)+(IFERROR(INDEX(Setup!$G$33:$G$40,MATCH(G1788,Setup!$B$33:$B$40,0)),0)=1)*(COUNTIF(G1758:I1775,$B1788)+COUNTIF(G1758:I1775,$B1788&amp;" ~*")&gt;0)+(IFERROR(INDEX(Setup!$G$33:$G$40,MATCH(K1788,Setup!$B$33:$B$40,0)),0)=1)*(COUNTIF(K1758:M1775,$B1788)+COUNTIF(K1758:M1775,$B1788&amp;" ~*")&gt;0)+(IFERROR(INDEX(Setup!$G$33:$G$40,MATCH(O1788,Setup!$B$33:$B$40,0)),0)=1)*(COUNTIF(O1758:Q1775,$B1788)+COUNTIF(O1758:Q1775,$B1788&amp;" ~*")&gt;0)+(IFERROR(INDEX(Setup!$G$33:$G$40,MATCH(S1788,Setup!$B$33:$B$40,0)),0)=1)*(COUNTIF(S1758:U1775,$B1788)+COUNTIF(S1758:U1775,$B1788&amp;" ~*")&gt;0)+(IFERROR(INDEX(Setup!$G$33:$G$40,MATCH(W1788,Setup!$B$33:$B$40,0)),0)=1)*(COUNTIF(W1758:W1775,$B1788)+COUNTIF(W1758:W1775,$B1788&amp;" ~*")&gt;0)+(IFERROR(INDEX(Setup!$G$33:$G$40,MATCH(Y1788,Setup!$B$33:$B$40,0)),0)=1)*(COUNTIF(Y1758:Y1775,$B1788)+COUNTIF(Y1758:Y1775,$B1788&amp;" ~*")&gt;0))</f>
        <v/>
      </c>
    </row>
    <row r="1789" ht="15" customHeight="1">
      <c r="A1789" t="n">
        <v>36</v>
      </c>
      <c r="B1789" s="35">
        <f>IF(Setup!$B$18="","",Setup!$B$18)</f>
        <v/>
      </c>
      <c r="C1789" s="98" t="n"/>
      <c r="D1789" s="99" t="n"/>
      <c r="E1789" s="99" t="n"/>
      <c r="F1789" s="100" t="n"/>
      <c r="G1789" s="98" t="n"/>
      <c r="H1789" s="99" t="n"/>
      <c r="I1789" s="99" t="n"/>
      <c r="J1789" s="100" t="n"/>
      <c r="K1789" s="98" t="n"/>
      <c r="L1789" s="99" t="n"/>
      <c r="M1789" s="99" t="n"/>
      <c r="N1789" s="100" t="n"/>
      <c r="O1789" s="98" t="n"/>
      <c r="P1789" s="99" t="n"/>
      <c r="Q1789" s="99" t="n"/>
      <c r="R1789" s="100" t="n"/>
      <c r="S1789" s="98" t="n"/>
      <c r="T1789" s="99" t="n"/>
      <c r="U1789" s="99" t="n"/>
      <c r="V1789" s="100" t="n"/>
      <c r="W1789" s="98" t="n"/>
      <c r="X1789" s="100" t="n"/>
      <c r="Y1789" s="98" t="n"/>
      <c r="Z1789" s="100" t="n"/>
      <c r="AB1789" s="101">
        <f>IF($B1789="","",(COUNTIF(C1758:E1775,$B1789)+COUNTIF(C1758:E1775,$B1789&amp;" ~*")&gt;0)+(COUNTIF(G1758:I1775,$B1789)+COUNTIF(G1758:I1775,$B1789&amp;" ~*")&gt;0)+(COUNTIF(K1758:M1775,$B1789)+COUNTIF(K1758:M1775,$B1789&amp;" ~*")&gt;0)+(COUNTIF(O1758:Q1775,$B1789)+COUNTIF(O1758:Q1775,$B1789&amp;" ~*")&gt;0)+(COUNTIF(S1758:U1775,$B1789)+COUNTIF(S1758:U1775,$B1789&amp;" ~*")&gt;0)+(COUNTIF(W1758:W1775,$B1789)+COUNTIF(W1758:W1775,$B1789&amp;" ~*")&gt;0)+(COUNTIF(Y1758:Y1775,$B1789)+COUNTIF(Y1758:Y1775,$B1789&amp;" ~*")&gt;0))</f>
        <v/>
      </c>
      <c r="AC1789" s="36">
        <f>IF($B1789="","",(IFERROR(INDEX(Setup!$G$33:$G$40,MATCH(C1789,Setup!$B$33:$B$40,0)),0)=1)*(COUNTIF(C1758:E1775,$B1789)+COUNTIF(C1758:E1775,$B1789&amp;" ~*")&gt;0)+(IFERROR(INDEX(Setup!$G$33:$G$40,MATCH(G1789,Setup!$B$33:$B$40,0)),0)=1)*(COUNTIF(G1758:I1775,$B1789)+COUNTIF(G1758:I1775,$B1789&amp;" ~*")&gt;0)+(IFERROR(INDEX(Setup!$G$33:$G$40,MATCH(K1789,Setup!$B$33:$B$40,0)),0)=1)*(COUNTIF(K1758:M1775,$B1789)+COUNTIF(K1758:M1775,$B1789&amp;" ~*")&gt;0)+(IFERROR(INDEX(Setup!$G$33:$G$40,MATCH(O1789,Setup!$B$33:$B$40,0)),0)=1)*(COUNTIF(O1758:Q1775,$B1789)+COUNTIF(O1758:Q1775,$B1789&amp;" ~*")&gt;0)+(IFERROR(INDEX(Setup!$G$33:$G$40,MATCH(S1789,Setup!$B$33:$B$40,0)),0)=1)*(COUNTIF(S1758:U1775,$B1789)+COUNTIF(S1758:U1775,$B1789&amp;" ~*")&gt;0)+(IFERROR(INDEX(Setup!$G$33:$G$40,MATCH(W1789,Setup!$B$33:$B$40,0)),0)=1)*(COUNTIF(W1758:W1775,$B1789)+COUNTIF(W1758:W1775,$B1789&amp;" ~*")&gt;0)+(IFERROR(INDEX(Setup!$G$33:$G$40,MATCH(Y1789,Setup!$B$33:$B$40,0)),0)=1)*(COUNTIF(Y1758:Y1775,$B1789)+COUNTIF(Y1758:Y1775,$B1789&amp;" ~*")&gt;0))</f>
        <v/>
      </c>
    </row>
    <row r="1790" ht="15" customHeight="1">
      <c r="A1790" t="n">
        <v>36</v>
      </c>
      <c r="B1790" s="37">
        <f>IF(Setup!$B$19="","",Setup!$B$19)</f>
        <v/>
      </c>
      <c r="C1790" s="102" t="n"/>
      <c r="D1790" s="103" t="n"/>
      <c r="E1790" s="103" t="n"/>
      <c r="F1790" s="104" t="n"/>
      <c r="G1790" s="102" t="n"/>
      <c r="H1790" s="103" t="n"/>
      <c r="I1790" s="103" t="n"/>
      <c r="J1790" s="104" t="n"/>
      <c r="K1790" s="102" t="n"/>
      <c r="L1790" s="103" t="n"/>
      <c r="M1790" s="103" t="n"/>
      <c r="N1790" s="104" t="n"/>
      <c r="O1790" s="102" t="n"/>
      <c r="P1790" s="103" t="n"/>
      <c r="Q1790" s="103" t="n"/>
      <c r="R1790" s="104" t="n"/>
      <c r="S1790" s="102" t="n"/>
      <c r="T1790" s="103" t="n"/>
      <c r="U1790" s="103" t="n"/>
      <c r="V1790" s="104" t="n"/>
      <c r="W1790" s="102" t="n"/>
      <c r="X1790" s="104" t="n"/>
      <c r="Y1790" s="102" t="n"/>
      <c r="Z1790" s="104" t="n"/>
      <c r="AB1790" s="105">
        <f>IF($B1790="","",(COUNTIF(C1758:E1775,$B1790)+COUNTIF(C1758:E1775,$B1790&amp;" ~*")&gt;0)+(COUNTIF(G1758:I1775,$B1790)+COUNTIF(G1758:I1775,$B1790&amp;" ~*")&gt;0)+(COUNTIF(K1758:M1775,$B1790)+COUNTIF(K1758:M1775,$B1790&amp;" ~*")&gt;0)+(COUNTIF(O1758:Q1775,$B1790)+COUNTIF(O1758:Q1775,$B1790&amp;" ~*")&gt;0)+(COUNTIF(S1758:U1775,$B1790)+COUNTIF(S1758:U1775,$B1790&amp;" ~*")&gt;0)+(COUNTIF(W1758:W1775,$B1790)+COUNTIF(W1758:W1775,$B1790&amp;" ~*")&gt;0)+(COUNTIF(Y1758:Y1775,$B1790)+COUNTIF(Y1758:Y1775,$B1790&amp;" ~*")&gt;0))</f>
        <v/>
      </c>
      <c r="AC1790" s="38">
        <f>IF($B1790="","",(IFERROR(INDEX(Setup!$G$33:$G$40,MATCH(C1790,Setup!$B$33:$B$40,0)),0)=1)*(COUNTIF(C1758:E1775,$B1790)+COUNTIF(C1758:E1775,$B1790&amp;" ~*")&gt;0)+(IFERROR(INDEX(Setup!$G$33:$G$40,MATCH(G1790,Setup!$B$33:$B$40,0)),0)=1)*(COUNTIF(G1758:I1775,$B1790)+COUNTIF(G1758:I1775,$B1790&amp;" ~*")&gt;0)+(IFERROR(INDEX(Setup!$G$33:$G$40,MATCH(K1790,Setup!$B$33:$B$40,0)),0)=1)*(COUNTIF(K1758:M1775,$B1790)+COUNTIF(K1758:M1775,$B1790&amp;" ~*")&gt;0)+(IFERROR(INDEX(Setup!$G$33:$G$40,MATCH(O1790,Setup!$B$33:$B$40,0)),0)=1)*(COUNTIF(O1758:Q1775,$B1790)+COUNTIF(O1758:Q1775,$B1790&amp;" ~*")&gt;0)+(IFERROR(INDEX(Setup!$G$33:$G$40,MATCH(S1790,Setup!$B$33:$B$40,0)),0)=1)*(COUNTIF(S1758:U1775,$B1790)+COUNTIF(S1758:U1775,$B1790&amp;" ~*")&gt;0)+(IFERROR(INDEX(Setup!$G$33:$G$40,MATCH(W1790,Setup!$B$33:$B$40,0)),0)=1)*(COUNTIF(W1758:W1775,$B1790)+COUNTIF(W1758:W1775,$B1790&amp;" ~*")&gt;0)+(IFERROR(INDEX(Setup!$G$33:$G$40,MATCH(Y1790,Setup!$B$33:$B$40,0)),0)=1)*(COUNTIF(Y1758:Y1775,$B1790)+COUNTIF(Y1758:Y1775,$B1790&amp;" ~*")&gt;0))</f>
        <v/>
      </c>
    </row>
    <row r="1791" ht="15" customHeight="1">
      <c r="A1791" t="n">
        <v>36</v>
      </c>
      <c r="B1791" s="35">
        <f>IF(Setup!$B$20="","",Setup!$B$20)</f>
        <v/>
      </c>
      <c r="C1791" s="98" t="n"/>
      <c r="D1791" s="99" t="n"/>
      <c r="E1791" s="99" t="n"/>
      <c r="F1791" s="100" t="n"/>
      <c r="G1791" s="98" t="n"/>
      <c r="H1791" s="99" t="n"/>
      <c r="I1791" s="99" t="n"/>
      <c r="J1791" s="100" t="n"/>
      <c r="K1791" s="98" t="n"/>
      <c r="L1791" s="99" t="n"/>
      <c r="M1791" s="99" t="n"/>
      <c r="N1791" s="100" t="n"/>
      <c r="O1791" s="98" t="n"/>
      <c r="P1791" s="99" t="n"/>
      <c r="Q1791" s="99" t="n"/>
      <c r="R1791" s="100" t="n"/>
      <c r="S1791" s="98" t="n"/>
      <c r="T1791" s="99" t="n"/>
      <c r="U1791" s="99" t="n"/>
      <c r="V1791" s="100" t="n"/>
      <c r="W1791" s="98" t="n"/>
      <c r="X1791" s="100" t="n"/>
      <c r="Y1791" s="98" t="n"/>
      <c r="Z1791" s="100" t="n"/>
      <c r="AB1791" s="101">
        <f>IF($B1791="","",(COUNTIF(C1758:E1775,$B1791)+COUNTIF(C1758:E1775,$B1791&amp;" ~*")&gt;0)+(COUNTIF(G1758:I1775,$B1791)+COUNTIF(G1758:I1775,$B1791&amp;" ~*")&gt;0)+(COUNTIF(K1758:M1775,$B1791)+COUNTIF(K1758:M1775,$B1791&amp;" ~*")&gt;0)+(COUNTIF(O1758:Q1775,$B1791)+COUNTIF(O1758:Q1775,$B1791&amp;" ~*")&gt;0)+(COUNTIF(S1758:U1775,$B1791)+COUNTIF(S1758:U1775,$B1791&amp;" ~*")&gt;0)+(COUNTIF(W1758:W1775,$B1791)+COUNTIF(W1758:W1775,$B1791&amp;" ~*")&gt;0)+(COUNTIF(Y1758:Y1775,$B1791)+COUNTIF(Y1758:Y1775,$B1791&amp;" ~*")&gt;0))</f>
        <v/>
      </c>
      <c r="AC1791" s="36">
        <f>IF($B1791="","",(IFERROR(INDEX(Setup!$G$33:$G$40,MATCH(C1791,Setup!$B$33:$B$40,0)),0)=1)*(COUNTIF(C1758:E1775,$B1791)+COUNTIF(C1758:E1775,$B1791&amp;" ~*")&gt;0)+(IFERROR(INDEX(Setup!$G$33:$G$40,MATCH(G1791,Setup!$B$33:$B$40,0)),0)=1)*(COUNTIF(G1758:I1775,$B1791)+COUNTIF(G1758:I1775,$B1791&amp;" ~*")&gt;0)+(IFERROR(INDEX(Setup!$G$33:$G$40,MATCH(K1791,Setup!$B$33:$B$40,0)),0)=1)*(COUNTIF(K1758:M1775,$B1791)+COUNTIF(K1758:M1775,$B1791&amp;" ~*")&gt;0)+(IFERROR(INDEX(Setup!$G$33:$G$40,MATCH(O1791,Setup!$B$33:$B$40,0)),0)=1)*(COUNTIF(O1758:Q1775,$B1791)+COUNTIF(O1758:Q1775,$B1791&amp;" ~*")&gt;0)+(IFERROR(INDEX(Setup!$G$33:$G$40,MATCH(S1791,Setup!$B$33:$B$40,0)),0)=1)*(COUNTIF(S1758:U1775,$B1791)+COUNTIF(S1758:U1775,$B1791&amp;" ~*")&gt;0)+(IFERROR(INDEX(Setup!$G$33:$G$40,MATCH(W1791,Setup!$B$33:$B$40,0)),0)=1)*(COUNTIF(W1758:W1775,$B1791)+COUNTIF(W1758:W1775,$B1791&amp;" ~*")&gt;0)+(IFERROR(INDEX(Setup!$G$33:$G$40,MATCH(Y1791,Setup!$B$33:$B$40,0)),0)=1)*(COUNTIF(Y1758:Y1775,$B1791)+COUNTIF(Y1758:Y1775,$B1791&amp;" ~*")&gt;0))</f>
        <v/>
      </c>
    </row>
    <row r="1792" ht="15" customHeight="1">
      <c r="A1792" t="n">
        <v>36</v>
      </c>
      <c r="B1792" s="37">
        <f>IF(Setup!$B$21="","",Setup!$B$21)</f>
        <v/>
      </c>
      <c r="C1792" s="102" t="n"/>
      <c r="D1792" s="103" t="n"/>
      <c r="E1792" s="103" t="n"/>
      <c r="F1792" s="104" t="n"/>
      <c r="G1792" s="102" t="n"/>
      <c r="H1792" s="103" t="n"/>
      <c r="I1792" s="103" t="n"/>
      <c r="J1792" s="104" t="n"/>
      <c r="K1792" s="102" t="n"/>
      <c r="L1792" s="103" t="n"/>
      <c r="M1792" s="103" t="n"/>
      <c r="N1792" s="104" t="n"/>
      <c r="O1792" s="102" t="n"/>
      <c r="P1792" s="103" t="n"/>
      <c r="Q1792" s="103" t="n"/>
      <c r="R1792" s="104" t="n"/>
      <c r="S1792" s="102" t="n"/>
      <c r="T1792" s="103" t="n"/>
      <c r="U1792" s="103" t="n"/>
      <c r="V1792" s="104" t="n"/>
      <c r="W1792" s="102" t="n"/>
      <c r="X1792" s="104" t="n"/>
      <c r="Y1792" s="102" t="n"/>
      <c r="Z1792" s="104" t="n"/>
      <c r="AB1792" s="105">
        <f>IF($B1792="","",(COUNTIF(C1758:E1775,$B1792)+COUNTIF(C1758:E1775,$B1792&amp;" ~*")&gt;0)+(COUNTIF(G1758:I1775,$B1792)+COUNTIF(G1758:I1775,$B1792&amp;" ~*")&gt;0)+(COUNTIF(K1758:M1775,$B1792)+COUNTIF(K1758:M1775,$B1792&amp;" ~*")&gt;0)+(COUNTIF(O1758:Q1775,$B1792)+COUNTIF(O1758:Q1775,$B1792&amp;" ~*")&gt;0)+(COUNTIF(S1758:U1775,$B1792)+COUNTIF(S1758:U1775,$B1792&amp;" ~*")&gt;0)+(COUNTIF(W1758:W1775,$B1792)+COUNTIF(W1758:W1775,$B1792&amp;" ~*")&gt;0)+(COUNTIF(Y1758:Y1775,$B1792)+COUNTIF(Y1758:Y1775,$B1792&amp;" ~*")&gt;0))</f>
        <v/>
      </c>
      <c r="AC1792" s="38">
        <f>IF($B1792="","",(IFERROR(INDEX(Setup!$G$33:$G$40,MATCH(C1792,Setup!$B$33:$B$40,0)),0)=1)*(COUNTIF(C1758:E1775,$B1792)+COUNTIF(C1758:E1775,$B1792&amp;" ~*")&gt;0)+(IFERROR(INDEX(Setup!$G$33:$G$40,MATCH(G1792,Setup!$B$33:$B$40,0)),0)=1)*(COUNTIF(G1758:I1775,$B1792)+COUNTIF(G1758:I1775,$B1792&amp;" ~*")&gt;0)+(IFERROR(INDEX(Setup!$G$33:$G$40,MATCH(K1792,Setup!$B$33:$B$40,0)),0)=1)*(COUNTIF(K1758:M1775,$B1792)+COUNTIF(K1758:M1775,$B1792&amp;" ~*")&gt;0)+(IFERROR(INDEX(Setup!$G$33:$G$40,MATCH(O1792,Setup!$B$33:$B$40,0)),0)=1)*(COUNTIF(O1758:Q1775,$B1792)+COUNTIF(O1758:Q1775,$B1792&amp;" ~*")&gt;0)+(IFERROR(INDEX(Setup!$G$33:$G$40,MATCH(S1792,Setup!$B$33:$B$40,0)),0)=1)*(COUNTIF(S1758:U1775,$B1792)+COUNTIF(S1758:U1775,$B1792&amp;" ~*")&gt;0)+(IFERROR(INDEX(Setup!$G$33:$G$40,MATCH(W1792,Setup!$B$33:$B$40,0)),0)=1)*(COUNTIF(W1758:W1775,$B1792)+COUNTIF(W1758:W1775,$B1792&amp;" ~*")&gt;0)+(IFERROR(INDEX(Setup!$G$33:$G$40,MATCH(Y1792,Setup!$B$33:$B$40,0)),0)=1)*(COUNTIF(Y1758:Y1775,$B1792)+COUNTIF(Y1758:Y1775,$B1792&amp;" ~*")&gt;0))</f>
        <v/>
      </c>
    </row>
    <row r="1793" ht="15" customHeight="1">
      <c r="A1793" t="n">
        <v>36</v>
      </c>
      <c r="B1793" s="35">
        <f>IF(Setup!$B$22="","",Setup!$B$22)</f>
        <v/>
      </c>
      <c r="C1793" s="98" t="n"/>
      <c r="D1793" s="99" t="n"/>
      <c r="E1793" s="99" t="n"/>
      <c r="F1793" s="100" t="n"/>
      <c r="G1793" s="98" t="n"/>
      <c r="H1793" s="99" t="n"/>
      <c r="I1793" s="99" t="n"/>
      <c r="J1793" s="100" t="n"/>
      <c r="K1793" s="98" t="n"/>
      <c r="L1793" s="99" t="n"/>
      <c r="M1793" s="99" t="n"/>
      <c r="N1793" s="100" t="n"/>
      <c r="O1793" s="98" t="n"/>
      <c r="P1793" s="99" t="n"/>
      <c r="Q1793" s="99" t="n"/>
      <c r="R1793" s="100" t="n"/>
      <c r="S1793" s="98" t="n"/>
      <c r="T1793" s="99" t="n"/>
      <c r="U1793" s="99" t="n"/>
      <c r="V1793" s="100" t="n"/>
      <c r="W1793" s="98" t="n"/>
      <c r="X1793" s="100" t="n"/>
      <c r="Y1793" s="98" t="n"/>
      <c r="Z1793" s="100" t="n"/>
      <c r="AB1793" s="101">
        <f>IF($B1793="","",(COUNTIF(C1758:E1775,$B1793)+COUNTIF(C1758:E1775,$B1793&amp;" ~*")&gt;0)+(COUNTIF(G1758:I1775,$B1793)+COUNTIF(G1758:I1775,$B1793&amp;" ~*")&gt;0)+(COUNTIF(K1758:M1775,$B1793)+COUNTIF(K1758:M1775,$B1793&amp;" ~*")&gt;0)+(COUNTIF(O1758:Q1775,$B1793)+COUNTIF(O1758:Q1775,$B1793&amp;" ~*")&gt;0)+(COUNTIF(S1758:U1775,$B1793)+COUNTIF(S1758:U1775,$B1793&amp;" ~*")&gt;0)+(COUNTIF(W1758:W1775,$B1793)+COUNTIF(W1758:W1775,$B1793&amp;" ~*")&gt;0)+(COUNTIF(Y1758:Y1775,$B1793)+COUNTIF(Y1758:Y1775,$B1793&amp;" ~*")&gt;0))</f>
        <v/>
      </c>
      <c r="AC1793" s="36">
        <f>IF($B1793="","",(IFERROR(INDEX(Setup!$G$33:$G$40,MATCH(C1793,Setup!$B$33:$B$40,0)),0)=1)*(COUNTIF(C1758:E1775,$B1793)+COUNTIF(C1758:E1775,$B1793&amp;" ~*")&gt;0)+(IFERROR(INDEX(Setup!$G$33:$G$40,MATCH(G1793,Setup!$B$33:$B$40,0)),0)=1)*(COUNTIF(G1758:I1775,$B1793)+COUNTIF(G1758:I1775,$B1793&amp;" ~*")&gt;0)+(IFERROR(INDEX(Setup!$G$33:$G$40,MATCH(K1793,Setup!$B$33:$B$40,0)),0)=1)*(COUNTIF(K1758:M1775,$B1793)+COUNTIF(K1758:M1775,$B1793&amp;" ~*")&gt;0)+(IFERROR(INDEX(Setup!$G$33:$G$40,MATCH(O1793,Setup!$B$33:$B$40,0)),0)=1)*(COUNTIF(O1758:Q1775,$B1793)+COUNTIF(O1758:Q1775,$B1793&amp;" ~*")&gt;0)+(IFERROR(INDEX(Setup!$G$33:$G$40,MATCH(S1793,Setup!$B$33:$B$40,0)),0)=1)*(COUNTIF(S1758:U1775,$B1793)+COUNTIF(S1758:U1775,$B1793&amp;" ~*")&gt;0)+(IFERROR(INDEX(Setup!$G$33:$G$40,MATCH(W1793,Setup!$B$33:$B$40,0)),0)=1)*(COUNTIF(W1758:W1775,$B1793)+COUNTIF(W1758:W1775,$B1793&amp;" ~*")&gt;0)+(IFERROR(INDEX(Setup!$G$33:$G$40,MATCH(Y1793,Setup!$B$33:$B$40,0)),0)=1)*(COUNTIF(Y1758:Y1775,$B1793)+COUNTIF(Y1758:Y1775,$B1793&amp;" ~*")&gt;0))</f>
        <v/>
      </c>
    </row>
    <row r="1794" ht="15" customHeight="1">
      <c r="A1794" t="n">
        <v>36</v>
      </c>
      <c r="B1794" s="37">
        <f>IF(Setup!$B$23="","",Setup!$B$23)</f>
        <v/>
      </c>
      <c r="C1794" s="102" t="n"/>
      <c r="D1794" s="103" t="n"/>
      <c r="E1794" s="103" t="n"/>
      <c r="F1794" s="104" t="n"/>
      <c r="G1794" s="102" t="n"/>
      <c r="H1794" s="103" t="n"/>
      <c r="I1794" s="103" t="n"/>
      <c r="J1794" s="104" t="n"/>
      <c r="K1794" s="102" t="n"/>
      <c r="L1794" s="103" t="n"/>
      <c r="M1794" s="103" t="n"/>
      <c r="N1794" s="104" t="n"/>
      <c r="O1794" s="102" t="n"/>
      <c r="P1794" s="103" t="n"/>
      <c r="Q1794" s="103" t="n"/>
      <c r="R1794" s="104" t="n"/>
      <c r="S1794" s="102" t="n"/>
      <c r="T1794" s="103" t="n"/>
      <c r="U1794" s="103" t="n"/>
      <c r="V1794" s="104" t="n"/>
      <c r="W1794" s="102" t="n"/>
      <c r="X1794" s="104" t="n"/>
      <c r="Y1794" s="102" t="n"/>
      <c r="Z1794" s="104" t="n"/>
      <c r="AB1794" s="105">
        <f>IF($B1794="","",(COUNTIF(C1758:E1775,$B1794)+COUNTIF(C1758:E1775,$B1794&amp;" ~*")&gt;0)+(COUNTIF(G1758:I1775,$B1794)+COUNTIF(G1758:I1775,$B1794&amp;" ~*")&gt;0)+(COUNTIF(K1758:M1775,$B1794)+COUNTIF(K1758:M1775,$B1794&amp;" ~*")&gt;0)+(COUNTIF(O1758:Q1775,$B1794)+COUNTIF(O1758:Q1775,$B1794&amp;" ~*")&gt;0)+(COUNTIF(S1758:U1775,$B1794)+COUNTIF(S1758:U1775,$B1794&amp;" ~*")&gt;0)+(COUNTIF(W1758:W1775,$B1794)+COUNTIF(W1758:W1775,$B1794&amp;" ~*")&gt;0)+(COUNTIF(Y1758:Y1775,$B1794)+COUNTIF(Y1758:Y1775,$B1794&amp;" ~*")&gt;0))</f>
        <v/>
      </c>
      <c r="AC1794" s="38">
        <f>IF($B1794="","",(IFERROR(INDEX(Setup!$G$33:$G$40,MATCH(C1794,Setup!$B$33:$B$40,0)),0)=1)*(COUNTIF(C1758:E1775,$B1794)+COUNTIF(C1758:E1775,$B1794&amp;" ~*")&gt;0)+(IFERROR(INDEX(Setup!$G$33:$G$40,MATCH(G1794,Setup!$B$33:$B$40,0)),0)=1)*(COUNTIF(G1758:I1775,$B1794)+COUNTIF(G1758:I1775,$B1794&amp;" ~*")&gt;0)+(IFERROR(INDEX(Setup!$G$33:$G$40,MATCH(K1794,Setup!$B$33:$B$40,0)),0)=1)*(COUNTIF(K1758:M1775,$B1794)+COUNTIF(K1758:M1775,$B1794&amp;" ~*")&gt;0)+(IFERROR(INDEX(Setup!$G$33:$G$40,MATCH(O1794,Setup!$B$33:$B$40,0)),0)=1)*(COUNTIF(O1758:Q1775,$B1794)+COUNTIF(O1758:Q1775,$B1794&amp;" ~*")&gt;0)+(IFERROR(INDEX(Setup!$G$33:$G$40,MATCH(S1794,Setup!$B$33:$B$40,0)),0)=1)*(COUNTIF(S1758:U1775,$B1794)+COUNTIF(S1758:U1775,$B1794&amp;" ~*")&gt;0)+(IFERROR(INDEX(Setup!$G$33:$G$40,MATCH(W1794,Setup!$B$33:$B$40,0)),0)=1)*(COUNTIF(W1758:W1775,$B1794)+COUNTIF(W1758:W1775,$B1794&amp;" ~*")&gt;0)+(IFERROR(INDEX(Setup!$G$33:$G$40,MATCH(Y1794,Setup!$B$33:$B$40,0)),0)=1)*(COUNTIF(Y1758:Y1775,$B1794)+COUNTIF(Y1758:Y1775,$B1794&amp;" ~*")&gt;0))</f>
        <v/>
      </c>
    </row>
    <row r="1795" ht="15" customHeight="1">
      <c r="A1795" t="n">
        <v>36</v>
      </c>
      <c r="B1795" s="35">
        <f>IF(Setup!$B$24="","",Setup!$B$24)</f>
        <v/>
      </c>
      <c r="C1795" s="98" t="n"/>
      <c r="D1795" s="99" t="n"/>
      <c r="E1795" s="99" t="n"/>
      <c r="F1795" s="100" t="n"/>
      <c r="G1795" s="98" t="n"/>
      <c r="H1795" s="99" t="n"/>
      <c r="I1795" s="99" t="n"/>
      <c r="J1795" s="100" t="n"/>
      <c r="K1795" s="98" t="n"/>
      <c r="L1795" s="99" t="n"/>
      <c r="M1795" s="99" t="n"/>
      <c r="N1795" s="100" t="n"/>
      <c r="O1795" s="98" t="n"/>
      <c r="P1795" s="99" t="n"/>
      <c r="Q1795" s="99" t="n"/>
      <c r="R1795" s="100" t="n"/>
      <c r="S1795" s="98" t="n"/>
      <c r="T1795" s="99" t="n"/>
      <c r="U1795" s="99" t="n"/>
      <c r="V1795" s="100" t="n"/>
      <c r="W1795" s="98" t="n"/>
      <c r="X1795" s="100" t="n"/>
      <c r="Y1795" s="98" t="n"/>
      <c r="Z1795" s="100" t="n"/>
      <c r="AB1795" s="101">
        <f>IF($B1795="","",(COUNTIF(C1758:E1775,$B1795)+COUNTIF(C1758:E1775,$B1795&amp;" ~*")&gt;0)+(COUNTIF(G1758:I1775,$B1795)+COUNTIF(G1758:I1775,$B1795&amp;" ~*")&gt;0)+(COUNTIF(K1758:M1775,$B1795)+COUNTIF(K1758:M1775,$B1795&amp;" ~*")&gt;0)+(COUNTIF(O1758:Q1775,$B1795)+COUNTIF(O1758:Q1775,$B1795&amp;" ~*")&gt;0)+(COUNTIF(S1758:U1775,$B1795)+COUNTIF(S1758:U1775,$B1795&amp;" ~*")&gt;0)+(COUNTIF(W1758:W1775,$B1795)+COUNTIF(W1758:W1775,$B1795&amp;" ~*")&gt;0)+(COUNTIF(Y1758:Y1775,$B1795)+COUNTIF(Y1758:Y1775,$B1795&amp;" ~*")&gt;0))</f>
        <v/>
      </c>
      <c r="AC1795" s="36">
        <f>IF($B1795="","",(IFERROR(INDEX(Setup!$G$33:$G$40,MATCH(C1795,Setup!$B$33:$B$40,0)),0)=1)*(COUNTIF(C1758:E1775,$B1795)+COUNTIF(C1758:E1775,$B1795&amp;" ~*")&gt;0)+(IFERROR(INDEX(Setup!$G$33:$G$40,MATCH(G1795,Setup!$B$33:$B$40,0)),0)=1)*(COUNTIF(G1758:I1775,$B1795)+COUNTIF(G1758:I1775,$B1795&amp;" ~*")&gt;0)+(IFERROR(INDEX(Setup!$G$33:$G$40,MATCH(K1795,Setup!$B$33:$B$40,0)),0)=1)*(COUNTIF(K1758:M1775,$B1795)+COUNTIF(K1758:M1775,$B1795&amp;" ~*")&gt;0)+(IFERROR(INDEX(Setup!$G$33:$G$40,MATCH(O1795,Setup!$B$33:$B$40,0)),0)=1)*(COUNTIF(O1758:Q1775,$B1795)+COUNTIF(O1758:Q1775,$B1795&amp;" ~*")&gt;0)+(IFERROR(INDEX(Setup!$G$33:$G$40,MATCH(S1795,Setup!$B$33:$B$40,0)),0)=1)*(COUNTIF(S1758:U1775,$B1795)+COUNTIF(S1758:U1775,$B1795&amp;" ~*")&gt;0)+(IFERROR(INDEX(Setup!$G$33:$G$40,MATCH(W1795,Setup!$B$33:$B$40,0)),0)=1)*(COUNTIF(W1758:W1775,$B1795)+COUNTIF(W1758:W1775,$B1795&amp;" ~*")&gt;0)+(IFERROR(INDEX(Setup!$G$33:$G$40,MATCH(Y1795,Setup!$B$33:$B$40,0)),0)=1)*(COUNTIF(Y1758:Y1775,$B1795)+COUNTIF(Y1758:Y1775,$B1795&amp;" ~*")&gt;0))</f>
        <v/>
      </c>
    </row>
    <row r="1796" ht="15" customHeight="1">
      <c r="A1796" t="n">
        <v>36</v>
      </c>
      <c r="B1796" s="37">
        <f>IF(Setup!$B$25="","",Setup!$B$25)</f>
        <v/>
      </c>
      <c r="C1796" s="102" t="n"/>
      <c r="D1796" s="103" t="n"/>
      <c r="E1796" s="103" t="n"/>
      <c r="F1796" s="104" t="n"/>
      <c r="G1796" s="102" t="n"/>
      <c r="H1796" s="103" t="n"/>
      <c r="I1796" s="103" t="n"/>
      <c r="J1796" s="104" t="n"/>
      <c r="K1796" s="102" t="n"/>
      <c r="L1796" s="103" t="n"/>
      <c r="M1796" s="103" t="n"/>
      <c r="N1796" s="104" t="n"/>
      <c r="O1796" s="102" t="n"/>
      <c r="P1796" s="103" t="n"/>
      <c r="Q1796" s="103" t="n"/>
      <c r="R1796" s="104" t="n"/>
      <c r="S1796" s="102" t="n"/>
      <c r="T1796" s="103" t="n"/>
      <c r="U1796" s="103" t="n"/>
      <c r="V1796" s="104" t="n"/>
      <c r="W1796" s="102" t="n"/>
      <c r="X1796" s="104" t="n"/>
      <c r="Y1796" s="102" t="n"/>
      <c r="Z1796" s="104" t="n"/>
      <c r="AB1796" s="105">
        <f>IF($B1796="","",(COUNTIF(C1758:E1775,$B1796)+COUNTIF(C1758:E1775,$B1796&amp;" ~*")&gt;0)+(COUNTIF(G1758:I1775,$B1796)+COUNTIF(G1758:I1775,$B1796&amp;" ~*")&gt;0)+(COUNTIF(K1758:M1775,$B1796)+COUNTIF(K1758:M1775,$B1796&amp;" ~*")&gt;0)+(COUNTIF(O1758:Q1775,$B1796)+COUNTIF(O1758:Q1775,$B1796&amp;" ~*")&gt;0)+(COUNTIF(S1758:U1775,$B1796)+COUNTIF(S1758:U1775,$B1796&amp;" ~*")&gt;0)+(COUNTIF(W1758:W1775,$B1796)+COUNTIF(W1758:W1775,$B1796&amp;" ~*")&gt;0)+(COUNTIF(Y1758:Y1775,$B1796)+COUNTIF(Y1758:Y1775,$B1796&amp;" ~*")&gt;0))</f>
        <v/>
      </c>
      <c r="AC1796" s="38">
        <f>IF($B1796="","",(IFERROR(INDEX(Setup!$G$33:$G$40,MATCH(C1796,Setup!$B$33:$B$40,0)),0)=1)*(COUNTIF(C1758:E1775,$B1796)+COUNTIF(C1758:E1775,$B1796&amp;" ~*")&gt;0)+(IFERROR(INDEX(Setup!$G$33:$G$40,MATCH(G1796,Setup!$B$33:$B$40,0)),0)=1)*(COUNTIF(G1758:I1775,$B1796)+COUNTIF(G1758:I1775,$B1796&amp;" ~*")&gt;0)+(IFERROR(INDEX(Setup!$G$33:$G$40,MATCH(K1796,Setup!$B$33:$B$40,0)),0)=1)*(COUNTIF(K1758:M1775,$B1796)+COUNTIF(K1758:M1775,$B1796&amp;" ~*")&gt;0)+(IFERROR(INDEX(Setup!$G$33:$G$40,MATCH(O1796,Setup!$B$33:$B$40,0)),0)=1)*(COUNTIF(O1758:Q1775,$B1796)+COUNTIF(O1758:Q1775,$B1796&amp;" ~*")&gt;0)+(IFERROR(INDEX(Setup!$G$33:$G$40,MATCH(S1796,Setup!$B$33:$B$40,0)),0)=1)*(COUNTIF(S1758:U1775,$B1796)+COUNTIF(S1758:U1775,$B1796&amp;" ~*")&gt;0)+(IFERROR(INDEX(Setup!$G$33:$G$40,MATCH(W1796,Setup!$B$33:$B$40,0)),0)=1)*(COUNTIF(W1758:W1775,$B1796)+COUNTIF(W1758:W1775,$B1796&amp;" ~*")&gt;0)+(IFERROR(INDEX(Setup!$G$33:$G$40,MATCH(Y1796,Setup!$B$33:$B$40,0)),0)=1)*(COUNTIF(Y1758:Y1775,$B1796)+COUNTIF(Y1758:Y1775,$B1796&amp;" ~*")&gt;0))</f>
        <v/>
      </c>
    </row>
    <row r="1797" ht="15" customHeight="1">
      <c r="A1797" t="n">
        <v>36</v>
      </c>
      <c r="B1797" s="35">
        <f>IF(Setup!$B$26="","",Setup!$B$26)</f>
        <v/>
      </c>
      <c r="C1797" s="98" t="n"/>
      <c r="D1797" s="99" t="n"/>
      <c r="E1797" s="99" t="n"/>
      <c r="F1797" s="100" t="n"/>
      <c r="G1797" s="98" t="n"/>
      <c r="H1797" s="99" t="n"/>
      <c r="I1797" s="99" t="n"/>
      <c r="J1797" s="100" t="n"/>
      <c r="K1797" s="98" t="n"/>
      <c r="L1797" s="99" t="n"/>
      <c r="M1797" s="99" t="n"/>
      <c r="N1797" s="100" t="n"/>
      <c r="O1797" s="98" t="n"/>
      <c r="P1797" s="99" t="n"/>
      <c r="Q1797" s="99" t="n"/>
      <c r="R1797" s="100" t="n"/>
      <c r="S1797" s="98" t="n"/>
      <c r="T1797" s="99" t="n"/>
      <c r="U1797" s="99" t="n"/>
      <c r="V1797" s="100" t="n"/>
      <c r="W1797" s="98" t="n"/>
      <c r="X1797" s="100" t="n"/>
      <c r="Y1797" s="98" t="n"/>
      <c r="Z1797" s="100" t="n"/>
      <c r="AB1797" s="101">
        <f>IF($B1797="","",(COUNTIF(C1758:E1775,$B1797)+COUNTIF(C1758:E1775,$B1797&amp;" ~*")&gt;0)+(COUNTIF(G1758:I1775,$B1797)+COUNTIF(G1758:I1775,$B1797&amp;" ~*")&gt;0)+(COUNTIF(K1758:M1775,$B1797)+COUNTIF(K1758:M1775,$B1797&amp;" ~*")&gt;0)+(COUNTIF(O1758:Q1775,$B1797)+COUNTIF(O1758:Q1775,$B1797&amp;" ~*")&gt;0)+(COUNTIF(S1758:U1775,$B1797)+COUNTIF(S1758:U1775,$B1797&amp;" ~*")&gt;0)+(COUNTIF(W1758:W1775,$B1797)+COUNTIF(W1758:W1775,$B1797&amp;" ~*")&gt;0)+(COUNTIF(Y1758:Y1775,$B1797)+COUNTIF(Y1758:Y1775,$B1797&amp;" ~*")&gt;0))</f>
        <v/>
      </c>
      <c r="AC1797" s="36">
        <f>IF($B1797="","",(IFERROR(INDEX(Setup!$G$33:$G$40,MATCH(C1797,Setup!$B$33:$B$40,0)),0)=1)*(COUNTIF(C1758:E1775,$B1797)+COUNTIF(C1758:E1775,$B1797&amp;" ~*")&gt;0)+(IFERROR(INDEX(Setup!$G$33:$G$40,MATCH(G1797,Setup!$B$33:$B$40,0)),0)=1)*(COUNTIF(G1758:I1775,$B1797)+COUNTIF(G1758:I1775,$B1797&amp;" ~*")&gt;0)+(IFERROR(INDEX(Setup!$G$33:$G$40,MATCH(K1797,Setup!$B$33:$B$40,0)),0)=1)*(COUNTIF(K1758:M1775,$B1797)+COUNTIF(K1758:M1775,$B1797&amp;" ~*")&gt;0)+(IFERROR(INDEX(Setup!$G$33:$G$40,MATCH(O1797,Setup!$B$33:$B$40,0)),0)=1)*(COUNTIF(O1758:Q1775,$B1797)+COUNTIF(O1758:Q1775,$B1797&amp;" ~*")&gt;0)+(IFERROR(INDEX(Setup!$G$33:$G$40,MATCH(S1797,Setup!$B$33:$B$40,0)),0)=1)*(COUNTIF(S1758:U1775,$B1797)+COUNTIF(S1758:U1775,$B1797&amp;" ~*")&gt;0)+(IFERROR(INDEX(Setup!$G$33:$G$40,MATCH(W1797,Setup!$B$33:$B$40,0)),0)=1)*(COUNTIF(W1758:W1775,$B1797)+COUNTIF(W1758:W1775,$B1797&amp;" ~*")&gt;0)+(IFERROR(INDEX(Setup!$G$33:$G$40,MATCH(Y1797,Setup!$B$33:$B$40,0)),0)=1)*(COUNTIF(Y1758:Y1775,$B1797)+COUNTIF(Y1758:Y1775,$B1797&amp;" ~*")&gt;0))</f>
        <v/>
      </c>
    </row>
    <row r="1798" ht="15" customHeight="1">
      <c r="A1798" t="n">
        <v>36</v>
      </c>
      <c r="B1798" s="37">
        <f>IF(Setup!$B$27="","",Setup!$B$27)</f>
        <v/>
      </c>
      <c r="C1798" s="102" t="n"/>
      <c r="D1798" s="103" t="n"/>
      <c r="E1798" s="103" t="n"/>
      <c r="F1798" s="104" t="n"/>
      <c r="G1798" s="102" t="n"/>
      <c r="H1798" s="103" t="n"/>
      <c r="I1798" s="103" t="n"/>
      <c r="J1798" s="104" t="n"/>
      <c r="K1798" s="102" t="n"/>
      <c r="L1798" s="103" t="n"/>
      <c r="M1798" s="103" t="n"/>
      <c r="N1798" s="104" t="n"/>
      <c r="O1798" s="102" t="n"/>
      <c r="P1798" s="103" t="n"/>
      <c r="Q1798" s="103" t="n"/>
      <c r="R1798" s="104" t="n"/>
      <c r="S1798" s="102" t="n"/>
      <c r="T1798" s="103" t="n"/>
      <c r="U1798" s="103" t="n"/>
      <c r="V1798" s="104" t="n"/>
      <c r="W1798" s="102" t="n"/>
      <c r="X1798" s="104" t="n"/>
      <c r="Y1798" s="102" t="n"/>
      <c r="Z1798" s="104" t="n"/>
      <c r="AB1798" s="105">
        <f>IF($B1798="","",(COUNTIF(C1758:E1775,$B1798)+COUNTIF(C1758:E1775,$B1798&amp;" ~*")&gt;0)+(COUNTIF(G1758:I1775,$B1798)+COUNTIF(G1758:I1775,$B1798&amp;" ~*")&gt;0)+(COUNTIF(K1758:M1775,$B1798)+COUNTIF(K1758:M1775,$B1798&amp;" ~*")&gt;0)+(COUNTIF(O1758:Q1775,$B1798)+COUNTIF(O1758:Q1775,$B1798&amp;" ~*")&gt;0)+(COUNTIF(S1758:U1775,$B1798)+COUNTIF(S1758:U1775,$B1798&amp;" ~*")&gt;0)+(COUNTIF(W1758:W1775,$B1798)+COUNTIF(W1758:W1775,$B1798&amp;" ~*")&gt;0)+(COUNTIF(Y1758:Y1775,$B1798)+COUNTIF(Y1758:Y1775,$B1798&amp;" ~*")&gt;0))</f>
        <v/>
      </c>
      <c r="AC1798" s="38">
        <f>IF($B1798="","",(IFERROR(INDEX(Setup!$G$33:$G$40,MATCH(C1798,Setup!$B$33:$B$40,0)),0)=1)*(COUNTIF(C1758:E1775,$B1798)+COUNTIF(C1758:E1775,$B1798&amp;" ~*")&gt;0)+(IFERROR(INDEX(Setup!$G$33:$G$40,MATCH(G1798,Setup!$B$33:$B$40,0)),0)=1)*(COUNTIF(G1758:I1775,$B1798)+COUNTIF(G1758:I1775,$B1798&amp;" ~*")&gt;0)+(IFERROR(INDEX(Setup!$G$33:$G$40,MATCH(K1798,Setup!$B$33:$B$40,0)),0)=1)*(COUNTIF(K1758:M1775,$B1798)+COUNTIF(K1758:M1775,$B1798&amp;" ~*")&gt;0)+(IFERROR(INDEX(Setup!$G$33:$G$40,MATCH(O1798,Setup!$B$33:$B$40,0)),0)=1)*(COUNTIF(O1758:Q1775,$B1798)+COUNTIF(O1758:Q1775,$B1798&amp;" ~*")&gt;0)+(IFERROR(INDEX(Setup!$G$33:$G$40,MATCH(S1798,Setup!$B$33:$B$40,0)),0)=1)*(COUNTIF(S1758:U1775,$B1798)+COUNTIF(S1758:U1775,$B1798&amp;" ~*")&gt;0)+(IFERROR(INDEX(Setup!$G$33:$G$40,MATCH(W1798,Setup!$B$33:$B$40,0)),0)=1)*(COUNTIF(W1758:W1775,$B1798)+COUNTIF(W1758:W1775,$B1798&amp;" ~*")&gt;0)+(IFERROR(INDEX(Setup!$G$33:$G$40,MATCH(Y1798,Setup!$B$33:$B$40,0)),0)=1)*(COUNTIF(Y1758:Y1775,$B1798)+COUNTIF(Y1758:Y1775,$B1798&amp;" ~*")&gt;0))</f>
        <v/>
      </c>
    </row>
    <row r="1799" ht="15" customHeight="1">
      <c r="A1799" t="n">
        <v>36</v>
      </c>
      <c r="B1799" s="35">
        <f>IF(Setup!$B$28="","",Setup!$B$28)</f>
        <v/>
      </c>
      <c r="C1799" s="98" t="n"/>
      <c r="D1799" s="99" t="n"/>
      <c r="E1799" s="99" t="n"/>
      <c r="F1799" s="100" t="n"/>
      <c r="G1799" s="98" t="n"/>
      <c r="H1799" s="99" t="n"/>
      <c r="I1799" s="99" t="n"/>
      <c r="J1799" s="100" t="n"/>
      <c r="K1799" s="98" t="n"/>
      <c r="L1799" s="99" t="n"/>
      <c r="M1799" s="99" t="n"/>
      <c r="N1799" s="100" t="n"/>
      <c r="O1799" s="98" t="n"/>
      <c r="P1799" s="99" t="n"/>
      <c r="Q1799" s="99" t="n"/>
      <c r="R1799" s="100" t="n"/>
      <c r="S1799" s="98" t="n"/>
      <c r="T1799" s="99" t="n"/>
      <c r="U1799" s="99" t="n"/>
      <c r="V1799" s="100" t="n"/>
      <c r="W1799" s="98" t="n"/>
      <c r="X1799" s="100" t="n"/>
      <c r="Y1799" s="98" t="n"/>
      <c r="Z1799" s="100" t="n"/>
      <c r="AB1799" s="101">
        <f>IF($B1799="","",(COUNTIF(C1758:E1775,$B1799)+COUNTIF(C1758:E1775,$B1799&amp;" ~*")&gt;0)+(COUNTIF(G1758:I1775,$B1799)+COUNTIF(G1758:I1775,$B1799&amp;" ~*")&gt;0)+(COUNTIF(K1758:M1775,$B1799)+COUNTIF(K1758:M1775,$B1799&amp;" ~*")&gt;0)+(COUNTIF(O1758:Q1775,$B1799)+COUNTIF(O1758:Q1775,$B1799&amp;" ~*")&gt;0)+(COUNTIF(S1758:U1775,$B1799)+COUNTIF(S1758:U1775,$B1799&amp;" ~*")&gt;0)+(COUNTIF(W1758:W1775,$B1799)+COUNTIF(W1758:W1775,$B1799&amp;" ~*")&gt;0)+(COUNTIF(Y1758:Y1775,$B1799)+COUNTIF(Y1758:Y1775,$B1799&amp;" ~*")&gt;0))</f>
        <v/>
      </c>
      <c r="AC1799" s="36">
        <f>IF($B1799="","",(IFERROR(INDEX(Setup!$G$33:$G$40,MATCH(C1799,Setup!$B$33:$B$40,0)),0)=1)*(COUNTIF(C1758:E1775,$B1799)+COUNTIF(C1758:E1775,$B1799&amp;" ~*")&gt;0)+(IFERROR(INDEX(Setup!$G$33:$G$40,MATCH(G1799,Setup!$B$33:$B$40,0)),0)=1)*(COUNTIF(G1758:I1775,$B1799)+COUNTIF(G1758:I1775,$B1799&amp;" ~*")&gt;0)+(IFERROR(INDEX(Setup!$G$33:$G$40,MATCH(K1799,Setup!$B$33:$B$40,0)),0)=1)*(COUNTIF(K1758:M1775,$B1799)+COUNTIF(K1758:M1775,$B1799&amp;" ~*")&gt;0)+(IFERROR(INDEX(Setup!$G$33:$G$40,MATCH(O1799,Setup!$B$33:$B$40,0)),0)=1)*(COUNTIF(O1758:Q1775,$B1799)+COUNTIF(O1758:Q1775,$B1799&amp;" ~*")&gt;0)+(IFERROR(INDEX(Setup!$G$33:$G$40,MATCH(S1799,Setup!$B$33:$B$40,0)),0)=1)*(COUNTIF(S1758:U1775,$B1799)+COUNTIF(S1758:U1775,$B1799&amp;" ~*")&gt;0)+(IFERROR(INDEX(Setup!$G$33:$G$40,MATCH(W1799,Setup!$B$33:$B$40,0)),0)=1)*(COUNTIF(W1758:W1775,$B1799)+COUNTIF(W1758:W1775,$B1799&amp;" ~*")&gt;0)+(IFERROR(INDEX(Setup!$G$33:$G$40,MATCH(Y1799,Setup!$B$33:$B$40,0)),0)=1)*(COUNTIF(Y1758:Y1775,$B1799)+COUNTIF(Y1758:Y1775,$B1799&amp;" ~*")&gt;0))</f>
        <v/>
      </c>
    </row>
    <row r="1800" ht="15" customHeight="1">
      <c r="A1800" t="n">
        <v>36</v>
      </c>
      <c r="B1800" s="37">
        <f>IF(Setup!$B$29="","",Setup!$B$29)</f>
        <v/>
      </c>
      <c r="C1800" s="102" t="n"/>
      <c r="D1800" s="103" t="n"/>
      <c r="E1800" s="103" t="n"/>
      <c r="F1800" s="104" t="n"/>
      <c r="G1800" s="102" t="n"/>
      <c r="H1800" s="103" t="n"/>
      <c r="I1800" s="103" t="n"/>
      <c r="J1800" s="104" t="n"/>
      <c r="K1800" s="102" t="n"/>
      <c r="L1800" s="103" t="n"/>
      <c r="M1800" s="103" t="n"/>
      <c r="N1800" s="104" t="n"/>
      <c r="O1800" s="102" t="n"/>
      <c r="P1800" s="103" t="n"/>
      <c r="Q1800" s="103" t="n"/>
      <c r="R1800" s="104" t="n"/>
      <c r="S1800" s="102" t="n"/>
      <c r="T1800" s="103" t="n"/>
      <c r="U1800" s="103" t="n"/>
      <c r="V1800" s="104" t="n"/>
      <c r="W1800" s="102" t="n"/>
      <c r="X1800" s="104" t="n"/>
      <c r="Y1800" s="102" t="n"/>
      <c r="Z1800" s="104" t="n"/>
      <c r="AB1800" s="105">
        <f>IF($B1800="","",(COUNTIF(C1758:E1775,$B1800)+COUNTIF(C1758:E1775,$B1800&amp;" ~*")&gt;0)+(COUNTIF(G1758:I1775,$B1800)+COUNTIF(G1758:I1775,$B1800&amp;" ~*")&gt;0)+(COUNTIF(K1758:M1775,$B1800)+COUNTIF(K1758:M1775,$B1800&amp;" ~*")&gt;0)+(COUNTIF(O1758:Q1775,$B1800)+COUNTIF(O1758:Q1775,$B1800&amp;" ~*")&gt;0)+(COUNTIF(S1758:U1775,$B1800)+COUNTIF(S1758:U1775,$B1800&amp;" ~*")&gt;0)+(COUNTIF(W1758:W1775,$B1800)+COUNTIF(W1758:W1775,$B1800&amp;" ~*")&gt;0)+(COUNTIF(Y1758:Y1775,$B1800)+COUNTIF(Y1758:Y1775,$B1800&amp;" ~*")&gt;0))</f>
        <v/>
      </c>
      <c r="AC1800" s="38">
        <f>IF($B1800="","",(IFERROR(INDEX(Setup!$G$33:$G$40,MATCH(C1800,Setup!$B$33:$B$40,0)),0)=1)*(COUNTIF(C1758:E1775,$B1800)+COUNTIF(C1758:E1775,$B1800&amp;" ~*")&gt;0)+(IFERROR(INDEX(Setup!$G$33:$G$40,MATCH(G1800,Setup!$B$33:$B$40,0)),0)=1)*(COUNTIF(G1758:I1775,$B1800)+COUNTIF(G1758:I1775,$B1800&amp;" ~*")&gt;0)+(IFERROR(INDEX(Setup!$G$33:$G$40,MATCH(K1800,Setup!$B$33:$B$40,0)),0)=1)*(COUNTIF(K1758:M1775,$B1800)+COUNTIF(K1758:M1775,$B1800&amp;" ~*")&gt;0)+(IFERROR(INDEX(Setup!$G$33:$G$40,MATCH(O1800,Setup!$B$33:$B$40,0)),0)=1)*(COUNTIF(O1758:Q1775,$B1800)+COUNTIF(O1758:Q1775,$B1800&amp;" ~*")&gt;0)+(IFERROR(INDEX(Setup!$G$33:$G$40,MATCH(S1800,Setup!$B$33:$B$40,0)),0)=1)*(COUNTIF(S1758:U1775,$B1800)+COUNTIF(S1758:U1775,$B1800&amp;" ~*")&gt;0)+(IFERROR(INDEX(Setup!$G$33:$G$40,MATCH(W1800,Setup!$B$33:$B$40,0)),0)=1)*(COUNTIF(W1758:W1775,$B1800)+COUNTIF(W1758:W1775,$B1800&amp;" ~*")&gt;0)+(IFERROR(INDEX(Setup!$G$33:$G$40,MATCH(Y1800,Setup!$B$33:$B$40,0)),0)=1)*(COUNTIF(Y1758:Y1775,$B1800)+COUNTIF(Y1758:Y1775,$B1800&amp;" ~*")&gt;0))</f>
        <v/>
      </c>
    </row>
    <row r="1801" ht="16" customHeight="1">
      <c r="A1801" t="n">
        <v>36</v>
      </c>
      <c r="B1801" s="106" t="inlineStr">
        <is>
          <t>Available people</t>
        </is>
      </c>
      <c r="C1801" s="107">
        <f>COUNTIFS(Setup!$E$6:$E$29,"Y",Setup!$B$6:$B$29,"?*")-SUMPRODUCT(COUNTIF(C1777:C1800,Setup!$F$33:$F$40))</f>
        <v/>
      </c>
      <c r="D1801" s="107" t="n"/>
      <c r="E1801" s="107" t="n"/>
      <c r="F1801" s="107" t="n"/>
      <c r="G1801" s="107">
        <f>COUNTIFS(Setup!$E$6:$E$29,"Y",Setup!$B$6:$B$29,"?*")-SUMPRODUCT(COUNTIF(G1777:G1800,Setup!$F$33:$F$40))</f>
        <v/>
      </c>
      <c r="H1801" s="107" t="n"/>
      <c r="I1801" s="107" t="n"/>
      <c r="J1801" s="107" t="n"/>
      <c r="K1801" s="107">
        <f>COUNTIFS(Setup!$E$6:$E$29,"Y",Setup!$B$6:$B$29,"?*")-SUMPRODUCT(COUNTIF(K1777:K1800,Setup!$F$33:$F$40))</f>
        <v/>
      </c>
      <c r="L1801" s="107" t="n"/>
      <c r="M1801" s="107" t="n"/>
      <c r="N1801" s="107" t="n"/>
      <c r="O1801" s="107">
        <f>COUNTIFS(Setup!$E$6:$E$29,"Y",Setup!$B$6:$B$29,"?*")-SUMPRODUCT(COUNTIF(O1777:O1800,Setup!$F$33:$F$40))</f>
        <v/>
      </c>
      <c r="P1801" s="107" t="n"/>
      <c r="Q1801" s="107" t="n"/>
      <c r="R1801" s="107" t="n"/>
      <c r="S1801" s="107">
        <f>COUNTIFS(Setup!$E$6:$E$29,"Y",Setup!$B$6:$B$29,"?*")-SUMPRODUCT(COUNTIF(S1777:S1800,Setup!$F$33:$F$40))</f>
        <v/>
      </c>
      <c r="T1801" s="107" t="n"/>
      <c r="U1801" s="107" t="n"/>
      <c r="V1801" s="107" t="n"/>
      <c r="W1801" s="107">
        <f>COUNTIFS(Setup!$E$6:$E$29,"Y",Setup!$B$6:$B$29,"?*")-SUMPRODUCT(COUNTIF(W1777:W1800,Setup!$F$33:$F$40))</f>
        <v/>
      </c>
      <c r="X1801" s="107" t="n"/>
      <c r="Y1801" s="107">
        <f>COUNTIFS(Setup!$E$6:$E$29,"Y",Setup!$B$6:$B$29,"?*")-SUMPRODUCT(COUNTIF(Y1777:Y1800,Setup!$F$33:$F$40))</f>
        <v/>
      </c>
      <c r="Z1801" s="107" t="n"/>
      <c r="AB1801" s="108">
        <f>SUM(AB1777:AB1800)</f>
        <v/>
      </c>
      <c r="AC1801" s="109">
        <f>SUM(AC1777:AC1800)</f>
        <v/>
      </c>
    </row>
    <row r="1802" ht="30" customHeight="1">
      <c r="A1802" t="n">
        <v>36</v>
      </c>
      <c r="B1802" s="110" t="inlineStr">
        <is>
          <t>Week notes</t>
        </is>
      </c>
      <c r="C1802" s="111" t="n"/>
      <c r="D1802" s="112" t="n"/>
      <c r="E1802" s="112" t="n"/>
      <c r="F1802" s="112" t="n"/>
      <c r="G1802" s="112" t="n"/>
      <c r="H1802" s="112" t="n"/>
      <c r="I1802" s="112" t="n"/>
      <c r="J1802" s="112" t="n"/>
      <c r="K1802" s="112" t="n"/>
      <c r="L1802" s="112" t="n"/>
      <c r="M1802" s="112" t="n"/>
      <c r="N1802" s="112" t="n"/>
      <c r="O1802" s="112" t="n"/>
      <c r="P1802" s="112" t="n"/>
      <c r="Q1802" s="112" t="n"/>
      <c r="R1802" s="112" t="n"/>
      <c r="S1802" s="112" t="n"/>
      <c r="T1802" s="112" t="n"/>
      <c r="U1802" s="112" t="n"/>
      <c r="V1802" s="112" t="n"/>
      <c r="W1802" s="112" t="n"/>
      <c r="X1802" s="112" t="n"/>
      <c r="Y1802" s="112" t="n"/>
      <c r="Z1802" s="113" t="n"/>
    </row>
    <row r="1803" ht="8" customHeight="1">
      <c r="A1803" t="n">
        <v>36</v>
      </c>
    </row>
    <row r="1804" ht="8" customHeight="1">
      <c r="A1804" t="n">
        <v>36</v>
      </c>
    </row>
    <row r="1805" ht="24" customHeight="1">
      <c r="A1805" t="n">
        <v>37</v>
      </c>
      <c r="B1805" s="73">
        <f>"WEEK 37     "&amp;TEXT(C1806,"ddd d mmm")&amp;"  –  "&amp;TEXT(C1806+6,"ddd d mmm yyyy")</f>
        <v/>
      </c>
      <c r="S1805" s="74">
        <f>IF(TODAY()&lt;C1806,"FUTURE",IF(TODAY()&gt;C1806+6,"PAST","THIS WEEK"))</f>
        <v/>
      </c>
      <c r="W1805" s="75">
        <f>IF(AND(Engine!$B$8=$AC$3,Engine!$B$9=$A1805),"◀ ACTIVE WEEK","")</f>
        <v/>
      </c>
      <c r="AA1805" s="76" t="n"/>
      <c r="AB1805" s="77" t="inlineStr">
        <is>
          <t>◀ Prev</t>
        </is>
      </c>
      <c r="AC1805" s="77" t="inlineStr">
        <is>
          <t>Next ▶</t>
        </is>
      </c>
    </row>
    <row r="1806" ht="18" customHeight="1">
      <c r="A1806" t="n">
        <v>37</v>
      </c>
      <c r="B1806" s="78" t="inlineStr">
        <is>
          <t>DUTY</t>
        </is>
      </c>
      <c r="C1806" s="79">
        <f>$AC$2+7*($A1806-1)</f>
        <v/>
      </c>
      <c r="D1806" s="80" t="n"/>
      <c r="E1806" s="80" t="n"/>
      <c r="F1806" s="81" t="n"/>
      <c r="G1806" s="79">
        <f>C1806+1</f>
        <v/>
      </c>
      <c r="H1806" s="80" t="n"/>
      <c r="I1806" s="80" t="n"/>
      <c r="J1806" s="81" t="n"/>
      <c r="K1806" s="79">
        <f>C1806+2</f>
        <v/>
      </c>
      <c r="L1806" s="80" t="n"/>
      <c r="M1806" s="80" t="n"/>
      <c r="N1806" s="81" t="n"/>
      <c r="O1806" s="79">
        <f>C1806+3</f>
        <v/>
      </c>
      <c r="P1806" s="80" t="n"/>
      <c r="Q1806" s="80" t="n"/>
      <c r="R1806" s="81" t="n"/>
      <c r="S1806" s="79">
        <f>C1806+4</f>
        <v/>
      </c>
      <c r="T1806" s="80" t="n"/>
      <c r="U1806" s="80" t="n"/>
      <c r="V1806" s="81" t="n"/>
      <c r="W1806" s="82">
        <f>C1806+5</f>
        <v/>
      </c>
      <c r="X1806" s="83" t="n"/>
      <c r="Y1806" s="82">
        <f>C1806+6</f>
        <v/>
      </c>
      <c r="Z1806" s="83" t="n"/>
      <c r="AB1806" s="72" t="inlineStr">
        <is>
          <t>Gaps</t>
        </is>
      </c>
      <c r="AC1806" s="72" t="inlineStr">
        <is>
          <t>Cover</t>
        </is>
      </c>
    </row>
    <row r="1807" ht="14" customHeight="1">
      <c r="A1807" t="n">
        <v>37</v>
      </c>
      <c r="B1807" s="84" t="inlineStr">
        <is>
          <t>(from Setup)</t>
        </is>
      </c>
      <c r="C1807" s="85" t="inlineStr">
        <is>
          <t>1</t>
        </is>
      </c>
      <c r="D1807" s="85" t="inlineStr">
        <is>
          <t>2</t>
        </is>
      </c>
      <c r="E1807" s="85" t="inlineStr">
        <is>
          <t>3</t>
        </is>
      </c>
      <c r="F1807" s="85" t="inlineStr">
        <is>
          <t>Notes</t>
        </is>
      </c>
      <c r="G1807" s="85" t="inlineStr">
        <is>
          <t>1</t>
        </is>
      </c>
      <c r="H1807" s="85" t="inlineStr">
        <is>
          <t>2</t>
        </is>
      </c>
      <c r="I1807" s="85" t="inlineStr">
        <is>
          <t>3</t>
        </is>
      </c>
      <c r="J1807" s="85" t="inlineStr">
        <is>
          <t>Notes</t>
        </is>
      </c>
      <c r="K1807" s="85" t="inlineStr">
        <is>
          <t>1</t>
        </is>
      </c>
      <c r="L1807" s="85" t="inlineStr">
        <is>
          <t>2</t>
        </is>
      </c>
      <c r="M1807" s="85" t="inlineStr">
        <is>
          <t>3</t>
        </is>
      </c>
      <c r="N1807" s="85" t="inlineStr">
        <is>
          <t>Notes</t>
        </is>
      </c>
      <c r="O1807" s="85" t="inlineStr">
        <is>
          <t>1</t>
        </is>
      </c>
      <c r="P1807" s="85" t="inlineStr">
        <is>
          <t>2</t>
        </is>
      </c>
      <c r="Q1807" s="85" t="inlineStr">
        <is>
          <t>3</t>
        </is>
      </c>
      <c r="R1807" s="85" t="inlineStr">
        <is>
          <t>Notes</t>
        </is>
      </c>
      <c r="S1807" s="85" t="inlineStr">
        <is>
          <t>1</t>
        </is>
      </c>
      <c r="T1807" s="85" t="inlineStr">
        <is>
          <t>2</t>
        </is>
      </c>
      <c r="U1807" s="85" t="inlineStr">
        <is>
          <t>3</t>
        </is>
      </c>
      <c r="V1807" s="85" t="inlineStr">
        <is>
          <t>Notes</t>
        </is>
      </c>
      <c r="W1807" s="85" t="inlineStr">
        <is>
          <t>Cover</t>
        </is>
      </c>
      <c r="X1807" s="85" t="inlineStr">
        <is>
          <t>Notes</t>
        </is>
      </c>
      <c r="Y1807" s="85" t="inlineStr">
        <is>
          <t>Cover</t>
        </is>
      </c>
      <c r="Z1807" s="85" t="inlineStr">
        <is>
          <t>Notes</t>
        </is>
      </c>
      <c r="AB1807" s="86" t="inlineStr">
        <is>
          <t>weekdays short</t>
        </is>
      </c>
      <c r="AC1807" s="87" t="inlineStr"/>
    </row>
    <row r="1808" ht="17" customHeight="1">
      <c r="A1808" t="n">
        <v>37</v>
      </c>
      <c r="B1808" s="24">
        <f>IF(Setup!$K$6="","",Setup!$K$6)</f>
        <v/>
      </c>
      <c r="C1808" s="88" t="n"/>
      <c r="D1808" s="88" t="n"/>
      <c r="E1808" s="88" t="n"/>
      <c r="F1808" s="89" t="n"/>
      <c r="G1808" s="88" t="n"/>
      <c r="H1808" s="88" t="n"/>
      <c r="I1808" s="88" t="n"/>
      <c r="J1808" s="89" t="n"/>
      <c r="K1808" s="88" t="n"/>
      <c r="L1808" s="88" t="n"/>
      <c r="M1808" s="88" t="n"/>
      <c r="N1808" s="89" t="n"/>
      <c r="O1808" s="88" t="n"/>
      <c r="P1808" s="88" t="n"/>
      <c r="Q1808" s="88" t="n"/>
      <c r="R1808" s="89" t="n"/>
      <c r="S1808" s="88" t="n"/>
      <c r="T1808" s="88" t="n"/>
      <c r="U1808" s="88" t="n"/>
      <c r="V1808" s="89" t="n"/>
      <c r="W1808" s="88" t="n"/>
      <c r="X1808" s="89" t="n"/>
      <c r="Y1808" s="88" t="n"/>
      <c r="Z1808" s="89" t="n"/>
      <c r="AB1808" s="25">
        <f>IF($B1808="","",(COUNTIF(C1808:E1808,"?*")&lt;N(INDEX(Setup!$L$6:$L$23,1)))+(COUNTIF(G1808:I1808,"?*")&lt;N(INDEX(Setup!$L$6:$L$23,1)))+(COUNTIF(K1808:M1808,"?*")&lt;N(INDEX(Setup!$L$6:$L$23,1)))+(COUNTIF(O1808:Q1808,"?*")&lt;N(INDEX(Setup!$L$6:$L$23,1)))+(COUNTIF(S1808:U1808,"?*")&lt;N(INDEX(Setup!$L$6:$L$23,1)))+((W1808="")*(INDEX(Setup!$M$6:$M$23,1)="Y"))+((Y1808="")*(INDEX(Setup!$M$6:$M$23,1)="Y")))</f>
        <v/>
      </c>
      <c r="AC1808" s="90">
        <f>IF($B1808="","",IF(AB1808=0,"✓ covered","⚠ "&amp;AB1808&amp;IF(AB1808=1," gap"," gaps")))</f>
        <v/>
      </c>
    </row>
    <row r="1809" ht="17" customHeight="1">
      <c r="A1809" t="n">
        <v>37</v>
      </c>
      <c r="B1809" s="29">
        <f>IF(Setup!$K$7="","",Setup!$K$7)</f>
        <v/>
      </c>
      <c r="C1809" s="88" t="n"/>
      <c r="D1809" s="88" t="n"/>
      <c r="E1809" s="88" t="n"/>
      <c r="F1809" s="89" t="n"/>
      <c r="G1809" s="88" t="n"/>
      <c r="H1809" s="88" t="n"/>
      <c r="I1809" s="88" t="n"/>
      <c r="J1809" s="89" t="n"/>
      <c r="K1809" s="88" t="n"/>
      <c r="L1809" s="88" t="n"/>
      <c r="M1809" s="88" t="n"/>
      <c r="N1809" s="89" t="n"/>
      <c r="O1809" s="88" t="n"/>
      <c r="P1809" s="88" t="n"/>
      <c r="Q1809" s="88" t="n"/>
      <c r="R1809" s="89" t="n"/>
      <c r="S1809" s="88" t="n"/>
      <c r="T1809" s="88" t="n"/>
      <c r="U1809" s="88" t="n"/>
      <c r="V1809" s="89" t="n"/>
      <c r="W1809" s="88" t="n"/>
      <c r="X1809" s="89" t="n"/>
      <c r="Y1809" s="88" t="n"/>
      <c r="Z1809" s="89" t="n"/>
      <c r="AB1809" s="30">
        <f>IF($B1809="","",(COUNTIF(C1809:E1809,"?*")&lt;N(INDEX(Setup!$L$6:$L$23,2)))+(COUNTIF(G1809:I1809,"?*")&lt;N(INDEX(Setup!$L$6:$L$23,2)))+(COUNTIF(K1809:M1809,"?*")&lt;N(INDEX(Setup!$L$6:$L$23,2)))+(COUNTIF(O1809:Q1809,"?*")&lt;N(INDEX(Setup!$L$6:$L$23,2)))+(COUNTIF(S1809:U1809,"?*")&lt;N(INDEX(Setup!$L$6:$L$23,2)))+((W1809="")*(INDEX(Setup!$M$6:$M$23,2)="Y"))+((Y1809="")*(INDEX(Setup!$M$6:$M$23,2)="Y")))</f>
        <v/>
      </c>
      <c r="AC1809" s="91">
        <f>IF($B1809="","",IF(AB1809=0,"✓ covered","⚠ "&amp;AB1809&amp;IF(AB1809=1," gap"," gaps")))</f>
        <v/>
      </c>
    </row>
    <row r="1810" ht="17" customHeight="1">
      <c r="A1810" t="n">
        <v>37</v>
      </c>
      <c r="B1810" s="24">
        <f>IF(Setup!$K$8="","",Setup!$K$8)</f>
        <v/>
      </c>
      <c r="C1810" s="88" t="n"/>
      <c r="D1810" s="88" t="n"/>
      <c r="E1810" s="88" t="n"/>
      <c r="F1810" s="89" t="n"/>
      <c r="G1810" s="88" t="n"/>
      <c r="H1810" s="88" t="n"/>
      <c r="I1810" s="88" t="n"/>
      <c r="J1810" s="89" t="n"/>
      <c r="K1810" s="88" t="n"/>
      <c r="L1810" s="88" t="n"/>
      <c r="M1810" s="88" t="n"/>
      <c r="N1810" s="89" t="n"/>
      <c r="O1810" s="88" t="n"/>
      <c r="P1810" s="88" t="n"/>
      <c r="Q1810" s="88" t="n"/>
      <c r="R1810" s="89" t="n"/>
      <c r="S1810" s="88" t="n"/>
      <c r="T1810" s="88" t="n"/>
      <c r="U1810" s="88" t="n"/>
      <c r="V1810" s="89" t="n"/>
      <c r="W1810" s="88" t="n"/>
      <c r="X1810" s="89" t="n"/>
      <c r="Y1810" s="88" t="n"/>
      <c r="Z1810" s="89" t="n"/>
      <c r="AB1810" s="25">
        <f>IF($B1810="","",(COUNTIF(C1810:E1810,"?*")&lt;N(INDEX(Setup!$L$6:$L$23,3)))+(COUNTIF(G1810:I1810,"?*")&lt;N(INDEX(Setup!$L$6:$L$23,3)))+(COUNTIF(K1810:M1810,"?*")&lt;N(INDEX(Setup!$L$6:$L$23,3)))+(COUNTIF(O1810:Q1810,"?*")&lt;N(INDEX(Setup!$L$6:$L$23,3)))+(COUNTIF(S1810:U1810,"?*")&lt;N(INDEX(Setup!$L$6:$L$23,3)))+((W1810="")*(INDEX(Setup!$M$6:$M$23,3)="Y"))+((Y1810="")*(INDEX(Setup!$M$6:$M$23,3)="Y")))</f>
        <v/>
      </c>
      <c r="AC1810" s="90">
        <f>IF($B1810="","",IF(AB1810=0,"✓ covered","⚠ "&amp;AB1810&amp;IF(AB1810=1," gap"," gaps")))</f>
        <v/>
      </c>
    </row>
    <row r="1811" ht="17" customHeight="1">
      <c r="A1811" t="n">
        <v>37</v>
      </c>
      <c r="B1811" s="29">
        <f>IF(Setup!$K$9="","",Setup!$K$9)</f>
        <v/>
      </c>
      <c r="C1811" s="88" t="n"/>
      <c r="D1811" s="88" t="n"/>
      <c r="E1811" s="88" t="n"/>
      <c r="F1811" s="89" t="n"/>
      <c r="G1811" s="88" t="n"/>
      <c r="H1811" s="88" t="n"/>
      <c r="I1811" s="88" t="n"/>
      <c r="J1811" s="89" t="n"/>
      <c r="K1811" s="88" t="n"/>
      <c r="L1811" s="88" t="n"/>
      <c r="M1811" s="88" t="n"/>
      <c r="N1811" s="89" t="n"/>
      <c r="O1811" s="88" t="n"/>
      <c r="P1811" s="88" t="n"/>
      <c r="Q1811" s="88" t="n"/>
      <c r="R1811" s="89" t="n"/>
      <c r="S1811" s="88" t="n"/>
      <c r="T1811" s="88" t="n"/>
      <c r="U1811" s="88" t="n"/>
      <c r="V1811" s="89" t="n"/>
      <c r="W1811" s="88" t="n"/>
      <c r="X1811" s="89" t="n"/>
      <c r="Y1811" s="88" t="n"/>
      <c r="Z1811" s="89" t="n"/>
      <c r="AB1811" s="30">
        <f>IF($B1811="","",(COUNTIF(C1811:E1811,"?*")&lt;N(INDEX(Setup!$L$6:$L$23,4)))+(COUNTIF(G1811:I1811,"?*")&lt;N(INDEX(Setup!$L$6:$L$23,4)))+(COUNTIF(K1811:M1811,"?*")&lt;N(INDEX(Setup!$L$6:$L$23,4)))+(COUNTIF(O1811:Q1811,"?*")&lt;N(INDEX(Setup!$L$6:$L$23,4)))+(COUNTIF(S1811:U1811,"?*")&lt;N(INDEX(Setup!$L$6:$L$23,4)))+((W1811="")*(INDEX(Setup!$M$6:$M$23,4)="Y"))+((Y1811="")*(INDEX(Setup!$M$6:$M$23,4)="Y")))</f>
        <v/>
      </c>
      <c r="AC1811" s="91">
        <f>IF($B1811="","",IF(AB1811=0,"✓ covered","⚠ "&amp;AB1811&amp;IF(AB1811=1," gap"," gaps")))</f>
        <v/>
      </c>
    </row>
    <row r="1812" ht="17" customHeight="1">
      <c r="A1812" t="n">
        <v>37</v>
      </c>
      <c r="B1812" s="24">
        <f>IF(Setup!$K$10="","",Setup!$K$10)</f>
        <v/>
      </c>
      <c r="C1812" s="88" t="n"/>
      <c r="D1812" s="88" t="n"/>
      <c r="E1812" s="88" t="n"/>
      <c r="F1812" s="89" t="n"/>
      <c r="G1812" s="88" t="n"/>
      <c r="H1812" s="88" t="n"/>
      <c r="I1812" s="88" t="n"/>
      <c r="J1812" s="89" t="n"/>
      <c r="K1812" s="88" t="n"/>
      <c r="L1812" s="88" t="n"/>
      <c r="M1812" s="88" t="n"/>
      <c r="N1812" s="89" t="n"/>
      <c r="O1812" s="88" t="n"/>
      <c r="P1812" s="88" t="n"/>
      <c r="Q1812" s="88" t="n"/>
      <c r="R1812" s="89" t="n"/>
      <c r="S1812" s="88" t="n"/>
      <c r="T1812" s="88" t="n"/>
      <c r="U1812" s="88" t="n"/>
      <c r="V1812" s="89" t="n"/>
      <c r="W1812" s="88" t="n"/>
      <c r="X1812" s="89" t="n"/>
      <c r="Y1812" s="88" t="n"/>
      <c r="Z1812" s="89" t="n"/>
      <c r="AB1812" s="25">
        <f>IF($B1812="","",(COUNTIF(C1812:E1812,"?*")&lt;N(INDEX(Setup!$L$6:$L$23,5)))+(COUNTIF(G1812:I1812,"?*")&lt;N(INDEX(Setup!$L$6:$L$23,5)))+(COUNTIF(K1812:M1812,"?*")&lt;N(INDEX(Setup!$L$6:$L$23,5)))+(COUNTIF(O1812:Q1812,"?*")&lt;N(INDEX(Setup!$L$6:$L$23,5)))+(COUNTIF(S1812:U1812,"?*")&lt;N(INDEX(Setup!$L$6:$L$23,5)))+((W1812="")*(INDEX(Setup!$M$6:$M$23,5)="Y"))+((Y1812="")*(INDEX(Setup!$M$6:$M$23,5)="Y")))</f>
        <v/>
      </c>
      <c r="AC1812" s="90">
        <f>IF($B1812="","",IF(AB1812=0,"✓ covered","⚠ "&amp;AB1812&amp;IF(AB1812=1," gap"," gaps")))</f>
        <v/>
      </c>
    </row>
    <row r="1813" ht="17" customHeight="1">
      <c r="A1813" t="n">
        <v>37</v>
      </c>
      <c r="B1813" s="29">
        <f>IF(Setup!$K$11="","",Setup!$K$11)</f>
        <v/>
      </c>
      <c r="C1813" s="88" t="n"/>
      <c r="D1813" s="88" t="n"/>
      <c r="E1813" s="88" t="n"/>
      <c r="F1813" s="89" t="n"/>
      <c r="G1813" s="88" t="n"/>
      <c r="H1813" s="88" t="n"/>
      <c r="I1813" s="88" t="n"/>
      <c r="J1813" s="89" t="n"/>
      <c r="K1813" s="88" t="n"/>
      <c r="L1813" s="88" t="n"/>
      <c r="M1813" s="88" t="n"/>
      <c r="N1813" s="89" t="n"/>
      <c r="O1813" s="88" t="n"/>
      <c r="P1813" s="88" t="n"/>
      <c r="Q1813" s="88" t="n"/>
      <c r="R1813" s="89" t="n"/>
      <c r="S1813" s="88" t="n"/>
      <c r="T1813" s="88" t="n"/>
      <c r="U1813" s="88" t="n"/>
      <c r="V1813" s="89" t="n"/>
      <c r="W1813" s="88" t="n"/>
      <c r="X1813" s="89" t="n"/>
      <c r="Y1813" s="88" t="n"/>
      <c r="Z1813" s="89" t="n"/>
      <c r="AB1813" s="30">
        <f>IF($B1813="","",(COUNTIF(C1813:E1813,"?*")&lt;N(INDEX(Setup!$L$6:$L$23,6)))+(COUNTIF(G1813:I1813,"?*")&lt;N(INDEX(Setup!$L$6:$L$23,6)))+(COUNTIF(K1813:M1813,"?*")&lt;N(INDEX(Setup!$L$6:$L$23,6)))+(COUNTIF(O1813:Q1813,"?*")&lt;N(INDEX(Setup!$L$6:$L$23,6)))+(COUNTIF(S1813:U1813,"?*")&lt;N(INDEX(Setup!$L$6:$L$23,6)))+((W1813="")*(INDEX(Setup!$M$6:$M$23,6)="Y"))+((Y1813="")*(INDEX(Setup!$M$6:$M$23,6)="Y")))</f>
        <v/>
      </c>
      <c r="AC1813" s="91">
        <f>IF($B1813="","",IF(AB1813=0,"✓ covered","⚠ "&amp;AB1813&amp;IF(AB1813=1," gap"," gaps")))</f>
        <v/>
      </c>
    </row>
    <row r="1814" ht="17" customHeight="1">
      <c r="A1814" t="n">
        <v>37</v>
      </c>
      <c r="B1814" s="24">
        <f>IF(Setup!$K$12="","",Setup!$K$12)</f>
        <v/>
      </c>
      <c r="C1814" s="88" t="n"/>
      <c r="D1814" s="88" t="n"/>
      <c r="E1814" s="88" t="n"/>
      <c r="F1814" s="89" t="n"/>
      <c r="G1814" s="88" t="n"/>
      <c r="H1814" s="88" t="n"/>
      <c r="I1814" s="88" t="n"/>
      <c r="J1814" s="89" t="n"/>
      <c r="K1814" s="88" t="n"/>
      <c r="L1814" s="88" t="n"/>
      <c r="M1814" s="88" t="n"/>
      <c r="N1814" s="89" t="n"/>
      <c r="O1814" s="88" t="n"/>
      <c r="P1814" s="88" t="n"/>
      <c r="Q1814" s="88" t="n"/>
      <c r="R1814" s="89" t="n"/>
      <c r="S1814" s="88" t="n"/>
      <c r="T1814" s="88" t="n"/>
      <c r="U1814" s="88" t="n"/>
      <c r="V1814" s="89" t="n"/>
      <c r="W1814" s="88" t="n"/>
      <c r="X1814" s="89" t="n"/>
      <c r="Y1814" s="88" t="n"/>
      <c r="Z1814" s="89" t="n"/>
      <c r="AB1814" s="25">
        <f>IF($B1814="","",(COUNTIF(C1814:E1814,"?*")&lt;N(INDEX(Setup!$L$6:$L$23,7)))+(COUNTIF(G1814:I1814,"?*")&lt;N(INDEX(Setup!$L$6:$L$23,7)))+(COUNTIF(K1814:M1814,"?*")&lt;N(INDEX(Setup!$L$6:$L$23,7)))+(COUNTIF(O1814:Q1814,"?*")&lt;N(INDEX(Setup!$L$6:$L$23,7)))+(COUNTIF(S1814:U1814,"?*")&lt;N(INDEX(Setup!$L$6:$L$23,7)))+((W1814="")*(INDEX(Setup!$M$6:$M$23,7)="Y"))+((Y1814="")*(INDEX(Setup!$M$6:$M$23,7)="Y")))</f>
        <v/>
      </c>
      <c r="AC1814" s="90">
        <f>IF($B1814="","",IF(AB1814=0,"✓ covered","⚠ "&amp;AB1814&amp;IF(AB1814=1," gap"," gaps")))</f>
        <v/>
      </c>
    </row>
    <row r="1815" ht="17" customHeight="1">
      <c r="A1815" t="n">
        <v>37</v>
      </c>
      <c r="B1815" s="29">
        <f>IF(Setup!$K$13="","",Setup!$K$13)</f>
        <v/>
      </c>
      <c r="C1815" s="88" t="n"/>
      <c r="D1815" s="88" t="n"/>
      <c r="E1815" s="88" t="n"/>
      <c r="F1815" s="89" t="n"/>
      <c r="G1815" s="88" t="n"/>
      <c r="H1815" s="88" t="n"/>
      <c r="I1815" s="88" t="n"/>
      <c r="J1815" s="89" t="n"/>
      <c r="K1815" s="88" t="n"/>
      <c r="L1815" s="88" t="n"/>
      <c r="M1815" s="88" t="n"/>
      <c r="N1815" s="89" t="n"/>
      <c r="O1815" s="88" t="n"/>
      <c r="P1815" s="88" t="n"/>
      <c r="Q1815" s="88" t="n"/>
      <c r="R1815" s="89" t="n"/>
      <c r="S1815" s="88" t="n"/>
      <c r="T1815" s="88" t="n"/>
      <c r="U1815" s="88" t="n"/>
      <c r="V1815" s="89" t="n"/>
      <c r="W1815" s="88" t="n"/>
      <c r="X1815" s="89" t="n"/>
      <c r="Y1815" s="88" t="n"/>
      <c r="Z1815" s="89" t="n"/>
      <c r="AB1815" s="30">
        <f>IF($B1815="","",(COUNTIF(C1815:E1815,"?*")&lt;N(INDEX(Setup!$L$6:$L$23,8)))+(COUNTIF(G1815:I1815,"?*")&lt;N(INDEX(Setup!$L$6:$L$23,8)))+(COUNTIF(K1815:M1815,"?*")&lt;N(INDEX(Setup!$L$6:$L$23,8)))+(COUNTIF(O1815:Q1815,"?*")&lt;N(INDEX(Setup!$L$6:$L$23,8)))+(COUNTIF(S1815:U1815,"?*")&lt;N(INDEX(Setup!$L$6:$L$23,8)))+((W1815="")*(INDEX(Setup!$M$6:$M$23,8)="Y"))+((Y1815="")*(INDEX(Setup!$M$6:$M$23,8)="Y")))</f>
        <v/>
      </c>
      <c r="AC1815" s="91">
        <f>IF($B1815="","",IF(AB1815=0,"✓ covered","⚠ "&amp;AB1815&amp;IF(AB1815=1," gap"," gaps")))</f>
        <v/>
      </c>
    </row>
    <row r="1816" ht="17" customHeight="1">
      <c r="A1816" t="n">
        <v>37</v>
      </c>
      <c r="B1816" s="24">
        <f>IF(Setup!$K$14="","",Setup!$K$14)</f>
        <v/>
      </c>
      <c r="C1816" s="88" t="n"/>
      <c r="D1816" s="88" t="n"/>
      <c r="E1816" s="88" t="n"/>
      <c r="F1816" s="89" t="n"/>
      <c r="G1816" s="88" t="n"/>
      <c r="H1816" s="88" t="n"/>
      <c r="I1816" s="88" t="n"/>
      <c r="J1816" s="89" t="n"/>
      <c r="K1816" s="88" t="n"/>
      <c r="L1816" s="88" t="n"/>
      <c r="M1816" s="88" t="n"/>
      <c r="N1816" s="89" t="n"/>
      <c r="O1816" s="88" t="n"/>
      <c r="P1816" s="88" t="n"/>
      <c r="Q1816" s="88" t="n"/>
      <c r="R1816" s="89" t="n"/>
      <c r="S1816" s="88" t="n"/>
      <c r="T1816" s="88" t="n"/>
      <c r="U1816" s="88" t="n"/>
      <c r="V1816" s="89" t="n"/>
      <c r="W1816" s="88" t="n"/>
      <c r="X1816" s="89" t="n"/>
      <c r="Y1816" s="88" t="n"/>
      <c r="Z1816" s="89" t="n"/>
      <c r="AB1816" s="25">
        <f>IF($B1816="","",(COUNTIF(C1816:E1816,"?*")&lt;N(INDEX(Setup!$L$6:$L$23,9)))+(COUNTIF(G1816:I1816,"?*")&lt;N(INDEX(Setup!$L$6:$L$23,9)))+(COUNTIF(K1816:M1816,"?*")&lt;N(INDEX(Setup!$L$6:$L$23,9)))+(COUNTIF(O1816:Q1816,"?*")&lt;N(INDEX(Setup!$L$6:$L$23,9)))+(COUNTIF(S1816:U1816,"?*")&lt;N(INDEX(Setup!$L$6:$L$23,9)))+((W1816="")*(INDEX(Setup!$M$6:$M$23,9)="Y"))+((Y1816="")*(INDEX(Setup!$M$6:$M$23,9)="Y")))</f>
        <v/>
      </c>
      <c r="AC1816" s="90">
        <f>IF($B1816="","",IF(AB1816=0,"✓ covered","⚠ "&amp;AB1816&amp;IF(AB1816=1," gap"," gaps")))</f>
        <v/>
      </c>
    </row>
    <row r="1817" ht="17" customHeight="1">
      <c r="A1817" t="n">
        <v>37</v>
      </c>
      <c r="B1817" s="29">
        <f>IF(Setup!$K$15="","",Setup!$K$15)</f>
        <v/>
      </c>
      <c r="C1817" s="88" t="n"/>
      <c r="D1817" s="88" t="n"/>
      <c r="E1817" s="88" t="n"/>
      <c r="F1817" s="89" t="n"/>
      <c r="G1817" s="88" t="n"/>
      <c r="H1817" s="88" t="n"/>
      <c r="I1817" s="88" t="n"/>
      <c r="J1817" s="89" t="n"/>
      <c r="K1817" s="88" t="n"/>
      <c r="L1817" s="88" t="n"/>
      <c r="M1817" s="88" t="n"/>
      <c r="N1817" s="89" t="n"/>
      <c r="O1817" s="88" t="n"/>
      <c r="P1817" s="88" t="n"/>
      <c r="Q1817" s="88" t="n"/>
      <c r="R1817" s="89" t="n"/>
      <c r="S1817" s="88" t="n"/>
      <c r="T1817" s="88" t="n"/>
      <c r="U1817" s="88" t="n"/>
      <c r="V1817" s="89" t="n"/>
      <c r="W1817" s="88" t="n"/>
      <c r="X1817" s="89" t="n"/>
      <c r="Y1817" s="88" t="n"/>
      <c r="Z1817" s="89" t="n"/>
      <c r="AB1817" s="30">
        <f>IF($B1817="","",(COUNTIF(C1817:E1817,"?*")&lt;N(INDEX(Setup!$L$6:$L$23,10)))+(COUNTIF(G1817:I1817,"?*")&lt;N(INDEX(Setup!$L$6:$L$23,10)))+(COUNTIF(K1817:M1817,"?*")&lt;N(INDEX(Setup!$L$6:$L$23,10)))+(COUNTIF(O1817:Q1817,"?*")&lt;N(INDEX(Setup!$L$6:$L$23,10)))+(COUNTIF(S1817:U1817,"?*")&lt;N(INDEX(Setup!$L$6:$L$23,10)))+((W1817="")*(INDEX(Setup!$M$6:$M$23,10)="Y"))+((Y1817="")*(INDEX(Setup!$M$6:$M$23,10)="Y")))</f>
        <v/>
      </c>
      <c r="AC1817" s="91">
        <f>IF($B1817="","",IF(AB1817=0,"✓ covered","⚠ "&amp;AB1817&amp;IF(AB1817=1," gap"," gaps")))</f>
        <v/>
      </c>
    </row>
    <row r="1818" ht="17" customHeight="1">
      <c r="A1818" t="n">
        <v>37</v>
      </c>
      <c r="B1818" s="24">
        <f>IF(Setup!$K$16="","",Setup!$K$16)</f>
        <v/>
      </c>
      <c r="C1818" s="88" t="n"/>
      <c r="D1818" s="88" t="n"/>
      <c r="E1818" s="88" t="n"/>
      <c r="F1818" s="89" t="n"/>
      <c r="G1818" s="88" t="n"/>
      <c r="H1818" s="88" t="n"/>
      <c r="I1818" s="88" t="n"/>
      <c r="J1818" s="89" t="n"/>
      <c r="K1818" s="88" t="n"/>
      <c r="L1818" s="88" t="n"/>
      <c r="M1818" s="88" t="n"/>
      <c r="N1818" s="89" t="n"/>
      <c r="O1818" s="88" t="n"/>
      <c r="P1818" s="88" t="n"/>
      <c r="Q1818" s="88" t="n"/>
      <c r="R1818" s="89" t="n"/>
      <c r="S1818" s="88" t="n"/>
      <c r="T1818" s="88" t="n"/>
      <c r="U1818" s="88" t="n"/>
      <c r="V1818" s="89" t="n"/>
      <c r="W1818" s="88" t="n"/>
      <c r="X1818" s="89" t="n"/>
      <c r="Y1818" s="88" t="n"/>
      <c r="Z1818" s="89" t="n"/>
      <c r="AB1818" s="25">
        <f>IF($B1818="","",(COUNTIF(C1818:E1818,"?*")&lt;N(INDEX(Setup!$L$6:$L$23,11)))+(COUNTIF(G1818:I1818,"?*")&lt;N(INDEX(Setup!$L$6:$L$23,11)))+(COUNTIF(K1818:M1818,"?*")&lt;N(INDEX(Setup!$L$6:$L$23,11)))+(COUNTIF(O1818:Q1818,"?*")&lt;N(INDEX(Setup!$L$6:$L$23,11)))+(COUNTIF(S1818:U1818,"?*")&lt;N(INDEX(Setup!$L$6:$L$23,11)))+((W1818="")*(INDEX(Setup!$M$6:$M$23,11)="Y"))+((Y1818="")*(INDEX(Setup!$M$6:$M$23,11)="Y")))</f>
        <v/>
      </c>
      <c r="AC1818" s="90">
        <f>IF($B1818="","",IF(AB1818=0,"✓ covered","⚠ "&amp;AB1818&amp;IF(AB1818=1," gap"," gaps")))</f>
        <v/>
      </c>
    </row>
    <row r="1819" ht="17" customHeight="1">
      <c r="A1819" t="n">
        <v>37</v>
      </c>
      <c r="B1819" s="29">
        <f>IF(Setup!$K$17="","",Setup!$K$17)</f>
        <v/>
      </c>
      <c r="C1819" s="88" t="n"/>
      <c r="D1819" s="88" t="n"/>
      <c r="E1819" s="88" t="n"/>
      <c r="F1819" s="89" t="n"/>
      <c r="G1819" s="88" t="n"/>
      <c r="H1819" s="88" t="n"/>
      <c r="I1819" s="88" t="n"/>
      <c r="J1819" s="89" t="n"/>
      <c r="K1819" s="88" t="n"/>
      <c r="L1819" s="88" t="n"/>
      <c r="M1819" s="88" t="n"/>
      <c r="N1819" s="89" t="n"/>
      <c r="O1819" s="88" t="n"/>
      <c r="P1819" s="88" t="n"/>
      <c r="Q1819" s="88" t="n"/>
      <c r="R1819" s="89" t="n"/>
      <c r="S1819" s="88" t="n"/>
      <c r="T1819" s="88" t="n"/>
      <c r="U1819" s="88" t="n"/>
      <c r="V1819" s="89" t="n"/>
      <c r="W1819" s="88" t="n"/>
      <c r="X1819" s="89" t="n"/>
      <c r="Y1819" s="88" t="n"/>
      <c r="Z1819" s="89" t="n"/>
      <c r="AB1819" s="30">
        <f>IF($B1819="","",(COUNTIF(C1819:E1819,"?*")&lt;N(INDEX(Setup!$L$6:$L$23,12)))+(COUNTIF(G1819:I1819,"?*")&lt;N(INDEX(Setup!$L$6:$L$23,12)))+(COUNTIF(K1819:M1819,"?*")&lt;N(INDEX(Setup!$L$6:$L$23,12)))+(COUNTIF(O1819:Q1819,"?*")&lt;N(INDEX(Setup!$L$6:$L$23,12)))+(COUNTIF(S1819:U1819,"?*")&lt;N(INDEX(Setup!$L$6:$L$23,12)))+((W1819="")*(INDEX(Setup!$M$6:$M$23,12)="Y"))+((Y1819="")*(INDEX(Setup!$M$6:$M$23,12)="Y")))</f>
        <v/>
      </c>
      <c r="AC1819" s="91">
        <f>IF($B1819="","",IF(AB1819=0,"✓ covered","⚠ "&amp;AB1819&amp;IF(AB1819=1," gap"," gaps")))</f>
        <v/>
      </c>
    </row>
    <row r="1820" ht="17" customHeight="1">
      <c r="A1820" t="n">
        <v>37</v>
      </c>
      <c r="B1820" s="24">
        <f>IF(Setup!$K$18="","",Setup!$K$18)</f>
        <v/>
      </c>
      <c r="C1820" s="88" t="n"/>
      <c r="D1820" s="88" t="n"/>
      <c r="E1820" s="88" t="n"/>
      <c r="F1820" s="89" t="n"/>
      <c r="G1820" s="88" t="n"/>
      <c r="H1820" s="88" t="n"/>
      <c r="I1820" s="88" t="n"/>
      <c r="J1820" s="89" t="n"/>
      <c r="K1820" s="88" t="n"/>
      <c r="L1820" s="88" t="n"/>
      <c r="M1820" s="88" t="n"/>
      <c r="N1820" s="89" t="n"/>
      <c r="O1820" s="88" t="n"/>
      <c r="P1820" s="88" t="n"/>
      <c r="Q1820" s="88" t="n"/>
      <c r="R1820" s="89" t="n"/>
      <c r="S1820" s="88" t="n"/>
      <c r="T1820" s="88" t="n"/>
      <c r="U1820" s="88" t="n"/>
      <c r="V1820" s="89" t="n"/>
      <c r="W1820" s="88" t="n"/>
      <c r="X1820" s="89" t="n"/>
      <c r="Y1820" s="88" t="n"/>
      <c r="Z1820" s="89" t="n"/>
      <c r="AB1820" s="25">
        <f>IF($B1820="","",(COUNTIF(C1820:E1820,"?*")&lt;N(INDEX(Setup!$L$6:$L$23,13)))+(COUNTIF(G1820:I1820,"?*")&lt;N(INDEX(Setup!$L$6:$L$23,13)))+(COUNTIF(K1820:M1820,"?*")&lt;N(INDEX(Setup!$L$6:$L$23,13)))+(COUNTIF(O1820:Q1820,"?*")&lt;N(INDEX(Setup!$L$6:$L$23,13)))+(COUNTIF(S1820:U1820,"?*")&lt;N(INDEX(Setup!$L$6:$L$23,13)))+((W1820="")*(INDEX(Setup!$M$6:$M$23,13)="Y"))+((Y1820="")*(INDEX(Setup!$M$6:$M$23,13)="Y")))</f>
        <v/>
      </c>
      <c r="AC1820" s="90">
        <f>IF($B1820="","",IF(AB1820=0,"✓ covered","⚠ "&amp;AB1820&amp;IF(AB1820=1," gap"," gaps")))</f>
        <v/>
      </c>
    </row>
    <row r="1821" ht="17" customHeight="1">
      <c r="A1821" t="n">
        <v>37</v>
      </c>
      <c r="B1821" s="29">
        <f>IF(Setup!$K$19="","",Setup!$K$19)</f>
        <v/>
      </c>
      <c r="C1821" s="88" t="n"/>
      <c r="D1821" s="88" t="n"/>
      <c r="E1821" s="88" t="n"/>
      <c r="F1821" s="89" t="n"/>
      <c r="G1821" s="88" t="n"/>
      <c r="H1821" s="88" t="n"/>
      <c r="I1821" s="88" t="n"/>
      <c r="J1821" s="89" t="n"/>
      <c r="K1821" s="88" t="n"/>
      <c r="L1821" s="88" t="n"/>
      <c r="M1821" s="88" t="n"/>
      <c r="N1821" s="89" t="n"/>
      <c r="O1821" s="88" t="n"/>
      <c r="P1821" s="88" t="n"/>
      <c r="Q1821" s="88" t="n"/>
      <c r="R1821" s="89" t="n"/>
      <c r="S1821" s="88" t="n"/>
      <c r="T1821" s="88" t="n"/>
      <c r="U1821" s="88" t="n"/>
      <c r="V1821" s="89" t="n"/>
      <c r="W1821" s="88" t="n"/>
      <c r="X1821" s="89" t="n"/>
      <c r="Y1821" s="88" t="n"/>
      <c r="Z1821" s="89" t="n"/>
      <c r="AB1821" s="30">
        <f>IF($B1821="","",(COUNTIF(C1821:E1821,"?*")&lt;N(INDEX(Setup!$L$6:$L$23,14)))+(COUNTIF(G1821:I1821,"?*")&lt;N(INDEX(Setup!$L$6:$L$23,14)))+(COUNTIF(K1821:M1821,"?*")&lt;N(INDEX(Setup!$L$6:$L$23,14)))+(COUNTIF(O1821:Q1821,"?*")&lt;N(INDEX(Setup!$L$6:$L$23,14)))+(COUNTIF(S1821:U1821,"?*")&lt;N(INDEX(Setup!$L$6:$L$23,14)))+((W1821="")*(INDEX(Setup!$M$6:$M$23,14)="Y"))+((Y1821="")*(INDEX(Setup!$M$6:$M$23,14)="Y")))</f>
        <v/>
      </c>
      <c r="AC1821" s="91">
        <f>IF($B1821="","",IF(AB1821=0,"✓ covered","⚠ "&amp;AB1821&amp;IF(AB1821=1," gap"," gaps")))</f>
        <v/>
      </c>
    </row>
    <row r="1822" ht="17" customHeight="1">
      <c r="A1822" t="n">
        <v>37</v>
      </c>
      <c r="B1822" s="24">
        <f>IF(Setup!$K$20="","",Setup!$K$20)</f>
        <v/>
      </c>
      <c r="C1822" s="88" t="n"/>
      <c r="D1822" s="88" t="n"/>
      <c r="E1822" s="88" t="n"/>
      <c r="F1822" s="89" t="n"/>
      <c r="G1822" s="88" t="n"/>
      <c r="H1822" s="88" t="n"/>
      <c r="I1822" s="88" t="n"/>
      <c r="J1822" s="89" t="n"/>
      <c r="K1822" s="88" t="n"/>
      <c r="L1822" s="88" t="n"/>
      <c r="M1822" s="88" t="n"/>
      <c r="N1822" s="89" t="n"/>
      <c r="O1822" s="88" t="n"/>
      <c r="P1822" s="88" t="n"/>
      <c r="Q1822" s="88" t="n"/>
      <c r="R1822" s="89" t="n"/>
      <c r="S1822" s="88" t="n"/>
      <c r="T1822" s="88" t="n"/>
      <c r="U1822" s="88" t="n"/>
      <c r="V1822" s="89" t="n"/>
      <c r="W1822" s="88" t="n"/>
      <c r="X1822" s="89" t="n"/>
      <c r="Y1822" s="88" t="n"/>
      <c r="Z1822" s="89" t="n"/>
      <c r="AB1822" s="25">
        <f>IF($B1822="","",(COUNTIF(C1822:E1822,"?*")&lt;N(INDEX(Setup!$L$6:$L$23,15)))+(COUNTIF(G1822:I1822,"?*")&lt;N(INDEX(Setup!$L$6:$L$23,15)))+(COUNTIF(K1822:M1822,"?*")&lt;N(INDEX(Setup!$L$6:$L$23,15)))+(COUNTIF(O1822:Q1822,"?*")&lt;N(INDEX(Setup!$L$6:$L$23,15)))+(COUNTIF(S1822:U1822,"?*")&lt;N(INDEX(Setup!$L$6:$L$23,15)))+((W1822="")*(INDEX(Setup!$M$6:$M$23,15)="Y"))+((Y1822="")*(INDEX(Setup!$M$6:$M$23,15)="Y")))</f>
        <v/>
      </c>
      <c r="AC1822" s="90">
        <f>IF($B1822="","",IF(AB1822=0,"✓ covered","⚠ "&amp;AB1822&amp;IF(AB1822=1," gap"," gaps")))</f>
        <v/>
      </c>
    </row>
    <row r="1823" ht="17" customHeight="1">
      <c r="A1823" t="n">
        <v>37</v>
      </c>
      <c r="B1823" s="29">
        <f>IF(Setup!$K$21="","",Setup!$K$21)</f>
        <v/>
      </c>
      <c r="C1823" s="88" t="n"/>
      <c r="D1823" s="88" t="n"/>
      <c r="E1823" s="88" t="n"/>
      <c r="F1823" s="89" t="n"/>
      <c r="G1823" s="88" t="n"/>
      <c r="H1823" s="88" t="n"/>
      <c r="I1823" s="88" t="n"/>
      <c r="J1823" s="89" t="n"/>
      <c r="K1823" s="88" t="n"/>
      <c r="L1823" s="88" t="n"/>
      <c r="M1823" s="88" t="n"/>
      <c r="N1823" s="89" t="n"/>
      <c r="O1823" s="88" t="n"/>
      <c r="P1823" s="88" t="n"/>
      <c r="Q1823" s="88" t="n"/>
      <c r="R1823" s="89" t="n"/>
      <c r="S1823" s="88" t="n"/>
      <c r="T1823" s="88" t="n"/>
      <c r="U1823" s="88" t="n"/>
      <c r="V1823" s="89" t="n"/>
      <c r="W1823" s="88" t="n"/>
      <c r="X1823" s="89" t="n"/>
      <c r="Y1823" s="88" t="n"/>
      <c r="Z1823" s="89" t="n"/>
      <c r="AB1823" s="30">
        <f>IF($B1823="","",(COUNTIF(C1823:E1823,"?*")&lt;N(INDEX(Setup!$L$6:$L$23,16)))+(COUNTIF(G1823:I1823,"?*")&lt;N(INDEX(Setup!$L$6:$L$23,16)))+(COUNTIF(K1823:M1823,"?*")&lt;N(INDEX(Setup!$L$6:$L$23,16)))+(COUNTIF(O1823:Q1823,"?*")&lt;N(INDEX(Setup!$L$6:$L$23,16)))+(COUNTIF(S1823:U1823,"?*")&lt;N(INDEX(Setup!$L$6:$L$23,16)))+((W1823="")*(INDEX(Setup!$M$6:$M$23,16)="Y"))+((Y1823="")*(INDEX(Setup!$M$6:$M$23,16)="Y")))</f>
        <v/>
      </c>
      <c r="AC1823" s="91">
        <f>IF($B1823="","",IF(AB1823=0,"✓ covered","⚠ "&amp;AB1823&amp;IF(AB1823=1," gap"," gaps")))</f>
        <v/>
      </c>
    </row>
    <row r="1824" ht="17" customHeight="1">
      <c r="A1824" t="n">
        <v>37</v>
      </c>
      <c r="B1824" s="24">
        <f>IF(Setup!$K$22="","",Setup!$K$22)</f>
        <v/>
      </c>
      <c r="C1824" s="88" t="n"/>
      <c r="D1824" s="88" t="n"/>
      <c r="E1824" s="88" t="n"/>
      <c r="F1824" s="89" t="n"/>
      <c r="G1824" s="88" t="n"/>
      <c r="H1824" s="88" t="n"/>
      <c r="I1824" s="88" t="n"/>
      <c r="J1824" s="89" t="n"/>
      <c r="K1824" s="88" t="n"/>
      <c r="L1824" s="88" t="n"/>
      <c r="M1824" s="88" t="n"/>
      <c r="N1824" s="89" t="n"/>
      <c r="O1824" s="88" t="n"/>
      <c r="P1824" s="88" t="n"/>
      <c r="Q1824" s="88" t="n"/>
      <c r="R1824" s="89" t="n"/>
      <c r="S1824" s="88" t="n"/>
      <c r="T1824" s="88" t="n"/>
      <c r="U1824" s="88" t="n"/>
      <c r="V1824" s="89" t="n"/>
      <c r="W1824" s="88" t="n"/>
      <c r="X1824" s="89" t="n"/>
      <c r="Y1824" s="88" t="n"/>
      <c r="Z1824" s="89" t="n"/>
      <c r="AB1824" s="25">
        <f>IF($B1824="","",(COUNTIF(C1824:E1824,"?*")&lt;N(INDEX(Setup!$L$6:$L$23,17)))+(COUNTIF(G1824:I1824,"?*")&lt;N(INDEX(Setup!$L$6:$L$23,17)))+(COUNTIF(K1824:M1824,"?*")&lt;N(INDEX(Setup!$L$6:$L$23,17)))+(COUNTIF(O1824:Q1824,"?*")&lt;N(INDEX(Setup!$L$6:$L$23,17)))+(COUNTIF(S1824:U1824,"?*")&lt;N(INDEX(Setup!$L$6:$L$23,17)))+((W1824="")*(INDEX(Setup!$M$6:$M$23,17)="Y"))+((Y1824="")*(INDEX(Setup!$M$6:$M$23,17)="Y")))</f>
        <v/>
      </c>
      <c r="AC1824" s="90">
        <f>IF($B1824="","",IF(AB1824=0,"✓ covered","⚠ "&amp;AB1824&amp;IF(AB1824=1," gap"," gaps")))</f>
        <v/>
      </c>
    </row>
    <row r="1825" ht="17" customHeight="1">
      <c r="A1825" t="n">
        <v>37</v>
      </c>
      <c r="B1825" s="29">
        <f>IF(Setup!$K$23="","",Setup!$K$23)</f>
        <v/>
      </c>
      <c r="C1825" s="88" t="n"/>
      <c r="D1825" s="88" t="n"/>
      <c r="E1825" s="88" t="n"/>
      <c r="F1825" s="89" t="n"/>
      <c r="G1825" s="88" t="n"/>
      <c r="H1825" s="88" t="n"/>
      <c r="I1825" s="88" t="n"/>
      <c r="J1825" s="89" t="n"/>
      <c r="K1825" s="88" t="n"/>
      <c r="L1825" s="88" t="n"/>
      <c r="M1825" s="88" t="n"/>
      <c r="N1825" s="89" t="n"/>
      <c r="O1825" s="88" t="n"/>
      <c r="P1825" s="88" t="n"/>
      <c r="Q1825" s="88" t="n"/>
      <c r="R1825" s="89" t="n"/>
      <c r="S1825" s="88" t="n"/>
      <c r="T1825" s="88" t="n"/>
      <c r="U1825" s="88" t="n"/>
      <c r="V1825" s="89" t="n"/>
      <c r="W1825" s="88" t="n"/>
      <c r="X1825" s="89" t="n"/>
      <c r="Y1825" s="88" t="n"/>
      <c r="Z1825" s="89" t="n"/>
      <c r="AB1825" s="30">
        <f>IF($B1825="","",(COUNTIF(C1825:E1825,"?*")&lt;N(INDEX(Setup!$L$6:$L$23,18)))+(COUNTIF(G1825:I1825,"?*")&lt;N(INDEX(Setup!$L$6:$L$23,18)))+(COUNTIF(K1825:M1825,"?*")&lt;N(INDEX(Setup!$L$6:$L$23,18)))+(COUNTIF(O1825:Q1825,"?*")&lt;N(INDEX(Setup!$L$6:$L$23,18)))+(COUNTIF(S1825:U1825,"?*")&lt;N(INDEX(Setup!$L$6:$L$23,18)))+((W1825="")*(INDEX(Setup!$M$6:$M$23,18)="Y"))+((Y1825="")*(INDEX(Setup!$M$6:$M$23,18)="Y")))</f>
        <v/>
      </c>
      <c r="AC1825" s="91">
        <f>IF($B1825="","",IF(AB1825=0,"✓ covered","⚠ "&amp;AB1825&amp;IF(AB1825=1," gap"," gaps")))</f>
        <v/>
      </c>
    </row>
    <row r="1826" ht="18" customHeight="1">
      <c r="A1826" t="n">
        <v>37</v>
      </c>
      <c r="B1826" s="78" t="inlineStr">
        <is>
          <t>TEAM AVAILABILITY</t>
        </is>
      </c>
      <c r="C1826" s="92" t="inlineStr">
        <is>
          <t>Mon</t>
        </is>
      </c>
      <c r="D1826" s="93" t="n"/>
      <c r="E1826" s="93" t="n"/>
      <c r="F1826" s="94" t="n"/>
      <c r="G1826" s="92" t="inlineStr">
        <is>
          <t>Tue</t>
        </is>
      </c>
      <c r="H1826" s="93" t="n"/>
      <c r="I1826" s="93" t="n"/>
      <c r="J1826" s="94" t="n"/>
      <c r="K1826" s="92" t="inlineStr">
        <is>
          <t>Wed</t>
        </is>
      </c>
      <c r="L1826" s="93" t="n"/>
      <c r="M1826" s="93" t="n"/>
      <c r="N1826" s="94" t="n"/>
      <c r="O1826" s="92" t="inlineStr">
        <is>
          <t>Thu</t>
        </is>
      </c>
      <c r="P1826" s="93" t="n"/>
      <c r="Q1826" s="93" t="n"/>
      <c r="R1826" s="94" t="n"/>
      <c r="S1826" s="92" t="inlineStr">
        <is>
          <t>Fri</t>
        </is>
      </c>
      <c r="T1826" s="93" t="n"/>
      <c r="U1826" s="93" t="n"/>
      <c r="V1826" s="94" t="n"/>
      <c r="W1826" s="95" t="inlineStr">
        <is>
          <t>Sat</t>
        </is>
      </c>
      <c r="X1826" s="96" t="n"/>
      <c r="Y1826" s="95" t="inlineStr">
        <is>
          <t>Sun</t>
        </is>
      </c>
      <c r="Z1826" s="96" t="n"/>
      <c r="AB1826" s="97" t="inlineStr">
        <is>
          <t>Days rostered</t>
        </is>
      </c>
      <c r="AC1826" s="97" t="inlineStr">
        <is>
          <t>Conflicts</t>
        </is>
      </c>
    </row>
    <row r="1827" ht="15" customHeight="1">
      <c r="A1827" t="n">
        <v>37</v>
      </c>
      <c r="B1827" s="35">
        <f>IF(Setup!$B$6="","",Setup!$B$6)</f>
        <v/>
      </c>
      <c r="C1827" s="98" t="n"/>
      <c r="D1827" s="99" t="n"/>
      <c r="E1827" s="99" t="n"/>
      <c r="F1827" s="100" t="n"/>
      <c r="G1827" s="98" t="n"/>
      <c r="H1827" s="99" t="n"/>
      <c r="I1827" s="99" t="n"/>
      <c r="J1827" s="100" t="n"/>
      <c r="K1827" s="98" t="n"/>
      <c r="L1827" s="99" t="n"/>
      <c r="M1827" s="99" t="n"/>
      <c r="N1827" s="100" t="n"/>
      <c r="O1827" s="98" t="n"/>
      <c r="P1827" s="99" t="n"/>
      <c r="Q1827" s="99" t="n"/>
      <c r="R1827" s="100" t="n"/>
      <c r="S1827" s="98" t="n"/>
      <c r="T1827" s="99" t="n"/>
      <c r="U1827" s="99" t="n"/>
      <c r="V1827" s="100" t="n"/>
      <c r="W1827" s="98" t="n"/>
      <c r="X1827" s="100" t="n"/>
      <c r="Y1827" s="98" t="n"/>
      <c r="Z1827" s="100" t="n"/>
      <c r="AB1827" s="101">
        <f>IF($B1827="","",(COUNTIF(C1808:E1825,$B1827)+COUNTIF(C1808:E1825,$B1827&amp;" ~*")&gt;0)+(COUNTIF(G1808:I1825,$B1827)+COUNTIF(G1808:I1825,$B1827&amp;" ~*")&gt;0)+(COUNTIF(K1808:M1825,$B1827)+COUNTIF(K1808:M1825,$B1827&amp;" ~*")&gt;0)+(COUNTIF(O1808:Q1825,$B1827)+COUNTIF(O1808:Q1825,$B1827&amp;" ~*")&gt;0)+(COUNTIF(S1808:U1825,$B1827)+COUNTIF(S1808:U1825,$B1827&amp;" ~*")&gt;0)+(COUNTIF(W1808:W1825,$B1827)+COUNTIF(W1808:W1825,$B1827&amp;" ~*")&gt;0)+(COUNTIF(Y1808:Y1825,$B1827)+COUNTIF(Y1808:Y1825,$B1827&amp;" ~*")&gt;0))</f>
        <v/>
      </c>
      <c r="AC1827" s="36">
        <f>IF($B1827="","",(IFERROR(INDEX(Setup!$G$33:$G$40,MATCH(C1827,Setup!$B$33:$B$40,0)),0)=1)*(COUNTIF(C1808:E1825,$B1827)+COUNTIF(C1808:E1825,$B1827&amp;" ~*")&gt;0)+(IFERROR(INDEX(Setup!$G$33:$G$40,MATCH(G1827,Setup!$B$33:$B$40,0)),0)=1)*(COUNTIF(G1808:I1825,$B1827)+COUNTIF(G1808:I1825,$B1827&amp;" ~*")&gt;0)+(IFERROR(INDEX(Setup!$G$33:$G$40,MATCH(K1827,Setup!$B$33:$B$40,0)),0)=1)*(COUNTIF(K1808:M1825,$B1827)+COUNTIF(K1808:M1825,$B1827&amp;" ~*")&gt;0)+(IFERROR(INDEX(Setup!$G$33:$G$40,MATCH(O1827,Setup!$B$33:$B$40,0)),0)=1)*(COUNTIF(O1808:Q1825,$B1827)+COUNTIF(O1808:Q1825,$B1827&amp;" ~*")&gt;0)+(IFERROR(INDEX(Setup!$G$33:$G$40,MATCH(S1827,Setup!$B$33:$B$40,0)),0)=1)*(COUNTIF(S1808:U1825,$B1827)+COUNTIF(S1808:U1825,$B1827&amp;" ~*")&gt;0)+(IFERROR(INDEX(Setup!$G$33:$G$40,MATCH(W1827,Setup!$B$33:$B$40,0)),0)=1)*(COUNTIF(W1808:W1825,$B1827)+COUNTIF(W1808:W1825,$B1827&amp;" ~*")&gt;0)+(IFERROR(INDEX(Setup!$G$33:$G$40,MATCH(Y1827,Setup!$B$33:$B$40,0)),0)=1)*(COUNTIF(Y1808:Y1825,$B1827)+COUNTIF(Y1808:Y1825,$B1827&amp;" ~*")&gt;0))</f>
        <v/>
      </c>
    </row>
    <row r="1828" ht="15" customHeight="1">
      <c r="A1828" t="n">
        <v>37</v>
      </c>
      <c r="B1828" s="37">
        <f>IF(Setup!$B$7="","",Setup!$B$7)</f>
        <v/>
      </c>
      <c r="C1828" s="102" t="n"/>
      <c r="D1828" s="103" t="n"/>
      <c r="E1828" s="103" t="n"/>
      <c r="F1828" s="104" t="n"/>
      <c r="G1828" s="102" t="n"/>
      <c r="H1828" s="103" t="n"/>
      <c r="I1828" s="103" t="n"/>
      <c r="J1828" s="104" t="n"/>
      <c r="K1828" s="102" t="n"/>
      <c r="L1828" s="103" t="n"/>
      <c r="M1828" s="103" t="n"/>
      <c r="N1828" s="104" t="n"/>
      <c r="O1828" s="102" t="n"/>
      <c r="P1828" s="103" t="n"/>
      <c r="Q1828" s="103" t="n"/>
      <c r="R1828" s="104" t="n"/>
      <c r="S1828" s="102" t="n"/>
      <c r="T1828" s="103" t="n"/>
      <c r="U1828" s="103" t="n"/>
      <c r="V1828" s="104" t="n"/>
      <c r="W1828" s="102" t="n"/>
      <c r="X1828" s="104" t="n"/>
      <c r="Y1828" s="102" t="n"/>
      <c r="Z1828" s="104" t="n"/>
      <c r="AB1828" s="105">
        <f>IF($B1828="","",(COUNTIF(C1808:E1825,$B1828)+COUNTIF(C1808:E1825,$B1828&amp;" ~*")&gt;0)+(COUNTIF(G1808:I1825,$B1828)+COUNTIF(G1808:I1825,$B1828&amp;" ~*")&gt;0)+(COUNTIF(K1808:M1825,$B1828)+COUNTIF(K1808:M1825,$B1828&amp;" ~*")&gt;0)+(COUNTIF(O1808:Q1825,$B1828)+COUNTIF(O1808:Q1825,$B1828&amp;" ~*")&gt;0)+(COUNTIF(S1808:U1825,$B1828)+COUNTIF(S1808:U1825,$B1828&amp;" ~*")&gt;0)+(COUNTIF(W1808:W1825,$B1828)+COUNTIF(W1808:W1825,$B1828&amp;" ~*")&gt;0)+(COUNTIF(Y1808:Y1825,$B1828)+COUNTIF(Y1808:Y1825,$B1828&amp;" ~*")&gt;0))</f>
        <v/>
      </c>
      <c r="AC1828" s="38">
        <f>IF($B1828="","",(IFERROR(INDEX(Setup!$G$33:$G$40,MATCH(C1828,Setup!$B$33:$B$40,0)),0)=1)*(COUNTIF(C1808:E1825,$B1828)+COUNTIF(C1808:E1825,$B1828&amp;" ~*")&gt;0)+(IFERROR(INDEX(Setup!$G$33:$G$40,MATCH(G1828,Setup!$B$33:$B$40,0)),0)=1)*(COUNTIF(G1808:I1825,$B1828)+COUNTIF(G1808:I1825,$B1828&amp;" ~*")&gt;0)+(IFERROR(INDEX(Setup!$G$33:$G$40,MATCH(K1828,Setup!$B$33:$B$40,0)),0)=1)*(COUNTIF(K1808:M1825,$B1828)+COUNTIF(K1808:M1825,$B1828&amp;" ~*")&gt;0)+(IFERROR(INDEX(Setup!$G$33:$G$40,MATCH(O1828,Setup!$B$33:$B$40,0)),0)=1)*(COUNTIF(O1808:Q1825,$B1828)+COUNTIF(O1808:Q1825,$B1828&amp;" ~*")&gt;0)+(IFERROR(INDEX(Setup!$G$33:$G$40,MATCH(S1828,Setup!$B$33:$B$40,0)),0)=1)*(COUNTIF(S1808:U1825,$B1828)+COUNTIF(S1808:U1825,$B1828&amp;" ~*")&gt;0)+(IFERROR(INDEX(Setup!$G$33:$G$40,MATCH(W1828,Setup!$B$33:$B$40,0)),0)=1)*(COUNTIF(W1808:W1825,$B1828)+COUNTIF(W1808:W1825,$B1828&amp;" ~*")&gt;0)+(IFERROR(INDEX(Setup!$G$33:$G$40,MATCH(Y1828,Setup!$B$33:$B$40,0)),0)=1)*(COUNTIF(Y1808:Y1825,$B1828)+COUNTIF(Y1808:Y1825,$B1828&amp;" ~*")&gt;0))</f>
        <v/>
      </c>
    </row>
    <row r="1829" ht="15" customHeight="1">
      <c r="A1829" t="n">
        <v>37</v>
      </c>
      <c r="B1829" s="35">
        <f>IF(Setup!$B$8="","",Setup!$B$8)</f>
        <v/>
      </c>
      <c r="C1829" s="98" t="n"/>
      <c r="D1829" s="99" t="n"/>
      <c r="E1829" s="99" t="n"/>
      <c r="F1829" s="100" t="n"/>
      <c r="G1829" s="98" t="n"/>
      <c r="H1829" s="99" t="n"/>
      <c r="I1829" s="99" t="n"/>
      <c r="J1829" s="100" t="n"/>
      <c r="K1829" s="98" t="n"/>
      <c r="L1829" s="99" t="n"/>
      <c r="M1829" s="99" t="n"/>
      <c r="N1829" s="100" t="n"/>
      <c r="O1829" s="98" t="n"/>
      <c r="P1829" s="99" t="n"/>
      <c r="Q1829" s="99" t="n"/>
      <c r="R1829" s="100" t="n"/>
      <c r="S1829" s="98" t="n"/>
      <c r="T1829" s="99" t="n"/>
      <c r="U1829" s="99" t="n"/>
      <c r="V1829" s="100" t="n"/>
      <c r="W1829" s="98" t="n"/>
      <c r="X1829" s="100" t="n"/>
      <c r="Y1829" s="98" t="n"/>
      <c r="Z1829" s="100" t="n"/>
      <c r="AB1829" s="101">
        <f>IF($B1829="","",(COUNTIF(C1808:E1825,$B1829)+COUNTIF(C1808:E1825,$B1829&amp;" ~*")&gt;0)+(COUNTIF(G1808:I1825,$B1829)+COUNTIF(G1808:I1825,$B1829&amp;" ~*")&gt;0)+(COUNTIF(K1808:M1825,$B1829)+COUNTIF(K1808:M1825,$B1829&amp;" ~*")&gt;0)+(COUNTIF(O1808:Q1825,$B1829)+COUNTIF(O1808:Q1825,$B1829&amp;" ~*")&gt;0)+(COUNTIF(S1808:U1825,$B1829)+COUNTIF(S1808:U1825,$B1829&amp;" ~*")&gt;0)+(COUNTIF(W1808:W1825,$B1829)+COUNTIF(W1808:W1825,$B1829&amp;" ~*")&gt;0)+(COUNTIF(Y1808:Y1825,$B1829)+COUNTIF(Y1808:Y1825,$B1829&amp;" ~*")&gt;0))</f>
        <v/>
      </c>
      <c r="AC1829" s="36">
        <f>IF($B1829="","",(IFERROR(INDEX(Setup!$G$33:$G$40,MATCH(C1829,Setup!$B$33:$B$40,0)),0)=1)*(COUNTIF(C1808:E1825,$B1829)+COUNTIF(C1808:E1825,$B1829&amp;" ~*")&gt;0)+(IFERROR(INDEX(Setup!$G$33:$G$40,MATCH(G1829,Setup!$B$33:$B$40,0)),0)=1)*(COUNTIF(G1808:I1825,$B1829)+COUNTIF(G1808:I1825,$B1829&amp;" ~*")&gt;0)+(IFERROR(INDEX(Setup!$G$33:$G$40,MATCH(K1829,Setup!$B$33:$B$40,0)),0)=1)*(COUNTIF(K1808:M1825,$B1829)+COUNTIF(K1808:M1825,$B1829&amp;" ~*")&gt;0)+(IFERROR(INDEX(Setup!$G$33:$G$40,MATCH(O1829,Setup!$B$33:$B$40,0)),0)=1)*(COUNTIF(O1808:Q1825,$B1829)+COUNTIF(O1808:Q1825,$B1829&amp;" ~*")&gt;0)+(IFERROR(INDEX(Setup!$G$33:$G$40,MATCH(S1829,Setup!$B$33:$B$40,0)),0)=1)*(COUNTIF(S1808:U1825,$B1829)+COUNTIF(S1808:U1825,$B1829&amp;" ~*")&gt;0)+(IFERROR(INDEX(Setup!$G$33:$G$40,MATCH(W1829,Setup!$B$33:$B$40,0)),0)=1)*(COUNTIF(W1808:W1825,$B1829)+COUNTIF(W1808:W1825,$B1829&amp;" ~*")&gt;0)+(IFERROR(INDEX(Setup!$G$33:$G$40,MATCH(Y1829,Setup!$B$33:$B$40,0)),0)=1)*(COUNTIF(Y1808:Y1825,$B1829)+COUNTIF(Y1808:Y1825,$B1829&amp;" ~*")&gt;0))</f>
        <v/>
      </c>
    </row>
    <row r="1830" ht="15" customHeight="1">
      <c r="A1830" t="n">
        <v>37</v>
      </c>
      <c r="B1830" s="37">
        <f>IF(Setup!$B$9="","",Setup!$B$9)</f>
        <v/>
      </c>
      <c r="C1830" s="102" t="n"/>
      <c r="D1830" s="103" t="n"/>
      <c r="E1830" s="103" t="n"/>
      <c r="F1830" s="104" t="n"/>
      <c r="G1830" s="102" t="n"/>
      <c r="H1830" s="103" t="n"/>
      <c r="I1830" s="103" t="n"/>
      <c r="J1830" s="104" t="n"/>
      <c r="K1830" s="102" t="n"/>
      <c r="L1830" s="103" t="n"/>
      <c r="M1830" s="103" t="n"/>
      <c r="N1830" s="104" t="n"/>
      <c r="O1830" s="102" t="n"/>
      <c r="P1830" s="103" t="n"/>
      <c r="Q1830" s="103" t="n"/>
      <c r="R1830" s="104" t="n"/>
      <c r="S1830" s="102" t="n"/>
      <c r="T1830" s="103" t="n"/>
      <c r="U1830" s="103" t="n"/>
      <c r="V1830" s="104" t="n"/>
      <c r="W1830" s="102" t="n"/>
      <c r="X1830" s="104" t="n"/>
      <c r="Y1830" s="102" t="n"/>
      <c r="Z1830" s="104" t="n"/>
      <c r="AB1830" s="105">
        <f>IF($B1830="","",(COUNTIF(C1808:E1825,$B1830)+COUNTIF(C1808:E1825,$B1830&amp;" ~*")&gt;0)+(COUNTIF(G1808:I1825,$B1830)+COUNTIF(G1808:I1825,$B1830&amp;" ~*")&gt;0)+(COUNTIF(K1808:M1825,$B1830)+COUNTIF(K1808:M1825,$B1830&amp;" ~*")&gt;0)+(COUNTIF(O1808:Q1825,$B1830)+COUNTIF(O1808:Q1825,$B1830&amp;" ~*")&gt;0)+(COUNTIF(S1808:U1825,$B1830)+COUNTIF(S1808:U1825,$B1830&amp;" ~*")&gt;0)+(COUNTIF(W1808:W1825,$B1830)+COUNTIF(W1808:W1825,$B1830&amp;" ~*")&gt;0)+(COUNTIF(Y1808:Y1825,$B1830)+COUNTIF(Y1808:Y1825,$B1830&amp;" ~*")&gt;0))</f>
        <v/>
      </c>
      <c r="AC1830" s="38">
        <f>IF($B1830="","",(IFERROR(INDEX(Setup!$G$33:$G$40,MATCH(C1830,Setup!$B$33:$B$40,0)),0)=1)*(COUNTIF(C1808:E1825,$B1830)+COUNTIF(C1808:E1825,$B1830&amp;" ~*")&gt;0)+(IFERROR(INDEX(Setup!$G$33:$G$40,MATCH(G1830,Setup!$B$33:$B$40,0)),0)=1)*(COUNTIF(G1808:I1825,$B1830)+COUNTIF(G1808:I1825,$B1830&amp;" ~*")&gt;0)+(IFERROR(INDEX(Setup!$G$33:$G$40,MATCH(K1830,Setup!$B$33:$B$40,0)),0)=1)*(COUNTIF(K1808:M1825,$B1830)+COUNTIF(K1808:M1825,$B1830&amp;" ~*")&gt;0)+(IFERROR(INDEX(Setup!$G$33:$G$40,MATCH(O1830,Setup!$B$33:$B$40,0)),0)=1)*(COUNTIF(O1808:Q1825,$B1830)+COUNTIF(O1808:Q1825,$B1830&amp;" ~*")&gt;0)+(IFERROR(INDEX(Setup!$G$33:$G$40,MATCH(S1830,Setup!$B$33:$B$40,0)),0)=1)*(COUNTIF(S1808:U1825,$B1830)+COUNTIF(S1808:U1825,$B1830&amp;" ~*")&gt;0)+(IFERROR(INDEX(Setup!$G$33:$G$40,MATCH(W1830,Setup!$B$33:$B$40,0)),0)=1)*(COUNTIF(W1808:W1825,$B1830)+COUNTIF(W1808:W1825,$B1830&amp;" ~*")&gt;0)+(IFERROR(INDEX(Setup!$G$33:$G$40,MATCH(Y1830,Setup!$B$33:$B$40,0)),0)=1)*(COUNTIF(Y1808:Y1825,$B1830)+COUNTIF(Y1808:Y1825,$B1830&amp;" ~*")&gt;0))</f>
        <v/>
      </c>
    </row>
    <row r="1831" ht="15" customHeight="1">
      <c r="A1831" t="n">
        <v>37</v>
      </c>
      <c r="B1831" s="35">
        <f>IF(Setup!$B$10="","",Setup!$B$10)</f>
        <v/>
      </c>
      <c r="C1831" s="98" t="n"/>
      <c r="D1831" s="99" t="n"/>
      <c r="E1831" s="99" t="n"/>
      <c r="F1831" s="100" t="n"/>
      <c r="G1831" s="98" t="n"/>
      <c r="H1831" s="99" t="n"/>
      <c r="I1831" s="99" t="n"/>
      <c r="J1831" s="100" t="n"/>
      <c r="K1831" s="98" t="n"/>
      <c r="L1831" s="99" t="n"/>
      <c r="M1831" s="99" t="n"/>
      <c r="N1831" s="100" t="n"/>
      <c r="O1831" s="98" t="n"/>
      <c r="P1831" s="99" t="n"/>
      <c r="Q1831" s="99" t="n"/>
      <c r="R1831" s="100" t="n"/>
      <c r="S1831" s="98" t="n"/>
      <c r="T1831" s="99" t="n"/>
      <c r="U1831" s="99" t="n"/>
      <c r="V1831" s="100" t="n"/>
      <c r="W1831" s="98" t="n"/>
      <c r="X1831" s="100" t="n"/>
      <c r="Y1831" s="98" t="n"/>
      <c r="Z1831" s="100" t="n"/>
      <c r="AB1831" s="101">
        <f>IF($B1831="","",(COUNTIF(C1808:E1825,$B1831)+COUNTIF(C1808:E1825,$B1831&amp;" ~*")&gt;0)+(COUNTIF(G1808:I1825,$B1831)+COUNTIF(G1808:I1825,$B1831&amp;" ~*")&gt;0)+(COUNTIF(K1808:M1825,$B1831)+COUNTIF(K1808:M1825,$B1831&amp;" ~*")&gt;0)+(COUNTIF(O1808:Q1825,$B1831)+COUNTIF(O1808:Q1825,$B1831&amp;" ~*")&gt;0)+(COUNTIF(S1808:U1825,$B1831)+COUNTIF(S1808:U1825,$B1831&amp;" ~*")&gt;0)+(COUNTIF(W1808:W1825,$B1831)+COUNTIF(W1808:W1825,$B1831&amp;" ~*")&gt;0)+(COUNTIF(Y1808:Y1825,$B1831)+COUNTIF(Y1808:Y1825,$B1831&amp;" ~*")&gt;0))</f>
        <v/>
      </c>
      <c r="AC1831" s="36">
        <f>IF($B1831="","",(IFERROR(INDEX(Setup!$G$33:$G$40,MATCH(C1831,Setup!$B$33:$B$40,0)),0)=1)*(COUNTIF(C1808:E1825,$B1831)+COUNTIF(C1808:E1825,$B1831&amp;" ~*")&gt;0)+(IFERROR(INDEX(Setup!$G$33:$G$40,MATCH(G1831,Setup!$B$33:$B$40,0)),0)=1)*(COUNTIF(G1808:I1825,$B1831)+COUNTIF(G1808:I1825,$B1831&amp;" ~*")&gt;0)+(IFERROR(INDEX(Setup!$G$33:$G$40,MATCH(K1831,Setup!$B$33:$B$40,0)),0)=1)*(COUNTIF(K1808:M1825,$B1831)+COUNTIF(K1808:M1825,$B1831&amp;" ~*")&gt;0)+(IFERROR(INDEX(Setup!$G$33:$G$40,MATCH(O1831,Setup!$B$33:$B$40,0)),0)=1)*(COUNTIF(O1808:Q1825,$B1831)+COUNTIF(O1808:Q1825,$B1831&amp;" ~*")&gt;0)+(IFERROR(INDEX(Setup!$G$33:$G$40,MATCH(S1831,Setup!$B$33:$B$40,0)),0)=1)*(COUNTIF(S1808:U1825,$B1831)+COUNTIF(S1808:U1825,$B1831&amp;" ~*")&gt;0)+(IFERROR(INDEX(Setup!$G$33:$G$40,MATCH(W1831,Setup!$B$33:$B$40,0)),0)=1)*(COUNTIF(W1808:W1825,$B1831)+COUNTIF(W1808:W1825,$B1831&amp;" ~*")&gt;0)+(IFERROR(INDEX(Setup!$G$33:$G$40,MATCH(Y1831,Setup!$B$33:$B$40,0)),0)=1)*(COUNTIF(Y1808:Y1825,$B1831)+COUNTIF(Y1808:Y1825,$B1831&amp;" ~*")&gt;0))</f>
        <v/>
      </c>
    </row>
    <row r="1832" ht="15" customHeight="1">
      <c r="A1832" t="n">
        <v>37</v>
      </c>
      <c r="B1832" s="37">
        <f>IF(Setup!$B$11="","",Setup!$B$11)</f>
        <v/>
      </c>
      <c r="C1832" s="102" t="n"/>
      <c r="D1832" s="103" t="n"/>
      <c r="E1832" s="103" t="n"/>
      <c r="F1832" s="104" t="n"/>
      <c r="G1832" s="102" t="n"/>
      <c r="H1832" s="103" t="n"/>
      <c r="I1832" s="103" t="n"/>
      <c r="J1832" s="104" t="n"/>
      <c r="K1832" s="102" t="n"/>
      <c r="L1832" s="103" t="n"/>
      <c r="M1832" s="103" t="n"/>
      <c r="N1832" s="104" t="n"/>
      <c r="O1832" s="102" t="n"/>
      <c r="P1832" s="103" t="n"/>
      <c r="Q1832" s="103" t="n"/>
      <c r="R1832" s="104" t="n"/>
      <c r="S1832" s="102" t="n"/>
      <c r="T1832" s="103" t="n"/>
      <c r="U1832" s="103" t="n"/>
      <c r="V1832" s="104" t="n"/>
      <c r="W1832" s="102" t="n"/>
      <c r="X1832" s="104" t="n"/>
      <c r="Y1832" s="102" t="n"/>
      <c r="Z1832" s="104" t="n"/>
      <c r="AB1832" s="105">
        <f>IF($B1832="","",(COUNTIF(C1808:E1825,$B1832)+COUNTIF(C1808:E1825,$B1832&amp;" ~*")&gt;0)+(COUNTIF(G1808:I1825,$B1832)+COUNTIF(G1808:I1825,$B1832&amp;" ~*")&gt;0)+(COUNTIF(K1808:M1825,$B1832)+COUNTIF(K1808:M1825,$B1832&amp;" ~*")&gt;0)+(COUNTIF(O1808:Q1825,$B1832)+COUNTIF(O1808:Q1825,$B1832&amp;" ~*")&gt;0)+(COUNTIF(S1808:U1825,$B1832)+COUNTIF(S1808:U1825,$B1832&amp;" ~*")&gt;0)+(COUNTIF(W1808:W1825,$B1832)+COUNTIF(W1808:W1825,$B1832&amp;" ~*")&gt;0)+(COUNTIF(Y1808:Y1825,$B1832)+COUNTIF(Y1808:Y1825,$B1832&amp;" ~*")&gt;0))</f>
        <v/>
      </c>
      <c r="AC1832" s="38">
        <f>IF($B1832="","",(IFERROR(INDEX(Setup!$G$33:$G$40,MATCH(C1832,Setup!$B$33:$B$40,0)),0)=1)*(COUNTIF(C1808:E1825,$B1832)+COUNTIF(C1808:E1825,$B1832&amp;" ~*")&gt;0)+(IFERROR(INDEX(Setup!$G$33:$G$40,MATCH(G1832,Setup!$B$33:$B$40,0)),0)=1)*(COUNTIF(G1808:I1825,$B1832)+COUNTIF(G1808:I1825,$B1832&amp;" ~*")&gt;0)+(IFERROR(INDEX(Setup!$G$33:$G$40,MATCH(K1832,Setup!$B$33:$B$40,0)),0)=1)*(COUNTIF(K1808:M1825,$B1832)+COUNTIF(K1808:M1825,$B1832&amp;" ~*")&gt;0)+(IFERROR(INDEX(Setup!$G$33:$G$40,MATCH(O1832,Setup!$B$33:$B$40,0)),0)=1)*(COUNTIF(O1808:Q1825,$B1832)+COUNTIF(O1808:Q1825,$B1832&amp;" ~*")&gt;0)+(IFERROR(INDEX(Setup!$G$33:$G$40,MATCH(S1832,Setup!$B$33:$B$40,0)),0)=1)*(COUNTIF(S1808:U1825,$B1832)+COUNTIF(S1808:U1825,$B1832&amp;" ~*")&gt;0)+(IFERROR(INDEX(Setup!$G$33:$G$40,MATCH(W1832,Setup!$B$33:$B$40,0)),0)=1)*(COUNTIF(W1808:W1825,$B1832)+COUNTIF(W1808:W1825,$B1832&amp;" ~*")&gt;0)+(IFERROR(INDEX(Setup!$G$33:$G$40,MATCH(Y1832,Setup!$B$33:$B$40,0)),0)=1)*(COUNTIF(Y1808:Y1825,$B1832)+COUNTIF(Y1808:Y1825,$B1832&amp;" ~*")&gt;0))</f>
        <v/>
      </c>
    </row>
    <row r="1833" ht="15" customHeight="1">
      <c r="A1833" t="n">
        <v>37</v>
      </c>
      <c r="B1833" s="35">
        <f>IF(Setup!$B$12="","",Setup!$B$12)</f>
        <v/>
      </c>
      <c r="C1833" s="98" t="n"/>
      <c r="D1833" s="99" t="n"/>
      <c r="E1833" s="99" t="n"/>
      <c r="F1833" s="100" t="n"/>
      <c r="G1833" s="98" t="n"/>
      <c r="H1833" s="99" t="n"/>
      <c r="I1833" s="99" t="n"/>
      <c r="J1833" s="100" t="n"/>
      <c r="K1833" s="98" t="n"/>
      <c r="L1833" s="99" t="n"/>
      <c r="M1833" s="99" t="n"/>
      <c r="N1833" s="100" t="n"/>
      <c r="O1833" s="98" t="n"/>
      <c r="P1833" s="99" t="n"/>
      <c r="Q1833" s="99" t="n"/>
      <c r="R1833" s="100" t="n"/>
      <c r="S1833" s="98" t="n"/>
      <c r="T1833" s="99" t="n"/>
      <c r="U1833" s="99" t="n"/>
      <c r="V1833" s="100" t="n"/>
      <c r="W1833" s="98" t="n"/>
      <c r="X1833" s="100" t="n"/>
      <c r="Y1833" s="98" t="n"/>
      <c r="Z1833" s="100" t="n"/>
      <c r="AB1833" s="101">
        <f>IF($B1833="","",(COUNTIF(C1808:E1825,$B1833)+COUNTIF(C1808:E1825,$B1833&amp;" ~*")&gt;0)+(COUNTIF(G1808:I1825,$B1833)+COUNTIF(G1808:I1825,$B1833&amp;" ~*")&gt;0)+(COUNTIF(K1808:M1825,$B1833)+COUNTIF(K1808:M1825,$B1833&amp;" ~*")&gt;0)+(COUNTIF(O1808:Q1825,$B1833)+COUNTIF(O1808:Q1825,$B1833&amp;" ~*")&gt;0)+(COUNTIF(S1808:U1825,$B1833)+COUNTIF(S1808:U1825,$B1833&amp;" ~*")&gt;0)+(COUNTIF(W1808:W1825,$B1833)+COUNTIF(W1808:W1825,$B1833&amp;" ~*")&gt;0)+(COUNTIF(Y1808:Y1825,$B1833)+COUNTIF(Y1808:Y1825,$B1833&amp;" ~*")&gt;0))</f>
        <v/>
      </c>
      <c r="AC1833" s="36">
        <f>IF($B1833="","",(IFERROR(INDEX(Setup!$G$33:$G$40,MATCH(C1833,Setup!$B$33:$B$40,0)),0)=1)*(COUNTIF(C1808:E1825,$B1833)+COUNTIF(C1808:E1825,$B1833&amp;" ~*")&gt;0)+(IFERROR(INDEX(Setup!$G$33:$G$40,MATCH(G1833,Setup!$B$33:$B$40,0)),0)=1)*(COUNTIF(G1808:I1825,$B1833)+COUNTIF(G1808:I1825,$B1833&amp;" ~*")&gt;0)+(IFERROR(INDEX(Setup!$G$33:$G$40,MATCH(K1833,Setup!$B$33:$B$40,0)),0)=1)*(COUNTIF(K1808:M1825,$B1833)+COUNTIF(K1808:M1825,$B1833&amp;" ~*")&gt;0)+(IFERROR(INDEX(Setup!$G$33:$G$40,MATCH(O1833,Setup!$B$33:$B$40,0)),0)=1)*(COUNTIF(O1808:Q1825,$B1833)+COUNTIF(O1808:Q1825,$B1833&amp;" ~*")&gt;0)+(IFERROR(INDEX(Setup!$G$33:$G$40,MATCH(S1833,Setup!$B$33:$B$40,0)),0)=1)*(COUNTIF(S1808:U1825,$B1833)+COUNTIF(S1808:U1825,$B1833&amp;" ~*")&gt;0)+(IFERROR(INDEX(Setup!$G$33:$G$40,MATCH(W1833,Setup!$B$33:$B$40,0)),0)=1)*(COUNTIF(W1808:W1825,$B1833)+COUNTIF(W1808:W1825,$B1833&amp;" ~*")&gt;0)+(IFERROR(INDEX(Setup!$G$33:$G$40,MATCH(Y1833,Setup!$B$33:$B$40,0)),0)=1)*(COUNTIF(Y1808:Y1825,$B1833)+COUNTIF(Y1808:Y1825,$B1833&amp;" ~*")&gt;0))</f>
        <v/>
      </c>
    </row>
    <row r="1834" ht="15" customHeight="1">
      <c r="A1834" t="n">
        <v>37</v>
      </c>
      <c r="B1834" s="37">
        <f>IF(Setup!$B$13="","",Setup!$B$13)</f>
        <v/>
      </c>
      <c r="C1834" s="102" t="n"/>
      <c r="D1834" s="103" t="n"/>
      <c r="E1834" s="103" t="n"/>
      <c r="F1834" s="104" t="n"/>
      <c r="G1834" s="102" t="n"/>
      <c r="H1834" s="103" t="n"/>
      <c r="I1834" s="103" t="n"/>
      <c r="J1834" s="104" t="n"/>
      <c r="K1834" s="102" t="n"/>
      <c r="L1834" s="103" t="n"/>
      <c r="M1834" s="103" t="n"/>
      <c r="N1834" s="104" t="n"/>
      <c r="O1834" s="102" t="n"/>
      <c r="P1834" s="103" t="n"/>
      <c r="Q1834" s="103" t="n"/>
      <c r="R1834" s="104" t="n"/>
      <c r="S1834" s="102" t="n"/>
      <c r="T1834" s="103" t="n"/>
      <c r="U1834" s="103" t="n"/>
      <c r="V1834" s="104" t="n"/>
      <c r="W1834" s="102" t="n"/>
      <c r="X1834" s="104" t="n"/>
      <c r="Y1834" s="102" t="n"/>
      <c r="Z1834" s="104" t="n"/>
      <c r="AB1834" s="105">
        <f>IF($B1834="","",(COUNTIF(C1808:E1825,$B1834)+COUNTIF(C1808:E1825,$B1834&amp;" ~*")&gt;0)+(COUNTIF(G1808:I1825,$B1834)+COUNTIF(G1808:I1825,$B1834&amp;" ~*")&gt;0)+(COUNTIF(K1808:M1825,$B1834)+COUNTIF(K1808:M1825,$B1834&amp;" ~*")&gt;0)+(COUNTIF(O1808:Q1825,$B1834)+COUNTIF(O1808:Q1825,$B1834&amp;" ~*")&gt;0)+(COUNTIF(S1808:U1825,$B1834)+COUNTIF(S1808:U1825,$B1834&amp;" ~*")&gt;0)+(COUNTIF(W1808:W1825,$B1834)+COUNTIF(W1808:W1825,$B1834&amp;" ~*")&gt;0)+(COUNTIF(Y1808:Y1825,$B1834)+COUNTIF(Y1808:Y1825,$B1834&amp;" ~*")&gt;0))</f>
        <v/>
      </c>
      <c r="AC1834" s="38">
        <f>IF($B1834="","",(IFERROR(INDEX(Setup!$G$33:$G$40,MATCH(C1834,Setup!$B$33:$B$40,0)),0)=1)*(COUNTIF(C1808:E1825,$B1834)+COUNTIF(C1808:E1825,$B1834&amp;" ~*")&gt;0)+(IFERROR(INDEX(Setup!$G$33:$G$40,MATCH(G1834,Setup!$B$33:$B$40,0)),0)=1)*(COUNTIF(G1808:I1825,$B1834)+COUNTIF(G1808:I1825,$B1834&amp;" ~*")&gt;0)+(IFERROR(INDEX(Setup!$G$33:$G$40,MATCH(K1834,Setup!$B$33:$B$40,0)),0)=1)*(COUNTIF(K1808:M1825,$B1834)+COUNTIF(K1808:M1825,$B1834&amp;" ~*")&gt;0)+(IFERROR(INDEX(Setup!$G$33:$G$40,MATCH(O1834,Setup!$B$33:$B$40,0)),0)=1)*(COUNTIF(O1808:Q1825,$B1834)+COUNTIF(O1808:Q1825,$B1834&amp;" ~*")&gt;0)+(IFERROR(INDEX(Setup!$G$33:$G$40,MATCH(S1834,Setup!$B$33:$B$40,0)),0)=1)*(COUNTIF(S1808:U1825,$B1834)+COUNTIF(S1808:U1825,$B1834&amp;" ~*")&gt;0)+(IFERROR(INDEX(Setup!$G$33:$G$40,MATCH(W1834,Setup!$B$33:$B$40,0)),0)=1)*(COUNTIF(W1808:W1825,$B1834)+COUNTIF(W1808:W1825,$B1834&amp;" ~*")&gt;0)+(IFERROR(INDEX(Setup!$G$33:$G$40,MATCH(Y1834,Setup!$B$33:$B$40,0)),0)=1)*(COUNTIF(Y1808:Y1825,$B1834)+COUNTIF(Y1808:Y1825,$B1834&amp;" ~*")&gt;0))</f>
        <v/>
      </c>
    </row>
    <row r="1835" ht="15" customHeight="1">
      <c r="A1835" t="n">
        <v>37</v>
      </c>
      <c r="B1835" s="35">
        <f>IF(Setup!$B$14="","",Setup!$B$14)</f>
        <v/>
      </c>
      <c r="C1835" s="98" t="n"/>
      <c r="D1835" s="99" t="n"/>
      <c r="E1835" s="99" t="n"/>
      <c r="F1835" s="100" t="n"/>
      <c r="G1835" s="98" t="n"/>
      <c r="H1835" s="99" t="n"/>
      <c r="I1835" s="99" t="n"/>
      <c r="J1835" s="100" t="n"/>
      <c r="K1835" s="98" t="n"/>
      <c r="L1835" s="99" t="n"/>
      <c r="M1835" s="99" t="n"/>
      <c r="N1835" s="100" t="n"/>
      <c r="O1835" s="98" t="n"/>
      <c r="P1835" s="99" t="n"/>
      <c r="Q1835" s="99" t="n"/>
      <c r="R1835" s="100" t="n"/>
      <c r="S1835" s="98" t="n"/>
      <c r="T1835" s="99" t="n"/>
      <c r="U1835" s="99" t="n"/>
      <c r="V1835" s="100" t="n"/>
      <c r="W1835" s="98" t="n"/>
      <c r="X1835" s="100" t="n"/>
      <c r="Y1835" s="98" t="n"/>
      <c r="Z1835" s="100" t="n"/>
      <c r="AB1835" s="101">
        <f>IF($B1835="","",(COUNTIF(C1808:E1825,$B1835)+COUNTIF(C1808:E1825,$B1835&amp;" ~*")&gt;0)+(COUNTIF(G1808:I1825,$B1835)+COUNTIF(G1808:I1825,$B1835&amp;" ~*")&gt;0)+(COUNTIF(K1808:M1825,$B1835)+COUNTIF(K1808:M1825,$B1835&amp;" ~*")&gt;0)+(COUNTIF(O1808:Q1825,$B1835)+COUNTIF(O1808:Q1825,$B1835&amp;" ~*")&gt;0)+(COUNTIF(S1808:U1825,$B1835)+COUNTIF(S1808:U1825,$B1835&amp;" ~*")&gt;0)+(COUNTIF(W1808:W1825,$B1835)+COUNTIF(W1808:W1825,$B1835&amp;" ~*")&gt;0)+(COUNTIF(Y1808:Y1825,$B1835)+COUNTIF(Y1808:Y1825,$B1835&amp;" ~*")&gt;0))</f>
        <v/>
      </c>
      <c r="AC1835" s="36">
        <f>IF($B1835="","",(IFERROR(INDEX(Setup!$G$33:$G$40,MATCH(C1835,Setup!$B$33:$B$40,0)),0)=1)*(COUNTIF(C1808:E1825,$B1835)+COUNTIF(C1808:E1825,$B1835&amp;" ~*")&gt;0)+(IFERROR(INDEX(Setup!$G$33:$G$40,MATCH(G1835,Setup!$B$33:$B$40,0)),0)=1)*(COUNTIF(G1808:I1825,$B1835)+COUNTIF(G1808:I1825,$B1835&amp;" ~*")&gt;0)+(IFERROR(INDEX(Setup!$G$33:$G$40,MATCH(K1835,Setup!$B$33:$B$40,0)),0)=1)*(COUNTIF(K1808:M1825,$B1835)+COUNTIF(K1808:M1825,$B1835&amp;" ~*")&gt;0)+(IFERROR(INDEX(Setup!$G$33:$G$40,MATCH(O1835,Setup!$B$33:$B$40,0)),0)=1)*(COUNTIF(O1808:Q1825,$B1835)+COUNTIF(O1808:Q1825,$B1835&amp;" ~*")&gt;0)+(IFERROR(INDEX(Setup!$G$33:$G$40,MATCH(S1835,Setup!$B$33:$B$40,0)),0)=1)*(COUNTIF(S1808:U1825,$B1835)+COUNTIF(S1808:U1825,$B1835&amp;" ~*")&gt;0)+(IFERROR(INDEX(Setup!$G$33:$G$40,MATCH(W1835,Setup!$B$33:$B$40,0)),0)=1)*(COUNTIF(W1808:W1825,$B1835)+COUNTIF(W1808:W1825,$B1835&amp;" ~*")&gt;0)+(IFERROR(INDEX(Setup!$G$33:$G$40,MATCH(Y1835,Setup!$B$33:$B$40,0)),0)=1)*(COUNTIF(Y1808:Y1825,$B1835)+COUNTIF(Y1808:Y1825,$B1835&amp;" ~*")&gt;0))</f>
        <v/>
      </c>
    </row>
    <row r="1836" ht="15" customHeight="1">
      <c r="A1836" t="n">
        <v>37</v>
      </c>
      <c r="B1836" s="37">
        <f>IF(Setup!$B$15="","",Setup!$B$15)</f>
        <v/>
      </c>
      <c r="C1836" s="102" t="n"/>
      <c r="D1836" s="103" t="n"/>
      <c r="E1836" s="103" t="n"/>
      <c r="F1836" s="104" t="n"/>
      <c r="G1836" s="102" t="n"/>
      <c r="H1836" s="103" t="n"/>
      <c r="I1836" s="103" t="n"/>
      <c r="J1836" s="104" t="n"/>
      <c r="K1836" s="102" t="n"/>
      <c r="L1836" s="103" t="n"/>
      <c r="M1836" s="103" t="n"/>
      <c r="N1836" s="104" t="n"/>
      <c r="O1836" s="102" t="n"/>
      <c r="P1836" s="103" t="n"/>
      <c r="Q1836" s="103" t="n"/>
      <c r="R1836" s="104" t="n"/>
      <c r="S1836" s="102" t="n"/>
      <c r="T1836" s="103" t="n"/>
      <c r="U1836" s="103" t="n"/>
      <c r="V1836" s="104" t="n"/>
      <c r="W1836" s="102" t="n"/>
      <c r="X1836" s="104" t="n"/>
      <c r="Y1836" s="102" t="n"/>
      <c r="Z1836" s="104" t="n"/>
      <c r="AB1836" s="105">
        <f>IF($B1836="","",(COUNTIF(C1808:E1825,$B1836)+COUNTIF(C1808:E1825,$B1836&amp;" ~*")&gt;0)+(COUNTIF(G1808:I1825,$B1836)+COUNTIF(G1808:I1825,$B1836&amp;" ~*")&gt;0)+(COUNTIF(K1808:M1825,$B1836)+COUNTIF(K1808:M1825,$B1836&amp;" ~*")&gt;0)+(COUNTIF(O1808:Q1825,$B1836)+COUNTIF(O1808:Q1825,$B1836&amp;" ~*")&gt;0)+(COUNTIF(S1808:U1825,$B1836)+COUNTIF(S1808:U1825,$B1836&amp;" ~*")&gt;0)+(COUNTIF(W1808:W1825,$B1836)+COUNTIF(W1808:W1825,$B1836&amp;" ~*")&gt;0)+(COUNTIF(Y1808:Y1825,$B1836)+COUNTIF(Y1808:Y1825,$B1836&amp;" ~*")&gt;0))</f>
        <v/>
      </c>
      <c r="AC1836" s="38">
        <f>IF($B1836="","",(IFERROR(INDEX(Setup!$G$33:$G$40,MATCH(C1836,Setup!$B$33:$B$40,0)),0)=1)*(COUNTIF(C1808:E1825,$B1836)+COUNTIF(C1808:E1825,$B1836&amp;" ~*")&gt;0)+(IFERROR(INDEX(Setup!$G$33:$G$40,MATCH(G1836,Setup!$B$33:$B$40,0)),0)=1)*(COUNTIF(G1808:I1825,$B1836)+COUNTIF(G1808:I1825,$B1836&amp;" ~*")&gt;0)+(IFERROR(INDEX(Setup!$G$33:$G$40,MATCH(K1836,Setup!$B$33:$B$40,0)),0)=1)*(COUNTIF(K1808:M1825,$B1836)+COUNTIF(K1808:M1825,$B1836&amp;" ~*")&gt;0)+(IFERROR(INDEX(Setup!$G$33:$G$40,MATCH(O1836,Setup!$B$33:$B$40,0)),0)=1)*(COUNTIF(O1808:Q1825,$B1836)+COUNTIF(O1808:Q1825,$B1836&amp;" ~*")&gt;0)+(IFERROR(INDEX(Setup!$G$33:$G$40,MATCH(S1836,Setup!$B$33:$B$40,0)),0)=1)*(COUNTIF(S1808:U1825,$B1836)+COUNTIF(S1808:U1825,$B1836&amp;" ~*")&gt;0)+(IFERROR(INDEX(Setup!$G$33:$G$40,MATCH(W1836,Setup!$B$33:$B$40,0)),0)=1)*(COUNTIF(W1808:W1825,$B1836)+COUNTIF(W1808:W1825,$B1836&amp;" ~*")&gt;0)+(IFERROR(INDEX(Setup!$G$33:$G$40,MATCH(Y1836,Setup!$B$33:$B$40,0)),0)=1)*(COUNTIF(Y1808:Y1825,$B1836)+COUNTIF(Y1808:Y1825,$B1836&amp;" ~*")&gt;0))</f>
        <v/>
      </c>
    </row>
    <row r="1837" ht="15" customHeight="1">
      <c r="A1837" t="n">
        <v>37</v>
      </c>
      <c r="B1837" s="35">
        <f>IF(Setup!$B$16="","",Setup!$B$16)</f>
        <v/>
      </c>
      <c r="C1837" s="98" t="n"/>
      <c r="D1837" s="99" t="n"/>
      <c r="E1837" s="99" t="n"/>
      <c r="F1837" s="100" t="n"/>
      <c r="G1837" s="98" t="n"/>
      <c r="H1837" s="99" t="n"/>
      <c r="I1837" s="99" t="n"/>
      <c r="J1837" s="100" t="n"/>
      <c r="K1837" s="98" t="n"/>
      <c r="L1837" s="99" t="n"/>
      <c r="M1837" s="99" t="n"/>
      <c r="N1837" s="100" t="n"/>
      <c r="O1837" s="98" t="n"/>
      <c r="P1837" s="99" t="n"/>
      <c r="Q1837" s="99" t="n"/>
      <c r="R1837" s="100" t="n"/>
      <c r="S1837" s="98" t="n"/>
      <c r="T1837" s="99" t="n"/>
      <c r="U1837" s="99" t="n"/>
      <c r="V1837" s="100" t="n"/>
      <c r="W1837" s="98" t="n"/>
      <c r="X1837" s="100" t="n"/>
      <c r="Y1837" s="98" t="n"/>
      <c r="Z1837" s="100" t="n"/>
      <c r="AB1837" s="101">
        <f>IF($B1837="","",(COUNTIF(C1808:E1825,$B1837)+COUNTIF(C1808:E1825,$B1837&amp;" ~*")&gt;0)+(COUNTIF(G1808:I1825,$B1837)+COUNTIF(G1808:I1825,$B1837&amp;" ~*")&gt;0)+(COUNTIF(K1808:M1825,$B1837)+COUNTIF(K1808:M1825,$B1837&amp;" ~*")&gt;0)+(COUNTIF(O1808:Q1825,$B1837)+COUNTIF(O1808:Q1825,$B1837&amp;" ~*")&gt;0)+(COUNTIF(S1808:U1825,$B1837)+COUNTIF(S1808:U1825,$B1837&amp;" ~*")&gt;0)+(COUNTIF(W1808:W1825,$B1837)+COUNTIF(W1808:W1825,$B1837&amp;" ~*")&gt;0)+(COUNTIF(Y1808:Y1825,$B1837)+COUNTIF(Y1808:Y1825,$B1837&amp;" ~*")&gt;0))</f>
        <v/>
      </c>
      <c r="AC1837" s="36">
        <f>IF($B1837="","",(IFERROR(INDEX(Setup!$G$33:$G$40,MATCH(C1837,Setup!$B$33:$B$40,0)),0)=1)*(COUNTIF(C1808:E1825,$B1837)+COUNTIF(C1808:E1825,$B1837&amp;" ~*")&gt;0)+(IFERROR(INDEX(Setup!$G$33:$G$40,MATCH(G1837,Setup!$B$33:$B$40,0)),0)=1)*(COUNTIF(G1808:I1825,$B1837)+COUNTIF(G1808:I1825,$B1837&amp;" ~*")&gt;0)+(IFERROR(INDEX(Setup!$G$33:$G$40,MATCH(K1837,Setup!$B$33:$B$40,0)),0)=1)*(COUNTIF(K1808:M1825,$B1837)+COUNTIF(K1808:M1825,$B1837&amp;" ~*")&gt;0)+(IFERROR(INDEX(Setup!$G$33:$G$40,MATCH(O1837,Setup!$B$33:$B$40,0)),0)=1)*(COUNTIF(O1808:Q1825,$B1837)+COUNTIF(O1808:Q1825,$B1837&amp;" ~*")&gt;0)+(IFERROR(INDEX(Setup!$G$33:$G$40,MATCH(S1837,Setup!$B$33:$B$40,0)),0)=1)*(COUNTIF(S1808:U1825,$B1837)+COUNTIF(S1808:U1825,$B1837&amp;" ~*")&gt;0)+(IFERROR(INDEX(Setup!$G$33:$G$40,MATCH(W1837,Setup!$B$33:$B$40,0)),0)=1)*(COUNTIF(W1808:W1825,$B1837)+COUNTIF(W1808:W1825,$B1837&amp;" ~*")&gt;0)+(IFERROR(INDEX(Setup!$G$33:$G$40,MATCH(Y1837,Setup!$B$33:$B$40,0)),0)=1)*(COUNTIF(Y1808:Y1825,$B1837)+COUNTIF(Y1808:Y1825,$B1837&amp;" ~*")&gt;0))</f>
        <v/>
      </c>
    </row>
    <row r="1838" ht="15" customHeight="1">
      <c r="A1838" t="n">
        <v>37</v>
      </c>
      <c r="B1838" s="37">
        <f>IF(Setup!$B$17="","",Setup!$B$17)</f>
        <v/>
      </c>
      <c r="C1838" s="102" t="n"/>
      <c r="D1838" s="103" t="n"/>
      <c r="E1838" s="103" t="n"/>
      <c r="F1838" s="104" t="n"/>
      <c r="G1838" s="102" t="n"/>
      <c r="H1838" s="103" t="n"/>
      <c r="I1838" s="103" t="n"/>
      <c r="J1838" s="104" t="n"/>
      <c r="K1838" s="102" t="n"/>
      <c r="L1838" s="103" t="n"/>
      <c r="M1838" s="103" t="n"/>
      <c r="N1838" s="104" t="n"/>
      <c r="O1838" s="102" t="n"/>
      <c r="P1838" s="103" t="n"/>
      <c r="Q1838" s="103" t="n"/>
      <c r="R1838" s="104" t="n"/>
      <c r="S1838" s="102" t="n"/>
      <c r="T1838" s="103" t="n"/>
      <c r="U1838" s="103" t="n"/>
      <c r="V1838" s="104" t="n"/>
      <c r="W1838" s="102" t="n"/>
      <c r="X1838" s="104" t="n"/>
      <c r="Y1838" s="102" t="n"/>
      <c r="Z1838" s="104" t="n"/>
      <c r="AB1838" s="105">
        <f>IF($B1838="","",(COUNTIF(C1808:E1825,$B1838)+COUNTIF(C1808:E1825,$B1838&amp;" ~*")&gt;0)+(COUNTIF(G1808:I1825,$B1838)+COUNTIF(G1808:I1825,$B1838&amp;" ~*")&gt;0)+(COUNTIF(K1808:M1825,$B1838)+COUNTIF(K1808:M1825,$B1838&amp;" ~*")&gt;0)+(COUNTIF(O1808:Q1825,$B1838)+COUNTIF(O1808:Q1825,$B1838&amp;" ~*")&gt;0)+(COUNTIF(S1808:U1825,$B1838)+COUNTIF(S1808:U1825,$B1838&amp;" ~*")&gt;0)+(COUNTIF(W1808:W1825,$B1838)+COUNTIF(W1808:W1825,$B1838&amp;" ~*")&gt;0)+(COUNTIF(Y1808:Y1825,$B1838)+COUNTIF(Y1808:Y1825,$B1838&amp;" ~*")&gt;0))</f>
        <v/>
      </c>
      <c r="AC1838" s="38">
        <f>IF($B1838="","",(IFERROR(INDEX(Setup!$G$33:$G$40,MATCH(C1838,Setup!$B$33:$B$40,0)),0)=1)*(COUNTIF(C1808:E1825,$B1838)+COUNTIF(C1808:E1825,$B1838&amp;" ~*")&gt;0)+(IFERROR(INDEX(Setup!$G$33:$G$40,MATCH(G1838,Setup!$B$33:$B$40,0)),0)=1)*(COUNTIF(G1808:I1825,$B1838)+COUNTIF(G1808:I1825,$B1838&amp;" ~*")&gt;0)+(IFERROR(INDEX(Setup!$G$33:$G$40,MATCH(K1838,Setup!$B$33:$B$40,0)),0)=1)*(COUNTIF(K1808:M1825,$B1838)+COUNTIF(K1808:M1825,$B1838&amp;" ~*")&gt;0)+(IFERROR(INDEX(Setup!$G$33:$G$40,MATCH(O1838,Setup!$B$33:$B$40,0)),0)=1)*(COUNTIF(O1808:Q1825,$B1838)+COUNTIF(O1808:Q1825,$B1838&amp;" ~*")&gt;0)+(IFERROR(INDEX(Setup!$G$33:$G$40,MATCH(S1838,Setup!$B$33:$B$40,0)),0)=1)*(COUNTIF(S1808:U1825,$B1838)+COUNTIF(S1808:U1825,$B1838&amp;" ~*")&gt;0)+(IFERROR(INDEX(Setup!$G$33:$G$40,MATCH(W1838,Setup!$B$33:$B$40,0)),0)=1)*(COUNTIF(W1808:W1825,$B1838)+COUNTIF(W1808:W1825,$B1838&amp;" ~*")&gt;0)+(IFERROR(INDEX(Setup!$G$33:$G$40,MATCH(Y1838,Setup!$B$33:$B$40,0)),0)=1)*(COUNTIF(Y1808:Y1825,$B1838)+COUNTIF(Y1808:Y1825,$B1838&amp;" ~*")&gt;0))</f>
        <v/>
      </c>
    </row>
    <row r="1839" ht="15" customHeight="1">
      <c r="A1839" t="n">
        <v>37</v>
      </c>
      <c r="B1839" s="35">
        <f>IF(Setup!$B$18="","",Setup!$B$18)</f>
        <v/>
      </c>
      <c r="C1839" s="98" t="n"/>
      <c r="D1839" s="99" t="n"/>
      <c r="E1839" s="99" t="n"/>
      <c r="F1839" s="100" t="n"/>
      <c r="G1839" s="98" t="n"/>
      <c r="H1839" s="99" t="n"/>
      <c r="I1839" s="99" t="n"/>
      <c r="J1839" s="100" t="n"/>
      <c r="K1839" s="98" t="n"/>
      <c r="L1839" s="99" t="n"/>
      <c r="M1839" s="99" t="n"/>
      <c r="N1839" s="100" t="n"/>
      <c r="O1839" s="98" t="n"/>
      <c r="P1839" s="99" t="n"/>
      <c r="Q1839" s="99" t="n"/>
      <c r="R1839" s="100" t="n"/>
      <c r="S1839" s="98" t="n"/>
      <c r="T1839" s="99" t="n"/>
      <c r="U1839" s="99" t="n"/>
      <c r="V1839" s="100" t="n"/>
      <c r="W1839" s="98" t="n"/>
      <c r="X1839" s="100" t="n"/>
      <c r="Y1839" s="98" t="n"/>
      <c r="Z1839" s="100" t="n"/>
      <c r="AB1839" s="101">
        <f>IF($B1839="","",(COUNTIF(C1808:E1825,$B1839)+COUNTIF(C1808:E1825,$B1839&amp;" ~*")&gt;0)+(COUNTIF(G1808:I1825,$B1839)+COUNTIF(G1808:I1825,$B1839&amp;" ~*")&gt;0)+(COUNTIF(K1808:M1825,$B1839)+COUNTIF(K1808:M1825,$B1839&amp;" ~*")&gt;0)+(COUNTIF(O1808:Q1825,$B1839)+COUNTIF(O1808:Q1825,$B1839&amp;" ~*")&gt;0)+(COUNTIF(S1808:U1825,$B1839)+COUNTIF(S1808:U1825,$B1839&amp;" ~*")&gt;0)+(COUNTIF(W1808:W1825,$B1839)+COUNTIF(W1808:W1825,$B1839&amp;" ~*")&gt;0)+(COUNTIF(Y1808:Y1825,$B1839)+COUNTIF(Y1808:Y1825,$B1839&amp;" ~*")&gt;0))</f>
        <v/>
      </c>
      <c r="AC1839" s="36">
        <f>IF($B1839="","",(IFERROR(INDEX(Setup!$G$33:$G$40,MATCH(C1839,Setup!$B$33:$B$40,0)),0)=1)*(COUNTIF(C1808:E1825,$B1839)+COUNTIF(C1808:E1825,$B1839&amp;" ~*")&gt;0)+(IFERROR(INDEX(Setup!$G$33:$G$40,MATCH(G1839,Setup!$B$33:$B$40,0)),0)=1)*(COUNTIF(G1808:I1825,$B1839)+COUNTIF(G1808:I1825,$B1839&amp;" ~*")&gt;0)+(IFERROR(INDEX(Setup!$G$33:$G$40,MATCH(K1839,Setup!$B$33:$B$40,0)),0)=1)*(COUNTIF(K1808:M1825,$B1839)+COUNTIF(K1808:M1825,$B1839&amp;" ~*")&gt;0)+(IFERROR(INDEX(Setup!$G$33:$G$40,MATCH(O1839,Setup!$B$33:$B$40,0)),0)=1)*(COUNTIF(O1808:Q1825,$B1839)+COUNTIF(O1808:Q1825,$B1839&amp;" ~*")&gt;0)+(IFERROR(INDEX(Setup!$G$33:$G$40,MATCH(S1839,Setup!$B$33:$B$40,0)),0)=1)*(COUNTIF(S1808:U1825,$B1839)+COUNTIF(S1808:U1825,$B1839&amp;" ~*")&gt;0)+(IFERROR(INDEX(Setup!$G$33:$G$40,MATCH(W1839,Setup!$B$33:$B$40,0)),0)=1)*(COUNTIF(W1808:W1825,$B1839)+COUNTIF(W1808:W1825,$B1839&amp;" ~*")&gt;0)+(IFERROR(INDEX(Setup!$G$33:$G$40,MATCH(Y1839,Setup!$B$33:$B$40,0)),0)=1)*(COUNTIF(Y1808:Y1825,$B1839)+COUNTIF(Y1808:Y1825,$B1839&amp;" ~*")&gt;0))</f>
        <v/>
      </c>
    </row>
    <row r="1840" ht="15" customHeight="1">
      <c r="A1840" t="n">
        <v>37</v>
      </c>
      <c r="B1840" s="37">
        <f>IF(Setup!$B$19="","",Setup!$B$19)</f>
        <v/>
      </c>
      <c r="C1840" s="102" t="n"/>
      <c r="D1840" s="103" t="n"/>
      <c r="E1840" s="103" t="n"/>
      <c r="F1840" s="104" t="n"/>
      <c r="G1840" s="102" t="n"/>
      <c r="H1840" s="103" t="n"/>
      <c r="I1840" s="103" t="n"/>
      <c r="J1840" s="104" t="n"/>
      <c r="K1840" s="102" t="n"/>
      <c r="L1840" s="103" t="n"/>
      <c r="M1840" s="103" t="n"/>
      <c r="N1840" s="104" t="n"/>
      <c r="O1840" s="102" t="n"/>
      <c r="P1840" s="103" t="n"/>
      <c r="Q1840" s="103" t="n"/>
      <c r="R1840" s="104" t="n"/>
      <c r="S1840" s="102" t="n"/>
      <c r="T1840" s="103" t="n"/>
      <c r="U1840" s="103" t="n"/>
      <c r="V1840" s="104" t="n"/>
      <c r="W1840" s="102" t="n"/>
      <c r="X1840" s="104" t="n"/>
      <c r="Y1840" s="102" t="n"/>
      <c r="Z1840" s="104" t="n"/>
      <c r="AB1840" s="105">
        <f>IF($B1840="","",(COUNTIF(C1808:E1825,$B1840)+COUNTIF(C1808:E1825,$B1840&amp;" ~*")&gt;0)+(COUNTIF(G1808:I1825,$B1840)+COUNTIF(G1808:I1825,$B1840&amp;" ~*")&gt;0)+(COUNTIF(K1808:M1825,$B1840)+COUNTIF(K1808:M1825,$B1840&amp;" ~*")&gt;0)+(COUNTIF(O1808:Q1825,$B1840)+COUNTIF(O1808:Q1825,$B1840&amp;" ~*")&gt;0)+(COUNTIF(S1808:U1825,$B1840)+COUNTIF(S1808:U1825,$B1840&amp;" ~*")&gt;0)+(COUNTIF(W1808:W1825,$B1840)+COUNTIF(W1808:W1825,$B1840&amp;" ~*")&gt;0)+(COUNTIF(Y1808:Y1825,$B1840)+COUNTIF(Y1808:Y1825,$B1840&amp;" ~*")&gt;0))</f>
        <v/>
      </c>
      <c r="AC1840" s="38">
        <f>IF($B1840="","",(IFERROR(INDEX(Setup!$G$33:$G$40,MATCH(C1840,Setup!$B$33:$B$40,0)),0)=1)*(COUNTIF(C1808:E1825,$B1840)+COUNTIF(C1808:E1825,$B1840&amp;" ~*")&gt;0)+(IFERROR(INDEX(Setup!$G$33:$G$40,MATCH(G1840,Setup!$B$33:$B$40,0)),0)=1)*(COUNTIF(G1808:I1825,$B1840)+COUNTIF(G1808:I1825,$B1840&amp;" ~*")&gt;0)+(IFERROR(INDEX(Setup!$G$33:$G$40,MATCH(K1840,Setup!$B$33:$B$40,0)),0)=1)*(COUNTIF(K1808:M1825,$B1840)+COUNTIF(K1808:M1825,$B1840&amp;" ~*")&gt;0)+(IFERROR(INDEX(Setup!$G$33:$G$40,MATCH(O1840,Setup!$B$33:$B$40,0)),0)=1)*(COUNTIF(O1808:Q1825,$B1840)+COUNTIF(O1808:Q1825,$B1840&amp;" ~*")&gt;0)+(IFERROR(INDEX(Setup!$G$33:$G$40,MATCH(S1840,Setup!$B$33:$B$40,0)),0)=1)*(COUNTIF(S1808:U1825,$B1840)+COUNTIF(S1808:U1825,$B1840&amp;" ~*")&gt;0)+(IFERROR(INDEX(Setup!$G$33:$G$40,MATCH(W1840,Setup!$B$33:$B$40,0)),0)=1)*(COUNTIF(W1808:W1825,$B1840)+COUNTIF(W1808:W1825,$B1840&amp;" ~*")&gt;0)+(IFERROR(INDEX(Setup!$G$33:$G$40,MATCH(Y1840,Setup!$B$33:$B$40,0)),0)=1)*(COUNTIF(Y1808:Y1825,$B1840)+COUNTIF(Y1808:Y1825,$B1840&amp;" ~*")&gt;0))</f>
        <v/>
      </c>
    </row>
    <row r="1841" ht="15" customHeight="1">
      <c r="A1841" t="n">
        <v>37</v>
      </c>
      <c r="B1841" s="35">
        <f>IF(Setup!$B$20="","",Setup!$B$20)</f>
        <v/>
      </c>
      <c r="C1841" s="98" t="n"/>
      <c r="D1841" s="99" t="n"/>
      <c r="E1841" s="99" t="n"/>
      <c r="F1841" s="100" t="n"/>
      <c r="G1841" s="98" t="n"/>
      <c r="H1841" s="99" t="n"/>
      <c r="I1841" s="99" t="n"/>
      <c r="J1841" s="100" t="n"/>
      <c r="K1841" s="98" t="n"/>
      <c r="L1841" s="99" t="n"/>
      <c r="M1841" s="99" t="n"/>
      <c r="N1841" s="100" t="n"/>
      <c r="O1841" s="98" t="n"/>
      <c r="P1841" s="99" t="n"/>
      <c r="Q1841" s="99" t="n"/>
      <c r="R1841" s="100" t="n"/>
      <c r="S1841" s="98" t="n"/>
      <c r="T1841" s="99" t="n"/>
      <c r="U1841" s="99" t="n"/>
      <c r="V1841" s="100" t="n"/>
      <c r="W1841" s="98" t="n"/>
      <c r="X1841" s="100" t="n"/>
      <c r="Y1841" s="98" t="n"/>
      <c r="Z1841" s="100" t="n"/>
      <c r="AB1841" s="101">
        <f>IF($B1841="","",(COUNTIF(C1808:E1825,$B1841)+COUNTIF(C1808:E1825,$B1841&amp;" ~*")&gt;0)+(COUNTIF(G1808:I1825,$B1841)+COUNTIF(G1808:I1825,$B1841&amp;" ~*")&gt;0)+(COUNTIF(K1808:M1825,$B1841)+COUNTIF(K1808:M1825,$B1841&amp;" ~*")&gt;0)+(COUNTIF(O1808:Q1825,$B1841)+COUNTIF(O1808:Q1825,$B1841&amp;" ~*")&gt;0)+(COUNTIF(S1808:U1825,$B1841)+COUNTIF(S1808:U1825,$B1841&amp;" ~*")&gt;0)+(COUNTIF(W1808:W1825,$B1841)+COUNTIF(W1808:W1825,$B1841&amp;" ~*")&gt;0)+(COUNTIF(Y1808:Y1825,$B1841)+COUNTIF(Y1808:Y1825,$B1841&amp;" ~*")&gt;0))</f>
        <v/>
      </c>
      <c r="AC1841" s="36">
        <f>IF($B1841="","",(IFERROR(INDEX(Setup!$G$33:$G$40,MATCH(C1841,Setup!$B$33:$B$40,0)),0)=1)*(COUNTIF(C1808:E1825,$B1841)+COUNTIF(C1808:E1825,$B1841&amp;" ~*")&gt;0)+(IFERROR(INDEX(Setup!$G$33:$G$40,MATCH(G1841,Setup!$B$33:$B$40,0)),0)=1)*(COUNTIF(G1808:I1825,$B1841)+COUNTIF(G1808:I1825,$B1841&amp;" ~*")&gt;0)+(IFERROR(INDEX(Setup!$G$33:$G$40,MATCH(K1841,Setup!$B$33:$B$40,0)),0)=1)*(COUNTIF(K1808:M1825,$B1841)+COUNTIF(K1808:M1825,$B1841&amp;" ~*")&gt;0)+(IFERROR(INDEX(Setup!$G$33:$G$40,MATCH(O1841,Setup!$B$33:$B$40,0)),0)=1)*(COUNTIF(O1808:Q1825,$B1841)+COUNTIF(O1808:Q1825,$B1841&amp;" ~*")&gt;0)+(IFERROR(INDEX(Setup!$G$33:$G$40,MATCH(S1841,Setup!$B$33:$B$40,0)),0)=1)*(COUNTIF(S1808:U1825,$B1841)+COUNTIF(S1808:U1825,$B1841&amp;" ~*")&gt;0)+(IFERROR(INDEX(Setup!$G$33:$G$40,MATCH(W1841,Setup!$B$33:$B$40,0)),0)=1)*(COUNTIF(W1808:W1825,$B1841)+COUNTIF(W1808:W1825,$B1841&amp;" ~*")&gt;0)+(IFERROR(INDEX(Setup!$G$33:$G$40,MATCH(Y1841,Setup!$B$33:$B$40,0)),0)=1)*(COUNTIF(Y1808:Y1825,$B1841)+COUNTIF(Y1808:Y1825,$B1841&amp;" ~*")&gt;0))</f>
        <v/>
      </c>
    </row>
    <row r="1842" ht="15" customHeight="1">
      <c r="A1842" t="n">
        <v>37</v>
      </c>
      <c r="B1842" s="37">
        <f>IF(Setup!$B$21="","",Setup!$B$21)</f>
        <v/>
      </c>
      <c r="C1842" s="102" t="n"/>
      <c r="D1842" s="103" t="n"/>
      <c r="E1842" s="103" t="n"/>
      <c r="F1842" s="104" t="n"/>
      <c r="G1842" s="102" t="n"/>
      <c r="H1842" s="103" t="n"/>
      <c r="I1842" s="103" t="n"/>
      <c r="J1842" s="104" t="n"/>
      <c r="K1842" s="102" t="n"/>
      <c r="L1842" s="103" t="n"/>
      <c r="M1842" s="103" t="n"/>
      <c r="N1842" s="104" t="n"/>
      <c r="O1842" s="102" t="n"/>
      <c r="P1842" s="103" t="n"/>
      <c r="Q1842" s="103" t="n"/>
      <c r="R1842" s="104" t="n"/>
      <c r="S1842" s="102" t="n"/>
      <c r="T1842" s="103" t="n"/>
      <c r="U1842" s="103" t="n"/>
      <c r="V1842" s="104" t="n"/>
      <c r="W1842" s="102" t="n"/>
      <c r="X1842" s="104" t="n"/>
      <c r="Y1842" s="102" t="n"/>
      <c r="Z1842" s="104" t="n"/>
      <c r="AB1842" s="105">
        <f>IF($B1842="","",(COUNTIF(C1808:E1825,$B1842)+COUNTIF(C1808:E1825,$B1842&amp;" ~*")&gt;0)+(COUNTIF(G1808:I1825,$B1842)+COUNTIF(G1808:I1825,$B1842&amp;" ~*")&gt;0)+(COUNTIF(K1808:M1825,$B1842)+COUNTIF(K1808:M1825,$B1842&amp;" ~*")&gt;0)+(COUNTIF(O1808:Q1825,$B1842)+COUNTIF(O1808:Q1825,$B1842&amp;" ~*")&gt;0)+(COUNTIF(S1808:U1825,$B1842)+COUNTIF(S1808:U1825,$B1842&amp;" ~*")&gt;0)+(COUNTIF(W1808:W1825,$B1842)+COUNTIF(W1808:W1825,$B1842&amp;" ~*")&gt;0)+(COUNTIF(Y1808:Y1825,$B1842)+COUNTIF(Y1808:Y1825,$B1842&amp;" ~*")&gt;0))</f>
        <v/>
      </c>
      <c r="AC1842" s="38">
        <f>IF($B1842="","",(IFERROR(INDEX(Setup!$G$33:$G$40,MATCH(C1842,Setup!$B$33:$B$40,0)),0)=1)*(COUNTIF(C1808:E1825,$B1842)+COUNTIF(C1808:E1825,$B1842&amp;" ~*")&gt;0)+(IFERROR(INDEX(Setup!$G$33:$G$40,MATCH(G1842,Setup!$B$33:$B$40,0)),0)=1)*(COUNTIF(G1808:I1825,$B1842)+COUNTIF(G1808:I1825,$B1842&amp;" ~*")&gt;0)+(IFERROR(INDEX(Setup!$G$33:$G$40,MATCH(K1842,Setup!$B$33:$B$40,0)),0)=1)*(COUNTIF(K1808:M1825,$B1842)+COUNTIF(K1808:M1825,$B1842&amp;" ~*")&gt;0)+(IFERROR(INDEX(Setup!$G$33:$G$40,MATCH(O1842,Setup!$B$33:$B$40,0)),0)=1)*(COUNTIF(O1808:Q1825,$B1842)+COUNTIF(O1808:Q1825,$B1842&amp;" ~*")&gt;0)+(IFERROR(INDEX(Setup!$G$33:$G$40,MATCH(S1842,Setup!$B$33:$B$40,0)),0)=1)*(COUNTIF(S1808:U1825,$B1842)+COUNTIF(S1808:U1825,$B1842&amp;" ~*")&gt;0)+(IFERROR(INDEX(Setup!$G$33:$G$40,MATCH(W1842,Setup!$B$33:$B$40,0)),0)=1)*(COUNTIF(W1808:W1825,$B1842)+COUNTIF(W1808:W1825,$B1842&amp;" ~*")&gt;0)+(IFERROR(INDEX(Setup!$G$33:$G$40,MATCH(Y1842,Setup!$B$33:$B$40,0)),0)=1)*(COUNTIF(Y1808:Y1825,$B1842)+COUNTIF(Y1808:Y1825,$B1842&amp;" ~*")&gt;0))</f>
        <v/>
      </c>
    </row>
    <row r="1843" ht="15" customHeight="1">
      <c r="A1843" t="n">
        <v>37</v>
      </c>
      <c r="B1843" s="35">
        <f>IF(Setup!$B$22="","",Setup!$B$22)</f>
        <v/>
      </c>
      <c r="C1843" s="98" t="n"/>
      <c r="D1843" s="99" t="n"/>
      <c r="E1843" s="99" t="n"/>
      <c r="F1843" s="100" t="n"/>
      <c r="G1843" s="98" t="n"/>
      <c r="H1843" s="99" t="n"/>
      <c r="I1843" s="99" t="n"/>
      <c r="J1843" s="100" t="n"/>
      <c r="K1843" s="98" t="n"/>
      <c r="L1843" s="99" t="n"/>
      <c r="M1843" s="99" t="n"/>
      <c r="N1843" s="100" t="n"/>
      <c r="O1843" s="98" t="n"/>
      <c r="P1843" s="99" t="n"/>
      <c r="Q1843" s="99" t="n"/>
      <c r="R1843" s="100" t="n"/>
      <c r="S1843" s="98" t="n"/>
      <c r="T1843" s="99" t="n"/>
      <c r="U1843" s="99" t="n"/>
      <c r="V1843" s="100" t="n"/>
      <c r="W1843" s="98" t="n"/>
      <c r="X1843" s="100" t="n"/>
      <c r="Y1843" s="98" t="n"/>
      <c r="Z1843" s="100" t="n"/>
      <c r="AB1843" s="101">
        <f>IF($B1843="","",(COUNTIF(C1808:E1825,$B1843)+COUNTIF(C1808:E1825,$B1843&amp;" ~*")&gt;0)+(COUNTIF(G1808:I1825,$B1843)+COUNTIF(G1808:I1825,$B1843&amp;" ~*")&gt;0)+(COUNTIF(K1808:M1825,$B1843)+COUNTIF(K1808:M1825,$B1843&amp;" ~*")&gt;0)+(COUNTIF(O1808:Q1825,$B1843)+COUNTIF(O1808:Q1825,$B1843&amp;" ~*")&gt;0)+(COUNTIF(S1808:U1825,$B1843)+COUNTIF(S1808:U1825,$B1843&amp;" ~*")&gt;0)+(COUNTIF(W1808:W1825,$B1843)+COUNTIF(W1808:W1825,$B1843&amp;" ~*")&gt;0)+(COUNTIF(Y1808:Y1825,$B1843)+COUNTIF(Y1808:Y1825,$B1843&amp;" ~*")&gt;0))</f>
        <v/>
      </c>
      <c r="AC1843" s="36">
        <f>IF($B1843="","",(IFERROR(INDEX(Setup!$G$33:$G$40,MATCH(C1843,Setup!$B$33:$B$40,0)),0)=1)*(COUNTIF(C1808:E1825,$B1843)+COUNTIF(C1808:E1825,$B1843&amp;" ~*")&gt;0)+(IFERROR(INDEX(Setup!$G$33:$G$40,MATCH(G1843,Setup!$B$33:$B$40,0)),0)=1)*(COUNTIF(G1808:I1825,$B1843)+COUNTIF(G1808:I1825,$B1843&amp;" ~*")&gt;0)+(IFERROR(INDEX(Setup!$G$33:$G$40,MATCH(K1843,Setup!$B$33:$B$40,0)),0)=1)*(COUNTIF(K1808:M1825,$B1843)+COUNTIF(K1808:M1825,$B1843&amp;" ~*")&gt;0)+(IFERROR(INDEX(Setup!$G$33:$G$40,MATCH(O1843,Setup!$B$33:$B$40,0)),0)=1)*(COUNTIF(O1808:Q1825,$B1843)+COUNTIF(O1808:Q1825,$B1843&amp;" ~*")&gt;0)+(IFERROR(INDEX(Setup!$G$33:$G$40,MATCH(S1843,Setup!$B$33:$B$40,0)),0)=1)*(COUNTIF(S1808:U1825,$B1843)+COUNTIF(S1808:U1825,$B1843&amp;" ~*")&gt;0)+(IFERROR(INDEX(Setup!$G$33:$G$40,MATCH(W1843,Setup!$B$33:$B$40,0)),0)=1)*(COUNTIF(W1808:W1825,$B1843)+COUNTIF(W1808:W1825,$B1843&amp;" ~*")&gt;0)+(IFERROR(INDEX(Setup!$G$33:$G$40,MATCH(Y1843,Setup!$B$33:$B$40,0)),0)=1)*(COUNTIF(Y1808:Y1825,$B1843)+COUNTIF(Y1808:Y1825,$B1843&amp;" ~*")&gt;0))</f>
        <v/>
      </c>
    </row>
    <row r="1844" ht="15" customHeight="1">
      <c r="A1844" t="n">
        <v>37</v>
      </c>
      <c r="B1844" s="37">
        <f>IF(Setup!$B$23="","",Setup!$B$23)</f>
        <v/>
      </c>
      <c r="C1844" s="102" t="n"/>
      <c r="D1844" s="103" t="n"/>
      <c r="E1844" s="103" t="n"/>
      <c r="F1844" s="104" t="n"/>
      <c r="G1844" s="102" t="n"/>
      <c r="H1844" s="103" t="n"/>
      <c r="I1844" s="103" t="n"/>
      <c r="J1844" s="104" t="n"/>
      <c r="K1844" s="102" t="n"/>
      <c r="L1844" s="103" t="n"/>
      <c r="M1844" s="103" t="n"/>
      <c r="N1844" s="104" t="n"/>
      <c r="O1844" s="102" t="n"/>
      <c r="P1844" s="103" t="n"/>
      <c r="Q1844" s="103" t="n"/>
      <c r="R1844" s="104" t="n"/>
      <c r="S1844" s="102" t="n"/>
      <c r="T1844" s="103" t="n"/>
      <c r="U1844" s="103" t="n"/>
      <c r="V1844" s="104" t="n"/>
      <c r="W1844" s="102" t="n"/>
      <c r="X1844" s="104" t="n"/>
      <c r="Y1844" s="102" t="n"/>
      <c r="Z1844" s="104" t="n"/>
      <c r="AB1844" s="105">
        <f>IF($B1844="","",(COUNTIF(C1808:E1825,$B1844)+COUNTIF(C1808:E1825,$B1844&amp;" ~*")&gt;0)+(COUNTIF(G1808:I1825,$B1844)+COUNTIF(G1808:I1825,$B1844&amp;" ~*")&gt;0)+(COUNTIF(K1808:M1825,$B1844)+COUNTIF(K1808:M1825,$B1844&amp;" ~*")&gt;0)+(COUNTIF(O1808:Q1825,$B1844)+COUNTIF(O1808:Q1825,$B1844&amp;" ~*")&gt;0)+(COUNTIF(S1808:U1825,$B1844)+COUNTIF(S1808:U1825,$B1844&amp;" ~*")&gt;0)+(COUNTIF(W1808:W1825,$B1844)+COUNTIF(W1808:W1825,$B1844&amp;" ~*")&gt;0)+(COUNTIF(Y1808:Y1825,$B1844)+COUNTIF(Y1808:Y1825,$B1844&amp;" ~*")&gt;0))</f>
        <v/>
      </c>
      <c r="AC1844" s="38">
        <f>IF($B1844="","",(IFERROR(INDEX(Setup!$G$33:$G$40,MATCH(C1844,Setup!$B$33:$B$40,0)),0)=1)*(COUNTIF(C1808:E1825,$B1844)+COUNTIF(C1808:E1825,$B1844&amp;" ~*")&gt;0)+(IFERROR(INDEX(Setup!$G$33:$G$40,MATCH(G1844,Setup!$B$33:$B$40,0)),0)=1)*(COUNTIF(G1808:I1825,$B1844)+COUNTIF(G1808:I1825,$B1844&amp;" ~*")&gt;0)+(IFERROR(INDEX(Setup!$G$33:$G$40,MATCH(K1844,Setup!$B$33:$B$40,0)),0)=1)*(COUNTIF(K1808:M1825,$B1844)+COUNTIF(K1808:M1825,$B1844&amp;" ~*")&gt;0)+(IFERROR(INDEX(Setup!$G$33:$G$40,MATCH(O1844,Setup!$B$33:$B$40,0)),0)=1)*(COUNTIF(O1808:Q1825,$B1844)+COUNTIF(O1808:Q1825,$B1844&amp;" ~*")&gt;0)+(IFERROR(INDEX(Setup!$G$33:$G$40,MATCH(S1844,Setup!$B$33:$B$40,0)),0)=1)*(COUNTIF(S1808:U1825,$B1844)+COUNTIF(S1808:U1825,$B1844&amp;" ~*")&gt;0)+(IFERROR(INDEX(Setup!$G$33:$G$40,MATCH(W1844,Setup!$B$33:$B$40,0)),0)=1)*(COUNTIF(W1808:W1825,$B1844)+COUNTIF(W1808:W1825,$B1844&amp;" ~*")&gt;0)+(IFERROR(INDEX(Setup!$G$33:$G$40,MATCH(Y1844,Setup!$B$33:$B$40,0)),0)=1)*(COUNTIF(Y1808:Y1825,$B1844)+COUNTIF(Y1808:Y1825,$B1844&amp;" ~*")&gt;0))</f>
        <v/>
      </c>
    </row>
    <row r="1845" ht="15" customHeight="1">
      <c r="A1845" t="n">
        <v>37</v>
      </c>
      <c r="B1845" s="35">
        <f>IF(Setup!$B$24="","",Setup!$B$24)</f>
        <v/>
      </c>
      <c r="C1845" s="98" t="n"/>
      <c r="D1845" s="99" t="n"/>
      <c r="E1845" s="99" t="n"/>
      <c r="F1845" s="100" t="n"/>
      <c r="G1845" s="98" t="n"/>
      <c r="H1845" s="99" t="n"/>
      <c r="I1845" s="99" t="n"/>
      <c r="J1845" s="100" t="n"/>
      <c r="K1845" s="98" t="n"/>
      <c r="L1845" s="99" t="n"/>
      <c r="M1845" s="99" t="n"/>
      <c r="N1845" s="100" t="n"/>
      <c r="O1845" s="98" t="n"/>
      <c r="P1845" s="99" t="n"/>
      <c r="Q1845" s="99" t="n"/>
      <c r="R1845" s="100" t="n"/>
      <c r="S1845" s="98" t="n"/>
      <c r="T1845" s="99" t="n"/>
      <c r="U1845" s="99" t="n"/>
      <c r="V1845" s="100" t="n"/>
      <c r="W1845" s="98" t="n"/>
      <c r="X1845" s="100" t="n"/>
      <c r="Y1845" s="98" t="n"/>
      <c r="Z1845" s="100" t="n"/>
      <c r="AB1845" s="101">
        <f>IF($B1845="","",(COUNTIF(C1808:E1825,$B1845)+COUNTIF(C1808:E1825,$B1845&amp;" ~*")&gt;0)+(COUNTIF(G1808:I1825,$B1845)+COUNTIF(G1808:I1825,$B1845&amp;" ~*")&gt;0)+(COUNTIF(K1808:M1825,$B1845)+COUNTIF(K1808:M1825,$B1845&amp;" ~*")&gt;0)+(COUNTIF(O1808:Q1825,$B1845)+COUNTIF(O1808:Q1825,$B1845&amp;" ~*")&gt;0)+(COUNTIF(S1808:U1825,$B1845)+COUNTIF(S1808:U1825,$B1845&amp;" ~*")&gt;0)+(COUNTIF(W1808:W1825,$B1845)+COUNTIF(W1808:W1825,$B1845&amp;" ~*")&gt;0)+(COUNTIF(Y1808:Y1825,$B1845)+COUNTIF(Y1808:Y1825,$B1845&amp;" ~*")&gt;0))</f>
        <v/>
      </c>
      <c r="AC1845" s="36">
        <f>IF($B1845="","",(IFERROR(INDEX(Setup!$G$33:$G$40,MATCH(C1845,Setup!$B$33:$B$40,0)),0)=1)*(COUNTIF(C1808:E1825,$B1845)+COUNTIF(C1808:E1825,$B1845&amp;" ~*")&gt;0)+(IFERROR(INDEX(Setup!$G$33:$G$40,MATCH(G1845,Setup!$B$33:$B$40,0)),0)=1)*(COUNTIF(G1808:I1825,$B1845)+COUNTIF(G1808:I1825,$B1845&amp;" ~*")&gt;0)+(IFERROR(INDEX(Setup!$G$33:$G$40,MATCH(K1845,Setup!$B$33:$B$40,0)),0)=1)*(COUNTIF(K1808:M1825,$B1845)+COUNTIF(K1808:M1825,$B1845&amp;" ~*")&gt;0)+(IFERROR(INDEX(Setup!$G$33:$G$40,MATCH(O1845,Setup!$B$33:$B$40,0)),0)=1)*(COUNTIF(O1808:Q1825,$B1845)+COUNTIF(O1808:Q1825,$B1845&amp;" ~*")&gt;0)+(IFERROR(INDEX(Setup!$G$33:$G$40,MATCH(S1845,Setup!$B$33:$B$40,0)),0)=1)*(COUNTIF(S1808:U1825,$B1845)+COUNTIF(S1808:U1825,$B1845&amp;" ~*")&gt;0)+(IFERROR(INDEX(Setup!$G$33:$G$40,MATCH(W1845,Setup!$B$33:$B$40,0)),0)=1)*(COUNTIF(W1808:W1825,$B1845)+COUNTIF(W1808:W1825,$B1845&amp;" ~*")&gt;0)+(IFERROR(INDEX(Setup!$G$33:$G$40,MATCH(Y1845,Setup!$B$33:$B$40,0)),0)=1)*(COUNTIF(Y1808:Y1825,$B1845)+COUNTIF(Y1808:Y1825,$B1845&amp;" ~*")&gt;0))</f>
        <v/>
      </c>
    </row>
    <row r="1846" ht="15" customHeight="1">
      <c r="A1846" t="n">
        <v>37</v>
      </c>
      <c r="B1846" s="37">
        <f>IF(Setup!$B$25="","",Setup!$B$25)</f>
        <v/>
      </c>
      <c r="C1846" s="102" t="n"/>
      <c r="D1846" s="103" t="n"/>
      <c r="E1846" s="103" t="n"/>
      <c r="F1846" s="104" t="n"/>
      <c r="G1846" s="102" t="n"/>
      <c r="H1846" s="103" t="n"/>
      <c r="I1846" s="103" t="n"/>
      <c r="J1846" s="104" t="n"/>
      <c r="K1846" s="102" t="n"/>
      <c r="L1846" s="103" t="n"/>
      <c r="M1846" s="103" t="n"/>
      <c r="N1846" s="104" t="n"/>
      <c r="O1846" s="102" t="n"/>
      <c r="P1846" s="103" t="n"/>
      <c r="Q1846" s="103" t="n"/>
      <c r="R1846" s="104" t="n"/>
      <c r="S1846" s="102" t="n"/>
      <c r="T1846" s="103" t="n"/>
      <c r="U1846" s="103" t="n"/>
      <c r="V1846" s="104" t="n"/>
      <c r="W1846" s="102" t="n"/>
      <c r="X1846" s="104" t="n"/>
      <c r="Y1846" s="102" t="n"/>
      <c r="Z1846" s="104" t="n"/>
      <c r="AB1846" s="105">
        <f>IF($B1846="","",(COUNTIF(C1808:E1825,$B1846)+COUNTIF(C1808:E1825,$B1846&amp;" ~*")&gt;0)+(COUNTIF(G1808:I1825,$B1846)+COUNTIF(G1808:I1825,$B1846&amp;" ~*")&gt;0)+(COUNTIF(K1808:M1825,$B1846)+COUNTIF(K1808:M1825,$B1846&amp;" ~*")&gt;0)+(COUNTIF(O1808:Q1825,$B1846)+COUNTIF(O1808:Q1825,$B1846&amp;" ~*")&gt;0)+(COUNTIF(S1808:U1825,$B1846)+COUNTIF(S1808:U1825,$B1846&amp;" ~*")&gt;0)+(COUNTIF(W1808:W1825,$B1846)+COUNTIF(W1808:W1825,$B1846&amp;" ~*")&gt;0)+(COUNTIF(Y1808:Y1825,$B1846)+COUNTIF(Y1808:Y1825,$B1846&amp;" ~*")&gt;0))</f>
        <v/>
      </c>
      <c r="AC1846" s="38">
        <f>IF($B1846="","",(IFERROR(INDEX(Setup!$G$33:$G$40,MATCH(C1846,Setup!$B$33:$B$40,0)),0)=1)*(COUNTIF(C1808:E1825,$B1846)+COUNTIF(C1808:E1825,$B1846&amp;" ~*")&gt;0)+(IFERROR(INDEX(Setup!$G$33:$G$40,MATCH(G1846,Setup!$B$33:$B$40,0)),0)=1)*(COUNTIF(G1808:I1825,$B1846)+COUNTIF(G1808:I1825,$B1846&amp;" ~*")&gt;0)+(IFERROR(INDEX(Setup!$G$33:$G$40,MATCH(K1846,Setup!$B$33:$B$40,0)),0)=1)*(COUNTIF(K1808:M1825,$B1846)+COUNTIF(K1808:M1825,$B1846&amp;" ~*")&gt;0)+(IFERROR(INDEX(Setup!$G$33:$G$40,MATCH(O1846,Setup!$B$33:$B$40,0)),0)=1)*(COUNTIF(O1808:Q1825,$B1846)+COUNTIF(O1808:Q1825,$B1846&amp;" ~*")&gt;0)+(IFERROR(INDEX(Setup!$G$33:$G$40,MATCH(S1846,Setup!$B$33:$B$40,0)),0)=1)*(COUNTIF(S1808:U1825,$B1846)+COUNTIF(S1808:U1825,$B1846&amp;" ~*")&gt;0)+(IFERROR(INDEX(Setup!$G$33:$G$40,MATCH(W1846,Setup!$B$33:$B$40,0)),0)=1)*(COUNTIF(W1808:W1825,$B1846)+COUNTIF(W1808:W1825,$B1846&amp;" ~*")&gt;0)+(IFERROR(INDEX(Setup!$G$33:$G$40,MATCH(Y1846,Setup!$B$33:$B$40,0)),0)=1)*(COUNTIF(Y1808:Y1825,$B1846)+COUNTIF(Y1808:Y1825,$B1846&amp;" ~*")&gt;0))</f>
        <v/>
      </c>
    </row>
    <row r="1847" ht="15" customHeight="1">
      <c r="A1847" t="n">
        <v>37</v>
      </c>
      <c r="B1847" s="35">
        <f>IF(Setup!$B$26="","",Setup!$B$26)</f>
        <v/>
      </c>
      <c r="C1847" s="98" t="n"/>
      <c r="D1847" s="99" t="n"/>
      <c r="E1847" s="99" t="n"/>
      <c r="F1847" s="100" t="n"/>
      <c r="G1847" s="98" t="n"/>
      <c r="H1847" s="99" t="n"/>
      <c r="I1847" s="99" t="n"/>
      <c r="J1847" s="100" t="n"/>
      <c r="K1847" s="98" t="n"/>
      <c r="L1847" s="99" t="n"/>
      <c r="M1847" s="99" t="n"/>
      <c r="N1847" s="100" t="n"/>
      <c r="O1847" s="98" t="n"/>
      <c r="P1847" s="99" t="n"/>
      <c r="Q1847" s="99" t="n"/>
      <c r="R1847" s="100" t="n"/>
      <c r="S1847" s="98" t="n"/>
      <c r="T1847" s="99" t="n"/>
      <c r="U1847" s="99" t="n"/>
      <c r="V1847" s="100" t="n"/>
      <c r="W1847" s="98" t="n"/>
      <c r="X1847" s="100" t="n"/>
      <c r="Y1847" s="98" t="n"/>
      <c r="Z1847" s="100" t="n"/>
      <c r="AB1847" s="101">
        <f>IF($B1847="","",(COUNTIF(C1808:E1825,$B1847)+COUNTIF(C1808:E1825,$B1847&amp;" ~*")&gt;0)+(COUNTIF(G1808:I1825,$B1847)+COUNTIF(G1808:I1825,$B1847&amp;" ~*")&gt;0)+(COUNTIF(K1808:M1825,$B1847)+COUNTIF(K1808:M1825,$B1847&amp;" ~*")&gt;0)+(COUNTIF(O1808:Q1825,$B1847)+COUNTIF(O1808:Q1825,$B1847&amp;" ~*")&gt;0)+(COUNTIF(S1808:U1825,$B1847)+COUNTIF(S1808:U1825,$B1847&amp;" ~*")&gt;0)+(COUNTIF(W1808:W1825,$B1847)+COUNTIF(W1808:W1825,$B1847&amp;" ~*")&gt;0)+(COUNTIF(Y1808:Y1825,$B1847)+COUNTIF(Y1808:Y1825,$B1847&amp;" ~*")&gt;0))</f>
        <v/>
      </c>
      <c r="AC1847" s="36">
        <f>IF($B1847="","",(IFERROR(INDEX(Setup!$G$33:$G$40,MATCH(C1847,Setup!$B$33:$B$40,0)),0)=1)*(COUNTIF(C1808:E1825,$B1847)+COUNTIF(C1808:E1825,$B1847&amp;" ~*")&gt;0)+(IFERROR(INDEX(Setup!$G$33:$G$40,MATCH(G1847,Setup!$B$33:$B$40,0)),0)=1)*(COUNTIF(G1808:I1825,$B1847)+COUNTIF(G1808:I1825,$B1847&amp;" ~*")&gt;0)+(IFERROR(INDEX(Setup!$G$33:$G$40,MATCH(K1847,Setup!$B$33:$B$40,0)),0)=1)*(COUNTIF(K1808:M1825,$B1847)+COUNTIF(K1808:M1825,$B1847&amp;" ~*")&gt;0)+(IFERROR(INDEX(Setup!$G$33:$G$40,MATCH(O1847,Setup!$B$33:$B$40,0)),0)=1)*(COUNTIF(O1808:Q1825,$B1847)+COUNTIF(O1808:Q1825,$B1847&amp;" ~*")&gt;0)+(IFERROR(INDEX(Setup!$G$33:$G$40,MATCH(S1847,Setup!$B$33:$B$40,0)),0)=1)*(COUNTIF(S1808:U1825,$B1847)+COUNTIF(S1808:U1825,$B1847&amp;" ~*")&gt;0)+(IFERROR(INDEX(Setup!$G$33:$G$40,MATCH(W1847,Setup!$B$33:$B$40,0)),0)=1)*(COUNTIF(W1808:W1825,$B1847)+COUNTIF(W1808:W1825,$B1847&amp;" ~*")&gt;0)+(IFERROR(INDEX(Setup!$G$33:$G$40,MATCH(Y1847,Setup!$B$33:$B$40,0)),0)=1)*(COUNTIF(Y1808:Y1825,$B1847)+COUNTIF(Y1808:Y1825,$B1847&amp;" ~*")&gt;0))</f>
        <v/>
      </c>
    </row>
    <row r="1848" ht="15" customHeight="1">
      <c r="A1848" t="n">
        <v>37</v>
      </c>
      <c r="B1848" s="37">
        <f>IF(Setup!$B$27="","",Setup!$B$27)</f>
        <v/>
      </c>
      <c r="C1848" s="102" t="n"/>
      <c r="D1848" s="103" t="n"/>
      <c r="E1848" s="103" t="n"/>
      <c r="F1848" s="104" t="n"/>
      <c r="G1848" s="102" t="n"/>
      <c r="H1848" s="103" t="n"/>
      <c r="I1848" s="103" t="n"/>
      <c r="J1848" s="104" t="n"/>
      <c r="K1848" s="102" t="n"/>
      <c r="L1848" s="103" t="n"/>
      <c r="M1848" s="103" t="n"/>
      <c r="N1848" s="104" t="n"/>
      <c r="O1848" s="102" t="n"/>
      <c r="P1848" s="103" t="n"/>
      <c r="Q1848" s="103" t="n"/>
      <c r="R1848" s="104" t="n"/>
      <c r="S1848" s="102" t="n"/>
      <c r="T1848" s="103" t="n"/>
      <c r="U1848" s="103" t="n"/>
      <c r="V1848" s="104" t="n"/>
      <c r="W1848" s="102" t="n"/>
      <c r="X1848" s="104" t="n"/>
      <c r="Y1848" s="102" t="n"/>
      <c r="Z1848" s="104" t="n"/>
      <c r="AB1848" s="105">
        <f>IF($B1848="","",(COUNTIF(C1808:E1825,$B1848)+COUNTIF(C1808:E1825,$B1848&amp;" ~*")&gt;0)+(COUNTIF(G1808:I1825,$B1848)+COUNTIF(G1808:I1825,$B1848&amp;" ~*")&gt;0)+(COUNTIF(K1808:M1825,$B1848)+COUNTIF(K1808:M1825,$B1848&amp;" ~*")&gt;0)+(COUNTIF(O1808:Q1825,$B1848)+COUNTIF(O1808:Q1825,$B1848&amp;" ~*")&gt;0)+(COUNTIF(S1808:U1825,$B1848)+COUNTIF(S1808:U1825,$B1848&amp;" ~*")&gt;0)+(COUNTIF(W1808:W1825,$B1848)+COUNTIF(W1808:W1825,$B1848&amp;" ~*")&gt;0)+(COUNTIF(Y1808:Y1825,$B1848)+COUNTIF(Y1808:Y1825,$B1848&amp;" ~*")&gt;0))</f>
        <v/>
      </c>
      <c r="AC1848" s="38">
        <f>IF($B1848="","",(IFERROR(INDEX(Setup!$G$33:$G$40,MATCH(C1848,Setup!$B$33:$B$40,0)),0)=1)*(COUNTIF(C1808:E1825,$B1848)+COUNTIF(C1808:E1825,$B1848&amp;" ~*")&gt;0)+(IFERROR(INDEX(Setup!$G$33:$G$40,MATCH(G1848,Setup!$B$33:$B$40,0)),0)=1)*(COUNTIF(G1808:I1825,$B1848)+COUNTIF(G1808:I1825,$B1848&amp;" ~*")&gt;0)+(IFERROR(INDEX(Setup!$G$33:$G$40,MATCH(K1848,Setup!$B$33:$B$40,0)),0)=1)*(COUNTIF(K1808:M1825,$B1848)+COUNTIF(K1808:M1825,$B1848&amp;" ~*")&gt;0)+(IFERROR(INDEX(Setup!$G$33:$G$40,MATCH(O1848,Setup!$B$33:$B$40,0)),0)=1)*(COUNTIF(O1808:Q1825,$B1848)+COUNTIF(O1808:Q1825,$B1848&amp;" ~*")&gt;0)+(IFERROR(INDEX(Setup!$G$33:$G$40,MATCH(S1848,Setup!$B$33:$B$40,0)),0)=1)*(COUNTIF(S1808:U1825,$B1848)+COUNTIF(S1808:U1825,$B1848&amp;" ~*")&gt;0)+(IFERROR(INDEX(Setup!$G$33:$G$40,MATCH(W1848,Setup!$B$33:$B$40,0)),0)=1)*(COUNTIF(W1808:W1825,$B1848)+COUNTIF(W1808:W1825,$B1848&amp;" ~*")&gt;0)+(IFERROR(INDEX(Setup!$G$33:$G$40,MATCH(Y1848,Setup!$B$33:$B$40,0)),0)=1)*(COUNTIF(Y1808:Y1825,$B1848)+COUNTIF(Y1808:Y1825,$B1848&amp;" ~*")&gt;0))</f>
        <v/>
      </c>
    </row>
    <row r="1849" ht="15" customHeight="1">
      <c r="A1849" t="n">
        <v>37</v>
      </c>
      <c r="B1849" s="35">
        <f>IF(Setup!$B$28="","",Setup!$B$28)</f>
        <v/>
      </c>
      <c r="C1849" s="98" t="n"/>
      <c r="D1849" s="99" t="n"/>
      <c r="E1849" s="99" t="n"/>
      <c r="F1849" s="100" t="n"/>
      <c r="G1849" s="98" t="n"/>
      <c r="H1849" s="99" t="n"/>
      <c r="I1849" s="99" t="n"/>
      <c r="J1849" s="100" t="n"/>
      <c r="K1849" s="98" t="n"/>
      <c r="L1849" s="99" t="n"/>
      <c r="M1849" s="99" t="n"/>
      <c r="N1849" s="100" t="n"/>
      <c r="O1849" s="98" t="n"/>
      <c r="P1849" s="99" t="n"/>
      <c r="Q1849" s="99" t="n"/>
      <c r="R1849" s="100" t="n"/>
      <c r="S1849" s="98" t="n"/>
      <c r="T1849" s="99" t="n"/>
      <c r="U1849" s="99" t="n"/>
      <c r="V1849" s="100" t="n"/>
      <c r="W1849" s="98" t="n"/>
      <c r="X1849" s="100" t="n"/>
      <c r="Y1849" s="98" t="n"/>
      <c r="Z1849" s="100" t="n"/>
      <c r="AB1849" s="101">
        <f>IF($B1849="","",(COUNTIF(C1808:E1825,$B1849)+COUNTIF(C1808:E1825,$B1849&amp;" ~*")&gt;0)+(COUNTIF(G1808:I1825,$B1849)+COUNTIF(G1808:I1825,$B1849&amp;" ~*")&gt;0)+(COUNTIF(K1808:M1825,$B1849)+COUNTIF(K1808:M1825,$B1849&amp;" ~*")&gt;0)+(COUNTIF(O1808:Q1825,$B1849)+COUNTIF(O1808:Q1825,$B1849&amp;" ~*")&gt;0)+(COUNTIF(S1808:U1825,$B1849)+COUNTIF(S1808:U1825,$B1849&amp;" ~*")&gt;0)+(COUNTIF(W1808:W1825,$B1849)+COUNTIF(W1808:W1825,$B1849&amp;" ~*")&gt;0)+(COUNTIF(Y1808:Y1825,$B1849)+COUNTIF(Y1808:Y1825,$B1849&amp;" ~*")&gt;0))</f>
        <v/>
      </c>
      <c r="AC1849" s="36">
        <f>IF($B1849="","",(IFERROR(INDEX(Setup!$G$33:$G$40,MATCH(C1849,Setup!$B$33:$B$40,0)),0)=1)*(COUNTIF(C1808:E1825,$B1849)+COUNTIF(C1808:E1825,$B1849&amp;" ~*")&gt;0)+(IFERROR(INDEX(Setup!$G$33:$G$40,MATCH(G1849,Setup!$B$33:$B$40,0)),0)=1)*(COUNTIF(G1808:I1825,$B1849)+COUNTIF(G1808:I1825,$B1849&amp;" ~*")&gt;0)+(IFERROR(INDEX(Setup!$G$33:$G$40,MATCH(K1849,Setup!$B$33:$B$40,0)),0)=1)*(COUNTIF(K1808:M1825,$B1849)+COUNTIF(K1808:M1825,$B1849&amp;" ~*")&gt;0)+(IFERROR(INDEX(Setup!$G$33:$G$40,MATCH(O1849,Setup!$B$33:$B$40,0)),0)=1)*(COUNTIF(O1808:Q1825,$B1849)+COUNTIF(O1808:Q1825,$B1849&amp;" ~*")&gt;0)+(IFERROR(INDEX(Setup!$G$33:$G$40,MATCH(S1849,Setup!$B$33:$B$40,0)),0)=1)*(COUNTIF(S1808:U1825,$B1849)+COUNTIF(S1808:U1825,$B1849&amp;" ~*")&gt;0)+(IFERROR(INDEX(Setup!$G$33:$G$40,MATCH(W1849,Setup!$B$33:$B$40,0)),0)=1)*(COUNTIF(W1808:W1825,$B1849)+COUNTIF(W1808:W1825,$B1849&amp;" ~*")&gt;0)+(IFERROR(INDEX(Setup!$G$33:$G$40,MATCH(Y1849,Setup!$B$33:$B$40,0)),0)=1)*(COUNTIF(Y1808:Y1825,$B1849)+COUNTIF(Y1808:Y1825,$B1849&amp;" ~*")&gt;0))</f>
        <v/>
      </c>
    </row>
    <row r="1850" ht="15" customHeight="1">
      <c r="A1850" t="n">
        <v>37</v>
      </c>
      <c r="B1850" s="37">
        <f>IF(Setup!$B$29="","",Setup!$B$29)</f>
        <v/>
      </c>
      <c r="C1850" s="102" t="n"/>
      <c r="D1850" s="103" t="n"/>
      <c r="E1850" s="103" t="n"/>
      <c r="F1850" s="104" t="n"/>
      <c r="G1850" s="102" t="n"/>
      <c r="H1850" s="103" t="n"/>
      <c r="I1850" s="103" t="n"/>
      <c r="J1850" s="104" t="n"/>
      <c r="K1850" s="102" t="n"/>
      <c r="L1850" s="103" t="n"/>
      <c r="M1850" s="103" t="n"/>
      <c r="N1850" s="104" t="n"/>
      <c r="O1850" s="102" t="n"/>
      <c r="P1850" s="103" t="n"/>
      <c r="Q1850" s="103" t="n"/>
      <c r="R1850" s="104" t="n"/>
      <c r="S1850" s="102" t="n"/>
      <c r="T1850" s="103" t="n"/>
      <c r="U1850" s="103" t="n"/>
      <c r="V1850" s="104" t="n"/>
      <c r="W1850" s="102" t="n"/>
      <c r="X1850" s="104" t="n"/>
      <c r="Y1850" s="102" t="n"/>
      <c r="Z1850" s="104" t="n"/>
      <c r="AB1850" s="105">
        <f>IF($B1850="","",(COUNTIF(C1808:E1825,$B1850)+COUNTIF(C1808:E1825,$B1850&amp;" ~*")&gt;0)+(COUNTIF(G1808:I1825,$B1850)+COUNTIF(G1808:I1825,$B1850&amp;" ~*")&gt;0)+(COUNTIF(K1808:M1825,$B1850)+COUNTIF(K1808:M1825,$B1850&amp;" ~*")&gt;0)+(COUNTIF(O1808:Q1825,$B1850)+COUNTIF(O1808:Q1825,$B1850&amp;" ~*")&gt;0)+(COUNTIF(S1808:U1825,$B1850)+COUNTIF(S1808:U1825,$B1850&amp;" ~*")&gt;0)+(COUNTIF(W1808:W1825,$B1850)+COUNTIF(W1808:W1825,$B1850&amp;" ~*")&gt;0)+(COUNTIF(Y1808:Y1825,$B1850)+COUNTIF(Y1808:Y1825,$B1850&amp;" ~*")&gt;0))</f>
        <v/>
      </c>
      <c r="AC1850" s="38">
        <f>IF($B1850="","",(IFERROR(INDEX(Setup!$G$33:$G$40,MATCH(C1850,Setup!$B$33:$B$40,0)),0)=1)*(COUNTIF(C1808:E1825,$B1850)+COUNTIF(C1808:E1825,$B1850&amp;" ~*")&gt;0)+(IFERROR(INDEX(Setup!$G$33:$G$40,MATCH(G1850,Setup!$B$33:$B$40,0)),0)=1)*(COUNTIF(G1808:I1825,$B1850)+COUNTIF(G1808:I1825,$B1850&amp;" ~*")&gt;0)+(IFERROR(INDEX(Setup!$G$33:$G$40,MATCH(K1850,Setup!$B$33:$B$40,0)),0)=1)*(COUNTIF(K1808:M1825,$B1850)+COUNTIF(K1808:M1825,$B1850&amp;" ~*")&gt;0)+(IFERROR(INDEX(Setup!$G$33:$G$40,MATCH(O1850,Setup!$B$33:$B$40,0)),0)=1)*(COUNTIF(O1808:Q1825,$B1850)+COUNTIF(O1808:Q1825,$B1850&amp;" ~*")&gt;0)+(IFERROR(INDEX(Setup!$G$33:$G$40,MATCH(S1850,Setup!$B$33:$B$40,0)),0)=1)*(COUNTIF(S1808:U1825,$B1850)+COUNTIF(S1808:U1825,$B1850&amp;" ~*")&gt;0)+(IFERROR(INDEX(Setup!$G$33:$G$40,MATCH(W1850,Setup!$B$33:$B$40,0)),0)=1)*(COUNTIF(W1808:W1825,$B1850)+COUNTIF(W1808:W1825,$B1850&amp;" ~*")&gt;0)+(IFERROR(INDEX(Setup!$G$33:$G$40,MATCH(Y1850,Setup!$B$33:$B$40,0)),0)=1)*(COUNTIF(Y1808:Y1825,$B1850)+COUNTIF(Y1808:Y1825,$B1850&amp;" ~*")&gt;0))</f>
        <v/>
      </c>
    </row>
    <row r="1851" ht="16" customHeight="1">
      <c r="A1851" t="n">
        <v>37</v>
      </c>
      <c r="B1851" s="106" t="inlineStr">
        <is>
          <t>Available people</t>
        </is>
      </c>
      <c r="C1851" s="107">
        <f>COUNTIFS(Setup!$E$6:$E$29,"Y",Setup!$B$6:$B$29,"?*")-SUMPRODUCT(COUNTIF(C1827:C1850,Setup!$F$33:$F$40))</f>
        <v/>
      </c>
      <c r="D1851" s="107" t="n"/>
      <c r="E1851" s="107" t="n"/>
      <c r="F1851" s="107" t="n"/>
      <c r="G1851" s="107">
        <f>COUNTIFS(Setup!$E$6:$E$29,"Y",Setup!$B$6:$B$29,"?*")-SUMPRODUCT(COUNTIF(G1827:G1850,Setup!$F$33:$F$40))</f>
        <v/>
      </c>
      <c r="H1851" s="107" t="n"/>
      <c r="I1851" s="107" t="n"/>
      <c r="J1851" s="107" t="n"/>
      <c r="K1851" s="107">
        <f>COUNTIFS(Setup!$E$6:$E$29,"Y",Setup!$B$6:$B$29,"?*")-SUMPRODUCT(COUNTIF(K1827:K1850,Setup!$F$33:$F$40))</f>
        <v/>
      </c>
      <c r="L1851" s="107" t="n"/>
      <c r="M1851" s="107" t="n"/>
      <c r="N1851" s="107" t="n"/>
      <c r="O1851" s="107">
        <f>COUNTIFS(Setup!$E$6:$E$29,"Y",Setup!$B$6:$B$29,"?*")-SUMPRODUCT(COUNTIF(O1827:O1850,Setup!$F$33:$F$40))</f>
        <v/>
      </c>
      <c r="P1851" s="107" t="n"/>
      <c r="Q1851" s="107" t="n"/>
      <c r="R1851" s="107" t="n"/>
      <c r="S1851" s="107">
        <f>COUNTIFS(Setup!$E$6:$E$29,"Y",Setup!$B$6:$B$29,"?*")-SUMPRODUCT(COUNTIF(S1827:S1850,Setup!$F$33:$F$40))</f>
        <v/>
      </c>
      <c r="T1851" s="107" t="n"/>
      <c r="U1851" s="107" t="n"/>
      <c r="V1851" s="107" t="n"/>
      <c r="W1851" s="107">
        <f>COUNTIFS(Setup!$E$6:$E$29,"Y",Setup!$B$6:$B$29,"?*")-SUMPRODUCT(COUNTIF(W1827:W1850,Setup!$F$33:$F$40))</f>
        <v/>
      </c>
      <c r="X1851" s="107" t="n"/>
      <c r="Y1851" s="107">
        <f>COUNTIFS(Setup!$E$6:$E$29,"Y",Setup!$B$6:$B$29,"?*")-SUMPRODUCT(COUNTIF(Y1827:Y1850,Setup!$F$33:$F$40))</f>
        <v/>
      </c>
      <c r="Z1851" s="107" t="n"/>
      <c r="AB1851" s="108">
        <f>SUM(AB1827:AB1850)</f>
        <v/>
      </c>
      <c r="AC1851" s="109">
        <f>SUM(AC1827:AC1850)</f>
        <v/>
      </c>
    </row>
    <row r="1852" ht="30" customHeight="1">
      <c r="A1852" t="n">
        <v>37</v>
      </c>
      <c r="B1852" s="110" t="inlineStr">
        <is>
          <t>Week notes</t>
        </is>
      </c>
      <c r="C1852" s="111" t="n"/>
      <c r="D1852" s="112" t="n"/>
      <c r="E1852" s="112" t="n"/>
      <c r="F1852" s="112" t="n"/>
      <c r="G1852" s="112" t="n"/>
      <c r="H1852" s="112" t="n"/>
      <c r="I1852" s="112" t="n"/>
      <c r="J1852" s="112" t="n"/>
      <c r="K1852" s="112" t="n"/>
      <c r="L1852" s="112" t="n"/>
      <c r="M1852" s="112" t="n"/>
      <c r="N1852" s="112" t="n"/>
      <c r="O1852" s="112" t="n"/>
      <c r="P1852" s="112" t="n"/>
      <c r="Q1852" s="112" t="n"/>
      <c r="R1852" s="112" t="n"/>
      <c r="S1852" s="112" t="n"/>
      <c r="T1852" s="112" t="n"/>
      <c r="U1852" s="112" t="n"/>
      <c r="V1852" s="112" t="n"/>
      <c r="W1852" s="112" t="n"/>
      <c r="X1852" s="112" t="n"/>
      <c r="Y1852" s="112" t="n"/>
      <c r="Z1852" s="113" t="n"/>
    </row>
    <row r="1853" ht="8" customHeight="1">
      <c r="A1853" t="n">
        <v>37</v>
      </c>
    </row>
    <row r="1854" ht="8" customHeight="1">
      <c r="A1854" t="n">
        <v>37</v>
      </c>
    </row>
    <row r="1855" ht="24" customHeight="1">
      <c r="A1855" t="n">
        <v>38</v>
      </c>
      <c r="B1855" s="73">
        <f>"WEEK 38     "&amp;TEXT(C1856,"ddd d mmm")&amp;"  –  "&amp;TEXT(C1856+6,"ddd d mmm yyyy")</f>
        <v/>
      </c>
      <c r="S1855" s="74">
        <f>IF(TODAY()&lt;C1856,"FUTURE",IF(TODAY()&gt;C1856+6,"PAST","THIS WEEK"))</f>
        <v/>
      </c>
      <c r="W1855" s="75">
        <f>IF(AND(Engine!$B$8=$AC$3,Engine!$B$9=$A1855),"◀ ACTIVE WEEK","")</f>
        <v/>
      </c>
      <c r="AA1855" s="76" t="n"/>
      <c r="AB1855" s="77" t="inlineStr">
        <is>
          <t>◀ Prev</t>
        </is>
      </c>
      <c r="AC1855" s="77" t="inlineStr">
        <is>
          <t>Next ▶</t>
        </is>
      </c>
    </row>
    <row r="1856" ht="18" customHeight="1">
      <c r="A1856" t="n">
        <v>38</v>
      </c>
      <c r="B1856" s="78" t="inlineStr">
        <is>
          <t>DUTY</t>
        </is>
      </c>
      <c r="C1856" s="79">
        <f>$AC$2+7*($A1856-1)</f>
        <v/>
      </c>
      <c r="D1856" s="80" t="n"/>
      <c r="E1856" s="80" t="n"/>
      <c r="F1856" s="81" t="n"/>
      <c r="G1856" s="79">
        <f>C1856+1</f>
        <v/>
      </c>
      <c r="H1856" s="80" t="n"/>
      <c r="I1856" s="80" t="n"/>
      <c r="J1856" s="81" t="n"/>
      <c r="K1856" s="79">
        <f>C1856+2</f>
        <v/>
      </c>
      <c r="L1856" s="80" t="n"/>
      <c r="M1856" s="80" t="n"/>
      <c r="N1856" s="81" t="n"/>
      <c r="O1856" s="79">
        <f>C1856+3</f>
        <v/>
      </c>
      <c r="P1856" s="80" t="n"/>
      <c r="Q1856" s="80" t="n"/>
      <c r="R1856" s="81" t="n"/>
      <c r="S1856" s="79">
        <f>C1856+4</f>
        <v/>
      </c>
      <c r="T1856" s="80" t="n"/>
      <c r="U1856" s="80" t="n"/>
      <c r="V1856" s="81" t="n"/>
      <c r="W1856" s="82">
        <f>C1856+5</f>
        <v/>
      </c>
      <c r="X1856" s="83" t="n"/>
      <c r="Y1856" s="82">
        <f>C1856+6</f>
        <v/>
      </c>
      <c r="Z1856" s="83" t="n"/>
      <c r="AB1856" s="72" t="inlineStr">
        <is>
          <t>Gaps</t>
        </is>
      </c>
      <c r="AC1856" s="72" t="inlineStr">
        <is>
          <t>Cover</t>
        </is>
      </c>
    </row>
    <row r="1857" ht="14" customHeight="1">
      <c r="A1857" t="n">
        <v>38</v>
      </c>
      <c r="B1857" s="84" t="inlineStr">
        <is>
          <t>(from Setup)</t>
        </is>
      </c>
      <c r="C1857" s="85" t="inlineStr">
        <is>
          <t>1</t>
        </is>
      </c>
      <c r="D1857" s="85" t="inlineStr">
        <is>
          <t>2</t>
        </is>
      </c>
      <c r="E1857" s="85" t="inlineStr">
        <is>
          <t>3</t>
        </is>
      </c>
      <c r="F1857" s="85" t="inlineStr">
        <is>
          <t>Notes</t>
        </is>
      </c>
      <c r="G1857" s="85" t="inlineStr">
        <is>
          <t>1</t>
        </is>
      </c>
      <c r="H1857" s="85" t="inlineStr">
        <is>
          <t>2</t>
        </is>
      </c>
      <c r="I1857" s="85" t="inlineStr">
        <is>
          <t>3</t>
        </is>
      </c>
      <c r="J1857" s="85" t="inlineStr">
        <is>
          <t>Notes</t>
        </is>
      </c>
      <c r="K1857" s="85" t="inlineStr">
        <is>
          <t>1</t>
        </is>
      </c>
      <c r="L1857" s="85" t="inlineStr">
        <is>
          <t>2</t>
        </is>
      </c>
      <c r="M1857" s="85" t="inlineStr">
        <is>
          <t>3</t>
        </is>
      </c>
      <c r="N1857" s="85" t="inlineStr">
        <is>
          <t>Notes</t>
        </is>
      </c>
      <c r="O1857" s="85" t="inlineStr">
        <is>
          <t>1</t>
        </is>
      </c>
      <c r="P1857" s="85" t="inlineStr">
        <is>
          <t>2</t>
        </is>
      </c>
      <c r="Q1857" s="85" t="inlineStr">
        <is>
          <t>3</t>
        </is>
      </c>
      <c r="R1857" s="85" t="inlineStr">
        <is>
          <t>Notes</t>
        </is>
      </c>
      <c r="S1857" s="85" t="inlineStr">
        <is>
          <t>1</t>
        </is>
      </c>
      <c r="T1857" s="85" t="inlineStr">
        <is>
          <t>2</t>
        </is>
      </c>
      <c r="U1857" s="85" t="inlineStr">
        <is>
          <t>3</t>
        </is>
      </c>
      <c r="V1857" s="85" t="inlineStr">
        <is>
          <t>Notes</t>
        </is>
      </c>
      <c r="W1857" s="85" t="inlineStr">
        <is>
          <t>Cover</t>
        </is>
      </c>
      <c r="X1857" s="85" t="inlineStr">
        <is>
          <t>Notes</t>
        </is>
      </c>
      <c r="Y1857" s="85" t="inlineStr">
        <is>
          <t>Cover</t>
        </is>
      </c>
      <c r="Z1857" s="85" t="inlineStr">
        <is>
          <t>Notes</t>
        </is>
      </c>
      <c r="AB1857" s="86" t="inlineStr">
        <is>
          <t>weekdays short</t>
        </is>
      </c>
      <c r="AC1857" s="87" t="inlineStr"/>
    </row>
    <row r="1858" ht="17" customHeight="1">
      <c r="A1858" t="n">
        <v>38</v>
      </c>
      <c r="B1858" s="24">
        <f>IF(Setup!$K$6="","",Setup!$K$6)</f>
        <v/>
      </c>
      <c r="C1858" s="88" t="n"/>
      <c r="D1858" s="88" t="n"/>
      <c r="E1858" s="88" t="n"/>
      <c r="F1858" s="89" t="n"/>
      <c r="G1858" s="88" t="n"/>
      <c r="H1858" s="88" t="n"/>
      <c r="I1858" s="88" t="n"/>
      <c r="J1858" s="89" t="n"/>
      <c r="K1858" s="88" t="n"/>
      <c r="L1858" s="88" t="n"/>
      <c r="M1858" s="88" t="n"/>
      <c r="N1858" s="89" t="n"/>
      <c r="O1858" s="88" t="n"/>
      <c r="P1858" s="88" t="n"/>
      <c r="Q1858" s="88" t="n"/>
      <c r="R1858" s="89" t="n"/>
      <c r="S1858" s="88" t="n"/>
      <c r="T1858" s="88" t="n"/>
      <c r="U1858" s="88" t="n"/>
      <c r="V1858" s="89" t="n"/>
      <c r="W1858" s="88" t="n"/>
      <c r="X1858" s="89" t="n"/>
      <c r="Y1858" s="88" t="n"/>
      <c r="Z1858" s="89" t="n"/>
      <c r="AB1858" s="25">
        <f>IF($B1858="","",(COUNTIF(C1858:E1858,"?*")&lt;N(INDEX(Setup!$L$6:$L$23,1)))+(COUNTIF(G1858:I1858,"?*")&lt;N(INDEX(Setup!$L$6:$L$23,1)))+(COUNTIF(K1858:M1858,"?*")&lt;N(INDEX(Setup!$L$6:$L$23,1)))+(COUNTIF(O1858:Q1858,"?*")&lt;N(INDEX(Setup!$L$6:$L$23,1)))+(COUNTIF(S1858:U1858,"?*")&lt;N(INDEX(Setup!$L$6:$L$23,1)))+((W1858="")*(INDEX(Setup!$M$6:$M$23,1)="Y"))+((Y1858="")*(INDEX(Setup!$M$6:$M$23,1)="Y")))</f>
        <v/>
      </c>
      <c r="AC1858" s="90">
        <f>IF($B1858="","",IF(AB1858=0,"✓ covered","⚠ "&amp;AB1858&amp;IF(AB1858=1," gap"," gaps")))</f>
        <v/>
      </c>
    </row>
    <row r="1859" ht="17" customHeight="1">
      <c r="A1859" t="n">
        <v>38</v>
      </c>
      <c r="B1859" s="29">
        <f>IF(Setup!$K$7="","",Setup!$K$7)</f>
        <v/>
      </c>
      <c r="C1859" s="88" t="n"/>
      <c r="D1859" s="88" t="n"/>
      <c r="E1859" s="88" t="n"/>
      <c r="F1859" s="89" t="n"/>
      <c r="G1859" s="88" t="n"/>
      <c r="H1859" s="88" t="n"/>
      <c r="I1859" s="88" t="n"/>
      <c r="J1859" s="89" t="n"/>
      <c r="K1859" s="88" t="n"/>
      <c r="L1859" s="88" t="n"/>
      <c r="M1859" s="88" t="n"/>
      <c r="N1859" s="89" t="n"/>
      <c r="O1859" s="88" t="n"/>
      <c r="P1859" s="88" t="n"/>
      <c r="Q1859" s="88" t="n"/>
      <c r="R1859" s="89" t="n"/>
      <c r="S1859" s="88" t="n"/>
      <c r="T1859" s="88" t="n"/>
      <c r="U1859" s="88" t="n"/>
      <c r="V1859" s="89" t="n"/>
      <c r="W1859" s="88" t="n"/>
      <c r="X1859" s="89" t="n"/>
      <c r="Y1859" s="88" t="n"/>
      <c r="Z1859" s="89" t="n"/>
      <c r="AB1859" s="30">
        <f>IF($B1859="","",(COUNTIF(C1859:E1859,"?*")&lt;N(INDEX(Setup!$L$6:$L$23,2)))+(COUNTIF(G1859:I1859,"?*")&lt;N(INDEX(Setup!$L$6:$L$23,2)))+(COUNTIF(K1859:M1859,"?*")&lt;N(INDEX(Setup!$L$6:$L$23,2)))+(COUNTIF(O1859:Q1859,"?*")&lt;N(INDEX(Setup!$L$6:$L$23,2)))+(COUNTIF(S1859:U1859,"?*")&lt;N(INDEX(Setup!$L$6:$L$23,2)))+((W1859="")*(INDEX(Setup!$M$6:$M$23,2)="Y"))+((Y1859="")*(INDEX(Setup!$M$6:$M$23,2)="Y")))</f>
        <v/>
      </c>
      <c r="AC1859" s="91">
        <f>IF($B1859="","",IF(AB1859=0,"✓ covered","⚠ "&amp;AB1859&amp;IF(AB1859=1," gap"," gaps")))</f>
        <v/>
      </c>
    </row>
    <row r="1860" ht="17" customHeight="1">
      <c r="A1860" t="n">
        <v>38</v>
      </c>
      <c r="B1860" s="24">
        <f>IF(Setup!$K$8="","",Setup!$K$8)</f>
        <v/>
      </c>
      <c r="C1860" s="88" t="n"/>
      <c r="D1860" s="88" t="n"/>
      <c r="E1860" s="88" t="n"/>
      <c r="F1860" s="89" t="n"/>
      <c r="G1860" s="88" t="n"/>
      <c r="H1860" s="88" t="n"/>
      <c r="I1860" s="88" t="n"/>
      <c r="J1860" s="89" t="n"/>
      <c r="K1860" s="88" t="n"/>
      <c r="L1860" s="88" t="n"/>
      <c r="M1860" s="88" t="n"/>
      <c r="N1860" s="89" t="n"/>
      <c r="O1860" s="88" t="n"/>
      <c r="P1860" s="88" t="n"/>
      <c r="Q1860" s="88" t="n"/>
      <c r="R1860" s="89" t="n"/>
      <c r="S1860" s="88" t="n"/>
      <c r="T1860" s="88" t="n"/>
      <c r="U1860" s="88" t="n"/>
      <c r="V1860" s="89" t="n"/>
      <c r="W1860" s="88" t="n"/>
      <c r="X1860" s="89" t="n"/>
      <c r="Y1860" s="88" t="n"/>
      <c r="Z1860" s="89" t="n"/>
      <c r="AB1860" s="25">
        <f>IF($B1860="","",(COUNTIF(C1860:E1860,"?*")&lt;N(INDEX(Setup!$L$6:$L$23,3)))+(COUNTIF(G1860:I1860,"?*")&lt;N(INDEX(Setup!$L$6:$L$23,3)))+(COUNTIF(K1860:M1860,"?*")&lt;N(INDEX(Setup!$L$6:$L$23,3)))+(COUNTIF(O1860:Q1860,"?*")&lt;N(INDEX(Setup!$L$6:$L$23,3)))+(COUNTIF(S1860:U1860,"?*")&lt;N(INDEX(Setup!$L$6:$L$23,3)))+((W1860="")*(INDEX(Setup!$M$6:$M$23,3)="Y"))+((Y1860="")*(INDEX(Setup!$M$6:$M$23,3)="Y")))</f>
        <v/>
      </c>
      <c r="AC1860" s="90">
        <f>IF($B1860="","",IF(AB1860=0,"✓ covered","⚠ "&amp;AB1860&amp;IF(AB1860=1," gap"," gaps")))</f>
        <v/>
      </c>
    </row>
    <row r="1861" ht="17" customHeight="1">
      <c r="A1861" t="n">
        <v>38</v>
      </c>
      <c r="B1861" s="29">
        <f>IF(Setup!$K$9="","",Setup!$K$9)</f>
        <v/>
      </c>
      <c r="C1861" s="88" t="n"/>
      <c r="D1861" s="88" t="n"/>
      <c r="E1861" s="88" t="n"/>
      <c r="F1861" s="89" t="n"/>
      <c r="G1861" s="88" t="n"/>
      <c r="H1861" s="88" t="n"/>
      <c r="I1861" s="88" t="n"/>
      <c r="J1861" s="89" t="n"/>
      <c r="K1861" s="88" t="n"/>
      <c r="L1861" s="88" t="n"/>
      <c r="M1861" s="88" t="n"/>
      <c r="N1861" s="89" t="n"/>
      <c r="O1861" s="88" t="n"/>
      <c r="P1861" s="88" t="n"/>
      <c r="Q1861" s="88" t="n"/>
      <c r="R1861" s="89" t="n"/>
      <c r="S1861" s="88" t="n"/>
      <c r="T1861" s="88" t="n"/>
      <c r="U1861" s="88" t="n"/>
      <c r="V1861" s="89" t="n"/>
      <c r="W1861" s="88" t="n"/>
      <c r="X1861" s="89" t="n"/>
      <c r="Y1861" s="88" t="n"/>
      <c r="Z1861" s="89" t="n"/>
      <c r="AB1861" s="30">
        <f>IF($B1861="","",(COUNTIF(C1861:E1861,"?*")&lt;N(INDEX(Setup!$L$6:$L$23,4)))+(COUNTIF(G1861:I1861,"?*")&lt;N(INDEX(Setup!$L$6:$L$23,4)))+(COUNTIF(K1861:M1861,"?*")&lt;N(INDEX(Setup!$L$6:$L$23,4)))+(COUNTIF(O1861:Q1861,"?*")&lt;N(INDEX(Setup!$L$6:$L$23,4)))+(COUNTIF(S1861:U1861,"?*")&lt;N(INDEX(Setup!$L$6:$L$23,4)))+((W1861="")*(INDEX(Setup!$M$6:$M$23,4)="Y"))+((Y1861="")*(INDEX(Setup!$M$6:$M$23,4)="Y")))</f>
        <v/>
      </c>
      <c r="AC1861" s="91">
        <f>IF($B1861="","",IF(AB1861=0,"✓ covered","⚠ "&amp;AB1861&amp;IF(AB1861=1," gap"," gaps")))</f>
        <v/>
      </c>
    </row>
    <row r="1862" ht="17" customHeight="1">
      <c r="A1862" t="n">
        <v>38</v>
      </c>
      <c r="B1862" s="24">
        <f>IF(Setup!$K$10="","",Setup!$K$10)</f>
        <v/>
      </c>
      <c r="C1862" s="88" t="n"/>
      <c r="D1862" s="88" t="n"/>
      <c r="E1862" s="88" t="n"/>
      <c r="F1862" s="89" t="n"/>
      <c r="G1862" s="88" t="n"/>
      <c r="H1862" s="88" t="n"/>
      <c r="I1862" s="88" t="n"/>
      <c r="J1862" s="89" t="n"/>
      <c r="K1862" s="88" t="n"/>
      <c r="L1862" s="88" t="n"/>
      <c r="M1862" s="88" t="n"/>
      <c r="N1862" s="89" t="n"/>
      <c r="O1862" s="88" t="n"/>
      <c r="P1862" s="88" t="n"/>
      <c r="Q1862" s="88" t="n"/>
      <c r="R1862" s="89" t="n"/>
      <c r="S1862" s="88" t="n"/>
      <c r="T1862" s="88" t="n"/>
      <c r="U1862" s="88" t="n"/>
      <c r="V1862" s="89" t="n"/>
      <c r="W1862" s="88" t="n"/>
      <c r="X1862" s="89" t="n"/>
      <c r="Y1862" s="88" t="n"/>
      <c r="Z1862" s="89" t="n"/>
      <c r="AB1862" s="25">
        <f>IF($B1862="","",(COUNTIF(C1862:E1862,"?*")&lt;N(INDEX(Setup!$L$6:$L$23,5)))+(COUNTIF(G1862:I1862,"?*")&lt;N(INDEX(Setup!$L$6:$L$23,5)))+(COUNTIF(K1862:M1862,"?*")&lt;N(INDEX(Setup!$L$6:$L$23,5)))+(COUNTIF(O1862:Q1862,"?*")&lt;N(INDEX(Setup!$L$6:$L$23,5)))+(COUNTIF(S1862:U1862,"?*")&lt;N(INDEX(Setup!$L$6:$L$23,5)))+((W1862="")*(INDEX(Setup!$M$6:$M$23,5)="Y"))+((Y1862="")*(INDEX(Setup!$M$6:$M$23,5)="Y")))</f>
        <v/>
      </c>
      <c r="AC1862" s="90">
        <f>IF($B1862="","",IF(AB1862=0,"✓ covered","⚠ "&amp;AB1862&amp;IF(AB1862=1," gap"," gaps")))</f>
        <v/>
      </c>
    </row>
    <row r="1863" ht="17" customHeight="1">
      <c r="A1863" t="n">
        <v>38</v>
      </c>
      <c r="B1863" s="29">
        <f>IF(Setup!$K$11="","",Setup!$K$11)</f>
        <v/>
      </c>
      <c r="C1863" s="88" t="n"/>
      <c r="D1863" s="88" t="n"/>
      <c r="E1863" s="88" t="n"/>
      <c r="F1863" s="89" t="n"/>
      <c r="G1863" s="88" t="n"/>
      <c r="H1863" s="88" t="n"/>
      <c r="I1863" s="88" t="n"/>
      <c r="J1863" s="89" t="n"/>
      <c r="K1863" s="88" t="n"/>
      <c r="L1863" s="88" t="n"/>
      <c r="M1863" s="88" t="n"/>
      <c r="N1863" s="89" t="n"/>
      <c r="O1863" s="88" t="n"/>
      <c r="P1863" s="88" t="n"/>
      <c r="Q1863" s="88" t="n"/>
      <c r="R1863" s="89" t="n"/>
      <c r="S1863" s="88" t="n"/>
      <c r="T1863" s="88" t="n"/>
      <c r="U1863" s="88" t="n"/>
      <c r="V1863" s="89" t="n"/>
      <c r="W1863" s="88" t="n"/>
      <c r="X1863" s="89" t="n"/>
      <c r="Y1863" s="88" t="n"/>
      <c r="Z1863" s="89" t="n"/>
      <c r="AB1863" s="30">
        <f>IF($B1863="","",(COUNTIF(C1863:E1863,"?*")&lt;N(INDEX(Setup!$L$6:$L$23,6)))+(COUNTIF(G1863:I1863,"?*")&lt;N(INDEX(Setup!$L$6:$L$23,6)))+(COUNTIF(K1863:M1863,"?*")&lt;N(INDEX(Setup!$L$6:$L$23,6)))+(COUNTIF(O1863:Q1863,"?*")&lt;N(INDEX(Setup!$L$6:$L$23,6)))+(COUNTIF(S1863:U1863,"?*")&lt;N(INDEX(Setup!$L$6:$L$23,6)))+((W1863="")*(INDEX(Setup!$M$6:$M$23,6)="Y"))+((Y1863="")*(INDEX(Setup!$M$6:$M$23,6)="Y")))</f>
        <v/>
      </c>
      <c r="AC1863" s="91">
        <f>IF($B1863="","",IF(AB1863=0,"✓ covered","⚠ "&amp;AB1863&amp;IF(AB1863=1," gap"," gaps")))</f>
        <v/>
      </c>
    </row>
    <row r="1864" ht="17" customHeight="1">
      <c r="A1864" t="n">
        <v>38</v>
      </c>
      <c r="B1864" s="24">
        <f>IF(Setup!$K$12="","",Setup!$K$12)</f>
        <v/>
      </c>
      <c r="C1864" s="88" t="n"/>
      <c r="D1864" s="88" t="n"/>
      <c r="E1864" s="88" t="n"/>
      <c r="F1864" s="89" t="n"/>
      <c r="G1864" s="88" t="n"/>
      <c r="H1864" s="88" t="n"/>
      <c r="I1864" s="88" t="n"/>
      <c r="J1864" s="89" t="n"/>
      <c r="K1864" s="88" t="n"/>
      <c r="L1864" s="88" t="n"/>
      <c r="M1864" s="88" t="n"/>
      <c r="N1864" s="89" t="n"/>
      <c r="O1864" s="88" t="n"/>
      <c r="P1864" s="88" t="n"/>
      <c r="Q1864" s="88" t="n"/>
      <c r="R1864" s="89" t="n"/>
      <c r="S1864" s="88" t="n"/>
      <c r="T1864" s="88" t="n"/>
      <c r="U1864" s="88" t="n"/>
      <c r="V1864" s="89" t="n"/>
      <c r="W1864" s="88" t="n"/>
      <c r="X1864" s="89" t="n"/>
      <c r="Y1864" s="88" t="n"/>
      <c r="Z1864" s="89" t="n"/>
      <c r="AB1864" s="25">
        <f>IF($B1864="","",(COUNTIF(C1864:E1864,"?*")&lt;N(INDEX(Setup!$L$6:$L$23,7)))+(COUNTIF(G1864:I1864,"?*")&lt;N(INDEX(Setup!$L$6:$L$23,7)))+(COUNTIF(K1864:M1864,"?*")&lt;N(INDEX(Setup!$L$6:$L$23,7)))+(COUNTIF(O1864:Q1864,"?*")&lt;N(INDEX(Setup!$L$6:$L$23,7)))+(COUNTIF(S1864:U1864,"?*")&lt;N(INDEX(Setup!$L$6:$L$23,7)))+((W1864="")*(INDEX(Setup!$M$6:$M$23,7)="Y"))+((Y1864="")*(INDEX(Setup!$M$6:$M$23,7)="Y")))</f>
        <v/>
      </c>
      <c r="AC1864" s="90">
        <f>IF($B1864="","",IF(AB1864=0,"✓ covered","⚠ "&amp;AB1864&amp;IF(AB1864=1," gap"," gaps")))</f>
        <v/>
      </c>
    </row>
    <row r="1865" ht="17" customHeight="1">
      <c r="A1865" t="n">
        <v>38</v>
      </c>
      <c r="B1865" s="29">
        <f>IF(Setup!$K$13="","",Setup!$K$13)</f>
        <v/>
      </c>
      <c r="C1865" s="88" t="n"/>
      <c r="D1865" s="88" t="n"/>
      <c r="E1865" s="88" t="n"/>
      <c r="F1865" s="89" t="n"/>
      <c r="G1865" s="88" t="n"/>
      <c r="H1865" s="88" t="n"/>
      <c r="I1865" s="88" t="n"/>
      <c r="J1865" s="89" t="n"/>
      <c r="K1865" s="88" t="n"/>
      <c r="L1865" s="88" t="n"/>
      <c r="M1865" s="88" t="n"/>
      <c r="N1865" s="89" t="n"/>
      <c r="O1865" s="88" t="n"/>
      <c r="P1865" s="88" t="n"/>
      <c r="Q1865" s="88" t="n"/>
      <c r="R1865" s="89" t="n"/>
      <c r="S1865" s="88" t="n"/>
      <c r="T1865" s="88" t="n"/>
      <c r="U1865" s="88" t="n"/>
      <c r="V1865" s="89" t="n"/>
      <c r="W1865" s="88" t="n"/>
      <c r="X1865" s="89" t="n"/>
      <c r="Y1865" s="88" t="n"/>
      <c r="Z1865" s="89" t="n"/>
      <c r="AB1865" s="30">
        <f>IF($B1865="","",(COUNTIF(C1865:E1865,"?*")&lt;N(INDEX(Setup!$L$6:$L$23,8)))+(COUNTIF(G1865:I1865,"?*")&lt;N(INDEX(Setup!$L$6:$L$23,8)))+(COUNTIF(K1865:M1865,"?*")&lt;N(INDEX(Setup!$L$6:$L$23,8)))+(COUNTIF(O1865:Q1865,"?*")&lt;N(INDEX(Setup!$L$6:$L$23,8)))+(COUNTIF(S1865:U1865,"?*")&lt;N(INDEX(Setup!$L$6:$L$23,8)))+((W1865="")*(INDEX(Setup!$M$6:$M$23,8)="Y"))+((Y1865="")*(INDEX(Setup!$M$6:$M$23,8)="Y")))</f>
        <v/>
      </c>
      <c r="AC1865" s="91">
        <f>IF($B1865="","",IF(AB1865=0,"✓ covered","⚠ "&amp;AB1865&amp;IF(AB1865=1," gap"," gaps")))</f>
        <v/>
      </c>
    </row>
    <row r="1866" ht="17" customHeight="1">
      <c r="A1866" t="n">
        <v>38</v>
      </c>
      <c r="B1866" s="24">
        <f>IF(Setup!$K$14="","",Setup!$K$14)</f>
        <v/>
      </c>
      <c r="C1866" s="88" t="n"/>
      <c r="D1866" s="88" t="n"/>
      <c r="E1866" s="88" t="n"/>
      <c r="F1866" s="89" t="n"/>
      <c r="G1866" s="88" t="n"/>
      <c r="H1866" s="88" t="n"/>
      <c r="I1866" s="88" t="n"/>
      <c r="J1866" s="89" t="n"/>
      <c r="K1866" s="88" t="n"/>
      <c r="L1866" s="88" t="n"/>
      <c r="M1866" s="88" t="n"/>
      <c r="N1866" s="89" t="n"/>
      <c r="O1866" s="88" t="n"/>
      <c r="P1866" s="88" t="n"/>
      <c r="Q1866" s="88" t="n"/>
      <c r="R1866" s="89" t="n"/>
      <c r="S1866" s="88" t="n"/>
      <c r="T1866" s="88" t="n"/>
      <c r="U1866" s="88" t="n"/>
      <c r="V1866" s="89" t="n"/>
      <c r="W1866" s="88" t="n"/>
      <c r="X1866" s="89" t="n"/>
      <c r="Y1866" s="88" t="n"/>
      <c r="Z1866" s="89" t="n"/>
      <c r="AB1866" s="25">
        <f>IF($B1866="","",(COUNTIF(C1866:E1866,"?*")&lt;N(INDEX(Setup!$L$6:$L$23,9)))+(COUNTIF(G1866:I1866,"?*")&lt;N(INDEX(Setup!$L$6:$L$23,9)))+(COUNTIF(K1866:M1866,"?*")&lt;N(INDEX(Setup!$L$6:$L$23,9)))+(COUNTIF(O1866:Q1866,"?*")&lt;N(INDEX(Setup!$L$6:$L$23,9)))+(COUNTIF(S1866:U1866,"?*")&lt;N(INDEX(Setup!$L$6:$L$23,9)))+((W1866="")*(INDEX(Setup!$M$6:$M$23,9)="Y"))+((Y1866="")*(INDEX(Setup!$M$6:$M$23,9)="Y")))</f>
        <v/>
      </c>
      <c r="AC1866" s="90">
        <f>IF($B1866="","",IF(AB1866=0,"✓ covered","⚠ "&amp;AB1866&amp;IF(AB1866=1," gap"," gaps")))</f>
        <v/>
      </c>
    </row>
    <row r="1867" ht="17" customHeight="1">
      <c r="A1867" t="n">
        <v>38</v>
      </c>
      <c r="B1867" s="29">
        <f>IF(Setup!$K$15="","",Setup!$K$15)</f>
        <v/>
      </c>
      <c r="C1867" s="88" t="n"/>
      <c r="D1867" s="88" t="n"/>
      <c r="E1867" s="88" t="n"/>
      <c r="F1867" s="89" t="n"/>
      <c r="G1867" s="88" t="n"/>
      <c r="H1867" s="88" t="n"/>
      <c r="I1867" s="88" t="n"/>
      <c r="J1867" s="89" t="n"/>
      <c r="K1867" s="88" t="n"/>
      <c r="L1867" s="88" t="n"/>
      <c r="M1867" s="88" t="n"/>
      <c r="N1867" s="89" t="n"/>
      <c r="O1867" s="88" t="n"/>
      <c r="P1867" s="88" t="n"/>
      <c r="Q1867" s="88" t="n"/>
      <c r="R1867" s="89" t="n"/>
      <c r="S1867" s="88" t="n"/>
      <c r="T1867" s="88" t="n"/>
      <c r="U1867" s="88" t="n"/>
      <c r="V1867" s="89" t="n"/>
      <c r="W1867" s="88" t="n"/>
      <c r="X1867" s="89" t="n"/>
      <c r="Y1867" s="88" t="n"/>
      <c r="Z1867" s="89" t="n"/>
      <c r="AB1867" s="30">
        <f>IF($B1867="","",(COUNTIF(C1867:E1867,"?*")&lt;N(INDEX(Setup!$L$6:$L$23,10)))+(COUNTIF(G1867:I1867,"?*")&lt;N(INDEX(Setup!$L$6:$L$23,10)))+(COUNTIF(K1867:M1867,"?*")&lt;N(INDEX(Setup!$L$6:$L$23,10)))+(COUNTIF(O1867:Q1867,"?*")&lt;N(INDEX(Setup!$L$6:$L$23,10)))+(COUNTIF(S1867:U1867,"?*")&lt;N(INDEX(Setup!$L$6:$L$23,10)))+((W1867="")*(INDEX(Setup!$M$6:$M$23,10)="Y"))+((Y1867="")*(INDEX(Setup!$M$6:$M$23,10)="Y")))</f>
        <v/>
      </c>
      <c r="AC1867" s="91">
        <f>IF($B1867="","",IF(AB1867=0,"✓ covered","⚠ "&amp;AB1867&amp;IF(AB1867=1," gap"," gaps")))</f>
        <v/>
      </c>
    </row>
    <row r="1868" ht="17" customHeight="1">
      <c r="A1868" t="n">
        <v>38</v>
      </c>
      <c r="B1868" s="24">
        <f>IF(Setup!$K$16="","",Setup!$K$16)</f>
        <v/>
      </c>
      <c r="C1868" s="88" t="n"/>
      <c r="D1868" s="88" t="n"/>
      <c r="E1868" s="88" t="n"/>
      <c r="F1868" s="89" t="n"/>
      <c r="G1868" s="88" t="n"/>
      <c r="H1868" s="88" t="n"/>
      <c r="I1868" s="88" t="n"/>
      <c r="J1868" s="89" t="n"/>
      <c r="K1868" s="88" t="n"/>
      <c r="L1868" s="88" t="n"/>
      <c r="M1868" s="88" t="n"/>
      <c r="N1868" s="89" t="n"/>
      <c r="O1868" s="88" t="n"/>
      <c r="P1868" s="88" t="n"/>
      <c r="Q1868" s="88" t="n"/>
      <c r="R1868" s="89" t="n"/>
      <c r="S1868" s="88" t="n"/>
      <c r="T1868" s="88" t="n"/>
      <c r="U1868" s="88" t="n"/>
      <c r="V1868" s="89" t="n"/>
      <c r="W1868" s="88" t="n"/>
      <c r="X1868" s="89" t="n"/>
      <c r="Y1868" s="88" t="n"/>
      <c r="Z1868" s="89" t="n"/>
      <c r="AB1868" s="25">
        <f>IF($B1868="","",(COUNTIF(C1868:E1868,"?*")&lt;N(INDEX(Setup!$L$6:$L$23,11)))+(COUNTIF(G1868:I1868,"?*")&lt;N(INDEX(Setup!$L$6:$L$23,11)))+(COUNTIF(K1868:M1868,"?*")&lt;N(INDEX(Setup!$L$6:$L$23,11)))+(COUNTIF(O1868:Q1868,"?*")&lt;N(INDEX(Setup!$L$6:$L$23,11)))+(COUNTIF(S1868:U1868,"?*")&lt;N(INDEX(Setup!$L$6:$L$23,11)))+((W1868="")*(INDEX(Setup!$M$6:$M$23,11)="Y"))+((Y1868="")*(INDEX(Setup!$M$6:$M$23,11)="Y")))</f>
        <v/>
      </c>
      <c r="AC1868" s="90">
        <f>IF($B1868="","",IF(AB1868=0,"✓ covered","⚠ "&amp;AB1868&amp;IF(AB1868=1," gap"," gaps")))</f>
        <v/>
      </c>
    </row>
    <row r="1869" ht="17" customHeight="1">
      <c r="A1869" t="n">
        <v>38</v>
      </c>
      <c r="B1869" s="29">
        <f>IF(Setup!$K$17="","",Setup!$K$17)</f>
        <v/>
      </c>
      <c r="C1869" s="88" t="n"/>
      <c r="D1869" s="88" t="n"/>
      <c r="E1869" s="88" t="n"/>
      <c r="F1869" s="89" t="n"/>
      <c r="G1869" s="88" t="n"/>
      <c r="H1869" s="88" t="n"/>
      <c r="I1869" s="88" t="n"/>
      <c r="J1869" s="89" t="n"/>
      <c r="K1869" s="88" t="n"/>
      <c r="L1869" s="88" t="n"/>
      <c r="M1869" s="88" t="n"/>
      <c r="N1869" s="89" t="n"/>
      <c r="O1869" s="88" t="n"/>
      <c r="P1869" s="88" t="n"/>
      <c r="Q1869" s="88" t="n"/>
      <c r="R1869" s="89" t="n"/>
      <c r="S1869" s="88" t="n"/>
      <c r="T1869" s="88" t="n"/>
      <c r="U1869" s="88" t="n"/>
      <c r="V1869" s="89" t="n"/>
      <c r="W1869" s="88" t="n"/>
      <c r="X1869" s="89" t="n"/>
      <c r="Y1869" s="88" t="n"/>
      <c r="Z1869" s="89" t="n"/>
      <c r="AB1869" s="30">
        <f>IF($B1869="","",(COUNTIF(C1869:E1869,"?*")&lt;N(INDEX(Setup!$L$6:$L$23,12)))+(COUNTIF(G1869:I1869,"?*")&lt;N(INDEX(Setup!$L$6:$L$23,12)))+(COUNTIF(K1869:M1869,"?*")&lt;N(INDEX(Setup!$L$6:$L$23,12)))+(COUNTIF(O1869:Q1869,"?*")&lt;N(INDEX(Setup!$L$6:$L$23,12)))+(COUNTIF(S1869:U1869,"?*")&lt;N(INDEX(Setup!$L$6:$L$23,12)))+((W1869="")*(INDEX(Setup!$M$6:$M$23,12)="Y"))+((Y1869="")*(INDEX(Setup!$M$6:$M$23,12)="Y")))</f>
        <v/>
      </c>
      <c r="AC1869" s="91">
        <f>IF($B1869="","",IF(AB1869=0,"✓ covered","⚠ "&amp;AB1869&amp;IF(AB1869=1," gap"," gaps")))</f>
        <v/>
      </c>
    </row>
    <row r="1870" ht="17" customHeight="1">
      <c r="A1870" t="n">
        <v>38</v>
      </c>
      <c r="B1870" s="24">
        <f>IF(Setup!$K$18="","",Setup!$K$18)</f>
        <v/>
      </c>
      <c r="C1870" s="88" t="n"/>
      <c r="D1870" s="88" t="n"/>
      <c r="E1870" s="88" t="n"/>
      <c r="F1870" s="89" t="n"/>
      <c r="G1870" s="88" t="n"/>
      <c r="H1870" s="88" t="n"/>
      <c r="I1870" s="88" t="n"/>
      <c r="J1870" s="89" t="n"/>
      <c r="K1870" s="88" t="n"/>
      <c r="L1870" s="88" t="n"/>
      <c r="M1870" s="88" t="n"/>
      <c r="N1870" s="89" t="n"/>
      <c r="O1870" s="88" t="n"/>
      <c r="P1870" s="88" t="n"/>
      <c r="Q1870" s="88" t="n"/>
      <c r="R1870" s="89" t="n"/>
      <c r="S1870" s="88" t="n"/>
      <c r="T1870" s="88" t="n"/>
      <c r="U1870" s="88" t="n"/>
      <c r="V1870" s="89" t="n"/>
      <c r="W1870" s="88" t="n"/>
      <c r="X1870" s="89" t="n"/>
      <c r="Y1870" s="88" t="n"/>
      <c r="Z1870" s="89" t="n"/>
      <c r="AB1870" s="25">
        <f>IF($B1870="","",(COUNTIF(C1870:E1870,"?*")&lt;N(INDEX(Setup!$L$6:$L$23,13)))+(COUNTIF(G1870:I1870,"?*")&lt;N(INDEX(Setup!$L$6:$L$23,13)))+(COUNTIF(K1870:M1870,"?*")&lt;N(INDEX(Setup!$L$6:$L$23,13)))+(COUNTIF(O1870:Q1870,"?*")&lt;N(INDEX(Setup!$L$6:$L$23,13)))+(COUNTIF(S1870:U1870,"?*")&lt;N(INDEX(Setup!$L$6:$L$23,13)))+((W1870="")*(INDEX(Setup!$M$6:$M$23,13)="Y"))+((Y1870="")*(INDEX(Setup!$M$6:$M$23,13)="Y")))</f>
        <v/>
      </c>
      <c r="AC1870" s="90">
        <f>IF($B1870="","",IF(AB1870=0,"✓ covered","⚠ "&amp;AB1870&amp;IF(AB1870=1," gap"," gaps")))</f>
        <v/>
      </c>
    </row>
    <row r="1871" ht="17" customHeight="1">
      <c r="A1871" t="n">
        <v>38</v>
      </c>
      <c r="B1871" s="29">
        <f>IF(Setup!$K$19="","",Setup!$K$19)</f>
        <v/>
      </c>
      <c r="C1871" s="88" t="n"/>
      <c r="D1871" s="88" t="n"/>
      <c r="E1871" s="88" t="n"/>
      <c r="F1871" s="89" t="n"/>
      <c r="G1871" s="88" t="n"/>
      <c r="H1871" s="88" t="n"/>
      <c r="I1871" s="88" t="n"/>
      <c r="J1871" s="89" t="n"/>
      <c r="K1871" s="88" t="n"/>
      <c r="L1871" s="88" t="n"/>
      <c r="M1871" s="88" t="n"/>
      <c r="N1871" s="89" t="n"/>
      <c r="O1871" s="88" t="n"/>
      <c r="P1871" s="88" t="n"/>
      <c r="Q1871" s="88" t="n"/>
      <c r="R1871" s="89" t="n"/>
      <c r="S1871" s="88" t="n"/>
      <c r="T1871" s="88" t="n"/>
      <c r="U1871" s="88" t="n"/>
      <c r="V1871" s="89" t="n"/>
      <c r="W1871" s="88" t="n"/>
      <c r="X1871" s="89" t="n"/>
      <c r="Y1871" s="88" t="n"/>
      <c r="Z1871" s="89" t="n"/>
      <c r="AB1871" s="30">
        <f>IF($B1871="","",(COUNTIF(C1871:E1871,"?*")&lt;N(INDEX(Setup!$L$6:$L$23,14)))+(COUNTIF(G1871:I1871,"?*")&lt;N(INDEX(Setup!$L$6:$L$23,14)))+(COUNTIF(K1871:M1871,"?*")&lt;N(INDEX(Setup!$L$6:$L$23,14)))+(COUNTIF(O1871:Q1871,"?*")&lt;N(INDEX(Setup!$L$6:$L$23,14)))+(COUNTIF(S1871:U1871,"?*")&lt;N(INDEX(Setup!$L$6:$L$23,14)))+((W1871="")*(INDEX(Setup!$M$6:$M$23,14)="Y"))+((Y1871="")*(INDEX(Setup!$M$6:$M$23,14)="Y")))</f>
        <v/>
      </c>
      <c r="AC1871" s="91">
        <f>IF($B1871="","",IF(AB1871=0,"✓ covered","⚠ "&amp;AB1871&amp;IF(AB1871=1," gap"," gaps")))</f>
        <v/>
      </c>
    </row>
    <row r="1872" ht="17" customHeight="1">
      <c r="A1872" t="n">
        <v>38</v>
      </c>
      <c r="B1872" s="24">
        <f>IF(Setup!$K$20="","",Setup!$K$20)</f>
        <v/>
      </c>
      <c r="C1872" s="88" t="n"/>
      <c r="D1872" s="88" t="n"/>
      <c r="E1872" s="88" t="n"/>
      <c r="F1872" s="89" t="n"/>
      <c r="G1872" s="88" t="n"/>
      <c r="H1872" s="88" t="n"/>
      <c r="I1872" s="88" t="n"/>
      <c r="J1872" s="89" t="n"/>
      <c r="K1872" s="88" t="n"/>
      <c r="L1872" s="88" t="n"/>
      <c r="M1872" s="88" t="n"/>
      <c r="N1872" s="89" t="n"/>
      <c r="O1872" s="88" t="n"/>
      <c r="P1872" s="88" t="n"/>
      <c r="Q1872" s="88" t="n"/>
      <c r="R1872" s="89" t="n"/>
      <c r="S1872" s="88" t="n"/>
      <c r="T1872" s="88" t="n"/>
      <c r="U1872" s="88" t="n"/>
      <c r="V1872" s="89" t="n"/>
      <c r="W1872" s="88" t="n"/>
      <c r="X1872" s="89" t="n"/>
      <c r="Y1872" s="88" t="n"/>
      <c r="Z1872" s="89" t="n"/>
      <c r="AB1872" s="25">
        <f>IF($B1872="","",(COUNTIF(C1872:E1872,"?*")&lt;N(INDEX(Setup!$L$6:$L$23,15)))+(COUNTIF(G1872:I1872,"?*")&lt;N(INDEX(Setup!$L$6:$L$23,15)))+(COUNTIF(K1872:M1872,"?*")&lt;N(INDEX(Setup!$L$6:$L$23,15)))+(COUNTIF(O1872:Q1872,"?*")&lt;N(INDEX(Setup!$L$6:$L$23,15)))+(COUNTIF(S1872:U1872,"?*")&lt;N(INDEX(Setup!$L$6:$L$23,15)))+((W1872="")*(INDEX(Setup!$M$6:$M$23,15)="Y"))+((Y1872="")*(INDEX(Setup!$M$6:$M$23,15)="Y")))</f>
        <v/>
      </c>
      <c r="AC1872" s="90">
        <f>IF($B1872="","",IF(AB1872=0,"✓ covered","⚠ "&amp;AB1872&amp;IF(AB1872=1," gap"," gaps")))</f>
        <v/>
      </c>
    </row>
    <row r="1873" ht="17" customHeight="1">
      <c r="A1873" t="n">
        <v>38</v>
      </c>
      <c r="B1873" s="29">
        <f>IF(Setup!$K$21="","",Setup!$K$21)</f>
        <v/>
      </c>
      <c r="C1873" s="88" t="n"/>
      <c r="D1873" s="88" t="n"/>
      <c r="E1873" s="88" t="n"/>
      <c r="F1873" s="89" t="n"/>
      <c r="G1873" s="88" t="n"/>
      <c r="H1873" s="88" t="n"/>
      <c r="I1873" s="88" t="n"/>
      <c r="J1873" s="89" t="n"/>
      <c r="K1873" s="88" t="n"/>
      <c r="L1873" s="88" t="n"/>
      <c r="M1873" s="88" t="n"/>
      <c r="N1873" s="89" t="n"/>
      <c r="O1873" s="88" t="n"/>
      <c r="P1873" s="88" t="n"/>
      <c r="Q1873" s="88" t="n"/>
      <c r="R1873" s="89" t="n"/>
      <c r="S1873" s="88" t="n"/>
      <c r="T1873" s="88" t="n"/>
      <c r="U1873" s="88" t="n"/>
      <c r="V1873" s="89" t="n"/>
      <c r="W1873" s="88" t="n"/>
      <c r="X1873" s="89" t="n"/>
      <c r="Y1873" s="88" t="n"/>
      <c r="Z1873" s="89" t="n"/>
      <c r="AB1873" s="30">
        <f>IF($B1873="","",(COUNTIF(C1873:E1873,"?*")&lt;N(INDEX(Setup!$L$6:$L$23,16)))+(COUNTIF(G1873:I1873,"?*")&lt;N(INDEX(Setup!$L$6:$L$23,16)))+(COUNTIF(K1873:M1873,"?*")&lt;N(INDEX(Setup!$L$6:$L$23,16)))+(COUNTIF(O1873:Q1873,"?*")&lt;N(INDEX(Setup!$L$6:$L$23,16)))+(COUNTIF(S1873:U1873,"?*")&lt;N(INDEX(Setup!$L$6:$L$23,16)))+((W1873="")*(INDEX(Setup!$M$6:$M$23,16)="Y"))+((Y1873="")*(INDEX(Setup!$M$6:$M$23,16)="Y")))</f>
        <v/>
      </c>
      <c r="AC1873" s="91">
        <f>IF($B1873="","",IF(AB1873=0,"✓ covered","⚠ "&amp;AB1873&amp;IF(AB1873=1," gap"," gaps")))</f>
        <v/>
      </c>
    </row>
    <row r="1874" ht="17" customHeight="1">
      <c r="A1874" t="n">
        <v>38</v>
      </c>
      <c r="B1874" s="24">
        <f>IF(Setup!$K$22="","",Setup!$K$22)</f>
        <v/>
      </c>
      <c r="C1874" s="88" t="n"/>
      <c r="D1874" s="88" t="n"/>
      <c r="E1874" s="88" t="n"/>
      <c r="F1874" s="89" t="n"/>
      <c r="G1874" s="88" t="n"/>
      <c r="H1874" s="88" t="n"/>
      <c r="I1874" s="88" t="n"/>
      <c r="J1874" s="89" t="n"/>
      <c r="K1874" s="88" t="n"/>
      <c r="L1874" s="88" t="n"/>
      <c r="M1874" s="88" t="n"/>
      <c r="N1874" s="89" t="n"/>
      <c r="O1874" s="88" t="n"/>
      <c r="P1874" s="88" t="n"/>
      <c r="Q1874" s="88" t="n"/>
      <c r="R1874" s="89" t="n"/>
      <c r="S1874" s="88" t="n"/>
      <c r="T1874" s="88" t="n"/>
      <c r="U1874" s="88" t="n"/>
      <c r="V1874" s="89" t="n"/>
      <c r="W1874" s="88" t="n"/>
      <c r="X1874" s="89" t="n"/>
      <c r="Y1874" s="88" t="n"/>
      <c r="Z1874" s="89" t="n"/>
      <c r="AB1874" s="25">
        <f>IF($B1874="","",(COUNTIF(C1874:E1874,"?*")&lt;N(INDEX(Setup!$L$6:$L$23,17)))+(COUNTIF(G1874:I1874,"?*")&lt;N(INDEX(Setup!$L$6:$L$23,17)))+(COUNTIF(K1874:M1874,"?*")&lt;N(INDEX(Setup!$L$6:$L$23,17)))+(COUNTIF(O1874:Q1874,"?*")&lt;N(INDEX(Setup!$L$6:$L$23,17)))+(COUNTIF(S1874:U1874,"?*")&lt;N(INDEX(Setup!$L$6:$L$23,17)))+((W1874="")*(INDEX(Setup!$M$6:$M$23,17)="Y"))+((Y1874="")*(INDEX(Setup!$M$6:$M$23,17)="Y")))</f>
        <v/>
      </c>
      <c r="AC1874" s="90">
        <f>IF($B1874="","",IF(AB1874=0,"✓ covered","⚠ "&amp;AB1874&amp;IF(AB1874=1," gap"," gaps")))</f>
        <v/>
      </c>
    </row>
    <row r="1875" ht="17" customHeight="1">
      <c r="A1875" t="n">
        <v>38</v>
      </c>
      <c r="B1875" s="29">
        <f>IF(Setup!$K$23="","",Setup!$K$23)</f>
        <v/>
      </c>
      <c r="C1875" s="88" t="n"/>
      <c r="D1875" s="88" t="n"/>
      <c r="E1875" s="88" t="n"/>
      <c r="F1875" s="89" t="n"/>
      <c r="G1875" s="88" t="n"/>
      <c r="H1875" s="88" t="n"/>
      <c r="I1875" s="88" t="n"/>
      <c r="J1875" s="89" t="n"/>
      <c r="K1875" s="88" t="n"/>
      <c r="L1875" s="88" t="n"/>
      <c r="M1875" s="88" t="n"/>
      <c r="N1875" s="89" t="n"/>
      <c r="O1875" s="88" t="n"/>
      <c r="P1875" s="88" t="n"/>
      <c r="Q1875" s="88" t="n"/>
      <c r="R1875" s="89" t="n"/>
      <c r="S1875" s="88" t="n"/>
      <c r="T1875" s="88" t="n"/>
      <c r="U1875" s="88" t="n"/>
      <c r="V1875" s="89" t="n"/>
      <c r="W1875" s="88" t="n"/>
      <c r="X1875" s="89" t="n"/>
      <c r="Y1875" s="88" t="n"/>
      <c r="Z1875" s="89" t="n"/>
      <c r="AB1875" s="30">
        <f>IF($B1875="","",(COUNTIF(C1875:E1875,"?*")&lt;N(INDEX(Setup!$L$6:$L$23,18)))+(COUNTIF(G1875:I1875,"?*")&lt;N(INDEX(Setup!$L$6:$L$23,18)))+(COUNTIF(K1875:M1875,"?*")&lt;N(INDEX(Setup!$L$6:$L$23,18)))+(COUNTIF(O1875:Q1875,"?*")&lt;N(INDEX(Setup!$L$6:$L$23,18)))+(COUNTIF(S1875:U1875,"?*")&lt;N(INDEX(Setup!$L$6:$L$23,18)))+((W1875="")*(INDEX(Setup!$M$6:$M$23,18)="Y"))+((Y1875="")*(INDEX(Setup!$M$6:$M$23,18)="Y")))</f>
        <v/>
      </c>
      <c r="AC1875" s="91">
        <f>IF($B1875="","",IF(AB1875=0,"✓ covered","⚠ "&amp;AB1875&amp;IF(AB1875=1," gap"," gaps")))</f>
        <v/>
      </c>
    </row>
    <row r="1876" ht="18" customHeight="1">
      <c r="A1876" t="n">
        <v>38</v>
      </c>
      <c r="B1876" s="78" t="inlineStr">
        <is>
          <t>TEAM AVAILABILITY</t>
        </is>
      </c>
      <c r="C1876" s="92" t="inlineStr">
        <is>
          <t>Mon</t>
        </is>
      </c>
      <c r="D1876" s="93" t="n"/>
      <c r="E1876" s="93" t="n"/>
      <c r="F1876" s="94" t="n"/>
      <c r="G1876" s="92" t="inlineStr">
        <is>
          <t>Tue</t>
        </is>
      </c>
      <c r="H1876" s="93" t="n"/>
      <c r="I1876" s="93" t="n"/>
      <c r="J1876" s="94" t="n"/>
      <c r="K1876" s="92" t="inlineStr">
        <is>
          <t>Wed</t>
        </is>
      </c>
      <c r="L1876" s="93" t="n"/>
      <c r="M1876" s="93" t="n"/>
      <c r="N1876" s="94" t="n"/>
      <c r="O1876" s="92" t="inlineStr">
        <is>
          <t>Thu</t>
        </is>
      </c>
      <c r="P1876" s="93" t="n"/>
      <c r="Q1876" s="93" t="n"/>
      <c r="R1876" s="94" t="n"/>
      <c r="S1876" s="92" t="inlineStr">
        <is>
          <t>Fri</t>
        </is>
      </c>
      <c r="T1876" s="93" t="n"/>
      <c r="U1876" s="93" t="n"/>
      <c r="V1876" s="94" t="n"/>
      <c r="W1876" s="95" t="inlineStr">
        <is>
          <t>Sat</t>
        </is>
      </c>
      <c r="X1876" s="96" t="n"/>
      <c r="Y1876" s="95" t="inlineStr">
        <is>
          <t>Sun</t>
        </is>
      </c>
      <c r="Z1876" s="96" t="n"/>
      <c r="AB1876" s="97" t="inlineStr">
        <is>
          <t>Days rostered</t>
        </is>
      </c>
      <c r="AC1876" s="97" t="inlineStr">
        <is>
          <t>Conflicts</t>
        </is>
      </c>
    </row>
    <row r="1877" ht="15" customHeight="1">
      <c r="A1877" t="n">
        <v>38</v>
      </c>
      <c r="B1877" s="35">
        <f>IF(Setup!$B$6="","",Setup!$B$6)</f>
        <v/>
      </c>
      <c r="C1877" s="98" t="n"/>
      <c r="D1877" s="99" t="n"/>
      <c r="E1877" s="99" t="n"/>
      <c r="F1877" s="100" t="n"/>
      <c r="G1877" s="98" t="n"/>
      <c r="H1877" s="99" t="n"/>
      <c r="I1877" s="99" t="n"/>
      <c r="J1877" s="100" t="n"/>
      <c r="K1877" s="98" t="n"/>
      <c r="L1877" s="99" t="n"/>
      <c r="M1877" s="99" t="n"/>
      <c r="N1877" s="100" t="n"/>
      <c r="O1877" s="98" t="n"/>
      <c r="P1877" s="99" t="n"/>
      <c r="Q1877" s="99" t="n"/>
      <c r="R1877" s="100" t="n"/>
      <c r="S1877" s="98" t="n"/>
      <c r="T1877" s="99" t="n"/>
      <c r="U1877" s="99" t="n"/>
      <c r="V1877" s="100" t="n"/>
      <c r="W1877" s="98" t="n"/>
      <c r="X1877" s="100" t="n"/>
      <c r="Y1877" s="98" t="n"/>
      <c r="Z1877" s="100" t="n"/>
      <c r="AB1877" s="101">
        <f>IF($B1877="","",(COUNTIF(C1858:E1875,$B1877)+COUNTIF(C1858:E1875,$B1877&amp;" ~*")&gt;0)+(COUNTIF(G1858:I1875,$B1877)+COUNTIF(G1858:I1875,$B1877&amp;" ~*")&gt;0)+(COUNTIF(K1858:M1875,$B1877)+COUNTIF(K1858:M1875,$B1877&amp;" ~*")&gt;0)+(COUNTIF(O1858:Q1875,$B1877)+COUNTIF(O1858:Q1875,$B1877&amp;" ~*")&gt;0)+(COUNTIF(S1858:U1875,$B1877)+COUNTIF(S1858:U1875,$B1877&amp;" ~*")&gt;0)+(COUNTIF(W1858:W1875,$B1877)+COUNTIF(W1858:W1875,$B1877&amp;" ~*")&gt;0)+(COUNTIF(Y1858:Y1875,$B1877)+COUNTIF(Y1858:Y1875,$B1877&amp;" ~*")&gt;0))</f>
        <v/>
      </c>
      <c r="AC1877" s="36">
        <f>IF($B1877="","",(IFERROR(INDEX(Setup!$G$33:$G$40,MATCH(C1877,Setup!$B$33:$B$40,0)),0)=1)*(COUNTIF(C1858:E1875,$B1877)+COUNTIF(C1858:E1875,$B1877&amp;" ~*")&gt;0)+(IFERROR(INDEX(Setup!$G$33:$G$40,MATCH(G1877,Setup!$B$33:$B$40,0)),0)=1)*(COUNTIF(G1858:I1875,$B1877)+COUNTIF(G1858:I1875,$B1877&amp;" ~*")&gt;0)+(IFERROR(INDEX(Setup!$G$33:$G$40,MATCH(K1877,Setup!$B$33:$B$40,0)),0)=1)*(COUNTIF(K1858:M1875,$B1877)+COUNTIF(K1858:M1875,$B1877&amp;" ~*")&gt;0)+(IFERROR(INDEX(Setup!$G$33:$G$40,MATCH(O1877,Setup!$B$33:$B$40,0)),0)=1)*(COUNTIF(O1858:Q1875,$B1877)+COUNTIF(O1858:Q1875,$B1877&amp;" ~*")&gt;0)+(IFERROR(INDEX(Setup!$G$33:$G$40,MATCH(S1877,Setup!$B$33:$B$40,0)),0)=1)*(COUNTIF(S1858:U1875,$B1877)+COUNTIF(S1858:U1875,$B1877&amp;" ~*")&gt;0)+(IFERROR(INDEX(Setup!$G$33:$G$40,MATCH(W1877,Setup!$B$33:$B$40,0)),0)=1)*(COUNTIF(W1858:W1875,$B1877)+COUNTIF(W1858:W1875,$B1877&amp;" ~*")&gt;0)+(IFERROR(INDEX(Setup!$G$33:$G$40,MATCH(Y1877,Setup!$B$33:$B$40,0)),0)=1)*(COUNTIF(Y1858:Y1875,$B1877)+COUNTIF(Y1858:Y1875,$B1877&amp;" ~*")&gt;0))</f>
        <v/>
      </c>
    </row>
    <row r="1878" ht="15" customHeight="1">
      <c r="A1878" t="n">
        <v>38</v>
      </c>
      <c r="B1878" s="37">
        <f>IF(Setup!$B$7="","",Setup!$B$7)</f>
        <v/>
      </c>
      <c r="C1878" s="102" t="n"/>
      <c r="D1878" s="103" t="n"/>
      <c r="E1878" s="103" t="n"/>
      <c r="F1878" s="104" t="n"/>
      <c r="G1878" s="102" t="n"/>
      <c r="H1878" s="103" t="n"/>
      <c r="I1878" s="103" t="n"/>
      <c r="J1878" s="104" t="n"/>
      <c r="K1878" s="102" t="n"/>
      <c r="L1878" s="103" t="n"/>
      <c r="M1878" s="103" t="n"/>
      <c r="N1878" s="104" t="n"/>
      <c r="O1878" s="102" t="n"/>
      <c r="P1878" s="103" t="n"/>
      <c r="Q1878" s="103" t="n"/>
      <c r="R1878" s="104" t="n"/>
      <c r="S1878" s="102" t="n"/>
      <c r="T1878" s="103" t="n"/>
      <c r="U1878" s="103" t="n"/>
      <c r="V1878" s="104" t="n"/>
      <c r="W1878" s="102" t="n"/>
      <c r="X1878" s="104" t="n"/>
      <c r="Y1878" s="102" t="n"/>
      <c r="Z1878" s="104" t="n"/>
      <c r="AB1878" s="105">
        <f>IF($B1878="","",(COUNTIF(C1858:E1875,$B1878)+COUNTIF(C1858:E1875,$B1878&amp;" ~*")&gt;0)+(COUNTIF(G1858:I1875,$B1878)+COUNTIF(G1858:I1875,$B1878&amp;" ~*")&gt;0)+(COUNTIF(K1858:M1875,$B1878)+COUNTIF(K1858:M1875,$B1878&amp;" ~*")&gt;0)+(COUNTIF(O1858:Q1875,$B1878)+COUNTIF(O1858:Q1875,$B1878&amp;" ~*")&gt;0)+(COUNTIF(S1858:U1875,$B1878)+COUNTIF(S1858:U1875,$B1878&amp;" ~*")&gt;0)+(COUNTIF(W1858:W1875,$B1878)+COUNTIF(W1858:W1875,$B1878&amp;" ~*")&gt;0)+(COUNTIF(Y1858:Y1875,$B1878)+COUNTIF(Y1858:Y1875,$B1878&amp;" ~*")&gt;0))</f>
        <v/>
      </c>
      <c r="AC1878" s="38">
        <f>IF($B1878="","",(IFERROR(INDEX(Setup!$G$33:$G$40,MATCH(C1878,Setup!$B$33:$B$40,0)),0)=1)*(COUNTIF(C1858:E1875,$B1878)+COUNTIF(C1858:E1875,$B1878&amp;" ~*")&gt;0)+(IFERROR(INDEX(Setup!$G$33:$G$40,MATCH(G1878,Setup!$B$33:$B$40,0)),0)=1)*(COUNTIF(G1858:I1875,$B1878)+COUNTIF(G1858:I1875,$B1878&amp;" ~*")&gt;0)+(IFERROR(INDEX(Setup!$G$33:$G$40,MATCH(K1878,Setup!$B$33:$B$40,0)),0)=1)*(COUNTIF(K1858:M1875,$B1878)+COUNTIF(K1858:M1875,$B1878&amp;" ~*")&gt;0)+(IFERROR(INDEX(Setup!$G$33:$G$40,MATCH(O1878,Setup!$B$33:$B$40,0)),0)=1)*(COUNTIF(O1858:Q1875,$B1878)+COUNTIF(O1858:Q1875,$B1878&amp;" ~*")&gt;0)+(IFERROR(INDEX(Setup!$G$33:$G$40,MATCH(S1878,Setup!$B$33:$B$40,0)),0)=1)*(COUNTIF(S1858:U1875,$B1878)+COUNTIF(S1858:U1875,$B1878&amp;" ~*")&gt;0)+(IFERROR(INDEX(Setup!$G$33:$G$40,MATCH(W1878,Setup!$B$33:$B$40,0)),0)=1)*(COUNTIF(W1858:W1875,$B1878)+COUNTIF(W1858:W1875,$B1878&amp;" ~*")&gt;0)+(IFERROR(INDEX(Setup!$G$33:$G$40,MATCH(Y1878,Setup!$B$33:$B$40,0)),0)=1)*(COUNTIF(Y1858:Y1875,$B1878)+COUNTIF(Y1858:Y1875,$B1878&amp;" ~*")&gt;0))</f>
        <v/>
      </c>
    </row>
    <row r="1879" ht="15" customHeight="1">
      <c r="A1879" t="n">
        <v>38</v>
      </c>
      <c r="B1879" s="35">
        <f>IF(Setup!$B$8="","",Setup!$B$8)</f>
        <v/>
      </c>
      <c r="C1879" s="98" t="n"/>
      <c r="D1879" s="99" t="n"/>
      <c r="E1879" s="99" t="n"/>
      <c r="F1879" s="100" t="n"/>
      <c r="G1879" s="98" t="n"/>
      <c r="H1879" s="99" t="n"/>
      <c r="I1879" s="99" t="n"/>
      <c r="J1879" s="100" t="n"/>
      <c r="K1879" s="98" t="n"/>
      <c r="L1879" s="99" t="n"/>
      <c r="M1879" s="99" t="n"/>
      <c r="N1879" s="100" t="n"/>
      <c r="O1879" s="98" t="n"/>
      <c r="P1879" s="99" t="n"/>
      <c r="Q1879" s="99" t="n"/>
      <c r="R1879" s="100" t="n"/>
      <c r="S1879" s="98" t="n"/>
      <c r="T1879" s="99" t="n"/>
      <c r="U1879" s="99" t="n"/>
      <c r="V1879" s="100" t="n"/>
      <c r="W1879" s="98" t="n"/>
      <c r="X1879" s="100" t="n"/>
      <c r="Y1879" s="98" t="n"/>
      <c r="Z1879" s="100" t="n"/>
      <c r="AB1879" s="101">
        <f>IF($B1879="","",(COUNTIF(C1858:E1875,$B1879)+COUNTIF(C1858:E1875,$B1879&amp;" ~*")&gt;0)+(COUNTIF(G1858:I1875,$B1879)+COUNTIF(G1858:I1875,$B1879&amp;" ~*")&gt;0)+(COUNTIF(K1858:M1875,$B1879)+COUNTIF(K1858:M1875,$B1879&amp;" ~*")&gt;0)+(COUNTIF(O1858:Q1875,$B1879)+COUNTIF(O1858:Q1875,$B1879&amp;" ~*")&gt;0)+(COUNTIF(S1858:U1875,$B1879)+COUNTIF(S1858:U1875,$B1879&amp;" ~*")&gt;0)+(COUNTIF(W1858:W1875,$B1879)+COUNTIF(W1858:W1875,$B1879&amp;" ~*")&gt;0)+(COUNTIF(Y1858:Y1875,$B1879)+COUNTIF(Y1858:Y1875,$B1879&amp;" ~*")&gt;0))</f>
        <v/>
      </c>
      <c r="AC1879" s="36">
        <f>IF($B1879="","",(IFERROR(INDEX(Setup!$G$33:$G$40,MATCH(C1879,Setup!$B$33:$B$40,0)),0)=1)*(COUNTIF(C1858:E1875,$B1879)+COUNTIF(C1858:E1875,$B1879&amp;" ~*")&gt;0)+(IFERROR(INDEX(Setup!$G$33:$G$40,MATCH(G1879,Setup!$B$33:$B$40,0)),0)=1)*(COUNTIF(G1858:I1875,$B1879)+COUNTIF(G1858:I1875,$B1879&amp;" ~*")&gt;0)+(IFERROR(INDEX(Setup!$G$33:$G$40,MATCH(K1879,Setup!$B$33:$B$40,0)),0)=1)*(COUNTIF(K1858:M1875,$B1879)+COUNTIF(K1858:M1875,$B1879&amp;" ~*")&gt;0)+(IFERROR(INDEX(Setup!$G$33:$G$40,MATCH(O1879,Setup!$B$33:$B$40,0)),0)=1)*(COUNTIF(O1858:Q1875,$B1879)+COUNTIF(O1858:Q1875,$B1879&amp;" ~*")&gt;0)+(IFERROR(INDEX(Setup!$G$33:$G$40,MATCH(S1879,Setup!$B$33:$B$40,0)),0)=1)*(COUNTIF(S1858:U1875,$B1879)+COUNTIF(S1858:U1875,$B1879&amp;" ~*")&gt;0)+(IFERROR(INDEX(Setup!$G$33:$G$40,MATCH(W1879,Setup!$B$33:$B$40,0)),0)=1)*(COUNTIF(W1858:W1875,$B1879)+COUNTIF(W1858:W1875,$B1879&amp;" ~*")&gt;0)+(IFERROR(INDEX(Setup!$G$33:$G$40,MATCH(Y1879,Setup!$B$33:$B$40,0)),0)=1)*(COUNTIF(Y1858:Y1875,$B1879)+COUNTIF(Y1858:Y1875,$B1879&amp;" ~*")&gt;0))</f>
        <v/>
      </c>
    </row>
    <row r="1880" ht="15" customHeight="1">
      <c r="A1880" t="n">
        <v>38</v>
      </c>
      <c r="B1880" s="37">
        <f>IF(Setup!$B$9="","",Setup!$B$9)</f>
        <v/>
      </c>
      <c r="C1880" s="102" t="n"/>
      <c r="D1880" s="103" t="n"/>
      <c r="E1880" s="103" t="n"/>
      <c r="F1880" s="104" t="n"/>
      <c r="G1880" s="102" t="n"/>
      <c r="H1880" s="103" t="n"/>
      <c r="I1880" s="103" t="n"/>
      <c r="J1880" s="104" t="n"/>
      <c r="K1880" s="102" t="n"/>
      <c r="L1880" s="103" t="n"/>
      <c r="M1880" s="103" t="n"/>
      <c r="N1880" s="104" t="n"/>
      <c r="O1880" s="102" t="n"/>
      <c r="P1880" s="103" t="n"/>
      <c r="Q1880" s="103" t="n"/>
      <c r="R1880" s="104" t="n"/>
      <c r="S1880" s="102" t="n"/>
      <c r="T1880" s="103" t="n"/>
      <c r="U1880" s="103" t="n"/>
      <c r="V1880" s="104" t="n"/>
      <c r="W1880" s="102" t="n"/>
      <c r="X1880" s="104" t="n"/>
      <c r="Y1880" s="102" t="n"/>
      <c r="Z1880" s="104" t="n"/>
      <c r="AB1880" s="105">
        <f>IF($B1880="","",(COUNTIF(C1858:E1875,$B1880)+COUNTIF(C1858:E1875,$B1880&amp;" ~*")&gt;0)+(COUNTIF(G1858:I1875,$B1880)+COUNTIF(G1858:I1875,$B1880&amp;" ~*")&gt;0)+(COUNTIF(K1858:M1875,$B1880)+COUNTIF(K1858:M1875,$B1880&amp;" ~*")&gt;0)+(COUNTIF(O1858:Q1875,$B1880)+COUNTIF(O1858:Q1875,$B1880&amp;" ~*")&gt;0)+(COUNTIF(S1858:U1875,$B1880)+COUNTIF(S1858:U1875,$B1880&amp;" ~*")&gt;0)+(COUNTIF(W1858:W1875,$B1880)+COUNTIF(W1858:W1875,$B1880&amp;" ~*")&gt;0)+(COUNTIF(Y1858:Y1875,$B1880)+COUNTIF(Y1858:Y1875,$B1880&amp;" ~*")&gt;0))</f>
        <v/>
      </c>
      <c r="AC1880" s="38">
        <f>IF($B1880="","",(IFERROR(INDEX(Setup!$G$33:$G$40,MATCH(C1880,Setup!$B$33:$B$40,0)),0)=1)*(COUNTIF(C1858:E1875,$B1880)+COUNTIF(C1858:E1875,$B1880&amp;" ~*")&gt;0)+(IFERROR(INDEX(Setup!$G$33:$G$40,MATCH(G1880,Setup!$B$33:$B$40,0)),0)=1)*(COUNTIF(G1858:I1875,$B1880)+COUNTIF(G1858:I1875,$B1880&amp;" ~*")&gt;0)+(IFERROR(INDEX(Setup!$G$33:$G$40,MATCH(K1880,Setup!$B$33:$B$40,0)),0)=1)*(COUNTIF(K1858:M1875,$B1880)+COUNTIF(K1858:M1875,$B1880&amp;" ~*")&gt;0)+(IFERROR(INDEX(Setup!$G$33:$G$40,MATCH(O1880,Setup!$B$33:$B$40,0)),0)=1)*(COUNTIF(O1858:Q1875,$B1880)+COUNTIF(O1858:Q1875,$B1880&amp;" ~*")&gt;0)+(IFERROR(INDEX(Setup!$G$33:$G$40,MATCH(S1880,Setup!$B$33:$B$40,0)),0)=1)*(COUNTIF(S1858:U1875,$B1880)+COUNTIF(S1858:U1875,$B1880&amp;" ~*")&gt;0)+(IFERROR(INDEX(Setup!$G$33:$G$40,MATCH(W1880,Setup!$B$33:$B$40,0)),0)=1)*(COUNTIF(W1858:W1875,$B1880)+COUNTIF(W1858:W1875,$B1880&amp;" ~*")&gt;0)+(IFERROR(INDEX(Setup!$G$33:$G$40,MATCH(Y1880,Setup!$B$33:$B$40,0)),0)=1)*(COUNTIF(Y1858:Y1875,$B1880)+COUNTIF(Y1858:Y1875,$B1880&amp;" ~*")&gt;0))</f>
        <v/>
      </c>
    </row>
    <row r="1881" ht="15" customHeight="1">
      <c r="A1881" t="n">
        <v>38</v>
      </c>
      <c r="B1881" s="35">
        <f>IF(Setup!$B$10="","",Setup!$B$10)</f>
        <v/>
      </c>
      <c r="C1881" s="98" t="n"/>
      <c r="D1881" s="99" t="n"/>
      <c r="E1881" s="99" t="n"/>
      <c r="F1881" s="100" t="n"/>
      <c r="G1881" s="98" t="n"/>
      <c r="H1881" s="99" t="n"/>
      <c r="I1881" s="99" t="n"/>
      <c r="J1881" s="100" t="n"/>
      <c r="K1881" s="98" t="n"/>
      <c r="L1881" s="99" t="n"/>
      <c r="M1881" s="99" t="n"/>
      <c r="N1881" s="100" t="n"/>
      <c r="O1881" s="98" t="n"/>
      <c r="P1881" s="99" t="n"/>
      <c r="Q1881" s="99" t="n"/>
      <c r="R1881" s="100" t="n"/>
      <c r="S1881" s="98" t="n"/>
      <c r="T1881" s="99" t="n"/>
      <c r="U1881" s="99" t="n"/>
      <c r="V1881" s="100" t="n"/>
      <c r="W1881" s="98" t="n"/>
      <c r="X1881" s="100" t="n"/>
      <c r="Y1881" s="98" t="n"/>
      <c r="Z1881" s="100" t="n"/>
      <c r="AB1881" s="101">
        <f>IF($B1881="","",(COUNTIF(C1858:E1875,$B1881)+COUNTIF(C1858:E1875,$B1881&amp;" ~*")&gt;0)+(COUNTIF(G1858:I1875,$B1881)+COUNTIF(G1858:I1875,$B1881&amp;" ~*")&gt;0)+(COUNTIF(K1858:M1875,$B1881)+COUNTIF(K1858:M1875,$B1881&amp;" ~*")&gt;0)+(COUNTIF(O1858:Q1875,$B1881)+COUNTIF(O1858:Q1875,$B1881&amp;" ~*")&gt;0)+(COUNTIF(S1858:U1875,$B1881)+COUNTIF(S1858:U1875,$B1881&amp;" ~*")&gt;0)+(COUNTIF(W1858:W1875,$B1881)+COUNTIF(W1858:W1875,$B1881&amp;" ~*")&gt;0)+(COUNTIF(Y1858:Y1875,$B1881)+COUNTIF(Y1858:Y1875,$B1881&amp;" ~*")&gt;0))</f>
        <v/>
      </c>
      <c r="AC1881" s="36">
        <f>IF($B1881="","",(IFERROR(INDEX(Setup!$G$33:$G$40,MATCH(C1881,Setup!$B$33:$B$40,0)),0)=1)*(COUNTIF(C1858:E1875,$B1881)+COUNTIF(C1858:E1875,$B1881&amp;" ~*")&gt;0)+(IFERROR(INDEX(Setup!$G$33:$G$40,MATCH(G1881,Setup!$B$33:$B$40,0)),0)=1)*(COUNTIF(G1858:I1875,$B1881)+COUNTIF(G1858:I1875,$B1881&amp;" ~*")&gt;0)+(IFERROR(INDEX(Setup!$G$33:$G$40,MATCH(K1881,Setup!$B$33:$B$40,0)),0)=1)*(COUNTIF(K1858:M1875,$B1881)+COUNTIF(K1858:M1875,$B1881&amp;" ~*")&gt;0)+(IFERROR(INDEX(Setup!$G$33:$G$40,MATCH(O1881,Setup!$B$33:$B$40,0)),0)=1)*(COUNTIF(O1858:Q1875,$B1881)+COUNTIF(O1858:Q1875,$B1881&amp;" ~*")&gt;0)+(IFERROR(INDEX(Setup!$G$33:$G$40,MATCH(S1881,Setup!$B$33:$B$40,0)),0)=1)*(COUNTIF(S1858:U1875,$B1881)+COUNTIF(S1858:U1875,$B1881&amp;" ~*")&gt;0)+(IFERROR(INDEX(Setup!$G$33:$G$40,MATCH(W1881,Setup!$B$33:$B$40,0)),0)=1)*(COUNTIF(W1858:W1875,$B1881)+COUNTIF(W1858:W1875,$B1881&amp;" ~*")&gt;0)+(IFERROR(INDEX(Setup!$G$33:$G$40,MATCH(Y1881,Setup!$B$33:$B$40,0)),0)=1)*(COUNTIF(Y1858:Y1875,$B1881)+COUNTIF(Y1858:Y1875,$B1881&amp;" ~*")&gt;0))</f>
        <v/>
      </c>
    </row>
    <row r="1882" ht="15" customHeight="1">
      <c r="A1882" t="n">
        <v>38</v>
      </c>
      <c r="B1882" s="37">
        <f>IF(Setup!$B$11="","",Setup!$B$11)</f>
        <v/>
      </c>
      <c r="C1882" s="102" t="n"/>
      <c r="D1882" s="103" t="n"/>
      <c r="E1882" s="103" t="n"/>
      <c r="F1882" s="104" t="n"/>
      <c r="G1882" s="102" t="n"/>
      <c r="H1882" s="103" t="n"/>
      <c r="I1882" s="103" t="n"/>
      <c r="J1882" s="104" t="n"/>
      <c r="K1882" s="102" t="n"/>
      <c r="L1882" s="103" t="n"/>
      <c r="M1882" s="103" t="n"/>
      <c r="N1882" s="104" t="n"/>
      <c r="O1882" s="102" t="n"/>
      <c r="P1882" s="103" t="n"/>
      <c r="Q1882" s="103" t="n"/>
      <c r="R1882" s="104" t="n"/>
      <c r="S1882" s="102" t="n"/>
      <c r="T1882" s="103" t="n"/>
      <c r="U1882" s="103" t="n"/>
      <c r="V1882" s="104" t="n"/>
      <c r="W1882" s="102" t="n"/>
      <c r="X1882" s="104" t="n"/>
      <c r="Y1882" s="102" t="n"/>
      <c r="Z1882" s="104" t="n"/>
      <c r="AB1882" s="105">
        <f>IF($B1882="","",(COUNTIF(C1858:E1875,$B1882)+COUNTIF(C1858:E1875,$B1882&amp;" ~*")&gt;0)+(COUNTIF(G1858:I1875,$B1882)+COUNTIF(G1858:I1875,$B1882&amp;" ~*")&gt;0)+(COUNTIF(K1858:M1875,$B1882)+COUNTIF(K1858:M1875,$B1882&amp;" ~*")&gt;0)+(COUNTIF(O1858:Q1875,$B1882)+COUNTIF(O1858:Q1875,$B1882&amp;" ~*")&gt;0)+(COUNTIF(S1858:U1875,$B1882)+COUNTIF(S1858:U1875,$B1882&amp;" ~*")&gt;0)+(COUNTIF(W1858:W1875,$B1882)+COUNTIF(W1858:W1875,$B1882&amp;" ~*")&gt;0)+(COUNTIF(Y1858:Y1875,$B1882)+COUNTIF(Y1858:Y1875,$B1882&amp;" ~*")&gt;0))</f>
        <v/>
      </c>
      <c r="AC1882" s="38">
        <f>IF($B1882="","",(IFERROR(INDEX(Setup!$G$33:$G$40,MATCH(C1882,Setup!$B$33:$B$40,0)),0)=1)*(COUNTIF(C1858:E1875,$B1882)+COUNTIF(C1858:E1875,$B1882&amp;" ~*")&gt;0)+(IFERROR(INDEX(Setup!$G$33:$G$40,MATCH(G1882,Setup!$B$33:$B$40,0)),0)=1)*(COUNTIF(G1858:I1875,$B1882)+COUNTIF(G1858:I1875,$B1882&amp;" ~*")&gt;0)+(IFERROR(INDEX(Setup!$G$33:$G$40,MATCH(K1882,Setup!$B$33:$B$40,0)),0)=1)*(COUNTIF(K1858:M1875,$B1882)+COUNTIF(K1858:M1875,$B1882&amp;" ~*")&gt;0)+(IFERROR(INDEX(Setup!$G$33:$G$40,MATCH(O1882,Setup!$B$33:$B$40,0)),0)=1)*(COUNTIF(O1858:Q1875,$B1882)+COUNTIF(O1858:Q1875,$B1882&amp;" ~*")&gt;0)+(IFERROR(INDEX(Setup!$G$33:$G$40,MATCH(S1882,Setup!$B$33:$B$40,0)),0)=1)*(COUNTIF(S1858:U1875,$B1882)+COUNTIF(S1858:U1875,$B1882&amp;" ~*")&gt;0)+(IFERROR(INDEX(Setup!$G$33:$G$40,MATCH(W1882,Setup!$B$33:$B$40,0)),0)=1)*(COUNTIF(W1858:W1875,$B1882)+COUNTIF(W1858:W1875,$B1882&amp;" ~*")&gt;0)+(IFERROR(INDEX(Setup!$G$33:$G$40,MATCH(Y1882,Setup!$B$33:$B$40,0)),0)=1)*(COUNTIF(Y1858:Y1875,$B1882)+COUNTIF(Y1858:Y1875,$B1882&amp;" ~*")&gt;0))</f>
        <v/>
      </c>
    </row>
    <row r="1883" ht="15" customHeight="1">
      <c r="A1883" t="n">
        <v>38</v>
      </c>
      <c r="B1883" s="35">
        <f>IF(Setup!$B$12="","",Setup!$B$12)</f>
        <v/>
      </c>
      <c r="C1883" s="98" t="n"/>
      <c r="D1883" s="99" t="n"/>
      <c r="E1883" s="99" t="n"/>
      <c r="F1883" s="100" t="n"/>
      <c r="G1883" s="98" t="n"/>
      <c r="H1883" s="99" t="n"/>
      <c r="I1883" s="99" t="n"/>
      <c r="J1883" s="100" t="n"/>
      <c r="K1883" s="98" t="n"/>
      <c r="L1883" s="99" t="n"/>
      <c r="M1883" s="99" t="n"/>
      <c r="N1883" s="100" t="n"/>
      <c r="O1883" s="98" t="n"/>
      <c r="P1883" s="99" t="n"/>
      <c r="Q1883" s="99" t="n"/>
      <c r="R1883" s="100" t="n"/>
      <c r="S1883" s="98" t="n"/>
      <c r="T1883" s="99" t="n"/>
      <c r="U1883" s="99" t="n"/>
      <c r="V1883" s="100" t="n"/>
      <c r="W1883" s="98" t="n"/>
      <c r="X1883" s="100" t="n"/>
      <c r="Y1883" s="98" t="n"/>
      <c r="Z1883" s="100" t="n"/>
      <c r="AB1883" s="101">
        <f>IF($B1883="","",(COUNTIF(C1858:E1875,$B1883)+COUNTIF(C1858:E1875,$B1883&amp;" ~*")&gt;0)+(COUNTIF(G1858:I1875,$B1883)+COUNTIF(G1858:I1875,$B1883&amp;" ~*")&gt;0)+(COUNTIF(K1858:M1875,$B1883)+COUNTIF(K1858:M1875,$B1883&amp;" ~*")&gt;0)+(COUNTIF(O1858:Q1875,$B1883)+COUNTIF(O1858:Q1875,$B1883&amp;" ~*")&gt;0)+(COUNTIF(S1858:U1875,$B1883)+COUNTIF(S1858:U1875,$B1883&amp;" ~*")&gt;0)+(COUNTIF(W1858:W1875,$B1883)+COUNTIF(W1858:W1875,$B1883&amp;" ~*")&gt;0)+(COUNTIF(Y1858:Y1875,$B1883)+COUNTIF(Y1858:Y1875,$B1883&amp;" ~*")&gt;0))</f>
        <v/>
      </c>
      <c r="AC1883" s="36">
        <f>IF($B1883="","",(IFERROR(INDEX(Setup!$G$33:$G$40,MATCH(C1883,Setup!$B$33:$B$40,0)),0)=1)*(COUNTIF(C1858:E1875,$B1883)+COUNTIF(C1858:E1875,$B1883&amp;" ~*")&gt;0)+(IFERROR(INDEX(Setup!$G$33:$G$40,MATCH(G1883,Setup!$B$33:$B$40,0)),0)=1)*(COUNTIF(G1858:I1875,$B1883)+COUNTIF(G1858:I1875,$B1883&amp;" ~*")&gt;0)+(IFERROR(INDEX(Setup!$G$33:$G$40,MATCH(K1883,Setup!$B$33:$B$40,0)),0)=1)*(COUNTIF(K1858:M1875,$B1883)+COUNTIF(K1858:M1875,$B1883&amp;" ~*")&gt;0)+(IFERROR(INDEX(Setup!$G$33:$G$40,MATCH(O1883,Setup!$B$33:$B$40,0)),0)=1)*(COUNTIF(O1858:Q1875,$B1883)+COUNTIF(O1858:Q1875,$B1883&amp;" ~*")&gt;0)+(IFERROR(INDEX(Setup!$G$33:$G$40,MATCH(S1883,Setup!$B$33:$B$40,0)),0)=1)*(COUNTIF(S1858:U1875,$B1883)+COUNTIF(S1858:U1875,$B1883&amp;" ~*")&gt;0)+(IFERROR(INDEX(Setup!$G$33:$G$40,MATCH(W1883,Setup!$B$33:$B$40,0)),0)=1)*(COUNTIF(W1858:W1875,$B1883)+COUNTIF(W1858:W1875,$B1883&amp;" ~*")&gt;0)+(IFERROR(INDEX(Setup!$G$33:$G$40,MATCH(Y1883,Setup!$B$33:$B$40,0)),0)=1)*(COUNTIF(Y1858:Y1875,$B1883)+COUNTIF(Y1858:Y1875,$B1883&amp;" ~*")&gt;0))</f>
        <v/>
      </c>
    </row>
    <row r="1884" ht="15" customHeight="1">
      <c r="A1884" t="n">
        <v>38</v>
      </c>
      <c r="B1884" s="37">
        <f>IF(Setup!$B$13="","",Setup!$B$13)</f>
        <v/>
      </c>
      <c r="C1884" s="102" t="n"/>
      <c r="D1884" s="103" t="n"/>
      <c r="E1884" s="103" t="n"/>
      <c r="F1884" s="104" t="n"/>
      <c r="G1884" s="102" t="n"/>
      <c r="H1884" s="103" t="n"/>
      <c r="I1884" s="103" t="n"/>
      <c r="J1884" s="104" t="n"/>
      <c r="K1884" s="102" t="n"/>
      <c r="L1884" s="103" t="n"/>
      <c r="M1884" s="103" t="n"/>
      <c r="N1884" s="104" t="n"/>
      <c r="O1884" s="102" t="n"/>
      <c r="P1884" s="103" t="n"/>
      <c r="Q1884" s="103" t="n"/>
      <c r="R1884" s="104" t="n"/>
      <c r="S1884" s="102" t="n"/>
      <c r="T1884" s="103" t="n"/>
      <c r="U1884" s="103" t="n"/>
      <c r="V1884" s="104" t="n"/>
      <c r="W1884" s="102" t="n"/>
      <c r="X1884" s="104" t="n"/>
      <c r="Y1884" s="102" t="n"/>
      <c r="Z1884" s="104" t="n"/>
      <c r="AB1884" s="105">
        <f>IF($B1884="","",(COUNTIF(C1858:E1875,$B1884)+COUNTIF(C1858:E1875,$B1884&amp;" ~*")&gt;0)+(COUNTIF(G1858:I1875,$B1884)+COUNTIF(G1858:I1875,$B1884&amp;" ~*")&gt;0)+(COUNTIF(K1858:M1875,$B1884)+COUNTIF(K1858:M1875,$B1884&amp;" ~*")&gt;0)+(COUNTIF(O1858:Q1875,$B1884)+COUNTIF(O1858:Q1875,$B1884&amp;" ~*")&gt;0)+(COUNTIF(S1858:U1875,$B1884)+COUNTIF(S1858:U1875,$B1884&amp;" ~*")&gt;0)+(COUNTIF(W1858:W1875,$B1884)+COUNTIF(W1858:W1875,$B1884&amp;" ~*")&gt;0)+(COUNTIF(Y1858:Y1875,$B1884)+COUNTIF(Y1858:Y1875,$B1884&amp;" ~*")&gt;0))</f>
        <v/>
      </c>
      <c r="AC1884" s="38">
        <f>IF($B1884="","",(IFERROR(INDEX(Setup!$G$33:$G$40,MATCH(C1884,Setup!$B$33:$B$40,0)),0)=1)*(COUNTIF(C1858:E1875,$B1884)+COUNTIF(C1858:E1875,$B1884&amp;" ~*")&gt;0)+(IFERROR(INDEX(Setup!$G$33:$G$40,MATCH(G1884,Setup!$B$33:$B$40,0)),0)=1)*(COUNTIF(G1858:I1875,$B1884)+COUNTIF(G1858:I1875,$B1884&amp;" ~*")&gt;0)+(IFERROR(INDEX(Setup!$G$33:$G$40,MATCH(K1884,Setup!$B$33:$B$40,0)),0)=1)*(COUNTIF(K1858:M1875,$B1884)+COUNTIF(K1858:M1875,$B1884&amp;" ~*")&gt;0)+(IFERROR(INDEX(Setup!$G$33:$G$40,MATCH(O1884,Setup!$B$33:$B$40,0)),0)=1)*(COUNTIF(O1858:Q1875,$B1884)+COUNTIF(O1858:Q1875,$B1884&amp;" ~*")&gt;0)+(IFERROR(INDEX(Setup!$G$33:$G$40,MATCH(S1884,Setup!$B$33:$B$40,0)),0)=1)*(COUNTIF(S1858:U1875,$B1884)+COUNTIF(S1858:U1875,$B1884&amp;" ~*")&gt;0)+(IFERROR(INDEX(Setup!$G$33:$G$40,MATCH(W1884,Setup!$B$33:$B$40,0)),0)=1)*(COUNTIF(W1858:W1875,$B1884)+COUNTIF(W1858:W1875,$B1884&amp;" ~*")&gt;0)+(IFERROR(INDEX(Setup!$G$33:$G$40,MATCH(Y1884,Setup!$B$33:$B$40,0)),0)=1)*(COUNTIF(Y1858:Y1875,$B1884)+COUNTIF(Y1858:Y1875,$B1884&amp;" ~*")&gt;0))</f>
        <v/>
      </c>
    </row>
    <row r="1885" ht="15" customHeight="1">
      <c r="A1885" t="n">
        <v>38</v>
      </c>
      <c r="B1885" s="35">
        <f>IF(Setup!$B$14="","",Setup!$B$14)</f>
        <v/>
      </c>
      <c r="C1885" s="98" t="n"/>
      <c r="D1885" s="99" t="n"/>
      <c r="E1885" s="99" t="n"/>
      <c r="F1885" s="100" t="n"/>
      <c r="G1885" s="98" t="n"/>
      <c r="H1885" s="99" t="n"/>
      <c r="I1885" s="99" t="n"/>
      <c r="J1885" s="100" t="n"/>
      <c r="K1885" s="98" t="n"/>
      <c r="L1885" s="99" t="n"/>
      <c r="M1885" s="99" t="n"/>
      <c r="N1885" s="100" t="n"/>
      <c r="O1885" s="98" t="n"/>
      <c r="P1885" s="99" t="n"/>
      <c r="Q1885" s="99" t="n"/>
      <c r="R1885" s="100" t="n"/>
      <c r="S1885" s="98" t="n"/>
      <c r="T1885" s="99" t="n"/>
      <c r="U1885" s="99" t="n"/>
      <c r="V1885" s="100" t="n"/>
      <c r="W1885" s="98" t="n"/>
      <c r="X1885" s="100" t="n"/>
      <c r="Y1885" s="98" t="n"/>
      <c r="Z1885" s="100" t="n"/>
      <c r="AB1885" s="101">
        <f>IF($B1885="","",(COUNTIF(C1858:E1875,$B1885)+COUNTIF(C1858:E1875,$B1885&amp;" ~*")&gt;0)+(COUNTIF(G1858:I1875,$B1885)+COUNTIF(G1858:I1875,$B1885&amp;" ~*")&gt;0)+(COUNTIF(K1858:M1875,$B1885)+COUNTIF(K1858:M1875,$B1885&amp;" ~*")&gt;0)+(COUNTIF(O1858:Q1875,$B1885)+COUNTIF(O1858:Q1875,$B1885&amp;" ~*")&gt;0)+(COUNTIF(S1858:U1875,$B1885)+COUNTIF(S1858:U1875,$B1885&amp;" ~*")&gt;0)+(COUNTIF(W1858:W1875,$B1885)+COUNTIF(W1858:W1875,$B1885&amp;" ~*")&gt;0)+(COUNTIF(Y1858:Y1875,$B1885)+COUNTIF(Y1858:Y1875,$B1885&amp;" ~*")&gt;0))</f>
        <v/>
      </c>
      <c r="AC1885" s="36">
        <f>IF($B1885="","",(IFERROR(INDEX(Setup!$G$33:$G$40,MATCH(C1885,Setup!$B$33:$B$40,0)),0)=1)*(COUNTIF(C1858:E1875,$B1885)+COUNTIF(C1858:E1875,$B1885&amp;" ~*")&gt;0)+(IFERROR(INDEX(Setup!$G$33:$G$40,MATCH(G1885,Setup!$B$33:$B$40,0)),0)=1)*(COUNTIF(G1858:I1875,$B1885)+COUNTIF(G1858:I1875,$B1885&amp;" ~*")&gt;0)+(IFERROR(INDEX(Setup!$G$33:$G$40,MATCH(K1885,Setup!$B$33:$B$40,0)),0)=1)*(COUNTIF(K1858:M1875,$B1885)+COUNTIF(K1858:M1875,$B1885&amp;" ~*")&gt;0)+(IFERROR(INDEX(Setup!$G$33:$G$40,MATCH(O1885,Setup!$B$33:$B$40,0)),0)=1)*(COUNTIF(O1858:Q1875,$B1885)+COUNTIF(O1858:Q1875,$B1885&amp;" ~*")&gt;0)+(IFERROR(INDEX(Setup!$G$33:$G$40,MATCH(S1885,Setup!$B$33:$B$40,0)),0)=1)*(COUNTIF(S1858:U1875,$B1885)+COUNTIF(S1858:U1875,$B1885&amp;" ~*")&gt;0)+(IFERROR(INDEX(Setup!$G$33:$G$40,MATCH(W1885,Setup!$B$33:$B$40,0)),0)=1)*(COUNTIF(W1858:W1875,$B1885)+COUNTIF(W1858:W1875,$B1885&amp;" ~*")&gt;0)+(IFERROR(INDEX(Setup!$G$33:$G$40,MATCH(Y1885,Setup!$B$33:$B$40,0)),0)=1)*(COUNTIF(Y1858:Y1875,$B1885)+COUNTIF(Y1858:Y1875,$B1885&amp;" ~*")&gt;0))</f>
        <v/>
      </c>
    </row>
    <row r="1886" ht="15" customHeight="1">
      <c r="A1886" t="n">
        <v>38</v>
      </c>
      <c r="B1886" s="37">
        <f>IF(Setup!$B$15="","",Setup!$B$15)</f>
        <v/>
      </c>
      <c r="C1886" s="102" t="n"/>
      <c r="D1886" s="103" t="n"/>
      <c r="E1886" s="103" t="n"/>
      <c r="F1886" s="104" t="n"/>
      <c r="G1886" s="102" t="n"/>
      <c r="H1886" s="103" t="n"/>
      <c r="I1886" s="103" t="n"/>
      <c r="J1886" s="104" t="n"/>
      <c r="K1886" s="102" t="n"/>
      <c r="L1886" s="103" t="n"/>
      <c r="M1886" s="103" t="n"/>
      <c r="N1886" s="104" t="n"/>
      <c r="O1886" s="102" t="n"/>
      <c r="P1886" s="103" t="n"/>
      <c r="Q1886" s="103" t="n"/>
      <c r="R1886" s="104" t="n"/>
      <c r="S1886" s="102" t="n"/>
      <c r="T1886" s="103" t="n"/>
      <c r="U1886" s="103" t="n"/>
      <c r="V1886" s="104" t="n"/>
      <c r="W1886" s="102" t="n"/>
      <c r="X1886" s="104" t="n"/>
      <c r="Y1886" s="102" t="n"/>
      <c r="Z1886" s="104" t="n"/>
      <c r="AB1886" s="105">
        <f>IF($B1886="","",(COUNTIF(C1858:E1875,$B1886)+COUNTIF(C1858:E1875,$B1886&amp;" ~*")&gt;0)+(COUNTIF(G1858:I1875,$B1886)+COUNTIF(G1858:I1875,$B1886&amp;" ~*")&gt;0)+(COUNTIF(K1858:M1875,$B1886)+COUNTIF(K1858:M1875,$B1886&amp;" ~*")&gt;0)+(COUNTIF(O1858:Q1875,$B1886)+COUNTIF(O1858:Q1875,$B1886&amp;" ~*")&gt;0)+(COUNTIF(S1858:U1875,$B1886)+COUNTIF(S1858:U1875,$B1886&amp;" ~*")&gt;0)+(COUNTIF(W1858:W1875,$B1886)+COUNTIF(W1858:W1875,$B1886&amp;" ~*")&gt;0)+(COUNTIF(Y1858:Y1875,$B1886)+COUNTIF(Y1858:Y1875,$B1886&amp;" ~*")&gt;0))</f>
        <v/>
      </c>
      <c r="AC1886" s="38">
        <f>IF($B1886="","",(IFERROR(INDEX(Setup!$G$33:$G$40,MATCH(C1886,Setup!$B$33:$B$40,0)),0)=1)*(COUNTIF(C1858:E1875,$B1886)+COUNTIF(C1858:E1875,$B1886&amp;" ~*")&gt;0)+(IFERROR(INDEX(Setup!$G$33:$G$40,MATCH(G1886,Setup!$B$33:$B$40,0)),0)=1)*(COUNTIF(G1858:I1875,$B1886)+COUNTIF(G1858:I1875,$B1886&amp;" ~*")&gt;0)+(IFERROR(INDEX(Setup!$G$33:$G$40,MATCH(K1886,Setup!$B$33:$B$40,0)),0)=1)*(COUNTIF(K1858:M1875,$B1886)+COUNTIF(K1858:M1875,$B1886&amp;" ~*")&gt;0)+(IFERROR(INDEX(Setup!$G$33:$G$40,MATCH(O1886,Setup!$B$33:$B$40,0)),0)=1)*(COUNTIF(O1858:Q1875,$B1886)+COUNTIF(O1858:Q1875,$B1886&amp;" ~*")&gt;0)+(IFERROR(INDEX(Setup!$G$33:$G$40,MATCH(S1886,Setup!$B$33:$B$40,0)),0)=1)*(COUNTIF(S1858:U1875,$B1886)+COUNTIF(S1858:U1875,$B1886&amp;" ~*")&gt;0)+(IFERROR(INDEX(Setup!$G$33:$G$40,MATCH(W1886,Setup!$B$33:$B$40,0)),0)=1)*(COUNTIF(W1858:W1875,$B1886)+COUNTIF(W1858:W1875,$B1886&amp;" ~*")&gt;0)+(IFERROR(INDEX(Setup!$G$33:$G$40,MATCH(Y1886,Setup!$B$33:$B$40,0)),0)=1)*(COUNTIF(Y1858:Y1875,$B1886)+COUNTIF(Y1858:Y1875,$B1886&amp;" ~*")&gt;0))</f>
        <v/>
      </c>
    </row>
    <row r="1887" ht="15" customHeight="1">
      <c r="A1887" t="n">
        <v>38</v>
      </c>
      <c r="B1887" s="35">
        <f>IF(Setup!$B$16="","",Setup!$B$16)</f>
        <v/>
      </c>
      <c r="C1887" s="98" t="n"/>
      <c r="D1887" s="99" t="n"/>
      <c r="E1887" s="99" t="n"/>
      <c r="F1887" s="100" t="n"/>
      <c r="G1887" s="98" t="n"/>
      <c r="H1887" s="99" t="n"/>
      <c r="I1887" s="99" t="n"/>
      <c r="J1887" s="100" t="n"/>
      <c r="K1887" s="98" t="n"/>
      <c r="L1887" s="99" t="n"/>
      <c r="M1887" s="99" t="n"/>
      <c r="N1887" s="100" t="n"/>
      <c r="O1887" s="98" t="n"/>
      <c r="P1887" s="99" t="n"/>
      <c r="Q1887" s="99" t="n"/>
      <c r="R1887" s="100" t="n"/>
      <c r="S1887" s="98" t="n"/>
      <c r="T1887" s="99" t="n"/>
      <c r="U1887" s="99" t="n"/>
      <c r="V1887" s="100" t="n"/>
      <c r="W1887" s="98" t="n"/>
      <c r="X1887" s="100" t="n"/>
      <c r="Y1887" s="98" t="n"/>
      <c r="Z1887" s="100" t="n"/>
      <c r="AB1887" s="101">
        <f>IF($B1887="","",(COUNTIF(C1858:E1875,$B1887)+COUNTIF(C1858:E1875,$B1887&amp;" ~*")&gt;0)+(COUNTIF(G1858:I1875,$B1887)+COUNTIF(G1858:I1875,$B1887&amp;" ~*")&gt;0)+(COUNTIF(K1858:M1875,$B1887)+COUNTIF(K1858:M1875,$B1887&amp;" ~*")&gt;0)+(COUNTIF(O1858:Q1875,$B1887)+COUNTIF(O1858:Q1875,$B1887&amp;" ~*")&gt;0)+(COUNTIF(S1858:U1875,$B1887)+COUNTIF(S1858:U1875,$B1887&amp;" ~*")&gt;0)+(COUNTIF(W1858:W1875,$B1887)+COUNTIF(W1858:W1875,$B1887&amp;" ~*")&gt;0)+(COUNTIF(Y1858:Y1875,$B1887)+COUNTIF(Y1858:Y1875,$B1887&amp;" ~*")&gt;0))</f>
        <v/>
      </c>
      <c r="AC1887" s="36">
        <f>IF($B1887="","",(IFERROR(INDEX(Setup!$G$33:$G$40,MATCH(C1887,Setup!$B$33:$B$40,0)),0)=1)*(COUNTIF(C1858:E1875,$B1887)+COUNTIF(C1858:E1875,$B1887&amp;" ~*")&gt;0)+(IFERROR(INDEX(Setup!$G$33:$G$40,MATCH(G1887,Setup!$B$33:$B$40,0)),0)=1)*(COUNTIF(G1858:I1875,$B1887)+COUNTIF(G1858:I1875,$B1887&amp;" ~*")&gt;0)+(IFERROR(INDEX(Setup!$G$33:$G$40,MATCH(K1887,Setup!$B$33:$B$40,0)),0)=1)*(COUNTIF(K1858:M1875,$B1887)+COUNTIF(K1858:M1875,$B1887&amp;" ~*")&gt;0)+(IFERROR(INDEX(Setup!$G$33:$G$40,MATCH(O1887,Setup!$B$33:$B$40,0)),0)=1)*(COUNTIF(O1858:Q1875,$B1887)+COUNTIF(O1858:Q1875,$B1887&amp;" ~*")&gt;0)+(IFERROR(INDEX(Setup!$G$33:$G$40,MATCH(S1887,Setup!$B$33:$B$40,0)),0)=1)*(COUNTIF(S1858:U1875,$B1887)+COUNTIF(S1858:U1875,$B1887&amp;" ~*")&gt;0)+(IFERROR(INDEX(Setup!$G$33:$G$40,MATCH(W1887,Setup!$B$33:$B$40,0)),0)=1)*(COUNTIF(W1858:W1875,$B1887)+COUNTIF(W1858:W1875,$B1887&amp;" ~*")&gt;0)+(IFERROR(INDEX(Setup!$G$33:$G$40,MATCH(Y1887,Setup!$B$33:$B$40,0)),0)=1)*(COUNTIF(Y1858:Y1875,$B1887)+COUNTIF(Y1858:Y1875,$B1887&amp;" ~*")&gt;0))</f>
        <v/>
      </c>
    </row>
    <row r="1888" ht="15" customHeight="1">
      <c r="A1888" t="n">
        <v>38</v>
      </c>
      <c r="B1888" s="37">
        <f>IF(Setup!$B$17="","",Setup!$B$17)</f>
        <v/>
      </c>
      <c r="C1888" s="102" t="n"/>
      <c r="D1888" s="103" t="n"/>
      <c r="E1888" s="103" t="n"/>
      <c r="F1888" s="104" t="n"/>
      <c r="G1888" s="102" t="n"/>
      <c r="H1888" s="103" t="n"/>
      <c r="I1888" s="103" t="n"/>
      <c r="J1888" s="104" t="n"/>
      <c r="K1888" s="102" t="n"/>
      <c r="L1888" s="103" t="n"/>
      <c r="M1888" s="103" t="n"/>
      <c r="N1888" s="104" t="n"/>
      <c r="O1888" s="102" t="n"/>
      <c r="P1888" s="103" t="n"/>
      <c r="Q1888" s="103" t="n"/>
      <c r="R1888" s="104" t="n"/>
      <c r="S1888" s="102" t="n"/>
      <c r="T1888" s="103" t="n"/>
      <c r="U1888" s="103" t="n"/>
      <c r="V1888" s="104" t="n"/>
      <c r="W1888" s="102" t="n"/>
      <c r="X1888" s="104" t="n"/>
      <c r="Y1888" s="102" t="n"/>
      <c r="Z1888" s="104" t="n"/>
      <c r="AB1888" s="105">
        <f>IF($B1888="","",(COUNTIF(C1858:E1875,$B1888)+COUNTIF(C1858:E1875,$B1888&amp;" ~*")&gt;0)+(COUNTIF(G1858:I1875,$B1888)+COUNTIF(G1858:I1875,$B1888&amp;" ~*")&gt;0)+(COUNTIF(K1858:M1875,$B1888)+COUNTIF(K1858:M1875,$B1888&amp;" ~*")&gt;0)+(COUNTIF(O1858:Q1875,$B1888)+COUNTIF(O1858:Q1875,$B1888&amp;" ~*")&gt;0)+(COUNTIF(S1858:U1875,$B1888)+COUNTIF(S1858:U1875,$B1888&amp;" ~*")&gt;0)+(COUNTIF(W1858:W1875,$B1888)+COUNTIF(W1858:W1875,$B1888&amp;" ~*")&gt;0)+(COUNTIF(Y1858:Y1875,$B1888)+COUNTIF(Y1858:Y1875,$B1888&amp;" ~*")&gt;0))</f>
        <v/>
      </c>
      <c r="AC1888" s="38">
        <f>IF($B1888="","",(IFERROR(INDEX(Setup!$G$33:$G$40,MATCH(C1888,Setup!$B$33:$B$40,0)),0)=1)*(COUNTIF(C1858:E1875,$B1888)+COUNTIF(C1858:E1875,$B1888&amp;" ~*")&gt;0)+(IFERROR(INDEX(Setup!$G$33:$G$40,MATCH(G1888,Setup!$B$33:$B$40,0)),0)=1)*(COUNTIF(G1858:I1875,$B1888)+COUNTIF(G1858:I1875,$B1888&amp;" ~*")&gt;0)+(IFERROR(INDEX(Setup!$G$33:$G$40,MATCH(K1888,Setup!$B$33:$B$40,0)),0)=1)*(COUNTIF(K1858:M1875,$B1888)+COUNTIF(K1858:M1875,$B1888&amp;" ~*")&gt;0)+(IFERROR(INDEX(Setup!$G$33:$G$40,MATCH(O1888,Setup!$B$33:$B$40,0)),0)=1)*(COUNTIF(O1858:Q1875,$B1888)+COUNTIF(O1858:Q1875,$B1888&amp;" ~*")&gt;0)+(IFERROR(INDEX(Setup!$G$33:$G$40,MATCH(S1888,Setup!$B$33:$B$40,0)),0)=1)*(COUNTIF(S1858:U1875,$B1888)+COUNTIF(S1858:U1875,$B1888&amp;" ~*")&gt;0)+(IFERROR(INDEX(Setup!$G$33:$G$40,MATCH(W1888,Setup!$B$33:$B$40,0)),0)=1)*(COUNTIF(W1858:W1875,$B1888)+COUNTIF(W1858:W1875,$B1888&amp;" ~*")&gt;0)+(IFERROR(INDEX(Setup!$G$33:$G$40,MATCH(Y1888,Setup!$B$33:$B$40,0)),0)=1)*(COUNTIF(Y1858:Y1875,$B1888)+COUNTIF(Y1858:Y1875,$B1888&amp;" ~*")&gt;0))</f>
        <v/>
      </c>
    </row>
    <row r="1889" ht="15" customHeight="1">
      <c r="A1889" t="n">
        <v>38</v>
      </c>
      <c r="B1889" s="35">
        <f>IF(Setup!$B$18="","",Setup!$B$18)</f>
        <v/>
      </c>
      <c r="C1889" s="98" t="n"/>
      <c r="D1889" s="99" t="n"/>
      <c r="E1889" s="99" t="n"/>
      <c r="F1889" s="100" t="n"/>
      <c r="G1889" s="98" t="n"/>
      <c r="H1889" s="99" t="n"/>
      <c r="I1889" s="99" t="n"/>
      <c r="J1889" s="100" t="n"/>
      <c r="K1889" s="98" t="n"/>
      <c r="L1889" s="99" t="n"/>
      <c r="M1889" s="99" t="n"/>
      <c r="N1889" s="100" t="n"/>
      <c r="O1889" s="98" t="n"/>
      <c r="P1889" s="99" t="n"/>
      <c r="Q1889" s="99" t="n"/>
      <c r="R1889" s="100" t="n"/>
      <c r="S1889" s="98" t="n"/>
      <c r="T1889" s="99" t="n"/>
      <c r="U1889" s="99" t="n"/>
      <c r="V1889" s="100" t="n"/>
      <c r="W1889" s="98" t="n"/>
      <c r="X1889" s="100" t="n"/>
      <c r="Y1889" s="98" t="n"/>
      <c r="Z1889" s="100" t="n"/>
      <c r="AB1889" s="101">
        <f>IF($B1889="","",(COUNTIF(C1858:E1875,$B1889)+COUNTIF(C1858:E1875,$B1889&amp;" ~*")&gt;0)+(COUNTIF(G1858:I1875,$B1889)+COUNTIF(G1858:I1875,$B1889&amp;" ~*")&gt;0)+(COUNTIF(K1858:M1875,$B1889)+COUNTIF(K1858:M1875,$B1889&amp;" ~*")&gt;0)+(COUNTIF(O1858:Q1875,$B1889)+COUNTIF(O1858:Q1875,$B1889&amp;" ~*")&gt;0)+(COUNTIF(S1858:U1875,$B1889)+COUNTIF(S1858:U1875,$B1889&amp;" ~*")&gt;0)+(COUNTIF(W1858:W1875,$B1889)+COUNTIF(W1858:W1875,$B1889&amp;" ~*")&gt;0)+(COUNTIF(Y1858:Y1875,$B1889)+COUNTIF(Y1858:Y1875,$B1889&amp;" ~*")&gt;0))</f>
        <v/>
      </c>
      <c r="AC1889" s="36">
        <f>IF($B1889="","",(IFERROR(INDEX(Setup!$G$33:$G$40,MATCH(C1889,Setup!$B$33:$B$40,0)),0)=1)*(COUNTIF(C1858:E1875,$B1889)+COUNTIF(C1858:E1875,$B1889&amp;" ~*")&gt;0)+(IFERROR(INDEX(Setup!$G$33:$G$40,MATCH(G1889,Setup!$B$33:$B$40,0)),0)=1)*(COUNTIF(G1858:I1875,$B1889)+COUNTIF(G1858:I1875,$B1889&amp;" ~*")&gt;0)+(IFERROR(INDEX(Setup!$G$33:$G$40,MATCH(K1889,Setup!$B$33:$B$40,0)),0)=1)*(COUNTIF(K1858:M1875,$B1889)+COUNTIF(K1858:M1875,$B1889&amp;" ~*")&gt;0)+(IFERROR(INDEX(Setup!$G$33:$G$40,MATCH(O1889,Setup!$B$33:$B$40,0)),0)=1)*(COUNTIF(O1858:Q1875,$B1889)+COUNTIF(O1858:Q1875,$B1889&amp;" ~*")&gt;0)+(IFERROR(INDEX(Setup!$G$33:$G$40,MATCH(S1889,Setup!$B$33:$B$40,0)),0)=1)*(COUNTIF(S1858:U1875,$B1889)+COUNTIF(S1858:U1875,$B1889&amp;" ~*")&gt;0)+(IFERROR(INDEX(Setup!$G$33:$G$40,MATCH(W1889,Setup!$B$33:$B$40,0)),0)=1)*(COUNTIF(W1858:W1875,$B1889)+COUNTIF(W1858:W1875,$B1889&amp;" ~*")&gt;0)+(IFERROR(INDEX(Setup!$G$33:$G$40,MATCH(Y1889,Setup!$B$33:$B$40,0)),0)=1)*(COUNTIF(Y1858:Y1875,$B1889)+COUNTIF(Y1858:Y1875,$B1889&amp;" ~*")&gt;0))</f>
        <v/>
      </c>
    </row>
    <row r="1890" ht="15" customHeight="1">
      <c r="A1890" t="n">
        <v>38</v>
      </c>
      <c r="B1890" s="37">
        <f>IF(Setup!$B$19="","",Setup!$B$19)</f>
        <v/>
      </c>
      <c r="C1890" s="102" t="n"/>
      <c r="D1890" s="103" t="n"/>
      <c r="E1890" s="103" t="n"/>
      <c r="F1890" s="104" t="n"/>
      <c r="G1890" s="102" t="n"/>
      <c r="H1890" s="103" t="n"/>
      <c r="I1890" s="103" t="n"/>
      <c r="J1890" s="104" t="n"/>
      <c r="K1890" s="102" t="n"/>
      <c r="L1890" s="103" t="n"/>
      <c r="M1890" s="103" t="n"/>
      <c r="N1890" s="104" t="n"/>
      <c r="O1890" s="102" t="n"/>
      <c r="P1890" s="103" t="n"/>
      <c r="Q1890" s="103" t="n"/>
      <c r="R1890" s="104" t="n"/>
      <c r="S1890" s="102" t="n"/>
      <c r="T1890" s="103" t="n"/>
      <c r="U1890" s="103" t="n"/>
      <c r="V1890" s="104" t="n"/>
      <c r="W1890" s="102" t="n"/>
      <c r="X1890" s="104" t="n"/>
      <c r="Y1890" s="102" t="n"/>
      <c r="Z1890" s="104" t="n"/>
      <c r="AB1890" s="105">
        <f>IF($B1890="","",(COUNTIF(C1858:E1875,$B1890)+COUNTIF(C1858:E1875,$B1890&amp;" ~*")&gt;0)+(COUNTIF(G1858:I1875,$B1890)+COUNTIF(G1858:I1875,$B1890&amp;" ~*")&gt;0)+(COUNTIF(K1858:M1875,$B1890)+COUNTIF(K1858:M1875,$B1890&amp;" ~*")&gt;0)+(COUNTIF(O1858:Q1875,$B1890)+COUNTIF(O1858:Q1875,$B1890&amp;" ~*")&gt;0)+(COUNTIF(S1858:U1875,$B1890)+COUNTIF(S1858:U1875,$B1890&amp;" ~*")&gt;0)+(COUNTIF(W1858:W1875,$B1890)+COUNTIF(W1858:W1875,$B1890&amp;" ~*")&gt;0)+(COUNTIF(Y1858:Y1875,$B1890)+COUNTIF(Y1858:Y1875,$B1890&amp;" ~*")&gt;0))</f>
        <v/>
      </c>
      <c r="AC1890" s="38">
        <f>IF($B1890="","",(IFERROR(INDEX(Setup!$G$33:$G$40,MATCH(C1890,Setup!$B$33:$B$40,0)),0)=1)*(COUNTIF(C1858:E1875,$B1890)+COUNTIF(C1858:E1875,$B1890&amp;" ~*")&gt;0)+(IFERROR(INDEX(Setup!$G$33:$G$40,MATCH(G1890,Setup!$B$33:$B$40,0)),0)=1)*(COUNTIF(G1858:I1875,$B1890)+COUNTIF(G1858:I1875,$B1890&amp;" ~*")&gt;0)+(IFERROR(INDEX(Setup!$G$33:$G$40,MATCH(K1890,Setup!$B$33:$B$40,0)),0)=1)*(COUNTIF(K1858:M1875,$B1890)+COUNTIF(K1858:M1875,$B1890&amp;" ~*")&gt;0)+(IFERROR(INDEX(Setup!$G$33:$G$40,MATCH(O1890,Setup!$B$33:$B$40,0)),0)=1)*(COUNTIF(O1858:Q1875,$B1890)+COUNTIF(O1858:Q1875,$B1890&amp;" ~*")&gt;0)+(IFERROR(INDEX(Setup!$G$33:$G$40,MATCH(S1890,Setup!$B$33:$B$40,0)),0)=1)*(COUNTIF(S1858:U1875,$B1890)+COUNTIF(S1858:U1875,$B1890&amp;" ~*")&gt;0)+(IFERROR(INDEX(Setup!$G$33:$G$40,MATCH(W1890,Setup!$B$33:$B$40,0)),0)=1)*(COUNTIF(W1858:W1875,$B1890)+COUNTIF(W1858:W1875,$B1890&amp;" ~*")&gt;0)+(IFERROR(INDEX(Setup!$G$33:$G$40,MATCH(Y1890,Setup!$B$33:$B$40,0)),0)=1)*(COUNTIF(Y1858:Y1875,$B1890)+COUNTIF(Y1858:Y1875,$B1890&amp;" ~*")&gt;0))</f>
        <v/>
      </c>
    </row>
    <row r="1891" ht="15" customHeight="1">
      <c r="A1891" t="n">
        <v>38</v>
      </c>
      <c r="B1891" s="35">
        <f>IF(Setup!$B$20="","",Setup!$B$20)</f>
        <v/>
      </c>
      <c r="C1891" s="98" t="n"/>
      <c r="D1891" s="99" t="n"/>
      <c r="E1891" s="99" t="n"/>
      <c r="F1891" s="100" t="n"/>
      <c r="G1891" s="98" t="n"/>
      <c r="H1891" s="99" t="n"/>
      <c r="I1891" s="99" t="n"/>
      <c r="J1891" s="100" t="n"/>
      <c r="K1891" s="98" t="n"/>
      <c r="L1891" s="99" t="n"/>
      <c r="M1891" s="99" t="n"/>
      <c r="N1891" s="100" t="n"/>
      <c r="O1891" s="98" t="n"/>
      <c r="P1891" s="99" t="n"/>
      <c r="Q1891" s="99" t="n"/>
      <c r="R1891" s="100" t="n"/>
      <c r="S1891" s="98" t="n"/>
      <c r="T1891" s="99" t="n"/>
      <c r="U1891" s="99" t="n"/>
      <c r="V1891" s="100" t="n"/>
      <c r="W1891" s="98" t="n"/>
      <c r="X1891" s="100" t="n"/>
      <c r="Y1891" s="98" t="n"/>
      <c r="Z1891" s="100" t="n"/>
      <c r="AB1891" s="101">
        <f>IF($B1891="","",(COUNTIF(C1858:E1875,$B1891)+COUNTIF(C1858:E1875,$B1891&amp;" ~*")&gt;0)+(COUNTIF(G1858:I1875,$B1891)+COUNTIF(G1858:I1875,$B1891&amp;" ~*")&gt;0)+(COUNTIF(K1858:M1875,$B1891)+COUNTIF(K1858:M1875,$B1891&amp;" ~*")&gt;0)+(COUNTIF(O1858:Q1875,$B1891)+COUNTIF(O1858:Q1875,$B1891&amp;" ~*")&gt;0)+(COUNTIF(S1858:U1875,$B1891)+COUNTIF(S1858:U1875,$B1891&amp;" ~*")&gt;0)+(COUNTIF(W1858:W1875,$B1891)+COUNTIF(W1858:W1875,$B1891&amp;" ~*")&gt;0)+(COUNTIF(Y1858:Y1875,$B1891)+COUNTIF(Y1858:Y1875,$B1891&amp;" ~*")&gt;0))</f>
        <v/>
      </c>
      <c r="AC1891" s="36">
        <f>IF($B1891="","",(IFERROR(INDEX(Setup!$G$33:$G$40,MATCH(C1891,Setup!$B$33:$B$40,0)),0)=1)*(COUNTIF(C1858:E1875,$B1891)+COUNTIF(C1858:E1875,$B1891&amp;" ~*")&gt;0)+(IFERROR(INDEX(Setup!$G$33:$G$40,MATCH(G1891,Setup!$B$33:$B$40,0)),0)=1)*(COUNTIF(G1858:I1875,$B1891)+COUNTIF(G1858:I1875,$B1891&amp;" ~*")&gt;0)+(IFERROR(INDEX(Setup!$G$33:$G$40,MATCH(K1891,Setup!$B$33:$B$40,0)),0)=1)*(COUNTIF(K1858:M1875,$B1891)+COUNTIF(K1858:M1875,$B1891&amp;" ~*")&gt;0)+(IFERROR(INDEX(Setup!$G$33:$G$40,MATCH(O1891,Setup!$B$33:$B$40,0)),0)=1)*(COUNTIF(O1858:Q1875,$B1891)+COUNTIF(O1858:Q1875,$B1891&amp;" ~*")&gt;0)+(IFERROR(INDEX(Setup!$G$33:$G$40,MATCH(S1891,Setup!$B$33:$B$40,0)),0)=1)*(COUNTIF(S1858:U1875,$B1891)+COUNTIF(S1858:U1875,$B1891&amp;" ~*")&gt;0)+(IFERROR(INDEX(Setup!$G$33:$G$40,MATCH(W1891,Setup!$B$33:$B$40,0)),0)=1)*(COUNTIF(W1858:W1875,$B1891)+COUNTIF(W1858:W1875,$B1891&amp;" ~*")&gt;0)+(IFERROR(INDEX(Setup!$G$33:$G$40,MATCH(Y1891,Setup!$B$33:$B$40,0)),0)=1)*(COUNTIF(Y1858:Y1875,$B1891)+COUNTIF(Y1858:Y1875,$B1891&amp;" ~*")&gt;0))</f>
        <v/>
      </c>
    </row>
    <row r="1892" ht="15" customHeight="1">
      <c r="A1892" t="n">
        <v>38</v>
      </c>
      <c r="B1892" s="37">
        <f>IF(Setup!$B$21="","",Setup!$B$21)</f>
        <v/>
      </c>
      <c r="C1892" s="102" t="n"/>
      <c r="D1892" s="103" t="n"/>
      <c r="E1892" s="103" t="n"/>
      <c r="F1892" s="104" t="n"/>
      <c r="G1892" s="102" t="n"/>
      <c r="H1892" s="103" t="n"/>
      <c r="I1892" s="103" t="n"/>
      <c r="J1892" s="104" t="n"/>
      <c r="K1892" s="102" t="n"/>
      <c r="L1892" s="103" t="n"/>
      <c r="M1892" s="103" t="n"/>
      <c r="N1892" s="104" t="n"/>
      <c r="O1892" s="102" t="n"/>
      <c r="P1892" s="103" t="n"/>
      <c r="Q1892" s="103" t="n"/>
      <c r="R1892" s="104" t="n"/>
      <c r="S1892" s="102" t="n"/>
      <c r="T1892" s="103" t="n"/>
      <c r="U1892" s="103" t="n"/>
      <c r="V1892" s="104" t="n"/>
      <c r="W1892" s="102" t="n"/>
      <c r="X1892" s="104" t="n"/>
      <c r="Y1892" s="102" t="n"/>
      <c r="Z1892" s="104" t="n"/>
      <c r="AB1892" s="105">
        <f>IF($B1892="","",(COUNTIF(C1858:E1875,$B1892)+COUNTIF(C1858:E1875,$B1892&amp;" ~*")&gt;0)+(COUNTIF(G1858:I1875,$B1892)+COUNTIF(G1858:I1875,$B1892&amp;" ~*")&gt;0)+(COUNTIF(K1858:M1875,$B1892)+COUNTIF(K1858:M1875,$B1892&amp;" ~*")&gt;0)+(COUNTIF(O1858:Q1875,$B1892)+COUNTIF(O1858:Q1875,$B1892&amp;" ~*")&gt;0)+(COUNTIF(S1858:U1875,$B1892)+COUNTIF(S1858:U1875,$B1892&amp;" ~*")&gt;0)+(COUNTIF(W1858:W1875,$B1892)+COUNTIF(W1858:W1875,$B1892&amp;" ~*")&gt;0)+(COUNTIF(Y1858:Y1875,$B1892)+COUNTIF(Y1858:Y1875,$B1892&amp;" ~*")&gt;0))</f>
        <v/>
      </c>
      <c r="AC1892" s="38">
        <f>IF($B1892="","",(IFERROR(INDEX(Setup!$G$33:$G$40,MATCH(C1892,Setup!$B$33:$B$40,0)),0)=1)*(COUNTIF(C1858:E1875,$B1892)+COUNTIF(C1858:E1875,$B1892&amp;" ~*")&gt;0)+(IFERROR(INDEX(Setup!$G$33:$G$40,MATCH(G1892,Setup!$B$33:$B$40,0)),0)=1)*(COUNTIF(G1858:I1875,$B1892)+COUNTIF(G1858:I1875,$B1892&amp;" ~*")&gt;0)+(IFERROR(INDEX(Setup!$G$33:$G$40,MATCH(K1892,Setup!$B$33:$B$40,0)),0)=1)*(COUNTIF(K1858:M1875,$B1892)+COUNTIF(K1858:M1875,$B1892&amp;" ~*")&gt;0)+(IFERROR(INDEX(Setup!$G$33:$G$40,MATCH(O1892,Setup!$B$33:$B$40,0)),0)=1)*(COUNTIF(O1858:Q1875,$B1892)+COUNTIF(O1858:Q1875,$B1892&amp;" ~*")&gt;0)+(IFERROR(INDEX(Setup!$G$33:$G$40,MATCH(S1892,Setup!$B$33:$B$40,0)),0)=1)*(COUNTIF(S1858:U1875,$B1892)+COUNTIF(S1858:U1875,$B1892&amp;" ~*")&gt;0)+(IFERROR(INDEX(Setup!$G$33:$G$40,MATCH(W1892,Setup!$B$33:$B$40,0)),0)=1)*(COUNTIF(W1858:W1875,$B1892)+COUNTIF(W1858:W1875,$B1892&amp;" ~*")&gt;0)+(IFERROR(INDEX(Setup!$G$33:$G$40,MATCH(Y1892,Setup!$B$33:$B$40,0)),0)=1)*(COUNTIF(Y1858:Y1875,$B1892)+COUNTIF(Y1858:Y1875,$B1892&amp;" ~*")&gt;0))</f>
        <v/>
      </c>
    </row>
    <row r="1893" ht="15" customHeight="1">
      <c r="A1893" t="n">
        <v>38</v>
      </c>
      <c r="B1893" s="35">
        <f>IF(Setup!$B$22="","",Setup!$B$22)</f>
        <v/>
      </c>
      <c r="C1893" s="98" t="n"/>
      <c r="D1893" s="99" t="n"/>
      <c r="E1893" s="99" t="n"/>
      <c r="F1893" s="100" t="n"/>
      <c r="G1893" s="98" t="n"/>
      <c r="H1893" s="99" t="n"/>
      <c r="I1893" s="99" t="n"/>
      <c r="J1893" s="100" t="n"/>
      <c r="K1893" s="98" t="n"/>
      <c r="L1893" s="99" t="n"/>
      <c r="M1893" s="99" t="n"/>
      <c r="N1893" s="100" t="n"/>
      <c r="O1893" s="98" t="n"/>
      <c r="P1893" s="99" t="n"/>
      <c r="Q1893" s="99" t="n"/>
      <c r="R1893" s="100" t="n"/>
      <c r="S1893" s="98" t="n"/>
      <c r="T1893" s="99" t="n"/>
      <c r="U1893" s="99" t="n"/>
      <c r="V1893" s="100" t="n"/>
      <c r="W1893" s="98" t="n"/>
      <c r="X1893" s="100" t="n"/>
      <c r="Y1893" s="98" t="n"/>
      <c r="Z1893" s="100" t="n"/>
      <c r="AB1893" s="101">
        <f>IF($B1893="","",(COUNTIF(C1858:E1875,$B1893)+COUNTIF(C1858:E1875,$B1893&amp;" ~*")&gt;0)+(COUNTIF(G1858:I1875,$B1893)+COUNTIF(G1858:I1875,$B1893&amp;" ~*")&gt;0)+(COUNTIF(K1858:M1875,$B1893)+COUNTIF(K1858:M1875,$B1893&amp;" ~*")&gt;0)+(COUNTIF(O1858:Q1875,$B1893)+COUNTIF(O1858:Q1875,$B1893&amp;" ~*")&gt;0)+(COUNTIF(S1858:U1875,$B1893)+COUNTIF(S1858:U1875,$B1893&amp;" ~*")&gt;0)+(COUNTIF(W1858:W1875,$B1893)+COUNTIF(W1858:W1875,$B1893&amp;" ~*")&gt;0)+(COUNTIF(Y1858:Y1875,$B1893)+COUNTIF(Y1858:Y1875,$B1893&amp;" ~*")&gt;0))</f>
        <v/>
      </c>
      <c r="AC1893" s="36">
        <f>IF($B1893="","",(IFERROR(INDEX(Setup!$G$33:$G$40,MATCH(C1893,Setup!$B$33:$B$40,0)),0)=1)*(COUNTIF(C1858:E1875,$B1893)+COUNTIF(C1858:E1875,$B1893&amp;" ~*")&gt;0)+(IFERROR(INDEX(Setup!$G$33:$G$40,MATCH(G1893,Setup!$B$33:$B$40,0)),0)=1)*(COUNTIF(G1858:I1875,$B1893)+COUNTIF(G1858:I1875,$B1893&amp;" ~*")&gt;0)+(IFERROR(INDEX(Setup!$G$33:$G$40,MATCH(K1893,Setup!$B$33:$B$40,0)),0)=1)*(COUNTIF(K1858:M1875,$B1893)+COUNTIF(K1858:M1875,$B1893&amp;" ~*")&gt;0)+(IFERROR(INDEX(Setup!$G$33:$G$40,MATCH(O1893,Setup!$B$33:$B$40,0)),0)=1)*(COUNTIF(O1858:Q1875,$B1893)+COUNTIF(O1858:Q1875,$B1893&amp;" ~*")&gt;0)+(IFERROR(INDEX(Setup!$G$33:$G$40,MATCH(S1893,Setup!$B$33:$B$40,0)),0)=1)*(COUNTIF(S1858:U1875,$B1893)+COUNTIF(S1858:U1875,$B1893&amp;" ~*")&gt;0)+(IFERROR(INDEX(Setup!$G$33:$G$40,MATCH(W1893,Setup!$B$33:$B$40,0)),0)=1)*(COUNTIF(W1858:W1875,$B1893)+COUNTIF(W1858:W1875,$B1893&amp;" ~*")&gt;0)+(IFERROR(INDEX(Setup!$G$33:$G$40,MATCH(Y1893,Setup!$B$33:$B$40,0)),0)=1)*(COUNTIF(Y1858:Y1875,$B1893)+COUNTIF(Y1858:Y1875,$B1893&amp;" ~*")&gt;0))</f>
        <v/>
      </c>
    </row>
    <row r="1894" ht="15" customHeight="1">
      <c r="A1894" t="n">
        <v>38</v>
      </c>
      <c r="B1894" s="37">
        <f>IF(Setup!$B$23="","",Setup!$B$23)</f>
        <v/>
      </c>
      <c r="C1894" s="102" t="n"/>
      <c r="D1894" s="103" t="n"/>
      <c r="E1894" s="103" t="n"/>
      <c r="F1894" s="104" t="n"/>
      <c r="G1894" s="102" t="n"/>
      <c r="H1894" s="103" t="n"/>
      <c r="I1894" s="103" t="n"/>
      <c r="J1894" s="104" t="n"/>
      <c r="K1894" s="102" t="n"/>
      <c r="L1894" s="103" t="n"/>
      <c r="M1894" s="103" t="n"/>
      <c r="N1894" s="104" t="n"/>
      <c r="O1894" s="102" t="n"/>
      <c r="P1894" s="103" t="n"/>
      <c r="Q1894" s="103" t="n"/>
      <c r="R1894" s="104" t="n"/>
      <c r="S1894" s="102" t="n"/>
      <c r="T1894" s="103" t="n"/>
      <c r="U1894" s="103" t="n"/>
      <c r="V1894" s="104" t="n"/>
      <c r="W1894" s="102" t="n"/>
      <c r="X1894" s="104" t="n"/>
      <c r="Y1894" s="102" t="n"/>
      <c r="Z1894" s="104" t="n"/>
      <c r="AB1894" s="105">
        <f>IF($B1894="","",(COUNTIF(C1858:E1875,$B1894)+COUNTIF(C1858:E1875,$B1894&amp;" ~*")&gt;0)+(COUNTIF(G1858:I1875,$B1894)+COUNTIF(G1858:I1875,$B1894&amp;" ~*")&gt;0)+(COUNTIF(K1858:M1875,$B1894)+COUNTIF(K1858:M1875,$B1894&amp;" ~*")&gt;0)+(COUNTIF(O1858:Q1875,$B1894)+COUNTIF(O1858:Q1875,$B1894&amp;" ~*")&gt;0)+(COUNTIF(S1858:U1875,$B1894)+COUNTIF(S1858:U1875,$B1894&amp;" ~*")&gt;0)+(COUNTIF(W1858:W1875,$B1894)+COUNTIF(W1858:W1875,$B1894&amp;" ~*")&gt;0)+(COUNTIF(Y1858:Y1875,$B1894)+COUNTIF(Y1858:Y1875,$B1894&amp;" ~*")&gt;0))</f>
        <v/>
      </c>
      <c r="AC1894" s="38">
        <f>IF($B1894="","",(IFERROR(INDEX(Setup!$G$33:$G$40,MATCH(C1894,Setup!$B$33:$B$40,0)),0)=1)*(COUNTIF(C1858:E1875,$B1894)+COUNTIF(C1858:E1875,$B1894&amp;" ~*")&gt;0)+(IFERROR(INDEX(Setup!$G$33:$G$40,MATCH(G1894,Setup!$B$33:$B$40,0)),0)=1)*(COUNTIF(G1858:I1875,$B1894)+COUNTIF(G1858:I1875,$B1894&amp;" ~*")&gt;0)+(IFERROR(INDEX(Setup!$G$33:$G$40,MATCH(K1894,Setup!$B$33:$B$40,0)),0)=1)*(COUNTIF(K1858:M1875,$B1894)+COUNTIF(K1858:M1875,$B1894&amp;" ~*")&gt;0)+(IFERROR(INDEX(Setup!$G$33:$G$40,MATCH(O1894,Setup!$B$33:$B$40,0)),0)=1)*(COUNTIF(O1858:Q1875,$B1894)+COUNTIF(O1858:Q1875,$B1894&amp;" ~*")&gt;0)+(IFERROR(INDEX(Setup!$G$33:$G$40,MATCH(S1894,Setup!$B$33:$B$40,0)),0)=1)*(COUNTIF(S1858:U1875,$B1894)+COUNTIF(S1858:U1875,$B1894&amp;" ~*")&gt;0)+(IFERROR(INDEX(Setup!$G$33:$G$40,MATCH(W1894,Setup!$B$33:$B$40,0)),0)=1)*(COUNTIF(W1858:W1875,$B1894)+COUNTIF(W1858:W1875,$B1894&amp;" ~*")&gt;0)+(IFERROR(INDEX(Setup!$G$33:$G$40,MATCH(Y1894,Setup!$B$33:$B$40,0)),0)=1)*(COUNTIF(Y1858:Y1875,$B1894)+COUNTIF(Y1858:Y1875,$B1894&amp;" ~*")&gt;0))</f>
        <v/>
      </c>
    </row>
    <row r="1895" ht="15" customHeight="1">
      <c r="A1895" t="n">
        <v>38</v>
      </c>
      <c r="B1895" s="35">
        <f>IF(Setup!$B$24="","",Setup!$B$24)</f>
        <v/>
      </c>
      <c r="C1895" s="98" t="n"/>
      <c r="D1895" s="99" t="n"/>
      <c r="E1895" s="99" t="n"/>
      <c r="F1895" s="100" t="n"/>
      <c r="G1895" s="98" t="n"/>
      <c r="H1895" s="99" t="n"/>
      <c r="I1895" s="99" t="n"/>
      <c r="J1895" s="100" t="n"/>
      <c r="K1895" s="98" t="n"/>
      <c r="L1895" s="99" t="n"/>
      <c r="M1895" s="99" t="n"/>
      <c r="N1895" s="100" t="n"/>
      <c r="O1895" s="98" t="n"/>
      <c r="P1895" s="99" t="n"/>
      <c r="Q1895" s="99" t="n"/>
      <c r="R1895" s="100" t="n"/>
      <c r="S1895" s="98" t="n"/>
      <c r="T1895" s="99" t="n"/>
      <c r="U1895" s="99" t="n"/>
      <c r="V1895" s="100" t="n"/>
      <c r="W1895" s="98" t="n"/>
      <c r="X1895" s="100" t="n"/>
      <c r="Y1895" s="98" t="n"/>
      <c r="Z1895" s="100" t="n"/>
      <c r="AB1895" s="101">
        <f>IF($B1895="","",(COUNTIF(C1858:E1875,$B1895)+COUNTIF(C1858:E1875,$B1895&amp;" ~*")&gt;0)+(COUNTIF(G1858:I1875,$B1895)+COUNTIF(G1858:I1875,$B1895&amp;" ~*")&gt;0)+(COUNTIF(K1858:M1875,$B1895)+COUNTIF(K1858:M1875,$B1895&amp;" ~*")&gt;0)+(COUNTIF(O1858:Q1875,$B1895)+COUNTIF(O1858:Q1875,$B1895&amp;" ~*")&gt;0)+(COUNTIF(S1858:U1875,$B1895)+COUNTIF(S1858:U1875,$B1895&amp;" ~*")&gt;0)+(COUNTIF(W1858:W1875,$B1895)+COUNTIF(W1858:W1875,$B1895&amp;" ~*")&gt;0)+(COUNTIF(Y1858:Y1875,$B1895)+COUNTIF(Y1858:Y1875,$B1895&amp;" ~*")&gt;0))</f>
        <v/>
      </c>
      <c r="AC1895" s="36">
        <f>IF($B1895="","",(IFERROR(INDEX(Setup!$G$33:$G$40,MATCH(C1895,Setup!$B$33:$B$40,0)),0)=1)*(COUNTIF(C1858:E1875,$B1895)+COUNTIF(C1858:E1875,$B1895&amp;" ~*")&gt;0)+(IFERROR(INDEX(Setup!$G$33:$G$40,MATCH(G1895,Setup!$B$33:$B$40,0)),0)=1)*(COUNTIF(G1858:I1875,$B1895)+COUNTIF(G1858:I1875,$B1895&amp;" ~*")&gt;0)+(IFERROR(INDEX(Setup!$G$33:$G$40,MATCH(K1895,Setup!$B$33:$B$40,0)),0)=1)*(COUNTIF(K1858:M1875,$B1895)+COUNTIF(K1858:M1875,$B1895&amp;" ~*")&gt;0)+(IFERROR(INDEX(Setup!$G$33:$G$40,MATCH(O1895,Setup!$B$33:$B$40,0)),0)=1)*(COUNTIF(O1858:Q1875,$B1895)+COUNTIF(O1858:Q1875,$B1895&amp;" ~*")&gt;0)+(IFERROR(INDEX(Setup!$G$33:$G$40,MATCH(S1895,Setup!$B$33:$B$40,0)),0)=1)*(COUNTIF(S1858:U1875,$B1895)+COUNTIF(S1858:U1875,$B1895&amp;" ~*")&gt;0)+(IFERROR(INDEX(Setup!$G$33:$G$40,MATCH(W1895,Setup!$B$33:$B$40,0)),0)=1)*(COUNTIF(W1858:W1875,$B1895)+COUNTIF(W1858:W1875,$B1895&amp;" ~*")&gt;0)+(IFERROR(INDEX(Setup!$G$33:$G$40,MATCH(Y1895,Setup!$B$33:$B$40,0)),0)=1)*(COUNTIF(Y1858:Y1875,$B1895)+COUNTIF(Y1858:Y1875,$B1895&amp;" ~*")&gt;0))</f>
        <v/>
      </c>
    </row>
    <row r="1896" ht="15" customHeight="1">
      <c r="A1896" t="n">
        <v>38</v>
      </c>
      <c r="B1896" s="37">
        <f>IF(Setup!$B$25="","",Setup!$B$25)</f>
        <v/>
      </c>
      <c r="C1896" s="102" t="n"/>
      <c r="D1896" s="103" t="n"/>
      <c r="E1896" s="103" t="n"/>
      <c r="F1896" s="104" t="n"/>
      <c r="G1896" s="102" t="n"/>
      <c r="H1896" s="103" t="n"/>
      <c r="I1896" s="103" t="n"/>
      <c r="J1896" s="104" t="n"/>
      <c r="K1896" s="102" t="n"/>
      <c r="L1896" s="103" t="n"/>
      <c r="M1896" s="103" t="n"/>
      <c r="N1896" s="104" t="n"/>
      <c r="O1896" s="102" t="n"/>
      <c r="P1896" s="103" t="n"/>
      <c r="Q1896" s="103" t="n"/>
      <c r="R1896" s="104" t="n"/>
      <c r="S1896" s="102" t="n"/>
      <c r="T1896" s="103" t="n"/>
      <c r="U1896" s="103" t="n"/>
      <c r="V1896" s="104" t="n"/>
      <c r="W1896" s="102" t="n"/>
      <c r="X1896" s="104" t="n"/>
      <c r="Y1896" s="102" t="n"/>
      <c r="Z1896" s="104" t="n"/>
      <c r="AB1896" s="105">
        <f>IF($B1896="","",(COUNTIF(C1858:E1875,$B1896)+COUNTIF(C1858:E1875,$B1896&amp;" ~*")&gt;0)+(COUNTIF(G1858:I1875,$B1896)+COUNTIF(G1858:I1875,$B1896&amp;" ~*")&gt;0)+(COUNTIF(K1858:M1875,$B1896)+COUNTIF(K1858:M1875,$B1896&amp;" ~*")&gt;0)+(COUNTIF(O1858:Q1875,$B1896)+COUNTIF(O1858:Q1875,$B1896&amp;" ~*")&gt;0)+(COUNTIF(S1858:U1875,$B1896)+COUNTIF(S1858:U1875,$B1896&amp;" ~*")&gt;0)+(COUNTIF(W1858:W1875,$B1896)+COUNTIF(W1858:W1875,$B1896&amp;" ~*")&gt;0)+(COUNTIF(Y1858:Y1875,$B1896)+COUNTIF(Y1858:Y1875,$B1896&amp;" ~*")&gt;0))</f>
        <v/>
      </c>
      <c r="AC1896" s="38">
        <f>IF($B1896="","",(IFERROR(INDEX(Setup!$G$33:$G$40,MATCH(C1896,Setup!$B$33:$B$40,0)),0)=1)*(COUNTIF(C1858:E1875,$B1896)+COUNTIF(C1858:E1875,$B1896&amp;" ~*")&gt;0)+(IFERROR(INDEX(Setup!$G$33:$G$40,MATCH(G1896,Setup!$B$33:$B$40,0)),0)=1)*(COUNTIF(G1858:I1875,$B1896)+COUNTIF(G1858:I1875,$B1896&amp;" ~*")&gt;0)+(IFERROR(INDEX(Setup!$G$33:$G$40,MATCH(K1896,Setup!$B$33:$B$40,0)),0)=1)*(COUNTIF(K1858:M1875,$B1896)+COUNTIF(K1858:M1875,$B1896&amp;" ~*")&gt;0)+(IFERROR(INDEX(Setup!$G$33:$G$40,MATCH(O1896,Setup!$B$33:$B$40,0)),0)=1)*(COUNTIF(O1858:Q1875,$B1896)+COUNTIF(O1858:Q1875,$B1896&amp;" ~*")&gt;0)+(IFERROR(INDEX(Setup!$G$33:$G$40,MATCH(S1896,Setup!$B$33:$B$40,0)),0)=1)*(COUNTIF(S1858:U1875,$B1896)+COUNTIF(S1858:U1875,$B1896&amp;" ~*")&gt;0)+(IFERROR(INDEX(Setup!$G$33:$G$40,MATCH(W1896,Setup!$B$33:$B$40,0)),0)=1)*(COUNTIF(W1858:W1875,$B1896)+COUNTIF(W1858:W1875,$B1896&amp;" ~*")&gt;0)+(IFERROR(INDEX(Setup!$G$33:$G$40,MATCH(Y1896,Setup!$B$33:$B$40,0)),0)=1)*(COUNTIF(Y1858:Y1875,$B1896)+COUNTIF(Y1858:Y1875,$B1896&amp;" ~*")&gt;0))</f>
        <v/>
      </c>
    </row>
    <row r="1897" ht="15" customHeight="1">
      <c r="A1897" t="n">
        <v>38</v>
      </c>
      <c r="B1897" s="35">
        <f>IF(Setup!$B$26="","",Setup!$B$26)</f>
        <v/>
      </c>
      <c r="C1897" s="98" t="n"/>
      <c r="D1897" s="99" t="n"/>
      <c r="E1897" s="99" t="n"/>
      <c r="F1897" s="100" t="n"/>
      <c r="G1897" s="98" t="n"/>
      <c r="H1897" s="99" t="n"/>
      <c r="I1897" s="99" t="n"/>
      <c r="J1897" s="100" t="n"/>
      <c r="K1897" s="98" t="n"/>
      <c r="L1897" s="99" t="n"/>
      <c r="M1897" s="99" t="n"/>
      <c r="N1897" s="100" t="n"/>
      <c r="O1897" s="98" t="n"/>
      <c r="P1897" s="99" t="n"/>
      <c r="Q1897" s="99" t="n"/>
      <c r="R1897" s="100" t="n"/>
      <c r="S1897" s="98" t="n"/>
      <c r="T1897" s="99" t="n"/>
      <c r="U1897" s="99" t="n"/>
      <c r="V1897" s="100" t="n"/>
      <c r="W1897" s="98" t="n"/>
      <c r="X1897" s="100" t="n"/>
      <c r="Y1897" s="98" t="n"/>
      <c r="Z1897" s="100" t="n"/>
      <c r="AB1897" s="101">
        <f>IF($B1897="","",(COUNTIF(C1858:E1875,$B1897)+COUNTIF(C1858:E1875,$B1897&amp;" ~*")&gt;0)+(COUNTIF(G1858:I1875,$B1897)+COUNTIF(G1858:I1875,$B1897&amp;" ~*")&gt;0)+(COUNTIF(K1858:M1875,$B1897)+COUNTIF(K1858:M1875,$B1897&amp;" ~*")&gt;0)+(COUNTIF(O1858:Q1875,$B1897)+COUNTIF(O1858:Q1875,$B1897&amp;" ~*")&gt;0)+(COUNTIF(S1858:U1875,$B1897)+COUNTIF(S1858:U1875,$B1897&amp;" ~*")&gt;0)+(COUNTIF(W1858:W1875,$B1897)+COUNTIF(W1858:W1875,$B1897&amp;" ~*")&gt;0)+(COUNTIF(Y1858:Y1875,$B1897)+COUNTIF(Y1858:Y1875,$B1897&amp;" ~*")&gt;0))</f>
        <v/>
      </c>
      <c r="AC1897" s="36">
        <f>IF($B1897="","",(IFERROR(INDEX(Setup!$G$33:$G$40,MATCH(C1897,Setup!$B$33:$B$40,0)),0)=1)*(COUNTIF(C1858:E1875,$B1897)+COUNTIF(C1858:E1875,$B1897&amp;" ~*")&gt;0)+(IFERROR(INDEX(Setup!$G$33:$G$40,MATCH(G1897,Setup!$B$33:$B$40,0)),0)=1)*(COUNTIF(G1858:I1875,$B1897)+COUNTIF(G1858:I1875,$B1897&amp;" ~*")&gt;0)+(IFERROR(INDEX(Setup!$G$33:$G$40,MATCH(K1897,Setup!$B$33:$B$40,0)),0)=1)*(COUNTIF(K1858:M1875,$B1897)+COUNTIF(K1858:M1875,$B1897&amp;" ~*")&gt;0)+(IFERROR(INDEX(Setup!$G$33:$G$40,MATCH(O1897,Setup!$B$33:$B$40,0)),0)=1)*(COUNTIF(O1858:Q1875,$B1897)+COUNTIF(O1858:Q1875,$B1897&amp;" ~*")&gt;0)+(IFERROR(INDEX(Setup!$G$33:$G$40,MATCH(S1897,Setup!$B$33:$B$40,0)),0)=1)*(COUNTIF(S1858:U1875,$B1897)+COUNTIF(S1858:U1875,$B1897&amp;" ~*")&gt;0)+(IFERROR(INDEX(Setup!$G$33:$G$40,MATCH(W1897,Setup!$B$33:$B$40,0)),0)=1)*(COUNTIF(W1858:W1875,$B1897)+COUNTIF(W1858:W1875,$B1897&amp;" ~*")&gt;0)+(IFERROR(INDEX(Setup!$G$33:$G$40,MATCH(Y1897,Setup!$B$33:$B$40,0)),0)=1)*(COUNTIF(Y1858:Y1875,$B1897)+COUNTIF(Y1858:Y1875,$B1897&amp;" ~*")&gt;0))</f>
        <v/>
      </c>
    </row>
    <row r="1898" ht="15" customHeight="1">
      <c r="A1898" t="n">
        <v>38</v>
      </c>
      <c r="B1898" s="37">
        <f>IF(Setup!$B$27="","",Setup!$B$27)</f>
        <v/>
      </c>
      <c r="C1898" s="102" t="n"/>
      <c r="D1898" s="103" t="n"/>
      <c r="E1898" s="103" t="n"/>
      <c r="F1898" s="104" t="n"/>
      <c r="G1898" s="102" t="n"/>
      <c r="H1898" s="103" t="n"/>
      <c r="I1898" s="103" t="n"/>
      <c r="J1898" s="104" t="n"/>
      <c r="K1898" s="102" t="n"/>
      <c r="L1898" s="103" t="n"/>
      <c r="M1898" s="103" t="n"/>
      <c r="N1898" s="104" t="n"/>
      <c r="O1898" s="102" t="n"/>
      <c r="P1898" s="103" t="n"/>
      <c r="Q1898" s="103" t="n"/>
      <c r="R1898" s="104" t="n"/>
      <c r="S1898" s="102" t="n"/>
      <c r="T1898" s="103" t="n"/>
      <c r="U1898" s="103" t="n"/>
      <c r="V1898" s="104" t="n"/>
      <c r="W1898" s="102" t="n"/>
      <c r="X1898" s="104" t="n"/>
      <c r="Y1898" s="102" t="n"/>
      <c r="Z1898" s="104" t="n"/>
      <c r="AB1898" s="105">
        <f>IF($B1898="","",(COUNTIF(C1858:E1875,$B1898)+COUNTIF(C1858:E1875,$B1898&amp;" ~*")&gt;0)+(COUNTIF(G1858:I1875,$B1898)+COUNTIF(G1858:I1875,$B1898&amp;" ~*")&gt;0)+(COUNTIF(K1858:M1875,$B1898)+COUNTIF(K1858:M1875,$B1898&amp;" ~*")&gt;0)+(COUNTIF(O1858:Q1875,$B1898)+COUNTIF(O1858:Q1875,$B1898&amp;" ~*")&gt;0)+(COUNTIF(S1858:U1875,$B1898)+COUNTIF(S1858:U1875,$B1898&amp;" ~*")&gt;0)+(COUNTIF(W1858:W1875,$B1898)+COUNTIF(W1858:W1875,$B1898&amp;" ~*")&gt;0)+(COUNTIF(Y1858:Y1875,$B1898)+COUNTIF(Y1858:Y1875,$B1898&amp;" ~*")&gt;0))</f>
        <v/>
      </c>
      <c r="AC1898" s="38">
        <f>IF($B1898="","",(IFERROR(INDEX(Setup!$G$33:$G$40,MATCH(C1898,Setup!$B$33:$B$40,0)),0)=1)*(COUNTIF(C1858:E1875,$B1898)+COUNTIF(C1858:E1875,$B1898&amp;" ~*")&gt;0)+(IFERROR(INDEX(Setup!$G$33:$G$40,MATCH(G1898,Setup!$B$33:$B$40,0)),0)=1)*(COUNTIF(G1858:I1875,$B1898)+COUNTIF(G1858:I1875,$B1898&amp;" ~*")&gt;0)+(IFERROR(INDEX(Setup!$G$33:$G$40,MATCH(K1898,Setup!$B$33:$B$40,0)),0)=1)*(COUNTIF(K1858:M1875,$B1898)+COUNTIF(K1858:M1875,$B1898&amp;" ~*")&gt;0)+(IFERROR(INDEX(Setup!$G$33:$G$40,MATCH(O1898,Setup!$B$33:$B$40,0)),0)=1)*(COUNTIF(O1858:Q1875,$B1898)+COUNTIF(O1858:Q1875,$B1898&amp;" ~*")&gt;0)+(IFERROR(INDEX(Setup!$G$33:$G$40,MATCH(S1898,Setup!$B$33:$B$40,0)),0)=1)*(COUNTIF(S1858:U1875,$B1898)+COUNTIF(S1858:U1875,$B1898&amp;" ~*")&gt;0)+(IFERROR(INDEX(Setup!$G$33:$G$40,MATCH(W1898,Setup!$B$33:$B$40,0)),0)=1)*(COUNTIF(W1858:W1875,$B1898)+COUNTIF(W1858:W1875,$B1898&amp;" ~*")&gt;0)+(IFERROR(INDEX(Setup!$G$33:$G$40,MATCH(Y1898,Setup!$B$33:$B$40,0)),0)=1)*(COUNTIF(Y1858:Y1875,$B1898)+COUNTIF(Y1858:Y1875,$B1898&amp;" ~*")&gt;0))</f>
        <v/>
      </c>
    </row>
    <row r="1899" ht="15" customHeight="1">
      <c r="A1899" t="n">
        <v>38</v>
      </c>
      <c r="B1899" s="35">
        <f>IF(Setup!$B$28="","",Setup!$B$28)</f>
        <v/>
      </c>
      <c r="C1899" s="98" t="n"/>
      <c r="D1899" s="99" t="n"/>
      <c r="E1899" s="99" t="n"/>
      <c r="F1899" s="100" t="n"/>
      <c r="G1899" s="98" t="n"/>
      <c r="H1899" s="99" t="n"/>
      <c r="I1899" s="99" t="n"/>
      <c r="J1899" s="100" t="n"/>
      <c r="K1899" s="98" t="n"/>
      <c r="L1899" s="99" t="n"/>
      <c r="M1899" s="99" t="n"/>
      <c r="N1899" s="100" t="n"/>
      <c r="O1899" s="98" t="n"/>
      <c r="P1899" s="99" t="n"/>
      <c r="Q1899" s="99" t="n"/>
      <c r="R1899" s="100" t="n"/>
      <c r="S1899" s="98" t="n"/>
      <c r="T1899" s="99" t="n"/>
      <c r="U1899" s="99" t="n"/>
      <c r="V1899" s="100" t="n"/>
      <c r="W1899" s="98" t="n"/>
      <c r="X1899" s="100" t="n"/>
      <c r="Y1899" s="98" t="n"/>
      <c r="Z1899" s="100" t="n"/>
      <c r="AB1899" s="101">
        <f>IF($B1899="","",(COUNTIF(C1858:E1875,$B1899)+COUNTIF(C1858:E1875,$B1899&amp;" ~*")&gt;0)+(COUNTIF(G1858:I1875,$B1899)+COUNTIF(G1858:I1875,$B1899&amp;" ~*")&gt;0)+(COUNTIF(K1858:M1875,$B1899)+COUNTIF(K1858:M1875,$B1899&amp;" ~*")&gt;0)+(COUNTIF(O1858:Q1875,$B1899)+COUNTIF(O1858:Q1875,$B1899&amp;" ~*")&gt;0)+(COUNTIF(S1858:U1875,$B1899)+COUNTIF(S1858:U1875,$B1899&amp;" ~*")&gt;0)+(COUNTIF(W1858:W1875,$B1899)+COUNTIF(W1858:W1875,$B1899&amp;" ~*")&gt;0)+(COUNTIF(Y1858:Y1875,$B1899)+COUNTIF(Y1858:Y1875,$B1899&amp;" ~*")&gt;0))</f>
        <v/>
      </c>
      <c r="AC1899" s="36">
        <f>IF($B1899="","",(IFERROR(INDEX(Setup!$G$33:$G$40,MATCH(C1899,Setup!$B$33:$B$40,0)),0)=1)*(COUNTIF(C1858:E1875,$B1899)+COUNTIF(C1858:E1875,$B1899&amp;" ~*")&gt;0)+(IFERROR(INDEX(Setup!$G$33:$G$40,MATCH(G1899,Setup!$B$33:$B$40,0)),0)=1)*(COUNTIF(G1858:I1875,$B1899)+COUNTIF(G1858:I1875,$B1899&amp;" ~*")&gt;0)+(IFERROR(INDEX(Setup!$G$33:$G$40,MATCH(K1899,Setup!$B$33:$B$40,0)),0)=1)*(COUNTIF(K1858:M1875,$B1899)+COUNTIF(K1858:M1875,$B1899&amp;" ~*")&gt;0)+(IFERROR(INDEX(Setup!$G$33:$G$40,MATCH(O1899,Setup!$B$33:$B$40,0)),0)=1)*(COUNTIF(O1858:Q1875,$B1899)+COUNTIF(O1858:Q1875,$B1899&amp;" ~*")&gt;0)+(IFERROR(INDEX(Setup!$G$33:$G$40,MATCH(S1899,Setup!$B$33:$B$40,0)),0)=1)*(COUNTIF(S1858:U1875,$B1899)+COUNTIF(S1858:U1875,$B1899&amp;" ~*")&gt;0)+(IFERROR(INDEX(Setup!$G$33:$G$40,MATCH(W1899,Setup!$B$33:$B$40,0)),0)=1)*(COUNTIF(W1858:W1875,$B1899)+COUNTIF(W1858:W1875,$B1899&amp;" ~*")&gt;0)+(IFERROR(INDEX(Setup!$G$33:$G$40,MATCH(Y1899,Setup!$B$33:$B$40,0)),0)=1)*(COUNTIF(Y1858:Y1875,$B1899)+COUNTIF(Y1858:Y1875,$B1899&amp;" ~*")&gt;0))</f>
        <v/>
      </c>
    </row>
    <row r="1900" ht="15" customHeight="1">
      <c r="A1900" t="n">
        <v>38</v>
      </c>
      <c r="B1900" s="37">
        <f>IF(Setup!$B$29="","",Setup!$B$29)</f>
        <v/>
      </c>
      <c r="C1900" s="102" t="n"/>
      <c r="D1900" s="103" t="n"/>
      <c r="E1900" s="103" t="n"/>
      <c r="F1900" s="104" t="n"/>
      <c r="G1900" s="102" t="n"/>
      <c r="H1900" s="103" t="n"/>
      <c r="I1900" s="103" t="n"/>
      <c r="J1900" s="104" t="n"/>
      <c r="K1900" s="102" t="n"/>
      <c r="L1900" s="103" t="n"/>
      <c r="M1900" s="103" t="n"/>
      <c r="N1900" s="104" t="n"/>
      <c r="O1900" s="102" t="n"/>
      <c r="P1900" s="103" t="n"/>
      <c r="Q1900" s="103" t="n"/>
      <c r="R1900" s="104" t="n"/>
      <c r="S1900" s="102" t="n"/>
      <c r="T1900" s="103" t="n"/>
      <c r="U1900" s="103" t="n"/>
      <c r="V1900" s="104" t="n"/>
      <c r="W1900" s="102" t="n"/>
      <c r="X1900" s="104" t="n"/>
      <c r="Y1900" s="102" t="n"/>
      <c r="Z1900" s="104" t="n"/>
      <c r="AB1900" s="105">
        <f>IF($B1900="","",(COUNTIF(C1858:E1875,$B1900)+COUNTIF(C1858:E1875,$B1900&amp;" ~*")&gt;0)+(COUNTIF(G1858:I1875,$B1900)+COUNTIF(G1858:I1875,$B1900&amp;" ~*")&gt;0)+(COUNTIF(K1858:M1875,$B1900)+COUNTIF(K1858:M1875,$B1900&amp;" ~*")&gt;0)+(COUNTIF(O1858:Q1875,$B1900)+COUNTIF(O1858:Q1875,$B1900&amp;" ~*")&gt;0)+(COUNTIF(S1858:U1875,$B1900)+COUNTIF(S1858:U1875,$B1900&amp;" ~*")&gt;0)+(COUNTIF(W1858:W1875,$B1900)+COUNTIF(W1858:W1875,$B1900&amp;" ~*")&gt;0)+(COUNTIF(Y1858:Y1875,$B1900)+COUNTIF(Y1858:Y1875,$B1900&amp;" ~*")&gt;0))</f>
        <v/>
      </c>
      <c r="AC1900" s="38">
        <f>IF($B1900="","",(IFERROR(INDEX(Setup!$G$33:$G$40,MATCH(C1900,Setup!$B$33:$B$40,0)),0)=1)*(COUNTIF(C1858:E1875,$B1900)+COUNTIF(C1858:E1875,$B1900&amp;" ~*")&gt;0)+(IFERROR(INDEX(Setup!$G$33:$G$40,MATCH(G1900,Setup!$B$33:$B$40,0)),0)=1)*(COUNTIF(G1858:I1875,$B1900)+COUNTIF(G1858:I1875,$B1900&amp;" ~*")&gt;0)+(IFERROR(INDEX(Setup!$G$33:$G$40,MATCH(K1900,Setup!$B$33:$B$40,0)),0)=1)*(COUNTIF(K1858:M1875,$B1900)+COUNTIF(K1858:M1875,$B1900&amp;" ~*")&gt;0)+(IFERROR(INDEX(Setup!$G$33:$G$40,MATCH(O1900,Setup!$B$33:$B$40,0)),0)=1)*(COUNTIF(O1858:Q1875,$B1900)+COUNTIF(O1858:Q1875,$B1900&amp;" ~*")&gt;0)+(IFERROR(INDEX(Setup!$G$33:$G$40,MATCH(S1900,Setup!$B$33:$B$40,0)),0)=1)*(COUNTIF(S1858:U1875,$B1900)+COUNTIF(S1858:U1875,$B1900&amp;" ~*")&gt;0)+(IFERROR(INDEX(Setup!$G$33:$G$40,MATCH(W1900,Setup!$B$33:$B$40,0)),0)=1)*(COUNTIF(W1858:W1875,$B1900)+COUNTIF(W1858:W1875,$B1900&amp;" ~*")&gt;0)+(IFERROR(INDEX(Setup!$G$33:$G$40,MATCH(Y1900,Setup!$B$33:$B$40,0)),0)=1)*(COUNTIF(Y1858:Y1875,$B1900)+COUNTIF(Y1858:Y1875,$B1900&amp;" ~*")&gt;0))</f>
        <v/>
      </c>
    </row>
    <row r="1901" ht="16" customHeight="1">
      <c r="A1901" t="n">
        <v>38</v>
      </c>
      <c r="B1901" s="106" t="inlineStr">
        <is>
          <t>Available people</t>
        </is>
      </c>
      <c r="C1901" s="107">
        <f>COUNTIFS(Setup!$E$6:$E$29,"Y",Setup!$B$6:$B$29,"?*")-SUMPRODUCT(COUNTIF(C1877:C1900,Setup!$F$33:$F$40))</f>
        <v/>
      </c>
      <c r="D1901" s="107" t="n"/>
      <c r="E1901" s="107" t="n"/>
      <c r="F1901" s="107" t="n"/>
      <c r="G1901" s="107">
        <f>COUNTIFS(Setup!$E$6:$E$29,"Y",Setup!$B$6:$B$29,"?*")-SUMPRODUCT(COUNTIF(G1877:G1900,Setup!$F$33:$F$40))</f>
        <v/>
      </c>
      <c r="H1901" s="107" t="n"/>
      <c r="I1901" s="107" t="n"/>
      <c r="J1901" s="107" t="n"/>
      <c r="K1901" s="107">
        <f>COUNTIFS(Setup!$E$6:$E$29,"Y",Setup!$B$6:$B$29,"?*")-SUMPRODUCT(COUNTIF(K1877:K1900,Setup!$F$33:$F$40))</f>
        <v/>
      </c>
      <c r="L1901" s="107" t="n"/>
      <c r="M1901" s="107" t="n"/>
      <c r="N1901" s="107" t="n"/>
      <c r="O1901" s="107">
        <f>COUNTIFS(Setup!$E$6:$E$29,"Y",Setup!$B$6:$B$29,"?*")-SUMPRODUCT(COUNTIF(O1877:O1900,Setup!$F$33:$F$40))</f>
        <v/>
      </c>
      <c r="P1901" s="107" t="n"/>
      <c r="Q1901" s="107" t="n"/>
      <c r="R1901" s="107" t="n"/>
      <c r="S1901" s="107">
        <f>COUNTIFS(Setup!$E$6:$E$29,"Y",Setup!$B$6:$B$29,"?*")-SUMPRODUCT(COUNTIF(S1877:S1900,Setup!$F$33:$F$40))</f>
        <v/>
      </c>
      <c r="T1901" s="107" t="n"/>
      <c r="U1901" s="107" t="n"/>
      <c r="V1901" s="107" t="n"/>
      <c r="W1901" s="107">
        <f>COUNTIFS(Setup!$E$6:$E$29,"Y",Setup!$B$6:$B$29,"?*")-SUMPRODUCT(COUNTIF(W1877:W1900,Setup!$F$33:$F$40))</f>
        <v/>
      </c>
      <c r="X1901" s="107" t="n"/>
      <c r="Y1901" s="107">
        <f>COUNTIFS(Setup!$E$6:$E$29,"Y",Setup!$B$6:$B$29,"?*")-SUMPRODUCT(COUNTIF(Y1877:Y1900,Setup!$F$33:$F$40))</f>
        <v/>
      </c>
      <c r="Z1901" s="107" t="n"/>
      <c r="AB1901" s="108">
        <f>SUM(AB1877:AB1900)</f>
        <v/>
      </c>
      <c r="AC1901" s="109">
        <f>SUM(AC1877:AC1900)</f>
        <v/>
      </c>
    </row>
    <row r="1902" ht="30" customHeight="1">
      <c r="A1902" t="n">
        <v>38</v>
      </c>
      <c r="B1902" s="110" t="inlineStr">
        <is>
          <t>Week notes</t>
        </is>
      </c>
      <c r="C1902" s="111" t="n"/>
      <c r="D1902" s="112" t="n"/>
      <c r="E1902" s="112" t="n"/>
      <c r="F1902" s="112" t="n"/>
      <c r="G1902" s="112" t="n"/>
      <c r="H1902" s="112" t="n"/>
      <c r="I1902" s="112" t="n"/>
      <c r="J1902" s="112" t="n"/>
      <c r="K1902" s="112" t="n"/>
      <c r="L1902" s="112" t="n"/>
      <c r="M1902" s="112" t="n"/>
      <c r="N1902" s="112" t="n"/>
      <c r="O1902" s="112" t="n"/>
      <c r="P1902" s="112" t="n"/>
      <c r="Q1902" s="112" t="n"/>
      <c r="R1902" s="112" t="n"/>
      <c r="S1902" s="112" t="n"/>
      <c r="T1902" s="112" t="n"/>
      <c r="U1902" s="112" t="n"/>
      <c r="V1902" s="112" t="n"/>
      <c r="W1902" s="112" t="n"/>
      <c r="X1902" s="112" t="n"/>
      <c r="Y1902" s="112" t="n"/>
      <c r="Z1902" s="113" t="n"/>
    </row>
    <row r="1903" ht="8" customHeight="1">
      <c r="A1903" t="n">
        <v>38</v>
      </c>
    </row>
    <row r="1904" ht="8" customHeight="1">
      <c r="A1904" t="n">
        <v>38</v>
      </c>
    </row>
    <row r="1905" ht="24" customHeight="1">
      <c r="A1905" t="n">
        <v>39</v>
      </c>
      <c r="B1905" s="73">
        <f>"WEEK 39     "&amp;TEXT(C1906,"ddd d mmm")&amp;"  –  "&amp;TEXT(C1906+6,"ddd d mmm yyyy")</f>
        <v/>
      </c>
      <c r="S1905" s="74">
        <f>IF(TODAY()&lt;C1906,"FUTURE",IF(TODAY()&gt;C1906+6,"PAST","THIS WEEK"))</f>
        <v/>
      </c>
      <c r="W1905" s="75">
        <f>IF(AND(Engine!$B$8=$AC$3,Engine!$B$9=$A1905),"◀ ACTIVE WEEK","")</f>
        <v/>
      </c>
      <c r="AA1905" s="76" t="n"/>
      <c r="AB1905" s="77" t="inlineStr">
        <is>
          <t>◀ Prev</t>
        </is>
      </c>
      <c r="AC1905" s="77" t="inlineStr">
        <is>
          <t>Next ▶</t>
        </is>
      </c>
    </row>
    <row r="1906" ht="18" customHeight="1">
      <c r="A1906" t="n">
        <v>39</v>
      </c>
      <c r="B1906" s="78" t="inlineStr">
        <is>
          <t>DUTY</t>
        </is>
      </c>
      <c r="C1906" s="79">
        <f>$AC$2+7*($A1906-1)</f>
        <v/>
      </c>
      <c r="D1906" s="80" t="n"/>
      <c r="E1906" s="80" t="n"/>
      <c r="F1906" s="81" t="n"/>
      <c r="G1906" s="79">
        <f>C1906+1</f>
        <v/>
      </c>
      <c r="H1906" s="80" t="n"/>
      <c r="I1906" s="80" t="n"/>
      <c r="J1906" s="81" t="n"/>
      <c r="K1906" s="79">
        <f>C1906+2</f>
        <v/>
      </c>
      <c r="L1906" s="80" t="n"/>
      <c r="M1906" s="80" t="n"/>
      <c r="N1906" s="81" t="n"/>
      <c r="O1906" s="79">
        <f>C1906+3</f>
        <v/>
      </c>
      <c r="P1906" s="80" t="n"/>
      <c r="Q1906" s="80" t="n"/>
      <c r="R1906" s="81" t="n"/>
      <c r="S1906" s="79">
        <f>C1906+4</f>
        <v/>
      </c>
      <c r="T1906" s="80" t="n"/>
      <c r="U1906" s="80" t="n"/>
      <c r="V1906" s="81" t="n"/>
      <c r="W1906" s="82">
        <f>C1906+5</f>
        <v/>
      </c>
      <c r="X1906" s="83" t="n"/>
      <c r="Y1906" s="82">
        <f>C1906+6</f>
        <v/>
      </c>
      <c r="Z1906" s="83" t="n"/>
      <c r="AB1906" s="72" t="inlineStr">
        <is>
          <t>Gaps</t>
        </is>
      </c>
      <c r="AC1906" s="72" t="inlineStr">
        <is>
          <t>Cover</t>
        </is>
      </c>
    </row>
    <row r="1907" ht="14" customHeight="1">
      <c r="A1907" t="n">
        <v>39</v>
      </c>
      <c r="B1907" s="84" t="inlineStr">
        <is>
          <t>(from Setup)</t>
        </is>
      </c>
      <c r="C1907" s="85" t="inlineStr">
        <is>
          <t>1</t>
        </is>
      </c>
      <c r="D1907" s="85" t="inlineStr">
        <is>
          <t>2</t>
        </is>
      </c>
      <c r="E1907" s="85" t="inlineStr">
        <is>
          <t>3</t>
        </is>
      </c>
      <c r="F1907" s="85" t="inlineStr">
        <is>
          <t>Notes</t>
        </is>
      </c>
      <c r="G1907" s="85" t="inlineStr">
        <is>
          <t>1</t>
        </is>
      </c>
      <c r="H1907" s="85" t="inlineStr">
        <is>
          <t>2</t>
        </is>
      </c>
      <c r="I1907" s="85" t="inlineStr">
        <is>
          <t>3</t>
        </is>
      </c>
      <c r="J1907" s="85" t="inlineStr">
        <is>
          <t>Notes</t>
        </is>
      </c>
      <c r="K1907" s="85" t="inlineStr">
        <is>
          <t>1</t>
        </is>
      </c>
      <c r="L1907" s="85" t="inlineStr">
        <is>
          <t>2</t>
        </is>
      </c>
      <c r="M1907" s="85" t="inlineStr">
        <is>
          <t>3</t>
        </is>
      </c>
      <c r="N1907" s="85" t="inlineStr">
        <is>
          <t>Notes</t>
        </is>
      </c>
      <c r="O1907" s="85" t="inlineStr">
        <is>
          <t>1</t>
        </is>
      </c>
      <c r="P1907" s="85" t="inlineStr">
        <is>
          <t>2</t>
        </is>
      </c>
      <c r="Q1907" s="85" t="inlineStr">
        <is>
          <t>3</t>
        </is>
      </c>
      <c r="R1907" s="85" t="inlineStr">
        <is>
          <t>Notes</t>
        </is>
      </c>
      <c r="S1907" s="85" t="inlineStr">
        <is>
          <t>1</t>
        </is>
      </c>
      <c r="T1907" s="85" t="inlineStr">
        <is>
          <t>2</t>
        </is>
      </c>
      <c r="U1907" s="85" t="inlineStr">
        <is>
          <t>3</t>
        </is>
      </c>
      <c r="V1907" s="85" t="inlineStr">
        <is>
          <t>Notes</t>
        </is>
      </c>
      <c r="W1907" s="85" t="inlineStr">
        <is>
          <t>Cover</t>
        </is>
      </c>
      <c r="X1907" s="85" t="inlineStr">
        <is>
          <t>Notes</t>
        </is>
      </c>
      <c r="Y1907" s="85" t="inlineStr">
        <is>
          <t>Cover</t>
        </is>
      </c>
      <c r="Z1907" s="85" t="inlineStr">
        <is>
          <t>Notes</t>
        </is>
      </c>
      <c r="AB1907" s="86" t="inlineStr">
        <is>
          <t>weekdays short</t>
        </is>
      </c>
      <c r="AC1907" s="87" t="inlineStr"/>
    </row>
    <row r="1908" ht="17" customHeight="1">
      <c r="A1908" t="n">
        <v>39</v>
      </c>
      <c r="B1908" s="24">
        <f>IF(Setup!$K$6="","",Setup!$K$6)</f>
        <v/>
      </c>
      <c r="C1908" s="88" t="n"/>
      <c r="D1908" s="88" t="n"/>
      <c r="E1908" s="88" t="n"/>
      <c r="F1908" s="89" t="n"/>
      <c r="G1908" s="88" t="n"/>
      <c r="H1908" s="88" t="n"/>
      <c r="I1908" s="88" t="n"/>
      <c r="J1908" s="89" t="n"/>
      <c r="K1908" s="88" t="n"/>
      <c r="L1908" s="88" t="n"/>
      <c r="M1908" s="88" t="n"/>
      <c r="N1908" s="89" t="n"/>
      <c r="O1908" s="88" t="n"/>
      <c r="P1908" s="88" t="n"/>
      <c r="Q1908" s="88" t="n"/>
      <c r="R1908" s="89" t="n"/>
      <c r="S1908" s="88" t="n"/>
      <c r="T1908" s="88" t="n"/>
      <c r="U1908" s="88" t="n"/>
      <c r="V1908" s="89" t="n"/>
      <c r="W1908" s="88" t="n"/>
      <c r="X1908" s="89" t="n"/>
      <c r="Y1908" s="88" t="n"/>
      <c r="Z1908" s="89" t="n"/>
      <c r="AB1908" s="25">
        <f>IF($B1908="","",(COUNTIF(C1908:E1908,"?*")&lt;N(INDEX(Setup!$L$6:$L$23,1)))+(COUNTIF(G1908:I1908,"?*")&lt;N(INDEX(Setup!$L$6:$L$23,1)))+(COUNTIF(K1908:M1908,"?*")&lt;N(INDEX(Setup!$L$6:$L$23,1)))+(COUNTIF(O1908:Q1908,"?*")&lt;N(INDEX(Setup!$L$6:$L$23,1)))+(COUNTIF(S1908:U1908,"?*")&lt;N(INDEX(Setup!$L$6:$L$23,1)))+((W1908="")*(INDEX(Setup!$M$6:$M$23,1)="Y"))+((Y1908="")*(INDEX(Setup!$M$6:$M$23,1)="Y")))</f>
        <v/>
      </c>
      <c r="AC1908" s="90">
        <f>IF($B1908="","",IF(AB1908=0,"✓ covered","⚠ "&amp;AB1908&amp;IF(AB1908=1," gap"," gaps")))</f>
        <v/>
      </c>
    </row>
    <row r="1909" ht="17" customHeight="1">
      <c r="A1909" t="n">
        <v>39</v>
      </c>
      <c r="B1909" s="29">
        <f>IF(Setup!$K$7="","",Setup!$K$7)</f>
        <v/>
      </c>
      <c r="C1909" s="88" t="n"/>
      <c r="D1909" s="88" t="n"/>
      <c r="E1909" s="88" t="n"/>
      <c r="F1909" s="89" t="n"/>
      <c r="G1909" s="88" t="n"/>
      <c r="H1909" s="88" t="n"/>
      <c r="I1909" s="88" t="n"/>
      <c r="J1909" s="89" t="n"/>
      <c r="K1909" s="88" t="n"/>
      <c r="L1909" s="88" t="n"/>
      <c r="M1909" s="88" t="n"/>
      <c r="N1909" s="89" t="n"/>
      <c r="O1909" s="88" t="n"/>
      <c r="P1909" s="88" t="n"/>
      <c r="Q1909" s="88" t="n"/>
      <c r="R1909" s="89" t="n"/>
      <c r="S1909" s="88" t="n"/>
      <c r="T1909" s="88" t="n"/>
      <c r="U1909" s="88" t="n"/>
      <c r="V1909" s="89" t="n"/>
      <c r="W1909" s="88" t="n"/>
      <c r="X1909" s="89" t="n"/>
      <c r="Y1909" s="88" t="n"/>
      <c r="Z1909" s="89" t="n"/>
      <c r="AB1909" s="30">
        <f>IF($B1909="","",(COUNTIF(C1909:E1909,"?*")&lt;N(INDEX(Setup!$L$6:$L$23,2)))+(COUNTIF(G1909:I1909,"?*")&lt;N(INDEX(Setup!$L$6:$L$23,2)))+(COUNTIF(K1909:M1909,"?*")&lt;N(INDEX(Setup!$L$6:$L$23,2)))+(COUNTIF(O1909:Q1909,"?*")&lt;N(INDEX(Setup!$L$6:$L$23,2)))+(COUNTIF(S1909:U1909,"?*")&lt;N(INDEX(Setup!$L$6:$L$23,2)))+((W1909="")*(INDEX(Setup!$M$6:$M$23,2)="Y"))+((Y1909="")*(INDEX(Setup!$M$6:$M$23,2)="Y")))</f>
        <v/>
      </c>
      <c r="AC1909" s="91">
        <f>IF($B1909="","",IF(AB1909=0,"✓ covered","⚠ "&amp;AB1909&amp;IF(AB1909=1," gap"," gaps")))</f>
        <v/>
      </c>
    </row>
    <row r="1910" ht="17" customHeight="1">
      <c r="A1910" t="n">
        <v>39</v>
      </c>
      <c r="B1910" s="24">
        <f>IF(Setup!$K$8="","",Setup!$K$8)</f>
        <v/>
      </c>
      <c r="C1910" s="88" t="n"/>
      <c r="D1910" s="88" t="n"/>
      <c r="E1910" s="88" t="n"/>
      <c r="F1910" s="89" t="n"/>
      <c r="G1910" s="88" t="n"/>
      <c r="H1910" s="88" t="n"/>
      <c r="I1910" s="88" t="n"/>
      <c r="J1910" s="89" t="n"/>
      <c r="K1910" s="88" t="n"/>
      <c r="L1910" s="88" t="n"/>
      <c r="M1910" s="88" t="n"/>
      <c r="N1910" s="89" t="n"/>
      <c r="O1910" s="88" t="n"/>
      <c r="P1910" s="88" t="n"/>
      <c r="Q1910" s="88" t="n"/>
      <c r="R1910" s="89" t="n"/>
      <c r="S1910" s="88" t="n"/>
      <c r="T1910" s="88" t="n"/>
      <c r="U1910" s="88" t="n"/>
      <c r="V1910" s="89" t="n"/>
      <c r="W1910" s="88" t="n"/>
      <c r="X1910" s="89" t="n"/>
      <c r="Y1910" s="88" t="n"/>
      <c r="Z1910" s="89" t="n"/>
      <c r="AB1910" s="25">
        <f>IF($B1910="","",(COUNTIF(C1910:E1910,"?*")&lt;N(INDEX(Setup!$L$6:$L$23,3)))+(COUNTIF(G1910:I1910,"?*")&lt;N(INDEX(Setup!$L$6:$L$23,3)))+(COUNTIF(K1910:M1910,"?*")&lt;N(INDEX(Setup!$L$6:$L$23,3)))+(COUNTIF(O1910:Q1910,"?*")&lt;N(INDEX(Setup!$L$6:$L$23,3)))+(COUNTIF(S1910:U1910,"?*")&lt;N(INDEX(Setup!$L$6:$L$23,3)))+((W1910="")*(INDEX(Setup!$M$6:$M$23,3)="Y"))+((Y1910="")*(INDEX(Setup!$M$6:$M$23,3)="Y")))</f>
        <v/>
      </c>
      <c r="AC1910" s="90">
        <f>IF($B1910="","",IF(AB1910=0,"✓ covered","⚠ "&amp;AB1910&amp;IF(AB1910=1," gap"," gaps")))</f>
        <v/>
      </c>
    </row>
    <row r="1911" ht="17" customHeight="1">
      <c r="A1911" t="n">
        <v>39</v>
      </c>
      <c r="B1911" s="29">
        <f>IF(Setup!$K$9="","",Setup!$K$9)</f>
        <v/>
      </c>
      <c r="C1911" s="88" t="n"/>
      <c r="D1911" s="88" t="n"/>
      <c r="E1911" s="88" t="n"/>
      <c r="F1911" s="89" t="n"/>
      <c r="G1911" s="88" t="n"/>
      <c r="H1911" s="88" t="n"/>
      <c r="I1911" s="88" t="n"/>
      <c r="J1911" s="89" t="n"/>
      <c r="K1911" s="88" t="n"/>
      <c r="L1911" s="88" t="n"/>
      <c r="M1911" s="88" t="n"/>
      <c r="N1911" s="89" t="n"/>
      <c r="O1911" s="88" t="n"/>
      <c r="P1911" s="88" t="n"/>
      <c r="Q1911" s="88" t="n"/>
      <c r="R1911" s="89" t="n"/>
      <c r="S1911" s="88" t="n"/>
      <c r="T1911" s="88" t="n"/>
      <c r="U1911" s="88" t="n"/>
      <c r="V1911" s="89" t="n"/>
      <c r="W1911" s="88" t="n"/>
      <c r="X1911" s="89" t="n"/>
      <c r="Y1911" s="88" t="n"/>
      <c r="Z1911" s="89" t="n"/>
      <c r="AB1911" s="30">
        <f>IF($B1911="","",(COUNTIF(C1911:E1911,"?*")&lt;N(INDEX(Setup!$L$6:$L$23,4)))+(COUNTIF(G1911:I1911,"?*")&lt;N(INDEX(Setup!$L$6:$L$23,4)))+(COUNTIF(K1911:M1911,"?*")&lt;N(INDEX(Setup!$L$6:$L$23,4)))+(COUNTIF(O1911:Q1911,"?*")&lt;N(INDEX(Setup!$L$6:$L$23,4)))+(COUNTIF(S1911:U1911,"?*")&lt;N(INDEX(Setup!$L$6:$L$23,4)))+((W1911="")*(INDEX(Setup!$M$6:$M$23,4)="Y"))+((Y1911="")*(INDEX(Setup!$M$6:$M$23,4)="Y")))</f>
        <v/>
      </c>
      <c r="AC1911" s="91">
        <f>IF($B1911="","",IF(AB1911=0,"✓ covered","⚠ "&amp;AB1911&amp;IF(AB1911=1," gap"," gaps")))</f>
        <v/>
      </c>
    </row>
    <row r="1912" ht="17" customHeight="1">
      <c r="A1912" t="n">
        <v>39</v>
      </c>
      <c r="B1912" s="24">
        <f>IF(Setup!$K$10="","",Setup!$K$10)</f>
        <v/>
      </c>
      <c r="C1912" s="88" t="n"/>
      <c r="D1912" s="88" t="n"/>
      <c r="E1912" s="88" t="n"/>
      <c r="F1912" s="89" t="n"/>
      <c r="G1912" s="88" t="n"/>
      <c r="H1912" s="88" t="n"/>
      <c r="I1912" s="88" t="n"/>
      <c r="J1912" s="89" t="n"/>
      <c r="K1912" s="88" t="n"/>
      <c r="L1912" s="88" t="n"/>
      <c r="M1912" s="88" t="n"/>
      <c r="N1912" s="89" t="n"/>
      <c r="O1912" s="88" t="n"/>
      <c r="P1912" s="88" t="n"/>
      <c r="Q1912" s="88" t="n"/>
      <c r="R1912" s="89" t="n"/>
      <c r="S1912" s="88" t="n"/>
      <c r="T1912" s="88" t="n"/>
      <c r="U1912" s="88" t="n"/>
      <c r="V1912" s="89" t="n"/>
      <c r="W1912" s="88" t="n"/>
      <c r="X1912" s="89" t="n"/>
      <c r="Y1912" s="88" t="n"/>
      <c r="Z1912" s="89" t="n"/>
      <c r="AB1912" s="25">
        <f>IF($B1912="","",(COUNTIF(C1912:E1912,"?*")&lt;N(INDEX(Setup!$L$6:$L$23,5)))+(COUNTIF(G1912:I1912,"?*")&lt;N(INDEX(Setup!$L$6:$L$23,5)))+(COUNTIF(K1912:M1912,"?*")&lt;N(INDEX(Setup!$L$6:$L$23,5)))+(COUNTIF(O1912:Q1912,"?*")&lt;N(INDEX(Setup!$L$6:$L$23,5)))+(COUNTIF(S1912:U1912,"?*")&lt;N(INDEX(Setup!$L$6:$L$23,5)))+((W1912="")*(INDEX(Setup!$M$6:$M$23,5)="Y"))+((Y1912="")*(INDEX(Setup!$M$6:$M$23,5)="Y")))</f>
        <v/>
      </c>
      <c r="AC1912" s="90">
        <f>IF($B1912="","",IF(AB1912=0,"✓ covered","⚠ "&amp;AB1912&amp;IF(AB1912=1," gap"," gaps")))</f>
        <v/>
      </c>
    </row>
    <row r="1913" ht="17" customHeight="1">
      <c r="A1913" t="n">
        <v>39</v>
      </c>
      <c r="B1913" s="29">
        <f>IF(Setup!$K$11="","",Setup!$K$11)</f>
        <v/>
      </c>
      <c r="C1913" s="88" t="n"/>
      <c r="D1913" s="88" t="n"/>
      <c r="E1913" s="88" t="n"/>
      <c r="F1913" s="89" t="n"/>
      <c r="G1913" s="88" t="n"/>
      <c r="H1913" s="88" t="n"/>
      <c r="I1913" s="88" t="n"/>
      <c r="J1913" s="89" t="n"/>
      <c r="K1913" s="88" t="n"/>
      <c r="L1913" s="88" t="n"/>
      <c r="M1913" s="88" t="n"/>
      <c r="N1913" s="89" t="n"/>
      <c r="O1913" s="88" t="n"/>
      <c r="P1913" s="88" t="n"/>
      <c r="Q1913" s="88" t="n"/>
      <c r="R1913" s="89" t="n"/>
      <c r="S1913" s="88" t="n"/>
      <c r="T1913" s="88" t="n"/>
      <c r="U1913" s="88" t="n"/>
      <c r="V1913" s="89" t="n"/>
      <c r="W1913" s="88" t="n"/>
      <c r="X1913" s="89" t="n"/>
      <c r="Y1913" s="88" t="n"/>
      <c r="Z1913" s="89" t="n"/>
      <c r="AB1913" s="30">
        <f>IF($B1913="","",(COUNTIF(C1913:E1913,"?*")&lt;N(INDEX(Setup!$L$6:$L$23,6)))+(COUNTIF(G1913:I1913,"?*")&lt;N(INDEX(Setup!$L$6:$L$23,6)))+(COUNTIF(K1913:M1913,"?*")&lt;N(INDEX(Setup!$L$6:$L$23,6)))+(COUNTIF(O1913:Q1913,"?*")&lt;N(INDEX(Setup!$L$6:$L$23,6)))+(COUNTIF(S1913:U1913,"?*")&lt;N(INDEX(Setup!$L$6:$L$23,6)))+((W1913="")*(INDEX(Setup!$M$6:$M$23,6)="Y"))+((Y1913="")*(INDEX(Setup!$M$6:$M$23,6)="Y")))</f>
        <v/>
      </c>
      <c r="AC1913" s="91">
        <f>IF($B1913="","",IF(AB1913=0,"✓ covered","⚠ "&amp;AB1913&amp;IF(AB1913=1," gap"," gaps")))</f>
        <v/>
      </c>
    </row>
    <row r="1914" ht="17" customHeight="1">
      <c r="A1914" t="n">
        <v>39</v>
      </c>
      <c r="B1914" s="24">
        <f>IF(Setup!$K$12="","",Setup!$K$12)</f>
        <v/>
      </c>
      <c r="C1914" s="88" t="n"/>
      <c r="D1914" s="88" t="n"/>
      <c r="E1914" s="88" t="n"/>
      <c r="F1914" s="89" t="n"/>
      <c r="G1914" s="88" t="n"/>
      <c r="H1914" s="88" t="n"/>
      <c r="I1914" s="88" t="n"/>
      <c r="J1914" s="89" t="n"/>
      <c r="K1914" s="88" t="n"/>
      <c r="L1914" s="88" t="n"/>
      <c r="M1914" s="88" t="n"/>
      <c r="N1914" s="89" t="n"/>
      <c r="O1914" s="88" t="n"/>
      <c r="P1914" s="88" t="n"/>
      <c r="Q1914" s="88" t="n"/>
      <c r="R1914" s="89" t="n"/>
      <c r="S1914" s="88" t="n"/>
      <c r="T1914" s="88" t="n"/>
      <c r="U1914" s="88" t="n"/>
      <c r="V1914" s="89" t="n"/>
      <c r="W1914" s="88" t="n"/>
      <c r="X1914" s="89" t="n"/>
      <c r="Y1914" s="88" t="n"/>
      <c r="Z1914" s="89" t="n"/>
      <c r="AB1914" s="25">
        <f>IF($B1914="","",(COUNTIF(C1914:E1914,"?*")&lt;N(INDEX(Setup!$L$6:$L$23,7)))+(COUNTIF(G1914:I1914,"?*")&lt;N(INDEX(Setup!$L$6:$L$23,7)))+(COUNTIF(K1914:M1914,"?*")&lt;N(INDEX(Setup!$L$6:$L$23,7)))+(COUNTIF(O1914:Q1914,"?*")&lt;N(INDEX(Setup!$L$6:$L$23,7)))+(COUNTIF(S1914:U1914,"?*")&lt;N(INDEX(Setup!$L$6:$L$23,7)))+((W1914="")*(INDEX(Setup!$M$6:$M$23,7)="Y"))+((Y1914="")*(INDEX(Setup!$M$6:$M$23,7)="Y")))</f>
        <v/>
      </c>
      <c r="AC1914" s="90">
        <f>IF($B1914="","",IF(AB1914=0,"✓ covered","⚠ "&amp;AB1914&amp;IF(AB1914=1," gap"," gaps")))</f>
        <v/>
      </c>
    </row>
    <row r="1915" ht="17" customHeight="1">
      <c r="A1915" t="n">
        <v>39</v>
      </c>
      <c r="B1915" s="29">
        <f>IF(Setup!$K$13="","",Setup!$K$13)</f>
        <v/>
      </c>
      <c r="C1915" s="88" t="n"/>
      <c r="D1915" s="88" t="n"/>
      <c r="E1915" s="88" t="n"/>
      <c r="F1915" s="89" t="n"/>
      <c r="G1915" s="88" t="n"/>
      <c r="H1915" s="88" t="n"/>
      <c r="I1915" s="88" t="n"/>
      <c r="J1915" s="89" t="n"/>
      <c r="K1915" s="88" t="n"/>
      <c r="L1915" s="88" t="n"/>
      <c r="M1915" s="88" t="n"/>
      <c r="N1915" s="89" t="n"/>
      <c r="O1915" s="88" t="n"/>
      <c r="P1915" s="88" t="n"/>
      <c r="Q1915" s="88" t="n"/>
      <c r="R1915" s="89" t="n"/>
      <c r="S1915" s="88" t="n"/>
      <c r="T1915" s="88" t="n"/>
      <c r="U1915" s="88" t="n"/>
      <c r="V1915" s="89" t="n"/>
      <c r="W1915" s="88" t="n"/>
      <c r="X1915" s="89" t="n"/>
      <c r="Y1915" s="88" t="n"/>
      <c r="Z1915" s="89" t="n"/>
      <c r="AB1915" s="30">
        <f>IF($B1915="","",(COUNTIF(C1915:E1915,"?*")&lt;N(INDEX(Setup!$L$6:$L$23,8)))+(COUNTIF(G1915:I1915,"?*")&lt;N(INDEX(Setup!$L$6:$L$23,8)))+(COUNTIF(K1915:M1915,"?*")&lt;N(INDEX(Setup!$L$6:$L$23,8)))+(COUNTIF(O1915:Q1915,"?*")&lt;N(INDEX(Setup!$L$6:$L$23,8)))+(COUNTIF(S1915:U1915,"?*")&lt;N(INDEX(Setup!$L$6:$L$23,8)))+((W1915="")*(INDEX(Setup!$M$6:$M$23,8)="Y"))+((Y1915="")*(INDEX(Setup!$M$6:$M$23,8)="Y")))</f>
        <v/>
      </c>
      <c r="AC1915" s="91">
        <f>IF($B1915="","",IF(AB1915=0,"✓ covered","⚠ "&amp;AB1915&amp;IF(AB1915=1," gap"," gaps")))</f>
        <v/>
      </c>
    </row>
    <row r="1916" ht="17" customHeight="1">
      <c r="A1916" t="n">
        <v>39</v>
      </c>
      <c r="B1916" s="24">
        <f>IF(Setup!$K$14="","",Setup!$K$14)</f>
        <v/>
      </c>
      <c r="C1916" s="88" t="n"/>
      <c r="D1916" s="88" t="n"/>
      <c r="E1916" s="88" t="n"/>
      <c r="F1916" s="89" t="n"/>
      <c r="G1916" s="88" t="n"/>
      <c r="H1916" s="88" t="n"/>
      <c r="I1916" s="88" t="n"/>
      <c r="J1916" s="89" t="n"/>
      <c r="K1916" s="88" t="n"/>
      <c r="L1916" s="88" t="n"/>
      <c r="M1916" s="88" t="n"/>
      <c r="N1916" s="89" t="n"/>
      <c r="O1916" s="88" t="n"/>
      <c r="P1916" s="88" t="n"/>
      <c r="Q1916" s="88" t="n"/>
      <c r="R1916" s="89" t="n"/>
      <c r="S1916" s="88" t="n"/>
      <c r="T1916" s="88" t="n"/>
      <c r="U1916" s="88" t="n"/>
      <c r="V1916" s="89" t="n"/>
      <c r="W1916" s="88" t="n"/>
      <c r="X1916" s="89" t="n"/>
      <c r="Y1916" s="88" t="n"/>
      <c r="Z1916" s="89" t="n"/>
      <c r="AB1916" s="25">
        <f>IF($B1916="","",(COUNTIF(C1916:E1916,"?*")&lt;N(INDEX(Setup!$L$6:$L$23,9)))+(COUNTIF(G1916:I1916,"?*")&lt;N(INDEX(Setup!$L$6:$L$23,9)))+(COUNTIF(K1916:M1916,"?*")&lt;N(INDEX(Setup!$L$6:$L$23,9)))+(COUNTIF(O1916:Q1916,"?*")&lt;N(INDEX(Setup!$L$6:$L$23,9)))+(COUNTIF(S1916:U1916,"?*")&lt;N(INDEX(Setup!$L$6:$L$23,9)))+((W1916="")*(INDEX(Setup!$M$6:$M$23,9)="Y"))+((Y1916="")*(INDEX(Setup!$M$6:$M$23,9)="Y")))</f>
        <v/>
      </c>
      <c r="AC1916" s="90">
        <f>IF($B1916="","",IF(AB1916=0,"✓ covered","⚠ "&amp;AB1916&amp;IF(AB1916=1," gap"," gaps")))</f>
        <v/>
      </c>
    </row>
    <row r="1917" ht="17" customHeight="1">
      <c r="A1917" t="n">
        <v>39</v>
      </c>
      <c r="B1917" s="29">
        <f>IF(Setup!$K$15="","",Setup!$K$15)</f>
        <v/>
      </c>
      <c r="C1917" s="88" t="n"/>
      <c r="D1917" s="88" t="n"/>
      <c r="E1917" s="88" t="n"/>
      <c r="F1917" s="89" t="n"/>
      <c r="G1917" s="88" t="n"/>
      <c r="H1917" s="88" t="n"/>
      <c r="I1917" s="88" t="n"/>
      <c r="J1917" s="89" t="n"/>
      <c r="K1917" s="88" t="n"/>
      <c r="L1917" s="88" t="n"/>
      <c r="M1917" s="88" t="n"/>
      <c r="N1917" s="89" t="n"/>
      <c r="O1917" s="88" t="n"/>
      <c r="P1917" s="88" t="n"/>
      <c r="Q1917" s="88" t="n"/>
      <c r="R1917" s="89" t="n"/>
      <c r="S1917" s="88" t="n"/>
      <c r="T1917" s="88" t="n"/>
      <c r="U1917" s="88" t="n"/>
      <c r="V1917" s="89" t="n"/>
      <c r="W1917" s="88" t="n"/>
      <c r="X1917" s="89" t="n"/>
      <c r="Y1917" s="88" t="n"/>
      <c r="Z1917" s="89" t="n"/>
      <c r="AB1917" s="30">
        <f>IF($B1917="","",(COUNTIF(C1917:E1917,"?*")&lt;N(INDEX(Setup!$L$6:$L$23,10)))+(COUNTIF(G1917:I1917,"?*")&lt;N(INDEX(Setup!$L$6:$L$23,10)))+(COUNTIF(K1917:M1917,"?*")&lt;N(INDEX(Setup!$L$6:$L$23,10)))+(COUNTIF(O1917:Q1917,"?*")&lt;N(INDEX(Setup!$L$6:$L$23,10)))+(COUNTIF(S1917:U1917,"?*")&lt;N(INDEX(Setup!$L$6:$L$23,10)))+((W1917="")*(INDEX(Setup!$M$6:$M$23,10)="Y"))+((Y1917="")*(INDEX(Setup!$M$6:$M$23,10)="Y")))</f>
        <v/>
      </c>
      <c r="AC1917" s="91">
        <f>IF($B1917="","",IF(AB1917=0,"✓ covered","⚠ "&amp;AB1917&amp;IF(AB1917=1," gap"," gaps")))</f>
        <v/>
      </c>
    </row>
    <row r="1918" ht="17" customHeight="1">
      <c r="A1918" t="n">
        <v>39</v>
      </c>
      <c r="B1918" s="24">
        <f>IF(Setup!$K$16="","",Setup!$K$16)</f>
        <v/>
      </c>
      <c r="C1918" s="88" t="n"/>
      <c r="D1918" s="88" t="n"/>
      <c r="E1918" s="88" t="n"/>
      <c r="F1918" s="89" t="n"/>
      <c r="G1918" s="88" t="n"/>
      <c r="H1918" s="88" t="n"/>
      <c r="I1918" s="88" t="n"/>
      <c r="J1918" s="89" t="n"/>
      <c r="K1918" s="88" t="n"/>
      <c r="L1918" s="88" t="n"/>
      <c r="M1918" s="88" t="n"/>
      <c r="N1918" s="89" t="n"/>
      <c r="O1918" s="88" t="n"/>
      <c r="P1918" s="88" t="n"/>
      <c r="Q1918" s="88" t="n"/>
      <c r="R1918" s="89" t="n"/>
      <c r="S1918" s="88" t="n"/>
      <c r="T1918" s="88" t="n"/>
      <c r="U1918" s="88" t="n"/>
      <c r="V1918" s="89" t="n"/>
      <c r="W1918" s="88" t="n"/>
      <c r="X1918" s="89" t="n"/>
      <c r="Y1918" s="88" t="n"/>
      <c r="Z1918" s="89" t="n"/>
      <c r="AB1918" s="25">
        <f>IF($B1918="","",(COUNTIF(C1918:E1918,"?*")&lt;N(INDEX(Setup!$L$6:$L$23,11)))+(COUNTIF(G1918:I1918,"?*")&lt;N(INDEX(Setup!$L$6:$L$23,11)))+(COUNTIF(K1918:M1918,"?*")&lt;N(INDEX(Setup!$L$6:$L$23,11)))+(COUNTIF(O1918:Q1918,"?*")&lt;N(INDEX(Setup!$L$6:$L$23,11)))+(COUNTIF(S1918:U1918,"?*")&lt;N(INDEX(Setup!$L$6:$L$23,11)))+((W1918="")*(INDEX(Setup!$M$6:$M$23,11)="Y"))+((Y1918="")*(INDEX(Setup!$M$6:$M$23,11)="Y")))</f>
        <v/>
      </c>
      <c r="AC1918" s="90">
        <f>IF($B1918="","",IF(AB1918=0,"✓ covered","⚠ "&amp;AB1918&amp;IF(AB1918=1," gap"," gaps")))</f>
        <v/>
      </c>
    </row>
    <row r="1919" ht="17" customHeight="1">
      <c r="A1919" t="n">
        <v>39</v>
      </c>
      <c r="B1919" s="29">
        <f>IF(Setup!$K$17="","",Setup!$K$17)</f>
        <v/>
      </c>
      <c r="C1919" s="88" t="n"/>
      <c r="D1919" s="88" t="n"/>
      <c r="E1919" s="88" t="n"/>
      <c r="F1919" s="89" t="n"/>
      <c r="G1919" s="88" t="n"/>
      <c r="H1919" s="88" t="n"/>
      <c r="I1919" s="88" t="n"/>
      <c r="J1919" s="89" t="n"/>
      <c r="K1919" s="88" t="n"/>
      <c r="L1919" s="88" t="n"/>
      <c r="M1919" s="88" t="n"/>
      <c r="N1919" s="89" t="n"/>
      <c r="O1919" s="88" t="n"/>
      <c r="P1919" s="88" t="n"/>
      <c r="Q1919" s="88" t="n"/>
      <c r="R1919" s="89" t="n"/>
      <c r="S1919" s="88" t="n"/>
      <c r="T1919" s="88" t="n"/>
      <c r="U1919" s="88" t="n"/>
      <c r="V1919" s="89" t="n"/>
      <c r="W1919" s="88" t="n"/>
      <c r="X1919" s="89" t="n"/>
      <c r="Y1919" s="88" t="n"/>
      <c r="Z1919" s="89" t="n"/>
      <c r="AB1919" s="30">
        <f>IF($B1919="","",(COUNTIF(C1919:E1919,"?*")&lt;N(INDEX(Setup!$L$6:$L$23,12)))+(COUNTIF(G1919:I1919,"?*")&lt;N(INDEX(Setup!$L$6:$L$23,12)))+(COUNTIF(K1919:M1919,"?*")&lt;N(INDEX(Setup!$L$6:$L$23,12)))+(COUNTIF(O1919:Q1919,"?*")&lt;N(INDEX(Setup!$L$6:$L$23,12)))+(COUNTIF(S1919:U1919,"?*")&lt;N(INDEX(Setup!$L$6:$L$23,12)))+((W1919="")*(INDEX(Setup!$M$6:$M$23,12)="Y"))+((Y1919="")*(INDEX(Setup!$M$6:$M$23,12)="Y")))</f>
        <v/>
      </c>
      <c r="AC1919" s="91">
        <f>IF($B1919="","",IF(AB1919=0,"✓ covered","⚠ "&amp;AB1919&amp;IF(AB1919=1," gap"," gaps")))</f>
        <v/>
      </c>
    </row>
    <row r="1920" ht="17" customHeight="1">
      <c r="A1920" t="n">
        <v>39</v>
      </c>
      <c r="B1920" s="24">
        <f>IF(Setup!$K$18="","",Setup!$K$18)</f>
        <v/>
      </c>
      <c r="C1920" s="88" t="n"/>
      <c r="D1920" s="88" t="n"/>
      <c r="E1920" s="88" t="n"/>
      <c r="F1920" s="89" t="n"/>
      <c r="G1920" s="88" t="n"/>
      <c r="H1920" s="88" t="n"/>
      <c r="I1920" s="88" t="n"/>
      <c r="J1920" s="89" t="n"/>
      <c r="K1920" s="88" t="n"/>
      <c r="L1920" s="88" t="n"/>
      <c r="M1920" s="88" t="n"/>
      <c r="N1920" s="89" t="n"/>
      <c r="O1920" s="88" t="n"/>
      <c r="P1920" s="88" t="n"/>
      <c r="Q1920" s="88" t="n"/>
      <c r="R1920" s="89" t="n"/>
      <c r="S1920" s="88" t="n"/>
      <c r="T1920" s="88" t="n"/>
      <c r="U1920" s="88" t="n"/>
      <c r="V1920" s="89" t="n"/>
      <c r="W1920" s="88" t="n"/>
      <c r="X1920" s="89" t="n"/>
      <c r="Y1920" s="88" t="n"/>
      <c r="Z1920" s="89" t="n"/>
      <c r="AB1920" s="25">
        <f>IF($B1920="","",(COUNTIF(C1920:E1920,"?*")&lt;N(INDEX(Setup!$L$6:$L$23,13)))+(COUNTIF(G1920:I1920,"?*")&lt;N(INDEX(Setup!$L$6:$L$23,13)))+(COUNTIF(K1920:M1920,"?*")&lt;N(INDEX(Setup!$L$6:$L$23,13)))+(COUNTIF(O1920:Q1920,"?*")&lt;N(INDEX(Setup!$L$6:$L$23,13)))+(COUNTIF(S1920:U1920,"?*")&lt;N(INDEX(Setup!$L$6:$L$23,13)))+((W1920="")*(INDEX(Setup!$M$6:$M$23,13)="Y"))+((Y1920="")*(INDEX(Setup!$M$6:$M$23,13)="Y")))</f>
        <v/>
      </c>
      <c r="AC1920" s="90">
        <f>IF($B1920="","",IF(AB1920=0,"✓ covered","⚠ "&amp;AB1920&amp;IF(AB1920=1," gap"," gaps")))</f>
        <v/>
      </c>
    </row>
    <row r="1921" ht="17" customHeight="1">
      <c r="A1921" t="n">
        <v>39</v>
      </c>
      <c r="B1921" s="29">
        <f>IF(Setup!$K$19="","",Setup!$K$19)</f>
        <v/>
      </c>
      <c r="C1921" s="88" t="n"/>
      <c r="D1921" s="88" t="n"/>
      <c r="E1921" s="88" t="n"/>
      <c r="F1921" s="89" t="n"/>
      <c r="G1921" s="88" t="n"/>
      <c r="H1921" s="88" t="n"/>
      <c r="I1921" s="88" t="n"/>
      <c r="J1921" s="89" t="n"/>
      <c r="K1921" s="88" t="n"/>
      <c r="L1921" s="88" t="n"/>
      <c r="M1921" s="88" t="n"/>
      <c r="N1921" s="89" t="n"/>
      <c r="O1921" s="88" t="n"/>
      <c r="P1921" s="88" t="n"/>
      <c r="Q1921" s="88" t="n"/>
      <c r="R1921" s="89" t="n"/>
      <c r="S1921" s="88" t="n"/>
      <c r="T1921" s="88" t="n"/>
      <c r="U1921" s="88" t="n"/>
      <c r="V1921" s="89" t="n"/>
      <c r="W1921" s="88" t="n"/>
      <c r="X1921" s="89" t="n"/>
      <c r="Y1921" s="88" t="n"/>
      <c r="Z1921" s="89" t="n"/>
      <c r="AB1921" s="30">
        <f>IF($B1921="","",(COUNTIF(C1921:E1921,"?*")&lt;N(INDEX(Setup!$L$6:$L$23,14)))+(COUNTIF(G1921:I1921,"?*")&lt;N(INDEX(Setup!$L$6:$L$23,14)))+(COUNTIF(K1921:M1921,"?*")&lt;N(INDEX(Setup!$L$6:$L$23,14)))+(COUNTIF(O1921:Q1921,"?*")&lt;N(INDEX(Setup!$L$6:$L$23,14)))+(COUNTIF(S1921:U1921,"?*")&lt;N(INDEX(Setup!$L$6:$L$23,14)))+((W1921="")*(INDEX(Setup!$M$6:$M$23,14)="Y"))+((Y1921="")*(INDEX(Setup!$M$6:$M$23,14)="Y")))</f>
        <v/>
      </c>
      <c r="AC1921" s="91">
        <f>IF($B1921="","",IF(AB1921=0,"✓ covered","⚠ "&amp;AB1921&amp;IF(AB1921=1," gap"," gaps")))</f>
        <v/>
      </c>
    </row>
    <row r="1922" ht="17" customHeight="1">
      <c r="A1922" t="n">
        <v>39</v>
      </c>
      <c r="B1922" s="24">
        <f>IF(Setup!$K$20="","",Setup!$K$20)</f>
        <v/>
      </c>
      <c r="C1922" s="88" t="n"/>
      <c r="D1922" s="88" t="n"/>
      <c r="E1922" s="88" t="n"/>
      <c r="F1922" s="89" t="n"/>
      <c r="G1922" s="88" t="n"/>
      <c r="H1922" s="88" t="n"/>
      <c r="I1922" s="88" t="n"/>
      <c r="J1922" s="89" t="n"/>
      <c r="K1922" s="88" t="n"/>
      <c r="L1922" s="88" t="n"/>
      <c r="M1922" s="88" t="n"/>
      <c r="N1922" s="89" t="n"/>
      <c r="O1922" s="88" t="n"/>
      <c r="P1922" s="88" t="n"/>
      <c r="Q1922" s="88" t="n"/>
      <c r="R1922" s="89" t="n"/>
      <c r="S1922" s="88" t="n"/>
      <c r="T1922" s="88" t="n"/>
      <c r="U1922" s="88" t="n"/>
      <c r="V1922" s="89" t="n"/>
      <c r="W1922" s="88" t="n"/>
      <c r="X1922" s="89" t="n"/>
      <c r="Y1922" s="88" t="n"/>
      <c r="Z1922" s="89" t="n"/>
      <c r="AB1922" s="25">
        <f>IF($B1922="","",(COUNTIF(C1922:E1922,"?*")&lt;N(INDEX(Setup!$L$6:$L$23,15)))+(COUNTIF(G1922:I1922,"?*")&lt;N(INDEX(Setup!$L$6:$L$23,15)))+(COUNTIF(K1922:M1922,"?*")&lt;N(INDEX(Setup!$L$6:$L$23,15)))+(COUNTIF(O1922:Q1922,"?*")&lt;N(INDEX(Setup!$L$6:$L$23,15)))+(COUNTIF(S1922:U1922,"?*")&lt;N(INDEX(Setup!$L$6:$L$23,15)))+((W1922="")*(INDEX(Setup!$M$6:$M$23,15)="Y"))+((Y1922="")*(INDEX(Setup!$M$6:$M$23,15)="Y")))</f>
        <v/>
      </c>
      <c r="AC1922" s="90">
        <f>IF($B1922="","",IF(AB1922=0,"✓ covered","⚠ "&amp;AB1922&amp;IF(AB1922=1," gap"," gaps")))</f>
        <v/>
      </c>
    </row>
    <row r="1923" ht="17" customHeight="1">
      <c r="A1923" t="n">
        <v>39</v>
      </c>
      <c r="B1923" s="29">
        <f>IF(Setup!$K$21="","",Setup!$K$21)</f>
        <v/>
      </c>
      <c r="C1923" s="88" t="n"/>
      <c r="D1923" s="88" t="n"/>
      <c r="E1923" s="88" t="n"/>
      <c r="F1923" s="89" t="n"/>
      <c r="G1923" s="88" t="n"/>
      <c r="H1923" s="88" t="n"/>
      <c r="I1923" s="88" t="n"/>
      <c r="J1923" s="89" t="n"/>
      <c r="K1923" s="88" t="n"/>
      <c r="L1923" s="88" t="n"/>
      <c r="M1923" s="88" t="n"/>
      <c r="N1923" s="89" t="n"/>
      <c r="O1923" s="88" t="n"/>
      <c r="P1923" s="88" t="n"/>
      <c r="Q1923" s="88" t="n"/>
      <c r="R1923" s="89" t="n"/>
      <c r="S1923" s="88" t="n"/>
      <c r="T1923" s="88" t="n"/>
      <c r="U1923" s="88" t="n"/>
      <c r="V1923" s="89" t="n"/>
      <c r="W1923" s="88" t="n"/>
      <c r="X1923" s="89" t="n"/>
      <c r="Y1923" s="88" t="n"/>
      <c r="Z1923" s="89" t="n"/>
      <c r="AB1923" s="30">
        <f>IF($B1923="","",(COUNTIF(C1923:E1923,"?*")&lt;N(INDEX(Setup!$L$6:$L$23,16)))+(COUNTIF(G1923:I1923,"?*")&lt;N(INDEX(Setup!$L$6:$L$23,16)))+(COUNTIF(K1923:M1923,"?*")&lt;N(INDEX(Setup!$L$6:$L$23,16)))+(COUNTIF(O1923:Q1923,"?*")&lt;N(INDEX(Setup!$L$6:$L$23,16)))+(COUNTIF(S1923:U1923,"?*")&lt;N(INDEX(Setup!$L$6:$L$23,16)))+((W1923="")*(INDEX(Setup!$M$6:$M$23,16)="Y"))+((Y1923="")*(INDEX(Setup!$M$6:$M$23,16)="Y")))</f>
        <v/>
      </c>
      <c r="AC1923" s="91">
        <f>IF($B1923="","",IF(AB1923=0,"✓ covered","⚠ "&amp;AB1923&amp;IF(AB1923=1," gap"," gaps")))</f>
        <v/>
      </c>
    </row>
    <row r="1924" ht="17" customHeight="1">
      <c r="A1924" t="n">
        <v>39</v>
      </c>
      <c r="B1924" s="24">
        <f>IF(Setup!$K$22="","",Setup!$K$22)</f>
        <v/>
      </c>
      <c r="C1924" s="88" t="n"/>
      <c r="D1924" s="88" t="n"/>
      <c r="E1924" s="88" t="n"/>
      <c r="F1924" s="89" t="n"/>
      <c r="G1924" s="88" t="n"/>
      <c r="H1924" s="88" t="n"/>
      <c r="I1924" s="88" t="n"/>
      <c r="J1924" s="89" t="n"/>
      <c r="K1924" s="88" t="n"/>
      <c r="L1924" s="88" t="n"/>
      <c r="M1924" s="88" t="n"/>
      <c r="N1924" s="89" t="n"/>
      <c r="O1924" s="88" t="n"/>
      <c r="P1924" s="88" t="n"/>
      <c r="Q1924" s="88" t="n"/>
      <c r="R1924" s="89" t="n"/>
      <c r="S1924" s="88" t="n"/>
      <c r="T1924" s="88" t="n"/>
      <c r="U1924" s="88" t="n"/>
      <c r="V1924" s="89" t="n"/>
      <c r="W1924" s="88" t="n"/>
      <c r="X1924" s="89" t="n"/>
      <c r="Y1924" s="88" t="n"/>
      <c r="Z1924" s="89" t="n"/>
      <c r="AB1924" s="25">
        <f>IF($B1924="","",(COUNTIF(C1924:E1924,"?*")&lt;N(INDEX(Setup!$L$6:$L$23,17)))+(COUNTIF(G1924:I1924,"?*")&lt;N(INDEX(Setup!$L$6:$L$23,17)))+(COUNTIF(K1924:M1924,"?*")&lt;N(INDEX(Setup!$L$6:$L$23,17)))+(COUNTIF(O1924:Q1924,"?*")&lt;N(INDEX(Setup!$L$6:$L$23,17)))+(COUNTIF(S1924:U1924,"?*")&lt;N(INDEX(Setup!$L$6:$L$23,17)))+((W1924="")*(INDEX(Setup!$M$6:$M$23,17)="Y"))+((Y1924="")*(INDEX(Setup!$M$6:$M$23,17)="Y")))</f>
        <v/>
      </c>
      <c r="AC1924" s="90">
        <f>IF($B1924="","",IF(AB1924=0,"✓ covered","⚠ "&amp;AB1924&amp;IF(AB1924=1," gap"," gaps")))</f>
        <v/>
      </c>
    </row>
    <row r="1925" ht="17" customHeight="1">
      <c r="A1925" t="n">
        <v>39</v>
      </c>
      <c r="B1925" s="29">
        <f>IF(Setup!$K$23="","",Setup!$K$23)</f>
        <v/>
      </c>
      <c r="C1925" s="88" t="n"/>
      <c r="D1925" s="88" t="n"/>
      <c r="E1925" s="88" t="n"/>
      <c r="F1925" s="89" t="n"/>
      <c r="G1925" s="88" t="n"/>
      <c r="H1925" s="88" t="n"/>
      <c r="I1925" s="88" t="n"/>
      <c r="J1925" s="89" t="n"/>
      <c r="K1925" s="88" t="n"/>
      <c r="L1925" s="88" t="n"/>
      <c r="M1925" s="88" t="n"/>
      <c r="N1925" s="89" t="n"/>
      <c r="O1925" s="88" t="n"/>
      <c r="P1925" s="88" t="n"/>
      <c r="Q1925" s="88" t="n"/>
      <c r="R1925" s="89" t="n"/>
      <c r="S1925" s="88" t="n"/>
      <c r="T1925" s="88" t="n"/>
      <c r="U1925" s="88" t="n"/>
      <c r="V1925" s="89" t="n"/>
      <c r="W1925" s="88" t="n"/>
      <c r="X1925" s="89" t="n"/>
      <c r="Y1925" s="88" t="n"/>
      <c r="Z1925" s="89" t="n"/>
      <c r="AB1925" s="30">
        <f>IF($B1925="","",(COUNTIF(C1925:E1925,"?*")&lt;N(INDEX(Setup!$L$6:$L$23,18)))+(COUNTIF(G1925:I1925,"?*")&lt;N(INDEX(Setup!$L$6:$L$23,18)))+(COUNTIF(K1925:M1925,"?*")&lt;N(INDEX(Setup!$L$6:$L$23,18)))+(COUNTIF(O1925:Q1925,"?*")&lt;N(INDEX(Setup!$L$6:$L$23,18)))+(COUNTIF(S1925:U1925,"?*")&lt;N(INDEX(Setup!$L$6:$L$23,18)))+((W1925="")*(INDEX(Setup!$M$6:$M$23,18)="Y"))+((Y1925="")*(INDEX(Setup!$M$6:$M$23,18)="Y")))</f>
        <v/>
      </c>
      <c r="AC1925" s="91">
        <f>IF($B1925="","",IF(AB1925=0,"✓ covered","⚠ "&amp;AB1925&amp;IF(AB1925=1," gap"," gaps")))</f>
        <v/>
      </c>
    </row>
    <row r="1926" ht="18" customHeight="1">
      <c r="A1926" t="n">
        <v>39</v>
      </c>
      <c r="B1926" s="78" t="inlineStr">
        <is>
          <t>TEAM AVAILABILITY</t>
        </is>
      </c>
      <c r="C1926" s="92" t="inlineStr">
        <is>
          <t>Mon</t>
        </is>
      </c>
      <c r="D1926" s="93" t="n"/>
      <c r="E1926" s="93" t="n"/>
      <c r="F1926" s="94" t="n"/>
      <c r="G1926" s="92" t="inlineStr">
        <is>
          <t>Tue</t>
        </is>
      </c>
      <c r="H1926" s="93" t="n"/>
      <c r="I1926" s="93" t="n"/>
      <c r="J1926" s="94" t="n"/>
      <c r="K1926" s="92" t="inlineStr">
        <is>
          <t>Wed</t>
        </is>
      </c>
      <c r="L1926" s="93" t="n"/>
      <c r="M1926" s="93" t="n"/>
      <c r="N1926" s="94" t="n"/>
      <c r="O1926" s="92" t="inlineStr">
        <is>
          <t>Thu</t>
        </is>
      </c>
      <c r="P1926" s="93" t="n"/>
      <c r="Q1926" s="93" t="n"/>
      <c r="R1926" s="94" t="n"/>
      <c r="S1926" s="92" t="inlineStr">
        <is>
          <t>Fri</t>
        </is>
      </c>
      <c r="T1926" s="93" t="n"/>
      <c r="U1926" s="93" t="n"/>
      <c r="V1926" s="94" t="n"/>
      <c r="W1926" s="95" t="inlineStr">
        <is>
          <t>Sat</t>
        </is>
      </c>
      <c r="X1926" s="96" t="n"/>
      <c r="Y1926" s="95" t="inlineStr">
        <is>
          <t>Sun</t>
        </is>
      </c>
      <c r="Z1926" s="96" t="n"/>
      <c r="AB1926" s="97" t="inlineStr">
        <is>
          <t>Days rostered</t>
        </is>
      </c>
      <c r="AC1926" s="97" t="inlineStr">
        <is>
          <t>Conflicts</t>
        </is>
      </c>
    </row>
    <row r="1927" ht="15" customHeight="1">
      <c r="A1927" t="n">
        <v>39</v>
      </c>
      <c r="B1927" s="35">
        <f>IF(Setup!$B$6="","",Setup!$B$6)</f>
        <v/>
      </c>
      <c r="C1927" s="98" t="n"/>
      <c r="D1927" s="99" t="n"/>
      <c r="E1927" s="99" t="n"/>
      <c r="F1927" s="100" t="n"/>
      <c r="G1927" s="98" t="n"/>
      <c r="H1927" s="99" t="n"/>
      <c r="I1927" s="99" t="n"/>
      <c r="J1927" s="100" t="n"/>
      <c r="K1927" s="98" t="n"/>
      <c r="L1927" s="99" t="n"/>
      <c r="M1927" s="99" t="n"/>
      <c r="N1927" s="100" t="n"/>
      <c r="O1927" s="98" t="n"/>
      <c r="P1927" s="99" t="n"/>
      <c r="Q1927" s="99" t="n"/>
      <c r="R1927" s="100" t="n"/>
      <c r="S1927" s="98" t="n"/>
      <c r="T1927" s="99" t="n"/>
      <c r="U1927" s="99" t="n"/>
      <c r="V1927" s="100" t="n"/>
      <c r="W1927" s="98" t="n"/>
      <c r="X1927" s="100" t="n"/>
      <c r="Y1927" s="98" t="n"/>
      <c r="Z1927" s="100" t="n"/>
      <c r="AB1927" s="101">
        <f>IF($B1927="","",(COUNTIF(C1908:E1925,$B1927)+COUNTIF(C1908:E1925,$B1927&amp;" ~*")&gt;0)+(COUNTIF(G1908:I1925,$B1927)+COUNTIF(G1908:I1925,$B1927&amp;" ~*")&gt;0)+(COUNTIF(K1908:M1925,$B1927)+COUNTIF(K1908:M1925,$B1927&amp;" ~*")&gt;0)+(COUNTIF(O1908:Q1925,$B1927)+COUNTIF(O1908:Q1925,$B1927&amp;" ~*")&gt;0)+(COUNTIF(S1908:U1925,$B1927)+COUNTIF(S1908:U1925,$B1927&amp;" ~*")&gt;0)+(COUNTIF(W1908:W1925,$B1927)+COUNTIF(W1908:W1925,$B1927&amp;" ~*")&gt;0)+(COUNTIF(Y1908:Y1925,$B1927)+COUNTIF(Y1908:Y1925,$B1927&amp;" ~*")&gt;0))</f>
        <v/>
      </c>
      <c r="AC1927" s="36">
        <f>IF($B1927="","",(IFERROR(INDEX(Setup!$G$33:$G$40,MATCH(C1927,Setup!$B$33:$B$40,0)),0)=1)*(COUNTIF(C1908:E1925,$B1927)+COUNTIF(C1908:E1925,$B1927&amp;" ~*")&gt;0)+(IFERROR(INDEX(Setup!$G$33:$G$40,MATCH(G1927,Setup!$B$33:$B$40,0)),0)=1)*(COUNTIF(G1908:I1925,$B1927)+COUNTIF(G1908:I1925,$B1927&amp;" ~*")&gt;0)+(IFERROR(INDEX(Setup!$G$33:$G$40,MATCH(K1927,Setup!$B$33:$B$40,0)),0)=1)*(COUNTIF(K1908:M1925,$B1927)+COUNTIF(K1908:M1925,$B1927&amp;" ~*")&gt;0)+(IFERROR(INDEX(Setup!$G$33:$G$40,MATCH(O1927,Setup!$B$33:$B$40,0)),0)=1)*(COUNTIF(O1908:Q1925,$B1927)+COUNTIF(O1908:Q1925,$B1927&amp;" ~*")&gt;0)+(IFERROR(INDEX(Setup!$G$33:$G$40,MATCH(S1927,Setup!$B$33:$B$40,0)),0)=1)*(COUNTIF(S1908:U1925,$B1927)+COUNTIF(S1908:U1925,$B1927&amp;" ~*")&gt;0)+(IFERROR(INDEX(Setup!$G$33:$G$40,MATCH(W1927,Setup!$B$33:$B$40,0)),0)=1)*(COUNTIF(W1908:W1925,$B1927)+COUNTIF(W1908:W1925,$B1927&amp;" ~*")&gt;0)+(IFERROR(INDEX(Setup!$G$33:$G$40,MATCH(Y1927,Setup!$B$33:$B$40,0)),0)=1)*(COUNTIF(Y1908:Y1925,$B1927)+COUNTIF(Y1908:Y1925,$B1927&amp;" ~*")&gt;0))</f>
        <v/>
      </c>
    </row>
    <row r="1928" ht="15" customHeight="1">
      <c r="A1928" t="n">
        <v>39</v>
      </c>
      <c r="B1928" s="37">
        <f>IF(Setup!$B$7="","",Setup!$B$7)</f>
        <v/>
      </c>
      <c r="C1928" s="102" t="n"/>
      <c r="D1928" s="103" t="n"/>
      <c r="E1928" s="103" t="n"/>
      <c r="F1928" s="104" t="n"/>
      <c r="G1928" s="102" t="n"/>
      <c r="H1928" s="103" t="n"/>
      <c r="I1928" s="103" t="n"/>
      <c r="J1928" s="104" t="n"/>
      <c r="K1928" s="102" t="n"/>
      <c r="L1928" s="103" t="n"/>
      <c r="M1928" s="103" t="n"/>
      <c r="N1928" s="104" t="n"/>
      <c r="O1928" s="102" t="n"/>
      <c r="P1928" s="103" t="n"/>
      <c r="Q1928" s="103" t="n"/>
      <c r="R1928" s="104" t="n"/>
      <c r="S1928" s="102" t="n"/>
      <c r="T1928" s="103" t="n"/>
      <c r="U1928" s="103" t="n"/>
      <c r="V1928" s="104" t="n"/>
      <c r="W1928" s="102" t="n"/>
      <c r="X1928" s="104" t="n"/>
      <c r="Y1928" s="102" t="n"/>
      <c r="Z1928" s="104" t="n"/>
      <c r="AB1928" s="105">
        <f>IF($B1928="","",(COUNTIF(C1908:E1925,$B1928)+COUNTIF(C1908:E1925,$B1928&amp;" ~*")&gt;0)+(COUNTIF(G1908:I1925,$B1928)+COUNTIF(G1908:I1925,$B1928&amp;" ~*")&gt;0)+(COUNTIF(K1908:M1925,$B1928)+COUNTIF(K1908:M1925,$B1928&amp;" ~*")&gt;0)+(COUNTIF(O1908:Q1925,$B1928)+COUNTIF(O1908:Q1925,$B1928&amp;" ~*")&gt;0)+(COUNTIF(S1908:U1925,$B1928)+COUNTIF(S1908:U1925,$B1928&amp;" ~*")&gt;0)+(COUNTIF(W1908:W1925,$B1928)+COUNTIF(W1908:W1925,$B1928&amp;" ~*")&gt;0)+(COUNTIF(Y1908:Y1925,$B1928)+COUNTIF(Y1908:Y1925,$B1928&amp;" ~*")&gt;0))</f>
        <v/>
      </c>
      <c r="AC1928" s="38">
        <f>IF($B1928="","",(IFERROR(INDEX(Setup!$G$33:$G$40,MATCH(C1928,Setup!$B$33:$B$40,0)),0)=1)*(COUNTIF(C1908:E1925,$B1928)+COUNTIF(C1908:E1925,$B1928&amp;" ~*")&gt;0)+(IFERROR(INDEX(Setup!$G$33:$G$40,MATCH(G1928,Setup!$B$33:$B$40,0)),0)=1)*(COUNTIF(G1908:I1925,$B1928)+COUNTIF(G1908:I1925,$B1928&amp;" ~*")&gt;0)+(IFERROR(INDEX(Setup!$G$33:$G$40,MATCH(K1928,Setup!$B$33:$B$40,0)),0)=1)*(COUNTIF(K1908:M1925,$B1928)+COUNTIF(K1908:M1925,$B1928&amp;" ~*")&gt;0)+(IFERROR(INDEX(Setup!$G$33:$G$40,MATCH(O1928,Setup!$B$33:$B$40,0)),0)=1)*(COUNTIF(O1908:Q1925,$B1928)+COUNTIF(O1908:Q1925,$B1928&amp;" ~*")&gt;0)+(IFERROR(INDEX(Setup!$G$33:$G$40,MATCH(S1928,Setup!$B$33:$B$40,0)),0)=1)*(COUNTIF(S1908:U1925,$B1928)+COUNTIF(S1908:U1925,$B1928&amp;" ~*")&gt;0)+(IFERROR(INDEX(Setup!$G$33:$G$40,MATCH(W1928,Setup!$B$33:$B$40,0)),0)=1)*(COUNTIF(W1908:W1925,$B1928)+COUNTIF(W1908:W1925,$B1928&amp;" ~*")&gt;0)+(IFERROR(INDEX(Setup!$G$33:$G$40,MATCH(Y1928,Setup!$B$33:$B$40,0)),0)=1)*(COUNTIF(Y1908:Y1925,$B1928)+COUNTIF(Y1908:Y1925,$B1928&amp;" ~*")&gt;0))</f>
        <v/>
      </c>
    </row>
    <row r="1929" ht="15" customHeight="1">
      <c r="A1929" t="n">
        <v>39</v>
      </c>
      <c r="B1929" s="35">
        <f>IF(Setup!$B$8="","",Setup!$B$8)</f>
        <v/>
      </c>
      <c r="C1929" s="98" t="n"/>
      <c r="D1929" s="99" t="n"/>
      <c r="E1929" s="99" t="n"/>
      <c r="F1929" s="100" t="n"/>
      <c r="G1929" s="98" t="n"/>
      <c r="H1929" s="99" t="n"/>
      <c r="I1929" s="99" t="n"/>
      <c r="J1929" s="100" t="n"/>
      <c r="K1929" s="98" t="n"/>
      <c r="L1929" s="99" t="n"/>
      <c r="M1929" s="99" t="n"/>
      <c r="N1929" s="100" t="n"/>
      <c r="O1929" s="98" t="n"/>
      <c r="P1929" s="99" t="n"/>
      <c r="Q1929" s="99" t="n"/>
      <c r="R1929" s="100" t="n"/>
      <c r="S1929" s="98" t="n"/>
      <c r="T1929" s="99" t="n"/>
      <c r="U1929" s="99" t="n"/>
      <c r="V1929" s="100" t="n"/>
      <c r="W1929" s="98" t="n"/>
      <c r="X1929" s="100" t="n"/>
      <c r="Y1929" s="98" t="n"/>
      <c r="Z1929" s="100" t="n"/>
      <c r="AB1929" s="101">
        <f>IF($B1929="","",(COUNTIF(C1908:E1925,$B1929)+COUNTIF(C1908:E1925,$B1929&amp;" ~*")&gt;0)+(COUNTIF(G1908:I1925,$B1929)+COUNTIF(G1908:I1925,$B1929&amp;" ~*")&gt;0)+(COUNTIF(K1908:M1925,$B1929)+COUNTIF(K1908:M1925,$B1929&amp;" ~*")&gt;0)+(COUNTIF(O1908:Q1925,$B1929)+COUNTIF(O1908:Q1925,$B1929&amp;" ~*")&gt;0)+(COUNTIF(S1908:U1925,$B1929)+COUNTIF(S1908:U1925,$B1929&amp;" ~*")&gt;0)+(COUNTIF(W1908:W1925,$B1929)+COUNTIF(W1908:W1925,$B1929&amp;" ~*")&gt;0)+(COUNTIF(Y1908:Y1925,$B1929)+COUNTIF(Y1908:Y1925,$B1929&amp;" ~*")&gt;0))</f>
        <v/>
      </c>
      <c r="AC1929" s="36">
        <f>IF($B1929="","",(IFERROR(INDEX(Setup!$G$33:$G$40,MATCH(C1929,Setup!$B$33:$B$40,0)),0)=1)*(COUNTIF(C1908:E1925,$B1929)+COUNTIF(C1908:E1925,$B1929&amp;" ~*")&gt;0)+(IFERROR(INDEX(Setup!$G$33:$G$40,MATCH(G1929,Setup!$B$33:$B$40,0)),0)=1)*(COUNTIF(G1908:I1925,$B1929)+COUNTIF(G1908:I1925,$B1929&amp;" ~*")&gt;0)+(IFERROR(INDEX(Setup!$G$33:$G$40,MATCH(K1929,Setup!$B$33:$B$40,0)),0)=1)*(COUNTIF(K1908:M1925,$B1929)+COUNTIF(K1908:M1925,$B1929&amp;" ~*")&gt;0)+(IFERROR(INDEX(Setup!$G$33:$G$40,MATCH(O1929,Setup!$B$33:$B$40,0)),0)=1)*(COUNTIF(O1908:Q1925,$B1929)+COUNTIF(O1908:Q1925,$B1929&amp;" ~*")&gt;0)+(IFERROR(INDEX(Setup!$G$33:$G$40,MATCH(S1929,Setup!$B$33:$B$40,0)),0)=1)*(COUNTIF(S1908:U1925,$B1929)+COUNTIF(S1908:U1925,$B1929&amp;" ~*")&gt;0)+(IFERROR(INDEX(Setup!$G$33:$G$40,MATCH(W1929,Setup!$B$33:$B$40,0)),0)=1)*(COUNTIF(W1908:W1925,$B1929)+COUNTIF(W1908:W1925,$B1929&amp;" ~*")&gt;0)+(IFERROR(INDEX(Setup!$G$33:$G$40,MATCH(Y1929,Setup!$B$33:$B$40,0)),0)=1)*(COUNTIF(Y1908:Y1925,$B1929)+COUNTIF(Y1908:Y1925,$B1929&amp;" ~*")&gt;0))</f>
        <v/>
      </c>
    </row>
    <row r="1930" ht="15" customHeight="1">
      <c r="A1930" t="n">
        <v>39</v>
      </c>
      <c r="B1930" s="37">
        <f>IF(Setup!$B$9="","",Setup!$B$9)</f>
        <v/>
      </c>
      <c r="C1930" s="102" t="n"/>
      <c r="D1930" s="103" t="n"/>
      <c r="E1930" s="103" t="n"/>
      <c r="F1930" s="104" t="n"/>
      <c r="G1930" s="102" t="n"/>
      <c r="H1930" s="103" t="n"/>
      <c r="I1930" s="103" t="n"/>
      <c r="J1930" s="104" t="n"/>
      <c r="K1930" s="102" t="n"/>
      <c r="L1930" s="103" t="n"/>
      <c r="M1930" s="103" t="n"/>
      <c r="N1930" s="104" t="n"/>
      <c r="O1930" s="102" t="n"/>
      <c r="P1930" s="103" t="n"/>
      <c r="Q1930" s="103" t="n"/>
      <c r="R1930" s="104" t="n"/>
      <c r="S1930" s="102" t="n"/>
      <c r="T1930" s="103" t="n"/>
      <c r="U1930" s="103" t="n"/>
      <c r="V1930" s="104" t="n"/>
      <c r="W1930" s="102" t="n"/>
      <c r="X1930" s="104" t="n"/>
      <c r="Y1930" s="102" t="n"/>
      <c r="Z1930" s="104" t="n"/>
      <c r="AB1930" s="105">
        <f>IF($B1930="","",(COUNTIF(C1908:E1925,$B1930)+COUNTIF(C1908:E1925,$B1930&amp;" ~*")&gt;0)+(COUNTIF(G1908:I1925,$B1930)+COUNTIF(G1908:I1925,$B1930&amp;" ~*")&gt;0)+(COUNTIF(K1908:M1925,$B1930)+COUNTIF(K1908:M1925,$B1930&amp;" ~*")&gt;0)+(COUNTIF(O1908:Q1925,$B1930)+COUNTIF(O1908:Q1925,$B1930&amp;" ~*")&gt;0)+(COUNTIF(S1908:U1925,$B1930)+COUNTIF(S1908:U1925,$B1930&amp;" ~*")&gt;0)+(COUNTIF(W1908:W1925,$B1930)+COUNTIF(W1908:W1925,$B1930&amp;" ~*")&gt;0)+(COUNTIF(Y1908:Y1925,$B1930)+COUNTIF(Y1908:Y1925,$B1930&amp;" ~*")&gt;0))</f>
        <v/>
      </c>
      <c r="AC1930" s="38">
        <f>IF($B1930="","",(IFERROR(INDEX(Setup!$G$33:$G$40,MATCH(C1930,Setup!$B$33:$B$40,0)),0)=1)*(COUNTIF(C1908:E1925,$B1930)+COUNTIF(C1908:E1925,$B1930&amp;" ~*")&gt;0)+(IFERROR(INDEX(Setup!$G$33:$G$40,MATCH(G1930,Setup!$B$33:$B$40,0)),0)=1)*(COUNTIF(G1908:I1925,$B1930)+COUNTIF(G1908:I1925,$B1930&amp;" ~*")&gt;0)+(IFERROR(INDEX(Setup!$G$33:$G$40,MATCH(K1930,Setup!$B$33:$B$40,0)),0)=1)*(COUNTIF(K1908:M1925,$B1930)+COUNTIF(K1908:M1925,$B1930&amp;" ~*")&gt;0)+(IFERROR(INDEX(Setup!$G$33:$G$40,MATCH(O1930,Setup!$B$33:$B$40,0)),0)=1)*(COUNTIF(O1908:Q1925,$B1930)+COUNTIF(O1908:Q1925,$B1930&amp;" ~*")&gt;0)+(IFERROR(INDEX(Setup!$G$33:$G$40,MATCH(S1930,Setup!$B$33:$B$40,0)),0)=1)*(COUNTIF(S1908:U1925,$B1930)+COUNTIF(S1908:U1925,$B1930&amp;" ~*")&gt;0)+(IFERROR(INDEX(Setup!$G$33:$G$40,MATCH(W1930,Setup!$B$33:$B$40,0)),0)=1)*(COUNTIF(W1908:W1925,$B1930)+COUNTIF(W1908:W1925,$B1930&amp;" ~*")&gt;0)+(IFERROR(INDEX(Setup!$G$33:$G$40,MATCH(Y1930,Setup!$B$33:$B$40,0)),0)=1)*(COUNTIF(Y1908:Y1925,$B1930)+COUNTIF(Y1908:Y1925,$B1930&amp;" ~*")&gt;0))</f>
        <v/>
      </c>
    </row>
    <row r="1931" ht="15" customHeight="1">
      <c r="A1931" t="n">
        <v>39</v>
      </c>
      <c r="B1931" s="35">
        <f>IF(Setup!$B$10="","",Setup!$B$10)</f>
        <v/>
      </c>
      <c r="C1931" s="98" t="n"/>
      <c r="D1931" s="99" t="n"/>
      <c r="E1931" s="99" t="n"/>
      <c r="F1931" s="100" t="n"/>
      <c r="G1931" s="98" t="n"/>
      <c r="H1931" s="99" t="n"/>
      <c r="I1931" s="99" t="n"/>
      <c r="J1931" s="100" t="n"/>
      <c r="K1931" s="98" t="n"/>
      <c r="L1931" s="99" t="n"/>
      <c r="M1931" s="99" t="n"/>
      <c r="N1931" s="100" t="n"/>
      <c r="O1931" s="98" t="n"/>
      <c r="P1931" s="99" t="n"/>
      <c r="Q1931" s="99" t="n"/>
      <c r="R1931" s="100" t="n"/>
      <c r="S1931" s="98" t="n"/>
      <c r="T1931" s="99" t="n"/>
      <c r="U1931" s="99" t="n"/>
      <c r="V1931" s="100" t="n"/>
      <c r="W1931" s="98" t="n"/>
      <c r="X1931" s="100" t="n"/>
      <c r="Y1931" s="98" t="n"/>
      <c r="Z1931" s="100" t="n"/>
      <c r="AB1931" s="101">
        <f>IF($B1931="","",(COUNTIF(C1908:E1925,$B1931)+COUNTIF(C1908:E1925,$B1931&amp;" ~*")&gt;0)+(COUNTIF(G1908:I1925,$B1931)+COUNTIF(G1908:I1925,$B1931&amp;" ~*")&gt;0)+(COUNTIF(K1908:M1925,$B1931)+COUNTIF(K1908:M1925,$B1931&amp;" ~*")&gt;0)+(COUNTIF(O1908:Q1925,$B1931)+COUNTIF(O1908:Q1925,$B1931&amp;" ~*")&gt;0)+(COUNTIF(S1908:U1925,$B1931)+COUNTIF(S1908:U1925,$B1931&amp;" ~*")&gt;0)+(COUNTIF(W1908:W1925,$B1931)+COUNTIF(W1908:W1925,$B1931&amp;" ~*")&gt;0)+(COUNTIF(Y1908:Y1925,$B1931)+COUNTIF(Y1908:Y1925,$B1931&amp;" ~*")&gt;0))</f>
        <v/>
      </c>
      <c r="AC1931" s="36">
        <f>IF($B1931="","",(IFERROR(INDEX(Setup!$G$33:$G$40,MATCH(C1931,Setup!$B$33:$B$40,0)),0)=1)*(COUNTIF(C1908:E1925,$B1931)+COUNTIF(C1908:E1925,$B1931&amp;" ~*")&gt;0)+(IFERROR(INDEX(Setup!$G$33:$G$40,MATCH(G1931,Setup!$B$33:$B$40,0)),0)=1)*(COUNTIF(G1908:I1925,$B1931)+COUNTIF(G1908:I1925,$B1931&amp;" ~*")&gt;0)+(IFERROR(INDEX(Setup!$G$33:$G$40,MATCH(K1931,Setup!$B$33:$B$40,0)),0)=1)*(COUNTIF(K1908:M1925,$B1931)+COUNTIF(K1908:M1925,$B1931&amp;" ~*")&gt;0)+(IFERROR(INDEX(Setup!$G$33:$G$40,MATCH(O1931,Setup!$B$33:$B$40,0)),0)=1)*(COUNTIF(O1908:Q1925,$B1931)+COUNTIF(O1908:Q1925,$B1931&amp;" ~*")&gt;0)+(IFERROR(INDEX(Setup!$G$33:$G$40,MATCH(S1931,Setup!$B$33:$B$40,0)),0)=1)*(COUNTIF(S1908:U1925,$B1931)+COUNTIF(S1908:U1925,$B1931&amp;" ~*")&gt;0)+(IFERROR(INDEX(Setup!$G$33:$G$40,MATCH(W1931,Setup!$B$33:$B$40,0)),0)=1)*(COUNTIF(W1908:W1925,$B1931)+COUNTIF(W1908:W1925,$B1931&amp;" ~*")&gt;0)+(IFERROR(INDEX(Setup!$G$33:$G$40,MATCH(Y1931,Setup!$B$33:$B$40,0)),0)=1)*(COUNTIF(Y1908:Y1925,$B1931)+COUNTIF(Y1908:Y1925,$B1931&amp;" ~*")&gt;0))</f>
        <v/>
      </c>
    </row>
    <row r="1932" ht="15" customHeight="1">
      <c r="A1932" t="n">
        <v>39</v>
      </c>
      <c r="B1932" s="37">
        <f>IF(Setup!$B$11="","",Setup!$B$11)</f>
        <v/>
      </c>
      <c r="C1932" s="102" t="n"/>
      <c r="D1932" s="103" t="n"/>
      <c r="E1932" s="103" t="n"/>
      <c r="F1932" s="104" t="n"/>
      <c r="G1932" s="102" t="n"/>
      <c r="H1932" s="103" t="n"/>
      <c r="I1932" s="103" t="n"/>
      <c r="J1932" s="104" t="n"/>
      <c r="K1932" s="102" t="n"/>
      <c r="L1932" s="103" t="n"/>
      <c r="M1932" s="103" t="n"/>
      <c r="N1932" s="104" t="n"/>
      <c r="O1932" s="102" t="n"/>
      <c r="P1932" s="103" t="n"/>
      <c r="Q1932" s="103" t="n"/>
      <c r="R1932" s="104" t="n"/>
      <c r="S1932" s="102" t="n"/>
      <c r="T1932" s="103" t="n"/>
      <c r="U1932" s="103" t="n"/>
      <c r="V1932" s="104" t="n"/>
      <c r="W1932" s="102" t="n"/>
      <c r="X1932" s="104" t="n"/>
      <c r="Y1932" s="102" t="n"/>
      <c r="Z1932" s="104" t="n"/>
      <c r="AB1932" s="105">
        <f>IF($B1932="","",(COUNTIF(C1908:E1925,$B1932)+COUNTIF(C1908:E1925,$B1932&amp;" ~*")&gt;0)+(COUNTIF(G1908:I1925,$B1932)+COUNTIF(G1908:I1925,$B1932&amp;" ~*")&gt;0)+(COUNTIF(K1908:M1925,$B1932)+COUNTIF(K1908:M1925,$B1932&amp;" ~*")&gt;0)+(COUNTIF(O1908:Q1925,$B1932)+COUNTIF(O1908:Q1925,$B1932&amp;" ~*")&gt;0)+(COUNTIF(S1908:U1925,$B1932)+COUNTIF(S1908:U1925,$B1932&amp;" ~*")&gt;0)+(COUNTIF(W1908:W1925,$B1932)+COUNTIF(W1908:W1925,$B1932&amp;" ~*")&gt;0)+(COUNTIF(Y1908:Y1925,$B1932)+COUNTIF(Y1908:Y1925,$B1932&amp;" ~*")&gt;0))</f>
        <v/>
      </c>
      <c r="AC1932" s="38">
        <f>IF($B1932="","",(IFERROR(INDEX(Setup!$G$33:$G$40,MATCH(C1932,Setup!$B$33:$B$40,0)),0)=1)*(COUNTIF(C1908:E1925,$B1932)+COUNTIF(C1908:E1925,$B1932&amp;" ~*")&gt;0)+(IFERROR(INDEX(Setup!$G$33:$G$40,MATCH(G1932,Setup!$B$33:$B$40,0)),0)=1)*(COUNTIF(G1908:I1925,$B1932)+COUNTIF(G1908:I1925,$B1932&amp;" ~*")&gt;0)+(IFERROR(INDEX(Setup!$G$33:$G$40,MATCH(K1932,Setup!$B$33:$B$40,0)),0)=1)*(COUNTIF(K1908:M1925,$B1932)+COUNTIF(K1908:M1925,$B1932&amp;" ~*")&gt;0)+(IFERROR(INDEX(Setup!$G$33:$G$40,MATCH(O1932,Setup!$B$33:$B$40,0)),0)=1)*(COUNTIF(O1908:Q1925,$B1932)+COUNTIF(O1908:Q1925,$B1932&amp;" ~*")&gt;0)+(IFERROR(INDEX(Setup!$G$33:$G$40,MATCH(S1932,Setup!$B$33:$B$40,0)),0)=1)*(COUNTIF(S1908:U1925,$B1932)+COUNTIF(S1908:U1925,$B1932&amp;" ~*")&gt;0)+(IFERROR(INDEX(Setup!$G$33:$G$40,MATCH(W1932,Setup!$B$33:$B$40,0)),0)=1)*(COUNTIF(W1908:W1925,$B1932)+COUNTIF(W1908:W1925,$B1932&amp;" ~*")&gt;0)+(IFERROR(INDEX(Setup!$G$33:$G$40,MATCH(Y1932,Setup!$B$33:$B$40,0)),0)=1)*(COUNTIF(Y1908:Y1925,$B1932)+COUNTIF(Y1908:Y1925,$B1932&amp;" ~*")&gt;0))</f>
        <v/>
      </c>
    </row>
    <row r="1933" ht="15" customHeight="1">
      <c r="A1933" t="n">
        <v>39</v>
      </c>
      <c r="B1933" s="35">
        <f>IF(Setup!$B$12="","",Setup!$B$12)</f>
        <v/>
      </c>
      <c r="C1933" s="98" t="n"/>
      <c r="D1933" s="99" t="n"/>
      <c r="E1933" s="99" t="n"/>
      <c r="F1933" s="100" t="n"/>
      <c r="G1933" s="98" t="n"/>
      <c r="H1933" s="99" t="n"/>
      <c r="I1933" s="99" t="n"/>
      <c r="J1933" s="100" t="n"/>
      <c r="K1933" s="98" t="n"/>
      <c r="L1933" s="99" t="n"/>
      <c r="M1933" s="99" t="n"/>
      <c r="N1933" s="100" t="n"/>
      <c r="O1933" s="98" t="n"/>
      <c r="P1933" s="99" t="n"/>
      <c r="Q1933" s="99" t="n"/>
      <c r="R1933" s="100" t="n"/>
      <c r="S1933" s="98" t="n"/>
      <c r="T1933" s="99" t="n"/>
      <c r="U1933" s="99" t="n"/>
      <c r="V1933" s="100" t="n"/>
      <c r="W1933" s="98" t="n"/>
      <c r="X1933" s="100" t="n"/>
      <c r="Y1933" s="98" t="n"/>
      <c r="Z1933" s="100" t="n"/>
      <c r="AB1933" s="101">
        <f>IF($B1933="","",(COUNTIF(C1908:E1925,$B1933)+COUNTIF(C1908:E1925,$B1933&amp;" ~*")&gt;0)+(COUNTIF(G1908:I1925,$B1933)+COUNTIF(G1908:I1925,$B1933&amp;" ~*")&gt;0)+(COUNTIF(K1908:M1925,$B1933)+COUNTIF(K1908:M1925,$B1933&amp;" ~*")&gt;0)+(COUNTIF(O1908:Q1925,$B1933)+COUNTIF(O1908:Q1925,$B1933&amp;" ~*")&gt;0)+(COUNTIF(S1908:U1925,$B1933)+COUNTIF(S1908:U1925,$B1933&amp;" ~*")&gt;0)+(COUNTIF(W1908:W1925,$B1933)+COUNTIF(W1908:W1925,$B1933&amp;" ~*")&gt;0)+(COUNTIF(Y1908:Y1925,$B1933)+COUNTIF(Y1908:Y1925,$B1933&amp;" ~*")&gt;0))</f>
        <v/>
      </c>
      <c r="AC1933" s="36">
        <f>IF($B1933="","",(IFERROR(INDEX(Setup!$G$33:$G$40,MATCH(C1933,Setup!$B$33:$B$40,0)),0)=1)*(COUNTIF(C1908:E1925,$B1933)+COUNTIF(C1908:E1925,$B1933&amp;" ~*")&gt;0)+(IFERROR(INDEX(Setup!$G$33:$G$40,MATCH(G1933,Setup!$B$33:$B$40,0)),0)=1)*(COUNTIF(G1908:I1925,$B1933)+COUNTIF(G1908:I1925,$B1933&amp;" ~*")&gt;0)+(IFERROR(INDEX(Setup!$G$33:$G$40,MATCH(K1933,Setup!$B$33:$B$40,0)),0)=1)*(COUNTIF(K1908:M1925,$B1933)+COUNTIF(K1908:M1925,$B1933&amp;" ~*")&gt;0)+(IFERROR(INDEX(Setup!$G$33:$G$40,MATCH(O1933,Setup!$B$33:$B$40,0)),0)=1)*(COUNTIF(O1908:Q1925,$B1933)+COUNTIF(O1908:Q1925,$B1933&amp;" ~*")&gt;0)+(IFERROR(INDEX(Setup!$G$33:$G$40,MATCH(S1933,Setup!$B$33:$B$40,0)),0)=1)*(COUNTIF(S1908:U1925,$B1933)+COUNTIF(S1908:U1925,$B1933&amp;" ~*")&gt;0)+(IFERROR(INDEX(Setup!$G$33:$G$40,MATCH(W1933,Setup!$B$33:$B$40,0)),0)=1)*(COUNTIF(W1908:W1925,$B1933)+COUNTIF(W1908:W1925,$B1933&amp;" ~*")&gt;0)+(IFERROR(INDEX(Setup!$G$33:$G$40,MATCH(Y1933,Setup!$B$33:$B$40,0)),0)=1)*(COUNTIF(Y1908:Y1925,$B1933)+COUNTIF(Y1908:Y1925,$B1933&amp;" ~*")&gt;0))</f>
        <v/>
      </c>
    </row>
    <row r="1934" ht="15" customHeight="1">
      <c r="A1934" t="n">
        <v>39</v>
      </c>
      <c r="B1934" s="37">
        <f>IF(Setup!$B$13="","",Setup!$B$13)</f>
        <v/>
      </c>
      <c r="C1934" s="102" t="n"/>
      <c r="D1934" s="103" t="n"/>
      <c r="E1934" s="103" t="n"/>
      <c r="F1934" s="104" t="n"/>
      <c r="G1934" s="102" t="n"/>
      <c r="H1934" s="103" t="n"/>
      <c r="I1934" s="103" t="n"/>
      <c r="J1934" s="104" t="n"/>
      <c r="K1934" s="102" t="n"/>
      <c r="L1934" s="103" t="n"/>
      <c r="M1934" s="103" t="n"/>
      <c r="N1934" s="104" t="n"/>
      <c r="O1934" s="102" t="n"/>
      <c r="P1934" s="103" t="n"/>
      <c r="Q1934" s="103" t="n"/>
      <c r="R1934" s="104" t="n"/>
      <c r="S1934" s="102" t="n"/>
      <c r="T1934" s="103" t="n"/>
      <c r="U1934" s="103" t="n"/>
      <c r="V1934" s="104" t="n"/>
      <c r="W1934" s="102" t="n"/>
      <c r="X1934" s="104" t="n"/>
      <c r="Y1934" s="102" t="n"/>
      <c r="Z1934" s="104" t="n"/>
      <c r="AB1934" s="105">
        <f>IF($B1934="","",(COUNTIF(C1908:E1925,$B1934)+COUNTIF(C1908:E1925,$B1934&amp;" ~*")&gt;0)+(COUNTIF(G1908:I1925,$B1934)+COUNTIF(G1908:I1925,$B1934&amp;" ~*")&gt;0)+(COUNTIF(K1908:M1925,$B1934)+COUNTIF(K1908:M1925,$B1934&amp;" ~*")&gt;0)+(COUNTIF(O1908:Q1925,$B1934)+COUNTIF(O1908:Q1925,$B1934&amp;" ~*")&gt;0)+(COUNTIF(S1908:U1925,$B1934)+COUNTIF(S1908:U1925,$B1934&amp;" ~*")&gt;0)+(COUNTIF(W1908:W1925,$B1934)+COUNTIF(W1908:W1925,$B1934&amp;" ~*")&gt;0)+(COUNTIF(Y1908:Y1925,$B1934)+COUNTIF(Y1908:Y1925,$B1934&amp;" ~*")&gt;0))</f>
        <v/>
      </c>
      <c r="AC1934" s="38">
        <f>IF($B1934="","",(IFERROR(INDEX(Setup!$G$33:$G$40,MATCH(C1934,Setup!$B$33:$B$40,0)),0)=1)*(COUNTIF(C1908:E1925,$B1934)+COUNTIF(C1908:E1925,$B1934&amp;" ~*")&gt;0)+(IFERROR(INDEX(Setup!$G$33:$G$40,MATCH(G1934,Setup!$B$33:$B$40,0)),0)=1)*(COUNTIF(G1908:I1925,$B1934)+COUNTIF(G1908:I1925,$B1934&amp;" ~*")&gt;0)+(IFERROR(INDEX(Setup!$G$33:$G$40,MATCH(K1934,Setup!$B$33:$B$40,0)),0)=1)*(COUNTIF(K1908:M1925,$B1934)+COUNTIF(K1908:M1925,$B1934&amp;" ~*")&gt;0)+(IFERROR(INDEX(Setup!$G$33:$G$40,MATCH(O1934,Setup!$B$33:$B$40,0)),0)=1)*(COUNTIF(O1908:Q1925,$B1934)+COUNTIF(O1908:Q1925,$B1934&amp;" ~*")&gt;0)+(IFERROR(INDEX(Setup!$G$33:$G$40,MATCH(S1934,Setup!$B$33:$B$40,0)),0)=1)*(COUNTIF(S1908:U1925,$B1934)+COUNTIF(S1908:U1925,$B1934&amp;" ~*")&gt;0)+(IFERROR(INDEX(Setup!$G$33:$G$40,MATCH(W1934,Setup!$B$33:$B$40,0)),0)=1)*(COUNTIF(W1908:W1925,$B1934)+COUNTIF(W1908:W1925,$B1934&amp;" ~*")&gt;0)+(IFERROR(INDEX(Setup!$G$33:$G$40,MATCH(Y1934,Setup!$B$33:$B$40,0)),0)=1)*(COUNTIF(Y1908:Y1925,$B1934)+COUNTIF(Y1908:Y1925,$B1934&amp;" ~*")&gt;0))</f>
        <v/>
      </c>
    </row>
    <row r="1935" ht="15" customHeight="1">
      <c r="A1935" t="n">
        <v>39</v>
      </c>
      <c r="B1935" s="35">
        <f>IF(Setup!$B$14="","",Setup!$B$14)</f>
        <v/>
      </c>
      <c r="C1935" s="98" t="n"/>
      <c r="D1935" s="99" t="n"/>
      <c r="E1935" s="99" t="n"/>
      <c r="F1935" s="100" t="n"/>
      <c r="G1935" s="98" t="n"/>
      <c r="H1935" s="99" t="n"/>
      <c r="I1935" s="99" t="n"/>
      <c r="J1935" s="100" t="n"/>
      <c r="K1935" s="98" t="n"/>
      <c r="L1935" s="99" t="n"/>
      <c r="M1935" s="99" t="n"/>
      <c r="N1935" s="100" t="n"/>
      <c r="O1935" s="98" t="n"/>
      <c r="P1935" s="99" t="n"/>
      <c r="Q1935" s="99" t="n"/>
      <c r="R1935" s="100" t="n"/>
      <c r="S1935" s="98" t="n"/>
      <c r="T1935" s="99" t="n"/>
      <c r="U1935" s="99" t="n"/>
      <c r="V1935" s="100" t="n"/>
      <c r="W1935" s="98" t="n"/>
      <c r="X1935" s="100" t="n"/>
      <c r="Y1935" s="98" t="n"/>
      <c r="Z1935" s="100" t="n"/>
      <c r="AB1935" s="101">
        <f>IF($B1935="","",(COUNTIF(C1908:E1925,$B1935)+COUNTIF(C1908:E1925,$B1935&amp;" ~*")&gt;0)+(COUNTIF(G1908:I1925,$B1935)+COUNTIF(G1908:I1925,$B1935&amp;" ~*")&gt;0)+(COUNTIF(K1908:M1925,$B1935)+COUNTIF(K1908:M1925,$B1935&amp;" ~*")&gt;0)+(COUNTIF(O1908:Q1925,$B1935)+COUNTIF(O1908:Q1925,$B1935&amp;" ~*")&gt;0)+(COUNTIF(S1908:U1925,$B1935)+COUNTIF(S1908:U1925,$B1935&amp;" ~*")&gt;0)+(COUNTIF(W1908:W1925,$B1935)+COUNTIF(W1908:W1925,$B1935&amp;" ~*")&gt;0)+(COUNTIF(Y1908:Y1925,$B1935)+COUNTIF(Y1908:Y1925,$B1935&amp;" ~*")&gt;0))</f>
        <v/>
      </c>
      <c r="AC1935" s="36">
        <f>IF($B1935="","",(IFERROR(INDEX(Setup!$G$33:$G$40,MATCH(C1935,Setup!$B$33:$B$40,0)),0)=1)*(COUNTIF(C1908:E1925,$B1935)+COUNTIF(C1908:E1925,$B1935&amp;" ~*")&gt;0)+(IFERROR(INDEX(Setup!$G$33:$G$40,MATCH(G1935,Setup!$B$33:$B$40,0)),0)=1)*(COUNTIF(G1908:I1925,$B1935)+COUNTIF(G1908:I1925,$B1935&amp;" ~*")&gt;0)+(IFERROR(INDEX(Setup!$G$33:$G$40,MATCH(K1935,Setup!$B$33:$B$40,0)),0)=1)*(COUNTIF(K1908:M1925,$B1935)+COUNTIF(K1908:M1925,$B1935&amp;" ~*")&gt;0)+(IFERROR(INDEX(Setup!$G$33:$G$40,MATCH(O1935,Setup!$B$33:$B$40,0)),0)=1)*(COUNTIF(O1908:Q1925,$B1935)+COUNTIF(O1908:Q1925,$B1935&amp;" ~*")&gt;0)+(IFERROR(INDEX(Setup!$G$33:$G$40,MATCH(S1935,Setup!$B$33:$B$40,0)),0)=1)*(COUNTIF(S1908:U1925,$B1935)+COUNTIF(S1908:U1925,$B1935&amp;" ~*")&gt;0)+(IFERROR(INDEX(Setup!$G$33:$G$40,MATCH(W1935,Setup!$B$33:$B$40,0)),0)=1)*(COUNTIF(W1908:W1925,$B1935)+COUNTIF(W1908:W1925,$B1935&amp;" ~*")&gt;0)+(IFERROR(INDEX(Setup!$G$33:$G$40,MATCH(Y1935,Setup!$B$33:$B$40,0)),0)=1)*(COUNTIF(Y1908:Y1925,$B1935)+COUNTIF(Y1908:Y1925,$B1935&amp;" ~*")&gt;0))</f>
        <v/>
      </c>
    </row>
    <row r="1936" ht="15" customHeight="1">
      <c r="A1936" t="n">
        <v>39</v>
      </c>
      <c r="B1936" s="37">
        <f>IF(Setup!$B$15="","",Setup!$B$15)</f>
        <v/>
      </c>
      <c r="C1936" s="102" t="n"/>
      <c r="D1936" s="103" t="n"/>
      <c r="E1936" s="103" t="n"/>
      <c r="F1936" s="104" t="n"/>
      <c r="G1936" s="102" t="n"/>
      <c r="H1936" s="103" t="n"/>
      <c r="I1936" s="103" t="n"/>
      <c r="J1936" s="104" t="n"/>
      <c r="K1936" s="102" t="n"/>
      <c r="L1936" s="103" t="n"/>
      <c r="M1936" s="103" t="n"/>
      <c r="N1936" s="104" t="n"/>
      <c r="O1936" s="102" t="n"/>
      <c r="P1936" s="103" t="n"/>
      <c r="Q1936" s="103" t="n"/>
      <c r="R1936" s="104" t="n"/>
      <c r="S1936" s="102" t="n"/>
      <c r="T1936" s="103" t="n"/>
      <c r="U1936" s="103" t="n"/>
      <c r="V1936" s="104" t="n"/>
      <c r="W1936" s="102" t="n"/>
      <c r="X1936" s="104" t="n"/>
      <c r="Y1936" s="102" t="n"/>
      <c r="Z1936" s="104" t="n"/>
      <c r="AB1936" s="105">
        <f>IF($B1936="","",(COUNTIF(C1908:E1925,$B1936)+COUNTIF(C1908:E1925,$B1936&amp;" ~*")&gt;0)+(COUNTIF(G1908:I1925,$B1936)+COUNTIF(G1908:I1925,$B1936&amp;" ~*")&gt;0)+(COUNTIF(K1908:M1925,$B1936)+COUNTIF(K1908:M1925,$B1936&amp;" ~*")&gt;0)+(COUNTIF(O1908:Q1925,$B1936)+COUNTIF(O1908:Q1925,$B1936&amp;" ~*")&gt;0)+(COUNTIF(S1908:U1925,$B1936)+COUNTIF(S1908:U1925,$B1936&amp;" ~*")&gt;0)+(COUNTIF(W1908:W1925,$B1936)+COUNTIF(W1908:W1925,$B1936&amp;" ~*")&gt;0)+(COUNTIF(Y1908:Y1925,$B1936)+COUNTIF(Y1908:Y1925,$B1936&amp;" ~*")&gt;0))</f>
        <v/>
      </c>
      <c r="AC1936" s="38">
        <f>IF($B1936="","",(IFERROR(INDEX(Setup!$G$33:$G$40,MATCH(C1936,Setup!$B$33:$B$40,0)),0)=1)*(COUNTIF(C1908:E1925,$B1936)+COUNTIF(C1908:E1925,$B1936&amp;" ~*")&gt;0)+(IFERROR(INDEX(Setup!$G$33:$G$40,MATCH(G1936,Setup!$B$33:$B$40,0)),0)=1)*(COUNTIF(G1908:I1925,$B1936)+COUNTIF(G1908:I1925,$B1936&amp;" ~*")&gt;0)+(IFERROR(INDEX(Setup!$G$33:$G$40,MATCH(K1936,Setup!$B$33:$B$40,0)),0)=1)*(COUNTIF(K1908:M1925,$B1936)+COUNTIF(K1908:M1925,$B1936&amp;" ~*")&gt;0)+(IFERROR(INDEX(Setup!$G$33:$G$40,MATCH(O1936,Setup!$B$33:$B$40,0)),0)=1)*(COUNTIF(O1908:Q1925,$B1936)+COUNTIF(O1908:Q1925,$B1936&amp;" ~*")&gt;0)+(IFERROR(INDEX(Setup!$G$33:$G$40,MATCH(S1936,Setup!$B$33:$B$40,0)),0)=1)*(COUNTIF(S1908:U1925,$B1936)+COUNTIF(S1908:U1925,$B1936&amp;" ~*")&gt;0)+(IFERROR(INDEX(Setup!$G$33:$G$40,MATCH(W1936,Setup!$B$33:$B$40,0)),0)=1)*(COUNTIF(W1908:W1925,$B1936)+COUNTIF(W1908:W1925,$B1936&amp;" ~*")&gt;0)+(IFERROR(INDEX(Setup!$G$33:$G$40,MATCH(Y1936,Setup!$B$33:$B$40,0)),0)=1)*(COUNTIF(Y1908:Y1925,$B1936)+COUNTIF(Y1908:Y1925,$B1936&amp;" ~*")&gt;0))</f>
        <v/>
      </c>
    </row>
    <row r="1937" ht="15" customHeight="1">
      <c r="A1937" t="n">
        <v>39</v>
      </c>
      <c r="B1937" s="35">
        <f>IF(Setup!$B$16="","",Setup!$B$16)</f>
        <v/>
      </c>
      <c r="C1937" s="98" t="n"/>
      <c r="D1937" s="99" t="n"/>
      <c r="E1937" s="99" t="n"/>
      <c r="F1937" s="100" t="n"/>
      <c r="G1937" s="98" t="n"/>
      <c r="H1937" s="99" t="n"/>
      <c r="I1937" s="99" t="n"/>
      <c r="J1937" s="100" t="n"/>
      <c r="K1937" s="98" t="n"/>
      <c r="L1937" s="99" t="n"/>
      <c r="M1937" s="99" t="n"/>
      <c r="N1937" s="100" t="n"/>
      <c r="O1937" s="98" t="n"/>
      <c r="P1937" s="99" t="n"/>
      <c r="Q1937" s="99" t="n"/>
      <c r="R1937" s="100" t="n"/>
      <c r="S1937" s="98" t="n"/>
      <c r="T1937" s="99" t="n"/>
      <c r="U1937" s="99" t="n"/>
      <c r="V1937" s="100" t="n"/>
      <c r="W1937" s="98" t="n"/>
      <c r="X1937" s="100" t="n"/>
      <c r="Y1937" s="98" t="n"/>
      <c r="Z1937" s="100" t="n"/>
      <c r="AB1937" s="101">
        <f>IF($B1937="","",(COUNTIF(C1908:E1925,$B1937)+COUNTIF(C1908:E1925,$B1937&amp;" ~*")&gt;0)+(COUNTIF(G1908:I1925,$B1937)+COUNTIF(G1908:I1925,$B1937&amp;" ~*")&gt;0)+(COUNTIF(K1908:M1925,$B1937)+COUNTIF(K1908:M1925,$B1937&amp;" ~*")&gt;0)+(COUNTIF(O1908:Q1925,$B1937)+COUNTIF(O1908:Q1925,$B1937&amp;" ~*")&gt;0)+(COUNTIF(S1908:U1925,$B1937)+COUNTIF(S1908:U1925,$B1937&amp;" ~*")&gt;0)+(COUNTIF(W1908:W1925,$B1937)+COUNTIF(W1908:W1925,$B1937&amp;" ~*")&gt;0)+(COUNTIF(Y1908:Y1925,$B1937)+COUNTIF(Y1908:Y1925,$B1937&amp;" ~*")&gt;0))</f>
        <v/>
      </c>
      <c r="AC1937" s="36">
        <f>IF($B1937="","",(IFERROR(INDEX(Setup!$G$33:$G$40,MATCH(C1937,Setup!$B$33:$B$40,0)),0)=1)*(COUNTIF(C1908:E1925,$B1937)+COUNTIF(C1908:E1925,$B1937&amp;" ~*")&gt;0)+(IFERROR(INDEX(Setup!$G$33:$G$40,MATCH(G1937,Setup!$B$33:$B$40,0)),0)=1)*(COUNTIF(G1908:I1925,$B1937)+COUNTIF(G1908:I1925,$B1937&amp;" ~*")&gt;0)+(IFERROR(INDEX(Setup!$G$33:$G$40,MATCH(K1937,Setup!$B$33:$B$40,0)),0)=1)*(COUNTIF(K1908:M1925,$B1937)+COUNTIF(K1908:M1925,$B1937&amp;" ~*")&gt;0)+(IFERROR(INDEX(Setup!$G$33:$G$40,MATCH(O1937,Setup!$B$33:$B$40,0)),0)=1)*(COUNTIF(O1908:Q1925,$B1937)+COUNTIF(O1908:Q1925,$B1937&amp;" ~*")&gt;0)+(IFERROR(INDEX(Setup!$G$33:$G$40,MATCH(S1937,Setup!$B$33:$B$40,0)),0)=1)*(COUNTIF(S1908:U1925,$B1937)+COUNTIF(S1908:U1925,$B1937&amp;" ~*")&gt;0)+(IFERROR(INDEX(Setup!$G$33:$G$40,MATCH(W1937,Setup!$B$33:$B$40,0)),0)=1)*(COUNTIF(W1908:W1925,$B1937)+COUNTIF(W1908:W1925,$B1937&amp;" ~*")&gt;0)+(IFERROR(INDEX(Setup!$G$33:$G$40,MATCH(Y1937,Setup!$B$33:$B$40,0)),0)=1)*(COUNTIF(Y1908:Y1925,$B1937)+COUNTIF(Y1908:Y1925,$B1937&amp;" ~*")&gt;0))</f>
        <v/>
      </c>
    </row>
    <row r="1938" ht="15" customHeight="1">
      <c r="A1938" t="n">
        <v>39</v>
      </c>
      <c r="B1938" s="37">
        <f>IF(Setup!$B$17="","",Setup!$B$17)</f>
        <v/>
      </c>
      <c r="C1938" s="102" t="n"/>
      <c r="D1938" s="103" t="n"/>
      <c r="E1938" s="103" t="n"/>
      <c r="F1938" s="104" t="n"/>
      <c r="G1938" s="102" t="n"/>
      <c r="H1938" s="103" t="n"/>
      <c r="I1938" s="103" t="n"/>
      <c r="J1938" s="104" t="n"/>
      <c r="K1938" s="102" t="n"/>
      <c r="L1938" s="103" t="n"/>
      <c r="M1938" s="103" t="n"/>
      <c r="N1938" s="104" t="n"/>
      <c r="O1938" s="102" t="n"/>
      <c r="P1938" s="103" t="n"/>
      <c r="Q1938" s="103" t="n"/>
      <c r="R1938" s="104" t="n"/>
      <c r="S1938" s="102" t="n"/>
      <c r="T1938" s="103" t="n"/>
      <c r="U1938" s="103" t="n"/>
      <c r="V1938" s="104" t="n"/>
      <c r="W1938" s="102" t="n"/>
      <c r="X1938" s="104" t="n"/>
      <c r="Y1938" s="102" t="n"/>
      <c r="Z1938" s="104" t="n"/>
      <c r="AB1938" s="105">
        <f>IF($B1938="","",(COUNTIF(C1908:E1925,$B1938)+COUNTIF(C1908:E1925,$B1938&amp;" ~*")&gt;0)+(COUNTIF(G1908:I1925,$B1938)+COUNTIF(G1908:I1925,$B1938&amp;" ~*")&gt;0)+(COUNTIF(K1908:M1925,$B1938)+COUNTIF(K1908:M1925,$B1938&amp;" ~*")&gt;0)+(COUNTIF(O1908:Q1925,$B1938)+COUNTIF(O1908:Q1925,$B1938&amp;" ~*")&gt;0)+(COUNTIF(S1908:U1925,$B1938)+COUNTIF(S1908:U1925,$B1938&amp;" ~*")&gt;0)+(COUNTIF(W1908:W1925,$B1938)+COUNTIF(W1908:W1925,$B1938&amp;" ~*")&gt;0)+(COUNTIF(Y1908:Y1925,$B1938)+COUNTIF(Y1908:Y1925,$B1938&amp;" ~*")&gt;0))</f>
        <v/>
      </c>
      <c r="AC1938" s="38">
        <f>IF($B1938="","",(IFERROR(INDEX(Setup!$G$33:$G$40,MATCH(C1938,Setup!$B$33:$B$40,0)),0)=1)*(COUNTIF(C1908:E1925,$B1938)+COUNTIF(C1908:E1925,$B1938&amp;" ~*")&gt;0)+(IFERROR(INDEX(Setup!$G$33:$G$40,MATCH(G1938,Setup!$B$33:$B$40,0)),0)=1)*(COUNTIF(G1908:I1925,$B1938)+COUNTIF(G1908:I1925,$B1938&amp;" ~*")&gt;0)+(IFERROR(INDEX(Setup!$G$33:$G$40,MATCH(K1938,Setup!$B$33:$B$40,0)),0)=1)*(COUNTIF(K1908:M1925,$B1938)+COUNTIF(K1908:M1925,$B1938&amp;" ~*")&gt;0)+(IFERROR(INDEX(Setup!$G$33:$G$40,MATCH(O1938,Setup!$B$33:$B$40,0)),0)=1)*(COUNTIF(O1908:Q1925,$B1938)+COUNTIF(O1908:Q1925,$B1938&amp;" ~*")&gt;0)+(IFERROR(INDEX(Setup!$G$33:$G$40,MATCH(S1938,Setup!$B$33:$B$40,0)),0)=1)*(COUNTIF(S1908:U1925,$B1938)+COUNTIF(S1908:U1925,$B1938&amp;" ~*")&gt;0)+(IFERROR(INDEX(Setup!$G$33:$G$40,MATCH(W1938,Setup!$B$33:$B$40,0)),0)=1)*(COUNTIF(W1908:W1925,$B1938)+COUNTIF(W1908:W1925,$B1938&amp;" ~*")&gt;0)+(IFERROR(INDEX(Setup!$G$33:$G$40,MATCH(Y1938,Setup!$B$33:$B$40,0)),0)=1)*(COUNTIF(Y1908:Y1925,$B1938)+COUNTIF(Y1908:Y1925,$B1938&amp;" ~*")&gt;0))</f>
        <v/>
      </c>
    </row>
    <row r="1939" ht="15" customHeight="1">
      <c r="A1939" t="n">
        <v>39</v>
      </c>
      <c r="B1939" s="35">
        <f>IF(Setup!$B$18="","",Setup!$B$18)</f>
        <v/>
      </c>
      <c r="C1939" s="98" t="n"/>
      <c r="D1939" s="99" t="n"/>
      <c r="E1939" s="99" t="n"/>
      <c r="F1939" s="100" t="n"/>
      <c r="G1939" s="98" t="n"/>
      <c r="H1939" s="99" t="n"/>
      <c r="I1939" s="99" t="n"/>
      <c r="J1939" s="100" t="n"/>
      <c r="K1939" s="98" t="n"/>
      <c r="L1939" s="99" t="n"/>
      <c r="M1939" s="99" t="n"/>
      <c r="N1939" s="100" t="n"/>
      <c r="O1939" s="98" t="n"/>
      <c r="P1939" s="99" t="n"/>
      <c r="Q1939" s="99" t="n"/>
      <c r="R1939" s="100" t="n"/>
      <c r="S1939" s="98" t="n"/>
      <c r="T1939" s="99" t="n"/>
      <c r="U1939" s="99" t="n"/>
      <c r="V1939" s="100" t="n"/>
      <c r="W1939" s="98" t="n"/>
      <c r="X1939" s="100" t="n"/>
      <c r="Y1939" s="98" t="n"/>
      <c r="Z1939" s="100" t="n"/>
      <c r="AB1939" s="101">
        <f>IF($B1939="","",(COUNTIF(C1908:E1925,$B1939)+COUNTIF(C1908:E1925,$B1939&amp;" ~*")&gt;0)+(COUNTIF(G1908:I1925,$B1939)+COUNTIF(G1908:I1925,$B1939&amp;" ~*")&gt;0)+(COUNTIF(K1908:M1925,$B1939)+COUNTIF(K1908:M1925,$B1939&amp;" ~*")&gt;0)+(COUNTIF(O1908:Q1925,$B1939)+COUNTIF(O1908:Q1925,$B1939&amp;" ~*")&gt;0)+(COUNTIF(S1908:U1925,$B1939)+COUNTIF(S1908:U1925,$B1939&amp;" ~*")&gt;0)+(COUNTIF(W1908:W1925,$B1939)+COUNTIF(W1908:W1925,$B1939&amp;" ~*")&gt;0)+(COUNTIF(Y1908:Y1925,$B1939)+COUNTIF(Y1908:Y1925,$B1939&amp;" ~*")&gt;0))</f>
        <v/>
      </c>
      <c r="AC1939" s="36">
        <f>IF($B1939="","",(IFERROR(INDEX(Setup!$G$33:$G$40,MATCH(C1939,Setup!$B$33:$B$40,0)),0)=1)*(COUNTIF(C1908:E1925,$B1939)+COUNTIF(C1908:E1925,$B1939&amp;" ~*")&gt;0)+(IFERROR(INDEX(Setup!$G$33:$G$40,MATCH(G1939,Setup!$B$33:$B$40,0)),0)=1)*(COUNTIF(G1908:I1925,$B1939)+COUNTIF(G1908:I1925,$B1939&amp;" ~*")&gt;0)+(IFERROR(INDEX(Setup!$G$33:$G$40,MATCH(K1939,Setup!$B$33:$B$40,0)),0)=1)*(COUNTIF(K1908:M1925,$B1939)+COUNTIF(K1908:M1925,$B1939&amp;" ~*")&gt;0)+(IFERROR(INDEX(Setup!$G$33:$G$40,MATCH(O1939,Setup!$B$33:$B$40,0)),0)=1)*(COUNTIF(O1908:Q1925,$B1939)+COUNTIF(O1908:Q1925,$B1939&amp;" ~*")&gt;0)+(IFERROR(INDEX(Setup!$G$33:$G$40,MATCH(S1939,Setup!$B$33:$B$40,0)),0)=1)*(COUNTIF(S1908:U1925,$B1939)+COUNTIF(S1908:U1925,$B1939&amp;" ~*")&gt;0)+(IFERROR(INDEX(Setup!$G$33:$G$40,MATCH(W1939,Setup!$B$33:$B$40,0)),0)=1)*(COUNTIF(W1908:W1925,$B1939)+COUNTIF(W1908:W1925,$B1939&amp;" ~*")&gt;0)+(IFERROR(INDEX(Setup!$G$33:$G$40,MATCH(Y1939,Setup!$B$33:$B$40,0)),0)=1)*(COUNTIF(Y1908:Y1925,$B1939)+COUNTIF(Y1908:Y1925,$B1939&amp;" ~*")&gt;0))</f>
        <v/>
      </c>
    </row>
    <row r="1940" ht="15" customHeight="1">
      <c r="A1940" t="n">
        <v>39</v>
      </c>
      <c r="B1940" s="37">
        <f>IF(Setup!$B$19="","",Setup!$B$19)</f>
        <v/>
      </c>
      <c r="C1940" s="102" t="n"/>
      <c r="D1940" s="103" t="n"/>
      <c r="E1940" s="103" t="n"/>
      <c r="F1940" s="104" t="n"/>
      <c r="G1940" s="102" t="n"/>
      <c r="H1940" s="103" t="n"/>
      <c r="I1940" s="103" t="n"/>
      <c r="J1940" s="104" t="n"/>
      <c r="K1940" s="102" t="n"/>
      <c r="L1940" s="103" t="n"/>
      <c r="M1940" s="103" t="n"/>
      <c r="N1940" s="104" t="n"/>
      <c r="O1940" s="102" t="n"/>
      <c r="P1940" s="103" t="n"/>
      <c r="Q1940" s="103" t="n"/>
      <c r="R1940" s="104" t="n"/>
      <c r="S1940" s="102" t="n"/>
      <c r="T1940" s="103" t="n"/>
      <c r="U1940" s="103" t="n"/>
      <c r="V1940" s="104" t="n"/>
      <c r="W1940" s="102" t="n"/>
      <c r="X1940" s="104" t="n"/>
      <c r="Y1940" s="102" t="n"/>
      <c r="Z1940" s="104" t="n"/>
      <c r="AB1940" s="105">
        <f>IF($B1940="","",(COUNTIF(C1908:E1925,$B1940)+COUNTIF(C1908:E1925,$B1940&amp;" ~*")&gt;0)+(COUNTIF(G1908:I1925,$B1940)+COUNTIF(G1908:I1925,$B1940&amp;" ~*")&gt;0)+(COUNTIF(K1908:M1925,$B1940)+COUNTIF(K1908:M1925,$B1940&amp;" ~*")&gt;0)+(COUNTIF(O1908:Q1925,$B1940)+COUNTIF(O1908:Q1925,$B1940&amp;" ~*")&gt;0)+(COUNTIF(S1908:U1925,$B1940)+COUNTIF(S1908:U1925,$B1940&amp;" ~*")&gt;0)+(COUNTIF(W1908:W1925,$B1940)+COUNTIF(W1908:W1925,$B1940&amp;" ~*")&gt;0)+(COUNTIF(Y1908:Y1925,$B1940)+COUNTIF(Y1908:Y1925,$B1940&amp;" ~*")&gt;0))</f>
        <v/>
      </c>
      <c r="AC1940" s="38">
        <f>IF($B1940="","",(IFERROR(INDEX(Setup!$G$33:$G$40,MATCH(C1940,Setup!$B$33:$B$40,0)),0)=1)*(COUNTIF(C1908:E1925,$B1940)+COUNTIF(C1908:E1925,$B1940&amp;" ~*")&gt;0)+(IFERROR(INDEX(Setup!$G$33:$G$40,MATCH(G1940,Setup!$B$33:$B$40,0)),0)=1)*(COUNTIF(G1908:I1925,$B1940)+COUNTIF(G1908:I1925,$B1940&amp;" ~*")&gt;0)+(IFERROR(INDEX(Setup!$G$33:$G$40,MATCH(K1940,Setup!$B$33:$B$40,0)),0)=1)*(COUNTIF(K1908:M1925,$B1940)+COUNTIF(K1908:M1925,$B1940&amp;" ~*")&gt;0)+(IFERROR(INDEX(Setup!$G$33:$G$40,MATCH(O1940,Setup!$B$33:$B$40,0)),0)=1)*(COUNTIF(O1908:Q1925,$B1940)+COUNTIF(O1908:Q1925,$B1940&amp;" ~*")&gt;0)+(IFERROR(INDEX(Setup!$G$33:$G$40,MATCH(S1940,Setup!$B$33:$B$40,0)),0)=1)*(COUNTIF(S1908:U1925,$B1940)+COUNTIF(S1908:U1925,$B1940&amp;" ~*")&gt;0)+(IFERROR(INDEX(Setup!$G$33:$G$40,MATCH(W1940,Setup!$B$33:$B$40,0)),0)=1)*(COUNTIF(W1908:W1925,$B1940)+COUNTIF(W1908:W1925,$B1940&amp;" ~*")&gt;0)+(IFERROR(INDEX(Setup!$G$33:$G$40,MATCH(Y1940,Setup!$B$33:$B$40,0)),0)=1)*(COUNTIF(Y1908:Y1925,$B1940)+COUNTIF(Y1908:Y1925,$B1940&amp;" ~*")&gt;0))</f>
        <v/>
      </c>
    </row>
    <row r="1941" ht="15" customHeight="1">
      <c r="A1941" t="n">
        <v>39</v>
      </c>
      <c r="B1941" s="35">
        <f>IF(Setup!$B$20="","",Setup!$B$20)</f>
        <v/>
      </c>
      <c r="C1941" s="98" t="n"/>
      <c r="D1941" s="99" t="n"/>
      <c r="E1941" s="99" t="n"/>
      <c r="F1941" s="100" t="n"/>
      <c r="G1941" s="98" t="n"/>
      <c r="H1941" s="99" t="n"/>
      <c r="I1941" s="99" t="n"/>
      <c r="J1941" s="100" t="n"/>
      <c r="K1941" s="98" t="n"/>
      <c r="L1941" s="99" t="n"/>
      <c r="M1941" s="99" t="n"/>
      <c r="N1941" s="100" t="n"/>
      <c r="O1941" s="98" t="n"/>
      <c r="P1941" s="99" t="n"/>
      <c r="Q1941" s="99" t="n"/>
      <c r="R1941" s="100" t="n"/>
      <c r="S1941" s="98" t="n"/>
      <c r="T1941" s="99" t="n"/>
      <c r="U1941" s="99" t="n"/>
      <c r="V1941" s="100" t="n"/>
      <c r="W1941" s="98" t="n"/>
      <c r="X1941" s="100" t="n"/>
      <c r="Y1941" s="98" t="n"/>
      <c r="Z1941" s="100" t="n"/>
      <c r="AB1941" s="101">
        <f>IF($B1941="","",(COUNTIF(C1908:E1925,$B1941)+COUNTIF(C1908:E1925,$B1941&amp;" ~*")&gt;0)+(COUNTIF(G1908:I1925,$B1941)+COUNTIF(G1908:I1925,$B1941&amp;" ~*")&gt;0)+(COUNTIF(K1908:M1925,$B1941)+COUNTIF(K1908:M1925,$B1941&amp;" ~*")&gt;0)+(COUNTIF(O1908:Q1925,$B1941)+COUNTIF(O1908:Q1925,$B1941&amp;" ~*")&gt;0)+(COUNTIF(S1908:U1925,$B1941)+COUNTIF(S1908:U1925,$B1941&amp;" ~*")&gt;0)+(COUNTIF(W1908:W1925,$B1941)+COUNTIF(W1908:W1925,$B1941&amp;" ~*")&gt;0)+(COUNTIF(Y1908:Y1925,$B1941)+COUNTIF(Y1908:Y1925,$B1941&amp;" ~*")&gt;0))</f>
        <v/>
      </c>
      <c r="AC1941" s="36">
        <f>IF($B1941="","",(IFERROR(INDEX(Setup!$G$33:$G$40,MATCH(C1941,Setup!$B$33:$B$40,0)),0)=1)*(COUNTIF(C1908:E1925,$B1941)+COUNTIF(C1908:E1925,$B1941&amp;" ~*")&gt;0)+(IFERROR(INDEX(Setup!$G$33:$G$40,MATCH(G1941,Setup!$B$33:$B$40,0)),0)=1)*(COUNTIF(G1908:I1925,$B1941)+COUNTIF(G1908:I1925,$B1941&amp;" ~*")&gt;0)+(IFERROR(INDEX(Setup!$G$33:$G$40,MATCH(K1941,Setup!$B$33:$B$40,0)),0)=1)*(COUNTIF(K1908:M1925,$B1941)+COUNTIF(K1908:M1925,$B1941&amp;" ~*")&gt;0)+(IFERROR(INDEX(Setup!$G$33:$G$40,MATCH(O1941,Setup!$B$33:$B$40,0)),0)=1)*(COUNTIF(O1908:Q1925,$B1941)+COUNTIF(O1908:Q1925,$B1941&amp;" ~*")&gt;0)+(IFERROR(INDEX(Setup!$G$33:$G$40,MATCH(S1941,Setup!$B$33:$B$40,0)),0)=1)*(COUNTIF(S1908:U1925,$B1941)+COUNTIF(S1908:U1925,$B1941&amp;" ~*")&gt;0)+(IFERROR(INDEX(Setup!$G$33:$G$40,MATCH(W1941,Setup!$B$33:$B$40,0)),0)=1)*(COUNTIF(W1908:W1925,$B1941)+COUNTIF(W1908:W1925,$B1941&amp;" ~*")&gt;0)+(IFERROR(INDEX(Setup!$G$33:$G$40,MATCH(Y1941,Setup!$B$33:$B$40,0)),0)=1)*(COUNTIF(Y1908:Y1925,$B1941)+COUNTIF(Y1908:Y1925,$B1941&amp;" ~*")&gt;0))</f>
        <v/>
      </c>
    </row>
    <row r="1942" ht="15" customHeight="1">
      <c r="A1942" t="n">
        <v>39</v>
      </c>
      <c r="B1942" s="37">
        <f>IF(Setup!$B$21="","",Setup!$B$21)</f>
        <v/>
      </c>
      <c r="C1942" s="102" t="n"/>
      <c r="D1942" s="103" t="n"/>
      <c r="E1942" s="103" t="n"/>
      <c r="F1942" s="104" t="n"/>
      <c r="G1942" s="102" t="n"/>
      <c r="H1942" s="103" t="n"/>
      <c r="I1942" s="103" t="n"/>
      <c r="J1942" s="104" t="n"/>
      <c r="K1942" s="102" t="n"/>
      <c r="L1942" s="103" t="n"/>
      <c r="M1942" s="103" t="n"/>
      <c r="N1942" s="104" t="n"/>
      <c r="O1942" s="102" t="n"/>
      <c r="P1942" s="103" t="n"/>
      <c r="Q1942" s="103" t="n"/>
      <c r="R1942" s="104" t="n"/>
      <c r="S1942" s="102" t="n"/>
      <c r="T1942" s="103" t="n"/>
      <c r="U1942" s="103" t="n"/>
      <c r="V1942" s="104" t="n"/>
      <c r="W1942" s="102" t="n"/>
      <c r="X1942" s="104" t="n"/>
      <c r="Y1942" s="102" t="n"/>
      <c r="Z1942" s="104" t="n"/>
      <c r="AB1942" s="105">
        <f>IF($B1942="","",(COUNTIF(C1908:E1925,$B1942)+COUNTIF(C1908:E1925,$B1942&amp;" ~*")&gt;0)+(COUNTIF(G1908:I1925,$B1942)+COUNTIF(G1908:I1925,$B1942&amp;" ~*")&gt;0)+(COUNTIF(K1908:M1925,$B1942)+COUNTIF(K1908:M1925,$B1942&amp;" ~*")&gt;0)+(COUNTIF(O1908:Q1925,$B1942)+COUNTIF(O1908:Q1925,$B1942&amp;" ~*")&gt;0)+(COUNTIF(S1908:U1925,$B1942)+COUNTIF(S1908:U1925,$B1942&amp;" ~*")&gt;0)+(COUNTIF(W1908:W1925,$B1942)+COUNTIF(W1908:W1925,$B1942&amp;" ~*")&gt;0)+(COUNTIF(Y1908:Y1925,$B1942)+COUNTIF(Y1908:Y1925,$B1942&amp;" ~*")&gt;0))</f>
        <v/>
      </c>
      <c r="AC1942" s="38">
        <f>IF($B1942="","",(IFERROR(INDEX(Setup!$G$33:$G$40,MATCH(C1942,Setup!$B$33:$B$40,0)),0)=1)*(COUNTIF(C1908:E1925,$B1942)+COUNTIF(C1908:E1925,$B1942&amp;" ~*")&gt;0)+(IFERROR(INDEX(Setup!$G$33:$G$40,MATCH(G1942,Setup!$B$33:$B$40,0)),0)=1)*(COUNTIF(G1908:I1925,$B1942)+COUNTIF(G1908:I1925,$B1942&amp;" ~*")&gt;0)+(IFERROR(INDEX(Setup!$G$33:$G$40,MATCH(K1942,Setup!$B$33:$B$40,0)),0)=1)*(COUNTIF(K1908:M1925,$B1942)+COUNTIF(K1908:M1925,$B1942&amp;" ~*")&gt;0)+(IFERROR(INDEX(Setup!$G$33:$G$40,MATCH(O1942,Setup!$B$33:$B$40,0)),0)=1)*(COUNTIF(O1908:Q1925,$B1942)+COUNTIF(O1908:Q1925,$B1942&amp;" ~*")&gt;0)+(IFERROR(INDEX(Setup!$G$33:$G$40,MATCH(S1942,Setup!$B$33:$B$40,0)),0)=1)*(COUNTIF(S1908:U1925,$B1942)+COUNTIF(S1908:U1925,$B1942&amp;" ~*")&gt;0)+(IFERROR(INDEX(Setup!$G$33:$G$40,MATCH(W1942,Setup!$B$33:$B$40,0)),0)=1)*(COUNTIF(W1908:W1925,$B1942)+COUNTIF(W1908:W1925,$B1942&amp;" ~*")&gt;0)+(IFERROR(INDEX(Setup!$G$33:$G$40,MATCH(Y1942,Setup!$B$33:$B$40,0)),0)=1)*(COUNTIF(Y1908:Y1925,$B1942)+COUNTIF(Y1908:Y1925,$B1942&amp;" ~*")&gt;0))</f>
        <v/>
      </c>
    </row>
    <row r="1943" ht="15" customHeight="1">
      <c r="A1943" t="n">
        <v>39</v>
      </c>
      <c r="B1943" s="35">
        <f>IF(Setup!$B$22="","",Setup!$B$22)</f>
        <v/>
      </c>
      <c r="C1943" s="98" t="n"/>
      <c r="D1943" s="99" t="n"/>
      <c r="E1943" s="99" t="n"/>
      <c r="F1943" s="100" t="n"/>
      <c r="G1943" s="98" t="n"/>
      <c r="H1943" s="99" t="n"/>
      <c r="I1943" s="99" t="n"/>
      <c r="J1943" s="100" t="n"/>
      <c r="K1943" s="98" t="n"/>
      <c r="L1943" s="99" t="n"/>
      <c r="M1943" s="99" t="n"/>
      <c r="N1943" s="100" t="n"/>
      <c r="O1943" s="98" t="n"/>
      <c r="P1943" s="99" t="n"/>
      <c r="Q1943" s="99" t="n"/>
      <c r="R1943" s="100" t="n"/>
      <c r="S1943" s="98" t="n"/>
      <c r="T1943" s="99" t="n"/>
      <c r="U1943" s="99" t="n"/>
      <c r="V1943" s="100" t="n"/>
      <c r="W1943" s="98" t="n"/>
      <c r="X1943" s="100" t="n"/>
      <c r="Y1943" s="98" t="n"/>
      <c r="Z1943" s="100" t="n"/>
      <c r="AB1943" s="101">
        <f>IF($B1943="","",(COUNTIF(C1908:E1925,$B1943)+COUNTIF(C1908:E1925,$B1943&amp;" ~*")&gt;0)+(COUNTIF(G1908:I1925,$B1943)+COUNTIF(G1908:I1925,$B1943&amp;" ~*")&gt;0)+(COUNTIF(K1908:M1925,$B1943)+COUNTIF(K1908:M1925,$B1943&amp;" ~*")&gt;0)+(COUNTIF(O1908:Q1925,$B1943)+COUNTIF(O1908:Q1925,$B1943&amp;" ~*")&gt;0)+(COUNTIF(S1908:U1925,$B1943)+COUNTIF(S1908:U1925,$B1943&amp;" ~*")&gt;0)+(COUNTIF(W1908:W1925,$B1943)+COUNTIF(W1908:W1925,$B1943&amp;" ~*")&gt;0)+(COUNTIF(Y1908:Y1925,$B1943)+COUNTIF(Y1908:Y1925,$B1943&amp;" ~*")&gt;0))</f>
        <v/>
      </c>
      <c r="AC1943" s="36">
        <f>IF($B1943="","",(IFERROR(INDEX(Setup!$G$33:$G$40,MATCH(C1943,Setup!$B$33:$B$40,0)),0)=1)*(COUNTIF(C1908:E1925,$B1943)+COUNTIF(C1908:E1925,$B1943&amp;" ~*")&gt;0)+(IFERROR(INDEX(Setup!$G$33:$G$40,MATCH(G1943,Setup!$B$33:$B$40,0)),0)=1)*(COUNTIF(G1908:I1925,$B1943)+COUNTIF(G1908:I1925,$B1943&amp;" ~*")&gt;0)+(IFERROR(INDEX(Setup!$G$33:$G$40,MATCH(K1943,Setup!$B$33:$B$40,0)),0)=1)*(COUNTIF(K1908:M1925,$B1943)+COUNTIF(K1908:M1925,$B1943&amp;" ~*")&gt;0)+(IFERROR(INDEX(Setup!$G$33:$G$40,MATCH(O1943,Setup!$B$33:$B$40,0)),0)=1)*(COUNTIF(O1908:Q1925,$B1943)+COUNTIF(O1908:Q1925,$B1943&amp;" ~*")&gt;0)+(IFERROR(INDEX(Setup!$G$33:$G$40,MATCH(S1943,Setup!$B$33:$B$40,0)),0)=1)*(COUNTIF(S1908:U1925,$B1943)+COUNTIF(S1908:U1925,$B1943&amp;" ~*")&gt;0)+(IFERROR(INDEX(Setup!$G$33:$G$40,MATCH(W1943,Setup!$B$33:$B$40,0)),0)=1)*(COUNTIF(W1908:W1925,$B1943)+COUNTIF(W1908:W1925,$B1943&amp;" ~*")&gt;0)+(IFERROR(INDEX(Setup!$G$33:$G$40,MATCH(Y1943,Setup!$B$33:$B$40,0)),0)=1)*(COUNTIF(Y1908:Y1925,$B1943)+COUNTIF(Y1908:Y1925,$B1943&amp;" ~*")&gt;0))</f>
        <v/>
      </c>
    </row>
    <row r="1944" ht="15" customHeight="1">
      <c r="A1944" t="n">
        <v>39</v>
      </c>
      <c r="B1944" s="37">
        <f>IF(Setup!$B$23="","",Setup!$B$23)</f>
        <v/>
      </c>
      <c r="C1944" s="102" t="n"/>
      <c r="D1944" s="103" t="n"/>
      <c r="E1944" s="103" t="n"/>
      <c r="F1944" s="104" t="n"/>
      <c r="G1944" s="102" t="n"/>
      <c r="H1944" s="103" t="n"/>
      <c r="I1944" s="103" t="n"/>
      <c r="J1944" s="104" t="n"/>
      <c r="K1944" s="102" t="n"/>
      <c r="L1944" s="103" t="n"/>
      <c r="M1944" s="103" t="n"/>
      <c r="N1944" s="104" t="n"/>
      <c r="O1944" s="102" t="n"/>
      <c r="P1944" s="103" t="n"/>
      <c r="Q1944" s="103" t="n"/>
      <c r="R1944" s="104" t="n"/>
      <c r="S1944" s="102" t="n"/>
      <c r="T1944" s="103" t="n"/>
      <c r="U1944" s="103" t="n"/>
      <c r="V1944" s="104" t="n"/>
      <c r="W1944" s="102" t="n"/>
      <c r="X1944" s="104" t="n"/>
      <c r="Y1944" s="102" t="n"/>
      <c r="Z1944" s="104" t="n"/>
      <c r="AB1944" s="105">
        <f>IF($B1944="","",(COUNTIF(C1908:E1925,$B1944)+COUNTIF(C1908:E1925,$B1944&amp;" ~*")&gt;0)+(COUNTIF(G1908:I1925,$B1944)+COUNTIF(G1908:I1925,$B1944&amp;" ~*")&gt;0)+(COUNTIF(K1908:M1925,$B1944)+COUNTIF(K1908:M1925,$B1944&amp;" ~*")&gt;0)+(COUNTIF(O1908:Q1925,$B1944)+COUNTIF(O1908:Q1925,$B1944&amp;" ~*")&gt;0)+(COUNTIF(S1908:U1925,$B1944)+COUNTIF(S1908:U1925,$B1944&amp;" ~*")&gt;0)+(COUNTIF(W1908:W1925,$B1944)+COUNTIF(W1908:W1925,$B1944&amp;" ~*")&gt;0)+(COUNTIF(Y1908:Y1925,$B1944)+COUNTIF(Y1908:Y1925,$B1944&amp;" ~*")&gt;0))</f>
        <v/>
      </c>
      <c r="AC1944" s="38">
        <f>IF($B1944="","",(IFERROR(INDEX(Setup!$G$33:$G$40,MATCH(C1944,Setup!$B$33:$B$40,0)),0)=1)*(COUNTIF(C1908:E1925,$B1944)+COUNTIF(C1908:E1925,$B1944&amp;" ~*")&gt;0)+(IFERROR(INDEX(Setup!$G$33:$G$40,MATCH(G1944,Setup!$B$33:$B$40,0)),0)=1)*(COUNTIF(G1908:I1925,$B1944)+COUNTIF(G1908:I1925,$B1944&amp;" ~*")&gt;0)+(IFERROR(INDEX(Setup!$G$33:$G$40,MATCH(K1944,Setup!$B$33:$B$40,0)),0)=1)*(COUNTIF(K1908:M1925,$B1944)+COUNTIF(K1908:M1925,$B1944&amp;" ~*")&gt;0)+(IFERROR(INDEX(Setup!$G$33:$G$40,MATCH(O1944,Setup!$B$33:$B$40,0)),0)=1)*(COUNTIF(O1908:Q1925,$B1944)+COUNTIF(O1908:Q1925,$B1944&amp;" ~*")&gt;0)+(IFERROR(INDEX(Setup!$G$33:$G$40,MATCH(S1944,Setup!$B$33:$B$40,0)),0)=1)*(COUNTIF(S1908:U1925,$B1944)+COUNTIF(S1908:U1925,$B1944&amp;" ~*")&gt;0)+(IFERROR(INDEX(Setup!$G$33:$G$40,MATCH(W1944,Setup!$B$33:$B$40,0)),0)=1)*(COUNTIF(W1908:W1925,$B1944)+COUNTIF(W1908:W1925,$B1944&amp;" ~*")&gt;0)+(IFERROR(INDEX(Setup!$G$33:$G$40,MATCH(Y1944,Setup!$B$33:$B$40,0)),0)=1)*(COUNTIF(Y1908:Y1925,$B1944)+COUNTIF(Y1908:Y1925,$B1944&amp;" ~*")&gt;0))</f>
        <v/>
      </c>
    </row>
    <row r="1945" ht="15" customHeight="1">
      <c r="A1945" t="n">
        <v>39</v>
      </c>
      <c r="B1945" s="35">
        <f>IF(Setup!$B$24="","",Setup!$B$24)</f>
        <v/>
      </c>
      <c r="C1945" s="98" t="n"/>
      <c r="D1945" s="99" t="n"/>
      <c r="E1945" s="99" t="n"/>
      <c r="F1945" s="100" t="n"/>
      <c r="G1945" s="98" t="n"/>
      <c r="H1945" s="99" t="n"/>
      <c r="I1945" s="99" t="n"/>
      <c r="J1945" s="100" t="n"/>
      <c r="K1945" s="98" t="n"/>
      <c r="L1945" s="99" t="n"/>
      <c r="M1945" s="99" t="n"/>
      <c r="N1945" s="100" t="n"/>
      <c r="O1945" s="98" t="n"/>
      <c r="P1945" s="99" t="n"/>
      <c r="Q1945" s="99" t="n"/>
      <c r="R1945" s="100" t="n"/>
      <c r="S1945" s="98" t="n"/>
      <c r="T1945" s="99" t="n"/>
      <c r="U1945" s="99" t="n"/>
      <c r="V1945" s="100" t="n"/>
      <c r="W1945" s="98" t="n"/>
      <c r="X1945" s="100" t="n"/>
      <c r="Y1945" s="98" t="n"/>
      <c r="Z1945" s="100" t="n"/>
      <c r="AB1945" s="101">
        <f>IF($B1945="","",(COUNTIF(C1908:E1925,$B1945)+COUNTIF(C1908:E1925,$B1945&amp;" ~*")&gt;0)+(COUNTIF(G1908:I1925,$B1945)+COUNTIF(G1908:I1925,$B1945&amp;" ~*")&gt;0)+(COUNTIF(K1908:M1925,$B1945)+COUNTIF(K1908:M1925,$B1945&amp;" ~*")&gt;0)+(COUNTIF(O1908:Q1925,$B1945)+COUNTIF(O1908:Q1925,$B1945&amp;" ~*")&gt;0)+(COUNTIF(S1908:U1925,$B1945)+COUNTIF(S1908:U1925,$B1945&amp;" ~*")&gt;0)+(COUNTIF(W1908:W1925,$B1945)+COUNTIF(W1908:W1925,$B1945&amp;" ~*")&gt;0)+(COUNTIF(Y1908:Y1925,$B1945)+COUNTIF(Y1908:Y1925,$B1945&amp;" ~*")&gt;0))</f>
        <v/>
      </c>
      <c r="AC1945" s="36">
        <f>IF($B1945="","",(IFERROR(INDEX(Setup!$G$33:$G$40,MATCH(C1945,Setup!$B$33:$B$40,0)),0)=1)*(COUNTIF(C1908:E1925,$B1945)+COUNTIF(C1908:E1925,$B1945&amp;" ~*")&gt;0)+(IFERROR(INDEX(Setup!$G$33:$G$40,MATCH(G1945,Setup!$B$33:$B$40,0)),0)=1)*(COUNTIF(G1908:I1925,$B1945)+COUNTIF(G1908:I1925,$B1945&amp;" ~*")&gt;0)+(IFERROR(INDEX(Setup!$G$33:$G$40,MATCH(K1945,Setup!$B$33:$B$40,0)),0)=1)*(COUNTIF(K1908:M1925,$B1945)+COUNTIF(K1908:M1925,$B1945&amp;" ~*")&gt;0)+(IFERROR(INDEX(Setup!$G$33:$G$40,MATCH(O1945,Setup!$B$33:$B$40,0)),0)=1)*(COUNTIF(O1908:Q1925,$B1945)+COUNTIF(O1908:Q1925,$B1945&amp;" ~*")&gt;0)+(IFERROR(INDEX(Setup!$G$33:$G$40,MATCH(S1945,Setup!$B$33:$B$40,0)),0)=1)*(COUNTIF(S1908:U1925,$B1945)+COUNTIF(S1908:U1925,$B1945&amp;" ~*")&gt;0)+(IFERROR(INDEX(Setup!$G$33:$G$40,MATCH(W1945,Setup!$B$33:$B$40,0)),0)=1)*(COUNTIF(W1908:W1925,$B1945)+COUNTIF(W1908:W1925,$B1945&amp;" ~*")&gt;0)+(IFERROR(INDEX(Setup!$G$33:$G$40,MATCH(Y1945,Setup!$B$33:$B$40,0)),0)=1)*(COUNTIF(Y1908:Y1925,$B1945)+COUNTIF(Y1908:Y1925,$B1945&amp;" ~*")&gt;0))</f>
        <v/>
      </c>
    </row>
    <row r="1946" ht="15" customHeight="1">
      <c r="A1946" t="n">
        <v>39</v>
      </c>
      <c r="B1946" s="37">
        <f>IF(Setup!$B$25="","",Setup!$B$25)</f>
        <v/>
      </c>
      <c r="C1946" s="102" t="n"/>
      <c r="D1946" s="103" t="n"/>
      <c r="E1946" s="103" t="n"/>
      <c r="F1946" s="104" t="n"/>
      <c r="G1946" s="102" t="n"/>
      <c r="H1946" s="103" t="n"/>
      <c r="I1946" s="103" t="n"/>
      <c r="J1946" s="104" t="n"/>
      <c r="K1946" s="102" t="n"/>
      <c r="L1946" s="103" t="n"/>
      <c r="M1946" s="103" t="n"/>
      <c r="N1946" s="104" t="n"/>
      <c r="O1946" s="102" t="n"/>
      <c r="P1946" s="103" t="n"/>
      <c r="Q1946" s="103" t="n"/>
      <c r="R1946" s="104" t="n"/>
      <c r="S1946" s="102" t="n"/>
      <c r="T1946" s="103" t="n"/>
      <c r="U1946" s="103" t="n"/>
      <c r="V1946" s="104" t="n"/>
      <c r="W1946" s="102" t="n"/>
      <c r="X1946" s="104" t="n"/>
      <c r="Y1946" s="102" t="n"/>
      <c r="Z1946" s="104" t="n"/>
      <c r="AB1946" s="105">
        <f>IF($B1946="","",(COUNTIF(C1908:E1925,$B1946)+COUNTIF(C1908:E1925,$B1946&amp;" ~*")&gt;0)+(COUNTIF(G1908:I1925,$B1946)+COUNTIF(G1908:I1925,$B1946&amp;" ~*")&gt;0)+(COUNTIF(K1908:M1925,$B1946)+COUNTIF(K1908:M1925,$B1946&amp;" ~*")&gt;0)+(COUNTIF(O1908:Q1925,$B1946)+COUNTIF(O1908:Q1925,$B1946&amp;" ~*")&gt;0)+(COUNTIF(S1908:U1925,$B1946)+COUNTIF(S1908:U1925,$B1946&amp;" ~*")&gt;0)+(COUNTIF(W1908:W1925,$B1946)+COUNTIF(W1908:W1925,$B1946&amp;" ~*")&gt;0)+(COUNTIF(Y1908:Y1925,$B1946)+COUNTIF(Y1908:Y1925,$B1946&amp;" ~*")&gt;0))</f>
        <v/>
      </c>
      <c r="AC1946" s="38">
        <f>IF($B1946="","",(IFERROR(INDEX(Setup!$G$33:$G$40,MATCH(C1946,Setup!$B$33:$B$40,0)),0)=1)*(COUNTIF(C1908:E1925,$B1946)+COUNTIF(C1908:E1925,$B1946&amp;" ~*")&gt;0)+(IFERROR(INDEX(Setup!$G$33:$G$40,MATCH(G1946,Setup!$B$33:$B$40,0)),0)=1)*(COUNTIF(G1908:I1925,$B1946)+COUNTIF(G1908:I1925,$B1946&amp;" ~*")&gt;0)+(IFERROR(INDEX(Setup!$G$33:$G$40,MATCH(K1946,Setup!$B$33:$B$40,0)),0)=1)*(COUNTIF(K1908:M1925,$B1946)+COUNTIF(K1908:M1925,$B1946&amp;" ~*")&gt;0)+(IFERROR(INDEX(Setup!$G$33:$G$40,MATCH(O1946,Setup!$B$33:$B$40,0)),0)=1)*(COUNTIF(O1908:Q1925,$B1946)+COUNTIF(O1908:Q1925,$B1946&amp;" ~*")&gt;0)+(IFERROR(INDEX(Setup!$G$33:$G$40,MATCH(S1946,Setup!$B$33:$B$40,0)),0)=1)*(COUNTIF(S1908:U1925,$B1946)+COUNTIF(S1908:U1925,$B1946&amp;" ~*")&gt;0)+(IFERROR(INDEX(Setup!$G$33:$G$40,MATCH(W1946,Setup!$B$33:$B$40,0)),0)=1)*(COUNTIF(W1908:W1925,$B1946)+COUNTIF(W1908:W1925,$B1946&amp;" ~*")&gt;0)+(IFERROR(INDEX(Setup!$G$33:$G$40,MATCH(Y1946,Setup!$B$33:$B$40,0)),0)=1)*(COUNTIF(Y1908:Y1925,$B1946)+COUNTIF(Y1908:Y1925,$B1946&amp;" ~*")&gt;0))</f>
        <v/>
      </c>
    </row>
    <row r="1947" ht="15" customHeight="1">
      <c r="A1947" t="n">
        <v>39</v>
      </c>
      <c r="B1947" s="35">
        <f>IF(Setup!$B$26="","",Setup!$B$26)</f>
        <v/>
      </c>
      <c r="C1947" s="98" t="n"/>
      <c r="D1947" s="99" t="n"/>
      <c r="E1947" s="99" t="n"/>
      <c r="F1947" s="100" t="n"/>
      <c r="G1947" s="98" t="n"/>
      <c r="H1947" s="99" t="n"/>
      <c r="I1947" s="99" t="n"/>
      <c r="J1947" s="100" t="n"/>
      <c r="K1947" s="98" t="n"/>
      <c r="L1947" s="99" t="n"/>
      <c r="M1947" s="99" t="n"/>
      <c r="N1947" s="100" t="n"/>
      <c r="O1947" s="98" t="n"/>
      <c r="P1947" s="99" t="n"/>
      <c r="Q1947" s="99" t="n"/>
      <c r="R1947" s="100" t="n"/>
      <c r="S1947" s="98" t="n"/>
      <c r="T1947" s="99" t="n"/>
      <c r="U1947" s="99" t="n"/>
      <c r="V1947" s="100" t="n"/>
      <c r="W1947" s="98" t="n"/>
      <c r="X1947" s="100" t="n"/>
      <c r="Y1947" s="98" t="n"/>
      <c r="Z1947" s="100" t="n"/>
      <c r="AB1947" s="101">
        <f>IF($B1947="","",(COUNTIF(C1908:E1925,$B1947)+COUNTIF(C1908:E1925,$B1947&amp;" ~*")&gt;0)+(COUNTIF(G1908:I1925,$B1947)+COUNTIF(G1908:I1925,$B1947&amp;" ~*")&gt;0)+(COUNTIF(K1908:M1925,$B1947)+COUNTIF(K1908:M1925,$B1947&amp;" ~*")&gt;0)+(COUNTIF(O1908:Q1925,$B1947)+COUNTIF(O1908:Q1925,$B1947&amp;" ~*")&gt;0)+(COUNTIF(S1908:U1925,$B1947)+COUNTIF(S1908:U1925,$B1947&amp;" ~*")&gt;0)+(COUNTIF(W1908:W1925,$B1947)+COUNTIF(W1908:W1925,$B1947&amp;" ~*")&gt;0)+(COUNTIF(Y1908:Y1925,$B1947)+COUNTIF(Y1908:Y1925,$B1947&amp;" ~*")&gt;0))</f>
        <v/>
      </c>
      <c r="AC1947" s="36">
        <f>IF($B1947="","",(IFERROR(INDEX(Setup!$G$33:$G$40,MATCH(C1947,Setup!$B$33:$B$40,0)),0)=1)*(COUNTIF(C1908:E1925,$B1947)+COUNTIF(C1908:E1925,$B1947&amp;" ~*")&gt;0)+(IFERROR(INDEX(Setup!$G$33:$G$40,MATCH(G1947,Setup!$B$33:$B$40,0)),0)=1)*(COUNTIF(G1908:I1925,$B1947)+COUNTIF(G1908:I1925,$B1947&amp;" ~*")&gt;0)+(IFERROR(INDEX(Setup!$G$33:$G$40,MATCH(K1947,Setup!$B$33:$B$40,0)),0)=1)*(COUNTIF(K1908:M1925,$B1947)+COUNTIF(K1908:M1925,$B1947&amp;" ~*")&gt;0)+(IFERROR(INDEX(Setup!$G$33:$G$40,MATCH(O1947,Setup!$B$33:$B$40,0)),0)=1)*(COUNTIF(O1908:Q1925,$B1947)+COUNTIF(O1908:Q1925,$B1947&amp;" ~*")&gt;0)+(IFERROR(INDEX(Setup!$G$33:$G$40,MATCH(S1947,Setup!$B$33:$B$40,0)),0)=1)*(COUNTIF(S1908:U1925,$B1947)+COUNTIF(S1908:U1925,$B1947&amp;" ~*")&gt;0)+(IFERROR(INDEX(Setup!$G$33:$G$40,MATCH(W1947,Setup!$B$33:$B$40,0)),0)=1)*(COUNTIF(W1908:W1925,$B1947)+COUNTIF(W1908:W1925,$B1947&amp;" ~*")&gt;0)+(IFERROR(INDEX(Setup!$G$33:$G$40,MATCH(Y1947,Setup!$B$33:$B$40,0)),0)=1)*(COUNTIF(Y1908:Y1925,$B1947)+COUNTIF(Y1908:Y1925,$B1947&amp;" ~*")&gt;0))</f>
        <v/>
      </c>
    </row>
    <row r="1948" ht="15" customHeight="1">
      <c r="A1948" t="n">
        <v>39</v>
      </c>
      <c r="B1948" s="37">
        <f>IF(Setup!$B$27="","",Setup!$B$27)</f>
        <v/>
      </c>
      <c r="C1948" s="102" t="n"/>
      <c r="D1948" s="103" t="n"/>
      <c r="E1948" s="103" t="n"/>
      <c r="F1948" s="104" t="n"/>
      <c r="G1948" s="102" t="n"/>
      <c r="H1948" s="103" t="n"/>
      <c r="I1948" s="103" t="n"/>
      <c r="J1948" s="104" t="n"/>
      <c r="K1948" s="102" t="n"/>
      <c r="L1948" s="103" t="n"/>
      <c r="M1948" s="103" t="n"/>
      <c r="N1948" s="104" t="n"/>
      <c r="O1948" s="102" t="n"/>
      <c r="P1948" s="103" t="n"/>
      <c r="Q1948" s="103" t="n"/>
      <c r="R1948" s="104" t="n"/>
      <c r="S1948" s="102" t="n"/>
      <c r="T1948" s="103" t="n"/>
      <c r="U1948" s="103" t="n"/>
      <c r="V1948" s="104" t="n"/>
      <c r="W1948" s="102" t="n"/>
      <c r="X1948" s="104" t="n"/>
      <c r="Y1948" s="102" t="n"/>
      <c r="Z1948" s="104" t="n"/>
      <c r="AB1948" s="105">
        <f>IF($B1948="","",(COUNTIF(C1908:E1925,$B1948)+COUNTIF(C1908:E1925,$B1948&amp;" ~*")&gt;0)+(COUNTIF(G1908:I1925,$B1948)+COUNTIF(G1908:I1925,$B1948&amp;" ~*")&gt;0)+(COUNTIF(K1908:M1925,$B1948)+COUNTIF(K1908:M1925,$B1948&amp;" ~*")&gt;0)+(COUNTIF(O1908:Q1925,$B1948)+COUNTIF(O1908:Q1925,$B1948&amp;" ~*")&gt;0)+(COUNTIF(S1908:U1925,$B1948)+COUNTIF(S1908:U1925,$B1948&amp;" ~*")&gt;0)+(COUNTIF(W1908:W1925,$B1948)+COUNTIF(W1908:W1925,$B1948&amp;" ~*")&gt;0)+(COUNTIF(Y1908:Y1925,$B1948)+COUNTIF(Y1908:Y1925,$B1948&amp;" ~*")&gt;0))</f>
        <v/>
      </c>
      <c r="AC1948" s="38">
        <f>IF($B1948="","",(IFERROR(INDEX(Setup!$G$33:$G$40,MATCH(C1948,Setup!$B$33:$B$40,0)),0)=1)*(COUNTIF(C1908:E1925,$B1948)+COUNTIF(C1908:E1925,$B1948&amp;" ~*")&gt;0)+(IFERROR(INDEX(Setup!$G$33:$G$40,MATCH(G1948,Setup!$B$33:$B$40,0)),0)=1)*(COUNTIF(G1908:I1925,$B1948)+COUNTIF(G1908:I1925,$B1948&amp;" ~*")&gt;0)+(IFERROR(INDEX(Setup!$G$33:$G$40,MATCH(K1948,Setup!$B$33:$B$40,0)),0)=1)*(COUNTIF(K1908:M1925,$B1948)+COUNTIF(K1908:M1925,$B1948&amp;" ~*")&gt;0)+(IFERROR(INDEX(Setup!$G$33:$G$40,MATCH(O1948,Setup!$B$33:$B$40,0)),0)=1)*(COUNTIF(O1908:Q1925,$B1948)+COUNTIF(O1908:Q1925,$B1948&amp;" ~*")&gt;0)+(IFERROR(INDEX(Setup!$G$33:$G$40,MATCH(S1948,Setup!$B$33:$B$40,0)),0)=1)*(COUNTIF(S1908:U1925,$B1948)+COUNTIF(S1908:U1925,$B1948&amp;" ~*")&gt;0)+(IFERROR(INDEX(Setup!$G$33:$G$40,MATCH(W1948,Setup!$B$33:$B$40,0)),0)=1)*(COUNTIF(W1908:W1925,$B1948)+COUNTIF(W1908:W1925,$B1948&amp;" ~*")&gt;0)+(IFERROR(INDEX(Setup!$G$33:$G$40,MATCH(Y1948,Setup!$B$33:$B$40,0)),0)=1)*(COUNTIF(Y1908:Y1925,$B1948)+COUNTIF(Y1908:Y1925,$B1948&amp;" ~*")&gt;0))</f>
        <v/>
      </c>
    </row>
    <row r="1949" ht="15" customHeight="1">
      <c r="A1949" t="n">
        <v>39</v>
      </c>
      <c r="B1949" s="35">
        <f>IF(Setup!$B$28="","",Setup!$B$28)</f>
        <v/>
      </c>
      <c r="C1949" s="98" t="n"/>
      <c r="D1949" s="99" t="n"/>
      <c r="E1949" s="99" t="n"/>
      <c r="F1949" s="100" t="n"/>
      <c r="G1949" s="98" t="n"/>
      <c r="H1949" s="99" t="n"/>
      <c r="I1949" s="99" t="n"/>
      <c r="J1949" s="100" t="n"/>
      <c r="K1949" s="98" t="n"/>
      <c r="L1949" s="99" t="n"/>
      <c r="M1949" s="99" t="n"/>
      <c r="N1949" s="100" t="n"/>
      <c r="O1949" s="98" t="n"/>
      <c r="P1949" s="99" t="n"/>
      <c r="Q1949" s="99" t="n"/>
      <c r="R1949" s="100" t="n"/>
      <c r="S1949" s="98" t="n"/>
      <c r="T1949" s="99" t="n"/>
      <c r="U1949" s="99" t="n"/>
      <c r="V1949" s="100" t="n"/>
      <c r="W1949" s="98" t="n"/>
      <c r="X1949" s="100" t="n"/>
      <c r="Y1949" s="98" t="n"/>
      <c r="Z1949" s="100" t="n"/>
      <c r="AB1949" s="101">
        <f>IF($B1949="","",(COUNTIF(C1908:E1925,$B1949)+COUNTIF(C1908:E1925,$B1949&amp;" ~*")&gt;0)+(COUNTIF(G1908:I1925,$B1949)+COUNTIF(G1908:I1925,$B1949&amp;" ~*")&gt;0)+(COUNTIF(K1908:M1925,$B1949)+COUNTIF(K1908:M1925,$B1949&amp;" ~*")&gt;0)+(COUNTIF(O1908:Q1925,$B1949)+COUNTIF(O1908:Q1925,$B1949&amp;" ~*")&gt;0)+(COUNTIF(S1908:U1925,$B1949)+COUNTIF(S1908:U1925,$B1949&amp;" ~*")&gt;0)+(COUNTIF(W1908:W1925,$B1949)+COUNTIF(W1908:W1925,$B1949&amp;" ~*")&gt;0)+(COUNTIF(Y1908:Y1925,$B1949)+COUNTIF(Y1908:Y1925,$B1949&amp;" ~*")&gt;0))</f>
        <v/>
      </c>
      <c r="AC1949" s="36">
        <f>IF($B1949="","",(IFERROR(INDEX(Setup!$G$33:$G$40,MATCH(C1949,Setup!$B$33:$B$40,0)),0)=1)*(COUNTIF(C1908:E1925,$B1949)+COUNTIF(C1908:E1925,$B1949&amp;" ~*")&gt;0)+(IFERROR(INDEX(Setup!$G$33:$G$40,MATCH(G1949,Setup!$B$33:$B$40,0)),0)=1)*(COUNTIF(G1908:I1925,$B1949)+COUNTIF(G1908:I1925,$B1949&amp;" ~*")&gt;0)+(IFERROR(INDEX(Setup!$G$33:$G$40,MATCH(K1949,Setup!$B$33:$B$40,0)),0)=1)*(COUNTIF(K1908:M1925,$B1949)+COUNTIF(K1908:M1925,$B1949&amp;" ~*")&gt;0)+(IFERROR(INDEX(Setup!$G$33:$G$40,MATCH(O1949,Setup!$B$33:$B$40,0)),0)=1)*(COUNTIF(O1908:Q1925,$B1949)+COUNTIF(O1908:Q1925,$B1949&amp;" ~*")&gt;0)+(IFERROR(INDEX(Setup!$G$33:$G$40,MATCH(S1949,Setup!$B$33:$B$40,0)),0)=1)*(COUNTIF(S1908:U1925,$B1949)+COUNTIF(S1908:U1925,$B1949&amp;" ~*")&gt;0)+(IFERROR(INDEX(Setup!$G$33:$G$40,MATCH(W1949,Setup!$B$33:$B$40,0)),0)=1)*(COUNTIF(W1908:W1925,$B1949)+COUNTIF(W1908:W1925,$B1949&amp;" ~*")&gt;0)+(IFERROR(INDEX(Setup!$G$33:$G$40,MATCH(Y1949,Setup!$B$33:$B$40,0)),0)=1)*(COUNTIF(Y1908:Y1925,$B1949)+COUNTIF(Y1908:Y1925,$B1949&amp;" ~*")&gt;0))</f>
        <v/>
      </c>
    </row>
    <row r="1950" ht="15" customHeight="1">
      <c r="A1950" t="n">
        <v>39</v>
      </c>
      <c r="B1950" s="37">
        <f>IF(Setup!$B$29="","",Setup!$B$29)</f>
        <v/>
      </c>
      <c r="C1950" s="102" t="n"/>
      <c r="D1950" s="103" t="n"/>
      <c r="E1950" s="103" t="n"/>
      <c r="F1950" s="104" t="n"/>
      <c r="G1950" s="102" t="n"/>
      <c r="H1950" s="103" t="n"/>
      <c r="I1950" s="103" t="n"/>
      <c r="J1950" s="104" t="n"/>
      <c r="K1950" s="102" t="n"/>
      <c r="L1950" s="103" t="n"/>
      <c r="M1950" s="103" t="n"/>
      <c r="N1950" s="104" t="n"/>
      <c r="O1950" s="102" t="n"/>
      <c r="P1950" s="103" t="n"/>
      <c r="Q1950" s="103" t="n"/>
      <c r="R1950" s="104" t="n"/>
      <c r="S1950" s="102" t="n"/>
      <c r="T1950" s="103" t="n"/>
      <c r="U1950" s="103" t="n"/>
      <c r="V1950" s="104" t="n"/>
      <c r="W1950" s="102" t="n"/>
      <c r="X1950" s="104" t="n"/>
      <c r="Y1950" s="102" t="n"/>
      <c r="Z1950" s="104" t="n"/>
      <c r="AB1950" s="105">
        <f>IF($B1950="","",(COUNTIF(C1908:E1925,$B1950)+COUNTIF(C1908:E1925,$B1950&amp;" ~*")&gt;0)+(COUNTIF(G1908:I1925,$B1950)+COUNTIF(G1908:I1925,$B1950&amp;" ~*")&gt;0)+(COUNTIF(K1908:M1925,$B1950)+COUNTIF(K1908:M1925,$B1950&amp;" ~*")&gt;0)+(COUNTIF(O1908:Q1925,$B1950)+COUNTIF(O1908:Q1925,$B1950&amp;" ~*")&gt;0)+(COUNTIF(S1908:U1925,$B1950)+COUNTIF(S1908:U1925,$B1950&amp;" ~*")&gt;0)+(COUNTIF(W1908:W1925,$B1950)+COUNTIF(W1908:W1925,$B1950&amp;" ~*")&gt;0)+(COUNTIF(Y1908:Y1925,$B1950)+COUNTIF(Y1908:Y1925,$B1950&amp;" ~*")&gt;0))</f>
        <v/>
      </c>
      <c r="AC1950" s="38">
        <f>IF($B1950="","",(IFERROR(INDEX(Setup!$G$33:$G$40,MATCH(C1950,Setup!$B$33:$B$40,0)),0)=1)*(COUNTIF(C1908:E1925,$B1950)+COUNTIF(C1908:E1925,$B1950&amp;" ~*")&gt;0)+(IFERROR(INDEX(Setup!$G$33:$G$40,MATCH(G1950,Setup!$B$33:$B$40,0)),0)=1)*(COUNTIF(G1908:I1925,$B1950)+COUNTIF(G1908:I1925,$B1950&amp;" ~*")&gt;0)+(IFERROR(INDEX(Setup!$G$33:$G$40,MATCH(K1950,Setup!$B$33:$B$40,0)),0)=1)*(COUNTIF(K1908:M1925,$B1950)+COUNTIF(K1908:M1925,$B1950&amp;" ~*")&gt;0)+(IFERROR(INDEX(Setup!$G$33:$G$40,MATCH(O1950,Setup!$B$33:$B$40,0)),0)=1)*(COUNTIF(O1908:Q1925,$B1950)+COUNTIF(O1908:Q1925,$B1950&amp;" ~*")&gt;0)+(IFERROR(INDEX(Setup!$G$33:$G$40,MATCH(S1950,Setup!$B$33:$B$40,0)),0)=1)*(COUNTIF(S1908:U1925,$B1950)+COUNTIF(S1908:U1925,$B1950&amp;" ~*")&gt;0)+(IFERROR(INDEX(Setup!$G$33:$G$40,MATCH(W1950,Setup!$B$33:$B$40,0)),0)=1)*(COUNTIF(W1908:W1925,$B1950)+COUNTIF(W1908:W1925,$B1950&amp;" ~*")&gt;0)+(IFERROR(INDEX(Setup!$G$33:$G$40,MATCH(Y1950,Setup!$B$33:$B$40,0)),0)=1)*(COUNTIF(Y1908:Y1925,$B1950)+COUNTIF(Y1908:Y1925,$B1950&amp;" ~*")&gt;0))</f>
        <v/>
      </c>
    </row>
    <row r="1951" ht="16" customHeight="1">
      <c r="A1951" t="n">
        <v>39</v>
      </c>
      <c r="B1951" s="106" t="inlineStr">
        <is>
          <t>Available people</t>
        </is>
      </c>
      <c r="C1951" s="107">
        <f>COUNTIFS(Setup!$E$6:$E$29,"Y",Setup!$B$6:$B$29,"?*")-SUMPRODUCT(COUNTIF(C1927:C1950,Setup!$F$33:$F$40))</f>
        <v/>
      </c>
      <c r="D1951" s="107" t="n"/>
      <c r="E1951" s="107" t="n"/>
      <c r="F1951" s="107" t="n"/>
      <c r="G1951" s="107">
        <f>COUNTIFS(Setup!$E$6:$E$29,"Y",Setup!$B$6:$B$29,"?*")-SUMPRODUCT(COUNTIF(G1927:G1950,Setup!$F$33:$F$40))</f>
        <v/>
      </c>
      <c r="H1951" s="107" t="n"/>
      <c r="I1951" s="107" t="n"/>
      <c r="J1951" s="107" t="n"/>
      <c r="K1951" s="107">
        <f>COUNTIFS(Setup!$E$6:$E$29,"Y",Setup!$B$6:$B$29,"?*")-SUMPRODUCT(COUNTIF(K1927:K1950,Setup!$F$33:$F$40))</f>
        <v/>
      </c>
      <c r="L1951" s="107" t="n"/>
      <c r="M1951" s="107" t="n"/>
      <c r="N1951" s="107" t="n"/>
      <c r="O1951" s="107">
        <f>COUNTIFS(Setup!$E$6:$E$29,"Y",Setup!$B$6:$B$29,"?*")-SUMPRODUCT(COUNTIF(O1927:O1950,Setup!$F$33:$F$40))</f>
        <v/>
      </c>
      <c r="P1951" s="107" t="n"/>
      <c r="Q1951" s="107" t="n"/>
      <c r="R1951" s="107" t="n"/>
      <c r="S1951" s="107">
        <f>COUNTIFS(Setup!$E$6:$E$29,"Y",Setup!$B$6:$B$29,"?*")-SUMPRODUCT(COUNTIF(S1927:S1950,Setup!$F$33:$F$40))</f>
        <v/>
      </c>
      <c r="T1951" s="107" t="n"/>
      <c r="U1951" s="107" t="n"/>
      <c r="V1951" s="107" t="n"/>
      <c r="W1951" s="107">
        <f>COUNTIFS(Setup!$E$6:$E$29,"Y",Setup!$B$6:$B$29,"?*")-SUMPRODUCT(COUNTIF(W1927:W1950,Setup!$F$33:$F$40))</f>
        <v/>
      </c>
      <c r="X1951" s="107" t="n"/>
      <c r="Y1951" s="107">
        <f>COUNTIFS(Setup!$E$6:$E$29,"Y",Setup!$B$6:$B$29,"?*")-SUMPRODUCT(COUNTIF(Y1927:Y1950,Setup!$F$33:$F$40))</f>
        <v/>
      </c>
      <c r="Z1951" s="107" t="n"/>
      <c r="AB1951" s="108">
        <f>SUM(AB1927:AB1950)</f>
        <v/>
      </c>
      <c r="AC1951" s="109">
        <f>SUM(AC1927:AC1950)</f>
        <v/>
      </c>
    </row>
    <row r="1952" ht="30" customHeight="1">
      <c r="A1952" t="n">
        <v>39</v>
      </c>
      <c r="B1952" s="110" t="inlineStr">
        <is>
          <t>Week notes</t>
        </is>
      </c>
      <c r="C1952" s="111" t="n"/>
      <c r="D1952" s="112" t="n"/>
      <c r="E1952" s="112" t="n"/>
      <c r="F1952" s="112" t="n"/>
      <c r="G1952" s="112" t="n"/>
      <c r="H1952" s="112" t="n"/>
      <c r="I1952" s="112" t="n"/>
      <c r="J1952" s="112" t="n"/>
      <c r="K1952" s="112" t="n"/>
      <c r="L1952" s="112" t="n"/>
      <c r="M1952" s="112" t="n"/>
      <c r="N1952" s="112" t="n"/>
      <c r="O1952" s="112" t="n"/>
      <c r="P1952" s="112" t="n"/>
      <c r="Q1952" s="112" t="n"/>
      <c r="R1952" s="112" t="n"/>
      <c r="S1952" s="112" t="n"/>
      <c r="T1952" s="112" t="n"/>
      <c r="U1952" s="112" t="n"/>
      <c r="V1952" s="112" t="n"/>
      <c r="W1952" s="112" t="n"/>
      <c r="X1952" s="112" t="n"/>
      <c r="Y1952" s="112" t="n"/>
      <c r="Z1952" s="113" t="n"/>
    </row>
    <row r="1953" ht="8" customHeight="1">
      <c r="A1953" t="n">
        <v>39</v>
      </c>
    </row>
    <row r="1954" ht="8" customHeight="1">
      <c r="A1954" t="n">
        <v>39</v>
      </c>
    </row>
    <row r="1955" ht="24" customHeight="1">
      <c r="A1955" t="n">
        <v>40</v>
      </c>
      <c r="B1955" s="73">
        <f>"WEEK 40     "&amp;TEXT(C1956,"ddd d mmm")&amp;"  –  "&amp;TEXT(C1956+6,"ddd d mmm yyyy")</f>
        <v/>
      </c>
      <c r="S1955" s="74">
        <f>IF(TODAY()&lt;C1956,"FUTURE",IF(TODAY()&gt;C1956+6,"PAST","THIS WEEK"))</f>
        <v/>
      </c>
      <c r="W1955" s="75">
        <f>IF(AND(Engine!$B$8=$AC$3,Engine!$B$9=$A1955),"◀ ACTIVE WEEK","")</f>
        <v/>
      </c>
      <c r="AA1955" s="76" t="n"/>
      <c r="AB1955" s="77" t="inlineStr">
        <is>
          <t>◀ Prev</t>
        </is>
      </c>
      <c r="AC1955" s="77" t="inlineStr">
        <is>
          <t>Next ▶</t>
        </is>
      </c>
    </row>
    <row r="1956" ht="18" customHeight="1">
      <c r="A1956" t="n">
        <v>40</v>
      </c>
      <c r="B1956" s="78" t="inlineStr">
        <is>
          <t>DUTY</t>
        </is>
      </c>
      <c r="C1956" s="79">
        <f>$AC$2+7*($A1956-1)</f>
        <v/>
      </c>
      <c r="D1956" s="80" t="n"/>
      <c r="E1956" s="80" t="n"/>
      <c r="F1956" s="81" t="n"/>
      <c r="G1956" s="79">
        <f>C1956+1</f>
        <v/>
      </c>
      <c r="H1956" s="80" t="n"/>
      <c r="I1956" s="80" t="n"/>
      <c r="J1956" s="81" t="n"/>
      <c r="K1956" s="79">
        <f>C1956+2</f>
        <v/>
      </c>
      <c r="L1956" s="80" t="n"/>
      <c r="M1956" s="80" t="n"/>
      <c r="N1956" s="81" t="n"/>
      <c r="O1956" s="79">
        <f>C1956+3</f>
        <v/>
      </c>
      <c r="P1956" s="80" t="n"/>
      <c r="Q1956" s="80" t="n"/>
      <c r="R1956" s="81" t="n"/>
      <c r="S1956" s="79">
        <f>C1956+4</f>
        <v/>
      </c>
      <c r="T1956" s="80" t="n"/>
      <c r="U1956" s="80" t="n"/>
      <c r="V1956" s="81" t="n"/>
      <c r="W1956" s="82">
        <f>C1956+5</f>
        <v/>
      </c>
      <c r="X1956" s="83" t="n"/>
      <c r="Y1956" s="82">
        <f>C1956+6</f>
        <v/>
      </c>
      <c r="Z1956" s="83" t="n"/>
      <c r="AB1956" s="72" t="inlineStr">
        <is>
          <t>Gaps</t>
        </is>
      </c>
      <c r="AC1956" s="72" t="inlineStr">
        <is>
          <t>Cover</t>
        </is>
      </c>
    </row>
    <row r="1957" ht="14" customHeight="1">
      <c r="A1957" t="n">
        <v>40</v>
      </c>
      <c r="B1957" s="84" t="inlineStr">
        <is>
          <t>(from Setup)</t>
        </is>
      </c>
      <c r="C1957" s="85" t="inlineStr">
        <is>
          <t>1</t>
        </is>
      </c>
      <c r="D1957" s="85" t="inlineStr">
        <is>
          <t>2</t>
        </is>
      </c>
      <c r="E1957" s="85" t="inlineStr">
        <is>
          <t>3</t>
        </is>
      </c>
      <c r="F1957" s="85" t="inlineStr">
        <is>
          <t>Notes</t>
        </is>
      </c>
      <c r="G1957" s="85" t="inlineStr">
        <is>
          <t>1</t>
        </is>
      </c>
      <c r="H1957" s="85" t="inlineStr">
        <is>
          <t>2</t>
        </is>
      </c>
      <c r="I1957" s="85" t="inlineStr">
        <is>
          <t>3</t>
        </is>
      </c>
      <c r="J1957" s="85" t="inlineStr">
        <is>
          <t>Notes</t>
        </is>
      </c>
      <c r="K1957" s="85" t="inlineStr">
        <is>
          <t>1</t>
        </is>
      </c>
      <c r="L1957" s="85" t="inlineStr">
        <is>
          <t>2</t>
        </is>
      </c>
      <c r="M1957" s="85" t="inlineStr">
        <is>
          <t>3</t>
        </is>
      </c>
      <c r="N1957" s="85" t="inlineStr">
        <is>
          <t>Notes</t>
        </is>
      </c>
      <c r="O1957" s="85" t="inlineStr">
        <is>
          <t>1</t>
        </is>
      </c>
      <c r="P1957" s="85" t="inlineStr">
        <is>
          <t>2</t>
        </is>
      </c>
      <c r="Q1957" s="85" t="inlineStr">
        <is>
          <t>3</t>
        </is>
      </c>
      <c r="R1957" s="85" t="inlineStr">
        <is>
          <t>Notes</t>
        </is>
      </c>
      <c r="S1957" s="85" t="inlineStr">
        <is>
          <t>1</t>
        </is>
      </c>
      <c r="T1957" s="85" t="inlineStr">
        <is>
          <t>2</t>
        </is>
      </c>
      <c r="U1957" s="85" t="inlineStr">
        <is>
          <t>3</t>
        </is>
      </c>
      <c r="V1957" s="85" t="inlineStr">
        <is>
          <t>Notes</t>
        </is>
      </c>
      <c r="W1957" s="85" t="inlineStr">
        <is>
          <t>Cover</t>
        </is>
      </c>
      <c r="X1957" s="85" t="inlineStr">
        <is>
          <t>Notes</t>
        </is>
      </c>
      <c r="Y1957" s="85" t="inlineStr">
        <is>
          <t>Cover</t>
        </is>
      </c>
      <c r="Z1957" s="85" t="inlineStr">
        <is>
          <t>Notes</t>
        </is>
      </c>
      <c r="AB1957" s="86" t="inlineStr">
        <is>
          <t>weekdays short</t>
        </is>
      </c>
      <c r="AC1957" s="87" t="inlineStr"/>
    </row>
    <row r="1958" ht="17" customHeight="1">
      <c r="A1958" t="n">
        <v>40</v>
      </c>
      <c r="B1958" s="24">
        <f>IF(Setup!$K$6="","",Setup!$K$6)</f>
        <v/>
      </c>
      <c r="C1958" s="88" t="n"/>
      <c r="D1958" s="88" t="n"/>
      <c r="E1958" s="88" t="n"/>
      <c r="F1958" s="89" t="n"/>
      <c r="G1958" s="88" t="n"/>
      <c r="H1958" s="88" t="n"/>
      <c r="I1958" s="88" t="n"/>
      <c r="J1958" s="89" t="n"/>
      <c r="K1958" s="88" t="n"/>
      <c r="L1958" s="88" t="n"/>
      <c r="M1958" s="88" t="n"/>
      <c r="N1958" s="89" t="n"/>
      <c r="O1958" s="88" t="n"/>
      <c r="P1958" s="88" t="n"/>
      <c r="Q1958" s="88" t="n"/>
      <c r="R1958" s="89" t="n"/>
      <c r="S1958" s="88" t="n"/>
      <c r="T1958" s="88" t="n"/>
      <c r="U1958" s="88" t="n"/>
      <c r="V1958" s="89" t="n"/>
      <c r="W1958" s="88" t="n"/>
      <c r="X1958" s="89" t="n"/>
      <c r="Y1958" s="88" t="n"/>
      <c r="Z1958" s="89" t="n"/>
      <c r="AB1958" s="25">
        <f>IF($B1958="","",(COUNTIF(C1958:E1958,"?*")&lt;N(INDEX(Setup!$L$6:$L$23,1)))+(COUNTIF(G1958:I1958,"?*")&lt;N(INDEX(Setup!$L$6:$L$23,1)))+(COUNTIF(K1958:M1958,"?*")&lt;N(INDEX(Setup!$L$6:$L$23,1)))+(COUNTIF(O1958:Q1958,"?*")&lt;N(INDEX(Setup!$L$6:$L$23,1)))+(COUNTIF(S1958:U1958,"?*")&lt;N(INDEX(Setup!$L$6:$L$23,1)))+((W1958="")*(INDEX(Setup!$M$6:$M$23,1)="Y"))+((Y1958="")*(INDEX(Setup!$M$6:$M$23,1)="Y")))</f>
        <v/>
      </c>
      <c r="AC1958" s="90">
        <f>IF($B1958="","",IF(AB1958=0,"✓ covered","⚠ "&amp;AB1958&amp;IF(AB1958=1," gap"," gaps")))</f>
        <v/>
      </c>
    </row>
    <row r="1959" ht="17" customHeight="1">
      <c r="A1959" t="n">
        <v>40</v>
      </c>
      <c r="B1959" s="29">
        <f>IF(Setup!$K$7="","",Setup!$K$7)</f>
        <v/>
      </c>
      <c r="C1959" s="88" t="n"/>
      <c r="D1959" s="88" t="n"/>
      <c r="E1959" s="88" t="n"/>
      <c r="F1959" s="89" t="n"/>
      <c r="G1959" s="88" t="n"/>
      <c r="H1959" s="88" t="n"/>
      <c r="I1959" s="88" t="n"/>
      <c r="J1959" s="89" t="n"/>
      <c r="K1959" s="88" t="n"/>
      <c r="L1959" s="88" t="n"/>
      <c r="M1959" s="88" t="n"/>
      <c r="N1959" s="89" t="n"/>
      <c r="O1959" s="88" t="n"/>
      <c r="P1959" s="88" t="n"/>
      <c r="Q1959" s="88" t="n"/>
      <c r="R1959" s="89" t="n"/>
      <c r="S1959" s="88" t="n"/>
      <c r="T1959" s="88" t="n"/>
      <c r="U1959" s="88" t="n"/>
      <c r="V1959" s="89" t="n"/>
      <c r="W1959" s="88" t="n"/>
      <c r="X1959" s="89" t="n"/>
      <c r="Y1959" s="88" t="n"/>
      <c r="Z1959" s="89" t="n"/>
      <c r="AB1959" s="30">
        <f>IF($B1959="","",(COUNTIF(C1959:E1959,"?*")&lt;N(INDEX(Setup!$L$6:$L$23,2)))+(COUNTIF(G1959:I1959,"?*")&lt;N(INDEX(Setup!$L$6:$L$23,2)))+(COUNTIF(K1959:M1959,"?*")&lt;N(INDEX(Setup!$L$6:$L$23,2)))+(COUNTIF(O1959:Q1959,"?*")&lt;N(INDEX(Setup!$L$6:$L$23,2)))+(COUNTIF(S1959:U1959,"?*")&lt;N(INDEX(Setup!$L$6:$L$23,2)))+((W1959="")*(INDEX(Setup!$M$6:$M$23,2)="Y"))+((Y1959="")*(INDEX(Setup!$M$6:$M$23,2)="Y")))</f>
        <v/>
      </c>
      <c r="AC1959" s="91">
        <f>IF($B1959="","",IF(AB1959=0,"✓ covered","⚠ "&amp;AB1959&amp;IF(AB1959=1," gap"," gaps")))</f>
        <v/>
      </c>
    </row>
    <row r="1960" ht="17" customHeight="1">
      <c r="A1960" t="n">
        <v>40</v>
      </c>
      <c r="B1960" s="24">
        <f>IF(Setup!$K$8="","",Setup!$K$8)</f>
        <v/>
      </c>
      <c r="C1960" s="88" t="n"/>
      <c r="D1960" s="88" t="n"/>
      <c r="E1960" s="88" t="n"/>
      <c r="F1960" s="89" t="n"/>
      <c r="G1960" s="88" t="n"/>
      <c r="H1960" s="88" t="n"/>
      <c r="I1960" s="88" t="n"/>
      <c r="J1960" s="89" t="n"/>
      <c r="K1960" s="88" t="n"/>
      <c r="L1960" s="88" t="n"/>
      <c r="M1960" s="88" t="n"/>
      <c r="N1960" s="89" t="n"/>
      <c r="O1960" s="88" t="n"/>
      <c r="P1960" s="88" t="n"/>
      <c r="Q1960" s="88" t="n"/>
      <c r="R1960" s="89" t="n"/>
      <c r="S1960" s="88" t="n"/>
      <c r="T1960" s="88" t="n"/>
      <c r="U1960" s="88" t="n"/>
      <c r="V1960" s="89" t="n"/>
      <c r="W1960" s="88" t="n"/>
      <c r="X1960" s="89" t="n"/>
      <c r="Y1960" s="88" t="n"/>
      <c r="Z1960" s="89" t="n"/>
      <c r="AB1960" s="25">
        <f>IF($B1960="","",(COUNTIF(C1960:E1960,"?*")&lt;N(INDEX(Setup!$L$6:$L$23,3)))+(COUNTIF(G1960:I1960,"?*")&lt;N(INDEX(Setup!$L$6:$L$23,3)))+(COUNTIF(K1960:M1960,"?*")&lt;N(INDEX(Setup!$L$6:$L$23,3)))+(COUNTIF(O1960:Q1960,"?*")&lt;N(INDEX(Setup!$L$6:$L$23,3)))+(COUNTIF(S1960:U1960,"?*")&lt;N(INDEX(Setup!$L$6:$L$23,3)))+((W1960="")*(INDEX(Setup!$M$6:$M$23,3)="Y"))+((Y1960="")*(INDEX(Setup!$M$6:$M$23,3)="Y")))</f>
        <v/>
      </c>
      <c r="AC1960" s="90">
        <f>IF($B1960="","",IF(AB1960=0,"✓ covered","⚠ "&amp;AB1960&amp;IF(AB1960=1," gap"," gaps")))</f>
        <v/>
      </c>
    </row>
    <row r="1961" ht="17" customHeight="1">
      <c r="A1961" t="n">
        <v>40</v>
      </c>
      <c r="B1961" s="29">
        <f>IF(Setup!$K$9="","",Setup!$K$9)</f>
        <v/>
      </c>
      <c r="C1961" s="88" t="n"/>
      <c r="D1961" s="88" t="n"/>
      <c r="E1961" s="88" t="n"/>
      <c r="F1961" s="89" t="n"/>
      <c r="G1961" s="88" t="n"/>
      <c r="H1961" s="88" t="n"/>
      <c r="I1961" s="88" t="n"/>
      <c r="J1961" s="89" t="n"/>
      <c r="K1961" s="88" t="n"/>
      <c r="L1961" s="88" t="n"/>
      <c r="M1961" s="88" t="n"/>
      <c r="N1961" s="89" t="n"/>
      <c r="O1961" s="88" t="n"/>
      <c r="P1961" s="88" t="n"/>
      <c r="Q1961" s="88" t="n"/>
      <c r="R1961" s="89" t="n"/>
      <c r="S1961" s="88" t="n"/>
      <c r="T1961" s="88" t="n"/>
      <c r="U1961" s="88" t="n"/>
      <c r="V1961" s="89" t="n"/>
      <c r="W1961" s="88" t="n"/>
      <c r="X1961" s="89" t="n"/>
      <c r="Y1961" s="88" t="n"/>
      <c r="Z1961" s="89" t="n"/>
      <c r="AB1961" s="30">
        <f>IF($B1961="","",(COUNTIF(C1961:E1961,"?*")&lt;N(INDEX(Setup!$L$6:$L$23,4)))+(COUNTIF(G1961:I1961,"?*")&lt;N(INDEX(Setup!$L$6:$L$23,4)))+(COUNTIF(K1961:M1961,"?*")&lt;N(INDEX(Setup!$L$6:$L$23,4)))+(COUNTIF(O1961:Q1961,"?*")&lt;N(INDEX(Setup!$L$6:$L$23,4)))+(COUNTIF(S1961:U1961,"?*")&lt;N(INDEX(Setup!$L$6:$L$23,4)))+((W1961="")*(INDEX(Setup!$M$6:$M$23,4)="Y"))+((Y1961="")*(INDEX(Setup!$M$6:$M$23,4)="Y")))</f>
        <v/>
      </c>
      <c r="AC1961" s="91">
        <f>IF($B1961="","",IF(AB1961=0,"✓ covered","⚠ "&amp;AB1961&amp;IF(AB1961=1," gap"," gaps")))</f>
        <v/>
      </c>
    </row>
    <row r="1962" ht="17" customHeight="1">
      <c r="A1962" t="n">
        <v>40</v>
      </c>
      <c r="B1962" s="24">
        <f>IF(Setup!$K$10="","",Setup!$K$10)</f>
        <v/>
      </c>
      <c r="C1962" s="88" t="n"/>
      <c r="D1962" s="88" t="n"/>
      <c r="E1962" s="88" t="n"/>
      <c r="F1962" s="89" t="n"/>
      <c r="G1962" s="88" t="n"/>
      <c r="H1962" s="88" t="n"/>
      <c r="I1962" s="88" t="n"/>
      <c r="J1962" s="89" t="n"/>
      <c r="K1962" s="88" t="n"/>
      <c r="L1962" s="88" t="n"/>
      <c r="M1962" s="88" t="n"/>
      <c r="N1962" s="89" t="n"/>
      <c r="O1962" s="88" t="n"/>
      <c r="P1962" s="88" t="n"/>
      <c r="Q1962" s="88" t="n"/>
      <c r="R1962" s="89" t="n"/>
      <c r="S1962" s="88" t="n"/>
      <c r="T1962" s="88" t="n"/>
      <c r="U1962" s="88" t="n"/>
      <c r="V1962" s="89" t="n"/>
      <c r="W1962" s="88" t="n"/>
      <c r="X1962" s="89" t="n"/>
      <c r="Y1962" s="88" t="n"/>
      <c r="Z1962" s="89" t="n"/>
      <c r="AB1962" s="25">
        <f>IF($B1962="","",(COUNTIF(C1962:E1962,"?*")&lt;N(INDEX(Setup!$L$6:$L$23,5)))+(COUNTIF(G1962:I1962,"?*")&lt;N(INDEX(Setup!$L$6:$L$23,5)))+(COUNTIF(K1962:M1962,"?*")&lt;N(INDEX(Setup!$L$6:$L$23,5)))+(COUNTIF(O1962:Q1962,"?*")&lt;N(INDEX(Setup!$L$6:$L$23,5)))+(COUNTIF(S1962:U1962,"?*")&lt;N(INDEX(Setup!$L$6:$L$23,5)))+((W1962="")*(INDEX(Setup!$M$6:$M$23,5)="Y"))+((Y1962="")*(INDEX(Setup!$M$6:$M$23,5)="Y")))</f>
        <v/>
      </c>
      <c r="AC1962" s="90">
        <f>IF($B1962="","",IF(AB1962=0,"✓ covered","⚠ "&amp;AB1962&amp;IF(AB1962=1," gap"," gaps")))</f>
        <v/>
      </c>
    </row>
    <row r="1963" ht="17" customHeight="1">
      <c r="A1963" t="n">
        <v>40</v>
      </c>
      <c r="B1963" s="29">
        <f>IF(Setup!$K$11="","",Setup!$K$11)</f>
        <v/>
      </c>
      <c r="C1963" s="88" t="n"/>
      <c r="D1963" s="88" t="n"/>
      <c r="E1963" s="88" t="n"/>
      <c r="F1963" s="89" t="n"/>
      <c r="G1963" s="88" t="n"/>
      <c r="H1963" s="88" t="n"/>
      <c r="I1963" s="88" t="n"/>
      <c r="J1963" s="89" t="n"/>
      <c r="K1963" s="88" t="n"/>
      <c r="L1963" s="88" t="n"/>
      <c r="M1963" s="88" t="n"/>
      <c r="N1963" s="89" t="n"/>
      <c r="O1963" s="88" t="n"/>
      <c r="P1963" s="88" t="n"/>
      <c r="Q1963" s="88" t="n"/>
      <c r="R1963" s="89" t="n"/>
      <c r="S1963" s="88" t="n"/>
      <c r="T1963" s="88" t="n"/>
      <c r="U1963" s="88" t="n"/>
      <c r="V1963" s="89" t="n"/>
      <c r="W1963" s="88" t="n"/>
      <c r="X1963" s="89" t="n"/>
      <c r="Y1963" s="88" t="n"/>
      <c r="Z1963" s="89" t="n"/>
      <c r="AB1963" s="30">
        <f>IF($B1963="","",(COUNTIF(C1963:E1963,"?*")&lt;N(INDEX(Setup!$L$6:$L$23,6)))+(COUNTIF(G1963:I1963,"?*")&lt;N(INDEX(Setup!$L$6:$L$23,6)))+(COUNTIF(K1963:M1963,"?*")&lt;N(INDEX(Setup!$L$6:$L$23,6)))+(COUNTIF(O1963:Q1963,"?*")&lt;N(INDEX(Setup!$L$6:$L$23,6)))+(COUNTIF(S1963:U1963,"?*")&lt;N(INDEX(Setup!$L$6:$L$23,6)))+((W1963="")*(INDEX(Setup!$M$6:$M$23,6)="Y"))+((Y1963="")*(INDEX(Setup!$M$6:$M$23,6)="Y")))</f>
        <v/>
      </c>
      <c r="AC1963" s="91">
        <f>IF($B1963="","",IF(AB1963=0,"✓ covered","⚠ "&amp;AB1963&amp;IF(AB1963=1," gap"," gaps")))</f>
        <v/>
      </c>
    </row>
    <row r="1964" ht="17" customHeight="1">
      <c r="A1964" t="n">
        <v>40</v>
      </c>
      <c r="B1964" s="24">
        <f>IF(Setup!$K$12="","",Setup!$K$12)</f>
        <v/>
      </c>
      <c r="C1964" s="88" t="n"/>
      <c r="D1964" s="88" t="n"/>
      <c r="E1964" s="88" t="n"/>
      <c r="F1964" s="89" t="n"/>
      <c r="G1964" s="88" t="n"/>
      <c r="H1964" s="88" t="n"/>
      <c r="I1964" s="88" t="n"/>
      <c r="J1964" s="89" t="n"/>
      <c r="K1964" s="88" t="n"/>
      <c r="L1964" s="88" t="n"/>
      <c r="M1964" s="88" t="n"/>
      <c r="N1964" s="89" t="n"/>
      <c r="O1964" s="88" t="n"/>
      <c r="P1964" s="88" t="n"/>
      <c r="Q1964" s="88" t="n"/>
      <c r="R1964" s="89" t="n"/>
      <c r="S1964" s="88" t="n"/>
      <c r="T1964" s="88" t="n"/>
      <c r="U1964" s="88" t="n"/>
      <c r="V1964" s="89" t="n"/>
      <c r="W1964" s="88" t="n"/>
      <c r="X1964" s="89" t="n"/>
      <c r="Y1964" s="88" t="n"/>
      <c r="Z1964" s="89" t="n"/>
      <c r="AB1964" s="25">
        <f>IF($B1964="","",(COUNTIF(C1964:E1964,"?*")&lt;N(INDEX(Setup!$L$6:$L$23,7)))+(COUNTIF(G1964:I1964,"?*")&lt;N(INDEX(Setup!$L$6:$L$23,7)))+(COUNTIF(K1964:M1964,"?*")&lt;N(INDEX(Setup!$L$6:$L$23,7)))+(COUNTIF(O1964:Q1964,"?*")&lt;N(INDEX(Setup!$L$6:$L$23,7)))+(COUNTIF(S1964:U1964,"?*")&lt;N(INDEX(Setup!$L$6:$L$23,7)))+((W1964="")*(INDEX(Setup!$M$6:$M$23,7)="Y"))+((Y1964="")*(INDEX(Setup!$M$6:$M$23,7)="Y")))</f>
        <v/>
      </c>
      <c r="AC1964" s="90">
        <f>IF($B1964="","",IF(AB1964=0,"✓ covered","⚠ "&amp;AB1964&amp;IF(AB1964=1," gap"," gaps")))</f>
        <v/>
      </c>
    </row>
    <row r="1965" ht="17" customHeight="1">
      <c r="A1965" t="n">
        <v>40</v>
      </c>
      <c r="B1965" s="29">
        <f>IF(Setup!$K$13="","",Setup!$K$13)</f>
        <v/>
      </c>
      <c r="C1965" s="88" t="n"/>
      <c r="D1965" s="88" t="n"/>
      <c r="E1965" s="88" t="n"/>
      <c r="F1965" s="89" t="n"/>
      <c r="G1965" s="88" t="n"/>
      <c r="H1965" s="88" t="n"/>
      <c r="I1965" s="88" t="n"/>
      <c r="J1965" s="89" t="n"/>
      <c r="K1965" s="88" t="n"/>
      <c r="L1965" s="88" t="n"/>
      <c r="M1965" s="88" t="n"/>
      <c r="N1965" s="89" t="n"/>
      <c r="O1965" s="88" t="n"/>
      <c r="P1965" s="88" t="n"/>
      <c r="Q1965" s="88" t="n"/>
      <c r="R1965" s="89" t="n"/>
      <c r="S1965" s="88" t="n"/>
      <c r="T1965" s="88" t="n"/>
      <c r="U1965" s="88" t="n"/>
      <c r="V1965" s="89" t="n"/>
      <c r="W1965" s="88" t="n"/>
      <c r="X1965" s="89" t="n"/>
      <c r="Y1965" s="88" t="n"/>
      <c r="Z1965" s="89" t="n"/>
      <c r="AB1965" s="30">
        <f>IF($B1965="","",(COUNTIF(C1965:E1965,"?*")&lt;N(INDEX(Setup!$L$6:$L$23,8)))+(COUNTIF(G1965:I1965,"?*")&lt;N(INDEX(Setup!$L$6:$L$23,8)))+(COUNTIF(K1965:M1965,"?*")&lt;N(INDEX(Setup!$L$6:$L$23,8)))+(COUNTIF(O1965:Q1965,"?*")&lt;N(INDEX(Setup!$L$6:$L$23,8)))+(COUNTIF(S1965:U1965,"?*")&lt;N(INDEX(Setup!$L$6:$L$23,8)))+((W1965="")*(INDEX(Setup!$M$6:$M$23,8)="Y"))+((Y1965="")*(INDEX(Setup!$M$6:$M$23,8)="Y")))</f>
        <v/>
      </c>
      <c r="AC1965" s="91">
        <f>IF($B1965="","",IF(AB1965=0,"✓ covered","⚠ "&amp;AB1965&amp;IF(AB1965=1," gap"," gaps")))</f>
        <v/>
      </c>
    </row>
    <row r="1966" ht="17" customHeight="1">
      <c r="A1966" t="n">
        <v>40</v>
      </c>
      <c r="B1966" s="24">
        <f>IF(Setup!$K$14="","",Setup!$K$14)</f>
        <v/>
      </c>
      <c r="C1966" s="88" t="n"/>
      <c r="D1966" s="88" t="n"/>
      <c r="E1966" s="88" t="n"/>
      <c r="F1966" s="89" t="n"/>
      <c r="G1966" s="88" t="n"/>
      <c r="H1966" s="88" t="n"/>
      <c r="I1966" s="88" t="n"/>
      <c r="J1966" s="89" t="n"/>
      <c r="K1966" s="88" t="n"/>
      <c r="L1966" s="88" t="n"/>
      <c r="M1966" s="88" t="n"/>
      <c r="N1966" s="89" t="n"/>
      <c r="O1966" s="88" t="n"/>
      <c r="P1966" s="88" t="n"/>
      <c r="Q1966" s="88" t="n"/>
      <c r="R1966" s="89" t="n"/>
      <c r="S1966" s="88" t="n"/>
      <c r="T1966" s="88" t="n"/>
      <c r="U1966" s="88" t="n"/>
      <c r="V1966" s="89" t="n"/>
      <c r="W1966" s="88" t="n"/>
      <c r="X1966" s="89" t="n"/>
      <c r="Y1966" s="88" t="n"/>
      <c r="Z1966" s="89" t="n"/>
      <c r="AB1966" s="25">
        <f>IF($B1966="","",(COUNTIF(C1966:E1966,"?*")&lt;N(INDEX(Setup!$L$6:$L$23,9)))+(COUNTIF(G1966:I1966,"?*")&lt;N(INDEX(Setup!$L$6:$L$23,9)))+(COUNTIF(K1966:M1966,"?*")&lt;N(INDEX(Setup!$L$6:$L$23,9)))+(COUNTIF(O1966:Q1966,"?*")&lt;N(INDEX(Setup!$L$6:$L$23,9)))+(COUNTIF(S1966:U1966,"?*")&lt;N(INDEX(Setup!$L$6:$L$23,9)))+((W1966="")*(INDEX(Setup!$M$6:$M$23,9)="Y"))+((Y1966="")*(INDEX(Setup!$M$6:$M$23,9)="Y")))</f>
        <v/>
      </c>
      <c r="AC1966" s="90">
        <f>IF($B1966="","",IF(AB1966=0,"✓ covered","⚠ "&amp;AB1966&amp;IF(AB1966=1," gap"," gaps")))</f>
        <v/>
      </c>
    </row>
    <row r="1967" ht="17" customHeight="1">
      <c r="A1967" t="n">
        <v>40</v>
      </c>
      <c r="B1967" s="29">
        <f>IF(Setup!$K$15="","",Setup!$K$15)</f>
        <v/>
      </c>
      <c r="C1967" s="88" t="n"/>
      <c r="D1967" s="88" t="n"/>
      <c r="E1967" s="88" t="n"/>
      <c r="F1967" s="89" t="n"/>
      <c r="G1967" s="88" t="n"/>
      <c r="H1967" s="88" t="n"/>
      <c r="I1967" s="88" t="n"/>
      <c r="J1967" s="89" t="n"/>
      <c r="K1967" s="88" t="n"/>
      <c r="L1967" s="88" t="n"/>
      <c r="M1967" s="88" t="n"/>
      <c r="N1967" s="89" t="n"/>
      <c r="O1967" s="88" t="n"/>
      <c r="P1967" s="88" t="n"/>
      <c r="Q1967" s="88" t="n"/>
      <c r="R1967" s="89" t="n"/>
      <c r="S1967" s="88" t="n"/>
      <c r="T1967" s="88" t="n"/>
      <c r="U1967" s="88" t="n"/>
      <c r="V1967" s="89" t="n"/>
      <c r="W1967" s="88" t="n"/>
      <c r="X1967" s="89" t="n"/>
      <c r="Y1967" s="88" t="n"/>
      <c r="Z1967" s="89" t="n"/>
      <c r="AB1967" s="30">
        <f>IF($B1967="","",(COUNTIF(C1967:E1967,"?*")&lt;N(INDEX(Setup!$L$6:$L$23,10)))+(COUNTIF(G1967:I1967,"?*")&lt;N(INDEX(Setup!$L$6:$L$23,10)))+(COUNTIF(K1967:M1967,"?*")&lt;N(INDEX(Setup!$L$6:$L$23,10)))+(COUNTIF(O1967:Q1967,"?*")&lt;N(INDEX(Setup!$L$6:$L$23,10)))+(COUNTIF(S1967:U1967,"?*")&lt;N(INDEX(Setup!$L$6:$L$23,10)))+((W1967="")*(INDEX(Setup!$M$6:$M$23,10)="Y"))+((Y1967="")*(INDEX(Setup!$M$6:$M$23,10)="Y")))</f>
        <v/>
      </c>
      <c r="AC1967" s="91">
        <f>IF($B1967="","",IF(AB1967=0,"✓ covered","⚠ "&amp;AB1967&amp;IF(AB1967=1," gap"," gaps")))</f>
        <v/>
      </c>
    </row>
    <row r="1968" ht="17" customHeight="1">
      <c r="A1968" t="n">
        <v>40</v>
      </c>
      <c r="B1968" s="24">
        <f>IF(Setup!$K$16="","",Setup!$K$16)</f>
        <v/>
      </c>
      <c r="C1968" s="88" t="n"/>
      <c r="D1968" s="88" t="n"/>
      <c r="E1968" s="88" t="n"/>
      <c r="F1968" s="89" t="n"/>
      <c r="G1968" s="88" t="n"/>
      <c r="H1968" s="88" t="n"/>
      <c r="I1968" s="88" t="n"/>
      <c r="J1968" s="89" t="n"/>
      <c r="K1968" s="88" t="n"/>
      <c r="L1968" s="88" t="n"/>
      <c r="M1968" s="88" t="n"/>
      <c r="N1968" s="89" t="n"/>
      <c r="O1968" s="88" t="n"/>
      <c r="P1968" s="88" t="n"/>
      <c r="Q1968" s="88" t="n"/>
      <c r="R1968" s="89" t="n"/>
      <c r="S1968" s="88" t="n"/>
      <c r="T1968" s="88" t="n"/>
      <c r="U1968" s="88" t="n"/>
      <c r="V1968" s="89" t="n"/>
      <c r="W1968" s="88" t="n"/>
      <c r="X1968" s="89" t="n"/>
      <c r="Y1968" s="88" t="n"/>
      <c r="Z1968" s="89" t="n"/>
      <c r="AB1968" s="25">
        <f>IF($B1968="","",(COUNTIF(C1968:E1968,"?*")&lt;N(INDEX(Setup!$L$6:$L$23,11)))+(COUNTIF(G1968:I1968,"?*")&lt;N(INDEX(Setup!$L$6:$L$23,11)))+(COUNTIF(K1968:M1968,"?*")&lt;N(INDEX(Setup!$L$6:$L$23,11)))+(COUNTIF(O1968:Q1968,"?*")&lt;N(INDEX(Setup!$L$6:$L$23,11)))+(COUNTIF(S1968:U1968,"?*")&lt;N(INDEX(Setup!$L$6:$L$23,11)))+((W1968="")*(INDEX(Setup!$M$6:$M$23,11)="Y"))+((Y1968="")*(INDEX(Setup!$M$6:$M$23,11)="Y")))</f>
        <v/>
      </c>
      <c r="AC1968" s="90">
        <f>IF($B1968="","",IF(AB1968=0,"✓ covered","⚠ "&amp;AB1968&amp;IF(AB1968=1," gap"," gaps")))</f>
        <v/>
      </c>
    </row>
    <row r="1969" ht="17" customHeight="1">
      <c r="A1969" t="n">
        <v>40</v>
      </c>
      <c r="B1969" s="29">
        <f>IF(Setup!$K$17="","",Setup!$K$17)</f>
        <v/>
      </c>
      <c r="C1969" s="88" t="n"/>
      <c r="D1969" s="88" t="n"/>
      <c r="E1969" s="88" t="n"/>
      <c r="F1969" s="89" t="n"/>
      <c r="G1969" s="88" t="n"/>
      <c r="H1969" s="88" t="n"/>
      <c r="I1969" s="88" t="n"/>
      <c r="J1969" s="89" t="n"/>
      <c r="K1969" s="88" t="n"/>
      <c r="L1969" s="88" t="n"/>
      <c r="M1969" s="88" t="n"/>
      <c r="N1969" s="89" t="n"/>
      <c r="O1969" s="88" t="n"/>
      <c r="P1969" s="88" t="n"/>
      <c r="Q1969" s="88" t="n"/>
      <c r="R1969" s="89" t="n"/>
      <c r="S1969" s="88" t="n"/>
      <c r="T1969" s="88" t="n"/>
      <c r="U1969" s="88" t="n"/>
      <c r="V1969" s="89" t="n"/>
      <c r="W1969" s="88" t="n"/>
      <c r="X1969" s="89" t="n"/>
      <c r="Y1969" s="88" t="n"/>
      <c r="Z1969" s="89" t="n"/>
      <c r="AB1969" s="30">
        <f>IF($B1969="","",(COUNTIF(C1969:E1969,"?*")&lt;N(INDEX(Setup!$L$6:$L$23,12)))+(COUNTIF(G1969:I1969,"?*")&lt;N(INDEX(Setup!$L$6:$L$23,12)))+(COUNTIF(K1969:M1969,"?*")&lt;N(INDEX(Setup!$L$6:$L$23,12)))+(COUNTIF(O1969:Q1969,"?*")&lt;N(INDEX(Setup!$L$6:$L$23,12)))+(COUNTIF(S1969:U1969,"?*")&lt;N(INDEX(Setup!$L$6:$L$23,12)))+((W1969="")*(INDEX(Setup!$M$6:$M$23,12)="Y"))+((Y1969="")*(INDEX(Setup!$M$6:$M$23,12)="Y")))</f>
        <v/>
      </c>
      <c r="AC1969" s="91">
        <f>IF($B1969="","",IF(AB1969=0,"✓ covered","⚠ "&amp;AB1969&amp;IF(AB1969=1," gap"," gaps")))</f>
        <v/>
      </c>
    </row>
    <row r="1970" ht="17" customHeight="1">
      <c r="A1970" t="n">
        <v>40</v>
      </c>
      <c r="B1970" s="24">
        <f>IF(Setup!$K$18="","",Setup!$K$18)</f>
        <v/>
      </c>
      <c r="C1970" s="88" t="n"/>
      <c r="D1970" s="88" t="n"/>
      <c r="E1970" s="88" t="n"/>
      <c r="F1970" s="89" t="n"/>
      <c r="G1970" s="88" t="n"/>
      <c r="H1970" s="88" t="n"/>
      <c r="I1970" s="88" t="n"/>
      <c r="J1970" s="89" t="n"/>
      <c r="K1970" s="88" t="n"/>
      <c r="L1970" s="88" t="n"/>
      <c r="M1970" s="88" t="n"/>
      <c r="N1970" s="89" t="n"/>
      <c r="O1970" s="88" t="n"/>
      <c r="P1970" s="88" t="n"/>
      <c r="Q1970" s="88" t="n"/>
      <c r="R1970" s="89" t="n"/>
      <c r="S1970" s="88" t="n"/>
      <c r="T1970" s="88" t="n"/>
      <c r="U1970" s="88" t="n"/>
      <c r="V1970" s="89" t="n"/>
      <c r="W1970" s="88" t="n"/>
      <c r="X1970" s="89" t="n"/>
      <c r="Y1970" s="88" t="n"/>
      <c r="Z1970" s="89" t="n"/>
      <c r="AB1970" s="25">
        <f>IF($B1970="","",(COUNTIF(C1970:E1970,"?*")&lt;N(INDEX(Setup!$L$6:$L$23,13)))+(COUNTIF(G1970:I1970,"?*")&lt;N(INDEX(Setup!$L$6:$L$23,13)))+(COUNTIF(K1970:M1970,"?*")&lt;N(INDEX(Setup!$L$6:$L$23,13)))+(COUNTIF(O1970:Q1970,"?*")&lt;N(INDEX(Setup!$L$6:$L$23,13)))+(COUNTIF(S1970:U1970,"?*")&lt;N(INDEX(Setup!$L$6:$L$23,13)))+((W1970="")*(INDEX(Setup!$M$6:$M$23,13)="Y"))+((Y1970="")*(INDEX(Setup!$M$6:$M$23,13)="Y")))</f>
        <v/>
      </c>
      <c r="AC1970" s="90">
        <f>IF($B1970="","",IF(AB1970=0,"✓ covered","⚠ "&amp;AB1970&amp;IF(AB1970=1," gap"," gaps")))</f>
        <v/>
      </c>
    </row>
    <row r="1971" ht="17" customHeight="1">
      <c r="A1971" t="n">
        <v>40</v>
      </c>
      <c r="B1971" s="29">
        <f>IF(Setup!$K$19="","",Setup!$K$19)</f>
        <v/>
      </c>
      <c r="C1971" s="88" t="n"/>
      <c r="D1971" s="88" t="n"/>
      <c r="E1971" s="88" t="n"/>
      <c r="F1971" s="89" t="n"/>
      <c r="G1971" s="88" t="n"/>
      <c r="H1971" s="88" t="n"/>
      <c r="I1971" s="88" t="n"/>
      <c r="J1971" s="89" t="n"/>
      <c r="K1971" s="88" t="n"/>
      <c r="L1971" s="88" t="n"/>
      <c r="M1971" s="88" t="n"/>
      <c r="N1971" s="89" t="n"/>
      <c r="O1971" s="88" t="n"/>
      <c r="P1971" s="88" t="n"/>
      <c r="Q1971" s="88" t="n"/>
      <c r="R1971" s="89" t="n"/>
      <c r="S1971" s="88" t="n"/>
      <c r="T1971" s="88" t="n"/>
      <c r="U1971" s="88" t="n"/>
      <c r="V1971" s="89" t="n"/>
      <c r="W1971" s="88" t="n"/>
      <c r="X1971" s="89" t="n"/>
      <c r="Y1971" s="88" t="n"/>
      <c r="Z1971" s="89" t="n"/>
      <c r="AB1971" s="30">
        <f>IF($B1971="","",(COUNTIF(C1971:E1971,"?*")&lt;N(INDEX(Setup!$L$6:$L$23,14)))+(COUNTIF(G1971:I1971,"?*")&lt;N(INDEX(Setup!$L$6:$L$23,14)))+(COUNTIF(K1971:M1971,"?*")&lt;N(INDEX(Setup!$L$6:$L$23,14)))+(COUNTIF(O1971:Q1971,"?*")&lt;N(INDEX(Setup!$L$6:$L$23,14)))+(COUNTIF(S1971:U1971,"?*")&lt;N(INDEX(Setup!$L$6:$L$23,14)))+((W1971="")*(INDEX(Setup!$M$6:$M$23,14)="Y"))+((Y1971="")*(INDEX(Setup!$M$6:$M$23,14)="Y")))</f>
        <v/>
      </c>
      <c r="AC1971" s="91">
        <f>IF($B1971="","",IF(AB1971=0,"✓ covered","⚠ "&amp;AB1971&amp;IF(AB1971=1," gap"," gaps")))</f>
        <v/>
      </c>
    </row>
    <row r="1972" ht="17" customHeight="1">
      <c r="A1972" t="n">
        <v>40</v>
      </c>
      <c r="B1972" s="24">
        <f>IF(Setup!$K$20="","",Setup!$K$20)</f>
        <v/>
      </c>
      <c r="C1972" s="88" t="n"/>
      <c r="D1972" s="88" t="n"/>
      <c r="E1972" s="88" t="n"/>
      <c r="F1972" s="89" t="n"/>
      <c r="G1972" s="88" t="n"/>
      <c r="H1972" s="88" t="n"/>
      <c r="I1972" s="88" t="n"/>
      <c r="J1972" s="89" t="n"/>
      <c r="K1972" s="88" t="n"/>
      <c r="L1972" s="88" t="n"/>
      <c r="M1972" s="88" t="n"/>
      <c r="N1972" s="89" t="n"/>
      <c r="O1972" s="88" t="n"/>
      <c r="P1972" s="88" t="n"/>
      <c r="Q1972" s="88" t="n"/>
      <c r="R1972" s="89" t="n"/>
      <c r="S1972" s="88" t="n"/>
      <c r="T1972" s="88" t="n"/>
      <c r="U1972" s="88" t="n"/>
      <c r="V1972" s="89" t="n"/>
      <c r="W1972" s="88" t="n"/>
      <c r="X1972" s="89" t="n"/>
      <c r="Y1972" s="88" t="n"/>
      <c r="Z1972" s="89" t="n"/>
      <c r="AB1972" s="25">
        <f>IF($B1972="","",(COUNTIF(C1972:E1972,"?*")&lt;N(INDEX(Setup!$L$6:$L$23,15)))+(COUNTIF(G1972:I1972,"?*")&lt;N(INDEX(Setup!$L$6:$L$23,15)))+(COUNTIF(K1972:M1972,"?*")&lt;N(INDEX(Setup!$L$6:$L$23,15)))+(COUNTIF(O1972:Q1972,"?*")&lt;N(INDEX(Setup!$L$6:$L$23,15)))+(COUNTIF(S1972:U1972,"?*")&lt;N(INDEX(Setup!$L$6:$L$23,15)))+((W1972="")*(INDEX(Setup!$M$6:$M$23,15)="Y"))+((Y1972="")*(INDEX(Setup!$M$6:$M$23,15)="Y")))</f>
        <v/>
      </c>
      <c r="AC1972" s="90">
        <f>IF($B1972="","",IF(AB1972=0,"✓ covered","⚠ "&amp;AB1972&amp;IF(AB1972=1," gap"," gaps")))</f>
        <v/>
      </c>
    </row>
    <row r="1973" ht="17" customHeight="1">
      <c r="A1973" t="n">
        <v>40</v>
      </c>
      <c r="B1973" s="29">
        <f>IF(Setup!$K$21="","",Setup!$K$21)</f>
        <v/>
      </c>
      <c r="C1973" s="88" t="n"/>
      <c r="D1973" s="88" t="n"/>
      <c r="E1973" s="88" t="n"/>
      <c r="F1973" s="89" t="n"/>
      <c r="G1973" s="88" t="n"/>
      <c r="H1973" s="88" t="n"/>
      <c r="I1973" s="88" t="n"/>
      <c r="J1973" s="89" t="n"/>
      <c r="K1973" s="88" t="n"/>
      <c r="L1973" s="88" t="n"/>
      <c r="M1973" s="88" t="n"/>
      <c r="N1973" s="89" t="n"/>
      <c r="O1973" s="88" t="n"/>
      <c r="P1973" s="88" t="n"/>
      <c r="Q1973" s="88" t="n"/>
      <c r="R1973" s="89" t="n"/>
      <c r="S1973" s="88" t="n"/>
      <c r="T1973" s="88" t="n"/>
      <c r="U1973" s="88" t="n"/>
      <c r="V1973" s="89" t="n"/>
      <c r="W1973" s="88" t="n"/>
      <c r="X1973" s="89" t="n"/>
      <c r="Y1973" s="88" t="n"/>
      <c r="Z1973" s="89" t="n"/>
      <c r="AB1973" s="30">
        <f>IF($B1973="","",(COUNTIF(C1973:E1973,"?*")&lt;N(INDEX(Setup!$L$6:$L$23,16)))+(COUNTIF(G1973:I1973,"?*")&lt;N(INDEX(Setup!$L$6:$L$23,16)))+(COUNTIF(K1973:M1973,"?*")&lt;N(INDEX(Setup!$L$6:$L$23,16)))+(COUNTIF(O1973:Q1973,"?*")&lt;N(INDEX(Setup!$L$6:$L$23,16)))+(COUNTIF(S1973:U1973,"?*")&lt;N(INDEX(Setup!$L$6:$L$23,16)))+((W1973="")*(INDEX(Setup!$M$6:$M$23,16)="Y"))+((Y1973="")*(INDEX(Setup!$M$6:$M$23,16)="Y")))</f>
        <v/>
      </c>
      <c r="AC1973" s="91">
        <f>IF($B1973="","",IF(AB1973=0,"✓ covered","⚠ "&amp;AB1973&amp;IF(AB1973=1," gap"," gaps")))</f>
        <v/>
      </c>
    </row>
    <row r="1974" ht="17" customHeight="1">
      <c r="A1974" t="n">
        <v>40</v>
      </c>
      <c r="B1974" s="24">
        <f>IF(Setup!$K$22="","",Setup!$K$22)</f>
        <v/>
      </c>
      <c r="C1974" s="88" t="n"/>
      <c r="D1974" s="88" t="n"/>
      <c r="E1974" s="88" t="n"/>
      <c r="F1974" s="89" t="n"/>
      <c r="G1974" s="88" t="n"/>
      <c r="H1974" s="88" t="n"/>
      <c r="I1974" s="88" t="n"/>
      <c r="J1974" s="89" t="n"/>
      <c r="K1974" s="88" t="n"/>
      <c r="L1974" s="88" t="n"/>
      <c r="M1974" s="88" t="n"/>
      <c r="N1974" s="89" t="n"/>
      <c r="O1974" s="88" t="n"/>
      <c r="P1974" s="88" t="n"/>
      <c r="Q1974" s="88" t="n"/>
      <c r="R1974" s="89" t="n"/>
      <c r="S1974" s="88" t="n"/>
      <c r="T1974" s="88" t="n"/>
      <c r="U1974" s="88" t="n"/>
      <c r="V1974" s="89" t="n"/>
      <c r="W1974" s="88" t="n"/>
      <c r="X1974" s="89" t="n"/>
      <c r="Y1974" s="88" t="n"/>
      <c r="Z1974" s="89" t="n"/>
      <c r="AB1974" s="25">
        <f>IF($B1974="","",(COUNTIF(C1974:E1974,"?*")&lt;N(INDEX(Setup!$L$6:$L$23,17)))+(COUNTIF(G1974:I1974,"?*")&lt;N(INDEX(Setup!$L$6:$L$23,17)))+(COUNTIF(K1974:M1974,"?*")&lt;N(INDEX(Setup!$L$6:$L$23,17)))+(COUNTIF(O1974:Q1974,"?*")&lt;N(INDEX(Setup!$L$6:$L$23,17)))+(COUNTIF(S1974:U1974,"?*")&lt;N(INDEX(Setup!$L$6:$L$23,17)))+((W1974="")*(INDEX(Setup!$M$6:$M$23,17)="Y"))+((Y1974="")*(INDEX(Setup!$M$6:$M$23,17)="Y")))</f>
        <v/>
      </c>
      <c r="AC1974" s="90">
        <f>IF($B1974="","",IF(AB1974=0,"✓ covered","⚠ "&amp;AB1974&amp;IF(AB1974=1," gap"," gaps")))</f>
        <v/>
      </c>
    </row>
    <row r="1975" ht="17" customHeight="1">
      <c r="A1975" t="n">
        <v>40</v>
      </c>
      <c r="B1975" s="29">
        <f>IF(Setup!$K$23="","",Setup!$K$23)</f>
        <v/>
      </c>
      <c r="C1975" s="88" t="n"/>
      <c r="D1975" s="88" t="n"/>
      <c r="E1975" s="88" t="n"/>
      <c r="F1975" s="89" t="n"/>
      <c r="G1975" s="88" t="n"/>
      <c r="H1975" s="88" t="n"/>
      <c r="I1975" s="88" t="n"/>
      <c r="J1975" s="89" t="n"/>
      <c r="K1975" s="88" t="n"/>
      <c r="L1975" s="88" t="n"/>
      <c r="M1975" s="88" t="n"/>
      <c r="N1975" s="89" t="n"/>
      <c r="O1975" s="88" t="n"/>
      <c r="P1975" s="88" t="n"/>
      <c r="Q1975" s="88" t="n"/>
      <c r="R1975" s="89" t="n"/>
      <c r="S1975" s="88" t="n"/>
      <c r="T1975" s="88" t="n"/>
      <c r="U1975" s="88" t="n"/>
      <c r="V1975" s="89" t="n"/>
      <c r="W1975" s="88" t="n"/>
      <c r="X1975" s="89" t="n"/>
      <c r="Y1975" s="88" t="n"/>
      <c r="Z1975" s="89" t="n"/>
      <c r="AB1975" s="30">
        <f>IF($B1975="","",(COUNTIF(C1975:E1975,"?*")&lt;N(INDEX(Setup!$L$6:$L$23,18)))+(COUNTIF(G1975:I1975,"?*")&lt;N(INDEX(Setup!$L$6:$L$23,18)))+(COUNTIF(K1975:M1975,"?*")&lt;N(INDEX(Setup!$L$6:$L$23,18)))+(COUNTIF(O1975:Q1975,"?*")&lt;N(INDEX(Setup!$L$6:$L$23,18)))+(COUNTIF(S1975:U1975,"?*")&lt;N(INDEX(Setup!$L$6:$L$23,18)))+((W1975="")*(INDEX(Setup!$M$6:$M$23,18)="Y"))+((Y1975="")*(INDEX(Setup!$M$6:$M$23,18)="Y")))</f>
        <v/>
      </c>
      <c r="AC1975" s="91">
        <f>IF($B1975="","",IF(AB1975=0,"✓ covered","⚠ "&amp;AB1975&amp;IF(AB1975=1," gap"," gaps")))</f>
        <v/>
      </c>
    </row>
    <row r="1976" ht="18" customHeight="1">
      <c r="A1976" t="n">
        <v>40</v>
      </c>
      <c r="B1976" s="78" t="inlineStr">
        <is>
          <t>TEAM AVAILABILITY</t>
        </is>
      </c>
      <c r="C1976" s="92" t="inlineStr">
        <is>
          <t>Mon</t>
        </is>
      </c>
      <c r="D1976" s="93" t="n"/>
      <c r="E1976" s="93" t="n"/>
      <c r="F1976" s="94" t="n"/>
      <c r="G1976" s="92" t="inlineStr">
        <is>
          <t>Tue</t>
        </is>
      </c>
      <c r="H1976" s="93" t="n"/>
      <c r="I1976" s="93" t="n"/>
      <c r="J1976" s="94" t="n"/>
      <c r="K1976" s="92" t="inlineStr">
        <is>
          <t>Wed</t>
        </is>
      </c>
      <c r="L1976" s="93" t="n"/>
      <c r="M1976" s="93" t="n"/>
      <c r="N1976" s="94" t="n"/>
      <c r="O1976" s="92" t="inlineStr">
        <is>
          <t>Thu</t>
        </is>
      </c>
      <c r="P1976" s="93" t="n"/>
      <c r="Q1976" s="93" t="n"/>
      <c r="R1976" s="94" t="n"/>
      <c r="S1976" s="92" t="inlineStr">
        <is>
          <t>Fri</t>
        </is>
      </c>
      <c r="T1976" s="93" t="n"/>
      <c r="U1976" s="93" t="n"/>
      <c r="V1976" s="94" t="n"/>
      <c r="W1976" s="95" t="inlineStr">
        <is>
          <t>Sat</t>
        </is>
      </c>
      <c r="X1976" s="96" t="n"/>
      <c r="Y1976" s="95" t="inlineStr">
        <is>
          <t>Sun</t>
        </is>
      </c>
      <c r="Z1976" s="96" t="n"/>
      <c r="AB1976" s="97" t="inlineStr">
        <is>
          <t>Days rostered</t>
        </is>
      </c>
      <c r="AC1976" s="97" t="inlineStr">
        <is>
          <t>Conflicts</t>
        </is>
      </c>
    </row>
    <row r="1977" ht="15" customHeight="1">
      <c r="A1977" t="n">
        <v>40</v>
      </c>
      <c r="B1977" s="35">
        <f>IF(Setup!$B$6="","",Setup!$B$6)</f>
        <v/>
      </c>
      <c r="C1977" s="98" t="n"/>
      <c r="D1977" s="99" t="n"/>
      <c r="E1977" s="99" t="n"/>
      <c r="F1977" s="100" t="n"/>
      <c r="G1977" s="98" t="n"/>
      <c r="H1977" s="99" t="n"/>
      <c r="I1977" s="99" t="n"/>
      <c r="J1977" s="100" t="n"/>
      <c r="K1977" s="98" t="n"/>
      <c r="L1977" s="99" t="n"/>
      <c r="M1977" s="99" t="n"/>
      <c r="N1977" s="100" t="n"/>
      <c r="O1977" s="98" t="n"/>
      <c r="P1977" s="99" t="n"/>
      <c r="Q1977" s="99" t="n"/>
      <c r="R1977" s="100" t="n"/>
      <c r="S1977" s="98" t="n"/>
      <c r="T1977" s="99" t="n"/>
      <c r="U1977" s="99" t="n"/>
      <c r="V1977" s="100" t="n"/>
      <c r="W1977" s="98" t="n"/>
      <c r="X1977" s="100" t="n"/>
      <c r="Y1977" s="98" t="n"/>
      <c r="Z1977" s="100" t="n"/>
      <c r="AB1977" s="101">
        <f>IF($B1977="","",(COUNTIF(C1958:E1975,$B1977)+COUNTIF(C1958:E1975,$B1977&amp;" ~*")&gt;0)+(COUNTIF(G1958:I1975,$B1977)+COUNTIF(G1958:I1975,$B1977&amp;" ~*")&gt;0)+(COUNTIF(K1958:M1975,$B1977)+COUNTIF(K1958:M1975,$B1977&amp;" ~*")&gt;0)+(COUNTIF(O1958:Q1975,$B1977)+COUNTIF(O1958:Q1975,$B1977&amp;" ~*")&gt;0)+(COUNTIF(S1958:U1975,$B1977)+COUNTIF(S1958:U1975,$B1977&amp;" ~*")&gt;0)+(COUNTIF(W1958:W1975,$B1977)+COUNTIF(W1958:W1975,$B1977&amp;" ~*")&gt;0)+(COUNTIF(Y1958:Y1975,$B1977)+COUNTIF(Y1958:Y1975,$B1977&amp;" ~*")&gt;0))</f>
        <v/>
      </c>
      <c r="AC1977" s="36">
        <f>IF($B1977="","",(IFERROR(INDEX(Setup!$G$33:$G$40,MATCH(C1977,Setup!$B$33:$B$40,0)),0)=1)*(COUNTIF(C1958:E1975,$B1977)+COUNTIF(C1958:E1975,$B1977&amp;" ~*")&gt;0)+(IFERROR(INDEX(Setup!$G$33:$G$40,MATCH(G1977,Setup!$B$33:$B$40,0)),0)=1)*(COUNTIF(G1958:I1975,$B1977)+COUNTIF(G1958:I1975,$B1977&amp;" ~*")&gt;0)+(IFERROR(INDEX(Setup!$G$33:$G$40,MATCH(K1977,Setup!$B$33:$B$40,0)),0)=1)*(COUNTIF(K1958:M1975,$B1977)+COUNTIF(K1958:M1975,$B1977&amp;" ~*")&gt;0)+(IFERROR(INDEX(Setup!$G$33:$G$40,MATCH(O1977,Setup!$B$33:$B$40,0)),0)=1)*(COUNTIF(O1958:Q1975,$B1977)+COUNTIF(O1958:Q1975,$B1977&amp;" ~*")&gt;0)+(IFERROR(INDEX(Setup!$G$33:$G$40,MATCH(S1977,Setup!$B$33:$B$40,0)),0)=1)*(COUNTIF(S1958:U1975,$B1977)+COUNTIF(S1958:U1975,$B1977&amp;" ~*")&gt;0)+(IFERROR(INDEX(Setup!$G$33:$G$40,MATCH(W1977,Setup!$B$33:$B$40,0)),0)=1)*(COUNTIF(W1958:W1975,$B1977)+COUNTIF(W1958:W1975,$B1977&amp;" ~*")&gt;0)+(IFERROR(INDEX(Setup!$G$33:$G$40,MATCH(Y1977,Setup!$B$33:$B$40,0)),0)=1)*(COUNTIF(Y1958:Y1975,$B1977)+COUNTIF(Y1958:Y1975,$B1977&amp;" ~*")&gt;0))</f>
        <v/>
      </c>
    </row>
    <row r="1978" ht="15" customHeight="1">
      <c r="A1978" t="n">
        <v>40</v>
      </c>
      <c r="B1978" s="37">
        <f>IF(Setup!$B$7="","",Setup!$B$7)</f>
        <v/>
      </c>
      <c r="C1978" s="102" t="n"/>
      <c r="D1978" s="103" t="n"/>
      <c r="E1978" s="103" t="n"/>
      <c r="F1978" s="104" t="n"/>
      <c r="G1978" s="102" t="n"/>
      <c r="H1978" s="103" t="n"/>
      <c r="I1978" s="103" t="n"/>
      <c r="J1978" s="104" t="n"/>
      <c r="K1978" s="102" t="n"/>
      <c r="L1978" s="103" t="n"/>
      <c r="M1978" s="103" t="n"/>
      <c r="N1978" s="104" t="n"/>
      <c r="O1978" s="102" t="n"/>
      <c r="P1978" s="103" t="n"/>
      <c r="Q1978" s="103" t="n"/>
      <c r="R1978" s="104" t="n"/>
      <c r="S1978" s="102" t="n"/>
      <c r="T1978" s="103" t="n"/>
      <c r="U1978" s="103" t="n"/>
      <c r="V1978" s="104" t="n"/>
      <c r="W1978" s="102" t="n"/>
      <c r="X1978" s="104" t="n"/>
      <c r="Y1978" s="102" t="n"/>
      <c r="Z1978" s="104" t="n"/>
      <c r="AB1978" s="105">
        <f>IF($B1978="","",(COUNTIF(C1958:E1975,$B1978)+COUNTIF(C1958:E1975,$B1978&amp;" ~*")&gt;0)+(COUNTIF(G1958:I1975,$B1978)+COUNTIF(G1958:I1975,$B1978&amp;" ~*")&gt;0)+(COUNTIF(K1958:M1975,$B1978)+COUNTIF(K1958:M1975,$B1978&amp;" ~*")&gt;0)+(COUNTIF(O1958:Q1975,$B1978)+COUNTIF(O1958:Q1975,$B1978&amp;" ~*")&gt;0)+(COUNTIF(S1958:U1975,$B1978)+COUNTIF(S1958:U1975,$B1978&amp;" ~*")&gt;0)+(COUNTIF(W1958:W1975,$B1978)+COUNTIF(W1958:W1975,$B1978&amp;" ~*")&gt;0)+(COUNTIF(Y1958:Y1975,$B1978)+COUNTIF(Y1958:Y1975,$B1978&amp;" ~*")&gt;0))</f>
        <v/>
      </c>
      <c r="AC1978" s="38">
        <f>IF($B1978="","",(IFERROR(INDEX(Setup!$G$33:$G$40,MATCH(C1978,Setup!$B$33:$B$40,0)),0)=1)*(COUNTIF(C1958:E1975,$B1978)+COUNTIF(C1958:E1975,$B1978&amp;" ~*")&gt;0)+(IFERROR(INDEX(Setup!$G$33:$G$40,MATCH(G1978,Setup!$B$33:$B$40,0)),0)=1)*(COUNTIF(G1958:I1975,$B1978)+COUNTIF(G1958:I1975,$B1978&amp;" ~*")&gt;0)+(IFERROR(INDEX(Setup!$G$33:$G$40,MATCH(K1978,Setup!$B$33:$B$40,0)),0)=1)*(COUNTIF(K1958:M1975,$B1978)+COUNTIF(K1958:M1975,$B1978&amp;" ~*")&gt;0)+(IFERROR(INDEX(Setup!$G$33:$G$40,MATCH(O1978,Setup!$B$33:$B$40,0)),0)=1)*(COUNTIF(O1958:Q1975,$B1978)+COUNTIF(O1958:Q1975,$B1978&amp;" ~*")&gt;0)+(IFERROR(INDEX(Setup!$G$33:$G$40,MATCH(S1978,Setup!$B$33:$B$40,0)),0)=1)*(COUNTIF(S1958:U1975,$B1978)+COUNTIF(S1958:U1975,$B1978&amp;" ~*")&gt;0)+(IFERROR(INDEX(Setup!$G$33:$G$40,MATCH(W1978,Setup!$B$33:$B$40,0)),0)=1)*(COUNTIF(W1958:W1975,$B1978)+COUNTIF(W1958:W1975,$B1978&amp;" ~*")&gt;0)+(IFERROR(INDEX(Setup!$G$33:$G$40,MATCH(Y1978,Setup!$B$33:$B$40,0)),0)=1)*(COUNTIF(Y1958:Y1975,$B1978)+COUNTIF(Y1958:Y1975,$B1978&amp;" ~*")&gt;0))</f>
        <v/>
      </c>
    </row>
    <row r="1979" ht="15" customHeight="1">
      <c r="A1979" t="n">
        <v>40</v>
      </c>
      <c r="B1979" s="35">
        <f>IF(Setup!$B$8="","",Setup!$B$8)</f>
        <v/>
      </c>
      <c r="C1979" s="98" t="n"/>
      <c r="D1979" s="99" t="n"/>
      <c r="E1979" s="99" t="n"/>
      <c r="F1979" s="100" t="n"/>
      <c r="G1979" s="98" t="n"/>
      <c r="H1979" s="99" t="n"/>
      <c r="I1979" s="99" t="n"/>
      <c r="J1979" s="100" t="n"/>
      <c r="K1979" s="98" t="n"/>
      <c r="L1979" s="99" t="n"/>
      <c r="M1979" s="99" t="n"/>
      <c r="N1979" s="100" t="n"/>
      <c r="O1979" s="98" t="n"/>
      <c r="P1979" s="99" t="n"/>
      <c r="Q1979" s="99" t="n"/>
      <c r="R1979" s="100" t="n"/>
      <c r="S1979" s="98" t="n"/>
      <c r="T1979" s="99" t="n"/>
      <c r="U1979" s="99" t="n"/>
      <c r="V1979" s="100" t="n"/>
      <c r="W1979" s="98" t="n"/>
      <c r="X1979" s="100" t="n"/>
      <c r="Y1979" s="98" t="n"/>
      <c r="Z1979" s="100" t="n"/>
      <c r="AB1979" s="101">
        <f>IF($B1979="","",(COUNTIF(C1958:E1975,$B1979)+COUNTIF(C1958:E1975,$B1979&amp;" ~*")&gt;0)+(COUNTIF(G1958:I1975,$B1979)+COUNTIF(G1958:I1975,$B1979&amp;" ~*")&gt;0)+(COUNTIF(K1958:M1975,$B1979)+COUNTIF(K1958:M1975,$B1979&amp;" ~*")&gt;0)+(COUNTIF(O1958:Q1975,$B1979)+COUNTIF(O1958:Q1975,$B1979&amp;" ~*")&gt;0)+(COUNTIF(S1958:U1975,$B1979)+COUNTIF(S1958:U1975,$B1979&amp;" ~*")&gt;0)+(COUNTIF(W1958:W1975,$B1979)+COUNTIF(W1958:W1975,$B1979&amp;" ~*")&gt;0)+(COUNTIF(Y1958:Y1975,$B1979)+COUNTIF(Y1958:Y1975,$B1979&amp;" ~*")&gt;0))</f>
        <v/>
      </c>
      <c r="AC1979" s="36">
        <f>IF($B1979="","",(IFERROR(INDEX(Setup!$G$33:$G$40,MATCH(C1979,Setup!$B$33:$B$40,0)),0)=1)*(COUNTIF(C1958:E1975,$B1979)+COUNTIF(C1958:E1975,$B1979&amp;" ~*")&gt;0)+(IFERROR(INDEX(Setup!$G$33:$G$40,MATCH(G1979,Setup!$B$33:$B$40,0)),0)=1)*(COUNTIF(G1958:I1975,$B1979)+COUNTIF(G1958:I1975,$B1979&amp;" ~*")&gt;0)+(IFERROR(INDEX(Setup!$G$33:$G$40,MATCH(K1979,Setup!$B$33:$B$40,0)),0)=1)*(COUNTIF(K1958:M1975,$B1979)+COUNTIF(K1958:M1975,$B1979&amp;" ~*")&gt;0)+(IFERROR(INDEX(Setup!$G$33:$G$40,MATCH(O1979,Setup!$B$33:$B$40,0)),0)=1)*(COUNTIF(O1958:Q1975,$B1979)+COUNTIF(O1958:Q1975,$B1979&amp;" ~*")&gt;0)+(IFERROR(INDEX(Setup!$G$33:$G$40,MATCH(S1979,Setup!$B$33:$B$40,0)),0)=1)*(COUNTIF(S1958:U1975,$B1979)+COUNTIF(S1958:U1975,$B1979&amp;" ~*")&gt;0)+(IFERROR(INDEX(Setup!$G$33:$G$40,MATCH(W1979,Setup!$B$33:$B$40,0)),0)=1)*(COUNTIF(W1958:W1975,$B1979)+COUNTIF(W1958:W1975,$B1979&amp;" ~*")&gt;0)+(IFERROR(INDEX(Setup!$G$33:$G$40,MATCH(Y1979,Setup!$B$33:$B$40,0)),0)=1)*(COUNTIF(Y1958:Y1975,$B1979)+COUNTIF(Y1958:Y1975,$B1979&amp;" ~*")&gt;0))</f>
        <v/>
      </c>
    </row>
    <row r="1980" ht="15" customHeight="1">
      <c r="A1980" t="n">
        <v>40</v>
      </c>
      <c r="B1980" s="37">
        <f>IF(Setup!$B$9="","",Setup!$B$9)</f>
        <v/>
      </c>
      <c r="C1980" s="102" t="n"/>
      <c r="D1980" s="103" t="n"/>
      <c r="E1980" s="103" t="n"/>
      <c r="F1980" s="104" t="n"/>
      <c r="G1980" s="102" t="n"/>
      <c r="H1980" s="103" t="n"/>
      <c r="I1980" s="103" t="n"/>
      <c r="J1980" s="104" t="n"/>
      <c r="K1980" s="102" t="n"/>
      <c r="L1980" s="103" t="n"/>
      <c r="M1980" s="103" t="n"/>
      <c r="N1980" s="104" t="n"/>
      <c r="O1980" s="102" t="n"/>
      <c r="P1980" s="103" t="n"/>
      <c r="Q1980" s="103" t="n"/>
      <c r="R1980" s="104" t="n"/>
      <c r="S1980" s="102" t="n"/>
      <c r="T1980" s="103" t="n"/>
      <c r="U1980" s="103" t="n"/>
      <c r="V1980" s="104" t="n"/>
      <c r="W1980" s="102" t="n"/>
      <c r="X1980" s="104" t="n"/>
      <c r="Y1980" s="102" t="n"/>
      <c r="Z1980" s="104" t="n"/>
      <c r="AB1980" s="105">
        <f>IF($B1980="","",(COUNTIF(C1958:E1975,$B1980)+COUNTIF(C1958:E1975,$B1980&amp;" ~*")&gt;0)+(COUNTIF(G1958:I1975,$B1980)+COUNTIF(G1958:I1975,$B1980&amp;" ~*")&gt;0)+(COUNTIF(K1958:M1975,$B1980)+COUNTIF(K1958:M1975,$B1980&amp;" ~*")&gt;0)+(COUNTIF(O1958:Q1975,$B1980)+COUNTIF(O1958:Q1975,$B1980&amp;" ~*")&gt;0)+(COUNTIF(S1958:U1975,$B1980)+COUNTIF(S1958:U1975,$B1980&amp;" ~*")&gt;0)+(COUNTIF(W1958:W1975,$B1980)+COUNTIF(W1958:W1975,$B1980&amp;" ~*")&gt;0)+(COUNTIF(Y1958:Y1975,$B1980)+COUNTIF(Y1958:Y1975,$B1980&amp;" ~*")&gt;0))</f>
        <v/>
      </c>
      <c r="AC1980" s="38">
        <f>IF($B1980="","",(IFERROR(INDEX(Setup!$G$33:$G$40,MATCH(C1980,Setup!$B$33:$B$40,0)),0)=1)*(COUNTIF(C1958:E1975,$B1980)+COUNTIF(C1958:E1975,$B1980&amp;" ~*")&gt;0)+(IFERROR(INDEX(Setup!$G$33:$G$40,MATCH(G1980,Setup!$B$33:$B$40,0)),0)=1)*(COUNTIF(G1958:I1975,$B1980)+COUNTIF(G1958:I1975,$B1980&amp;" ~*")&gt;0)+(IFERROR(INDEX(Setup!$G$33:$G$40,MATCH(K1980,Setup!$B$33:$B$40,0)),0)=1)*(COUNTIF(K1958:M1975,$B1980)+COUNTIF(K1958:M1975,$B1980&amp;" ~*")&gt;0)+(IFERROR(INDEX(Setup!$G$33:$G$40,MATCH(O1980,Setup!$B$33:$B$40,0)),0)=1)*(COUNTIF(O1958:Q1975,$B1980)+COUNTIF(O1958:Q1975,$B1980&amp;" ~*")&gt;0)+(IFERROR(INDEX(Setup!$G$33:$G$40,MATCH(S1980,Setup!$B$33:$B$40,0)),0)=1)*(COUNTIF(S1958:U1975,$B1980)+COUNTIF(S1958:U1975,$B1980&amp;" ~*")&gt;0)+(IFERROR(INDEX(Setup!$G$33:$G$40,MATCH(W1980,Setup!$B$33:$B$40,0)),0)=1)*(COUNTIF(W1958:W1975,$B1980)+COUNTIF(W1958:W1975,$B1980&amp;" ~*")&gt;0)+(IFERROR(INDEX(Setup!$G$33:$G$40,MATCH(Y1980,Setup!$B$33:$B$40,0)),0)=1)*(COUNTIF(Y1958:Y1975,$B1980)+COUNTIF(Y1958:Y1975,$B1980&amp;" ~*")&gt;0))</f>
        <v/>
      </c>
    </row>
    <row r="1981" ht="15" customHeight="1">
      <c r="A1981" t="n">
        <v>40</v>
      </c>
      <c r="B1981" s="35">
        <f>IF(Setup!$B$10="","",Setup!$B$10)</f>
        <v/>
      </c>
      <c r="C1981" s="98" t="n"/>
      <c r="D1981" s="99" t="n"/>
      <c r="E1981" s="99" t="n"/>
      <c r="F1981" s="100" t="n"/>
      <c r="G1981" s="98" t="n"/>
      <c r="H1981" s="99" t="n"/>
      <c r="I1981" s="99" t="n"/>
      <c r="J1981" s="100" t="n"/>
      <c r="K1981" s="98" t="n"/>
      <c r="L1981" s="99" t="n"/>
      <c r="M1981" s="99" t="n"/>
      <c r="N1981" s="100" t="n"/>
      <c r="O1981" s="98" t="n"/>
      <c r="P1981" s="99" t="n"/>
      <c r="Q1981" s="99" t="n"/>
      <c r="R1981" s="100" t="n"/>
      <c r="S1981" s="98" t="n"/>
      <c r="T1981" s="99" t="n"/>
      <c r="U1981" s="99" t="n"/>
      <c r="V1981" s="100" t="n"/>
      <c r="W1981" s="98" t="n"/>
      <c r="X1981" s="100" t="n"/>
      <c r="Y1981" s="98" t="n"/>
      <c r="Z1981" s="100" t="n"/>
      <c r="AB1981" s="101">
        <f>IF($B1981="","",(COUNTIF(C1958:E1975,$B1981)+COUNTIF(C1958:E1975,$B1981&amp;" ~*")&gt;0)+(COUNTIF(G1958:I1975,$B1981)+COUNTIF(G1958:I1975,$B1981&amp;" ~*")&gt;0)+(COUNTIF(K1958:M1975,$B1981)+COUNTIF(K1958:M1975,$B1981&amp;" ~*")&gt;0)+(COUNTIF(O1958:Q1975,$B1981)+COUNTIF(O1958:Q1975,$B1981&amp;" ~*")&gt;0)+(COUNTIF(S1958:U1975,$B1981)+COUNTIF(S1958:U1975,$B1981&amp;" ~*")&gt;0)+(COUNTIF(W1958:W1975,$B1981)+COUNTIF(W1958:W1975,$B1981&amp;" ~*")&gt;0)+(COUNTIF(Y1958:Y1975,$B1981)+COUNTIF(Y1958:Y1975,$B1981&amp;" ~*")&gt;0))</f>
        <v/>
      </c>
      <c r="AC1981" s="36">
        <f>IF($B1981="","",(IFERROR(INDEX(Setup!$G$33:$G$40,MATCH(C1981,Setup!$B$33:$B$40,0)),0)=1)*(COUNTIF(C1958:E1975,$B1981)+COUNTIF(C1958:E1975,$B1981&amp;" ~*")&gt;0)+(IFERROR(INDEX(Setup!$G$33:$G$40,MATCH(G1981,Setup!$B$33:$B$40,0)),0)=1)*(COUNTIF(G1958:I1975,$B1981)+COUNTIF(G1958:I1975,$B1981&amp;" ~*")&gt;0)+(IFERROR(INDEX(Setup!$G$33:$G$40,MATCH(K1981,Setup!$B$33:$B$40,0)),0)=1)*(COUNTIF(K1958:M1975,$B1981)+COUNTIF(K1958:M1975,$B1981&amp;" ~*")&gt;0)+(IFERROR(INDEX(Setup!$G$33:$G$40,MATCH(O1981,Setup!$B$33:$B$40,0)),0)=1)*(COUNTIF(O1958:Q1975,$B1981)+COUNTIF(O1958:Q1975,$B1981&amp;" ~*")&gt;0)+(IFERROR(INDEX(Setup!$G$33:$G$40,MATCH(S1981,Setup!$B$33:$B$40,0)),0)=1)*(COUNTIF(S1958:U1975,$B1981)+COUNTIF(S1958:U1975,$B1981&amp;" ~*")&gt;0)+(IFERROR(INDEX(Setup!$G$33:$G$40,MATCH(W1981,Setup!$B$33:$B$40,0)),0)=1)*(COUNTIF(W1958:W1975,$B1981)+COUNTIF(W1958:W1975,$B1981&amp;" ~*")&gt;0)+(IFERROR(INDEX(Setup!$G$33:$G$40,MATCH(Y1981,Setup!$B$33:$B$40,0)),0)=1)*(COUNTIF(Y1958:Y1975,$B1981)+COUNTIF(Y1958:Y1975,$B1981&amp;" ~*")&gt;0))</f>
        <v/>
      </c>
    </row>
    <row r="1982" ht="15" customHeight="1">
      <c r="A1982" t="n">
        <v>40</v>
      </c>
      <c r="B1982" s="37">
        <f>IF(Setup!$B$11="","",Setup!$B$11)</f>
        <v/>
      </c>
      <c r="C1982" s="102" t="n"/>
      <c r="D1982" s="103" t="n"/>
      <c r="E1982" s="103" t="n"/>
      <c r="F1982" s="104" t="n"/>
      <c r="G1982" s="102" t="n"/>
      <c r="H1982" s="103" t="n"/>
      <c r="I1982" s="103" t="n"/>
      <c r="J1982" s="104" t="n"/>
      <c r="K1982" s="102" t="n"/>
      <c r="L1982" s="103" t="n"/>
      <c r="M1982" s="103" t="n"/>
      <c r="N1982" s="104" t="n"/>
      <c r="O1982" s="102" t="n"/>
      <c r="P1982" s="103" t="n"/>
      <c r="Q1982" s="103" t="n"/>
      <c r="R1982" s="104" t="n"/>
      <c r="S1982" s="102" t="n"/>
      <c r="T1982" s="103" t="n"/>
      <c r="U1982" s="103" t="n"/>
      <c r="V1982" s="104" t="n"/>
      <c r="W1982" s="102" t="n"/>
      <c r="X1982" s="104" t="n"/>
      <c r="Y1982" s="102" t="n"/>
      <c r="Z1982" s="104" t="n"/>
      <c r="AB1982" s="105">
        <f>IF($B1982="","",(COUNTIF(C1958:E1975,$B1982)+COUNTIF(C1958:E1975,$B1982&amp;" ~*")&gt;0)+(COUNTIF(G1958:I1975,$B1982)+COUNTIF(G1958:I1975,$B1982&amp;" ~*")&gt;0)+(COUNTIF(K1958:M1975,$B1982)+COUNTIF(K1958:M1975,$B1982&amp;" ~*")&gt;0)+(COUNTIF(O1958:Q1975,$B1982)+COUNTIF(O1958:Q1975,$B1982&amp;" ~*")&gt;0)+(COUNTIF(S1958:U1975,$B1982)+COUNTIF(S1958:U1975,$B1982&amp;" ~*")&gt;0)+(COUNTIF(W1958:W1975,$B1982)+COUNTIF(W1958:W1975,$B1982&amp;" ~*")&gt;0)+(COUNTIF(Y1958:Y1975,$B1982)+COUNTIF(Y1958:Y1975,$B1982&amp;" ~*")&gt;0))</f>
        <v/>
      </c>
      <c r="AC1982" s="38">
        <f>IF($B1982="","",(IFERROR(INDEX(Setup!$G$33:$G$40,MATCH(C1982,Setup!$B$33:$B$40,0)),0)=1)*(COUNTIF(C1958:E1975,$B1982)+COUNTIF(C1958:E1975,$B1982&amp;" ~*")&gt;0)+(IFERROR(INDEX(Setup!$G$33:$G$40,MATCH(G1982,Setup!$B$33:$B$40,0)),0)=1)*(COUNTIF(G1958:I1975,$B1982)+COUNTIF(G1958:I1975,$B1982&amp;" ~*")&gt;0)+(IFERROR(INDEX(Setup!$G$33:$G$40,MATCH(K1982,Setup!$B$33:$B$40,0)),0)=1)*(COUNTIF(K1958:M1975,$B1982)+COUNTIF(K1958:M1975,$B1982&amp;" ~*")&gt;0)+(IFERROR(INDEX(Setup!$G$33:$G$40,MATCH(O1982,Setup!$B$33:$B$40,0)),0)=1)*(COUNTIF(O1958:Q1975,$B1982)+COUNTIF(O1958:Q1975,$B1982&amp;" ~*")&gt;0)+(IFERROR(INDEX(Setup!$G$33:$G$40,MATCH(S1982,Setup!$B$33:$B$40,0)),0)=1)*(COUNTIF(S1958:U1975,$B1982)+COUNTIF(S1958:U1975,$B1982&amp;" ~*")&gt;0)+(IFERROR(INDEX(Setup!$G$33:$G$40,MATCH(W1982,Setup!$B$33:$B$40,0)),0)=1)*(COUNTIF(W1958:W1975,$B1982)+COUNTIF(W1958:W1975,$B1982&amp;" ~*")&gt;0)+(IFERROR(INDEX(Setup!$G$33:$G$40,MATCH(Y1982,Setup!$B$33:$B$40,0)),0)=1)*(COUNTIF(Y1958:Y1975,$B1982)+COUNTIF(Y1958:Y1975,$B1982&amp;" ~*")&gt;0))</f>
        <v/>
      </c>
    </row>
    <row r="1983" ht="15" customHeight="1">
      <c r="A1983" t="n">
        <v>40</v>
      </c>
      <c r="B1983" s="35">
        <f>IF(Setup!$B$12="","",Setup!$B$12)</f>
        <v/>
      </c>
      <c r="C1983" s="98" t="n"/>
      <c r="D1983" s="99" t="n"/>
      <c r="E1983" s="99" t="n"/>
      <c r="F1983" s="100" t="n"/>
      <c r="G1983" s="98" t="n"/>
      <c r="H1983" s="99" t="n"/>
      <c r="I1983" s="99" t="n"/>
      <c r="J1983" s="100" t="n"/>
      <c r="K1983" s="98" t="n"/>
      <c r="L1983" s="99" t="n"/>
      <c r="M1983" s="99" t="n"/>
      <c r="N1983" s="100" t="n"/>
      <c r="O1983" s="98" t="n"/>
      <c r="P1983" s="99" t="n"/>
      <c r="Q1983" s="99" t="n"/>
      <c r="R1983" s="100" t="n"/>
      <c r="S1983" s="98" t="n"/>
      <c r="T1983" s="99" t="n"/>
      <c r="U1983" s="99" t="n"/>
      <c r="V1983" s="100" t="n"/>
      <c r="W1983" s="98" t="n"/>
      <c r="X1983" s="100" t="n"/>
      <c r="Y1983" s="98" t="n"/>
      <c r="Z1983" s="100" t="n"/>
      <c r="AB1983" s="101">
        <f>IF($B1983="","",(COUNTIF(C1958:E1975,$B1983)+COUNTIF(C1958:E1975,$B1983&amp;" ~*")&gt;0)+(COUNTIF(G1958:I1975,$B1983)+COUNTIF(G1958:I1975,$B1983&amp;" ~*")&gt;0)+(COUNTIF(K1958:M1975,$B1983)+COUNTIF(K1958:M1975,$B1983&amp;" ~*")&gt;0)+(COUNTIF(O1958:Q1975,$B1983)+COUNTIF(O1958:Q1975,$B1983&amp;" ~*")&gt;0)+(COUNTIF(S1958:U1975,$B1983)+COUNTIF(S1958:U1975,$B1983&amp;" ~*")&gt;0)+(COUNTIF(W1958:W1975,$B1983)+COUNTIF(W1958:W1975,$B1983&amp;" ~*")&gt;0)+(COUNTIF(Y1958:Y1975,$B1983)+COUNTIF(Y1958:Y1975,$B1983&amp;" ~*")&gt;0))</f>
        <v/>
      </c>
      <c r="AC1983" s="36">
        <f>IF($B1983="","",(IFERROR(INDEX(Setup!$G$33:$G$40,MATCH(C1983,Setup!$B$33:$B$40,0)),0)=1)*(COUNTIF(C1958:E1975,$B1983)+COUNTIF(C1958:E1975,$B1983&amp;" ~*")&gt;0)+(IFERROR(INDEX(Setup!$G$33:$G$40,MATCH(G1983,Setup!$B$33:$B$40,0)),0)=1)*(COUNTIF(G1958:I1975,$B1983)+COUNTIF(G1958:I1975,$B1983&amp;" ~*")&gt;0)+(IFERROR(INDEX(Setup!$G$33:$G$40,MATCH(K1983,Setup!$B$33:$B$40,0)),0)=1)*(COUNTIF(K1958:M1975,$B1983)+COUNTIF(K1958:M1975,$B1983&amp;" ~*")&gt;0)+(IFERROR(INDEX(Setup!$G$33:$G$40,MATCH(O1983,Setup!$B$33:$B$40,0)),0)=1)*(COUNTIF(O1958:Q1975,$B1983)+COUNTIF(O1958:Q1975,$B1983&amp;" ~*")&gt;0)+(IFERROR(INDEX(Setup!$G$33:$G$40,MATCH(S1983,Setup!$B$33:$B$40,0)),0)=1)*(COUNTIF(S1958:U1975,$B1983)+COUNTIF(S1958:U1975,$B1983&amp;" ~*")&gt;0)+(IFERROR(INDEX(Setup!$G$33:$G$40,MATCH(W1983,Setup!$B$33:$B$40,0)),0)=1)*(COUNTIF(W1958:W1975,$B1983)+COUNTIF(W1958:W1975,$B1983&amp;" ~*")&gt;0)+(IFERROR(INDEX(Setup!$G$33:$G$40,MATCH(Y1983,Setup!$B$33:$B$40,0)),0)=1)*(COUNTIF(Y1958:Y1975,$B1983)+COUNTIF(Y1958:Y1975,$B1983&amp;" ~*")&gt;0))</f>
        <v/>
      </c>
    </row>
    <row r="1984" ht="15" customHeight="1">
      <c r="A1984" t="n">
        <v>40</v>
      </c>
      <c r="B1984" s="37">
        <f>IF(Setup!$B$13="","",Setup!$B$13)</f>
        <v/>
      </c>
      <c r="C1984" s="102" t="n"/>
      <c r="D1984" s="103" t="n"/>
      <c r="E1984" s="103" t="n"/>
      <c r="F1984" s="104" t="n"/>
      <c r="G1984" s="102" t="n"/>
      <c r="H1984" s="103" t="n"/>
      <c r="I1984" s="103" t="n"/>
      <c r="J1984" s="104" t="n"/>
      <c r="K1984" s="102" t="n"/>
      <c r="L1984" s="103" t="n"/>
      <c r="M1984" s="103" t="n"/>
      <c r="N1984" s="104" t="n"/>
      <c r="O1984" s="102" t="n"/>
      <c r="P1984" s="103" t="n"/>
      <c r="Q1984" s="103" t="n"/>
      <c r="R1984" s="104" t="n"/>
      <c r="S1984" s="102" t="n"/>
      <c r="T1984" s="103" t="n"/>
      <c r="U1984" s="103" t="n"/>
      <c r="V1984" s="104" t="n"/>
      <c r="W1984" s="102" t="n"/>
      <c r="X1984" s="104" t="n"/>
      <c r="Y1984" s="102" t="n"/>
      <c r="Z1984" s="104" t="n"/>
      <c r="AB1984" s="105">
        <f>IF($B1984="","",(COUNTIF(C1958:E1975,$B1984)+COUNTIF(C1958:E1975,$B1984&amp;" ~*")&gt;0)+(COUNTIF(G1958:I1975,$B1984)+COUNTIF(G1958:I1975,$B1984&amp;" ~*")&gt;0)+(COUNTIF(K1958:M1975,$B1984)+COUNTIF(K1958:M1975,$B1984&amp;" ~*")&gt;0)+(COUNTIF(O1958:Q1975,$B1984)+COUNTIF(O1958:Q1975,$B1984&amp;" ~*")&gt;0)+(COUNTIF(S1958:U1975,$B1984)+COUNTIF(S1958:U1975,$B1984&amp;" ~*")&gt;0)+(COUNTIF(W1958:W1975,$B1984)+COUNTIF(W1958:W1975,$B1984&amp;" ~*")&gt;0)+(COUNTIF(Y1958:Y1975,$B1984)+COUNTIF(Y1958:Y1975,$B1984&amp;" ~*")&gt;0))</f>
        <v/>
      </c>
      <c r="AC1984" s="38">
        <f>IF($B1984="","",(IFERROR(INDEX(Setup!$G$33:$G$40,MATCH(C1984,Setup!$B$33:$B$40,0)),0)=1)*(COUNTIF(C1958:E1975,$B1984)+COUNTIF(C1958:E1975,$B1984&amp;" ~*")&gt;0)+(IFERROR(INDEX(Setup!$G$33:$G$40,MATCH(G1984,Setup!$B$33:$B$40,0)),0)=1)*(COUNTIF(G1958:I1975,$B1984)+COUNTIF(G1958:I1975,$B1984&amp;" ~*")&gt;0)+(IFERROR(INDEX(Setup!$G$33:$G$40,MATCH(K1984,Setup!$B$33:$B$40,0)),0)=1)*(COUNTIF(K1958:M1975,$B1984)+COUNTIF(K1958:M1975,$B1984&amp;" ~*")&gt;0)+(IFERROR(INDEX(Setup!$G$33:$G$40,MATCH(O1984,Setup!$B$33:$B$40,0)),0)=1)*(COUNTIF(O1958:Q1975,$B1984)+COUNTIF(O1958:Q1975,$B1984&amp;" ~*")&gt;0)+(IFERROR(INDEX(Setup!$G$33:$G$40,MATCH(S1984,Setup!$B$33:$B$40,0)),0)=1)*(COUNTIF(S1958:U1975,$B1984)+COUNTIF(S1958:U1975,$B1984&amp;" ~*")&gt;0)+(IFERROR(INDEX(Setup!$G$33:$G$40,MATCH(W1984,Setup!$B$33:$B$40,0)),0)=1)*(COUNTIF(W1958:W1975,$B1984)+COUNTIF(W1958:W1975,$B1984&amp;" ~*")&gt;0)+(IFERROR(INDEX(Setup!$G$33:$G$40,MATCH(Y1984,Setup!$B$33:$B$40,0)),0)=1)*(COUNTIF(Y1958:Y1975,$B1984)+COUNTIF(Y1958:Y1975,$B1984&amp;" ~*")&gt;0))</f>
        <v/>
      </c>
    </row>
    <row r="1985" ht="15" customHeight="1">
      <c r="A1985" t="n">
        <v>40</v>
      </c>
      <c r="B1985" s="35">
        <f>IF(Setup!$B$14="","",Setup!$B$14)</f>
        <v/>
      </c>
      <c r="C1985" s="98" t="n"/>
      <c r="D1985" s="99" t="n"/>
      <c r="E1985" s="99" t="n"/>
      <c r="F1985" s="100" t="n"/>
      <c r="G1985" s="98" t="n"/>
      <c r="H1985" s="99" t="n"/>
      <c r="I1985" s="99" t="n"/>
      <c r="J1985" s="100" t="n"/>
      <c r="K1985" s="98" t="n"/>
      <c r="L1985" s="99" t="n"/>
      <c r="M1985" s="99" t="n"/>
      <c r="N1985" s="100" t="n"/>
      <c r="O1985" s="98" t="n"/>
      <c r="P1985" s="99" t="n"/>
      <c r="Q1985" s="99" t="n"/>
      <c r="R1985" s="100" t="n"/>
      <c r="S1985" s="98" t="n"/>
      <c r="T1985" s="99" t="n"/>
      <c r="U1985" s="99" t="n"/>
      <c r="V1985" s="100" t="n"/>
      <c r="W1985" s="98" t="n"/>
      <c r="X1985" s="100" t="n"/>
      <c r="Y1985" s="98" t="n"/>
      <c r="Z1985" s="100" t="n"/>
      <c r="AB1985" s="101">
        <f>IF($B1985="","",(COUNTIF(C1958:E1975,$B1985)+COUNTIF(C1958:E1975,$B1985&amp;" ~*")&gt;0)+(COUNTIF(G1958:I1975,$B1985)+COUNTIF(G1958:I1975,$B1985&amp;" ~*")&gt;0)+(COUNTIF(K1958:M1975,$B1985)+COUNTIF(K1958:M1975,$B1985&amp;" ~*")&gt;0)+(COUNTIF(O1958:Q1975,$B1985)+COUNTIF(O1958:Q1975,$B1985&amp;" ~*")&gt;0)+(COUNTIF(S1958:U1975,$B1985)+COUNTIF(S1958:U1975,$B1985&amp;" ~*")&gt;0)+(COUNTIF(W1958:W1975,$B1985)+COUNTIF(W1958:W1975,$B1985&amp;" ~*")&gt;0)+(COUNTIF(Y1958:Y1975,$B1985)+COUNTIF(Y1958:Y1975,$B1985&amp;" ~*")&gt;0))</f>
        <v/>
      </c>
      <c r="AC1985" s="36">
        <f>IF($B1985="","",(IFERROR(INDEX(Setup!$G$33:$G$40,MATCH(C1985,Setup!$B$33:$B$40,0)),0)=1)*(COUNTIF(C1958:E1975,$B1985)+COUNTIF(C1958:E1975,$B1985&amp;" ~*")&gt;0)+(IFERROR(INDEX(Setup!$G$33:$G$40,MATCH(G1985,Setup!$B$33:$B$40,0)),0)=1)*(COUNTIF(G1958:I1975,$B1985)+COUNTIF(G1958:I1975,$B1985&amp;" ~*")&gt;0)+(IFERROR(INDEX(Setup!$G$33:$G$40,MATCH(K1985,Setup!$B$33:$B$40,0)),0)=1)*(COUNTIF(K1958:M1975,$B1985)+COUNTIF(K1958:M1975,$B1985&amp;" ~*")&gt;0)+(IFERROR(INDEX(Setup!$G$33:$G$40,MATCH(O1985,Setup!$B$33:$B$40,0)),0)=1)*(COUNTIF(O1958:Q1975,$B1985)+COUNTIF(O1958:Q1975,$B1985&amp;" ~*")&gt;0)+(IFERROR(INDEX(Setup!$G$33:$G$40,MATCH(S1985,Setup!$B$33:$B$40,0)),0)=1)*(COUNTIF(S1958:U1975,$B1985)+COUNTIF(S1958:U1975,$B1985&amp;" ~*")&gt;0)+(IFERROR(INDEX(Setup!$G$33:$G$40,MATCH(W1985,Setup!$B$33:$B$40,0)),0)=1)*(COUNTIF(W1958:W1975,$B1985)+COUNTIF(W1958:W1975,$B1985&amp;" ~*")&gt;0)+(IFERROR(INDEX(Setup!$G$33:$G$40,MATCH(Y1985,Setup!$B$33:$B$40,0)),0)=1)*(COUNTIF(Y1958:Y1975,$B1985)+COUNTIF(Y1958:Y1975,$B1985&amp;" ~*")&gt;0))</f>
        <v/>
      </c>
    </row>
    <row r="1986" ht="15" customHeight="1">
      <c r="A1986" t="n">
        <v>40</v>
      </c>
      <c r="B1986" s="37">
        <f>IF(Setup!$B$15="","",Setup!$B$15)</f>
        <v/>
      </c>
      <c r="C1986" s="102" t="n"/>
      <c r="D1986" s="103" t="n"/>
      <c r="E1986" s="103" t="n"/>
      <c r="F1986" s="104" t="n"/>
      <c r="G1986" s="102" t="n"/>
      <c r="H1986" s="103" t="n"/>
      <c r="I1986" s="103" t="n"/>
      <c r="J1986" s="104" t="n"/>
      <c r="K1986" s="102" t="n"/>
      <c r="L1986" s="103" t="n"/>
      <c r="M1986" s="103" t="n"/>
      <c r="N1986" s="104" t="n"/>
      <c r="O1986" s="102" t="n"/>
      <c r="P1986" s="103" t="n"/>
      <c r="Q1986" s="103" t="n"/>
      <c r="R1986" s="104" t="n"/>
      <c r="S1986" s="102" t="n"/>
      <c r="T1986" s="103" t="n"/>
      <c r="U1986" s="103" t="n"/>
      <c r="V1986" s="104" t="n"/>
      <c r="W1986" s="102" t="n"/>
      <c r="X1986" s="104" t="n"/>
      <c r="Y1986" s="102" t="n"/>
      <c r="Z1986" s="104" t="n"/>
      <c r="AB1986" s="105">
        <f>IF($B1986="","",(COUNTIF(C1958:E1975,$B1986)+COUNTIF(C1958:E1975,$B1986&amp;" ~*")&gt;0)+(COUNTIF(G1958:I1975,$B1986)+COUNTIF(G1958:I1975,$B1986&amp;" ~*")&gt;0)+(COUNTIF(K1958:M1975,$B1986)+COUNTIF(K1958:M1975,$B1986&amp;" ~*")&gt;0)+(COUNTIF(O1958:Q1975,$B1986)+COUNTIF(O1958:Q1975,$B1986&amp;" ~*")&gt;0)+(COUNTIF(S1958:U1975,$B1986)+COUNTIF(S1958:U1975,$B1986&amp;" ~*")&gt;0)+(COUNTIF(W1958:W1975,$B1986)+COUNTIF(W1958:W1975,$B1986&amp;" ~*")&gt;0)+(COUNTIF(Y1958:Y1975,$B1986)+COUNTIF(Y1958:Y1975,$B1986&amp;" ~*")&gt;0))</f>
        <v/>
      </c>
      <c r="AC1986" s="38">
        <f>IF($B1986="","",(IFERROR(INDEX(Setup!$G$33:$G$40,MATCH(C1986,Setup!$B$33:$B$40,0)),0)=1)*(COUNTIF(C1958:E1975,$B1986)+COUNTIF(C1958:E1975,$B1986&amp;" ~*")&gt;0)+(IFERROR(INDEX(Setup!$G$33:$G$40,MATCH(G1986,Setup!$B$33:$B$40,0)),0)=1)*(COUNTIF(G1958:I1975,$B1986)+COUNTIF(G1958:I1975,$B1986&amp;" ~*")&gt;0)+(IFERROR(INDEX(Setup!$G$33:$G$40,MATCH(K1986,Setup!$B$33:$B$40,0)),0)=1)*(COUNTIF(K1958:M1975,$B1986)+COUNTIF(K1958:M1975,$B1986&amp;" ~*")&gt;0)+(IFERROR(INDEX(Setup!$G$33:$G$40,MATCH(O1986,Setup!$B$33:$B$40,0)),0)=1)*(COUNTIF(O1958:Q1975,$B1986)+COUNTIF(O1958:Q1975,$B1986&amp;" ~*")&gt;0)+(IFERROR(INDEX(Setup!$G$33:$G$40,MATCH(S1986,Setup!$B$33:$B$40,0)),0)=1)*(COUNTIF(S1958:U1975,$B1986)+COUNTIF(S1958:U1975,$B1986&amp;" ~*")&gt;0)+(IFERROR(INDEX(Setup!$G$33:$G$40,MATCH(W1986,Setup!$B$33:$B$40,0)),0)=1)*(COUNTIF(W1958:W1975,$B1986)+COUNTIF(W1958:W1975,$B1986&amp;" ~*")&gt;0)+(IFERROR(INDEX(Setup!$G$33:$G$40,MATCH(Y1986,Setup!$B$33:$B$40,0)),0)=1)*(COUNTIF(Y1958:Y1975,$B1986)+COUNTIF(Y1958:Y1975,$B1986&amp;" ~*")&gt;0))</f>
        <v/>
      </c>
    </row>
    <row r="1987" ht="15" customHeight="1">
      <c r="A1987" t="n">
        <v>40</v>
      </c>
      <c r="B1987" s="35">
        <f>IF(Setup!$B$16="","",Setup!$B$16)</f>
        <v/>
      </c>
      <c r="C1987" s="98" t="n"/>
      <c r="D1987" s="99" t="n"/>
      <c r="E1987" s="99" t="n"/>
      <c r="F1987" s="100" t="n"/>
      <c r="G1987" s="98" t="n"/>
      <c r="H1987" s="99" t="n"/>
      <c r="I1987" s="99" t="n"/>
      <c r="J1987" s="100" t="n"/>
      <c r="K1987" s="98" t="n"/>
      <c r="L1987" s="99" t="n"/>
      <c r="M1987" s="99" t="n"/>
      <c r="N1987" s="100" t="n"/>
      <c r="O1987" s="98" t="n"/>
      <c r="P1987" s="99" t="n"/>
      <c r="Q1987" s="99" t="n"/>
      <c r="R1987" s="100" t="n"/>
      <c r="S1987" s="98" t="n"/>
      <c r="T1987" s="99" t="n"/>
      <c r="U1987" s="99" t="n"/>
      <c r="V1987" s="100" t="n"/>
      <c r="W1987" s="98" t="n"/>
      <c r="X1987" s="100" t="n"/>
      <c r="Y1987" s="98" t="n"/>
      <c r="Z1987" s="100" t="n"/>
      <c r="AB1987" s="101">
        <f>IF($B1987="","",(COUNTIF(C1958:E1975,$B1987)+COUNTIF(C1958:E1975,$B1987&amp;" ~*")&gt;0)+(COUNTIF(G1958:I1975,$B1987)+COUNTIF(G1958:I1975,$B1987&amp;" ~*")&gt;0)+(COUNTIF(K1958:M1975,$B1987)+COUNTIF(K1958:M1975,$B1987&amp;" ~*")&gt;0)+(COUNTIF(O1958:Q1975,$B1987)+COUNTIF(O1958:Q1975,$B1987&amp;" ~*")&gt;0)+(COUNTIF(S1958:U1975,$B1987)+COUNTIF(S1958:U1975,$B1987&amp;" ~*")&gt;0)+(COUNTIF(W1958:W1975,$B1987)+COUNTIF(W1958:W1975,$B1987&amp;" ~*")&gt;0)+(COUNTIF(Y1958:Y1975,$B1987)+COUNTIF(Y1958:Y1975,$B1987&amp;" ~*")&gt;0))</f>
        <v/>
      </c>
      <c r="AC1987" s="36">
        <f>IF($B1987="","",(IFERROR(INDEX(Setup!$G$33:$G$40,MATCH(C1987,Setup!$B$33:$B$40,0)),0)=1)*(COUNTIF(C1958:E1975,$B1987)+COUNTIF(C1958:E1975,$B1987&amp;" ~*")&gt;0)+(IFERROR(INDEX(Setup!$G$33:$G$40,MATCH(G1987,Setup!$B$33:$B$40,0)),0)=1)*(COUNTIF(G1958:I1975,$B1987)+COUNTIF(G1958:I1975,$B1987&amp;" ~*")&gt;0)+(IFERROR(INDEX(Setup!$G$33:$G$40,MATCH(K1987,Setup!$B$33:$B$40,0)),0)=1)*(COUNTIF(K1958:M1975,$B1987)+COUNTIF(K1958:M1975,$B1987&amp;" ~*")&gt;0)+(IFERROR(INDEX(Setup!$G$33:$G$40,MATCH(O1987,Setup!$B$33:$B$40,0)),0)=1)*(COUNTIF(O1958:Q1975,$B1987)+COUNTIF(O1958:Q1975,$B1987&amp;" ~*")&gt;0)+(IFERROR(INDEX(Setup!$G$33:$G$40,MATCH(S1987,Setup!$B$33:$B$40,0)),0)=1)*(COUNTIF(S1958:U1975,$B1987)+COUNTIF(S1958:U1975,$B1987&amp;" ~*")&gt;0)+(IFERROR(INDEX(Setup!$G$33:$G$40,MATCH(W1987,Setup!$B$33:$B$40,0)),0)=1)*(COUNTIF(W1958:W1975,$B1987)+COUNTIF(W1958:W1975,$B1987&amp;" ~*")&gt;0)+(IFERROR(INDEX(Setup!$G$33:$G$40,MATCH(Y1987,Setup!$B$33:$B$40,0)),0)=1)*(COUNTIF(Y1958:Y1975,$B1987)+COUNTIF(Y1958:Y1975,$B1987&amp;" ~*")&gt;0))</f>
        <v/>
      </c>
    </row>
    <row r="1988" ht="15" customHeight="1">
      <c r="A1988" t="n">
        <v>40</v>
      </c>
      <c r="B1988" s="37">
        <f>IF(Setup!$B$17="","",Setup!$B$17)</f>
        <v/>
      </c>
      <c r="C1988" s="102" t="n"/>
      <c r="D1988" s="103" t="n"/>
      <c r="E1988" s="103" t="n"/>
      <c r="F1988" s="104" t="n"/>
      <c r="G1988" s="102" t="n"/>
      <c r="H1988" s="103" t="n"/>
      <c r="I1988" s="103" t="n"/>
      <c r="J1988" s="104" t="n"/>
      <c r="K1988" s="102" t="n"/>
      <c r="L1988" s="103" t="n"/>
      <c r="M1988" s="103" t="n"/>
      <c r="N1988" s="104" t="n"/>
      <c r="O1988" s="102" t="n"/>
      <c r="P1988" s="103" t="n"/>
      <c r="Q1988" s="103" t="n"/>
      <c r="R1988" s="104" t="n"/>
      <c r="S1988" s="102" t="n"/>
      <c r="T1988" s="103" t="n"/>
      <c r="U1988" s="103" t="n"/>
      <c r="V1988" s="104" t="n"/>
      <c r="W1988" s="102" t="n"/>
      <c r="X1988" s="104" t="n"/>
      <c r="Y1988" s="102" t="n"/>
      <c r="Z1988" s="104" t="n"/>
      <c r="AB1988" s="105">
        <f>IF($B1988="","",(COUNTIF(C1958:E1975,$B1988)+COUNTIF(C1958:E1975,$B1988&amp;" ~*")&gt;0)+(COUNTIF(G1958:I1975,$B1988)+COUNTIF(G1958:I1975,$B1988&amp;" ~*")&gt;0)+(COUNTIF(K1958:M1975,$B1988)+COUNTIF(K1958:M1975,$B1988&amp;" ~*")&gt;0)+(COUNTIF(O1958:Q1975,$B1988)+COUNTIF(O1958:Q1975,$B1988&amp;" ~*")&gt;0)+(COUNTIF(S1958:U1975,$B1988)+COUNTIF(S1958:U1975,$B1988&amp;" ~*")&gt;0)+(COUNTIF(W1958:W1975,$B1988)+COUNTIF(W1958:W1975,$B1988&amp;" ~*")&gt;0)+(COUNTIF(Y1958:Y1975,$B1988)+COUNTIF(Y1958:Y1975,$B1988&amp;" ~*")&gt;0))</f>
        <v/>
      </c>
      <c r="AC1988" s="38">
        <f>IF($B1988="","",(IFERROR(INDEX(Setup!$G$33:$G$40,MATCH(C1988,Setup!$B$33:$B$40,0)),0)=1)*(COUNTIF(C1958:E1975,$B1988)+COUNTIF(C1958:E1975,$B1988&amp;" ~*")&gt;0)+(IFERROR(INDEX(Setup!$G$33:$G$40,MATCH(G1988,Setup!$B$33:$B$40,0)),0)=1)*(COUNTIF(G1958:I1975,$B1988)+COUNTIF(G1958:I1975,$B1988&amp;" ~*")&gt;0)+(IFERROR(INDEX(Setup!$G$33:$G$40,MATCH(K1988,Setup!$B$33:$B$40,0)),0)=1)*(COUNTIF(K1958:M1975,$B1988)+COUNTIF(K1958:M1975,$B1988&amp;" ~*")&gt;0)+(IFERROR(INDEX(Setup!$G$33:$G$40,MATCH(O1988,Setup!$B$33:$B$40,0)),0)=1)*(COUNTIF(O1958:Q1975,$B1988)+COUNTIF(O1958:Q1975,$B1988&amp;" ~*")&gt;0)+(IFERROR(INDEX(Setup!$G$33:$G$40,MATCH(S1988,Setup!$B$33:$B$40,0)),0)=1)*(COUNTIF(S1958:U1975,$B1988)+COUNTIF(S1958:U1975,$B1988&amp;" ~*")&gt;0)+(IFERROR(INDEX(Setup!$G$33:$G$40,MATCH(W1988,Setup!$B$33:$B$40,0)),0)=1)*(COUNTIF(W1958:W1975,$B1988)+COUNTIF(W1958:W1975,$B1988&amp;" ~*")&gt;0)+(IFERROR(INDEX(Setup!$G$33:$G$40,MATCH(Y1988,Setup!$B$33:$B$40,0)),0)=1)*(COUNTIF(Y1958:Y1975,$B1988)+COUNTIF(Y1958:Y1975,$B1988&amp;" ~*")&gt;0))</f>
        <v/>
      </c>
    </row>
    <row r="1989" ht="15" customHeight="1">
      <c r="A1989" t="n">
        <v>40</v>
      </c>
      <c r="B1989" s="35">
        <f>IF(Setup!$B$18="","",Setup!$B$18)</f>
        <v/>
      </c>
      <c r="C1989" s="98" t="n"/>
      <c r="D1989" s="99" t="n"/>
      <c r="E1989" s="99" t="n"/>
      <c r="F1989" s="100" t="n"/>
      <c r="G1989" s="98" t="n"/>
      <c r="H1989" s="99" t="n"/>
      <c r="I1989" s="99" t="n"/>
      <c r="J1989" s="100" t="n"/>
      <c r="K1989" s="98" t="n"/>
      <c r="L1989" s="99" t="n"/>
      <c r="M1989" s="99" t="n"/>
      <c r="N1989" s="100" t="n"/>
      <c r="O1989" s="98" t="n"/>
      <c r="P1989" s="99" t="n"/>
      <c r="Q1989" s="99" t="n"/>
      <c r="R1989" s="100" t="n"/>
      <c r="S1989" s="98" t="n"/>
      <c r="T1989" s="99" t="n"/>
      <c r="U1989" s="99" t="n"/>
      <c r="V1989" s="100" t="n"/>
      <c r="W1989" s="98" t="n"/>
      <c r="X1989" s="100" t="n"/>
      <c r="Y1989" s="98" t="n"/>
      <c r="Z1989" s="100" t="n"/>
      <c r="AB1989" s="101">
        <f>IF($B1989="","",(COUNTIF(C1958:E1975,$B1989)+COUNTIF(C1958:E1975,$B1989&amp;" ~*")&gt;0)+(COUNTIF(G1958:I1975,$B1989)+COUNTIF(G1958:I1975,$B1989&amp;" ~*")&gt;0)+(COUNTIF(K1958:M1975,$B1989)+COUNTIF(K1958:M1975,$B1989&amp;" ~*")&gt;0)+(COUNTIF(O1958:Q1975,$B1989)+COUNTIF(O1958:Q1975,$B1989&amp;" ~*")&gt;0)+(COUNTIF(S1958:U1975,$B1989)+COUNTIF(S1958:U1975,$B1989&amp;" ~*")&gt;0)+(COUNTIF(W1958:W1975,$B1989)+COUNTIF(W1958:W1975,$B1989&amp;" ~*")&gt;0)+(COUNTIF(Y1958:Y1975,$B1989)+COUNTIF(Y1958:Y1975,$B1989&amp;" ~*")&gt;0))</f>
        <v/>
      </c>
      <c r="AC1989" s="36">
        <f>IF($B1989="","",(IFERROR(INDEX(Setup!$G$33:$G$40,MATCH(C1989,Setup!$B$33:$B$40,0)),0)=1)*(COUNTIF(C1958:E1975,$B1989)+COUNTIF(C1958:E1975,$B1989&amp;" ~*")&gt;0)+(IFERROR(INDEX(Setup!$G$33:$G$40,MATCH(G1989,Setup!$B$33:$B$40,0)),0)=1)*(COUNTIF(G1958:I1975,$B1989)+COUNTIF(G1958:I1975,$B1989&amp;" ~*")&gt;0)+(IFERROR(INDEX(Setup!$G$33:$G$40,MATCH(K1989,Setup!$B$33:$B$40,0)),0)=1)*(COUNTIF(K1958:M1975,$B1989)+COUNTIF(K1958:M1975,$B1989&amp;" ~*")&gt;0)+(IFERROR(INDEX(Setup!$G$33:$G$40,MATCH(O1989,Setup!$B$33:$B$40,0)),0)=1)*(COUNTIF(O1958:Q1975,$B1989)+COUNTIF(O1958:Q1975,$B1989&amp;" ~*")&gt;0)+(IFERROR(INDEX(Setup!$G$33:$G$40,MATCH(S1989,Setup!$B$33:$B$40,0)),0)=1)*(COUNTIF(S1958:U1975,$B1989)+COUNTIF(S1958:U1975,$B1989&amp;" ~*")&gt;0)+(IFERROR(INDEX(Setup!$G$33:$G$40,MATCH(W1989,Setup!$B$33:$B$40,0)),0)=1)*(COUNTIF(W1958:W1975,$B1989)+COUNTIF(W1958:W1975,$B1989&amp;" ~*")&gt;0)+(IFERROR(INDEX(Setup!$G$33:$G$40,MATCH(Y1989,Setup!$B$33:$B$40,0)),0)=1)*(COUNTIF(Y1958:Y1975,$B1989)+COUNTIF(Y1958:Y1975,$B1989&amp;" ~*")&gt;0))</f>
        <v/>
      </c>
    </row>
    <row r="1990" ht="15" customHeight="1">
      <c r="A1990" t="n">
        <v>40</v>
      </c>
      <c r="B1990" s="37">
        <f>IF(Setup!$B$19="","",Setup!$B$19)</f>
        <v/>
      </c>
      <c r="C1990" s="102" t="n"/>
      <c r="D1990" s="103" t="n"/>
      <c r="E1990" s="103" t="n"/>
      <c r="F1990" s="104" t="n"/>
      <c r="G1990" s="102" t="n"/>
      <c r="H1990" s="103" t="n"/>
      <c r="I1990" s="103" t="n"/>
      <c r="J1990" s="104" t="n"/>
      <c r="K1990" s="102" t="n"/>
      <c r="L1990" s="103" t="n"/>
      <c r="M1990" s="103" t="n"/>
      <c r="N1990" s="104" t="n"/>
      <c r="O1990" s="102" t="n"/>
      <c r="P1990" s="103" t="n"/>
      <c r="Q1990" s="103" t="n"/>
      <c r="R1990" s="104" t="n"/>
      <c r="S1990" s="102" t="n"/>
      <c r="T1990" s="103" t="n"/>
      <c r="U1990" s="103" t="n"/>
      <c r="V1990" s="104" t="n"/>
      <c r="W1990" s="102" t="n"/>
      <c r="X1990" s="104" t="n"/>
      <c r="Y1990" s="102" t="n"/>
      <c r="Z1990" s="104" t="n"/>
      <c r="AB1990" s="105">
        <f>IF($B1990="","",(COUNTIF(C1958:E1975,$B1990)+COUNTIF(C1958:E1975,$B1990&amp;" ~*")&gt;0)+(COUNTIF(G1958:I1975,$B1990)+COUNTIF(G1958:I1975,$B1990&amp;" ~*")&gt;0)+(COUNTIF(K1958:M1975,$B1990)+COUNTIF(K1958:M1975,$B1990&amp;" ~*")&gt;0)+(COUNTIF(O1958:Q1975,$B1990)+COUNTIF(O1958:Q1975,$B1990&amp;" ~*")&gt;0)+(COUNTIF(S1958:U1975,$B1990)+COUNTIF(S1958:U1975,$B1990&amp;" ~*")&gt;0)+(COUNTIF(W1958:W1975,$B1990)+COUNTIF(W1958:W1975,$B1990&amp;" ~*")&gt;0)+(COUNTIF(Y1958:Y1975,$B1990)+COUNTIF(Y1958:Y1975,$B1990&amp;" ~*")&gt;0))</f>
        <v/>
      </c>
      <c r="AC1990" s="38">
        <f>IF($B1990="","",(IFERROR(INDEX(Setup!$G$33:$G$40,MATCH(C1990,Setup!$B$33:$B$40,0)),0)=1)*(COUNTIF(C1958:E1975,$B1990)+COUNTIF(C1958:E1975,$B1990&amp;" ~*")&gt;0)+(IFERROR(INDEX(Setup!$G$33:$G$40,MATCH(G1990,Setup!$B$33:$B$40,0)),0)=1)*(COUNTIF(G1958:I1975,$B1990)+COUNTIF(G1958:I1975,$B1990&amp;" ~*")&gt;0)+(IFERROR(INDEX(Setup!$G$33:$G$40,MATCH(K1990,Setup!$B$33:$B$40,0)),0)=1)*(COUNTIF(K1958:M1975,$B1990)+COUNTIF(K1958:M1975,$B1990&amp;" ~*")&gt;0)+(IFERROR(INDEX(Setup!$G$33:$G$40,MATCH(O1990,Setup!$B$33:$B$40,0)),0)=1)*(COUNTIF(O1958:Q1975,$B1990)+COUNTIF(O1958:Q1975,$B1990&amp;" ~*")&gt;0)+(IFERROR(INDEX(Setup!$G$33:$G$40,MATCH(S1990,Setup!$B$33:$B$40,0)),0)=1)*(COUNTIF(S1958:U1975,$B1990)+COUNTIF(S1958:U1975,$B1990&amp;" ~*")&gt;0)+(IFERROR(INDEX(Setup!$G$33:$G$40,MATCH(W1990,Setup!$B$33:$B$40,0)),0)=1)*(COUNTIF(W1958:W1975,$B1990)+COUNTIF(W1958:W1975,$B1990&amp;" ~*")&gt;0)+(IFERROR(INDEX(Setup!$G$33:$G$40,MATCH(Y1990,Setup!$B$33:$B$40,0)),0)=1)*(COUNTIF(Y1958:Y1975,$B1990)+COUNTIF(Y1958:Y1975,$B1990&amp;" ~*")&gt;0))</f>
        <v/>
      </c>
    </row>
    <row r="1991" ht="15" customHeight="1">
      <c r="A1991" t="n">
        <v>40</v>
      </c>
      <c r="B1991" s="35">
        <f>IF(Setup!$B$20="","",Setup!$B$20)</f>
        <v/>
      </c>
      <c r="C1991" s="98" t="n"/>
      <c r="D1991" s="99" t="n"/>
      <c r="E1991" s="99" t="n"/>
      <c r="F1991" s="100" t="n"/>
      <c r="G1991" s="98" t="n"/>
      <c r="H1991" s="99" t="n"/>
      <c r="I1991" s="99" t="n"/>
      <c r="J1991" s="100" t="n"/>
      <c r="K1991" s="98" t="n"/>
      <c r="L1991" s="99" t="n"/>
      <c r="M1991" s="99" t="n"/>
      <c r="N1991" s="100" t="n"/>
      <c r="O1991" s="98" t="n"/>
      <c r="P1991" s="99" t="n"/>
      <c r="Q1991" s="99" t="n"/>
      <c r="R1991" s="100" t="n"/>
      <c r="S1991" s="98" t="n"/>
      <c r="T1991" s="99" t="n"/>
      <c r="U1991" s="99" t="n"/>
      <c r="V1991" s="100" t="n"/>
      <c r="W1991" s="98" t="n"/>
      <c r="X1991" s="100" t="n"/>
      <c r="Y1991" s="98" t="n"/>
      <c r="Z1991" s="100" t="n"/>
      <c r="AB1991" s="101">
        <f>IF($B1991="","",(COUNTIF(C1958:E1975,$B1991)+COUNTIF(C1958:E1975,$B1991&amp;" ~*")&gt;0)+(COUNTIF(G1958:I1975,$B1991)+COUNTIF(G1958:I1975,$B1991&amp;" ~*")&gt;0)+(COUNTIF(K1958:M1975,$B1991)+COUNTIF(K1958:M1975,$B1991&amp;" ~*")&gt;0)+(COUNTIF(O1958:Q1975,$B1991)+COUNTIF(O1958:Q1975,$B1991&amp;" ~*")&gt;0)+(COUNTIF(S1958:U1975,$B1991)+COUNTIF(S1958:U1975,$B1991&amp;" ~*")&gt;0)+(COUNTIF(W1958:W1975,$B1991)+COUNTIF(W1958:W1975,$B1991&amp;" ~*")&gt;0)+(COUNTIF(Y1958:Y1975,$B1991)+COUNTIF(Y1958:Y1975,$B1991&amp;" ~*")&gt;0))</f>
        <v/>
      </c>
      <c r="AC1991" s="36">
        <f>IF($B1991="","",(IFERROR(INDEX(Setup!$G$33:$G$40,MATCH(C1991,Setup!$B$33:$B$40,0)),0)=1)*(COUNTIF(C1958:E1975,$B1991)+COUNTIF(C1958:E1975,$B1991&amp;" ~*")&gt;0)+(IFERROR(INDEX(Setup!$G$33:$G$40,MATCH(G1991,Setup!$B$33:$B$40,0)),0)=1)*(COUNTIF(G1958:I1975,$B1991)+COUNTIF(G1958:I1975,$B1991&amp;" ~*")&gt;0)+(IFERROR(INDEX(Setup!$G$33:$G$40,MATCH(K1991,Setup!$B$33:$B$40,0)),0)=1)*(COUNTIF(K1958:M1975,$B1991)+COUNTIF(K1958:M1975,$B1991&amp;" ~*")&gt;0)+(IFERROR(INDEX(Setup!$G$33:$G$40,MATCH(O1991,Setup!$B$33:$B$40,0)),0)=1)*(COUNTIF(O1958:Q1975,$B1991)+COUNTIF(O1958:Q1975,$B1991&amp;" ~*")&gt;0)+(IFERROR(INDEX(Setup!$G$33:$G$40,MATCH(S1991,Setup!$B$33:$B$40,0)),0)=1)*(COUNTIF(S1958:U1975,$B1991)+COUNTIF(S1958:U1975,$B1991&amp;" ~*")&gt;0)+(IFERROR(INDEX(Setup!$G$33:$G$40,MATCH(W1991,Setup!$B$33:$B$40,0)),0)=1)*(COUNTIF(W1958:W1975,$B1991)+COUNTIF(W1958:W1975,$B1991&amp;" ~*")&gt;0)+(IFERROR(INDEX(Setup!$G$33:$G$40,MATCH(Y1991,Setup!$B$33:$B$40,0)),0)=1)*(COUNTIF(Y1958:Y1975,$B1991)+COUNTIF(Y1958:Y1975,$B1991&amp;" ~*")&gt;0))</f>
        <v/>
      </c>
    </row>
    <row r="1992" ht="15" customHeight="1">
      <c r="A1992" t="n">
        <v>40</v>
      </c>
      <c r="B1992" s="37">
        <f>IF(Setup!$B$21="","",Setup!$B$21)</f>
        <v/>
      </c>
      <c r="C1992" s="102" t="n"/>
      <c r="D1992" s="103" t="n"/>
      <c r="E1992" s="103" t="n"/>
      <c r="F1992" s="104" t="n"/>
      <c r="G1992" s="102" t="n"/>
      <c r="H1992" s="103" t="n"/>
      <c r="I1992" s="103" t="n"/>
      <c r="J1992" s="104" t="n"/>
      <c r="K1992" s="102" t="n"/>
      <c r="L1992" s="103" t="n"/>
      <c r="M1992" s="103" t="n"/>
      <c r="N1992" s="104" t="n"/>
      <c r="O1992" s="102" t="n"/>
      <c r="P1992" s="103" t="n"/>
      <c r="Q1992" s="103" t="n"/>
      <c r="R1992" s="104" t="n"/>
      <c r="S1992" s="102" t="n"/>
      <c r="T1992" s="103" t="n"/>
      <c r="U1992" s="103" t="n"/>
      <c r="V1992" s="104" t="n"/>
      <c r="W1992" s="102" t="n"/>
      <c r="X1992" s="104" t="n"/>
      <c r="Y1992" s="102" t="n"/>
      <c r="Z1992" s="104" t="n"/>
      <c r="AB1992" s="105">
        <f>IF($B1992="","",(COUNTIF(C1958:E1975,$B1992)+COUNTIF(C1958:E1975,$B1992&amp;" ~*")&gt;0)+(COUNTIF(G1958:I1975,$B1992)+COUNTIF(G1958:I1975,$B1992&amp;" ~*")&gt;0)+(COUNTIF(K1958:M1975,$B1992)+COUNTIF(K1958:M1975,$B1992&amp;" ~*")&gt;0)+(COUNTIF(O1958:Q1975,$B1992)+COUNTIF(O1958:Q1975,$B1992&amp;" ~*")&gt;0)+(COUNTIF(S1958:U1975,$B1992)+COUNTIF(S1958:U1975,$B1992&amp;" ~*")&gt;0)+(COUNTIF(W1958:W1975,$B1992)+COUNTIF(W1958:W1975,$B1992&amp;" ~*")&gt;0)+(COUNTIF(Y1958:Y1975,$B1992)+COUNTIF(Y1958:Y1975,$B1992&amp;" ~*")&gt;0))</f>
        <v/>
      </c>
      <c r="AC1992" s="38">
        <f>IF($B1992="","",(IFERROR(INDEX(Setup!$G$33:$G$40,MATCH(C1992,Setup!$B$33:$B$40,0)),0)=1)*(COUNTIF(C1958:E1975,$B1992)+COUNTIF(C1958:E1975,$B1992&amp;" ~*")&gt;0)+(IFERROR(INDEX(Setup!$G$33:$G$40,MATCH(G1992,Setup!$B$33:$B$40,0)),0)=1)*(COUNTIF(G1958:I1975,$B1992)+COUNTIF(G1958:I1975,$B1992&amp;" ~*")&gt;0)+(IFERROR(INDEX(Setup!$G$33:$G$40,MATCH(K1992,Setup!$B$33:$B$40,0)),0)=1)*(COUNTIF(K1958:M1975,$B1992)+COUNTIF(K1958:M1975,$B1992&amp;" ~*")&gt;0)+(IFERROR(INDEX(Setup!$G$33:$G$40,MATCH(O1992,Setup!$B$33:$B$40,0)),0)=1)*(COUNTIF(O1958:Q1975,$B1992)+COUNTIF(O1958:Q1975,$B1992&amp;" ~*")&gt;0)+(IFERROR(INDEX(Setup!$G$33:$G$40,MATCH(S1992,Setup!$B$33:$B$40,0)),0)=1)*(COUNTIF(S1958:U1975,$B1992)+COUNTIF(S1958:U1975,$B1992&amp;" ~*")&gt;0)+(IFERROR(INDEX(Setup!$G$33:$G$40,MATCH(W1992,Setup!$B$33:$B$40,0)),0)=1)*(COUNTIF(W1958:W1975,$B1992)+COUNTIF(W1958:W1975,$B1992&amp;" ~*")&gt;0)+(IFERROR(INDEX(Setup!$G$33:$G$40,MATCH(Y1992,Setup!$B$33:$B$40,0)),0)=1)*(COUNTIF(Y1958:Y1975,$B1992)+COUNTIF(Y1958:Y1975,$B1992&amp;" ~*")&gt;0))</f>
        <v/>
      </c>
    </row>
    <row r="1993" ht="15" customHeight="1">
      <c r="A1993" t="n">
        <v>40</v>
      </c>
      <c r="B1993" s="35">
        <f>IF(Setup!$B$22="","",Setup!$B$22)</f>
        <v/>
      </c>
      <c r="C1993" s="98" t="n"/>
      <c r="D1993" s="99" t="n"/>
      <c r="E1993" s="99" t="n"/>
      <c r="F1993" s="100" t="n"/>
      <c r="G1993" s="98" t="n"/>
      <c r="H1993" s="99" t="n"/>
      <c r="I1993" s="99" t="n"/>
      <c r="J1993" s="100" t="n"/>
      <c r="K1993" s="98" t="n"/>
      <c r="L1993" s="99" t="n"/>
      <c r="M1993" s="99" t="n"/>
      <c r="N1993" s="100" t="n"/>
      <c r="O1993" s="98" t="n"/>
      <c r="P1993" s="99" t="n"/>
      <c r="Q1993" s="99" t="n"/>
      <c r="R1993" s="100" t="n"/>
      <c r="S1993" s="98" t="n"/>
      <c r="T1993" s="99" t="n"/>
      <c r="U1993" s="99" t="n"/>
      <c r="V1993" s="100" t="n"/>
      <c r="W1993" s="98" t="n"/>
      <c r="X1993" s="100" t="n"/>
      <c r="Y1993" s="98" t="n"/>
      <c r="Z1993" s="100" t="n"/>
      <c r="AB1993" s="101">
        <f>IF($B1993="","",(COUNTIF(C1958:E1975,$B1993)+COUNTIF(C1958:E1975,$B1993&amp;" ~*")&gt;0)+(COUNTIF(G1958:I1975,$B1993)+COUNTIF(G1958:I1975,$B1993&amp;" ~*")&gt;0)+(COUNTIF(K1958:M1975,$B1993)+COUNTIF(K1958:M1975,$B1993&amp;" ~*")&gt;0)+(COUNTIF(O1958:Q1975,$B1993)+COUNTIF(O1958:Q1975,$B1993&amp;" ~*")&gt;0)+(COUNTIF(S1958:U1975,$B1993)+COUNTIF(S1958:U1975,$B1993&amp;" ~*")&gt;0)+(COUNTIF(W1958:W1975,$B1993)+COUNTIF(W1958:W1975,$B1993&amp;" ~*")&gt;0)+(COUNTIF(Y1958:Y1975,$B1993)+COUNTIF(Y1958:Y1975,$B1993&amp;" ~*")&gt;0))</f>
        <v/>
      </c>
      <c r="AC1993" s="36">
        <f>IF($B1993="","",(IFERROR(INDEX(Setup!$G$33:$G$40,MATCH(C1993,Setup!$B$33:$B$40,0)),0)=1)*(COUNTIF(C1958:E1975,$B1993)+COUNTIF(C1958:E1975,$B1993&amp;" ~*")&gt;0)+(IFERROR(INDEX(Setup!$G$33:$G$40,MATCH(G1993,Setup!$B$33:$B$40,0)),0)=1)*(COUNTIF(G1958:I1975,$B1993)+COUNTIF(G1958:I1975,$B1993&amp;" ~*")&gt;0)+(IFERROR(INDEX(Setup!$G$33:$G$40,MATCH(K1993,Setup!$B$33:$B$40,0)),0)=1)*(COUNTIF(K1958:M1975,$B1993)+COUNTIF(K1958:M1975,$B1993&amp;" ~*")&gt;0)+(IFERROR(INDEX(Setup!$G$33:$G$40,MATCH(O1993,Setup!$B$33:$B$40,0)),0)=1)*(COUNTIF(O1958:Q1975,$B1993)+COUNTIF(O1958:Q1975,$B1993&amp;" ~*")&gt;0)+(IFERROR(INDEX(Setup!$G$33:$G$40,MATCH(S1993,Setup!$B$33:$B$40,0)),0)=1)*(COUNTIF(S1958:U1975,$B1993)+COUNTIF(S1958:U1975,$B1993&amp;" ~*")&gt;0)+(IFERROR(INDEX(Setup!$G$33:$G$40,MATCH(W1993,Setup!$B$33:$B$40,0)),0)=1)*(COUNTIF(W1958:W1975,$B1993)+COUNTIF(W1958:W1975,$B1993&amp;" ~*")&gt;0)+(IFERROR(INDEX(Setup!$G$33:$G$40,MATCH(Y1993,Setup!$B$33:$B$40,0)),0)=1)*(COUNTIF(Y1958:Y1975,$B1993)+COUNTIF(Y1958:Y1975,$B1993&amp;" ~*")&gt;0))</f>
        <v/>
      </c>
    </row>
    <row r="1994" ht="15" customHeight="1">
      <c r="A1994" t="n">
        <v>40</v>
      </c>
      <c r="B1994" s="37">
        <f>IF(Setup!$B$23="","",Setup!$B$23)</f>
        <v/>
      </c>
      <c r="C1994" s="102" t="n"/>
      <c r="D1994" s="103" t="n"/>
      <c r="E1994" s="103" t="n"/>
      <c r="F1994" s="104" t="n"/>
      <c r="G1994" s="102" t="n"/>
      <c r="H1994" s="103" t="n"/>
      <c r="I1994" s="103" t="n"/>
      <c r="J1994" s="104" t="n"/>
      <c r="K1994" s="102" t="n"/>
      <c r="L1994" s="103" t="n"/>
      <c r="M1994" s="103" t="n"/>
      <c r="N1994" s="104" t="n"/>
      <c r="O1994" s="102" t="n"/>
      <c r="P1994" s="103" t="n"/>
      <c r="Q1994" s="103" t="n"/>
      <c r="R1994" s="104" t="n"/>
      <c r="S1994" s="102" t="n"/>
      <c r="T1994" s="103" t="n"/>
      <c r="U1994" s="103" t="n"/>
      <c r="V1994" s="104" t="n"/>
      <c r="W1994" s="102" t="n"/>
      <c r="X1994" s="104" t="n"/>
      <c r="Y1994" s="102" t="n"/>
      <c r="Z1994" s="104" t="n"/>
      <c r="AB1994" s="105">
        <f>IF($B1994="","",(COUNTIF(C1958:E1975,$B1994)+COUNTIF(C1958:E1975,$B1994&amp;" ~*")&gt;0)+(COUNTIF(G1958:I1975,$B1994)+COUNTIF(G1958:I1975,$B1994&amp;" ~*")&gt;0)+(COUNTIF(K1958:M1975,$B1994)+COUNTIF(K1958:M1975,$B1994&amp;" ~*")&gt;0)+(COUNTIF(O1958:Q1975,$B1994)+COUNTIF(O1958:Q1975,$B1994&amp;" ~*")&gt;0)+(COUNTIF(S1958:U1975,$B1994)+COUNTIF(S1958:U1975,$B1994&amp;" ~*")&gt;0)+(COUNTIF(W1958:W1975,$B1994)+COUNTIF(W1958:W1975,$B1994&amp;" ~*")&gt;0)+(COUNTIF(Y1958:Y1975,$B1994)+COUNTIF(Y1958:Y1975,$B1994&amp;" ~*")&gt;0))</f>
        <v/>
      </c>
      <c r="AC1994" s="38">
        <f>IF($B1994="","",(IFERROR(INDEX(Setup!$G$33:$G$40,MATCH(C1994,Setup!$B$33:$B$40,0)),0)=1)*(COUNTIF(C1958:E1975,$B1994)+COUNTIF(C1958:E1975,$B1994&amp;" ~*")&gt;0)+(IFERROR(INDEX(Setup!$G$33:$G$40,MATCH(G1994,Setup!$B$33:$B$40,0)),0)=1)*(COUNTIF(G1958:I1975,$B1994)+COUNTIF(G1958:I1975,$B1994&amp;" ~*")&gt;0)+(IFERROR(INDEX(Setup!$G$33:$G$40,MATCH(K1994,Setup!$B$33:$B$40,0)),0)=1)*(COUNTIF(K1958:M1975,$B1994)+COUNTIF(K1958:M1975,$B1994&amp;" ~*")&gt;0)+(IFERROR(INDEX(Setup!$G$33:$G$40,MATCH(O1994,Setup!$B$33:$B$40,0)),0)=1)*(COUNTIF(O1958:Q1975,$B1994)+COUNTIF(O1958:Q1975,$B1994&amp;" ~*")&gt;0)+(IFERROR(INDEX(Setup!$G$33:$G$40,MATCH(S1994,Setup!$B$33:$B$40,0)),0)=1)*(COUNTIF(S1958:U1975,$B1994)+COUNTIF(S1958:U1975,$B1994&amp;" ~*")&gt;0)+(IFERROR(INDEX(Setup!$G$33:$G$40,MATCH(W1994,Setup!$B$33:$B$40,0)),0)=1)*(COUNTIF(W1958:W1975,$B1994)+COUNTIF(W1958:W1975,$B1994&amp;" ~*")&gt;0)+(IFERROR(INDEX(Setup!$G$33:$G$40,MATCH(Y1994,Setup!$B$33:$B$40,0)),0)=1)*(COUNTIF(Y1958:Y1975,$B1994)+COUNTIF(Y1958:Y1975,$B1994&amp;" ~*")&gt;0))</f>
        <v/>
      </c>
    </row>
    <row r="1995" ht="15" customHeight="1">
      <c r="A1995" t="n">
        <v>40</v>
      </c>
      <c r="B1995" s="35">
        <f>IF(Setup!$B$24="","",Setup!$B$24)</f>
        <v/>
      </c>
      <c r="C1995" s="98" t="n"/>
      <c r="D1995" s="99" t="n"/>
      <c r="E1995" s="99" t="n"/>
      <c r="F1995" s="100" t="n"/>
      <c r="G1995" s="98" t="n"/>
      <c r="H1995" s="99" t="n"/>
      <c r="I1995" s="99" t="n"/>
      <c r="J1995" s="100" t="n"/>
      <c r="K1995" s="98" t="n"/>
      <c r="L1995" s="99" t="n"/>
      <c r="M1995" s="99" t="n"/>
      <c r="N1995" s="100" t="n"/>
      <c r="O1995" s="98" t="n"/>
      <c r="P1995" s="99" t="n"/>
      <c r="Q1995" s="99" t="n"/>
      <c r="R1995" s="100" t="n"/>
      <c r="S1995" s="98" t="n"/>
      <c r="T1995" s="99" t="n"/>
      <c r="U1995" s="99" t="n"/>
      <c r="V1995" s="100" t="n"/>
      <c r="W1995" s="98" t="n"/>
      <c r="X1995" s="100" t="n"/>
      <c r="Y1995" s="98" t="n"/>
      <c r="Z1995" s="100" t="n"/>
      <c r="AB1995" s="101">
        <f>IF($B1995="","",(COUNTIF(C1958:E1975,$B1995)+COUNTIF(C1958:E1975,$B1995&amp;" ~*")&gt;0)+(COUNTIF(G1958:I1975,$B1995)+COUNTIF(G1958:I1975,$B1995&amp;" ~*")&gt;0)+(COUNTIF(K1958:M1975,$B1995)+COUNTIF(K1958:M1975,$B1995&amp;" ~*")&gt;0)+(COUNTIF(O1958:Q1975,$B1995)+COUNTIF(O1958:Q1975,$B1995&amp;" ~*")&gt;0)+(COUNTIF(S1958:U1975,$B1995)+COUNTIF(S1958:U1975,$B1995&amp;" ~*")&gt;0)+(COUNTIF(W1958:W1975,$B1995)+COUNTIF(W1958:W1975,$B1995&amp;" ~*")&gt;0)+(COUNTIF(Y1958:Y1975,$B1995)+COUNTIF(Y1958:Y1975,$B1995&amp;" ~*")&gt;0))</f>
        <v/>
      </c>
      <c r="AC1995" s="36">
        <f>IF($B1995="","",(IFERROR(INDEX(Setup!$G$33:$G$40,MATCH(C1995,Setup!$B$33:$B$40,0)),0)=1)*(COUNTIF(C1958:E1975,$B1995)+COUNTIF(C1958:E1975,$B1995&amp;" ~*")&gt;0)+(IFERROR(INDEX(Setup!$G$33:$G$40,MATCH(G1995,Setup!$B$33:$B$40,0)),0)=1)*(COUNTIF(G1958:I1975,$B1995)+COUNTIF(G1958:I1975,$B1995&amp;" ~*")&gt;0)+(IFERROR(INDEX(Setup!$G$33:$G$40,MATCH(K1995,Setup!$B$33:$B$40,0)),0)=1)*(COUNTIF(K1958:M1975,$B1995)+COUNTIF(K1958:M1975,$B1995&amp;" ~*")&gt;0)+(IFERROR(INDEX(Setup!$G$33:$G$40,MATCH(O1995,Setup!$B$33:$B$40,0)),0)=1)*(COUNTIF(O1958:Q1975,$B1995)+COUNTIF(O1958:Q1975,$B1995&amp;" ~*")&gt;0)+(IFERROR(INDEX(Setup!$G$33:$G$40,MATCH(S1995,Setup!$B$33:$B$40,0)),0)=1)*(COUNTIF(S1958:U1975,$B1995)+COUNTIF(S1958:U1975,$B1995&amp;" ~*")&gt;0)+(IFERROR(INDEX(Setup!$G$33:$G$40,MATCH(W1995,Setup!$B$33:$B$40,0)),0)=1)*(COUNTIF(W1958:W1975,$B1995)+COUNTIF(W1958:W1975,$B1995&amp;" ~*")&gt;0)+(IFERROR(INDEX(Setup!$G$33:$G$40,MATCH(Y1995,Setup!$B$33:$B$40,0)),0)=1)*(COUNTIF(Y1958:Y1975,$B1995)+COUNTIF(Y1958:Y1975,$B1995&amp;" ~*")&gt;0))</f>
        <v/>
      </c>
    </row>
    <row r="1996" ht="15" customHeight="1">
      <c r="A1996" t="n">
        <v>40</v>
      </c>
      <c r="B1996" s="37">
        <f>IF(Setup!$B$25="","",Setup!$B$25)</f>
        <v/>
      </c>
      <c r="C1996" s="102" t="n"/>
      <c r="D1996" s="103" t="n"/>
      <c r="E1996" s="103" t="n"/>
      <c r="F1996" s="104" t="n"/>
      <c r="G1996" s="102" t="n"/>
      <c r="H1996" s="103" t="n"/>
      <c r="I1996" s="103" t="n"/>
      <c r="J1996" s="104" t="n"/>
      <c r="K1996" s="102" t="n"/>
      <c r="L1996" s="103" t="n"/>
      <c r="M1996" s="103" t="n"/>
      <c r="N1996" s="104" t="n"/>
      <c r="O1996" s="102" t="n"/>
      <c r="P1996" s="103" t="n"/>
      <c r="Q1996" s="103" t="n"/>
      <c r="R1996" s="104" t="n"/>
      <c r="S1996" s="102" t="n"/>
      <c r="T1996" s="103" t="n"/>
      <c r="U1996" s="103" t="n"/>
      <c r="V1996" s="104" t="n"/>
      <c r="W1996" s="102" t="n"/>
      <c r="X1996" s="104" t="n"/>
      <c r="Y1996" s="102" t="n"/>
      <c r="Z1996" s="104" t="n"/>
      <c r="AB1996" s="105">
        <f>IF($B1996="","",(COUNTIF(C1958:E1975,$B1996)+COUNTIF(C1958:E1975,$B1996&amp;" ~*")&gt;0)+(COUNTIF(G1958:I1975,$B1996)+COUNTIF(G1958:I1975,$B1996&amp;" ~*")&gt;0)+(COUNTIF(K1958:M1975,$B1996)+COUNTIF(K1958:M1975,$B1996&amp;" ~*")&gt;0)+(COUNTIF(O1958:Q1975,$B1996)+COUNTIF(O1958:Q1975,$B1996&amp;" ~*")&gt;0)+(COUNTIF(S1958:U1975,$B1996)+COUNTIF(S1958:U1975,$B1996&amp;" ~*")&gt;0)+(COUNTIF(W1958:W1975,$B1996)+COUNTIF(W1958:W1975,$B1996&amp;" ~*")&gt;0)+(COUNTIF(Y1958:Y1975,$B1996)+COUNTIF(Y1958:Y1975,$B1996&amp;" ~*")&gt;0))</f>
        <v/>
      </c>
      <c r="AC1996" s="38">
        <f>IF($B1996="","",(IFERROR(INDEX(Setup!$G$33:$G$40,MATCH(C1996,Setup!$B$33:$B$40,0)),0)=1)*(COUNTIF(C1958:E1975,$B1996)+COUNTIF(C1958:E1975,$B1996&amp;" ~*")&gt;0)+(IFERROR(INDEX(Setup!$G$33:$G$40,MATCH(G1996,Setup!$B$33:$B$40,0)),0)=1)*(COUNTIF(G1958:I1975,$B1996)+COUNTIF(G1958:I1975,$B1996&amp;" ~*")&gt;0)+(IFERROR(INDEX(Setup!$G$33:$G$40,MATCH(K1996,Setup!$B$33:$B$40,0)),0)=1)*(COUNTIF(K1958:M1975,$B1996)+COUNTIF(K1958:M1975,$B1996&amp;" ~*")&gt;0)+(IFERROR(INDEX(Setup!$G$33:$G$40,MATCH(O1996,Setup!$B$33:$B$40,0)),0)=1)*(COUNTIF(O1958:Q1975,$B1996)+COUNTIF(O1958:Q1975,$B1996&amp;" ~*")&gt;0)+(IFERROR(INDEX(Setup!$G$33:$G$40,MATCH(S1996,Setup!$B$33:$B$40,0)),0)=1)*(COUNTIF(S1958:U1975,$B1996)+COUNTIF(S1958:U1975,$B1996&amp;" ~*")&gt;0)+(IFERROR(INDEX(Setup!$G$33:$G$40,MATCH(W1996,Setup!$B$33:$B$40,0)),0)=1)*(COUNTIF(W1958:W1975,$B1996)+COUNTIF(W1958:W1975,$B1996&amp;" ~*")&gt;0)+(IFERROR(INDEX(Setup!$G$33:$G$40,MATCH(Y1996,Setup!$B$33:$B$40,0)),0)=1)*(COUNTIF(Y1958:Y1975,$B1996)+COUNTIF(Y1958:Y1975,$B1996&amp;" ~*")&gt;0))</f>
        <v/>
      </c>
    </row>
    <row r="1997" ht="15" customHeight="1">
      <c r="A1997" t="n">
        <v>40</v>
      </c>
      <c r="B1997" s="35">
        <f>IF(Setup!$B$26="","",Setup!$B$26)</f>
        <v/>
      </c>
      <c r="C1997" s="98" t="n"/>
      <c r="D1997" s="99" t="n"/>
      <c r="E1997" s="99" t="n"/>
      <c r="F1997" s="100" t="n"/>
      <c r="G1997" s="98" t="n"/>
      <c r="H1997" s="99" t="n"/>
      <c r="I1997" s="99" t="n"/>
      <c r="J1997" s="100" t="n"/>
      <c r="K1997" s="98" t="n"/>
      <c r="L1997" s="99" t="n"/>
      <c r="M1997" s="99" t="n"/>
      <c r="N1997" s="100" t="n"/>
      <c r="O1997" s="98" t="n"/>
      <c r="P1997" s="99" t="n"/>
      <c r="Q1997" s="99" t="n"/>
      <c r="R1997" s="100" t="n"/>
      <c r="S1997" s="98" t="n"/>
      <c r="T1997" s="99" t="n"/>
      <c r="U1997" s="99" t="n"/>
      <c r="V1997" s="100" t="n"/>
      <c r="W1997" s="98" t="n"/>
      <c r="X1997" s="100" t="n"/>
      <c r="Y1997" s="98" t="n"/>
      <c r="Z1997" s="100" t="n"/>
      <c r="AB1997" s="101">
        <f>IF($B1997="","",(COUNTIF(C1958:E1975,$B1997)+COUNTIF(C1958:E1975,$B1997&amp;" ~*")&gt;0)+(COUNTIF(G1958:I1975,$B1997)+COUNTIF(G1958:I1975,$B1997&amp;" ~*")&gt;0)+(COUNTIF(K1958:M1975,$B1997)+COUNTIF(K1958:M1975,$B1997&amp;" ~*")&gt;0)+(COUNTIF(O1958:Q1975,$B1997)+COUNTIF(O1958:Q1975,$B1997&amp;" ~*")&gt;0)+(COUNTIF(S1958:U1975,$B1997)+COUNTIF(S1958:U1975,$B1997&amp;" ~*")&gt;0)+(COUNTIF(W1958:W1975,$B1997)+COUNTIF(W1958:W1975,$B1997&amp;" ~*")&gt;0)+(COUNTIF(Y1958:Y1975,$B1997)+COUNTIF(Y1958:Y1975,$B1997&amp;" ~*")&gt;0))</f>
        <v/>
      </c>
      <c r="AC1997" s="36">
        <f>IF($B1997="","",(IFERROR(INDEX(Setup!$G$33:$G$40,MATCH(C1997,Setup!$B$33:$B$40,0)),0)=1)*(COUNTIF(C1958:E1975,$B1997)+COUNTIF(C1958:E1975,$B1997&amp;" ~*")&gt;0)+(IFERROR(INDEX(Setup!$G$33:$G$40,MATCH(G1997,Setup!$B$33:$B$40,0)),0)=1)*(COUNTIF(G1958:I1975,$B1997)+COUNTIF(G1958:I1975,$B1997&amp;" ~*")&gt;0)+(IFERROR(INDEX(Setup!$G$33:$G$40,MATCH(K1997,Setup!$B$33:$B$40,0)),0)=1)*(COUNTIF(K1958:M1975,$B1997)+COUNTIF(K1958:M1975,$B1997&amp;" ~*")&gt;0)+(IFERROR(INDEX(Setup!$G$33:$G$40,MATCH(O1997,Setup!$B$33:$B$40,0)),0)=1)*(COUNTIF(O1958:Q1975,$B1997)+COUNTIF(O1958:Q1975,$B1997&amp;" ~*")&gt;0)+(IFERROR(INDEX(Setup!$G$33:$G$40,MATCH(S1997,Setup!$B$33:$B$40,0)),0)=1)*(COUNTIF(S1958:U1975,$B1997)+COUNTIF(S1958:U1975,$B1997&amp;" ~*")&gt;0)+(IFERROR(INDEX(Setup!$G$33:$G$40,MATCH(W1997,Setup!$B$33:$B$40,0)),0)=1)*(COUNTIF(W1958:W1975,$B1997)+COUNTIF(W1958:W1975,$B1997&amp;" ~*")&gt;0)+(IFERROR(INDEX(Setup!$G$33:$G$40,MATCH(Y1997,Setup!$B$33:$B$40,0)),0)=1)*(COUNTIF(Y1958:Y1975,$B1997)+COUNTIF(Y1958:Y1975,$B1997&amp;" ~*")&gt;0))</f>
        <v/>
      </c>
    </row>
    <row r="1998" ht="15" customHeight="1">
      <c r="A1998" t="n">
        <v>40</v>
      </c>
      <c r="B1998" s="37">
        <f>IF(Setup!$B$27="","",Setup!$B$27)</f>
        <v/>
      </c>
      <c r="C1998" s="102" t="n"/>
      <c r="D1998" s="103" t="n"/>
      <c r="E1998" s="103" t="n"/>
      <c r="F1998" s="104" t="n"/>
      <c r="G1998" s="102" t="n"/>
      <c r="H1998" s="103" t="n"/>
      <c r="I1998" s="103" t="n"/>
      <c r="J1998" s="104" t="n"/>
      <c r="K1998" s="102" t="n"/>
      <c r="L1998" s="103" t="n"/>
      <c r="M1998" s="103" t="n"/>
      <c r="N1998" s="104" t="n"/>
      <c r="O1998" s="102" t="n"/>
      <c r="P1998" s="103" t="n"/>
      <c r="Q1998" s="103" t="n"/>
      <c r="R1998" s="104" t="n"/>
      <c r="S1998" s="102" t="n"/>
      <c r="T1998" s="103" t="n"/>
      <c r="U1998" s="103" t="n"/>
      <c r="V1998" s="104" t="n"/>
      <c r="W1998" s="102" t="n"/>
      <c r="X1998" s="104" t="n"/>
      <c r="Y1998" s="102" t="n"/>
      <c r="Z1998" s="104" t="n"/>
      <c r="AB1998" s="105">
        <f>IF($B1998="","",(COUNTIF(C1958:E1975,$B1998)+COUNTIF(C1958:E1975,$B1998&amp;" ~*")&gt;0)+(COUNTIF(G1958:I1975,$B1998)+COUNTIF(G1958:I1975,$B1998&amp;" ~*")&gt;0)+(COUNTIF(K1958:M1975,$B1998)+COUNTIF(K1958:M1975,$B1998&amp;" ~*")&gt;0)+(COUNTIF(O1958:Q1975,$B1998)+COUNTIF(O1958:Q1975,$B1998&amp;" ~*")&gt;0)+(COUNTIF(S1958:U1975,$B1998)+COUNTIF(S1958:U1975,$B1998&amp;" ~*")&gt;0)+(COUNTIF(W1958:W1975,$B1998)+COUNTIF(W1958:W1975,$B1998&amp;" ~*")&gt;0)+(COUNTIF(Y1958:Y1975,$B1998)+COUNTIF(Y1958:Y1975,$B1998&amp;" ~*")&gt;0))</f>
        <v/>
      </c>
      <c r="AC1998" s="38">
        <f>IF($B1998="","",(IFERROR(INDEX(Setup!$G$33:$G$40,MATCH(C1998,Setup!$B$33:$B$40,0)),0)=1)*(COUNTIF(C1958:E1975,$B1998)+COUNTIF(C1958:E1975,$B1998&amp;" ~*")&gt;0)+(IFERROR(INDEX(Setup!$G$33:$G$40,MATCH(G1998,Setup!$B$33:$B$40,0)),0)=1)*(COUNTIF(G1958:I1975,$B1998)+COUNTIF(G1958:I1975,$B1998&amp;" ~*")&gt;0)+(IFERROR(INDEX(Setup!$G$33:$G$40,MATCH(K1998,Setup!$B$33:$B$40,0)),0)=1)*(COUNTIF(K1958:M1975,$B1998)+COUNTIF(K1958:M1975,$B1998&amp;" ~*")&gt;0)+(IFERROR(INDEX(Setup!$G$33:$G$40,MATCH(O1998,Setup!$B$33:$B$40,0)),0)=1)*(COUNTIF(O1958:Q1975,$B1998)+COUNTIF(O1958:Q1975,$B1998&amp;" ~*")&gt;0)+(IFERROR(INDEX(Setup!$G$33:$G$40,MATCH(S1998,Setup!$B$33:$B$40,0)),0)=1)*(COUNTIF(S1958:U1975,$B1998)+COUNTIF(S1958:U1975,$B1998&amp;" ~*")&gt;0)+(IFERROR(INDEX(Setup!$G$33:$G$40,MATCH(W1998,Setup!$B$33:$B$40,0)),0)=1)*(COUNTIF(W1958:W1975,$B1998)+COUNTIF(W1958:W1975,$B1998&amp;" ~*")&gt;0)+(IFERROR(INDEX(Setup!$G$33:$G$40,MATCH(Y1998,Setup!$B$33:$B$40,0)),0)=1)*(COUNTIF(Y1958:Y1975,$B1998)+COUNTIF(Y1958:Y1975,$B1998&amp;" ~*")&gt;0))</f>
        <v/>
      </c>
    </row>
    <row r="1999" ht="15" customHeight="1">
      <c r="A1999" t="n">
        <v>40</v>
      </c>
      <c r="B1999" s="35">
        <f>IF(Setup!$B$28="","",Setup!$B$28)</f>
        <v/>
      </c>
      <c r="C1999" s="98" t="n"/>
      <c r="D1999" s="99" t="n"/>
      <c r="E1999" s="99" t="n"/>
      <c r="F1999" s="100" t="n"/>
      <c r="G1999" s="98" t="n"/>
      <c r="H1999" s="99" t="n"/>
      <c r="I1999" s="99" t="n"/>
      <c r="J1999" s="100" t="n"/>
      <c r="K1999" s="98" t="n"/>
      <c r="L1999" s="99" t="n"/>
      <c r="M1999" s="99" t="n"/>
      <c r="N1999" s="100" t="n"/>
      <c r="O1999" s="98" t="n"/>
      <c r="P1999" s="99" t="n"/>
      <c r="Q1999" s="99" t="n"/>
      <c r="R1999" s="100" t="n"/>
      <c r="S1999" s="98" t="n"/>
      <c r="T1999" s="99" t="n"/>
      <c r="U1999" s="99" t="n"/>
      <c r="V1999" s="100" t="n"/>
      <c r="W1999" s="98" t="n"/>
      <c r="X1999" s="100" t="n"/>
      <c r="Y1999" s="98" t="n"/>
      <c r="Z1999" s="100" t="n"/>
      <c r="AB1999" s="101">
        <f>IF($B1999="","",(COUNTIF(C1958:E1975,$B1999)+COUNTIF(C1958:E1975,$B1999&amp;" ~*")&gt;0)+(COUNTIF(G1958:I1975,$B1999)+COUNTIF(G1958:I1975,$B1999&amp;" ~*")&gt;0)+(COUNTIF(K1958:M1975,$B1999)+COUNTIF(K1958:M1975,$B1999&amp;" ~*")&gt;0)+(COUNTIF(O1958:Q1975,$B1999)+COUNTIF(O1958:Q1975,$B1999&amp;" ~*")&gt;0)+(COUNTIF(S1958:U1975,$B1999)+COUNTIF(S1958:U1975,$B1999&amp;" ~*")&gt;0)+(COUNTIF(W1958:W1975,$B1999)+COUNTIF(W1958:W1975,$B1999&amp;" ~*")&gt;0)+(COUNTIF(Y1958:Y1975,$B1999)+COUNTIF(Y1958:Y1975,$B1999&amp;" ~*")&gt;0))</f>
        <v/>
      </c>
      <c r="AC1999" s="36">
        <f>IF($B1999="","",(IFERROR(INDEX(Setup!$G$33:$G$40,MATCH(C1999,Setup!$B$33:$B$40,0)),0)=1)*(COUNTIF(C1958:E1975,$B1999)+COUNTIF(C1958:E1975,$B1999&amp;" ~*")&gt;0)+(IFERROR(INDEX(Setup!$G$33:$G$40,MATCH(G1999,Setup!$B$33:$B$40,0)),0)=1)*(COUNTIF(G1958:I1975,$B1999)+COUNTIF(G1958:I1975,$B1999&amp;" ~*")&gt;0)+(IFERROR(INDEX(Setup!$G$33:$G$40,MATCH(K1999,Setup!$B$33:$B$40,0)),0)=1)*(COUNTIF(K1958:M1975,$B1999)+COUNTIF(K1958:M1975,$B1999&amp;" ~*")&gt;0)+(IFERROR(INDEX(Setup!$G$33:$G$40,MATCH(O1999,Setup!$B$33:$B$40,0)),0)=1)*(COUNTIF(O1958:Q1975,$B1999)+COUNTIF(O1958:Q1975,$B1999&amp;" ~*")&gt;0)+(IFERROR(INDEX(Setup!$G$33:$G$40,MATCH(S1999,Setup!$B$33:$B$40,0)),0)=1)*(COUNTIF(S1958:U1975,$B1999)+COUNTIF(S1958:U1975,$B1999&amp;" ~*")&gt;0)+(IFERROR(INDEX(Setup!$G$33:$G$40,MATCH(W1999,Setup!$B$33:$B$40,0)),0)=1)*(COUNTIF(W1958:W1975,$B1999)+COUNTIF(W1958:W1975,$B1999&amp;" ~*")&gt;0)+(IFERROR(INDEX(Setup!$G$33:$G$40,MATCH(Y1999,Setup!$B$33:$B$40,0)),0)=1)*(COUNTIF(Y1958:Y1975,$B1999)+COUNTIF(Y1958:Y1975,$B1999&amp;" ~*")&gt;0))</f>
        <v/>
      </c>
    </row>
    <row r="2000" ht="15" customHeight="1">
      <c r="A2000" t="n">
        <v>40</v>
      </c>
      <c r="B2000" s="37">
        <f>IF(Setup!$B$29="","",Setup!$B$29)</f>
        <v/>
      </c>
      <c r="C2000" s="102" t="n"/>
      <c r="D2000" s="103" t="n"/>
      <c r="E2000" s="103" t="n"/>
      <c r="F2000" s="104" t="n"/>
      <c r="G2000" s="102" t="n"/>
      <c r="H2000" s="103" t="n"/>
      <c r="I2000" s="103" t="n"/>
      <c r="J2000" s="104" t="n"/>
      <c r="K2000" s="102" t="n"/>
      <c r="L2000" s="103" t="n"/>
      <c r="M2000" s="103" t="n"/>
      <c r="N2000" s="104" t="n"/>
      <c r="O2000" s="102" t="n"/>
      <c r="P2000" s="103" t="n"/>
      <c r="Q2000" s="103" t="n"/>
      <c r="R2000" s="104" t="n"/>
      <c r="S2000" s="102" t="n"/>
      <c r="T2000" s="103" t="n"/>
      <c r="U2000" s="103" t="n"/>
      <c r="V2000" s="104" t="n"/>
      <c r="W2000" s="102" t="n"/>
      <c r="X2000" s="104" t="n"/>
      <c r="Y2000" s="102" t="n"/>
      <c r="Z2000" s="104" t="n"/>
      <c r="AB2000" s="105">
        <f>IF($B2000="","",(COUNTIF(C1958:E1975,$B2000)+COUNTIF(C1958:E1975,$B2000&amp;" ~*")&gt;0)+(COUNTIF(G1958:I1975,$B2000)+COUNTIF(G1958:I1975,$B2000&amp;" ~*")&gt;0)+(COUNTIF(K1958:M1975,$B2000)+COUNTIF(K1958:M1975,$B2000&amp;" ~*")&gt;0)+(COUNTIF(O1958:Q1975,$B2000)+COUNTIF(O1958:Q1975,$B2000&amp;" ~*")&gt;0)+(COUNTIF(S1958:U1975,$B2000)+COUNTIF(S1958:U1975,$B2000&amp;" ~*")&gt;0)+(COUNTIF(W1958:W1975,$B2000)+COUNTIF(W1958:W1975,$B2000&amp;" ~*")&gt;0)+(COUNTIF(Y1958:Y1975,$B2000)+COUNTIF(Y1958:Y1975,$B2000&amp;" ~*")&gt;0))</f>
        <v/>
      </c>
      <c r="AC2000" s="38">
        <f>IF($B2000="","",(IFERROR(INDEX(Setup!$G$33:$G$40,MATCH(C2000,Setup!$B$33:$B$40,0)),0)=1)*(COUNTIF(C1958:E1975,$B2000)+COUNTIF(C1958:E1975,$B2000&amp;" ~*")&gt;0)+(IFERROR(INDEX(Setup!$G$33:$G$40,MATCH(G2000,Setup!$B$33:$B$40,0)),0)=1)*(COUNTIF(G1958:I1975,$B2000)+COUNTIF(G1958:I1975,$B2000&amp;" ~*")&gt;0)+(IFERROR(INDEX(Setup!$G$33:$G$40,MATCH(K2000,Setup!$B$33:$B$40,0)),0)=1)*(COUNTIF(K1958:M1975,$B2000)+COUNTIF(K1958:M1975,$B2000&amp;" ~*")&gt;0)+(IFERROR(INDEX(Setup!$G$33:$G$40,MATCH(O2000,Setup!$B$33:$B$40,0)),0)=1)*(COUNTIF(O1958:Q1975,$B2000)+COUNTIF(O1958:Q1975,$B2000&amp;" ~*")&gt;0)+(IFERROR(INDEX(Setup!$G$33:$G$40,MATCH(S2000,Setup!$B$33:$B$40,0)),0)=1)*(COUNTIF(S1958:U1975,$B2000)+COUNTIF(S1958:U1975,$B2000&amp;" ~*")&gt;0)+(IFERROR(INDEX(Setup!$G$33:$G$40,MATCH(W2000,Setup!$B$33:$B$40,0)),0)=1)*(COUNTIF(W1958:W1975,$B2000)+COUNTIF(W1958:W1975,$B2000&amp;" ~*")&gt;0)+(IFERROR(INDEX(Setup!$G$33:$G$40,MATCH(Y2000,Setup!$B$33:$B$40,0)),0)=1)*(COUNTIF(Y1958:Y1975,$B2000)+COUNTIF(Y1958:Y1975,$B2000&amp;" ~*")&gt;0))</f>
        <v/>
      </c>
    </row>
    <row r="2001" ht="16" customHeight="1">
      <c r="A2001" t="n">
        <v>40</v>
      </c>
      <c r="B2001" s="106" t="inlineStr">
        <is>
          <t>Available people</t>
        </is>
      </c>
      <c r="C2001" s="107">
        <f>COUNTIFS(Setup!$E$6:$E$29,"Y",Setup!$B$6:$B$29,"?*")-SUMPRODUCT(COUNTIF(C1977:C2000,Setup!$F$33:$F$40))</f>
        <v/>
      </c>
      <c r="D2001" s="107" t="n"/>
      <c r="E2001" s="107" t="n"/>
      <c r="F2001" s="107" t="n"/>
      <c r="G2001" s="107">
        <f>COUNTIFS(Setup!$E$6:$E$29,"Y",Setup!$B$6:$B$29,"?*")-SUMPRODUCT(COUNTIF(G1977:G2000,Setup!$F$33:$F$40))</f>
        <v/>
      </c>
      <c r="H2001" s="107" t="n"/>
      <c r="I2001" s="107" t="n"/>
      <c r="J2001" s="107" t="n"/>
      <c r="K2001" s="107">
        <f>COUNTIFS(Setup!$E$6:$E$29,"Y",Setup!$B$6:$B$29,"?*")-SUMPRODUCT(COUNTIF(K1977:K2000,Setup!$F$33:$F$40))</f>
        <v/>
      </c>
      <c r="L2001" s="107" t="n"/>
      <c r="M2001" s="107" t="n"/>
      <c r="N2001" s="107" t="n"/>
      <c r="O2001" s="107">
        <f>COUNTIFS(Setup!$E$6:$E$29,"Y",Setup!$B$6:$B$29,"?*")-SUMPRODUCT(COUNTIF(O1977:O2000,Setup!$F$33:$F$40))</f>
        <v/>
      </c>
      <c r="P2001" s="107" t="n"/>
      <c r="Q2001" s="107" t="n"/>
      <c r="R2001" s="107" t="n"/>
      <c r="S2001" s="107">
        <f>COUNTIFS(Setup!$E$6:$E$29,"Y",Setup!$B$6:$B$29,"?*")-SUMPRODUCT(COUNTIF(S1977:S2000,Setup!$F$33:$F$40))</f>
        <v/>
      </c>
      <c r="T2001" s="107" t="n"/>
      <c r="U2001" s="107" t="n"/>
      <c r="V2001" s="107" t="n"/>
      <c r="W2001" s="107">
        <f>COUNTIFS(Setup!$E$6:$E$29,"Y",Setup!$B$6:$B$29,"?*")-SUMPRODUCT(COUNTIF(W1977:W2000,Setup!$F$33:$F$40))</f>
        <v/>
      </c>
      <c r="X2001" s="107" t="n"/>
      <c r="Y2001" s="107">
        <f>COUNTIFS(Setup!$E$6:$E$29,"Y",Setup!$B$6:$B$29,"?*")-SUMPRODUCT(COUNTIF(Y1977:Y2000,Setup!$F$33:$F$40))</f>
        <v/>
      </c>
      <c r="Z2001" s="107" t="n"/>
      <c r="AB2001" s="108">
        <f>SUM(AB1977:AB2000)</f>
        <v/>
      </c>
      <c r="AC2001" s="109">
        <f>SUM(AC1977:AC2000)</f>
        <v/>
      </c>
    </row>
    <row r="2002" ht="30" customHeight="1">
      <c r="A2002" t="n">
        <v>40</v>
      </c>
      <c r="B2002" s="110" t="inlineStr">
        <is>
          <t>Week notes</t>
        </is>
      </c>
      <c r="C2002" s="111" t="n"/>
      <c r="D2002" s="112" t="n"/>
      <c r="E2002" s="112" t="n"/>
      <c r="F2002" s="112" t="n"/>
      <c r="G2002" s="112" t="n"/>
      <c r="H2002" s="112" t="n"/>
      <c r="I2002" s="112" t="n"/>
      <c r="J2002" s="112" t="n"/>
      <c r="K2002" s="112" t="n"/>
      <c r="L2002" s="112" t="n"/>
      <c r="M2002" s="112" t="n"/>
      <c r="N2002" s="112" t="n"/>
      <c r="O2002" s="112" t="n"/>
      <c r="P2002" s="112" t="n"/>
      <c r="Q2002" s="112" t="n"/>
      <c r="R2002" s="112" t="n"/>
      <c r="S2002" s="112" t="n"/>
      <c r="T2002" s="112" t="n"/>
      <c r="U2002" s="112" t="n"/>
      <c r="V2002" s="112" t="n"/>
      <c r="W2002" s="112" t="n"/>
      <c r="X2002" s="112" t="n"/>
      <c r="Y2002" s="112" t="n"/>
      <c r="Z2002" s="113" t="n"/>
    </row>
    <row r="2003" ht="8" customHeight="1">
      <c r="A2003" t="n">
        <v>40</v>
      </c>
    </row>
    <row r="2004" ht="8" customHeight="1">
      <c r="A2004" t="n">
        <v>40</v>
      </c>
    </row>
    <row r="2005" ht="24" customHeight="1">
      <c r="A2005" t="n">
        <v>41</v>
      </c>
      <c r="B2005" s="73">
        <f>"WEEK 41     "&amp;TEXT(C2006,"ddd d mmm")&amp;"  –  "&amp;TEXT(C2006+6,"ddd d mmm yyyy")</f>
        <v/>
      </c>
      <c r="S2005" s="74">
        <f>IF(TODAY()&lt;C2006,"FUTURE",IF(TODAY()&gt;C2006+6,"PAST","THIS WEEK"))</f>
        <v/>
      </c>
      <c r="W2005" s="75">
        <f>IF(AND(Engine!$B$8=$AC$3,Engine!$B$9=$A2005),"◀ ACTIVE WEEK","")</f>
        <v/>
      </c>
      <c r="AA2005" s="76" t="n"/>
      <c r="AB2005" s="77" t="inlineStr">
        <is>
          <t>◀ Prev</t>
        </is>
      </c>
      <c r="AC2005" s="77" t="inlineStr">
        <is>
          <t>Next ▶</t>
        </is>
      </c>
    </row>
    <row r="2006" ht="18" customHeight="1">
      <c r="A2006" t="n">
        <v>41</v>
      </c>
      <c r="B2006" s="78" t="inlineStr">
        <is>
          <t>DUTY</t>
        </is>
      </c>
      <c r="C2006" s="79">
        <f>$AC$2+7*($A2006-1)</f>
        <v/>
      </c>
      <c r="D2006" s="80" t="n"/>
      <c r="E2006" s="80" t="n"/>
      <c r="F2006" s="81" t="n"/>
      <c r="G2006" s="79">
        <f>C2006+1</f>
        <v/>
      </c>
      <c r="H2006" s="80" t="n"/>
      <c r="I2006" s="80" t="n"/>
      <c r="J2006" s="81" t="n"/>
      <c r="K2006" s="79">
        <f>C2006+2</f>
        <v/>
      </c>
      <c r="L2006" s="80" t="n"/>
      <c r="M2006" s="80" t="n"/>
      <c r="N2006" s="81" t="n"/>
      <c r="O2006" s="79">
        <f>C2006+3</f>
        <v/>
      </c>
      <c r="P2006" s="80" t="n"/>
      <c r="Q2006" s="80" t="n"/>
      <c r="R2006" s="81" t="n"/>
      <c r="S2006" s="79">
        <f>C2006+4</f>
        <v/>
      </c>
      <c r="T2006" s="80" t="n"/>
      <c r="U2006" s="80" t="n"/>
      <c r="V2006" s="81" t="n"/>
      <c r="W2006" s="82">
        <f>C2006+5</f>
        <v/>
      </c>
      <c r="X2006" s="83" t="n"/>
      <c r="Y2006" s="82">
        <f>C2006+6</f>
        <v/>
      </c>
      <c r="Z2006" s="83" t="n"/>
      <c r="AB2006" s="72" t="inlineStr">
        <is>
          <t>Gaps</t>
        </is>
      </c>
      <c r="AC2006" s="72" t="inlineStr">
        <is>
          <t>Cover</t>
        </is>
      </c>
    </row>
    <row r="2007" ht="14" customHeight="1">
      <c r="A2007" t="n">
        <v>41</v>
      </c>
      <c r="B2007" s="84" t="inlineStr">
        <is>
          <t>(from Setup)</t>
        </is>
      </c>
      <c r="C2007" s="85" t="inlineStr">
        <is>
          <t>1</t>
        </is>
      </c>
      <c r="D2007" s="85" t="inlineStr">
        <is>
          <t>2</t>
        </is>
      </c>
      <c r="E2007" s="85" t="inlineStr">
        <is>
          <t>3</t>
        </is>
      </c>
      <c r="F2007" s="85" t="inlineStr">
        <is>
          <t>Notes</t>
        </is>
      </c>
      <c r="G2007" s="85" t="inlineStr">
        <is>
          <t>1</t>
        </is>
      </c>
      <c r="H2007" s="85" t="inlineStr">
        <is>
          <t>2</t>
        </is>
      </c>
      <c r="I2007" s="85" t="inlineStr">
        <is>
          <t>3</t>
        </is>
      </c>
      <c r="J2007" s="85" t="inlineStr">
        <is>
          <t>Notes</t>
        </is>
      </c>
      <c r="K2007" s="85" t="inlineStr">
        <is>
          <t>1</t>
        </is>
      </c>
      <c r="L2007" s="85" t="inlineStr">
        <is>
          <t>2</t>
        </is>
      </c>
      <c r="M2007" s="85" t="inlineStr">
        <is>
          <t>3</t>
        </is>
      </c>
      <c r="N2007" s="85" t="inlineStr">
        <is>
          <t>Notes</t>
        </is>
      </c>
      <c r="O2007" s="85" t="inlineStr">
        <is>
          <t>1</t>
        </is>
      </c>
      <c r="P2007" s="85" t="inlineStr">
        <is>
          <t>2</t>
        </is>
      </c>
      <c r="Q2007" s="85" t="inlineStr">
        <is>
          <t>3</t>
        </is>
      </c>
      <c r="R2007" s="85" t="inlineStr">
        <is>
          <t>Notes</t>
        </is>
      </c>
      <c r="S2007" s="85" t="inlineStr">
        <is>
          <t>1</t>
        </is>
      </c>
      <c r="T2007" s="85" t="inlineStr">
        <is>
          <t>2</t>
        </is>
      </c>
      <c r="U2007" s="85" t="inlineStr">
        <is>
          <t>3</t>
        </is>
      </c>
      <c r="V2007" s="85" t="inlineStr">
        <is>
          <t>Notes</t>
        </is>
      </c>
      <c r="W2007" s="85" t="inlineStr">
        <is>
          <t>Cover</t>
        </is>
      </c>
      <c r="X2007" s="85" t="inlineStr">
        <is>
          <t>Notes</t>
        </is>
      </c>
      <c r="Y2007" s="85" t="inlineStr">
        <is>
          <t>Cover</t>
        </is>
      </c>
      <c r="Z2007" s="85" t="inlineStr">
        <is>
          <t>Notes</t>
        </is>
      </c>
      <c r="AB2007" s="86" t="inlineStr">
        <is>
          <t>weekdays short</t>
        </is>
      </c>
      <c r="AC2007" s="87" t="inlineStr"/>
    </row>
    <row r="2008" ht="17" customHeight="1">
      <c r="A2008" t="n">
        <v>41</v>
      </c>
      <c r="B2008" s="24">
        <f>IF(Setup!$K$6="","",Setup!$K$6)</f>
        <v/>
      </c>
      <c r="C2008" s="88" t="n"/>
      <c r="D2008" s="88" t="n"/>
      <c r="E2008" s="88" t="n"/>
      <c r="F2008" s="89" t="n"/>
      <c r="G2008" s="88" t="n"/>
      <c r="H2008" s="88" t="n"/>
      <c r="I2008" s="88" t="n"/>
      <c r="J2008" s="89" t="n"/>
      <c r="K2008" s="88" t="n"/>
      <c r="L2008" s="88" t="n"/>
      <c r="M2008" s="88" t="n"/>
      <c r="N2008" s="89" t="n"/>
      <c r="O2008" s="88" t="n"/>
      <c r="P2008" s="88" t="n"/>
      <c r="Q2008" s="88" t="n"/>
      <c r="R2008" s="89" t="n"/>
      <c r="S2008" s="88" t="n"/>
      <c r="T2008" s="88" t="n"/>
      <c r="U2008" s="88" t="n"/>
      <c r="V2008" s="89" t="n"/>
      <c r="W2008" s="88" t="n"/>
      <c r="X2008" s="89" t="n"/>
      <c r="Y2008" s="88" t="n"/>
      <c r="Z2008" s="89" t="n"/>
      <c r="AB2008" s="25">
        <f>IF($B2008="","",(COUNTIF(C2008:E2008,"?*")&lt;N(INDEX(Setup!$L$6:$L$23,1)))+(COUNTIF(G2008:I2008,"?*")&lt;N(INDEX(Setup!$L$6:$L$23,1)))+(COUNTIF(K2008:M2008,"?*")&lt;N(INDEX(Setup!$L$6:$L$23,1)))+(COUNTIF(O2008:Q2008,"?*")&lt;N(INDEX(Setup!$L$6:$L$23,1)))+(COUNTIF(S2008:U2008,"?*")&lt;N(INDEX(Setup!$L$6:$L$23,1)))+((W2008="")*(INDEX(Setup!$M$6:$M$23,1)="Y"))+((Y2008="")*(INDEX(Setup!$M$6:$M$23,1)="Y")))</f>
        <v/>
      </c>
      <c r="AC2008" s="90">
        <f>IF($B2008="","",IF(AB2008=0,"✓ covered","⚠ "&amp;AB2008&amp;IF(AB2008=1," gap"," gaps")))</f>
        <v/>
      </c>
    </row>
    <row r="2009" ht="17" customHeight="1">
      <c r="A2009" t="n">
        <v>41</v>
      </c>
      <c r="B2009" s="29">
        <f>IF(Setup!$K$7="","",Setup!$K$7)</f>
        <v/>
      </c>
      <c r="C2009" s="88" t="n"/>
      <c r="D2009" s="88" t="n"/>
      <c r="E2009" s="88" t="n"/>
      <c r="F2009" s="89" t="n"/>
      <c r="G2009" s="88" t="n"/>
      <c r="H2009" s="88" t="n"/>
      <c r="I2009" s="88" t="n"/>
      <c r="J2009" s="89" t="n"/>
      <c r="K2009" s="88" t="n"/>
      <c r="L2009" s="88" t="n"/>
      <c r="M2009" s="88" t="n"/>
      <c r="N2009" s="89" t="n"/>
      <c r="O2009" s="88" t="n"/>
      <c r="P2009" s="88" t="n"/>
      <c r="Q2009" s="88" t="n"/>
      <c r="R2009" s="89" t="n"/>
      <c r="S2009" s="88" t="n"/>
      <c r="T2009" s="88" t="n"/>
      <c r="U2009" s="88" t="n"/>
      <c r="V2009" s="89" t="n"/>
      <c r="W2009" s="88" t="n"/>
      <c r="X2009" s="89" t="n"/>
      <c r="Y2009" s="88" t="n"/>
      <c r="Z2009" s="89" t="n"/>
      <c r="AB2009" s="30">
        <f>IF($B2009="","",(COUNTIF(C2009:E2009,"?*")&lt;N(INDEX(Setup!$L$6:$L$23,2)))+(COUNTIF(G2009:I2009,"?*")&lt;N(INDEX(Setup!$L$6:$L$23,2)))+(COUNTIF(K2009:M2009,"?*")&lt;N(INDEX(Setup!$L$6:$L$23,2)))+(COUNTIF(O2009:Q2009,"?*")&lt;N(INDEX(Setup!$L$6:$L$23,2)))+(COUNTIF(S2009:U2009,"?*")&lt;N(INDEX(Setup!$L$6:$L$23,2)))+((W2009="")*(INDEX(Setup!$M$6:$M$23,2)="Y"))+((Y2009="")*(INDEX(Setup!$M$6:$M$23,2)="Y")))</f>
        <v/>
      </c>
      <c r="AC2009" s="91">
        <f>IF($B2009="","",IF(AB2009=0,"✓ covered","⚠ "&amp;AB2009&amp;IF(AB2009=1," gap"," gaps")))</f>
        <v/>
      </c>
    </row>
    <row r="2010" ht="17" customHeight="1">
      <c r="A2010" t="n">
        <v>41</v>
      </c>
      <c r="B2010" s="24">
        <f>IF(Setup!$K$8="","",Setup!$K$8)</f>
        <v/>
      </c>
      <c r="C2010" s="88" t="n"/>
      <c r="D2010" s="88" t="n"/>
      <c r="E2010" s="88" t="n"/>
      <c r="F2010" s="89" t="n"/>
      <c r="G2010" s="88" t="n"/>
      <c r="H2010" s="88" t="n"/>
      <c r="I2010" s="88" t="n"/>
      <c r="J2010" s="89" t="n"/>
      <c r="K2010" s="88" t="n"/>
      <c r="L2010" s="88" t="n"/>
      <c r="M2010" s="88" t="n"/>
      <c r="N2010" s="89" t="n"/>
      <c r="O2010" s="88" t="n"/>
      <c r="P2010" s="88" t="n"/>
      <c r="Q2010" s="88" t="n"/>
      <c r="R2010" s="89" t="n"/>
      <c r="S2010" s="88" t="n"/>
      <c r="T2010" s="88" t="n"/>
      <c r="U2010" s="88" t="n"/>
      <c r="V2010" s="89" t="n"/>
      <c r="W2010" s="88" t="n"/>
      <c r="X2010" s="89" t="n"/>
      <c r="Y2010" s="88" t="n"/>
      <c r="Z2010" s="89" t="n"/>
      <c r="AB2010" s="25">
        <f>IF($B2010="","",(COUNTIF(C2010:E2010,"?*")&lt;N(INDEX(Setup!$L$6:$L$23,3)))+(COUNTIF(G2010:I2010,"?*")&lt;N(INDEX(Setup!$L$6:$L$23,3)))+(COUNTIF(K2010:M2010,"?*")&lt;N(INDEX(Setup!$L$6:$L$23,3)))+(COUNTIF(O2010:Q2010,"?*")&lt;N(INDEX(Setup!$L$6:$L$23,3)))+(COUNTIF(S2010:U2010,"?*")&lt;N(INDEX(Setup!$L$6:$L$23,3)))+((W2010="")*(INDEX(Setup!$M$6:$M$23,3)="Y"))+((Y2010="")*(INDEX(Setup!$M$6:$M$23,3)="Y")))</f>
        <v/>
      </c>
      <c r="AC2010" s="90">
        <f>IF($B2010="","",IF(AB2010=0,"✓ covered","⚠ "&amp;AB2010&amp;IF(AB2010=1," gap"," gaps")))</f>
        <v/>
      </c>
    </row>
    <row r="2011" ht="17" customHeight="1">
      <c r="A2011" t="n">
        <v>41</v>
      </c>
      <c r="B2011" s="29">
        <f>IF(Setup!$K$9="","",Setup!$K$9)</f>
        <v/>
      </c>
      <c r="C2011" s="88" t="n"/>
      <c r="D2011" s="88" t="n"/>
      <c r="E2011" s="88" t="n"/>
      <c r="F2011" s="89" t="n"/>
      <c r="G2011" s="88" t="n"/>
      <c r="H2011" s="88" t="n"/>
      <c r="I2011" s="88" t="n"/>
      <c r="J2011" s="89" t="n"/>
      <c r="K2011" s="88" t="n"/>
      <c r="L2011" s="88" t="n"/>
      <c r="M2011" s="88" t="n"/>
      <c r="N2011" s="89" t="n"/>
      <c r="O2011" s="88" t="n"/>
      <c r="P2011" s="88" t="n"/>
      <c r="Q2011" s="88" t="n"/>
      <c r="R2011" s="89" t="n"/>
      <c r="S2011" s="88" t="n"/>
      <c r="T2011" s="88" t="n"/>
      <c r="U2011" s="88" t="n"/>
      <c r="V2011" s="89" t="n"/>
      <c r="W2011" s="88" t="n"/>
      <c r="X2011" s="89" t="n"/>
      <c r="Y2011" s="88" t="n"/>
      <c r="Z2011" s="89" t="n"/>
      <c r="AB2011" s="30">
        <f>IF($B2011="","",(COUNTIF(C2011:E2011,"?*")&lt;N(INDEX(Setup!$L$6:$L$23,4)))+(COUNTIF(G2011:I2011,"?*")&lt;N(INDEX(Setup!$L$6:$L$23,4)))+(COUNTIF(K2011:M2011,"?*")&lt;N(INDEX(Setup!$L$6:$L$23,4)))+(COUNTIF(O2011:Q2011,"?*")&lt;N(INDEX(Setup!$L$6:$L$23,4)))+(COUNTIF(S2011:U2011,"?*")&lt;N(INDEX(Setup!$L$6:$L$23,4)))+((W2011="")*(INDEX(Setup!$M$6:$M$23,4)="Y"))+((Y2011="")*(INDEX(Setup!$M$6:$M$23,4)="Y")))</f>
        <v/>
      </c>
      <c r="AC2011" s="91">
        <f>IF($B2011="","",IF(AB2011=0,"✓ covered","⚠ "&amp;AB2011&amp;IF(AB2011=1," gap"," gaps")))</f>
        <v/>
      </c>
    </row>
    <row r="2012" ht="17" customHeight="1">
      <c r="A2012" t="n">
        <v>41</v>
      </c>
      <c r="B2012" s="24">
        <f>IF(Setup!$K$10="","",Setup!$K$10)</f>
        <v/>
      </c>
      <c r="C2012" s="88" t="n"/>
      <c r="D2012" s="88" t="n"/>
      <c r="E2012" s="88" t="n"/>
      <c r="F2012" s="89" t="n"/>
      <c r="G2012" s="88" t="n"/>
      <c r="H2012" s="88" t="n"/>
      <c r="I2012" s="88" t="n"/>
      <c r="J2012" s="89" t="n"/>
      <c r="K2012" s="88" t="n"/>
      <c r="L2012" s="88" t="n"/>
      <c r="M2012" s="88" t="n"/>
      <c r="N2012" s="89" t="n"/>
      <c r="O2012" s="88" t="n"/>
      <c r="P2012" s="88" t="n"/>
      <c r="Q2012" s="88" t="n"/>
      <c r="R2012" s="89" t="n"/>
      <c r="S2012" s="88" t="n"/>
      <c r="T2012" s="88" t="n"/>
      <c r="U2012" s="88" t="n"/>
      <c r="V2012" s="89" t="n"/>
      <c r="W2012" s="88" t="n"/>
      <c r="X2012" s="89" t="n"/>
      <c r="Y2012" s="88" t="n"/>
      <c r="Z2012" s="89" t="n"/>
      <c r="AB2012" s="25">
        <f>IF($B2012="","",(COUNTIF(C2012:E2012,"?*")&lt;N(INDEX(Setup!$L$6:$L$23,5)))+(COUNTIF(G2012:I2012,"?*")&lt;N(INDEX(Setup!$L$6:$L$23,5)))+(COUNTIF(K2012:M2012,"?*")&lt;N(INDEX(Setup!$L$6:$L$23,5)))+(COUNTIF(O2012:Q2012,"?*")&lt;N(INDEX(Setup!$L$6:$L$23,5)))+(COUNTIF(S2012:U2012,"?*")&lt;N(INDEX(Setup!$L$6:$L$23,5)))+((W2012="")*(INDEX(Setup!$M$6:$M$23,5)="Y"))+((Y2012="")*(INDEX(Setup!$M$6:$M$23,5)="Y")))</f>
        <v/>
      </c>
      <c r="AC2012" s="90">
        <f>IF($B2012="","",IF(AB2012=0,"✓ covered","⚠ "&amp;AB2012&amp;IF(AB2012=1," gap"," gaps")))</f>
        <v/>
      </c>
    </row>
    <row r="2013" ht="17" customHeight="1">
      <c r="A2013" t="n">
        <v>41</v>
      </c>
      <c r="B2013" s="29">
        <f>IF(Setup!$K$11="","",Setup!$K$11)</f>
        <v/>
      </c>
      <c r="C2013" s="88" t="n"/>
      <c r="D2013" s="88" t="n"/>
      <c r="E2013" s="88" t="n"/>
      <c r="F2013" s="89" t="n"/>
      <c r="G2013" s="88" t="n"/>
      <c r="H2013" s="88" t="n"/>
      <c r="I2013" s="88" t="n"/>
      <c r="J2013" s="89" t="n"/>
      <c r="K2013" s="88" t="n"/>
      <c r="L2013" s="88" t="n"/>
      <c r="M2013" s="88" t="n"/>
      <c r="N2013" s="89" t="n"/>
      <c r="O2013" s="88" t="n"/>
      <c r="P2013" s="88" t="n"/>
      <c r="Q2013" s="88" t="n"/>
      <c r="R2013" s="89" t="n"/>
      <c r="S2013" s="88" t="n"/>
      <c r="T2013" s="88" t="n"/>
      <c r="U2013" s="88" t="n"/>
      <c r="V2013" s="89" t="n"/>
      <c r="W2013" s="88" t="n"/>
      <c r="X2013" s="89" t="n"/>
      <c r="Y2013" s="88" t="n"/>
      <c r="Z2013" s="89" t="n"/>
      <c r="AB2013" s="30">
        <f>IF($B2013="","",(COUNTIF(C2013:E2013,"?*")&lt;N(INDEX(Setup!$L$6:$L$23,6)))+(COUNTIF(G2013:I2013,"?*")&lt;N(INDEX(Setup!$L$6:$L$23,6)))+(COUNTIF(K2013:M2013,"?*")&lt;N(INDEX(Setup!$L$6:$L$23,6)))+(COUNTIF(O2013:Q2013,"?*")&lt;N(INDEX(Setup!$L$6:$L$23,6)))+(COUNTIF(S2013:U2013,"?*")&lt;N(INDEX(Setup!$L$6:$L$23,6)))+((W2013="")*(INDEX(Setup!$M$6:$M$23,6)="Y"))+((Y2013="")*(INDEX(Setup!$M$6:$M$23,6)="Y")))</f>
        <v/>
      </c>
      <c r="AC2013" s="91">
        <f>IF($B2013="","",IF(AB2013=0,"✓ covered","⚠ "&amp;AB2013&amp;IF(AB2013=1," gap"," gaps")))</f>
        <v/>
      </c>
    </row>
    <row r="2014" ht="17" customHeight="1">
      <c r="A2014" t="n">
        <v>41</v>
      </c>
      <c r="B2014" s="24">
        <f>IF(Setup!$K$12="","",Setup!$K$12)</f>
        <v/>
      </c>
      <c r="C2014" s="88" t="n"/>
      <c r="D2014" s="88" t="n"/>
      <c r="E2014" s="88" t="n"/>
      <c r="F2014" s="89" t="n"/>
      <c r="G2014" s="88" t="n"/>
      <c r="H2014" s="88" t="n"/>
      <c r="I2014" s="88" t="n"/>
      <c r="J2014" s="89" t="n"/>
      <c r="K2014" s="88" t="n"/>
      <c r="L2014" s="88" t="n"/>
      <c r="M2014" s="88" t="n"/>
      <c r="N2014" s="89" t="n"/>
      <c r="O2014" s="88" t="n"/>
      <c r="P2014" s="88" t="n"/>
      <c r="Q2014" s="88" t="n"/>
      <c r="R2014" s="89" t="n"/>
      <c r="S2014" s="88" t="n"/>
      <c r="T2014" s="88" t="n"/>
      <c r="U2014" s="88" t="n"/>
      <c r="V2014" s="89" t="n"/>
      <c r="W2014" s="88" t="n"/>
      <c r="X2014" s="89" t="n"/>
      <c r="Y2014" s="88" t="n"/>
      <c r="Z2014" s="89" t="n"/>
      <c r="AB2014" s="25">
        <f>IF($B2014="","",(COUNTIF(C2014:E2014,"?*")&lt;N(INDEX(Setup!$L$6:$L$23,7)))+(COUNTIF(G2014:I2014,"?*")&lt;N(INDEX(Setup!$L$6:$L$23,7)))+(COUNTIF(K2014:M2014,"?*")&lt;N(INDEX(Setup!$L$6:$L$23,7)))+(COUNTIF(O2014:Q2014,"?*")&lt;N(INDEX(Setup!$L$6:$L$23,7)))+(COUNTIF(S2014:U2014,"?*")&lt;N(INDEX(Setup!$L$6:$L$23,7)))+((W2014="")*(INDEX(Setup!$M$6:$M$23,7)="Y"))+((Y2014="")*(INDEX(Setup!$M$6:$M$23,7)="Y")))</f>
        <v/>
      </c>
      <c r="AC2014" s="90">
        <f>IF($B2014="","",IF(AB2014=0,"✓ covered","⚠ "&amp;AB2014&amp;IF(AB2014=1," gap"," gaps")))</f>
        <v/>
      </c>
    </row>
    <row r="2015" ht="17" customHeight="1">
      <c r="A2015" t="n">
        <v>41</v>
      </c>
      <c r="B2015" s="29">
        <f>IF(Setup!$K$13="","",Setup!$K$13)</f>
        <v/>
      </c>
      <c r="C2015" s="88" t="n"/>
      <c r="D2015" s="88" t="n"/>
      <c r="E2015" s="88" t="n"/>
      <c r="F2015" s="89" t="n"/>
      <c r="G2015" s="88" t="n"/>
      <c r="H2015" s="88" t="n"/>
      <c r="I2015" s="88" t="n"/>
      <c r="J2015" s="89" t="n"/>
      <c r="K2015" s="88" t="n"/>
      <c r="L2015" s="88" t="n"/>
      <c r="M2015" s="88" t="n"/>
      <c r="N2015" s="89" t="n"/>
      <c r="O2015" s="88" t="n"/>
      <c r="P2015" s="88" t="n"/>
      <c r="Q2015" s="88" t="n"/>
      <c r="R2015" s="89" t="n"/>
      <c r="S2015" s="88" t="n"/>
      <c r="T2015" s="88" t="n"/>
      <c r="U2015" s="88" t="n"/>
      <c r="V2015" s="89" t="n"/>
      <c r="W2015" s="88" t="n"/>
      <c r="X2015" s="89" t="n"/>
      <c r="Y2015" s="88" t="n"/>
      <c r="Z2015" s="89" t="n"/>
      <c r="AB2015" s="30">
        <f>IF($B2015="","",(COUNTIF(C2015:E2015,"?*")&lt;N(INDEX(Setup!$L$6:$L$23,8)))+(COUNTIF(G2015:I2015,"?*")&lt;N(INDEX(Setup!$L$6:$L$23,8)))+(COUNTIF(K2015:M2015,"?*")&lt;N(INDEX(Setup!$L$6:$L$23,8)))+(COUNTIF(O2015:Q2015,"?*")&lt;N(INDEX(Setup!$L$6:$L$23,8)))+(COUNTIF(S2015:U2015,"?*")&lt;N(INDEX(Setup!$L$6:$L$23,8)))+((W2015="")*(INDEX(Setup!$M$6:$M$23,8)="Y"))+((Y2015="")*(INDEX(Setup!$M$6:$M$23,8)="Y")))</f>
        <v/>
      </c>
      <c r="AC2015" s="91">
        <f>IF($B2015="","",IF(AB2015=0,"✓ covered","⚠ "&amp;AB2015&amp;IF(AB2015=1," gap"," gaps")))</f>
        <v/>
      </c>
    </row>
    <row r="2016" ht="17" customHeight="1">
      <c r="A2016" t="n">
        <v>41</v>
      </c>
      <c r="B2016" s="24">
        <f>IF(Setup!$K$14="","",Setup!$K$14)</f>
        <v/>
      </c>
      <c r="C2016" s="88" t="n"/>
      <c r="D2016" s="88" t="n"/>
      <c r="E2016" s="88" t="n"/>
      <c r="F2016" s="89" t="n"/>
      <c r="G2016" s="88" t="n"/>
      <c r="H2016" s="88" t="n"/>
      <c r="I2016" s="88" t="n"/>
      <c r="J2016" s="89" t="n"/>
      <c r="K2016" s="88" t="n"/>
      <c r="L2016" s="88" t="n"/>
      <c r="M2016" s="88" t="n"/>
      <c r="N2016" s="89" t="n"/>
      <c r="O2016" s="88" t="n"/>
      <c r="P2016" s="88" t="n"/>
      <c r="Q2016" s="88" t="n"/>
      <c r="R2016" s="89" t="n"/>
      <c r="S2016" s="88" t="n"/>
      <c r="T2016" s="88" t="n"/>
      <c r="U2016" s="88" t="n"/>
      <c r="V2016" s="89" t="n"/>
      <c r="W2016" s="88" t="n"/>
      <c r="X2016" s="89" t="n"/>
      <c r="Y2016" s="88" t="n"/>
      <c r="Z2016" s="89" t="n"/>
      <c r="AB2016" s="25">
        <f>IF($B2016="","",(COUNTIF(C2016:E2016,"?*")&lt;N(INDEX(Setup!$L$6:$L$23,9)))+(COUNTIF(G2016:I2016,"?*")&lt;N(INDEX(Setup!$L$6:$L$23,9)))+(COUNTIF(K2016:M2016,"?*")&lt;N(INDEX(Setup!$L$6:$L$23,9)))+(COUNTIF(O2016:Q2016,"?*")&lt;N(INDEX(Setup!$L$6:$L$23,9)))+(COUNTIF(S2016:U2016,"?*")&lt;N(INDEX(Setup!$L$6:$L$23,9)))+((W2016="")*(INDEX(Setup!$M$6:$M$23,9)="Y"))+((Y2016="")*(INDEX(Setup!$M$6:$M$23,9)="Y")))</f>
        <v/>
      </c>
      <c r="AC2016" s="90">
        <f>IF($B2016="","",IF(AB2016=0,"✓ covered","⚠ "&amp;AB2016&amp;IF(AB2016=1," gap"," gaps")))</f>
        <v/>
      </c>
    </row>
    <row r="2017" ht="17" customHeight="1">
      <c r="A2017" t="n">
        <v>41</v>
      </c>
      <c r="B2017" s="29">
        <f>IF(Setup!$K$15="","",Setup!$K$15)</f>
        <v/>
      </c>
      <c r="C2017" s="88" t="n"/>
      <c r="D2017" s="88" t="n"/>
      <c r="E2017" s="88" t="n"/>
      <c r="F2017" s="89" t="n"/>
      <c r="G2017" s="88" t="n"/>
      <c r="H2017" s="88" t="n"/>
      <c r="I2017" s="88" t="n"/>
      <c r="J2017" s="89" t="n"/>
      <c r="K2017" s="88" t="n"/>
      <c r="L2017" s="88" t="n"/>
      <c r="M2017" s="88" t="n"/>
      <c r="N2017" s="89" t="n"/>
      <c r="O2017" s="88" t="n"/>
      <c r="P2017" s="88" t="n"/>
      <c r="Q2017" s="88" t="n"/>
      <c r="R2017" s="89" t="n"/>
      <c r="S2017" s="88" t="n"/>
      <c r="T2017" s="88" t="n"/>
      <c r="U2017" s="88" t="n"/>
      <c r="V2017" s="89" t="n"/>
      <c r="W2017" s="88" t="n"/>
      <c r="X2017" s="89" t="n"/>
      <c r="Y2017" s="88" t="n"/>
      <c r="Z2017" s="89" t="n"/>
      <c r="AB2017" s="30">
        <f>IF($B2017="","",(COUNTIF(C2017:E2017,"?*")&lt;N(INDEX(Setup!$L$6:$L$23,10)))+(COUNTIF(G2017:I2017,"?*")&lt;N(INDEX(Setup!$L$6:$L$23,10)))+(COUNTIF(K2017:M2017,"?*")&lt;N(INDEX(Setup!$L$6:$L$23,10)))+(COUNTIF(O2017:Q2017,"?*")&lt;N(INDEX(Setup!$L$6:$L$23,10)))+(COUNTIF(S2017:U2017,"?*")&lt;N(INDEX(Setup!$L$6:$L$23,10)))+((W2017="")*(INDEX(Setup!$M$6:$M$23,10)="Y"))+((Y2017="")*(INDEX(Setup!$M$6:$M$23,10)="Y")))</f>
        <v/>
      </c>
      <c r="AC2017" s="91">
        <f>IF($B2017="","",IF(AB2017=0,"✓ covered","⚠ "&amp;AB2017&amp;IF(AB2017=1," gap"," gaps")))</f>
        <v/>
      </c>
    </row>
    <row r="2018" ht="17" customHeight="1">
      <c r="A2018" t="n">
        <v>41</v>
      </c>
      <c r="B2018" s="24">
        <f>IF(Setup!$K$16="","",Setup!$K$16)</f>
        <v/>
      </c>
      <c r="C2018" s="88" t="n"/>
      <c r="D2018" s="88" t="n"/>
      <c r="E2018" s="88" t="n"/>
      <c r="F2018" s="89" t="n"/>
      <c r="G2018" s="88" t="n"/>
      <c r="H2018" s="88" t="n"/>
      <c r="I2018" s="88" t="n"/>
      <c r="J2018" s="89" t="n"/>
      <c r="K2018" s="88" t="n"/>
      <c r="L2018" s="88" t="n"/>
      <c r="M2018" s="88" t="n"/>
      <c r="N2018" s="89" t="n"/>
      <c r="O2018" s="88" t="n"/>
      <c r="P2018" s="88" t="n"/>
      <c r="Q2018" s="88" t="n"/>
      <c r="R2018" s="89" t="n"/>
      <c r="S2018" s="88" t="n"/>
      <c r="T2018" s="88" t="n"/>
      <c r="U2018" s="88" t="n"/>
      <c r="V2018" s="89" t="n"/>
      <c r="W2018" s="88" t="n"/>
      <c r="X2018" s="89" t="n"/>
      <c r="Y2018" s="88" t="n"/>
      <c r="Z2018" s="89" t="n"/>
      <c r="AB2018" s="25">
        <f>IF($B2018="","",(COUNTIF(C2018:E2018,"?*")&lt;N(INDEX(Setup!$L$6:$L$23,11)))+(COUNTIF(G2018:I2018,"?*")&lt;N(INDEX(Setup!$L$6:$L$23,11)))+(COUNTIF(K2018:M2018,"?*")&lt;N(INDEX(Setup!$L$6:$L$23,11)))+(COUNTIF(O2018:Q2018,"?*")&lt;N(INDEX(Setup!$L$6:$L$23,11)))+(COUNTIF(S2018:U2018,"?*")&lt;N(INDEX(Setup!$L$6:$L$23,11)))+((W2018="")*(INDEX(Setup!$M$6:$M$23,11)="Y"))+((Y2018="")*(INDEX(Setup!$M$6:$M$23,11)="Y")))</f>
        <v/>
      </c>
      <c r="AC2018" s="90">
        <f>IF($B2018="","",IF(AB2018=0,"✓ covered","⚠ "&amp;AB2018&amp;IF(AB2018=1," gap"," gaps")))</f>
        <v/>
      </c>
    </row>
    <row r="2019" ht="17" customHeight="1">
      <c r="A2019" t="n">
        <v>41</v>
      </c>
      <c r="B2019" s="29">
        <f>IF(Setup!$K$17="","",Setup!$K$17)</f>
        <v/>
      </c>
      <c r="C2019" s="88" t="n"/>
      <c r="D2019" s="88" t="n"/>
      <c r="E2019" s="88" t="n"/>
      <c r="F2019" s="89" t="n"/>
      <c r="G2019" s="88" t="n"/>
      <c r="H2019" s="88" t="n"/>
      <c r="I2019" s="88" t="n"/>
      <c r="J2019" s="89" t="n"/>
      <c r="K2019" s="88" t="n"/>
      <c r="L2019" s="88" t="n"/>
      <c r="M2019" s="88" t="n"/>
      <c r="N2019" s="89" t="n"/>
      <c r="O2019" s="88" t="n"/>
      <c r="P2019" s="88" t="n"/>
      <c r="Q2019" s="88" t="n"/>
      <c r="R2019" s="89" t="n"/>
      <c r="S2019" s="88" t="n"/>
      <c r="T2019" s="88" t="n"/>
      <c r="U2019" s="88" t="n"/>
      <c r="V2019" s="89" t="n"/>
      <c r="W2019" s="88" t="n"/>
      <c r="X2019" s="89" t="n"/>
      <c r="Y2019" s="88" t="n"/>
      <c r="Z2019" s="89" t="n"/>
      <c r="AB2019" s="30">
        <f>IF($B2019="","",(COUNTIF(C2019:E2019,"?*")&lt;N(INDEX(Setup!$L$6:$L$23,12)))+(COUNTIF(G2019:I2019,"?*")&lt;N(INDEX(Setup!$L$6:$L$23,12)))+(COUNTIF(K2019:M2019,"?*")&lt;N(INDEX(Setup!$L$6:$L$23,12)))+(COUNTIF(O2019:Q2019,"?*")&lt;N(INDEX(Setup!$L$6:$L$23,12)))+(COUNTIF(S2019:U2019,"?*")&lt;N(INDEX(Setup!$L$6:$L$23,12)))+((W2019="")*(INDEX(Setup!$M$6:$M$23,12)="Y"))+((Y2019="")*(INDEX(Setup!$M$6:$M$23,12)="Y")))</f>
        <v/>
      </c>
      <c r="AC2019" s="91">
        <f>IF($B2019="","",IF(AB2019=0,"✓ covered","⚠ "&amp;AB2019&amp;IF(AB2019=1," gap"," gaps")))</f>
        <v/>
      </c>
    </row>
    <row r="2020" ht="17" customHeight="1">
      <c r="A2020" t="n">
        <v>41</v>
      </c>
      <c r="B2020" s="24">
        <f>IF(Setup!$K$18="","",Setup!$K$18)</f>
        <v/>
      </c>
      <c r="C2020" s="88" t="n"/>
      <c r="D2020" s="88" t="n"/>
      <c r="E2020" s="88" t="n"/>
      <c r="F2020" s="89" t="n"/>
      <c r="G2020" s="88" t="n"/>
      <c r="H2020" s="88" t="n"/>
      <c r="I2020" s="88" t="n"/>
      <c r="J2020" s="89" t="n"/>
      <c r="K2020" s="88" t="n"/>
      <c r="L2020" s="88" t="n"/>
      <c r="M2020" s="88" t="n"/>
      <c r="N2020" s="89" t="n"/>
      <c r="O2020" s="88" t="n"/>
      <c r="P2020" s="88" t="n"/>
      <c r="Q2020" s="88" t="n"/>
      <c r="R2020" s="89" t="n"/>
      <c r="S2020" s="88" t="n"/>
      <c r="T2020" s="88" t="n"/>
      <c r="U2020" s="88" t="n"/>
      <c r="V2020" s="89" t="n"/>
      <c r="W2020" s="88" t="n"/>
      <c r="X2020" s="89" t="n"/>
      <c r="Y2020" s="88" t="n"/>
      <c r="Z2020" s="89" t="n"/>
      <c r="AB2020" s="25">
        <f>IF($B2020="","",(COUNTIF(C2020:E2020,"?*")&lt;N(INDEX(Setup!$L$6:$L$23,13)))+(COUNTIF(G2020:I2020,"?*")&lt;N(INDEX(Setup!$L$6:$L$23,13)))+(COUNTIF(K2020:M2020,"?*")&lt;N(INDEX(Setup!$L$6:$L$23,13)))+(COUNTIF(O2020:Q2020,"?*")&lt;N(INDEX(Setup!$L$6:$L$23,13)))+(COUNTIF(S2020:U2020,"?*")&lt;N(INDEX(Setup!$L$6:$L$23,13)))+((W2020="")*(INDEX(Setup!$M$6:$M$23,13)="Y"))+((Y2020="")*(INDEX(Setup!$M$6:$M$23,13)="Y")))</f>
        <v/>
      </c>
      <c r="AC2020" s="90">
        <f>IF($B2020="","",IF(AB2020=0,"✓ covered","⚠ "&amp;AB2020&amp;IF(AB2020=1," gap"," gaps")))</f>
        <v/>
      </c>
    </row>
    <row r="2021" ht="17" customHeight="1">
      <c r="A2021" t="n">
        <v>41</v>
      </c>
      <c r="B2021" s="29">
        <f>IF(Setup!$K$19="","",Setup!$K$19)</f>
        <v/>
      </c>
      <c r="C2021" s="88" t="n"/>
      <c r="D2021" s="88" t="n"/>
      <c r="E2021" s="88" t="n"/>
      <c r="F2021" s="89" t="n"/>
      <c r="G2021" s="88" t="n"/>
      <c r="H2021" s="88" t="n"/>
      <c r="I2021" s="88" t="n"/>
      <c r="J2021" s="89" t="n"/>
      <c r="K2021" s="88" t="n"/>
      <c r="L2021" s="88" t="n"/>
      <c r="M2021" s="88" t="n"/>
      <c r="N2021" s="89" t="n"/>
      <c r="O2021" s="88" t="n"/>
      <c r="P2021" s="88" t="n"/>
      <c r="Q2021" s="88" t="n"/>
      <c r="R2021" s="89" t="n"/>
      <c r="S2021" s="88" t="n"/>
      <c r="T2021" s="88" t="n"/>
      <c r="U2021" s="88" t="n"/>
      <c r="V2021" s="89" t="n"/>
      <c r="W2021" s="88" t="n"/>
      <c r="X2021" s="89" t="n"/>
      <c r="Y2021" s="88" t="n"/>
      <c r="Z2021" s="89" t="n"/>
      <c r="AB2021" s="30">
        <f>IF($B2021="","",(COUNTIF(C2021:E2021,"?*")&lt;N(INDEX(Setup!$L$6:$L$23,14)))+(COUNTIF(G2021:I2021,"?*")&lt;N(INDEX(Setup!$L$6:$L$23,14)))+(COUNTIF(K2021:M2021,"?*")&lt;N(INDEX(Setup!$L$6:$L$23,14)))+(COUNTIF(O2021:Q2021,"?*")&lt;N(INDEX(Setup!$L$6:$L$23,14)))+(COUNTIF(S2021:U2021,"?*")&lt;N(INDEX(Setup!$L$6:$L$23,14)))+((W2021="")*(INDEX(Setup!$M$6:$M$23,14)="Y"))+((Y2021="")*(INDEX(Setup!$M$6:$M$23,14)="Y")))</f>
        <v/>
      </c>
      <c r="AC2021" s="91">
        <f>IF($B2021="","",IF(AB2021=0,"✓ covered","⚠ "&amp;AB2021&amp;IF(AB2021=1," gap"," gaps")))</f>
        <v/>
      </c>
    </row>
    <row r="2022" ht="17" customHeight="1">
      <c r="A2022" t="n">
        <v>41</v>
      </c>
      <c r="B2022" s="24">
        <f>IF(Setup!$K$20="","",Setup!$K$20)</f>
        <v/>
      </c>
      <c r="C2022" s="88" t="n"/>
      <c r="D2022" s="88" t="n"/>
      <c r="E2022" s="88" t="n"/>
      <c r="F2022" s="89" t="n"/>
      <c r="G2022" s="88" t="n"/>
      <c r="H2022" s="88" t="n"/>
      <c r="I2022" s="88" t="n"/>
      <c r="J2022" s="89" t="n"/>
      <c r="K2022" s="88" t="n"/>
      <c r="L2022" s="88" t="n"/>
      <c r="M2022" s="88" t="n"/>
      <c r="N2022" s="89" t="n"/>
      <c r="O2022" s="88" t="n"/>
      <c r="P2022" s="88" t="n"/>
      <c r="Q2022" s="88" t="n"/>
      <c r="R2022" s="89" t="n"/>
      <c r="S2022" s="88" t="n"/>
      <c r="T2022" s="88" t="n"/>
      <c r="U2022" s="88" t="n"/>
      <c r="V2022" s="89" t="n"/>
      <c r="W2022" s="88" t="n"/>
      <c r="X2022" s="89" t="n"/>
      <c r="Y2022" s="88" t="n"/>
      <c r="Z2022" s="89" t="n"/>
      <c r="AB2022" s="25">
        <f>IF($B2022="","",(COUNTIF(C2022:E2022,"?*")&lt;N(INDEX(Setup!$L$6:$L$23,15)))+(COUNTIF(G2022:I2022,"?*")&lt;N(INDEX(Setup!$L$6:$L$23,15)))+(COUNTIF(K2022:M2022,"?*")&lt;N(INDEX(Setup!$L$6:$L$23,15)))+(COUNTIF(O2022:Q2022,"?*")&lt;N(INDEX(Setup!$L$6:$L$23,15)))+(COUNTIF(S2022:U2022,"?*")&lt;N(INDEX(Setup!$L$6:$L$23,15)))+((W2022="")*(INDEX(Setup!$M$6:$M$23,15)="Y"))+((Y2022="")*(INDEX(Setup!$M$6:$M$23,15)="Y")))</f>
        <v/>
      </c>
      <c r="AC2022" s="90">
        <f>IF($B2022="","",IF(AB2022=0,"✓ covered","⚠ "&amp;AB2022&amp;IF(AB2022=1," gap"," gaps")))</f>
        <v/>
      </c>
    </row>
    <row r="2023" ht="17" customHeight="1">
      <c r="A2023" t="n">
        <v>41</v>
      </c>
      <c r="B2023" s="29">
        <f>IF(Setup!$K$21="","",Setup!$K$21)</f>
        <v/>
      </c>
      <c r="C2023" s="88" t="n"/>
      <c r="D2023" s="88" t="n"/>
      <c r="E2023" s="88" t="n"/>
      <c r="F2023" s="89" t="n"/>
      <c r="G2023" s="88" t="n"/>
      <c r="H2023" s="88" t="n"/>
      <c r="I2023" s="88" t="n"/>
      <c r="J2023" s="89" t="n"/>
      <c r="K2023" s="88" t="n"/>
      <c r="L2023" s="88" t="n"/>
      <c r="M2023" s="88" t="n"/>
      <c r="N2023" s="89" t="n"/>
      <c r="O2023" s="88" t="n"/>
      <c r="P2023" s="88" t="n"/>
      <c r="Q2023" s="88" t="n"/>
      <c r="R2023" s="89" t="n"/>
      <c r="S2023" s="88" t="n"/>
      <c r="T2023" s="88" t="n"/>
      <c r="U2023" s="88" t="n"/>
      <c r="V2023" s="89" t="n"/>
      <c r="W2023" s="88" t="n"/>
      <c r="X2023" s="89" t="n"/>
      <c r="Y2023" s="88" t="n"/>
      <c r="Z2023" s="89" t="n"/>
      <c r="AB2023" s="30">
        <f>IF($B2023="","",(COUNTIF(C2023:E2023,"?*")&lt;N(INDEX(Setup!$L$6:$L$23,16)))+(COUNTIF(G2023:I2023,"?*")&lt;N(INDEX(Setup!$L$6:$L$23,16)))+(COUNTIF(K2023:M2023,"?*")&lt;N(INDEX(Setup!$L$6:$L$23,16)))+(COUNTIF(O2023:Q2023,"?*")&lt;N(INDEX(Setup!$L$6:$L$23,16)))+(COUNTIF(S2023:U2023,"?*")&lt;N(INDEX(Setup!$L$6:$L$23,16)))+((W2023="")*(INDEX(Setup!$M$6:$M$23,16)="Y"))+((Y2023="")*(INDEX(Setup!$M$6:$M$23,16)="Y")))</f>
        <v/>
      </c>
      <c r="AC2023" s="91">
        <f>IF($B2023="","",IF(AB2023=0,"✓ covered","⚠ "&amp;AB2023&amp;IF(AB2023=1," gap"," gaps")))</f>
        <v/>
      </c>
    </row>
    <row r="2024" ht="17" customHeight="1">
      <c r="A2024" t="n">
        <v>41</v>
      </c>
      <c r="B2024" s="24">
        <f>IF(Setup!$K$22="","",Setup!$K$22)</f>
        <v/>
      </c>
      <c r="C2024" s="88" t="n"/>
      <c r="D2024" s="88" t="n"/>
      <c r="E2024" s="88" t="n"/>
      <c r="F2024" s="89" t="n"/>
      <c r="G2024" s="88" t="n"/>
      <c r="H2024" s="88" t="n"/>
      <c r="I2024" s="88" t="n"/>
      <c r="J2024" s="89" t="n"/>
      <c r="K2024" s="88" t="n"/>
      <c r="L2024" s="88" t="n"/>
      <c r="M2024" s="88" t="n"/>
      <c r="N2024" s="89" t="n"/>
      <c r="O2024" s="88" t="n"/>
      <c r="P2024" s="88" t="n"/>
      <c r="Q2024" s="88" t="n"/>
      <c r="R2024" s="89" t="n"/>
      <c r="S2024" s="88" t="n"/>
      <c r="T2024" s="88" t="n"/>
      <c r="U2024" s="88" t="n"/>
      <c r="V2024" s="89" t="n"/>
      <c r="W2024" s="88" t="n"/>
      <c r="X2024" s="89" t="n"/>
      <c r="Y2024" s="88" t="n"/>
      <c r="Z2024" s="89" t="n"/>
      <c r="AB2024" s="25">
        <f>IF($B2024="","",(COUNTIF(C2024:E2024,"?*")&lt;N(INDEX(Setup!$L$6:$L$23,17)))+(COUNTIF(G2024:I2024,"?*")&lt;N(INDEX(Setup!$L$6:$L$23,17)))+(COUNTIF(K2024:M2024,"?*")&lt;N(INDEX(Setup!$L$6:$L$23,17)))+(COUNTIF(O2024:Q2024,"?*")&lt;N(INDEX(Setup!$L$6:$L$23,17)))+(COUNTIF(S2024:U2024,"?*")&lt;N(INDEX(Setup!$L$6:$L$23,17)))+((W2024="")*(INDEX(Setup!$M$6:$M$23,17)="Y"))+((Y2024="")*(INDEX(Setup!$M$6:$M$23,17)="Y")))</f>
        <v/>
      </c>
      <c r="AC2024" s="90">
        <f>IF($B2024="","",IF(AB2024=0,"✓ covered","⚠ "&amp;AB2024&amp;IF(AB2024=1," gap"," gaps")))</f>
        <v/>
      </c>
    </row>
    <row r="2025" ht="17" customHeight="1">
      <c r="A2025" t="n">
        <v>41</v>
      </c>
      <c r="B2025" s="29">
        <f>IF(Setup!$K$23="","",Setup!$K$23)</f>
        <v/>
      </c>
      <c r="C2025" s="88" t="n"/>
      <c r="D2025" s="88" t="n"/>
      <c r="E2025" s="88" t="n"/>
      <c r="F2025" s="89" t="n"/>
      <c r="G2025" s="88" t="n"/>
      <c r="H2025" s="88" t="n"/>
      <c r="I2025" s="88" t="n"/>
      <c r="J2025" s="89" t="n"/>
      <c r="K2025" s="88" t="n"/>
      <c r="L2025" s="88" t="n"/>
      <c r="M2025" s="88" t="n"/>
      <c r="N2025" s="89" t="n"/>
      <c r="O2025" s="88" t="n"/>
      <c r="P2025" s="88" t="n"/>
      <c r="Q2025" s="88" t="n"/>
      <c r="R2025" s="89" t="n"/>
      <c r="S2025" s="88" t="n"/>
      <c r="T2025" s="88" t="n"/>
      <c r="U2025" s="88" t="n"/>
      <c r="V2025" s="89" t="n"/>
      <c r="W2025" s="88" t="n"/>
      <c r="X2025" s="89" t="n"/>
      <c r="Y2025" s="88" t="n"/>
      <c r="Z2025" s="89" t="n"/>
      <c r="AB2025" s="30">
        <f>IF($B2025="","",(COUNTIF(C2025:E2025,"?*")&lt;N(INDEX(Setup!$L$6:$L$23,18)))+(COUNTIF(G2025:I2025,"?*")&lt;N(INDEX(Setup!$L$6:$L$23,18)))+(COUNTIF(K2025:M2025,"?*")&lt;N(INDEX(Setup!$L$6:$L$23,18)))+(COUNTIF(O2025:Q2025,"?*")&lt;N(INDEX(Setup!$L$6:$L$23,18)))+(COUNTIF(S2025:U2025,"?*")&lt;N(INDEX(Setup!$L$6:$L$23,18)))+((W2025="")*(INDEX(Setup!$M$6:$M$23,18)="Y"))+((Y2025="")*(INDEX(Setup!$M$6:$M$23,18)="Y")))</f>
        <v/>
      </c>
      <c r="AC2025" s="91">
        <f>IF($B2025="","",IF(AB2025=0,"✓ covered","⚠ "&amp;AB2025&amp;IF(AB2025=1," gap"," gaps")))</f>
        <v/>
      </c>
    </row>
    <row r="2026" ht="18" customHeight="1">
      <c r="A2026" t="n">
        <v>41</v>
      </c>
      <c r="B2026" s="78" t="inlineStr">
        <is>
          <t>TEAM AVAILABILITY</t>
        </is>
      </c>
      <c r="C2026" s="92" t="inlineStr">
        <is>
          <t>Mon</t>
        </is>
      </c>
      <c r="D2026" s="93" t="n"/>
      <c r="E2026" s="93" t="n"/>
      <c r="F2026" s="94" t="n"/>
      <c r="G2026" s="92" t="inlineStr">
        <is>
          <t>Tue</t>
        </is>
      </c>
      <c r="H2026" s="93" t="n"/>
      <c r="I2026" s="93" t="n"/>
      <c r="J2026" s="94" t="n"/>
      <c r="K2026" s="92" t="inlineStr">
        <is>
          <t>Wed</t>
        </is>
      </c>
      <c r="L2026" s="93" t="n"/>
      <c r="M2026" s="93" t="n"/>
      <c r="N2026" s="94" t="n"/>
      <c r="O2026" s="92" t="inlineStr">
        <is>
          <t>Thu</t>
        </is>
      </c>
      <c r="P2026" s="93" t="n"/>
      <c r="Q2026" s="93" t="n"/>
      <c r="R2026" s="94" t="n"/>
      <c r="S2026" s="92" t="inlineStr">
        <is>
          <t>Fri</t>
        </is>
      </c>
      <c r="T2026" s="93" t="n"/>
      <c r="U2026" s="93" t="n"/>
      <c r="V2026" s="94" t="n"/>
      <c r="W2026" s="95" t="inlineStr">
        <is>
          <t>Sat</t>
        </is>
      </c>
      <c r="X2026" s="96" t="n"/>
      <c r="Y2026" s="95" t="inlineStr">
        <is>
          <t>Sun</t>
        </is>
      </c>
      <c r="Z2026" s="96" t="n"/>
      <c r="AB2026" s="97" t="inlineStr">
        <is>
          <t>Days rostered</t>
        </is>
      </c>
      <c r="AC2026" s="97" t="inlineStr">
        <is>
          <t>Conflicts</t>
        </is>
      </c>
    </row>
    <row r="2027" ht="15" customHeight="1">
      <c r="A2027" t="n">
        <v>41</v>
      </c>
      <c r="B2027" s="35">
        <f>IF(Setup!$B$6="","",Setup!$B$6)</f>
        <v/>
      </c>
      <c r="C2027" s="98" t="n"/>
      <c r="D2027" s="99" t="n"/>
      <c r="E2027" s="99" t="n"/>
      <c r="F2027" s="100" t="n"/>
      <c r="G2027" s="98" t="n"/>
      <c r="H2027" s="99" t="n"/>
      <c r="I2027" s="99" t="n"/>
      <c r="J2027" s="100" t="n"/>
      <c r="K2027" s="98" t="n"/>
      <c r="L2027" s="99" t="n"/>
      <c r="M2027" s="99" t="n"/>
      <c r="N2027" s="100" t="n"/>
      <c r="O2027" s="98" t="n"/>
      <c r="P2027" s="99" t="n"/>
      <c r="Q2027" s="99" t="n"/>
      <c r="R2027" s="100" t="n"/>
      <c r="S2027" s="98" t="n"/>
      <c r="T2027" s="99" t="n"/>
      <c r="U2027" s="99" t="n"/>
      <c r="V2027" s="100" t="n"/>
      <c r="W2027" s="98" t="n"/>
      <c r="X2027" s="100" t="n"/>
      <c r="Y2027" s="98" t="n"/>
      <c r="Z2027" s="100" t="n"/>
      <c r="AB2027" s="101">
        <f>IF($B2027="","",(COUNTIF(C2008:E2025,$B2027)+COUNTIF(C2008:E2025,$B2027&amp;" ~*")&gt;0)+(COUNTIF(G2008:I2025,$B2027)+COUNTIF(G2008:I2025,$B2027&amp;" ~*")&gt;0)+(COUNTIF(K2008:M2025,$B2027)+COUNTIF(K2008:M2025,$B2027&amp;" ~*")&gt;0)+(COUNTIF(O2008:Q2025,$B2027)+COUNTIF(O2008:Q2025,$B2027&amp;" ~*")&gt;0)+(COUNTIF(S2008:U2025,$B2027)+COUNTIF(S2008:U2025,$B2027&amp;" ~*")&gt;0)+(COUNTIF(W2008:W2025,$B2027)+COUNTIF(W2008:W2025,$B2027&amp;" ~*")&gt;0)+(COUNTIF(Y2008:Y2025,$B2027)+COUNTIF(Y2008:Y2025,$B2027&amp;" ~*")&gt;0))</f>
        <v/>
      </c>
      <c r="AC2027" s="36">
        <f>IF($B2027="","",(IFERROR(INDEX(Setup!$G$33:$G$40,MATCH(C2027,Setup!$B$33:$B$40,0)),0)=1)*(COUNTIF(C2008:E2025,$B2027)+COUNTIF(C2008:E2025,$B2027&amp;" ~*")&gt;0)+(IFERROR(INDEX(Setup!$G$33:$G$40,MATCH(G2027,Setup!$B$33:$B$40,0)),0)=1)*(COUNTIF(G2008:I2025,$B2027)+COUNTIF(G2008:I2025,$B2027&amp;" ~*")&gt;0)+(IFERROR(INDEX(Setup!$G$33:$G$40,MATCH(K2027,Setup!$B$33:$B$40,0)),0)=1)*(COUNTIF(K2008:M2025,$B2027)+COUNTIF(K2008:M2025,$B2027&amp;" ~*")&gt;0)+(IFERROR(INDEX(Setup!$G$33:$G$40,MATCH(O2027,Setup!$B$33:$B$40,0)),0)=1)*(COUNTIF(O2008:Q2025,$B2027)+COUNTIF(O2008:Q2025,$B2027&amp;" ~*")&gt;0)+(IFERROR(INDEX(Setup!$G$33:$G$40,MATCH(S2027,Setup!$B$33:$B$40,0)),0)=1)*(COUNTIF(S2008:U2025,$B2027)+COUNTIF(S2008:U2025,$B2027&amp;" ~*")&gt;0)+(IFERROR(INDEX(Setup!$G$33:$G$40,MATCH(W2027,Setup!$B$33:$B$40,0)),0)=1)*(COUNTIF(W2008:W2025,$B2027)+COUNTIF(W2008:W2025,$B2027&amp;" ~*")&gt;0)+(IFERROR(INDEX(Setup!$G$33:$G$40,MATCH(Y2027,Setup!$B$33:$B$40,0)),0)=1)*(COUNTIF(Y2008:Y2025,$B2027)+COUNTIF(Y2008:Y2025,$B2027&amp;" ~*")&gt;0))</f>
        <v/>
      </c>
    </row>
    <row r="2028" ht="15" customHeight="1">
      <c r="A2028" t="n">
        <v>41</v>
      </c>
      <c r="B2028" s="37">
        <f>IF(Setup!$B$7="","",Setup!$B$7)</f>
        <v/>
      </c>
      <c r="C2028" s="102" t="n"/>
      <c r="D2028" s="103" t="n"/>
      <c r="E2028" s="103" t="n"/>
      <c r="F2028" s="104" t="n"/>
      <c r="G2028" s="102" t="n"/>
      <c r="H2028" s="103" t="n"/>
      <c r="I2028" s="103" t="n"/>
      <c r="J2028" s="104" t="n"/>
      <c r="K2028" s="102" t="n"/>
      <c r="L2028" s="103" t="n"/>
      <c r="M2028" s="103" t="n"/>
      <c r="N2028" s="104" t="n"/>
      <c r="O2028" s="102" t="n"/>
      <c r="P2028" s="103" t="n"/>
      <c r="Q2028" s="103" t="n"/>
      <c r="R2028" s="104" t="n"/>
      <c r="S2028" s="102" t="n"/>
      <c r="T2028" s="103" t="n"/>
      <c r="U2028" s="103" t="n"/>
      <c r="V2028" s="104" t="n"/>
      <c r="W2028" s="102" t="n"/>
      <c r="X2028" s="104" t="n"/>
      <c r="Y2028" s="102" t="n"/>
      <c r="Z2028" s="104" t="n"/>
      <c r="AB2028" s="105">
        <f>IF($B2028="","",(COUNTIF(C2008:E2025,$B2028)+COUNTIF(C2008:E2025,$B2028&amp;" ~*")&gt;0)+(COUNTIF(G2008:I2025,$B2028)+COUNTIF(G2008:I2025,$B2028&amp;" ~*")&gt;0)+(COUNTIF(K2008:M2025,$B2028)+COUNTIF(K2008:M2025,$B2028&amp;" ~*")&gt;0)+(COUNTIF(O2008:Q2025,$B2028)+COUNTIF(O2008:Q2025,$B2028&amp;" ~*")&gt;0)+(COUNTIF(S2008:U2025,$B2028)+COUNTIF(S2008:U2025,$B2028&amp;" ~*")&gt;0)+(COUNTIF(W2008:W2025,$B2028)+COUNTIF(W2008:W2025,$B2028&amp;" ~*")&gt;0)+(COUNTIF(Y2008:Y2025,$B2028)+COUNTIF(Y2008:Y2025,$B2028&amp;" ~*")&gt;0))</f>
        <v/>
      </c>
      <c r="AC2028" s="38">
        <f>IF($B2028="","",(IFERROR(INDEX(Setup!$G$33:$G$40,MATCH(C2028,Setup!$B$33:$B$40,0)),0)=1)*(COUNTIF(C2008:E2025,$B2028)+COUNTIF(C2008:E2025,$B2028&amp;" ~*")&gt;0)+(IFERROR(INDEX(Setup!$G$33:$G$40,MATCH(G2028,Setup!$B$33:$B$40,0)),0)=1)*(COUNTIF(G2008:I2025,$B2028)+COUNTIF(G2008:I2025,$B2028&amp;" ~*")&gt;0)+(IFERROR(INDEX(Setup!$G$33:$G$40,MATCH(K2028,Setup!$B$33:$B$40,0)),0)=1)*(COUNTIF(K2008:M2025,$B2028)+COUNTIF(K2008:M2025,$B2028&amp;" ~*")&gt;0)+(IFERROR(INDEX(Setup!$G$33:$G$40,MATCH(O2028,Setup!$B$33:$B$40,0)),0)=1)*(COUNTIF(O2008:Q2025,$B2028)+COUNTIF(O2008:Q2025,$B2028&amp;" ~*")&gt;0)+(IFERROR(INDEX(Setup!$G$33:$G$40,MATCH(S2028,Setup!$B$33:$B$40,0)),0)=1)*(COUNTIF(S2008:U2025,$B2028)+COUNTIF(S2008:U2025,$B2028&amp;" ~*")&gt;0)+(IFERROR(INDEX(Setup!$G$33:$G$40,MATCH(W2028,Setup!$B$33:$B$40,0)),0)=1)*(COUNTIF(W2008:W2025,$B2028)+COUNTIF(W2008:W2025,$B2028&amp;" ~*")&gt;0)+(IFERROR(INDEX(Setup!$G$33:$G$40,MATCH(Y2028,Setup!$B$33:$B$40,0)),0)=1)*(COUNTIF(Y2008:Y2025,$B2028)+COUNTIF(Y2008:Y2025,$B2028&amp;" ~*")&gt;0))</f>
        <v/>
      </c>
    </row>
    <row r="2029" ht="15" customHeight="1">
      <c r="A2029" t="n">
        <v>41</v>
      </c>
      <c r="B2029" s="35">
        <f>IF(Setup!$B$8="","",Setup!$B$8)</f>
        <v/>
      </c>
      <c r="C2029" s="98" t="n"/>
      <c r="D2029" s="99" t="n"/>
      <c r="E2029" s="99" t="n"/>
      <c r="F2029" s="100" t="n"/>
      <c r="G2029" s="98" t="n"/>
      <c r="H2029" s="99" t="n"/>
      <c r="I2029" s="99" t="n"/>
      <c r="J2029" s="100" t="n"/>
      <c r="K2029" s="98" t="n"/>
      <c r="L2029" s="99" t="n"/>
      <c r="M2029" s="99" t="n"/>
      <c r="N2029" s="100" t="n"/>
      <c r="O2029" s="98" t="n"/>
      <c r="P2029" s="99" t="n"/>
      <c r="Q2029" s="99" t="n"/>
      <c r="R2029" s="100" t="n"/>
      <c r="S2029" s="98" t="n"/>
      <c r="T2029" s="99" t="n"/>
      <c r="U2029" s="99" t="n"/>
      <c r="V2029" s="100" t="n"/>
      <c r="W2029" s="98" t="n"/>
      <c r="X2029" s="100" t="n"/>
      <c r="Y2029" s="98" t="n"/>
      <c r="Z2029" s="100" t="n"/>
      <c r="AB2029" s="101">
        <f>IF($B2029="","",(COUNTIF(C2008:E2025,$B2029)+COUNTIF(C2008:E2025,$B2029&amp;" ~*")&gt;0)+(COUNTIF(G2008:I2025,$B2029)+COUNTIF(G2008:I2025,$B2029&amp;" ~*")&gt;0)+(COUNTIF(K2008:M2025,$B2029)+COUNTIF(K2008:M2025,$B2029&amp;" ~*")&gt;0)+(COUNTIF(O2008:Q2025,$B2029)+COUNTIF(O2008:Q2025,$B2029&amp;" ~*")&gt;0)+(COUNTIF(S2008:U2025,$B2029)+COUNTIF(S2008:U2025,$B2029&amp;" ~*")&gt;0)+(COUNTIF(W2008:W2025,$B2029)+COUNTIF(W2008:W2025,$B2029&amp;" ~*")&gt;0)+(COUNTIF(Y2008:Y2025,$B2029)+COUNTIF(Y2008:Y2025,$B2029&amp;" ~*")&gt;0))</f>
        <v/>
      </c>
      <c r="AC2029" s="36">
        <f>IF($B2029="","",(IFERROR(INDEX(Setup!$G$33:$G$40,MATCH(C2029,Setup!$B$33:$B$40,0)),0)=1)*(COUNTIF(C2008:E2025,$B2029)+COUNTIF(C2008:E2025,$B2029&amp;" ~*")&gt;0)+(IFERROR(INDEX(Setup!$G$33:$G$40,MATCH(G2029,Setup!$B$33:$B$40,0)),0)=1)*(COUNTIF(G2008:I2025,$B2029)+COUNTIF(G2008:I2025,$B2029&amp;" ~*")&gt;0)+(IFERROR(INDEX(Setup!$G$33:$G$40,MATCH(K2029,Setup!$B$33:$B$40,0)),0)=1)*(COUNTIF(K2008:M2025,$B2029)+COUNTIF(K2008:M2025,$B2029&amp;" ~*")&gt;0)+(IFERROR(INDEX(Setup!$G$33:$G$40,MATCH(O2029,Setup!$B$33:$B$40,0)),0)=1)*(COUNTIF(O2008:Q2025,$B2029)+COUNTIF(O2008:Q2025,$B2029&amp;" ~*")&gt;0)+(IFERROR(INDEX(Setup!$G$33:$G$40,MATCH(S2029,Setup!$B$33:$B$40,0)),0)=1)*(COUNTIF(S2008:U2025,$B2029)+COUNTIF(S2008:U2025,$B2029&amp;" ~*")&gt;0)+(IFERROR(INDEX(Setup!$G$33:$G$40,MATCH(W2029,Setup!$B$33:$B$40,0)),0)=1)*(COUNTIF(W2008:W2025,$B2029)+COUNTIF(W2008:W2025,$B2029&amp;" ~*")&gt;0)+(IFERROR(INDEX(Setup!$G$33:$G$40,MATCH(Y2029,Setup!$B$33:$B$40,0)),0)=1)*(COUNTIF(Y2008:Y2025,$B2029)+COUNTIF(Y2008:Y2025,$B2029&amp;" ~*")&gt;0))</f>
        <v/>
      </c>
    </row>
    <row r="2030" ht="15" customHeight="1">
      <c r="A2030" t="n">
        <v>41</v>
      </c>
      <c r="B2030" s="37">
        <f>IF(Setup!$B$9="","",Setup!$B$9)</f>
        <v/>
      </c>
      <c r="C2030" s="102" t="n"/>
      <c r="D2030" s="103" t="n"/>
      <c r="E2030" s="103" t="n"/>
      <c r="F2030" s="104" t="n"/>
      <c r="G2030" s="102" t="n"/>
      <c r="H2030" s="103" t="n"/>
      <c r="I2030" s="103" t="n"/>
      <c r="J2030" s="104" t="n"/>
      <c r="K2030" s="102" t="n"/>
      <c r="L2030" s="103" t="n"/>
      <c r="M2030" s="103" t="n"/>
      <c r="N2030" s="104" t="n"/>
      <c r="O2030" s="102" t="n"/>
      <c r="P2030" s="103" t="n"/>
      <c r="Q2030" s="103" t="n"/>
      <c r="R2030" s="104" t="n"/>
      <c r="S2030" s="102" t="n"/>
      <c r="T2030" s="103" t="n"/>
      <c r="U2030" s="103" t="n"/>
      <c r="V2030" s="104" t="n"/>
      <c r="W2030" s="102" t="n"/>
      <c r="X2030" s="104" t="n"/>
      <c r="Y2030" s="102" t="n"/>
      <c r="Z2030" s="104" t="n"/>
      <c r="AB2030" s="105">
        <f>IF($B2030="","",(COUNTIF(C2008:E2025,$B2030)+COUNTIF(C2008:E2025,$B2030&amp;" ~*")&gt;0)+(COUNTIF(G2008:I2025,$B2030)+COUNTIF(G2008:I2025,$B2030&amp;" ~*")&gt;0)+(COUNTIF(K2008:M2025,$B2030)+COUNTIF(K2008:M2025,$B2030&amp;" ~*")&gt;0)+(COUNTIF(O2008:Q2025,$B2030)+COUNTIF(O2008:Q2025,$B2030&amp;" ~*")&gt;0)+(COUNTIF(S2008:U2025,$B2030)+COUNTIF(S2008:U2025,$B2030&amp;" ~*")&gt;0)+(COUNTIF(W2008:W2025,$B2030)+COUNTIF(W2008:W2025,$B2030&amp;" ~*")&gt;0)+(COUNTIF(Y2008:Y2025,$B2030)+COUNTIF(Y2008:Y2025,$B2030&amp;" ~*")&gt;0))</f>
        <v/>
      </c>
      <c r="AC2030" s="38">
        <f>IF($B2030="","",(IFERROR(INDEX(Setup!$G$33:$G$40,MATCH(C2030,Setup!$B$33:$B$40,0)),0)=1)*(COUNTIF(C2008:E2025,$B2030)+COUNTIF(C2008:E2025,$B2030&amp;" ~*")&gt;0)+(IFERROR(INDEX(Setup!$G$33:$G$40,MATCH(G2030,Setup!$B$33:$B$40,0)),0)=1)*(COUNTIF(G2008:I2025,$B2030)+COUNTIF(G2008:I2025,$B2030&amp;" ~*")&gt;0)+(IFERROR(INDEX(Setup!$G$33:$G$40,MATCH(K2030,Setup!$B$33:$B$40,0)),0)=1)*(COUNTIF(K2008:M2025,$B2030)+COUNTIF(K2008:M2025,$B2030&amp;" ~*")&gt;0)+(IFERROR(INDEX(Setup!$G$33:$G$40,MATCH(O2030,Setup!$B$33:$B$40,0)),0)=1)*(COUNTIF(O2008:Q2025,$B2030)+COUNTIF(O2008:Q2025,$B2030&amp;" ~*")&gt;0)+(IFERROR(INDEX(Setup!$G$33:$G$40,MATCH(S2030,Setup!$B$33:$B$40,0)),0)=1)*(COUNTIF(S2008:U2025,$B2030)+COUNTIF(S2008:U2025,$B2030&amp;" ~*")&gt;0)+(IFERROR(INDEX(Setup!$G$33:$G$40,MATCH(W2030,Setup!$B$33:$B$40,0)),0)=1)*(COUNTIF(W2008:W2025,$B2030)+COUNTIF(W2008:W2025,$B2030&amp;" ~*")&gt;0)+(IFERROR(INDEX(Setup!$G$33:$G$40,MATCH(Y2030,Setup!$B$33:$B$40,0)),0)=1)*(COUNTIF(Y2008:Y2025,$B2030)+COUNTIF(Y2008:Y2025,$B2030&amp;" ~*")&gt;0))</f>
        <v/>
      </c>
    </row>
    <row r="2031" ht="15" customHeight="1">
      <c r="A2031" t="n">
        <v>41</v>
      </c>
      <c r="B2031" s="35">
        <f>IF(Setup!$B$10="","",Setup!$B$10)</f>
        <v/>
      </c>
      <c r="C2031" s="98" t="n"/>
      <c r="D2031" s="99" t="n"/>
      <c r="E2031" s="99" t="n"/>
      <c r="F2031" s="100" t="n"/>
      <c r="G2031" s="98" t="n"/>
      <c r="H2031" s="99" t="n"/>
      <c r="I2031" s="99" t="n"/>
      <c r="J2031" s="100" t="n"/>
      <c r="K2031" s="98" t="n"/>
      <c r="L2031" s="99" t="n"/>
      <c r="M2031" s="99" t="n"/>
      <c r="N2031" s="100" t="n"/>
      <c r="O2031" s="98" t="n"/>
      <c r="P2031" s="99" t="n"/>
      <c r="Q2031" s="99" t="n"/>
      <c r="R2031" s="100" t="n"/>
      <c r="S2031" s="98" t="n"/>
      <c r="T2031" s="99" t="n"/>
      <c r="U2031" s="99" t="n"/>
      <c r="V2031" s="100" t="n"/>
      <c r="W2031" s="98" t="n"/>
      <c r="X2031" s="100" t="n"/>
      <c r="Y2031" s="98" t="n"/>
      <c r="Z2031" s="100" t="n"/>
      <c r="AB2031" s="101">
        <f>IF($B2031="","",(COUNTIF(C2008:E2025,$B2031)+COUNTIF(C2008:E2025,$B2031&amp;" ~*")&gt;0)+(COUNTIF(G2008:I2025,$B2031)+COUNTIF(G2008:I2025,$B2031&amp;" ~*")&gt;0)+(COUNTIF(K2008:M2025,$B2031)+COUNTIF(K2008:M2025,$B2031&amp;" ~*")&gt;0)+(COUNTIF(O2008:Q2025,$B2031)+COUNTIF(O2008:Q2025,$B2031&amp;" ~*")&gt;0)+(COUNTIF(S2008:U2025,$B2031)+COUNTIF(S2008:U2025,$B2031&amp;" ~*")&gt;0)+(COUNTIF(W2008:W2025,$B2031)+COUNTIF(W2008:W2025,$B2031&amp;" ~*")&gt;0)+(COUNTIF(Y2008:Y2025,$B2031)+COUNTIF(Y2008:Y2025,$B2031&amp;" ~*")&gt;0))</f>
        <v/>
      </c>
      <c r="AC2031" s="36">
        <f>IF($B2031="","",(IFERROR(INDEX(Setup!$G$33:$G$40,MATCH(C2031,Setup!$B$33:$B$40,0)),0)=1)*(COUNTIF(C2008:E2025,$B2031)+COUNTIF(C2008:E2025,$B2031&amp;" ~*")&gt;0)+(IFERROR(INDEX(Setup!$G$33:$G$40,MATCH(G2031,Setup!$B$33:$B$40,0)),0)=1)*(COUNTIF(G2008:I2025,$B2031)+COUNTIF(G2008:I2025,$B2031&amp;" ~*")&gt;0)+(IFERROR(INDEX(Setup!$G$33:$G$40,MATCH(K2031,Setup!$B$33:$B$40,0)),0)=1)*(COUNTIF(K2008:M2025,$B2031)+COUNTIF(K2008:M2025,$B2031&amp;" ~*")&gt;0)+(IFERROR(INDEX(Setup!$G$33:$G$40,MATCH(O2031,Setup!$B$33:$B$40,0)),0)=1)*(COUNTIF(O2008:Q2025,$B2031)+COUNTIF(O2008:Q2025,$B2031&amp;" ~*")&gt;0)+(IFERROR(INDEX(Setup!$G$33:$G$40,MATCH(S2031,Setup!$B$33:$B$40,0)),0)=1)*(COUNTIF(S2008:U2025,$B2031)+COUNTIF(S2008:U2025,$B2031&amp;" ~*")&gt;0)+(IFERROR(INDEX(Setup!$G$33:$G$40,MATCH(W2031,Setup!$B$33:$B$40,0)),0)=1)*(COUNTIF(W2008:W2025,$B2031)+COUNTIF(W2008:W2025,$B2031&amp;" ~*")&gt;0)+(IFERROR(INDEX(Setup!$G$33:$G$40,MATCH(Y2031,Setup!$B$33:$B$40,0)),0)=1)*(COUNTIF(Y2008:Y2025,$B2031)+COUNTIF(Y2008:Y2025,$B2031&amp;" ~*")&gt;0))</f>
        <v/>
      </c>
    </row>
    <row r="2032" ht="15" customHeight="1">
      <c r="A2032" t="n">
        <v>41</v>
      </c>
      <c r="B2032" s="37">
        <f>IF(Setup!$B$11="","",Setup!$B$11)</f>
        <v/>
      </c>
      <c r="C2032" s="102" t="n"/>
      <c r="D2032" s="103" t="n"/>
      <c r="E2032" s="103" t="n"/>
      <c r="F2032" s="104" t="n"/>
      <c r="G2032" s="102" t="n"/>
      <c r="H2032" s="103" t="n"/>
      <c r="I2032" s="103" t="n"/>
      <c r="J2032" s="104" t="n"/>
      <c r="K2032" s="102" t="n"/>
      <c r="L2032" s="103" t="n"/>
      <c r="M2032" s="103" t="n"/>
      <c r="N2032" s="104" t="n"/>
      <c r="O2032" s="102" t="n"/>
      <c r="P2032" s="103" t="n"/>
      <c r="Q2032" s="103" t="n"/>
      <c r="R2032" s="104" t="n"/>
      <c r="S2032" s="102" t="n"/>
      <c r="T2032" s="103" t="n"/>
      <c r="U2032" s="103" t="n"/>
      <c r="V2032" s="104" t="n"/>
      <c r="W2032" s="102" t="n"/>
      <c r="X2032" s="104" t="n"/>
      <c r="Y2032" s="102" t="n"/>
      <c r="Z2032" s="104" t="n"/>
      <c r="AB2032" s="105">
        <f>IF($B2032="","",(COUNTIF(C2008:E2025,$B2032)+COUNTIF(C2008:E2025,$B2032&amp;" ~*")&gt;0)+(COUNTIF(G2008:I2025,$B2032)+COUNTIF(G2008:I2025,$B2032&amp;" ~*")&gt;0)+(COUNTIF(K2008:M2025,$B2032)+COUNTIF(K2008:M2025,$B2032&amp;" ~*")&gt;0)+(COUNTIF(O2008:Q2025,$B2032)+COUNTIF(O2008:Q2025,$B2032&amp;" ~*")&gt;0)+(COUNTIF(S2008:U2025,$B2032)+COUNTIF(S2008:U2025,$B2032&amp;" ~*")&gt;0)+(COUNTIF(W2008:W2025,$B2032)+COUNTIF(W2008:W2025,$B2032&amp;" ~*")&gt;0)+(COUNTIF(Y2008:Y2025,$B2032)+COUNTIF(Y2008:Y2025,$B2032&amp;" ~*")&gt;0))</f>
        <v/>
      </c>
      <c r="AC2032" s="38">
        <f>IF($B2032="","",(IFERROR(INDEX(Setup!$G$33:$G$40,MATCH(C2032,Setup!$B$33:$B$40,0)),0)=1)*(COUNTIF(C2008:E2025,$B2032)+COUNTIF(C2008:E2025,$B2032&amp;" ~*")&gt;0)+(IFERROR(INDEX(Setup!$G$33:$G$40,MATCH(G2032,Setup!$B$33:$B$40,0)),0)=1)*(COUNTIF(G2008:I2025,$B2032)+COUNTIF(G2008:I2025,$B2032&amp;" ~*")&gt;0)+(IFERROR(INDEX(Setup!$G$33:$G$40,MATCH(K2032,Setup!$B$33:$B$40,0)),0)=1)*(COUNTIF(K2008:M2025,$B2032)+COUNTIF(K2008:M2025,$B2032&amp;" ~*")&gt;0)+(IFERROR(INDEX(Setup!$G$33:$G$40,MATCH(O2032,Setup!$B$33:$B$40,0)),0)=1)*(COUNTIF(O2008:Q2025,$B2032)+COUNTIF(O2008:Q2025,$B2032&amp;" ~*")&gt;0)+(IFERROR(INDEX(Setup!$G$33:$G$40,MATCH(S2032,Setup!$B$33:$B$40,0)),0)=1)*(COUNTIF(S2008:U2025,$B2032)+COUNTIF(S2008:U2025,$B2032&amp;" ~*")&gt;0)+(IFERROR(INDEX(Setup!$G$33:$G$40,MATCH(W2032,Setup!$B$33:$B$40,0)),0)=1)*(COUNTIF(W2008:W2025,$B2032)+COUNTIF(W2008:W2025,$B2032&amp;" ~*")&gt;0)+(IFERROR(INDEX(Setup!$G$33:$G$40,MATCH(Y2032,Setup!$B$33:$B$40,0)),0)=1)*(COUNTIF(Y2008:Y2025,$B2032)+COUNTIF(Y2008:Y2025,$B2032&amp;" ~*")&gt;0))</f>
        <v/>
      </c>
    </row>
    <row r="2033" ht="15" customHeight="1">
      <c r="A2033" t="n">
        <v>41</v>
      </c>
      <c r="B2033" s="35">
        <f>IF(Setup!$B$12="","",Setup!$B$12)</f>
        <v/>
      </c>
      <c r="C2033" s="98" t="n"/>
      <c r="D2033" s="99" t="n"/>
      <c r="E2033" s="99" t="n"/>
      <c r="F2033" s="100" t="n"/>
      <c r="G2033" s="98" t="n"/>
      <c r="H2033" s="99" t="n"/>
      <c r="I2033" s="99" t="n"/>
      <c r="J2033" s="100" t="n"/>
      <c r="K2033" s="98" t="n"/>
      <c r="L2033" s="99" t="n"/>
      <c r="M2033" s="99" t="n"/>
      <c r="N2033" s="100" t="n"/>
      <c r="O2033" s="98" t="n"/>
      <c r="P2033" s="99" t="n"/>
      <c r="Q2033" s="99" t="n"/>
      <c r="R2033" s="100" t="n"/>
      <c r="S2033" s="98" t="n"/>
      <c r="T2033" s="99" t="n"/>
      <c r="U2033" s="99" t="n"/>
      <c r="V2033" s="100" t="n"/>
      <c r="W2033" s="98" t="n"/>
      <c r="X2033" s="100" t="n"/>
      <c r="Y2033" s="98" t="n"/>
      <c r="Z2033" s="100" t="n"/>
      <c r="AB2033" s="101">
        <f>IF($B2033="","",(COUNTIF(C2008:E2025,$B2033)+COUNTIF(C2008:E2025,$B2033&amp;" ~*")&gt;0)+(COUNTIF(G2008:I2025,$B2033)+COUNTIF(G2008:I2025,$B2033&amp;" ~*")&gt;0)+(COUNTIF(K2008:M2025,$B2033)+COUNTIF(K2008:M2025,$B2033&amp;" ~*")&gt;0)+(COUNTIF(O2008:Q2025,$B2033)+COUNTIF(O2008:Q2025,$B2033&amp;" ~*")&gt;0)+(COUNTIF(S2008:U2025,$B2033)+COUNTIF(S2008:U2025,$B2033&amp;" ~*")&gt;0)+(COUNTIF(W2008:W2025,$B2033)+COUNTIF(W2008:W2025,$B2033&amp;" ~*")&gt;0)+(COUNTIF(Y2008:Y2025,$B2033)+COUNTIF(Y2008:Y2025,$B2033&amp;" ~*")&gt;0))</f>
        <v/>
      </c>
      <c r="AC2033" s="36">
        <f>IF($B2033="","",(IFERROR(INDEX(Setup!$G$33:$G$40,MATCH(C2033,Setup!$B$33:$B$40,0)),0)=1)*(COUNTIF(C2008:E2025,$B2033)+COUNTIF(C2008:E2025,$B2033&amp;" ~*")&gt;0)+(IFERROR(INDEX(Setup!$G$33:$G$40,MATCH(G2033,Setup!$B$33:$B$40,0)),0)=1)*(COUNTIF(G2008:I2025,$B2033)+COUNTIF(G2008:I2025,$B2033&amp;" ~*")&gt;0)+(IFERROR(INDEX(Setup!$G$33:$G$40,MATCH(K2033,Setup!$B$33:$B$40,0)),0)=1)*(COUNTIF(K2008:M2025,$B2033)+COUNTIF(K2008:M2025,$B2033&amp;" ~*")&gt;0)+(IFERROR(INDEX(Setup!$G$33:$G$40,MATCH(O2033,Setup!$B$33:$B$40,0)),0)=1)*(COUNTIF(O2008:Q2025,$B2033)+COUNTIF(O2008:Q2025,$B2033&amp;" ~*")&gt;0)+(IFERROR(INDEX(Setup!$G$33:$G$40,MATCH(S2033,Setup!$B$33:$B$40,0)),0)=1)*(COUNTIF(S2008:U2025,$B2033)+COUNTIF(S2008:U2025,$B2033&amp;" ~*")&gt;0)+(IFERROR(INDEX(Setup!$G$33:$G$40,MATCH(W2033,Setup!$B$33:$B$40,0)),0)=1)*(COUNTIF(W2008:W2025,$B2033)+COUNTIF(W2008:W2025,$B2033&amp;" ~*")&gt;0)+(IFERROR(INDEX(Setup!$G$33:$G$40,MATCH(Y2033,Setup!$B$33:$B$40,0)),0)=1)*(COUNTIF(Y2008:Y2025,$B2033)+COUNTIF(Y2008:Y2025,$B2033&amp;" ~*")&gt;0))</f>
        <v/>
      </c>
    </row>
    <row r="2034" ht="15" customHeight="1">
      <c r="A2034" t="n">
        <v>41</v>
      </c>
      <c r="B2034" s="37">
        <f>IF(Setup!$B$13="","",Setup!$B$13)</f>
        <v/>
      </c>
      <c r="C2034" s="102" t="n"/>
      <c r="D2034" s="103" t="n"/>
      <c r="E2034" s="103" t="n"/>
      <c r="F2034" s="104" t="n"/>
      <c r="G2034" s="102" t="n"/>
      <c r="H2034" s="103" t="n"/>
      <c r="I2034" s="103" t="n"/>
      <c r="J2034" s="104" t="n"/>
      <c r="K2034" s="102" t="n"/>
      <c r="L2034" s="103" t="n"/>
      <c r="M2034" s="103" t="n"/>
      <c r="N2034" s="104" t="n"/>
      <c r="O2034" s="102" t="n"/>
      <c r="P2034" s="103" t="n"/>
      <c r="Q2034" s="103" t="n"/>
      <c r="R2034" s="104" t="n"/>
      <c r="S2034" s="102" t="n"/>
      <c r="T2034" s="103" t="n"/>
      <c r="U2034" s="103" t="n"/>
      <c r="V2034" s="104" t="n"/>
      <c r="W2034" s="102" t="n"/>
      <c r="X2034" s="104" t="n"/>
      <c r="Y2034" s="102" t="n"/>
      <c r="Z2034" s="104" t="n"/>
      <c r="AB2034" s="105">
        <f>IF($B2034="","",(COUNTIF(C2008:E2025,$B2034)+COUNTIF(C2008:E2025,$B2034&amp;" ~*")&gt;0)+(COUNTIF(G2008:I2025,$B2034)+COUNTIF(G2008:I2025,$B2034&amp;" ~*")&gt;0)+(COUNTIF(K2008:M2025,$B2034)+COUNTIF(K2008:M2025,$B2034&amp;" ~*")&gt;0)+(COUNTIF(O2008:Q2025,$B2034)+COUNTIF(O2008:Q2025,$B2034&amp;" ~*")&gt;0)+(COUNTIF(S2008:U2025,$B2034)+COUNTIF(S2008:U2025,$B2034&amp;" ~*")&gt;0)+(COUNTIF(W2008:W2025,$B2034)+COUNTIF(W2008:W2025,$B2034&amp;" ~*")&gt;0)+(COUNTIF(Y2008:Y2025,$B2034)+COUNTIF(Y2008:Y2025,$B2034&amp;" ~*")&gt;0))</f>
        <v/>
      </c>
      <c r="AC2034" s="38">
        <f>IF($B2034="","",(IFERROR(INDEX(Setup!$G$33:$G$40,MATCH(C2034,Setup!$B$33:$B$40,0)),0)=1)*(COUNTIF(C2008:E2025,$B2034)+COUNTIF(C2008:E2025,$B2034&amp;" ~*")&gt;0)+(IFERROR(INDEX(Setup!$G$33:$G$40,MATCH(G2034,Setup!$B$33:$B$40,0)),0)=1)*(COUNTIF(G2008:I2025,$B2034)+COUNTIF(G2008:I2025,$B2034&amp;" ~*")&gt;0)+(IFERROR(INDEX(Setup!$G$33:$G$40,MATCH(K2034,Setup!$B$33:$B$40,0)),0)=1)*(COUNTIF(K2008:M2025,$B2034)+COUNTIF(K2008:M2025,$B2034&amp;" ~*")&gt;0)+(IFERROR(INDEX(Setup!$G$33:$G$40,MATCH(O2034,Setup!$B$33:$B$40,0)),0)=1)*(COUNTIF(O2008:Q2025,$B2034)+COUNTIF(O2008:Q2025,$B2034&amp;" ~*")&gt;0)+(IFERROR(INDEX(Setup!$G$33:$G$40,MATCH(S2034,Setup!$B$33:$B$40,0)),0)=1)*(COUNTIF(S2008:U2025,$B2034)+COUNTIF(S2008:U2025,$B2034&amp;" ~*")&gt;0)+(IFERROR(INDEX(Setup!$G$33:$G$40,MATCH(W2034,Setup!$B$33:$B$40,0)),0)=1)*(COUNTIF(W2008:W2025,$B2034)+COUNTIF(W2008:W2025,$B2034&amp;" ~*")&gt;0)+(IFERROR(INDEX(Setup!$G$33:$G$40,MATCH(Y2034,Setup!$B$33:$B$40,0)),0)=1)*(COUNTIF(Y2008:Y2025,$B2034)+COUNTIF(Y2008:Y2025,$B2034&amp;" ~*")&gt;0))</f>
        <v/>
      </c>
    </row>
    <row r="2035" ht="15" customHeight="1">
      <c r="A2035" t="n">
        <v>41</v>
      </c>
      <c r="B2035" s="35">
        <f>IF(Setup!$B$14="","",Setup!$B$14)</f>
        <v/>
      </c>
      <c r="C2035" s="98" t="n"/>
      <c r="D2035" s="99" t="n"/>
      <c r="E2035" s="99" t="n"/>
      <c r="F2035" s="100" t="n"/>
      <c r="G2035" s="98" t="n"/>
      <c r="H2035" s="99" t="n"/>
      <c r="I2035" s="99" t="n"/>
      <c r="J2035" s="100" t="n"/>
      <c r="K2035" s="98" t="n"/>
      <c r="L2035" s="99" t="n"/>
      <c r="M2035" s="99" t="n"/>
      <c r="N2035" s="100" t="n"/>
      <c r="O2035" s="98" t="n"/>
      <c r="P2035" s="99" t="n"/>
      <c r="Q2035" s="99" t="n"/>
      <c r="R2035" s="100" t="n"/>
      <c r="S2035" s="98" t="n"/>
      <c r="T2035" s="99" t="n"/>
      <c r="U2035" s="99" t="n"/>
      <c r="V2035" s="100" t="n"/>
      <c r="W2035" s="98" t="n"/>
      <c r="X2035" s="100" t="n"/>
      <c r="Y2035" s="98" t="n"/>
      <c r="Z2035" s="100" t="n"/>
      <c r="AB2035" s="101">
        <f>IF($B2035="","",(COUNTIF(C2008:E2025,$B2035)+COUNTIF(C2008:E2025,$B2035&amp;" ~*")&gt;0)+(COUNTIF(G2008:I2025,$B2035)+COUNTIF(G2008:I2025,$B2035&amp;" ~*")&gt;0)+(COUNTIF(K2008:M2025,$B2035)+COUNTIF(K2008:M2025,$B2035&amp;" ~*")&gt;0)+(COUNTIF(O2008:Q2025,$B2035)+COUNTIF(O2008:Q2025,$B2035&amp;" ~*")&gt;0)+(COUNTIF(S2008:U2025,$B2035)+COUNTIF(S2008:U2025,$B2035&amp;" ~*")&gt;0)+(COUNTIF(W2008:W2025,$B2035)+COUNTIF(W2008:W2025,$B2035&amp;" ~*")&gt;0)+(COUNTIF(Y2008:Y2025,$B2035)+COUNTIF(Y2008:Y2025,$B2035&amp;" ~*")&gt;0))</f>
        <v/>
      </c>
      <c r="AC2035" s="36">
        <f>IF($B2035="","",(IFERROR(INDEX(Setup!$G$33:$G$40,MATCH(C2035,Setup!$B$33:$B$40,0)),0)=1)*(COUNTIF(C2008:E2025,$B2035)+COUNTIF(C2008:E2025,$B2035&amp;" ~*")&gt;0)+(IFERROR(INDEX(Setup!$G$33:$G$40,MATCH(G2035,Setup!$B$33:$B$40,0)),0)=1)*(COUNTIF(G2008:I2025,$B2035)+COUNTIF(G2008:I2025,$B2035&amp;" ~*")&gt;0)+(IFERROR(INDEX(Setup!$G$33:$G$40,MATCH(K2035,Setup!$B$33:$B$40,0)),0)=1)*(COUNTIF(K2008:M2025,$B2035)+COUNTIF(K2008:M2025,$B2035&amp;" ~*")&gt;0)+(IFERROR(INDEX(Setup!$G$33:$G$40,MATCH(O2035,Setup!$B$33:$B$40,0)),0)=1)*(COUNTIF(O2008:Q2025,$B2035)+COUNTIF(O2008:Q2025,$B2035&amp;" ~*")&gt;0)+(IFERROR(INDEX(Setup!$G$33:$G$40,MATCH(S2035,Setup!$B$33:$B$40,0)),0)=1)*(COUNTIF(S2008:U2025,$B2035)+COUNTIF(S2008:U2025,$B2035&amp;" ~*")&gt;0)+(IFERROR(INDEX(Setup!$G$33:$G$40,MATCH(W2035,Setup!$B$33:$B$40,0)),0)=1)*(COUNTIF(W2008:W2025,$B2035)+COUNTIF(W2008:W2025,$B2035&amp;" ~*")&gt;0)+(IFERROR(INDEX(Setup!$G$33:$G$40,MATCH(Y2035,Setup!$B$33:$B$40,0)),0)=1)*(COUNTIF(Y2008:Y2025,$B2035)+COUNTIF(Y2008:Y2025,$B2035&amp;" ~*")&gt;0))</f>
        <v/>
      </c>
    </row>
    <row r="2036" ht="15" customHeight="1">
      <c r="A2036" t="n">
        <v>41</v>
      </c>
      <c r="B2036" s="37">
        <f>IF(Setup!$B$15="","",Setup!$B$15)</f>
        <v/>
      </c>
      <c r="C2036" s="102" t="n"/>
      <c r="D2036" s="103" t="n"/>
      <c r="E2036" s="103" t="n"/>
      <c r="F2036" s="104" t="n"/>
      <c r="G2036" s="102" t="n"/>
      <c r="H2036" s="103" t="n"/>
      <c r="I2036" s="103" t="n"/>
      <c r="J2036" s="104" t="n"/>
      <c r="K2036" s="102" t="n"/>
      <c r="L2036" s="103" t="n"/>
      <c r="M2036" s="103" t="n"/>
      <c r="N2036" s="104" t="n"/>
      <c r="O2036" s="102" t="n"/>
      <c r="P2036" s="103" t="n"/>
      <c r="Q2036" s="103" t="n"/>
      <c r="R2036" s="104" t="n"/>
      <c r="S2036" s="102" t="n"/>
      <c r="T2036" s="103" t="n"/>
      <c r="U2036" s="103" t="n"/>
      <c r="V2036" s="104" t="n"/>
      <c r="W2036" s="102" t="n"/>
      <c r="X2036" s="104" t="n"/>
      <c r="Y2036" s="102" t="n"/>
      <c r="Z2036" s="104" t="n"/>
      <c r="AB2036" s="105">
        <f>IF($B2036="","",(COUNTIF(C2008:E2025,$B2036)+COUNTIF(C2008:E2025,$B2036&amp;" ~*")&gt;0)+(COUNTIF(G2008:I2025,$B2036)+COUNTIF(G2008:I2025,$B2036&amp;" ~*")&gt;0)+(COUNTIF(K2008:M2025,$B2036)+COUNTIF(K2008:M2025,$B2036&amp;" ~*")&gt;0)+(COUNTIF(O2008:Q2025,$B2036)+COUNTIF(O2008:Q2025,$B2036&amp;" ~*")&gt;0)+(COUNTIF(S2008:U2025,$B2036)+COUNTIF(S2008:U2025,$B2036&amp;" ~*")&gt;0)+(COUNTIF(W2008:W2025,$B2036)+COUNTIF(W2008:W2025,$B2036&amp;" ~*")&gt;0)+(COUNTIF(Y2008:Y2025,$B2036)+COUNTIF(Y2008:Y2025,$B2036&amp;" ~*")&gt;0))</f>
        <v/>
      </c>
      <c r="AC2036" s="38">
        <f>IF($B2036="","",(IFERROR(INDEX(Setup!$G$33:$G$40,MATCH(C2036,Setup!$B$33:$B$40,0)),0)=1)*(COUNTIF(C2008:E2025,$B2036)+COUNTIF(C2008:E2025,$B2036&amp;" ~*")&gt;0)+(IFERROR(INDEX(Setup!$G$33:$G$40,MATCH(G2036,Setup!$B$33:$B$40,0)),0)=1)*(COUNTIF(G2008:I2025,$B2036)+COUNTIF(G2008:I2025,$B2036&amp;" ~*")&gt;0)+(IFERROR(INDEX(Setup!$G$33:$G$40,MATCH(K2036,Setup!$B$33:$B$40,0)),0)=1)*(COUNTIF(K2008:M2025,$B2036)+COUNTIF(K2008:M2025,$B2036&amp;" ~*")&gt;0)+(IFERROR(INDEX(Setup!$G$33:$G$40,MATCH(O2036,Setup!$B$33:$B$40,0)),0)=1)*(COUNTIF(O2008:Q2025,$B2036)+COUNTIF(O2008:Q2025,$B2036&amp;" ~*")&gt;0)+(IFERROR(INDEX(Setup!$G$33:$G$40,MATCH(S2036,Setup!$B$33:$B$40,0)),0)=1)*(COUNTIF(S2008:U2025,$B2036)+COUNTIF(S2008:U2025,$B2036&amp;" ~*")&gt;0)+(IFERROR(INDEX(Setup!$G$33:$G$40,MATCH(W2036,Setup!$B$33:$B$40,0)),0)=1)*(COUNTIF(W2008:W2025,$B2036)+COUNTIF(W2008:W2025,$B2036&amp;" ~*")&gt;0)+(IFERROR(INDEX(Setup!$G$33:$G$40,MATCH(Y2036,Setup!$B$33:$B$40,0)),0)=1)*(COUNTIF(Y2008:Y2025,$B2036)+COUNTIF(Y2008:Y2025,$B2036&amp;" ~*")&gt;0))</f>
        <v/>
      </c>
    </row>
    <row r="2037" ht="15" customHeight="1">
      <c r="A2037" t="n">
        <v>41</v>
      </c>
      <c r="B2037" s="35">
        <f>IF(Setup!$B$16="","",Setup!$B$16)</f>
        <v/>
      </c>
      <c r="C2037" s="98" t="n"/>
      <c r="D2037" s="99" t="n"/>
      <c r="E2037" s="99" t="n"/>
      <c r="F2037" s="100" t="n"/>
      <c r="G2037" s="98" t="n"/>
      <c r="H2037" s="99" t="n"/>
      <c r="I2037" s="99" t="n"/>
      <c r="J2037" s="100" t="n"/>
      <c r="K2037" s="98" t="n"/>
      <c r="L2037" s="99" t="n"/>
      <c r="M2037" s="99" t="n"/>
      <c r="N2037" s="100" t="n"/>
      <c r="O2037" s="98" t="n"/>
      <c r="P2037" s="99" t="n"/>
      <c r="Q2037" s="99" t="n"/>
      <c r="R2037" s="100" t="n"/>
      <c r="S2037" s="98" t="n"/>
      <c r="T2037" s="99" t="n"/>
      <c r="U2037" s="99" t="n"/>
      <c r="V2037" s="100" t="n"/>
      <c r="W2037" s="98" t="n"/>
      <c r="X2037" s="100" t="n"/>
      <c r="Y2037" s="98" t="n"/>
      <c r="Z2037" s="100" t="n"/>
      <c r="AB2037" s="101">
        <f>IF($B2037="","",(COUNTIF(C2008:E2025,$B2037)+COUNTIF(C2008:E2025,$B2037&amp;" ~*")&gt;0)+(COUNTIF(G2008:I2025,$B2037)+COUNTIF(G2008:I2025,$B2037&amp;" ~*")&gt;0)+(COUNTIF(K2008:M2025,$B2037)+COUNTIF(K2008:M2025,$B2037&amp;" ~*")&gt;0)+(COUNTIF(O2008:Q2025,$B2037)+COUNTIF(O2008:Q2025,$B2037&amp;" ~*")&gt;0)+(COUNTIF(S2008:U2025,$B2037)+COUNTIF(S2008:U2025,$B2037&amp;" ~*")&gt;0)+(COUNTIF(W2008:W2025,$B2037)+COUNTIF(W2008:W2025,$B2037&amp;" ~*")&gt;0)+(COUNTIF(Y2008:Y2025,$B2037)+COUNTIF(Y2008:Y2025,$B2037&amp;" ~*")&gt;0))</f>
        <v/>
      </c>
      <c r="AC2037" s="36">
        <f>IF($B2037="","",(IFERROR(INDEX(Setup!$G$33:$G$40,MATCH(C2037,Setup!$B$33:$B$40,0)),0)=1)*(COUNTIF(C2008:E2025,$B2037)+COUNTIF(C2008:E2025,$B2037&amp;" ~*")&gt;0)+(IFERROR(INDEX(Setup!$G$33:$G$40,MATCH(G2037,Setup!$B$33:$B$40,0)),0)=1)*(COUNTIF(G2008:I2025,$B2037)+COUNTIF(G2008:I2025,$B2037&amp;" ~*")&gt;0)+(IFERROR(INDEX(Setup!$G$33:$G$40,MATCH(K2037,Setup!$B$33:$B$40,0)),0)=1)*(COUNTIF(K2008:M2025,$B2037)+COUNTIF(K2008:M2025,$B2037&amp;" ~*")&gt;0)+(IFERROR(INDEX(Setup!$G$33:$G$40,MATCH(O2037,Setup!$B$33:$B$40,0)),0)=1)*(COUNTIF(O2008:Q2025,$B2037)+COUNTIF(O2008:Q2025,$B2037&amp;" ~*")&gt;0)+(IFERROR(INDEX(Setup!$G$33:$G$40,MATCH(S2037,Setup!$B$33:$B$40,0)),0)=1)*(COUNTIF(S2008:U2025,$B2037)+COUNTIF(S2008:U2025,$B2037&amp;" ~*")&gt;0)+(IFERROR(INDEX(Setup!$G$33:$G$40,MATCH(W2037,Setup!$B$33:$B$40,0)),0)=1)*(COUNTIF(W2008:W2025,$B2037)+COUNTIF(W2008:W2025,$B2037&amp;" ~*")&gt;0)+(IFERROR(INDEX(Setup!$G$33:$G$40,MATCH(Y2037,Setup!$B$33:$B$40,0)),0)=1)*(COUNTIF(Y2008:Y2025,$B2037)+COUNTIF(Y2008:Y2025,$B2037&amp;" ~*")&gt;0))</f>
        <v/>
      </c>
    </row>
    <row r="2038" ht="15" customHeight="1">
      <c r="A2038" t="n">
        <v>41</v>
      </c>
      <c r="B2038" s="37">
        <f>IF(Setup!$B$17="","",Setup!$B$17)</f>
        <v/>
      </c>
      <c r="C2038" s="102" t="n"/>
      <c r="D2038" s="103" t="n"/>
      <c r="E2038" s="103" t="n"/>
      <c r="F2038" s="104" t="n"/>
      <c r="G2038" s="102" t="n"/>
      <c r="H2038" s="103" t="n"/>
      <c r="I2038" s="103" t="n"/>
      <c r="J2038" s="104" t="n"/>
      <c r="K2038" s="102" t="n"/>
      <c r="L2038" s="103" t="n"/>
      <c r="M2038" s="103" t="n"/>
      <c r="N2038" s="104" t="n"/>
      <c r="O2038" s="102" t="n"/>
      <c r="P2038" s="103" t="n"/>
      <c r="Q2038" s="103" t="n"/>
      <c r="R2038" s="104" t="n"/>
      <c r="S2038" s="102" t="n"/>
      <c r="T2038" s="103" t="n"/>
      <c r="U2038" s="103" t="n"/>
      <c r="V2038" s="104" t="n"/>
      <c r="W2038" s="102" t="n"/>
      <c r="X2038" s="104" t="n"/>
      <c r="Y2038" s="102" t="n"/>
      <c r="Z2038" s="104" t="n"/>
      <c r="AB2038" s="105">
        <f>IF($B2038="","",(COUNTIF(C2008:E2025,$B2038)+COUNTIF(C2008:E2025,$B2038&amp;" ~*")&gt;0)+(COUNTIF(G2008:I2025,$B2038)+COUNTIF(G2008:I2025,$B2038&amp;" ~*")&gt;0)+(COUNTIF(K2008:M2025,$B2038)+COUNTIF(K2008:M2025,$B2038&amp;" ~*")&gt;0)+(COUNTIF(O2008:Q2025,$B2038)+COUNTIF(O2008:Q2025,$B2038&amp;" ~*")&gt;0)+(COUNTIF(S2008:U2025,$B2038)+COUNTIF(S2008:U2025,$B2038&amp;" ~*")&gt;0)+(COUNTIF(W2008:W2025,$B2038)+COUNTIF(W2008:W2025,$B2038&amp;" ~*")&gt;0)+(COUNTIF(Y2008:Y2025,$B2038)+COUNTIF(Y2008:Y2025,$B2038&amp;" ~*")&gt;0))</f>
        <v/>
      </c>
      <c r="AC2038" s="38">
        <f>IF($B2038="","",(IFERROR(INDEX(Setup!$G$33:$G$40,MATCH(C2038,Setup!$B$33:$B$40,0)),0)=1)*(COUNTIF(C2008:E2025,$B2038)+COUNTIF(C2008:E2025,$B2038&amp;" ~*")&gt;0)+(IFERROR(INDEX(Setup!$G$33:$G$40,MATCH(G2038,Setup!$B$33:$B$40,0)),0)=1)*(COUNTIF(G2008:I2025,$B2038)+COUNTIF(G2008:I2025,$B2038&amp;" ~*")&gt;0)+(IFERROR(INDEX(Setup!$G$33:$G$40,MATCH(K2038,Setup!$B$33:$B$40,0)),0)=1)*(COUNTIF(K2008:M2025,$B2038)+COUNTIF(K2008:M2025,$B2038&amp;" ~*")&gt;0)+(IFERROR(INDEX(Setup!$G$33:$G$40,MATCH(O2038,Setup!$B$33:$B$40,0)),0)=1)*(COUNTIF(O2008:Q2025,$B2038)+COUNTIF(O2008:Q2025,$B2038&amp;" ~*")&gt;0)+(IFERROR(INDEX(Setup!$G$33:$G$40,MATCH(S2038,Setup!$B$33:$B$40,0)),0)=1)*(COUNTIF(S2008:U2025,$B2038)+COUNTIF(S2008:U2025,$B2038&amp;" ~*")&gt;0)+(IFERROR(INDEX(Setup!$G$33:$G$40,MATCH(W2038,Setup!$B$33:$B$40,0)),0)=1)*(COUNTIF(W2008:W2025,$B2038)+COUNTIF(W2008:W2025,$B2038&amp;" ~*")&gt;0)+(IFERROR(INDEX(Setup!$G$33:$G$40,MATCH(Y2038,Setup!$B$33:$B$40,0)),0)=1)*(COUNTIF(Y2008:Y2025,$B2038)+COUNTIF(Y2008:Y2025,$B2038&amp;" ~*")&gt;0))</f>
        <v/>
      </c>
    </row>
    <row r="2039" ht="15" customHeight="1">
      <c r="A2039" t="n">
        <v>41</v>
      </c>
      <c r="B2039" s="35">
        <f>IF(Setup!$B$18="","",Setup!$B$18)</f>
        <v/>
      </c>
      <c r="C2039" s="98" t="n"/>
      <c r="D2039" s="99" t="n"/>
      <c r="E2039" s="99" t="n"/>
      <c r="F2039" s="100" t="n"/>
      <c r="G2039" s="98" t="n"/>
      <c r="H2039" s="99" t="n"/>
      <c r="I2039" s="99" t="n"/>
      <c r="J2039" s="100" t="n"/>
      <c r="K2039" s="98" t="n"/>
      <c r="L2039" s="99" t="n"/>
      <c r="M2039" s="99" t="n"/>
      <c r="N2039" s="100" t="n"/>
      <c r="O2039" s="98" t="n"/>
      <c r="P2039" s="99" t="n"/>
      <c r="Q2039" s="99" t="n"/>
      <c r="R2039" s="100" t="n"/>
      <c r="S2039" s="98" t="n"/>
      <c r="T2039" s="99" t="n"/>
      <c r="U2039" s="99" t="n"/>
      <c r="V2039" s="100" t="n"/>
      <c r="W2039" s="98" t="n"/>
      <c r="X2039" s="100" t="n"/>
      <c r="Y2039" s="98" t="n"/>
      <c r="Z2039" s="100" t="n"/>
      <c r="AB2039" s="101">
        <f>IF($B2039="","",(COUNTIF(C2008:E2025,$B2039)+COUNTIF(C2008:E2025,$B2039&amp;" ~*")&gt;0)+(COUNTIF(G2008:I2025,$B2039)+COUNTIF(G2008:I2025,$B2039&amp;" ~*")&gt;0)+(COUNTIF(K2008:M2025,$B2039)+COUNTIF(K2008:M2025,$B2039&amp;" ~*")&gt;0)+(COUNTIF(O2008:Q2025,$B2039)+COUNTIF(O2008:Q2025,$B2039&amp;" ~*")&gt;0)+(COUNTIF(S2008:U2025,$B2039)+COUNTIF(S2008:U2025,$B2039&amp;" ~*")&gt;0)+(COUNTIF(W2008:W2025,$B2039)+COUNTIF(W2008:W2025,$B2039&amp;" ~*")&gt;0)+(COUNTIF(Y2008:Y2025,$B2039)+COUNTIF(Y2008:Y2025,$B2039&amp;" ~*")&gt;0))</f>
        <v/>
      </c>
      <c r="AC2039" s="36">
        <f>IF($B2039="","",(IFERROR(INDEX(Setup!$G$33:$G$40,MATCH(C2039,Setup!$B$33:$B$40,0)),0)=1)*(COUNTIF(C2008:E2025,$B2039)+COUNTIF(C2008:E2025,$B2039&amp;" ~*")&gt;0)+(IFERROR(INDEX(Setup!$G$33:$G$40,MATCH(G2039,Setup!$B$33:$B$40,0)),0)=1)*(COUNTIF(G2008:I2025,$B2039)+COUNTIF(G2008:I2025,$B2039&amp;" ~*")&gt;0)+(IFERROR(INDEX(Setup!$G$33:$G$40,MATCH(K2039,Setup!$B$33:$B$40,0)),0)=1)*(COUNTIF(K2008:M2025,$B2039)+COUNTIF(K2008:M2025,$B2039&amp;" ~*")&gt;0)+(IFERROR(INDEX(Setup!$G$33:$G$40,MATCH(O2039,Setup!$B$33:$B$40,0)),0)=1)*(COUNTIF(O2008:Q2025,$B2039)+COUNTIF(O2008:Q2025,$B2039&amp;" ~*")&gt;0)+(IFERROR(INDEX(Setup!$G$33:$G$40,MATCH(S2039,Setup!$B$33:$B$40,0)),0)=1)*(COUNTIF(S2008:U2025,$B2039)+COUNTIF(S2008:U2025,$B2039&amp;" ~*")&gt;0)+(IFERROR(INDEX(Setup!$G$33:$G$40,MATCH(W2039,Setup!$B$33:$B$40,0)),0)=1)*(COUNTIF(W2008:W2025,$B2039)+COUNTIF(W2008:W2025,$B2039&amp;" ~*")&gt;0)+(IFERROR(INDEX(Setup!$G$33:$G$40,MATCH(Y2039,Setup!$B$33:$B$40,0)),0)=1)*(COUNTIF(Y2008:Y2025,$B2039)+COUNTIF(Y2008:Y2025,$B2039&amp;" ~*")&gt;0))</f>
        <v/>
      </c>
    </row>
    <row r="2040" ht="15" customHeight="1">
      <c r="A2040" t="n">
        <v>41</v>
      </c>
      <c r="B2040" s="37">
        <f>IF(Setup!$B$19="","",Setup!$B$19)</f>
        <v/>
      </c>
      <c r="C2040" s="102" t="n"/>
      <c r="D2040" s="103" t="n"/>
      <c r="E2040" s="103" t="n"/>
      <c r="F2040" s="104" t="n"/>
      <c r="G2040" s="102" t="n"/>
      <c r="H2040" s="103" t="n"/>
      <c r="I2040" s="103" t="n"/>
      <c r="J2040" s="104" t="n"/>
      <c r="K2040" s="102" t="n"/>
      <c r="L2040" s="103" t="n"/>
      <c r="M2040" s="103" t="n"/>
      <c r="N2040" s="104" t="n"/>
      <c r="O2040" s="102" t="n"/>
      <c r="P2040" s="103" t="n"/>
      <c r="Q2040" s="103" t="n"/>
      <c r="R2040" s="104" t="n"/>
      <c r="S2040" s="102" t="n"/>
      <c r="T2040" s="103" t="n"/>
      <c r="U2040" s="103" t="n"/>
      <c r="V2040" s="104" t="n"/>
      <c r="W2040" s="102" t="n"/>
      <c r="X2040" s="104" t="n"/>
      <c r="Y2040" s="102" t="n"/>
      <c r="Z2040" s="104" t="n"/>
      <c r="AB2040" s="105">
        <f>IF($B2040="","",(COUNTIF(C2008:E2025,$B2040)+COUNTIF(C2008:E2025,$B2040&amp;" ~*")&gt;0)+(COUNTIF(G2008:I2025,$B2040)+COUNTIF(G2008:I2025,$B2040&amp;" ~*")&gt;0)+(COUNTIF(K2008:M2025,$B2040)+COUNTIF(K2008:M2025,$B2040&amp;" ~*")&gt;0)+(COUNTIF(O2008:Q2025,$B2040)+COUNTIF(O2008:Q2025,$B2040&amp;" ~*")&gt;0)+(COUNTIF(S2008:U2025,$B2040)+COUNTIF(S2008:U2025,$B2040&amp;" ~*")&gt;0)+(COUNTIF(W2008:W2025,$B2040)+COUNTIF(W2008:W2025,$B2040&amp;" ~*")&gt;0)+(COUNTIF(Y2008:Y2025,$B2040)+COUNTIF(Y2008:Y2025,$B2040&amp;" ~*")&gt;0))</f>
        <v/>
      </c>
      <c r="AC2040" s="38">
        <f>IF($B2040="","",(IFERROR(INDEX(Setup!$G$33:$G$40,MATCH(C2040,Setup!$B$33:$B$40,0)),0)=1)*(COUNTIF(C2008:E2025,$B2040)+COUNTIF(C2008:E2025,$B2040&amp;" ~*")&gt;0)+(IFERROR(INDEX(Setup!$G$33:$G$40,MATCH(G2040,Setup!$B$33:$B$40,0)),0)=1)*(COUNTIF(G2008:I2025,$B2040)+COUNTIF(G2008:I2025,$B2040&amp;" ~*")&gt;0)+(IFERROR(INDEX(Setup!$G$33:$G$40,MATCH(K2040,Setup!$B$33:$B$40,0)),0)=1)*(COUNTIF(K2008:M2025,$B2040)+COUNTIF(K2008:M2025,$B2040&amp;" ~*")&gt;0)+(IFERROR(INDEX(Setup!$G$33:$G$40,MATCH(O2040,Setup!$B$33:$B$40,0)),0)=1)*(COUNTIF(O2008:Q2025,$B2040)+COUNTIF(O2008:Q2025,$B2040&amp;" ~*")&gt;0)+(IFERROR(INDEX(Setup!$G$33:$G$40,MATCH(S2040,Setup!$B$33:$B$40,0)),0)=1)*(COUNTIF(S2008:U2025,$B2040)+COUNTIF(S2008:U2025,$B2040&amp;" ~*")&gt;0)+(IFERROR(INDEX(Setup!$G$33:$G$40,MATCH(W2040,Setup!$B$33:$B$40,0)),0)=1)*(COUNTIF(W2008:W2025,$B2040)+COUNTIF(W2008:W2025,$B2040&amp;" ~*")&gt;0)+(IFERROR(INDEX(Setup!$G$33:$G$40,MATCH(Y2040,Setup!$B$33:$B$40,0)),0)=1)*(COUNTIF(Y2008:Y2025,$B2040)+COUNTIF(Y2008:Y2025,$B2040&amp;" ~*")&gt;0))</f>
        <v/>
      </c>
    </row>
    <row r="2041" ht="15" customHeight="1">
      <c r="A2041" t="n">
        <v>41</v>
      </c>
      <c r="B2041" s="35">
        <f>IF(Setup!$B$20="","",Setup!$B$20)</f>
        <v/>
      </c>
      <c r="C2041" s="98" t="n"/>
      <c r="D2041" s="99" t="n"/>
      <c r="E2041" s="99" t="n"/>
      <c r="F2041" s="100" t="n"/>
      <c r="G2041" s="98" t="n"/>
      <c r="H2041" s="99" t="n"/>
      <c r="I2041" s="99" t="n"/>
      <c r="J2041" s="100" t="n"/>
      <c r="K2041" s="98" t="n"/>
      <c r="L2041" s="99" t="n"/>
      <c r="M2041" s="99" t="n"/>
      <c r="N2041" s="100" t="n"/>
      <c r="O2041" s="98" t="n"/>
      <c r="P2041" s="99" t="n"/>
      <c r="Q2041" s="99" t="n"/>
      <c r="R2041" s="100" t="n"/>
      <c r="S2041" s="98" t="n"/>
      <c r="T2041" s="99" t="n"/>
      <c r="U2041" s="99" t="n"/>
      <c r="V2041" s="100" t="n"/>
      <c r="W2041" s="98" t="n"/>
      <c r="X2041" s="100" t="n"/>
      <c r="Y2041" s="98" t="n"/>
      <c r="Z2041" s="100" t="n"/>
      <c r="AB2041" s="101">
        <f>IF($B2041="","",(COUNTIF(C2008:E2025,$B2041)+COUNTIF(C2008:E2025,$B2041&amp;" ~*")&gt;0)+(COUNTIF(G2008:I2025,$B2041)+COUNTIF(G2008:I2025,$B2041&amp;" ~*")&gt;0)+(COUNTIF(K2008:M2025,$B2041)+COUNTIF(K2008:M2025,$B2041&amp;" ~*")&gt;0)+(COUNTIF(O2008:Q2025,$B2041)+COUNTIF(O2008:Q2025,$B2041&amp;" ~*")&gt;0)+(COUNTIF(S2008:U2025,$B2041)+COUNTIF(S2008:U2025,$B2041&amp;" ~*")&gt;0)+(COUNTIF(W2008:W2025,$B2041)+COUNTIF(W2008:W2025,$B2041&amp;" ~*")&gt;0)+(COUNTIF(Y2008:Y2025,$B2041)+COUNTIF(Y2008:Y2025,$B2041&amp;" ~*")&gt;0))</f>
        <v/>
      </c>
      <c r="AC2041" s="36">
        <f>IF($B2041="","",(IFERROR(INDEX(Setup!$G$33:$G$40,MATCH(C2041,Setup!$B$33:$B$40,0)),0)=1)*(COUNTIF(C2008:E2025,$B2041)+COUNTIF(C2008:E2025,$B2041&amp;" ~*")&gt;0)+(IFERROR(INDEX(Setup!$G$33:$G$40,MATCH(G2041,Setup!$B$33:$B$40,0)),0)=1)*(COUNTIF(G2008:I2025,$B2041)+COUNTIF(G2008:I2025,$B2041&amp;" ~*")&gt;0)+(IFERROR(INDEX(Setup!$G$33:$G$40,MATCH(K2041,Setup!$B$33:$B$40,0)),0)=1)*(COUNTIF(K2008:M2025,$B2041)+COUNTIF(K2008:M2025,$B2041&amp;" ~*")&gt;0)+(IFERROR(INDEX(Setup!$G$33:$G$40,MATCH(O2041,Setup!$B$33:$B$40,0)),0)=1)*(COUNTIF(O2008:Q2025,$B2041)+COUNTIF(O2008:Q2025,$B2041&amp;" ~*")&gt;0)+(IFERROR(INDEX(Setup!$G$33:$G$40,MATCH(S2041,Setup!$B$33:$B$40,0)),0)=1)*(COUNTIF(S2008:U2025,$B2041)+COUNTIF(S2008:U2025,$B2041&amp;" ~*")&gt;0)+(IFERROR(INDEX(Setup!$G$33:$G$40,MATCH(W2041,Setup!$B$33:$B$40,0)),0)=1)*(COUNTIF(W2008:W2025,$B2041)+COUNTIF(W2008:W2025,$B2041&amp;" ~*")&gt;0)+(IFERROR(INDEX(Setup!$G$33:$G$40,MATCH(Y2041,Setup!$B$33:$B$40,0)),0)=1)*(COUNTIF(Y2008:Y2025,$B2041)+COUNTIF(Y2008:Y2025,$B2041&amp;" ~*")&gt;0))</f>
        <v/>
      </c>
    </row>
    <row r="2042" ht="15" customHeight="1">
      <c r="A2042" t="n">
        <v>41</v>
      </c>
      <c r="B2042" s="37">
        <f>IF(Setup!$B$21="","",Setup!$B$21)</f>
        <v/>
      </c>
      <c r="C2042" s="102" t="n"/>
      <c r="D2042" s="103" t="n"/>
      <c r="E2042" s="103" t="n"/>
      <c r="F2042" s="104" t="n"/>
      <c r="G2042" s="102" t="n"/>
      <c r="H2042" s="103" t="n"/>
      <c r="I2042" s="103" t="n"/>
      <c r="J2042" s="104" t="n"/>
      <c r="K2042" s="102" t="n"/>
      <c r="L2042" s="103" t="n"/>
      <c r="M2042" s="103" t="n"/>
      <c r="N2042" s="104" t="n"/>
      <c r="O2042" s="102" t="n"/>
      <c r="P2042" s="103" t="n"/>
      <c r="Q2042" s="103" t="n"/>
      <c r="R2042" s="104" t="n"/>
      <c r="S2042" s="102" t="n"/>
      <c r="T2042" s="103" t="n"/>
      <c r="U2042" s="103" t="n"/>
      <c r="V2042" s="104" t="n"/>
      <c r="W2042" s="102" t="n"/>
      <c r="X2042" s="104" t="n"/>
      <c r="Y2042" s="102" t="n"/>
      <c r="Z2042" s="104" t="n"/>
      <c r="AB2042" s="105">
        <f>IF($B2042="","",(COUNTIF(C2008:E2025,$B2042)+COUNTIF(C2008:E2025,$B2042&amp;" ~*")&gt;0)+(COUNTIF(G2008:I2025,$B2042)+COUNTIF(G2008:I2025,$B2042&amp;" ~*")&gt;0)+(COUNTIF(K2008:M2025,$B2042)+COUNTIF(K2008:M2025,$B2042&amp;" ~*")&gt;0)+(COUNTIF(O2008:Q2025,$B2042)+COUNTIF(O2008:Q2025,$B2042&amp;" ~*")&gt;0)+(COUNTIF(S2008:U2025,$B2042)+COUNTIF(S2008:U2025,$B2042&amp;" ~*")&gt;0)+(COUNTIF(W2008:W2025,$B2042)+COUNTIF(W2008:W2025,$B2042&amp;" ~*")&gt;0)+(COUNTIF(Y2008:Y2025,$B2042)+COUNTIF(Y2008:Y2025,$B2042&amp;" ~*")&gt;0))</f>
        <v/>
      </c>
      <c r="AC2042" s="38">
        <f>IF($B2042="","",(IFERROR(INDEX(Setup!$G$33:$G$40,MATCH(C2042,Setup!$B$33:$B$40,0)),0)=1)*(COUNTIF(C2008:E2025,$B2042)+COUNTIF(C2008:E2025,$B2042&amp;" ~*")&gt;0)+(IFERROR(INDEX(Setup!$G$33:$G$40,MATCH(G2042,Setup!$B$33:$B$40,0)),0)=1)*(COUNTIF(G2008:I2025,$B2042)+COUNTIF(G2008:I2025,$B2042&amp;" ~*")&gt;0)+(IFERROR(INDEX(Setup!$G$33:$G$40,MATCH(K2042,Setup!$B$33:$B$40,0)),0)=1)*(COUNTIF(K2008:M2025,$B2042)+COUNTIF(K2008:M2025,$B2042&amp;" ~*")&gt;0)+(IFERROR(INDEX(Setup!$G$33:$G$40,MATCH(O2042,Setup!$B$33:$B$40,0)),0)=1)*(COUNTIF(O2008:Q2025,$B2042)+COUNTIF(O2008:Q2025,$B2042&amp;" ~*")&gt;0)+(IFERROR(INDEX(Setup!$G$33:$G$40,MATCH(S2042,Setup!$B$33:$B$40,0)),0)=1)*(COUNTIF(S2008:U2025,$B2042)+COUNTIF(S2008:U2025,$B2042&amp;" ~*")&gt;0)+(IFERROR(INDEX(Setup!$G$33:$G$40,MATCH(W2042,Setup!$B$33:$B$40,0)),0)=1)*(COUNTIF(W2008:W2025,$B2042)+COUNTIF(W2008:W2025,$B2042&amp;" ~*")&gt;0)+(IFERROR(INDEX(Setup!$G$33:$G$40,MATCH(Y2042,Setup!$B$33:$B$40,0)),0)=1)*(COUNTIF(Y2008:Y2025,$B2042)+COUNTIF(Y2008:Y2025,$B2042&amp;" ~*")&gt;0))</f>
        <v/>
      </c>
    </row>
    <row r="2043" ht="15" customHeight="1">
      <c r="A2043" t="n">
        <v>41</v>
      </c>
      <c r="B2043" s="35">
        <f>IF(Setup!$B$22="","",Setup!$B$22)</f>
        <v/>
      </c>
      <c r="C2043" s="98" t="n"/>
      <c r="D2043" s="99" t="n"/>
      <c r="E2043" s="99" t="n"/>
      <c r="F2043" s="100" t="n"/>
      <c r="G2043" s="98" t="n"/>
      <c r="H2043" s="99" t="n"/>
      <c r="I2043" s="99" t="n"/>
      <c r="J2043" s="100" t="n"/>
      <c r="K2043" s="98" t="n"/>
      <c r="L2043" s="99" t="n"/>
      <c r="M2043" s="99" t="n"/>
      <c r="N2043" s="100" t="n"/>
      <c r="O2043" s="98" t="n"/>
      <c r="P2043" s="99" t="n"/>
      <c r="Q2043" s="99" t="n"/>
      <c r="R2043" s="100" t="n"/>
      <c r="S2043" s="98" t="n"/>
      <c r="T2043" s="99" t="n"/>
      <c r="U2043" s="99" t="n"/>
      <c r="V2043" s="100" t="n"/>
      <c r="W2043" s="98" t="n"/>
      <c r="X2043" s="100" t="n"/>
      <c r="Y2043" s="98" t="n"/>
      <c r="Z2043" s="100" t="n"/>
      <c r="AB2043" s="101">
        <f>IF($B2043="","",(COUNTIF(C2008:E2025,$B2043)+COUNTIF(C2008:E2025,$B2043&amp;" ~*")&gt;0)+(COUNTIF(G2008:I2025,$B2043)+COUNTIF(G2008:I2025,$B2043&amp;" ~*")&gt;0)+(COUNTIF(K2008:M2025,$B2043)+COUNTIF(K2008:M2025,$B2043&amp;" ~*")&gt;0)+(COUNTIF(O2008:Q2025,$B2043)+COUNTIF(O2008:Q2025,$B2043&amp;" ~*")&gt;0)+(COUNTIF(S2008:U2025,$B2043)+COUNTIF(S2008:U2025,$B2043&amp;" ~*")&gt;0)+(COUNTIF(W2008:W2025,$B2043)+COUNTIF(W2008:W2025,$B2043&amp;" ~*")&gt;0)+(COUNTIF(Y2008:Y2025,$B2043)+COUNTIF(Y2008:Y2025,$B2043&amp;" ~*")&gt;0))</f>
        <v/>
      </c>
      <c r="AC2043" s="36">
        <f>IF($B2043="","",(IFERROR(INDEX(Setup!$G$33:$G$40,MATCH(C2043,Setup!$B$33:$B$40,0)),0)=1)*(COUNTIF(C2008:E2025,$B2043)+COUNTIF(C2008:E2025,$B2043&amp;" ~*")&gt;0)+(IFERROR(INDEX(Setup!$G$33:$G$40,MATCH(G2043,Setup!$B$33:$B$40,0)),0)=1)*(COUNTIF(G2008:I2025,$B2043)+COUNTIF(G2008:I2025,$B2043&amp;" ~*")&gt;0)+(IFERROR(INDEX(Setup!$G$33:$G$40,MATCH(K2043,Setup!$B$33:$B$40,0)),0)=1)*(COUNTIF(K2008:M2025,$B2043)+COUNTIF(K2008:M2025,$B2043&amp;" ~*")&gt;0)+(IFERROR(INDEX(Setup!$G$33:$G$40,MATCH(O2043,Setup!$B$33:$B$40,0)),0)=1)*(COUNTIF(O2008:Q2025,$B2043)+COUNTIF(O2008:Q2025,$B2043&amp;" ~*")&gt;0)+(IFERROR(INDEX(Setup!$G$33:$G$40,MATCH(S2043,Setup!$B$33:$B$40,0)),0)=1)*(COUNTIF(S2008:U2025,$B2043)+COUNTIF(S2008:U2025,$B2043&amp;" ~*")&gt;0)+(IFERROR(INDEX(Setup!$G$33:$G$40,MATCH(W2043,Setup!$B$33:$B$40,0)),0)=1)*(COUNTIF(W2008:W2025,$B2043)+COUNTIF(W2008:W2025,$B2043&amp;" ~*")&gt;0)+(IFERROR(INDEX(Setup!$G$33:$G$40,MATCH(Y2043,Setup!$B$33:$B$40,0)),0)=1)*(COUNTIF(Y2008:Y2025,$B2043)+COUNTIF(Y2008:Y2025,$B2043&amp;" ~*")&gt;0))</f>
        <v/>
      </c>
    </row>
    <row r="2044" ht="15" customHeight="1">
      <c r="A2044" t="n">
        <v>41</v>
      </c>
      <c r="B2044" s="37">
        <f>IF(Setup!$B$23="","",Setup!$B$23)</f>
        <v/>
      </c>
      <c r="C2044" s="102" t="n"/>
      <c r="D2044" s="103" t="n"/>
      <c r="E2044" s="103" t="n"/>
      <c r="F2044" s="104" t="n"/>
      <c r="G2044" s="102" t="n"/>
      <c r="H2044" s="103" t="n"/>
      <c r="I2044" s="103" t="n"/>
      <c r="J2044" s="104" t="n"/>
      <c r="K2044" s="102" t="n"/>
      <c r="L2044" s="103" t="n"/>
      <c r="M2044" s="103" t="n"/>
      <c r="N2044" s="104" t="n"/>
      <c r="O2044" s="102" t="n"/>
      <c r="P2044" s="103" t="n"/>
      <c r="Q2044" s="103" t="n"/>
      <c r="R2044" s="104" t="n"/>
      <c r="S2044" s="102" t="n"/>
      <c r="T2044" s="103" t="n"/>
      <c r="U2044" s="103" t="n"/>
      <c r="V2044" s="104" t="n"/>
      <c r="W2044" s="102" t="n"/>
      <c r="X2044" s="104" t="n"/>
      <c r="Y2044" s="102" t="n"/>
      <c r="Z2044" s="104" t="n"/>
      <c r="AB2044" s="105">
        <f>IF($B2044="","",(COUNTIF(C2008:E2025,$B2044)+COUNTIF(C2008:E2025,$B2044&amp;" ~*")&gt;0)+(COUNTIF(G2008:I2025,$B2044)+COUNTIF(G2008:I2025,$B2044&amp;" ~*")&gt;0)+(COUNTIF(K2008:M2025,$B2044)+COUNTIF(K2008:M2025,$B2044&amp;" ~*")&gt;0)+(COUNTIF(O2008:Q2025,$B2044)+COUNTIF(O2008:Q2025,$B2044&amp;" ~*")&gt;0)+(COUNTIF(S2008:U2025,$B2044)+COUNTIF(S2008:U2025,$B2044&amp;" ~*")&gt;0)+(COUNTIF(W2008:W2025,$B2044)+COUNTIF(W2008:W2025,$B2044&amp;" ~*")&gt;0)+(COUNTIF(Y2008:Y2025,$B2044)+COUNTIF(Y2008:Y2025,$B2044&amp;" ~*")&gt;0))</f>
        <v/>
      </c>
      <c r="AC2044" s="38">
        <f>IF($B2044="","",(IFERROR(INDEX(Setup!$G$33:$G$40,MATCH(C2044,Setup!$B$33:$B$40,0)),0)=1)*(COUNTIF(C2008:E2025,$B2044)+COUNTIF(C2008:E2025,$B2044&amp;" ~*")&gt;0)+(IFERROR(INDEX(Setup!$G$33:$G$40,MATCH(G2044,Setup!$B$33:$B$40,0)),0)=1)*(COUNTIF(G2008:I2025,$B2044)+COUNTIF(G2008:I2025,$B2044&amp;" ~*")&gt;0)+(IFERROR(INDEX(Setup!$G$33:$G$40,MATCH(K2044,Setup!$B$33:$B$40,0)),0)=1)*(COUNTIF(K2008:M2025,$B2044)+COUNTIF(K2008:M2025,$B2044&amp;" ~*")&gt;0)+(IFERROR(INDEX(Setup!$G$33:$G$40,MATCH(O2044,Setup!$B$33:$B$40,0)),0)=1)*(COUNTIF(O2008:Q2025,$B2044)+COUNTIF(O2008:Q2025,$B2044&amp;" ~*")&gt;0)+(IFERROR(INDEX(Setup!$G$33:$G$40,MATCH(S2044,Setup!$B$33:$B$40,0)),0)=1)*(COUNTIF(S2008:U2025,$B2044)+COUNTIF(S2008:U2025,$B2044&amp;" ~*")&gt;0)+(IFERROR(INDEX(Setup!$G$33:$G$40,MATCH(W2044,Setup!$B$33:$B$40,0)),0)=1)*(COUNTIF(W2008:W2025,$B2044)+COUNTIF(W2008:W2025,$B2044&amp;" ~*")&gt;0)+(IFERROR(INDEX(Setup!$G$33:$G$40,MATCH(Y2044,Setup!$B$33:$B$40,0)),0)=1)*(COUNTIF(Y2008:Y2025,$B2044)+COUNTIF(Y2008:Y2025,$B2044&amp;" ~*")&gt;0))</f>
        <v/>
      </c>
    </row>
    <row r="2045" ht="15" customHeight="1">
      <c r="A2045" t="n">
        <v>41</v>
      </c>
      <c r="B2045" s="35">
        <f>IF(Setup!$B$24="","",Setup!$B$24)</f>
        <v/>
      </c>
      <c r="C2045" s="98" t="n"/>
      <c r="D2045" s="99" t="n"/>
      <c r="E2045" s="99" t="n"/>
      <c r="F2045" s="100" t="n"/>
      <c r="G2045" s="98" t="n"/>
      <c r="H2045" s="99" t="n"/>
      <c r="I2045" s="99" t="n"/>
      <c r="J2045" s="100" t="n"/>
      <c r="K2045" s="98" t="n"/>
      <c r="L2045" s="99" t="n"/>
      <c r="M2045" s="99" t="n"/>
      <c r="N2045" s="100" t="n"/>
      <c r="O2045" s="98" t="n"/>
      <c r="P2045" s="99" t="n"/>
      <c r="Q2045" s="99" t="n"/>
      <c r="R2045" s="100" t="n"/>
      <c r="S2045" s="98" t="n"/>
      <c r="T2045" s="99" t="n"/>
      <c r="U2045" s="99" t="n"/>
      <c r="V2045" s="100" t="n"/>
      <c r="W2045" s="98" t="n"/>
      <c r="X2045" s="100" t="n"/>
      <c r="Y2045" s="98" t="n"/>
      <c r="Z2045" s="100" t="n"/>
      <c r="AB2045" s="101">
        <f>IF($B2045="","",(COUNTIF(C2008:E2025,$B2045)+COUNTIF(C2008:E2025,$B2045&amp;" ~*")&gt;0)+(COUNTIF(G2008:I2025,$B2045)+COUNTIF(G2008:I2025,$B2045&amp;" ~*")&gt;0)+(COUNTIF(K2008:M2025,$B2045)+COUNTIF(K2008:M2025,$B2045&amp;" ~*")&gt;0)+(COUNTIF(O2008:Q2025,$B2045)+COUNTIF(O2008:Q2025,$B2045&amp;" ~*")&gt;0)+(COUNTIF(S2008:U2025,$B2045)+COUNTIF(S2008:U2025,$B2045&amp;" ~*")&gt;0)+(COUNTIF(W2008:W2025,$B2045)+COUNTIF(W2008:W2025,$B2045&amp;" ~*")&gt;0)+(COUNTIF(Y2008:Y2025,$B2045)+COUNTIF(Y2008:Y2025,$B2045&amp;" ~*")&gt;0))</f>
        <v/>
      </c>
      <c r="AC2045" s="36">
        <f>IF($B2045="","",(IFERROR(INDEX(Setup!$G$33:$G$40,MATCH(C2045,Setup!$B$33:$B$40,0)),0)=1)*(COUNTIF(C2008:E2025,$B2045)+COUNTIF(C2008:E2025,$B2045&amp;" ~*")&gt;0)+(IFERROR(INDEX(Setup!$G$33:$G$40,MATCH(G2045,Setup!$B$33:$B$40,0)),0)=1)*(COUNTIF(G2008:I2025,$B2045)+COUNTIF(G2008:I2025,$B2045&amp;" ~*")&gt;0)+(IFERROR(INDEX(Setup!$G$33:$G$40,MATCH(K2045,Setup!$B$33:$B$40,0)),0)=1)*(COUNTIF(K2008:M2025,$B2045)+COUNTIF(K2008:M2025,$B2045&amp;" ~*")&gt;0)+(IFERROR(INDEX(Setup!$G$33:$G$40,MATCH(O2045,Setup!$B$33:$B$40,0)),0)=1)*(COUNTIF(O2008:Q2025,$B2045)+COUNTIF(O2008:Q2025,$B2045&amp;" ~*")&gt;0)+(IFERROR(INDEX(Setup!$G$33:$G$40,MATCH(S2045,Setup!$B$33:$B$40,0)),0)=1)*(COUNTIF(S2008:U2025,$B2045)+COUNTIF(S2008:U2025,$B2045&amp;" ~*")&gt;0)+(IFERROR(INDEX(Setup!$G$33:$G$40,MATCH(W2045,Setup!$B$33:$B$40,0)),0)=1)*(COUNTIF(W2008:W2025,$B2045)+COUNTIF(W2008:W2025,$B2045&amp;" ~*")&gt;0)+(IFERROR(INDEX(Setup!$G$33:$G$40,MATCH(Y2045,Setup!$B$33:$B$40,0)),0)=1)*(COUNTIF(Y2008:Y2025,$B2045)+COUNTIF(Y2008:Y2025,$B2045&amp;" ~*")&gt;0))</f>
        <v/>
      </c>
    </row>
    <row r="2046" ht="15" customHeight="1">
      <c r="A2046" t="n">
        <v>41</v>
      </c>
      <c r="B2046" s="37">
        <f>IF(Setup!$B$25="","",Setup!$B$25)</f>
        <v/>
      </c>
      <c r="C2046" s="102" t="n"/>
      <c r="D2046" s="103" t="n"/>
      <c r="E2046" s="103" t="n"/>
      <c r="F2046" s="104" t="n"/>
      <c r="G2046" s="102" t="n"/>
      <c r="H2046" s="103" t="n"/>
      <c r="I2046" s="103" t="n"/>
      <c r="J2046" s="104" t="n"/>
      <c r="K2046" s="102" t="n"/>
      <c r="L2046" s="103" t="n"/>
      <c r="M2046" s="103" t="n"/>
      <c r="N2046" s="104" t="n"/>
      <c r="O2046" s="102" t="n"/>
      <c r="P2046" s="103" t="n"/>
      <c r="Q2046" s="103" t="n"/>
      <c r="R2046" s="104" t="n"/>
      <c r="S2046" s="102" t="n"/>
      <c r="T2046" s="103" t="n"/>
      <c r="U2046" s="103" t="n"/>
      <c r="V2046" s="104" t="n"/>
      <c r="W2046" s="102" t="n"/>
      <c r="X2046" s="104" t="n"/>
      <c r="Y2046" s="102" t="n"/>
      <c r="Z2046" s="104" t="n"/>
      <c r="AB2046" s="105">
        <f>IF($B2046="","",(COUNTIF(C2008:E2025,$B2046)+COUNTIF(C2008:E2025,$B2046&amp;" ~*")&gt;0)+(COUNTIF(G2008:I2025,$B2046)+COUNTIF(G2008:I2025,$B2046&amp;" ~*")&gt;0)+(COUNTIF(K2008:M2025,$B2046)+COUNTIF(K2008:M2025,$B2046&amp;" ~*")&gt;0)+(COUNTIF(O2008:Q2025,$B2046)+COUNTIF(O2008:Q2025,$B2046&amp;" ~*")&gt;0)+(COUNTIF(S2008:U2025,$B2046)+COUNTIF(S2008:U2025,$B2046&amp;" ~*")&gt;0)+(COUNTIF(W2008:W2025,$B2046)+COUNTIF(W2008:W2025,$B2046&amp;" ~*")&gt;0)+(COUNTIF(Y2008:Y2025,$B2046)+COUNTIF(Y2008:Y2025,$B2046&amp;" ~*")&gt;0))</f>
        <v/>
      </c>
      <c r="AC2046" s="38">
        <f>IF($B2046="","",(IFERROR(INDEX(Setup!$G$33:$G$40,MATCH(C2046,Setup!$B$33:$B$40,0)),0)=1)*(COUNTIF(C2008:E2025,$B2046)+COUNTIF(C2008:E2025,$B2046&amp;" ~*")&gt;0)+(IFERROR(INDEX(Setup!$G$33:$G$40,MATCH(G2046,Setup!$B$33:$B$40,0)),0)=1)*(COUNTIF(G2008:I2025,$B2046)+COUNTIF(G2008:I2025,$B2046&amp;" ~*")&gt;0)+(IFERROR(INDEX(Setup!$G$33:$G$40,MATCH(K2046,Setup!$B$33:$B$40,0)),0)=1)*(COUNTIF(K2008:M2025,$B2046)+COUNTIF(K2008:M2025,$B2046&amp;" ~*")&gt;0)+(IFERROR(INDEX(Setup!$G$33:$G$40,MATCH(O2046,Setup!$B$33:$B$40,0)),0)=1)*(COUNTIF(O2008:Q2025,$B2046)+COUNTIF(O2008:Q2025,$B2046&amp;" ~*")&gt;0)+(IFERROR(INDEX(Setup!$G$33:$G$40,MATCH(S2046,Setup!$B$33:$B$40,0)),0)=1)*(COUNTIF(S2008:U2025,$B2046)+COUNTIF(S2008:U2025,$B2046&amp;" ~*")&gt;0)+(IFERROR(INDEX(Setup!$G$33:$G$40,MATCH(W2046,Setup!$B$33:$B$40,0)),0)=1)*(COUNTIF(W2008:W2025,$B2046)+COUNTIF(W2008:W2025,$B2046&amp;" ~*")&gt;0)+(IFERROR(INDEX(Setup!$G$33:$G$40,MATCH(Y2046,Setup!$B$33:$B$40,0)),0)=1)*(COUNTIF(Y2008:Y2025,$B2046)+COUNTIF(Y2008:Y2025,$B2046&amp;" ~*")&gt;0))</f>
        <v/>
      </c>
    </row>
    <row r="2047" ht="15" customHeight="1">
      <c r="A2047" t="n">
        <v>41</v>
      </c>
      <c r="B2047" s="35">
        <f>IF(Setup!$B$26="","",Setup!$B$26)</f>
        <v/>
      </c>
      <c r="C2047" s="98" t="n"/>
      <c r="D2047" s="99" t="n"/>
      <c r="E2047" s="99" t="n"/>
      <c r="F2047" s="100" t="n"/>
      <c r="G2047" s="98" t="n"/>
      <c r="H2047" s="99" t="n"/>
      <c r="I2047" s="99" t="n"/>
      <c r="J2047" s="100" t="n"/>
      <c r="K2047" s="98" t="n"/>
      <c r="L2047" s="99" t="n"/>
      <c r="M2047" s="99" t="n"/>
      <c r="N2047" s="100" t="n"/>
      <c r="O2047" s="98" t="n"/>
      <c r="P2047" s="99" t="n"/>
      <c r="Q2047" s="99" t="n"/>
      <c r="R2047" s="100" t="n"/>
      <c r="S2047" s="98" t="n"/>
      <c r="T2047" s="99" t="n"/>
      <c r="U2047" s="99" t="n"/>
      <c r="V2047" s="100" t="n"/>
      <c r="W2047" s="98" t="n"/>
      <c r="X2047" s="100" t="n"/>
      <c r="Y2047" s="98" t="n"/>
      <c r="Z2047" s="100" t="n"/>
      <c r="AB2047" s="101">
        <f>IF($B2047="","",(COUNTIF(C2008:E2025,$B2047)+COUNTIF(C2008:E2025,$B2047&amp;" ~*")&gt;0)+(COUNTIF(G2008:I2025,$B2047)+COUNTIF(G2008:I2025,$B2047&amp;" ~*")&gt;0)+(COUNTIF(K2008:M2025,$B2047)+COUNTIF(K2008:M2025,$B2047&amp;" ~*")&gt;0)+(COUNTIF(O2008:Q2025,$B2047)+COUNTIF(O2008:Q2025,$B2047&amp;" ~*")&gt;0)+(COUNTIF(S2008:U2025,$B2047)+COUNTIF(S2008:U2025,$B2047&amp;" ~*")&gt;0)+(COUNTIF(W2008:W2025,$B2047)+COUNTIF(W2008:W2025,$B2047&amp;" ~*")&gt;0)+(COUNTIF(Y2008:Y2025,$B2047)+COUNTIF(Y2008:Y2025,$B2047&amp;" ~*")&gt;0))</f>
        <v/>
      </c>
      <c r="AC2047" s="36">
        <f>IF($B2047="","",(IFERROR(INDEX(Setup!$G$33:$G$40,MATCH(C2047,Setup!$B$33:$B$40,0)),0)=1)*(COUNTIF(C2008:E2025,$B2047)+COUNTIF(C2008:E2025,$B2047&amp;" ~*")&gt;0)+(IFERROR(INDEX(Setup!$G$33:$G$40,MATCH(G2047,Setup!$B$33:$B$40,0)),0)=1)*(COUNTIF(G2008:I2025,$B2047)+COUNTIF(G2008:I2025,$B2047&amp;" ~*")&gt;0)+(IFERROR(INDEX(Setup!$G$33:$G$40,MATCH(K2047,Setup!$B$33:$B$40,0)),0)=1)*(COUNTIF(K2008:M2025,$B2047)+COUNTIF(K2008:M2025,$B2047&amp;" ~*")&gt;0)+(IFERROR(INDEX(Setup!$G$33:$G$40,MATCH(O2047,Setup!$B$33:$B$40,0)),0)=1)*(COUNTIF(O2008:Q2025,$B2047)+COUNTIF(O2008:Q2025,$B2047&amp;" ~*")&gt;0)+(IFERROR(INDEX(Setup!$G$33:$G$40,MATCH(S2047,Setup!$B$33:$B$40,0)),0)=1)*(COUNTIF(S2008:U2025,$B2047)+COUNTIF(S2008:U2025,$B2047&amp;" ~*")&gt;0)+(IFERROR(INDEX(Setup!$G$33:$G$40,MATCH(W2047,Setup!$B$33:$B$40,0)),0)=1)*(COUNTIF(W2008:W2025,$B2047)+COUNTIF(W2008:W2025,$B2047&amp;" ~*")&gt;0)+(IFERROR(INDEX(Setup!$G$33:$G$40,MATCH(Y2047,Setup!$B$33:$B$40,0)),0)=1)*(COUNTIF(Y2008:Y2025,$B2047)+COUNTIF(Y2008:Y2025,$B2047&amp;" ~*")&gt;0))</f>
        <v/>
      </c>
    </row>
    <row r="2048" ht="15" customHeight="1">
      <c r="A2048" t="n">
        <v>41</v>
      </c>
      <c r="B2048" s="37">
        <f>IF(Setup!$B$27="","",Setup!$B$27)</f>
        <v/>
      </c>
      <c r="C2048" s="102" t="n"/>
      <c r="D2048" s="103" t="n"/>
      <c r="E2048" s="103" t="n"/>
      <c r="F2048" s="104" t="n"/>
      <c r="G2048" s="102" t="n"/>
      <c r="H2048" s="103" t="n"/>
      <c r="I2048" s="103" t="n"/>
      <c r="J2048" s="104" t="n"/>
      <c r="K2048" s="102" t="n"/>
      <c r="L2048" s="103" t="n"/>
      <c r="M2048" s="103" t="n"/>
      <c r="N2048" s="104" t="n"/>
      <c r="O2048" s="102" t="n"/>
      <c r="P2048" s="103" t="n"/>
      <c r="Q2048" s="103" t="n"/>
      <c r="R2048" s="104" t="n"/>
      <c r="S2048" s="102" t="n"/>
      <c r="T2048" s="103" t="n"/>
      <c r="U2048" s="103" t="n"/>
      <c r="V2048" s="104" t="n"/>
      <c r="W2048" s="102" t="n"/>
      <c r="X2048" s="104" t="n"/>
      <c r="Y2048" s="102" t="n"/>
      <c r="Z2048" s="104" t="n"/>
      <c r="AB2048" s="105">
        <f>IF($B2048="","",(COUNTIF(C2008:E2025,$B2048)+COUNTIF(C2008:E2025,$B2048&amp;" ~*")&gt;0)+(COUNTIF(G2008:I2025,$B2048)+COUNTIF(G2008:I2025,$B2048&amp;" ~*")&gt;0)+(COUNTIF(K2008:M2025,$B2048)+COUNTIF(K2008:M2025,$B2048&amp;" ~*")&gt;0)+(COUNTIF(O2008:Q2025,$B2048)+COUNTIF(O2008:Q2025,$B2048&amp;" ~*")&gt;0)+(COUNTIF(S2008:U2025,$B2048)+COUNTIF(S2008:U2025,$B2048&amp;" ~*")&gt;0)+(COUNTIF(W2008:W2025,$B2048)+COUNTIF(W2008:W2025,$B2048&amp;" ~*")&gt;0)+(COUNTIF(Y2008:Y2025,$B2048)+COUNTIF(Y2008:Y2025,$B2048&amp;" ~*")&gt;0))</f>
        <v/>
      </c>
      <c r="AC2048" s="38">
        <f>IF($B2048="","",(IFERROR(INDEX(Setup!$G$33:$G$40,MATCH(C2048,Setup!$B$33:$B$40,0)),0)=1)*(COUNTIF(C2008:E2025,$B2048)+COUNTIF(C2008:E2025,$B2048&amp;" ~*")&gt;0)+(IFERROR(INDEX(Setup!$G$33:$G$40,MATCH(G2048,Setup!$B$33:$B$40,0)),0)=1)*(COUNTIF(G2008:I2025,$B2048)+COUNTIF(G2008:I2025,$B2048&amp;" ~*")&gt;0)+(IFERROR(INDEX(Setup!$G$33:$G$40,MATCH(K2048,Setup!$B$33:$B$40,0)),0)=1)*(COUNTIF(K2008:M2025,$B2048)+COUNTIF(K2008:M2025,$B2048&amp;" ~*")&gt;0)+(IFERROR(INDEX(Setup!$G$33:$G$40,MATCH(O2048,Setup!$B$33:$B$40,0)),0)=1)*(COUNTIF(O2008:Q2025,$B2048)+COUNTIF(O2008:Q2025,$B2048&amp;" ~*")&gt;0)+(IFERROR(INDEX(Setup!$G$33:$G$40,MATCH(S2048,Setup!$B$33:$B$40,0)),0)=1)*(COUNTIF(S2008:U2025,$B2048)+COUNTIF(S2008:U2025,$B2048&amp;" ~*")&gt;0)+(IFERROR(INDEX(Setup!$G$33:$G$40,MATCH(W2048,Setup!$B$33:$B$40,0)),0)=1)*(COUNTIF(W2008:W2025,$B2048)+COUNTIF(W2008:W2025,$B2048&amp;" ~*")&gt;0)+(IFERROR(INDEX(Setup!$G$33:$G$40,MATCH(Y2048,Setup!$B$33:$B$40,0)),0)=1)*(COUNTIF(Y2008:Y2025,$B2048)+COUNTIF(Y2008:Y2025,$B2048&amp;" ~*")&gt;0))</f>
        <v/>
      </c>
    </row>
    <row r="2049" ht="15" customHeight="1">
      <c r="A2049" t="n">
        <v>41</v>
      </c>
      <c r="B2049" s="35">
        <f>IF(Setup!$B$28="","",Setup!$B$28)</f>
        <v/>
      </c>
      <c r="C2049" s="98" t="n"/>
      <c r="D2049" s="99" t="n"/>
      <c r="E2049" s="99" t="n"/>
      <c r="F2049" s="100" t="n"/>
      <c r="G2049" s="98" t="n"/>
      <c r="H2049" s="99" t="n"/>
      <c r="I2049" s="99" t="n"/>
      <c r="J2049" s="100" t="n"/>
      <c r="K2049" s="98" t="n"/>
      <c r="L2049" s="99" t="n"/>
      <c r="M2049" s="99" t="n"/>
      <c r="N2049" s="100" t="n"/>
      <c r="O2049" s="98" t="n"/>
      <c r="P2049" s="99" t="n"/>
      <c r="Q2049" s="99" t="n"/>
      <c r="R2049" s="100" t="n"/>
      <c r="S2049" s="98" t="n"/>
      <c r="T2049" s="99" t="n"/>
      <c r="U2049" s="99" t="n"/>
      <c r="V2049" s="100" t="n"/>
      <c r="W2049" s="98" t="n"/>
      <c r="X2049" s="100" t="n"/>
      <c r="Y2049" s="98" t="n"/>
      <c r="Z2049" s="100" t="n"/>
      <c r="AB2049" s="101">
        <f>IF($B2049="","",(COUNTIF(C2008:E2025,$B2049)+COUNTIF(C2008:E2025,$B2049&amp;" ~*")&gt;0)+(COUNTIF(G2008:I2025,$B2049)+COUNTIF(G2008:I2025,$B2049&amp;" ~*")&gt;0)+(COUNTIF(K2008:M2025,$B2049)+COUNTIF(K2008:M2025,$B2049&amp;" ~*")&gt;0)+(COUNTIF(O2008:Q2025,$B2049)+COUNTIF(O2008:Q2025,$B2049&amp;" ~*")&gt;0)+(COUNTIF(S2008:U2025,$B2049)+COUNTIF(S2008:U2025,$B2049&amp;" ~*")&gt;0)+(COUNTIF(W2008:W2025,$B2049)+COUNTIF(W2008:W2025,$B2049&amp;" ~*")&gt;0)+(COUNTIF(Y2008:Y2025,$B2049)+COUNTIF(Y2008:Y2025,$B2049&amp;" ~*")&gt;0))</f>
        <v/>
      </c>
      <c r="AC2049" s="36">
        <f>IF($B2049="","",(IFERROR(INDEX(Setup!$G$33:$G$40,MATCH(C2049,Setup!$B$33:$B$40,0)),0)=1)*(COUNTIF(C2008:E2025,$B2049)+COUNTIF(C2008:E2025,$B2049&amp;" ~*")&gt;0)+(IFERROR(INDEX(Setup!$G$33:$G$40,MATCH(G2049,Setup!$B$33:$B$40,0)),0)=1)*(COUNTIF(G2008:I2025,$B2049)+COUNTIF(G2008:I2025,$B2049&amp;" ~*")&gt;0)+(IFERROR(INDEX(Setup!$G$33:$G$40,MATCH(K2049,Setup!$B$33:$B$40,0)),0)=1)*(COUNTIF(K2008:M2025,$B2049)+COUNTIF(K2008:M2025,$B2049&amp;" ~*")&gt;0)+(IFERROR(INDEX(Setup!$G$33:$G$40,MATCH(O2049,Setup!$B$33:$B$40,0)),0)=1)*(COUNTIF(O2008:Q2025,$B2049)+COUNTIF(O2008:Q2025,$B2049&amp;" ~*")&gt;0)+(IFERROR(INDEX(Setup!$G$33:$G$40,MATCH(S2049,Setup!$B$33:$B$40,0)),0)=1)*(COUNTIF(S2008:U2025,$B2049)+COUNTIF(S2008:U2025,$B2049&amp;" ~*")&gt;0)+(IFERROR(INDEX(Setup!$G$33:$G$40,MATCH(W2049,Setup!$B$33:$B$40,0)),0)=1)*(COUNTIF(W2008:W2025,$B2049)+COUNTIF(W2008:W2025,$B2049&amp;" ~*")&gt;0)+(IFERROR(INDEX(Setup!$G$33:$G$40,MATCH(Y2049,Setup!$B$33:$B$40,0)),0)=1)*(COUNTIF(Y2008:Y2025,$B2049)+COUNTIF(Y2008:Y2025,$B2049&amp;" ~*")&gt;0))</f>
        <v/>
      </c>
    </row>
    <row r="2050" ht="15" customHeight="1">
      <c r="A2050" t="n">
        <v>41</v>
      </c>
      <c r="B2050" s="37">
        <f>IF(Setup!$B$29="","",Setup!$B$29)</f>
        <v/>
      </c>
      <c r="C2050" s="102" t="n"/>
      <c r="D2050" s="103" t="n"/>
      <c r="E2050" s="103" t="n"/>
      <c r="F2050" s="104" t="n"/>
      <c r="G2050" s="102" t="n"/>
      <c r="H2050" s="103" t="n"/>
      <c r="I2050" s="103" t="n"/>
      <c r="J2050" s="104" t="n"/>
      <c r="K2050" s="102" t="n"/>
      <c r="L2050" s="103" t="n"/>
      <c r="M2050" s="103" t="n"/>
      <c r="N2050" s="104" t="n"/>
      <c r="O2050" s="102" t="n"/>
      <c r="P2050" s="103" t="n"/>
      <c r="Q2050" s="103" t="n"/>
      <c r="R2050" s="104" t="n"/>
      <c r="S2050" s="102" t="n"/>
      <c r="T2050" s="103" t="n"/>
      <c r="U2050" s="103" t="n"/>
      <c r="V2050" s="104" t="n"/>
      <c r="W2050" s="102" t="n"/>
      <c r="X2050" s="104" t="n"/>
      <c r="Y2050" s="102" t="n"/>
      <c r="Z2050" s="104" t="n"/>
      <c r="AB2050" s="105">
        <f>IF($B2050="","",(COUNTIF(C2008:E2025,$B2050)+COUNTIF(C2008:E2025,$B2050&amp;" ~*")&gt;0)+(COUNTIF(G2008:I2025,$B2050)+COUNTIF(G2008:I2025,$B2050&amp;" ~*")&gt;0)+(COUNTIF(K2008:M2025,$B2050)+COUNTIF(K2008:M2025,$B2050&amp;" ~*")&gt;0)+(COUNTIF(O2008:Q2025,$B2050)+COUNTIF(O2008:Q2025,$B2050&amp;" ~*")&gt;0)+(COUNTIF(S2008:U2025,$B2050)+COUNTIF(S2008:U2025,$B2050&amp;" ~*")&gt;0)+(COUNTIF(W2008:W2025,$B2050)+COUNTIF(W2008:W2025,$B2050&amp;" ~*")&gt;0)+(COUNTIF(Y2008:Y2025,$B2050)+COUNTIF(Y2008:Y2025,$B2050&amp;" ~*")&gt;0))</f>
        <v/>
      </c>
      <c r="AC2050" s="38">
        <f>IF($B2050="","",(IFERROR(INDEX(Setup!$G$33:$G$40,MATCH(C2050,Setup!$B$33:$B$40,0)),0)=1)*(COUNTIF(C2008:E2025,$B2050)+COUNTIF(C2008:E2025,$B2050&amp;" ~*")&gt;0)+(IFERROR(INDEX(Setup!$G$33:$G$40,MATCH(G2050,Setup!$B$33:$B$40,0)),0)=1)*(COUNTIF(G2008:I2025,$B2050)+COUNTIF(G2008:I2025,$B2050&amp;" ~*")&gt;0)+(IFERROR(INDEX(Setup!$G$33:$G$40,MATCH(K2050,Setup!$B$33:$B$40,0)),0)=1)*(COUNTIF(K2008:M2025,$B2050)+COUNTIF(K2008:M2025,$B2050&amp;" ~*")&gt;0)+(IFERROR(INDEX(Setup!$G$33:$G$40,MATCH(O2050,Setup!$B$33:$B$40,0)),0)=1)*(COUNTIF(O2008:Q2025,$B2050)+COUNTIF(O2008:Q2025,$B2050&amp;" ~*")&gt;0)+(IFERROR(INDEX(Setup!$G$33:$G$40,MATCH(S2050,Setup!$B$33:$B$40,0)),0)=1)*(COUNTIF(S2008:U2025,$B2050)+COUNTIF(S2008:U2025,$B2050&amp;" ~*")&gt;0)+(IFERROR(INDEX(Setup!$G$33:$G$40,MATCH(W2050,Setup!$B$33:$B$40,0)),0)=1)*(COUNTIF(W2008:W2025,$B2050)+COUNTIF(W2008:W2025,$B2050&amp;" ~*")&gt;0)+(IFERROR(INDEX(Setup!$G$33:$G$40,MATCH(Y2050,Setup!$B$33:$B$40,0)),0)=1)*(COUNTIF(Y2008:Y2025,$B2050)+COUNTIF(Y2008:Y2025,$B2050&amp;" ~*")&gt;0))</f>
        <v/>
      </c>
    </row>
    <row r="2051" ht="16" customHeight="1">
      <c r="A2051" t="n">
        <v>41</v>
      </c>
      <c r="B2051" s="106" t="inlineStr">
        <is>
          <t>Available people</t>
        </is>
      </c>
      <c r="C2051" s="107">
        <f>COUNTIFS(Setup!$E$6:$E$29,"Y",Setup!$B$6:$B$29,"?*")-SUMPRODUCT(COUNTIF(C2027:C2050,Setup!$F$33:$F$40))</f>
        <v/>
      </c>
      <c r="D2051" s="107" t="n"/>
      <c r="E2051" s="107" t="n"/>
      <c r="F2051" s="107" t="n"/>
      <c r="G2051" s="107">
        <f>COUNTIFS(Setup!$E$6:$E$29,"Y",Setup!$B$6:$B$29,"?*")-SUMPRODUCT(COUNTIF(G2027:G2050,Setup!$F$33:$F$40))</f>
        <v/>
      </c>
      <c r="H2051" s="107" t="n"/>
      <c r="I2051" s="107" t="n"/>
      <c r="J2051" s="107" t="n"/>
      <c r="K2051" s="107">
        <f>COUNTIFS(Setup!$E$6:$E$29,"Y",Setup!$B$6:$B$29,"?*")-SUMPRODUCT(COUNTIF(K2027:K2050,Setup!$F$33:$F$40))</f>
        <v/>
      </c>
      <c r="L2051" s="107" t="n"/>
      <c r="M2051" s="107" t="n"/>
      <c r="N2051" s="107" t="n"/>
      <c r="O2051" s="107">
        <f>COUNTIFS(Setup!$E$6:$E$29,"Y",Setup!$B$6:$B$29,"?*")-SUMPRODUCT(COUNTIF(O2027:O2050,Setup!$F$33:$F$40))</f>
        <v/>
      </c>
      <c r="P2051" s="107" t="n"/>
      <c r="Q2051" s="107" t="n"/>
      <c r="R2051" s="107" t="n"/>
      <c r="S2051" s="107">
        <f>COUNTIFS(Setup!$E$6:$E$29,"Y",Setup!$B$6:$B$29,"?*")-SUMPRODUCT(COUNTIF(S2027:S2050,Setup!$F$33:$F$40))</f>
        <v/>
      </c>
      <c r="T2051" s="107" t="n"/>
      <c r="U2051" s="107" t="n"/>
      <c r="V2051" s="107" t="n"/>
      <c r="W2051" s="107">
        <f>COUNTIFS(Setup!$E$6:$E$29,"Y",Setup!$B$6:$B$29,"?*")-SUMPRODUCT(COUNTIF(W2027:W2050,Setup!$F$33:$F$40))</f>
        <v/>
      </c>
      <c r="X2051" s="107" t="n"/>
      <c r="Y2051" s="107">
        <f>COUNTIFS(Setup!$E$6:$E$29,"Y",Setup!$B$6:$B$29,"?*")-SUMPRODUCT(COUNTIF(Y2027:Y2050,Setup!$F$33:$F$40))</f>
        <v/>
      </c>
      <c r="Z2051" s="107" t="n"/>
      <c r="AB2051" s="108">
        <f>SUM(AB2027:AB2050)</f>
        <v/>
      </c>
      <c r="AC2051" s="109">
        <f>SUM(AC2027:AC2050)</f>
        <v/>
      </c>
    </row>
    <row r="2052" ht="30" customHeight="1">
      <c r="A2052" t="n">
        <v>41</v>
      </c>
      <c r="B2052" s="110" t="inlineStr">
        <is>
          <t>Week notes</t>
        </is>
      </c>
      <c r="C2052" s="111" t="n"/>
      <c r="D2052" s="112" t="n"/>
      <c r="E2052" s="112" t="n"/>
      <c r="F2052" s="112" t="n"/>
      <c r="G2052" s="112" t="n"/>
      <c r="H2052" s="112" t="n"/>
      <c r="I2052" s="112" t="n"/>
      <c r="J2052" s="112" t="n"/>
      <c r="K2052" s="112" t="n"/>
      <c r="L2052" s="112" t="n"/>
      <c r="M2052" s="112" t="n"/>
      <c r="N2052" s="112" t="n"/>
      <c r="O2052" s="112" t="n"/>
      <c r="P2052" s="112" t="n"/>
      <c r="Q2052" s="112" t="n"/>
      <c r="R2052" s="112" t="n"/>
      <c r="S2052" s="112" t="n"/>
      <c r="T2052" s="112" t="n"/>
      <c r="U2052" s="112" t="n"/>
      <c r="V2052" s="112" t="n"/>
      <c r="W2052" s="112" t="n"/>
      <c r="X2052" s="112" t="n"/>
      <c r="Y2052" s="112" t="n"/>
      <c r="Z2052" s="113" t="n"/>
    </row>
    <row r="2053" ht="8" customHeight="1">
      <c r="A2053" t="n">
        <v>41</v>
      </c>
    </row>
    <row r="2054" ht="8" customHeight="1">
      <c r="A2054" t="n">
        <v>41</v>
      </c>
    </row>
    <row r="2055" ht="24" customHeight="1">
      <c r="A2055" t="n">
        <v>42</v>
      </c>
      <c r="B2055" s="73">
        <f>"WEEK 42     "&amp;TEXT(C2056,"ddd d mmm")&amp;"  –  "&amp;TEXT(C2056+6,"ddd d mmm yyyy")</f>
        <v/>
      </c>
      <c r="S2055" s="74">
        <f>IF(TODAY()&lt;C2056,"FUTURE",IF(TODAY()&gt;C2056+6,"PAST","THIS WEEK"))</f>
        <v/>
      </c>
      <c r="W2055" s="75">
        <f>IF(AND(Engine!$B$8=$AC$3,Engine!$B$9=$A2055),"◀ ACTIVE WEEK","")</f>
        <v/>
      </c>
      <c r="AA2055" s="76" t="n"/>
      <c r="AB2055" s="77" t="inlineStr">
        <is>
          <t>◀ Prev</t>
        </is>
      </c>
      <c r="AC2055" s="77" t="inlineStr">
        <is>
          <t>Next ▶</t>
        </is>
      </c>
    </row>
    <row r="2056" ht="18" customHeight="1">
      <c r="A2056" t="n">
        <v>42</v>
      </c>
      <c r="B2056" s="78" t="inlineStr">
        <is>
          <t>DUTY</t>
        </is>
      </c>
      <c r="C2056" s="79">
        <f>$AC$2+7*($A2056-1)</f>
        <v/>
      </c>
      <c r="D2056" s="80" t="n"/>
      <c r="E2056" s="80" t="n"/>
      <c r="F2056" s="81" t="n"/>
      <c r="G2056" s="79">
        <f>C2056+1</f>
        <v/>
      </c>
      <c r="H2056" s="80" t="n"/>
      <c r="I2056" s="80" t="n"/>
      <c r="J2056" s="81" t="n"/>
      <c r="K2056" s="79">
        <f>C2056+2</f>
        <v/>
      </c>
      <c r="L2056" s="80" t="n"/>
      <c r="M2056" s="80" t="n"/>
      <c r="N2056" s="81" t="n"/>
      <c r="O2056" s="79">
        <f>C2056+3</f>
        <v/>
      </c>
      <c r="P2056" s="80" t="n"/>
      <c r="Q2056" s="80" t="n"/>
      <c r="R2056" s="81" t="n"/>
      <c r="S2056" s="79">
        <f>C2056+4</f>
        <v/>
      </c>
      <c r="T2056" s="80" t="n"/>
      <c r="U2056" s="80" t="n"/>
      <c r="V2056" s="81" t="n"/>
      <c r="W2056" s="82">
        <f>C2056+5</f>
        <v/>
      </c>
      <c r="X2056" s="83" t="n"/>
      <c r="Y2056" s="82">
        <f>C2056+6</f>
        <v/>
      </c>
      <c r="Z2056" s="83" t="n"/>
      <c r="AB2056" s="72" t="inlineStr">
        <is>
          <t>Gaps</t>
        </is>
      </c>
      <c r="AC2056" s="72" t="inlineStr">
        <is>
          <t>Cover</t>
        </is>
      </c>
    </row>
    <row r="2057" ht="14" customHeight="1">
      <c r="A2057" t="n">
        <v>42</v>
      </c>
      <c r="B2057" s="84" t="inlineStr">
        <is>
          <t>(from Setup)</t>
        </is>
      </c>
      <c r="C2057" s="85" t="inlineStr">
        <is>
          <t>1</t>
        </is>
      </c>
      <c r="D2057" s="85" t="inlineStr">
        <is>
          <t>2</t>
        </is>
      </c>
      <c r="E2057" s="85" t="inlineStr">
        <is>
          <t>3</t>
        </is>
      </c>
      <c r="F2057" s="85" t="inlineStr">
        <is>
          <t>Notes</t>
        </is>
      </c>
      <c r="G2057" s="85" t="inlineStr">
        <is>
          <t>1</t>
        </is>
      </c>
      <c r="H2057" s="85" t="inlineStr">
        <is>
          <t>2</t>
        </is>
      </c>
      <c r="I2057" s="85" t="inlineStr">
        <is>
          <t>3</t>
        </is>
      </c>
      <c r="J2057" s="85" t="inlineStr">
        <is>
          <t>Notes</t>
        </is>
      </c>
      <c r="K2057" s="85" t="inlineStr">
        <is>
          <t>1</t>
        </is>
      </c>
      <c r="L2057" s="85" t="inlineStr">
        <is>
          <t>2</t>
        </is>
      </c>
      <c r="M2057" s="85" t="inlineStr">
        <is>
          <t>3</t>
        </is>
      </c>
      <c r="N2057" s="85" t="inlineStr">
        <is>
          <t>Notes</t>
        </is>
      </c>
      <c r="O2057" s="85" t="inlineStr">
        <is>
          <t>1</t>
        </is>
      </c>
      <c r="P2057" s="85" t="inlineStr">
        <is>
          <t>2</t>
        </is>
      </c>
      <c r="Q2057" s="85" t="inlineStr">
        <is>
          <t>3</t>
        </is>
      </c>
      <c r="R2057" s="85" t="inlineStr">
        <is>
          <t>Notes</t>
        </is>
      </c>
      <c r="S2057" s="85" t="inlineStr">
        <is>
          <t>1</t>
        </is>
      </c>
      <c r="T2057" s="85" t="inlineStr">
        <is>
          <t>2</t>
        </is>
      </c>
      <c r="U2057" s="85" t="inlineStr">
        <is>
          <t>3</t>
        </is>
      </c>
      <c r="V2057" s="85" t="inlineStr">
        <is>
          <t>Notes</t>
        </is>
      </c>
      <c r="W2057" s="85" t="inlineStr">
        <is>
          <t>Cover</t>
        </is>
      </c>
      <c r="X2057" s="85" t="inlineStr">
        <is>
          <t>Notes</t>
        </is>
      </c>
      <c r="Y2057" s="85" t="inlineStr">
        <is>
          <t>Cover</t>
        </is>
      </c>
      <c r="Z2057" s="85" t="inlineStr">
        <is>
          <t>Notes</t>
        </is>
      </c>
      <c r="AB2057" s="86" t="inlineStr">
        <is>
          <t>weekdays short</t>
        </is>
      </c>
      <c r="AC2057" s="87" t="inlineStr"/>
    </row>
    <row r="2058" ht="17" customHeight="1">
      <c r="A2058" t="n">
        <v>42</v>
      </c>
      <c r="B2058" s="24">
        <f>IF(Setup!$K$6="","",Setup!$K$6)</f>
        <v/>
      </c>
      <c r="C2058" s="88" t="n"/>
      <c r="D2058" s="88" t="n"/>
      <c r="E2058" s="88" t="n"/>
      <c r="F2058" s="89" t="n"/>
      <c r="G2058" s="88" t="n"/>
      <c r="H2058" s="88" t="n"/>
      <c r="I2058" s="88" t="n"/>
      <c r="J2058" s="89" t="n"/>
      <c r="K2058" s="88" t="n"/>
      <c r="L2058" s="88" t="n"/>
      <c r="M2058" s="88" t="n"/>
      <c r="N2058" s="89" t="n"/>
      <c r="O2058" s="88" t="n"/>
      <c r="P2058" s="88" t="n"/>
      <c r="Q2058" s="88" t="n"/>
      <c r="R2058" s="89" t="n"/>
      <c r="S2058" s="88" t="n"/>
      <c r="T2058" s="88" t="n"/>
      <c r="U2058" s="88" t="n"/>
      <c r="V2058" s="89" t="n"/>
      <c r="W2058" s="88" t="n"/>
      <c r="X2058" s="89" t="n"/>
      <c r="Y2058" s="88" t="n"/>
      <c r="Z2058" s="89" t="n"/>
      <c r="AB2058" s="25">
        <f>IF($B2058="","",(COUNTIF(C2058:E2058,"?*")&lt;N(INDEX(Setup!$L$6:$L$23,1)))+(COUNTIF(G2058:I2058,"?*")&lt;N(INDEX(Setup!$L$6:$L$23,1)))+(COUNTIF(K2058:M2058,"?*")&lt;N(INDEX(Setup!$L$6:$L$23,1)))+(COUNTIF(O2058:Q2058,"?*")&lt;N(INDEX(Setup!$L$6:$L$23,1)))+(COUNTIF(S2058:U2058,"?*")&lt;N(INDEX(Setup!$L$6:$L$23,1)))+((W2058="")*(INDEX(Setup!$M$6:$M$23,1)="Y"))+((Y2058="")*(INDEX(Setup!$M$6:$M$23,1)="Y")))</f>
        <v/>
      </c>
      <c r="AC2058" s="90">
        <f>IF($B2058="","",IF(AB2058=0,"✓ covered","⚠ "&amp;AB2058&amp;IF(AB2058=1," gap"," gaps")))</f>
        <v/>
      </c>
    </row>
    <row r="2059" ht="17" customHeight="1">
      <c r="A2059" t="n">
        <v>42</v>
      </c>
      <c r="B2059" s="29">
        <f>IF(Setup!$K$7="","",Setup!$K$7)</f>
        <v/>
      </c>
      <c r="C2059" s="88" t="n"/>
      <c r="D2059" s="88" t="n"/>
      <c r="E2059" s="88" t="n"/>
      <c r="F2059" s="89" t="n"/>
      <c r="G2059" s="88" t="n"/>
      <c r="H2059" s="88" t="n"/>
      <c r="I2059" s="88" t="n"/>
      <c r="J2059" s="89" t="n"/>
      <c r="K2059" s="88" t="n"/>
      <c r="L2059" s="88" t="n"/>
      <c r="M2059" s="88" t="n"/>
      <c r="N2059" s="89" t="n"/>
      <c r="O2059" s="88" t="n"/>
      <c r="P2059" s="88" t="n"/>
      <c r="Q2059" s="88" t="n"/>
      <c r="R2059" s="89" t="n"/>
      <c r="S2059" s="88" t="n"/>
      <c r="T2059" s="88" t="n"/>
      <c r="U2059" s="88" t="n"/>
      <c r="V2059" s="89" t="n"/>
      <c r="W2059" s="88" t="n"/>
      <c r="X2059" s="89" t="n"/>
      <c r="Y2059" s="88" t="n"/>
      <c r="Z2059" s="89" t="n"/>
      <c r="AB2059" s="30">
        <f>IF($B2059="","",(COUNTIF(C2059:E2059,"?*")&lt;N(INDEX(Setup!$L$6:$L$23,2)))+(COUNTIF(G2059:I2059,"?*")&lt;N(INDEX(Setup!$L$6:$L$23,2)))+(COUNTIF(K2059:M2059,"?*")&lt;N(INDEX(Setup!$L$6:$L$23,2)))+(COUNTIF(O2059:Q2059,"?*")&lt;N(INDEX(Setup!$L$6:$L$23,2)))+(COUNTIF(S2059:U2059,"?*")&lt;N(INDEX(Setup!$L$6:$L$23,2)))+((W2059="")*(INDEX(Setup!$M$6:$M$23,2)="Y"))+((Y2059="")*(INDEX(Setup!$M$6:$M$23,2)="Y")))</f>
        <v/>
      </c>
      <c r="AC2059" s="91">
        <f>IF($B2059="","",IF(AB2059=0,"✓ covered","⚠ "&amp;AB2059&amp;IF(AB2059=1," gap"," gaps")))</f>
        <v/>
      </c>
    </row>
    <row r="2060" ht="17" customHeight="1">
      <c r="A2060" t="n">
        <v>42</v>
      </c>
      <c r="B2060" s="24">
        <f>IF(Setup!$K$8="","",Setup!$K$8)</f>
        <v/>
      </c>
      <c r="C2060" s="88" t="n"/>
      <c r="D2060" s="88" t="n"/>
      <c r="E2060" s="88" t="n"/>
      <c r="F2060" s="89" t="n"/>
      <c r="G2060" s="88" t="n"/>
      <c r="H2060" s="88" t="n"/>
      <c r="I2060" s="88" t="n"/>
      <c r="J2060" s="89" t="n"/>
      <c r="K2060" s="88" t="n"/>
      <c r="L2060" s="88" t="n"/>
      <c r="M2060" s="88" t="n"/>
      <c r="N2060" s="89" t="n"/>
      <c r="O2060" s="88" t="n"/>
      <c r="P2060" s="88" t="n"/>
      <c r="Q2060" s="88" t="n"/>
      <c r="R2060" s="89" t="n"/>
      <c r="S2060" s="88" t="n"/>
      <c r="T2060" s="88" t="n"/>
      <c r="U2060" s="88" t="n"/>
      <c r="V2060" s="89" t="n"/>
      <c r="W2060" s="88" t="n"/>
      <c r="X2060" s="89" t="n"/>
      <c r="Y2060" s="88" t="n"/>
      <c r="Z2060" s="89" t="n"/>
      <c r="AB2060" s="25">
        <f>IF($B2060="","",(COUNTIF(C2060:E2060,"?*")&lt;N(INDEX(Setup!$L$6:$L$23,3)))+(COUNTIF(G2060:I2060,"?*")&lt;N(INDEX(Setup!$L$6:$L$23,3)))+(COUNTIF(K2060:M2060,"?*")&lt;N(INDEX(Setup!$L$6:$L$23,3)))+(COUNTIF(O2060:Q2060,"?*")&lt;N(INDEX(Setup!$L$6:$L$23,3)))+(COUNTIF(S2060:U2060,"?*")&lt;N(INDEX(Setup!$L$6:$L$23,3)))+((W2060="")*(INDEX(Setup!$M$6:$M$23,3)="Y"))+((Y2060="")*(INDEX(Setup!$M$6:$M$23,3)="Y")))</f>
        <v/>
      </c>
      <c r="AC2060" s="90">
        <f>IF($B2060="","",IF(AB2060=0,"✓ covered","⚠ "&amp;AB2060&amp;IF(AB2060=1," gap"," gaps")))</f>
        <v/>
      </c>
    </row>
    <row r="2061" ht="17" customHeight="1">
      <c r="A2061" t="n">
        <v>42</v>
      </c>
      <c r="B2061" s="29">
        <f>IF(Setup!$K$9="","",Setup!$K$9)</f>
        <v/>
      </c>
      <c r="C2061" s="88" t="n"/>
      <c r="D2061" s="88" t="n"/>
      <c r="E2061" s="88" t="n"/>
      <c r="F2061" s="89" t="n"/>
      <c r="G2061" s="88" t="n"/>
      <c r="H2061" s="88" t="n"/>
      <c r="I2061" s="88" t="n"/>
      <c r="J2061" s="89" t="n"/>
      <c r="K2061" s="88" t="n"/>
      <c r="L2061" s="88" t="n"/>
      <c r="M2061" s="88" t="n"/>
      <c r="N2061" s="89" t="n"/>
      <c r="O2061" s="88" t="n"/>
      <c r="P2061" s="88" t="n"/>
      <c r="Q2061" s="88" t="n"/>
      <c r="R2061" s="89" t="n"/>
      <c r="S2061" s="88" t="n"/>
      <c r="T2061" s="88" t="n"/>
      <c r="U2061" s="88" t="n"/>
      <c r="V2061" s="89" t="n"/>
      <c r="W2061" s="88" t="n"/>
      <c r="X2061" s="89" t="n"/>
      <c r="Y2061" s="88" t="n"/>
      <c r="Z2061" s="89" t="n"/>
      <c r="AB2061" s="30">
        <f>IF($B2061="","",(COUNTIF(C2061:E2061,"?*")&lt;N(INDEX(Setup!$L$6:$L$23,4)))+(COUNTIF(G2061:I2061,"?*")&lt;N(INDEX(Setup!$L$6:$L$23,4)))+(COUNTIF(K2061:M2061,"?*")&lt;N(INDEX(Setup!$L$6:$L$23,4)))+(COUNTIF(O2061:Q2061,"?*")&lt;N(INDEX(Setup!$L$6:$L$23,4)))+(COUNTIF(S2061:U2061,"?*")&lt;N(INDEX(Setup!$L$6:$L$23,4)))+((W2061="")*(INDEX(Setup!$M$6:$M$23,4)="Y"))+((Y2061="")*(INDEX(Setup!$M$6:$M$23,4)="Y")))</f>
        <v/>
      </c>
      <c r="AC2061" s="91">
        <f>IF($B2061="","",IF(AB2061=0,"✓ covered","⚠ "&amp;AB2061&amp;IF(AB2061=1," gap"," gaps")))</f>
        <v/>
      </c>
    </row>
    <row r="2062" ht="17" customHeight="1">
      <c r="A2062" t="n">
        <v>42</v>
      </c>
      <c r="B2062" s="24">
        <f>IF(Setup!$K$10="","",Setup!$K$10)</f>
        <v/>
      </c>
      <c r="C2062" s="88" t="n"/>
      <c r="D2062" s="88" t="n"/>
      <c r="E2062" s="88" t="n"/>
      <c r="F2062" s="89" t="n"/>
      <c r="G2062" s="88" t="n"/>
      <c r="H2062" s="88" t="n"/>
      <c r="I2062" s="88" t="n"/>
      <c r="J2062" s="89" t="n"/>
      <c r="K2062" s="88" t="n"/>
      <c r="L2062" s="88" t="n"/>
      <c r="M2062" s="88" t="n"/>
      <c r="N2062" s="89" t="n"/>
      <c r="O2062" s="88" t="n"/>
      <c r="P2062" s="88" t="n"/>
      <c r="Q2062" s="88" t="n"/>
      <c r="R2062" s="89" t="n"/>
      <c r="S2062" s="88" t="n"/>
      <c r="T2062" s="88" t="n"/>
      <c r="U2062" s="88" t="n"/>
      <c r="V2062" s="89" t="n"/>
      <c r="W2062" s="88" t="n"/>
      <c r="X2062" s="89" t="n"/>
      <c r="Y2062" s="88" t="n"/>
      <c r="Z2062" s="89" t="n"/>
      <c r="AB2062" s="25">
        <f>IF($B2062="","",(COUNTIF(C2062:E2062,"?*")&lt;N(INDEX(Setup!$L$6:$L$23,5)))+(COUNTIF(G2062:I2062,"?*")&lt;N(INDEX(Setup!$L$6:$L$23,5)))+(COUNTIF(K2062:M2062,"?*")&lt;N(INDEX(Setup!$L$6:$L$23,5)))+(COUNTIF(O2062:Q2062,"?*")&lt;N(INDEX(Setup!$L$6:$L$23,5)))+(COUNTIF(S2062:U2062,"?*")&lt;N(INDEX(Setup!$L$6:$L$23,5)))+((W2062="")*(INDEX(Setup!$M$6:$M$23,5)="Y"))+((Y2062="")*(INDEX(Setup!$M$6:$M$23,5)="Y")))</f>
        <v/>
      </c>
      <c r="AC2062" s="90">
        <f>IF($B2062="","",IF(AB2062=0,"✓ covered","⚠ "&amp;AB2062&amp;IF(AB2062=1," gap"," gaps")))</f>
        <v/>
      </c>
    </row>
    <row r="2063" ht="17" customHeight="1">
      <c r="A2063" t="n">
        <v>42</v>
      </c>
      <c r="B2063" s="29">
        <f>IF(Setup!$K$11="","",Setup!$K$11)</f>
        <v/>
      </c>
      <c r="C2063" s="88" t="n"/>
      <c r="D2063" s="88" t="n"/>
      <c r="E2063" s="88" t="n"/>
      <c r="F2063" s="89" t="n"/>
      <c r="G2063" s="88" t="n"/>
      <c r="H2063" s="88" t="n"/>
      <c r="I2063" s="88" t="n"/>
      <c r="J2063" s="89" t="n"/>
      <c r="K2063" s="88" t="n"/>
      <c r="L2063" s="88" t="n"/>
      <c r="M2063" s="88" t="n"/>
      <c r="N2063" s="89" t="n"/>
      <c r="O2063" s="88" t="n"/>
      <c r="P2063" s="88" t="n"/>
      <c r="Q2063" s="88" t="n"/>
      <c r="R2063" s="89" t="n"/>
      <c r="S2063" s="88" t="n"/>
      <c r="T2063" s="88" t="n"/>
      <c r="U2063" s="88" t="n"/>
      <c r="V2063" s="89" t="n"/>
      <c r="W2063" s="88" t="n"/>
      <c r="X2063" s="89" t="n"/>
      <c r="Y2063" s="88" t="n"/>
      <c r="Z2063" s="89" t="n"/>
      <c r="AB2063" s="30">
        <f>IF($B2063="","",(COUNTIF(C2063:E2063,"?*")&lt;N(INDEX(Setup!$L$6:$L$23,6)))+(COUNTIF(G2063:I2063,"?*")&lt;N(INDEX(Setup!$L$6:$L$23,6)))+(COUNTIF(K2063:M2063,"?*")&lt;N(INDEX(Setup!$L$6:$L$23,6)))+(COUNTIF(O2063:Q2063,"?*")&lt;N(INDEX(Setup!$L$6:$L$23,6)))+(COUNTIF(S2063:U2063,"?*")&lt;N(INDEX(Setup!$L$6:$L$23,6)))+((W2063="")*(INDEX(Setup!$M$6:$M$23,6)="Y"))+((Y2063="")*(INDEX(Setup!$M$6:$M$23,6)="Y")))</f>
        <v/>
      </c>
      <c r="AC2063" s="91">
        <f>IF($B2063="","",IF(AB2063=0,"✓ covered","⚠ "&amp;AB2063&amp;IF(AB2063=1," gap"," gaps")))</f>
        <v/>
      </c>
    </row>
    <row r="2064" ht="17" customHeight="1">
      <c r="A2064" t="n">
        <v>42</v>
      </c>
      <c r="B2064" s="24">
        <f>IF(Setup!$K$12="","",Setup!$K$12)</f>
        <v/>
      </c>
      <c r="C2064" s="88" t="n"/>
      <c r="D2064" s="88" t="n"/>
      <c r="E2064" s="88" t="n"/>
      <c r="F2064" s="89" t="n"/>
      <c r="G2064" s="88" t="n"/>
      <c r="H2064" s="88" t="n"/>
      <c r="I2064" s="88" t="n"/>
      <c r="J2064" s="89" t="n"/>
      <c r="K2064" s="88" t="n"/>
      <c r="L2064" s="88" t="n"/>
      <c r="M2064" s="88" t="n"/>
      <c r="N2064" s="89" t="n"/>
      <c r="O2064" s="88" t="n"/>
      <c r="P2064" s="88" t="n"/>
      <c r="Q2064" s="88" t="n"/>
      <c r="R2064" s="89" t="n"/>
      <c r="S2064" s="88" t="n"/>
      <c r="T2064" s="88" t="n"/>
      <c r="U2064" s="88" t="n"/>
      <c r="V2064" s="89" t="n"/>
      <c r="W2064" s="88" t="n"/>
      <c r="X2064" s="89" t="n"/>
      <c r="Y2064" s="88" t="n"/>
      <c r="Z2064" s="89" t="n"/>
      <c r="AB2064" s="25">
        <f>IF($B2064="","",(COUNTIF(C2064:E2064,"?*")&lt;N(INDEX(Setup!$L$6:$L$23,7)))+(COUNTIF(G2064:I2064,"?*")&lt;N(INDEX(Setup!$L$6:$L$23,7)))+(COUNTIF(K2064:M2064,"?*")&lt;N(INDEX(Setup!$L$6:$L$23,7)))+(COUNTIF(O2064:Q2064,"?*")&lt;N(INDEX(Setup!$L$6:$L$23,7)))+(COUNTIF(S2064:U2064,"?*")&lt;N(INDEX(Setup!$L$6:$L$23,7)))+((W2064="")*(INDEX(Setup!$M$6:$M$23,7)="Y"))+((Y2064="")*(INDEX(Setup!$M$6:$M$23,7)="Y")))</f>
        <v/>
      </c>
      <c r="AC2064" s="90">
        <f>IF($B2064="","",IF(AB2064=0,"✓ covered","⚠ "&amp;AB2064&amp;IF(AB2064=1," gap"," gaps")))</f>
        <v/>
      </c>
    </row>
    <row r="2065" ht="17" customHeight="1">
      <c r="A2065" t="n">
        <v>42</v>
      </c>
      <c r="B2065" s="29">
        <f>IF(Setup!$K$13="","",Setup!$K$13)</f>
        <v/>
      </c>
      <c r="C2065" s="88" t="n"/>
      <c r="D2065" s="88" t="n"/>
      <c r="E2065" s="88" t="n"/>
      <c r="F2065" s="89" t="n"/>
      <c r="G2065" s="88" t="n"/>
      <c r="H2065" s="88" t="n"/>
      <c r="I2065" s="88" t="n"/>
      <c r="J2065" s="89" t="n"/>
      <c r="K2065" s="88" t="n"/>
      <c r="L2065" s="88" t="n"/>
      <c r="M2065" s="88" t="n"/>
      <c r="N2065" s="89" t="n"/>
      <c r="O2065" s="88" t="n"/>
      <c r="P2065" s="88" t="n"/>
      <c r="Q2065" s="88" t="n"/>
      <c r="R2065" s="89" t="n"/>
      <c r="S2065" s="88" t="n"/>
      <c r="T2065" s="88" t="n"/>
      <c r="U2065" s="88" t="n"/>
      <c r="V2065" s="89" t="n"/>
      <c r="W2065" s="88" t="n"/>
      <c r="X2065" s="89" t="n"/>
      <c r="Y2065" s="88" t="n"/>
      <c r="Z2065" s="89" t="n"/>
      <c r="AB2065" s="30">
        <f>IF($B2065="","",(COUNTIF(C2065:E2065,"?*")&lt;N(INDEX(Setup!$L$6:$L$23,8)))+(COUNTIF(G2065:I2065,"?*")&lt;N(INDEX(Setup!$L$6:$L$23,8)))+(COUNTIF(K2065:M2065,"?*")&lt;N(INDEX(Setup!$L$6:$L$23,8)))+(COUNTIF(O2065:Q2065,"?*")&lt;N(INDEX(Setup!$L$6:$L$23,8)))+(COUNTIF(S2065:U2065,"?*")&lt;N(INDEX(Setup!$L$6:$L$23,8)))+((W2065="")*(INDEX(Setup!$M$6:$M$23,8)="Y"))+((Y2065="")*(INDEX(Setup!$M$6:$M$23,8)="Y")))</f>
        <v/>
      </c>
      <c r="AC2065" s="91">
        <f>IF($B2065="","",IF(AB2065=0,"✓ covered","⚠ "&amp;AB2065&amp;IF(AB2065=1," gap"," gaps")))</f>
        <v/>
      </c>
    </row>
    <row r="2066" ht="17" customHeight="1">
      <c r="A2066" t="n">
        <v>42</v>
      </c>
      <c r="B2066" s="24">
        <f>IF(Setup!$K$14="","",Setup!$K$14)</f>
        <v/>
      </c>
      <c r="C2066" s="88" t="n"/>
      <c r="D2066" s="88" t="n"/>
      <c r="E2066" s="88" t="n"/>
      <c r="F2066" s="89" t="n"/>
      <c r="G2066" s="88" t="n"/>
      <c r="H2066" s="88" t="n"/>
      <c r="I2066" s="88" t="n"/>
      <c r="J2066" s="89" t="n"/>
      <c r="K2066" s="88" t="n"/>
      <c r="L2066" s="88" t="n"/>
      <c r="M2066" s="88" t="n"/>
      <c r="N2066" s="89" t="n"/>
      <c r="O2066" s="88" t="n"/>
      <c r="P2066" s="88" t="n"/>
      <c r="Q2066" s="88" t="n"/>
      <c r="R2066" s="89" t="n"/>
      <c r="S2066" s="88" t="n"/>
      <c r="T2066" s="88" t="n"/>
      <c r="U2066" s="88" t="n"/>
      <c r="V2066" s="89" t="n"/>
      <c r="W2066" s="88" t="n"/>
      <c r="X2066" s="89" t="n"/>
      <c r="Y2066" s="88" t="n"/>
      <c r="Z2066" s="89" t="n"/>
      <c r="AB2066" s="25">
        <f>IF($B2066="","",(COUNTIF(C2066:E2066,"?*")&lt;N(INDEX(Setup!$L$6:$L$23,9)))+(COUNTIF(G2066:I2066,"?*")&lt;N(INDEX(Setup!$L$6:$L$23,9)))+(COUNTIF(K2066:M2066,"?*")&lt;N(INDEX(Setup!$L$6:$L$23,9)))+(COUNTIF(O2066:Q2066,"?*")&lt;N(INDEX(Setup!$L$6:$L$23,9)))+(COUNTIF(S2066:U2066,"?*")&lt;N(INDEX(Setup!$L$6:$L$23,9)))+((W2066="")*(INDEX(Setup!$M$6:$M$23,9)="Y"))+((Y2066="")*(INDEX(Setup!$M$6:$M$23,9)="Y")))</f>
        <v/>
      </c>
      <c r="AC2066" s="90">
        <f>IF($B2066="","",IF(AB2066=0,"✓ covered","⚠ "&amp;AB2066&amp;IF(AB2066=1," gap"," gaps")))</f>
        <v/>
      </c>
    </row>
    <row r="2067" ht="17" customHeight="1">
      <c r="A2067" t="n">
        <v>42</v>
      </c>
      <c r="B2067" s="29">
        <f>IF(Setup!$K$15="","",Setup!$K$15)</f>
        <v/>
      </c>
      <c r="C2067" s="88" t="n"/>
      <c r="D2067" s="88" t="n"/>
      <c r="E2067" s="88" t="n"/>
      <c r="F2067" s="89" t="n"/>
      <c r="G2067" s="88" t="n"/>
      <c r="H2067" s="88" t="n"/>
      <c r="I2067" s="88" t="n"/>
      <c r="J2067" s="89" t="n"/>
      <c r="K2067" s="88" t="n"/>
      <c r="L2067" s="88" t="n"/>
      <c r="M2067" s="88" t="n"/>
      <c r="N2067" s="89" t="n"/>
      <c r="O2067" s="88" t="n"/>
      <c r="P2067" s="88" t="n"/>
      <c r="Q2067" s="88" t="n"/>
      <c r="R2067" s="89" t="n"/>
      <c r="S2067" s="88" t="n"/>
      <c r="T2067" s="88" t="n"/>
      <c r="U2067" s="88" t="n"/>
      <c r="V2067" s="89" t="n"/>
      <c r="W2067" s="88" t="n"/>
      <c r="X2067" s="89" t="n"/>
      <c r="Y2067" s="88" t="n"/>
      <c r="Z2067" s="89" t="n"/>
      <c r="AB2067" s="30">
        <f>IF($B2067="","",(COUNTIF(C2067:E2067,"?*")&lt;N(INDEX(Setup!$L$6:$L$23,10)))+(COUNTIF(G2067:I2067,"?*")&lt;N(INDEX(Setup!$L$6:$L$23,10)))+(COUNTIF(K2067:M2067,"?*")&lt;N(INDEX(Setup!$L$6:$L$23,10)))+(COUNTIF(O2067:Q2067,"?*")&lt;N(INDEX(Setup!$L$6:$L$23,10)))+(COUNTIF(S2067:U2067,"?*")&lt;N(INDEX(Setup!$L$6:$L$23,10)))+((W2067="")*(INDEX(Setup!$M$6:$M$23,10)="Y"))+((Y2067="")*(INDEX(Setup!$M$6:$M$23,10)="Y")))</f>
        <v/>
      </c>
      <c r="AC2067" s="91">
        <f>IF($B2067="","",IF(AB2067=0,"✓ covered","⚠ "&amp;AB2067&amp;IF(AB2067=1," gap"," gaps")))</f>
        <v/>
      </c>
    </row>
    <row r="2068" ht="17" customHeight="1">
      <c r="A2068" t="n">
        <v>42</v>
      </c>
      <c r="B2068" s="24">
        <f>IF(Setup!$K$16="","",Setup!$K$16)</f>
        <v/>
      </c>
      <c r="C2068" s="88" t="n"/>
      <c r="D2068" s="88" t="n"/>
      <c r="E2068" s="88" t="n"/>
      <c r="F2068" s="89" t="n"/>
      <c r="G2068" s="88" t="n"/>
      <c r="H2068" s="88" t="n"/>
      <c r="I2068" s="88" t="n"/>
      <c r="J2068" s="89" t="n"/>
      <c r="K2068" s="88" t="n"/>
      <c r="L2068" s="88" t="n"/>
      <c r="M2068" s="88" t="n"/>
      <c r="N2068" s="89" t="n"/>
      <c r="O2068" s="88" t="n"/>
      <c r="P2068" s="88" t="n"/>
      <c r="Q2068" s="88" t="n"/>
      <c r="R2068" s="89" t="n"/>
      <c r="S2068" s="88" t="n"/>
      <c r="T2068" s="88" t="n"/>
      <c r="U2068" s="88" t="n"/>
      <c r="V2068" s="89" t="n"/>
      <c r="W2068" s="88" t="n"/>
      <c r="X2068" s="89" t="n"/>
      <c r="Y2068" s="88" t="n"/>
      <c r="Z2068" s="89" t="n"/>
      <c r="AB2068" s="25">
        <f>IF($B2068="","",(COUNTIF(C2068:E2068,"?*")&lt;N(INDEX(Setup!$L$6:$L$23,11)))+(COUNTIF(G2068:I2068,"?*")&lt;N(INDEX(Setup!$L$6:$L$23,11)))+(COUNTIF(K2068:M2068,"?*")&lt;N(INDEX(Setup!$L$6:$L$23,11)))+(COUNTIF(O2068:Q2068,"?*")&lt;N(INDEX(Setup!$L$6:$L$23,11)))+(COUNTIF(S2068:U2068,"?*")&lt;N(INDEX(Setup!$L$6:$L$23,11)))+((W2068="")*(INDEX(Setup!$M$6:$M$23,11)="Y"))+((Y2068="")*(INDEX(Setup!$M$6:$M$23,11)="Y")))</f>
        <v/>
      </c>
      <c r="AC2068" s="90">
        <f>IF($B2068="","",IF(AB2068=0,"✓ covered","⚠ "&amp;AB2068&amp;IF(AB2068=1," gap"," gaps")))</f>
        <v/>
      </c>
    </row>
    <row r="2069" ht="17" customHeight="1">
      <c r="A2069" t="n">
        <v>42</v>
      </c>
      <c r="B2069" s="29">
        <f>IF(Setup!$K$17="","",Setup!$K$17)</f>
        <v/>
      </c>
      <c r="C2069" s="88" t="n"/>
      <c r="D2069" s="88" t="n"/>
      <c r="E2069" s="88" t="n"/>
      <c r="F2069" s="89" t="n"/>
      <c r="G2069" s="88" t="n"/>
      <c r="H2069" s="88" t="n"/>
      <c r="I2069" s="88" t="n"/>
      <c r="J2069" s="89" t="n"/>
      <c r="K2069" s="88" t="n"/>
      <c r="L2069" s="88" t="n"/>
      <c r="M2069" s="88" t="n"/>
      <c r="N2069" s="89" t="n"/>
      <c r="O2069" s="88" t="n"/>
      <c r="P2069" s="88" t="n"/>
      <c r="Q2069" s="88" t="n"/>
      <c r="R2069" s="89" t="n"/>
      <c r="S2069" s="88" t="n"/>
      <c r="T2069" s="88" t="n"/>
      <c r="U2069" s="88" t="n"/>
      <c r="V2069" s="89" t="n"/>
      <c r="W2069" s="88" t="n"/>
      <c r="X2069" s="89" t="n"/>
      <c r="Y2069" s="88" t="n"/>
      <c r="Z2069" s="89" t="n"/>
      <c r="AB2069" s="30">
        <f>IF($B2069="","",(COUNTIF(C2069:E2069,"?*")&lt;N(INDEX(Setup!$L$6:$L$23,12)))+(COUNTIF(G2069:I2069,"?*")&lt;N(INDEX(Setup!$L$6:$L$23,12)))+(COUNTIF(K2069:M2069,"?*")&lt;N(INDEX(Setup!$L$6:$L$23,12)))+(COUNTIF(O2069:Q2069,"?*")&lt;N(INDEX(Setup!$L$6:$L$23,12)))+(COUNTIF(S2069:U2069,"?*")&lt;N(INDEX(Setup!$L$6:$L$23,12)))+((W2069="")*(INDEX(Setup!$M$6:$M$23,12)="Y"))+((Y2069="")*(INDEX(Setup!$M$6:$M$23,12)="Y")))</f>
        <v/>
      </c>
      <c r="AC2069" s="91">
        <f>IF($B2069="","",IF(AB2069=0,"✓ covered","⚠ "&amp;AB2069&amp;IF(AB2069=1," gap"," gaps")))</f>
        <v/>
      </c>
    </row>
    <row r="2070" ht="17" customHeight="1">
      <c r="A2070" t="n">
        <v>42</v>
      </c>
      <c r="B2070" s="24">
        <f>IF(Setup!$K$18="","",Setup!$K$18)</f>
        <v/>
      </c>
      <c r="C2070" s="88" t="n"/>
      <c r="D2070" s="88" t="n"/>
      <c r="E2070" s="88" t="n"/>
      <c r="F2070" s="89" t="n"/>
      <c r="G2070" s="88" t="n"/>
      <c r="H2070" s="88" t="n"/>
      <c r="I2070" s="88" t="n"/>
      <c r="J2070" s="89" t="n"/>
      <c r="K2070" s="88" t="n"/>
      <c r="L2070" s="88" t="n"/>
      <c r="M2070" s="88" t="n"/>
      <c r="N2070" s="89" t="n"/>
      <c r="O2070" s="88" t="n"/>
      <c r="P2070" s="88" t="n"/>
      <c r="Q2070" s="88" t="n"/>
      <c r="R2070" s="89" t="n"/>
      <c r="S2070" s="88" t="n"/>
      <c r="T2070" s="88" t="n"/>
      <c r="U2070" s="88" t="n"/>
      <c r="V2070" s="89" t="n"/>
      <c r="W2070" s="88" t="n"/>
      <c r="X2070" s="89" t="n"/>
      <c r="Y2070" s="88" t="n"/>
      <c r="Z2070" s="89" t="n"/>
      <c r="AB2070" s="25">
        <f>IF($B2070="","",(COUNTIF(C2070:E2070,"?*")&lt;N(INDEX(Setup!$L$6:$L$23,13)))+(COUNTIF(G2070:I2070,"?*")&lt;N(INDEX(Setup!$L$6:$L$23,13)))+(COUNTIF(K2070:M2070,"?*")&lt;N(INDEX(Setup!$L$6:$L$23,13)))+(COUNTIF(O2070:Q2070,"?*")&lt;N(INDEX(Setup!$L$6:$L$23,13)))+(COUNTIF(S2070:U2070,"?*")&lt;N(INDEX(Setup!$L$6:$L$23,13)))+((W2070="")*(INDEX(Setup!$M$6:$M$23,13)="Y"))+((Y2070="")*(INDEX(Setup!$M$6:$M$23,13)="Y")))</f>
        <v/>
      </c>
      <c r="AC2070" s="90">
        <f>IF($B2070="","",IF(AB2070=0,"✓ covered","⚠ "&amp;AB2070&amp;IF(AB2070=1," gap"," gaps")))</f>
        <v/>
      </c>
    </row>
    <row r="2071" ht="17" customHeight="1">
      <c r="A2071" t="n">
        <v>42</v>
      </c>
      <c r="B2071" s="29">
        <f>IF(Setup!$K$19="","",Setup!$K$19)</f>
        <v/>
      </c>
      <c r="C2071" s="88" t="n"/>
      <c r="D2071" s="88" t="n"/>
      <c r="E2071" s="88" t="n"/>
      <c r="F2071" s="89" t="n"/>
      <c r="G2071" s="88" t="n"/>
      <c r="H2071" s="88" t="n"/>
      <c r="I2071" s="88" t="n"/>
      <c r="J2071" s="89" t="n"/>
      <c r="K2071" s="88" t="n"/>
      <c r="L2071" s="88" t="n"/>
      <c r="M2071" s="88" t="n"/>
      <c r="N2071" s="89" t="n"/>
      <c r="O2071" s="88" t="n"/>
      <c r="P2071" s="88" t="n"/>
      <c r="Q2071" s="88" t="n"/>
      <c r="R2071" s="89" t="n"/>
      <c r="S2071" s="88" t="n"/>
      <c r="T2071" s="88" t="n"/>
      <c r="U2071" s="88" t="n"/>
      <c r="V2071" s="89" t="n"/>
      <c r="W2071" s="88" t="n"/>
      <c r="X2071" s="89" t="n"/>
      <c r="Y2071" s="88" t="n"/>
      <c r="Z2071" s="89" t="n"/>
      <c r="AB2071" s="30">
        <f>IF($B2071="","",(COUNTIF(C2071:E2071,"?*")&lt;N(INDEX(Setup!$L$6:$L$23,14)))+(COUNTIF(G2071:I2071,"?*")&lt;N(INDEX(Setup!$L$6:$L$23,14)))+(COUNTIF(K2071:M2071,"?*")&lt;N(INDEX(Setup!$L$6:$L$23,14)))+(COUNTIF(O2071:Q2071,"?*")&lt;N(INDEX(Setup!$L$6:$L$23,14)))+(COUNTIF(S2071:U2071,"?*")&lt;N(INDEX(Setup!$L$6:$L$23,14)))+((W2071="")*(INDEX(Setup!$M$6:$M$23,14)="Y"))+((Y2071="")*(INDEX(Setup!$M$6:$M$23,14)="Y")))</f>
        <v/>
      </c>
      <c r="AC2071" s="91">
        <f>IF($B2071="","",IF(AB2071=0,"✓ covered","⚠ "&amp;AB2071&amp;IF(AB2071=1," gap"," gaps")))</f>
        <v/>
      </c>
    </row>
    <row r="2072" ht="17" customHeight="1">
      <c r="A2072" t="n">
        <v>42</v>
      </c>
      <c r="B2072" s="24">
        <f>IF(Setup!$K$20="","",Setup!$K$20)</f>
        <v/>
      </c>
      <c r="C2072" s="88" t="n"/>
      <c r="D2072" s="88" t="n"/>
      <c r="E2072" s="88" t="n"/>
      <c r="F2072" s="89" t="n"/>
      <c r="G2072" s="88" t="n"/>
      <c r="H2072" s="88" t="n"/>
      <c r="I2072" s="88" t="n"/>
      <c r="J2072" s="89" t="n"/>
      <c r="K2072" s="88" t="n"/>
      <c r="L2072" s="88" t="n"/>
      <c r="M2072" s="88" t="n"/>
      <c r="N2072" s="89" t="n"/>
      <c r="O2072" s="88" t="n"/>
      <c r="P2072" s="88" t="n"/>
      <c r="Q2072" s="88" t="n"/>
      <c r="R2072" s="89" t="n"/>
      <c r="S2072" s="88" t="n"/>
      <c r="T2072" s="88" t="n"/>
      <c r="U2072" s="88" t="n"/>
      <c r="V2072" s="89" t="n"/>
      <c r="W2072" s="88" t="n"/>
      <c r="X2072" s="89" t="n"/>
      <c r="Y2072" s="88" t="n"/>
      <c r="Z2072" s="89" t="n"/>
      <c r="AB2072" s="25">
        <f>IF($B2072="","",(COUNTIF(C2072:E2072,"?*")&lt;N(INDEX(Setup!$L$6:$L$23,15)))+(COUNTIF(G2072:I2072,"?*")&lt;N(INDEX(Setup!$L$6:$L$23,15)))+(COUNTIF(K2072:M2072,"?*")&lt;N(INDEX(Setup!$L$6:$L$23,15)))+(COUNTIF(O2072:Q2072,"?*")&lt;N(INDEX(Setup!$L$6:$L$23,15)))+(COUNTIF(S2072:U2072,"?*")&lt;N(INDEX(Setup!$L$6:$L$23,15)))+((W2072="")*(INDEX(Setup!$M$6:$M$23,15)="Y"))+((Y2072="")*(INDEX(Setup!$M$6:$M$23,15)="Y")))</f>
        <v/>
      </c>
      <c r="AC2072" s="90">
        <f>IF($B2072="","",IF(AB2072=0,"✓ covered","⚠ "&amp;AB2072&amp;IF(AB2072=1," gap"," gaps")))</f>
        <v/>
      </c>
    </row>
    <row r="2073" ht="17" customHeight="1">
      <c r="A2073" t="n">
        <v>42</v>
      </c>
      <c r="B2073" s="29">
        <f>IF(Setup!$K$21="","",Setup!$K$21)</f>
        <v/>
      </c>
      <c r="C2073" s="88" t="n"/>
      <c r="D2073" s="88" t="n"/>
      <c r="E2073" s="88" t="n"/>
      <c r="F2073" s="89" t="n"/>
      <c r="G2073" s="88" t="n"/>
      <c r="H2073" s="88" t="n"/>
      <c r="I2073" s="88" t="n"/>
      <c r="J2073" s="89" t="n"/>
      <c r="K2073" s="88" t="n"/>
      <c r="L2073" s="88" t="n"/>
      <c r="M2073" s="88" t="n"/>
      <c r="N2073" s="89" t="n"/>
      <c r="O2073" s="88" t="n"/>
      <c r="P2073" s="88" t="n"/>
      <c r="Q2073" s="88" t="n"/>
      <c r="R2073" s="89" t="n"/>
      <c r="S2073" s="88" t="n"/>
      <c r="T2073" s="88" t="n"/>
      <c r="U2073" s="88" t="n"/>
      <c r="V2073" s="89" t="n"/>
      <c r="W2073" s="88" t="n"/>
      <c r="X2073" s="89" t="n"/>
      <c r="Y2073" s="88" t="n"/>
      <c r="Z2073" s="89" t="n"/>
      <c r="AB2073" s="30">
        <f>IF($B2073="","",(COUNTIF(C2073:E2073,"?*")&lt;N(INDEX(Setup!$L$6:$L$23,16)))+(COUNTIF(G2073:I2073,"?*")&lt;N(INDEX(Setup!$L$6:$L$23,16)))+(COUNTIF(K2073:M2073,"?*")&lt;N(INDEX(Setup!$L$6:$L$23,16)))+(COUNTIF(O2073:Q2073,"?*")&lt;N(INDEX(Setup!$L$6:$L$23,16)))+(COUNTIF(S2073:U2073,"?*")&lt;N(INDEX(Setup!$L$6:$L$23,16)))+((W2073="")*(INDEX(Setup!$M$6:$M$23,16)="Y"))+((Y2073="")*(INDEX(Setup!$M$6:$M$23,16)="Y")))</f>
        <v/>
      </c>
      <c r="AC2073" s="91">
        <f>IF($B2073="","",IF(AB2073=0,"✓ covered","⚠ "&amp;AB2073&amp;IF(AB2073=1," gap"," gaps")))</f>
        <v/>
      </c>
    </row>
    <row r="2074" ht="17" customHeight="1">
      <c r="A2074" t="n">
        <v>42</v>
      </c>
      <c r="B2074" s="24">
        <f>IF(Setup!$K$22="","",Setup!$K$22)</f>
        <v/>
      </c>
      <c r="C2074" s="88" t="n"/>
      <c r="D2074" s="88" t="n"/>
      <c r="E2074" s="88" t="n"/>
      <c r="F2074" s="89" t="n"/>
      <c r="G2074" s="88" t="n"/>
      <c r="H2074" s="88" t="n"/>
      <c r="I2074" s="88" t="n"/>
      <c r="J2074" s="89" t="n"/>
      <c r="K2074" s="88" t="n"/>
      <c r="L2074" s="88" t="n"/>
      <c r="M2074" s="88" t="n"/>
      <c r="N2074" s="89" t="n"/>
      <c r="O2074" s="88" t="n"/>
      <c r="P2074" s="88" t="n"/>
      <c r="Q2074" s="88" t="n"/>
      <c r="R2074" s="89" t="n"/>
      <c r="S2074" s="88" t="n"/>
      <c r="T2074" s="88" t="n"/>
      <c r="U2074" s="88" t="n"/>
      <c r="V2074" s="89" t="n"/>
      <c r="W2074" s="88" t="n"/>
      <c r="X2074" s="89" t="n"/>
      <c r="Y2074" s="88" t="n"/>
      <c r="Z2074" s="89" t="n"/>
      <c r="AB2074" s="25">
        <f>IF($B2074="","",(COUNTIF(C2074:E2074,"?*")&lt;N(INDEX(Setup!$L$6:$L$23,17)))+(COUNTIF(G2074:I2074,"?*")&lt;N(INDEX(Setup!$L$6:$L$23,17)))+(COUNTIF(K2074:M2074,"?*")&lt;N(INDEX(Setup!$L$6:$L$23,17)))+(COUNTIF(O2074:Q2074,"?*")&lt;N(INDEX(Setup!$L$6:$L$23,17)))+(COUNTIF(S2074:U2074,"?*")&lt;N(INDEX(Setup!$L$6:$L$23,17)))+((W2074="")*(INDEX(Setup!$M$6:$M$23,17)="Y"))+((Y2074="")*(INDEX(Setup!$M$6:$M$23,17)="Y")))</f>
        <v/>
      </c>
      <c r="AC2074" s="90">
        <f>IF($B2074="","",IF(AB2074=0,"✓ covered","⚠ "&amp;AB2074&amp;IF(AB2074=1," gap"," gaps")))</f>
        <v/>
      </c>
    </row>
    <row r="2075" ht="17" customHeight="1">
      <c r="A2075" t="n">
        <v>42</v>
      </c>
      <c r="B2075" s="29">
        <f>IF(Setup!$K$23="","",Setup!$K$23)</f>
        <v/>
      </c>
      <c r="C2075" s="88" t="n"/>
      <c r="D2075" s="88" t="n"/>
      <c r="E2075" s="88" t="n"/>
      <c r="F2075" s="89" t="n"/>
      <c r="G2075" s="88" t="n"/>
      <c r="H2075" s="88" t="n"/>
      <c r="I2075" s="88" t="n"/>
      <c r="J2075" s="89" t="n"/>
      <c r="K2075" s="88" t="n"/>
      <c r="L2075" s="88" t="n"/>
      <c r="M2075" s="88" t="n"/>
      <c r="N2075" s="89" t="n"/>
      <c r="O2075" s="88" t="n"/>
      <c r="P2075" s="88" t="n"/>
      <c r="Q2075" s="88" t="n"/>
      <c r="R2075" s="89" t="n"/>
      <c r="S2075" s="88" t="n"/>
      <c r="T2075" s="88" t="n"/>
      <c r="U2075" s="88" t="n"/>
      <c r="V2075" s="89" t="n"/>
      <c r="W2075" s="88" t="n"/>
      <c r="X2075" s="89" t="n"/>
      <c r="Y2075" s="88" t="n"/>
      <c r="Z2075" s="89" t="n"/>
      <c r="AB2075" s="30">
        <f>IF($B2075="","",(COUNTIF(C2075:E2075,"?*")&lt;N(INDEX(Setup!$L$6:$L$23,18)))+(COUNTIF(G2075:I2075,"?*")&lt;N(INDEX(Setup!$L$6:$L$23,18)))+(COUNTIF(K2075:M2075,"?*")&lt;N(INDEX(Setup!$L$6:$L$23,18)))+(COUNTIF(O2075:Q2075,"?*")&lt;N(INDEX(Setup!$L$6:$L$23,18)))+(COUNTIF(S2075:U2075,"?*")&lt;N(INDEX(Setup!$L$6:$L$23,18)))+((W2075="")*(INDEX(Setup!$M$6:$M$23,18)="Y"))+((Y2075="")*(INDEX(Setup!$M$6:$M$23,18)="Y")))</f>
        <v/>
      </c>
      <c r="AC2075" s="91">
        <f>IF($B2075="","",IF(AB2075=0,"✓ covered","⚠ "&amp;AB2075&amp;IF(AB2075=1," gap"," gaps")))</f>
        <v/>
      </c>
    </row>
    <row r="2076" ht="18" customHeight="1">
      <c r="A2076" t="n">
        <v>42</v>
      </c>
      <c r="B2076" s="78" t="inlineStr">
        <is>
          <t>TEAM AVAILABILITY</t>
        </is>
      </c>
      <c r="C2076" s="92" t="inlineStr">
        <is>
          <t>Mon</t>
        </is>
      </c>
      <c r="D2076" s="93" t="n"/>
      <c r="E2076" s="93" t="n"/>
      <c r="F2076" s="94" t="n"/>
      <c r="G2076" s="92" t="inlineStr">
        <is>
          <t>Tue</t>
        </is>
      </c>
      <c r="H2076" s="93" t="n"/>
      <c r="I2076" s="93" t="n"/>
      <c r="J2076" s="94" t="n"/>
      <c r="K2076" s="92" t="inlineStr">
        <is>
          <t>Wed</t>
        </is>
      </c>
      <c r="L2076" s="93" t="n"/>
      <c r="M2076" s="93" t="n"/>
      <c r="N2076" s="94" t="n"/>
      <c r="O2076" s="92" t="inlineStr">
        <is>
          <t>Thu</t>
        </is>
      </c>
      <c r="P2076" s="93" t="n"/>
      <c r="Q2076" s="93" t="n"/>
      <c r="R2076" s="94" t="n"/>
      <c r="S2076" s="92" t="inlineStr">
        <is>
          <t>Fri</t>
        </is>
      </c>
      <c r="T2076" s="93" t="n"/>
      <c r="U2076" s="93" t="n"/>
      <c r="V2076" s="94" t="n"/>
      <c r="W2076" s="95" t="inlineStr">
        <is>
          <t>Sat</t>
        </is>
      </c>
      <c r="X2076" s="96" t="n"/>
      <c r="Y2076" s="95" t="inlineStr">
        <is>
          <t>Sun</t>
        </is>
      </c>
      <c r="Z2076" s="96" t="n"/>
      <c r="AB2076" s="97" t="inlineStr">
        <is>
          <t>Days rostered</t>
        </is>
      </c>
      <c r="AC2076" s="97" t="inlineStr">
        <is>
          <t>Conflicts</t>
        </is>
      </c>
    </row>
    <row r="2077" ht="15" customHeight="1">
      <c r="A2077" t="n">
        <v>42</v>
      </c>
      <c r="B2077" s="35">
        <f>IF(Setup!$B$6="","",Setup!$B$6)</f>
        <v/>
      </c>
      <c r="C2077" s="98" t="n"/>
      <c r="D2077" s="99" t="n"/>
      <c r="E2077" s="99" t="n"/>
      <c r="F2077" s="100" t="n"/>
      <c r="G2077" s="98" t="n"/>
      <c r="H2077" s="99" t="n"/>
      <c r="I2077" s="99" t="n"/>
      <c r="J2077" s="100" t="n"/>
      <c r="K2077" s="98" t="n"/>
      <c r="L2077" s="99" t="n"/>
      <c r="M2077" s="99" t="n"/>
      <c r="N2077" s="100" t="n"/>
      <c r="O2077" s="98" t="n"/>
      <c r="P2077" s="99" t="n"/>
      <c r="Q2077" s="99" t="n"/>
      <c r="R2077" s="100" t="n"/>
      <c r="S2077" s="98" t="n"/>
      <c r="T2077" s="99" t="n"/>
      <c r="U2077" s="99" t="n"/>
      <c r="V2077" s="100" t="n"/>
      <c r="W2077" s="98" t="n"/>
      <c r="X2077" s="100" t="n"/>
      <c r="Y2077" s="98" t="n"/>
      <c r="Z2077" s="100" t="n"/>
      <c r="AB2077" s="101">
        <f>IF($B2077="","",(COUNTIF(C2058:E2075,$B2077)+COUNTIF(C2058:E2075,$B2077&amp;" ~*")&gt;0)+(COUNTIF(G2058:I2075,$B2077)+COUNTIF(G2058:I2075,$B2077&amp;" ~*")&gt;0)+(COUNTIF(K2058:M2075,$B2077)+COUNTIF(K2058:M2075,$B2077&amp;" ~*")&gt;0)+(COUNTIF(O2058:Q2075,$B2077)+COUNTIF(O2058:Q2075,$B2077&amp;" ~*")&gt;0)+(COUNTIF(S2058:U2075,$B2077)+COUNTIF(S2058:U2075,$B2077&amp;" ~*")&gt;0)+(COUNTIF(W2058:W2075,$B2077)+COUNTIF(W2058:W2075,$B2077&amp;" ~*")&gt;0)+(COUNTIF(Y2058:Y2075,$B2077)+COUNTIF(Y2058:Y2075,$B2077&amp;" ~*")&gt;0))</f>
        <v/>
      </c>
      <c r="AC2077" s="36">
        <f>IF($B2077="","",(IFERROR(INDEX(Setup!$G$33:$G$40,MATCH(C2077,Setup!$B$33:$B$40,0)),0)=1)*(COUNTIF(C2058:E2075,$B2077)+COUNTIF(C2058:E2075,$B2077&amp;" ~*")&gt;0)+(IFERROR(INDEX(Setup!$G$33:$G$40,MATCH(G2077,Setup!$B$33:$B$40,0)),0)=1)*(COUNTIF(G2058:I2075,$B2077)+COUNTIF(G2058:I2075,$B2077&amp;" ~*")&gt;0)+(IFERROR(INDEX(Setup!$G$33:$G$40,MATCH(K2077,Setup!$B$33:$B$40,0)),0)=1)*(COUNTIF(K2058:M2075,$B2077)+COUNTIF(K2058:M2075,$B2077&amp;" ~*")&gt;0)+(IFERROR(INDEX(Setup!$G$33:$G$40,MATCH(O2077,Setup!$B$33:$B$40,0)),0)=1)*(COUNTIF(O2058:Q2075,$B2077)+COUNTIF(O2058:Q2075,$B2077&amp;" ~*")&gt;0)+(IFERROR(INDEX(Setup!$G$33:$G$40,MATCH(S2077,Setup!$B$33:$B$40,0)),0)=1)*(COUNTIF(S2058:U2075,$B2077)+COUNTIF(S2058:U2075,$B2077&amp;" ~*")&gt;0)+(IFERROR(INDEX(Setup!$G$33:$G$40,MATCH(W2077,Setup!$B$33:$B$40,0)),0)=1)*(COUNTIF(W2058:W2075,$B2077)+COUNTIF(W2058:W2075,$B2077&amp;" ~*")&gt;0)+(IFERROR(INDEX(Setup!$G$33:$G$40,MATCH(Y2077,Setup!$B$33:$B$40,0)),0)=1)*(COUNTIF(Y2058:Y2075,$B2077)+COUNTIF(Y2058:Y2075,$B2077&amp;" ~*")&gt;0))</f>
        <v/>
      </c>
    </row>
    <row r="2078" ht="15" customHeight="1">
      <c r="A2078" t="n">
        <v>42</v>
      </c>
      <c r="B2078" s="37">
        <f>IF(Setup!$B$7="","",Setup!$B$7)</f>
        <v/>
      </c>
      <c r="C2078" s="102" t="n"/>
      <c r="D2078" s="103" t="n"/>
      <c r="E2078" s="103" t="n"/>
      <c r="F2078" s="104" t="n"/>
      <c r="G2078" s="102" t="n"/>
      <c r="H2078" s="103" t="n"/>
      <c r="I2078" s="103" t="n"/>
      <c r="J2078" s="104" t="n"/>
      <c r="K2078" s="102" t="n"/>
      <c r="L2078" s="103" t="n"/>
      <c r="M2078" s="103" t="n"/>
      <c r="N2078" s="104" t="n"/>
      <c r="O2078" s="102" t="n"/>
      <c r="P2078" s="103" t="n"/>
      <c r="Q2078" s="103" t="n"/>
      <c r="R2078" s="104" t="n"/>
      <c r="S2078" s="102" t="n"/>
      <c r="T2078" s="103" t="n"/>
      <c r="U2078" s="103" t="n"/>
      <c r="V2078" s="104" t="n"/>
      <c r="W2078" s="102" t="n"/>
      <c r="X2078" s="104" t="n"/>
      <c r="Y2078" s="102" t="n"/>
      <c r="Z2078" s="104" t="n"/>
      <c r="AB2078" s="105">
        <f>IF($B2078="","",(COUNTIF(C2058:E2075,$B2078)+COUNTIF(C2058:E2075,$B2078&amp;" ~*")&gt;0)+(COUNTIF(G2058:I2075,$B2078)+COUNTIF(G2058:I2075,$B2078&amp;" ~*")&gt;0)+(COUNTIF(K2058:M2075,$B2078)+COUNTIF(K2058:M2075,$B2078&amp;" ~*")&gt;0)+(COUNTIF(O2058:Q2075,$B2078)+COUNTIF(O2058:Q2075,$B2078&amp;" ~*")&gt;0)+(COUNTIF(S2058:U2075,$B2078)+COUNTIF(S2058:U2075,$B2078&amp;" ~*")&gt;0)+(COUNTIF(W2058:W2075,$B2078)+COUNTIF(W2058:W2075,$B2078&amp;" ~*")&gt;0)+(COUNTIF(Y2058:Y2075,$B2078)+COUNTIF(Y2058:Y2075,$B2078&amp;" ~*")&gt;0))</f>
        <v/>
      </c>
      <c r="AC2078" s="38">
        <f>IF($B2078="","",(IFERROR(INDEX(Setup!$G$33:$G$40,MATCH(C2078,Setup!$B$33:$B$40,0)),0)=1)*(COUNTIF(C2058:E2075,$B2078)+COUNTIF(C2058:E2075,$B2078&amp;" ~*")&gt;0)+(IFERROR(INDEX(Setup!$G$33:$G$40,MATCH(G2078,Setup!$B$33:$B$40,0)),0)=1)*(COUNTIF(G2058:I2075,$B2078)+COUNTIF(G2058:I2075,$B2078&amp;" ~*")&gt;0)+(IFERROR(INDEX(Setup!$G$33:$G$40,MATCH(K2078,Setup!$B$33:$B$40,0)),0)=1)*(COUNTIF(K2058:M2075,$B2078)+COUNTIF(K2058:M2075,$B2078&amp;" ~*")&gt;0)+(IFERROR(INDEX(Setup!$G$33:$G$40,MATCH(O2078,Setup!$B$33:$B$40,0)),0)=1)*(COUNTIF(O2058:Q2075,$B2078)+COUNTIF(O2058:Q2075,$B2078&amp;" ~*")&gt;0)+(IFERROR(INDEX(Setup!$G$33:$G$40,MATCH(S2078,Setup!$B$33:$B$40,0)),0)=1)*(COUNTIF(S2058:U2075,$B2078)+COUNTIF(S2058:U2075,$B2078&amp;" ~*")&gt;0)+(IFERROR(INDEX(Setup!$G$33:$G$40,MATCH(W2078,Setup!$B$33:$B$40,0)),0)=1)*(COUNTIF(W2058:W2075,$B2078)+COUNTIF(W2058:W2075,$B2078&amp;" ~*")&gt;0)+(IFERROR(INDEX(Setup!$G$33:$G$40,MATCH(Y2078,Setup!$B$33:$B$40,0)),0)=1)*(COUNTIF(Y2058:Y2075,$B2078)+COUNTIF(Y2058:Y2075,$B2078&amp;" ~*")&gt;0))</f>
        <v/>
      </c>
    </row>
    <row r="2079" ht="15" customHeight="1">
      <c r="A2079" t="n">
        <v>42</v>
      </c>
      <c r="B2079" s="35">
        <f>IF(Setup!$B$8="","",Setup!$B$8)</f>
        <v/>
      </c>
      <c r="C2079" s="98" t="n"/>
      <c r="D2079" s="99" t="n"/>
      <c r="E2079" s="99" t="n"/>
      <c r="F2079" s="100" t="n"/>
      <c r="G2079" s="98" t="n"/>
      <c r="H2079" s="99" t="n"/>
      <c r="I2079" s="99" t="n"/>
      <c r="J2079" s="100" t="n"/>
      <c r="K2079" s="98" t="n"/>
      <c r="L2079" s="99" t="n"/>
      <c r="M2079" s="99" t="n"/>
      <c r="N2079" s="100" t="n"/>
      <c r="O2079" s="98" t="n"/>
      <c r="P2079" s="99" t="n"/>
      <c r="Q2079" s="99" t="n"/>
      <c r="R2079" s="100" t="n"/>
      <c r="S2079" s="98" t="n"/>
      <c r="T2079" s="99" t="n"/>
      <c r="U2079" s="99" t="n"/>
      <c r="V2079" s="100" t="n"/>
      <c r="W2079" s="98" t="n"/>
      <c r="X2079" s="100" t="n"/>
      <c r="Y2079" s="98" t="n"/>
      <c r="Z2079" s="100" t="n"/>
      <c r="AB2079" s="101">
        <f>IF($B2079="","",(COUNTIF(C2058:E2075,$B2079)+COUNTIF(C2058:E2075,$B2079&amp;" ~*")&gt;0)+(COUNTIF(G2058:I2075,$B2079)+COUNTIF(G2058:I2075,$B2079&amp;" ~*")&gt;0)+(COUNTIF(K2058:M2075,$B2079)+COUNTIF(K2058:M2075,$B2079&amp;" ~*")&gt;0)+(COUNTIF(O2058:Q2075,$B2079)+COUNTIF(O2058:Q2075,$B2079&amp;" ~*")&gt;0)+(COUNTIF(S2058:U2075,$B2079)+COUNTIF(S2058:U2075,$B2079&amp;" ~*")&gt;0)+(COUNTIF(W2058:W2075,$B2079)+COUNTIF(W2058:W2075,$B2079&amp;" ~*")&gt;0)+(COUNTIF(Y2058:Y2075,$B2079)+COUNTIF(Y2058:Y2075,$B2079&amp;" ~*")&gt;0))</f>
        <v/>
      </c>
      <c r="AC2079" s="36">
        <f>IF($B2079="","",(IFERROR(INDEX(Setup!$G$33:$G$40,MATCH(C2079,Setup!$B$33:$B$40,0)),0)=1)*(COUNTIF(C2058:E2075,$B2079)+COUNTIF(C2058:E2075,$B2079&amp;" ~*")&gt;0)+(IFERROR(INDEX(Setup!$G$33:$G$40,MATCH(G2079,Setup!$B$33:$B$40,0)),0)=1)*(COUNTIF(G2058:I2075,$B2079)+COUNTIF(G2058:I2075,$B2079&amp;" ~*")&gt;0)+(IFERROR(INDEX(Setup!$G$33:$G$40,MATCH(K2079,Setup!$B$33:$B$40,0)),0)=1)*(COUNTIF(K2058:M2075,$B2079)+COUNTIF(K2058:M2075,$B2079&amp;" ~*")&gt;0)+(IFERROR(INDEX(Setup!$G$33:$G$40,MATCH(O2079,Setup!$B$33:$B$40,0)),0)=1)*(COUNTIF(O2058:Q2075,$B2079)+COUNTIF(O2058:Q2075,$B2079&amp;" ~*")&gt;0)+(IFERROR(INDEX(Setup!$G$33:$G$40,MATCH(S2079,Setup!$B$33:$B$40,0)),0)=1)*(COUNTIF(S2058:U2075,$B2079)+COUNTIF(S2058:U2075,$B2079&amp;" ~*")&gt;0)+(IFERROR(INDEX(Setup!$G$33:$G$40,MATCH(W2079,Setup!$B$33:$B$40,0)),0)=1)*(COUNTIF(W2058:W2075,$B2079)+COUNTIF(W2058:W2075,$B2079&amp;" ~*")&gt;0)+(IFERROR(INDEX(Setup!$G$33:$G$40,MATCH(Y2079,Setup!$B$33:$B$40,0)),0)=1)*(COUNTIF(Y2058:Y2075,$B2079)+COUNTIF(Y2058:Y2075,$B2079&amp;" ~*")&gt;0))</f>
        <v/>
      </c>
    </row>
    <row r="2080" ht="15" customHeight="1">
      <c r="A2080" t="n">
        <v>42</v>
      </c>
      <c r="B2080" s="37">
        <f>IF(Setup!$B$9="","",Setup!$B$9)</f>
        <v/>
      </c>
      <c r="C2080" s="102" t="n"/>
      <c r="D2080" s="103" t="n"/>
      <c r="E2080" s="103" t="n"/>
      <c r="F2080" s="104" t="n"/>
      <c r="G2080" s="102" t="n"/>
      <c r="H2080" s="103" t="n"/>
      <c r="I2080" s="103" t="n"/>
      <c r="J2080" s="104" t="n"/>
      <c r="K2080" s="102" t="n"/>
      <c r="L2080" s="103" t="n"/>
      <c r="M2080" s="103" t="n"/>
      <c r="N2080" s="104" t="n"/>
      <c r="O2080" s="102" t="n"/>
      <c r="P2080" s="103" t="n"/>
      <c r="Q2080" s="103" t="n"/>
      <c r="R2080" s="104" t="n"/>
      <c r="S2080" s="102" t="n"/>
      <c r="T2080" s="103" t="n"/>
      <c r="U2080" s="103" t="n"/>
      <c r="V2080" s="104" t="n"/>
      <c r="W2080" s="102" t="n"/>
      <c r="X2080" s="104" t="n"/>
      <c r="Y2080" s="102" t="n"/>
      <c r="Z2080" s="104" t="n"/>
      <c r="AB2080" s="105">
        <f>IF($B2080="","",(COUNTIF(C2058:E2075,$B2080)+COUNTIF(C2058:E2075,$B2080&amp;" ~*")&gt;0)+(COUNTIF(G2058:I2075,$B2080)+COUNTIF(G2058:I2075,$B2080&amp;" ~*")&gt;0)+(COUNTIF(K2058:M2075,$B2080)+COUNTIF(K2058:M2075,$B2080&amp;" ~*")&gt;0)+(COUNTIF(O2058:Q2075,$B2080)+COUNTIF(O2058:Q2075,$B2080&amp;" ~*")&gt;0)+(COUNTIF(S2058:U2075,$B2080)+COUNTIF(S2058:U2075,$B2080&amp;" ~*")&gt;0)+(COUNTIF(W2058:W2075,$B2080)+COUNTIF(W2058:W2075,$B2080&amp;" ~*")&gt;0)+(COUNTIF(Y2058:Y2075,$B2080)+COUNTIF(Y2058:Y2075,$B2080&amp;" ~*")&gt;0))</f>
        <v/>
      </c>
      <c r="AC2080" s="38">
        <f>IF($B2080="","",(IFERROR(INDEX(Setup!$G$33:$G$40,MATCH(C2080,Setup!$B$33:$B$40,0)),0)=1)*(COUNTIF(C2058:E2075,$B2080)+COUNTIF(C2058:E2075,$B2080&amp;" ~*")&gt;0)+(IFERROR(INDEX(Setup!$G$33:$G$40,MATCH(G2080,Setup!$B$33:$B$40,0)),0)=1)*(COUNTIF(G2058:I2075,$B2080)+COUNTIF(G2058:I2075,$B2080&amp;" ~*")&gt;0)+(IFERROR(INDEX(Setup!$G$33:$G$40,MATCH(K2080,Setup!$B$33:$B$40,0)),0)=1)*(COUNTIF(K2058:M2075,$B2080)+COUNTIF(K2058:M2075,$B2080&amp;" ~*")&gt;0)+(IFERROR(INDEX(Setup!$G$33:$G$40,MATCH(O2080,Setup!$B$33:$B$40,0)),0)=1)*(COUNTIF(O2058:Q2075,$B2080)+COUNTIF(O2058:Q2075,$B2080&amp;" ~*")&gt;0)+(IFERROR(INDEX(Setup!$G$33:$G$40,MATCH(S2080,Setup!$B$33:$B$40,0)),0)=1)*(COUNTIF(S2058:U2075,$B2080)+COUNTIF(S2058:U2075,$B2080&amp;" ~*")&gt;0)+(IFERROR(INDEX(Setup!$G$33:$G$40,MATCH(W2080,Setup!$B$33:$B$40,0)),0)=1)*(COUNTIF(W2058:W2075,$B2080)+COUNTIF(W2058:W2075,$B2080&amp;" ~*")&gt;0)+(IFERROR(INDEX(Setup!$G$33:$G$40,MATCH(Y2080,Setup!$B$33:$B$40,0)),0)=1)*(COUNTIF(Y2058:Y2075,$B2080)+COUNTIF(Y2058:Y2075,$B2080&amp;" ~*")&gt;0))</f>
        <v/>
      </c>
    </row>
    <row r="2081" ht="15" customHeight="1">
      <c r="A2081" t="n">
        <v>42</v>
      </c>
      <c r="B2081" s="35">
        <f>IF(Setup!$B$10="","",Setup!$B$10)</f>
        <v/>
      </c>
      <c r="C2081" s="98" t="n"/>
      <c r="D2081" s="99" t="n"/>
      <c r="E2081" s="99" t="n"/>
      <c r="F2081" s="100" t="n"/>
      <c r="G2081" s="98" t="n"/>
      <c r="H2081" s="99" t="n"/>
      <c r="I2081" s="99" t="n"/>
      <c r="J2081" s="100" t="n"/>
      <c r="K2081" s="98" t="n"/>
      <c r="L2081" s="99" t="n"/>
      <c r="M2081" s="99" t="n"/>
      <c r="N2081" s="100" t="n"/>
      <c r="O2081" s="98" t="n"/>
      <c r="P2081" s="99" t="n"/>
      <c r="Q2081" s="99" t="n"/>
      <c r="R2081" s="100" t="n"/>
      <c r="S2081" s="98" t="n"/>
      <c r="T2081" s="99" t="n"/>
      <c r="U2081" s="99" t="n"/>
      <c r="V2081" s="100" t="n"/>
      <c r="W2081" s="98" t="n"/>
      <c r="X2081" s="100" t="n"/>
      <c r="Y2081" s="98" t="n"/>
      <c r="Z2081" s="100" t="n"/>
      <c r="AB2081" s="101">
        <f>IF($B2081="","",(COUNTIF(C2058:E2075,$B2081)+COUNTIF(C2058:E2075,$B2081&amp;" ~*")&gt;0)+(COUNTIF(G2058:I2075,$B2081)+COUNTIF(G2058:I2075,$B2081&amp;" ~*")&gt;0)+(COUNTIF(K2058:M2075,$B2081)+COUNTIF(K2058:M2075,$B2081&amp;" ~*")&gt;0)+(COUNTIF(O2058:Q2075,$B2081)+COUNTIF(O2058:Q2075,$B2081&amp;" ~*")&gt;0)+(COUNTIF(S2058:U2075,$B2081)+COUNTIF(S2058:U2075,$B2081&amp;" ~*")&gt;0)+(COUNTIF(W2058:W2075,$B2081)+COUNTIF(W2058:W2075,$B2081&amp;" ~*")&gt;0)+(COUNTIF(Y2058:Y2075,$B2081)+COUNTIF(Y2058:Y2075,$B2081&amp;" ~*")&gt;0))</f>
        <v/>
      </c>
      <c r="AC2081" s="36">
        <f>IF($B2081="","",(IFERROR(INDEX(Setup!$G$33:$G$40,MATCH(C2081,Setup!$B$33:$B$40,0)),0)=1)*(COUNTIF(C2058:E2075,$B2081)+COUNTIF(C2058:E2075,$B2081&amp;" ~*")&gt;0)+(IFERROR(INDEX(Setup!$G$33:$G$40,MATCH(G2081,Setup!$B$33:$B$40,0)),0)=1)*(COUNTIF(G2058:I2075,$B2081)+COUNTIF(G2058:I2075,$B2081&amp;" ~*")&gt;0)+(IFERROR(INDEX(Setup!$G$33:$G$40,MATCH(K2081,Setup!$B$33:$B$40,0)),0)=1)*(COUNTIF(K2058:M2075,$B2081)+COUNTIF(K2058:M2075,$B2081&amp;" ~*")&gt;0)+(IFERROR(INDEX(Setup!$G$33:$G$40,MATCH(O2081,Setup!$B$33:$B$40,0)),0)=1)*(COUNTIF(O2058:Q2075,$B2081)+COUNTIF(O2058:Q2075,$B2081&amp;" ~*")&gt;0)+(IFERROR(INDEX(Setup!$G$33:$G$40,MATCH(S2081,Setup!$B$33:$B$40,0)),0)=1)*(COUNTIF(S2058:U2075,$B2081)+COUNTIF(S2058:U2075,$B2081&amp;" ~*")&gt;0)+(IFERROR(INDEX(Setup!$G$33:$G$40,MATCH(W2081,Setup!$B$33:$B$40,0)),0)=1)*(COUNTIF(W2058:W2075,$B2081)+COUNTIF(W2058:W2075,$B2081&amp;" ~*")&gt;0)+(IFERROR(INDEX(Setup!$G$33:$G$40,MATCH(Y2081,Setup!$B$33:$B$40,0)),0)=1)*(COUNTIF(Y2058:Y2075,$B2081)+COUNTIF(Y2058:Y2075,$B2081&amp;" ~*")&gt;0))</f>
        <v/>
      </c>
    </row>
    <row r="2082" ht="15" customHeight="1">
      <c r="A2082" t="n">
        <v>42</v>
      </c>
      <c r="B2082" s="37">
        <f>IF(Setup!$B$11="","",Setup!$B$11)</f>
        <v/>
      </c>
      <c r="C2082" s="102" t="n"/>
      <c r="D2082" s="103" t="n"/>
      <c r="E2082" s="103" t="n"/>
      <c r="F2082" s="104" t="n"/>
      <c r="G2082" s="102" t="n"/>
      <c r="H2082" s="103" t="n"/>
      <c r="I2082" s="103" t="n"/>
      <c r="J2082" s="104" t="n"/>
      <c r="K2082" s="102" t="n"/>
      <c r="L2082" s="103" t="n"/>
      <c r="M2082" s="103" t="n"/>
      <c r="N2082" s="104" t="n"/>
      <c r="O2082" s="102" t="n"/>
      <c r="P2082" s="103" t="n"/>
      <c r="Q2082" s="103" t="n"/>
      <c r="R2082" s="104" t="n"/>
      <c r="S2082" s="102" t="n"/>
      <c r="T2082" s="103" t="n"/>
      <c r="U2082" s="103" t="n"/>
      <c r="V2082" s="104" t="n"/>
      <c r="W2082" s="102" t="n"/>
      <c r="X2082" s="104" t="n"/>
      <c r="Y2082" s="102" t="n"/>
      <c r="Z2082" s="104" t="n"/>
      <c r="AB2082" s="105">
        <f>IF($B2082="","",(COUNTIF(C2058:E2075,$B2082)+COUNTIF(C2058:E2075,$B2082&amp;" ~*")&gt;0)+(COUNTIF(G2058:I2075,$B2082)+COUNTIF(G2058:I2075,$B2082&amp;" ~*")&gt;0)+(COUNTIF(K2058:M2075,$B2082)+COUNTIF(K2058:M2075,$B2082&amp;" ~*")&gt;0)+(COUNTIF(O2058:Q2075,$B2082)+COUNTIF(O2058:Q2075,$B2082&amp;" ~*")&gt;0)+(COUNTIF(S2058:U2075,$B2082)+COUNTIF(S2058:U2075,$B2082&amp;" ~*")&gt;0)+(COUNTIF(W2058:W2075,$B2082)+COUNTIF(W2058:W2075,$B2082&amp;" ~*")&gt;0)+(COUNTIF(Y2058:Y2075,$B2082)+COUNTIF(Y2058:Y2075,$B2082&amp;" ~*")&gt;0))</f>
        <v/>
      </c>
      <c r="AC2082" s="38">
        <f>IF($B2082="","",(IFERROR(INDEX(Setup!$G$33:$G$40,MATCH(C2082,Setup!$B$33:$B$40,0)),0)=1)*(COUNTIF(C2058:E2075,$B2082)+COUNTIF(C2058:E2075,$B2082&amp;" ~*")&gt;0)+(IFERROR(INDEX(Setup!$G$33:$G$40,MATCH(G2082,Setup!$B$33:$B$40,0)),0)=1)*(COUNTIF(G2058:I2075,$B2082)+COUNTIF(G2058:I2075,$B2082&amp;" ~*")&gt;0)+(IFERROR(INDEX(Setup!$G$33:$G$40,MATCH(K2082,Setup!$B$33:$B$40,0)),0)=1)*(COUNTIF(K2058:M2075,$B2082)+COUNTIF(K2058:M2075,$B2082&amp;" ~*")&gt;0)+(IFERROR(INDEX(Setup!$G$33:$G$40,MATCH(O2082,Setup!$B$33:$B$40,0)),0)=1)*(COUNTIF(O2058:Q2075,$B2082)+COUNTIF(O2058:Q2075,$B2082&amp;" ~*")&gt;0)+(IFERROR(INDEX(Setup!$G$33:$G$40,MATCH(S2082,Setup!$B$33:$B$40,0)),0)=1)*(COUNTIF(S2058:U2075,$B2082)+COUNTIF(S2058:U2075,$B2082&amp;" ~*")&gt;0)+(IFERROR(INDEX(Setup!$G$33:$G$40,MATCH(W2082,Setup!$B$33:$B$40,0)),0)=1)*(COUNTIF(W2058:W2075,$B2082)+COUNTIF(W2058:W2075,$B2082&amp;" ~*")&gt;0)+(IFERROR(INDEX(Setup!$G$33:$G$40,MATCH(Y2082,Setup!$B$33:$B$40,0)),0)=1)*(COUNTIF(Y2058:Y2075,$B2082)+COUNTIF(Y2058:Y2075,$B2082&amp;" ~*")&gt;0))</f>
        <v/>
      </c>
    </row>
    <row r="2083" ht="15" customHeight="1">
      <c r="A2083" t="n">
        <v>42</v>
      </c>
      <c r="B2083" s="35">
        <f>IF(Setup!$B$12="","",Setup!$B$12)</f>
        <v/>
      </c>
      <c r="C2083" s="98" t="n"/>
      <c r="D2083" s="99" t="n"/>
      <c r="E2083" s="99" t="n"/>
      <c r="F2083" s="100" t="n"/>
      <c r="G2083" s="98" t="n"/>
      <c r="H2083" s="99" t="n"/>
      <c r="I2083" s="99" t="n"/>
      <c r="J2083" s="100" t="n"/>
      <c r="K2083" s="98" t="n"/>
      <c r="L2083" s="99" t="n"/>
      <c r="M2083" s="99" t="n"/>
      <c r="N2083" s="100" t="n"/>
      <c r="O2083" s="98" t="n"/>
      <c r="P2083" s="99" t="n"/>
      <c r="Q2083" s="99" t="n"/>
      <c r="R2083" s="100" t="n"/>
      <c r="S2083" s="98" t="n"/>
      <c r="T2083" s="99" t="n"/>
      <c r="U2083" s="99" t="n"/>
      <c r="V2083" s="100" t="n"/>
      <c r="W2083" s="98" t="n"/>
      <c r="X2083" s="100" t="n"/>
      <c r="Y2083" s="98" t="n"/>
      <c r="Z2083" s="100" t="n"/>
      <c r="AB2083" s="101">
        <f>IF($B2083="","",(COUNTIF(C2058:E2075,$B2083)+COUNTIF(C2058:E2075,$B2083&amp;" ~*")&gt;0)+(COUNTIF(G2058:I2075,$B2083)+COUNTIF(G2058:I2075,$B2083&amp;" ~*")&gt;0)+(COUNTIF(K2058:M2075,$B2083)+COUNTIF(K2058:M2075,$B2083&amp;" ~*")&gt;0)+(COUNTIF(O2058:Q2075,$B2083)+COUNTIF(O2058:Q2075,$B2083&amp;" ~*")&gt;0)+(COUNTIF(S2058:U2075,$B2083)+COUNTIF(S2058:U2075,$B2083&amp;" ~*")&gt;0)+(COUNTIF(W2058:W2075,$B2083)+COUNTIF(W2058:W2075,$B2083&amp;" ~*")&gt;0)+(COUNTIF(Y2058:Y2075,$B2083)+COUNTIF(Y2058:Y2075,$B2083&amp;" ~*")&gt;0))</f>
        <v/>
      </c>
      <c r="AC2083" s="36">
        <f>IF($B2083="","",(IFERROR(INDEX(Setup!$G$33:$G$40,MATCH(C2083,Setup!$B$33:$B$40,0)),0)=1)*(COUNTIF(C2058:E2075,$B2083)+COUNTIF(C2058:E2075,$B2083&amp;" ~*")&gt;0)+(IFERROR(INDEX(Setup!$G$33:$G$40,MATCH(G2083,Setup!$B$33:$B$40,0)),0)=1)*(COUNTIF(G2058:I2075,$B2083)+COUNTIF(G2058:I2075,$B2083&amp;" ~*")&gt;0)+(IFERROR(INDEX(Setup!$G$33:$G$40,MATCH(K2083,Setup!$B$33:$B$40,0)),0)=1)*(COUNTIF(K2058:M2075,$B2083)+COUNTIF(K2058:M2075,$B2083&amp;" ~*")&gt;0)+(IFERROR(INDEX(Setup!$G$33:$G$40,MATCH(O2083,Setup!$B$33:$B$40,0)),0)=1)*(COUNTIF(O2058:Q2075,$B2083)+COUNTIF(O2058:Q2075,$B2083&amp;" ~*")&gt;0)+(IFERROR(INDEX(Setup!$G$33:$G$40,MATCH(S2083,Setup!$B$33:$B$40,0)),0)=1)*(COUNTIF(S2058:U2075,$B2083)+COUNTIF(S2058:U2075,$B2083&amp;" ~*")&gt;0)+(IFERROR(INDEX(Setup!$G$33:$G$40,MATCH(W2083,Setup!$B$33:$B$40,0)),0)=1)*(COUNTIF(W2058:W2075,$B2083)+COUNTIF(W2058:W2075,$B2083&amp;" ~*")&gt;0)+(IFERROR(INDEX(Setup!$G$33:$G$40,MATCH(Y2083,Setup!$B$33:$B$40,0)),0)=1)*(COUNTIF(Y2058:Y2075,$B2083)+COUNTIF(Y2058:Y2075,$B2083&amp;" ~*")&gt;0))</f>
        <v/>
      </c>
    </row>
    <row r="2084" ht="15" customHeight="1">
      <c r="A2084" t="n">
        <v>42</v>
      </c>
      <c r="B2084" s="37">
        <f>IF(Setup!$B$13="","",Setup!$B$13)</f>
        <v/>
      </c>
      <c r="C2084" s="102" t="n"/>
      <c r="D2084" s="103" t="n"/>
      <c r="E2084" s="103" t="n"/>
      <c r="F2084" s="104" t="n"/>
      <c r="G2084" s="102" t="n"/>
      <c r="H2084" s="103" t="n"/>
      <c r="I2084" s="103" t="n"/>
      <c r="J2084" s="104" t="n"/>
      <c r="K2084" s="102" t="n"/>
      <c r="L2084" s="103" t="n"/>
      <c r="M2084" s="103" t="n"/>
      <c r="N2084" s="104" t="n"/>
      <c r="O2084" s="102" t="n"/>
      <c r="P2084" s="103" t="n"/>
      <c r="Q2084" s="103" t="n"/>
      <c r="R2084" s="104" t="n"/>
      <c r="S2084" s="102" t="n"/>
      <c r="T2084" s="103" t="n"/>
      <c r="U2084" s="103" t="n"/>
      <c r="V2084" s="104" t="n"/>
      <c r="W2084" s="102" t="n"/>
      <c r="X2084" s="104" t="n"/>
      <c r="Y2084" s="102" t="n"/>
      <c r="Z2084" s="104" t="n"/>
      <c r="AB2084" s="105">
        <f>IF($B2084="","",(COUNTIF(C2058:E2075,$B2084)+COUNTIF(C2058:E2075,$B2084&amp;" ~*")&gt;0)+(COUNTIF(G2058:I2075,$B2084)+COUNTIF(G2058:I2075,$B2084&amp;" ~*")&gt;0)+(COUNTIF(K2058:M2075,$B2084)+COUNTIF(K2058:M2075,$B2084&amp;" ~*")&gt;0)+(COUNTIF(O2058:Q2075,$B2084)+COUNTIF(O2058:Q2075,$B2084&amp;" ~*")&gt;0)+(COUNTIF(S2058:U2075,$B2084)+COUNTIF(S2058:U2075,$B2084&amp;" ~*")&gt;0)+(COUNTIF(W2058:W2075,$B2084)+COUNTIF(W2058:W2075,$B2084&amp;" ~*")&gt;0)+(COUNTIF(Y2058:Y2075,$B2084)+COUNTIF(Y2058:Y2075,$B2084&amp;" ~*")&gt;0))</f>
        <v/>
      </c>
      <c r="AC2084" s="38">
        <f>IF($B2084="","",(IFERROR(INDEX(Setup!$G$33:$G$40,MATCH(C2084,Setup!$B$33:$B$40,0)),0)=1)*(COUNTIF(C2058:E2075,$B2084)+COUNTIF(C2058:E2075,$B2084&amp;" ~*")&gt;0)+(IFERROR(INDEX(Setup!$G$33:$G$40,MATCH(G2084,Setup!$B$33:$B$40,0)),0)=1)*(COUNTIF(G2058:I2075,$B2084)+COUNTIF(G2058:I2075,$B2084&amp;" ~*")&gt;0)+(IFERROR(INDEX(Setup!$G$33:$G$40,MATCH(K2084,Setup!$B$33:$B$40,0)),0)=1)*(COUNTIF(K2058:M2075,$B2084)+COUNTIF(K2058:M2075,$B2084&amp;" ~*")&gt;0)+(IFERROR(INDEX(Setup!$G$33:$G$40,MATCH(O2084,Setup!$B$33:$B$40,0)),0)=1)*(COUNTIF(O2058:Q2075,$B2084)+COUNTIF(O2058:Q2075,$B2084&amp;" ~*")&gt;0)+(IFERROR(INDEX(Setup!$G$33:$G$40,MATCH(S2084,Setup!$B$33:$B$40,0)),0)=1)*(COUNTIF(S2058:U2075,$B2084)+COUNTIF(S2058:U2075,$B2084&amp;" ~*")&gt;0)+(IFERROR(INDEX(Setup!$G$33:$G$40,MATCH(W2084,Setup!$B$33:$B$40,0)),0)=1)*(COUNTIF(W2058:W2075,$B2084)+COUNTIF(W2058:W2075,$B2084&amp;" ~*")&gt;0)+(IFERROR(INDEX(Setup!$G$33:$G$40,MATCH(Y2084,Setup!$B$33:$B$40,0)),0)=1)*(COUNTIF(Y2058:Y2075,$B2084)+COUNTIF(Y2058:Y2075,$B2084&amp;" ~*")&gt;0))</f>
        <v/>
      </c>
    </row>
    <row r="2085" ht="15" customHeight="1">
      <c r="A2085" t="n">
        <v>42</v>
      </c>
      <c r="B2085" s="35">
        <f>IF(Setup!$B$14="","",Setup!$B$14)</f>
        <v/>
      </c>
      <c r="C2085" s="98" t="n"/>
      <c r="D2085" s="99" t="n"/>
      <c r="E2085" s="99" t="n"/>
      <c r="F2085" s="100" t="n"/>
      <c r="G2085" s="98" t="n"/>
      <c r="H2085" s="99" t="n"/>
      <c r="I2085" s="99" t="n"/>
      <c r="J2085" s="100" t="n"/>
      <c r="K2085" s="98" t="n"/>
      <c r="L2085" s="99" t="n"/>
      <c r="M2085" s="99" t="n"/>
      <c r="N2085" s="100" t="n"/>
      <c r="O2085" s="98" t="n"/>
      <c r="P2085" s="99" t="n"/>
      <c r="Q2085" s="99" t="n"/>
      <c r="R2085" s="100" t="n"/>
      <c r="S2085" s="98" t="n"/>
      <c r="T2085" s="99" t="n"/>
      <c r="U2085" s="99" t="n"/>
      <c r="V2085" s="100" t="n"/>
      <c r="W2085" s="98" t="n"/>
      <c r="X2085" s="100" t="n"/>
      <c r="Y2085" s="98" t="n"/>
      <c r="Z2085" s="100" t="n"/>
      <c r="AB2085" s="101">
        <f>IF($B2085="","",(COUNTIF(C2058:E2075,$B2085)+COUNTIF(C2058:E2075,$B2085&amp;" ~*")&gt;0)+(COUNTIF(G2058:I2075,$B2085)+COUNTIF(G2058:I2075,$B2085&amp;" ~*")&gt;0)+(COUNTIF(K2058:M2075,$B2085)+COUNTIF(K2058:M2075,$B2085&amp;" ~*")&gt;0)+(COUNTIF(O2058:Q2075,$B2085)+COUNTIF(O2058:Q2075,$B2085&amp;" ~*")&gt;0)+(COUNTIF(S2058:U2075,$B2085)+COUNTIF(S2058:U2075,$B2085&amp;" ~*")&gt;0)+(COUNTIF(W2058:W2075,$B2085)+COUNTIF(W2058:W2075,$B2085&amp;" ~*")&gt;0)+(COUNTIF(Y2058:Y2075,$B2085)+COUNTIF(Y2058:Y2075,$B2085&amp;" ~*")&gt;0))</f>
        <v/>
      </c>
      <c r="AC2085" s="36">
        <f>IF($B2085="","",(IFERROR(INDEX(Setup!$G$33:$G$40,MATCH(C2085,Setup!$B$33:$B$40,0)),0)=1)*(COUNTIF(C2058:E2075,$B2085)+COUNTIF(C2058:E2075,$B2085&amp;" ~*")&gt;0)+(IFERROR(INDEX(Setup!$G$33:$G$40,MATCH(G2085,Setup!$B$33:$B$40,0)),0)=1)*(COUNTIF(G2058:I2075,$B2085)+COUNTIF(G2058:I2075,$B2085&amp;" ~*")&gt;0)+(IFERROR(INDEX(Setup!$G$33:$G$40,MATCH(K2085,Setup!$B$33:$B$40,0)),0)=1)*(COUNTIF(K2058:M2075,$B2085)+COUNTIF(K2058:M2075,$B2085&amp;" ~*")&gt;0)+(IFERROR(INDEX(Setup!$G$33:$G$40,MATCH(O2085,Setup!$B$33:$B$40,0)),0)=1)*(COUNTIF(O2058:Q2075,$B2085)+COUNTIF(O2058:Q2075,$B2085&amp;" ~*")&gt;0)+(IFERROR(INDEX(Setup!$G$33:$G$40,MATCH(S2085,Setup!$B$33:$B$40,0)),0)=1)*(COUNTIF(S2058:U2075,$B2085)+COUNTIF(S2058:U2075,$B2085&amp;" ~*")&gt;0)+(IFERROR(INDEX(Setup!$G$33:$G$40,MATCH(W2085,Setup!$B$33:$B$40,0)),0)=1)*(COUNTIF(W2058:W2075,$B2085)+COUNTIF(W2058:W2075,$B2085&amp;" ~*")&gt;0)+(IFERROR(INDEX(Setup!$G$33:$G$40,MATCH(Y2085,Setup!$B$33:$B$40,0)),0)=1)*(COUNTIF(Y2058:Y2075,$B2085)+COUNTIF(Y2058:Y2075,$B2085&amp;" ~*")&gt;0))</f>
        <v/>
      </c>
    </row>
    <row r="2086" ht="15" customHeight="1">
      <c r="A2086" t="n">
        <v>42</v>
      </c>
      <c r="B2086" s="37">
        <f>IF(Setup!$B$15="","",Setup!$B$15)</f>
        <v/>
      </c>
      <c r="C2086" s="102" t="n"/>
      <c r="D2086" s="103" t="n"/>
      <c r="E2086" s="103" t="n"/>
      <c r="F2086" s="104" t="n"/>
      <c r="G2086" s="102" t="n"/>
      <c r="H2086" s="103" t="n"/>
      <c r="I2086" s="103" t="n"/>
      <c r="J2086" s="104" t="n"/>
      <c r="K2086" s="102" t="n"/>
      <c r="L2086" s="103" t="n"/>
      <c r="M2086" s="103" t="n"/>
      <c r="N2086" s="104" t="n"/>
      <c r="O2086" s="102" t="n"/>
      <c r="P2086" s="103" t="n"/>
      <c r="Q2086" s="103" t="n"/>
      <c r="R2086" s="104" t="n"/>
      <c r="S2086" s="102" t="n"/>
      <c r="T2086" s="103" t="n"/>
      <c r="U2086" s="103" t="n"/>
      <c r="V2086" s="104" t="n"/>
      <c r="W2086" s="102" t="n"/>
      <c r="X2086" s="104" t="n"/>
      <c r="Y2086" s="102" t="n"/>
      <c r="Z2086" s="104" t="n"/>
      <c r="AB2086" s="105">
        <f>IF($B2086="","",(COUNTIF(C2058:E2075,$B2086)+COUNTIF(C2058:E2075,$B2086&amp;" ~*")&gt;0)+(COUNTIF(G2058:I2075,$B2086)+COUNTIF(G2058:I2075,$B2086&amp;" ~*")&gt;0)+(COUNTIF(K2058:M2075,$B2086)+COUNTIF(K2058:M2075,$B2086&amp;" ~*")&gt;0)+(COUNTIF(O2058:Q2075,$B2086)+COUNTIF(O2058:Q2075,$B2086&amp;" ~*")&gt;0)+(COUNTIF(S2058:U2075,$B2086)+COUNTIF(S2058:U2075,$B2086&amp;" ~*")&gt;0)+(COUNTIF(W2058:W2075,$B2086)+COUNTIF(W2058:W2075,$B2086&amp;" ~*")&gt;0)+(COUNTIF(Y2058:Y2075,$B2086)+COUNTIF(Y2058:Y2075,$B2086&amp;" ~*")&gt;0))</f>
        <v/>
      </c>
      <c r="AC2086" s="38">
        <f>IF($B2086="","",(IFERROR(INDEX(Setup!$G$33:$G$40,MATCH(C2086,Setup!$B$33:$B$40,0)),0)=1)*(COUNTIF(C2058:E2075,$B2086)+COUNTIF(C2058:E2075,$B2086&amp;" ~*")&gt;0)+(IFERROR(INDEX(Setup!$G$33:$G$40,MATCH(G2086,Setup!$B$33:$B$40,0)),0)=1)*(COUNTIF(G2058:I2075,$B2086)+COUNTIF(G2058:I2075,$B2086&amp;" ~*")&gt;0)+(IFERROR(INDEX(Setup!$G$33:$G$40,MATCH(K2086,Setup!$B$33:$B$40,0)),0)=1)*(COUNTIF(K2058:M2075,$B2086)+COUNTIF(K2058:M2075,$B2086&amp;" ~*")&gt;0)+(IFERROR(INDEX(Setup!$G$33:$G$40,MATCH(O2086,Setup!$B$33:$B$40,0)),0)=1)*(COUNTIF(O2058:Q2075,$B2086)+COUNTIF(O2058:Q2075,$B2086&amp;" ~*")&gt;0)+(IFERROR(INDEX(Setup!$G$33:$G$40,MATCH(S2086,Setup!$B$33:$B$40,0)),0)=1)*(COUNTIF(S2058:U2075,$B2086)+COUNTIF(S2058:U2075,$B2086&amp;" ~*")&gt;0)+(IFERROR(INDEX(Setup!$G$33:$G$40,MATCH(W2086,Setup!$B$33:$B$40,0)),0)=1)*(COUNTIF(W2058:W2075,$B2086)+COUNTIF(W2058:W2075,$B2086&amp;" ~*")&gt;0)+(IFERROR(INDEX(Setup!$G$33:$G$40,MATCH(Y2086,Setup!$B$33:$B$40,0)),0)=1)*(COUNTIF(Y2058:Y2075,$B2086)+COUNTIF(Y2058:Y2075,$B2086&amp;" ~*")&gt;0))</f>
        <v/>
      </c>
    </row>
    <row r="2087" ht="15" customHeight="1">
      <c r="A2087" t="n">
        <v>42</v>
      </c>
      <c r="B2087" s="35">
        <f>IF(Setup!$B$16="","",Setup!$B$16)</f>
        <v/>
      </c>
      <c r="C2087" s="98" t="n"/>
      <c r="D2087" s="99" t="n"/>
      <c r="E2087" s="99" t="n"/>
      <c r="F2087" s="100" t="n"/>
      <c r="G2087" s="98" t="n"/>
      <c r="H2087" s="99" t="n"/>
      <c r="I2087" s="99" t="n"/>
      <c r="J2087" s="100" t="n"/>
      <c r="K2087" s="98" t="n"/>
      <c r="L2087" s="99" t="n"/>
      <c r="M2087" s="99" t="n"/>
      <c r="N2087" s="100" t="n"/>
      <c r="O2087" s="98" t="n"/>
      <c r="P2087" s="99" t="n"/>
      <c r="Q2087" s="99" t="n"/>
      <c r="R2087" s="100" t="n"/>
      <c r="S2087" s="98" t="n"/>
      <c r="T2087" s="99" t="n"/>
      <c r="U2087" s="99" t="n"/>
      <c r="V2087" s="100" t="n"/>
      <c r="W2087" s="98" t="n"/>
      <c r="X2087" s="100" t="n"/>
      <c r="Y2087" s="98" t="n"/>
      <c r="Z2087" s="100" t="n"/>
      <c r="AB2087" s="101">
        <f>IF($B2087="","",(COUNTIF(C2058:E2075,$B2087)+COUNTIF(C2058:E2075,$B2087&amp;" ~*")&gt;0)+(COUNTIF(G2058:I2075,$B2087)+COUNTIF(G2058:I2075,$B2087&amp;" ~*")&gt;0)+(COUNTIF(K2058:M2075,$B2087)+COUNTIF(K2058:M2075,$B2087&amp;" ~*")&gt;0)+(COUNTIF(O2058:Q2075,$B2087)+COUNTIF(O2058:Q2075,$B2087&amp;" ~*")&gt;0)+(COUNTIF(S2058:U2075,$B2087)+COUNTIF(S2058:U2075,$B2087&amp;" ~*")&gt;0)+(COUNTIF(W2058:W2075,$B2087)+COUNTIF(W2058:W2075,$B2087&amp;" ~*")&gt;0)+(COUNTIF(Y2058:Y2075,$B2087)+COUNTIF(Y2058:Y2075,$B2087&amp;" ~*")&gt;0))</f>
        <v/>
      </c>
      <c r="AC2087" s="36">
        <f>IF($B2087="","",(IFERROR(INDEX(Setup!$G$33:$G$40,MATCH(C2087,Setup!$B$33:$B$40,0)),0)=1)*(COUNTIF(C2058:E2075,$B2087)+COUNTIF(C2058:E2075,$B2087&amp;" ~*")&gt;0)+(IFERROR(INDEX(Setup!$G$33:$G$40,MATCH(G2087,Setup!$B$33:$B$40,0)),0)=1)*(COUNTIF(G2058:I2075,$B2087)+COUNTIF(G2058:I2075,$B2087&amp;" ~*")&gt;0)+(IFERROR(INDEX(Setup!$G$33:$G$40,MATCH(K2087,Setup!$B$33:$B$40,0)),0)=1)*(COUNTIF(K2058:M2075,$B2087)+COUNTIF(K2058:M2075,$B2087&amp;" ~*")&gt;0)+(IFERROR(INDEX(Setup!$G$33:$G$40,MATCH(O2087,Setup!$B$33:$B$40,0)),0)=1)*(COUNTIF(O2058:Q2075,$B2087)+COUNTIF(O2058:Q2075,$B2087&amp;" ~*")&gt;0)+(IFERROR(INDEX(Setup!$G$33:$G$40,MATCH(S2087,Setup!$B$33:$B$40,0)),0)=1)*(COUNTIF(S2058:U2075,$B2087)+COUNTIF(S2058:U2075,$B2087&amp;" ~*")&gt;0)+(IFERROR(INDEX(Setup!$G$33:$G$40,MATCH(W2087,Setup!$B$33:$B$40,0)),0)=1)*(COUNTIF(W2058:W2075,$B2087)+COUNTIF(W2058:W2075,$B2087&amp;" ~*")&gt;0)+(IFERROR(INDEX(Setup!$G$33:$G$40,MATCH(Y2087,Setup!$B$33:$B$40,0)),0)=1)*(COUNTIF(Y2058:Y2075,$B2087)+COUNTIF(Y2058:Y2075,$B2087&amp;" ~*")&gt;0))</f>
        <v/>
      </c>
    </row>
    <row r="2088" ht="15" customHeight="1">
      <c r="A2088" t="n">
        <v>42</v>
      </c>
      <c r="B2088" s="37">
        <f>IF(Setup!$B$17="","",Setup!$B$17)</f>
        <v/>
      </c>
      <c r="C2088" s="102" t="n"/>
      <c r="D2088" s="103" t="n"/>
      <c r="E2088" s="103" t="n"/>
      <c r="F2088" s="104" t="n"/>
      <c r="G2088" s="102" t="n"/>
      <c r="H2088" s="103" t="n"/>
      <c r="I2088" s="103" t="n"/>
      <c r="J2088" s="104" t="n"/>
      <c r="K2088" s="102" t="n"/>
      <c r="L2088" s="103" t="n"/>
      <c r="M2088" s="103" t="n"/>
      <c r="N2088" s="104" t="n"/>
      <c r="O2088" s="102" t="n"/>
      <c r="P2088" s="103" t="n"/>
      <c r="Q2088" s="103" t="n"/>
      <c r="R2088" s="104" t="n"/>
      <c r="S2088" s="102" t="n"/>
      <c r="T2088" s="103" t="n"/>
      <c r="U2088" s="103" t="n"/>
      <c r="V2088" s="104" t="n"/>
      <c r="W2088" s="102" t="n"/>
      <c r="X2088" s="104" t="n"/>
      <c r="Y2088" s="102" t="n"/>
      <c r="Z2088" s="104" t="n"/>
      <c r="AB2088" s="105">
        <f>IF($B2088="","",(COUNTIF(C2058:E2075,$B2088)+COUNTIF(C2058:E2075,$B2088&amp;" ~*")&gt;0)+(COUNTIF(G2058:I2075,$B2088)+COUNTIF(G2058:I2075,$B2088&amp;" ~*")&gt;0)+(COUNTIF(K2058:M2075,$B2088)+COUNTIF(K2058:M2075,$B2088&amp;" ~*")&gt;0)+(COUNTIF(O2058:Q2075,$B2088)+COUNTIF(O2058:Q2075,$B2088&amp;" ~*")&gt;0)+(COUNTIF(S2058:U2075,$B2088)+COUNTIF(S2058:U2075,$B2088&amp;" ~*")&gt;0)+(COUNTIF(W2058:W2075,$B2088)+COUNTIF(W2058:W2075,$B2088&amp;" ~*")&gt;0)+(COUNTIF(Y2058:Y2075,$B2088)+COUNTIF(Y2058:Y2075,$B2088&amp;" ~*")&gt;0))</f>
        <v/>
      </c>
      <c r="AC2088" s="38">
        <f>IF($B2088="","",(IFERROR(INDEX(Setup!$G$33:$G$40,MATCH(C2088,Setup!$B$33:$B$40,0)),0)=1)*(COUNTIF(C2058:E2075,$B2088)+COUNTIF(C2058:E2075,$B2088&amp;" ~*")&gt;0)+(IFERROR(INDEX(Setup!$G$33:$G$40,MATCH(G2088,Setup!$B$33:$B$40,0)),0)=1)*(COUNTIF(G2058:I2075,$B2088)+COUNTIF(G2058:I2075,$B2088&amp;" ~*")&gt;0)+(IFERROR(INDEX(Setup!$G$33:$G$40,MATCH(K2088,Setup!$B$33:$B$40,0)),0)=1)*(COUNTIF(K2058:M2075,$B2088)+COUNTIF(K2058:M2075,$B2088&amp;" ~*")&gt;0)+(IFERROR(INDEX(Setup!$G$33:$G$40,MATCH(O2088,Setup!$B$33:$B$40,0)),0)=1)*(COUNTIF(O2058:Q2075,$B2088)+COUNTIF(O2058:Q2075,$B2088&amp;" ~*")&gt;0)+(IFERROR(INDEX(Setup!$G$33:$G$40,MATCH(S2088,Setup!$B$33:$B$40,0)),0)=1)*(COUNTIF(S2058:U2075,$B2088)+COUNTIF(S2058:U2075,$B2088&amp;" ~*")&gt;0)+(IFERROR(INDEX(Setup!$G$33:$G$40,MATCH(W2088,Setup!$B$33:$B$40,0)),0)=1)*(COUNTIF(W2058:W2075,$B2088)+COUNTIF(W2058:W2075,$B2088&amp;" ~*")&gt;0)+(IFERROR(INDEX(Setup!$G$33:$G$40,MATCH(Y2088,Setup!$B$33:$B$40,0)),0)=1)*(COUNTIF(Y2058:Y2075,$B2088)+COUNTIF(Y2058:Y2075,$B2088&amp;" ~*")&gt;0))</f>
        <v/>
      </c>
    </row>
    <row r="2089" ht="15" customHeight="1">
      <c r="A2089" t="n">
        <v>42</v>
      </c>
      <c r="B2089" s="35">
        <f>IF(Setup!$B$18="","",Setup!$B$18)</f>
        <v/>
      </c>
      <c r="C2089" s="98" t="n"/>
      <c r="D2089" s="99" t="n"/>
      <c r="E2089" s="99" t="n"/>
      <c r="F2089" s="100" t="n"/>
      <c r="G2089" s="98" t="n"/>
      <c r="H2089" s="99" t="n"/>
      <c r="I2089" s="99" t="n"/>
      <c r="J2089" s="100" t="n"/>
      <c r="K2089" s="98" t="n"/>
      <c r="L2089" s="99" t="n"/>
      <c r="M2089" s="99" t="n"/>
      <c r="N2089" s="100" t="n"/>
      <c r="O2089" s="98" t="n"/>
      <c r="P2089" s="99" t="n"/>
      <c r="Q2089" s="99" t="n"/>
      <c r="R2089" s="100" t="n"/>
      <c r="S2089" s="98" t="n"/>
      <c r="T2089" s="99" t="n"/>
      <c r="U2089" s="99" t="n"/>
      <c r="V2089" s="100" t="n"/>
      <c r="W2089" s="98" t="n"/>
      <c r="X2089" s="100" t="n"/>
      <c r="Y2089" s="98" t="n"/>
      <c r="Z2089" s="100" t="n"/>
      <c r="AB2089" s="101">
        <f>IF($B2089="","",(COUNTIF(C2058:E2075,$B2089)+COUNTIF(C2058:E2075,$B2089&amp;" ~*")&gt;0)+(COUNTIF(G2058:I2075,$B2089)+COUNTIF(G2058:I2075,$B2089&amp;" ~*")&gt;0)+(COUNTIF(K2058:M2075,$B2089)+COUNTIF(K2058:M2075,$B2089&amp;" ~*")&gt;0)+(COUNTIF(O2058:Q2075,$B2089)+COUNTIF(O2058:Q2075,$B2089&amp;" ~*")&gt;0)+(COUNTIF(S2058:U2075,$B2089)+COUNTIF(S2058:U2075,$B2089&amp;" ~*")&gt;0)+(COUNTIF(W2058:W2075,$B2089)+COUNTIF(W2058:W2075,$B2089&amp;" ~*")&gt;0)+(COUNTIF(Y2058:Y2075,$B2089)+COUNTIF(Y2058:Y2075,$B2089&amp;" ~*")&gt;0))</f>
        <v/>
      </c>
      <c r="AC2089" s="36">
        <f>IF($B2089="","",(IFERROR(INDEX(Setup!$G$33:$G$40,MATCH(C2089,Setup!$B$33:$B$40,0)),0)=1)*(COUNTIF(C2058:E2075,$B2089)+COUNTIF(C2058:E2075,$B2089&amp;" ~*")&gt;0)+(IFERROR(INDEX(Setup!$G$33:$G$40,MATCH(G2089,Setup!$B$33:$B$40,0)),0)=1)*(COUNTIF(G2058:I2075,$B2089)+COUNTIF(G2058:I2075,$B2089&amp;" ~*")&gt;0)+(IFERROR(INDEX(Setup!$G$33:$G$40,MATCH(K2089,Setup!$B$33:$B$40,0)),0)=1)*(COUNTIF(K2058:M2075,$B2089)+COUNTIF(K2058:M2075,$B2089&amp;" ~*")&gt;0)+(IFERROR(INDEX(Setup!$G$33:$G$40,MATCH(O2089,Setup!$B$33:$B$40,0)),0)=1)*(COUNTIF(O2058:Q2075,$B2089)+COUNTIF(O2058:Q2075,$B2089&amp;" ~*")&gt;0)+(IFERROR(INDEX(Setup!$G$33:$G$40,MATCH(S2089,Setup!$B$33:$B$40,0)),0)=1)*(COUNTIF(S2058:U2075,$B2089)+COUNTIF(S2058:U2075,$B2089&amp;" ~*")&gt;0)+(IFERROR(INDEX(Setup!$G$33:$G$40,MATCH(W2089,Setup!$B$33:$B$40,0)),0)=1)*(COUNTIF(W2058:W2075,$B2089)+COUNTIF(W2058:W2075,$B2089&amp;" ~*")&gt;0)+(IFERROR(INDEX(Setup!$G$33:$G$40,MATCH(Y2089,Setup!$B$33:$B$40,0)),0)=1)*(COUNTIF(Y2058:Y2075,$B2089)+COUNTIF(Y2058:Y2075,$B2089&amp;" ~*")&gt;0))</f>
        <v/>
      </c>
    </row>
    <row r="2090" ht="15" customHeight="1">
      <c r="A2090" t="n">
        <v>42</v>
      </c>
      <c r="B2090" s="37">
        <f>IF(Setup!$B$19="","",Setup!$B$19)</f>
        <v/>
      </c>
      <c r="C2090" s="102" t="n"/>
      <c r="D2090" s="103" t="n"/>
      <c r="E2090" s="103" t="n"/>
      <c r="F2090" s="104" t="n"/>
      <c r="G2090" s="102" t="n"/>
      <c r="H2090" s="103" t="n"/>
      <c r="I2090" s="103" t="n"/>
      <c r="J2090" s="104" t="n"/>
      <c r="K2090" s="102" t="n"/>
      <c r="L2090" s="103" t="n"/>
      <c r="M2090" s="103" t="n"/>
      <c r="N2090" s="104" t="n"/>
      <c r="O2090" s="102" t="n"/>
      <c r="P2090" s="103" t="n"/>
      <c r="Q2090" s="103" t="n"/>
      <c r="R2090" s="104" t="n"/>
      <c r="S2090" s="102" t="n"/>
      <c r="T2090" s="103" t="n"/>
      <c r="U2090" s="103" t="n"/>
      <c r="V2090" s="104" t="n"/>
      <c r="W2090" s="102" t="n"/>
      <c r="X2090" s="104" t="n"/>
      <c r="Y2090" s="102" t="n"/>
      <c r="Z2090" s="104" t="n"/>
      <c r="AB2090" s="105">
        <f>IF($B2090="","",(COUNTIF(C2058:E2075,$B2090)+COUNTIF(C2058:E2075,$B2090&amp;" ~*")&gt;0)+(COUNTIF(G2058:I2075,$B2090)+COUNTIF(G2058:I2075,$B2090&amp;" ~*")&gt;0)+(COUNTIF(K2058:M2075,$B2090)+COUNTIF(K2058:M2075,$B2090&amp;" ~*")&gt;0)+(COUNTIF(O2058:Q2075,$B2090)+COUNTIF(O2058:Q2075,$B2090&amp;" ~*")&gt;0)+(COUNTIF(S2058:U2075,$B2090)+COUNTIF(S2058:U2075,$B2090&amp;" ~*")&gt;0)+(COUNTIF(W2058:W2075,$B2090)+COUNTIF(W2058:W2075,$B2090&amp;" ~*")&gt;0)+(COUNTIF(Y2058:Y2075,$B2090)+COUNTIF(Y2058:Y2075,$B2090&amp;" ~*")&gt;0))</f>
        <v/>
      </c>
      <c r="AC2090" s="38">
        <f>IF($B2090="","",(IFERROR(INDEX(Setup!$G$33:$G$40,MATCH(C2090,Setup!$B$33:$B$40,0)),0)=1)*(COUNTIF(C2058:E2075,$B2090)+COUNTIF(C2058:E2075,$B2090&amp;" ~*")&gt;0)+(IFERROR(INDEX(Setup!$G$33:$G$40,MATCH(G2090,Setup!$B$33:$B$40,0)),0)=1)*(COUNTIF(G2058:I2075,$B2090)+COUNTIF(G2058:I2075,$B2090&amp;" ~*")&gt;0)+(IFERROR(INDEX(Setup!$G$33:$G$40,MATCH(K2090,Setup!$B$33:$B$40,0)),0)=1)*(COUNTIF(K2058:M2075,$B2090)+COUNTIF(K2058:M2075,$B2090&amp;" ~*")&gt;0)+(IFERROR(INDEX(Setup!$G$33:$G$40,MATCH(O2090,Setup!$B$33:$B$40,0)),0)=1)*(COUNTIF(O2058:Q2075,$B2090)+COUNTIF(O2058:Q2075,$B2090&amp;" ~*")&gt;0)+(IFERROR(INDEX(Setup!$G$33:$G$40,MATCH(S2090,Setup!$B$33:$B$40,0)),0)=1)*(COUNTIF(S2058:U2075,$B2090)+COUNTIF(S2058:U2075,$B2090&amp;" ~*")&gt;0)+(IFERROR(INDEX(Setup!$G$33:$G$40,MATCH(W2090,Setup!$B$33:$B$40,0)),0)=1)*(COUNTIF(W2058:W2075,$B2090)+COUNTIF(W2058:W2075,$B2090&amp;" ~*")&gt;0)+(IFERROR(INDEX(Setup!$G$33:$G$40,MATCH(Y2090,Setup!$B$33:$B$40,0)),0)=1)*(COUNTIF(Y2058:Y2075,$B2090)+COUNTIF(Y2058:Y2075,$B2090&amp;" ~*")&gt;0))</f>
        <v/>
      </c>
    </row>
    <row r="2091" ht="15" customHeight="1">
      <c r="A2091" t="n">
        <v>42</v>
      </c>
      <c r="B2091" s="35">
        <f>IF(Setup!$B$20="","",Setup!$B$20)</f>
        <v/>
      </c>
      <c r="C2091" s="98" t="n"/>
      <c r="D2091" s="99" t="n"/>
      <c r="E2091" s="99" t="n"/>
      <c r="F2091" s="100" t="n"/>
      <c r="G2091" s="98" t="n"/>
      <c r="H2091" s="99" t="n"/>
      <c r="I2091" s="99" t="n"/>
      <c r="J2091" s="100" t="n"/>
      <c r="K2091" s="98" t="n"/>
      <c r="L2091" s="99" t="n"/>
      <c r="M2091" s="99" t="n"/>
      <c r="N2091" s="100" t="n"/>
      <c r="O2091" s="98" t="n"/>
      <c r="P2091" s="99" t="n"/>
      <c r="Q2091" s="99" t="n"/>
      <c r="R2091" s="100" t="n"/>
      <c r="S2091" s="98" t="n"/>
      <c r="T2091" s="99" t="n"/>
      <c r="U2091" s="99" t="n"/>
      <c r="V2091" s="100" t="n"/>
      <c r="W2091" s="98" t="n"/>
      <c r="X2091" s="100" t="n"/>
      <c r="Y2091" s="98" t="n"/>
      <c r="Z2091" s="100" t="n"/>
      <c r="AB2091" s="101">
        <f>IF($B2091="","",(COUNTIF(C2058:E2075,$B2091)+COUNTIF(C2058:E2075,$B2091&amp;" ~*")&gt;0)+(COUNTIF(G2058:I2075,$B2091)+COUNTIF(G2058:I2075,$B2091&amp;" ~*")&gt;0)+(COUNTIF(K2058:M2075,$B2091)+COUNTIF(K2058:M2075,$B2091&amp;" ~*")&gt;0)+(COUNTIF(O2058:Q2075,$B2091)+COUNTIF(O2058:Q2075,$B2091&amp;" ~*")&gt;0)+(COUNTIF(S2058:U2075,$B2091)+COUNTIF(S2058:U2075,$B2091&amp;" ~*")&gt;0)+(COUNTIF(W2058:W2075,$B2091)+COUNTIF(W2058:W2075,$B2091&amp;" ~*")&gt;0)+(COUNTIF(Y2058:Y2075,$B2091)+COUNTIF(Y2058:Y2075,$B2091&amp;" ~*")&gt;0))</f>
        <v/>
      </c>
      <c r="AC2091" s="36">
        <f>IF($B2091="","",(IFERROR(INDEX(Setup!$G$33:$G$40,MATCH(C2091,Setup!$B$33:$B$40,0)),0)=1)*(COUNTIF(C2058:E2075,$B2091)+COUNTIF(C2058:E2075,$B2091&amp;" ~*")&gt;0)+(IFERROR(INDEX(Setup!$G$33:$G$40,MATCH(G2091,Setup!$B$33:$B$40,0)),0)=1)*(COUNTIF(G2058:I2075,$B2091)+COUNTIF(G2058:I2075,$B2091&amp;" ~*")&gt;0)+(IFERROR(INDEX(Setup!$G$33:$G$40,MATCH(K2091,Setup!$B$33:$B$40,0)),0)=1)*(COUNTIF(K2058:M2075,$B2091)+COUNTIF(K2058:M2075,$B2091&amp;" ~*")&gt;0)+(IFERROR(INDEX(Setup!$G$33:$G$40,MATCH(O2091,Setup!$B$33:$B$40,0)),0)=1)*(COUNTIF(O2058:Q2075,$B2091)+COUNTIF(O2058:Q2075,$B2091&amp;" ~*")&gt;0)+(IFERROR(INDEX(Setup!$G$33:$G$40,MATCH(S2091,Setup!$B$33:$B$40,0)),0)=1)*(COUNTIF(S2058:U2075,$B2091)+COUNTIF(S2058:U2075,$B2091&amp;" ~*")&gt;0)+(IFERROR(INDEX(Setup!$G$33:$G$40,MATCH(W2091,Setup!$B$33:$B$40,0)),0)=1)*(COUNTIF(W2058:W2075,$B2091)+COUNTIF(W2058:W2075,$B2091&amp;" ~*")&gt;0)+(IFERROR(INDEX(Setup!$G$33:$G$40,MATCH(Y2091,Setup!$B$33:$B$40,0)),0)=1)*(COUNTIF(Y2058:Y2075,$B2091)+COUNTIF(Y2058:Y2075,$B2091&amp;" ~*")&gt;0))</f>
        <v/>
      </c>
    </row>
    <row r="2092" ht="15" customHeight="1">
      <c r="A2092" t="n">
        <v>42</v>
      </c>
      <c r="B2092" s="37">
        <f>IF(Setup!$B$21="","",Setup!$B$21)</f>
        <v/>
      </c>
      <c r="C2092" s="102" t="n"/>
      <c r="D2092" s="103" t="n"/>
      <c r="E2092" s="103" t="n"/>
      <c r="F2092" s="104" t="n"/>
      <c r="G2092" s="102" t="n"/>
      <c r="H2092" s="103" t="n"/>
      <c r="I2092" s="103" t="n"/>
      <c r="J2092" s="104" t="n"/>
      <c r="K2092" s="102" t="n"/>
      <c r="L2092" s="103" t="n"/>
      <c r="M2092" s="103" t="n"/>
      <c r="N2092" s="104" t="n"/>
      <c r="O2092" s="102" t="n"/>
      <c r="P2092" s="103" t="n"/>
      <c r="Q2092" s="103" t="n"/>
      <c r="R2092" s="104" t="n"/>
      <c r="S2092" s="102" t="n"/>
      <c r="T2092" s="103" t="n"/>
      <c r="U2092" s="103" t="n"/>
      <c r="V2092" s="104" t="n"/>
      <c r="W2092" s="102" t="n"/>
      <c r="X2092" s="104" t="n"/>
      <c r="Y2092" s="102" t="n"/>
      <c r="Z2092" s="104" t="n"/>
      <c r="AB2092" s="105">
        <f>IF($B2092="","",(COUNTIF(C2058:E2075,$B2092)+COUNTIF(C2058:E2075,$B2092&amp;" ~*")&gt;0)+(COUNTIF(G2058:I2075,$B2092)+COUNTIF(G2058:I2075,$B2092&amp;" ~*")&gt;0)+(COUNTIF(K2058:M2075,$B2092)+COUNTIF(K2058:M2075,$B2092&amp;" ~*")&gt;0)+(COUNTIF(O2058:Q2075,$B2092)+COUNTIF(O2058:Q2075,$B2092&amp;" ~*")&gt;0)+(COUNTIF(S2058:U2075,$B2092)+COUNTIF(S2058:U2075,$B2092&amp;" ~*")&gt;0)+(COUNTIF(W2058:W2075,$B2092)+COUNTIF(W2058:W2075,$B2092&amp;" ~*")&gt;0)+(COUNTIF(Y2058:Y2075,$B2092)+COUNTIF(Y2058:Y2075,$B2092&amp;" ~*")&gt;0))</f>
        <v/>
      </c>
      <c r="AC2092" s="38">
        <f>IF($B2092="","",(IFERROR(INDEX(Setup!$G$33:$G$40,MATCH(C2092,Setup!$B$33:$B$40,0)),0)=1)*(COUNTIF(C2058:E2075,$B2092)+COUNTIF(C2058:E2075,$B2092&amp;" ~*")&gt;0)+(IFERROR(INDEX(Setup!$G$33:$G$40,MATCH(G2092,Setup!$B$33:$B$40,0)),0)=1)*(COUNTIF(G2058:I2075,$B2092)+COUNTIF(G2058:I2075,$B2092&amp;" ~*")&gt;0)+(IFERROR(INDEX(Setup!$G$33:$G$40,MATCH(K2092,Setup!$B$33:$B$40,0)),0)=1)*(COUNTIF(K2058:M2075,$B2092)+COUNTIF(K2058:M2075,$B2092&amp;" ~*")&gt;0)+(IFERROR(INDEX(Setup!$G$33:$G$40,MATCH(O2092,Setup!$B$33:$B$40,0)),0)=1)*(COUNTIF(O2058:Q2075,$B2092)+COUNTIF(O2058:Q2075,$B2092&amp;" ~*")&gt;0)+(IFERROR(INDEX(Setup!$G$33:$G$40,MATCH(S2092,Setup!$B$33:$B$40,0)),0)=1)*(COUNTIF(S2058:U2075,$B2092)+COUNTIF(S2058:U2075,$B2092&amp;" ~*")&gt;0)+(IFERROR(INDEX(Setup!$G$33:$G$40,MATCH(W2092,Setup!$B$33:$B$40,0)),0)=1)*(COUNTIF(W2058:W2075,$B2092)+COUNTIF(W2058:W2075,$B2092&amp;" ~*")&gt;0)+(IFERROR(INDEX(Setup!$G$33:$G$40,MATCH(Y2092,Setup!$B$33:$B$40,0)),0)=1)*(COUNTIF(Y2058:Y2075,$B2092)+COUNTIF(Y2058:Y2075,$B2092&amp;" ~*")&gt;0))</f>
        <v/>
      </c>
    </row>
    <row r="2093" ht="15" customHeight="1">
      <c r="A2093" t="n">
        <v>42</v>
      </c>
      <c r="B2093" s="35">
        <f>IF(Setup!$B$22="","",Setup!$B$22)</f>
        <v/>
      </c>
      <c r="C2093" s="98" t="n"/>
      <c r="D2093" s="99" t="n"/>
      <c r="E2093" s="99" t="n"/>
      <c r="F2093" s="100" t="n"/>
      <c r="G2093" s="98" t="n"/>
      <c r="H2093" s="99" t="n"/>
      <c r="I2093" s="99" t="n"/>
      <c r="J2093" s="100" t="n"/>
      <c r="K2093" s="98" t="n"/>
      <c r="L2093" s="99" t="n"/>
      <c r="M2093" s="99" t="n"/>
      <c r="N2093" s="100" t="n"/>
      <c r="O2093" s="98" t="n"/>
      <c r="P2093" s="99" t="n"/>
      <c r="Q2093" s="99" t="n"/>
      <c r="R2093" s="100" t="n"/>
      <c r="S2093" s="98" t="n"/>
      <c r="T2093" s="99" t="n"/>
      <c r="U2093" s="99" t="n"/>
      <c r="V2093" s="100" t="n"/>
      <c r="W2093" s="98" t="n"/>
      <c r="X2093" s="100" t="n"/>
      <c r="Y2093" s="98" t="n"/>
      <c r="Z2093" s="100" t="n"/>
      <c r="AB2093" s="101">
        <f>IF($B2093="","",(COUNTIF(C2058:E2075,$B2093)+COUNTIF(C2058:E2075,$B2093&amp;" ~*")&gt;0)+(COUNTIF(G2058:I2075,$B2093)+COUNTIF(G2058:I2075,$B2093&amp;" ~*")&gt;0)+(COUNTIF(K2058:M2075,$B2093)+COUNTIF(K2058:M2075,$B2093&amp;" ~*")&gt;0)+(COUNTIF(O2058:Q2075,$B2093)+COUNTIF(O2058:Q2075,$B2093&amp;" ~*")&gt;0)+(COUNTIF(S2058:U2075,$B2093)+COUNTIF(S2058:U2075,$B2093&amp;" ~*")&gt;0)+(COUNTIF(W2058:W2075,$B2093)+COUNTIF(W2058:W2075,$B2093&amp;" ~*")&gt;0)+(COUNTIF(Y2058:Y2075,$B2093)+COUNTIF(Y2058:Y2075,$B2093&amp;" ~*")&gt;0))</f>
        <v/>
      </c>
      <c r="AC2093" s="36">
        <f>IF($B2093="","",(IFERROR(INDEX(Setup!$G$33:$G$40,MATCH(C2093,Setup!$B$33:$B$40,0)),0)=1)*(COUNTIF(C2058:E2075,$B2093)+COUNTIF(C2058:E2075,$B2093&amp;" ~*")&gt;0)+(IFERROR(INDEX(Setup!$G$33:$G$40,MATCH(G2093,Setup!$B$33:$B$40,0)),0)=1)*(COUNTIF(G2058:I2075,$B2093)+COUNTIF(G2058:I2075,$B2093&amp;" ~*")&gt;0)+(IFERROR(INDEX(Setup!$G$33:$G$40,MATCH(K2093,Setup!$B$33:$B$40,0)),0)=1)*(COUNTIF(K2058:M2075,$B2093)+COUNTIF(K2058:M2075,$B2093&amp;" ~*")&gt;0)+(IFERROR(INDEX(Setup!$G$33:$G$40,MATCH(O2093,Setup!$B$33:$B$40,0)),0)=1)*(COUNTIF(O2058:Q2075,$B2093)+COUNTIF(O2058:Q2075,$B2093&amp;" ~*")&gt;0)+(IFERROR(INDEX(Setup!$G$33:$G$40,MATCH(S2093,Setup!$B$33:$B$40,0)),0)=1)*(COUNTIF(S2058:U2075,$B2093)+COUNTIF(S2058:U2075,$B2093&amp;" ~*")&gt;0)+(IFERROR(INDEX(Setup!$G$33:$G$40,MATCH(W2093,Setup!$B$33:$B$40,0)),0)=1)*(COUNTIF(W2058:W2075,$B2093)+COUNTIF(W2058:W2075,$B2093&amp;" ~*")&gt;0)+(IFERROR(INDEX(Setup!$G$33:$G$40,MATCH(Y2093,Setup!$B$33:$B$40,0)),0)=1)*(COUNTIF(Y2058:Y2075,$B2093)+COUNTIF(Y2058:Y2075,$B2093&amp;" ~*")&gt;0))</f>
        <v/>
      </c>
    </row>
    <row r="2094" ht="15" customHeight="1">
      <c r="A2094" t="n">
        <v>42</v>
      </c>
      <c r="B2094" s="37">
        <f>IF(Setup!$B$23="","",Setup!$B$23)</f>
        <v/>
      </c>
      <c r="C2094" s="102" t="n"/>
      <c r="D2094" s="103" t="n"/>
      <c r="E2094" s="103" t="n"/>
      <c r="F2094" s="104" t="n"/>
      <c r="G2094" s="102" t="n"/>
      <c r="H2094" s="103" t="n"/>
      <c r="I2094" s="103" t="n"/>
      <c r="J2094" s="104" t="n"/>
      <c r="K2094" s="102" t="n"/>
      <c r="L2094" s="103" t="n"/>
      <c r="M2094" s="103" t="n"/>
      <c r="N2094" s="104" t="n"/>
      <c r="O2094" s="102" t="n"/>
      <c r="P2094" s="103" t="n"/>
      <c r="Q2094" s="103" t="n"/>
      <c r="R2094" s="104" t="n"/>
      <c r="S2094" s="102" t="n"/>
      <c r="T2094" s="103" t="n"/>
      <c r="U2094" s="103" t="n"/>
      <c r="V2094" s="104" t="n"/>
      <c r="W2094" s="102" t="n"/>
      <c r="X2094" s="104" t="n"/>
      <c r="Y2094" s="102" t="n"/>
      <c r="Z2094" s="104" t="n"/>
      <c r="AB2094" s="105">
        <f>IF($B2094="","",(COUNTIF(C2058:E2075,$B2094)+COUNTIF(C2058:E2075,$B2094&amp;" ~*")&gt;0)+(COUNTIF(G2058:I2075,$B2094)+COUNTIF(G2058:I2075,$B2094&amp;" ~*")&gt;0)+(COUNTIF(K2058:M2075,$B2094)+COUNTIF(K2058:M2075,$B2094&amp;" ~*")&gt;0)+(COUNTIF(O2058:Q2075,$B2094)+COUNTIF(O2058:Q2075,$B2094&amp;" ~*")&gt;0)+(COUNTIF(S2058:U2075,$B2094)+COUNTIF(S2058:U2075,$B2094&amp;" ~*")&gt;0)+(COUNTIF(W2058:W2075,$B2094)+COUNTIF(W2058:W2075,$B2094&amp;" ~*")&gt;0)+(COUNTIF(Y2058:Y2075,$B2094)+COUNTIF(Y2058:Y2075,$B2094&amp;" ~*")&gt;0))</f>
        <v/>
      </c>
      <c r="AC2094" s="38">
        <f>IF($B2094="","",(IFERROR(INDEX(Setup!$G$33:$G$40,MATCH(C2094,Setup!$B$33:$B$40,0)),0)=1)*(COUNTIF(C2058:E2075,$B2094)+COUNTIF(C2058:E2075,$B2094&amp;" ~*")&gt;0)+(IFERROR(INDEX(Setup!$G$33:$G$40,MATCH(G2094,Setup!$B$33:$B$40,0)),0)=1)*(COUNTIF(G2058:I2075,$B2094)+COUNTIF(G2058:I2075,$B2094&amp;" ~*")&gt;0)+(IFERROR(INDEX(Setup!$G$33:$G$40,MATCH(K2094,Setup!$B$33:$B$40,0)),0)=1)*(COUNTIF(K2058:M2075,$B2094)+COUNTIF(K2058:M2075,$B2094&amp;" ~*")&gt;0)+(IFERROR(INDEX(Setup!$G$33:$G$40,MATCH(O2094,Setup!$B$33:$B$40,0)),0)=1)*(COUNTIF(O2058:Q2075,$B2094)+COUNTIF(O2058:Q2075,$B2094&amp;" ~*")&gt;0)+(IFERROR(INDEX(Setup!$G$33:$G$40,MATCH(S2094,Setup!$B$33:$B$40,0)),0)=1)*(COUNTIF(S2058:U2075,$B2094)+COUNTIF(S2058:U2075,$B2094&amp;" ~*")&gt;0)+(IFERROR(INDEX(Setup!$G$33:$G$40,MATCH(W2094,Setup!$B$33:$B$40,0)),0)=1)*(COUNTIF(W2058:W2075,$B2094)+COUNTIF(W2058:W2075,$B2094&amp;" ~*")&gt;0)+(IFERROR(INDEX(Setup!$G$33:$G$40,MATCH(Y2094,Setup!$B$33:$B$40,0)),0)=1)*(COUNTIF(Y2058:Y2075,$B2094)+COUNTIF(Y2058:Y2075,$B2094&amp;" ~*")&gt;0))</f>
        <v/>
      </c>
    </row>
    <row r="2095" ht="15" customHeight="1">
      <c r="A2095" t="n">
        <v>42</v>
      </c>
      <c r="B2095" s="35">
        <f>IF(Setup!$B$24="","",Setup!$B$24)</f>
        <v/>
      </c>
      <c r="C2095" s="98" t="n"/>
      <c r="D2095" s="99" t="n"/>
      <c r="E2095" s="99" t="n"/>
      <c r="F2095" s="100" t="n"/>
      <c r="G2095" s="98" t="n"/>
      <c r="H2095" s="99" t="n"/>
      <c r="I2095" s="99" t="n"/>
      <c r="J2095" s="100" t="n"/>
      <c r="K2095" s="98" t="n"/>
      <c r="L2095" s="99" t="n"/>
      <c r="M2095" s="99" t="n"/>
      <c r="N2095" s="100" t="n"/>
      <c r="O2095" s="98" t="n"/>
      <c r="P2095" s="99" t="n"/>
      <c r="Q2095" s="99" t="n"/>
      <c r="R2095" s="100" t="n"/>
      <c r="S2095" s="98" t="n"/>
      <c r="T2095" s="99" t="n"/>
      <c r="U2095" s="99" t="n"/>
      <c r="V2095" s="100" t="n"/>
      <c r="W2095" s="98" t="n"/>
      <c r="X2095" s="100" t="n"/>
      <c r="Y2095" s="98" t="n"/>
      <c r="Z2095" s="100" t="n"/>
      <c r="AB2095" s="101">
        <f>IF($B2095="","",(COUNTIF(C2058:E2075,$B2095)+COUNTIF(C2058:E2075,$B2095&amp;" ~*")&gt;0)+(COUNTIF(G2058:I2075,$B2095)+COUNTIF(G2058:I2075,$B2095&amp;" ~*")&gt;0)+(COUNTIF(K2058:M2075,$B2095)+COUNTIF(K2058:M2075,$B2095&amp;" ~*")&gt;0)+(COUNTIF(O2058:Q2075,$B2095)+COUNTIF(O2058:Q2075,$B2095&amp;" ~*")&gt;0)+(COUNTIF(S2058:U2075,$B2095)+COUNTIF(S2058:U2075,$B2095&amp;" ~*")&gt;0)+(COUNTIF(W2058:W2075,$B2095)+COUNTIF(W2058:W2075,$B2095&amp;" ~*")&gt;0)+(COUNTIF(Y2058:Y2075,$B2095)+COUNTIF(Y2058:Y2075,$B2095&amp;" ~*")&gt;0))</f>
        <v/>
      </c>
      <c r="AC2095" s="36">
        <f>IF($B2095="","",(IFERROR(INDEX(Setup!$G$33:$G$40,MATCH(C2095,Setup!$B$33:$B$40,0)),0)=1)*(COUNTIF(C2058:E2075,$B2095)+COUNTIF(C2058:E2075,$B2095&amp;" ~*")&gt;0)+(IFERROR(INDEX(Setup!$G$33:$G$40,MATCH(G2095,Setup!$B$33:$B$40,0)),0)=1)*(COUNTIF(G2058:I2075,$B2095)+COUNTIF(G2058:I2075,$B2095&amp;" ~*")&gt;0)+(IFERROR(INDEX(Setup!$G$33:$G$40,MATCH(K2095,Setup!$B$33:$B$40,0)),0)=1)*(COUNTIF(K2058:M2075,$B2095)+COUNTIF(K2058:M2075,$B2095&amp;" ~*")&gt;0)+(IFERROR(INDEX(Setup!$G$33:$G$40,MATCH(O2095,Setup!$B$33:$B$40,0)),0)=1)*(COUNTIF(O2058:Q2075,$B2095)+COUNTIF(O2058:Q2075,$B2095&amp;" ~*")&gt;0)+(IFERROR(INDEX(Setup!$G$33:$G$40,MATCH(S2095,Setup!$B$33:$B$40,0)),0)=1)*(COUNTIF(S2058:U2075,$B2095)+COUNTIF(S2058:U2075,$B2095&amp;" ~*")&gt;0)+(IFERROR(INDEX(Setup!$G$33:$G$40,MATCH(W2095,Setup!$B$33:$B$40,0)),0)=1)*(COUNTIF(W2058:W2075,$B2095)+COUNTIF(W2058:W2075,$B2095&amp;" ~*")&gt;0)+(IFERROR(INDEX(Setup!$G$33:$G$40,MATCH(Y2095,Setup!$B$33:$B$40,0)),0)=1)*(COUNTIF(Y2058:Y2075,$B2095)+COUNTIF(Y2058:Y2075,$B2095&amp;" ~*")&gt;0))</f>
        <v/>
      </c>
    </row>
    <row r="2096" ht="15" customHeight="1">
      <c r="A2096" t="n">
        <v>42</v>
      </c>
      <c r="B2096" s="37">
        <f>IF(Setup!$B$25="","",Setup!$B$25)</f>
        <v/>
      </c>
      <c r="C2096" s="102" t="n"/>
      <c r="D2096" s="103" t="n"/>
      <c r="E2096" s="103" t="n"/>
      <c r="F2096" s="104" t="n"/>
      <c r="G2096" s="102" t="n"/>
      <c r="H2096" s="103" t="n"/>
      <c r="I2096" s="103" t="n"/>
      <c r="J2096" s="104" t="n"/>
      <c r="K2096" s="102" t="n"/>
      <c r="L2096" s="103" t="n"/>
      <c r="M2096" s="103" t="n"/>
      <c r="N2096" s="104" t="n"/>
      <c r="O2096" s="102" t="n"/>
      <c r="P2096" s="103" t="n"/>
      <c r="Q2096" s="103" t="n"/>
      <c r="R2096" s="104" t="n"/>
      <c r="S2096" s="102" t="n"/>
      <c r="T2096" s="103" t="n"/>
      <c r="U2096" s="103" t="n"/>
      <c r="V2096" s="104" t="n"/>
      <c r="W2096" s="102" t="n"/>
      <c r="X2096" s="104" t="n"/>
      <c r="Y2096" s="102" t="n"/>
      <c r="Z2096" s="104" t="n"/>
      <c r="AB2096" s="105">
        <f>IF($B2096="","",(COUNTIF(C2058:E2075,$B2096)+COUNTIF(C2058:E2075,$B2096&amp;" ~*")&gt;0)+(COUNTIF(G2058:I2075,$B2096)+COUNTIF(G2058:I2075,$B2096&amp;" ~*")&gt;0)+(COUNTIF(K2058:M2075,$B2096)+COUNTIF(K2058:M2075,$B2096&amp;" ~*")&gt;0)+(COUNTIF(O2058:Q2075,$B2096)+COUNTIF(O2058:Q2075,$B2096&amp;" ~*")&gt;0)+(COUNTIF(S2058:U2075,$B2096)+COUNTIF(S2058:U2075,$B2096&amp;" ~*")&gt;0)+(COUNTIF(W2058:W2075,$B2096)+COUNTIF(W2058:W2075,$B2096&amp;" ~*")&gt;0)+(COUNTIF(Y2058:Y2075,$B2096)+COUNTIF(Y2058:Y2075,$B2096&amp;" ~*")&gt;0))</f>
        <v/>
      </c>
      <c r="AC2096" s="38">
        <f>IF($B2096="","",(IFERROR(INDEX(Setup!$G$33:$G$40,MATCH(C2096,Setup!$B$33:$B$40,0)),0)=1)*(COUNTIF(C2058:E2075,$B2096)+COUNTIF(C2058:E2075,$B2096&amp;" ~*")&gt;0)+(IFERROR(INDEX(Setup!$G$33:$G$40,MATCH(G2096,Setup!$B$33:$B$40,0)),0)=1)*(COUNTIF(G2058:I2075,$B2096)+COUNTIF(G2058:I2075,$B2096&amp;" ~*")&gt;0)+(IFERROR(INDEX(Setup!$G$33:$G$40,MATCH(K2096,Setup!$B$33:$B$40,0)),0)=1)*(COUNTIF(K2058:M2075,$B2096)+COUNTIF(K2058:M2075,$B2096&amp;" ~*")&gt;0)+(IFERROR(INDEX(Setup!$G$33:$G$40,MATCH(O2096,Setup!$B$33:$B$40,0)),0)=1)*(COUNTIF(O2058:Q2075,$B2096)+COUNTIF(O2058:Q2075,$B2096&amp;" ~*")&gt;0)+(IFERROR(INDEX(Setup!$G$33:$G$40,MATCH(S2096,Setup!$B$33:$B$40,0)),0)=1)*(COUNTIF(S2058:U2075,$B2096)+COUNTIF(S2058:U2075,$B2096&amp;" ~*")&gt;0)+(IFERROR(INDEX(Setup!$G$33:$G$40,MATCH(W2096,Setup!$B$33:$B$40,0)),0)=1)*(COUNTIF(W2058:W2075,$B2096)+COUNTIF(W2058:W2075,$B2096&amp;" ~*")&gt;0)+(IFERROR(INDEX(Setup!$G$33:$G$40,MATCH(Y2096,Setup!$B$33:$B$40,0)),0)=1)*(COUNTIF(Y2058:Y2075,$B2096)+COUNTIF(Y2058:Y2075,$B2096&amp;" ~*")&gt;0))</f>
        <v/>
      </c>
    </row>
    <row r="2097" ht="15" customHeight="1">
      <c r="A2097" t="n">
        <v>42</v>
      </c>
      <c r="B2097" s="35">
        <f>IF(Setup!$B$26="","",Setup!$B$26)</f>
        <v/>
      </c>
      <c r="C2097" s="98" t="n"/>
      <c r="D2097" s="99" t="n"/>
      <c r="E2097" s="99" t="n"/>
      <c r="F2097" s="100" t="n"/>
      <c r="G2097" s="98" t="n"/>
      <c r="H2097" s="99" t="n"/>
      <c r="I2097" s="99" t="n"/>
      <c r="J2097" s="100" t="n"/>
      <c r="K2097" s="98" t="n"/>
      <c r="L2097" s="99" t="n"/>
      <c r="M2097" s="99" t="n"/>
      <c r="N2097" s="100" t="n"/>
      <c r="O2097" s="98" t="n"/>
      <c r="P2097" s="99" t="n"/>
      <c r="Q2097" s="99" t="n"/>
      <c r="R2097" s="100" t="n"/>
      <c r="S2097" s="98" t="n"/>
      <c r="T2097" s="99" t="n"/>
      <c r="U2097" s="99" t="n"/>
      <c r="V2097" s="100" t="n"/>
      <c r="W2097" s="98" t="n"/>
      <c r="X2097" s="100" t="n"/>
      <c r="Y2097" s="98" t="n"/>
      <c r="Z2097" s="100" t="n"/>
      <c r="AB2097" s="101">
        <f>IF($B2097="","",(COUNTIF(C2058:E2075,$B2097)+COUNTIF(C2058:E2075,$B2097&amp;" ~*")&gt;0)+(COUNTIF(G2058:I2075,$B2097)+COUNTIF(G2058:I2075,$B2097&amp;" ~*")&gt;0)+(COUNTIF(K2058:M2075,$B2097)+COUNTIF(K2058:M2075,$B2097&amp;" ~*")&gt;0)+(COUNTIF(O2058:Q2075,$B2097)+COUNTIF(O2058:Q2075,$B2097&amp;" ~*")&gt;0)+(COUNTIF(S2058:U2075,$B2097)+COUNTIF(S2058:U2075,$B2097&amp;" ~*")&gt;0)+(COUNTIF(W2058:W2075,$B2097)+COUNTIF(W2058:W2075,$B2097&amp;" ~*")&gt;0)+(COUNTIF(Y2058:Y2075,$B2097)+COUNTIF(Y2058:Y2075,$B2097&amp;" ~*")&gt;0))</f>
        <v/>
      </c>
      <c r="AC2097" s="36">
        <f>IF($B2097="","",(IFERROR(INDEX(Setup!$G$33:$G$40,MATCH(C2097,Setup!$B$33:$B$40,0)),0)=1)*(COUNTIF(C2058:E2075,$B2097)+COUNTIF(C2058:E2075,$B2097&amp;" ~*")&gt;0)+(IFERROR(INDEX(Setup!$G$33:$G$40,MATCH(G2097,Setup!$B$33:$B$40,0)),0)=1)*(COUNTIF(G2058:I2075,$B2097)+COUNTIF(G2058:I2075,$B2097&amp;" ~*")&gt;0)+(IFERROR(INDEX(Setup!$G$33:$G$40,MATCH(K2097,Setup!$B$33:$B$40,0)),0)=1)*(COUNTIF(K2058:M2075,$B2097)+COUNTIF(K2058:M2075,$B2097&amp;" ~*")&gt;0)+(IFERROR(INDEX(Setup!$G$33:$G$40,MATCH(O2097,Setup!$B$33:$B$40,0)),0)=1)*(COUNTIF(O2058:Q2075,$B2097)+COUNTIF(O2058:Q2075,$B2097&amp;" ~*")&gt;0)+(IFERROR(INDEX(Setup!$G$33:$G$40,MATCH(S2097,Setup!$B$33:$B$40,0)),0)=1)*(COUNTIF(S2058:U2075,$B2097)+COUNTIF(S2058:U2075,$B2097&amp;" ~*")&gt;0)+(IFERROR(INDEX(Setup!$G$33:$G$40,MATCH(W2097,Setup!$B$33:$B$40,0)),0)=1)*(COUNTIF(W2058:W2075,$B2097)+COUNTIF(W2058:W2075,$B2097&amp;" ~*")&gt;0)+(IFERROR(INDEX(Setup!$G$33:$G$40,MATCH(Y2097,Setup!$B$33:$B$40,0)),0)=1)*(COUNTIF(Y2058:Y2075,$B2097)+COUNTIF(Y2058:Y2075,$B2097&amp;" ~*")&gt;0))</f>
        <v/>
      </c>
    </row>
    <row r="2098" ht="15" customHeight="1">
      <c r="A2098" t="n">
        <v>42</v>
      </c>
      <c r="B2098" s="37">
        <f>IF(Setup!$B$27="","",Setup!$B$27)</f>
        <v/>
      </c>
      <c r="C2098" s="102" t="n"/>
      <c r="D2098" s="103" t="n"/>
      <c r="E2098" s="103" t="n"/>
      <c r="F2098" s="104" t="n"/>
      <c r="G2098" s="102" t="n"/>
      <c r="H2098" s="103" t="n"/>
      <c r="I2098" s="103" t="n"/>
      <c r="J2098" s="104" t="n"/>
      <c r="K2098" s="102" t="n"/>
      <c r="L2098" s="103" t="n"/>
      <c r="M2098" s="103" t="n"/>
      <c r="N2098" s="104" t="n"/>
      <c r="O2098" s="102" t="n"/>
      <c r="P2098" s="103" t="n"/>
      <c r="Q2098" s="103" t="n"/>
      <c r="R2098" s="104" t="n"/>
      <c r="S2098" s="102" t="n"/>
      <c r="T2098" s="103" t="n"/>
      <c r="U2098" s="103" t="n"/>
      <c r="V2098" s="104" t="n"/>
      <c r="W2098" s="102" t="n"/>
      <c r="X2098" s="104" t="n"/>
      <c r="Y2098" s="102" t="n"/>
      <c r="Z2098" s="104" t="n"/>
      <c r="AB2098" s="105">
        <f>IF($B2098="","",(COUNTIF(C2058:E2075,$B2098)+COUNTIF(C2058:E2075,$B2098&amp;" ~*")&gt;0)+(COUNTIF(G2058:I2075,$B2098)+COUNTIF(G2058:I2075,$B2098&amp;" ~*")&gt;0)+(COUNTIF(K2058:M2075,$B2098)+COUNTIF(K2058:M2075,$B2098&amp;" ~*")&gt;0)+(COUNTIF(O2058:Q2075,$B2098)+COUNTIF(O2058:Q2075,$B2098&amp;" ~*")&gt;0)+(COUNTIF(S2058:U2075,$B2098)+COUNTIF(S2058:U2075,$B2098&amp;" ~*")&gt;0)+(COUNTIF(W2058:W2075,$B2098)+COUNTIF(W2058:W2075,$B2098&amp;" ~*")&gt;0)+(COUNTIF(Y2058:Y2075,$B2098)+COUNTIF(Y2058:Y2075,$B2098&amp;" ~*")&gt;0))</f>
        <v/>
      </c>
      <c r="AC2098" s="38">
        <f>IF($B2098="","",(IFERROR(INDEX(Setup!$G$33:$G$40,MATCH(C2098,Setup!$B$33:$B$40,0)),0)=1)*(COUNTIF(C2058:E2075,$B2098)+COUNTIF(C2058:E2075,$B2098&amp;" ~*")&gt;0)+(IFERROR(INDEX(Setup!$G$33:$G$40,MATCH(G2098,Setup!$B$33:$B$40,0)),0)=1)*(COUNTIF(G2058:I2075,$B2098)+COUNTIF(G2058:I2075,$B2098&amp;" ~*")&gt;0)+(IFERROR(INDEX(Setup!$G$33:$G$40,MATCH(K2098,Setup!$B$33:$B$40,0)),0)=1)*(COUNTIF(K2058:M2075,$B2098)+COUNTIF(K2058:M2075,$B2098&amp;" ~*")&gt;0)+(IFERROR(INDEX(Setup!$G$33:$G$40,MATCH(O2098,Setup!$B$33:$B$40,0)),0)=1)*(COUNTIF(O2058:Q2075,$B2098)+COUNTIF(O2058:Q2075,$B2098&amp;" ~*")&gt;0)+(IFERROR(INDEX(Setup!$G$33:$G$40,MATCH(S2098,Setup!$B$33:$B$40,0)),0)=1)*(COUNTIF(S2058:U2075,$B2098)+COUNTIF(S2058:U2075,$B2098&amp;" ~*")&gt;0)+(IFERROR(INDEX(Setup!$G$33:$G$40,MATCH(W2098,Setup!$B$33:$B$40,0)),0)=1)*(COUNTIF(W2058:W2075,$B2098)+COUNTIF(W2058:W2075,$B2098&amp;" ~*")&gt;0)+(IFERROR(INDEX(Setup!$G$33:$G$40,MATCH(Y2098,Setup!$B$33:$B$40,0)),0)=1)*(COUNTIF(Y2058:Y2075,$B2098)+COUNTIF(Y2058:Y2075,$B2098&amp;" ~*")&gt;0))</f>
        <v/>
      </c>
    </row>
    <row r="2099" ht="15" customHeight="1">
      <c r="A2099" t="n">
        <v>42</v>
      </c>
      <c r="B2099" s="35">
        <f>IF(Setup!$B$28="","",Setup!$B$28)</f>
        <v/>
      </c>
      <c r="C2099" s="98" t="n"/>
      <c r="D2099" s="99" t="n"/>
      <c r="E2099" s="99" t="n"/>
      <c r="F2099" s="100" t="n"/>
      <c r="G2099" s="98" t="n"/>
      <c r="H2099" s="99" t="n"/>
      <c r="I2099" s="99" t="n"/>
      <c r="J2099" s="100" t="n"/>
      <c r="K2099" s="98" t="n"/>
      <c r="L2099" s="99" t="n"/>
      <c r="M2099" s="99" t="n"/>
      <c r="N2099" s="100" t="n"/>
      <c r="O2099" s="98" t="n"/>
      <c r="P2099" s="99" t="n"/>
      <c r="Q2099" s="99" t="n"/>
      <c r="R2099" s="100" t="n"/>
      <c r="S2099" s="98" t="n"/>
      <c r="T2099" s="99" t="n"/>
      <c r="U2099" s="99" t="n"/>
      <c r="V2099" s="100" t="n"/>
      <c r="W2099" s="98" t="n"/>
      <c r="X2099" s="100" t="n"/>
      <c r="Y2099" s="98" t="n"/>
      <c r="Z2099" s="100" t="n"/>
      <c r="AB2099" s="101">
        <f>IF($B2099="","",(COUNTIF(C2058:E2075,$B2099)+COUNTIF(C2058:E2075,$B2099&amp;" ~*")&gt;0)+(COUNTIF(G2058:I2075,$B2099)+COUNTIF(G2058:I2075,$B2099&amp;" ~*")&gt;0)+(COUNTIF(K2058:M2075,$B2099)+COUNTIF(K2058:M2075,$B2099&amp;" ~*")&gt;0)+(COUNTIF(O2058:Q2075,$B2099)+COUNTIF(O2058:Q2075,$B2099&amp;" ~*")&gt;0)+(COUNTIF(S2058:U2075,$B2099)+COUNTIF(S2058:U2075,$B2099&amp;" ~*")&gt;0)+(COUNTIF(W2058:W2075,$B2099)+COUNTIF(W2058:W2075,$B2099&amp;" ~*")&gt;0)+(COUNTIF(Y2058:Y2075,$B2099)+COUNTIF(Y2058:Y2075,$B2099&amp;" ~*")&gt;0))</f>
        <v/>
      </c>
      <c r="AC2099" s="36">
        <f>IF($B2099="","",(IFERROR(INDEX(Setup!$G$33:$G$40,MATCH(C2099,Setup!$B$33:$B$40,0)),0)=1)*(COUNTIF(C2058:E2075,$B2099)+COUNTIF(C2058:E2075,$B2099&amp;" ~*")&gt;0)+(IFERROR(INDEX(Setup!$G$33:$G$40,MATCH(G2099,Setup!$B$33:$B$40,0)),0)=1)*(COUNTIF(G2058:I2075,$B2099)+COUNTIF(G2058:I2075,$B2099&amp;" ~*")&gt;0)+(IFERROR(INDEX(Setup!$G$33:$G$40,MATCH(K2099,Setup!$B$33:$B$40,0)),0)=1)*(COUNTIF(K2058:M2075,$B2099)+COUNTIF(K2058:M2075,$B2099&amp;" ~*")&gt;0)+(IFERROR(INDEX(Setup!$G$33:$G$40,MATCH(O2099,Setup!$B$33:$B$40,0)),0)=1)*(COUNTIF(O2058:Q2075,$B2099)+COUNTIF(O2058:Q2075,$B2099&amp;" ~*")&gt;0)+(IFERROR(INDEX(Setup!$G$33:$G$40,MATCH(S2099,Setup!$B$33:$B$40,0)),0)=1)*(COUNTIF(S2058:U2075,$B2099)+COUNTIF(S2058:U2075,$B2099&amp;" ~*")&gt;0)+(IFERROR(INDEX(Setup!$G$33:$G$40,MATCH(W2099,Setup!$B$33:$B$40,0)),0)=1)*(COUNTIF(W2058:W2075,$B2099)+COUNTIF(W2058:W2075,$B2099&amp;" ~*")&gt;0)+(IFERROR(INDEX(Setup!$G$33:$G$40,MATCH(Y2099,Setup!$B$33:$B$40,0)),0)=1)*(COUNTIF(Y2058:Y2075,$B2099)+COUNTIF(Y2058:Y2075,$B2099&amp;" ~*")&gt;0))</f>
        <v/>
      </c>
    </row>
    <row r="2100" ht="15" customHeight="1">
      <c r="A2100" t="n">
        <v>42</v>
      </c>
      <c r="B2100" s="37">
        <f>IF(Setup!$B$29="","",Setup!$B$29)</f>
        <v/>
      </c>
      <c r="C2100" s="102" t="n"/>
      <c r="D2100" s="103" t="n"/>
      <c r="E2100" s="103" t="n"/>
      <c r="F2100" s="104" t="n"/>
      <c r="G2100" s="102" t="n"/>
      <c r="H2100" s="103" t="n"/>
      <c r="I2100" s="103" t="n"/>
      <c r="J2100" s="104" t="n"/>
      <c r="K2100" s="102" t="n"/>
      <c r="L2100" s="103" t="n"/>
      <c r="M2100" s="103" t="n"/>
      <c r="N2100" s="104" t="n"/>
      <c r="O2100" s="102" t="n"/>
      <c r="P2100" s="103" t="n"/>
      <c r="Q2100" s="103" t="n"/>
      <c r="R2100" s="104" t="n"/>
      <c r="S2100" s="102" t="n"/>
      <c r="T2100" s="103" t="n"/>
      <c r="U2100" s="103" t="n"/>
      <c r="V2100" s="104" t="n"/>
      <c r="W2100" s="102" t="n"/>
      <c r="X2100" s="104" t="n"/>
      <c r="Y2100" s="102" t="n"/>
      <c r="Z2100" s="104" t="n"/>
      <c r="AB2100" s="105">
        <f>IF($B2100="","",(COUNTIF(C2058:E2075,$B2100)+COUNTIF(C2058:E2075,$B2100&amp;" ~*")&gt;0)+(COUNTIF(G2058:I2075,$B2100)+COUNTIF(G2058:I2075,$B2100&amp;" ~*")&gt;0)+(COUNTIF(K2058:M2075,$B2100)+COUNTIF(K2058:M2075,$B2100&amp;" ~*")&gt;0)+(COUNTIF(O2058:Q2075,$B2100)+COUNTIF(O2058:Q2075,$B2100&amp;" ~*")&gt;0)+(COUNTIF(S2058:U2075,$B2100)+COUNTIF(S2058:U2075,$B2100&amp;" ~*")&gt;0)+(COUNTIF(W2058:W2075,$B2100)+COUNTIF(W2058:W2075,$B2100&amp;" ~*")&gt;0)+(COUNTIF(Y2058:Y2075,$B2100)+COUNTIF(Y2058:Y2075,$B2100&amp;" ~*")&gt;0))</f>
        <v/>
      </c>
      <c r="AC2100" s="38">
        <f>IF($B2100="","",(IFERROR(INDEX(Setup!$G$33:$G$40,MATCH(C2100,Setup!$B$33:$B$40,0)),0)=1)*(COUNTIF(C2058:E2075,$B2100)+COUNTIF(C2058:E2075,$B2100&amp;" ~*")&gt;0)+(IFERROR(INDEX(Setup!$G$33:$G$40,MATCH(G2100,Setup!$B$33:$B$40,0)),0)=1)*(COUNTIF(G2058:I2075,$B2100)+COUNTIF(G2058:I2075,$B2100&amp;" ~*")&gt;0)+(IFERROR(INDEX(Setup!$G$33:$G$40,MATCH(K2100,Setup!$B$33:$B$40,0)),0)=1)*(COUNTIF(K2058:M2075,$B2100)+COUNTIF(K2058:M2075,$B2100&amp;" ~*")&gt;0)+(IFERROR(INDEX(Setup!$G$33:$G$40,MATCH(O2100,Setup!$B$33:$B$40,0)),0)=1)*(COUNTIF(O2058:Q2075,$B2100)+COUNTIF(O2058:Q2075,$B2100&amp;" ~*")&gt;0)+(IFERROR(INDEX(Setup!$G$33:$G$40,MATCH(S2100,Setup!$B$33:$B$40,0)),0)=1)*(COUNTIF(S2058:U2075,$B2100)+COUNTIF(S2058:U2075,$B2100&amp;" ~*")&gt;0)+(IFERROR(INDEX(Setup!$G$33:$G$40,MATCH(W2100,Setup!$B$33:$B$40,0)),0)=1)*(COUNTIF(W2058:W2075,$B2100)+COUNTIF(W2058:W2075,$B2100&amp;" ~*")&gt;0)+(IFERROR(INDEX(Setup!$G$33:$G$40,MATCH(Y2100,Setup!$B$33:$B$40,0)),0)=1)*(COUNTIF(Y2058:Y2075,$B2100)+COUNTIF(Y2058:Y2075,$B2100&amp;" ~*")&gt;0))</f>
        <v/>
      </c>
    </row>
    <row r="2101" ht="16" customHeight="1">
      <c r="A2101" t="n">
        <v>42</v>
      </c>
      <c r="B2101" s="106" t="inlineStr">
        <is>
          <t>Available people</t>
        </is>
      </c>
      <c r="C2101" s="107">
        <f>COUNTIFS(Setup!$E$6:$E$29,"Y",Setup!$B$6:$B$29,"?*")-SUMPRODUCT(COUNTIF(C2077:C2100,Setup!$F$33:$F$40))</f>
        <v/>
      </c>
      <c r="D2101" s="107" t="n"/>
      <c r="E2101" s="107" t="n"/>
      <c r="F2101" s="107" t="n"/>
      <c r="G2101" s="107">
        <f>COUNTIFS(Setup!$E$6:$E$29,"Y",Setup!$B$6:$B$29,"?*")-SUMPRODUCT(COUNTIF(G2077:G2100,Setup!$F$33:$F$40))</f>
        <v/>
      </c>
      <c r="H2101" s="107" t="n"/>
      <c r="I2101" s="107" t="n"/>
      <c r="J2101" s="107" t="n"/>
      <c r="K2101" s="107">
        <f>COUNTIFS(Setup!$E$6:$E$29,"Y",Setup!$B$6:$B$29,"?*")-SUMPRODUCT(COUNTIF(K2077:K2100,Setup!$F$33:$F$40))</f>
        <v/>
      </c>
      <c r="L2101" s="107" t="n"/>
      <c r="M2101" s="107" t="n"/>
      <c r="N2101" s="107" t="n"/>
      <c r="O2101" s="107">
        <f>COUNTIFS(Setup!$E$6:$E$29,"Y",Setup!$B$6:$B$29,"?*")-SUMPRODUCT(COUNTIF(O2077:O2100,Setup!$F$33:$F$40))</f>
        <v/>
      </c>
      <c r="P2101" s="107" t="n"/>
      <c r="Q2101" s="107" t="n"/>
      <c r="R2101" s="107" t="n"/>
      <c r="S2101" s="107">
        <f>COUNTIFS(Setup!$E$6:$E$29,"Y",Setup!$B$6:$B$29,"?*")-SUMPRODUCT(COUNTIF(S2077:S2100,Setup!$F$33:$F$40))</f>
        <v/>
      </c>
      <c r="T2101" s="107" t="n"/>
      <c r="U2101" s="107" t="n"/>
      <c r="V2101" s="107" t="n"/>
      <c r="W2101" s="107">
        <f>COUNTIFS(Setup!$E$6:$E$29,"Y",Setup!$B$6:$B$29,"?*")-SUMPRODUCT(COUNTIF(W2077:W2100,Setup!$F$33:$F$40))</f>
        <v/>
      </c>
      <c r="X2101" s="107" t="n"/>
      <c r="Y2101" s="107">
        <f>COUNTIFS(Setup!$E$6:$E$29,"Y",Setup!$B$6:$B$29,"?*")-SUMPRODUCT(COUNTIF(Y2077:Y2100,Setup!$F$33:$F$40))</f>
        <v/>
      </c>
      <c r="Z2101" s="107" t="n"/>
      <c r="AB2101" s="108">
        <f>SUM(AB2077:AB2100)</f>
        <v/>
      </c>
      <c r="AC2101" s="109">
        <f>SUM(AC2077:AC2100)</f>
        <v/>
      </c>
    </row>
    <row r="2102" ht="30" customHeight="1">
      <c r="A2102" t="n">
        <v>42</v>
      </c>
      <c r="B2102" s="110" t="inlineStr">
        <is>
          <t>Week notes</t>
        </is>
      </c>
      <c r="C2102" s="111" t="n"/>
      <c r="D2102" s="112" t="n"/>
      <c r="E2102" s="112" t="n"/>
      <c r="F2102" s="112" t="n"/>
      <c r="G2102" s="112" t="n"/>
      <c r="H2102" s="112" t="n"/>
      <c r="I2102" s="112" t="n"/>
      <c r="J2102" s="112" t="n"/>
      <c r="K2102" s="112" t="n"/>
      <c r="L2102" s="112" t="n"/>
      <c r="M2102" s="112" t="n"/>
      <c r="N2102" s="112" t="n"/>
      <c r="O2102" s="112" t="n"/>
      <c r="P2102" s="112" t="n"/>
      <c r="Q2102" s="112" t="n"/>
      <c r="R2102" s="112" t="n"/>
      <c r="S2102" s="112" t="n"/>
      <c r="T2102" s="112" t="n"/>
      <c r="U2102" s="112" t="n"/>
      <c r="V2102" s="112" t="n"/>
      <c r="W2102" s="112" t="n"/>
      <c r="X2102" s="112" t="n"/>
      <c r="Y2102" s="112" t="n"/>
      <c r="Z2102" s="113" t="n"/>
    </row>
    <row r="2103" ht="8" customHeight="1">
      <c r="A2103" t="n">
        <v>42</v>
      </c>
    </row>
    <row r="2104" ht="8" customHeight="1">
      <c r="A2104" t="n">
        <v>42</v>
      </c>
    </row>
    <row r="2105" ht="24" customHeight="1">
      <c r="A2105" t="n">
        <v>43</v>
      </c>
      <c r="B2105" s="73">
        <f>"WEEK 43     "&amp;TEXT(C2106,"ddd d mmm")&amp;"  –  "&amp;TEXT(C2106+6,"ddd d mmm yyyy")</f>
        <v/>
      </c>
      <c r="S2105" s="74">
        <f>IF(TODAY()&lt;C2106,"FUTURE",IF(TODAY()&gt;C2106+6,"PAST","THIS WEEK"))</f>
        <v/>
      </c>
      <c r="W2105" s="75">
        <f>IF(AND(Engine!$B$8=$AC$3,Engine!$B$9=$A2105),"◀ ACTIVE WEEK","")</f>
        <v/>
      </c>
      <c r="AA2105" s="76" t="n"/>
      <c r="AB2105" s="77" t="inlineStr">
        <is>
          <t>◀ Prev</t>
        </is>
      </c>
      <c r="AC2105" s="77" t="inlineStr">
        <is>
          <t>Next ▶</t>
        </is>
      </c>
    </row>
    <row r="2106" ht="18" customHeight="1">
      <c r="A2106" t="n">
        <v>43</v>
      </c>
      <c r="B2106" s="78" t="inlineStr">
        <is>
          <t>DUTY</t>
        </is>
      </c>
      <c r="C2106" s="79">
        <f>$AC$2+7*($A2106-1)</f>
        <v/>
      </c>
      <c r="D2106" s="80" t="n"/>
      <c r="E2106" s="80" t="n"/>
      <c r="F2106" s="81" t="n"/>
      <c r="G2106" s="79">
        <f>C2106+1</f>
        <v/>
      </c>
      <c r="H2106" s="80" t="n"/>
      <c r="I2106" s="80" t="n"/>
      <c r="J2106" s="81" t="n"/>
      <c r="K2106" s="79">
        <f>C2106+2</f>
        <v/>
      </c>
      <c r="L2106" s="80" t="n"/>
      <c r="M2106" s="80" t="n"/>
      <c r="N2106" s="81" t="n"/>
      <c r="O2106" s="79">
        <f>C2106+3</f>
        <v/>
      </c>
      <c r="P2106" s="80" t="n"/>
      <c r="Q2106" s="80" t="n"/>
      <c r="R2106" s="81" t="n"/>
      <c r="S2106" s="79">
        <f>C2106+4</f>
        <v/>
      </c>
      <c r="T2106" s="80" t="n"/>
      <c r="U2106" s="80" t="n"/>
      <c r="V2106" s="81" t="n"/>
      <c r="W2106" s="82">
        <f>C2106+5</f>
        <v/>
      </c>
      <c r="X2106" s="83" t="n"/>
      <c r="Y2106" s="82">
        <f>C2106+6</f>
        <v/>
      </c>
      <c r="Z2106" s="83" t="n"/>
      <c r="AB2106" s="72" t="inlineStr">
        <is>
          <t>Gaps</t>
        </is>
      </c>
      <c r="AC2106" s="72" t="inlineStr">
        <is>
          <t>Cover</t>
        </is>
      </c>
    </row>
    <row r="2107" ht="14" customHeight="1">
      <c r="A2107" t="n">
        <v>43</v>
      </c>
      <c r="B2107" s="84" t="inlineStr">
        <is>
          <t>(from Setup)</t>
        </is>
      </c>
      <c r="C2107" s="85" t="inlineStr">
        <is>
          <t>1</t>
        </is>
      </c>
      <c r="D2107" s="85" t="inlineStr">
        <is>
          <t>2</t>
        </is>
      </c>
      <c r="E2107" s="85" t="inlineStr">
        <is>
          <t>3</t>
        </is>
      </c>
      <c r="F2107" s="85" t="inlineStr">
        <is>
          <t>Notes</t>
        </is>
      </c>
      <c r="G2107" s="85" t="inlineStr">
        <is>
          <t>1</t>
        </is>
      </c>
      <c r="H2107" s="85" t="inlineStr">
        <is>
          <t>2</t>
        </is>
      </c>
      <c r="I2107" s="85" t="inlineStr">
        <is>
          <t>3</t>
        </is>
      </c>
      <c r="J2107" s="85" t="inlineStr">
        <is>
          <t>Notes</t>
        </is>
      </c>
      <c r="K2107" s="85" t="inlineStr">
        <is>
          <t>1</t>
        </is>
      </c>
      <c r="L2107" s="85" t="inlineStr">
        <is>
          <t>2</t>
        </is>
      </c>
      <c r="M2107" s="85" t="inlineStr">
        <is>
          <t>3</t>
        </is>
      </c>
      <c r="N2107" s="85" t="inlineStr">
        <is>
          <t>Notes</t>
        </is>
      </c>
      <c r="O2107" s="85" t="inlineStr">
        <is>
          <t>1</t>
        </is>
      </c>
      <c r="P2107" s="85" t="inlineStr">
        <is>
          <t>2</t>
        </is>
      </c>
      <c r="Q2107" s="85" t="inlineStr">
        <is>
          <t>3</t>
        </is>
      </c>
      <c r="R2107" s="85" t="inlineStr">
        <is>
          <t>Notes</t>
        </is>
      </c>
      <c r="S2107" s="85" t="inlineStr">
        <is>
          <t>1</t>
        </is>
      </c>
      <c r="T2107" s="85" t="inlineStr">
        <is>
          <t>2</t>
        </is>
      </c>
      <c r="U2107" s="85" t="inlineStr">
        <is>
          <t>3</t>
        </is>
      </c>
      <c r="V2107" s="85" t="inlineStr">
        <is>
          <t>Notes</t>
        </is>
      </c>
      <c r="W2107" s="85" t="inlineStr">
        <is>
          <t>Cover</t>
        </is>
      </c>
      <c r="X2107" s="85" t="inlineStr">
        <is>
          <t>Notes</t>
        </is>
      </c>
      <c r="Y2107" s="85" t="inlineStr">
        <is>
          <t>Cover</t>
        </is>
      </c>
      <c r="Z2107" s="85" t="inlineStr">
        <is>
          <t>Notes</t>
        </is>
      </c>
      <c r="AB2107" s="86" t="inlineStr">
        <is>
          <t>weekdays short</t>
        </is>
      </c>
      <c r="AC2107" s="87" t="inlineStr"/>
    </row>
    <row r="2108" ht="17" customHeight="1">
      <c r="A2108" t="n">
        <v>43</v>
      </c>
      <c r="B2108" s="24">
        <f>IF(Setup!$K$6="","",Setup!$K$6)</f>
        <v/>
      </c>
      <c r="C2108" s="88" t="n"/>
      <c r="D2108" s="88" t="n"/>
      <c r="E2108" s="88" t="n"/>
      <c r="F2108" s="89" t="n"/>
      <c r="G2108" s="88" t="n"/>
      <c r="H2108" s="88" t="n"/>
      <c r="I2108" s="88" t="n"/>
      <c r="J2108" s="89" t="n"/>
      <c r="K2108" s="88" t="n"/>
      <c r="L2108" s="88" t="n"/>
      <c r="M2108" s="88" t="n"/>
      <c r="N2108" s="89" t="n"/>
      <c r="O2108" s="88" t="n"/>
      <c r="P2108" s="88" t="n"/>
      <c r="Q2108" s="88" t="n"/>
      <c r="R2108" s="89" t="n"/>
      <c r="S2108" s="88" t="n"/>
      <c r="T2108" s="88" t="n"/>
      <c r="U2108" s="88" t="n"/>
      <c r="V2108" s="89" t="n"/>
      <c r="W2108" s="88" t="n"/>
      <c r="X2108" s="89" t="n"/>
      <c r="Y2108" s="88" t="n"/>
      <c r="Z2108" s="89" t="n"/>
      <c r="AB2108" s="25">
        <f>IF($B2108="","",(COUNTIF(C2108:E2108,"?*")&lt;N(INDEX(Setup!$L$6:$L$23,1)))+(COUNTIF(G2108:I2108,"?*")&lt;N(INDEX(Setup!$L$6:$L$23,1)))+(COUNTIF(K2108:M2108,"?*")&lt;N(INDEX(Setup!$L$6:$L$23,1)))+(COUNTIF(O2108:Q2108,"?*")&lt;N(INDEX(Setup!$L$6:$L$23,1)))+(COUNTIF(S2108:U2108,"?*")&lt;N(INDEX(Setup!$L$6:$L$23,1)))+((W2108="")*(INDEX(Setup!$M$6:$M$23,1)="Y"))+((Y2108="")*(INDEX(Setup!$M$6:$M$23,1)="Y")))</f>
        <v/>
      </c>
      <c r="AC2108" s="90">
        <f>IF($B2108="","",IF(AB2108=0,"✓ covered","⚠ "&amp;AB2108&amp;IF(AB2108=1," gap"," gaps")))</f>
        <v/>
      </c>
    </row>
    <row r="2109" ht="17" customHeight="1">
      <c r="A2109" t="n">
        <v>43</v>
      </c>
      <c r="B2109" s="29">
        <f>IF(Setup!$K$7="","",Setup!$K$7)</f>
        <v/>
      </c>
      <c r="C2109" s="88" t="n"/>
      <c r="D2109" s="88" t="n"/>
      <c r="E2109" s="88" t="n"/>
      <c r="F2109" s="89" t="n"/>
      <c r="G2109" s="88" t="n"/>
      <c r="H2109" s="88" t="n"/>
      <c r="I2109" s="88" t="n"/>
      <c r="J2109" s="89" t="n"/>
      <c r="K2109" s="88" t="n"/>
      <c r="L2109" s="88" t="n"/>
      <c r="M2109" s="88" t="n"/>
      <c r="N2109" s="89" t="n"/>
      <c r="O2109" s="88" t="n"/>
      <c r="P2109" s="88" t="n"/>
      <c r="Q2109" s="88" t="n"/>
      <c r="R2109" s="89" t="n"/>
      <c r="S2109" s="88" t="n"/>
      <c r="T2109" s="88" t="n"/>
      <c r="U2109" s="88" t="n"/>
      <c r="V2109" s="89" t="n"/>
      <c r="W2109" s="88" t="n"/>
      <c r="X2109" s="89" t="n"/>
      <c r="Y2109" s="88" t="n"/>
      <c r="Z2109" s="89" t="n"/>
      <c r="AB2109" s="30">
        <f>IF($B2109="","",(COUNTIF(C2109:E2109,"?*")&lt;N(INDEX(Setup!$L$6:$L$23,2)))+(COUNTIF(G2109:I2109,"?*")&lt;N(INDEX(Setup!$L$6:$L$23,2)))+(COUNTIF(K2109:M2109,"?*")&lt;N(INDEX(Setup!$L$6:$L$23,2)))+(COUNTIF(O2109:Q2109,"?*")&lt;N(INDEX(Setup!$L$6:$L$23,2)))+(COUNTIF(S2109:U2109,"?*")&lt;N(INDEX(Setup!$L$6:$L$23,2)))+((W2109="")*(INDEX(Setup!$M$6:$M$23,2)="Y"))+((Y2109="")*(INDEX(Setup!$M$6:$M$23,2)="Y")))</f>
        <v/>
      </c>
      <c r="AC2109" s="91">
        <f>IF($B2109="","",IF(AB2109=0,"✓ covered","⚠ "&amp;AB2109&amp;IF(AB2109=1," gap"," gaps")))</f>
        <v/>
      </c>
    </row>
    <row r="2110" ht="17" customHeight="1">
      <c r="A2110" t="n">
        <v>43</v>
      </c>
      <c r="B2110" s="24">
        <f>IF(Setup!$K$8="","",Setup!$K$8)</f>
        <v/>
      </c>
      <c r="C2110" s="88" t="n"/>
      <c r="D2110" s="88" t="n"/>
      <c r="E2110" s="88" t="n"/>
      <c r="F2110" s="89" t="n"/>
      <c r="G2110" s="88" t="n"/>
      <c r="H2110" s="88" t="n"/>
      <c r="I2110" s="88" t="n"/>
      <c r="J2110" s="89" t="n"/>
      <c r="K2110" s="88" t="n"/>
      <c r="L2110" s="88" t="n"/>
      <c r="M2110" s="88" t="n"/>
      <c r="N2110" s="89" t="n"/>
      <c r="O2110" s="88" t="n"/>
      <c r="P2110" s="88" t="n"/>
      <c r="Q2110" s="88" t="n"/>
      <c r="R2110" s="89" t="n"/>
      <c r="S2110" s="88" t="n"/>
      <c r="T2110" s="88" t="n"/>
      <c r="U2110" s="88" t="n"/>
      <c r="V2110" s="89" t="n"/>
      <c r="W2110" s="88" t="n"/>
      <c r="X2110" s="89" t="n"/>
      <c r="Y2110" s="88" t="n"/>
      <c r="Z2110" s="89" t="n"/>
      <c r="AB2110" s="25">
        <f>IF($B2110="","",(COUNTIF(C2110:E2110,"?*")&lt;N(INDEX(Setup!$L$6:$L$23,3)))+(COUNTIF(G2110:I2110,"?*")&lt;N(INDEX(Setup!$L$6:$L$23,3)))+(COUNTIF(K2110:M2110,"?*")&lt;N(INDEX(Setup!$L$6:$L$23,3)))+(COUNTIF(O2110:Q2110,"?*")&lt;N(INDEX(Setup!$L$6:$L$23,3)))+(COUNTIF(S2110:U2110,"?*")&lt;N(INDEX(Setup!$L$6:$L$23,3)))+((W2110="")*(INDEX(Setup!$M$6:$M$23,3)="Y"))+((Y2110="")*(INDEX(Setup!$M$6:$M$23,3)="Y")))</f>
        <v/>
      </c>
      <c r="AC2110" s="90">
        <f>IF($B2110="","",IF(AB2110=0,"✓ covered","⚠ "&amp;AB2110&amp;IF(AB2110=1," gap"," gaps")))</f>
        <v/>
      </c>
    </row>
    <row r="2111" ht="17" customHeight="1">
      <c r="A2111" t="n">
        <v>43</v>
      </c>
      <c r="B2111" s="29">
        <f>IF(Setup!$K$9="","",Setup!$K$9)</f>
        <v/>
      </c>
      <c r="C2111" s="88" t="n"/>
      <c r="D2111" s="88" t="n"/>
      <c r="E2111" s="88" t="n"/>
      <c r="F2111" s="89" t="n"/>
      <c r="G2111" s="88" t="n"/>
      <c r="H2111" s="88" t="n"/>
      <c r="I2111" s="88" t="n"/>
      <c r="J2111" s="89" t="n"/>
      <c r="K2111" s="88" t="n"/>
      <c r="L2111" s="88" t="n"/>
      <c r="M2111" s="88" t="n"/>
      <c r="N2111" s="89" t="n"/>
      <c r="O2111" s="88" t="n"/>
      <c r="P2111" s="88" t="n"/>
      <c r="Q2111" s="88" t="n"/>
      <c r="R2111" s="89" t="n"/>
      <c r="S2111" s="88" t="n"/>
      <c r="T2111" s="88" t="n"/>
      <c r="U2111" s="88" t="n"/>
      <c r="V2111" s="89" t="n"/>
      <c r="W2111" s="88" t="n"/>
      <c r="X2111" s="89" t="n"/>
      <c r="Y2111" s="88" t="n"/>
      <c r="Z2111" s="89" t="n"/>
      <c r="AB2111" s="30">
        <f>IF($B2111="","",(COUNTIF(C2111:E2111,"?*")&lt;N(INDEX(Setup!$L$6:$L$23,4)))+(COUNTIF(G2111:I2111,"?*")&lt;N(INDEX(Setup!$L$6:$L$23,4)))+(COUNTIF(K2111:M2111,"?*")&lt;N(INDEX(Setup!$L$6:$L$23,4)))+(COUNTIF(O2111:Q2111,"?*")&lt;N(INDEX(Setup!$L$6:$L$23,4)))+(COUNTIF(S2111:U2111,"?*")&lt;N(INDEX(Setup!$L$6:$L$23,4)))+((W2111="")*(INDEX(Setup!$M$6:$M$23,4)="Y"))+((Y2111="")*(INDEX(Setup!$M$6:$M$23,4)="Y")))</f>
        <v/>
      </c>
      <c r="AC2111" s="91">
        <f>IF($B2111="","",IF(AB2111=0,"✓ covered","⚠ "&amp;AB2111&amp;IF(AB2111=1," gap"," gaps")))</f>
        <v/>
      </c>
    </row>
    <row r="2112" ht="17" customHeight="1">
      <c r="A2112" t="n">
        <v>43</v>
      </c>
      <c r="B2112" s="24">
        <f>IF(Setup!$K$10="","",Setup!$K$10)</f>
        <v/>
      </c>
      <c r="C2112" s="88" t="n"/>
      <c r="D2112" s="88" t="n"/>
      <c r="E2112" s="88" t="n"/>
      <c r="F2112" s="89" t="n"/>
      <c r="G2112" s="88" t="n"/>
      <c r="H2112" s="88" t="n"/>
      <c r="I2112" s="88" t="n"/>
      <c r="J2112" s="89" t="n"/>
      <c r="K2112" s="88" t="n"/>
      <c r="L2112" s="88" t="n"/>
      <c r="M2112" s="88" t="n"/>
      <c r="N2112" s="89" t="n"/>
      <c r="O2112" s="88" t="n"/>
      <c r="P2112" s="88" t="n"/>
      <c r="Q2112" s="88" t="n"/>
      <c r="R2112" s="89" t="n"/>
      <c r="S2112" s="88" t="n"/>
      <c r="T2112" s="88" t="n"/>
      <c r="U2112" s="88" t="n"/>
      <c r="V2112" s="89" t="n"/>
      <c r="W2112" s="88" t="n"/>
      <c r="X2112" s="89" t="n"/>
      <c r="Y2112" s="88" t="n"/>
      <c r="Z2112" s="89" t="n"/>
      <c r="AB2112" s="25">
        <f>IF($B2112="","",(COUNTIF(C2112:E2112,"?*")&lt;N(INDEX(Setup!$L$6:$L$23,5)))+(COUNTIF(G2112:I2112,"?*")&lt;N(INDEX(Setup!$L$6:$L$23,5)))+(COUNTIF(K2112:M2112,"?*")&lt;N(INDEX(Setup!$L$6:$L$23,5)))+(COUNTIF(O2112:Q2112,"?*")&lt;N(INDEX(Setup!$L$6:$L$23,5)))+(COUNTIF(S2112:U2112,"?*")&lt;N(INDEX(Setup!$L$6:$L$23,5)))+((W2112="")*(INDEX(Setup!$M$6:$M$23,5)="Y"))+((Y2112="")*(INDEX(Setup!$M$6:$M$23,5)="Y")))</f>
        <v/>
      </c>
      <c r="AC2112" s="90">
        <f>IF($B2112="","",IF(AB2112=0,"✓ covered","⚠ "&amp;AB2112&amp;IF(AB2112=1," gap"," gaps")))</f>
        <v/>
      </c>
    </row>
    <row r="2113" ht="17" customHeight="1">
      <c r="A2113" t="n">
        <v>43</v>
      </c>
      <c r="B2113" s="29">
        <f>IF(Setup!$K$11="","",Setup!$K$11)</f>
        <v/>
      </c>
      <c r="C2113" s="88" t="n"/>
      <c r="D2113" s="88" t="n"/>
      <c r="E2113" s="88" t="n"/>
      <c r="F2113" s="89" t="n"/>
      <c r="G2113" s="88" t="n"/>
      <c r="H2113" s="88" t="n"/>
      <c r="I2113" s="88" t="n"/>
      <c r="J2113" s="89" t="n"/>
      <c r="K2113" s="88" t="n"/>
      <c r="L2113" s="88" t="n"/>
      <c r="M2113" s="88" t="n"/>
      <c r="N2113" s="89" t="n"/>
      <c r="O2113" s="88" t="n"/>
      <c r="P2113" s="88" t="n"/>
      <c r="Q2113" s="88" t="n"/>
      <c r="R2113" s="89" t="n"/>
      <c r="S2113" s="88" t="n"/>
      <c r="T2113" s="88" t="n"/>
      <c r="U2113" s="88" t="n"/>
      <c r="V2113" s="89" t="n"/>
      <c r="W2113" s="88" t="n"/>
      <c r="X2113" s="89" t="n"/>
      <c r="Y2113" s="88" t="n"/>
      <c r="Z2113" s="89" t="n"/>
      <c r="AB2113" s="30">
        <f>IF($B2113="","",(COUNTIF(C2113:E2113,"?*")&lt;N(INDEX(Setup!$L$6:$L$23,6)))+(COUNTIF(G2113:I2113,"?*")&lt;N(INDEX(Setup!$L$6:$L$23,6)))+(COUNTIF(K2113:M2113,"?*")&lt;N(INDEX(Setup!$L$6:$L$23,6)))+(COUNTIF(O2113:Q2113,"?*")&lt;N(INDEX(Setup!$L$6:$L$23,6)))+(COUNTIF(S2113:U2113,"?*")&lt;N(INDEX(Setup!$L$6:$L$23,6)))+((W2113="")*(INDEX(Setup!$M$6:$M$23,6)="Y"))+((Y2113="")*(INDEX(Setup!$M$6:$M$23,6)="Y")))</f>
        <v/>
      </c>
      <c r="AC2113" s="91">
        <f>IF($B2113="","",IF(AB2113=0,"✓ covered","⚠ "&amp;AB2113&amp;IF(AB2113=1," gap"," gaps")))</f>
        <v/>
      </c>
    </row>
    <row r="2114" ht="17" customHeight="1">
      <c r="A2114" t="n">
        <v>43</v>
      </c>
      <c r="B2114" s="24">
        <f>IF(Setup!$K$12="","",Setup!$K$12)</f>
        <v/>
      </c>
      <c r="C2114" s="88" t="n"/>
      <c r="D2114" s="88" t="n"/>
      <c r="E2114" s="88" t="n"/>
      <c r="F2114" s="89" t="n"/>
      <c r="G2114" s="88" t="n"/>
      <c r="H2114" s="88" t="n"/>
      <c r="I2114" s="88" t="n"/>
      <c r="J2114" s="89" t="n"/>
      <c r="K2114" s="88" t="n"/>
      <c r="L2114" s="88" t="n"/>
      <c r="M2114" s="88" t="n"/>
      <c r="N2114" s="89" t="n"/>
      <c r="O2114" s="88" t="n"/>
      <c r="P2114" s="88" t="n"/>
      <c r="Q2114" s="88" t="n"/>
      <c r="R2114" s="89" t="n"/>
      <c r="S2114" s="88" t="n"/>
      <c r="T2114" s="88" t="n"/>
      <c r="U2114" s="88" t="n"/>
      <c r="V2114" s="89" t="n"/>
      <c r="W2114" s="88" t="n"/>
      <c r="X2114" s="89" t="n"/>
      <c r="Y2114" s="88" t="n"/>
      <c r="Z2114" s="89" t="n"/>
      <c r="AB2114" s="25">
        <f>IF($B2114="","",(COUNTIF(C2114:E2114,"?*")&lt;N(INDEX(Setup!$L$6:$L$23,7)))+(COUNTIF(G2114:I2114,"?*")&lt;N(INDEX(Setup!$L$6:$L$23,7)))+(COUNTIF(K2114:M2114,"?*")&lt;N(INDEX(Setup!$L$6:$L$23,7)))+(COUNTIF(O2114:Q2114,"?*")&lt;N(INDEX(Setup!$L$6:$L$23,7)))+(COUNTIF(S2114:U2114,"?*")&lt;N(INDEX(Setup!$L$6:$L$23,7)))+((W2114="")*(INDEX(Setup!$M$6:$M$23,7)="Y"))+((Y2114="")*(INDEX(Setup!$M$6:$M$23,7)="Y")))</f>
        <v/>
      </c>
      <c r="AC2114" s="90">
        <f>IF($B2114="","",IF(AB2114=0,"✓ covered","⚠ "&amp;AB2114&amp;IF(AB2114=1," gap"," gaps")))</f>
        <v/>
      </c>
    </row>
    <row r="2115" ht="17" customHeight="1">
      <c r="A2115" t="n">
        <v>43</v>
      </c>
      <c r="B2115" s="29">
        <f>IF(Setup!$K$13="","",Setup!$K$13)</f>
        <v/>
      </c>
      <c r="C2115" s="88" t="n"/>
      <c r="D2115" s="88" t="n"/>
      <c r="E2115" s="88" t="n"/>
      <c r="F2115" s="89" t="n"/>
      <c r="G2115" s="88" t="n"/>
      <c r="H2115" s="88" t="n"/>
      <c r="I2115" s="88" t="n"/>
      <c r="J2115" s="89" t="n"/>
      <c r="K2115" s="88" t="n"/>
      <c r="L2115" s="88" t="n"/>
      <c r="M2115" s="88" t="n"/>
      <c r="N2115" s="89" t="n"/>
      <c r="O2115" s="88" t="n"/>
      <c r="P2115" s="88" t="n"/>
      <c r="Q2115" s="88" t="n"/>
      <c r="R2115" s="89" t="n"/>
      <c r="S2115" s="88" t="n"/>
      <c r="T2115" s="88" t="n"/>
      <c r="U2115" s="88" t="n"/>
      <c r="V2115" s="89" t="n"/>
      <c r="W2115" s="88" t="n"/>
      <c r="X2115" s="89" t="n"/>
      <c r="Y2115" s="88" t="n"/>
      <c r="Z2115" s="89" t="n"/>
      <c r="AB2115" s="30">
        <f>IF($B2115="","",(COUNTIF(C2115:E2115,"?*")&lt;N(INDEX(Setup!$L$6:$L$23,8)))+(COUNTIF(G2115:I2115,"?*")&lt;N(INDEX(Setup!$L$6:$L$23,8)))+(COUNTIF(K2115:M2115,"?*")&lt;N(INDEX(Setup!$L$6:$L$23,8)))+(COUNTIF(O2115:Q2115,"?*")&lt;N(INDEX(Setup!$L$6:$L$23,8)))+(COUNTIF(S2115:U2115,"?*")&lt;N(INDEX(Setup!$L$6:$L$23,8)))+((W2115="")*(INDEX(Setup!$M$6:$M$23,8)="Y"))+((Y2115="")*(INDEX(Setup!$M$6:$M$23,8)="Y")))</f>
        <v/>
      </c>
      <c r="AC2115" s="91">
        <f>IF($B2115="","",IF(AB2115=0,"✓ covered","⚠ "&amp;AB2115&amp;IF(AB2115=1," gap"," gaps")))</f>
        <v/>
      </c>
    </row>
    <row r="2116" ht="17" customHeight="1">
      <c r="A2116" t="n">
        <v>43</v>
      </c>
      <c r="B2116" s="24">
        <f>IF(Setup!$K$14="","",Setup!$K$14)</f>
        <v/>
      </c>
      <c r="C2116" s="88" t="n"/>
      <c r="D2116" s="88" t="n"/>
      <c r="E2116" s="88" t="n"/>
      <c r="F2116" s="89" t="n"/>
      <c r="G2116" s="88" t="n"/>
      <c r="H2116" s="88" t="n"/>
      <c r="I2116" s="88" t="n"/>
      <c r="J2116" s="89" t="n"/>
      <c r="K2116" s="88" t="n"/>
      <c r="L2116" s="88" t="n"/>
      <c r="M2116" s="88" t="n"/>
      <c r="N2116" s="89" t="n"/>
      <c r="O2116" s="88" t="n"/>
      <c r="P2116" s="88" t="n"/>
      <c r="Q2116" s="88" t="n"/>
      <c r="R2116" s="89" t="n"/>
      <c r="S2116" s="88" t="n"/>
      <c r="T2116" s="88" t="n"/>
      <c r="U2116" s="88" t="n"/>
      <c r="V2116" s="89" t="n"/>
      <c r="W2116" s="88" t="n"/>
      <c r="X2116" s="89" t="n"/>
      <c r="Y2116" s="88" t="n"/>
      <c r="Z2116" s="89" t="n"/>
      <c r="AB2116" s="25">
        <f>IF($B2116="","",(COUNTIF(C2116:E2116,"?*")&lt;N(INDEX(Setup!$L$6:$L$23,9)))+(COUNTIF(G2116:I2116,"?*")&lt;N(INDEX(Setup!$L$6:$L$23,9)))+(COUNTIF(K2116:M2116,"?*")&lt;N(INDEX(Setup!$L$6:$L$23,9)))+(COUNTIF(O2116:Q2116,"?*")&lt;N(INDEX(Setup!$L$6:$L$23,9)))+(COUNTIF(S2116:U2116,"?*")&lt;N(INDEX(Setup!$L$6:$L$23,9)))+((W2116="")*(INDEX(Setup!$M$6:$M$23,9)="Y"))+((Y2116="")*(INDEX(Setup!$M$6:$M$23,9)="Y")))</f>
        <v/>
      </c>
      <c r="AC2116" s="90">
        <f>IF($B2116="","",IF(AB2116=0,"✓ covered","⚠ "&amp;AB2116&amp;IF(AB2116=1," gap"," gaps")))</f>
        <v/>
      </c>
    </row>
    <row r="2117" ht="17" customHeight="1">
      <c r="A2117" t="n">
        <v>43</v>
      </c>
      <c r="B2117" s="29">
        <f>IF(Setup!$K$15="","",Setup!$K$15)</f>
        <v/>
      </c>
      <c r="C2117" s="88" t="n"/>
      <c r="D2117" s="88" t="n"/>
      <c r="E2117" s="88" t="n"/>
      <c r="F2117" s="89" t="n"/>
      <c r="G2117" s="88" t="n"/>
      <c r="H2117" s="88" t="n"/>
      <c r="I2117" s="88" t="n"/>
      <c r="J2117" s="89" t="n"/>
      <c r="K2117" s="88" t="n"/>
      <c r="L2117" s="88" t="n"/>
      <c r="M2117" s="88" t="n"/>
      <c r="N2117" s="89" t="n"/>
      <c r="O2117" s="88" t="n"/>
      <c r="P2117" s="88" t="n"/>
      <c r="Q2117" s="88" t="n"/>
      <c r="R2117" s="89" t="n"/>
      <c r="S2117" s="88" t="n"/>
      <c r="T2117" s="88" t="n"/>
      <c r="U2117" s="88" t="n"/>
      <c r="V2117" s="89" t="n"/>
      <c r="W2117" s="88" t="n"/>
      <c r="X2117" s="89" t="n"/>
      <c r="Y2117" s="88" t="n"/>
      <c r="Z2117" s="89" t="n"/>
      <c r="AB2117" s="30">
        <f>IF($B2117="","",(COUNTIF(C2117:E2117,"?*")&lt;N(INDEX(Setup!$L$6:$L$23,10)))+(COUNTIF(G2117:I2117,"?*")&lt;N(INDEX(Setup!$L$6:$L$23,10)))+(COUNTIF(K2117:M2117,"?*")&lt;N(INDEX(Setup!$L$6:$L$23,10)))+(COUNTIF(O2117:Q2117,"?*")&lt;N(INDEX(Setup!$L$6:$L$23,10)))+(COUNTIF(S2117:U2117,"?*")&lt;N(INDEX(Setup!$L$6:$L$23,10)))+((W2117="")*(INDEX(Setup!$M$6:$M$23,10)="Y"))+((Y2117="")*(INDEX(Setup!$M$6:$M$23,10)="Y")))</f>
        <v/>
      </c>
      <c r="AC2117" s="91">
        <f>IF($B2117="","",IF(AB2117=0,"✓ covered","⚠ "&amp;AB2117&amp;IF(AB2117=1," gap"," gaps")))</f>
        <v/>
      </c>
    </row>
    <row r="2118" ht="17" customHeight="1">
      <c r="A2118" t="n">
        <v>43</v>
      </c>
      <c r="B2118" s="24">
        <f>IF(Setup!$K$16="","",Setup!$K$16)</f>
        <v/>
      </c>
      <c r="C2118" s="88" t="n"/>
      <c r="D2118" s="88" t="n"/>
      <c r="E2118" s="88" t="n"/>
      <c r="F2118" s="89" t="n"/>
      <c r="G2118" s="88" t="n"/>
      <c r="H2118" s="88" t="n"/>
      <c r="I2118" s="88" t="n"/>
      <c r="J2118" s="89" t="n"/>
      <c r="K2118" s="88" t="n"/>
      <c r="L2118" s="88" t="n"/>
      <c r="M2118" s="88" t="n"/>
      <c r="N2118" s="89" t="n"/>
      <c r="O2118" s="88" t="n"/>
      <c r="P2118" s="88" t="n"/>
      <c r="Q2118" s="88" t="n"/>
      <c r="R2118" s="89" t="n"/>
      <c r="S2118" s="88" t="n"/>
      <c r="T2118" s="88" t="n"/>
      <c r="U2118" s="88" t="n"/>
      <c r="V2118" s="89" t="n"/>
      <c r="W2118" s="88" t="n"/>
      <c r="X2118" s="89" t="n"/>
      <c r="Y2118" s="88" t="n"/>
      <c r="Z2118" s="89" t="n"/>
      <c r="AB2118" s="25">
        <f>IF($B2118="","",(COUNTIF(C2118:E2118,"?*")&lt;N(INDEX(Setup!$L$6:$L$23,11)))+(COUNTIF(G2118:I2118,"?*")&lt;N(INDEX(Setup!$L$6:$L$23,11)))+(COUNTIF(K2118:M2118,"?*")&lt;N(INDEX(Setup!$L$6:$L$23,11)))+(COUNTIF(O2118:Q2118,"?*")&lt;N(INDEX(Setup!$L$6:$L$23,11)))+(COUNTIF(S2118:U2118,"?*")&lt;N(INDEX(Setup!$L$6:$L$23,11)))+((W2118="")*(INDEX(Setup!$M$6:$M$23,11)="Y"))+((Y2118="")*(INDEX(Setup!$M$6:$M$23,11)="Y")))</f>
        <v/>
      </c>
      <c r="AC2118" s="90">
        <f>IF($B2118="","",IF(AB2118=0,"✓ covered","⚠ "&amp;AB2118&amp;IF(AB2118=1," gap"," gaps")))</f>
        <v/>
      </c>
    </row>
    <row r="2119" ht="17" customHeight="1">
      <c r="A2119" t="n">
        <v>43</v>
      </c>
      <c r="B2119" s="29">
        <f>IF(Setup!$K$17="","",Setup!$K$17)</f>
        <v/>
      </c>
      <c r="C2119" s="88" t="n"/>
      <c r="D2119" s="88" t="n"/>
      <c r="E2119" s="88" t="n"/>
      <c r="F2119" s="89" t="n"/>
      <c r="G2119" s="88" t="n"/>
      <c r="H2119" s="88" t="n"/>
      <c r="I2119" s="88" t="n"/>
      <c r="J2119" s="89" t="n"/>
      <c r="K2119" s="88" t="n"/>
      <c r="L2119" s="88" t="n"/>
      <c r="M2119" s="88" t="n"/>
      <c r="N2119" s="89" t="n"/>
      <c r="O2119" s="88" t="n"/>
      <c r="P2119" s="88" t="n"/>
      <c r="Q2119" s="88" t="n"/>
      <c r="R2119" s="89" t="n"/>
      <c r="S2119" s="88" t="n"/>
      <c r="T2119" s="88" t="n"/>
      <c r="U2119" s="88" t="n"/>
      <c r="V2119" s="89" t="n"/>
      <c r="W2119" s="88" t="n"/>
      <c r="X2119" s="89" t="n"/>
      <c r="Y2119" s="88" t="n"/>
      <c r="Z2119" s="89" t="n"/>
      <c r="AB2119" s="30">
        <f>IF($B2119="","",(COUNTIF(C2119:E2119,"?*")&lt;N(INDEX(Setup!$L$6:$L$23,12)))+(COUNTIF(G2119:I2119,"?*")&lt;N(INDEX(Setup!$L$6:$L$23,12)))+(COUNTIF(K2119:M2119,"?*")&lt;N(INDEX(Setup!$L$6:$L$23,12)))+(COUNTIF(O2119:Q2119,"?*")&lt;N(INDEX(Setup!$L$6:$L$23,12)))+(COUNTIF(S2119:U2119,"?*")&lt;N(INDEX(Setup!$L$6:$L$23,12)))+((W2119="")*(INDEX(Setup!$M$6:$M$23,12)="Y"))+((Y2119="")*(INDEX(Setup!$M$6:$M$23,12)="Y")))</f>
        <v/>
      </c>
      <c r="AC2119" s="91">
        <f>IF($B2119="","",IF(AB2119=0,"✓ covered","⚠ "&amp;AB2119&amp;IF(AB2119=1," gap"," gaps")))</f>
        <v/>
      </c>
    </row>
    <row r="2120" ht="17" customHeight="1">
      <c r="A2120" t="n">
        <v>43</v>
      </c>
      <c r="B2120" s="24">
        <f>IF(Setup!$K$18="","",Setup!$K$18)</f>
        <v/>
      </c>
      <c r="C2120" s="88" t="n"/>
      <c r="D2120" s="88" t="n"/>
      <c r="E2120" s="88" t="n"/>
      <c r="F2120" s="89" t="n"/>
      <c r="G2120" s="88" t="n"/>
      <c r="H2120" s="88" t="n"/>
      <c r="I2120" s="88" t="n"/>
      <c r="J2120" s="89" t="n"/>
      <c r="K2120" s="88" t="n"/>
      <c r="L2120" s="88" t="n"/>
      <c r="M2120" s="88" t="n"/>
      <c r="N2120" s="89" t="n"/>
      <c r="O2120" s="88" t="n"/>
      <c r="P2120" s="88" t="n"/>
      <c r="Q2120" s="88" t="n"/>
      <c r="R2120" s="89" t="n"/>
      <c r="S2120" s="88" t="n"/>
      <c r="T2120" s="88" t="n"/>
      <c r="U2120" s="88" t="n"/>
      <c r="V2120" s="89" t="n"/>
      <c r="W2120" s="88" t="n"/>
      <c r="X2120" s="89" t="n"/>
      <c r="Y2120" s="88" t="n"/>
      <c r="Z2120" s="89" t="n"/>
      <c r="AB2120" s="25">
        <f>IF($B2120="","",(COUNTIF(C2120:E2120,"?*")&lt;N(INDEX(Setup!$L$6:$L$23,13)))+(COUNTIF(G2120:I2120,"?*")&lt;N(INDEX(Setup!$L$6:$L$23,13)))+(COUNTIF(K2120:M2120,"?*")&lt;N(INDEX(Setup!$L$6:$L$23,13)))+(COUNTIF(O2120:Q2120,"?*")&lt;N(INDEX(Setup!$L$6:$L$23,13)))+(COUNTIF(S2120:U2120,"?*")&lt;N(INDEX(Setup!$L$6:$L$23,13)))+((W2120="")*(INDEX(Setup!$M$6:$M$23,13)="Y"))+((Y2120="")*(INDEX(Setup!$M$6:$M$23,13)="Y")))</f>
        <v/>
      </c>
      <c r="AC2120" s="90">
        <f>IF($B2120="","",IF(AB2120=0,"✓ covered","⚠ "&amp;AB2120&amp;IF(AB2120=1," gap"," gaps")))</f>
        <v/>
      </c>
    </row>
    <row r="2121" ht="17" customHeight="1">
      <c r="A2121" t="n">
        <v>43</v>
      </c>
      <c r="B2121" s="29">
        <f>IF(Setup!$K$19="","",Setup!$K$19)</f>
        <v/>
      </c>
      <c r="C2121" s="88" t="n"/>
      <c r="D2121" s="88" t="n"/>
      <c r="E2121" s="88" t="n"/>
      <c r="F2121" s="89" t="n"/>
      <c r="G2121" s="88" t="n"/>
      <c r="H2121" s="88" t="n"/>
      <c r="I2121" s="88" t="n"/>
      <c r="J2121" s="89" t="n"/>
      <c r="K2121" s="88" t="n"/>
      <c r="L2121" s="88" t="n"/>
      <c r="M2121" s="88" t="n"/>
      <c r="N2121" s="89" t="n"/>
      <c r="O2121" s="88" t="n"/>
      <c r="P2121" s="88" t="n"/>
      <c r="Q2121" s="88" t="n"/>
      <c r="R2121" s="89" t="n"/>
      <c r="S2121" s="88" t="n"/>
      <c r="T2121" s="88" t="n"/>
      <c r="U2121" s="88" t="n"/>
      <c r="V2121" s="89" t="n"/>
      <c r="W2121" s="88" t="n"/>
      <c r="X2121" s="89" t="n"/>
      <c r="Y2121" s="88" t="n"/>
      <c r="Z2121" s="89" t="n"/>
      <c r="AB2121" s="30">
        <f>IF($B2121="","",(COUNTIF(C2121:E2121,"?*")&lt;N(INDEX(Setup!$L$6:$L$23,14)))+(COUNTIF(G2121:I2121,"?*")&lt;N(INDEX(Setup!$L$6:$L$23,14)))+(COUNTIF(K2121:M2121,"?*")&lt;N(INDEX(Setup!$L$6:$L$23,14)))+(COUNTIF(O2121:Q2121,"?*")&lt;N(INDEX(Setup!$L$6:$L$23,14)))+(COUNTIF(S2121:U2121,"?*")&lt;N(INDEX(Setup!$L$6:$L$23,14)))+((W2121="")*(INDEX(Setup!$M$6:$M$23,14)="Y"))+((Y2121="")*(INDEX(Setup!$M$6:$M$23,14)="Y")))</f>
        <v/>
      </c>
      <c r="AC2121" s="91">
        <f>IF($B2121="","",IF(AB2121=0,"✓ covered","⚠ "&amp;AB2121&amp;IF(AB2121=1," gap"," gaps")))</f>
        <v/>
      </c>
    </row>
    <row r="2122" ht="17" customHeight="1">
      <c r="A2122" t="n">
        <v>43</v>
      </c>
      <c r="B2122" s="24">
        <f>IF(Setup!$K$20="","",Setup!$K$20)</f>
        <v/>
      </c>
      <c r="C2122" s="88" t="n"/>
      <c r="D2122" s="88" t="n"/>
      <c r="E2122" s="88" t="n"/>
      <c r="F2122" s="89" t="n"/>
      <c r="G2122" s="88" t="n"/>
      <c r="H2122" s="88" t="n"/>
      <c r="I2122" s="88" t="n"/>
      <c r="J2122" s="89" t="n"/>
      <c r="K2122" s="88" t="n"/>
      <c r="L2122" s="88" t="n"/>
      <c r="M2122" s="88" t="n"/>
      <c r="N2122" s="89" t="n"/>
      <c r="O2122" s="88" t="n"/>
      <c r="P2122" s="88" t="n"/>
      <c r="Q2122" s="88" t="n"/>
      <c r="R2122" s="89" t="n"/>
      <c r="S2122" s="88" t="n"/>
      <c r="T2122" s="88" t="n"/>
      <c r="U2122" s="88" t="n"/>
      <c r="V2122" s="89" t="n"/>
      <c r="W2122" s="88" t="n"/>
      <c r="X2122" s="89" t="n"/>
      <c r="Y2122" s="88" t="n"/>
      <c r="Z2122" s="89" t="n"/>
      <c r="AB2122" s="25">
        <f>IF($B2122="","",(COUNTIF(C2122:E2122,"?*")&lt;N(INDEX(Setup!$L$6:$L$23,15)))+(COUNTIF(G2122:I2122,"?*")&lt;N(INDEX(Setup!$L$6:$L$23,15)))+(COUNTIF(K2122:M2122,"?*")&lt;N(INDEX(Setup!$L$6:$L$23,15)))+(COUNTIF(O2122:Q2122,"?*")&lt;N(INDEX(Setup!$L$6:$L$23,15)))+(COUNTIF(S2122:U2122,"?*")&lt;N(INDEX(Setup!$L$6:$L$23,15)))+((W2122="")*(INDEX(Setup!$M$6:$M$23,15)="Y"))+((Y2122="")*(INDEX(Setup!$M$6:$M$23,15)="Y")))</f>
        <v/>
      </c>
      <c r="AC2122" s="90">
        <f>IF($B2122="","",IF(AB2122=0,"✓ covered","⚠ "&amp;AB2122&amp;IF(AB2122=1," gap"," gaps")))</f>
        <v/>
      </c>
    </row>
    <row r="2123" ht="17" customHeight="1">
      <c r="A2123" t="n">
        <v>43</v>
      </c>
      <c r="B2123" s="29">
        <f>IF(Setup!$K$21="","",Setup!$K$21)</f>
        <v/>
      </c>
      <c r="C2123" s="88" t="n"/>
      <c r="D2123" s="88" t="n"/>
      <c r="E2123" s="88" t="n"/>
      <c r="F2123" s="89" t="n"/>
      <c r="G2123" s="88" t="n"/>
      <c r="H2123" s="88" t="n"/>
      <c r="I2123" s="88" t="n"/>
      <c r="J2123" s="89" t="n"/>
      <c r="K2123" s="88" t="n"/>
      <c r="L2123" s="88" t="n"/>
      <c r="M2123" s="88" t="n"/>
      <c r="N2123" s="89" t="n"/>
      <c r="O2123" s="88" t="n"/>
      <c r="P2123" s="88" t="n"/>
      <c r="Q2123" s="88" t="n"/>
      <c r="R2123" s="89" t="n"/>
      <c r="S2123" s="88" t="n"/>
      <c r="T2123" s="88" t="n"/>
      <c r="U2123" s="88" t="n"/>
      <c r="V2123" s="89" t="n"/>
      <c r="W2123" s="88" t="n"/>
      <c r="X2123" s="89" t="n"/>
      <c r="Y2123" s="88" t="n"/>
      <c r="Z2123" s="89" t="n"/>
      <c r="AB2123" s="30">
        <f>IF($B2123="","",(COUNTIF(C2123:E2123,"?*")&lt;N(INDEX(Setup!$L$6:$L$23,16)))+(COUNTIF(G2123:I2123,"?*")&lt;N(INDEX(Setup!$L$6:$L$23,16)))+(COUNTIF(K2123:M2123,"?*")&lt;N(INDEX(Setup!$L$6:$L$23,16)))+(COUNTIF(O2123:Q2123,"?*")&lt;N(INDEX(Setup!$L$6:$L$23,16)))+(COUNTIF(S2123:U2123,"?*")&lt;N(INDEX(Setup!$L$6:$L$23,16)))+((W2123="")*(INDEX(Setup!$M$6:$M$23,16)="Y"))+((Y2123="")*(INDEX(Setup!$M$6:$M$23,16)="Y")))</f>
        <v/>
      </c>
      <c r="AC2123" s="91">
        <f>IF($B2123="","",IF(AB2123=0,"✓ covered","⚠ "&amp;AB2123&amp;IF(AB2123=1," gap"," gaps")))</f>
        <v/>
      </c>
    </row>
    <row r="2124" ht="17" customHeight="1">
      <c r="A2124" t="n">
        <v>43</v>
      </c>
      <c r="B2124" s="24">
        <f>IF(Setup!$K$22="","",Setup!$K$22)</f>
        <v/>
      </c>
      <c r="C2124" s="88" t="n"/>
      <c r="D2124" s="88" t="n"/>
      <c r="E2124" s="88" t="n"/>
      <c r="F2124" s="89" t="n"/>
      <c r="G2124" s="88" t="n"/>
      <c r="H2124" s="88" t="n"/>
      <c r="I2124" s="88" t="n"/>
      <c r="J2124" s="89" t="n"/>
      <c r="K2124" s="88" t="n"/>
      <c r="L2124" s="88" t="n"/>
      <c r="M2124" s="88" t="n"/>
      <c r="N2124" s="89" t="n"/>
      <c r="O2124" s="88" t="n"/>
      <c r="P2124" s="88" t="n"/>
      <c r="Q2124" s="88" t="n"/>
      <c r="R2124" s="89" t="n"/>
      <c r="S2124" s="88" t="n"/>
      <c r="T2124" s="88" t="n"/>
      <c r="U2124" s="88" t="n"/>
      <c r="V2124" s="89" t="n"/>
      <c r="W2124" s="88" t="n"/>
      <c r="X2124" s="89" t="n"/>
      <c r="Y2124" s="88" t="n"/>
      <c r="Z2124" s="89" t="n"/>
      <c r="AB2124" s="25">
        <f>IF($B2124="","",(COUNTIF(C2124:E2124,"?*")&lt;N(INDEX(Setup!$L$6:$L$23,17)))+(COUNTIF(G2124:I2124,"?*")&lt;N(INDEX(Setup!$L$6:$L$23,17)))+(COUNTIF(K2124:M2124,"?*")&lt;N(INDEX(Setup!$L$6:$L$23,17)))+(COUNTIF(O2124:Q2124,"?*")&lt;N(INDEX(Setup!$L$6:$L$23,17)))+(COUNTIF(S2124:U2124,"?*")&lt;N(INDEX(Setup!$L$6:$L$23,17)))+((W2124="")*(INDEX(Setup!$M$6:$M$23,17)="Y"))+((Y2124="")*(INDEX(Setup!$M$6:$M$23,17)="Y")))</f>
        <v/>
      </c>
      <c r="AC2124" s="90">
        <f>IF($B2124="","",IF(AB2124=0,"✓ covered","⚠ "&amp;AB2124&amp;IF(AB2124=1," gap"," gaps")))</f>
        <v/>
      </c>
    </row>
    <row r="2125" ht="17" customHeight="1">
      <c r="A2125" t="n">
        <v>43</v>
      </c>
      <c r="B2125" s="29">
        <f>IF(Setup!$K$23="","",Setup!$K$23)</f>
        <v/>
      </c>
      <c r="C2125" s="88" t="n"/>
      <c r="D2125" s="88" t="n"/>
      <c r="E2125" s="88" t="n"/>
      <c r="F2125" s="89" t="n"/>
      <c r="G2125" s="88" t="n"/>
      <c r="H2125" s="88" t="n"/>
      <c r="I2125" s="88" t="n"/>
      <c r="J2125" s="89" t="n"/>
      <c r="K2125" s="88" t="n"/>
      <c r="L2125" s="88" t="n"/>
      <c r="M2125" s="88" t="n"/>
      <c r="N2125" s="89" t="n"/>
      <c r="O2125" s="88" t="n"/>
      <c r="P2125" s="88" t="n"/>
      <c r="Q2125" s="88" t="n"/>
      <c r="R2125" s="89" t="n"/>
      <c r="S2125" s="88" t="n"/>
      <c r="T2125" s="88" t="n"/>
      <c r="U2125" s="88" t="n"/>
      <c r="V2125" s="89" t="n"/>
      <c r="W2125" s="88" t="n"/>
      <c r="X2125" s="89" t="n"/>
      <c r="Y2125" s="88" t="n"/>
      <c r="Z2125" s="89" t="n"/>
      <c r="AB2125" s="30">
        <f>IF($B2125="","",(COUNTIF(C2125:E2125,"?*")&lt;N(INDEX(Setup!$L$6:$L$23,18)))+(COUNTIF(G2125:I2125,"?*")&lt;N(INDEX(Setup!$L$6:$L$23,18)))+(COUNTIF(K2125:M2125,"?*")&lt;N(INDEX(Setup!$L$6:$L$23,18)))+(COUNTIF(O2125:Q2125,"?*")&lt;N(INDEX(Setup!$L$6:$L$23,18)))+(COUNTIF(S2125:U2125,"?*")&lt;N(INDEX(Setup!$L$6:$L$23,18)))+((W2125="")*(INDEX(Setup!$M$6:$M$23,18)="Y"))+((Y2125="")*(INDEX(Setup!$M$6:$M$23,18)="Y")))</f>
        <v/>
      </c>
      <c r="AC2125" s="91">
        <f>IF($B2125="","",IF(AB2125=0,"✓ covered","⚠ "&amp;AB2125&amp;IF(AB2125=1," gap"," gaps")))</f>
        <v/>
      </c>
    </row>
    <row r="2126" ht="18" customHeight="1">
      <c r="A2126" t="n">
        <v>43</v>
      </c>
      <c r="B2126" s="78" t="inlineStr">
        <is>
          <t>TEAM AVAILABILITY</t>
        </is>
      </c>
      <c r="C2126" s="92" t="inlineStr">
        <is>
          <t>Mon</t>
        </is>
      </c>
      <c r="D2126" s="93" t="n"/>
      <c r="E2126" s="93" t="n"/>
      <c r="F2126" s="94" t="n"/>
      <c r="G2126" s="92" t="inlineStr">
        <is>
          <t>Tue</t>
        </is>
      </c>
      <c r="H2126" s="93" t="n"/>
      <c r="I2126" s="93" t="n"/>
      <c r="J2126" s="94" t="n"/>
      <c r="K2126" s="92" t="inlineStr">
        <is>
          <t>Wed</t>
        </is>
      </c>
      <c r="L2126" s="93" t="n"/>
      <c r="M2126" s="93" t="n"/>
      <c r="N2126" s="94" t="n"/>
      <c r="O2126" s="92" t="inlineStr">
        <is>
          <t>Thu</t>
        </is>
      </c>
      <c r="P2126" s="93" t="n"/>
      <c r="Q2126" s="93" t="n"/>
      <c r="R2126" s="94" t="n"/>
      <c r="S2126" s="92" t="inlineStr">
        <is>
          <t>Fri</t>
        </is>
      </c>
      <c r="T2126" s="93" t="n"/>
      <c r="U2126" s="93" t="n"/>
      <c r="V2126" s="94" t="n"/>
      <c r="W2126" s="95" t="inlineStr">
        <is>
          <t>Sat</t>
        </is>
      </c>
      <c r="X2126" s="96" t="n"/>
      <c r="Y2126" s="95" t="inlineStr">
        <is>
          <t>Sun</t>
        </is>
      </c>
      <c r="Z2126" s="96" t="n"/>
      <c r="AB2126" s="97" t="inlineStr">
        <is>
          <t>Days rostered</t>
        </is>
      </c>
      <c r="AC2126" s="97" t="inlineStr">
        <is>
          <t>Conflicts</t>
        </is>
      </c>
    </row>
    <row r="2127" ht="15" customHeight="1">
      <c r="A2127" t="n">
        <v>43</v>
      </c>
      <c r="B2127" s="35">
        <f>IF(Setup!$B$6="","",Setup!$B$6)</f>
        <v/>
      </c>
      <c r="C2127" s="98" t="n"/>
      <c r="D2127" s="99" t="n"/>
      <c r="E2127" s="99" t="n"/>
      <c r="F2127" s="100" t="n"/>
      <c r="G2127" s="98" t="n"/>
      <c r="H2127" s="99" t="n"/>
      <c r="I2127" s="99" t="n"/>
      <c r="J2127" s="100" t="n"/>
      <c r="K2127" s="98" t="n"/>
      <c r="L2127" s="99" t="n"/>
      <c r="M2127" s="99" t="n"/>
      <c r="N2127" s="100" t="n"/>
      <c r="O2127" s="98" t="n"/>
      <c r="P2127" s="99" t="n"/>
      <c r="Q2127" s="99" t="n"/>
      <c r="R2127" s="100" t="n"/>
      <c r="S2127" s="98" t="n"/>
      <c r="T2127" s="99" t="n"/>
      <c r="U2127" s="99" t="n"/>
      <c r="V2127" s="100" t="n"/>
      <c r="W2127" s="98" t="n"/>
      <c r="X2127" s="100" t="n"/>
      <c r="Y2127" s="98" t="n"/>
      <c r="Z2127" s="100" t="n"/>
      <c r="AB2127" s="101">
        <f>IF($B2127="","",(COUNTIF(C2108:E2125,$B2127)+COUNTIF(C2108:E2125,$B2127&amp;" ~*")&gt;0)+(COUNTIF(G2108:I2125,$B2127)+COUNTIF(G2108:I2125,$B2127&amp;" ~*")&gt;0)+(COUNTIF(K2108:M2125,$B2127)+COUNTIF(K2108:M2125,$B2127&amp;" ~*")&gt;0)+(COUNTIF(O2108:Q2125,$B2127)+COUNTIF(O2108:Q2125,$B2127&amp;" ~*")&gt;0)+(COUNTIF(S2108:U2125,$B2127)+COUNTIF(S2108:U2125,$B2127&amp;" ~*")&gt;0)+(COUNTIF(W2108:W2125,$B2127)+COUNTIF(W2108:W2125,$B2127&amp;" ~*")&gt;0)+(COUNTIF(Y2108:Y2125,$B2127)+COUNTIF(Y2108:Y2125,$B2127&amp;" ~*")&gt;0))</f>
        <v/>
      </c>
      <c r="AC2127" s="36">
        <f>IF($B2127="","",(IFERROR(INDEX(Setup!$G$33:$G$40,MATCH(C2127,Setup!$B$33:$B$40,0)),0)=1)*(COUNTIF(C2108:E2125,$B2127)+COUNTIF(C2108:E2125,$B2127&amp;" ~*")&gt;0)+(IFERROR(INDEX(Setup!$G$33:$G$40,MATCH(G2127,Setup!$B$33:$B$40,0)),0)=1)*(COUNTIF(G2108:I2125,$B2127)+COUNTIF(G2108:I2125,$B2127&amp;" ~*")&gt;0)+(IFERROR(INDEX(Setup!$G$33:$G$40,MATCH(K2127,Setup!$B$33:$B$40,0)),0)=1)*(COUNTIF(K2108:M2125,$B2127)+COUNTIF(K2108:M2125,$B2127&amp;" ~*")&gt;0)+(IFERROR(INDEX(Setup!$G$33:$G$40,MATCH(O2127,Setup!$B$33:$B$40,0)),0)=1)*(COUNTIF(O2108:Q2125,$B2127)+COUNTIF(O2108:Q2125,$B2127&amp;" ~*")&gt;0)+(IFERROR(INDEX(Setup!$G$33:$G$40,MATCH(S2127,Setup!$B$33:$B$40,0)),0)=1)*(COUNTIF(S2108:U2125,$B2127)+COUNTIF(S2108:U2125,$B2127&amp;" ~*")&gt;0)+(IFERROR(INDEX(Setup!$G$33:$G$40,MATCH(W2127,Setup!$B$33:$B$40,0)),0)=1)*(COUNTIF(W2108:W2125,$B2127)+COUNTIF(W2108:W2125,$B2127&amp;" ~*")&gt;0)+(IFERROR(INDEX(Setup!$G$33:$G$40,MATCH(Y2127,Setup!$B$33:$B$40,0)),0)=1)*(COUNTIF(Y2108:Y2125,$B2127)+COUNTIF(Y2108:Y2125,$B2127&amp;" ~*")&gt;0))</f>
        <v/>
      </c>
    </row>
    <row r="2128" ht="15" customHeight="1">
      <c r="A2128" t="n">
        <v>43</v>
      </c>
      <c r="B2128" s="37">
        <f>IF(Setup!$B$7="","",Setup!$B$7)</f>
        <v/>
      </c>
      <c r="C2128" s="102" t="n"/>
      <c r="D2128" s="103" t="n"/>
      <c r="E2128" s="103" t="n"/>
      <c r="F2128" s="104" t="n"/>
      <c r="G2128" s="102" t="n"/>
      <c r="H2128" s="103" t="n"/>
      <c r="I2128" s="103" t="n"/>
      <c r="J2128" s="104" t="n"/>
      <c r="K2128" s="102" t="n"/>
      <c r="L2128" s="103" t="n"/>
      <c r="M2128" s="103" t="n"/>
      <c r="N2128" s="104" t="n"/>
      <c r="O2128" s="102" t="n"/>
      <c r="P2128" s="103" t="n"/>
      <c r="Q2128" s="103" t="n"/>
      <c r="R2128" s="104" t="n"/>
      <c r="S2128" s="102" t="n"/>
      <c r="T2128" s="103" t="n"/>
      <c r="U2128" s="103" t="n"/>
      <c r="V2128" s="104" t="n"/>
      <c r="W2128" s="102" t="n"/>
      <c r="X2128" s="104" t="n"/>
      <c r="Y2128" s="102" t="n"/>
      <c r="Z2128" s="104" t="n"/>
      <c r="AB2128" s="105">
        <f>IF($B2128="","",(COUNTIF(C2108:E2125,$B2128)+COUNTIF(C2108:E2125,$B2128&amp;" ~*")&gt;0)+(COUNTIF(G2108:I2125,$B2128)+COUNTIF(G2108:I2125,$B2128&amp;" ~*")&gt;0)+(COUNTIF(K2108:M2125,$B2128)+COUNTIF(K2108:M2125,$B2128&amp;" ~*")&gt;0)+(COUNTIF(O2108:Q2125,$B2128)+COUNTIF(O2108:Q2125,$B2128&amp;" ~*")&gt;0)+(COUNTIF(S2108:U2125,$B2128)+COUNTIF(S2108:U2125,$B2128&amp;" ~*")&gt;0)+(COUNTIF(W2108:W2125,$B2128)+COUNTIF(W2108:W2125,$B2128&amp;" ~*")&gt;0)+(COUNTIF(Y2108:Y2125,$B2128)+COUNTIF(Y2108:Y2125,$B2128&amp;" ~*")&gt;0))</f>
        <v/>
      </c>
      <c r="AC2128" s="38">
        <f>IF($B2128="","",(IFERROR(INDEX(Setup!$G$33:$G$40,MATCH(C2128,Setup!$B$33:$B$40,0)),0)=1)*(COUNTIF(C2108:E2125,$B2128)+COUNTIF(C2108:E2125,$B2128&amp;" ~*")&gt;0)+(IFERROR(INDEX(Setup!$G$33:$G$40,MATCH(G2128,Setup!$B$33:$B$40,0)),0)=1)*(COUNTIF(G2108:I2125,$B2128)+COUNTIF(G2108:I2125,$B2128&amp;" ~*")&gt;0)+(IFERROR(INDEX(Setup!$G$33:$G$40,MATCH(K2128,Setup!$B$33:$B$40,0)),0)=1)*(COUNTIF(K2108:M2125,$B2128)+COUNTIF(K2108:M2125,$B2128&amp;" ~*")&gt;0)+(IFERROR(INDEX(Setup!$G$33:$G$40,MATCH(O2128,Setup!$B$33:$B$40,0)),0)=1)*(COUNTIF(O2108:Q2125,$B2128)+COUNTIF(O2108:Q2125,$B2128&amp;" ~*")&gt;0)+(IFERROR(INDEX(Setup!$G$33:$G$40,MATCH(S2128,Setup!$B$33:$B$40,0)),0)=1)*(COUNTIF(S2108:U2125,$B2128)+COUNTIF(S2108:U2125,$B2128&amp;" ~*")&gt;0)+(IFERROR(INDEX(Setup!$G$33:$G$40,MATCH(W2128,Setup!$B$33:$B$40,0)),0)=1)*(COUNTIF(W2108:W2125,$B2128)+COUNTIF(W2108:W2125,$B2128&amp;" ~*")&gt;0)+(IFERROR(INDEX(Setup!$G$33:$G$40,MATCH(Y2128,Setup!$B$33:$B$40,0)),0)=1)*(COUNTIF(Y2108:Y2125,$B2128)+COUNTIF(Y2108:Y2125,$B2128&amp;" ~*")&gt;0))</f>
        <v/>
      </c>
    </row>
    <row r="2129" ht="15" customHeight="1">
      <c r="A2129" t="n">
        <v>43</v>
      </c>
      <c r="B2129" s="35">
        <f>IF(Setup!$B$8="","",Setup!$B$8)</f>
        <v/>
      </c>
      <c r="C2129" s="98" t="n"/>
      <c r="D2129" s="99" t="n"/>
      <c r="E2129" s="99" t="n"/>
      <c r="F2129" s="100" t="n"/>
      <c r="G2129" s="98" t="n"/>
      <c r="H2129" s="99" t="n"/>
      <c r="I2129" s="99" t="n"/>
      <c r="J2129" s="100" t="n"/>
      <c r="K2129" s="98" t="n"/>
      <c r="L2129" s="99" t="n"/>
      <c r="M2129" s="99" t="n"/>
      <c r="N2129" s="100" t="n"/>
      <c r="O2129" s="98" t="n"/>
      <c r="P2129" s="99" t="n"/>
      <c r="Q2129" s="99" t="n"/>
      <c r="R2129" s="100" t="n"/>
      <c r="S2129" s="98" t="n"/>
      <c r="T2129" s="99" t="n"/>
      <c r="U2129" s="99" t="n"/>
      <c r="V2129" s="100" t="n"/>
      <c r="W2129" s="98" t="n"/>
      <c r="X2129" s="100" t="n"/>
      <c r="Y2129" s="98" t="n"/>
      <c r="Z2129" s="100" t="n"/>
      <c r="AB2129" s="101">
        <f>IF($B2129="","",(COUNTIF(C2108:E2125,$B2129)+COUNTIF(C2108:E2125,$B2129&amp;" ~*")&gt;0)+(COUNTIF(G2108:I2125,$B2129)+COUNTIF(G2108:I2125,$B2129&amp;" ~*")&gt;0)+(COUNTIF(K2108:M2125,$B2129)+COUNTIF(K2108:M2125,$B2129&amp;" ~*")&gt;0)+(COUNTIF(O2108:Q2125,$B2129)+COUNTIF(O2108:Q2125,$B2129&amp;" ~*")&gt;0)+(COUNTIF(S2108:U2125,$B2129)+COUNTIF(S2108:U2125,$B2129&amp;" ~*")&gt;0)+(COUNTIF(W2108:W2125,$B2129)+COUNTIF(W2108:W2125,$B2129&amp;" ~*")&gt;0)+(COUNTIF(Y2108:Y2125,$B2129)+COUNTIF(Y2108:Y2125,$B2129&amp;" ~*")&gt;0))</f>
        <v/>
      </c>
      <c r="AC2129" s="36">
        <f>IF($B2129="","",(IFERROR(INDEX(Setup!$G$33:$G$40,MATCH(C2129,Setup!$B$33:$B$40,0)),0)=1)*(COUNTIF(C2108:E2125,$B2129)+COUNTIF(C2108:E2125,$B2129&amp;" ~*")&gt;0)+(IFERROR(INDEX(Setup!$G$33:$G$40,MATCH(G2129,Setup!$B$33:$B$40,0)),0)=1)*(COUNTIF(G2108:I2125,$B2129)+COUNTIF(G2108:I2125,$B2129&amp;" ~*")&gt;0)+(IFERROR(INDEX(Setup!$G$33:$G$40,MATCH(K2129,Setup!$B$33:$B$40,0)),0)=1)*(COUNTIF(K2108:M2125,$B2129)+COUNTIF(K2108:M2125,$B2129&amp;" ~*")&gt;0)+(IFERROR(INDEX(Setup!$G$33:$G$40,MATCH(O2129,Setup!$B$33:$B$40,0)),0)=1)*(COUNTIF(O2108:Q2125,$B2129)+COUNTIF(O2108:Q2125,$B2129&amp;" ~*")&gt;0)+(IFERROR(INDEX(Setup!$G$33:$G$40,MATCH(S2129,Setup!$B$33:$B$40,0)),0)=1)*(COUNTIF(S2108:U2125,$B2129)+COUNTIF(S2108:U2125,$B2129&amp;" ~*")&gt;0)+(IFERROR(INDEX(Setup!$G$33:$G$40,MATCH(W2129,Setup!$B$33:$B$40,0)),0)=1)*(COUNTIF(W2108:W2125,$B2129)+COUNTIF(W2108:W2125,$B2129&amp;" ~*")&gt;0)+(IFERROR(INDEX(Setup!$G$33:$G$40,MATCH(Y2129,Setup!$B$33:$B$40,0)),0)=1)*(COUNTIF(Y2108:Y2125,$B2129)+COUNTIF(Y2108:Y2125,$B2129&amp;" ~*")&gt;0))</f>
        <v/>
      </c>
    </row>
    <row r="2130" ht="15" customHeight="1">
      <c r="A2130" t="n">
        <v>43</v>
      </c>
      <c r="B2130" s="37">
        <f>IF(Setup!$B$9="","",Setup!$B$9)</f>
        <v/>
      </c>
      <c r="C2130" s="102" t="n"/>
      <c r="D2130" s="103" t="n"/>
      <c r="E2130" s="103" t="n"/>
      <c r="F2130" s="104" t="n"/>
      <c r="G2130" s="102" t="n"/>
      <c r="H2130" s="103" t="n"/>
      <c r="I2130" s="103" t="n"/>
      <c r="J2130" s="104" t="n"/>
      <c r="K2130" s="102" t="n"/>
      <c r="L2130" s="103" t="n"/>
      <c r="M2130" s="103" t="n"/>
      <c r="N2130" s="104" t="n"/>
      <c r="O2130" s="102" t="n"/>
      <c r="P2130" s="103" t="n"/>
      <c r="Q2130" s="103" t="n"/>
      <c r="R2130" s="104" t="n"/>
      <c r="S2130" s="102" t="n"/>
      <c r="T2130" s="103" t="n"/>
      <c r="U2130" s="103" t="n"/>
      <c r="V2130" s="104" t="n"/>
      <c r="W2130" s="102" t="n"/>
      <c r="X2130" s="104" t="n"/>
      <c r="Y2130" s="102" t="n"/>
      <c r="Z2130" s="104" t="n"/>
      <c r="AB2130" s="105">
        <f>IF($B2130="","",(COUNTIF(C2108:E2125,$B2130)+COUNTIF(C2108:E2125,$B2130&amp;" ~*")&gt;0)+(COUNTIF(G2108:I2125,$B2130)+COUNTIF(G2108:I2125,$B2130&amp;" ~*")&gt;0)+(COUNTIF(K2108:M2125,$B2130)+COUNTIF(K2108:M2125,$B2130&amp;" ~*")&gt;0)+(COUNTIF(O2108:Q2125,$B2130)+COUNTIF(O2108:Q2125,$B2130&amp;" ~*")&gt;0)+(COUNTIF(S2108:U2125,$B2130)+COUNTIF(S2108:U2125,$B2130&amp;" ~*")&gt;0)+(COUNTIF(W2108:W2125,$B2130)+COUNTIF(W2108:W2125,$B2130&amp;" ~*")&gt;0)+(COUNTIF(Y2108:Y2125,$B2130)+COUNTIF(Y2108:Y2125,$B2130&amp;" ~*")&gt;0))</f>
        <v/>
      </c>
      <c r="AC2130" s="38">
        <f>IF($B2130="","",(IFERROR(INDEX(Setup!$G$33:$G$40,MATCH(C2130,Setup!$B$33:$B$40,0)),0)=1)*(COUNTIF(C2108:E2125,$B2130)+COUNTIF(C2108:E2125,$B2130&amp;" ~*")&gt;0)+(IFERROR(INDEX(Setup!$G$33:$G$40,MATCH(G2130,Setup!$B$33:$B$40,0)),0)=1)*(COUNTIF(G2108:I2125,$B2130)+COUNTIF(G2108:I2125,$B2130&amp;" ~*")&gt;0)+(IFERROR(INDEX(Setup!$G$33:$G$40,MATCH(K2130,Setup!$B$33:$B$40,0)),0)=1)*(COUNTIF(K2108:M2125,$B2130)+COUNTIF(K2108:M2125,$B2130&amp;" ~*")&gt;0)+(IFERROR(INDEX(Setup!$G$33:$G$40,MATCH(O2130,Setup!$B$33:$B$40,0)),0)=1)*(COUNTIF(O2108:Q2125,$B2130)+COUNTIF(O2108:Q2125,$B2130&amp;" ~*")&gt;0)+(IFERROR(INDEX(Setup!$G$33:$G$40,MATCH(S2130,Setup!$B$33:$B$40,0)),0)=1)*(COUNTIF(S2108:U2125,$B2130)+COUNTIF(S2108:U2125,$B2130&amp;" ~*")&gt;0)+(IFERROR(INDEX(Setup!$G$33:$G$40,MATCH(W2130,Setup!$B$33:$B$40,0)),0)=1)*(COUNTIF(W2108:W2125,$B2130)+COUNTIF(W2108:W2125,$B2130&amp;" ~*")&gt;0)+(IFERROR(INDEX(Setup!$G$33:$G$40,MATCH(Y2130,Setup!$B$33:$B$40,0)),0)=1)*(COUNTIF(Y2108:Y2125,$B2130)+COUNTIF(Y2108:Y2125,$B2130&amp;" ~*")&gt;0))</f>
        <v/>
      </c>
    </row>
    <row r="2131" ht="15" customHeight="1">
      <c r="A2131" t="n">
        <v>43</v>
      </c>
      <c r="B2131" s="35">
        <f>IF(Setup!$B$10="","",Setup!$B$10)</f>
        <v/>
      </c>
      <c r="C2131" s="98" t="n"/>
      <c r="D2131" s="99" t="n"/>
      <c r="E2131" s="99" t="n"/>
      <c r="F2131" s="100" t="n"/>
      <c r="G2131" s="98" t="n"/>
      <c r="H2131" s="99" t="n"/>
      <c r="I2131" s="99" t="n"/>
      <c r="J2131" s="100" t="n"/>
      <c r="K2131" s="98" t="n"/>
      <c r="L2131" s="99" t="n"/>
      <c r="M2131" s="99" t="n"/>
      <c r="N2131" s="100" t="n"/>
      <c r="O2131" s="98" t="n"/>
      <c r="P2131" s="99" t="n"/>
      <c r="Q2131" s="99" t="n"/>
      <c r="R2131" s="100" t="n"/>
      <c r="S2131" s="98" t="n"/>
      <c r="T2131" s="99" t="n"/>
      <c r="U2131" s="99" t="n"/>
      <c r="V2131" s="100" t="n"/>
      <c r="W2131" s="98" t="n"/>
      <c r="X2131" s="100" t="n"/>
      <c r="Y2131" s="98" t="n"/>
      <c r="Z2131" s="100" t="n"/>
      <c r="AB2131" s="101">
        <f>IF($B2131="","",(COUNTIF(C2108:E2125,$B2131)+COUNTIF(C2108:E2125,$B2131&amp;" ~*")&gt;0)+(COUNTIF(G2108:I2125,$B2131)+COUNTIF(G2108:I2125,$B2131&amp;" ~*")&gt;0)+(COUNTIF(K2108:M2125,$B2131)+COUNTIF(K2108:M2125,$B2131&amp;" ~*")&gt;0)+(COUNTIF(O2108:Q2125,$B2131)+COUNTIF(O2108:Q2125,$B2131&amp;" ~*")&gt;0)+(COUNTIF(S2108:U2125,$B2131)+COUNTIF(S2108:U2125,$B2131&amp;" ~*")&gt;0)+(COUNTIF(W2108:W2125,$B2131)+COUNTIF(W2108:W2125,$B2131&amp;" ~*")&gt;0)+(COUNTIF(Y2108:Y2125,$B2131)+COUNTIF(Y2108:Y2125,$B2131&amp;" ~*")&gt;0))</f>
        <v/>
      </c>
      <c r="AC2131" s="36">
        <f>IF($B2131="","",(IFERROR(INDEX(Setup!$G$33:$G$40,MATCH(C2131,Setup!$B$33:$B$40,0)),0)=1)*(COUNTIF(C2108:E2125,$B2131)+COUNTIF(C2108:E2125,$B2131&amp;" ~*")&gt;0)+(IFERROR(INDEX(Setup!$G$33:$G$40,MATCH(G2131,Setup!$B$33:$B$40,0)),0)=1)*(COUNTIF(G2108:I2125,$B2131)+COUNTIF(G2108:I2125,$B2131&amp;" ~*")&gt;0)+(IFERROR(INDEX(Setup!$G$33:$G$40,MATCH(K2131,Setup!$B$33:$B$40,0)),0)=1)*(COUNTIF(K2108:M2125,$B2131)+COUNTIF(K2108:M2125,$B2131&amp;" ~*")&gt;0)+(IFERROR(INDEX(Setup!$G$33:$G$40,MATCH(O2131,Setup!$B$33:$B$40,0)),0)=1)*(COUNTIF(O2108:Q2125,$B2131)+COUNTIF(O2108:Q2125,$B2131&amp;" ~*")&gt;0)+(IFERROR(INDEX(Setup!$G$33:$G$40,MATCH(S2131,Setup!$B$33:$B$40,0)),0)=1)*(COUNTIF(S2108:U2125,$B2131)+COUNTIF(S2108:U2125,$B2131&amp;" ~*")&gt;0)+(IFERROR(INDEX(Setup!$G$33:$G$40,MATCH(W2131,Setup!$B$33:$B$40,0)),0)=1)*(COUNTIF(W2108:W2125,$B2131)+COUNTIF(W2108:W2125,$B2131&amp;" ~*")&gt;0)+(IFERROR(INDEX(Setup!$G$33:$G$40,MATCH(Y2131,Setup!$B$33:$B$40,0)),0)=1)*(COUNTIF(Y2108:Y2125,$B2131)+COUNTIF(Y2108:Y2125,$B2131&amp;" ~*")&gt;0))</f>
        <v/>
      </c>
    </row>
    <row r="2132" ht="15" customHeight="1">
      <c r="A2132" t="n">
        <v>43</v>
      </c>
      <c r="B2132" s="37">
        <f>IF(Setup!$B$11="","",Setup!$B$11)</f>
        <v/>
      </c>
      <c r="C2132" s="102" t="n"/>
      <c r="D2132" s="103" t="n"/>
      <c r="E2132" s="103" t="n"/>
      <c r="F2132" s="104" t="n"/>
      <c r="G2132" s="102" t="n"/>
      <c r="H2132" s="103" t="n"/>
      <c r="I2132" s="103" t="n"/>
      <c r="J2132" s="104" t="n"/>
      <c r="K2132" s="102" t="n"/>
      <c r="L2132" s="103" t="n"/>
      <c r="M2132" s="103" t="n"/>
      <c r="N2132" s="104" t="n"/>
      <c r="O2132" s="102" t="n"/>
      <c r="P2132" s="103" t="n"/>
      <c r="Q2132" s="103" t="n"/>
      <c r="R2132" s="104" t="n"/>
      <c r="S2132" s="102" t="n"/>
      <c r="T2132" s="103" t="n"/>
      <c r="U2132" s="103" t="n"/>
      <c r="V2132" s="104" t="n"/>
      <c r="W2132" s="102" t="n"/>
      <c r="X2132" s="104" t="n"/>
      <c r="Y2132" s="102" t="n"/>
      <c r="Z2132" s="104" t="n"/>
      <c r="AB2132" s="105">
        <f>IF($B2132="","",(COUNTIF(C2108:E2125,$B2132)+COUNTIF(C2108:E2125,$B2132&amp;" ~*")&gt;0)+(COUNTIF(G2108:I2125,$B2132)+COUNTIF(G2108:I2125,$B2132&amp;" ~*")&gt;0)+(COUNTIF(K2108:M2125,$B2132)+COUNTIF(K2108:M2125,$B2132&amp;" ~*")&gt;0)+(COUNTIF(O2108:Q2125,$B2132)+COUNTIF(O2108:Q2125,$B2132&amp;" ~*")&gt;0)+(COUNTIF(S2108:U2125,$B2132)+COUNTIF(S2108:U2125,$B2132&amp;" ~*")&gt;0)+(COUNTIF(W2108:W2125,$B2132)+COUNTIF(W2108:W2125,$B2132&amp;" ~*")&gt;0)+(COUNTIF(Y2108:Y2125,$B2132)+COUNTIF(Y2108:Y2125,$B2132&amp;" ~*")&gt;0))</f>
        <v/>
      </c>
      <c r="AC2132" s="38">
        <f>IF($B2132="","",(IFERROR(INDEX(Setup!$G$33:$G$40,MATCH(C2132,Setup!$B$33:$B$40,0)),0)=1)*(COUNTIF(C2108:E2125,$B2132)+COUNTIF(C2108:E2125,$B2132&amp;" ~*")&gt;0)+(IFERROR(INDEX(Setup!$G$33:$G$40,MATCH(G2132,Setup!$B$33:$B$40,0)),0)=1)*(COUNTIF(G2108:I2125,$B2132)+COUNTIF(G2108:I2125,$B2132&amp;" ~*")&gt;0)+(IFERROR(INDEX(Setup!$G$33:$G$40,MATCH(K2132,Setup!$B$33:$B$40,0)),0)=1)*(COUNTIF(K2108:M2125,$B2132)+COUNTIF(K2108:M2125,$B2132&amp;" ~*")&gt;0)+(IFERROR(INDEX(Setup!$G$33:$G$40,MATCH(O2132,Setup!$B$33:$B$40,0)),0)=1)*(COUNTIF(O2108:Q2125,$B2132)+COUNTIF(O2108:Q2125,$B2132&amp;" ~*")&gt;0)+(IFERROR(INDEX(Setup!$G$33:$G$40,MATCH(S2132,Setup!$B$33:$B$40,0)),0)=1)*(COUNTIF(S2108:U2125,$B2132)+COUNTIF(S2108:U2125,$B2132&amp;" ~*")&gt;0)+(IFERROR(INDEX(Setup!$G$33:$G$40,MATCH(W2132,Setup!$B$33:$B$40,0)),0)=1)*(COUNTIF(W2108:W2125,$B2132)+COUNTIF(W2108:W2125,$B2132&amp;" ~*")&gt;0)+(IFERROR(INDEX(Setup!$G$33:$G$40,MATCH(Y2132,Setup!$B$33:$B$40,0)),0)=1)*(COUNTIF(Y2108:Y2125,$B2132)+COUNTIF(Y2108:Y2125,$B2132&amp;" ~*")&gt;0))</f>
        <v/>
      </c>
    </row>
    <row r="2133" ht="15" customHeight="1">
      <c r="A2133" t="n">
        <v>43</v>
      </c>
      <c r="B2133" s="35">
        <f>IF(Setup!$B$12="","",Setup!$B$12)</f>
        <v/>
      </c>
      <c r="C2133" s="98" t="inlineStr">
        <is>
          <t>AL</t>
        </is>
      </c>
      <c r="D2133" s="99" t="n"/>
      <c r="E2133" s="99" t="n"/>
      <c r="F2133" s="100" t="n"/>
      <c r="G2133" s="98" t="n"/>
      <c r="H2133" s="99" t="n"/>
      <c r="I2133" s="99" t="n"/>
      <c r="J2133" s="100" t="n"/>
      <c r="K2133" s="98" t="n"/>
      <c r="L2133" s="99" t="n"/>
      <c r="M2133" s="99" t="n"/>
      <c r="N2133" s="100" t="n"/>
      <c r="O2133" s="98" t="inlineStr">
        <is>
          <t>AL</t>
        </is>
      </c>
      <c r="P2133" s="99" t="n"/>
      <c r="Q2133" s="99" t="n"/>
      <c r="R2133" s="100" t="n"/>
      <c r="S2133" s="98" t="n"/>
      <c r="T2133" s="99" t="n"/>
      <c r="U2133" s="99" t="n"/>
      <c r="V2133" s="100" t="n"/>
      <c r="W2133" s="98" t="n"/>
      <c r="X2133" s="100" t="n"/>
      <c r="Y2133" s="98" t="n"/>
      <c r="Z2133" s="100" t="n"/>
      <c r="AB2133" s="101">
        <f>IF($B2133="","",(COUNTIF(C2108:E2125,$B2133)+COUNTIF(C2108:E2125,$B2133&amp;" ~*")&gt;0)+(COUNTIF(G2108:I2125,$B2133)+COUNTIF(G2108:I2125,$B2133&amp;" ~*")&gt;0)+(COUNTIF(K2108:M2125,$B2133)+COUNTIF(K2108:M2125,$B2133&amp;" ~*")&gt;0)+(COUNTIF(O2108:Q2125,$B2133)+COUNTIF(O2108:Q2125,$B2133&amp;" ~*")&gt;0)+(COUNTIF(S2108:U2125,$B2133)+COUNTIF(S2108:U2125,$B2133&amp;" ~*")&gt;0)+(COUNTIF(W2108:W2125,$B2133)+COUNTIF(W2108:W2125,$B2133&amp;" ~*")&gt;0)+(COUNTIF(Y2108:Y2125,$B2133)+COUNTIF(Y2108:Y2125,$B2133&amp;" ~*")&gt;0))</f>
        <v/>
      </c>
      <c r="AC2133" s="36">
        <f>IF($B2133="","",(IFERROR(INDEX(Setup!$G$33:$G$40,MATCH(C2133,Setup!$B$33:$B$40,0)),0)=1)*(COUNTIF(C2108:E2125,$B2133)+COUNTIF(C2108:E2125,$B2133&amp;" ~*")&gt;0)+(IFERROR(INDEX(Setup!$G$33:$G$40,MATCH(G2133,Setup!$B$33:$B$40,0)),0)=1)*(COUNTIF(G2108:I2125,$B2133)+COUNTIF(G2108:I2125,$B2133&amp;" ~*")&gt;0)+(IFERROR(INDEX(Setup!$G$33:$G$40,MATCH(K2133,Setup!$B$33:$B$40,0)),0)=1)*(COUNTIF(K2108:M2125,$B2133)+COUNTIF(K2108:M2125,$B2133&amp;" ~*")&gt;0)+(IFERROR(INDEX(Setup!$G$33:$G$40,MATCH(O2133,Setup!$B$33:$B$40,0)),0)=1)*(COUNTIF(O2108:Q2125,$B2133)+COUNTIF(O2108:Q2125,$B2133&amp;" ~*")&gt;0)+(IFERROR(INDEX(Setup!$G$33:$G$40,MATCH(S2133,Setup!$B$33:$B$40,0)),0)=1)*(COUNTIF(S2108:U2125,$B2133)+COUNTIF(S2108:U2125,$B2133&amp;" ~*")&gt;0)+(IFERROR(INDEX(Setup!$G$33:$G$40,MATCH(W2133,Setup!$B$33:$B$40,0)),0)=1)*(COUNTIF(W2108:W2125,$B2133)+COUNTIF(W2108:W2125,$B2133&amp;" ~*")&gt;0)+(IFERROR(INDEX(Setup!$G$33:$G$40,MATCH(Y2133,Setup!$B$33:$B$40,0)),0)=1)*(COUNTIF(Y2108:Y2125,$B2133)+COUNTIF(Y2108:Y2125,$B2133&amp;" ~*")&gt;0))</f>
        <v/>
      </c>
    </row>
    <row r="2134" ht="15" customHeight="1">
      <c r="A2134" t="n">
        <v>43</v>
      </c>
      <c r="B2134" s="37">
        <f>IF(Setup!$B$13="","",Setup!$B$13)</f>
        <v/>
      </c>
      <c r="C2134" s="102" t="n"/>
      <c r="D2134" s="103" t="n"/>
      <c r="E2134" s="103" t="n"/>
      <c r="F2134" s="104" t="n"/>
      <c r="G2134" s="102" t="n"/>
      <c r="H2134" s="103" t="n"/>
      <c r="I2134" s="103" t="n"/>
      <c r="J2134" s="104" t="n"/>
      <c r="K2134" s="102" t="n"/>
      <c r="L2134" s="103" t="n"/>
      <c r="M2134" s="103" t="n"/>
      <c r="N2134" s="104" t="n"/>
      <c r="O2134" s="102" t="n"/>
      <c r="P2134" s="103" t="n"/>
      <c r="Q2134" s="103" t="n"/>
      <c r="R2134" s="104" t="n"/>
      <c r="S2134" s="102" t="n"/>
      <c r="T2134" s="103" t="n"/>
      <c r="U2134" s="103" t="n"/>
      <c r="V2134" s="104" t="n"/>
      <c r="W2134" s="102" t="n"/>
      <c r="X2134" s="104" t="n"/>
      <c r="Y2134" s="102" t="n"/>
      <c r="Z2134" s="104" t="n"/>
      <c r="AB2134" s="105">
        <f>IF($B2134="","",(COUNTIF(C2108:E2125,$B2134)+COUNTIF(C2108:E2125,$B2134&amp;" ~*")&gt;0)+(COUNTIF(G2108:I2125,$B2134)+COUNTIF(G2108:I2125,$B2134&amp;" ~*")&gt;0)+(COUNTIF(K2108:M2125,$B2134)+COUNTIF(K2108:M2125,$B2134&amp;" ~*")&gt;0)+(COUNTIF(O2108:Q2125,$B2134)+COUNTIF(O2108:Q2125,$B2134&amp;" ~*")&gt;0)+(COUNTIF(S2108:U2125,$B2134)+COUNTIF(S2108:U2125,$B2134&amp;" ~*")&gt;0)+(COUNTIF(W2108:W2125,$B2134)+COUNTIF(W2108:W2125,$B2134&amp;" ~*")&gt;0)+(COUNTIF(Y2108:Y2125,$B2134)+COUNTIF(Y2108:Y2125,$B2134&amp;" ~*")&gt;0))</f>
        <v/>
      </c>
      <c r="AC2134" s="38">
        <f>IF($B2134="","",(IFERROR(INDEX(Setup!$G$33:$G$40,MATCH(C2134,Setup!$B$33:$B$40,0)),0)=1)*(COUNTIF(C2108:E2125,$B2134)+COUNTIF(C2108:E2125,$B2134&amp;" ~*")&gt;0)+(IFERROR(INDEX(Setup!$G$33:$G$40,MATCH(G2134,Setup!$B$33:$B$40,0)),0)=1)*(COUNTIF(G2108:I2125,$B2134)+COUNTIF(G2108:I2125,$B2134&amp;" ~*")&gt;0)+(IFERROR(INDEX(Setup!$G$33:$G$40,MATCH(K2134,Setup!$B$33:$B$40,0)),0)=1)*(COUNTIF(K2108:M2125,$B2134)+COUNTIF(K2108:M2125,$B2134&amp;" ~*")&gt;0)+(IFERROR(INDEX(Setup!$G$33:$G$40,MATCH(O2134,Setup!$B$33:$B$40,0)),0)=1)*(COUNTIF(O2108:Q2125,$B2134)+COUNTIF(O2108:Q2125,$B2134&amp;" ~*")&gt;0)+(IFERROR(INDEX(Setup!$G$33:$G$40,MATCH(S2134,Setup!$B$33:$B$40,0)),0)=1)*(COUNTIF(S2108:U2125,$B2134)+COUNTIF(S2108:U2125,$B2134&amp;" ~*")&gt;0)+(IFERROR(INDEX(Setup!$G$33:$G$40,MATCH(W2134,Setup!$B$33:$B$40,0)),0)=1)*(COUNTIF(W2108:W2125,$B2134)+COUNTIF(W2108:W2125,$B2134&amp;" ~*")&gt;0)+(IFERROR(INDEX(Setup!$G$33:$G$40,MATCH(Y2134,Setup!$B$33:$B$40,0)),0)=1)*(COUNTIF(Y2108:Y2125,$B2134)+COUNTIF(Y2108:Y2125,$B2134&amp;" ~*")&gt;0))</f>
        <v/>
      </c>
    </row>
    <row r="2135" ht="15" customHeight="1">
      <c r="A2135" t="n">
        <v>43</v>
      </c>
      <c r="B2135" s="35">
        <f>IF(Setup!$B$14="","",Setup!$B$14)</f>
        <v/>
      </c>
      <c r="C2135" s="98" t="n"/>
      <c r="D2135" s="99" t="n"/>
      <c r="E2135" s="99" t="n"/>
      <c r="F2135" s="100" t="n"/>
      <c r="G2135" s="98" t="n"/>
      <c r="H2135" s="99" t="n"/>
      <c r="I2135" s="99" t="n"/>
      <c r="J2135" s="100" t="n"/>
      <c r="K2135" s="98" t="n"/>
      <c r="L2135" s="99" t="n"/>
      <c r="M2135" s="99" t="n"/>
      <c r="N2135" s="100" t="n"/>
      <c r="O2135" s="98" t="n"/>
      <c r="P2135" s="99" t="n"/>
      <c r="Q2135" s="99" t="n"/>
      <c r="R2135" s="100" t="n"/>
      <c r="S2135" s="98" t="n"/>
      <c r="T2135" s="99" t="n"/>
      <c r="U2135" s="99" t="n"/>
      <c r="V2135" s="100" t="n"/>
      <c r="W2135" s="98" t="n"/>
      <c r="X2135" s="100" t="n"/>
      <c r="Y2135" s="98" t="n"/>
      <c r="Z2135" s="100" t="n"/>
      <c r="AB2135" s="101">
        <f>IF($B2135="","",(COUNTIF(C2108:E2125,$B2135)+COUNTIF(C2108:E2125,$B2135&amp;" ~*")&gt;0)+(COUNTIF(G2108:I2125,$B2135)+COUNTIF(G2108:I2125,$B2135&amp;" ~*")&gt;0)+(COUNTIF(K2108:M2125,$B2135)+COUNTIF(K2108:M2125,$B2135&amp;" ~*")&gt;0)+(COUNTIF(O2108:Q2125,$B2135)+COUNTIF(O2108:Q2125,$B2135&amp;" ~*")&gt;0)+(COUNTIF(S2108:U2125,$B2135)+COUNTIF(S2108:U2125,$B2135&amp;" ~*")&gt;0)+(COUNTIF(W2108:W2125,$B2135)+COUNTIF(W2108:W2125,$B2135&amp;" ~*")&gt;0)+(COUNTIF(Y2108:Y2125,$B2135)+COUNTIF(Y2108:Y2125,$B2135&amp;" ~*")&gt;0))</f>
        <v/>
      </c>
      <c r="AC2135" s="36">
        <f>IF($B2135="","",(IFERROR(INDEX(Setup!$G$33:$G$40,MATCH(C2135,Setup!$B$33:$B$40,0)),0)=1)*(COUNTIF(C2108:E2125,$B2135)+COUNTIF(C2108:E2125,$B2135&amp;" ~*")&gt;0)+(IFERROR(INDEX(Setup!$G$33:$G$40,MATCH(G2135,Setup!$B$33:$B$40,0)),0)=1)*(COUNTIF(G2108:I2125,$B2135)+COUNTIF(G2108:I2125,$B2135&amp;" ~*")&gt;0)+(IFERROR(INDEX(Setup!$G$33:$G$40,MATCH(K2135,Setup!$B$33:$B$40,0)),0)=1)*(COUNTIF(K2108:M2125,$B2135)+COUNTIF(K2108:M2125,$B2135&amp;" ~*")&gt;0)+(IFERROR(INDEX(Setup!$G$33:$G$40,MATCH(O2135,Setup!$B$33:$B$40,0)),0)=1)*(COUNTIF(O2108:Q2125,$B2135)+COUNTIF(O2108:Q2125,$B2135&amp;" ~*")&gt;0)+(IFERROR(INDEX(Setup!$G$33:$G$40,MATCH(S2135,Setup!$B$33:$B$40,0)),0)=1)*(COUNTIF(S2108:U2125,$B2135)+COUNTIF(S2108:U2125,$B2135&amp;" ~*")&gt;0)+(IFERROR(INDEX(Setup!$G$33:$G$40,MATCH(W2135,Setup!$B$33:$B$40,0)),0)=1)*(COUNTIF(W2108:W2125,$B2135)+COUNTIF(W2108:W2125,$B2135&amp;" ~*")&gt;0)+(IFERROR(INDEX(Setup!$G$33:$G$40,MATCH(Y2135,Setup!$B$33:$B$40,0)),0)=1)*(COUNTIF(Y2108:Y2125,$B2135)+COUNTIF(Y2108:Y2125,$B2135&amp;" ~*")&gt;0))</f>
        <v/>
      </c>
    </row>
    <row r="2136" ht="15" customHeight="1">
      <c r="A2136" t="n">
        <v>43</v>
      </c>
      <c r="B2136" s="37">
        <f>IF(Setup!$B$15="","",Setup!$B$15)</f>
        <v/>
      </c>
      <c r="C2136" s="102" t="n"/>
      <c r="D2136" s="103" t="n"/>
      <c r="E2136" s="103" t="n"/>
      <c r="F2136" s="104" t="n"/>
      <c r="G2136" s="102" t="n"/>
      <c r="H2136" s="103" t="n"/>
      <c r="I2136" s="103" t="n"/>
      <c r="J2136" s="104" t="n"/>
      <c r="K2136" s="102" t="n"/>
      <c r="L2136" s="103" t="n"/>
      <c r="M2136" s="103" t="n"/>
      <c r="N2136" s="104" t="n"/>
      <c r="O2136" s="102" t="n"/>
      <c r="P2136" s="103" t="n"/>
      <c r="Q2136" s="103" t="n"/>
      <c r="R2136" s="104" t="n"/>
      <c r="S2136" s="102" t="n"/>
      <c r="T2136" s="103" t="n"/>
      <c r="U2136" s="103" t="n"/>
      <c r="V2136" s="104" t="n"/>
      <c r="W2136" s="102" t="n"/>
      <c r="X2136" s="104" t="n"/>
      <c r="Y2136" s="102" t="n"/>
      <c r="Z2136" s="104" t="n"/>
      <c r="AB2136" s="105">
        <f>IF($B2136="","",(COUNTIF(C2108:E2125,$B2136)+COUNTIF(C2108:E2125,$B2136&amp;" ~*")&gt;0)+(COUNTIF(G2108:I2125,$B2136)+COUNTIF(G2108:I2125,$B2136&amp;" ~*")&gt;0)+(COUNTIF(K2108:M2125,$B2136)+COUNTIF(K2108:M2125,$B2136&amp;" ~*")&gt;0)+(COUNTIF(O2108:Q2125,$B2136)+COUNTIF(O2108:Q2125,$B2136&amp;" ~*")&gt;0)+(COUNTIF(S2108:U2125,$B2136)+COUNTIF(S2108:U2125,$B2136&amp;" ~*")&gt;0)+(COUNTIF(W2108:W2125,$B2136)+COUNTIF(W2108:W2125,$B2136&amp;" ~*")&gt;0)+(COUNTIF(Y2108:Y2125,$B2136)+COUNTIF(Y2108:Y2125,$B2136&amp;" ~*")&gt;0))</f>
        <v/>
      </c>
      <c r="AC2136" s="38">
        <f>IF($B2136="","",(IFERROR(INDEX(Setup!$G$33:$G$40,MATCH(C2136,Setup!$B$33:$B$40,0)),0)=1)*(COUNTIF(C2108:E2125,$B2136)+COUNTIF(C2108:E2125,$B2136&amp;" ~*")&gt;0)+(IFERROR(INDEX(Setup!$G$33:$G$40,MATCH(G2136,Setup!$B$33:$B$40,0)),0)=1)*(COUNTIF(G2108:I2125,$B2136)+COUNTIF(G2108:I2125,$B2136&amp;" ~*")&gt;0)+(IFERROR(INDEX(Setup!$G$33:$G$40,MATCH(K2136,Setup!$B$33:$B$40,0)),0)=1)*(COUNTIF(K2108:M2125,$B2136)+COUNTIF(K2108:M2125,$B2136&amp;" ~*")&gt;0)+(IFERROR(INDEX(Setup!$G$33:$G$40,MATCH(O2136,Setup!$B$33:$B$40,0)),0)=1)*(COUNTIF(O2108:Q2125,$B2136)+COUNTIF(O2108:Q2125,$B2136&amp;" ~*")&gt;0)+(IFERROR(INDEX(Setup!$G$33:$G$40,MATCH(S2136,Setup!$B$33:$B$40,0)),0)=1)*(COUNTIF(S2108:U2125,$B2136)+COUNTIF(S2108:U2125,$B2136&amp;" ~*")&gt;0)+(IFERROR(INDEX(Setup!$G$33:$G$40,MATCH(W2136,Setup!$B$33:$B$40,0)),0)=1)*(COUNTIF(W2108:W2125,$B2136)+COUNTIF(W2108:W2125,$B2136&amp;" ~*")&gt;0)+(IFERROR(INDEX(Setup!$G$33:$G$40,MATCH(Y2136,Setup!$B$33:$B$40,0)),0)=1)*(COUNTIF(Y2108:Y2125,$B2136)+COUNTIF(Y2108:Y2125,$B2136&amp;" ~*")&gt;0))</f>
        <v/>
      </c>
    </row>
    <row r="2137" ht="15" customHeight="1">
      <c r="A2137" t="n">
        <v>43</v>
      </c>
      <c r="B2137" s="35">
        <f>IF(Setup!$B$16="","",Setup!$B$16)</f>
        <v/>
      </c>
      <c r="C2137" s="98" t="n"/>
      <c r="D2137" s="99" t="n"/>
      <c r="E2137" s="99" t="n"/>
      <c r="F2137" s="100" t="n"/>
      <c r="G2137" s="98" t="n"/>
      <c r="H2137" s="99" t="n"/>
      <c r="I2137" s="99" t="n"/>
      <c r="J2137" s="100" t="n"/>
      <c r="K2137" s="98" t="n"/>
      <c r="L2137" s="99" t="n"/>
      <c r="M2137" s="99" t="n"/>
      <c r="N2137" s="100" t="n"/>
      <c r="O2137" s="98" t="n"/>
      <c r="P2137" s="99" t="n"/>
      <c r="Q2137" s="99" t="n"/>
      <c r="R2137" s="100" t="n"/>
      <c r="S2137" s="98" t="n"/>
      <c r="T2137" s="99" t="n"/>
      <c r="U2137" s="99" t="n"/>
      <c r="V2137" s="100" t="n"/>
      <c r="W2137" s="98" t="n"/>
      <c r="X2137" s="100" t="n"/>
      <c r="Y2137" s="98" t="n"/>
      <c r="Z2137" s="100" t="n"/>
      <c r="AB2137" s="101">
        <f>IF($B2137="","",(COUNTIF(C2108:E2125,$B2137)+COUNTIF(C2108:E2125,$B2137&amp;" ~*")&gt;0)+(COUNTIF(G2108:I2125,$B2137)+COUNTIF(G2108:I2125,$B2137&amp;" ~*")&gt;0)+(COUNTIF(K2108:M2125,$B2137)+COUNTIF(K2108:M2125,$B2137&amp;" ~*")&gt;0)+(COUNTIF(O2108:Q2125,$B2137)+COUNTIF(O2108:Q2125,$B2137&amp;" ~*")&gt;0)+(COUNTIF(S2108:U2125,$B2137)+COUNTIF(S2108:U2125,$B2137&amp;" ~*")&gt;0)+(COUNTIF(W2108:W2125,$B2137)+COUNTIF(W2108:W2125,$B2137&amp;" ~*")&gt;0)+(COUNTIF(Y2108:Y2125,$B2137)+COUNTIF(Y2108:Y2125,$B2137&amp;" ~*")&gt;0))</f>
        <v/>
      </c>
      <c r="AC2137" s="36">
        <f>IF($B2137="","",(IFERROR(INDEX(Setup!$G$33:$G$40,MATCH(C2137,Setup!$B$33:$B$40,0)),0)=1)*(COUNTIF(C2108:E2125,$B2137)+COUNTIF(C2108:E2125,$B2137&amp;" ~*")&gt;0)+(IFERROR(INDEX(Setup!$G$33:$G$40,MATCH(G2137,Setup!$B$33:$B$40,0)),0)=1)*(COUNTIF(G2108:I2125,$B2137)+COUNTIF(G2108:I2125,$B2137&amp;" ~*")&gt;0)+(IFERROR(INDEX(Setup!$G$33:$G$40,MATCH(K2137,Setup!$B$33:$B$40,0)),0)=1)*(COUNTIF(K2108:M2125,$B2137)+COUNTIF(K2108:M2125,$B2137&amp;" ~*")&gt;0)+(IFERROR(INDEX(Setup!$G$33:$G$40,MATCH(O2137,Setup!$B$33:$B$40,0)),0)=1)*(COUNTIF(O2108:Q2125,$B2137)+COUNTIF(O2108:Q2125,$B2137&amp;" ~*")&gt;0)+(IFERROR(INDEX(Setup!$G$33:$G$40,MATCH(S2137,Setup!$B$33:$B$40,0)),0)=1)*(COUNTIF(S2108:U2125,$B2137)+COUNTIF(S2108:U2125,$B2137&amp;" ~*")&gt;0)+(IFERROR(INDEX(Setup!$G$33:$G$40,MATCH(W2137,Setup!$B$33:$B$40,0)),0)=1)*(COUNTIF(W2108:W2125,$B2137)+COUNTIF(W2108:W2125,$B2137&amp;" ~*")&gt;0)+(IFERROR(INDEX(Setup!$G$33:$G$40,MATCH(Y2137,Setup!$B$33:$B$40,0)),0)=1)*(COUNTIF(Y2108:Y2125,$B2137)+COUNTIF(Y2108:Y2125,$B2137&amp;" ~*")&gt;0))</f>
        <v/>
      </c>
    </row>
    <row r="2138" ht="15" customHeight="1">
      <c r="A2138" t="n">
        <v>43</v>
      </c>
      <c r="B2138" s="37">
        <f>IF(Setup!$B$17="","",Setup!$B$17)</f>
        <v/>
      </c>
      <c r="C2138" s="102" t="n"/>
      <c r="D2138" s="103" t="n"/>
      <c r="E2138" s="103" t="n"/>
      <c r="F2138" s="104" t="n"/>
      <c r="G2138" s="102" t="n"/>
      <c r="H2138" s="103" t="n"/>
      <c r="I2138" s="103" t="n"/>
      <c r="J2138" s="104" t="n"/>
      <c r="K2138" s="102" t="n"/>
      <c r="L2138" s="103" t="n"/>
      <c r="M2138" s="103" t="n"/>
      <c r="N2138" s="104" t="n"/>
      <c r="O2138" s="102" t="n"/>
      <c r="P2138" s="103" t="n"/>
      <c r="Q2138" s="103" t="n"/>
      <c r="R2138" s="104" t="n"/>
      <c r="S2138" s="102" t="n"/>
      <c r="T2138" s="103" t="n"/>
      <c r="U2138" s="103" t="n"/>
      <c r="V2138" s="104" t="n"/>
      <c r="W2138" s="102" t="n"/>
      <c r="X2138" s="104" t="n"/>
      <c r="Y2138" s="102" t="n"/>
      <c r="Z2138" s="104" t="n"/>
      <c r="AB2138" s="105">
        <f>IF($B2138="","",(COUNTIF(C2108:E2125,$B2138)+COUNTIF(C2108:E2125,$B2138&amp;" ~*")&gt;0)+(COUNTIF(G2108:I2125,$B2138)+COUNTIF(G2108:I2125,$B2138&amp;" ~*")&gt;0)+(COUNTIF(K2108:M2125,$B2138)+COUNTIF(K2108:M2125,$B2138&amp;" ~*")&gt;0)+(COUNTIF(O2108:Q2125,$B2138)+COUNTIF(O2108:Q2125,$B2138&amp;" ~*")&gt;0)+(COUNTIF(S2108:U2125,$B2138)+COUNTIF(S2108:U2125,$B2138&amp;" ~*")&gt;0)+(COUNTIF(W2108:W2125,$B2138)+COUNTIF(W2108:W2125,$B2138&amp;" ~*")&gt;0)+(COUNTIF(Y2108:Y2125,$B2138)+COUNTIF(Y2108:Y2125,$B2138&amp;" ~*")&gt;0))</f>
        <v/>
      </c>
      <c r="AC2138" s="38">
        <f>IF($B2138="","",(IFERROR(INDEX(Setup!$G$33:$G$40,MATCH(C2138,Setup!$B$33:$B$40,0)),0)=1)*(COUNTIF(C2108:E2125,$B2138)+COUNTIF(C2108:E2125,$B2138&amp;" ~*")&gt;0)+(IFERROR(INDEX(Setup!$G$33:$G$40,MATCH(G2138,Setup!$B$33:$B$40,0)),0)=1)*(COUNTIF(G2108:I2125,$B2138)+COUNTIF(G2108:I2125,$B2138&amp;" ~*")&gt;0)+(IFERROR(INDEX(Setup!$G$33:$G$40,MATCH(K2138,Setup!$B$33:$B$40,0)),0)=1)*(COUNTIF(K2108:M2125,$B2138)+COUNTIF(K2108:M2125,$B2138&amp;" ~*")&gt;0)+(IFERROR(INDEX(Setup!$G$33:$G$40,MATCH(O2138,Setup!$B$33:$B$40,0)),0)=1)*(COUNTIF(O2108:Q2125,$B2138)+COUNTIF(O2108:Q2125,$B2138&amp;" ~*")&gt;0)+(IFERROR(INDEX(Setup!$G$33:$G$40,MATCH(S2138,Setup!$B$33:$B$40,0)),0)=1)*(COUNTIF(S2108:U2125,$B2138)+COUNTIF(S2108:U2125,$B2138&amp;" ~*")&gt;0)+(IFERROR(INDEX(Setup!$G$33:$G$40,MATCH(W2138,Setup!$B$33:$B$40,0)),0)=1)*(COUNTIF(W2108:W2125,$B2138)+COUNTIF(W2108:W2125,$B2138&amp;" ~*")&gt;0)+(IFERROR(INDEX(Setup!$G$33:$G$40,MATCH(Y2138,Setup!$B$33:$B$40,0)),0)=1)*(COUNTIF(Y2108:Y2125,$B2138)+COUNTIF(Y2108:Y2125,$B2138&amp;" ~*")&gt;0))</f>
        <v/>
      </c>
    </row>
    <row r="2139" ht="15" customHeight="1">
      <c r="A2139" t="n">
        <v>43</v>
      </c>
      <c r="B2139" s="35">
        <f>IF(Setup!$B$18="","",Setup!$B$18)</f>
        <v/>
      </c>
      <c r="C2139" s="98" t="n"/>
      <c r="D2139" s="99" t="n"/>
      <c r="E2139" s="99" t="n"/>
      <c r="F2139" s="100" t="n"/>
      <c r="G2139" s="98" t="n"/>
      <c r="H2139" s="99" t="n"/>
      <c r="I2139" s="99" t="n"/>
      <c r="J2139" s="100" t="n"/>
      <c r="K2139" s="98" t="n"/>
      <c r="L2139" s="99" t="n"/>
      <c r="M2139" s="99" t="n"/>
      <c r="N2139" s="100" t="n"/>
      <c r="O2139" s="98" t="n"/>
      <c r="P2139" s="99" t="n"/>
      <c r="Q2139" s="99" t="n"/>
      <c r="R2139" s="100" t="n"/>
      <c r="S2139" s="98" t="n"/>
      <c r="T2139" s="99" t="n"/>
      <c r="U2139" s="99" t="n"/>
      <c r="V2139" s="100" t="n"/>
      <c r="W2139" s="98" t="n"/>
      <c r="X2139" s="100" t="n"/>
      <c r="Y2139" s="98" t="n"/>
      <c r="Z2139" s="100" t="n"/>
      <c r="AB2139" s="101">
        <f>IF($B2139="","",(COUNTIF(C2108:E2125,$B2139)+COUNTIF(C2108:E2125,$B2139&amp;" ~*")&gt;0)+(COUNTIF(G2108:I2125,$B2139)+COUNTIF(G2108:I2125,$B2139&amp;" ~*")&gt;0)+(COUNTIF(K2108:M2125,$B2139)+COUNTIF(K2108:M2125,$B2139&amp;" ~*")&gt;0)+(COUNTIF(O2108:Q2125,$B2139)+COUNTIF(O2108:Q2125,$B2139&amp;" ~*")&gt;0)+(COUNTIF(S2108:U2125,$B2139)+COUNTIF(S2108:U2125,$B2139&amp;" ~*")&gt;0)+(COUNTIF(W2108:W2125,$B2139)+COUNTIF(W2108:W2125,$B2139&amp;" ~*")&gt;0)+(COUNTIF(Y2108:Y2125,$B2139)+COUNTIF(Y2108:Y2125,$B2139&amp;" ~*")&gt;0))</f>
        <v/>
      </c>
      <c r="AC2139" s="36">
        <f>IF($B2139="","",(IFERROR(INDEX(Setup!$G$33:$G$40,MATCH(C2139,Setup!$B$33:$B$40,0)),0)=1)*(COUNTIF(C2108:E2125,$B2139)+COUNTIF(C2108:E2125,$B2139&amp;" ~*")&gt;0)+(IFERROR(INDEX(Setup!$G$33:$G$40,MATCH(G2139,Setup!$B$33:$B$40,0)),0)=1)*(COUNTIF(G2108:I2125,$B2139)+COUNTIF(G2108:I2125,$B2139&amp;" ~*")&gt;0)+(IFERROR(INDEX(Setup!$G$33:$G$40,MATCH(K2139,Setup!$B$33:$B$40,0)),0)=1)*(COUNTIF(K2108:M2125,$B2139)+COUNTIF(K2108:M2125,$B2139&amp;" ~*")&gt;0)+(IFERROR(INDEX(Setup!$G$33:$G$40,MATCH(O2139,Setup!$B$33:$B$40,0)),0)=1)*(COUNTIF(O2108:Q2125,$B2139)+COUNTIF(O2108:Q2125,$B2139&amp;" ~*")&gt;0)+(IFERROR(INDEX(Setup!$G$33:$G$40,MATCH(S2139,Setup!$B$33:$B$40,0)),0)=1)*(COUNTIF(S2108:U2125,$B2139)+COUNTIF(S2108:U2125,$B2139&amp;" ~*")&gt;0)+(IFERROR(INDEX(Setup!$G$33:$G$40,MATCH(W2139,Setup!$B$33:$B$40,0)),0)=1)*(COUNTIF(W2108:W2125,$B2139)+COUNTIF(W2108:W2125,$B2139&amp;" ~*")&gt;0)+(IFERROR(INDEX(Setup!$G$33:$G$40,MATCH(Y2139,Setup!$B$33:$B$40,0)),0)=1)*(COUNTIF(Y2108:Y2125,$B2139)+COUNTIF(Y2108:Y2125,$B2139&amp;" ~*")&gt;0))</f>
        <v/>
      </c>
    </row>
    <row r="2140" ht="15" customHeight="1">
      <c r="A2140" t="n">
        <v>43</v>
      </c>
      <c r="B2140" s="37">
        <f>IF(Setup!$B$19="","",Setup!$B$19)</f>
        <v/>
      </c>
      <c r="C2140" s="102" t="n"/>
      <c r="D2140" s="103" t="n"/>
      <c r="E2140" s="103" t="n"/>
      <c r="F2140" s="104" t="n"/>
      <c r="G2140" s="102" t="n"/>
      <c r="H2140" s="103" t="n"/>
      <c r="I2140" s="103" t="n"/>
      <c r="J2140" s="104" t="n"/>
      <c r="K2140" s="102" t="n"/>
      <c r="L2140" s="103" t="n"/>
      <c r="M2140" s="103" t="n"/>
      <c r="N2140" s="104" t="n"/>
      <c r="O2140" s="102" t="n"/>
      <c r="P2140" s="103" t="n"/>
      <c r="Q2140" s="103" t="n"/>
      <c r="R2140" s="104" t="n"/>
      <c r="S2140" s="102" t="n"/>
      <c r="T2140" s="103" t="n"/>
      <c r="U2140" s="103" t="n"/>
      <c r="V2140" s="104" t="n"/>
      <c r="W2140" s="102" t="n"/>
      <c r="X2140" s="104" t="n"/>
      <c r="Y2140" s="102" t="n"/>
      <c r="Z2140" s="104" t="n"/>
      <c r="AB2140" s="105">
        <f>IF($B2140="","",(COUNTIF(C2108:E2125,$B2140)+COUNTIF(C2108:E2125,$B2140&amp;" ~*")&gt;0)+(COUNTIF(G2108:I2125,$B2140)+COUNTIF(G2108:I2125,$B2140&amp;" ~*")&gt;0)+(COUNTIF(K2108:M2125,$B2140)+COUNTIF(K2108:M2125,$B2140&amp;" ~*")&gt;0)+(COUNTIF(O2108:Q2125,$B2140)+COUNTIF(O2108:Q2125,$B2140&amp;" ~*")&gt;0)+(COUNTIF(S2108:U2125,$B2140)+COUNTIF(S2108:U2125,$B2140&amp;" ~*")&gt;0)+(COUNTIF(W2108:W2125,$B2140)+COUNTIF(W2108:W2125,$B2140&amp;" ~*")&gt;0)+(COUNTIF(Y2108:Y2125,$B2140)+COUNTIF(Y2108:Y2125,$B2140&amp;" ~*")&gt;0))</f>
        <v/>
      </c>
      <c r="AC2140" s="38">
        <f>IF($B2140="","",(IFERROR(INDEX(Setup!$G$33:$G$40,MATCH(C2140,Setup!$B$33:$B$40,0)),0)=1)*(COUNTIF(C2108:E2125,$B2140)+COUNTIF(C2108:E2125,$B2140&amp;" ~*")&gt;0)+(IFERROR(INDEX(Setup!$G$33:$G$40,MATCH(G2140,Setup!$B$33:$B$40,0)),0)=1)*(COUNTIF(G2108:I2125,$B2140)+COUNTIF(G2108:I2125,$B2140&amp;" ~*")&gt;0)+(IFERROR(INDEX(Setup!$G$33:$G$40,MATCH(K2140,Setup!$B$33:$B$40,0)),0)=1)*(COUNTIF(K2108:M2125,$B2140)+COUNTIF(K2108:M2125,$B2140&amp;" ~*")&gt;0)+(IFERROR(INDEX(Setup!$G$33:$G$40,MATCH(O2140,Setup!$B$33:$B$40,0)),0)=1)*(COUNTIF(O2108:Q2125,$B2140)+COUNTIF(O2108:Q2125,$B2140&amp;" ~*")&gt;0)+(IFERROR(INDEX(Setup!$G$33:$G$40,MATCH(S2140,Setup!$B$33:$B$40,0)),0)=1)*(COUNTIF(S2108:U2125,$B2140)+COUNTIF(S2108:U2125,$B2140&amp;" ~*")&gt;0)+(IFERROR(INDEX(Setup!$G$33:$G$40,MATCH(W2140,Setup!$B$33:$B$40,0)),0)=1)*(COUNTIF(W2108:W2125,$B2140)+COUNTIF(W2108:W2125,$B2140&amp;" ~*")&gt;0)+(IFERROR(INDEX(Setup!$G$33:$G$40,MATCH(Y2140,Setup!$B$33:$B$40,0)),0)=1)*(COUNTIF(Y2108:Y2125,$B2140)+COUNTIF(Y2108:Y2125,$B2140&amp;" ~*")&gt;0))</f>
        <v/>
      </c>
    </row>
    <row r="2141" ht="15" customHeight="1">
      <c r="A2141" t="n">
        <v>43</v>
      </c>
      <c r="B2141" s="35">
        <f>IF(Setup!$B$20="","",Setup!$B$20)</f>
        <v/>
      </c>
      <c r="C2141" s="98" t="n"/>
      <c r="D2141" s="99" t="n"/>
      <c r="E2141" s="99" t="n"/>
      <c r="F2141" s="100" t="n"/>
      <c r="G2141" s="98" t="n"/>
      <c r="H2141" s="99" t="n"/>
      <c r="I2141" s="99" t="n"/>
      <c r="J2141" s="100" t="n"/>
      <c r="K2141" s="98" t="n"/>
      <c r="L2141" s="99" t="n"/>
      <c r="M2141" s="99" t="n"/>
      <c r="N2141" s="100" t="n"/>
      <c r="O2141" s="98" t="n"/>
      <c r="P2141" s="99" t="n"/>
      <c r="Q2141" s="99" t="n"/>
      <c r="R2141" s="100" t="n"/>
      <c r="S2141" s="98" t="n"/>
      <c r="T2141" s="99" t="n"/>
      <c r="U2141" s="99" t="n"/>
      <c r="V2141" s="100" t="n"/>
      <c r="W2141" s="98" t="n"/>
      <c r="X2141" s="100" t="n"/>
      <c r="Y2141" s="98" t="n"/>
      <c r="Z2141" s="100" t="n"/>
      <c r="AB2141" s="101">
        <f>IF($B2141="","",(COUNTIF(C2108:E2125,$B2141)+COUNTIF(C2108:E2125,$B2141&amp;" ~*")&gt;0)+(COUNTIF(G2108:I2125,$B2141)+COUNTIF(G2108:I2125,$B2141&amp;" ~*")&gt;0)+(COUNTIF(K2108:M2125,$B2141)+COUNTIF(K2108:M2125,$B2141&amp;" ~*")&gt;0)+(COUNTIF(O2108:Q2125,$B2141)+COUNTIF(O2108:Q2125,$B2141&amp;" ~*")&gt;0)+(COUNTIF(S2108:U2125,$B2141)+COUNTIF(S2108:U2125,$B2141&amp;" ~*")&gt;0)+(COUNTIF(W2108:W2125,$B2141)+COUNTIF(W2108:W2125,$B2141&amp;" ~*")&gt;0)+(COUNTIF(Y2108:Y2125,$B2141)+COUNTIF(Y2108:Y2125,$B2141&amp;" ~*")&gt;0))</f>
        <v/>
      </c>
      <c r="AC2141" s="36">
        <f>IF($B2141="","",(IFERROR(INDEX(Setup!$G$33:$G$40,MATCH(C2141,Setup!$B$33:$B$40,0)),0)=1)*(COUNTIF(C2108:E2125,$B2141)+COUNTIF(C2108:E2125,$B2141&amp;" ~*")&gt;0)+(IFERROR(INDEX(Setup!$G$33:$G$40,MATCH(G2141,Setup!$B$33:$B$40,0)),0)=1)*(COUNTIF(G2108:I2125,$B2141)+COUNTIF(G2108:I2125,$B2141&amp;" ~*")&gt;0)+(IFERROR(INDEX(Setup!$G$33:$G$40,MATCH(K2141,Setup!$B$33:$B$40,0)),0)=1)*(COUNTIF(K2108:M2125,$B2141)+COUNTIF(K2108:M2125,$B2141&amp;" ~*")&gt;0)+(IFERROR(INDEX(Setup!$G$33:$G$40,MATCH(O2141,Setup!$B$33:$B$40,0)),0)=1)*(COUNTIF(O2108:Q2125,$B2141)+COUNTIF(O2108:Q2125,$B2141&amp;" ~*")&gt;0)+(IFERROR(INDEX(Setup!$G$33:$G$40,MATCH(S2141,Setup!$B$33:$B$40,0)),0)=1)*(COUNTIF(S2108:U2125,$B2141)+COUNTIF(S2108:U2125,$B2141&amp;" ~*")&gt;0)+(IFERROR(INDEX(Setup!$G$33:$G$40,MATCH(W2141,Setup!$B$33:$B$40,0)),0)=1)*(COUNTIF(W2108:W2125,$B2141)+COUNTIF(W2108:W2125,$B2141&amp;" ~*")&gt;0)+(IFERROR(INDEX(Setup!$G$33:$G$40,MATCH(Y2141,Setup!$B$33:$B$40,0)),0)=1)*(COUNTIF(Y2108:Y2125,$B2141)+COUNTIF(Y2108:Y2125,$B2141&amp;" ~*")&gt;0))</f>
        <v/>
      </c>
    </row>
    <row r="2142" ht="15" customHeight="1">
      <c r="A2142" t="n">
        <v>43</v>
      </c>
      <c r="B2142" s="37">
        <f>IF(Setup!$B$21="","",Setup!$B$21)</f>
        <v/>
      </c>
      <c r="C2142" s="102" t="inlineStr">
        <is>
          <t>AL</t>
        </is>
      </c>
      <c r="D2142" s="103" t="n"/>
      <c r="E2142" s="103" t="n"/>
      <c r="F2142" s="104" t="n"/>
      <c r="G2142" s="102" t="inlineStr">
        <is>
          <t>AL</t>
        </is>
      </c>
      <c r="H2142" s="103" t="n"/>
      <c r="I2142" s="103" t="n"/>
      <c r="J2142" s="104" t="n"/>
      <c r="K2142" s="102" t="inlineStr">
        <is>
          <t>AL</t>
        </is>
      </c>
      <c r="L2142" s="103" t="n"/>
      <c r="M2142" s="103" t="n"/>
      <c r="N2142" s="104" t="n"/>
      <c r="O2142" s="102" t="inlineStr">
        <is>
          <t>AL</t>
        </is>
      </c>
      <c r="P2142" s="103" t="n"/>
      <c r="Q2142" s="103" t="n"/>
      <c r="R2142" s="104" t="n"/>
      <c r="S2142" s="102" t="inlineStr">
        <is>
          <t>AL</t>
        </is>
      </c>
      <c r="T2142" s="103" t="n"/>
      <c r="U2142" s="103" t="n"/>
      <c r="V2142" s="104" t="n"/>
      <c r="W2142" s="102" t="n"/>
      <c r="X2142" s="104" t="n"/>
      <c r="Y2142" s="102" t="n"/>
      <c r="Z2142" s="104" t="n"/>
      <c r="AB2142" s="105">
        <f>IF($B2142="","",(COUNTIF(C2108:E2125,$B2142)+COUNTIF(C2108:E2125,$B2142&amp;" ~*")&gt;0)+(COUNTIF(G2108:I2125,$B2142)+COUNTIF(G2108:I2125,$B2142&amp;" ~*")&gt;0)+(COUNTIF(K2108:M2125,$B2142)+COUNTIF(K2108:M2125,$B2142&amp;" ~*")&gt;0)+(COUNTIF(O2108:Q2125,$B2142)+COUNTIF(O2108:Q2125,$B2142&amp;" ~*")&gt;0)+(COUNTIF(S2108:U2125,$B2142)+COUNTIF(S2108:U2125,$B2142&amp;" ~*")&gt;0)+(COUNTIF(W2108:W2125,$B2142)+COUNTIF(W2108:W2125,$B2142&amp;" ~*")&gt;0)+(COUNTIF(Y2108:Y2125,$B2142)+COUNTIF(Y2108:Y2125,$B2142&amp;" ~*")&gt;0))</f>
        <v/>
      </c>
      <c r="AC2142" s="38">
        <f>IF($B2142="","",(IFERROR(INDEX(Setup!$G$33:$G$40,MATCH(C2142,Setup!$B$33:$B$40,0)),0)=1)*(COUNTIF(C2108:E2125,$B2142)+COUNTIF(C2108:E2125,$B2142&amp;" ~*")&gt;0)+(IFERROR(INDEX(Setup!$G$33:$G$40,MATCH(G2142,Setup!$B$33:$B$40,0)),0)=1)*(COUNTIF(G2108:I2125,$B2142)+COUNTIF(G2108:I2125,$B2142&amp;" ~*")&gt;0)+(IFERROR(INDEX(Setup!$G$33:$G$40,MATCH(K2142,Setup!$B$33:$B$40,0)),0)=1)*(COUNTIF(K2108:M2125,$B2142)+COUNTIF(K2108:M2125,$B2142&amp;" ~*")&gt;0)+(IFERROR(INDEX(Setup!$G$33:$G$40,MATCH(O2142,Setup!$B$33:$B$40,0)),0)=1)*(COUNTIF(O2108:Q2125,$B2142)+COUNTIF(O2108:Q2125,$B2142&amp;" ~*")&gt;0)+(IFERROR(INDEX(Setup!$G$33:$G$40,MATCH(S2142,Setup!$B$33:$B$40,0)),0)=1)*(COUNTIF(S2108:U2125,$B2142)+COUNTIF(S2108:U2125,$B2142&amp;" ~*")&gt;0)+(IFERROR(INDEX(Setup!$G$33:$G$40,MATCH(W2142,Setup!$B$33:$B$40,0)),0)=1)*(COUNTIF(W2108:W2125,$B2142)+COUNTIF(W2108:W2125,$B2142&amp;" ~*")&gt;0)+(IFERROR(INDEX(Setup!$G$33:$G$40,MATCH(Y2142,Setup!$B$33:$B$40,0)),0)=1)*(COUNTIF(Y2108:Y2125,$B2142)+COUNTIF(Y2108:Y2125,$B2142&amp;" ~*")&gt;0))</f>
        <v/>
      </c>
    </row>
    <row r="2143" ht="15" customHeight="1">
      <c r="A2143" t="n">
        <v>43</v>
      </c>
      <c r="B2143" s="35">
        <f>IF(Setup!$B$22="","",Setup!$B$22)</f>
        <v/>
      </c>
      <c r="C2143" s="98" t="n"/>
      <c r="D2143" s="99" t="n"/>
      <c r="E2143" s="99" t="n"/>
      <c r="F2143" s="100" t="n"/>
      <c r="G2143" s="98" t="n"/>
      <c r="H2143" s="99" t="n"/>
      <c r="I2143" s="99" t="n"/>
      <c r="J2143" s="100" t="n"/>
      <c r="K2143" s="98" t="n"/>
      <c r="L2143" s="99" t="n"/>
      <c r="M2143" s="99" t="n"/>
      <c r="N2143" s="100" t="n"/>
      <c r="O2143" s="98" t="n"/>
      <c r="P2143" s="99" t="n"/>
      <c r="Q2143" s="99" t="n"/>
      <c r="R2143" s="100" t="n"/>
      <c r="S2143" s="98" t="n"/>
      <c r="T2143" s="99" t="n"/>
      <c r="U2143" s="99" t="n"/>
      <c r="V2143" s="100" t="n"/>
      <c r="W2143" s="98" t="n"/>
      <c r="X2143" s="100" t="n"/>
      <c r="Y2143" s="98" t="n"/>
      <c r="Z2143" s="100" t="n"/>
      <c r="AB2143" s="101">
        <f>IF($B2143="","",(COUNTIF(C2108:E2125,$B2143)+COUNTIF(C2108:E2125,$B2143&amp;" ~*")&gt;0)+(COUNTIF(G2108:I2125,$B2143)+COUNTIF(G2108:I2125,$B2143&amp;" ~*")&gt;0)+(COUNTIF(K2108:M2125,$B2143)+COUNTIF(K2108:M2125,$B2143&amp;" ~*")&gt;0)+(COUNTIF(O2108:Q2125,$B2143)+COUNTIF(O2108:Q2125,$B2143&amp;" ~*")&gt;0)+(COUNTIF(S2108:U2125,$B2143)+COUNTIF(S2108:U2125,$B2143&amp;" ~*")&gt;0)+(COUNTIF(W2108:W2125,$B2143)+COUNTIF(W2108:W2125,$B2143&amp;" ~*")&gt;0)+(COUNTIF(Y2108:Y2125,$B2143)+COUNTIF(Y2108:Y2125,$B2143&amp;" ~*")&gt;0))</f>
        <v/>
      </c>
      <c r="AC2143" s="36">
        <f>IF($B2143="","",(IFERROR(INDEX(Setup!$G$33:$G$40,MATCH(C2143,Setup!$B$33:$B$40,0)),0)=1)*(COUNTIF(C2108:E2125,$B2143)+COUNTIF(C2108:E2125,$B2143&amp;" ~*")&gt;0)+(IFERROR(INDEX(Setup!$G$33:$G$40,MATCH(G2143,Setup!$B$33:$B$40,0)),0)=1)*(COUNTIF(G2108:I2125,$B2143)+COUNTIF(G2108:I2125,$B2143&amp;" ~*")&gt;0)+(IFERROR(INDEX(Setup!$G$33:$G$40,MATCH(K2143,Setup!$B$33:$B$40,0)),0)=1)*(COUNTIF(K2108:M2125,$B2143)+COUNTIF(K2108:M2125,$B2143&amp;" ~*")&gt;0)+(IFERROR(INDEX(Setup!$G$33:$G$40,MATCH(O2143,Setup!$B$33:$B$40,0)),0)=1)*(COUNTIF(O2108:Q2125,$B2143)+COUNTIF(O2108:Q2125,$B2143&amp;" ~*")&gt;0)+(IFERROR(INDEX(Setup!$G$33:$G$40,MATCH(S2143,Setup!$B$33:$B$40,0)),0)=1)*(COUNTIF(S2108:U2125,$B2143)+COUNTIF(S2108:U2125,$B2143&amp;" ~*")&gt;0)+(IFERROR(INDEX(Setup!$G$33:$G$40,MATCH(W2143,Setup!$B$33:$B$40,0)),0)=1)*(COUNTIF(W2108:W2125,$B2143)+COUNTIF(W2108:W2125,$B2143&amp;" ~*")&gt;0)+(IFERROR(INDEX(Setup!$G$33:$G$40,MATCH(Y2143,Setup!$B$33:$B$40,0)),0)=1)*(COUNTIF(Y2108:Y2125,$B2143)+COUNTIF(Y2108:Y2125,$B2143&amp;" ~*")&gt;0))</f>
        <v/>
      </c>
    </row>
    <row r="2144" ht="15" customHeight="1">
      <c r="A2144" t="n">
        <v>43</v>
      </c>
      <c r="B2144" s="37">
        <f>IF(Setup!$B$23="","",Setup!$B$23)</f>
        <v/>
      </c>
      <c r="C2144" s="102" t="n"/>
      <c r="D2144" s="103" t="n"/>
      <c r="E2144" s="103" t="n"/>
      <c r="F2144" s="104" t="n"/>
      <c r="G2144" s="102" t="n"/>
      <c r="H2144" s="103" t="n"/>
      <c r="I2144" s="103" t="n"/>
      <c r="J2144" s="104" t="n"/>
      <c r="K2144" s="102" t="n"/>
      <c r="L2144" s="103" t="n"/>
      <c r="M2144" s="103" t="n"/>
      <c r="N2144" s="104" t="n"/>
      <c r="O2144" s="102" t="n"/>
      <c r="P2144" s="103" t="n"/>
      <c r="Q2144" s="103" t="n"/>
      <c r="R2144" s="104" t="n"/>
      <c r="S2144" s="102" t="n"/>
      <c r="T2144" s="103" t="n"/>
      <c r="U2144" s="103" t="n"/>
      <c r="V2144" s="104" t="n"/>
      <c r="W2144" s="102" t="n"/>
      <c r="X2144" s="104" t="n"/>
      <c r="Y2144" s="102" t="n"/>
      <c r="Z2144" s="104" t="n"/>
      <c r="AB2144" s="105">
        <f>IF($B2144="","",(COUNTIF(C2108:E2125,$B2144)+COUNTIF(C2108:E2125,$B2144&amp;" ~*")&gt;0)+(COUNTIF(G2108:I2125,$B2144)+COUNTIF(G2108:I2125,$B2144&amp;" ~*")&gt;0)+(COUNTIF(K2108:M2125,$B2144)+COUNTIF(K2108:M2125,$B2144&amp;" ~*")&gt;0)+(COUNTIF(O2108:Q2125,$B2144)+COUNTIF(O2108:Q2125,$B2144&amp;" ~*")&gt;0)+(COUNTIF(S2108:U2125,$B2144)+COUNTIF(S2108:U2125,$B2144&amp;" ~*")&gt;0)+(COUNTIF(W2108:W2125,$B2144)+COUNTIF(W2108:W2125,$B2144&amp;" ~*")&gt;0)+(COUNTIF(Y2108:Y2125,$B2144)+COUNTIF(Y2108:Y2125,$B2144&amp;" ~*")&gt;0))</f>
        <v/>
      </c>
      <c r="AC2144" s="38">
        <f>IF($B2144="","",(IFERROR(INDEX(Setup!$G$33:$G$40,MATCH(C2144,Setup!$B$33:$B$40,0)),0)=1)*(COUNTIF(C2108:E2125,$B2144)+COUNTIF(C2108:E2125,$B2144&amp;" ~*")&gt;0)+(IFERROR(INDEX(Setup!$G$33:$G$40,MATCH(G2144,Setup!$B$33:$B$40,0)),0)=1)*(COUNTIF(G2108:I2125,$B2144)+COUNTIF(G2108:I2125,$B2144&amp;" ~*")&gt;0)+(IFERROR(INDEX(Setup!$G$33:$G$40,MATCH(K2144,Setup!$B$33:$B$40,0)),0)=1)*(COUNTIF(K2108:M2125,$B2144)+COUNTIF(K2108:M2125,$B2144&amp;" ~*")&gt;0)+(IFERROR(INDEX(Setup!$G$33:$G$40,MATCH(O2144,Setup!$B$33:$B$40,0)),0)=1)*(COUNTIF(O2108:Q2125,$B2144)+COUNTIF(O2108:Q2125,$B2144&amp;" ~*")&gt;0)+(IFERROR(INDEX(Setup!$G$33:$G$40,MATCH(S2144,Setup!$B$33:$B$40,0)),0)=1)*(COUNTIF(S2108:U2125,$B2144)+COUNTIF(S2108:U2125,$B2144&amp;" ~*")&gt;0)+(IFERROR(INDEX(Setup!$G$33:$G$40,MATCH(W2144,Setup!$B$33:$B$40,0)),0)=1)*(COUNTIF(W2108:W2125,$B2144)+COUNTIF(W2108:W2125,$B2144&amp;" ~*")&gt;0)+(IFERROR(INDEX(Setup!$G$33:$G$40,MATCH(Y2144,Setup!$B$33:$B$40,0)),0)=1)*(COUNTIF(Y2108:Y2125,$B2144)+COUNTIF(Y2108:Y2125,$B2144&amp;" ~*")&gt;0))</f>
        <v/>
      </c>
    </row>
    <row r="2145" ht="15" customHeight="1">
      <c r="A2145" t="n">
        <v>43</v>
      </c>
      <c r="B2145" s="35">
        <f>IF(Setup!$B$24="","",Setup!$B$24)</f>
        <v/>
      </c>
      <c r="C2145" s="98" t="n"/>
      <c r="D2145" s="99" t="n"/>
      <c r="E2145" s="99" t="n"/>
      <c r="F2145" s="100" t="n"/>
      <c r="G2145" s="98" t="n"/>
      <c r="H2145" s="99" t="n"/>
      <c r="I2145" s="99" t="n"/>
      <c r="J2145" s="100" t="n"/>
      <c r="K2145" s="98" t="n"/>
      <c r="L2145" s="99" t="n"/>
      <c r="M2145" s="99" t="n"/>
      <c r="N2145" s="100" t="n"/>
      <c r="O2145" s="98" t="n"/>
      <c r="P2145" s="99" t="n"/>
      <c r="Q2145" s="99" t="n"/>
      <c r="R2145" s="100" t="n"/>
      <c r="S2145" s="98" t="n"/>
      <c r="T2145" s="99" t="n"/>
      <c r="U2145" s="99" t="n"/>
      <c r="V2145" s="100" t="n"/>
      <c r="W2145" s="98" t="n"/>
      <c r="X2145" s="100" t="n"/>
      <c r="Y2145" s="98" t="n"/>
      <c r="Z2145" s="100" t="n"/>
      <c r="AB2145" s="101">
        <f>IF($B2145="","",(COUNTIF(C2108:E2125,$B2145)+COUNTIF(C2108:E2125,$B2145&amp;" ~*")&gt;0)+(COUNTIF(G2108:I2125,$B2145)+COUNTIF(G2108:I2125,$B2145&amp;" ~*")&gt;0)+(COUNTIF(K2108:M2125,$B2145)+COUNTIF(K2108:M2125,$B2145&amp;" ~*")&gt;0)+(COUNTIF(O2108:Q2125,$B2145)+COUNTIF(O2108:Q2125,$B2145&amp;" ~*")&gt;0)+(COUNTIF(S2108:U2125,$B2145)+COUNTIF(S2108:U2125,$B2145&amp;" ~*")&gt;0)+(COUNTIF(W2108:W2125,$B2145)+COUNTIF(W2108:W2125,$B2145&amp;" ~*")&gt;0)+(COUNTIF(Y2108:Y2125,$B2145)+COUNTIF(Y2108:Y2125,$B2145&amp;" ~*")&gt;0))</f>
        <v/>
      </c>
      <c r="AC2145" s="36">
        <f>IF($B2145="","",(IFERROR(INDEX(Setup!$G$33:$G$40,MATCH(C2145,Setup!$B$33:$B$40,0)),0)=1)*(COUNTIF(C2108:E2125,$B2145)+COUNTIF(C2108:E2125,$B2145&amp;" ~*")&gt;0)+(IFERROR(INDEX(Setup!$G$33:$G$40,MATCH(G2145,Setup!$B$33:$B$40,0)),0)=1)*(COUNTIF(G2108:I2125,$B2145)+COUNTIF(G2108:I2125,$B2145&amp;" ~*")&gt;0)+(IFERROR(INDEX(Setup!$G$33:$G$40,MATCH(K2145,Setup!$B$33:$B$40,0)),0)=1)*(COUNTIF(K2108:M2125,$B2145)+COUNTIF(K2108:M2125,$B2145&amp;" ~*")&gt;0)+(IFERROR(INDEX(Setup!$G$33:$G$40,MATCH(O2145,Setup!$B$33:$B$40,0)),0)=1)*(COUNTIF(O2108:Q2125,$B2145)+COUNTIF(O2108:Q2125,$B2145&amp;" ~*")&gt;0)+(IFERROR(INDEX(Setup!$G$33:$G$40,MATCH(S2145,Setup!$B$33:$B$40,0)),0)=1)*(COUNTIF(S2108:U2125,$B2145)+COUNTIF(S2108:U2125,$B2145&amp;" ~*")&gt;0)+(IFERROR(INDEX(Setup!$G$33:$G$40,MATCH(W2145,Setup!$B$33:$B$40,0)),0)=1)*(COUNTIF(W2108:W2125,$B2145)+COUNTIF(W2108:W2125,$B2145&amp;" ~*")&gt;0)+(IFERROR(INDEX(Setup!$G$33:$G$40,MATCH(Y2145,Setup!$B$33:$B$40,0)),0)=1)*(COUNTIF(Y2108:Y2125,$B2145)+COUNTIF(Y2108:Y2125,$B2145&amp;" ~*")&gt;0))</f>
        <v/>
      </c>
    </row>
    <row r="2146" ht="15" customHeight="1">
      <c r="A2146" t="n">
        <v>43</v>
      </c>
      <c r="B2146" s="37">
        <f>IF(Setup!$B$25="","",Setup!$B$25)</f>
        <v/>
      </c>
      <c r="C2146" s="102" t="n"/>
      <c r="D2146" s="103" t="n"/>
      <c r="E2146" s="103" t="n"/>
      <c r="F2146" s="104" t="n"/>
      <c r="G2146" s="102" t="n"/>
      <c r="H2146" s="103" t="n"/>
      <c r="I2146" s="103" t="n"/>
      <c r="J2146" s="104" t="n"/>
      <c r="K2146" s="102" t="n"/>
      <c r="L2146" s="103" t="n"/>
      <c r="M2146" s="103" t="n"/>
      <c r="N2146" s="104" t="n"/>
      <c r="O2146" s="102" t="n"/>
      <c r="P2146" s="103" t="n"/>
      <c r="Q2146" s="103" t="n"/>
      <c r="R2146" s="104" t="n"/>
      <c r="S2146" s="102" t="n"/>
      <c r="T2146" s="103" t="n"/>
      <c r="U2146" s="103" t="n"/>
      <c r="V2146" s="104" t="n"/>
      <c r="W2146" s="102" t="n"/>
      <c r="X2146" s="104" t="n"/>
      <c r="Y2146" s="102" t="n"/>
      <c r="Z2146" s="104" t="n"/>
      <c r="AB2146" s="105">
        <f>IF($B2146="","",(COUNTIF(C2108:E2125,$B2146)+COUNTIF(C2108:E2125,$B2146&amp;" ~*")&gt;0)+(COUNTIF(G2108:I2125,$B2146)+COUNTIF(G2108:I2125,$B2146&amp;" ~*")&gt;0)+(COUNTIF(K2108:M2125,$B2146)+COUNTIF(K2108:M2125,$B2146&amp;" ~*")&gt;0)+(COUNTIF(O2108:Q2125,$B2146)+COUNTIF(O2108:Q2125,$B2146&amp;" ~*")&gt;0)+(COUNTIF(S2108:U2125,$B2146)+COUNTIF(S2108:U2125,$B2146&amp;" ~*")&gt;0)+(COUNTIF(W2108:W2125,$B2146)+COUNTIF(W2108:W2125,$B2146&amp;" ~*")&gt;0)+(COUNTIF(Y2108:Y2125,$B2146)+COUNTIF(Y2108:Y2125,$B2146&amp;" ~*")&gt;0))</f>
        <v/>
      </c>
      <c r="AC2146" s="38">
        <f>IF($B2146="","",(IFERROR(INDEX(Setup!$G$33:$G$40,MATCH(C2146,Setup!$B$33:$B$40,0)),0)=1)*(COUNTIF(C2108:E2125,$B2146)+COUNTIF(C2108:E2125,$B2146&amp;" ~*")&gt;0)+(IFERROR(INDEX(Setup!$G$33:$G$40,MATCH(G2146,Setup!$B$33:$B$40,0)),0)=1)*(COUNTIF(G2108:I2125,$B2146)+COUNTIF(G2108:I2125,$B2146&amp;" ~*")&gt;0)+(IFERROR(INDEX(Setup!$G$33:$G$40,MATCH(K2146,Setup!$B$33:$B$40,0)),0)=1)*(COUNTIF(K2108:M2125,$B2146)+COUNTIF(K2108:M2125,$B2146&amp;" ~*")&gt;0)+(IFERROR(INDEX(Setup!$G$33:$G$40,MATCH(O2146,Setup!$B$33:$B$40,0)),0)=1)*(COUNTIF(O2108:Q2125,$B2146)+COUNTIF(O2108:Q2125,$B2146&amp;" ~*")&gt;0)+(IFERROR(INDEX(Setup!$G$33:$G$40,MATCH(S2146,Setup!$B$33:$B$40,0)),0)=1)*(COUNTIF(S2108:U2125,$B2146)+COUNTIF(S2108:U2125,$B2146&amp;" ~*")&gt;0)+(IFERROR(INDEX(Setup!$G$33:$G$40,MATCH(W2146,Setup!$B$33:$B$40,0)),0)=1)*(COUNTIF(W2108:W2125,$B2146)+COUNTIF(W2108:W2125,$B2146&amp;" ~*")&gt;0)+(IFERROR(INDEX(Setup!$G$33:$G$40,MATCH(Y2146,Setup!$B$33:$B$40,0)),0)=1)*(COUNTIF(Y2108:Y2125,$B2146)+COUNTIF(Y2108:Y2125,$B2146&amp;" ~*")&gt;0))</f>
        <v/>
      </c>
    </row>
    <row r="2147" ht="15" customHeight="1">
      <c r="A2147" t="n">
        <v>43</v>
      </c>
      <c r="B2147" s="35">
        <f>IF(Setup!$B$26="","",Setup!$B$26)</f>
        <v/>
      </c>
      <c r="C2147" s="98" t="n"/>
      <c r="D2147" s="99" t="n"/>
      <c r="E2147" s="99" t="n"/>
      <c r="F2147" s="100" t="n"/>
      <c r="G2147" s="98" t="n"/>
      <c r="H2147" s="99" t="n"/>
      <c r="I2147" s="99" t="n"/>
      <c r="J2147" s="100" t="n"/>
      <c r="K2147" s="98" t="n"/>
      <c r="L2147" s="99" t="n"/>
      <c r="M2147" s="99" t="n"/>
      <c r="N2147" s="100" t="n"/>
      <c r="O2147" s="98" t="n"/>
      <c r="P2147" s="99" t="n"/>
      <c r="Q2147" s="99" t="n"/>
      <c r="R2147" s="100" t="n"/>
      <c r="S2147" s="98" t="n"/>
      <c r="T2147" s="99" t="n"/>
      <c r="U2147" s="99" t="n"/>
      <c r="V2147" s="100" t="n"/>
      <c r="W2147" s="98" t="n"/>
      <c r="X2147" s="100" t="n"/>
      <c r="Y2147" s="98" t="n"/>
      <c r="Z2147" s="100" t="n"/>
      <c r="AB2147" s="101">
        <f>IF($B2147="","",(COUNTIF(C2108:E2125,$B2147)+COUNTIF(C2108:E2125,$B2147&amp;" ~*")&gt;0)+(COUNTIF(G2108:I2125,$B2147)+COUNTIF(G2108:I2125,$B2147&amp;" ~*")&gt;0)+(COUNTIF(K2108:M2125,$B2147)+COUNTIF(K2108:M2125,$B2147&amp;" ~*")&gt;0)+(COUNTIF(O2108:Q2125,$B2147)+COUNTIF(O2108:Q2125,$B2147&amp;" ~*")&gt;0)+(COUNTIF(S2108:U2125,$B2147)+COUNTIF(S2108:U2125,$B2147&amp;" ~*")&gt;0)+(COUNTIF(W2108:W2125,$B2147)+COUNTIF(W2108:W2125,$B2147&amp;" ~*")&gt;0)+(COUNTIF(Y2108:Y2125,$B2147)+COUNTIF(Y2108:Y2125,$B2147&amp;" ~*")&gt;0))</f>
        <v/>
      </c>
      <c r="AC2147" s="36">
        <f>IF($B2147="","",(IFERROR(INDEX(Setup!$G$33:$G$40,MATCH(C2147,Setup!$B$33:$B$40,0)),0)=1)*(COUNTIF(C2108:E2125,$B2147)+COUNTIF(C2108:E2125,$B2147&amp;" ~*")&gt;0)+(IFERROR(INDEX(Setup!$G$33:$G$40,MATCH(G2147,Setup!$B$33:$B$40,0)),0)=1)*(COUNTIF(G2108:I2125,$B2147)+COUNTIF(G2108:I2125,$B2147&amp;" ~*")&gt;0)+(IFERROR(INDEX(Setup!$G$33:$G$40,MATCH(K2147,Setup!$B$33:$B$40,0)),0)=1)*(COUNTIF(K2108:M2125,$B2147)+COUNTIF(K2108:M2125,$B2147&amp;" ~*")&gt;0)+(IFERROR(INDEX(Setup!$G$33:$G$40,MATCH(O2147,Setup!$B$33:$B$40,0)),0)=1)*(COUNTIF(O2108:Q2125,$B2147)+COUNTIF(O2108:Q2125,$B2147&amp;" ~*")&gt;0)+(IFERROR(INDEX(Setup!$G$33:$G$40,MATCH(S2147,Setup!$B$33:$B$40,0)),0)=1)*(COUNTIF(S2108:U2125,$B2147)+COUNTIF(S2108:U2125,$B2147&amp;" ~*")&gt;0)+(IFERROR(INDEX(Setup!$G$33:$G$40,MATCH(W2147,Setup!$B$33:$B$40,0)),0)=1)*(COUNTIF(W2108:W2125,$B2147)+COUNTIF(W2108:W2125,$B2147&amp;" ~*")&gt;0)+(IFERROR(INDEX(Setup!$G$33:$G$40,MATCH(Y2147,Setup!$B$33:$B$40,0)),0)=1)*(COUNTIF(Y2108:Y2125,$B2147)+COUNTIF(Y2108:Y2125,$B2147&amp;" ~*")&gt;0))</f>
        <v/>
      </c>
    </row>
    <row r="2148" ht="15" customHeight="1">
      <c r="A2148" t="n">
        <v>43</v>
      </c>
      <c r="B2148" s="37">
        <f>IF(Setup!$B$27="","",Setup!$B$27)</f>
        <v/>
      </c>
      <c r="C2148" s="102" t="n"/>
      <c r="D2148" s="103" t="n"/>
      <c r="E2148" s="103" t="n"/>
      <c r="F2148" s="104" t="n"/>
      <c r="G2148" s="102" t="n"/>
      <c r="H2148" s="103" t="n"/>
      <c r="I2148" s="103" t="n"/>
      <c r="J2148" s="104" t="n"/>
      <c r="K2148" s="102" t="n"/>
      <c r="L2148" s="103" t="n"/>
      <c r="M2148" s="103" t="n"/>
      <c r="N2148" s="104" t="n"/>
      <c r="O2148" s="102" t="n"/>
      <c r="P2148" s="103" t="n"/>
      <c r="Q2148" s="103" t="n"/>
      <c r="R2148" s="104" t="n"/>
      <c r="S2148" s="102" t="n"/>
      <c r="T2148" s="103" t="n"/>
      <c r="U2148" s="103" t="n"/>
      <c r="V2148" s="104" t="n"/>
      <c r="W2148" s="102" t="n"/>
      <c r="X2148" s="104" t="n"/>
      <c r="Y2148" s="102" t="n"/>
      <c r="Z2148" s="104" t="n"/>
      <c r="AB2148" s="105">
        <f>IF($B2148="","",(COUNTIF(C2108:E2125,$B2148)+COUNTIF(C2108:E2125,$B2148&amp;" ~*")&gt;0)+(COUNTIF(G2108:I2125,$B2148)+COUNTIF(G2108:I2125,$B2148&amp;" ~*")&gt;0)+(COUNTIF(K2108:M2125,$B2148)+COUNTIF(K2108:M2125,$B2148&amp;" ~*")&gt;0)+(COUNTIF(O2108:Q2125,$B2148)+COUNTIF(O2108:Q2125,$B2148&amp;" ~*")&gt;0)+(COUNTIF(S2108:U2125,$B2148)+COUNTIF(S2108:U2125,$B2148&amp;" ~*")&gt;0)+(COUNTIF(W2108:W2125,$B2148)+COUNTIF(W2108:W2125,$B2148&amp;" ~*")&gt;0)+(COUNTIF(Y2108:Y2125,$B2148)+COUNTIF(Y2108:Y2125,$B2148&amp;" ~*")&gt;0))</f>
        <v/>
      </c>
      <c r="AC2148" s="38">
        <f>IF($B2148="","",(IFERROR(INDEX(Setup!$G$33:$G$40,MATCH(C2148,Setup!$B$33:$B$40,0)),0)=1)*(COUNTIF(C2108:E2125,$B2148)+COUNTIF(C2108:E2125,$B2148&amp;" ~*")&gt;0)+(IFERROR(INDEX(Setup!$G$33:$G$40,MATCH(G2148,Setup!$B$33:$B$40,0)),0)=1)*(COUNTIF(G2108:I2125,$B2148)+COUNTIF(G2108:I2125,$B2148&amp;" ~*")&gt;0)+(IFERROR(INDEX(Setup!$G$33:$G$40,MATCH(K2148,Setup!$B$33:$B$40,0)),0)=1)*(COUNTIF(K2108:M2125,$B2148)+COUNTIF(K2108:M2125,$B2148&amp;" ~*")&gt;0)+(IFERROR(INDEX(Setup!$G$33:$G$40,MATCH(O2148,Setup!$B$33:$B$40,0)),0)=1)*(COUNTIF(O2108:Q2125,$B2148)+COUNTIF(O2108:Q2125,$B2148&amp;" ~*")&gt;0)+(IFERROR(INDEX(Setup!$G$33:$G$40,MATCH(S2148,Setup!$B$33:$B$40,0)),0)=1)*(COUNTIF(S2108:U2125,$B2148)+COUNTIF(S2108:U2125,$B2148&amp;" ~*")&gt;0)+(IFERROR(INDEX(Setup!$G$33:$G$40,MATCH(W2148,Setup!$B$33:$B$40,0)),0)=1)*(COUNTIF(W2108:W2125,$B2148)+COUNTIF(W2108:W2125,$B2148&amp;" ~*")&gt;0)+(IFERROR(INDEX(Setup!$G$33:$G$40,MATCH(Y2148,Setup!$B$33:$B$40,0)),0)=1)*(COUNTIF(Y2108:Y2125,$B2148)+COUNTIF(Y2108:Y2125,$B2148&amp;" ~*")&gt;0))</f>
        <v/>
      </c>
    </row>
    <row r="2149" ht="15" customHeight="1">
      <c r="A2149" t="n">
        <v>43</v>
      </c>
      <c r="B2149" s="35">
        <f>IF(Setup!$B$28="","",Setup!$B$28)</f>
        <v/>
      </c>
      <c r="C2149" s="98" t="n"/>
      <c r="D2149" s="99" t="n"/>
      <c r="E2149" s="99" t="n"/>
      <c r="F2149" s="100" t="n"/>
      <c r="G2149" s="98" t="n"/>
      <c r="H2149" s="99" t="n"/>
      <c r="I2149" s="99" t="n"/>
      <c r="J2149" s="100" t="n"/>
      <c r="K2149" s="98" t="n"/>
      <c r="L2149" s="99" t="n"/>
      <c r="M2149" s="99" t="n"/>
      <c r="N2149" s="100" t="n"/>
      <c r="O2149" s="98" t="n"/>
      <c r="P2149" s="99" t="n"/>
      <c r="Q2149" s="99" t="n"/>
      <c r="R2149" s="100" t="n"/>
      <c r="S2149" s="98" t="n"/>
      <c r="T2149" s="99" t="n"/>
      <c r="U2149" s="99" t="n"/>
      <c r="V2149" s="100" t="n"/>
      <c r="W2149" s="98" t="n"/>
      <c r="X2149" s="100" t="n"/>
      <c r="Y2149" s="98" t="n"/>
      <c r="Z2149" s="100" t="n"/>
      <c r="AB2149" s="101">
        <f>IF($B2149="","",(COUNTIF(C2108:E2125,$B2149)+COUNTIF(C2108:E2125,$B2149&amp;" ~*")&gt;0)+(COUNTIF(G2108:I2125,$B2149)+COUNTIF(G2108:I2125,$B2149&amp;" ~*")&gt;0)+(COUNTIF(K2108:M2125,$B2149)+COUNTIF(K2108:M2125,$B2149&amp;" ~*")&gt;0)+(COUNTIF(O2108:Q2125,$B2149)+COUNTIF(O2108:Q2125,$B2149&amp;" ~*")&gt;0)+(COUNTIF(S2108:U2125,$B2149)+COUNTIF(S2108:U2125,$B2149&amp;" ~*")&gt;0)+(COUNTIF(W2108:W2125,$B2149)+COUNTIF(W2108:W2125,$B2149&amp;" ~*")&gt;0)+(COUNTIF(Y2108:Y2125,$B2149)+COUNTIF(Y2108:Y2125,$B2149&amp;" ~*")&gt;0))</f>
        <v/>
      </c>
      <c r="AC2149" s="36">
        <f>IF($B2149="","",(IFERROR(INDEX(Setup!$G$33:$G$40,MATCH(C2149,Setup!$B$33:$B$40,0)),0)=1)*(COUNTIF(C2108:E2125,$B2149)+COUNTIF(C2108:E2125,$B2149&amp;" ~*")&gt;0)+(IFERROR(INDEX(Setup!$G$33:$G$40,MATCH(G2149,Setup!$B$33:$B$40,0)),0)=1)*(COUNTIF(G2108:I2125,$B2149)+COUNTIF(G2108:I2125,$B2149&amp;" ~*")&gt;0)+(IFERROR(INDEX(Setup!$G$33:$G$40,MATCH(K2149,Setup!$B$33:$B$40,0)),0)=1)*(COUNTIF(K2108:M2125,$B2149)+COUNTIF(K2108:M2125,$B2149&amp;" ~*")&gt;0)+(IFERROR(INDEX(Setup!$G$33:$G$40,MATCH(O2149,Setup!$B$33:$B$40,0)),0)=1)*(COUNTIF(O2108:Q2125,$B2149)+COUNTIF(O2108:Q2125,$B2149&amp;" ~*")&gt;0)+(IFERROR(INDEX(Setup!$G$33:$G$40,MATCH(S2149,Setup!$B$33:$B$40,0)),0)=1)*(COUNTIF(S2108:U2125,$B2149)+COUNTIF(S2108:U2125,$B2149&amp;" ~*")&gt;0)+(IFERROR(INDEX(Setup!$G$33:$G$40,MATCH(W2149,Setup!$B$33:$B$40,0)),0)=1)*(COUNTIF(W2108:W2125,$B2149)+COUNTIF(W2108:W2125,$B2149&amp;" ~*")&gt;0)+(IFERROR(INDEX(Setup!$G$33:$G$40,MATCH(Y2149,Setup!$B$33:$B$40,0)),0)=1)*(COUNTIF(Y2108:Y2125,$B2149)+COUNTIF(Y2108:Y2125,$B2149&amp;" ~*")&gt;0))</f>
        <v/>
      </c>
    </row>
    <row r="2150" ht="15" customHeight="1">
      <c r="A2150" t="n">
        <v>43</v>
      </c>
      <c r="B2150" s="37">
        <f>IF(Setup!$B$29="","",Setup!$B$29)</f>
        <v/>
      </c>
      <c r="C2150" s="102" t="n"/>
      <c r="D2150" s="103" t="n"/>
      <c r="E2150" s="103" t="n"/>
      <c r="F2150" s="104" t="n"/>
      <c r="G2150" s="102" t="n"/>
      <c r="H2150" s="103" t="n"/>
      <c r="I2150" s="103" t="n"/>
      <c r="J2150" s="104" t="n"/>
      <c r="K2150" s="102" t="n"/>
      <c r="L2150" s="103" t="n"/>
      <c r="M2150" s="103" t="n"/>
      <c r="N2150" s="104" t="n"/>
      <c r="O2150" s="102" t="n"/>
      <c r="P2150" s="103" t="n"/>
      <c r="Q2150" s="103" t="n"/>
      <c r="R2150" s="104" t="n"/>
      <c r="S2150" s="102" t="n"/>
      <c r="T2150" s="103" t="n"/>
      <c r="U2150" s="103" t="n"/>
      <c r="V2150" s="104" t="n"/>
      <c r="W2150" s="102" t="n"/>
      <c r="X2150" s="104" t="n"/>
      <c r="Y2150" s="102" t="n"/>
      <c r="Z2150" s="104" t="n"/>
      <c r="AB2150" s="105">
        <f>IF($B2150="","",(COUNTIF(C2108:E2125,$B2150)+COUNTIF(C2108:E2125,$B2150&amp;" ~*")&gt;0)+(COUNTIF(G2108:I2125,$B2150)+COUNTIF(G2108:I2125,$B2150&amp;" ~*")&gt;0)+(COUNTIF(K2108:M2125,$B2150)+COUNTIF(K2108:M2125,$B2150&amp;" ~*")&gt;0)+(COUNTIF(O2108:Q2125,$B2150)+COUNTIF(O2108:Q2125,$B2150&amp;" ~*")&gt;0)+(COUNTIF(S2108:U2125,$B2150)+COUNTIF(S2108:U2125,$B2150&amp;" ~*")&gt;0)+(COUNTIF(W2108:W2125,$B2150)+COUNTIF(W2108:W2125,$B2150&amp;" ~*")&gt;0)+(COUNTIF(Y2108:Y2125,$B2150)+COUNTIF(Y2108:Y2125,$B2150&amp;" ~*")&gt;0))</f>
        <v/>
      </c>
      <c r="AC2150" s="38">
        <f>IF($B2150="","",(IFERROR(INDEX(Setup!$G$33:$G$40,MATCH(C2150,Setup!$B$33:$B$40,0)),0)=1)*(COUNTIF(C2108:E2125,$B2150)+COUNTIF(C2108:E2125,$B2150&amp;" ~*")&gt;0)+(IFERROR(INDEX(Setup!$G$33:$G$40,MATCH(G2150,Setup!$B$33:$B$40,0)),0)=1)*(COUNTIF(G2108:I2125,$B2150)+COUNTIF(G2108:I2125,$B2150&amp;" ~*")&gt;0)+(IFERROR(INDEX(Setup!$G$33:$G$40,MATCH(K2150,Setup!$B$33:$B$40,0)),0)=1)*(COUNTIF(K2108:M2125,$B2150)+COUNTIF(K2108:M2125,$B2150&amp;" ~*")&gt;0)+(IFERROR(INDEX(Setup!$G$33:$G$40,MATCH(O2150,Setup!$B$33:$B$40,0)),0)=1)*(COUNTIF(O2108:Q2125,$B2150)+COUNTIF(O2108:Q2125,$B2150&amp;" ~*")&gt;0)+(IFERROR(INDEX(Setup!$G$33:$G$40,MATCH(S2150,Setup!$B$33:$B$40,0)),0)=1)*(COUNTIF(S2108:U2125,$B2150)+COUNTIF(S2108:U2125,$B2150&amp;" ~*")&gt;0)+(IFERROR(INDEX(Setup!$G$33:$G$40,MATCH(W2150,Setup!$B$33:$B$40,0)),0)=1)*(COUNTIF(W2108:W2125,$B2150)+COUNTIF(W2108:W2125,$B2150&amp;" ~*")&gt;0)+(IFERROR(INDEX(Setup!$G$33:$G$40,MATCH(Y2150,Setup!$B$33:$B$40,0)),0)=1)*(COUNTIF(Y2108:Y2125,$B2150)+COUNTIF(Y2108:Y2125,$B2150&amp;" ~*")&gt;0))</f>
        <v/>
      </c>
    </row>
    <row r="2151" ht="16" customHeight="1">
      <c r="A2151" t="n">
        <v>43</v>
      </c>
      <c r="B2151" s="106" t="inlineStr">
        <is>
          <t>Available people</t>
        </is>
      </c>
      <c r="C2151" s="107">
        <f>COUNTIFS(Setup!$E$6:$E$29,"Y",Setup!$B$6:$B$29,"?*")-SUMPRODUCT(COUNTIF(C2127:C2150,Setup!$F$33:$F$40))</f>
        <v/>
      </c>
      <c r="D2151" s="107" t="n"/>
      <c r="E2151" s="107" t="n"/>
      <c r="F2151" s="107" t="n"/>
      <c r="G2151" s="107">
        <f>COUNTIFS(Setup!$E$6:$E$29,"Y",Setup!$B$6:$B$29,"?*")-SUMPRODUCT(COUNTIF(G2127:G2150,Setup!$F$33:$F$40))</f>
        <v/>
      </c>
      <c r="H2151" s="107" t="n"/>
      <c r="I2151" s="107" t="n"/>
      <c r="J2151" s="107" t="n"/>
      <c r="K2151" s="107">
        <f>COUNTIFS(Setup!$E$6:$E$29,"Y",Setup!$B$6:$B$29,"?*")-SUMPRODUCT(COUNTIF(K2127:K2150,Setup!$F$33:$F$40))</f>
        <v/>
      </c>
      <c r="L2151" s="107" t="n"/>
      <c r="M2151" s="107" t="n"/>
      <c r="N2151" s="107" t="n"/>
      <c r="O2151" s="107">
        <f>COUNTIFS(Setup!$E$6:$E$29,"Y",Setup!$B$6:$B$29,"?*")-SUMPRODUCT(COUNTIF(O2127:O2150,Setup!$F$33:$F$40))</f>
        <v/>
      </c>
      <c r="P2151" s="107" t="n"/>
      <c r="Q2151" s="107" t="n"/>
      <c r="R2151" s="107" t="n"/>
      <c r="S2151" s="107">
        <f>COUNTIFS(Setup!$E$6:$E$29,"Y",Setup!$B$6:$B$29,"?*")-SUMPRODUCT(COUNTIF(S2127:S2150,Setup!$F$33:$F$40))</f>
        <v/>
      </c>
      <c r="T2151" s="107" t="n"/>
      <c r="U2151" s="107" t="n"/>
      <c r="V2151" s="107" t="n"/>
      <c r="W2151" s="107">
        <f>COUNTIFS(Setup!$E$6:$E$29,"Y",Setup!$B$6:$B$29,"?*")-SUMPRODUCT(COUNTIF(W2127:W2150,Setup!$F$33:$F$40))</f>
        <v/>
      </c>
      <c r="X2151" s="107" t="n"/>
      <c r="Y2151" s="107">
        <f>COUNTIFS(Setup!$E$6:$E$29,"Y",Setup!$B$6:$B$29,"?*")-SUMPRODUCT(COUNTIF(Y2127:Y2150,Setup!$F$33:$F$40))</f>
        <v/>
      </c>
      <c r="Z2151" s="107" t="n"/>
      <c r="AB2151" s="108">
        <f>SUM(AB2127:AB2150)</f>
        <v/>
      </c>
      <c r="AC2151" s="109">
        <f>SUM(AC2127:AC2150)</f>
        <v/>
      </c>
    </row>
    <row r="2152" ht="30" customHeight="1">
      <c r="A2152" t="n">
        <v>43</v>
      </c>
      <c r="B2152" s="110" t="inlineStr">
        <is>
          <t>Week notes</t>
        </is>
      </c>
      <c r="C2152" s="111" t="n"/>
      <c r="D2152" s="112" t="n"/>
      <c r="E2152" s="112" t="n"/>
      <c r="F2152" s="112" t="n"/>
      <c r="G2152" s="112" t="n"/>
      <c r="H2152" s="112" t="n"/>
      <c r="I2152" s="112" t="n"/>
      <c r="J2152" s="112" t="n"/>
      <c r="K2152" s="112" t="n"/>
      <c r="L2152" s="112" t="n"/>
      <c r="M2152" s="112" t="n"/>
      <c r="N2152" s="112" t="n"/>
      <c r="O2152" s="112" t="n"/>
      <c r="P2152" s="112" t="n"/>
      <c r="Q2152" s="112" t="n"/>
      <c r="R2152" s="112" t="n"/>
      <c r="S2152" s="112" t="n"/>
      <c r="T2152" s="112" t="n"/>
      <c r="U2152" s="112" t="n"/>
      <c r="V2152" s="112" t="n"/>
      <c r="W2152" s="112" t="n"/>
      <c r="X2152" s="112" t="n"/>
      <c r="Y2152" s="112" t="n"/>
      <c r="Z2152" s="113" t="n"/>
    </row>
    <row r="2153" ht="8" customHeight="1">
      <c r="A2153" t="n">
        <v>43</v>
      </c>
    </row>
    <row r="2154" ht="8" customHeight="1">
      <c r="A2154" t="n">
        <v>43</v>
      </c>
    </row>
    <row r="2155" ht="24" customHeight="1">
      <c r="A2155" t="n">
        <v>44</v>
      </c>
      <c r="B2155" s="73">
        <f>"WEEK 44     "&amp;TEXT(C2156,"ddd d mmm")&amp;"  –  "&amp;TEXT(C2156+6,"ddd d mmm yyyy")</f>
        <v/>
      </c>
      <c r="S2155" s="74">
        <f>IF(TODAY()&lt;C2156,"FUTURE",IF(TODAY()&gt;C2156+6,"PAST","THIS WEEK"))</f>
        <v/>
      </c>
      <c r="W2155" s="75">
        <f>IF(AND(Engine!$B$8=$AC$3,Engine!$B$9=$A2155),"◀ ACTIVE WEEK","")</f>
        <v/>
      </c>
      <c r="AA2155" s="76" t="n"/>
      <c r="AB2155" s="77" t="inlineStr">
        <is>
          <t>◀ Prev</t>
        </is>
      </c>
      <c r="AC2155" s="77" t="inlineStr">
        <is>
          <t>Next ▶</t>
        </is>
      </c>
    </row>
    <row r="2156" ht="18" customHeight="1">
      <c r="A2156" t="n">
        <v>44</v>
      </c>
      <c r="B2156" s="78" t="inlineStr">
        <is>
          <t>DUTY</t>
        </is>
      </c>
      <c r="C2156" s="79">
        <f>$AC$2+7*($A2156-1)</f>
        <v/>
      </c>
      <c r="D2156" s="80" t="n"/>
      <c r="E2156" s="80" t="n"/>
      <c r="F2156" s="81" t="n"/>
      <c r="G2156" s="79">
        <f>C2156+1</f>
        <v/>
      </c>
      <c r="H2156" s="80" t="n"/>
      <c r="I2156" s="80" t="n"/>
      <c r="J2156" s="81" t="n"/>
      <c r="K2156" s="79">
        <f>C2156+2</f>
        <v/>
      </c>
      <c r="L2156" s="80" t="n"/>
      <c r="M2156" s="80" t="n"/>
      <c r="N2156" s="81" t="n"/>
      <c r="O2156" s="79">
        <f>C2156+3</f>
        <v/>
      </c>
      <c r="P2156" s="80" t="n"/>
      <c r="Q2156" s="80" t="n"/>
      <c r="R2156" s="81" t="n"/>
      <c r="S2156" s="79">
        <f>C2156+4</f>
        <v/>
      </c>
      <c r="T2156" s="80" t="n"/>
      <c r="U2156" s="80" t="n"/>
      <c r="V2156" s="81" t="n"/>
      <c r="W2156" s="82">
        <f>C2156+5</f>
        <v/>
      </c>
      <c r="X2156" s="83" t="n"/>
      <c r="Y2156" s="82">
        <f>C2156+6</f>
        <v/>
      </c>
      <c r="Z2156" s="83" t="n"/>
      <c r="AB2156" s="72" t="inlineStr">
        <is>
          <t>Gaps</t>
        </is>
      </c>
      <c r="AC2156" s="72" t="inlineStr">
        <is>
          <t>Cover</t>
        </is>
      </c>
    </row>
    <row r="2157" ht="14" customHeight="1">
      <c r="A2157" t="n">
        <v>44</v>
      </c>
      <c r="B2157" s="84" t="inlineStr">
        <is>
          <t>(from Setup)</t>
        </is>
      </c>
      <c r="C2157" s="85" t="inlineStr">
        <is>
          <t>1</t>
        </is>
      </c>
      <c r="D2157" s="85" t="inlineStr">
        <is>
          <t>2</t>
        </is>
      </c>
      <c r="E2157" s="85" t="inlineStr">
        <is>
          <t>3</t>
        </is>
      </c>
      <c r="F2157" s="85" t="inlineStr">
        <is>
          <t>Notes</t>
        </is>
      </c>
      <c r="G2157" s="85" t="inlineStr">
        <is>
          <t>1</t>
        </is>
      </c>
      <c r="H2157" s="85" t="inlineStr">
        <is>
          <t>2</t>
        </is>
      </c>
      <c r="I2157" s="85" t="inlineStr">
        <is>
          <t>3</t>
        </is>
      </c>
      <c r="J2157" s="85" t="inlineStr">
        <is>
          <t>Notes</t>
        </is>
      </c>
      <c r="K2157" s="85" t="inlineStr">
        <is>
          <t>1</t>
        </is>
      </c>
      <c r="L2157" s="85" t="inlineStr">
        <is>
          <t>2</t>
        </is>
      </c>
      <c r="M2157" s="85" t="inlineStr">
        <is>
          <t>3</t>
        </is>
      </c>
      <c r="N2157" s="85" t="inlineStr">
        <is>
          <t>Notes</t>
        </is>
      </c>
      <c r="O2157" s="85" t="inlineStr">
        <is>
          <t>1</t>
        </is>
      </c>
      <c r="P2157" s="85" t="inlineStr">
        <is>
          <t>2</t>
        </is>
      </c>
      <c r="Q2157" s="85" t="inlineStr">
        <is>
          <t>3</t>
        </is>
      </c>
      <c r="R2157" s="85" t="inlineStr">
        <is>
          <t>Notes</t>
        </is>
      </c>
      <c r="S2157" s="85" t="inlineStr">
        <is>
          <t>1</t>
        </is>
      </c>
      <c r="T2157" s="85" t="inlineStr">
        <is>
          <t>2</t>
        </is>
      </c>
      <c r="U2157" s="85" t="inlineStr">
        <is>
          <t>3</t>
        </is>
      </c>
      <c r="V2157" s="85" t="inlineStr">
        <is>
          <t>Notes</t>
        </is>
      </c>
      <c r="W2157" s="85" t="inlineStr">
        <is>
          <t>Cover</t>
        </is>
      </c>
      <c r="X2157" s="85" t="inlineStr">
        <is>
          <t>Notes</t>
        </is>
      </c>
      <c r="Y2157" s="85" t="inlineStr">
        <is>
          <t>Cover</t>
        </is>
      </c>
      <c r="Z2157" s="85" t="inlineStr">
        <is>
          <t>Notes</t>
        </is>
      </c>
      <c r="AB2157" s="86" t="inlineStr">
        <is>
          <t>weekdays short</t>
        </is>
      </c>
      <c r="AC2157" s="87" t="inlineStr"/>
    </row>
    <row r="2158" ht="17" customHeight="1">
      <c r="A2158" t="n">
        <v>44</v>
      </c>
      <c r="B2158" s="24">
        <f>IF(Setup!$K$6="","",Setup!$K$6)</f>
        <v/>
      </c>
      <c r="C2158" s="88" t="n"/>
      <c r="D2158" s="88" t="n"/>
      <c r="E2158" s="88" t="n"/>
      <c r="F2158" s="89" t="n"/>
      <c r="G2158" s="88" t="n"/>
      <c r="H2158" s="88" t="n"/>
      <c r="I2158" s="88" t="n"/>
      <c r="J2158" s="89" t="n"/>
      <c r="K2158" s="88" t="n"/>
      <c r="L2158" s="88" t="n"/>
      <c r="M2158" s="88" t="n"/>
      <c r="N2158" s="89" t="n"/>
      <c r="O2158" s="88" t="n"/>
      <c r="P2158" s="88" t="n"/>
      <c r="Q2158" s="88" t="n"/>
      <c r="R2158" s="89" t="n"/>
      <c r="S2158" s="88" t="n"/>
      <c r="T2158" s="88" t="n"/>
      <c r="U2158" s="88" t="n"/>
      <c r="V2158" s="89" t="n"/>
      <c r="W2158" s="88" t="n"/>
      <c r="X2158" s="89" t="n"/>
      <c r="Y2158" s="88" t="n"/>
      <c r="Z2158" s="89" t="n"/>
      <c r="AB2158" s="25">
        <f>IF($B2158="","",(COUNTIF(C2158:E2158,"?*")&lt;N(INDEX(Setup!$L$6:$L$23,1)))+(COUNTIF(G2158:I2158,"?*")&lt;N(INDEX(Setup!$L$6:$L$23,1)))+(COUNTIF(K2158:M2158,"?*")&lt;N(INDEX(Setup!$L$6:$L$23,1)))+(COUNTIF(O2158:Q2158,"?*")&lt;N(INDEX(Setup!$L$6:$L$23,1)))+(COUNTIF(S2158:U2158,"?*")&lt;N(INDEX(Setup!$L$6:$L$23,1)))+((W2158="")*(INDEX(Setup!$M$6:$M$23,1)="Y"))+((Y2158="")*(INDEX(Setup!$M$6:$M$23,1)="Y")))</f>
        <v/>
      </c>
      <c r="AC2158" s="90">
        <f>IF($B2158="","",IF(AB2158=0,"✓ covered","⚠ "&amp;AB2158&amp;IF(AB2158=1," gap"," gaps")))</f>
        <v/>
      </c>
    </row>
    <row r="2159" ht="17" customHeight="1">
      <c r="A2159" t="n">
        <v>44</v>
      </c>
      <c r="B2159" s="29">
        <f>IF(Setup!$K$7="","",Setup!$K$7)</f>
        <v/>
      </c>
      <c r="C2159" s="88" t="n"/>
      <c r="D2159" s="88" t="n"/>
      <c r="E2159" s="88" t="n"/>
      <c r="F2159" s="89" t="n"/>
      <c r="G2159" s="88" t="n"/>
      <c r="H2159" s="88" t="n"/>
      <c r="I2159" s="88" t="n"/>
      <c r="J2159" s="89" t="n"/>
      <c r="K2159" s="88" t="n"/>
      <c r="L2159" s="88" t="n"/>
      <c r="M2159" s="88" t="n"/>
      <c r="N2159" s="89" t="n"/>
      <c r="O2159" s="88" t="n"/>
      <c r="P2159" s="88" t="n"/>
      <c r="Q2159" s="88" t="n"/>
      <c r="R2159" s="89" t="n"/>
      <c r="S2159" s="88" t="n"/>
      <c r="T2159" s="88" t="n"/>
      <c r="U2159" s="88" t="n"/>
      <c r="V2159" s="89" t="n"/>
      <c r="W2159" s="88" t="n"/>
      <c r="X2159" s="89" t="n"/>
      <c r="Y2159" s="88" t="n"/>
      <c r="Z2159" s="89" t="n"/>
      <c r="AB2159" s="30">
        <f>IF($B2159="","",(COUNTIF(C2159:E2159,"?*")&lt;N(INDEX(Setup!$L$6:$L$23,2)))+(COUNTIF(G2159:I2159,"?*")&lt;N(INDEX(Setup!$L$6:$L$23,2)))+(COUNTIF(K2159:M2159,"?*")&lt;N(INDEX(Setup!$L$6:$L$23,2)))+(COUNTIF(O2159:Q2159,"?*")&lt;N(INDEX(Setup!$L$6:$L$23,2)))+(COUNTIF(S2159:U2159,"?*")&lt;N(INDEX(Setup!$L$6:$L$23,2)))+((W2159="")*(INDEX(Setup!$M$6:$M$23,2)="Y"))+((Y2159="")*(INDEX(Setup!$M$6:$M$23,2)="Y")))</f>
        <v/>
      </c>
      <c r="AC2159" s="91">
        <f>IF($B2159="","",IF(AB2159=0,"✓ covered","⚠ "&amp;AB2159&amp;IF(AB2159=1," gap"," gaps")))</f>
        <v/>
      </c>
    </row>
    <row r="2160" ht="17" customHeight="1">
      <c r="A2160" t="n">
        <v>44</v>
      </c>
      <c r="B2160" s="24">
        <f>IF(Setup!$K$8="","",Setup!$K$8)</f>
        <v/>
      </c>
      <c r="C2160" s="88" t="n"/>
      <c r="D2160" s="88" t="n"/>
      <c r="E2160" s="88" t="n"/>
      <c r="F2160" s="89" t="n"/>
      <c r="G2160" s="88" t="n"/>
      <c r="H2160" s="88" t="n"/>
      <c r="I2160" s="88" t="n"/>
      <c r="J2160" s="89" t="n"/>
      <c r="K2160" s="88" t="n"/>
      <c r="L2160" s="88" t="n"/>
      <c r="M2160" s="88" t="n"/>
      <c r="N2160" s="89" t="n"/>
      <c r="O2160" s="88" t="n"/>
      <c r="P2160" s="88" t="n"/>
      <c r="Q2160" s="88" t="n"/>
      <c r="R2160" s="89" t="n"/>
      <c r="S2160" s="88" t="n"/>
      <c r="T2160" s="88" t="n"/>
      <c r="U2160" s="88" t="n"/>
      <c r="V2160" s="89" t="n"/>
      <c r="W2160" s="88" t="n"/>
      <c r="X2160" s="89" t="n"/>
      <c r="Y2160" s="88" t="n"/>
      <c r="Z2160" s="89" t="n"/>
      <c r="AB2160" s="25">
        <f>IF($B2160="","",(COUNTIF(C2160:E2160,"?*")&lt;N(INDEX(Setup!$L$6:$L$23,3)))+(COUNTIF(G2160:I2160,"?*")&lt;N(INDEX(Setup!$L$6:$L$23,3)))+(COUNTIF(K2160:M2160,"?*")&lt;N(INDEX(Setup!$L$6:$L$23,3)))+(COUNTIF(O2160:Q2160,"?*")&lt;N(INDEX(Setup!$L$6:$L$23,3)))+(COUNTIF(S2160:U2160,"?*")&lt;N(INDEX(Setup!$L$6:$L$23,3)))+((W2160="")*(INDEX(Setup!$M$6:$M$23,3)="Y"))+((Y2160="")*(INDEX(Setup!$M$6:$M$23,3)="Y")))</f>
        <v/>
      </c>
      <c r="AC2160" s="90">
        <f>IF($B2160="","",IF(AB2160=0,"✓ covered","⚠ "&amp;AB2160&amp;IF(AB2160=1," gap"," gaps")))</f>
        <v/>
      </c>
    </row>
    <row r="2161" ht="17" customHeight="1">
      <c r="A2161" t="n">
        <v>44</v>
      </c>
      <c r="B2161" s="29">
        <f>IF(Setup!$K$9="","",Setup!$K$9)</f>
        <v/>
      </c>
      <c r="C2161" s="88" t="n"/>
      <c r="D2161" s="88" t="n"/>
      <c r="E2161" s="88" t="n"/>
      <c r="F2161" s="89" t="n"/>
      <c r="G2161" s="88" t="n"/>
      <c r="H2161" s="88" t="n"/>
      <c r="I2161" s="88" t="n"/>
      <c r="J2161" s="89" t="n"/>
      <c r="K2161" s="88" t="n"/>
      <c r="L2161" s="88" t="n"/>
      <c r="M2161" s="88" t="n"/>
      <c r="N2161" s="89" t="n"/>
      <c r="O2161" s="88" t="n"/>
      <c r="P2161" s="88" t="n"/>
      <c r="Q2161" s="88" t="n"/>
      <c r="R2161" s="89" t="n"/>
      <c r="S2161" s="88" t="n"/>
      <c r="T2161" s="88" t="n"/>
      <c r="U2161" s="88" t="n"/>
      <c r="V2161" s="89" t="n"/>
      <c r="W2161" s="88" t="n"/>
      <c r="X2161" s="89" t="n"/>
      <c r="Y2161" s="88" t="n"/>
      <c r="Z2161" s="89" t="n"/>
      <c r="AB2161" s="30">
        <f>IF($B2161="","",(COUNTIF(C2161:E2161,"?*")&lt;N(INDEX(Setup!$L$6:$L$23,4)))+(COUNTIF(G2161:I2161,"?*")&lt;N(INDEX(Setup!$L$6:$L$23,4)))+(COUNTIF(K2161:M2161,"?*")&lt;N(INDEX(Setup!$L$6:$L$23,4)))+(COUNTIF(O2161:Q2161,"?*")&lt;N(INDEX(Setup!$L$6:$L$23,4)))+(COUNTIF(S2161:U2161,"?*")&lt;N(INDEX(Setup!$L$6:$L$23,4)))+((W2161="")*(INDEX(Setup!$M$6:$M$23,4)="Y"))+((Y2161="")*(INDEX(Setup!$M$6:$M$23,4)="Y")))</f>
        <v/>
      </c>
      <c r="AC2161" s="91">
        <f>IF($B2161="","",IF(AB2161=0,"✓ covered","⚠ "&amp;AB2161&amp;IF(AB2161=1," gap"," gaps")))</f>
        <v/>
      </c>
    </row>
    <row r="2162" ht="17" customHeight="1">
      <c r="A2162" t="n">
        <v>44</v>
      </c>
      <c r="B2162" s="24">
        <f>IF(Setup!$K$10="","",Setup!$K$10)</f>
        <v/>
      </c>
      <c r="C2162" s="88" t="n"/>
      <c r="D2162" s="88" t="n"/>
      <c r="E2162" s="88" t="n"/>
      <c r="F2162" s="89" t="n"/>
      <c r="G2162" s="88" t="n"/>
      <c r="H2162" s="88" t="n"/>
      <c r="I2162" s="88" t="n"/>
      <c r="J2162" s="89" t="n"/>
      <c r="K2162" s="88" t="n"/>
      <c r="L2162" s="88" t="n"/>
      <c r="M2162" s="88" t="n"/>
      <c r="N2162" s="89" t="n"/>
      <c r="O2162" s="88" t="n"/>
      <c r="P2162" s="88" t="n"/>
      <c r="Q2162" s="88" t="n"/>
      <c r="R2162" s="89" t="n"/>
      <c r="S2162" s="88" t="n"/>
      <c r="T2162" s="88" t="n"/>
      <c r="U2162" s="88" t="n"/>
      <c r="V2162" s="89" t="n"/>
      <c r="W2162" s="88" t="n"/>
      <c r="X2162" s="89" t="n"/>
      <c r="Y2162" s="88" t="n"/>
      <c r="Z2162" s="89" t="n"/>
      <c r="AB2162" s="25">
        <f>IF($B2162="","",(COUNTIF(C2162:E2162,"?*")&lt;N(INDEX(Setup!$L$6:$L$23,5)))+(COUNTIF(G2162:I2162,"?*")&lt;N(INDEX(Setup!$L$6:$L$23,5)))+(COUNTIF(K2162:M2162,"?*")&lt;N(INDEX(Setup!$L$6:$L$23,5)))+(COUNTIF(O2162:Q2162,"?*")&lt;N(INDEX(Setup!$L$6:$L$23,5)))+(COUNTIF(S2162:U2162,"?*")&lt;N(INDEX(Setup!$L$6:$L$23,5)))+((W2162="")*(INDEX(Setup!$M$6:$M$23,5)="Y"))+((Y2162="")*(INDEX(Setup!$M$6:$M$23,5)="Y")))</f>
        <v/>
      </c>
      <c r="AC2162" s="90">
        <f>IF($B2162="","",IF(AB2162=0,"✓ covered","⚠ "&amp;AB2162&amp;IF(AB2162=1," gap"," gaps")))</f>
        <v/>
      </c>
    </row>
    <row r="2163" ht="17" customHeight="1">
      <c r="A2163" t="n">
        <v>44</v>
      </c>
      <c r="B2163" s="29">
        <f>IF(Setup!$K$11="","",Setup!$K$11)</f>
        <v/>
      </c>
      <c r="C2163" s="88" t="n"/>
      <c r="D2163" s="88" t="n"/>
      <c r="E2163" s="88" t="n"/>
      <c r="F2163" s="89" t="n"/>
      <c r="G2163" s="88" t="n"/>
      <c r="H2163" s="88" t="n"/>
      <c r="I2163" s="88" t="n"/>
      <c r="J2163" s="89" t="n"/>
      <c r="K2163" s="88" t="n"/>
      <c r="L2163" s="88" t="n"/>
      <c r="M2163" s="88" t="n"/>
      <c r="N2163" s="89" t="n"/>
      <c r="O2163" s="88" t="n"/>
      <c r="P2163" s="88" t="n"/>
      <c r="Q2163" s="88" t="n"/>
      <c r="R2163" s="89" t="n"/>
      <c r="S2163" s="88" t="n"/>
      <c r="T2163" s="88" t="n"/>
      <c r="U2163" s="88" t="n"/>
      <c r="V2163" s="89" t="n"/>
      <c r="W2163" s="88" t="n"/>
      <c r="X2163" s="89" t="n"/>
      <c r="Y2163" s="88" t="n"/>
      <c r="Z2163" s="89" t="n"/>
      <c r="AB2163" s="30">
        <f>IF($B2163="","",(COUNTIF(C2163:E2163,"?*")&lt;N(INDEX(Setup!$L$6:$L$23,6)))+(COUNTIF(G2163:I2163,"?*")&lt;N(INDEX(Setup!$L$6:$L$23,6)))+(COUNTIF(K2163:M2163,"?*")&lt;N(INDEX(Setup!$L$6:$L$23,6)))+(COUNTIF(O2163:Q2163,"?*")&lt;N(INDEX(Setup!$L$6:$L$23,6)))+(COUNTIF(S2163:U2163,"?*")&lt;N(INDEX(Setup!$L$6:$L$23,6)))+((W2163="")*(INDEX(Setup!$M$6:$M$23,6)="Y"))+((Y2163="")*(INDEX(Setup!$M$6:$M$23,6)="Y")))</f>
        <v/>
      </c>
      <c r="AC2163" s="91">
        <f>IF($B2163="","",IF(AB2163=0,"✓ covered","⚠ "&amp;AB2163&amp;IF(AB2163=1," gap"," gaps")))</f>
        <v/>
      </c>
    </row>
    <row r="2164" ht="17" customHeight="1">
      <c r="A2164" t="n">
        <v>44</v>
      </c>
      <c r="B2164" s="24">
        <f>IF(Setup!$K$12="","",Setup!$K$12)</f>
        <v/>
      </c>
      <c r="C2164" s="88" t="n"/>
      <c r="D2164" s="88" t="n"/>
      <c r="E2164" s="88" t="n"/>
      <c r="F2164" s="89" t="n"/>
      <c r="G2164" s="88" t="n"/>
      <c r="H2164" s="88" t="n"/>
      <c r="I2164" s="88" t="n"/>
      <c r="J2164" s="89" t="n"/>
      <c r="K2164" s="88" t="n"/>
      <c r="L2164" s="88" t="n"/>
      <c r="M2164" s="88" t="n"/>
      <c r="N2164" s="89" t="n"/>
      <c r="O2164" s="88" t="n"/>
      <c r="P2164" s="88" t="n"/>
      <c r="Q2164" s="88" t="n"/>
      <c r="R2164" s="89" t="n"/>
      <c r="S2164" s="88" t="n"/>
      <c r="T2164" s="88" t="n"/>
      <c r="U2164" s="88" t="n"/>
      <c r="V2164" s="89" t="n"/>
      <c r="W2164" s="88" t="n"/>
      <c r="X2164" s="89" t="n"/>
      <c r="Y2164" s="88" t="n"/>
      <c r="Z2164" s="89" t="n"/>
      <c r="AB2164" s="25">
        <f>IF($B2164="","",(COUNTIF(C2164:E2164,"?*")&lt;N(INDEX(Setup!$L$6:$L$23,7)))+(COUNTIF(G2164:I2164,"?*")&lt;N(INDEX(Setup!$L$6:$L$23,7)))+(COUNTIF(K2164:M2164,"?*")&lt;N(INDEX(Setup!$L$6:$L$23,7)))+(COUNTIF(O2164:Q2164,"?*")&lt;N(INDEX(Setup!$L$6:$L$23,7)))+(COUNTIF(S2164:U2164,"?*")&lt;N(INDEX(Setup!$L$6:$L$23,7)))+((W2164="")*(INDEX(Setup!$M$6:$M$23,7)="Y"))+((Y2164="")*(INDEX(Setup!$M$6:$M$23,7)="Y")))</f>
        <v/>
      </c>
      <c r="AC2164" s="90">
        <f>IF($B2164="","",IF(AB2164=0,"✓ covered","⚠ "&amp;AB2164&amp;IF(AB2164=1," gap"," gaps")))</f>
        <v/>
      </c>
    </row>
    <row r="2165" ht="17" customHeight="1">
      <c r="A2165" t="n">
        <v>44</v>
      </c>
      <c r="B2165" s="29">
        <f>IF(Setup!$K$13="","",Setup!$K$13)</f>
        <v/>
      </c>
      <c r="C2165" s="88" t="n"/>
      <c r="D2165" s="88" t="n"/>
      <c r="E2165" s="88" t="n"/>
      <c r="F2165" s="89" t="n"/>
      <c r="G2165" s="88" t="n"/>
      <c r="H2165" s="88" t="n"/>
      <c r="I2165" s="88" t="n"/>
      <c r="J2165" s="89" t="n"/>
      <c r="K2165" s="88" t="n"/>
      <c r="L2165" s="88" t="n"/>
      <c r="M2165" s="88" t="n"/>
      <c r="N2165" s="89" t="n"/>
      <c r="O2165" s="88" t="n"/>
      <c r="P2165" s="88" t="n"/>
      <c r="Q2165" s="88" t="n"/>
      <c r="R2165" s="89" t="n"/>
      <c r="S2165" s="88" t="n"/>
      <c r="T2165" s="88" t="n"/>
      <c r="U2165" s="88" t="n"/>
      <c r="V2165" s="89" t="n"/>
      <c r="W2165" s="88" t="n"/>
      <c r="X2165" s="89" t="n"/>
      <c r="Y2165" s="88" t="n"/>
      <c r="Z2165" s="89" t="n"/>
      <c r="AB2165" s="30">
        <f>IF($B2165="","",(COUNTIF(C2165:E2165,"?*")&lt;N(INDEX(Setup!$L$6:$L$23,8)))+(COUNTIF(G2165:I2165,"?*")&lt;N(INDEX(Setup!$L$6:$L$23,8)))+(COUNTIF(K2165:M2165,"?*")&lt;N(INDEX(Setup!$L$6:$L$23,8)))+(COUNTIF(O2165:Q2165,"?*")&lt;N(INDEX(Setup!$L$6:$L$23,8)))+(COUNTIF(S2165:U2165,"?*")&lt;N(INDEX(Setup!$L$6:$L$23,8)))+((W2165="")*(INDEX(Setup!$M$6:$M$23,8)="Y"))+((Y2165="")*(INDEX(Setup!$M$6:$M$23,8)="Y")))</f>
        <v/>
      </c>
      <c r="AC2165" s="91">
        <f>IF($B2165="","",IF(AB2165=0,"✓ covered","⚠ "&amp;AB2165&amp;IF(AB2165=1," gap"," gaps")))</f>
        <v/>
      </c>
    </row>
    <row r="2166" ht="17" customHeight="1">
      <c r="A2166" t="n">
        <v>44</v>
      </c>
      <c r="B2166" s="24">
        <f>IF(Setup!$K$14="","",Setup!$K$14)</f>
        <v/>
      </c>
      <c r="C2166" s="88" t="n"/>
      <c r="D2166" s="88" t="n"/>
      <c r="E2166" s="88" t="n"/>
      <c r="F2166" s="89" t="n"/>
      <c r="G2166" s="88" t="n"/>
      <c r="H2166" s="88" t="n"/>
      <c r="I2166" s="88" t="n"/>
      <c r="J2166" s="89" t="n"/>
      <c r="K2166" s="88" t="n"/>
      <c r="L2166" s="88" t="n"/>
      <c r="M2166" s="88" t="n"/>
      <c r="N2166" s="89" t="n"/>
      <c r="O2166" s="88" t="n"/>
      <c r="P2166" s="88" t="n"/>
      <c r="Q2166" s="88" t="n"/>
      <c r="R2166" s="89" t="n"/>
      <c r="S2166" s="88" t="n"/>
      <c r="T2166" s="88" t="n"/>
      <c r="U2166" s="88" t="n"/>
      <c r="V2166" s="89" t="n"/>
      <c r="W2166" s="88" t="n"/>
      <c r="X2166" s="89" t="n"/>
      <c r="Y2166" s="88" t="n"/>
      <c r="Z2166" s="89" t="n"/>
      <c r="AB2166" s="25">
        <f>IF($B2166="","",(COUNTIF(C2166:E2166,"?*")&lt;N(INDEX(Setup!$L$6:$L$23,9)))+(COUNTIF(G2166:I2166,"?*")&lt;N(INDEX(Setup!$L$6:$L$23,9)))+(COUNTIF(K2166:M2166,"?*")&lt;N(INDEX(Setup!$L$6:$L$23,9)))+(COUNTIF(O2166:Q2166,"?*")&lt;N(INDEX(Setup!$L$6:$L$23,9)))+(COUNTIF(S2166:U2166,"?*")&lt;N(INDEX(Setup!$L$6:$L$23,9)))+((W2166="")*(INDEX(Setup!$M$6:$M$23,9)="Y"))+((Y2166="")*(INDEX(Setup!$M$6:$M$23,9)="Y")))</f>
        <v/>
      </c>
      <c r="AC2166" s="90">
        <f>IF($B2166="","",IF(AB2166=0,"✓ covered","⚠ "&amp;AB2166&amp;IF(AB2166=1," gap"," gaps")))</f>
        <v/>
      </c>
    </row>
    <row r="2167" ht="17" customHeight="1">
      <c r="A2167" t="n">
        <v>44</v>
      </c>
      <c r="B2167" s="29">
        <f>IF(Setup!$K$15="","",Setup!$K$15)</f>
        <v/>
      </c>
      <c r="C2167" s="88" t="n"/>
      <c r="D2167" s="88" t="n"/>
      <c r="E2167" s="88" t="n"/>
      <c r="F2167" s="89" t="n"/>
      <c r="G2167" s="88" t="n"/>
      <c r="H2167" s="88" t="n"/>
      <c r="I2167" s="88" t="n"/>
      <c r="J2167" s="89" t="n"/>
      <c r="K2167" s="88" t="n"/>
      <c r="L2167" s="88" t="n"/>
      <c r="M2167" s="88" t="n"/>
      <c r="N2167" s="89" t="n"/>
      <c r="O2167" s="88" t="n"/>
      <c r="P2167" s="88" t="n"/>
      <c r="Q2167" s="88" t="n"/>
      <c r="R2167" s="89" t="n"/>
      <c r="S2167" s="88" t="n"/>
      <c r="T2167" s="88" t="n"/>
      <c r="U2167" s="88" t="n"/>
      <c r="V2167" s="89" t="n"/>
      <c r="W2167" s="88" t="n"/>
      <c r="X2167" s="89" t="n"/>
      <c r="Y2167" s="88" t="n"/>
      <c r="Z2167" s="89" t="n"/>
      <c r="AB2167" s="30">
        <f>IF($B2167="","",(COUNTIF(C2167:E2167,"?*")&lt;N(INDEX(Setup!$L$6:$L$23,10)))+(COUNTIF(G2167:I2167,"?*")&lt;N(INDEX(Setup!$L$6:$L$23,10)))+(COUNTIF(K2167:M2167,"?*")&lt;N(INDEX(Setup!$L$6:$L$23,10)))+(COUNTIF(O2167:Q2167,"?*")&lt;N(INDEX(Setup!$L$6:$L$23,10)))+(COUNTIF(S2167:U2167,"?*")&lt;N(INDEX(Setup!$L$6:$L$23,10)))+((W2167="")*(INDEX(Setup!$M$6:$M$23,10)="Y"))+((Y2167="")*(INDEX(Setup!$M$6:$M$23,10)="Y")))</f>
        <v/>
      </c>
      <c r="AC2167" s="91">
        <f>IF($B2167="","",IF(AB2167=0,"✓ covered","⚠ "&amp;AB2167&amp;IF(AB2167=1," gap"," gaps")))</f>
        <v/>
      </c>
    </row>
    <row r="2168" ht="17" customHeight="1">
      <c r="A2168" t="n">
        <v>44</v>
      </c>
      <c r="B2168" s="24">
        <f>IF(Setup!$K$16="","",Setup!$K$16)</f>
        <v/>
      </c>
      <c r="C2168" s="88" t="n"/>
      <c r="D2168" s="88" t="n"/>
      <c r="E2168" s="88" t="n"/>
      <c r="F2168" s="89" t="n"/>
      <c r="G2168" s="88" t="n"/>
      <c r="H2168" s="88" t="n"/>
      <c r="I2168" s="88" t="n"/>
      <c r="J2168" s="89" t="n"/>
      <c r="K2168" s="88" t="n"/>
      <c r="L2168" s="88" t="n"/>
      <c r="M2168" s="88" t="n"/>
      <c r="N2168" s="89" t="n"/>
      <c r="O2168" s="88" t="n"/>
      <c r="P2168" s="88" t="n"/>
      <c r="Q2168" s="88" t="n"/>
      <c r="R2168" s="89" t="n"/>
      <c r="S2168" s="88" t="n"/>
      <c r="T2168" s="88" t="n"/>
      <c r="U2168" s="88" t="n"/>
      <c r="V2168" s="89" t="n"/>
      <c r="W2168" s="88" t="n"/>
      <c r="X2168" s="89" t="n"/>
      <c r="Y2168" s="88" t="n"/>
      <c r="Z2168" s="89" t="n"/>
      <c r="AB2168" s="25">
        <f>IF($B2168="","",(COUNTIF(C2168:E2168,"?*")&lt;N(INDEX(Setup!$L$6:$L$23,11)))+(COUNTIF(G2168:I2168,"?*")&lt;N(INDEX(Setup!$L$6:$L$23,11)))+(COUNTIF(K2168:M2168,"?*")&lt;N(INDEX(Setup!$L$6:$L$23,11)))+(COUNTIF(O2168:Q2168,"?*")&lt;N(INDEX(Setup!$L$6:$L$23,11)))+(COUNTIF(S2168:U2168,"?*")&lt;N(INDEX(Setup!$L$6:$L$23,11)))+((W2168="")*(INDEX(Setup!$M$6:$M$23,11)="Y"))+((Y2168="")*(INDEX(Setup!$M$6:$M$23,11)="Y")))</f>
        <v/>
      </c>
      <c r="AC2168" s="90">
        <f>IF($B2168="","",IF(AB2168=0,"✓ covered","⚠ "&amp;AB2168&amp;IF(AB2168=1," gap"," gaps")))</f>
        <v/>
      </c>
    </row>
    <row r="2169" ht="17" customHeight="1">
      <c r="A2169" t="n">
        <v>44</v>
      </c>
      <c r="B2169" s="29">
        <f>IF(Setup!$K$17="","",Setup!$K$17)</f>
        <v/>
      </c>
      <c r="C2169" s="88" t="n"/>
      <c r="D2169" s="88" t="n"/>
      <c r="E2169" s="88" t="n"/>
      <c r="F2169" s="89" t="n"/>
      <c r="G2169" s="88" t="n"/>
      <c r="H2169" s="88" t="n"/>
      <c r="I2169" s="88" t="n"/>
      <c r="J2169" s="89" t="n"/>
      <c r="K2169" s="88" t="n"/>
      <c r="L2169" s="88" t="n"/>
      <c r="M2169" s="88" t="n"/>
      <c r="N2169" s="89" t="n"/>
      <c r="O2169" s="88" t="n"/>
      <c r="P2169" s="88" t="n"/>
      <c r="Q2169" s="88" t="n"/>
      <c r="R2169" s="89" t="n"/>
      <c r="S2169" s="88" t="n"/>
      <c r="T2169" s="88" t="n"/>
      <c r="U2169" s="88" t="n"/>
      <c r="V2169" s="89" t="n"/>
      <c r="W2169" s="88" t="n"/>
      <c r="X2169" s="89" t="n"/>
      <c r="Y2169" s="88" t="n"/>
      <c r="Z2169" s="89" t="n"/>
      <c r="AB2169" s="30">
        <f>IF($B2169="","",(COUNTIF(C2169:E2169,"?*")&lt;N(INDEX(Setup!$L$6:$L$23,12)))+(COUNTIF(G2169:I2169,"?*")&lt;N(INDEX(Setup!$L$6:$L$23,12)))+(COUNTIF(K2169:M2169,"?*")&lt;N(INDEX(Setup!$L$6:$L$23,12)))+(COUNTIF(O2169:Q2169,"?*")&lt;N(INDEX(Setup!$L$6:$L$23,12)))+(COUNTIF(S2169:U2169,"?*")&lt;N(INDEX(Setup!$L$6:$L$23,12)))+((W2169="")*(INDEX(Setup!$M$6:$M$23,12)="Y"))+((Y2169="")*(INDEX(Setup!$M$6:$M$23,12)="Y")))</f>
        <v/>
      </c>
      <c r="AC2169" s="91">
        <f>IF($B2169="","",IF(AB2169=0,"✓ covered","⚠ "&amp;AB2169&amp;IF(AB2169=1," gap"," gaps")))</f>
        <v/>
      </c>
    </row>
    <row r="2170" ht="17" customHeight="1">
      <c r="A2170" t="n">
        <v>44</v>
      </c>
      <c r="B2170" s="24">
        <f>IF(Setup!$K$18="","",Setup!$K$18)</f>
        <v/>
      </c>
      <c r="C2170" s="88" t="n"/>
      <c r="D2170" s="88" t="n"/>
      <c r="E2170" s="88" t="n"/>
      <c r="F2170" s="89" t="n"/>
      <c r="G2170" s="88" t="n"/>
      <c r="H2170" s="88" t="n"/>
      <c r="I2170" s="88" t="n"/>
      <c r="J2170" s="89" t="n"/>
      <c r="K2170" s="88" t="n"/>
      <c r="L2170" s="88" t="n"/>
      <c r="M2170" s="88" t="n"/>
      <c r="N2170" s="89" t="n"/>
      <c r="O2170" s="88" t="n"/>
      <c r="P2170" s="88" t="n"/>
      <c r="Q2170" s="88" t="n"/>
      <c r="R2170" s="89" t="n"/>
      <c r="S2170" s="88" t="n"/>
      <c r="T2170" s="88" t="n"/>
      <c r="U2170" s="88" t="n"/>
      <c r="V2170" s="89" t="n"/>
      <c r="W2170" s="88" t="n"/>
      <c r="X2170" s="89" t="n"/>
      <c r="Y2170" s="88" t="n"/>
      <c r="Z2170" s="89" t="n"/>
      <c r="AB2170" s="25">
        <f>IF($B2170="","",(COUNTIF(C2170:E2170,"?*")&lt;N(INDEX(Setup!$L$6:$L$23,13)))+(COUNTIF(G2170:I2170,"?*")&lt;N(INDEX(Setup!$L$6:$L$23,13)))+(COUNTIF(K2170:M2170,"?*")&lt;N(INDEX(Setup!$L$6:$L$23,13)))+(COUNTIF(O2170:Q2170,"?*")&lt;N(INDEX(Setup!$L$6:$L$23,13)))+(COUNTIF(S2170:U2170,"?*")&lt;N(INDEX(Setup!$L$6:$L$23,13)))+((W2170="")*(INDEX(Setup!$M$6:$M$23,13)="Y"))+((Y2170="")*(INDEX(Setup!$M$6:$M$23,13)="Y")))</f>
        <v/>
      </c>
      <c r="AC2170" s="90">
        <f>IF($B2170="","",IF(AB2170=0,"✓ covered","⚠ "&amp;AB2170&amp;IF(AB2170=1," gap"," gaps")))</f>
        <v/>
      </c>
    </row>
    <row r="2171" ht="17" customHeight="1">
      <c r="A2171" t="n">
        <v>44</v>
      </c>
      <c r="B2171" s="29">
        <f>IF(Setup!$K$19="","",Setup!$K$19)</f>
        <v/>
      </c>
      <c r="C2171" s="88" t="n"/>
      <c r="D2171" s="88" t="n"/>
      <c r="E2171" s="88" t="n"/>
      <c r="F2171" s="89" t="n"/>
      <c r="G2171" s="88" t="n"/>
      <c r="H2171" s="88" t="n"/>
      <c r="I2171" s="88" t="n"/>
      <c r="J2171" s="89" t="n"/>
      <c r="K2171" s="88" t="n"/>
      <c r="L2171" s="88" t="n"/>
      <c r="M2171" s="88" t="n"/>
      <c r="N2171" s="89" t="n"/>
      <c r="O2171" s="88" t="n"/>
      <c r="P2171" s="88" t="n"/>
      <c r="Q2171" s="88" t="n"/>
      <c r="R2171" s="89" t="n"/>
      <c r="S2171" s="88" t="n"/>
      <c r="T2171" s="88" t="n"/>
      <c r="U2171" s="88" t="n"/>
      <c r="V2171" s="89" t="n"/>
      <c r="W2171" s="88" t="n"/>
      <c r="X2171" s="89" t="n"/>
      <c r="Y2171" s="88" t="n"/>
      <c r="Z2171" s="89" t="n"/>
      <c r="AB2171" s="30">
        <f>IF($B2171="","",(COUNTIF(C2171:E2171,"?*")&lt;N(INDEX(Setup!$L$6:$L$23,14)))+(COUNTIF(G2171:I2171,"?*")&lt;N(INDEX(Setup!$L$6:$L$23,14)))+(COUNTIF(K2171:M2171,"?*")&lt;N(INDEX(Setup!$L$6:$L$23,14)))+(COUNTIF(O2171:Q2171,"?*")&lt;N(INDEX(Setup!$L$6:$L$23,14)))+(COUNTIF(S2171:U2171,"?*")&lt;N(INDEX(Setup!$L$6:$L$23,14)))+((W2171="")*(INDEX(Setup!$M$6:$M$23,14)="Y"))+((Y2171="")*(INDEX(Setup!$M$6:$M$23,14)="Y")))</f>
        <v/>
      </c>
      <c r="AC2171" s="91">
        <f>IF($B2171="","",IF(AB2171=0,"✓ covered","⚠ "&amp;AB2171&amp;IF(AB2171=1," gap"," gaps")))</f>
        <v/>
      </c>
    </row>
    <row r="2172" ht="17" customHeight="1">
      <c r="A2172" t="n">
        <v>44</v>
      </c>
      <c r="B2172" s="24">
        <f>IF(Setup!$K$20="","",Setup!$K$20)</f>
        <v/>
      </c>
      <c r="C2172" s="88" t="n"/>
      <c r="D2172" s="88" t="n"/>
      <c r="E2172" s="88" t="n"/>
      <c r="F2172" s="89" t="n"/>
      <c r="G2172" s="88" t="n"/>
      <c r="H2172" s="88" t="n"/>
      <c r="I2172" s="88" t="n"/>
      <c r="J2172" s="89" t="n"/>
      <c r="K2172" s="88" t="n"/>
      <c r="L2172" s="88" t="n"/>
      <c r="M2172" s="88" t="n"/>
      <c r="N2172" s="89" t="n"/>
      <c r="O2172" s="88" t="n"/>
      <c r="P2172" s="88" t="n"/>
      <c r="Q2172" s="88" t="n"/>
      <c r="R2172" s="89" t="n"/>
      <c r="S2172" s="88" t="n"/>
      <c r="T2172" s="88" t="n"/>
      <c r="U2172" s="88" t="n"/>
      <c r="V2172" s="89" t="n"/>
      <c r="W2172" s="88" t="n"/>
      <c r="X2172" s="89" t="n"/>
      <c r="Y2172" s="88" t="n"/>
      <c r="Z2172" s="89" t="n"/>
      <c r="AB2172" s="25">
        <f>IF($B2172="","",(COUNTIF(C2172:E2172,"?*")&lt;N(INDEX(Setup!$L$6:$L$23,15)))+(COUNTIF(G2172:I2172,"?*")&lt;N(INDEX(Setup!$L$6:$L$23,15)))+(COUNTIF(K2172:M2172,"?*")&lt;N(INDEX(Setup!$L$6:$L$23,15)))+(COUNTIF(O2172:Q2172,"?*")&lt;N(INDEX(Setup!$L$6:$L$23,15)))+(COUNTIF(S2172:U2172,"?*")&lt;N(INDEX(Setup!$L$6:$L$23,15)))+((W2172="")*(INDEX(Setup!$M$6:$M$23,15)="Y"))+((Y2172="")*(INDEX(Setup!$M$6:$M$23,15)="Y")))</f>
        <v/>
      </c>
      <c r="AC2172" s="90">
        <f>IF($B2172="","",IF(AB2172=0,"✓ covered","⚠ "&amp;AB2172&amp;IF(AB2172=1," gap"," gaps")))</f>
        <v/>
      </c>
    </row>
    <row r="2173" ht="17" customHeight="1">
      <c r="A2173" t="n">
        <v>44</v>
      </c>
      <c r="B2173" s="29">
        <f>IF(Setup!$K$21="","",Setup!$K$21)</f>
        <v/>
      </c>
      <c r="C2173" s="88" t="n"/>
      <c r="D2173" s="88" t="n"/>
      <c r="E2173" s="88" t="n"/>
      <c r="F2173" s="89" t="n"/>
      <c r="G2173" s="88" t="n"/>
      <c r="H2173" s="88" t="n"/>
      <c r="I2173" s="88" t="n"/>
      <c r="J2173" s="89" t="n"/>
      <c r="K2173" s="88" t="n"/>
      <c r="L2173" s="88" t="n"/>
      <c r="M2173" s="88" t="n"/>
      <c r="N2173" s="89" t="n"/>
      <c r="O2173" s="88" t="n"/>
      <c r="P2173" s="88" t="n"/>
      <c r="Q2173" s="88" t="n"/>
      <c r="R2173" s="89" t="n"/>
      <c r="S2173" s="88" t="n"/>
      <c r="T2173" s="88" t="n"/>
      <c r="U2173" s="88" t="n"/>
      <c r="V2173" s="89" t="n"/>
      <c r="W2173" s="88" t="n"/>
      <c r="X2173" s="89" t="n"/>
      <c r="Y2173" s="88" t="n"/>
      <c r="Z2173" s="89" t="n"/>
      <c r="AB2173" s="30">
        <f>IF($B2173="","",(COUNTIF(C2173:E2173,"?*")&lt;N(INDEX(Setup!$L$6:$L$23,16)))+(COUNTIF(G2173:I2173,"?*")&lt;N(INDEX(Setup!$L$6:$L$23,16)))+(COUNTIF(K2173:M2173,"?*")&lt;N(INDEX(Setup!$L$6:$L$23,16)))+(COUNTIF(O2173:Q2173,"?*")&lt;N(INDEX(Setup!$L$6:$L$23,16)))+(COUNTIF(S2173:U2173,"?*")&lt;N(INDEX(Setup!$L$6:$L$23,16)))+((W2173="")*(INDEX(Setup!$M$6:$M$23,16)="Y"))+((Y2173="")*(INDEX(Setup!$M$6:$M$23,16)="Y")))</f>
        <v/>
      </c>
      <c r="AC2173" s="91">
        <f>IF($B2173="","",IF(AB2173=0,"✓ covered","⚠ "&amp;AB2173&amp;IF(AB2173=1," gap"," gaps")))</f>
        <v/>
      </c>
    </row>
    <row r="2174" ht="17" customHeight="1">
      <c r="A2174" t="n">
        <v>44</v>
      </c>
      <c r="B2174" s="24">
        <f>IF(Setup!$K$22="","",Setup!$K$22)</f>
        <v/>
      </c>
      <c r="C2174" s="88" t="n"/>
      <c r="D2174" s="88" t="n"/>
      <c r="E2174" s="88" t="n"/>
      <c r="F2174" s="89" t="n"/>
      <c r="G2174" s="88" t="n"/>
      <c r="H2174" s="88" t="n"/>
      <c r="I2174" s="88" t="n"/>
      <c r="J2174" s="89" t="n"/>
      <c r="K2174" s="88" t="n"/>
      <c r="L2174" s="88" t="n"/>
      <c r="M2174" s="88" t="n"/>
      <c r="N2174" s="89" t="n"/>
      <c r="O2174" s="88" t="n"/>
      <c r="P2174" s="88" t="n"/>
      <c r="Q2174" s="88" t="n"/>
      <c r="R2174" s="89" t="n"/>
      <c r="S2174" s="88" t="n"/>
      <c r="T2174" s="88" t="n"/>
      <c r="U2174" s="88" t="n"/>
      <c r="V2174" s="89" t="n"/>
      <c r="W2174" s="88" t="n"/>
      <c r="X2174" s="89" t="n"/>
      <c r="Y2174" s="88" t="n"/>
      <c r="Z2174" s="89" t="n"/>
      <c r="AB2174" s="25">
        <f>IF($B2174="","",(COUNTIF(C2174:E2174,"?*")&lt;N(INDEX(Setup!$L$6:$L$23,17)))+(COUNTIF(G2174:I2174,"?*")&lt;N(INDEX(Setup!$L$6:$L$23,17)))+(COUNTIF(K2174:M2174,"?*")&lt;N(INDEX(Setup!$L$6:$L$23,17)))+(COUNTIF(O2174:Q2174,"?*")&lt;N(INDEX(Setup!$L$6:$L$23,17)))+(COUNTIF(S2174:U2174,"?*")&lt;N(INDEX(Setup!$L$6:$L$23,17)))+((W2174="")*(INDEX(Setup!$M$6:$M$23,17)="Y"))+((Y2174="")*(INDEX(Setup!$M$6:$M$23,17)="Y")))</f>
        <v/>
      </c>
      <c r="AC2174" s="90">
        <f>IF($B2174="","",IF(AB2174=0,"✓ covered","⚠ "&amp;AB2174&amp;IF(AB2174=1," gap"," gaps")))</f>
        <v/>
      </c>
    </row>
    <row r="2175" ht="17" customHeight="1">
      <c r="A2175" t="n">
        <v>44</v>
      </c>
      <c r="B2175" s="29">
        <f>IF(Setup!$K$23="","",Setup!$K$23)</f>
        <v/>
      </c>
      <c r="C2175" s="88" t="n"/>
      <c r="D2175" s="88" t="n"/>
      <c r="E2175" s="88" t="n"/>
      <c r="F2175" s="89" t="n"/>
      <c r="G2175" s="88" t="n"/>
      <c r="H2175" s="88" t="n"/>
      <c r="I2175" s="88" t="n"/>
      <c r="J2175" s="89" t="n"/>
      <c r="K2175" s="88" t="n"/>
      <c r="L2175" s="88" t="n"/>
      <c r="M2175" s="88" t="n"/>
      <c r="N2175" s="89" t="n"/>
      <c r="O2175" s="88" t="n"/>
      <c r="P2175" s="88" t="n"/>
      <c r="Q2175" s="88" t="n"/>
      <c r="R2175" s="89" t="n"/>
      <c r="S2175" s="88" t="n"/>
      <c r="T2175" s="88" t="n"/>
      <c r="U2175" s="88" t="n"/>
      <c r="V2175" s="89" t="n"/>
      <c r="W2175" s="88" t="n"/>
      <c r="X2175" s="89" t="n"/>
      <c r="Y2175" s="88" t="n"/>
      <c r="Z2175" s="89" t="n"/>
      <c r="AB2175" s="30">
        <f>IF($B2175="","",(COUNTIF(C2175:E2175,"?*")&lt;N(INDEX(Setup!$L$6:$L$23,18)))+(COUNTIF(G2175:I2175,"?*")&lt;N(INDEX(Setup!$L$6:$L$23,18)))+(COUNTIF(K2175:M2175,"?*")&lt;N(INDEX(Setup!$L$6:$L$23,18)))+(COUNTIF(O2175:Q2175,"?*")&lt;N(INDEX(Setup!$L$6:$L$23,18)))+(COUNTIF(S2175:U2175,"?*")&lt;N(INDEX(Setup!$L$6:$L$23,18)))+((W2175="")*(INDEX(Setup!$M$6:$M$23,18)="Y"))+((Y2175="")*(INDEX(Setup!$M$6:$M$23,18)="Y")))</f>
        <v/>
      </c>
      <c r="AC2175" s="91">
        <f>IF($B2175="","",IF(AB2175=0,"✓ covered","⚠ "&amp;AB2175&amp;IF(AB2175=1," gap"," gaps")))</f>
        <v/>
      </c>
    </row>
    <row r="2176" ht="18" customHeight="1">
      <c r="A2176" t="n">
        <v>44</v>
      </c>
      <c r="B2176" s="78" t="inlineStr">
        <is>
          <t>TEAM AVAILABILITY</t>
        </is>
      </c>
      <c r="C2176" s="92" t="inlineStr">
        <is>
          <t>Mon</t>
        </is>
      </c>
      <c r="D2176" s="93" t="n"/>
      <c r="E2176" s="93" t="n"/>
      <c r="F2176" s="94" t="n"/>
      <c r="G2176" s="92" t="inlineStr">
        <is>
          <t>Tue</t>
        </is>
      </c>
      <c r="H2176" s="93" t="n"/>
      <c r="I2176" s="93" t="n"/>
      <c r="J2176" s="94" t="n"/>
      <c r="K2176" s="92" t="inlineStr">
        <is>
          <t>Wed</t>
        </is>
      </c>
      <c r="L2176" s="93" t="n"/>
      <c r="M2176" s="93" t="n"/>
      <c r="N2176" s="94" t="n"/>
      <c r="O2176" s="92" t="inlineStr">
        <is>
          <t>Thu</t>
        </is>
      </c>
      <c r="P2176" s="93" t="n"/>
      <c r="Q2176" s="93" t="n"/>
      <c r="R2176" s="94" t="n"/>
      <c r="S2176" s="92" t="inlineStr">
        <is>
          <t>Fri</t>
        </is>
      </c>
      <c r="T2176" s="93" t="n"/>
      <c r="U2176" s="93" t="n"/>
      <c r="V2176" s="94" t="n"/>
      <c r="W2176" s="95" t="inlineStr">
        <is>
          <t>Sat</t>
        </is>
      </c>
      <c r="X2176" s="96" t="n"/>
      <c r="Y2176" s="95" t="inlineStr">
        <is>
          <t>Sun</t>
        </is>
      </c>
      <c r="Z2176" s="96" t="n"/>
      <c r="AB2176" s="97" t="inlineStr">
        <is>
          <t>Days rostered</t>
        </is>
      </c>
      <c r="AC2176" s="97" t="inlineStr">
        <is>
          <t>Conflicts</t>
        </is>
      </c>
    </row>
    <row r="2177" ht="15" customHeight="1">
      <c r="A2177" t="n">
        <v>44</v>
      </c>
      <c r="B2177" s="35">
        <f>IF(Setup!$B$6="","",Setup!$B$6)</f>
        <v/>
      </c>
      <c r="C2177" s="98" t="n"/>
      <c r="D2177" s="99" t="n"/>
      <c r="E2177" s="99" t="n"/>
      <c r="F2177" s="100" t="n"/>
      <c r="G2177" s="98" t="n"/>
      <c r="H2177" s="99" t="n"/>
      <c r="I2177" s="99" t="n"/>
      <c r="J2177" s="100" t="n"/>
      <c r="K2177" s="98" t="n"/>
      <c r="L2177" s="99" t="n"/>
      <c r="M2177" s="99" t="n"/>
      <c r="N2177" s="100" t="n"/>
      <c r="O2177" s="98" t="n"/>
      <c r="P2177" s="99" t="n"/>
      <c r="Q2177" s="99" t="n"/>
      <c r="R2177" s="100" t="n"/>
      <c r="S2177" s="98" t="n"/>
      <c r="T2177" s="99" t="n"/>
      <c r="U2177" s="99" t="n"/>
      <c r="V2177" s="100" t="n"/>
      <c r="W2177" s="98" t="n"/>
      <c r="X2177" s="100" t="n"/>
      <c r="Y2177" s="98" t="n"/>
      <c r="Z2177" s="100" t="n"/>
      <c r="AB2177" s="101">
        <f>IF($B2177="","",(COUNTIF(C2158:E2175,$B2177)+COUNTIF(C2158:E2175,$B2177&amp;" ~*")&gt;0)+(COUNTIF(G2158:I2175,$B2177)+COUNTIF(G2158:I2175,$B2177&amp;" ~*")&gt;0)+(COUNTIF(K2158:M2175,$B2177)+COUNTIF(K2158:M2175,$B2177&amp;" ~*")&gt;0)+(COUNTIF(O2158:Q2175,$B2177)+COUNTIF(O2158:Q2175,$B2177&amp;" ~*")&gt;0)+(COUNTIF(S2158:U2175,$B2177)+COUNTIF(S2158:U2175,$B2177&amp;" ~*")&gt;0)+(COUNTIF(W2158:W2175,$B2177)+COUNTIF(W2158:W2175,$B2177&amp;" ~*")&gt;0)+(COUNTIF(Y2158:Y2175,$B2177)+COUNTIF(Y2158:Y2175,$B2177&amp;" ~*")&gt;0))</f>
        <v/>
      </c>
      <c r="AC2177" s="36">
        <f>IF($B2177="","",(IFERROR(INDEX(Setup!$G$33:$G$40,MATCH(C2177,Setup!$B$33:$B$40,0)),0)=1)*(COUNTIF(C2158:E2175,$B2177)+COUNTIF(C2158:E2175,$B2177&amp;" ~*")&gt;0)+(IFERROR(INDEX(Setup!$G$33:$G$40,MATCH(G2177,Setup!$B$33:$B$40,0)),0)=1)*(COUNTIF(G2158:I2175,$B2177)+COUNTIF(G2158:I2175,$B2177&amp;" ~*")&gt;0)+(IFERROR(INDEX(Setup!$G$33:$G$40,MATCH(K2177,Setup!$B$33:$B$40,0)),0)=1)*(COUNTIF(K2158:M2175,$B2177)+COUNTIF(K2158:M2175,$B2177&amp;" ~*")&gt;0)+(IFERROR(INDEX(Setup!$G$33:$G$40,MATCH(O2177,Setup!$B$33:$B$40,0)),0)=1)*(COUNTIF(O2158:Q2175,$B2177)+COUNTIF(O2158:Q2175,$B2177&amp;" ~*")&gt;0)+(IFERROR(INDEX(Setup!$G$33:$G$40,MATCH(S2177,Setup!$B$33:$B$40,0)),0)=1)*(COUNTIF(S2158:U2175,$B2177)+COUNTIF(S2158:U2175,$B2177&amp;" ~*")&gt;0)+(IFERROR(INDEX(Setup!$G$33:$G$40,MATCH(W2177,Setup!$B$33:$B$40,0)),0)=1)*(COUNTIF(W2158:W2175,$B2177)+COUNTIF(W2158:W2175,$B2177&amp;" ~*")&gt;0)+(IFERROR(INDEX(Setup!$G$33:$G$40,MATCH(Y2177,Setup!$B$33:$B$40,0)),0)=1)*(COUNTIF(Y2158:Y2175,$B2177)+COUNTIF(Y2158:Y2175,$B2177&amp;" ~*")&gt;0))</f>
        <v/>
      </c>
    </row>
    <row r="2178" ht="15" customHeight="1">
      <c r="A2178" t="n">
        <v>44</v>
      </c>
      <c r="B2178" s="37">
        <f>IF(Setup!$B$7="","",Setup!$B$7)</f>
        <v/>
      </c>
      <c r="C2178" s="102" t="n"/>
      <c r="D2178" s="103" t="n"/>
      <c r="E2178" s="103" t="n"/>
      <c r="F2178" s="104" t="n"/>
      <c r="G2178" s="102" t="n"/>
      <c r="H2178" s="103" t="n"/>
      <c r="I2178" s="103" t="n"/>
      <c r="J2178" s="104" t="n"/>
      <c r="K2178" s="102" t="n"/>
      <c r="L2178" s="103" t="n"/>
      <c r="M2178" s="103" t="n"/>
      <c r="N2178" s="104" t="n"/>
      <c r="O2178" s="102" t="n"/>
      <c r="P2178" s="103" t="n"/>
      <c r="Q2178" s="103" t="n"/>
      <c r="R2178" s="104" t="n"/>
      <c r="S2178" s="102" t="n"/>
      <c r="T2178" s="103" t="n"/>
      <c r="U2178" s="103" t="n"/>
      <c r="V2178" s="104" t="n"/>
      <c r="W2178" s="102" t="n"/>
      <c r="X2178" s="104" t="n"/>
      <c r="Y2178" s="102" t="n"/>
      <c r="Z2178" s="104" t="n"/>
      <c r="AB2178" s="105">
        <f>IF($B2178="","",(COUNTIF(C2158:E2175,$B2178)+COUNTIF(C2158:E2175,$B2178&amp;" ~*")&gt;0)+(COUNTIF(G2158:I2175,$B2178)+COUNTIF(G2158:I2175,$B2178&amp;" ~*")&gt;0)+(COUNTIF(K2158:M2175,$B2178)+COUNTIF(K2158:M2175,$B2178&amp;" ~*")&gt;0)+(COUNTIF(O2158:Q2175,$B2178)+COUNTIF(O2158:Q2175,$B2178&amp;" ~*")&gt;0)+(COUNTIF(S2158:U2175,$B2178)+COUNTIF(S2158:U2175,$B2178&amp;" ~*")&gt;0)+(COUNTIF(W2158:W2175,$B2178)+COUNTIF(W2158:W2175,$B2178&amp;" ~*")&gt;0)+(COUNTIF(Y2158:Y2175,$B2178)+COUNTIF(Y2158:Y2175,$B2178&amp;" ~*")&gt;0))</f>
        <v/>
      </c>
      <c r="AC2178" s="38">
        <f>IF($B2178="","",(IFERROR(INDEX(Setup!$G$33:$G$40,MATCH(C2178,Setup!$B$33:$B$40,0)),0)=1)*(COUNTIF(C2158:E2175,$B2178)+COUNTIF(C2158:E2175,$B2178&amp;" ~*")&gt;0)+(IFERROR(INDEX(Setup!$G$33:$G$40,MATCH(G2178,Setup!$B$33:$B$40,0)),0)=1)*(COUNTIF(G2158:I2175,$B2178)+COUNTIF(G2158:I2175,$B2178&amp;" ~*")&gt;0)+(IFERROR(INDEX(Setup!$G$33:$G$40,MATCH(K2178,Setup!$B$33:$B$40,0)),0)=1)*(COUNTIF(K2158:M2175,$B2178)+COUNTIF(K2158:M2175,$B2178&amp;" ~*")&gt;0)+(IFERROR(INDEX(Setup!$G$33:$G$40,MATCH(O2178,Setup!$B$33:$B$40,0)),0)=1)*(COUNTIF(O2158:Q2175,$B2178)+COUNTIF(O2158:Q2175,$B2178&amp;" ~*")&gt;0)+(IFERROR(INDEX(Setup!$G$33:$G$40,MATCH(S2178,Setup!$B$33:$B$40,0)),0)=1)*(COUNTIF(S2158:U2175,$B2178)+COUNTIF(S2158:U2175,$B2178&amp;" ~*")&gt;0)+(IFERROR(INDEX(Setup!$G$33:$G$40,MATCH(W2178,Setup!$B$33:$B$40,0)),0)=1)*(COUNTIF(W2158:W2175,$B2178)+COUNTIF(W2158:W2175,$B2178&amp;" ~*")&gt;0)+(IFERROR(INDEX(Setup!$G$33:$G$40,MATCH(Y2178,Setup!$B$33:$B$40,0)),0)=1)*(COUNTIF(Y2158:Y2175,$B2178)+COUNTIF(Y2158:Y2175,$B2178&amp;" ~*")&gt;0))</f>
        <v/>
      </c>
    </row>
    <row r="2179" ht="15" customHeight="1">
      <c r="A2179" t="n">
        <v>44</v>
      </c>
      <c r="B2179" s="35">
        <f>IF(Setup!$B$8="","",Setup!$B$8)</f>
        <v/>
      </c>
      <c r="C2179" s="98" t="n"/>
      <c r="D2179" s="99" t="n"/>
      <c r="E2179" s="99" t="n"/>
      <c r="F2179" s="100" t="n"/>
      <c r="G2179" s="98" t="n"/>
      <c r="H2179" s="99" t="n"/>
      <c r="I2179" s="99" t="n"/>
      <c r="J2179" s="100" t="n"/>
      <c r="K2179" s="98" t="n"/>
      <c r="L2179" s="99" t="n"/>
      <c r="M2179" s="99" t="n"/>
      <c r="N2179" s="100" t="n"/>
      <c r="O2179" s="98" t="n"/>
      <c r="P2179" s="99" t="n"/>
      <c r="Q2179" s="99" t="n"/>
      <c r="R2179" s="100" t="n"/>
      <c r="S2179" s="98" t="n"/>
      <c r="T2179" s="99" t="n"/>
      <c r="U2179" s="99" t="n"/>
      <c r="V2179" s="100" t="n"/>
      <c r="W2179" s="98" t="n"/>
      <c r="X2179" s="100" t="n"/>
      <c r="Y2179" s="98" t="n"/>
      <c r="Z2179" s="100" t="n"/>
      <c r="AB2179" s="101">
        <f>IF($B2179="","",(COUNTIF(C2158:E2175,$B2179)+COUNTIF(C2158:E2175,$B2179&amp;" ~*")&gt;0)+(COUNTIF(G2158:I2175,$B2179)+COUNTIF(G2158:I2175,$B2179&amp;" ~*")&gt;0)+(COUNTIF(K2158:M2175,$B2179)+COUNTIF(K2158:M2175,$B2179&amp;" ~*")&gt;0)+(COUNTIF(O2158:Q2175,$B2179)+COUNTIF(O2158:Q2175,$B2179&amp;" ~*")&gt;0)+(COUNTIF(S2158:U2175,$B2179)+COUNTIF(S2158:U2175,$B2179&amp;" ~*")&gt;0)+(COUNTIF(W2158:W2175,$B2179)+COUNTIF(W2158:W2175,$B2179&amp;" ~*")&gt;0)+(COUNTIF(Y2158:Y2175,$B2179)+COUNTIF(Y2158:Y2175,$B2179&amp;" ~*")&gt;0))</f>
        <v/>
      </c>
      <c r="AC2179" s="36">
        <f>IF($B2179="","",(IFERROR(INDEX(Setup!$G$33:$G$40,MATCH(C2179,Setup!$B$33:$B$40,0)),0)=1)*(COUNTIF(C2158:E2175,$B2179)+COUNTIF(C2158:E2175,$B2179&amp;" ~*")&gt;0)+(IFERROR(INDEX(Setup!$G$33:$G$40,MATCH(G2179,Setup!$B$33:$B$40,0)),0)=1)*(COUNTIF(G2158:I2175,$B2179)+COUNTIF(G2158:I2175,$B2179&amp;" ~*")&gt;0)+(IFERROR(INDEX(Setup!$G$33:$G$40,MATCH(K2179,Setup!$B$33:$B$40,0)),0)=1)*(COUNTIF(K2158:M2175,$B2179)+COUNTIF(K2158:M2175,$B2179&amp;" ~*")&gt;0)+(IFERROR(INDEX(Setup!$G$33:$G$40,MATCH(O2179,Setup!$B$33:$B$40,0)),0)=1)*(COUNTIF(O2158:Q2175,$B2179)+COUNTIF(O2158:Q2175,$B2179&amp;" ~*")&gt;0)+(IFERROR(INDEX(Setup!$G$33:$G$40,MATCH(S2179,Setup!$B$33:$B$40,0)),0)=1)*(COUNTIF(S2158:U2175,$B2179)+COUNTIF(S2158:U2175,$B2179&amp;" ~*")&gt;0)+(IFERROR(INDEX(Setup!$G$33:$G$40,MATCH(W2179,Setup!$B$33:$B$40,0)),0)=1)*(COUNTIF(W2158:W2175,$B2179)+COUNTIF(W2158:W2175,$B2179&amp;" ~*")&gt;0)+(IFERROR(INDEX(Setup!$G$33:$G$40,MATCH(Y2179,Setup!$B$33:$B$40,0)),0)=1)*(COUNTIF(Y2158:Y2175,$B2179)+COUNTIF(Y2158:Y2175,$B2179&amp;" ~*")&gt;0))</f>
        <v/>
      </c>
    </row>
    <row r="2180" ht="15" customHeight="1">
      <c r="A2180" t="n">
        <v>44</v>
      </c>
      <c r="B2180" s="37">
        <f>IF(Setup!$B$9="","",Setup!$B$9)</f>
        <v/>
      </c>
      <c r="C2180" s="102" t="n"/>
      <c r="D2180" s="103" t="n"/>
      <c r="E2180" s="103" t="n"/>
      <c r="F2180" s="104" t="n"/>
      <c r="G2180" s="102" t="n"/>
      <c r="H2180" s="103" t="n"/>
      <c r="I2180" s="103" t="n"/>
      <c r="J2180" s="104" t="n"/>
      <c r="K2180" s="102" t="n"/>
      <c r="L2180" s="103" t="n"/>
      <c r="M2180" s="103" t="n"/>
      <c r="N2180" s="104" t="n"/>
      <c r="O2180" s="102" t="n"/>
      <c r="P2180" s="103" t="n"/>
      <c r="Q2180" s="103" t="n"/>
      <c r="R2180" s="104" t="n"/>
      <c r="S2180" s="102" t="n"/>
      <c r="T2180" s="103" t="n"/>
      <c r="U2180" s="103" t="n"/>
      <c r="V2180" s="104" t="n"/>
      <c r="W2180" s="102" t="n"/>
      <c r="X2180" s="104" t="n"/>
      <c r="Y2180" s="102" t="n"/>
      <c r="Z2180" s="104" t="n"/>
      <c r="AB2180" s="105">
        <f>IF($B2180="","",(COUNTIF(C2158:E2175,$B2180)+COUNTIF(C2158:E2175,$B2180&amp;" ~*")&gt;0)+(COUNTIF(G2158:I2175,$B2180)+COUNTIF(G2158:I2175,$B2180&amp;" ~*")&gt;0)+(COUNTIF(K2158:M2175,$B2180)+COUNTIF(K2158:M2175,$B2180&amp;" ~*")&gt;0)+(COUNTIF(O2158:Q2175,$B2180)+COUNTIF(O2158:Q2175,$B2180&amp;" ~*")&gt;0)+(COUNTIF(S2158:U2175,$B2180)+COUNTIF(S2158:U2175,$B2180&amp;" ~*")&gt;0)+(COUNTIF(W2158:W2175,$B2180)+COUNTIF(W2158:W2175,$B2180&amp;" ~*")&gt;0)+(COUNTIF(Y2158:Y2175,$B2180)+COUNTIF(Y2158:Y2175,$B2180&amp;" ~*")&gt;0))</f>
        <v/>
      </c>
      <c r="AC2180" s="38">
        <f>IF($B2180="","",(IFERROR(INDEX(Setup!$G$33:$G$40,MATCH(C2180,Setup!$B$33:$B$40,0)),0)=1)*(COUNTIF(C2158:E2175,$B2180)+COUNTIF(C2158:E2175,$B2180&amp;" ~*")&gt;0)+(IFERROR(INDEX(Setup!$G$33:$G$40,MATCH(G2180,Setup!$B$33:$B$40,0)),0)=1)*(COUNTIF(G2158:I2175,$B2180)+COUNTIF(G2158:I2175,$B2180&amp;" ~*")&gt;0)+(IFERROR(INDEX(Setup!$G$33:$G$40,MATCH(K2180,Setup!$B$33:$B$40,0)),0)=1)*(COUNTIF(K2158:M2175,$B2180)+COUNTIF(K2158:M2175,$B2180&amp;" ~*")&gt;0)+(IFERROR(INDEX(Setup!$G$33:$G$40,MATCH(O2180,Setup!$B$33:$B$40,0)),0)=1)*(COUNTIF(O2158:Q2175,$B2180)+COUNTIF(O2158:Q2175,$B2180&amp;" ~*")&gt;0)+(IFERROR(INDEX(Setup!$G$33:$G$40,MATCH(S2180,Setup!$B$33:$B$40,0)),0)=1)*(COUNTIF(S2158:U2175,$B2180)+COUNTIF(S2158:U2175,$B2180&amp;" ~*")&gt;0)+(IFERROR(INDEX(Setup!$G$33:$G$40,MATCH(W2180,Setup!$B$33:$B$40,0)),0)=1)*(COUNTIF(W2158:W2175,$B2180)+COUNTIF(W2158:W2175,$B2180&amp;" ~*")&gt;0)+(IFERROR(INDEX(Setup!$G$33:$G$40,MATCH(Y2180,Setup!$B$33:$B$40,0)),0)=1)*(COUNTIF(Y2158:Y2175,$B2180)+COUNTIF(Y2158:Y2175,$B2180&amp;" ~*")&gt;0))</f>
        <v/>
      </c>
    </row>
    <row r="2181" ht="15" customHeight="1">
      <c r="A2181" t="n">
        <v>44</v>
      </c>
      <c r="B2181" s="35">
        <f>IF(Setup!$B$10="","",Setup!$B$10)</f>
        <v/>
      </c>
      <c r="C2181" s="98" t="n"/>
      <c r="D2181" s="99" t="n"/>
      <c r="E2181" s="99" t="n"/>
      <c r="F2181" s="100" t="n"/>
      <c r="G2181" s="98" t="n"/>
      <c r="H2181" s="99" t="n"/>
      <c r="I2181" s="99" t="n"/>
      <c r="J2181" s="100" t="n"/>
      <c r="K2181" s="98" t="n"/>
      <c r="L2181" s="99" t="n"/>
      <c r="M2181" s="99" t="n"/>
      <c r="N2181" s="100" t="n"/>
      <c r="O2181" s="98" t="n"/>
      <c r="P2181" s="99" t="n"/>
      <c r="Q2181" s="99" t="n"/>
      <c r="R2181" s="100" t="n"/>
      <c r="S2181" s="98" t="n"/>
      <c r="T2181" s="99" t="n"/>
      <c r="U2181" s="99" t="n"/>
      <c r="V2181" s="100" t="n"/>
      <c r="W2181" s="98" t="n"/>
      <c r="X2181" s="100" t="n"/>
      <c r="Y2181" s="98" t="n"/>
      <c r="Z2181" s="100" t="n"/>
      <c r="AB2181" s="101">
        <f>IF($B2181="","",(COUNTIF(C2158:E2175,$B2181)+COUNTIF(C2158:E2175,$B2181&amp;" ~*")&gt;0)+(COUNTIF(G2158:I2175,$B2181)+COUNTIF(G2158:I2175,$B2181&amp;" ~*")&gt;0)+(COUNTIF(K2158:M2175,$B2181)+COUNTIF(K2158:M2175,$B2181&amp;" ~*")&gt;0)+(COUNTIF(O2158:Q2175,$B2181)+COUNTIF(O2158:Q2175,$B2181&amp;" ~*")&gt;0)+(COUNTIF(S2158:U2175,$B2181)+COUNTIF(S2158:U2175,$B2181&amp;" ~*")&gt;0)+(COUNTIF(W2158:W2175,$B2181)+COUNTIF(W2158:W2175,$B2181&amp;" ~*")&gt;0)+(COUNTIF(Y2158:Y2175,$B2181)+COUNTIF(Y2158:Y2175,$B2181&amp;" ~*")&gt;0))</f>
        <v/>
      </c>
      <c r="AC2181" s="36">
        <f>IF($B2181="","",(IFERROR(INDEX(Setup!$G$33:$G$40,MATCH(C2181,Setup!$B$33:$B$40,0)),0)=1)*(COUNTIF(C2158:E2175,$B2181)+COUNTIF(C2158:E2175,$B2181&amp;" ~*")&gt;0)+(IFERROR(INDEX(Setup!$G$33:$G$40,MATCH(G2181,Setup!$B$33:$B$40,0)),0)=1)*(COUNTIF(G2158:I2175,$B2181)+COUNTIF(G2158:I2175,$B2181&amp;" ~*")&gt;0)+(IFERROR(INDEX(Setup!$G$33:$G$40,MATCH(K2181,Setup!$B$33:$B$40,0)),0)=1)*(COUNTIF(K2158:M2175,$B2181)+COUNTIF(K2158:M2175,$B2181&amp;" ~*")&gt;0)+(IFERROR(INDEX(Setup!$G$33:$G$40,MATCH(O2181,Setup!$B$33:$B$40,0)),0)=1)*(COUNTIF(O2158:Q2175,$B2181)+COUNTIF(O2158:Q2175,$B2181&amp;" ~*")&gt;0)+(IFERROR(INDEX(Setup!$G$33:$G$40,MATCH(S2181,Setup!$B$33:$B$40,0)),0)=1)*(COUNTIF(S2158:U2175,$B2181)+COUNTIF(S2158:U2175,$B2181&amp;" ~*")&gt;0)+(IFERROR(INDEX(Setup!$G$33:$G$40,MATCH(W2181,Setup!$B$33:$B$40,0)),0)=1)*(COUNTIF(W2158:W2175,$B2181)+COUNTIF(W2158:W2175,$B2181&amp;" ~*")&gt;0)+(IFERROR(INDEX(Setup!$G$33:$G$40,MATCH(Y2181,Setup!$B$33:$B$40,0)),0)=1)*(COUNTIF(Y2158:Y2175,$B2181)+COUNTIF(Y2158:Y2175,$B2181&amp;" ~*")&gt;0))</f>
        <v/>
      </c>
    </row>
    <row r="2182" ht="15" customHeight="1">
      <c r="A2182" t="n">
        <v>44</v>
      </c>
      <c r="B2182" s="37">
        <f>IF(Setup!$B$11="","",Setup!$B$11)</f>
        <v/>
      </c>
      <c r="C2182" s="102" t="n"/>
      <c r="D2182" s="103" t="n"/>
      <c r="E2182" s="103" t="n"/>
      <c r="F2182" s="104" t="n"/>
      <c r="G2182" s="102" t="n"/>
      <c r="H2182" s="103" t="n"/>
      <c r="I2182" s="103" t="n"/>
      <c r="J2182" s="104" t="n"/>
      <c r="K2182" s="102" t="n"/>
      <c r="L2182" s="103" t="n"/>
      <c r="M2182" s="103" t="n"/>
      <c r="N2182" s="104" t="n"/>
      <c r="O2182" s="102" t="n"/>
      <c r="P2182" s="103" t="n"/>
      <c r="Q2182" s="103" t="n"/>
      <c r="R2182" s="104" t="n"/>
      <c r="S2182" s="102" t="n"/>
      <c r="T2182" s="103" t="n"/>
      <c r="U2182" s="103" t="n"/>
      <c r="V2182" s="104" t="n"/>
      <c r="W2182" s="102" t="n"/>
      <c r="X2182" s="104" t="n"/>
      <c r="Y2182" s="102" t="n"/>
      <c r="Z2182" s="104" t="n"/>
      <c r="AB2182" s="105">
        <f>IF($B2182="","",(COUNTIF(C2158:E2175,$B2182)+COUNTIF(C2158:E2175,$B2182&amp;" ~*")&gt;0)+(COUNTIF(G2158:I2175,$B2182)+COUNTIF(G2158:I2175,$B2182&amp;" ~*")&gt;0)+(COUNTIF(K2158:M2175,$B2182)+COUNTIF(K2158:M2175,$B2182&amp;" ~*")&gt;0)+(COUNTIF(O2158:Q2175,$B2182)+COUNTIF(O2158:Q2175,$B2182&amp;" ~*")&gt;0)+(COUNTIF(S2158:U2175,$B2182)+COUNTIF(S2158:U2175,$B2182&amp;" ~*")&gt;0)+(COUNTIF(W2158:W2175,$B2182)+COUNTIF(W2158:W2175,$B2182&amp;" ~*")&gt;0)+(COUNTIF(Y2158:Y2175,$B2182)+COUNTIF(Y2158:Y2175,$B2182&amp;" ~*")&gt;0))</f>
        <v/>
      </c>
      <c r="AC2182" s="38">
        <f>IF($B2182="","",(IFERROR(INDEX(Setup!$G$33:$G$40,MATCH(C2182,Setup!$B$33:$B$40,0)),0)=1)*(COUNTIF(C2158:E2175,$B2182)+COUNTIF(C2158:E2175,$B2182&amp;" ~*")&gt;0)+(IFERROR(INDEX(Setup!$G$33:$G$40,MATCH(G2182,Setup!$B$33:$B$40,0)),0)=1)*(COUNTIF(G2158:I2175,$B2182)+COUNTIF(G2158:I2175,$B2182&amp;" ~*")&gt;0)+(IFERROR(INDEX(Setup!$G$33:$G$40,MATCH(K2182,Setup!$B$33:$B$40,0)),0)=1)*(COUNTIF(K2158:M2175,$B2182)+COUNTIF(K2158:M2175,$B2182&amp;" ~*")&gt;0)+(IFERROR(INDEX(Setup!$G$33:$G$40,MATCH(O2182,Setup!$B$33:$B$40,0)),0)=1)*(COUNTIF(O2158:Q2175,$B2182)+COUNTIF(O2158:Q2175,$B2182&amp;" ~*")&gt;0)+(IFERROR(INDEX(Setup!$G$33:$G$40,MATCH(S2182,Setup!$B$33:$B$40,0)),0)=1)*(COUNTIF(S2158:U2175,$B2182)+COUNTIF(S2158:U2175,$B2182&amp;" ~*")&gt;0)+(IFERROR(INDEX(Setup!$G$33:$G$40,MATCH(W2182,Setup!$B$33:$B$40,0)),0)=1)*(COUNTIF(W2158:W2175,$B2182)+COUNTIF(W2158:W2175,$B2182&amp;" ~*")&gt;0)+(IFERROR(INDEX(Setup!$G$33:$G$40,MATCH(Y2182,Setup!$B$33:$B$40,0)),0)=1)*(COUNTIF(Y2158:Y2175,$B2182)+COUNTIF(Y2158:Y2175,$B2182&amp;" ~*")&gt;0))</f>
        <v/>
      </c>
    </row>
    <row r="2183" ht="15" customHeight="1">
      <c r="A2183" t="n">
        <v>44</v>
      </c>
      <c r="B2183" s="35">
        <f>IF(Setup!$B$12="","",Setup!$B$12)</f>
        <v/>
      </c>
      <c r="C2183" s="98" t="n"/>
      <c r="D2183" s="99" t="n"/>
      <c r="E2183" s="99" t="n"/>
      <c r="F2183" s="100" t="n"/>
      <c r="G2183" s="98" t="n"/>
      <c r="H2183" s="99" t="n"/>
      <c r="I2183" s="99" t="n"/>
      <c r="J2183" s="100" t="n"/>
      <c r="K2183" s="98" t="n"/>
      <c r="L2183" s="99" t="n"/>
      <c r="M2183" s="99" t="n"/>
      <c r="N2183" s="100" t="n"/>
      <c r="O2183" s="98" t="n"/>
      <c r="P2183" s="99" t="n"/>
      <c r="Q2183" s="99" t="n"/>
      <c r="R2183" s="100" t="n"/>
      <c r="S2183" s="98" t="n"/>
      <c r="T2183" s="99" t="n"/>
      <c r="U2183" s="99" t="n"/>
      <c r="V2183" s="100" t="n"/>
      <c r="W2183" s="98" t="n"/>
      <c r="X2183" s="100" t="n"/>
      <c r="Y2183" s="98" t="n"/>
      <c r="Z2183" s="100" t="n"/>
      <c r="AB2183" s="101">
        <f>IF($B2183="","",(COUNTIF(C2158:E2175,$B2183)+COUNTIF(C2158:E2175,$B2183&amp;" ~*")&gt;0)+(COUNTIF(G2158:I2175,$B2183)+COUNTIF(G2158:I2175,$B2183&amp;" ~*")&gt;0)+(COUNTIF(K2158:M2175,$B2183)+COUNTIF(K2158:M2175,$B2183&amp;" ~*")&gt;0)+(COUNTIF(O2158:Q2175,$B2183)+COUNTIF(O2158:Q2175,$B2183&amp;" ~*")&gt;0)+(COUNTIF(S2158:U2175,$B2183)+COUNTIF(S2158:U2175,$B2183&amp;" ~*")&gt;0)+(COUNTIF(W2158:W2175,$B2183)+COUNTIF(W2158:W2175,$B2183&amp;" ~*")&gt;0)+(COUNTIF(Y2158:Y2175,$B2183)+COUNTIF(Y2158:Y2175,$B2183&amp;" ~*")&gt;0))</f>
        <v/>
      </c>
      <c r="AC2183" s="36">
        <f>IF($B2183="","",(IFERROR(INDEX(Setup!$G$33:$G$40,MATCH(C2183,Setup!$B$33:$B$40,0)),0)=1)*(COUNTIF(C2158:E2175,$B2183)+COUNTIF(C2158:E2175,$B2183&amp;" ~*")&gt;0)+(IFERROR(INDEX(Setup!$G$33:$G$40,MATCH(G2183,Setup!$B$33:$B$40,0)),0)=1)*(COUNTIF(G2158:I2175,$B2183)+COUNTIF(G2158:I2175,$B2183&amp;" ~*")&gt;0)+(IFERROR(INDEX(Setup!$G$33:$G$40,MATCH(K2183,Setup!$B$33:$B$40,0)),0)=1)*(COUNTIF(K2158:M2175,$B2183)+COUNTIF(K2158:M2175,$B2183&amp;" ~*")&gt;0)+(IFERROR(INDEX(Setup!$G$33:$G$40,MATCH(O2183,Setup!$B$33:$B$40,0)),0)=1)*(COUNTIF(O2158:Q2175,$B2183)+COUNTIF(O2158:Q2175,$B2183&amp;" ~*")&gt;0)+(IFERROR(INDEX(Setup!$G$33:$G$40,MATCH(S2183,Setup!$B$33:$B$40,0)),0)=1)*(COUNTIF(S2158:U2175,$B2183)+COUNTIF(S2158:U2175,$B2183&amp;" ~*")&gt;0)+(IFERROR(INDEX(Setup!$G$33:$G$40,MATCH(W2183,Setup!$B$33:$B$40,0)),0)=1)*(COUNTIF(W2158:W2175,$B2183)+COUNTIF(W2158:W2175,$B2183&amp;" ~*")&gt;0)+(IFERROR(INDEX(Setup!$G$33:$G$40,MATCH(Y2183,Setup!$B$33:$B$40,0)),0)=1)*(COUNTIF(Y2158:Y2175,$B2183)+COUNTIF(Y2158:Y2175,$B2183&amp;" ~*")&gt;0))</f>
        <v/>
      </c>
    </row>
    <row r="2184" ht="15" customHeight="1">
      <c r="A2184" t="n">
        <v>44</v>
      </c>
      <c r="B2184" s="37">
        <f>IF(Setup!$B$13="","",Setup!$B$13)</f>
        <v/>
      </c>
      <c r="C2184" s="102" t="n"/>
      <c r="D2184" s="103" t="n"/>
      <c r="E2184" s="103" t="n"/>
      <c r="F2184" s="104" t="n"/>
      <c r="G2184" s="102" t="n"/>
      <c r="H2184" s="103" t="n"/>
      <c r="I2184" s="103" t="n"/>
      <c r="J2184" s="104" t="n"/>
      <c r="K2184" s="102" t="n"/>
      <c r="L2184" s="103" t="n"/>
      <c r="M2184" s="103" t="n"/>
      <c r="N2184" s="104" t="n"/>
      <c r="O2184" s="102" t="n"/>
      <c r="P2184" s="103" t="n"/>
      <c r="Q2184" s="103" t="n"/>
      <c r="R2184" s="104" t="n"/>
      <c r="S2184" s="102" t="n"/>
      <c r="T2184" s="103" t="n"/>
      <c r="U2184" s="103" t="n"/>
      <c r="V2184" s="104" t="n"/>
      <c r="W2184" s="102" t="n"/>
      <c r="X2184" s="104" t="n"/>
      <c r="Y2184" s="102" t="n"/>
      <c r="Z2184" s="104" t="n"/>
      <c r="AB2184" s="105">
        <f>IF($B2184="","",(COUNTIF(C2158:E2175,$B2184)+COUNTIF(C2158:E2175,$B2184&amp;" ~*")&gt;0)+(COUNTIF(G2158:I2175,$B2184)+COUNTIF(G2158:I2175,$B2184&amp;" ~*")&gt;0)+(COUNTIF(K2158:M2175,$B2184)+COUNTIF(K2158:M2175,$B2184&amp;" ~*")&gt;0)+(COUNTIF(O2158:Q2175,$B2184)+COUNTIF(O2158:Q2175,$B2184&amp;" ~*")&gt;0)+(COUNTIF(S2158:U2175,$B2184)+COUNTIF(S2158:U2175,$B2184&amp;" ~*")&gt;0)+(COUNTIF(W2158:W2175,$B2184)+COUNTIF(W2158:W2175,$B2184&amp;" ~*")&gt;0)+(COUNTIF(Y2158:Y2175,$B2184)+COUNTIF(Y2158:Y2175,$B2184&amp;" ~*")&gt;0))</f>
        <v/>
      </c>
      <c r="AC2184" s="38">
        <f>IF($B2184="","",(IFERROR(INDEX(Setup!$G$33:$G$40,MATCH(C2184,Setup!$B$33:$B$40,0)),0)=1)*(COUNTIF(C2158:E2175,$B2184)+COUNTIF(C2158:E2175,$B2184&amp;" ~*")&gt;0)+(IFERROR(INDEX(Setup!$G$33:$G$40,MATCH(G2184,Setup!$B$33:$B$40,0)),0)=1)*(COUNTIF(G2158:I2175,$B2184)+COUNTIF(G2158:I2175,$B2184&amp;" ~*")&gt;0)+(IFERROR(INDEX(Setup!$G$33:$G$40,MATCH(K2184,Setup!$B$33:$B$40,0)),0)=1)*(COUNTIF(K2158:M2175,$B2184)+COUNTIF(K2158:M2175,$B2184&amp;" ~*")&gt;0)+(IFERROR(INDEX(Setup!$G$33:$G$40,MATCH(O2184,Setup!$B$33:$B$40,0)),0)=1)*(COUNTIF(O2158:Q2175,$B2184)+COUNTIF(O2158:Q2175,$B2184&amp;" ~*")&gt;0)+(IFERROR(INDEX(Setup!$G$33:$G$40,MATCH(S2184,Setup!$B$33:$B$40,0)),0)=1)*(COUNTIF(S2158:U2175,$B2184)+COUNTIF(S2158:U2175,$B2184&amp;" ~*")&gt;0)+(IFERROR(INDEX(Setup!$G$33:$G$40,MATCH(W2184,Setup!$B$33:$B$40,0)),0)=1)*(COUNTIF(W2158:W2175,$B2184)+COUNTIF(W2158:W2175,$B2184&amp;" ~*")&gt;0)+(IFERROR(INDEX(Setup!$G$33:$G$40,MATCH(Y2184,Setup!$B$33:$B$40,0)),0)=1)*(COUNTIF(Y2158:Y2175,$B2184)+COUNTIF(Y2158:Y2175,$B2184&amp;" ~*")&gt;0))</f>
        <v/>
      </c>
    </row>
    <row r="2185" ht="15" customHeight="1">
      <c r="A2185" t="n">
        <v>44</v>
      </c>
      <c r="B2185" s="35">
        <f>IF(Setup!$B$14="","",Setup!$B$14)</f>
        <v/>
      </c>
      <c r="C2185" s="98" t="n"/>
      <c r="D2185" s="99" t="n"/>
      <c r="E2185" s="99" t="n"/>
      <c r="F2185" s="100" t="n"/>
      <c r="G2185" s="98" t="n"/>
      <c r="H2185" s="99" t="n"/>
      <c r="I2185" s="99" t="n"/>
      <c r="J2185" s="100" t="n"/>
      <c r="K2185" s="98" t="n"/>
      <c r="L2185" s="99" t="n"/>
      <c r="M2185" s="99" t="n"/>
      <c r="N2185" s="100" t="n"/>
      <c r="O2185" s="98" t="n"/>
      <c r="P2185" s="99" t="n"/>
      <c r="Q2185" s="99" t="n"/>
      <c r="R2185" s="100" t="n"/>
      <c r="S2185" s="98" t="n"/>
      <c r="T2185" s="99" t="n"/>
      <c r="U2185" s="99" t="n"/>
      <c r="V2185" s="100" t="n"/>
      <c r="W2185" s="98" t="n"/>
      <c r="X2185" s="100" t="n"/>
      <c r="Y2185" s="98" t="n"/>
      <c r="Z2185" s="100" t="n"/>
      <c r="AB2185" s="101">
        <f>IF($B2185="","",(COUNTIF(C2158:E2175,$B2185)+COUNTIF(C2158:E2175,$B2185&amp;" ~*")&gt;0)+(COUNTIF(G2158:I2175,$B2185)+COUNTIF(G2158:I2175,$B2185&amp;" ~*")&gt;0)+(COUNTIF(K2158:M2175,$B2185)+COUNTIF(K2158:M2175,$B2185&amp;" ~*")&gt;0)+(COUNTIF(O2158:Q2175,$B2185)+COUNTIF(O2158:Q2175,$B2185&amp;" ~*")&gt;0)+(COUNTIF(S2158:U2175,$B2185)+COUNTIF(S2158:U2175,$B2185&amp;" ~*")&gt;0)+(COUNTIF(W2158:W2175,$B2185)+COUNTIF(W2158:W2175,$B2185&amp;" ~*")&gt;0)+(COUNTIF(Y2158:Y2175,$B2185)+COUNTIF(Y2158:Y2175,$B2185&amp;" ~*")&gt;0))</f>
        <v/>
      </c>
      <c r="AC2185" s="36">
        <f>IF($B2185="","",(IFERROR(INDEX(Setup!$G$33:$G$40,MATCH(C2185,Setup!$B$33:$B$40,0)),0)=1)*(COUNTIF(C2158:E2175,$B2185)+COUNTIF(C2158:E2175,$B2185&amp;" ~*")&gt;0)+(IFERROR(INDEX(Setup!$G$33:$G$40,MATCH(G2185,Setup!$B$33:$B$40,0)),0)=1)*(COUNTIF(G2158:I2175,$B2185)+COUNTIF(G2158:I2175,$B2185&amp;" ~*")&gt;0)+(IFERROR(INDEX(Setup!$G$33:$G$40,MATCH(K2185,Setup!$B$33:$B$40,0)),0)=1)*(COUNTIF(K2158:M2175,$B2185)+COUNTIF(K2158:M2175,$B2185&amp;" ~*")&gt;0)+(IFERROR(INDEX(Setup!$G$33:$G$40,MATCH(O2185,Setup!$B$33:$B$40,0)),0)=1)*(COUNTIF(O2158:Q2175,$B2185)+COUNTIF(O2158:Q2175,$B2185&amp;" ~*")&gt;0)+(IFERROR(INDEX(Setup!$G$33:$G$40,MATCH(S2185,Setup!$B$33:$B$40,0)),0)=1)*(COUNTIF(S2158:U2175,$B2185)+COUNTIF(S2158:U2175,$B2185&amp;" ~*")&gt;0)+(IFERROR(INDEX(Setup!$G$33:$G$40,MATCH(W2185,Setup!$B$33:$B$40,0)),0)=1)*(COUNTIF(W2158:W2175,$B2185)+COUNTIF(W2158:W2175,$B2185&amp;" ~*")&gt;0)+(IFERROR(INDEX(Setup!$G$33:$G$40,MATCH(Y2185,Setup!$B$33:$B$40,0)),0)=1)*(COUNTIF(Y2158:Y2175,$B2185)+COUNTIF(Y2158:Y2175,$B2185&amp;" ~*")&gt;0))</f>
        <v/>
      </c>
    </row>
    <row r="2186" ht="15" customHeight="1">
      <c r="A2186" t="n">
        <v>44</v>
      </c>
      <c r="B2186" s="37">
        <f>IF(Setup!$B$15="","",Setup!$B$15)</f>
        <v/>
      </c>
      <c r="C2186" s="102" t="n"/>
      <c r="D2186" s="103" t="n"/>
      <c r="E2186" s="103" t="n"/>
      <c r="F2186" s="104" t="n"/>
      <c r="G2186" s="102" t="n"/>
      <c r="H2186" s="103" t="n"/>
      <c r="I2186" s="103" t="n"/>
      <c r="J2186" s="104" t="n"/>
      <c r="K2186" s="102" t="n"/>
      <c r="L2186" s="103" t="n"/>
      <c r="M2186" s="103" t="n"/>
      <c r="N2186" s="104" t="n"/>
      <c r="O2186" s="102" t="n"/>
      <c r="P2186" s="103" t="n"/>
      <c r="Q2186" s="103" t="n"/>
      <c r="R2186" s="104" t="n"/>
      <c r="S2186" s="102" t="n"/>
      <c r="T2186" s="103" t="n"/>
      <c r="U2186" s="103" t="n"/>
      <c r="V2186" s="104" t="n"/>
      <c r="W2186" s="102" t="n"/>
      <c r="X2186" s="104" t="n"/>
      <c r="Y2186" s="102" t="n"/>
      <c r="Z2186" s="104" t="n"/>
      <c r="AB2186" s="105">
        <f>IF($B2186="","",(COUNTIF(C2158:E2175,$B2186)+COUNTIF(C2158:E2175,$B2186&amp;" ~*")&gt;0)+(COUNTIF(G2158:I2175,$B2186)+COUNTIF(G2158:I2175,$B2186&amp;" ~*")&gt;0)+(COUNTIF(K2158:M2175,$B2186)+COUNTIF(K2158:M2175,$B2186&amp;" ~*")&gt;0)+(COUNTIF(O2158:Q2175,$B2186)+COUNTIF(O2158:Q2175,$B2186&amp;" ~*")&gt;0)+(COUNTIF(S2158:U2175,$B2186)+COUNTIF(S2158:U2175,$B2186&amp;" ~*")&gt;0)+(COUNTIF(W2158:W2175,$B2186)+COUNTIF(W2158:W2175,$B2186&amp;" ~*")&gt;0)+(COUNTIF(Y2158:Y2175,$B2186)+COUNTIF(Y2158:Y2175,$B2186&amp;" ~*")&gt;0))</f>
        <v/>
      </c>
      <c r="AC2186" s="38">
        <f>IF($B2186="","",(IFERROR(INDEX(Setup!$G$33:$G$40,MATCH(C2186,Setup!$B$33:$B$40,0)),0)=1)*(COUNTIF(C2158:E2175,$B2186)+COUNTIF(C2158:E2175,$B2186&amp;" ~*")&gt;0)+(IFERROR(INDEX(Setup!$G$33:$G$40,MATCH(G2186,Setup!$B$33:$B$40,0)),0)=1)*(COUNTIF(G2158:I2175,$B2186)+COUNTIF(G2158:I2175,$B2186&amp;" ~*")&gt;0)+(IFERROR(INDEX(Setup!$G$33:$G$40,MATCH(K2186,Setup!$B$33:$B$40,0)),0)=1)*(COUNTIF(K2158:M2175,$B2186)+COUNTIF(K2158:M2175,$B2186&amp;" ~*")&gt;0)+(IFERROR(INDEX(Setup!$G$33:$G$40,MATCH(O2186,Setup!$B$33:$B$40,0)),0)=1)*(COUNTIF(O2158:Q2175,$B2186)+COUNTIF(O2158:Q2175,$B2186&amp;" ~*")&gt;0)+(IFERROR(INDEX(Setup!$G$33:$G$40,MATCH(S2186,Setup!$B$33:$B$40,0)),0)=1)*(COUNTIF(S2158:U2175,$B2186)+COUNTIF(S2158:U2175,$B2186&amp;" ~*")&gt;0)+(IFERROR(INDEX(Setup!$G$33:$G$40,MATCH(W2186,Setup!$B$33:$B$40,0)),0)=1)*(COUNTIF(W2158:W2175,$B2186)+COUNTIF(W2158:W2175,$B2186&amp;" ~*")&gt;0)+(IFERROR(INDEX(Setup!$G$33:$G$40,MATCH(Y2186,Setup!$B$33:$B$40,0)),0)=1)*(COUNTIF(Y2158:Y2175,$B2186)+COUNTIF(Y2158:Y2175,$B2186&amp;" ~*")&gt;0))</f>
        <v/>
      </c>
    </row>
    <row r="2187" ht="15" customHeight="1">
      <c r="A2187" t="n">
        <v>44</v>
      </c>
      <c r="B2187" s="35">
        <f>IF(Setup!$B$16="","",Setup!$B$16)</f>
        <v/>
      </c>
      <c r="C2187" s="98" t="n"/>
      <c r="D2187" s="99" t="n"/>
      <c r="E2187" s="99" t="n"/>
      <c r="F2187" s="100" t="n"/>
      <c r="G2187" s="98" t="n"/>
      <c r="H2187" s="99" t="n"/>
      <c r="I2187" s="99" t="n"/>
      <c r="J2187" s="100" t="n"/>
      <c r="K2187" s="98" t="n"/>
      <c r="L2187" s="99" t="n"/>
      <c r="M2187" s="99" t="n"/>
      <c r="N2187" s="100" t="n"/>
      <c r="O2187" s="98" t="n"/>
      <c r="P2187" s="99" t="n"/>
      <c r="Q2187" s="99" t="n"/>
      <c r="R2187" s="100" t="n"/>
      <c r="S2187" s="98" t="n"/>
      <c r="T2187" s="99" t="n"/>
      <c r="U2187" s="99" t="n"/>
      <c r="V2187" s="100" t="n"/>
      <c r="W2187" s="98" t="n"/>
      <c r="X2187" s="100" t="n"/>
      <c r="Y2187" s="98" t="n"/>
      <c r="Z2187" s="100" t="n"/>
      <c r="AB2187" s="101">
        <f>IF($B2187="","",(COUNTIF(C2158:E2175,$B2187)+COUNTIF(C2158:E2175,$B2187&amp;" ~*")&gt;0)+(COUNTIF(G2158:I2175,$B2187)+COUNTIF(G2158:I2175,$B2187&amp;" ~*")&gt;0)+(COUNTIF(K2158:M2175,$B2187)+COUNTIF(K2158:M2175,$B2187&amp;" ~*")&gt;0)+(COUNTIF(O2158:Q2175,$B2187)+COUNTIF(O2158:Q2175,$B2187&amp;" ~*")&gt;0)+(COUNTIF(S2158:U2175,$B2187)+COUNTIF(S2158:U2175,$B2187&amp;" ~*")&gt;0)+(COUNTIF(W2158:W2175,$B2187)+COUNTIF(W2158:W2175,$B2187&amp;" ~*")&gt;0)+(COUNTIF(Y2158:Y2175,$B2187)+COUNTIF(Y2158:Y2175,$B2187&amp;" ~*")&gt;0))</f>
        <v/>
      </c>
      <c r="AC2187" s="36">
        <f>IF($B2187="","",(IFERROR(INDEX(Setup!$G$33:$G$40,MATCH(C2187,Setup!$B$33:$B$40,0)),0)=1)*(COUNTIF(C2158:E2175,$B2187)+COUNTIF(C2158:E2175,$B2187&amp;" ~*")&gt;0)+(IFERROR(INDEX(Setup!$G$33:$G$40,MATCH(G2187,Setup!$B$33:$B$40,0)),0)=1)*(COUNTIF(G2158:I2175,$B2187)+COUNTIF(G2158:I2175,$B2187&amp;" ~*")&gt;0)+(IFERROR(INDEX(Setup!$G$33:$G$40,MATCH(K2187,Setup!$B$33:$B$40,0)),0)=1)*(COUNTIF(K2158:M2175,$B2187)+COUNTIF(K2158:M2175,$B2187&amp;" ~*")&gt;0)+(IFERROR(INDEX(Setup!$G$33:$G$40,MATCH(O2187,Setup!$B$33:$B$40,0)),0)=1)*(COUNTIF(O2158:Q2175,$B2187)+COUNTIF(O2158:Q2175,$B2187&amp;" ~*")&gt;0)+(IFERROR(INDEX(Setup!$G$33:$G$40,MATCH(S2187,Setup!$B$33:$B$40,0)),0)=1)*(COUNTIF(S2158:U2175,$B2187)+COUNTIF(S2158:U2175,$B2187&amp;" ~*")&gt;0)+(IFERROR(INDEX(Setup!$G$33:$G$40,MATCH(W2187,Setup!$B$33:$B$40,0)),0)=1)*(COUNTIF(W2158:W2175,$B2187)+COUNTIF(W2158:W2175,$B2187&amp;" ~*")&gt;0)+(IFERROR(INDEX(Setup!$G$33:$G$40,MATCH(Y2187,Setup!$B$33:$B$40,0)),0)=1)*(COUNTIF(Y2158:Y2175,$B2187)+COUNTIF(Y2158:Y2175,$B2187&amp;" ~*")&gt;0))</f>
        <v/>
      </c>
    </row>
    <row r="2188" ht="15" customHeight="1">
      <c r="A2188" t="n">
        <v>44</v>
      </c>
      <c r="B2188" s="37">
        <f>IF(Setup!$B$17="","",Setup!$B$17)</f>
        <v/>
      </c>
      <c r="C2188" s="102" t="n"/>
      <c r="D2188" s="103" t="n"/>
      <c r="E2188" s="103" t="n"/>
      <c r="F2188" s="104" t="n"/>
      <c r="G2188" s="102" t="n"/>
      <c r="H2188" s="103" t="n"/>
      <c r="I2188" s="103" t="n"/>
      <c r="J2188" s="104" t="n"/>
      <c r="K2188" s="102" t="n"/>
      <c r="L2188" s="103" t="n"/>
      <c r="M2188" s="103" t="n"/>
      <c r="N2188" s="104" t="n"/>
      <c r="O2188" s="102" t="n"/>
      <c r="P2188" s="103" t="n"/>
      <c r="Q2188" s="103" t="n"/>
      <c r="R2188" s="104" t="n"/>
      <c r="S2188" s="102" t="n"/>
      <c r="T2188" s="103" t="n"/>
      <c r="U2188" s="103" t="n"/>
      <c r="V2188" s="104" t="n"/>
      <c r="W2188" s="102" t="n"/>
      <c r="X2188" s="104" t="n"/>
      <c r="Y2188" s="102" t="n"/>
      <c r="Z2188" s="104" t="n"/>
      <c r="AB2188" s="105">
        <f>IF($B2188="","",(COUNTIF(C2158:E2175,$B2188)+COUNTIF(C2158:E2175,$B2188&amp;" ~*")&gt;0)+(COUNTIF(G2158:I2175,$B2188)+COUNTIF(G2158:I2175,$B2188&amp;" ~*")&gt;0)+(COUNTIF(K2158:M2175,$B2188)+COUNTIF(K2158:M2175,$B2188&amp;" ~*")&gt;0)+(COUNTIF(O2158:Q2175,$B2188)+COUNTIF(O2158:Q2175,$B2188&amp;" ~*")&gt;0)+(COUNTIF(S2158:U2175,$B2188)+COUNTIF(S2158:U2175,$B2188&amp;" ~*")&gt;0)+(COUNTIF(W2158:W2175,$B2188)+COUNTIF(W2158:W2175,$B2188&amp;" ~*")&gt;0)+(COUNTIF(Y2158:Y2175,$B2188)+COUNTIF(Y2158:Y2175,$B2188&amp;" ~*")&gt;0))</f>
        <v/>
      </c>
      <c r="AC2188" s="38">
        <f>IF($B2188="","",(IFERROR(INDEX(Setup!$G$33:$G$40,MATCH(C2188,Setup!$B$33:$B$40,0)),0)=1)*(COUNTIF(C2158:E2175,$B2188)+COUNTIF(C2158:E2175,$B2188&amp;" ~*")&gt;0)+(IFERROR(INDEX(Setup!$G$33:$G$40,MATCH(G2188,Setup!$B$33:$B$40,0)),0)=1)*(COUNTIF(G2158:I2175,$B2188)+COUNTIF(G2158:I2175,$B2188&amp;" ~*")&gt;0)+(IFERROR(INDEX(Setup!$G$33:$G$40,MATCH(K2188,Setup!$B$33:$B$40,0)),0)=1)*(COUNTIF(K2158:M2175,$B2188)+COUNTIF(K2158:M2175,$B2188&amp;" ~*")&gt;0)+(IFERROR(INDEX(Setup!$G$33:$G$40,MATCH(O2188,Setup!$B$33:$B$40,0)),0)=1)*(COUNTIF(O2158:Q2175,$B2188)+COUNTIF(O2158:Q2175,$B2188&amp;" ~*")&gt;0)+(IFERROR(INDEX(Setup!$G$33:$G$40,MATCH(S2188,Setup!$B$33:$B$40,0)),0)=1)*(COUNTIF(S2158:U2175,$B2188)+COUNTIF(S2158:U2175,$B2188&amp;" ~*")&gt;0)+(IFERROR(INDEX(Setup!$G$33:$G$40,MATCH(W2188,Setup!$B$33:$B$40,0)),0)=1)*(COUNTIF(W2158:W2175,$B2188)+COUNTIF(W2158:W2175,$B2188&amp;" ~*")&gt;0)+(IFERROR(INDEX(Setup!$G$33:$G$40,MATCH(Y2188,Setup!$B$33:$B$40,0)),0)=1)*(COUNTIF(Y2158:Y2175,$B2188)+COUNTIF(Y2158:Y2175,$B2188&amp;" ~*")&gt;0))</f>
        <v/>
      </c>
    </row>
    <row r="2189" ht="15" customHeight="1">
      <c r="A2189" t="n">
        <v>44</v>
      </c>
      <c r="B2189" s="35">
        <f>IF(Setup!$B$18="","",Setup!$B$18)</f>
        <v/>
      </c>
      <c r="C2189" s="98" t="n"/>
      <c r="D2189" s="99" t="n"/>
      <c r="E2189" s="99" t="n"/>
      <c r="F2189" s="100" t="n"/>
      <c r="G2189" s="98" t="n"/>
      <c r="H2189" s="99" t="n"/>
      <c r="I2189" s="99" t="n"/>
      <c r="J2189" s="100" t="n"/>
      <c r="K2189" s="98" t="n"/>
      <c r="L2189" s="99" t="n"/>
      <c r="M2189" s="99" t="n"/>
      <c r="N2189" s="100" t="n"/>
      <c r="O2189" s="98" t="n"/>
      <c r="P2189" s="99" t="n"/>
      <c r="Q2189" s="99" t="n"/>
      <c r="R2189" s="100" t="n"/>
      <c r="S2189" s="98" t="n"/>
      <c r="T2189" s="99" t="n"/>
      <c r="U2189" s="99" t="n"/>
      <c r="V2189" s="100" t="n"/>
      <c r="W2189" s="98" t="n"/>
      <c r="X2189" s="100" t="n"/>
      <c r="Y2189" s="98" t="n"/>
      <c r="Z2189" s="100" t="n"/>
      <c r="AB2189" s="101">
        <f>IF($B2189="","",(COUNTIF(C2158:E2175,$B2189)+COUNTIF(C2158:E2175,$B2189&amp;" ~*")&gt;0)+(COUNTIF(G2158:I2175,$B2189)+COUNTIF(G2158:I2175,$B2189&amp;" ~*")&gt;0)+(COUNTIF(K2158:M2175,$B2189)+COUNTIF(K2158:M2175,$B2189&amp;" ~*")&gt;0)+(COUNTIF(O2158:Q2175,$B2189)+COUNTIF(O2158:Q2175,$B2189&amp;" ~*")&gt;0)+(COUNTIF(S2158:U2175,$B2189)+COUNTIF(S2158:U2175,$B2189&amp;" ~*")&gt;0)+(COUNTIF(W2158:W2175,$B2189)+COUNTIF(W2158:W2175,$B2189&amp;" ~*")&gt;0)+(COUNTIF(Y2158:Y2175,$B2189)+COUNTIF(Y2158:Y2175,$B2189&amp;" ~*")&gt;0))</f>
        <v/>
      </c>
      <c r="AC2189" s="36">
        <f>IF($B2189="","",(IFERROR(INDEX(Setup!$G$33:$G$40,MATCH(C2189,Setup!$B$33:$B$40,0)),0)=1)*(COUNTIF(C2158:E2175,$B2189)+COUNTIF(C2158:E2175,$B2189&amp;" ~*")&gt;0)+(IFERROR(INDEX(Setup!$G$33:$G$40,MATCH(G2189,Setup!$B$33:$B$40,0)),0)=1)*(COUNTIF(G2158:I2175,$B2189)+COUNTIF(G2158:I2175,$B2189&amp;" ~*")&gt;0)+(IFERROR(INDEX(Setup!$G$33:$G$40,MATCH(K2189,Setup!$B$33:$B$40,0)),0)=1)*(COUNTIF(K2158:M2175,$B2189)+COUNTIF(K2158:M2175,$B2189&amp;" ~*")&gt;0)+(IFERROR(INDEX(Setup!$G$33:$G$40,MATCH(O2189,Setup!$B$33:$B$40,0)),0)=1)*(COUNTIF(O2158:Q2175,$B2189)+COUNTIF(O2158:Q2175,$B2189&amp;" ~*")&gt;0)+(IFERROR(INDEX(Setup!$G$33:$G$40,MATCH(S2189,Setup!$B$33:$B$40,0)),0)=1)*(COUNTIF(S2158:U2175,$B2189)+COUNTIF(S2158:U2175,$B2189&amp;" ~*")&gt;0)+(IFERROR(INDEX(Setup!$G$33:$G$40,MATCH(W2189,Setup!$B$33:$B$40,0)),0)=1)*(COUNTIF(W2158:W2175,$B2189)+COUNTIF(W2158:W2175,$B2189&amp;" ~*")&gt;0)+(IFERROR(INDEX(Setup!$G$33:$G$40,MATCH(Y2189,Setup!$B$33:$B$40,0)),0)=1)*(COUNTIF(Y2158:Y2175,$B2189)+COUNTIF(Y2158:Y2175,$B2189&amp;" ~*")&gt;0))</f>
        <v/>
      </c>
    </row>
    <row r="2190" ht="15" customHeight="1">
      <c r="A2190" t="n">
        <v>44</v>
      </c>
      <c r="B2190" s="37">
        <f>IF(Setup!$B$19="","",Setup!$B$19)</f>
        <v/>
      </c>
      <c r="C2190" s="102" t="n"/>
      <c r="D2190" s="103" t="n"/>
      <c r="E2190" s="103" t="n"/>
      <c r="F2190" s="104" t="n"/>
      <c r="G2190" s="102" t="n"/>
      <c r="H2190" s="103" t="n"/>
      <c r="I2190" s="103" t="n"/>
      <c r="J2190" s="104" t="n"/>
      <c r="K2190" s="102" t="n"/>
      <c r="L2190" s="103" t="n"/>
      <c r="M2190" s="103" t="n"/>
      <c r="N2190" s="104" t="n"/>
      <c r="O2190" s="102" t="n"/>
      <c r="P2190" s="103" t="n"/>
      <c r="Q2190" s="103" t="n"/>
      <c r="R2190" s="104" t="n"/>
      <c r="S2190" s="102" t="n"/>
      <c r="T2190" s="103" t="n"/>
      <c r="U2190" s="103" t="n"/>
      <c r="V2190" s="104" t="n"/>
      <c r="W2190" s="102" t="n"/>
      <c r="X2190" s="104" t="n"/>
      <c r="Y2190" s="102" t="n"/>
      <c r="Z2190" s="104" t="n"/>
      <c r="AB2190" s="105">
        <f>IF($B2190="","",(COUNTIF(C2158:E2175,$B2190)+COUNTIF(C2158:E2175,$B2190&amp;" ~*")&gt;0)+(COUNTIF(G2158:I2175,$B2190)+COUNTIF(G2158:I2175,$B2190&amp;" ~*")&gt;0)+(COUNTIF(K2158:M2175,$B2190)+COUNTIF(K2158:M2175,$B2190&amp;" ~*")&gt;0)+(COUNTIF(O2158:Q2175,$B2190)+COUNTIF(O2158:Q2175,$B2190&amp;" ~*")&gt;0)+(COUNTIF(S2158:U2175,$B2190)+COUNTIF(S2158:U2175,$B2190&amp;" ~*")&gt;0)+(COUNTIF(W2158:W2175,$B2190)+COUNTIF(W2158:W2175,$B2190&amp;" ~*")&gt;0)+(COUNTIF(Y2158:Y2175,$B2190)+COUNTIF(Y2158:Y2175,$B2190&amp;" ~*")&gt;0))</f>
        <v/>
      </c>
      <c r="AC2190" s="38">
        <f>IF($B2190="","",(IFERROR(INDEX(Setup!$G$33:$G$40,MATCH(C2190,Setup!$B$33:$B$40,0)),0)=1)*(COUNTIF(C2158:E2175,$B2190)+COUNTIF(C2158:E2175,$B2190&amp;" ~*")&gt;0)+(IFERROR(INDEX(Setup!$G$33:$G$40,MATCH(G2190,Setup!$B$33:$B$40,0)),0)=1)*(COUNTIF(G2158:I2175,$B2190)+COUNTIF(G2158:I2175,$B2190&amp;" ~*")&gt;0)+(IFERROR(INDEX(Setup!$G$33:$G$40,MATCH(K2190,Setup!$B$33:$B$40,0)),0)=1)*(COUNTIF(K2158:M2175,$B2190)+COUNTIF(K2158:M2175,$B2190&amp;" ~*")&gt;0)+(IFERROR(INDEX(Setup!$G$33:$G$40,MATCH(O2190,Setup!$B$33:$B$40,0)),0)=1)*(COUNTIF(O2158:Q2175,$B2190)+COUNTIF(O2158:Q2175,$B2190&amp;" ~*")&gt;0)+(IFERROR(INDEX(Setup!$G$33:$G$40,MATCH(S2190,Setup!$B$33:$B$40,0)),0)=1)*(COUNTIF(S2158:U2175,$B2190)+COUNTIF(S2158:U2175,$B2190&amp;" ~*")&gt;0)+(IFERROR(INDEX(Setup!$G$33:$G$40,MATCH(W2190,Setup!$B$33:$B$40,0)),0)=1)*(COUNTIF(W2158:W2175,$B2190)+COUNTIF(W2158:W2175,$B2190&amp;" ~*")&gt;0)+(IFERROR(INDEX(Setup!$G$33:$G$40,MATCH(Y2190,Setup!$B$33:$B$40,0)),0)=1)*(COUNTIF(Y2158:Y2175,$B2190)+COUNTIF(Y2158:Y2175,$B2190&amp;" ~*")&gt;0))</f>
        <v/>
      </c>
    </row>
    <row r="2191" ht="15" customHeight="1">
      <c r="A2191" t="n">
        <v>44</v>
      </c>
      <c r="B2191" s="35">
        <f>IF(Setup!$B$20="","",Setup!$B$20)</f>
        <v/>
      </c>
      <c r="C2191" s="98" t="n"/>
      <c r="D2191" s="99" t="n"/>
      <c r="E2191" s="99" t="n"/>
      <c r="F2191" s="100" t="n"/>
      <c r="G2191" s="98" t="n"/>
      <c r="H2191" s="99" t="n"/>
      <c r="I2191" s="99" t="n"/>
      <c r="J2191" s="100" t="n"/>
      <c r="K2191" s="98" t="n"/>
      <c r="L2191" s="99" t="n"/>
      <c r="M2191" s="99" t="n"/>
      <c r="N2191" s="100" t="n"/>
      <c r="O2191" s="98" t="n"/>
      <c r="P2191" s="99" t="n"/>
      <c r="Q2191" s="99" t="n"/>
      <c r="R2191" s="100" t="n"/>
      <c r="S2191" s="98" t="n"/>
      <c r="T2191" s="99" t="n"/>
      <c r="U2191" s="99" t="n"/>
      <c r="V2191" s="100" t="n"/>
      <c r="W2191" s="98" t="n"/>
      <c r="X2191" s="100" t="n"/>
      <c r="Y2191" s="98" t="n"/>
      <c r="Z2191" s="100" t="n"/>
      <c r="AB2191" s="101">
        <f>IF($B2191="","",(COUNTIF(C2158:E2175,$B2191)+COUNTIF(C2158:E2175,$B2191&amp;" ~*")&gt;0)+(COUNTIF(G2158:I2175,$B2191)+COUNTIF(G2158:I2175,$B2191&amp;" ~*")&gt;0)+(COUNTIF(K2158:M2175,$B2191)+COUNTIF(K2158:M2175,$B2191&amp;" ~*")&gt;0)+(COUNTIF(O2158:Q2175,$B2191)+COUNTIF(O2158:Q2175,$B2191&amp;" ~*")&gt;0)+(COUNTIF(S2158:U2175,$B2191)+COUNTIF(S2158:U2175,$B2191&amp;" ~*")&gt;0)+(COUNTIF(W2158:W2175,$B2191)+COUNTIF(W2158:W2175,$B2191&amp;" ~*")&gt;0)+(COUNTIF(Y2158:Y2175,$B2191)+COUNTIF(Y2158:Y2175,$B2191&amp;" ~*")&gt;0))</f>
        <v/>
      </c>
      <c r="AC2191" s="36">
        <f>IF($B2191="","",(IFERROR(INDEX(Setup!$G$33:$G$40,MATCH(C2191,Setup!$B$33:$B$40,0)),0)=1)*(COUNTIF(C2158:E2175,$B2191)+COUNTIF(C2158:E2175,$B2191&amp;" ~*")&gt;0)+(IFERROR(INDEX(Setup!$G$33:$G$40,MATCH(G2191,Setup!$B$33:$B$40,0)),0)=1)*(COUNTIF(G2158:I2175,$B2191)+COUNTIF(G2158:I2175,$B2191&amp;" ~*")&gt;0)+(IFERROR(INDEX(Setup!$G$33:$G$40,MATCH(K2191,Setup!$B$33:$B$40,0)),0)=1)*(COUNTIF(K2158:M2175,$B2191)+COUNTIF(K2158:M2175,$B2191&amp;" ~*")&gt;0)+(IFERROR(INDEX(Setup!$G$33:$G$40,MATCH(O2191,Setup!$B$33:$B$40,0)),0)=1)*(COUNTIF(O2158:Q2175,$B2191)+COUNTIF(O2158:Q2175,$B2191&amp;" ~*")&gt;0)+(IFERROR(INDEX(Setup!$G$33:$G$40,MATCH(S2191,Setup!$B$33:$B$40,0)),0)=1)*(COUNTIF(S2158:U2175,$B2191)+COUNTIF(S2158:U2175,$B2191&amp;" ~*")&gt;0)+(IFERROR(INDEX(Setup!$G$33:$G$40,MATCH(W2191,Setup!$B$33:$B$40,0)),0)=1)*(COUNTIF(W2158:W2175,$B2191)+COUNTIF(W2158:W2175,$B2191&amp;" ~*")&gt;0)+(IFERROR(INDEX(Setup!$G$33:$G$40,MATCH(Y2191,Setup!$B$33:$B$40,0)),0)=1)*(COUNTIF(Y2158:Y2175,$B2191)+COUNTIF(Y2158:Y2175,$B2191&amp;" ~*")&gt;0))</f>
        <v/>
      </c>
    </row>
    <row r="2192" ht="15" customHeight="1">
      <c r="A2192" t="n">
        <v>44</v>
      </c>
      <c r="B2192" s="37">
        <f>IF(Setup!$B$21="","",Setup!$B$21)</f>
        <v/>
      </c>
      <c r="C2192" s="102" t="n"/>
      <c r="D2192" s="103" t="n"/>
      <c r="E2192" s="103" t="n"/>
      <c r="F2192" s="104" t="n"/>
      <c r="G2192" s="102" t="n"/>
      <c r="H2192" s="103" t="n"/>
      <c r="I2192" s="103" t="n"/>
      <c r="J2192" s="104" t="n"/>
      <c r="K2192" s="102" t="n"/>
      <c r="L2192" s="103" t="n"/>
      <c r="M2192" s="103" t="n"/>
      <c r="N2192" s="104" t="n"/>
      <c r="O2192" s="102" t="n"/>
      <c r="P2192" s="103" t="n"/>
      <c r="Q2192" s="103" t="n"/>
      <c r="R2192" s="104" t="n"/>
      <c r="S2192" s="102" t="n"/>
      <c r="T2192" s="103" t="n"/>
      <c r="U2192" s="103" t="n"/>
      <c r="V2192" s="104" t="n"/>
      <c r="W2192" s="102" t="n"/>
      <c r="X2192" s="104" t="n"/>
      <c r="Y2192" s="102" t="n"/>
      <c r="Z2192" s="104" t="n"/>
      <c r="AB2192" s="105">
        <f>IF($B2192="","",(COUNTIF(C2158:E2175,$B2192)+COUNTIF(C2158:E2175,$B2192&amp;" ~*")&gt;0)+(COUNTIF(G2158:I2175,$B2192)+COUNTIF(G2158:I2175,$B2192&amp;" ~*")&gt;0)+(COUNTIF(K2158:M2175,$B2192)+COUNTIF(K2158:M2175,$B2192&amp;" ~*")&gt;0)+(COUNTIF(O2158:Q2175,$B2192)+COUNTIF(O2158:Q2175,$B2192&amp;" ~*")&gt;0)+(COUNTIF(S2158:U2175,$B2192)+COUNTIF(S2158:U2175,$B2192&amp;" ~*")&gt;0)+(COUNTIF(W2158:W2175,$B2192)+COUNTIF(W2158:W2175,$B2192&amp;" ~*")&gt;0)+(COUNTIF(Y2158:Y2175,$B2192)+COUNTIF(Y2158:Y2175,$B2192&amp;" ~*")&gt;0))</f>
        <v/>
      </c>
      <c r="AC2192" s="38">
        <f>IF($B2192="","",(IFERROR(INDEX(Setup!$G$33:$G$40,MATCH(C2192,Setup!$B$33:$B$40,0)),0)=1)*(COUNTIF(C2158:E2175,$B2192)+COUNTIF(C2158:E2175,$B2192&amp;" ~*")&gt;0)+(IFERROR(INDEX(Setup!$G$33:$G$40,MATCH(G2192,Setup!$B$33:$B$40,0)),0)=1)*(COUNTIF(G2158:I2175,$B2192)+COUNTIF(G2158:I2175,$B2192&amp;" ~*")&gt;0)+(IFERROR(INDEX(Setup!$G$33:$G$40,MATCH(K2192,Setup!$B$33:$B$40,0)),0)=1)*(COUNTIF(K2158:M2175,$B2192)+COUNTIF(K2158:M2175,$B2192&amp;" ~*")&gt;0)+(IFERROR(INDEX(Setup!$G$33:$G$40,MATCH(O2192,Setup!$B$33:$B$40,0)),0)=1)*(COUNTIF(O2158:Q2175,$B2192)+COUNTIF(O2158:Q2175,$B2192&amp;" ~*")&gt;0)+(IFERROR(INDEX(Setup!$G$33:$G$40,MATCH(S2192,Setup!$B$33:$B$40,0)),0)=1)*(COUNTIF(S2158:U2175,$B2192)+COUNTIF(S2158:U2175,$B2192&amp;" ~*")&gt;0)+(IFERROR(INDEX(Setup!$G$33:$G$40,MATCH(W2192,Setup!$B$33:$B$40,0)),0)=1)*(COUNTIF(W2158:W2175,$B2192)+COUNTIF(W2158:W2175,$B2192&amp;" ~*")&gt;0)+(IFERROR(INDEX(Setup!$G$33:$G$40,MATCH(Y2192,Setup!$B$33:$B$40,0)),0)=1)*(COUNTIF(Y2158:Y2175,$B2192)+COUNTIF(Y2158:Y2175,$B2192&amp;" ~*")&gt;0))</f>
        <v/>
      </c>
    </row>
    <row r="2193" ht="15" customHeight="1">
      <c r="A2193" t="n">
        <v>44</v>
      </c>
      <c r="B2193" s="35">
        <f>IF(Setup!$B$22="","",Setup!$B$22)</f>
        <v/>
      </c>
      <c r="C2193" s="98" t="n"/>
      <c r="D2193" s="99" t="n"/>
      <c r="E2193" s="99" t="n"/>
      <c r="F2193" s="100" t="n"/>
      <c r="G2193" s="98" t="n"/>
      <c r="H2193" s="99" t="n"/>
      <c r="I2193" s="99" t="n"/>
      <c r="J2193" s="100" t="n"/>
      <c r="K2193" s="98" t="n"/>
      <c r="L2193" s="99" t="n"/>
      <c r="M2193" s="99" t="n"/>
      <c r="N2193" s="100" t="n"/>
      <c r="O2193" s="98" t="n"/>
      <c r="P2193" s="99" t="n"/>
      <c r="Q2193" s="99" t="n"/>
      <c r="R2193" s="100" t="n"/>
      <c r="S2193" s="98" t="n"/>
      <c r="T2193" s="99" t="n"/>
      <c r="U2193" s="99" t="n"/>
      <c r="V2193" s="100" t="n"/>
      <c r="W2193" s="98" t="n"/>
      <c r="X2193" s="100" t="n"/>
      <c r="Y2193" s="98" t="n"/>
      <c r="Z2193" s="100" t="n"/>
      <c r="AB2193" s="101">
        <f>IF($B2193="","",(COUNTIF(C2158:E2175,$B2193)+COUNTIF(C2158:E2175,$B2193&amp;" ~*")&gt;0)+(COUNTIF(G2158:I2175,$B2193)+COUNTIF(G2158:I2175,$B2193&amp;" ~*")&gt;0)+(COUNTIF(K2158:M2175,$B2193)+COUNTIF(K2158:M2175,$B2193&amp;" ~*")&gt;0)+(COUNTIF(O2158:Q2175,$B2193)+COUNTIF(O2158:Q2175,$B2193&amp;" ~*")&gt;0)+(COUNTIF(S2158:U2175,$B2193)+COUNTIF(S2158:U2175,$B2193&amp;" ~*")&gt;0)+(COUNTIF(W2158:W2175,$B2193)+COUNTIF(W2158:W2175,$B2193&amp;" ~*")&gt;0)+(COUNTIF(Y2158:Y2175,$B2193)+COUNTIF(Y2158:Y2175,$B2193&amp;" ~*")&gt;0))</f>
        <v/>
      </c>
      <c r="AC2193" s="36">
        <f>IF($B2193="","",(IFERROR(INDEX(Setup!$G$33:$G$40,MATCH(C2193,Setup!$B$33:$B$40,0)),0)=1)*(COUNTIF(C2158:E2175,$B2193)+COUNTIF(C2158:E2175,$B2193&amp;" ~*")&gt;0)+(IFERROR(INDEX(Setup!$G$33:$G$40,MATCH(G2193,Setup!$B$33:$B$40,0)),0)=1)*(COUNTIF(G2158:I2175,$B2193)+COUNTIF(G2158:I2175,$B2193&amp;" ~*")&gt;0)+(IFERROR(INDEX(Setup!$G$33:$G$40,MATCH(K2193,Setup!$B$33:$B$40,0)),0)=1)*(COUNTIF(K2158:M2175,$B2193)+COUNTIF(K2158:M2175,$B2193&amp;" ~*")&gt;0)+(IFERROR(INDEX(Setup!$G$33:$G$40,MATCH(O2193,Setup!$B$33:$B$40,0)),0)=1)*(COUNTIF(O2158:Q2175,$B2193)+COUNTIF(O2158:Q2175,$B2193&amp;" ~*")&gt;0)+(IFERROR(INDEX(Setup!$G$33:$G$40,MATCH(S2193,Setup!$B$33:$B$40,0)),0)=1)*(COUNTIF(S2158:U2175,$B2193)+COUNTIF(S2158:U2175,$B2193&amp;" ~*")&gt;0)+(IFERROR(INDEX(Setup!$G$33:$G$40,MATCH(W2193,Setup!$B$33:$B$40,0)),0)=1)*(COUNTIF(W2158:W2175,$B2193)+COUNTIF(W2158:W2175,$B2193&amp;" ~*")&gt;0)+(IFERROR(INDEX(Setup!$G$33:$G$40,MATCH(Y2193,Setup!$B$33:$B$40,0)),0)=1)*(COUNTIF(Y2158:Y2175,$B2193)+COUNTIF(Y2158:Y2175,$B2193&amp;" ~*")&gt;0))</f>
        <v/>
      </c>
    </row>
    <row r="2194" ht="15" customHeight="1">
      <c r="A2194" t="n">
        <v>44</v>
      </c>
      <c r="B2194" s="37">
        <f>IF(Setup!$B$23="","",Setup!$B$23)</f>
        <v/>
      </c>
      <c r="C2194" s="102" t="n"/>
      <c r="D2194" s="103" t="n"/>
      <c r="E2194" s="103" t="n"/>
      <c r="F2194" s="104" t="n"/>
      <c r="G2194" s="102" t="n"/>
      <c r="H2194" s="103" t="n"/>
      <c r="I2194" s="103" t="n"/>
      <c r="J2194" s="104" t="n"/>
      <c r="K2194" s="102" t="n"/>
      <c r="L2194" s="103" t="n"/>
      <c r="M2194" s="103" t="n"/>
      <c r="N2194" s="104" t="n"/>
      <c r="O2194" s="102" t="n"/>
      <c r="P2194" s="103" t="n"/>
      <c r="Q2194" s="103" t="n"/>
      <c r="R2194" s="104" t="n"/>
      <c r="S2194" s="102" t="n"/>
      <c r="T2194" s="103" t="n"/>
      <c r="U2194" s="103" t="n"/>
      <c r="V2194" s="104" t="n"/>
      <c r="W2194" s="102" t="n"/>
      <c r="X2194" s="104" t="n"/>
      <c r="Y2194" s="102" t="n"/>
      <c r="Z2194" s="104" t="n"/>
      <c r="AB2194" s="105">
        <f>IF($B2194="","",(COUNTIF(C2158:E2175,$B2194)+COUNTIF(C2158:E2175,$B2194&amp;" ~*")&gt;0)+(COUNTIF(G2158:I2175,$B2194)+COUNTIF(G2158:I2175,$B2194&amp;" ~*")&gt;0)+(COUNTIF(K2158:M2175,$B2194)+COUNTIF(K2158:M2175,$B2194&amp;" ~*")&gt;0)+(COUNTIF(O2158:Q2175,$B2194)+COUNTIF(O2158:Q2175,$B2194&amp;" ~*")&gt;0)+(COUNTIF(S2158:U2175,$B2194)+COUNTIF(S2158:U2175,$B2194&amp;" ~*")&gt;0)+(COUNTIF(W2158:W2175,$B2194)+COUNTIF(W2158:W2175,$B2194&amp;" ~*")&gt;0)+(COUNTIF(Y2158:Y2175,$B2194)+COUNTIF(Y2158:Y2175,$B2194&amp;" ~*")&gt;0))</f>
        <v/>
      </c>
      <c r="AC2194" s="38">
        <f>IF($B2194="","",(IFERROR(INDEX(Setup!$G$33:$G$40,MATCH(C2194,Setup!$B$33:$B$40,0)),0)=1)*(COUNTIF(C2158:E2175,$B2194)+COUNTIF(C2158:E2175,$B2194&amp;" ~*")&gt;0)+(IFERROR(INDEX(Setup!$G$33:$G$40,MATCH(G2194,Setup!$B$33:$B$40,0)),0)=1)*(COUNTIF(G2158:I2175,$B2194)+COUNTIF(G2158:I2175,$B2194&amp;" ~*")&gt;0)+(IFERROR(INDEX(Setup!$G$33:$G$40,MATCH(K2194,Setup!$B$33:$B$40,0)),0)=1)*(COUNTIF(K2158:M2175,$B2194)+COUNTIF(K2158:M2175,$B2194&amp;" ~*")&gt;0)+(IFERROR(INDEX(Setup!$G$33:$G$40,MATCH(O2194,Setup!$B$33:$B$40,0)),0)=1)*(COUNTIF(O2158:Q2175,$B2194)+COUNTIF(O2158:Q2175,$B2194&amp;" ~*")&gt;0)+(IFERROR(INDEX(Setup!$G$33:$G$40,MATCH(S2194,Setup!$B$33:$B$40,0)),0)=1)*(COUNTIF(S2158:U2175,$B2194)+COUNTIF(S2158:U2175,$B2194&amp;" ~*")&gt;0)+(IFERROR(INDEX(Setup!$G$33:$G$40,MATCH(W2194,Setup!$B$33:$B$40,0)),0)=1)*(COUNTIF(W2158:W2175,$B2194)+COUNTIF(W2158:W2175,$B2194&amp;" ~*")&gt;0)+(IFERROR(INDEX(Setup!$G$33:$G$40,MATCH(Y2194,Setup!$B$33:$B$40,0)),0)=1)*(COUNTIF(Y2158:Y2175,$B2194)+COUNTIF(Y2158:Y2175,$B2194&amp;" ~*")&gt;0))</f>
        <v/>
      </c>
    </row>
    <row r="2195" ht="15" customHeight="1">
      <c r="A2195" t="n">
        <v>44</v>
      </c>
      <c r="B2195" s="35">
        <f>IF(Setup!$B$24="","",Setup!$B$24)</f>
        <v/>
      </c>
      <c r="C2195" s="98" t="n"/>
      <c r="D2195" s="99" t="n"/>
      <c r="E2195" s="99" t="n"/>
      <c r="F2195" s="100" t="n"/>
      <c r="G2195" s="98" t="n"/>
      <c r="H2195" s="99" t="n"/>
      <c r="I2195" s="99" t="n"/>
      <c r="J2195" s="100" t="n"/>
      <c r="K2195" s="98" t="n"/>
      <c r="L2195" s="99" t="n"/>
      <c r="M2195" s="99" t="n"/>
      <c r="N2195" s="100" t="n"/>
      <c r="O2195" s="98" t="n"/>
      <c r="P2195" s="99" t="n"/>
      <c r="Q2195" s="99" t="n"/>
      <c r="R2195" s="100" t="n"/>
      <c r="S2195" s="98" t="n"/>
      <c r="T2195" s="99" t="n"/>
      <c r="U2195" s="99" t="n"/>
      <c r="V2195" s="100" t="n"/>
      <c r="W2195" s="98" t="n"/>
      <c r="X2195" s="100" t="n"/>
      <c r="Y2195" s="98" t="n"/>
      <c r="Z2195" s="100" t="n"/>
      <c r="AB2195" s="101">
        <f>IF($B2195="","",(COUNTIF(C2158:E2175,$B2195)+COUNTIF(C2158:E2175,$B2195&amp;" ~*")&gt;0)+(COUNTIF(G2158:I2175,$B2195)+COUNTIF(G2158:I2175,$B2195&amp;" ~*")&gt;0)+(COUNTIF(K2158:M2175,$B2195)+COUNTIF(K2158:M2175,$B2195&amp;" ~*")&gt;0)+(COUNTIF(O2158:Q2175,$B2195)+COUNTIF(O2158:Q2175,$B2195&amp;" ~*")&gt;0)+(COUNTIF(S2158:U2175,$B2195)+COUNTIF(S2158:U2175,$B2195&amp;" ~*")&gt;0)+(COUNTIF(W2158:W2175,$B2195)+COUNTIF(W2158:W2175,$B2195&amp;" ~*")&gt;0)+(COUNTIF(Y2158:Y2175,$B2195)+COUNTIF(Y2158:Y2175,$B2195&amp;" ~*")&gt;0))</f>
        <v/>
      </c>
      <c r="AC2195" s="36">
        <f>IF($B2195="","",(IFERROR(INDEX(Setup!$G$33:$G$40,MATCH(C2195,Setup!$B$33:$B$40,0)),0)=1)*(COUNTIF(C2158:E2175,$B2195)+COUNTIF(C2158:E2175,$B2195&amp;" ~*")&gt;0)+(IFERROR(INDEX(Setup!$G$33:$G$40,MATCH(G2195,Setup!$B$33:$B$40,0)),0)=1)*(COUNTIF(G2158:I2175,$B2195)+COUNTIF(G2158:I2175,$B2195&amp;" ~*")&gt;0)+(IFERROR(INDEX(Setup!$G$33:$G$40,MATCH(K2195,Setup!$B$33:$B$40,0)),0)=1)*(COUNTIF(K2158:M2175,$B2195)+COUNTIF(K2158:M2175,$B2195&amp;" ~*")&gt;0)+(IFERROR(INDEX(Setup!$G$33:$G$40,MATCH(O2195,Setup!$B$33:$B$40,0)),0)=1)*(COUNTIF(O2158:Q2175,$B2195)+COUNTIF(O2158:Q2175,$B2195&amp;" ~*")&gt;0)+(IFERROR(INDEX(Setup!$G$33:$G$40,MATCH(S2195,Setup!$B$33:$B$40,0)),0)=1)*(COUNTIF(S2158:U2175,$B2195)+COUNTIF(S2158:U2175,$B2195&amp;" ~*")&gt;0)+(IFERROR(INDEX(Setup!$G$33:$G$40,MATCH(W2195,Setup!$B$33:$B$40,0)),0)=1)*(COUNTIF(W2158:W2175,$B2195)+COUNTIF(W2158:W2175,$B2195&amp;" ~*")&gt;0)+(IFERROR(INDEX(Setup!$G$33:$G$40,MATCH(Y2195,Setup!$B$33:$B$40,0)),0)=1)*(COUNTIF(Y2158:Y2175,$B2195)+COUNTIF(Y2158:Y2175,$B2195&amp;" ~*")&gt;0))</f>
        <v/>
      </c>
    </row>
    <row r="2196" ht="15" customHeight="1">
      <c r="A2196" t="n">
        <v>44</v>
      </c>
      <c r="B2196" s="37">
        <f>IF(Setup!$B$25="","",Setup!$B$25)</f>
        <v/>
      </c>
      <c r="C2196" s="102" t="n"/>
      <c r="D2196" s="103" t="n"/>
      <c r="E2196" s="103" t="n"/>
      <c r="F2196" s="104" t="n"/>
      <c r="G2196" s="102" t="n"/>
      <c r="H2196" s="103" t="n"/>
      <c r="I2196" s="103" t="n"/>
      <c r="J2196" s="104" t="n"/>
      <c r="K2196" s="102" t="n"/>
      <c r="L2196" s="103" t="n"/>
      <c r="M2196" s="103" t="n"/>
      <c r="N2196" s="104" t="n"/>
      <c r="O2196" s="102" t="n"/>
      <c r="P2196" s="103" t="n"/>
      <c r="Q2196" s="103" t="n"/>
      <c r="R2196" s="104" t="n"/>
      <c r="S2196" s="102" t="n"/>
      <c r="T2196" s="103" t="n"/>
      <c r="U2196" s="103" t="n"/>
      <c r="V2196" s="104" t="n"/>
      <c r="W2196" s="102" t="n"/>
      <c r="X2196" s="104" t="n"/>
      <c r="Y2196" s="102" t="n"/>
      <c r="Z2196" s="104" t="n"/>
      <c r="AB2196" s="105">
        <f>IF($B2196="","",(COUNTIF(C2158:E2175,$B2196)+COUNTIF(C2158:E2175,$B2196&amp;" ~*")&gt;0)+(COUNTIF(G2158:I2175,$B2196)+COUNTIF(G2158:I2175,$B2196&amp;" ~*")&gt;0)+(COUNTIF(K2158:M2175,$B2196)+COUNTIF(K2158:M2175,$B2196&amp;" ~*")&gt;0)+(COUNTIF(O2158:Q2175,$B2196)+COUNTIF(O2158:Q2175,$B2196&amp;" ~*")&gt;0)+(COUNTIF(S2158:U2175,$B2196)+COUNTIF(S2158:U2175,$B2196&amp;" ~*")&gt;0)+(COUNTIF(W2158:W2175,$B2196)+COUNTIF(W2158:W2175,$B2196&amp;" ~*")&gt;0)+(COUNTIF(Y2158:Y2175,$B2196)+COUNTIF(Y2158:Y2175,$B2196&amp;" ~*")&gt;0))</f>
        <v/>
      </c>
      <c r="AC2196" s="38">
        <f>IF($B2196="","",(IFERROR(INDEX(Setup!$G$33:$G$40,MATCH(C2196,Setup!$B$33:$B$40,0)),0)=1)*(COUNTIF(C2158:E2175,$B2196)+COUNTIF(C2158:E2175,$B2196&amp;" ~*")&gt;0)+(IFERROR(INDEX(Setup!$G$33:$G$40,MATCH(G2196,Setup!$B$33:$B$40,0)),0)=1)*(COUNTIF(G2158:I2175,$B2196)+COUNTIF(G2158:I2175,$B2196&amp;" ~*")&gt;0)+(IFERROR(INDEX(Setup!$G$33:$G$40,MATCH(K2196,Setup!$B$33:$B$40,0)),0)=1)*(COUNTIF(K2158:M2175,$B2196)+COUNTIF(K2158:M2175,$B2196&amp;" ~*")&gt;0)+(IFERROR(INDEX(Setup!$G$33:$G$40,MATCH(O2196,Setup!$B$33:$B$40,0)),0)=1)*(COUNTIF(O2158:Q2175,$B2196)+COUNTIF(O2158:Q2175,$B2196&amp;" ~*")&gt;0)+(IFERROR(INDEX(Setup!$G$33:$G$40,MATCH(S2196,Setup!$B$33:$B$40,0)),0)=1)*(COUNTIF(S2158:U2175,$B2196)+COUNTIF(S2158:U2175,$B2196&amp;" ~*")&gt;0)+(IFERROR(INDEX(Setup!$G$33:$G$40,MATCH(W2196,Setup!$B$33:$B$40,0)),0)=1)*(COUNTIF(W2158:W2175,$B2196)+COUNTIF(W2158:W2175,$B2196&amp;" ~*")&gt;0)+(IFERROR(INDEX(Setup!$G$33:$G$40,MATCH(Y2196,Setup!$B$33:$B$40,0)),0)=1)*(COUNTIF(Y2158:Y2175,$B2196)+COUNTIF(Y2158:Y2175,$B2196&amp;" ~*")&gt;0))</f>
        <v/>
      </c>
    </row>
    <row r="2197" ht="15" customHeight="1">
      <c r="A2197" t="n">
        <v>44</v>
      </c>
      <c r="B2197" s="35">
        <f>IF(Setup!$B$26="","",Setup!$B$26)</f>
        <v/>
      </c>
      <c r="C2197" s="98" t="n"/>
      <c r="D2197" s="99" t="n"/>
      <c r="E2197" s="99" t="n"/>
      <c r="F2197" s="100" t="n"/>
      <c r="G2197" s="98" t="n"/>
      <c r="H2197" s="99" t="n"/>
      <c r="I2197" s="99" t="n"/>
      <c r="J2197" s="100" t="n"/>
      <c r="K2197" s="98" t="n"/>
      <c r="L2197" s="99" t="n"/>
      <c r="M2197" s="99" t="n"/>
      <c r="N2197" s="100" t="n"/>
      <c r="O2197" s="98" t="n"/>
      <c r="P2197" s="99" t="n"/>
      <c r="Q2197" s="99" t="n"/>
      <c r="R2197" s="100" t="n"/>
      <c r="S2197" s="98" t="n"/>
      <c r="T2197" s="99" t="n"/>
      <c r="U2197" s="99" t="n"/>
      <c r="V2197" s="100" t="n"/>
      <c r="W2197" s="98" t="n"/>
      <c r="X2197" s="100" t="n"/>
      <c r="Y2197" s="98" t="n"/>
      <c r="Z2197" s="100" t="n"/>
      <c r="AB2197" s="101">
        <f>IF($B2197="","",(COUNTIF(C2158:E2175,$B2197)+COUNTIF(C2158:E2175,$B2197&amp;" ~*")&gt;0)+(COUNTIF(G2158:I2175,$B2197)+COUNTIF(G2158:I2175,$B2197&amp;" ~*")&gt;0)+(COUNTIF(K2158:M2175,$B2197)+COUNTIF(K2158:M2175,$B2197&amp;" ~*")&gt;0)+(COUNTIF(O2158:Q2175,$B2197)+COUNTIF(O2158:Q2175,$B2197&amp;" ~*")&gt;0)+(COUNTIF(S2158:U2175,$B2197)+COUNTIF(S2158:U2175,$B2197&amp;" ~*")&gt;0)+(COUNTIF(W2158:W2175,$B2197)+COUNTIF(W2158:W2175,$B2197&amp;" ~*")&gt;0)+(COUNTIF(Y2158:Y2175,$B2197)+COUNTIF(Y2158:Y2175,$B2197&amp;" ~*")&gt;0))</f>
        <v/>
      </c>
      <c r="AC2197" s="36">
        <f>IF($B2197="","",(IFERROR(INDEX(Setup!$G$33:$G$40,MATCH(C2197,Setup!$B$33:$B$40,0)),0)=1)*(COUNTIF(C2158:E2175,$B2197)+COUNTIF(C2158:E2175,$B2197&amp;" ~*")&gt;0)+(IFERROR(INDEX(Setup!$G$33:$G$40,MATCH(G2197,Setup!$B$33:$B$40,0)),0)=1)*(COUNTIF(G2158:I2175,$B2197)+COUNTIF(G2158:I2175,$B2197&amp;" ~*")&gt;0)+(IFERROR(INDEX(Setup!$G$33:$G$40,MATCH(K2197,Setup!$B$33:$B$40,0)),0)=1)*(COUNTIF(K2158:M2175,$B2197)+COUNTIF(K2158:M2175,$B2197&amp;" ~*")&gt;0)+(IFERROR(INDEX(Setup!$G$33:$G$40,MATCH(O2197,Setup!$B$33:$B$40,0)),0)=1)*(COUNTIF(O2158:Q2175,$B2197)+COUNTIF(O2158:Q2175,$B2197&amp;" ~*")&gt;0)+(IFERROR(INDEX(Setup!$G$33:$G$40,MATCH(S2197,Setup!$B$33:$B$40,0)),0)=1)*(COUNTIF(S2158:U2175,$B2197)+COUNTIF(S2158:U2175,$B2197&amp;" ~*")&gt;0)+(IFERROR(INDEX(Setup!$G$33:$G$40,MATCH(W2197,Setup!$B$33:$B$40,0)),0)=1)*(COUNTIF(W2158:W2175,$B2197)+COUNTIF(W2158:W2175,$B2197&amp;" ~*")&gt;0)+(IFERROR(INDEX(Setup!$G$33:$G$40,MATCH(Y2197,Setup!$B$33:$B$40,0)),0)=1)*(COUNTIF(Y2158:Y2175,$B2197)+COUNTIF(Y2158:Y2175,$B2197&amp;" ~*")&gt;0))</f>
        <v/>
      </c>
    </row>
    <row r="2198" ht="15" customHeight="1">
      <c r="A2198" t="n">
        <v>44</v>
      </c>
      <c r="B2198" s="37">
        <f>IF(Setup!$B$27="","",Setup!$B$27)</f>
        <v/>
      </c>
      <c r="C2198" s="102" t="n"/>
      <c r="D2198" s="103" t="n"/>
      <c r="E2198" s="103" t="n"/>
      <c r="F2198" s="104" t="n"/>
      <c r="G2198" s="102" t="n"/>
      <c r="H2198" s="103" t="n"/>
      <c r="I2198" s="103" t="n"/>
      <c r="J2198" s="104" t="n"/>
      <c r="K2198" s="102" t="n"/>
      <c r="L2198" s="103" t="n"/>
      <c r="M2198" s="103" t="n"/>
      <c r="N2198" s="104" t="n"/>
      <c r="O2198" s="102" t="n"/>
      <c r="P2198" s="103" t="n"/>
      <c r="Q2198" s="103" t="n"/>
      <c r="R2198" s="104" t="n"/>
      <c r="S2198" s="102" t="n"/>
      <c r="T2198" s="103" t="n"/>
      <c r="U2198" s="103" t="n"/>
      <c r="V2198" s="104" t="n"/>
      <c r="W2198" s="102" t="n"/>
      <c r="X2198" s="104" t="n"/>
      <c r="Y2198" s="102" t="n"/>
      <c r="Z2198" s="104" t="n"/>
      <c r="AB2198" s="105">
        <f>IF($B2198="","",(COUNTIF(C2158:E2175,$B2198)+COUNTIF(C2158:E2175,$B2198&amp;" ~*")&gt;0)+(COUNTIF(G2158:I2175,$B2198)+COUNTIF(G2158:I2175,$B2198&amp;" ~*")&gt;0)+(COUNTIF(K2158:M2175,$B2198)+COUNTIF(K2158:M2175,$B2198&amp;" ~*")&gt;0)+(COUNTIF(O2158:Q2175,$B2198)+COUNTIF(O2158:Q2175,$B2198&amp;" ~*")&gt;0)+(COUNTIF(S2158:U2175,$B2198)+COUNTIF(S2158:U2175,$B2198&amp;" ~*")&gt;0)+(COUNTIF(W2158:W2175,$B2198)+COUNTIF(W2158:W2175,$B2198&amp;" ~*")&gt;0)+(COUNTIF(Y2158:Y2175,$B2198)+COUNTIF(Y2158:Y2175,$B2198&amp;" ~*")&gt;0))</f>
        <v/>
      </c>
      <c r="AC2198" s="38">
        <f>IF($B2198="","",(IFERROR(INDEX(Setup!$G$33:$G$40,MATCH(C2198,Setup!$B$33:$B$40,0)),0)=1)*(COUNTIF(C2158:E2175,$B2198)+COUNTIF(C2158:E2175,$B2198&amp;" ~*")&gt;0)+(IFERROR(INDEX(Setup!$G$33:$G$40,MATCH(G2198,Setup!$B$33:$B$40,0)),0)=1)*(COUNTIF(G2158:I2175,$B2198)+COUNTIF(G2158:I2175,$B2198&amp;" ~*")&gt;0)+(IFERROR(INDEX(Setup!$G$33:$G$40,MATCH(K2198,Setup!$B$33:$B$40,0)),0)=1)*(COUNTIF(K2158:M2175,$B2198)+COUNTIF(K2158:M2175,$B2198&amp;" ~*")&gt;0)+(IFERROR(INDEX(Setup!$G$33:$G$40,MATCH(O2198,Setup!$B$33:$B$40,0)),0)=1)*(COUNTIF(O2158:Q2175,$B2198)+COUNTIF(O2158:Q2175,$B2198&amp;" ~*")&gt;0)+(IFERROR(INDEX(Setup!$G$33:$G$40,MATCH(S2198,Setup!$B$33:$B$40,0)),0)=1)*(COUNTIF(S2158:U2175,$B2198)+COUNTIF(S2158:U2175,$B2198&amp;" ~*")&gt;0)+(IFERROR(INDEX(Setup!$G$33:$G$40,MATCH(W2198,Setup!$B$33:$B$40,0)),0)=1)*(COUNTIF(W2158:W2175,$B2198)+COUNTIF(W2158:W2175,$B2198&amp;" ~*")&gt;0)+(IFERROR(INDEX(Setup!$G$33:$G$40,MATCH(Y2198,Setup!$B$33:$B$40,0)),0)=1)*(COUNTIF(Y2158:Y2175,$B2198)+COUNTIF(Y2158:Y2175,$B2198&amp;" ~*")&gt;0))</f>
        <v/>
      </c>
    </row>
    <row r="2199" ht="15" customHeight="1">
      <c r="A2199" t="n">
        <v>44</v>
      </c>
      <c r="B2199" s="35">
        <f>IF(Setup!$B$28="","",Setup!$B$28)</f>
        <v/>
      </c>
      <c r="C2199" s="98" t="n"/>
      <c r="D2199" s="99" t="n"/>
      <c r="E2199" s="99" t="n"/>
      <c r="F2199" s="100" t="n"/>
      <c r="G2199" s="98" t="n"/>
      <c r="H2199" s="99" t="n"/>
      <c r="I2199" s="99" t="n"/>
      <c r="J2199" s="100" t="n"/>
      <c r="K2199" s="98" t="n"/>
      <c r="L2199" s="99" t="n"/>
      <c r="M2199" s="99" t="n"/>
      <c r="N2199" s="100" t="n"/>
      <c r="O2199" s="98" t="n"/>
      <c r="P2199" s="99" t="n"/>
      <c r="Q2199" s="99" t="n"/>
      <c r="R2199" s="100" t="n"/>
      <c r="S2199" s="98" t="n"/>
      <c r="T2199" s="99" t="n"/>
      <c r="U2199" s="99" t="n"/>
      <c r="V2199" s="100" t="n"/>
      <c r="W2199" s="98" t="n"/>
      <c r="X2199" s="100" t="n"/>
      <c r="Y2199" s="98" t="n"/>
      <c r="Z2199" s="100" t="n"/>
      <c r="AB2199" s="101">
        <f>IF($B2199="","",(COUNTIF(C2158:E2175,$B2199)+COUNTIF(C2158:E2175,$B2199&amp;" ~*")&gt;0)+(COUNTIF(G2158:I2175,$B2199)+COUNTIF(G2158:I2175,$B2199&amp;" ~*")&gt;0)+(COUNTIF(K2158:M2175,$B2199)+COUNTIF(K2158:M2175,$B2199&amp;" ~*")&gt;0)+(COUNTIF(O2158:Q2175,$B2199)+COUNTIF(O2158:Q2175,$B2199&amp;" ~*")&gt;0)+(COUNTIF(S2158:U2175,$B2199)+COUNTIF(S2158:U2175,$B2199&amp;" ~*")&gt;0)+(COUNTIF(W2158:W2175,$B2199)+COUNTIF(W2158:W2175,$B2199&amp;" ~*")&gt;0)+(COUNTIF(Y2158:Y2175,$B2199)+COUNTIF(Y2158:Y2175,$B2199&amp;" ~*")&gt;0))</f>
        <v/>
      </c>
      <c r="AC2199" s="36">
        <f>IF($B2199="","",(IFERROR(INDEX(Setup!$G$33:$G$40,MATCH(C2199,Setup!$B$33:$B$40,0)),0)=1)*(COUNTIF(C2158:E2175,$B2199)+COUNTIF(C2158:E2175,$B2199&amp;" ~*")&gt;0)+(IFERROR(INDEX(Setup!$G$33:$G$40,MATCH(G2199,Setup!$B$33:$B$40,0)),0)=1)*(COUNTIF(G2158:I2175,$B2199)+COUNTIF(G2158:I2175,$B2199&amp;" ~*")&gt;0)+(IFERROR(INDEX(Setup!$G$33:$G$40,MATCH(K2199,Setup!$B$33:$B$40,0)),0)=1)*(COUNTIF(K2158:M2175,$B2199)+COUNTIF(K2158:M2175,$B2199&amp;" ~*")&gt;0)+(IFERROR(INDEX(Setup!$G$33:$G$40,MATCH(O2199,Setup!$B$33:$B$40,0)),0)=1)*(COUNTIF(O2158:Q2175,$B2199)+COUNTIF(O2158:Q2175,$B2199&amp;" ~*")&gt;0)+(IFERROR(INDEX(Setup!$G$33:$G$40,MATCH(S2199,Setup!$B$33:$B$40,0)),0)=1)*(COUNTIF(S2158:U2175,$B2199)+COUNTIF(S2158:U2175,$B2199&amp;" ~*")&gt;0)+(IFERROR(INDEX(Setup!$G$33:$G$40,MATCH(W2199,Setup!$B$33:$B$40,0)),0)=1)*(COUNTIF(W2158:W2175,$B2199)+COUNTIF(W2158:W2175,$B2199&amp;" ~*")&gt;0)+(IFERROR(INDEX(Setup!$G$33:$G$40,MATCH(Y2199,Setup!$B$33:$B$40,0)),0)=1)*(COUNTIF(Y2158:Y2175,$B2199)+COUNTIF(Y2158:Y2175,$B2199&amp;" ~*")&gt;0))</f>
        <v/>
      </c>
    </row>
    <row r="2200" ht="15" customHeight="1">
      <c r="A2200" t="n">
        <v>44</v>
      </c>
      <c r="B2200" s="37">
        <f>IF(Setup!$B$29="","",Setup!$B$29)</f>
        <v/>
      </c>
      <c r="C2200" s="102" t="n"/>
      <c r="D2200" s="103" t="n"/>
      <c r="E2200" s="103" t="n"/>
      <c r="F2200" s="104" t="n"/>
      <c r="G2200" s="102" t="n"/>
      <c r="H2200" s="103" t="n"/>
      <c r="I2200" s="103" t="n"/>
      <c r="J2200" s="104" t="n"/>
      <c r="K2200" s="102" t="n"/>
      <c r="L2200" s="103" t="n"/>
      <c r="M2200" s="103" t="n"/>
      <c r="N2200" s="104" t="n"/>
      <c r="O2200" s="102" t="n"/>
      <c r="P2200" s="103" t="n"/>
      <c r="Q2200" s="103" t="n"/>
      <c r="R2200" s="104" t="n"/>
      <c r="S2200" s="102" t="n"/>
      <c r="T2200" s="103" t="n"/>
      <c r="U2200" s="103" t="n"/>
      <c r="V2200" s="104" t="n"/>
      <c r="W2200" s="102" t="n"/>
      <c r="X2200" s="104" t="n"/>
      <c r="Y2200" s="102" t="n"/>
      <c r="Z2200" s="104" t="n"/>
      <c r="AB2200" s="105">
        <f>IF($B2200="","",(COUNTIF(C2158:E2175,$B2200)+COUNTIF(C2158:E2175,$B2200&amp;" ~*")&gt;0)+(COUNTIF(G2158:I2175,$B2200)+COUNTIF(G2158:I2175,$B2200&amp;" ~*")&gt;0)+(COUNTIF(K2158:M2175,$B2200)+COUNTIF(K2158:M2175,$B2200&amp;" ~*")&gt;0)+(COUNTIF(O2158:Q2175,$B2200)+COUNTIF(O2158:Q2175,$B2200&amp;" ~*")&gt;0)+(COUNTIF(S2158:U2175,$B2200)+COUNTIF(S2158:U2175,$B2200&amp;" ~*")&gt;0)+(COUNTIF(W2158:W2175,$B2200)+COUNTIF(W2158:W2175,$B2200&amp;" ~*")&gt;0)+(COUNTIF(Y2158:Y2175,$B2200)+COUNTIF(Y2158:Y2175,$B2200&amp;" ~*")&gt;0))</f>
        <v/>
      </c>
      <c r="AC2200" s="38">
        <f>IF($B2200="","",(IFERROR(INDEX(Setup!$G$33:$G$40,MATCH(C2200,Setup!$B$33:$B$40,0)),0)=1)*(COUNTIF(C2158:E2175,$B2200)+COUNTIF(C2158:E2175,$B2200&amp;" ~*")&gt;0)+(IFERROR(INDEX(Setup!$G$33:$G$40,MATCH(G2200,Setup!$B$33:$B$40,0)),0)=1)*(COUNTIF(G2158:I2175,$B2200)+COUNTIF(G2158:I2175,$B2200&amp;" ~*")&gt;0)+(IFERROR(INDEX(Setup!$G$33:$G$40,MATCH(K2200,Setup!$B$33:$B$40,0)),0)=1)*(COUNTIF(K2158:M2175,$B2200)+COUNTIF(K2158:M2175,$B2200&amp;" ~*")&gt;0)+(IFERROR(INDEX(Setup!$G$33:$G$40,MATCH(O2200,Setup!$B$33:$B$40,0)),0)=1)*(COUNTIF(O2158:Q2175,$B2200)+COUNTIF(O2158:Q2175,$B2200&amp;" ~*")&gt;0)+(IFERROR(INDEX(Setup!$G$33:$G$40,MATCH(S2200,Setup!$B$33:$B$40,0)),0)=1)*(COUNTIF(S2158:U2175,$B2200)+COUNTIF(S2158:U2175,$B2200&amp;" ~*")&gt;0)+(IFERROR(INDEX(Setup!$G$33:$G$40,MATCH(W2200,Setup!$B$33:$B$40,0)),0)=1)*(COUNTIF(W2158:W2175,$B2200)+COUNTIF(W2158:W2175,$B2200&amp;" ~*")&gt;0)+(IFERROR(INDEX(Setup!$G$33:$G$40,MATCH(Y2200,Setup!$B$33:$B$40,0)),0)=1)*(COUNTIF(Y2158:Y2175,$B2200)+COUNTIF(Y2158:Y2175,$B2200&amp;" ~*")&gt;0))</f>
        <v/>
      </c>
    </row>
    <row r="2201" ht="16" customHeight="1">
      <c r="A2201" t="n">
        <v>44</v>
      </c>
      <c r="B2201" s="106" t="inlineStr">
        <is>
          <t>Available people</t>
        </is>
      </c>
      <c r="C2201" s="107">
        <f>COUNTIFS(Setup!$E$6:$E$29,"Y",Setup!$B$6:$B$29,"?*")-SUMPRODUCT(COUNTIF(C2177:C2200,Setup!$F$33:$F$40))</f>
        <v/>
      </c>
      <c r="D2201" s="107" t="n"/>
      <c r="E2201" s="107" t="n"/>
      <c r="F2201" s="107" t="n"/>
      <c r="G2201" s="107">
        <f>COUNTIFS(Setup!$E$6:$E$29,"Y",Setup!$B$6:$B$29,"?*")-SUMPRODUCT(COUNTIF(G2177:G2200,Setup!$F$33:$F$40))</f>
        <v/>
      </c>
      <c r="H2201" s="107" t="n"/>
      <c r="I2201" s="107" t="n"/>
      <c r="J2201" s="107" t="n"/>
      <c r="K2201" s="107">
        <f>COUNTIFS(Setup!$E$6:$E$29,"Y",Setup!$B$6:$B$29,"?*")-SUMPRODUCT(COUNTIF(K2177:K2200,Setup!$F$33:$F$40))</f>
        <v/>
      </c>
      <c r="L2201" s="107" t="n"/>
      <c r="M2201" s="107" t="n"/>
      <c r="N2201" s="107" t="n"/>
      <c r="O2201" s="107">
        <f>COUNTIFS(Setup!$E$6:$E$29,"Y",Setup!$B$6:$B$29,"?*")-SUMPRODUCT(COUNTIF(O2177:O2200,Setup!$F$33:$F$40))</f>
        <v/>
      </c>
      <c r="P2201" s="107" t="n"/>
      <c r="Q2201" s="107" t="n"/>
      <c r="R2201" s="107" t="n"/>
      <c r="S2201" s="107">
        <f>COUNTIFS(Setup!$E$6:$E$29,"Y",Setup!$B$6:$B$29,"?*")-SUMPRODUCT(COUNTIF(S2177:S2200,Setup!$F$33:$F$40))</f>
        <v/>
      </c>
      <c r="T2201" s="107" t="n"/>
      <c r="U2201" s="107" t="n"/>
      <c r="V2201" s="107" t="n"/>
      <c r="W2201" s="107">
        <f>COUNTIFS(Setup!$E$6:$E$29,"Y",Setup!$B$6:$B$29,"?*")-SUMPRODUCT(COUNTIF(W2177:W2200,Setup!$F$33:$F$40))</f>
        <v/>
      </c>
      <c r="X2201" s="107" t="n"/>
      <c r="Y2201" s="107">
        <f>COUNTIFS(Setup!$E$6:$E$29,"Y",Setup!$B$6:$B$29,"?*")-SUMPRODUCT(COUNTIF(Y2177:Y2200,Setup!$F$33:$F$40))</f>
        <v/>
      </c>
      <c r="Z2201" s="107" t="n"/>
      <c r="AB2201" s="108">
        <f>SUM(AB2177:AB2200)</f>
        <v/>
      </c>
      <c r="AC2201" s="109">
        <f>SUM(AC2177:AC2200)</f>
        <v/>
      </c>
    </row>
    <row r="2202" ht="30" customHeight="1">
      <c r="A2202" t="n">
        <v>44</v>
      </c>
      <c r="B2202" s="110" t="inlineStr">
        <is>
          <t>Week notes</t>
        </is>
      </c>
      <c r="C2202" s="111" t="n"/>
      <c r="D2202" s="112" t="n"/>
      <c r="E2202" s="112" t="n"/>
      <c r="F2202" s="112" t="n"/>
      <c r="G2202" s="112" t="n"/>
      <c r="H2202" s="112" t="n"/>
      <c r="I2202" s="112" t="n"/>
      <c r="J2202" s="112" t="n"/>
      <c r="K2202" s="112" t="n"/>
      <c r="L2202" s="112" t="n"/>
      <c r="M2202" s="112" t="n"/>
      <c r="N2202" s="112" t="n"/>
      <c r="O2202" s="112" t="n"/>
      <c r="P2202" s="112" t="n"/>
      <c r="Q2202" s="112" t="n"/>
      <c r="R2202" s="112" t="n"/>
      <c r="S2202" s="112" t="n"/>
      <c r="T2202" s="112" t="n"/>
      <c r="U2202" s="112" t="n"/>
      <c r="V2202" s="112" t="n"/>
      <c r="W2202" s="112" t="n"/>
      <c r="X2202" s="112" t="n"/>
      <c r="Y2202" s="112" t="n"/>
      <c r="Z2202" s="113" t="n"/>
    </row>
    <row r="2203" ht="8" customHeight="1">
      <c r="A2203" t="n">
        <v>44</v>
      </c>
    </row>
    <row r="2204" ht="8" customHeight="1">
      <c r="A2204" t="n">
        <v>44</v>
      </c>
    </row>
    <row r="2205" ht="24" customHeight="1">
      <c r="A2205" t="n">
        <v>45</v>
      </c>
      <c r="B2205" s="73">
        <f>"WEEK 45     "&amp;TEXT(C2206,"ddd d mmm")&amp;"  –  "&amp;TEXT(C2206+6,"ddd d mmm yyyy")</f>
        <v/>
      </c>
      <c r="S2205" s="74">
        <f>IF(TODAY()&lt;C2206,"FUTURE",IF(TODAY()&gt;C2206+6,"PAST","THIS WEEK"))</f>
        <v/>
      </c>
      <c r="W2205" s="75">
        <f>IF(AND(Engine!$B$8=$AC$3,Engine!$B$9=$A2205),"◀ ACTIVE WEEK","")</f>
        <v/>
      </c>
      <c r="AA2205" s="76" t="n"/>
      <c r="AB2205" s="77" t="inlineStr">
        <is>
          <t>◀ Prev</t>
        </is>
      </c>
      <c r="AC2205" s="77" t="inlineStr">
        <is>
          <t>Next ▶</t>
        </is>
      </c>
    </row>
    <row r="2206" ht="18" customHeight="1">
      <c r="A2206" t="n">
        <v>45</v>
      </c>
      <c r="B2206" s="78" t="inlineStr">
        <is>
          <t>DUTY</t>
        </is>
      </c>
      <c r="C2206" s="79">
        <f>$AC$2+7*($A2206-1)</f>
        <v/>
      </c>
      <c r="D2206" s="80" t="n"/>
      <c r="E2206" s="80" t="n"/>
      <c r="F2206" s="81" t="n"/>
      <c r="G2206" s="79">
        <f>C2206+1</f>
        <v/>
      </c>
      <c r="H2206" s="80" t="n"/>
      <c r="I2206" s="80" t="n"/>
      <c r="J2206" s="81" t="n"/>
      <c r="K2206" s="79">
        <f>C2206+2</f>
        <v/>
      </c>
      <c r="L2206" s="80" t="n"/>
      <c r="M2206" s="80" t="n"/>
      <c r="N2206" s="81" t="n"/>
      <c r="O2206" s="79">
        <f>C2206+3</f>
        <v/>
      </c>
      <c r="P2206" s="80" t="n"/>
      <c r="Q2206" s="80" t="n"/>
      <c r="R2206" s="81" t="n"/>
      <c r="S2206" s="79">
        <f>C2206+4</f>
        <v/>
      </c>
      <c r="T2206" s="80" t="n"/>
      <c r="U2206" s="80" t="n"/>
      <c r="V2206" s="81" t="n"/>
      <c r="W2206" s="82">
        <f>C2206+5</f>
        <v/>
      </c>
      <c r="X2206" s="83" t="n"/>
      <c r="Y2206" s="82">
        <f>C2206+6</f>
        <v/>
      </c>
      <c r="Z2206" s="83" t="n"/>
      <c r="AB2206" s="72" t="inlineStr">
        <is>
          <t>Gaps</t>
        </is>
      </c>
      <c r="AC2206" s="72" t="inlineStr">
        <is>
          <t>Cover</t>
        </is>
      </c>
    </row>
    <row r="2207" ht="14" customHeight="1">
      <c r="A2207" t="n">
        <v>45</v>
      </c>
      <c r="B2207" s="84" t="inlineStr">
        <is>
          <t>(from Setup)</t>
        </is>
      </c>
      <c r="C2207" s="85" t="inlineStr">
        <is>
          <t>1</t>
        </is>
      </c>
      <c r="D2207" s="85" t="inlineStr">
        <is>
          <t>2</t>
        </is>
      </c>
      <c r="E2207" s="85" t="inlineStr">
        <is>
          <t>3</t>
        </is>
      </c>
      <c r="F2207" s="85" t="inlineStr">
        <is>
          <t>Notes</t>
        </is>
      </c>
      <c r="G2207" s="85" t="inlineStr">
        <is>
          <t>1</t>
        </is>
      </c>
      <c r="H2207" s="85" t="inlineStr">
        <is>
          <t>2</t>
        </is>
      </c>
      <c r="I2207" s="85" t="inlineStr">
        <is>
          <t>3</t>
        </is>
      </c>
      <c r="J2207" s="85" t="inlineStr">
        <is>
          <t>Notes</t>
        </is>
      </c>
      <c r="K2207" s="85" t="inlineStr">
        <is>
          <t>1</t>
        </is>
      </c>
      <c r="L2207" s="85" t="inlineStr">
        <is>
          <t>2</t>
        </is>
      </c>
      <c r="M2207" s="85" t="inlineStr">
        <is>
          <t>3</t>
        </is>
      </c>
      <c r="N2207" s="85" t="inlineStr">
        <is>
          <t>Notes</t>
        </is>
      </c>
      <c r="O2207" s="85" t="inlineStr">
        <is>
          <t>1</t>
        </is>
      </c>
      <c r="P2207" s="85" t="inlineStr">
        <is>
          <t>2</t>
        </is>
      </c>
      <c r="Q2207" s="85" t="inlineStr">
        <is>
          <t>3</t>
        </is>
      </c>
      <c r="R2207" s="85" t="inlineStr">
        <is>
          <t>Notes</t>
        </is>
      </c>
      <c r="S2207" s="85" t="inlineStr">
        <is>
          <t>1</t>
        </is>
      </c>
      <c r="T2207" s="85" t="inlineStr">
        <is>
          <t>2</t>
        </is>
      </c>
      <c r="U2207" s="85" t="inlineStr">
        <is>
          <t>3</t>
        </is>
      </c>
      <c r="V2207" s="85" t="inlineStr">
        <is>
          <t>Notes</t>
        </is>
      </c>
      <c r="W2207" s="85" t="inlineStr">
        <is>
          <t>Cover</t>
        </is>
      </c>
      <c r="X2207" s="85" t="inlineStr">
        <is>
          <t>Notes</t>
        </is>
      </c>
      <c r="Y2207" s="85" t="inlineStr">
        <is>
          <t>Cover</t>
        </is>
      </c>
      <c r="Z2207" s="85" t="inlineStr">
        <is>
          <t>Notes</t>
        </is>
      </c>
      <c r="AB2207" s="86" t="inlineStr">
        <is>
          <t>weekdays short</t>
        </is>
      </c>
      <c r="AC2207" s="87" t="inlineStr"/>
    </row>
    <row r="2208" ht="17" customHeight="1">
      <c r="A2208" t="n">
        <v>45</v>
      </c>
      <c r="B2208" s="24">
        <f>IF(Setup!$K$6="","",Setup!$K$6)</f>
        <v/>
      </c>
      <c r="C2208" s="88" t="n"/>
      <c r="D2208" s="88" t="n"/>
      <c r="E2208" s="88" t="n"/>
      <c r="F2208" s="89" t="n"/>
      <c r="G2208" s="88" t="n"/>
      <c r="H2208" s="88" t="n"/>
      <c r="I2208" s="88" t="n"/>
      <c r="J2208" s="89" t="n"/>
      <c r="K2208" s="88" t="n"/>
      <c r="L2208" s="88" t="n"/>
      <c r="M2208" s="88" t="n"/>
      <c r="N2208" s="89" t="n"/>
      <c r="O2208" s="88" t="n"/>
      <c r="P2208" s="88" t="n"/>
      <c r="Q2208" s="88" t="n"/>
      <c r="R2208" s="89" t="n"/>
      <c r="S2208" s="88" t="n"/>
      <c r="T2208" s="88" t="n"/>
      <c r="U2208" s="88" t="n"/>
      <c r="V2208" s="89" t="n"/>
      <c r="W2208" s="88" t="n"/>
      <c r="X2208" s="89" t="n"/>
      <c r="Y2208" s="88" t="n"/>
      <c r="Z2208" s="89" t="n"/>
      <c r="AB2208" s="25">
        <f>IF($B2208="","",(COUNTIF(C2208:E2208,"?*")&lt;N(INDEX(Setup!$L$6:$L$23,1)))+(COUNTIF(G2208:I2208,"?*")&lt;N(INDEX(Setup!$L$6:$L$23,1)))+(COUNTIF(K2208:M2208,"?*")&lt;N(INDEX(Setup!$L$6:$L$23,1)))+(COUNTIF(O2208:Q2208,"?*")&lt;N(INDEX(Setup!$L$6:$L$23,1)))+(COUNTIF(S2208:U2208,"?*")&lt;N(INDEX(Setup!$L$6:$L$23,1)))+((W2208="")*(INDEX(Setup!$M$6:$M$23,1)="Y"))+((Y2208="")*(INDEX(Setup!$M$6:$M$23,1)="Y")))</f>
        <v/>
      </c>
      <c r="AC2208" s="90">
        <f>IF($B2208="","",IF(AB2208=0,"✓ covered","⚠ "&amp;AB2208&amp;IF(AB2208=1," gap"," gaps")))</f>
        <v/>
      </c>
    </row>
    <row r="2209" ht="17" customHeight="1">
      <c r="A2209" t="n">
        <v>45</v>
      </c>
      <c r="B2209" s="29">
        <f>IF(Setup!$K$7="","",Setup!$K$7)</f>
        <v/>
      </c>
      <c r="C2209" s="88" t="n"/>
      <c r="D2209" s="88" t="n"/>
      <c r="E2209" s="88" t="n"/>
      <c r="F2209" s="89" t="n"/>
      <c r="G2209" s="88" t="n"/>
      <c r="H2209" s="88" t="n"/>
      <c r="I2209" s="88" t="n"/>
      <c r="J2209" s="89" t="n"/>
      <c r="K2209" s="88" t="n"/>
      <c r="L2209" s="88" t="n"/>
      <c r="M2209" s="88" t="n"/>
      <c r="N2209" s="89" t="n"/>
      <c r="O2209" s="88" t="n"/>
      <c r="P2209" s="88" t="n"/>
      <c r="Q2209" s="88" t="n"/>
      <c r="R2209" s="89" t="n"/>
      <c r="S2209" s="88" t="n"/>
      <c r="T2209" s="88" t="n"/>
      <c r="U2209" s="88" t="n"/>
      <c r="V2209" s="89" t="n"/>
      <c r="W2209" s="88" t="n"/>
      <c r="X2209" s="89" t="n"/>
      <c r="Y2209" s="88" t="n"/>
      <c r="Z2209" s="89" t="n"/>
      <c r="AB2209" s="30">
        <f>IF($B2209="","",(COUNTIF(C2209:E2209,"?*")&lt;N(INDEX(Setup!$L$6:$L$23,2)))+(COUNTIF(G2209:I2209,"?*")&lt;N(INDEX(Setup!$L$6:$L$23,2)))+(COUNTIF(K2209:M2209,"?*")&lt;N(INDEX(Setup!$L$6:$L$23,2)))+(COUNTIF(O2209:Q2209,"?*")&lt;N(INDEX(Setup!$L$6:$L$23,2)))+(COUNTIF(S2209:U2209,"?*")&lt;N(INDEX(Setup!$L$6:$L$23,2)))+((W2209="")*(INDEX(Setup!$M$6:$M$23,2)="Y"))+((Y2209="")*(INDEX(Setup!$M$6:$M$23,2)="Y")))</f>
        <v/>
      </c>
      <c r="AC2209" s="91">
        <f>IF($B2209="","",IF(AB2209=0,"✓ covered","⚠ "&amp;AB2209&amp;IF(AB2209=1," gap"," gaps")))</f>
        <v/>
      </c>
    </row>
    <row r="2210" ht="17" customHeight="1">
      <c r="A2210" t="n">
        <v>45</v>
      </c>
      <c r="B2210" s="24">
        <f>IF(Setup!$K$8="","",Setup!$K$8)</f>
        <v/>
      </c>
      <c r="C2210" s="88" t="n"/>
      <c r="D2210" s="88" t="n"/>
      <c r="E2210" s="88" t="n"/>
      <c r="F2210" s="89" t="n"/>
      <c r="G2210" s="88" t="n"/>
      <c r="H2210" s="88" t="n"/>
      <c r="I2210" s="88" t="n"/>
      <c r="J2210" s="89" t="n"/>
      <c r="K2210" s="88" t="n"/>
      <c r="L2210" s="88" t="n"/>
      <c r="M2210" s="88" t="n"/>
      <c r="N2210" s="89" t="n"/>
      <c r="O2210" s="88" t="n"/>
      <c r="P2210" s="88" t="n"/>
      <c r="Q2210" s="88" t="n"/>
      <c r="R2210" s="89" t="n"/>
      <c r="S2210" s="88" t="n"/>
      <c r="T2210" s="88" t="n"/>
      <c r="U2210" s="88" t="n"/>
      <c r="V2210" s="89" t="n"/>
      <c r="W2210" s="88" t="n"/>
      <c r="X2210" s="89" t="n"/>
      <c r="Y2210" s="88" t="n"/>
      <c r="Z2210" s="89" t="n"/>
      <c r="AB2210" s="25">
        <f>IF($B2210="","",(COUNTIF(C2210:E2210,"?*")&lt;N(INDEX(Setup!$L$6:$L$23,3)))+(COUNTIF(G2210:I2210,"?*")&lt;N(INDEX(Setup!$L$6:$L$23,3)))+(COUNTIF(K2210:M2210,"?*")&lt;N(INDEX(Setup!$L$6:$L$23,3)))+(COUNTIF(O2210:Q2210,"?*")&lt;N(INDEX(Setup!$L$6:$L$23,3)))+(COUNTIF(S2210:U2210,"?*")&lt;N(INDEX(Setup!$L$6:$L$23,3)))+((W2210="")*(INDEX(Setup!$M$6:$M$23,3)="Y"))+((Y2210="")*(INDEX(Setup!$M$6:$M$23,3)="Y")))</f>
        <v/>
      </c>
      <c r="AC2210" s="90">
        <f>IF($B2210="","",IF(AB2210=0,"✓ covered","⚠ "&amp;AB2210&amp;IF(AB2210=1," gap"," gaps")))</f>
        <v/>
      </c>
    </row>
    <row r="2211" ht="17" customHeight="1">
      <c r="A2211" t="n">
        <v>45</v>
      </c>
      <c r="B2211" s="29">
        <f>IF(Setup!$K$9="","",Setup!$K$9)</f>
        <v/>
      </c>
      <c r="C2211" s="88" t="n"/>
      <c r="D2211" s="88" t="n"/>
      <c r="E2211" s="88" t="n"/>
      <c r="F2211" s="89" t="n"/>
      <c r="G2211" s="88" t="n"/>
      <c r="H2211" s="88" t="n"/>
      <c r="I2211" s="88" t="n"/>
      <c r="J2211" s="89" t="n"/>
      <c r="K2211" s="88" t="n"/>
      <c r="L2211" s="88" t="n"/>
      <c r="M2211" s="88" t="n"/>
      <c r="N2211" s="89" t="n"/>
      <c r="O2211" s="88" t="n"/>
      <c r="P2211" s="88" t="n"/>
      <c r="Q2211" s="88" t="n"/>
      <c r="R2211" s="89" t="n"/>
      <c r="S2211" s="88" t="n"/>
      <c r="T2211" s="88" t="n"/>
      <c r="U2211" s="88" t="n"/>
      <c r="V2211" s="89" t="n"/>
      <c r="W2211" s="88" t="n"/>
      <c r="X2211" s="89" t="n"/>
      <c r="Y2211" s="88" t="n"/>
      <c r="Z2211" s="89" t="n"/>
      <c r="AB2211" s="30">
        <f>IF($B2211="","",(COUNTIF(C2211:E2211,"?*")&lt;N(INDEX(Setup!$L$6:$L$23,4)))+(COUNTIF(G2211:I2211,"?*")&lt;N(INDEX(Setup!$L$6:$L$23,4)))+(COUNTIF(K2211:M2211,"?*")&lt;N(INDEX(Setup!$L$6:$L$23,4)))+(COUNTIF(O2211:Q2211,"?*")&lt;N(INDEX(Setup!$L$6:$L$23,4)))+(COUNTIF(S2211:U2211,"?*")&lt;N(INDEX(Setup!$L$6:$L$23,4)))+((W2211="")*(INDEX(Setup!$M$6:$M$23,4)="Y"))+((Y2211="")*(INDEX(Setup!$M$6:$M$23,4)="Y")))</f>
        <v/>
      </c>
      <c r="AC2211" s="91">
        <f>IF($B2211="","",IF(AB2211=0,"✓ covered","⚠ "&amp;AB2211&amp;IF(AB2211=1," gap"," gaps")))</f>
        <v/>
      </c>
    </row>
    <row r="2212" ht="17" customHeight="1">
      <c r="A2212" t="n">
        <v>45</v>
      </c>
      <c r="B2212" s="24">
        <f>IF(Setup!$K$10="","",Setup!$K$10)</f>
        <v/>
      </c>
      <c r="C2212" s="88" t="n"/>
      <c r="D2212" s="88" t="n"/>
      <c r="E2212" s="88" t="n"/>
      <c r="F2212" s="89" t="n"/>
      <c r="G2212" s="88" t="n"/>
      <c r="H2212" s="88" t="n"/>
      <c r="I2212" s="88" t="n"/>
      <c r="J2212" s="89" t="n"/>
      <c r="K2212" s="88" t="n"/>
      <c r="L2212" s="88" t="n"/>
      <c r="M2212" s="88" t="n"/>
      <c r="N2212" s="89" t="n"/>
      <c r="O2212" s="88" t="n"/>
      <c r="P2212" s="88" t="n"/>
      <c r="Q2212" s="88" t="n"/>
      <c r="R2212" s="89" t="n"/>
      <c r="S2212" s="88" t="n"/>
      <c r="T2212" s="88" t="n"/>
      <c r="U2212" s="88" t="n"/>
      <c r="V2212" s="89" t="n"/>
      <c r="W2212" s="88" t="n"/>
      <c r="X2212" s="89" t="n"/>
      <c r="Y2212" s="88" t="n"/>
      <c r="Z2212" s="89" t="n"/>
      <c r="AB2212" s="25">
        <f>IF($B2212="","",(COUNTIF(C2212:E2212,"?*")&lt;N(INDEX(Setup!$L$6:$L$23,5)))+(COUNTIF(G2212:I2212,"?*")&lt;N(INDEX(Setup!$L$6:$L$23,5)))+(COUNTIF(K2212:M2212,"?*")&lt;N(INDEX(Setup!$L$6:$L$23,5)))+(COUNTIF(O2212:Q2212,"?*")&lt;N(INDEX(Setup!$L$6:$L$23,5)))+(COUNTIF(S2212:U2212,"?*")&lt;N(INDEX(Setup!$L$6:$L$23,5)))+((W2212="")*(INDEX(Setup!$M$6:$M$23,5)="Y"))+((Y2212="")*(INDEX(Setup!$M$6:$M$23,5)="Y")))</f>
        <v/>
      </c>
      <c r="AC2212" s="90">
        <f>IF($B2212="","",IF(AB2212=0,"✓ covered","⚠ "&amp;AB2212&amp;IF(AB2212=1," gap"," gaps")))</f>
        <v/>
      </c>
    </row>
    <row r="2213" ht="17" customHeight="1">
      <c r="A2213" t="n">
        <v>45</v>
      </c>
      <c r="B2213" s="29">
        <f>IF(Setup!$K$11="","",Setup!$K$11)</f>
        <v/>
      </c>
      <c r="C2213" s="88" t="n"/>
      <c r="D2213" s="88" t="n"/>
      <c r="E2213" s="88" t="n"/>
      <c r="F2213" s="89" t="n"/>
      <c r="G2213" s="88" t="n"/>
      <c r="H2213" s="88" t="n"/>
      <c r="I2213" s="88" t="n"/>
      <c r="J2213" s="89" t="n"/>
      <c r="K2213" s="88" t="n"/>
      <c r="L2213" s="88" t="n"/>
      <c r="M2213" s="88" t="n"/>
      <c r="N2213" s="89" t="n"/>
      <c r="O2213" s="88" t="n"/>
      <c r="P2213" s="88" t="n"/>
      <c r="Q2213" s="88" t="n"/>
      <c r="R2213" s="89" t="n"/>
      <c r="S2213" s="88" t="n"/>
      <c r="T2213" s="88" t="n"/>
      <c r="U2213" s="88" t="n"/>
      <c r="V2213" s="89" t="n"/>
      <c r="W2213" s="88" t="n"/>
      <c r="X2213" s="89" t="n"/>
      <c r="Y2213" s="88" t="n"/>
      <c r="Z2213" s="89" t="n"/>
      <c r="AB2213" s="30">
        <f>IF($B2213="","",(COUNTIF(C2213:E2213,"?*")&lt;N(INDEX(Setup!$L$6:$L$23,6)))+(COUNTIF(G2213:I2213,"?*")&lt;N(INDEX(Setup!$L$6:$L$23,6)))+(COUNTIF(K2213:M2213,"?*")&lt;N(INDEX(Setup!$L$6:$L$23,6)))+(COUNTIF(O2213:Q2213,"?*")&lt;N(INDEX(Setup!$L$6:$L$23,6)))+(COUNTIF(S2213:U2213,"?*")&lt;N(INDEX(Setup!$L$6:$L$23,6)))+((W2213="")*(INDEX(Setup!$M$6:$M$23,6)="Y"))+((Y2213="")*(INDEX(Setup!$M$6:$M$23,6)="Y")))</f>
        <v/>
      </c>
      <c r="AC2213" s="91">
        <f>IF($B2213="","",IF(AB2213=0,"✓ covered","⚠ "&amp;AB2213&amp;IF(AB2213=1," gap"," gaps")))</f>
        <v/>
      </c>
    </row>
    <row r="2214" ht="17" customHeight="1">
      <c r="A2214" t="n">
        <v>45</v>
      </c>
      <c r="B2214" s="24">
        <f>IF(Setup!$K$12="","",Setup!$K$12)</f>
        <v/>
      </c>
      <c r="C2214" s="88" t="n"/>
      <c r="D2214" s="88" t="n"/>
      <c r="E2214" s="88" t="n"/>
      <c r="F2214" s="89" t="n"/>
      <c r="G2214" s="88" t="n"/>
      <c r="H2214" s="88" t="n"/>
      <c r="I2214" s="88" t="n"/>
      <c r="J2214" s="89" t="n"/>
      <c r="K2214" s="88" t="n"/>
      <c r="L2214" s="88" t="n"/>
      <c r="M2214" s="88" t="n"/>
      <c r="N2214" s="89" t="n"/>
      <c r="O2214" s="88" t="n"/>
      <c r="P2214" s="88" t="n"/>
      <c r="Q2214" s="88" t="n"/>
      <c r="R2214" s="89" t="n"/>
      <c r="S2214" s="88" t="n"/>
      <c r="T2214" s="88" t="n"/>
      <c r="U2214" s="88" t="n"/>
      <c r="V2214" s="89" t="n"/>
      <c r="W2214" s="88" t="n"/>
      <c r="X2214" s="89" t="n"/>
      <c r="Y2214" s="88" t="n"/>
      <c r="Z2214" s="89" t="n"/>
      <c r="AB2214" s="25">
        <f>IF($B2214="","",(COUNTIF(C2214:E2214,"?*")&lt;N(INDEX(Setup!$L$6:$L$23,7)))+(COUNTIF(G2214:I2214,"?*")&lt;N(INDEX(Setup!$L$6:$L$23,7)))+(COUNTIF(K2214:M2214,"?*")&lt;N(INDEX(Setup!$L$6:$L$23,7)))+(COUNTIF(O2214:Q2214,"?*")&lt;N(INDEX(Setup!$L$6:$L$23,7)))+(COUNTIF(S2214:U2214,"?*")&lt;N(INDEX(Setup!$L$6:$L$23,7)))+((W2214="")*(INDEX(Setup!$M$6:$M$23,7)="Y"))+((Y2214="")*(INDEX(Setup!$M$6:$M$23,7)="Y")))</f>
        <v/>
      </c>
      <c r="AC2214" s="90">
        <f>IF($B2214="","",IF(AB2214=0,"✓ covered","⚠ "&amp;AB2214&amp;IF(AB2214=1," gap"," gaps")))</f>
        <v/>
      </c>
    </row>
    <row r="2215" ht="17" customHeight="1">
      <c r="A2215" t="n">
        <v>45</v>
      </c>
      <c r="B2215" s="29">
        <f>IF(Setup!$K$13="","",Setup!$K$13)</f>
        <v/>
      </c>
      <c r="C2215" s="88" t="n"/>
      <c r="D2215" s="88" t="n"/>
      <c r="E2215" s="88" t="n"/>
      <c r="F2215" s="89" t="n"/>
      <c r="G2215" s="88" t="n"/>
      <c r="H2215" s="88" t="n"/>
      <c r="I2215" s="88" t="n"/>
      <c r="J2215" s="89" t="n"/>
      <c r="K2215" s="88" t="n"/>
      <c r="L2215" s="88" t="n"/>
      <c r="M2215" s="88" t="n"/>
      <c r="N2215" s="89" t="n"/>
      <c r="O2215" s="88" t="n"/>
      <c r="P2215" s="88" t="n"/>
      <c r="Q2215" s="88" t="n"/>
      <c r="R2215" s="89" t="n"/>
      <c r="S2215" s="88" t="n"/>
      <c r="T2215" s="88" t="n"/>
      <c r="U2215" s="88" t="n"/>
      <c r="V2215" s="89" t="n"/>
      <c r="W2215" s="88" t="n"/>
      <c r="X2215" s="89" t="n"/>
      <c r="Y2215" s="88" t="n"/>
      <c r="Z2215" s="89" t="n"/>
      <c r="AB2215" s="30">
        <f>IF($B2215="","",(COUNTIF(C2215:E2215,"?*")&lt;N(INDEX(Setup!$L$6:$L$23,8)))+(COUNTIF(G2215:I2215,"?*")&lt;N(INDEX(Setup!$L$6:$L$23,8)))+(COUNTIF(K2215:M2215,"?*")&lt;N(INDEX(Setup!$L$6:$L$23,8)))+(COUNTIF(O2215:Q2215,"?*")&lt;N(INDEX(Setup!$L$6:$L$23,8)))+(COUNTIF(S2215:U2215,"?*")&lt;N(INDEX(Setup!$L$6:$L$23,8)))+((W2215="")*(INDEX(Setup!$M$6:$M$23,8)="Y"))+((Y2215="")*(INDEX(Setup!$M$6:$M$23,8)="Y")))</f>
        <v/>
      </c>
      <c r="AC2215" s="91">
        <f>IF($B2215="","",IF(AB2215=0,"✓ covered","⚠ "&amp;AB2215&amp;IF(AB2215=1," gap"," gaps")))</f>
        <v/>
      </c>
    </row>
    <row r="2216" ht="17" customHeight="1">
      <c r="A2216" t="n">
        <v>45</v>
      </c>
      <c r="B2216" s="24">
        <f>IF(Setup!$K$14="","",Setup!$K$14)</f>
        <v/>
      </c>
      <c r="C2216" s="88" t="n"/>
      <c r="D2216" s="88" t="n"/>
      <c r="E2216" s="88" t="n"/>
      <c r="F2216" s="89" t="n"/>
      <c r="G2216" s="88" t="n"/>
      <c r="H2216" s="88" t="n"/>
      <c r="I2216" s="88" t="n"/>
      <c r="J2216" s="89" t="n"/>
      <c r="K2216" s="88" t="n"/>
      <c r="L2216" s="88" t="n"/>
      <c r="M2216" s="88" t="n"/>
      <c r="N2216" s="89" t="n"/>
      <c r="O2216" s="88" t="n"/>
      <c r="P2216" s="88" t="n"/>
      <c r="Q2216" s="88" t="n"/>
      <c r="R2216" s="89" t="n"/>
      <c r="S2216" s="88" t="n"/>
      <c r="T2216" s="88" t="n"/>
      <c r="U2216" s="88" t="n"/>
      <c r="V2216" s="89" t="n"/>
      <c r="W2216" s="88" t="n"/>
      <c r="X2216" s="89" t="n"/>
      <c r="Y2216" s="88" t="n"/>
      <c r="Z2216" s="89" t="n"/>
      <c r="AB2216" s="25">
        <f>IF($B2216="","",(COUNTIF(C2216:E2216,"?*")&lt;N(INDEX(Setup!$L$6:$L$23,9)))+(COUNTIF(G2216:I2216,"?*")&lt;N(INDEX(Setup!$L$6:$L$23,9)))+(COUNTIF(K2216:M2216,"?*")&lt;N(INDEX(Setup!$L$6:$L$23,9)))+(COUNTIF(O2216:Q2216,"?*")&lt;N(INDEX(Setup!$L$6:$L$23,9)))+(COUNTIF(S2216:U2216,"?*")&lt;N(INDEX(Setup!$L$6:$L$23,9)))+((W2216="")*(INDEX(Setup!$M$6:$M$23,9)="Y"))+((Y2216="")*(INDEX(Setup!$M$6:$M$23,9)="Y")))</f>
        <v/>
      </c>
      <c r="AC2216" s="90">
        <f>IF($B2216="","",IF(AB2216=0,"✓ covered","⚠ "&amp;AB2216&amp;IF(AB2216=1," gap"," gaps")))</f>
        <v/>
      </c>
    </row>
    <row r="2217" ht="17" customHeight="1">
      <c r="A2217" t="n">
        <v>45</v>
      </c>
      <c r="B2217" s="29">
        <f>IF(Setup!$K$15="","",Setup!$K$15)</f>
        <v/>
      </c>
      <c r="C2217" s="88" t="n"/>
      <c r="D2217" s="88" t="n"/>
      <c r="E2217" s="88" t="n"/>
      <c r="F2217" s="89" t="n"/>
      <c r="G2217" s="88" t="n"/>
      <c r="H2217" s="88" t="n"/>
      <c r="I2217" s="88" t="n"/>
      <c r="J2217" s="89" t="n"/>
      <c r="K2217" s="88" t="n"/>
      <c r="L2217" s="88" t="n"/>
      <c r="M2217" s="88" t="n"/>
      <c r="N2217" s="89" t="n"/>
      <c r="O2217" s="88" t="n"/>
      <c r="P2217" s="88" t="n"/>
      <c r="Q2217" s="88" t="n"/>
      <c r="R2217" s="89" t="n"/>
      <c r="S2217" s="88" t="n"/>
      <c r="T2217" s="88" t="n"/>
      <c r="U2217" s="88" t="n"/>
      <c r="V2217" s="89" t="n"/>
      <c r="W2217" s="88" t="n"/>
      <c r="X2217" s="89" t="n"/>
      <c r="Y2217" s="88" t="n"/>
      <c r="Z2217" s="89" t="n"/>
      <c r="AB2217" s="30">
        <f>IF($B2217="","",(COUNTIF(C2217:E2217,"?*")&lt;N(INDEX(Setup!$L$6:$L$23,10)))+(COUNTIF(G2217:I2217,"?*")&lt;N(INDEX(Setup!$L$6:$L$23,10)))+(COUNTIF(K2217:M2217,"?*")&lt;N(INDEX(Setup!$L$6:$L$23,10)))+(COUNTIF(O2217:Q2217,"?*")&lt;N(INDEX(Setup!$L$6:$L$23,10)))+(COUNTIF(S2217:U2217,"?*")&lt;N(INDEX(Setup!$L$6:$L$23,10)))+((W2217="")*(INDEX(Setup!$M$6:$M$23,10)="Y"))+((Y2217="")*(INDEX(Setup!$M$6:$M$23,10)="Y")))</f>
        <v/>
      </c>
      <c r="AC2217" s="91">
        <f>IF($B2217="","",IF(AB2217=0,"✓ covered","⚠ "&amp;AB2217&amp;IF(AB2217=1," gap"," gaps")))</f>
        <v/>
      </c>
    </row>
    <row r="2218" ht="17" customHeight="1">
      <c r="A2218" t="n">
        <v>45</v>
      </c>
      <c r="B2218" s="24">
        <f>IF(Setup!$K$16="","",Setup!$K$16)</f>
        <v/>
      </c>
      <c r="C2218" s="88" t="n"/>
      <c r="D2218" s="88" t="n"/>
      <c r="E2218" s="88" t="n"/>
      <c r="F2218" s="89" t="n"/>
      <c r="G2218" s="88" t="n"/>
      <c r="H2218" s="88" t="n"/>
      <c r="I2218" s="88" t="n"/>
      <c r="J2218" s="89" t="n"/>
      <c r="K2218" s="88" t="n"/>
      <c r="L2218" s="88" t="n"/>
      <c r="M2218" s="88" t="n"/>
      <c r="N2218" s="89" t="n"/>
      <c r="O2218" s="88" t="n"/>
      <c r="P2218" s="88" t="n"/>
      <c r="Q2218" s="88" t="n"/>
      <c r="R2218" s="89" t="n"/>
      <c r="S2218" s="88" t="n"/>
      <c r="T2218" s="88" t="n"/>
      <c r="U2218" s="88" t="n"/>
      <c r="V2218" s="89" t="n"/>
      <c r="W2218" s="88" t="n"/>
      <c r="X2218" s="89" t="n"/>
      <c r="Y2218" s="88" t="n"/>
      <c r="Z2218" s="89" t="n"/>
      <c r="AB2218" s="25">
        <f>IF($B2218="","",(COUNTIF(C2218:E2218,"?*")&lt;N(INDEX(Setup!$L$6:$L$23,11)))+(COUNTIF(G2218:I2218,"?*")&lt;N(INDEX(Setup!$L$6:$L$23,11)))+(COUNTIF(K2218:M2218,"?*")&lt;N(INDEX(Setup!$L$6:$L$23,11)))+(COUNTIF(O2218:Q2218,"?*")&lt;N(INDEX(Setup!$L$6:$L$23,11)))+(COUNTIF(S2218:U2218,"?*")&lt;N(INDEX(Setup!$L$6:$L$23,11)))+((W2218="")*(INDEX(Setup!$M$6:$M$23,11)="Y"))+((Y2218="")*(INDEX(Setup!$M$6:$M$23,11)="Y")))</f>
        <v/>
      </c>
      <c r="AC2218" s="90">
        <f>IF($B2218="","",IF(AB2218=0,"✓ covered","⚠ "&amp;AB2218&amp;IF(AB2218=1," gap"," gaps")))</f>
        <v/>
      </c>
    </row>
    <row r="2219" ht="17" customHeight="1">
      <c r="A2219" t="n">
        <v>45</v>
      </c>
      <c r="B2219" s="29">
        <f>IF(Setup!$K$17="","",Setup!$K$17)</f>
        <v/>
      </c>
      <c r="C2219" s="88" t="n"/>
      <c r="D2219" s="88" t="n"/>
      <c r="E2219" s="88" t="n"/>
      <c r="F2219" s="89" t="n"/>
      <c r="G2219" s="88" t="n"/>
      <c r="H2219" s="88" t="n"/>
      <c r="I2219" s="88" t="n"/>
      <c r="J2219" s="89" t="n"/>
      <c r="K2219" s="88" t="n"/>
      <c r="L2219" s="88" t="n"/>
      <c r="M2219" s="88" t="n"/>
      <c r="N2219" s="89" t="n"/>
      <c r="O2219" s="88" t="n"/>
      <c r="P2219" s="88" t="n"/>
      <c r="Q2219" s="88" t="n"/>
      <c r="R2219" s="89" t="n"/>
      <c r="S2219" s="88" t="n"/>
      <c r="T2219" s="88" t="n"/>
      <c r="U2219" s="88" t="n"/>
      <c r="V2219" s="89" t="n"/>
      <c r="W2219" s="88" t="n"/>
      <c r="X2219" s="89" t="n"/>
      <c r="Y2219" s="88" t="n"/>
      <c r="Z2219" s="89" t="n"/>
      <c r="AB2219" s="30">
        <f>IF($B2219="","",(COUNTIF(C2219:E2219,"?*")&lt;N(INDEX(Setup!$L$6:$L$23,12)))+(COUNTIF(G2219:I2219,"?*")&lt;N(INDEX(Setup!$L$6:$L$23,12)))+(COUNTIF(K2219:M2219,"?*")&lt;N(INDEX(Setup!$L$6:$L$23,12)))+(COUNTIF(O2219:Q2219,"?*")&lt;N(INDEX(Setup!$L$6:$L$23,12)))+(COUNTIF(S2219:U2219,"?*")&lt;N(INDEX(Setup!$L$6:$L$23,12)))+((W2219="")*(INDEX(Setup!$M$6:$M$23,12)="Y"))+((Y2219="")*(INDEX(Setup!$M$6:$M$23,12)="Y")))</f>
        <v/>
      </c>
      <c r="AC2219" s="91">
        <f>IF($B2219="","",IF(AB2219=0,"✓ covered","⚠ "&amp;AB2219&amp;IF(AB2219=1," gap"," gaps")))</f>
        <v/>
      </c>
    </row>
    <row r="2220" ht="17" customHeight="1">
      <c r="A2220" t="n">
        <v>45</v>
      </c>
      <c r="B2220" s="24">
        <f>IF(Setup!$K$18="","",Setup!$K$18)</f>
        <v/>
      </c>
      <c r="C2220" s="88" t="n"/>
      <c r="D2220" s="88" t="n"/>
      <c r="E2220" s="88" t="n"/>
      <c r="F2220" s="89" t="n"/>
      <c r="G2220" s="88" t="n"/>
      <c r="H2220" s="88" t="n"/>
      <c r="I2220" s="88" t="n"/>
      <c r="J2220" s="89" t="n"/>
      <c r="K2220" s="88" t="n"/>
      <c r="L2220" s="88" t="n"/>
      <c r="M2220" s="88" t="n"/>
      <c r="N2220" s="89" t="n"/>
      <c r="O2220" s="88" t="n"/>
      <c r="P2220" s="88" t="n"/>
      <c r="Q2220" s="88" t="n"/>
      <c r="R2220" s="89" t="n"/>
      <c r="S2220" s="88" t="n"/>
      <c r="T2220" s="88" t="n"/>
      <c r="U2220" s="88" t="n"/>
      <c r="V2220" s="89" t="n"/>
      <c r="W2220" s="88" t="n"/>
      <c r="X2220" s="89" t="n"/>
      <c r="Y2220" s="88" t="n"/>
      <c r="Z2220" s="89" t="n"/>
      <c r="AB2220" s="25">
        <f>IF($B2220="","",(COUNTIF(C2220:E2220,"?*")&lt;N(INDEX(Setup!$L$6:$L$23,13)))+(COUNTIF(G2220:I2220,"?*")&lt;N(INDEX(Setup!$L$6:$L$23,13)))+(COUNTIF(K2220:M2220,"?*")&lt;N(INDEX(Setup!$L$6:$L$23,13)))+(COUNTIF(O2220:Q2220,"?*")&lt;N(INDEX(Setup!$L$6:$L$23,13)))+(COUNTIF(S2220:U2220,"?*")&lt;N(INDEX(Setup!$L$6:$L$23,13)))+((W2220="")*(INDEX(Setup!$M$6:$M$23,13)="Y"))+((Y2220="")*(INDEX(Setup!$M$6:$M$23,13)="Y")))</f>
        <v/>
      </c>
      <c r="AC2220" s="90">
        <f>IF($B2220="","",IF(AB2220=0,"✓ covered","⚠ "&amp;AB2220&amp;IF(AB2220=1," gap"," gaps")))</f>
        <v/>
      </c>
    </row>
    <row r="2221" ht="17" customHeight="1">
      <c r="A2221" t="n">
        <v>45</v>
      </c>
      <c r="B2221" s="29">
        <f>IF(Setup!$K$19="","",Setup!$K$19)</f>
        <v/>
      </c>
      <c r="C2221" s="88" t="n"/>
      <c r="D2221" s="88" t="n"/>
      <c r="E2221" s="88" t="n"/>
      <c r="F2221" s="89" t="n"/>
      <c r="G2221" s="88" t="n"/>
      <c r="H2221" s="88" t="n"/>
      <c r="I2221" s="88" t="n"/>
      <c r="J2221" s="89" t="n"/>
      <c r="K2221" s="88" t="n"/>
      <c r="L2221" s="88" t="n"/>
      <c r="M2221" s="88" t="n"/>
      <c r="N2221" s="89" t="n"/>
      <c r="O2221" s="88" t="n"/>
      <c r="P2221" s="88" t="n"/>
      <c r="Q2221" s="88" t="n"/>
      <c r="R2221" s="89" t="n"/>
      <c r="S2221" s="88" t="n"/>
      <c r="T2221" s="88" t="n"/>
      <c r="U2221" s="88" t="n"/>
      <c r="V2221" s="89" t="n"/>
      <c r="W2221" s="88" t="n"/>
      <c r="X2221" s="89" t="n"/>
      <c r="Y2221" s="88" t="n"/>
      <c r="Z2221" s="89" t="n"/>
      <c r="AB2221" s="30">
        <f>IF($B2221="","",(COUNTIF(C2221:E2221,"?*")&lt;N(INDEX(Setup!$L$6:$L$23,14)))+(COUNTIF(G2221:I2221,"?*")&lt;N(INDEX(Setup!$L$6:$L$23,14)))+(COUNTIF(K2221:M2221,"?*")&lt;N(INDEX(Setup!$L$6:$L$23,14)))+(COUNTIF(O2221:Q2221,"?*")&lt;N(INDEX(Setup!$L$6:$L$23,14)))+(COUNTIF(S2221:U2221,"?*")&lt;N(INDEX(Setup!$L$6:$L$23,14)))+((W2221="")*(INDEX(Setup!$M$6:$M$23,14)="Y"))+((Y2221="")*(INDEX(Setup!$M$6:$M$23,14)="Y")))</f>
        <v/>
      </c>
      <c r="AC2221" s="91">
        <f>IF($B2221="","",IF(AB2221=0,"✓ covered","⚠ "&amp;AB2221&amp;IF(AB2221=1," gap"," gaps")))</f>
        <v/>
      </c>
    </row>
    <row r="2222" ht="17" customHeight="1">
      <c r="A2222" t="n">
        <v>45</v>
      </c>
      <c r="B2222" s="24">
        <f>IF(Setup!$K$20="","",Setup!$K$20)</f>
        <v/>
      </c>
      <c r="C2222" s="88" t="n"/>
      <c r="D2222" s="88" t="n"/>
      <c r="E2222" s="88" t="n"/>
      <c r="F2222" s="89" t="n"/>
      <c r="G2222" s="88" t="n"/>
      <c r="H2222" s="88" t="n"/>
      <c r="I2222" s="88" t="n"/>
      <c r="J2222" s="89" t="n"/>
      <c r="K2222" s="88" t="n"/>
      <c r="L2222" s="88" t="n"/>
      <c r="M2222" s="88" t="n"/>
      <c r="N2222" s="89" t="n"/>
      <c r="O2222" s="88" t="n"/>
      <c r="P2222" s="88" t="n"/>
      <c r="Q2222" s="88" t="n"/>
      <c r="R2222" s="89" t="n"/>
      <c r="S2222" s="88" t="n"/>
      <c r="T2222" s="88" t="n"/>
      <c r="U2222" s="88" t="n"/>
      <c r="V2222" s="89" t="n"/>
      <c r="W2222" s="88" t="n"/>
      <c r="X2222" s="89" t="n"/>
      <c r="Y2222" s="88" t="n"/>
      <c r="Z2222" s="89" t="n"/>
      <c r="AB2222" s="25">
        <f>IF($B2222="","",(COUNTIF(C2222:E2222,"?*")&lt;N(INDEX(Setup!$L$6:$L$23,15)))+(COUNTIF(G2222:I2222,"?*")&lt;N(INDEX(Setup!$L$6:$L$23,15)))+(COUNTIF(K2222:M2222,"?*")&lt;N(INDEX(Setup!$L$6:$L$23,15)))+(COUNTIF(O2222:Q2222,"?*")&lt;N(INDEX(Setup!$L$6:$L$23,15)))+(COUNTIF(S2222:U2222,"?*")&lt;N(INDEX(Setup!$L$6:$L$23,15)))+((W2222="")*(INDEX(Setup!$M$6:$M$23,15)="Y"))+((Y2222="")*(INDEX(Setup!$M$6:$M$23,15)="Y")))</f>
        <v/>
      </c>
      <c r="AC2222" s="90">
        <f>IF($B2222="","",IF(AB2222=0,"✓ covered","⚠ "&amp;AB2222&amp;IF(AB2222=1," gap"," gaps")))</f>
        <v/>
      </c>
    </row>
    <row r="2223" ht="17" customHeight="1">
      <c r="A2223" t="n">
        <v>45</v>
      </c>
      <c r="B2223" s="29">
        <f>IF(Setup!$K$21="","",Setup!$K$21)</f>
        <v/>
      </c>
      <c r="C2223" s="88" t="n"/>
      <c r="D2223" s="88" t="n"/>
      <c r="E2223" s="88" t="n"/>
      <c r="F2223" s="89" t="n"/>
      <c r="G2223" s="88" t="n"/>
      <c r="H2223" s="88" t="n"/>
      <c r="I2223" s="88" t="n"/>
      <c r="J2223" s="89" t="n"/>
      <c r="K2223" s="88" t="n"/>
      <c r="L2223" s="88" t="n"/>
      <c r="M2223" s="88" t="n"/>
      <c r="N2223" s="89" t="n"/>
      <c r="O2223" s="88" t="n"/>
      <c r="P2223" s="88" t="n"/>
      <c r="Q2223" s="88" t="n"/>
      <c r="R2223" s="89" t="n"/>
      <c r="S2223" s="88" t="n"/>
      <c r="T2223" s="88" t="n"/>
      <c r="U2223" s="88" t="n"/>
      <c r="V2223" s="89" t="n"/>
      <c r="W2223" s="88" t="n"/>
      <c r="X2223" s="89" t="n"/>
      <c r="Y2223" s="88" t="n"/>
      <c r="Z2223" s="89" t="n"/>
      <c r="AB2223" s="30">
        <f>IF($B2223="","",(COUNTIF(C2223:E2223,"?*")&lt;N(INDEX(Setup!$L$6:$L$23,16)))+(COUNTIF(G2223:I2223,"?*")&lt;N(INDEX(Setup!$L$6:$L$23,16)))+(COUNTIF(K2223:M2223,"?*")&lt;N(INDEX(Setup!$L$6:$L$23,16)))+(COUNTIF(O2223:Q2223,"?*")&lt;N(INDEX(Setup!$L$6:$L$23,16)))+(COUNTIF(S2223:U2223,"?*")&lt;N(INDEX(Setup!$L$6:$L$23,16)))+((W2223="")*(INDEX(Setup!$M$6:$M$23,16)="Y"))+((Y2223="")*(INDEX(Setup!$M$6:$M$23,16)="Y")))</f>
        <v/>
      </c>
      <c r="AC2223" s="91">
        <f>IF($B2223="","",IF(AB2223=0,"✓ covered","⚠ "&amp;AB2223&amp;IF(AB2223=1," gap"," gaps")))</f>
        <v/>
      </c>
    </row>
    <row r="2224" ht="17" customHeight="1">
      <c r="A2224" t="n">
        <v>45</v>
      </c>
      <c r="B2224" s="24">
        <f>IF(Setup!$K$22="","",Setup!$K$22)</f>
        <v/>
      </c>
      <c r="C2224" s="88" t="n"/>
      <c r="D2224" s="88" t="n"/>
      <c r="E2224" s="88" t="n"/>
      <c r="F2224" s="89" t="n"/>
      <c r="G2224" s="88" t="n"/>
      <c r="H2224" s="88" t="n"/>
      <c r="I2224" s="88" t="n"/>
      <c r="J2224" s="89" t="n"/>
      <c r="K2224" s="88" t="n"/>
      <c r="L2224" s="88" t="n"/>
      <c r="M2224" s="88" t="n"/>
      <c r="N2224" s="89" t="n"/>
      <c r="O2224" s="88" t="n"/>
      <c r="P2224" s="88" t="n"/>
      <c r="Q2224" s="88" t="n"/>
      <c r="R2224" s="89" t="n"/>
      <c r="S2224" s="88" t="n"/>
      <c r="T2224" s="88" t="n"/>
      <c r="U2224" s="88" t="n"/>
      <c r="V2224" s="89" t="n"/>
      <c r="W2224" s="88" t="n"/>
      <c r="X2224" s="89" t="n"/>
      <c r="Y2224" s="88" t="n"/>
      <c r="Z2224" s="89" t="n"/>
      <c r="AB2224" s="25">
        <f>IF($B2224="","",(COUNTIF(C2224:E2224,"?*")&lt;N(INDEX(Setup!$L$6:$L$23,17)))+(COUNTIF(G2224:I2224,"?*")&lt;N(INDEX(Setup!$L$6:$L$23,17)))+(COUNTIF(K2224:M2224,"?*")&lt;N(INDEX(Setup!$L$6:$L$23,17)))+(COUNTIF(O2224:Q2224,"?*")&lt;N(INDEX(Setup!$L$6:$L$23,17)))+(COUNTIF(S2224:U2224,"?*")&lt;N(INDEX(Setup!$L$6:$L$23,17)))+((W2224="")*(INDEX(Setup!$M$6:$M$23,17)="Y"))+((Y2224="")*(INDEX(Setup!$M$6:$M$23,17)="Y")))</f>
        <v/>
      </c>
      <c r="AC2224" s="90">
        <f>IF($B2224="","",IF(AB2224=0,"✓ covered","⚠ "&amp;AB2224&amp;IF(AB2224=1," gap"," gaps")))</f>
        <v/>
      </c>
    </row>
    <row r="2225" ht="17" customHeight="1">
      <c r="A2225" t="n">
        <v>45</v>
      </c>
      <c r="B2225" s="29">
        <f>IF(Setup!$K$23="","",Setup!$K$23)</f>
        <v/>
      </c>
      <c r="C2225" s="88" t="n"/>
      <c r="D2225" s="88" t="n"/>
      <c r="E2225" s="88" t="n"/>
      <c r="F2225" s="89" t="n"/>
      <c r="G2225" s="88" t="n"/>
      <c r="H2225" s="88" t="n"/>
      <c r="I2225" s="88" t="n"/>
      <c r="J2225" s="89" t="n"/>
      <c r="K2225" s="88" t="n"/>
      <c r="L2225" s="88" t="n"/>
      <c r="M2225" s="88" t="n"/>
      <c r="N2225" s="89" t="n"/>
      <c r="O2225" s="88" t="n"/>
      <c r="P2225" s="88" t="n"/>
      <c r="Q2225" s="88" t="n"/>
      <c r="R2225" s="89" t="n"/>
      <c r="S2225" s="88" t="n"/>
      <c r="T2225" s="88" t="n"/>
      <c r="U2225" s="88" t="n"/>
      <c r="V2225" s="89" t="n"/>
      <c r="W2225" s="88" t="n"/>
      <c r="X2225" s="89" t="n"/>
      <c r="Y2225" s="88" t="n"/>
      <c r="Z2225" s="89" t="n"/>
      <c r="AB2225" s="30">
        <f>IF($B2225="","",(COUNTIF(C2225:E2225,"?*")&lt;N(INDEX(Setup!$L$6:$L$23,18)))+(COUNTIF(G2225:I2225,"?*")&lt;N(INDEX(Setup!$L$6:$L$23,18)))+(COUNTIF(K2225:M2225,"?*")&lt;N(INDEX(Setup!$L$6:$L$23,18)))+(COUNTIF(O2225:Q2225,"?*")&lt;N(INDEX(Setup!$L$6:$L$23,18)))+(COUNTIF(S2225:U2225,"?*")&lt;N(INDEX(Setup!$L$6:$L$23,18)))+((W2225="")*(INDEX(Setup!$M$6:$M$23,18)="Y"))+((Y2225="")*(INDEX(Setup!$M$6:$M$23,18)="Y")))</f>
        <v/>
      </c>
      <c r="AC2225" s="91">
        <f>IF($B2225="","",IF(AB2225=0,"✓ covered","⚠ "&amp;AB2225&amp;IF(AB2225=1," gap"," gaps")))</f>
        <v/>
      </c>
    </row>
    <row r="2226" ht="18" customHeight="1">
      <c r="A2226" t="n">
        <v>45</v>
      </c>
      <c r="B2226" s="78" t="inlineStr">
        <is>
          <t>TEAM AVAILABILITY</t>
        </is>
      </c>
      <c r="C2226" s="92" t="inlineStr">
        <is>
          <t>Mon</t>
        </is>
      </c>
      <c r="D2226" s="93" t="n"/>
      <c r="E2226" s="93" t="n"/>
      <c r="F2226" s="94" t="n"/>
      <c r="G2226" s="92" t="inlineStr">
        <is>
          <t>Tue</t>
        </is>
      </c>
      <c r="H2226" s="93" t="n"/>
      <c r="I2226" s="93" t="n"/>
      <c r="J2226" s="94" t="n"/>
      <c r="K2226" s="92" t="inlineStr">
        <is>
          <t>Wed</t>
        </is>
      </c>
      <c r="L2226" s="93" t="n"/>
      <c r="M2226" s="93" t="n"/>
      <c r="N2226" s="94" t="n"/>
      <c r="O2226" s="92" t="inlineStr">
        <is>
          <t>Thu</t>
        </is>
      </c>
      <c r="P2226" s="93" t="n"/>
      <c r="Q2226" s="93" t="n"/>
      <c r="R2226" s="94" t="n"/>
      <c r="S2226" s="92" t="inlineStr">
        <is>
          <t>Fri</t>
        </is>
      </c>
      <c r="T2226" s="93" t="n"/>
      <c r="U2226" s="93" t="n"/>
      <c r="V2226" s="94" t="n"/>
      <c r="W2226" s="95" t="inlineStr">
        <is>
          <t>Sat</t>
        </is>
      </c>
      <c r="X2226" s="96" t="n"/>
      <c r="Y2226" s="95" t="inlineStr">
        <is>
          <t>Sun</t>
        </is>
      </c>
      <c r="Z2226" s="96" t="n"/>
      <c r="AB2226" s="97" t="inlineStr">
        <is>
          <t>Days rostered</t>
        </is>
      </c>
      <c r="AC2226" s="97" t="inlineStr">
        <is>
          <t>Conflicts</t>
        </is>
      </c>
    </row>
    <row r="2227" ht="15" customHeight="1">
      <c r="A2227" t="n">
        <v>45</v>
      </c>
      <c r="B2227" s="35">
        <f>IF(Setup!$B$6="","",Setup!$B$6)</f>
        <v/>
      </c>
      <c r="C2227" s="98" t="n"/>
      <c r="D2227" s="99" t="n"/>
      <c r="E2227" s="99" t="n"/>
      <c r="F2227" s="100" t="n"/>
      <c r="G2227" s="98" t="n"/>
      <c r="H2227" s="99" t="n"/>
      <c r="I2227" s="99" t="n"/>
      <c r="J2227" s="100" t="n"/>
      <c r="K2227" s="98" t="n"/>
      <c r="L2227" s="99" t="n"/>
      <c r="M2227" s="99" t="n"/>
      <c r="N2227" s="100" t="n"/>
      <c r="O2227" s="98" t="n"/>
      <c r="P2227" s="99" t="n"/>
      <c r="Q2227" s="99" t="n"/>
      <c r="R2227" s="100" t="n"/>
      <c r="S2227" s="98" t="n"/>
      <c r="T2227" s="99" t="n"/>
      <c r="U2227" s="99" t="n"/>
      <c r="V2227" s="100" t="n"/>
      <c r="W2227" s="98" t="n"/>
      <c r="X2227" s="100" t="n"/>
      <c r="Y2227" s="98" t="n"/>
      <c r="Z2227" s="100" t="n"/>
      <c r="AB2227" s="101">
        <f>IF($B2227="","",(COUNTIF(C2208:E2225,$B2227)+COUNTIF(C2208:E2225,$B2227&amp;" ~*")&gt;0)+(COUNTIF(G2208:I2225,$B2227)+COUNTIF(G2208:I2225,$B2227&amp;" ~*")&gt;0)+(COUNTIF(K2208:M2225,$B2227)+COUNTIF(K2208:M2225,$B2227&amp;" ~*")&gt;0)+(COUNTIF(O2208:Q2225,$B2227)+COUNTIF(O2208:Q2225,$B2227&amp;" ~*")&gt;0)+(COUNTIF(S2208:U2225,$B2227)+COUNTIF(S2208:U2225,$B2227&amp;" ~*")&gt;0)+(COUNTIF(W2208:W2225,$B2227)+COUNTIF(W2208:W2225,$B2227&amp;" ~*")&gt;0)+(COUNTIF(Y2208:Y2225,$B2227)+COUNTIF(Y2208:Y2225,$B2227&amp;" ~*")&gt;0))</f>
        <v/>
      </c>
      <c r="AC2227" s="36">
        <f>IF($B2227="","",(IFERROR(INDEX(Setup!$G$33:$G$40,MATCH(C2227,Setup!$B$33:$B$40,0)),0)=1)*(COUNTIF(C2208:E2225,$B2227)+COUNTIF(C2208:E2225,$B2227&amp;" ~*")&gt;0)+(IFERROR(INDEX(Setup!$G$33:$G$40,MATCH(G2227,Setup!$B$33:$B$40,0)),0)=1)*(COUNTIF(G2208:I2225,$B2227)+COUNTIF(G2208:I2225,$B2227&amp;" ~*")&gt;0)+(IFERROR(INDEX(Setup!$G$33:$G$40,MATCH(K2227,Setup!$B$33:$B$40,0)),0)=1)*(COUNTIF(K2208:M2225,$B2227)+COUNTIF(K2208:M2225,$B2227&amp;" ~*")&gt;0)+(IFERROR(INDEX(Setup!$G$33:$G$40,MATCH(O2227,Setup!$B$33:$B$40,0)),0)=1)*(COUNTIF(O2208:Q2225,$B2227)+COUNTIF(O2208:Q2225,$B2227&amp;" ~*")&gt;0)+(IFERROR(INDEX(Setup!$G$33:$G$40,MATCH(S2227,Setup!$B$33:$B$40,0)),0)=1)*(COUNTIF(S2208:U2225,$B2227)+COUNTIF(S2208:U2225,$B2227&amp;" ~*")&gt;0)+(IFERROR(INDEX(Setup!$G$33:$G$40,MATCH(W2227,Setup!$B$33:$B$40,0)),0)=1)*(COUNTIF(W2208:W2225,$B2227)+COUNTIF(W2208:W2225,$B2227&amp;" ~*")&gt;0)+(IFERROR(INDEX(Setup!$G$33:$G$40,MATCH(Y2227,Setup!$B$33:$B$40,0)),0)=1)*(COUNTIF(Y2208:Y2225,$B2227)+COUNTIF(Y2208:Y2225,$B2227&amp;" ~*")&gt;0))</f>
        <v/>
      </c>
    </row>
    <row r="2228" ht="15" customHeight="1">
      <c r="A2228" t="n">
        <v>45</v>
      </c>
      <c r="B2228" s="37">
        <f>IF(Setup!$B$7="","",Setup!$B$7)</f>
        <v/>
      </c>
      <c r="C2228" s="102" t="n"/>
      <c r="D2228" s="103" t="n"/>
      <c r="E2228" s="103" t="n"/>
      <c r="F2228" s="104" t="n"/>
      <c r="G2228" s="102" t="n"/>
      <c r="H2228" s="103" t="n"/>
      <c r="I2228" s="103" t="n"/>
      <c r="J2228" s="104" t="n"/>
      <c r="K2228" s="102" t="n"/>
      <c r="L2228" s="103" t="n"/>
      <c r="M2228" s="103" t="n"/>
      <c r="N2228" s="104" t="n"/>
      <c r="O2228" s="102" t="n"/>
      <c r="P2228" s="103" t="n"/>
      <c r="Q2228" s="103" t="n"/>
      <c r="R2228" s="104" t="n"/>
      <c r="S2228" s="102" t="n"/>
      <c r="T2228" s="103" t="n"/>
      <c r="U2228" s="103" t="n"/>
      <c r="V2228" s="104" t="n"/>
      <c r="W2228" s="102" t="n"/>
      <c r="X2228" s="104" t="n"/>
      <c r="Y2228" s="102" t="n"/>
      <c r="Z2228" s="104" t="n"/>
      <c r="AB2228" s="105">
        <f>IF($B2228="","",(COUNTIF(C2208:E2225,$B2228)+COUNTIF(C2208:E2225,$B2228&amp;" ~*")&gt;0)+(COUNTIF(G2208:I2225,$B2228)+COUNTIF(G2208:I2225,$B2228&amp;" ~*")&gt;0)+(COUNTIF(K2208:M2225,$B2228)+COUNTIF(K2208:M2225,$B2228&amp;" ~*")&gt;0)+(COUNTIF(O2208:Q2225,$B2228)+COUNTIF(O2208:Q2225,$B2228&amp;" ~*")&gt;0)+(COUNTIF(S2208:U2225,$B2228)+COUNTIF(S2208:U2225,$B2228&amp;" ~*")&gt;0)+(COUNTIF(W2208:W2225,$B2228)+COUNTIF(W2208:W2225,$B2228&amp;" ~*")&gt;0)+(COUNTIF(Y2208:Y2225,$B2228)+COUNTIF(Y2208:Y2225,$B2228&amp;" ~*")&gt;0))</f>
        <v/>
      </c>
      <c r="AC2228" s="38">
        <f>IF($B2228="","",(IFERROR(INDEX(Setup!$G$33:$G$40,MATCH(C2228,Setup!$B$33:$B$40,0)),0)=1)*(COUNTIF(C2208:E2225,$B2228)+COUNTIF(C2208:E2225,$B2228&amp;" ~*")&gt;0)+(IFERROR(INDEX(Setup!$G$33:$G$40,MATCH(G2228,Setup!$B$33:$B$40,0)),0)=1)*(COUNTIF(G2208:I2225,$B2228)+COUNTIF(G2208:I2225,$B2228&amp;" ~*")&gt;0)+(IFERROR(INDEX(Setup!$G$33:$G$40,MATCH(K2228,Setup!$B$33:$B$40,0)),0)=1)*(COUNTIF(K2208:M2225,$B2228)+COUNTIF(K2208:M2225,$B2228&amp;" ~*")&gt;0)+(IFERROR(INDEX(Setup!$G$33:$G$40,MATCH(O2228,Setup!$B$33:$B$40,0)),0)=1)*(COUNTIF(O2208:Q2225,$B2228)+COUNTIF(O2208:Q2225,$B2228&amp;" ~*")&gt;0)+(IFERROR(INDEX(Setup!$G$33:$G$40,MATCH(S2228,Setup!$B$33:$B$40,0)),0)=1)*(COUNTIF(S2208:U2225,$B2228)+COUNTIF(S2208:U2225,$B2228&amp;" ~*")&gt;0)+(IFERROR(INDEX(Setup!$G$33:$G$40,MATCH(W2228,Setup!$B$33:$B$40,0)),0)=1)*(COUNTIF(W2208:W2225,$B2228)+COUNTIF(W2208:W2225,$B2228&amp;" ~*")&gt;0)+(IFERROR(INDEX(Setup!$G$33:$G$40,MATCH(Y2228,Setup!$B$33:$B$40,0)),0)=1)*(COUNTIF(Y2208:Y2225,$B2228)+COUNTIF(Y2208:Y2225,$B2228&amp;" ~*")&gt;0))</f>
        <v/>
      </c>
    </row>
    <row r="2229" ht="15" customHeight="1">
      <c r="A2229" t="n">
        <v>45</v>
      </c>
      <c r="B2229" s="35">
        <f>IF(Setup!$B$8="","",Setup!$B$8)</f>
        <v/>
      </c>
      <c r="C2229" s="98" t="n"/>
      <c r="D2229" s="99" t="n"/>
      <c r="E2229" s="99" t="n"/>
      <c r="F2229" s="100" t="n"/>
      <c r="G2229" s="98" t="n"/>
      <c r="H2229" s="99" t="n"/>
      <c r="I2229" s="99" t="n"/>
      <c r="J2229" s="100" t="n"/>
      <c r="K2229" s="98" t="n"/>
      <c r="L2229" s="99" t="n"/>
      <c r="M2229" s="99" t="n"/>
      <c r="N2229" s="100" t="n"/>
      <c r="O2229" s="98" t="n"/>
      <c r="P2229" s="99" t="n"/>
      <c r="Q2229" s="99" t="n"/>
      <c r="R2229" s="100" t="n"/>
      <c r="S2229" s="98" t="n"/>
      <c r="T2229" s="99" t="n"/>
      <c r="U2229" s="99" t="n"/>
      <c r="V2229" s="100" t="n"/>
      <c r="W2229" s="98" t="n"/>
      <c r="X2229" s="100" t="n"/>
      <c r="Y2229" s="98" t="n"/>
      <c r="Z2229" s="100" t="n"/>
      <c r="AB2229" s="101">
        <f>IF($B2229="","",(COUNTIF(C2208:E2225,$B2229)+COUNTIF(C2208:E2225,$B2229&amp;" ~*")&gt;0)+(COUNTIF(G2208:I2225,$B2229)+COUNTIF(G2208:I2225,$B2229&amp;" ~*")&gt;0)+(COUNTIF(K2208:M2225,$B2229)+COUNTIF(K2208:M2225,$B2229&amp;" ~*")&gt;0)+(COUNTIF(O2208:Q2225,$B2229)+COUNTIF(O2208:Q2225,$B2229&amp;" ~*")&gt;0)+(COUNTIF(S2208:U2225,$B2229)+COUNTIF(S2208:U2225,$B2229&amp;" ~*")&gt;0)+(COUNTIF(W2208:W2225,$B2229)+COUNTIF(W2208:W2225,$B2229&amp;" ~*")&gt;0)+(COUNTIF(Y2208:Y2225,$B2229)+COUNTIF(Y2208:Y2225,$B2229&amp;" ~*")&gt;0))</f>
        <v/>
      </c>
      <c r="AC2229" s="36">
        <f>IF($B2229="","",(IFERROR(INDEX(Setup!$G$33:$G$40,MATCH(C2229,Setup!$B$33:$B$40,0)),0)=1)*(COUNTIF(C2208:E2225,$B2229)+COUNTIF(C2208:E2225,$B2229&amp;" ~*")&gt;0)+(IFERROR(INDEX(Setup!$G$33:$G$40,MATCH(G2229,Setup!$B$33:$B$40,0)),0)=1)*(COUNTIF(G2208:I2225,$B2229)+COUNTIF(G2208:I2225,$B2229&amp;" ~*")&gt;0)+(IFERROR(INDEX(Setup!$G$33:$G$40,MATCH(K2229,Setup!$B$33:$B$40,0)),0)=1)*(COUNTIF(K2208:M2225,$B2229)+COUNTIF(K2208:M2225,$B2229&amp;" ~*")&gt;0)+(IFERROR(INDEX(Setup!$G$33:$G$40,MATCH(O2229,Setup!$B$33:$B$40,0)),0)=1)*(COUNTIF(O2208:Q2225,$B2229)+COUNTIF(O2208:Q2225,$B2229&amp;" ~*")&gt;0)+(IFERROR(INDEX(Setup!$G$33:$G$40,MATCH(S2229,Setup!$B$33:$B$40,0)),0)=1)*(COUNTIF(S2208:U2225,$B2229)+COUNTIF(S2208:U2225,$B2229&amp;" ~*")&gt;0)+(IFERROR(INDEX(Setup!$G$33:$G$40,MATCH(W2229,Setup!$B$33:$B$40,0)),0)=1)*(COUNTIF(W2208:W2225,$B2229)+COUNTIF(W2208:W2225,$B2229&amp;" ~*")&gt;0)+(IFERROR(INDEX(Setup!$G$33:$G$40,MATCH(Y2229,Setup!$B$33:$B$40,0)),0)=1)*(COUNTIF(Y2208:Y2225,$B2229)+COUNTIF(Y2208:Y2225,$B2229&amp;" ~*")&gt;0))</f>
        <v/>
      </c>
    </row>
    <row r="2230" ht="15" customHeight="1">
      <c r="A2230" t="n">
        <v>45</v>
      </c>
      <c r="B2230" s="37">
        <f>IF(Setup!$B$9="","",Setup!$B$9)</f>
        <v/>
      </c>
      <c r="C2230" s="102" t="n"/>
      <c r="D2230" s="103" t="n"/>
      <c r="E2230" s="103" t="n"/>
      <c r="F2230" s="104" t="n"/>
      <c r="G2230" s="102" t="n"/>
      <c r="H2230" s="103" t="n"/>
      <c r="I2230" s="103" t="n"/>
      <c r="J2230" s="104" t="n"/>
      <c r="K2230" s="102" t="n"/>
      <c r="L2230" s="103" t="n"/>
      <c r="M2230" s="103" t="n"/>
      <c r="N2230" s="104" t="n"/>
      <c r="O2230" s="102" t="n"/>
      <c r="P2230" s="103" t="n"/>
      <c r="Q2230" s="103" t="n"/>
      <c r="R2230" s="104" t="n"/>
      <c r="S2230" s="102" t="n"/>
      <c r="T2230" s="103" t="n"/>
      <c r="U2230" s="103" t="n"/>
      <c r="V2230" s="104" t="n"/>
      <c r="W2230" s="102" t="n"/>
      <c r="X2230" s="104" t="n"/>
      <c r="Y2230" s="102" t="n"/>
      <c r="Z2230" s="104" t="n"/>
      <c r="AB2230" s="105">
        <f>IF($B2230="","",(COUNTIF(C2208:E2225,$B2230)+COUNTIF(C2208:E2225,$B2230&amp;" ~*")&gt;0)+(COUNTIF(G2208:I2225,$B2230)+COUNTIF(G2208:I2225,$B2230&amp;" ~*")&gt;0)+(COUNTIF(K2208:M2225,$B2230)+COUNTIF(K2208:M2225,$B2230&amp;" ~*")&gt;0)+(COUNTIF(O2208:Q2225,$B2230)+COUNTIF(O2208:Q2225,$B2230&amp;" ~*")&gt;0)+(COUNTIF(S2208:U2225,$B2230)+COUNTIF(S2208:U2225,$B2230&amp;" ~*")&gt;0)+(COUNTIF(W2208:W2225,$B2230)+COUNTIF(W2208:W2225,$B2230&amp;" ~*")&gt;0)+(COUNTIF(Y2208:Y2225,$B2230)+COUNTIF(Y2208:Y2225,$B2230&amp;" ~*")&gt;0))</f>
        <v/>
      </c>
      <c r="AC2230" s="38">
        <f>IF($B2230="","",(IFERROR(INDEX(Setup!$G$33:$G$40,MATCH(C2230,Setup!$B$33:$B$40,0)),0)=1)*(COUNTIF(C2208:E2225,$B2230)+COUNTIF(C2208:E2225,$B2230&amp;" ~*")&gt;0)+(IFERROR(INDEX(Setup!$G$33:$G$40,MATCH(G2230,Setup!$B$33:$B$40,0)),0)=1)*(COUNTIF(G2208:I2225,$B2230)+COUNTIF(G2208:I2225,$B2230&amp;" ~*")&gt;0)+(IFERROR(INDEX(Setup!$G$33:$G$40,MATCH(K2230,Setup!$B$33:$B$40,0)),0)=1)*(COUNTIF(K2208:M2225,$B2230)+COUNTIF(K2208:M2225,$B2230&amp;" ~*")&gt;0)+(IFERROR(INDEX(Setup!$G$33:$G$40,MATCH(O2230,Setup!$B$33:$B$40,0)),0)=1)*(COUNTIF(O2208:Q2225,$B2230)+COUNTIF(O2208:Q2225,$B2230&amp;" ~*")&gt;0)+(IFERROR(INDEX(Setup!$G$33:$G$40,MATCH(S2230,Setup!$B$33:$B$40,0)),0)=1)*(COUNTIF(S2208:U2225,$B2230)+COUNTIF(S2208:U2225,$B2230&amp;" ~*")&gt;0)+(IFERROR(INDEX(Setup!$G$33:$G$40,MATCH(W2230,Setup!$B$33:$B$40,0)),0)=1)*(COUNTIF(W2208:W2225,$B2230)+COUNTIF(W2208:W2225,$B2230&amp;" ~*")&gt;0)+(IFERROR(INDEX(Setup!$G$33:$G$40,MATCH(Y2230,Setup!$B$33:$B$40,0)),0)=1)*(COUNTIF(Y2208:Y2225,$B2230)+COUNTIF(Y2208:Y2225,$B2230&amp;" ~*")&gt;0))</f>
        <v/>
      </c>
    </row>
    <row r="2231" ht="15" customHeight="1">
      <c r="A2231" t="n">
        <v>45</v>
      </c>
      <c r="B2231" s="35">
        <f>IF(Setup!$B$10="","",Setup!$B$10)</f>
        <v/>
      </c>
      <c r="C2231" s="98" t="n"/>
      <c r="D2231" s="99" t="n"/>
      <c r="E2231" s="99" t="n"/>
      <c r="F2231" s="100" t="n"/>
      <c r="G2231" s="98" t="n"/>
      <c r="H2231" s="99" t="n"/>
      <c r="I2231" s="99" t="n"/>
      <c r="J2231" s="100" t="n"/>
      <c r="K2231" s="98" t="n"/>
      <c r="L2231" s="99" t="n"/>
      <c r="M2231" s="99" t="n"/>
      <c r="N2231" s="100" t="n"/>
      <c r="O2231" s="98" t="n"/>
      <c r="P2231" s="99" t="n"/>
      <c r="Q2231" s="99" t="n"/>
      <c r="R2231" s="100" t="n"/>
      <c r="S2231" s="98" t="n"/>
      <c r="T2231" s="99" t="n"/>
      <c r="U2231" s="99" t="n"/>
      <c r="V2231" s="100" t="n"/>
      <c r="W2231" s="98" t="n"/>
      <c r="X2231" s="100" t="n"/>
      <c r="Y2231" s="98" t="n"/>
      <c r="Z2231" s="100" t="n"/>
      <c r="AB2231" s="101">
        <f>IF($B2231="","",(COUNTIF(C2208:E2225,$B2231)+COUNTIF(C2208:E2225,$B2231&amp;" ~*")&gt;0)+(COUNTIF(G2208:I2225,$B2231)+COUNTIF(G2208:I2225,$B2231&amp;" ~*")&gt;0)+(COUNTIF(K2208:M2225,$B2231)+COUNTIF(K2208:M2225,$B2231&amp;" ~*")&gt;0)+(COUNTIF(O2208:Q2225,$B2231)+COUNTIF(O2208:Q2225,$B2231&amp;" ~*")&gt;0)+(COUNTIF(S2208:U2225,$B2231)+COUNTIF(S2208:U2225,$B2231&amp;" ~*")&gt;0)+(COUNTIF(W2208:W2225,$B2231)+COUNTIF(W2208:W2225,$B2231&amp;" ~*")&gt;0)+(COUNTIF(Y2208:Y2225,$B2231)+COUNTIF(Y2208:Y2225,$B2231&amp;" ~*")&gt;0))</f>
        <v/>
      </c>
      <c r="AC2231" s="36">
        <f>IF($B2231="","",(IFERROR(INDEX(Setup!$G$33:$G$40,MATCH(C2231,Setup!$B$33:$B$40,0)),0)=1)*(COUNTIF(C2208:E2225,$B2231)+COUNTIF(C2208:E2225,$B2231&amp;" ~*")&gt;0)+(IFERROR(INDEX(Setup!$G$33:$G$40,MATCH(G2231,Setup!$B$33:$B$40,0)),0)=1)*(COUNTIF(G2208:I2225,$B2231)+COUNTIF(G2208:I2225,$B2231&amp;" ~*")&gt;0)+(IFERROR(INDEX(Setup!$G$33:$G$40,MATCH(K2231,Setup!$B$33:$B$40,0)),0)=1)*(COUNTIF(K2208:M2225,$B2231)+COUNTIF(K2208:M2225,$B2231&amp;" ~*")&gt;0)+(IFERROR(INDEX(Setup!$G$33:$G$40,MATCH(O2231,Setup!$B$33:$B$40,0)),0)=1)*(COUNTIF(O2208:Q2225,$B2231)+COUNTIF(O2208:Q2225,$B2231&amp;" ~*")&gt;0)+(IFERROR(INDEX(Setup!$G$33:$G$40,MATCH(S2231,Setup!$B$33:$B$40,0)),0)=1)*(COUNTIF(S2208:U2225,$B2231)+COUNTIF(S2208:U2225,$B2231&amp;" ~*")&gt;0)+(IFERROR(INDEX(Setup!$G$33:$G$40,MATCH(W2231,Setup!$B$33:$B$40,0)),0)=1)*(COUNTIF(W2208:W2225,$B2231)+COUNTIF(W2208:W2225,$B2231&amp;" ~*")&gt;0)+(IFERROR(INDEX(Setup!$G$33:$G$40,MATCH(Y2231,Setup!$B$33:$B$40,0)),0)=1)*(COUNTIF(Y2208:Y2225,$B2231)+COUNTIF(Y2208:Y2225,$B2231&amp;" ~*")&gt;0))</f>
        <v/>
      </c>
    </row>
    <row r="2232" ht="15" customHeight="1">
      <c r="A2232" t="n">
        <v>45</v>
      </c>
      <c r="B2232" s="37">
        <f>IF(Setup!$B$11="","",Setup!$B$11)</f>
        <v/>
      </c>
      <c r="C2232" s="102" t="n"/>
      <c r="D2232" s="103" t="n"/>
      <c r="E2232" s="103" t="n"/>
      <c r="F2232" s="104" t="n"/>
      <c r="G2232" s="102" t="n"/>
      <c r="H2232" s="103" t="n"/>
      <c r="I2232" s="103" t="n"/>
      <c r="J2232" s="104" t="n"/>
      <c r="K2232" s="102" t="n"/>
      <c r="L2232" s="103" t="n"/>
      <c r="M2232" s="103" t="n"/>
      <c r="N2232" s="104" t="n"/>
      <c r="O2232" s="102" t="n"/>
      <c r="P2232" s="103" t="n"/>
      <c r="Q2232" s="103" t="n"/>
      <c r="R2232" s="104" t="n"/>
      <c r="S2232" s="102" t="n"/>
      <c r="T2232" s="103" t="n"/>
      <c r="U2232" s="103" t="n"/>
      <c r="V2232" s="104" t="n"/>
      <c r="W2232" s="102" t="n"/>
      <c r="X2232" s="104" t="n"/>
      <c r="Y2232" s="102" t="n"/>
      <c r="Z2232" s="104" t="n"/>
      <c r="AB2232" s="105">
        <f>IF($B2232="","",(COUNTIF(C2208:E2225,$B2232)+COUNTIF(C2208:E2225,$B2232&amp;" ~*")&gt;0)+(COUNTIF(G2208:I2225,$B2232)+COUNTIF(G2208:I2225,$B2232&amp;" ~*")&gt;0)+(COUNTIF(K2208:M2225,$B2232)+COUNTIF(K2208:M2225,$B2232&amp;" ~*")&gt;0)+(COUNTIF(O2208:Q2225,$B2232)+COUNTIF(O2208:Q2225,$B2232&amp;" ~*")&gt;0)+(COUNTIF(S2208:U2225,$B2232)+COUNTIF(S2208:U2225,$B2232&amp;" ~*")&gt;0)+(COUNTIF(W2208:W2225,$B2232)+COUNTIF(W2208:W2225,$B2232&amp;" ~*")&gt;0)+(COUNTIF(Y2208:Y2225,$B2232)+COUNTIF(Y2208:Y2225,$B2232&amp;" ~*")&gt;0))</f>
        <v/>
      </c>
      <c r="AC2232" s="38">
        <f>IF($B2232="","",(IFERROR(INDEX(Setup!$G$33:$G$40,MATCH(C2232,Setup!$B$33:$B$40,0)),0)=1)*(COUNTIF(C2208:E2225,$B2232)+COUNTIF(C2208:E2225,$B2232&amp;" ~*")&gt;0)+(IFERROR(INDEX(Setup!$G$33:$G$40,MATCH(G2232,Setup!$B$33:$B$40,0)),0)=1)*(COUNTIF(G2208:I2225,$B2232)+COUNTIF(G2208:I2225,$B2232&amp;" ~*")&gt;0)+(IFERROR(INDEX(Setup!$G$33:$G$40,MATCH(K2232,Setup!$B$33:$B$40,0)),0)=1)*(COUNTIF(K2208:M2225,$B2232)+COUNTIF(K2208:M2225,$B2232&amp;" ~*")&gt;0)+(IFERROR(INDEX(Setup!$G$33:$G$40,MATCH(O2232,Setup!$B$33:$B$40,0)),0)=1)*(COUNTIF(O2208:Q2225,$B2232)+COUNTIF(O2208:Q2225,$B2232&amp;" ~*")&gt;0)+(IFERROR(INDEX(Setup!$G$33:$G$40,MATCH(S2232,Setup!$B$33:$B$40,0)),0)=1)*(COUNTIF(S2208:U2225,$B2232)+COUNTIF(S2208:U2225,$B2232&amp;" ~*")&gt;0)+(IFERROR(INDEX(Setup!$G$33:$G$40,MATCH(W2232,Setup!$B$33:$B$40,0)),0)=1)*(COUNTIF(W2208:W2225,$B2232)+COUNTIF(W2208:W2225,$B2232&amp;" ~*")&gt;0)+(IFERROR(INDEX(Setup!$G$33:$G$40,MATCH(Y2232,Setup!$B$33:$B$40,0)),0)=1)*(COUNTIF(Y2208:Y2225,$B2232)+COUNTIF(Y2208:Y2225,$B2232&amp;" ~*")&gt;0))</f>
        <v/>
      </c>
    </row>
    <row r="2233" ht="15" customHeight="1">
      <c r="A2233" t="n">
        <v>45</v>
      </c>
      <c r="B2233" s="35">
        <f>IF(Setup!$B$12="","",Setup!$B$12)</f>
        <v/>
      </c>
      <c r="C2233" s="98" t="n"/>
      <c r="D2233" s="99" t="n"/>
      <c r="E2233" s="99" t="n"/>
      <c r="F2233" s="100" t="n"/>
      <c r="G2233" s="98" t="n"/>
      <c r="H2233" s="99" t="n"/>
      <c r="I2233" s="99" t="n"/>
      <c r="J2233" s="100" t="n"/>
      <c r="K2233" s="98" t="n"/>
      <c r="L2233" s="99" t="n"/>
      <c r="M2233" s="99" t="n"/>
      <c r="N2233" s="100" t="n"/>
      <c r="O2233" s="98" t="n"/>
      <c r="P2233" s="99" t="n"/>
      <c r="Q2233" s="99" t="n"/>
      <c r="R2233" s="100" t="n"/>
      <c r="S2233" s="98" t="n"/>
      <c r="T2233" s="99" t="n"/>
      <c r="U2233" s="99" t="n"/>
      <c r="V2233" s="100" t="n"/>
      <c r="W2233" s="98" t="n"/>
      <c r="X2233" s="100" t="n"/>
      <c r="Y2233" s="98" t="n"/>
      <c r="Z2233" s="100" t="n"/>
      <c r="AB2233" s="101">
        <f>IF($B2233="","",(COUNTIF(C2208:E2225,$B2233)+COUNTIF(C2208:E2225,$B2233&amp;" ~*")&gt;0)+(COUNTIF(G2208:I2225,$B2233)+COUNTIF(G2208:I2225,$B2233&amp;" ~*")&gt;0)+(COUNTIF(K2208:M2225,$B2233)+COUNTIF(K2208:M2225,$B2233&amp;" ~*")&gt;0)+(COUNTIF(O2208:Q2225,$B2233)+COUNTIF(O2208:Q2225,$B2233&amp;" ~*")&gt;0)+(COUNTIF(S2208:U2225,$B2233)+COUNTIF(S2208:U2225,$B2233&amp;" ~*")&gt;0)+(COUNTIF(W2208:W2225,$B2233)+COUNTIF(W2208:W2225,$B2233&amp;" ~*")&gt;0)+(COUNTIF(Y2208:Y2225,$B2233)+COUNTIF(Y2208:Y2225,$B2233&amp;" ~*")&gt;0))</f>
        <v/>
      </c>
      <c r="AC2233" s="36">
        <f>IF($B2233="","",(IFERROR(INDEX(Setup!$G$33:$G$40,MATCH(C2233,Setup!$B$33:$B$40,0)),0)=1)*(COUNTIF(C2208:E2225,$B2233)+COUNTIF(C2208:E2225,$B2233&amp;" ~*")&gt;0)+(IFERROR(INDEX(Setup!$G$33:$G$40,MATCH(G2233,Setup!$B$33:$B$40,0)),0)=1)*(COUNTIF(G2208:I2225,$B2233)+COUNTIF(G2208:I2225,$B2233&amp;" ~*")&gt;0)+(IFERROR(INDEX(Setup!$G$33:$G$40,MATCH(K2233,Setup!$B$33:$B$40,0)),0)=1)*(COUNTIF(K2208:M2225,$B2233)+COUNTIF(K2208:M2225,$B2233&amp;" ~*")&gt;0)+(IFERROR(INDEX(Setup!$G$33:$G$40,MATCH(O2233,Setup!$B$33:$B$40,0)),0)=1)*(COUNTIF(O2208:Q2225,$B2233)+COUNTIF(O2208:Q2225,$B2233&amp;" ~*")&gt;0)+(IFERROR(INDEX(Setup!$G$33:$G$40,MATCH(S2233,Setup!$B$33:$B$40,0)),0)=1)*(COUNTIF(S2208:U2225,$B2233)+COUNTIF(S2208:U2225,$B2233&amp;" ~*")&gt;0)+(IFERROR(INDEX(Setup!$G$33:$G$40,MATCH(W2233,Setup!$B$33:$B$40,0)),0)=1)*(COUNTIF(W2208:W2225,$B2233)+COUNTIF(W2208:W2225,$B2233&amp;" ~*")&gt;0)+(IFERROR(INDEX(Setup!$G$33:$G$40,MATCH(Y2233,Setup!$B$33:$B$40,0)),0)=1)*(COUNTIF(Y2208:Y2225,$B2233)+COUNTIF(Y2208:Y2225,$B2233&amp;" ~*")&gt;0))</f>
        <v/>
      </c>
    </row>
    <row r="2234" ht="15" customHeight="1">
      <c r="A2234" t="n">
        <v>45</v>
      </c>
      <c r="B2234" s="37">
        <f>IF(Setup!$B$13="","",Setup!$B$13)</f>
        <v/>
      </c>
      <c r="C2234" s="102" t="inlineStr">
        <is>
          <t>AL</t>
        </is>
      </c>
      <c r="D2234" s="103" t="n"/>
      <c r="E2234" s="103" t="n"/>
      <c r="F2234" s="104" t="n"/>
      <c r="G2234" s="102" t="inlineStr">
        <is>
          <t>AL</t>
        </is>
      </c>
      <c r="H2234" s="103" t="n"/>
      <c r="I2234" s="103" t="n"/>
      <c r="J2234" s="104" t="n"/>
      <c r="K2234" s="102" t="inlineStr">
        <is>
          <t>AL</t>
        </is>
      </c>
      <c r="L2234" s="103" t="n"/>
      <c r="M2234" s="103" t="n"/>
      <c r="N2234" s="104" t="n"/>
      <c r="O2234" s="102" t="inlineStr">
        <is>
          <t>AL</t>
        </is>
      </c>
      <c r="P2234" s="103" t="n"/>
      <c r="Q2234" s="103" t="n"/>
      <c r="R2234" s="104" t="n"/>
      <c r="S2234" s="102" t="inlineStr">
        <is>
          <t>AL</t>
        </is>
      </c>
      <c r="T2234" s="103" t="n"/>
      <c r="U2234" s="103" t="n"/>
      <c r="V2234" s="104" t="n"/>
      <c r="W2234" s="102" t="n"/>
      <c r="X2234" s="104" t="n"/>
      <c r="Y2234" s="102" t="n"/>
      <c r="Z2234" s="104" t="n"/>
      <c r="AB2234" s="105">
        <f>IF($B2234="","",(COUNTIF(C2208:E2225,$B2234)+COUNTIF(C2208:E2225,$B2234&amp;" ~*")&gt;0)+(COUNTIF(G2208:I2225,$B2234)+COUNTIF(G2208:I2225,$B2234&amp;" ~*")&gt;0)+(COUNTIF(K2208:M2225,$B2234)+COUNTIF(K2208:M2225,$B2234&amp;" ~*")&gt;0)+(COUNTIF(O2208:Q2225,$B2234)+COUNTIF(O2208:Q2225,$B2234&amp;" ~*")&gt;0)+(COUNTIF(S2208:U2225,$B2234)+COUNTIF(S2208:U2225,$B2234&amp;" ~*")&gt;0)+(COUNTIF(W2208:W2225,$B2234)+COUNTIF(W2208:W2225,$B2234&amp;" ~*")&gt;0)+(COUNTIF(Y2208:Y2225,$B2234)+COUNTIF(Y2208:Y2225,$B2234&amp;" ~*")&gt;0))</f>
        <v/>
      </c>
      <c r="AC2234" s="38">
        <f>IF($B2234="","",(IFERROR(INDEX(Setup!$G$33:$G$40,MATCH(C2234,Setup!$B$33:$B$40,0)),0)=1)*(COUNTIF(C2208:E2225,$B2234)+COUNTIF(C2208:E2225,$B2234&amp;" ~*")&gt;0)+(IFERROR(INDEX(Setup!$G$33:$G$40,MATCH(G2234,Setup!$B$33:$B$40,0)),0)=1)*(COUNTIF(G2208:I2225,$B2234)+COUNTIF(G2208:I2225,$B2234&amp;" ~*")&gt;0)+(IFERROR(INDEX(Setup!$G$33:$G$40,MATCH(K2234,Setup!$B$33:$B$40,0)),0)=1)*(COUNTIF(K2208:M2225,$B2234)+COUNTIF(K2208:M2225,$B2234&amp;" ~*")&gt;0)+(IFERROR(INDEX(Setup!$G$33:$G$40,MATCH(O2234,Setup!$B$33:$B$40,0)),0)=1)*(COUNTIF(O2208:Q2225,$B2234)+COUNTIF(O2208:Q2225,$B2234&amp;" ~*")&gt;0)+(IFERROR(INDEX(Setup!$G$33:$G$40,MATCH(S2234,Setup!$B$33:$B$40,0)),0)=1)*(COUNTIF(S2208:U2225,$B2234)+COUNTIF(S2208:U2225,$B2234&amp;" ~*")&gt;0)+(IFERROR(INDEX(Setup!$G$33:$G$40,MATCH(W2234,Setup!$B$33:$B$40,0)),0)=1)*(COUNTIF(W2208:W2225,$B2234)+COUNTIF(W2208:W2225,$B2234&amp;" ~*")&gt;0)+(IFERROR(INDEX(Setup!$G$33:$G$40,MATCH(Y2234,Setup!$B$33:$B$40,0)),0)=1)*(COUNTIF(Y2208:Y2225,$B2234)+COUNTIF(Y2208:Y2225,$B2234&amp;" ~*")&gt;0))</f>
        <v/>
      </c>
    </row>
    <row r="2235" ht="15" customHeight="1">
      <c r="A2235" t="n">
        <v>45</v>
      </c>
      <c r="B2235" s="35">
        <f>IF(Setup!$B$14="","",Setup!$B$14)</f>
        <v/>
      </c>
      <c r="C2235" s="98" t="n"/>
      <c r="D2235" s="99" t="n"/>
      <c r="E2235" s="99" t="n"/>
      <c r="F2235" s="100" t="n"/>
      <c r="G2235" s="98" t="n"/>
      <c r="H2235" s="99" t="n"/>
      <c r="I2235" s="99" t="n"/>
      <c r="J2235" s="100" t="n"/>
      <c r="K2235" s="98" t="n"/>
      <c r="L2235" s="99" t="n"/>
      <c r="M2235" s="99" t="n"/>
      <c r="N2235" s="100" t="n"/>
      <c r="O2235" s="98" t="n"/>
      <c r="P2235" s="99" t="n"/>
      <c r="Q2235" s="99" t="n"/>
      <c r="R2235" s="100" t="n"/>
      <c r="S2235" s="98" t="n"/>
      <c r="T2235" s="99" t="n"/>
      <c r="U2235" s="99" t="n"/>
      <c r="V2235" s="100" t="n"/>
      <c r="W2235" s="98" t="n"/>
      <c r="X2235" s="100" t="n"/>
      <c r="Y2235" s="98" t="n"/>
      <c r="Z2235" s="100" t="n"/>
      <c r="AB2235" s="101">
        <f>IF($B2235="","",(COUNTIF(C2208:E2225,$B2235)+COUNTIF(C2208:E2225,$B2235&amp;" ~*")&gt;0)+(COUNTIF(G2208:I2225,$B2235)+COUNTIF(G2208:I2225,$B2235&amp;" ~*")&gt;0)+(COUNTIF(K2208:M2225,$B2235)+COUNTIF(K2208:M2225,$B2235&amp;" ~*")&gt;0)+(COUNTIF(O2208:Q2225,$B2235)+COUNTIF(O2208:Q2225,$B2235&amp;" ~*")&gt;0)+(COUNTIF(S2208:U2225,$B2235)+COUNTIF(S2208:U2225,$B2235&amp;" ~*")&gt;0)+(COUNTIF(W2208:W2225,$B2235)+COUNTIF(W2208:W2225,$B2235&amp;" ~*")&gt;0)+(COUNTIF(Y2208:Y2225,$B2235)+COUNTIF(Y2208:Y2225,$B2235&amp;" ~*")&gt;0))</f>
        <v/>
      </c>
      <c r="AC2235" s="36">
        <f>IF($B2235="","",(IFERROR(INDEX(Setup!$G$33:$G$40,MATCH(C2235,Setup!$B$33:$B$40,0)),0)=1)*(COUNTIF(C2208:E2225,$B2235)+COUNTIF(C2208:E2225,$B2235&amp;" ~*")&gt;0)+(IFERROR(INDEX(Setup!$G$33:$G$40,MATCH(G2235,Setup!$B$33:$B$40,0)),0)=1)*(COUNTIF(G2208:I2225,$B2235)+COUNTIF(G2208:I2225,$B2235&amp;" ~*")&gt;0)+(IFERROR(INDEX(Setup!$G$33:$G$40,MATCH(K2235,Setup!$B$33:$B$40,0)),0)=1)*(COUNTIF(K2208:M2225,$B2235)+COUNTIF(K2208:M2225,$B2235&amp;" ~*")&gt;0)+(IFERROR(INDEX(Setup!$G$33:$G$40,MATCH(O2235,Setup!$B$33:$B$40,0)),0)=1)*(COUNTIF(O2208:Q2225,$B2235)+COUNTIF(O2208:Q2225,$B2235&amp;" ~*")&gt;0)+(IFERROR(INDEX(Setup!$G$33:$G$40,MATCH(S2235,Setup!$B$33:$B$40,0)),0)=1)*(COUNTIF(S2208:U2225,$B2235)+COUNTIF(S2208:U2225,$B2235&amp;" ~*")&gt;0)+(IFERROR(INDEX(Setup!$G$33:$G$40,MATCH(W2235,Setup!$B$33:$B$40,0)),0)=1)*(COUNTIF(W2208:W2225,$B2235)+COUNTIF(W2208:W2225,$B2235&amp;" ~*")&gt;0)+(IFERROR(INDEX(Setup!$G$33:$G$40,MATCH(Y2235,Setup!$B$33:$B$40,0)),0)=1)*(COUNTIF(Y2208:Y2225,$B2235)+COUNTIF(Y2208:Y2225,$B2235&amp;" ~*")&gt;0))</f>
        <v/>
      </c>
    </row>
    <row r="2236" ht="15" customHeight="1">
      <c r="A2236" t="n">
        <v>45</v>
      </c>
      <c r="B2236" s="37">
        <f>IF(Setup!$B$15="","",Setup!$B$15)</f>
        <v/>
      </c>
      <c r="C2236" s="102" t="n"/>
      <c r="D2236" s="103" t="n"/>
      <c r="E2236" s="103" t="n"/>
      <c r="F2236" s="104" t="n"/>
      <c r="G2236" s="102" t="n"/>
      <c r="H2236" s="103" t="n"/>
      <c r="I2236" s="103" t="n"/>
      <c r="J2236" s="104" t="n"/>
      <c r="K2236" s="102" t="n"/>
      <c r="L2236" s="103" t="n"/>
      <c r="M2236" s="103" t="n"/>
      <c r="N2236" s="104" t="n"/>
      <c r="O2236" s="102" t="n"/>
      <c r="P2236" s="103" t="n"/>
      <c r="Q2236" s="103" t="n"/>
      <c r="R2236" s="104" t="n"/>
      <c r="S2236" s="102" t="n"/>
      <c r="T2236" s="103" t="n"/>
      <c r="U2236" s="103" t="n"/>
      <c r="V2236" s="104" t="n"/>
      <c r="W2236" s="102" t="n"/>
      <c r="X2236" s="104" t="n"/>
      <c r="Y2236" s="102" t="n"/>
      <c r="Z2236" s="104" t="n"/>
      <c r="AB2236" s="105">
        <f>IF($B2236="","",(COUNTIF(C2208:E2225,$B2236)+COUNTIF(C2208:E2225,$B2236&amp;" ~*")&gt;0)+(COUNTIF(G2208:I2225,$B2236)+COUNTIF(G2208:I2225,$B2236&amp;" ~*")&gt;0)+(COUNTIF(K2208:M2225,$B2236)+COUNTIF(K2208:M2225,$B2236&amp;" ~*")&gt;0)+(COUNTIF(O2208:Q2225,$B2236)+COUNTIF(O2208:Q2225,$B2236&amp;" ~*")&gt;0)+(COUNTIF(S2208:U2225,$B2236)+COUNTIF(S2208:U2225,$B2236&amp;" ~*")&gt;0)+(COUNTIF(W2208:W2225,$B2236)+COUNTIF(W2208:W2225,$B2236&amp;" ~*")&gt;0)+(COUNTIF(Y2208:Y2225,$B2236)+COUNTIF(Y2208:Y2225,$B2236&amp;" ~*")&gt;0))</f>
        <v/>
      </c>
      <c r="AC2236" s="38">
        <f>IF($B2236="","",(IFERROR(INDEX(Setup!$G$33:$G$40,MATCH(C2236,Setup!$B$33:$B$40,0)),0)=1)*(COUNTIF(C2208:E2225,$B2236)+COUNTIF(C2208:E2225,$B2236&amp;" ~*")&gt;0)+(IFERROR(INDEX(Setup!$G$33:$G$40,MATCH(G2236,Setup!$B$33:$B$40,0)),0)=1)*(COUNTIF(G2208:I2225,$B2236)+COUNTIF(G2208:I2225,$B2236&amp;" ~*")&gt;0)+(IFERROR(INDEX(Setup!$G$33:$G$40,MATCH(K2236,Setup!$B$33:$B$40,0)),0)=1)*(COUNTIF(K2208:M2225,$B2236)+COUNTIF(K2208:M2225,$B2236&amp;" ~*")&gt;0)+(IFERROR(INDEX(Setup!$G$33:$G$40,MATCH(O2236,Setup!$B$33:$B$40,0)),0)=1)*(COUNTIF(O2208:Q2225,$B2236)+COUNTIF(O2208:Q2225,$B2236&amp;" ~*")&gt;0)+(IFERROR(INDEX(Setup!$G$33:$G$40,MATCH(S2236,Setup!$B$33:$B$40,0)),0)=1)*(COUNTIF(S2208:U2225,$B2236)+COUNTIF(S2208:U2225,$B2236&amp;" ~*")&gt;0)+(IFERROR(INDEX(Setup!$G$33:$G$40,MATCH(W2236,Setup!$B$33:$B$40,0)),0)=1)*(COUNTIF(W2208:W2225,$B2236)+COUNTIF(W2208:W2225,$B2236&amp;" ~*")&gt;0)+(IFERROR(INDEX(Setup!$G$33:$G$40,MATCH(Y2236,Setup!$B$33:$B$40,0)),0)=1)*(COUNTIF(Y2208:Y2225,$B2236)+COUNTIF(Y2208:Y2225,$B2236&amp;" ~*")&gt;0))</f>
        <v/>
      </c>
    </row>
    <row r="2237" ht="15" customHeight="1">
      <c r="A2237" t="n">
        <v>45</v>
      </c>
      <c r="B2237" s="35">
        <f>IF(Setup!$B$16="","",Setup!$B$16)</f>
        <v/>
      </c>
      <c r="C2237" s="98" t="n"/>
      <c r="D2237" s="99" t="n"/>
      <c r="E2237" s="99" t="n"/>
      <c r="F2237" s="100" t="n"/>
      <c r="G2237" s="98" t="n"/>
      <c r="H2237" s="99" t="n"/>
      <c r="I2237" s="99" t="n"/>
      <c r="J2237" s="100" t="n"/>
      <c r="K2237" s="98" t="n"/>
      <c r="L2237" s="99" t="n"/>
      <c r="M2237" s="99" t="n"/>
      <c r="N2237" s="100" t="n"/>
      <c r="O2237" s="98" t="n"/>
      <c r="P2237" s="99" t="n"/>
      <c r="Q2237" s="99" t="n"/>
      <c r="R2237" s="100" t="n"/>
      <c r="S2237" s="98" t="n"/>
      <c r="T2237" s="99" t="n"/>
      <c r="U2237" s="99" t="n"/>
      <c r="V2237" s="100" t="n"/>
      <c r="W2237" s="98" t="n"/>
      <c r="X2237" s="100" t="n"/>
      <c r="Y2237" s="98" t="n"/>
      <c r="Z2237" s="100" t="n"/>
      <c r="AB2237" s="101">
        <f>IF($B2237="","",(COUNTIF(C2208:E2225,$B2237)+COUNTIF(C2208:E2225,$B2237&amp;" ~*")&gt;0)+(COUNTIF(G2208:I2225,$B2237)+COUNTIF(G2208:I2225,$B2237&amp;" ~*")&gt;0)+(COUNTIF(K2208:M2225,$B2237)+COUNTIF(K2208:M2225,$B2237&amp;" ~*")&gt;0)+(COUNTIF(O2208:Q2225,$B2237)+COUNTIF(O2208:Q2225,$B2237&amp;" ~*")&gt;0)+(COUNTIF(S2208:U2225,$B2237)+COUNTIF(S2208:U2225,$B2237&amp;" ~*")&gt;0)+(COUNTIF(W2208:W2225,$B2237)+COUNTIF(W2208:W2225,$B2237&amp;" ~*")&gt;0)+(COUNTIF(Y2208:Y2225,$B2237)+COUNTIF(Y2208:Y2225,$B2237&amp;" ~*")&gt;0))</f>
        <v/>
      </c>
      <c r="AC2237" s="36">
        <f>IF($B2237="","",(IFERROR(INDEX(Setup!$G$33:$G$40,MATCH(C2237,Setup!$B$33:$B$40,0)),0)=1)*(COUNTIF(C2208:E2225,$B2237)+COUNTIF(C2208:E2225,$B2237&amp;" ~*")&gt;0)+(IFERROR(INDEX(Setup!$G$33:$G$40,MATCH(G2237,Setup!$B$33:$B$40,0)),0)=1)*(COUNTIF(G2208:I2225,$B2237)+COUNTIF(G2208:I2225,$B2237&amp;" ~*")&gt;0)+(IFERROR(INDEX(Setup!$G$33:$G$40,MATCH(K2237,Setup!$B$33:$B$40,0)),0)=1)*(COUNTIF(K2208:M2225,$B2237)+COUNTIF(K2208:M2225,$B2237&amp;" ~*")&gt;0)+(IFERROR(INDEX(Setup!$G$33:$G$40,MATCH(O2237,Setup!$B$33:$B$40,0)),0)=1)*(COUNTIF(O2208:Q2225,$B2237)+COUNTIF(O2208:Q2225,$B2237&amp;" ~*")&gt;0)+(IFERROR(INDEX(Setup!$G$33:$G$40,MATCH(S2237,Setup!$B$33:$B$40,0)),0)=1)*(COUNTIF(S2208:U2225,$B2237)+COUNTIF(S2208:U2225,$B2237&amp;" ~*")&gt;0)+(IFERROR(INDEX(Setup!$G$33:$G$40,MATCH(W2237,Setup!$B$33:$B$40,0)),0)=1)*(COUNTIF(W2208:W2225,$B2237)+COUNTIF(W2208:W2225,$B2237&amp;" ~*")&gt;0)+(IFERROR(INDEX(Setup!$G$33:$G$40,MATCH(Y2237,Setup!$B$33:$B$40,0)),0)=1)*(COUNTIF(Y2208:Y2225,$B2237)+COUNTIF(Y2208:Y2225,$B2237&amp;" ~*")&gt;0))</f>
        <v/>
      </c>
    </row>
    <row r="2238" ht="15" customHeight="1">
      <c r="A2238" t="n">
        <v>45</v>
      </c>
      <c r="B2238" s="37">
        <f>IF(Setup!$B$17="","",Setup!$B$17)</f>
        <v/>
      </c>
      <c r="C2238" s="102" t="n"/>
      <c r="D2238" s="103" t="n"/>
      <c r="E2238" s="103" t="n"/>
      <c r="F2238" s="104" t="n"/>
      <c r="G2238" s="102" t="n"/>
      <c r="H2238" s="103" t="n"/>
      <c r="I2238" s="103" t="n"/>
      <c r="J2238" s="104" t="n"/>
      <c r="K2238" s="102" t="n"/>
      <c r="L2238" s="103" t="n"/>
      <c r="M2238" s="103" t="n"/>
      <c r="N2238" s="104" t="n"/>
      <c r="O2238" s="102" t="n"/>
      <c r="P2238" s="103" t="n"/>
      <c r="Q2238" s="103" t="n"/>
      <c r="R2238" s="104" t="n"/>
      <c r="S2238" s="102" t="n"/>
      <c r="T2238" s="103" t="n"/>
      <c r="U2238" s="103" t="n"/>
      <c r="V2238" s="104" t="n"/>
      <c r="W2238" s="102" t="n"/>
      <c r="X2238" s="104" t="n"/>
      <c r="Y2238" s="102" t="n"/>
      <c r="Z2238" s="104" t="n"/>
      <c r="AB2238" s="105">
        <f>IF($B2238="","",(COUNTIF(C2208:E2225,$B2238)+COUNTIF(C2208:E2225,$B2238&amp;" ~*")&gt;0)+(COUNTIF(G2208:I2225,$B2238)+COUNTIF(G2208:I2225,$B2238&amp;" ~*")&gt;0)+(COUNTIF(K2208:M2225,$B2238)+COUNTIF(K2208:M2225,$B2238&amp;" ~*")&gt;0)+(COUNTIF(O2208:Q2225,$B2238)+COUNTIF(O2208:Q2225,$B2238&amp;" ~*")&gt;0)+(COUNTIF(S2208:U2225,$B2238)+COUNTIF(S2208:U2225,$B2238&amp;" ~*")&gt;0)+(COUNTIF(W2208:W2225,$B2238)+COUNTIF(W2208:W2225,$B2238&amp;" ~*")&gt;0)+(COUNTIF(Y2208:Y2225,$B2238)+COUNTIF(Y2208:Y2225,$B2238&amp;" ~*")&gt;0))</f>
        <v/>
      </c>
      <c r="AC2238" s="38">
        <f>IF($B2238="","",(IFERROR(INDEX(Setup!$G$33:$G$40,MATCH(C2238,Setup!$B$33:$B$40,0)),0)=1)*(COUNTIF(C2208:E2225,$B2238)+COUNTIF(C2208:E2225,$B2238&amp;" ~*")&gt;0)+(IFERROR(INDEX(Setup!$G$33:$G$40,MATCH(G2238,Setup!$B$33:$B$40,0)),0)=1)*(COUNTIF(G2208:I2225,$B2238)+COUNTIF(G2208:I2225,$B2238&amp;" ~*")&gt;0)+(IFERROR(INDEX(Setup!$G$33:$G$40,MATCH(K2238,Setup!$B$33:$B$40,0)),0)=1)*(COUNTIF(K2208:M2225,$B2238)+COUNTIF(K2208:M2225,$B2238&amp;" ~*")&gt;0)+(IFERROR(INDEX(Setup!$G$33:$G$40,MATCH(O2238,Setup!$B$33:$B$40,0)),0)=1)*(COUNTIF(O2208:Q2225,$B2238)+COUNTIF(O2208:Q2225,$B2238&amp;" ~*")&gt;0)+(IFERROR(INDEX(Setup!$G$33:$G$40,MATCH(S2238,Setup!$B$33:$B$40,0)),0)=1)*(COUNTIF(S2208:U2225,$B2238)+COUNTIF(S2208:U2225,$B2238&amp;" ~*")&gt;0)+(IFERROR(INDEX(Setup!$G$33:$G$40,MATCH(W2238,Setup!$B$33:$B$40,0)),0)=1)*(COUNTIF(W2208:W2225,$B2238)+COUNTIF(W2208:W2225,$B2238&amp;" ~*")&gt;0)+(IFERROR(INDEX(Setup!$G$33:$G$40,MATCH(Y2238,Setup!$B$33:$B$40,0)),0)=1)*(COUNTIF(Y2208:Y2225,$B2238)+COUNTIF(Y2208:Y2225,$B2238&amp;" ~*")&gt;0))</f>
        <v/>
      </c>
    </row>
    <row r="2239" ht="15" customHeight="1">
      <c r="A2239" t="n">
        <v>45</v>
      </c>
      <c r="B2239" s="35">
        <f>IF(Setup!$B$18="","",Setup!$B$18)</f>
        <v/>
      </c>
      <c r="C2239" s="98" t="n"/>
      <c r="D2239" s="99" t="n"/>
      <c r="E2239" s="99" t="n"/>
      <c r="F2239" s="100" t="n"/>
      <c r="G2239" s="98" t="n"/>
      <c r="H2239" s="99" t="n"/>
      <c r="I2239" s="99" t="n"/>
      <c r="J2239" s="100" t="n"/>
      <c r="K2239" s="98" t="n"/>
      <c r="L2239" s="99" t="n"/>
      <c r="M2239" s="99" t="n"/>
      <c r="N2239" s="100" t="n"/>
      <c r="O2239" s="98" t="n"/>
      <c r="P2239" s="99" t="n"/>
      <c r="Q2239" s="99" t="n"/>
      <c r="R2239" s="100" t="n"/>
      <c r="S2239" s="98" t="n"/>
      <c r="T2239" s="99" t="n"/>
      <c r="U2239" s="99" t="n"/>
      <c r="V2239" s="100" t="n"/>
      <c r="W2239" s="98" t="n"/>
      <c r="X2239" s="100" t="n"/>
      <c r="Y2239" s="98" t="n"/>
      <c r="Z2239" s="100" t="n"/>
      <c r="AB2239" s="101">
        <f>IF($B2239="","",(COUNTIF(C2208:E2225,$B2239)+COUNTIF(C2208:E2225,$B2239&amp;" ~*")&gt;0)+(COUNTIF(G2208:I2225,$B2239)+COUNTIF(G2208:I2225,$B2239&amp;" ~*")&gt;0)+(COUNTIF(K2208:M2225,$B2239)+COUNTIF(K2208:M2225,$B2239&amp;" ~*")&gt;0)+(COUNTIF(O2208:Q2225,$B2239)+COUNTIF(O2208:Q2225,$B2239&amp;" ~*")&gt;0)+(COUNTIF(S2208:U2225,$B2239)+COUNTIF(S2208:U2225,$B2239&amp;" ~*")&gt;0)+(COUNTIF(W2208:W2225,$B2239)+COUNTIF(W2208:W2225,$B2239&amp;" ~*")&gt;0)+(COUNTIF(Y2208:Y2225,$B2239)+COUNTIF(Y2208:Y2225,$B2239&amp;" ~*")&gt;0))</f>
        <v/>
      </c>
      <c r="AC2239" s="36">
        <f>IF($B2239="","",(IFERROR(INDEX(Setup!$G$33:$G$40,MATCH(C2239,Setup!$B$33:$B$40,0)),0)=1)*(COUNTIF(C2208:E2225,$B2239)+COUNTIF(C2208:E2225,$B2239&amp;" ~*")&gt;0)+(IFERROR(INDEX(Setup!$G$33:$G$40,MATCH(G2239,Setup!$B$33:$B$40,0)),0)=1)*(COUNTIF(G2208:I2225,$B2239)+COUNTIF(G2208:I2225,$B2239&amp;" ~*")&gt;0)+(IFERROR(INDEX(Setup!$G$33:$G$40,MATCH(K2239,Setup!$B$33:$B$40,0)),0)=1)*(COUNTIF(K2208:M2225,$B2239)+COUNTIF(K2208:M2225,$B2239&amp;" ~*")&gt;0)+(IFERROR(INDEX(Setup!$G$33:$G$40,MATCH(O2239,Setup!$B$33:$B$40,0)),0)=1)*(COUNTIF(O2208:Q2225,$B2239)+COUNTIF(O2208:Q2225,$B2239&amp;" ~*")&gt;0)+(IFERROR(INDEX(Setup!$G$33:$G$40,MATCH(S2239,Setup!$B$33:$B$40,0)),0)=1)*(COUNTIF(S2208:U2225,$B2239)+COUNTIF(S2208:U2225,$B2239&amp;" ~*")&gt;0)+(IFERROR(INDEX(Setup!$G$33:$G$40,MATCH(W2239,Setup!$B$33:$B$40,0)),0)=1)*(COUNTIF(W2208:W2225,$B2239)+COUNTIF(W2208:W2225,$B2239&amp;" ~*")&gt;0)+(IFERROR(INDEX(Setup!$G$33:$G$40,MATCH(Y2239,Setup!$B$33:$B$40,0)),0)=1)*(COUNTIF(Y2208:Y2225,$B2239)+COUNTIF(Y2208:Y2225,$B2239&amp;" ~*")&gt;0))</f>
        <v/>
      </c>
    </row>
    <row r="2240" ht="15" customHeight="1">
      <c r="A2240" t="n">
        <v>45</v>
      </c>
      <c r="B2240" s="37">
        <f>IF(Setup!$B$19="","",Setup!$B$19)</f>
        <v/>
      </c>
      <c r="C2240" s="102" t="n"/>
      <c r="D2240" s="103" t="n"/>
      <c r="E2240" s="103" t="n"/>
      <c r="F2240" s="104" t="n"/>
      <c r="G2240" s="102" t="n"/>
      <c r="H2240" s="103" t="n"/>
      <c r="I2240" s="103" t="n"/>
      <c r="J2240" s="104" t="n"/>
      <c r="K2240" s="102" t="n"/>
      <c r="L2240" s="103" t="n"/>
      <c r="M2240" s="103" t="n"/>
      <c r="N2240" s="104" t="n"/>
      <c r="O2240" s="102" t="n"/>
      <c r="P2240" s="103" t="n"/>
      <c r="Q2240" s="103" t="n"/>
      <c r="R2240" s="104" t="n"/>
      <c r="S2240" s="102" t="n"/>
      <c r="T2240" s="103" t="n"/>
      <c r="U2240" s="103" t="n"/>
      <c r="V2240" s="104" t="n"/>
      <c r="W2240" s="102" t="n"/>
      <c r="X2240" s="104" t="n"/>
      <c r="Y2240" s="102" t="n"/>
      <c r="Z2240" s="104" t="n"/>
      <c r="AB2240" s="105">
        <f>IF($B2240="","",(COUNTIF(C2208:E2225,$B2240)+COUNTIF(C2208:E2225,$B2240&amp;" ~*")&gt;0)+(COUNTIF(G2208:I2225,$B2240)+COUNTIF(G2208:I2225,$B2240&amp;" ~*")&gt;0)+(COUNTIF(K2208:M2225,$B2240)+COUNTIF(K2208:M2225,$B2240&amp;" ~*")&gt;0)+(COUNTIF(O2208:Q2225,$B2240)+COUNTIF(O2208:Q2225,$B2240&amp;" ~*")&gt;0)+(COUNTIF(S2208:U2225,$B2240)+COUNTIF(S2208:U2225,$B2240&amp;" ~*")&gt;0)+(COUNTIF(W2208:W2225,$B2240)+COUNTIF(W2208:W2225,$B2240&amp;" ~*")&gt;0)+(COUNTIF(Y2208:Y2225,$B2240)+COUNTIF(Y2208:Y2225,$B2240&amp;" ~*")&gt;0))</f>
        <v/>
      </c>
      <c r="AC2240" s="38">
        <f>IF($B2240="","",(IFERROR(INDEX(Setup!$G$33:$G$40,MATCH(C2240,Setup!$B$33:$B$40,0)),0)=1)*(COUNTIF(C2208:E2225,$B2240)+COUNTIF(C2208:E2225,$B2240&amp;" ~*")&gt;0)+(IFERROR(INDEX(Setup!$G$33:$G$40,MATCH(G2240,Setup!$B$33:$B$40,0)),0)=1)*(COUNTIF(G2208:I2225,$B2240)+COUNTIF(G2208:I2225,$B2240&amp;" ~*")&gt;0)+(IFERROR(INDEX(Setup!$G$33:$G$40,MATCH(K2240,Setup!$B$33:$B$40,0)),0)=1)*(COUNTIF(K2208:M2225,$B2240)+COUNTIF(K2208:M2225,$B2240&amp;" ~*")&gt;0)+(IFERROR(INDEX(Setup!$G$33:$G$40,MATCH(O2240,Setup!$B$33:$B$40,0)),0)=1)*(COUNTIF(O2208:Q2225,$B2240)+COUNTIF(O2208:Q2225,$B2240&amp;" ~*")&gt;0)+(IFERROR(INDEX(Setup!$G$33:$G$40,MATCH(S2240,Setup!$B$33:$B$40,0)),0)=1)*(COUNTIF(S2208:U2225,$B2240)+COUNTIF(S2208:U2225,$B2240&amp;" ~*")&gt;0)+(IFERROR(INDEX(Setup!$G$33:$G$40,MATCH(W2240,Setup!$B$33:$B$40,0)),0)=1)*(COUNTIF(W2208:W2225,$B2240)+COUNTIF(W2208:W2225,$B2240&amp;" ~*")&gt;0)+(IFERROR(INDEX(Setup!$G$33:$G$40,MATCH(Y2240,Setup!$B$33:$B$40,0)),0)=1)*(COUNTIF(Y2208:Y2225,$B2240)+COUNTIF(Y2208:Y2225,$B2240&amp;" ~*")&gt;0))</f>
        <v/>
      </c>
    </row>
    <row r="2241" ht="15" customHeight="1">
      <c r="A2241" t="n">
        <v>45</v>
      </c>
      <c r="B2241" s="35">
        <f>IF(Setup!$B$20="","",Setup!$B$20)</f>
        <v/>
      </c>
      <c r="C2241" s="98" t="n"/>
      <c r="D2241" s="99" t="n"/>
      <c r="E2241" s="99" t="n"/>
      <c r="F2241" s="100" t="n"/>
      <c r="G2241" s="98" t="n"/>
      <c r="H2241" s="99" t="n"/>
      <c r="I2241" s="99" t="n"/>
      <c r="J2241" s="100" t="n"/>
      <c r="K2241" s="98" t="n"/>
      <c r="L2241" s="99" t="n"/>
      <c r="M2241" s="99" t="n"/>
      <c r="N2241" s="100" t="n"/>
      <c r="O2241" s="98" t="n"/>
      <c r="P2241" s="99" t="n"/>
      <c r="Q2241" s="99" t="n"/>
      <c r="R2241" s="100" t="n"/>
      <c r="S2241" s="98" t="n"/>
      <c r="T2241" s="99" t="n"/>
      <c r="U2241" s="99" t="n"/>
      <c r="V2241" s="100" t="n"/>
      <c r="W2241" s="98" t="n"/>
      <c r="X2241" s="100" t="n"/>
      <c r="Y2241" s="98" t="n"/>
      <c r="Z2241" s="100" t="n"/>
      <c r="AB2241" s="101">
        <f>IF($B2241="","",(COUNTIF(C2208:E2225,$B2241)+COUNTIF(C2208:E2225,$B2241&amp;" ~*")&gt;0)+(COUNTIF(G2208:I2225,$B2241)+COUNTIF(G2208:I2225,$B2241&amp;" ~*")&gt;0)+(COUNTIF(K2208:M2225,$B2241)+COUNTIF(K2208:M2225,$B2241&amp;" ~*")&gt;0)+(COUNTIF(O2208:Q2225,$B2241)+COUNTIF(O2208:Q2225,$B2241&amp;" ~*")&gt;0)+(COUNTIF(S2208:U2225,$B2241)+COUNTIF(S2208:U2225,$B2241&amp;" ~*")&gt;0)+(COUNTIF(W2208:W2225,$B2241)+COUNTIF(W2208:W2225,$B2241&amp;" ~*")&gt;0)+(COUNTIF(Y2208:Y2225,$B2241)+COUNTIF(Y2208:Y2225,$B2241&amp;" ~*")&gt;0))</f>
        <v/>
      </c>
      <c r="AC2241" s="36">
        <f>IF($B2241="","",(IFERROR(INDEX(Setup!$G$33:$G$40,MATCH(C2241,Setup!$B$33:$B$40,0)),0)=1)*(COUNTIF(C2208:E2225,$B2241)+COUNTIF(C2208:E2225,$B2241&amp;" ~*")&gt;0)+(IFERROR(INDEX(Setup!$G$33:$G$40,MATCH(G2241,Setup!$B$33:$B$40,0)),0)=1)*(COUNTIF(G2208:I2225,$B2241)+COUNTIF(G2208:I2225,$B2241&amp;" ~*")&gt;0)+(IFERROR(INDEX(Setup!$G$33:$G$40,MATCH(K2241,Setup!$B$33:$B$40,0)),0)=1)*(COUNTIF(K2208:M2225,$B2241)+COUNTIF(K2208:M2225,$B2241&amp;" ~*")&gt;0)+(IFERROR(INDEX(Setup!$G$33:$G$40,MATCH(O2241,Setup!$B$33:$B$40,0)),0)=1)*(COUNTIF(O2208:Q2225,$B2241)+COUNTIF(O2208:Q2225,$B2241&amp;" ~*")&gt;0)+(IFERROR(INDEX(Setup!$G$33:$G$40,MATCH(S2241,Setup!$B$33:$B$40,0)),0)=1)*(COUNTIF(S2208:U2225,$B2241)+COUNTIF(S2208:U2225,$B2241&amp;" ~*")&gt;0)+(IFERROR(INDEX(Setup!$G$33:$G$40,MATCH(W2241,Setup!$B$33:$B$40,0)),0)=1)*(COUNTIF(W2208:W2225,$B2241)+COUNTIF(W2208:W2225,$B2241&amp;" ~*")&gt;0)+(IFERROR(INDEX(Setup!$G$33:$G$40,MATCH(Y2241,Setup!$B$33:$B$40,0)),0)=1)*(COUNTIF(Y2208:Y2225,$B2241)+COUNTIF(Y2208:Y2225,$B2241&amp;" ~*")&gt;0))</f>
        <v/>
      </c>
    </row>
    <row r="2242" ht="15" customHeight="1">
      <c r="A2242" t="n">
        <v>45</v>
      </c>
      <c r="B2242" s="37">
        <f>IF(Setup!$B$21="","",Setup!$B$21)</f>
        <v/>
      </c>
      <c r="C2242" s="102" t="n"/>
      <c r="D2242" s="103" t="n"/>
      <c r="E2242" s="103" t="n"/>
      <c r="F2242" s="104" t="n"/>
      <c r="G2242" s="102" t="n"/>
      <c r="H2242" s="103" t="n"/>
      <c r="I2242" s="103" t="n"/>
      <c r="J2242" s="104" t="n"/>
      <c r="K2242" s="102" t="n"/>
      <c r="L2242" s="103" t="n"/>
      <c r="M2242" s="103" t="n"/>
      <c r="N2242" s="104" t="n"/>
      <c r="O2242" s="102" t="n"/>
      <c r="P2242" s="103" t="n"/>
      <c r="Q2242" s="103" t="n"/>
      <c r="R2242" s="104" t="n"/>
      <c r="S2242" s="102" t="n"/>
      <c r="T2242" s="103" t="n"/>
      <c r="U2242" s="103" t="n"/>
      <c r="V2242" s="104" t="n"/>
      <c r="W2242" s="102" t="n"/>
      <c r="X2242" s="104" t="n"/>
      <c r="Y2242" s="102" t="n"/>
      <c r="Z2242" s="104" t="n"/>
      <c r="AB2242" s="105">
        <f>IF($B2242="","",(COUNTIF(C2208:E2225,$B2242)+COUNTIF(C2208:E2225,$B2242&amp;" ~*")&gt;0)+(COUNTIF(G2208:I2225,$B2242)+COUNTIF(G2208:I2225,$B2242&amp;" ~*")&gt;0)+(COUNTIF(K2208:M2225,$B2242)+COUNTIF(K2208:M2225,$B2242&amp;" ~*")&gt;0)+(COUNTIF(O2208:Q2225,$B2242)+COUNTIF(O2208:Q2225,$B2242&amp;" ~*")&gt;0)+(COUNTIF(S2208:U2225,$B2242)+COUNTIF(S2208:U2225,$B2242&amp;" ~*")&gt;0)+(COUNTIF(W2208:W2225,$B2242)+COUNTIF(W2208:W2225,$B2242&amp;" ~*")&gt;0)+(COUNTIF(Y2208:Y2225,$B2242)+COUNTIF(Y2208:Y2225,$B2242&amp;" ~*")&gt;0))</f>
        <v/>
      </c>
      <c r="AC2242" s="38">
        <f>IF($B2242="","",(IFERROR(INDEX(Setup!$G$33:$G$40,MATCH(C2242,Setup!$B$33:$B$40,0)),0)=1)*(COUNTIF(C2208:E2225,$B2242)+COUNTIF(C2208:E2225,$B2242&amp;" ~*")&gt;0)+(IFERROR(INDEX(Setup!$G$33:$G$40,MATCH(G2242,Setup!$B$33:$B$40,0)),0)=1)*(COUNTIF(G2208:I2225,$B2242)+COUNTIF(G2208:I2225,$B2242&amp;" ~*")&gt;0)+(IFERROR(INDEX(Setup!$G$33:$G$40,MATCH(K2242,Setup!$B$33:$B$40,0)),0)=1)*(COUNTIF(K2208:M2225,$B2242)+COUNTIF(K2208:M2225,$B2242&amp;" ~*")&gt;0)+(IFERROR(INDEX(Setup!$G$33:$G$40,MATCH(O2242,Setup!$B$33:$B$40,0)),0)=1)*(COUNTIF(O2208:Q2225,$B2242)+COUNTIF(O2208:Q2225,$B2242&amp;" ~*")&gt;0)+(IFERROR(INDEX(Setup!$G$33:$G$40,MATCH(S2242,Setup!$B$33:$B$40,0)),0)=1)*(COUNTIF(S2208:U2225,$B2242)+COUNTIF(S2208:U2225,$B2242&amp;" ~*")&gt;0)+(IFERROR(INDEX(Setup!$G$33:$G$40,MATCH(W2242,Setup!$B$33:$B$40,0)),0)=1)*(COUNTIF(W2208:W2225,$B2242)+COUNTIF(W2208:W2225,$B2242&amp;" ~*")&gt;0)+(IFERROR(INDEX(Setup!$G$33:$G$40,MATCH(Y2242,Setup!$B$33:$B$40,0)),0)=1)*(COUNTIF(Y2208:Y2225,$B2242)+COUNTIF(Y2208:Y2225,$B2242&amp;" ~*")&gt;0))</f>
        <v/>
      </c>
    </row>
    <row r="2243" ht="15" customHeight="1">
      <c r="A2243" t="n">
        <v>45</v>
      </c>
      <c r="B2243" s="35">
        <f>IF(Setup!$B$22="","",Setup!$B$22)</f>
        <v/>
      </c>
      <c r="C2243" s="98" t="n"/>
      <c r="D2243" s="99" t="n"/>
      <c r="E2243" s="99" t="n"/>
      <c r="F2243" s="100" t="n"/>
      <c r="G2243" s="98" t="n"/>
      <c r="H2243" s="99" t="n"/>
      <c r="I2243" s="99" t="n"/>
      <c r="J2243" s="100" t="n"/>
      <c r="K2243" s="98" t="n"/>
      <c r="L2243" s="99" t="n"/>
      <c r="M2243" s="99" t="n"/>
      <c r="N2243" s="100" t="n"/>
      <c r="O2243" s="98" t="n"/>
      <c r="P2243" s="99" t="n"/>
      <c r="Q2243" s="99" t="n"/>
      <c r="R2243" s="100" t="n"/>
      <c r="S2243" s="98" t="n"/>
      <c r="T2243" s="99" t="n"/>
      <c r="U2243" s="99" t="n"/>
      <c r="V2243" s="100" t="n"/>
      <c r="W2243" s="98" t="n"/>
      <c r="X2243" s="100" t="n"/>
      <c r="Y2243" s="98" t="n"/>
      <c r="Z2243" s="100" t="n"/>
      <c r="AB2243" s="101">
        <f>IF($B2243="","",(COUNTIF(C2208:E2225,$B2243)+COUNTIF(C2208:E2225,$B2243&amp;" ~*")&gt;0)+(COUNTIF(G2208:I2225,$B2243)+COUNTIF(G2208:I2225,$B2243&amp;" ~*")&gt;0)+(COUNTIF(K2208:M2225,$B2243)+COUNTIF(K2208:M2225,$B2243&amp;" ~*")&gt;0)+(COUNTIF(O2208:Q2225,$B2243)+COUNTIF(O2208:Q2225,$B2243&amp;" ~*")&gt;0)+(COUNTIF(S2208:U2225,$B2243)+COUNTIF(S2208:U2225,$B2243&amp;" ~*")&gt;0)+(COUNTIF(W2208:W2225,$B2243)+COUNTIF(W2208:W2225,$B2243&amp;" ~*")&gt;0)+(COUNTIF(Y2208:Y2225,$B2243)+COUNTIF(Y2208:Y2225,$B2243&amp;" ~*")&gt;0))</f>
        <v/>
      </c>
      <c r="AC2243" s="36">
        <f>IF($B2243="","",(IFERROR(INDEX(Setup!$G$33:$G$40,MATCH(C2243,Setup!$B$33:$B$40,0)),0)=1)*(COUNTIF(C2208:E2225,$B2243)+COUNTIF(C2208:E2225,$B2243&amp;" ~*")&gt;0)+(IFERROR(INDEX(Setup!$G$33:$G$40,MATCH(G2243,Setup!$B$33:$B$40,0)),0)=1)*(COUNTIF(G2208:I2225,$B2243)+COUNTIF(G2208:I2225,$B2243&amp;" ~*")&gt;0)+(IFERROR(INDEX(Setup!$G$33:$G$40,MATCH(K2243,Setup!$B$33:$B$40,0)),0)=1)*(COUNTIF(K2208:M2225,$B2243)+COUNTIF(K2208:M2225,$B2243&amp;" ~*")&gt;0)+(IFERROR(INDEX(Setup!$G$33:$G$40,MATCH(O2243,Setup!$B$33:$B$40,0)),0)=1)*(COUNTIF(O2208:Q2225,$B2243)+COUNTIF(O2208:Q2225,$B2243&amp;" ~*")&gt;0)+(IFERROR(INDEX(Setup!$G$33:$G$40,MATCH(S2243,Setup!$B$33:$B$40,0)),0)=1)*(COUNTIF(S2208:U2225,$B2243)+COUNTIF(S2208:U2225,$B2243&amp;" ~*")&gt;0)+(IFERROR(INDEX(Setup!$G$33:$G$40,MATCH(W2243,Setup!$B$33:$B$40,0)),0)=1)*(COUNTIF(W2208:W2225,$B2243)+COUNTIF(W2208:W2225,$B2243&amp;" ~*")&gt;0)+(IFERROR(INDEX(Setup!$G$33:$G$40,MATCH(Y2243,Setup!$B$33:$B$40,0)),0)=1)*(COUNTIF(Y2208:Y2225,$B2243)+COUNTIF(Y2208:Y2225,$B2243&amp;" ~*")&gt;0))</f>
        <v/>
      </c>
    </row>
    <row r="2244" ht="15" customHeight="1">
      <c r="A2244" t="n">
        <v>45</v>
      </c>
      <c r="B2244" s="37">
        <f>IF(Setup!$B$23="","",Setup!$B$23)</f>
        <v/>
      </c>
      <c r="C2244" s="102" t="n"/>
      <c r="D2244" s="103" t="n"/>
      <c r="E2244" s="103" t="n"/>
      <c r="F2244" s="104" t="n"/>
      <c r="G2244" s="102" t="n"/>
      <c r="H2244" s="103" t="n"/>
      <c r="I2244" s="103" t="n"/>
      <c r="J2244" s="104" t="n"/>
      <c r="K2244" s="102" t="n"/>
      <c r="L2244" s="103" t="n"/>
      <c r="M2244" s="103" t="n"/>
      <c r="N2244" s="104" t="n"/>
      <c r="O2244" s="102" t="n"/>
      <c r="P2244" s="103" t="n"/>
      <c r="Q2244" s="103" t="n"/>
      <c r="R2244" s="104" t="n"/>
      <c r="S2244" s="102" t="n"/>
      <c r="T2244" s="103" t="n"/>
      <c r="U2244" s="103" t="n"/>
      <c r="V2244" s="104" t="n"/>
      <c r="W2244" s="102" t="n"/>
      <c r="X2244" s="104" t="n"/>
      <c r="Y2244" s="102" t="n"/>
      <c r="Z2244" s="104" t="n"/>
      <c r="AB2244" s="105">
        <f>IF($B2244="","",(COUNTIF(C2208:E2225,$B2244)+COUNTIF(C2208:E2225,$B2244&amp;" ~*")&gt;0)+(COUNTIF(G2208:I2225,$B2244)+COUNTIF(G2208:I2225,$B2244&amp;" ~*")&gt;0)+(COUNTIF(K2208:M2225,$B2244)+COUNTIF(K2208:M2225,$B2244&amp;" ~*")&gt;0)+(COUNTIF(O2208:Q2225,$B2244)+COUNTIF(O2208:Q2225,$B2244&amp;" ~*")&gt;0)+(COUNTIF(S2208:U2225,$B2244)+COUNTIF(S2208:U2225,$B2244&amp;" ~*")&gt;0)+(COUNTIF(W2208:W2225,$B2244)+COUNTIF(W2208:W2225,$B2244&amp;" ~*")&gt;0)+(COUNTIF(Y2208:Y2225,$B2244)+COUNTIF(Y2208:Y2225,$B2244&amp;" ~*")&gt;0))</f>
        <v/>
      </c>
      <c r="AC2244" s="38">
        <f>IF($B2244="","",(IFERROR(INDEX(Setup!$G$33:$G$40,MATCH(C2244,Setup!$B$33:$B$40,0)),0)=1)*(COUNTIF(C2208:E2225,$B2244)+COUNTIF(C2208:E2225,$B2244&amp;" ~*")&gt;0)+(IFERROR(INDEX(Setup!$G$33:$G$40,MATCH(G2244,Setup!$B$33:$B$40,0)),0)=1)*(COUNTIF(G2208:I2225,$B2244)+COUNTIF(G2208:I2225,$B2244&amp;" ~*")&gt;0)+(IFERROR(INDEX(Setup!$G$33:$G$40,MATCH(K2244,Setup!$B$33:$B$40,0)),0)=1)*(COUNTIF(K2208:M2225,$B2244)+COUNTIF(K2208:M2225,$B2244&amp;" ~*")&gt;0)+(IFERROR(INDEX(Setup!$G$33:$G$40,MATCH(O2244,Setup!$B$33:$B$40,0)),0)=1)*(COUNTIF(O2208:Q2225,$B2244)+COUNTIF(O2208:Q2225,$B2244&amp;" ~*")&gt;0)+(IFERROR(INDEX(Setup!$G$33:$G$40,MATCH(S2244,Setup!$B$33:$B$40,0)),0)=1)*(COUNTIF(S2208:U2225,$B2244)+COUNTIF(S2208:U2225,$B2244&amp;" ~*")&gt;0)+(IFERROR(INDEX(Setup!$G$33:$G$40,MATCH(W2244,Setup!$B$33:$B$40,0)),0)=1)*(COUNTIF(W2208:W2225,$B2244)+COUNTIF(W2208:W2225,$B2244&amp;" ~*")&gt;0)+(IFERROR(INDEX(Setup!$G$33:$G$40,MATCH(Y2244,Setup!$B$33:$B$40,0)),0)=1)*(COUNTIF(Y2208:Y2225,$B2244)+COUNTIF(Y2208:Y2225,$B2244&amp;" ~*")&gt;0))</f>
        <v/>
      </c>
    </row>
    <row r="2245" ht="15" customHeight="1">
      <c r="A2245" t="n">
        <v>45</v>
      </c>
      <c r="B2245" s="35">
        <f>IF(Setup!$B$24="","",Setup!$B$24)</f>
        <v/>
      </c>
      <c r="C2245" s="98" t="n"/>
      <c r="D2245" s="99" t="n"/>
      <c r="E2245" s="99" t="n"/>
      <c r="F2245" s="100" t="n"/>
      <c r="G2245" s="98" t="n"/>
      <c r="H2245" s="99" t="n"/>
      <c r="I2245" s="99" t="n"/>
      <c r="J2245" s="100" t="n"/>
      <c r="K2245" s="98" t="n"/>
      <c r="L2245" s="99" t="n"/>
      <c r="M2245" s="99" t="n"/>
      <c r="N2245" s="100" t="n"/>
      <c r="O2245" s="98" t="n"/>
      <c r="P2245" s="99" t="n"/>
      <c r="Q2245" s="99" t="n"/>
      <c r="R2245" s="100" t="n"/>
      <c r="S2245" s="98" t="n"/>
      <c r="T2245" s="99" t="n"/>
      <c r="U2245" s="99" t="n"/>
      <c r="V2245" s="100" t="n"/>
      <c r="W2245" s="98" t="n"/>
      <c r="X2245" s="100" t="n"/>
      <c r="Y2245" s="98" t="n"/>
      <c r="Z2245" s="100" t="n"/>
      <c r="AB2245" s="101">
        <f>IF($B2245="","",(COUNTIF(C2208:E2225,$B2245)+COUNTIF(C2208:E2225,$B2245&amp;" ~*")&gt;0)+(COUNTIF(G2208:I2225,$B2245)+COUNTIF(G2208:I2225,$B2245&amp;" ~*")&gt;0)+(COUNTIF(K2208:M2225,$B2245)+COUNTIF(K2208:M2225,$B2245&amp;" ~*")&gt;0)+(COUNTIF(O2208:Q2225,$B2245)+COUNTIF(O2208:Q2225,$B2245&amp;" ~*")&gt;0)+(COUNTIF(S2208:U2225,$B2245)+COUNTIF(S2208:U2225,$B2245&amp;" ~*")&gt;0)+(COUNTIF(W2208:W2225,$B2245)+COUNTIF(W2208:W2225,$B2245&amp;" ~*")&gt;0)+(COUNTIF(Y2208:Y2225,$B2245)+COUNTIF(Y2208:Y2225,$B2245&amp;" ~*")&gt;0))</f>
        <v/>
      </c>
      <c r="AC2245" s="36">
        <f>IF($B2245="","",(IFERROR(INDEX(Setup!$G$33:$G$40,MATCH(C2245,Setup!$B$33:$B$40,0)),0)=1)*(COUNTIF(C2208:E2225,$B2245)+COUNTIF(C2208:E2225,$B2245&amp;" ~*")&gt;0)+(IFERROR(INDEX(Setup!$G$33:$G$40,MATCH(G2245,Setup!$B$33:$B$40,0)),0)=1)*(COUNTIF(G2208:I2225,$B2245)+COUNTIF(G2208:I2225,$B2245&amp;" ~*")&gt;0)+(IFERROR(INDEX(Setup!$G$33:$G$40,MATCH(K2245,Setup!$B$33:$B$40,0)),0)=1)*(COUNTIF(K2208:M2225,$B2245)+COUNTIF(K2208:M2225,$B2245&amp;" ~*")&gt;0)+(IFERROR(INDEX(Setup!$G$33:$G$40,MATCH(O2245,Setup!$B$33:$B$40,0)),0)=1)*(COUNTIF(O2208:Q2225,$B2245)+COUNTIF(O2208:Q2225,$B2245&amp;" ~*")&gt;0)+(IFERROR(INDEX(Setup!$G$33:$G$40,MATCH(S2245,Setup!$B$33:$B$40,0)),0)=1)*(COUNTIF(S2208:U2225,$B2245)+COUNTIF(S2208:U2225,$B2245&amp;" ~*")&gt;0)+(IFERROR(INDEX(Setup!$G$33:$G$40,MATCH(W2245,Setup!$B$33:$B$40,0)),0)=1)*(COUNTIF(W2208:W2225,$B2245)+COUNTIF(W2208:W2225,$B2245&amp;" ~*")&gt;0)+(IFERROR(INDEX(Setup!$G$33:$G$40,MATCH(Y2245,Setup!$B$33:$B$40,0)),0)=1)*(COUNTIF(Y2208:Y2225,$B2245)+COUNTIF(Y2208:Y2225,$B2245&amp;" ~*")&gt;0))</f>
        <v/>
      </c>
    </row>
    <row r="2246" ht="15" customHeight="1">
      <c r="A2246" t="n">
        <v>45</v>
      </c>
      <c r="B2246" s="37">
        <f>IF(Setup!$B$25="","",Setup!$B$25)</f>
        <v/>
      </c>
      <c r="C2246" s="102" t="n"/>
      <c r="D2246" s="103" t="n"/>
      <c r="E2246" s="103" t="n"/>
      <c r="F2246" s="104" t="n"/>
      <c r="G2246" s="102" t="n"/>
      <c r="H2246" s="103" t="n"/>
      <c r="I2246" s="103" t="n"/>
      <c r="J2246" s="104" t="n"/>
      <c r="K2246" s="102" t="n"/>
      <c r="L2246" s="103" t="n"/>
      <c r="M2246" s="103" t="n"/>
      <c r="N2246" s="104" t="n"/>
      <c r="O2246" s="102" t="n"/>
      <c r="P2246" s="103" t="n"/>
      <c r="Q2246" s="103" t="n"/>
      <c r="R2246" s="104" t="n"/>
      <c r="S2246" s="102" t="n"/>
      <c r="T2246" s="103" t="n"/>
      <c r="U2246" s="103" t="n"/>
      <c r="V2246" s="104" t="n"/>
      <c r="W2246" s="102" t="n"/>
      <c r="X2246" s="104" t="n"/>
      <c r="Y2246" s="102" t="n"/>
      <c r="Z2246" s="104" t="n"/>
      <c r="AB2246" s="105">
        <f>IF($B2246="","",(COUNTIF(C2208:E2225,$B2246)+COUNTIF(C2208:E2225,$B2246&amp;" ~*")&gt;0)+(COUNTIF(G2208:I2225,$B2246)+COUNTIF(G2208:I2225,$B2246&amp;" ~*")&gt;0)+(COUNTIF(K2208:M2225,$B2246)+COUNTIF(K2208:M2225,$B2246&amp;" ~*")&gt;0)+(COUNTIF(O2208:Q2225,$B2246)+COUNTIF(O2208:Q2225,$B2246&amp;" ~*")&gt;0)+(COUNTIF(S2208:U2225,$B2246)+COUNTIF(S2208:U2225,$B2246&amp;" ~*")&gt;0)+(COUNTIF(W2208:W2225,$B2246)+COUNTIF(W2208:W2225,$B2246&amp;" ~*")&gt;0)+(COUNTIF(Y2208:Y2225,$B2246)+COUNTIF(Y2208:Y2225,$B2246&amp;" ~*")&gt;0))</f>
        <v/>
      </c>
      <c r="AC2246" s="38">
        <f>IF($B2246="","",(IFERROR(INDEX(Setup!$G$33:$G$40,MATCH(C2246,Setup!$B$33:$B$40,0)),0)=1)*(COUNTIF(C2208:E2225,$B2246)+COUNTIF(C2208:E2225,$B2246&amp;" ~*")&gt;0)+(IFERROR(INDEX(Setup!$G$33:$G$40,MATCH(G2246,Setup!$B$33:$B$40,0)),0)=1)*(COUNTIF(G2208:I2225,$B2246)+COUNTIF(G2208:I2225,$B2246&amp;" ~*")&gt;0)+(IFERROR(INDEX(Setup!$G$33:$G$40,MATCH(K2246,Setup!$B$33:$B$40,0)),0)=1)*(COUNTIF(K2208:M2225,$B2246)+COUNTIF(K2208:M2225,$B2246&amp;" ~*")&gt;0)+(IFERROR(INDEX(Setup!$G$33:$G$40,MATCH(O2246,Setup!$B$33:$B$40,0)),0)=1)*(COUNTIF(O2208:Q2225,$B2246)+COUNTIF(O2208:Q2225,$B2246&amp;" ~*")&gt;0)+(IFERROR(INDEX(Setup!$G$33:$G$40,MATCH(S2246,Setup!$B$33:$B$40,0)),0)=1)*(COUNTIF(S2208:U2225,$B2246)+COUNTIF(S2208:U2225,$B2246&amp;" ~*")&gt;0)+(IFERROR(INDEX(Setup!$G$33:$G$40,MATCH(W2246,Setup!$B$33:$B$40,0)),0)=1)*(COUNTIF(W2208:W2225,$B2246)+COUNTIF(W2208:W2225,$B2246&amp;" ~*")&gt;0)+(IFERROR(INDEX(Setup!$G$33:$G$40,MATCH(Y2246,Setup!$B$33:$B$40,0)),0)=1)*(COUNTIF(Y2208:Y2225,$B2246)+COUNTIF(Y2208:Y2225,$B2246&amp;" ~*")&gt;0))</f>
        <v/>
      </c>
    </row>
    <row r="2247" ht="15" customHeight="1">
      <c r="A2247" t="n">
        <v>45</v>
      </c>
      <c r="B2247" s="35">
        <f>IF(Setup!$B$26="","",Setup!$B$26)</f>
        <v/>
      </c>
      <c r="C2247" s="98" t="n"/>
      <c r="D2247" s="99" t="n"/>
      <c r="E2247" s="99" t="n"/>
      <c r="F2247" s="100" t="n"/>
      <c r="G2247" s="98" t="n"/>
      <c r="H2247" s="99" t="n"/>
      <c r="I2247" s="99" t="n"/>
      <c r="J2247" s="100" t="n"/>
      <c r="K2247" s="98" t="n"/>
      <c r="L2247" s="99" t="n"/>
      <c r="M2247" s="99" t="n"/>
      <c r="N2247" s="100" t="n"/>
      <c r="O2247" s="98" t="n"/>
      <c r="P2247" s="99" t="n"/>
      <c r="Q2247" s="99" t="n"/>
      <c r="R2247" s="100" t="n"/>
      <c r="S2247" s="98" t="n"/>
      <c r="T2247" s="99" t="n"/>
      <c r="U2247" s="99" t="n"/>
      <c r="V2247" s="100" t="n"/>
      <c r="W2247" s="98" t="n"/>
      <c r="X2247" s="100" t="n"/>
      <c r="Y2247" s="98" t="n"/>
      <c r="Z2247" s="100" t="n"/>
      <c r="AB2247" s="101">
        <f>IF($B2247="","",(COUNTIF(C2208:E2225,$B2247)+COUNTIF(C2208:E2225,$B2247&amp;" ~*")&gt;0)+(COUNTIF(G2208:I2225,$B2247)+COUNTIF(G2208:I2225,$B2247&amp;" ~*")&gt;0)+(COUNTIF(K2208:M2225,$B2247)+COUNTIF(K2208:M2225,$B2247&amp;" ~*")&gt;0)+(COUNTIF(O2208:Q2225,$B2247)+COUNTIF(O2208:Q2225,$B2247&amp;" ~*")&gt;0)+(COUNTIF(S2208:U2225,$B2247)+COUNTIF(S2208:U2225,$B2247&amp;" ~*")&gt;0)+(COUNTIF(W2208:W2225,$B2247)+COUNTIF(W2208:W2225,$B2247&amp;" ~*")&gt;0)+(COUNTIF(Y2208:Y2225,$B2247)+COUNTIF(Y2208:Y2225,$B2247&amp;" ~*")&gt;0))</f>
        <v/>
      </c>
      <c r="AC2247" s="36">
        <f>IF($B2247="","",(IFERROR(INDEX(Setup!$G$33:$G$40,MATCH(C2247,Setup!$B$33:$B$40,0)),0)=1)*(COUNTIF(C2208:E2225,$B2247)+COUNTIF(C2208:E2225,$B2247&amp;" ~*")&gt;0)+(IFERROR(INDEX(Setup!$G$33:$G$40,MATCH(G2247,Setup!$B$33:$B$40,0)),0)=1)*(COUNTIF(G2208:I2225,$B2247)+COUNTIF(G2208:I2225,$B2247&amp;" ~*")&gt;0)+(IFERROR(INDEX(Setup!$G$33:$G$40,MATCH(K2247,Setup!$B$33:$B$40,0)),0)=1)*(COUNTIF(K2208:M2225,$B2247)+COUNTIF(K2208:M2225,$B2247&amp;" ~*")&gt;0)+(IFERROR(INDEX(Setup!$G$33:$G$40,MATCH(O2247,Setup!$B$33:$B$40,0)),0)=1)*(COUNTIF(O2208:Q2225,$B2247)+COUNTIF(O2208:Q2225,$B2247&amp;" ~*")&gt;0)+(IFERROR(INDEX(Setup!$G$33:$G$40,MATCH(S2247,Setup!$B$33:$B$40,0)),0)=1)*(COUNTIF(S2208:U2225,$B2247)+COUNTIF(S2208:U2225,$B2247&amp;" ~*")&gt;0)+(IFERROR(INDEX(Setup!$G$33:$G$40,MATCH(W2247,Setup!$B$33:$B$40,0)),0)=1)*(COUNTIF(W2208:W2225,$B2247)+COUNTIF(W2208:W2225,$B2247&amp;" ~*")&gt;0)+(IFERROR(INDEX(Setup!$G$33:$G$40,MATCH(Y2247,Setup!$B$33:$B$40,0)),0)=1)*(COUNTIF(Y2208:Y2225,$B2247)+COUNTIF(Y2208:Y2225,$B2247&amp;" ~*")&gt;0))</f>
        <v/>
      </c>
    </row>
    <row r="2248" ht="15" customHeight="1">
      <c r="A2248" t="n">
        <v>45</v>
      </c>
      <c r="B2248" s="37">
        <f>IF(Setup!$B$27="","",Setup!$B$27)</f>
        <v/>
      </c>
      <c r="C2248" s="102" t="n"/>
      <c r="D2248" s="103" t="n"/>
      <c r="E2248" s="103" t="n"/>
      <c r="F2248" s="104" t="n"/>
      <c r="G2248" s="102" t="n"/>
      <c r="H2248" s="103" t="n"/>
      <c r="I2248" s="103" t="n"/>
      <c r="J2248" s="104" t="n"/>
      <c r="K2248" s="102" t="n"/>
      <c r="L2248" s="103" t="n"/>
      <c r="M2248" s="103" t="n"/>
      <c r="N2248" s="104" t="n"/>
      <c r="O2248" s="102" t="n"/>
      <c r="P2248" s="103" t="n"/>
      <c r="Q2248" s="103" t="n"/>
      <c r="R2248" s="104" t="n"/>
      <c r="S2248" s="102" t="n"/>
      <c r="T2248" s="103" t="n"/>
      <c r="U2248" s="103" t="n"/>
      <c r="V2248" s="104" t="n"/>
      <c r="W2248" s="102" t="n"/>
      <c r="X2248" s="104" t="n"/>
      <c r="Y2248" s="102" t="n"/>
      <c r="Z2248" s="104" t="n"/>
      <c r="AB2248" s="105">
        <f>IF($B2248="","",(COUNTIF(C2208:E2225,$B2248)+COUNTIF(C2208:E2225,$B2248&amp;" ~*")&gt;0)+(COUNTIF(G2208:I2225,$B2248)+COUNTIF(G2208:I2225,$B2248&amp;" ~*")&gt;0)+(COUNTIF(K2208:M2225,$B2248)+COUNTIF(K2208:M2225,$B2248&amp;" ~*")&gt;0)+(COUNTIF(O2208:Q2225,$B2248)+COUNTIF(O2208:Q2225,$B2248&amp;" ~*")&gt;0)+(COUNTIF(S2208:U2225,$B2248)+COUNTIF(S2208:U2225,$B2248&amp;" ~*")&gt;0)+(COUNTIF(W2208:W2225,$B2248)+COUNTIF(W2208:W2225,$B2248&amp;" ~*")&gt;0)+(COUNTIF(Y2208:Y2225,$B2248)+COUNTIF(Y2208:Y2225,$B2248&amp;" ~*")&gt;0))</f>
        <v/>
      </c>
      <c r="AC2248" s="38">
        <f>IF($B2248="","",(IFERROR(INDEX(Setup!$G$33:$G$40,MATCH(C2248,Setup!$B$33:$B$40,0)),0)=1)*(COUNTIF(C2208:E2225,$B2248)+COUNTIF(C2208:E2225,$B2248&amp;" ~*")&gt;0)+(IFERROR(INDEX(Setup!$G$33:$G$40,MATCH(G2248,Setup!$B$33:$B$40,0)),0)=1)*(COUNTIF(G2208:I2225,$B2248)+COUNTIF(G2208:I2225,$B2248&amp;" ~*")&gt;0)+(IFERROR(INDEX(Setup!$G$33:$G$40,MATCH(K2248,Setup!$B$33:$B$40,0)),0)=1)*(COUNTIF(K2208:M2225,$B2248)+COUNTIF(K2208:M2225,$B2248&amp;" ~*")&gt;0)+(IFERROR(INDEX(Setup!$G$33:$G$40,MATCH(O2248,Setup!$B$33:$B$40,0)),0)=1)*(COUNTIF(O2208:Q2225,$B2248)+COUNTIF(O2208:Q2225,$B2248&amp;" ~*")&gt;0)+(IFERROR(INDEX(Setup!$G$33:$G$40,MATCH(S2248,Setup!$B$33:$B$40,0)),0)=1)*(COUNTIF(S2208:U2225,$B2248)+COUNTIF(S2208:U2225,$B2248&amp;" ~*")&gt;0)+(IFERROR(INDEX(Setup!$G$33:$G$40,MATCH(W2248,Setup!$B$33:$B$40,0)),0)=1)*(COUNTIF(W2208:W2225,$B2248)+COUNTIF(W2208:W2225,$B2248&amp;" ~*")&gt;0)+(IFERROR(INDEX(Setup!$G$33:$G$40,MATCH(Y2248,Setup!$B$33:$B$40,0)),0)=1)*(COUNTIF(Y2208:Y2225,$B2248)+COUNTIF(Y2208:Y2225,$B2248&amp;" ~*")&gt;0))</f>
        <v/>
      </c>
    </row>
    <row r="2249" ht="15" customHeight="1">
      <c r="A2249" t="n">
        <v>45</v>
      </c>
      <c r="B2249" s="35">
        <f>IF(Setup!$B$28="","",Setup!$B$28)</f>
        <v/>
      </c>
      <c r="C2249" s="98" t="n"/>
      <c r="D2249" s="99" t="n"/>
      <c r="E2249" s="99" t="n"/>
      <c r="F2249" s="100" t="n"/>
      <c r="G2249" s="98" t="n"/>
      <c r="H2249" s="99" t="n"/>
      <c r="I2249" s="99" t="n"/>
      <c r="J2249" s="100" t="n"/>
      <c r="K2249" s="98" t="n"/>
      <c r="L2249" s="99" t="n"/>
      <c r="M2249" s="99" t="n"/>
      <c r="N2249" s="100" t="n"/>
      <c r="O2249" s="98" t="n"/>
      <c r="P2249" s="99" t="n"/>
      <c r="Q2249" s="99" t="n"/>
      <c r="R2249" s="100" t="n"/>
      <c r="S2249" s="98" t="n"/>
      <c r="T2249" s="99" t="n"/>
      <c r="U2249" s="99" t="n"/>
      <c r="V2249" s="100" t="n"/>
      <c r="W2249" s="98" t="n"/>
      <c r="X2249" s="100" t="n"/>
      <c r="Y2249" s="98" t="n"/>
      <c r="Z2249" s="100" t="n"/>
      <c r="AB2249" s="101">
        <f>IF($B2249="","",(COUNTIF(C2208:E2225,$B2249)+COUNTIF(C2208:E2225,$B2249&amp;" ~*")&gt;0)+(COUNTIF(G2208:I2225,$B2249)+COUNTIF(G2208:I2225,$B2249&amp;" ~*")&gt;0)+(COUNTIF(K2208:M2225,$B2249)+COUNTIF(K2208:M2225,$B2249&amp;" ~*")&gt;0)+(COUNTIF(O2208:Q2225,$B2249)+COUNTIF(O2208:Q2225,$B2249&amp;" ~*")&gt;0)+(COUNTIF(S2208:U2225,$B2249)+COUNTIF(S2208:U2225,$B2249&amp;" ~*")&gt;0)+(COUNTIF(W2208:W2225,$B2249)+COUNTIF(W2208:W2225,$B2249&amp;" ~*")&gt;0)+(COUNTIF(Y2208:Y2225,$B2249)+COUNTIF(Y2208:Y2225,$B2249&amp;" ~*")&gt;0))</f>
        <v/>
      </c>
      <c r="AC2249" s="36">
        <f>IF($B2249="","",(IFERROR(INDEX(Setup!$G$33:$G$40,MATCH(C2249,Setup!$B$33:$B$40,0)),0)=1)*(COUNTIF(C2208:E2225,$B2249)+COUNTIF(C2208:E2225,$B2249&amp;" ~*")&gt;0)+(IFERROR(INDEX(Setup!$G$33:$G$40,MATCH(G2249,Setup!$B$33:$B$40,0)),0)=1)*(COUNTIF(G2208:I2225,$B2249)+COUNTIF(G2208:I2225,$B2249&amp;" ~*")&gt;0)+(IFERROR(INDEX(Setup!$G$33:$G$40,MATCH(K2249,Setup!$B$33:$B$40,0)),0)=1)*(COUNTIF(K2208:M2225,$B2249)+COUNTIF(K2208:M2225,$B2249&amp;" ~*")&gt;0)+(IFERROR(INDEX(Setup!$G$33:$G$40,MATCH(O2249,Setup!$B$33:$B$40,0)),0)=1)*(COUNTIF(O2208:Q2225,$B2249)+COUNTIF(O2208:Q2225,$B2249&amp;" ~*")&gt;0)+(IFERROR(INDEX(Setup!$G$33:$G$40,MATCH(S2249,Setup!$B$33:$B$40,0)),0)=1)*(COUNTIF(S2208:U2225,$B2249)+COUNTIF(S2208:U2225,$B2249&amp;" ~*")&gt;0)+(IFERROR(INDEX(Setup!$G$33:$G$40,MATCH(W2249,Setup!$B$33:$B$40,0)),0)=1)*(COUNTIF(W2208:W2225,$B2249)+COUNTIF(W2208:W2225,$B2249&amp;" ~*")&gt;0)+(IFERROR(INDEX(Setup!$G$33:$G$40,MATCH(Y2249,Setup!$B$33:$B$40,0)),0)=1)*(COUNTIF(Y2208:Y2225,$B2249)+COUNTIF(Y2208:Y2225,$B2249&amp;" ~*")&gt;0))</f>
        <v/>
      </c>
    </row>
    <row r="2250" ht="15" customHeight="1">
      <c r="A2250" t="n">
        <v>45</v>
      </c>
      <c r="B2250" s="37">
        <f>IF(Setup!$B$29="","",Setup!$B$29)</f>
        <v/>
      </c>
      <c r="C2250" s="102" t="n"/>
      <c r="D2250" s="103" t="n"/>
      <c r="E2250" s="103" t="n"/>
      <c r="F2250" s="104" t="n"/>
      <c r="G2250" s="102" t="n"/>
      <c r="H2250" s="103" t="n"/>
      <c r="I2250" s="103" t="n"/>
      <c r="J2250" s="104" t="n"/>
      <c r="K2250" s="102" t="n"/>
      <c r="L2250" s="103" t="n"/>
      <c r="M2250" s="103" t="n"/>
      <c r="N2250" s="104" t="n"/>
      <c r="O2250" s="102" t="n"/>
      <c r="P2250" s="103" t="n"/>
      <c r="Q2250" s="103" t="n"/>
      <c r="R2250" s="104" t="n"/>
      <c r="S2250" s="102" t="n"/>
      <c r="T2250" s="103" t="n"/>
      <c r="U2250" s="103" t="n"/>
      <c r="V2250" s="104" t="n"/>
      <c r="W2250" s="102" t="n"/>
      <c r="X2250" s="104" t="n"/>
      <c r="Y2250" s="102" t="n"/>
      <c r="Z2250" s="104" t="n"/>
      <c r="AB2250" s="105">
        <f>IF($B2250="","",(COUNTIF(C2208:E2225,$B2250)+COUNTIF(C2208:E2225,$B2250&amp;" ~*")&gt;0)+(COUNTIF(G2208:I2225,$B2250)+COUNTIF(G2208:I2225,$B2250&amp;" ~*")&gt;0)+(COUNTIF(K2208:M2225,$B2250)+COUNTIF(K2208:M2225,$B2250&amp;" ~*")&gt;0)+(COUNTIF(O2208:Q2225,$B2250)+COUNTIF(O2208:Q2225,$B2250&amp;" ~*")&gt;0)+(COUNTIF(S2208:U2225,$B2250)+COUNTIF(S2208:U2225,$B2250&amp;" ~*")&gt;0)+(COUNTIF(W2208:W2225,$B2250)+COUNTIF(W2208:W2225,$B2250&amp;" ~*")&gt;0)+(COUNTIF(Y2208:Y2225,$B2250)+COUNTIF(Y2208:Y2225,$B2250&amp;" ~*")&gt;0))</f>
        <v/>
      </c>
      <c r="AC2250" s="38">
        <f>IF($B2250="","",(IFERROR(INDEX(Setup!$G$33:$G$40,MATCH(C2250,Setup!$B$33:$B$40,0)),0)=1)*(COUNTIF(C2208:E2225,$B2250)+COUNTIF(C2208:E2225,$B2250&amp;" ~*")&gt;0)+(IFERROR(INDEX(Setup!$G$33:$G$40,MATCH(G2250,Setup!$B$33:$B$40,0)),0)=1)*(COUNTIF(G2208:I2225,$B2250)+COUNTIF(G2208:I2225,$B2250&amp;" ~*")&gt;0)+(IFERROR(INDEX(Setup!$G$33:$G$40,MATCH(K2250,Setup!$B$33:$B$40,0)),0)=1)*(COUNTIF(K2208:M2225,$B2250)+COUNTIF(K2208:M2225,$B2250&amp;" ~*")&gt;0)+(IFERROR(INDEX(Setup!$G$33:$G$40,MATCH(O2250,Setup!$B$33:$B$40,0)),0)=1)*(COUNTIF(O2208:Q2225,$B2250)+COUNTIF(O2208:Q2225,$B2250&amp;" ~*")&gt;0)+(IFERROR(INDEX(Setup!$G$33:$G$40,MATCH(S2250,Setup!$B$33:$B$40,0)),0)=1)*(COUNTIF(S2208:U2225,$B2250)+COUNTIF(S2208:U2225,$B2250&amp;" ~*")&gt;0)+(IFERROR(INDEX(Setup!$G$33:$G$40,MATCH(W2250,Setup!$B$33:$B$40,0)),0)=1)*(COUNTIF(W2208:W2225,$B2250)+COUNTIF(W2208:W2225,$B2250&amp;" ~*")&gt;0)+(IFERROR(INDEX(Setup!$G$33:$G$40,MATCH(Y2250,Setup!$B$33:$B$40,0)),0)=1)*(COUNTIF(Y2208:Y2225,$B2250)+COUNTIF(Y2208:Y2225,$B2250&amp;" ~*")&gt;0))</f>
        <v/>
      </c>
    </row>
    <row r="2251" ht="16" customHeight="1">
      <c r="A2251" t="n">
        <v>45</v>
      </c>
      <c r="B2251" s="106" t="inlineStr">
        <is>
          <t>Available people</t>
        </is>
      </c>
      <c r="C2251" s="107">
        <f>COUNTIFS(Setup!$E$6:$E$29,"Y",Setup!$B$6:$B$29,"?*")-SUMPRODUCT(COUNTIF(C2227:C2250,Setup!$F$33:$F$40))</f>
        <v/>
      </c>
      <c r="D2251" s="107" t="n"/>
      <c r="E2251" s="107" t="n"/>
      <c r="F2251" s="107" t="n"/>
      <c r="G2251" s="107">
        <f>COUNTIFS(Setup!$E$6:$E$29,"Y",Setup!$B$6:$B$29,"?*")-SUMPRODUCT(COUNTIF(G2227:G2250,Setup!$F$33:$F$40))</f>
        <v/>
      </c>
      <c r="H2251" s="107" t="n"/>
      <c r="I2251" s="107" t="n"/>
      <c r="J2251" s="107" t="n"/>
      <c r="K2251" s="107">
        <f>COUNTIFS(Setup!$E$6:$E$29,"Y",Setup!$B$6:$B$29,"?*")-SUMPRODUCT(COUNTIF(K2227:K2250,Setup!$F$33:$F$40))</f>
        <v/>
      </c>
      <c r="L2251" s="107" t="n"/>
      <c r="M2251" s="107" t="n"/>
      <c r="N2251" s="107" t="n"/>
      <c r="O2251" s="107">
        <f>COUNTIFS(Setup!$E$6:$E$29,"Y",Setup!$B$6:$B$29,"?*")-SUMPRODUCT(COUNTIF(O2227:O2250,Setup!$F$33:$F$40))</f>
        <v/>
      </c>
      <c r="P2251" s="107" t="n"/>
      <c r="Q2251" s="107" t="n"/>
      <c r="R2251" s="107" t="n"/>
      <c r="S2251" s="107">
        <f>COUNTIFS(Setup!$E$6:$E$29,"Y",Setup!$B$6:$B$29,"?*")-SUMPRODUCT(COUNTIF(S2227:S2250,Setup!$F$33:$F$40))</f>
        <v/>
      </c>
      <c r="T2251" s="107" t="n"/>
      <c r="U2251" s="107" t="n"/>
      <c r="V2251" s="107" t="n"/>
      <c r="W2251" s="107">
        <f>COUNTIFS(Setup!$E$6:$E$29,"Y",Setup!$B$6:$B$29,"?*")-SUMPRODUCT(COUNTIF(W2227:W2250,Setup!$F$33:$F$40))</f>
        <v/>
      </c>
      <c r="X2251" s="107" t="n"/>
      <c r="Y2251" s="107">
        <f>COUNTIFS(Setup!$E$6:$E$29,"Y",Setup!$B$6:$B$29,"?*")-SUMPRODUCT(COUNTIF(Y2227:Y2250,Setup!$F$33:$F$40))</f>
        <v/>
      </c>
      <c r="Z2251" s="107" t="n"/>
      <c r="AB2251" s="108">
        <f>SUM(AB2227:AB2250)</f>
        <v/>
      </c>
      <c r="AC2251" s="109">
        <f>SUM(AC2227:AC2250)</f>
        <v/>
      </c>
    </row>
    <row r="2252" ht="30" customHeight="1">
      <c r="A2252" t="n">
        <v>45</v>
      </c>
      <c r="B2252" s="110" t="inlineStr">
        <is>
          <t>Week notes</t>
        </is>
      </c>
      <c r="C2252" s="111" t="n"/>
      <c r="D2252" s="112" t="n"/>
      <c r="E2252" s="112" t="n"/>
      <c r="F2252" s="112" t="n"/>
      <c r="G2252" s="112" t="n"/>
      <c r="H2252" s="112" t="n"/>
      <c r="I2252" s="112" t="n"/>
      <c r="J2252" s="112" t="n"/>
      <c r="K2252" s="112" t="n"/>
      <c r="L2252" s="112" t="n"/>
      <c r="M2252" s="112" t="n"/>
      <c r="N2252" s="112" t="n"/>
      <c r="O2252" s="112" t="n"/>
      <c r="P2252" s="112" t="n"/>
      <c r="Q2252" s="112" t="n"/>
      <c r="R2252" s="112" t="n"/>
      <c r="S2252" s="112" t="n"/>
      <c r="T2252" s="112" t="n"/>
      <c r="U2252" s="112" t="n"/>
      <c r="V2252" s="112" t="n"/>
      <c r="W2252" s="112" t="n"/>
      <c r="X2252" s="112" t="n"/>
      <c r="Y2252" s="112" t="n"/>
      <c r="Z2252" s="113" t="n"/>
    </row>
    <row r="2253" ht="8" customHeight="1">
      <c r="A2253" t="n">
        <v>45</v>
      </c>
    </row>
    <row r="2254" ht="8" customHeight="1">
      <c r="A2254" t="n">
        <v>45</v>
      </c>
    </row>
    <row r="2255" ht="24" customHeight="1">
      <c r="A2255" t="n">
        <v>46</v>
      </c>
      <c r="B2255" s="73">
        <f>"WEEK 46     "&amp;TEXT(C2256,"ddd d mmm")&amp;"  –  "&amp;TEXT(C2256+6,"ddd d mmm yyyy")</f>
        <v/>
      </c>
      <c r="S2255" s="74">
        <f>IF(TODAY()&lt;C2256,"FUTURE",IF(TODAY()&gt;C2256+6,"PAST","THIS WEEK"))</f>
        <v/>
      </c>
      <c r="W2255" s="75">
        <f>IF(AND(Engine!$B$8=$AC$3,Engine!$B$9=$A2255),"◀ ACTIVE WEEK","")</f>
        <v/>
      </c>
      <c r="AA2255" s="76" t="n"/>
      <c r="AB2255" s="77" t="inlineStr">
        <is>
          <t>◀ Prev</t>
        </is>
      </c>
      <c r="AC2255" s="77" t="inlineStr">
        <is>
          <t>Next ▶</t>
        </is>
      </c>
    </row>
    <row r="2256" ht="18" customHeight="1">
      <c r="A2256" t="n">
        <v>46</v>
      </c>
      <c r="B2256" s="78" t="inlineStr">
        <is>
          <t>DUTY</t>
        </is>
      </c>
      <c r="C2256" s="79">
        <f>$AC$2+7*($A2256-1)</f>
        <v/>
      </c>
      <c r="D2256" s="80" t="n"/>
      <c r="E2256" s="80" t="n"/>
      <c r="F2256" s="81" t="n"/>
      <c r="G2256" s="79">
        <f>C2256+1</f>
        <v/>
      </c>
      <c r="H2256" s="80" t="n"/>
      <c r="I2256" s="80" t="n"/>
      <c r="J2256" s="81" t="n"/>
      <c r="K2256" s="79">
        <f>C2256+2</f>
        <v/>
      </c>
      <c r="L2256" s="80" t="n"/>
      <c r="M2256" s="80" t="n"/>
      <c r="N2256" s="81" t="n"/>
      <c r="O2256" s="79">
        <f>C2256+3</f>
        <v/>
      </c>
      <c r="P2256" s="80" t="n"/>
      <c r="Q2256" s="80" t="n"/>
      <c r="R2256" s="81" t="n"/>
      <c r="S2256" s="79">
        <f>C2256+4</f>
        <v/>
      </c>
      <c r="T2256" s="80" t="n"/>
      <c r="U2256" s="80" t="n"/>
      <c r="V2256" s="81" t="n"/>
      <c r="W2256" s="82">
        <f>C2256+5</f>
        <v/>
      </c>
      <c r="X2256" s="83" t="n"/>
      <c r="Y2256" s="82">
        <f>C2256+6</f>
        <v/>
      </c>
      <c r="Z2256" s="83" t="n"/>
      <c r="AB2256" s="72" t="inlineStr">
        <is>
          <t>Gaps</t>
        </is>
      </c>
      <c r="AC2256" s="72" t="inlineStr">
        <is>
          <t>Cover</t>
        </is>
      </c>
    </row>
    <row r="2257" ht="14" customHeight="1">
      <c r="A2257" t="n">
        <v>46</v>
      </c>
      <c r="B2257" s="84" t="inlineStr">
        <is>
          <t>(from Setup)</t>
        </is>
      </c>
      <c r="C2257" s="85" t="inlineStr">
        <is>
          <t>1</t>
        </is>
      </c>
      <c r="D2257" s="85" t="inlineStr">
        <is>
          <t>2</t>
        </is>
      </c>
      <c r="E2257" s="85" t="inlineStr">
        <is>
          <t>3</t>
        </is>
      </c>
      <c r="F2257" s="85" t="inlineStr">
        <is>
          <t>Notes</t>
        </is>
      </c>
      <c r="G2257" s="85" t="inlineStr">
        <is>
          <t>1</t>
        </is>
      </c>
      <c r="H2257" s="85" t="inlineStr">
        <is>
          <t>2</t>
        </is>
      </c>
      <c r="I2257" s="85" t="inlineStr">
        <is>
          <t>3</t>
        </is>
      </c>
      <c r="J2257" s="85" t="inlineStr">
        <is>
          <t>Notes</t>
        </is>
      </c>
      <c r="K2257" s="85" t="inlineStr">
        <is>
          <t>1</t>
        </is>
      </c>
      <c r="L2257" s="85" t="inlineStr">
        <is>
          <t>2</t>
        </is>
      </c>
      <c r="M2257" s="85" t="inlineStr">
        <is>
          <t>3</t>
        </is>
      </c>
      <c r="N2257" s="85" t="inlineStr">
        <is>
          <t>Notes</t>
        </is>
      </c>
      <c r="O2257" s="85" t="inlineStr">
        <is>
          <t>1</t>
        </is>
      </c>
      <c r="P2257" s="85" t="inlineStr">
        <is>
          <t>2</t>
        </is>
      </c>
      <c r="Q2257" s="85" t="inlineStr">
        <is>
          <t>3</t>
        </is>
      </c>
      <c r="R2257" s="85" t="inlineStr">
        <is>
          <t>Notes</t>
        </is>
      </c>
      <c r="S2257" s="85" t="inlineStr">
        <is>
          <t>1</t>
        </is>
      </c>
      <c r="T2257" s="85" t="inlineStr">
        <is>
          <t>2</t>
        </is>
      </c>
      <c r="U2257" s="85" t="inlineStr">
        <is>
          <t>3</t>
        </is>
      </c>
      <c r="V2257" s="85" t="inlineStr">
        <is>
          <t>Notes</t>
        </is>
      </c>
      <c r="W2257" s="85" t="inlineStr">
        <is>
          <t>Cover</t>
        </is>
      </c>
      <c r="X2257" s="85" t="inlineStr">
        <is>
          <t>Notes</t>
        </is>
      </c>
      <c r="Y2257" s="85" t="inlineStr">
        <is>
          <t>Cover</t>
        </is>
      </c>
      <c r="Z2257" s="85" t="inlineStr">
        <is>
          <t>Notes</t>
        </is>
      </c>
      <c r="AB2257" s="86" t="inlineStr">
        <is>
          <t>weekdays short</t>
        </is>
      </c>
      <c r="AC2257" s="87" t="inlineStr"/>
    </row>
    <row r="2258" ht="17" customHeight="1">
      <c r="A2258" t="n">
        <v>46</v>
      </c>
      <c r="B2258" s="24">
        <f>IF(Setup!$K$6="","",Setup!$K$6)</f>
        <v/>
      </c>
      <c r="C2258" s="88" t="n"/>
      <c r="D2258" s="88" t="n"/>
      <c r="E2258" s="88" t="n"/>
      <c r="F2258" s="89" t="n"/>
      <c r="G2258" s="88" t="n"/>
      <c r="H2258" s="88" t="n"/>
      <c r="I2258" s="88" t="n"/>
      <c r="J2258" s="89" t="n"/>
      <c r="K2258" s="88" t="n"/>
      <c r="L2258" s="88" t="n"/>
      <c r="M2258" s="88" t="n"/>
      <c r="N2258" s="89" t="n"/>
      <c r="O2258" s="88" t="n"/>
      <c r="P2258" s="88" t="n"/>
      <c r="Q2258" s="88" t="n"/>
      <c r="R2258" s="89" t="n"/>
      <c r="S2258" s="88" t="n"/>
      <c r="T2258" s="88" t="n"/>
      <c r="U2258" s="88" t="n"/>
      <c r="V2258" s="89" t="n"/>
      <c r="W2258" s="88" t="n"/>
      <c r="X2258" s="89" t="n"/>
      <c r="Y2258" s="88" t="n"/>
      <c r="Z2258" s="89" t="n"/>
      <c r="AB2258" s="25">
        <f>IF($B2258="","",(COUNTIF(C2258:E2258,"?*")&lt;N(INDEX(Setup!$L$6:$L$23,1)))+(COUNTIF(G2258:I2258,"?*")&lt;N(INDEX(Setup!$L$6:$L$23,1)))+(COUNTIF(K2258:M2258,"?*")&lt;N(INDEX(Setup!$L$6:$L$23,1)))+(COUNTIF(O2258:Q2258,"?*")&lt;N(INDEX(Setup!$L$6:$L$23,1)))+(COUNTIF(S2258:U2258,"?*")&lt;N(INDEX(Setup!$L$6:$L$23,1)))+((W2258="")*(INDEX(Setup!$M$6:$M$23,1)="Y"))+((Y2258="")*(INDEX(Setup!$M$6:$M$23,1)="Y")))</f>
        <v/>
      </c>
      <c r="AC2258" s="90">
        <f>IF($B2258="","",IF(AB2258=0,"✓ covered","⚠ "&amp;AB2258&amp;IF(AB2258=1," gap"," gaps")))</f>
        <v/>
      </c>
    </row>
    <row r="2259" ht="17" customHeight="1">
      <c r="A2259" t="n">
        <v>46</v>
      </c>
      <c r="B2259" s="29">
        <f>IF(Setup!$K$7="","",Setup!$K$7)</f>
        <v/>
      </c>
      <c r="C2259" s="88" t="n"/>
      <c r="D2259" s="88" t="n"/>
      <c r="E2259" s="88" t="n"/>
      <c r="F2259" s="89" t="n"/>
      <c r="G2259" s="88" t="n"/>
      <c r="H2259" s="88" t="n"/>
      <c r="I2259" s="88" t="n"/>
      <c r="J2259" s="89" t="n"/>
      <c r="K2259" s="88" t="n"/>
      <c r="L2259" s="88" t="n"/>
      <c r="M2259" s="88" t="n"/>
      <c r="N2259" s="89" t="n"/>
      <c r="O2259" s="88" t="n"/>
      <c r="P2259" s="88" t="n"/>
      <c r="Q2259" s="88" t="n"/>
      <c r="R2259" s="89" t="n"/>
      <c r="S2259" s="88" t="n"/>
      <c r="T2259" s="88" t="n"/>
      <c r="U2259" s="88" t="n"/>
      <c r="V2259" s="89" t="n"/>
      <c r="W2259" s="88" t="n"/>
      <c r="X2259" s="89" t="n"/>
      <c r="Y2259" s="88" t="n"/>
      <c r="Z2259" s="89" t="n"/>
      <c r="AB2259" s="30">
        <f>IF($B2259="","",(COUNTIF(C2259:E2259,"?*")&lt;N(INDEX(Setup!$L$6:$L$23,2)))+(COUNTIF(G2259:I2259,"?*")&lt;N(INDEX(Setup!$L$6:$L$23,2)))+(COUNTIF(K2259:M2259,"?*")&lt;N(INDEX(Setup!$L$6:$L$23,2)))+(COUNTIF(O2259:Q2259,"?*")&lt;N(INDEX(Setup!$L$6:$L$23,2)))+(COUNTIF(S2259:U2259,"?*")&lt;N(INDEX(Setup!$L$6:$L$23,2)))+((W2259="")*(INDEX(Setup!$M$6:$M$23,2)="Y"))+((Y2259="")*(INDEX(Setup!$M$6:$M$23,2)="Y")))</f>
        <v/>
      </c>
      <c r="AC2259" s="91">
        <f>IF($B2259="","",IF(AB2259=0,"✓ covered","⚠ "&amp;AB2259&amp;IF(AB2259=1," gap"," gaps")))</f>
        <v/>
      </c>
    </row>
    <row r="2260" ht="17" customHeight="1">
      <c r="A2260" t="n">
        <v>46</v>
      </c>
      <c r="B2260" s="24">
        <f>IF(Setup!$K$8="","",Setup!$K$8)</f>
        <v/>
      </c>
      <c r="C2260" s="88" t="n"/>
      <c r="D2260" s="88" t="n"/>
      <c r="E2260" s="88" t="n"/>
      <c r="F2260" s="89" t="n"/>
      <c r="G2260" s="88" t="n"/>
      <c r="H2260" s="88" t="n"/>
      <c r="I2260" s="88" t="n"/>
      <c r="J2260" s="89" t="n"/>
      <c r="K2260" s="88" t="n"/>
      <c r="L2260" s="88" t="n"/>
      <c r="M2260" s="88" t="n"/>
      <c r="N2260" s="89" t="n"/>
      <c r="O2260" s="88" t="n"/>
      <c r="P2260" s="88" t="n"/>
      <c r="Q2260" s="88" t="n"/>
      <c r="R2260" s="89" t="n"/>
      <c r="S2260" s="88" t="n"/>
      <c r="T2260" s="88" t="n"/>
      <c r="U2260" s="88" t="n"/>
      <c r="V2260" s="89" t="n"/>
      <c r="W2260" s="88" t="n"/>
      <c r="X2260" s="89" t="n"/>
      <c r="Y2260" s="88" t="n"/>
      <c r="Z2260" s="89" t="n"/>
      <c r="AB2260" s="25">
        <f>IF($B2260="","",(COUNTIF(C2260:E2260,"?*")&lt;N(INDEX(Setup!$L$6:$L$23,3)))+(COUNTIF(G2260:I2260,"?*")&lt;N(INDEX(Setup!$L$6:$L$23,3)))+(COUNTIF(K2260:M2260,"?*")&lt;N(INDEX(Setup!$L$6:$L$23,3)))+(COUNTIF(O2260:Q2260,"?*")&lt;N(INDEX(Setup!$L$6:$L$23,3)))+(COUNTIF(S2260:U2260,"?*")&lt;N(INDEX(Setup!$L$6:$L$23,3)))+((W2260="")*(INDEX(Setup!$M$6:$M$23,3)="Y"))+((Y2260="")*(INDEX(Setup!$M$6:$M$23,3)="Y")))</f>
        <v/>
      </c>
      <c r="AC2260" s="90">
        <f>IF($B2260="","",IF(AB2260=0,"✓ covered","⚠ "&amp;AB2260&amp;IF(AB2260=1," gap"," gaps")))</f>
        <v/>
      </c>
    </row>
    <row r="2261" ht="17" customHeight="1">
      <c r="A2261" t="n">
        <v>46</v>
      </c>
      <c r="B2261" s="29">
        <f>IF(Setup!$K$9="","",Setup!$K$9)</f>
        <v/>
      </c>
      <c r="C2261" s="88" t="n"/>
      <c r="D2261" s="88" t="n"/>
      <c r="E2261" s="88" t="n"/>
      <c r="F2261" s="89" t="n"/>
      <c r="G2261" s="88" t="n"/>
      <c r="H2261" s="88" t="n"/>
      <c r="I2261" s="88" t="n"/>
      <c r="J2261" s="89" t="n"/>
      <c r="K2261" s="88" t="n"/>
      <c r="L2261" s="88" t="n"/>
      <c r="M2261" s="88" t="n"/>
      <c r="N2261" s="89" t="n"/>
      <c r="O2261" s="88" t="n"/>
      <c r="P2261" s="88" t="n"/>
      <c r="Q2261" s="88" t="n"/>
      <c r="R2261" s="89" t="n"/>
      <c r="S2261" s="88" t="n"/>
      <c r="T2261" s="88" t="n"/>
      <c r="U2261" s="88" t="n"/>
      <c r="V2261" s="89" t="n"/>
      <c r="W2261" s="88" t="n"/>
      <c r="X2261" s="89" t="n"/>
      <c r="Y2261" s="88" t="n"/>
      <c r="Z2261" s="89" t="n"/>
      <c r="AB2261" s="30">
        <f>IF($B2261="","",(COUNTIF(C2261:E2261,"?*")&lt;N(INDEX(Setup!$L$6:$L$23,4)))+(COUNTIF(G2261:I2261,"?*")&lt;N(INDEX(Setup!$L$6:$L$23,4)))+(COUNTIF(K2261:M2261,"?*")&lt;N(INDEX(Setup!$L$6:$L$23,4)))+(COUNTIF(O2261:Q2261,"?*")&lt;N(INDEX(Setup!$L$6:$L$23,4)))+(COUNTIF(S2261:U2261,"?*")&lt;N(INDEX(Setup!$L$6:$L$23,4)))+((W2261="")*(INDEX(Setup!$M$6:$M$23,4)="Y"))+((Y2261="")*(INDEX(Setup!$M$6:$M$23,4)="Y")))</f>
        <v/>
      </c>
      <c r="AC2261" s="91">
        <f>IF($B2261="","",IF(AB2261=0,"✓ covered","⚠ "&amp;AB2261&amp;IF(AB2261=1," gap"," gaps")))</f>
        <v/>
      </c>
    </row>
    <row r="2262" ht="17" customHeight="1">
      <c r="A2262" t="n">
        <v>46</v>
      </c>
      <c r="B2262" s="24">
        <f>IF(Setup!$K$10="","",Setup!$K$10)</f>
        <v/>
      </c>
      <c r="C2262" s="88" t="n"/>
      <c r="D2262" s="88" t="n"/>
      <c r="E2262" s="88" t="n"/>
      <c r="F2262" s="89" t="n"/>
      <c r="G2262" s="88" t="n"/>
      <c r="H2262" s="88" t="n"/>
      <c r="I2262" s="88" t="n"/>
      <c r="J2262" s="89" t="n"/>
      <c r="K2262" s="88" t="n"/>
      <c r="L2262" s="88" t="n"/>
      <c r="M2262" s="88" t="n"/>
      <c r="N2262" s="89" t="n"/>
      <c r="O2262" s="88" t="n"/>
      <c r="P2262" s="88" t="n"/>
      <c r="Q2262" s="88" t="n"/>
      <c r="R2262" s="89" t="n"/>
      <c r="S2262" s="88" t="n"/>
      <c r="T2262" s="88" t="n"/>
      <c r="U2262" s="88" t="n"/>
      <c r="V2262" s="89" t="n"/>
      <c r="W2262" s="88" t="n"/>
      <c r="X2262" s="89" t="n"/>
      <c r="Y2262" s="88" t="n"/>
      <c r="Z2262" s="89" t="n"/>
      <c r="AB2262" s="25">
        <f>IF($B2262="","",(COUNTIF(C2262:E2262,"?*")&lt;N(INDEX(Setup!$L$6:$L$23,5)))+(COUNTIF(G2262:I2262,"?*")&lt;N(INDEX(Setup!$L$6:$L$23,5)))+(COUNTIF(K2262:M2262,"?*")&lt;N(INDEX(Setup!$L$6:$L$23,5)))+(COUNTIF(O2262:Q2262,"?*")&lt;N(INDEX(Setup!$L$6:$L$23,5)))+(COUNTIF(S2262:U2262,"?*")&lt;N(INDEX(Setup!$L$6:$L$23,5)))+((W2262="")*(INDEX(Setup!$M$6:$M$23,5)="Y"))+((Y2262="")*(INDEX(Setup!$M$6:$M$23,5)="Y")))</f>
        <v/>
      </c>
      <c r="AC2262" s="90">
        <f>IF($B2262="","",IF(AB2262=0,"✓ covered","⚠ "&amp;AB2262&amp;IF(AB2262=1," gap"," gaps")))</f>
        <v/>
      </c>
    </row>
    <row r="2263" ht="17" customHeight="1">
      <c r="A2263" t="n">
        <v>46</v>
      </c>
      <c r="B2263" s="29">
        <f>IF(Setup!$K$11="","",Setup!$K$11)</f>
        <v/>
      </c>
      <c r="C2263" s="88" t="n"/>
      <c r="D2263" s="88" t="n"/>
      <c r="E2263" s="88" t="n"/>
      <c r="F2263" s="89" t="n"/>
      <c r="G2263" s="88" t="n"/>
      <c r="H2263" s="88" t="n"/>
      <c r="I2263" s="88" t="n"/>
      <c r="J2263" s="89" t="n"/>
      <c r="K2263" s="88" t="n"/>
      <c r="L2263" s="88" t="n"/>
      <c r="M2263" s="88" t="n"/>
      <c r="N2263" s="89" t="n"/>
      <c r="O2263" s="88" t="n"/>
      <c r="P2263" s="88" t="n"/>
      <c r="Q2263" s="88" t="n"/>
      <c r="R2263" s="89" t="n"/>
      <c r="S2263" s="88" t="n"/>
      <c r="T2263" s="88" t="n"/>
      <c r="U2263" s="88" t="n"/>
      <c r="V2263" s="89" t="n"/>
      <c r="W2263" s="88" t="n"/>
      <c r="X2263" s="89" t="n"/>
      <c r="Y2263" s="88" t="n"/>
      <c r="Z2263" s="89" t="n"/>
      <c r="AB2263" s="30">
        <f>IF($B2263="","",(COUNTIF(C2263:E2263,"?*")&lt;N(INDEX(Setup!$L$6:$L$23,6)))+(COUNTIF(G2263:I2263,"?*")&lt;N(INDEX(Setup!$L$6:$L$23,6)))+(COUNTIF(K2263:M2263,"?*")&lt;N(INDEX(Setup!$L$6:$L$23,6)))+(COUNTIF(O2263:Q2263,"?*")&lt;N(INDEX(Setup!$L$6:$L$23,6)))+(COUNTIF(S2263:U2263,"?*")&lt;N(INDEX(Setup!$L$6:$L$23,6)))+((W2263="")*(INDEX(Setup!$M$6:$M$23,6)="Y"))+((Y2263="")*(INDEX(Setup!$M$6:$M$23,6)="Y")))</f>
        <v/>
      </c>
      <c r="AC2263" s="91">
        <f>IF($B2263="","",IF(AB2263=0,"✓ covered","⚠ "&amp;AB2263&amp;IF(AB2263=1," gap"," gaps")))</f>
        <v/>
      </c>
    </row>
    <row r="2264" ht="17" customHeight="1">
      <c r="A2264" t="n">
        <v>46</v>
      </c>
      <c r="B2264" s="24">
        <f>IF(Setup!$K$12="","",Setup!$K$12)</f>
        <v/>
      </c>
      <c r="C2264" s="88" t="n"/>
      <c r="D2264" s="88" t="n"/>
      <c r="E2264" s="88" t="n"/>
      <c r="F2264" s="89" t="n"/>
      <c r="G2264" s="88" t="n"/>
      <c r="H2264" s="88" t="n"/>
      <c r="I2264" s="88" t="n"/>
      <c r="J2264" s="89" t="n"/>
      <c r="K2264" s="88" t="n"/>
      <c r="L2264" s="88" t="n"/>
      <c r="M2264" s="88" t="n"/>
      <c r="N2264" s="89" t="n"/>
      <c r="O2264" s="88" t="n"/>
      <c r="P2264" s="88" t="n"/>
      <c r="Q2264" s="88" t="n"/>
      <c r="R2264" s="89" t="n"/>
      <c r="S2264" s="88" t="n"/>
      <c r="T2264" s="88" t="n"/>
      <c r="U2264" s="88" t="n"/>
      <c r="V2264" s="89" t="n"/>
      <c r="W2264" s="88" t="n"/>
      <c r="X2264" s="89" t="n"/>
      <c r="Y2264" s="88" t="n"/>
      <c r="Z2264" s="89" t="n"/>
      <c r="AB2264" s="25">
        <f>IF($B2264="","",(COUNTIF(C2264:E2264,"?*")&lt;N(INDEX(Setup!$L$6:$L$23,7)))+(COUNTIF(G2264:I2264,"?*")&lt;N(INDEX(Setup!$L$6:$L$23,7)))+(COUNTIF(K2264:M2264,"?*")&lt;N(INDEX(Setup!$L$6:$L$23,7)))+(COUNTIF(O2264:Q2264,"?*")&lt;N(INDEX(Setup!$L$6:$L$23,7)))+(COUNTIF(S2264:U2264,"?*")&lt;N(INDEX(Setup!$L$6:$L$23,7)))+((W2264="")*(INDEX(Setup!$M$6:$M$23,7)="Y"))+((Y2264="")*(INDEX(Setup!$M$6:$M$23,7)="Y")))</f>
        <v/>
      </c>
      <c r="AC2264" s="90">
        <f>IF($B2264="","",IF(AB2264=0,"✓ covered","⚠ "&amp;AB2264&amp;IF(AB2264=1," gap"," gaps")))</f>
        <v/>
      </c>
    </row>
    <row r="2265" ht="17" customHeight="1">
      <c r="A2265" t="n">
        <v>46</v>
      </c>
      <c r="B2265" s="29">
        <f>IF(Setup!$K$13="","",Setup!$K$13)</f>
        <v/>
      </c>
      <c r="C2265" s="88" t="n"/>
      <c r="D2265" s="88" t="n"/>
      <c r="E2265" s="88" t="n"/>
      <c r="F2265" s="89" t="n"/>
      <c r="G2265" s="88" t="n"/>
      <c r="H2265" s="88" t="n"/>
      <c r="I2265" s="88" t="n"/>
      <c r="J2265" s="89" t="n"/>
      <c r="K2265" s="88" t="n"/>
      <c r="L2265" s="88" t="n"/>
      <c r="M2265" s="88" t="n"/>
      <c r="N2265" s="89" t="n"/>
      <c r="O2265" s="88" t="n"/>
      <c r="P2265" s="88" t="n"/>
      <c r="Q2265" s="88" t="n"/>
      <c r="R2265" s="89" t="n"/>
      <c r="S2265" s="88" t="n"/>
      <c r="T2265" s="88" t="n"/>
      <c r="U2265" s="88" t="n"/>
      <c r="V2265" s="89" t="n"/>
      <c r="W2265" s="88" t="n"/>
      <c r="X2265" s="89" t="n"/>
      <c r="Y2265" s="88" t="n"/>
      <c r="Z2265" s="89" t="n"/>
      <c r="AB2265" s="30">
        <f>IF($B2265="","",(COUNTIF(C2265:E2265,"?*")&lt;N(INDEX(Setup!$L$6:$L$23,8)))+(COUNTIF(G2265:I2265,"?*")&lt;N(INDEX(Setup!$L$6:$L$23,8)))+(COUNTIF(K2265:M2265,"?*")&lt;N(INDEX(Setup!$L$6:$L$23,8)))+(COUNTIF(O2265:Q2265,"?*")&lt;N(INDEX(Setup!$L$6:$L$23,8)))+(COUNTIF(S2265:U2265,"?*")&lt;N(INDEX(Setup!$L$6:$L$23,8)))+((W2265="")*(INDEX(Setup!$M$6:$M$23,8)="Y"))+((Y2265="")*(INDEX(Setup!$M$6:$M$23,8)="Y")))</f>
        <v/>
      </c>
      <c r="AC2265" s="91">
        <f>IF($B2265="","",IF(AB2265=0,"✓ covered","⚠ "&amp;AB2265&amp;IF(AB2265=1," gap"," gaps")))</f>
        <v/>
      </c>
    </row>
    <row r="2266" ht="17" customHeight="1">
      <c r="A2266" t="n">
        <v>46</v>
      </c>
      <c r="B2266" s="24">
        <f>IF(Setup!$K$14="","",Setup!$K$14)</f>
        <v/>
      </c>
      <c r="C2266" s="88" t="n"/>
      <c r="D2266" s="88" t="n"/>
      <c r="E2266" s="88" t="n"/>
      <c r="F2266" s="89" t="n"/>
      <c r="G2266" s="88" t="n"/>
      <c r="H2266" s="88" t="n"/>
      <c r="I2266" s="88" t="n"/>
      <c r="J2266" s="89" t="n"/>
      <c r="K2266" s="88" t="n"/>
      <c r="L2266" s="88" t="n"/>
      <c r="M2266" s="88" t="n"/>
      <c r="N2266" s="89" t="n"/>
      <c r="O2266" s="88" t="n"/>
      <c r="P2266" s="88" t="n"/>
      <c r="Q2266" s="88" t="n"/>
      <c r="R2266" s="89" t="n"/>
      <c r="S2266" s="88" t="n"/>
      <c r="T2266" s="88" t="n"/>
      <c r="U2266" s="88" t="n"/>
      <c r="V2266" s="89" t="n"/>
      <c r="W2266" s="88" t="n"/>
      <c r="X2266" s="89" t="n"/>
      <c r="Y2266" s="88" t="n"/>
      <c r="Z2266" s="89" t="n"/>
      <c r="AB2266" s="25">
        <f>IF($B2266="","",(COUNTIF(C2266:E2266,"?*")&lt;N(INDEX(Setup!$L$6:$L$23,9)))+(COUNTIF(G2266:I2266,"?*")&lt;N(INDEX(Setup!$L$6:$L$23,9)))+(COUNTIF(K2266:M2266,"?*")&lt;N(INDEX(Setup!$L$6:$L$23,9)))+(COUNTIF(O2266:Q2266,"?*")&lt;N(INDEX(Setup!$L$6:$L$23,9)))+(COUNTIF(S2266:U2266,"?*")&lt;N(INDEX(Setup!$L$6:$L$23,9)))+((W2266="")*(INDEX(Setup!$M$6:$M$23,9)="Y"))+((Y2266="")*(INDEX(Setup!$M$6:$M$23,9)="Y")))</f>
        <v/>
      </c>
      <c r="AC2266" s="90">
        <f>IF($B2266="","",IF(AB2266=0,"✓ covered","⚠ "&amp;AB2266&amp;IF(AB2266=1," gap"," gaps")))</f>
        <v/>
      </c>
    </row>
    <row r="2267" ht="17" customHeight="1">
      <c r="A2267" t="n">
        <v>46</v>
      </c>
      <c r="B2267" s="29">
        <f>IF(Setup!$K$15="","",Setup!$K$15)</f>
        <v/>
      </c>
      <c r="C2267" s="88" t="n"/>
      <c r="D2267" s="88" t="n"/>
      <c r="E2267" s="88" t="n"/>
      <c r="F2267" s="89" t="n"/>
      <c r="G2267" s="88" t="n"/>
      <c r="H2267" s="88" t="n"/>
      <c r="I2267" s="88" t="n"/>
      <c r="J2267" s="89" t="n"/>
      <c r="K2267" s="88" t="n"/>
      <c r="L2267" s="88" t="n"/>
      <c r="M2267" s="88" t="n"/>
      <c r="N2267" s="89" t="n"/>
      <c r="O2267" s="88" t="n"/>
      <c r="P2267" s="88" t="n"/>
      <c r="Q2267" s="88" t="n"/>
      <c r="R2267" s="89" t="n"/>
      <c r="S2267" s="88" t="n"/>
      <c r="T2267" s="88" t="n"/>
      <c r="U2267" s="88" t="n"/>
      <c r="V2267" s="89" t="n"/>
      <c r="W2267" s="88" t="n"/>
      <c r="X2267" s="89" t="n"/>
      <c r="Y2267" s="88" t="n"/>
      <c r="Z2267" s="89" t="n"/>
      <c r="AB2267" s="30">
        <f>IF($B2267="","",(COUNTIF(C2267:E2267,"?*")&lt;N(INDEX(Setup!$L$6:$L$23,10)))+(COUNTIF(G2267:I2267,"?*")&lt;N(INDEX(Setup!$L$6:$L$23,10)))+(COUNTIF(K2267:M2267,"?*")&lt;N(INDEX(Setup!$L$6:$L$23,10)))+(COUNTIF(O2267:Q2267,"?*")&lt;N(INDEX(Setup!$L$6:$L$23,10)))+(COUNTIF(S2267:U2267,"?*")&lt;N(INDEX(Setup!$L$6:$L$23,10)))+((W2267="")*(INDEX(Setup!$M$6:$M$23,10)="Y"))+((Y2267="")*(INDEX(Setup!$M$6:$M$23,10)="Y")))</f>
        <v/>
      </c>
      <c r="AC2267" s="91">
        <f>IF($B2267="","",IF(AB2267=0,"✓ covered","⚠ "&amp;AB2267&amp;IF(AB2267=1," gap"," gaps")))</f>
        <v/>
      </c>
    </row>
    <row r="2268" ht="17" customHeight="1">
      <c r="A2268" t="n">
        <v>46</v>
      </c>
      <c r="B2268" s="24">
        <f>IF(Setup!$K$16="","",Setup!$K$16)</f>
        <v/>
      </c>
      <c r="C2268" s="88" t="n"/>
      <c r="D2268" s="88" t="n"/>
      <c r="E2268" s="88" t="n"/>
      <c r="F2268" s="89" t="n"/>
      <c r="G2268" s="88" t="n"/>
      <c r="H2268" s="88" t="n"/>
      <c r="I2268" s="88" t="n"/>
      <c r="J2268" s="89" t="n"/>
      <c r="K2268" s="88" t="n"/>
      <c r="L2268" s="88" t="n"/>
      <c r="M2268" s="88" t="n"/>
      <c r="N2268" s="89" t="n"/>
      <c r="O2268" s="88" t="n"/>
      <c r="P2268" s="88" t="n"/>
      <c r="Q2268" s="88" t="n"/>
      <c r="R2268" s="89" t="n"/>
      <c r="S2268" s="88" t="n"/>
      <c r="T2268" s="88" t="n"/>
      <c r="U2268" s="88" t="n"/>
      <c r="V2268" s="89" t="n"/>
      <c r="W2268" s="88" t="n"/>
      <c r="X2268" s="89" t="n"/>
      <c r="Y2268" s="88" t="n"/>
      <c r="Z2268" s="89" t="n"/>
      <c r="AB2268" s="25">
        <f>IF($B2268="","",(COUNTIF(C2268:E2268,"?*")&lt;N(INDEX(Setup!$L$6:$L$23,11)))+(COUNTIF(G2268:I2268,"?*")&lt;N(INDEX(Setup!$L$6:$L$23,11)))+(COUNTIF(K2268:M2268,"?*")&lt;N(INDEX(Setup!$L$6:$L$23,11)))+(COUNTIF(O2268:Q2268,"?*")&lt;N(INDEX(Setup!$L$6:$L$23,11)))+(COUNTIF(S2268:U2268,"?*")&lt;N(INDEX(Setup!$L$6:$L$23,11)))+((W2268="")*(INDEX(Setup!$M$6:$M$23,11)="Y"))+((Y2268="")*(INDEX(Setup!$M$6:$M$23,11)="Y")))</f>
        <v/>
      </c>
      <c r="AC2268" s="90">
        <f>IF($B2268="","",IF(AB2268=0,"✓ covered","⚠ "&amp;AB2268&amp;IF(AB2268=1," gap"," gaps")))</f>
        <v/>
      </c>
    </row>
    <row r="2269" ht="17" customHeight="1">
      <c r="A2269" t="n">
        <v>46</v>
      </c>
      <c r="B2269" s="29">
        <f>IF(Setup!$K$17="","",Setup!$K$17)</f>
        <v/>
      </c>
      <c r="C2269" s="88" t="n"/>
      <c r="D2269" s="88" t="n"/>
      <c r="E2269" s="88" t="n"/>
      <c r="F2269" s="89" t="n"/>
      <c r="G2269" s="88" t="n"/>
      <c r="H2269" s="88" t="n"/>
      <c r="I2269" s="88" t="n"/>
      <c r="J2269" s="89" t="n"/>
      <c r="K2269" s="88" t="n"/>
      <c r="L2269" s="88" t="n"/>
      <c r="M2269" s="88" t="n"/>
      <c r="N2269" s="89" t="n"/>
      <c r="O2269" s="88" t="n"/>
      <c r="P2269" s="88" t="n"/>
      <c r="Q2269" s="88" t="n"/>
      <c r="R2269" s="89" t="n"/>
      <c r="S2269" s="88" t="n"/>
      <c r="T2269" s="88" t="n"/>
      <c r="U2269" s="88" t="n"/>
      <c r="V2269" s="89" t="n"/>
      <c r="W2269" s="88" t="n"/>
      <c r="X2269" s="89" t="n"/>
      <c r="Y2269" s="88" t="n"/>
      <c r="Z2269" s="89" t="n"/>
      <c r="AB2269" s="30">
        <f>IF($B2269="","",(COUNTIF(C2269:E2269,"?*")&lt;N(INDEX(Setup!$L$6:$L$23,12)))+(COUNTIF(G2269:I2269,"?*")&lt;N(INDEX(Setup!$L$6:$L$23,12)))+(COUNTIF(K2269:M2269,"?*")&lt;N(INDEX(Setup!$L$6:$L$23,12)))+(COUNTIF(O2269:Q2269,"?*")&lt;N(INDEX(Setup!$L$6:$L$23,12)))+(COUNTIF(S2269:U2269,"?*")&lt;N(INDEX(Setup!$L$6:$L$23,12)))+((W2269="")*(INDEX(Setup!$M$6:$M$23,12)="Y"))+((Y2269="")*(INDEX(Setup!$M$6:$M$23,12)="Y")))</f>
        <v/>
      </c>
      <c r="AC2269" s="91">
        <f>IF($B2269="","",IF(AB2269=0,"✓ covered","⚠ "&amp;AB2269&amp;IF(AB2269=1," gap"," gaps")))</f>
        <v/>
      </c>
    </row>
    <row r="2270" ht="17" customHeight="1">
      <c r="A2270" t="n">
        <v>46</v>
      </c>
      <c r="B2270" s="24">
        <f>IF(Setup!$K$18="","",Setup!$K$18)</f>
        <v/>
      </c>
      <c r="C2270" s="88" t="n"/>
      <c r="D2270" s="88" t="n"/>
      <c r="E2270" s="88" t="n"/>
      <c r="F2270" s="89" t="n"/>
      <c r="G2270" s="88" t="n"/>
      <c r="H2270" s="88" t="n"/>
      <c r="I2270" s="88" t="n"/>
      <c r="J2270" s="89" t="n"/>
      <c r="K2270" s="88" t="n"/>
      <c r="L2270" s="88" t="n"/>
      <c r="M2270" s="88" t="n"/>
      <c r="N2270" s="89" t="n"/>
      <c r="O2270" s="88" t="n"/>
      <c r="P2270" s="88" t="n"/>
      <c r="Q2270" s="88" t="n"/>
      <c r="R2270" s="89" t="n"/>
      <c r="S2270" s="88" t="n"/>
      <c r="T2270" s="88" t="n"/>
      <c r="U2270" s="88" t="n"/>
      <c r="V2270" s="89" t="n"/>
      <c r="W2270" s="88" t="n"/>
      <c r="X2270" s="89" t="n"/>
      <c r="Y2270" s="88" t="n"/>
      <c r="Z2270" s="89" t="n"/>
      <c r="AB2270" s="25">
        <f>IF($B2270="","",(COUNTIF(C2270:E2270,"?*")&lt;N(INDEX(Setup!$L$6:$L$23,13)))+(COUNTIF(G2270:I2270,"?*")&lt;N(INDEX(Setup!$L$6:$L$23,13)))+(COUNTIF(K2270:M2270,"?*")&lt;N(INDEX(Setup!$L$6:$L$23,13)))+(COUNTIF(O2270:Q2270,"?*")&lt;N(INDEX(Setup!$L$6:$L$23,13)))+(COUNTIF(S2270:U2270,"?*")&lt;N(INDEX(Setup!$L$6:$L$23,13)))+((W2270="")*(INDEX(Setup!$M$6:$M$23,13)="Y"))+((Y2270="")*(INDEX(Setup!$M$6:$M$23,13)="Y")))</f>
        <v/>
      </c>
      <c r="AC2270" s="90">
        <f>IF($B2270="","",IF(AB2270=0,"✓ covered","⚠ "&amp;AB2270&amp;IF(AB2270=1," gap"," gaps")))</f>
        <v/>
      </c>
    </row>
    <row r="2271" ht="17" customHeight="1">
      <c r="A2271" t="n">
        <v>46</v>
      </c>
      <c r="B2271" s="29">
        <f>IF(Setup!$K$19="","",Setup!$K$19)</f>
        <v/>
      </c>
      <c r="C2271" s="88" t="n"/>
      <c r="D2271" s="88" t="n"/>
      <c r="E2271" s="88" t="n"/>
      <c r="F2271" s="89" t="n"/>
      <c r="G2271" s="88" t="n"/>
      <c r="H2271" s="88" t="n"/>
      <c r="I2271" s="88" t="n"/>
      <c r="J2271" s="89" t="n"/>
      <c r="K2271" s="88" t="n"/>
      <c r="L2271" s="88" t="n"/>
      <c r="M2271" s="88" t="n"/>
      <c r="N2271" s="89" t="n"/>
      <c r="O2271" s="88" t="n"/>
      <c r="P2271" s="88" t="n"/>
      <c r="Q2271" s="88" t="n"/>
      <c r="R2271" s="89" t="n"/>
      <c r="S2271" s="88" t="n"/>
      <c r="T2271" s="88" t="n"/>
      <c r="U2271" s="88" t="n"/>
      <c r="V2271" s="89" t="n"/>
      <c r="W2271" s="88" t="n"/>
      <c r="X2271" s="89" t="n"/>
      <c r="Y2271" s="88" t="n"/>
      <c r="Z2271" s="89" t="n"/>
      <c r="AB2271" s="30">
        <f>IF($B2271="","",(COUNTIF(C2271:E2271,"?*")&lt;N(INDEX(Setup!$L$6:$L$23,14)))+(COUNTIF(G2271:I2271,"?*")&lt;N(INDEX(Setup!$L$6:$L$23,14)))+(COUNTIF(K2271:M2271,"?*")&lt;N(INDEX(Setup!$L$6:$L$23,14)))+(COUNTIF(O2271:Q2271,"?*")&lt;N(INDEX(Setup!$L$6:$L$23,14)))+(COUNTIF(S2271:U2271,"?*")&lt;N(INDEX(Setup!$L$6:$L$23,14)))+((W2271="")*(INDEX(Setup!$M$6:$M$23,14)="Y"))+((Y2271="")*(INDEX(Setup!$M$6:$M$23,14)="Y")))</f>
        <v/>
      </c>
      <c r="AC2271" s="91">
        <f>IF($B2271="","",IF(AB2271=0,"✓ covered","⚠ "&amp;AB2271&amp;IF(AB2271=1," gap"," gaps")))</f>
        <v/>
      </c>
    </row>
    <row r="2272" ht="17" customHeight="1">
      <c r="A2272" t="n">
        <v>46</v>
      </c>
      <c r="B2272" s="24">
        <f>IF(Setup!$K$20="","",Setup!$K$20)</f>
        <v/>
      </c>
      <c r="C2272" s="88" t="n"/>
      <c r="D2272" s="88" t="n"/>
      <c r="E2272" s="88" t="n"/>
      <c r="F2272" s="89" t="n"/>
      <c r="G2272" s="88" t="n"/>
      <c r="H2272" s="88" t="n"/>
      <c r="I2272" s="88" t="n"/>
      <c r="J2272" s="89" t="n"/>
      <c r="K2272" s="88" t="n"/>
      <c r="L2272" s="88" t="n"/>
      <c r="M2272" s="88" t="n"/>
      <c r="N2272" s="89" t="n"/>
      <c r="O2272" s="88" t="n"/>
      <c r="P2272" s="88" t="n"/>
      <c r="Q2272" s="88" t="n"/>
      <c r="R2272" s="89" t="n"/>
      <c r="S2272" s="88" t="n"/>
      <c r="T2272" s="88" t="n"/>
      <c r="U2272" s="88" t="n"/>
      <c r="V2272" s="89" t="n"/>
      <c r="W2272" s="88" t="n"/>
      <c r="X2272" s="89" t="n"/>
      <c r="Y2272" s="88" t="n"/>
      <c r="Z2272" s="89" t="n"/>
      <c r="AB2272" s="25">
        <f>IF($B2272="","",(COUNTIF(C2272:E2272,"?*")&lt;N(INDEX(Setup!$L$6:$L$23,15)))+(COUNTIF(G2272:I2272,"?*")&lt;N(INDEX(Setup!$L$6:$L$23,15)))+(COUNTIF(K2272:M2272,"?*")&lt;N(INDEX(Setup!$L$6:$L$23,15)))+(COUNTIF(O2272:Q2272,"?*")&lt;N(INDEX(Setup!$L$6:$L$23,15)))+(COUNTIF(S2272:U2272,"?*")&lt;N(INDEX(Setup!$L$6:$L$23,15)))+((W2272="")*(INDEX(Setup!$M$6:$M$23,15)="Y"))+((Y2272="")*(INDEX(Setup!$M$6:$M$23,15)="Y")))</f>
        <v/>
      </c>
      <c r="AC2272" s="90">
        <f>IF($B2272="","",IF(AB2272=0,"✓ covered","⚠ "&amp;AB2272&amp;IF(AB2272=1," gap"," gaps")))</f>
        <v/>
      </c>
    </row>
    <row r="2273" ht="17" customHeight="1">
      <c r="A2273" t="n">
        <v>46</v>
      </c>
      <c r="B2273" s="29">
        <f>IF(Setup!$K$21="","",Setup!$K$21)</f>
        <v/>
      </c>
      <c r="C2273" s="88" t="n"/>
      <c r="D2273" s="88" t="n"/>
      <c r="E2273" s="88" t="n"/>
      <c r="F2273" s="89" t="n"/>
      <c r="G2273" s="88" t="n"/>
      <c r="H2273" s="88" t="n"/>
      <c r="I2273" s="88" t="n"/>
      <c r="J2273" s="89" t="n"/>
      <c r="K2273" s="88" t="n"/>
      <c r="L2273" s="88" t="n"/>
      <c r="M2273" s="88" t="n"/>
      <c r="N2273" s="89" t="n"/>
      <c r="O2273" s="88" t="n"/>
      <c r="P2273" s="88" t="n"/>
      <c r="Q2273" s="88" t="n"/>
      <c r="R2273" s="89" t="n"/>
      <c r="S2273" s="88" t="n"/>
      <c r="T2273" s="88" t="n"/>
      <c r="U2273" s="88" t="n"/>
      <c r="V2273" s="89" t="n"/>
      <c r="W2273" s="88" t="n"/>
      <c r="X2273" s="89" t="n"/>
      <c r="Y2273" s="88" t="n"/>
      <c r="Z2273" s="89" t="n"/>
      <c r="AB2273" s="30">
        <f>IF($B2273="","",(COUNTIF(C2273:E2273,"?*")&lt;N(INDEX(Setup!$L$6:$L$23,16)))+(COUNTIF(G2273:I2273,"?*")&lt;N(INDEX(Setup!$L$6:$L$23,16)))+(COUNTIF(K2273:M2273,"?*")&lt;N(INDEX(Setup!$L$6:$L$23,16)))+(COUNTIF(O2273:Q2273,"?*")&lt;N(INDEX(Setup!$L$6:$L$23,16)))+(COUNTIF(S2273:U2273,"?*")&lt;N(INDEX(Setup!$L$6:$L$23,16)))+((W2273="")*(INDEX(Setup!$M$6:$M$23,16)="Y"))+((Y2273="")*(INDEX(Setup!$M$6:$M$23,16)="Y")))</f>
        <v/>
      </c>
      <c r="AC2273" s="91">
        <f>IF($B2273="","",IF(AB2273=0,"✓ covered","⚠ "&amp;AB2273&amp;IF(AB2273=1," gap"," gaps")))</f>
        <v/>
      </c>
    </row>
    <row r="2274" ht="17" customHeight="1">
      <c r="A2274" t="n">
        <v>46</v>
      </c>
      <c r="B2274" s="24">
        <f>IF(Setup!$K$22="","",Setup!$K$22)</f>
        <v/>
      </c>
      <c r="C2274" s="88" t="n"/>
      <c r="D2274" s="88" t="n"/>
      <c r="E2274" s="88" t="n"/>
      <c r="F2274" s="89" t="n"/>
      <c r="G2274" s="88" t="n"/>
      <c r="H2274" s="88" t="n"/>
      <c r="I2274" s="88" t="n"/>
      <c r="J2274" s="89" t="n"/>
      <c r="K2274" s="88" t="n"/>
      <c r="L2274" s="88" t="n"/>
      <c r="M2274" s="88" t="n"/>
      <c r="N2274" s="89" t="n"/>
      <c r="O2274" s="88" t="n"/>
      <c r="P2274" s="88" t="n"/>
      <c r="Q2274" s="88" t="n"/>
      <c r="R2274" s="89" t="n"/>
      <c r="S2274" s="88" t="n"/>
      <c r="T2274" s="88" t="n"/>
      <c r="U2274" s="88" t="n"/>
      <c r="V2274" s="89" t="n"/>
      <c r="W2274" s="88" t="n"/>
      <c r="X2274" s="89" t="n"/>
      <c r="Y2274" s="88" t="n"/>
      <c r="Z2274" s="89" t="n"/>
      <c r="AB2274" s="25">
        <f>IF($B2274="","",(COUNTIF(C2274:E2274,"?*")&lt;N(INDEX(Setup!$L$6:$L$23,17)))+(COUNTIF(G2274:I2274,"?*")&lt;N(INDEX(Setup!$L$6:$L$23,17)))+(COUNTIF(K2274:M2274,"?*")&lt;N(INDEX(Setup!$L$6:$L$23,17)))+(COUNTIF(O2274:Q2274,"?*")&lt;N(INDEX(Setup!$L$6:$L$23,17)))+(COUNTIF(S2274:U2274,"?*")&lt;N(INDEX(Setup!$L$6:$L$23,17)))+((W2274="")*(INDEX(Setup!$M$6:$M$23,17)="Y"))+((Y2274="")*(INDEX(Setup!$M$6:$M$23,17)="Y")))</f>
        <v/>
      </c>
      <c r="AC2274" s="90">
        <f>IF($B2274="","",IF(AB2274=0,"✓ covered","⚠ "&amp;AB2274&amp;IF(AB2274=1," gap"," gaps")))</f>
        <v/>
      </c>
    </row>
    <row r="2275" ht="17" customHeight="1">
      <c r="A2275" t="n">
        <v>46</v>
      </c>
      <c r="B2275" s="29">
        <f>IF(Setup!$K$23="","",Setup!$K$23)</f>
        <v/>
      </c>
      <c r="C2275" s="88" t="n"/>
      <c r="D2275" s="88" t="n"/>
      <c r="E2275" s="88" t="n"/>
      <c r="F2275" s="89" t="n"/>
      <c r="G2275" s="88" t="n"/>
      <c r="H2275" s="88" t="n"/>
      <c r="I2275" s="88" t="n"/>
      <c r="J2275" s="89" t="n"/>
      <c r="K2275" s="88" t="n"/>
      <c r="L2275" s="88" t="n"/>
      <c r="M2275" s="88" t="n"/>
      <c r="N2275" s="89" t="n"/>
      <c r="O2275" s="88" t="n"/>
      <c r="P2275" s="88" t="n"/>
      <c r="Q2275" s="88" t="n"/>
      <c r="R2275" s="89" t="n"/>
      <c r="S2275" s="88" t="n"/>
      <c r="T2275" s="88" t="n"/>
      <c r="U2275" s="88" t="n"/>
      <c r="V2275" s="89" t="n"/>
      <c r="W2275" s="88" t="n"/>
      <c r="X2275" s="89" t="n"/>
      <c r="Y2275" s="88" t="n"/>
      <c r="Z2275" s="89" t="n"/>
      <c r="AB2275" s="30">
        <f>IF($B2275="","",(COUNTIF(C2275:E2275,"?*")&lt;N(INDEX(Setup!$L$6:$L$23,18)))+(COUNTIF(G2275:I2275,"?*")&lt;N(INDEX(Setup!$L$6:$L$23,18)))+(COUNTIF(K2275:M2275,"?*")&lt;N(INDEX(Setup!$L$6:$L$23,18)))+(COUNTIF(O2275:Q2275,"?*")&lt;N(INDEX(Setup!$L$6:$L$23,18)))+(COUNTIF(S2275:U2275,"?*")&lt;N(INDEX(Setup!$L$6:$L$23,18)))+((W2275="")*(INDEX(Setup!$M$6:$M$23,18)="Y"))+((Y2275="")*(INDEX(Setup!$M$6:$M$23,18)="Y")))</f>
        <v/>
      </c>
      <c r="AC2275" s="91">
        <f>IF($B2275="","",IF(AB2275=0,"✓ covered","⚠ "&amp;AB2275&amp;IF(AB2275=1," gap"," gaps")))</f>
        <v/>
      </c>
    </row>
    <row r="2276" ht="18" customHeight="1">
      <c r="A2276" t="n">
        <v>46</v>
      </c>
      <c r="B2276" s="78" t="inlineStr">
        <is>
          <t>TEAM AVAILABILITY</t>
        </is>
      </c>
      <c r="C2276" s="92" t="inlineStr">
        <is>
          <t>Mon</t>
        </is>
      </c>
      <c r="D2276" s="93" t="n"/>
      <c r="E2276" s="93" t="n"/>
      <c r="F2276" s="94" t="n"/>
      <c r="G2276" s="92" t="inlineStr">
        <is>
          <t>Tue</t>
        </is>
      </c>
      <c r="H2276" s="93" t="n"/>
      <c r="I2276" s="93" t="n"/>
      <c r="J2276" s="94" t="n"/>
      <c r="K2276" s="92" t="inlineStr">
        <is>
          <t>Wed</t>
        </is>
      </c>
      <c r="L2276" s="93" t="n"/>
      <c r="M2276" s="93" t="n"/>
      <c r="N2276" s="94" t="n"/>
      <c r="O2276" s="92" t="inlineStr">
        <is>
          <t>Thu</t>
        </is>
      </c>
      <c r="P2276" s="93" t="n"/>
      <c r="Q2276" s="93" t="n"/>
      <c r="R2276" s="94" t="n"/>
      <c r="S2276" s="92" t="inlineStr">
        <is>
          <t>Fri</t>
        </is>
      </c>
      <c r="T2276" s="93" t="n"/>
      <c r="U2276" s="93" t="n"/>
      <c r="V2276" s="94" t="n"/>
      <c r="W2276" s="95" t="inlineStr">
        <is>
          <t>Sat</t>
        </is>
      </c>
      <c r="X2276" s="96" t="n"/>
      <c r="Y2276" s="95" t="inlineStr">
        <is>
          <t>Sun</t>
        </is>
      </c>
      <c r="Z2276" s="96" t="n"/>
      <c r="AB2276" s="97" t="inlineStr">
        <is>
          <t>Days rostered</t>
        </is>
      </c>
      <c r="AC2276" s="97" t="inlineStr">
        <is>
          <t>Conflicts</t>
        </is>
      </c>
    </row>
    <row r="2277" ht="15" customHeight="1">
      <c r="A2277" t="n">
        <v>46</v>
      </c>
      <c r="B2277" s="35">
        <f>IF(Setup!$B$6="","",Setup!$B$6)</f>
        <v/>
      </c>
      <c r="C2277" s="98" t="n"/>
      <c r="D2277" s="99" t="n"/>
      <c r="E2277" s="99" t="n"/>
      <c r="F2277" s="100" t="n"/>
      <c r="G2277" s="98" t="n"/>
      <c r="H2277" s="99" t="n"/>
      <c r="I2277" s="99" t="n"/>
      <c r="J2277" s="100" t="n"/>
      <c r="K2277" s="98" t="n"/>
      <c r="L2277" s="99" t="n"/>
      <c r="M2277" s="99" t="n"/>
      <c r="N2277" s="100" t="n"/>
      <c r="O2277" s="98" t="n"/>
      <c r="P2277" s="99" t="n"/>
      <c r="Q2277" s="99" t="n"/>
      <c r="R2277" s="100" t="n"/>
      <c r="S2277" s="98" t="n"/>
      <c r="T2277" s="99" t="n"/>
      <c r="U2277" s="99" t="n"/>
      <c r="V2277" s="100" t="n"/>
      <c r="W2277" s="98" t="n"/>
      <c r="X2277" s="100" t="n"/>
      <c r="Y2277" s="98" t="n"/>
      <c r="Z2277" s="100" t="n"/>
      <c r="AB2277" s="101">
        <f>IF($B2277="","",(COUNTIF(C2258:E2275,$B2277)+COUNTIF(C2258:E2275,$B2277&amp;" ~*")&gt;0)+(COUNTIF(G2258:I2275,$B2277)+COUNTIF(G2258:I2275,$B2277&amp;" ~*")&gt;0)+(COUNTIF(K2258:M2275,$B2277)+COUNTIF(K2258:M2275,$B2277&amp;" ~*")&gt;0)+(COUNTIF(O2258:Q2275,$B2277)+COUNTIF(O2258:Q2275,$B2277&amp;" ~*")&gt;0)+(COUNTIF(S2258:U2275,$B2277)+COUNTIF(S2258:U2275,$B2277&amp;" ~*")&gt;0)+(COUNTIF(W2258:W2275,$B2277)+COUNTIF(W2258:W2275,$B2277&amp;" ~*")&gt;0)+(COUNTIF(Y2258:Y2275,$B2277)+COUNTIF(Y2258:Y2275,$B2277&amp;" ~*")&gt;0))</f>
        <v/>
      </c>
      <c r="AC2277" s="36">
        <f>IF($B2277="","",(IFERROR(INDEX(Setup!$G$33:$G$40,MATCH(C2277,Setup!$B$33:$B$40,0)),0)=1)*(COUNTIF(C2258:E2275,$B2277)+COUNTIF(C2258:E2275,$B2277&amp;" ~*")&gt;0)+(IFERROR(INDEX(Setup!$G$33:$G$40,MATCH(G2277,Setup!$B$33:$B$40,0)),0)=1)*(COUNTIF(G2258:I2275,$B2277)+COUNTIF(G2258:I2275,$B2277&amp;" ~*")&gt;0)+(IFERROR(INDEX(Setup!$G$33:$G$40,MATCH(K2277,Setup!$B$33:$B$40,0)),0)=1)*(COUNTIF(K2258:M2275,$B2277)+COUNTIF(K2258:M2275,$B2277&amp;" ~*")&gt;0)+(IFERROR(INDEX(Setup!$G$33:$G$40,MATCH(O2277,Setup!$B$33:$B$40,0)),0)=1)*(COUNTIF(O2258:Q2275,$B2277)+COUNTIF(O2258:Q2275,$B2277&amp;" ~*")&gt;0)+(IFERROR(INDEX(Setup!$G$33:$G$40,MATCH(S2277,Setup!$B$33:$B$40,0)),0)=1)*(COUNTIF(S2258:U2275,$B2277)+COUNTIF(S2258:U2275,$B2277&amp;" ~*")&gt;0)+(IFERROR(INDEX(Setup!$G$33:$G$40,MATCH(W2277,Setup!$B$33:$B$40,0)),0)=1)*(COUNTIF(W2258:W2275,$B2277)+COUNTIF(W2258:W2275,$B2277&amp;" ~*")&gt;0)+(IFERROR(INDEX(Setup!$G$33:$G$40,MATCH(Y2277,Setup!$B$33:$B$40,0)),0)=1)*(COUNTIF(Y2258:Y2275,$B2277)+COUNTIF(Y2258:Y2275,$B2277&amp;" ~*")&gt;0))</f>
        <v/>
      </c>
    </row>
    <row r="2278" ht="15" customHeight="1">
      <c r="A2278" t="n">
        <v>46</v>
      </c>
      <c r="B2278" s="37">
        <f>IF(Setup!$B$7="","",Setup!$B$7)</f>
        <v/>
      </c>
      <c r="C2278" s="102" t="n"/>
      <c r="D2278" s="103" t="n"/>
      <c r="E2278" s="103" t="n"/>
      <c r="F2278" s="104" t="n"/>
      <c r="G2278" s="102" t="n"/>
      <c r="H2278" s="103" t="n"/>
      <c r="I2278" s="103" t="n"/>
      <c r="J2278" s="104" t="n"/>
      <c r="K2278" s="102" t="n"/>
      <c r="L2278" s="103" t="n"/>
      <c r="M2278" s="103" t="n"/>
      <c r="N2278" s="104" t="n"/>
      <c r="O2278" s="102" t="n"/>
      <c r="P2278" s="103" t="n"/>
      <c r="Q2278" s="103" t="n"/>
      <c r="R2278" s="104" t="n"/>
      <c r="S2278" s="102" t="n"/>
      <c r="T2278" s="103" t="n"/>
      <c r="U2278" s="103" t="n"/>
      <c r="V2278" s="104" t="n"/>
      <c r="W2278" s="102" t="n"/>
      <c r="X2278" s="104" t="n"/>
      <c r="Y2278" s="102" t="n"/>
      <c r="Z2278" s="104" t="n"/>
      <c r="AB2278" s="105">
        <f>IF($B2278="","",(COUNTIF(C2258:E2275,$B2278)+COUNTIF(C2258:E2275,$B2278&amp;" ~*")&gt;0)+(COUNTIF(G2258:I2275,$B2278)+COUNTIF(G2258:I2275,$B2278&amp;" ~*")&gt;0)+(COUNTIF(K2258:M2275,$B2278)+COUNTIF(K2258:M2275,$B2278&amp;" ~*")&gt;0)+(COUNTIF(O2258:Q2275,$B2278)+COUNTIF(O2258:Q2275,$B2278&amp;" ~*")&gt;0)+(COUNTIF(S2258:U2275,$B2278)+COUNTIF(S2258:U2275,$B2278&amp;" ~*")&gt;0)+(COUNTIF(W2258:W2275,$B2278)+COUNTIF(W2258:W2275,$B2278&amp;" ~*")&gt;0)+(COUNTIF(Y2258:Y2275,$B2278)+COUNTIF(Y2258:Y2275,$B2278&amp;" ~*")&gt;0))</f>
        <v/>
      </c>
      <c r="AC2278" s="38">
        <f>IF($B2278="","",(IFERROR(INDEX(Setup!$G$33:$G$40,MATCH(C2278,Setup!$B$33:$B$40,0)),0)=1)*(COUNTIF(C2258:E2275,$B2278)+COUNTIF(C2258:E2275,$B2278&amp;" ~*")&gt;0)+(IFERROR(INDEX(Setup!$G$33:$G$40,MATCH(G2278,Setup!$B$33:$B$40,0)),0)=1)*(COUNTIF(G2258:I2275,$B2278)+COUNTIF(G2258:I2275,$B2278&amp;" ~*")&gt;0)+(IFERROR(INDEX(Setup!$G$33:$G$40,MATCH(K2278,Setup!$B$33:$B$40,0)),0)=1)*(COUNTIF(K2258:M2275,$B2278)+COUNTIF(K2258:M2275,$B2278&amp;" ~*")&gt;0)+(IFERROR(INDEX(Setup!$G$33:$G$40,MATCH(O2278,Setup!$B$33:$B$40,0)),0)=1)*(COUNTIF(O2258:Q2275,$B2278)+COUNTIF(O2258:Q2275,$B2278&amp;" ~*")&gt;0)+(IFERROR(INDEX(Setup!$G$33:$G$40,MATCH(S2278,Setup!$B$33:$B$40,0)),0)=1)*(COUNTIF(S2258:U2275,$B2278)+COUNTIF(S2258:U2275,$B2278&amp;" ~*")&gt;0)+(IFERROR(INDEX(Setup!$G$33:$G$40,MATCH(W2278,Setup!$B$33:$B$40,0)),0)=1)*(COUNTIF(W2258:W2275,$B2278)+COUNTIF(W2258:W2275,$B2278&amp;" ~*")&gt;0)+(IFERROR(INDEX(Setup!$G$33:$G$40,MATCH(Y2278,Setup!$B$33:$B$40,0)),0)=1)*(COUNTIF(Y2258:Y2275,$B2278)+COUNTIF(Y2258:Y2275,$B2278&amp;" ~*")&gt;0))</f>
        <v/>
      </c>
    </row>
    <row r="2279" ht="15" customHeight="1">
      <c r="A2279" t="n">
        <v>46</v>
      </c>
      <c r="B2279" s="35">
        <f>IF(Setup!$B$8="","",Setup!$B$8)</f>
        <v/>
      </c>
      <c r="C2279" s="98" t="n"/>
      <c r="D2279" s="99" t="n"/>
      <c r="E2279" s="99" t="n"/>
      <c r="F2279" s="100" t="n"/>
      <c r="G2279" s="98" t="n"/>
      <c r="H2279" s="99" t="n"/>
      <c r="I2279" s="99" t="n"/>
      <c r="J2279" s="100" t="n"/>
      <c r="K2279" s="98" t="n"/>
      <c r="L2279" s="99" t="n"/>
      <c r="M2279" s="99" t="n"/>
      <c r="N2279" s="100" t="n"/>
      <c r="O2279" s="98" t="n"/>
      <c r="P2279" s="99" t="n"/>
      <c r="Q2279" s="99" t="n"/>
      <c r="R2279" s="100" t="n"/>
      <c r="S2279" s="98" t="n"/>
      <c r="T2279" s="99" t="n"/>
      <c r="U2279" s="99" t="n"/>
      <c r="V2279" s="100" t="n"/>
      <c r="W2279" s="98" t="n"/>
      <c r="X2279" s="100" t="n"/>
      <c r="Y2279" s="98" t="n"/>
      <c r="Z2279" s="100" t="n"/>
      <c r="AB2279" s="101">
        <f>IF($B2279="","",(COUNTIF(C2258:E2275,$B2279)+COUNTIF(C2258:E2275,$B2279&amp;" ~*")&gt;0)+(COUNTIF(G2258:I2275,$B2279)+COUNTIF(G2258:I2275,$B2279&amp;" ~*")&gt;0)+(COUNTIF(K2258:M2275,$B2279)+COUNTIF(K2258:M2275,$B2279&amp;" ~*")&gt;0)+(COUNTIF(O2258:Q2275,$B2279)+COUNTIF(O2258:Q2275,$B2279&amp;" ~*")&gt;0)+(COUNTIF(S2258:U2275,$B2279)+COUNTIF(S2258:U2275,$B2279&amp;" ~*")&gt;0)+(COUNTIF(W2258:W2275,$B2279)+COUNTIF(W2258:W2275,$B2279&amp;" ~*")&gt;0)+(COUNTIF(Y2258:Y2275,$B2279)+COUNTIF(Y2258:Y2275,$B2279&amp;" ~*")&gt;0))</f>
        <v/>
      </c>
      <c r="AC2279" s="36">
        <f>IF($B2279="","",(IFERROR(INDEX(Setup!$G$33:$G$40,MATCH(C2279,Setup!$B$33:$B$40,0)),0)=1)*(COUNTIF(C2258:E2275,$B2279)+COUNTIF(C2258:E2275,$B2279&amp;" ~*")&gt;0)+(IFERROR(INDEX(Setup!$G$33:$G$40,MATCH(G2279,Setup!$B$33:$B$40,0)),0)=1)*(COUNTIF(G2258:I2275,$B2279)+COUNTIF(G2258:I2275,$B2279&amp;" ~*")&gt;0)+(IFERROR(INDEX(Setup!$G$33:$G$40,MATCH(K2279,Setup!$B$33:$B$40,0)),0)=1)*(COUNTIF(K2258:M2275,$B2279)+COUNTIF(K2258:M2275,$B2279&amp;" ~*")&gt;0)+(IFERROR(INDEX(Setup!$G$33:$G$40,MATCH(O2279,Setup!$B$33:$B$40,0)),0)=1)*(COUNTIF(O2258:Q2275,$B2279)+COUNTIF(O2258:Q2275,$B2279&amp;" ~*")&gt;0)+(IFERROR(INDEX(Setup!$G$33:$G$40,MATCH(S2279,Setup!$B$33:$B$40,0)),0)=1)*(COUNTIF(S2258:U2275,$B2279)+COUNTIF(S2258:U2275,$B2279&amp;" ~*")&gt;0)+(IFERROR(INDEX(Setup!$G$33:$G$40,MATCH(W2279,Setup!$B$33:$B$40,0)),0)=1)*(COUNTIF(W2258:W2275,$B2279)+COUNTIF(W2258:W2275,$B2279&amp;" ~*")&gt;0)+(IFERROR(INDEX(Setup!$G$33:$G$40,MATCH(Y2279,Setup!$B$33:$B$40,0)),0)=1)*(COUNTIF(Y2258:Y2275,$B2279)+COUNTIF(Y2258:Y2275,$B2279&amp;" ~*")&gt;0))</f>
        <v/>
      </c>
    </row>
    <row r="2280" ht="15" customHeight="1">
      <c r="A2280" t="n">
        <v>46</v>
      </c>
      <c r="B2280" s="37">
        <f>IF(Setup!$B$9="","",Setup!$B$9)</f>
        <v/>
      </c>
      <c r="C2280" s="102" t="n"/>
      <c r="D2280" s="103" t="n"/>
      <c r="E2280" s="103" t="n"/>
      <c r="F2280" s="104" t="n"/>
      <c r="G2280" s="102" t="n"/>
      <c r="H2280" s="103" t="n"/>
      <c r="I2280" s="103" t="n"/>
      <c r="J2280" s="104" t="n"/>
      <c r="K2280" s="102" t="n"/>
      <c r="L2280" s="103" t="n"/>
      <c r="M2280" s="103" t="n"/>
      <c r="N2280" s="104" t="n"/>
      <c r="O2280" s="102" t="n"/>
      <c r="P2280" s="103" t="n"/>
      <c r="Q2280" s="103" t="n"/>
      <c r="R2280" s="104" t="n"/>
      <c r="S2280" s="102" t="n"/>
      <c r="T2280" s="103" t="n"/>
      <c r="U2280" s="103" t="n"/>
      <c r="V2280" s="104" t="n"/>
      <c r="W2280" s="102" t="n"/>
      <c r="X2280" s="104" t="n"/>
      <c r="Y2280" s="102" t="n"/>
      <c r="Z2280" s="104" t="n"/>
      <c r="AB2280" s="105">
        <f>IF($B2280="","",(COUNTIF(C2258:E2275,$B2280)+COUNTIF(C2258:E2275,$B2280&amp;" ~*")&gt;0)+(COUNTIF(G2258:I2275,$B2280)+COUNTIF(G2258:I2275,$B2280&amp;" ~*")&gt;0)+(COUNTIF(K2258:M2275,$B2280)+COUNTIF(K2258:M2275,$B2280&amp;" ~*")&gt;0)+(COUNTIF(O2258:Q2275,$B2280)+COUNTIF(O2258:Q2275,$B2280&amp;" ~*")&gt;0)+(COUNTIF(S2258:U2275,$B2280)+COUNTIF(S2258:U2275,$B2280&amp;" ~*")&gt;0)+(COUNTIF(W2258:W2275,$B2280)+COUNTIF(W2258:W2275,$B2280&amp;" ~*")&gt;0)+(COUNTIF(Y2258:Y2275,$B2280)+COUNTIF(Y2258:Y2275,$B2280&amp;" ~*")&gt;0))</f>
        <v/>
      </c>
      <c r="AC2280" s="38">
        <f>IF($B2280="","",(IFERROR(INDEX(Setup!$G$33:$G$40,MATCH(C2280,Setup!$B$33:$B$40,0)),0)=1)*(COUNTIF(C2258:E2275,$B2280)+COUNTIF(C2258:E2275,$B2280&amp;" ~*")&gt;0)+(IFERROR(INDEX(Setup!$G$33:$G$40,MATCH(G2280,Setup!$B$33:$B$40,0)),0)=1)*(COUNTIF(G2258:I2275,$B2280)+COUNTIF(G2258:I2275,$B2280&amp;" ~*")&gt;0)+(IFERROR(INDEX(Setup!$G$33:$G$40,MATCH(K2280,Setup!$B$33:$B$40,0)),0)=1)*(COUNTIF(K2258:M2275,$B2280)+COUNTIF(K2258:M2275,$B2280&amp;" ~*")&gt;0)+(IFERROR(INDEX(Setup!$G$33:$G$40,MATCH(O2280,Setup!$B$33:$B$40,0)),0)=1)*(COUNTIF(O2258:Q2275,$B2280)+COUNTIF(O2258:Q2275,$B2280&amp;" ~*")&gt;0)+(IFERROR(INDEX(Setup!$G$33:$G$40,MATCH(S2280,Setup!$B$33:$B$40,0)),0)=1)*(COUNTIF(S2258:U2275,$B2280)+COUNTIF(S2258:U2275,$B2280&amp;" ~*")&gt;0)+(IFERROR(INDEX(Setup!$G$33:$G$40,MATCH(W2280,Setup!$B$33:$B$40,0)),0)=1)*(COUNTIF(W2258:W2275,$B2280)+COUNTIF(W2258:W2275,$B2280&amp;" ~*")&gt;0)+(IFERROR(INDEX(Setup!$G$33:$G$40,MATCH(Y2280,Setup!$B$33:$B$40,0)),0)=1)*(COUNTIF(Y2258:Y2275,$B2280)+COUNTIF(Y2258:Y2275,$B2280&amp;" ~*")&gt;0))</f>
        <v/>
      </c>
    </row>
    <row r="2281" ht="15" customHeight="1">
      <c r="A2281" t="n">
        <v>46</v>
      </c>
      <c r="B2281" s="35">
        <f>IF(Setup!$B$10="","",Setup!$B$10)</f>
        <v/>
      </c>
      <c r="C2281" s="98" t="n"/>
      <c r="D2281" s="99" t="n"/>
      <c r="E2281" s="99" t="n"/>
      <c r="F2281" s="100" t="n"/>
      <c r="G2281" s="98" t="n"/>
      <c r="H2281" s="99" t="n"/>
      <c r="I2281" s="99" t="n"/>
      <c r="J2281" s="100" t="n"/>
      <c r="K2281" s="98" t="n"/>
      <c r="L2281" s="99" t="n"/>
      <c r="M2281" s="99" t="n"/>
      <c r="N2281" s="100" t="n"/>
      <c r="O2281" s="98" t="n"/>
      <c r="P2281" s="99" t="n"/>
      <c r="Q2281" s="99" t="n"/>
      <c r="R2281" s="100" t="n"/>
      <c r="S2281" s="98" t="n"/>
      <c r="T2281" s="99" t="n"/>
      <c r="U2281" s="99" t="n"/>
      <c r="V2281" s="100" t="n"/>
      <c r="W2281" s="98" t="n"/>
      <c r="X2281" s="100" t="n"/>
      <c r="Y2281" s="98" t="n"/>
      <c r="Z2281" s="100" t="n"/>
      <c r="AB2281" s="101">
        <f>IF($B2281="","",(COUNTIF(C2258:E2275,$B2281)+COUNTIF(C2258:E2275,$B2281&amp;" ~*")&gt;0)+(COUNTIF(G2258:I2275,$B2281)+COUNTIF(G2258:I2275,$B2281&amp;" ~*")&gt;0)+(COUNTIF(K2258:M2275,$B2281)+COUNTIF(K2258:M2275,$B2281&amp;" ~*")&gt;0)+(COUNTIF(O2258:Q2275,$B2281)+COUNTIF(O2258:Q2275,$B2281&amp;" ~*")&gt;0)+(COUNTIF(S2258:U2275,$B2281)+COUNTIF(S2258:U2275,$B2281&amp;" ~*")&gt;0)+(COUNTIF(W2258:W2275,$B2281)+COUNTIF(W2258:W2275,$B2281&amp;" ~*")&gt;0)+(COUNTIF(Y2258:Y2275,$B2281)+COUNTIF(Y2258:Y2275,$B2281&amp;" ~*")&gt;0))</f>
        <v/>
      </c>
      <c r="AC2281" s="36">
        <f>IF($B2281="","",(IFERROR(INDEX(Setup!$G$33:$G$40,MATCH(C2281,Setup!$B$33:$B$40,0)),0)=1)*(COUNTIF(C2258:E2275,$B2281)+COUNTIF(C2258:E2275,$B2281&amp;" ~*")&gt;0)+(IFERROR(INDEX(Setup!$G$33:$G$40,MATCH(G2281,Setup!$B$33:$B$40,0)),0)=1)*(COUNTIF(G2258:I2275,$B2281)+COUNTIF(G2258:I2275,$B2281&amp;" ~*")&gt;0)+(IFERROR(INDEX(Setup!$G$33:$G$40,MATCH(K2281,Setup!$B$33:$B$40,0)),0)=1)*(COUNTIF(K2258:M2275,$B2281)+COUNTIF(K2258:M2275,$B2281&amp;" ~*")&gt;0)+(IFERROR(INDEX(Setup!$G$33:$G$40,MATCH(O2281,Setup!$B$33:$B$40,0)),0)=1)*(COUNTIF(O2258:Q2275,$B2281)+COUNTIF(O2258:Q2275,$B2281&amp;" ~*")&gt;0)+(IFERROR(INDEX(Setup!$G$33:$G$40,MATCH(S2281,Setup!$B$33:$B$40,0)),0)=1)*(COUNTIF(S2258:U2275,$B2281)+COUNTIF(S2258:U2275,$B2281&amp;" ~*")&gt;0)+(IFERROR(INDEX(Setup!$G$33:$G$40,MATCH(W2281,Setup!$B$33:$B$40,0)),0)=1)*(COUNTIF(W2258:W2275,$B2281)+COUNTIF(W2258:W2275,$B2281&amp;" ~*")&gt;0)+(IFERROR(INDEX(Setup!$G$33:$G$40,MATCH(Y2281,Setup!$B$33:$B$40,0)),0)=1)*(COUNTIF(Y2258:Y2275,$B2281)+COUNTIF(Y2258:Y2275,$B2281&amp;" ~*")&gt;0))</f>
        <v/>
      </c>
    </row>
    <row r="2282" ht="15" customHeight="1">
      <c r="A2282" t="n">
        <v>46</v>
      </c>
      <c r="B2282" s="37">
        <f>IF(Setup!$B$11="","",Setup!$B$11)</f>
        <v/>
      </c>
      <c r="C2282" s="102" t="n"/>
      <c r="D2282" s="103" t="n"/>
      <c r="E2282" s="103" t="n"/>
      <c r="F2282" s="104" t="n"/>
      <c r="G2282" s="102" t="n"/>
      <c r="H2282" s="103" t="n"/>
      <c r="I2282" s="103" t="n"/>
      <c r="J2282" s="104" t="n"/>
      <c r="K2282" s="102" t="n"/>
      <c r="L2282" s="103" t="n"/>
      <c r="M2282" s="103" t="n"/>
      <c r="N2282" s="104" t="n"/>
      <c r="O2282" s="102" t="n"/>
      <c r="P2282" s="103" t="n"/>
      <c r="Q2282" s="103" t="n"/>
      <c r="R2282" s="104" t="n"/>
      <c r="S2282" s="102" t="n"/>
      <c r="T2282" s="103" t="n"/>
      <c r="U2282" s="103" t="n"/>
      <c r="V2282" s="104" t="n"/>
      <c r="W2282" s="102" t="n"/>
      <c r="X2282" s="104" t="n"/>
      <c r="Y2282" s="102" t="n"/>
      <c r="Z2282" s="104" t="n"/>
      <c r="AB2282" s="105">
        <f>IF($B2282="","",(COUNTIF(C2258:E2275,$B2282)+COUNTIF(C2258:E2275,$B2282&amp;" ~*")&gt;0)+(COUNTIF(G2258:I2275,$B2282)+COUNTIF(G2258:I2275,$B2282&amp;" ~*")&gt;0)+(COUNTIF(K2258:M2275,$B2282)+COUNTIF(K2258:M2275,$B2282&amp;" ~*")&gt;0)+(COUNTIF(O2258:Q2275,$B2282)+COUNTIF(O2258:Q2275,$B2282&amp;" ~*")&gt;0)+(COUNTIF(S2258:U2275,$B2282)+COUNTIF(S2258:U2275,$B2282&amp;" ~*")&gt;0)+(COUNTIF(W2258:W2275,$B2282)+COUNTIF(W2258:W2275,$B2282&amp;" ~*")&gt;0)+(COUNTIF(Y2258:Y2275,$B2282)+COUNTIF(Y2258:Y2275,$B2282&amp;" ~*")&gt;0))</f>
        <v/>
      </c>
      <c r="AC2282" s="38">
        <f>IF($B2282="","",(IFERROR(INDEX(Setup!$G$33:$G$40,MATCH(C2282,Setup!$B$33:$B$40,0)),0)=1)*(COUNTIF(C2258:E2275,$B2282)+COUNTIF(C2258:E2275,$B2282&amp;" ~*")&gt;0)+(IFERROR(INDEX(Setup!$G$33:$G$40,MATCH(G2282,Setup!$B$33:$B$40,0)),0)=1)*(COUNTIF(G2258:I2275,$B2282)+COUNTIF(G2258:I2275,$B2282&amp;" ~*")&gt;0)+(IFERROR(INDEX(Setup!$G$33:$G$40,MATCH(K2282,Setup!$B$33:$B$40,0)),0)=1)*(COUNTIF(K2258:M2275,$B2282)+COUNTIF(K2258:M2275,$B2282&amp;" ~*")&gt;0)+(IFERROR(INDEX(Setup!$G$33:$G$40,MATCH(O2282,Setup!$B$33:$B$40,0)),0)=1)*(COUNTIF(O2258:Q2275,$B2282)+COUNTIF(O2258:Q2275,$B2282&amp;" ~*")&gt;0)+(IFERROR(INDEX(Setup!$G$33:$G$40,MATCH(S2282,Setup!$B$33:$B$40,0)),0)=1)*(COUNTIF(S2258:U2275,$B2282)+COUNTIF(S2258:U2275,$B2282&amp;" ~*")&gt;0)+(IFERROR(INDEX(Setup!$G$33:$G$40,MATCH(W2282,Setup!$B$33:$B$40,0)),0)=1)*(COUNTIF(W2258:W2275,$B2282)+COUNTIF(W2258:W2275,$B2282&amp;" ~*")&gt;0)+(IFERROR(INDEX(Setup!$G$33:$G$40,MATCH(Y2282,Setup!$B$33:$B$40,0)),0)=1)*(COUNTIF(Y2258:Y2275,$B2282)+COUNTIF(Y2258:Y2275,$B2282&amp;" ~*")&gt;0))</f>
        <v/>
      </c>
    </row>
    <row r="2283" ht="15" customHeight="1">
      <c r="A2283" t="n">
        <v>46</v>
      </c>
      <c r="B2283" s="35">
        <f>IF(Setup!$B$12="","",Setup!$B$12)</f>
        <v/>
      </c>
      <c r="C2283" s="98" t="n"/>
      <c r="D2283" s="99" t="n"/>
      <c r="E2283" s="99" t="n"/>
      <c r="F2283" s="100" t="n"/>
      <c r="G2283" s="98" t="n"/>
      <c r="H2283" s="99" t="n"/>
      <c r="I2283" s="99" t="n"/>
      <c r="J2283" s="100" t="n"/>
      <c r="K2283" s="98" t="n"/>
      <c r="L2283" s="99" t="n"/>
      <c r="M2283" s="99" t="n"/>
      <c r="N2283" s="100" t="n"/>
      <c r="O2283" s="98" t="n"/>
      <c r="P2283" s="99" t="n"/>
      <c r="Q2283" s="99" t="n"/>
      <c r="R2283" s="100" t="n"/>
      <c r="S2283" s="98" t="n"/>
      <c r="T2283" s="99" t="n"/>
      <c r="U2283" s="99" t="n"/>
      <c r="V2283" s="100" t="n"/>
      <c r="W2283" s="98" t="n"/>
      <c r="X2283" s="100" t="n"/>
      <c r="Y2283" s="98" t="n"/>
      <c r="Z2283" s="100" t="n"/>
      <c r="AB2283" s="101">
        <f>IF($B2283="","",(COUNTIF(C2258:E2275,$B2283)+COUNTIF(C2258:E2275,$B2283&amp;" ~*")&gt;0)+(COUNTIF(G2258:I2275,$B2283)+COUNTIF(G2258:I2275,$B2283&amp;" ~*")&gt;0)+(COUNTIF(K2258:M2275,$B2283)+COUNTIF(K2258:M2275,$B2283&amp;" ~*")&gt;0)+(COUNTIF(O2258:Q2275,$B2283)+COUNTIF(O2258:Q2275,$B2283&amp;" ~*")&gt;0)+(COUNTIF(S2258:U2275,$B2283)+COUNTIF(S2258:U2275,$B2283&amp;" ~*")&gt;0)+(COUNTIF(W2258:W2275,$B2283)+COUNTIF(W2258:W2275,$B2283&amp;" ~*")&gt;0)+(COUNTIF(Y2258:Y2275,$B2283)+COUNTIF(Y2258:Y2275,$B2283&amp;" ~*")&gt;0))</f>
        <v/>
      </c>
      <c r="AC2283" s="36">
        <f>IF($B2283="","",(IFERROR(INDEX(Setup!$G$33:$G$40,MATCH(C2283,Setup!$B$33:$B$40,0)),0)=1)*(COUNTIF(C2258:E2275,$B2283)+COUNTIF(C2258:E2275,$B2283&amp;" ~*")&gt;0)+(IFERROR(INDEX(Setup!$G$33:$G$40,MATCH(G2283,Setup!$B$33:$B$40,0)),0)=1)*(COUNTIF(G2258:I2275,$B2283)+COUNTIF(G2258:I2275,$B2283&amp;" ~*")&gt;0)+(IFERROR(INDEX(Setup!$G$33:$G$40,MATCH(K2283,Setup!$B$33:$B$40,0)),0)=1)*(COUNTIF(K2258:M2275,$B2283)+COUNTIF(K2258:M2275,$B2283&amp;" ~*")&gt;0)+(IFERROR(INDEX(Setup!$G$33:$G$40,MATCH(O2283,Setup!$B$33:$B$40,0)),0)=1)*(COUNTIF(O2258:Q2275,$B2283)+COUNTIF(O2258:Q2275,$B2283&amp;" ~*")&gt;0)+(IFERROR(INDEX(Setup!$G$33:$G$40,MATCH(S2283,Setup!$B$33:$B$40,0)),0)=1)*(COUNTIF(S2258:U2275,$B2283)+COUNTIF(S2258:U2275,$B2283&amp;" ~*")&gt;0)+(IFERROR(INDEX(Setup!$G$33:$G$40,MATCH(W2283,Setup!$B$33:$B$40,0)),0)=1)*(COUNTIF(W2258:W2275,$B2283)+COUNTIF(W2258:W2275,$B2283&amp;" ~*")&gt;0)+(IFERROR(INDEX(Setup!$G$33:$G$40,MATCH(Y2283,Setup!$B$33:$B$40,0)),0)=1)*(COUNTIF(Y2258:Y2275,$B2283)+COUNTIF(Y2258:Y2275,$B2283&amp;" ~*")&gt;0))</f>
        <v/>
      </c>
    </row>
    <row r="2284" ht="15" customHeight="1">
      <c r="A2284" t="n">
        <v>46</v>
      </c>
      <c r="B2284" s="37">
        <f>IF(Setup!$B$13="","",Setup!$B$13)</f>
        <v/>
      </c>
      <c r="C2284" s="102" t="inlineStr">
        <is>
          <t>AL</t>
        </is>
      </c>
      <c r="D2284" s="103" t="n"/>
      <c r="E2284" s="103" t="n"/>
      <c r="F2284" s="104" t="n"/>
      <c r="G2284" s="102" t="inlineStr">
        <is>
          <t>AL</t>
        </is>
      </c>
      <c r="H2284" s="103" t="n"/>
      <c r="I2284" s="103" t="n"/>
      <c r="J2284" s="104" t="n"/>
      <c r="K2284" s="102" t="inlineStr">
        <is>
          <t>AL</t>
        </is>
      </c>
      <c r="L2284" s="103" t="n"/>
      <c r="M2284" s="103" t="n"/>
      <c r="N2284" s="104" t="n"/>
      <c r="O2284" s="102" t="inlineStr">
        <is>
          <t>AL</t>
        </is>
      </c>
      <c r="P2284" s="103" t="n"/>
      <c r="Q2284" s="103" t="n"/>
      <c r="R2284" s="104" t="n"/>
      <c r="S2284" s="102" t="inlineStr">
        <is>
          <t>AL</t>
        </is>
      </c>
      <c r="T2284" s="103" t="n"/>
      <c r="U2284" s="103" t="n"/>
      <c r="V2284" s="104" t="n"/>
      <c r="W2284" s="102" t="n"/>
      <c r="X2284" s="104" t="n"/>
      <c r="Y2284" s="102" t="n"/>
      <c r="Z2284" s="104" t="n"/>
      <c r="AB2284" s="105">
        <f>IF($B2284="","",(COUNTIF(C2258:E2275,$B2284)+COUNTIF(C2258:E2275,$B2284&amp;" ~*")&gt;0)+(COUNTIF(G2258:I2275,$B2284)+COUNTIF(G2258:I2275,$B2284&amp;" ~*")&gt;0)+(COUNTIF(K2258:M2275,$B2284)+COUNTIF(K2258:M2275,$B2284&amp;" ~*")&gt;0)+(COUNTIF(O2258:Q2275,$B2284)+COUNTIF(O2258:Q2275,$B2284&amp;" ~*")&gt;0)+(COUNTIF(S2258:U2275,$B2284)+COUNTIF(S2258:U2275,$B2284&amp;" ~*")&gt;0)+(COUNTIF(W2258:W2275,$B2284)+COUNTIF(W2258:W2275,$B2284&amp;" ~*")&gt;0)+(COUNTIF(Y2258:Y2275,$B2284)+COUNTIF(Y2258:Y2275,$B2284&amp;" ~*")&gt;0))</f>
        <v/>
      </c>
      <c r="AC2284" s="38">
        <f>IF($B2284="","",(IFERROR(INDEX(Setup!$G$33:$G$40,MATCH(C2284,Setup!$B$33:$B$40,0)),0)=1)*(COUNTIF(C2258:E2275,$B2284)+COUNTIF(C2258:E2275,$B2284&amp;" ~*")&gt;0)+(IFERROR(INDEX(Setup!$G$33:$G$40,MATCH(G2284,Setup!$B$33:$B$40,0)),0)=1)*(COUNTIF(G2258:I2275,$B2284)+COUNTIF(G2258:I2275,$B2284&amp;" ~*")&gt;0)+(IFERROR(INDEX(Setup!$G$33:$G$40,MATCH(K2284,Setup!$B$33:$B$40,0)),0)=1)*(COUNTIF(K2258:M2275,$B2284)+COUNTIF(K2258:M2275,$B2284&amp;" ~*")&gt;0)+(IFERROR(INDEX(Setup!$G$33:$G$40,MATCH(O2284,Setup!$B$33:$B$40,0)),0)=1)*(COUNTIF(O2258:Q2275,$B2284)+COUNTIF(O2258:Q2275,$B2284&amp;" ~*")&gt;0)+(IFERROR(INDEX(Setup!$G$33:$G$40,MATCH(S2284,Setup!$B$33:$B$40,0)),0)=1)*(COUNTIF(S2258:U2275,$B2284)+COUNTIF(S2258:U2275,$B2284&amp;" ~*")&gt;0)+(IFERROR(INDEX(Setup!$G$33:$G$40,MATCH(W2284,Setup!$B$33:$B$40,0)),0)=1)*(COUNTIF(W2258:W2275,$B2284)+COUNTIF(W2258:W2275,$B2284&amp;" ~*")&gt;0)+(IFERROR(INDEX(Setup!$G$33:$G$40,MATCH(Y2284,Setup!$B$33:$B$40,0)),0)=1)*(COUNTIF(Y2258:Y2275,$B2284)+COUNTIF(Y2258:Y2275,$B2284&amp;" ~*")&gt;0))</f>
        <v/>
      </c>
    </row>
    <row r="2285" ht="15" customHeight="1">
      <c r="A2285" t="n">
        <v>46</v>
      </c>
      <c r="B2285" s="35">
        <f>IF(Setup!$B$14="","",Setup!$B$14)</f>
        <v/>
      </c>
      <c r="C2285" s="98" t="n"/>
      <c r="D2285" s="99" t="n"/>
      <c r="E2285" s="99" t="n"/>
      <c r="F2285" s="100" t="n"/>
      <c r="G2285" s="98" t="n"/>
      <c r="H2285" s="99" t="n"/>
      <c r="I2285" s="99" t="n"/>
      <c r="J2285" s="100" t="n"/>
      <c r="K2285" s="98" t="n"/>
      <c r="L2285" s="99" t="n"/>
      <c r="M2285" s="99" t="n"/>
      <c r="N2285" s="100" t="n"/>
      <c r="O2285" s="98" t="n"/>
      <c r="P2285" s="99" t="n"/>
      <c r="Q2285" s="99" t="n"/>
      <c r="R2285" s="100" t="n"/>
      <c r="S2285" s="98" t="n"/>
      <c r="T2285" s="99" t="n"/>
      <c r="U2285" s="99" t="n"/>
      <c r="V2285" s="100" t="n"/>
      <c r="W2285" s="98" t="n"/>
      <c r="X2285" s="100" t="n"/>
      <c r="Y2285" s="98" t="n"/>
      <c r="Z2285" s="100" t="n"/>
      <c r="AB2285" s="101">
        <f>IF($B2285="","",(COUNTIF(C2258:E2275,$B2285)+COUNTIF(C2258:E2275,$B2285&amp;" ~*")&gt;0)+(COUNTIF(G2258:I2275,$B2285)+COUNTIF(G2258:I2275,$B2285&amp;" ~*")&gt;0)+(COUNTIF(K2258:M2275,$B2285)+COUNTIF(K2258:M2275,$B2285&amp;" ~*")&gt;0)+(COUNTIF(O2258:Q2275,$B2285)+COUNTIF(O2258:Q2275,$B2285&amp;" ~*")&gt;0)+(COUNTIF(S2258:U2275,$B2285)+COUNTIF(S2258:U2275,$B2285&amp;" ~*")&gt;0)+(COUNTIF(W2258:W2275,$B2285)+COUNTIF(W2258:W2275,$B2285&amp;" ~*")&gt;0)+(COUNTIF(Y2258:Y2275,$B2285)+COUNTIF(Y2258:Y2275,$B2285&amp;" ~*")&gt;0))</f>
        <v/>
      </c>
      <c r="AC2285" s="36">
        <f>IF($B2285="","",(IFERROR(INDEX(Setup!$G$33:$G$40,MATCH(C2285,Setup!$B$33:$B$40,0)),0)=1)*(COUNTIF(C2258:E2275,$B2285)+COUNTIF(C2258:E2275,$B2285&amp;" ~*")&gt;0)+(IFERROR(INDEX(Setup!$G$33:$G$40,MATCH(G2285,Setup!$B$33:$B$40,0)),0)=1)*(COUNTIF(G2258:I2275,$B2285)+COUNTIF(G2258:I2275,$B2285&amp;" ~*")&gt;0)+(IFERROR(INDEX(Setup!$G$33:$G$40,MATCH(K2285,Setup!$B$33:$B$40,0)),0)=1)*(COUNTIF(K2258:M2275,$B2285)+COUNTIF(K2258:M2275,$B2285&amp;" ~*")&gt;0)+(IFERROR(INDEX(Setup!$G$33:$G$40,MATCH(O2285,Setup!$B$33:$B$40,0)),0)=1)*(COUNTIF(O2258:Q2275,$B2285)+COUNTIF(O2258:Q2275,$B2285&amp;" ~*")&gt;0)+(IFERROR(INDEX(Setup!$G$33:$G$40,MATCH(S2285,Setup!$B$33:$B$40,0)),0)=1)*(COUNTIF(S2258:U2275,$B2285)+COUNTIF(S2258:U2275,$B2285&amp;" ~*")&gt;0)+(IFERROR(INDEX(Setup!$G$33:$G$40,MATCH(W2285,Setup!$B$33:$B$40,0)),0)=1)*(COUNTIF(W2258:W2275,$B2285)+COUNTIF(W2258:W2275,$B2285&amp;" ~*")&gt;0)+(IFERROR(INDEX(Setup!$G$33:$G$40,MATCH(Y2285,Setup!$B$33:$B$40,0)),0)=1)*(COUNTIF(Y2258:Y2275,$B2285)+COUNTIF(Y2258:Y2275,$B2285&amp;" ~*")&gt;0))</f>
        <v/>
      </c>
    </row>
    <row r="2286" ht="15" customHeight="1">
      <c r="A2286" t="n">
        <v>46</v>
      </c>
      <c r="B2286" s="37">
        <f>IF(Setup!$B$15="","",Setup!$B$15)</f>
        <v/>
      </c>
      <c r="C2286" s="102" t="n"/>
      <c r="D2286" s="103" t="n"/>
      <c r="E2286" s="103" t="n"/>
      <c r="F2286" s="104" t="n"/>
      <c r="G2286" s="102" t="n"/>
      <c r="H2286" s="103" t="n"/>
      <c r="I2286" s="103" t="n"/>
      <c r="J2286" s="104" t="n"/>
      <c r="K2286" s="102" t="n"/>
      <c r="L2286" s="103" t="n"/>
      <c r="M2286" s="103" t="n"/>
      <c r="N2286" s="104" t="n"/>
      <c r="O2286" s="102" t="n"/>
      <c r="P2286" s="103" t="n"/>
      <c r="Q2286" s="103" t="n"/>
      <c r="R2286" s="104" t="n"/>
      <c r="S2286" s="102" t="n"/>
      <c r="T2286" s="103" t="n"/>
      <c r="U2286" s="103" t="n"/>
      <c r="V2286" s="104" t="n"/>
      <c r="W2286" s="102" t="n"/>
      <c r="X2286" s="104" t="n"/>
      <c r="Y2286" s="102" t="n"/>
      <c r="Z2286" s="104" t="n"/>
      <c r="AB2286" s="105">
        <f>IF($B2286="","",(COUNTIF(C2258:E2275,$B2286)+COUNTIF(C2258:E2275,$B2286&amp;" ~*")&gt;0)+(COUNTIF(G2258:I2275,$B2286)+COUNTIF(G2258:I2275,$B2286&amp;" ~*")&gt;0)+(COUNTIF(K2258:M2275,$B2286)+COUNTIF(K2258:M2275,$B2286&amp;" ~*")&gt;0)+(COUNTIF(O2258:Q2275,$B2286)+COUNTIF(O2258:Q2275,$B2286&amp;" ~*")&gt;0)+(COUNTIF(S2258:U2275,$B2286)+COUNTIF(S2258:U2275,$B2286&amp;" ~*")&gt;0)+(COUNTIF(W2258:W2275,$B2286)+COUNTIF(W2258:W2275,$B2286&amp;" ~*")&gt;0)+(COUNTIF(Y2258:Y2275,$B2286)+COUNTIF(Y2258:Y2275,$B2286&amp;" ~*")&gt;0))</f>
        <v/>
      </c>
      <c r="AC2286" s="38">
        <f>IF($B2286="","",(IFERROR(INDEX(Setup!$G$33:$G$40,MATCH(C2286,Setup!$B$33:$B$40,0)),0)=1)*(COUNTIF(C2258:E2275,$B2286)+COUNTIF(C2258:E2275,$B2286&amp;" ~*")&gt;0)+(IFERROR(INDEX(Setup!$G$33:$G$40,MATCH(G2286,Setup!$B$33:$B$40,0)),0)=1)*(COUNTIF(G2258:I2275,$B2286)+COUNTIF(G2258:I2275,$B2286&amp;" ~*")&gt;0)+(IFERROR(INDEX(Setup!$G$33:$G$40,MATCH(K2286,Setup!$B$33:$B$40,0)),0)=1)*(COUNTIF(K2258:M2275,$B2286)+COUNTIF(K2258:M2275,$B2286&amp;" ~*")&gt;0)+(IFERROR(INDEX(Setup!$G$33:$G$40,MATCH(O2286,Setup!$B$33:$B$40,0)),0)=1)*(COUNTIF(O2258:Q2275,$B2286)+COUNTIF(O2258:Q2275,$B2286&amp;" ~*")&gt;0)+(IFERROR(INDEX(Setup!$G$33:$G$40,MATCH(S2286,Setup!$B$33:$B$40,0)),0)=1)*(COUNTIF(S2258:U2275,$B2286)+COUNTIF(S2258:U2275,$B2286&amp;" ~*")&gt;0)+(IFERROR(INDEX(Setup!$G$33:$G$40,MATCH(W2286,Setup!$B$33:$B$40,0)),0)=1)*(COUNTIF(W2258:W2275,$B2286)+COUNTIF(W2258:W2275,$B2286&amp;" ~*")&gt;0)+(IFERROR(INDEX(Setup!$G$33:$G$40,MATCH(Y2286,Setup!$B$33:$B$40,0)),0)=1)*(COUNTIF(Y2258:Y2275,$B2286)+COUNTIF(Y2258:Y2275,$B2286&amp;" ~*")&gt;0))</f>
        <v/>
      </c>
    </row>
    <row r="2287" ht="15" customHeight="1">
      <c r="A2287" t="n">
        <v>46</v>
      </c>
      <c r="B2287" s="35">
        <f>IF(Setup!$B$16="","",Setup!$B$16)</f>
        <v/>
      </c>
      <c r="C2287" s="98" t="n"/>
      <c r="D2287" s="99" t="n"/>
      <c r="E2287" s="99" t="n"/>
      <c r="F2287" s="100" t="n"/>
      <c r="G2287" s="98" t="n"/>
      <c r="H2287" s="99" t="n"/>
      <c r="I2287" s="99" t="n"/>
      <c r="J2287" s="100" t="n"/>
      <c r="K2287" s="98" t="n"/>
      <c r="L2287" s="99" t="n"/>
      <c r="M2287" s="99" t="n"/>
      <c r="N2287" s="100" t="n"/>
      <c r="O2287" s="98" t="n"/>
      <c r="P2287" s="99" t="n"/>
      <c r="Q2287" s="99" t="n"/>
      <c r="R2287" s="100" t="n"/>
      <c r="S2287" s="98" t="n"/>
      <c r="T2287" s="99" t="n"/>
      <c r="U2287" s="99" t="n"/>
      <c r="V2287" s="100" t="n"/>
      <c r="W2287" s="98" t="n"/>
      <c r="X2287" s="100" t="n"/>
      <c r="Y2287" s="98" t="n"/>
      <c r="Z2287" s="100" t="n"/>
      <c r="AB2287" s="101">
        <f>IF($B2287="","",(COUNTIF(C2258:E2275,$B2287)+COUNTIF(C2258:E2275,$B2287&amp;" ~*")&gt;0)+(COUNTIF(G2258:I2275,$B2287)+COUNTIF(G2258:I2275,$B2287&amp;" ~*")&gt;0)+(COUNTIF(K2258:M2275,$B2287)+COUNTIF(K2258:M2275,$B2287&amp;" ~*")&gt;0)+(COUNTIF(O2258:Q2275,$B2287)+COUNTIF(O2258:Q2275,$B2287&amp;" ~*")&gt;0)+(COUNTIF(S2258:U2275,$B2287)+COUNTIF(S2258:U2275,$B2287&amp;" ~*")&gt;0)+(COUNTIF(W2258:W2275,$B2287)+COUNTIF(W2258:W2275,$B2287&amp;" ~*")&gt;0)+(COUNTIF(Y2258:Y2275,$B2287)+COUNTIF(Y2258:Y2275,$B2287&amp;" ~*")&gt;0))</f>
        <v/>
      </c>
      <c r="AC2287" s="36">
        <f>IF($B2287="","",(IFERROR(INDEX(Setup!$G$33:$G$40,MATCH(C2287,Setup!$B$33:$B$40,0)),0)=1)*(COUNTIF(C2258:E2275,$B2287)+COUNTIF(C2258:E2275,$B2287&amp;" ~*")&gt;0)+(IFERROR(INDEX(Setup!$G$33:$G$40,MATCH(G2287,Setup!$B$33:$B$40,0)),0)=1)*(COUNTIF(G2258:I2275,$B2287)+COUNTIF(G2258:I2275,$B2287&amp;" ~*")&gt;0)+(IFERROR(INDEX(Setup!$G$33:$G$40,MATCH(K2287,Setup!$B$33:$B$40,0)),0)=1)*(COUNTIF(K2258:M2275,$B2287)+COUNTIF(K2258:M2275,$B2287&amp;" ~*")&gt;0)+(IFERROR(INDEX(Setup!$G$33:$G$40,MATCH(O2287,Setup!$B$33:$B$40,0)),0)=1)*(COUNTIF(O2258:Q2275,$B2287)+COUNTIF(O2258:Q2275,$B2287&amp;" ~*")&gt;0)+(IFERROR(INDEX(Setup!$G$33:$G$40,MATCH(S2287,Setup!$B$33:$B$40,0)),0)=1)*(COUNTIF(S2258:U2275,$B2287)+COUNTIF(S2258:U2275,$B2287&amp;" ~*")&gt;0)+(IFERROR(INDEX(Setup!$G$33:$G$40,MATCH(W2287,Setup!$B$33:$B$40,0)),0)=1)*(COUNTIF(W2258:W2275,$B2287)+COUNTIF(W2258:W2275,$B2287&amp;" ~*")&gt;0)+(IFERROR(INDEX(Setup!$G$33:$G$40,MATCH(Y2287,Setup!$B$33:$B$40,0)),0)=1)*(COUNTIF(Y2258:Y2275,$B2287)+COUNTIF(Y2258:Y2275,$B2287&amp;" ~*")&gt;0))</f>
        <v/>
      </c>
    </row>
    <row r="2288" ht="15" customHeight="1">
      <c r="A2288" t="n">
        <v>46</v>
      </c>
      <c r="B2288" s="37">
        <f>IF(Setup!$B$17="","",Setup!$B$17)</f>
        <v/>
      </c>
      <c r="C2288" s="102" t="n"/>
      <c r="D2288" s="103" t="n"/>
      <c r="E2288" s="103" t="n"/>
      <c r="F2288" s="104" t="n"/>
      <c r="G2288" s="102" t="n"/>
      <c r="H2288" s="103" t="n"/>
      <c r="I2288" s="103" t="n"/>
      <c r="J2288" s="104" t="n"/>
      <c r="K2288" s="102" t="n"/>
      <c r="L2288" s="103" t="n"/>
      <c r="M2288" s="103" t="n"/>
      <c r="N2288" s="104" t="n"/>
      <c r="O2288" s="102" t="n"/>
      <c r="P2288" s="103" t="n"/>
      <c r="Q2288" s="103" t="n"/>
      <c r="R2288" s="104" t="n"/>
      <c r="S2288" s="102" t="n"/>
      <c r="T2288" s="103" t="n"/>
      <c r="U2288" s="103" t="n"/>
      <c r="V2288" s="104" t="n"/>
      <c r="W2288" s="102" t="n"/>
      <c r="X2288" s="104" t="n"/>
      <c r="Y2288" s="102" t="n"/>
      <c r="Z2288" s="104" t="n"/>
      <c r="AB2288" s="105">
        <f>IF($B2288="","",(COUNTIF(C2258:E2275,$B2288)+COUNTIF(C2258:E2275,$B2288&amp;" ~*")&gt;0)+(COUNTIF(G2258:I2275,$B2288)+COUNTIF(G2258:I2275,$B2288&amp;" ~*")&gt;0)+(COUNTIF(K2258:M2275,$B2288)+COUNTIF(K2258:M2275,$B2288&amp;" ~*")&gt;0)+(COUNTIF(O2258:Q2275,$B2288)+COUNTIF(O2258:Q2275,$B2288&amp;" ~*")&gt;0)+(COUNTIF(S2258:U2275,$B2288)+COUNTIF(S2258:U2275,$B2288&amp;" ~*")&gt;0)+(COUNTIF(W2258:W2275,$B2288)+COUNTIF(W2258:W2275,$B2288&amp;" ~*")&gt;0)+(COUNTIF(Y2258:Y2275,$B2288)+COUNTIF(Y2258:Y2275,$B2288&amp;" ~*")&gt;0))</f>
        <v/>
      </c>
      <c r="AC2288" s="38">
        <f>IF($B2288="","",(IFERROR(INDEX(Setup!$G$33:$G$40,MATCH(C2288,Setup!$B$33:$B$40,0)),0)=1)*(COUNTIF(C2258:E2275,$B2288)+COUNTIF(C2258:E2275,$B2288&amp;" ~*")&gt;0)+(IFERROR(INDEX(Setup!$G$33:$G$40,MATCH(G2288,Setup!$B$33:$B$40,0)),0)=1)*(COUNTIF(G2258:I2275,$B2288)+COUNTIF(G2258:I2275,$B2288&amp;" ~*")&gt;0)+(IFERROR(INDEX(Setup!$G$33:$G$40,MATCH(K2288,Setup!$B$33:$B$40,0)),0)=1)*(COUNTIF(K2258:M2275,$B2288)+COUNTIF(K2258:M2275,$B2288&amp;" ~*")&gt;0)+(IFERROR(INDEX(Setup!$G$33:$G$40,MATCH(O2288,Setup!$B$33:$B$40,0)),0)=1)*(COUNTIF(O2258:Q2275,$B2288)+COUNTIF(O2258:Q2275,$B2288&amp;" ~*")&gt;0)+(IFERROR(INDEX(Setup!$G$33:$G$40,MATCH(S2288,Setup!$B$33:$B$40,0)),0)=1)*(COUNTIF(S2258:U2275,$B2288)+COUNTIF(S2258:U2275,$B2288&amp;" ~*")&gt;0)+(IFERROR(INDEX(Setup!$G$33:$G$40,MATCH(W2288,Setup!$B$33:$B$40,0)),0)=1)*(COUNTIF(W2258:W2275,$B2288)+COUNTIF(W2258:W2275,$B2288&amp;" ~*")&gt;0)+(IFERROR(INDEX(Setup!$G$33:$G$40,MATCH(Y2288,Setup!$B$33:$B$40,0)),0)=1)*(COUNTIF(Y2258:Y2275,$B2288)+COUNTIF(Y2258:Y2275,$B2288&amp;" ~*")&gt;0))</f>
        <v/>
      </c>
    </row>
    <row r="2289" ht="15" customHeight="1">
      <c r="A2289" t="n">
        <v>46</v>
      </c>
      <c r="B2289" s="35">
        <f>IF(Setup!$B$18="","",Setup!$B$18)</f>
        <v/>
      </c>
      <c r="C2289" s="98" t="n"/>
      <c r="D2289" s="99" t="n"/>
      <c r="E2289" s="99" t="n"/>
      <c r="F2289" s="100" t="n"/>
      <c r="G2289" s="98" t="n"/>
      <c r="H2289" s="99" t="n"/>
      <c r="I2289" s="99" t="n"/>
      <c r="J2289" s="100" t="n"/>
      <c r="K2289" s="98" t="n"/>
      <c r="L2289" s="99" t="n"/>
      <c r="M2289" s="99" t="n"/>
      <c r="N2289" s="100" t="n"/>
      <c r="O2289" s="98" t="n"/>
      <c r="P2289" s="99" t="n"/>
      <c r="Q2289" s="99" t="n"/>
      <c r="R2289" s="100" t="n"/>
      <c r="S2289" s="98" t="n"/>
      <c r="T2289" s="99" t="n"/>
      <c r="U2289" s="99" t="n"/>
      <c r="V2289" s="100" t="n"/>
      <c r="W2289" s="98" t="n"/>
      <c r="X2289" s="100" t="n"/>
      <c r="Y2289" s="98" t="n"/>
      <c r="Z2289" s="100" t="n"/>
      <c r="AB2289" s="101">
        <f>IF($B2289="","",(COUNTIF(C2258:E2275,$B2289)+COUNTIF(C2258:E2275,$B2289&amp;" ~*")&gt;0)+(COUNTIF(G2258:I2275,$B2289)+COUNTIF(G2258:I2275,$B2289&amp;" ~*")&gt;0)+(COUNTIF(K2258:M2275,$B2289)+COUNTIF(K2258:M2275,$B2289&amp;" ~*")&gt;0)+(COUNTIF(O2258:Q2275,$B2289)+COUNTIF(O2258:Q2275,$B2289&amp;" ~*")&gt;0)+(COUNTIF(S2258:U2275,$B2289)+COUNTIF(S2258:U2275,$B2289&amp;" ~*")&gt;0)+(COUNTIF(W2258:W2275,$B2289)+COUNTIF(W2258:W2275,$B2289&amp;" ~*")&gt;0)+(COUNTIF(Y2258:Y2275,$B2289)+COUNTIF(Y2258:Y2275,$B2289&amp;" ~*")&gt;0))</f>
        <v/>
      </c>
      <c r="AC2289" s="36">
        <f>IF($B2289="","",(IFERROR(INDEX(Setup!$G$33:$G$40,MATCH(C2289,Setup!$B$33:$B$40,0)),0)=1)*(COUNTIF(C2258:E2275,$B2289)+COUNTIF(C2258:E2275,$B2289&amp;" ~*")&gt;0)+(IFERROR(INDEX(Setup!$G$33:$G$40,MATCH(G2289,Setup!$B$33:$B$40,0)),0)=1)*(COUNTIF(G2258:I2275,$B2289)+COUNTIF(G2258:I2275,$B2289&amp;" ~*")&gt;0)+(IFERROR(INDEX(Setup!$G$33:$G$40,MATCH(K2289,Setup!$B$33:$B$40,0)),0)=1)*(COUNTIF(K2258:M2275,$B2289)+COUNTIF(K2258:M2275,$B2289&amp;" ~*")&gt;0)+(IFERROR(INDEX(Setup!$G$33:$G$40,MATCH(O2289,Setup!$B$33:$B$40,0)),0)=1)*(COUNTIF(O2258:Q2275,$B2289)+COUNTIF(O2258:Q2275,$B2289&amp;" ~*")&gt;0)+(IFERROR(INDEX(Setup!$G$33:$G$40,MATCH(S2289,Setup!$B$33:$B$40,0)),0)=1)*(COUNTIF(S2258:U2275,$B2289)+COUNTIF(S2258:U2275,$B2289&amp;" ~*")&gt;0)+(IFERROR(INDEX(Setup!$G$33:$G$40,MATCH(W2289,Setup!$B$33:$B$40,0)),0)=1)*(COUNTIF(W2258:W2275,$B2289)+COUNTIF(W2258:W2275,$B2289&amp;" ~*")&gt;0)+(IFERROR(INDEX(Setup!$G$33:$G$40,MATCH(Y2289,Setup!$B$33:$B$40,0)),0)=1)*(COUNTIF(Y2258:Y2275,$B2289)+COUNTIF(Y2258:Y2275,$B2289&amp;" ~*")&gt;0))</f>
        <v/>
      </c>
    </row>
    <row r="2290" ht="15" customHeight="1">
      <c r="A2290" t="n">
        <v>46</v>
      </c>
      <c r="B2290" s="37">
        <f>IF(Setup!$B$19="","",Setup!$B$19)</f>
        <v/>
      </c>
      <c r="C2290" s="102" t="n"/>
      <c r="D2290" s="103" t="n"/>
      <c r="E2290" s="103" t="n"/>
      <c r="F2290" s="104" t="n"/>
      <c r="G2290" s="102" t="n"/>
      <c r="H2290" s="103" t="n"/>
      <c r="I2290" s="103" t="n"/>
      <c r="J2290" s="104" t="n"/>
      <c r="K2290" s="102" t="n"/>
      <c r="L2290" s="103" t="n"/>
      <c r="M2290" s="103" t="n"/>
      <c r="N2290" s="104" t="n"/>
      <c r="O2290" s="102" t="n"/>
      <c r="P2290" s="103" t="n"/>
      <c r="Q2290" s="103" t="n"/>
      <c r="R2290" s="104" t="n"/>
      <c r="S2290" s="102" t="n"/>
      <c r="T2290" s="103" t="n"/>
      <c r="U2290" s="103" t="n"/>
      <c r="V2290" s="104" t="n"/>
      <c r="W2290" s="102" t="n"/>
      <c r="X2290" s="104" t="n"/>
      <c r="Y2290" s="102" t="n"/>
      <c r="Z2290" s="104" t="n"/>
      <c r="AB2290" s="105">
        <f>IF($B2290="","",(COUNTIF(C2258:E2275,$B2290)+COUNTIF(C2258:E2275,$B2290&amp;" ~*")&gt;0)+(COUNTIF(G2258:I2275,$B2290)+COUNTIF(G2258:I2275,$B2290&amp;" ~*")&gt;0)+(COUNTIF(K2258:M2275,$B2290)+COUNTIF(K2258:M2275,$B2290&amp;" ~*")&gt;0)+(COUNTIF(O2258:Q2275,$B2290)+COUNTIF(O2258:Q2275,$B2290&amp;" ~*")&gt;0)+(COUNTIF(S2258:U2275,$B2290)+COUNTIF(S2258:U2275,$B2290&amp;" ~*")&gt;0)+(COUNTIF(W2258:W2275,$B2290)+COUNTIF(W2258:W2275,$B2290&amp;" ~*")&gt;0)+(COUNTIF(Y2258:Y2275,$B2290)+COUNTIF(Y2258:Y2275,$B2290&amp;" ~*")&gt;0))</f>
        <v/>
      </c>
      <c r="AC2290" s="38">
        <f>IF($B2290="","",(IFERROR(INDEX(Setup!$G$33:$G$40,MATCH(C2290,Setup!$B$33:$B$40,0)),0)=1)*(COUNTIF(C2258:E2275,$B2290)+COUNTIF(C2258:E2275,$B2290&amp;" ~*")&gt;0)+(IFERROR(INDEX(Setup!$G$33:$G$40,MATCH(G2290,Setup!$B$33:$B$40,0)),0)=1)*(COUNTIF(G2258:I2275,$B2290)+COUNTIF(G2258:I2275,$B2290&amp;" ~*")&gt;0)+(IFERROR(INDEX(Setup!$G$33:$G$40,MATCH(K2290,Setup!$B$33:$B$40,0)),0)=1)*(COUNTIF(K2258:M2275,$B2290)+COUNTIF(K2258:M2275,$B2290&amp;" ~*")&gt;0)+(IFERROR(INDEX(Setup!$G$33:$G$40,MATCH(O2290,Setup!$B$33:$B$40,0)),0)=1)*(COUNTIF(O2258:Q2275,$B2290)+COUNTIF(O2258:Q2275,$B2290&amp;" ~*")&gt;0)+(IFERROR(INDEX(Setup!$G$33:$G$40,MATCH(S2290,Setup!$B$33:$B$40,0)),0)=1)*(COUNTIF(S2258:U2275,$B2290)+COUNTIF(S2258:U2275,$B2290&amp;" ~*")&gt;0)+(IFERROR(INDEX(Setup!$G$33:$G$40,MATCH(W2290,Setup!$B$33:$B$40,0)),0)=1)*(COUNTIF(W2258:W2275,$B2290)+COUNTIF(W2258:W2275,$B2290&amp;" ~*")&gt;0)+(IFERROR(INDEX(Setup!$G$33:$G$40,MATCH(Y2290,Setup!$B$33:$B$40,0)),0)=1)*(COUNTIF(Y2258:Y2275,$B2290)+COUNTIF(Y2258:Y2275,$B2290&amp;" ~*")&gt;0))</f>
        <v/>
      </c>
    </row>
    <row r="2291" ht="15" customHeight="1">
      <c r="A2291" t="n">
        <v>46</v>
      </c>
      <c r="B2291" s="35">
        <f>IF(Setup!$B$20="","",Setup!$B$20)</f>
        <v/>
      </c>
      <c r="C2291" s="98" t="n"/>
      <c r="D2291" s="99" t="n"/>
      <c r="E2291" s="99" t="n"/>
      <c r="F2291" s="100" t="n"/>
      <c r="G2291" s="98" t="n"/>
      <c r="H2291" s="99" t="n"/>
      <c r="I2291" s="99" t="n"/>
      <c r="J2291" s="100" t="n"/>
      <c r="K2291" s="98" t="n"/>
      <c r="L2291" s="99" t="n"/>
      <c r="M2291" s="99" t="n"/>
      <c r="N2291" s="100" t="n"/>
      <c r="O2291" s="98" t="n"/>
      <c r="P2291" s="99" t="n"/>
      <c r="Q2291" s="99" t="n"/>
      <c r="R2291" s="100" t="n"/>
      <c r="S2291" s="98" t="n"/>
      <c r="T2291" s="99" t="n"/>
      <c r="U2291" s="99" t="n"/>
      <c r="V2291" s="100" t="n"/>
      <c r="W2291" s="98" t="n"/>
      <c r="X2291" s="100" t="n"/>
      <c r="Y2291" s="98" t="n"/>
      <c r="Z2291" s="100" t="n"/>
      <c r="AB2291" s="101">
        <f>IF($B2291="","",(COUNTIF(C2258:E2275,$B2291)+COUNTIF(C2258:E2275,$B2291&amp;" ~*")&gt;0)+(COUNTIF(G2258:I2275,$B2291)+COUNTIF(G2258:I2275,$B2291&amp;" ~*")&gt;0)+(COUNTIF(K2258:M2275,$B2291)+COUNTIF(K2258:M2275,$B2291&amp;" ~*")&gt;0)+(COUNTIF(O2258:Q2275,$B2291)+COUNTIF(O2258:Q2275,$B2291&amp;" ~*")&gt;0)+(COUNTIF(S2258:U2275,$B2291)+COUNTIF(S2258:U2275,$B2291&amp;" ~*")&gt;0)+(COUNTIF(W2258:W2275,$B2291)+COUNTIF(W2258:W2275,$B2291&amp;" ~*")&gt;0)+(COUNTIF(Y2258:Y2275,$B2291)+COUNTIF(Y2258:Y2275,$B2291&amp;" ~*")&gt;0))</f>
        <v/>
      </c>
      <c r="AC2291" s="36">
        <f>IF($B2291="","",(IFERROR(INDEX(Setup!$G$33:$G$40,MATCH(C2291,Setup!$B$33:$B$40,0)),0)=1)*(COUNTIF(C2258:E2275,$B2291)+COUNTIF(C2258:E2275,$B2291&amp;" ~*")&gt;0)+(IFERROR(INDEX(Setup!$G$33:$G$40,MATCH(G2291,Setup!$B$33:$B$40,0)),0)=1)*(COUNTIF(G2258:I2275,$B2291)+COUNTIF(G2258:I2275,$B2291&amp;" ~*")&gt;0)+(IFERROR(INDEX(Setup!$G$33:$G$40,MATCH(K2291,Setup!$B$33:$B$40,0)),0)=1)*(COUNTIF(K2258:M2275,$B2291)+COUNTIF(K2258:M2275,$B2291&amp;" ~*")&gt;0)+(IFERROR(INDEX(Setup!$G$33:$G$40,MATCH(O2291,Setup!$B$33:$B$40,0)),0)=1)*(COUNTIF(O2258:Q2275,$B2291)+COUNTIF(O2258:Q2275,$B2291&amp;" ~*")&gt;0)+(IFERROR(INDEX(Setup!$G$33:$G$40,MATCH(S2291,Setup!$B$33:$B$40,0)),0)=1)*(COUNTIF(S2258:U2275,$B2291)+COUNTIF(S2258:U2275,$B2291&amp;" ~*")&gt;0)+(IFERROR(INDEX(Setup!$G$33:$G$40,MATCH(W2291,Setup!$B$33:$B$40,0)),0)=1)*(COUNTIF(W2258:W2275,$B2291)+COUNTIF(W2258:W2275,$B2291&amp;" ~*")&gt;0)+(IFERROR(INDEX(Setup!$G$33:$G$40,MATCH(Y2291,Setup!$B$33:$B$40,0)),0)=1)*(COUNTIF(Y2258:Y2275,$B2291)+COUNTIF(Y2258:Y2275,$B2291&amp;" ~*")&gt;0))</f>
        <v/>
      </c>
    </row>
    <row r="2292" ht="15" customHeight="1">
      <c r="A2292" t="n">
        <v>46</v>
      </c>
      <c r="B2292" s="37">
        <f>IF(Setup!$B$21="","",Setup!$B$21)</f>
        <v/>
      </c>
      <c r="C2292" s="102" t="n"/>
      <c r="D2292" s="103" t="n"/>
      <c r="E2292" s="103" t="n"/>
      <c r="F2292" s="104" t="n"/>
      <c r="G2292" s="102" t="n"/>
      <c r="H2292" s="103" t="n"/>
      <c r="I2292" s="103" t="n"/>
      <c r="J2292" s="104" t="n"/>
      <c r="K2292" s="102" t="n"/>
      <c r="L2292" s="103" t="n"/>
      <c r="M2292" s="103" t="n"/>
      <c r="N2292" s="104" t="n"/>
      <c r="O2292" s="102" t="n"/>
      <c r="P2292" s="103" t="n"/>
      <c r="Q2292" s="103" t="n"/>
      <c r="R2292" s="104" t="n"/>
      <c r="S2292" s="102" t="n"/>
      <c r="T2292" s="103" t="n"/>
      <c r="U2292" s="103" t="n"/>
      <c r="V2292" s="104" t="n"/>
      <c r="W2292" s="102" t="n"/>
      <c r="X2292" s="104" t="n"/>
      <c r="Y2292" s="102" t="n"/>
      <c r="Z2292" s="104" t="n"/>
      <c r="AB2292" s="105">
        <f>IF($B2292="","",(COUNTIF(C2258:E2275,$B2292)+COUNTIF(C2258:E2275,$B2292&amp;" ~*")&gt;0)+(COUNTIF(G2258:I2275,$B2292)+COUNTIF(G2258:I2275,$B2292&amp;" ~*")&gt;0)+(COUNTIF(K2258:M2275,$B2292)+COUNTIF(K2258:M2275,$B2292&amp;" ~*")&gt;0)+(COUNTIF(O2258:Q2275,$B2292)+COUNTIF(O2258:Q2275,$B2292&amp;" ~*")&gt;0)+(COUNTIF(S2258:U2275,$B2292)+COUNTIF(S2258:U2275,$B2292&amp;" ~*")&gt;0)+(COUNTIF(W2258:W2275,$B2292)+COUNTIF(W2258:W2275,$B2292&amp;" ~*")&gt;0)+(COUNTIF(Y2258:Y2275,$B2292)+COUNTIF(Y2258:Y2275,$B2292&amp;" ~*")&gt;0))</f>
        <v/>
      </c>
      <c r="AC2292" s="38">
        <f>IF($B2292="","",(IFERROR(INDEX(Setup!$G$33:$G$40,MATCH(C2292,Setup!$B$33:$B$40,0)),0)=1)*(COUNTIF(C2258:E2275,$B2292)+COUNTIF(C2258:E2275,$B2292&amp;" ~*")&gt;0)+(IFERROR(INDEX(Setup!$G$33:$G$40,MATCH(G2292,Setup!$B$33:$B$40,0)),0)=1)*(COUNTIF(G2258:I2275,$B2292)+COUNTIF(G2258:I2275,$B2292&amp;" ~*")&gt;0)+(IFERROR(INDEX(Setup!$G$33:$G$40,MATCH(K2292,Setup!$B$33:$B$40,0)),0)=1)*(COUNTIF(K2258:M2275,$B2292)+COUNTIF(K2258:M2275,$B2292&amp;" ~*")&gt;0)+(IFERROR(INDEX(Setup!$G$33:$G$40,MATCH(O2292,Setup!$B$33:$B$40,0)),0)=1)*(COUNTIF(O2258:Q2275,$B2292)+COUNTIF(O2258:Q2275,$B2292&amp;" ~*")&gt;0)+(IFERROR(INDEX(Setup!$G$33:$G$40,MATCH(S2292,Setup!$B$33:$B$40,0)),0)=1)*(COUNTIF(S2258:U2275,$B2292)+COUNTIF(S2258:U2275,$B2292&amp;" ~*")&gt;0)+(IFERROR(INDEX(Setup!$G$33:$G$40,MATCH(W2292,Setup!$B$33:$B$40,0)),0)=1)*(COUNTIF(W2258:W2275,$B2292)+COUNTIF(W2258:W2275,$B2292&amp;" ~*")&gt;0)+(IFERROR(INDEX(Setup!$G$33:$G$40,MATCH(Y2292,Setup!$B$33:$B$40,0)),0)=1)*(COUNTIF(Y2258:Y2275,$B2292)+COUNTIF(Y2258:Y2275,$B2292&amp;" ~*")&gt;0))</f>
        <v/>
      </c>
    </row>
    <row r="2293" ht="15" customHeight="1">
      <c r="A2293" t="n">
        <v>46</v>
      </c>
      <c r="B2293" s="35">
        <f>IF(Setup!$B$22="","",Setup!$B$22)</f>
        <v/>
      </c>
      <c r="C2293" s="98" t="n"/>
      <c r="D2293" s="99" t="n"/>
      <c r="E2293" s="99" t="n"/>
      <c r="F2293" s="100" t="n"/>
      <c r="G2293" s="98" t="n"/>
      <c r="H2293" s="99" t="n"/>
      <c r="I2293" s="99" t="n"/>
      <c r="J2293" s="100" t="n"/>
      <c r="K2293" s="98" t="n"/>
      <c r="L2293" s="99" t="n"/>
      <c r="M2293" s="99" t="n"/>
      <c r="N2293" s="100" t="n"/>
      <c r="O2293" s="98" t="n"/>
      <c r="P2293" s="99" t="n"/>
      <c r="Q2293" s="99" t="n"/>
      <c r="R2293" s="100" t="n"/>
      <c r="S2293" s="98" t="n"/>
      <c r="T2293" s="99" t="n"/>
      <c r="U2293" s="99" t="n"/>
      <c r="V2293" s="100" t="n"/>
      <c r="W2293" s="98" t="n"/>
      <c r="X2293" s="100" t="n"/>
      <c r="Y2293" s="98" t="n"/>
      <c r="Z2293" s="100" t="n"/>
      <c r="AB2293" s="101">
        <f>IF($B2293="","",(COUNTIF(C2258:E2275,$B2293)+COUNTIF(C2258:E2275,$B2293&amp;" ~*")&gt;0)+(COUNTIF(G2258:I2275,$B2293)+COUNTIF(G2258:I2275,$B2293&amp;" ~*")&gt;0)+(COUNTIF(K2258:M2275,$B2293)+COUNTIF(K2258:M2275,$B2293&amp;" ~*")&gt;0)+(COUNTIF(O2258:Q2275,$B2293)+COUNTIF(O2258:Q2275,$B2293&amp;" ~*")&gt;0)+(COUNTIF(S2258:U2275,$B2293)+COUNTIF(S2258:U2275,$B2293&amp;" ~*")&gt;0)+(COUNTIF(W2258:W2275,$B2293)+COUNTIF(W2258:W2275,$B2293&amp;" ~*")&gt;0)+(COUNTIF(Y2258:Y2275,$B2293)+COUNTIF(Y2258:Y2275,$B2293&amp;" ~*")&gt;0))</f>
        <v/>
      </c>
      <c r="AC2293" s="36">
        <f>IF($B2293="","",(IFERROR(INDEX(Setup!$G$33:$G$40,MATCH(C2293,Setup!$B$33:$B$40,0)),0)=1)*(COUNTIF(C2258:E2275,$B2293)+COUNTIF(C2258:E2275,$B2293&amp;" ~*")&gt;0)+(IFERROR(INDEX(Setup!$G$33:$G$40,MATCH(G2293,Setup!$B$33:$B$40,0)),0)=1)*(COUNTIF(G2258:I2275,$B2293)+COUNTIF(G2258:I2275,$B2293&amp;" ~*")&gt;0)+(IFERROR(INDEX(Setup!$G$33:$G$40,MATCH(K2293,Setup!$B$33:$B$40,0)),0)=1)*(COUNTIF(K2258:M2275,$B2293)+COUNTIF(K2258:M2275,$B2293&amp;" ~*")&gt;0)+(IFERROR(INDEX(Setup!$G$33:$G$40,MATCH(O2293,Setup!$B$33:$B$40,0)),0)=1)*(COUNTIF(O2258:Q2275,$B2293)+COUNTIF(O2258:Q2275,$B2293&amp;" ~*")&gt;0)+(IFERROR(INDEX(Setup!$G$33:$G$40,MATCH(S2293,Setup!$B$33:$B$40,0)),0)=1)*(COUNTIF(S2258:U2275,$B2293)+COUNTIF(S2258:U2275,$B2293&amp;" ~*")&gt;0)+(IFERROR(INDEX(Setup!$G$33:$G$40,MATCH(W2293,Setup!$B$33:$B$40,0)),0)=1)*(COUNTIF(W2258:W2275,$B2293)+COUNTIF(W2258:W2275,$B2293&amp;" ~*")&gt;0)+(IFERROR(INDEX(Setup!$G$33:$G$40,MATCH(Y2293,Setup!$B$33:$B$40,0)),0)=1)*(COUNTIF(Y2258:Y2275,$B2293)+COUNTIF(Y2258:Y2275,$B2293&amp;" ~*")&gt;0))</f>
        <v/>
      </c>
    </row>
    <row r="2294" ht="15" customHeight="1">
      <c r="A2294" t="n">
        <v>46</v>
      </c>
      <c r="B2294" s="37">
        <f>IF(Setup!$B$23="","",Setup!$B$23)</f>
        <v/>
      </c>
      <c r="C2294" s="102" t="n"/>
      <c r="D2294" s="103" t="n"/>
      <c r="E2294" s="103" t="n"/>
      <c r="F2294" s="104" t="n"/>
      <c r="G2294" s="102" t="n"/>
      <c r="H2294" s="103" t="n"/>
      <c r="I2294" s="103" t="n"/>
      <c r="J2294" s="104" t="n"/>
      <c r="K2294" s="102" t="n"/>
      <c r="L2294" s="103" t="n"/>
      <c r="M2294" s="103" t="n"/>
      <c r="N2294" s="104" t="n"/>
      <c r="O2294" s="102" t="n"/>
      <c r="P2294" s="103" t="n"/>
      <c r="Q2294" s="103" t="n"/>
      <c r="R2294" s="104" t="n"/>
      <c r="S2294" s="102" t="n"/>
      <c r="T2294" s="103" t="n"/>
      <c r="U2294" s="103" t="n"/>
      <c r="V2294" s="104" t="n"/>
      <c r="W2294" s="102" t="n"/>
      <c r="X2294" s="104" t="n"/>
      <c r="Y2294" s="102" t="n"/>
      <c r="Z2294" s="104" t="n"/>
      <c r="AB2294" s="105">
        <f>IF($B2294="","",(COUNTIF(C2258:E2275,$B2294)+COUNTIF(C2258:E2275,$B2294&amp;" ~*")&gt;0)+(COUNTIF(G2258:I2275,$B2294)+COUNTIF(G2258:I2275,$B2294&amp;" ~*")&gt;0)+(COUNTIF(K2258:M2275,$B2294)+COUNTIF(K2258:M2275,$B2294&amp;" ~*")&gt;0)+(COUNTIF(O2258:Q2275,$B2294)+COUNTIF(O2258:Q2275,$B2294&amp;" ~*")&gt;0)+(COUNTIF(S2258:U2275,$B2294)+COUNTIF(S2258:U2275,$B2294&amp;" ~*")&gt;0)+(COUNTIF(W2258:W2275,$B2294)+COUNTIF(W2258:W2275,$B2294&amp;" ~*")&gt;0)+(COUNTIF(Y2258:Y2275,$B2294)+COUNTIF(Y2258:Y2275,$B2294&amp;" ~*")&gt;0))</f>
        <v/>
      </c>
      <c r="AC2294" s="38">
        <f>IF($B2294="","",(IFERROR(INDEX(Setup!$G$33:$G$40,MATCH(C2294,Setup!$B$33:$B$40,0)),0)=1)*(COUNTIF(C2258:E2275,$B2294)+COUNTIF(C2258:E2275,$B2294&amp;" ~*")&gt;0)+(IFERROR(INDEX(Setup!$G$33:$G$40,MATCH(G2294,Setup!$B$33:$B$40,0)),0)=1)*(COUNTIF(G2258:I2275,$B2294)+COUNTIF(G2258:I2275,$B2294&amp;" ~*")&gt;0)+(IFERROR(INDEX(Setup!$G$33:$G$40,MATCH(K2294,Setup!$B$33:$B$40,0)),0)=1)*(COUNTIF(K2258:M2275,$B2294)+COUNTIF(K2258:M2275,$B2294&amp;" ~*")&gt;0)+(IFERROR(INDEX(Setup!$G$33:$G$40,MATCH(O2294,Setup!$B$33:$B$40,0)),0)=1)*(COUNTIF(O2258:Q2275,$B2294)+COUNTIF(O2258:Q2275,$B2294&amp;" ~*")&gt;0)+(IFERROR(INDEX(Setup!$G$33:$G$40,MATCH(S2294,Setup!$B$33:$B$40,0)),0)=1)*(COUNTIF(S2258:U2275,$B2294)+COUNTIF(S2258:U2275,$B2294&amp;" ~*")&gt;0)+(IFERROR(INDEX(Setup!$G$33:$G$40,MATCH(W2294,Setup!$B$33:$B$40,0)),0)=1)*(COUNTIF(W2258:W2275,$B2294)+COUNTIF(W2258:W2275,$B2294&amp;" ~*")&gt;0)+(IFERROR(INDEX(Setup!$G$33:$G$40,MATCH(Y2294,Setup!$B$33:$B$40,0)),0)=1)*(COUNTIF(Y2258:Y2275,$B2294)+COUNTIF(Y2258:Y2275,$B2294&amp;" ~*")&gt;0))</f>
        <v/>
      </c>
    </row>
    <row r="2295" ht="15" customHeight="1">
      <c r="A2295" t="n">
        <v>46</v>
      </c>
      <c r="B2295" s="35">
        <f>IF(Setup!$B$24="","",Setup!$B$24)</f>
        <v/>
      </c>
      <c r="C2295" s="98" t="n"/>
      <c r="D2295" s="99" t="n"/>
      <c r="E2295" s="99" t="n"/>
      <c r="F2295" s="100" t="n"/>
      <c r="G2295" s="98" t="n"/>
      <c r="H2295" s="99" t="n"/>
      <c r="I2295" s="99" t="n"/>
      <c r="J2295" s="100" t="n"/>
      <c r="K2295" s="98" t="n"/>
      <c r="L2295" s="99" t="n"/>
      <c r="M2295" s="99" t="n"/>
      <c r="N2295" s="100" t="n"/>
      <c r="O2295" s="98" t="n"/>
      <c r="P2295" s="99" t="n"/>
      <c r="Q2295" s="99" t="n"/>
      <c r="R2295" s="100" t="n"/>
      <c r="S2295" s="98" t="n"/>
      <c r="T2295" s="99" t="n"/>
      <c r="U2295" s="99" t="n"/>
      <c r="V2295" s="100" t="n"/>
      <c r="W2295" s="98" t="n"/>
      <c r="X2295" s="100" t="n"/>
      <c r="Y2295" s="98" t="n"/>
      <c r="Z2295" s="100" t="n"/>
      <c r="AB2295" s="101">
        <f>IF($B2295="","",(COUNTIF(C2258:E2275,$B2295)+COUNTIF(C2258:E2275,$B2295&amp;" ~*")&gt;0)+(COUNTIF(G2258:I2275,$B2295)+COUNTIF(G2258:I2275,$B2295&amp;" ~*")&gt;0)+(COUNTIF(K2258:M2275,$B2295)+COUNTIF(K2258:M2275,$B2295&amp;" ~*")&gt;0)+(COUNTIF(O2258:Q2275,$B2295)+COUNTIF(O2258:Q2275,$B2295&amp;" ~*")&gt;0)+(COUNTIF(S2258:U2275,$B2295)+COUNTIF(S2258:U2275,$B2295&amp;" ~*")&gt;0)+(COUNTIF(W2258:W2275,$B2295)+COUNTIF(W2258:W2275,$B2295&amp;" ~*")&gt;0)+(COUNTIF(Y2258:Y2275,$B2295)+COUNTIF(Y2258:Y2275,$B2295&amp;" ~*")&gt;0))</f>
        <v/>
      </c>
      <c r="AC2295" s="36">
        <f>IF($B2295="","",(IFERROR(INDEX(Setup!$G$33:$G$40,MATCH(C2295,Setup!$B$33:$B$40,0)),0)=1)*(COUNTIF(C2258:E2275,$B2295)+COUNTIF(C2258:E2275,$B2295&amp;" ~*")&gt;0)+(IFERROR(INDEX(Setup!$G$33:$G$40,MATCH(G2295,Setup!$B$33:$B$40,0)),0)=1)*(COUNTIF(G2258:I2275,$B2295)+COUNTIF(G2258:I2275,$B2295&amp;" ~*")&gt;0)+(IFERROR(INDEX(Setup!$G$33:$G$40,MATCH(K2295,Setup!$B$33:$B$40,0)),0)=1)*(COUNTIF(K2258:M2275,$B2295)+COUNTIF(K2258:M2275,$B2295&amp;" ~*")&gt;0)+(IFERROR(INDEX(Setup!$G$33:$G$40,MATCH(O2295,Setup!$B$33:$B$40,0)),0)=1)*(COUNTIF(O2258:Q2275,$B2295)+COUNTIF(O2258:Q2275,$B2295&amp;" ~*")&gt;0)+(IFERROR(INDEX(Setup!$G$33:$G$40,MATCH(S2295,Setup!$B$33:$B$40,0)),0)=1)*(COUNTIF(S2258:U2275,$B2295)+COUNTIF(S2258:U2275,$B2295&amp;" ~*")&gt;0)+(IFERROR(INDEX(Setup!$G$33:$G$40,MATCH(W2295,Setup!$B$33:$B$40,0)),0)=1)*(COUNTIF(W2258:W2275,$B2295)+COUNTIF(W2258:W2275,$B2295&amp;" ~*")&gt;0)+(IFERROR(INDEX(Setup!$G$33:$G$40,MATCH(Y2295,Setup!$B$33:$B$40,0)),0)=1)*(COUNTIF(Y2258:Y2275,$B2295)+COUNTIF(Y2258:Y2275,$B2295&amp;" ~*")&gt;0))</f>
        <v/>
      </c>
    </row>
    <row r="2296" ht="15" customHeight="1">
      <c r="A2296" t="n">
        <v>46</v>
      </c>
      <c r="B2296" s="37">
        <f>IF(Setup!$B$25="","",Setup!$B$25)</f>
        <v/>
      </c>
      <c r="C2296" s="102" t="n"/>
      <c r="D2296" s="103" t="n"/>
      <c r="E2296" s="103" t="n"/>
      <c r="F2296" s="104" t="n"/>
      <c r="G2296" s="102" t="n"/>
      <c r="H2296" s="103" t="n"/>
      <c r="I2296" s="103" t="n"/>
      <c r="J2296" s="104" t="n"/>
      <c r="K2296" s="102" t="n"/>
      <c r="L2296" s="103" t="n"/>
      <c r="M2296" s="103" t="n"/>
      <c r="N2296" s="104" t="n"/>
      <c r="O2296" s="102" t="n"/>
      <c r="P2296" s="103" t="n"/>
      <c r="Q2296" s="103" t="n"/>
      <c r="R2296" s="104" t="n"/>
      <c r="S2296" s="102" t="n"/>
      <c r="T2296" s="103" t="n"/>
      <c r="U2296" s="103" t="n"/>
      <c r="V2296" s="104" t="n"/>
      <c r="W2296" s="102" t="n"/>
      <c r="X2296" s="104" t="n"/>
      <c r="Y2296" s="102" t="n"/>
      <c r="Z2296" s="104" t="n"/>
      <c r="AB2296" s="105">
        <f>IF($B2296="","",(COUNTIF(C2258:E2275,$B2296)+COUNTIF(C2258:E2275,$B2296&amp;" ~*")&gt;0)+(COUNTIF(G2258:I2275,$B2296)+COUNTIF(G2258:I2275,$B2296&amp;" ~*")&gt;0)+(COUNTIF(K2258:M2275,$B2296)+COUNTIF(K2258:M2275,$B2296&amp;" ~*")&gt;0)+(COUNTIF(O2258:Q2275,$B2296)+COUNTIF(O2258:Q2275,$B2296&amp;" ~*")&gt;0)+(COUNTIF(S2258:U2275,$B2296)+COUNTIF(S2258:U2275,$B2296&amp;" ~*")&gt;0)+(COUNTIF(W2258:W2275,$B2296)+COUNTIF(W2258:W2275,$B2296&amp;" ~*")&gt;0)+(COUNTIF(Y2258:Y2275,$B2296)+COUNTIF(Y2258:Y2275,$B2296&amp;" ~*")&gt;0))</f>
        <v/>
      </c>
      <c r="AC2296" s="38">
        <f>IF($B2296="","",(IFERROR(INDEX(Setup!$G$33:$G$40,MATCH(C2296,Setup!$B$33:$B$40,0)),0)=1)*(COUNTIF(C2258:E2275,$B2296)+COUNTIF(C2258:E2275,$B2296&amp;" ~*")&gt;0)+(IFERROR(INDEX(Setup!$G$33:$G$40,MATCH(G2296,Setup!$B$33:$B$40,0)),0)=1)*(COUNTIF(G2258:I2275,$B2296)+COUNTIF(G2258:I2275,$B2296&amp;" ~*")&gt;0)+(IFERROR(INDEX(Setup!$G$33:$G$40,MATCH(K2296,Setup!$B$33:$B$40,0)),0)=1)*(COUNTIF(K2258:M2275,$B2296)+COUNTIF(K2258:M2275,$B2296&amp;" ~*")&gt;0)+(IFERROR(INDEX(Setup!$G$33:$G$40,MATCH(O2296,Setup!$B$33:$B$40,0)),0)=1)*(COUNTIF(O2258:Q2275,$B2296)+COUNTIF(O2258:Q2275,$B2296&amp;" ~*")&gt;0)+(IFERROR(INDEX(Setup!$G$33:$G$40,MATCH(S2296,Setup!$B$33:$B$40,0)),0)=1)*(COUNTIF(S2258:U2275,$B2296)+COUNTIF(S2258:U2275,$B2296&amp;" ~*")&gt;0)+(IFERROR(INDEX(Setup!$G$33:$G$40,MATCH(W2296,Setup!$B$33:$B$40,0)),0)=1)*(COUNTIF(W2258:W2275,$B2296)+COUNTIF(W2258:W2275,$B2296&amp;" ~*")&gt;0)+(IFERROR(INDEX(Setup!$G$33:$G$40,MATCH(Y2296,Setup!$B$33:$B$40,0)),0)=1)*(COUNTIF(Y2258:Y2275,$B2296)+COUNTIF(Y2258:Y2275,$B2296&amp;" ~*")&gt;0))</f>
        <v/>
      </c>
    </row>
    <row r="2297" ht="15" customHeight="1">
      <c r="A2297" t="n">
        <v>46</v>
      </c>
      <c r="B2297" s="35">
        <f>IF(Setup!$B$26="","",Setup!$B$26)</f>
        <v/>
      </c>
      <c r="C2297" s="98" t="n"/>
      <c r="D2297" s="99" t="n"/>
      <c r="E2297" s="99" t="n"/>
      <c r="F2297" s="100" t="n"/>
      <c r="G2297" s="98" t="n"/>
      <c r="H2297" s="99" t="n"/>
      <c r="I2297" s="99" t="n"/>
      <c r="J2297" s="100" t="n"/>
      <c r="K2297" s="98" t="n"/>
      <c r="L2297" s="99" t="n"/>
      <c r="M2297" s="99" t="n"/>
      <c r="N2297" s="100" t="n"/>
      <c r="O2297" s="98" t="n"/>
      <c r="P2297" s="99" t="n"/>
      <c r="Q2297" s="99" t="n"/>
      <c r="R2297" s="100" t="n"/>
      <c r="S2297" s="98" t="n"/>
      <c r="T2297" s="99" t="n"/>
      <c r="U2297" s="99" t="n"/>
      <c r="V2297" s="100" t="n"/>
      <c r="W2297" s="98" t="n"/>
      <c r="X2297" s="100" t="n"/>
      <c r="Y2297" s="98" t="n"/>
      <c r="Z2297" s="100" t="n"/>
      <c r="AB2297" s="101">
        <f>IF($B2297="","",(COUNTIF(C2258:E2275,$B2297)+COUNTIF(C2258:E2275,$B2297&amp;" ~*")&gt;0)+(COUNTIF(G2258:I2275,$B2297)+COUNTIF(G2258:I2275,$B2297&amp;" ~*")&gt;0)+(COUNTIF(K2258:M2275,$B2297)+COUNTIF(K2258:M2275,$B2297&amp;" ~*")&gt;0)+(COUNTIF(O2258:Q2275,$B2297)+COUNTIF(O2258:Q2275,$B2297&amp;" ~*")&gt;0)+(COUNTIF(S2258:U2275,$B2297)+COUNTIF(S2258:U2275,$B2297&amp;" ~*")&gt;0)+(COUNTIF(W2258:W2275,$B2297)+COUNTIF(W2258:W2275,$B2297&amp;" ~*")&gt;0)+(COUNTIF(Y2258:Y2275,$B2297)+COUNTIF(Y2258:Y2275,$B2297&amp;" ~*")&gt;0))</f>
        <v/>
      </c>
      <c r="AC2297" s="36">
        <f>IF($B2297="","",(IFERROR(INDEX(Setup!$G$33:$G$40,MATCH(C2297,Setup!$B$33:$B$40,0)),0)=1)*(COUNTIF(C2258:E2275,$B2297)+COUNTIF(C2258:E2275,$B2297&amp;" ~*")&gt;0)+(IFERROR(INDEX(Setup!$G$33:$G$40,MATCH(G2297,Setup!$B$33:$B$40,0)),0)=1)*(COUNTIF(G2258:I2275,$B2297)+COUNTIF(G2258:I2275,$B2297&amp;" ~*")&gt;0)+(IFERROR(INDEX(Setup!$G$33:$G$40,MATCH(K2297,Setup!$B$33:$B$40,0)),0)=1)*(COUNTIF(K2258:M2275,$B2297)+COUNTIF(K2258:M2275,$B2297&amp;" ~*")&gt;0)+(IFERROR(INDEX(Setup!$G$33:$G$40,MATCH(O2297,Setup!$B$33:$B$40,0)),0)=1)*(COUNTIF(O2258:Q2275,$B2297)+COUNTIF(O2258:Q2275,$B2297&amp;" ~*")&gt;0)+(IFERROR(INDEX(Setup!$G$33:$G$40,MATCH(S2297,Setup!$B$33:$B$40,0)),0)=1)*(COUNTIF(S2258:U2275,$B2297)+COUNTIF(S2258:U2275,$B2297&amp;" ~*")&gt;0)+(IFERROR(INDEX(Setup!$G$33:$G$40,MATCH(W2297,Setup!$B$33:$B$40,0)),0)=1)*(COUNTIF(W2258:W2275,$B2297)+COUNTIF(W2258:W2275,$B2297&amp;" ~*")&gt;0)+(IFERROR(INDEX(Setup!$G$33:$G$40,MATCH(Y2297,Setup!$B$33:$B$40,0)),0)=1)*(COUNTIF(Y2258:Y2275,$B2297)+COUNTIF(Y2258:Y2275,$B2297&amp;" ~*")&gt;0))</f>
        <v/>
      </c>
    </row>
    <row r="2298" ht="15" customHeight="1">
      <c r="A2298" t="n">
        <v>46</v>
      </c>
      <c r="B2298" s="37">
        <f>IF(Setup!$B$27="","",Setup!$B$27)</f>
        <v/>
      </c>
      <c r="C2298" s="102" t="n"/>
      <c r="D2298" s="103" t="n"/>
      <c r="E2298" s="103" t="n"/>
      <c r="F2298" s="104" t="n"/>
      <c r="G2298" s="102" t="n"/>
      <c r="H2298" s="103" t="n"/>
      <c r="I2298" s="103" t="n"/>
      <c r="J2298" s="104" t="n"/>
      <c r="K2298" s="102" t="n"/>
      <c r="L2298" s="103" t="n"/>
      <c r="M2298" s="103" t="n"/>
      <c r="N2298" s="104" t="n"/>
      <c r="O2298" s="102" t="n"/>
      <c r="P2298" s="103" t="n"/>
      <c r="Q2298" s="103" t="n"/>
      <c r="R2298" s="104" t="n"/>
      <c r="S2298" s="102" t="n"/>
      <c r="T2298" s="103" t="n"/>
      <c r="U2298" s="103" t="n"/>
      <c r="V2298" s="104" t="n"/>
      <c r="W2298" s="102" t="n"/>
      <c r="X2298" s="104" t="n"/>
      <c r="Y2298" s="102" t="n"/>
      <c r="Z2298" s="104" t="n"/>
      <c r="AB2298" s="105">
        <f>IF($B2298="","",(COUNTIF(C2258:E2275,$B2298)+COUNTIF(C2258:E2275,$B2298&amp;" ~*")&gt;0)+(COUNTIF(G2258:I2275,$B2298)+COUNTIF(G2258:I2275,$B2298&amp;" ~*")&gt;0)+(COUNTIF(K2258:M2275,$B2298)+COUNTIF(K2258:M2275,$B2298&amp;" ~*")&gt;0)+(COUNTIF(O2258:Q2275,$B2298)+COUNTIF(O2258:Q2275,$B2298&amp;" ~*")&gt;0)+(COUNTIF(S2258:U2275,$B2298)+COUNTIF(S2258:U2275,$B2298&amp;" ~*")&gt;0)+(COUNTIF(W2258:W2275,$B2298)+COUNTIF(W2258:W2275,$B2298&amp;" ~*")&gt;0)+(COUNTIF(Y2258:Y2275,$B2298)+COUNTIF(Y2258:Y2275,$B2298&amp;" ~*")&gt;0))</f>
        <v/>
      </c>
      <c r="AC2298" s="38">
        <f>IF($B2298="","",(IFERROR(INDEX(Setup!$G$33:$G$40,MATCH(C2298,Setup!$B$33:$B$40,0)),0)=1)*(COUNTIF(C2258:E2275,$B2298)+COUNTIF(C2258:E2275,$B2298&amp;" ~*")&gt;0)+(IFERROR(INDEX(Setup!$G$33:$G$40,MATCH(G2298,Setup!$B$33:$B$40,0)),0)=1)*(COUNTIF(G2258:I2275,$B2298)+COUNTIF(G2258:I2275,$B2298&amp;" ~*")&gt;0)+(IFERROR(INDEX(Setup!$G$33:$G$40,MATCH(K2298,Setup!$B$33:$B$40,0)),0)=1)*(COUNTIF(K2258:M2275,$B2298)+COUNTIF(K2258:M2275,$B2298&amp;" ~*")&gt;0)+(IFERROR(INDEX(Setup!$G$33:$G$40,MATCH(O2298,Setup!$B$33:$B$40,0)),0)=1)*(COUNTIF(O2258:Q2275,$B2298)+COUNTIF(O2258:Q2275,$B2298&amp;" ~*")&gt;0)+(IFERROR(INDEX(Setup!$G$33:$G$40,MATCH(S2298,Setup!$B$33:$B$40,0)),0)=1)*(COUNTIF(S2258:U2275,$B2298)+COUNTIF(S2258:U2275,$B2298&amp;" ~*")&gt;0)+(IFERROR(INDEX(Setup!$G$33:$G$40,MATCH(W2298,Setup!$B$33:$B$40,0)),0)=1)*(COUNTIF(W2258:W2275,$B2298)+COUNTIF(W2258:W2275,$B2298&amp;" ~*")&gt;0)+(IFERROR(INDEX(Setup!$G$33:$G$40,MATCH(Y2298,Setup!$B$33:$B$40,0)),0)=1)*(COUNTIF(Y2258:Y2275,$B2298)+COUNTIF(Y2258:Y2275,$B2298&amp;" ~*")&gt;0))</f>
        <v/>
      </c>
    </row>
    <row r="2299" ht="15" customHeight="1">
      <c r="A2299" t="n">
        <v>46</v>
      </c>
      <c r="B2299" s="35">
        <f>IF(Setup!$B$28="","",Setup!$B$28)</f>
        <v/>
      </c>
      <c r="C2299" s="98" t="n"/>
      <c r="D2299" s="99" t="n"/>
      <c r="E2299" s="99" t="n"/>
      <c r="F2299" s="100" t="n"/>
      <c r="G2299" s="98" t="n"/>
      <c r="H2299" s="99" t="n"/>
      <c r="I2299" s="99" t="n"/>
      <c r="J2299" s="100" t="n"/>
      <c r="K2299" s="98" t="n"/>
      <c r="L2299" s="99" t="n"/>
      <c r="M2299" s="99" t="n"/>
      <c r="N2299" s="100" t="n"/>
      <c r="O2299" s="98" t="n"/>
      <c r="P2299" s="99" t="n"/>
      <c r="Q2299" s="99" t="n"/>
      <c r="R2299" s="100" t="n"/>
      <c r="S2299" s="98" t="n"/>
      <c r="T2299" s="99" t="n"/>
      <c r="U2299" s="99" t="n"/>
      <c r="V2299" s="100" t="n"/>
      <c r="W2299" s="98" t="n"/>
      <c r="X2299" s="100" t="n"/>
      <c r="Y2299" s="98" t="n"/>
      <c r="Z2299" s="100" t="n"/>
      <c r="AB2299" s="101">
        <f>IF($B2299="","",(COUNTIF(C2258:E2275,$B2299)+COUNTIF(C2258:E2275,$B2299&amp;" ~*")&gt;0)+(COUNTIF(G2258:I2275,$B2299)+COUNTIF(G2258:I2275,$B2299&amp;" ~*")&gt;0)+(COUNTIF(K2258:M2275,$B2299)+COUNTIF(K2258:M2275,$B2299&amp;" ~*")&gt;0)+(COUNTIF(O2258:Q2275,$B2299)+COUNTIF(O2258:Q2275,$B2299&amp;" ~*")&gt;0)+(COUNTIF(S2258:U2275,$B2299)+COUNTIF(S2258:U2275,$B2299&amp;" ~*")&gt;0)+(COUNTIF(W2258:W2275,$B2299)+COUNTIF(W2258:W2275,$B2299&amp;" ~*")&gt;0)+(COUNTIF(Y2258:Y2275,$B2299)+COUNTIF(Y2258:Y2275,$B2299&amp;" ~*")&gt;0))</f>
        <v/>
      </c>
      <c r="AC2299" s="36">
        <f>IF($B2299="","",(IFERROR(INDEX(Setup!$G$33:$G$40,MATCH(C2299,Setup!$B$33:$B$40,0)),0)=1)*(COUNTIF(C2258:E2275,$B2299)+COUNTIF(C2258:E2275,$B2299&amp;" ~*")&gt;0)+(IFERROR(INDEX(Setup!$G$33:$G$40,MATCH(G2299,Setup!$B$33:$B$40,0)),0)=1)*(COUNTIF(G2258:I2275,$B2299)+COUNTIF(G2258:I2275,$B2299&amp;" ~*")&gt;0)+(IFERROR(INDEX(Setup!$G$33:$G$40,MATCH(K2299,Setup!$B$33:$B$40,0)),0)=1)*(COUNTIF(K2258:M2275,$B2299)+COUNTIF(K2258:M2275,$B2299&amp;" ~*")&gt;0)+(IFERROR(INDEX(Setup!$G$33:$G$40,MATCH(O2299,Setup!$B$33:$B$40,0)),0)=1)*(COUNTIF(O2258:Q2275,$B2299)+COUNTIF(O2258:Q2275,$B2299&amp;" ~*")&gt;0)+(IFERROR(INDEX(Setup!$G$33:$G$40,MATCH(S2299,Setup!$B$33:$B$40,0)),0)=1)*(COUNTIF(S2258:U2275,$B2299)+COUNTIF(S2258:U2275,$B2299&amp;" ~*")&gt;0)+(IFERROR(INDEX(Setup!$G$33:$G$40,MATCH(W2299,Setup!$B$33:$B$40,0)),0)=1)*(COUNTIF(W2258:W2275,$B2299)+COUNTIF(W2258:W2275,$B2299&amp;" ~*")&gt;0)+(IFERROR(INDEX(Setup!$G$33:$G$40,MATCH(Y2299,Setup!$B$33:$B$40,0)),0)=1)*(COUNTIF(Y2258:Y2275,$B2299)+COUNTIF(Y2258:Y2275,$B2299&amp;" ~*")&gt;0))</f>
        <v/>
      </c>
    </row>
    <row r="2300" ht="15" customHeight="1">
      <c r="A2300" t="n">
        <v>46</v>
      </c>
      <c r="B2300" s="37">
        <f>IF(Setup!$B$29="","",Setup!$B$29)</f>
        <v/>
      </c>
      <c r="C2300" s="102" t="n"/>
      <c r="D2300" s="103" t="n"/>
      <c r="E2300" s="103" t="n"/>
      <c r="F2300" s="104" t="n"/>
      <c r="G2300" s="102" t="n"/>
      <c r="H2300" s="103" t="n"/>
      <c r="I2300" s="103" t="n"/>
      <c r="J2300" s="104" t="n"/>
      <c r="K2300" s="102" t="n"/>
      <c r="L2300" s="103" t="n"/>
      <c r="M2300" s="103" t="n"/>
      <c r="N2300" s="104" t="n"/>
      <c r="O2300" s="102" t="n"/>
      <c r="P2300" s="103" t="n"/>
      <c r="Q2300" s="103" t="n"/>
      <c r="R2300" s="104" t="n"/>
      <c r="S2300" s="102" t="n"/>
      <c r="T2300" s="103" t="n"/>
      <c r="U2300" s="103" t="n"/>
      <c r="V2300" s="104" t="n"/>
      <c r="W2300" s="102" t="n"/>
      <c r="X2300" s="104" t="n"/>
      <c r="Y2300" s="102" t="n"/>
      <c r="Z2300" s="104" t="n"/>
      <c r="AB2300" s="105">
        <f>IF($B2300="","",(COUNTIF(C2258:E2275,$B2300)+COUNTIF(C2258:E2275,$B2300&amp;" ~*")&gt;0)+(COUNTIF(G2258:I2275,$B2300)+COUNTIF(G2258:I2275,$B2300&amp;" ~*")&gt;0)+(COUNTIF(K2258:M2275,$B2300)+COUNTIF(K2258:M2275,$B2300&amp;" ~*")&gt;0)+(COUNTIF(O2258:Q2275,$B2300)+COUNTIF(O2258:Q2275,$B2300&amp;" ~*")&gt;0)+(COUNTIF(S2258:U2275,$B2300)+COUNTIF(S2258:U2275,$B2300&amp;" ~*")&gt;0)+(COUNTIF(W2258:W2275,$B2300)+COUNTIF(W2258:W2275,$B2300&amp;" ~*")&gt;0)+(COUNTIF(Y2258:Y2275,$B2300)+COUNTIF(Y2258:Y2275,$B2300&amp;" ~*")&gt;0))</f>
        <v/>
      </c>
      <c r="AC2300" s="38">
        <f>IF($B2300="","",(IFERROR(INDEX(Setup!$G$33:$G$40,MATCH(C2300,Setup!$B$33:$B$40,0)),0)=1)*(COUNTIF(C2258:E2275,$B2300)+COUNTIF(C2258:E2275,$B2300&amp;" ~*")&gt;0)+(IFERROR(INDEX(Setup!$G$33:$G$40,MATCH(G2300,Setup!$B$33:$B$40,0)),0)=1)*(COUNTIF(G2258:I2275,$B2300)+COUNTIF(G2258:I2275,$B2300&amp;" ~*")&gt;0)+(IFERROR(INDEX(Setup!$G$33:$G$40,MATCH(K2300,Setup!$B$33:$B$40,0)),0)=1)*(COUNTIF(K2258:M2275,$B2300)+COUNTIF(K2258:M2275,$B2300&amp;" ~*")&gt;0)+(IFERROR(INDEX(Setup!$G$33:$G$40,MATCH(O2300,Setup!$B$33:$B$40,0)),0)=1)*(COUNTIF(O2258:Q2275,$B2300)+COUNTIF(O2258:Q2275,$B2300&amp;" ~*")&gt;0)+(IFERROR(INDEX(Setup!$G$33:$G$40,MATCH(S2300,Setup!$B$33:$B$40,0)),0)=1)*(COUNTIF(S2258:U2275,$B2300)+COUNTIF(S2258:U2275,$B2300&amp;" ~*")&gt;0)+(IFERROR(INDEX(Setup!$G$33:$G$40,MATCH(W2300,Setup!$B$33:$B$40,0)),0)=1)*(COUNTIF(W2258:W2275,$B2300)+COUNTIF(W2258:W2275,$B2300&amp;" ~*")&gt;0)+(IFERROR(INDEX(Setup!$G$33:$G$40,MATCH(Y2300,Setup!$B$33:$B$40,0)),0)=1)*(COUNTIF(Y2258:Y2275,$B2300)+COUNTIF(Y2258:Y2275,$B2300&amp;" ~*")&gt;0))</f>
        <v/>
      </c>
    </row>
    <row r="2301" ht="16" customHeight="1">
      <c r="A2301" t="n">
        <v>46</v>
      </c>
      <c r="B2301" s="106" t="inlineStr">
        <is>
          <t>Available people</t>
        </is>
      </c>
      <c r="C2301" s="107">
        <f>COUNTIFS(Setup!$E$6:$E$29,"Y",Setup!$B$6:$B$29,"?*")-SUMPRODUCT(COUNTIF(C2277:C2300,Setup!$F$33:$F$40))</f>
        <v/>
      </c>
      <c r="D2301" s="107" t="n"/>
      <c r="E2301" s="107" t="n"/>
      <c r="F2301" s="107" t="n"/>
      <c r="G2301" s="107">
        <f>COUNTIFS(Setup!$E$6:$E$29,"Y",Setup!$B$6:$B$29,"?*")-SUMPRODUCT(COUNTIF(G2277:G2300,Setup!$F$33:$F$40))</f>
        <v/>
      </c>
      <c r="H2301" s="107" t="n"/>
      <c r="I2301" s="107" t="n"/>
      <c r="J2301" s="107" t="n"/>
      <c r="K2301" s="107">
        <f>COUNTIFS(Setup!$E$6:$E$29,"Y",Setup!$B$6:$B$29,"?*")-SUMPRODUCT(COUNTIF(K2277:K2300,Setup!$F$33:$F$40))</f>
        <v/>
      </c>
      <c r="L2301" s="107" t="n"/>
      <c r="M2301" s="107" t="n"/>
      <c r="N2301" s="107" t="n"/>
      <c r="O2301" s="107">
        <f>COUNTIFS(Setup!$E$6:$E$29,"Y",Setup!$B$6:$B$29,"?*")-SUMPRODUCT(COUNTIF(O2277:O2300,Setup!$F$33:$F$40))</f>
        <v/>
      </c>
      <c r="P2301" s="107" t="n"/>
      <c r="Q2301" s="107" t="n"/>
      <c r="R2301" s="107" t="n"/>
      <c r="S2301" s="107">
        <f>COUNTIFS(Setup!$E$6:$E$29,"Y",Setup!$B$6:$B$29,"?*")-SUMPRODUCT(COUNTIF(S2277:S2300,Setup!$F$33:$F$40))</f>
        <v/>
      </c>
      <c r="T2301" s="107" t="n"/>
      <c r="U2301" s="107" t="n"/>
      <c r="V2301" s="107" t="n"/>
      <c r="W2301" s="107">
        <f>COUNTIFS(Setup!$E$6:$E$29,"Y",Setup!$B$6:$B$29,"?*")-SUMPRODUCT(COUNTIF(W2277:W2300,Setup!$F$33:$F$40))</f>
        <v/>
      </c>
      <c r="X2301" s="107" t="n"/>
      <c r="Y2301" s="107">
        <f>COUNTIFS(Setup!$E$6:$E$29,"Y",Setup!$B$6:$B$29,"?*")-SUMPRODUCT(COUNTIF(Y2277:Y2300,Setup!$F$33:$F$40))</f>
        <v/>
      </c>
      <c r="Z2301" s="107" t="n"/>
      <c r="AB2301" s="108">
        <f>SUM(AB2277:AB2300)</f>
        <v/>
      </c>
      <c r="AC2301" s="109">
        <f>SUM(AC2277:AC2300)</f>
        <v/>
      </c>
    </row>
    <row r="2302" ht="30" customHeight="1">
      <c r="A2302" t="n">
        <v>46</v>
      </c>
      <c r="B2302" s="110" t="inlineStr">
        <is>
          <t>Week notes</t>
        </is>
      </c>
      <c r="C2302" s="111" t="n"/>
      <c r="D2302" s="112" t="n"/>
      <c r="E2302" s="112" t="n"/>
      <c r="F2302" s="112" t="n"/>
      <c r="G2302" s="112" t="n"/>
      <c r="H2302" s="112" t="n"/>
      <c r="I2302" s="112" t="n"/>
      <c r="J2302" s="112" t="n"/>
      <c r="K2302" s="112" t="n"/>
      <c r="L2302" s="112" t="n"/>
      <c r="M2302" s="112" t="n"/>
      <c r="N2302" s="112" t="n"/>
      <c r="O2302" s="112" t="n"/>
      <c r="P2302" s="112" t="n"/>
      <c r="Q2302" s="112" t="n"/>
      <c r="R2302" s="112" t="n"/>
      <c r="S2302" s="112" t="n"/>
      <c r="T2302" s="112" t="n"/>
      <c r="U2302" s="112" t="n"/>
      <c r="V2302" s="112" t="n"/>
      <c r="W2302" s="112" t="n"/>
      <c r="X2302" s="112" t="n"/>
      <c r="Y2302" s="112" t="n"/>
      <c r="Z2302" s="113" t="n"/>
    </row>
    <row r="2303" ht="8" customHeight="1">
      <c r="A2303" t="n">
        <v>46</v>
      </c>
    </row>
    <row r="2304" ht="8" customHeight="1">
      <c r="A2304" t="n">
        <v>46</v>
      </c>
    </row>
    <row r="2305" ht="24" customHeight="1">
      <c r="A2305" t="n">
        <v>47</v>
      </c>
      <c r="B2305" s="73">
        <f>"WEEK 47     "&amp;TEXT(C2306,"ddd d mmm")&amp;"  –  "&amp;TEXT(C2306+6,"ddd d mmm yyyy")</f>
        <v/>
      </c>
      <c r="S2305" s="74">
        <f>IF(TODAY()&lt;C2306,"FUTURE",IF(TODAY()&gt;C2306+6,"PAST","THIS WEEK"))</f>
        <v/>
      </c>
      <c r="W2305" s="75">
        <f>IF(AND(Engine!$B$8=$AC$3,Engine!$B$9=$A2305),"◀ ACTIVE WEEK","")</f>
        <v/>
      </c>
      <c r="AA2305" s="76" t="n"/>
      <c r="AB2305" s="77" t="inlineStr">
        <is>
          <t>◀ Prev</t>
        </is>
      </c>
      <c r="AC2305" s="77" t="inlineStr">
        <is>
          <t>Next ▶</t>
        </is>
      </c>
    </row>
    <row r="2306" ht="18" customHeight="1">
      <c r="A2306" t="n">
        <v>47</v>
      </c>
      <c r="B2306" s="78" t="inlineStr">
        <is>
          <t>DUTY</t>
        </is>
      </c>
      <c r="C2306" s="79">
        <f>$AC$2+7*($A2306-1)</f>
        <v/>
      </c>
      <c r="D2306" s="80" t="n"/>
      <c r="E2306" s="80" t="n"/>
      <c r="F2306" s="81" t="n"/>
      <c r="G2306" s="79">
        <f>C2306+1</f>
        <v/>
      </c>
      <c r="H2306" s="80" t="n"/>
      <c r="I2306" s="80" t="n"/>
      <c r="J2306" s="81" t="n"/>
      <c r="K2306" s="79">
        <f>C2306+2</f>
        <v/>
      </c>
      <c r="L2306" s="80" t="n"/>
      <c r="M2306" s="80" t="n"/>
      <c r="N2306" s="81" t="n"/>
      <c r="O2306" s="79">
        <f>C2306+3</f>
        <v/>
      </c>
      <c r="P2306" s="80" t="n"/>
      <c r="Q2306" s="80" t="n"/>
      <c r="R2306" s="81" t="n"/>
      <c r="S2306" s="79">
        <f>C2306+4</f>
        <v/>
      </c>
      <c r="T2306" s="80" t="n"/>
      <c r="U2306" s="80" t="n"/>
      <c r="V2306" s="81" t="n"/>
      <c r="W2306" s="82">
        <f>C2306+5</f>
        <v/>
      </c>
      <c r="X2306" s="83" t="n"/>
      <c r="Y2306" s="82">
        <f>C2306+6</f>
        <v/>
      </c>
      <c r="Z2306" s="83" t="n"/>
      <c r="AB2306" s="72" t="inlineStr">
        <is>
          <t>Gaps</t>
        </is>
      </c>
      <c r="AC2306" s="72" t="inlineStr">
        <is>
          <t>Cover</t>
        </is>
      </c>
    </row>
    <row r="2307" ht="14" customHeight="1">
      <c r="A2307" t="n">
        <v>47</v>
      </c>
      <c r="B2307" s="84" t="inlineStr">
        <is>
          <t>(from Setup)</t>
        </is>
      </c>
      <c r="C2307" s="85" t="inlineStr">
        <is>
          <t>1</t>
        </is>
      </c>
      <c r="D2307" s="85" t="inlineStr">
        <is>
          <t>2</t>
        </is>
      </c>
      <c r="E2307" s="85" t="inlineStr">
        <is>
          <t>3</t>
        </is>
      </c>
      <c r="F2307" s="85" t="inlineStr">
        <is>
          <t>Notes</t>
        </is>
      </c>
      <c r="G2307" s="85" t="inlineStr">
        <is>
          <t>1</t>
        </is>
      </c>
      <c r="H2307" s="85" t="inlineStr">
        <is>
          <t>2</t>
        </is>
      </c>
      <c r="I2307" s="85" t="inlineStr">
        <is>
          <t>3</t>
        </is>
      </c>
      <c r="J2307" s="85" t="inlineStr">
        <is>
          <t>Notes</t>
        </is>
      </c>
      <c r="K2307" s="85" t="inlineStr">
        <is>
          <t>1</t>
        </is>
      </c>
      <c r="L2307" s="85" t="inlineStr">
        <is>
          <t>2</t>
        </is>
      </c>
      <c r="M2307" s="85" t="inlineStr">
        <is>
          <t>3</t>
        </is>
      </c>
      <c r="N2307" s="85" t="inlineStr">
        <is>
          <t>Notes</t>
        </is>
      </c>
      <c r="O2307" s="85" t="inlineStr">
        <is>
          <t>1</t>
        </is>
      </c>
      <c r="P2307" s="85" t="inlineStr">
        <is>
          <t>2</t>
        </is>
      </c>
      <c r="Q2307" s="85" t="inlineStr">
        <is>
          <t>3</t>
        </is>
      </c>
      <c r="R2307" s="85" t="inlineStr">
        <is>
          <t>Notes</t>
        </is>
      </c>
      <c r="S2307" s="85" t="inlineStr">
        <is>
          <t>1</t>
        </is>
      </c>
      <c r="T2307" s="85" t="inlineStr">
        <is>
          <t>2</t>
        </is>
      </c>
      <c r="U2307" s="85" t="inlineStr">
        <is>
          <t>3</t>
        </is>
      </c>
      <c r="V2307" s="85" t="inlineStr">
        <is>
          <t>Notes</t>
        </is>
      </c>
      <c r="W2307" s="85" t="inlineStr">
        <is>
          <t>Cover</t>
        </is>
      </c>
      <c r="X2307" s="85" t="inlineStr">
        <is>
          <t>Notes</t>
        </is>
      </c>
      <c r="Y2307" s="85" t="inlineStr">
        <is>
          <t>Cover</t>
        </is>
      </c>
      <c r="Z2307" s="85" t="inlineStr">
        <is>
          <t>Notes</t>
        </is>
      </c>
      <c r="AB2307" s="86" t="inlineStr">
        <is>
          <t>weekdays short</t>
        </is>
      </c>
      <c r="AC2307" s="87" t="inlineStr"/>
    </row>
    <row r="2308" ht="17" customHeight="1">
      <c r="A2308" t="n">
        <v>47</v>
      </c>
      <c r="B2308" s="24">
        <f>IF(Setup!$K$6="","",Setup!$K$6)</f>
        <v/>
      </c>
      <c r="C2308" s="88" t="n"/>
      <c r="D2308" s="88" t="n"/>
      <c r="E2308" s="88" t="n"/>
      <c r="F2308" s="89" t="n"/>
      <c r="G2308" s="88" t="n"/>
      <c r="H2308" s="88" t="n"/>
      <c r="I2308" s="88" t="n"/>
      <c r="J2308" s="89" t="n"/>
      <c r="K2308" s="88" t="n"/>
      <c r="L2308" s="88" t="n"/>
      <c r="M2308" s="88" t="n"/>
      <c r="N2308" s="89" t="n"/>
      <c r="O2308" s="88" t="n"/>
      <c r="P2308" s="88" t="n"/>
      <c r="Q2308" s="88" t="n"/>
      <c r="R2308" s="89" t="n"/>
      <c r="S2308" s="88" t="n"/>
      <c r="T2308" s="88" t="n"/>
      <c r="U2308" s="88" t="n"/>
      <c r="V2308" s="89" t="n"/>
      <c r="W2308" s="88" t="n"/>
      <c r="X2308" s="89" t="n"/>
      <c r="Y2308" s="88" t="n"/>
      <c r="Z2308" s="89" t="n"/>
      <c r="AB2308" s="25">
        <f>IF($B2308="","",(COUNTIF(C2308:E2308,"?*")&lt;N(INDEX(Setup!$L$6:$L$23,1)))+(COUNTIF(G2308:I2308,"?*")&lt;N(INDEX(Setup!$L$6:$L$23,1)))+(COUNTIF(K2308:M2308,"?*")&lt;N(INDEX(Setup!$L$6:$L$23,1)))+(COUNTIF(O2308:Q2308,"?*")&lt;N(INDEX(Setup!$L$6:$L$23,1)))+(COUNTIF(S2308:U2308,"?*")&lt;N(INDEX(Setup!$L$6:$L$23,1)))+((W2308="")*(INDEX(Setup!$M$6:$M$23,1)="Y"))+((Y2308="")*(INDEX(Setup!$M$6:$M$23,1)="Y")))</f>
        <v/>
      </c>
      <c r="AC2308" s="90">
        <f>IF($B2308="","",IF(AB2308=0,"✓ covered","⚠ "&amp;AB2308&amp;IF(AB2308=1," gap"," gaps")))</f>
        <v/>
      </c>
    </row>
    <row r="2309" ht="17" customHeight="1">
      <c r="A2309" t="n">
        <v>47</v>
      </c>
      <c r="B2309" s="29">
        <f>IF(Setup!$K$7="","",Setup!$K$7)</f>
        <v/>
      </c>
      <c r="C2309" s="88" t="n"/>
      <c r="D2309" s="88" t="n"/>
      <c r="E2309" s="88" t="n"/>
      <c r="F2309" s="89" t="n"/>
      <c r="G2309" s="88" t="n"/>
      <c r="H2309" s="88" t="n"/>
      <c r="I2309" s="88" t="n"/>
      <c r="J2309" s="89" t="n"/>
      <c r="K2309" s="88" t="n"/>
      <c r="L2309" s="88" t="n"/>
      <c r="M2309" s="88" t="n"/>
      <c r="N2309" s="89" t="n"/>
      <c r="O2309" s="88" t="n"/>
      <c r="P2309" s="88" t="n"/>
      <c r="Q2309" s="88" t="n"/>
      <c r="R2309" s="89" t="n"/>
      <c r="S2309" s="88" t="n"/>
      <c r="T2309" s="88" t="n"/>
      <c r="U2309" s="88" t="n"/>
      <c r="V2309" s="89" t="n"/>
      <c r="W2309" s="88" t="n"/>
      <c r="X2309" s="89" t="n"/>
      <c r="Y2309" s="88" t="n"/>
      <c r="Z2309" s="89" t="n"/>
      <c r="AB2309" s="30">
        <f>IF($B2309="","",(COUNTIF(C2309:E2309,"?*")&lt;N(INDEX(Setup!$L$6:$L$23,2)))+(COUNTIF(G2309:I2309,"?*")&lt;N(INDEX(Setup!$L$6:$L$23,2)))+(COUNTIF(K2309:M2309,"?*")&lt;N(INDEX(Setup!$L$6:$L$23,2)))+(COUNTIF(O2309:Q2309,"?*")&lt;N(INDEX(Setup!$L$6:$L$23,2)))+(COUNTIF(S2309:U2309,"?*")&lt;N(INDEX(Setup!$L$6:$L$23,2)))+((W2309="")*(INDEX(Setup!$M$6:$M$23,2)="Y"))+((Y2309="")*(INDEX(Setup!$M$6:$M$23,2)="Y")))</f>
        <v/>
      </c>
      <c r="AC2309" s="91">
        <f>IF($B2309="","",IF(AB2309=0,"✓ covered","⚠ "&amp;AB2309&amp;IF(AB2309=1," gap"," gaps")))</f>
        <v/>
      </c>
    </row>
    <row r="2310" ht="17" customHeight="1">
      <c r="A2310" t="n">
        <v>47</v>
      </c>
      <c r="B2310" s="24">
        <f>IF(Setup!$K$8="","",Setup!$K$8)</f>
        <v/>
      </c>
      <c r="C2310" s="88" t="n"/>
      <c r="D2310" s="88" t="n"/>
      <c r="E2310" s="88" t="n"/>
      <c r="F2310" s="89" t="n"/>
      <c r="G2310" s="88" t="n"/>
      <c r="H2310" s="88" t="n"/>
      <c r="I2310" s="88" t="n"/>
      <c r="J2310" s="89" t="n"/>
      <c r="K2310" s="88" t="n"/>
      <c r="L2310" s="88" t="n"/>
      <c r="M2310" s="88" t="n"/>
      <c r="N2310" s="89" t="n"/>
      <c r="O2310" s="88" t="n"/>
      <c r="P2310" s="88" t="n"/>
      <c r="Q2310" s="88" t="n"/>
      <c r="R2310" s="89" t="n"/>
      <c r="S2310" s="88" t="n"/>
      <c r="T2310" s="88" t="n"/>
      <c r="U2310" s="88" t="n"/>
      <c r="V2310" s="89" t="n"/>
      <c r="W2310" s="88" t="n"/>
      <c r="X2310" s="89" t="n"/>
      <c r="Y2310" s="88" t="n"/>
      <c r="Z2310" s="89" t="n"/>
      <c r="AB2310" s="25">
        <f>IF($B2310="","",(COUNTIF(C2310:E2310,"?*")&lt;N(INDEX(Setup!$L$6:$L$23,3)))+(COUNTIF(G2310:I2310,"?*")&lt;N(INDEX(Setup!$L$6:$L$23,3)))+(COUNTIF(K2310:M2310,"?*")&lt;N(INDEX(Setup!$L$6:$L$23,3)))+(COUNTIF(O2310:Q2310,"?*")&lt;N(INDEX(Setup!$L$6:$L$23,3)))+(COUNTIF(S2310:U2310,"?*")&lt;N(INDEX(Setup!$L$6:$L$23,3)))+((W2310="")*(INDEX(Setup!$M$6:$M$23,3)="Y"))+((Y2310="")*(INDEX(Setup!$M$6:$M$23,3)="Y")))</f>
        <v/>
      </c>
      <c r="AC2310" s="90">
        <f>IF($B2310="","",IF(AB2310=0,"✓ covered","⚠ "&amp;AB2310&amp;IF(AB2310=1," gap"," gaps")))</f>
        <v/>
      </c>
    </row>
    <row r="2311" ht="17" customHeight="1">
      <c r="A2311" t="n">
        <v>47</v>
      </c>
      <c r="B2311" s="29">
        <f>IF(Setup!$K$9="","",Setup!$K$9)</f>
        <v/>
      </c>
      <c r="C2311" s="88" t="n"/>
      <c r="D2311" s="88" t="n"/>
      <c r="E2311" s="88" t="n"/>
      <c r="F2311" s="89" t="n"/>
      <c r="G2311" s="88" t="n"/>
      <c r="H2311" s="88" t="n"/>
      <c r="I2311" s="88" t="n"/>
      <c r="J2311" s="89" t="n"/>
      <c r="K2311" s="88" t="n"/>
      <c r="L2311" s="88" t="n"/>
      <c r="M2311" s="88" t="n"/>
      <c r="N2311" s="89" t="n"/>
      <c r="O2311" s="88" t="n"/>
      <c r="P2311" s="88" t="n"/>
      <c r="Q2311" s="88" t="n"/>
      <c r="R2311" s="89" t="n"/>
      <c r="S2311" s="88" t="n"/>
      <c r="T2311" s="88" t="n"/>
      <c r="U2311" s="88" t="n"/>
      <c r="V2311" s="89" t="n"/>
      <c r="W2311" s="88" t="n"/>
      <c r="X2311" s="89" t="n"/>
      <c r="Y2311" s="88" t="n"/>
      <c r="Z2311" s="89" t="n"/>
      <c r="AB2311" s="30">
        <f>IF($B2311="","",(COUNTIF(C2311:E2311,"?*")&lt;N(INDEX(Setup!$L$6:$L$23,4)))+(COUNTIF(G2311:I2311,"?*")&lt;N(INDEX(Setup!$L$6:$L$23,4)))+(COUNTIF(K2311:M2311,"?*")&lt;N(INDEX(Setup!$L$6:$L$23,4)))+(COUNTIF(O2311:Q2311,"?*")&lt;N(INDEX(Setup!$L$6:$L$23,4)))+(COUNTIF(S2311:U2311,"?*")&lt;N(INDEX(Setup!$L$6:$L$23,4)))+((W2311="")*(INDEX(Setup!$M$6:$M$23,4)="Y"))+((Y2311="")*(INDEX(Setup!$M$6:$M$23,4)="Y")))</f>
        <v/>
      </c>
      <c r="AC2311" s="91">
        <f>IF($B2311="","",IF(AB2311=0,"✓ covered","⚠ "&amp;AB2311&amp;IF(AB2311=1," gap"," gaps")))</f>
        <v/>
      </c>
    </row>
    <row r="2312" ht="17" customHeight="1">
      <c r="A2312" t="n">
        <v>47</v>
      </c>
      <c r="B2312" s="24">
        <f>IF(Setup!$K$10="","",Setup!$K$10)</f>
        <v/>
      </c>
      <c r="C2312" s="88" t="n"/>
      <c r="D2312" s="88" t="n"/>
      <c r="E2312" s="88" t="n"/>
      <c r="F2312" s="89" t="n"/>
      <c r="G2312" s="88" t="n"/>
      <c r="H2312" s="88" t="n"/>
      <c r="I2312" s="88" t="n"/>
      <c r="J2312" s="89" t="n"/>
      <c r="K2312" s="88" t="n"/>
      <c r="L2312" s="88" t="n"/>
      <c r="M2312" s="88" t="n"/>
      <c r="N2312" s="89" t="n"/>
      <c r="O2312" s="88" t="n"/>
      <c r="P2312" s="88" t="n"/>
      <c r="Q2312" s="88" t="n"/>
      <c r="R2312" s="89" t="n"/>
      <c r="S2312" s="88" t="n"/>
      <c r="T2312" s="88" t="n"/>
      <c r="U2312" s="88" t="n"/>
      <c r="V2312" s="89" t="n"/>
      <c r="W2312" s="88" t="n"/>
      <c r="X2312" s="89" t="n"/>
      <c r="Y2312" s="88" t="n"/>
      <c r="Z2312" s="89" t="n"/>
      <c r="AB2312" s="25">
        <f>IF($B2312="","",(COUNTIF(C2312:E2312,"?*")&lt;N(INDEX(Setup!$L$6:$L$23,5)))+(COUNTIF(G2312:I2312,"?*")&lt;N(INDEX(Setup!$L$6:$L$23,5)))+(COUNTIF(K2312:M2312,"?*")&lt;N(INDEX(Setup!$L$6:$L$23,5)))+(COUNTIF(O2312:Q2312,"?*")&lt;N(INDEX(Setup!$L$6:$L$23,5)))+(COUNTIF(S2312:U2312,"?*")&lt;N(INDEX(Setup!$L$6:$L$23,5)))+((W2312="")*(INDEX(Setup!$M$6:$M$23,5)="Y"))+((Y2312="")*(INDEX(Setup!$M$6:$M$23,5)="Y")))</f>
        <v/>
      </c>
      <c r="AC2312" s="90">
        <f>IF($B2312="","",IF(AB2312=0,"✓ covered","⚠ "&amp;AB2312&amp;IF(AB2312=1," gap"," gaps")))</f>
        <v/>
      </c>
    </row>
    <row r="2313" ht="17" customHeight="1">
      <c r="A2313" t="n">
        <v>47</v>
      </c>
      <c r="B2313" s="29">
        <f>IF(Setup!$K$11="","",Setup!$K$11)</f>
        <v/>
      </c>
      <c r="C2313" s="88" t="n"/>
      <c r="D2313" s="88" t="n"/>
      <c r="E2313" s="88" t="n"/>
      <c r="F2313" s="89" t="n"/>
      <c r="G2313" s="88" t="n"/>
      <c r="H2313" s="88" t="n"/>
      <c r="I2313" s="88" t="n"/>
      <c r="J2313" s="89" t="n"/>
      <c r="K2313" s="88" t="n"/>
      <c r="L2313" s="88" t="n"/>
      <c r="M2313" s="88" t="n"/>
      <c r="N2313" s="89" t="n"/>
      <c r="O2313" s="88" t="n"/>
      <c r="P2313" s="88" t="n"/>
      <c r="Q2313" s="88" t="n"/>
      <c r="R2313" s="89" t="n"/>
      <c r="S2313" s="88" t="n"/>
      <c r="T2313" s="88" t="n"/>
      <c r="U2313" s="88" t="n"/>
      <c r="V2313" s="89" t="n"/>
      <c r="W2313" s="88" t="n"/>
      <c r="X2313" s="89" t="n"/>
      <c r="Y2313" s="88" t="n"/>
      <c r="Z2313" s="89" t="n"/>
      <c r="AB2313" s="30">
        <f>IF($B2313="","",(COUNTIF(C2313:E2313,"?*")&lt;N(INDEX(Setup!$L$6:$L$23,6)))+(COUNTIF(G2313:I2313,"?*")&lt;N(INDEX(Setup!$L$6:$L$23,6)))+(COUNTIF(K2313:M2313,"?*")&lt;N(INDEX(Setup!$L$6:$L$23,6)))+(COUNTIF(O2313:Q2313,"?*")&lt;N(INDEX(Setup!$L$6:$L$23,6)))+(COUNTIF(S2313:U2313,"?*")&lt;N(INDEX(Setup!$L$6:$L$23,6)))+((W2313="")*(INDEX(Setup!$M$6:$M$23,6)="Y"))+((Y2313="")*(INDEX(Setup!$M$6:$M$23,6)="Y")))</f>
        <v/>
      </c>
      <c r="AC2313" s="91">
        <f>IF($B2313="","",IF(AB2313=0,"✓ covered","⚠ "&amp;AB2313&amp;IF(AB2313=1," gap"," gaps")))</f>
        <v/>
      </c>
    </row>
    <row r="2314" ht="17" customHeight="1">
      <c r="A2314" t="n">
        <v>47</v>
      </c>
      <c r="B2314" s="24">
        <f>IF(Setup!$K$12="","",Setup!$K$12)</f>
        <v/>
      </c>
      <c r="C2314" s="88" t="n"/>
      <c r="D2314" s="88" t="n"/>
      <c r="E2314" s="88" t="n"/>
      <c r="F2314" s="89" t="n"/>
      <c r="G2314" s="88" t="n"/>
      <c r="H2314" s="88" t="n"/>
      <c r="I2314" s="88" t="n"/>
      <c r="J2314" s="89" t="n"/>
      <c r="K2314" s="88" t="n"/>
      <c r="L2314" s="88" t="n"/>
      <c r="M2314" s="88" t="n"/>
      <c r="N2314" s="89" t="n"/>
      <c r="O2314" s="88" t="n"/>
      <c r="P2314" s="88" t="n"/>
      <c r="Q2314" s="88" t="n"/>
      <c r="R2314" s="89" t="n"/>
      <c r="S2314" s="88" t="n"/>
      <c r="T2314" s="88" t="n"/>
      <c r="U2314" s="88" t="n"/>
      <c r="V2314" s="89" t="n"/>
      <c r="W2314" s="88" t="n"/>
      <c r="X2314" s="89" t="n"/>
      <c r="Y2314" s="88" t="n"/>
      <c r="Z2314" s="89" t="n"/>
      <c r="AB2314" s="25">
        <f>IF($B2314="","",(COUNTIF(C2314:E2314,"?*")&lt;N(INDEX(Setup!$L$6:$L$23,7)))+(COUNTIF(G2314:I2314,"?*")&lt;N(INDEX(Setup!$L$6:$L$23,7)))+(COUNTIF(K2314:M2314,"?*")&lt;N(INDEX(Setup!$L$6:$L$23,7)))+(COUNTIF(O2314:Q2314,"?*")&lt;N(INDEX(Setup!$L$6:$L$23,7)))+(COUNTIF(S2314:U2314,"?*")&lt;N(INDEX(Setup!$L$6:$L$23,7)))+((W2314="")*(INDEX(Setup!$M$6:$M$23,7)="Y"))+((Y2314="")*(INDEX(Setup!$M$6:$M$23,7)="Y")))</f>
        <v/>
      </c>
      <c r="AC2314" s="90">
        <f>IF($B2314="","",IF(AB2314=0,"✓ covered","⚠ "&amp;AB2314&amp;IF(AB2314=1," gap"," gaps")))</f>
        <v/>
      </c>
    </row>
    <row r="2315" ht="17" customHeight="1">
      <c r="A2315" t="n">
        <v>47</v>
      </c>
      <c r="B2315" s="29">
        <f>IF(Setup!$K$13="","",Setup!$K$13)</f>
        <v/>
      </c>
      <c r="C2315" s="88" t="n"/>
      <c r="D2315" s="88" t="n"/>
      <c r="E2315" s="88" t="n"/>
      <c r="F2315" s="89" t="n"/>
      <c r="G2315" s="88" t="n"/>
      <c r="H2315" s="88" t="n"/>
      <c r="I2315" s="88" t="n"/>
      <c r="J2315" s="89" t="n"/>
      <c r="K2315" s="88" t="n"/>
      <c r="L2315" s="88" t="n"/>
      <c r="M2315" s="88" t="n"/>
      <c r="N2315" s="89" t="n"/>
      <c r="O2315" s="88" t="n"/>
      <c r="P2315" s="88" t="n"/>
      <c r="Q2315" s="88" t="n"/>
      <c r="R2315" s="89" t="n"/>
      <c r="S2315" s="88" t="n"/>
      <c r="T2315" s="88" t="n"/>
      <c r="U2315" s="88" t="n"/>
      <c r="V2315" s="89" t="n"/>
      <c r="W2315" s="88" t="n"/>
      <c r="X2315" s="89" t="n"/>
      <c r="Y2315" s="88" t="n"/>
      <c r="Z2315" s="89" t="n"/>
      <c r="AB2315" s="30">
        <f>IF($B2315="","",(COUNTIF(C2315:E2315,"?*")&lt;N(INDEX(Setup!$L$6:$L$23,8)))+(COUNTIF(G2315:I2315,"?*")&lt;N(INDEX(Setup!$L$6:$L$23,8)))+(COUNTIF(K2315:M2315,"?*")&lt;N(INDEX(Setup!$L$6:$L$23,8)))+(COUNTIF(O2315:Q2315,"?*")&lt;N(INDEX(Setup!$L$6:$L$23,8)))+(COUNTIF(S2315:U2315,"?*")&lt;N(INDEX(Setup!$L$6:$L$23,8)))+((W2315="")*(INDEX(Setup!$M$6:$M$23,8)="Y"))+((Y2315="")*(INDEX(Setup!$M$6:$M$23,8)="Y")))</f>
        <v/>
      </c>
      <c r="AC2315" s="91">
        <f>IF($B2315="","",IF(AB2315=0,"✓ covered","⚠ "&amp;AB2315&amp;IF(AB2315=1," gap"," gaps")))</f>
        <v/>
      </c>
    </row>
    <row r="2316" ht="17" customHeight="1">
      <c r="A2316" t="n">
        <v>47</v>
      </c>
      <c r="B2316" s="24">
        <f>IF(Setup!$K$14="","",Setup!$K$14)</f>
        <v/>
      </c>
      <c r="C2316" s="88" t="n"/>
      <c r="D2316" s="88" t="n"/>
      <c r="E2316" s="88" t="n"/>
      <c r="F2316" s="89" t="n"/>
      <c r="G2316" s="88" t="n"/>
      <c r="H2316" s="88" t="n"/>
      <c r="I2316" s="88" t="n"/>
      <c r="J2316" s="89" t="n"/>
      <c r="K2316" s="88" t="n"/>
      <c r="L2316" s="88" t="n"/>
      <c r="M2316" s="88" t="n"/>
      <c r="N2316" s="89" t="n"/>
      <c r="O2316" s="88" t="n"/>
      <c r="P2316" s="88" t="n"/>
      <c r="Q2316" s="88" t="n"/>
      <c r="R2316" s="89" t="n"/>
      <c r="S2316" s="88" t="n"/>
      <c r="T2316" s="88" t="n"/>
      <c r="U2316" s="88" t="n"/>
      <c r="V2316" s="89" t="n"/>
      <c r="W2316" s="88" t="n"/>
      <c r="X2316" s="89" t="n"/>
      <c r="Y2316" s="88" t="n"/>
      <c r="Z2316" s="89" t="n"/>
      <c r="AB2316" s="25">
        <f>IF($B2316="","",(COUNTIF(C2316:E2316,"?*")&lt;N(INDEX(Setup!$L$6:$L$23,9)))+(COUNTIF(G2316:I2316,"?*")&lt;N(INDEX(Setup!$L$6:$L$23,9)))+(COUNTIF(K2316:M2316,"?*")&lt;N(INDEX(Setup!$L$6:$L$23,9)))+(COUNTIF(O2316:Q2316,"?*")&lt;N(INDEX(Setup!$L$6:$L$23,9)))+(COUNTIF(S2316:U2316,"?*")&lt;N(INDEX(Setup!$L$6:$L$23,9)))+((W2316="")*(INDEX(Setup!$M$6:$M$23,9)="Y"))+((Y2316="")*(INDEX(Setup!$M$6:$M$23,9)="Y")))</f>
        <v/>
      </c>
      <c r="AC2316" s="90">
        <f>IF($B2316="","",IF(AB2316=0,"✓ covered","⚠ "&amp;AB2316&amp;IF(AB2316=1," gap"," gaps")))</f>
        <v/>
      </c>
    </row>
    <row r="2317" ht="17" customHeight="1">
      <c r="A2317" t="n">
        <v>47</v>
      </c>
      <c r="B2317" s="29">
        <f>IF(Setup!$K$15="","",Setup!$K$15)</f>
        <v/>
      </c>
      <c r="C2317" s="88" t="n"/>
      <c r="D2317" s="88" t="n"/>
      <c r="E2317" s="88" t="n"/>
      <c r="F2317" s="89" t="n"/>
      <c r="G2317" s="88" t="n"/>
      <c r="H2317" s="88" t="n"/>
      <c r="I2317" s="88" t="n"/>
      <c r="J2317" s="89" t="n"/>
      <c r="K2317" s="88" t="n"/>
      <c r="L2317" s="88" t="n"/>
      <c r="M2317" s="88" t="n"/>
      <c r="N2317" s="89" t="n"/>
      <c r="O2317" s="88" t="n"/>
      <c r="P2317" s="88" t="n"/>
      <c r="Q2317" s="88" t="n"/>
      <c r="R2317" s="89" t="n"/>
      <c r="S2317" s="88" t="n"/>
      <c r="T2317" s="88" t="n"/>
      <c r="U2317" s="88" t="n"/>
      <c r="V2317" s="89" t="n"/>
      <c r="W2317" s="88" t="n"/>
      <c r="X2317" s="89" t="n"/>
      <c r="Y2317" s="88" t="n"/>
      <c r="Z2317" s="89" t="n"/>
      <c r="AB2317" s="30">
        <f>IF($B2317="","",(COUNTIF(C2317:E2317,"?*")&lt;N(INDEX(Setup!$L$6:$L$23,10)))+(COUNTIF(G2317:I2317,"?*")&lt;N(INDEX(Setup!$L$6:$L$23,10)))+(COUNTIF(K2317:M2317,"?*")&lt;N(INDEX(Setup!$L$6:$L$23,10)))+(COUNTIF(O2317:Q2317,"?*")&lt;N(INDEX(Setup!$L$6:$L$23,10)))+(COUNTIF(S2317:U2317,"?*")&lt;N(INDEX(Setup!$L$6:$L$23,10)))+((W2317="")*(INDEX(Setup!$M$6:$M$23,10)="Y"))+((Y2317="")*(INDEX(Setup!$M$6:$M$23,10)="Y")))</f>
        <v/>
      </c>
      <c r="AC2317" s="91">
        <f>IF($B2317="","",IF(AB2317=0,"✓ covered","⚠ "&amp;AB2317&amp;IF(AB2317=1," gap"," gaps")))</f>
        <v/>
      </c>
    </row>
    <row r="2318" ht="17" customHeight="1">
      <c r="A2318" t="n">
        <v>47</v>
      </c>
      <c r="B2318" s="24">
        <f>IF(Setup!$K$16="","",Setup!$K$16)</f>
        <v/>
      </c>
      <c r="C2318" s="88" t="n"/>
      <c r="D2318" s="88" t="n"/>
      <c r="E2318" s="88" t="n"/>
      <c r="F2318" s="89" t="n"/>
      <c r="G2318" s="88" t="n"/>
      <c r="H2318" s="88" t="n"/>
      <c r="I2318" s="88" t="n"/>
      <c r="J2318" s="89" t="n"/>
      <c r="K2318" s="88" t="n"/>
      <c r="L2318" s="88" t="n"/>
      <c r="M2318" s="88" t="n"/>
      <c r="N2318" s="89" t="n"/>
      <c r="O2318" s="88" t="n"/>
      <c r="P2318" s="88" t="n"/>
      <c r="Q2318" s="88" t="n"/>
      <c r="R2318" s="89" t="n"/>
      <c r="S2318" s="88" t="n"/>
      <c r="T2318" s="88" t="n"/>
      <c r="U2318" s="88" t="n"/>
      <c r="V2318" s="89" t="n"/>
      <c r="W2318" s="88" t="n"/>
      <c r="X2318" s="89" t="n"/>
      <c r="Y2318" s="88" t="n"/>
      <c r="Z2318" s="89" t="n"/>
      <c r="AB2318" s="25">
        <f>IF($B2318="","",(COUNTIF(C2318:E2318,"?*")&lt;N(INDEX(Setup!$L$6:$L$23,11)))+(COUNTIF(G2318:I2318,"?*")&lt;N(INDEX(Setup!$L$6:$L$23,11)))+(COUNTIF(K2318:M2318,"?*")&lt;N(INDEX(Setup!$L$6:$L$23,11)))+(COUNTIF(O2318:Q2318,"?*")&lt;N(INDEX(Setup!$L$6:$L$23,11)))+(COUNTIF(S2318:U2318,"?*")&lt;N(INDEX(Setup!$L$6:$L$23,11)))+((W2318="")*(INDEX(Setup!$M$6:$M$23,11)="Y"))+((Y2318="")*(INDEX(Setup!$M$6:$M$23,11)="Y")))</f>
        <v/>
      </c>
      <c r="AC2318" s="90">
        <f>IF($B2318="","",IF(AB2318=0,"✓ covered","⚠ "&amp;AB2318&amp;IF(AB2318=1," gap"," gaps")))</f>
        <v/>
      </c>
    </row>
    <row r="2319" ht="17" customHeight="1">
      <c r="A2319" t="n">
        <v>47</v>
      </c>
      <c r="B2319" s="29">
        <f>IF(Setup!$K$17="","",Setup!$K$17)</f>
        <v/>
      </c>
      <c r="C2319" s="88" t="n"/>
      <c r="D2319" s="88" t="n"/>
      <c r="E2319" s="88" t="n"/>
      <c r="F2319" s="89" t="n"/>
      <c r="G2319" s="88" t="n"/>
      <c r="H2319" s="88" t="n"/>
      <c r="I2319" s="88" t="n"/>
      <c r="J2319" s="89" t="n"/>
      <c r="K2319" s="88" t="n"/>
      <c r="L2319" s="88" t="n"/>
      <c r="M2319" s="88" t="n"/>
      <c r="N2319" s="89" t="n"/>
      <c r="O2319" s="88" t="n"/>
      <c r="P2319" s="88" t="n"/>
      <c r="Q2319" s="88" t="n"/>
      <c r="R2319" s="89" t="n"/>
      <c r="S2319" s="88" t="n"/>
      <c r="T2319" s="88" t="n"/>
      <c r="U2319" s="88" t="n"/>
      <c r="V2319" s="89" t="n"/>
      <c r="W2319" s="88" t="n"/>
      <c r="X2319" s="89" t="n"/>
      <c r="Y2319" s="88" t="n"/>
      <c r="Z2319" s="89" t="n"/>
      <c r="AB2319" s="30">
        <f>IF($B2319="","",(COUNTIF(C2319:E2319,"?*")&lt;N(INDEX(Setup!$L$6:$L$23,12)))+(COUNTIF(G2319:I2319,"?*")&lt;N(INDEX(Setup!$L$6:$L$23,12)))+(COUNTIF(K2319:M2319,"?*")&lt;N(INDEX(Setup!$L$6:$L$23,12)))+(COUNTIF(O2319:Q2319,"?*")&lt;N(INDEX(Setup!$L$6:$L$23,12)))+(COUNTIF(S2319:U2319,"?*")&lt;N(INDEX(Setup!$L$6:$L$23,12)))+((W2319="")*(INDEX(Setup!$M$6:$M$23,12)="Y"))+((Y2319="")*(INDEX(Setup!$M$6:$M$23,12)="Y")))</f>
        <v/>
      </c>
      <c r="AC2319" s="91">
        <f>IF($B2319="","",IF(AB2319=0,"✓ covered","⚠ "&amp;AB2319&amp;IF(AB2319=1," gap"," gaps")))</f>
        <v/>
      </c>
    </row>
    <row r="2320" ht="17" customHeight="1">
      <c r="A2320" t="n">
        <v>47</v>
      </c>
      <c r="B2320" s="24">
        <f>IF(Setup!$K$18="","",Setup!$K$18)</f>
        <v/>
      </c>
      <c r="C2320" s="88" t="n"/>
      <c r="D2320" s="88" t="n"/>
      <c r="E2320" s="88" t="n"/>
      <c r="F2320" s="89" t="n"/>
      <c r="G2320" s="88" t="n"/>
      <c r="H2320" s="88" t="n"/>
      <c r="I2320" s="88" t="n"/>
      <c r="J2320" s="89" t="n"/>
      <c r="K2320" s="88" t="n"/>
      <c r="L2320" s="88" t="n"/>
      <c r="M2320" s="88" t="n"/>
      <c r="N2320" s="89" t="n"/>
      <c r="O2320" s="88" t="n"/>
      <c r="P2320" s="88" t="n"/>
      <c r="Q2320" s="88" t="n"/>
      <c r="R2320" s="89" t="n"/>
      <c r="S2320" s="88" t="n"/>
      <c r="T2320" s="88" t="n"/>
      <c r="U2320" s="88" t="n"/>
      <c r="V2320" s="89" t="n"/>
      <c r="W2320" s="88" t="n"/>
      <c r="X2320" s="89" t="n"/>
      <c r="Y2320" s="88" t="n"/>
      <c r="Z2320" s="89" t="n"/>
      <c r="AB2320" s="25">
        <f>IF($B2320="","",(COUNTIF(C2320:E2320,"?*")&lt;N(INDEX(Setup!$L$6:$L$23,13)))+(COUNTIF(G2320:I2320,"?*")&lt;N(INDEX(Setup!$L$6:$L$23,13)))+(COUNTIF(K2320:M2320,"?*")&lt;N(INDEX(Setup!$L$6:$L$23,13)))+(COUNTIF(O2320:Q2320,"?*")&lt;N(INDEX(Setup!$L$6:$L$23,13)))+(COUNTIF(S2320:U2320,"?*")&lt;N(INDEX(Setup!$L$6:$L$23,13)))+((W2320="")*(INDEX(Setup!$M$6:$M$23,13)="Y"))+((Y2320="")*(INDEX(Setup!$M$6:$M$23,13)="Y")))</f>
        <v/>
      </c>
      <c r="AC2320" s="90">
        <f>IF($B2320="","",IF(AB2320=0,"✓ covered","⚠ "&amp;AB2320&amp;IF(AB2320=1," gap"," gaps")))</f>
        <v/>
      </c>
    </row>
    <row r="2321" ht="17" customHeight="1">
      <c r="A2321" t="n">
        <v>47</v>
      </c>
      <c r="B2321" s="29">
        <f>IF(Setup!$K$19="","",Setup!$K$19)</f>
        <v/>
      </c>
      <c r="C2321" s="88" t="n"/>
      <c r="D2321" s="88" t="n"/>
      <c r="E2321" s="88" t="n"/>
      <c r="F2321" s="89" t="n"/>
      <c r="G2321" s="88" t="n"/>
      <c r="H2321" s="88" t="n"/>
      <c r="I2321" s="88" t="n"/>
      <c r="J2321" s="89" t="n"/>
      <c r="K2321" s="88" t="n"/>
      <c r="L2321" s="88" t="n"/>
      <c r="M2321" s="88" t="n"/>
      <c r="N2321" s="89" t="n"/>
      <c r="O2321" s="88" t="n"/>
      <c r="P2321" s="88" t="n"/>
      <c r="Q2321" s="88" t="n"/>
      <c r="R2321" s="89" t="n"/>
      <c r="S2321" s="88" t="n"/>
      <c r="T2321" s="88" t="n"/>
      <c r="U2321" s="88" t="n"/>
      <c r="V2321" s="89" t="n"/>
      <c r="W2321" s="88" t="n"/>
      <c r="X2321" s="89" t="n"/>
      <c r="Y2321" s="88" t="n"/>
      <c r="Z2321" s="89" t="n"/>
      <c r="AB2321" s="30">
        <f>IF($B2321="","",(COUNTIF(C2321:E2321,"?*")&lt;N(INDEX(Setup!$L$6:$L$23,14)))+(COUNTIF(G2321:I2321,"?*")&lt;N(INDEX(Setup!$L$6:$L$23,14)))+(COUNTIF(K2321:M2321,"?*")&lt;N(INDEX(Setup!$L$6:$L$23,14)))+(COUNTIF(O2321:Q2321,"?*")&lt;N(INDEX(Setup!$L$6:$L$23,14)))+(COUNTIF(S2321:U2321,"?*")&lt;N(INDEX(Setup!$L$6:$L$23,14)))+((W2321="")*(INDEX(Setup!$M$6:$M$23,14)="Y"))+((Y2321="")*(INDEX(Setup!$M$6:$M$23,14)="Y")))</f>
        <v/>
      </c>
      <c r="AC2321" s="91">
        <f>IF($B2321="","",IF(AB2321=0,"✓ covered","⚠ "&amp;AB2321&amp;IF(AB2321=1," gap"," gaps")))</f>
        <v/>
      </c>
    </row>
    <row r="2322" ht="17" customHeight="1">
      <c r="A2322" t="n">
        <v>47</v>
      </c>
      <c r="B2322" s="24">
        <f>IF(Setup!$K$20="","",Setup!$K$20)</f>
        <v/>
      </c>
      <c r="C2322" s="88" t="n"/>
      <c r="D2322" s="88" t="n"/>
      <c r="E2322" s="88" t="n"/>
      <c r="F2322" s="89" t="n"/>
      <c r="G2322" s="88" t="n"/>
      <c r="H2322" s="88" t="n"/>
      <c r="I2322" s="88" t="n"/>
      <c r="J2322" s="89" t="n"/>
      <c r="K2322" s="88" t="n"/>
      <c r="L2322" s="88" t="n"/>
      <c r="M2322" s="88" t="n"/>
      <c r="N2322" s="89" t="n"/>
      <c r="O2322" s="88" t="n"/>
      <c r="P2322" s="88" t="n"/>
      <c r="Q2322" s="88" t="n"/>
      <c r="R2322" s="89" t="n"/>
      <c r="S2322" s="88" t="n"/>
      <c r="T2322" s="88" t="n"/>
      <c r="U2322" s="88" t="n"/>
      <c r="V2322" s="89" t="n"/>
      <c r="W2322" s="88" t="n"/>
      <c r="X2322" s="89" t="n"/>
      <c r="Y2322" s="88" t="n"/>
      <c r="Z2322" s="89" t="n"/>
      <c r="AB2322" s="25">
        <f>IF($B2322="","",(COUNTIF(C2322:E2322,"?*")&lt;N(INDEX(Setup!$L$6:$L$23,15)))+(COUNTIF(G2322:I2322,"?*")&lt;N(INDEX(Setup!$L$6:$L$23,15)))+(COUNTIF(K2322:M2322,"?*")&lt;N(INDEX(Setup!$L$6:$L$23,15)))+(COUNTIF(O2322:Q2322,"?*")&lt;N(INDEX(Setup!$L$6:$L$23,15)))+(COUNTIF(S2322:U2322,"?*")&lt;N(INDEX(Setup!$L$6:$L$23,15)))+((W2322="")*(INDEX(Setup!$M$6:$M$23,15)="Y"))+((Y2322="")*(INDEX(Setup!$M$6:$M$23,15)="Y")))</f>
        <v/>
      </c>
      <c r="AC2322" s="90">
        <f>IF($B2322="","",IF(AB2322=0,"✓ covered","⚠ "&amp;AB2322&amp;IF(AB2322=1," gap"," gaps")))</f>
        <v/>
      </c>
    </row>
    <row r="2323" ht="17" customHeight="1">
      <c r="A2323" t="n">
        <v>47</v>
      </c>
      <c r="B2323" s="29">
        <f>IF(Setup!$K$21="","",Setup!$K$21)</f>
        <v/>
      </c>
      <c r="C2323" s="88" t="n"/>
      <c r="D2323" s="88" t="n"/>
      <c r="E2323" s="88" t="n"/>
      <c r="F2323" s="89" t="n"/>
      <c r="G2323" s="88" t="n"/>
      <c r="H2323" s="88" t="n"/>
      <c r="I2323" s="88" t="n"/>
      <c r="J2323" s="89" t="n"/>
      <c r="K2323" s="88" t="n"/>
      <c r="L2323" s="88" t="n"/>
      <c r="M2323" s="88" t="n"/>
      <c r="N2323" s="89" t="n"/>
      <c r="O2323" s="88" t="n"/>
      <c r="P2323" s="88" t="n"/>
      <c r="Q2323" s="88" t="n"/>
      <c r="R2323" s="89" t="n"/>
      <c r="S2323" s="88" t="n"/>
      <c r="T2323" s="88" t="n"/>
      <c r="U2323" s="88" t="n"/>
      <c r="V2323" s="89" t="n"/>
      <c r="W2323" s="88" t="n"/>
      <c r="X2323" s="89" t="n"/>
      <c r="Y2323" s="88" t="n"/>
      <c r="Z2323" s="89" t="n"/>
      <c r="AB2323" s="30">
        <f>IF($B2323="","",(COUNTIF(C2323:E2323,"?*")&lt;N(INDEX(Setup!$L$6:$L$23,16)))+(COUNTIF(G2323:I2323,"?*")&lt;N(INDEX(Setup!$L$6:$L$23,16)))+(COUNTIF(K2323:M2323,"?*")&lt;N(INDEX(Setup!$L$6:$L$23,16)))+(COUNTIF(O2323:Q2323,"?*")&lt;N(INDEX(Setup!$L$6:$L$23,16)))+(COUNTIF(S2323:U2323,"?*")&lt;N(INDEX(Setup!$L$6:$L$23,16)))+((W2323="")*(INDEX(Setup!$M$6:$M$23,16)="Y"))+((Y2323="")*(INDEX(Setup!$M$6:$M$23,16)="Y")))</f>
        <v/>
      </c>
      <c r="AC2323" s="91">
        <f>IF($B2323="","",IF(AB2323=0,"✓ covered","⚠ "&amp;AB2323&amp;IF(AB2323=1," gap"," gaps")))</f>
        <v/>
      </c>
    </row>
    <row r="2324" ht="17" customHeight="1">
      <c r="A2324" t="n">
        <v>47</v>
      </c>
      <c r="B2324" s="24">
        <f>IF(Setup!$K$22="","",Setup!$K$22)</f>
        <v/>
      </c>
      <c r="C2324" s="88" t="n"/>
      <c r="D2324" s="88" t="n"/>
      <c r="E2324" s="88" t="n"/>
      <c r="F2324" s="89" t="n"/>
      <c r="G2324" s="88" t="n"/>
      <c r="H2324" s="88" t="n"/>
      <c r="I2324" s="88" t="n"/>
      <c r="J2324" s="89" t="n"/>
      <c r="K2324" s="88" t="n"/>
      <c r="L2324" s="88" t="n"/>
      <c r="M2324" s="88" t="n"/>
      <c r="N2324" s="89" t="n"/>
      <c r="O2324" s="88" t="n"/>
      <c r="P2324" s="88" t="n"/>
      <c r="Q2324" s="88" t="n"/>
      <c r="R2324" s="89" t="n"/>
      <c r="S2324" s="88" t="n"/>
      <c r="T2324" s="88" t="n"/>
      <c r="U2324" s="88" t="n"/>
      <c r="V2324" s="89" t="n"/>
      <c r="W2324" s="88" t="n"/>
      <c r="X2324" s="89" t="n"/>
      <c r="Y2324" s="88" t="n"/>
      <c r="Z2324" s="89" t="n"/>
      <c r="AB2324" s="25">
        <f>IF($B2324="","",(COUNTIF(C2324:E2324,"?*")&lt;N(INDEX(Setup!$L$6:$L$23,17)))+(COUNTIF(G2324:I2324,"?*")&lt;N(INDEX(Setup!$L$6:$L$23,17)))+(COUNTIF(K2324:M2324,"?*")&lt;N(INDEX(Setup!$L$6:$L$23,17)))+(COUNTIF(O2324:Q2324,"?*")&lt;N(INDEX(Setup!$L$6:$L$23,17)))+(COUNTIF(S2324:U2324,"?*")&lt;N(INDEX(Setup!$L$6:$L$23,17)))+((W2324="")*(INDEX(Setup!$M$6:$M$23,17)="Y"))+((Y2324="")*(INDEX(Setup!$M$6:$M$23,17)="Y")))</f>
        <v/>
      </c>
      <c r="AC2324" s="90">
        <f>IF($B2324="","",IF(AB2324=0,"✓ covered","⚠ "&amp;AB2324&amp;IF(AB2324=1," gap"," gaps")))</f>
        <v/>
      </c>
    </row>
    <row r="2325" ht="17" customHeight="1">
      <c r="A2325" t="n">
        <v>47</v>
      </c>
      <c r="B2325" s="29">
        <f>IF(Setup!$K$23="","",Setup!$K$23)</f>
        <v/>
      </c>
      <c r="C2325" s="88" t="n"/>
      <c r="D2325" s="88" t="n"/>
      <c r="E2325" s="88" t="n"/>
      <c r="F2325" s="89" t="n"/>
      <c r="G2325" s="88" t="n"/>
      <c r="H2325" s="88" t="n"/>
      <c r="I2325" s="88" t="n"/>
      <c r="J2325" s="89" t="n"/>
      <c r="K2325" s="88" t="n"/>
      <c r="L2325" s="88" t="n"/>
      <c r="M2325" s="88" t="n"/>
      <c r="N2325" s="89" t="n"/>
      <c r="O2325" s="88" t="n"/>
      <c r="P2325" s="88" t="n"/>
      <c r="Q2325" s="88" t="n"/>
      <c r="R2325" s="89" t="n"/>
      <c r="S2325" s="88" t="n"/>
      <c r="T2325" s="88" t="n"/>
      <c r="U2325" s="88" t="n"/>
      <c r="V2325" s="89" t="n"/>
      <c r="W2325" s="88" t="n"/>
      <c r="X2325" s="89" t="n"/>
      <c r="Y2325" s="88" t="n"/>
      <c r="Z2325" s="89" t="n"/>
      <c r="AB2325" s="30">
        <f>IF($B2325="","",(COUNTIF(C2325:E2325,"?*")&lt;N(INDEX(Setup!$L$6:$L$23,18)))+(COUNTIF(G2325:I2325,"?*")&lt;N(INDEX(Setup!$L$6:$L$23,18)))+(COUNTIF(K2325:M2325,"?*")&lt;N(INDEX(Setup!$L$6:$L$23,18)))+(COUNTIF(O2325:Q2325,"?*")&lt;N(INDEX(Setup!$L$6:$L$23,18)))+(COUNTIF(S2325:U2325,"?*")&lt;N(INDEX(Setup!$L$6:$L$23,18)))+((W2325="")*(INDEX(Setup!$M$6:$M$23,18)="Y"))+((Y2325="")*(INDEX(Setup!$M$6:$M$23,18)="Y")))</f>
        <v/>
      </c>
      <c r="AC2325" s="91">
        <f>IF($B2325="","",IF(AB2325=0,"✓ covered","⚠ "&amp;AB2325&amp;IF(AB2325=1," gap"," gaps")))</f>
        <v/>
      </c>
    </row>
    <row r="2326" ht="18" customHeight="1">
      <c r="A2326" t="n">
        <v>47</v>
      </c>
      <c r="B2326" s="78" t="inlineStr">
        <is>
          <t>TEAM AVAILABILITY</t>
        </is>
      </c>
      <c r="C2326" s="92" t="inlineStr">
        <is>
          <t>Mon</t>
        </is>
      </c>
      <c r="D2326" s="93" t="n"/>
      <c r="E2326" s="93" t="n"/>
      <c r="F2326" s="94" t="n"/>
      <c r="G2326" s="92" t="inlineStr">
        <is>
          <t>Tue</t>
        </is>
      </c>
      <c r="H2326" s="93" t="n"/>
      <c r="I2326" s="93" t="n"/>
      <c r="J2326" s="94" t="n"/>
      <c r="K2326" s="92" t="inlineStr">
        <is>
          <t>Wed</t>
        </is>
      </c>
      <c r="L2326" s="93" t="n"/>
      <c r="M2326" s="93" t="n"/>
      <c r="N2326" s="94" t="n"/>
      <c r="O2326" s="92" t="inlineStr">
        <is>
          <t>Thu</t>
        </is>
      </c>
      <c r="P2326" s="93" t="n"/>
      <c r="Q2326" s="93" t="n"/>
      <c r="R2326" s="94" t="n"/>
      <c r="S2326" s="92" t="inlineStr">
        <is>
          <t>Fri</t>
        </is>
      </c>
      <c r="T2326" s="93" t="n"/>
      <c r="U2326" s="93" t="n"/>
      <c r="V2326" s="94" t="n"/>
      <c r="W2326" s="95" t="inlineStr">
        <is>
          <t>Sat</t>
        </is>
      </c>
      <c r="X2326" s="96" t="n"/>
      <c r="Y2326" s="95" t="inlineStr">
        <is>
          <t>Sun</t>
        </is>
      </c>
      <c r="Z2326" s="96" t="n"/>
      <c r="AB2326" s="97" t="inlineStr">
        <is>
          <t>Days rostered</t>
        </is>
      </c>
      <c r="AC2326" s="97" t="inlineStr">
        <is>
          <t>Conflicts</t>
        </is>
      </c>
    </row>
    <row r="2327" ht="15" customHeight="1">
      <c r="A2327" t="n">
        <v>47</v>
      </c>
      <c r="B2327" s="35">
        <f>IF(Setup!$B$6="","",Setup!$B$6)</f>
        <v/>
      </c>
      <c r="C2327" s="98" t="n"/>
      <c r="D2327" s="99" t="n"/>
      <c r="E2327" s="99" t="n"/>
      <c r="F2327" s="100" t="n"/>
      <c r="G2327" s="98" t="n"/>
      <c r="H2327" s="99" t="n"/>
      <c r="I2327" s="99" t="n"/>
      <c r="J2327" s="100" t="n"/>
      <c r="K2327" s="98" t="n"/>
      <c r="L2327" s="99" t="n"/>
      <c r="M2327" s="99" t="n"/>
      <c r="N2327" s="100" t="n"/>
      <c r="O2327" s="98" t="n"/>
      <c r="P2327" s="99" t="n"/>
      <c r="Q2327" s="99" t="n"/>
      <c r="R2327" s="100" t="n"/>
      <c r="S2327" s="98" t="n"/>
      <c r="T2327" s="99" t="n"/>
      <c r="U2327" s="99" t="n"/>
      <c r="V2327" s="100" t="n"/>
      <c r="W2327" s="98" t="n"/>
      <c r="X2327" s="100" t="n"/>
      <c r="Y2327" s="98" t="n"/>
      <c r="Z2327" s="100" t="n"/>
      <c r="AB2327" s="101">
        <f>IF($B2327="","",(COUNTIF(C2308:E2325,$B2327)+COUNTIF(C2308:E2325,$B2327&amp;" ~*")&gt;0)+(COUNTIF(G2308:I2325,$B2327)+COUNTIF(G2308:I2325,$B2327&amp;" ~*")&gt;0)+(COUNTIF(K2308:M2325,$B2327)+COUNTIF(K2308:M2325,$B2327&amp;" ~*")&gt;0)+(COUNTIF(O2308:Q2325,$B2327)+COUNTIF(O2308:Q2325,$B2327&amp;" ~*")&gt;0)+(COUNTIF(S2308:U2325,$B2327)+COUNTIF(S2308:U2325,$B2327&amp;" ~*")&gt;0)+(COUNTIF(W2308:W2325,$B2327)+COUNTIF(W2308:W2325,$B2327&amp;" ~*")&gt;0)+(COUNTIF(Y2308:Y2325,$B2327)+COUNTIF(Y2308:Y2325,$B2327&amp;" ~*")&gt;0))</f>
        <v/>
      </c>
      <c r="AC2327" s="36">
        <f>IF($B2327="","",(IFERROR(INDEX(Setup!$G$33:$G$40,MATCH(C2327,Setup!$B$33:$B$40,0)),0)=1)*(COUNTIF(C2308:E2325,$B2327)+COUNTIF(C2308:E2325,$B2327&amp;" ~*")&gt;0)+(IFERROR(INDEX(Setup!$G$33:$G$40,MATCH(G2327,Setup!$B$33:$B$40,0)),0)=1)*(COUNTIF(G2308:I2325,$B2327)+COUNTIF(G2308:I2325,$B2327&amp;" ~*")&gt;0)+(IFERROR(INDEX(Setup!$G$33:$G$40,MATCH(K2327,Setup!$B$33:$B$40,0)),0)=1)*(COUNTIF(K2308:M2325,$B2327)+COUNTIF(K2308:M2325,$B2327&amp;" ~*")&gt;0)+(IFERROR(INDEX(Setup!$G$33:$G$40,MATCH(O2327,Setup!$B$33:$B$40,0)),0)=1)*(COUNTIF(O2308:Q2325,$B2327)+COUNTIF(O2308:Q2325,$B2327&amp;" ~*")&gt;0)+(IFERROR(INDEX(Setup!$G$33:$G$40,MATCH(S2327,Setup!$B$33:$B$40,0)),0)=1)*(COUNTIF(S2308:U2325,$B2327)+COUNTIF(S2308:U2325,$B2327&amp;" ~*")&gt;0)+(IFERROR(INDEX(Setup!$G$33:$G$40,MATCH(W2327,Setup!$B$33:$B$40,0)),0)=1)*(COUNTIF(W2308:W2325,$B2327)+COUNTIF(W2308:W2325,$B2327&amp;" ~*")&gt;0)+(IFERROR(INDEX(Setup!$G$33:$G$40,MATCH(Y2327,Setup!$B$33:$B$40,0)),0)=1)*(COUNTIF(Y2308:Y2325,$B2327)+COUNTIF(Y2308:Y2325,$B2327&amp;" ~*")&gt;0))</f>
        <v/>
      </c>
    </row>
    <row r="2328" ht="15" customHeight="1">
      <c r="A2328" t="n">
        <v>47</v>
      </c>
      <c r="B2328" s="37">
        <f>IF(Setup!$B$7="","",Setup!$B$7)</f>
        <v/>
      </c>
      <c r="C2328" s="102" t="n"/>
      <c r="D2328" s="103" t="n"/>
      <c r="E2328" s="103" t="n"/>
      <c r="F2328" s="104" t="n"/>
      <c r="G2328" s="102" t="n"/>
      <c r="H2328" s="103" t="n"/>
      <c r="I2328" s="103" t="n"/>
      <c r="J2328" s="104" t="n"/>
      <c r="K2328" s="102" t="n"/>
      <c r="L2328" s="103" t="n"/>
      <c r="M2328" s="103" t="n"/>
      <c r="N2328" s="104" t="n"/>
      <c r="O2328" s="102" t="n"/>
      <c r="P2328" s="103" t="n"/>
      <c r="Q2328" s="103" t="n"/>
      <c r="R2328" s="104" t="n"/>
      <c r="S2328" s="102" t="n"/>
      <c r="T2328" s="103" t="n"/>
      <c r="U2328" s="103" t="n"/>
      <c r="V2328" s="104" t="n"/>
      <c r="W2328" s="102" t="n"/>
      <c r="X2328" s="104" t="n"/>
      <c r="Y2328" s="102" t="n"/>
      <c r="Z2328" s="104" t="n"/>
      <c r="AB2328" s="105">
        <f>IF($B2328="","",(COUNTIF(C2308:E2325,$B2328)+COUNTIF(C2308:E2325,$B2328&amp;" ~*")&gt;0)+(COUNTIF(G2308:I2325,$B2328)+COUNTIF(G2308:I2325,$B2328&amp;" ~*")&gt;0)+(COUNTIF(K2308:M2325,$B2328)+COUNTIF(K2308:M2325,$B2328&amp;" ~*")&gt;0)+(COUNTIF(O2308:Q2325,$B2328)+COUNTIF(O2308:Q2325,$B2328&amp;" ~*")&gt;0)+(COUNTIF(S2308:U2325,$B2328)+COUNTIF(S2308:U2325,$B2328&amp;" ~*")&gt;0)+(COUNTIF(W2308:W2325,$B2328)+COUNTIF(W2308:W2325,$B2328&amp;" ~*")&gt;0)+(COUNTIF(Y2308:Y2325,$B2328)+COUNTIF(Y2308:Y2325,$B2328&amp;" ~*")&gt;0))</f>
        <v/>
      </c>
      <c r="AC2328" s="38">
        <f>IF($B2328="","",(IFERROR(INDEX(Setup!$G$33:$G$40,MATCH(C2328,Setup!$B$33:$B$40,0)),0)=1)*(COUNTIF(C2308:E2325,$B2328)+COUNTIF(C2308:E2325,$B2328&amp;" ~*")&gt;0)+(IFERROR(INDEX(Setup!$G$33:$G$40,MATCH(G2328,Setup!$B$33:$B$40,0)),0)=1)*(COUNTIF(G2308:I2325,$B2328)+COUNTIF(G2308:I2325,$B2328&amp;" ~*")&gt;0)+(IFERROR(INDEX(Setup!$G$33:$G$40,MATCH(K2328,Setup!$B$33:$B$40,0)),0)=1)*(COUNTIF(K2308:M2325,$B2328)+COUNTIF(K2308:M2325,$B2328&amp;" ~*")&gt;0)+(IFERROR(INDEX(Setup!$G$33:$G$40,MATCH(O2328,Setup!$B$33:$B$40,0)),0)=1)*(COUNTIF(O2308:Q2325,$B2328)+COUNTIF(O2308:Q2325,$B2328&amp;" ~*")&gt;0)+(IFERROR(INDEX(Setup!$G$33:$G$40,MATCH(S2328,Setup!$B$33:$B$40,0)),0)=1)*(COUNTIF(S2308:U2325,$B2328)+COUNTIF(S2308:U2325,$B2328&amp;" ~*")&gt;0)+(IFERROR(INDEX(Setup!$G$33:$G$40,MATCH(W2328,Setup!$B$33:$B$40,0)),0)=1)*(COUNTIF(W2308:W2325,$B2328)+COUNTIF(W2308:W2325,$B2328&amp;" ~*")&gt;0)+(IFERROR(INDEX(Setup!$G$33:$G$40,MATCH(Y2328,Setup!$B$33:$B$40,0)),0)=1)*(COUNTIF(Y2308:Y2325,$B2328)+COUNTIF(Y2308:Y2325,$B2328&amp;" ~*")&gt;0))</f>
        <v/>
      </c>
    </row>
    <row r="2329" ht="15" customHeight="1">
      <c r="A2329" t="n">
        <v>47</v>
      </c>
      <c r="B2329" s="35">
        <f>IF(Setup!$B$8="","",Setup!$B$8)</f>
        <v/>
      </c>
      <c r="C2329" s="98" t="n"/>
      <c r="D2329" s="99" t="n"/>
      <c r="E2329" s="99" t="n"/>
      <c r="F2329" s="100" t="n"/>
      <c r="G2329" s="98" t="n"/>
      <c r="H2329" s="99" t="n"/>
      <c r="I2329" s="99" t="n"/>
      <c r="J2329" s="100" t="n"/>
      <c r="K2329" s="98" t="n"/>
      <c r="L2329" s="99" t="n"/>
      <c r="M2329" s="99" t="n"/>
      <c r="N2329" s="100" t="n"/>
      <c r="O2329" s="98" t="n"/>
      <c r="P2329" s="99" t="n"/>
      <c r="Q2329" s="99" t="n"/>
      <c r="R2329" s="100" t="n"/>
      <c r="S2329" s="98" t="n"/>
      <c r="T2329" s="99" t="n"/>
      <c r="U2329" s="99" t="n"/>
      <c r="V2329" s="100" t="n"/>
      <c r="W2329" s="98" t="n"/>
      <c r="X2329" s="100" t="n"/>
      <c r="Y2329" s="98" t="n"/>
      <c r="Z2329" s="100" t="n"/>
      <c r="AB2329" s="101">
        <f>IF($B2329="","",(COUNTIF(C2308:E2325,$B2329)+COUNTIF(C2308:E2325,$B2329&amp;" ~*")&gt;0)+(COUNTIF(G2308:I2325,$B2329)+COUNTIF(G2308:I2325,$B2329&amp;" ~*")&gt;0)+(COUNTIF(K2308:M2325,$B2329)+COUNTIF(K2308:M2325,$B2329&amp;" ~*")&gt;0)+(COUNTIF(O2308:Q2325,$B2329)+COUNTIF(O2308:Q2325,$B2329&amp;" ~*")&gt;0)+(COUNTIF(S2308:U2325,$B2329)+COUNTIF(S2308:U2325,$B2329&amp;" ~*")&gt;0)+(COUNTIF(W2308:W2325,$B2329)+COUNTIF(W2308:W2325,$B2329&amp;" ~*")&gt;0)+(COUNTIF(Y2308:Y2325,$B2329)+COUNTIF(Y2308:Y2325,$B2329&amp;" ~*")&gt;0))</f>
        <v/>
      </c>
      <c r="AC2329" s="36">
        <f>IF($B2329="","",(IFERROR(INDEX(Setup!$G$33:$G$40,MATCH(C2329,Setup!$B$33:$B$40,0)),0)=1)*(COUNTIF(C2308:E2325,$B2329)+COUNTIF(C2308:E2325,$B2329&amp;" ~*")&gt;0)+(IFERROR(INDEX(Setup!$G$33:$G$40,MATCH(G2329,Setup!$B$33:$B$40,0)),0)=1)*(COUNTIF(G2308:I2325,$B2329)+COUNTIF(G2308:I2325,$B2329&amp;" ~*")&gt;0)+(IFERROR(INDEX(Setup!$G$33:$G$40,MATCH(K2329,Setup!$B$33:$B$40,0)),0)=1)*(COUNTIF(K2308:M2325,$B2329)+COUNTIF(K2308:M2325,$B2329&amp;" ~*")&gt;0)+(IFERROR(INDEX(Setup!$G$33:$G$40,MATCH(O2329,Setup!$B$33:$B$40,0)),0)=1)*(COUNTIF(O2308:Q2325,$B2329)+COUNTIF(O2308:Q2325,$B2329&amp;" ~*")&gt;0)+(IFERROR(INDEX(Setup!$G$33:$G$40,MATCH(S2329,Setup!$B$33:$B$40,0)),0)=1)*(COUNTIF(S2308:U2325,$B2329)+COUNTIF(S2308:U2325,$B2329&amp;" ~*")&gt;0)+(IFERROR(INDEX(Setup!$G$33:$G$40,MATCH(W2329,Setup!$B$33:$B$40,0)),0)=1)*(COUNTIF(W2308:W2325,$B2329)+COUNTIF(W2308:W2325,$B2329&amp;" ~*")&gt;0)+(IFERROR(INDEX(Setup!$G$33:$G$40,MATCH(Y2329,Setup!$B$33:$B$40,0)),0)=1)*(COUNTIF(Y2308:Y2325,$B2329)+COUNTIF(Y2308:Y2325,$B2329&amp;" ~*")&gt;0))</f>
        <v/>
      </c>
    </row>
    <row r="2330" ht="15" customHeight="1">
      <c r="A2330" t="n">
        <v>47</v>
      </c>
      <c r="B2330" s="37">
        <f>IF(Setup!$B$9="","",Setup!$B$9)</f>
        <v/>
      </c>
      <c r="C2330" s="102" t="n"/>
      <c r="D2330" s="103" t="n"/>
      <c r="E2330" s="103" t="n"/>
      <c r="F2330" s="104" t="n"/>
      <c r="G2330" s="102" t="n"/>
      <c r="H2330" s="103" t="n"/>
      <c r="I2330" s="103" t="n"/>
      <c r="J2330" s="104" t="n"/>
      <c r="K2330" s="102" t="n"/>
      <c r="L2330" s="103" t="n"/>
      <c r="M2330" s="103" t="n"/>
      <c r="N2330" s="104" t="n"/>
      <c r="O2330" s="102" t="n"/>
      <c r="P2330" s="103" t="n"/>
      <c r="Q2330" s="103" t="n"/>
      <c r="R2330" s="104" t="n"/>
      <c r="S2330" s="102" t="n"/>
      <c r="T2330" s="103" t="n"/>
      <c r="U2330" s="103" t="n"/>
      <c r="V2330" s="104" t="n"/>
      <c r="W2330" s="102" t="n"/>
      <c r="X2330" s="104" t="n"/>
      <c r="Y2330" s="102" t="n"/>
      <c r="Z2330" s="104" t="n"/>
      <c r="AB2330" s="105">
        <f>IF($B2330="","",(COUNTIF(C2308:E2325,$B2330)+COUNTIF(C2308:E2325,$B2330&amp;" ~*")&gt;0)+(COUNTIF(G2308:I2325,$B2330)+COUNTIF(G2308:I2325,$B2330&amp;" ~*")&gt;0)+(COUNTIF(K2308:M2325,$B2330)+COUNTIF(K2308:M2325,$B2330&amp;" ~*")&gt;0)+(COUNTIF(O2308:Q2325,$B2330)+COUNTIF(O2308:Q2325,$B2330&amp;" ~*")&gt;0)+(COUNTIF(S2308:U2325,$B2330)+COUNTIF(S2308:U2325,$B2330&amp;" ~*")&gt;0)+(COUNTIF(W2308:W2325,$B2330)+COUNTIF(W2308:W2325,$B2330&amp;" ~*")&gt;0)+(COUNTIF(Y2308:Y2325,$B2330)+COUNTIF(Y2308:Y2325,$B2330&amp;" ~*")&gt;0))</f>
        <v/>
      </c>
      <c r="AC2330" s="38">
        <f>IF($B2330="","",(IFERROR(INDEX(Setup!$G$33:$G$40,MATCH(C2330,Setup!$B$33:$B$40,0)),0)=1)*(COUNTIF(C2308:E2325,$B2330)+COUNTIF(C2308:E2325,$B2330&amp;" ~*")&gt;0)+(IFERROR(INDEX(Setup!$G$33:$G$40,MATCH(G2330,Setup!$B$33:$B$40,0)),0)=1)*(COUNTIF(G2308:I2325,$B2330)+COUNTIF(G2308:I2325,$B2330&amp;" ~*")&gt;0)+(IFERROR(INDEX(Setup!$G$33:$G$40,MATCH(K2330,Setup!$B$33:$B$40,0)),0)=1)*(COUNTIF(K2308:M2325,$B2330)+COUNTIF(K2308:M2325,$B2330&amp;" ~*")&gt;0)+(IFERROR(INDEX(Setup!$G$33:$G$40,MATCH(O2330,Setup!$B$33:$B$40,0)),0)=1)*(COUNTIF(O2308:Q2325,$B2330)+COUNTIF(O2308:Q2325,$B2330&amp;" ~*")&gt;0)+(IFERROR(INDEX(Setup!$G$33:$G$40,MATCH(S2330,Setup!$B$33:$B$40,0)),0)=1)*(COUNTIF(S2308:U2325,$B2330)+COUNTIF(S2308:U2325,$B2330&amp;" ~*")&gt;0)+(IFERROR(INDEX(Setup!$G$33:$G$40,MATCH(W2330,Setup!$B$33:$B$40,0)),0)=1)*(COUNTIF(W2308:W2325,$B2330)+COUNTIF(W2308:W2325,$B2330&amp;" ~*")&gt;0)+(IFERROR(INDEX(Setup!$G$33:$G$40,MATCH(Y2330,Setup!$B$33:$B$40,0)),0)=1)*(COUNTIF(Y2308:Y2325,$B2330)+COUNTIF(Y2308:Y2325,$B2330&amp;" ~*")&gt;0))</f>
        <v/>
      </c>
    </row>
    <row r="2331" ht="15" customHeight="1">
      <c r="A2331" t="n">
        <v>47</v>
      </c>
      <c r="B2331" s="35">
        <f>IF(Setup!$B$10="","",Setup!$B$10)</f>
        <v/>
      </c>
      <c r="C2331" s="98" t="n"/>
      <c r="D2331" s="99" t="n"/>
      <c r="E2331" s="99" t="n"/>
      <c r="F2331" s="100" t="n"/>
      <c r="G2331" s="98" t="n"/>
      <c r="H2331" s="99" t="n"/>
      <c r="I2331" s="99" t="n"/>
      <c r="J2331" s="100" t="n"/>
      <c r="K2331" s="98" t="n"/>
      <c r="L2331" s="99" t="n"/>
      <c r="M2331" s="99" t="n"/>
      <c r="N2331" s="100" t="n"/>
      <c r="O2331" s="98" t="n"/>
      <c r="P2331" s="99" t="n"/>
      <c r="Q2331" s="99" t="n"/>
      <c r="R2331" s="100" t="n"/>
      <c r="S2331" s="98" t="n"/>
      <c r="T2331" s="99" t="n"/>
      <c r="U2331" s="99" t="n"/>
      <c r="V2331" s="100" t="n"/>
      <c r="W2331" s="98" t="n"/>
      <c r="X2331" s="100" t="n"/>
      <c r="Y2331" s="98" t="n"/>
      <c r="Z2331" s="100" t="n"/>
      <c r="AB2331" s="101">
        <f>IF($B2331="","",(COUNTIF(C2308:E2325,$B2331)+COUNTIF(C2308:E2325,$B2331&amp;" ~*")&gt;0)+(COUNTIF(G2308:I2325,$B2331)+COUNTIF(G2308:I2325,$B2331&amp;" ~*")&gt;0)+(COUNTIF(K2308:M2325,$B2331)+COUNTIF(K2308:M2325,$B2331&amp;" ~*")&gt;0)+(COUNTIF(O2308:Q2325,$B2331)+COUNTIF(O2308:Q2325,$B2331&amp;" ~*")&gt;0)+(COUNTIF(S2308:U2325,$B2331)+COUNTIF(S2308:U2325,$B2331&amp;" ~*")&gt;0)+(COUNTIF(W2308:W2325,$B2331)+COUNTIF(W2308:W2325,$B2331&amp;" ~*")&gt;0)+(COUNTIF(Y2308:Y2325,$B2331)+COUNTIF(Y2308:Y2325,$B2331&amp;" ~*")&gt;0))</f>
        <v/>
      </c>
      <c r="AC2331" s="36">
        <f>IF($B2331="","",(IFERROR(INDEX(Setup!$G$33:$G$40,MATCH(C2331,Setup!$B$33:$B$40,0)),0)=1)*(COUNTIF(C2308:E2325,$B2331)+COUNTIF(C2308:E2325,$B2331&amp;" ~*")&gt;0)+(IFERROR(INDEX(Setup!$G$33:$G$40,MATCH(G2331,Setup!$B$33:$B$40,0)),0)=1)*(COUNTIF(G2308:I2325,$B2331)+COUNTIF(G2308:I2325,$B2331&amp;" ~*")&gt;0)+(IFERROR(INDEX(Setup!$G$33:$G$40,MATCH(K2331,Setup!$B$33:$B$40,0)),0)=1)*(COUNTIF(K2308:M2325,$B2331)+COUNTIF(K2308:M2325,$B2331&amp;" ~*")&gt;0)+(IFERROR(INDEX(Setup!$G$33:$G$40,MATCH(O2331,Setup!$B$33:$B$40,0)),0)=1)*(COUNTIF(O2308:Q2325,$B2331)+COUNTIF(O2308:Q2325,$B2331&amp;" ~*")&gt;0)+(IFERROR(INDEX(Setup!$G$33:$G$40,MATCH(S2331,Setup!$B$33:$B$40,0)),0)=1)*(COUNTIF(S2308:U2325,$B2331)+COUNTIF(S2308:U2325,$B2331&amp;" ~*")&gt;0)+(IFERROR(INDEX(Setup!$G$33:$G$40,MATCH(W2331,Setup!$B$33:$B$40,0)),0)=1)*(COUNTIF(W2308:W2325,$B2331)+COUNTIF(W2308:W2325,$B2331&amp;" ~*")&gt;0)+(IFERROR(INDEX(Setup!$G$33:$G$40,MATCH(Y2331,Setup!$B$33:$B$40,0)),0)=1)*(COUNTIF(Y2308:Y2325,$B2331)+COUNTIF(Y2308:Y2325,$B2331&amp;" ~*")&gt;0))</f>
        <v/>
      </c>
    </row>
    <row r="2332" ht="15" customHeight="1">
      <c r="A2332" t="n">
        <v>47</v>
      </c>
      <c r="B2332" s="37">
        <f>IF(Setup!$B$11="","",Setup!$B$11)</f>
        <v/>
      </c>
      <c r="C2332" s="102" t="n"/>
      <c r="D2332" s="103" t="n"/>
      <c r="E2332" s="103" t="n"/>
      <c r="F2332" s="104" t="n"/>
      <c r="G2332" s="102" t="n"/>
      <c r="H2332" s="103" t="n"/>
      <c r="I2332" s="103" t="n"/>
      <c r="J2332" s="104" t="n"/>
      <c r="K2332" s="102" t="n"/>
      <c r="L2332" s="103" t="n"/>
      <c r="M2332" s="103" t="n"/>
      <c r="N2332" s="104" t="n"/>
      <c r="O2332" s="102" t="n"/>
      <c r="P2332" s="103" t="n"/>
      <c r="Q2332" s="103" t="n"/>
      <c r="R2332" s="104" t="n"/>
      <c r="S2332" s="102" t="n"/>
      <c r="T2332" s="103" t="n"/>
      <c r="U2332" s="103" t="n"/>
      <c r="V2332" s="104" t="n"/>
      <c r="W2332" s="102" t="n"/>
      <c r="X2332" s="104" t="n"/>
      <c r="Y2332" s="102" t="n"/>
      <c r="Z2332" s="104" t="n"/>
      <c r="AB2332" s="105">
        <f>IF($B2332="","",(COUNTIF(C2308:E2325,$B2332)+COUNTIF(C2308:E2325,$B2332&amp;" ~*")&gt;0)+(COUNTIF(G2308:I2325,$B2332)+COUNTIF(G2308:I2325,$B2332&amp;" ~*")&gt;0)+(COUNTIF(K2308:M2325,$B2332)+COUNTIF(K2308:M2325,$B2332&amp;" ~*")&gt;0)+(COUNTIF(O2308:Q2325,$B2332)+COUNTIF(O2308:Q2325,$B2332&amp;" ~*")&gt;0)+(COUNTIF(S2308:U2325,$B2332)+COUNTIF(S2308:U2325,$B2332&amp;" ~*")&gt;0)+(COUNTIF(W2308:W2325,$B2332)+COUNTIF(W2308:W2325,$B2332&amp;" ~*")&gt;0)+(COUNTIF(Y2308:Y2325,$B2332)+COUNTIF(Y2308:Y2325,$B2332&amp;" ~*")&gt;0))</f>
        <v/>
      </c>
      <c r="AC2332" s="38">
        <f>IF($B2332="","",(IFERROR(INDEX(Setup!$G$33:$G$40,MATCH(C2332,Setup!$B$33:$B$40,0)),0)=1)*(COUNTIF(C2308:E2325,$B2332)+COUNTIF(C2308:E2325,$B2332&amp;" ~*")&gt;0)+(IFERROR(INDEX(Setup!$G$33:$G$40,MATCH(G2332,Setup!$B$33:$B$40,0)),0)=1)*(COUNTIF(G2308:I2325,$B2332)+COUNTIF(G2308:I2325,$B2332&amp;" ~*")&gt;0)+(IFERROR(INDEX(Setup!$G$33:$G$40,MATCH(K2332,Setup!$B$33:$B$40,0)),0)=1)*(COUNTIF(K2308:M2325,$B2332)+COUNTIF(K2308:M2325,$B2332&amp;" ~*")&gt;0)+(IFERROR(INDEX(Setup!$G$33:$G$40,MATCH(O2332,Setup!$B$33:$B$40,0)),0)=1)*(COUNTIF(O2308:Q2325,$B2332)+COUNTIF(O2308:Q2325,$B2332&amp;" ~*")&gt;0)+(IFERROR(INDEX(Setup!$G$33:$G$40,MATCH(S2332,Setup!$B$33:$B$40,0)),0)=1)*(COUNTIF(S2308:U2325,$B2332)+COUNTIF(S2308:U2325,$B2332&amp;" ~*")&gt;0)+(IFERROR(INDEX(Setup!$G$33:$G$40,MATCH(W2332,Setup!$B$33:$B$40,0)),0)=1)*(COUNTIF(W2308:W2325,$B2332)+COUNTIF(W2308:W2325,$B2332&amp;" ~*")&gt;0)+(IFERROR(INDEX(Setup!$G$33:$G$40,MATCH(Y2332,Setup!$B$33:$B$40,0)),0)=1)*(COUNTIF(Y2308:Y2325,$B2332)+COUNTIF(Y2308:Y2325,$B2332&amp;" ~*")&gt;0))</f>
        <v/>
      </c>
    </row>
    <row r="2333" ht="15" customHeight="1">
      <c r="A2333" t="n">
        <v>47</v>
      </c>
      <c r="B2333" s="35">
        <f>IF(Setup!$B$12="","",Setup!$B$12)</f>
        <v/>
      </c>
      <c r="C2333" s="98" t="n"/>
      <c r="D2333" s="99" t="n"/>
      <c r="E2333" s="99" t="n"/>
      <c r="F2333" s="100" t="n"/>
      <c r="G2333" s="98" t="n"/>
      <c r="H2333" s="99" t="n"/>
      <c r="I2333" s="99" t="n"/>
      <c r="J2333" s="100" t="n"/>
      <c r="K2333" s="98" t="n"/>
      <c r="L2333" s="99" t="n"/>
      <c r="M2333" s="99" t="n"/>
      <c r="N2333" s="100" t="n"/>
      <c r="O2333" s="98" t="n"/>
      <c r="P2333" s="99" t="n"/>
      <c r="Q2333" s="99" t="n"/>
      <c r="R2333" s="100" t="n"/>
      <c r="S2333" s="98" t="n"/>
      <c r="T2333" s="99" t="n"/>
      <c r="U2333" s="99" t="n"/>
      <c r="V2333" s="100" t="n"/>
      <c r="W2333" s="98" t="n"/>
      <c r="X2333" s="100" t="n"/>
      <c r="Y2333" s="98" t="n"/>
      <c r="Z2333" s="100" t="n"/>
      <c r="AB2333" s="101">
        <f>IF($B2333="","",(COUNTIF(C2308:E2325,$B2333)+COUNTIF(C2308:E2325,$B2333&amp;" ~*")&gt;0)+(COUNTIF(G2308:I2325,$B2333)+COUNTIF(G2308:I2325,$B2333&amp;" ~*")&gt;0)+(COUNTIF(K2308:M2325,$B2333)+COUNTIF(K2308:M2325,$B2333&amp;" ~*")&gt;0)+(COUNTIF(O2308:Q2325,$B2333)+COUNTIF(O2308:Q2325,$B2333&amp;" ~*")&gt;0)+(COUNTIF(S2308:U2325,$B2333)+COUNTIF(S2308:U2325,$B2333&amp;" ~*")&gt;0)+(COUNTIF(W2308:W2325,$B2333)+COUNTIF(W2308:W2325,$B2333&amp;" ~*")&gt;0)+(COUNTIF(Y2308:Y2325,$B2333)+COUNTIF(Y2308:Y2325,$B2333&amp;" ~*")&gt;0))</f>
        <v/>
      </c>
      <c r="AC2333" s="36">
        <f>IF($B2333="","",(IFERROR(INDEX(Setup!$G$33:$G$40,MATCH(C2333,Setup!$B$33:$B$40,0)),0)=1)*(COUNTIF(C2308:E2325,$B2333)+COUNTIF(C2308:E2325,$B2333&amp;" ~*")&gt;0)+(IFERROR(INDEX(Setup!$G$33:$G$40,MATCH(G2333,Setup!$B$33:$B$40,0)),0)=1)*(COUNTIF(G2308:I2325,$B2333)+COUNTIF(G2308:I2325,$B2333&amp;" ~*")&gt;0)+(IFERROR(INDEX(Setup!$G$33:$G$40,MATCH(K2333,Setup!$B$33:$B$40,0)),0)=1)*(COUNTIF(K2308:M2325,$B2333)+COUNTIF(K2308:M2325,$B2333&amp;" ~*")&gt;0)+(IFERROR(INDEX(Setup!$G$33:$G$40,MATCH(O2333,Setup!$B$33:$B$40,0)),0)=1)*(COUNTIF(O2308:Q2325,$B2333)+COUNTIF(O2308:Q2325,$B2333&amp;" ~*")&gt;0)+(IFERROR(INDEX(Setup!$G$33:$G$40,MATCH(S2333,Setup!$B$33:$B$40,0)),0)=1)*(COUNTIF(S2308:U2325,$B2333)+COUNTIF(S2308:U2325,$B2333&amp;" ~*")&gt;0)+(IFERROR(INDEX(Setup!$G$33:$G$40,MATCH(W2333,Setup!$B$33:$B$40,0)),0)=1)*(COUNTIF(W2308:W2325,$B2333)+COUNTIF(W2308:W2325,$B2333&amp;" ~*")&gt;0)+(IFERROR(INDEX(Setup!$G$33:$G$40,MATCH(Y2333,Setup!$B$33:$B$40,0)),0)=1)*(COUNTIF(Y2308:Y2325,$B2333)+COUNTIF(Y2308:Y2325,$B2333&amp;" ~*")&gt;0))</f>
        <v/>
      </c>
    </row>
    <row r="2334" ht="15" customHeight="1">
      <c r="A2334" t="n">
        <v>47</v>
      </c>
      <c r="B2334" s="37">
        <f>IF(Setup!$B$13="","",Setup!$B$13)</f>
        <v/>
      </c>
      <c r="C2334" s="102" t="n"/>
      <c r="D2334" s="103" t="n"/>
      <c r="E2334" s="103" t="n"/>
      <c r="F2334" s="104" t="n"/>
      <c r="G2334" s="102" t="n"/>
      <c r="H2334" s="103" t="n"/>
      <c r="I2334" s="103" t="n"/>
      <c r="J2334" s="104" t="n"/>
      <c r="K2334" s="102" t="n"/>
      <c r="L2334" s="103" t="n"/>
      <c r="M2334" s="103" t="n"/>
      <c r="N2334" s="104" t="n"/>
      <c r="O2334" s="102" t="n"/>
      <c r="P2334" s="103" t="n"/>
      <c r="Q2334" s="103" t="n"/>
      <c r="R2334" s="104" t="n"/>
      <c r="S2334" s="102" t="n"/>
      <c r="T2334" s="103" t="n"/>
      <c r="U2334" s="103" t="n"/>
      <c r="V2334" s="104" t="n"/>
      <c r="W2334" s="102" t="n"/>
      <c r="X2334" s="104" t="n"/>
      <c r="Y2334" s="102" t="n"/>
      <c r="Z2334" s="104" t="n"/>
      <c r="AB2334" s="105">
        <f>IF($B2334="","",(COUNTIF(C2308:E2325,$B2334)+COUNTIF(C2308:E2325,$B2334&amp;" ~*")&gt;0)+(COUNTIF(G2308:I2325,$B2334)+COUNTIF(G2308:I2325,$B2334&amp;" ~*")&gt;0)+(COUNTIF(K2308:M2325,$B2334)+COUNTIF(K2308:M2325,$B2334&amp;" ~*")&gt;0)+(COUNTIF(O2308:Q2325,$B2334)+COUNTIF(O2308:Q2325,$B2334&amp;" ~*")&gt;0)+(COUNTIF(S2308:U2325,$B2334)+COUNTIF(S2308:U2325,$B2334&amp;" ~*")&gt;0)+(COUNTIF(W2308:W2325,$B2334)+COUNTIF(W2308:W2325,$B2334&amp;" ~*")&gt;0)+(COUNTIF(Y2308:Y2325,$B2334)+COUNTIF(Y2308:Y2325,$B2334&amp;" ~*")&gt;0))</f>
        <v/>
      </c>
      <c r="AC2334" s="38">
        <f>IF($B2334="","",(IFERROR(INDEX(Setup!$G$33:$G$40,MATCH(C2334,Setup!$B$33:$B$40,0)),0)=1)*(COUNTIF(C2308:E2325,$B2334)+COUNTIF(C2308:E2325,$B2334&amp;" ~*")&gt;0)+(IFERROR(INDEX(Setup!$G$33:$G$40,MATCH(G2334,Setup!$B$33:$B$40,0)),0)=1)*(COUNTIF(G2308:I2325,$B2334)+COUNTIF(G2308:I2325,$B2334&amp;" ~*")&gt;0)+(IFERROR(INDEX(Setup!$G$33:$G$40,MATCH(K2334,Setup!$B$33:$B$40,0)),0)=1)*(COUNTIF(K2308:M2325,$B2334)+COUNTIF(K2308:M2325,$B2334&amp;" ~*")&gt;0)+(IFERROR(INDEX(Setup!$G$33:$G$40,MATCH(O2334,Setup!$B$33:$B$40,0)),0)=1)*(COUNTIF(O2308:Q2325,$B2334)+COUNTIF(O2308:Q2325,$B2334&amp;" ~*")&gt;0)+(IFERROR(INDEX(Setup!$G$33:$G$40,MATCH(S2334,Setup!$B$33:$B$40,0)),0)=1)*(COUNTIF(S2308:U2325,$B2334)+COUNTIF(S2308:U2325,$B2334&amp;" ~*")&gt;0)+(IFERROR(INDEX(Setup!$G$33:$G$40,MATCH(W2334,Setup!$B$33:$B$40,0)),0)=1)*(COUNTIF(W2308:W2325,$B2334)+COUNTIF(W2308:W2325,$B2334&amp;" ~*")&gt;0)+(IFERROR(INDEX(Setup!$G$33:$G$40,MATCH(Y2334,Setup!$B$33:$B$40,0)),0)=1)*(COUNTIF(Y2308:Y2325,$B2334)+COUNTIF(Y2308:Y2325,$B2334&amp;" ~*")&gt;0))</f>
        <v/>
      </c>
    </row>
    <row r="2335" ht="15" customHeight="1">
      <c r="A2335" t="n">
        <v>47</v>
      </c>
      <c r="B2335" s="35">
        <f>IF(Setup!$B$14="","",Setup!$B$14)</f>
        <v/>
      </c>
      <c r="C2335" s="98" t="n"/>
      <c r="D2335" s="99" t="n"/>
      <c r="E2335" s="99" t="n"/>
      <c r="F2335" s="100" t="n"/>
      <c r="G2335" s="98" t="n"/>
      <c r="H2335" s="99" t="n"/>
      <c r="I2335" s="99" t="n"/>
      <c r="J2335" s="100" t="n"/>
      <c r="K2335" s="98" t="n"/>
      <c r="L2335" s="99" t="n"/>
      <c r="M2335" s="99" t="n"/>
      <c r="N2335" s="100" t="n"/>
      <c r="O2335" s="98" t="n"/>
      <c r="P2335" s="99" t="n"/>
      <c r="Q2335" s="99" t="n"/>
      <c r="R2335" s="100" t="n"/>
      <c r="S2335" s="98" t="n"/>
      <c r="T2335" s="99" t="n"/>
      <c r="U2335" s="99" t="n"/>
      <c r="V2335" s="100" t="n"/>
      <c r="W2335" s="98" t="n"/>
      <c r="X2335" s="100" t="n"/>
      <c r="Y2335" s="98" t="n"/>
      <c r="Z2335" s="100" t="n"/>
      <c r="AB2335" s="101">
        <f>IF($B2335="","",(COUNTIF(C2308:E2325,$B2335)+COUNTIF(C2308:E2325,$B2335&amp;" ~*")&gt;0)+(COUNTIF(G2308:I2325,$B2335)+COUNTIF(G2308:I2325,$B2335&amp;" ~*")&gt;0)+(COUNTIF(K2308:M2325,$B2335)+COUNTIF(K2308:M2325,$B2335&amp;" ~*")&gt;0)+(COUNTIF(O2308:Q2325,$B2335)+COUNTIF(O2308:Q2325,$B2335&amp;" ~*")&gt;0)+(COUNTIF(S2308:U2325,$B2335)+COUNTIF(S2308:U2325,$B2335&amp;" ~*")&gt;0)+(COUNTIF(W2308:W2325,$B2335)+COUNTIF(W2308:W2325,$B2335&amp;" ~*")&gt;0)+(COUNTIF(Y2308:Y2325,$B2335)+COUNTIF(Y2308:Y2325,$B2335&amp;" ~*")&gt;0))</f>
        <v/>
      </c>
      <c r="AC2335" s="36">
        <f>IF($B2335="","",(IFERROR(INDEX(Setup!$G$33:$G$40,MATCH(C2335,Setup!$B$33:$B$40,0)),0)=1)*(COUNTIF(C2308:E2325,$B2335)+COUNTIF(C2308:E2325,$B2335&amp;" ~*")&gt;0)+(IFERROR(INDEX(Setup!$G$33:$G$40,MATCH(G2335,Setup!$B$33:$B$40,0)),0)=1)*(COUNTIF(G2308:I2325,$B2335)+COUNTIF(G2308:I2325,$B2335&amp;" ~*")&gt;0)+(IFERROR(INDEX(Setup!$G$33:$G$40,MATCH(K2335,Setup!$B$33:$B$40,0)),0)=1)*(COUNTIF(K2308:M2325,$B2335)+COUNTIF(K2308:M2325,$B2335&amp;" ~*")&gt;0)+(IFERROR(INDEX(Setup!$G$33:$G$40,MATCH(O2335,Setup!$B$33:$B$40,0)),0)=1)*(COUNTIF(O2308:Q2325,$B2335)+COUNTIF(O2308:Q2325,$B2335&amp;" ~*")&gt;0)+(IFERROR(INDEX(Setup!$G$33:$G$40,MATCH(S2335,Setup!$B$33:$B$40,0)),0)=1)*(COUNTIF(S2308:U2325,$B2335)+COUNTIF(S2308:U2325,$B2335&amp;" ~*")&gt;0)+(IFERROR(INDEX(Setup!$G$33:$G$40,MATCH(W2335,Setup!$B$33:$B$40,0)),0)=1)*(COUNTIF(W2308:W2325,$B2335)+COUNTIF(W2308:W2325,$B2335&amp;" ~*")&gt;0)+(IFERROR(INDEX(Setup!$G$33:$G$40,MATCH(Y2335,Setup!$B$33:$B$40,0)),0)=1)*(COUNTIF(Y2308:Y2325,$B2335)+COUNTIF(Y2308:Y2325,$B2335&amp;" ~*")&gt;0))</f>
        <v/>
      </c>
    </row>
    <row r="2336" ht="15" customHeight="1">
      <c r="A2336" t="n">
        <v>47</v>
      </c>
      <c r="B2336" s="37">
        <f>IF(Setup!$B$15="","",Setup!$B$15)</f>
        <v/>
      </c>
      <c r="C2336" s="102" t="n"/>
      <c r="D2336" s="103" t="n"/>
      <c r="E2336" s="103" t="n"/>
      <c r="F2336" s="104" t="n"/>
      <c r="G2336" s="102" t="n"/>
      <c r="H2336" s="103" t="n"/>
      <c r="I2336" s="103" t="n"/>
      <c r="J2336" s="104" t="n"/>
      <c r="K2336" s="102" t="n"/>
      <c r="L2336" s="103" t="n"/>
      <c r="M2336" s="103" t="n"/>
      <c r="N2336" s="104" t="n"/>
      <c r="O2336" s="102" t="n"/>
      <c r="P2336" s="103" t="n"/>
      <c r="Q2336" s="103" t="n"/>
      <c r="R2336" s="104" t="n"/>
      <c r="S2336" s="102" t="n"/>
      <c r="T2336" s="103" t="n"/>
      <c r="U2336" s="103" t="n"/>
      <c r="V2336" s="104" t="n"/>
      <c r="W2336" s="102" t="n"/>
      <c r="X2336" s="104" t="n"/>
      <c r="Y2336" s="102" t="n"/>
      <c r="Z2336" s="104" t="n"/>
      <c r="AB2336" s="105">
        <f>IF($B2336="","",(COUNTIF(C2308:E2325,$B2336)+COUNTIF(C2308:E2325,$B2336&amp;" ~*")&gt;0)+(COUNTIF(G2308:I2325,$B2336)+COUNTIF(G2308:I2325,$B2336&amp;" ~*")&gt;0)+(COUNTIF(K2308:M2325,$B2336)+COUNTIF(K2308:M2325,$B2336&amp;" ~*")&gt;0)+(COUNTIF(O2308:Q2325,$B2336)+COUNTIF(O2308:Q2325,$B2336&amp;" ~*")&gt;0)+(COUNTIF(S2308:U2325,$B2336)+COUNTIF(S2308:U2325,$B2336&amp;" ~*")&gt;0)+(COUNTIF(W2308:W2325,$B2336)+COUNTIF(W2308:W2325,$B2336&amp;" ~*")&gt;0)+(COUNTIF(Y2308:Y2325,$B2336)+COUNTIF(Y2308:Y2325,$B2336&amp;" ~*")&gt;0))</f>
        <v/>
      </c>
      <c r="AC2336" s="38">
        <f>IF($B2336="","",(IFERROR(INDEX(Setup!$G$33:$G$40,MATCH(C2336,Setup!$B$33:$B$40,0)),0)=1)*(COUNTIF(C2308:E2325,$B2336)+COUNTIF(C2308:E2325,$B2336&amp;" ~*")&gt;0)+(IFERROR(INDEX(Setup!$G$33:$G$40,MATCH(G2336,Setup!$B$33:$B$40,0)),0)=1)*(COUNTIF(G2308:I2325,$B2336)+COUNTIF(G2308:I2325,$B2336&amp;" ~*")&gt;0)+(IFERROR(INDEX(Setup!$G$33:$G$40,MATCH(K2336,Setup!$B$33:$B$40,0)),0)=1)*(COUNTIF(K2308:M2325,$B2336)+COUNTIF(K2308:M2325,$B2336&amp;" ~*")&gt;0)+(IFERROR(INDEX(Setup!$G$33:$G$40,MATCH(O2336,Setup!$B$33:$B$40,0)),0)=1)*(COUNTIF(O2308:Q2325,$B2336)+COUNTIF(O2308:Q2325,$B2336&amp;" ~*")&gt;0)+(IFERROR(INDEX(Setup!$G$33:$G$40,MATCH(S2336,Setup!$B$33:$B$40,0)),0)=1)*(COUNTIF(S2308:U2325,$B2336)+COUNTIF(S2308:U2325,$B2336&amp;" ~*")&gt;0)+(IFERROR(INDEX(Setup!$G$33:$G$40,MATCH(W2336,Setup!$B$33:$B$40,0)),0)=1)*(COUNTIF(W2308:W2325,$B2336)+COUNTIF(W2308:W2325,$B2336&amp;" ~*")&gt;0)+(IFERROR(INDEX(Setup!$G$33:$G$40,MATCH(Y2336,Setup!$B$33:$B$40,0)),0)=1)*(COUNTIF(Y2308:Y2325,$B2336)+COUNTIF(Y2308:Y2325,$B2336&amp;" ~*")&gt;0))</f>
        <v/>
      </c>
    </row>
    <row r="2337" ht="15" customHeight="1">
      <c r="A2337" t="n">
        <v>47</v>
      </c>
      <c r="B2337" s="35">
        <f>IF(Setup!$B$16="","",Setup!$B$16)</f>
        <v/>
      </c>
      <c r="C2337" s="98" t="n"/>
      <c r="D2337" s="99" t="n"/>
      <c r="E2337" s="99" t="n"/>
      <c r="F2337" s="100" t="n"/>
      <c r="G2337" s="98" t="n"/>
      <c r="H2337" s="99" t="n"/>
      <c r="I2337" s="99" t="n"/>
      <c r="J2337" s="100" t="n"/>
      <c r="K2337" s="98" t="n"/>
      <c r="L2337" s="99" t="n"/>
      <c r="M2337" s="99" t="n"/>
      <c r="N2337" s="100" t="n"/>
      <c r="O2337" s="98" t="n"/>
      <c r="P2337" s="99" t="n"/>
      <c r="Q2337" s="99" t="n"/>
      <c r="R2337" s="100" t="n"/>
      <c r="S2337" s="98" t="n"/>
      <c r="T2337" s="99" t="n"/>
      <c r="U2337" s="99" t="n"/>
      <c r="V2337" s="100" t="n"/>
      <c r="W2337" s="98" t="n"/>
      <c r="X2337" s="100" t="n"/>
      <c r="Y2337" s="98" t="n"/>
      <c r="Z2337" s="100" t="n"/>
      <c r="AB2337" s="101">
        <f>IF($B2337="","",(COUNTIF(C2308:E2325,$B2337)+COUNTIF(C2308:E2325,$B2337&amp;" ~*")&gt;0)+(COUNTIF(G2308:I2325,$B2337)+COUNTIF(G2308:I2325,$B2337&amp;" ~*")&gt;0)+(COUNTIF(K2308:M2325,$B2337)+COUNTIF(K2308:M2325,$B2337&amp;" ~*")&gt;0)+(COUNTIF(O2308:Q2325,$B2337)+COUNTIF(O2308:Q2325,$B2337&amp;" ~*")&gt;0)+(COUNTIF(S2308:U2325,$B2337)+COUNTIF(S2308:U2325,$B2337&amp;" ~*")&gt;0)+(COUNTIF(W2308:W2325,$B2337)+COUNTIF(W2308:W2325,$B2337&amp;" ~*")&gt;0)+(COUNTIF(Y2308:Y2325,$B2337)+COUNTIF(Y2308:Y2325,$B2337&amp;" ~*")&gt;0))</f>
        <v/>
      </c>
      <c r="AC2337" s="36">
        <f>IF($B2337="","",(IFERROR(INDEX(Setup!$G$33:$G$40,MATCH(C2337,Setup!$B$33:$B$40,0)),0)=1)*(COUNTIF(C2308:E2325,$B2337)+COUNTIF(C2308:E2325,$B2337&amp;" ~*")&gt;0)+(IFERROR(INDEX(Setup!$G$33:$G$40,MATCH(G2337,Setup!$B$33:$B$40,0)),0)=1)*(COUNTIF(G2308:I2325,$B2337)+COUNTIF(G2308:I2325,$B2337&amp;" ~*")&gt;0)+(IFERROR(INDEX(Setup!$G$33:$G$40,MATCH(K2337,Setup!$B$33:$B$40,0)),0)=1)*(COUNTIF(K2308:M2325,$B2337)+COUNTIF(K2308:M2325,$B2337&amp;" ~*")&gt;0)+(IFERROR(INDEX(Setup!$G$33:$G$40,MATCH(O2337,Setup!$B$33:$B$40,0)),0)=1)*(COUNTIF(O2308:Q2325,$B2337)+COUNTIF(O2308:Q2325,$B2337&amp;" ~*")&gt;0)+(IFERROR(INDEX(Setup!$G$33:$G$40,MATCH(S2337,Setup!$B$33:$B$40,0)),0)=1)*(COUNTIF(S2308:U2325,$B2337)+COUNTIF(S2308:U2325,$B2337&amp;" ~*")&gt;0)+(IFERROR(INDEX(Setup!$G$33:$G$40,MATCH(W2337,Setup!$B$33:$B$40,0)),0)=1)*(COUNTIF(W2308:W2325,$B2337)+COUNTIF(W2308:W2325,$B2337&amp;" ~*")&gt;0)+(IFERROR(INDEX(Setup!$G$33:$G$40,MATCH(Y2337,Setup!$B$33:$B$40,0)),0)=1)*(COUNTIF(Y2308:Y2325,$B2337)+COUNTIF(Y2308:Y2325,$B2337&amp;" ~*")&gt;0))</f>
        <v/>
      </c>
    </row>
    <row r="2338" ht="15" customHeight="1">
      <c r="A2338" t="n">
        <v>47</v>
      </c>
      <c r="B2338" s="37">
        <f>IF(Setup!$B$17="","",Setup!$B$17)</f>
        <v/>
      </c>
      <c r="C2338" s="102" t="n"/>
      <c r="D2338" s="103" t="n"/>
      <c r="E2338" s="103" t="n"/>
      <c r="F2338" s="104" t="n"/>
      <c r="G2338" s="102" t="n"/>
      <c r="H2338" s="103" t="n"/>
      <c r="I2338" s="103" t="n"/>
      <c r="J2338" s="104" t="n"/>
      <c r="K2338" s="102" t="n"/>
      <c r="L2338" s="103" t="n"/>
      <c r="M2338" s="103" t="n"/>
      <c r="N2338" s="104" t="n"/>
      <c r="O2338" s="102" t="n"/>
      <c r="P2338" s="103" t="n"/>
      <c r="Q2338" s="103" t="n"/>
      <c r="R2338" s="104" t="n"/>
      <c r="S2338" s="102" t="n"/>
      <c r="T2338" s="103" t="n"/>
      <c r="U2338" s="103" t="n"/>
      <c r="V2338" s="104" t="n"/>
      <c r="W2338" s="102" t="n"/>
      <c r="X2338" s="104" t="n"/>
      <c r="Y2338" s="102" t="n"/>
      <c r="Z2338" s="104" t="n"/>
      <c r="AB2338" s="105">
        <f>IF($B2338="","",(COUNTIF(C2308:E2325,$B2338)+COUNTIF(C2308:E2325,$B2338&amp;" ~*")&gt;0)+(COUNTIF(G2308:I2325,$B2338)+COUNTIF(G2308:I2325,$B2338&amp;" ~*")&gt;0)+(COUNTIF(K2308:M2325,$B2338)+COUNTIF(K2308:M2325,$B2338&amp;" ~*")&gt;0)+(COUNTIF(O2308:Q2325,$B2338)+COUNTIF(O2308:Q2325,$B2338&amp;" ~*")&gt;0)+(COUNTIF(S2308:U2325,$B2338)+COUNTIF(S2308:U2325,$B2338&amp;" ~*")&gt;0)+(COUNTIF(W2308:W2325,$B2338)+COUNTIF(W2308:W2325,$B2338&amp;" ~*")&gt;0)+(COUNTIF(Y2308:Y2325,$B2338)+COUNTIF(Y2308:Y2325,$B2338&amp;" ~*")&gt;0))</f>
        <v/>
      </c>
      <c r="AC2338" s="38">
        <f>IF($B2338="","",(IFERROR(INDEX(Setup!$G$33:$G$40,MATCH(C2338,Setup!$B$33:$B$40,0)),0)=1)*(COUNTIF(C2308:E2325,$B2338)+COUNTIF(C2308:E2325,$B2338&amp;" ~*")&gt;0)+(IFERROR(INDEX(Setup!$G$33:$G$40,MATCH(G2338,Setup!$B$33:$B$40,0)),0)=1)*(COUNTIF(G2308:I2325,$B2338)+COUNTIF(G2308:I2325,$B2338&amp;" ~*")&gt;0)+(IFERROR(INDEX(Setup!$G$33:$G$40,MATCH(K2338,Setup!$B$33:$B$40,0)),0)=1)*(COUNTIF(K2308:M2325,$B2338)+COUNTIF(K2308:M2325,$B2338&amp;" ~*")&gt;0)+(IFERROR(INDEX(Setup!$G$33:$G$40,MATCH(O2338,Setup!$B$33:$B$40,0)),0)=1)*(COUNTIF(O2308:Q2325,$B2338)+COUNTIF(O2308:Q2325,$B2338&amp;" ~*")&gt;0)+(IFERROR(INDEX(Setup!$G$33:$G$40,MATCH(S2338,Setup!$B$33:$B$40,0)),0)=1)*(COUNTIF(S2308:U2325,$B2338)+COUNTIF(S2308:U2325,$B2338&amp;" ~*")&gt;0)+(IFERROR(INDEX(Setup!$G$33:$G$40,MATCH(W2338,Setup!$B$33:$B$40,0)),0)=1)*(COUNTIF(W2308:W2325,$B2338)+COUNTIF(W2308:W2325,$B2338&amp;" ~*")&gt;0)+(IFERROR(INDEX(Setup!$G$33:$G$40,MATCH(Y2338,Setup!$B$33:$B$40,0)),0)=1)*(COUNTIF(Y2308:Y2325,$B2338)+COUNTIF(Y2308:Y2325,$B2338&amp;" ~*")&gt;0))</f>
        <v/>
      </c>
    </row>
    <row r="2339" ht="15" customHeight="1">
      <c r="A2339" t="n">
        <v>47</v>
      </c>
      <c r="B2339" s="35">
        <f>IF(Setup!$B$18="","",Setup!$B$18)</f>
        <v/>
      </c>
      <c r="C2339" s="98" t="n"/>
      <c r="D2339" s="99" t="n"/>
      <c r="E2339" s="99" t="n"/>
      <c r="F2339" s="100" t="n"/>
      <c r="G2339" s="98" t="n"/>
      <c r="H2339" s="99" t="n"/>
      <c r="I2339" s="99" t="n"/>
      <c r="J2339" s="100" t="n"/>
      <c r="K2339" s="98" t="n"/>
      <c r="L2339" s="99" t="n"/>
      <c r="M2339" s="99" t="n"/>
      <c r="N2339" s="100" t="n"/>
      <c r="O2339" s="98" t="n"/>
      <c r="P2339" s="99" t="n"/>
      <c r="Q2339" s="99" t="n"/>
      <c r="R2339" s="100" t="n"/>
      <c r="S2339" s="98" t="n"/>
      <c r="T2339" s="99" t="n"/>
      <c r="U2339" s="99" t="n"/>
      <c r="V2339" s="100" t="n"/>
      <c r="W2339" s="98" t="n"/>
      <c r="X2339" s="100" t="n"/>
      <c r="Y2339" s="98" t="n"/>
      <c r="Z2339" s="100" t="n"/>
      <c r="AB2339" s="101">
        <f>IF($B2339="","",(COUNTIF(C2308:E2325,$B2339)+COUNTIF(C2308:E2325,$B2339&amp;" ~*")&gt;0)+(COUNTIF(G2308:I2325,$B2339)+COUNTIF(G2308:I2325,$B2339&amp;" ~*")&gt;0)+(COUNTIF(K2308:M2325,$B2339)+COUNTIF(K2308:M2325,$B2339&amp;" ~*")&gt;0)+(COUNTIF(O2308:Q2325,$B2339)+COUNTIF(O2308:Q2325,$B2339&amp;" ~*")&gt;0)+(COUNTIF(S2308:U2325,$B2339)+COUNTIF(S2308:U2325,$B2339&amp;" ~*")&gt;0)+(COUNTIF(W2308:W2325,$B2339)+COUNTIF(W2308:W2325,$B2339&amp;" ~*")&gt;0)+(COUNTIF(Y2308:Y2325,$B2339)+COUNTIF(Y2308:Y2325,$B2339&amp;" ~*")&gt;0))</f>
        <v/>
      </c>
      <c r="AC2339" s="36">
        <f>IF($B2339="","",(IFERROR(INDEX(Setup!$G$33:$G$40,MATCH(C2339,Setup!$B$33:$B$40,0)),0)=1)*(COUNTIF(C2308:E2325,$B2339)+COUNTIF(C2308:E2325,$B2339&amp;" ~*")&gt;0)+(IFERROR(INDEX(Setup!$G$33:$G$40,MATCH(G2339,Setup!$B$33:$B$40,0)),0)=1)*(COUNTIF(G2308:I2325,$B2339)+COUNTIF(G2308:I2325,$B2339&amp;" ~*")&gt;0)+(IFERROR(INDEX(Setup!$G$33:$G$40,MATCH(K2339,Setup!$B$33:$B$40,0)),0)=1)*(COUNTIF(K2308:M2325,$B2339)+COUNTIF(K2308:M2325,$B2339&amp;" ~*")&gt;0)+(IFERROR(INDEX(Setup!$G$33:$G$40,MATCH(O2339,Setup!$B$33:$B$40,0)),0)=1)*(COUNTIF(O2308:Q2325,$B2339)+COUNTIF(O2308:Q2325,$B2339&amp;" ~*")&gt;0)+(IFERROR(INDEX(Setup!$G$33:$G$40,MATCH(S2339,Setup!$B$33:$B$40,0)),0)=1)*(COUNTIF(S2308:U2325,$B2339)+COUNTIF(S2308:U2325,$B2339&amp;" ~*")&gt;0)+(IFERROR(INDEX(Setup!$G$33:$G$40,MATCH(W2339,Setup!$B$33:$B$40,0)),0)=1)*(COUNTIF(W2308:W2325,$B2339)+COUNTIF(W2308:W2325,$B2339&amp;" ~*")&gt;0)+(IFERROR(INDEX(Setup!$G$33:$G$40,MATCH(Y2339,Setup!$B$33:$B$40,0)),0)=1)*(COUNTIF(Y2308:Y2325,$B2339)+COUNTIF(Y2308:Y2325,$B2339&amp;" ~*")&gt;0))</f>
        <v/>
      </c>
    </row>
    <row r="2340" ht="15" customHeight="1">
      <c r="A2340" t="n">
        <v>47</v>
      </c>
      <c r="B2340" s="37">
        <f>IF(Setup!$B$19="","",Setup!$B$19)</f>
        <v/>
      </c>
      <c r="C2340" s="102" t="n"/>
      <c r="D2340" s="103" t="n"/>
      <c r="E2340" s="103" t="n"/>
      <c r="F2340" s="104" t="n"/>
      <c r="G2340" s="102" t="n"/>
      <c r="H2340" s="103" t="n"/>
      <c r="I2340" s="103" t="n"/>
      <c r="J2340" s="104" t="n"/>
      <c r="K2340" s="102" t="n"/>
      <c r="L2340" s="103" t="n"/>
      <c r="M2340" s="103" t="n"/>
      <c r="N2340" s="104" t="n"/>
      <c r="O2340" s="102" t="n"/>
      <c r="P2340" s="103" t="n"/>
      <c r="Q2340" s="103" t="n"/>
      <c r="R2340" s="104" t="n"/>
      <c r="S2340" s="102" t="n"/>
      <c r="T2340" s="103" t="n"/>
      <c r="U2340" s="103" t="n"/>
      <c r="V2340" s="104" t="n"/>
      <c r="W2340" s="102" t="n"/>
      <c r="X2340" s="104" t="n"/>
      <c r="Y2340" s="102" t="n"/>
      <c r="Z2340" s="104" t="n"/>
      <c r="AB2340" s="105">
        <f>IF($B2340="","",(COUNTIF(C2308:E2325,$B2340)+COUNTIF(C2308:E2325,$B2340&amp;" ~*")&gt;0)+(COUNTIF(G2308:I2325,$B2340)+COUNTIF(G2308:I2325,$B2340&amp;" ~*")&gt;0)+(COUNTIF(K2308:M2325,$B2340)+COUNTIF(K2308:M2325,$B2340&amp;" ~*")&gt;0)+(COUNTIF(O2308:Q2325,$B2340)+COUNTIF(O2308:Q2325,$B2340&amp;" ~*")&gt;0)+(COUNTIF(S2308:U2325,$B2340)+COUNTIF(S2308:U2325,$B2340&amp;" ~*")&gt;0)+(COUNTIF(W2308:W2325,$B2340)+COUNTIF(W2308:W2325,$B2340&amp;" ~*")&gt;0)+(COUNTIF(Y2308:Y2325,$B2340)+COUNTIF(Y2308:Y2325,$B2340&amp;" ~*")&gt;0))</f>
        <v/>
      </c>
      <c r="AC2340" s="38">
        <f>IF($B2340="","",(IFERROR(INDEX(Setup!$G$33:$G$40,MATCH(C2340,Setup!$B$33:$B$40,0)),0)=1)*(COUNTIF(C2308:E2325,$B2340)+COUNTIF(C2308:E2325,$B2340&amp;" ~*")&gt;0)+(IFERROR(INDEX(Setup!$G$33:$G$40,MATCH(G2340,Setup!$B$33:$B$40,0)),0)=1)*(COUNTIF(G2308:I2325,$B2340)+COUNTIF(G2308:I2325,$B2340&amp;" ~*")&gt;0)+(IFERROR(INDEX(Setup!$G$33:$G$40,MATCH(K2340,Setup!$B$33:$B$40,0)),0)=1)*(COUNTIF(K2308:M2325,$B2340)+COUNTIF(K2308:M2325,$B2340&amp;" ~*")&gt;0)+(IFERROR(INDEX(Setup!$G$33:$G$40,MATCH(O2340,Setup!$B$33:$B$40,0)),0)=1)*(COUNTIF(O2308:Q2325,$B2340)+COUNTIF(O2308:Q2325,$B2340&amp;" ~*")&gt;0)+(IFERROR(INDEX(Setup!$G$33:$G$40,MATCH(S2340,Setup!$B$33:$B$40,0)),0)=1)*(COUNTIF(S2308:U2325,$B2340)+COUNTIF(S2308:U2325,$B2340&amp;" ~*")&gt;0)+(IFERROR(INDEX(Setup!$G$33:$G$40,MATCH(W2340,Setup!$B$33:$B$40,0)),0)=1)*(COUNTIF(W2308:W2325,$B2340)+COUNTIF(W2308:W2325,$B2340&amp;" ~*")&gt;0)+(IFERROR(INDEX(Setup!$G$33:$G$40,MATCH(Y2340,Setup!$B$33:$B$40,0)),0)=1)*(COUNTIF(Y2308:Y2325,$B2340)+COUNTIF(Y2308:Y2325,$B2340&amp;" ~*")&gt;0))</f>
        <v/>
      </c>
    </row>
    <row r="2341" ht="15" customHeight="1">
      <c r="A2341" t="n">
        <v>47</v>
      </c>
      <c r="B2341" s="35">
        <f>IF(Setup!$B$20="","",Setup!$B$20)</f>
        <v/>
      </c>
      <c r="C2341" s="98" t="n"/>
      <c r="D2341" s="99" t="n"/>
      <c r="E2341" s="99" t="n"/>
      <c r="F2341" s="100" t="n"/>
      <c r="G2341" s="98" t="n"/>
      <c r="H2341" s="99" t="n"/>
      <c r="I2341" s="99" t="n"/>
      <c r="J2341" s="100" t="n"/>
      <c r="K2341" s="98" t="n"/>
      <c r="L2341" s="99" t="n"/>
      <c r="M2341" s="99" t="n"/>
      <c r="N2341" s="100" t="n"/>
      <c r="O2341" s="98" t="n"/>
      <c r="P2341" s="99" t="n"/>
      <c r="Q2341" s="99" t="n"/>
      <c r="R2341" s="100" t="n"/>
      <c r="S2341" s="98" t="n"/>
      <c r="T2341" s="99" t="n"/>
      <c r="U2341" s="99" t="n"/>
      <c r="V2341" s="100" t="n"/>
      <c r="W2341" s="98" t="n"/>
      <c r="X2341" s="100" t="n"/>
      <c r="Y2341" s="98" t="n"/>
      <c r="Z2341" s="100" t="n"/>
      <c r="AB2341" s="101">
        <f>IF($B2341="","",(COUNTIF(C2308:E2325,$B2341)+COUNTIF(C2308:E2325,$B2341&amp;" ~*")&gt;0)+(COUNTIF(G2308:I2325,$B2341)+COUNTIF(G2308:I2325,$B2341&amp;" ~*")&gt;0)+(COUNTIF(K2308:M2325,$B2341)+COUNTIF(K2308:M2325,$B2341&amp;" ~*")&gt;0)+(COUNTIF(O2308:Q2325,$B2341)+COUNTIF(O2308:Q2325,$B2341&amp;" ~*")&gt;0)+(COUNTIF(S2308:U2325,$B2341)+COUNTIF(S2308:U2325,$B2341&amp;" ~*")&gt;0)+(COUNTIF(W2308:W2325,$B2341)+COUNTIF(W2308:W2325,$B2341&amp;" ~*")&gt;0)+(COUNTIF(Y2308:Y2325,$B2341)+COUNTIF(Y2308:Y2325,$B2341&amp;" ~*")&gt;0))</f>
        <v/>
      </c>
      <c r="AC2341" s="36">
        <f>IF($B2341="","",(IFERROR(INDEX(Setup!$G$33:$G$40,MATCH(C2341,Setup!$B$33:$B$40,0)),0)=1)*(COUNTIF(C2308:E2325,$B2341)+COUNTIF(C2308:E2325,$B2341&amp;" ~*")&gt;0)+(IFERROR(INDEX(Setup!$G$33:$G$40,MATCH(G2341,Setup!$B$33:$B$40,0)),0)=1)*(COUNTIF(G2308:I2325,$B2341)+COUNTIF(G2308:I2325,$B2341&amp;" ~*")&gt;0)+(IFERROR(INDEX(Setup!$G$33:$G$40,MATCH(K2341,Setup!$B$33:$B$40,0)),0)=1)*(COUNTIF(K2308:M2325,$B2341)+COUNTIF(K2308:M2325,$B2341&amp;" ~*")&gt;0)+(IFERROR(INDEX(Setup!$G$33:$G$40,MATCH(O2341,Setup!$B$33:$B$40,0)),0)=1)*(COUNTIF(O2308:Q2325,$B2341)+COUNTIF(O2308:Q2325,$B2341&amp;" ~*")&gt;0)+(IFERROR(INDEX(Setup!$G$33:$G$40,MATCH(S2341,Setup!$B$33:$B$40,0)),0)=1)*(COUNTIF(S2308:U2325,$B2341)+COUNTIF(S2308:U2325,$B2341&amp;" ~*")&gt;0)+(IFERROR(INDEX(Setup!$G$33:$G$40,MATCH(W2341,Setup!$B$33:$B$40,0)),0)=1)*(COUNTIF(W2308:W2325,$B2341)+COUNTIF(W2308:W2325,$B2341&amp;" ~*")&gt;0)+(IFERROR(INDEX(Setup!$G$33:$G$40,MATCH(Y2341,Setup!$B$33:$B$40,0)),0)=1)*(COUNTIF(Y2308:Y2325,$B2341)+COUNTIF(Y2308:Y2325,$B2341&amp;" ~*")&gt;0))</f>
        <v/>
      </c>
    </row>
    <row r="2342" ht="15" customHeight="1">
      <c r="A2342" t="n">
        <v>47</v>
      </c>
      <c r="B2342" s="37">
        <f>IF(Setup!$B$21="","",Setup!$B$21)</f>
        <v/>
      </c>
      <c r="C2342" s="102" t="n"/>
      <c r="D2342" s="103" t="n"/>
      <c r="E2342" s="103" t="n"/>
      <c r="F2342" s="104" t="n"/>
      <c r="G2342" s="102" t="n"/>
      <c r="H2342" s="103" t="n"/>
      <c r="I2342" s="103" t="n"/>
      <c r="J2342" s="104" t="n"/>
      <c r="K2342" s="102" t="n"/>
      <c r="L2342" s="103" t="n"/>
      <c r="M2342" s="103" t="n"/>
      <c r="N2342" s="104" t="n"/>
      <c r="O2342" s="102" t="n"/>
      <c r="P2342" s="103" t="n"/>
      <c r="Q2342" s="103" t="n"/>
      <c r="R2342" s="104" t="n"/>
      <c r="S2342" s="102" t="n"/>
      <c r="T2342" s="103" t="n"/>
      <c r="U2342" s="103" t="n"/>
      <c r="V2342" s="104" t="n"/>
      <c r="W2342" s="102" t="n"/>
      <c r="X2342" s="104" t="n"/>
      <c r="Y2342" s="102" t="n"/>
      <c r="Z2342" s="104" t="n"/>
      <c r="AB2342" s="105">
        <f>IF($B2342="","",(COUNTIF(C2308:E2325,$B2342)+COUNTIF(C2308:E2325,$B2342&amp;" ~*")&gt;0)+(COUNTIF(G2308:I2325,$B2342)+COUNTIF(G2308:I2325,$B2342&amp;" ~*")&gt;0)+(COUNTIF(K2308:M2325,$B2342)+COUNTIF(K2308:M2325,$B2342&amp;" ~*")&gt;0)+(COUNTIF(O2308:Q2325,$B2342)+COUNTIF(O2308:Q2325,$B2342&amp;" ~*")&gt;0)+(COUNTIF(S2308:U2325,$B2342)+COUNTIF(S2308:U2325,$B2342&amp;" ~*")&gt;0)+(COUNTIF(W2308:W2325,$B2342)+COUNTIF(W2308:W2325,$B2342&amp;" ~*")&gt;0)+(COUNTIF(Y2308:Y2325,$B2342)+COUNTIF(Y2308:Y2325,$B2342&amp;" ~*")&gt;0))</f>
        <v/>
      </c>
      <c r="AC2342" s="38">
        <f>IF($B2342="","",(IFERROR(INDEX(Setup!$G$33:$G$40,MATCH(C2342,Setup!$B$33:$B$40,0)),0)=1)*(COUNTIF(C2308:E2325,$B2342)+COUNTIF(C2308:E2325,$B2342&amp;" ~*")&gt;0)+(IFERROR(INDEX(Setup!$G$33:$G$40,MATCH(G2342,Setup!$B$33:$B$40,0)),0)=1)*(COUNTIF(G2308:I2325,$B2342)+COUNTIF(G2308:I2325,$B2342&amp;" ~*")&gt;0)+(IFERROR(INDEX(Setup!$G$33:$G$40,MATCH(K2342,Setup!$B$33:$B$40,0)),0)=1)*(COUNTIF(K2308:M2325,$B2342)+COUNTIF(K2308:M2325,$B2342&amp;" ~*")&gt;0)+(IFERROR(INDEX(Setup!$G$33:$G$40,MATCH(O2342,Setup!$B$33:$B$40,0)),0)=1)*(COUNTIF(O2308:Q2325,$B2342)+COUNTIF(O2308:Q2325,$B2342&amp;" ~*")&gt;0)+(IFERROR(INDEX(Setup!$G$33:$G$40,MATCH(S2342,Setup!$B$33:$B$40,0)),0)=1)*(COUNTIF(S2308:U2325,$B2342)+COUNTIF(S2308:U2325,$B2342&amp;" ~*")&gt;0)+(IFERROR(INDEX(Setup!$G$33:$G$40,MATCH(W2342,Setup!$B$33:$B$40,0)),0)=1)*(COUNTIF(W2308:W2325,$B2342)+COUNTIF(W2308:W2325,$B2342&amp;" ~*")&gt;0)+(IFERROR(INDEX(Setup!$G$33:$G$40,MATCH(Y2342,Setup!$B$33:$B$40,0)),0)=1)*(COUNTIF(Y2308:Y2325,$B2342)+COUNTIF(Y2308:Y2325,$B2342&amp;" ~*")&gt;0))</f>
        <v/>
      </c>
    </row>
    <row r="2343" ht="15" customHeight="1">
      <c r="A2343" t="n">
        <v>47</v>
      </c>
      <c r="B2343" s="35">
        <f>IF(Setup!$B$22="","",Setup!$B$22)</f>
        <v/>
      </c>
      <c r="C2343" s="98" t="n"/>
      <c r="D2343" s="99" t="n"/>
      <c r="E2343" s="99" t="n"/>
      <c r="F2343" s="100" t="n"/>
      <c r="G2343" s="98" t="n"/>
      <c r="H2343" s="99" t="n"/>
      <c r="I2343" s="99" t="n"/>
      <c r="J2343" s="100" t="n"/>
      <c r="K2343" s="98" t="n"/>
      <c r="L2343" s="99" t="n"/>
      <c r="M2343" s="99" t="n"/>
      <c r="N2343" s="100" t="n"/>
      <c r="O2343" s="98" t="n"/>
      <c r="P2343" s="99" t="n"/>
      <c r="Q2343" s="99" t="n"/>
      <c r="R2343" s="100" t="n"/>
      <c r="S2343" s="98" t="n"/>
      <c r="T2343" s="99" t="n"/>
      <c r="U2343" s="99" t="n"/>
      <c r="V2343" s="100" t="n"/>
      <c r="W2343" s="98" t="n"/>
      <c r="X2343" s="100" t="n"/>
      <c r="Y2343" s="98" t="n"/>
      <c r="Z2343" s="100" t="n"/>
      <c r="AB2343" s="101">
        <f>IF($B2343="","",(COUNTIF(C2308:E2325,$B2343)+COUNTIF(C2308:E2325,$B2343&amp;" ~*")&gt;0)+(COUNTIF(G2308:I2325,$B2343)+COUNTIF(G2308:I2325,$B2343&amp;" ~*")&gt;0)+(COUNTIF(K2308:M2325,$B2343)+COUNTIF(K2308:M2325,$B2343&amp;" ~*")&gt;0)+(COUNTIF(O2308:Q2325,$B2343)+COUNTIF(O2308:Q2325,$B2343&amp;" ~*")&gt;0)+(COUNTIF(S2308:U2325,$B2343)+COUNTIF(S2308:U2325,$B2343&amp;" ~*")&gt;0)+(COUNTIF(W2308:W2325,$B2343)+COUNTIF(W2308:W2325,$B2343&amp;" ~*")&gt;0)+(COUNTIF(Y2308:Y2325,$B2343)+COUNTIF(Y2308:Y2325,$B2343&amp;" ~*")&gt;0))</f>
        <v/>
      </c>
      <c r="AC2343" s="36">
        <f>IF($B2343="","",(IFERROR(INDEX(Setup!$G$33:$G$40,MATCH(C2343,Setup!$B$33:$B$40,0)),0)=1)*(COUNTIF(C2308:E2325,$B2343)+COUNTIF(C2308:E2325,$B2343&amp;" ~*")&gt;0)+(IFERROR(INDEX(Setup!$G$33:$G$40,MATCH(G2343,Setup!$B$33:$B$40,0)),0)=1)*(COUNTIF(G2308:I2325,$B2343)+COUNTIF(G2308:I2325,$B2343&amp;" ~*")&gt;0)+(IFERROR(INDEX(Setup!$G$33:$G$40,MATCH(K2343,Setup!$B$33:$B$40,0)),0)=1)*(COUNTIF(K2308:M2325,$B2343)+COUNTIF(K2308:M2325,$B2343&amp;" ~*")&gt;0)+(IFERROR(INDEX(Setup!$G$33:$G$40,MATCH(O2343,Setup!$B$33:$B$40,0)),0)=1)*(COUNTIF(O2308:Q2325,$B2343)+COUNTIF(O2308:Q2325,$B2343&amp;" ~*")&gt;0)+(IFERROR(INDEX(Setup!$G$33:$G$40,MATCH(S2343,Setup!$B$33:$B$40,0)),0)=1)*(COUNTIF(S2308:U2325,$B2343)+COUNTIF(S2308:U2325,$B2343&amp;" ~*")&gt;0)+(IFERROR(INDEX(Setup!$G$33:$G$40,MATCH(W2343,Setup!$B$33:$B$40,0)),0)=1)*(COUNTIF(W2308:W2325,$B2343)+COUNTIF(W2308:W2325,$B2343&amp;" ~*")&gt;0)+(IFERROR(INDEX(Setup!$G$33:$G$40,MATCH(Y2343,Setup!$B$33:$B$40,0)),0)=1)*(COUNTIF(Y2308:Y2325,$B2343)+COUNTIF(Y2308:Y2325,$B2343&amp;" ~*")&gt;0))</f>
        <v/>
      </c>
    </row>
    <row r="2344" ht="15" customHeight="1">
      <c r="A2344" t="n">
        <v>47</v>
      </c>
      <c r="B2344" s="37">
        <f>IF(Setup!$B$23="","",Setup!$B$23)</f>
        <v/>
      </c>
      <c r="C2344" s="102" t="n"/>
      <c r="D2344" s="103" t="n"/>
      <c r="E2344" s="103" t="n"/>
      <c r="F2344" s="104" t="n"/>
      <c r="G2344" s="102" t="n"/>
      <c r="H2344" s="103" t="n"/>
      <c r="I2344" s="103" t="n"/>
      <c r="J2344" s="104" t="n"/>
      <c r="K2344" s="102" t="n"/>
      <c r="L2344" s="103" t="n"/>
      <c r="M2344" s="103" t="n"/>
      <c r="N2344" s="104" t="n"/>
      <c r="O2344" s="102" t="n"/>
      <c r="P2344" s="103" t="n"/>
      <c r="Q2344" s="103" t="n"/>
      <c r="R2344" s="104" t="n"/>
      <c r="S2344" s="102" t="n"/>
      <c r="T2344" s="103" t="n"/>
      <c r="U2344" s="103" t="n"/>
      <c r="V2344" s="104" t="n"/>
      <c r="W2344" s="102" t="n"/>
      <c r="X2344" s="104" t="n"/>
      <c r="Y2344" s="102" t="n"/>
      <c r="Z2344" s="104" t="n"/>
      <c r="AB2344" s="105">
        <f>IF($B2344="","",(COUNTIF(C2308:E2325,$B2344)+COUNTIF(C2308:E2325,$B2344&amp;" ~*")&gt;0)+(COUNTIF(G2308:I2325,$B2344)+COUNTIF(G2308:I2325,$B2344&amp;" ~*")&gt;0)+(COUNTIF(K2308:M2325,$B2344)+COUNTIF(K2308:M2325,$B2344&amp;" ~*")&gt;0)+(COUNTIF(O2308:Q2325,$B2344)+COUNTIF(O2308:Q2325,$B2344&amp;" ~*")&gt;0)+(COUNTIF(S2308:U2325,$B2344)+COUNTIF(S2308:U2325,$B2344&amp;" ~*")&gt;0)+(COUNTIF(W2308:W2325,$B2344)+COUNTIF(W2308:W2325,$B2344&amp;" ~*")&gt;0)+(COUNTIF(Y2308:Y2325,$B2344)+COUNTIF(Y2308:Y2325,$B2344&amp;" ~*")&gt;0))</f>
        <v/>
      </c>
      <c r="AC2344" s="38">
        <f>IF($B2344="","",(IFERROR(INDEX(Setup!$G$33:$G$40,MATCH(C2344,Setup!$B$33:$B$40,0)),0)=1)*(COUNTIF(C2308:E2325,$B2344)+COUNTIF(C2308:E2325,$B2344&amp;" ~*")&gt;0)+(IFERROR(INDEX(Setup!$G$33:$G$40,MATCH(G2344,Setup!$B$33:$B$40,0)),0)=1)*(COUNTIF(G2308:I2325,$B2344)+COUNTIF(G2308:I2325,$B2344&amp;" ~*")&gt;0)+(IFERROR(INDEX(Setup!$G$33:$G$40,MATCH(K2344,Setup!$B$33:$B$40,0)),0)=1)*(COUNTIF(K2308:M2325,$B2344)+COUNTIF(K2308:M2325,$B2344&amp;" ~*")&gt;0)+(IFERROR(INDEX(Setup!$G$33:$G$40,MATCH(O2344,Setup!$B$33:$B$40,0)),0)=1)*(COUNTIF(O2308:Q2325,$B2344)+COUNTIF(O2308:Q2325,$B2344&amp;" ~*")&gt;0)+(IFERROR(INDEX(Setup!$G$33:$G$40,MATCH(S2344,Setup!$B$33:$B$40,0)),0)=1)*(COUNTIF(S2308:U2325,$B2344)+COUNTIF(S2308:U2325,$B2344&amp;" ~*")&gt;0)+(IFERROR(INDEX(Setup!$G$33:$G$40,MATCH(W2344,Setup!$B$33:$B$40,0)),0)=1)*(COUNTIF(W2308:W2325,$B2344)+COUNTIF(W2308:W2325,$B2344&amp;" ~*")&gt;0)+(IFERROR(INDEX(Setup!$G$33:$G$40,MATCH(Y2344,Setup!$B$33:$B$40,0)),0)=1)*(COUNTIF(Y2308:Y2325,$B2344)+COUNTIF(Y2308:Y2325,$B2344&amp;" ~*")&gt;0))</f>
        <v/>
      </c>
    </row>
    <row r="2345" ht="15" customHeight="1">
      <c r="A2345" t="n">
        <v>47</v>
      </c>
      <c r="B2345" s="35">
        <f>IF(Setup!$B$24="","",Setup!$B$24)</f>
        <v/>
      </c>
      <c r="C2345" s="98" t="n"/>
      <c r="D2345" s="99" t="n"/>
      <c r="E2345" s="99" t="n"/>
      <c r="F2345" s="100" t="n"/>
      <c r="G2345" s="98" t="n"/>
      <c r="H2345" s="99" t="n"/>
      <c r="I2345" s="99" t="n"/>
      <c r="J2345" s="100" t="n"/>
      <c r="K2345" s="98" t="n"/>
      <c r="L2345" s="99" t="n"/>
      <c r="M2345" s="99" t="n"/>
      <c r="N2345" s="100" t="n"/>
      <c r="O2345" s="98" t="n"/>
      <c r="P2345" s="99" t="n"/>
      <c r="Q2345" s="99" t="n"/>
      <c r="R2345" s="100" t="n"/>
      <c r="S2345" s="98" t="n"/>
      <c r="T2345" s="99" t="n"/>
      <c r="U2345" s="99" t="n"/>
      <c r="V2345" s="100" t="n"/>
      <c r="W2345" s="98" t="n"/>
      <c r="X2345" s="100" t="n"/>
      <c r="Y2345" s="98" t="n"/>
      <c r="Z2345" s="100" t="n"/>
      <c r="AB2345" s="101">
        <f>IF($B2345="","",(COUNTIF(C2308:E2325,$B2345)+COUNTIF(C2308:E2325,$B2345&amp;" ~*")&gt;0)+(COUNTIF(G2308:I2325,$B2345)+COUNTIF(G2308:I2325,$B2345&amp;" ~*")&gt;0)+(COUNTIF(K2308:M2325,$B2345)+COUNTIF(K2308:M2325,$B2345&amp;" ~*")&gt;0)+(COUNTIF(O2308:Q2325,$B2345)+COUNTIF(O2308:Q2325,$B2345&amp;" ~*")&gt;0)+(COUNTIF(S2308:U2325,$B2345)+COUNTIF(S2308:U2325,$B2345&amp;" ~*")&gt;0)+(COUNTIF(W2308:W2325,$B2345)+COUNTIF(W2308:W2325,$B2345&amp;" ~*")&gt;0)+(COUNTIF(Y2308:Y2325,$B2345)+COUNTIF(Y2308:Y2325,$B2345&amp;" ~*")&gt;0))</f>
        <v/>
      </c>
      <c r="AC2345" s="36">
        <f>IF($B2345="","",(IFERROR(INDEX(Setup!$G$33:$G$40,MATCH(C2345,Setup!$B$33:$B$40,0)),0)=1)*(COUNTIF(C2308:E2325,$B2345)+COUNTIF(C2308:E2325,$B2345&amp;" ~*")&gt;0)+(IFERROR(INDEX(Setup!$G$33:$G$40,MATCH(G2345,Setup!$B$33:$B$40,0)),0)=1)*(COUNTIF(G2308:I2325,$B2345)+COUNTIF(G2308:I2325,$B2345&amp;" ~*")&gt;0)+(IFERROR(INDEX(Setup!$G$33:$G$40,MATCH(K2345,Setup!$B$33:$B$40,0)),0)=1)*(COUNTIF(K2308:M2325,$B2345)+COUNTIF(K2308:M2325,$B2345&amp;" ~*")&gt;0)+(IFERROR(INDEX(Setup!$G$33:$G$40,MATCH(O2345,Setup!$B$33:$B$40,0)),0)=1)*(COUNTIF(O2308:Q2325,$B2345)+COUNTIF(O2308:Q2325,$B2345&amp;" ~*")&gt;0)+(IFERROR(INDEX(Setup!$G$33:$G$40,MATCH(S2345,Setup!$B$33:$B$40,0)),0)=1)*(COUNTIF(S2308:U2325,$B2345)+COUNTIF(S2308:U2325,$B2345&amp;" ~*")&gt;0)+(IFERROR(INDEX(Setup!$G$33:$G$40,MATCH(W2345,Setup!$B$33:$B$40,0)),0)=1)*(COUNTIF(W2308:W2325,$B2345)+COUNTIF(W2308:W2325,$B2345&amp;" ~*")&gt;0)+(IFERROR(INDEX(Setup!$G$33:$G$40,MATCH(Y2345,Setup!$B$33:$B$40,0)),0)=1)*(COUNTIF(Y2308:Y2325,$B2345)+COUNTIF(Y2308:Y2325,$B2345&amp;" ~*")&gt;0))</f>
        <v/>
      </c>
    </row>
    <row r="2346" ht="15" customHeight="1">
      <c r="A2346" t="n">
        <v>47</v>
      </c>
      <c r="B2346" s="37">
        <f>IF(Setup!$B$25="","",Setup!$B$25)</f>
        <v/>
      </c>
      <c r="C2346" s="102" t="n"/>
      <c r="D2346" s="103" t="n"/>
      <c r="E2346" s="103" t="n"/>
      <c r="F2346" s="104" t="n"/>
      <c r="G2346" s="102" t="n"/>
      <c r="H2346" s="103" t="n"/>
      <c r="I2346" s="103" t="n"/>
      <c r="J2346" s="104" t="n"/>
      <c r="K2346" s="102" t="n"/>
      <c r="L2346" s="103" t="n"/>
      <c r="M2346" s="103" t="n"/>
      <c r="N2346" s="104" t="n"/>
      <c r="O2346" s="102" t="n"/>
      <c r="P2346" s="103" t="n"/>
      <c r="Q2346" s="103" t="n"/>
      <c r="R2346" s="104" t="n"/>
      <c r="S2346" s="102" t="n"/>
      <c r="T2346" s="103" t="n"/>
      <c r="U2346" s="103" t="n"/>
      <c r="V2346" s="104" t="n"/>
      <c r="W2346" s="102" t="n"/>
      <c r="X2346" s="104" t="n"/>
      <c r="Y2346" s="102" t="n"/>
      <c r="Z2346" s="104" t="n"/>
      <c r="AB2346" s="105">
        <f>IF($B2346="","",(COUNTIF(C2308:E2325,$B2346)+COUNTIF(C2308:E2325,$B2346&amp;" ~*")&gt;0)+(COUNTIF(G2308:I2325,$B2346)+COUNTIF(G2308:I2325,$B2346&amp;" ~*")&gt;0)+(COUNTIF(K2308:M2325,$B2346)+COUNTIF(K2308:M2325,$B2346&amp;" ~*")&gt;0)+(COUNTIF(O2308:Q2325,$B2346)+COUNTIF(O2308:Q2325,$B2346&amp;" ~*")&gt;0)+(COUNTIF(S2308:U2325,$B2346)+COUNTIF(S2308:U2325,$B2346&amp;" ~*")&gt;0)+(COUNTIF(W2308:W2325,$B2346)+COUNTIF(W2308:W2325,$B2346&amp;" ~*")&gt;0)+(COUNTIF(Y2308:Y2325,$B2346)+COUNTIF(Y2308:Y2325,$B2346&amp;" ~*")&gt;0))</f>
        <v/>
      </c>
      <c r="AC2346" s="38">
        <f>IF($B2346="","",(IFERROR(INDEX(Setup!$G$33:$G$40,MATCH(C2346,Setup!$B$33:$B$40,0)),0)=1)*(COUNTIF(C2308:E2325,$B2346)+COUNTIF(C2308:E2325,$B2346&amp;" ~*")&gt;0)+(IFERROR(INDEX(Setup!$G$33:$G$40,MATCH(G2346,Setup!$B$33:$B$40,0)),0)=1)*(COUNTIF(G2308:I2325,$B2346)+COUNTIF(G2308:I2325,$B2346&amp;" ~*")&gt;0)+(IFERROR(INDEX(Setup!$G$33:$G$40,MATCH(K2346,Setup!$B$33:$B$40,0)),0)=1)*(COUNTIF(K2308:M2325,$B2346)+COUNTIF(K2308:M2325,$B2346&amp;" ~*")&gt;0)+(IFERROR(INDEX(Setup!$G$33:$G$40,MATCH(O2346,Setup!$B$33:$B$40,0)),0)=1)*(COUNTIF(O2308:Q2325,$B2346)+COUNTIF(O2308:Q2325,$B2346&amp;" ~*")&gt;0)+(IFERROR(INDEX(Setup!$G$33:$G$40,MATCH(S2346,Setup!$B$33:$B$40,0)),0)=1)*(COUNTIF(S2308:U2325,$B2346)+COUNTIF(S2308:U2325,$B2346&amp;" ~*")&gt;0)+(IFERROR(INDEX(Setup!$G$33:$G$40,MATCH(W2346,Setup!$B$33:$B$40,0)),0)=1)*(COUNTIF(W2308:W2325,$B2346)+COUNTIF(W2308:W2325,$B2346&amp;" ~*")&gt;0)+(IFERROR(INDEX(Setup!$G$33:$G$40,MATCH(Y2346,Setup!$B$33:$B$40,0)),0)=1)*(COUNTIF(Y2308:Y2325,$B2346)+COUNTIF(Y2308:Y2325,$B2346&amp;" ~*")&gt;0))</f>
        <v/>
      </c>
    </row>
    <row r="2347" ht="15" customHeight="1">
      <c r="A2347" t="n">
        <v>47</v>
      </c>
      <c r="B2347" s="35">
        <f>IF(Setup!$B$26="","",Setup!$B$26)</f>
        <v/>
      </c>
      <c r="C2347" s="98" t="n"/>
      <c r="D2347" s="99" t="n"/>
      <c r="E2347" s="99" t="n"/>
      <c r="F2347" s="100" t="n"/>
      <c r="G2347" s="98" t="n"/>
      <c r="H2347" s="99" t="n"/>
      <c r="I2347" s="99" t="n"/>
      <c r="J2347" s="100" t="n"/>
      <c r="K2347" s="98" t="n"/>
      <c r="L2347" s="99" t="n"/>
      <c r="M2347" s="99" t="n"/>
      <c r="N2347" s="100" t="n"/>
      <c r="O2347" s="98" t="n"/>
      <c r="P2347" s="99" t="n"/>
      <c r="Q2347" s="99" t="n"/>
      <c r="R2347" s="100" t="n"/>
      <c r="S2347" s="98" t="n"/>
      <c r="T2347" s="99" t="n"/>
      <c r="U2347" s="99" t="n"/>
      <c r="V2347" s="100" t="n"/>
      <c r="W2347" s="98" t="n"/>
      <c r="X2347" s="100" t="n"/>
      <c r="Y2347" s="98" t="n"/>
      <c r="Z2347" s="100" t="n"/>
      <c r="AB2347" s="101">
        <f>IF($B2347="","",(COUNTIF(C2308:E2325,$B2347)+COUNTIF(C2308:E2325,$B2347&amp;" ~*")&gt;0)+(COUNTIF(G2308:I2325,$B2347)+COUNTIF(G2308:I2325,$B2347&amp;" ~*")&gt;0)+(COUNTIF(K2308:M2325,$B2347)+COUNTIF(K2308:M2325,$B2347&amp;" ~*")&gt;0)+(COUNTIF(O2308:Q2325,$B2347)+COUNTIF(O2308:Q2325,$B2347&amp;" ~*")&gt;0)+(COUNTIF(S2308:U2325,$B2347)+COUNTIF(S2308:U2325,$B2347&amp;" ~*")&gt;0)+(COUNTIF(W2308:W2325,$B2347)+COUNTIF(W2308:W2325,$B2347&amp;" ~*")&gt;0)+(COUNTIF(Y2308:Y2325,$B2347)+COUNTIF(Y2308:Y2325,$B2347&amp;" ~*")&gt;0))</f>
        <v/>
      </c>
      <c r="AC2347" s="36">
        <f>IF($B2347="","",(IFERROR(INDEX(Setup!$G$33:$G$40,MATCH(C2347,Setup!$B$33:$B$40,0)),0)=1)*(COUNTIF(C2308:E2325,$B2347)+COUNTIF(C2308:E2325,$B2347&amp;" ~*")&gt;0)+(IFERROR(INDEX(Setup!$G$33:$G$40,MATCH(G2347,Setup!$B$33:$B$40,0)),0)=1)*(COUNTIF(G2308:I2325,$B2347)+COUNTIF(G2308:I2325,$B2347&amp;" ~*")&gt;0)+(IFERROR(INDEX(Setup!$G$33:$G$40,MATCH(K2347,Setup!$B$33:$B$40,0)),0)=1)*(COUNTIF(K2308:M2325,$B2347)+COUNTIF(K2308:M2325,$B2347&amp;" ~*")&gt;0)+(IFERROR(INDEX(Setup!$G$33:$G$40,MATCH(O2347,Setup!$B$33:$B$40,0)),0)=1)*(COUNTIF(O2308:Q2325,$B2347)+COUNTIF(O2308:Q2325,$B2347&amp;" ~*")&gt;0)+(IFERROR(INDEX(Setup!$G$33:$G$40,MATCH(S2347,Setup!$B$33:$B$40,0)),0)=1)*(COUNTIF(S2308:U2325,$B2347)+COUNTIF(S2308:U2325,$B2347&amp;" ~*")&gt;0)+(IFERROR(INDEX(Setup!$G$33:$G$40,MATCH(W2347,Setup!$B$33:$B$40,0)),0)=1)*(COUNTIF(W2308:W2325,$B2347)+COUNTIF(W2308:W2325,$B2347&amp;" ~*")&gt;0)+(IFERROR(INDEX(Setup!$G$33:$G$40,MATCH(Y2347,Setup!$B$33:$B$40,0)),0)=1)*(COUNTIF(Y2308:Y2325,$B2347)+COUNTIF(Y2308:Y2325,$B2347&amp;" ~*")&gt;0))</f>
        <v/>
      </c>
    </row>
    <row r="2348" ht="15" customHeight="1">
      <c r="A2348" t="n">
        <v>47</v>
      </c>
      <c r="B2348" s="37">
        <f>IF(Setup!$B$27="","",Setup!$B$27)</f>
        <v/>
      </c>
      <c r="C2348" s="102" t="n"/>
      <c r="D2348" s="103" t="n"/>
      <c r="E2348" s="103" t="n"/>
      <c r="F2348" s="104" t="n"/>
      <c r="G2348" s="102" t="n"/>
      <c r="H2348" s="103" t="n"/>
      <c r="I2348" s="103" t="n"/>
      <c r="J2348" s="104" t="n"/>
      <c r="K2348" s="102" t="n"/>
      <c r="L2348" s="103" t="n"/>
      <c r="M2348" s="103" t="n"/>
      <c r="N2348" s="104" t="n"/>
      <c r="O2348" s="102" t="n"/>
      <c r="P2348" s="103" t="n"/>
      <c r="Q2348" s="103" t="n"/>
      <c r="R2348" s="104" t="n"/>
      <c r="S2348" s="102" t="n"/>
      <c r="T2348" s="103" t="n"/>
      <c r="U2348" s="103" t="n"/>
      <c r="V2348" s="104" t="n"/>
      <c r="W2348" s="102" t="n"/>
      <c r="X2348" s="104" t="n"/>
      <c r="Y2348" s="102" t="n"/>
      <c r="Z2348" s="104" t="n"/>
      <c r="AB2348" s="105">
        <f>IF($B2348="","",(COUNTIF(C2308:E2325,$B2348)+COUNTIF(C2308:E2325,$B2348&amp;" ~*")&gt;0)+(COUNTIF(G2308:I2325,$B2348)+COUNTIF(G2308:I2325,$B2348&amp;" ~*")&gt;0)+(COUNTIF(K2308:M2325,$B2348)+COUNTIF(K2308:M2325,$B2348&amp;" ~*")&gt;0)+(COUNTIF(O2308:Q2325,$B2348)+COUNTIF(O2308:Q2325,$B2348&amp;" ~*")&gt;0)+(COUNTIF(S2308:U2325,$B2348)+COUNTIF(S2308:U2325,$B2348&amp;" ~*")&gt;0)+(COUNTIF(W2308:W2325,$B2348)+COUNTIF(W2308:W2325,$B2348&amp;" ~*")&gt;0)+(COUNTIF(Y2308:Y2325,$B2348)+COUNTIF(Y2308:Y2325,$B2348&amp;" ~*")&gt;0))</f>
        <v/>
      </c>
      <c r="AC2348" s="38">
        <f>IF($B2348="","",(IFERROR(INDEX(Setup!$G$33:$G$40,MATCH(C2348,Setup!$B$33:$B$40,0)),0)=1)*(COUNTIF(C2308:E2325,$B2348)+COUNTIF(C2308:E2325,$B2348&amp;" ~*")&gt;0)+(IFERROR(INDEX(Setup!$G$33:$G$40,MATCH(G2348,Setup!$B$33:$B$40,0)),0)=1)*(COUNTIF(G2308:I2325,$B2348)+COUNTIF(G2308:I2325,$B2348&amp;" ~*")&gt;0)+(IFERROR(INDEX(Setup!$G$33:$G$40,MATCH(K2348,Setup!$B$33:$B$40,0)),0)=1)*(COUNTIF(K2308:M2325,$B2348)+COUNTIF(K2308:M2325,$B2348&amp;" ~*")&gt;0)+(IFERROR(INDEX(Setup!$G$33:$G$40,MATCH(O2348,Setup!$B$33:$B$40,0)),0)=1)*(COUNTIF(O2308:Q2325,$B2348)+COUNTIF(O2308:Q2325,$B2348&amp;" ~*")&gt;0)+(IFERROR(INDEX(Setup!$G$33:$G$40,MATCH(S2348,Setup!$B$33:$B$40,0)),0)=1)*(COUNTIF(S2308:U2325,$B2348)+COUNTIF(S2308:U2325,$B2348&amp;" ~*")&gt;0)+(IFERROR(INDEX(Setup!$G$33:$G$40,MATCH(W2348,Setup!$B$33:$B$40,0)),0)=1)*(COUNTIF(W2308:W2325,$B2348)+COUNTIF(W2308:W2325,$B2348&amp;" ~*")&gt;0)+(IFERROR(INDEX(Setup!$G$33:$G$40,MATCH(Y2348,Setup!$B$33:$B$40,0)),0)=1)*(COUNTIF(Y2308:Y2325,$B2348)+COUNTIF(Y2308:Y2325,$B2348&amp;" ~*")&gt;0))</f>
        <v/>
      </c>
    </row>
    <row r="2349" ht="15" customHeight="1">
      <c r="A2349" t="n">
        <v>47</v>
      </c>
      <c r="B2349" s="35">
        <f>IF(Setup!$B$28="","",Setup!$B$28)</f>
        <v/>
      </c>
      <c r="C2349" s="98" t="n"/>
      <c r="D2349" s="99" t="n"/>
      <c r="E2349" s="99" t="n"/>
      <c r="F2349" s="100" t="n"/>
      <c r="G2349" s="98" t="n"/>
      <c r="H2349" s="99" t="n"/>
      <c r="I2349" s="99" t="n"/>
      <c r="J2349" s="100" t="n"/>
      <c r="K2349" s="98" t="n"/>
      <c r="L2349" s="99" t="n"/>
      <c r="M2349" s="99" t="n"/>
      <c r="N2349" s="100" t="n"/>
      <c r="O2349" s="98" t="n"/>
      <c r="P2349" s="99" t="n"/>
      <c r="Q2349" s="99" t="n"/>
      <c r="R2349" s="100" t="n"/>
      <c r="S2349" s="98" t="n"/>
      <c r="T2349" s="99" t="n"/>
      <c r="U2349" s="99" t="n"/>
      <c r="V2349" s="100" t="n"/>
      <c r="W2349" s="98" t="n"/>
      <c r="X2349" s="100" t="n"/>
      <c r="Y2349" s="98" t="n"/>
      <c r="Z2349" s="100" t="n"/>
      <c r="AB2349" s="101">
        <f>IF($B2349="","",(COUNTIF(C2308:E2325,$B2349)+COUNTIF(C2308:E2325,$B2349&amp;" ~*")&gt;0)+(COUNTIF(G2308:I2325,$B2349)+COUNTIF(G2308:I2325,$B2349&amp;" ~*")&gt;0)+(COUNTIF(K2308:M2325,$B2349)+COUNTIF(K2308:M2325,$B2349&amp;" ~*")&gt;0)+(COUNTIF(O2308:Q2325,$B2349)+COUNTIF(O2308:Q2325,$B2349&amp;" ~*")&gt;0)+(COUNTIF(S2308:U2325,$B2349)+COUNTIF(S2308:U2325,$B2349&amp;" ~*")&gt;0)+(COUNTIF(W2308:W2325,$B2349)+COUNTIF(W2308:W2325,$B2349&amp;" ~*")&gt;0)+(COUNTIF(Y2308:Y2325,$B2349)+COUNTIF(Y2308:Y2325,$B2349&amp;" ~*")&gt;0))</f>
        <v/>
      </c>
      <c r="AC2349" s="36">
        <f>IF($B2349="","",(IFERROR(INDEX(Setup!$G$33:$G$40,MATCH(C2349,Setup!$B$33:$B$40,0)),0)=1)*(COUNTIF(C2308:E2325,$B2349)+COUNTIF(C2308:E2325,$B2349&amp;" ~*")&gt;0)+(IFERROR(INDEX(Setup!$G$33:$G$40,MATCH(G2349,Setup!$B$33:$B$40,0)),0)=1)*(COUNTIF(G2308:I2325,$B2349)+COUNTIF(G2308:I2325,$B2349&amp;" ~*")&gt;0)+(IFERROR(INDEX(Setup!$G$33:$G$40,MATCH(K2349,Setup!$B$33:$B$40,0)),0)=1)*(COUNTIF(K2308:M2325,$B2349)+COUNTIF(K2308:M2325,$B2349&amp;" ~*")&gt;0)+(IFERROR(INDEX(Setup!$G$33:$G$40,MATCH(O2349,Setup!$B$33:$B$40,0)),0)=1)*(COUNTIF(O2308:Q2325,$B2349)+COUNTIF(O2308:Q2325,$B2349&amp;" ~*")&gt;0)+(IFERROR(INDEX(Setup!$G$33:$G$40,MATCH(S2349,Setup!$B$33:$B$40,0)),0)=1)*(COUNTIF(S2308:U2325,$B2349)+COUNTIF(S2308:U2325,$B2349&amp;" ~*")&gt;0)+(IFERROR(INDEX(Setup!$G$33:$G$40,MATCH(W2349,Setup!$B$33:$B$40,0)),0)=1)*(COUNTIF(W2308:W2325,$B2349)+COUNTIF(W2308:W2325,$B2349&amp;" ~*")&gt;0)+(IFERROR(INDEX(Setup!$G$33:$G$40,MATCH(Y2349,Setup!$B$33:$B$40,0)),0)=1)*(COUNTIF(Y2308:Y2325,$B2349)+COUNTIF(Y2308:Y2325,$B2349&amp;" ~*")&gt;0))</f>
        <v/>
      </c>
    </row>
    <row r="2350" ht="15" customHeight="1">
      <c r="A2350" t="n">
        <v>47</v>
      </c>
      <c r="B2350" s="37">
        <f>IF(Setup!$B$29="","",Setup!$B$29)</f>
        <v/>
      </c>
      <c r="C2350" s="102" t="n"/>
      <c r="D2350" s="103" t="n"/>
      <c r="E2350" s="103" t="n"/>
      <c r="F2350" s="104" t="n"/>
      <c r="G2350" s="102" t="n"/>
      <c r="H2350" s="103" t="n"/>
      <c r="I2350" s="103" t="n"/>
      <c r="J2350" s="104" t="n"/>
      <c r="K2350" s="102" t="n"/>
      <c r="L2350" s="103" t="n"/>
      <c r="M2350" s="103" t="n"/>
      <c r="N2350" s="104" t="n"/>
      <c r="O2350" s="102" t="n"/>
      <c r="P2350" s="103" t="n"/>
      <c r="Q2350" s="103" t="n"/>
      <c r="R2350" s="104" t="n"/>
      <c r="S2350" s="102" t="n"/>
      <c r="T2350" s="103" t="n"/>
      <c r="U2350" s="103" t="n"/>
      <c r="V2350" s="104" t="n"/>
      <c r="W2350" s="102" t="n"/>
      <c r="X2350" s="104" t="n"/>
      <c r="Y2350" s="102" t="n"/>
      <c r="Z2350" s="104" t="n"/>
      <c r="AB2350" s="105">
        <f>IF($B2350="","",(COUNTIF(C2308:E2325,$B2350)+COUNTIF(C2308:E2325,$B2350&amp;" ~*")&gt;0)+(COUNTIF(G2308:I2325,$B2350)+COUNTIF(G2308:I2325,$B2350&amp;" ~*")&gt;0)+(COUNTIF(K2308:M2325,$B2350)+COUNTIF(K2308:M2325,$B2350&amp;" ~*")&gt;0)+(COUNTIF(O2308:Q2325,$B2350)+COUNTIF(O2308:Q2325,$B2350&amp;" ~*")&gt;0)+(COUNTIF(S2308:U2325,$B2350)+COUNTIF(S2308:U2325,$B2350&amp;" ~*")&gt;0)+(COUNTIF(W2308:W2325,$B2350)+COUNTIF(W2308:W2325,$B2350&amp;" ~*")&gt;0)+(COUNTIF(Y2308:Y2325,$B2350)+COUNTIF(Y2308:Y2325,$B2350&amp;" ~*")&gt;0))</f>
        <v/>
      </c>
      <c r="AC2350" s="38">
        <f>IF($B2350="","",(IFERROR(INDEX(Setup!$G$33:$G$40,MATCH(C2350,Setup!$B$33:$B$40,0)),0)=1)*(COUNTIF(C2308:E2325,$B2350)+COUNTIF(C2308:E2325,$B2350&amp;" ~*")&gt;0)+(IFERROR(INDEX(Setup!$G$33:$G$40,MATCH(G2350,Setup!$B$33:$B$40,0)),0)=1)*(COUNTIF(G2308:I2325,$B2350)+COUNTIF(G2308:I2325,$B2350&amp;" ~*")&gt;0)+(IFERROR(INDEX(Setup!$G$33:$G$40,MATCH(K2350,Setup!$B$33:$B$40,0)),0)=1)*(COUNTIF(K2308:M2325,$B2350)+COUNTIF(K2308:M2325,$B2350&amp;" ~*")&gt;0)+(IFERROR(INDEX(Setup!$G$33:$G$40,MATCH(O2350,Setup!$B$33:$B$40,0)),0)=1)*(COUNTIF(O2308:Q2325,$B2350)+COUNTIF(O2308:Q2325,$B2350&amp;" ~*")&gt;0)+(IFERROR(INDEX(Setup!$G$33:$G$40,MATCH(S2350,Setup!$B$33:$B$40,0)),0)=1)*(COUNTIF(S2308:U2325,$B2350)+COUNTIF(S2308:U2325,$B2350&amp;" ~*")&gt;0)+(IFERROR(INDEX(Setup!$G$33:$G$40,MATCH(W2350,Setup!$B$33:$B$40,0)),0)=1)*(COUNTIF(W2308:W2325,$B2350)+COUNTIF(W2308:W2325,$B2350&amp;" ~*")&gt;0)+(IFERROR(INDEX(Setup!$G$33:$G$40,MATCH(Y2350,Setup!$B$33:$B$40,0)),0)=1)*(COUNTIF(Y2308:Y2325,$B2350)+COUNTIF(Y2308:Y2325,$B2350&amp;" ~*")&gt;0))</f>
        <v/>
      </c>
    </row>
    <row r="2351" ht="16" customHeight="1">
      <c r="A2351" t="n">
        <v>47</v>
      </c>
      <c r="B2351" s="106" t="inlineStr">
        <is>
          <t>Available people</t>
        </is>
      </c>
      <c r="C2351" s="107">
        <f>COUNTIFS(Setup!$E$6:$E$29,"Y",Setup!$B$6:$B$29,"?*")-SUMPRODUCT(COUNTIF(C2327:C2350,Setup!$F$33:$F$40))</f>
        <v/>
      </c>
      <c r="D2351" s="107" t="n"/>
      <c r="E2351" s="107" t="n"/>
      <c r="F2351" s="107" t="n"/>
      <c r="G2351" s="107">
        <f>COUNTIFS(Setup!$E$6:$E$29,"Y",Setup!$B$6:$B$29,"?*")-SUMPRODUCT(COUNTIF(G2327:G2350,Setup!$F$33:$F$40))</f>
        <v/>
      </c>
      <c r="H2351" s="107" t="n"/>
      <c r="I2351" s="107" t="n"/>
      <c r="J2351" s="107" t="n"/>
      <c r="K2351" s="107">
        <f>COUNTIFS(Setup!$E$6:$E$29,"Y",Setup!$B$6:$B$29,"?*")-SUMPRODUCT(COUNTIF(K2327:K2350,Setup!$F$33:$F$40))</f>
        <v/>
      </c>
      <c r="L2351" s="107" t="n"/>
      <c r="M2351" s="107" t="n"/>
      <c r="N2351" s="107" t="n"/>
      <c r="O2351" s="107">
        <f>COUNTIFS(Setup!$E$6:$E$29,"Y",Setup!$B$6:$B$29,"?*")-SUMPRODUCT(COUNTIF(O2327:O2350,Setup!$F$33:$F$40))</f>
        <v/>
      </c>
      <c r="P2351" s="107" t="n"/>
      <c r="Q2351" s="107" t="n"/>
      <c r="R2351" s="107" t="n"/>
      <c r="S2351" s="107">
        <f>COUNTIFS(Setup!$E$6:$E$29,"Y",Setup!$B$6:$B$29,"?*")-SUMPRODUCT(COUNTIF(S2327:S2350,Setup!$F$33:$F$40))</f>
        <v/>
      </c>
      <c r="T2351" s="107" t="n"/>
      <c r="U2351" s="107" t="n"/>
      <c r="V2351" s="107" t="n"/>
      <c r="W2351" s="107">
        <f>COUNTIFS(Setup!$E$6:$E$29,"Y",Setup!$B$6:$B$29,"?*")-SUMPRODUCT(COUNTIF(W2327:W2350,Setup!$F$33:$F$40))</f>
        <v/>
      </c>
      <c r="X2351" s="107" t="n"/>
      <c r="Y2351" s="107">
        <f>COUNTIFS(Setup!$E$6:$E$29,"Y",Setup!$B$6:$B$29,"?*")-SUMPRODUCT(COUNTIF(Y2327:Y2350,Setup!$F$33:$F$40))</f>
        <v/>
      </c>
      <c r="Z2351" s="107" t="n"/>
      <c r="AB2351" s="108">
        <f>SUM(AB2327:AB2350)</f>
        <v/>
      </c>
      <c r="AC2351" s="109">
        <f>SUM(AC2327:AC2350)</f>
        <v/>
      </c>
    </row>
    <row r="2352" ht="30" customHeight="1">
      <c r="A2352" t="n">
        <v>47</v>
      </c>
      <c r="B2352" s="110" t="inlineStr">
        <is>
          <t>Week notes</t>
        </is>
      </c>
      <c r="C2352" s="111" t="n"/>
      <c r="D2352" s="112" t="n"/>
      <c r="E2352" s="112" t="n"/>
      <c r="F2352" s="112" t="n"/>
      <c r="G2352" s="112" t="n"/>
      <c r="H2352" s="112" t="n"/>
      <c r="I2352" s="112" t="n"/>
      <c r="J2352" s="112" t="n"/>
      <c r="K2352" s="112" t="n"/>
      <c r="L2352" s="112" t="n"/>
      <c r="M2352" s="112" t="n"/>
      <c r="N2352" s="112" t="n"/>
      <c r="O2352" s="112" t="n"/>
      <c r="P2352" s="112" t="n"/>
      <c r="Q2352" s="112" t="n"/>
      <c r="R2352" s="112" t="n"/>
      <c r="S2352" s="112" t="n"/>
      <c r="T2352" s="112" t="n"/>
      <c r="U2352" s="112" t="n"/>
      <c r="V2352" s="112" t="n"/>
      <c r="W2352" s="112" t="n"/>
      <c r="X2352" s="112" t="n"/>
      <c r="Y2352" s="112" t="n"/>
      <c r="Z2352" s="113" t="n"/>
    </row>
    <row r="2353" ht="8" customHeight="1">
      <c r="A2353" t="n">
        <v>47</v>
      </c>
    </row>
    <row r="2354" ht="8" customHeight="1">
      <c r="A2354" t="n">
        <v>47</v>
      </c>
    </row>
    <row r="2355" ht="24" customHeight="1">
      <c r="A2355" t="n">
        <v>48</v>
      </c>
      <c r="B2355" s="73">
        <f>"WEEK 48     "&amp;TEXT(C2356,"ddd d mmm")&amp;"  –  "&amp;TEXT(C2356+6,"ddd d mmm yyyy")</f>
        <v/>
      </c>
      <c r="S2355" s="74">
        <f>IF(TODAY()&lt;C2356,"FUTURE",IF(TODAY()&gt;C2356+6,"PAST","THIS WEEK"))</f>
        <v/>
      </c>
      <c r="W2355" s="75">
        <f>IF(AND(Engine!$B$8=$AC$3,Engine!$B$9=$A2355),"◀ ACTIVE WEEK","")</f>
        <v/>
      </c>
      <c r="AA2355" s="76" t="n"/>
      <c r="AB2355" s="77" t="inlineStr">
        <is>
          <t>◀ Prev</t>
        </is>
      </c>
      <c r="AC2355" s="77" t="inlineStr">
        <is>
          <t>Next ▶</t>
        </is>
      </c>
    </row>
    <row r="2356" ht="18" customHeight="1">
      <c r="A2356" t="n">
        <v>48</v>
      </c>
      <c r="B2356" s="78" t="inlineStr">
        <is>
          <t>DUTY</t>
        </is>
      </c>
      <c r="C2356" s="79">
        <f>$AC$2+7*($A2356-1)</f>
        <v/>
      </c>
      <c r="D2356" s="80" t="n"/>
      <c r="E2356" s="80" t="n"/>
      <c r="F2356" s="81" t="n"/>
      <c r="G2356" s="79">
        <f>C2356+1</f>
        <v/>
      </c>
      <c r="H2356" s="80" t="n"/>
      <c r="I2356" s="80" t="n"/>
      <c r="J2356" s="81" t="n"/>
      <c r="K2356" s="79">
        <f>C2356+2</f>
        <v/>
      </c>
      <c r="L2356" s="80" t="n"/>
      <c r="M2356" s="80" t="n"/>
      <c r="N2356" s="81" t="n"/>
      <c r="O2356" s="79">
        <f>C2356+3</f>
        <v/>
      </c>
      <c r="P2356" s="80" t="n"/>
      <c r="Q2356" s="80" t="n"/>
      <c r="R2356" s="81" t="n"/>
      <c r="S2356" s="79">
        <f>C2356+4</f>
        <v/>
      </c>
      <c r="T2356" s="80" t="n"/>
      <c r="U2356" s="80" t="n"/>
      <c r="V2356" s="81" t="n"/>
      <c r="W2356" s="82">
        <f>C2356+5</f>
        <v/>
      </c>
      <c r="X2356" s="83" t="n"/>
      <c r="Y2356" s="82">
        <f>C2356+6</f>
        <v/>
      </c>
      <c r="Z2356" s="83" t="n"/>
      <c r="AB2356" s="72" t="inlineStr">
        <is>
          <t>Gaps</t>
        </is>
      </c>
      <c r="AC2356" s="72" t="inlineStr">
        <is>
          <t>Cover</t>
        </is>
      </c>
    </row>
    <row r="2357" ht="14" customHeight="1">
      <c r="A2357" t="n">
        <v>48</v>
      </c>
      <c r="B2357" s="84" t="inlineStr">
        <is>
          <t>(from Setup)</t>
        </is>
      </c>
      <c r="C2357" s="85" t="inlineStr">
        <is>
          <t>1</t>
        </is>
      </c>
      <c r="D2357" s="85" t="inlineStr">
        <is>
          <t>2</t>
        </is>
      </c>
      <c r="E2357" s="85" t="inlineStr">
        <is>
          <t>3</t>
        </is>
      </c>
      <c r="F2357" s="85" t="inlineStr">
        <is>
          <t>Notes</t>
        </is>
      </c>
      <c r="G2357" s="85" t="inlineStr">
        <is>
          <t>1</t>
        </is>
      </c>
      <c r="H2357" s="85" t="inlineStr">
        <is>
          <t>2</t>
        </is>
      </c>
      <c r="I2357" s="85" t="inlineStr">
        <is>
          <t>3</t>
        </is>
      </c>
      <c r="J2357" s="85" t="inlineStr">
        <is>
          <t>Notes</t>
        </is>
      </c>
      <c r="K2357" s="85" t="inlineStr">
        <is>
          <t>1</t>
        </is>
      </c>
      <c r="L2357" s="85" t="inlineStr">
        <is>
          <t>2</t>
        </is>
      </c>
      <c r="M2357" s="85" t="inlineStr">
        <is>
          <t>3</t>
        </is>
      </c>
      <c r="N2357" s="85" t="inlineStr">
        <is>
          <t>Notes</t>
        </is>
      </c>
      <c r="O2357" s="85" t="inlineStr">
        <is>
          <t>1</t>
        </is>
      </c>
      <c r="P2357" s="85" t="inlineStr">
        <is>
          <t>2</t>
        </is>
      </c>
      <c r="Q2357" s="85" t="inlineStr">
        <is>
          <t>3</t>
        </is>
      </c>
      <c r="R2357" s="85" t="inlineStr">
        <is>
          <t>Notes</t>
        </is>
      </c>
      <c r="S2357" s="85" t="inlineStr">
        <is>
          <t>1</t>
        </is>
      </c>
      <c r="T2357" s="85" t="inlineStr">
        <is>
          <t>2</t>
        </is>
      </c>
      <c r="U2357" s="85" t="inlineStr">
        <is>
          <t>3</t>
        </is>
      </c>
      <c r="V2357" s="85" t="inlineStr">
        <is>
          <t>Notes</t>
        </is>
      </c>
      <c r="W2357" s="85" t="inlineStr">
        <is>
          <t>Cover</t>
        </is>
      </c>
      <c r="X2357" s="85" t="inlineStr">
        <is>
          <t>Notes</t>
        </is>
      </c>
      <c r="Y2357" s="85" t="inlineStr">
        <is>
          <t>Cover</t>
        </is>
      </c>
      <c r="Z2357" s="85" t="inlineStr">
        <is>
          <t>Notes</t>
        </is>
      </c>
      <c r="AB2357" s="86" t="inlineStr">
        <is>
          <t>weekdays short</t>
        </is>
      </c>
      <c r="AC2357" s="87" t="inlineStr"/>
    </row>
    <row r="2358" ht="17" customHeight="1">
      <c r="A2358" t="n">
        <v>48</v>
      </c>
      <c r="B2358" s="24">
        <f>IF(Setup!$K$6="","",Setup!$K$6)</f>
        <v/>
      </c>
      <c r="C2358" s="88" t="n"/>
      <c r="D2358" s="88" t="n"/>
      <c r="E2358" s="88" t="n"/>
      <c r="F2358" s="89" t="n"/>
      <c r="G2358" s="88" t="n"/>
      <c r="H2358" s="88" t="n"/>
      <c r="I2358" s="88" t="n"/>
      <c r="J2358" s="89" t="n"/>
      <c r="K2358" s="88" t="n"/>
      <c r="L2358" s="88" t="n"/>
      <c r="M2358" s="88" t="n"/>
      <c r="N2358" s="89" t="n"/>
      <c r="O2358" s="88" t="n"/>
      <c r="P2358" s="88" t="n"/>
      <c r="Q2358" s="88" t="n"/>
      <c r="R2358" s="89" t="n"/>
      <c r="S2358" s="88" t="n"/>
      <c r="T2358" s="88" t="n"/>
      <c r="U2358" s="88" t="n"/>
      <c r="V2358" s="89" t="n"/>
      <c r="W2358" s="88" t="n"/>
      <c r="X2358" s="89" t="n"/>
      <c r="Y2358" s="88" t="n"/>
      <c r="Z2358" s="89" t="n"/>
      <c r="AB2358" s="25">
        <f>IF($B2358="","",(COUNTIF(C2358:E2358,"?*")&lt;N(INDEX(Setup!$L$6:$L$23,1)))+(COUNTIF(G2358:I2358,"?*")&lt;N(INDEX(Setup!$L$6:$L$23,1)))+(COUNTIF(K2358:M2358,"?*")&lt;N(INDEX(Setup!$L$6:$L$23,1)))+(COUNTIF(O2358:Q2358,"?*")&lt;N(INDEX(Setup!$L$6:$L$23,1)))+(COUNTIF(S2358:U2358,"?*")&lt;N(INDEX(Setup!$L$6:$L$23,1)))+((W2358="")*(INDEX(Setup!$M$6:$M$23,1)="Y"))+((Y2358="")*(INDEX(Setup!$M$6:$M$23,1)="Y")))</f>
        <v/>
      </c>
      <c r="AC2358" s="90">
        <f>IF($B2358="","",IF(AB2358=0,"✓ covered","⚠ "&amp;AB2358&amp;IF(AB2358=1," gap"," gaps")))</f>
        <v/>
      </c>
    </row>
    <row r="2359" ht="17" customHeight="1">
      <c r="A2359" t="n">
        <v>48</v>
      </c>
      <c r="B2359" s="29">
        <f>IF(Setup!$K$7="","",Setup!$K$7)</f>
        <v/>
      </c>
      <c r="C2359" s="88" t="n"/>
      <c r="D2359" s="88" t="n"/>
      <c r="E2359" s="88" t="n"/>
      <c r="F2359" s="89" t="n"/>
      <c r="G2359" s="88" t="n"/>
      <c r="H2359" s="88" t="n"/>
      <c r="I2359" s="88" t="n"/>
      <c r="J2359" s="89" t="n"/>
      <c r="K2359" s="88" t="n"/>
      <c r="L2359" s="88" t="n"/>
      <c r="M2359" s="88" t="n"/>
      <c r="N2359" s="89" t="n"/>
      <c r="O2359" s="88" t="n"/>
      <c r="P2359" s="88" t="n"/>
      <c r="Q2359" s="88" t="n"/>
      <c r="R2359" s="89" t="n"/>
      <c r="S2359" s="88" t="n"/>
      <c r="T2359" s="88" t="n"/>
      <c r="U2359" s="88" t="n"/>
      <c r="V2359" s="89" t="n"/>
      <c r="W2359" s="88" t="n"/>
      <c r="X2359" s="89" t="n"/>
      <c r="Y2359" s="88" t="n"/>
      <c r="Z2359" s="89" t="n"/>
      <c r="AB2359" s="30">
        <f>IF($B2359="","",(COUNTIF(C2359:E2359,"?*")&lt;N(INDEX(Setup!$L$6:$L$23,2)))+(COUNTIF(G2359:I2359,"?*")&lt;N(INDEX(Setup!$L$6:$L$23,2)))+(COUNTIF(K2359:M2359,"?*")&lt;N(INDEX(Setup!$L$6:$L$23,2)))+(COUNTIF(O2359:Q2359,"?*")&lt;N(INDEX(Setup!$L$6:$L$23,2)))+(COUNTIF(S2359:U2359,"?*")&lt;N(INDEX(Setup!$L$6:$L$23,2)))+((W2359="")*(INDEX(Setup!$M$6:$M$23,2)="Y"))+((Y2359="")*(INDEX(Setup!$M$6:$M$23,2)="Y")))</f>
        <v/>
      </c>
      <c r="AC2359" s="91">
        <f>IF($B2359="","",IF(AB2359=0,"✓ covered","⚠ "&amp;AB2359&amp;IF(AB2359=1," gap"," gaps")))</f>
        <v/>
      </c>
    </row>
    <row r="2360" ht="17" customHeight="1">
      <c r="A2360" t="n">
        <v>48</v>
      </c>
      <c r="B2360" s="24">
        <f>IF(Setup!$K$8="","",Setup!$K$8)</f>
        <v/>
      </c>
      <c r="C2360" s="88" t="n"/>
      <c r="D2360" s="88" t="n"/>
      <c r="E2360" s="88" t="n"/>
      <c r="F2360" s="89" t="n"/>
      <c r="G2360" s="88" t="n"/>
      <c r="H2360" s="88" t="n"/>
      <c r="I2360" s="88" t="n"/>
      <c r="J2360" s="89" t="n"/>
      <c r="K2360" s="88" t="n"/>
      <c r="L2360" s="88" t="n"/>
      <c r="M2360" s="88" t="n"/>
      <c r="N2360" s="89" t="n"/>
      <c r="O2360" s="88" t="n"/>
      <c r="P2360" s="88" t="n"/>
      <c r="Q2360" s="88" t="n"/>
      <c r="R2360" s="89" t="n"/>
      <c r="S2360" s="88" t="n"/>
      <c r="T2360" s="88" t="n"/>
      <c r="U2360" s="88" t="n"/>
      <c r="V2360" s="89" t="n"/>
      <c r="W2360" s="88" t="n"/>
      <c r="X2360" s="89" t="n"/>
      <c r="Y2360" s="88" t="n"/>
      <c r="Z2360" s="89" t="n"/>
      <c r="AB2360" s="25">
        <f>IF($B2360="","",(COUNTIF(C2360:E2360,"?*")&lt;N(INDEX(Setup!$L$6:$L$23,3)))+(COUNTIF(G2360:I2360,"?*")&lt;N(INDEX(Setup!$L$6:$L$23,3)))+(COUNTIF(K2360:M2360,"?*")&lt;N(INDEX(Setup!$L$6:$L$23,3)))+(COUNTIF(O2360:Q2360,"?*")&lt;N(INDEX(Setup!$L$6:$L$23,3)))+(COUNTIF(S2360:U2360,"?*")&lt;N(INDEX(Setup!$L$6:$L$23,3)))+((W2360="")*(INDEX(Setup!$M$6:$M$23,3)="Y"))+((Y2360="")*(INDEX(Setup!$M$6:$M$23,3)="Y")))</f>
        <v/>
      </c>
      <c r="AC2360" s="90">
        <f>IF($B2360="","",IF(AB2360=0,"✓ covered","⚠ "&amp;AB2360&amp;IF(AB2360=1," gap"," gaps")))</f>
        <v/>
      </c>
    </row>
    <row r="2361" ht="17" customHeight="1">
      <c r="A2361" t="n">
        <v>48</v>
      </c>
      <c r="B2361" s="29">
        <f>IF(Setup!$K$9="","",Setup!$K$9)</f>
        <v/>
      </c>
      <c r="C2361" s="88" t="n"/>
      <c r="D2361" s="88" t="n"/>
      <c r="E2361" s="88" t="n"/>
      <c r="F2361" s="89" t="n"/>
      <c r="G2361" s="88" t="n"/>
      <c r="H2361" s="88" t="n"/>
      <c r="I2361" s="88" t="n"/>
      <c r="J2361" s="89" t="n"/>
      <c r="K2361" s="88" t="n"/>
      <c r="L2361" s="88" t="n"/>
      <c r="M2361" s="88" t="n"/>
      <c r="N2361" s="89" t="n"/>
      <c r="O2361" s="88" t="n"/>
      <c r="P2361" s="88" t="n"/>
      <c r="Q2361" s="88" t="n"/>
      <c r="R2361" s="89" t="n"/>
      <c r="S2361" s="88" t="n"/>
      <c r="T2361" s="88" t="n"/>
      <c r="U2361" s="88" t="n"/>
      <c r="V2361" s="89" t="n"/>
      <c r="W2361" s="88" t="n"/>
      <c r="X2361" s="89" t="n"/>
      <c r="Y2361" s="88" t="n"/>
      <c r="Z2361" s="89" t="n"/>
      <c r="AB2361" s="30">
        <f>IF($B2361="","",(COUNTIF(C2361:E2361,"?*")&lt;N(INDEX(Setup!$L$6:$L$23,4)))+(COUNTIF(G2361:I2361,"?*")&lt;N(INDEX(Setup!$L$6:$L$23,4)))+(COUNTIF(K2361:M2361,"?*")&lt;N(INDEX(Setup!$L$6:$L$23,4)))+(COUNTIF(O2361:Q2361,"?*")&lt;N(INDEX(Setup!$L$6:$L$23,4)))+(COUNTIF(S2361:U2361,"?*")&lt;N(INDEX(Setup!$L$6:$L$23,4)))+((W2361="")*(INDEX(Setup!$M$6:$M$23,4)="Y"))+((Y2361="")*(INDEX(Setup!$M$6:$M$23,4)="Y")))</f>
        <v/>
      </c>
      <c r="AC2361" s="91">
        <f>IF($B2361="","",IF(AB2361=0,"✓ covered","⚠ "&amp;AB2361&amp;IF(AB2361=1," gap"," gaps")))</f>
        <v/>
      </c>
    </row>
    <row r="2362" ht="17" customHeight="1">
      <c r="A2362" t="n">
        <v>48</v>
      </c>
      <c r="B2362" s="24">
        <f>IF(Setup!$K$10="","",Setup!$K$10)</f>
        <v/>
      </c>
      <c r="C2362" s="88" t="n"/>
      <c r="D2362" s="88" t="n"/>
      <c r="E2362" s="88" t="n"/>
      <c r="F2362" s="89" t="n"/>
      <c r="G2362" s="88" t="n"/>
      <c r="H2362" s="88" t="n"/>
      <c r="I2362" s="88" t="n"/>
      <c r="J2362" s="89" t="n"/>
      <c r="K2362" s="88" t="n"/>
      <c r="L2362" s="88" t="n"/>
      <c r="M2362" s="88" t="n"/>
      <c r="N2362" s="89" t="n"/>
      <c r="O2362" s="88" t="n"/>
      <c r="P2362" s="88" t="n"/>
      <c r="Q2362" s="88" t="n"/>
      <c r="R2362" s="89" t="n"/>
      <c r="S2362" s="88" t="n"/>
      <c r="T2362" s="88" t="n"/>
      <c r="U2362" s="88" t="n"/>
      <c r="V2362" s="89" t="n"/>
      <c r="W2362" s="88" t="n"/>
      <c r="X2362" s="89" t="n"/>
      <c r="Y2362" s="88" t="n"/>
      <c r="Z2362" s="89" t="n"/>
      <c r="AB2362" s="25">
        <f>IF($B2362="","",(COUNTIF(C2362:E2362,"?*")&lt;N(INDEX(Setup!$L$6:$L$23,5)))+(COUNTIF(G2362:I2362,"?*")&lt;N(INDEX(Setup!$L$6:$L$23,5)))+(COUNTIF(K2362:M2362,"?*")&lt;N(INDEX(Setup!$L$6:$L$23,5)))+(COUNTIF(O2362:Q2362,"?*")&lt;N(INDEX(Setup!$L$6:$L$23,5)))+(COUNTIF(S2362:U2362,"?*")&lt;N(INDEX(Setup!$L$6:$L$23,5)))+((W2362="")*(INDEX(Setup!$M$6:$M$23,5)="Y"))+((Y2362="")*(INDEX(Setup!$M$6:$M$23,5)="Y")))</f>
        <v/>
      </c>
      <c r="AC2362" s="90">
        <f>IF($B2362="","",IF(AB2362=0,"✓ covered","⚠ "&amp;AB2362&amp;IF(AB2362=1," gap"," gaps")))</f>
        <v/>
      </c>
    </row>
    <row r="2363" ht="17" customHeight="1">
      <c r="A2363" t="n">
        <v>48</v>
      </c>
      <c r="B2363" s="29">
        <f>IF(Setup!$K$11="","",Setup!$K$11)</f>
        <v/>
      </c>
      <c r="C2363" s="88" t="n"/>
      <c r="D2363" s="88" t="n"/>
      <c r="E2363" s="88" t="n"/>
      <c r="F2363" s="89" t="n"/>
      <c r="G2363" s="88" t="n"/>
      <c r="H2363" s="88" t="n"/>
      <c r="I2363" s="88" t="n"/>
      <c r="J2363" s="89" t="n"/>
      <c r="K2363" s="88" t="n"/>
      <c r="L2363" s="88" t="n"/>
      <c r="M2363" s="88" t="n"/>
      <c r="N2363" s="89" t="n"/>
      <c r="O2363" s="88" t="n"/>
      <c r="P2363" s="88" t="n"/>
      <c r="Q2363" s="88" t="n"/>
      <c r="R2363" s="89" t="n"/>
      <c r="S2363" s="88" t="n"/>
      <c r="T2363" s="88" t="n"/>
      <c r="U2363" s="88" t="n"/>
      <c r="V2363" s="89" t="n"/>
      <c r="W2363" s="88" t="n"/>
      <c r="X2363" s="89" t="n"/>
      <c r="Y2363" s="88" t="n"/>
      <c r="Z2363" s="89" t="n"/>
      <c r="AB2363" s="30">
        <f>IF($B2363="","",(COUNTIF(C2363:E2363,"?*")&lt;N(INDEX(Setup!$L$6:$L$23,6)))+(COUNTIF(G2363:I2363,"?*")&lt;N(INDEX(Setup!$L$6:$L$23,6)))+(COUNTIF(K2363:M2363,"?*")&lt;N(INDEX(Setup!$L$6:$L$23,6)))+(COUNTIF(O2363:Q2363,"?*")&lt;N(INDEX(Setup!$L$6:$L$23,6)))+(COUNTIF(S2363:U2363,"?*")&lt;N(INDEX(Setup!$L$6:$L$23,6)))+((W2363="")*(INDEX(Setup!$M$6:$M$23,6)="Y"))+((Y2363="")*(INDEX(Setup!$M$6:$M$23,6)="Y")))</f>
        <v/>
      </c>
      <c r="AC2363" s="91">
        <f>IF($B2363="","",IF(AB2363=0,"✓ covered","⚠ "&amp;AB2363&amp;IF(AB2363=1," gap"," gaps")))</f>
        <v/>
      </c>
    </row>
    <row r="2364" ht="17" customHeight="1">
      <c r="A2364" t="n">
        <v>48</v>
      </c>
      <c r="B2364" s="24">
        <f>IF(Setup!$K$12="","",Setup!$K$12)</f>
        <v/>
      </c>
      <c r="C2364" s="88" t="n"/>
      <c r="D2364" s="88" t="n"/>
      <c r="E2364" s="88" t="n"/>
      <c r="F2364" s="89" t="n"/>
      <c r="G2364" s="88" t="n"/>
      <c r="H2364" s="88" t="n"/>
      <c r="I2364" s="88" t="n"/>
      <c r="J2364" s="89" t="n"/>
      <c r="K2364" s="88" t="n"/>
      <c r="L2364" s="88" t="n"/>
      <c r="M2364" s="88" t="n"/>
      <c r="N2364" s="89" t="n"/>
      <c r="O2364" s="88" t="n"/>
      <c r="P2364" s="88" t="n"/>
      <c r="Q2364" s="88" t="n"/>
      <c r="R2364" s="89" t="n"/>
      <c r="S2364" s="88" t="n"/>
      <c r="T2364" s="88" t="n"/>
      <c r="U2364" s="88" t="n"/>
      <c r="V2364" s="89" t="n"/>
      <c r="W2364" s="88" t="n"/>
      <c r="X2364" s="89" t="n"/>
      <c r="Y2364" s="88" t="n"/>
      <c r="Z2364" s="89" t="n"/>
      <c r="AB2364" s="25">
        <f>IF($B2364="","",(COUNTIF(C2364:E2364,"?*")&lt;N(INDEX(Setup!$L$6:$L$23,7)))+(COUNTIF(G2364:I2364,"?*")&lt;N(INDEX(Setup!$L$6:$L$23,7)))+(COUNTIF(K2364:M2364,"?*")&lt;N(INDEX(Setup!$L$6:$L$23,7)))+(COUNTIF(O2364:Q2364,"?*")&lt;N(INDEX(Setup!$L$6:$L$23,7)))+(COUNTIF(S2364:U2364,"?*")&lt;N(INDEX(Setup!$L$6:$L$23,7)))+((W2364="")*(INDEX(Setup!$M$6:$M$23,7)="Y"))+((Y2364="")*(INDEX(Setup!$M$6:$M$23,7)="Y")))</f>
        <v/>
      </c>
      <c r="AC2364" s="90">
        <f>IF($B2364="","",IF(AB2364=0,"✓ covered","⚠ "&amp;AB2364&amp;IF(AB2364=1," gap"," gaps")))</f>
        <v/>
      </c>
    </row>
    <row r="2365" ht="17" customHeight="1">
      <c r="A2365" t="n">
        <v>48</v>
      </c>
      <c r="B2365" s="29">
        <f>IF(Setup!$K$13="","",Setup!$K$13)</f>
        <v/>
      </c>
      <c r="C2365" s="88" t="n"/>
      <c r="D2365" s="88" t="n"/>
      <c r="E2365" s="88" t="n"/>
      <c r="F2365" s="89" t="n"/>
      <c r="G2365" s="88" t="n"/>
      <c r="H2365" s="88" t="n"/>
      <c r="I2365" s="88" t="n"/>
      <c r="J2365" s="89" t="n"/>
      <c r="K2365" s="88" t="n"/>
      <c r="L2365" s="88" t="n"/>
      <c r="M2365" s="88" t="n"/>
      <c r="N2365" s="89" t="n"/>
      <c r="O2365" s="88" t="n"/>
      <c r="P2365" s="88" t="n"/>
      <c r="Q2365" s="88" t="n"/>
      <c r="R2365" s="89" t="n"/>
      <c r="S2365" s="88" t="n"/>
      <c r="T2365" s="88" t="n"/>
      <c r="U2365" s="88" t="n"/>
      <c r="V2365" s="89" t="n"/>
      <c r="W2365" s="88" t="n"/>
      <c r="X2365" s="89" t="n"/>
      <c r="Y2365" s="88" t="n"/>
      <c r="Z2365" s="89" t="n"/>
      <c r="AB2365" s="30">
        <f>IF($B2365="","",(COUNTIF(C2365:E2365,"?*")&lt;N(INDEX(Setup!$L$6:$L$23,8)))+(COUNTIF(G2365:I2365,"?*")&lt;N(INDEX(Setup!$L$6:$L$23,8)))+(COUNTIF(K2365:M2365,"?*")&lt;N(INDEX(Setup!$L$6:$L$23,8)))+(COUNTIF(O2365:Q2365,"?*")&lt;N(INDEX(Setup!$L$6:$L$23,8)))+(COUNTIF(S2365:U2365,"?*")&lt;N(INDEX(Setup!$L$6:$L$23,8)))+((W2365="")*(INDEX(Setup!$M$6:$M$23,8)="Y"))+((Y2365="")*(INDEX(Setup!$M$6:$M$23,8)="Y")))</f>
        <v/>
      </c>
      <c r="AC2365" s="91">
        <f>IF($B2365="","",IF(AB2365=0,"✓ covered","⚠ "&amp;AB2365&amp;IF(AB2365=1," gap"," gaps")))</f>
        <v/>
      </c>
    </row>
    <row r="2366" ht="17" customHeight="1">
      <c r="A2366" t="n">
        <v>48</v>
      </c>
      <c r="B2366" s="24">
        <f>IF(Setup!$K$14="","",Setup!$K$14)</f>
        <v/>
      </c>
      <c r="C2366" s="88" t="n"/>
      <c r="D2366" s="88" t="n"/>
      <c r="E2366" s="88" t="n"/>
      <c r="F2366" s="89" t="n"/>
      <c r="G2366" s="88" t="n"/>
      <c r="H2366" s="88" t="n"/>
      <c r="I2366" s="88" t="n"/>
      <c r="J2366" s="89" t="n"/>
      <c r="K2366" s="88" t="n"/>
      <c r="L2366" s="88" t="n"/>
      <c r="M2366" s="88" t="n"/>
      <c r="N2366" s="89" t="n"/>
      <c r="O2366" s="88" t="n"/>
      <c r="P2366" s="88" t="n"/>
      <c r="Q2366" s="88" t="n"/>
      <c r="R2366" s="89" t="n"/>
      <c r="S2366" s="88" t="n"/>
      <c r="T2366" s="88" t="n"/>
      <c r="U2366" s="88" t="n"/>
      <c r="V2366" s="89" t="n"/>
      <c r="W2366" s="88" t="n"/>
      <c r="X2366" s="89" t="n"/>
      <c r="Y2366" s="88" t="n"/>
      <c r="Z2366" s="89" t="n"/>
      <c r="AB2366" s="25">
        <f>IF($B2366="","",(COUNTIF(C2366:E2366,"?*")&lt;N(INDEX(Setup!$L$6:$L$23,9)))+(COUNTIF(G2366:I2366,"?*")&lt;N(INDEX(Setup!$L$6:$L$23,9)))+(COUNTIF(K2366:M2366,"?*")&lt;N(INDEX(Setup!$L$6:$L$23,9)))+(COUNTIF(O2366:Q2366,"?*")&lt;N(INDEX(Setup!$L$6:$L$23,9)))+(COUNTIF(S2366:U2366,"?*")&lt;N(INDEX(Setup!$L$6:$L$23,9)))+((W2366="")*(INDEX(Setup!$M$6:$M$23,9)="Y"))+((Y2366="")*(INDEX(Setup!$M$6:$M$23,9)="Y")))</f>
        <v/>
      </c>
      <c r="AC2366" s="90">
        <f>IF($B2366="","",IF(AB2366=0,"✓ covered","⚠ "&amp;AB2366&amp;IF(AB2366=1," gap"," gaps")))</f>
        <v/>
      </c>
    </row>
    <row r="2367" ht="17" customHeight="1">
      <c r="A2367" t="n">
        <v>48</v>
      </c>
      <c r="B2367" s="29">
        <f>IF(Setup!$K$15="","",Setup!$K$15)</f>
        <v/>
      </c>
      <c r="C2367" s="88" t="n"/>
      <c r="D2367" s="88" t="n"/>
      <c r="E2367" s="88" t="n"/>
      <c r="F2367" s="89" t="n"/>
      <c r="G2367" s="88" t="n"/>
      <c r="H2367" s="88" t="n"/>
      <c r="I2367" s="88" t="n"/>
      <c r="J2367" s="89" t="n"/>
      <c r="K2367" s="88" t="n"/>
      <c r="L2367" s="88" t="n"/>
      <c r="M2367" s="88" t="n"/>
      <c r="N2367" s="89" t="n"/>
      <c r="O2367" s="88" t="n"/>
      <c r="P2367" s="88" t="n"/>
      <c r="Q2367" s="88" t="n"/>
      <c r="R2367" s="89" t="n"/>
      <c r="S2367" s="88" t="n"/>
      <c r="T2367" s="88" t="n"/>
      <c r="U2367" s="88" t="n"/>
      <c r="V2367" s="89" t="n"/>
      <c r="W2367" s="88" t="n"/>
      <c r="X2367" s="89" t="n"/>
      <c r="Y2367" s="88" t="n"/>
      <c r="Z2367" s="89" t="n"/>
      <c r="AB2367" s="30">
        <f>IF($B2367="","",(COUNTIF(C2367:E2367,"?*")&lt;N(INDEX(Setup!$L$6:$L$23,10)))+(COUNTIF(G2367:I2367,"?*")&lt;N(INDEX(Setup!$L$6:$L$23,10)))+(COUNTIF(K2367:M2367,"?*")&lt;N(INDEX(Setup!$L$6:$L$23,10)))+(COUNTIF(O2367:Q2367,"?*")&lt;N(INDEX(Setup!$L$6:$L$23,10)))+(COUNTIF(S2367:U2367,"?*")&lt;N(INDEX(Setup!$L$6:$L$23,10)))+((W2367="")*(INDEX(Setup!$M$6:$M$23,10)="Y"))+((Y2367="")*(INDEX(Setup!$M$6:$M$23,10)="Y")))</f>
        <v/>
      </c>
      <c r="AC2367" s="91">
        <f>IF($B2367="","",IF(AB2367=0,"✓ covered","⚠ "&amp;AB2367&amp;IF(AB2367=1," gap"," gaps")))</f>
        <v/>
      </c>
    </row>
    <row r="2368" ht="17" customHeight="1">
      <c r="A2368" t="n">
        <v>48</v>
      </c>
      <c r="B2368" s="24">
        <f>IF(Setup!$K$16="","",Setup!$K$16)</f>
        <v/>
      </c>
      <c r="C2368" s="88" t="n"/>
      <c r="D2368" s="88" t="n"/>
      <c r="E2368" s="88" t="n"/>
      <c r="F2368" s="89" t="n"/>
      <c r="G2368" s="88" t="n"/>
      <c r="H2368" s="88" t="n"/>
      <c r="I2368" s="88" t="n"/>
      <c r="J2368" s="89" t="n"/>
      <c r="K2368" s="88" t="n"/>
      <c r="L2368" s="88" t="n"/>
      <c r="M2368" s="88" t="n"/>
      <c r="N2368" s="89" t="n"/>
      <c r="O2368" s="88" t="n"/>
      <c r="P2368" s="88" t="n"/>
      <c r="Q2368" s="88" t="n"/>
      <c r="R2368" s="89" t="n"/>
      <c r="S2368" s="88" t="n"/>
      <c r="T2368" s="88" t="n"/>
      <c r="U2368" s="88" t="n"/>
      <c r="V2368" s="89" t="n"/>
      <c r="W2368" s="88" t="n"/>
      <c r="X2368" s="89" t="n"/>
      <c r="Y2368" s="88" t="n"/>
      <c r="Z2368" s="89" t="n"/>
      <c r="AB2368" s="25">
        <f>IF($B2368="","",(COUNTIF(C2368:E2368,"?*")&lt;N(INDEX(Setup!$L$6:$L$23,11)))+(COUNTIF(G2368:I2368,"?*")&lt;N(INDEX(Setup!$L$6:$L$23,11)))+(COUNTIF(K2368:M2368,"?*")&lt;N(INDEX(Setup!$L$6:$L$23,11)))+(COUNTIF(O2368:Q2368,"?*")&lt;N(INDEX(Setup!$L$6:$L$23,11)))+(COUNTIF(S2368:U2368,"?*")&lt;N(INDEX(Setup!$L$6:$L$23,11)))+((W2368="")*(INDEX(Setup!$M$6:$M$23,11)="Y"))+((Y2368="")*(INDEX(Setup!$M$6:$M$23,11)="Y")))</f>
        <v/>
      </c>
      <c r="AC2368" s="90">
        <f>IF($B2368="","",IF(AB2368=0,"✓ covered","⚠ "&amp;AB2368&amp;IF(AB2368=1," gap"," gaps")))</f>
        <v/>
      </c>
    </row>
    <row r="2369" ht="17" customHeight="1">
      <c r="A2369" t="n">
        <v>48</v>
      </c>
      <c r="B2369" s="29">
        <f>IF(Setup!$K$17="","",Setup!$K$17)</f>
        <v/>
      </c>
      <c r="C2369" s="88" t="n"/>
      <c r="D2369" s="88" t="n"/>
      <c r="E2369" s="88" t="n"/>
      <c r="F2369" s="89" t="n"/>
      <c r="G2369" s="88" t="n"/>
      <c r="H2369" s="88" t="n"/>
      <c r="I2369" s="88" t="n"/>
      <c r="J2369" s="89" t="n"/>
      <c r="K2369" s="88" t="n"/>
      <c r="L2369" s="88" t="n"/>
      <c r="M2369" s="88" t="n"/>
      <c r="N2369" s="89" t="n"/>
      <c r="O2369" s="88" t="n"/>
      <c r="P2369" s="88" t="n"/>
      <c r="Q2369" s="88" t="n"/>
      <c r="R2369" s="89" t="n"/>
      <c r="S2369" s="88" t="n"/>
      <c r="T2369" s="88" t="n"/>
      <c r="U2369" s="88" t="n"/>
      <c r="V2369" s="89" t="n"/>
      <c r="W2369" s="88" t="n"/>
      <c r="X2369" s="89" t="n"/>
      <c r="Y2369" s="88" t="n"/>
      <c r="Z2369" s="89" t="n"/>
      <c r="AB2369" s="30">
        <f>IF($B2369="","",(COUNTIF(C2369:E2369,"?*")&lt;N(INDEX(Setup!$L$6:$L$23,12)))+(COUNTIF(G2369:I2369,"?*")&lt;N(INDEX(Setup!$L$6:$L$23,12)))+(COUNTIF(K2369:M2369,"?*")&lt;N(INDEX(Setup!$L$6:$L$23,12)))+(COUNTIF(O2369:Q2369,"?*")&lt;N(INDEX(Setup!$L$6:$L$23,12)))+(COUNTIF(S2369:U2369,"?*")&lt;N(INDEX(Setup!$L$6:$L$23,12)))+((W2369="")*(INDEX(Setup!$M$6:$M$23,12)="Y"))+((Y2369="")*(INDEX(Setup!$M$6:$M$23,12)="Y")))</f>
        <v/>
      </c>
      <c r="AC2369" s="91">
        <f>IF($B2369="","",IF(AB2369=0,"✓ covered","⚠ "&amp;AB2369&amp;IF(AB2369=1," gap"," gaps")))</f>
        <v/>
      </c>
    </row>
    <row r="2370" ht="17" customHeight="1">
      <c r="A2370" t="n">
        <v>48</v>
      </c>
      <c r="B2370" s="24">
        <f>IF(Setup!$K$18="","",Setup!$K$18)</f>
        <v/>
      </c>
      <c r="C2370" s="88" t="n"/>
      <c r="D2370" s="88" t="n"/>
      <c r="E2370" s="88" t="n"/>
      <c r="F2370" s="89" t="n"/>
      <c r="G2370" s="88" t="n"/>
      <c r="H2370" s="88" t="n"/>
      <c r="I2370" s="88" t="n"/>
      <c r="J2370" s="89" t="n"/>
      <c r="K2370" s="88" t="n"/>
      <c r="L2370" s="88" t="n"/>
      <c r="M2370" s="88" t="n"/>
      <c r="N2370" s="89" t="n"/>
      <c r="O2370" s="88" t="n"/>
      <c r="P2370" s="88" t="n"/>
      <c r="Q2370" s="88" t="n"/>
      <c r="R2370" s="89" t="n"/>
      <c r="S2370" s="88" t="n"/>
      <c r="T2370" s="88" t="n"/>
      <c r="U2370" s="88" t="n"/>
      <c r="V2370" s="89" t="n"/>
      <c r="W2370" s="88" t="n"/>
      <c r="X2370" s="89" t="n"/>
      <c r="Y2370" s="88" t="n"/>
      <c r="Z2370" s="89" t="n"/>
      <c r="AB2370" s="25">
        <f>IF($B2370="","",(COUNTIF(C2370:E2370,"?*")&lt;N(INDEX(Setup!$L$6:$L$23,13)))+(COUNTIF(G2370:I2370,"?*")&lt;N(INDEX(Setup!$L$6:$L$23,13)))+(COUNTIF(K2370:M2370,"?*")&lt;N(INDEX(Setup!$L$6:$L$23,13)))+(COUNTIF(O2370:Q2370,"?*")&lt;N(INDEX(Setup!$L$6:$L$23,13)))+(COUNTIF(S2370:U2370,"?*")&lt;N(INDEX(Setup!$L$6:$L$23,13)))+((W2370="")*(INDEX(Setup!$M$6:$M$23,13)="Y"))+((Y2370="")*(INDEX(Setup!$M$6:$M$23,13)="Y")))</f>
        <v/>
      </c>
      <c r="AC2370" s="90">
        <f>IF($B2370="","",IF(AB2370=0,"✓ covered","⚠ "&amp;AB2370&amp;IF(AB2370=1," gap"," gaps")))</f>
        <v/>
      </c>
    </row>
    <row r="2371" ht="17" customHeight="1">
      <c r="A2371" t="n">
        <v>48</v>
      </c>
      <c r="B2371" s="29">
        <f>IF(Setup!$K$19="","",Setup!$K$19)</f>
        <v/>
      </c>
      <c r="C2371" s="88" t="n"/>
      <c r="D2371" s="88" t="n"/>
      <c r="E2371" s="88" t="n"/>
      <c r="F2371" s="89" t="n"/>
      <c r="G2371" s="88" t="n"/>
      <c r="H2371" s="88" t="n"/>
      <c r="I2371" s="88" t="n"/>
      <c r="J2371" s="89" t="n"/>
      <c r="K2371" s="88" t="n"/>
      <c r="L2371" s="88" t="n"/>
      <c r="M2371" s="88" t="n"/>
      <c r="N2371" s="89" t="n"/>
      <c r="O2371" s="88" t="n"/>
      <c r="P2371" s="88" t="n"/>
      <c r="Q2371" s="88" t="n"/>
      <c r="R2371" s="89" t="n"/>
      <c r="S2371" s="88" t="n"/>
      <c r="T2371" s="88" t="n"/>
      <c r="U2371" s="88" t="n"/>
      <c r="V2371" s="89" t="n"/>
      <c r="W2371" s="88" t="n"/>
      <c r="X2371" s="89" t="n"/>
      <c r="Y2371" s="88" t="n"/>
      <c r="Z2371" s="89" t="n"/>
      <c r="AB2371" s="30">
        <f>IF($B2371="","",(COUNTIF(C2371:E2371,"?*")&lt;N(INDEX(Setup!$L$6:$L$23,14)))+(COUNTIF(G2371:I2371,"?*")&lt;N(INDEX(Setup!$L$6:$L$23,14)))+(COUNTIF(K2371:M2371,"?*")&lt;N(INDEX(Setup!$L$6:$L$23,14)))+(COUNTIF(O2371:Q2371,"?*")&lt;N(INDEX(Setup!$L$6:$L$23,14)))+(COUNTIF(S2371:U2371,"?*")&lt;N(INDEX(Setup!$L$6:$L$23,14)))+((W2371="")*(INDEX(Setup!$M$6:$M$23,14)="Y"))+((Y2371="")*(INDEX(Setup!$M$6:$M$23,14)="Y")))</f>
        <v/>
      </c>
      <c r="AC2371" s="91">
        <f>IF($B2371="","",IF(AB2371=0,"✓ covered","⚠ "&amp;AB2371&amp;IF(AB2371=1," gap"," gaps")))</f>
        <v/>
      </c>
    </row>
    <row r="2372" ht="17" customHeight="1">
      <c r="A2372" t="n">
        <v>48</v>
      </c>
      <c r="B2372" s="24">
        <f>IF(Setup!$K$20="","",Setup!$K$20)</f>
        <v/>
      </c>
      <c r="C2372" s="88" t="n"/>
      <c r="D2372" s="88" t="n"/>
      <c r="E2372" s="88" t="n"/>
      <c r="F2372" s="89" t="n"/>
      <c r="G2372" s="88" t="n"/>
      <c r="H2372" s="88" t="n"/>
      <c r="I2372" s="88" t="n"/>
      <c r="J2372" s="89" t="n"/>
      <c r="K2372" s="88" t="n"/>
      <c r="L2372" s="88" t="n"/>
      <c r="M2372" s="88" t="n"/>
      <c r="N2372" s="89" t="n"/>
      <c r="O2372" s="88" t="n"/>
      <c r="P2372" s="88" t="n"/>
      <c r="Q2372" s="88" t="n"/>
      <c r="R2372" s="89" t="n"/>
      <c r="S2372" s="88" t="n"/>
      <c r="T2372" s="88" t="n"/>
      <c r="U2372" s="88" t="n"/>
      <c r="V2372" s="89" t="n"/>
      <c r="W2372" s="88" t="n"/>
      <c r="X2372" s="89" t="n"/>
      <c r="Y2372" s="88" t="n"/>
      <c r="Z2372" s="89" t="n"/>
      <c r="AB2372" s="25">
        <f>IF($B2372="","",(COUNTIF(C2372:E2372,"?*")&lt;N(INDEX(Setup!$L$6:$L$23,15)))+(COUNTIF(G2372:I2372,"?*")&lt;N(INDEX(Setup!$L$6:$L$23,15)))+(COUNTIF(K2372:M2372,"?*")&lt;N(INDEX(Setup!$L$6:$L$23,15)))+(COUNTIF(O2372:Q2372,"?*")&lt;N(INDEX(Setup!$L$6:$L$23,15)))+(COUNTIF(S2372:U2372,"?*")&lt;N(INDEX(Setup!$L$6:$L$23,15)))+((W2372="")*(INDEX(Setup!$M$6:$M$23,15)="Y"))+((Y2372="")*(INDEX(Setup!$M$6:$M$23,15)="Y")))</f>
        <v/>
      </c>
      <c r="AC2372" s="90">
        <f>IF($B2372="","",IF(AB2372=0,"✓ covered","⚠ "&amp;AB2372&amp;IF(AB2372=1," gap"," gaps")))</f>
        <v/>
      </c>
    </row>
    <row r="2373" ht="17" customHeight="1">
      <c r="A2373" t="n">
        <v>48</v>
      </c>
      <c r="B2373" s="29">
        <f>IF(Setup!$K$21="","",Setup!$K$21)</f>
        <v/>
      </c>
      <c r="C2373" s="88" t="n"/>
      <c r="D2373" s="88" t="n"/>
      <c r="E2373" s="88" t="n"/>
      <c r="F2373" s="89" t="n"/>
      <c r="G2373" s="88" t="n"/>
      <c r="H2373" s="88" t="n"/>
      <c r="I2373" s="88" t="n"/>
      <c r="J2373" s="89" t="n"/>
      <c r="K2373" s="88" t="n"/>
      <c r="L2373" s="88" t="n"/>
      <c r="M2373" s="88" t="n"/>
      <c r="N2373" s="89" t="n"/>
      <c r="O2373" s="88" t="n"/>
      <c r="P2373" s="88" t="n"/>
      <c r="Q2373" s="88" t="n"/>
      <c r="R2373" s="89" t="n"/>
      <c r="S2373" s="88" t="n"/>
      <c r="T2373" s="88" t="n"/>
      <c r="U2373" s="88" t="n"/>
      <c r="V2373" s="89" t="n"/>
      <c r="W2373" s="88" t="n"/>
      <c r="X2373" s="89" t="n"/>
      <c r="Y2373" s="88" t="n"/>
      <c r="Z2373" s="89" t="n"/>
      <c r="AB2373" s="30">
        <f>IF($B2373="","",(COUNTIF(C2373:E2373,"?*")&lt;N(INDEX(Setup!$L$6:$L$23,16)))+(COUNTIF(G2373:I2373,"?*")&lt;N(INDEX(Setup!$L$6:$L$23,16)))+(COUNTIF(K2373:M2373,"?*")&lt;N(INDEX(Setup!$L$6:$L$23,16)))+(COUNTIF(O2373:Q2373,"?*")&lt;N(INDEX(Setup!$L$6:$L$23,16)))+(COUNTIF(S2373:U2373,"?*")&lt;N(INDEX(Setup!$L$6:$L$23,16)))+((W2373="")*(INDEX(Setup!$M$6:$M$23,16)="Y"))+((Y2373="")*(INDEX(Setup!$M$6:$M$23,16)="Y")))</f>
        <v/>
      </c>
      <c r="AC2373" s="91">
        <f>IF($B2373="","",IF(AB2373=0,"✓ covered","⚠ "&amp;AB2373&amp;IF(AB2373=1," gap"," gaps")))</f>
        <v/>
      </c>
    </row>
    <row r="2374" ht="17" customHeight="1">
      <c r="A2374" t="n">
        <v>48</v>
      </c>
      <c r="B2374" s="24">
        <f>IF(Setup!$K$22="","",Setup!$K$22)</f>
        <v/>
      </c>
      <c r="C2374" s="88" t="n"/>
      <c r="D2374" s="88" t="n"/>
      <c r="E2374" s="88" t="n"/>
      <c r="F2374" s="89" t="n"/>
      <c r="G2374" s="88" t="n"/>
      <c r="H2374" s="88" t="n"/>
      <c r="I2374" s="88" t="n"/>
      <c r="J2374" s="89" t="n"/>
      <c r="K2374" s="88" t="n"/>
      <c r="L2374" s="88" t="n"/>
      <c r="M2374" s="88" t="n"/>
      <c r="N2374" s="89" t="n"/>
      <c r="O2374" s="88" t="n"/>
      <c r="P2374" s="88" t="n"/>
      <c r="Q2374" s="88" t="n"/>
      <c r="R2374" s="89" t="n"/>
      <c r="S2374" s="88" t="n"/>
      <c r="T2374" s="88" t="n"/>
      <c r="U2374" s="88" t="n"/>
      <c r="V2374" s="89" t="n"/>
      <c r="W2374" s="88" t="n"/>
      <c r="X2374" s="89" t="n"/>
      <c r="Y2374" s="88" t="n"/>
      <c r="Z2374" s="89" t="n"/>
      <c r="AB2374" s="25">
        <f>IF($B2374="","",(COUNTIF(C2374:E2374,"?*")&lt;N(INDEX(Setup!$L$6:$L$23,17)))+(COUNTIF(G2374:I2374,"?*")&lt;N(INDEX(Setup!$L$6:$L$23,17)))+(COUNTIF(K2374:M2374,"?*")&lt;N(INDEX(Setup!$L$6:$L$23,17)))+(COUNTIF(O2374:Q2374,"?*")&lt;N(INDEX(Setup!$L$6:$L$23,17)))+(COUNTIF(S2374:U2374,"?*")&lt;N(INDEX(Setup!$L$6:$L$23,17)))+((W2374="")*(INDEX(Setup!$M$6:$M$23,17)="Y"))+((Y2374="")*(INDEX(Setup!$M$6:$M$23,17)="Y")))</f>
        <v/>
      </c>
      <c r="AC2374" s="90">
        <f>IF($B2374="","",IF(AB2374=0,"✓ covered","⚠ "&amp;AB2374&amp;IF(AB2374=1," gap"," gaps")))</f>
        <v/>
      </c>
    </row>
    <row r="2375" ht="17" customHeight="1">
      <c r="A2375" t="n">
        <v>48</v>
      </c>
      <c r="B2375" s="29">
        <f>IF(Setup!$K$23="","",Setup!$K$23)</f>
        <v/>
      </c>
      <c r="C2375" s="88" t="n"/>
      <c r="D2375" s="88" t="n"/>
      <c r="E2375" s="88" t="n"/>
      <c r="F2375" s="89" t="n"/>
      <c r="G2375" s="88" t="n"/>
      <c r="H2375" s="88" t="n"/>
      <c r="I2375" s="88" t="n"/>
      <c r="J2375" s="89" t="n"/>
      <c r="K2375" s="88" t="n"/>
      <c r="L2375" s="88" t="n"/>
      <c r="M2375" s="88" t="n"/>
      <c r="N2375" s="89" t="n"/>
      <c r="O2375" s="88" t="n"/>
      <c r="P2375" s="88" t="n"/>
      <c r="Q2375" s="88" t="n"/>
      <c r="R2375" s="89" t="n"/>
      <c r="S2375" s="88" t="n"/>
      <c r="T2375" s="88" t="n"/>
      <c r="U2375" s="88" t="n"/>
      <c r="V2375" s="89" t="n"/>
      <c r="W2375" s="88" t="n"/>
      <c r="X2375" s="89" t="n"/>
      <c r="Y2375" s="88" t="n"/>
      <c r="Z2375" s="89" t="n"/>
      <c r="AB2375" s="30">
        <f>IF($B2375="","",(COUNTIF(C2375:E2375,"?*")&lt;N(INDEX(Setup!$L$6:$L$23,18)))+(COUNTIF(G2375:I2375,"?*")&lt;N(INDEX(Setup!$L$6:$L$23,18)))+(COUNTIF(K2375:M2375,"?*")&lt;N(INDEX(Setup!$L$6:$L$23,18)))+(COUNTIF(O2375:Q2375,"?*")&lt;N(INDEX(Setup!$L$6:$L$23,18)))+(COUNTIF(S2375:U2375,"?*")&lt;N(INDEX(Setup!$L$6:$L$23,18)))+((W2375="")*(INDEX(Setup!$M$6:$M$23,18)="Y"))+((Y2375="")*(INDEX(Setup!$M$6:$M$23,18)="Y")))</f>
        <v/>
      </c>
      <c r="AC2375" s="91">
        <f>IF($B2375="","",IF(AB2375=0,"✓ covered","⚠ "&amp;AB2375&amp;IF(AB2375=1," gap"," gaps")))</f>
        <v/>
      </c>
    </row>
    <row r="2376" ht="18" customHeight="1">
      <c r="A2376" t="n">
        <v>48</v>
      </c>
      <c r="B2376" s="78" t="inlineStr">
        <is>
          <t>TEAM AVAILABILITY</t>
        </is>
      </c>
      <c r="C2376" s="92" t="inlineStr">
        <is>
          <t>Mon</t>
        </is>
      </c>
      <c r="D2376" s="93" t="n"/>
      <c r="E2376" s="93" t="n"/>
      <c r="F2376" s="94" t="n"/>
      <c r="G2376" s="92" t="inlineStr">
        <is>
          <t>Tue</t>
        </is>
      </c>
      <c r="H2376" s="93" t="n"/>
      <c r="I2376" s="93" t="n"/>
      <c r="J2376" s="94" t="n"/>
      <c r="K2376" s="92" t="inlineStr">
        <is>
          <t>Wed</t>
        </is>
      </c>
      <c r="L2376" s="93" t="n"/>
      <c r="M2376" s="93" t="n"/>
      <c r="N2376" s="94" t="n"/>
      <c r="O2376" s="92" t="inlineStr">
        <is>
          <t>Thu</t>
        </is>
      </c>
      <c r="P2376" s="93" t="n"/>
      <c r="Q2376" s="93" t="n"/>
      <c r="R2376" s="94" t="n"/>
      <c r="S2376" s="92" t="inlineStr">
        <is>
          <t>Fri</t>
        </is>
      </c>
      <c r="T2376" s="93" t="n"/>
      <c r="U2376" s="93" t="n"/>
      <c r="V2376" s="94" t="n"/>
      <c r="W2376" s="95" t="inlineStr">
        <is>
          <t>Sat</t>
        </is>
      </c>
      <c r="X2376" s="96" t="n"/>
      <c r="Y2376" s="95" t="inlineStr">
        <is>
          <t>Sun</t>
        </is>
      </c>
      <c r="Z2376" s="96" t="n"/>
      <c r="AB2376" s="97" t="inlineStr">
        <is>
          <t>Days rostered</t>
        </is>
      </c>
      <c r="AC2376" s="97" t="inlineStr">
        <is>
          <t>Conflicts</t>
        </is>
      </c>
    </row>
    <row r="2377" ht="15" customHeight="1">
      <c r="A2377" t="n">
        <v>48</v>
      </c>
      <c r="B2377" s="35">
        <f>IF(Setup!$B$6="","",Setup!$B$6)</f>
        <v/>
      </c>
      <c r="C2377" s="98" t="n"/>
      <c r="D2377" s="99" t="n"/>
      <c r="E2377" s="99" t="n"/>
      <c r="F2377" s="100" t="n"/>
      <c r="G2377" s="98" t="n"/>
      <c r="H2377" s="99" t="n"/>
      <c r="I2377" s="99" t="n"/>
      <c r="J2377" s="100" t="n"/>
      <c r="K2377" s="98" t="n"/>
      <c r="L2377" s="99" t="n"/>
      <c r="M2377" s="99" t="n"/>
      <c r="N2377" s="100" t="n"/>
      <c r="O2377" s="98" t="n"/>
      <c r="P2377" s="99" t="n"/>
      <c r="Q2377" s="99" t="n"/>
      <c r="R2377" s="100" t="n"/>
      <c r="S2377" s="98" t="n"/>
      <c r="T2377" s="99" t="n"/>
      <c r="U2377" s="99" t="n"/>
      <c r="V2377" s="100" t="n"/>
      <c r="W2377" s="98" t="n"/>
      <c r="X2377" s="100" t="n"/>
      <c r="Y2377" s="98" t="n"/>
      <c r="Z2377" s="100" t="n"/>
      <c r="AB2377" s="101">
        <f>IF($B2377="","",(COUNTIF(C2358:E2375,$B2377)+COUNTIF(C2358:E2375,$B2377&amp;" ~*")&gt;0)+(COUNTIF(G2358:I2375,$B2377)+COUNTIF(G2358:I2375,$B2377&amp;" ~*")&gt;0)+(COUNTIF(K2358:M2375,$B2377)+COUNTIF(K2358:M2375,$B2377&amp;" ~*")&gt;0)+(COUNTIF(O2358:Q2375,$B2377)+COUNTIF(O2358:Q2375,$B2377&amp;" ~*")&gt;0)+(COUNTIF(S2358:U2375,$B2377)+COUNTIF(S2358:U2375,$B2377&amp;" ~*")&gt;0)+(COUNTIF(W2358:W2375,$B2377)+COUNTIF(W2358:W2375,$B2377&amp;" ~*")&gt;0)+(COUNTIF(Y2358:Y2375,$B2377)+COUNTIF(Y2358:Y2375,$B2377&amp;" ~*")&gt;0))</f>
        <v/>
      </c>
      <c r="AC2377" s="36">
        <f>IF($B2377="","",(IFERROR(INDEX(Setup!$G$33:$G$40,MATCH(C2377,Setup!$B$33:$B$40,0)),0)=1)*(COUNTIF(C2358:E2375,$B2377)+COUNTIF(C2358:E2375,$B2377&amp;" ~*")&gt;0)+(IFERROR(INDEX(Setup!$G$33:$G$40,MATCH(G2377,Setup!$B$33:$B$40,0)),0)=1)*(COUNTIF(G2358:I2375,$B2377)+COUNTIF(G2358:I2375,$B2377&amp;" ~*")&gt;0)+(IFERROR(INDEX(Setup!$G$33:$G$40,MATCH(K2377,Setup!$B$33:$B$40,0)),0)=1)*(COUNTIF(K2358:M2375,$B2377)+COUNTIF(K2358:M2375,$B2377&amp;" ~*")&gt;0)+(IFERROR(INDEX(Setup!$G$33:$G$40,MATCH(O2377,Setup!$B$33:$B$40,0)),0)=1)*(COUNTIF(O2358:Q2375,$B2377)+COUNTIF(O2358:Q2375,$B2377&amp;" ~*")&gt;0)+(IFERROR(INDEX(Setup!$G$33:$G$40,MATCH(S2377,Setup!$B$33:$B$40,0)),0)=1)*(COUNTIF(S2358:U2375,$B2377)+COUNTIF(S2358:U2375,$B2377&amp;" ~*")&gt;0)+(IFERROR(INDEX(Setup!$G$33:$G$40,MATCH(W2377,Setup!$B$33:$B$40,0)),0)=1)*(COUNTIF(W2358:W2375,$B2377)+COUNTIF(W2358:W2375,$B2377&amp;" ~*")&gt;0)+(IFERROR(INDEX(Setup!$G$33:$G$40,MATCH(Y2377,Setup!$B$33:$B$40,0)),0)=1)*(COUNTIF(Y2358:Y2375,$B2377)+COUNTIF(Y2358:Y2375,$B2377&amp;" ~*")&gt;0))</f>
        <v/>
      </c>
    </row>
    <row r="2378" ht="15" customHeight="1">
      <c r="A2378" t="n">
        <v>48</v>
      </c>
      <c r="B2378" s="37">
        <f>IF(Setup!$B$7="","",Setup!$B$7)</f>
        <v/>
      </c>
      <c r="C2378" s="102" t="n"/>
      <c r="D2378" s="103" t="n"/>
      <c r="E2378" s="103" t="n"/>
      <c r="F2378" s="104" t="n"/>
      <c r="G2378" s="102" t="n"/>
      <c r="H2378" s="103" t="n"/>
      <c r="I2378" s="103" t="n"/>
      <c r="J2378" s="104" t="n"/>
      <c r="K2378" s="102" t="n"/>
      <c r="L2378" s="103" t="n"/>
      <c r="M2378" s="103" t="n"/>
      <c r="N2378" s="104" t="n"/>
      <c r="O2378" s="102" t="n"/>
      <c r="P2378" s="103" t="n"/>
      <c r="Q2378" s="103" t="n"/>
      <c r="R2378" s="104" t="n"/>
      <c r="S2378" s="102" t="n"/>
      <c r="T2378" s="103" t="n"/>
      <c r="U2378" s="103" t="n"/>
      <c r="V2378" s="104" t="n"/>
      <c r="W2378" s="102" t="n"/>
      <c r="X2378" s="104" t="n"/>
      <c r="Y2378" s="102" t="n"/>
      <c r="Z2378" s="104" t="n"/>
      <c r="AB2378" s="105">
        <f>IF($B2378="","",(COUNTIF(C2358:E2375,$B2378)+COUNTIF(C2358:E2375,$B2378&amp;" ~*")&gt;0)+(COUNTIF(G2358:I2375,$B2378)+COUNTIF(G2358:I2375,$B2378&amp;" ~*")&gt;0)+(COUNTIF(K2358:M2375,$B2378)+COUNTIF(K2358:M2375,$B2378&amp;" ~*")&gt;0)+(COUNTIF(O2358:Q2375,$B2378)+COUNTIF(O2358:Q2375,$B2378&amp;" ~*")&gt;0)+(COUNTIF(S2358:U2375,$B2378)+COUNTIF(S2358:U2375,$B2378&amp;" ~*")&gt;0)+(COUNTIF(W2358:W2375,$B2378)+COUNTIF(W2358:W2375,$B2378&amp;" ~*")&gt;0)+(COUNTIF(Y2358:Y2375,$B2378)+COUNTIF(Y2358:Y2375,$B2378&amp;" ~*")&gt;0))</f>
        <v/>
      </c>
      <c r="AC2378" s="38">
        <f>IF($B2378="","",(IFERROR(INDEX(Setup!$G$33:$G$40,MATCH(C2378,Setup!$B$33:$B$40,0)),0)=1)*(COUNTIF(C2358:E2375,$B2378)+COUNTIF(C2358:E2375,$B2378&amp;" ~*")&gt;0)+(IFERROR(INDEX(Setup!$G$33:$G$40,MATCH(G2378,Setup!$B$33:$B$40,0)),0)=1)*(COUNTIF(G2358:I2375,$B2378)+COUNTIF(G2358:I2375,$B2378&amp;" ~*")&gt;0)+(IFERROR(INDEX(Setup!$G$33:$G$40,MATCH(K2378,Setup!$B$33:$B$40,0)),0)=1)*(COUNTIF(K2358:M2375,$B2378)+COUNTIF(K2358:M2375,$B2378&amp;" ~*")&gt;0)+(IFERROR(INDEX(Setup!$G$33:$G$40,MATCH(O2378,Setup!$B$33:$B$40,0)),0)=1)*(COUNTIF(O2358:Q2375,$B2378)+COUNTIF(O2358:Q2375,$B2378&amp;" ~*")&gt;0)+(IFERROR(INDEX(Setup!$G$33:$G$40,MATCH(S2378,Setup!$B$33:$B$40,0)),0)=1)*(COUNTIF(S2358:U2375,$B2378)+COUNTIF(S2358:U2375,$B2378&amp;" ~*")&gt;0)+(IFERROR(INDEX(Setup!$G$33:$G$40,MATCH(W2378,Setup!$B$33:$B$40,0)),0)=1)*(COUNTIF(W2358:W2375,$B2378)+COUNTIF(W2358:W2375,$B2378&amp;" ~*")&gt;0)+(IFERROR(INDEX(Setup!$G$33:$G$40,MATCH(Y2378,Setup!$B$33:$B$40,0)),0)=1)*(COUNTIF(Y2358:Y2375,$B2378)+COUNTIF(Y2358:Y2375,$B2378&amp;" ~*")&gt;0))</f>
        <v/>
      </c>
    </row>
    <row r="2379" ht="15" customHeight="1">
      <c r="A2379" t="n">
        <v>48</v>
      </c>
      <c r="B2379" s="35">
        <f>IF(Setup!$B$8="","",Setup!$B$8)</f>
        <v/>
      </c>
      <c r="C2379" s="98" t="n"/>
      <c r="D2379" s="99" t="n"/>
      <c r="E2379" s="99" t="n"/>
      <c r="F2379" s="100" t="n"/>
      <c r="G2379" s="98" t="n"/>
      <c r="H2379" s="99" t="n"/>
      <c r="I2379" s="99" t="n"/>
      <c r="J2379" s="100" t="n"/>
      <c r="K2379" s="98" t="n"/>
      <c r="L2379" s="99" t="n"/>
      <c r="M2379" s="99" t="n"/>
      <c r="N2379" s="100" t="n"/>
      <c r="O2379" s="98" t="n"/>
      <c r="P2379" s="99" t="n"/>
      <c r="Q2379" s="99" t="n"/>
      <c r="R2379" s="100" t="n"/>
      <c r="S2379" s="98" t="n"/>
      <c r="T2379" s="99" t="n"/>
      <c r="U2379" s="99" t="n"/>
      <c r="V2379" s="100" t="n"/>
      <c r="W2379" s="98" t="n"/>
      <c r="X2379" s="100" t="n"/>
      <c r="Y2379" s="98" t="n"/>
      <c r="Z2379" s="100" t="n"/>
      <c r="AB2379" s="101">
        <f>IF($B2379="","",(COUNTIF(C2358:E2375,$B2379)+COUNTIF(C2358:E2375,$B2379&amp;" ~*")&gt;0)+(COUNTIF(G2358:I2375,$B2379)+COUNTIF(G2358:I2375,$B2379&amp;" ~*")&gt;0)+(COUNTIF(K2358:M2375,$B2379)+COUNTIF(K2358:M2375,$B2379&amp;" ~*")&gt;0)+(COUNTIF(O2358:Q2375,$B2379)+COUNTIF(O2358:Q2375,$B2379&amp;" ~*")&gt;0)+(COUNTIF(S2358:U2375,$B2379)+COUNTIF(S2358:U2375,$B2379&amp;" ~*")&gt;0)+(COUNTIF(W2358:W2375,$B2379)+COUNTIF(W2358:W2375,$B2379&amp;" ~*")&gt;0)+(COUNTIF(Y2358:Y2375,$B2379)+COUNTIF(Y2358:Y2375,$B2379&amp;" ~*")&gt;0))</f>
        <v/>
      </c>
      <c r="AC2379" s="36">
        <f>IF($B2379="","",(IFERROR(INDEX(Setup!$G$33:$G$40,MATCH(C2379,Setup!$B$33:$B$40,0)),0)=1)*(COUNTIF(C2358:E2375,$B2379)+COUNTIF(C2358:E2375,$B2379&amp;" ~*")&gt;0)+(IFERROR(INDEX(Setup!$G$33:$G$40,MATCH(G2379,Setup!$B$33:$B$40,0)),0)=1)*(COUNTIF(G2358:I2375,$B2379)+COUNTIF(G2358:I2375,$B2379&amp;" ~*")&gt;0)+(IFERROR(INDEX(Setup!$G$33:$G$40,MATCH(K2379,Setup!$B$33:$B$40,0)),0)=1)*(COUNTIF(K2358:M2375,$B2379)+COUNTIF(K2358:M2375,$B2379&amp;" ~*")&gt;0)+(IFERROR(INDEX(Setup!$G$33:$G$40,MATCH(O2379,Setup!$B$33:$B$40,0)),0)=1)*(COUNTIF(O2358:Q2375,$B2379)+COUNTIF(O2358:Q2375,$B2379&amp;" ~*")&gt;0)+(IFERROR(INDEX(Setup!$G$33:$G$40,MATCH(S2379,Setup!$B$33:$B$40,0)),0)=1)*(COUNTIF(S2358:U2375,$B2379)+COUNTIF(S2358:U2375,$B2379&amp;" ~*")&gt;0)+(IFERROR(INDEX(Setup!$G$33:$G$40,MATCH(W2379,Setup!$B$33:$B$40,0)),0)=1)*(COUNTIF(W2358:W2375,$B2379)+COUNTIF(W2358:W2375,$B2379&amp;" ~*")&gt;0)+(IFERROR(INDEX(Setup!$G$33:$G$40,MATCH(Y2379,Setup!$B$33:$B$40,0)),0)=1)*(COUNTIF(Y2358:Y2375,$B2379)+COUNTIF(Y2358:Y2375,$B2379&amp;" ~*")&gt;0))</f>
        <v/>
      </c>
    </row>
    <row r="2380" ht="15" customHeight="1">
      <c r="A2380" t="n">
        <v>48</v>
      </c>
      <c r="B2380" s="37">
        <f>IF(Setup!$B$9="","",Setup!$B$9)</f>
        <v/>
      </c>
      <c r="C2380" s="102" t="n"/>
      <c r="D2380" s="103" t="n"/>
      <c r="E2380" s="103" t="n"/>
      <c r="F2380" s="104" t="n"/>
      <c r="G2380" s="102" t="n"/>
      <c r="H2380" s="103" t="n"/>
      <c r="I2380" s="103" t="n"/>
      <c r="J2380" s="104" t="n"/>
      <c r="K2380" s="102" t="n"/>
      <c r="L2380" s="103" t="n"/>
      <c r="M2380" s="103" t="n"/>
      <c r="N2380" s="104" t="n"/>
      <c r="O2380" s="102" t="n"/>
      <c r="P2380" s="103" t="n"/>
      <c r="Q2380" s="103" t="n"/>
      <c r="R2380" s="104" t="n"/>
      <c r="S2380" s="102" t="n"/>
      <c r="T2380" s="103" t="n"/>
      <c r="U2380" s="103" t="n"/>
      <c r="V2380" s="104" t="n"/>
      <c r="W2380" s="102" t="n"/>
      <c r="X2380" s="104" t="n"/>
      <c r="Y2380" s="102" t="n"/>
      <c r="Z2380" s="104" t="n"/>
      <c r="AB2380" s="105">
        <f>IF($B2380="","",(COUNTIF(C2358:E2375,$B2380)+COUNTIF(C2358:E2375,$B2380&amp;" ~*")&gt;0)+(COUNTIF(G2358:I2375,$B2380)+COUNTIF(G2358:I2375,$B2380&amp;" ~*")&gt;0)+(COUNTIF(K2358:M2375,$B2380)+COUNTIF(K2358:M2375,$B2380&amp;" ~*")&gt;0)+(COUNTIF(O2358:Q2375,$B2380)+COUNTIF(O2358:Q2375,$B2380&amp;" ~*")&gt;0)+(COUNTIF(S2358:U2375,$B2380)+COUNTIF(S2358:U2375,$B2380&amp;" ~*")&gt;0)+(COUNTIF(W2358:W2375,$B2380)+COUNTIF(W2358:W2375,$B2380&amp;" ~*")&gt;0)+(COUNTIF(Y2358:Y2375,$B2380)+COUNTIF(Y2358:Y2375,$B2380&amp;" ~*")&gt;0))</f>
        <v/>
      </c>
      <c r="AC2380" s="38">
        <f>IF($B2380="","",(IFERROR(INDEX(Setup!$G$33:$G$40,MATCH(C2380,Setup!$B$33:$B$40,0)),0)=1)*(COUNTIF(C2358:E2375,$B2380)+COUNTIF(C2358:E2375,$B2380&amp;" ~*")&gt;0)+(IFERROR(INDEX(Setup!$G$33:$G$40,MATCH(G2380,Setup!$B$33:$B$40,0)),0)=1)*(COUNTIF(G2358:I2375,$B2380)+COUNTIF(G2358:I2375,$B2380&amp;" ~*")&gt;0)+(IFERROR(INDEX(Setup!$G$33:$G$40,MATCH(K2380,Setup!$B$33:$B$40,0)),0)=1)*(COUNTIF(K2358:M2375,$B2380)+COUNTIF(K2358:M2375,$B2380&amp;" ~*")&gt;0)+(IFERROR(INDEX(Setup!$G$33:$G$40,MATCH(O2380,Setup!$B$33:$B$40,0)),0)=1)*(COUNTIF(O2358:Q2375,$B2380)+COUNTIF(O2358:Q2375,$B2380&amp;" ~*")&gt;0)+(IFERROR(INDEX(Setup!$G$33:$G$40,MATCH(S2380,Setup!$B$33:$B$40,0)),0)=1)*(COUNTIF(S2358:U2375,$B2380)+COUNTIF(S2358:U2375,$B2380&amp;" ~*")&gt;0)+(IFERROR(INDEX(Setup!$G$33:$G$40,MATCH(W2380,Setup!$B$33:$B$40,0)),0)=1)*(COUNTIF(W2358:W2375,$B2380)+COUNTIF(W2358:W2375,$B2380&amp;" ~*")&gt;0)+(IFERROR(INDEX(Setup!$G$33:$G$40,MATCH(Y2380,Setup!$B$33:$B$40,0)),0)=1)*(COUNTIF(Y2358:Y2375,$B2380)+COUNTIF(Y2358:Y2375,$B2380&amp;" ~*")&gt;0))</f>
        <v/>
      </c>
    </row>
    <row r="2381" ht="15" customHeight="1">
      <c r="A2381" t="n">
        <v>48</v>
      </c>
      <c r="B2381" s="35">
        <f>IF(Setup!$B$10="","",Setup!$B$10)</f>
        <v/>
      </c>
      <c r="C2381" s="98" t="n"/>
      <c r="D2381" s="99" t="n"/>
      <c r="E2381" s="99" t="n"/>
      <c r="F2381" s="100" t="n"/>
      <c r="G2381" s="98" t="n"/>
      <c r="H2381" s="99" t="n"/>
      <c r="I2381" s="99" t="n"/>
      <c r="J2381" s="100" t="n"/>
      <c r="K2381" s="98" t="n"/>
      <c r="L2381" s="99" t="n"/>
      <c r="M2381" s="99" t="n"/>
      <c r="N2381" s="100" t="n"/>
      <c r="O2381" s="98" t="n"/>
      <c r="P2381" s="99" t="n"/>
      <c r="Q2381" s="99" t="n"/>
      <c r="R2381" s="100" t="n"/>
      <c r="S2381" s="98" t="n"/>
      <c r="T2381" s="99" t="n"/>
      <c r="U2381" s="99" t="n"/>
      <c r="V2381" s="100" t="n"/>
      <c r="W2381" s="98" t="n"/>
      <c r="X2381" s="100" t="n"/>
      <c r="Y2381" s="98" t="n"/>
      <c r="Z2381" s="100" t="n"/>
      <c r="AB2381" s="101">
        <f>IF($B2381="","",(COUNTIF(C2358:E2375,$B2381)+COUNTIF(C2358:E2375,$B2381&amp;" ~*")&gt;0)+(COUNTIF(G2358:I2375,$B2381)+COUNTIF(G2358:I2375,$B2381&amp;" ~*")&gt;0)+(COUNTIF(K2358:M2375,$B2381)+COUNTIF(K2358:M2375,$B2381&amp;" ~*")&gt;0)+(COUNTIF(O2358:Q2375,$B2381)+COUNTIF(O2358:Q2375,$B2381&amp;" ~*")&gt;0)+(COUNTIF(S2358:U2375,$B2381)+COUNTIF(S2358:U2375,$B2381&amp;" ~*")&gt;0)+(COUNTIF(W2358:W2375,$B2381)+COUNTIF(W2358:W2375,$B2381&amp;" ~*")&gt;0)+(COUNTIF(Y2358:Y2375,$B2381)+COUNTIF(Y2358:Y2375,$B2381&amp;" ~*")&gt;0))</f>
        <v/>
      </c>
      <c r="AC2381" s="36">
        <f>IF($B2381="","",(IFERROR(INDEX(Setup!$G$33:$G$40,MATCH(C2381,Setup!$B$33:$B$40,0)),0)=1)*(COUNTIF(C2358:E2375,$B2381)+COUNTIF(C2358:E2375,$B2381&amp;" ~*")&gt;0)+(IFERROR(INDEX(Setup!$G$33:$G$40,MATCH(G2381,Setup!$B$33:$B$40,0)),0)=1)*(COUNTIF(G2358:I2375,$B2381)+COUNTIF(G2358:I2375,$B2381&amp;" ~*")&gt;0)+(IFERROR(INDEX(Setup!$G$33:$G$40,MATCH(K2381,Setup!$B$33:$B$40,0)),0)=1)*(COUNTIF(K2358:M2375,$B2381)+COUNTIF(K2358:M2375,$B2381&amp;" ~*")&gt;0)+(IFERROR(INDEX(Setup!$G$33:$G$40,MATCH(O2381,Setup!$B$33:$B$40,0)),0)=1)*(COUNTIF(O2358:Q2375,$B2381)+COUNTIF(O2358:Q2375,$B2381&amp;" ~*")&gt;0)+(IFERROR(INDEX(Setup!$G$33:$G$40,MATCH(S2381,Setup!$B$33:$B$40,0)),0)=1)*(COUNTIF(S2358:U2375,$B2381)+COUNTIF(S2358:U2375,$B2381&amp;" ~*")&gt;0)+(IFERROR(INDEX(Setup!$G$33:$G$40,MATCH(W2381,Setup!$B$33:$B$40,0)),0)=1)*(COUNTIF(W2358:W2375,$B2381)+COUNTIF(W2358:W2375,$B2381&amp;" ~*")&gt;0)+(IFERROR(INDEX(Setup!$G$33:$G$40,MATCH(Y2381,Setup!$B$33:$B$40,0)),0)=1)*(COUNTIF(Y2358:Y2375,$B2381)+COUNTIF(Y2358:Y2375,$B2381&amp;" ~*")&gt;0))</f>
        <v/>
      </c>
    </row>
    <row r="2382" ht="15" customHeight="1">
      <c r="A2382" t="n">
        <v>48</v>
      </c>
      <c r="B2382" s="37">
        <f>IF(Setup!$B$11="","",Setup!$B$11)</f>
        <v/>
      </c>
      <c r="C2382" s="102" t="n"/>
      <c r="D2382" s="103" t="n"/>
      <c r="E2382" s="103" t="n"/>
      <c r="F2382" s="104" t="n"/>
      <c r="G2382" s="102" t="n"/>
      <c r="H2382" s="103" t="n"/>
      <c r="I2382" s="103" t="n"/>
      <c r="J2382" s="104" t="n"/>
      <c r="K2382" s="102" t="n"/>
      <c r="L2382" s="103" t="n"/>
      <c r="M2382" s="103" t="n"/>
      <c r="N2382" s="104" t="n"/>
      <c r="O2382" s="102" t="n"/>
      <c r="P2382" s="103" t="n"/>
      <c r="Q2382" s="103" t="n"/>
      <c r="R2382" s="104" t="n"/>
      <c r="S2382" s="102" t="n"/>
      <c r="T2382" s="103" t="n"/>
      <c r="U2382" s="103" t="n"/>
      <c r="V2382" s="104" t="n"/>
      <c r="W2382" s="102" t="n"/>
      <c r="X2382" s="104" t="n"/>
      <c r="Y2382" s="102" t="n"/>
      <c r="Z2382" s="104" t="n"/>
      <c r="AB2382" s="105">
        <f>IF($B2382="","",(COUNTIF(C2358:E2375,$B2382)+COUNTIF(C2358:E2375,$B2382&amp;" ~*")&gt;0)+(COUNTIF(G2358:I2375,$B2382)+COUNTIF(G2358:I2375,$B2382&amp;" ~*")&gt;0)+(COUNTIF(K2358:M2375,$B2382)+COUNTIF(K2358:M2375,$B2382&amp;" ~*")&gt;0)+(COUNTIF(O2358:Q2375,$B2382)+COUNTIF(O2358:Q2375,$B2382&amp;" ~*")&gt;0)+(COUNTIF(S2358:U2375,$B2382)+COUNTIF(S2358:U2375,$B2382&amp;" ~*")&gt;0)+(COUNTIF(W2358:W2375,$B2382)+COUNTIF(W2358:W2375,$B2382&amp;" ~*")&gt;0)+(COUNTIF(Y2358:Y2375,$B2382)+COUNTIF(Y2358:Y2375,$B2382&amp;" ~*")&gt;0))</f>
        <v/>
      </c>
      <c r="AC2382" s="38">
        <f>IF($B2382="","",(IFERROR(INDEX(Setup!$G$33:$G$40,MATCH(C2382,Setup!$B$33:$B$40,0)),0)=1)*(COUNTIF(C2358:E2375,$B2382)+COUNTIF(C2358:E2375,$B2382&amp;" ~*")&gt;0)+(IFERROR(INDEX(Setup!$G$33:$G$40,MATCH(G2382,Setup!$B$33:$B$40,0)),0)=1)*(COUNTIF(G2358:I2375,$B2382)+COUNTIF(G2358:I2375,$B2382&amp;" ~*")&gt;0)+(IFERROR(INDEX(Setup!$G$33:$G$40,MATCH(K2382,Setup!$B$33:$B$40,0)),0)=1)*(COUNTIF(K2358:M2375,$B2382)+COUNTIF(K2358:M2375,$B2382&amp;" ~*")&gt;0)+(IFERROR(INDEX(Setup!$G$33:$G$40,MATCH(O2382,Setup!$B$33:$B$40,0)),0)=1)*(COUNTIF(O2358:Q2375,$B2382)+COUNTIF(O2358:Q2375,$B2382&amp;" ~*")&gt;0)+(IFERROR(INDEX(Setup!$G$33:$G$40,MATCH(S2382,Setup!$B$33:$B$40,0)),0)=1)*(COUNTIF(S2358:U2375,$B2382)+COUNTIF(S2358:U2375,$B2382&amp;" ~*")&gt;0)+(IFERROR(INDEX(Setup!$G$33:$G$40,MATCH(W2382,Setup!$B$33:$B$40,0)),0)=1)*(COUNTIF(W2358:W2375,$B2382)+COUNTIF(W2358:W2375,$B2382&amp;" ~*")&gt;0)+(IFERROR(INDEX(Setup!$G$33:$G$40,MATCH(Y2382,Setup!$B$33:$B$40,0)),0)=1)*(COUNTIF(Y2358:Y2375,$B2382)+COUNTIF(Y2358:Y2375,$B2382&amp;" ~*")&gt;0))</f>
        <v/>
      </c>
    </row>
    <row r="2383" ht="15" customHeight="1">
      <c r="A2383" t="n">
        <v>48</v>
      </c>
      <c r="B2383" s="35">
        <f>IF(Setup!$B$12="","",Setup!$B$12)</f>
        <v/>
      </c>
      <c r="C2383" s="98" t="n"/>
      <c r="D2383" s="99" t="n"/>
      <c r="E2383" s="99" t="n"/>
      <c r="F2383" s="100" t="n"/>
      <c r="G2383" s="98" t="n"/>
      <c r="H2383" s="99" t="n"/>
      <c r="I2383" s="99" t="n"/>
      <c r="J2383" s="100" t="n"/>
      <c r="K2383" s="98" t="n"/>
      <c r="L2383" s="99" t="n"/>
      <c r="M2383" s="99" t="n"/>
      <c r="N2383" s="100" t="n"/>
      <c r="O2383" s="98" t="n"/>
      <c r="P2383" s="99" t="n"/>
      <c r="Q2383" s="99" t="n"/>
      <c r="R2383" s="100" t="n"/>
      <c r="S2383" s="98" t="n"/>
      <c r="T2383" s="99" t="n"/>
      <c r="U2383" s="99" t="n"/>
      <c r="V2383" s="100" t="n"/>
      <c r="W2383" s="98" t="n"/>
      <c r="X2383" s="100" t="n"/>
      <c r="Y2383" s="98" t="n"/>
      <c r="Z2383" s="100" t="n"/>
      <c r="AB2383" s="101">
        <f>IF($B2383="","",(COUNTIF(C2358:E2375,$B2383)+COUNTIF(C2358:E2375,$B2383&amp;" ~*")&gt;0)+(COUNTIF(G2358:I2375,$B2383)+COUNTIF(G2358:I2375,$B2383&amp;" ~*")&gt;0)+(COUNTIF(K2358:M2375,$B2383)+COUNTIF(K2358:M2375,$B2383&amp;" ~*")&gt;0)+(COUNTIF(O2358:Q2375,$B2383)+COUNTIF(O2358:Q2375,$B2383&amp;" ~*")&gt;0)+(COUNTIF(S2358:U2375,$B2383)+COUNTIF(S2358:U2375,$B2383&amp;" ~*")&gt;0)+(COUNTIF(W2358:W2375,$B2383)+COUNTIF(W2358:W2375,$B2383&amp;" ~*")&gt;0)+(COUNTIF(Y2358:Y2375,$B2383)+COUNTIF(Y2358:Y2375,$B2383&amp;" ~*")&gt;0))</f>
        <v/>
      </c>
      <c r="AC2383" s="36">
        <f>IF($B2383="","",(IFERROR(INDEX(Setup!$G$33:$G$40,MATCH(C2383,Setup!$B$33:$B$40,0)),0)=1)*(COUNTIF(C2358:E2375,$B2383)+COUNTIF(C2358:E2375,$B2383&amp;" ~*")&gt;0)+(IFERROR(INDEX(Setup!$G$33:$G$40,MATCH(G2383,Setup!$B$33:$B$40,0)),0)=1)*(COUNTIF(G2358:I2375,$B2383)+COUNTIF(G2358:I2375,$B2383&amp;" ~*")&gt;0)+(IFERROR(INDEX(Setup!$G$33:$G$40,MATCH(K2383,Setup!$B$33:$B$40,0)),0)=1)*(COUNTIF(K2358:M2375,$B2383)+COUNTIF(K2358:M2375,$B2383&amp;" ~*")&gt;0)+(IFERROR(INDEX(Setup!$G$33:$G$40,MATCH(O2383,Setup!$B$33:$B$40,0)),0)=1)*(COUNTIF(O2358:Q2375,$B2383)+COUNTIF(O2358:Q2375,$B2383&amp;" ~*")&gt;0)+(IFERROR(INDEX(Setup!$G$33:$G$40,MATCH(S2383,Setup!$B$33:$B$40,0)),0)=1)*(COUNTIF(S2358:U2375,$B2383)+COUNTIF(S2358:U2375,$B2383&amp;" ~*")&gt;0)+(IFERROR(INDEX(Setup!$G$33:$G$40,MATCH(W2383,Setup!$B$33:$B$40,0)),0)=1)*(COUNTIF(W2358:W2375,$B2383)+COUNTIF(W2358:W2375,$B2383&amp;" ~*")&gt;0)+(IFERROR(INDEX(Setup!$G$33:$G$40,MATCH(Y2383,Setup!$B$33:$B$40,0)),0)=1)*(COUNTIF(Y2358:Y2375,$B2383)+COUNTIF(Y2358:Y2375,$B2383&amp;" ~*")&gt;0))</f>
        <v/>
      </c>
    </row>
    <row r="2384" ht="15" customHeight="1">
      <c r="A2384" t="n">
        <v>48</v>
      </c>
      <c r="B2384" s="37">
        <f>IF(Setup!$B$13="","",Setup!$B$13)</f>
        <v/>
      </c>
      <c r="C2384" s="102" t="n"/>
      <c r="D2384" s="103" t="n"/>
      <c r="E2384" s="103" t="n"/>
      <c r="F2384" s="104" t="n"/>
      <c r="G2384" s="102" t="n"/>
      <c r="H2384" s="103" t="n"/>
      <c r="I2384" s="103" t="n"/>
      <c r="J2384" s="104" t="n"/>
      <c r="K2384" s="102" t="n"/>
      <c r="L2384" s="103" t="n"/>
      <c r="M2384" s="103" t="n"/>
      <c r="N2384" s="104" t="n"/>
      <c r="O2384" s="102" t="inlineStr">
        <is>
          <t>AL</t>
        </is>
      </c>
      <c r="P2384" s="103" t="n"/>
      <c r="Q2384" s="103" t="n"/>
      <c r="R2384" s="104" t="n"/>
      <c r="S2384" s="102" t="inlineStr">
        <is>
          <t>AL</t>
        </is>
      </c>
      <c r="T2384" s="103" t="n"/>
      <c r="U2384" s="103" t="n"/>
      <c r="V2384" s="104" t="n"/>
      <c r="W2384" s="102" t="n"/>
      <c r="X2384" s="104" t="n"/>
      <c r="Y2384" s="102" t="n"/>
      <c r="Z2384" s="104" t="n"/>
      <c r="AB2384" s="105">
        <f>IF($B2384="","",(COUNTIF(C2358:E2375,$B2384)+COUNTIF(C2358:E2375,$B2384&amp;" ~*")&gt;0)+(COUNTIF(G2358:I2375,$B2384)+COUNTIF(G2358:I2375,$B2384&amp;" ~*")&gt;0)+(COUNTIF(K2358:M2375,$B2384)+COUNTIF(K2358:M2375,$B2384&amp;" ~*")&gt;0)+(COUNTIF(O2358:Q2375,$B2384)+COUNTIF(O2358:Q2375,$B2384&amp;" ~*")&gt;0)+(COUNTIF(S2358:U2375,$B2384)+COUNTIF(S2358:U2375,$B2384&amp;" ~*")&gt;0)+(COUNTIF(W2358:W2375,$B2384)+COUNTIF(W2358:W2375,$B2384&amp;" ~*")&gt;0)+(COUNTIF(Y2358:Y2375,$B2384)+COUNTIF(Y2358:Y2375,$B2384&amp;" ~*")&gt;0))</f>
        <v/>
      </c>
      <c r="AC2384" s="38">
        <f>IF($B2384="","",(IFERROR(INDEX(Setup!$G$33:$G$40,MATCH(C2384,Setup!$B$33:$B$40,0)),0)=1)*(COUNTIF(C2358:E2375,$B2384)+COUNTIF(C2358:E2375,$B2384&amp;" ~*")&gt;0)+(IFERROR(INDEX(Setup!$G$33:$G$40,MATCH(G2384,Setup!$B$33:$B$40,0)),0)=1)*(COUNTIF(G2358:I2375,$B2384)+COUNTIF(G2358:I2375,$B2384&amp;" ~*")&gt;0)+(IFERROR(INDEX(Setup!$G$33:$G$40,MATCH(K2384,Setup!$B$33:$B$40,0)),0)=1)*(COUNTIF(K2358:M2375,$B2384)+COUNTIF(K2358:M2375,$B2384&amp;" ~*")&gt;0)+(IFERROR(INDEX(Setup!$G$33:$G$40,MATCH(O2384,Setup!$B$33:$B$40,0)),0)=1)*(COUNTIF(O2358:Q2375,$B2384)+COUNTIF(O2358:Q2375,$B2384&amp;" ~*")&gt;0)+(IFERROR(INDEX(Setup!$G$33:$G$40,MATCH(S2384,Setup!$B$33:$B$40,0)),0)=1)*(COUNTIF(S2358:U2375,$B2384)+COUNTIF(S2358:U2375,$B2384&amp;" ~*")&gt;0)+(IFERROR(INDEX(Setup!$G$33:$G$40,MATCH(W2384,Setup!$B$33:$B$40,0)),0)=1)*(COUNTIF(W2358:W2375,$B2384)+COUNTIF(W2358:W2375,$B2384&amp;" ~*")&gt;0)+(IFERROR(INDEX(Setup!$G$33:$G$40,MATCH(Y2384,Setup!$B$33:$B$40,0)),0)=1)*(COUNTIF(Y2358:Y2375,$B2384)+COUNTIF(Y2358:Y2375,$B2384&amp;" ~*")&gt;0))</f>
        <v/>
      </c>
    </row>
    <row r="2385" ht="15" customHeight="1">
      <c r="A2385" t="n">
        <v>48</v>
      </c>
      <c r="B2385" s="35">
        <f>IF(Setup!$B$14="","",Setup!$B$14)</f>
        <v/>
      </c>
      <c r="C2385" s="98" t="n"/>
      <c r="D2385" s="99" t="n"/>
      <c r="E2385" s="99" t="n"/>
      <c r="F2385" s="100" t="n"/>
      <c r="G2385" s="98" t="n"/>
      <c r="H2385" s="99" t="n"/>
      <c r="I2385" s="99" t="n"/>
      <c r="J2385" s="100" t="n"/>
      <c r="K2385" s="98" t="n"/>
      <c r="L2385" s="99" t="n"/>
      <c r="M2385" s="99" t="n"/>
      <c r="N2385" s="100" t="n"/>
      <c r="O2385" s="98" t="n"/>
      <c r="P2385" s="99" t="n"/>
      <c r="Q2385" s="99" t="n"/>
      <c r="R2385" s="100" t="n"/>
      <c r="S2385" s="98" t="n"/>
      <c r="T2385" s="99" t="n"/>
      <c r="U2385" s="99" t="n"/>
      <c r="V2385" s="100" t="n"/>
      <c r="W2385" s="98" t="n"/>
      <c r="X2385" s="100" t="n"/>
      <c r="Y2385" s="98" t="n"/>
      <c r="Z2385" s="100" t="n"/>
      <c r="AB2385" s="101">
        <f>IF($B2385="","",(COUNTIF(C2358:E2375,$B2385)+COUNTIF(C2358:E2375,$B2385&amp;" ~*")&gt;0)+(COUNTIF(G2358:I2375,$B2385)+COUNTIF(G2358:I2375,$B2385&amp;" ~*")&gt;0)+(COUNTIF(K2358:M2375,$B2385)+COUNTIF(K2358:M2375,$B2385&amp;" ~*")&gt;0)+(COUNTIF(O2358:Q2375,$B2385)+COUNTIF(O2358:Q2375,$B2385&amp;" ~*")&gt;0)+(COUNTIF(S2358:U2375,$B2385)+COUNTIF(S2358:U2375,$B2385&amp;" ~*")&gt;0)+(COUNTIF(W2358:W2375,$B2385)+COUNTIF(W2358:W2375,$B2385&amp;" ~*")&gt;0)+(COUNTIF(Y2358:Y2375,$B2385)+COUNTIF(Y2358:Y2375,$B2385&amp;" ~*")&gt;0))</f>
        <v/>
      </c>
      <c r="AC2385" s="36">
        <f>IF($B2385="","",(IFERROR(INDEX(Setup!$G$33:$G$40,MATCH(C2385,Setup!$B$33:$B$40,0)),0)=1)*(COUNTIF(C2358:E2375,$B2385)+COUNTIF(C2358:E2375,$B2385&amp;" ~*")&gt;0)+(IFERROR(INDEX(Setup!$G$33:$G$40,MATCH(G2385,Setup!$B$33:$B$40,0)),0)=1)*(COUNTIF(G2358:I2375,$B2385)+COUNTIF(G2358:I2375,$B2385&amp;" ~*")&gt;0)+(IFERROR(INDEX(Setup!$G$33:$G$40,MATCH(K2385,Setup!$B$33:$B$40,0)),0)=1)*(COUNTIF(K2358:M2375,$B2385)+COUNTIF(K2358:M2375,$B2385&amp;" ~*")&gt;0)+(IFERROR(INDEX(Setup!$G$33:$G$40,MATCH(O2385,Setup!$B$33:$B$40,0)),0)=1)*(COUNTIF(O2358:Q2375,$B2385)+COUNTIF(O2358:Q2375,$B2385&amp;" ~*")&gt;0)+(IFERROR(INDEX(Setup!$G$33:$G$40,MATCH(S2385,Setup!$B$33:$B$40,0)),0)=1)*(COUNTIF(S2358:U2375,$B2385)+COUNTIF(S2358:U2375,$B2385&amp;" ~*")&gt;0)+(IFERROR(INDEX(Setup!$G$33:$G$40,MATCH(W2385,Setup!$B$33:$B$40,0)),0)=1)*(COUNTIF(W2358:W2375,$B2385)+COUNTIF(W2358:W2375,$B2385&amp;" ~*")&gt;0)+(IFERROR(INDEX(Setup!$G$33:$G$40,MATCH(Y2385,Setup!$B$33:$B$40,0)),0)=1)*(COUNTIF(Y2358:Y2375,$B2385)+COUNTIF(Y2358:Y2375,$B2385&amp;" ~*")&gt;0))</f>
        <v/>
      </c>
    </row>
    <row r="2386" ht="15" customHeight="1">
      <c r="A2386" t="n">
        <v>48</v>
      </c>
      <c r="B2386" s="37">
        <f>IF(Setup!$B$15="","",Setup!$B$15)</f>
        <v/>
      </c>
      <c r="C2386" s="102" t="n"/>
      <c r="D2386" s="103" t="n"/>
      <c r="E2386" s="103" t="n"/>
      <c r="F2386" s="104" t="n"/>
      <c r="G2386" s="102" t="n"/>
      <c r="H2386" s="103" t="n"/>
      <c r="I2386" s="103" t="n"/>
      <c r="J2386" s="104" t="n"/>
      <c r="K2386" s="102" t="n"/>
      <c r="L2386" s="103" t="n"/>
      <c r="M2386" s="103" t="n"/>
      <c r="N2386" s="104" t="n"/>
      <c r="O2386" s="102" t="n"/>
      <c r="P2386" s="103" t="n"/>
      <c r="Q2386" s="103" t="n"/>
      <c r="R2386" s="104" t="n"/>
      <c r="S2386" s="102" t="n"/>
      <c r="T2386" s="103" t="n"/>
      <c r="U2386" s="103" t="n"/>
      <c r="V2386" s="104" t="n"/>
      <c r="W2386" s="102" t="n"/>
      <c r="X2386" s="104" t="n"/>
      <c r="Y2386" s="102" t="n"/>
      <c r="Z2386" s="104" t="n"/>
      <c r="AB2386" s="105">
        <f>IF($B2386="","",(COUNTIF(C2358:E2375,$B2386)+COUNTIF(C2358:E2375,$B2386&amp;" ~*")&gt;0)+(COUNTIF(G2358:I2375,$B2386)+COUNTIF(G2358:I2375,$B2386&amp;" ~*")&gt;0)+(COUNTIF(K2358:M2375,$B2386)+COUNTIF(K2358:M2375,$B2386&amp;" ~*")&gt;0)+(COUNTIF(O2358:Q2375,$B2386)+COUNTIF(O2358:Q2375,$B2386&amp;" ~*")&gt;0)+(COUNTIF(S2358:U2375,$B2386)+COUNTIF(S2358:U2375,$B2386&amp;" ~*")&gt;0)+(COUNTIF(W2358:W2375,$B2386)+COUNTIF(W2358:W2375,$B2386&amp;" ~*")&gt;0)+(COUNTIF(Y2358:Y2375,$B2386)+COUNTIF(Y2358:Y2375,$B2386&amp;" ~*")&gt;0))</f>
        <v/>
      </c>
      <c r="AC2386" s="38">
        <f>IF($B2386="","",(IFERROR(INDEX(Setup!$G$33:$G$40,MATCH(C2386,Setup!$B$33:$B$40,0)),0)=1)*(COUNTIF(C2358:E2375,$B2386)+COUNTIF(C2358:E2375,$B2386&amp;" ~*")&gt;0)+(IFERROR(INDEX(Setup!$G$33:$G$40,MATCH(G2386,Setup!$B$33:$B$40,0)),0)=1)*(COUNTIF(G2358:I2375,$B2386)+COUNTIF(G2358:I2375,$B2386&amp;" ~*")&gt;0)+(IFERROR(INDEX(Setup!$G$33:$G$40,MATCH(K2386,Setup!$B$33:$B$40,0)),0)=1)*(COUNTIF(K2358:M2375,$B2386)+COUNTIF(K2358:M2375,$B2386&amp;" ~*")&gt;0)+(IFERROR(INDEX(Setup!$G$33:$G$40,MATCH(O2386,Setup!$B$33:$B$40,0)),0)=1)*(COUNTIF(O2358:Q2375,$B2386)+COUNTIF(O2358:Q2375,$B2386&amp;" ~*")&gt;0)+(IFERROR(INDEX(Setup!$G$33:$G$40,MATCH(S2386,Setup!$B$33:$B$40,0)),0)=1)*(COUNTIF(S2358:U2375,$B2386)+COUNTIF(S2358:U2375,$B2386&amp;" ~*")&gt;0)+(IFERROR(INDEX(Setup!$G$33:$G$40,MATCH(W2386,Setup!$B$33:$B$40,0)),0)=1)*(COUNTIF(W2358:W2375,$B2386)+COUNTIF(W2358:W2375,$B2386&amp;" ~*")&gt;0)+(IFERROR(INDEX(Setup!$G$33:$G$40,MATCH(Y2386,Setup!$B$33:$B$40,0)),0)=1)*(COUNTIF(Y2358:Y2375,$B2386)+COUNTIF(Y2358:Y2375,$B2386&amp;" ~*")&gt;0))</f>
        <v/>
      </c>
    </row>
    <row r="2387" ht="15" customHeight="1">
      <c r="A2387" t="n">
        <v>48</v>
      </c>
      <c r="B2387" s="35">
        <f>IF(Setup!$B$16="","",Setup!$B$16)</f>
        <v/>
      </c>
      <c r="C2387" s="98" t="n"/>
      <c r="D2387" s="99" t="n"/>
      <c r="E2387" s="99" t="n"/>
      <c r="F2387" s="100" t="n"/>
      <c r="G2387" s="98" t="n"/>
      <c r="H2387" s="99" t="n"/>
      <c r="I2387" s="99" t="n"/>
      <c r="J2387" s="100" t="n"/>
      <c r="K2387" s="98" t="n"/>
      <c r="L2387" s="99" t="n"/>
      <c r="M2387" s="99" t="n"/>
      <c r="N2387" s="100" t="n"/>
      <c r="O2387" s="98" t="n"/>
      <c r="P2387" s="99" t="n"/>
      <c r="Q2387" s="99" t="n"/>
      <c r="R2387" s="100" t="n"/>
      <c r="S2387" s="98" t="n"/>
      <c r="T2387" s="99" t="n"/>
      <c r="U2387" s="99" t="n"/>
      <c r="V2387" s="100" t="n"/>
      <c r="W2387" s="98" t="n"/>
      <c r="X2387" s="100" t="n"/>
      <c r="Y2387" s="98" t="n"/>
      <c r="Z2387" s="100" t="n"/>
      <c r="AB2387" s="101">
        <f>IF($B2387="","",(COUNTIF(C2358:E2375,$B2387)+COUNTIF(C2358:E2375,$B2387&amp;" ~*")&gt;0)+(COUNTIF(G2358:I2375,$B2387)+COUNTIF(G2358:I2375,$B2387&amp;" ~*")&gt;0)+(COUNTIF(K2358:M2375,$B2387)+COUNTIF(K2358:M2375,$B2387&amp;" ~*")&gt;0)+(COUNTIF(O2358:Q2375,$B2387)+COUNTIF(O2358:Q2375,$B2387&amp;" ~*")&gt;0)+(COUNTIF(S2358:U2375,$B2387)+COUNTIF(S2358:U2375,$B2387&amp;" ~*")&gt;0)+(COUNTIF(W2358:W2375,$B2387)+COUNTIF(W2358:W2375,$B2387&amp;" ~*")&gt;0)+(COUNTIF(Y2358:Y2375,$B2387)+COUNTIF(Y2358:Y2375,$B2387&amp;" ~*")&gt;0))</f>
        <v/>
      </c>
      <c r="AC2387" s="36">
        <f>IF($B2387="","",(IFERROR(INDEX(Setup!$G$33:$G$40,MATCH(C2387,Setup!$B$33:$B$40,0)),0)=1)*(COUNTIF(C2358:E2375,$B2387)+COUNTIF(C2358:E2375,$B2387&amp;" ~*")&gt;0)+(IFERROR(INDEX(Setup!$G$33:$G$40,MATCH(G2387,Setup!$B$33:$B$40,0)),0)=1)*(COUNTIF(G2358:I2375,$B2387)+COUNTIF(G2358:I2375,$B2387&amp;" ~*")&gt;0)+(IFERROR(INDEX(Setup!$G$33:$G$40,MATCH(K2387,Setup!$B$33:$B$40,0)),0)=1)*(COUNTIF(K2358:M2375,$B2387)+COUNTIF(K2358:M2375,$B2387&amp;" ~*")&gt;0)+(IFERROR(INDEX(Setup!$G$33:$G$40,MATCH(O2387,Setup!$B$33:$B$40,0)),0)=1)*(COUNTIF(O2358:Q2375,$B2387)+COUNTIF(O2358:Q2375,$B2387&amp;" ~*")&gt;0)+(IFERROR(INDEX(Setup!$G$33:$G$40,MATCH(S2387,Setup!$B$33:$B$40,0)),0)=1)*(COUNTIF(S2358:U2375,$B2387)+COUNTIF(S2358:U2375,$B2387&amp;" ~*")&gt;0)+(IFERROR(INDEX(Setup!$G$33:$G$40,MATCH(W2387,Setup!$B$33:$B$40,0)),0)=1)*(COUNTIF(W2358:W2375,$B2387)+COUNTIF(W2358:W2375,$B2387&amp;" ~*")&gt;0)+(IFERROR(INDEX(Setup!$G$33:$G$40,MATCH(Y2387,Setup!$B$33:$B$40,0)),0)=1)*(COUNTIF(Y2358:Y2375,$B2387)+COUNTIF(Y2358:Y2375,$B2387&amp;" ~*")&gt;0))</f>
        <v/>
      </c>
    </row>
    <row r="2388" ht="15" customHeight="1">
      <c r="A2388" t="n">
        <v>48</v>
      </c>
      <c r="B2388" s="37">
        <f>IF(Setup!$B$17="","",Setup!$B$17)</f>
        <v/>
      </c>
      <c r="C2388" s="102" t="n"/>
      <c r="D2388" s="103" t="n"/>
      <c r="E2388" s="103" t="n"/>
      <c r="F2388" s="104" t="n"/>
      <c r="G2388" s="102" t="n"/>
      <c r="H2388" s="103" t="n"/>
      <c r="I2388" s="103" t="n"/>
      <c r="J2388" s="104" t="n"/>
      <c r="K2388" s="102" t="n"/>
      <c r="L2388" s="103" t="n"/>
      <c r="M2388" s="103" t="n"/>
      <c r="N2388" s="104" t="n"/>
      <c r="O2388" s="102" t="n"/>
      <c r="P2388" s="103" t="n"/>
      <c r="Q2388" s="103" t="n"/>
      <c r="R2388" s="104" t="n"/>
      <c r="S2388" s="102" t="n"/>
      <c r="T2388" s="103" t="n"/>
      <c r="U2388" s="103" t="n"/>
      <c r="V2388" s="104" t="n"/>
      <c r="W2388" s="102" t="n"/>
      <c r="X2388" s="104" t="n"/>
      <c r="Y2388" s="102" t="n"/>
      <c r="Z2388" s="104" t="n"/>
      <c r="AB2388" s="105">
        <f>IF($B2388="","",(COUNTIF(C2358:E2375,$B2388)+COUNTIF(C2358:E2375,$B2388&amp;" ~*")&gt;0)+(COUNTIF(G2358:I2375,$B2388)+COUNTIF(G2358:I2375,$B2388&amp;" ~*")&gt;0)+(COUNTIF(K2358:M2375,$B2388)+COUNTIF(K2358:M2375,$B2388&amp;" ~*")&gt;0)+(COUNTIF(O2358:Q2375,$B2388)+COUNTIF(O2358:Q2375,$B2388&amp;" ~*")&gt;0)+(COUNTIF(S2358:U2375,$B2388)+COUNTIF(S2358:U2375,$B2388&amp;" ~*")&gt;0)+(COUNTIF(W2358:W2375,$B2388)+COUNTIF(W2358:W2375,$B2388&amp;" ~*")&gt;0)+(COUNTIF(Y2358:Y2375,$B2388)+COUNTIF(Y2358:Y2375,$B2388&amp;" ~*")&gt;0))</f>
        <v/>
      </c>
      <c r="AC2388" s="38">
        <f>IF($B2388="","",(IFERROR(INDEX(Setup!$G$33:$G$40,MATCH(C2388,Setup!$B$33:$B$40,0)),0)=1)*(COUNTIF(C2358:E2375,$B2388)+COUNTIF(C2358:E2375,$B2388&amp;" ~*")&gt;0)+(IFERROR(INDEX(Setup!$G$33:$G$40,MATCH(G2388,Setup!$B$33:$B$40,0)),0)=1)*(COUNTIF(G2358:I2375,$B2388)+COUNTIF(G2358:I2375,$B2388&amp;" ~*")&gt;0)+(IFERROR(INDEX(Setup!$G$33:$G$40,MATCH(K2388,Setup!$B$33:$B$40,0)),0)=1)*(COUNTIF(K2358:M2375,$B2388)+COUNTIF(K2358:M2375,$B2388&amp;" ~*")&gt;0)+(IFERROR(INDEX(Setup!$G$33:$G$40,MATCH(O2388,Setup!$B$33:$B$40,0)),0)=1)*(COUNTIF(O2358:Q2375,$B2388)+COUNTIF(O2358:Q2375,$B2388&amp;" ~*")&gt;0)+(IFERROR(INDEX(Setup!$G$33:$G$40,MATCH(S2388,Setup!$B$33:$B$40,0)),0)=1)*(COUNTIF(S2358:U2375,$B2388)+COUNTIF(S2358:U2375,$B2388&amp;" ~*")&gt;0)+(IFERROR(INDEX(Setup!$G$33:$G$40,MATCH(W2388,Setup!$B$33:$B$40,0)),0)=1)*(COUNTIF(W2358:W2375,$B2388)+COUNTIF(W2358:W2375,$B2388&amp;" ~*")&gt;0)+(IFERROR(INDEX(Setup!$G$33:$G$40,MATCH(Y2388,Setup!$B$33:$B$40,0)),0)=1)*(COUNTIF(Y2358:Y2375,$B2388)+COUNTIF(Y2358:Y2375,$B2388&amp;" ~*")&gt;0))</f>
        <v/>
      </c>
    </row>
    <row r="2389" ht="15" customHeight="1">
      <c r="A2389" t="n">
        <v>48</v>
      </c>
      <c r="B2389" s="35">
        <f>IF(Setup!$B$18="","",Setup!$B$18)</f>
        <v/>
      </c>
      <c r="C2389" s="98" t="n"/>
      <c r="D2389" s="99" t="n"/>
      <c r="E2389" s="99" t="n"/>
      <c r="F2389" s="100" t="n"/>
      <c r="G2389" s="98" t="n"/>
      <c r="H2389" s="99" t="n"/>
      <c r="I2389" s="99" t="n"/>
      <c r="J2389" s="100" t="n"/>
      <c r="K2389" s="98" t="n"/>
      <c r="L2389" s="99" t="n"/>
      <c r="M2389" s="99" t="n"/>
      <c r="N2389" s="100" t="n"/>
      <c r="O2389" s="98" t="n"/>
      <c r="P2389" s="99" t="n"/>
      <c r="Q2389" s="99" t="n"/>
      <c r="R2389" s="100" t="n"/>
      <c r="S2389" s="98" t="n"/>
      <c r="T2389" s="99" t="n"/>
      <c r="U2389" s="99" t="n"/>
      <c r="V2389" s="100" t="n"/>
      <c r="W2389" s="98" t="n"/>
      <c r="X2389" s="100" t="n"/>
      <c r="Y2389" s="98" t="n"/>
      <c r="Z2389" s="100" t="n"/>
      <c r="AB2389" s="101">
        <f>IF($B2389="","",(COUNTIF(C2358:E2375,$B2389)+COUNTIF(C2358:E2375,$B2389&amp;" ~*")&gt;0)+(COUNTIF(G2358:I2375,$B2389)+COUNTIF(G2358:I2375,$B2389&amp;" ~*")&gt;0)+(COUNTIF(K2358:M2375,$B2389)+COUNTIF(K2358:M2375,$B2389&amp;" ~*")&gt;0)+(COUNTIF(O2358:Q2375,$B2389)+COUNTIF(O2358:Q2375,$B2389&amp;" ~*")&gt;0)+(COUNTIF(S2358:U2375,$B2389)+COUNTIF(S2358:U2375,$B2389&amp;" ~*")&gt;0)+(COUNTIF(W2358:W2375,$B2389)+COUNTIF(W2358:W2375,$B2389&amp;" ~*")&gt;0)+(COUNTIF(Y2358:Y2375,$B2389)+COUNTIF(Y2358:Y2375,$B2389&amp;" ~*")&gt;0))</f>
        <v/>
      </c>
      <c r="AC2389" s="36">
        <f>IF($B2389="","",(IFERROR(INDEX(Setup!$G$33:$G$40,MATCH(C2389,Setup!$B$33:$B$40,0)),0)=1)*(COUNTIF(C2358:E2375,$B2389)+COUNTIF(C2358:E2375,$B2389&amp;" ~*")&gt;0)+(IFERROR(INDEX(Setup!$G$33:$G$40,MATCH(G2389,Setup!$B$33:$B$40,0)),0)=1)*(COUNTIF(G2358:I2375,$B2389)+COUNTIF(G2358:I2375,$B2389&amp;" ~*")&gt;0)+(IFERROR(INDEX(Setup!$G$33:$G$40,MATCH(K2389,Setup!$B$33:$B$40,0)),0)=1)*(COUNTIF(K2358:M2375,$B2389)+COUNTIF(K2358:M2375,$B2389&amp;" ~*")&gt;0)+(IFERROR(INDEX(Setup!$G$33:$G$40,MATCH(O2389,Setup!$B$33:$B$40,0)),0)=1)*(COUNTIF(O2358:Q2375,$B2389)+COUNTIF(O2358:Q2375,$B2389&amp;" ~*")&gt;0)+(IFERROR(INDEX(Setup!$G$33:$G$40,MATCH(S2389,Setup!$B$33:$B$40,0)),0)=1)*(COUNTIF(S2358:U2375,$B2389)+COUNTIF(S2358:U2375,$B2389&amp;" ~*")&gt;0)+(IFERROR(INDEX(Setup!$G$33:$G$40,MATCH(W2389,Setup!$B$33:$B$40,0)),0)=1)*(COUNTIF(W2358:W2375,$B2389)+COUNTIF(W2358:W2375,$B2389&amp;" ~*")&gt;0)+(IFERROR(INDEX(Setup!$G$33:$G$40,MATCH(Y2389,Setup!$B$33:$B$40,0)),0)=1)*(COUNTIF(Y2358:Y2375,$B2389)+COUNTIF(Y2358:Y2375,$B2389&amp;" ~*")&gt;0))</f>
        <v/>
      </c>
    </row>
    <row r="2390" ht="15" customHeight="1">
      <c r="A2390" t="n">
        <v>48</v>
      </c>
      <c r="B2390" s="37">
        <f>IF(Setup!$B$19="","",Setup!$B$19)</f>
        <v/>
      </c>
      <c r="C2390" s="102" t="n"/>
      <c r="D2390" s="103" t="n"/>
      <c r="E2390" s="103" t="n"/>
      <c r="F2390" s="104" t="n"/>
      <c r="G2390" s="102" t="n"/>
      <c r="H2390" s="103" t="n"/>
      <c r="I2390" s="103" t="n"/>
      <c r="J2390" s="104" t="n"/>
      <c r="K2390" s="102" t="n"/>
      <c r="L2390" s="103" t="n"/>
      <c r="M2390" s="103" t="n"/>
      <c r="N2390" s="104" t="n"/>
      <c r="O2390" s="102" t="n"/>
      <c r="P2390" s="103" t="n"/>
      <c r="Q2390" s="103" t="n"/>
      <c r="R2390" s="104" t="n"/>
      <c r="S2390" s="102" t="n"/>
      <c r="T2390" s="103" t="n"/>
      <c r="U2390" s="103" t="n"/>
      <c r="V2390" s="104" t="n"/>
      <c r="W2390" s="102" t="n"/>
      <c r="X2390" s="104" t="n"/>
      <c r="Y2390" s="102" t="n"/>
      <c r="Z2390" s="104" t="n"/>
      <c r="AB2390" s="105">
        <f>IF($B2390="","",(COUNTIF(C2358:E2375,$B2390)+COUNTIF(C2358:E2375,$B2390&amp;" ~*")&gt;0)+(COUNTIF(G2358:I2375,$B2390)+COUNTIF(G2358:I2375,$B2390&amp;" ~*")&gt;0)+(COUNTIF(K2358:M2375,$B2390)+COUNTIF(K2358:M2375,$B2390&amp;" ~*")&gt;0)+(COUNTIF(O2358:Q2375,$B2390)+COUNTIF(O2358:Q2375,$B2390&amp;" ~*")&gt;0)+(COUNTIF(S2358:U2375,$B2390)+COUNTIF(S2358:U2375,$B2390&amp;" ~*")&gt;0)+(COUNTIF(W2358:W2375,$B2390)+COUNTIF(W2358:W2375,$B2390&amp;" ~*")&gt;0)+(COUNTIF(Y2358:Y2375,$B2390)+COUNTIF(Y2358:Y2375,$B2390&amp;" ~*")&gt;0))</f>
        <v/>
      </c>
      <c r="AC2390" s="38">
        <f>IF($B2390="","",(IFERROR(INDEX(Setup!$G$33:$G$40,MATCH(C2390,Setup!$B$33:$B$40,0)),0)=1)*(COUNTIF(C2358:E2375,$B2390)+COUNTIF(C2358:E2375,$B2390&amp;" ~*")&gt;0)+(IFERROR(INDEX(Setup!$G$33:$G$40,MATCH(G2390,Setup!$B$33:$B$40,0)),0)=1)*(COUNTIF(G2358:I2375,$B2390)+COUNTIF(G2358:I2375,$B2390&amp;" ~*")&gt;0)+(IFERROR(INDEX(Setup!$G$33:$G$40,MATCH(K2390,Setup!$B$33:$B$40,0)),0)=1)*(COUNTIF(K2358:M2375,$B2390)+COUNTIF(K2358:M2375,$B2390&amp;" ~*")&gt;0)+(IFERROR(INDEX(Setup!$G$33:$G$40,MATCH(O2390,Setup!$B$33:$B$40,0)),0)=1)*(COUNTIF(O2358:Q2375,$B2390)+COUNTIF(O2358:Q2375,$B2390&amp;" ~*")&gt;0)+(IFERROR(INDEX(Setup!$G$33:$G$40,MATCH(S2390,Setup!$B$33:$B$40,0)),0)=1)*(COUNTIF(S2358:U2375,$B2390)+COUNTIF(S2358:U2375,$B2390&amp;" ~*")&gt;0)+(IFERROR(INDEX(Setup!$G$33:$G$40,MATCH(W2390,Setup!$B$33:$B$40,0)),0)=1)*(COUNTIF(W2358:W2375,$B2390)+COUNTIF(W2358:W2375,$B2390&amp;" ~*")&gt;0)+(IFERROR(INDEX(Setup!$G$33:$G$40,MATCH(Y2390,Setup!$B$33:$B$40,0)),0)=1)*(COUNTIF(Y2358:Y2375,$B2390)+COUNTIF(Y2358:Y2375,$B2390&amp;" ~*")&gt;0))</f>
        <v/>
      </c>
    </row>
    <row r="2391" ht="15" customHeight="1">
      <c r="A2391" t="n">
        <v>48</v>
      </c>
      <c r="B2391" s="35">
        <f>IF(Setup!$B$20="","",Setup!$B$20)</f>
        <v/>
      </c>
      <c r="C2391" s="98" t="n"/>
      <c r="D2391" s="99" t="n"/>
      <c r="E2391" s="99" t="n"/>
      <c r="F2391" s="100" t="n"/>
      <c r="G2391" s="98" t="n"/>
      <c r="H2391" s="99" t="n"/>
      <c r="I2391" s="99" t="n"/>
      <c r="J2391" s="100" t="n"/>
      <c r="K2391" s="98" t="n"/>
      <c r="L2391" s="99" t="n"/>
      <c r="M2391" s="99" t="n"/>
      <c r="N2391" s="100" t="n"/>
      <c r="O2391" s="98" t="n"/>
      <c r="P2391" s="99" t="n"/>
      <c r="Q2391" s="99" t="n"/>
      <c r="R2391" s="100" t="n"/>
      <c r="S2391" s="98" t="n"/>
      <c r="T2391" s="99" t="n"/>
      <c r="U2391" s="99" t="n"/>
      <c r="V2391" s="100" t="n"/>
      <c r="W2391" s="98" t="n"/>
      <c r="X2391" s="100" t="n"/>
      <c r="Y2391" s="98" t="n"/>
      <c r="Z2391" s="100" t="n"/>
      <c r="AB2391" s="101">
        <f>IF($B2391="","",(COUNTIF(C2358:E2375,$B2391)+COUNTIF(C2358:E2375,$B2391&amp;" ~*")&gt;0)+(COUNTIF(G2358:I2375,$B2391)+COUNTIF(G2358:I2375,$B2391&amp;" ~*")&gt;0)+(COUNTIF(K2358:M2375,$B2391)+COUNTIF(K2358:M2375,$B2391&amp;" ~*")&gt;0)+(COUNTIF(O2358:Q2375,$B2391)+COUNTIF(O2358:Q2375,$B2391&amp;" ~*")&gt;0)+(COUNTIF(S2358:U2375,$B2391)+COUNTIF(S2358:U2375,$B2391&amp;" ~*")&gt;0)+(COUNTIF(W2358:W2375,$B2391)+COUNTIF(W2358:W2375,$B2391&amp;" ~*")&gt;0)+(COUNTIF(Y2358:Y2375,$B2391)+COUNTIF(Y2358:Y2375,$B2391&amp;" ~*")&gt;0))</f>
        <v/>
      </c>
      <c r="AC2391" s="36">
        <f>IF($B2391="","",(IFERROR(INDEX(Setup!$G$33:$G$40,MATCH(C2391,Setup!$B$33:$B$40,0)),0)=1)*(COUNTIF(C2358:E2375,$B2391)+COUNTIF(C2358:E2375,$B2391&amp;" ~*")&gt;0)+(IFERROR(INDEX(Setup!$G$33:$G$40,MATCH(G2391,Setup!$B$33:$B$40,0)),0)=1)*(COUNTIF(G2358:I2375,$B2391)+COUNTIF(G2358:I2375,$B2391&amp;" ~*")&gt;0)+(IFERROR(INDEX(Setup!$G$33:$G$40,MATCH(K2391,Setup!$B$33:$B$40,0)),0)=1)*(COUNTIF(K2358:M2375,$B2391)+COUNTIF(K2358:M2375,$B2391&amp;" ~*")&gt;0)+(IFERROR(INDEX(Setup!$G$33:$G$40,MATCH(O2391,Setup!$B$33:$B$40,0)),0)=1)*(COUNTIF(O2358:Q2375,$B2391)+COUNTIF(O2358:Q2375,$B2391&amp;" ~*")&gt;0)+(IFERROR(INDEX(Setup!$G$33:$G$40,MATCH(S2391,Setup!$B$33:$B$40,0)),0)=1)*(COUNTIF(S2358:U2375,$B2391)+COUNTIF(S2358:U2375,$B2391&amp;" ~*")&gt;0)+(IFERROR(INDEX(Setup!$G$33:$G$40,MATCH(W2391,Setup!$B$33:$B$40,0)),0)=1)*(COUNTIF(W2358:W2375,$B2391)+COUNTIF(W2358:W2375,$B2391&amp;" ~*")&gt;0)+(IFERROR(INDEX(Setup!$G$33:$G$40,MATCH(Y2391,Setup!$B$33:$B$40,0)),0)=1)*(COUNTIF(Y2358:Y2375,$B2391)+COUNTIF(Y2358:Y2375,$B2391&amp;" ~*")&gt;0))</f>
        <v/>
      </c>
    </row>
    <row r="2392" ht="15" customHeight="1">
      <c r="A2392" t="n">
        <v>48</v>
      </c>
      <c r="B2392" s="37">
        <f>IF(Setup!$B$21="","",Setup!$B$21)</f>
        <v/>
      </c>
      <c r="C2392" s="102" t="n"/>
      <c r="D2392" s="103" t="n"/>
      <c r="E2392" s="103" t="n"/>
      <c r="F2392" s="104" t="n"/>
      <c r="G2392" s="102" t="n"/>
      <c r="H2392" s="103" t="n"/>
      <c r="I2392" s="103" t="n"/>
      <c r="J2392" s="104" t="n"/>
      <c r="K2392" s="102" t="n"/>
      <c r="L2392" s="103" t="n"/>
      <c r="M2392" s="103" t="n"/>
      <c r="N2392" s="104" t="n"/>
      <c r="O2392" s="102" t="n"/>
      <c r="P2392" s="103" t="n"/>
      <c r="Q2392" s="103" t="n"/>
      <c r="R2392" s="104" t="n"/>
      <c r="S2392" s="102" t="n"/>
      <c r="T2392" s="103" t="n"/>
      <c r="U2392" s="103" t="n"/>
      <c r="V2392" s="104" t="n"/>
      <c r="W2392" s="102" t="n"/>
      <c r="X2392" s="104" t="n"/>
      <c r="Y2392" s="102" t="n"/>
      <c r="Z2392" s="104" t="n"/>
      <c r="AB2392" s="105">
        <f>IF($B2392="","",(COUNTIF(C2358:E2375,$B2392)+COUNTIF(C2358:E2375,$B2392&amp;" ~*")&gt;0)+(COUNTIF(G2358:I2375,$B2392)+COUNTIF(G2358:I2375,$B2392&amp;" ~*")&gt;0)+(COUNTIF(K2358:M2375,$B2392)+COUNTIF(K2358:M2375,$B2392&amp;" ~*")&gt;0)+(COUNTIF(O2358:Q2375,$B2392)+COUNTIF(O2358:Q2375,$B2392&amp;" ~*")&gt;0)+(COUNTIF(S2358:U2375,$B2392)+COUNTIF(S2358:U2375,$B2392&amp;" ~*")&gt;0)+(COUNTIF(W2358:W2375,$B2392)+COUNTIF(W2358:W2375,$B2392&amp;" ~*")&gt;0)+(COUNTIF(Y2358:Y2375,$B2392)+COUNTIF(Y2358:Y2375,$B2392&amp;" ~*")&gt;0))</f>
        <v/>
      </c>
      <c r="AC2392" s="38">
        <f>IF($B2392="","",(IFERROR(INDEX(Setup!$G$33:$G$40,MATCH(C2392,Setup!$B$33:$B$40,0)),0)=1)*(COUNTIF(C2358:E2375,$B2392)+COUNTIF(C2358:E2375,$B2392&amp;" ~*")&gt;0)+(IFERROR(INDEX(Setup!$G$33:$G$40,MATCH(G2392,Setup!$B$33:$B$40,0)),0)=1)*(COUNTIF(G2358:I2375,$B2392)+COUNTIF(G2358:I2375,$B2392&amp;" ~*")&gt;0)+(IFERROR(INDEX(Setup!$G$33:$G$40,MATCH(K2392,Setup!$B$33:$B$40,0)),0)=1)*(COUNTIF(K2358:M2375,$B2392)+COUNTIF(K2358:M2375,$B2392&amp;" ~*")&gt;0)+(IFERROR(INDEX(Setup!$G$33:$G$40,MATCH(O2392,Setup!$B$33:$B$40,0)),0)=1)*(COUNTIF(O2358:Q2375,$B2392)+COUNTIF(O2358:Q2375,$B2392&amp;" ~*")&gt;0)+(IFERROR(INDEX(Setup!$G$33:$G$40,MATCH(S2392,Setup!$B$33:$B$40,0)),0)=1)*(COUNTIF(S2358:U2375,$B2392)+COUNTIF(S2358:U2375,$B2392&amp;" ~*")&gt;0)+(IFERROR(INDEX(Setup!$G$33:$G$40,MATCH(W2392,Setup!$B$33:$B$40,0)),0)=1)*(COUNTIF(W2358:W2375,$B2392)+COUNTIF(W2358:W2375,$B2392&amp;" ~*")&gt;0)+(IFERROR(INDEX(Setup!$G$33:$G$40,MATCH(Y2392,Setup!$B$33:$B$40,0)),0)=1)*(COUNTIF(Y2358:Y2375,$B2392)+COUNTIF(Y2358:Y2375,$B2392&amp;" ~*")&gt;0))</f>
        <v/>
      </c>
    </row>
    <row r="2393" ht="15" customHeight="1">
      <c r="A2393" t="n">
        <v>48</v>
      </c>
      <c r="B2393" s="35">
        <f>IF(Setup!$B$22="","",Setup!$B$22)</f>
        <v/>
      </c>
      <c r="C2393" s="98" t="n"/>
      <c r="D2393" s="99" t="n"/>
      <c r="E2393" s="99" t="n"/>
      <c r="F2393" s="100" t="n"/>
      <c r="G2393" s="98" t="n"/>
      <c r="H2393" s="99" t="n"/>
      <c r="I2393" s="99" t="n"/>
      <c r="J2393" s="100" t="n"/>
      <c r="K2393" s="98" t="n"/>
      <c r="L2393" s="99" t="n"/>
      <c r="M2393" s="99" t="n"/>
      <c r="N2393" s="100" t="n"/>
      <c r="O2393" s="98" t="n"/>
      <c r="P2393" s="99" t="n"/>
      <c r="Q2393" s="99" t="n"/>
      <c r="R2393" s="100" t="n"/>
      <c r="S2393" s="98" t="n"/>
      <c r="T2393" s="99" t="n"/>
      <c r="U2393" s="99" t="n"/>
      <c r="V2393" s="100" t="n"/>
      <c r="W2393" s="98" t="n"/>
      <c r="X2393" s="100" t="n"/>
      <c r="Y2393" s="98" t="n"/>
      <c r="Z2393" s="100" t="n"/>
      <c r="AB2393" s="101">
        <f>IF($B2393="","",(COUNTIF(C2358:E2375,$B2393)+COUNTIF(C2358:E2375,$B2393&amp;" ~*")&gt;0)+(COUNTIF(G2358:I2375,$B2393)+COUNTIF(G2358:I2375,$B2393&amp;" ~*")&gt;0)+(COUNTIF(K2358:M2375,$B2393)+COUNTIF(K2358:M2375,$B2393&amp;" ~*")&gt;0)+(COUNTIF(O2358:Q2375,$B2393)+COUNTIF(O2358:Q2375,$B2393&amp;" ~*")&gt;0)+(COUNTIF(S2358:U2375,$B2393)+COUNTIF(S2358:U2375,$B2393&amp;" ~*")&gt;0)+(COUNTIF(W2358:W2375,$B2393)+COUNTIF(W2358:W2375,$B2393&amp;" ~*")&gt;0)+(COUNTIF(Y2358:Y2375,$B2393)+COUNTIF(Y2358:Y2375,$B2393&amp;" ~*")&gt;0))</f>
        <v/>
      </c>
      <c r="AC2393" s="36">
        <f>IF($B2393="","",(IFERROR(INDEX(Setup!$G$33:$G$40,MATCH(C2393,Setup!$B$33:$B$40,0)),0)=1)*(COUNTIF(C2358:E2375,$B2393)+COUNTIF(C2358:E2375,$B2393&amp;" ~*")&gt;0)+(IFERROR(INDEX(Setup!$G$33:$G$40,MATCH(G2393,Setup!$B$33:$B$40,0)),0)=1)*(COUNTIF(G2358:I2375,$B2393)+COUNTIF(G2358:I2375,$B2393&amp;" ~*")&gt;0)+(IFERROR(INDEX(Setup!$G$33:$G$40,MATCH(K2393,Setup!$B$33:$B$40,0)),0)=1)*(COUNTIF(K2358:M2375,$B2393)+COUNTIF(K2358:M2375,$B2393&amp;" ~*")&gt;0)+(IFERROR(INDEX(Setup!$G$33:$G$40,MATCH(O2393,Setup!$B$33:$B$40,0)),0)=1)*(COUNTIF(O2358:Q2375,$B2393)+COUNTIF(O2358:Q2375,$B2393&amp;" ~*")&gt;0)+(IFERROR(INDEX(Setup!$G$33:$G$40,MATCH(S2393,Setup!$B$33:$B$40,0)),0)=1)*(COUNTIF(S2358:U2375,$B2393)+COUNTIF(S2358:U2375,$B2393&amp;" ~*")&gt;0)+(IFERROR(INDEX(Setup!$G$33:$G$40,MATCH(W2393,Setup!$B$33:$B$40,0)),0)=1)*(COUNTIF(W2358:W2375,$B2393)+COUNTIF(W2358:W2375,$B2393&amp;" ~*")&gt;0)+(IFERROR(INDEX(Setup!$G$33:$G$40,MATCH(Y2393,Setup!$B$33:$B$40,0)),0)=1)*(COUNTIF(Y2358:Y2375,$B2393)+COUNTIF(Y2358:Y2375,$B2393&amp;" ~*")&gt;0))</f>
        <v/>
      </c>
    </row>
    <row r="2394" ht="15" customHeight="1">
      <c r="A2394" t="n">
        <v>48</v>
      </c>
      <c r="B2394" s="37">
        <f>IF(Setup!$B$23="","",Setup!$B$23)</f>
        <v/>
      </c>
      <c r="C2394" s="102" t="n"/>
      <c r="D2394" s="103" t="n"/>
      <c r="E2394" s="103" t="n"/>
      <c r="F2394" s="104" t="n"/>
      <c r="G2394" s="102" t="n"/>
      <c r="H2394" s="103" t="n"/>
      <c r="I2394" s="103" t="n"/>
      <c r="J2394" s="104" t="n"/>
      <c r="K2394" s="102" t="n"/>
      <c r="L2394" s="103" t="n"/>
      <c r="M2394" s="103" t="n"/>
      <c r="N2394" s="104" t="n"/>
      <c r="O2394" s="102" t="n"/>
      <c r="P2394" s="103" t="n"/>
      <c r="Q2394" s="103" t="n"/>
      <c r="R2394" s="104" t="n"/>
      <c r="S2394" s="102" t="n"/>
      <c r="T2394" s="103" t="n"/>
      <c r="U2394" s="103" t="n"/>
      <c r="V2394" s="104" t="n"/>
      <c r="W2394" s="102" t="n"/>
      <c r="X2394" s="104" t="n"/>
      <c r="Y2394" s="102" t="n"/>
      <c r="Z2394" s="104" t="n"/>
      <c r="AB2394" s="105">
        <f>IF($B2394="","",(COUNTIF(C2358:E2375,$B2394)+COUNTIF(C2358:E2375,$B2394&amp;" ~*")&gt;0)+(COUNTIF(G2358:I2375,$B2394)+COUNTIF(G2358:I2375,$B2394&amp;" ~*")&gt;0)+(COUNTIF(K2358:M2375,$B2394)+COUNTIF(K2358:M2375,$B2394&amp;" ~*")&gt;0)+(COUNTIF(O2358:Q2375,$B2394)+COUNTIF(O2358:Q2375,$B2394&amp;" ~*")&gt;0)+(COUNTIF(S2358:U2375,$B2394)+COUNTIF(S2358:U2375,$B2394&amp;" ~*")&gt;0)+(COUNTIF(W2358:W2375,$B2394)+COUNTIF(W2358:W2375,$B2394&amp;" ~*")&gt;0)+(COUNTIF(Y2358:Y2375,$B2394)+COUNTIF(Y2358:Y2375,$B2394&amp;" ~*")&gt;0))</f>
        <v/>
      </c>
      <c r="AC2394" s="38">
        <f>IF($B2394="","",(IFERROR(INDEX(Setup!$G$33:$G$40,MATCH(C2394,Setup!$B$33:$B$40,0)),0)=1)*(COUNTIF(C2358:E2375,$B2394)+COUNTIF(C2358:E2375,$B2394&amp;" ~*")&gt;0)+(IFERROR(INDEX(Setup!$G$33:$G$40,MATCH(G2394,Setup!$B$33:$B$40,0)),0)=1)*(COUNTIF(G2358:I2375,$B2394)+COUNTIF(G2358:I2375,$B2394&amp;" ~*")&gt;0)+(IFERROR(INDEX(Setup!$G$33:$G$40,MATCH(K2394,Setup!$B$33:$B$40,0)),0)=1)*(COUNTIF(K2358:M2375,$B2394)+COUNTIF(K2358:M2375,$B2394&amp;" ~*")&gt;0)+(IFERROR(INDEX(Setup!$G$33:$G$40,MATCH(O2394,Setup!$B$33:$B$40,0)),0)=1)*(COUNTIF(O2358:Q2375,$B2394)+COUNTIF(O2358:Q2375,$B2394&amp;" ~*")&gt;0)+(IFERROR(INDEX(Setup!$G$33:$G$40,MATCH(S2394,Setup!$B$33:$B$40,0)),0)=1)*(COUNTIF(S2358:U2375,$B2394)+COUNTIF(S2358:U2375,$B2394&amp;" ~*")&gt;0)+(IFERROR(INDEX(Setup!$G$33:$G$40,MATCH(W2394,Setup!$B$33:$B$40,0)),0)=1)*(COUNTIF(W2358:W2375,$B2394)+COUNTIF(W2358:W2375,$B2394&amp;" ~*")&gt;0)+(IFERROR(INDEX(Setup!$G$33:$G$40,MATCH(Y2394,Setup!$B$33:$B$40,0)),0)=1)*(COUNTIF(Y2358:Y2375,$B2394)+COUNTIF(Y2358:Y2375,$B2394&amp;" ~*")&gt;0))</f>
        <v/>
      </c>
    </row>
    <row r="2395" ht="15" customHeight="1">
      <c r="A2395" t="n">
        <v>48</v>
      </c>
      <c r="B2395" s="35">
        <f>IF(Setup!$B$24="","",Setup!$B$24)</f>
        <v/>
      </c>
      <c r="C2395" s="98" t="n"/>
      <c r="D2395" s="99" t="n"/>
      <c r="E2395" s="99" t="n"/>
      <c r="F2395" s="100" t="n"/>
      <c r="G2395" s="98" t="n"/>
      <c r="H2395" s="99" t="n"/>
      <c r="I2395" s="99" t="n"/>
      <c r="J2395" s="100" t="n"/>
      <c r="K2395" s="98" t="n"/>
      <c r="L2395" s="99" t="n"/>
      <c r="M2395" s="99" t="n"/>
      <c r="N2395" s="100" t="n"/>
      <c r="O2395" s="98" t="n"/>
      <c r="P2395" s="99" t="n"/>
      <c r="Q2395" s="99" t="n"/>
      <c r="R2395" s="100" t="n"/>
      <c r="S2395" s="98" t="n"/>
      <c r="T2395" s="99" t="n"/>
      <c r="U2395" s="99" t="n"/>
      <c r="V2395" s="100" t="n"/>
      <c r="W2395" s="98" t="n"/>
      <c r="X2395" s="100" t="n"/>
      <c r="Y2395" s="98" t="n"/>
      <c r="Z2395" s="100" t="n"/>
      <c r="AB2395" s="101">
        <f>IF($B2395="","",(COUNTIF(C2358:E2375,$B2395)+COUNTIF(C2358:E2375,$B2395&amp;" ~*")&gt;0)+(COUNTIF(G2358:I2375,$B2395)+COUNTIF(G2358:I2375,$B2395&amp;" ~*")&gt;0)+(COUNTIF(K2358:M2375,$B2395)+COUNTIF(K2358:M2375,$B2395&amp;" ~*")&gt;0)+(COUNTIF(O2358:Q2375,$B2395)+COUNTIF(O2358:Q2375,$B2395&amp;" ~*")&gt;0)+(COUNTIF(S2358:U2375,$B2395)+COUNTIF(S2358:U2375,$B2395&amp;" ~*")&gt;0)+(COUNTIF(W2358:W2375,$B2395)+COUNTIF(W2358:W2375,$B2395&amp;" ~*")&gt;0)+(COUNTIF(Y2358:Y2375,$B2395)+COUNTIF(Y2358:Y2375,$B2395&amp;" ~*")&gt;0))</f>
        <v/>
      </c>
      <c r="AC2395" s="36">
        <f>IF($B2395="","",(IFERROR(INDEX(Setup!$G$33:$G$40,MATCH(C2395,Setup!$B$33:$B$40,0)),0)=1)*(COUNTIF(C2358:E2375,$B2395)+COUNTIF(C2358:E2375,$B2395&amp;" ~*")&gt;0)+(IFERROR(INDEX(Setup!$G$33:$G$40,MATCH(G2395,Setup!$B$33:$B$40,0)),0)=1)*(COUNTIF(G2358:I2375,$B2395)+COUNTIF(G2358:I2375,$B2395&amp;" ~*")&gt;0)+(IFERROR(INDEX(Setup!$G$33:$G$40,MATCH(K2395,Setup!$B$33:$B$40,0)),0)=1)*(COUNTIF(K2358:M2375,$B2395)+COUNTIF(K2358:M2375,$B2395&amp;" ~*")&gt;0)+(IFERROR(INDEX(Setup!$G$33:$G$40,MATCH(O2395,Setup!$B$33:$B$40,0)),0)=1)*(COUNTIF(O2358:Q2375,$B2395)+COUNTIF(O2358:Q2375,$B2395&amp;" ~*")&gt;0)+(IFERROR(INDEX(Setup!$G$33:$G$40,MATCH(S2395,Setup!$B$33:$B$40,0)),0)=1)*(COUNTIF(S2358:U2375,$B2395)+COUNTIF(S2358:U2375,$B2395&amp;" ~*")&gt;0)+(IFERROR(INDEX(Setup!$G$33:$G$40,MATCH(W2395,Setup!$B$33:$B$40,0)),0)=1)*(COUNTIF(W2358:W2375,$B2395)+COUNTIF(W2358:W2375,$B2395&amp;" ~*")&gt;0)+(IFERROR(INDEX(Setup!$G$33:$G$40,MATCH(Y2395,Setup!$B$33:$B$40,0)),0)=1)*(COUNTIF(Y2358:Y2375,$B2395)+COUNTIF(Y2358:Y2375,$B2395&amp;" ~*")&gt;0))</f>
        <v/>
      </c>
    </row>
    <row r="2396" ht="15" customHeight="1">
      <c r="A2396" t="n">
        <v>48</v>
      </c>
      <c r="B2396" s="37">
        <f>IF(Setup!$B$25="","",Setup!$B$25)</f>
        <v/>
      </c>
      <c r="C2396" s="102" t="n"/>
      <c r="D2396" s="103" t="n"/>
      <c r="E2396" s="103" t="n"/>
      <c r="F2396" s="104" t="n"/>
      <c r="G2396" s="102" t="n"/>
      <c r="H2396" s="103" t="n"/>
      <c r="I2396" s="103" t="n"/>
      <c r="J2396" s="104" t="n"/>
      <c r="K2396" s="102" t="n"/>
      <c r="L2396" s="103" t="n"/>
      <c r="M2396" s="103" t="n"/>
      <c r="N2396" s="104" t="n"/>
      <c r="O2396" s="102" t="n"/>
      <c r="P2396" s="103" t="n"/>
      <c r="Q2396" s="103" t="n"/>
      <c r="R2396" s="104" t="n"/>
      <c r="S2396" s="102" t="n"/>
      <c r="T2396" s="103" t="n"/>
      <c r="U2396" s="103" t="n"/>
      <c r="V2396" s="104" t="n"/>
      <c r="W2396" s="102" t="n"/>
      <c r="X2396" s="104" t="n"/>
      <c r="Y2396" s="102" t="n"/>
      <c r="Z2396" s="104" t="n"/>
      <c r="AB2396" s="105">
        <f>IF($B2396="","",(COUNTIF(C2358:E2375,$B2396)+COUNTIF(C2358:E2375,$B2396&amp;" ~*")&gt;0)+(COUNTIF(G2358:I2375,$B2396)+COUNTIF(G2358:I2375,$B2396&amp;" ~*")&gt;0)+(COUNTIF(K2358:M2375,$B2396)+COUNTIF(K2358:M2375,$B2396&amp;" ~*")&gt;0)+(COUNTIF(O2358:Q2375,$B2396)+COUNTIF(O2358:Q2375,$B2396&amp;" ~*")&gt;0)+(COUNTIF(S2358:U2375,$B2396)+COUNTIF(S2358:U2375,$B2396&amp;" ~*")&gt;0)+(COUNTIF(W2358:W2375,$B2396)+COUNTIF(W2358:W2375,$B2396&amp;" ~*")&gt;0)+(COUNTIF(Y2358:Y2375,$B2396)+COUNTIF(Y2358:Y2375,$B2396&amp;" ~*")&gt;0))</f>
        <v/>
      </c>
      <c r="AC2396" s="38">
        <f>IF($B2396="","",(IFERROR(INDEX(Setup!$G$33:$G$40,MATCH(C2396,Setup!$B$33:$B$40,0)),0)=1)*(COUNTIF(C2358:E2375,$B2396)+COUNTIF(C2358:E2375,$B2396&amp;" ~*")&gt;0)+(IFERROR(INDEX(Setup!$G$33:$G$40,MATCH(G2396,Setup!$B$33:$B$40,0)),0)=1)*(COUNTIF(G2358:I2375,$B2396)+COUNTIF(G2358:I2375,$B2396&amp;" ~*")&gt;0)+(IFERROR(INDEX(Setup!$G$33:$G$40,MATCH(K2396,Setup!$B$33:$B$40,0)),0)=1)*(COUNTIF(K2358:M2375,$B2396)+COUNTIF(K2358:M2375,$B2396&amp;" ~*")&gt;0)+(IFERROR(INDEX(Setup!$G$33:$G$40,MATCH(O2396,Setup!$B$33:$B$40,0)),0)=1)*(COUNTIF(O2358:Q2375,$B2396)+COUNTIF(O2358:Q2375,$B2396&amp;" ~*")&gt;0)+(IFERROR(INDEX(Setup!$G$33:$G$40,MATCH(S2396,Setup!$B$33:$B$40,0)),0)=1)*(COUNTIF(S2358:U2375,$B2396)+COUNTIF(S2358:U2375,$B2396&amp;" ~*")&gt;0)+(IFERROR(INDEX(Setup!$G$33:$G$40,MATCH(W2396,Setup!$B$33:$B$40,0)),0)=1)*(COUNTIF(W2358:W2375,$B2396)+COUNTIF(W2358:W2375,$B2396&amp;" ~*")&gt;0)+(IFERROR(INDEX(Setup!$G$33:$G$40,MATCH(Y2396,Setup!$B$33:$B$40,0)),0)=1)*(COUNTIF(Y2358:Y2375,$B2396)+COUNTIF(Y2358:Y2375,$B2396&amp;" ~*")&gt;0))</f>
        <v/>
      </c>
    </row>
    <row r="2397" ht="15" customHeight="1">
      <c r="A2397" t="n">
        <v>48</v>
      </c>
      <c r="B2397" s="35">
        <f>IF(Setup!$B$26="","",Setup!$B$26)</f>
        <v/>
      </c>
      <c r="C2397" s="98" t="n"/>
      <c r="D2397" s="99" t="n"/>
      <c r="E2397" s="99" t="n"/>
      <c r="F2397" s="100" t="n"/>
      <c r="G2397" s="98" t="n"/>
      <c r="H2397" s="99" t="n"/>
      <c r="I2397" s="99" t="n"/>
      <c r="J2397" s="100" t="n"/>
      <c r="K2397" s="98" t="n"/>
      <c r="L2397" s="99" t="n"/>
      <c r="M2397" s="99" t="n"/>
      <c r="N2397" s="100" t="n"/>
      <c r="O2397" s="98" t="n"/>
      <c r="P2397" s="99" t="n"/>
      <c r="Q2397" s="99" t="n"/>
      <c r="R2397" s="100" t="n"/>
      <c r="S2397" s="98" t="n"/>
      <c r="T2397" s="99" t="n"/>
      <c r="U2397" s="99" t="n"/>
      <c r="V2397" s="100" t="n"/>
      <c r="W2397" s="98" t="n"/>
      <c r="X2397" s="100" t="n"/>
      <c r="Y2397" s="98" t="n"/>
      <c r="Z2397" s="100" t="n"/>
      <c r="AB2397" s="101">
        <f>IF($B2397="","",(COUNTIF(C2358:E2375,$B2397)+COUNTIF(C2358:E2375,$B2397&amp;" ~*")&gt;0)+(COUNTIF(G2358:I2375,$B2397)+COUNTIF(G2358:I2375,$B2397&amp;" ~*")&gt;0)+(COUNTIF(K2358:M2375,$B2397)+COUNTIF(K2358:M2375,$B2397&amp;" ~*")&gt;0)+(COUNTIF(O2358:Q2375,$B2397)+COUNTIF(O2358:Q2375,$B2397&amp;" ~*")&gt;0)+(COUNTIF(S2358:U2375,$B2397)+COUNTIF(S2358:U2375,$B2397&amp;" ~*")&gt;0)+(COUNTIF(W2358:W2375,$B2397)+COUNTIF(W2358:W2375,$B2397&amp;" ~*")&gt;0)+(COUNTIF(Y2358:Y2375,$B2397)+COUNTIF(Y2358:Y2375,$B2397&amp;" ~*")&gt;0))</f>
        <v/>
      </c>
      <c r="AC2397" s="36">
        <f>IF($B2397="","",(IFERROR(INDEX(Setup!$G$33:$G$40,MATCH(C2397,Setup!$B$33:$B$40,0)),0)=1)*(COUNTIF(C2358:E2375,$B2397)+COUNTIF(C2358:E2375,$B2397&amp;" ~*")&gt;0)+(IFERROR(INDEX(Setup!$G$33:$G$40,MATCH(G2397,Setup!$B$33:$B$40,0)),0)=1)*(COUNTIF(G2358:I2375,$B2397)+COUNTIF(G2358:I2375,$B2397&amp;" ~*")&gt;0)+(IFERROR(INDEX(Setup!$G$33:$G$40,MATCH(K2397,Setup!$B$33:$B$40,0)),0)=1)*(COUNTIF(K2358:M2375,$B2397)+COUNTIF(K2358:M2375,$B2397&amp;" ~*")&gt;0)+(IFERROR(INDEX(Setup!$G$33:$G$40,MATCH(O2397,Setup!$B$33:$B$40,0)),0)=1)*(COUNTIF(O2358:Q2375,$B2397)+COUNTIF(O2358:Q2375,$B2397&amp;" ~*")&gt;0)+(IFERROR(INDEX(Setup!$G$33:$G$40,MATCH(S2397,Setup!$B$33:$B$40,0)),0)=1)*(COUNTIF(S2358:U2375,$B2397)+COUNTIF(S2358:U2375,$B2397&amp;" ~*")&gt;0)+(IFERROR(INDEX(Setup!$G$33:$G$40,MATCH(W2397,Setup!$B$33:$B$40,0)),0)=1)*(COUNTIF(W2358:W2375,$B2397)+COUNTIF(W2358:W2375,$B2397&amp;" ~*")&gt;0)+(IFERROR(INDEX(Setup!$G$33:$G$40,MATCH(Y2397,Setup!$B$33:$B$40,0)),0)=1)*(COUNTIF(Y2358:Y2375,$B2397)+COUNTIF(Y2358:Y2375,$B2397&amp;" ~*")&gt;0))</f>
        <v/>
      </c>
    </row>
    <row r="2398" ht="15" customHeight="1">
      <c r="A2398" t="n">
        <v>48</v>
      </c>
      <c r="B2398" s="37">
        <f>IF(Setup!$B$27="","",Setup!$B$27)</f>
        <v/>
      </c>
      <c r="C2398" s="102" t="n"/>
      <c r="D2398" s="103" t="n"/>
      <c r="E2398" s="103" t="n"/>
      <c r="F2398" s="104" t="n"/>
      <c r="G2398" s="102" t="n"/>
      <c r="H2398" s="103" t="n"/>
      <c r="I2398" s="103" t="n"/>
      <c r="J2398" s="104" t="n"/>
      <c r="K2398" s="102" t="n"/>
      <c r="L2398" s="103" t="n"/>
      <c r="M2398" s="103" t="n"/>
      <c r="N2398" s="104" t="n"/>
      <c r="O2398" s="102" t="n"/>
      <c r="P2398" s="103" t="n"/>
      <c r="Q2398" s="103" t="n"/>
      <c r="R2398" s="104" t="n"/>
      <c r="S2398" s="102" t="n"/>
      <c r="T2398" s="103" t="n"/>
      <c r="U2398" s="103" t="n"/>
      <c r="V2398" s="104" t="n"/>
      <c r="W2398" s="102" t="n"/>
      <c r="X2398" s="104" t="n"/>
      <c r="Y2398" s="102" t="n"/>
      <c r="Z2398" s="104" t="n"/>
      <c r="AB2398" s="105">
        <f>IF($B2398="","",(COUNTIF(C2358:E2375,$B2398)+COUNTIF(C2358:E2375,$B2398&amp;" ~*")&gt;0)+(COUNTIF(G2358:I2375,$B2398)+COUNTIF(G2358:I2375,$B2398&amp;" ~*")&gt;0)+(COUNTIF(K2358:M2375,$B2398)+COUNTIF(K2358:M2375,$B2398&amp;" ~*")&gt;0)+(COUNTIF(O2358:Q2375,$B2398)+COUNTIF(O2358:Q2375,$B2398&amp;" ~*")&gt;0)+(COUNTIF(S2358:U2375,$B2398)+COUNTIF(S2358:U2375,$B2398&amp;" ~*")&gt;0)+(COUNTIF(W2358:W2375,$B2398)+COUNTIF(W2358:W2375,$B2398&amp;" ~*")&gt;0)+(COUNTIF(Y2358:Y2375,$B2398)+COUNTIF(Y2358:Y2375,$B2398&amp;" ~*")&gt;0))</f>
        <v/>
      </c>
      <c r="AC2398" s="38">
        <f>IF($B2398="","",(IFERROR(INDEX(Setup!$G$33:$G$40,MATCH(C2398,Setup!$B$33:$B$40,0)),0)=1)*(COUNTIF(C2358:E2375,$B2398)+COUNTIF(C2358:E2375,$B2398&amp;" ~*")&gt;0)+(IFERROR(INDEX(Setup!$G$33:$G$40,MATCH(G2398,Setup!$B$33:$B$40,0)),0)=1)*(COUNTIF(G2358:I2375,$B2398)+COUNTIF(G2358:I2375,$B2398&amp;" ~*")&gt;0)+(IFERROR(INDEX(Setup!$G$33:$G$40,MATCH(K2398,Setup!$B$33:$B$40,0)),0)=1)*(COUNTIF(K2358:M2375,$B2398)+COUNTIF(K2358:M2375,$B2398&amp;" ~*")&gt;0)+(IFERROR(INDEX(Setup!$G$33:$G$40,MATCH(O2398,Setup!$B$33:$B$40,0)),0)=1)*(COUNTIF(O2358:Q2375,$B2398)+COUNTIF(O2358:Q2375,$B2398&amp;" ~*")&gt;0)+(IFERROR(INDEX(Setup!$G$33:$G$40,MATCH(S2398,Setup!$B$33:$B$40,0)),0)=1)*(COUNTIF(S2358:U2375,$B2398)+COUNTIF(S2358:U2375,$B2398&amp;" ~*")&gt;0)+(IFERROR(INDEX(Setup!$G$33:$G$40,MATCH(W2398,Setup!$B$33:$B$40,0)),0)=1)*(COUNTIF(W2358:W2375,$B2398)+COUNTIF(W2358:W2375,$B2398&amp;" ~*")&gt;0)+(IFERROR(INDEX(Setup!$G$33:$G$40,MATCH(Y2398,Setup!$B$33:$B$40,0)),0)=1)*(COUNTIF(Y2358:Y2375,$B2398)+COUNTIF(Y2358:Y2375,$B2398&amp;" ~*")&gt;0))</f>
        <v/>
      </c>
    </row>
    <row r="2399" ht="15" customHeight="1">
      <c r="A2399" t="n">
        <v>48</v>
      </c>
      <c r="B2399" s="35">
        <f>IF(Setup!$B$28="","",Setup!$B$28)</f>
        <v/>
      </c>
      <c r="C2399" s="98" t="n"/>
      <c r="D2399" s="99" t="n"/>
      <c r="E2399" s="99" t="n"/>
      <c r="F2399" s="100" t="n"/>
      <c r="G2399" s="98" t="n"/>
      <c r="H2399" s="99" t="n"/>
      <c r="I2399" s="99" t="n"/>
      <c r="J2399" s="100" t="n"/>
      <c r="K2399" s="98" t="n"/>
      <c r="L2399" s="99" t="n"/>
      <c r="M2399" s="99" t="n"/>
      <c r="N2399" s="100" t="n"/>
      <c r="O2399" s="98" t="n"/>
      <c r="P2399" s="99" t="n"/>
      <c r="Q2399" s="99" t="n"/>
      <c r="R2399" s="100" t="n"/>
      <c r="S2399" s="98" t="n"/>
      <c r="T2399" s="99" t="n"/>
      <c r="U2399" s="99" t="n"/>
      <c r="V2399" s="100" t="n"/>
      <c r="W2399" s="98" t="n"/>
      <c r="X2399" s="100" t="n"/>
      <c r="Y2399" s="98" t="n"/>
      <c r="Z2399" s="100" t="n"/>
      <c r="AB2399" s="101">
        <f>IF($B2399="","",(COUNTIF(C2358:E2375,$B2399)+COUNTIF(C2358:E2375,$B2399&amp;" ~*")&gt;0)+(COUNTIF(G2358:I2375,$B2399)+COUNTIF(G2358:I2375,$B2399&amp;" ~*")&gt;0)+(COUNTIF(K2358:M2375,$B2399)+COUNTIF(K2358:M2375,$B2399&amp;" ~*")&gt;0)+(COUNTIF(O2358:Q2375,$B2399)+COUNTIF(O2358:Q2375,$B2399&amp;" ~*")&gt;0)+(COUNTIF(S2358:U2375,$B2399)+COUNTIF(S2358:U2375,$B2399&amp;" ~*")&gt;0)+(COUNTIF(W2358:W2375,$B2399)+COUNTIF(W2358:W2375,$B2399&amp;" ~*")&gt;0)+(COUNTIF(Y2358:Y2375,$B2399)+COUNTIF(Y2358:Y2375,$B2399&amp;" ~*")&gt;0))</f>
        <v/>
      </c>
      <c r="AC2399" s="36">
        <f>IF($B2399="","",(IFERROR(INDEX(Setup!$G$33:$G$40,MATCH(C2399,Setup!$B$33:$B$40,0)),0)=1)*(COUNTIF(C2358:E2375,$B2399)+COUNTIF(C2358:E2375,$B2399&amp;" ~*")&gt;0)+(IFERROR(INDEX(Setup!$G$33:$G$40,MATCH(G2399,Setup!$B$33:$B$40,0)),0)=1)*(COUNTIF(G2358:I2375,$B2399)+COUNTIF(G2358:I2375,$B2399&amp;" ~*")&gt;0)+(IFERROR(INDEX(Setup!$G$33:$G$40,MATCH(K2399,Setup!$B$33:$B$40,0)),0)=1)*(COUNTIF(K2358:M2375,$B2399)+COUNTIF(K2358:M2375,$B2399&amp;" ~*")&gt;0)+(IFERROR(INDEX(Setup!$G$33:$G$40,MATCH(O2399,Setup!$B$33:$B$40,0)),0)=1)*(COUNTIF(O2358:Q2375,$B2399)+COUNTIF(O2358:Q2375,$B2399&amp;" ~*")&gt;0)+(IFERROR(INDEX(Setup!$G$33:$G$40,MATCH(S2399,Setup!$B$33:$B$40,0)),0)=1)*(COUNTIF(S2358:U2375,$B2399)+COUNTIF(S2358:U2375,$B2399&amp;" ~*")&gt;0)+(IFERROR(INDEX(Setup!$G$33:$G$40,MATCH(W2399,Setup!$B$33:$B$40,0)),0)=1)*(COUNTIF(W2358:W2375,$B2399)+COUNTIF(W2358:W2375,$B2399&amp;" ~*")&gt;0)+(IFERROR(INDEX(Setup!$G$33:$G$40,MATCH(Y2399,Setup!$B$33:$B$40,0)),0)=1)*(COUNTIF(Y2358:Y2375,$B2399)+COUNTIF(Y2358:Y2375,$B2399&amp;" ~*")&gt;0))</f>
        <v/>
      </c>
    </row>
    <row r="2400" ht="15" customHeight="1">
      <c r="A2400" t="n">
        <v>48</v>
      </c>
      <c r="B2400" s="37">
        <f>IF(Setup!$B$29="","",Setup!$B$29)</f>
        <v/>
      </c>
      <c r="C2400" s="102" t="n"/>
      <c r="D2400" s="103" t="n"/>
      <c r="E2400" s="103" t="n"/>
      <c r="F2400" s="104" t="n"/>
      <c r="G2400" s="102" t="n"/>
      <c r="H2400" s="103" t="n"/>
      <c r="I2400" s="103" t="n"/>
      <c r="J2400" s="104" t="n"/>
      <c r="K2400" s="102" t="n"/>
      <c r="L2400" s="103" t="n"/>
      <c r="M2400" s="103" t="n"/>
      <c r="N2400" s="104" t="n"/>
      <c r="O2400" s="102" t="n"/>
      <c r="P2400" s="103" t="n"/>
      <c r="Q2400" s="103" t="n"/>
      <c r="R2400" s="104" t="n"/>
      <c r="S2400" s="102" t="n"/>
      <c r="T2400" s="103" t="n"/>
      <c r="U2400" s="103" t="n"/>
      <c r="V2400" s="104" t="n"/>
      <c r="W2400" s="102" t="n"/>
      <c r="X2400" s="104" t="n"/>
      <c r="Y2400" s="102" t="n"/>
      <c r="Z2400" s="104" t="n"/>
      <c r="AB2400" s="105">
        <f>IF($B2400="","",(COUNTIF(C2358:E2375,$B2400)+COUNTIF(C2358:E2375,$B2400&amp;" ~*")&gt;0)+(COUNTIF(G2358:I2375,$B2400)+COUNTIF(G2358:I2375,$B2400&amp;" ~*")&gt;0)+(COUNTIF(K2358:M2375,$B2400)+COUNTIF(K2358:M2375,$B2400&amp;" ~*")&gt;0)+(COUNTIF(O2358:Q2375,$B2400)+COUNTIF(O2358:Q2375,$B2400&amp;" ~*")&gt;0)+(COUNTIF(S2358:U2375,$B2400)+COUNTIF(S2358:U2375,$B2400&amp;" ~*")&gt;0)+(COUNTIF(W2358:W2375,$B2400)+COUNTIF(W2358:W2375,$B2400&amp;" ~*")&gt;0)+(COUNTIF(Y2358:Y2375,$B2400)+COUNTIF(Y2358:Y2375,$B2400&amp;" ~*")&gt;0))</f>
        <v/>
      </c>
      <c r="AC2400" s="38">
        <f>IF($B2400="","",(IFERROR(INDEX(Setup!$G$33:$G$40,MATCH(C2400,Setup!$B$33:$B$40,0)),0)=1)*(COUNTIF(C2358:E2375,$B2400)+COUNTIF(C2358:E2375,$B2400&amp;" ~*")&gt;0)+(IFERROR(INDEX(Setup!$G$33:$G$40,MATCH(G2400,Setup!$B$33:$B$40,0)),0)=1)*(COUNTIF(G2358:I2375,$B2400)+COUNTIF(G2358:I2375,$B2400&amp;" ~*")&gt;0)+(IFERROR(INDEX(Setup!$G$33:$G$40,MATCH(K2400,Setup!$B$33:$B$40,0)),0)=1)*(COUNTIF(K2358:M2375,$B2400)+COUNTIF(K2358:M2375,$B2400&amp;" ~*")&gt;0)+(IFERROR(INDEX(Setup!$G$33:$G$40,MATCH(O2400,Setup!$B$33:$B$40,0)),0)=1)*(COUNTIF(O2358:Q2375,$B2400)+COUNTIF(O2358:Q2375,$B2400&amp;" ~*")&gt;0)+(IFERROR(INDEX(Setup!$G$33:$G$40,MATCH(S2400,Setup!$B$33:$B$40,0)),0)=1)*(COUNTIF(S2358:U2375,$B2400)+COUNTIF(S2358:U2375,$B2400&amp;" ~*")&gt;0)+(IFERROR(INDEX(Setup!$G$33:$G$40,MATCH(W2400,Setup!$B$33:$B$40,0)),0)=1)*(COUNTIF(W2358:W2375,$B2400)+COUNTIF(W2358:W2375,$B2400&amp;" ~*")&gt;0)+(IFERROR(INDEX(Setup!$G$33:$G$40,MATCH(Y2400,Setup!$B$33:$B$40,0)),0)=1)*(COUNTIF(Y2358:Y2375,$B2400)+COUNTIF(Y2358:Y2375,$B2400&amp;" ~*")&gt;0))</f>
        <v/>
      </c>
    </row>
    <row r="2401" ht="16" customHeight="1">
      <c r="A2401" t="n">
        <v>48</v>
      </c>
      <c r="B2401" s="106" t="inlineStr">
        <is>
          <t>Available people</t>
        </is>
      </c>
      <c r="C2401" s="107">
        <f>COUNTIFS(Setup!$E$6:$E$29,"Y",Setup!$B$6:$B$29,"?*")-SUMPRODUCT(COUNTIF(C2377:C2400,Setup!$F$33:$F$40))</f>
        <v/>
      </c>
      <c r="D2401" s="107" t="n"/>
      <c r="E2401" s="107" t="n"/>
      <c r="F2401" s="107" t="n"/>
      <c r="G2401" s="107">
        <f>COUNTIFS(Setup!$E$6:$E$29,"Y",Setup!$B$6:$B$29,"?*")-SUMPRODUCT(COUNTIF(G2377:G2400,Setup!$F$33:$F$40))</f>
        <v/>
      </c>
      <c r="H2401" s="107" t="n"/>
      <c r="I2401" s="107" t="n"/>
      <c r="J2401" s="107" t="n"/>
      <c r="K2401" s="107">
        <f>COUNTIFS(Setup!$E$6:$E$29,"Y",Setup!$B$6:$B$29,"?*")-SUMPRODUCT(COUNTIF(K2377:K2400,Setup!$F$33:$F$40))</f>
        <v/>
      </c>
      <c r="L2401" s="107" t="n"/>
      <c r="M2401" s="107" t="n"/>
      <c r="N2401" s="107" t="n"/>
      <c r="O2401" s="107">
        <f>COUNTIFS(Setup!$E$6:$E$29,"Y",Setup!$B$6:$B$29,"?*")-SUMPRODUCT(COUNTIF(O2377:O2400,Setup!$F$33:$F$40))</f>
        <v/>
      </c>
      <c r="P2401" s="107" t="n"/>
      <c r="Q2401" s="107" t="n"/>
      <c r="R2401" s="107" t="n"/>
      <c r="S2401" s="107">
        <f>COUNTIFS(Setup!$E$6:$E$29,"Y",Setup!$B$6:$B$29,"?*")-SUMPRODUCT(COUNTIF(S2377:S2400,Setup!$F$33:$F$40))</f>
        <v/>
      </c>
      <c r="T2401" s="107" t="n"/>
      <c r="U2401" s="107" t="n"/>
      <c r="V2401" s="107" t="n"/>
      <c r="W2401" s="107">
        <f>COUNTIFS(Setup!$E$6:$E$29,"Y",Setup!$B$6:$B$29,"?*")-SUMPRODUCT(COUNTIF(W2377:W2400,Setup!$F$33:$F$40))</f>
        <v/>
      </c>
      <c r="X2401" s="107" t="n"/>
      <c r="Y2401" s="107">
        <f>COUNTIFS(Setup!$E$6:$E$29,"Y",Setup!$B$6:$B$29,"?*")-SUMPRODUCT(COUNTIF(Y2377:Y2400,Setup!$F$33:$F$40))</f>
        <v/>
      </c>
      <c r="Z2401" s="107" t="n"/>
      <c r="AB2401" s="108">
        <f>SUM(AB2377:AB2400)</f>
        <v/>
      </c>
      <c r="AC2401" s="109">
        <f>SUM(AC2377:AC2400)</f>
        <v/>
      </c>
    </row>
    <row r="2402" ht="30" customHeight="1">
      <c r="A2402" t="n">
        <v>48</v>
      </c>
      <c r="B2402" s="110" t="inlineStr">
        <is>
          <t>Week notes</t>
        </is>
      </c>
      <c r="C2402" s="111" t="n"/>
      <c r="D2402" s="112" t="n"/>
      <c r="E2402" s="112" t="n"/>
      <c r="F2402" s="112" t="n"/>
      <c r="G2402" s="112" t="n"/>
      <c r="H2402" s="112" t="n"/>
      <c r="I2402" s="112" t="n"/>
      <c r="J2402" s="112" t="n"/>
      <c r="K2402" s="112" t="n"/>
      <c r="L2402" s="112" t="n"/>
      <c r="M2402" s="112" t="n"/>
      <c r="N2402" s="112" t="n"/>
      <c r="O2402" s="112" t="n"/>
      <c r="P2402" s="112" t="n"/>
      <c r="Q2402" s="112" t="n"/>
      <c r="R2402" s="112" t="n"/>
      <c r="S2402" s="112" t="n"/>
      <c r="T2402" s="112" t="n"/>
      <c r="U2402" s="112" t="n"/>
      <c r="V2402" s="112" t="n"/>
      <c r="W2402" s="112" t="n"/>
      <c r="X2402" s="112" t="n"/>
      <c r="Y2402" s="112" t="n"/>
      <c r="Z2402" s="113" t="n"/>
    </row>
    <row r="2403" ht="8" customHeight="1">
      <c r="A2403" t="n">
        <v>48</v>
      </c>
    </row>
    <row r="2404" ht="8" customHeight="1">
      <c r="A2404" t="n">
        <v>48</v>
      </c>
    </row>
    <row r="2405" ht="24" customHeight="1">
      <c r="A2405" t="n">
        <v>49</v>
      </c>
      <c r="B2405" s="73">
        <f>"WEEK 49     "&amp;TEXT(C2406,"ddd d mmm")&amp;"  –  "&amp;TEXT(C2406+6,"ddd d mmm yyyy")</f>
        <v/>
      </c>
      <c r="S2405" s="74">
        <f>IF(TODAY()&lt;C2406,"FUTURE",IF(TODAY()&gt;C2406+6,"PAST","THIS WEEK"))</f>
        <v/>
      </c>
      <c r="W2405" s="75">
        <f>IF(AND(Engine!$B$8=$AC$3,Engine!$B$9=$A2405),"◀ ACTIVE WEEK","")</f>
        <v/>
      </c>
      <c r="AA2405" s="76" t="n"/>
      <c r="AB2405" s="77" t="inlineStr">
        <is>
          <t>◀ Prev</t>
        </is>
      </c>
      <c r="AC2405" s="77" t="inlineStr">
        <is>
          <t>Next ▶</t>
        </is>
      </c>
    </row>
    <row r="2406" ht="18" customHeight="1">
      <c r="A2406" t="n">
        <v>49</v>
      </c>
      <c r="B2406" s="78" t="inlineStr">
        <is>
          <t>DUTY</t>
        </is>
      </c>
      <c r="C2406" s="79">
        <f>$AC$2+7*($A2406-1)</f>
        <v/>
      </c>
      <c r="D2406" s="80" t="n"/>
      <c r="E2406" s="80" t="n"/>
      <c r="F2406" s="81" t="n"/>
      <c r="G2406" s="79">
        <f>C2406+1</f>
        <v/>
      </c>
      <c r="H2406" s="80" t="n"/>
      <c r="I2406" s="80" t="n"/>
      <c r="J2406" s="81" t="n"/>
      <c r="K2406" s="79">
        <f>C2406+2</f>
        <v/>
      </c>
      <c r="L2406" s="80" t="n"/>
      <c r="M2406" s="80" t="n"/>
      <c r="N2406" s="81" t="n"/>
      <c r="O2406" s="79">
        <f>C2406+3</f>
        <v/>
      </c>
      <c r="P2406" s="80" t="n"/>
      <c r="Q2406" s="80" t="n"/>
      <c r="R2406" s="81" t="n"/>
      <c r="S2406" s="79">
        <f>C2406+4</f>
        <v/>
      </c>
      <c r="T2406" s="80" t="n"/>
      <c r="U2406" s="80" t="n"/>
      <c r="V2406" s="81" t="n"/>
      <c r="W2406" s="82">
        <f>C2406+5</f>
        <v/>
      </c>
      <c r="X2406" s="83" t="n"/>
      <c r="Y2406" s="82">
        <f>C2406+6</f>
        <v/>
      </c>
      <c r="Z2406" s="83" t="n"/>
      <c r="AB2406" s="72" t="inlineStr">
        <is>
          <t>Gaps</t>
        </is>
      </c>
      <c r="AC2406" s="72" t="inlineStr">
        <is>
          <t>Cover</t>
        </is>
      </c>
    </row>
    <row r="2407" ht="14" customHeight="1">
      <c r="A2407" t="n">
        <v>49</v>
      </c>
      <c r="B2407" s="84" t="inlineStr">
        <is>
          <t>(from Setup)</t>
        </is>
      </c>
      <c r="C2407" s="85" t="inlineStr">
        <is>
          <t>1</t>
        </is>
      </c>
      <c r="D2407" s="85" t="inlineStr">
        <is>
          <t>2</t>
        </is>
      </c>
      <c r="E2407" s="85" t="inlineStr">
        <is>
          <t>3</t>
        </is>
      </c>
      <c r="F2407" s="85" t="inlineStr">
        <is>
          <t>Notes</t>
        </is>
      </c>
      <c r="G2407" s="85" t="inlineStr">
        <is>
          <t>1</t>
        </is>
      </c>
      <c r="H2407" s="85" t="inlineStr">
        <is>
          <t>2</t>
        </is>
      </c>
      <c r="I2407" s="85" t="inlineStr">
        <is>
          <t>3</t>
        </is>
      </c>
      <c r="J2407" s="85" t="inlineStr">
        <is>
          <t>Notes</t>
        </is>
      </c>
      <c r="K2407" s="85" t="inlineStr">
        <is>
          <t>1</t>
        </is>
      </c>
      <c r="L2407" s="85" t="inlineStr">
        <is>
          <t>2</t>
        </is>
      </c>
      <c r="M2407" s="85" t="inlineStr">
        <is>
          <t>3</t>
        </is>
      </c>
      <c r="N2407" s="85" t="inlineStr">
        <is>
          <t>Notes</t>
        </is>
      </c>
      <c r="O2407" s="85" t="inlineStr">
        <is>
          <t>1</t>
        </is>
      </c>
      <c r="P2407" s="85" t="inlineStr">
        <is>
          <t>2</t>
        </is>
      </c>
      <c r="Q2407" s="85" t="inlineStr">
        <is>
          <t>3</t>
        </is>
      </c>
      <c r="R2407" s="85" t="inlineStr">
        <is>
          <t>Notes</t>
        </is>
      </c>
      <c r="S2407" s="85" t="inlineStr">
        <is>
          <t>1</t>
        </is>
      </c>
      <c r="T2407" s="85" t="inlineStr">
        <is>
          <t>2</t>
        </is>
      </c>
      <c r="U2407" s="85" t="inlineStr">
        <is>
          <t>3</t>
        </is>
      </c>
      <c r="V2407" s="85" t="inlineStr">
        <is>
          <t>Notes</t>
        </is>
      </c>
      <c r="W2407" s="85" t="inlineStr">
        <is>
          <t>Cover</t>
        </is>
      </c>
      <c r="X2407" s="85" t="inlineStr">
        <is>
          <t>Notes</t>
        </is>
      </c>
      <c r="Y2407" s="85" t="inlineStr">
        <is>
          <t>Cover</t>
        </is>
      </c>
      <c r="Z2407" s="85" t="inlineStr">
        <is>
          <t>Notes</t>
        </is>
      </c>
      <c r="AB2407" s="86" t="inlineStr">
        <is>
          <t>weekdays short</t>
        </is>
      </c>
      <c r="AC2407" s="87" t="inlineStr"/>
    </row>
    <row r="2408" ht="17" customHeight="1">
      <c r="A2408" t="n">
        <v>49</v>
      </c>
      <c r="B2408" s="24">
        <f>IF(Setup!$K$6="","",Setup!$K$6)</f>
        <v/>
      </c>
      <c r="C2408" s="88" t="n"/>
      <c r="D2408" s="88" t="n"/>
      <c r="E2408" s="88" t="n"/>
      <c r="F2408" s="89" t="n"/>
      <c r="G2408" s="88" t="n"/>
      <c r="H2408" s="88" t="n"/>
      <c r="I2408" s="88" t="n"/>
      <c r="J2408" s="89" t="n"/>
      <c r="K2408" s="88" t="n"/>
      <c r="L2408" s="88" t="n"/>
      <c r="M2408" s="88" t="n"/>
      <c r="N2408" s="89" t="n"/>
      <c r="O2408" s="88" t="n"/>
      <c r="P2408" s="88" t="n"/>
      <c r="Q2408" s="88" t="n"/>
      <c r="R2408" s="89" t="n"/>
      <c r="S2408" s="88" t="n"/>
      <c r="T2408" s="88" t="n"/>
      <c r="U2408" s="88" t="n"/>
      <c r="V2408" s="89" t="n"/>
      <c r="W2408" s="88" t="n"/>
      <c r="X2408" s="89" t="n"/>
      <c r="Y2408" s="88" t="n"/>
      <c r="Z2408" s="89" t="n"/>
      <c r="AB2408" s="25">
        <f>IF($B2408="","",(COUNTIF(C2408:E2408,"?*")&lt;N(INDEX(Setup!$L$6:$L$23,1)))+(COUNTIF(G2408:I2408,"?*")&lt;N(INDEX(Setup!$L$6:$L$23,1)))+(COUNTIF(K2408:M2408,"?*")&lt;N(INDEX(Setup!$L$6:$L$23,1)))+(COUNTIF(O2408:Q2408,"?*")&lt;N(INDEX(Setup!$L$6:$L$23,1)))+(COUNTIF(S2408:U2408,"?*")&lt;N(INDEX(Setup!$L$6:$L$23,1)))+((W2408="")*(INDEX(Setup!$M$6:$M$23,1)="Y"))+((Y2408="")*(INDEX(Setup!$M$6:$M$23,1)="Y")))</f>
        <v/>
      </c>
      <c r="AC2408" s="90">
        <f>IF($B2408="","",IF(AB2408=0,"✓ covered","⚠ "&amp;AB2408&amp;IF(AB2408=1," gap"," gaps")))</f>
        <v/>
      </c>
    </row>
    <row r="2409" ht="17" customHeight="1">
      <c r="A2409" t="n">
        <v>49</v>
      </c>
      <c r="B2409" s="29">
        <f>IF(Setup!$K$7="","",Setup!$K$7)</f>
        <v/>
      </c>
      <c r="C2409" s="88" t="n"/>
      <c r="D2409" s="88" t="n"/>
      <c r="E2409" s="88" t="n"/>
      <c r="F2409" s="89" t="n"/>
      <c r="G2409" s="88" t="n"/>
      <c r="H2409" s="88" t="n"/>
      <c r="I2409" s="88" t="n"/>
      <c r="J2409" s="89" t="n"/>
      <c r="K2409" s="88" t="n"/>
      <c r="L2409" s="88" t="n"/>
      <c r="M2409" s="88" t="n"/>
      <c r="N2409" s="89" t="n"/>
      <c r="O2409" s="88" t="n"/>
      <c r="P2409" s="88" t="n"/>
      <c r="Q2409" s="88" t="n"/>
      <c r="R2409" s="89" t="n"/>
      <c r="S2409" s="88" t="n"/>
      <c r="T2409" s="88" t="n"/>
      <c r="U2409" s="88" t="n"/>
      <c r="V2409" s="89" t="n"/>
      <c r="W2409" s="88" t="n"/>
      <c r="X2409" s="89" t="n"/>
      <c r="Y2409" s="88" t="n"/>
      <c r="Z2409" s="89" t="n"/>
      <c r="AB2409" s="30">
        <f>IF($B2409="","",(COUNTIF(C2409:E2409,"?*")&lt;N(INDEX(Setup!$L$6:$L$23,2)))+(COUNTIF(G2409:I2409,"?*")&lt;N(INDEX(Setup!$L$6:$L$23,2)))+(COUNTIF(K2409:M2409,"?*")&lt;N(INDEX(Setup!$L$6:$L$23,2)))+(COUNTIF(O2409:Q2409,"?*")&lt;N(INDEX(Setup!$L$6:$L$23,2)))+(COUNTIF(S2409:U2409,"?*")&lt;N(INDEX(Setup!$L$6:$L$23,2)))+((W2409="")*(INDEX(Setup!$M$6:$M$23,2)="Y"))+((Y2409="")*(INDEX(Setup!$M$6:$M$23,2)="Y")))</f>
        <v/>
      </c>
      <c r="AC2409" s="91">
        <f>IF($B2409="","",IF(AB2409=0,"✓ covered","⚠ "&amp;AB2409&amp;IF(AB2409=1," gap"," gaps")))</f>
        <v/>
      </c>
    </row>
    <row r="2410" ht="17" customHeight="1">
      <c r="A2410" t="n">
        <v>49</v>
      </c>
      <c r="B2410" s="24">
        <f>IF(Setup!$K$8="","",Setup!$K$8)</f>
        <v/>
      </c>
      <c r="C2410" s="88" t="n"/>
      <c r="D2410" s="88" t="n"/>
      <c r="E2410" s="88" t="n"/>
      <c r="F2410" s="89" t="n"/>
      <c r="G2410" s="88" t="n"/>
      <c r="H2410" s="88" t="n"/>
      <c r="I2410" s="88" t="n"/>
      <c r="J2410" s="89" t="n"/>
      <c r="K2410" s="88" t="n"/>
      <c r="L2410" s="88" t="n"/>
      <c r="M2410" s="88" t="n"/>
      <c r="N2410" s="89" t="n"/>
      <c r="O2410" s="88" t="n"/>
      <c r="P2410" s="88" t="n"/>
      <c r="Q2410" s="88" t="n"/>
      <c r="R2410" s="89" t="n"/>
      <c r="S2410" s="88" t="n"/>
      <c r="T2410" s="88" t="n"/>
      <c r="U2410" s="88" t="n"/>
      <c r="V2410" s="89" t="n"/>
      <c r="W2410" s="88" t="n"/>
      <c r="X2410" s="89" t="n"/>
      <c r="Y2410" s="88" t="n"/>
      <c r="Z2410" s="89" t="n"/>
      <c r="AB2410" s="25">
        <f>IF($B2410="","",(COUNTIF(C2410:E2410,"?*")&lt;N(INDEX(Setup!$L$6:$L$23,3)))+(COUNTIF(G2410:I2410,"?*")&lt;N(INDEX(Setup!$L$6:$L$23,3)))+(COUNTIF(K2410:M2410,"?*")&lt;N(INDEX(Setup!$L$6:$L$23,3)))+(COUNTIF(O2410:Q2410,"?*")&lt;N(INDEX(Setup!$L$6:$L$23,3)))+(COUNTIF(S2410:U2410,"?*")&lt;N(INDEX(Setup!$L$6:$L$23,3)))+((W2410="")*(INDEX(Setup!$M$6:$M$23,3)="Y"))+((Y2410="")*(INDEX(Setup!$M$6:$M$23,3)="Y")))</f>
        <v/>
      </c>
      <c r="AC2410" s="90">
        <f>IF($B2410="","",IF(AB2410=0,"✓ covered","⚠ "&amp;AB2410&amp;IF(AB2410=1," gap"," gaps")))</f>
        <v/>
      </c>
    </row>
    <row r="2411" ht="17" customHeight="1">
      <c r="A2411" t="n">
        <v>49</v>
      </c>
      <c r="B2411" s="29">
        <f>IF(Setup!$K$9="","",Setup!$K$9)</f>
        <v/>
      </c>
      <c r="C2411" s="88" t="n"/>
      <c r="D2411" s="88" t="n"/>
      <c r="E2411" s="88" t="n"/>
      <c r="F2411" s="89" t="n"/>
      <c r="G2411" s="88" t="n"/>
      <c r="H2411" s="88" t="n"/>
      <c r="I2411" s="88" t="n"/>
      <c r="J2411" s="89" t="n"/>
      <c r="K2411" s="88" t="n"/>
      <c r="L2411" s="88" t="n"/>
      <c r="M2411" s="88" t="n"/>
      <c r="N2411" s="89" t="n"/>
      <c r="O2411" s="88" t="n"/>
      <c r="P2411" s="88" t="n"/>
      <c r="Q2411" s="88" t="n"/>
      <c r="R2411" s="89" t="n"/>
      <c r="S2411" s="88" t="n"/>
      <c r="T2411" s="88" t="n"/>
      <c r="U2411" s="88" t="n"/>
      <c r="V2411" s="89" t="n"/>
      <c r="W2411" s="88" t="n"/>
      <c r="X2411" s="89" t="n"/>
      <c r="Y2411" s="88" t="n"/>
      <c r="Z2411" s="89" t="n"/>
      <c r="AB2411" s="30">
        <f>IF($B2411="","",(COUNTIF(C2411:E2411,"?*")&lt;N(INDEX(Setup!$L$6:$L$23,4)))+(COUNTIF(G2411:I2411,"?*")&lt;N(INDEX(Setup!$L$6:$L$23,4)))+(COUNTIF(K2411:M2411,"?*")&lt;N(INDEX(Setup!$L$6:$L$23,4)))+(COUNTIF(O2411:Q2411,"?*")&lt;N(INDEX(Setup!$L$6:$L$23,4)))+(COUNTIF(S2411:U2411,"?*")&lt;N(INDEX(Setup!$L$6:$L$23,4)))+((W2411="")*(INDEX(Setup!$M$6:$M$23,4)="Y"))+((Y2411="")*(INDEX(Setup!$M$6:$M$23,4)="Y")))</f>
        <v/>
      </c>
      <c r="AC2411" s="91">
        <f>IF($B2411="","",IF(AB2411=0,"✓ covered","⚠ "&amp;AB2411&amp;IF(AB2411=1," gap"," gaps")))</f>
        <v/>
      </c>
    </row>
    <row r="2412" ht="17" customHeight="1">
      <c r="A2412" t="n">
        <v>49</v>
      </c>
      <c r="B2412" s="24">
        <f>IF(Setup!$K$10="","",Setup!$K$10)</f>
        <v/>
      </c>
      <c r="C2412" s="88" t="n"/>
      <c r="D2412" s="88" t="n"/>
      <c r="E2412" s="88" t="n"/>
      <c r="F2412" s="89" t="n"/>
      <c r="G2412" s="88" t="n"/>
      <c r="H2412" s="88" t="n"/>
      <c r="I2412" s="88" t="n"/>
      <c r="J2412" s="89" t="n"/>
      <c r="K2412" s="88" t="n"/>
      <c r="L2412" s="88" t="n"/>
      <c r="M2412" s="88" t="n"/>
      <c r="N2412" s="89" t="n"/>
      <c r="O2412" s="88" t="n"/>
      <c r="P2412" s="88" t="n"/>
      <c r="Q2412" s="88" t="n"/>
      <c r="R2412" s="89" t="n"/>
      <c r="S2412" s="88" t="n"/>
      <c r="T2412" s="88" t="n"/>
      <c r="U2412" s="88" t="n"/>
      <c r="V2412" s="89" t="n"/>
      <c r="W2412" s="88" t="n"/>
      <c r="X2412" s="89" t="n"/>
      <c r="Y2412" s="88" t="n"/>
      <c r="Z2412" s="89" t="n"/>
      <c r="AB2412" s="25">
        <f>IF($B2412="","",(COUNTIF(C2412:E2412,"?*")&lt;N(INDEX(Setup!$L$6:$L$23,5)))+(COUNTIF(G2412:I2412,"?*")&lt;N(INDEX(Setup!$L$6:$L$23,5)))+(COUNTIF(K2412:M2412,"?*")&lt;N(INDEX(Setup!$L$6:$L$23,5)))+(COUNTIF(O2412:Q2412,"?*")&lt;N(INDEX(Setup!$L$6:$L$23,5)))+(COUNTIF(S2412:U2412,"?*")&lt;N(INDEX(Setup!$L$6:$L$23,5)))+((W2412="")*(INDEX(Setup!$M$6:$M$23,5)="Y"))+((Y2412="")*(INDEX(Setup!$M$6:$M$23,5)="Y")))</f>
        <v/>
      </c>
      <c r="AC2412" s="90">
        <f>IF($B2412="","",IF(AB2412=0,"✓ covered","⚠ "&amp;AB2412&amp;IF(AB2412=1," gap"," gaps")))</f>
        <v/>
      </c>
    </row>
    <row r="2413" ht="17" customHeight="1">
      <c r="A2413" t="n">
        <v>49</v>
      </c>
      <c r="B2413" s="29">
        <f>IF(Setup!$K$11="","",Setup!$K$11)</f>
        <v/>
      </c>
      <c r="C2413" s="88" t="n"/>
      <c r="D2413" s="88" t="n"/>
      <c r="E2413" s="88" t="n"/>
      <c r="F2413" s="89" t="n"/>
      <c r="G2413" s="88" t="n"/>
      <c r="H2413" s="88" t="n"/>
      <c r="I2413" s="88" t="n"/>
      <c r="J2413" s="89" t="n"/>
      <c r="K2413" s="88" t="n"/>
      <c r="L2413" s="88" t="n"/>
      <c r="M2413" s="88" t="n"/>
      <c r="N2413" s="89" t="n"/>
      <c r="O2413" s="88" t="n"/>
      <c r="P2413" s="88" t="n"/>
      <c r="Q2413" s="88" t="n"/>
      <c r="R2413" s="89" t="n"/>
      <c r="S2413" s="88" t="n"/>
      <c r="T2413" s="88" t="n"/>
      <c r="U2413" s="88" t="n"/>
      <c r="V2413" s="89" t="n"/>
      <c r="W2413" s="88" t="n"/>
      <c r="X2413" s="89" t="n"/>
      <c r="Y2413" s="88" t="n"/>
      <c r="Z2413" s="89" t="n"/>
      <c r="AB2413" s="30">
        <f>IF($B2413="","",(COUNTIF(C2413:E2413,"?*")&lt;N(INDEX(Setup!$L$6:$L$23,6)))+(COUNTIF(G2413:I2413,"?*")&lt;N(INDEX(Setup!$L$6:$L$23,6)))+(COUNTIF(K2413:M2413,"?*")&lt;N(INDEX(Setup!$L$6:$L$23,6)))+(COUNTIF(O2413:Q2413,"?*")&lt;N(INDEX(Setup!$L$6:$L$23,6)))+(COUNTIF(S2413:U2413,"?*")&lt;N(INDEX(Setup!$L$6:$L$23,6)))+((W2413="")*(INDEX(Setup!$M$6:$M$23,6)="Y"))+((Y2413="")*(INDEX(Setup!$M$6:$M$23,6)="Y")))</f>
        <v/>
      </c>
      <c r="AC2413" s="91">
        <f>IF($B2413="","",IF(AB2413=0,"✓ covered","⚠ "&amp;AB2413&amp;IF(AB2413=1," gap"," gaps")))</f>
        <v/>
      </c>
    </row>
    <row r="2414" ht="17" customHeight="1">
      <c r="A2414" t="n">
        <v>49</v>
      </c>
      <c r="B2414" s="24">
        <f>IF(Setup!$K$12="","",Setup!$K$12)</f>
        <v/>
      </c>
      <c r="C2414" s="88" t="n"/>
      <c r="D2414" s="88" t="n"/>
      <c r="E2414" s="88" t="n"/>
      <c r="F2414" s="89" t="n"/>
      <c r="G2414" s="88" t="n"/>
      <c r="H2414" s="88" t="n"/>
      <c r="I2414" s="88" t="n"/>
      <c r="J2414" s="89" t="n"/>
      <c r="K2414" s="88" t="n"/>
      <c r="L2414" s="88" t="n"/>
      <c r="M2414" s="88" t="n"/>
      <c r="N2414" s="89" t="n"/>
      <c r="O2414" s="88" t="n"/>
      <c r="P2414" s="88" t="n"/>
      <c r="Q2414" s="88" t="n"/>
      <c r="R2414" s="89" t="n"/>
      <c r="S2414" s="88" t="n"/>
      <c r="T2414" s="88" t="n"/>
      <c r="U2414" s="88" t="n"/>
      <c r="V2414" s="89" t="n"/>
      <c r="W2414" s="88" t="n"/>
      <c r="X2414" s="89" t="n"/>
      <c r="Y2414" s="88" t="n"/>
      <c r="Z2414" s="89" t="n"/>
      <c r="AB2414" s="25">
        <f>IF($B2414="","",(COUNTIF(C2414:E2414,"?*")&lt;N(INDEX(Setup!$L$6:$L$23,7)))+(COUNTIF(G2414:I2414,"?*")&lt;N(INDEX(Setup!$L$6:$L$23,7)))+(COUNTIF(K2414:M2414,"?*")&lt;N(INDEX(Setup!$L$6:$L$23,7)))+(COUNTIF(O2414:Q2414,"?*")&lt;N(INDEX(Setup!$L$6:$L$23,7)))+(COUNTIF(S2414:U2414,"?*")&lt;N(INDEX(Setup!$L$6:$L$23,7)))+((W2414="")*(INDEX(Setup!$M$6:$M$23,7)="Y"))+((Y2414="")*(INDEX(Setup!$M$6:$M$23,7)="Y")))</f>
        <v/>
      </c>
      <c r="AC2414" s="90">
        <f>IF($B2414="","",IF(AB2414=0,"✓ covered","⚠ "&amp;AB2414&amp;IF(AB2414=1," gap"," gaps")))</f>
        <v/>
      </c>
    </row>
    <row r="2415" ht="17" customHeight="1">
      <c r="A2415" t="n">
        <v>49</v>
      </c>
      <c r="B2415" s="29">
        <f>IF(Setup!$K$13="","",Setup!$K$13)</f>
        <v/>
      </c>
      <c r="C2415" s="88" t="n"/>
      <c r="D2415" s="88" t="n"/>
      <c r="E2415" s="88" t="n"/>
      <c r="F2415" s="89" t="n"/>
      <c r="G2415" s="88" t="n"/>
      <c r="H2415" s="88" t="n"/>
      <c r="I2415" s="88" t="n"/>
      <c r="J2415" s="89" t="n"/>
      <c r="K2415" s="88" t="n"/>
      <c r="L2415" s="88" t="n"/>
      <c r="M2415" s="88" t="n"/>
      <c r="N2415" s="89" t="n"/>
      <c r="O2415" s="88" t="n"/>
      <c r="P2415" s="88" t="n"/>
      <c r="Q2415" s="88" t="n"/>
      <c r="R2415" s="89" t="n"/>
      <c r="S2415" s="88" t="n"/>
      <c r="T2415" s="88" t="n"/>
      <c r="U2415" s="88" t="n"/>
      <c r="V2415" s="89" t="n"/>
      <c r="W2415" s="88" t="n"/>
      <c r="X2415" s="89" t="n"/>
      <c r="Y2415" s="88" t="n"/>
      <c r="Z2415" s="89" t="n"/>
      <c r="AB2415" s="30">
        <f>IF($B2415="","",(COUNTIF(C2415:E2415,"?*")&lt;N(INDEX(Setup!$L$6:$L$23,8)))+(COUNTIF(G2415:I2415,"?*")&lt;N(INDEX(Setup!$L$6:$L$23,8)))+(COUNTIF(K2415:M2415,"?*")&lt;N(INDEX(Setup!$L$6:$L$23,8)))+(COUNTIF(O2415:Q2415,"?*")&lt;N(INDEX(Setup!$L$6:$L$23,8)))+(COUNTIF(S2415:U2415,"?*")&lt;N(INDEX(Setup!$L$6:$L$23,8)))+((W2415="")*(INDEX(Setup!$M$6:$M$23,8)="Y"))+((Y2415="")*(INDEX(Setup!$M$6:$M$23,8)="Y")))</f>
        <v/>
      </c>
      <c r="AC2415" s="91">
        <f>IF($B2415="","",IF(AB2415=0,"✓ covered","⚠ "&amp;AB2415&amp;IF(AB2415=1," gap"," gaps")))</f>
        <v/>
      </c>
    </row>
    <row r="2416" ht="17" customHeight="1">
      <c r="A2416" t="n">
        <v>49</v>
      </c>
      <c r="B2416" s="24">
        <f>IF(Setup!$K$14="","",Setup!$K$14)</f>
        <v/>
      </c>
      <c r="C2416" s="88" t="n"/>
      <c r="D2416" s="88" t="n"/>
      <c r="E2416" s="88" t="n"/>
      <c r="F2416" s="89" t="n"/>
      <c r="G2416" s="88" t="n"/>
      <c r="H2416" s="88" t="n"/>
      <c r="I2416" s="88" t="n"/>
      <c r="J2416" s="89" t="n"/>
      <c r="K2416" s="88" t="n"/>
      <c r="L2416" s="88" t="n"/>
      <c r="M2416" s="88" t="n"/>
      <c r="N2416" s="89" t="n"/>
      <c r="O2416" s="88" t="n"/>
      <c r="P2416" s="88" t="n"/>
      <c r="Q2416" s="88" t="n"/>
      <c r="R2416" s="89" t="n"/>
      <c r="S2416" s="88" t="n"/>
      <c r="T2416" s="88" t="n"/>
      <c r="U2416" s="88" t="n"/>
      <c r="V2416" s="89" t="n"/>
      <c r="W2416" s="88" t="n"/>
      <c r="X2416" s="89" t="n"/>
      <c r="Y2416" s="88" t="n"/>
      <c r="Z2416" s="89" t="n"/>
      <c r="AB2416" s="25">
        <f>IF($B2416="","",(COUNTIF(C2416:E2416,"?*")&lt;N(INDEX(Setup!$L$6:$L$23,9)))+(COUNTIF(G2416:I2416,"?*")&lt;N(INDEX(Setup!$L$6:$L$23,9)))+(COUNTIF(K2416:M2416,"?*")&lt;N(INDEX(Setup!$L$6:$L$23,9)))+(COUNTIF(O2416:Q2416,"?*")&lt;N(INDEX(Setup!$L$6:$L$23,9)))+(COUNTIF(S2416:U2416,"?*")&lt;N(INDEX(Setup!$L$6:$L$23,9)))+((W2416="")*(INDEX(Setup!$M$6:$M$23,9)="Y"))+((Y2416="")*(INDEX(Setup!$M$6:$M$23,9)="Y")))</f>
        <v/>
      </c>
      <c r="AC2416" s="90">
        <f>IF($B2416="","",IF(AB2416=0,"✓ covered","⚠ "&amp;AB2416&amp;IF(AB2416=1," gap"," gaps")))</f>
        <v/>
      </c>
    </row>
    <row r="2417" ht="17" customHeight="1">
      <c r="A2417" t="n">
        <v>49</v>
      </c>
      <c r="B2417" s="29">
        <f>IF(Setup!$K$15="","",Setup!$K$15)</f>
        <v/>
      </c>
      <c r="C2417" s="88" t="n"/>
      <c r="D2417" s="88" t="n"/>
      <c r="E2417" s="88" t="n"/>
      <c r="F2417" s="89" t="n"/>
      <c r="G2417" s="88" t="n"/>
      <c r="H2417" s="88" t="n"/>
      <c r="I2417" s="88" t="n"/>
      <c r="J2417" s="89" t="n"/>
      <c r="K2417" s="88" t="n"/>
      <c r="L2417" s="88" t="n"/>
      <c r="M2417" s="88" t="n"/>
      <c r="N2417" s="89" t="n"/>
      <c r="O2417" s="88" t="n"/>
      <c r="P2417" s="88" t="n"/>
      <c r="Q2417" s="88" t="n"/>
      <c r="R2417" s="89" t="n"/>
      <c r="S2417" s="88" t="n"/>
      <c r="T2417" s="88" t="n"/>
      <c r="U2417" s="88" t="n"/>
      <c r="V2417" s="89" t="n"/>
      <c r="W2417" s="88" t="n"/>
      <c r="X2417" s="89" t="n"/>
      <c r="Y2417" s="88" t="n"/>
      <c r="Z2417" s="89" t="n"/>
      <c r="AB2417" s="30">
        <f>IF($B2417="","",(COUNTIF(C2417:E2417,"?*")&lt;N(INDEX(Setup!$L$6:$L$23,10)))+(COUNTIF(G2417:I2417,"?*")&lt;N(INDEX(Setup!$L$6:$L$23,10)))+(COUNTIF(K2417:M2417,"?*")&lt;N(INDEX(Setup!$L$6:$L$23,10)))+(COUNTIF(O2417:Q2417,"?*")&lt;N(INDEX(Setup!$L$6:$L$23,10)))+(COUNTIF(S2417:U2417,"?*")&lt;N(INDEX(Setup!$L$6:$L$23,10)))+((W2417="")*(INDEX(Setup!$M$6:$M$23,10)="Y"))+((Y2417="")*(INDEX(Setup!$M$6:$M$23,10)="Y")))</f>
        <v/>
      </c>
      <c r="AC2417" s="91">
        <f>IF($B2417="","",IF(AB2417=0,"✓ covered","⚠ "&amp;AB2417&amp;IF(AB2417=1," gap"," gaps")))</f>
        <v/>
      </c>
    </row>
    <row r="2418" ht="17" customHeight="1">
      <c r="A2418" t="n">
        <v>49</v>
      </c>
      <c r="B2418" s="24">
        <f>IF(Setup!$K$16="","",Setup!$K$16)</f>
        <v/>
      </c>
      <c r="C2418" s="88" t="n"/>
      <c r="D2418" s="88" t="n"/>
      <c r="E2418" s="88" t="n"/>
      <c r="F2418" s="89" t="n"/>
      <c r="G2418" s="88" t="n"/>
      <c r="H2418" s="88" t="n"/>
      <c r="I2418" s="88" t="n"/>
      <c r="J2418" s="89" t="n"/>
      <c r="K2418" s="88" t="n"/>
      <c r="L2418" s="88" t="n"/>
      <c r="M2418" s="88" t="n"/>
      <c r="N2418" s="89" t="n"/>
      <c r="O2418" s="88" t="n"/>
      <c r="P2418" s="88" t="n"/>
      <c r="Q2418" s="88" t="n"/>
      <c r="R2418" s="89" t="n"/>
      <c r="S2418" s="88" t="n"/>
      <c r="T2418" s="88" t="n"/>
      <c r="U2418" s="88" t="n"/>
      <c r="V2418" s="89" t="n"/>
      <c r="W2418" s="88" t="n"/>
      <c r="X2418" s="89" t="n"/>
      <c r="Y2418" s="88" t="n"/>
      <c r="Z2418" s="89" t="n"/>
      <c r="AB2418" s="25">
        <f>IF($B2418="","",(COUNTIF(C2418:E2418,"?*")&lt;N(INDEX(Setup!$L$6:$L$23,11)))+(COUNTIF(G2418:I2418,"?*")&lt;N(INDEX(Setup!$L$6:$L$23,11)))+(COUNTIF(K2418:M2418,"?*")&lt;N(INDEX(Setup!$L$6:$L$23,11)))+(COUNTIF(O2418:Q2418,"?*")&lt;N(INDEX(Setup!$L$6:$L$23,11)))+(COUNTIF(S2418:U2418,"?*")&lt;N(INDEX(Setup!$L$6:$L$23,11)))+((W2418="")*(INDEX(Setup!$M$6:$M$23,11)="Y"))+((Y2418="")*(INDEX(Setup!$M$6:$M$23,11)="Y")))</f>
        <v/>
      </c>
      <c r="AC2418" s="90">
        <f>IF($B2418="","",IF(AB2418=0,"✓ covered","⚠ "&amp;AB2418&amp;IF(AB2418=1," gap"," gaps")))</f>
        <v/>
      </c>
    </row>
    <row r="2419" ht="17" customHeight="1">
      <c r="A2419" t="n">
        <v>49</v>
      </c>
      <c r="B2419" s="29">
        <f>IF(Setup!$K$17="","",Setup!$K$17)</f>
        <v/>
      </c>
      <c r="C2419" s="88" t="n"/>
      <c r="D2419" s="88" t="n"/>
      <c r="E2419" s="88" t="n"/>
      <c r="F2419" s="89" t="n"/>
      <c r="G2419" s="88" t="n"/>
      <c r="H2419" s="88" t="n"/>
      <c r="I2419" s="88" t="n"/>
      <c r="J2419" s="89" t="n"/>
      <c r="K2419" s="88" t="n"/>
      <c r="L2419" s="88" t="n"/>
      <c r="M2419" s="88" t="n"/>
      <c r="N2419" s="89" t="n"/>
      <c r="O2419" s="88" t="n"/>
      <c r="P2419" s="88" t="n"/>
      <c r="Q2419" s="88" t="n"/>
      <c r="R2419" s="89" t="n"/>
      <c r="S2419" s="88" t="n"/>
      <c r="T2419" s="88" t="n"/>
      <c r="U2419" s="88" t="n"/>
      <c r="V2419" s="89" t="n"/>
      <c r="W2419" s="88" t="n"/>
      <c r="X2419" s="89" t="n"/>
      <c r="Y2419" s="88" t="n"/>
      <c r="Z2419" s="89" t="n"/>
      <c r="AB2419" s="30">
        <f>IF($B2419="","",(COUNTIF(C2419:E2419,"?*")&lt;N(INDEX(Setup!$L$6:$L$23,12)))+(COUNTIF(G2419:I2419,"?*")&lt;N(INDEX(Setup!$L$6:$L$23,12)))+(COUNTIF(K2419:M2419,"?*")&lt;N(INDEX(Setup!$L$6:$L$23,12)))+(COUNTIF(O2419:Q2419,"?*")&lt;N(INDEX(Setup!$L$6:$L$23,12)))+(COUNTIF(S2419:U2419,"?*")&lt;N(INDEX(Setup!$L$6:$L$23,12)))+((W2419="")*(INDEX(Setup!$M$6:$M$23,12)="Y"))+((Y2419="")*(INDEX(Setup!$M$6:$M$23,12)="Y")))</f>
        <v/>
      </c>
      <c r="AC2419" s="91">
        <f>IF($B2419="","",IF(AB2419=0,"✓ covered","⚠ "&amp;AB2419&amp;IF(AB2419=1," gap"," gaps")))</f>
        <v/>
      </c>
    </row>
    <row r="2420" ht="17" customHeight="1">
      <c r="A2420" t="n">
        <v>49</v>
      </c>
      <c r="B2420" s="24">
        <f>IF(Setup!$K$18="","",Setup!$K$18)</f>
        <v/>
      </c>
      <c r="C2420" s="88" t="n"/>
      <c r="D2420" s="88" t="n"/>
      <c r="E2420" s="88" t="n"/>
      <c r="F2420" s="89" t="n"/>
      <c r="G2420" s="88" t="n"/>
      <c r="H2420" s="88" t="n"/>
      <c r="I2420" s="88" t="n"/>
      <c r="J2420" s="89" t="n"/>
      <c r="K2420" s="88" t="n"/>
      <c r="L2420" s="88" t="n"/>
      <c r="M2420" s="88" t="n"/>
      <c r="N2420" s="89" t="n"/>
      <c r="O2420" s="88" t="n"/>
      <c r="P2420" s="88" t="n"/>
      <c r="Q2420" s="88" t="n"/>
      <c r="R2420" s="89" t="n"/>
      <c r="S2420" s="88" t="n"/>
      <c r="T2420" s="88" t="n"/>
      <c r="U2420" s="88" t="n"/>
      <c r="V2420" s="89" t="n"/>
      <c r="W2420" s="88" t="n"/>
      <c r="X2420" s="89" t="n"/>
      <c r="Y2420" s="88" t="n"/>
      <c r="Z2420" s="89" t="n"/>
      <c r="AB2420" s="25">
        <f>IF($B2420="","",(COUNTIF(C2420:E2420,"?*")&lt;N(INDEX(Setup!$L$6:$L$23,13)))+(COUNTIF(G2420:I2420,"?*")&lt;N(INDEX(Setup!$L$6:$L$23,13)))+(COUNTIF(K2420:M2420,"?*")&lt;N(INDEX(Setup!$L$6:$L$23,13)))+(COUNTIF(O2420:Q2420,"?*")&lt;N(INDEX(Setup!$L$6:$L$23,13)))+(COUNTIF(S2420:U2420,"?*")&lt;N(INDEX(Setup!$L$6:$L$23,13)))+((W2420="")*(INDEX(Setup!$M$6:$M$23,13)="Y"))+((Y2420="")*(INDEX(Setup!$M$6:$M$23,13)="Y")))</f>
        <v/>
      </c>
      <c r="AC2420" s="90">
        <f>IF($B2420="","",IF(AB2420=0,"✓ covered","⚠ "&amp;AB2420&amp;IF(AB2420=1," gap"," gaps")))</f>
        <v/>
      </c>
    </row>
    <row r="2421" ht="17" customHeight="1">
      <c r="A2421" t="n">
        <v>49</v>
      </c>
      <c r="B2421" s="29">
        <f>IF(Setup!$K$19="","",Setup!$K$19)</f>
        <v/>
      </c>
      <c r="C2421" s="88" t="n"/>
      <c r="D2421" s="88" t="n"/>
      <c r="E2421" s="88" t="n"/>
      <c r="F2421" s="89" t="n"/>
      <c r="G2421" s="88" t="n"/>
      <c r="H2421" s="88" t="n"/>
      <c r="I2421" s="88" t="n"/>
      <c r="J2421" s="89" t="n"/>
      <c r="K2421" s="88" t="n"/>
      <c r="L2421" s="88" t="n"/>
      <c r="M2421" s="88" t="n"/>
      <c r="N2421" s="89" t="n"/>
      <c r="O2421" s="88" t="n"/>
      <c r="P2421" s="88" t="n"/>
      <c r="Q2421" s="88" t="n"/>
      <c r="R2421" s="89" t="n"/>
      <c r="S2421" s="88" t="n"/>
      <c r="T2421" s="88" t="n"/>
      <c r="U2421" s="88" t="n"/>
      <c r="V2421" s="89" t="n"/>
      <c r="W2421" s="88" t="n"/>
      <c r="X2421" s="89" t="n"/>
      <c r="Y2421" s="88" t="n"/>
      <c r="Z2421" s="89" t="n"/>
      <c r="AB2421" s="30">
        <f>IF($B2421="","",(COUNTIF(C2421:E2421,"?*")&lt;N(INDEX(Setup!$L$6:$L$23,14)))+(COUNTIF(G2421:I2421,"?*")&lt;N(INDEX(Setup!$L$6:$L$23,14)))+(COUNTIF(K2421:M2421,"?*")&lt;N(INDEX(Setup!$L$6:$L$23,14)))+(COUNTIF(O2421:Q2421,"?*")&lt;N(INDEX(Setup!$L$6:$L$23,14)))+(COUNTIF(S2421:U2421,"?*")&lt;N(INDEX(Setup!$L$6:$L$23,14)))+((W2421="")*(INDEX(Setup!$M$6:$M$23,14)="Y"))+((Y2421="")*(INDEX(Setup!$M$6:$M$23,14)="Y")))</f>
        <v/>
      </c>
      <c r="AC2421" s="91">
        <f>IF($B2421="","",IF(AB2421=0,"✓ covered","⚠ "&amp;AB2421&amp;IF(AB2421=1," gap"," gaps")))</f>
        <v/>
      </c>
    </row>
    <row r="2422" ht="17" customHeight="1">
      <c r="A2422" t="n">
        <v>49</v>
      </c>
      <c r="B2422" s="24">
        <f>IF(Setup!$K$20="","",Setup!$K$20)</f>
        <v/>
      </c>
      <c r="C2422" s="88" t="n"/>
      <c r="D2422" s="88" t="n"/>
      <c r="E2422" s="88" t="n"/>
      <c r="F2422" s="89" t="n"/>
      <c r="G2422" s="88" t="n"/>
      <c r="H2422" s="88" t="n"/>
      <c r="I2422" s="88" t="n"/>
      <c r="J2422" s="89" t="n"/>
      <c r="K2422" s="88" t="n"/>
      <c r="L2422" s="88" t="n"/>
      <c r="M2422" s="88" t="n"/>
      <c r="N2422" s="89" t="n"/>
      <c r="O2422" s="88" t="n"/>
      <c r="P2422" s="88" t="n"/>
      <c r="Q2422" s="88" t="n"/>
      <c r="R2422" s="89" t="n"/>
      <c r="S2422" s="88" t="n"/>
      <c r="T2422" s="88" t="n"/>
      <c r="U2422" s="88" t="n"/>
      <c r="V2422" s="89" t="n"/>
      <c r="W2422" s="88" t="n"/>
      <c r="X2422" s="89" t="n"/>
      <c r="Y2422" s="88" t="n"/>
      <c r="Z2422" s="89" t="n"/>
      <c r="AB2422" s="25">
        <f>IF($B2422="","",(COUNTIF(C2422:E2422,"?*")&lt;N(INDEX(Setup!$L$6:$L$23,15)))+(COUNTIF(G2422:I2422,"?*")&lt;N(INDEX(Setup!$L$6:$L$23,15)))+(COUNTIF(K2422:M2422,"?*")&lt;N(INDEX(Setup!$L$6:$L$23,15)))+(COUNTIF(O2422:Q2422,"?*")&lt;N(INDEX(Setup!$L$6:$L$23,15)))+(COUNTIF(S2422:U2422,"?*")&lt;N(INDEX(Setup!$L$6:$L$23,15)))+((W2422="")*(INDEX(Setup!$M$6:$M$23,15)="Y"))+((Y2422="")*(INDEX(Setup!$M$6:$M$23,15)="Y")))</f>
        <v/>
      </c>
      <c r="AC2422" s="90">
        <f>IF($B2422="","",IF(AB2422=0,"✓ covered","⚠ "&amp;AB2422&amp;IF(AB2422=1," gap"," gaps")))</f>
        <v/>
      </c>
    </row>
    <row r="2423" ht="17" customHeight="1">
      <c r="A2423" t="n">
        <v>49</v>
      </c>
      <c r="B2423" s="29">
        <f>IF(Setup!$K$21="","",Setup!$K$21)</f>
        <v/>
      </c>
      <c r="C2423" s="88" t="n"/>
      <c r="D2423" s="88" t="n"/>
      <c r="E2423" s="88" t="n"/>
      <c r="F2423" s="89" t="n"/>
      <c r="G2423" s="88" t="n"/>
      <c r="H2423" s="88" t="n"/>
      <c r="I2423" s="88" t="n"/>
      <c r="J2423" s="89" t="n"/>
      <c r="K2423" s="88" t="n"/>
      <c r="L2423" s="88" t="n"/>
      <c r="M2423" s="88" t="n"/>
      <c r="N2423" s="89" t="n"/>
      <c r="O2423" s="88" t="n"/>
      <c r="P2423" s="88" t="n"/>
      <c r="Q2423" s="88" t="n"/>
      <c r="R2423" s="89" t="n"/>
      <c r="S2423" s="88" t="n"/>
      <c r="T2423" s="88" t="n"/>
      <c r="U2423" s="88" t="n"/>
      <c r="V2423" s="89" t="n"/>
      <c r="W2423" s="88" t="n"/>
      <c r="X2423" s="89" t="n"/>
      <c r="Y2423" s="88" t="n"/>
      <c r="Z2423" s="89" t="n"/>
      <c r="AB2423" s="30">
        <f>IF($B2423="","",(COUNTIF(C2423:E2423,"?*")&lt;N(INDEX(Setup!$L$6:$L$23,16)))+(COUNTIF(G2423:I2423,"?*")&lt;N(INDEX(Setup!$L$6:$L$23,16)))+(COUNTIF(K2423:M2423,"?*")&lt;N(INDEX(Setup!$L$6:$L$23,16)))+(COUNTIF(O2423:Q2423,"?*")&lt;N(INDEX(Setup!$L$6:$L$23,16)))+(COUNTIF(S2423:U2423,"?*")&lt;N(INDEX(Setup!$L$6:$L$23,16)))+((W2423="")*(INDEX(Setup!$M$6:$M$23,16)="Y"))+((Y2423="")*(INDEX(Setup!$M$6:$M$23,16)="Y")))</f>
        <v/>
      </c>
      <c r="AC2423" s="91">
        <f>IF($B2423="","",IF(AB2423=0,"✓ covered","⚠ "&amp;AB2423&amp;IF(AB2423=1," gap"," gaps")))</f>
        <v/>
      </c>
    </row>
    <row r="2424" ht="17" customHeight="1">
      <c r="A2424" t="n">
        <v>49</v>
      </c>
      <c r="B2424" s="24">
        <f>IF(Setup!$K$22="","",Setup!$K$22)</f>
        <v/>
      </c>
      <c r="C2424" s="88" t="n"/>
      <c r="D2424" s="88" t="n"/>
      <c r="E2424" s="88" t="n"/>
      <c r="F2424" s="89" t="n"/>
      <c r="G2424" s="88" t="n"/>
      <c r="H2424" s="88" t="n"/>
      <c r="I2424" s="88" t="n"/>
      <c r="J2424" s="89" t="n"/>
      <c r="K2424" s="88" t="n"/>
      <c r="L2424" s="88" t="n"/>
      <c r="M2424" s="88" t="n"/>
      <c r="N2424" s="89" t="n"/>
      <c r="O2424" s="88" t="n"/>
      <c r="P2424" s="88" t="n"/>
      <c r="Q2424" s="88" t="n"/>
      <c r="R2424" s="89" t="n"/>
      <c r="S2424" s="88" t="n"/>
      <c r="T2424" s="88" t="n"/>
      <c r="U2424" s="88" t="n"/>
      <c r="V2424" s="89" t="n"/>
      <c r="W2424" s="88" t="n"/>
      <c r="X2424" s="89" t="n"/>
      <c r="Y2424" s="88" t="n"/>
      <c r="Z2424" s="89" t="n"/>
      <c r="AB2424" s="25">
        <f>IF($B2424="","",(COUNTIF(C2424:E2424,"?*")&lt;N(INDEX(Setup!$L$6:$L$23,17)))+(COUNTIF(G2424:I2424,"?*")&lt;N(INDEX(Setup!$L$6:$L$23,17)))+(COUNTIF(K2424:M2424,"?*")&lt;N(INDEX(Setup!$L$6:$L$23,17)))+(COUNTIF(O2424:Q2424,"?*")&lt;N(INDEX(Setup!$L$6:$L$23,17)))+(COUNTIF(S2424:U2424,"?*")&lt;N(INDEX(Setup!$L$6:$L$23,17)))+((W2424="")*(INDEX(Setup!$M$6:$M$23,17)="Y"))+((Y2424="")*(INDEX(Setup!$M$6:$M$23,17)="Y")))</f>
        <v/>
      </c>
      <c r="AC2424" s="90">
        <f>IF($B2424="","",IF(AB2424=0,"✓ covered","⚠ "&amp;AB2424&amp;IF(AB2424=1," gap"," gaps")))</f>
        <v/>
      </c>
    </row>
    <row r="2425" ht="17" customHeight="1">
      <c r="A2425" t="n">
        <v>49</v>
      </c>
      <c r="B2425" s="29">
        <f>IF(Setup!$K$23="","",Setup!$K$23)</f>
        <v/>
      </c>
      <c r="C2425" s="88" t="n"/>
      <c r="D2425" s="88" t="n"/>
      <c r="E2425" s="88" t="n"/>
      <c r="F2425" s="89" t="n"/>
      <c r="G2425" s="88" t="n"/>
      <c r="H2425" s="88" t="n"/>
      <c r="I2425" s="88" t="n"/>
      <c r="J2425" s="89" t="n"/>
      <c r="K2425" s="88" t="n"/>
      <c r="L2425" s="88" t="n"/>
      <c r="M2425" s="88" t="n"/>
      <c r="N2425" s="89" t="n"/>
      <c r="O2425" s="88" t="n"/>
      <c r="P2425" s="88" t="n"/>
      <c r="Q2425" s="88" t="n"/>
      <c r="R2425" s="89" t="n"/>
      <c r="S2425" s="88" t="n"/>
      <c r="T2425" s="88" t="n"/>
      <c r="U2425" s="88" t="n"/>
      <c r="V2425" s="89" t="n"/>
      <c r="W2425" s="88" t="n"/>
      <c r="X2425" s="89" t="n"/>
      <c r="Y2425" s="88" t="n"/>
      <c r="Z2425" s="89" t="n"/>
      <c r="AB2425" s="30">
        <f>IF($B2425="","",(COUNTIF(C2425:E2425,"?*")&lt;N(INDEX(Setup!$L$6:$L$23,18)))+(COUNTIF(G2425:I2425,"?*")&lt;N(INDEX(Setup!$L$6:$L$23,18)))+(COUNTIF(K2425:M2425,"?*")&lt;N(INDEX(Setup!$L$6:$L$23,18)))+(COUNTIF(O2425:Q2425,"?*")&lt;N(INDEX(Setup!$L$6:$L$23,18)))+(COUNTIF(S2425:U2425,"?*")&lt;N(INDEX(Setup!$L$6:$L$23,18)))+((W2425="")*(INDEX(Setup!$M$6:$M$23,18)="Y"))+((Y2425="")*(INDEX(Setup!$M$6:$M$23,18)="Y")))</f>
        <v/>
      </c>
      <c r="AC2425" s="91">
        <f>IF($B2425="","",IF(AB2425=0,"✓ covered","⚠ "&amp;AB2425&amp;IF(AB2425=1," gap"," gaps")))</f>
        <v/>
      </c>
    </row>
    <row r="2426" ht="18" customHeight="1">
      <c r="A2426" t="n">
        <v>49</v>
      </c>
      <c r="B2426" s="78" t="inlineStr">
        <is>
          <t>TEAM AVAILABILITY</t>
        </is>
      </c>
      <c r="C2426" s="92" t="inlineStr">
        <is>
          <t>Mon</t>
        </is>
      </c>
      <c r="D2426" s="93" t="n"/>
      <c r="E2426" s="93" t="n"/>
      <c r="F2426" s="94" t="n"/>
      <c r="G2426" s="92" t="inlineStr">
        <is>
          <t>Tue</t>
        </is>
      </c>
      <c r="H2426" s="93" t="n"/>
      <c r="I2426" s="93" t="n"/>
      <c r="J2426" s="94" t="n"/>
      <c r="K2426" s="92" t="inlineStr">
        <is>
          <t>Wed</t>
        </is>
      </c>
      <c r="L2426" s="93" t="n"/>
      <c r="M2426" s="93" t="n"/>
      <c r="N2426" s="94" t="n"/>
      <c r="O2426" s="92" t="inlineStr">
        <is>
          <t>Thu</t>
        </is>
      </c>
      <c r="P2426" s="93" t="n"/>
      <c r="Q2426" s="93" t="n"/>
      <c r="R2426" s="94" t="n"/>
      <c r="S2426" s="92" t="inlineStr">
        <is>
          <t>Fri</t>
        </is>
      </c>
      <c r="T2426" s="93" t="n"/>
      <c r="U2426" s="93" t="n"/>
      <c r="V2426" s="94" t="n"/>
      <c r="W2426" s="95" t="inlineStr">
        <is>
          <t>Sat</t>
        </is>
      </c>
      <c r="X2426" s="96" t="n"/>
      <c r="Y2426" s="95" t="inlineStr">
        <is>
          <t>Sun</t>
        </is>
      </c>
      <c r="Z2426" s="96" t="n"/>
      <c r="AB2426" s="97" t="inlineStr">
        <is>
          <t>Days rostered</t>
        </is>
      </c>
      <c r="AC2426" s="97" t="inlineStr">
        <is>
          <t>Conflicts</t>
        </is>
      </c>
    </row>
    <row r="2427" ht="15" customHeight="1">
      <c r="A2427" t="n">
        <v>49</v>
      </c>
      <c r="B2427" s="35">
        <f>IF(Setup!$B$6="","",Setup!$B$6)</f>
        <v/>
      </c>
      <c r="C2427" s="98" t="n"/>
      <c r="D2427" s="99" t="n"/>
      <c r="E2427" s="99" t="n"/>
      <c r="F2427" s="100" t="n"/>
      <c r="G2427" s="98" t="n"/>
      <c r="H2427" s="99" t="n"/>
      <c r="I2427" s="99" t="n"/>
      <c r="J2427" s="100" t="n"/>
      <c r="K2427" s="98" t="n"/>
      <c r="L2427" s="99" t="n"/>
      <c r="M2427" s="99" t="n"/>
      <c r="N2427" s="100" t="n"/>
      <c r="O2427" s="98" t="n"/>
      <c r="P2427" s="99" t="n"/>
      <c r="Q2427" s="99" t="n"/>
      <c r="R2427" s="100" t="n"/>
      <c r="S2427" s="98" t="n"/>
      <c r="T2427" s="99" t="n"/>
      <c r="U2427" s="99" t="n"/>
      <c r="V2427" s="100" t="n"/>
      <c r="W2427" s="98" t="n"/>
      <c r="X2427" s="100" t="n"/>
      <c r="Y2427" s="98" t="n"/>
      <c r="Z2427" s="100" t="n"/>
      <c r="AB2427" s="101">
        <f>IF($B2427="","",(COUNTIF(C2408:E2425,$B2427)+COUNTIF(C2408:E2425,$B2427&amp;" ~*")&gt;0)+(COUNTIF(G2408:I2425,$B2427)+COUNTIF(G2408:I2425,$B2427&amp;" ~*")&gt;0)+(COUNTIF(K2408:M2425,$B2427)+COUNTIF(K2408:M2425,$B2427&amp;" ~*")&gt;0)+(COUNTIF(O2408:Q2425,$B2427)+COUNTIF(O2408:Q2425,$B2427&amp;" ~*")&gt;0)+(COUNTIF(S2408:U2425,$B2427)+COUNTIF(S2408:U2425,$B2427&amp;" ~*")&gt;0)+(COUNTIF(W2408:W2425,$B2427)+COUNTIF(W2408:W2425,$B2427&amp;" ~*")&gt;0)+(COUNTIF(Y2408:Y2425,$B2427)+COUNTIF(Y2408:Y2425,$B2427&amp;" ~*")&gt;0))</f>
        <v/>
      </c>
      <c r="AC2427" s="36">
        <f>IF($B2427="","",(IFERROR(INDEX(Setup!$G$33:$G$40,MATCH(C2427,Setup!$B$33:$B$40,0)),0)=1)*(COUNTIF(C2408:E2425,$B2427)+COUNTIF(C2408:E2425,$B2427&amp;" ~*")&gt;0)+(IFERROR(INDEX(Setup!$G$33:$G$40,MATCH(G2427,Setup!$B$33:$B$40,0)),0)=1)*(COUNTIF(G2408:I2425,$B2427)+COUNTIF(G2408:I2425,$B2427&amp;" ~*")&gt;0)+(IFERROR(INDEX(Setup!$G$33:$G$40,MATCH(K2427,Setup!$B$33:$B$40,0)),0)=1)*(COUNTIF(K2408:M2425,$B2427)+COUNTIF(K2408:M2425,$B2427&amp;" ~*")&gt;0)+(IFERROR(INDEX(Setup!$G$33:$G$40,MATCH(O2427,Setup!$B$33:$B$40,0)),0)=1)*(COUNTIF(O2408:Q2425,$B2427)+COUNTIF(O2408:Q2425,$B2427&amp;" ~*")&gt;0)+(IFERROR(INDEX(Setup!$G$33:$G$40,MATCH(S2427,Setup!$B$33:$B$40,0)),0)=1)*(COUNTIF(S2408:U2425,$B2427)+COUNTIF(S2408:U2425,$B2427&amp;" ~*")&gt;0)+(IFERROR(INDEX(Setup!$G$33:$G$40,MATCH(W2427,Setup!$B$33:$B$40,0)),0)=1)*(COUNTIF(W2408:W2425,$B2427)+COUNTIF(W2408:W2425,$B2427&amp;" ~*")&gt;0)+(IFERROR(INDEX(Setup!$G$33:$G$40,MATCH(Y2427,Setup!$B$33:$B$40,0)),0)=1)*(COUNTIF(Y2408:Y2425,$B2427)+COUNTIF(Y2408:Y2425,$B2427&amp;" ~*")&gt;0))</f>
        <v/>
      </c>
    </row>
    <row r="2428" ht="15" customHeight="1">
      <c r="A2428" t="n">
        <v>49</v>
      </c>
      <c r="B2428" s="37">
        <f>IF(Setup!$B$7="","",Setup!$B$7)</f>
        <v/>
      </c>
      <c r="C2428" s="102" t="n"/>
      <c r="D2428" s="103" t="n"/>
      <c r="E2428" s="103" t="n"/>
      <c r="F2428" s="104" t="n"/>
      <c r="G2428" s="102" t="n"/>
      <c r="H2428" s="103" t="n"/>
      <c r="I2428" s="103" t="n"/>
      <c r="J2428" s="104" t="n"/>
      <c r="K2428" s="102" t="n"/>
      <c r="L2428" s="103" t="n"/>
      <c r="M2428" s="103" t="n"/>
      <c r="N2428" s="104" t="n"/>
      <c r="O2428" s="102" t="n"/>
      <c r="P2428" s="103" t="n"/>
      <c r="Q2428" s="103" t="n"/>
      <c r="R2428" s="104" t="n"/>
      <c r="S2428" s="102" t="n"/>
      <c r="T2428" s="103" t="n"/>
      <c r="U2428" s="103" t="n"/>
      <c r="V2428" s="104" t="n"/>
      <c r="W2428" s="102" t="n"/>
      <c r="X2428" s="104" t="n"/>
      <c r="Y2428" s="102" t="n"/>
      <c r="Z2428" s="104" t="n"/>
      <c r="AB2428" s="105">
        <f>IF($B2428="","",(COUNTIF(C2408:E2425,$B2428)+COUNTIF(C2408:E2425,$B2428&amp;" ~*")&gt;0)+(COUNTIF(G2408:I2425,$B2428)+COUNTIF(G2408:I2425,$B2428&amp;" ~*")&gt;0)+(COUNTIF(K2408:M2425,$B2428)+COUNTIF(K2408:M2425,$B2428&amp;" ~*")&gt;0)+(COUNTIF(O2408:Q2425,$B2428)+COUNTIF(O2408:Q2425,$B2428&amp;" ~*")&gt;0)+(COUNTIF(S2408:U2425,$B2428)+COUNTIF(S2408:U2425,$B2428&amp;" ~*")&gt;0)+(COUNTIF(W2408:W2425,$B2428)+COUNTIF(W2408:W2425,$B2428&amp;" ~*")&gt;0)+(COUNTIF(Y2408:Y2425,$B2428)+COUNTIF(Y2408:Y2425,$B2428&amp;" ~*")&gt;0))</f>
        <v/>
      </c>
      <c r="AC2428" s="38">
        <f>IF($B2428="","",(IFERROR(INDEX(Setup!$G$33:$G$40,MATCH(C2428,Setup!$B$33:$B$40,0)),0)=1)*(COUNTIF(C2408:E2425,$B2428)+COUNTIF(C2408:E2425,$B2428&amp;" ~*")&gt;0)+(IFERROR(INDEX(Setup!$G$33:$G$40,MATCH(G2428,Setup!$B$33:$B$40,0)),0)=1)*(COUNTIF(G2408:I2425,$B2428)+COUNTIF(G2408:I2425,$B2428&amp;" ~*")&gt;0)+(IFERROR(INDEX(Setup!$G$33:$G$40,MATCH(K2428,Setup!$B$33:$B$40,0)),0)=1)*(COUNTIF(K2408:M2425,$B2428)+COUNTIF(K2408:M2425,$B2428&amp;" ~*")&gt;0)+(IFERROR(INDEX(Setup!$G$33:$G$40,MATCH(O2428,Setup!$B$33:$B$40,0)),0)=1)*(COUNTIF(O2408:Q2425,$B2428)+COUNTIF(O2408:Q2425,$B2428&amp;" ~*")&gt;0)+(IFERROR(INDEX(Setup!$G$33:$G$40,MATCH(S2428,Setup!$B$33:$B$40,0)),0)=1)*(COUNTIF(S2408:U2425,$B2428)+COUNTIF(S2408:U2425,$B2428&amp;" ~*")&gt;0)+(IFERROR(INDEX(Setup!$G$33:$G$40,MATCH(W2428,Setup!$B$33:$B$40,0)),0)=1)*(COUNTIF(W2408:W2425,$B2428)+COUNTIF(W2408:W2425,$B2428&amp;" ~*")&gt;0)+(IFERROR(INDEX(Setup!$G$33:$G$40,MATCH(Y2428,Setup!$B$33:$B$40,0)),0)=1)*(COUNTIF(Y2408:Y2425,$B2428)+COUNTIF(Y2408:Y2425,$B2428&amp;" ~*")&gt;0))</f>
        <v/>
      </c>
    </row>
    <row r="2429" ht="15" customHeight="1">
      <c r="A2429" t="n">
        <v>49</v>
      </c>
      <c r="B2429" s="35">
        <f>IF(Setup!$B$8="","",Setup!$B$8)</f>
        <v/>
      </c>
      <c r="C2429" s="98" t="n"/>
      <c r="D2429" s="99" t="n"/>
      <c r="E2429" s="99" t="n"/>
      <c r="F2429" s="100" t="n"/>
      <c r="G2429" s="98" t="n"/>
      <c r="H2429" s="99" t="n"/>
      <c r="I2429" s="99" t="n"/>
      <c r="J2429" s="100" t="n"/>
      <c r="K2429" s="98" t="n"/>
      <c r="L2429" s="99" t="n"/>
      <c r="M2429" s="99" t="n"/>
      <c r="N2429" s="100" t="n"/>
      <c r="O2429" s="98" t="n"/>
      <c r="P2429" s="99" t="n"/>
      <c r="Q2429" s="99" t="n"/>
      <c r="R2429" s="100" t="n"/>
      <c r="S2429" s="98" t="n"/>
      <c r="T2429" s="99" t="n"/>
      <c r="U2429" s="99" t="n"/>
      <c r="V2429" s="100" t="n"/>
      <c r="W2429" s="98" t="n"/>
      <c r="X2429" s="100" t="n"/>
      <c r="Y2429" s="98" t="n"/>
      <c r="Z2429" s="100" t="n"/>
      <c r="AB2429" s="101">
        <f>IF($B2429="","",(COUNTIF(C2408:E2425,$B2429)+COUNTIF(C2408:E2425,$B2429&amp;" ~*")&gt;0)+(COUNTIF(G2408:I2425,$B2429)+COUNTIF(G2408:I2425,$B2429&amp;" ~*")&gt;0)+(COUNTIF(K2408:M2425,$B2429)+COUNTIF(K2408:M2425,$B2429&amp;" ~*")&gt;0)+(COUNTIF(O2408:Q2425,$B2429)+COUNTIF(O2408:Q2425,$B2429&amp;" ~*")&gt;0)+(COUNTIF(S2408:U2425,$B2429)+COUNTIF(S2408:U2425,$B2429&amp;" ~*")&gt;0)+(COUNTIF(W2408:W2425,$B2429)+COUNTIF(W2408:W2425,$B2429&amp;" ~*")&gt;0)+(COUNTIF(Y2408:Y2425,$B2429)+COUNTIF(Y2408:Y2425,$B2429&amp;" ~*")&gt;0))</f>
        <v/>
      </c>
      <c r="AC2429" s="36">
        <f>IF($B2429="","",(IFERROR(INDEX(Setup!$G$33:$G$40,MATCH(C2429,Setup!$B$33:$B$40,0)),0)=1)*(COUNTIF(C2408:E2425,$B2429)+COUNTIF(C2408:E2425,$B2429&amp;" ~*")&gt;0)+(IFERROR(INDEX(Setup!$G$33:$G$40,MATCH(G2429,Setup!$B$33:$B$40,0)),0)=1)*(COUNTIF(G2408:I2425,$B2429)+COUNTIF(G2408:I2425,$B2429&amp;" ~*")&gt;0)+(IFERROR(INDEX(Setup!$G$33:$G$40,MATCH(K2429,Setup!$B$33:$B$40,0)),0)=1)*(COUNTIF(K2408:M2425,$B2429)+COUNTIF(K2408:M2425,$B2429&amp;" ~*")&gt;0)+(IFERROR(INDEX(Setup!$G$33:$G$40,MATCH(O2429,Setup!$B$33:$B$40,0)),0)=1)*(COUNTIF(O2408:Q2425,$B2429)+COUNTIF(O2408:Q2425,$B2429&amp;" ~*")&gt;0)+(IFERROR(INDEX(Setup!$G$33:$G$40,MATCH(S2429,Setup!$B$33:$B$40,0)),0)=1)*(COUNTIF(S2408:U2425,$B2429)+COUNTIF(S2408:U2425,$B2429&amp;" ~*")&gt;0)+(IFERROR(INDEX(Setup!$G$33:$G$40,MATCH(W2429,Setup!$B$33:$B$40,0)),0)=1)*(COUNTIF(W2408:W2425,$B2429)+COUNTIF(W2408:W2425,$B2429&amp;" ~*")&gt;0)+(IFERROR(INDEX(Setup!$G$33:$G$40,MATCH(Y2429,Setup!$B$33:$B$40,0)),0)=1)*(COUNTIF(Y2408:Y2425,$B2429)+COUNTIF(Y2408:Y2425,$B2429&amp;" ~*")&gt;0))</f>
        <v/>
      </c>
    </row>
    <row r="2430" ht="15" customHeight="1">
      <c r="A2430" t="n">
        <v>49</v>
      </c>
      <c r="B2430" s="37">
        <f>IF(Setup!$B$9="","",Setup!$B$9)</f>
        <v/>
      </c>
      <c r="C2430" s="102" t="n"/>
      <c r="D2430" s="103" t="n"/>
      <c r="E2430" s="103" t="n"/>
      <c r="F2430" s="104" t="n"/>
      <c r="G2430" s="102" t="n"/>
      <c r="H2430" s="103" t="n"/>
      <c r="I2430" s="103" t="n"/>
      <c r="J2430" s="104" t="n"/>
      <c r="K2430" s="102" t="n"/>
      <c r="L2430" s="103" t="n"/>
      <c r="M2430" s="103" t="n"/>
      <c r="N2430" s="104" t="n"/>
      <c r="O2430" s="102" t="n"/>
      <c r="P2430" s="103" t="n"/>
      <c r="Q2430" s="103" t="n"/>
      <c r="R2430" s="104" t="n"/>
      <c r="S2430" s="102" t="n"/>
      <c r="T2430" s="103" t="n"/>
      <c r="U2430" s="103" t="n"/>
      <c r="V2430" s="104" t="n"/>
      <c r="W2430" s="102" t="n"/>
      <c r="X2430" s="104" t="n"/>
      <c r="Y2430" s="102" t="n"/>
      <c r="Z2430" s="104" t="n"/>
      <c r="AB2430" s="105">
        <f>IF($B2430="","",(COUNTIF(C2408:E2425,$B2430)+COUNTIF(C2408:E2425,$B2430&amp;" ~*")&gt;0)+(COUNTIF(G2408:I2425,$B2430)+COUNTIF(G2408:I2425,$B2430&amp;" ~*")&gt;0)+(COUNTIF(K2408:M2425,$B2430)+COUNTIF(K2408:M2425,$B2430&amp;" ~*")&gt;0)+(COUNTIF(O2408:Q2425,$B2430)+COUNTIF(O2408:Q2425,$B2430&amp;" ~*")&gt;0)+(COUNTIF(S2408:U2425,$B2430)+COUNTIF(S2408:U2425,$B2430&amp;" ~*")&gt;0)+(COUNTIF(W2408:W2425,$B2430)+COUNTIF(W2408:W2425,$B2430&amp;" ~*")&gt;0)+(COUNTIF(Y2408:Y2425,$B2430)+COUNTIF(Y2408:Y2425,$B2430&amp;" ~*")&gt;0))</f>
        <v/>
      </c>
      <c r="AC2430" s="38">
        <f>IF($B2430="","",(IFERROR(INDEX(Setup!$G$33:$G$40,MATCH(C2430,Setup!$B$33:$B$40,0)),0)=1)*(COUNTIF(C2408:E2425,$B2430)+COUNTIF(C2408:E2425,$B2430&amp;" ~*")&gt;0)+(IFERROR(INDEX(Setup!$G$33:$G$40,MATCH(G2430,Setup!$B$33:$B$40,0)),0)=1)*(COUNTIF(G2408:I2425,$B2430)+COUNTIF(G2408:I2425,$B2430&amp;" ~*")&gt;0)+(IFERROR(INDEX(Setup!$G$33:$G$40,MATCH(K2430,Setup!$B$33:$B$40,0)),0)=1)*(COUNTIF(K2408:M2425,$B2430)+COUNTIF(K2408:M2425,$B2430&amp;" ~*")&gt;0)+(IFERROR(INDEX(Setup!$G$33:$G$40,MATCH(O2430,Setup!$B$33:$B$40,0)),0)=1)*(COUNTIF(O2408:Q2425,$B2430)+COUNTIF(O2408:Q2425,$B2430&amp;" ~*")&gt;0)+(IFERROR(INDEX(Setup!$G$33:$G$40,MATCH(S2430,Setup!$B$33:$B$40,0)),0)=1)*(COUNTIF(S2408:U2425,$B2430)+COUNTIF(S2408:U2425,$B2430&amp;" ~*")&gt;0)+(IFERROR(INDEX(Setup!$G$33:$G$40,MATCH(W2430,Setup!$B$33:$B$40,0)),0)=1)*(COUNTIF(W2408:W2425,$B2430)+COUNTIF(W2408:W2425,$B2430&amp;" ~*")&gt;0)+(IFERROR(INDEX(Setup!$G$33:$G$40,MATCH(Y2430,Setup!$B$33:$B$40,0)),0)=1)*(COUNTIF(Y2408:Y2425,$B2430)+COUNTIF(Y2408:Y2425,$B2430&amp;" ~*")&gt;0))</f>
        <v/>
      </c>
    </row>
    <row r="2431" ht="15" customHeight="1">
      <c r="A2431" t="n">
        <v>49</v>
      </c>
      <c r="B2431" s="35">
        <f>IF(Setup!$B$10="","",Setup!$B$10)</f>
        <v/>
      </c>
      <c r="C2431" s="98" t="n"/>
      <c r="D2431" s="99" t="n"/>
      <c r="E2431" s="99" t="n"/>
      <c r="F2431" s="100" t="n"/>
      <c r="G2431" s="98" t="n"/>
      <c r="H2431" s="99" t="n"/>
      <c r="I2431" s="99" t="n"/>
      <c r="J2431" s="100" t="n"/>
      <c r="K2431" s="98" t="n"/>
      <c r="L2431" s="99" t="n"/>
      <c r="M2431" s="99" t="n"/>
      <c r="N2431" s="100" t="n"/>
      <c r="O2431" s="98" t="n"/>
      <c r="P2431" s="99" t="n"/>
      <c r="Q2431" s="99" t="n"/>
      <c r="R2431" s="100" t="n"/>
      <c r="S2431" s="98" t="n"/>
      <c r="T2431" s="99" t="n"/>
      <c r="U2431" s="99" t="n"/>
      <c r="V2431" s="100" t="n"/>
      <c r="W2431" s="98" t="n"/>
      <c r="X2431" s="100" t="n"/>
      <c r="Y2431" s="98" t="n"/>
      <c r="Z2431" s="100" t="n"/>
      <c r="AB2431" s="101">
        <f>IF($B2431="","",(COUNTIF(C2408:E2425,$B2431)+COUNTIF(C2408:E2425,$B2431&amp;" ~*")&gt;0)+(COUNTIF(G2408:I2425,$B2431)+COUNTIF(G2408:I2425,$B2431&amp;" ~*")&gt;0)+(COUNTIF(K2408:M2425,$B2431)+COUNTIF(K2408:M2425,$B2431&amp;" ~*")&gt;0)+(COUNTIF(O2408:Q2425,$B2431)+COUNTIF(O2408:Q2425,$B2431&amp;" ~*")&gt;0)+(COUNTIF(S2408:U2425,$B2431)+COUNTIF(S2408:U2425,$B2431&amp;" ~*")&gt;0)+(COUNTIF(W2408:W2425,$B2431)+COUNTIF(W2408:W2425,$B2431&amp;" ~*")&gt;0)+(COUNTIF(Y2408:Y2425,$B2431)+COUNTIF(Y2408:Y2425,$B2431&amp;" ~*")&gt;0))</f>
        <v/>
      </c>
      <c r="AC2431" s="36">
        <f>IF($B2431="","",(IFERROR(INDEX(Setup!$G$33:$G$40,MATCH(C2431,Setup!$B$33:$B$40,0)),0)=1)*(COUNTIF(C2408:E2425,$B2431)+COUNTIF(C2408:E2425,$B2431&amp;" ~*")&gt;0)+(IFERROR(INDEX(Setup!$G$33:$G$40,MATCH(G2431,Setup!$B$33:$B$40,0)),0)=1)*(COUNTIF(G2408:I2425,$B2431)+COUNTIF(G2408:I2425,$B2431&amp;" ~*")&gt;0)+(IFERROR(INDEX(Setup!$G$33:$G$40,MATCH(K2431,Setup!$B$33:$B$40,0)),0)=1)*(COUNTIF(K2408:M2425,$B2431)+COUNTIF(K2408:M2425,$B2431&amp;" ~*")&gt;0)+(IFERROR(INDEX(Setup!$G$33:$G$40,MATCH(O2431,Setup!$B$33:$B$40,0)),0)=1)*(COUNTIF(O2408:Q2425,$B2431)+COUNTIF(O2408:Q2425,$B2431&amp;" ~*")&gt;0)+(IFERROR(INDEX(Setup!$G$33:$G$40,MATCH(S2431,Setup!$B$33:$B$40,0)),0)=1)*(COUNTIF(S2408:U2425,$B2431)+COUNTIF(S2408:U2425,$B2431&amp;" ~*")&gt;0)+(IFERROR(INDEX(Setup!$G$33:$G$40,MATCH(W2431,Setup!$B$33:$B$40,0)),0)=1)*(COUNTIF(W2408:W2425,$B2431)+COUNTIF(W2408:W2425,$B2431&amp;" ~*")&gt;0)+(IFERROR(INDEX(Setup!$G$33:$G$40,MATCH(Y2431,Setup!$B$33:$B$40,0)),0)=1)*(COUNTIF(Y2408:Y2425,$B2431)+COUNTIF(Y2408:Y2425,$B2431&amp;" ~*")&gt;0))</f>
        <v/>
      </c>
    </row>
    <row r="2432" ht="15" customHeight="1">
      <c r="A2432" t="n">
        <v>49</v>
      </c>
      <c r="B2432" s="37">
        <f>IF(Setup!$B$11="","",Setup!$B$11)</f>
        <v/>
      </c>
      <c r="C2432" s="102" t="n"/>
      <c r="D2432" s="103" t="n"/>
      <c r="E2432" s="103" t="n"/>
      <c r="F2432" s="104" t="n"/>
      <c r="G2432" s="102" t="n"/>
      <c r="H2432" s="103" t="n"/>
      <c r="I2432" s="103" t="n"/>
      <c r="J2432" s="104" t="n"/>
      <c r="K2432" s="102" t="n"/>
      <c r="L2432" s="103" t="n"/>
      <c r="M2432" s="103" t="n"/>
      <c r="N2432" s="104" t="n"/>
      <c r="O2432" s="102" t="n"/>
      <c r="P2432" s="103" t="n"/>
      <c r="Q2432" s="103" t="n"/>
      <c r="R2432" s="104" t="n"/>
      <c r="S2432" s="102" t="n"/>
      <c r="T2432" s="103" t="n"/>
      <c r="U2432" s="103" t="n"/>
      <c r="V2432" s="104" t="n"/>
      <c r="W2432" s="102" t="n"/>
      <c r="X2432" s="104" t="n"/>
      <c r="Y2432" s="102" t="n"/>
      <c r="Z2432" s="104" t="n"/>
      <c r="AB2432" s="105">
        <f>IF($B2432="","",(COUNTIF(C2408:E2425,$B2432)+COUNTIF(C2408:E2425,$B2432&amp;" ~*")&gt;0)+(COUNTIF(G2408:I2425,$B2432)+COUNTIF(G2408:I2425,$B2432&amp;" ~*")&gt;0)+(COUNTIF(K2408:M2425,$B2432)+COUNTIF(K2408:M2425,$B2432&amp;" ~*")&gt;0)+(COUNTIF(O2408:Q2425,$B2432)+COUNTIF(O2408:Q2425,$B2432&amp;" ~*")&gt;0)+(COUNTIF(S2408:U2425,$B2432)+COUNTIF(S2408:U2425,$B2432&amp;" ~*")&gt;0)+(COUNTIF(W2408:W2425,$B2432)+COUNTIF(W2408:W2425,$B2432&amp;" ~*")&gt;0)+(COUNTIF(Y2408:Y2425,$B2432)+COUNTIF(Y2408:Y2425,$B2432&amp;" ~*")&gt;0))</f>
        <v/>
      </c>
      <c r="AC2432" s="38">
        <f>IF($B2432="","",(IFERROR(INDEX(Setup!$G$33:$G$40,MATCH(C2432,Setup!$B$33:$B$40,0)),0)=1)*(COUNTIF(C2408:E2425,$B2432)+COUNTIF(C2408:E2425,$B2432&amp;" ~*")&gt;0)+(IFERROR(INDEX(Setup!$G$33:$G$40,MATCH(G2432,Setup!$B$33:$B$40,0)),0)=1)*(COUNTIF(G2408:I2425,$B2432)+COUNTIF(G2408:I2425,$B2432&amp;" ~*")&gt;0)+(IFERROR(INDEX(Setup!$G$33:$G$40,MATCH(K2432,Setup!$B$33:$B$40,0)),0)=1)*(COUNTIF(K2408:M2425,$B2432)+COUNTIF(K2408:M2425,$B2432&amp;" ~*")&gt;0)+(IFERROR(INDEX(Setup!$G$33:$G$40,MATCH(O2432,Setup!$B$33:$B$40,0)),0)=1)*(COUNTIF(O2408:Q2425,$B2432)+COUNTIF(O2408:Q2425,$B2432&amp;" ~*")&gt;0)+(IFERROR(INDEX(Setup!$G$33:$G$40,MATCH(S2432,Setup!$B$33:$B$40,0)),0)=1)*(COUNTIF(S2408:U2425,$B2432)+COUNTIF(S2408:U2425,$B2432&amp;" ~*")&gt;0)+(IFERROR(INDEX(Setup!$G$33:$G$40,MATCH(W2432,Setup!$B$33:$B$40,0)),0)=1)*(COUNTIF(W2408:W2425,$B2432)+COUNTIF(W2408:W2425,$B2432&amp;" ~*")&gt;0)+(IFERROR(INDEX(Setup!$G$33:$G$40,MATCH(Y2432,Setup!$B$33:$B$40,0)),0)=1)*(COUNTIF(Y2408:Y2425,$B2432)+COUNTIF(Y2408:Y2425,$B2432&amp;" ~*")&gt;0))</f>
        <v/>
      </c>
    </row>
    <row r="2433" ht="15" customHeight="1">
      <c r="A2433" t="n">
        <v>49</v>
      </c>
      <c r="B2433" s="35">
        <f>IF(Setup!$B$12="","",Setup!$B$12)</f>
        <v/>
      </c>
      <c r="C2433" s="98" t="n"/>
      <c r="D2433" s="99" t="n"/>
      <c r="E2433" s="99" t="n"/>
      <c r="F2433" s="100" t="n"/>
      <c r="G2433" s="98" t="n"/>
      <c r="H2433" s="99" t="n"/>
      <c r="I2433" s="99" t="n"/>
      <c r="J2433" s="100" t="n"/>
      <c r="K2433" s="98" t="n"/>
      <c r="L2433" s="99" t="n"/>
      <c r="M2433" s="99" t="n"/>
      <c r="N2433" s="100" t="n"/>
      <c r="O2433" s="98" t="n"/>
      <c r="P2433" s="99" t="n"/>
      <c r="Q2433" s="99" t="n"/>
      <c r="R2433" s="100" t="n"/>
      <c r="S2433" s="98" t="n"/>
      <c r="T2433" s="99" t="n"/>
      <c r="U2433" s="99" t="n"/>
      <c r="V2433" s="100" t="n"/>
      <c r="W2433" s="98" t="n"/>
      <c r="X2433" s="100" t="n"/>
      <c r="Y2433" s="98" t="n"/>
      <c r="Z2433" s="100" t="n"/>
      <c r="AB2433" s="101">
        <f>IF($B2433="","",(COUNTIF(C2408:E2425,$B2433)+COUNTIF(C2408:E2425,$B2433&amp;" ~*")&gt;0)+(COUNTIF(G2408:I2425,$B2433)+COUNTIF(G2408:I2425,$B2433&amp;" ~*")&gt;0)+(COUNTIF(K2408:M2425,$B2433)+COUNTIF(K2408:M2425,$B2433&amp;" ~*")&gt;0)+(COUNTIF(O2408:Q2425,$B2433)+COUNTIF(O2408:Q2425,$B2433&amp;" ~*")&gt;0)+(COUNTIF(S2408:U2425,$B2433)+COUNTIF(S2408:U2425,$B2433&amp;" ~*")&gt;0)+(COUNTIF(W2408:W2425,$B2433)+COUNTIF(W2408:W2425,$B2433&amp;" ~*")&gt;0)+(COUNTIF(Y2408:Y2425,$B2433)+COUNTIF(Y2408:Y2425,$B2433&amp;" ~*")&gt;0))</f>
        <v/>
      </c>
      <c r="AC2433" s="36">
        <f>IF($B2433="","",(IFERROR(INDEX(Setup!$G$33:$G$40,MATCH(C2433,Setup!$B$33:$B$40,0)),0)=1)*(COUNTIF(C2408:E2425,$B2433)+COUNTIF(C2408:E2425,$B2433&amp;" ~*")&gt;0)+(IFERROR(INDEX(Setup!$G$33:$G$40,MATCH(G2433,Setup!$B$33:$B$40,0)),0)=1)*(COUNTIF(G2408:I2425,$B2433)+COUNTIF(G2408:I2425,$B2433&amp;" ~*")&gt;0)+(IFERROR(INDEX(Setup!$G$33:$G$40,MATCH(K2433,Setup!$B$33:$B$40,0)),0)=1)*(COUNTIF(K2408:M2425,$B2433)+COUNTIF(K2408:M2425,$B2433&amp;" ~*")&gt;0)+(IFERROR(INDEX(Setup!$G$33:$G$40,MATCH(O2433,Setup!$B$33:$B$40,0)),0)=1)*(COUNTIF(O2408:Q2425,$B2433)+COUNTIF(O2408:Q2425,$B2433&amp;" ~*")&gt;0)+(IFERROR(INDEX(Setup!$G$33:$G$40,MATCH(S2433,Setup!$B$33:$B$40,0)),0)=1)*(COUNTIF(S2408:U2425,$B2433)+COUNTIF(S2408:U2425,$B2433&amp;" ~*")&gt;0)+(IFERROR(INDEX(Setup!$G$33:$G$40,MATCH(W2433,Setup!$B$33:$B$40,0)),0)=1)*(COUNTIF(W2408:W2425,$B2433)+COUNTIF(W2408:W2425,$B2433&amp;" ~*")&gt;0)+(IFERROR(INDEX(Setup!$G$33:$G$40,MATCH(Y2433,Setup!$B$33:$B$40,0)),0)=1)*(COUNTIF(Y2408:Y2425,$B2433)+COUNTIF(Y2408:Y2425,$B2433&amp;" ~*")&gt;0))</f>
        <v/>
      </c>
    </row>
    <row r="2434" ht="15" customHeight="1">
      <c r="A2434" t="n">
        <v>49</v>
      </c>
      <c r="B2434" s="37">
        <f>IF(Setup!$B$13="","",Setup!$B$13)</f>
        <v/>
      </c>
      <c r="C2434" s="102" t="n"/>
      <c r="D2434" s="103" t="n"/>
      <c r="E2434" s="103" t="n"/>
      <c r="F2434" s="104" t="n"/>
      <c r="G2434" s="102" t="n"/>
      <c r="H2434" s="103" t="n"/>
      <c r="I2434" s="103" t="n"/>
      <c r="J2434" s="104" t="n"/>
      <c r="K2434" s="102" t="n"/>
      <c r="L2434" s="103" t="n"/>
      <c r="M2434" s="103" t="n"/>
      <c r="N2434" s="104" t="n"/>
      <c r="O2434" s="102" t="n"/>
      <c r="P2434" s="103" t="n"/>
      <c r="Q2434" s="103" t="n"/>
      <c r="R2434" s="104" t="n"/>
      <c r="S2434" s="102" t="n"/>
      <c r="T2434" s="103" t="n"/>
      <c r="U2434" s="103" t="n"/>
      <c r="V2434" s="104" t="n"/>
      <c r="W2434" s="102" t="n"/>
      <c r="X2434" s="104" t="n"/>
      <c r="Y2434" s="102" t="n"/>
      <c r="Z2434" s="104" t="n"/>
      <c r="AB2434" s="105">
        <f>IF($B2434="","",(COUNTIF(C2408:E2425,$B2434)+COUNTIF(C2408:E2425,$B2434&amp;" ~*")&gt;0)+(COUNTIF(G2408:I2425,$B2434)+COUNTIF(G2408:I2425,$B2434&amp;" ~*")&gt;0)+(COUNTIF(K2408:M2425,$B2434)+COUNTIF(K2408:M2425,$B2434&amp;" ~*")&gt;0)+(COUNTIF(O2408:Q2425,$B2434)+COUNTIF(O2408:Q2425,$B2434&amp;" ~*")&gt;0)+(COUNTIF(S2408:U2425,$B2434)+COUNTIF(S2408:U2425,$B2434&amp;" ~*")&gt;0)+(COUNTIF(W2408:W2425,$B2434)+COUNTIF(W2408:W2425,$B2434&amp;" ~*")&gt;0)+(COUNTIF(Y2408:Y2425,$B2434)+COUNTIF(Y2408:Y2425,$B2434&amp;" ~*")&gt;0))</f>
        <v/>
      </c>
      <c r="AC2434" s="38">
        <f>IF($B2434="","",(IFERROR(INDEX(Setup!$G$33:$G$40,MATCH(C2434,Setup!$B$33:$B$40,0)),0)=1)*(COUNTIF(C2408:E2425,$B2434)+COUNTIF(C2408:E2425,$B2434&amp;" ~*")&gt;0)+(IFERROR(INDEX(Setup!$G$33:$G$40,MATCH(G2434,Setup!$B$33:$B$40,0)),0)=1)*(COUNTIF(G2408:I2425,$B2434)+COUNTIF(G2408:I2425,$B2434&amp;" ~*")&gt;0)+(IFERROR(INDEX(Setup!$G$33:$G$40,MATCH(K2434,Setup!$B$33:$B$40,0)),0)=1)*(COUNTIF(K2408:M2425,$B2434)+COUNTIF(K2408:M2425,$B2434&amp;" ~*")&gt;0)+(IFERROR(INDEX(Setup!$G$33:$G$40,MATCH(O2434,Setup!$B$33:$B$40,0)),0)=1)*(COUNTIF(O2408:Q2425,$B2434)+COUNTIF(O2408:Q2425,$B2434&amp;" ~*")&gt;0)+(IFERROR(INDEX(Setup!$G$33:$G$40,MATCH(S2434,Setup!$B$33:$B$40,0)),0)=1)*(COUNTIF(S2408:U2425,$B2434)+COUNTIF(S2408:U2425,$B2434&amp;" ~*")&gt;0)+(IFERROR(INDEX(Setup!$G$33:$G$40,MATCH(W2434,Setup!$B$33:$B$40,0)),0)=1)*(COUNTIF(W2408:W2425,$B2434)+COUNTIF(W2408:W2425,$B2434&amp;" ~*")&gt;0)+(IFERROR(INDEX(Setup!$G$33:$G$40,MATCH(Y2434,Setup!$B$33:$B$40,0)),0)=1)*(COUNTIF(Y2408:Y2425,$B2434)+COUNTIF(Y2408:Y2425,$B2434&amp;" ~*")&gt;0))</f>
        <v/>
      </c>
    </row>
    <row r="2435" ht="15" customHeight="1">
      <c r="A2435" t="n">
        <v>49</v>
      </c>
      <c r="B2435" s="35">
        <f>IF(Setup!$B$14="","",Setup!$B$14)</f>
        <v/>
      </c>
      <c r="C2435" s="98" t="n"/>
      <c r="D2435" s="99" t="n"/>
      <c r="E2435" s="99" t="n"/>
      <c r="F2435" s="100" t="n"/>
      <c r="G2435" s="98" t="n"/>
      <c r="H2435" s="99" t="n"/>
      <c r="I2435" s="99" t="n"/>
      <c r="J2435" s="100" t="n"/>
      <c r="K2435" s="98" t="n"/>
      <c r="L2435" s="99" t="n"/>
      <c r="M2435" s="99" t="n"/>
      <c r="N2435" s="100" t="n"/>
      <c r="O2435" s="98" t="n"/>
      <c r="P2435" s="99" t="n"/>
      <c r="Q2435" s="99" t="n"/>
      <c r="R2435" s="100" t="n"/>
      <c r="S2435" s="98" t="n"/>
      <c r="T2435" s="99" t="n"/>
      <c r="U2435" s="99" t="n"/>
      <c r="V2435" s="100" t="n"/>
      <c r="W2435" s="98" t="n"/>
      <c r="X2435" s="100" t="n"/>
      <c r="Y2435" s="98" t="n"/>
      <c r="Z2435" s="100" t="n"/>
      <c r="AB2435" s="101">
        <f>IF($B2435="","",(COUNTIF(C2408:E2425,$B2435)+COUNTIF(C2408:E2425,$B2435&amp;" ~*")&gt;0)+(COUNTIF(G2408:I2425,$B2435)+COUNTIF(G2408:I2425,$B2435&amp;" ~*")&gt;0)+(COUNTIF(K2408:M2425,$B2435)+COUNTIF(K2408:M2425,$B2435&amp;" ~*")&gt;0)+(COUNTIF(O2408:Q2425,$B2435)+COUNTIF(O2408:Q2425,$B2435&amp;" ~*")&gt;0)+(COUNTIF(S2408:U2425,$B2435)+COUNTIF(S2408:U2425,$B2435&amp;" ~*")&gt;0)+(COUNTIF(W2408:W2425,$B2435)+COUNTIF(W2408:W2425,$B2435&amp;" ~*")&gt;0)+(COUNTIF(Y2408:Y2425,$B2435)+COUNTIF(Y2408:Y2425,$B2435&amp;" ~*")&gt;0))</f>
        <v/>
      </c>
      <c r="AC2435" s="36">
        <f>IF($B2435="","",(IFERROR(INDEX(Setup!$G$33:$G$40,MATCH(C2435,Setup!$B$33:$B$40,0)),0)=1)*(COUNTIF(C2408:E2425,$B2435)+COUNTIF(C2408:E2425,$B2435&amp;" ~*")&gt;0)+(IFERROR(INDEX(Setup!$G$33:$G$40,MATCH(G2435,Setup!$B$33:$B$40,0)),0)=1)*(COUNTIF(G2408:I2425,$B2435)+COUNTIF(G2408:I2425,$B2435&amp;" ~*")&gt;0)+(IFERROR(INDEX(Setup!$G$33:$G$40,MATCH(K2435,Setup!$B$33:$B$40,0)),0)=1)*(COUNTIF(K2408:M2425,$B2435)+COUNTIF(K2408:M2425,$B2435&amp;" ~*")&gt;0)+(IFERROR(INDEX(Setup!$G$33:$G$40,MATCH(O2435,Setup!$B$33:$B$40,0)),0)=1)*(COUNTIF(O2408:Q2425,$B2435)+COUNTIF(O2408:Q2425,$B2435&amp;" ~*")&gt;0)+(IFERROR(INDEX(Setup!$G$33:$G$40,MATCH(S2435,Setup!$B$33:$B$40,0)),0)=1)*(COUNTIF(S2408:U2425,$B2435)+COUNTIF(S2408:U2425,$B2435&amp;" ~*")&gt;0)+(IFERROR(INDEX(Setup!$G$33:$G$40,MATCH(W2435,Setup!$B$33:$B$40,0)),0)=1)*(COUNTIF(W2408:W2425,$B2435)+COUNTIF(W2408:W2425,$B2435&amp;" ~*")&gt;0)+(IFERROR(INDEX(Setup!$G$33:$G$40,MATCH(Y2435,Setup!$B$33:$B$40,0)),0)=1)*(COUNTIF(Y2408:Y2425,$B2435)+COUNTIF(Y2408:Y2425,$B2435&amp;" ~*")&gt;0))</f>
        <v/>
      </c>
    </row>
    <row r="2436" ht="15" customHeight="1">
      <c r="A2436" t="n">
        <v>49</v>
      </c>
      <c r="B2436" s="37">
        <f>IF(Setup!$B$15="","",Setup!$B$15)</f>
        <v/>
      </c>
      <c r="C2436" s="102" t="n"/>
      <c r="D2436" s="103" t="n"/>
      <c r="E2436" s="103" t="n"/>
      <c r="F2436" s="104" t="n"/>
      <c r="G2436" s="102" t="n"/>
      <c r="H2436" s="103" t="n"/>
      <c r="I2436" s="103" t="n"/>
      <c r="J2436" s="104" t="n"/>
      <c r="K2436" s="102" t="n"/>
      <c r="L2436" s="103" t="n"/>
      <c r="M2436" s="103" t="n"/>
      <c r="N2436" s="104" t="n"/>
      <c r="O2436" s="102" t="n"/>
      <c r="P2436" s="103" t="n"/>
      <c r="Q2436" s="103" t="n"/>
      <c r="R2436" s="104" t="n"/>
      <c r="S2436" s="102" t="n"/>
      <c r="T2436" s="103" t="n"/>
      <c r="U2436" s="103" t="n"/>
      <c r="V2436" s="104" t="n"/>
      <c r="W2436" s="102" t="n"/>
      <c r="X2436" s="104" t="n"/>
      <c r="Y2436" s="102" t="n"/>
      <c r="Z2436" s="104" t="n"/>
      <c r="AB2436" s="105">
        <f>IF($B2436="","",(COUNTIF(C2408:E2425,$B2436)+COUNTIF(C2408:E2425,$B2436&amp;" ~*")&gt;0)+(COUNTIF(G2408:I2425,$B2436)+COUNTIF(G2408:I2425,$B2436&amp;" ~*")&gt;0)+(COUNTIF(K2408:M2425,$B2436)+COUNTIF(K2408:M2425,$B2436&amp;" ~*")&gt;0)+(COUNTIF(O2408:Q2425,$B2436)+COUNTIF(O2408:Q2425,$B2436&amp;" ~*")&gt;0)+(COUNTIF(S2408:U2425,$B2436)+COUNTIF(S2408:U2425,$B2436&amp;" ~*")&gt;0)+(COUNTIF(W2408:W2425,$B2436)+COUNTIF(W2408:W2425,$B2436&amp;" ~*")&gt;0)+(COUNTIF(Y2408:Y2425,$B2436)+COUNTIF(Y2408:Y2425,$B2436&amp;" ~*")&gt;0))</f>
        <v/>
      </c>
      <c r="AC2436" s="38">
        <f>IF($B2436="","",(IFERROR(INDEX(Setup!$G$33:$G$40,MATCH(C2436,Setup!$B$33:$B$40,0)),0)=1)*(COUNTIF(C2408:E2425,$B2436)+COUNTIF(C2408:E2425,$B2436&amp;" ~*")&gt;0)+(IFERROR(INDEX(Setup!$G$33:$G$40,MATCH(G2436,Setup!$B$33:$B$40,0)),0)=1)*(COUNTIF(G2408:I2425,$B2436)+COUNTIF(G2408:I2425,$B2436&amp;" ~*")&gt;0)+(IFERROR(INDEX(Setup!$G$33:$G$40,MATCH(K2436,Setup!$B$33:$B$40,0)),0)=1)*(COUNTIF(K2408:M2425,$B2436)+COUNTIF(K2408:M2425,$B2436&amp;" ~*")&gt;0)+(IFERROR(INDEX(Setup!$G$33:$G$40,MATCH(O2436,Setup!$B$33:$B$40,0)),0)=1)*(COUNTIF(O2408:Q2425,$B2436)+COUNTIF(O2408:Q2425,$B2436&amp;" ~*")&gt;0)+(IFERROR(INDEX(Setup!$G$33:$G$40,MATCH(S2436,Setup!$B$33:$B$40,0)),0)=1)*(COUNTIF(S2408:U2425,$B2436)+COUNTIF(S2408:U2425,$B2436&amp;" ~*")&gt;0)+(IFERROR(INDEX(Setup!$G$33:$G$40,MATCH(W2436,Setup!$B$33:$B$40,0)),0)=1)*(COUNTIF(W2408:W2425,$B2436)+COUNTIF(W2408:W2425,$B2436&amp;" ~*")&gt;0)+(IFERROR(INDEX(Setup!$G$33:$G$40,MATCH(Y2436,Setup!$B$33:$B$40,0)),0)=1)*(COUNTIF(Y2408:Y2425,$B2436)+COUNTIF(Y2408:Y2425,$B2436&amp;" ~*")&gt;0))</f>
        <v/>
      </c>
    </row>
    <row r="2437" ht="15" customHeight="1">
      <c r="A2437" t="n">
        <v>49</v>
      </c>
      <c r="B2437" s="35">
        <f>IF(Setup!$B$16="","",Setup!$B$16)</f>
        <v/>
      </c>
      <c r="C2437" s="98" t="n"/>
      <c r="D2437" s="99" t="n"/>
      <c r="E2437" s="99" t="n"/>
      <c r="F2437" s="100" t="n"/>
      <c r="G2437" s="98" t="n"/>
      <c r="H2437" s="99" t="n"/>
      <c r="I2437" s="99" t="n"/>
      <c r="J2437" s="100" t="n"/>
      <c r="K2437" s="98" t="n"/>
      <c r="L2437" s="99" t="n"/>
      <c r="M2437" s="99" t="n"/>
      <c r="N2437" s="100" t="n"/>
      <c r="O2437" s="98" t="n"/>
      <c r="P2437" s="99" t="n"/>
      <c r="Q2437" s="99" t="n"/>
      <c r="R2437" s="100" t="n"/>
      <c r="S2437" s="98" t="n"/>
      <c r="T2437" s="99" t="n"/>
      <c r="U2437" s="99" t="n"/>
      <c r="V2437" s="100" t="n"/>
      <c r="W2437" s="98" t="n"/>
      <c r="X2437" s="100" t="n"/>
      <c r="Y2437" s="98" t="n"/>
      <c r="Z2437" s="100" t="n"/>
      <c r="AB2437" s="101">
        <f>IF($B2437="","",(COUNTIF(C2408:E2425,$B2437)+COUNTIF(C2408:E2425,$B2437&amp;" ~*")&gt;0)+(COUNTIF(G2408:I2425,$B2437)+COUNTIF(G2408:I2425,$B2437&amp;" ~*")&gt;0)+(COUNTIF(K2408:M2425,$B2437)+COUNTIF(K2408:M2425,$B2437&amp;" ~*")&gt;0)+(COUNTIF(O2408:Q2425,$B2437)+COUNTIF(O2408:Q2425,$B2437&amp;" ~*")&gt;0)+(COUNTIF(S2408:U2425,$B2437)+COUNTIF(S2408:U2425,$B2437&amp;" ~*")&gt;0)+(COUNTIF(W2408:W2425,$B2437)+COUNTIF(W2408:W2425,$B2437&amp;" ~*")&gt;0)+(COUNTIF(Y2408:Y2425,$B2437)+COUNTIF(Y2408:Y2425,$B2437&amp;" ~*")&gt;0))</f>
        <v/>
      </c>
      <c r="AC2437" s="36">
        <f>IF($B2437="","",(IFERROR(INDEX(Setup!$G$33:$G$40,MATCH(C2437,Setup!$B$33:$B$40,0)),0)=1)*(COUNTIF(C2408:E2425,$B2437)+COUNTIF(C2408:E2425,$B2437&amp;" ~*")&gt;0)+(IFERROR(INDEX(Setup!$G$33:$G$40,MATCH(G2437,Setup!$B$33:$B$40,0)),0)=1)*(COUNTIF(G2408:I2425,$B2437)+COUNTIF(G2408:I2425,$B2437&amp;" ~*")&gt;0)+(IFERROR(INDEX(Setup!$G$33:$G$40,MATCH(K2437,Setup!$B$33:$B$40,0)),0)=1)*(COUNTIF(K2408:M2425,$B2437)+COUNTIF(K2408:M2425,$B2437&amp;" ~*")&gt;0)+(IFERROR(INDEX(Setup!$G$33:$G$40,MATCH(O2437,Setup!$B$33:$B$40,0)),0)=1)*(COUNTIF(O2408:Q2425,$B2437)+COUNTIF(O2408:Q2425,$B2437&amp;" ~*")&gt;0)+(IFERROR(INDEX(Setup!$G$33:$G$40,MATCH(S2437,Setup!$B$33:$B$40,0)),0)=1)*(COUNTIF(S2408:U2425,$B2437)+COUNTIF(S2408:U2425,$B2437&amp;" ~*")&gt;0)+(IFERROR(INDEX(Setup!$G$33:$G$40,MATCH(W2437,Setup!$B$33:$B$40,0)),0)=1)*(COUNTIF(W2408:W2425,$B2437)+COUNTIF(W2408:W2425,$B2437&amp;" ~*")&gt;0)+(IFERROR(INDEX(Setup!$G$33:$G$40,MATCH(Y2437,Setup!$B$33:$B$40,0)),0)=1)*(COUNTIF(Y2408:Y2425,$B2437)+COUNTIF(Y2408:Y2425,$B2437&amp;" ~*")&gt;0))</f>
        <v/>
      </c>
    </row>
    <row r="2438" ht="15" customHeight="1">
      <c r="A2438" t="n">
        <v>49</v>
      </c>
      <c r="B2438" s="37">
        <f>IF(Setup!$B$17="","",Setup!$B$17)</f>
        <v/>
      </c>
      <c r="C2438" s="102" t="n"/>
      <c r="D2438" s="103" t="n"/>
      <c r="E2438" s="103" t="n"/>
      <c r="F2438" s="104" t="n"/>
      <c r="G2438" s="102" t="n"/>
      <c r="H2438" s="103" t="n"/>
      <c r="I2438" s="103" t="n"/>
      <c r="J2438" s="104" t="n"/>
      <c r="K2438" s="102" t="n"/>
      <c r="L2438" s="103" t="n"/>
      <c r="M2438" s="103" t="n"/>
      <c r="N2438" s="104" t="n"/>
      <c r="O2438" s="102" t="n"/>
      <c r="P2438" s="103" t="n"/>
      <c r="Q2438" s="103" t="n"/>
      <c r="R2438" s="104" t="n"/>
      <c r="S2438" s="102" t="n"/>
      <c r="T2438" s="103" t="n"/>
      <c r="U2438" s="103" t="n"/>
      <c r="V2438" s="104" t="n"/>
      <c r="W2438" s="102" t="n"/>
      <c r="X2438" s="104" t="n"/>
      <c r="Y2438" s="102" t="n"/>
      <c r="Z2438" s="104" t="n"/>
      <c r="AB2438" s="105">
        <f>IF($B2438="","",(COUNTIF(C2408:E2425,$B2438)+COUNTIF(C2408:E2425,$B2438&amp;" ~*")&gt;0)+(COUNTIF(G2408:I2425,$B2438)+COUNTIF(G2408:I2425,$B2438&amp;" ~*")&gt;0)+(COUNTIF(K2408:M2425,$B2438)+COUNTIF(K2408:M2425,$B2438&amp;" ~*")&gt;0)+(COUNTIF(O2408:Q2425,$B2438)+COUNTIF(O2408:Q2425,$B2438&amp;" ~*")&gt;0)+(COUNTIF(S2408:U2425,$B2438)+COUNTIF(S2408:U2425,$B2438&amp;" ~*")&gt;0)+(COUNTIF(W2408:W2425,$B2438)+COUNTIF(W2408:W2425,$B2438&amp;" ~*")&gt;0)+(COUNTIF(Y2408:Y2425,$B2438)+COUNTIF(Y2408:Y2425,$B2438&amp;" ~*")&gt;0))</f>
        <v/>
      </c>
      <c r="AC2438" s="38">
        <f>IF($B2438="","",(IFERROR(INDEX(Setup!$G$33:$G$40,MATCH(C2438,Setup!$B$33:$B$40,0)),0)=1)*(COUNTIF(C2408:E2425,$B2438)+COUNTIF(C2408:E2425,$B2438&amp;" ~*")&gt;0)+(IFERROR(INDEX(Setup!$G$33:$G$40,MATCH(G2438,Setup!$B$33:$B$40,0)),0)=1)*(COUNTIF(G2408:I2425,$B2438)+COUNTIF(G2408:I2425,$B2438&amp;" ~*")&gt;0)+(IFERROR(INDEX(Setup!$G$33:$G$40,MATCH(K2438,Setup!$B$33:$B$40,0)),0)=1)*(COUNTIF(K2408:M2425,$B2438)+COUNTIF(K2408:M2425,$B2438&amp;" ~*")&gt;0)+(IFERROR(INDEX(Setup!$G$33:$G$40,MATCH(O2438,Setup!$B$33:$B$40,0)),0)=1)*(COUNTIF(O2408:Q2425,$B2438)+COUNTIF(O2408:Q2425,$B2438&amp;" ~*")&gt;0)+(IFERROR(INDEX(Setup!$G$33:$G$40,MATCH(S2438,Setup!$B$33:$B$40,0)),0)=1)*(COUNTIF(S2408:U2425,$B2438)+COUNTIF(S2408:U2425,$B2438&amp;" ~*")&gt;0)+(IFERROR(INDEX(Setup!$G$33:$G$40,MATCH(W2438,Setup!$B$33:$B$40,0)),0)=1)*(COUNTIF(W2408:W2425,$B2438)+COUNTIF(W2408:W2425,$B2438&amp;" ~*")&gt;0)+(IFERROR(INDEX(Setup!$G$33:$G$40,MATCH(Y2438,Setup!$B$33:$B$40,0)),0)=1)*(COUNTIF(Y2408:Y2425,$B2438)+COUNTIF(Y2408:Y2425,$B2438&amp;" ~*")&gt;0))</f>
        <v/>
      </c>
    </row>
    <row r="2439" ht="15" customHeight="1">
      <c r="A2439" t="n">
        <v>49</v>
      </c>
      <c r="B2439" s="35">
        <f>IF(Setup!$B$18="","",Setup!$B$18)</f>
        <v/>
      </c>
      <c r="C2439" s="98" t="n"/>
      <c r="D2439" s="99" t="n"/>
      <c r="E2439" s="99" t="n"/>
      <c r="F2439" s="100" t="n"/>
      <c r="G2439" s="98" t="n"/>
      <c r="H2439" s="99" t="n"/>
      <c r="I2439" s="99" t="n"/>
      <c r="J2439" s="100" t="n"/>
      <c r="K2439" s="98" t="n"/>
      <c r="L2439" s="99" t="n"/>
      <c r="M2439" s="99" t="n"/>
      <c r="N2439" s="100" t="n"/>
      <c r="O2439" s="98" t="n"/>
      <c r="P2439" s="99" t="n"/>
      <c r="Q2439" s="99" t="n"/>
      <c r="R2439" s="100" t="n"/>
      <c r="S2439" s="98" t="n"/>
      <c r="T2439" s="99" t="n"/>
      <c r="U2439" s="99" t="n"/>
      <c r="V2439" s="100" t="n"/>
      <c r="W2439" s="98" t="n"/>
      <c r="X2439" s="100" t="n"/>
      <c r="Y2439" s="98" t="n"/>
      <c r="Z2439" s="100" t="n"/>
      <c r="AB2439" s="101">
        <f>IF($B2439="","",(COUNTIF(C2408:E2425,$B2439)+COUNTIF(C2408:E2425,$B2439&amp;" ~*")&gt;0)+(COUNTIF(G2408:I2425,$B2439)+COUNTIF(G2408:I2425,$B2439&amp;" ~*")&gt;0)+(COUNTIF(K2408:M2425,$B2439)+COUNTIF(K2408:M2425,$B2439&amp;" ~*")&gt;0)+(COUNTIF(O2408:Q2425,$B2439)+COUNTIF(O2408:Q2425,$B2439&amp;" ~*")&gt;0)+(COUNTIF(S2408:U2425,$B2439)+COUNTIF(S2408:U2425,$B2439&amp;" ~*")&gt;0)+(COUNTIF(W2408:W2425,$B2439)+COUNTIF(W2408:W2425,$B2439&amp;" ~*")&gt;0)+(COUNTIF(Y2408:Y2425,$B2439)+COUNTIF(Y2408:Y2425,$B2439&amp;" ~*")&gt;0))</f>
        <v/>
      </c>
      <c r="AC2439" s="36">
        <f>IF($B2439="","",(IFERROR(INDEX(Setup!$G$33:$G$40,MATCH(C2439,Setup!$B$33:$B$40,0)),0)=1)*(COUNTIF(C2408:E2425,$B2439)+COUNTIF(C2408:E2425,$B2439&amp;" ~*")&gt;0)+(IFERROR(INDEX(Setup!$G$33:$G$40,MATCH(G2439,Setup!$B$33:$B$40,0)),0)=1)*(COUNTIF(G2408:I2425,$B2439)+COUNTIF(G2408:I2425,$B2439&amp;" ~*")&gt;0)+(IFERROR(INDEX(Setup!$G$33:$G$40,MATCH(K2439,Setup!$B$33:$B$40,0)),0)=1)*(COUNTIF(K2408:M2425,$B2439)+COUNTIF(K2408:M2425,$B2439&amp;" ~*")&gt;0)+(IFERROR(INDEX(Setup!$G$33:$G$40,MATCH(O2439,Setup!$B$33:$B$40,0)),0)=1)*(COUNTIF(O2408:Q2425,$B2439)+COUNTIF(O2408:Q2425,$B2439&amp;" ~*")&gt;0)+(IFERROR(INDEX(Setup!$G$33:$G$40,MATCH(S2439,Setup!$B$33:$B$40,0)),0)=1)*(COUNTIF(S2408:U2425,$B2439)+COUNTIF(S2408:U2425,$B2439&amp;" ~*")&gt;0)+(IFERROR(INDEX(Setup!$G$33:$G$40,MATCH(W2439,Setup!$B$33:$B$40,0)),0)=1)*(COUNTIF(W2408:W2425,$B2439)+COUNTIF(W2408:W2425,$B2439&amp;" ~*")&gt;0)+(IFERROR(INDEX(Setup!$G$33:$G$40,MATCH(Y2439,Setup!$B$33:$B$40,0)),0)=1)*(COUNTIF(Y2408:Y2425,$B2439)+COUNTIF(Y2408:Y2425,$B2439&amp;" ~*")&gt;0))</f>
        <v/>
      </c>
    </row>
    <row r="2440" ht="15" customHeight="1">
      <c r="A2440" t="n">
        <v>49</v>
      </c>
      <c r="B2440" s="37">
        <f>IF(Setup!$B$19="","",Setup!$B$19)</f>
        <v/>
      </c>
      <c r="C2440" s="102" t="n"/>
      <c r="D2440" s="103" t="n"/>
      <c r="E2440" s="103" t="n"/>
      <c r="F2440" s="104" t="n"/>
      <c r="G2440" s="102" t="n"/>
      <c r="H2440" s="103" t="n"/>
      <c r="I2440" s="103" t="n"/>
      <c r="J2440" s="104" t="n"/>
      <c r="K2440" s="102" t="n"/>
      <c r="L2440" s="103" t="n"/>
      <c r="M2440" s="103" t="n"/>
      <c r="N2440" s="104" t="n"/>
      <c r="O2440" s="102" t="n"/>
      <c r="P2440" s="103" t="n"/>
      <c r="Q2440" s="103" t="n"/>
      <c r="R2440" s="104" t="n"/>
      <c r="S2440" s="102" t="n"/>
      <c r="T2440" s="103" t="n"/>
      <c r="U2440" s="103" t="n"/>
      <c r="V2440" s="104" t="n"/>
      <c r="W2440" s="102" t="n"/>
      <c r="X2440" s="104" t="n"/>
      <c r="Y2440" s="102" t="n"/>
      <c r="Z2440" s="104" t="n"/>
      <c r="AB2440" s="105">
        <f>IF($B2440="","",(COUNTIF(C2408:E2425,$B2440)+COUNTIF(C2408:E2425,$B2440&amp;" ~*")&gt;0)+(COUNTIF(G2408:I2425,$B2440)+COUNTIF(G2408:I2425,$B2440&amp;" ~*")&gt;0)+(COUNTIF(K2408:M2425,$B2440)+COUNTIF(K2408:M2425,$B2440&amp;" ~*")&gt;0)+(COUNTIF(O2408:Q2425,$B2440)+COUNTIF(O2408:Q2425,$B2440&amp;" ~*")&gt;0)+(COUNTIF(S2408:U2425,$B2440)+COUNTIF(S2408:U2425,$B2440&amp;" ~*")&gt;0)+(COUNTIF(W2408:W2425,$B2440)+COUNTIF(W2408:W2425,$B2440&amp;" ~*")&gt;0)+(COUNTIF(Y2408:Y2425,$B2440)+COUNTIF(Y2408:Y2425,$B2440&amp;" ~*")&gt;0))</f>
        <v/>
      </c>
      <c r="AC2440" s="38">
        <f>IF($B2440="","",(IFERROR(INDEX(Setup!$G$33:$G$40,MATCH(C2440,Setup!$B$33:$B$40,0)),0)=1)*(COUNTIF(C2408:E2425,$B2440)+COUNTIF(C2408:E2425,$B2440&amp;" ~*")&gt;0)+(IFERROR(INDEX(Setup!$G$33:$G$40,MATCH(G2440,Setup!$B$33:$B$40,0)),0)=1)*(COUNTIF(G2408:I2425,$B2440)+COUNTIF(G2408:I2425,$B2440&amp;" ~*")&gt;0)+(IFERROR(INDEX(Setup!$G$33:$G$40,MATCH(K2440,Setup!$B$33:$B$40,0)),0)=1)*(COUNTIF(K2408:M2425,$B2440)+COUNTIF(K2408:M2425,$B2440&amp;" ~*")&gt;0)+(IFERROR(INDEX(Setup!$G$33:$G$40,MATCH(O2440,Setup!$B$33:$B$40,0)),0)=1)*(COUNTIF(O2408:Q2425,$B2440)+COUNTIF(O2408:Q2425,$B2440&amp;" ~*")&gt;0)+(IFERROR(INDEX(Setup!$G$33:$G$40,MATCH(S2440,Setup!$B$33:$B$40,0)),0)=1)*(COUNTIF(S2408:U2425,$B2440)+COUNTIF(S2408:U2425,$B2440&amp;" ~*")&gt;0)+(IFERROR(INDEX(Setup!$G$33:$G$40,MATCH(W2440,Setup!$B$33:$B$40,0)),0)=1)*(COUNTIF(W2408:W2425,$B2440)+COUNTIF(W2408:W2425,$B2440&amp;" ~*")&gt;0)+(IFERROR(INDEX(Setup!$G$33:$G$40,MATCH(Y2440,Setup!$B$33:$B$40,0)),0)=1)*(COUNTIF(Y2408:Y2425,$B2440)+COUNTIF(Y2408:Y2425,$B2440&amp;" ~*")&gt;0))</f>
        <v/>
      </c>
    </row>
    <row r="2441" ht="15" customHeight="1">
      <c r="A2441" t="n">
        <v>49</v>
      </c>
      <c r="B2441" s="35">
        <f>IF(Setup!$B$20="","",Setup!$B$20)</f>
        <v/>
      </c>
      <c r="C2441" s="98" t="n"/>
      <c r="D2441" s="99" t="n"/>
      <c r="E2441" s="99" t="n"/>
      <c r="F2441" s="100" t="n"/>
      <c r="G2441" s="98" t="n"/>
      <c r="H2441" s="99" t="n"/>
      <c r="I2441" s="99" t="n"/>
      <c r="J2441" s="100" t="n"/>
      <c r="K2441" s="98" t="n"/>
      <c r="L2441" s="99" t="n"/>
      <c r="M2441" s="99" t="n"/>
      <c r="N2441" s="100" t="n"/>
      <c r="O2441" s="98" t="n"/>
      <c r="P2441" s="99" t="n"/>
      <c r="Q2441" s="99" t="n"/>
      <c r="R2441" s="100" t="n"/>
      <c r="S2441" s="98" t="n"/>
      <c r="T2441" s="99" t="n"/>
      <c r="U2441" s="99" t="n"/>
      <c r="V2441" s="100" t="n"/>
      <c r="W2441" s="98" t="n"/>
      <c r="X2441" s="100" t="n"/>
      <c r="Y2441" s="98" t="n"/>
      <c r="Z2441" s="100" t="n"/>
      <c r="AB2441" s="101">
        <f>IF($B2441="","",(COUNTIF(C2408:E2425,$B2441)+COUNTIF(C2408:E2425,$B2441&amp;" ~*")&gt;0)+(COUNTIF(G2408:I2425,$B2441)+COUNTIF(G2408:I2425,$B2441&amp;" ~*")&gt;0)+(COUNTIF(K2408:M2425,$B2441)+COUNTIF(K2408:M2425,$B2441&amp;" ~*")&gt;0)+(COUNTIF(O2408:Q2425,$B2441)+COUNTIF(O2408:Q2425,$B2441&amp;" ~*")&gt;0)+(COUNTIF(S2408:U2425,$B2441)+COUNTIF(S2408:U2425,$B2441&amp;" ~*")&gt;0)+(COUNTIF(W2408:W2425,$B2441)+COUNTIF(W2408:W2425,$B2441&amp;" ~*")&gt;0)+(COUNTIF(Y2408:Y2425,$B2441)+COUNTIF(Y2408:Y2425,$B2441&amp;" ~*")&gt;0))</f>
        <v/>
      </c>
      <c r="AC2441" s="36">
        <f>IF($B2441="","",(IFERROR(INDEX(Setup!$G$33:$G$40,MATCH(C2441,Setup!$B$33:$B$40,0)),0)=1)*(COUNTIF(C2408:E2425,$B2441)+COUNTIF(C2408:E2425,$B2441&amp;" ~*")&gt;0)+(IFERROR(INDEX(Setup!$G$33:$G$40,MATCH(G2441,Setup!$B$33:$B$40,0)),0)=1)*(COUNTIF(G2408:I2425,$B2441)+COUNTIF(G2408:I2425,$B2441&amp;" ~*")&gt;0)+(IFERROR(INDEX(Setup!$G$33:$G$40,MATCH(K2441,Setup!$B$33:$B$40,0)),0)=1)*(COUNTIF(K2408:M2425,$B2441)+COUNTIF(K2408:M2425,$B2441&amp;" ~*")&gt;0)+(IFERROR(INDEX(Setup!$G$33:$G$40,MATCH(O2441,Setup!$B$33:$B$40,0)),0)=1)*(COUNTIF(O2408:Q2425,$B2441)+COUNTIF(O2408:Q2425,$B2441&amp;" ~*")&gt;0)+(IFERROR(INDEX(Setup!$G$33:$G$40,MATCH(S2441,Setup!$B$33:$B$40,0)),0)=1)*(COUNTIF(S2408:U2425,$B2441)+COUNTIF(S2408:U2425,$B2441&amp;" ~*")&gt;0)+(IFERROR(INDEX(Setup!$G$33:$G$40,MATCH(W2441,Setup!$B$33:$B$40,0)),0)=1)*(COUNTIF(W2408:W2425,$B2441)+COUNTIF(W2408:W2425,$B2441&amp;" ~*")&gt;0)+(IFERROR(INDEX(Setup!$G$33:$G$40,MATCH(Y2441,Setup!$B$33:$B$40,0)),0)=1)*(COUNTIF(Y2408:Y2425,$B2441)+COUNTIF(Y2408:Y2425,$B2441&amp;" ~*")&gt;0))</f>
        <v/>
      </c>
    </row>
    <row r="2442" ht="15" customHeight="1">
      <c r="A2442" t="n">
        <v>49</v>
      </c>
      <c r="B2442" s="37">
        <f>IF(Setup!$B$21="","",Setup!$B$21)</f>
        <v/>
      </c>
      <c r="C2442" s="102" t="n"/>
      <c r="D2442" s="103" t="n"/>
      <c r="E2442" s="103" t="n"/>
      <c r="F2442" s="104" t="n"/>
      <c r="G2442" s="102" t="n"/>
      <c r="H2442" s="103" t="n"/>
      <c r="I2442" s="103" t="n"/>
      <c r="J2442" s="104" t="n"/>
      <c r="K2442" s="102" t="n"/>
      <c r="L2442" s="103" t="n"/>
      <c r="M2442" s="103" t="n"/>
      <c r="N2442" s="104" t="n"/>
      <c r="O2442" s="102" t="n"/>
      <c r="P2442" s="103" t="n"/>
      <c r="Q2442" s="103" t="n"/>
      <c r="R2442" s="104" t="n"/>
      <c r="S2442" s="102" t="n"/>
      <c r="T2442" s="103" t="n"/>
      <c r="U2442" s="103" t="n"/>
      <c r="V2442" s="104" t="n"/>
      <c r="W2442" s="102" t="n"/>
      <c r="X2442" s="104" t="n"/>
      <c r="Y2442" s="102" t="n"/>
      <c r="Z2442" s="104" t="n"/>
      <c r="AB2442" s="105">
        <f>IF($B2442="","",(COUNTIF(C2408:E2425,$B2442)+COUNTIF(C2408:E2425,$B2442&amp;" ~*")&gt;0)+(COUNTIF(G2408:I2425,$B2442)+COUNTIF(G2408:I2425,$B2442&amp;" ~*")&gt;0)+(COUNTIF(K2408:M2425,$B2442)+COUNTIF(K2408:M2425,$B2442&amp;" ~*")&gt;0)+(COUNTIF(O2408:Q2425,$B2442)+COUNTIF(O2408:Q2425,$B2442&amp;" ~*")&gt;0)+(COUNTIF(S2408:U2425,$B2442)+COUNTIF(S2408:U2425,$B2442&amp;" ~*")&gt;0)+(COUNTIF(W2408:W2425,$B2442)+COUNTIF(W2408:W2425,$B2442&amp;" ~*")&gt;0)+(COUNTIF(Y2408:Y2425,$B2442)+COUNTIF(Y2408:Y2425,$B2442&amp;" ~*")&gt;0))</f>
        <v/>
      </c>
      <c r="AC2442" s="38">
        <f>IF($B2442="","",(IFERROR(INDEX(Setup!$G$33:$G$40,MATCH(C2442,Setup!$B$33:$B$40,0)),0)=1)*(COUNTIF(C2408:E2425,$B2442)+COUNTIF(C2408:E2425,$B2442&amp;" ~*")&gt;0)+(IFERROR(INDEX(Setup!$G$33:$G$40,MATCH(G2442,Setup!$B$33:$B$40,0)),0)=1)*(COUNTIF(G2408:I2425,$B2442)+COUNTIF(G2408:I2425,$B2442&amp;" ~*")&gt;0)+(IFERROR(INDEX(Setup!$G$33:$G$40,MATCH(K2442,Setup!$B$33:$B$40,0)),0)=1)*(COUNTIF(K2408:M2425,$B2442)+COUNTIF(K2408:M2425,$B2442&amp;" ~*")&gt;0)+(IFERROR(INDEX(Setup!$G$33:$G$40,MATCH(O2442,Setup!$B$33:$B$40,0)),0)=1)*(COUNTIF(O2408:Q2425,$B2442)+COUNTIF(O2408:Q2425,$B2442&amp;" ~*")&gt;0)+(IFERROR(INDEX(Setup!$G$33:$G$40,MATCH(S2442,Setup!$B$33:$B$40,0)),0)=1)*(COUNTIF(S2408:U2425,$B2442)+COUNTIF(S2408:U2425,$B2442&amp;" ~*")&gt;0)+(IFERROR(INDEX(Setup!$G$33:$G$40,MATCH(W2442,Setup!$B$33:$B$40,0)),0)=1)*(COUNTIF(W2408:W2425,$B2442)+COUNTIF(W2408:W2425,$B2442&amp;" ~*")&gt;0)+(IFERROR(INDEX(Setup!$G$33:$G$40,MATCH(Y2442,Setup!$B$33:$B$40,0)),0)=1)*(COUNTIF(Y2408:Y2425,$B2442)+COUNTIF(Y2408:Y2425,$B2442&amp;" ~*")&gt;0))</f>
        <v/>
      </c>
    </row>
    <row r="2443" ht="15" customHeight="1">
      <c r="A2443" t="n">
        <v>49</v>
      </c>
      <c r="B2443" s="35">
        <f>IF(Setup!$B$22="","",Setup!$B$22)</f>
        <v/>
      </c>
      <c r="C2443" s="98" t="n"/>
      <c r="D2443" s="99" t="n"/>
      <c r="E2443" s="99" t="n"/>
      <c r="F2443" s="100" t="n"/>
      <c r="G2443" s="98" t="n"/>
      <c r="H2443" s="99" t="n"/>
      <c r="I2443" s="99" t="n"/>
      <c r="J2443" s="100" t="n"/>
      <c r="K2443" s="98" t="n"/>
      <c r="L2443" s="99" t="n"/>
      <c r="M2443" s="99" t="n"/>
      <c r="N2443" s="100" t="n"/>
      <c r="O2443" s="98" t="n"/>
      <c r="P2443" s="99" t="n"/>
      <c r="Q2443" s="99" t="n"/>
      <c r="R2443" s="100" t="n"/>
      <c r="S2443" s="98" t="n"/>
      <c r="T2443" s="99" t="n"/>
      <c r="U2443" s="99" t="n"/>
      <c r="V2443" s="100" t="n"/>
      <c r="W2443" s="98" t="n"/>
      <c r="X2443" s="100" t="n"/>
      <c r="Y2443" s="98" t="n"/>
      <c r="Z2443" s="100" t="n"/>
      <c r="AB2443" s="101">
        <f>IF($B2443="","",(COUNTIF(C2408:E2425,$B2443)+COUNTIF(C2408:E2425,$B2443&amp;" ~*")&gt;0)+(COUNTIF(G2408:I2425,$B2443)+COUNTIF(G2408:I2425,$B2443&amp;" ~*")&gt;0)+(COUNTIF(K2408:M2425,$B2443)+COUNTIF(K2408:M2425,$B2443&amp;" ~*")&gt;0)+(COUNTIF(O2408:Q2425,$B2443)+COUNTIF(O2408:Q2425,$B2443&amp;" ~*")&gt;0)+(COUNTIF(S2408:U2425,$B2443)+COUNTIF(S2408:U2425,$B2443&amp;" ~*")&gt;0)+(COUNTIF(W2408:W2425,$B2443)+COUNTIF(W2408:W2425,$B2443&amp;" ~*")&gt;0)+(COUNTIF(Y2408:Y2425,$B2443)+COUNTIF(Y2408:Y2425,$B2443&amp;" ~*")&gt;0))</f>
        <v/>
      </c>
      <c r="AC2443" s="36">
        <f>IF($B2443="","",(IFERROR(INDEX(Setup!$G$33:$G$40,MATCH(C2443,Setup!$B$33:$B$40,0)),0)=1)*(COUNTIF(C2408:E2425,$B2443)+COUNTIF(C2408:E2425,$B2443&amp;" ~*")&gt;0)+(IFERROR(INDEX(Setup!$G$33:$G$40,MATCH(G2443,Setup!$B$33:$B$40,0)),0)=1)*(COUNTIF(G2408:I2425,$B2443)+COUNTIF(G2408:I2425,$B2443&amp;" ~*")&gt;0)+(IFERROR(INDEX(Setup!$G$33:$G$40,MATCH(K2443,Setup!$B$33:$B$40,0)),0)=1)*(COUNTIF(K2408:M2425,$B2443)+COUNTIF(K2408:M2425,$B2443&amp;" ~*")&gt;0)+(IFERROR(INDEX(Setup!$G$33:$G$40,MATCH(O2443,Setup!$B$33:$B$40,0)),0)=1)*(COUNTIF(O2408:Q2425,$B2443)+COUNTIF(O2408:Q2425,$B2443&amp;" ~*")&gt;0)+(IFERROR(INDEX(Setup!$G$33:$G$40,MATCH(S2443,Setup!$B$33:$B$40,0)),0)=1)*(COUNTIF(S2408:U2425,$B2443)+COUNTIF(S2408:U2425,$B2443&amp;" ~*")&gt;0)+(IFERROR(INDEX(Setup!$G$33:$G$40,MATCH(W2443,Setup!$B$33:$B$40,0)),0)=1)*(COUNTIF(W2408:W2425,$B2443)+COUNTIF(W2408:W2425,$B2443&amp;" ~*")&gt;0)+(IFERROR(INDEX(Setup!$G$33:$G$40,MATCH(Y2443,Setup!$B$33:$B$40,0)),0)=1)*(COUNTIF(Y2408:Y2425,$B2443)+COUNTIF(Y2408:Y2425,$B2443&amp;" ~*")&gt;0))</f>
        <v/>
      </c>
    </row>
    <row r="2444" ht="15" customHeight="1">
      <c r="A2444" t="n">
        <v>49</v>
      </c>
      <c r="B2444" s="37">
        <f>IF(Setup!$B$23="","",Setup!$B$23)</f>
        <v/>
      </c>
      <c r="C2444" s="102" t="n"/>
      <c r="D2444" s="103" t="n"/>
      <c r="E2444" s="103" t="n"/>
      <c r="F2444" s="104" t="n"/>
      <c r="G2444" s="102" t="n"/>
      <c r="H2444" s="103" t="n"/>
      <c r="I2444" s="103" t="n"/>
      <c r="J2444" s="104" t="n"/>
      <c r="K2444" s="102" t="n"/>
      <c r="L2444" s="103" t="n"/>
      <c r="M2444" s="103" t="n"/>
      <c r="N2444" s="104" t="n"/>
      <c r="O2444" s="102" t="n"/>
      <c r="P2444" s="103" t="n"/>
      <c r="Q2444" s="103" t="n"/>
      <c r="R2444" s="104" t="n"/>
      <c r="S2444" s="102" t="n"/>
      <c r="T2444" s="103" t="n"/>
      <c r="U2444" s="103" t="n"/>
      <c r="V2444" s="104" t="n"/>
      <c r="W2444" s="102" t="n"/>
      <c r="X2444" s="104" t="n"/>
      <c r="Y2444" s="102" t="n"/>
      <c r="Z2444" s="104" t="n"/>
      <c r="AB2444" s="105">
        <f>IF($B2444="","",(COUNTIF(C2408:E2425,$B2444)+COUNTIF(C2408:E2425,$B2444&amp;" ~*")&gt;0)+(COUNTIF(G2408:I2425,$B2444)+COUNTIF(G2408:I2425,$B2444&amp;" ~*")&gt;0)+(COUNTIF(K2408:M2425,$B2444)+COUNTIF(K2408:M2425,$B2444&amp;" ~*")&gt;0)+(COUNTIF(O2408:Q2425,$B2444)+COUNTIF(O2408:Q2425,$B2444&amp;" ~*")&gt;0)+(COUNTIF(S2408:U2425,$B2444)+COUNTIF(S2408:U2425,$B2444&amp;" ~*")&gt;0)+(COUNTIF(W2408:W2425,$B2444)+COUNTIF(W2408:W2425,$B2444&amp;" ~*")&gt;0)+(COUNTIF(Y2408:Y2425,$B2444)+COUNTIF(Y2408:Y2425,$B2444&amp;" ~*")&gt;0))</f>
        <v/>
      </c>
      <c r="AC2444" s="38">
        <f>IF($B2444="","",(IFERROR(INDEX(Setup!$G$33:$G$40,MATCH(C2444,Setup!$B$33:$B$40,0)),0)=1)*(COUNTIF(C2408:E2425,$B2444)+COUNTIF(C2408:E2425,$B2444&amp;" ~*")&gt;0)+(IFERROR(INDEX(Setup!$G$33:$G$40,MATCH(G2444,Setup!$B$33:$B$40,0)),0)=1)*(COUNTIF(G2408:I2425,$B2444)+COUNTIF(G2408:I2425,$B2444&amp;" ~*")&gt;0)+(IFERROR(INDEX(Setup!$G$33:$G$40,MATCH(K2444,Setup!$B$33:$B$40,0)),0)=1)*(COUNTIF(K2408:M2425,$B2444)+COUNTIF(K2408:M2425,$B2444&amp;" ~*")&gt;0)+(IFERROR(INDEX(Setup!$G$33:$G$40,MATCH(O2444,Setup!$B$33:$B$40,0)),0)=1)*(COUNTIF(O2408:Q2425,$B2444)+COUNTIF(O2408:Q2425,$B2444&amp;" ~*")&gt;0)+(IFERROR(INDEX(Setup!$G$33:$G$40,MATCH(S2444,Setup!$B$33:$B$40,0)),0)=1)*(COUNTIF(S2408:U2425,$B2444)+COUNTIF(S2408:U2425,$B2444&amp;" ~*")&gt;0)+(IFERROR(INDEX(Setup!$G$33:$G$40,MATCH(W2444,Setup!$B$33:$B$40,0)),0)=1)*(COUNTIF(W2408:W2425,$B2444)+COUNTIF(W2408:W2425,$B2444&amp;" ~*")&gt;0)+(IFERROR(INDEX(Setup!$G$33:$G$40,MATCH(Y2444,Setup!$B$33:$B$40,0)),0)=1)*(COUNTIF(Y2408:Y2425,$B2444)+COUNTIF(Y2408:Y2425,$B2444&amp;" ~*")&gt;0))</f>
        <v/>
      </c>
    </row>
    <row r="2445" ht="15" customHeight="1">
      <c r="A2445" t="n">
        <v>49</v>
      </c>
      <c r="B2445" s="35">
        <f>IF(Setup!$B$24="","",Setup!$B$24)</f>
        <v/>
      </c>
      <c r="C2445" s="98" t="n"/>
      <c r="D2445" s="99" t="n"/>
      <c r="E2445" s="99" t="n"/>
      <c r="F2445" s="100" t="n"/>
      <c r="G2445" s="98" t="n"/>
      <c r="H2445" s="99" t="n"/>
      <c r="I2445" s="99" t="n"/>
      <c r="J2445" s="100" t="n"/>
      <c r="K2445" s="98" t="n"/>
      <c r="L2445" s="99" t="n"/>
      <c r="M2445" s="99" t="n"/>
      <c r="N2445" s="100" t="n"/>
      <c r="O2445" s="98" t="n"/>
      <c r="P2445" s="99" t="n"/>
      <c r="Q2445" s="99" t="n"/>
      <c r="R2445" s="100" t="n"/>
      <c r="S2445" s="98" t="n"/>
      <c r="T2445" s="99" t="n"/>
      <c r="U2445" s="99" t="n"/>
      <c r="V2445" s="100" t="n"/>
      <c r="W2445" s="98" t="n"/>
      <c r="X2445" s="100" t="n"/>
      <c r="Y2445" s="98" t="n"/>
      <c r="Z2445" s="100" t="n"/>
      <c r="AB2445" s="101">
        <f>IF($B2445="","",(COUNTIF(C2408:E2425,$B2445)+COUNTIF(C2408:E2425,$B2445&amp;" ~*")&gt;0)+(COUNTIF(G2408:I2425,$B2445)+COUNTIF(G2408:I2425,$B2445&amp;" ~*")&gt;0)+(COUNTIF(K2408:M2425,$B2445)+COUNTIF(K2408:M2425,$B2445&amp;" ~*")&gt;0)+(COUNTIF(O2408:Q2425,$B2445)+COUNTIF(O2408:Q2425,$B2445&amp;" ~*")&gt;0)+(COUNTIF(S2408:U2425,$B2445)+COUNTIF(S2408:U2425,$B2445&amp;" ~*")&gt;0)+(COUNTIF(W2408:W2425,$B2445)+COUNTIF(W2408:W2425,$B2445&amp;" ~*")&gt;0)+(COUNTIF(Y2408:Y2425,$B2445)+COUNTIF(Y2408:Y2425,$B2445&amp;" ~*")&gt;0))</f>
        <v/>
      </c>
      <c r="AC2445" s="36">
        <f>IF($B2445="","",(IFERROR(INDEX(Setup!$G$33:$G$40,MATCH(C2445,Setup!$B$33:$B$40,0)),0)=1)*(COUNTIF(C2408:E2425,$B2445)+COUNTIF(C2408:E2425,$B2445&amp;" ~*")&gt;0)+(IFERROR(INDEX(Setup!$G$33:$G$40,MATCH(G2445,Setup!$B$33:$B$40,0)),0)=1)*(COUNTIF(G2408:I2425,$B2445)+COUNTIF(G2408:I2425,$B2445&amp;" ~*")&gt;0)+(IFERROR(INDEX(Setup!$G$33:$G$40,MATCH(K2445,Setup!$B$33:$B$40,0)),0)=1)*(COUNTIF(K2408:M2425,$B2445)+COUNTIF(K2408:M2425,$B2445&amp;" ~*")&gt;0)+(IFERROR(INDEX(Setup!$G$33:$G$40,MATCH(O2445,Setup!$B$33:$B$40,0)),0)=1)*(COUNTIF(O2408:Q2425,$B2445)+COUNTIF(O2408:Q2425,$B2445&amp;" ~*")&gt;0)+(IFERROR(INDEX(Setup!$G$33:$G$40,MATCH(S2445,Setup!$B$33:$B$40,0)),0)=1)*(COUNTIF(S2408:U2425,$B2445)+COUNTIF(S2408:U2425,$B2445&amp;" ~*")&gt;0)+(IFERROR(INDEX(Setup!$G$33:$G$40,MATCH(W2445,Setup!$B$33:$B$40,0)),0)=1)*(COUNTIF(W2408:W2425,$B2445)+COUNTIF(W2408:W2425,$B2445&amp;" ~*")&gt;0)+(IFERROR(INDEX(Setup!$G$33:$G$40,MATCH(Y2445,Setup!$B$33:$B$40,0)),0)=1)*(COUNTIF(Y2408:Y2425,$B2445)+COUNTIF(Y2408:Y2425,$B2445&amp;" ~*")&gt;0))</f>
        <v/>
      </c>
    </row>
    <row r="2446" ht="15" customHeight="1">
      <c r="A2446" t="n">
        <v>49</v>
      </c>
      <c r="B2446" s="37">
        <f>IF(Setup!$B$25="","",Setup!$B$25)</f>
        <v/>
      </c>
      <c r="C2446" s="102" t="n"/>
      <c r="D2446" s="103" t="n"/>
      <c r="E2446" s="103" t="n"/>
      <c r="F2446" s="104" t="n"/>
      <c r="G2446" s="102" t="n"/>
      <c r="H2446" s="103" t="n"/>
      <c r="I2446" s="103" t="n"/>
      <c r="J2446" s="104" t="n"/>
      <c r="K2446" s="102" t="n"/>
      <c r="L2446" s="103" t="n"/>
      <c r="M2446" s="103" t="n"/>
      <c r="N2446" s="104" t="n"/>
      <c r="O2446" s="102" t="n"/>
      <c r="P2446" s="103" t="n"/>
      <c r="Q2446" s="103" t="n"/>
      <c r="R2446" s="104" t="n"/>
      <c r="S2446" s="102" t="n"/>
      <c r="T2446" s="103" t="n"/>
      <c r="U2446" s="103" t="n"/>
      <c r="V2446" s="104" t="n"/>
      <c r="W2446" s="102" t="n"/>
      <c r="X2446" s="104" t="n"/>
      <c r="Y2446" s="102" t="n"/>
      <c r="Z2446" s="104" t="n"/>
      <c r="AB2446" s="105">
        <f>IF($B2446="","",(COUNTIF(C2408:E2425,$B2446)+COUNTIF(C2408:E2425,$B2446&amp;" ~*")&gt;0)+(COUNTIF(G2408:I2425,$B2446)+COUNTIF(G2408:I2425,$B2446&amp;" ~*")&gt;0)+(COUNTIF(K2408:M2425,$B2446)+COUNTIF(K2408:M2425,$B2446&amp;" ~*")&gt;0)+(COUNTIF(O2408:Q2425,$B2446)+COUNTIF(O2408:Q2425,$B2446&amp;" ~*")&gt;0)+(COUNTIF(S2408:U2425,$B2446)+COUNTIF(S2408:U2425,$B2446&amp;" ~*")&gt;0)+(COUNTIF(W2408:W2425,$B2446)+COUNTIF(W2408:W2425,$B2446&amp;" ~*")&gt;0)+(COUNTIF(Y2408:Y2425,$B2446)+COUNTIF(Y2408:Y2425,$B2446&amp;" ~*")&gt;0))</f>
        <v/>
      </c>
      <c r="AC2446" s="38">
        <f>IF($B2446="","",(IFERROR(INDEX(Setup!$G$33:$G$40,MATCH(C2446,Setup!$B$33:$B$40,0)),0)=1)*(COUNTIF(C2408:E2425,$B2446)+COUNTIF(C2408:E2425,$B2446&amp;" ~*")&gt;0)+(IFERROR(INDEX(Setup!$G$33:$G$40,MATCH(G2446,Setup!$B$33:$B$40,0)),0)=1)*(COUNTIF(G2408:I2425,$B2446)+COUNTIF(G2408:I2425,$B2446&amp;" ~*")&gt;0)+(IFERROR(INDEX(Setup!$G$33:$G$40,MATCH(K2446,Setup!$B$33:$B$40,0)),0)=1)*(COUNTIF(K2408:M2425,$B2446)+COUNTIF(K2408:M2425,$B2446&amp;" ~*")&gt;0)+(IFERROR(INDEX(Setup!$G$33:$G$40,MATCH(O2446,Setup!$B$33:$B$40,0)),0)=1)*(COUNTIF(O2408:Q2425,$B2446)+COUNTIF(O2408:Q2425,$B2446&amp;" ~*")&gt;0)+(IFERROR(INDEX(Setup!$G$33:$G$40,MATCH(S2446,Setup!$B$33:$B$40,0)),0)=1)*(COUNTIF(S2408:U2425,$B2446)+COUNTIF(S2408:U2425,$B2446&amp;" ~*")&gt;0)+(IFERROR(INDEX(Setup!$G$33:$G$40,MATCH(W2446,Setup!$B$33:$B$40,0)),0)=1)*(COUNTIF(W2408:W2425,$B2446)+COUNTIF(W2408:W2425,$B2446&amp;" ~*")&gt;0)+(IFERROR(INDEX(Setup!$G$33:$G$40,MATCH(Y2446,Setup!$B$33:$B$40,0)),0)=1)*(COUNTIF(Y2408:Y2425,$B2446)+COUNTIF(Y2408:Y2425,$B2446&amp;" ~*")&gt;0))</f>
        <v/>
      </c>
    </row>
    <row r="2447" ht="15" customHeight="1">
      <c r="A2447" t="n">
        <v>49</v>
      </c>
      <c r="B2447" s="35">
        <f>IF(Setup!$B$26="","",Setup!$B$26)</f>
        <v/>
      </c>
      <c r="C2447" s="98" t="n"/>
      <c r="D2447" s="99" t="n"/>
      <c r="E2447" s="99" t="n"/>
      <c r="F2447" s="100" t="n"/>
      <c r="G2447" s="98" t="n"/>
      <c r="H2447" s="99" t="n"/>
      <c r="I2447" s="99" t="n"/>
      <c r="J2447" s="100" t="n"/>
      <c r="K2447" s="98" t="n"/>
      <c r="L2447" s="99" t="n"/>
      <c r="M2447" s="99" t="n"/>
      <c r="N2447" s="100" t="n"/>
      <c r="O2447" s="98" t="n"/>
      <c r="P2447" s="99" t="n"/>
      <c r="Q2447" s="99" t="n"/>
      <c r="R2447" s="100" t="n"/>
      <c r="S2447" s="98" t="n"/>
      <c r="T2447" s="99" t="n"/>
      <c r="U2447" s="99" t="n"/>
      <c r="V2447" s="100" t="n"/>
      <c r="W2447" s="98" t="n"/>
      <c r="X2447" s="100" t="n"/>
      <c r="Y2447" s="98" t="n"/>
      <c r="Z2447" s="100" t="n"/>
      <c r="AB2447" s="101">
        <f>IF($B2447="","",(COUNTIF(C2408:E2425,$B2447)+COUNTIF(C2408:E2425,$B2447&amp;" ~*")&gt;0)+(COUNTIF(G2408:I2425,$B2447)+COUNTIF(G2408:I2425,$B2447&amp;" ~*")&gt;0)+(COUNTIF(K2408:M2425,$B2447)+COUNTIF(K2408:M2425,$B2447&amp;" ~*")&gt;0)+(COUNTIF(O2408:Q2425,$B2447)+COUNTIF(O2408:Q2425,$B2447&amp;" ~*")&gt;0)+(COUNTIF(S2408:U2425,$B2447)+COUNTIF(S2408:U2425,$B2447&amp;" ~*")&gt;0)+(COUNTIF(W2408:W2425,$B2447)+COUNTIF(W2408:W2425,$B2447&amp;" ~*")&gt;0)+(COUNTIF(Y2408:Y2425,$B2447)+COUNTIF(Y2408:Y2425,$B2447&amp;" ~*")&gt;0))</f>
        <v/>
      </c>
      <c r="AC2447" s="36">
        <f>IF($B2447="","",(IFERROR(INDEX(Setup!$G$33:$G$40,MATCH(C2447,Setup!$B$33:$B$40,0)),0)=1)*(COUNTIF(C2408:E2425,$B2447)+COUNTIF(C2408:E2425,$B2447&amp;" ~*")&gt;0)+(IFERROR(INDEX(Setup!$G$33:$G$40,MATCH(G2447,Setup!$B$33:$B$40,0)),0)=1)*(COUNTIF(G2408:I2425,$B2447)+COUNTIF(G2408:I2425,$B2447&amp;" ~*")&gt;0)+(IFERROR(INDEX(Setup!$G$33:$G$40,MATCH(K2447,Setup!$B$33:$B$40,0)),0)=1)*(COUNTIF(K2408:M2425,$B2447)+COUNTIF(K2408:M2425,$B2447&amp;" ~*")&gt;0)+(IFERROR(INDEX(Setup!$G$33:$G$40,MATCH(O2447,Setup!$B$33:$B$40,0)),0)=1)*(COUNTIF(O2408:Q2425,$B2447)+COUNTIF(O2408:Q2425,$B2447&amp;" ~*")&gt;0)+(IFERROR(INDEX(Setup!$G$33:$G$40,MATCH(S2447,Setup!$B$33:$B$40,0)),0)=1)*(COUNTIF(S2408:U2425,$B2447)+COUNTIF(S2408:U2425,$B2447&amp;" ~*")&gt;0)+(IFERROR(INDEX(Setup!$G$33:$G$40,MATCH(W2447,Setup!$B$33:$B$40,0)),0)=1)*(COUNTIF(W2408:W2425,$B2447)+COUNTIF(W2408:W2425,$B2447&amp;" ~*")&gt;0)+(IFERROR(INDEX(Setup!$G$33:$G$40,MATCH(Y2447,Setup!$B$33:$B$40,0)),0)=1)*(COUNTIF(Y2408:Y2425,$B2447)+COUNTIF(Y2408:Y2425,$B2447&amp;" ~*")&gt;0))</f>
        <v/>
      </c>
    </row>
    <row r="2448" ht="15" customHeight="1">
      <c r="A2448" t="n">
        <v>49</v>
      </c>
      <c r="B2448" s="37">
        <f>IF(Setup!$B$27="","",Setup!$B$27)</f>
        <v/>
      </c>
      <c r="C2448" s="102" t="n"/>
      <c r="D2448" s="103" t="n"/>
      <c r="E2448" s="103" t="n"/>
      <c r="F2448" s="104" t="n"/>
      <c r="G2448" s="102" t="n"/>
      <c r="H2448" s="103" t="n"/>
      <c r="I2448" s="103" t="n"/>
      <c r="J2448" s="104" t="n"/>
      <c r="K2448" s="102" t="n"/>
      <c r="L2448" s="103" t="n"/>
      <c r="M2448" s="103" t="n"/>
      <c r="N2448" s="104" t="n"/>
      <c r="O2448" s="102" t="n"/>
      <c r="P2448" s="103" t="n"/>
      <c r="Q2448" s="103" t="n"/>
      <c r="R2448" s="104" t="n"/>
      <c r="S2448" s="102" t="n"/>
      <c r="T2448" s="103" t="n"/>
      <c r="U2448" s="103" t="n"/>
      <c r="V2448" s="104" t="n"/>
      <c r="W2448" s="102" t="n"/>
      <c r="X2448" s="104" t="n"/>
      <c r="Y2448" s="102" t="n"/>
      <c r="Z2448" s="104" t="n"/>
      <c r="AB2448" s="105">
        <f>IF($B2448="","",(COUNTIF(C2408:E2425,$B2448)+COUNTIF(C2408:E2425,$B2448&amp;" ~*")&gt;0)+(COUNTIF(G2408:I2425,$B2448)+COUNTIF(G2408:I2425,$B2448&amp;" ~*")&gt;0)+(COUNTIF(K2408:M2425,$B2448)+COUNTIF(K2408:M2425,$B2448&amp;" ~*")&gt;0)+(COUNTIF(O2408:Q2425,$B2448)+COUNTIF(O2408:Q2425,$B2448&amp;" ~*")&gt;0)+(COUNTIF(S2408:U2425,$B2448)+COUNTIF(S2408:U2425,$B2448&amp;" ~*")&gt;0)+(COUNTIF(W2408:W2425,$B2448)+COUNTIF(W2408:W2425,$B2448&amp;" ~*")&gt;0)+(COUNTIF(Y2408:Y2425,$B2448)+COUNTIF(Y2408:Y2425,$B2448&amp;" ~*")&gt;0))</f>
        <v/>
      </c>
      <c r="AC2448" s="38">
        <f>IF($B2448="","",(IFERROR(INDEX(Setup!$G$33:$G$40,MATCH(C2448,Setup!$B$33:$B$40,0)),0)=1)*(COUNTIF(C2408:E2425,$B2448)+COUNTIF(C2408:E2425,$B2448&amp;" ~*")&gt;0)+(IFERROR(INDEX(Setup!$G$33:$G$40,MATCH(G2448,Setup!$B$33:$B$40,0)),0)=1)*(COUNTIF(G2408:I2425,$B2448)+COUNTIF(G2408:I2425,$B2448&amp;" ~*")&gt;0)+(IFERROR(INDEX(Setup!$G$33:$G$40,MATCH(K2448,Setup!$B$33:$B$40,0)),0)=1)*(COUNTIF(K2408:M2425,$B2448)+COUNTIF(K2408:M2425,$B2448&amp;" ~*")&gt;0)+(IFERROR(INDEX(Setup!$G$33:$G$40,MATCH(O2448,Setup!$B$33:$B$40,0)),0)=1)*(COUNTIF(O2408:Q2425,$B2448)+COUNTIF(O2408:Q2425,$B2448&amp;" ~*")&gt;0)+(IFERROR(INDEX(Setup!$G$33:$G$40,MATCH(S2448,Setup!$B$33:$B$40,0)),0)=1)*(COUNTIF(S2408:U2425,$B2448)+COUNTIF(S2408:U2425,$B2448&amp;" ~*")&gt;0)+(IFERROR(INDEX(Setup!$G$33:$G$40,MATCH(W2448,Setup!$B$33:$B$40,0)),0)=1)*(COUNTIF(W2408:W2425,$B2448)+COUNTIF(W2408:W2425,$B2448&amp;" ~*")&gt;0)+(IFERROR(INDEX(Setup!$G$33:$G$40,MATCH(Y2448,Setup!$B$33:$B$40,0)),0)=1)*(COUNTIF(Y2408:Y2425,$B2448)+COUNTIF(Y2408:Y2425,$B2448&amp;" ~*")&gt;0))</f>
        <v/>
      </c>
    </row>
    <row r="2449" ht="15" customHeight="1">
      <c r="A2449" t="n">
        <v>49</v>
      </c>
      <c r="B2449" s="35">
        <f>IF(Setup!$B$28="","",Setup!$B$28)</f>
        <v/>
      </c>
      <c r="C2449" s="98" t="n"/>
      <c r="D2449" s="99" t="n"/>
      <c r="E2449" s="99" t="n"/>
      <c r="F2449" s="100" t="n"/>
      <c r="G2449" s="98" t="n"/>
      <c r="H2449" s="99" t="n"/>
      <c r="I2449" s="99" t="n"/>
      <c r="J2449" s="100" t="n"/>
      <c r="K2449" s="98" t="n"/>
      <c r="L2449" s="99" t="n"/>
      <c r="M2449" s="99" t="n"/>
      <c r="N2449" s="100" t="n"/>
      <c r="O2449" s="98" t="n"/>
      <c r="P2449" s="99" t="n"/>
      <c r="Q2449" s="99" t="n"/>
      <c r="R2449" s="100" t="n"/>
      <c r="S2449" s="98" t="n"/>
      <c r="T2449" s="99" t="n"/>
      <c r="U2449" s="99" t="n"/>
      <c r="V2449" s="100" t="n"/>
      <c r="W2449" s="98" t="n"/>
      <c r="X2449" s="100" t="n"/>
      <c r="Y2449" s="98" t="n"/>
      <c r="Z2449" s="100" t="n"/>
      <c r="AB2449" s="101">
        <f>IF($B2449="","",(COUNTIF(C2408:E2425,$B2449)+COUNTIF(C2408:E2425,$B2449&amp;" ~*")&gt;0)+(COUNTIF(G2408:I2425,$B2449)+COUNTIF(G2408:I2425,$B2449&amp;" ~*")&gt;0)+(COUNTIF(K2408:M2425,$B2449)+COUNTIF(K2408:M2425,$B2449&amp;" ~*")&gt;0)+(COUNTIF(O2408:Q2425,$B2449)+COUNTIF(O2408:Q2425,$B2449&amp;" ~*")&gt;0)+(COUNTIF(S2408:U2425,$B2449)+COUNTIF(S2408:U2425,$B2449&amp;" ~*")&gt;0)+(COUNTIF(W2408:W2425,$B2449)+COUNTIF(W2408:W2425,$B2449&amp;" ~*")&gt;0)+(COUNTIF(Y2408:Y2425,$B2449)+COUNTIF(Y2408:Y2425,$B2449&amp;" ~*")&gt;0))</f>
        <v/>
      </c>
      <c r="AC2449" s="36">
        <f>IF($B2449="","",(IFERROR(INDEX(Setup!$G$33:$G$40,MATCH(C2449,Setup!$B$33:$B$40,0)),0)=1)*(COUNTIF(C2408:E2425,$B2449)+COUNTIF(C2408:E2425,$B2449&amp;" ~*")&gt;0)+(IFERROR(INDEX(Setup!$G$33:$G$40,MATCH(G2449,Setup!$B$33:$B$40,0)),0)=1)*(COUNTIF(G2408:I2425,$B2449)+COUNTIF(G2408:I2425,$B2449&amp;" ~*")&gt;0)+(IFERROR(INDEX(Setup!$G$33:$G$40,MATCH(K2449,Setup!$B$33:$B$40,0)),0)=1)*(COUNTIF(K2408:M2425,$B2449)+COUNTIF(K2408:M2425,$B2449&amp;" ~*")&gt;0)+(IFERROR(INDEX(Setup!$G$33:$G$40,MATCH(O2449,Setup!$B$33:$B$40,0)),0)=1)*(COUNTIF(O2408:Q2425,$B2449)+COUNTIF(O2408:Q2425,$B2449&amp;" ~*")&gt;0)+(IFERROR(INDEX(Setup!$G$33:$G$40,MATCH(S2449,Setup!$B$33:$B$40,0)),0)=1)*(COUNTIF(S2408:U2425,$B2449)+COUNTIF(S2408:U2425,$B2449&amp;" ~*")&gt;0)+(IFERROR(INDEX(Setup!$G$33:$G$40,MATCH(W2449,Setup!$B$33:$B$40,0)),0)=1)*(COUNTIF(W2408:W2425,$B2449)+COUNTIF(W2408:W2425,$B2449&amp;" ~*")&gt;0)+(IFERROR(INDEX(Setup!$G$33:$G$40,MATCH(Y2449,Setup!$B$33:$B$40,0)),0)=1)*(COUNTIF(Y2408:Y2425,$B2449)+COUNTIF(Y2408:Y2425,$B2449&amp;" ~*")&gt;0))</f>
        <v/>
      </c>
    </row>
    <row r="2450" ht="15" customHeight="1">
      <c r="A2450" t="n">
        <v>49</v>
      </c>
      <c r="B2450" s="37">
        <f>IF(Setup!$B$29="","",Setup!$B$29)</f>
        <v/>
      </c>
      <c r="C2450" s="102" t="n"/>
      <c r="D2450" s="103" t="n"/>
      <c r="E2450" s="103" t="n"/>
      <c r="F2450" s="104" t="n"/>
      <c r="G2450" s="102" t="n"/>
      <c r="H2450" s="103" t="n"/>
      <c r="I2450" s="103" t="n"/>
      <c r="J2450" s="104" t="n"/>
      <c r="K2450" s="102" t="n"/>
      <c r="L2450" s="103" t="n"/>
      <c r="M2450" s="103" t="n"/>
      <c r="N2450" s="104" t="n"/>
      <c r="O2450" s="102" t="n"/>
      <c r="P2450" s="103" t="n"/>
      <c r="Q2450" s="103" t="n"/>
      <c r="R2450" s="104" t="n"/>
      <c r="S2450" s="102" t="n"/>
      <c r="T2450" s="103" t="n"/>
      <c r="U2450" s="103" t="n"/>
      <c r="V2450" s="104" t="n"/>
      <c r="W2450" s="102" t="n"/>
      <c r="X2450" s="104" t="n"/>
      <c r="Y2450" s="102" t="n"/>
      <c r="Z2450" s="104" t="n"/>
      <c r="AB2450" s="105">
        <f>IF($B2450="","",(COUNTIF(C2408:E2425,$B2450)+COUNTIF(C2408:E2425,$B2450&amp;" ~*")&gt;0)+(COUNTIF(G2408:I2425,$B2450)+COUNTIF(G2408:I2425,$B2450&amp;" ~*")&gt;0)+(COUNTIF(K2408:M2425,$B2450)+COUNTIF(K2408:M2425,$B2450&amp;" ~*")&gt;0)+(COUNTIF(O2408:Q2425,$B2450)+COUNTIF(O2408:Q2425,$B2450&amp;" ~*")&gt;0)+(COUNTIF(S2408:U2425,$B2450)+COUNTIF(S2408:U2425,$B2450&amp;" ~*")&gt;0)+(COUNTIF(W2408:W2425,$B2450)+COUNTIF(W2408:W2425,$B2450&amp;" ~*")&gt;0)+(COUNTIF(Y2408:Y2425,$B2450)+COUNTIF(Y2408:Y2425,$B2450&amp;" ~*")&gt;0))</f>
        <v/>
      </c>
      <c r="AC2450" s="38">
        <f>IF($B2450="","",(IFERROR(INDEX(Setup!$G$33:$G$40,MATCH(C2450,Setup!$B$33:$B$40,0)),0)=1)*(COUNTIF(C2408:E2425,$B2450)+COUNTIF(C2408:E2425,$B2450&amp;" ~*")&gt;0)+(IFERROR(INDEX(Setup!$G$33:$G$40,MATCH(G2450,Setup!$B$33:$B$40,0)),0)=1)*(COUNTIF(G2408:I2425,$B2450)+COUNTIF(G2408:I2425,$B2450&amp;" ~*")&gt;0)+(IFERROR(INDEX(Setup!$G$33:$G$40,MATCH(K2450,Setup!$B$33:$B$40,0)),0)=1)*(COUNTIF(K2408:M2425,$B2450)+COUNTIF(K2408:M2425,$B2450&amp;" ~*")&gt;0)+(IFERROR(INDEX(Setup!$G$33:$G$40,MATCH(O2450,Setup!$B$33:$B$40,0)),0)=1)*(COUNTIF(O2408:Q2425,$B2450)+COUNTIF(O2408:Q2425,$B2450&amp;" ~*")&gt;0)+(IFERROR(INDEX(Setup!$G$33:$G$40,MATCH(S2450,Setup!$B$33:$B$40,0)),0)=1)*(COUNTIF(S2408:U2425,$B2450)+COUNTIF(S2408:U2425,$B2450&amp;" ~*")&gt;0)+(IFERROR(INDEX(Setup!$G$33:$G$40,MATCH(W2450,Setup!$B$33:$B$40,0)),0)=1)*(COUNTIF(W2408:W2425,$B2450)+COUNTIF(W2408:W2425,$B2450&amp;" ~*")&gt;0)+(IFERROR(INDEX(Setup!$G$33:$G$40,MATCH(Y2450,Setup!$B$33:$B$40,0)),0)=1)*(COUNTIF(Y2408:Y2425,$B2450)+COUNTIF(Y2408:Y2425,$B2450&amp;" ~*")&gt;0))</f>
        <v/>
      </c>
    </row>
    <row r="2451" ht="16" customHeight="1">
      <c r="A2451" t="n">
        <v>49</v>
      </c>
      <c r="B2451" s="106" t="inlineStr">
        <is>
          <t>Available people</t>
        </is>
      </c>
      <c r="C2451" s="107">
        <f>COUNTIFS(Setup!$E$6:$E$29,"Y",Setup!$B$6:$B$29,"?*")-SUMPRODUCT(COUNTIF(C2427:C2450,Setup!$F$33:$F$40))</f>
        <v/>
      </c>
      <c r="D2451" s="107" t="n"/>
      <c r="E2451" s="107" t="n"/>
      <c r="F2451" s="107" t="n"/>
      <c r="G2451" s="107">
        <f>COUNTIFS(Setup!$E$6:$E$29,"Y",Setup!$B$6:$B$29,"?*")-SUMPRODUCT(COUNTIF(G2427:G2450,Setup!$F$33:$F$40))</f>
        <v/>
      </c>
      <c r="H2451" s="107" t="n"/>
      <c r="I2451" s="107" t="n"/>
      <c r="J2451" s="107" t="n"/>
      <c r="K2451" s="107">
        <f>COUNTIFS(Setup!$E$6:$E$29,"Y",Setup!$B$6:$B$29,"?*")-SUMPRODUCT(COUNTIF(K2427:K2450,Setup!$F$33:$F$40))</f>
        <v/>
      </c>
      <c r="L2451" s="107" t="n"/>
      <c r="M2451" s="107" t="n"/>
      <c r="N2451" s="107" t="n"/>
      <c r="O2451" s="107">
        <f>COUNTIFS(Setup!$E$6:$E$29,"Y",Setup!$B$6:$B$29,"?*")-SUMPRODUCT(COUNTIF(O2427:O2450,Setup!$F$33:$F$40))</f>
        <v/>
      </c>
      <c r="P2451" s="107" t="n"/>
      <c r="Q2451" s="107" t="n"/>
      <c r="R2451" s="107" t="n"/>
      <c r="S2451" s="107">
        <f>COUNTIFS(Setup!$E$6:$E$29,"Y",Setup!$B$6:$B$29,"?*")-SUMPRODUCT(COUNTIF(S2427:S2450,Setup!$F$33:$F$40))</f>
        <v/>
      </c>
      <c r="T2451" s="107" t="n"/>
      <c r="U2451" s="107" t="n"/>
      <c r="V2451" s="107" t="n"/>
      <c r="W2451" s="107">
        <f>COUNTIFS(Setup!$E$6:$E$29,"Y",Setup!$B$6:$B$29,"?*")-SUMPRODUCT(COUNTIF(W2427:W2450,Setup!$F$33:$F$40))</f>
        <v/>
      </c>
      <c r="X2451" s="107" t="n"/>
      <c r="Y2451" s="107">
        <f>COUNTIFS(Setup!$E$6:$E$29,"Y",Setup!$B$6:$B$29,"?*")-SUMPRODUCT(COUNTIF(Y2427:Y2450,Setup!$F$33:$F$40))</f>
        <v/>
      </c>
      <c r="Z2451" s="107" t="n"/>
      <c r="AB2451" s="108">
        <f>SUM(AB2427:AB2450)</f>
        <v/>
      </c>
      <c r="AC2451" s="109">
        <f>SUM(AC2427:AC2450)</f>
        <v/>
      </c>
    </row>
    <row r="2452" ht="30" customHeight="1">
      <c r="A2452" t="n">
        <v>49</v>
      </c>
      <c r="B2452" s="110" t="inlineStr">
        <is>
          <t>Week notes</t>
        </is>
      </c>
      <c r="C2452" s="111" t="n"/>
      <c r="D2452" s="112" t="n"/>
      <c r="E2452" s="112" t="n"/>
      <c r="F2452" s="112" t="n"/>
      <c r="G2452" s="112" t="n"/>
      <c r="H2452" s="112" t="n"/>
      <c r="I2452" s="112" t="n"/>
      <c r="J2452" s="112" t="n"/>
      <c r="K2452" s="112" t="n"/>
      <c r="L2452" s="112" t="n"/>
      <c r="M2452" s="112" t="n"/>
      <c r="N2452" s="112" t="n"/>
      <c r="O2452" s="112" t="n"/>
      <c r="P2452" s="112" t="n"/>
      <c r="Q2452" s="112" t="n"/>
      <c r="R2452" s="112" t="n"/>
      <c r="S2452" s="112" t="n"/>
      <c r="T2452" s="112" t="n"/>
      <c r="U2452" s="112" t="n"/>
      <c r="V2452" s="112" t="n"/>
      <c r="W2452" s="112" t="n"/>
      <c r="X2452" s="112" t="n"/>
      <c r="Y2452" s="112" t="n"/>
      <c r="Z2452" s="113" t="n"/>
    </row>
    <row r="2453" ht="8" customHeight="1">
      <c r="A2453" t="n">
        <v>49</v>
      </c>
    </row>
    <row r="2454" ht="8" customHeight="1">
      <c r="A2454" t="n">
        <v>49</v>
      </c>
    </row>
    <row r="2455" ht="24" customHeight="1">
      <c r="A2455" t="n">
        <v>50</v>
      </c>
      <c r="B2455" s="73">
        <f>"WEEK 50     "&amp;TEXT(C2456,"ddd d mmm")&amp;"  –  "&amp;TEXT(C2456+6,"ddd d mmm yyyy")</f>
        <v/>
      </c>
      <c r="S2455" s="74">
        <f>IF(TODAY()&lt;C2456,"FUTURE",IF(TODAY()&gt;C2456+6,"PAST","THIS WEEK"))</f>
        <v/>
      </c>
      <c r="W2455" s="75">
        <f>IF(AND(Engine!$B$8=$AC$3,Engine!$B$9=$A2455),"◀ ACTIVE WEEK","")</f>
        <v/>
      </c>
      <c r="AA2455" s="76" t="n"/>
      <c r="AB2455" s="77" t="inlineStr">
        <is>
          <t>◀ Prev</t>
        </is>
      </c>
      <c r="AC2455" s="77" t="inlineStr">
        <is>
          <t>Next ▶</t>
        </is>
      </c>
    </row>
    <row r="2456" ht="18" customHeight="1">
      <c r="A2456" t="n">
        <v>50</v>
      </c>
      <c r="B2456" s="78" t="inlineStr">
        <is>
          <t>DUTY</t>
        </is>
      </c>
      <c r="C2456" s="79">
        <f>$AC$2+7*($A2456-1)</f>
        <v/>
      </c>
      <c r="D2456" s="80" t="n"/>
      <c r="E2456" s="80" t="n"/>
      <c r="F2456" s="81" t="n"/>
      <c r="G2456" s="79">
        <f>C2456+1</f>
        <v/>
      </c>
      <c r="H2456" s="80" t="n"/>
      <c r="I2456" s="80" t="n"/>
      <c r="J2456" s="81" t="n"/>
      <c r="K2456" s="79">
        <f>C2456+2</f>
        <v/>
      </c>
      <c r="L2456" s="80" t="n"/>
      <c r="M2456" s="80" t="n"/>
      <c r="N2456" s="81" t="n"/>
      <c r="O2456" s="79">
        <f>C2456+3</f>
        <v/>
      </c>
      <c r="P2456" s="80" t="n"/>
      <c r="Q2456" s="80" t="n"/>
      <c r="R2456" s="81" t="n"/>
      <c r="S2456" s="79">
        <f>C2456+4</f>
        <v/>
      </c>
      <c r="T2456" s="80" t="n"/>
      <c r="U2456" s="80" t="n"/>
      <c r="V2456" s="81" t="n"/>
      <c r="W2456" s="82">
        <f>C2456+5</f>
        <v/>
      </c>
      <c r="X2456" s="83" t="n"/>
      <c r="Y2456" s="82">
        <f>C2456+6</f>
        <v/>
      </c>
      <c r="Z2456" s="83" t="n"/>
      <c r="AB2456" s="72" t="inlineStr">
        <is>
          <t>Gaps</t>
        </is>
      </c>
      <c r="AC2456" s="72" t="inlineStr">
        <is>
          <t>Cover</t>
        </is>
      </c>
    </row>
    <row r="2457" ht="14" customHeight="1">
      <c r="A2457" t="n">
        <v>50</v>
      </c>
      <c r="B2457" s="84" t="inlineStr">
        <is>
          <t>(from Setup)</t>
        </is>
      </c>
      <c r="C2457" s="85" t="inlineStr">
        <is>
          <t>1</t>
        </is>
      </c>
      <c r="D2457" s="85" t="inlineStr">
        <is>
          <t>2</t>
        </is>
      </c>
      <c r="E2457" s="85" t="inlineStr">
        <is>
          <t>3</t>
        </is>
      </c>
      <c r="F2457" s="85" t="inlineStr">
        <is>
          <t>Notes</t>
        </is>
      </c>
      <c r="G2457" s="85" t="inlineStr">
        <is>
          <t>1</t>
        </is>
      </c>
      <c r="H2457" s="85" t="inlineStr">
        <is>
          <t>2</t>
        </is>
      </c>
      <c r="I2457" s="85" t="inlineStr">
        <is>
          <t>3</t>
        </is>
      </c>
      <c r="J2457" s="85" t="inlineStr">
        <is>
          <t>Notes</t>
        </is>
      </c>
      <c r="K2457" s="85" t="inlineStr">
        <is>
          <t>1</t>
        </is>
      </c>
      <c r="L2457" s="85" t="inlineStr">
        <is>
          <t>2</t>
        </is>
      </c>
      <c r="M2457" s="85" t="inlineStr">
        <is>
          <t>3</t>
        </is>
      </c>
      <c r="N2457" s="85" t="inlineStr">
        <is>
          <t>Notes</t>
        </is>
      </c>
      <c r="O2457" s="85" t="inlineStr">
        <is>
          <t>1</t>
        </is>
      </c>
      <c r="P2457" s="85" t="inlineStr">
        <is>
          <t>2</t>
        </is>
      </c>
      <c r="Q2457" s="85" t="inlineStr">
        <is>
          <t>3</t>
        </is>
      </c>
      <c r="R2457" s="85" t="inlineStr">
        <is>
          <t>Notes</t>
        </is>
      </c>
      <c r="S2457" s="85" t="inlineStr">
        <is>
          <t>1</t>
        </is>
      </c>
      <c r="T2457" s="85" t="inlineStr">
        <is>
          <t>2</t>
        </is>
      </c>
      <c r="U2457" s="85" t="inlineStr">
        <is>
          <t>3</t>
        </is>
      </c>
      <c r="V2457" s="85" t="inlineStr">
        <is>
          <t>Notes</t>
        </is>
      </c>
      <c r="W2457" s="85" t="inlineStr">
        <is>
          <t>Cover</t>
        </is>
      </c>
      <c r="X2457" s="85" t="inlineStr">
        <is>
          <t>Notes</t>
        </is>
      </c>
      <c r="Y2457" s="85" t="inlineStr">
        <is>
          <t>Cover</t>
        </is>
      </c>
      <c r="Z2457" s="85" t="inlineStr">
        <is>
          <t>Notes</t>
        </is>
      </c>
      <c r="AB2457" s="86" t="inlineStr">
        <is>
          <t>weekdays short</t>
        </is>
      </c>
      <c r="AC2457" s="87" t="inlineStr"/>
    </row>
    <row r="2458" ht="17" customHeight="1">
      <c r="A2458" t="n">
        <v>50</v>
      </c>
      <c r="B2458" s="24">
        <f>IF(Setup!$K$6="","",Setup!$K$6)</f>
        <v/>
      </c>
      <c r="C2458" s="88" t="n"/>
      <c r="D2458" s="88" t="n"/>
      <c r="E2458" s="88" t="n"/>
      <c r="F2458" s="89" t="n"/>
      <c r="G2458" s="88" t="n"/>
      <c r="H2458" s="88" t="n"/>
      <c r="I2458" s="88" t="n"/>
      <c r="J2458" s="89" t="n"/>
      <c r="K2458" s="88" t="n"/>
      <c r="L2458" s="88" t="n"/>
      <c r="M2458" s="88" t="n"/>
      <c r="N2458" s="89" t="n"/>
      <c r="O2458" s="88" t="n"/>
      <c r="P2458" s="88" t="n"/>
      <c r="Q2458" s="88" t="n"/>
      <c r="R2458" s="89" t="n"/>
      <c r="S2458" s="88" t="n"/>
      <c r="T2458" s="88" t="n"/>
      <c r="U2458" s="88" t="n"/>
      <c r="V2458" s="89" t="n"/>
      <c r="W2458" s="88" t="n"/>
      <c r="X2458" s="89" t="n"/>
      <c r="Y2458" s="88" t="n"/>
      <c r="Z2458" s="89" t="n"/>
      <c r="AB2458" s="25">
        <f>IF($B2458="","",(COUNTIF(C2458:E2458,"?*")&lt;N(INDEX(Setup!$L$6:$L$23,1)))+(COUNTIF(G2458:I2458,"?*")&lt;N(INDEX(Setup!$L$6:$L$23,1)))+(COUNTIF(K2458:M2458,"?*")&lt;N(INDEX(Setup!$L$6:$L$23,1)))+(COUNTIF(O2458:Q2458,"?*")&lt;N(INDEX(Setup!$L$6:$L$23,1)))+(COUNTIF(S2458:U2458,"?*")&lt;N(INDEX(Setup!$L$6:$L$23,1)))+((W2458="")*(INDEX(Setup!$M$6:$M$23,1)="Y"))+((Y2458="")*(INDEX(Setup!$M$6:$M$23,1)="Y")))</f>
        <v/>
      </c>
      <c r="AC2458" s="90">
        <f>IF($B2458="","",IF(AB2458=0,"✓ covered","⚠ "&amp;AB2458&amp;IF(AB2458=1," gap"," gaps")))</f>
        <v/>
      </c>
    </row>
    <row r="2459" ht="17" customHeight="1">
      <c r="A2459" t="n">
        <v>50</v>
      </c>
      <c r="B2459" s="29">
        <f>IF(Setup!$K$7="","",Setup!$K$7)</f>
        <v/>
      </c>
      <c r="C2459" s="88" t="n"/>
      <c r="D2459" s="88" t="n"/>
      <c r="E2459" s="88" t="n"/>
      <c r="F2459" s="89" t="n"/>
      <c r="G2459" s="88" t="n"/>
      <c r="H2459" s="88" t="n"/>
      <c r="I2459" s="88" t="n"/>
      <c r="J2459" s="89" t="n"/>
      <c r="K2459" s="88" t="n"/>
      <c r="L2459" s="88" t="n"/>
      <c r="M2459" s="88" t="n"/>
      <c r="N2459" s="89" t="n"/>
      <c r="O2459" s="88" t="n"/>
      <c r="P2459" s="88" t="n"/>
      <c r="Q2459" s="88" t="n"/>
      <c r="R2459" s="89" t="n"/>
      <c r="S2459" s="88" t="n"/>
      <c r="T2459" s="88" t="n"/>
      <c r="U2459" s="88" t="n"/>
      <c r="V2459" s="89" t="n"/>
      <c r="W2459" s="88" t="n"/>
      <c r="X2459" s="89" t="n"/>
      <c r="Y2459" s="88" t="n"/>
      <c r="Z2459" s="89" t="n"/>
      <c r="AB2459" s="30">
        <f>IF($B2459="","",(COUNTIF(C2459:E2459,"?*")&lt;N(INDEX(Setup!$L$6:$L$23,2)))+(COUNTIF(G2459:I2459,"?*")&lt;N(INDEX(Setup!$L$6:$L$23,2)))+(COUNTIF(K2459:M2459,"?*")&lt;N(INDEX(Setup!$L$6:$L$23,2)))+(COUNTIF(O2459:Q2459,"?*")&lt;N(INDEX(Setup!$L$6:$L$23,2)))+(COUNTIF(S2459:U2459,"?*")&lt;N(INDEX(Setup!$L$6:$L$23,2)))+((W2459="")*(INDEX(Setup!$M$6:$M$23,2)="Y"))+((Y2459="")*(INDEX(Setup!$M$6:$M$23,2)="Y")))</f>
        <v/>
      </c>
      <c r="AC2459" s="91">
        <f>IF($B2459="","",IF(AB2459=0,"✓ covered","⚠ "&amp;AB2459&amp;IF(AB2459=1," gap"," gaps")))</f>
        <v/>
      </c>
    </row>
    <row r="2460" ht="17" customHeight="1">
      <c r="A2460" t="n">
        <v>50</v>
      </c>
      <c r="B2460" s="24">
        <f>IF(Setup!$K$8="","",Setup!$K$8)</f>
        <v/>
      </c>
      <c r="C2460" s="88" t="n"/>
      <c r="D2460" s="88" t="n"/>
      <c r="E2460" s="88" t="n"/>
      <c r="F2460" s="89" t="n"/>
      <c r="G2460" s="88" t="n"/>
      <c r="H2460" s="88" t="n"/>
      <c r="I2460" s="88" t="n"/>
      <c r="J2460" s="89" t="n"/>
      <c r="K2460" s="88" t="n"/>
      <c r="L2460" s="88" t="n"/>
      <c r="M2460" s="88" t="n"/>
      <c r="N2460" s="89" t="n"/>
      <c r="O2460" s="88" t="n"/>
      <c r="P2460" s="88" t="n"/>
      <c r="Q2460" s="88" t="n"/>
      <c r="R2460" s="89" t="n"/>
      <c r="S2460" s="88" t="n"/>
      <c r="T2460" s="88" t="n"/>
      <c r="U2460" s="88" t="n"/>
      <c r="V2460" s="89" t="n"/>
      <c r="W2460" s="88" t="n"/>
      <c r="X2460" s="89" t="n"/>
      <c r="Y2460" s="88" t="n"/>
      <c r="Z2460" s="89" t="n"/>
      <c r="AB2460" s="25">
        <f>IF($B2460="","",(COUNTIF(C2460:E2460,"?*")&lt;N(INDEX(Setup!$L$6:$L$23,3)))+(COUNTIF(G2460:I2460,"?*")&lt;N(INDEX(Setup!$L$6:$L$23,3)))+(COUNTIF(K2460:M2460,"?*")&lt;N(INDEX(Setup!$L$6:$L$23,3)))+(COUNTIF(O2460:Q2460,"?*")&lt;N(INDEX(Setup!$L$6:$L$23,3)))+(COUNTIF(S2460:U2460,"?*")&lt;N(INDEX(Setup!$L$6:$L$23,3)))+((W2460="")*(INDEX(Setup!$M$6:$M$23,3)="Y"))+((Y2460="")*(INDEX(Setup!$M$6:$M$23,3)="Y")))</f>
        <v/>
      </c>
      <c r="AC2460" s="90">
        <f>IF($B2460="","",IF(AB2460=0,"✓ covered","⚠ "&amp;AB2460&amp;IF(AB2460=1," gap"," gaps")))</f>
        <v/>
      </c>
    </row>
    <row r="2461" ht="17" customHeight="1">
      <c r="A2461" t="n">
        <v>50</v>
      </c>
      <c r="B2461" s="29">
        <f>IF(Setup!$K$9="","",Setup!$K$9)</f>
        <v/>
      </c>
      <c r="C2461" s="88" t="n"/>
      <c r="D2461" s="88" t="n"/>
      <c r="E2461" s="88" t="n"/>
      <c r="F2461" s="89" t="n"/>
      <c r="G2461" s="88" t="n"/>
      <c r="H2461" s="88" t="n"/>
      <c r="I2461" s="88" t="n"/>
      <c r="J2461" s="89" t="n"/>
      <c r="K2461" s="88" t="n"/>
      <c r="L2461" s="88" t="n"/>
      <c r="M2461" s="88" t="n"/>
      <c r="N2461" s="89" t="n"/>
      <c r="O2461" s="88" t="n"/>
      <c r="P2461" s="88" t="n"/>
      <c r="Q2461" s="88" t="n"/>
      <c r="R2461" s="89" t="n"/>
      <c r="S2461" s="88" t="n"/>
      <c r="T2461" s="88" t="n"/>
      <c r="U2461" s="88" t="n"/>
      <c r="V2461" s="89" t="n"/>
      <c r="W2461" s="88" t="n"/>
      <c r="X2461" s="89" t="n"/>
      <c r="Y2461" s="88" t="n"/>
      <c r="Z2461" s="89" t="n"/>
      <c r="AB2461" s="30">
        <f>IF($B2461="","",(COUNTIF(C2461:E2461,"?*")&lt;N(INDEX(Setup!$L$6:$L$23,4)))+(COUNTIF(G2461:I2461,"?*")&lt;N(INDEX(Setup!$L$6:$L$23,4)))+(COUNTIF(K2461:M2461,"?*")&lt;N(INDEX(Setup!$L$6:$L$23,4)))+(COUNTIF(O2461:Q2461,"?*")&lt;N(INDEX(Setup!$L$6:$L$23,4)))+(COUNTIF(S2461:U2461,"?*")&lt;N(INDEX(Setup!$L$6:$L$23,4)))+((W2461="")*(INDEX(Setup!$M$6:$M$23,4)="Y"))+((Y2461="")*(INDEX(Setup!$M$6:$M$23,4)="Y")))</f>
        <v/>
      </c>
      <c r="AC2461" s="91">
        <f>IF($B2461="","",IF(AB2461=0,"✓ covered","⚠ "&amp;AB2461&amp;IF(AB2461=1," gap"," gaps")))</f>
        <v/>
      </c>
    </row>
    <row r="2462" ht="17" customHeight="1">
      <c r="A2462" t="n">
        <v>50</v>
      </c>
      <c r="B2462" s="24">
        <f>IF(Setup!$K$10="","",Setup!$K$10)</f>
        <v/>
      </c>
      <c r="C2462" s="88" t="n"/>
      <c r="D2462" s="88" t="n"/>
      <c r="E2462" s="88" t="n"/>
      <c r="F2462" s="89" t="n"/>
      <c r="G2462" s="88" t="n"/>
      <c r="H2462" s="88" t="n"/>
      <c r="I2462" s="88" t="n"/>
      <c r="J2462" s="89" t="n"/>
      <c r="K2462" s="88" t="n"/>
      <c r="L2462" s="88" t="n"/>
      <c r="M2462" s="88" t="n"/>
      <c r="N2462" s="89" t="n"/>
      <c r="O2462" s="88" t="n"/>
      <c r="P2462" s="88" t="n"/>
      <c r="Q2462" s="88" t="n"/>
      <c r="R2462" s="89" t="n"/>
      <c r="S2462" s="88" t="n"/>
      <c r="T2462" s="88" t="n"/>
      <c r="U2462" s="88" t="n"/>
      <c r="V2462" s="89" t="n"/>
      <c r="W2462" s="88" t="n"/>
      <c r="X2462" s="89" t="n"/>
      <c r="Y2462" s="88" t="n"/>
      <c r="Z2462" s="89" t="n"/>
      <c r="AB2462" s="25">
        <f>IF($B2462="","",(COUNTIF(C2462:E2462,"?*")&lt;N(INDEX(Setup!$L$6:$L$23,5)))+(COUNTIF(G2462:I2462,"?*")&lt;N(INDEX(Setup!$L$6:$L$23,5)))+(COUNTIF(K2462:M2462,"?*")&lt;N(INDEX(Setup!$L$6:$L$23,5)))+(COUNTIF(O2462:Q2462,"?*")&lt;N(INDEX(Setup!$L$6:$L$23,5)))+(COUNTIF(S2462:U2462,"?*")&lt;N(INDEX(Setup!$L$6:$L$23,5)))+((W2462="")*(INDEX(Setup!$M$6:$M$23,5)="Y"))+((Y2462="")*(INDEX(Setup!$M$6:$M$23,5)="Y")))</f>
        <v/>
      </c>
      <c r="AC2462" s="90">
        <f>IF($B2462="","",IF(AB2462=0,"✓ covered","⚠ "&amp;AB2462&amp;IF(AB2462=1," gap"," gaps")))</f>
        <v/>
      </c>
    </row>
    <row r="2463" ht="17" customHeight="1">
      <c r="A2463" t="n">
        <v>50</v>
      </c>
      <c r="B2463" s="29">
        <f>IF(Setup!$K$11="","",Setup!$K$11)</f>
        <v/>
      </c>
      <c r="C2463" s="88" t="n"/>
      <c r="D2463" s="88" t="n"/>
      <c r="E2463" s="88" t="n"/>
      <c r="F2463" s="89" t="n"/>
      <c r="G2463" s="88" t="n"/>
      <c r="H2463" s="88" t="n"/>
      <c r="I2463" s="88" t="n"/>
      <c r="J2463" s="89" t="n"/>
      <c r="K2463" s="88" t="n"/>
      <c r="L2463" s="88" t="n"/>
      <c r="M2463" s="88" t="n"/>
      <c r="N2463" s="89" t="n"/>
      <c r="O2463" s="88" t="n"/>
      <c r="P2463" s="88" t="n"/>
      <c r="Q2463" s="88" t="n"/>
      <c r="R2463" s="89" t="n"/>
      <c r="S2463" s="88" t="n"/>
      <c r="T2463" s="88" t="n"/>
      <c r="U2463" s="88" t="n"/>
      <c r="V2463" s="89" t="n"/>
      <c r="W2463" s="88" t="n"/>
      <c r="X2463" s="89" t="n"/>
      <c r="Y2463" s="88" t="n"/>
      <c r="Z2463" s="89" t="n"/>
      <c r="AB2463" s="30">
        <f>IF($B2463="","",(COUNTIF(C2463:E2463,"?*")&lt;N(INDEX(Setup!$L$6:$L$23,6)))+(COUNTIF(G2463:I2463,"?*")&lt;N(INDEX(Setup!$L$6:$L$23,6)))+(COUNTIF(K2463:M2463,"?*")&lt;N(INDEX(Setup!$L$6:$L$23,6)))+(COUNTIF(O2463:Q2463,"?*")&lt;N(INDEX(Setup!$L$6:$L$23,6)))+(COUNTIF(S2463:U2463,"?*")&lt;N(INDEX(Setup!$L$6:$L$23,6)))+((W2463="")*(INDEX(Setup!$M$6:$M$23,6)="Y"))+((Y2463="")*(INDEX(Setup!$M$6:$M$23,6)="Y")))</f>
        <v/>
      </c>
      <c r="AC2463" s="91">
        <f>IF($B2463="","",IF(AB2463=0,"✓ covered","⚠ "&amp;AB2463&amp;IF(AB2463=1," gap"," gaps")))</f>
        <v/>
      </c>
    </row>
    <row r="2464" ht="17" customHeight="1">
      <c r="A2464" t="n">
        <v>50</v>
      </c>
      <c r="B2464" s="24">
        <f>IF(Setup!$K$12="","",Setup!$K$12)</f>
        <v/>
      </c>
      <c r="C2464" s="88" t="n"/>
      <c r="D2464" s="88" t="n"/>
      <c r="E2464" s="88" t="n"/>
      <c r="F2464" s="89" t="n"/>
      <c r="G2464" s="88" t="n"/>
      <c r="H2464" s="88" t="n"/>
      <c r="I2464" s="88" t="n"/>
      <c r="J2464" s="89" t="n"/>
      <c r="K2464" s="88" t="n"/>
      <c r="L2464" s="88" t="n"/>
      <c r="M2464" s="88" t="n"/>
      <c r="N2464" s="89" t="n"/>
      <c r="O2464" s="88" t="n"/>
      <c r="P2464" s="88" t="n"/>
      <c r="Q2464" s="88" t="n"/>
      <c r="R2464" s="89" t="n"/>
      <c r="S2464" s="88" t="n"/>
      <c r="T2464" s="88" t="n"/>
      <c r="U2464" s="88" t="n"/>
      <c r="V2464" s="89" t="n"/>
      <c r="W2464" s="88" t="n"/>
      <c r="X2464" s="89" t="n"/>
      <c r="Y2464" s="88" t="n"/>
      <c r="Z2464" s="89" t="n"/>
      <c r="AB2464" s="25">
        <f>IF($B2464="","",(COUNTIF(C2464:E2464,"?*")&lt;N(INDEX(Setup!$L$6:$L$23,7)))+(COUNTIF(G2464:I2464,"?*")&lt;N(INDEX(Setup!$L$6:$L$23,7)))+(COUNTIF(K2464:M2464,"?*")&lt;N(INDEX(Setup!$L$6:$L$23,7)))+(COUNTIF(O2464:Q2464,"?*")&lt;N(INDEX(Setup!$L$6:$L$23,7)))+(COUNTIF(S2464:U2464,"?*")&lt;N(INDEX(Setup!$L$6:$L$23,7)))+((W2464="")*(INDEX(Setup!$M$6:$M$23,7)="Y"))+((Y2464="")*(INDEX(Setup!$M$6:$M$23,7)="Y")))</f>
        <v/>
      </c>
      <c r="AC2464" s="90">
        <f>IF($B2464="","",IF(AB2464=0,"✓ covered","⚠ "&amp;AB2464&amp;IF(AB2464=1," gap"," gaps")))</f>
        <v/>
      </c>
    </row>
    <row r="2465" ht="17" customHeight="1">
      <c r="A2465" t="n">
        <v>50</v>
      </c>
      <c r="B2465" s="29">
        <f>IF(Setup!$K$13="","",Setup!$K$13)</f>
        <v/>
      </c>
      <c r="C2465" s="88" t="n"/>
      <c r="D2465" s="88" t="n"/>
      <c r="E2465" s="88" t="n"/>
      <c r="F2465" s="89" t="n"/>
      <c r="G2465" s="88" t="n"/>
      <c r="H2465" s="88" t="n"/>
      <c r="I2465" s="88" t="n"/>
      <c r="J2465" s="89" t="n"/>
      <c r="K2465" s="88" t="n"/>
      <c r="L2465" s="88" t="n"/>
      <c r="M2465" s="88" t="n"/>
      <c r="N2465" s="89" t="n"/>
      <c r="O2465" s="88" t="n"/>
      <c r="P2465" s="88" t="n"/>
      <c r="Q2465" s="88" t="n"/>
      <c r="R2465" s="89" t="n"/>
      <c r="S2465" s="88" t="n"/>
      <c r="T2465" s="88" t="n"/>
      <c r="U2465" s="88" t="n"/>
      <c r="V2465" s="89" t="n"/>
      <c r="W2465" s="88" t="n"/>
      <c r="X2465" s="89" t="n"/>
      <c r="Y2465" s="88" t="n"/>
      <c r="Z2465" s="89" t="n"/>
      <c r="AB2465" s="30">
        <f>IF($B2465="","",(COUNTIF(C2465:E2465,"?*")&lt;N(INDEX(Setup!$L$6:$L$23,8)))+(COUNTIF(G2465:I2465,"?*")&lt;N(INDEX(Setup!$L$6:$L$23,8)))+(COUNTIF(K2465:M2465,"?*")&lt;N(INDEX(Setup!$L$6:$L$23,8)))+(COUNTIF(O2465:Q2465,"?*")&lt;N(INDEX(Setup!$L$6:$L$23,8)))+(COUNTIF(S2465:U2465,"?*")&lt;N(INDEX(Setup!$L$6:$L$23,8)))+((W2465="")*(INDEX(Setup!$M$6:$M$23,8)="Y"))+((Y2465="")*(INDEX(Setup!$M$6:$M$23,8)="Y")))</f>
        <v/>
      </c>
      <c r="AC2465" s="91">
        <f>IF($B2465="","",IF(AB2465=0,"✓ covered","⚠ "&amp;AB2465&amp;IF(AB2465=1," gap"," gaps")))</f>
        <v/>
      </c>
    </row>
    <row r="2466" ht="17" customHeight="1">
      <c r="A2466" t="n">
        <v>50</v>
      </c>
      <c r="B2466" s="24">
        <f>IF(Setup!$K$14="","",Setup!$K$14)</f>
        <v/>
      </c>
      <c r="C2466" s="88" t="n"/>
      <c r="D2466" s="88" t="n"/>
      <c r="E2466" s="88" t="n"/>
      <c r="F2466" s="89" t="n"/>
      <c r="G2466" s="88" t="n"/>
      <c r="H2466" s="88" t="n"/>
      <c r="I2466" s="88" t="n"/>
      <c r="J2466" s="89" t="n"/>
      <c r="K2466" s="88" t="n"/>
      <c r="L2466" s="88" t="n"/>
      <c r="M2466" s="88" t="n"/>
      <c r="N2466" s="89" t="n"/>
      <c r="O2466" s="88" t="n"/>
      <c r="P2466" s="88" t="n"/>
      <c r="Q2466" s="88" t="n"/>
      <c r="R2466" s="89" t="n"/>
      <c r="S2466" s="88" t="n"/>
      <c r="T2466" s="88" t="n"/>
      <c r="U2466" s="88" t="n"/>
      <c r="V2466" s="89" t="n"/>
      <c r="W2466" s="88" t="n"/>
      <c r="X2466" s="89" t="n"/>
      <c r="Y2466" s="88" t="n"/>
      <c r="Z2466" s="89" t="n"/>
      <c r="AB2466" s="25">
        <f>IF($B2466="","",(COUNTIF(C2466:E2466,"?*")&lt;N(INDEX(Setup!$L$6:$L$23,9)))+(COUNTIF(G2466:I2466,"?*")&lt;N(INDEX(Setup!$L$6:$L$23,9)))+(COUNTIF(K2466:M2466,"?*")&lt;N(INDEX(Setup!$L$6:$L$23,9)))+(COUNTIF(O2466:Q2466,"?*")&lt;N(INDEX(Setup!$L$6:$L$23,9)))+(COUNTIF(S2466:U2466,"?*")&lt;N(INDEX(Setup!$L$6:$L$23,9)))+((W2466="")*(INDEX(Setup!$M$6:$M$23,9)="Y"))+((Y2466="")*(INDEX(Setup!$M$6:$M$23,9)="Y")))</f>
        <v/>
      </c>
      <c r="AC2466" s="90">
        <f>IF($B2466="","",IF(AB2466=0,"✓ covered","⚠ "&amp;AB2466&amp;IF(AB2466=1," gap"," gaps")))</f>
        <v/>
      </c>
    </row>
    <row r="2467" ht="17" customHeight="1">
      <c r="A2467" t="n">
        <v>50</v>
      </c>
      <c r="B2467" s="29">
        <f>IF(Setup!$K$15="","",Setup!$K$15)</f>
        <v/>
      </c>
      <c r="C2467" s="88" t="n"/>
      <c r="D2467" s="88" t="n"/>
      <c r="E2467" s="88" t="n"/>
      <c r="F2467" s="89" t="n"/>
      <c r="G2467" s="88" t="n"/>
      <c r="H2467" s="88" t="n"/>
      <c r="I2467" s="88" t="n"/>
      <c r="J2467" s="89" t="n"/>
      <c r="K2467" s="88" t="n"/>
      <c r="L2467" s="88" t="n"/>
      <c r="M2467" s="88" t="n"/>
      <c r="N2467" s="89" t="n"/>
      <c r="O2467" s="88" t="n"/>
      <c r="P2467" s="88" t="n"/>
      <c r="Q2467" s="88" t="n"/>
      <c r="R2467" s="89" t="n"/>
      <c r="S2467" s="88" t="n"/>
      <c r="T2467" s="88" t="n"/>
      <c r="U2467" s="88" t="n"/>
      <c r="V2467" s="89" t="n"/>
      <c r="W2467" s="88" t="n"/>
      <c r="X2467" s="89" t="n"/>
      <c r="Y2467" s="88" t="n"/>
      <c r="Z2467" s="89" t="n"/>
      <c r="AB2467" s="30">
        <f>IF($B2467="","",(COUNTIF(C2467:E2467,"?*")&lt;N(INDEX(Setup!$L$6:$L$23,10)))+(COUNTIF(G2467:I2467,"?*")&lt;N(INDEX(Setup!$L$6:$L$23,10)))+(COUNTIF(K2467:M2467,"?*")&lt;N(INDEX(Setup!$L$6:$L$23,10)))+(COUNTIF(O2467:Q2467,"?*")&lt;N(INDEX(Setup!$L$6:$L$23,10)))+(COUNTIF(S2467:U2467,"?*")&lt;N(INDEX(Setup!$L$6:$L$23,10)))+((W2467="")*(INDEX(Setup!$M$6:$M$23,10)="Y"))+((Y2467="")*(INDEX(Setup!$M$6:$M$23,10)="Y")))</f>
        <v/>
      </c>
      <c r="AC2467" s="91">
        <f>IF($B2467="","",IF(AB2467=0,"✓ covered","⚠ "&amp;AB2467&amp;IF(AB2467=1," gap"," gaps")))</f>
        <v/>
      </c>
    </row>
    <row r="2468" ht="17" customHeight="1">
      <c r="A2468" t="n">
        <v>50</v>
      </c>
      <c r="B2468" s="24">
        <f>IF(Setup!$K$16="","",Setup!$K$16)</f>
        <v/>
      </c>
      <c r="C2468" s="88" t="n"/>
      <c r="D2468" s="88" t="n"/>
      <c r="E2468" s="88" t="n"/>
      <c r="F2468" s="89" t="n"/>
      <c r="G2468" s="88" t="n"/>
      <c r="H2468" s="88" t="n"/>
      <c r="I2468" s="88" t="n"/>
      <c r="J2468" s="89" t="n"/>
      <c r="K2468" s="88" t="n"/>
      <c r="L2468" s="88" t="n"/>
      <c r="M2468" s="88" t="n"/>
      <c r="N2468" s="89" t="n"/>
      <c r="O2468" s="88" t="n"/>
      <c r="P2468" s="88" t="n"/>
      <c r="Q2468" s="88" t="n"/>
      <c r="R2468" s="89" t="n"/>
      <c r="S2468" s="88" t="n"/>
      <c r="T2468" s="88" t="n"/>
      <c r="U2468" s="88" t="n"/>
      <c r="V2468" s="89" t="n"/>
      <c r="W2468" s="88" t="n"/>
      <c r="X2468" s="89" t="n"/>
      <c r="Y2468" s="88" t="n"/>
      <c r="Z2468" s="89" t="n"/>
      <c r="AB2468" s="25">
        <f>IF($B2468="","",(COUNTIF(C2468:E2468,"?*")&lt;N(INDEX(Setup!$L$6:$L$23,11)))+(COUNTIF(G2468:I2468,"?*")&lt;N(INDEX(Setup!$L$6:$L$23,11)))+(COUNTIF(K2468:M2468,"?*")&lt;N(INDEX(Setup!$L$6:$L$23,11)))+(COUNTIF(O2468:Q2468,"?*")&lt;N(INDEX(Setup!$L$6:$L$23,11)))+(COUNTIF(S2468:U2468,"?*")&lt;N(INDEX(Setup!$L$6:$L$23,11)))+((W2468="")*(INDEX(Setup!$M$6:$M$23,11)="Y"))+((Y2468="")*(INDEX(Setup!$M$6:$M$23,11)="Y")))</f>
        <v/>
      </c>
      <c r="AC2468" s="90">
        <f>IF($B2468="","",IF(AB2468=0,"✓ covered","⚠ "&amp;AB2468&amp;IF(AB2468=1," gap"," gaps")))</f>
        <v/>
      </c>
    </row>
    <row r="2469" ht="17" customHeight="1">
      <c r="A2469" t="n">
        <v>50</v>
      </c>
      <c r="B2469" s="29">
        <f>IF(Setup!$K$17="","",Setup!$K$17)</f>
        <v/>
      </c>
      <c r="C2469" s="88" t="n"/>
      <c r="D2469" s="88" t="n"/>
      <c r="E2469" s="88" t="n"/>
      <c r="F2469" s="89" t="n"/>
      <c r="G2469" s="88" t="n"/>
      <c r="H2469" s="88" t="n"/>
      <c r="I2469" s="88" t="n"/>
      <c r="J2469" s="89" t="n"/>
      <c r="K2469" s="88" t="n"/>
      <c r="L2469" s="88" t="n"/>
      <c r="M2469" s="88" t="n"/>
      <c r="N2469" s="89" t="n"/>
      <c r="O2469" s="88" t="n"/>
      <c r="P2469" s="88" t="n"/>
      <c r="Q2469" s="88" t="n"/>
      <c r="R2469" s="89" t="n"/>
      <c r="S2469" s="88" t="n"/>
      <c r="T2469" s="88" t="n"/>
      <c r="U2469" s="88" t="n"/>
      <c r="V2469" s="89" t="n"/>
      <c r="W2469" s="88" t="n"/>
      <c r="X2469" s="89" t="n"/>
      <c r="Y2469" s="88" t="n"/>
      <c r="Z2469" s="89" t="n"/>
      <c r="AB2469" s="30">
        <f>IF($B2469="","",(COUNTIF(C2469:E2469,"?*")&lt;N(INDEX(Setup!$L$6:$L$23,12)))+(COUNTIF(G2469:I2469,"?*")&lt;N(INDEX(Setup!$L$6:$L$23,12)))+(COUNTIF(K2469:M2469,"?*")&lt;N(INDEX(Setup!$L$6:$L$23,12)))+(COUNTIF(O2469:Q2469,"?*")&lt;N(INDEX(Setup!$L$6:$L$23,12)))+(COUNTIF(S2469:U2469,"?*")&lt;N(INDEX(Setup!$L$6:$L$23,12)))+((W2469="")*(INDEX(Setup!$M$6:$M$23,12)="Y"))+((Y2469="")*(INDEX(Setup!$M$6:$M$23,12)="Y")))</f>
        <v/>
      </c>
      <c r="AC2469" s="91">
        <f>IF($B2469="","",IF(AB2469=0,"✓ covered","⚠ "&amp;AB2469&amp;IF(AB2469=1," gap"," gaps")))</f>
        <v/>
      </c>
    </row>
    <row r="2470" ht="17" customHeight="1">
      <c r="A2470" t="n">
        <v>50</v>
      </c>
      <c r="B2470" s="24">
        <f>IF(Setup!$K$18="","",Setup!$K$18)</f>
        <v/>
      </c>
      <c r="C2470" s="88" t="n"/>
      <c r="D2470" s="88" t="n"/>
      <c r="E2470" s="88" t="n"/>
      <c r="F2470" s="89" t="n"/>
      <c r="G2470" s="88" t="n"/>
      <c r="H2470" s="88" t="n"/>
      <c r="I2470" s="88" t="n"/>
      <c r="J2470" s="89" t="n"/>
      <c r="K2470" s="88" t="n"/>
      <c r="L2470" s="88" t="n"/>
      <c r="M2470" s="88" t="n"/>
      <c r="N2470" s="89" t="n"/>
      <c r="O2470" s="88" t="n"/>
      <c r="P2470" s="88" t="n"/>
      <c r="Q2470" s="88" t="n"/>
      <c r="R2470" s="89" t="n"/>
      <c r="S2470" s="88" t="n"/>
      <c r="T2470" s="88" t="n"/>
      <c r="U2470" s="88" t="n"/>
      <c r="V2470" s="89" t="n"/>
      <c r="W2470" s="88" t="n"/>
      <c r="X2470" s="89" t="n"/>
      <c r="Y2470" s="88" t="n"/>
      <c r="Z2470" s="89" t="n"/>
      <c r="AB2470" s="25">
        <f>IF($B2470="","",(COUNTIF(C2470:E2470,"?*")&lt;N(INDEX(Setup!$L$6:$L$23,13)))+(COUNTIF(G2470:I2470,"?*")&lt;N(INDEX(Setup!$L$6:$L$23,13)))+(COUNTIF(K2470:M2470,"?*")&lt;N(INDEX(Setup!$L$6:$L$23,13)))+(COUNTIF(O2470:Q2470,"?*")&lt;N(INDEX(Setup!$L$6:$L$23,13)))+(COUNTIF(S2470:U2470,"?*")&lt;N(INDEX(Setup!$L$6:$L$23,13)))+((W2470="")*(INDEX(Setup!$M$6:$M$23,13)="Y"))+((Y2470="")*(INDEX(Setup!$M$6:$M$23,13)="Y")))</f>
        <v/>
      </c>
      <c r="AC2470" s="90">
        <f>IF($B2470="","",IF(AB2470=0,"✓ covered","⚠ "&amp;AB2470&amp;IF(AB2470=1," gap"," gaps")))</f>
        <v/>
      </c>
    </row>
    <row r="2471" ht="17" customHeight="1">
      <c r="A2471" t="n">
        <v>50</v>
      </c>
      <c r="B2471" s="29">
        <f>IF(Setup!$K$19="","",Setup!$K$19)</f>
        <v/>
      </c>
      <c r="C2471" s="88" t="n"/>
      <c r="D2471" s="88" t="n"/>
      <c r="E2471" s="88" t="n"/>
      <c r="F2471" s="89" t="n"/>
      <c r="G2471" s="88" t="n"/>
      <c r="H2471" s="88" t="n"/>
      <c r="I2471" s="88" t="n"/>
      <c r="J2471" s="89" t="n"/>
      <c r="K2471" s="88" t="n"/>
      <c r="L2471" s="88" t="n"/>
      <c r="M2471" s="88" t="n"/>
      <c r="N2471" s="89" t="n"/>
      <c r="O2471" s="88" t="n"/>
      <c r="P2471" s="88" t="n"/>
      <c r="Q2471" s="88" t="n"/>
      <c r="R2471" s="89" t="n"/>
      <c r="S2471" s="88" t="n"/>
      <c r="T2471" s="88" t="n"/>
      <c r="U2471" s="88" t="n"/>
      <c r="V2471" s="89" t="n"/>
      <c r="W2471" s="88" t="n"/>
      <c r="X2471" s="89" t="n"/>
      <c r="Y2471" s="88" t="n"/>
      <c r="Z2471" s="89" t="n"/>
      <c r="AB2471" s="30">
        <f>IF($B2471="","",(COUNTIF(C2471:E2471,"?*")&lt;N(INDEX(Setup!$L$6:$L$23,14)))+(COUNTIF(G2471:I2471,"?*")&lt;N(INDEX(Setup!$L$6:$L$23,14)))+(COUNTIF(K2471:M2471,"?*")&lt;N(INDEX(Setup!$L$6:$L$23,14)))+(COUNTIF(O2471:Q2471,"?*")&lt;N(INDEX(Setup!$L$6:$L$23,14)))+(COUNTIF(S2471:U2471,"?*")&lt;N(INDEX(Setup!$L$6:$L$23,14)))+((W2471="")*(INDEX(Setup!$M$6:$M$23,14)="Y"))+((Y2471="")*(INDEX(Setup!$M$6:$M$23,14)="Y")))</f>
        <v/>
      </c>
      <c r="AC2471" s="91">
        <f>IF($B2471="","",IF(AB2471=0,"✓ covered","⚠ "&amp;AB2471&amp;IF(AB2471=1," gap"," gaps")))</f>
        <v/>
      </c>
    </row>
    <row r="2472" ht="17" customHeight="1">
      <c r="A2472" t="n">
        <v>50</v>
      </c>
      <c r="B2472" s="24">
        <f>IF(Setup!$K$20="","",Setup!$K$20)</f>
        <v/>
      </c>
      <c r="C2472" s="88" t="n"/>
      <c r="D2472" s="88" t="n"/>
      <c r="E2472" s="88" t="n"/>
      <c r="F2472" s="89" t="n"/>
      <c r="G2472" s="88" t="n"/>
      <c r="H2472" s="88" t="n"/>
      <c r="I2472" s="88" t="n"/>
      <c r="J2472" s="89" t="n"/>
      <c r="K2472" s="88" t="n"/>
      <c r="L2472" s="88" t="n"/>
      <c r="M2472" s="88" t="n"/>
      <c r="N2472" s="89" t="n"/>
      <c r="O2472" s="88" t="n"/>
      <c r="P2472" s="88" t="n"/>
      <c r="Q2472" s="88" t="n"/>
      <c r="R2472" s="89" t="n"/>
      <c r="S2472" s="88" t="n"/>
      <c r="T2472" s="88" t="n"/>
      <c r="U2472" s="88" t="n"/>
      <c r="V2472" s="89" t="n"/>
      <c r="W2472" s="88" t="n"/>
      <c r="X2472" s="89" t="n"/>
      <c r="Y2472" s="88" t="n"/>
      <c r="Z2472" s="89" t="n"/>
      <c r="AB2472" s="25">
        <f>IF($B2472="","",(COUNTIF(C2472:E2472,"?*")&lt;N(INDEX(Setup!$L$6:$L$23,15)))+(COUNTIF(G2472:I2472,"?*")&lt;N(INDEX(Setup!$L$6:$L$23,15)))+(COUNTIF(K2472:M2472,"?*")&lt;N(INDEX(Setup!$L$6:$L$23,15)))+(COUNTIF(O2472:Q2472,"?*")&lt;N(INDEX(Setup!$L$6:$L$23,15)))+(COUNTIF(S2472:U2472,"?*")&lt;N(INDEX(Setup!$L$6:$L$23,15)))+((W2472="")*(INDEX(Setup!$M$6:$M$23,15)="Y"))+((Y2472="")*(INDEX(Setup!$M$6:$M$23,15)="Y")))</f>
        <v/>
      </c>
      <c r="AC2472" s="90">
        <f>IF($B2472="","",IF(AB2472=0,"✓ covered","⚠ "&amp;AB2472&amp;IF(AB2472=1," gap"," gaps")))</f>
        <v/>
      </c>
    </row>
    <row r="2473" ht="17" customHeight="1">
      <c r="A2473" t="n">
        <v>50</v>
      </c>
      <c r="B2473" s="29">
        <f>IF(Setup!$K$21="","",Setup!$K$21)</f>
        <v/>
      </c>
      <c r="C2473" s="88" t="n"/>
      <c r="D2473" s="88" t="n"/>
      <c r="E2473" s="88" t="n"/>
      <c r="F2473" s="89" t="n"/>
      <c r="G2473" s="88" t="n"/>
      <c r="H2473" s="88" t="n"/>
      <c r="I2473" s="88" t="n"/>
      <c r="J2473" s="89" t="n"/>
      <c r="K2473" s="88" t="n"/>
      <c r="L2473" s="88" t="n"/>
      <c r="M2473" s="88" t="n"/>
      <c r="N2473" s="89" t="n"/>
      <c r="O2473" s="88" t="n"/>
      <c r="P2473" s="88" t="n"/>
      <c r="Q2473" s="88" t="n"/>
      <c r="R2473" s="89" t="n"/>
      <c r="S2473" s="88" t="n"/>
      <c r="T2473" s="88" t="n"/>
      <c r="U2473" s="88" t="n"/>
      <c r="V2473" s="89" t="n"/>
      <c r="W2473" s="88" t="n"/>
      <c r="X2473" s="89" t="n"/>
      <c r="Y2473" s="88" t="n"/>
      <c r="Z2473" s="89" t="n"/>
      <c r="AB2473" s="30">
        <f>IF($B2473="","",(COUNTIF(C2473:E2473,"?*")&lt;N(INDEX(Setup!$L$6:$L$23,16)))+(COUNTIF(G2473:I2473,"?*")&lt;N(INDEX(Setup!$L$6:$L$23,16)))+(COUNTIF(K2473:M2473,"?*")&lt;N(INDEX(Setup!$L$6:$L$23,16)))+(COUNTIF(O2473:Q2473,"?*")&lt;N(INDEX(Setup!$L$6:$L$23,16)))+(COUNTIF(S2473:U2473,"?*")&lt;N(INDEX(Setup!$L$6:$L$23,16)))+((W2473="")*(INDEX(Setup!$M$6:$M$23,16)="Y"))+((Y2473="")*(INDEX(Setup!$M$6:$M$23,16)="Y")))</f>
        <v/>
      </c>
      <c r="AC2473" s="91">
        <f>IF($B2473="","",IF(AB2473=0,"✓ covered","⚠ "&amp;AB2473&amp;IF(AB2473=1," gap"," gaps")))</f>
        <v/>
      </c>
    </row>
    <row r="2474" ht="17" customHeight="1">
      <c r="A2474" t="n">
        <v>50</v>
      </c>
      <c r="B2474" s="24">
        <f>IF(Setup!$K$22="","",Setup!$K$22)</f>
        <v/>
      </c>
      <c r="C2474" s="88" t="n"/>
      <c r="D2474" s="88" t="n"/>
      <c r="E2474" s="88" t="n"/>
      <c r="F2474" s="89" t="n"/>
      <c r="G2474" s="88" t="n"/>
      <c r="H2474" s="88" t="n"/>
      <c r="I2474" s="88" t="n"/>
      <c r="J2474" s="89" t="n"/>
      <c r="K2474" s="88" t="n"/>
      <c r="L2474" s="88" t="n"/>
      <c r="M2474" s="88" t="n"/>
      <c r="N2474" s="89" t="n"/>
      <c r="O2474" s="88" t="n"/>
      <c r="P2474" s="88" t="n"/>
      <c r="Q2474" s="88" t="n"/>
      <c r="R2474" s="89" t="n"/>
      <c r="S2474" s="88" t="n"/>
      <c r="T2474" s="88" t="n"/>
      <c r="U2474" s="88" t="n"/>
      <c r="V2474" s="89" t="n"/>
      <c r="W2474" s="88" t="n"/>
      <c r="X2474" s="89" t="n"/>
      <c r="Y2474" s="88" t="n"/>
      <c r="Z2474" s="89" t="n"/>
      <c r="AB2474" s="25">
        <f>IF($B2474="","",(COUNTIF(C2474:E2474,"?*")&lt;N(INDEX(Setup!$L$6:$L$23,17)))+(COUNTIF(G2474:I2474,"?*")&lt;N(INDEX(Setup!$L$6:$L$23,17)))+(COUNTIF(K2474:M2474,"?*")&lt;N(INDEX(Setup!$L$6:$L$23,17)))+(COUNTIF(O2474:Q2474,"?*")&lt;N(INDEX(Setup!$L$6:$L$23,17)))+(COUNTIF(S2474:U2474,"?*")&lt;N(INDEX(Setup!$L$6:$L$23,17)))+((W2474="")*(INDEX(Setup!$M$6:$M$23,17)="Y"))+((Y2474="")*(INDEX(Setup!$M$6:$M$23,17)="Y")))</f>
        <v/>
      </c>
      <c r="AC2474" s="90">
        <f>IF($B2474="","",IF(AB2474=0,"✓ covered","⚠ "&amp;AB2474&amp;IF(AB2474=1," gap"," gaps")))</f>
        <v/>
      </c>
    </row>
    <row r="2475" ht="17" customHeight="1">
      <c r="A2475" t="n">
        <v>50</v>
      </c>
      <c r="B2475" s="29">
        <f>IF(Setup!$K$23="","",Setup!$K$23)</f>
        <v/>
      </c>
      <c r="C2475" s="88" t="n"/>
      <c r="D2475" s="88" t="n"/>
      <c r="E2475" s="88" t="n"/>
      <c r="F2475" s="89" t="n"/>
      <c r="G2475" s="88" t="n"/>
      <c r="H2475" s="88" t="n"/>
      <c r="I2475" s="88" t="n"/>
      <c r="J2475" s="89" t="n"/>
      <c r="K2475" s="88" t="n"/>
      <c r="L2475" s="88" t="n"/>
      <c r="M2475" s="88" t="n"/>
      <c r="N2475" s="89" t="n"/>
      <c r="O2475" s="88" t="n"/>
      <c r="P2475" s="88" t="n"/>
      <c r="Q2475" s="88" t="n"/>
      <c r="R2475" s="89" t="n"/>
      <c r="S2475" s="88" t="n"/>
      <c r="T2475" s="88" t="n"/>
      <c r="U2475" s="88" t="n"/>
      <c r="V2475" s="89" t="n"/>
      <c r="W2475" s="88" t="n"/>
      <c r="X2475" s="89" t="n"/>
      <c r="Y2475" s="88" t="n"/>
      <c r="Z2475" s="89" t="n"/>
      <c r="AB2475" s="30">
        <f>IF($B2475="","",(COUNTIF(C2475:E2475,"?*")&lt;N(INDEX(Setup!$L$6:$L$23,18)))+(COUNTIF(G2475:I2475,"?*")&lt;N(INDEX(Setup!$L$6:$L$23,18)))+(COUNTIF(K2475:M2475,"?*")&lt;N(INDEX(Setup!$L$6:$L$23,18)))+(COUNTIF(O2475:Q2475,"?*")&lt;N(INDEX(Setup!$L$6:$L$23,18)))+(COUNTIF(S2475:U2475,"?*")&lt;N(INDEX(Setup!$L$6:$L$23,18)))+((W2475="")*(INDEX(Setup!$M$6:$M$23,18)="Y"))+((Y2475="")*(INDEX(Setup!$M$6:$M$23,18)="Y")))</f>
        <v/>
      </c>
      <c r="AC2475" s="91">
        <f>IF($B2475="","",IF(AB2475=0,"✓ covered","⚠ "&amp;AB2475&amp;IF(AB2475=1," gap"," gaps")))</f>
        <v/>
      </c>
    </row>
    <row r="2476" ht="18" customHeight="1">
      <c r="A2476" t="n">
        <v>50</v>
      </c>
      <c r="B2476" s="78" t="inlineStr">
        <is>
          <t>TEAM AVAILABILITY</t>
        </is>
      </c>
      <c r="C2476" s="92" t="inlineStr">
        <is>
          <t>Mon</t>
        </is>
      </c>
      <c r="D2476" s="93" t="n"/>
      <c r="E2476" s="93" t="n"/>
      <c r="F2476" s="94" t="n"/>
      <c r="G2476" s="92" t="inlineStr">
        <is>
          <t>Tue</t>
        </is>
      </c>
      <c r="H2476" s="93" t="n"/>
      <c r="I2476" s="93" t="n"/>
      <c r="J2476" s="94" t="n"/>
      <c r="K2476" s="92" t="inlineStr">
        <is>
          <t>Wed</t>
        </is>
      </c>
      <c r="L2476" s="93" t="n"/>
      <c r="M2476" s="93" t="n"/>
      <c r="N2476" s="94" t="n"/>
      <c r="O2476" s="92" t="inlineStr">
        <is>
          <t>Thu</t>
        </is>
      </c>
      <c r="P2476" s="93" t="n"/>
      <c r="Q2476" s="93" t="n"/>
      <c r="R2476" s="94" t="n"/>
      <c r="S2476" s="92" t="inlineStr">
        <is>
          <t>Fri</t>
        </is>
      </c>
      <c r="T2476" s="93" t="n"/>
      <c r="U2476" s="93" t="n"/>
      <c r="V2476" s="94" t="n"/>
      <c r="W2476" s="95" t="inlineStr">
        <is>
          <t>Sat</t>
        </is>
      </c>
      <c r="X2476" s="96" t="n"/>
      <c r="Y2476" s="95" t="inlineStr">
        <is>
          <t>Sun</t>
        </is>
      </c>
      <c r="Z2476" s="96" t="n"/>
      <c r="AB2476" s="97" t="inlineStr">
        <is>
          <t>Days rostered</t>
        </is>
      </c>
      <c r="AC2476" s="97" t="inlineStr">
        <is>
          <t>Conflicts</t>
        </is>
      </c>
    </row>
    <row r="2477" ht="15" customHeight="1">
      <c r="A2477" t="n">
        <v>50</v>
      </c>
      <c r="B2477" s="35">
        <f>IF(Setup!$B$6="","",Setup!$B$6)</f>
        <v/>
      </c>
      <c r="C2477" s="98" t="n"/>
      <c r="D2477" s="99" t="n"/>
      <c r="E2477" s="99" t="n"/>
      <c r="F2477" s="100" t="n"/>
      <c r="G2477" s="98" t="n"/>
      <c r="H2477" s="99" t="n"/>
      <c r="I2477" s="99" t="n"/>
      <c r="J2477" s="100" t="n"/>
      <c r="K2477" s="98" t="n"/>
      <c r="L2477" s="99" t="n"/>
      <c r="M2477" s="99" t="n"/>
      <c r="N2477" s="100" t="n"/>
      <c r="O2477" s="98" t="n"/>
      <c r="P2477" s="99" t="n"/>
      <c r="Q2477" s="99" t="n"/>
      <c r="R2477" s="100" t="n"/>
      <c r="S2477" s="98" t="n"/>
      <c r="T2477" s="99" t="n"/>
      <c r="U2477" s="99" t="n"/>
      <c r="V2477" s="100" t="n"/>
      <c r="W2477" s="98" t="n"/>
      <c r="X2477" s="100" t="n"/>
      <c r="Y2477" s="98" t="n"/>
      <c r="Z2477" s="100" t="n"/>
      <c r="AB2477" s="101">
        <f>IF($B2477="","",(COUNTIF(C2458:E2475,$B2477)+COUNTIF(C2458:E2475,$B2477&amp;" ~*")&gt;0)+(COUNTIF(G2458:I2475,$B2477)+COUNTIF(G2458:I2475,$B2477&amp;" ~*")&gt;0)+(COUNTIF(K2458:M2475,$B2477)+COUNTIF(K2458:M2475,$B2477&amp;" ~*")&gt;0)+(COUNTIF(O2458:Q2475,$B2477)+COUNTIF(O2458:Q2475,$B2477&amp;" ~*")&gt;0)+(COUNTIF(S2458:U2475,$B2477)+COUNTIF(S2458:U2475,$B2477&amp;" ~*")&gt;0)+(COUNTIF(W2458:W2475,$B2477)+COUNTIF(W2458:W2475,$B2477&amp;" ~*")&gt;0)+(COUNTIF(Y2458:Y2475,$B2477)+COUNTIF(Y2458:Y2475,$B2477&amp;" ~*")&gt;0))</f>
        <v/>
      </c>
      <c r="AC2477" s="36">
        <f>IF($B2477="","",(IFERROR(INDEX(Setup!$G$33:$G$40,MATCH(C2477,Setup!$B$33:$B$40,0)),0)=1)*(COUNTIF(C2458:E2475,$B2477)+COUNTIF(C2458:E2475,$B2477&amp;" ~*")&gt;0)+(IFERROR(INDEX(Setup!$G$33:$G$40,MATCH(G2477,Setup!$B$33:$B$40,0)),0)=1)*(COUNTIF(G2458:I2475,$B2477)+COUNTIF(G2458:I2475,$B2477&amp;" ~*")&gt;0)+(IFERROR(INDEX(Setup!$G$33:$G$40,MATCH(K2477,Setup!$B$33:$B$40,0)),0)=1)*(COUNTIF(K2458:M2475,$B2477)+COUNTIF(K2458:M2475,$B2477&amp;" ~*")&gt;0)+(IFERROR(INDEX(Setup!$G$33:$G$40,MATCH(O2477,Setup!$B$33:$B$40,0)),0)=1)*(COUNTIF(O2458:Q2475,$B2477)+COUNTIF(O2458:Q2475,$B2477&amp;" ~*")&gt;0)+(IFERROR(INDEX(Setup!$G$33:$G$40,MATCH(S2477,Setup!$B$33:$B$40,0)),0)=1)*(COUNTIF(S2458:U2475,$B2477)+COUNTIF(S2458:U2475,$B2477&amp;" ~*")&gt;0)+(IFERROR(INDEX(Setup!$G$33:$G$40,MATCH(W2477,Setup!$B$33:$B$40,0)),0)=1)*(COUNTIF(W2458:W2475,$B2477)+COUNTIF(W2458:W2475,$B2477&amp;" ~*")&gt;0)+(IFERROR(INDEX(Setup!$G$33:$G$40,MATCH(Y2477,Setup!$B$33:$B$40,0)),0)=1)*(COUNTIF(Y2458:Y2475,$B2477)+COUNTIF(Y2458:Y2475,$B2477&amp;" ~*")&gt;0))</f>
        <v/>
      </c>
    </row>
    <row r="2478" ht="15" customHeight="1">
      <c r="A2478" t="n">
        <v>50</v>
      </c>
      <c r="B2478" s="37">
        <f>IF(Setup!$B$7="","",Setup!$B$7)</f>
        <v/>
      </c>
      <c r="C2478" s="102" t="n"/>
      <c r="D2478" s="103" t="n"/>
      <c r="E2478" s="103" t="n"/>
      <c r="F2478" s="104" t="n"/>
      <c r="G2478" s="102" t="n"/>
      <c r="H2478" s="103" t="n"/>
      <c r="I2478" s="103" t="n"/>
      <c r="J2478" s="104" t="n"/>
      <c r="K2478" s="102" t="n"/>
      <c r="L2478" s="103" t="n"/>
      <c r="M2478" s="103" t="n"/>
      <c r="N2478" s="104" t="n"/>
      <c r="O2478" s="102" t="n"/>
      <c r="P2478" s="103" t="n"/>
      <c r="Q2478" s="103" t="n"/>
      <c r="R2478" s="104" t="n"/>
      <c r="S2478" s="102" t="n"/>
      <c r="T2478" s="103" t="n"/>
      <c r="U2478" s="103" t="n"/>
      <c r="V2478" s="104" t="n"/>
      <c r="W2478" s="102" t="n"/>
      <c r="X2478" s="104" t="n"/>
      <c r="Y2478" s="102" t="n"/>
      <c r="Z2478" s="104" t="n"/>
      <c r="AB2478" s="105">
        <f>IF($B2478="","",(COUNTIF(C2458:E2475,$B2478)+COUNTIF(C2458:E2475,$B2478&amp;" ~*")&gt;0)+(COUNTIF(G2458:I2475,$B2478)+COUNTIF(G2458:I2475,$B2478&amp;" ~*")&gt;0)+(COUNTIF(K2458:M2475,$B2478)+COUNTIF(K2458:M2475,$B2478&amp;" ~*")&gt;0)+(COUNTIF(O2458:Q2475,$B2478)+COUNTIF(O2458:Q2475,$B2478&amp;" ~*")&gt;0)+(COUNTIF(S2458:U2475,$B2478)+COUNTIF(S2458:U2475,$B2478&amp;" ~*")&gt;0)+(COUNTIF(W2458:W2475,$B2478)+COUNTIF(W2458:W2475,$B2478&amp;" ~*")&gt;0)+(COUNTIF(Y2458:Y2475,$B2478)+COUNTIF(Y2458:Y2475,$B2478&amp;" ~*")&gt;0))</f>
        <v/>
      </c>
      <c r="AC2478" s="38">
        <f>IF($B2478="","",(IFERROR(INDEX(Setup!$G$33:$G$40,MATCH(C2478,Setup!$B$33:$B$40,0)),0)=1)*(COUNTIF(C2458:E2475,$B2478)+COUNTIF(C2458:E2475,$B2478&amp;" ~*")&gt;0)+(IFERROR(INDEX(Setup!$G$33:$G$40,MATCH(G2478,Setup!$B$33:$B$40,0)),0)=1)*(COUNTIF(G2458:I2475,$B2478)+COUNTIF(G2458:I2475,$B2478&amp;" ~*")&gt;0)+(IFERROR(INDEX(Setup!$G$33:$G$40,MATCH(K2478,Setup!$B$33:$B$40,0)),0)=1)*(COUNTIF(K2458:M2475,$B2478)+COUNTIF(K2458:M2475,$B2478&amp;" ~*")&gt;0)+(IFERROR(INDEX(Setup!$G$33:$G$40,MATCH(O2478,Setup!$B$33:$B$40,0)),0)=1)*(COUNTIF(O2458:Q2475,$B2478)+COUNTIF(O2458:Q2475,$B2478&amp;" ~*")&gt;0)+(IFERROR(INDEX(Setup!$G$33:$G$40,MATCH(S2478,Setup!$B$33:$B$40,0)),0)=1)*(COUNTIF(S2458:U2475,$B2478)+COUNTIF(S2458:U2475,$B2478&amp;" ~*")&gt;0)+(IFERROR(INDEX(Setup!$G$33:$G$40,MATCH(W2478,Setup!$B$33:$B$40,0)),0)=1)*(COUNTIF(W2458:W2475,$B2478)+COUNTIF(W2458:W2475,$B2478&amp;" ~*")&gt;0)+(IFERROR(INDEX(Setup!$G$33:$G$40,MATCH(Y2478,Setup!$B$33:$B$40,0)),0)=1)*(COUNTIF(Y2458:Y2475,$B2478)+COUNTIF(Y2458:Y2475,$B2478&amp;" ~*")&gt;0))</f>
        <v/>
      </c>
    </row>
    <row r="2479" ht="15" customHeight="1">
      <c r="A2479" t="n">
        <v>50</v>
      </c>
      <c r="B2479" s="35">
        <f>IF(Setup!$B$8="","",Setup!$B$8)</f>
        <v/>
      </c>
      <c r="C2479" s="98" t="n"/>
      <c r="D2479" s="99" t="n"/>
      <c r="E2479" s="99" t="n"/>
      <c r="F2479" s="100" t="n"/>
      <c r="G2479" s="98" t="n"/>
      <c r="H2479" s="99" t="n"/>
      <c r="I2479" s="99" t="n"/>
      <c r="J2479" s="100" t="n"/>
      <c r="K2479" s="98" t="n"/>
      <c r="L2479" s="99" t="n"/>
      <c r="M2479" s="99" t="n"/>
      <c r="N2479" s="100" t="n"/>
      <c r="O2479" s="98" t="n"/>
      <c r="P2479" s="99" t="n"/>
      <c r="Q2479" s="99" t="n"/>
      <c r="R2479" s="100" t="n"/>
      <c r="S2479" s="98" t="n"/>
      <c r="T2479" s="99" t="n"/>
      <c r="U2479" s="99" t="n"/>
      <c r="V2479" s="100" t="n"/>
      <c r="W2479" s="98" t="n"/>
      <c r="X2479" s="100" t="n"/>
      <c r="Y2479" s="98" t="n"/>
      <c r="Z2479" s="100" t="n"/>
      <c r="AB2479" s="101">
        <f>IF($B2479="","",(COUNTIF(C2458:E2475,$B2479)+COUNTIF(C2458:E2475,$B2479&amp;" ~*")&gt;0)+(COUNTIF(G2458:I2475,$B2479)+COUNTIF(G2458:I2475,$B2479&amp;" ~*")&gt;0)+(COUNTIF(K2458:M2475,$B2479)+COUNTIF(K2458:M2475,$B2479&amp;" ~*")&gt;0)+(COUNTIF(O2458:Q2475,$B2479)+COUNTIF(O2458:Q2475,$B2479&amp;" ~*")&gt;0)+(COUNTIF(S2458:U2475,$B2479)+COUNTIF(S2458:U2475,$B2479&amp;" ~*")&gt;0)+(COUNTIF(W2458:W2475,$B2479)+COUNTIF(W2458:W2475,$B2479&amp;" ~*")&gt;0)+(COUNTIF(Y2458:Y2475,$B2479)+COUNTIF(Y2458:Y2475,$B2479&amp;" ~*")&gt;0))</f>
        <v/>
      </c>
      <c r="AC2479" s="36">
        <f>IF($B2479="","",(IFERROR(INDEX(Setup!$G$33:$G$40,MATCH(C2479,Setup!$B$33:$B$40,0)),0)=1)*(COUNTIF(C2458:E2475,$B2479)+COUNTIF(C2458:E2475,$B2479&amp;" ~*")&gt;0)+(IFERROR(INDEX(Setup!$G$33:$G$40,MATCH(G2479,Setup!$B$33:$B$40,0)),0)=1)*(COUNTIF(G2458:I2475,$B2479)+COUNTIF(G2458:I2475,$B2479&amp;" ~*")&gt;0)+(IFERROR(INDEX(Setup!$G$33:$G$40,MATCH(K2479,Setup!$B$33:$B$40,0)),0)=1)*(COUNTIF(K2458:M2475,$B2479)+COUNTIF(K2458:M2475,$B2479&amp;" ~*")&gt;0)+(IFERROR(INDEX(Setup!$G$33:$G$40,MATCH(O2479,Setup!$B$33:$B$40,0)),0)=1)*(COUNTIF(O2458:Q2475,$B2479)+COUNTIF(O2458:Q2475,$B2479&amp;" ~*")&gt;0)+(IFERROR(INDEX(Setup!$G$33:$G$40,MATCH(S2479,Setup!$B$33:$B$40,0)),0)=1)*(COUNTIF(S2458:U2475,$B2479)+COUNTIF(S2458:U2475,$B2479&amp;" ~*")&gt;0)+(IFERROR(INDEX(Setup!$G$33:$G$40,MATCH(W2479,Setup!$B$33:$B$40,0)),0)=1)*(COUNTIF(W2458:W2475,$B2479)+COUNTIF(W2458:W2475,$B2479&amp;" ~*")&gt;0)+(IFERROR(INDEX(Setup!$G$33:$G$40,MATCH(Y2479,Setup!$B$33:$B$40,0)),0)=1)*(COUNTIF(Y2458:Y2475,$B2479)+COUNTIF(Y2458:Y2475,$B2479&amp;" ~*")&gt;0))</f>
        <v/>
      </c>
    </row>
    <row r="2480" ht="15" customHeight="1">
      <c r="A2480" t="n">
        <v>50</v>
      </c>
      <c r="B2480" s="37">
        <f>IF(Setup!$B$9="","",Setup!$B$9)</f>
        <v/>
      </c>
      <c r="C2480" s="102" t="n"/>
      <c r="D2480" s="103" t="n"/>
      <c r="E2480" s="103" t="n"/>
      <c r="F2480" s="104" t="n"/>
      <c r="G2480" s="102" t="n"/>
      <c r="H2480" s="103" t="n"/>
      <c r="I2480" s="103" t="n"/>
      <c r="J2480" s="104" t="n"/>
      <c r="K2480" s="102" t="n"/>
      <c r="L2480" s="103" t="n"/>
      <c r="M2480" s="103" t="n"/>
      <c r="N2480" s="104" t="n"/>
      <c r="O2480" s="102" t="n"/>
      <c r="P2480" s="103" t="n"/>
      <c r="Q2480" s="103" t="n"/>
      <c r="R2480" s="104" t="n"/>
      <c r="S2480" s="102" t="n"/>
      <c r="T2480" s="103" t="n"/>
      <c r="U2480" s="103" t="n"/>
      <c r="V2480" s="104" t="n"/>
      <c r="W2480" s="102" t="n"/>
      <c r="X2480" s="104" t="n"/>
      <c r="Y2480" s="102" t="n"/>
      <c r="Z2480" s="104" t="n"/>
      <c r="AB2480" s="105">
        <f>IF($B2480="","",(COUNTIF(C2458:E2475,$B2480)+COUNTIF(C2458:E2475,$B2480&amp;" ~*")&gt;0)+(COUNTIF(G2458:I2475,$B2480)+COUNTIF(G2458:I2475,$B2480&amp;" ~*")&gt;0)+(COUNTIF(K2458:M2475,$B2480)+COUNTIF(K2458:M2475,$B2480&amp;" ~*")&gt;0)+(COUNTIF(O2458:Q2475,$B2480)+COUNTIF(O2458:Q2475,$B2480&amp;" ~*")&gt;0)+(COUNTIF(S2458:U2475,$B2480)+COUNTIF(S2458:U2475,$B2480&amp;" ~*")&gt;0)+(COUNTIF(W2458:W2475,$B2480)+COUNTIF(W2458:W2475,$B2480&amp;" ~*")&gt;0)+(COUNTIF(Y2458:Y2475,$B2480)+COUNTIF(Y2458:Y2475,$B2480&amp;" ~*")&gt;0))</f>
        <v/>
      </c>
      <c r="AC2480" s="38">
        <f>IF($B2480="","",(IFERROR(INDEX(Setup!$G$33:$G$40,MATCH(C2480,Setup!$B$33:$B$40,0)),0)=1)*(COUNTIF(C2458:E2475,$B2480)+COUNTIF(C2458:E2475,$B2480&amp;" ~*")&gt;0)+(IFERROR(INDEX(Setup!$G$33:$G$40,MATCH(G2480,Setup!$B$33:$B$40,0)),0)=1)*(COUNTIF(G2458:I2475,$B2480)+COUNTIF(G2458:I2475,$B2480&amp;" ~*")&gt;0)+(IFERROR(INDEX(Setup!$G$33:$G$40,MATCH(K2480,Setup!$B$33:$B$40,0)),0)=1)*(COUNTIF(K2458:M2475,$B2480)+COUNTIF(K2458:M2475,$B2480&amp;" ~*")&gt;0)+(IFERROR(INDEX(Setup!$G$33:$G$40,MATCH(O2480,Setup!$B$33:$B$40,0)),0)=1)*(COUNTIF(O2458:Q2475,$B2480)+COUNTIF(O2458:Q2475,$B2480&amp;" ~*")&gt;0)+(IFERROR(INDEX(Setup!$G$33:$G$40,MATCH(S2480,Setup!$B$33:$B$40,0)),0)=1)*(COUNTIF(S2458:U2475,$B2480)+COUNTIF(S2458:U2475,$B2480&amp;" ~*")&gt;0)+(IFERROR(INDEX(Setup!$G$33:$G$40,MATCH(W2480,Setup!$B$33:$B$40,0)),0)=1)*(COUNTIF(W2458:W2475,$B2480)+COUNTIF(W2458:W2475,$B2480&amp;" ~*")&gt;0)+(IFERROR(INDEX(Setup!$G$33:$G$40,MATCH(Y2480,Setup!$B$33:$B$40,0)),0)=1)*(COUNTIF(Y2458:Y2475,$B2480)+COUNTIF(Y2458:Y2475,$B2480&amp;" ~*")&gt;0))</f>
        <v/>
      </c>
    </row>
    <row r="2481" ht="15" customHeight="1">
      <c r="A2481" t="n">
        <v>50</v>
      </c>
      <c r="B2481" s="35">
        <f>IF(Setup!$B$10="","",Setup!$B$10)</f>
        <v/>
      </c>
      <c r="C2481" s="98" t="n"/>
      <c r="D2481" s="99" t="n"/>
      <c r="E2481" s="99" t="n"/>
      <c r="F2481" s="100" t="n"/>
      <c r="G2481" s="98" t="n"/>
      <c r="H2481" s="99" t="n"/>
      <c r="I2481" s="99" t="n"/>
      <c r="J2481" s="100" t="n"/>
      <c r="K2481" s="98" t="n"/>
      <c r="L2481" s="99" t="n"/>
      <c r="M2481" s="99" t="n"/>
      <c r="N2481" s="100" t="n"/>
      <c r="O2481" s="98" t="n"/>
      <c r="P2481" s="99" t="n"/>
      <c r="Q2481" s="99" t="n"/>
      <c r="R2481" s="100" t="n"/>
      <c r="S2481" s="98" t="n"/>
      <c r="T2481" s="99" t="n"/>
      <c r="U2481" s="99" t="n"/>
      <c r="V2481" s="100" t="n"/>
      <c r="W2481" s="98" t="n"/>
      <c r="X2481" s="100" t="n"/>
      <c r="Y2481" s="98" t="n"/>
      <c r="Z2481" s="100" t="n"/>
      <c r="AB2481" s="101">
        <f>IF($B2481="","",(COUNTIF(C2458:E2475,$B2481)+COUNTIF(C2458:E2475,$B2481&amp;" ~*")&gt;0)+(COUNTIF(G2458:I2475,$B2481)+COUNTIF(G2458:I2475,$B2481&amp;" ~*")&gt;0)+(COUNTIF(K2458:M2475,$B2481)+COUNTIF(K2458:M2475,$B2481&amp;" ~*")&gt;0)+(COUNTIF(O2458:Q2475,$B2481)+COUNTIF(O2458:Q2475,$B2481&amp;" ~*")&gt;0)+(COUNTIF(S2458:U2475,$B2481)+COUNTIF(S2458:U2475,$B2481&amp;" ~*")&gt;0)+(COUNTIF(W2458:W2475,$B2481)+COUNTIF(W2458:W2475,$B2481&amp;" ~*")&gt;0)+(COUNTIF(Y2458:Y2475,$B2481)+COUNTIF(Y2458:Y2475,$B2481&amp;" ~*")&gt;0))</f>
        <v/>
      </c>
      <c r="AC2481" s="36">
        <f>IF($B2481="","",(IFERROR(INDEX(Setup!$G$33:$G$40,MATCH(C2481,Setup!$B$33:$B$40,0)),0)=1)*(COUNTIF(C2458:E2475,$B2481)+COUNTIF(C2458:E2475,$B2481&amp;" ~*")&gt;0)+(IFERROR(INDEX(Setup!$G$33:$G$40,MATCH(G2481,Setup!$B$33:$B$40,0)),0)=1)*(COUNTIF(G2458:I2475,$B2481)+COUNTIF(G2458:I2475,$B2481&amp;" ~*")&gt;0)+(IFERROR(INDEX(Setup!$G$33:$G$40,MATCH(K2481,Setup!$B$33:$B$40,0)),0)=1)*(COUNTIF(K2458:M2475,$B2481)+COUNTIF(K2458:M2475,$B2481&amp;" ~*")&gt;0)+(IFERROR(INDEX(Setup!$G$33:$G$40,MATCH(O2481,Setup!$B$33:$B$40,0)),0)=1)*(COUNTIF(O2458:Q2475,$B2481)+COUNTIF(O2458:Q2475,$B2481&amp;" ~*")&gt;0)+(IFERROR(INDEX(Setup!$G$33:$G$40,MATCH(S2481,Setup!$B$33:$B$40,0)),0)=1)*(COUNTIF(S2458:U2475,$B2481)+COUNTIF(S2458:U2475,$B2481&amp;" ~*")&gt;0)+(IFERROR(INDEX(Setup!$G$33:$G$40,MATCH(W2481,Setup!$B$33:$B$40,0)),0)=1)*(COUNTIF(W2458:W2475,$B2481)+COUNTIF(W2458:W2475,$B2481&amp;" ~*")&gt;0)+(IFERROR(INDEX(Setup!$G$33:$G$40,MATCH(Y2481,Setup!$B$33:$B$40,0)),0)=1)*(COUNTIF(Y2458:Y2475,$B2481)+COUNTIF(Y2458:Y2475,$B2481&amp;" ~*")&gt;0))</f>
        <v/>
      </c>
    </row>
    <row r="2482" ht="15" customHeight="1">
      <c r="A2482" t="n">
        <v>50</v>
      </c>
      <c r="B2482" s="37">
        <f>IF(Setup!$B$11="","",Setup!$B$11)</f>
        <v/>
      </c>
      <c r="C2482" s="102" t="n"/>
      <c r="D2482" s="103" t="n"/>
      <c r="E2482" s="103" t="n"/>
      <c r="F2482" s="104" t="n"/>
      <c r="G2482" s="102" t="n"/>
      <c r="H2482" s="103" t="n"/>
      <c r="I2482" s="103" t="n"/>
      <c r="J2482" s="104" t="n"/>
      <c r="K2482" s="102" t="n"/>
      <c r="L2482" s="103" t="n"/>
      <c r="M2482" s="103" t="n"/>
      <c r="N2482" s="104" t="n"/>
      <c r="O2482" s="102" t="n"/>
      <c r="P2482" s="103" t="n"/>
      <c r="Q2482" s="103" t="n"/>
      <c r="R2482" s="104" t="n"/>
      <c r="S2482" s="102" t="n"/>
      <c r="T2482" s="103" t="n"/>
      <c r="U2482" s="103" t="n"/>
      <c r="V2482" s="104" t="n"/>
      <c r="W2482" s="102" t="n"/>
      <c r="X2482" s="104" t="n"/>
      <c r="Y2482" s="102" t="n"/>
      <c r="Z2482" s="104" t="n"/>
      <c r="AB2482" s="105">
        <f>IF($B2482="","",(COUNTIF(C2458:E2475,$B2482)+COUNTIF(C2458:E2475,$B2482&amp;" ~*")&gt;0)+(COUNTIF(G2458:I2475,$B2482)+COUNTIF(G2458:I2475,$B2482&amp;" ~*")&gt;0)+(COUNTIF(K2458:M2475,$B2482)+COUNTIF(K2458:M2475,$B2482&amp;" ~*")&gt;0)+(COUNTIF(O2458:Q2475,$B2482)+COUNTIF(O2458:Q2475,$B2482&amp;" ~*")&gt;0)+(COUNTIF(S2458:U2475,$B2482)+COUNTIF(S2458:U2475,$B2482&amp;" ~*")&gt;0)+(COUNTIF(W2458:W2475,$B2482)+COUNTIF(W2458:W2475,$B2482&amp;" ~*")&gt;0)+(COUNTIF(Y2458:Y2475,$B2482)+COUNTIF(Y2458:Y2475,$B2482&amp;" ~*")&gt;0))</f>
        <v/>
      </c>
      <c r="AC2482" s="38">
        <f>IF($B2482="","",(IFERROR(INDEX(Setup!$G$33:$G$40,MATCH(C2482,Setup!$B$33:$B$40,0)),0)=1)*(COUNTIF(C2458:E2475,$B2482)+COUNTIF(C2458:E2475,$B2482&amp;" ~*")&gt;0)+(IFERROR(INDEX(Setup!$G$33:$G$40,MATCH(G2482,Setup!$B$33:$B$40,0)),0)=1)*(COUNTIF(G2458:I2475,$B2482)+COUNTIF(G2458:I2475,$B2482&amp;" ~*")&gt;0)+(IFERROR(INDEX(Setup!$G$33:$G$40,MATCH(K2482,Setup!$B$33:$B$40,0)),0)=1)*(COUNTIF(K2458:M2475,$B2482)+COUNTIF(K2458:M2475,$B2482&amp;" ~*")&gt;0)+(IFERROR(INDEX(Setup!$G$33:$G$40,MATCH(O2482,Setup!$B$33:$B$40,0)),0)=1)*(COUNTIF(O2458:Q2475,$B2482)+COUNTIF(O2458:Q2475,$B2482&amp;" ~*")&gt;0)+(IFERROR(INDEX(Setup!$G$33:$G$40,MATCH(S2482,Setup!$B$33:$B$40,0)),0)=1)*(COUNTIF(S2458:U2475,$B2482)+COUNTIF(S2458:U2475,$B2482&amp;" ~*")&gt;0)+(IFERROR(INDEX(Setup!$G$33:$G$40,MATCH(W2482,Setup!$B$33:$B$40,0)),0)=1)*(COUNTIF(W2458:W2475,$B2482)+COUNTIF(W2458:W2475,$B2482&amp;" ~*")&gt;0)+(IFERROR(INDEX(Setup!$G$33:$G$40,MATCH(Y2482,Setup!$B$33:$B$40,0)),0)=1)*(COUNTIF(Y2458:Y2475,$B2482)+COUNTIF(Y2458:Y2475,$B2482&amp;" ~*")&gt;0))</f>
        <v/>
      </c>
    </row>
    <row r="2483" ht="15" customHeight="1">
      <c r="A2483" t="n">
        <v>50</v>
      </c>
      <c r="B2483" s="35">
        <f>IF(Setup!$B$12="","",Setup!$B$12)</f>
        <v/>
      </c>
      <c r="C2483" s="98" t="n"/>
      <c r="D2483" s="99" t="n"/>
      <c r="E2483" s="99" t="n"/>
      <c r="F2483" s="100" t="n"/>
      <c r="G2483" s="98" t="n"/>
      <c r="H2483" s="99" t="n"/>
      <c r="I2483" s="99" t="n"/>
      <c r="J2483" s="100" t="n"/>
      <c r="K2483" s="98" t="n"/>
      <c r="L2483" s="99" t="n"/>
      <c r="M2483" s="99" t="n"/>
      <c r="N2483" s="100" t="n"/>
      <c r="O2483" s="98" t="n"/>
      <c r="P2483" s="99" t="n"/>
      <c r="Q2483" s="99" t="n"/>
      <c r="R2483" s="100" t="n"/>
      <c r="S2483" s="98" t="n"/>
      <c r="T2483" s="99" t="n"/>
      <c r="U2483" s="99" t="n"/>
      <c r="V2483" s="100" t="n"/>
      <c r="W2483" s="98" t="n"/>
      <c r="X2483" s="100" t="n"/>
      <c r="Y2483" s="98" t="n"/>
      <c r="Z2483" s="100" t="n"/>
      <c r="AB2483" s="101">
        <f>IF($B2483="","",(COUNTIF(C2458:E2475,$B2483)+COUNTIF(C2458:E2475,$B2483&amp;" ~*")&gt;0)+(COUNTIF(G2458:I2475,$B2483)+COUNTIF(G2458:I2475,$B2483&amp;" ~*")&gt;0)+(COUNTIF(K2458:M2475,$B2483)+COUNTIF(K2458:M2475,$B2483&amp;" ~*")&gt;0)+(COUNTIF(O2458:Q2475,$B2483)+COUNTIF(O2458:Q2475,$B2483&amp;" ~*")&gt;0)+(COUNTIF(S2458:U2475,$B2483)+COUNTIF(S2458:U2475,$B2483&amp;" ~*")&gt;0)+(COUNTIF(W2458:W2475,$B2483)+COUNTIF(W2458:W2475,$B2483&amp;" ~*")&gt;0)+(COUNTIF(Y2458:Y2475,$B2483)+COUNTIF(Y2458:Y2475,$B2483&amp;" ~*")&gt;0))</f>
        <v/>
      </c>
      <c r="AC2483" s="36">
        <f>IF($B2483="","",(IFERROR(INDEX(Setup!$G$33:$G$40,MATCH(C2483,Setup!$B$33:$B$40,0)),0)=1)*(COUNTIF(C2458:E2475,$B2483)+COUNTIF(C2458:E2475,$B2483&amp;" ~*")&gt;0)+(IFERROR(INDEX(Setup!$G$33:$G$40,MATCH(G2483,Setup!$B$33:$B$40,0)),0)=1)*(COUNTIF(G2458:I2475,$B2483)+COUNTIF(G2458:I2475,$B2483&amp;" ~*")&gt;0)+(IFERROR(INDEX(Setup!$G$33:$G$40,MATCH(K2483,Setup!$B$33:$B$40,0)),0)=1)*(COUNTIF(K2458:M2475,$B2483)+COUNTIF(K2458:M2475,$B2483&amp;" ~*")&gt;0)+(IFERROR(INDEX(Setup!$G$33:$G$40,MATCH(O2483,Setup!$B$33:$B$40,0)),0)=1)*(COUNTIF(O2458:Q2475,$B2483)+COUNTIF(O2458:Q2475,$B2483&amp;" ~*")&gt;0)+(IFERROR(INDEX(Setup!$G$33:$G$40,MATCH(S2483,Setup!$B$33:$B$40,0)),0)=1)*(COUNTIF(S2458:U2475,$B2483)+COUNTIF(S2458:U2475,$B2483&amp;" ~*")&gt;0)+(IFERROR(INDEX(Setup!$G$33:$G$40,MATCH(W2483,Setup!$B$33:$B$40,0)),0)=1)*(COUNTIF(W2458:W2475,$B2483)+COUNTIF(W2458:W2475,$B2483&amp;" ~*")&gt;0)+(IFERROR(INDEX(Setup!$G$33:$G$40,MATCH(Y2483,Setup!$B$33:$B$40,0)),0)=1)*(COUNTIF(Y2458:Y2475,$B2483)+COUNTIF(Y2458:Y2475,$B2483&amp;" ~*")&gt;0))</f>
        <v/>
      </c>
    </row>
    <row r="2484" ht="15" customHeight="1">
      <c r="A2484" t="n">
        <v>50</v>
      </c>
      <c r="B2484" s="37">
        <f>IF(Setup!$B$13="","",Setup!$B$13)</f>
        <v/>
      </c>
      <c r="C2484" s="102" t="n"/>
      <c r="D2484" s="103" t="n"/>
      <c r="E2484" s="103" t="n"/>
      <c r="F2484" s="104" t="n"/>
      <c r="G2484" s="102" t="n"/>
      <c r="H2484" s="103" t="n"/>
      <c r="I2484" s="103" t="n"/>
      <c r="J2484" s="104" t="n"/>
      <c r="K2484" s="102" t="n"/>
      <c r="L2484" s="103" t="n"/>
      <c r="M2484" s="103" t="n"/>
      <c r="N2484" s="104" t="n"/>
      <c r="O2484" s="102" t="n"/>
      <c r="P2484" s="103" t="n"/>
      <c r="Q2484" s="103" t="n"/>
      <c r="R2484" s="104" t="n"/>
      <c r="S2484" s="102" t="n"/>
      <c r="T2484" s="103" t="n"/>
      <c r="U2484" s="103" t="n"/>
      <c r="V2484" s="104" t="n"/>
      <c r="W2484" s="102" t="n"/>
      <c r="X2484" s="104" t="n"/>
      <c r="Y2484" s="102" t="n"/>
      <c r="Z2484" s="104" t="n"/>
      <c r="AB2484" s="105">
        <f>IF($B2484="","",(COUNTIF(C2458:E2475,$B2484)+COUNTIF(C2458:E2475,$B2484&amp;" ~*")&gt;0)+(COUNTIF(G2458:I2475,$B2484)+COUNTIF(G2458:I2475,$B2484&amp;" ~*")&gt;0)+(COUNTIF(K2458:M2475,$B2484)+COUNTIF(K2458:M2475,$B2484&amp;" ~*")&gt;0)+(COUNTIF(O2458:Q2475,$B2484)+COUNTIF(O2458:Q2475,$B2484&amp;" ~*")&gt;0)+(COUNTIF(S2458:U2475,$B2484)+COUNTIF(S2458:U2475,$B2484&amp;" ~*")&gt;0)+(COUNTIF(W2458:W2475,$B2484)+COUNTIF(W2458:W2475,$B2484&amp;" ~*")&gt;0)+(COUNTIF(Y2458:Y2475,$B2484)+COUNTIF(Y2458:Y2475,$B2484&amp;" ~*")&gt;0))</f>
        <v/>
      </c>
      <c r="AC2484" s="38">
        <f>IF($B2484="","",(IFERROR(INDEX(Setup!$G$33:$G$40,MATCH(C2484,Setup!$B$33:$B$40,0)),0)=1)*(COUNTIF(C2458:E2475,$B2484)+COUNTIF(C2458:E2475,$B2484&amp;" ~*")&gt;0)+(IFERROR(INDEX(Setup!$G$33:$G$40,MATCH(G2484,Setup!$B$33:$B$40,0)),0)=1)*(COUNTIF(G2458:I2475,$B2484)+COUNTIF(G2458:I2475,$B2484&amp;" ~*")&gt;0)+(IFERROR(INDEX(Setup!$G$33:$G$40,MATCH(K2484,Setup!$B$33:$B$40,0)),0)=1)*(COUNTIF(K2458:M2475,$B2484)+COUNTIF(K2458:M2475,$B2484&amp;" ~*")&gt;0)+(IFERROR(INDEX(Setup!$G$33:$G$40,MATCH(O2484,Setup!$B$33:$B$40,0)),0)=1)*(COUNTIF(O2458:Q2475,$B2484)+COUNTIF(O2458:Q2475,$B2484&amp;" ~*")&gt;0)+(IFERROR(INDEX(Setup!$G$33:$G$40,MATCH(S2484,Setup!$B$33:$B$40,0)),0)=1)*(COUNTIF(S2458:U2475,$B2484)+COUNTIF(S2458:U2475,$B2484&amp;" ~*")&gt;0)+(IFERROR(INDEX(Setup!$G$33:$G$40,MATCH(W2484,Setup!$B$33:$B$40,0)),0)=1)*(COUNTIF(W2458:W2475,$B2484)+COUNTIF(W2458:W2475,$B2484&amp;" ~*")&gt;0)+(IFERROR(INDEX(Setup!$G$33:$G$40,MATCH(Y2484,Setup!$B$33:$B$40,0)),0)=1)*(COUNTIF(Y2458:Y2475,$B2484)+COUNTIF(Y2458:Y2475,$B2484&amp;" ~*")&gt;0))</f>
        <v/>
      </c>
    </row>
    <row r="2485" ht="15" customHeight="1">
      <c r="A2485" t="n">
        <v>50</v>
      </c>
      <c r="B2485" s="35">
        <f>IF(Setup!$B$14="","",Setup!$B$14)</f>
        <v/>
      </c>
      <c r="C2485" s="98" t="n"/>
      <c r="D2485" s="99" t="n"/>
      <c r="E2485" s="99" t="n"/>
      <c r="F2485" s="100" t="n"/>
      <c r="G2485" s="98" t="n"/>
      <c r="H2485" s="99" t="n"/>
      <c r="I2485" s="99" t="n"/>
      <c r="J2485" s="100" t="n"/>
      <c r="K2485" s="98" t="n"/>
      <c r="L2485" s="99" t="n"/>
      <c r="M2485" s="99" t="n"/>
      <c r="N2485" s="100" t="n"/>
      <c r="O2485" s="98" t="n"/>
      <c r="P2485" s="99" t="n"/>
      <c r="Q2485" s="99" t="n"/>
      <c r="R2485" s="100" t="n"/>
      <c r="S2485" s="98" t="n"/>
      <c r="T2485" s="99" t="n"/>
      <c r="U2485" s="99" t="n"/>
      <c r="V2485" s="100" t="n"/>
      <c r="W2485" s="98" t="n"/>
      <c r="X2485" s="100" t="n"/>
      <c r="Y2485" s="98" t="n"/>
      <c r="Z2485" s="100" t="n"/>
      <c r="AB2485" s="101">
        <f>IF($B2485="","",(COUNTIF(C2458:E2475,$B2485)+COUNTIF(C2458:E2475,$B2485&amp;" ~*")&gt;0)+(COUNTIF(G2458:I2475,$B2485)+COUNTIF(G2458:I2475,$B2485&amp;" ~*")&gt;0)+(COUNTIF(K2458:M2475,$B2485)+COUNTIF(K2458:M2475,$B2485&amp;" ~*")&gt;0)+(COUNTIF(O2458:Q2475,$B2485)+COUNTIF(O2458:Q2475,$B2485&amp;" ~*")&gt;0)+(COUNTIF(S2458:U2475,$B2485)+COUNTIF(S2458:U2475,$B2485&amp;" ~*")&gt;0)+(COUNTIF(W2458:W2475,$B2485)+COUNTIF(W2458:W2475,$B2485&amp;" ~*")&gt;0)+(COUNTIF(Y2458:Y2475,$B2485)+COUNTIF(Y2458:Y2475,$B2485&amp;" ~*")&gt;0))</f>
        <v/>
      </c>
      <c r="AC2485" s="36">
        <f>IF($B2485="","",(IFERROR(INDEX(Setup!$G$33:$G$40,MATCH(C2485,Setup!$B$33:$B$40,0)),0)=1)*(COUNTIF(C2458:E2475,$B2485)+COUNTIF(C2458:E2475,$B2485&amp;" ~*")&gt;0)+(IFERROR(INDEX(Setup!$G$33:$G$40,MATCH(G2485,Setup!$B$33:$B$40,0)),0)=1)*(COUNTIF(G2458:I2475,$B2485)+COUNTIF(G2458:I2475,$B2485&amp;" ~*")&gt;0)+(IFERROR(INDEX(Setup!$G$33:$G$40,MATCH(K2485,Setup!$B$33:$B$40,0)),0)=1)*(COUNTIF(K2458:M2475,$B2485)+COUNTIF(K2458:M2475,$B2485&amp;" ~*")&gt;0)+(IFERROR(INDEX(Setup!$G$33:$G$40,MATCH(O2485,Setup!$B$33:$B$40,0)),0)=1)*(COUNTIF(O2458:Q2475,$B2485)+COUNTIF(O2458:Q2475,$B2485&amp;" ~*")&gt;0)+(IFERROR(INDEX(Setup!$G$33:$G$40,MATCH(S2485,Setup!$B$33:$B$40,0)),0)=1)*(COUNTIF(S2458:U2475,$B2485)+COUNTIF(S2458:U2475,$B2485&amp;" ~*")&gt;0)+(IFERROR(INDEX(Setup!$G$33:$G$40,MATCH(W2485,Setup!$B$33:$B$40,0)),0)=1)*(COUNTIF(W2458:W2475,$B2485)+COUNTIF(W2458:W2475,$B2485&amp;" ~*")&gt;0)+(IFERROR(INDEX(Setup!$G$33:$G$40,MATCH(Y2485,Setup!$B$33:$B$40,0)),0)=1)*(COUNTIF(Y2458:Y2475,$B2485)+COUNTIF(Y2458:Y2475,$B2485&amp;" ~*")&gt;0))</f>
        <v/>
      </c>
    </row>
    <row r="2486" ht="15" customHeight="1">
      <c r="A2486" t="n">
        <v>50</v>
      </c>
      <c r="B2486" s="37">
        <f>IF(Setup!$B$15="","",Setup!$B$15)</f>
        <v/>
      </c>
      <c r="C2486" s="102" t="n"/>
      <c r="D2486" s="103" t="n"/>
      <c r="E2486" s="103" t="n"/>
      <c r="F2486" s="104" t="n"/>
      <c r="G2486" s="102" t="n"/>
      <c r="H2486" s="103" t="n"/>
      <c r="I2486" s="103" t="n"/>
      <c r="J2486" s="104" t="n"/>
      <c r="K2486" s="102" t="n"/>
      <c r="L2486" s="103" t="n"/>
      <c r="M2486" s="103" t="n"/>
      <c r="N2486" s="104" t="n"/>
      <c r="O2486" s="102" t="n"/>
      <c r="P2486" s="103" t="n"/>
      <c r="Q2486" s="103" t="n"/>
      <c r="R2486" s="104" t="n"/>
      <c r="S2486" s="102" t="n"/>
      <c r="T2486" s="103" t="n"/>
      <c r="U2486" s="103" t="n"/>
      <c r="V2486" s="104" t="n"/>
      <c r="W2486" s="102" t="n"/>
      <c r="X2486" s="104" t="n"/>
      <c r="Y2486" s="102" t="n"/>
      <c r="Z2486" s="104" t="n"/>
      <c r="AB2486" s="105">
        <f>IF($B2486="","",(COUNTIF(C2458:E2475,$B2486)+COUNTIF(C2458:E2475,$B2486&amp;" ~*")&gt;0)+(COUNTIF(G2458:I2475,$B2486)+COUNTIF(G2458:I2475,$B2486&amp;" ~*")&gt;0)+(COUNTIF(K2458:M2475,$B2486)+COUNTIF(K2458:M2475,$B2486&amp;" ~*")&gt;0)+(COUNTIF(O2458:Q2475,$B2486)+COUNTIF(O2458:Q2475,$B2486&amp;" ~*")&gt;0)+(COUNTIF(S2458:U2475,$B2486)+COUNTIF(S2458:U2475,$B2486&amp;" ~*")&gt;0)+(COUNTIF(W2458:W2475,$B2486)+COUNTIF(W2458:W2475,$B2486&amp;" ~*")&gt;0)+(COUNTIF(Y2458:Y2475,$B2486)+COUNTIF(Y2458:Y2475,$B2486&amp;" ~*")&gt;0))</f>
        <v/>
      </c>
      <c r="AC2486" s="38">
        <f>IF($B2486="","",(IFERROR(INDEX(Setup!$G$33:$G$40,MATCH(C2486,Setup!$B$33:$B$40,0)),0)=1)*(COUNTIF(C2458:E2475,$B2486)+COUNTIF(C2458:E2475,$B2486&amp;" ~*")&gt;0)+(IFERROR(INDEX(Setup!$G$33:$G$40,MATCH(G2486,Setup!$B$33:$B$40,0)),0)=1)*(COUNTIF(G2458:I2475,$B2486)+COUNTIF(G2458:I2475,$B2486&amp;" ~*")&gt;0)+(IFERROR(INDEX(Setup!$G$33:$G$40,MATCH(K2486,Setup!$B$33:$B$40,0)),0)=1)*(COUNTIF(K2458:M2475,$B2486)+COUNTIF(K2458:M2475,$B2486&amp;" ~*")&gt;0)+(IFERROR(INDEX(Setup!$G$33:$G$40,MATCH(O2486,Setup!$B$33:$B$40,0)),0)=1)*(COUNTIF(O2458:Q2475,$B2486)+COUNTIF(O2458:Q2475,$B2486&amp;" ~*")&gt;0)+(IFERROR(INDEX(Setup!$G$33:$G$40,MATCH(S2486,Setup!$B$33:$B$40,0)),0)=1)*(COUNTIF(S2458:U2475,$B2486)+COUNTIF(S2458:U2475,$B2486&amp;" ~*")&gt;0)+(IFERROR(INDEX(Setup!$G$33:$G$40,MATCH(W2486,Setup!$B$33:$B$40,0)),0)=1)*(COUNTIF(W2458:W2475,$B2486)+COUNTIF(W2458:W2475,$B2486&amp;" ~*")&gt;0)+(IFERROR(INDEX(Setup!$G$33:$G$40,MATCH(Y2486,Setup!$B$33:$B$40,0)),0)=1)*(COUNTIF(Y2458:Y2475,$B2486)+COUNTIF(Y2458:Y2475,$B2486&amp;" ~*")&gt;0))</f>
        <v/>
      </c>
    </row>
    <row r="2487" ht="15" customHeight="1">
      <c r="A2487" t="n">
        <v>50</v>
      </c>
      <c r="B2487" s="35">
        <f>IF(Setup!$B$16="","",Setup!$B$16)</f>
        <v/>
      </c>
      <c r="C2487" s="98" t="n"/>
      <c r="D2487" s="99" t="n"/>
      <c r="E2487" s="99" t="n"/>
      <c r="F2487" s="100" t="n"/>
      <c r="G2487" s="98" t="n"/>
      <c r="H2487" s="99" t="n"/>
      <c r="I2487" s="99" t="n"/>
      <c r="J2487" s="100" t="n"/>
      <c r="K2487" s="98" t="n"/>
      <c r="L2487" s="99" t="n"/>
      <c r="M2487" s="99" t="n"/>
      <c r="N2487" s="100" t="n"/>
      <c r="O2487" s="98" t="n"/>
      <c r="P2487" s="99" t="n"/>
      <c r="Q2487" s="99" t="n"/>
      <c r="R2487" s="100" t="n"/>
      <c r="S2487" s="98" t="n"/>
      <c r="T2487" s="99" t="n"/>
      <c r="U2487" s="99" t="n"/>
      <c r="V2487" s="100" t="n"/>
      <c r="W2487" s="98" t="n"/>
      <c r="X2487" s="100" t="n"/>
      <c r="Y2487" s="98" t="n"/>
      <c r="Z2487" s="100" t="n"/>
      <c r="AB2487" s="101">
        <f>IF($B2487="","",(COUNTIF(C2458:E2475,$B2487)+COUNTIF(C2458:E2475,$B2487&amp;" ~*")&gt;0)+(COUNTIF(G2458:I2475,$B2487)+COUNTIF(G2458:I2475,$B2487&amp;" ~*")&gt;0)+(COUNTIF(K2458:M2475,$B2487)+COUNTIF(K2458:M2475,$B2487&amp;" ~*")&gt;0)+(COUNTIF(O2458:Q2475,$B2487)+COUNTIF(O2458:Q2475,$B2487&amp;" ~*")&gt;0)+(COUNTIF(S2458:U2475,$B2487)+COUNTIF(S2458:U2475,$B2487&amp;" ~*")&gt;0)+(COUNTIF(W2458:W2475,$B2487)+COUNTIF(W2458:W2475,$B2487&amp;" ~*")&gt;0)+(COUNTIF(Y2458:Y2475,$B2487)+COUNTIF(Y2458:Y2475,$B2487&amp;" ~*")&gt;0))</f>
        <v/>
      </c>
      <c r="AC2487" s="36">
        <f>IF($B2487="","",(IFERROR(INDEX(Setup!$G$33:$G$40,MATCH(C2487,Setup!$B$33:$B$40,0)),0)=1)*(COUNTIF(C2458:E2475,$B2487)+COUNTIF(C2458:E2475,$B2487&amp;" ~*")&gt;0)+(IFERROR(INDEX(Setup!$G$33:$G$40,MATCH(G2487,Setup!$B$33:$B$40,0)),0)=1)*(COUNTIF(G2458:I2475,$B2487)+COUNTIF(G2458:I2475,$B2487&amp;" ~*")&gt;0)+(IFERROR(INDEX(Setup!$G$33:$G$40,MATCH(K2487,Setup!$B$33:$B$40,0)),0)=1)*(COUNTIF(K2458:M2475,$B2487)+COUNTIF(K2458:M2475,$B2487&amp;" ~*")&gt;0)+(IFERROR(INDEX(Setup!$G$33:$G$40,MATCH(O2487,Setup!$B$33:$B$40,0)),0)=1)*(COUNTIF(O2458:Q2475,$B2487)+COUNTIF(O2458:Q2475,$B2487&amp;" ~*")&gt;0)+(IFERROR(INDEX(Setup!$G$33:$G$40,MATCH(S2487,Setup!$B$33:$B$40,0)),0)=1)*(COUNTIF(S2458:U2475,$B2487)+COUNTIF(S2458:U2475,$B2487&amp;" ~*")&gt;0)+(IFERROR(INDEX(Setup!$G$33:$G$40,MATCH(W2487,Setup!$B$33:$B$40,0)),0)=1)*(COUNTIF(W2458:W2475,$B2487)+COUNTIF(W2458:W2475,$B2487&amp;" ~*")&gt;0)+(IFERROR(INDEX(Setup!$G$33:$G$40,MATCH(Y2487,Setup!$B$33:$B$40,0)),0)=1)*(COUNTIF(Y2458:Y2475,$B2487)+COUNTIF(Y2458:Y2475,$B2487&amp;" ~*")&gt;0))</f>
        <v/>
      </c>
    </row>
    <row r="2488" ht="15" customHeight="1">
      <c r="A2488" t="n">
        <v>50</v>
      </c>
      <c r="B2488" s="37">
        <f>IF(Setup!$B$17="","",Setup!$B$17)</f>
        <v/>
      </c>
      <c r="C2488" s="102" t="n"/>
      <c r="D2488" s="103" t="n"/>
      <c r="E2488" s="103" t="n"/>
      <c r="F2488" s="104" t="n"/>
      <c r="G2488" s="102" t="n"/>
      <c r="H2488" s="103" t="n"/>
      <c r="I2488" s="103" t="n"/>
      <c r="J2488" s="104" t="n"/>
      <c r="K2488" s="102" t="n"/>
      <c r="L2488" s="103" t="n"/>
      <c r="M2488" s="103" t="n"/>
      <c r="N2488" s="104" t="n"/>
      <c r="O2488" s="102" t="n"/>
      <c r="P2488" s="103" t="n"/>
      <c r="Q2488" s="103" t="n"/>
      <c r="R2488" s="104" t="n"/>
      <c r="S2488" s="102" t="n"/>
      <c r="T2488" s="103" t="n"/>
      <c r="U2488" s="103" t="n"/>
      <c r="V2488" s="104" t="n"/>
      <c r="W2488" s="102" t="n"/>
      <c r="X2488" s="104" t="n"/>
      <c r="Y2488" s="102" t="n"/>
      <c r="Z2488" s="104" t="n"/>
      <c r="AB2488" s="105">
        <f>IF($B2488="","",(COUNTIF(C2458:E2475,$B2488)+COUNTIF(C2458:E2475,$B2488&amp;" ~*")&gt;0)+(COUNTIF(G2458:I2475,$B2488)+COUNTIF(G2458:I2475,$B2488&amp;" ~*")&gt;0)+(COUNTIF(K2458:M2475,$B2488)+COUNTIF(K2458:M2475,$B2488&amp;" ~*")&gt;0)+(COUNTIF(O2458:Q2475,$B2488)+COUNTIF(O2458:Q2475,$B2488&amp;" ~*")&gt;0)+(COUNTIF(S2458:U2475,$B2488)+COUNTIF(S2458:U2475,$B2488&amp;" ~*")&gt;0)+(COUNTIF(W2458:W2475,$B2488)+COUNTIF(W2458:W2475,$B2488&amp;" ~*")&gt;0)+(COUNTIF(Y2458:Y2475,$B2488)+COUNTIF(Y2458:Y2475,$B2488&amp;" ~*")&gt;0))</f>
        <v/>
      </c>
      <c r="AC2488" s="38">
        <f>IF($B2488="","",(IFERROR(INDEX(Setup!$G$33:$G$40,MATCH(C2488,Setup!$B$33:$B$40,0)),0)=1)*(COUNTIF(C2458:E2475,$B2488)+COUNTIF(C2458:E2475,$B2488&amp;" ~*")&gt;0)+(IFERROR(INDEX(Setup!$G$33:$G$40,MATCH(G2488,Setup!$B$33:$B$40,0)),0)=1)*(COUNTIF(G2458:I2475,$B2488)+COUNTIF(G2458:I2475,$B2488&amp;" ~*")&gt;0)+(IFERROR(INDEX(Setup!$G$33:$G$40,MATCH(K2488,Setup!$B$33:$B$40,0)),0)=1)*(COUNTIF(K2458:M2475,$B2488)+COUNTIF(K2458:M2475,$B2488&amp;" ~*")&gt;0)+(IFERROR(INDEX(Setup!$G$33:$G$40,MATCH(O2488,Setup!$B$33:$B$40,0)),0)=1)*(COUNTIF(O2458:Q2475,$B2488)+COUNTIF(O2458:Q2475,$B2488&amp;" ~*")&gt;0)+(IFERROR(INDEX(Setup!$G$33:$G$40,MATCH(S2488,Setup!$B$33:$B$40,0)),0)=1)*(COUNTIF(S2458:U2475,$B2488)+COUNTIF(S2458:U2475,$B2488&amp;" ~*")&gt;0)+(IFERROR(INDEX(Setup!$G$33:$G$40,MATCH(W2488,Setup!$B$33:$B$40,0)),0)=1)*(COUNTIF(W2458:W2475,$B2488)+COUNTIF(W2458:W2475,$B2488&amp;" ~*")&gt;0)+(IFERROR(INDEX(Setup!$G$33:$G$40,MATCH(Y2488,Setup!$B$33:$B$40,0)),0)=1)*(COUNTIF(Y2458:Y2475,$B2488)+COUNTIF(Y2458:Y2475,$B2488&amp;" ~*")&gt;0))</f>
        <v/>
      </c>
    </row>
    <row r="2489" ht="15" customHeight="1">
      <c r="A2489" t="n">
        <v>50</v>
      </c>
      <c r="B2489" s="35">
        <f>IF(Setup!$B$18="","",Setup!$B$18)</f>
        <v/>
      </c>
      <c r="C2489" s="98" t="n"/>
      <c r="D2489" s="99" t="n"/>
      <c r="E2489" s="99" t="n"/>
      <c r="F2489" s="100" t="n"/>
      <c r="G2489" s="98" t="n"/>
      <c r="H2489" s="99" t="n"/>
      <c r="I2489" s="99" t="n"/>
      <c r="J2489" s="100" t="n"/>
      <c r="K2489" s="98" t="n"/>
      <c r="L2489" s="99" t="n"/>
      <c r="M2489" s="99" t="n"/>
      <c r="N2489" s="100" t="n"/>
      <c r="O2489" s="98" t="n"/>
      <c r="P2489" s="99" t="n"/>
      <c r="Q2489" s="99" t="n"/>
      <c r="R2489" s="100" t="n"/>
      <c r="S2489" s="98" t="n"/>
      <c r="T2489" s="99" t="n"/>
      <c r="U2489" s="99" t="n"/>
      <c r="V2489" s="100" t="n"/>
      <c r="W2489" s="98" t="n"/>
      <c r="X2489" s="100" t="n"/>
      <c r="Y2489" s="98" t="n"/>
      <c r="Z2489" s="100" t="n"/>
      <c r="AB2489" s="101">
        <f>IF($B2489="","",(COUNTIF(C2458:E2475,$B2489)+COUNTIF(C2458:E2475,$B2489&amp;" ~*")&gt;0)+(COUNTIF(G2458:I2475,$B2489)+COUNTIF(G2458:I2475,$B2489&amp;" ~*")&gt;0)+(COUNTIF(K2458:M2475,$B2489)+COUNTIF(K2458:M2475,$B2489&amp;" ~*")&gt;0)+(COUNTIF(O2458:Q2475,$B2489)+COUNTIF(O2458:Q2475,$B2489&amp;" ~*")&gt;0)+(COUNTIF(S2458:U2475,$B2489)+COUNTIF(S2458:U2475,$B2489&amp;" ~*")&gt;0)+(COUNTIF(W2458:W2475,$B2489)+COUNTIF(W2458:W2475,$B2489&amp;" ~*")&gt;0)+(COUNTIF(Y2458:Y2475,$B2489)+COUNTIF(Y2458:Y2475,$B2489&amp;" ~*")&gt;0))</f>
        <v/>
      </c>
      <c r="AC2489" s="36">
        <f>IF($B2489="","",(IFERROR(INDEX(Setup!$G$33:$G$40,MATCH(C2489,Setup!$B$33:$B$40,0)),0)=1)*(COUNTIF(C2458:E2475,$B2489)+COUNTIF(C2458:E2475,$B2489&amp;" ~*")&gt;0)+(IFERROR(INDEX(Setup!$G$33:$G$40,MATCH(G2489,Setup!$B$33:$B$40,0)),0)=1)*(COUNTIF(G2458:I2475,$B2489)+COUNTIF(G2458:I2475,$B2489&amp;" ~*")&gt;0)+(IFERROR(INDEX(Setup!$G$33:$G$40,MATCH(K2489,Setup!$B$33:$B$40,0)),0)=1)*(COUNTIF(K2458:M2475,$B2489)+COUNTIF(K2458:M2475,$B2489&amp;" ~*")&gt;0)+(IFERROR(INDEX(Setup!$G$33:$G$40,MATCH(O2489,Setup!$B$33:$B$40,0)),0)=1)*(COUNTIF(O2458:Q2475,$B2489)+COUNTIF(O2458:Q2475,$B2489&amp;" ~*")&gt;0)+(IFERROR(INDEX(Setup!$G$33:$G$40,MATCH(S2489,Setup!$B$33:$B$40,0)),0)=1)*(COUNTIF(S2458:U2475,$B2489)+COUNTIF(S2458:U2475,$B2489&amp;" ~*")&gt;0)+(IFERROR(INDEX(Setup!$G$33:$G$40,MATCH(W2489,Setup!$B$33:$B$40,0)),0)=1)*(COUNTIF(W2458:W2475,$B2489)+COUNTIF(W2458:W2475,$B2489&amp;" ~*")&gt;0)+(IFERROR(INDEX(Setup!$G$33:$G$40,MATCH(Y2489,Setup!$B$33:$B$40,0)),0)=1)*(COUNTIF(Y2458:Y2475,$B2489)+COUNTIF(Y2458:Y2475,$B2489&amp;" ~*")&gt;0))</f>
        <v/>
      </c>
    </row>
    <row r="2490" ht="15" customHeight="1">
      <c r="A2490" t="n">
        <v>50</v>
      </c>
      <c r="B2490" s="37">
        <f>IF(Setup!$B$19="","",Setup!$B$19)</f>
        <v/>
      </c>
      <c r="C2490" s="102" t="n"/>
      <c r="D2490" s="103" t="n"/>
      <c r="E2490" s="103" t="n"/>
      <c r="F2490" s="104" t="n"/>
      <c r="G2490" s="102" t="n"/>
      <c r="H2490" s="103" t="n"/>
      <c r="I2490" s="103" t="n"/>
      <c r="J2490" s="104" t="n"/>
      <c r="K2490" s="102" t="n"/>
      <c r="L2490" s="103" t="n"/>
      <c r="M2490" s="103" t="n"/>
      <c r="N2490" s="104" t="n"/>
      <c r="O2490" s="102" t="n"/>
      <c r="P2490" s="103" t="n"/>
      <c r="Q2490" s="103" t="n"/>
      <c r="R2490" s="104" t="n"/>
      <c r="S2490" s="102" t="n"/>
      <c r="T2490" s="103" t="n"/>
      <c r="U2490" s="103" t="n"/>
      <c r="V2490" s="104" t="n"/>
      <c r="W2490" s="102" t="n"/>
      <c r="X2490" s="104" t="n"/>
      <c r="Y2490" s="102" t="n"/>
      <c r="Z2490" s="104" t="n"/>
      <c r="AB2490" s="105">
        <f>IF($B2490="","",(COUNTIF(C2458:E2475,$B2490)+COUNTIF(C2458:E2475,$B2490&amp;" ~*")&gt;0)+(COUNTIF(G2458:I2475,$B2490)+COUNTIF(G2458:I2475,$B2490&amp;" ~*")&gt;0)+(COUNTIF(K2458:M2475,$B2490)+COUNTIF(K2458:M2475,$B2490&amp;" ~*")&gt;0)+(COUNTIF(O2458:Q2475,$B2490)+COUNTIF(O2458:Q2475,$B2490&amp;" ~*")&gt;0)+(COUNTIF(S2458:U2475,$B2490)+COUNTIF(S2458:U2475,$B2490&amp;" ~*")&gt;0)+(COUNTIF(W2458:W2475,$B2490)+COUNTIF(W2458:W2475,$B2490&amp;" ~*")&gt;0)+(COUNTIF(Y2458:Y2475,$B2490)+COUNTIF(Y2458:Y2475,$B2490&amp;" ~*")&gt;0))</f>
        <v/>
      </c>
      <c r="AC2490" s="38">
        <f>IF($B2490="","",(IFERROR(INDEX(Setup!$G$33:$G$40,MATCH(C2490,Setup!$B$33:$B$40,0)),0)=1)*(COUNTIF(C2458:E2475,$B2490)+COUNTIF(C2458:E2475,$B2490&amp;" ~*")&gt;0)+(IFERROR(INDEX(Setup!$G$33:$G$40,MATCH(G2490,Setup!$B$33:$B$40,0)),0)=1)*(COUNTIF(G2458:I2475,$B2490)+COUNTIF(G2458:I2475,$B2490&amp;" ~*")&gt;0)+(IFERROR(INDEX(Setup!$G$33:$G$40,MATCH(K2490,Setup!$B$33:$B$40,0)),0)=1)*(COUNTIF(K2458:M2475,$B2490)+COUNTIF(K2458:M2475,$B2490&amp;" ~*")&gt;0)+(IFERROR(INDEX(Setup!$G$33:$G$40,MATCH(O2490,Setup!$B$33:$B$40,0)),0)=1)*(COUNTIF(O2458:Q2475,$B2490)+COUNTIF(O2458:Q2475,$B2490&amp;" ~*")&gt;0)+(IFERROR(INDEX(Setup!$G$33:$G$40,MATCH(S2490,Setup!$B$33:$B$40,0)),0)=1)*(COUNTIF(S2458:U2475,$B2490)+COUNTIF(S2458:U2475,$B2490&amp;" ~*")&gt;0)+(IFERROR(INDEX(Setup!$G$33:$G$40,MATCH(W2490,Setup!$B$33:$B$40,0)),0)=1)*(COUNTIF(W2458:W2475,$B2490)+COUNTIF(W2458:W2475,$B2490&amp;" ~*")&gt;0)+(IFERROR(INDEX(Setup!$G$33:$G$40,MATCH(Y2490,Setup!$B$33:$B$40,0)),0)=1)*(COUNTIF(Y2458:Y2475,$B2490)+COUNTIF(Y2458:Y2475,$B2490&amp;" ~*")&gt;0))</f>
        <v/>
      </c>
    </row>
    <row r="2491" ht="15" customHeight="1">
      <c r="A2491" t="n">
        <v>50</v>
      </c>
      <c r="B2491" s="35">
        <f>IF(Setup!$B$20="","",Setup!$B$20)</f>
        <v/>
      </c>
      <c r="C2491" s="98" t="n"/>
      <c r="D2491" s="99" t="n"/>
      <c r="E2491" s="99" t="n"/>
      <c r="F2491" s="100" t="n"/>
      <c r="G2491" s="98" t="n"/>
      <c r="H2491" s="99" t="n"/>
      <c r="I2491" s="99" t="n"/>
      <c r="J2491" s="100" t="n"/>
      <c r="K2491" s="98" t="n"/>
      <c r="L2491" s="99" t="n"/>
      <c r="M2491" s="99" t="n"/>
      <c r="N2491" s="100" t="n"/>
      <c r="O2491" s="98" t="n"/>
      <c r="P2491" s="99" t="n"/>
      <c r="Q2491" s="99" t="n"/>
      <c r="R2491" s="100" t="n"/>
      <c r="S2491" s="98" t="n"/>
      <c r="T2491" s="99" t="n"/>
      <c r="U2491" s="99" t="n"/>
      <c r="V2491" s="100" t="n"/>
      <c r="W2491" s="98" t="n"/>
      <c r="X2491" s="100" t="n"/>
      <c r="Y2491" s="98" t="n"/>
      <c r="Z2491" s="100" t="n"/>
      <c r="AB2491" s="101">
        <f>IF($B2491="","",(COUNTIF(C2458:E2475,$B2491)+COUNTIF(C2458:E2475,$B2491&amp;" ~*")&gt;0)+(COUNTIF(G2458:I2475,$B2491)+COUNTIF(G2458:I2475,$B2491&amp;" ~*")&gt;0)+(COUNTIF(K2458:M2475,$B2491)+COUNTIF(K2458:M2475,$B2491&amp;" ~*")&gt;0)+(COUNTIF(O2458:Q2475,$B2491)+COUNTIF(O2458:Q2475,$B2491&amp;" ~*")&gt;0)+(COUNTIF(S2458:U2475,$B2491)+COUNTIF(S2458:U2475,$B2491&amp;" ~*")&gt;0)+(COUNTIF(W2458:W2475,$B2491)+COUNTIF(W2458:W2475,$B2491&amp;" ~*")&gt;0)+(COUNTIF(Y2458:Y2475,$B2491)+COUNTIF(Y2458:Y2475,$B2491&amp;" ~*")&gt;0))</f>
        <v/>
      </c>
      <c r="AC2491" s="36">
        <f>IF($B2491="","",(IFERROR(INDEX(Setup!$G$33:$G$40,MATCH(C2491,Setup!$B$33:$B$40,0)),0)=1)*(COUNTIF(C2458:E2475,$B2491)+COUNTIF(C2458:E2475,$B2491&amp;" ~*")&gt;0)+(IFERROR(INDEX(Setup!$G$33:$G$40,MATCH(G2491,Setup!$B$33:$B$40,0)),0)=1)*(COUNTIF(G2458:I2475,$B2491)+COUNTIF(G2458:I2475,$B2491&amp;" ~*")&gt;0)+(IFERROR(INDEX(Setup!$G$33:$G$40,MATCH(K2491,Setup!$B$33:$B$40,0)),0)=1)*(COUNTIF(K2458:M2475,$B2491)+COUNTIF(K2458:M2475,$B2491&amp;" ~*")&gt;0)+(IFERROR(INDEX(Setup!$G$33:$G$40,MATCH(O2491,Setup!$B$33:$B$40,0)),0)=1)*(COUNTIF(O2458:Q2475,$B2491)+COUNTIF(O2458:Q2475,$B2491&amp;" ~*")&gt;0)+(IFERROR(INDEX(Setup!$G$33:$G$40,MATCH(S2491,Setup!$B$33:$B$40,0)),0)=1)*(COUNTIF(S2458:U2475,$B2491)+COUNTIF(S2458:U2475,$B2491&amp;" ~*")&gt;0)+(IFERROR(INDEX(Setup!$G$33:$G$40,MATCH(W2491,Setup!$B$33:$B$40,0)),0)=1)*(COUNTIF(W2458:W2475,$B2491)+COUNTIF(W2458:W2475,$B2491&amp;" ~*")&gt;0)+(IFERROR(INDEX(Setup!$G$33:$G$40,MATCH(Y2491,Setup!$B$33:$B$40,0)),0)=1)*(COUNTIF(Y2458:Y2475,$B2491)+COUNTIF(Y2458:Y2475,$B2491&amp;" ~*")&gt;0))</f>
        <v/>
      </c>
    </row>
    <row r="2492" ht="15" customHeight="1">
      <c r="A2492" t="n">
        <v>50</v>
      </c>
      <c r="B2492" s="37">
        <f>IF(Setup!$B$21="","",Setup!$B$21)</f>
        <v/>
      </c>
      <c r="C2492" s="102" t="n"/>
      <c r="D2492" s="103" t="n"/>
      <c r="E2492" s="103" t="n"/>
      <c r="F2492" s="104" t="n"/>
      <c r="G2492" s="102" t="n"/>
      <c r="H2492" s="103" t="n"/>
      <c r="I2492" s="103" t="n"/>
      <c r="J2492" s="104" t="n"/>
      <c r="K2492" s="102" t="n"/>
      <c r="L2492" s="103" t="n"/>
      <c r="M2492" s="103" t="n"/>
      <c r="N2492" s="104" t="n"/>
      <c r="O2492" s="102" t="n"/>
      <c r="P2492" s="103" t="n"/>
      <c r="Q2492" s="103" t="n"/>
      <c r="R2492" s="104" t="n"/>
      <c r="S2492" s="102" t="n"/>
      <c r="T2492" s="103" t="n"/>
      <c r="U2492" s="103" t="n"/>
      <c r="V2492" s="104" t="n"/>
      <c r="W2492" s="102" t="n"/>
      <c r="X2492" s="104" t="n"/>
      <c r="Y2492" s="102" t="n"/>
      <c r="Z2492" s="104" t="n"/>
      <c r="AB2492" s="105">
        <f>IF($B2492="","",(COUNTIF(C2458:E2475,$B2492)+COUNTIF(C2458:E2475,$B2492&amp;" ~*")&gt;0)+(COUNTIF(G2458:I2475,$B2492)+COUNTIF(G2458:I2475,$B2492&amp;" ~*")&gt;0)+(COUNTIF(K2458:M2475,$B2492)+COUNTIF(K2458:M2475,$B2492&amp;" ~*")&gt;0)+(COUNTIF(O2458:Q2475,$B2492)+COUNTIF(O2458:Q2475,$B2492&amp;" ~*")&gt;0)+(COUNTIF(S2458:U2475,$B2492)+COUNTIF(S2458:U2475,$B2492&amp;" ~*")&gt;0)+(COUNTIF(W2458:W2475,$B2492)+COUNTIF(W2458:W2475,$B2492&amp;" ~*")&gt;0)+(COUNTIF(Y2458:Y2475,$B2492)+COUNTIF(Y2458:Y2475,$B2492&amp;" ~*")&gt;0))</f>
        <v/>
      </c>
      <c r="AC2492" s="38">
        <f>IF($B2492="","",(IFERROR(INDEX(Setup!$G$33:$G$40,MATCH(C2492,Setup!$B$33:$B$40,0)),0)=1)*(COUNTIF(C2458:E2475,$B2492)+COUNTIF(C2458:E2475,$B2492&amp;" ~*")&gt;0)+(IFERROR(INDEX(Setup!$G$33:$G$40,MATCH(G2492,Setup!$B$33:$B$40,0)),0)=1)*(COUNTIF(G2458:I2475,$B2492)+COUNTIF(G2458:I2475,$B2492&amp;" ~*")&gt;0)+(IFERROR(INDEX(Setup!$G$33:$G$40,MATCH(K2492,Setup!$B$33:$B$40,0)),0)=1)*(COUNTIF(K2458:M2475,$B2492)+COUNTIF(K2458:M2475,$B2492&amp;" ~*")&gt;0)+(IFERROR(INDEX(Setup!$G$33:$G$40,MATCH(O2492,Setup!$B$33:$B$40,0)),0)=1)*(COUNTIF(O2458:Q2475,$B2492)+COUNTIF(O2458:Q2475,$B2492&amp;" ~*")&gt;0)+(IFERROR(INDEX(Setup!$G$33:$G$40,MATCH(S2492,Setup!$B$33:$B$40,0)),0)=1)*(COUNTIF(S2458:U2475,$B2492)+COUNTIF(S2458:U2475,$B2492&amp;" ~*")&gt;0)+(IFERROR(INDEX(Setup!$G$33:$G$40,MATCH(W2492,Setup!$B$33:$B$40,0)),0)=1)*(COUNTIF(W2458:W2475,$B2492)+COUNTIF(W2458:W2475,$B2492&amp;" ~*")&gt;0)+(IFERROR(INDEX(Setup!$G$33:$G$40,MATCH(Y2492,Setup!$B$33:$B$40,0)),0)=1)*(COUNTIF(Y2458:Y2475,$B2492)+COUNTIF(Y2458:Y2475,$B2492&amp;" ~*")&gt;0))</f>
        <v/>
      </c>
    </row>
    <row r="2493" ht="15" customHeight="1">
      <c r="A2493" t="n">
        <v>50</v>
      </c>
      <c r="B2493" s="35">
        <f>IF(Setup!$B$22="","",Setup!$B$22)</f>
        <v/>
      </c>
      <c r="C2493" s="98" t="n"/>
      <c r="D2493" s="99" t="n"/>
      <c r="E2493" s="99" t="n"/>
      <c r="F2493" s="100" t="n"/>
      <c r="G2493" s="98" t="n"/>
      <c r="H2493" s="99" t="n"/>
      <c r="I2493" s="99" t="n"/>
      <c r="J2493" s="100" t="n"/>
      <c r="K2493" s="98" t="n"/>
      <c r="L2493" s="99" t="n"/>
      <c r="M2493" s="99" t="n"/>
      <c r="N2493" s="100" t="n"/>
      <c r="O2493" s="98" t="n"/>
      <c r="P2493" s="99" t="n"/>
      <c r="Q2493" s="99" t="n"/>
      <c r="R2493" s="100" t="n"/>
      <c r="S2493" s="98" t="n"/>
      <c r="T2493" s="99" t="n"/>
      <c r="U2493" s="99" t="n"/>
      <c r="V2493" s="100" t="n"/>
      <c r="W2493" s="98" t="n"/>
      <c r="X2493" s="100" t="n"/>
      <c r="Y2493" s="98" t="n"/>
      <c r="Z2493" s="100" t="n"/>
      <c r="AB2493" s="101">
        <f>IF($B2493="","",(COUNTIF(C2458:E2475,$B2493)+COUNTIF(C2458:E2475,$B2493&amp;" ~*")&gt;0)+(COUNTIF(G2458:I2475,$B2493)+COUNTIF(G2458:I2475,$B2493&amp;" ~*")&gt;0)+(COUNTIF(K2458:M2475,$B2493)+COUNTIF(K2458:M2475,$B2493&amp;" ~*")&gt;0)+(COUNTIF(O2458:Q2475,$B2493)+COUNTIF(O2458:Q2475,$B2493&amp;" ~*")&gt;0)+(COUNTIF(S2458:U2475,$B2493)+COUNTIF(S2458:U2475,$B2493&amp;" ~*")&gt;0)+(COUNTIF(W2458:W2475,$B2493)+COUNTIF(W2458:W2475,$B2493&amp;" ~*")&gt;0)+(COUNTIF(Y2458:Y2475,$B2493)+COUNTIF(Y2458:Y2475,$B2493&amp;" ~*")&gt;0))</f>
        <v/>
      </c>
      <c r="AC2493" s="36">
        <f>IF($B2493="","",(IFERROR(INDEX(Setup!$G$33:$G$40,MATCH(C2493,Setup!$B$33:$B$40,0)),0)=1)*(COUNTIF(C2458:E2475,$B2493)+COUNTIF(C2458:E2475,$B2493&amp;" ~*")&gt;0)+(IFERROR(INDEX(Setup!$G$33:$G$40,MATCH(G2493,Setup!$B$33:$B$40,0)),0)=1)*(COUNTIF(G2458:I2475,$B2493)+COUNTIF(G2458:I2475,$B2493&amp;" ~*")&gt;0)+(IFERROR(INDEX(Setup!$G$33:$G$40,MATCH(K2493,Setup!$B$33:$B$40,0)),0)=1)*(COUNTIF(K2458:M2475,$B2493)+COUNTIF(K2458:M2475,$B2493&amp;" ~*")&gt;0)+(IFERROR(INDEX(Setup!$G$33:$G$40,MATCH(O2493,Setup!$B$33:$B$40,0)),0)=1)*(COUNTIF(O2458:Q2475,$B2493)+COUNTIF(O2458:Q2475,$B2493&amp;" ~*")&gt;0)+(IFERROR(INDEX(Setup!$G$33:$G$40,MATCH(S2493,Setup!$B$33:$B$40,0)),0)=1)*(COUNTIF(S2458:U2475,$B2493)+COUNTIF(S2458:U2475,$B2493&amp;" ~*")&gt;0)+(IFERROR(INDEX(Setup!$G$33:$G$40,MATCH(W2493,Setup!$B$33:$B$40,0)),0)=1)*(COUNTIF(W2458:W2475,$B2493)+COUNTIF(W2458:W2475,$B2493&amp;" ~*")&gt;0)+(IFERROR(INDEX(Setup!$G$33:$G$40,MATCH(Y2493,Setup!$B$33:$B$40,0)),0)=1)*(COUNTIF(Y2458:Y2475,$B2493)+COUNTIF(Y2458:Y2475,$B2493&amp;" ~*")&gt;0))</f>
        <v/>
      </c>
    </row>
    <row r="2494" ht="15" customHeight="1">
      <c r="A2494" t="n">
        <v>50</v>
      </c>
      <c r="B2494" s="37">
        <f>IF(Setup!$B$23="","",Setup!$B$23)</f>
        <v/>
      </c>
      <c r="C2494" s="102" t="n"/>
      <c r="D2494" s="103" t="n"/>
      <c r="E2494" s="103" t="n"/>
      <c r="F2494" s="104" t="n"/>
      <c r="G2494" s="102" t="n"/>
      <c r="H2494" s="103" t="n"/>
      <c r="I2494" s="103" t="n"/>
      <c r="J2494" s="104" t="n"/>
      <c r="K2494" s="102" t="n"/>
      <c r="L2494" s="103" t="n"/>
      <c r="M2494" s="103" t="n"/>
      <c r="N2494" s="104" t="n"/>
      <c r="O2494" s="102" t="n"/>
      <c r="P2494" s="103" t="n"/>
      <c r="Q2494" s="103" t="n"/>
      <c r="R2494" s="104" t="n"/>
      <c r="S2494" s="102" t="n"/>
      <c r="T2494" s="103" t="n"/>
      <c r="U2494" s="103" t="n"/>
      <c r="V2494" s="104" t="n"/>
      <c r="W2494" s="102" t="n"/>
      <c r="X2494" s="104" t="n"/>
      <c r="Y2494" s="102" t="n"/>
      <c r="Z2494" s="104" t="n"/>
      <c r="AB2494" s="105">
        <f>IF($B2494="","",(COUNTIF(C2458:E2475,$B2494)+COUNTIF(C2458:E2475,$B2494&amp;" ~*")&gt;0)+(COUNTIF(G2458:I2475,$B2494)+COUNTIF(G2458:I2475,$B2494&amp;" ~*")&gt;0)+(COUNTIF(K2458:M2475,$B2494)+COUNTIF(K2458:M2475,$B2494&amp;" ~*")&gt;0)+(COUNTIF(O2458:Q2475,$B2494)+COUNTIF(O2458:Q2475,$B2494&amp;" ~*")&gt;0)+(COUNTIF(S2458:U2475,$B2494)+COUNTIF(S2458:U2475,$B2494&amp;" ~*")&gt;0)+(COUNTIF(W2458:W2475,$B2494)+COUNTIF(W2458:W2475,$B2494&amp;" ~*")&gt;0)+(COUNTIF(Y2458:Y2475,$B2494)+COUNTIF(Y2458:Y2475,$B2494&amp;" ~*")&gt;0))</f>
        <v/>
      </c>
      <c r="AC2494" s="38">
        <f>IF($B2494="","",(IFERROR(INDEX(Setup!$G$33:$G$40,MATCH(C2494,Setup!$B$33:$B$40,0)),0)=1)*(COUNTIF(C2458:E2475,$B2494)+COUNTIF(C2458:E2475,$B2494&amp;" ~*")&gt;0)+(IFERROR(INDEX(Setup!$G$33:$G$40,MATCH(G2494,Setup!$B$33:$B$40,0)),0)=1)*(COUNTIF(G2458:I2475,$B2494)+COUNTIF(G2458:I2475,$B2494&amp;" ~*")&gt;0)+(IFERROR(INDEX(Setup!$G$33:$G$40,MATCH(K2494,Setup!$B$33:$B$40,0)),0)=1)*(COUNTIF(K2458:M2475,$B2494)+COUNTIF(K2458:M2475,$B2494&amp;" ~*")&gt;0)+(IFERROR(INDEX(Setup!$G$33:$G$40,MATCH(O2494,Setup!$B$33:$B$40,0)),0)=1)*(COUNTIF(O2458:Q2475,$B2494)+COUNTIF(O2458:Q2475,$B2494&amp;" ~*")&gt;0)+(IFERROR(INDEX(Setup!$G$33:$G$40,MATCH(S2494,Setup!$B$33:$B$40,0)),0)=1)*(COUNTIF(S2458:U2475,$B2494)+COUNTIF(S2458:U2475,$B2494&amp;" ~*")&gt;0)+(IFERROR(INDEX(Setup!$G$33:$G$40,MATCH(W2494,Setup!$B$33:$B$40,0)),0)=1)*(COUNTIF(W2458:W2475,$B2494)+COUNTIF(W2458:W2475,$B2494&amp;" ~*")&gt;0)+(IFERROR(INDEX(Setup!$G$33:$G$40,MATCH(Y2494,Setup!$B$33:$B$40,0)),0)=1)*(COUNTIF(Y2458:Y2475,$B2494)+COUNTIF(Y2458:Y2475,$B2494&amp;" ~*")&gt;0))</f>
        <v/>
      </c>
    </row>
    <row r="2495" ht="15" customHeight="1">
      <c r="A2495" t="n">
        <v>50</v>
      </c>
      <c r="B2495" s="35">
        <f>IF(Setup!$B$24="","",Setup!$B$24)</f>
        <v/>
      </c>
      <c r="C2495" s="98" t="n"/>
      <c r="D2495" s="99" t="n"/>
      <c r="E2495" s="99" t="n"/>
      <c r="F2495" s="100" t="n"/>
      <c r="G2495" s="98" t="n"/>
      <c r="H2495" s="99" t="n"/>
      <c r="I2495" s="99" t="n"/>
      <c r="J2495" s="100" t="n"/>
      <c r="K2495" s="98" t="n"/>
      <c r="L2495" s="99" t="n"/>
      <c r="M2495" s="99" t="n"/>
      <c r="N2495" s="100" t="n"/>
      <c r="O2495" s="98" t="n"/>
      <c r="P2495" s="99" t="n"/>
      <c r="Q2495" s="99" t="n"/>
      <c r="R2495" s="100" t="n"/>
      <c r="S2495" s="98" t="n"/>
      <c r="T2495" s="99" t="n"/>
      <c r="U2495" s="99" t="n"/>
      <c r="V2495" s="100" t="n"/>
      <c r="W2495" s="98" t="n"/>
      <c r="X2495" s="100" t="n"/>
      <c r="Y2495" s="98" t="n"/>
      <c r="Z2495" s="100" t="n"/>
      <c r="AB2495" s="101">
        <f>IF($B2495="","",(COUNTIF(C2458:E2475,$B2495)+COUNTIF(C2458:E2475,$B2495&amp;" ~*")&gt;0)+(COUNTIF(G2458:I2475,$B2495)+COUNTIF(G2458:I2475,$B2495&amp;" ~*")&gt;0)+(COUNTIF(K2458:M2475,$B2495)+COUNTIF(K2458:M2475,$B2495&amp;" ~*")&gt;0)+(COUNTIF(O2458:Q2475,$B2495)+COUNTIF(O2458:Q2475,$B2495&amp;" ~*")&gt;0)+(COUNTIF(S2458:U2475,$B2495)+COUNTIF(S2458:U2475,$B2495&amp;" ~*")&gt;0)+(COUNTIF(W2458:W2475,$B2495)+COUNTIF(W2458:W2475,$B2495&amp;" ~*")&gt;0)+(COUNTIF(Y2458:Y2475,$B2495)+COUNTIF(Y2458:Y2475,$B2495&amp;" ~*")&gt;0))</f>
        <v/>
      </c>
      <c r="AC2495" s="36">
        <f>IF($B2495="","",(IFERROR(INDEX(Setup!$G$33:$G$40,MATCH(C2495,Setup!$B$33:$B$40,0)),0)=1)*(COUNTIF(C2458:E2475,$B2495)+COUNTIF(C2458:E2475,$B2495&amp;" ~*")&gt;0)+(IFERROR(INDEX(Setup!$G$33:$G$40,MATCH(G2495,Setup!$B$33:$B$40,0)),0)=1)*(COUNTIF(G2458:I2475,$B2495)+COUNTIF(G2458:I2475,$B2495&amp;" ~*")&gt;0)+(IFERROR(INDEX(Setup!$G$33:$G$40,MATCH(K2495,Setup!$B$33:$B$40,0)),0)=1)*(COUNTIF(K2458:M2475,$B2495)+COUNTIF(K2458:M2475,$B2495&amp;" ~*")&gt;0)+(IFERROR(INDEX(Setup!$G$33:$G$40,MATCH(O2495,Setup!$B$33:$B$40,0)),0)=1)*(COUNTIF(O2458:Q2475,$B2495)+COUNTIF(O2458:Q2475,$B2495&amp;" ~*")&gt;0)+(IFERROR(INDEX(Setup!$G$33:$G$40,MATCH(S2495,Setup!$B$33:$B$40,0)),0)=1)*(COUNTIF(S2458:U2475,$B2495)+COUNTIF(S2458:U2475,$B2495&amp;" ~*")&gt;0)+(IFERROR(INDEX(Setup!$G$33:$G$40,MATCH(W2495,Setup!$B$33:$B$40,0)),0)=1)*(COUNTIF(W2458:W2475,$B2495)+COUNTIF(W2458:W2475,$B2495&amp;" ~*")&gt;0)+(IFERROR(INDEX(Setup!$G$33:$G$40,MATCH(Y2495,Setup!$B$33:$B$40,0)),0)=1)*(COUNTIF(Y2458:Y2475,$B2495)+COUNTIF(Y2458:Y2475,$B2495&amp;" ~*")&gt;0))</f>
        <v/>
      </c>
    </row>
    <row r="2496" ht="15" customHeight="1">
      <c r="A2496" t="n">
        <v>50</v>
      </c>
      <c r="B2496" s="37">
        <f>IF(Setup!$B$25="","",Setup!$B$25)</f>
        <v/>
      </c>
      <c r="C2496" s="102" t="n"/>
      <c r="D2496" s="103" t="n"/>
      <c r="E2496" s="103" t="n"/>
      <c r="F2496" s="104" t="n"/>
      <c r="G2496" s="102" t="n"/>
      <c r="H2496" s="103" t="n"/>
      <c r="I2496" s="103" t="n"/>
      <c r="J2496" s="104" t="n"/>
      <c r="K2496" s="102" t="n"/>
      <c r="L2496" s="103" t="n"/>
      <c r="M2496" s="103" t="n"/>
      <c r="N2496" s="104" t="n"/>
      <c r="O2496" s="102" t="n"/>
      <c r="P2496" s="103" t="n"/>
      <c r="Q2496" s="103" t="n"/>
      <c r="R2496" s="104" t="n"/>
      <c r="S2496" s="102" t="n"/>
      <c r="T2496" s="103" t="n"/>
      <c r="U2496" s="103" t="n"/>
      <c r="V2496" s="104" t="n"/>
      <c r="W2496" s="102" t="n"/>
      <c r="X2496" s="104" t="n"/>
      <c r="Y2496" s="102" t="n"/>
      <c r="Z2496" s="104" t="n"/>
      <c r="AB2496" s="105">
        <f>IF($B2496="","",(COUNTIF(C2458:E2475,$B2496)+COUNTIF(C2458:E2475,$B2496&amp;" ~*")&gt;0)+(COUNTIF(G2458:I2475,$B2496)+COUNTIF(G2458:I2475,$B2496&amp;" ~*")&gt;0)+(COUNTIF(K2458:M2475,$B2496)+COUNTIF(K2458:M2475,$B2496&amp;" ~*")&gt;0)+(COUNTIF(O2458:Q2475,$B2496)+COUNTIF(O2458:Q2475,$B2496&amp;" ~*")&gt;0)+(COUNTIF(S2458:U2475,$B2496)+COUNTIF(S2458:U2475,$B2496&amp;" ~*")&gt;0)+(COUNTIF(W2458:W2475,$B2496)+COUNTIF(W2458:W2475,$B2496&amp;" ~*")&gt;0)+(COUNTIF(Y2458:Y2475,$B2496)+COUNTIF(Y2458:Y2475,$B2496&amp;" ~*")&gt;0))</f>
        <v/>
      </c>
      <c r="AC2496" s="38">
        <f>IF($B2496="","",(IFERROR(INDEX(Setup!$G$33:$G$40,MATCH(C2496,Setup!$B$33:$B$40,0)),0)=1)*(COUNTIF(C2458:E2475,$B2496)+COUNTIF(C2458:E2475,$B2496&amp;" ~*")&gt;0)+(IFERROR(INDEX(Setup!$G$33:$G$40,MATCH(G2496,Setup!$B$33:$B$40,0)),0)=1)*(COUNTIF(G2458:I2475,$B2496)+COUNTIF(G2458:I2475,$B2496&amp;" ~*")&gt;0)+(IFERROR(INDEX(Setup!$G$33:$G$40,MATCH(K2496,Setup!$B$33:$B$40,0)),0)=1)*(COUNTIF(K2458:M2475,$B2496)+COUNTIF(K2458:M2475,$B2496&amp;" ~*")&gt;0)+(IFERROR(INDEX(Setup!$G$33:$G$40,MATCH(O2496,Setup!$B$33:$B$40,0)),0)=1)*(COUNTIF(O2458:Q2475,$B2496)+COUNTIF(O2458:Q2475,$B2496&amp;" ~*")&gt;0)+(IFERROR(INDEX(Setup!$G$33:$G$40,MATCH(S2496,Setup!$B$33:$B$40,0)),0)=1)*(COUNTIF(S2458:U2475,$B2496)+COUNTIF(S2458:U2475,$B2496&amp;" ~*")&gt;0)+(IFERROR(INDEX(Setup!$G$33:$G$40,MATCH(W2496,Setup!$B$33:$B$40,0)),0)=1)*(COUNTIF(W2458:W2475,$B2496)+COUNTIF(W2458:W2475,$B2496&amp;" ~*")&gt;0)+(IFERROR(INDEX(Setup!$G$33:$G$40,MATCH(Y2496,Setup!$B$33:$B$40,0)),0)=1)*(COUNTIF(Y2458:Y2475,$B2496)+COUNTIF(Y2458:Y2475,$B2496&amp;" ~*")&gt;0))</f>
        <v/>
      </c>
    </row>
    <row r="2497" ht="15" customHeight="1">
      <c r="A2497" t="n">
        <v>50</v>
      </c>
      <c r="B2497" s="35">
        <f>IF(Setup!$B$26="","",Setup!$B$26)</f>
        <v/>
      </c>
      <c r="C2497" s="98" t="n"/>
      <c r="D2497" s="99" t="n"/>
      <c r="E2497" s="99" t="n"/>
      <c r="F2497" s="100" t="n"/>
      <c r="G2497" s="98" t="n"/>
      <c r="H2497" s="99" t="n"/>
      <c r="I2497" s="99" t="n"/>
      <c r="J2497" s="100" t="n"/>
      <c r="K2497" s="98" t="n"/>
      <c r="L2497" s="99" t="n"/>
      <c r="M2497" s="99" t="n"/>
      <c r="N2497" s="100" t="n"/>
      <c r="O2497" s="98" t="n"/>
      <c r="P2497" s="99" t="n"/>
      <c r="Q2497" s="99" t="n"/>
      <c r="R2497" s="100" t="n"/>
      <c r="S2497" s="98" t="n"/>
      <c r="T2497" s="99" t="n"/>
      <c r="U2497" s="99" t="n"/>
      <c r="V2497" s="100" t="n"/>
      <c r="W2497" s="98" t="n"/>
      <c r="X2497" s="100" t="n"/>
      <c r="Y2497" s="98" t="n"/>
      <c r="Z2497" s="100" t="n"/>
      <c r="AB2497" s="101">
        <f>IF($B2497="","",(COUNTIF(C2458:E2475,$B2497)+COUNTIF(C2458:E2475,$B2497&amp;" ~*")&gt;0)+(COUNTIF(G2458:I2475,$B2497)+COUNTIF(G2458:I2475,$B2497&amp;" ~*")&gt;0)+(COUNTIF(K2458:M2475,$B2497)+COUNTIF(K2458:M2475,$B2497&amp;" ~*")&gt;0)+(COUNTIF(O2458:Q2475,$B2497)+COUNTIF(O2458:Q2475,$B2497&amp;" ~*")&gt;0)+(COUNTIF(S2458:U2475,$B2497)+COUNTIF(S2458:U2475,$B2497&amp;" ~*")&gt;0)+(COUNTIF(W2458:W2475,$B2497)+COUNTIF(W2458:W2475,$B2497&amp;" ~*")&gt;0)+(COUNTIF(Y2458:Y2475,$B2497)+COUNTIF(Y2458:Y2475,$B2497&amp;" ~*")&gt;0))</f>
        <v/>
      </c>
      <c r="AC2497" s="36">
        <f>IF($B2497="","",(IFERROR(INDEX(Setup!$G$33:$G$40,MATCH(C2497,Setup!$B$33:$B$40,0)),0)=1)*(COUNTIF(C2458:E2475,$B2497)+COUNTIF(C2458:E2475,$B2497&amp;" ~*")&gt;0)+(IFERROR(INDEX(Setup!$G$33:$G$40,MATCH(G2497,Setup!$B$33:$B$40,0)),0)=1)*(COUNTIF(G2458:I2475,$B2497)+COUNTIF(G2458:I2475,$B2497&amp;" ~*")&gt;0)+(IFERROR(INDEX(Setup!$G$33:$G$40,MATCH(K2497,Setup!$B$33:$B$40,0)),0)=1)*(COUNTIF(K2458:M2475,$B2497)+COUNTIF(K2458:M2475,$B2497&amp;" ~*")&gt;0)+(IFERROR(INDEX(Setup!$G$33:$G$40,MATCH(O2497,Setup!$B$33:$B$40,0)),0)=1)*(COUNTIF(O2458:Q2475,$B2497)+COUNTIF(O2458:Q2475,$B2497&amp;" ~*")&gt;0)+(IFERROR(INDEX(Setup!$G$33:$G$40,MATCH(S2497,Setup!$B$33:$B$40,0)),0)=1)*(COUNTIF(S2458:U2475,$B2497)+COUNTIF(S2458:U2475,$B2497&amp;" ~*")&gt;0)+(IFERROR(INDEX(Setup!$G$33:$G$40,MATCH(W2497,Setup!$B$33:$B$40,0)),0)=1)*(COUNTIF(W2458:W2475,$B2497)+COUNTIF(W2458:W2475,$B2497&amp;" ~*")&gt;0)+(IFERROR(INDEX(Setup!$G$33:$G$40,MATCH(Y2497,Setup!$B$33:$B$40,0)),0)=1)*(COUNTIF(Y2458:Y2475,$B2497)+COUNTIF(Y2458:Y2475,$B2497&amp;" ~*")&gt;0))</f>
        <v/>
      </c>
    </row>
    <row r="2498" ht="15" customHeight="1">
      <c r="A2498" t="n">
        <v>50</v>
      </c>
      <c r="B2498" s="37">
        <f>IF(Setup!$B$27="","",Setup!$B$27)</f>
        <v/>
      </c>
      <c r="C2498" s="102" t="n"/>
      <c r="D2498" s="103" t="n"/>
      <c r="E2498" s="103" t="n"/>
      <c r="F2498" s="104" t="n"/>
      <c r="G2498" s="102" t="n"/>
      <c r="H2498" s="103" t="n"/>
      <c r="I2498" s="103" t="n"/>
      <c r="J2498" s="104" t="n"/>
      <c r="K2498" s="102" t="n"/>
      <c r="L2498" s="103" t="n"/>
      <c r="M2498" s="103" t="n"/>
      <c r="N2498" s="104" t="n"/>
      <c r="O2498" s="102" t="n"/>
      <c r="P2498" s="103" t="n"/>
      <c r="Q2498" s="103" t="n"/>
      <c r="R2498" s="104" t="n"/>
      <c r="S2498" s="102" t="n"/>
      <c r="T2498" s="103" t="n"/>
      <c r="U2498" s="103" t="n"/>
      <c r="V2498" s="104" t="n"/>
      <c r="W2498" s="102" t="n"/>
      <c r="X2498" s="104" t="n"/>
      <c r="Y2498" s="102" t="n"/>
      <c r="Z2498" s="104" t="n"/>
      <c r="AB2498" s="105">
        <f>IF($B2498="","",(COUNTIF(C2458:E2475,$B2498)+COUNTIF(C2458:E2475,$B2498&amp;" ~*")&gt;0)+(COUNTIF(G2458:I2475,$B2498)+COUNTIF(G2458:I2475,$B2498&amp;" ~*")&gt;0)+(COUNTIF(K2458:M2475,$B2498)+COUNTIF(K2458:M2475,$B2498&amp;" ~*")&gt;0)+(COUNTIF(O2458:Q2475,$B2498)+COUNTIF(O2458:Q2475,$B2498&amp;" ~*")&gt;0)+(COUNTIF(S2458:U2475,$B2498)+COUNTIF(S2458:U2475,$B2498&amp;" ~*")&gt;0)+(COUNTIF(W2458:W2475,$B2498)+COUNTIF(W2458:W2475,$B2498&amp;" ~*")&gt;0)+(COUNTIF(Y2458:Y2475,$B2498)+COUNTIF(Y2458:Y2475,$B2498&amp;" ~*")&gt;0))</f>
        <v/>
      </c>
      <c r="AC2498" s="38">
        <f>IF($B2498="","",(IFERROR(INDEX(Setup!$G$33:$G$40,MATCH(C2498,Setup!$B$33:$B$40,0)),0)=1)*(COUNTIF(C2458:E2475,$B2498)+COUNTIF(C2458:E2475,$B2498&amp;" ~*")&gt;0)+(IFERROR(INDEX(Setup!$G$33:$G$40,MATCH(G2498,Setup!$B$33:$B$40,0)),0)=1)*(COUNTIF(G2458:I2475,$B2498)+COUNTIF(G2458:I2475,$B2498&amp;" ~*")&gt;0)+(IFERROR(INDEX(Setup!$G$33:$G$40,MATCH(K2498,Setup!$B$33:$B$40,0)),0)=1)*(COUNTIF(K2458:M2475,$B2498)+COUNTIF(K2458:M2475,$B2498&amp;" ~*")&gt;0)+(IFERROR(INDEX(Setup!$G$33:$G$40,MATCH(O2498,Setup!$B$33:$B$40,0)),0)=1)*(COUNTIF(O2458:Q2475,$B2498)+COUNTIF(O2458:Q2475,$B2498&amp;" ~*")&gt;0)+(IFERROR(INDEX(Setup!$G$33:$G$40,MATCH(S2498,Setup!$B$33:$B$40,0)),0)=1)*(COUNTIF(S2458:U2475,$B2498)+COUNTIF(S2458:U2475,$B2498&amp;" ~*")&gt;0)+(IFERROR(INDEX(Setup!$G$33:$G$40,MATCH(W2498,Setup!$B$33:$B$40,0)),0)=1)*(COUNTIF(W2458:W2475,$B2498)+COUNTIF(W2458:W2475,$B2498&amp;" ~*")&gt;0)+(IFERROR(INDEX(Setup!$G$33:$G$40,MATCH(Y2498,Setup!$B$33:$B$40,0)),0)=1)*(COUNTIF(Y2458:Y2475,$B2498)+COUNTIF(Y2458:Y2475,$B2498&amp;" ~*")&gt;0))</f>
        <v/>
      </c>
    </row>
    <row r="2499" ht="15" customHeight="1">
      <c r="A2499" t="n">
        <v>50</v>
      </c>
      <c r="B2499" s="35">
        <f>IF(Setup!$B$28="","",Setup!$B$28)</f>
        <v/>
      </c>
      <c r="C2499" s="98" t="n"/>
      <c r="D2499" s="99" t="n"/>
      <c r="E2499" s="99" t="n"/>
      <c r="F2499" s="100" t="n"/>
      <c r="G2499" s="98" t="n"/>
      <c r="H2499" s="99" t="n"/>
      <c r="I2499" s="99" t="n"/>
      <c r="J2499" s="100" t="n"/>
      <c r="K2499" s="98" t="n"/>
      <c r="L2499" s="99" t="n"/>
      <c r="M2499" s="99" t="n"/>
      <c r="N2499" s="100" t="n"/>
      <c r="O2499" s="98" t="n"/>
      <c r="P2499" s="99" t="n"/>
      <c r="Q2499" s="99" t="n"/>
      <c r="R2499" s="100" t="n"/>
      <c r="S2499" s="98" t="n"/>
      <c r="T2499" s="99" t="n"/>
      <c r="U2499" s="99" t="n"/>
      <c r="V2499" s="100" t="n"/>
      <c r="W2499" s="98" t="n"/>
      <c r="X2499" s="100" t="n"/>
      <c r="Y2499" s="98" t="n"/>
      <c r="Z2499" s="100" t="n"/>
      <c r="AB2499" s="101">
        <f>IF($B2499="","",(COUNTIF(C2458:E2475,$B2499)+COUNTIF(C2458:E2475,$B2499&amp;" ~*")&gt;0)+(COUNTIF(G2458:I2475,$B2499)+COUNTIF(G2458:I2475,$B2499&amp;" ~*")&gt;0)+(COUNTIF(K2458:M2475,$B2499)+COUNTIF(K2458:M2475,$B2499&amp;" ~*")&gt;0)+(COUNTIF(O2458:Q2475,$B2499)+COUNTIF(O2458:Q2475,$B2499&amp;" ~*")&gt;0)+(COUNTIF(S2458:U2475,$B2499)+COUNTIF(S2458:U2475,$B2499&amp;" ~*")&gt;0)+(COUNTIF(W2458:W2475,$B2499)+COUNTIF(W2458:W2475,$B2499&amp;" ~*")&gt;0)+(COUNTIF(Y2458:Y2475,$B2499)+COUNTIF(Y2458:Y2475,$B2499&amp;" ~*")&gt;0))</f>
        <v/>
      </c>
      <c r="AC2499" s="36">
        <f>IF($B2499="","",(IFERROR(INDEX(Setup!$G$33:$G$40,MATCH(C2499,Setup!$B$33:$B$40,0)),0)=1)*(COUNTIF(C2458:E2475,$B2499)+COUNTIF(C2458:E2475,$B2499&amp;" ~*")&gt;0)+(IFERROR(INDEX(Setup!$G$33:$G$40,MATCH(G2499,Setup!$B$33:$B$40,0)),0)=1)*(COUNTIF(G2458:I2475,$B2499)+COUNTIF(G2458:I2475,$B2499&amp;" ~*")&gt;0)+(IFERROR(INDEX(Setup!$G$33:$G$40,MATCH(K2499,Setup!$B$33:$B$40,0)),0)=1)*(COUNTIF(K2458:M2475,$B2499)+COUNTIF(K2458:M2475,$B2499&amp;" ~*")&gt;0)+(IFERROR(INDEX(Setup!$G$33:$G$40,MATCH(O2499,Setup!$B$33:$B$40,0)),0)=1)*(COUNTIF(O2458:Q2475,$B2499)+COUNTIF(O2458:Q2475,$B2499&amp;" ~*")&gt;0)+(IFERROR(INDEX(Setup!$G$33:$G$40,MATCH(S2499,Setup!$B$33:$B$40,0)),0)=1)*(COUNTIF(S2458:U2475,$B2499)+COUNTIF(S2458:U2475,$B2499&amp;" ~*")&gt;0)+(IFERROR(INDEX(Setup!$G$33:$G$40,MATCH(W2499,Setup!$B$33:$B$40,0)),0)=1)*(COUNTIF(W2458:W2475,$B2499)+COUNTIF(W2458:W2475,$B2499&amp;" ~*")&gt;0)+(IFERROR(INDEX(Setup!$G$33:$G$40,MATCH(Y2499,Setup!$B$33:$B$40,0)),0)=1)*(COUNTIF(Y2458:Y2475,$B2499)+COUNTIF(Y2458:Y2475,$B2499&amp;" ~*")&gt;0))</f>
        <v/>
      </c>
    </row>
    <row r="2500" ht="15" customHeight="1">
      <c r="A2500" t="n">
        <v>50</v>
      </c>
      <c r="B2500" s="37">
        <f>IF(Setup!$B$29="","",Setup!$B$29)</f>
        <v/>
      </c>
      <c r="C2500" s="102" t="n"/>
      <c r="D2500" s="103" t="n"/>
      <c r="E2500" s="103" t="n"/>
      <c r="F2500" s="104" t="n"/>
      <c r="G2500" s="102" t="n"/>
      <c r="H2500" s="103" t="n"/>
      <c r="I2500" s="103" t="n"/>
      <c r="J2500" s="104" t="n"/>
      <c r="K2500" s="102" t="n"/>
      <c r="L2500" s="103" t="n"/>
      <c r="M2500" s="103" t="n"/>
      <c r="N2500" s="104" t="n"/>
      <c r="O2500" s="102" t="n"/>
      <c r="P2500" s="103" t="n"/>
      <c r="Q2500" s="103" t="n"/>
      <c r="R2500" s="104" t="n"/>
      <c r="S2500" s="102" t="n"/>
      <c r="T2500" s="103" t="n"/>
      <c r="U2500" s="103" t="n"/>
      <c r="V2500" s="104" t="n"/>
      <c r="W2500" s="102" t="n"/>
      <c r="X2500" s="104" t="n"/>
      <c r="Y2500" s="102" t="n"/>
      <c r="Z2500" s="104" t="n"/>
      <c r="AB2500" s="105">
        <f>IF($B2500="","",(COUNTIF(C2458:E2475,$B2500)+COUNTIF(C2458:E2475,$B2500&amp;" ~*")&gt;0)+(COUNTIF(G2458:I2475,$B2500)+COUNTIF(G2458:I2475,$B2500&amp;" ~*")&gt;0)+(COUNTIF(K2458:M2475,$B2500)+COUNTIF(K2458:M2475,$B2500&amp;" ~*")&gt;0)+(COUNTIF(O2458:Q2475,$B2500)+COUNTIF(O2458:Q2475,$B2500&amp;" ~*")&gt;0)+(COUNTIF(S2458:U2475,$B2500)+COUNTIF(S2458:U2475,$B2500&amp;" ~*")&gt;0)+(COUNTIF(W2458:W2475,$B2500)+COUNTIF(W2458:W2475,$B2500&amp;" ~*")&gt;0)+(COUNTIF(Y2458:Y2475,$B2500)+COUNTIF(Y2458:Y2475,$B2500&amp;" ~*")&gt;0))</f>
        <v/>
      </c>
      <c r="AC2500" s="38">
        <f>IF($B2500="","",(IFERROR(INDEX(Setup!$G$33:$G$40,MATCH(C2500,Setup!$B$33:$B$40,0)),0)=1)*(COUNTIF(C2458:E2475,$B2500)+COUNTIF(C2458:E2475,$B2500&amp;" ~*")&gt;0)+(IFERROR(INDEX(Setup!$G$33:$G$40,MATCH(G2500,Setup!$B$33:$B$40,0)),0)=1)*(COUNTIF(G2458:I2475,$B2500)+COUNTIF(G2458:I2475,$B2500&amp;" ~*")&gt;0)+(IFERROR(INDEX(Setup!$G$33:$G$40,MATCH(K2500,Setup!$B$33:$B$40,0)),0)=1)*(COUNTIF(K2458:M2475,$B2500)+COUNTIF(K2458:M2475,$B2500&amp;" ~*")&gt;0)+(IFERROR(INDEX(Setup!$G$33:$G$40,MATCH(O2500,Setup!$B$33:$B$40,0)),0)=1)*(COUNTIF(O2458:Q2475,$B2500)+COUNTIF(O2458:Q2475,$B2500&amp;" ~*")&gt;0)+(IFERROR(INDEX(Setup!$G$33:$G$40,MATCH(S2500,Setup!$B$33:$B$40,0)),0)=1)*(COUNTIF(S2458:U2475,$B2500)+COUNTIF(S2458:U2475,$B2500&amp;" ~*")&gt;0)+(IFERROR(INDEX(Setup!$G$33:$G$40,MATCH(W2500,Setup!$B$33:$B$40,0)),0)=1)*(COUNTIF(W2458:W2475,$B2500)+COUNTIF(W2458:W2475,$B2500&amp;" ~*")&gt;0)+(IFERROR(INDEX(Setup!$G$33:$G$40,MATCH(Y2500,Setup!$B$33:$B$40,0)),0)=1)*(COUNTIF(Y2458:Y2475,$B2500)+COUNTIF(Y2458:Y2475,$B2500&amp;" ~*")&gt;0))</f>
        <v/>
      </c>
    </row>
    <row r="2501" ht="16" customHeight="1">
      <c r="A2501" t="n">
        <v>50</v>
      </c>
      <c r="B2501" s="106" t="inlineStr">
        <is>
          <t>Available people</t>
        </is>
      </c>
      <c r="C2501" s="107">
        <f>COUNTIFS(Setup!$E$6:$E$29,"Y",Setup!$B$6:$B$29,"?*")-SUMPRODUCT(COUNTIF(C2477:C2500,Setup!$F$33:$F$40))</f>
        <v/>
      </c>
      <c r="D2501" s="107" t="n"/>
      <c r="E2501" s="107" t="n"/>
      <c r="F2501" s="107" t="n"/>
      <c r="G2501" s="107">
        <f>COUNTIFS(Setup!$E$6:$E$29,"Y",Setup!$B$6:$B$29,"?*")-SUMPRODUCT(COUNTIF(G2477:G2500,Setup!$F$33:$F$40))</f>
        <v/>
      </c>
      <c r="H2501" s="107" t="n"/>
      <c r="I2501" s="107" t="n"/>
      <c r="J2501" s="107" t="n"/>
      <c r="K2501" s="107">
        <f>COUNTIFS(Setup!$E$6:$E$29,"Y",Setup!$B$6:$B$29,"?*")-SUMPRODUCT(COUNTIF(K2477:K2500,Setup!$F$33:$F$40))</f>
        <v/>
      </c>
      <c r="L2501" s="107" t="n"/>
      <c r="M2501" s="107" t="n"/>
      <c r="N2501" s="107" t="n"/>
      <c r="O2501" s="107">
        <f>COUNTIFS(Setup!$E$6:$E$29,"Y",Setup!$B$6:$B$29,"?*")-SUMPRODUCT(COUNTIF(O2477:O2500,Setup!$F$33:$F$40))</f>
        <v/>
      </c>
      <c r="P2501" s="107" t="n"/>
      <c r="Q2501" s="107" t="n"/>
      <c r="R2501" s="107" t="n"/>
      <c r="S2501" s="107">
        <f>COUNTIFS(Setup!$E$6:$E$29,"Y",Setup!$B$6:$B$29,"?*")-SUMPRODUCT(COUNTIF(S2477:S2500,Setup!$F$33:$F$40))</f>
        <v/>
      </c>
      <c r="T2501" s="107" t="n"/>
      <c r="U2501" s="107" t="n"/>
      <c r="V2501" s="107" t="n"/>
      <c r="W2501" s="107">
        <f>COUNTIFS(Setup!$E$6:$E$29,"Y",Setup!$B$6:$B$29,"?*")-SUMPRODUCT(COUNTIF(W2477:W2500,Setup!$F$33:$F$40))</f>
        <v/>
      </c>
      <c r="X2501" s="107" t="n"/>
      <c r="Y2501" s="107">
        <f>COUNTIFS(Setup!$E$6:$E$29,"Y",Setup!$B$6:$B$29,"?*")-SUMPRODUCT(COUNTIF(Y2477:Y2500,Setup!$F$33:$F$40))</f>
        <v/>
      </c>
      <c r="Z2501" s="107" t="n"/>
      <c r="AB2501" s="108">
        <f>SUM(AB2477:AB2500)</f>
        <v/>
      </c>
      <c r="AC2501" s="109">
        <f>SUM(AC2477:AC2500)</f>
        <v/>
      </c>
    </row>
    <row r="2502" ht="30" customHeight="1">
      <c r="A2502" t="n">
        <v>50</v>
      </c>
      <c r="B2502" s="110" t="inlineStr">
        <is>
          <t>Week notes</t>
        </is>
      </c>
      <c r="C2502" s="111" t="n"/>
      <c r="D2502" s="112" t="n"/>
      <c r="E2502" s="112" t="n"/>
      <c r="F2502" s="112" t="n"/>
      <c r="G2502" s="112" t="n"/>
      <c r="H2502" s="112" t="n"/>
      <c r="I2502" s="112" t="n"/>
      <c r="J2502" s="112" t="n"/>
      <c r="K2502" s="112" t="n"/>
      <c r="L2502" s="112" t="n"/>
      <c r="M2502" s="112" t="n"/>
      <c r="N2502" s="112" t="n"/>
      <c r="O2502" s="112" t="n"/>
      <c r="P2502" s="112" t="n"/>
      <c r="Q2502" s="112" t="n"/>
      <c r="R2502" s="112" t="n"/>
      <c r="S2502" s="112" t="n"/>
      <c r="T2502" s="112" t="n"/>
      <c r="U2502" s="112" t="n"/>
      <c r="V2502" s="112" t="n"/>
      <c r="W2502" s="112" t="n"/>
      <c r="X2502" s="112" t="n"/>
      <c r="Y2502" s="112" t="n"/>
      <c r="Z2502" s="113" t="n"/>
    </row>
    <row r="2503" ht="8" customHeight="1">
      <c r="A2503" t="n">
        <v>50</v>
      </c>
    </row>
    <row r="2504" ht="8" customHeight="1">
      <c r="A2504" t="n">
        <v>50</v>
      </c>
    </row>
    <row r="2505" ht="24" customHeight="1">
      <c r="A2505" t="n">
        <v>51</v>
      </c>
      <c r="B2505" s="73">
        <f>"WEEK 51     "&amp;TEXT(C2506,"ddd d mmm")&amp;"  –  "&amp;TEXT(C2506+6,"ddd d mmm yyyy")</f>
        <v/>
      </c>
      <c r="S2505" s="74">
        <f>IF(TODAY()&lt;C2506,"FUTURE",IF(TODAY()&gt;C2506+6,"PAST","THIS WEEK"))</f>
        <v/>
      </c>
      <c r="W2505" s="75">
        <f>IF(AND(Engine!$B$8=$AC$3,Engine!$B$9=$A2505),"◀ ACTIVE WEEK","")</f>
        <v/>
      </c>
      <c r="AA2505" s="76" t="n"/>
      <c r="AB2505" s="77" t="inlineStr">
        <is>
          <t>◀ Prev</t>
        </is>
      </c>
      <c r="AC2505" s="77" t="inlineStr">
        <is>
          <t>Next ▶</t>
        </is>
      </c>
    </row>
    <row r="2506" ht="18" customHeight="1">
      <c r="A2506" t="n">
        <v>51</v>
      </c>
      <c r="B2506" s="78" t="inlineStr">
        <is>
          <t>DUTY</t>
        </is>
      </c>
      <c r="C2506" s="79">
        <f>$AC$2+7*($A2506-1)</f>
        <v/>
      </c>
      <c r="D2506" s="80" t="n"/>
      <c r="E2506" s="80" t="n"/>
      <c r="F2506" s="81" t="n"/>
      <c r="G2506" s="79">
        <f>C2506+1</f>
        <v/>
      </c>
      <c r="H2506" s="80" t="n"/>
      <c r="I2506" s="80" t="n"/>
      <c r="J2506" s="81" t="n"/>
      <c r="K2506" s="79">
        <f>C2506+2</f>
        <v/>
      </c>
      <c r="L2506" s="80" t="n"/>
      <c r="M2506" s="80" t="n"/>
      <c r="N2506" s="81" t="n"/>
      <c r="O2506" s="79">
        <f>C2506+3</f>
        <v/>
      </c>
      <c r="P2506" s="80" t="n"/>
      <c r="Q2506" s="80" t="n"/>
      <c r="R2506" s="81" t="n"/>
      <c r="S2506" s="79">
        <f>C2506+4</f>
        <v/>
      </c>
      <c r="T2506" s="80" t="n"/>
      <c r="U2506" s="80" t="n"/>
      <c r="V2506" s="81" t="n"/>
      <c r="W2506" s="82">
        <f>C2506+5</f>
        <v/>
      </c>
      <c r="X2506" s="83" t="n"/>
      <c r="Y2506" s="82">
        <f>C2506+6</f>
        <v/>
      </c>
      <c r="Z2506" s="83" t="n"/>
      <c r="AB2506" s="72" t="inlineStr">
        <is>
          <t>Gaps</t>
        </is>
      </c>
      <c r="AC2506" s="72" t="inlineStr">
        <is>
          <t>Cover</t>
        </is>
      </c>
    </row>
    <row r="2507" ht="14" customHeight="1">
      <c r="A2507" t="n">
        <v>51</v>
      </c>
      <c r="B2507" s="84" t="inlineStr">
        <is>
          <t>(from Setup)</t>
        </is>
      </c>
      <c r="C2507" s="85" t="inlineStr">
        <is>
          <t>1</t>
        </is>
      </c>
      <c r="D2507" s="85" t="inlineStr">
        <is>
          <t>2</t>
        </is>
      </c>
      <c r="E2507" s="85" t="inlineStr">
        <is>
          <t>3</t>
        </is>
      </c>
      <c r="F2507" s="85" t="inlineStr">
        <is>
          <t>Notes</t>
        </is>
      </c>
      <c r="G2507" s="85" t="inlineStr">
        <is>
          <t>1</t>
        </is>
      </c>
      <c r="H2507" s="85" t="inlineStr">
        <is>
          <t>2</t>
        </is>
      </c>
      <c r="I2507" s="85" t="inlineStr">
        <is>
          <t>3</t>
        </is>
      </c>
      <c r="J2507" s="85" t="inlineStr">
        <is>
          <t>Notes</t>
        </is>
      </c>
      <c r="K2507" s="85" t="inlineStr">
        <is>
          <t>1</t>
        </is>
      </c>
      <c r="L2507" s="85" t="inlineStr">
        <is>
          <t>2</t>
        </is>
      </c>
      <c r="M2507" s="85" t="inlineStr">
        <is>
          <t>3</t>
        </is>
      </c>
      <c r="N2507" s="85" t="inlineStr">
        <is>
          <t>Notes</t>
        </is>
      </c>
      <c r="O2507" s="85" t="inlineStr">
        <is>
          <t>1</t>
        </is>
      </c>
      <c r="P2507" s="85" t="inlineStr">
        <is>
          <t>2</t>
        </is>
      </c>
      <c r="Q2507" s="85" t="inlineStr">
        <is>
          <t>3</t>
        </is>
      </c>
      <c r="R2507" s="85" t="inlineStr">
        <is>
          <t>Notes</t>
        </is>
      </c>
      <c r="S2507" s="85" t="inlineStr">
        <is>
          <t>1</t>
        </is>
      </c>
      <c r="T2507" s="85" t="inlineStr">
        <is>
          <t>2</t>
        </is>
      </c>
      <c r="U2507" s="85" t="inlineStr">
        <is>
          <t>3</t>
        </is>
      </c>
      <c r="V2507" s="85" t="inlineStr">
        <is>
          <t>Notes</t>
        </is>
      </c>
      <c r="W2507" s="85" t="inlineStr">
        <is>
          <t>Cover</t>
        </is>
      </c>
      <c r="X2507" s="85" t="inlineStr">
        <is>
          <t>Notes</t>
        </is>
      </c>
      <c r="Y2507" s="85" t="inlineStr">
        <is>
          <t>Cover</t>
        </is>
      </c>
      <c r="Z2507" s="85" t="inlineStr">
        <is>
          <t>Notes</t>
        </is>
      </c>
      <c r="AB2507" s="86" t="inlineStr">
        <is>
          <t>weekdays short</t>
        </is>
      </c>
      <c r="AC2507" s="87" t="inlineStr"/>
    </row>
    <row r="2508" ht="17" customHeight="1">
      <c r="A2508" t="n">
        <v>51</v>
      </c>
      <c r="B2508" s="24">
        <f>IF(Setup!$K$6="","",Setup!$K$6)</f>
        <v/>
      </c>
      <c r="C2508" s="88" t="n"/>
      <c r="D2508" s="88" t="n"/>
      <c r="E2508" s="88" t="n"/>
      <c r="F2508" s="89" t="n"/>
      <c r="G2508" s="88" t="n"/>
      <c r="H2508" s="88" t="n"/>
      <c r="I2508" s="88" t="n"/>
      <c r="J2508" s="89" t="n"/>
      <c r="K2508" s="88" t="n"/>
      <c r="L2508" s="88" t="n"/>
      <c r="M2508" s="88" t="n"/>
      <c r="N2508" s="89" t="n"/>
      <c r="O2508" s="88" t="n"/>
      <c r="P2508" s="88" t="n"/>
      <c r="Q2508" s="88" t="n"/>
      <c r="R2508" s="89" t="n"/>
      <c r="S2508" s="88" t="n"/>
      <c r="T2508" s="88" t="n"/>
      <c r="U2508" s="88" t="n"/>
      <c r="V2508" s="89" t="n"/>
      <c r="W2508" s="88" t="n"/>
      <c r="X2508" s="89" t="n"/>
      <c r="Y2508" s="88" t="n"/>
      <c r="Z2508" s="89" t="n"/>
      <c r="AB2508" s="25">
        <f>IF($B2508="","",(COUNTIF(C2508:E2508,"?*")&lt;N(INDEX(Setup!$L$6:$L$23,1)))+(COUNTIF(G2508:I2508,"?*")&lt;N(INDEX(Setup!$L$6:$L$23,1)))+(COUNTIF(K2508:M2508,"?*")&lt;N(INDEX(Setup!$L$6:$L$23,1)))+(COUNTIF(O2508:Q2508,"?*")&lt;N(INDEX(Setup!$L$6:$L$23,1)))+(COUNTIF(S2508:U2508,"?*")&lt;N(INDEX(Setup!$L$6:$L$23,1)))+((W2508="")*(INDEX(Setup!$M$6:$M$23,1)="Y"))+((Y2508="")*(INDEX(Setup!$M$6:$M$23,1)="Y")))</f>
        <v/>
      </c>
      <c r="AC2508" s="90">
        <f>IF($B2508="","",IF(AB2508=0,"✓ covered","⚠ "&amp;AB2508&amp;IF(AB2508=1," gap"," gaps")))</f>
        <v/>
      </c>
    </row>
    <row r="2509" ht="17" customHeight="1">
      <c r="A2509" t="n">
        <v>51</v>
      </c>
      <c r="B2509" s="29">
        <f>IF(Setup!$K$7="","",Setup!$K$7)</f>
        <v/>
      </c>
      <c r="C2509" s="88" t="n"/>
      <c r="D2509" s="88" t="n"/>
      <c r="E2509" s="88" t="n"/>
      <c r="F2509" s="89" t="n"/>
      <c r="G2509" s="88" t="n"/>
      <c r="H2509" s="88" t="n"/>
      <c r="I2509" s="88" t="n"/>
      <c r="J2509" s="89" t="n"/>
      <c r="K2509" s="88" t="n"/>
      <c r="L2509" s="88" t="n"/>
      <c r="M2509" s="88" t="n"/>
      <c r="N2509" s="89" t="n"/>
      <c r="O2509" s="88" t="n"/>
      <c r="P2509" s="88" t="n"/>
      <c r="Q2509" s="88" t="n"/>
      <c r="R2509" s="89" t="n"/>
      <c r="S2509" s="88" t="n"/>
      <c r="T2509" s="88" t="n"/>
      <c r="U2509" s="88" t="n"/>
      <c r="V2509" s="89" t="n"/>
      <c r="W2509" s="88" t="n"/>
      <c r="X2509" s="89" t="n"/>
      <c r="Y2509" s="88" t="n"/>
      <c r="Z2509" s="89" t="n"/>
      <c r="AB2509" s="30">
        <f>IF($B2509="","",(COUNTIF(C2509:E2509,"?*")&lt;N(INDEX(Setup!$L$6:$L$23,2)))+(COUNTIF(G2509:I2509,"?*")&lt;N(INDEX(Setup!$L$6:$L$23,2)))+(COUNTIF(K2509:M2509,"?*")&lt;N(INDEX(Setup!$L$6:$L$23,2)))+(COUNTIF(O2509:Q2509,"?*")&lt;N(INDEX(Setup!$L$6:$L$23,2)))+(COUNTIF(S2509:U2509,"?*")&lt;N(INDEX(Setup!$L$6:$L$23,2)))+((W2509="")*(INDEX(Setup!$M$6:$M$23,2)="Y"))+((Y2509="")*(INDEX(Setup!$M$6:$M$23,2)="Y")))</f>
        <v/>
      </c>
      <c r="AC2509" s="91">
        <f>IF($B2509="","",IF(AB2509=0,"✓ covered","⚠ "&amp;AB2509&amp;IF(AB2509=1," gap"," gaps")))</f>
        <v/>
      </c>
    </row>
    <row r="2510" ht="17" customHeight="1">
      <c r="A2510" t="n">
        <v>51</v>
      </c>
      <c r="B2510" s="24">
        <f>IF(Setup!$K$8="","",Setup!$K$8)</f>
        <v/>
      </c>
      <c r="C2510" s="88" t="n"/>
      <c r="D2510" s="88" t="n"/>
      <c r="E2510" s="88" t="n"/>
      <c r="F2510" s="89" t="n"/>
      <c r="G2510" s="88" t="n"/>
      <c r="H2510" s="88" t="n"/>
      <c r="I2510" s="88" t="n"/>
      <c r="J2510" s="89" t="n"/>
      <c r="K2510" s="88" t="n"/>
      <c r="L2510" s="88" t="n"/>
      <c r="M2510" s="88" t="n"/>
      <c r="N2510" s="89" t="n"/>
      <c r="O2510" s="88" t="n"/>
      <c r="P2510" s="88" t="n"/>
      <c r="Q2510" s="88" t="n"/>
      <c r="R2510" s="89" t="n"/>
      <c r="S2510" s="88" t="n"/>
      <c r="T2510" s="88" t="n"/>
      <c r="U2510" s="88" t="n"/>
      <c r="V2510" s="89" t="n"/>
      <c r="W2510" s="88" t="n"/>
      <c r="X2510" s="89" t="n"/>
      <c r="Y2510" s="88" t="n"/>
      <c r="Z2510" s="89" t="n"/>
      <c r="AB2510" s="25">
        <f>IF($B2510="","",(COUNTIF(C2510:E2510,"?*")&lt;N(INDEX(Setup!$L$6:$L$23,3)))+(COUNTIF(G2510:I2510,"?*")&lt;N(INDEX(Setup!$L$6:$L$23,3)))+(COUNTIF(K2510:M2510,"?*")&lt;N(INDEX(Setup!$L$6:$L$23,3)))+(COUNTIF(O2510:Q2510,"?*")&lt;N(INDEX(Setup!$L$6:$L$23,3)))+(COUNTIF(S2510:U2510,"?*")&lt;N(INDEX(Setup!$L$6:$L$23,3)))+((W2510="")*(INDEX(Setup!$M$6:$M$23,3)="Y"))+((Y2510="")*(INDEX(Setup!$M$6:$M$23,3)="Y")))</f>
        <v/>
      </c>
      <c r="AC2510" s="90">
        <f>IF($B2510="","",IF(AB2510=0,"✓ covered","⚠ "&amp;AB2510&amp;IF(AB2510=1," gap"," gaps")))</f>
        <v/>
      </c>
    </row>
    <row r="2511" ht="17" customHeight="1">
      <c r="A2511" t="n">
        <v>51</v>
      </c>
      <c r="B2511" s="29">
        <f>IF(Setup!$K$9="","",Setup!$K$9)</f>
        <v/>
      </c>
      <c r="C2511" s="88" t="n"/>
      <c r="D2511" s="88" t="n"/>
      <c r="E2511" s="88" t="n"/>
      <c r="F2511" s="89" t="n"/>
      <c r="G2511" s="88" t="n"/>
      <c r="H2511" s="88" t="n"/>
      <c r="I2511" s="88" t="n"/>
      <c r="J2511" s="89" t="n"/>
      <c r="K2511" s="88" t="n"/>
      <c r="L2511" s="88" t="n"/>
      <c r="M2511" s="88" t="n"/>
      <c r="N2511" s="89" t="n"/>
      <c r="O2511" s="88" t="n"/>
      <c r="P2511" s="88" t="n"/>
      <c r="Q2511" s="88" t="n"/>
      <c r="R2511" s="89" t="n"/>
      <c r="S2511" s="88" t="n"/>
      <c r="T2511" s="88" t="n"/>
      <c r="U2511" s="88" t="n"/>
      <c r="V2511" s="89" t="n"/>
      <c r="W2511" s="88" t="n"/>
      <c r="X2511" s="89" t="n"/>
      <c r="Y2511" s="88" t="n"/>
      <c r="Z2511" s="89" t="n"/>
      <c r="AB2511" s="30">
        <f>IF($B2511="","",(COUNTIF(C2511:E2511,"?*")&lt;N(INDEX(Setup!$L$6:$L$23,4)))+(COUNTIF(G2511:I2511,"?*")&lt;N(INDEX(Setup!$L$6:$L$23,4)))+(COUNTIF(K2511:M2511,"?*")&lt;N(INDEX(Setup!$L$6:$L$23,4)))+(COUNTIF(O2511:Q2511,"?*")&lt;N(INDEX(Setup!$L$6:$L$23,4)))+(COUNTIF(S2511:U2511,"?*")&lt;N(INDEX(Setup!$L$6:$L$23,4)))+((W2511="")*(INDEX(Setup!$M$6:$M$23,4)="Y"))+((Y2511="")*(INDEX(Setup!$M$6:$M$23,4)="Y")))</f>
        <v/>
      </c>
      <c r="AC2511" s="91">
        <f>IF($B2511="","",IF(AB2511=0,"✓ covered","⚠ "&amp;AB2511&amp;IF(AB2511=1," gap"," gaps")))</f>
        <v/>
      </c>
    </row>
    <row r="2512" ht="17" customHeight="1">
      <c r="A2512" t="n">
        <v>51</v>
      </c>
      <c r="B2512" s="24">
        <f>IF(Setup!$K$10="","",Setup!$K$10)</f>
        <v/>
      </c>
      <c r="C2512" s="88" t="n"/>
      <c r="D2512" s="88" t="n"/>
      <c r="E2512" s="88" t="n"/>
      <c r="F2512" s="89" t="n"/>
      <c r="G2512" s="88" t="n"/>
      <c r="H2512" s="88" t="n"/>
      <c r="I2512" s="88" t="n"/>
      <c r="J2512" s="89" t="n"/>
      <c r="K2512" s="88" t="n"/>
      <c r="L2512" s="88" t="n"/>
      <c r="M2512" s="88" t="n"/>
      <c r="N2512" s="89" t="n"/>
      <c r="O2512" s="88" t="n"/>
      <c r="P2512" s="88" t="n"/>
      <c r="Q2512" s="88" t="n"/>
      <c r="R2512" s="89" t="n"/>
      <c r="S2512" s="88" t="n"/>
      <c r="T2512" s="88" t="n"/>
      <c r="U2512" s="88" t="n"/>
      <c r="V2512" s="89" t="n"/>
      <c r="W2512" s="88" t="n"/>
      <c r="X2512" s="89" t="n"/>
      <c r="Y2512" s="88" t="n"/>
      <c r="Z2512" s="89" t="n"/>
      <c r="AB2512" s="25">
        <f>IF($B2512="","",(COUNTIF(C2512:E2512,"?*")&lt;N(INDEX(Setup!$L$6:$L$23,5)))+(COUNTIF(G2512:I2512,"?*")&lt;N(INDEX(Setup!$L$6:$L$23,5)))+(COUNTIF(K2512:M2512,"?*")&lt;N(INDEX(Setup!$L$6:$L$23,5)))+(COUNTIF(O2512:Q2512,"?*")&lt;N(INDEX(Setup!$L$6:$L$23,5)))+(COUNTIF(S2512:U2512,"?*")&lt;N(INDEX(Setup!$L$6:$L$23,5)))+((W2512="")*(INDEX(Setup!$M$6:$M$23,5)="Y"))+((Y2512="")*(INDEX(Setup!$M$6:$M$23,5)="Y")))</f>
        <v/>
      </c>
      <c r="AC2512" s="90">
        <f>IF($B2512="","",IF(AB2512=0,"✓ covered","⚠ "&amp;AB2512&amp;IF(AB2512=1," gap"," gaps")))</f>
        <v/>
      </c>
    </row>
    <row r="2513" ht="17" customHeight="1">
      <c r="A2513" t="n">
        <v>51</v>
      </c>
      <c r="B2513" s="29">
        <f>IF(Setup!$K$11="","",Setup!$K$11)</f>
        <v/>
      </c>
      <c r="C2513" s="88" t="n"/>
      <c r="D2513" s="88" t="n"/>
      <c r="E2513" s="88" t="n"/>
      <c r="F2513" s="89" t="n"/>
      <c r="G2513" s="88" t="n"/>
      <c r="H2513" s="88" t="n"/>
      <c r="I2513" s="88" t="n"/>
      <c r="J2513" s="89" t="n"/>
      <c r="K2513" s="88" t="n"/>
      <c r="L2513" s="88" t="n"/>
      <c r="M2513" s="88" t="n"/>
      <c r="N2513" s="89" t="n"/>
      <c r="O2513" s="88" t="n"/>
      <c r="P2513" s="88" t="n"/>
      <c r="Q2513" s="88" t="n"/>
      <c r="R2513" s="89" t="n"/>
      <c r="S2513" s="88" t="n"/>
      <c r="T2513" s="88" t="n"/>
      <c r="U2513" s="88" t="n"/>
      <c r="V2513" s="89" t="n"/>
      <c r="W2513" s="88" t="n"/>
      <c r="X2513" s="89" t="n"/>
      <c r="Y2513" s="88" t="n"/>
      <c r="Z2513" s="89" t="n"/>
      <c r="AB2513" s="30">
        <f>IF($B2513="","",(COUNTIF(C2513:E2513,"?*")&lt;N(INDEX(Setup!$L$6:$L$23,6)))+(COUNTIF(G2513:I2513,"?*")&lt;N(INDEX(Setup!$L$6:$L$23,6)))+(COUNTIF(K2513:M2513,"?*")&lt;N(INDEX(Setup!$L$6:$L$23,6)))+(COUNTIF(O2513:Q2513,"?*")&lt;N(INDEX(Setup!$L$6:$L$23,6)))+(COUNTIF(S2513:U2513,"?*")&lt;N(INDEX(Setup!$L$6:$L$23,6)))+((W2513="")*(INDEX(Setup!$M$6:$M$23,6)="Y"))+((Y2513="")*(INDEX(Setup!$M$6:$M$23,6)="Y")))</f>
        <v/>
      </c>
      <c r="AC2513" s="91">
        <f>IF($B2513="","",IF(AB2513=0,"✓ covered","⚠ "&amp;AB2513&amp;IF(AB2513=1," gap"," gaps")))</f>
        <v/>
      </c>
    </row>
    <row r="2514" ht="17" customHeight="1">
      <c r="A2514" t="n">
        <v>51</v>
      </c>
      <c r="B2514" s="24">
        <f>IF(Setup!$K$12="","",Setup!$K$12)</f>
        <v/>
      </c>
      <c r="C2514" s="88" t="n"/>
      <c r="D2514" s="88" t="n"/>
      <c r="E2514" s="88" t="n"/>
      <c r="F2514" s="89" t="n"/>
      <c r="G2514" s="88" t="n"/>
      <c r="H2514" s="88" t="n"/>
      <c r="I2514" s="88" t="n"/>
      <c r="J2514" s="89" t="n"/>
      <c r="K2514" s="88" t="n"/>
      <c r="L2514" s="88" t="n"/>
      <c r="M2514" s="88" t="n"/>
      <c r="N2514" s="89" t="n"/>
      <c r="O2514" s="88" t="n"/>
      <c r="P2514" s="88" t="n"/>
      <c r="Q2514" s="88" t="n"/>
      <c r="R2514" s="89" t="n"/>
      <c r="S2514" s="88" t="n"/>
      <c r="T2514" s="88" t="n"/>
      <c r="U2514" s="88" t="n"/>
      <c r="V2514" s="89" t="n"/>
      <c r="W2514" s="88" t="n"/>
      <c r="X2514" s="89" t="n"/>
      <c r="Y2514" s="88" t="n"/>
      <c r="Z2514" s="89" t="n"/>
      <c r="AB2514" s="25">
        <f>IF($B2514="","",(COUNTIF(C2514:E2514,"?*")&lt;N(INDEX(Setup!$L$6:$L$23,7)))+(COUNTIF(G2514:I2514,"?*")&lt;N(INDEX(Setup!$L$6:$L$23,7)))+(COUNTIF(K2514:M2514,"?*")&lt;N(INDEX(Setup!$L$6:$L$23,7)))+(COUNTIF(O2514:Q2514,"?*")&lt;N(INDEX(Setup!$L$6:$L$23,7)))+(COUNTIF(S2514:U2514,"?*")&lt;N(INDEX(Setup!$L$6:$L$23,7)))+((W2514="")*(INDEX(Setup!$M$6:$M$23,7)="Y"))+((Y2514="")*(INDEX(Setup!$M$6:$M$23,7)="Y")))</f>
        <v/>
      </c>
      <c r="AC2514" s="90">
        <f>IF($B2514="","",IF(AB2514=0,"✓ covered","⚠ "&amp;AB2514&amp;IF(AB2514=1," gap"," gaps")))</f>
        <v/>
      </c>
    </row>
    <row r="2515" ht="17" customHeight="1">
      <c r="A2515" t="n">
        <v>51</v>
      </c>
      <c r="B2515" s="29">
        <f>IF(Setup!$K$13="","",Setup!$K$13)</f>
        <v/>
      </c>
      <c r="C2515" s="88" t="n"/>
      <c r="D2515" s="88" t="n"/>
      <c r="E2515" s="88" t="n"/>
      <c r="F2515" s="89" t="n"/>
      <c r="G2515" s="88" t="n"/>
      <c r="H2515" s="88" t="n"/>
      <c r="I2515" s="88" t="n"/>
      <c r="J2515" s="89" t="n"/>
      <c r="K2515" s="88" t="n"/>
      <c r="L2515" s="88" t="n"/>
      <c r="M2515" s="88" t="n"/>
      <c r="N2515" s="89" t="n"/>
      <c r="O2515" s="88" t="n"/>
      <c r="P2515" s="88" t="n"/>
      <c r="Q2515" s="88" t="n"/>
      <c r="R2515" s="89" t="n"/>
      <c r="S2515" s="88" t="n"/>
      <c r="T2515" s="88" t="n"/>
      <c r="U2515" s="88" t="n"/>
      <c r="V2515" s="89" t="n"/>
      <c r="W2515" s="88" t="n"/>
      <c r="X2515" s="89" t="n"/>
      <c r="Y2515" s="88" t="n"/>
      <c r="Z2515" s="89" t="n"/>
      <c r="AB2515" s="30">
        <f>IF($B2515="","",(COUNTIF(C2515:E2515,"?*")&lt;N(INDEX(Setup!$L$6:$L$23,8)))+(COUNTIF(G2515:I2515,"?*")&lt;N(INDEX(Setup!$L$6:$L$23,8)))+(COUNTIF(K2515:M2515,"?*")&lt;N(INDEX(Setup!$L$6:$L$23,8)))+(COUNTIF(O2515:Q2515,"?*")&lt;N(INDEX(Setup!$L$6:$L$23,8)))+(COUNTIF(S2515:U2515,"?*")&lt;N(INDEX(Setup!$L$6:$L$23,8)))+((W2515="")*(INDEX(Setup!$M$6:$M$23,8)="Y"))+((Y2515="")*(INDEX(Setup!$M$6:$M$23,8)="Y")))</f>
        <v/>
      </c>
      <c r="AC2515" s="91">
        <f>IF($B2515="","",IF(AB2515=0,"✓ covered","⚠ "&amp;AB2515&amp;IF(AB2515=1," gap"," gaps")))</f>
        <v/>
      </c>
    </row>
    <row r="2516" ht="17" customHeight="1">
      <c r="A2516" t="n">
        <v>51</v>
      </c>
      <c r="B2516" s="24">
        <f>IF(Setup!$K$14="","",Setup!$K$14)</f>
        <v/>
      </c>
      <c r="C2516" s="88" t="n"/>
      <c r="D2516" s="88" t="n"/>
      <c r="E2516" s="88" t="n"/>
      <c r="F2516" s="89" t="n"/>
      <c r="G2516" s="88" t="n"/>
      <c r="H2516" s="88" t="n"/>
      <c r="I2516" s="88" t="n"/>
      <c r="J2516" s="89" t="n"/>
      <c r="K2516" s="88" t="n"/>
      <c r="L2516" s="88" t="n"/>
      <c r="M2516" s="88" t="n"/>
      <c r="N2516" s="89" t="n"/>
      <c r="O2516" s="88" t="n"/>
      <c r="P2516" s="88" t="n"/>
      <c r="Q2516" s="88" t="n"/>
      <c r="R2516" s="89" t="n"/>
      <c r="S2516" s="88" t="n"/>
      <c r="T2516" s="88" t="n"/>
      <c r="U2516" s="88" t="n"/>
      <c r="V2516" s="89" t="n"/>
      <c r="W2516" s="88" t="n"/>
      <c r="X2516" s="89" t="n"/>
      <c r="Y2516" s="88" t="n"/>
      <c r="Z2516" s="89" t="n"/>
      <c r="AB2516" s="25">
        <f>IF($B2516="","",(COUNTIF(C2516:E2516,"?*")&lt;N(INDEX(Setup!$L$6:$L$23,9)))+(COUNTIF(G2516:I2516,"?*")&lt;N(INDEX(Setup!$L$6:$L$23,9)))+(COUNTIF(K2516:M2516,"?*")&lt;N(INDEX(Setup!$L$6:$L$23,9)))+(COUNTIF(O2516:Q2516,"?*")&lt;N(INDEX(Setup!$L$6:$L$23,9)))+(COUNTIF(S2516:U2516,"?*")&lt;N(INDEX(Setup!$L$6:$L$23,9)))+((W2516="")*(INDEX(Setup!$M$6:$M$23,9)="Y"))+((Y2516="")*(INDEX(Setup!$M$6:$M$23,9)="Y")))</f>
        <v/>
      </c>
      <c r="AC2516" s="90">
        <f>IF($B2516="","",IF(AB2516=0,"✓ covered","⚠ "&amp;AB2516&amp;IF(AB2516=1," gap"," gaps")))</f>
        <v/>
      </c>
    </row>
    <row r="2517" ht="17" customHeight="1">
      <c r="A2517" t="n">
        <v>51</v>
      </c>
      <c r="B2517" s="29">
        <f>IF(Setup!$K$15="","",Setup!$K$15)</f>
        <v/>
      </c>
      <c r="C2517" s="88" t="n"/>
      <c r="D2517" s="88" t="n"/>
      <c r="E2517" s="88" t="n"/>
      <c r="F2517" s="89" t="n"/>
      <c r="G2517" s="88" t="n"/>
      <c r="H2517" s="88" t="n"/>
      <c r="I2517" s="88" t="n"/>
      <c r="J2517" s="89" t="n"/>
      <c r="K2517" s="88" t="n"/>
      <c r="L2517" s="88" t="n"/>
      <c r="M2517" s="88" t="n"/>
      <c r="N2517" s="89" t="n"/>
      <c r="O2517" s="88" t="n"/>
      <c r="P2517" s="88" t="n"/>
      <c r="Q2517" s="88" t="n"/>
      <c r="R2517" s="89" t="n"/>
      <c r="S2517" s="88" t="n"/>
      <c r="T2517" s="88" t="n"/>
      <c r="U2517" s="88" t="n"/>
      <c r="V2517" s="89" t="n"/>
      <c r="W2517" s="88" t="n"/>
      <c r="X2517" s="89" t="n"/>
      <c r="Y2517" s="88" t="n"/>
      <c r="Z2517" s="89" t="n"/>
      <c r="AB2517" s="30">
        <f>IF($B2517="","",(COUNTIF(C2517:E2517,"?*")&lt;N(INDEX(Setup!$L$6:$L$23,10)))+(COUNTIF(G2517:I2517,"?*")&lt;N(INDEX(Setup!$L$6:$L$23,10)))+(COUNTIF(K2517:M2517,"?*")&lt;N(INDEX(Setup!$L$6:$L$23,10)))+(COUNTIF(O2517:Q2517,"?*")&lt;N(INDEX(Setup!$L$6:$L$23,10)))+(COUNTIF(S2517:U2517,"?*")&lt;N(INDEX(Setup!$L$6:$L$23,10)))+((W2517="")*(INDEX(Setup!$M$6:$M$23,10)="Y"))+((Y2517="")*(INDEX(Setup!$M$6:$M$23,10)="Y")))</f>
        <v/>
      </c>
      <c r="AC2517" s="91">
        <f>IF($B2517="","",IF(AB2517=0,"✓ covered","⚠ "&amp;AB2517&amp;IF(AB2517=1," gap"," gaps")))</f>
        <v/>
      </c>
    </row>
    <row r="2518" ht="17" customHeight="1">
      <c r="A2518" t="n">
        <v>51</v>
      </c>
      <c r="B2518" s="24">
        <f>IF(Setup!$K$16="","",Setup!$K$16)</f>
        <v/>
      </c>
      <c r="C2518" s="88" t="n"/>
      <c r="D2518" s="88" t="n"/>
      <c r="E2518" s="88" t="n"/>
      <c r="F2518" s="89" t="n"/>
      <c r="G2518" s="88" t="n"/>
      <c r="H2518" s="88" t="n"/>
      <c r="I2518" s="88" t="n"/>
      <c r="J2518" s="89" t="n"/>
      <c r="K2518" s="88" t="n"/>
      <c r="L2518" s="88" t="n"/>
      <c r="M2518" s="88" t="n"/>
      <c r="N2518" s="89" t="n"/>
      <c r="O2518" s="88" t="n"/>
      <c r="P2518" s="88" t="n"/>
      <c r="Q2518" s="88" t="n"/>
      <c r="R2518" s="89" t="n"/>
      <c r="S2518" s="88" t="n"/>
      <c r="T2518" s="88" t="n"/>
      <c r="U2518" s="88" t="n"/>
      <c r="V2518" s="89" t="n"/>
      <c r="W2518" s="88" t="n"/>
      <c r="X2518" s="89" t="n"/>
      <c r="Y2518" s="88" t="n"/>
      <c r="Z2518" s="89" t="n"/>
      <c r="AB2518" s="25">
        <f>IF($B2518="","",(COUNTIF(C2518:E2518,"?*")&lt;N(INDEX(Setup!$L$6:$L$23,11)))+(COUNTIF(G2518:I2518,"?*")&lt;N(INDEX(Setup!$L$6:$L$23,11)))+(COUNTIF(K2518:M2518,"?*")&lt;N(INDEX(Setup!$L$6:$L$23,11)))+(COUNTIF(O2518:Q2518,"?*")&lt;N(INDEX(Setup!$L$6:$L$23,11)))+(COUNTIF(S2518:U2518,"?*")&lt;N(INDEX(Setup!$L$6:$L$23,11)))+((W2518="")*(INDEX(Setup!$M$6:$M$23,11)="Y"))+((Y2518="")*(INDEX(Setup!$M$6:$M$23,11)="Y")))</f>
        <v/>
      </c>
      <c r="AC2518" s="90">
        <f>IF($B2518="","",IF(AB2518=0,"✓ covered","⚠ "&amp;AB2518&amp;IF(AB2518=1," gap"," gaps")))</f>
        <v/>
      </c>
    </row>
    <row r="2519" ht="17" customHeight="1">
      <c r="A2519" t="n">
        <v>51</v>
      </c>
      <c r="B2519" s="29">
        <f>IF(Setup!$K$17="","",Setup!$K$17)</f>
        <v/>
      </c>
      <c r="C2519" s="88" t="n"/>
      <c r="D2519" s="88" t="n"/>
      <c r="E2519" s="88" t="n"/>
      <c r="F2519" s="89" t="n"/>
      <c r="G2519" s="88" t="n"/>
      <c r="H2519" s="88" t="n"/>
      <c r="I2519" s="88" t="n"/>
      <c r="J2519" s="89" t="n"/>
      <c r="K2519" s="88" t="n"/>
      <c r="L2519" s="88" t="n"/>
      <c r="M2519" s="88" t="n"/>
      <c r="N2519" s="89" t="n"/>
      <c r="O2519" s="88" t="n"/>
      <c r="P2519" s="88" t="n"/>
      <c r="Q2519" s="88" t="n"/>
      <c r="R2519" s="89" t="n"/>
      <c r="S2519" s="88" t="n"/>
      <c r="T2519" s="88" t="n"/>
      <c r="U2519" s="88" t="n"/>
      <c r="V2519" s="89" t="n"/>
      <c r="W2519" s="88" t="n"/>
      <c r="X2519" s="89" t="n"/>
      <c r="Y2519" s="88" t="n"/>
      <c r="Z2519" s="89" t="n"/>
      <c r="AB2519" s="30">
        <f>IF($B2519="","",(COUNTIF(C2519:E2519,"?*")&lt;N(INDEX(Setup!$L$6:$L$23,12)))+(COUNTIF(G2519:I2519,"?*")&lt;N(INDEX(Setup!$L$6:$L$23,12)))+(COUNTIF(K2519:M2519,"?*")&lt;N(INDEX(Setup!$L$6:$L$23,12)))+(COUNTIF(O2519:Q2519,"?*")&lt;N(INDEX(Setup!$L$6:$L$23,12)))+(COUNTIF(S2519:U2519,"?*")&lt;N(INDEX(Setup!$L$6:$L$23,12)))+((W2519="")*(INDEX(Setup!$M$6:$M$23,12)="Y"))+((Y2519="")*(INDEX(Setup!$M$6:$M$23,12)="Y")))</f>
        <v/>
      </c>
      <c r="AC2519" s="91">
        <f>IF($B2519="","",IF(AB2519=0,"✓ covered","⚠ "&amp;AB2519&amp;IF(AB2519=1," gap"," gaps")))</f>
        <v/>
      </c>
    </row>
    <row r="2520" ht="17" customHeight="1">
      <c r="A2520" t="n">
        <v>51</v>
      </c>
      <c r="B2520" s="24">
        <f>IF(Setup!$K$18="","",Setup!$K$18)</f>
        <v/>
      </c>
      <c r="C2520" s="88" t="n"/>
      <c r="D2520" s="88" t="n"/>
      <c r="E2520" s="88" t="n"/>
      <c r="F2520" s="89" t="n"/>
      <c r="G2520" s="88" t="n"/>
      <c r="H2520" s="88" t="n"/>
      <c r="I2520" s="88" t="n"/>
      <c r="J2520" s="89" t="n"/>
      <c r="K2520" s="88" t="n"/>
      <c r="L2520" s="88" t="n"/>
      <c r="M2520" s="88" t="n"/>
      <c r="N2520" s="89" t="n"/>
      <c r="O2520" s="88" t="n"/>
      <c r="P2520" s="88" t="n"/>
      <c r="Q2520" s="88" t="n"/>
      <c r="R2520" s="89" t="n"/>
      <c r="S2520" s="88" t="n"/>
      <c r="T2520" s="88" t="n"/>
      <c r="U2520" s="88" t="n"/>
      <c r="V2520" s="89" t="n"/>
      <c r="W2520" s="88" t="n"/>
      <c r="X2520" s="89" t="n"/>
      <c r="Y2520" s="88" t="n"/>
      <c r="Z2520" s="89" t="n"/>
      <c r="AB2520" s="25">
        <f>IF($B2520="","",(COUNTIF(C2520:E2520,"?*")&lt;N(INDEX(Setup!$L$6:$L$23,13)))+(COUNTIF(G2520:I2520,"?*")&lt;N(INDEX(Setup!$L$6:$L$23,13)))+(COUNTIF(K2520:M2520,"?*")&lt;N(INDEX(Setup!$L$6:$L$23,13)))+(COUNTIF(O2520:Q2520,"?*")&lt;N(INDEX(Setup!$L$6:$L$23,13)))+(COUNTIF(S2520:U2520,"?*")&lt;N(INDEX(Setup!$L$6:$L$23,13)))+((W2520="")*(INDEX(Setup!$M$6:$M$23,13)="Y"))+((Y2520="")*(INDEX(Setup!$M$6:$M$23,13)="Y")))</f>
        <v/>
      </c>
      <c r="AC2520" s="90">
        <f>IF($B2520="","",IF(AB2520=0,"✓ covered","⚠ "&amp;AB2520&amp;IF(AB2520=1," gap"," gaps")))</f>
        <v/>
      </c>
    </row>
    <row r="2521" ht="17" customHeight="1">
      <c r="A2521" t="n">
        <v>51</v>
      </c>
      <c r="B2521" s="29">
        <f>IF(Setup!$K$19="","",Setup!$K$19)</f>
        <v/>
      </c>
      <c r="C2521" s="88" t="n"/>
      <c r="D2521" s="88" t="n"/>
      <c r="E2521" s="88" t="n"/>
      <c r="F2521" s="89" t="n"/>
      <c r="G2521" s="88" t="n"/>
      <c r="H2521" s="88" t="n"/>
      <c r="I2521" s="88" t="n"/>
      <c r="J2521" s="89" t="n"/>
      <c r="K2521" s="88" t="n"/>
      <c r="L2521" s="88" t="n"/>
      <c r="M2521" s="88" t="n"/>
      <c r="N2521" s="89" t="n"/>
      <c r="O2521" s="88" t="n"/>
      <c r="P2521" s="88" t="n"/>
      <c r="Q2521" s="88" t="n"/>
      <c r="R2521" s="89" t="n"/>
      <c r="S2521" s="88" t="n"/>
      <c r="T2521" s="88" t="n"/>
      <c r="U2521" s="88" t="n"/>
      <c r="V2521" s="89" t="n"/>
      <c r="W2521" s="88" t="n"/>
      <c r="X2521" s="89" t="n"/>
      <c r="Y2521" s="88" t="n"/>
      <c r="Z2521" s="89" t="n"/>
      <c r="AB2521" s="30">
        <f>IF($B2521="","",(COUNTIF(C2521:E2521,"?*")&lt;N(INDEX(Setup!$L$6:$L$23,14)))+(COUNTIF(G2521:I2521,"?*")&lt;N(INDEX(Setup!$L$6:$L$23,14)))+(COUNTIF(K2521:M2521,"?*")&lt;N(INDEX(Setup!$L$6:$L$23,14)))+(COUNTIF(O2521:Q2521,"?*")&lt;N(INDEX(Setup!$L$6:$L$23,14)))+(COUNTIF(S2521:U2521,"?*")&lt;N(INDEX(Setup!$L$6:$L$23,14)))+((W2521="")*(INDEX(Setup!$M$6:$M$23,14)="Y"))+((Y2521="")*(INDEX(Setup!$M$6:$M$23,14)="Y")))</f>
        <v/>
      </c>
      <c r="AC2521" s="91">
        <f>IF($B2521="","",IF(AB2521=0,"✓ covered","⚠ "&amp;AB2521&amp;IF(AB2521=1," gap"," gaps")))</f>
        <v/>
      </c>
    </row>
    <row r="2522" ht="17" customHeight="1">
      <c r="A2522" t="n">
        <v>51</v>
      </c>
      <c r="B2522" s="24">
        <f>IF(Setup!$K$20="","",Setup!$K$20)</f>
        <v/>
      </c>
      <c r="C2522" s="88" t="n"/>
      <c r="D2522" s="88" t="n"/>
      <c r="E2522" s="88" t="n"/>
      <c r="F2522" s="89" t="n"/>
      <c r="G2522" s="88" t="n"/>
      <c r="H2522" s="88" t="n"/>
      <c r="I2522" s="88" t="n"/>
      <c r="J2522" s="89" t="n"/>
      <c r="K2522" s="88" t="n"/>
      <c r="L2522" s="88" t="n"/>
      <c r="M2522" s="88" t="n"/>
      <c r="N2522" s="89" t="n"/>
      <c r="O2522" s="88" t="n"/>
      <c r="P2522" s="88" t="n"/>
      <c r="Q2522" s="88" t="n"/>
      <c r="R2522" s="89" t="n"/>
      <c r="S2522" s="88" t="n"/>
      <c r="T2522" s="88" t="n"/>
      <c r="U2522" s="88" t="n"/>
      <c r="V2522" s="89" t="n"/>
      <c r="W2522" s="88" t="n"/>
      <c r="X2522" s="89" t="n"/>
      <c r="Y2522" s="88" t="n"/>
      <c r="Z2522" s="89" t="n"/>
      <c r="AB2522" s="25">
        <f>IF($B2522="","",(COUNTIF(C2522:E2522,"?*")&lt;N(INDEX(Setup!$L$6:$L$23,15)))+(COUNTIF(G2522:I2522,"?*")&lt;N(INDEX(Setup!$L$6:$L$23,15)))+(COUNTIF(K2522:M2522,"?*")&lt;N(INDEX(Setup!$L$6:$L$23,15)))+(COUNTIF(O2522:Q2522,"?*")&lt;N(INDEX(Setup!$L$6:$L$23,15)))+(COUNTIF(S2522:U2522,"?*")&lt;N(INDEX(Setup!$L$6:$L$23,15)))+((W2522="")*(INDEX(Setup!$M$6:$M$23,15)="Y"))+((Y2522="")*(INDEX(Setup!$M$6:$M$23,15)="Y")))</f>
        <v/>
      </c>
      <c r="AC2522" s="90">
        <f>IF($B2522="","",IF(AB2522=0,"✓ covered","⚠ "&amp;AB2522&amp;IF(AB2522=1," gap"," gaps")))</f>
        <v/>
      </c>
    </row>
    <row r="2523" ht="17" customHeight="1">
      <c r="A2523" t="n">
        <v>51</v>
      </c>
      <c r="B2523" s="29">
        <f>IF(Setup!$K$21="","",Setup!$K$21)</f>
        <v/>
      </c>
      <c r="C2523" s="88" t="n"/>
      <c r="D2523" s="88" t="n"/>
      <c r="E2523" s="88" t="n"/>
      <c r="F2523" s="89" t="n"/>
      <c r="G2523" s="88" t="n"/>
      <c r="H2523" s="88" t="n"/>
      <c r="I2523" s="88" t="n"/>
      <c r="J2523" s="89" t="n"/>
      <c r="K2523" s="88" t="n"/>
      <c r="L2523" s="88" t="n"/>
      <c r="M2523" s="88" t="n"/>
      <c r="N2523" s="89" t="n"/>
      <c r="O2523" s="88" t="n"/>
      <c r="P2523" s="88" t="n"/>
      <c r="Q2523" s="88" t="n"/>
      <c r="R2523" s="89" t="n"/>
      <c r="S2523" s="88" t="n"/>
      <c r="T2523" s="88" t="n"/>
      <c r="U2523" s="88" t="n"/>
      <c r="V2523" s="89" t="n"/>
      <c r="W2523" s="88" t="n"/>
      <c r="X2523" s="89" t="n"/>
      <c r="Y2523" s="88" t="n"/>
      <c r="Z2523" s="89" t="n"/>
      <c r="AB2523" s="30">
        <f>IF($B2523="","",(COUNTIF(C2523:E2523,"?*")&lt;N(INDEX(Setup!$L$6:$L$23,16)))+(COUNTIF(G2523:I2523,"?*")&lt;N(INDEX(Setup!$L$6:$L$23,16)))+(COUNTIF(K2523:M2523,"?*")&lt;N(INDEX(Setup!$L$6:$L$23,16)))+(COUNTIF(O2523:Q2523,"?*")&lt;N(INDEX(Setup!$L$6:$L$23,16)))+(COUNTIF(S2523:U2523,"?*")&lt;N(INDEX(Setup!$L$6:$L$23,16)))+((W2523="")*(INDEX(Setup!$M$6:$M$23,16)="Y"))+((Y2523="")*(INDEX(Setup!$M$6:$M$23,16)="Y")))</f>
        <v/>
      </c>
      <c r="AC2523" s="91">
        <f>IF($B2523="","",IF(AB2523=0,"✓ covered","⚠ "&amp;AB2523&amp;IF(AB2523=1," gap"," gaps")))</f>
        <v/>
      </c>
    </row>
    <row r="2524" ht="17" customHeight="1">
      <c r="A2524" t="n">
        <v>51</v>
      </c>
      <c r="B2524" s="24">
        <f>IF(Setup!$K$22="","",Setup!$K$22)</f>
        <v/>
      </c>
      <c r="C2524" s="88" t="n"/>
      <c r="D2524" s="88" t="n"/>
      <c r="E2524" s="88" t="n"/>
      <c r="F2524" s="89" t="n"/>
      <c r="G2524" s="88" t="n"/>
      <c r="H2524" s="88" t="n"/>
      <c r="I2524" s="88" t="n"/>
      <c r="J2524" s="89" t="n"/>
      <c r="K2524" s="88" t="n"/>
      <c r="L2524" s="88" t="n"/>
      <c r="M2524" s="88" t="n"/>
      <c r="N2524" s="89" t="n"/>
      <c r="O2524" s="88" t="n"/>
      <c r="P2524" s="88" t="n"/>
      <c r="Q2524" s="88" t="n"/>
      <c r="R2524" s="89" t="n"/>
      <c r="S2524" s="88" t="n"/>
      <c r="T2524" s="88" t="n"/>
      <c r="U2524" s="88" t="n"/>
      <c r="V2524" s="89" t="n"/>
      <c r="W2524" s="88" t="n"/>
      <c r="X2524" s="89" t="n"/>
      <c r="Y2524" s="88" t="n"/>
      <c r="Z2524" s="89" t="n"/>
      <c r="AB2524" s="25">
        <f>IF($B2524="","",(COUNTIF(C2524:E2524,"?*")&lt;N(INDEX(Setup!$L$6:$L$23,17)))+(COUNTIF(G2524:I2524,"?*")&lt;N(INDEX(Setup!$L$6:$L$23,17)))+(COUNTIF(K2524:M2524,"?*")&lt;N(INDEX(Setup!$L$6:$L$23,17)))+(COUNTIF(O2524:Q2524,"?*")&lt;N(INDEX(Setup!$L$6:$L$23,17)))+(COUNTIF(S2524:U2524,"?*")&lt;N(INDEX(Setup!$L$6:$L$23,17)))+((W2524="")*(INDEX(Setup!$M$6:$M$23,17)="Y"))+((Y2524="")*(INDEX(Setup!$M$6:$M$23,17)="Y")))</f>
        <v/>
      </c>
      <c r="AC2524" s="90">
        <f>IF($B2524="","",IF(AB2524=0,"✓ covered","⚠ "&amp;AB2524&amp;IF(AB2524=1," gap"," gaps")))</f>
        <v/>
      </c>
    </row>
    <row r="2525" ht="17" customHeight="1">
      <c r="A2525" t="n">
        <v>51</v>
      </c>
      <c r="B2525" s="29">
        <f>IF(Setup!$K$23="","",Setup!$K$23)</f>
        <v/>
      </c>
      <c r="C2525" s="88" t="n"/>
      <c r="D2525" s="88" t="n"/>
      <c r="E2525" s="88" t="n"/>
      <c r="F2525" s="89" t="n"/>
      <c r="G2525" s="88" t="n"/>
      <c r="H2525" s="88" t="n"/>
      <c r="I2525" s="88" t="n"/>
      <c r="J2525" s="89" t="n"/>
      <c r="K2525" s="88" t="n"/>
      <c r="L2525" s="88" t="n"/>
      <c r="M2525" s="88" t="n"/>
      <c r="N2525" s="89" t="n"/>
      <c r="O2525" s="88" t="n"/>
      <c r="P2525" s="88" t="n"/>
      <c r="Q2525" s="88" t="n"/>
      <c r="R2525" s="89" t="n"/>
      <c r="S2525" s="88" t="n"/>
      <c r="T2525" s="88" t="n"/>
      <c r="U2525" s="88" t="n"/>
      <c r="V2525" s="89" t="n"/>
      <c r="W2525" s="88" t="n"/>
      <c r="X2525" s="89" t="n"/>
      <c r="Y2525" s="88" t="n"/>
      <c r="Z2525" s="89" t="n"/>
      <c r="AB2525" s="30">
        <f>IF($B2525="","",(COUNTIF(C2525:E2525,"?*")&lt;N(INDEX(Setup!$L$6:$L$23,18)))+(COUNTIF(G2525:I2525,"?*")&lt;N(INDEX(Setup!$L$6:$L$23,18)))+(COUNTIF(K2525:M2525,"?*")&lt;N(INDEX(Setup!$L$6:$L$23,18)))+(COUNTIF(O2525:Q2525,"?*")&lt;N(INDEX(Setup!$L$6:$L$23,18)))+(COUNTIF(S2525:U2525,"?*")&lt;N(INDEX(Setup!$L$6:$L$23,18)))+((W2525="")*(INDEX(Setup!$M$6:$M$23,18)="Y"))+((Y2525="")*(INDEX(Setup!$M$6:$M$23,18)="Y")))</f>
        <v/>
      </c>
      <c r="AC2525" s="91">
        <f>IF($B2525="","",IF(AB2525=0,"✓ covered","⚠ "&amp;AB2525&amp;IF(AB2525=1," gap"," gaps")))</f>
        <v/>
      </c>
    </row>
    <row r="2526" ht="18" customHeight="1">
      <c r="A2526" t="n">
        <v>51</v>
      </c>
      <c r="B2526" s="78" t="inlineStr">
        <is>
          <t>TEAM AVAILABILITY</t>
        </is>
      </c>
      <c r="C2526" s="92" t="inlineStr">
        <is>
          <t>Mon</t>
        </is>
      </c>
      <c r="D2526" s="93" t="n"/>
      <c r="E2526" s="93" t="n"/>
      <c r="F2526" s="94" t="n"/>
      <c r="G2526" s="92" t="inlineStr">
        <is>
          <t>Tue</t>
        </is>
      </c>
      <c r="H2526" s="93" t="n"/>
      <c r="I2526" s="93" t="n"/>
      <c r="J2526" s="94" t="n"/>
      <c r="K2526" s="92" t="inlineStr">
        <is>
          <t>Wed</t>
        </is>
      </c>
      <c r="L2526" s="93" t="n"/>
      <c r="M2526" s="93" t="n"/>
      <c r="N2526" s="94" t="n"/>
      <c r="O2526" s="92" t="inlineStr">
        <is>
          <t>Thu</t>
        </is>
      </c>
      <c r="P2526" s="93" t="n"/>
      <c r="Q2526" s="93" t="n"/>
      <c r="R2526" s="94" t="n"/>
      <c r="S2526" s="92" t="inlineStr">
        <is>
          <t>Fri</t>
        </is>
      </c>
      <c r="T2526" s="93" t="n"/>
      <c r="U2526" s="93" t="n"/>
      <c r="V2526" s="94" t="n"/>
      <c r="W2526" s="95" t="inlineStr">
        <is>
          <t>Sat</t>
        </is>
      </c>
      <c r="X2526" s="96" t="n"/>
      <c r="Y2526" s="95" t="inlineStr">
        <is>
          <t>Sun</t>
        </is>
      </c>
      <c r="Z2526" s="96" t="n"/>
      <c r="AB2526" s="97" t="inlineStr">
        <is>
          <t>Days rostered</t>
        </is>
      </c>
      <c r="AC2526" s="97" t="inlineStr">
        <is>
          <t>Conflicts</t>
        </is>
      </c>
    </row>
    <row r="2527" ht="15" customHeight="1">
      <c r="A2527" t="n">
        <v>51</v>
      </c>
      <c r="B2527" s="35">
        <f>IF(Setup!$B$6="","",Setup!$B$6)</f>
        <v/>
      </c>
      <c r="C2527" s="98" t="n"/>
      <c r="D2527" s="99" t="n"/>
      <c r="E2527" s="99" t="n"/>
      <c r="F2527" s="100" t="n"/>
      <c r="G2527" s="98" t="n"/>
      <c r="H2527" s="99" t="n"/>
      <c r="I2527" s="99" t="n"/>
      <c r="J2527" s="100" t="n"/>
      <c r="K2527" s="98" t="n"/>
      <c r="L2527" s="99" t="n"/>
      <c r="M2527" s="99" t="n"/>
      <c r="N2527" s="100" t="n"/>
      <c r="O2527" s="98" t="n"/>
      <c r="P2527" s="99" t="n"/>
      <c r="Q2527" s="99" t="n"/>
      <c r="R2527" s="100" t="n"/>
      <c r="S2527" s="98" t="n"/>
      <c r="T2527" s="99" t="n"/>
      <c r="U2527" s="99" t="n"/>
      <c r="V2527" s="100" t="n"/>
      <c r="W2527" s="98" t="n"/>
      <c r="X2527" s="100" t="n"/>
      <c r="Y2527" s="98" t="n"/>
      <c r="Z2527" s="100" t="n"/>
      <c r="AB2527" s="101">
        <f>IF($B2527="","",(COUNTIF(C2508:E2525,$B2527)+COUNTIF(C2508:E2525,$B2527&amp;" ~*")&gt;0)+(COUNTIF(G2508:I2525,$B2527)+COUNTIF(G2508:I2525,$B2527&amp;" ~*")&gt;0)+(COUNTIF(K2508:M2525,$B2527)+COUNTIF(K2508:M2525,$B2527&amp;" ~*")&gt;0)+(COUNTIF(O2508:Q2525,$B2527)+COUNTIF(O2508:Q2525,$B2527&amp;" ~*")&gt;0)+(COUNTIF(S2508:U2525,$B2527)+COUNTIF(S2508:U2525,$B2527&amp;" ~*")&gt;0)+(COUNTIF(W2508:W2525,$B2527)+COUNTIF(W2508:W2525,$B2527&amp;" ~*")&gt;0)+(COUNTIF(Y2508:Y2525,$B2527)+COUNTIF(Y2508:Y2525,$B2527&amp;" ~*")&gt;0))</f>
        <v/>
      </c>
      <c r="AC2527" s="36">
        <f>IF($B2527="","",(IFERROR(INDEX(Setup!$G$33:$G$40,MATCH(C2527,Setup!$B$33:$B$40,0)),0)=1)*(COUNTIF(C2508:E2525,$B2527)+COUNTIF(C2508:E2525,$B2527&amp;" ~*")&gt;0)+(IFERROR(INDEX(Setup!$G$33:$G$40,MATCH(G2527,Setup!$B$33:$B$40,0)),0)=1)*(COUNTIF(G2508:I2525,$B2527)+COUNTIF(G2508:I2525,$B2527&amp;" ~*")&gt;0)+(IFERROR(INDEX(Setup!$G$33:$G$40,MATCH(K2527,Setup!$B$33:$B$40,0)),0)=1)*(COUNTIF(K2508:M2525,$B2527)+COUNTIF(K2508:M2525,$B2527&amp;" ~*")&gt;0)+(IFERROR(INDEX(Setup!$G$33:$G$40,MATCH(O2527,Setup!$B$33:$B$40,0)),0)=1)*(COUNTIF(O2508:Q2525,$B2527)+COUNTIF(O2508:Q2525,$B2527&amp;" ~*")&gt;0)+(IFERROR(INDEX(Setup!$G$33:$G$40,MATCH(S2527,Setup!$B$33:$B$40,0)),0)=1)*(COUNTIF(S2508:U2525,$B2527)+COUNTIF(S2508:U2525,$B2527&amp;" ~*")&gt;0)+(IFERROR(INDEX(Setup!$G$33:$G$40,MATCH(W2527,Setup!$B$33:$B$40,0)),0)=1)*(COUNTIF(W2508:W2525,$B2527)+COUNTIF(W2508:W2525,$B2527&amp;" ~*")&gt;0)+(IFERROR(INDEX(Setup!$G$33:$G$40,MATCH(Y2527,Setup!$B$33:$B$40,0)),0)=1)*(COUNTIF(Y2508:Y2525,$B2527)+COUNTIF(Y2508:Y2525,$B2527&amp;" ~*")&gt;0))</f>
        <v/>
      </c>
    </row>
    <row r="2528" ht="15" customHeight="1">
      <c r="A2528" t="n">
        <v>51</v>
      </c>
      <c r="B2528" s="37">
        <f>IF(Setup!$B$7="","",Setup!$B$7)</f>
        <v/>
      </c>
      <c r="C2528" s="102" t="n"/>
      <c r="D2528" s="103" t="n"/>
      <c r="E2528" s="103" t="n"/>
      <c r="F2528" s="104" t="n"/>
      <c r="G2528" s="102" t="n"/>
      <c r="H2528" s="103" t="n"/>
      <c r="I2528" s="103" t="n"/>
      <c r="J2528" s="104" t="n"/>
      <c r="K2528" s="102" t="n"/>
      <c r="L2528" s="103" t="n"/>
      <c r="M2528" s="103" t="n"/>
      <c r="N2528" s="104" t="n"/>
      <c r="O2528" s="102" t="n"/>
      <c r="P2528" s="103" t="n"/>
      <c r="Q2528" s="103" t="n"/>
      <c r="R2528" s="104" t="n"/>
      <c r="S2528" s="102" t="n"/>
      <c r="T2528" s="103" t="n"/>
      <c r="U2528" s="103" t="n"/>
      <c r="V2528" s="104" t="n"/>
      <c r="W2528" s="102" t="n"/>
      <c r="X2528" s="104" t="n"/>
      <c r="Y2528" s="102" t="n"/>
      <c r="Z2528" s="104" t="n"/>
      <c r="AB2528" s="105">
        <f>IF($B2528="","",(COUNTIF(C2508:E2525,$B2528)+COUNTIF(C2508:E2525,$B2528&amp;" ~*")&gt;0)+(COUNTIF(G2508:I2525,$B2528)+COUNTIF(G2508:I2525,$B2528&amp;" ~*")&gt;0)+(COUNTIF(K2508:M2525,$B2528)+COUNTIF(K2508:M2525,$B2528&amp;" ~*")&gt;0)+(COUNTIF(O2508:Q2525,$B2528)+COUNTIF(O2508:Q2525,$B2528&amp;" ~*")&gt;0)+(COUNTIF(S2508:U2525,$B2528)+COUNTIF(S2508:U2525,$B2528&amp;" ~*")&gt;0)+(COUNTIF(W2508:W2525,$B2528)+COUNTIF(W2508:W2525,$B2528&amp;" ~*")&gt;0)+(COUNTIF(Y2508:Y2525,$B2528)+COUNTIF(Y2508:Y2525,$B2528&amp;" ~*")&gt;0))</f>
        <v/>
      </c>
      <c r="AC2528" s="38">
        <f>IF($B2528="","",(IFERROR(INDEX(Setup!$G$33:$G$40,MATCH(C2528,Setup!$B$33:$B$40,0)),0)=1)*(COUNTIF(C2508:E2525,$B2528)+COUNTIF(C2508:E2525,$B2528&amp;" ~*")&gt;0)+(IFERROR(INDEX(Setup!$G$33:$G$40,MATCH(G2528,Setup!$B$33:$B$40,0)),0)=1)*(COUNTIF(G2508:I2525,$B2528)+COUNTIF(G2508:I2525,$B2528&amp;" ~*")&gt;0)+(IFERROR(INDEX(Setup!$G$33:$G$40,MATCH(K2528,Setup!$B$33:$B$40,0)),0)=1)*(COUNTIF(K2508:M2525,$B2528)+COUNTIF(K2508:M2525,$B2528&amp;" ~*")&gt;0)+(IFERROR(INDEX(Setup!$G$33:$G$40,MATCH(O2528,Setup!$B$33:$B$40,0)),0)=1)*(COUNTIF(O2508:Q2525,$B2528)+COUNTIF(O2508:Q2525,$B2528&amp;" ~*")&gt;0)+(IFERROR(INDEX(Setup!$G$33:$G$40,MATCH(S2528,Setup!$B$33:$B$40,0)),0)=1)*(COUNTIF(S2508:U2525,$B2528)+COUNTIF(S2508:U2525,$B2528&amp;" ~*")&gt;0)+(IFERROR(INDEX(Setup!$G$33:$G$40,MATCH(W2528,Setup!$B$33:$B$40,0)),0)=1)*(COUNTIF(W2508:W2525,$B2528)+COUNTIF(W2508:W2525,$B2528&amp;" ~*")&gt;0)+(IFERROR(INDEX(Setup!$G$33:$G$40,MATCH(Y2528,Setup!$B$33:$B$40,0)),0)=1)*(COUNTIF(Y2508:Y2525,$B2528)+COUNTIF(Y2508:Y2525,$B2528&amp;" ~*")&gt;0))</f>
        <v/>
      </c>
    </row>
    <row r="2529" ht="15" customHeight="1">
      <c r="A2529" t="n">
        <v>51</v>
      </c>
      <c r="B2529" s="35">
        <f>IF(Setup!$B$8="","",Setup!$B$8)</f>
        <v/>
      </c>
      <c r="C2529" s="98" t="n"/>
      <c r="D2529" s="99" t="n"/>
      <c r="E2529" s="99" t="n"/>
      <c r="F2529" s="100" t="n"/>
      <c r="G2529" s="98" t="n"/>
      <c r="H2529" s="99" t="n"/>
      <c r="I2529" s="99" t="n"/>
      <c r="J2529" s="100" t="n"/>
      <c r="K2529" s="98" t="n"/>
      <c r="L2529" s="99" t="n"/>
      <c r="M2529" s="99" t="n"/>
      <c r="N2529" s="100" t="n"/>
      <c r="O2529" s="98" t="n"/>
      <c r="P2529" s="99" t="n"/>
      <c r="Q2529" s="99" t="n"/>
      <c r="R2529" s="100" t="n"/>
      <c r="S2529" s="98" t="n"/>
      <c r="T2529" s="99" t="n"/>
      <c r="U2529" s="99" t="n"/>
      <c r="V2529" s="100" t="n"/>
      <c r="W2529" s="98" t="n"/>
      <c r="X2529" s="100" t="n"/>
      <c r="Y2529" s="98" t="n"/>
      <c r="Z2529" s="100" t="n"/>
      <c r="AB2529" s="101">
        <f>IF($B2529="","",(COUNTIF(C2508:E2525,$B2529)+COUNTIF(C2508:E2525,$B2529&amp;" ~*")&gt;0)+(COUNTIF(G2508:I2525,$B2529)+COUNTIF(G2508:I2525,$B2529&amp;" ~*")&gt;0)+(COUNTIF(K2508:M2525,$B2529)+COUNTIF(K2508:M2525,$B2529&amp;" ~*")&gt;0)+(COUNTIF(O2508:Q2525,$B2529)+COUNTIF(O2508:Q2525,$B2529&amp;" ~*")&gt;0)+(COUNTIF(S2508:U2525,$B2529)+COUNTIF(S2508:U2525,$B2529&amp;" ~*")&gt;0)+(COUNTIF(W2508:W2525,$B2529)+COUNTIF(W2508:W2525,$B2529&amp;" ~*")&gt;0)+(COUNTIF(Y2508:Y2525,$B2529)+COUNTIF(Y2508:Y2525,$B2529&amp;" ~*")&gt;0))</f>
        <v/>
      </c>
      <c r="AC2529" s="36">
        <f>IF($B2529="","",(IFERROR(INDEX(Setup!$G$33:$G$40,MATCH(C2529,Setup!$B$33:$B$40,0)),0)=1)*(COUNTIF(C2508:E2525,$B2529)+COUNTIF(C2508:E2525,$B2529&amp;" ~*")&gt;0)+(IFERROR(INDEX(Setup!$G$33:$G$40,MATCH(G2529,Setup!$B$33:$B$40,0)),0)=1)*(COUNTIF(G2508:I2525,$B2529)+COUNTIF(G2508:I2525,$B2529&amp;" ~*")&gt;0)+(IFERROR(INDEX(Setup!$G$33:$G$40,MATCH(K2529,Setup!$B$33:$B$40,0)),0)=1)*(COUNTIF(K2508:M2525,$B2529)+COUNTIF(K2508:M2525,$B2529&amp;" ~*")&gt;0)+(IFERROR(INDEX(Setup!$G$33:$G$40,MATCH(O2529,Setup!$B$33:$B$40,0)),0)=1)*(COUNTIF(O2508:Q2525,$B2529)+COUNTIF(O2508:Q2525,$B2529&amp;" ~*")&gt;0)+(IFERROR(INDEX(Setup!$G$33:$G$40,MATCH(S2529,Setup!$B$33:$B$40,0)),0)=1)*(COUNTIF(S2508:U2525,$B2529)+COUNTIF(S2508:U2525,$B2529&amp;" ~*")&gt;0)+(IFERROR(INDEX(Setup!$G$33:$G$40,MATCH(W2529,Setup!$B$33:$B$40,0)),0)=1)*(COUNTIF(W2508:W2525,$B2529)+COUNTIF(W2508:W2525,$B2529&amp;" ~*")&gt;0)+(IFERROR(INDEX(Setup!$G$33:$G$40,MATCH(Y2529,Setup!$B$33:$B$40,0)),0)=1)*(COUNTIF(Y2508:Y2525,$B2529)+COUNTIF(Y2508:Y2525,$B2529&amp;" ~*")&gt;0))</f>
        <v/>
      </c>
    </row>
    <row r="2530" ht="15" customHeight="1">
      <c r="A2530" t="n">
        <v>51</v>
      </c>
      <c r="B2530" s="37">
        <f>IF(Setup!$B$9="","",Setup!$B$9)</f>
        <v/>
      </c>
      <c r="C2530" s="102" t="n"/>
      <c r="D2530" s="103" t="n"/>
      <c r="E2530" s="103" t="n"/>
      <c r="F2530" s="104" t="n"/>
      <c r="G2530" s="102" t="n"/>
      <c r="H2530" s="103" t="n"/>
      <c r="I2530" s="103" t="n"/>
      <c r="J2530" s="104" t="n"/>
      <c r="K2530" s="102" t="n"/>
      <c r="L2530" s="103" t="n"/>
      <c r="M2530" s="103" t="n"/>
      <c r="N2530" s="104" t="n"/>
      <c r="O2530" s="102" t="n"/>
      <c r="P2530" s="103" t="n"/>
      <c r="Q2530" s="103" t="n"/>
      <c r="R2530" s="104" t="n"/>
      <c r="S2530" s="102" t="n"/>
      <c r="T2530" s="103" t="n"/>
      <c r="U2530" s="103" t="n"/>
      <c r="V2530" s="104" t="n"/>
      <c r="W2530" s="102" t="n"/>
      <c r="X2530" s="104" t="n"/>
      <c r="Y2530" s="102" t="n"/>
      <c r="Z2530" s="104" t="n"/>
      <c r="AB2530" s="105">
        <f>IF($B2530="","",(COUNTIF(C2508:E2525,$B2530)+COUNTIF(C2508:E2525,$B2530&amp;" ~*")&gt;0)+(COUNTIF(G2508:I2525,$B2530)+COUNTIF(G2508:I2525,$B2530&amp;" ~*")&gt;0)+(COUNTIF(K2508:M2525,$B2530)+COUNTIF(K2508:M2525,$B2530&amp;" ~*")&gt;0)+(COUNTIF(O2508:Q2525,$B2530)+COUNTIF(O2508:Q2525,$B2530&amp;" ~*")&gt;0)+(COUNTIF(S2508:U2525,$B2530)+COUNTIF(S2508:U2525,$B2530&amp;" ~*")&gt;0)+(COUNTIF(W2508:W2525,$B2530)+COUNTIF(W2508:W2525,$B2530&amp;" ~*")&gt;0)+(COUNTIF(Y2508:Y2525,$B2530)+COUNTIF(Y2508:Y2525,$B2530&amp;" ~*")&gt;0))</f>
        <v/>
      </c>
      <c r="AC2530" s="38">
        <f>IF($B2530="","",(IFERROR(INDEX(Setup!$G$33:$G$40,MATCH(C2530,Setup!$B$33:$B$40,0)),0)=1)*(COUNTIF(C2508:E2525,$B2530)+COUNTIF(C2508:E2525,$B2530&amp;" ~*")&gt;0)+(IFERROR(INDEX(Setup!$G$33:$G$40,MATCH(G2530,Setup!$B$33:$B$40,0)),0)=1)*(COUNTIF(G2508:I2525,$B2530)+COUNTIF(G2508:I2525,$B2530&amp;" ~*")&gt;0)+(IFERROR(INDEX(Setup!$G$33:$G$40,MATCH(K2530,Setup!$B$33:$B$40,0)),0)=1)*(COUNTIF(K2508:M2525,$B2530)+COUNTIF(K2508:M2525,$B2530&amp;" ~*")&gt;0)+(IFERROR(INDEX(Setup!$G$33:$G$40,MATCH(O2530,Setup!$B$33:$B$40,0)),0)=1)*(COUNTIF(O2508:Q2525,$B2530)+COUNTIF(O2508:Q2525,$B2530&amp;" ~*")&gt;0)+(IFERROR(INDEX(Setup!$G$33:$G$40,MATCH(S2530,Setup!$B$33:$B$40,0)),0)=1)*(COUNTIF(S2508:U2525,$B2530)+COUNTIF(S2508:U2525,$B2530&amp;" ~*")&gt;0)+(IFERROR(INDEX(Setup!$G$33:$G$40,MATCH(W2530,Setup!$B$33:$B$40,0)),0)=1)*(COUNTIF(W2508:W2525,$B2530)+COUNTIF(W2508:W2525,$B2530&amp;" ~*")&gt;0)+(IFERROR(INDEX(Setup!$G$33:$G$40,MATCH(Y2530,Setup!$B$33:$B$40,0)),0)=1)*(COUNTIF(Y2508:Y2525,$B2530)+COUNTIF(Y2508:Y2525,$B2530&amp;" ~*")&gt;0))</f>
        <v/>
      </c>
    </row>
    <row r="2531" ht="15" customHeight="1">
      <c r="A2531" t="n">
        <v>51</v>
      </c>
      <c r="B2531" s="35">
        <f>IF(Setup!$B$10="","",Setup!$B$10)</f>
        <v/>
      </c>
      <c r="C2531" s="98" t="n"/>
      <c r="D2531" s="99" t="n"/>
      <c r="E2531" s="99" t="n"/>
      <c r="F2531" s="100" t="n"/>
      <c r="G2531" s="98" t="n"/>
      <c r="H2531" s="99" t="n"/>
      <c r="I2531" s="99" t="n"/>
      <c r="J2531" s="100" t="n"/>
      <c r="K2531" s="98" t="n"/>
      <c r="L2531" s="99" t="n"/>
      <c r="M2531" s="99" t="n"/>
      <c r="N2531" s="100" t="n"/>
      <c r="O2531" s="98" t="n"/>
      <c r="P2531" s="99" t="n"/>
      <c r="Q2531" s="99" t="n"/>
      <c r="R2531" s="100" t="n"/>
      <c r="S2531" s="98" t="n"/>
      <c r="T2531" s="99" t="n"/>
      <c r="U2531" s="99" t="n"/>
      <c r="V2531" s="100" t="n"/>
      <c r="W2531" s="98" t="n"/>
      <c r="X2531" s="100" t="n"/>
      <c r="Y2531" s="98" t="n"/>
      <c r="Z2531" s="100" t="n"/>
      <c r="AB2531" s="101">
        <f>IF($B2531="","",(COUNTIF(C2508:E2525,$B2531)+COUNTIF(C2508:E2525,$B2531&amp;" ~*")&gt;0)+(COUNTIF(G2508:I2525,$B2531)+COUNTIF(G2508:I2525,$B2531&amp;" ~*")&gt;0)+(COUNTIF(K2508:M2525,$B2531)+COUNTIF(K2508:M2525,$B2531&amp;" ~*")&gt;0)+(COUNTIF(O2508:Q2525,$B2531)+COUNTIF(O2508:Q2525,$B2531&amp;" ~*")&gt;0)+(COUNTIF(S2508:U2525,$B2531)+COUNTIF(S2508:U2525,$B2531&amp;" ~*")&gt;0)+(COUNTIF(W2508:W2525,$B2531)+COUNTIF(W2508:W2525,$B2531&amp;" ~*")&gt;0)+(COUNTIF(Y2508:Y2525,$B2531)+COUNTIF(Y2508:Y2525,$B2531&amp;" ~*")&gt;0))</f>
        <v/>
      </c>
      <c r="AC2531" s="36">
        <f>IF($B2531="","",(IFERROR(INDEX(Setup!$G$33:$G$40,MATCH(C2531,Setup!$B$33:$B$40,0)),0)=1)*(COUNTIF(C2508:E2525,$B2531)+COUNTIF(C2508:E2525,$B2531&amp;" ~*")&gt;0)+(IFERROR(INDEX(Setup!$G$33:$G$40,MATCH(G2531,Setup!$B$33:$B$40,0)),0)=1)*(COUNTIF(G2508:I2525,$B2531)+COUNTIF(G2508:I2525,$B2531&amp;" ~*")&gt;0)+(IFERROR(INDEX(Setup!$G$33:$G$40,MATCH(K2531,Setup!$B$33:$B$40,0)),0)=1)*(COUNTIF(K2508:M2525,$B2531)+COUNTIF(K2508:M2525,$B2531&amp;" ~*")&gt;0)+(IFERROR(INDEX(Setup!$G$33:$G$40,MATCH(O2531,Setup!$B$33:$B$40,0)),0)=1)*(COUNTIF(O2508:Q2525,$B2531)+COUNTIF(O2508:Q2525,$B2531&amp;" ~*")&gt;0)+(IFERROR(INDEX(Setup!$G$33:$G$40,MATCH(S2531,Setup!$B$33:$B$40,0)),0)=1)*(COUNTIF(S2508:U2525,$B2531)+COUNTIF(S2508:U2525,$B2531&amp;" ~*")&gt;0)+(IFERROR(INDEX(Setup!$G$33:$G$40,MATCH(W2531,Setup!$B$33:$B$40,0)),0)=1)*(COUNTIF(W2508:W2525,$B2531)+COUNTIF(W2508:W2525,$B2531&amp;" ~*")&gt;0)+(IFERROR(INDEX(Setup!$G$33:$G$40,MATCH(Y2531,Setup!$B$33:$B$40,0)),0)=1)*(COUNTIF(Y2508:Y2525,$B2531)+COUNTIF(Y2508:Y2525,$B2531&amp;" ~*")&gt;0))</f>
        <v/>
      </c>
    </row>
    <row r="2532" ht="15" customHeight="1">
      <c r="A2532" t="n">
        <v>51</v>
      </c>
      <c r="B2532" s="37">
        <f>IF(Setup!$B$11="","",Setup!$B$11)</f>
        <v/>
      </c>
      <c r="C2532" s="102" t="n"/>
      <c r="D2532" s="103" t="n"/>
      <c r="E2532" s="103" t="n"/>
      <c r="F2532" s="104" t="n"/>
      <c r="G2532" s="102" t="n"/>
      <c r="H2532" s="103" t="n"/>
      <c r="I2532" s="103" t="n"/>
      <c r="J2532" s="104" t="n"/>
      <c r="K2532" s="102" t="n"/>
      <c r="L2532" s="103" t="n"/>
      <c r="M2532" s="103" t="n"/>
      <c r="N2532" s="104" t="n"/>
      <c r="O2532" s="102" t="n"/>
      <c r="P2532" s="103" t="n"/>
      <c r="Q2532" s="103" t="n"/>
      <c r="R2532" s="104" t="n"/>
      <c r="S2532" s="102" t="n"/>
      <c r="T2532" s="103" t="n"/>
      <c r="U2532" s="103" t="n"/>
      <c r="V2532" s="104" t="n"/>
      <c r="W2532" s="102" t="n"/>
      <c r="X2532" s="104" t="n"/>
      <c r="Y2532" s="102" t="n"/>
      <c r="Z2532" s="104" t="n"/>
      <c r="AB2532" s="105">
        <f>IF($B2532="","",(COUNTIF(C2508:E2525,$B2532)+COUNTIF(C2508:E2525,$B2532&amp;" ~*")&gt;0)+(COUNTIF(G2508:I2525,$B2532)+COUNTIF(G2508:I2525,$B2532&amp;" ~*")&gt;0)+(COUNTIF(K2508:M2525,$B2532)+COUNTIF(K2508:M2525,$B2532&amp;" ~*")&gt;0)+(COUNTIF(O2508:Q2525,$B2532)+COUNTIF(O2508:Q2525,$B2532&amp;" ~*")&gt;0)+(COUNTIF(S2508:U2525,$B2532)+COUNTIF(S2508:U2525,$B2532&amp;" ~*")&gt;0)+(COUNTIF(W2508:W2525,$B2532)+COUNTIF(W2508:W2525,$B2532&amp;" ~*")&gt;0)+(COUNTIF(Y2508:Y2525,$B2532)+COUNTIF(Y2508:Y2525,$B2532&amp;" ~*")&gt;0))</f>
        <v/>
      </c>
      <c r="AC2532" s="38">
        <f>IF($B2532="","",(IFERROR(INDEX(Setup!$G$33:$G$40,MATCH(C2532,Setup!$B$33:$B$40,0)),0)=1)*(COUNTIF(C2508:E2525,$B2532)+COUNTIF(C2508:E2525,$B2532&amp;" ~*")&gt;0)+(IFERROR(INDEX(Setup!$G$33:$G$40,MATCH(G2532,Setup!$B$33:$B$40,0)),0)=1)*(COUNTIF(G2508:I2525,$B2532)+COUNTIF(G2508:I2525,$B2532&amp;" ~*")&gt;0)+(IFERROR(INDEX(Setup!$G$33:$G$40,MATCH(K2532,Setup!$B$33:$B$40,0)),0)=1)*(COUNTIF(K2508:M2525,$B2532)+COUNTIF(K2508:M2525,$B2532&amp;" ~*")&gt;0)+(IFERROR(INDEX(Setup!$G$33:$G$40,MATCH(O2532,Setup!$B$33:$B$40,0)),0)=1)*(COUNTIF(O2508:Q2525,$B2532)+COUNTIF(O2508:Q2525,$B2532&amp;" ~*")&gt;0)+(IFERROR(INDEX(Setup!$G$33:$G$40,MATCH(S2532,Setup!$B$33:$B$40,0)),0)=1)*(COUNTIF(S2508:U2525,$B2532)+COUNTIF(S2508:U2525,$B2532&amp;" ~*")&gt;0)+(IFERROR(INDEX(Setup!$G$33:$G$40,MATCH(W2532,Setup!$B$33:$B$40,0)),0)=1)*(COUNTIF(W2508:W2525,$B2532)+COUNTIF(W2508:W2525,$B2532&amp;" ~*")&gt;0)+(IFERROR(INDEX(Setup!$G$33:$G$40,MATCH(Y2532,Setup!$B$33:$B$40,0)),0)=1)*(COUNTIF(Y2508:Y2525,$B2532)+COUNTIF(Y2508:Y2525,$B2532&amp;" ~*")&gt;0))</f>
        <v/>
      </c>
    </row>
    <row r="2533" ht="15" customHeight="1">
      <c r="A2533" t="n">
        <v>51</v>
      </c>
      <c r="B2533" s="35">
        <f>IF(Setup!$B$12="","",Setup!$B$12)</f>
        <v/>
      </c>
      <c r="C2533" s="98" t="n"/>
      <c r="D2533" s="99" t="n"/>
      <c r="E2533" s="99" t="n"/>
      <c r="F2533" s="100" t="n"/>
      <c r="G2533" s="98" t="n"/>
      <c r="H2533" s="99" t="n"/>
      <c r="I2533" s="99" t="n"/>
      <c r="J2533" s="100" t="n"/>
      <c r="K2533" s="98" t="n"/>
      <c r="L2533" s="99" t="n"/>
      <c r="M2533" s="99" t="n"/>
      <c r="N2533" s="100" t="n"/>
      <c r="O2533" s="98" t="n"/>
      <c r="P2533" s="99" t="n"/>
      <c r="Q2533" s="99" t="n"/>
      <c r="R2533" s="100" t="n"/>
      <c r="S2533" s="98" t="inlineStr">
        <is>
          <t>AL</t>
        </is>
      </c>
      <c r="T2533" s="99" t="n"/>
      <c r="U2533" s="99" t="n"/>
      <c r="V2533" s="100" t="n"/>
      <c r="W2533" s="98" t="n"/>
      <c r="X2533" s="100" t="n"/>
      <c r="Y2533" s="98" t="n"/>
      <c r="Z2533" s="100" t="n"/>
      <c r="AB2533" s="101">
        <f>IF($B2533="","",(COUNTIF(C2508:E2525,$B2533)+COUNTIF(C2508:E2525,$B2533&amp;" ~*")&gt;0)+(COUNTIF(G2508:I2525,$B2533)+COUNTIF(G2508:I2525,$B2533&amp;" ~*")&gt;0)+(COUNTIF(K2508:M2525,$B2533)+COUNTIF(K2508:M2525,$B2533&amp;" ~*")&gt;0)+(COUNTIF(O2508:Q2525,$B2533)+COUNTIF(O2508:Q2525,$B2533&amp;" ~*")&gt;0)+(COUNTIF(S2508:U2525,$B2533)+COUNTIF(S2508:U2525,$B2533&amp;" ~*")&gt;0)+(COUNTIF(W2508:W2525,$B2533)+COUNTIF(W2508:W2525,$B2533&amp;" ~*")&gt;0)+(COUNTIF(Y2508:Y2525,$B2533)+COUNTIF(Y2508:Y2525,$B2533&amp;" ~*")&gt;0))</f>
        <v/>
      </c>
      <c r="AC2533" s="36">
        <f>IF($B2533="","",(IFERROR(INDEX(Setup!$G$33:$G$40,MATCH(C2533,Setup!$B$33:$B$40,0)),0)=1)*(COUNTIF(C2508:E2525,$B2533)+COUNTIF(C2508:E2525,$B2533&amp;" ~*")&gt;0)+(IFERROR(INDEX(Setup!$G$33:$G$40,MATCH(G2533,Setup!$B$33:$B$40,0)),0)=1)*(COUNTIF(G2508:I2525,$B2533)+COUNTIF(G2508:I2525,$B2533&amp;" ~*")&gt;0)+(IFERROR(INDEX(Setup!$G$33:$G$40,MATCH(K2533,Setup!$B$33:$B$40,0)),0)=1)*(COUNTIF(K2508:M2525,$B2533)+COUNTIF(K2508:M2525,$B2533&amp;" ~*")&gt;0)+(IFERROR(INDEX(Setup!$G$33:$G$40,MATCH(O2533,Setup!$B$33:$B$40,0)),0)=1)*(COUNTIF(O2508:Q2525,$B2533)+COUNTIF(O2508:Q2525,$B2533&amp;" ~*")&gt;0)+(IFERROR(INDEX(Setup!$G$33:$G$40,MATCH(S2533,Setup!$B$33:$B$40,0)),0)=1)*(COUNTIF(S2508:U2525,$B2533)+COUNTIF(S2508:U2525,$B2533&amp;" ~*")&gt;0)+(IFERROR(INDEX(Setup!$G$33:$G$40,MATCH(W2533,Setup!$B$33:$B$40,0)),0)=1)*(COUNTIF(W2508:W2525,$B2533)+COUNTIF(W2508:W2525,$B2533&amp;" ~*")&gt;0)+(IFERROR(INDEX(Setup!$G$33:$G$40,MATCH(Y2533,Setup!$B$33:$B$40,0)),0)=1)*(COUNTIF(Y2508:Y2525,$B2533)+COUNTIF(Y2508:Y2525,$B2533&amp;" ~*")&gt;0))</f>
        <v/>
      </c>
    </row>
    <row r="2534" ht="15" customHeight="1">
      <c r="A2534" t="n">
        <v>51</v>
      </c>
      <c r="B2534" s="37">
        <f>IF(Setup!$B$13="","",Setup!$B$13)</f>
        <v/>
      </c>
      <c r="C2534" s="102" t="n"/>
      <c r="D2534" s="103" t="n"/>
      <c r="E2534" s="103" t="n"/>
      <c r="F2534" s="104" t="n"/>
      <c r="G2534" s="102" t="n"/>
      <c r="H2534" s="103" t="n"/>
      <c r="I2534" s="103" t="n"/>
      <c r="J2534" s="104" t="n"/>
      <c r="K2534" s="102" t="inlineStr">
        <is>
          <t>AL</t>
        </is>
      </c>
      <c r="L2534" s="103" t="n"/>
      <c r="M2534" s="103" t="n"/>
      <c r="N2534" s="104" t="n"/>
      <c r="O2534" s="102" t="inlineStr">
        <is>
          <t>AL</t>
        </is>
      </c>
      <c r="P2534" s="103" t="n"/>
      <c r="Q2534" s="103" t="n"/>
      <c r="R2534" s="104" t="n"/>
      <c r="S2534" s="102" t="inlineStr">
        <is>
          <t>AL</t>
        </is>
      </c>
      <c r="T2534" s="103" t="n"/>
      <c r="U2534" s="103" t="n"/>
      <c r="V2534" s="104" t="n"/>
      <c r="W2534" s="102" t="n"/>
      <c r="X2534" s="104" t="n"/>
      <c r="Y2534" s="102" t="n"/>
      <c r="Z2534" s="104" t="n"/>
      <c r="AB2534" s="105">
        <f>IF($B2534="","",(COUNTIF(C2508:E2525,$B2534)+COUNTIF(C2508:E2525,$B2534&amp;" ~*")&gt;0)+(COUNTIF(G2508:I2525,$B2534)+COUNTIF(G2508:I2525,$B2534&amp;" ~*")&gt;0)+(COUNTIF(K2508:M2525,$B2534)+COUNTIF(K2508:M2525,$B2534&amp;" ~*")&gt;0)+(COUNTIF(O2508:Q2525,$B2534)+COUNTIF(O2508:Q2525,$B2534&amp;" ~*")&gt;0)+(COUNTIF(S2508:U2525,$B2534)+COUNTIF(S2508:U2525,$B2534&amp;" ~*")&gt;0)+(COUNTIF(W2508:W2525,$B2534)+COUNTIF(W2508:W2525,$B2534&amp;" ~*")&gt;0)+(COUNTIF(Y2508:Y2525,$B2534)+COUNTIF(Y2508:Y2525,$B2534&amp;" ~*")&gt;0))</f>
        <v/>
      </c>
      <c r="AC2534" s="38">
        <f>IF($B2534="","",(IFERROR(INDEX(Setup!$G$33:$G$40,MATCH(C2534,Setup!$B$33:$B$40,0)),0)=1)*(COUNTIF(C2508:E2525,$B2534)+COUNTIF(C2508:E2525,$B2534&amp;" ~*")&gt;0)+(IFERROR(INDEX(Setup!$G$33:$G$40,MATCH(G2534,Setup!$B$33:$B$40,0)),0)=1)*(COUNTIF(G2508:I2525,$B2534)+COUNTIF(G2508:I2525,$B2534&amp;" ~*")&gt;0)+(IFERROR(INDEX(Setup!$G$33:$G$40,MATCH(K2534,Setup!$B$33:$B$40,0)),0)=1)*(COUNTIF(K2508:M2525,$B2534)+COUNTIF(K2508:M2525,$B2534&amp;" ~*")&gt;0)+(IFERROR(INDEX(Setup!$G$33:$G$40,MATCH(O2534,Setup!$B$33:$B$40,0)),0)=1)*(COUNTIF(O2508:Q2525,$B2534)+COUNTIF(O2508:Q2525,$B2534&amp;" ~*")&gt;0)+(IFERROR(INDEX(Setup!$G$33:$G$40,MATCH(S2534,Setup!$B$33:$B$40,0)),0)=1)*(COUNTIF(S2508:U2525,$B2534)+COUNTIF(S2508:U2525,$B2534&amp;" ~*")&gt;0)+(IFERROR(INDEX(Setup!$G$33:$G$40,MATCH(W2534,Setup!$B$33:$B$40,0)),0)=1)*(COUNTIF(W2508:W2525,$B2534)+COUNTIF(W2508:W2525,$B2534&amp;" ~*")&gt;0)+(IFERROR(INDEX(Setup!$G$33:$G$40,MATCH(Y2534,Setup!$B$33:$B$40,0)),0)=1)*(COUNTIF(Y2508:Y2525,$B2534)+COUNTIF(Y2508:Y2525,$B2534&amp;" ~*")&gt;0))</f>
        <v/>
      </c>
    </row>
    <row r="2535" ht="15" customHeight="1">
      <c r="A2535" t="n">
        <v>51</v>
      </c>
      <c r="B2535" s="35">
        <f>IF(Setup!$B$14="","",Setup!$B$14)</f>
        <v/>
      </c>
      <c r="C2535" s="98" t="n"/>
      <c r="D2535" s="99" t="n"/>
      <c r="E2535" s="99" t="n"/>
      <c r="F2535" s="100" t="n"/>
      <c r="G2535" s="98" t="n"/>
      <c r="H2535" s="99" t="n"/>
      <c r="I2535" s="99" t="n"/>
      <c r="J2535" s="100" t="n"/>
      <c r="K2535" s="98" t="n"/>
      <c r="L2535" s="99" t="n"/>
      <c r="M2535" s="99" t="n"/>
      <c r="N2535" s="100" t="n"/>
      <c r="O2535" s="98" t="n"/>
      <c r="P2535" s="99" t="n"/>
      <c r="Q2535" s="99" t="n"/>
      <c r="R2535" s="100" t="n"/>
      <c r="S2535" s="98" t="n"/>
      <c r="T2535" s="99" t="n"/>
      <c r="U2535" s="99" t="n"/>
      <c r="V2535" s="100" t="n"/>
      <c r="W2535" s="98" t="n"/>
      <c r="X2535" s="100" t="n"/>
      <c r="Y2535" s="98" t="n"/>
      <c r="Z2535" s="100" t="n"/>
      <c r="AB2535" s="101">
        <f>IF($B2535="","",(COUNTIF(C2508:E2525,$B2535)+COUNTIF(C2508:E2525,$B2535&amp;" ~*")&gt;0)+(COUNTIF(G2508:I2525,$B2535)+COUNTIF(G2508:I2525,$B2535&amp;" ~*")&gt;0)+(COUNTIF(K2508:M2525,$B2535)+COUNTIF(K2508:M2525,$B2535&amp;" ~*")&gt;0)+(COUNTIF(O2508:Q2525,$B2535)+COUNTIF(O2508:Q2525,$B2535&amp;" ~*")&gt;0)+(COUNTIF(S2508:U2525,$B2535)+COUNTIF(S2508:U2525,$B2535&amp;" ~*")&gt;0)+(COUNTIF(W2508:W2525,$B2535)+COUNTIF(W2508:W2525,$B2535&amp;" ~*")&gt;0)+(COUNTIF(Y2508:Y2525,$B2535)+COUNTIF(Y2508:Y2525,$B2535&amp;" ~*")&gt;0))</f>
        <v/>
      </c>
      <c r="AC2535" s="36">
        <f>IF($B2535="","",(IFERROR(INDEX(Setup!$G$33:$G$40,MATCH(C2535,Setup!$B$33:$B$40,0)),0)=1)*(COUNTIF(C2508:E2525,$B2535)+COUNTIF(C2508:E2525,$B2535&amp;" ~*")&gt;0)+(IFERROR(INDEX(Setup!$G$33:$G$40,MATCH(G2535,Setup!$B$33:$B$40,0)),0)=1)*(COUNTIF(G2508:I2525,$B2535)+COUNTIF(G2508:I2525,$B2535&amp;" ~*")&gt;0)+(IFERROR(INDEX(Setup!$G$33:$G$40,MATCH(K2535,Setup!$B$33:$B$40,0)),0)=1)*(COUNTIF(K2508:M2525,$B2535)+COUNTIF(K2508:M2525,$B2535&amp;" ~*")&gt;0)+(IFERROR(INDEX(Setup!$G$33:$G$40,MATCH(O2535,Setup!$B$33:$B$40,0)),0)=1)*(COUNTIF(O2508:Q2525,$B2535)+COUNTIF(O2508:Q2525,$B2535&amp;" ~*")&gt;0)+(IFERROR(INDEX(Setup!$G$33:$G$40,MATCH(S2535,Setup!$B$33:$B$40,0)),0)=1)*(COUNTIF(S2508:U2525,$B2535)+COUNTIF(S2508:U2525,$B2535&amp;" ~*")&gt;0)+(IFERROR(INDEX(Setup!$G$33:$G$40,MATCH(W2535,Setup!$B$33:$B$40,0)),0)=1)*(COUNTIF(W2508:W2525,$B2535)+COUNTIF(W2508:W2525,$B2535&amp;" ~*")&gt;0)+(IFERROR(INDEX(Setup!$G$33:$G$40,MATCH(Y2535,Setup!$B$33:$B$40,0)),0)=1)*(COUNTIF(Y2508:Y2525,$B2535)+COUNTIF(Y2508:Y2525,$B2535&amp;" ~*")&gt;0))</f>
        <v/>
      </c>
    </row>
    <row r="2536" ht="15" customHeight="1">
      <c r="A2536" t="n">
        <v>51</v>
      </c>
      <c r="B2536" s="37">
        <f>IF(Setup!$B$15="","",Setup!$B$15)</f>
        <v/>
      </c>
      <c r="C2536" s="102" t="inlineStr">
        <is>
          <t>AL</t>
        </is>
      </c>
      <c r="D2536" s="103" t="n"/>
      <c r="E2536" s="103" t="n"/>
      <c r="F2536" s="104" t="n"/>
      <c r="G2536" s="102" t="inlineStr">
        <is>
          <t>AL</t>
        </is>
      </c>
      <c r="H2536" s="103" t="n"/>
      <c r="I2536" s="103" t="n"/>
      <c r="J2536" s="104" t="n"/>
      <c r="K2536" s="102" t="inlineStr">
        <is>
          <t>AL</t>
        </is>
      </c>
      <c r="L2536" s="103" t="n"/>
      <c r="M2536" s="103" t="n"/>
      <c r="N2536" s="104" t="n"/>
      <c r="O2536" s="102" t="inlineStr">
        <is>
          <t>AL</t>
        </is>
      </c>
      <c r="P2536" s="103" t="n"/>
      <c r="Q2536" s="103" t="n"/>
      <c r="R2536" s="104" t="n"/>
      <c r="S2536" s="102" t="inlineStr">
        <is>
          <t>AL</t>
        </is>
      </c>
      <c r="T2536" s="103" t="n"/>
      <c r="U2536" s="103" t="n"/>
      <c r="V2536" s="104" t="n"/>
      <c r="W2536" s="102" t="n"/>
      <c r="X2536" s="104" t="n"/>
      <c r="Y2536" s="102" t="n"/>
      <c r="Z2536" s="104" t="n"/>
      <c r="AB2536" s="105">
        <f>IF($B2536="","",(COUNTIF(C2508:E2525,$B2536)+COUNTIF(C2508:E2525,$B2536&amp;" ~*")&gt;0)+(COUNTIF(G2508:I2525,$B2536)+COUNTIF(G2508:I2525,$B2536&amp;" ~*")&gt;0)+(COUNTIF(K2508:M2525,$B2536)+COUNTIF(K2508:M2525,$B2536&amp;" ~*")&gt;0)+(COUNTIF(O2508:Q2525,$B2536)+COUNTIF(O2508:Q2525,$B2536&amp;" ~*")&gt;0)+(COUNTIF(S2508:U2525,$B2536)+COUNTIF(S2508:U2525,$B2536&amp;" ~*")&gt;0)+(COUNTIF(W2508:W2525,$B2536)+COUNTIF(W2508:W2525,$B2536&amp;" ~*")&gt;0)+(COUNTIF(Y2508:Y2525,$B2536)+COUNTIF(Y2508:Y2525,$B2536&amp;" ~*")&gt;0))</f>
        <v/>
      </c>
      <c r="AC2536" s="38">
        <f>IF($B2536="","",(IFERROR(INDEX(Setup!$G$33:$G$40,MATCH(C2536,Setup!$B$33:$B$40,0)),0)=1)*(COUNTIF(C2508:E2525,$B2536)+COUNTIF(C2508:E2525,$B2536&amp;" ~*")&gt;0)+(IFERROR(INDEX(Setup!$G$33:$G$40,MATCH(G2536,Setup!$B$33:$B$40,0)),0)=1)*(COUNTIF(G2508:I2525,$B2536)+COUNTIF(G2508:I2525,$B2536&amp;" ~*")&gt;0)+(IFERROR(INDEX(Setup!$G$33:$G$40,MATCH(K2536,Setup!$B$33:$B$40,0)),0)=1)*(COUNTIF(K2508:M2525,$B2536)+COUNTIF(K2508:M2525,$B2536&amp;" ~*")&gt;0)+(IFERROR(INDEX(Setup!$G$33:$G$40,MATCH(O2536,Setup!$B$33:$B$40,0)),0)=1)*(COUNTIF(O2508:Q2525,$B2536)+COUNTIF(O2508:Q2525,$B2536&amp;" ~*")&gt;0)+(IFERROR(INDEX(Setup!$G$33:$G$40,MATCH(S2536,Setup!$B$33:$B$40,0)),0)=1)*(COUNTIF(S2508:U2525,$B2536)+COUNTIF(S2508:U2525,$B2536&amp;" ~*")&gt;0)+(IFERROR(INDEX(Setup!$G$33:$G$40,MATCH(W2536,Setup!$B$33:$B$40,0)),0)=1)*(COUNTIF(W2508:W2525,$B2536)+COUNTIF(W2508:W2525,$B2536&amp;" ~*")&gt;0)+(IFERROR(INDEX(Setup!$G$33:$G$40,MATCH(Y2536,Setup!$B$33:$B$40,0)),0)=1)*(COUNTIF(Y2508:Y2525,$B2536)+COUNTIF(Y2508:Y2525,$B2536&amp;" ~*")&gt;0))</f>
        <v/>
      </c>
    </row>
    <row r="2537" ht="15" customHeight="1">
      <c r="A2537" t="n">
        <v>51</v>
      </c>
      <c r="B2537" s="35">
        <f>IF(Setup!$B$16="","",Setup!$B$16)</f>
        <v/>
      </c>
      <c r="C2537" s="98" t="n"/>
      <c r="D2537" s="99" t="n"/>
      <c r="E2537" s="99" t="n"/>
      <c r="F2537" s="100" t="n"/>
      <c r="G2537" s="98" t="n"/>
      <c r="H2537" s="99" t="n"/>
      <c r="I2537" s="99" t="n"/>
      <c r="J2537" s="100" t="n"/>
      <c r="K2537" s="98" t="n"/>
      <c r="L2537" s="99" t="n"/>
      <c r="M2537" s="99" t="n"/>
      <c r="N2537" s="100" t="n"/>
      <c r="O2537" s="98" t="n"/>
      <c r="P2537" s="99" t="n"/>
      <c r="Q2537" s="99" t="n"/>
      <c r="R2537" s="100" t="n"/>
      <c r="S2537" s="98" t="n"/>
      <c r="T2537" s="99" t="n"/>
      <c r="U2537" s="99" t="n"/>
      <c r="V2537" s="100" t="n"/>
      <c r="W2537" s="98" t="n"/>
      <c r="X2537" s="100" t="n"/>
      <c r="Y2537" s="98" t="n"/>
      <c r="Z2537" s="100" t="n"/>
      <c r="AB2537" s="101">
        <f>IF($B2537="","",(COUNTIF(C2508:E2525,$B2537)+COUNTIF(C2508:E2525,$B2537&amp;" ~*")&gt;0)+(COUNTIF(G2508:I2525,$B2537)+COUNTIF(G2508:I2525,$B2537&amp;" ~*")&gt;0)+(COUNTIF(K2508:M2525,$B2537)+COUNTIF(K2508:M2525,$B2537&amp;" ~*")&gt;0)+(COUNTIF(O2508:Q2525,$B2537)+COUNTIF(O2508:Q2525,$B2537&amp;" ~*")&gt;0)+(COUNTIF(S2508:U2525,$B2537)+COUNTIF(S2508:U2525,$B2537&amp;" ~*")&gt;0)+(COUNTIF(W2508:W2525,$B2537)+COUNTIF(W2508:W2525,$B2537&amp;" ~*")&gt;0)+(COUNTIF(Y2508:Y2525,$B2537)+COUNTIF(Y2508:Y2525,$B2537&amp;" ~*")&gt;0))</f>
        <v/>
      </c>
      <c r="AC2537" s="36">
        <f>IF($B2537="","",(IFERROR(INDEX(Setup!$G$33:$G$40,MATCH(C2537,Setup!$B$33:$B$40,0)),0)=1)*(COUNTIF(C2508:E2525,$B2537)+COUNTIF(C2508:E2525,$B2537&amp;" ~*")&gt;0)+(IFERROR(INDEX(Setup!$G$33:$G$40,MATCH(G2537,Setup!$B$33:$B$40,0)),0)=1)*(COUNTIF(G2508:I2525,$B2537)+COUNTIF(G2508:I2525,$B2537&amp;" ~*")&gt;0)+(IFERROR(INDEX(Setup!$G$33:$G$40,MATCH(K2537,Setup!$B$33:$B$40,0)),0)=1)*(COUNTIF(K2508:M2525,$B2537)+COUNTIF(K2508:M2525,$B2537&amp;" ~*")&gt;0)+(IFERROR(INDEX(Setup!$G$33:$G$40,MATCH(O2537,Setup!$B$33:$B$40,0)),0)=1)*(COUNTIF(O2508:Q2525,$B2537)+COUNTIF(O2508:Q2525,$B2537&amp;" ~*")&gt;0)+(IFERROR(INDEX(Setup!$G$33:$G$40,MATCH(S2537,Setup!$B$33:$B$40,0)),0)=1)*(COUNTIF(S2508:U2525,$B2537)+COUNTIF(S2508:U2525,$B2537&amp;" ~*")&gt;0)+(IFERROR(INDEX(Setup!$G$33:$G$40,MATCH(W2537,Setup!$B$33:$B$40,0)),0)=1)*(COUNTIF(W2508:W2525,$B2537)+COUNTIF(W2508:W2525,$B2537&amp;" ~*")&gt;0)+(IFERROR(INDEX(Setup!$G$33:$G$40,MATCH(Y2537,Setup!$B$33:$B$40,0)),0)=1)*(COUNTIF(Y2508:Y2525,$B2537)+COUNTIF(Y2508:Y2525,$B2537&amp;" ~*")&gt;0))</f>
        <v/>
      </c>
    </row>
    <row r="2538" ht="15" customHeight="1">
      <c r="A2538" t="n">
        <v>51</v>
      </c>
      <c r="B2538" s="37">
        <f>IF(Setup!$B$17="","",Setup!$B$17)</f>
        <v/>
      </c>
      <c r="C2538" s="102" t="n"/>
      <c r="D2538" s="103" t="n"/>
      <c r="E2538" s="103" t="n"/>
      <c r="F2538" s="104" t="n"/>
      <c r="G2538" s="102" t="n"/>
      <c r="H2538" s="103" t="n"/>
      <c r="I2538" s="103" t="n"/>
      <c r="J2538" s="104" t="n"/>
      <c r="K2538" s="102" t="n"/>
      <c r="L2538" s="103" t="n"/>
      <c r="M2538" s="103" t="n"/>
      <c r="N2538" s="104" t="n"/>
      <c r="O2538" s="102" t="n"/>
      <c r="P2538" s="103" t="n"/>
      <c r="Q2538" s="103" t="n"/>
      <c r="R2538" s="104" t="n"/>
      <c r="S2538" s="102" t="n"/>
      <c r="T2538" s="103" t="n"/>
      <c r="U2538" s="103" t="n"/>
      <c r="V2538" s="104" t="n"/>
      <c r="W2538" s="102" t="n"/>
      <c r="X2538" s="104" t="n"/>
      <c r="Y2538" s="102" t="n"/>
      <c r="Z2538" s="104" t="n"/>
      <c r="AB2538" s="105">
        <f>IF($B2538="","",(COUNTIF(C2508:E2525,$B2538)+COUNTIF(C2508:E2525,$B2538&amp;" ~*")&gt;0)+(COUNTIF(G2508:I2525,$B2538)+COUNTIF(G2508:I2525,$B2538&amp;" ~*")&gt;0)+(COUNTIF(K2508:M2525,$B2538)+COUNTIF(K2508:M2525,$B2538&amp;" ~*")&gt;0)+(COUNTIF(O2508:Q2525,$B2538)+COUNTIF(O2508:Q2525,$B2538&amp;" ~*")&gt;0)+(COUNTIF(S2508:U2525,$B2538)+COUNTIF(S2508:U2525,$B2538&amp;" ~*")&gt;0)+(COUNTIF(W2508:W2525,$B2538)+COUNTIF(W2508:W2525,$B2538&amp;" ~*")&gt;0)+(COUNTIF(Y2508:Y2525,$B2538)+COUNTIF(Y2508:Y2525,$B2538&amp;" ~*")&gt;0))</f>
        <v/>
      </c>
      <c r="AC2538" s="38">
        <f>IF($B2538="","",(IFERROR(INDEX(Setup!$G$33:$G$40,MATCH(C2538,Setup!$B$33:$B$40,0)),0)=1)*(COUNTIF(C2508:E2525,$B2538)+COUNTIF(C2508:E2525,$B2538&amp;" ~*")&gt;0)+(IFERROR(INDEX(Setup!$G$33:$G$40,MATCH(G2538,Setup!$B$33:$B$40,0)),0)=1)*(COUNTIF(G2508:I2525,$B2538)+COUNTIF(G2508:I2525,$B2538&amp;" ~*")&gt;0)+(IFERROR(INDEX(Setup!$G$33:$G$40,MATCH(K2538,Setup!$B$33:$B$40,0)),0)=1)*(COUNTIF(K2508:M2525,$B2538)+COUNTIF(K2508:M2525,$B2538&amp;" ~*")&gt;0)+(IFERROR(INDEX(Setup!$G$33:$G$40,MATCH(O2538,Setup!$B$33:$B$40,0)),0)=1)*(COUNTIF(O2508:Q2525,$B2538)+COUNTIF(O2508:Q2525,$B2538&amp;" ~*")&gt;0)+(IFERROR(INDEX(Setup!$G$33:$G$40,MATCH(S2538,Setup!$B$33:$B$40,0)),0)=1)*(COUNTIF(S2508:U2525,$B2538)+COUNTIF(S2508:U2525,$B2538&amp;" ~*")&gt;0)+(IFERROR(INDEX(Setup!$G$33:$G$40,MATCH(W2538,Setup!$B$33:$B$40,0)),0)=1)*(COUNTIF(W2508:W2525,$B2538)+COUNTIF(W2508:W2525,$B2538&amp;" ~*")&gt;0)+(IFERROR(INDEX(Setup!$G$33:$G$40,MATCH(Y2538,Setup!$B$33:$B$40,0)),0)=1)*(COUNTIF(Y2508:Y2525,$B2538)+COUNTIF(Y2508:Y2525,$B2538&amp;" ~*")&gt;0))</f>
        <v/>
      </c>
    </row>
    <row r="2539" ht="15" customHeight="1">
      <c r="A2539" t="n">
        <v>51</v>
      </c>
      <c r="B2539" s="35">
        <f>IF(Setup!$B$18="","",Setup!$B$18)</f>
        <v/>
      </c>
      <c r="C2539" s="98" t="n"/>
      <c r="D2539" s="99" t="n"/>
      <c r="E2539" s="99" t="n"/>
      <c r="F2539" s="100" t="n"/>
      <c r="G2539" s="98" t="n"/>
      <c r="H2539" s="99" t="n"/>
      <c r="I2539" s="99" t="n"/>
      <c r="J2539" s="100" t="n"/>
      <c r="K2539" s="98" t="n"/>
      <c r="L2539" s="99" t="n"/>
      <c r="M2539" s="99" t="n"/>
      <c r="N2539" s="100" t="n"/>
      <c r="O2539" s="98" t="n"/>
      <c r="P2539" s="99" t="n"/>
      <c r="Q2539" s="99" t="n"/>
      <c r="R2539" s="100" t="n"/>
      <c r="S2539" s="98" t="n"/>
      <c r="T2539" s="99" t="n"/>
      <c r="U2539" s="99" t="n"/>
      <c r="V2539" s="100" t="n"/>
      <c r="W2539" s="98" t="n"/>
      <c r="X2539" s="100" t="n"/>
      <c r="Y2539" s="98" t="n"/>
      <c r="Z2539" s="100" t="n"/>
      <c r="AB2539" s="101">
        <f>IF($B2539="","",(COUNTIF(C2508:E2525,$B2539)+COUNTIF(C2508:E2525,$B2539&amp;" ~*")&gt;0)+(COUNTIF(G2508:I2525,$B2539)+COUNTIF(G2508:I2525,$B2539&amp;" ~*")&gt;0)+(COUNTIF(K2508:M2525,$B2539)+COUNTIF(K2508:M2525,$B2539&amp;" ~*")&gt;0)+(COUNTIF(O2508:Q2525,$B2539)+COUNTIF(O2508:Q2525,$B2539&amp;" ~*")&gt;0)+(COUNTIF(S2508:U2525,$B2539)+COUNTIF(S2508:U2525,$B2539&amp;" ~*")&gt;0)+(COUNTIF(W2508:W2525,$B2539)+COUNTIF(W2508:W2525,$B2539&amp;" ~*")&gt;0)+(COUNTIF(Y2508:Y2525,$B2539)+COUNTIF(Y2508:Y2525,$B2539&amp;" ~*")&gt;0))</f>
        <v/>
      </c>
      <c r="AC2539" s="36">
        <f>IF($B2539="","",(IFERROR(INDEX(Setup!$G$33:$G$40,MATCH(C2539,Setup!$B$33:$B$40,0)),0)=1)*(COUNTIF(C2508:E2525,$B2539)+COUNTIF(C2508:E2525,$B2539&amp;" ~*")&gt;0)+(IFERROR(INDEX(Setup!$G$33:$G$40,MATCH(G2539,Setup!$B$33:$B$40,0)),0)=1)*(COUNTIF(G2508:I2525,$B2539)+COUNTIF(G2508:I2525,$B2539&amp;" ~*")&gt;0)+(IFERROR(INDEX(Setup!$G$33:$G$40,MATCH(K2539,Setup!$B$33:$B$40,0)),0)=1)*(COUNTIF(K2508:M2525,$B2539)+COUNTIF(K2508:M2525,$B2539&amp;" ~*")&gt;0)+(IFERROR(INDEX(Setup!$G$33:$G$40,MATCH(O2539,Setup!$B$33:$B$40,0)),0)=1)*(COUNTIF(O2508:Q2525,$B2539)+COUNTIF(O2508:Q2525,$B2539&amp;" ~*")&gt;0)+(IFERROR(INDEX(Setup!$G$33:$G$40,MATCH(S2539,Setup!$B$33:$B$40,0)),0)=1)*(COUNTIF(S2508:U2525,$B2539)+COUNTIF(S2508:U2525,$B2539&amp;" ~*")&gt;0)+(IFERROR(INDEX(Setup!$G$33:$G$40,MATCH(W2539,Setup!$B$33:$B$40,0)),0)=1)*(COUNTIF(W2508:W2525,$B2539)+COUNTIF(W2508:W2525,$B2539&amp;" ~*")&gt;0)+(IFERROR(INDEX(Setup!$G$33:$G$40,MATCH(Y2539,Setup!$B$33:$B$40,0)),0)=1)*(COUNTIF(Y2508:Y2525,$B2539)+COUNTIF(Y2508:Y2525,$B2539&amp;" ~*")&gt;0))</f>
        <v/>
      </c>
    </row>
    <row r="2540" ht="15" customHeight="1">
      <c r="A2540" t="n">
        <v>51</v>
      </c>
      <c r="B2540" s="37">
        <f>IF(Setup!$B$19="","",Setup!$B$19)</f>
        <v/>
      </c>
      <c r="C2540" s="102" t="n"/>
      <c r="D2540" s="103" t="n"/>
      <c r="E2540" s="103" t="n"/>
      <c r="F2540" s="104" t="n"/>
      <c r="G2540" s="102" t="n"/>
      <c r="H2540" s="103" t="n"/>
      <c r="I2540" s="103" t="n"/>
      <c r="J2540" s="104" t="n"/>
      <c r="K2540" s="102" t="n"/>
      <c r="L2540" s="103" t="n"/>
      <c r="M2540" s="103" t="n"/>
      <c r="N2540" s="104" t="n"/>
      <c r="O2540" s="102" t="n"/>
      <c r="P2540" s="103" t="n"/>
      <c r="Q2540" s="103" t="n"/>
      <c r="R2540" s="104" t="n"/>
      <c r="S2540" s="102" t="inlineStr">
        <is>
          <t>AL</t>
        </is>
      </c>
      <c r="T2540" s="103" t="n"/>
      <c r="U2540" s="103" t="n"/>
      <c r="V2540" s="104" t="n"/>
      <c r="W2540" s="102" t="n"/>
      <c r="X2540" s="104" t="n"/>
      <c r="Y2540" s="102" t="n"/>
      <c r="Z2540" s="104" t="n"/>
      <c r="AB2540" s="105">
        <f>IF($B2540="","",(COUNTIF(C2508:E2525,$B2540)+COUNTIF(C2508:E2525,$B2540&amp;" ~*")&gt;0)+(COUNTIF(G2508:I2525,$B2540)+COUNTIF(G2508:I2525,$B2540&amp;" ~*")&gt;0)+(COUNTIF(K2508:M2525,$B2540)+COUNTIF(K2508:M2525,$B2540&amp;" ~*")&gt;0)+(COUNTIF(O2508:Q2525,$B2540)+COUNTIF(O2508:Q2525,$B2540&amp;" ~*")&gt;0)+(COUNTIF(S2508:U2525,$B2540)+COUNTIF(S2508:U2525,$B2540&amp;" ~*")&gt;0)+(COUNTIF(W2508:W2525,$B2540)+COUNTIF(W2508:W2525,$B2540&amp;" ~*")&gt;0)+(COUNTIF(Y2508:Y2525,$B2540)+COUNTIF(Y2508:Y2525,$B2540&amp;" ~*")&gt;0))</f>
        <v/>
      </c>
      <c r="AC2540" s="38">
        <f>IF($B2540="","",(IFERROR(INDEX(Setup!$G$33:$G$40,MATCH(C2540,Setup!$B$33:$B$40,0)),0)=1)*(COUNTIF(C2508:E2525,$B2540)+COUNTIF(C2508:E2525,$B2540&amp;" ~*")&gt;0)+(IFERROR(INDEX(Setup!$G$33:$G$40,MATCH(G2540,Setup!$B$33:$B$40,0)),0)=1)*(COUNTIF(G2508:I2525,$B2540)+COUNTIF(G2508:I2525,$B2540&amp;" ~*")&gt;0)+(IFERROR(INDEX(Setup!$G$33:$G$40,MATCH(K2540,Setup!$B$33:$B$40,0)),0)=1)*(COUNTIF(K2508:M2525,$B2540)+COUNTIF(K2508:M2525,$B2540&amp;" ~*")&gt;0)+(IFERROR(INDEX(Setup!$G$33:$G$40,MATCH(O2540,Setup!$B$33:$B$40,0)),0)=1)*(COUNTIF(O2508:Q2525,$B2540)+COUNTIF(O2508:Q2525,$B2540&amp;" ~*")&gt;0)+(IFERROR(INDEX(Setup!$G$33:$G$40,MATCH(S2540,Setup!$B$33:$B$40,0)),0)=1)*(COUNTIF(S2508:U2525,$B2540)+COUNTIF(S2508:U2525,$B2540&amp;" ~*")&gt;0)+(IFERROR(INDEX(Setup!$G$33:$G$40,MATCH(W2540,Setup!$B$33:$B$40,0)),0)=1)*(COUNTIF(W2508:W2525,$B2540)+COUNTIF(W2508:W2525,$B2540&amp;" ~*")&gt;0)+(IFERROR(INDEX(Setup!$G$33:$G$40,MATCH(Y2540,Setup!$B$33:$B$40,0)),0)=1)*(COUNTIF(Y2508:Y2525,$B2540)+COUNTIF(Y2508:Y2525,$B2540&amp;" ~*")&gt;0))</f>
        <v/>
      </c>
    </row>
    <row r="2541" ht="15" customHeight="1">
      <c r="A2541" t="n">
        <v>51</v>
      </c>
      <c r="B2541" s="35">
        <f>IF(Setup!$B$20="","",Setup!$B$20)</f>
        <v/>
      </c>
      <c r="C2541" s="98" t="n"/>
      <c r="D2541" s="99" t="n"/>
      <c r="E2541" s="99" t="n"/>
      <c r="F2541" s="100" t="n"/>
      <c r="G2541" s="98" t="n"/>
      <c r="H2541" s="99" t="n"/>
      <c r="I2541" s="99" t="n"/>
      <c r="J2541" s="100" t="n"/>
      <c r="K2541" s="98" t="n"/>
      <c r="L2541" s="99" t="n"/>
      <c r="M2541" s="99" t="n"/>
      <c r="N2541" s="100" t="n"/>
      <c r="O2541" s="98" t="n"/>
      <c r="P2541" s="99" t="n"/>
      <c r="Q2541" s="99" t="n"/>
      <c r="R2541" s="100" t="n"/>
      <c r="S2541" s="98" t="n"/>
      <c r="T2541" s="99" t="n"/>
      <c r="U2541" s="99" t="n"/>
      <c r="V2541" s="100" t="n"/>
      <c r="W2541" s="98" t="n"/>
      <c r="X2541" s="100" t="n"/>
      <c r="Y2541" s="98" t="n"/>
      <c r="Z2541" s="100" t="n"/>
      <c r="AB2541" s="101">
        <f>IF($B2541="","",(COUNTIF(C2508:E2525,$B2541)+COUNTIF(C2508:E2525,$B2541&amp;" ~*")&gt;0)+(COUNTIF(G2508:I2525,$B2541)+COUNTIF(G2508:I2525,$B2541&amp;" ~*")&gt;0)+(COUNTIF(K2508:M2525,$B2541)+COUNTIF(K2508:M2525,$B2541&amp;" ~*")&gt;0)+(COUNTIF(O2508:Q2525,$B2541)+COUNTIF(O2508:Q2525,$B2541&amp;" ~*")&gt;0)+(COUNTIF(S2508:U2525,$B2541)+COUNTIF(S2508:U2525,$B2541&amp;" ~*")&gt;0)+(COUNTIF(W2508:W2525,$B2541)+COUNTIF(W2508:W2525,$B2541&amp;" ~*")&gt;0)+(COUNTIF(Y2508:Y2525,$B2541)+COUNTIF(Y2508:Y2525,$B2541&amp;" ~*")&gt;0))</f>
        <v/>
      </c>
      <c r="AC2541" s="36">
        <f>IF($B2541="","",(IFERROR(INDEX(Setup!$G$33:$G$40,MATCH(C2541,Setup!$B$33:$B$40,0)),0)=1)*(COUNTIF(C2508:E2525,$B2541)+COUNTIF(C2508:E2525,$B2541&amp;" ~*")&gt;0)+(IFERROR(INDEX(Setup!$G$33:$G$40,MATCH(G2541,Setup!$B$33:$B$40,0)),0)=1)*(COUNTIF(G2508:I2525,$B2541)+COUNTIF(G2508:I2525,$B2541&amp;" ~*")&gt;0)+(IFERROR(INDEX(Setup!$G$33:$G$40,MATCH(K2541,Setup!$B$33:$B$40,0)),0)=1)*(COUNTIF(K2508:M2525,$B2541)+COUNTIF(K2508:M2525,$B2541&amp;" ~*")&gt;0)+(IFERROR(INDEX(Setup!$G$33:$G$40,MATCH(O2541,Setup!$B$33:$B$40,0)),0)=1)*(COUNTIF(O2508:Q2525,$B2541)+COUNTIF(O2508:Q2525,$B2541&amp;" ~*")&gt;0)+(IFERROR(INDEX(Setup!$G$33:$G$40,MATCH(S2541,Setup!$B$33:$B$40,0)),0)=1)*(COUNTIF(S2508:U2525,$B2541)+COUNTIF(S2508:U2525,$B2541&amp;" ~*")&gt;0)+(IFERROR(INDEX(Setup!$G$33:$G$40,MATCH(W2541,Setup!$B$33:$B$40,0)),0)=1)*(COUNTIF(W2508:W2525,$B2541)+COUNTIF(W2508:W2525,$B2541&amp;" ~*")&gt;0)+(IFERROR(INDEX(Setup!$G$33:$G$40,MATCH(Y2541,Setup!$B$33:$B$40,0)),0)=1)*(COUNTIF(Y2508:Y2525,$B2541)+COUNTIF(Y2508:Y2525,$B2541&amp;" ~*")&gt;0))</f>
        <v/>
      </c>
    </row>
    <row r="2542" ht="15" customHeight="1">
      <c r="A2542" t="n">
        <v>51</v>
      </c>
      <c r="B2542" s="37">
        <f>IF(Setup!$B$21="","",Setup!$B$21)</f>
        <v/>
      </c>
      <c r="C2542" s="102" t="n"/>
      <c r="D2542" s="103" t="n"/>
      <c r="E2542" s="103" t="n"/>
      <c r="F2542" s="104" t="n"/>
      <c r="G2542" s="102" t="n"/>
      <c r="H2542" s="103" t="n"/>
      <c r="I2542" s="103" t="n"/>
      <c r="J2542" s="104" t="n"/>
      <c r="K2542" s="102" t="n"/>
      <c r="L2542" s="103" t="n"/>
      <c r="M2542" s="103" t="n"/>
      <c r="N2542" s="104" t="n"/>
      <c r="O2542" s="102" t="n"/>
      <c r="P2542" s="103" t="n"/>
      <c r="Q2542" s="103" t="n"/>
      <c r="R2542" s="104" t="n"/>
      <c r="S2542" s="102" t="n"/>
      <c r="T2542" s="103" t="n"/>
      <c r="U2542" s="103" t="n"/>
      <c r="V2542" s="104" t="n"/>
      <c r="W2542" s="102" t="n"/>
      <c r="X2542" s="104" t="n"/>
      <c r="Y2542" s="102" t="n"/>
      <c r="Z2542" s="104" t="n"/>
      <c r="AB2542" s="105">
        <f>IF($B2542="","",(COUNTIF(C2508:E2525,$B2542)+COUNTIF(C2508:E2525,$B2542&amp;" ~*")&gt;0)+(COUNTIF(G2508:I2525,$B2542)+COUNTIF(G2508:I2525,$B2542&amp;" ~*")&gt;0)+(COUNTIF(K2508:M2525,$B2542)+COUNTIF(K2508:M2525,$B2542&amp;" ~*")&gt;0)+(COUNTIF(O2508:Q2525,$B2542)+COUNTIF(O2508:Q2525,$B2542&amp;" ~*")&gt;0)+(COUNTIF(S2508:U2525,$B2542)+COUNTIF(S2508:U2525,$B2542&amp;" ~*")&gt;0)+(COUNTIF(W2508:W2525,$B2542)+COUNTIF(W2508:W2525,$B2542&amp;" ~*")&gt;0)+(COUNTIF(Y2508:Y2525,$B2542)+COUNTIF(Y2508:Y2525,$B2542&amp;" ~*")&gt;0))</f>
        <v/>
      </c>
      <c r="AC2542" s="38">
        <f>IF($B2542="","",(IFERROR(INDEX(Setup!$G$33:$G$40,MATCH(C2542,Setup!$B$33:$B$40,0)),0)=1)*(COUNTIF(C2508:E2525,$B2542)+COUNTIF(C2508:E2525,$B2542&amp;" ~*")&gt;0)+(IFERROR(INDEX(Setup!$G$33:$G$40,MATCH(G2542,Setup!$B$33:$B$40,0)),0)=1)*(COUNTIF(G2508:I2525,$B2542)+COUNTIF(G2508:I2525,$B2542&amp;" ~*")&gt;0)+(IFERROR(INDEX(Setup!$G$33:$G$40,MATCH(K2542,Setup!$B$33:$B$40,0)),0)=1)*(COUNTIF(K2508:M2525,$B2542)+COUNTIF(K2508:M2525,$B2542&amp;" ~*")&gt;0)+(IFERROR(INDEX(Setup!$G$33:$G$40,MATCH(O2542,Setup!$B$33:$B$40,0)),0)=1)*(COUNTIF(O2508:Q2525,$B2542)+COUNTIF(O2508:Q2525,$B2542&amp;" ~*")&gt;0)+(IFERROR(INDEX(Setup!$G$33:$G$40,MATCH(S2542,Setup!$B$33:$B$40,0)),0)=1)*(COUNTIF(S2508:U2525,$B2542)+COUNTIF(S2508:U2525,$B2542&amp;" ~*")&gt;0)+(IFERROR(INDEX(Setup!$G$33:$G$40,MATCH(W2542,Setup!$B$33:$B$40,0)),0)=1)*(COUNTIF(W2508:W2525,$B2542)+COUNTIF(W2508:W2525,$B2542&amp;" ~*")&gt;0)+(IFERROR(INDEX(Setup!$G$33:$G$40,MATCH(Y2542,Setup!$B$33:$B$40,0)),0)=1)*(COUNTIF(Y2508:Y2525,$B2542)+COUNTIF(Y2508:Y2525,$B2542&amp;" ~*")&gt;0))</f>
        <v/>
      </c>
    </row>
    <row r="2543" ht="15" customHeight="1">
      <c r="A2543" t="n">
        <v>51</v>
      </c>
      <c r="B2543" s="35">
        <f>IF(Setup!$B$22="","",Setup!$B$22)</f>
        <v/>
      </c>
      <c r="C2543" s="98" t="inlineStr">
        <is>
          <t>AL</t>
        </is>
      </c>
      <c r="D2543" s="99" t="n"/>
      <c r="E2543" s="99" t="n"/>
      <c r="F2543" s="100" t="n"/>
      <c r="G2543" s="98" t="inlineStr">
        <is>
          <t>AL</t>
        </is>
      </c>
      <c r="H2543" s="99" t="n"/>
      <c r="I2543" s="99" t="n"/>
      <c r="J2543" s="100" t="n"/>
      <c r="K2543" s="98" t="inlineStr">
        <is>
          <t>AL</t>
        </is>
      </c>
      <c r="L2543" s="99" t="n"/>
      <c r="M2543" s="99" t="n"/>
      <c r="N2543" s="100" t="n"/>
      <c r="O2543" s="98" t="inlineStr">
        <is>
          <t>AL</t>
        </is>
      </c>
      <c r="P2543" s="99" t="n"/>
      <c r="Q2543" s="99" t="n"/>
      <c r="R2543" s="100" t="n"/>
      <c r="S2543" s="98" t="inlineStr">
        <is>
          <t>AL</t>
        </is>
      </c>
      <c r="T2543" s="99" t="n"/>
      <c r="U2543" s="99" t="n"/>
      <c r="V2543" s="100" t="n"/>
      <c r="W2543" s="98" t="n"/>
      <c r="X2543" s="100" t="n"/>
      <c r="Y2543" s="98" t="n"/>
      <c r="Z2543" s="100" t="n"/>
      <c r="AB2543" s="101">
        <f>IF($B2543="","",(COUNTIF(C2508:E2525,$B2543)+COUNTIF(C2508:E2525,$B2543&amp;" ~*")&gt;0)+(COUNTIF(G2508:I2525,$B2543)+COUNTIF(G2508:I2525,$B2543&amp;" ~*")&gt;0)+(COUNTIF(K2508:M2525,$B2543)+COUNTIF(K2508:M2525,$B2543&amp;" ~*")&gt;0)+(COUNTIF(O2508:Q2525,$B2543)+COUNTIF(O2508:Q2525,$B2543&amp;" ~*")&gt;0)+(COUNTIF(S2508:U2525,$B2543)+COUNTIF(S2508:U2525,$B2543&amp;" ~*")&gt;0)+(COUNTIF(W2508:W2525,$B2543)+COUNTIF(W2508:W2525,$B2543&amp;" ~*")&gt;0)+(COUNTIF(Y2508:Y2525,$B2543)+COUNTIF(Y2508:Y2525,$B2543&amp;" ~*")&gt;0))</f>
        <v/>
      </c>
      <c r="AC2543" s="36">
        <f>IF($B2543="","",(IFERROR(INDEX(Setup!$G$33:$G$40,MATCH(C2543,Setup!$B$33:$B$40,0)),0)=1)*(COUNTIF(C2508:E2525,$B2543)+COUNTIF(C2508:E2525,$B2543&amp;" ~*")&gt;0)+(IFERROR(INDEX(Setup!$G$33:$G$40,MATCH(G2543,Setup!$B$33:$B$40,0)),0)=1)*(COUNTIF(G2508:I2525,$B2543)+COUNTIF(G2508:I2525,$B2543&amp;" ~*")&gt;0)+(IFERROR(INDEX(Setup!$G$33:$G$40,MATCH(K2543,Setup!$B$33:$B$40,0)),0)=1)*(COUNTIF(K2508:M2525,$B2543)+COUNTIF(K2508:M2525,$B2543&amp;" ~*")&gt;0)+(IFERROR(INDEX(Setup!$G$33:$G$40,MATCH(O2543,Setup!$B$33:$B$40,0)),0)=1)*(COUNTIF(O2508:Q2525,$B2543)+COUNTIF(O2508:Q2525,$B2543&amp;" ~*")&gt;0)+(IFERROR(INDEX(Setup!$G$33:$G$40,MATCH(S2543,Setup!$B$33:$B$40,0)),0)=1)*(COUNTIF(S2508:U2525,$B2543)+COUNTIF(S2508:U2525,$B2543&amp;" ~*")&gt;0)+(IFERROR(INDEX(Setup!$G$33:$G$40,MATCH(W2543,Setup!$B$33:$B$40,0)),0)=1)*(COUNTIF(W2508:W2525,$B2543)+COUNTIF(W2508:W2525,$B2543&amp;" ~*")&gt;0)+(IFERROR(INDEX(Setup!$G$33:$G$40,MATCH(Y2543,Setup!$B$33:$B$40,0)),0)=1)*(COUNTIF(Y2508:Y2525,$B2543)+COUNTIF(Y2508:Y2525,$B2543&amp;" ~*")&gt;0))</f>
        <v/>
      </c>
    </row>
    <row r="2544" ht="15" customHeight="1">
      <c r="A2544" t="n">
        <v>51</v>
      </c>
      <c r="B2544" s="37">
        <f>IF(Setup!$B$23="","",Setup!$B$23)</f>
        <v/>
      </c>
      <c r="C2544" s="102" t="n"/>
      <c r="D2544" s="103" t="n"/>
      <c r="E2544" s="103" t="n"/>
      <c r="F2544" s="104" t="n"/>
      <c r="G2544" s="102" t="inlineStr">
        <is>
          <t>AL</t>
        </is>
      </c>
      <c r="H2544" s="103" t="n"/>
      <c r="I2544" s="103" t="n"/>
      <c r="J2544" s="104" t="n"/>
      <c r="K2544" s="102" t="inlineStr">
        <is>
          <t>AL</t>
        </is>
      </c>
      <c r="L2544" s="103" t="n"/>
      <c r="M2544" s="103" t="n"/>
      <c r="N2544" s="104" t="n"/>
      <c r="O2544" s="102" t="inlineStr">
        <is>
          <t>AL</t>
        </is>
      </c>
      <c r="P2544" s="103" t="n"/>
      <c r="Q2544" s="103" t="n"/>
      <c r="R2544" s="104" t="n"/>
      <c r="S2544" s="102" t="n"/>
      <c r="T2544" s="103" t="n"/>
      <c r="U2544" s="103" t="n"/>
      <c r="V2544" s="104" t="n"/>
      <c r="W2544" s="102" t="n"/>
      <c r="X2544" s="104" t="n"/>
      <c r="Y2544" s="102" t="n"/>
      <c r="Z2544" s="104" t="n"/>
      <c r="AB2544" s="105">
        <f>IF($B2544="","",(COUNTIF(C2508:E2525,$B2544)+COUNTIF(C2508:E2525,$B2544&amp;" ~*")&gt;0)+(COUNTIF(G2508:I2525,$B2544)+COUNTIF(G2508:I2525,$B2544&amp;" ~*")&gt;0)+(COUNTIF(K2508:M2525,$B2544)+COUNTIF(K2508:M2525,$B2544&amp;" ~*")&gt;0)+(COUNTIF(O2508:Q2525,$B2544)+COUNTIF(O2508:Q2525,$B2544&amp;" ~*")&gt;0)+(COUNTIF(S2508:U2525,$B2544)+COUNTIF(S2508:U2525,$B2544&amp;" ~*")&gt;0)+(COUNTIF(W2508:W2525,$B2544)+COUNTIF(W2508:W2525,$B2544&amp;" ~*")&gt;0)+(COUNTIF(Y2508:Y2525,$B2544)+COUNTIF(Y2508:Y2525,$B2544&amp;" ~*")&gt;0))</f>
        <v/>
      </c>
      <c r="AC2544" s="38">
        <f>IF($B2544="","",(IFERROR(INDEX(Setup!$G$33:$G$40,MATCH(C2544,Setup!$B$33:$B$40,0)),0)=1)*(COUNTIF(C2508:E2525,$B2544)+COUNTIF(C2508:E2525,$B2544&amp;" ~*")&gt;0)+(IFERROR(INDEX(Setup!$G$33:$G$40,MATCH(G2544,Setup!$B$33:$B$40,0)),0)=1)*(COUNTIF(G2508:I2525,$B2544)+COUNTIF(G2508:I2525,$B2544&amp;" ~*")&gt;0)+(IFERROR(INDEX(Setup!$G$33:$G$40,MATCH(K2544,Setup!$B$33:$B$40,0)),0)=1)*(COUNTIF(K2508:M2525,$B2544)+COUNTIF(K2508:M2525,$B2544&amp;" ~*")&gt;0)+(IFERROR(INDEX(Setup!$G$33:$G$40,MATCH(O2544,Setup!$B$33:$B$40,0)),0)=1)*(COUNTIF(O2508:Q2525,$B2544)+COUNTIF(O2508:Q2525,$B2544&amp;" ~*")&gt;0)+(IFERROR(INDEX(Setup!$G$33:$G$40,MATCH(S2544,Setup!$B$33:$B$40,0)),0)=1)*(COUNTIF(S2508:U2525,$B2544)+COUNTIF(S2508:U2525,$B2544&amp;" ~*")&gt;0)+(IFERROR(INDEX(Setup!$G$33:$G$40,MATCH(W2544,Setup!$B$33:$B$40,0)),0)=1)*(COUNTIF(W2508:W2525,$B2544)+COUNTIF(W2508:W2525,$B2544&amp;" ~*")&gt;0)+(IFERROR(INDEX(Setup!$G$33:$G$40,MATCH(Y2544,Setup!$B$33:$B$40,0)),0)=1)*(COUNTIF(Y2508:Y2525,$B2544)+COUNTIF(Y2508:Y2525,$B2544&amp;" ~*")&gt;0))</f>
        <v/>
      </c>
    </row>
    <row r="2545" ht="15" customHeight="1">
      <c r="A2545" t="n">
        <v>51</v>
      </c>
      <c r="B2545" s="35">
        <f>IF(Setup!$B$24="","",Setup!$B$24)</f>
        <v/>
      </c>
      <c r="C2545" s="98" t="n"/>
      <c r="D2545" s="99" t="n"/>
      <c r="E2545" s="99" t="n"/>
      <c r="F2545" s="100" t="n"/>
      <c r="G2545" s="98" t="n"/>
      <c r="H2545" s="99" t="n"/>
      <c r="I2545" s="99" t="n"/>
      <c r="J2545" s="100" t="n"/>
      <c r="K2545" s="98" t="n"/>
      <c r="L2545" s="99" t="n"/>
      <c r="M2545" s="99" t="n"/>
      <c r="N2545" s="100" t="n"/>
      <c r="O2545" s="98" t="n"/>
      <c r="P2545" s="99" t="n"/>
      <c r="Q2545" s="99" t="n"/>
      <c r="R2545" s="100" t="n"/>
      <c r="S2545" s="98" t="n"/>
      <c r="T2545" s="99" t="n"/>
      <c r="U2545" s="99" t="n"/>
      <c r="V2545" s="100" t="n"/>
      <c r="W2545" s="98" t="n"/>
      <c r="X2545" s="100" t="n"/>
      <c r="Y2545" s="98" t="n"/>
      <c r="Z2545" s="100" t="n"/>
      <c r="AB2545" s="101">
        <f>IF($B2545="","",(COUNTIF(C2508:E2525,$B2545)+COUNTIF(C2508:E2525,$B2545&amp;" ~*")&gt;0)+(COUNTIF(G2508:I2525,$B2545)+COUNTIF(G2508:I2525,$B2545&amp;" ~*")&gt;0)+(COUNTIF(K2508:M2525,$B2545)+COUNTIF(K2508:M2525,$B2545&amp;" ~*")&gt;0)+(COUNTIF(O2508:Q2525,$B2545)+COUNTIF(O2508:Q2525,$B2545&amp;" ~*")&gt;0)+(COUNTIF(S2508:U2525,$B2545)+COUNTIF(S2508:U2525,$B2545&amp;" ~*")&gt;0)+(COUNTIF(W2508:W2525,$B2545)+COUNTIF(W2508:W2525,$B2545&amp;" ~*")&gt;0)+(COUNTIF(Y2508:Y2525,$B2545)+COUNTIF(Y2508:Y2525,$B2545&amp;" ~*")&gt;0))</f>
        <v/>
      </c>
      <c r="AC2545" s="36">
        <f>IF($B2545="","",(IFERROR(INDEX(Setup!$G$33:$G$40,MATCH(C2545,Setup!$B$33:$B$40,0)),0)=1)*(COUNTIF(C2508:E2525,$B2545)+COUNTIF(C2508:E2525,$B2545&amp;" ~*")&gt;0)+(IFERROR(INDEX(Setup!$G$33:$G$40,MATCH(G2545,Setup!$B$33:$B$40,0)),0)=1)*(COUNTIF(G2508:I2525,$B2545)+COUNTIF(G2508:I2525,$B2545&amp;" ~*")&gt;0)+(IFERROR(INDEX(Setup!$G$33:$G$40,MATCH(K2545,Setup!$B$33:$B$40,0)),0)=1)*(COUNTIF(K2508:M2525,$B2545)+COUNTIF(K2508:M2525,$B2545&amp;" ~*")&gt;0)+(IFERROR(INDEX(Setup!$G$33:$G$40,MATCH(O2545,Setup!$B$33:$B$40,0)),0)=1)*(COUNTIF(O2508:Q2525,$B2545)+COUNTIF(O2508:Q2525,$B2545&amp;" ~*")&gt;0)+(IFERROR(INDEX(Setup!$G$33:$G$40,MATCH(S2545,Setup!$B$33:$B$40,0)),0)=1)*(COUNTIF(S2508:U2525,$B2545)+COUNTIF(S2508:U2525,$B2545&amp;" ~*")&gt;0)+(IFERROR(INDEX(Setup!$G$33:$G$40,MATCH(W2545,Setup!$B$33:$B$40,0)),0)=1)*(COUNTIF(W2508:W2525,$B2545)+COUNTIF(W2508:W2525,$B2545&amp;" ~*")&gt;0)+(IFERROR(INDEX(Setup!$G$33:$G$40,MATCH(Y2545,Setup!$B$33:$B$40,0)),0)=1)*(COUNTIF(Y2508:Y2525,$B2545)+COUNTIF(Y2508:Y2525,$B2545&amp;" ~*")&gt;0))</f>
        <v/>
      </c>
    </row>
    <row r="2546" ht="15" customHeight="1">
      <c r="A2546" t="n">
        <v>51</v>
      </c>
      <c r="B2546" s="37">
        <f>IF(Setup!$B$25="","",Setup!$B$25)</f>
        <v/>
      </c>
      <c r="C2546" s="102" t="n"/>
      <c r="D2546" s="103" t="n"/>
      <c r="E2546" s="103" t="n"/>
      <c r="F2546" s="104" t="n"/>
      <c r="G2546" s="102" t="n"/>
      <c r="H2546" s="103" t="n"/>
      <c r="I2546" s="103" t="n"/>
      <c r="J2546" s="104" t="n"/>
      <c r="K2546" s="102" t="n"/>
      <c r="L2546" s="103" t="n"/>
      <c r="M2546" s="103" t="n"/>
      <c r="N2546" s="104" t="n"/>
      <c r="O2546" s="102" t="n"/>
      <c r="P2546" s="103" t="n"/>
      <c r="Q2546" s="103" t="n"/>
      <c r="R2546" s="104" t="n"/>
      <c r="S2546" s="102" t="n"/>
      <c r="T2546" s="103" t="n"/>
      <c r="U2546" s="103" t="n"/>
      <c r="V2546" s="104" t="n"/>
      <c r="W2546" s="102" t="n"/>
      <c r="X2546" s="104" t="n"/>
      <c r="Y2546" s="102" t="n"/>
      <c r="Z2546" s="104" t="n"/>
      <c r="AB2546" s="105">
        <f>IF($B2546="","",(COUNTIF(C2508:E2525,$B2546)+COUNTIF(C2508:E2525,$B2546&amp;" ~*")&gt;0)+(COUNTIF(G2508:I2525,$B2546)+COUNTIF(G2508:I2525,$B2546&amp;" ~*")&gt;0)+(COUNTIF(K2508:M2525,$B2546)+COUNTIF(K2508:M2525,$B2546&amp;" ~*")&gt;0)+(COUNTIF(O2508:Q2525,$B2546)+COUNTIF(O2508:Q2525,$B2546&amp;" ~*")&gt;0)+(COUNTIF(S2508:U2525,$B2546)+COUNTIF(S2508:U2525,$B2546&amp;" ~*")&gt;0)+(COUNTIF(W2508:W2525,$B2546)+COUNTIF(W2508:W2525,$B2546&amp;" ~*")&gt;0)+(COUNTIF(Y2508:Y2525,$B2546)+COUNTIF(Y2508:Y2525,$B2546&amp;" ~*")&gt;0))</f>
        <v/>
      </c>
      <c r="AC2546" s="38">
        <f>IF($B2546="","",(IFERROR(INDEX(Setup!$G$33:$G$40,MATCH(C2546,Setup!$B$33:$B$40,0)),0)=1)*(COUNTIF(C2508:E2525,$B2546)+COUNTIF(C2508:E2525,$B2546&amp;" ~*")&gt;0)+(IFERROR(INDEX(Setup!$G$33:$G$40,MATCH(G2546,Setup!$B$33:$B$40,0)),0)=1)*(COUNTIF(G2508:I2525,$B2546)+COUNTIF(G2508:I2525,$B2546&amp;" ~*")&gt;0)+(IFERROR(INDEX(Setup!$G$33:$G$40,MATCH(K2546,Setup!$B$33:$B$40,0)),0)=1)*(COUNTIF(K2508:M2525,$B2546)+COUNTIF(K2508:M2525,$B2546&amp;" ~*")&gt;0)+(IFERROR(INDEX(Setup!$G$33:$G$40,MATCH(O2546,Setup!$B$33:$B$40,0)),0)=1)*(COUNTIF(O2508:Q2525,$B2546)+COUNTIF(O2508:Q2525,$B2546&amp;" ~*")&gt;0)+(IFERROR(INDEX(Setup!$G$33:$G$40,MATCH(S2546,Setup!$B$33:$B$40,0)),0)=1)*(COUNTIF(S2508:U2525,$B2546)+COUNTIF(S2508:U2525,$B2546&amp;" ~*")&gt;0)+(IFERROR(INDEX(Setup!$G$33:$G$40,MATCH(W2546,Setup!$B$33:$B$40,0)),0)=1)*(COUNTIF(W2508:W2525,$B2546)+COUNTIF(W2508:W2525,$B2546&amp;" ~*")&gt;0)+(IFERROR(INDEX(Setup!$G$33:$G$40,MATCH(Y2546,Setup!$B$33:$B$40,0)),0)=1)*(COUNTIF(Y2508:Y2525,$B2546)+COUNTIF(Y2508:Y2525,$B2546&amp;" ~*")&gt;0))</f>
        <v/>
      </c>
    </row>
    <row r="2547" ht="15" customHeight="1">
      <c r="A2547" t="n">
        <v>51</v>
      </c>
      <c r="B2547" s="35">
        <f>IF(Setup!$B$26="","",Setup!$B$26)</f>
        <v/>
      </c>
      <c r="C2547" s="98" t="n"/>
      <c r="D2547" s="99" t="n"/>
      <c r="E2547" s="99" t="n"/>
      <c r="F2547" s="100" t="n"/>
      <c r="G2547" s="98" t="n"/>
      <c r="H2547" s="99" t="n"/>
      <c r="I2547" s="99" t="n"/>
      <c r="J2547" s="100" t="n"/>
      <c r="K2547" s="98" t="n"/>
      <c r="L2547" s="99" t="n"/>
      <c r="M2547" s="99" t="n"/>
      <c r="N2547" s="100" t="n"/>
      <c r="O2547" s="98" t="n"/>
      <c r="P2547" s="99" t="n"/>
      <c r="Q2547" s="99" t="n"/>
      <c r="R2547" s="100" t="n"/>
      <c r="S2547" s="98" t="n"/>
      <c r="T2547" s="99" t="n"/>
      <c r="U2547" s="99" t="n"/>
      <c r="V2547" s="100" t="n"/>
      <c r="W2547" s="98" t="n"/>
      <c r="X2547" s="100" t="n"/>
      <c r="Y2547" s="98" t="n"/>
      <c r="Z2547" s="100" t="n"/>
      <c r="AB2547" s="101">
        <f>IF($B2547="","",(COUNTIF(C2508:E2525,$B2547)+COUNTIF(C2508:E2525,$B2547&amp;" ~*")&gt;0)+(COUNTIF(G2508:I2525,$B2547)+COUNTIF(G2508:I2525,$B2547&amp;" ~*")&gt;0)+(COUNTIF(K2508:M2525,$B2547)+COUNTIF(K2508:M2525,$B2547&amp;" ~*")&gt;0)+(COUNTIF(O2508:Q2525,$B2547)+COUNTIF(O2508:Q2525,$B2547&amp;" ~*")&gt;0)+(COUNTIF(S2508:U2525,$B2547)+COUNTIF(S2508:U2525,$B2547&amp;" ~*")&gt;0)+(COUNTIF(W2508:W2525,$B2547)+COUNTIF(W2508:W2525,$B2547&amp;" ~*")&gt;0)+(COUNTIF(Y2508:Y2525,$B2547)+COUNTIF(Y2508:Y2525,$B2547&amp;" ~*")&gt;0))</f>
        <v/>
      </c>
      <c r="AC2547" s="36">
        <f>IF($B2547="","",(IFERROR(INDEX(Setup!$G$33:$G$40,MATCH(C2547,Setup!$B$33:$B$40,0)),0)=1)*(COUNTIF(C2508:E2525,$B2547)+COUNTIF(C2508:E2525,$B2547&amp;" ~*")&gt;0)+(IFERROR(INDEX(Setup!$G$33:$G$40,MATCH(G2547,Setup!$B$33:$B$40,0)),0)=1)*(COUNTIF(G2508:I2525,$B2547)+COUNTIF(G2508:I2525,$B2547&amp;" ~*")&gt;0)+(IFERROR(INDEX(Setup!$G$33:$G$40,MATCH(K2547,Setup!$B$33:$B$40,0)),0)=1)*(COUNTIF(K2508:M2525,$B2547)+COUNTIF(K2508:M2525,$B2547&amp;" ~*")&gt;0)+(IFERROR(INDEX(Setup!$G$33:$G$40,MATCH(O2547,Setup!$B$33:$B$40,0)),0)=1)*(COUNTIF(O2508:Q2525,$B2547)+COUNTIF(O2508:Q2525,$B2547&amp;" ~*")&gt;0)+(IFERROR(INDEX(Setup!$G$33:$G$40,MATCH(S2547,Setup!$B$33:$B$40,0)),0)=1)*(COUNTIF(S2508:U2525,$B2547)+COUNTIF(S2508:U2525,$B2547&amp;" ~*")&gt;0)+(IFERROR(INDEX(Setup!$G$33:$G$40,MATCH(W2547,Setup!$B$33:$B$40,0)),0)=1)*(COUNTIF(W2508:W2525,$B2547)+COUNTIF(W2508:W2525,$B2547&amp;" ~*")&gt;0)+(IFERROR(INDEX(Setup!$G$33:$G$40,MATCH(Y2547,Setup!$B$33:$B$40,0)),0)=1)*(COUNTIF(Y2508:Y2525,$B2547)+COUNTIF(Y2508:Y2525,$B2547&amp;" ~*")&gt;0))</f>
        <v/>
      </c>
    </row>
    <row r="2548" ht="15" customHeight="1">
      <c r="A2548" t="n">
        <v>51</v>
      </c>
      <c r="B2548" s="37">
        <f>IF(Setup!$B$27="","",Setup!$B$27)</f>
        <v/>
      </c>
      <c r="C2548" s="102" t="n"/>
      <c r="D2548" s="103" t="n"/>
      <c r="E2548" s="103" t="n"/>
      <c r="F2548" s="104" t="n"/>
      <c r="G2548" s="102" t="n"/>
      <c r="H2548" s="103" t="n"/>
      <c r="I2548" s="103" t="n"/>
      <c r="J2548" s="104" t="n"/>
      <c r="K2548" s="102" t="n"/>
      <c r="L2548" s="103" t="n"/>
      <c r="M2548" s="103" t="n"/>
      <c r="N2548" s="104" t="n"/>
      <c r="O2548" s="102" t="n"/>
      <c r="P2548" s="103" t="n"/>
      <c r="Q2548" s="103" t="n"/>
      <c r="R2548" s="104" t="n"/>
      <c r="S2548" s="102" t="n"/>
      <c r="T2548" s="103" t="n"/>
      <c r="U2548" s="103" t="n"/>
      <c r="V2548" s="104" t="n"/>
      <c r="W2548" s="102" t="n"/>
      <c r="X2548" s="104" t="n"/>
      <c r="Y2548" s="102" t="n"/>
      <c r="Z2548" s="104" t="n"/>
      <c r="AB2548" s="105">
        <f>IF($B2548="","",(COUNTIF(C2508:E2525,$B2548)+COUNTIF(C2508:E2525,$B2548&amp;" ~*")&gt;0)+(COUNTIF(G2508:I2525,$B2548)+COUNTIF(G2508:I2525,$B2548&amp;" ~*")&gt;0)+(COUNTIF(K2508:M2525,$B2548)+COUNTIF(K2508:M2525,$B2548&amp;" ~*")&gt;0)+(COUNTIF(O2508:Q2525,$B2548)+COUNTIF(O2508:Q2525,$B2548&amp;" ~*")&gt;0)+(COUNTIF(S2508:U2525,$B2548)+COUNTIF(S2508:U2525,$B2548&amp;" ~*")&gt;0)+(COUNTIF(W2508:W2525,$B2548)+COUNTIF(W2508:W2525,$B2548&amp;" ~*")&gt;0)+(COUNTIF(Y2508:Y2525,$B2548)+COUNTIF(Y2508:Y2525,$B2548&amp;" ~*")&gt;0))</f>
        <v/>
      </c>
      <c r="AC2548" s="38">
        <f>IF($B2548="","",(IFERROR(INDEX(Setup!$G$33:$G$40,MATCH(C2548,Setup!$B$33:$B$40,0)),0)=1)*(COUNTIF(C2508:E2525,$B2548)+COUNTIF(C2508:E2525,$B2548&amp;" ~*")&gt;0)+(IFERROR(INDEX(Setup!$G$33:$G$40,MATCH(G2548,Setup!$B$33:$B$40,0)),0)=1)*(COUNTIF(G2508:I2525,$B2548)+COUNTIF(G2508:I2525,$B2548&amp;" ~*")&gt;0)+(IFERROR(INDEX(Setup!$G$33:$G$40,MATCH(K2548,Setup!$B$33:$B$40,0)),0)=1)*(COUNTIF(K2508:M2525,$B2548)+COUNTIF(K2508:M2525,$B2548&amp;" ~*")&gt;0)+(IFERROR(INDEX(Setup!$G$33:$G$40,MATCH(O2548,Setup!$B$33:$B$40,0)),0)=1)*(COUNTIF(O2508:Q2525,$B2548)+COUNTIF(O2508:Q2525,$B2548&amp;" ~*")&gt;0)+(IFERROR(INDEX(Setup!$G$33:$G$40,MATCH(S2548,Setup!$B$33:$B$40,0)),0)=1)*(COUNTIF(S2508:U2525,$B2548)+COUNTIF(S2508:U2525,$B2548&amp;" ~*")&gt;0)+(IFERROR(INDEX(Setup!$G$33:$G$40,MATCH(W2548,Setup!$B$33:$B$40,0)),0)=1)*(COUNTIF(W2508:W2525,$B2548)+COUNTIF(W2508:W2525,$B2548&amp;" ~*")&gt;0)+(IFERROR(INDEX(Setup!$G$33:$G$40,MATCH(Y2548,Setup!$B$33:$B$40,0)),0)=1)*(COUNTIF(Y2508:Y2525,$B2548)+COUNTIF(Y2508:Y2525,$B2548&amp;" ~*")&gt;0))</f>
        <v/>
      </c>
    </row>
    <row r="2549" ht="15" customHeight="1">
      <c r="A2549" t="n">
        <v>51</v>
      </c>
      <c r="B2549" s="35">
        <f>IF(Setup!$B$28="","",Setup!$B$28)</f>
        <v/>
      </c>
      <c r="C2549" s="98" t="n"/>
      <c r="D2549" s="99" t="n"/>
      <c r="E2549" s="99" t="n"/>
      <c r="F2549" s="100" t="n"/>
      <c r="G2549" s="98" t="n"/>
      <c r="H2549" s="99" t="n"/>
      <c r="I2549" s="99" t="n"/>
      <c r="J2549" s="100" t="n"/>
      <c r="K2549" s="98" t="n"/>
      <c r="L2549" s="99" t="n"/>
      <c r="M2549" s="99" t="n"/>
      <c r="N2549" s="100" t="n"/>
      <c r="O2549" s="98" t="n"/>
      <c r="P2549" s="99" t="n"/>
      <c r="Q2549" s="99" t="n"/>
      <c r="R2549" s="100" t="n"/>
      <c r="S2549" s="98" t="n"/>
      <c r="T2549" s="99" t="n"/>
      <c r="U2549" s="99" t="n"/>
      <c r="V2549" s="100" t="n"/>
      <c r="W2549" s="98" t="n"/>
      <c r="X2549" s="100" t="n"/>
      <c r="Y2549" s="98" t="n"/>
      <c r="Z2549" s="100" t="n"/>
      <c r="AB2549" s="101">
        <f>IF($B2549="","",(COUNTIF(C2508:E2525,$B2549)+COUNTIF(C2508:E2525,$B2549&amp;" ~*")&gt;0)+(COUNTIF(G2508:I2525,$B2549)+COUNTIF(G2508:I2525,$B2549&amp;" ~*")&gt;0)+(COUNTIF(K2508:M2525,$B2549)+COUNTIF(K2508:M2525,$B2549&amp;" ~*")&gt;0)+(COUNTIF(O2508:Q2525,$B2549)+COUNTIF(O2508:Q2525,$B2549&amp;" ~*")&gt;0)+(COUNTIF(S2508:U2525,$B2549)+COUNTIF(S2508:U2525,$B2549&amp;" ~*")&gt;0)+(COUNTIF(W2508:W2525,$B2549)+COUNTIF(W2508:W2525,$B2549&amp;" ~*")&gt;0)+(COUNTIF(Y2508:Y2525,$B2549)+COUNTIF(Y2508:Y2525,$B2549&amp;" ~*")&gt;0))</f>
        <v/>
      </c>
      <c r="AC2549" s="36">
        <f>IF($B2549="","",(IFERROR(INDEX(Setup!$G$33:$G$40,MATCH(C2549,Setup!$B$33:$B$40,0)),0)=1)*(COUNTIF(C2508:E2525,$B2549)+COUNTIF(C2508:E2525,$B2549&amp;" ~*")&gt;0)+(IFERROR(INDEX(Setup!$G$33:$G$40,MATCH(G2549,Setup!$B$33:$B$40,0)),0)=1)*(COUNTIF(G2508:I2525,$B2549)+COUNTIF(G2508:I2525,$B2549&amp;" ~*")&gt;0)+(IFERROR(INDEX(Setup!$G$33:$G$40,MATCH(K2549,Setup!$B$33:$B$40,0)),0)=1)*(COUNTIF(K2508:M2525,$B2549)+COUNTIF(K2508:M2525,$B2549&amp;" ~*")&gt;0)+(IFERROR(INDEX(Setup!$G$33:$G$40,MATCH(O2549,Setup!$B$33:$B$40,0)),0)=1)*(COUNTIF(O2508:Q2525,$B2549)+COUNTIF(O2508:Q2525,$B2549&amp;" ~*")&gt;0)+(IFERROR(INDEX(Setup!$G$33:$G$40,MATCH(S2549,Setup!$B$33:$B$40,0)),0)=1)*(COUNTIF(S2508:U2525,$B2549)+COUNTIF(S2508:U2525,$B2549&amp;" ~*")&gt;0)+(IFERROR(INDEX(Setup!$G$33:$G$40,MATCH(W2549,Setup!$B$33:$B$40,0)),0)=1)*(COUNTIF(W2508:W2525,$B2549)+COUNTIF(W2508:W2525,$B2549&amp;" ~*")&gt;0)+(IFERROR(INDEX(Setup!$G$33:$G$40,MATCH(Y2549,Setup!$B$33:$B$40,0)),0)=1)*(COUNTIF(Y2508:Y2525,$B2549)+COUNTIF(Y2508:Y2525,$B2549&amp;" ~*")&gt;0))</f>
        <v/>
      </c>
    </row>
    <row r="2550" ht="15" customHeight="1">
      <c r="A2550" t="n">
        <v>51</v>
      </c>
      <c r="B2550" s="37">
        <f>IF(Setup!$B$29="","",Setup!$B$29)</f>
        <v/>
      </c>
      <c r="C2550" s="102" t="n"/>
      <c r="D2550" s="103" t="n"/>
      <c r="E2550" s="103" t="n"/>
      <c r="F2550" s="104" t="n"/>
      <c r="G2550" s="102" t="n"/>
      <c r="H2550" s="103" t="n"/>
      <c r="I2550" s="103" t="n"/>
      <c r="J2550" s="104" t="n"/>
      <c r="K2550" s="102" t="n"/>
      <c r="L2550" s="103" t="n"/>
      <c r="M2550" s="103" t="n"/>
      <c r="N2550" s="104" t="n"/>
      <c r="O2550" s="102" t="n"/>
      <c r="P2550" s="103" t="n"/>
      <c r="Q2550" s="103" t="n"/>
      <c r="R2550" s="104" t="n"/>
      <c r="S2550" s="102" t="n"/>
      <c r="T2550" s="103" t="n"/>
      <c r="U2550" s="103" t="n"/>
      <c r="V2550" s="104" t="n"/>
      <c r="W2550" s="102" t="n"/>
      <c r="X2550" s="104" t="n"/>
      <c r="Y2550" s="102" t="n"/>
      <c r="Z2550" s="104" t="n"/>
      <c r="AB2550" s="105">
        <f>IF($B2550="","",(COUNTIF(C2508:E2525,$B2550)+COUNTIF(C2508:E2525,$B2550&amp;" ~*")&gt;0)+(COUNTIF(G2508:I2525,$B2550)+COUNTIF(G2508:I2525,$B2550&amp;" ~*")&gt;0)+(COUNTIF(K2508:M2525,$B2550)+COUNTIF(K2508:M2525,$B2550&amp;" ~*")&gt;0)+(COUNTIF(O2508:Q2525,$B2550)+COUNTIF(O2508:Q2525,$B2550&amp;" ~*")&gt;0)+(COUNTIF(S2508:U2525,$B2550)+COUNTIF(S2508:U2525,$B2550&amp;" ~*")&gt;0)+(COUNTIF(W2508:W2525,$B2550)+COUNTIF(W2508:W2525,$B2550&amp;" ~*")&gt;0)+(COUNTIF(Y2508:Y2525,$B2550)+COUNTIF(Y2508:Y2525,$B2550&amp;" ~*")&gt;0))</f>
        <v/>
      </c>
      <c r="AC2550" s="38">
        <f>IF($B2550="","",(IFERROR(INDEX(Setup!$G$33:$G$40,MATCH(C2550,Setup!$B$33:$B$40,0)),0)=1)*(COUNTIF(C2508:E2525,$B2550)+COUNTIF(C2508:E2525,$B2550&amp;" ~*")&gt;0)+(IFERROR(INDEX(Setup!$G$33:$G$40,MATCH(G2550,Setup!$B$33:$B$40,0)),0)=1)*(COUNTIF(G2508:I2525,$B2550)+COUNTIF(G2508:I2525,$B2550&amp;" ~*")&gt;0)+(IFERROR(INDEX(Setup!$G$33:$G$40,MATCH(K2550,Setup!$B$33:$B$40,0)),0)=1)*(COUNTIF(K2508:M2525,$B2550)+COUNTIF(K2508:M2525,$B2550&amp;" ~*")&gt;0)+(IFERROR(INDEX(Setup!$G$33:$G$40,MATCH(O2550,Setup!$B$33:$B$40,0)),0)=1)*(COUNTIF(O2508:Q2525,$B2550)+COUNTIF(O2508:Q2525,$B2550&amp;" ~*")&gt;0)+(IFERROR(INDEX(Setup!$G$33:$G$40,MATCH(S2550,Setup!$B$33:$B$40,0)),0)=1)*(COUNTIF(S2508:U2525,$B2550)+COUNTIF(S2508:U2525,$B2550&amp;" ~*")&gt;0)+(IFERROR(INDEX(Setup!$G$33:$G$40,MATCH(W2550,Setup!$B$33:$B$40,0)),0)=1)*(COUNTIF(W2508:W2525,$B2550)+COUNTIF(W2508:W2525,$B2550&amp;" ~*")&gt;0)+(IFERROR(INDEX(Setup!$G$33:$G$40,MATCH(Y2550,Setup!$B$33:$B$40,0)),0)=1)*(COUNTIF(Y2508:Y2525,$B2550)+COUNTIF(Y2508:Y2525,$B2550&amp;" ~*")&gt;0))</f>
        <v/>
      </c>
    </row>
    <row r="2551" ht="16" customHeight="1">
      <c r="A2551" t="n">
        <v>51</v>
      </c>
      <c r="B2551" s="106" t="inlineStr">
        <is>
          <t>Available people</t>
        </is>
      </c>
      <c r="C2551" s="107">
        <f>COUNTIFS(Setup!$E$6:$E$29,"Y",Setup!$B$6:$B$29,"?*")-SUMPRODUCT(COUNTIF(C2527:C2550,Setup!$F$33:$F$40))</f>
        <v/>
      </c>
      <c r="D2551" s="107" t="n"/>
      <c r="E2551" s="107" t="n"/>
      <c r="F2551" s="107" t="n"/>
      <c r="G2551" s="107">
        <f>COUNTIFS(Setup!$E$6:$E$29,"Y",Setup!$B$6:$B$29,"?*")-SUMPRODUCT(COUNTIF(G2527:G2550,Setup!$F$33:$F$40))</f>
        <v/>
      </c>
      <c r="H2551" s="107" t="n"/>
      <c r="I2551" s="107" t="n"/>
      <c r="J2551" s="107" t="n"/>
      <c r="K2551" s="107">
        <f>COUNTIFS(Setup!$E$6:$E$29,"Y",Setup!$B$6:$B$29,"?*")-SUMPRODUCT(COUNTIF(K2527:K2550,Setup!$F$33:$F$40))</f>
        <v/>
      </c>
      <c r="L2551" s="107" t="n"/>
      <c r="M2551" s="107" t="n"/>
      <c r="N2551" s="107" t="n"/>
      <c r="O2551" s="107">
        <f>COUNTIFS(Setup!$E$6:$E$29,"Y",Setup!$B$6:$B$29,"?*")-SUMPRODUCT(COUNTIF(O2527:O2550,Setup!$F$33:$F$40))</f>
        <v/>
      </c>
      <c r="P2551" s="107" t="n"/>
      <c r="Q2551" s="107" t="n"/>
      <c r="R2551" s="107" t="n"/>
      <c r="S2551" s="107">
        <f>COUNTIFS(Setup!$E$6:$E$29,"Y",Setup!$B$6:$B$29,"?*")-SUMPRODUCT(COUNTIF(S2527:S2550,Setup!$F$33:$F$40))</f>
        <v/>
      </c>
      <c r="T2551" s="107" t="n"/>
      <c r="U2551" s="107" t="n"/>
      <c r="V2551" s="107" t="n"/>
      <c r="W2551" s="107">
        <f>COUNTIFS(Setup!$E$6:$E$29,"Y",Setup!$B$6:$B$29,"?*")-SUMPRODUCT(COUNTIF(W2527:W2550,Setup!$F$33:$F$40))</f>
        <v/>
      </c>
      <c r="X2551" s="107" t="n"/>
      <c r="Y2551" s="107">
        <f>COUNTIFS(Setup!$E$6:$E$29,"Y",Setup!$B$6:$B$29,"?*")-SUMPRODUCT(COUNTIF(Y2527:Y2550,Setup!$F$33:$F$40))</f>
        <v/>
      </c>
      <c r="Z2551" s="107" t="n"/>
      <c r="AB2551" s="108">
        <f>SUM(AB2527:AB2550)</f>
        <v/>
      </c>
      <c r="AC2551" s="109">
        <f>SUM(AC2527:AC2550)</f>
        <v/>
      </c>
    </row>
    <row r="2552" ht="30" customHeight="1">
      <c r="A2552" t="n">
        <v>51</v>
      </c>
      <c r="B2552" s="110" t="inlineStr">
        <is>
          <t>Week notes</t>
        </is>
      </c>
      <c r="C2552" s="111" t="n"/>
      <c r="D2552" s="112" t="n"/>
      <c r="E2552" s="112" t="n"/>
      <c r="F2552" s="112" t="n"/>
      <c r="G2552" s="112" t="n"/>
      <c r="H2552" s="112" t="n"/>
      <c r="I2552" s="112" t="n"/>
      <c r="J2552" s="112" t="n"/>
      <c r="K2552" s="112" t="n"/>
      <c r="L2552" s="112" t="n"/>
      <c r="M2552" s="112" t="n"/>
      <c r="N2552" s="112" t="n"/>
      <c r="O2552" s="112" t="n"/>
      <c r="P2552" s="112" t="n"/>
      <c r="Q2552" s="112" t="n"/>
      <c r="R2552" s="112" t="n"/>
      <c r="S2552" s="112" t="n"/>
      <c r="T2552" s="112" t="n"/>
      <c r="U2552" s="112" t="n"/>
      <c r="V2552" s="112" t="n"/>
      <c r="W2552" s="112" t="n"/>
      <c r="X2552" s="112" t="n"/>
      <c r="Y2552" s="112" t="n"/>
      <c r="Z2552" s="113" t="n"/>
    </row>
    <row r="2553" ht="8" customHeight="1">
      <c r="A2553" t="n">
        <v>51</v>
      </c>
    </row>
    <row r="2554" ht="8" customHeight="1">
      <c r="A2554" t="n">
        <v>51</v>
      </c>
    </row>
    <row r="2555" ht="24" customHeight="1">
      <c r="A2555" t="n">
        <v>52</v>
      </c>
      <c r="B2555" s="73">
        <f>"WEEK 52     "&amp;TEXT(C2556,"ddd d mmm")&amp;"  –  "&amp;TEXT(C2556+6,"ddd d mmm yyyy")</f>
        <v/>
      </c>
      <c r="S2555" s="74">
        <f>IF(TODAY()&lt;C2556,"FUTURE",IF(TODAY()&gt;C2556+6,"PAST","THIS WEEK"))</f>
        <v/>
      </c>
      <c r="W2555" s="75">
        <f>IF(AND(Engine!$B$8=$AC$3,Engine!$B$9=$A2555),"◀ ACTIVE WEEK","")</f>
        <v/>
      </c>
      <c r="AA2555" s="76" t="n"/>
      <c r="AB2555" s="77" t="inlineStr">
        <is>
          <t>◀ Prev</t>
        </is>
      </c>
      <c r="AC2555" s="77" t="inlineStr">
        <is>
          <t>Next ▶</t>
        </is>
      </c>
    </row>
    <row r="2556" ht="18" customHeight="1">
      <c r="A2556" t="n">
        <v>52</v>
      </c>
      <c r="B2556" s="78" t="inlineStr">
        <is>
          <t>DUTY</t>
        </is>
      </c>
      <c r="C2556" s="79">
        <f>$AC$2+7*($A2556-1)</f>
        <v/>
      </c>
      <c r="D2556" s="80" t="n"/>
      <c r="E2556" s="80" t="n"/>
      <c r="F2556" s="81" t="n"/>
      <c r="G2556" s="79">
        <f>C2556+1</f>
        <v/>
      </c>
      <c r="H2556" s="80" t="n"/>
      <c r="I2556" s="80" t="n"/>
      <c r="J2556" s="81" t="n"/>
      <c r="K2556" s="79">
        <f>C2556+2</f>
        <v/>
      </c>
      <c r="L2556" s="80" t="n"/>
      <c r="M2556" s="80" t="n"/>
      <c r="N2556" s="81" t="n"/>
      <c r="O2556" s="79">
        <f>C2556+3</f>
        <v/>
      </c>
      <c r="P2556" s="80" t="n"/>
      <c r="Q2556" s="80" t="n"/>
      <c r="R2556" s="81" t="n"/>
      <c r="S2556" s="79">
        <f>C2556+4</f>
        <v/>
      </c>
      <c r="T2556" s="80" t="n"/>
      <c r="U2556" s="80" t="n"/>
      <c r="V2556" s="81" t="n"/>
      <c r="W2556" s="82">
        <f>C2556+5</f>
        <v/>
      </c>
      <c r="X2556" s="83" t="n"/>
      <c r="Y2556" s="82">
        <f>C2556+6</f>
        <v/>
      </c>
      <c r="Z2556" s="83" t="n"/>
      <c r="AB2556" s="72" t="inlineStr">
        <is>
          <t>Gaps</t>
        </is>
      </c>
      <c r="AC2556" s="72" t="inlineStr">
        <is>
          <t>Cover</t>
        </is>
      </c>
    </row>
    <row r="2557" ht="14" customHeight="1">
      <c r="A2557" t="n">
        <v>52</v>
      </c>
      <c r="B2557" s="84" t="inlineStr">
        <is>
          <t>(from Setup)</t>
        </is>
      </c>
      <c r="C2557" s="85" t="inlineStr">
        <is>
          <t>1</t>
        </is>
      </c>
      <c r="D2557" s="85" t="inlineStr">
        <is>
          <t>2</t>
        </is>
      </c>
      <c r="E2557" s="85" t="inlineStr">
        <is>
          <t>3</t>
        </is>
      </c>
      <c r="F2557" s="85" t="inlineStr">
        <is>
          <t>Notes</t>
        </is>
      </c>
      <c r="G2557" s="85" t="inlineStr">
        <is>
          <t>1</t>
        </is>
      </c>
      <c r="H2557" s="85" t="inlineStr">
        <is>
          <t>2</t>
        </is>
      </c>
      <c r="I2557" s="85" t="inlineStr">
        <is>
          <t>3</t>
        </is>
      </c>
      <c r="J2557" s="85" t="inlineStr">
        <is>
          <t>Notes</t>
        </is>
      </c>
      <c r="K2557" s="85" t="inlineStr">
        <is>
          <t>1</t>
        </is>
      </c>
      <c r="L2557" s="85" t="inlineStr">
        <is>
          <t>2</t>
        </is>
      </c>
      <c r="M2557" s="85" t="inlineStr">
        <is>
          <t>3</t>
        </is>
      </c>
      <c r="N2557" s="85" t="inlineStr">
        <is>
          <t>Notes</t>
        </is>
      </c>
      <c r="O2557" s="85" t="inlineStr">
        <is>
          <t>1</t>
        </is>
      </c>
      <c r="P2557" s="85" t="inlineStr">
        <is>
          <t>2</t>
        </is>
      </c>
      <c r="Q2557" s="85" t="inlineStr">
        <is>
          <t>3</t>
        </is>
      </c>
      <c r="R2557" s="85" t="inlineStr">
        <is>
          <t>Notes</t>
        </is>
      </c>
      <c r="S2557" s="85" t="inlineStr">
        <is>
          <t>1</t>
        </is>
      </c>
      <c r="T2557" s="85" t="inlineStr">
        <is>
          <t>2</t>
        </is>
      </c>
      <c r="U2557" s="85" t="inlineStr">
        <is>
          <t>3</t>
        </is>
      </c>
      <c r="V2557" s="85" t="inlineStr">
        <is>
          <t>Notes</t>
        </is>
      </c>
      <c r="W2557" s="85" t="inlineStr">
        <is>
          <t>Cover</t>
        </is>
      </c>
      <c r="X2557" s="85" t="inlineStr">
        <is>
          <t>Notes</t>
        </is>
      </c>
      <c r="Y2557" s="85" t="inlineStr">
        <is>
          <t>Cover</t>
        </is>
      </c>
      <c r="Z2557" s="85" t="inlineStr">
        <is>
          <t>Notes</t>
        </is>
      </c>
      <c r="AB2557" s="86" t="inlineStr">
        <is>
          <t>weekdays short</t>
        </is>
      </c>
      <c r="AC2557" s="87" t="inlineStr"/>
    </row>
    <row r="2558" ht="17" customHeight="1">
      <c r="A2558" t="n">
        <v>52</v>
      </c>
      <c r="B2558" s="24">
        <f>IF(Setup!$K$6="","",Setup!$K$6)</f>
        <v/>
      </c>
      <c r="C2558" s="88" t="n"/>
      <c r="D2558" s="88" t="n"/>
      <c r="E2558" s="88" t="n"/>
      <c r="F2558" s="89" t="n"/>
      <c r="G2558" s="88" t="n"/>
      <c r="H2558" s="88" t="n"/>
      <c r="I2558" s="88" t="n"/>
      <c r="J2558" s="89" t="n"/>
      <c r="K2558" s="88" t="n"/>
      <c r="L2558" s="88" t="n"/>
      <c r="M2558" s="88" t="n"/>
      <c r="N2558" s="89" t="n"/>
      <c r="O2558" s="88" t="n"/>
      <c r="P2558" s="88" t="n"/>
      <c r="Q2558" s="88" t="n"/>
      <c r="R2558" s="89" t="n"/>
      <c r="S2558" s="88" t="n"/>
      <c r="T2558" s="88" t="n"/>
      <c r="U2558" s="88" t="n"/>
      <c r="V2558" s="89" t="n"/>
      <c r="W2558" s="88" t="n"/>
      <c r="X2558" s="89" t="n"/>
      <c r="Y2558" s="88" t="n"/>
      <c r="Z2558" s="89" t="n"/>
      <c r="AB2558" s="25">
        <f>IF($B2558="","",(COUNTIF(C2558:E2558,"?*")&lt;N(INDEX(Setup!$L$6:$L$23,1)))+(COUNTIF(G2558:I2558,"?*")&lt;N(INDEX(Setup!$L$6:$L$23,1)))+(COUNTIF(K2558:M2558,"?*")&lt;N(INDEX(Setup!$L$6:$L$23,1)))+(COUNTIF(O2558:Q2558,"?*")&lt;N(INDEX(Setup!$L$6:$L$23,1)))+(COUNTIF(S2558:U2558,"?*")&lt;N(INDEX(Setup!$L$6:$L$23,1)))+((W2558="")*(INDEX(Setup!$M$6:$M$23,1)="Y"))+((Y2558="")*(INDEX(Setup!$M$6:$M$23,1)="Y")))</f>
        <v/>
      </c>
      <c r="AC2558" s="90">
        <f>IF($B2558="","",IF(AB2558=0,"✓ covered","⚠ "&amp;AB2558&amp;IF(AB2558=1," gap"," gaps")))</f>
        <v/>
      </c>
    </row>
    <row r="2559" ht="17" customHeight="1">
      <c r="A2559" t="n">
        <v>52</v>
      </c>
      <c r="B2559" s="29">
        <f>IF(Setup!$K$7="","",Setup!$K$7)</f>
        <v/>
      </c>
      <c r="C2559" s="88" t="n"/>
      <c r="D2559" s="88" t="n"/>
      <c r="E2559" s="88" t="n"/>
      <c r="F2559" s="89" t="n"/>
      <c r="G2559" s="88" t="n"/>
      <c r="H2559" s="88" t="n"/>
      <c r="I2559" s="88" t="n"/>
      <c r="J2559" s="89" t="n"/>
      <c r="K2559" s="88" t="n"/>
      <c r="L2559" s="88" t="n"/>
      <c r="M2559" s="88" t="n"/>
      <c r="N2559" s="89" t="n"/>
      <c r="O2559" s="88" t="n"/>
      <c r="P2559" s="88" t="n"/>
      <c r="Q2559" s="88" t="n"/>
      <c r="R2559" s="89" t="n"/>
      <c r="S2559" s="88" t="n"/>
      <c r="T2559" s="88" t="n"/>
      <c r="U2559" s="88" t="n"/>
      <c r="V2559" s="89" t="n"/>
      <c r="W2559" s="88" t="n"/>
      <c r="X2559" s="89" t="n"/>
      <c r="Y2559" s="88" t="n"/>
      <c r="Z2559" s="89" t="n"/>
      <c r="AB2559" s="30">
        <f>IF($B2559="","",(COUNTIF(C2559:E2559,"?*")&lt;N(INDEX(Setup!$L$6:$L$23,2)))+(COUNTIF(G2559:I2559,"?*")&lt;N(INDEX(Setup!$L$6:$L$23,2)))+(COUNTIF(K2559:M2559,"?*")&lt;N(INDEX(Setup!$L$6:$L$23,2)))+(COUNTIF(O2559:Q2559,"?*")&lt;N(INDEX(Setup!$L$6:$L$23,2)))+(COUNTIF(S2559:U2559,"?*")&lt;N(INDEX(Setup!$L$6:$L$23,2)))+((W2559="")*(INDEX(Setup!$M$6:$M$23,2)="Y"))+((Y2559="")*(INDEX(Setup!$M$6:$M$23,2)="Y")))</f>
        <v/>
      </c>
      <c r="AC2559" s="91">
        <f>IF($B2559="","",IF(AB2559=0,"✓ covered","⚠ "&amp;AB2559&amp;IF(AB2559=1," gap"," gaps")))</f>
        <v/>
      </c>
    </row>
    <row r="2560" ht="17" customHeight="1">
      <c r="A2560" t="n">
        <v>52</v>
      </c>
      <c r="B2560" s="24">
        <f>IF(Setup!$K$8="","",Setup!$K$8)</f>
        <v/>
      </c>
      <c r="C2560" s="88" t="n"/>
      <c r="D2560" s="88" t="n"/>
      <c r="E2560" s="88" t="n"/>
      <c r="F2560" s="89" t="n"/>
      <c r="G2560" s="88" t="n"/>
      <c r="H2560" s="88" t="n"/>
      <c r="I2560" s="88" t="n"/>
      <c r="J2560" s="89" t="n"/>
      <c r="K2560" s="88" t="n"/>
      <c r="L2560" s="88" t="n"/>
      <c r="M2560" s="88" t="n"/>
      <c r="N2560" s="89" t="n"/>
      <c r="O2560" s="88" t="n"/>
      <c r="P2560" s="88" t="n"/>
      <c r="Q2560" s="88" t="n"/>
      <c r="R2560" s="89" t="n"/>
      <c r="S2560" s="88" t="n"/>
      <c r="T2560" s="88" t="n"/>
      <c r="U2560" s="88" t="n"/>
      <c r="V2560" s="89" t="n"/>
      <c r="W2560" s="88" t="n"/>
      <c r="X2560" s="89" t="n"/>
      <c r="Y2560" s="88" t="n"/>
      <c r="Z2560" s="89" t="n"/>
      <c r="AB2560" s="25">
        <f>IF($B2560="","",(COUNTIF(C2560:E2560,"?*")&lt;N(INDEX(Setup!$L$6:$L$23,3)))+(COUNTIF(G2560:I2560,"?*")&lt;N(INDEX(Setup!$L$6:$L$23,3)))+(COUNTIF(K2560:M2560,"?*")&lt;N(INDEX(Setup!$L$6:$L$23,3)))+(COUNTIF(O2560:Q2560,"?*")&lt;N(INDEX(Setup!$L$6:$L$23,3)))+(COUNTIF(S2560:U2560,"?*")&lt;N(INDEX(Setup!$L$6:$L$23,3)))+((W2560="")*(INDEX(Setup!$M$6:$M$23,3)="Y"))+((Y2560="")*(INDEX(Setup!$M$6:$M$23,3)="Y")))</f>
        <v/>
      </c>
      <c r="AC2560" s="90">
        <f>IF($B2560="","",IF(AB2560=0,"✓ covered","⚠ "&amp;AB2560&amp;IF(AB2560=1," gap"," gaps")))</f>
        <v/>
      </c>
    </row>
    <row r="2561" ht="17" customHeight="1">
      <c r="A2561" t="n">
        <v>52</v>
      </c>
      <c r="B2561" s="29">
        <f>IF(Setup!$K$9="","",Setup!$K$9)</f>
        <v/>
      </c>
      <c r="C2561" s="88" t="n"/>
      <c r="D2561" s="88" t="n"/>
      <c r="E2561" s="88" t="n"/>
      <c r="F2561" s="89" t="n"/>
      <c r="G2561" s="88" t="n"/>
      <c r="H2561" s="88" t="n"/>
      <c r="I2561" s="88" t="n"/>
      <c r="J2561" s="89" t="n"/>
      <c r="K2561" s="88" t="n"/>
      <c r="L2561" s="88" t="n"/>
      <c r="M2561" s="88" t="n"/>
      <c r="N2561" s="89" t="n"/>
      <c r="O2561" s="88" t="n"/>
      <c r="P2561" s="88" t="n"/>
      <c r="Q2561" s="88" t="n"/>
      <c r="R2561" s="89" t="n"/>
      <c r="S2561" s="88" t="n"/>
      <c r="T2561" s="88" t="n"/>
      <c r="U2561" s="88" t="n"/>
      <c r="V2561" s="89" t="n"/>
      <c r="W2561" s="88" t="n"/>
      <c r="X2561" s="89" t="n"/>
      <c r="Y2561" s="88" t="n"/>
      <c r="Z2561" s="89" t="n"/>
      <c r="AB2561" s="30">
        <f>IF($B2561="","",(COUNTIF(C2561:E2561,"?*")&lt;N(INDEX(Setup!$L$6:$L$23,4)))+(COUNTIF(G2561:I2561,"?*")&lt;N(INDEX(Setup!$L$6:$L$23,4)))+(COUNTIF(K2561:M2561,"?*")&lt;N(INDEX(Setup!$L$6:$L$23,4)))+(COUNTIF(O2561:Q2561,"?*")&lt;N(INDEX(Setup!$L$6:$L$23,4)))+(COUNTIF(S2561:U2561,"?*")&lt;N(INDEX(Setup!$L$6:$L$23,4)))+((W2561="")*(INDEX(Setup!$M$6:$M$23,4)="Y"))+((Y2561="")*(INDEX(Setup!$M$6:$M$23,4)="Y")))</f>
        <v/>
      </c>
      <c r="AC2561" s="91">
        <f>IF($B2561="","",IF(AB2561=0,"✓ covered","⚠ "&amp;AB2561&amp;IF(AB2561=1," gap"," gaps")))</f>
        <v/>
      </c>
    </row>
    <row r="2562" ht="17" customHeight="1">
      <c r="A2562" t="n">
        <v>52</v>
      </c>
      <c r="B2562" s="24">
        <f>IF(Setup!$K$10="","",Setup!$K$10)</f>
        <v/>
      </c>
      <c r="C2562" s="88" t="n"/>
      <c r="D2562" s="88" t="n"/>
      <c r="E2562" s="88" t="n"/>
      <c r="F2562" s="89" t="n"/>
      <c r="G2562" s="88" t="n"/>
      <c r="H2562" s="88" t="n"/>
      <c r="I2562" s="88" t="n"/>
      <c r="J2562" s="89" t="n"/>
      <c r="K2562" s="88" t="n"/>
      <c r="L2562" s="88" t="n"/>
      <c r="M2562" s="88" t="n"/>
      <c r="N2562" s="89" t="n"/>
      <c r="O2562" s="88" t="n"/>
      <c r="P2562" s="88" t="n"/>
      <c r="Q2562" s="88" t="n"/>
      <c r="R2562" s="89" t="n"/>
      <c r="S2562" s="88" t="n"/>
      <c r="T2562" s="88" t="n"/>
      <c r="U2562" s="88" t="n"/>
      <c r="V2562" s="89" t="n"/>
      <c r="W2562" s="88" t="n"/>
      <c r="X2562" s="89" t="n"/>
      <c r="Y2562" s="88" t="n"/>
      <c r="Z2562" s="89" t="n"/>
      <c r="AB2562" s="25">
        <f>IF($B2562="","",(COUNTIF(C2562:E2562,"?*")&lt;N(INDEX(Setup!$L$6:$L$23,5)))+(COUNTIF(G2562:I2562,"?*")&lt;N(INDEX(Setup!$L$6:$L$23,5)))+(COUNTIF(K2562:M2562,"?*")&lt;N(INDEX(Setup!$L$6:$L$23,5)))+(COUNTIF(O2562:Q2562,"?*")&lt;N(INDEX(Setup!$L$6:$L$23,5)))+(COUNTIF(S2562:U2562,"?*")&lt;N(INDEX(Setup!$L$6:$L$23,5)))+((W2562="")*(INDEX(Setup!$M$6:$M$23,5)="Y"))+((Y2562="")*(INDEX(Setup!$M$6:$M$23,5)="Y")))</f>
        <v/>
      </c>
      <c r="AC2562" s="90">
        <f>IF($B2562="","",IF(AB2562=0,"✓ covered","⚠ "&amp;AB2562&amp;IF(AB2562=1," gap"," gaps")))</f>
        <v/>
      </c>
    </row>
    <row r="2563" ht="17" customHeight="1">
      <c r="A2563" t="n">
        <v>52</v>
      </c>
      <c r="B2563" s="29">
        <f>IF(Setup!$K$11="","",Setup!$K$11)</f>
        <v/>
      </c>
      <c r="C2563" s="88" t="n"/>
      <c r="D2563" s="88" t="n"/>
      <c r="E2563" s="88" t="n"/>
      <c r="F2563" s="89" t="n"/>
      <c r="G2563" s="88" t="n"/>
      <c r="H2563" s="88" t="n"/>
      <c r="I2563" s="88" t="n"/>
      <c r="J2563" s="89" t="n"/>
      <c r="K2563" s="88" t="n"/>
      <c r="L2563" s="88" t="n"/>
      <c r="M2563" s="88" t="n"/>
      <c r="N2563" s="89" t="n"/>
      <c r="O2563" s="88" t="n"/>
      <c r="P2563" s="88" t="n"/>
      <c r="Q2563" s="88" t="n"/>
      <c r="R2563" s="89" t="n"/>
      <c r="S2563" s="88" t="n"/>
      <c r="T2563" s="88" t="n"/>
      <c r="U2563" s="88" t="n"/>
      <c r="V2563" s="89" t="n"/>
      <c r="W2563" s="88" t="n"/>
      <c r="X2563" s="89" t="n"/>
      <c r="Y2563" s="88" t="n"/>
      <c r="Z2563" s="89" t="n"/>
      <c r="AB2563" s="30">
        <f>IF($B2563="","",(COUNTIF(C2563:E2563,"?*")&lt;N(INDEX(Setup!$L$6:$L$23,6)))+(COUNTIF(G2563:I2563,"?*")&lt;N(INDEX(Setup!$L$6:$L$23,6)))+(COUNTIF(K2563:M2563,"?*")&lt;N(INDEX(Setup!$L$6:$L$23,6)))+(COUNTIF(O2563:Q2563,"?*")&lt;N(INDEX(Setup!$L$6:$L$23,6)))+(COUNTIF(S2563:U2563,"?*")&lt;N(INDEX(Setup!$L$6:$L$23,6)))+((W2563="")*(INDEX(Setup!$M$6:$M$23,6)="Y"))+((Y2563="")*(INDEX(Setup!$M$6:$M$23,6)="Y")))</f>
        <v/>
      </c>
      <c r="AC2563" s="91">
        <f>IF($B2563="","",IF(AB2563=0,"✓ covered","⚠ "&amp;AB2563&amp;IF(AB2563=1," gap"," gaps")))</f>
        <v/>
      </c>
    </row>
    <row r="2564" ht="17" customHeight="1">
      <c r="A2564" t="n">
        <v>52</v>
      </c>
      <c r="B2564" s="24">
        <f>IF(Setup!$K$12="","",Setup!$K$12)</f>
        <v/>
      </c>
      <c r="C2564" s="88" t="n"/>
      <c r="D2564" s="88" t="n"/>
      <c r="E2564" s="88" t="n"/>
      <c r="F2564" s="89" t="n"/>
      <c r="G2564" s="88" t="n"/>
      <c r="H2564" s="88" t="n"/>
      <c r="I2564" s="88" t="n"/>
      <c r="J2564" s="89" t="n"/>
      <c r="K2564" s="88" t="n"/>
      <c r="L2564" s="88" t="n"/>
      <c r="M2564" s="88" t="n"/>
      <c r="N2564" s="89" t="n"/>
      <c r="O2564" s="88" t="n"/>
      <c r="P2564" s="88" t="n"/>
      <c r="Q2564" s="88" t="n"/>
      <c r="R2564" s="89" t="n"/>
      <c r="S2564" s="88" t="n"/>
      <c r="T2564" s="88" t="n"/>
      <c r="U2564" s="88" t="n"/>
      <c r="V2564" s="89" t="n"/>
      <c r="W2564" s="88" t="n"/>
      <c r="X2564" s="89" t="n"/>
      <c r="Y2564" s="88" t="n"/>
      <c r="Z2564" s="89" t="n"/>
      <c r="AB2564" s="25">
        <f>IF($B2564="","",(COUNTIF(C2564:E2564,"?*")&lt;N(INDEX(Setup!$L$6:$L$23,7)))+(COUNTIF(G2564:I2564,"?*")&lt;N(INDEX(Setup!$L$6:$L$23,7)))+(COUNTIF(K2564:M2564,"?*")&lt;N(INDEX(Setup!$L$6:$L$23,7)))+(COUNTIF(O2564:Q2564,"?*")&lt;N(INDEX(Setup!$L$6:$L$23,7)))+(COUNTIF(S2564:U2564,"?*")&lt;N(INDEX(Setup!$L$6:$L$23,7)))+((W2564="")*(INDEX(Setup!$M$6:$M$23,7)="Y"))+((Y2564="")*(INDEX(Setup!$M$6:$M$23,7)="Y")))</f>
        <v/>
      </c>
      <c r="AC2564" s="90">
        <f>IF($B2564="","",IF(AB2564=0,"✓ covered","⚠ "&amp;AB2564&amp;IF(AB2564=1," gap"," gaps")))</f>
        <v/>
      </c>
    </row>
    <row r="2565" ht="17" customHeight="1">
      <c r="A2565" t="n">
        <v>52</v>
      </c>
      <c r="B2565" s="29">
        <f>IF(Setup!$K$13="","",Setup!$K$13)</f>
        <v/>
      </c>
      <c r="C2565" s="88" t="n"/>
      <c r="D2565" s="88" t="n"/>
      <c r="E2565" s="88" t="n"/>
      <c r="F2565" s="89" t="n"/>
      <c r="G2565" s="88" t="n"/>
      <c r="H2565" s="88" t="n"/>
      <c r="I2565" s="88" t="n"/>
      <c r="J2565" s="89" t="n"/>
      <c r="K2565" s="88" t="n"/>
      <c r="L2565" s="88" t="n"/>
      <c r="M2565" s="88" t="n"/>
      <c r="N2565" s="89" t="n"/>
      <c r="O2565" s="88" t="n"/>
      <c r="P2565" s="88" t="n"/>
      <c r="Q2565" s="88" t="n"/>
      <c r="R2565" s="89" t="n"/>
      <c r="S2565" s="88" t="n"/>
      <c r="T2565" s="88" t="n"/>
      <c r="U2565" s="88" t="n"/>
      <c r="V2565" s="89" t="n"/>
      <c r="W2565" s="88" t="n"/>
      <c r="X2565" s="89" t="n"/>
      <c r="Y2565" s="88" t="n"/>
      <c r="Z2565" s="89" t="n"/>
      <c r="AB2565" s="30">
        <f>IF($B2565="","",(COUNTIF(C2565:E2565,"?*")&lt;N(INDEX(Setup!$L$6:$L$23,8)))+(COUNTIF(G2565:I2565,"?*")&lt;N(INDEX(Setup!$L$6:$L$23,8)))+(COUNTIF(K2565:M2565,"?*")&lt;N(INDEX(Setup!$L$6:$L$23,8)))+(COUNTIF(O2565:Q2565,"?*")&lt;N(INDEX(Setup!$L$6:$L$23,8)))+(COUNTIF(S2565:U2565,"?*")&lt;N(INDEX(Setup!$L$6:$L$23,8)))+((W2565="")*(INDEX(Setup!$M$6:$M$23,8)="Y"))+((Y2565="")*(INDEX(Setup!$M$6:$M$23,8)="Y")))</f>
        <v/>
      </c>
      <c r="AC2565" s="91">
        <f>IF($B2565="","",IF(AB2565=0,"✓ covered","⚠ "&amp;AB2565&amp;IF(AB2565=1," gap"," gaps")))</f>
        <v/>
      </c>
    </row>
    <row r="2566" ht="17" customHeight="1">
      <c r="A2566" t="n">
        <v>52</v>
      </c>
      <c r="B2566" s="24">
        <f>IF(Setup!$K$14="","",Setup!$K$14)</f>
        <v/>
      </c>
      <c r="C2566" s="88" t="n"/>
      <c r="D2566" s="88" t="n"/>
      <c r="E2566" s="88" t="n"/>
      <c r="F2566" s="89" t="n"/>
      <c r="G2566" s="88" t="n"/>
      <c r="H2566" s="88" t="n"/>
      <c r="I2566" s="88" t="n"/>
      <c r="J2566" s="89" t="n"/>
      <c r="K2566" s="88" t="n"/>
      <c r="L2566" s="88" t="n"/>
      <c r="M2566" s="88" t="n"/>
      <c r="N2566" s="89" t="n"/>
      <c r="O2566" s="88" t="n"/>
      <c r="P2566" s="88" t="n"/>
      <c r="Q2566" s="88" t="n"/>
      <c r="R2566" s="89" t="n"/>
      <c r="S2566" s="88" t="n"/>
      <c r="T2566" s="88" t="n"/>
      <c r="U2566" s="88" t="n"/>
      <c r="V2566" s="89" t="n"/>
      <c r="W2566" s="88" t="n"/>
      <c r="X2566" s="89" t="n"/>
      <c r="Y2566" s="88" t="n"/>
      <c r="Z2566" s="89" t="n"/>
      <c r="AB2566" s="25">
        <f>IF($B2566="","",(COUNTIF(C2566:E2566,"?*")&lt;N(INDEX(Setup!$L$6:$L$23,9)))+(COUNTIF(G2566:I2566,"?*")&lt;N(INDEX(Setup!$L$6:$L$23,9)))+(COUNTIF(K2566:M2566,"?*")&lt;N(INDEX(Setup!$L$6:$L$23,9)))+(COUNTIF(O2566:Q2566,"?*")&lt;N(INDEX(Setup!$L$6:$L$23,9)))+(COUNTIF(S2566:U2566,"?*")&lt;N(INDEX(Setup!$L$6:$L$23,9)))+((W2566="")*(INDEX(Setup!$M$6:$M$23,9)="Y"))+((Y2566="")*(INDEX(Setup!$M$6:$M$23,9)="Y")))</f>
        <v/>
      </c>
      <c r="AC2566" s="90">
        <f>IF($B2566="","",IF(AB2566=0,"✓ covered","⚠ "&amp;AB2566&amp;IF(AB2566=1," gap"," gaps")))</f>
        <v/>
      </c>
    </row>
    <row r="2567" ht="17" customHeight="1">
      <c r="A2567" t="n">
        <v>52</v>
      </c>
      <c r="B2567" s="29">
        <f>IF(Setup!$K$15="","",Setup!$K$15)</f>
        <v/>
      </c>
      <c r="C2567" s="88" t="n"/>
      <c r="D2567" s="88" t="n"/>
      <c r="E2567" s="88" t="n"/>
      <c r="F2567" s="89" t="n"/>
      <c r="G2567" s="88" t="n"/>
      <c r="H2567" s="88" t="n"/>
      <c r="I2567" s="88" t="n"/>
      <c r="J2567" s="89" t="n"/>
      <c r="K2567" s="88" t="n"/>
      <c r="L2567" s="88" t="n"/>
      <c r="M2567" s="88" t="n"/>
      <c r="N2567" s="89" t="n"/>
      <c r="O2567" s="88" t="n"/>
      <c r="P2567" s="88" t="n"/>
      <c r="Q2567" s="88" t="n"/>
      <c r="R2567" s="89" t="n"/>
      <c r="S2567" s="88" t="n"/>
      <c r="T2567" s="88" t="n"/>
      <c r="U2567" s="88" t="n"/>
      <c r="V2567" s="89" t="n"/>
      <c r="W2567" s="88" t="n"/>
      <c r="X2567" s="89" t="n"/>
      <c r="Y2567" s="88" t="n"/>
      <c r="Z2567" s="89" t="n"/>
      <c r="AB2567" s="30">
        <f>IF($B2567="","",(COUNTIF(C2567:E2567,"?*")&lt;N(INDEX(Setup!$L$6:$L$23,10)))+(COUNTIF(G2567:I2567,"?*")&lt;N(INDEX(Setup!$L$6:$L$23,10)))+(COUNTIF(K2567:M2567,"?*")&lt;N(INDEX(Setup!$L$6:$L$23,10)))+(COUNTIF(O2567:Q2567,"?*")&lt;N(INDEX(Setup!$L$6:$L$23,10)))+(COUNTIF(S2567:U2567,"?*")&lt;N(INDEX(Setup!$L$6:$L$23,10)))+((W2567="")*(INDEX(Setup!$M$6:$M$23,10)="Y"))+((Y2567="")*(INDEX(Setup!$M$6:$M$23,10)="Y")))</f>
        <v/>
      </c>
      <c r="AC2567" s="91">
        <f>IF($B2567="","",IF(AB2567=0,"✓ covered","⚠ "&amp;AB2567&amp;IF(AB2567=1," gap"," gaps")))</f>
        <v/>
      </c>
    </row>
    <row r="2568" ht="17" customHeight="1">
      <c r="A2568" t="n">
        <v>52</v>
      </c>
      <c r="B2568" s="24">
        <f>IF(Setup!$K$16="","",Setup!$K$16)</f>
        <v/>
      </c>
      <c r="C2568" s="88" t="n"/>
      <c r="D2568" s="88" t="n"/>
      <c r="E2568" s="88" t="n"/>
      <c r="F2568" s="89" t="n"/>
      <c r="G2568" s="88" t="n"/>
      <c r="H2568" s="88" t="n"/>
      <c r="I2568" s="88" t="n"/>
      <c r="J2568" s="89" t="n"/>
      <c r="K2568" s="88" t="n"/>
      <c r="L2568" s="88" t="n"/>
      <c r="M2568" s="88" t="n"/>
      <c r="N2568" s="89" t="n"/>
      <c r="O2568" s="88" t="n"/>
      <c r="P2568" s="88" t="n"/>
      <c r="Q2568" s="88" t="n"/>
      <c r="R2568" s="89" t="n"/>
      <c r="S2568" s="88" t="n"/>
      <c r="T2568" s="88" t="n"/>
      <c r="U2568" s="88" t="n"/>
      <c r="V2568" s="89" t="n"/>
      <c r="W2568" s="88" t="n"/>
      <c r="X2568" s="89" t="n"/>
      <c r="Y2568" s="88" t="n"/>
      <c r="Z2568" s="89" t="n"/>
      <c r="AB2568" s="25">
        <f>IF($B2568="","",(COUNTIF(C2568:E2568,"?*")&lt;N(INDEX(Setup!$L$6:$L$23,11)))+(COUNTIF(G2568:I2568,"?*")&lt;N(INDEX(Setup!$L$6:$L$23,11)))+(COUNTIF(K2568:M2568,"?*")&lt;N(INDEX(Setup!$L$6:$L$23,11)))+(COUNTIF(O2568:Q2568,"?*")&lt;N(INDEX(Setup!$L$6:$L$23,11)))+(COUNTIF(S2568:U2568,"?*")&lt;N(INDEX(Setup!$L$6:$L$23,11)))+((W2568="")*(INDEX(Setup!$M$6:$M$23,11)="Y"))+((Y2568="")*(INDEX(Setup!$M$6:$M$23,11)="Y")))</f>
        <v/>
      </c>
      <c r="AC2568" s="90">
        <f>IF($B2568="","",IF(AB2568=0,"✓ covered","⚠ "&amp;AB2568&amp;IF(AB2568=1," gap"," gaps")))</f>
        <v/>
      </c>
    </row>
    <row r="2569" ht="17" customHeight="1">
      <c r="A2569" t="n">
        <v>52</v>
      </c>
      <c r="B2569" s="29">
        <f>IF(Setup!$K$17="","",Setup!$K$17)</f>
        <v/>
      </c>
      <c r="C2569" s="88" t="n"/>
      <c r="D2569" s="88" t="n"/>
      <c r="E2569" s="88" t="n"/>
      <c r="F2569" s="89" t="n"/>
      <c r="G2569" s="88" t="n"/>
      <c r="H2569" s="88" t="n"/>
      <c r="I2569" s="88" t="n"/>
      <c r="J2569" s="89" t="n"/>
      <c r="K2569" s="88" t="n"/>
      <c r="L2569" s="88" t="n"/>
      <c r="M2569" s="88" t="n"/>
      <c r="N2569" s="89" t="n"/>
      <c r="O2569" s="88" t="n"/>
      <c r="P2569" s="88" t="n"/>
      <c r="Q2569" s="88" t="n"/>
      <c r="R2569" s="89" t="n"/>
      <c r="S2569" s="88" t="n"/>
      <c r="T2569" s="88" t="n"/>
      <c r="U2569" s="88" t="n"/>
      <c r="V2569" s="89" t="n"/>
      <c r="W2569" s="88" t="n"/>
      <c r="X2569" s="89" t="n"/>
      <c r="Y2569" s="88" t="n"/>
      <c r="Z2569" s="89" t="n"/>
      <c r="AB2569" s="30">
        <f>IF($B2569="","",(COUNTIF(C2569:E2569,"?*")&lt;N(INDEX(Setup!$L$6:$L$23,12)))+(COUNTIF(G2569:I2569,"?*")&lt;N(INDEX(Setup!$L$6:$L$23,12)))+(COUNTIF(K2569:M2569,"?*")&lt;N(INDEX(Setup!$L$6:$L$23,12)))+(COUNTIF(O2569:Q2569,"?*")&lt;N(INDEX(Setup!$L$6:$L$23,12)))+(COUNTIF(S2569:U2569,"?*")&lt;N(INDEX(Setup!$L$6:$L$23,12)))+((W2569="")*(INDEX(Setup!$M$6:$M$23,12)="Y"))+((Y2569="")*(INDEX(Setup!$M$6:$M$23,12)="Y")))</f>
        <v/>
      </c>
      <c r="AC2569" s="91">
        <f>IF($B2569="","",IF(AB2569=0,"✓ covered","⚠ "&amp;AB2569&amp;IF(AB2569=1," gap"," gaps")))</f>
        <v/>
      </c>
    </row>
    <row r="2570" ht="17" customHeight="1">
      <c r="A2570" t="n">
        <v>52</v>
      </c>
      <c r="B2570" s="24">
        <f>IF(Setup!$K$18="","",Setup!$K$18)</f>
        <v/>
      </c>
      <c r="C2570" s="88" t="n"/>
      <c r="D2570" s="88" t="n"/>
      <c r="E2570" s="88" t="n"/>
      <c r="F2570" s="89" t="n"/>
      <c r="G2570" s="88" t="n"/>
      <c r="H2570" s="88" t="n"/>
      <c r="I2570" s="88" t="n"/>
      <c r="J2570" s="89" t="n"/>
      <c r="K2570" s="88" t="n"/>
      <c r="L2570" s="88" t="n"/>
      <c r="M2570" s="88" t="n"/>
      <c r="N2570" s="89" t="n"/>
      <c r="O2570" s="88" t="n"/>
      <c r="P2570" s="88" t="n"/>
      <c r="Q2570" s="88" t="n"/>
      <c r="R2570" s="89" t="n"/>
      <c r="S2570" s="88" t="n"/>
      <c r="T2570" s="88" t="n"/>
      <c r="U2570" s="88" t="n"/>
      <c r="V2570" s="89" t="n"/>
      <c r="W2570" s="88" t="n"/>
      <c r="X2570" s="89" t="n"/>
      <c r="Y2570" s="88" t="n"/>
      <c r="Z2570" s="89" t="n"/>
      <c r="AB2570" s="25">
        <f>IF($B2570="","",(COUNTIF(C2570:E2570,"?*")&lt;N(INDEX(Setup!$L$6:$L$23,13)))+(COUNTIF(G2570:I2570,"?*")&lt;N(INDEX(Setup!$L$6:$L$23,13)))+(COUNTIF(K2570:M2570,"?*")&lt;N(INDEX(Setup!$L$6:$L$23,13)))+(COUNTIF(O2570:Q2570,"?*")&lt;N(INDEX(Setup!$L$6:$L$23,13)))+(COUNTIF(S2570:U2570,"?*")&lt;N(INDEX(Setup!$L$6:$L$23,13)))+((W2570="")*(INDEX(Setup!$M$6:$M$23,13)="Y"))+((Y2570="")*(INDEX(Setup!$M$6:$M$23,13)="Y")))</f>
        <v/>
      </c>
      <c r="AC2570" s="90">
        <f>IF($B2570="","",IF(AB2570=0,"✓ covered","⚠ "&amp;AB2570&amp;IF(AB2570=1," gap"," gaps")))</f>
        <v/>
      </c>
    </row>
    <row r="2571" ht="17" customHeight="1">
      <c r="A2571" t="n">
        <v>52</v>
      </c>
      <c r="B2571" s="29">
        <f>IF(Setup!$K$19="","",Setup!$K$19)</f>
        <v/>
      </c>
      <c r="C2571" s="88" t="n"/>
      <c r="D2571" s="88" t="n"/>
      <c r="E2571" s="88" t="n"/>
      <c r="F2571" s="89" t="n"/>
      <c r="G2571" s="88" t="n"/>
      <c r="H2571" s="88" t="n"/>
      <c r="I2571" s="88" t="n"/>
      <c r="J2571" s="89" t="n"/>
      <c r="K2571" s="88" t="n"/>
      <c r="L2571" s="88" t="n"/>
      <c r="M2571" s="88" t="n"/>
      <c r="N2571" s="89" t="n"/>
      <c r="O2571" s="88" t="n"/>
      <c r="P2571" s="88" t="n"/>
      <c r="Q2571" s="88" t="n"/>
      <c r="R2571" s="89" t="n"/>
      <c r="S2571" s="88" t="n"/>
      <c r="T2571" s="88" t="n"/>
      <c r="U2571" s="88" t="n"/>
      <c r="V2571" s="89" t="n"/>
      <c r="W2571" s="88" t="n"/>
      <c r="X2571" s="89" t="n"/>
      <c r="Y2571" s="88" t="n"/>
      <c r="Z2571" s="89" t="n"/>
      <c r="AB2571" s="30">
        <f>IF($B2571="","",(COUNTIF(C2571:E2571,"?*")&lt;N(INDEX(Setup!$L$6:$L$23,14)))+(COUNTIF(G2571:I2571,"?*")&lt;N(INDEX(Setup!$L$6:$L$23,14)))+(COUNTIF(K2571:M2571,"?*")&lt;N(INDEX(Setup!$L$6:$L$23,14)))+(COUNTIF(O2571:Q2571,"?*")&lt;N(INDEX(Setup!$L$6:$L$23,14)))+(COUNTIF(S2571:U2571,"?*")&lt;N(INDEX(Setup!$L$6:$L$23,14)))+((W2571="")*(INDEX(Setup!$M$6:$M$23,14)="Y"))+((Y2571="")*(INDEX(Setup!$M$6:$M$23,14)="Y")))</f>
        <v/>
      </c>
      <c r="AC2571" s="91">
        <f>IF($B2571="","",IF(AB2571=0,"✓ covered","⚠ "&amp;AB2571&amp;IF(AB2571=1," gap"," gaps")))</f>
        <v/>
      </c>
    </row>
    <row r="2572" ht="17" customHeight="1">
      <c r="A2572" t="n">
        <v>52</v>
      </c>
      <c r="B2572" s="24">
        <f>IF(Setup!$K$20="","",Setup!$K$20)</f>
        <v/>
      </c>
      <c r="C2572" s="88" t="n"/>
      <c r="D2572" s="88" t="n"/>
      <c r="E2572" s="88" t="n"/>
      <c r="F2572" s="89" t="n"/>
      <c r="G2572" s="88" t="n"/>
      <c r="H2572" s="88" t="n"/>
      <c r="I2572" s="88" t="n"/>
      <c r="J2572" s="89" t="n"/>
      <c r="K2572" s="88" t="n"/>
      <c r="L2572" s="88" t="n"/>
      <c r="M2572" s="88" t="n"/>
      <c r="N2572" s="89" t="n"/>
      <c r="O2572" s="88" t="n"/>
      <c r="P2572" s="88" t="n"/>
      <c r="Q2572" s="88" t="n"/>
      <c r="R2572" s="89" t="n"/>
      <c r="S2572" s="88" t="n"/>
      <c r="T2572" s="88" t="n"/>
      <c r="U2572" s="88" t="n"/>
      <c r="V2572" s="89" t="n"/>
      <c r="W2572" s="88" t="n"/>
      <c r="X2572" s="89" t="n"/>
      <c r="Y2572" s="88" t="n"/>
      <c r="Z2572" s="89" t="n"/>
      <c r="AB2572" s="25">
        <f>IF($B2572="","",(COUNTIF(C2572:E2572,"?*")&lt;N(INDEX(Setup!$L$6:$L$23,15)))+(COUNTIF(G2572:I2572,"?*")&lt;N(INDEX(Setup!$L$6:$L$23,15)))+(COUNTIF(K2572:M2572,"?*")&lt;N(INDEX(Setup!$L$6:$L$23,15)))+(COUNTIF(O2572:Q2572,"?*")&lt;N(INDEX(Setup!$L$6:$L$23,15)))+(COUNTIF(S2572:U2572,"?*")&lt;N(INDEX(Setup!$L$6:$L$23,15)))+((W2572="")*(INDEX(Setup!$M$6:$M$23,15)="Y"))+((Y2572="")*(INDEX(Setup!$M$6:$M$23,15)="Y")))</f>
        <v/>
      </c>
      <c r="AC2572" s="90">
        <f>IF($B2572="","",IF(AB2572=0,"✓ covered","⚠ "&amp;AB2572&amp;IF(AB2572=1," gap"," gaps")))</f>
        <v/>
      </c>
    </row>
    <row r="2573" ht="17" customHeight="1">
      <c r="A2573" t="n">
        <v>52</v>
      </c>
      <c r="B2573" s="29">
        <f>IF(Setup!$K$21="","",Setup!$K$21)</f>
        <v/>
      </c>
      <c r="C2573" s="88" t="n"/>
      <c r="D2573" s="88" t="n"/>
      <c r="E2573" s="88" t="n"/>
      <c r="F2573" s="89" t="n"/>
      <c r="G2573" s="88" t="n"/>
      <c r="H2573" s="88" t="n"/>
      <c r="I2573" s="88" t="n"/>
      <c r="J2573" s="89" t="n"/>
      <c r="K2573" s="88" t="n"/>
      <c r="L2573" s="88" t="n"/>
      <c r="M2573" s="88" t="n"/>
      <c r="N2573" s="89" t="n"/>
      <c r="O2573" s="88" t="n"/>
      <c r="P2573" s="88" t="n"/>
      <c r="Q2573" s="88" t="n"/>
      <c r="R2573" s="89" t="n"/>
      <c r="S2573" s="88" t="n"/>
      <c r="T2573" s="88" t="n"/>
      <c r="U2573" s="88" t="n"/>
      <c r="V2573" s="89" t="n"/>
      <c r="W2573" s="88" t="n"/>
      <c r="X2573" s="89" t="n"/>
      <c r="Y2573" s="88" t="n"/>
      <c r="Z2573" s="89" t="n"/>
      <c r="AB2573" s="30">
        <f>IF($B2573="","",(COUNTIF(C2573:E2573,"?*")&lt;N(INDEX(Setup!$L$6:$L$23,16)))+(COUNTIF(G2573:I2573,"?*")&lt;N(INDEX(Setup!$L$6:$L$23,16)))+(COUNTIF(K2573:M2573,"?*")&lt;N(INDEX(Setup!$L$6:$L$23,16)))+(COUNTIF(O2573:Q2573,"?*")&lt;N(INDEX(Setup!$L$6:$L$23,16)))+(COUNTIF(S2573:U2573,"?*")&lt;N(INDEX(Setup!$L$6:$L$23,16)))+((W2573="")*(INDEX(Setup!$M$6:$M$23,16)="Y"))+((Y2573="")*(INDEX(Setup!$M$6:$M$23,16)="Y")))</f>
        <v/>
      </c>
      <c r="AC2573" s="91">
        <f>IF($B2573="","",IF(AB2573=0,"✓ covered","⚠ "&amp;AB2573&amp;IF(AB2573=1," gap"," gaps")))</f>
        <v/>
      </c>
    </row>
    <row r="2574" ht="17" customHeight="1">
      <c r="A2574" t="n">
        <v>52</v>
      </c>
      <c r="B2574" s="24">
        <f>IF(Setup!$K$22="","",Setup!$K$22)</f>
        <v/>
      </c>
      <c r="C2574" s="88" t="n"/>
      <c r="D2574" s="88" t="n"/>
      <c r="E2574" s="88" t="n"/>
      <c r="F2574" s="89" t="n"/>
      <c r="G2574" s="88" t="n"/>
      <c r="H2574" s="88" t="n"/>
      <c r="I2574" s="88" t="n"/>
      <c r="J2574" s="89" t="n"/>
      <c r="K2574" s="88" t="n"/>
      <c r="L2574" s="88" t="n"/>
      <c r="M2574" s="88" t="n"/>
      <c r="N2574" s="89" t="n"/>
      <c r="O2574" s="88" t="n"/>
      <c r="P2574" s="88" t="n"/>
      <c r="Q2574" s="88" t="n"/>
      <c r="R2574" s="89" t="n"/>
      <c r="S2574" s="88" t="n"/>
      <c r="T2574" s="88" t="n"/>
      <c r="U2574" s="88" t="n"/>
      <c r="V2574" s="89" t="n"/>
      <c r="W2574" s="88" t="n"/>
      <c r="X2574" s="89" t="n"/>
      <c r="Y2574" s="88" t="n"/>
      <c r="Z2574" s="89" t="n"/>
      <c r="AB2574" s="25">
        <f>IF($B2574="","",(COUNTIF(C2574:E2574,"?*")&lt;N(INDEX(Setup!$L$6:$L$23,17)))+(COUNTIF(G2574:I2574,"?*")&lt;N(INDEX(Setup!$L$6:$L$23,17)))+(COUNTIF(K2574:M2574,"?*")&lt;N(INDEX(Setup!$L$6:$L$23,17)))+(COUNTIF(O2574:Q2574,"?*")&lt;N(INDEX(Setup!$L$6:$L$23,17)))+(COUNTIF(S2574:U2574,"?*")&lt;N(INDEX(Setup!$L$6:$L$23,17)))+((W2574="")*(INDEX(Setup!$M$6:$M$23,17)="Y"))+((Y2574="")*(INDEX(Setup!$M$6:$M$23,17)="Y")))</f>
        <v/>
      </c>
      <c r="AC2574" s="90">
        <f>IF($B2574="","",IF(AB2574=0,"✓ covered","⚠ "&amp;AB2574&amp;IF(AB2574=1," gap"," gaps")))</f>
        <v/>
      </c>
    </row>
    <row r="2575" ht="17" customHeight="1">
      <c r="A2575" t="n">
        <v>52</v>
      </c>
      <c r="B2575" s="29">
        <f>IF(Setup!$K$23="","",Setup!$K$23)</f>
        <v/>
      </c>
      <c r="C2575" s="88" t="n"/>
      <c r="D2575" s="88" t="n"/>
      <c r="E2575" s="88" t="n"/>
      <c r="F2575" s="89" t="n"/>
      <c r="G2575" s="88" t="n"/>
      <c r="H2575" s="88" t="n"/>
      <c r="I2575" s="88" t="n"/>
      <c r="J2575" s="89" t="n"/>
      <c r="K2575" s="88" t="n"/>
      <c r="L2575" s="88" t="n"/>
      <c r="M2575" s="88" t="n"/>
      <c r="N2575" s="89" t="n"/>
      <c r="O2575" s="88" t="n"/>
      <c r="P2575" s="88" t="n"/>
      <c r="Q2575" s="88" t="n"/>
      <c r="R2575" s="89" t="n"/>
      <c r="S2575" s="88" t="n"/>
      <c r="T2575" s="88" t="n"/>
      <c r="U2575" s="88" t="n"/>
      <c r="V2575" s="89" t="n"/>
      <c r="W2575" s="88" t="n"/>
      <c r="X2575" s="89" t="n"/>
      <c r="Y2575" s="88" t="n"/>
      <c r="Z2575" s="89" t="n"/>
      <c r="AB2575" s="30">
        <f>IF($B2575="","",(COUNTIF(C2575:E2575,"?*")&lt;N(INDEX(Setup!$L$6:$L$23,18)))+(COUNTIF(G2575:I2575,"?*")&lt;N(INDEX(Setup!$L$6:$L$23,18)))+(COUNTIF(K2575:M2575,"?*")&lt;N(INDEX(Setup!$L$6:$L$23,18)))+(COUNTIF(O2575:Q2575,"?*")&lt;N(INDEX(Setup!$L$6:$L$23,18)))+(COUNTIF(S2575:U2575,"?*")&lt;N(INDEX(Setup!$L$6:$L$23,18)))+((W2575="")*(INDEX(Setup!$M$6:$M$23,18)="Y"))+((Y2575="")*(INDEX(Setup!$M$6:$M$23,18)="Y")))</f>
        <v/>
      </c>
      <c r="AC2575" s="91">
        <f>IF($B2575="","",IF(AB2575=0,"✓ covered","⚠ "&amp;AB2575&amp;IF(AB2575=1," gap"," gaps")))</f>
        <v/>
      </c>
    </row>
    <row r="2576" ht="18" customHeight="1">
      <c r="A2576" t="n">
        <v>52</v>
      </c>
      <c r="B2576" s="78" t="inlineStr">
        <is>
          <t>TEAM AVAILABILITY</t>
        </is>
      </c>
      <c r="C2576" s="92" t="inlineStr">
        <is>
          <t>Mon</t>
        </is>
      </c>
      <c r="D2576" s="93" t="n"/>
      <c r="E2576" s="93" t="n"/>
      <c r="F2576" s="94" t="n"/>
      <c r="G2576" s="92" t="inlineStr">
        <is>
          <t>Tue</t>
        </is>
      </c>
      <c r="H2576" s="93" t="n"/>
      <c r="I2576" s="93" t="n"/>
      <c r="J2576" s="94" t="n"/>
      <c r="K2576" s="92" t="inlineStr">
        <is>
          <t>Wed</t>
        </is>
      </c>
      <c r="L2576" s="93" t="n"/>
      <c r="M2576" s="93" t="n"/>
      <c r="N2576" s="94" t="n"/>
      <c r="O2576" s="92" t="inlineStr">
        <is>
          <t>Thu</t>
        </is>
      </c>
      <c r="P2576" s="93" t="n"/>
      <c r="Q2576" s="93" t="n"/>
      <c r="R2576" s="94" t="n"/>
      <c r="S2576" s="92" t="inlineStr">
        <is>
          <t>Fri</t>
        </is>
      </c>
      <c r="T2576" s="93" t="n"/>
      <c r="U2576" s="93" t="n"/>
      <c r="V2576" s="94" t="n"/>
      <c r="W2576" s="95" t="inlineStr">
        <is>
          <t>Sat</t>
        </is>
      </c>
      <c r="X2576" s="96" t="n"/>
      <c r="Y2576" s="95" t="inlineStr">
        <is>
          <t>Sun</t>
        </is>
      </c>
      <c r="Z2576" s="96" t="n"/>
      <c r="AB2576" s="97" t="inlineStr">
        <is>
          <t>Days rostered</t>
        </is>
      </c>
      <c r="AC2576" s="97" t="inlineStr">
        <is>
          <t>Conflicts</t>
        </is>
      </c>
    </row>
    <row r="2577" ht="15" customHeight="1">
      <c r="A2577" t="n">
        <v>52</v>
      </c>
      <c r="B2577" s="35">
        <f>IF(Setup!$B$6="","",Setup!$B$6)</f>
        <v/>
      </c>
      <c r="C2577" s="98" t="n"/>
      <c r="D2577" s="99" t="n"/>
      <c r="E2577" s="99" t="n"/>
      <c r="F2577" s="100" t="n"/>
      <c r="G2577" s="98" t="n"/>
      <c r="H2577" s="99" t="n"/>
      <c r="I2577" s="99" t="n"/>
      <c r="J2577" s="100" t="n"/>
      <c r="K2577" s="98" t="n"/>
      <c r="L2577" s="99" t="n"/>
      <c r="M2577" s="99" t="n"/>
      <c r="N2577" s="100" t="n"/>
      <c r="O2577" s="98" t="n"/>
      <c r="P2577" s="99" t="n"/>
      <c r="Q2577" s="99" t="n"/>
      <c r="R2577" s="100" t="n"/>
      <c r="S2577" s="98" t="n"/>
      <c r="T2577" s="99" t="n"/>
      <c r="U2577" s="99" t="n"/>
      <c r="V2577" s="100" t="n"/>
      <c r="W2577" s="98" t="n"/>
      <c r="X2577" s="100" t="n"/>
      <c r="Y2577" s="98" t="n"/>
      <c r="Z2577" s="100" t="n"/>
      <c r="AB2577" s="101">
        <f>IF($B2577="","",(COUNTIF(C2558:E2575,$B2577)+COUNTIF(C2558:E2575,$B2577&amp;" ~*")&gt;0)+(COUNTIF(G2558:I2575,$B2577)+COUNTIF(G2558:I2575,$B2577&amp;" ~*")&gt;0)+(COUNTIF(K2558:M2575,$B2577)+COUNTIF(K2558:M2575,$B2577&amp;" ~*")&gt;0)+(COUNTIF(O2558:Q2575,$B2577)+COUNTIF(O2558:Q2575,$B2577&amp;" ~*")&gt;0)+(COUNTIF(S2558:U2575,$B2577)+COUNTIF(S2558:U2575,$B2577&amp;" ~*")&gt;0)+(COUNTIF(W2558:W2575,$B2577)+COUNTIF(W2558:W2575,$B2577&amp;" ~*")&gt;0)+(COUNTIF(Y2558:Y2575,$B2577)+COUNTIF(Y2558:Y2575,$B2577&amp;" ~*")&gt;0))</f>
        <v/>
      </c>
      <c r="AC2577" s="36">
        <f>IF($B2577="","",(IFERROR(INDEX(Setup!$G$33:$G$40,MATCH(C2577,Setup!$B$33:$B$40,0)),0)=1)*(COUNTIF(C2558:E2575,$B2577)+COUNTIF(C2558:E2575,$B2577&amp;" ~*")&gt;0)+(IFERROR(INDEX(Setup!$G$33:$G$40,MATCH(G2577,Setup!$B$33:$B$40,0)),0)=1)*(COUNTIF(G2558:I2575,$B2577)+COUNTIF(G2558:I2575,$B2577&amp;" ~*")&gt;0)+(IFERROR(INDEX(Setup!$G$33:$G$40,MATCH(K2577,Setup!$B$33:$B$40,0)),0)=1)*(COUNTIF(K2558:M2575,$B2577)+COUNTIF(K2558:M2575,$B2577&amp;" ~*")&gt;0)+(IFERROR(INDEX(Setup!$G$33:$G$40,MATCH(O2577,Setup!$B$33:$B$40,0)),0)=1)*(COUNTIF(O2558:Q2575,$B2577)+COUNTIF(O2558:Q2575,$B2577&amp;" ~*")&gt;0)+(IFERROR(INDEX(Setup!$G$33:$G$40,MATCH(S2577,Setup!$B$33:$B$40,0)),0)=1)*(COUNTIF(S2558:U2575,$B2577)+COUNTIF(S2558:U2575,$B2577&amp;" ~*")&gt;0)+(IFERROR(INDEX(Setup!$G$33:$G$40,MATCH(W2577,Setup!$B$33:$B$40,0)),0)=1)*(COUNTIF(W2558:W2575,$B2577)+COUNTIF(W2558:W2575,$B2577&amp;" ~*")&gt;0)+(IFERROR(INDEX(Setup!$G$33:$G$40,MATCH(Y2577,Setup!$B$33:$B$40,0)),0)=1)*(COUNTIF(Y2558:Y2575,$B2577)+COUNTIF(Y2558:Y2575,$B2577&amp;" ~*")&gt;0))</f>
        <v/>
      </c>
    </row>
    <row r="2578" ht="15" customHeight="1">
      <c r="A2578" t="n">
        <v>52</v>
      </c>
      <c r="B2578" s="37">
        <f>IF(Setup!$B$7="","",Setup!$B$7)</f>
        <v/>
      </c>
      <c r="C2578" s="102" t="n"/>
      <c r="D2578" s="103" t="n"/>
      <c r="E2578" s="103" t="n"/>
      <c r="F2578" s="104" t="n"/>
      <c r="G2578" s="102" t="n"/>
      <c r="H2578" s="103" t="n"/>
      <c r="I2578" s="103" t="n"/>
      <c r="J2578" s="104" t="n"/>
      <c r="K2578" s="102" t="n"/>
      <c r="L2578" s="103" t="n"/>
      <c r="M2578" s="103" t="n"/>
      <c r="N2578" s="104" t="n"/>
      <c r="O2578" s="102" t="n"/>
      <c r="P2578" s="103" t="n"/>
      <c r="Q2578" s="103" t="n"/>
      <c r="R2578" s="104" t="n"/>
      <c r="S2578" s="102" t="n"/>
      <c r="T2578" s="103" t="n"/>
      <c r="U2578" s="103" t="n"/>
      <c r="V2578" s="104" t="n"/>
      <c r="W2578" s="102" t="n"/>
      <c r="X2578" s="104" t="n"/>
      <c r="Y2578" s="102" t="n"/>
      <c r="Z2578" s="104" t="n"/>
      <c r="AB2578" s="105">
        <f>IF($B2578="","",(COUNTIF(C2558:E2575,$B2578)+COUNTIF(C2558:E2575,$B2578&amp;" ~*")&gt;0)+(COUNTIF(G2558:I2575,$B2578)+COUNTIF(G2558:I2575,$B2578&amp;" ~*")&gt;0)+(COUNTIF(K2558:M2575,$B2578)+COUNTIF(K2558:M2575,$B2578&amp;" ~*")&gt;0)+(COUNTIF(O2558:Q2575,$B2578)+COUNTIF(O2558:Q2575,$B2578&amp;" ~*")&gt;0)+(COUNTIF(S2558:U2575,$B2578)+COUNTIF(S2558:U2575,$B2578&amp;" ~*")&gt;0)+(COUNTIF(W2558:W2575,$B2578)+COUNTIF(W2558:W2575,$B2578&amp;" ~*")&gt;0)+(COUNTIF(Y2558:Y2575,$B2578)+COUNTIF(Y2558:Y2575,$B2578&amp;" ~*")&gt;0))</f>
        <v/>
      </c>
      <c r="AC2578" s="38">
        <f>IF($B2578="","",(IFERROR(INDEX(Setup!$G$33:$G$40,MATCH(C2578,Setup!$B$33:$B$40,0)),0)=1)*(COUNTIF(C2558:E2575,$B2578)+COUNTIF(C2558:E2575,$B2578&amp;" ~*")&gt;0)+(IFERROR(INDEX(Setup!$G$33:$G$40,MATCH(G2578,Setup!$B$33:$B$40,0)),0)=1)*(COUNTIF(G2558:I2575,$B2578)+COUNTIF(G2558:I2575,$B2578&amp;" ~*")&gt;0)+(IFERROR(INDEX(Setup!$G$33:$G$40,MATCH(K2578,Setup!$B$33:$B$40,0)),0)=1)*(COUNTIF(K2558:M2575,$B2578)+COUNTIF(K2558:M2575,$B2578&amp;" ~*")&gt;0)+(IFERROR(INDEX(Setup!$G$33:$G$40,MATCH(O2578,Setup!$B$33:$B$40,0)),0)=1)*(COUNTIF(O2558:Q2575,$B2578)+COUNTIF(O2558:Q2575,$B2578&amp;" ~*")&gt;0)+(IFERROR(INDEX(Setup!$G$33:$G$40,MATCH(S2578,Setup!$B$33:$B$40,0)),0)=1)*(COUNTIF(S2558:U2575,$B2578)+COUNTIF(S2558:U2575,$B2578&amp;" ~*")&gt;0)+(IFERROR(INDEX(Setup!$G$33:$G$40,MATCH(W2578,Setup!$B$33:$B$40,0)),0)=1)*(COUNTIF(W2558:W2575,$B2578)+COUNTIF(W2558:W2575,$B2578&amp;" ~*")&gt;0)+(IFERROR(INDEX(Setup!$G$33:$G$40,MATCH(Y2578,Setup!$B$33:$B$40,0)),0)=1)*(COUNTIF(Y2558:Y2575,$B2578)+COUNTIF(Y2558:Y2575,$B2578&amp;" ~*")&gt;0))</f>
        <v/>
      </c>
    </row>
    <row r="2579" ht="15" customHeight="1">
      <c r="A2579" t="n">
        <v>52</v>
      </c>
      <c r="B2579" s="35">
        <f>IF(Setup!$B$8="","",Setup!$B$8)</f>
        <v/>
      </c>
      <c r="C2579" s="98" t="n"/>
      <c r="D2579" s="99" t="n"/>
      <c r="E2579" s="99" t="n"/>
      <c r="F2579" s="100" t="n"/>
      <c r="G2579" s="98" t="n"/>
      <c r="H2579" s="99" t="n"/>
      <c r="I2579" s="99" t="n"/>
      <c r="J2579" s="100" t="n"/>
      <c r="K2579" s="98" t="n"/>
      <c r="L2579" s="99" t="n"/>
      <c r="M2579" s="99" t="n"/>
      <c r="N2579" s="100" t="n"/>
      <c r="O2579" s="98" t="n"/>
      <c r="P2579" s="99" t="n"/>
      <c r="Q2579" s="99" t="n"/>
      <c r="R2579" s="100" t="n"/>
      <c r="S2579" s="98" t="n"/>
      <c r="T2579" s="99" t="n"/>
      <c r="U2579" s="99" t="n"/>
      <c r="V2579" s="100" t="n"/>
      <c r="W2579" s="98" t="n"/>
      <c r="X2579" s="100" t="n"/>
      <c r="Y2579" s="98" t="n"/>
      <c r="Z2579" s="100" t="n"/>
      <c r="AB2579" s="101">
        <f>IF($B2579="","",(COUNTIF(C2558:E2575,$B2579)+COUNTIF(C2558:E2575,$B2579&amp;" ~*")&gt;0)+(COUNTIF(G2558:I2575,$B2579)+COUNTIF(G2558:I2575,$B2579&amp;" ~*")&gt;0)+(COUNTIF(K2558:M2575,$B2579)+COUNTIF(K2558:M2575,$B2579&amp;" ~*")&gt;0)+(COUNTIF(O2558:Q2575,$B2579)+COUNTIF(O2558:Q2575,$B2579&amp;" ~*")&gt;0)+(COUNTIF(S2558:U2575,$B2579)+COUNTIF(S2558:U2575,$B2579&amp;" ~*")&gt;0)+(COUNTIF(W2558:W2575,$B2579)+COUNTIF(W2558:W2575,$B2579&amp;" ~*")&gt;0)+(COUNTIF(Y2558:Y2575,$B2579)+COUNTIF(Y2558:Y2575,$B2579&amp;" ~*")&gt;0))</f>
        <v/>
      </c>
      <c r="AC2579" s="36">
        <f>IF($B2579="","",(IFERROR(INDEX(Setup!$G$33:$G$40,MATCH(C2579,Setup!$B$33:$B$40,0)),0)=1)*(COUNTIF(C2558:E2575,$B2579)+COUNTIF(C2558:E2575,$B2579&amp;" ~*")&gt;0)+(IFERROR(INDEX(Setup!$G$33:$G$40,MATCH(G2579,Setup!$B$33:$B$40,0)),0)=1)*(COUNTIF(G2558:I2575,$B2579)+COUNTIF(G2558:I2575,$B2579&amp;" ~*")&gt;0)+(IFERROR(INDEX(Setup!$G$33:$G$40,MATCH(K2579,Setup!$B$33:$B$40,0)),0)=1)*(COUNTIF(K2558:M2575,$B2579)+COUNTIF(K2558:M2575,$B2579&amp;" ~*")&gt;0)+(IFERROR(INDEX(Setup!$G$33:$G$40,MATCH(O2579,Setup!$B$33:$B$40,0)),0)=1)*(COUNTIF(O2558:Q2575,$B2579)+COUNTIF(O2558:Q2575,$B2579&amp;" ~*")&gt;0)+(IFERROR(INDEX(Setup!$G$33:$G$40,MATCH(S2579,Setup!$B$33:$B$40,0)),0)=1)*(COUNTIF(S2558:U2575,$B2579)+COUNTIF(S2558:U2575,$B2579&amp;" ~*")&gt;0)+(IFERROR(INDEX(Setup!$G$33:$G$40,MATCH(W2579,Setup!$B$33:$B$40,0)),0)=1)*(COUNTIF(W2558:W2575,$B2579)+COUNTIF(W2558:W2575,$B2579&amp;" ~*")&gt;0)+(IFERROR(INDEX(Setup!$G$33:$G$40,MATCH(Y2579,Setup!$B$33:$B$40,0)),0)=1)*(COUNTIF(Y2558:Y2575,$B2579)+COUNTIF(Y2558:Y2575,$B2579&amp;" ~*")&gt;0))</f>
        <v/>
      </c>
    </row>
    <row r="2580" ht="15" customHeight="1">
      <c r="A2580" t="n">
        <v>52</v>
      </c>
      <c r="B2580" s="37">
        <f>IF(Setup!$B$9="","",Setup!$B$9)</f>
        <v/>
      </c>
      <c r="C2580" s="102" t="n"/>
      <c r="D2580" s="103" t="n"/>
      <c r="E2580" s="103" t="n"/>
      <c r="F2580" s="104" t="n"/>
      <c r="G2580" s="102" t="n"/>
      <c r="H2580" s="103" t="n"/>
      <c r="I2580" s="103" t="n"/>
      <c r="J2580" s="104" t="n"/>
      <c r="K2580" s="102" t="n"/>
      <c r="L2580" s="103" t="n"/>
      <c r="M2580" s="103" t="n"/>
      <c r="N2580" s="104" t="n"/>
      <c r="O2580" s="102" t="n"/>
      <c r="P2580" s="103" t="n"/>
      <c r="Q2580" s="103" t="n"/>
      <c r="R2580" s="104" t="n"/>
      <c r="S2580" s="102" t="n"/>
      <c r="T2580" s="103" t="n"/>
      <c r="U2580" s="103" t="n"/>
      <c r="V2580" s="104" t="n"/>
      <c r="W2580" s="102" t="n"/>
      <c r="X2580" s="104" t="n"/>
      <c r="Y2580" s="102" t="n"/>
      <c r="Z2580" s="104" t="n"/>
      <c r="AB2580" s="105">
        <f>IF($B2580="","",(COUNTIF(C2558:E2575,$B2580)+COUNTIF(C2558:E2575,$B2580&amp;" ~*")&gt;0)+(COUNTIF(G2558:I2575,$B2580)+COUNTIF(G2558:I2575,$B2580&amp;" ~*")&gt;0)+(COUNTIF(K2558:M2575,$B2580)+COUNTIF(K2558:M2575,$B2580&amp;" ~*")&gt;0)+(COUNTIF(O2558:Q2575,$B2580)+COUNTIF(O2558:Q2575,$B2580&amp;" ~*")&gt;0)+(COUNTIF(S2558:U2575,$B2580)+COUNTIF(S2558:U2575,$B2580&amp;" ~*")&gt;0)+(COUNTIF(W2558:W2575,$B2580)+COUNTIF(W2558:W2575,$B2580&amp;" ~*")&gt;0)+(COUNTIF(Y2558:Y2575,$B2580)+COUNTIF(Y2558:Y2575,$B2580&amp;" ~*")&gt;0))</f>
        <v/>
      </c>
      <c r="AC2580" s="38">
        <f>IF($B2580="","",(IFERROR(INDEX(Setup!$G$33:$G$40,MATCH(C2580,Setup!$B$33:$B$40,0)),0)=1)*(COUNTIF(C2558:E2575,$B2580)+COUNTIF(C2558:E2575,$B2580&amp;" ~*")&gt;0)+(IFERROR(INDEX(Setup!$G$33:$G$40,MATCH(G2580,Setup!$B$33:$B$40,0)),0)=1)*(COUNTIF(G2558:I2575,$B2580)+COUNTIF(G2558:I2575,$B2580&amp;" ~*")&gt;0)+(IFERROR(INDEX(Setup!$G$33:$G$40,MATCH(K2580,Setup!$B$33:$B$40,0)),0)=1)*(COUNTIF(K2558:M2575,$B2580)+COUNTIF(K2558:M2575,$B2580&amp;" ~*")&gt;0)+(IFERROR(INDEX(Setup!$G$33:$G$40,MATCH(O2580,Setup!$B$33:$B$40,0)),0)=1)*(COUNTIF(O2558:Q2575,$B2580)+COUNTIF(O2558:Q2575,$B2580&amp;" ~*")&gt;0)+(IFERROR(INDEX(Setup!$G$33:$G$40,MATCH(S2580,Setup!$B$33:$B$40,0)),0)=1)*(COUNTIF(S2558:U2575,$B2580)+COUNTIF(S2558:U2575,$B2580&amp;" ~*")&gt;0)+(IFERROR(INDEX(Setup!$G$33:$G$40,MATCH(W2580,Setup!$B$33:$B$40,0)),0)=1)*(COUNTIF(W2558:W2575,$B2580)+COUNTIF(W2558:W2575,$B2580&amp;" ~*")&gt;0)+(IFERROR(INDEX(Setup!$G$33:$G$40,MATCH(Y2580,Setup!$B$33:$B$40,0)),0)=1)*(COUNTIF(Y2558:Y2575,$B2580)+COUNTIF(Y2558:Y2575,$B2580&amp;" ~*")&gt;0))</f>
        <v/>
      </c>
    </row>
    <row r="2581" ht="15" customHeight="1">
      <c r="A2581" t="n">
        <v>52</v>
      </c>
      <c r="B2581" s="35">
        <f>IF(Setup!$B$10="","",Setup!$B$10)</f>
        <v/>
      </c>
      <c r="C2581" s="98" t="n"/>
      <c r="D2581" s="99" t="n"/>
      <c r="E2581" s="99" t="n"/>
      <c r="F2581" s="100" t="n"/>
      <c r="G2581" s="98" t="n"/>
      <c r="H2581" s="99" t="n"/>
      <c r="I2581" s="99" t="n"/>
      <c r="J2581" s="100" t="n"/>
      <c r="K2581" s="98" t="n"/>
      <c r="L2581" s="99" t="n"/>
      <c r="M2581" s="99" t="n"/>
      <c r="N2581" s="100" t="n"/>
      <c r="O2581" s="98" t="n"/>
      <c r="P2581" s="99" t="n"/>
      <c r="Q2581" s="99" t="n"/>
      <c r="R2581" s="100" t="n"/>
      <c r="S2581" s="98" t="n"/>
      <c r="T2581" s="99" t="n"/>
      <c r="U2581" s="99" t="n"/>
      <c r="V2581" s="100" t="n"/>
      <c r="W2581" s="98" t="n"/>
      <c r="X2581" s="100" t="n"/>
      <c r="Y2581" s="98" t="n"/>
      <c r="Z2581" s="100" t="n"/>
      <c r="AB2581" s="101">
        <f>IF($B2581="","",(COUNTIF(C2558:E2575,$B2581)+COUNTIF(C2558:E2575,$B2581&amp;" ~*")&gt;0)+(COUNTIF(G2558:I2575,$B2581)+COUNTIF(G2558:I2575,$B2581&amp;" ~*")&gt;0)+(COUNTIF(K2558:M2575,$B2581)+COUNTIF(K2558:M2575,$B2581&amp;" ~*")&gt;0)+(COUNTIF(O2558:Q2575,$B2581)+COUNTIF(O2558:Q2575,$B2581&amp;" ~*")&gt;0)+(COUNTIF(S2558:U2575,$B2581)+COUNTIF(S2558:U2575,$B2581&amp;" ~*")&gt;0)+(COUNTIF(W2558:W2575,$B2581)+COUNTIF(W2558:W2575,$B2581&amp;" ~*")&gt;0)+(COUNTIF(Y2558:Y2575,$B2581)+COUNTIF(Y2558:Y2575,$B2581&amp;" ~*")&gt;0))</f>
        <v/>
      </c>
      <c r="AC2581" s="36">
        <f>IF($B2581="","",(IFERROR(INDEX(Setup!$G$33:$G$40,MATCH(C2581,Setup!$B$33:$B$40,0)),0)=1)*(COUNTIF(C2558:E2575,$B2581)+COUNTIF(C2558:E2575,$B2581&amp;" ~*")&gt;0)+(IFERROR(INDEX(Setup!$G$33:$G$40,MATCH(G2581,Setup!$B$33:$B$40,0)),0)=1)*(COUNTIF(G2558:I2575,$B2581)+COUNTIF(G2558:I2575,$B2581&amp;" ~*")&gt;0)+(IFERROR(INDEX(Setup!$G$33:$G$40,MATCH(K2581,Setup!$B$33:$B$40,0)),0)=1)*(COUNTIF(K2558:M2575,$B2581)+COUNTIF(K2558:M2575,$B2581&amp;" ~*")&gt;0)+(IFERROR(INDEX(Setup!$G$33:$G$40,MATCH(O2581,Setup!$B$33:$B$40,0)),0)=1)*(COUNTIF(O2558:Q2575,$B2581)+COUNTIF(O2558:Q2575,$B2581&amp;" ~*")&gt;0)+(IFERROR(INDEX(Setup!$G$33:$G$40,MATCH(S2581,Setup!$B$33:$B$40,0)),0)=1)*(COUNTIF(S2558:U2575,$B2581)+COUNTIF(S2558:U2575,$B2581&amp;" ~*")&gt;0)+(IFERROR(INDEX(Setup!$G$33:$G$40,MATCH(W2581,Setup!$B$33:$B$40,0)),0)=1)*(COUNTIF(W2558:W2575,$B2581)+COUNTIF(W2558:W2575,$B2581&amp;" ~*")&gt;0)+(IFERROR(INDEX(Setup!$G$33:$G$40,MATCH(Y2581,Setup!$B$33:$B$40,0)),0)=1)*(COUNTIF(Y2558:Y2575,$B2581)+COUNTIF(Y2558:Y2575,$B2581&amp;" ~*")&gt;0))</f>
        <v/>
      </c>
    </row>
    <row r="2582" ht="15" customHeight="1">
      <c r="A2582" t="n">
        <v>52</v>
      </c>
      <c r="B2582" s="37">
        <f>IF(Setup!$B$11="","",Setup!$B$11)</f>
        <v/>
      </c>
      <c r="C2582" s="102" t="n"/>
      <c r="D2582" s="103" t="n"/>
      <c r="E2582" s="103" t="n"/>
      <c r="F2582" s="104" t="n"/>
      <c r="G2582" s="102" t="n"/>
      <c r="H2582" s="103" t="n"/>
      <c r="I2582" s="103" t="n"/>
      <c r="J2582" s="104" t="n"/>
      <c r="K2582" s="102" t="n"/>
      <c r="L2582" s="103" t="n"/>
      <c r="M2582" s="103" t="n"/>
      <c r="N2582" s="104" t="n"/>
      <c r="O2582" s="102" t="n"/>
      <c r="P2582" s="103" t="n"/>
      <c r="Q2582" s="103" t="n"/>
      <c r="R2582" s="104" t="n"/>
      <c r="S2582" s="102" t="n"/>
      <c r="T2582" s="103" t="n"/>
      <c r="U2582" s="103" t="n"/>
      <c r="V2582" s="104" t="n"/>
      <c r="W2582" s="102" t="n"/>
      <c r="X2582" s="104" t="n"/>
      <c r="Y2582" s="102" t="n"/>
      <c r="Z2582" s="104" t="n"/>
      <c r="AB2582" s="105">
        <f>IF($B2582="","",(COUNTIF(C2558:E2575,$B2582)+COUNTIF(C2558:E2575,$B2582&amp;" ~*")&gt;0)+(COUNTIF(G2558:I2575,$B2582)+COUNTIF(G2558:I2575,$B2582&amp;" ~*")&gt;0)+(COUNTIF(K2558:M2575,$B2582)+COUNTIF(K2558:M2575,$B2582&amp;" ~*")&gt;0)+(COUNTIF(O2558:Q2575,$B2582)+COUNTIF(O2558:Q2575,$B2582&amp;" ~*")&gt;0)+(COUNTIF(S2558:U2575,$B2582)+COUNTIF(S2558:U2575,$B2582&amp;" ~*")&gt;0)+(COUNTIF(W2558:W2575,$B2582)+COUNTIF(W2558:W2575,$B2582&amp;" ~*")&gt;0)+(COUNTIF(Y2558:Y2575,$B2582)+COUNTIF(Y2558:Y2575,$B2582&amp;" ~*")&gt;0))</f>
        <v/>
      </c>
      <c r="AC2582" s="38">
        <f>IF($B2582="","",(IFERROR(INDEX(Setup!$G$33:$G$40,MATCH(C2582,Setup!$B$33:$B$40,0)),0)=1)*(COUNTIF(C2558:E2575,$B2582)+COUNTIF(C2558:E2575,$B2582&amp;" ~*")&gt;0)+(IFERROR(INDEX(Setup!$G$33:$G$40,MATCH(G2582,Setup!$B$33:$B$40,0)),0)=1)*(COUNTIF(G2558:I2575,$B2582)+COUNTIF(G2558:I2575,$B2582&amp;" ~*")&gt;0)+(IFERROR(INDEX(Setup!$G$33:$G$40,MATCH(K2582,Setup!$B$33:$B$40,0)),0)=1)*(COUNTIF(K2558:M2575,$B2582)+COUNTIF(K2558:M2575,$B2582&amp;" ~*")&gt;0)+(IFERROR(INDEX(Setup!$G$33:$G$40,MATCH(O2582,Setup!$B$33:$B$40,0)),0)=1)*(COUNTIF(O2558:Q2575,$B2582)+COUNTIF(O2558:Q2575,$B2582&amp;" ~*")&gt;0)+(IFERROR(INDEX(Setup!$G$33:$G$40,MATCH(S2582,Setup!$B$33:$B$40,0)),0)=1)*(COUNTIF(S2558:U2575,$B2582)+COUNTIF(S2558:U2575,$B2582&amp;" ~*")&gt;0)+(IFERROR(INDEX(Setup!$G$33:$G$40,MATCH(W2582,Setup!$B$33:$B$40,0)),0)=1)*(COUNTIF(W2558:W2575,$B2582)+COUNTIF(W2558:W2575,$B2582&amp;" ~*")&gt;0)+(IFERROR(INDEX(Setup!$G$33:$G$40,MATCH(Y2582,Setup!$B$33:$B$40,0)),0)=1)*(COUNTIF(Y2558:Y2575,$B2582)+COUNTIF(Y2558:Y2575,$B2582&amp;" ~*")&gt;0))</f>
        <v/>
      </c>
    </row>
    <row r="2583" ht="15" customHeight="1">
      <c r="A2583" t="n">
        <v>52</v>
      </c>
      <c r="B2583" s="35">
        <f>IF(Setup!$B$12="","",Setup!$B$12)</f>
        <v/>
      </c>
      <c r="C2583" s="98" t="n"/>
      <c r="D2583" s="99" t="n"/>
      <c r="E2583" s="99" t="n"/>
      <c r="F2583" s="100" t="n"/>
      <c r="G2583" s="98" t="n"/>
      <c r="H2583" s="99" t="n"/>
      <c r="I2583" s="99" t="n"/>
      <c r="J2583" s="100" t="n"/>
      <c r="K2583" s="98" t="n"/>
      <c r="L2583" s="99" t="n"/>
      <c r="M2583" s="99" t="n"/>
      <c r="N2583" s="100" t="n"/>
      <c r="O2583" s="98" t="n"/>
      <c r="P2583" s="99" t="n"/>
      <c r="Q2583" s="99" t="n"/>
      <c r="R2583" s="100" t="n"/>
      <c r="S2583" s="98" t="n"/>
      <c r="T2583" s="99" t="n"/>
      <c r="U2583" s="99" t="n"/>
      <c r="V2583" s="100" t="n"/>
      <c r="W2583" s="98" t="n"/>
      <c r="X2583" s="100" t="n"/>
      <c r="Y2583" s="98" t="n"/>
      <c r="Z2583" s="100" t="n"/>
      <c r="AB2583" s="101">
        <f>IF($B2583="","",(COUNTIF(C2558:E2575,$B2583)+COUNTIF(C2558:E2575,$B2583&amp;" ~*")&gt;0)+(COUNTIF(G2558:I2575,$B2583)+COUNTIF(G2558:I2575,$B2583&amp;" ~*")&gt;0)+(COUNTIF(K2558:M2575,$B2583)+COUNTIF(K2558:M2575,$B2583&amp;" ~*")&gt;0)+(COUNTIF(O2558:Q2575,$B2583)+COUNTIF(O2558:Q2575,$B2583&amp;" ~*")&gt;0)+(COUNTIF(S2558:U2575,$B2583)+COUNTIF(S2558:U2575,$B2583&amp;" ~*")&gt;0)+(COUNTIF(W2558:W2575,$B2583)+COUNTIF(W2558:W2575,$B2583&amp;" ~*")&gt;0)+(COUNTIF(Y2558:Y2575,$B2583)+COUNTIF(Y2558:Y2575,$B2583&amp;" ~*")&gt;0))</f>
        <v/>
      </c>
      <c r="AC2583" s="36">
        <f>IF($B2583="","",(IFERROR(INDEX(Setup!$G$33:$G$40,MATCH(C2583,Setup!$B$33:$B$40,0)),0)=1)*(COUNTIF(C2558:E2575,$B2583)+COUNTIF(C2558:E2575,$B2583&amp;" ~*")&gt;0)+(IFERROR(INDEX(Setup!$G$33:$G$40,MATCH(G2583,Setup!$B$33:$B$40,0)),0)=1)*(COUNTIF(G2558:I2575,$B2583)+COUNTIF(G2558:I2575,$B2583&amp;" ~*")&gt;0)+(IFERROR(INDEX(Setup!$G$33:$G$40,MATCH(K2583,Setup!$B$33:$B$40,0)),0)=1)*(COUNTIF(K2558:M2575,$B2583)+COUNTIF(K2558:M2575,$B2583&amp;" ~*")&gt;0)+(IFERROR(INDEX(Setup!$G$33:$G$40,MATCH(O2583,Setup!$B$33:$B$40,0)),0)=1)*(COUNTIF(O2558:Q2575,$B2583)+COUNTIF(O2558:Q2575,$B2583&amp;" ~*")&gt;0)+(IFERROR(INDEX(Setup!$G$33:$G$40,MATCH(S2583,Setup!$B$33:$B$40,0)),0)=1)*(COUNTIF(S2558:U2575,$B2583)+COUNTIF(S2558:U2575,$B2583&amp;" ~*")&gt;0)+(IFERROR(INDEX(Setup!$G$33:$G$40,MATCH(W2583,Setup!$B$33:$B$40,0)),0)=1)*(COUNTIF(W2558:W2575,$B2583)+COUNTIF(W2558:W2575,$B2583&amp;" ~*")&gt;0)+(IFERROR(INDEX(Setup!$G$33:$G$40,MATCH(Y2583,Setup!$B$33:$B$40,0)),0)=1)*(COUNTIF(Y2558:Y2575,$B2583)+COUNTIF(Y2558:Y2575,$B2583&amp;" ~*")&gt;0))</f>
        <v/>
      </c>
    </row>
    <row r="2584" ht="15" customHeight="1">
      <c r="A2584" t="n">
        <v>52</v>
      </c>
      <c r="B2584" s="37">
        <f>IF(Setup!$B$13="","",Setup!$B$13)</f>
        <v/>
      </c>
      <c r="C2584" s="102" t="n"/>
      <c r="D2584" s="103" t="n"/>
      <c r="E2584" s="103" t="n"/>
      <c r="F2584" s="104" t="n"/>
      <c r="G2584" s="102" t="n"/>
      <c r="H2584" s="103" t="n"/>
      <c r="I2584" s="103" t="n"/>
      <c r="J2584" s="104" t="n"/>
      <c r="K2584" s="102" t="n"/>
      <c r="L2584" s="103" t="n"/>
      <c r="M2584" s="103" t="n"/>
      <c r="N2584" s="104" t="n"/>
      <c r="O2584" s="102" t="n"/>
      <c r="P2584" s="103" t="n"/>
      <c r="Q2584" s="103" t="n"/>
      <c r="R2584" s="104" t="n"/>
      <c r="S2584" s="102" t="n"/>
      <c r="T2584" s="103" t="n"/>
      <c r="U2584" s="103" t="n"/>
      <c r="V2584" s="104" t="n"/>
      <c r="W2584" s="102" t="n"/>
      <c r="X2584" s="104" t="n"/>
      <c r="Y2584" s="102" t="n"/>
      <c r="Z2584" s="104" t="n"/>
      <c r="AB2584" s="105">
        <f>IF($B2584="","",(COUNTIF(C2558:E2575,$B2584)+COUNTIF(C2558:E2575,$B2584&amp;" ~*")&gt;0)+(COUNTIF(G2558:I2575,$B2584)+COUNTIF(G2558:I2575,$B2584&amp;" ~*")&gt;0)+(COUNTIF(K2558:M2575,$B2584)+COUNTIF(K2558:M2575,$B2584&amp;" ~*")&gt;0)+(COUNTIF(O2558:Q2575,$B2584)+COUNTIF(O2558:Q2575,$B2584&amp;" ~*")&gt;0)+(COUNTIF(S2558:U2575,$B2584)+COUNTIF(S2558:U2575,$B2584&amp;" ~*")&gt;0)+(COUNTIF(W2558:W2575,$B2584)+COUNTIF(W2558:W2575,$B2584&amp;" ~*")&gt;0)+(COUNTIF(Y2558:Y2575,$B2584)+COUNTIF(Y2558:Y2575,$B2584&amp;" ~*")&gt;0))</f>
        <v/>
      </c>
      <c r="AC2584" s="38">
        <f>IF($B2584="","",(IFERROR(INDEX(Setup!$G$33:$G$40,MATCH(C2584,Setup!$B$33:$B$40,0)),0)=1)*(COUNTIF(C2558:E2575,$B2584)+COUNTIF(C2558:E2575,$B2584&amp;" ~*")&gt;0)+(IFERROR(INDEX(Setup!$G$33:$G$40,MATCH(G2584,Setup!$B$33:$B$40,0)),0)=1)*(COUNTIF(G2558:I2575,$B2584)+COUNTIF(G2558:I2575,$B2584&amp;" ~*")&gt;0)+(IFERROR(INDEX(Setup!$G$33:$G$40,MATCH(K2584,Setup!$B$33:$B$40,0)),0)=1)*(COUNTIF(K2558:M2575,$B2584)+COUNTIF(K2558:M2575,$B2584&amp;" ~*")&gt;0)+(IFERROR(INDEX(Setup!$G$33:$G$40,MATCH(O2584,Setup!$B$33:$B$40,0)),0)=1)*(COUNTIF(O2558:Q2575,$B2584)+COUNTIF(O2558:Q2575,$B2584&amp;" ~*")&gt;0)+(IFERROR(INDEX(Setup!$G$33:$G$40,MATCH(S2584,Setup!$B$33:$B$40,0)),0)=1)*(COUNTIF(S2558:U2575,$B2584)+COUNTIF(S2558:U2575,$B2584&amp;" ~*")&gt;0)+(IFERROR(INDEX(Setup!$G$33:$G$40,MATCH(W2584,Setup!$B$33:$B$40,0)),0)=1)*(COUNTIF(W2558:W2575,$B2584)+COUNTIF(W2558:W2575,$B2584&amp;" ~*")&gt;0)+(IFERROR(INDEX(Setup!$G$33:$G$40,MATCH(Y2584,Setup!$B$33:$B$40,0)),0)=1)*(COUNTIF(Y2558:Y2575,$B2584)+COUNTIF(Y2558:Y2575,$B2584&amp;" ~*")&gt;0))</f>
        <v/>
      </c>
    </row>
    <row r="2585" ht="15" customHeight="1">
      <c r="A2585" t="n">
        <v>52</v>
      </c>
      <c r="B2585" s="35">
        <f>IF(Setup!$B$14="","",Setup!$B$14)</f>
        <v/>
      </c>
      <c r="C2585" s="98" t="n"/>
      <c r="D2585" s="99" t="n"/>
      <c r="E2585" s="99" t="n"/>
      <c r="F2585" s="100" t="n"/>
      <c r="G2585" s="98" t="n"/>
      <c r="H2585" s="99" t="n"/>
      <c r="I2585" s="99" t="n"/>
      <c r="J2585" s="100" t="n"/>
      <c r="K2585" s="98" t="n"/>
      <c r="L2585" s="99" t="n"/>
      <c r="M2585" s="99" t="n"/>
      <c r="N2585" s="100" t="n"/>
      <c r="O2585" s="98" t="n"/>
      <c r="P2585" s="99" t="n"/>
      <c r="Q2585" s="99" t="n"/>
      <c r="R2585" s="100" t="n"/>
      <c r="S2585" s="98" t="n"/>
      <c r="T2585" s="99" t="n"/>
      <c r="U2585" s="99" t="n"/>
      <c r="V2585" s="100" t="n"/>
      <c r="W2585" s="98" t="n"/>
      <c r="X2585" s="100" t="n"/>
      <c r="Y2585" s="98" t="n"/>
      <c r="Z2585" s="100" t="n"/>
      <c r="AB2585" s="101">
        <f>IF($B2585="","",(COUNTIF(C2558:E2575,$B2585)+COUNTIF(C2558:E2575,$B2585&amp;" ~*")&gt;0)+(COUNTIF(G2558:I2575,$B2585)+COUNTIF(G2558:I2575,$B2585&amp;" ~*")&gt;0)+(COUNTIF(K2558:M2575,$B2585)+COUNTIF(K2558:M2575,$B2585&amp;" ~*")&gt;0)+(COUNTIF(O2558:Q2575,$B2585)+COUNTIF(O2558:Q2575,$B2585&amp;" ~*")&gt;0)+(COUNTIF(S2558:U2575,$B2585)+COUNTIF(S2558:U2575,$B2585&amp;" ~*")&gt;0)+(COUNTIF(W2558:W2575,$B2585)+COUNTIF(W2558:W2575,$B2585&amp;" ~*")&gt;0)+(COUNTIF(Y2558:Y2575,$B2585)+COUNTIF(Y2558:Y2575,$B2585&amp;" ~*")&gt;0))</f>
        <v/>
      </c>
      <c r="AC2585" s="36">
        <f>IF($B2585="","",(IFERROR(INDEX(Setup!$G$33:$G$40,MATCH(C2585,Setup!$B$33:$B$40,0)),0)=1)*(COUNTIF(C2558:E2575,$B2585)+COUNTIF(C2558:E2575,$B2585&amp;" ~*")&gt;0)+(IFERROR(INDEX(Setup!$G$33:$G$40,MATCH(G2585,Setup!$B$33:$B$40,0)),0)=1)*(COUNTIF(G2558:I2575,$B2585)+COUNTIF(G2558:I2575,$B2585&amp;" ~*")&gt;0)+(IFERROR(INDEX(Setup!$G$33:$G$40,MATCH(K2585,Setup!$B$33:$B$40,0)),0)=1)*(COUNTIF(K2558:M2575,$B2585)+COUNTIF(K2558:M2575,$B2585&amp;" ~*")&gt;0)+(IFERROR(INDEX(Setup!$G$33:$G$40,MATCH(O2585,Setup!$B$33:$B$40,0)),0)=1)*(COUNTIF(O2558:Q2575,$B2585)+COUNTIF(O2558:Q2575,$B2585&amp;" ~*")&gt;0)+(IFERROR(INDEX(Setup!$G$33:$G$40,MATCH(S2585,Setup!$B$33:$B$40,0)),0)=1)*(COUNTIF(S2558:U2575,$B2585)+COUNTIF(S2558:U2575,$B2585&amp;" ~*")&gt;0)+(IFERROR(INDEX(Setup!$G$33:$G$40,MATCH(W2585,Setup!$B$33:$B$40,0)),0)=1)*(COUNTIF(W2558:W2575,$B2585)+COUNTIF(W2558:W2575,$B2585&amp;" ~*")&gt;0)+(IFERROR(INDEX(Setup!$G$33:$G$40,MATCH(Y2585,Setup!$B$33:$B$40,0)),0)=1)*(COUNTIF(Y2558:Y2575,$B2585)+COUNTIF(Y2558:Y2575,$B2585&amp;" ~*")&gt;0))</f>
        <v/>
      </c>
    </row>
    <row r="2586" ht="15" customHeight="1">
      <c r="A2586" t="n">
        <v>52</v>
      </c>
      <c r="B2586" s="37">
        <f>IF(Setup!$B$15="","",Setup!$B$15)</f>
        <v/>
      </c>
      <c r="C2586" s="102" t="n"/>
      <c r="D2586" s="103" t="n"/>
      <c r="E2586" s="103" t="n"/>
      <c r="F2586" s="104" t="n"/>
      <c r="G2586" s="102" t="n"/>
      <c r="H2586" s="103" t="n"/>
      <c r="I2586" s="103" t="n"/>
      <c r="J2586" s="104" t="n"/>
      <c r="K2586" s="102" t="n"/>
      <c r="L2586" s="103" t="n"/>
      <c r="M2586" s="103" t="n"/>
      <c r="N2586" s="104" t="n"/>
      <c r="O2586" s="102" t="n"/>
      <c r="P2586" s="103" t="n"/>
      <c r="Q2586" s="103" t="n"/>
      <c r="R2586" s="104" t="n"/>
      <c r="S2586" s="102" t="n"/>
      <c r="T2586" s="103" t="n"/>
      <c r="U2586" s="103" t="n"/>
      <c r="V2586" s="104" t="n"/>
      <c r="W2586" s="102" t="n"/>
      <c r="X2586" s="104" t="n"/>
      <c r="Y2586" s="102" t="n"/>
      <c r="Z2586" s="104" t="n"/>
      <c r="AB2586" s="105">
        <f>IF($B2586="","",(COUNTIF(C2558:E2575,$B2586)+COUNTIF(C2558:E2575,$B2586&amp;" ~*")&gt;0)+(COUNTIF(G2558:I2575,$B2586)+COUNTIF(G2558:I2575,$B2586&amp;" ~*")&gt;0)+(COUNTIF(K2558:M2575,$B2586)+COUNTIF(K2558:M2575,$B2586&amp;" ~*")&gt;0)+(COUNTIF(O2558:Q2575,$B2586)+COUNTIF(O2558:Q2575,$B2586&amp;" ~*")&gt;0)+(COUNTIF(S2558:U2575,$B2586)+COUNTIF(S2558:U2575,$B2586&amp;" ~*")&gt;0)+(COUNTIF(W2558:W2575,$B2586)+COUNTIF(W2558:W2575,$B2586&amp;" ~*")&gt;0)+(COUNTIF(Y2558:Y2575,$B2586)+COUNTIF(Y2558:Y2575,$B2586&amp;" ~*")&gt;0))</f>
        <v/>
      </c>
      <c r="AC2586" s="38">
        <f>IF($B2586="","",(IFERROR(INDEX(Setup!$G$33:$G$40,MATCH(C2586,Setup!$B$33:$B$40,0)),0)=1)*(COUNTIF(C2558:E2575,$B2586)+COUNTIF(C2558:E2575,$B2586&amp;" ~*")&gt;0)+(IFERROR(INDEX(Setup!$G$33:$G$40,MATCH(G2586,Setup!$B$33:$B$40,0)),0)=1)*(COUNTIF(G2558:I2575,$B2586)+COUNTIF(G2558:I2575,$B2586&amp;" ~*")&gt;0)+(IFERROR(INDEX(Setup!$G$33:$G$40,MATCH(K2586,Setup!$B$33:$B$40,0)),0)=1)*(COUNTIF(K2558:M2575,$B2586)+COUNTIF(K2558:M2575,$B2586&amp;" ~*")&gt;0)+(IFERROR(INDEX(Setup!$G$33:$G$40,MATCH(O2586,Setup!$B$33:$B$40,0)),0)=1)*(COUNTIF(O2558:Q2575,$B2586)+COUNTIF(O2558:Q2575,$B2586&amp;" ~*")&gt;0)+(IFERROR(INDEX(Setup!$G$33:$G$40,MATCH(S2586,Setup!$B$33:$B$40,0)),0)=1)*(COUNTIF(S2558:U2575,$B2586)+COUNTIF(S2558:U2575,$B2586&amp;" ~*")&gt;0)+(IFERROR(INDEX(Setup!$G$33:$G$40,MATCH(W2586,Setup!$B$33:$B$40,0)),0)=1)*(COUNTIF(W2558:W2575,$B2586)+COUNTIF(W2558:W2575,$B2586&amp;" ~*")&gt;0)+(IFERROR(INDEX(Setup!$G$33:$G$40,MATCH(Y2586,Setup!$B$33:$B$40,0)),0)=1)*(COUNTIF(Y2558:Y2575,$B2586)+COUNTIF(Y2558:Y2575,$B2586&amp;" ~*")&gt;0))</f>
        <v/>
      </c>
    </row>
    <row r="2587" ht="15" customHeight="1">
      <c r="A2587" t="n">
        <v>52</v>
      </c>
      <c r="B2587" s="35">
        <f>IF(Setup!$B$16="","",Setup!$B$16)</f>
        <v/>
      </c>
      <c r="C2587" s="98" t="n"/>
      <c r="D2587" s="99" t="n"/>
      <c r="E2587" s="99" t="n"/>
      <c r="F2587" s="100" t="n"/>
      <c r="G2587" s="98" t="n"/>
      <c r="H2587" s="99" t="n"/>
      <c r="I2587" s="99" t="n"/>
      <c r="J2587" s="100" t="n"/>
      <c r="K2587" s="98" t="n"/>
      <c r="L2587" s="99" t="n"/>
      <c r="M2587" s="99" t="n"/>
      <c r="N2587" s="100" t="n"/>
      <c r="O2587" s="98" t="n"/>
      <c r="P2587" s="99" t="n"/>
      <c r="Q2587" s="99" t="n"/>
      <c r="R2587" s="100" t="n"/>
      <c r="S2587" s="98" t="n"/>
      <c r="T2587" s="99" t="n"/>
      <c r="U2587" s="99" t="n"/>
      <c r="V2587" s="100" t="n"/>
      <c r="W2587" s="98" t="n"/>
      <c r="X2587" s="100" t="n"/>
      <c r="Y2587" s="98" t="n"/>
      <c r="Z2587" s="100" t="n"/>
      <c r="AB2587" s="101">
        <f>IF($B2587="","",(COUNTIF(C2558:E2575,$B2587)+COUNTIF(C2558:E2575,$B2587&amp;" ~*")&gt;0)+(COUNTIF(G2558:I2575,$B2587)+COUNTIF(G2558:I2575,$B2587&amp;" ~*")&gt;0)+(COUNTIF(K2558:M2575,$B2587)+COUNTIF(K2558:M2575,$B2587&amp;" ~*")&gt;0)+(COUNTIF(O2558:Q2575,$B2587)+COUNTIF(O2558:Q2575,$B2587&amp;" ~*")&gt;0)+(COUNTIF(S2558:U2575,$B2587)+COUNTIF(S2558:U2575,$B2587&amp;" ~*")&gt;0)+(COUNTIF(W2558:W2575,$B2587)+COUNTIF(W2558:W2575,$B2587&amp;" ~*")&gt;0)+(COUNTIF(Y2558:Y2575,$B2587)+COUNTIF(Y2558:Y2575,$B2587&amp;" ~*")&gt;0))</f>
        <v/>
      </c>
      <c r="AC2587" s="36">
        <f>IF($B2587="","",(IFERROR(INDEX(Setup!$G$33:$G$40,MATCH(C2587,Setup!$B$33:$B$40,0)),0)=1)*(COUNTIF(C2558:E2575,$B2587)+COUNTIF(C2558:E2575,$B2587&amp;" ~*")&gt;0)+(IFERROR(INDEX(Setup!$G$33:$G$40,MATCH(G2587,Setup!$B$33:$B$40,0)),0)=1)*(COUNTIF(G2558:I2575,$B2587)+COUNTIF(G2558:I2575,$B2587&amp;" ~*")&gt;0)+(IFERROR(INDEX(Setup!$G$33:$G$40,MATCH(K2587,Setup!$B$33:$B$40,0)),0)=1)*(COUNTIF(K2558:M2575,$B2587)+COUNTIF(K2558:M2575,$B2587&amp;" ~*")&gt;0)+(IFERROR(INDEX(Setup!$G$33:$G$40,MATCH(O2587,Setup!$B$33:$B$40,0)),0)=1)*(COUNTIF(O2558:Q2575,$B2587)+COUNTIF(O2558:Q2575,$B2587&amp;" ~*")&gt;0)+(IFERROR(INDEX(Setup!$G$33:$G$40,MATCH(S2587,Setup!$B$33:$B$40,0)),0)=1)*(COUNTIF(S2558:U2575,$B2587)+COUNTIF(S2558:U2575,$B2587&amp;" ~*")&gt;0)+(IFERROR(INDEX(Setup!$G$33:$G$40,MATCH(W2587,Setup!$B$33:$B$40,0)),0)=1)*(COUNTIF(W2558:W2575,$B2587)+COUNTIF(W2558:W2575,$B2587&amp;" ~*")&gt;0)+(IFERROR(INDEX(Setup!$G$33:$G$40,MATCH(Y2587,Setup!$B$33:$B$40,0)),0)=1)*(COUNTIF(Y2558:Y2575,$B2587)+COUNTIF(Y2558:Y2575,$B2587&amp;" ~*")&gt;0))</f>
        <v/>
      </c>
    </row>
    <row r="2588" ht="15" customHeight="1">
      <c r="A2588" t="n">
        <v>52</v>
      </c>
      <c r="B2588" s="37">
        <f>IF(Setup!$B$17="","",Setup!$B$17)</f>
        <v/>
      </c>
      <c r="C2588" s="102" t="n"/>
      <c r="D2588" s="103" t="n"/>
      <c r="E2588" s="103" t="n"/>
      <c r="F2588" s="104" t="n"/>
      <c r="G2588" s="102" t="n"/>
      <c r="H2588" s="103" t="n"/>
      <c r="I2588" s="103" t="n"/>
      <c r="J2588" s="104" t="n"/>
      <c r="K2588" s="102" t="n"/>
      <c r="L2588" s="103" t="n"/>
      <c r="M2588" s="103" t="n"/>
      <c r="N2588" s="104" t="n"/>
      <c r="O2588" s="102" t="n"/>
      <c r="P2588" s="103" t="n"/>
      <c r="Q2588" s="103" t="n"/>
      <c r="R2588" s="104" t="n"/>
      <c r="S2588" s="102" t="n"/>
      <c r="T2588" s="103" t="n"/>
      <c r="U2588" s="103" t="n"/>
      <c r="V2588" s="104" t="n"/>
      <c r="W2588" s="102" t="n"/>
      <c r="X2588" s="104" t="n"/>
      <c r="Y2588" s="102" t="n"/>
      <c r="Z2588" s="104" t="n"/>
      <c r="AB2588" s="105">
        <f>IF($B2588="","",(COUNTIF(C2558:E2575,$B2588)+COUNTIF(C2558:E2575,$B2588&amp;" ~*")&gt;0)+(COUNTIF(G2558:I2575,$B2588)+COUNTIF(G2558:I2575,$B2588&amp;" ~*")&gt;0)+(COUNTIF(K2558:M2575,$B2588)+COUNTIF(K2558:M2575,$B2588&amp;" ~*")&gt;0)+(COUNTIF(O2558:Q2575,$B2588)+COUNTIF(O2558:Q2575,$B2588&amp;" ~*")&gt;0)+(COUNTIF(S2558:U2575,$B2588)+COUNTIF(S2558:U2575,$B2588&amp;" ~*")&gt;0)+(COUNTIF(W2558:W2575,$B2588)+COUNTIF(W2558:W2575,$B2588&amp;" ~*")&gt;0)+(COUNTIF(Y2558:Y2575,$B2588)+COUNTIF(Y2558:Y2575,$B2588&amp;" ~*")&gt;0))</f>
        <v/>
      </c>
      <c r="AC2588" s="38">
        <f>IF($B2588="","",(IFERROR(INDEX(Setup!$G$33:$G$40,MATCH(C2588,Setup!$B$33:$B$40,0)),0)=1)*(COUNTIF(C2558:E2575,$B2588)+COUNTIF(C2558:E2575,$B2588&amp;" ~*")&gt;0)+(IFERROR(INDEX(Setup!$G$33:$G$40,MATCH(G2588,Setup!$B$33:$B$40,0)),0)=1)*(COUNTIF(G2558:I2575,$B2588)+COUNTIF(G2558:I2575,$B2588&amp;" ~*")&gt;0)+(IFERROR(INDEX(Setup!$G$33:$G$40,MATCH(K2588,Setup!$B$33:$B$40,0)),0)=1)*(COUNTIF(K2558:M2575,$B2588)+COUNTIF(K2558:M2575,$B2588&amp;" ~*")&gt;0)+(IFERROR(INDEX(Setup!$G$33:$G$40,MATCH(O2588,Setup!$B$33:$B$40,0)),0)=1)*(COUNTIF(O2558:Q2575,$B2588)+COUNTIF(O2558:Q2575,$B2588&amp;" ~*")&gt;0)+(IFERROR(INDEX(Setup!$G$33:$G$40,MATCH(S2588,Setup!$B$33:$B$40,0)),0)=1)*(COUNTIF(S2558:U2575,$B2588)+COUNTIF(S2558:U2575,$B2588&amp;" ~*")&gt;0)+(IFERROR(INDEX(Setup!$G$33:$G$40,MATCH(W2588,Setup!$B$33:$B$40,0)),0)=1)*(COUNTIF(W2558:W2575,$B2588)+COUNTIF(W2558:W2575,$B2588&amp;" ~*")&gt;0)+(IFERROR(INDEX(Setup!$G$33:$G$40,MATCH(Y2588,Setup!$B$33:$B$40,0)),0)=1)*(COUNTIF(Y2558:Y2575,$B2588)+COUNTIF(Y2558:Y2575,$B2588&amp;" ~*")&gt;0))</f>
        <v/>
      </c>
    </row>
    <row r="2589" ht="15" customHeight="1">
      <c r="A2589" t="n">
        <v>52</v>
      </c>
      <c r="B2589" s="35">
        <f>IF(Setup!$B$18="","",Setup!$B$18)</f>
        <v/>
      </c>
      <c r="C2589" s="98" t="n"/>
      <c r="D2589" s="99" t="n"/>
      <c r="E2589" s="99" t="n"/>
      <c r="F2589" s="100" t="n"/>
      <c r="G2589" s="98" t="n"/>
      <c r="H2589" s="99" t="n"/>
      <c r="I2589" s="99" t="n"/>
      <c r="J2589" s="100" t="n"/>
      <c r="K2589" s="98" t="n"/>
      <c r="L2589" s="99" t="n"/>
      <c r="M2589" s="99" t="n"/>
      <c r="N2589" s="100" t="n"/>
      <c r="O2589" s="98" t="n"/>
      <c r="P2589" s="99" t="n"/>
      <c r="Q2589" s="99" t="n"/>
      <c r="R2589" s="100" t="n"/>
      <c r="S2589" s="98" t="n"/>
      <c r="T2589" s="99" t="n"/>
      <c r="U2589" s="99" t="n"/>
      <c r="V2589" s="100" t="n"/>
      <c r="W2589" s="98" t="n"/>
      <c r="X2589" s="100" t="n"/>
      <c r="Y2589" s="98" t="n"/>
      <c r="Z2589" s="100" t="n"/>
      <c r="AB2589" s="101">
        <f>IF($B2589="","",(COUNTIF(C2558:E2575,$B2589)+COUNTIF(C2558:E2575,$B2589&amp;" ~*")&gt;0)+(COUNTIF(G2558:I2575,$B2589)+COUNTIF(G2558:I2575,$B2589&amp;" ~*")&gt;0)+(COUNTIF(K2558:M2575,$B2589)+COUNTIF(K2558:M2575,$B2589&amp;" ~*")&gt;0)+(COUNTIF(O2558:Q2575,$B2589)+COUNTIF(O2558:Q2575,$B2589&amp;" ~*")&gt;0)+(COUNTIF(S2558:U2575,$B2589)+COUNTIF(S2558:U2575,$B2589&amp;" ~*")&gt;0)+(COUNTIF(W2558:W2575,$B2589)+COUNTIF(W2558:W2575,$B2589&amp;" ~*")&gt;0)+(COUNTIF(Y2558:Y2575,$B2589)+COUNTIF(Y2558:Y2575,$B2589&amp;" ~*")&gt;0))</f>
        <v/>
      </c>
      <c r="AC2589" s="36">
        <f>IF($B2589="","",(IFERROR(INDEX(Setup!$G$33:$G$40,MATCH(C2589,Setup!$B$33:$B$40,0)),0)=1)*(COUNTIF(C2558:E2575,$B2589)+COUNTIF(C2558:E2575,$B2589&amp;" ~*")&gt;0)+(IFERROR(INDEX(Setup!$G$33:$G$40,MATCH(G2589,Setup!$B$33:$B$40,0)),0)=1)*(COUNTIF(G2558:I2575,$B2589)+COUNTIF(G2558:I2575,$B2589&amp;" ~*")&gt;0)+(IFERROR(INDEX(Setup!$G$33:$G$40,MATCH(K2589,Setup!$B$33:$B$40,0)),0)=1)*(COUNTIF(K2558:M2575,$B2589)+COUNTIF(K2558:M2575,$B2589&amp;" ~*")&gt;0)+(IFERROR(INDEX(Setup!$G$33:$G$40,MATCH(O2589,Setup!$B$33:$B$40,0)),0)=1)*(COUNTIF(O2558:Q2575,$B2589)+COUNTIF(O2558:Q2575,$B2589&amp;" ~*")&gt;0)+(IFERROR(INDEX(Setup!$G$33:$G$40,MATCH(S2589,Setup!$B$33:$B$40,0)),0)=1)*(COUNTIF(S2558:U2575,$B2589)+COUNTIF(S2558:U2575,$B2589&amp;" ~*")&gt;0)+(IFERROR(INDEX(Setup!$G$33:$G$40,MATCH(W2589,Setup!$B$33:$B$40,0)),0)=1)*(COUNTIF(W2558:W2575,$B2589)+COUNTIF(W2558:W2575,$B2589&amp;" ~*")&gt;0)+(IFERROR(INDEX(Setup!$G$33:$G$40,MATCH(Y2589,Setup!$B$33:$B$40,0)),0)=1)*(COUNTIF(Y2558:Y2575,$B2589)+COUNTIF(Y2558:Y2575,$B2589&amp;" ~*")&gt;0))</f>
        <v/>
      </c>
    </row>
    <row r="2590" ht="15" customHeight="1">
      <c r="A2590" t="n">
        <v>52</v>
      </c>
      <c r="B2590" s="37">
        <f>IF(Setup!$B$19="","",Setup!$B$19)</f>
        <v/>
      </c>
      <c r="C2590" s="102" t="n"/>
      <c r="D2590" s="103" t="n"/>
      <c r="E2590" s="103" t="n"/>
      <c r="F2590" s="104" t="n"/>
      <c r="G2590" s="102" t="n"/>
      <c r="H2590" s="103" t="n"/>
      <c r="I2590" s="103" t="n"/>
      <c r="J2590" s="104" t="n"/>
      <c r="K2590" s="102" t="n"/>
      <c r="L2590" s="103" t="n"/>
      <c r="M2590" s="103" t="n"/>
      <c r="N2590" s="104" t="n"/>
      <c r="O2590" s="102" t="n"/>
      <c r="P2590" s="103" t="n"/>
      <c r="Q2590" s="103" t="n"/>
      <c r="R2590" s="104" t="n"/>
      <c r="S2590" s="102" t="n"/>
      <c r="T2590" s="103" t="n"/>
      <c r="U2590" s="103" t="n"/>
      <c r="V2590" s="104" t="n"/>
      <c r="W2590" s="102" t="n"/>
      <c r="X2590" s="104" t="n"/>
      <c r="Y2590" s="102" t="n"/>
      <c r="Z2590" s="104" t="n"/>
      <c r="AB2590" s="105">
        <f>IF($B2590="","",(COUNTIF(C2558:E2575,$B2590)+COUNTIF(C2558:E2575,$B2590&amp;" ~*")&gt;0)+(COUNTIF(G2558:I2575,$B2590)+COUNTIF(G2558:I2575,$B2590&amp;" ~*")&gt;0)+(COUNTIF(K2558:M2575,$B2590)+COUNTIF(K2558:M2575,$B2590&amp;" ~*")&gt;0)+(COUNTIF(O2558:Q2575,$B2590)+COUNTIF(O2558:Q2575,$B2590&amp;" ~*")&gt;0)+(COUNTIF(S2558:U2575,$B2590)+COUNTIF(S2558:U2575,$B2590&amp;" ~*")&gt;0)+(COUNTIF(W2558:W2575,$B2590)+COUNTIF(W2558:W2575,$B2590&amp;" ~*")&gt;0)+(COUNTIF(Y2558:Y2575,$B2590)+COUNTIF(Y2558:Y2575,$B2590&amp;" ~*")&gt;0))</f>
        <v/>
      </c>
      <c r="AC2590" s="38">
        <f>IF($B2590="","",(IFERROR(INDEX(Setup!$G$33:$G$40,MATCH(C2590,Setup!$B$33:$B$40,0)),0)=1)*(COUNTIF(C2558:E2575,$B2590)+COUNTIF(C2558:E2575,$B2590&amp;" ~*")&gt;0)+(IFERROR(INDEX(Setup!$G$33:$G$40,MATCH(G2590,Setup!$B$33:$B$40,0)),0)=1)*(COUNTIF(G2558:I2575,$B2590)+COUNTIF(G2558:I2575,$B2590&amp;" ~*")&gt;0)+(IFERROR(INDEX(Setup!$G$33:$G$40,MATCH(K2590,Setup!$B$33:$B$40,0)),0)=1)*(COUNTIF(K2558:M2575,$B2590)+COUNTIF(K2558:M2575,$B2590&amp;" ~*")&gt;0)+(IFERROR(INDEX(Setup!$G$33:$G$40,MATCH(O2590,Setup!$B$33:$B$40,0)),0)=1)*(COUNTIF(O2558:Q2575,$B2590)+COUNTIF(O2558:Q2575,$B2590&amp;" ~*")&gt;0)+(IFERROR(INDEX(Setup!$G$33:$G$40,MATCH(S2590,Setup!$B$33:$B$40,0)),0)=1)*(COUNTIF(S2558:U2575,$B2590)+COUNTIF(S2558:U2575,$B2590&amp;" ~*")&gt;0)+(IFERROR(INDEX(Setup!$G$33:$G$40,MATCH(W2590,Setup!$B$33:$B$40,0)),0)=1)*(COUNTIF(W2558:W2575,$B2590)+COUNTIF(W2558:W2575,$B2590&amp;" ~*")&gt;0)+(IFERROR(INDEX(Setup!$G$33:$G$40,MATCH(Y2590,Setup!$B$33:$B$40,0)),0)=1)*(COUNTIF(Y2558:Y2575,$B2590)+COUNTIF(Y2558:Y2575,$B2590&amp;" ~*")&gt;0))</f>
        <v/>
      </c>
    </row>
    <row r="2591" ht="15" customHeight="1">
      <c r="A2591" t="n">
        <v>52</v>
      </c>
      <c r="B2591" s="35">
        <f>IF(Setup!$B$20="","",Setup!$B$20)</f>
        <v/>
      </c>
      <c r="C2591" s="98" t="n"/>
      <c r="D2591" s="99" t="n"/>
      <c r="E2591" s="99" t="n"/>
      <c r="F2591" s="100" t="n"/>
      <c r="G2591" s="98" t="n"/>
      <c r="H2591" s="99" t="n"/>
      <c r="I2591" s="99" t="n"/>
      <c r="J2591" s="100" t="n"/>
      <c r="K2591" s="98" t="n"/>
      <c r="L2591" s="99" t="n"/>
      <c r="M2591" s="99" t="n"/>
      <c r="N2591" s="100" t="n"/>
      <c r="O2591" s="98" t="n"/>
      <c r="P2591" s="99" t="n"/>
      <c r="Q2591" s="99" t="n"/>
      <c r="R2591" s="100" t="n"/>
      <c r="S2591" s="98" t="n"/>
      <c r="T2591" s="99" t="n"/>
      <c r="U2591" s="99" t="n"/>
      <c r="V2591" s="100" t="n"/>
      <c r="W2591" s="98" t="n"/>
      <c r="X2591" s="100" t="n"/>
      <c r="Y2591" s="98" t="n"/>
      <c r="Z2591" s="100" t="n"/>
      <c r="AB2591" s="101">
        <f>IF($B2591="","",(COUNTIF(C2558:E2575,$B2591)+COUNTIF(C2558:E2575,$B2591&amp;" ~*")&gt;0)+(COUNTIF(G2558:I2575,$B2591)+COUNTIF(G2558:I2575,$B2591&amp;" ~*")&gt;0)+(COUNTIF(K2558:M2575,$B2591)+COUNTIF(K2558:M2575,$B2591&amp;" ~*")&gt;0)+(COUNTIF(O2558:Q2575,$B2591)+COUNTIF(O2558:Q2575,$B2591&amp;" ~*")&gt;0)+(COUNTIF(S2558:U2575,$B2591)+COUNTIF(S2558:U2575,$B2591&amp;" ~*")&gt;0)+(COUNTIF(W2558:W2575,$B2591)+COUNTIF(W2558:W2575,$B2591&amp;" ~*")&gt;0)+(COUNTIF(Y2558:Y2575,$B2591)+COUNTIF(Y2558:Y2575,$B2591&amp;" ~*")&gt;0))</f>
        <v/>
      </c>
      <c r="AC2591" s="36">
        <f>IF($B2591="","",(IFERROR(INDEX(Setup!$G$33:$G$40,MATCH(C2591,Setup!$B$33:$B$40,0)),0)=1)*(COUNTIF(C2558:E2575,$B2591)+COUNTIF(C2558:E2575,$B2591&amp;" ~*")&gt;0)+(IFERROR(INDEX(Setup!$G$33:$G$40,MATCH(G2591,Setup!$B$33:$B$40,0)),0)=1)*(COUNTIF(G2558:I2575,$B2591)+COUNTIF(G2558:I2575,$B2591&amp;" ~*")&gt;0)+(IFERROR(INDEX(Setup!$G$33:$G$40,MATCH(K2591,Setup!$B$33:$B$40,0)),0)=1)*(COUNTIF(K2558:M2575,$B2591)+COUNTIF(K2558:M2575,$B2591&amp;" ~*")&gt;0)+(IFERROR(INDEX(Setup!$G$33:$G$40,MATCH(O2591,Setup!$B$33:$B$40,0)),0)=1)*(COUNTIF(O2558:Q2575,$B2591)+COUNTIF(O2558:Q2575,$B2591&amp;" ~*")&gt;0)+(IFERROR(INDEX(Setup!$G$33:$G$40,MATCH(S2591,Setup!$B$33:$B$40,0)),0)=1)*(COUNTIF(S2558:U2575,$B2591)+COUNTIF(S2558:U2575,$B2591&amp;" ~*")&gt;0)+(IFERROR(INDEX(Setup!$G$33:$G$40,MATCH(W2591,Setup!$B$33:$B$40,0)),0)=1)*(COUNTIF(W2558:W2575,$B2591)+COUNTIF(W2558:W2575,$B2591&amp;" ~*")&gt;0)+(IFERROR(INDEX(Setup!$G$33:$G$40,MATCH(Y2591,Setup!$B$33:$B$40,0)),0)=1)*(COUNTIF(Y2558:Y2575,$B2591)+COUNTIF(Y2558:Y2575,$B2591&amp;" ~*")&gt;0))</f>
        <v/>
      </c>
    </row>
    <row r="2592" ht="15" customHeight="1">
      <c r="A2592" t="n">
        <v>52</v>
      </c>
      <c r="B2592" s="37">
        <f>IF(Setup!$B$21="","",Setup!$B$21)</f>
        <v/>
      </c>
      <c r="C2592" s="102" t="n"/>
      <c r="D2592" s="103" t="n"/>
      <c r="E2592" s="103" t="n"/>
      <c r="F2592" s="104" t="n"/>
      <c r="G2592" s="102" t="n"/>
      <c r="H2592" s="103" t="n"/>
      <c r="I2592" s="103" t="n"/>
      <c r="J2592" s="104" t="n"/>
      <c r="K2592" s="102" t="inlineStr">
        <is>
          <t>AL</t>
        </is>
      </c>
      <c r="L2592" s="103" t="n"/>
      <c r="M2592" s="103" t="n"/>
      <c r="N2592" s="104" t="n"/>
      <c r="O2592" s="102" t="inlineStr">
        <is>
          <t>AL</t>
        </is>
      </c>
      <c r="P2592" s="103" t="n"/>
      <c r="Q2592" s="103" t="n"/>
      <c r="R2592" s="104" t="n"/>
      <c r="S2592" s="102" t="inlineStr">
        <is>
          <t>AL</t>
        </is>
      </c>
      <c r="T2592" s="103" t="n"/>
      <c r="U2592" s="103" t="n"/>
      <c r="V2592" s="104" t="n"/>
      <c r="W2592" s="102" t="n"/>
      <c r="X2592" s="104" t="n"/>
      <c r="Y2592" s="102" t="n"/>
      <c r="Z2592" s="104" t="n"/>
      <c r="AB2592" s="105">
        <f>IF($B2592="","",(COUNTIF(C2558:E2575,$B2592)+COUNTIF(C2558:E2575,$B2592&amp;" ~*")&gt;0)+(COUNTIF(G2558:I2575,$B2592)+COUNTIF(G2558:I2575,$B2592&amp;" ~*")&gt;0)+(COUNTIF(K2558:M2575,$B2592)+COUNTIF(K2558:M2575,$B2592&amp;" ~*")&gt;0)+(COUNTIF(O2558:Q2575,$B2592)+COUNTIF(O2558:Q2575,$B2592&amp;" ~*")&gt;0)+(COUNTIF(S2558:U2575,$B2592)+COUNTIF(S2558:U2575,$B2592&amp;" ~*")&gt;0)+(COUNTIF(W2558:W2575,$B2592)+COUNTIF(W2558:W2575,$B2592&amp;" ~*")&gt;0)+(COUNTIF(Y2558:Y2575,$B2592)+COUNTIF(Y2558:Y2575,$B2592&amp;" ~*")&gt;0))</f>
        <v/>
      </c>
      <c r="AC2592" s="38">
        <f>IF($B2592="","",(IFERROR(INDEX(Setup!$G$33:$G$40,MATCH(C2592,Setup!$B$33:$B$40,0)),0)=1)*(COUNTIF(C2558:E2575,$B2592)+COUNTIF(C2558:E2575,$B2592&amp;" ~*")&gt;0)+(IFERROR(INDEX(Setup!$G$33:$G$40,MATCH(G2592,Setup!$B$33:$B$40,0)),0)=1)*(COUNTIF(G2558:I2575,$B2592)+COUNTIF(G2558:I2575,$B2592&amp;" ~*")&gt;0)+(IFERROR(INDEX(Setup!$G$33:$G$40,MATCH(K2592,Setup!$B$33:$B$40,0)),0)=1)*(COUNTIF(K2558:M2575,$B2592)+COUNTIF(K2558:M2575,$B2592&amp;" ~*")&gt;0)+(IFERROR(INDEX(Setup!$G$33:$G$40,MATCH(O2592,Setup!$B$33:$B$40,0)),0)=1)*(COUNTIF(O2558:Q2575,$B2592)+COUNTIF(O2558:Q2575,$B2592&amp;" ~*")&gt;0)+(IFERROR(INDEX(Setup!$G$33:$G$40,MATCH(S2592,Setup!$B$33:$B$40,0)),0)=1)*(COUNTIF(S2558:U2575,$B2592)+COUNTIF(S2558:U2575,$B2592&amp;" ~*")&gt;0)+(IFERROR(INDEX(Setup!$G$33:$G$40,MATCH(W2592,Setup!$B$33:$B$40,0)),0)=1)*(COUNTIF(W2558:W2575,$B2592)+COUNTIF(W2558:W2575,$B2592&amp;" ~*")&gt;0)+(IFERROR(INDEX(Setup!$G$33:$G$40,MATCH(Y2592,Setup!$B$33:$B$40,0)),0)=1)*(COUNTIF(Y2558:Y2575,$B2592)+COUNTIF(Y2558:Y2575,$B2592&amp;" ~*")&gt;0))</f>
        <v/>
      </c>
    </row>
    <row r="2593" ht="15" customHeight="1">
      <c r="A2593" t="n">
        <v>52</v>
      </c>
      <c r="B2593" s="35">
        <f>IF(Setup!$B$22="","",Setup!$B$22)</f>
        <v/>
      </c>
      <c r="C2593" s="98" t="n"/>
      <c r="D2593" s="99" t="n"/>
      <c r="E2593" s="99" t="n"/>
      <c r="F2593" s="100" t="n"/>
      <c r="G2593" s="98" t="n"/>
      <c r="H2593" s="99" t="n"/>
      <c r="I2593" s="99" t="n"/>
      <c r="J2593" s="100" t="n"/>
      <c r="K2593" s="98" t="n"/>
      <c r="L2593" s="99" t="n"/>
      <c r="M2593" s="99" t="n"/>
      <c r="N2593" s="100" t="n"/>
      <c r="O2593" s="98" t="n"/>
      <c r="P2593" s="99" t="n"/>
      <c r="Q2593" s="99" t="n"/>
      <c r="R2593" s="100" t="n"/>
      <c r="S2593" s="98" t="n"/>
      <c r="T2593" s="99" t="n"/>
      <c r="U2593" s="99" t="n"/>
      <c r="V2593" s="100" t="n"/>
      <c r="W2593" s="98" t="n"/>
      <c r="X2593" s="100" t="n"/>
      <c r="Y2593" s="98" t="n"/>
      <c r="Z2593" s="100" t="n"/>
      <c r="AB2593" s="101">
        <f>IF($B2593="","",(COUNTIF(C2558:E2575,$B2593)+COUNTIF(C2558:E2575,$B2593&amp;" ~*")&gt;0)+(COUNTIF(G2558:I2575,$B2593)+COUNTIF(G2558:I2575,$B2593&amp;" ~*")&gt;0)+(COUNTIF(K2558:M2575,$B2593)+COUNTIF(K2558:M2575,$B2593&amp;" ~*")&gt;0)+(COUNTIF(O2558:Q2575,$B2593)+COUNTIF(O2558:Q2575,$B2593&amp;" ~*")&gt;0)+(COUNTIF(S2558:U2575,$B2593)+COUNTIF(S2558:U2575,$B2593&amp;" ~*")&gt;0)+(COUNTIF(W2558:W2575,$B2593)+COUNTIF(W2558:W2575,$B2593&amp;" ~*")&gt;0)+(COUNTIF(Y2558:Y2575,$B2593)+COUNTIF(Y2558:Y2575,$B2593&amp;" ~*")&gt;0))</f>
        <v/>
      </c>
      <c r="AC2593" s="36">
        <f>IF($B2593="","",(IFERROR(INDEX(Setup!$G$33:$G$40,MATCH(C2593,Setup!$B$33:$B$40,0)),0)=1)*(COUNTIF(C2558:E2575,$B2593)+COUNTIF(C2558:E2575,$B2593&amp;" ~*")&gt;0)+(IFERROR(INDEX(Setup!$G$33:$G$40,MATCH(G2593,Setup!$B$33:$B$40,0)),0)=1)*(COUNTIF(G2558:I2575,$B2593)+COUNTIF(G2558:I2575,$B2593&amp;" ~*")&gt;0)+(IFERROR(INDEX(Setup!$G$33:$G$40,MATCH(K2593,Setup!$B$33:$B$40,0)),0)=1)*(COUNTIF(K2558:M2575,$B2593)+COUNTIF(K2558:M2575,$B2593&amp;" ~*")&gt;0)+(IFERROR(INDEX(Setup!$G$33:$G$40,MATCH(O2593,Setup!$B$33:$B$40,0)),0)=1)*(COUNTIF(O2558:Q2575,$B2593)+COUNTIF(O2558:Q2575,$B2593&amp;" ~*")&gt;0)+(IFERROR(INDEX(Setup!$G$33:$G$40,MATCH(S2593,Setup!$B$33:$B$40,0)),0)=1)*(COUNTIF(S2558:U2575,$B2593)+COUNTIF(S2558:U2575,$B2593&amp;" ~*")&gt;0)+(IFERROR(INDEX(Setup!$G$33:$G$40,MATCH(W2593,Setup!$B$33:$B$40,0)),0)=1)*(COUNTIF(W2558:W2575,$B2593)+COUNTIF(W2558:W2575,$B2593&amp;" ~*")&gt;0)+(IFERROR(INDEX(Setup!$G$33:$G$40,MATCH(Y2593,Setup!$B$33:$B$40,0)),0)=1)*(COUNTIF(Y2558:Y2575,$B2593)+COUNTIF(Y2558:Y2575,$B2593&amp;" ~*")&gt;0))</f>
        <v/>
      </c>
    </row>
    <row r="2594" ht="15" customHeight="1">
      <c r="A2594" t="n">
        <v>52</v>
      </c>
      <c r="B2594" s="37">
        <f>IF(Setup!$B$23="","",Setup!$B$23)</f>
        <v/>
      </c>
      <c r="C2594" s="102" t="n"/>
      <c r="D2594" s="103" t="n"/>
      <c r="E2594" s="103" t="n"/>
      <c r="F2594" s="104" t="n"/>
      <c r="G2594" s="102" t="n"/>
      <c r="H2594" s="103" t="n"/>
      <c r="I2594" s="103" t="n"/>
      <c r="J2594" s="104" t="n"/>
      <c r="K2594" s="102" t="n"/>
      <c r="L2594" s="103" t="n"/>
      <c r="M2594" s="103" t="n"/>
      <c r="N2594" s="104" t="n"/>
      <c r="O2594" s="102" t="n"/>
      <c r="P2594" s="103" t="n"/>
      <c r="Q2594" s="103" t="n"/>
      <c r="R2594" s="104" t="n"/>
      <c r="S2594" s="102" t="n"/>
      <c r="T2594" s="103" t="n"/>
      <c r="U2594" s="103" t="n"/>
      <c r="V2594" s="104" t="n"/>
      <c r="W2594" s="102" t="n"/>
      <c r="X2594" s="104" t="n"/>
      <c r="Y2594" s="102" t="n"/>
      <c r="Z2594" s="104" t="n"/>
      <c r="AB2594" s="105">
        <f>IF($B2594="","",(COUNTIF(C2558:E2575,$B2594)+COUNTIF(C2558:E2575,$B2594&amp;" ~*")&gt;0)+(COUNTIF(G2558:I2575,$B2594)+COUNTIF(G2558:I2575,$B2594&amp;" ~*")&gt;0)+(COUNTIF(K2558:M2575,$B2594)+COUNTIF(K2558:M2575,$B2594&amp;" ~*")&gt;0)+(COUNTIF(O2558:Q2575,$B2594)+COUNTIF(O2558:Q2575,$B2594&amp;" ~*")&gt;0)+(COUNTIF(S2558:U2575,$B2594)+COUNTIF(S2558:U2575,$B2594&amp;" ~*")&gt;0)+(COUNTIF(W2558:W2575,$B2594)+COUNTIF(W2558:W2575,$B2594&amp;" ~*")&gt;0)+(COUNTIF(Y2558:Y2575,$B2594)+COUNTIF(Y2558:Y2575,$B2594&amp;" ~*")&gt;0))</f>
        <v/>
      </c>
      <c r="AC2594" s="38">
        <f>IF($B2594="","",(IFERROR(INDEX(Setup!$G$33:$G$40,MATCH(C2594,Setup!$B$33:$B$40,0)),0)=1)*(COUNTIF(C2558:E2575,$B2594)+COUNTIF(C2558:E2575,$B2594&amp;" ~*")&gt;0)+(IFERROR(INDEX(Setup!$G$33:$G$40,MATCH(G2594,Setup!$B$33:$B$40,0)),0)=1)*(COUNTIF(G2558:I2575,$B2594)+COUNTIF(G2558:I2575,$B2594&amp;" ~*")&gt;0)+(IFERROR(INDEX(Setup!$G$33:$G$40,MATCH(K2594,Setup!$B$33:$B$40,0)),0)=1)*(COUNTIF(K2558:M2575,$B2594)+COUNTIF(K2558:M2575,$B2594&amp;" ~*")&gt;0)+(IFERROR(INDEX(Setup!$G$33:$G$40,MATCH(O2594,Setup!$B$33:$B$40,0)),0)=1)*(COUNTIF(O2558:Q2575,$B2594)+COUNTIF(O2558:Q2575,$B2594&amp;" ~*")&gt;0)+(IFERROR(INDEX(Setup!$G$33:$G$40,MATCH(S2594,Setup!$B$33:$B$40,0)),0)=1)*(COUNTIF(S2558:U2575,$B2594)+COUNTIF(S2558:U2575,$B2594&amp;" ~*")&gt;0)+(IFERROR(INDEX(Setup!$G$33:$G$40,MATCH(W2594,Setup!$B$33:$B$40,0)),0)=1)*(COUNTIF(W2558:W2575,$B2594)+COUNTIF(W2558:W2575,$B2594&amp;" ~*")&gt;0)+(IFERROR(INDEX(Setup!$G$33:$G$40,MATCH(Y2594,Setup!$B$33:$B$40,0)),0)=1)*(COUNTIF(Y2558:Y2575,$B2594)+COUNTIF(Y2558:Y2575,$B2594&amp;" ~*")&gt;0))</f>
        <v/>
      </c>
    </row>
    <row r="2595" ht="15" customHeight="1">
      <c r="A2595" t="n">
        <v>52</v>
      </c>
      <c r="B2595" s="35">
        <f>IF(Setup!$B$24="","",Setup!$B$24)</f>
        <v/>
      </c>
      <c r="C2595" s="98" t="n"/>
      <c r="D2595" s="99" t="n"/>
      <c r="E2595" s="99" t="n"/>
      <c r="F2595" s="100" t="n"/>
      <c r="G2595" s="98" t="n"/>
      <c r="H2595" s="99" t="n"/>
      <c r="I2595" s="99" t="n"/>
      <c r="J2595" s="100" t="n"/>
      <c r="K2595" s="98" t="n"/>
      <c r="L2595" s="99" t="n"/>
      <c r="M2595" s="99" t="n"/>
      <c r="N2595" s="100" t="n"/>
      <c r="O2595" s="98" t="n"/>
      <c r="P2595" s="99" t="n"/>
      <c r="Q2595" s="99" t="n"/>
      <c r="R2595" s="100" t="n"/>
      <c r="S2595" s="98" t="n"/>
      <c r="T2595" s="99" t="n"/>
      <c r="U2595" s="99" t="n"/>
      <c r="V2595" s="100" t="n"/>
      <c r="W2595" s="98" t="n"/>
      <c r="X2595" s="100" t="n"/>
      <c r="Y2595" s="98" t="n"/>
      <c r="Z2595" s="100" t="n"/>
      <c r="AB2595" s="101">
        <f>IF($B2595="","",(COUNTIF(C2558:E2575,$B2595)+COUNTIF(C2558:E2575,$B2595&amp;" ~*")&gt;0)+(COUNTIF(G2558:I2575,$B2595)+COUNTIF(G2558:I2575,$B2595&amp;" ~*")&gt;0)+(COUNTIF(K2558:M2575,$B2595)+COUNTIF(K2558:M2575,$B2595&amp;" ~*")&gt;0)+(COUNTIF(O2558:Q2575,$B2595)+COUNTIF(O2558:Q2575,$B2595&amp;" ~*")&gt;0)+(COUNTIF(S2558:U2575,$B2595)+COUNTIF(S2558:U2575,$B2595&amp;" ~*")&gt;0)+(COUNTIF(W2558:W2575,$B2595)+COUNTIF(W2558:W2575,$B2595&amp;" ~*")&gt;0)+(COUNTIF(Y2558:Y2575,$B2595)+COUNTIF(Y2558:Y2575,$B2595&amp;" ~*")&gt;0))</f>
        <v/>
      </c>
      <c r="AC2595" s="36">
        <f>IF($B2595="","",(IFERROR(INDEX(Setup!$G$33:$G$40,MATCH(C2595,Setup!$B$33:$B$40,0)),0)=1)*(COUNTIF(C2558:E2575,$B2595)+COUNTIF(C2558:E2575,$B2595&amp;" ~*")&gt;0)+(IFERROR(INDEX(Setup!$G$33:$G$40,MATCH(G2595,Setup!$B$33:$B$40,0)),0)=1)*(COUNTIF(G2558:I2575,$B2595)+COUNTIF(G2558:I2575,$B2595&amp;" ~*")&gt;0)+(IFERROR(INDEX(Setup!$G$33:$G$40,MATCH(K2595,Setup!$B$33:$B$40,0)),0)=1)*(COUNTIF(K2558:M2575,$B2595)+COUNTIF(K2558:M2575,$B2595&amp;" ~*")&gt;0)+(IFERROR(INDEX(Setup!$G$33:$G$40,MATCH(O2595,Setup!$B$33:$B$40,0)),0)=1)*(COUNTIF(O2558:Q2575,$B2595)+COUNTIF(O2558:Q2575,$B2595&amp;" ~*")&gt;0)+(IFERROR(INDEX(Setup!$G$33:$G$40,MATCH(S2595,Setup!$B$33:$B$40,0)),0)=1)*(COUNTIF(S2558:U2575,$B2595)+COUNTIF(S2558:U2575,$B2595&amp;" ~*")&gt;0)+(IFERROR(INDEX(Setup!$G$33:$G$40,MATCH(W2595,Setup!$B$33:$B$40,0)),0)=1)*(COUNTIF(W2558:W2575,$B2595)+COUNTIF(W2558:W2575,$B2595&amp;" ~*")&gt;0)+(IFERROR(INDEX(Setup!$G$33:$G$40,MATCH(Y2595,Setup!$B$33:$B$40,0)),0)=1)*(COUNTIF(Y2558:Y2575,$B2595)+COUNTIF(Y2558:Y2575,$B2595&amp;" ~*")&gt;0))</f>
        <v/>
      </c>
    </row>
    <row r="2596" ht="15" customHeight="1">
      <c r="A2596" t="n">
        <v>52</v>
      </c>
      <c r="B2596" s="37">
        <f>IF(Setup!$B$25="","",Setup!$B$25)</f>
        <v/>
      </c>
      <c r="C2596" s="102" t="n"/>
      <c r="D2596" s="103" t="n"/>
      <c r="E2596" s="103" t="n"/>
      <c r="F2596" s="104" t="n"/>
      <c r="G2596" s="102" t="n"/>
      <c r="H2596" s="103" t="n"/>
      <c r="I2596" s="103" t="n"/>
      <c r="J2596" s="104" t="n"/>
      <c r="K2596" s="102" t="n"/>
      <c r="L2596" s="103" t="n"/>
      <c r="M2596" s="103" t="n"/>
      <c r="N2596" s="104" t="n"/>
      <c r="O2596" s="102" t="n"/>
      <c r="P2596" s="103" t="n"/>
      <c r="Q2596" s="103" t="n"/>
      <c r="R2596" s="104" t="n"/>
      <c r="S2596" s="102" t="n"/>
      <c r="T2596" s="103" t="n"/>
      <c r="U2596" s="103" t="n"/>
      <c r="V2596" s="104" t="n"/>
      <c r="W2596" s="102" t="n"/>
      <c r="X2596" s="104" t="n"/>
      <c r="Y2596" s="102" t="n"/>
      <c r="Z2596" s="104" t="n"/>
      <c r="AB2596" s="105">
        <f>IF($B2596="","",(COUNTIF(C2558:E2575,$B2596)+COUNTIF(C2558:E2575,$B2596&amp;" ~*")&gt;0)+(COUNTIF(G2558:I2575,$B2596)+COUNTIF(G2558:I2575,$B2596&amp;" ~*")&gt;0)+(COUNTIF(K2558:M2575,$B2596)+COUNTIF(K2558:M2575,$B2596&amp;" ~*")&gt;0)+(COUNTIF(O2558:Q2575,$B2596)+COUNTIF(O2558:Q2575,$B2596&amp;" ~*")&gt;0)+(COUNTIF(S2558:U2575,$B2596)+COUNTIF(S2558:U2575,$B2596&amp;" ~*")&gt;0)+(COUNTIF(W2558:W2575,$B2596)+COUNTIF(W2558:W2575,$B2596&amp;" ~*")&gt;0)+(COUNTIF(Y2558:Y2575,$B2596)+COUNTIF(Y2558:Y2575,$B2596&amp;" ~*")&gt;0))</f>
        <v/>
      </c>
      <c r="AC2596" s="38">
        <f>IF($B2596="","",(IFERROR(INDEX(Setup!$G$33:$G$40,MATCH(C2596,Setup!$B$33:$B$40,0)),0)=1)*(COUNTIF(C2558:E2575,$B2596)+COUNTIF(C2558:E2575,$B2596&amp;" ~*")&gt;0)+(IFERROR(INDEX(Setup!$G$33:$G$40,MATCH(G2596,Setup!$B$33:$B$40,0)),0)=1)*(COUNTIF(G2558:I2575,$B2596)+COUNTIF(G2558:I2575,$B2596&amp;" ~*")&gt;0)+(IFERROR(INDEX(Setup!$G$33:$G$40,MATCH(K2596,Setup!$B$33:$B$40,0)),0)=1)*(COUNTIF(K2558:M2575,$B2596)+COUNTIF(K2558:M2575,$B2596&amp;" ~*")&gt;0)+(IFERROR(INDEX(Setup!$G$33:$G$40,MATCH(O2596,Setup!$B$33:$B$40,0)),0)=1)*(COUNTIF(O2558:Q2575,$B2596)+COUNTIF(O2558:Q2575,$B2596&amp;" ~*")&gt;0)+(IFERROR(INDEX(Setup!$G$33:$G$40,MATCH(S2596,Setup!$B$33:$B$40,0)),0)=1)*(COUNTIF(S2558:U2575,$B2596)+COUNTIF(S2558:U2575,$B2596&amp;" ~*")&gt;0)+(IFERROR(INDEX(Setup!$G$33:$G$40,MATCH(W2596,Setup!$B$33:$B$40,0)),0)=1)*(COUNTIF(W2558:W2575,$B2596)+COUNTIF(W2558:W2575,$B2596&amp;" ~*")&gt;0)+(IFERROR(INDEX(Setup!$G$33:$G$40,MATCH(Y2596,Setup!$B$33:$B$40,0)),0)=1)*(COUNTIF(Y2558:Y2575,$B2596)+COUNTIF(Y2558:Y2575,$B2596&amp;" ~*")&gt;0))</f>
        <v/>
      </c>
    </row>
    <row r="2597" ht="15" customHeight="1">
      <c r="A2597" t="n">
        <v>52</v>
      </c>
      <c r="B2597" s="35">
        <f>IF(Setup!$B$26="","",Setup!$B$26)</f>
        <v/>
      </c>
      <c r="C2597" s="98" t="n"/>
      <c r="D2597" s="99" t="n"/>
      <c r="E2597" s="99" t="n"/>
      <c r="F2597" s="100" t="n"/>
      <c r="G2597" s="98" t="n"/>
      <c r="H2597" s="99" t="n"/>
      <c r="I2597" s="99" t="n"/>
      <c r="J2597" s="100" t="n"/>
      <c r="K2597" s="98" t="n"/>
      <c r="L2597" s="99" t="n"/>
      <c r="M2597" s="99" t="n"/>
      <c r="N2597" s="100" t="n"/>
      <c r="O2597" s="98" t="n"/>
      <c r="P2597" s="99" t="n"/>
      <c r="Q2597" s="99" t="n"/>
      <c r="R2597" s="100" t="n"/>
      <c r="S2597" s="98" t="n"/>
      <c r="T2597" s="99" t="n"/>
      <c r="U2597" s="99" t="n"/>
      <c r="V2597" s="100" t="n"/>
      <c r="W2597" s="98" t="n"/>
      <c r="X2597" s="100" t="n"/>
      <c r="Y2597" s="98" t="n"/>
      <c r="Z2597" s="100" t="n"/>
      <c r="AB2597" s="101">
        <f>IF($B2597="","",(COUNTIF(C2558:E2575,$B2597)+COUNTIF(C2558:E2575,$B2597&amp;" ~*")&gt;0)+(COUNTIF(G2558:I2575,$B2597)+COUNTIF(G2558:I2575,$B2597&amp;" ~*")&gt;0)+(COUNTIF(K2558:M2575,$B2597)+COUNTIF(K2558:M2575,$B2597&amp;" ~*")&gt;0)+(COUNTIF(O2558:Q2575,$B2597)+COUNTIF(O2558:Q2575,$B2597&amp;" ~*")&gt;0)+(COUNTIF(S2558:U2575,$B2597)+COUNTIF(S2558:U2575,$B2597&amp;" ~*")&gt;0)+(COUNTIF(W2558:W2575,$B2597)+COUNTIF(W2558:W2575,$B2597&amp;" ~*")&gt;0)+(COUNTIF(Y2558:Y2575,$B2597)+COUNTIF(Y2558:Y2575,$B2597&amp;" ~*")&gt;0))</f>
        <v/>
      </c>
      <c r="AC2597" s="36">
        <f>IF($B2597="","",(IFERROR(INDEX(Setup!$G$33:$G$40,MATCH(C2597,Setup!$B$33:$B$40,0)),0)=1)*(COUNTIF(C2558:E2575,$B2597)+COUNTIF(C2558:E2575,$B2597&amp;" ~*")&gt;0)+(IFERROR(INDEX(Setup!$G$33:$G$40,MATCH(G2597,Setup!$B$33:$B$40,0)),0)=1)*(COUNTIF(G2558:I2575,$B2597)+COUNTIF(G2558:I2575,$B2597&amp;" ~*")&gt;0)+(IFERROR(INDEX(Setup!$G$33:$G$40,MATCH(K2597,Setup!$B$33:$B$40,0)),0)=1)*(COUNTIF(K2558:M2575,$B2597)+COUNTIF(K2558:M2575,$B2597&amp;" ~*")&gt;0)+(IFERROR(INDEX(Setup!$G$33:$G$40,MATCH(O2597,Setup!$B$33:$B$40,0)),0)=1)*(COUNTIF(O2558:Q2575,$B2597)+COUNTIF(O2558:Q2575,$B2597&amp;" ~*")&gt;0)+(IFERROR(INDEX(Setup!$G$33:$G$40,MATCH(S2597,Setup!$B$33:$B$40,0)),0)=1)*(COUNTIF(S2558:U2575,$B2597)+COUNTIF(S2558:U2575,$B2597&amp;" ~*")&gt;0)+(IFERROR(INDEX(Setup!$G$33:$G$40,MATCH(W2597,Setup!$B$33:$B$40,0)),0)=1)*(COUNTIF(W2558:W2575,$B2597)+COUNTIF(W2558:W2575,$B2597&amp;" ~*")&gt;0)+(IFERROR(INDEX(Setup!$G$33:$G$40,MATCH(Y2597,Setup!$B$33:$B$40,0)),0)=1)*(COUNTIF(Y2558:Y2575,$B2597)+COUNTIF(Y2558:Y2575,$B2597&amp;" ~*")&gt;0))</f>
        <v/>
      </c>
    </row>
    <row r="2598" ht="15" customHeight="1">
      <c r="A2598" t="n">
        <v>52</v>
      </c>
      <c r="B2598" s="37">
        <f>IF(Setup!$B$27="","",Setup!$B$27)</f>
        <v/>
      </c>
      <c r="C2598" s="102" t="n"/>
      <c r="D2598" s="103" t="n"/>
      <c r="E2598" s="103" t="n"/>
      <c r="F2598" s="104" t="n"/>
      <c r="G2598" s="102" t="n"/>
      <c r="H2598" s="103" t="n"/>
      <c r="I2598" s="103" t="n"/>
      <c r="J2598" s="104" t="n"/>
      <c r="K2598" s="102" t="n"/>
      <c r="L2598" s="103" t="n"/>
      <c r="M2598" s="103" t="n"/>
      <c r="N2598" s="104" t="n"/>
      <c r="O2598" s="102" t="n"/>
      <c r="P2598" s="103" t="n"/>
      <c r="Q2598" s="103" t="n"/>
      <c r="R2598" s="104" t="n"/>
      <c r="S2598" s="102" t="n"/>
      <c r="T2598" s="103" t="n"/>
      <c r="U2598" s="103" t="n"/>
      <c r="V2598" s="104" t="n"/>
      <c r="W2598" s="102" t="n"/>
      <c r="X2598" s="104" t="n"/>
      <c r="Y2598" s="102" t="n"/>
      <c r="Z2598" s="104" t="n"/>
      <c r="AB2598" s="105">
        <f>IF($B2598="","",(COUNTIF(C2558:E2575,$B2598)+COUNTIF(C2558:E2575,$B2598&amp;" ~*")&gt;0)+(COUNTIF(G2558:I2575,$B2598)+COUNTIF(G2558:I2575,$B2598&amp;" ~*")&gt;0)+(COUNTIF(K2558:M2575,$B2598)+COUNTIF(K2558:M2575,$B2598&amp;" ~*")&gt;0)+(COUNTIF(O2558:Q2575,$B2598)+COUNTIF(O2558:Q2575,$B2598&amp;" ~*")&gt;0)+(COUNTIF(S2558:U2575,$B2598)+COUNTIF(S2558:U2575,$B2598&amp;" ~*")&gt;0)+(COUNTIF(W2558:W2575,$B2598)+COUNTIF(W2558:W2575,$B2598&amp;" ~*")&gt;0)+(COUNTIF(Y2558:Y2575,$B2598)+COUNTIF(Y2558:Y2575,$B2598&amp;" ~*")&gt;0))</f>
        <v/>
      </c>
      <c r="AC2598" s="38">
        <f>IF($B2598="","",(IFERROR(INDEX(Setup!$G$33:$G$40,MATCH(C2598,Setup!$B$33:$B$40,0)),0)=1)*(COUNTIF(C2558:E2575,$B2598)+COUNTIF(C2558:E2575,$B2598&amp;" ~*")&gt;0)+(IFERROR(INDEX(Setup!$G$33:$G$40,MATCH(G2598,Setup!$B$33:$B$40,0)),0)=1)*(COUNTIF(G2558:I2575,$B2598)+COUNTIF(G2558:I2575,$B2598&amp;" ~*")&gt;0)+(IFERROR(INDEX(Setup!$G$33:$G$40,MATCH(K2598,Setup!$B$33:$B$40,0)),0)=1)*(COUNTIF(K2558:M2575,$B2598)+COUNTIF(K2558:M2575,$B2598&amp;" ~*")&gt;0)+(IFERROR(INDEX(Setup!$G$33:$G$40,MATCH(O2598,Setup!$B$33:$B$40,0)),0)=1)*(COUNTIF(O2558:Q2575,$B2598)+COUNTIF(O2558:Q2575,$B2598&amp;" ~*")&gt;0)+(IFERROR(INDEX(Setup!$G$33:$G$40,MATCH(S2598,Setup!$B$33:$B$40,0)),0)=1)*(COUNTIF(S2558:U2575,$B2598)+COUNTIF(S2558:U2575,$B2598&amp;" ~*")&gt;0)+(IFERROR(INDEX(Setup!$G$33:$G$40,MATCH(W2598,Setup!$B$33:$B$40,0)),0)=1)*(COUNTIF(W2558:W2575,$B2598)+COUNTIF(W2558:W2575,$B2598&amp;" ~*")&gt;0)+(IFERROR(INDEX(Setup!$G$33:$G$40,MATCH(Y2598,Setup!$B$33:$B$40,0)),0)=1)*(COUNTIF(Y2558:Y2575,$B2598)+COUNTIF(Y2558:Y2575,$B2598&amp;" ~*")&gt;0))</f>
        <v/>
      </c>
    </row>
    <row r="2599" ht="15" customHeight="1">
      <c r="A2599" t="n">
        <v>52</v>
      </c>
      <c r="B2599" s="35">
        <f>IF(Setup!$B$28="","",Setup!$B$28)</f>
        <v/>
      </c>
      <c r="C2599" s="98" t="n"/>
      <c r="D2599" s="99" t="n"/>
      <c r="E2599" s="99" t="n"/>
      <c r="F2599" s="100" t="n"/>
      <c r="G2599" s="98" t="n"/>
      <c r="H2599" s="99" t="n"/>
      <c r="I2599" s="99" t="n"/>
      <c r="J2599" s="100" t="n"/>
      <c r="K2599" s="98" t="n"/>
      <c r="L2599" s="99" t="n"/>
      <c r="M2599" s="99" t="n"/>
      <c r="N2599" s="100" t="n"/>
      <c r="O2599" s="98" t="n"/>
      <c r="P2599" s="99" t="n"/>
      <c r="Q2599" s="99" t="n"/>
      <c r="R2599" s="100" t="n"/>
      <c r="S2599" s="98" t="n"/>
      <c r="T2599" s="99" t="n"/>
      <c r="U2599" s="99" t="n"/>
      <c r="V2599" s="100" t="n"/>
      <c r="W2599" s="98" t="n"/>
      <c r="X2599" s="100" t="n"/>
      <c r="Y2599" s="98" t="n"/>
      <c r="Z2599" s="100" t="n"/>
      <c r="AB2599" s="101">
        <f>IF($B2599="","",(COUNTIF(C2558:E2575,$B2599)+COUNTIF(C2558:E2575,$B2599&amp;" ~*")&gt;0)+(COUNTIF(G2558:I2575,$B2599)+COUNTIF(G2558:I2575,$B2599&amp;" ~*")&gt;0)+(COUNTIF(K2558:M2575,$B2599)+COUNTIF(K2558:M2575,$B2599&amp;" ~*")&gt;0)+(COUNTIF(O2558:Q2575,$B2599)+COUNTIF(O2558:Q2575,$B2599&amp;" ~*")&gt;0)+(COUNTIF(S2558:U2575,$B2599)+COUNTIF(S2558:U2575,$B2599&amp;" ~*")&gt;0)+(COUNTIF(W2558:W2575,$B2599)+COUNTIF(W2558:W2575,$B2599&amp;" ~*")&gt;0)+(COUNTIF(Y2558:Y2575,$B2599)+COUNTIF(Y2558:Y2575,$B2599&amp;" ~*")&gt;0))</f>
        <v/>
      </c>
      <c r="AC2599" s="36">
        <f>IF($B2599="","",(IFERROR(INDEX(Setup!$G$33:$G$40,MATCH(C2599,Setup!$B$33:$B$40,0)),0)=1)*(COUNTIF(C2558:E2575,$B2599)+COUNTIF(C2558:E2575,$B2599&amp;" ~*")&gt;0)+(IFERROR(INDEX(Setup!$G$33:$G$40,MATCH(G2599,Setup!$B$33:$B$40,0)),0)=1)*(COUNTIF(G2558:I2575,$B2599)+COUNTIF(G2558:I2575,$B2599&amp;" ~*")&gt;0)+(IFERROR(INDEX(Setup!$G$33:$G$40,MATCH(K2599,Setup!$B$33:$B$40,0)),0)=1)*(COUNTIF(K2558:M2575,$B2599)+COUNTIF(K2558:M2575,$B2599&amp;" ~*")&gt;0)+(IFERROR(INDEX(Setup!$G$33:$G$40,MATCH(O2599,Setup!$B$33:$B$40,0)),0)=1)*(COUNTIF(O2558:Q2575,$B2599)+COUNTIF(O2558:Q2575,$B2599&amp;" ~*")&gt;0)+(IFERROR(INDEX(Setup!$G$33:$G$40,MATCH(S2599,Setup!$B$33:$B$40,0)),0)=1)*(COUNTIF(S2558:U2575,$B2599)+COUNTIF(S2558:U2575,$B2599&amp;" ~*")&gt;0)+(IFERROR(INDEX(Setup!$G$33:$G$40,MATCH(W2599,Setup!$B$33:$B$40,0)),0)=1)*(COUNTIF(W2558:W2575,$B2599)+COUNTIF(W2558:W2575,$B2599&amp;" ~*")&gt;0)+(IFERROR(INDEX(Setup!$G$33:$G$40,MATCH(Y2599,Setup!$B$33:$B$40,0)),0)=1)*(COUNTIF(Y2558:Y2575,$B2599)+COUNTIF(Y2558:Y2575,$B2599&amp;" ~*")&gt;0))</f>
        <v/>
      </c>
    </row>
    <row r="2600" ht="15" customHeight="1">
      <c r="A2600" t="n">
        <v>52</v>
      </c>
      <c r="B2600" s="37">
        <f>IF(Setup!$B$29="","",Setup!$B$29)</f>
        <v/>
      </c>
      <c r="C2600" s="102" t="n"/>
      <c r="D2600" s="103" t="n"/>
      <c r="E2600" s="103" t="n"/>
      <c r="F2600" s="104" t="n"/>
      <c r="G2600" s="102" t="n"/>
      <c r="H2600" s="103" t="n"/>
      <c r="I2600" s="103" t="n"/>
      <c r="J2600" s="104" t="n"/>
      <c r="K2600" s="102" t="n"/>
      <c r="L2600" s="103" t="n"/>
      <c r="M2600" s="103" t="n"/>
      <c r="N2600" s="104" t="n"/>
      <c r="O2600" s="102" t="n"/>
      <c r="P2600" s="103" t="n"/>
      <c r="Q2600" s="103" t="n"/>
      <c r="R2600" s="104" t="n"/>
      <c r="S2600" s="102" t="n"/>
      <c r="T2600" s="103" t="n"/>
      <c r="U2600" s="103" t="n"/>
      <c r="V2600" s="104" t="n"/>
      <c r="W2600" s="102" t="n"/>
      <c r="X2600" s="104" t="n"/>
      <c r="Y2600" s="102" t="n"/>
      <c r="Z2600" s="104" t="n"/>
      <c r="AB2600" s="105">
        <f>IF($B2600="","",(COUNTIF(C2558:E2575,$B2600)+COUNTIF(C2558:E2575,$B2600&amp;" ~*")&gt;0)+(COUNTIF(G2558:I2575,$B2600)+COUNTIF(G2558:I2575,$B2600&amp;" ~*")&gt;0)+(COUNTIF(K2558:M2575,$B2600)+COUNTIF(K2558:M2575,$B2600&amp;" ~*")&gt;0)+(COUNTIF(O2558:Q2575,$B2600)+COUNTIF(O2558:Q2575,$B2600&amp;" ~*")&gt;0)+(COUNTIF(S2558:U2575,$B2600)+COUNTIF(S2558:U2575,$B2600&amp;" ~*")&gt;0)+(COUNTIF(W2558:W2575,$B2600)+COUNTIF(W2558:W2575,$B2600&amp;" ~*")&gt;0)+(COUNTIF(Y2558:Y2575,$B2600)+COUNTIF(Y2558:Y2575,$B2600&amp;" ~*")&gt;0))</f>
        <v/>
      </c>
      <c r="AC2600" s="38">
        <f>IF($B2600="","",(IFERROR(INDEX(Setup!$G$33:$G$40,MATCH(C2600,Setup!$B$33:$B$40,0)),0)=1)*(COUNTIF(C2558:E2575,$B2600)+COUNTIF(C2558:E2575,$B2600&amp;" ~*")&gt;0)+(IFERROR(INDEX(Setup!$G$33:$G$40,MATCH(G2600,Setup!$B$33:$B$40,0)),0)=1)*(COUNTIF(G2558:I2575,$B2600)+COUNTIF(G2558:I2575,$B2600&amp;" ~*")&gt;0)+(IFERROR(INDEX(Setup!$G$33:$G$40,MATCH(K2600,Setup!$B$33:$B$40,0)),0)=1)*(COUNTIF(K2558:M2575,$B2600)+COUNTIF(K2558:M2575,$B2600&amp;" ~*")&gt;0)+(IFERROR(INDEX(Setup!$G$33:$G$40,MATCH(O2600,Setup!$B$33:$B$40,0)),0)=1)*(COUNTIF(O2558:Q2575,$B2600)+COUNTIF(O2558:Q2575,$B2600&amp;" ~*")&gt;0)+(IFERROR(INDEX(Setup!$G$33:$G$40,MATCH(S2600,Setup!$B$33:$B$40,0)),0)=1)*(COUNTIF(S2558:U2575,$B2600)+COUNTIF(S2558:U2575,$B2600&amp;" ~*")&gt;0)+(IFERROR(INDEX(Setup!$G$33:$G$40,MATCH(W2600,Setup!$B$33:$B$40,0)),0)=1)*(COUNTIF(W2558:W2575,$B2600)+COUNTIF(W2558:W2575,$B2600&amp;" ~*")&gt;0)+(IFERROR(INDEX(Setup!$G$33:$G$40,MATCH(Y2600,Setup!$B$33:$B$40,0)),0)=1)*(COUNTIF(Y2558:Y2575,$B2600)+COUNTIF(Y2558:Y2575,$B2600&amp;" ~*")&gt;0))</f>
        <v/>
      </c>
    </row>
    <row r="2601" ht="16" customHeight="1">
      <c r="A2601" t="n">
        <v>52</v>
      </c>
      <c r="B2601" s="106" t="inlineStr">
        <is>
          <t>Available people</t>
        </is>
      </c>
      <c r="C2601" s="107">
        <f>COUNTIFS(Setup!$E$6:$E$29,"Y",Setup!$B$6:$B$29,"?*")-SUMPRODUCT(COUNTIF(C2577:C2600,Setup!$F$33:$F$40))</f>
        <v/>
      </c>
      <c r="D2601" s="107" t="n"/>
      <c r="E2601" s="107" t="n"/>
      <c r="F2601" s="107" t="n"/>
      <c r="G2601" s="107">
        <f>COUNTIFS(Setup!$E$6:$E$29,"Y",Setup!$B$6:$B$29,"?*")-SUMPRODUCT(COUNTIF(G2577:G2600,Setup!$F$33:$F$40))</f>
        <v/>
      </c>
      <c r="H2601" s="107" t="n"/>
      <c r="I2601" s="107" t="n"/>
      <c r="J2601" s="107" t="n"/>
      <c r="K2601" s="107">
        <f>COUNTIFS(Setup!$E$6:$E$29,"Y",Setup!$B$6:$B$29,"?*")-SUMPRODUCT(COUNTIF(K2577:K2600,Setup!$F$33:$F$40))</f>
        <v/>
      </c>
      <c r="L2601" s="107" t="n"/>
      <c r="M2601" s="107" t="n"/>
      <c r="N2601" s="107" t="n"/>
      <c r="O2601" s="107">
        <f>COUNTIFS(Setup!$E$6:$E$29,"Y",Setup!$B$6:$B$29,"?*")-SUMPRODUCT(COUNTIF(O2577:O2600,Setup!$F$33:$F$40))</f>
        <v/>
      </c>
      <c r="P2601" s="107" t="n"/>
      <c r="Q2601" s="107" t="n"/>
      <c r="R2601" s="107" t="n"/>
      <c r="S2601" s="107">
        <f>COUNTIFS(Setup!$E$6:$E$29,"Y",Setup!$B$6:$B$29,"?*")-SUMPRODUCT(COUNTIF(S2577:S2600,Setup!$F$33:$F$40))</f>
        <v/>
      </c>
      <c r="T2601" s="107" t="n"/>
      <c r="U2601" s="107" t="n"/>
      <c r="V2601" s="107" t="n"/>
      <c r="W2601" s="107">
        <f>COUNTIFS(Setup!$E$6:$E$29,"Y",Setup!$B$6:$B$29,"?*")-SUMPRODUCT(COUNTIF(W2577:W2600,Setup!$F$33:$F$40))</f>
        <v/>
      </c>
      <c r="X2601" s="107" t="n"/>
      <c r="Y2601" s="107">
        <f>COUNTIFS(Setup!$E$6:$E$29,"Y",Setup!$B$6:$B$29,"?*")-SUMPRODUCT(COUNTIF(Y2577:Y2600,Setup!$F$33:$F$40))</f>
        <v/>
      </c>
      <c r="Z2601" s="107" t="n"/>
      <c r="AB2601" s="108">
        <f>SUM(AB2577:AB2600)</f>
        <v/>
      </c>
      <c r="AC2601" s="109">
        <f>SUM(AC2577:AC2600)</f>
        <v/>
      </c>
    </row>
    <row r="2602" ht="30" customHeight="1">
      <c r="A2602" t="n">
        <v>52</v>
      </c>
      <c r="B2602" s="110" t="inlineStr">
        <is>
          <t>Week notes</t>
        </is>
      </c>
      <c r="C2602" s="111" t="n"/>
      <c r="D2602" s="112" t="n"/>
      <c r="E2602" s="112" t="n"/>
      <c r="F2602" s="112" t="n"/>
      <c r="G2602" s="112" t="n"/>
      <c r="H2602" s="112" t="n"/>
      <c r="I2602" s="112" t="n"/>
      <c r="J2602" s="112" t="n"/>
      <c r="K2602" s="112" t="n"/>
      <c r="L2602" s="112" t="n"/>
      <c r="M2602" s="112" t="n"/>
      <c r="N2602" s="112" t="n"/>
      <c r="O2602" s="112" t="n"/>
      <c r="P2602" s="112" t="n"/>
      <c r="Q2602" s="112" t="n"/>
      <c r="R2602" s="112" t="n"/>
      <c r="S2602" s="112" t="n"/>
      <c r="T2602" s="112" t="n"/>
      <c r="U2602" s="112" t="n"/>
      <c r="V2602" s="112" t="n"/>
      <c r="W2602" s="112" t="n"/>
      <c r="X2602" s="112" t="n"/>
      <c r="Y2602" s="112" t="n"/>
      <c r="Z2602" s="113" t="n"/>
    </row>
    <row r="2603" ht="8" customHeight="1">
      <c r="A2603" t="n">
        <v>52</v>
      </c>
    </row>
    <row r="2604" ht="8" customHeight="1">
      <c r="A2604" t="n">
        <v>52</v>
      </c>
    </row>
    <row r="2605" ht="24" customHeight="1">
      <c r="A2605" t="n">
        <v>53</v>
      </c>
      <c r="B2605" s="73">
        <f>"WEEK 53     "&amp;TEXT(C2606,"ddd d mmm")&amp;"  –  "&amp;TEXT(C2606+6,"ddd d mmm yyyy")&amp;"   (week 53 - only used in 53-week years)"</f>
        <v/>
      </c>
      <c r="S2605" s="74">
        <f>IF(TODAY()&lt;C2606,"FUTURE",IF(TODAY()&gt;C2606+6,"PAST","THIS WEEK"))</f>
        <v/>
      </c>
      <c r="W2605" s="75">
        <f>IF(AND(Engine!$B$8=$AC$3,Engine!$B$9=$A2605),"◀ ACTIVE WEEK","")</f>
        <v/>
      </c>
      <c r="AA2605" s="76" t="n"/>
      <c r="AB2605" s="77" t="inlineStr">
        <is>
          <t>◀ Prev</t>
        </is>
      </c>
      <c r="AC2605" s="77" t="inlineStr">
        <is>
          <t>▲ Top</t>
        </is>
      </c>
    </row>
    <row r="2606" ht="18" customHeight="1">
      <c r="A2606" t="n">
        <v>53</v>
      </c>
      <c r="B2606" s="78" t="inlineStr">
        <is>
          <t>DUTY</t>
        </is>
      </c>
      <c r="C2606" s="79">
        <f>$AC$2+7*($A2606-1)</f>
        <v/>
      </c>
      <c r="D2606" s="80" t="n"/>
      <c r="E2606" s="80" t="n"/>
      <c r="F2606" s="81" t="n"/>
      <c r="G2606" s="79">
        <f>C2606+1</f>
        <v/>
      </c>
      <c r="H2606" s="80" t="n"/>
      <c r="I2606" s="80" t="n"/>
      <c r="J2606" s="81" t="n"/>
      <c r="K2606" s="79">
        <f>C2606+2</f>
        <v/>
      </c>
      <c r="L2606" s="80" t="n"/>
      <c r="M2606" s="80" t="n"/>
      <c r="N2606" s="81" t="n"/>
      <c r="O2606" s="79">
        <f>C2606+3</f>
        <v/>
      </c>
      <c r="P2606" s="80" t="n"/>
      <c r="Q2606" s="80" t="n"/>
      <c r="R2606" s="81" t="n"/>
      <c r="S2606" s="79">
        <f>C2606+4</f>
        <v/>
      </c>
      <c r="T2606" s="80" t="n"/>
      <c r="U2606" s="80" t="n"/>
      <c r="V2606" s="81" t="n"/>
      <c r="W2606" s="82">
        <f>C2606+5</f>
        <v/>
      </c>
      <c r="X2606" s="83" t="n"/>
      <c r="Y2606" s="82">
        <f>C2606+6</f>
        <v/>
      </c>
      <c r="Z2606" s="83" t="n"/>
      <c r="AB2606" s="72" t="inlineStr">
        <is>
          <t>Gaps</t>
        </is>
      </c>
      <c r="AC2606" s="72" t="inlineStr">
        <is>
          <t>Cover</t>
        </is>
      </c>
    </row>
    <row r="2607" ht="14" customHeight="1">
      <c r="A2607" t="n">
        <v>53</v>
      </c>
      <c r="B2607" s="84" t="inlineStr">
        <is>
          <t>(from Setup)</t>
        </is>
      </c>
      <c r="C2607" s="85" t="inlineStr">
        <is>
          <t>1</t>
        </is>
      </c>
      <c r="D2607" s="85" t="inlineStr">
        <is>
          <t>2</t>
        </is>
      </c>
      <c r="E2607" s="85" t="inlineStr">
        <is>
          <t>3</t>
        </is>
      </c>
      <c r="F2607" s="85" t="inlineStr">
        <is>
          <t>Notes</t>
        </is>
      </c>
      <c r="G2607" s="85" t="inlineStr">
        <is>
          <t>1</t>
        </is>
      </c>
      <c r="H2607" s="85" t="inlineStr">
        <is>
          <t>2</t>
        </is>
      </c>
      <c r="I2607" s="85" t="inlineStr">
        <is>
          <t>3</t>
        </is>
      </c>
      <c r="J2607" s="85" t="inlineStr">
        <is>
          <t>Notes</t>
        </is>
      </c>
      <c r="K2607" s="85" t="inlineStr">
        <is>
          <t>1</t>
        </is>
      </c>
      <c r="L2607" s="85" t="inlineStr">
        <is>
          <t>2</t>
        </is>
      </c>
      <c r="M2607" s="85" t="inlineStr">
        <is>
          <t>3</t>
        </is>
      </c>
      <c r="N2607" s="85" t="inlineStr">
        <is>
          <t>Notes</t>
        </is>
      </c>
      <c r="O2607" s="85" t="inlineStr">
        <is>
          <t>1</t>
        </is>
      </c>
      <c r="P2607" s="85" t="inlineStr">
        <is>
          <t>2</t>
        </is>
      </c>
      <c r="Q2607" s="85" t="inlineStr">
        <is>
          <t>3</t>
        </is>
      </c>
      <c r="R2607" s="85" t="inlineStr">
        <is>
          <t>Notes</t>
        </is>
      </c>
      <c r="S2607" s="85" t="inlineStr">
        <is>
          <t>1</t>
        </is>
      </c>
      <c r="T2607" s="85" t="inlineStr">
        <is>
          <t>2</t>
        </is>
      </c>
      <c r="U2607" s="85" t="inlineStr">
        <is>
          <t>3</t>
        </is>
      </c>
      <c r="V2607" s="85" t="inlineStr">
        <is>
          <t>Notes</t>
        </is>
      </c>
      <c r="W2607" s="85" t="inlineStr">
        <is>
          <t>Cover</t>
        </is>
      </c>
      <c r="X2607" s="85" t="inlineStr">
        <is>
          <t>Notes</t>
        </is>
      </c>
      <c r="Y2607" s="85" t="inlineStr">
        <is>
          <t>Cover</t>
        </is>
      </c>
      <c r="Z2607" s="85" t="inlineStr">
        <is>
          <t>Notes</t>
        </is>
      </c>
      <c r="AB2607" s="86" t="inlineStr">
        <is>
          <t>weekdays short</t>
        </is>
      </c>
      <c r="AC2607" s="87" t="inlineStr"/>
    </row>
    <row r="2608" ht="17" customHeight="1">
      <c r="A2608" t="n">
        <v>53</v>
      </c>
      <c r="B2608" s="24">
        <f>IF(Setup!$K$6="","",Setup!$K$6)</f>
        <v/>
      </c>
      <c r="C2608" s="88" t="n"/>
      <c r="D2608" s="88" t="n"/>
      <c r="E2608" s="88" t="n"/>
      <c r="F2608" s="89" t="n"/>
      <c r="G2608" s="88" t="n"/>
      <c r="H2608" s="88" t="n"/>
      <c r="I2608" s="88" t="n"/>
      <c r="J2608" s="89" t="n"/>
      <c r="K2608" s="88" t="n"/>
      <c r="L2608" s="88" t="n"/>
      <c r="M2608" s="88" t="n"/>
      <c r="N2608" s="89" t="n"/>
      <c r="O2608" s="88" t="n"/>
      <c r="P2608" s="88" t="n"/>
      <c r="Q2608" s="88" t="n"/>
      <c r="R2608" s="89" t="n"/>
      <c r="S2608" s="88" t="n"/>
      <c r="T2608" s="88" t="n"/>
      <c r="U2608" s="88" t="n"/>
      <c r="V2608" s="89" t="n"/>
      <c r="W2608" s="88" t="n"/>
      <c r="X2608" s="89" t="n"/>
      <c r="Y2608" s="88" t="n"/>
      <c r="Z2608" s="89" t="n"/>
      <c r="AB2608" s="25">
        <f>IF($B2608="","",(COUNTIF(C2608:E2608,"?*")&lt;N(INDEX(Setup!$L$6:$L$23,1)))+(COUNTIF(G2608:I2608,"?*")&lt;N(INDEX(Setup!$L$6:$L$23,1)))+(COUNTIF(K2608:M2608,"?*")&lt;N(INDEX(Setup!$L$6:$L$23,1)))+(COUNTIF(O2608:Q2608,"?*")&lt;N(INDEX(Setup!$L$6:$L$23,1)))+(COUNTIF(S2608:U2608,"?*")&lt;N(INDEX(Setup!$L$6:$L$23,1)))+((W2608="")*(INDEX(Setup!$M$6:$M$23,1)="Y"))+((Y2608="")*(INDEX(Setup!$M$6:$M$23,1)="Y")))</f>
        <v/>
      </c>
      <c r="AC2608" s="90">
        <f>IF($B2608="","",IF(AB2608=0,"✓ covered","⚠ "&amp;AB2608&amp;IF(AB2608=1," gap"," gaps")))</f>
        <v/>
      </c>
    </row>
    <row r="2609" ht="17" customHeight="1">
      <c r="A2609" t="n">
        <v>53</v>
      </c>
      <c r="B2609" s="29">
        <f>IF(Setup!$K$7="","",Setup!$K$7)</f>
        <v/>
      </c>
      <c r="C2609" s="88" t="n"/>
      <c r="D2609" s="88" t="n"/>
      <c r="E2609" s="88" t="n"/>
      <c r="F2609" s="89" t="n"/>
      <c r="G2609" s="88" t="n"/>
      <c r="H2609" s="88" t="n"/>
      <c r="I2609" s="88" t="n"/>
      <c r="J2609" s="89" t="n"/>
      <c r="K2609" s="88" t="n"/>
      <c r="L2609" s="88" t="n"/>
      <c r="M2609" s="88" t="n"/>
      <c r="N2609" s="89" t="n"/>
      <c r="O2609" s="88" t="n"/>
      <c r="P2609" s="88" t="n"/>
      <c r="Q2609" s="88" t="n"/>
      <c r="R2609" s="89" t="n"/>
      <c r="S2609" s="88" t="n"/>
      <c r="T2609" s="88" t="n"/>
      <c r="U2609" s="88" t="n"/>
      <c r="V2609" s="89" t="n"/>
      <c r="W2609" s="88" t="n"/>
      <c r="X2609" s="89" t="n"/>
      <c r="Y2609" s="88" t="n"/>
      <c r="Z2609" s="89" t="n"/>
      <c r="AB2609" s="30">
        <f>IF($B2609="","",(COUNTIF(C2609:E2609,"?*")&lt;N(INDEX(Setup!$L$6:$L$23,2)))+(COUNTIF(G2609:I2609,"?*")&lt;N(INDEX(Setup!$L$6:$L$23,2)))+(COUNTIF(K2609:M2609,"?*")&lt;N(INDEX(Setup!$L$6:$L$23,2)))+(COUNTIF(O2609:Q2609,"?*")&lt;N(INDEX(Setup!$L$6:$L$23,2)))+(COUNTIF(S2609:U2609,"?*")&lt;N(INDEX(Setup!$L$6:$L$23,2)))+((W2609="")*(INDEX(Setup!$M$6:$M$23,2)="Y"))+((Y2609="")*(INDEX(Setup!$M$6:$M$23,2)="Y")))</f>
        <v/>
      </c>
      <c r="AC2609" s="91">
        <f>IF($B2609="","",IF(AB2609=0,"✓ covered","⚠ "&amp;AB2609&amp;IF(AB2609=1," gap"," gaps")))</f>
        <v/>
      </c>
    </row>
    <row r="2610" ht="17" customHeight="1">
      <c r="A2610" t="n">
        <v>53</v>
      </c>
      <c r="B2610" s="24">
        <f>IF(Setup!$K$8="","",Setup!$K$8)</f>
        <v/>
      </c>
      <c r="C2610" s="88" t="n"/>
      <c r="D2610" s="88" t="n"/>
      <c r="E2610" s="88" t="n"/>
      <c r="F2610" s="89" t="n"/>
      <c r="G2610" s="88" t="n"/>
      <c r="H2610" s="88" t="n"/>
      <c r="I2610" s="88" t="n"/>
      <c r="J2610" s="89" t="n"/>
      <c r="K2610" s="88" t="n"/>
      <c r="L2610" s="88" t="n"/>
      <c r="M2610" s="88" t="n"/>
      <c r="N2610" s="89" t="n"/>
      <c r="O2610" s="88" t="n"/>
      <c r="P2610" s="88" t="n"/>
      <c r="Q2610" s="88" t="n"/>
      <c r="R2610" s="89" t="n"/>
      <c r="S2610" s="88" t="n"/>
      <c r="T2610" s="88" t="n"/>
      <c r="U2610" s="88" t="n"/>
      <c r="V2610" s="89" t="n"/>
      <c r="W2610" s="88" t="n"/>
      <c r="X2610" s="89" t="n"/>
      <c r="Y2610" s="88" t="n"/>
      <c r="Z2610" s="89" t="n"/>
      <c r="AB2610" s="25">
        <f>IF($B2610="","",(COUNTIF(C2610:E2610,"?*")&lt;N(INDEX(Setup!$L$6:$L$23,3)))+(COUNTIF(G2610:I2610,"?*")&lt;N(INDEX(Setup!$L$6:$L$23,3)))+(COUNTIF(K2610:M2610,"?*")&lt;N(INDEX(Setup!$L$6:$L$23,3)))+(COUNTIF(O2610:Q2610,"?*")&lt;N(INDEX(Setup!$L$6:$L$23,3)))+(COUNTIF(S2610:U2610,"?*")&lt;N(INDEX(Setup!$L$6:$L$23,3)))+((W2610="")*(INDEX(Setup!$M$6:$M$23,3)="Y"))+((Y2610="")*(INDEX(Setup!$M$6:$M$23,3)="Y")))</f>
        <v/>
      </c>
      <c r="AC2610" s="90">
        <f>IF($B2610="","",IF(AB2610=0,"✓ covered","⚠ "&amp;AB2610&amp;IF(AB2610=1," gap"," gaps")))</f>
        <v/>
      </c>
    </row>
    <row r="2611" ht="17" customHeight="1">
      <c r="A2611" t="n">
        <v>53</v>
      </c>
      <c r="B2611" s="29">
        <f>IF(Setup!$K$9="","",Setup!$K$9)</f>
        <v/>
      </c>
      <c r="C2611" s="88" t="n"/>
      <c r="D2611" s="88" t="n"/>
      <c r="E2611" s="88" t="n"/>
      <c r="F2611" s="89" t="n"/>
      <c r="G2611" s="88" t="n"/>
      <c r="H2611" s="88" t="n"/>
      <c r="I2611" s="88" t="n"/>
      <c r="J2611" s="89" t="n"/>
      <c r="K2611" s="88" t="n"/>
      <c r="L2611" s="88" t="n"/>
      <c r="M2611" s="88" t="n"/>
      <c r="N2611" s="89" t="n"/>
      <c r="O2611" s="88" t="n"/>
      <c r="P2611" s="88" t="n"/>
      <c r="Q2611" s="88" t="n"/>
      <c r="R2611" s="89" t="n"/>
      <c r="S2611" s="88" t="n"/>
      <c r="T2611" s="88" t="n"/>
      <c r="U2611" s="88" t="n"/>
      <c r="V2611" s="89" t="n"/>
      <c r="W2611" s="88" t="n"/>
      <c r="X2611" s="89" t="n"/>
      <c r="Y2611" s="88" t="n"/>
      <c r="Z2611" s="89" t="n"/>
      <c r="AB2611" s="30">
        <f>IF($B2611="","",(COUNTIF(C2611:E2611,"?*")&lt;N(INDEX(Setup!$L$6:$L$23,4)))+(COUNTIF(G2611:I2611,"?*")&lt;N(INDEX(Setup!$L$6:$L$23,4)))+(COUNTIF(K2611:M2611,"?*")&lt;N(INDEX(Setup!$L$6:$L$23,4)))+(COUNTIF(O2611:Q2611,"?*")&lt;N(INDEX(Setup!$L$6:$L$23,4)))+(COUNTIF(S2611:U2611,"?*")&lt;N(INDEX(Setup!$L$6:$L$23,4)))+((W2611="")*(INDEX(Setup!$M$6:$M$23,4)="Y"))+((Y2611="")*(INDEX(Setup!$M$6:$M$23,4)="Y")))</f>
        <v/>
      </c>
      <c r="AC2611" s="91">
        <f>IF($B2611="","",IF(AB2611=0,"✓ covered","⚠ "&amp;AB2611&amp;IF(AB2611=1," gap"," gaps")))</f>
        <v/>
      </c>
    </row>
    <row r="2612" ht="17" customHeight="1">
      <c r="A2612" t="n">
        <v>53</v>
      </c>
      <c r="B2612" s="24">
        <f>IF(Setup!$K$10="","",Setup!$K$10)</f>
        <v/>
      </c>
      <c r="C2612" s="88" t="n"/>
      <c r="D2612" s="88" t="n"/>
      <c r="E2612" s="88" t="n"/>
      <c r="F2612" s="89" t="n"/>
      <c r="G2612" s="88" t="n"/>
      <c r="H2612" s="88" t="n"/>
      <c r="I2612" s="88" t="n"/>
      <c r="J2612" s="89" t="n"/>
      <c r="K2612" s="88" t="n"/>
      <c r="L2612" s="88" t="n"/>
      <c r="M2612" s="88" t="n"/>
      <c r="N2612" s="89" t="n"/>
      <c r="O2612" s="88" t="n"/>
      <c r="P2612" s="88" t="n"/>
      <c r="Q2612" s="88" t="n"/>
      <c r="R2612" s="89" t="n"/>
      <c r="S2612" s="88" t="n"/>
      <c r="T2612" s="88" t="n"/>
      <c r="U2612" s="88" t="n"/>
      <c r="V2612" s="89" t="n"/>
      <c r="W2612" s="88" t="n"/>
      <c r="X2612" s="89" t="n"/>
      <c r="Y2612" s="88" t="n"/>
      <c r="Z2612" s="89" t="n"/>
      <c r="AB2612" s="25">
        <f>IF($B2612="","",(COUNTIF(C2612:E2612,"?*")&lt;N(INDEX(Setup!$L$6:$L$23,5)))+(COUNTIF(G2612:I2612,"?*")&lt;N(INDEX(Setup!$L$6:$L$23,5)))+(COUNTIF(K2612:M2612,"?*")&lt;N(INDEX(Setup!$L$6:$L$23,5)))+(COUNTIF(O2612:Q2612,"?*")&lt;N(INDEX(Setup!$L$6:$L$23,5)))+(COUNTIF(S2612:U2612,"?*")&lt;N(INDEX(Setup!$L$6:$L$23,5)))+((W2612="")*(INDEX(Setup!$M$6:$M$23,5)="Y"))+((Y2612="")*(INDEX(Setup!$M$6:$M$23,5)="Y")))</f>
        <v/>
      </c>
      <c r="AC2612" s="90">
        <f>IF($B2612="","",IF(AB2612=0,"✓ covered","⚠ "&amp;AB2612&amp;IF(AB2612=1," gap"," gaps")))</f>
        <v/>
      </c>
    </row>
    <row r="2613" ht="17" customHeight="1">
      <c r="A2613" t="n">
        <v>53</v>
      </c>
      <c r="B2613" s="29">
        <f>IF(Setup!$K$11="","",Setup!$K$11)</f>
        <v/>
      </c>
      <c r="C2613" s="88" t="n"/>
      <c r="D2613" s="88" t="n"/>
      <c r="E2613" s="88" t="n"/>
      <c r="F2613" s="89" t="n"/>
      <c r="G2613" s="88" t="n"/>
      <c r="H2613" s="88" t="n"/>
      <c r="I2613" s="88" t="n"/>
      <c r="J2613" s="89" t="n"/>
      <c r="K2613" s="88" t="n"/>
      <c r="L2613" s="88" t="n"/>
      <c r="M2613" s="88" t="n"/>
      <c r="N2613" s="89" t="n"/>
      <c r="O2613" s="88" t="n"/>
      <c r="P2613" s="88" t="n"/>
      <c r="Q2613" s="88" t="n"/>
      <c r="R2613" s="89" t="n"/>
      <c r="S2613" s="88" t="n"/>
      <c r="T2613" s="88" t="n"/>
      <c r="U2613" s="88" t="n"/>
      <c r="V2613" s="89" t="n"/>
      <c r="W2613" s="88" t="n"/>
      <c r="X2613" s="89" t="n"/>
      <c r="Y2613" s="88" t="n"/>
      <c r="Z2613" s="89" t="n"/>
      <c r="AB2613" s="30">
        <f>IF($B2613="","",(COUNTIF(C2613:E2613,"?*")&lt;N(INDEX(Setup!$L$6:$L$23,6)))+(COUNTIF(G2613:I2613,"?*")&lt;N(INDEX(Setup!$L$6:$L$23,6)))+(COUNTIF(K2613:M2613,"?*")&lt;N(INDEX(Setup!$L$6:$L$23,6)))+(COUNTIF(O2613:Q2613,"?*")&lt;N(INDEX(Setup!$L$6:$L$23,6)))+(COUNTIF(S2613:U2613,"?*")&lt;N(INDEX(Setup!$L$6:$L$23,6)))+((W2613="")*(INDEX(Setup!$M$6:$M$23,6)="Y"))+((Y2613="")*(INDEX(Setup!$M$6:$M$23,6)="Y")))</f>
        <v/>
      </c>
      <c r="AC2613" s="91">
        <f>IF($B2613="","",IF(AB2613=0,"✓ covered","⚠ "&amp;AB2613&amp;IF(AB2613=1," gap"," gaps")))</f>
        <v/>
      </c>
    </row>
    <row r="2614" ht="17" customHeight="1">
      <c r="A2614" t="n">
        <v>53</v>
      </c>
      <c r="B2614" s="24">
        <f>IF(Setup!$K$12="","",Setup!$K$12)</f>
        <v/>
      </c>
      <c r="C2614" s="88" t="n"/>
      <c r="D2614" s="88" t="n"/>
      <c r="E2614" s="88" t="n"/>
      <c r="F2614" s="89" t="n"/>
      <c r="G2614" s="88" t="n"/>
      <c r="H2614" s="88" t="n"/>
      <c r="I2614" s="88" t="n"/>
      <c r="J2614" s="89" t="n"/>
      <c r="K2614" s="88" t="n"/>
      <c r="L2614" s="88" t="n"/>
      <c r="M2614" s="88" t="n"/>
      <c r="N2614" s="89" t="n"/>
      <c r="O2614" s="88" t="n"/>
      <c r="P2614" s="88" t="n"/>
      <c r="Q2614" s="88" t="n"/>
      <c r="R2614" s="89" t="n"/>
      <c r="S2614" s="88" t="n"/>
      <c r="T2614" s="88" t="n"/>
      <c r="U2614" s="88" t="n"/>
      <c r="V2614" s="89" t="n"/>
      <c r="W2614" s="88" t="n"/>
      <c r="X2614" s="89" t="n"/>
      <c r="Y2614" s="88" t="n"/>
      <c r="Z2614" s="89" t="n"/>
      <c r="AB2614" s="25">
        <f>IF($B2614="","",(COUNTIF(C2614:E2614,"?*")&lt;N(INDEX(Setup!$L$6:$L$23,7)))+(COUNTIF(G2614:I2614,"?*")&lt;N(INDEX(Setup!$L$6:$L$23,7)))+(COUNTIF(K2614:M2614,"?*")&lt;N(INDEX(Setup!$L$6:$L$23,7)))+(COUNTIF(O2614:Q2614,"?*")&lt;N(INDEX(Setup!$L$6:$L$23,7)))+(COUNTIF(S2614:U2614,"?*")&lt;N(INDEX(Setup!$L$6:$L$23,7)))+((W2614="")*(INDEX(Setup!$M$6:$M$23,7)="Y"))+((Y2614="")*(INDEX(Setup!$M$6:$M$23,7)="Y")))</f>
        <v/>
      </c>
      <c r="AC2614" s="90">
        <f>IF($B2614="","",IF(AB2614=0,"✓ covered","⚠ "&amp;AB2614&amp;IF(AB2614=1," gap"," gaps")))</f>
        <v/>
      </c>
    </row>
    <row r="2615" ht="17" customHeight="1">
      <c r="A2615" t="n">
        <v>53</v>
      </c>
      <c r="B2615" s="29">
        <f>IF(Setup!$K$13="","",Setup!$K$13)</f>
        <v/>
      </c>
      <c r="C2615" s="88" t="n"/>
      <c r="D2615" s="88" t="n"/>
      <c r="E2615" s="88" t="n"/>
      <c r="F2615" s="89" t="n"/>
      <c r="G2615" s="88" t="n"/>
      <c r="H2615" s="88" t="n"/>
      <c r="I2615" s="88" t="n"/>
      <c r="J2615" s="89" t="n"/>
      <c r="K2615" s="88" t="n"/>
      <c r="L2615" s="88" t="n"/>
      <c r="M2615" s="88" t="n"/>
      <c r="N2615" s="89" t="n"/>
      <c r="O2615" s="88" t="n"/>
      <c r="P2615" s="88" t="n"/>
      <c r="Q2615" s="88" t="n"/>
      <c r="R2615" s="89" t="n"/>
      <c r="S2615" s="88" t="n"/>
      <c r="T2615" s="88" t="n"/>
      <c r="U2615" s="88" t="n"/>
      <c r="V2615" s="89" t="n"/>
      <c r="W2615" s="88" t="n"/>
      <c r="X2615" s="89" t="n"/>
      <c r="Y2615" s="88" t="n"/>
      <c r="Z2615" s="89" t="n"/>
      <c r="AB2615" s="30">
        <f>IF($B2615="","",(COUNTIF(C2615:E2615,"?*")&lt;N(INDEX(Setup!$L$6:$L$23,8)))+(COUNTIF(G2615:I2615,"?*")&lt;N(INDEX(Setup!$L$6:$L$23,8)))+(COUNTIF(K2615:M2615,"?*")&lt;N(INDEX(Setup!$L$6:$L$23,8)))+(COUNTIF(O2615:Q2615,"?*")&lt;N(INDEX(Setup!$L$6:$L$23,8)))+(COUNTIF(S2615:U2615,"?*")&lt;N(INDEX(Setup!$L$6:$L$23,8)))+((W2615="")*(INDEX(Setup!$M$6:$M$23,8)="Y"))+((Y2615="")*(INDEX(Setup!$M$6:$M$23,8)="Y")))</f>
        <v/>
      </c>
      <c r="AC2615" s="91">
        <f>IF($B2615="","",IF(AB2615=0,"✓ covered","⚠ "&amp;AB2615&amp;IF(AB2615=1," gap"," gaps")))</f>
        <v/>
      </c>
    </row>
    <row r="2616" ht="17" customHeight="1">
      <c r="A2616" t="n">
        <v>53</v>
      </c>
      <c r="B2616" s="24">
        <f>IF(Setup!$K$14="","",Setup!$K$14)</f>
        <v/>
      </c>
      <c r="C2616" s="88" t="n"/>
      <c r="D2616" s="88" t="n"/>
      <c r="E2616" s="88" t="n"/>
      <c r="F2616" s="89" t="n"/>
      <c r="G2616" s="88" t="n"/>
      <c r="H2616" s="88" t="n"/>
      <c r="I2616" s="88" t="n"/>
      <c r="J2616" s="89" t="n"/>
      <c r="K2616" s="88" t="n"/>
      <c r="L2616" s="88" t="n"/>
      <c r="M2616" s="88" t="n"/>
      <c r="N2616" s="89" t="n"/>
      <c r="O2616" s="88" t="n"/>
      <c r="P2616" s="88" t="n"/>
      <c r="Q2616" s="88" t="n"/>
      <c r="R2616" s="89" t="n"/>
      <c r="S2616" s="88" t="n"/>
      <c r="T2616" s="88" t="n"/>
      <c r="U2616" s="88" t="n"/>
      <c r="V2616" s="89" t="n"/>
      <c r="W2616" s="88" t="n"/>
      <c r="X2616" s="89" t="n"/>
      <c r="Y2616" s="88" t="n"/>
      <c r="Z2616" s="89" t="n"/>
      <c r="AB2616" s="25">
        <f>IF($B2616="","",(COUNTIF(C2616:E2616,"?*")&lt;N(INDEX(Setup!$L$6:$L$23,9)))+(COUNTIF(G2616:I2616,"?*")&lt;N(INDEX(Setup!$L$6:$L$23,9)))+(COUNTIF(K2616:M2616,"?*")&lt;N(INDEX(Setup!$L$6:$L$23,9)))+(COUNTIF(O2616:Q2616,"?*")&lt;N(INDEX(Setup!$L$6:$L$23,9)))+(COUNTIF(S2616:U2616,"?*")&lt;N(INDEX(Setup!$L$6:$L$23,9)))+((W2616="")*(INDEX(Setup!$M$6:$M$23,9)="Y"))+((Y2616="")*(INDEX(Setup!$M$6:$M$23,9)="Y")))</f>
        <v/>
      </c>
      <c r="AC2616" s="90">
        <f>IF($B2616="","",IF(AB2616=0,"✓ covered","⚠ "&amp;AB2616&amp;IF(AB2616=1," gap"," gaps")))</f>
        <v/>
      </c>
    </row>
    <row r="2617" ht="17" customHeight="1">
      <c r="A2617" t="n">
        <v>53</v>
      </c>
      <c r="B2617" s="29">
        <f>IF(Setup!$K$15="","",Setup!$K$15)</f>
        <v/>
      </c>
      <c r="C2617" s="88" t="n"/>
      <c r="D2617" s="88" t="n"/>
      <c r="E2617" s="88" t="n"/>
      <c r="F2617" s="89" t="n"/>
      <c r="G2617" s="88" t="n"/>
      <c r="H2617" s="88" t="n"/>
      <c r="I2617" s="88" t="n"/>
      <c r="J2617" s="89" t="n"/>
      <c r="K2617" s="88" t="n"/>
      <c r="L2617" s="88" t="n"/>
      <c r="M2617" s="88" t="n"/>
      <c r="N2617" s="89" t="n"/>
      <c r="O2617" s="88" t="n"/>
      <c r="P2617" s="88" t="n"/>
      <c r="Q2617" s="88" t="n"/>
      <c r="R2617" s="89" t="n"/>
      <c r="S2617" s="88" t="n"/>
      <c r="T2617" s="88" t="n"/>
      <c r="U2617" s="88" t="n"/>
      <c r="V2617" s="89" t="n"/>
      <c r="W2617" s="88" t="n"/>
      <c r="X2617" s="89" t="n"/>
      <c r="Y2617" s="88" t="n"/>
      <c r="Z2617" s="89" t="n"/>
      <c r="AB2617" s="30">
        <f>IF($B2617="","",(COUNTIF(C2617:E2617,"?*")&lt;N(INDEX(Setup!$L$6:$L$23,10)))+(COUNTIF(G2617:I2617,"?*")&lt;N(INDEX(Setup!$L$6:$L$23,10)))+(COUNTIF(K2617:M2617,"?*")&lt;N(INDEX(Setup!$L$6:$L$23,10)))+(COUNTIF(O2617:Q2617,"?*")&lt;N(INDEX(Setup!$L$6:$L$23,10)))+(COUNTIF(S2617:U2617,"?*")&lt;N(INDEX(Setup!$L$6:$L$23,10)))+((W2617="")*(INDEX(Setup!$M$6:$M$23,10)="Y"))+((Y2617="")*(INDEX(Setup!$M$6:$M$23,10)="Y")))</f>
        <v/>
      </c>
      <c r="AC2617" s="91">
        <f>IF($B2617="","",IF(AB2617=0,"✓ covered","⚠ "&amp;AB2617&amp;IF(AB2617=1," gap"," gaps")))</f>
        <v/>
      </c>
    </row>
    <row r="2618" ht="17" customHeight="1">
      <c r="A2618" t="n">
        <v>53</v>
      </c>
      <c r="B2618" s="24">
        <f>IF(Setup!$K$16="","",Setup!$K$16)</f>
        <v/>
      </c>
      <c r="C2618" s="88" t="n"/>
      <c r="D2618" s="88" t="n"/>
      <c r="E2618" s="88" t="n"/>
      <c r="F2618" s="89" t="n"/>
      <c r="G2618" s="88" t="n"/>
      <c r="H2618" s="88" t="n"/>
      <c r="I2618" s="88" t="n"/>
      <c r="J2618" s="89" t="n"/>
      <c r="K2618" s="88" t="n"/>
      <c r="L2618" s="88" t="n"/>
      <c r="M2618" s="88" t="n"/>
      <c r="N2618" s="89" t="n"/>
      <c r="O2618" s="88" t="n"/>
      <c r="P2618" s="88" t="n"/>
      <c r="Q2618" s="88" t="n"/>
      <c r="R2618" s="89" t="n"/>
      <c r="S2618" s="88" t="n"/>
      <c r="T2618" s="88" t="n"/>
      <c r="U2618" s="88" t="n"/>
      <c r="V2618" s="89" t="n"/>
      <c r="W2618" s="88" t="n"/>
      <c r="X2618" s="89" t="n"/>
      <c r="Y2618" s="88" t="n"/>
      <c r="Z2618" s="89" t="n"/>
      <c r="AB2618" s="25">
        <f>IF($B2618="","",(COUNTIF(C2618:E2618,"?*")&lt;N(INDEX(Setup!$L$6:$L$23,11)))+(COUNTIF(G2618:I2618,"?*")&lt;N(INDEX(Setup!$L$6:$L$23,11)))+(COUNTIF(K2618:M2618,"?*")&lt;N(INDEX(Setup!$L$6:$L$23,11)))+(COUNTIF(O2618:Q2618,"?*")&lt;N(INDEX(Setup!$L$6:$L$23,11)))+(COUNTIF(S2618:U2618,"?*")&lt;N(INDEX(Setup!$L$6:$L$23,11)))+((W2618="")*(INDEX(Setup!$M$6:$M$23,11)="Y"))+((Y2618="")*(INDEX(Setup!$M$6:$M$23,11)="Y")))</f>
        <v/>
      </c>
      <c r="AC2618" s="90">
        <f>IF($B2618="","",IF(AB2618=0,"✓ covered","⚠ "&amp;AB2618&amp;IF(AB2618=1," gap"," gaps")))</f>
        <v/>
      </c>
    </row>
    <row r="2619" ht="17" customHeight="1">
      <c r="A2619" t="n">
        <v>53</v>
      </c>
      <c r="B2619" s="29">
        <f>IF(Setup!$K$17="","",Setup!$K$17)</f>
        <v/>
      </c>
      <c r="C2619" s="88" t="n"/>
      <c r="D2619" s="88" t="n"/>
      <c r="E2619" s="88" t="n"/>
      <c r="F2619" s="89" t="n"/>
      <c r="G2619" s="88" t="n"/>
      <c r="H2619" s="88" t="n"/>
      <c r="I2619" s="88" t="n"/>
      <c r="J2619" s="89" t="n"/>
      <c r="K2619" s="88" t="n"/>
      <c r="L2619" s="88" t="n"/>
      <c r="M2619" s="88" t="n"/>
      <c r="N2619" s="89" t="n"/>
      <c r="O2619" s="88" t="n"/>
      <c r="P2619" s="88" t="n"/>
      <c r="Q2619" s="88" t="n"/>
      <c r="R2619" s="89" t="n"/>
      <c r="S2619" s="88" t="n"/>
      <c r="T2619" s="88" t="n"/>
      <c r="U2619" s="88" t="n"/>
      <c r="V2619" s="89" t="n"/>
      <c r="W2619" s="88" t="n"/>
      <c r="X2619" s="89" t="n"/>
      <c r="Y2619" s="88" t="n"/>
      <c r="Z2619" s="89" t="n"/>
      <c r="AB2619" s="30">
        <f>IF($B2619="","",(COUNTIF(C2619:E2619,"?*")&lt;N(INDEX(Setup!$L$6:$L$23,12)))+(COUNTIF(G2619:I2619,"?*")&lt;N(INDEX(Setup!$L$6:$L$23,12)))+(COUNTIF(K2619:M2619,"?*")&lt;N(INDEX(Setup!$L$6:$L$23,12)))+(COUNTIF(O2619:Q2619,"?*")&lt;N(INDEX(Setup!$L$6:$L$23,12)))+(COUNTIF(S2619:U2619,"?*")&lt;N(INDEX(Setup!$L$6:$L$23,12)))+((W2619="")*(INDEX(Setup!$M$6:$M$23,12)="Y"))+((Y2619="")*(INDEX(Setup!$M$6:$M$23,12)="Y")))</f>
        <v/>
      </c>
      <c r="AC2619" s="91">
        <f>IF($B2619="","",IF(AB2619=0,"✓ covered","⚠ "&amp;AB2619&amp;IF(AB2619=1," gap"," gaps")))</f>
        <v/>
      </c>
    </row>
    <row r="2620" ht="17" customHeight="1">
      <c r="A2620" t="n">
        <v>53</v>
      </c>
      <c r="B2620" s="24">
        <f>IF(Setup!$K$18="","",Setup!$K$18)</f>
        <v/>
      </c>
      <c r="C2620" s="88" t="n"/>
      <c r="D2620" s="88" t="n"/>
      <c r="E2620" s="88" t="n"/>
      <c r="F2620" s="89" t="n"/>
      <c r="G2620" s="88" t="n"/>
      <c r="H2620" s="88" t="n"/>
      <c r="I2620" s="88" t="n"/>
      <c r="J2620" s="89" t="n"/>
      <c r="K2620" s="88" t="n"/>
      <c r="L2620" s="88" t="n"/>
      <c r="M2620" s="88" t="n"/>
      <c r="N2620" s="89" t="n"/>
      <c r="O2620" s="88" t="n"/>
      <c r="P2620" s="88" t="n"/>
      <c r="Q2620" s="88" t="n"/>
      <c r="R2620" s="89" t="n"/>
      <c r="S2620" s="88" t="n"/>
      <c r="T2620" s="88" t="n"/>
      <c r="U2620" s="88" t="n"/>
      <c r="V2620" s="89" t="n"/>
      <c r="W2620" s="88" t="n"/>
      <c r="X2620" s="89" t="n"/>
      <c r="Y2620" s="88" t="n"/>
      <c r="Z2620" s="89" t="n"/>
      <c r="AB2620" s="25">
        <f>IF($B2620="","",(COUNTIF(C2620:E2620,"?*")&lt;N(INDEX(Setup!$L$6:$L$23,13)))+(COUNTIF(G2620:I2620,"?*")&lt;N(INDEX(Setup!$L$6:$L$23,13)))+(COUNTIF(K2620:M2620,"?*")&lt;N(INDEX(Setup!$L$6:$L$23,13)))+(COUNTIF(O2620:Q2620,"?*")&lt;N(INDEX(Setup!$L$6:$L$23,13)))+(COUNTIF(S2620:U2620,"?*")&lt;N(INDEX(Setup!$L$6:$L$23,13)))+((W2620="")*(INDEX(Setup!$M$6:$M$23,13)="Y"))+((Y2620="")*(INDEX(Setup!$M$6:$M$23,13)="Y")))</f>
        <v/>
      </c>
      <c r="AC2620" s="90">
        <f>IF($B2620="","",IF(AB2620=0,"✓ covered","⚠ "&amp;AB2620&amp;IF(AB2620=1," gap"," gaps")))</f>
        <v/>
      </c>
    </row>
    <row r="2621" ht="17" customHeight="1">
      <c r="A2621" t="n">
        <v>53</v>
      </c>
      <c r="B2621" s="29">
        <f>IF(Setup!$K$19="","",Setup!$K$19)</f>
        <v/>
      </c>
      <c r="C2621" s="88" t="n"/>
      <c r="D2621" s="88" t="n"/>
      <c r="E2621" s="88" t="n"/>
      <c r="F2621" s="89" t="n"/>
      <c r="G2621" s="88" t="n"/>
      <c r="H2621" s="88" t="n"/>
      <c r="I2621" s="88" t="n"/>
      <c r="J2621" s="89" t="n"/>
      <c r="K2621" s="88" t="n"/>
      <c r="L2621" s="88" t="n"/>
      <c r="M2621" s="88" t="n"/>
      <c r="N2621" s="89" t="n"/>
      <c r="O2621" s="88" t="n"/>
      <c r="P2621" s="88" t="n"/>
      <c r="Q2621" s="88" t="n"/>
      <c r="R2621" s="89" t="n"/>
      <c r="S2621" s="88" t="n"/>
      <c r="T2621" s="88" t="n"/>
      <c r="U2621" s="88" t="n"/>
      <c r="V2621" s="89" t="n"/>
      <c r="W2621" s="88" t="n"/>
      <c r="X2621" s="89" t="n"/>
      <c r="Y2621" s="88" t="n"/>
      <c r="Z2621" s="89" t="n"/>
      <c r="AB2621" s="30">
        <f>IF($B2621="","",(COUNTIF(C2621:E2621,"?*")&lt;N(INDEX(Setup!$L$6:$L$23,14)))+(COUNTIF(G2621:I2621,"?*")&lt;N(INDEX(Setup!$L$6:$L$23,14)))+(COUNTIF(K2621:M2621,"?*")&lt;N(INDEX(Setup!$L$6:$L$23,14)))+(COUNTIF(O2621:Q2621,"?*")&lt;N(INDEX(Setup!$L$6:$L$23,14)))+(COUNTIF(S2621:U2621,"?*")&lt;N(INDEX(Setup!$L$6:$L$23,14)))+((W2621="")*(INDEX(Setup!$M$6:$M$23,14)="Y"))+((Y2621="")*(INDEX(Setup!$M$6:$M$23,14)="Y")))</f>
        <v/>
      </c>
      <c r="AC2621" s="91">
        <f>IF($B2621="","",IF(AB2621=0,"✓ covered","⚠ "&amp;AB2621&amp;IF(AB2621=1," gap"," gaps")))</f>
        <v/>
      </c>
    </row>
    <row r="2622" ht="17" customHeight="1">
      <c r="A2622" t="n">
        <v>53</v>
      </c>
      <c r="B2622" s="24">
        <f>IF(Setup!$K$20="","",Setup!$K$20)</f>
        <v/>
      </c>
      <c r="C2622" s="88" t="n"/>
      <c r="D2622" s="88" t="n"/>
      <c r="E2622" s="88" t="n"/>
      <c r="F2622" s="89" t="n"/>
      <c r="G2622" s="88" t="n"/>
      <c r="H2622" s="88" t="n"/>
      <c r="I2622" s="88" t="n"/>
      <c r="J2622" s="89" t="n"/>
      <c r="K2622" s="88" t="n"/>
      <c r="L2622" s="88" t="n"/>
      <c r="M2622" s="88" t="n"/>
      <c r="N2622" s="89" t="n"/>
      <c r="O2622" s="88" t="n"/>
      <c r="P2622" s="88" t="n"/>
      <c r="Q2622" s="88" t="n"/>
      <c r="R2622" s="89" t="n"/>
      <c r="S2622" s="88" t="n"/>
      <c r="T2622" s="88" t="n"/>
      <c r="U2622" s="88" t="n"/>
      <c r="V2622" s="89" t="n"/>
      <c r="W2622" s="88" t="n"/>
      <c r="X2622" s="89" t="n"/>
      <c r="Y2622" s="88" t="n"/>
      <c r="Z2622" s="89" t="n"/>
      <c r="AB2622" s="25">
        <f>IF($B2622="","",(COUNTIF(C2622:E2622,"?*")&lt;N(INDEX(Setup!$L$6:$L$23,15)))+(COUNTIF(G2622:I2622,"?*")&lt;N(INDEX(Setup!$L$6:$L$23,15)))+(COUNTIF(K2622:M2622,"?*")&lt;N(INDEX(Setup!$L$6:$L$23,15)))+(COUNTIF(O2622:Q2622,"?*")&lt;N(INDEX(Setup!$L$6:$L$23,15)))+(COUNTIF(S2622:U2622,"?*")&lt;N(INDEX(Setup!$L$6:$L$23,15)))+((W2622="")*(INDEX(Setup!$M$6:$M$23,15)="Y"))+((Y2622="")*(INDEX(Setup!$M$6:$M$23,15)="Y")))</f>
        <v/>
      </c>
      <c r="AC2622" s="90">
        <f>IF($B2622="","",IF(AB2622=0,"✓ covered","⚠ "&amp;AB2622&amp;IF(AB2622=1," gap"," gaps")))</f>
        <v/>
      </c>
    </row>
    <row r="2623" ht="17" customHeight="1">
      <c r="A2623" t="n">
        <v>53</v>
      </c>
      <c r="B2623" s="29">
        <f>IF(Setup!$K$21="","",Setup!$K$21)</f>
        <v/>
      </c>
      <c r="C2623" s="88" t="n"/>
      <c r="D2623" s="88" t="n"/>
      <c r="E2623" s="88" t="n"/>
      <c r="F2623" s="89" t="n"/>
      <c r="G2623" s="88" t="n"/>
      <c r="H2623" s="88" t="n"/>
      <c r="I2623" s="88" t="n"/>
      <c r="J2623" s="89" t="n"/>
      <c r="K2623" s="88" t="n"/>
      <c r="L2623" s="88" t="n"/>
      <c r="M2623" s="88" t="n"/>
      <c r="N2623" s="89" t="n"/>
      <c r="O2623" s="88" t="n"/>
      <c r="P2623" s="88" t="n"/>
      <c r="Q2623" s="88" t="n"/>
      <c r="R2623" s="89" t="n"/>
      <c r="S2623" s="88" t="n"/>
      <c r="T2623" s="88" t="n"/>
      <c r="U2623" s="88" t="n"/>
      <c r="V2623" s="89" t="n"/>
      <c r="W2623" s="88" t="n"/>
      <c r="X2623" s="89" t="n"/>
      <c r="Y2623" s="88" t="n"/>
      <c r="Z2623" s="89" t="n"/>
      <c r="AB2623" s="30">
        <f>IF($B2623="","",(COUNTIF(C2623:E2623,"?*")&lt;N(INDEX(Setup!$L$6:$L$23,16)))+(COUNTIF(G2623:I2623,"?*")&lt;N(INDEX(Setup!$L$6:$L$23,16)))+(COUNTIF(K2623:M2623,"?*")&lt;N(INDEX(Setup!$L$6:$L$23,16)))+(COUNTIF(O2623:Q2623,"?*")&lt;N(INDEX(Setup!$L$6:$L$23,16)))+(COUNTIF(S2623:U2623,"?*")&lt;N(INDEX(Setup!$L$6:$L$23,16)))+((W2623="")*(INDEX(Setup!$M$6:$M$23,16)="Y"))+((Y2623="")*(INDEX(Setup!$M$6:$M$23,16)="Y")))</f>
        <v/>
      </c>
      <c r="AC2623" s="91">
        <f>IF($B2623="","",IF(AB2623=0,"✓ covered","⚠ "&amp;AB2623&amp;IF(AB2623=1," gap"," gaps")))</f>
        <v/>
      </c>
    </row>
    <row r="2624" ht="17" customHeight="1">
      <c r="A2624" t="n">
        <v>53</v>
      </c>
      <c r="B2624" s="24">
        <f>IF(Setup!$K$22="","",Setup!$K$22)</f>
        <v/>
      </c>
      <c r="C2624" s="88" t="n"/>
      <c r="D2624" s="88" t="n"/>
      <c r="E2624" s="88" t="n"/>
      <c r="F2624" s="89" t="n"/>
      <c r="G2624" s="88" t="n"/>
      <c r="H2624" s="88" t="n"/>
      <c r="I2624" s="88" t="n"/>
      <c r="J2624" s="89" t="n"/>
      <c r="K2624" s="88" t="n"/>
      <c r="L2624" s="88" t="n"/>
      <c r="M2624" s="88" t="n"/>
      <c r="N2624" s="89" t="n"/>
      <c r="O2624" s="88" t="n"/>
      <c r="P2624" s="88" t="n"/>
      <c r="Q2624" s="88" t="n"/>
      <c r="R2624" s="89" t="n"/>
      <c r="S2624" s="88" t="n"/>
      <c r="T2624" s="88" t="n"/>
      <c r="U2624" s="88" t="n"/>
      <c r="V2624" s="89" t="n"/>
      <c r="W2624" s="88" t="n"/>
      <c r="X2624" s="89" t="n"/>
      <c r="Y2624" s="88" t="n"/>
      <c r="Z2624" s="89" t="n"/>
      <c r="AB2624" s="25">
        <f>IF($B2624="","",(COUNTIF(C2624:E2624,"?*")&lt;N(INDEX(Setup!$L$6:$L$23,17)))+(COUNTIF(G2624:I2624,"?*")&lt;N(INDEX(Setup!$L$6:$L$23,17)))+(COUNTIF(K2624:M2624,"?*")&lt;N(INDEX(Setup!$L$6:$L$23,17)))+(COUNTIF(O2624:Q2624,"?*")&lt;N(INDEX(Setup!$L$6:$L$23,17)))+(COUNTIF(S2624:U2624,"?*")&lt;N(INDEX(Setup!$L$6:$L$23,17)))+((W2624="")*(INDEX(Setup!$M$6:$M$23,17)="Y"))+((Y2624="")*(INDEX(Setup!$M$6:$M$23,17)="Y")))</f>
        <v/>
      </c>
      <c r="AC2624" s="90">
        <f>IF($B2624="","",IF(AB2624=0,"✓ covered","⚠ "&amp;AB2624&amp;IF(AB2624=1," gap"," gaps")))</f>
        <v/>
      </c>
    </row>
    <row r="2625" ht="17" customHeight="1">
      <c r="A2625" t="n">
        <v>53</v>
      </c>
      <c r="B2625" s="29">
        <f>IF(Setup!$K$23="","",Setup!$K$23)</f>
        <v/>
      </c>
      <c r="C2625" s="88" t="n"/>
      <c r="D2625" s="88" t="n"/>
      <c r="E2625" s="88" t="n"/>
      <c r="F2625" s="89" t="n"/>
      <c r="G2625" s="88" t="n"/>
      <c r="H2625" s="88" t="n"/>
      <c r="I2625" s="88" t="n"/>
      <c r="J2625" s="89" t="n"/>
      <c r="K2625" s="88" t="n"/>
      <c r="L2625" s="88" t="n"/>
      <c r="M2625" s="88" t="n"/>
      <c r="N2625" s="89" t="n"/>
      <c r="O2625" s="88" t="n"/>
      <c r="P2625" s="88" t="n"/>
      <c r="Q2625" s="88" t="n"/>
      <c r="R2625" s="89" t="n"/>
      <c r="S2625" s="88" t="n"/>
      <c r="T2625" s="88" t="n"/>
      <c r="U2625" s="88" t="n"/>
      <c r="V2625" s="89" t="n"/>
      <c r="W2625" s="88" t="n"/>
      <c r="X2625" s="89" t="n"/>
      <c r="Y2625" s="88" t="n"/>
      <c r="Z2625" s="89" t="n"/>
      <c r="AB2625" s="30">
        <f>IF($B2625="","",(COUNTIF(C2625:E2625,"?*")&lt;N(INDEX(Setup!$L$6:$L$23,18)))+(COUNTIF(G2625:I2625,"?*")&lt;N(INDEX(Setup!$L$6:$L$23,18)))+(COUNTIF(K2625:M2625,"?*")&lt;N(INDEX(Setup!$L$6:$L$23,18)))+(COUNTIF(O2625:Q2625,"?*")&lt;N(INDEX(Setup!$L$6:$L$23,18)))+(COUNTIF(S2625:U2625,"?*")&lt;N(INDEX(Setup!$L$6:$L$23,18)))+((W2625="")*(INDEX(Setup!$M$6:$M$23,18)="Y"))+((Y2625="")*(INDEX(Setup!$M$6:$M$23,18)="Y")))</f>
        <v/>
      </c>
      <c r="AC2625" s="91">
        <f>IF($B2625="","",IF(AB2625=0,"✓ covered","⚠ "&amp;AB2625&amp;IF(AB2625=1," gap"," gaps")))</f>
        <v/>
      </c>
    </row>
    <row r="2626" ht="18" customHeight="1">
      <c r="A2626" t="n">
        <v>53</v>
      </c>
      <c r="B2626" s="78" t="inlineStr">
        <is>
          <t>TEAM AVAILABILITY</t>
        </is>
      </c>
      <c r="C2626" s="92" t="inlineStr">
        <is>
          <t>Mon</t>
        </is>
      </c>
      <c r="D2626" s="93" t="n"/>
      <c r="E2626" s="93" t="n"/>
      <c r="F2626" s="94" t="n"/>
      <c r="G2626" s="92" t="inlineStr">
        <is>
          <t>Tue</t>
        </is>
      </c>
      <c r="H2626" s="93" t="n"/>
      <c r="I2626" s="93" t="n"/>
      <c r="J2626" s="94" t="n"/>
      <c r="K2626" s="92" t="inlineStr">
        <is>
          <t>Wed</t>
        </is>
      </c>
      <c r="L2626" s="93" t="n"/>
      <c r="M2626" s="93" t="n"/>
      <c r="N2626" s="94" t="n"/>
      <c r="O2626" s="92" t="inlineStr">
        <is>
          <t>Thu</t>
        </is>
      </c>
      <c r="P2626" s="93" t="n"/>
      <c r="Q2626" s="93" t="n"/>
      <c r="R2626" s="94" t="n"/>
      <c r="S2626" s="92" t="inlineStr">
        <is>
          <t>Fri</t>
        </is>
      </c>
      <c r="T2626" s="93" t="n"/>
      <c r="U2626" s="93" t="n"/>
      <c r="V2626" s="94" t="n"/>
      <c r="W2626" s="95" t="inlineStr">
        <is>
          <t>Sat</t>
        </is>
      </c>
      <c r="X2626" s="96" t="n"/>
      <c r="Y2626" s="95" t="inlineStr">
        <is>
          <t>Sun</t>
        </is>
      </c>
      <c r="Z2626" s="96" t="n"/>
      <c r="AB2626" s="97" t="inlineStr">
        <is>
          <t>Days rostered</t>
        </is>
      </c>
      <c r="AC2626" s="97" t="inlineStr">
        <is>
          <t>Conflicts</t>
        </is>
      </c>
    </row>
    <row r="2627" ht="15" customHeight="1">
      <c r="A2627" t="n">
        <v>53</v>
      </c>
      <c r="B2627" s="35">
        <f>IF(Setup!$B$6="","",Setup!$B$6)</f>
        <v/>
      </c>
      <c r="C2627" s="98" t="n"/>
      <c r="D2627" s="99" t="n"/>
      <c r="E2627" s="99" t="n"/>
      <c r="F2627" s="100" t="n"/>
      <c r="G2627" s="98" t="n"/>
      <c r="H2627" s="99" t="n"/>
      <c r="I2627" s="99" t="n"/>
      <c r="J2627" s="100" t="n"/>
      <c r="K2627" s="98" t="n"/>
      <c r="L2627" s="99" t="n"/>
      <c r="M2627" s="99" t="n"/>
      <c r="N2627" s="100" t="n"/>
      <c r="O2627" s="98" t="n"/>
      <c r="P2627" s="99" t="n"/>
      <c r="Q2627" s="99" t="n"/>
      <c r="R2627" s="100" t="n"/>
      <c r="S2627" s="98" t="n"/>
      <c r="T2627" s="99" t="n"/>
      <c r="U2627" s="99" t="n"/>
      <c r="V2627" s="100" t="n"/>
      <c r="W2627" s="98" t="n"/>
      <c r="X2627" s="100" t="n"/>
      <c r="Y2627" s="98" t="n"/>
      <c r="Z2627" s="100" t="n"/>
      <c r="AB2627" s="101">
        <f>IF($B2627="","",(COUNTIF(C2608:E2625,$B2627)+COUNTIF(C2608:E2625,$B2627&amp;" ~*")&gt;0)+(COUNTIF(G2608:I2625,$B2627)+COUNTIF(G2608:I2625,$B2627&amp;" ~*")&gt;0)+(COUNTIF(K2608:M2625,$B2627)+COUNTIF(K2608:M2625,$B2627&amp;" ~*")&gt;0)+(COUNTIF(O2608:Q2625,$B2627)+COUNTIF(O2608:Q2625,$B2627&amp;" ~*")&gt;0)+(COUNTIF(S2608:U2625,$B2627)+COUNTIF(S2608:U2625,$B2627&amp;" ~*")&gt;0)+(COUNTIF(W2608:W2625,$B2627)+COUNTIF(W2608:W2625,$B2627&amp;" ~*")&gt;0)+(COUNTIF(Y2608:Y2625,$B2627)+COUNTIF(Y2608:Y2625,$B2627&amp;" ~*")&gt;0))</f>
        <v/>
      </c>
      <c r="AC2627" s="36">
        <f>IF($B2627="","",(IFERROR(INDEX(Setup!$G$33:$G$40,MATCH(C2627,Setup!$B$33:$B$40,0)),0)=1)*(COUNTIF(C2608:E2625,$B2627)+COUNTIF(C2608:E2625,$B2627&amp;" ~*")&gt;0)+(IFERROR(INDEX(Setup!$G$33:$G$40,MATCH(G2627,Setup!$B$33:$B$40,0)),0)=1)*(COUNTIF(G2608:I2625,$B2627)+COUNTIF(G2608:I2625,$B2627&amp;" ~*")&gt;0)+(IFERROR(INDEX(Setup!$G$33:$G$40,MATCH(K2627,Setup!$B$33:$B$40,0)),0)=1)*(COUNTIF(K2608:M2625,$B2627)+COUNTIF(K2608:M2625,$B2627&amp;" ~*")&gt;0)+(IFERROR(INDEX(Setup!$G$33:$G$40,MATCH(O2627,Setup!$B$33:$B$40,0)),0)=1)*(COUNTIF(O2608:Q2625,$B2627)+COUNTIF(O2608:Q2625,$B2627&amp;" ~*")&gt;0)+(IFERROR(INDEX(Setup!$G$33:$G$40,MATCH(S2627,Setup!$B$33:$B$40,0)),0)=1)*(COUNTIF(S2608:U2625,$B2627)+COUNTIF(S2608:U2625,$B2627&amp;" ~*")&gt;0)+(IFERROR(INDEX(Setup!$G$33:$G$40,MATCH(W2627,Setup!$B$33:$B$40,0)),0)=1)*(COUNTIF(W2608:W2625,$B2627)+COUNTIF(W2608:W2625,$B2627&amp;" ~*")&gt;0)+(IFERROR(INDEX(Setup!$G$33:$G$40,MATCH(Y2627,Setup!$B$33:$B$40,0)),0)=1)*(COUNTIF(Y2608:Y2625,$B2627)+COUNTIF(Y2608:Y2625,$B2627&amp;" ~*")&gt;0))</f>
        <v/>
      </c>
    </row>
    <row r="2628" ht="15" customHeight="1">
      <c r="A2628" t="n">
        <v>53</v>
      </c>
      <c r="B2628" s="37">
        <f>IF(Setup!$B$7="","",Setup!$B$7)</f>
        <v/>
      </c>
      <c r="C2628" s="102" t="n"/>
      <c r="D2628" s="103" t="n"/>
      <c r="E2628" s="103" t="n"/>
      <c r="F2628" s="104" t="n"/>
      <c r="G2628" s="102" t="n"/>
      <c r="H2628" s="103" t="n"/>
      <c r="I2628" s="103" t="n"/>
      <c r="J2628" s="104" t="n"/>
      <c r="K2628" s="102" t="n"/>
      <c r="L2628" s="103" t="n"/>
      <c r="M2628" s="103" t="n"/>
      <c r="N2628" s="104" t="n"/>
      <c r="O2628" s="102" t="n"/>
      <c r="P2628" s="103" t="n"/>
      <c r="Q2628" s="103" t="n"/>
      <c r="R2628" s="104" t="n"/>
      <c r="S2628" s="102" t="n"/>
      <c r="T2628" s="103" t="n"/>
      <c r="U2628" s="103" t="n"/>
      <c r="V2628" s="104" t="n"/>
      <c r="W2628" s="102" t="n"/>
      <c r="X2628" s="104" t="n"/>
      <c r="Y2628" s="102" t="n"/>
      <c r="Z2628" s="104" t="n"/>
      <c r="AB2628" s="105">
        <f>IF($B2628="","",(COUNTIF(C2608:E2625,$B2628)+COUNTIF(C2608:E2625,$B2628&amp;" ~*")&gt;0)+(COUNTIF(G2608:I2625,$B2628)+COUNTIF(G2608:I2625,$B2628&amp;" ~*")&gt;0)+(COUNTIF(K2608:M2625,$B2628)+COUNTIF(K2608:M2625,$B2628&amp;" ~*")&gt;0)+(COUNTIF(O2608:Q2625,$B2628)+COUNTIF(O2608:Q2625,$B2628&amp;" ~*")&gt;0)+(COUNTIF(S2608:U2625,$B2628)+COUNTIF(S2608:U2625,$B2628&amp;" ~*")&gt;0)+(COUNTIF(W2608:W2625,$B2628)+COUNTIF(W2608:W2625,$B2628&amp;" ~*")&gt;0)+(COUNTIF(Y2608:Y2625,$B2628)+COUNTIF(Y2608:Y2625,$B2628&amp;" ~*")&gt;0))</f>
        <v/>
      </c>
      <c r="AC2628" s="38">
        <f>IF($B2628="","",(IFERROR(INDEX(Setup!$G$33:$G$40,MATCH(C2628,Setup!$B$33:$B$40,0)),0)=1)*(COUNTIF(C2608:E2625,$B2628)+COUNTIF(C2608:E2625,$B2628&amp;" ~*")&gt;0)+(IFERROR(INDEX(Setup!$G$33:$G$40,MATCH(G2628,Setup!$B$33:$B$40,0)),0)=1)*(COUNTIF(G2608:I2625,$B2628)+COUNTIF(G2608:I2625,$B2628&amp;" ~*")&gt;0)+(IFERROR(INDEX(Setup!$G$33:$G$40,MATCH(K2628,Setup!$B$33:$B$40,0)),0)=1)*(COUNTIF(K2608:M2625,$B2628)+COUNTIF(K2608:M2625,$B2628&amp;" ~*")&gt;0)+(IFERROR(INDEX(Setup!$G$33:$G$40,MATCH(O2628,Setup!$B$33:$B$40,0)),0)=1)*(COUNTIF(O2608:Q2625,$B2628)+COUNTIF(O2608:Q2625,$B2628&amp;" ~*")&gt;0)+(IFERROR(INDEX(Setup!$G$33:$G$40,MATCH(S2628,Setup!$B$33:$B$40,0)),0)=1)*(COUNTIF(S2608:U2625,$B2628)+COUNTIF(S2608:U2625,$B2628&amp;" ~*")&gt;0)+(IFERROR(INDEX(Setup!$G$33:$G$40,MATCH(W2628,Setup!$B$33:$B$40,0)),0)=1)*(COUNTIF(W2608:W2625,$B2628)+COUNTIF(W2608:W2625,$B2628&amp;" ~*")&gt;0)+(IFERROR(INDEX(Setup!$G$33:$G$40,MATCH(Y2628,Setup!$B$33:$B$40,0)),0)=1)*(COUNTIF(Y2608:Y2625,$B2628)+COUNTIF(Y2608:Y2625,$B2628&amp;" ~*")&gt;0))</f>
        <v/>
      </c>
    </row>
    <row r="2629" ht="15" customHeight="1">
      <c r="A2629" t="n">
        <v>53</v>
      </c>
      <c r="B2629" s="35">
        <f>IF(Setup!$B$8="","",Setup!$B$8)</f>
        <v/>
      </c>
      <c r="C2629" s="98" t="n"/>
      <c r="D2629" s="99" t="n"/>
      <c r="E2629" s="99" t="n"/>
      <c r="F2629" s="100" t="n"/>
      <c r="G2629" s="98" t="n"/>
      <c r="H2629" s="99" t="n"/>
      <c r="I2629" s="99" t="n"/>
      <c r="J2629" s="100" t="n"/>
      <c r="K2629" s="98" t="n"/>
      <c r="L2629" s="99" t="n"/>
      <c r="M2629" s="99" t="n"/>
      <c r="N2629" s="100" t="n"/>
      <c r="O2629" s="98" t="n"/>
      <c r="P2629" s="99" t="n"/>
      <c r="Q2629" s="99" t="n"/>
      <c r="R2629" s="100" t="n"/>
      <c r="S2629" s="98" t="n"/>
      <c r="T2629" s="99" t="n"/>
      <c r="U2629" s="99" t="n"/>
      <c r="V2629" s="100" t="n"/>
      <c r="W2629" s="98" t="n"/>
      <c r="X2629" s="100" t="n"/>
      <c r="Y2629" s="98" t="n"/>
      <c r="Z2629" s="100" t="n"/>
      <c r="AB2629" s="101">
        <f>IF($B2629="","",(COUNTIF(C2608:E2625,$B2629)+COUNTIF(C2608:E2625,$B2629&amp;" ~*")&gt;0)+(COUNTIF(G2608:I2625,$B2629)+COUNTIF(G2608:I2625,$B2629&amp;" ~*")&gt;0)+(COUNTIF(K2608:M2625,$B2629)+COUNTIF(K2608:M2625,$B2629&amp;" ~*")&gt;0)+(COUNTIF(O2608:Q2625,$B2629)+COUNTIF(O2608:Q2625,$B2629&amp;" ~*")&gt;0)+(COUNTIF(S2608:U2625,$B2629)+COUNTIF(S2608:U2625,$B2629&amp;" ~*")&gt;0)+(COUNTIF(W2608:W2625,$B2629)+COUNTIF(W2608:W2625,$B2629&amp;" ~*")&gt;0)+(COUNTIF(Y2608:Y2625,$B2629)+COUNTIF(Y2608:Y2625,$B2629&amp;" ~*")&gt;0))</f>
        <v/>
      </c>
      <c r="AC2629" s="36">
        <f>IF($B2629="","",(IFERROR(INDEX(Setup!$G$33:$G$40,MATCH(C2629,Setup!$B$33:$B$40,0)),0)=1)*(COUNTIF(C2608:E2625,$B2629)+COUNTIF(C2608:E2625,$B2629&amp;" ~*")&gt;0)+(IFERROR(INDEX(Setup!$G$33:$G$40,MATCH(G2629,Setup!$B$33:$B$40,0)),0)=1)*(COUNTIF(G2608:I2625,$B2629)+COUNTIF(G2608:I2625,$B2629&amp;" ~*")&gt;0)+(IFERROR(INDEX(Setup!$G$33:$G$40,MATCH(K2629,Setup!$B$33:$B$40,0)),0)=1)*(COUNTIF(K2608:M2625,$B2629)+COUNTIF(K2608:M2625,$B2629&amp;" ~*")&gt;0)+(IFERROR(INDEX(Setup!$G$33:$G$40,MATCH(O2629,Setup!$B$33:$B$40,0)),0)=1)*(COUNTIF(O2608:Q2625,$B2629)+COUNTIF(O2608:Q2625,$B2629&amp;" ~*")&gt;0)+(IFERROR(INDEX(Setup!$G$33:$G$40,MATCH(S2629,Setup!$B$33:$B$40,0)),0)=1)*(COUNTIF(S2608:U2625,$B2629)+COUNTIF(S2608:U2625,$B2629&amp;" ~*")&gt;0)+(IFERROR(INDEX(Setup!$G$33:$G$40,MATCH(W2629,Setup!$B$33:$B$40,0)),0)=1)*(COUNTIF(W2608:W2625,$B2629)+COUNTIF(W2608:W2625,$B2629&amp;" ~*")&gt;0)+(IFERROR(INDEX(Setup!$G$33:$G$40,MATCH(Y2629,Setup!$B$33:$B$40,0)),0)=1)*(COUNTIF(Y2608:Y2625,$B2629)+COUNTIF(Y2608:Y2625,$B2629&amp;" ~*")&gt;0))</f>
        <v/>
      </c>
    </row>
    <row r="2630" ht="15" customHeight="1">
      <c r="A2630" t="n">
        <v>53</v>
      </c>
      <c r="B2630" s="37">
        <f>IF(Setup!$B$9="","",Setup!$B$9)</f>
        <v/>
      </c>
      <c r="C2630" s="102" t="n"/>
      <c r="D2630" s="103" t="n"/>
      <c r="E2630" s="103" t="n"/>
      <c r="F2630" s="104" t="n"/>
      <c r="G2630" s="102" t="n"/>
      <c r="H2630" s="103" t="n"/>
      <c r="I2630" s="103" t="n"/>
      <c r="J2630" s="104" t="n"/>
      <c r="K2630" s="102" t="n"/>
      <c r="L2630" s="103" t="n"/>
      <c r="M2630" s="103" t="n"/>
      <c r="N2630" s="104" t="n"/>
      <c r="O2630" s="102" t="n"/>
      <c r="P2630" s="103" t="n"/>
      <c r="Q2630" s="103" t="n"/>
      <c r="R2630" s="104" t="n"/>
      <c r="S2630" s="102" t="n"/>
      <c r="T2630" s="103" t="n"/>
      <c r="U2630" s="103" t="n"/>
      <c r="V2630" s="104" t="n"/>
      <c r="W2630" s="102" t="n"/>
      <c r="X2630" s="104" t="n"/>
      <c r="Y2630" s="102" t="n"/>
      <c r="Z2630" s="104" t="n"/>
      <c r="AB2630" s="105">
        <f>IF($B2630="","",(COUNTIF(C2608:E2625,$B2630)+COUNTIF(C2608:E2625,$B2630&amp;" ~*")&gt;0)+(COUNTIF(G2608:I2625,$B2630)+COUNTIF(G2608:I2625,$B2630&amp;" ~*")&gt;0)+(COUNTIF(K2608:M2625,$B2630)+COUNTIF(K2608:M2625,$B2630&amp;" ~*")&gt;0)+(COUNTIF(O2608:Q2625,$B2630)+COUNTIF(O2608:Q2625,$B2630&amp;" ~*")&gt;0)+(COUNTIF(S2608:U2625,$B2630)+COUNTIF(S2608:U2625,$B2630&amp;" ~*")&gt;0)+(COUNTIF(W2608:W2625,$B2630)+COUNTIF(W2608:W2625,$B2630&amp;" ~*")&gt;0)+(COUNTIF(Y2608:Y2625,$B2630)+COUNTIF(Y2608:Y2625,$B2630&amp;" ~*")&gt;0))</f>
        <v/>
      </c>
      <c r="AC2630" s="38">
        <f>IF($B2630="","",(IFERROR(INDEX(Setup!$G$33:$G$40,MATCH(C2630,Setup!$B$33:$B$40,0)),0)=1)*(COUNTIF(C2608:E2625,$B2630)+COUNTIF(C2608:E2625,$B2630&amp;" ~*")&gt;0)+(IFERROR(INDEX(Setup!$G$33:$G$40,MATCH(G2630,Setup!$B$33:$B$40,0)),0)=1)*(COUNTIF(G2608:I2625,$B2630)+COUNTIF(G2608:I2625,$B2630&amp;" ~*")&gt;0)+(IFERROR(INDEX(Setup!$G$33:$G$40,MATCH(K2630,Setup!$B$33:$B$40,0)),0)=1)*(COUNTIF(K2608:M2625,$B2630)+COUNTIF(K2608:M2625,$B2630&amp;" ~*")&gt;0)+(IFERROR(INDEX(Setup!$G$33:$G$40,MATCH(O2630,Setup!$B$33:$B$40,0)),0)=1)*(COUNTIF(O2608:Q2625,$B2630)+COUNTIF(O2608:Q2625,$B2630&amp;" ~*")&gt;0)+(IFERROR(INDEX(Setup!$G$33:$G$40,MATCH(S2630,Setup!$B$33:$B$40,0)),0)=1)*(COUNTIF(S2608:U2625,$B2630)+COUNTIF(S2608:U2625,$B2630&amp;" ~*")&gt;0)+(IFERROR(INDEX(Setup!$G$33:$G$40,MATCH(W2630,Setup!$B$33:$B$40,0)),0)=1)*(COUNTIF(W2608:W2625,$B2630)+COUNTIF(W2608:W2625,$B2630&amp;" ~*")&gt;0)+(IFERROR(INDEX(Setup!$G$33:$G$40,MATCH(Y2630,Setup!$B$33:$B$40,0)),0)=1)*(COUNTIF(Y2608:Y2625,$B2630)+COUNTIF(Y2608:Y2625,$B2630&amp;" ~*")&gt;0))</f>
        <v/>
      </c>
    </row>
    <row r="2631" ht="15" customHeight="1">
      <c r="A2631" t="n">
        <v>53</v>
      </c>
      <c r="B2631" s="35">
        <f>IF(Setup!$B$10="","",Setup!$B$10)</f>
        <v/>
      </c>
      <c r="C2631" s="98" t="n"/>
      <c r="D2631" s="99" t="n"/>
      <c r="E2631" s="99" t="n"/>
      <c r="F2631" s="100" t="n"/>
      <c r="G2631" s="98" t="n"/>
      <c r="H2631" s="99" t="n"/>
      <c r="I2631" s="99" t="n"/>
      <c r="J2631" s="100" t="n"/>
      <c r="K2631" s="98" t="n"/>
      <c r="L2631" s="99" t="n"/>
      <c r="M2631" s="99" t="n"/>
      <c r="N2631" s="100" t="n"/>
      <c r="O2631" s="98" t="n"/>
      <c r="P2631" s="99" t="n"/>
      <c r="Q2631" s="99" t="n"/>
      <c r="R2631" s="100" t="n"/>
      <c r="S2631" s="98" t="n"/>
      <c r="T2631" s="99" t="n"/>
      <c r="U2631" s="99" t="n"/>
      <c r="V2631" s="100" t="n"/>
      <c r="W2631" s="98" t="n"/>
      <c r="X2631" s="100" t="n"/>
      <c r="Y2631" s="98" t="n"/>
      <c r="Z2631" s="100" t="n"/>
      <c r="AB2631" s="101">
        <f>IF($B2631="","",(COUNTIF(C2608:E2625,$B2631)+COUNTIF(C2608:E2625,$B2631&amp;" ~*")&gt;0)+(COUNTIF(G2608:I2625,$B2631)+COUNTIF(G2608:I2625,$B2631&amp;" ~*")&gt;0)+(COUNTIF(K2608:M2625,$B2631)+COUNTIF(K2608:M2625,$B2631&amp;" ~*")&gt;0)+(COUNTIF(O2608:Q2625,$B2631)+COUNTIF(O2608:Q2625,$B2631&amp;" ~*")&gt;0)+(COUNTIF(S2608:U2625,$B2631)+COUNTIF(S2608:U2625,$B2631&amp;" ~*")&gt;0)+(COUNTIF(W2608:W2625,$B2631)+COUNTIF(W2608:W2625,$B2631&amp;" ~*")&gt;0)+(COUNTIF(Y2608:Y2625,$B2631)+COUNTIF(Y2608:Y2625,$B2631&amp;" ~*")&gt;0))</f>
        <v/>
      </c>
      <c r="AC2631" s="36">
        <f>IF($B2631="","",(IFERROR(INDEX(Setup!$G$33:$G$40,MATCH(C2631,Setup!$B$33:$B$40,0)),0)=1)*(COUNTIF(C2608:E2625,$B2631)+COUNTIF(C2608:E2625,$B2631&amp;" ~*")&gt;0)+(IFERROR(INDEX(Setup!$G$33:$G$40,MATCH(G2631,Setup!$B$33:$B$40,0)),0)=1)*(COUNTIF(G2608:I2625,$B2631)+COUNTIF(G2608:I2625,$B2631&amp;" ~*")&gt;0)+(IFERROR(INDEX(Setup!$G$33:$G$40,MATCH(K2631,Setup!$B$33:$B$40,0)),0)=1)*(COUNTIF(K2608:M2625,$B2631)+COUNTIF(K2608:M2625,$B2631&amp;" ~*")&gt;0)+(IFERROR(INDEX(Setup!$G$33:$G$40,MATCH(O2631,Setup!$B$33:$B$40,0)),0)=1)*(COUNTIF(O2608:Q2625,$B2631)+COUNTIF(O2608:Q2625,$B2631&amp;" ~*")&gt;0)+(IFERROR(INDEX(Setup!$G$33:$G$40,MATCH(S2631,Setup!$B$33:$B$40,0)),0)=1)*(COUNTIF(S2608:U2625,$B2631)+COUNTIF(S2608:U2625,$B2631&amp;" ~*")&gt;0)+(IFERROR(INDEX(Setup!$G$33:$G$40,MATCH(W2631,Setup!$B$33:$B$40,0)),0)=1)*(COUNTIF(W2608:W2625,$B2631)+COUNTIF(W2608:W2625,$B2631&amp;" ~*")&gt;0)+(IFERROR(INDEX(Setup!$G$33:$G$40,MATCH(Y2631,Setup!$B$33:$B$40,0)),0)=1)*(COUNTIF(Y2608:Y2625,$B2631)+COUNTIF(Y2608:Y2625,$B2631&amp;" ~*")&gt;0))</f>
        <v/>
      </c>
    </row>
    <row r="2632" ht="15" customHeight="1">
      <c r="A2632" t="n">
        <v>53</v>
      </c>
      <c r="B2632" s="37">
        <f>IF(Setup!$B$11="","",Setup!$B$11)</f>
        <v/>
      </c>
      <c r="C2632" s="102" t="n"/>
      <c r="D2632" s="103" t="n"/>
      <c r="E2632" s="103" t="n"/>
      <c r="F2632" s="104" t="n"/>
      <c r="G2632" s="102" t="n"/>
      <c r="H2632" s="103" t="n"/>
      <c r="I2632" s="103" t="n"/>
      <c r="J2632" s="104" t="n"/>
      <c r="K2632" s="102" t="n"/>
      <c r="L2632" s="103" t="n"/>
      <c r="M2632" s="103" t="n"/>
      <c r="N2632" s="104" t="n"/>
      <c r="O2632" s="102" t="n"/>
      <c r="P2632" s="103" t="n"/>
      <c r="Q2632" s="103" t="n"/>
      <c r="R2632" s="104" t="n"/>
      <c r="S2632" s="102" t="n"/>
      <c r="T2632" s="103" t="n"/>
      <c r="U2632" s="103" t="n"/>
      <c r="V2632" s="104" t="n"/>
      <c r="W2632" s="102" t="n"/>
      <c r="X2632" s="104" t="n"/>
      <c r="Y2632" s="102" t="n"/>
      <c r="Z2632" s="104" t="n"/>
      <c r="AB2632" s="105">
        <f>IF($B2632="","",(COUNTIF(C2608:E2625,$B2632)+COUNTIF(C2608:E2625,$B2632&amp;" ~*")&gt;0)+(COUNTIF(G2608:I2625,$B2632)+COUNTIF(G2608:I2625,$B2632&amp;" ~*")&gt;0)+(COUNTIF(K2608:M2625,$B2632)+COUNTIF(K2608:M2625,$B2632&amp;" ~*")&gt;0)+(COUNTIF(O2608:Q2625,$B2632)+COUNTIF(O2608:Q2625,$B2632&amp;" ~*")&gt;0)+(COUNTIF(S2608:U2625,$B2632)+COUNTIF(S2608:U2625,$B2632&amp;" ~*")&gt;0)+(COUNTIF(W2608:W2625,$B2632)+COUNTIF(W2608:W2625,$B2632&amp;" ~*")&gt;0)+(COUNTIF(Y2608:Y2625,$B2632)+COUNTIF(Y2608:Y2625,$B2632&amp;" ~*")&gt;0))</f>
        <v/>
      </c>
      <c r="AC2632" s="38">
        <f>IF($B2632="","",(IFERROR(INDEX(Setup!$G$33:$G$40,MATCH(C2632,Setup!$B$33:$B$40,0)),0)=1)*(COUNTIF(C2608:E2625,$B2632)+COUNTIF(C2608:E2625,$B2632&amp;" ~*")&gt;0)+(IFERROR(INDEX(Setup!$G$33:$G$40,MATCH(G2632,Setup!$B$33:$B$40,0)),0)=1)*(COUNTIF(G2608:I2625,$B2632)+COUNTIF(G2608:I2625,$B2632&amp;" ~*")&gt;0)+(IFERROR(INDEX(Setup!$G$33:$G$40,MATCH(K2632,Setup!$B$33:$B$40,0)),0)=1)*(COUNTIF(K2608:M2625,$B2632)+COUNTIF(K2608:M2625,$B2632&amp;" ~*")&gt;0)+(IFERROR(INDEX(Setup!$G$33:$G$40,MATCH(O2632,Setup!$B$33:$B$40,0)),0)=1)*(COUNTIF(O2608:Q2625,$B2632)+COUNTIF(O2608:Q2625,$B2632&amp;" ~*")&gt;0)+(IFERROR(INDEX(Setup!$G$33:$G$40,MATCH(S2632,Setup!$B$33:$B$40,0)),0)=1)*(COUNTIF(S2608:U2625,$B2632)+COUNTIF(S2608:U2625,$B2632&amp;" ~*")&gt;0)+(IFERROR(INDEX(Setup!$G$33:$G$40,MATCH(W2632,Setup!$B$33:$B$40,0)),0)=1)*(COUNTIF(W2608:W2625,$B2632)+COUNTIF(W2608:W2625,$B2632&amp;" ~*")&gt;0)+(IFERROR(INDEX(Setup!$G$33:$G$40,MATCH(Y2632,Setup!$B$33:$B$40,0)),0)=1)*(COUNTIF(Y2608:Y2625,$B2632)+COUNTIF(Y2608:Y2625,$B2632&amp;" ~*")&gt;0))</f>
        <v/>
      </c>
    </row>
    <row r="2633" ht="15" customHeight="1">
      <c r="A2633" t="n">
        <v>53</v>
      </c>
      <c r="B2633" s="35">
        <f>IF(Setup!$B$12="","",Setup!$B$12)</f>
        <v/>
      </c>
      <c r="C2633" s="98" t="n"/>
      <c r="D2633" s="99" t="n"/>
      <c r="E2633" s="99" t="n"/>
      <c r="F2633" s="100" t="n"/>
      <c r="G2633" s="98" t="n"/>
      <c r="H2633" s="99" t="n"/>
      <c r="I2633" s="99" t="n"/>
      <c r="J2633" s="100" t="n"/>
      <c r="K2633" s="98" t="n"/>
      <c r="L2633" s="99" t="n"/>
      <c r="M2633" s="99" t="n"/>
      <c r="N2633" s="100" t="n"/>
      <c r="O2633" s="98" t="n"/>
      <c r="P2633" s="99" t="n"/>
      <c r="Q2633" s="99" t="n"/>
      <c r="R2633" s="100" t="n"/>
      <c r="S2633" s="98" t="n"/>
      <c r="T2633" s="99" t="n"/>
      <c r="U2633" s="99" t="n"/>
      <c r="V2633" s="100" t="n"/>
      <c r="W2633" s="98" t="n"/>
      <c r="X2633" s="100" t="n"/>
      <c r="Y2633" s="98" t="n"/>
      <c r="Z2633" s="100" t="n"/>
      <c r="AB2633" s="101">
        <f>IF($B2633="","",(COUNTIF(C2608:E2625,$B2633)+COUNTIF(C2608:E2625,$B2633&amp;" ~*")&gt;0)+(COUNTIF(G2608:I2625,$B2633)+COUNTIF(G2608:I2625,$B2633&amp;" ~*")&gt;0)+(COUNTIF(K2608:M2625,$B2633)+COUNTIF(K2608:M2625,$B2633&amp;" ~*")&gt;0)+(COUNTIF(O2608:Q2625,$B2633)+COUNTIF(O2608:Q2625,$B2633&amp;" ~*")&gt;0)+(COUNTIF(S2608:U2625,$B2633)+COUNTIF(S2608:U2625,$B2633&amp;" ~*")&gt;0)+(COUNTIF(W2608:W2625,$B2633)+COUNTIF(W2608:W2625,$B2633&amp;" ~*")&gt;0)+(COUNTIF(Y2608:Y2625,$B2633)+COUNTIF(Y2608:Y2625,$B2633&amp;" ~*")&gt;0))</f>
        <v/>
      </c>
      <c r="AC2633" s="36">
        <f>IF($B2633="","",(IFERROR(INDEX(Setup!$G$33:$G$40,MATCH(C2633,Setup!$B$33:$B$40,0)),0)=1)*(COUNTIF(C2608:E2625,$B2633)+COUNTIF(C2608:E2625,$B2633&amp;" ~*")&gt;0)+(IFERROR(INDEX(Setup!$G$33:$G$40,MATCH(G2633,Setup!$B$33:$B$40,0)),0)=1)*(COUNTIF(G2608:I2625,$B2633)+COUNTIF(G2608:I2625,$B2633&amp;" ~*")&gt;0)+(IFERROR(INDEX(Setup!$G$33:$G$40,MATCH(K2633,Setup!$B$33:$B$40,0)),0)=1)*(COUNTIF(K2608:M2625,$B2633)+COUNTIF(K2608:M2625,$B2633&amp;" ~*")&gt;0)+(IFERROR(INDEX(Setup!$G$33:$G$40,MATCH(O2633,Setup!$B$33:$B$40,0)),0)=1)*(COUNTIF(O2608:Q2625,$B2633)+COUNTIF(O2608:Q2625,$B2633&amp;" ~*")&gt;0)+(IFERROR(INDEX(Setup!$G$33:$G$40,MATCH(S2633,Setup!$B$33:$B$40,0)),0)=1)*(COUNTIF(S2608:U2625,$B2633)+COUNTIF(S2608:U2625,$B2633&amp;" ~*")&gt;0)+(IFERROR(INDEX(Setup!$G$33:$G$40,MATCH(W2633,Setup!$B$33:$B$40,0)),0)=1)*(COUNTIF(W2608:W2625,$B2633)+COUNTIF(W2608:W2625,$B2633&amp;" ~*")&gt;0)+(IFERROR(INDEX(Setup!$G$33:$G$40,MATCH(Y2633,Setup!$B$33:$B$40,0)),0)=1)*(COUNTIF(Y2608:Y2625,$B2633)+COUNTIF(Y2608:Y2625,$B2633&amp;" ~*")&gt;0))</f>
        <v/>
      </c>
    </row>
    <row r="2634" ht="15" customHeight="1">
      <c r="A2634" t="n">
        <v>53</v>
      </c>
      <c r="B2634" s="37">
        <f>IF(Setup!$B$13="","",Setup!$B$13)</f>
        <v/>
      </c>
      <c r="C2634" s="102" t="n"/>
      <c r="D2634" s="103" t="n"/>
      <c r="E2634" s="103" t="n"/>
      <c r="F2634" s="104" t="n"/>
      <c r="G2634" s="102" t="n"/>
      <c r="H2634" s="103" t="n"/>
      <c r="I2634" s="103" t="n"/>
      <c r="J2634" s="104" t="n"/>
      <c r="K2634" s="102" t="n"/>
      <c r="L2634" s="103" t="n"/>
      <c r="M2634" s="103" t="n"/>
      <c r="N2634" s="104" t="n"/>
      <c r="O2634" s="102" t="n"/>
      <c r="P2634" s="103" t="n"/>
      <c r="Q2634" s="103" t="n"/>
      <c r="R2634" s="104" t="n"/>
      <c r="S2634" s="102" t="n"/>
      <c r="T2634" s="103" t="n"/>
      <c r="U2634" s="103" t="n"/>
      <c r="V2634" s="104" t="n"/>
      <c r="W2634" s="102" t="n"/>
      <c r="X2634" s="104" t="n"/>
      <c r="Y2634" s="102" t="n"/>
      <c r="Z2634" s="104" t="n"/>
      <c r="AB2634" s="105">
        <f>IF($B2634="","",(COUNTIF(C2608:E2625,$B2634)+COUNTIF(C2608:E2625,$B2634&amp;" ~*")&gt;0)+(COUNTIF(G2608:I2625,$B2634)+COUNTIF(G2608:I2625,$B2634&amp;" ~*")&gt;0)+(COUNTIF(K2608:M2625,$B2634)+COUNTIF(K2608:M2625,$B2634&amp;" ~*")&gt;0)+(COUNTIF(O2608:Q2625,$B2634)+COUNTIF(O2608:Q2625,$B2634&amp;" ~*")&gt;0)+(COUNTIF(S2608:U2625,$B2634)+COUNTIF(S2608:U2625,$B2634&amp;" ~*")&gt;0)+(COUNTIF(W2608:W2625,$B2634)+COUNTIF(W2608:W2625,$B2634&amp;" ~*")&gt;0)+(COUNTIF(Y2608:Y2625,$B2634)+COUNTIF(Y2608:Y2625,$B2634&amp;" ~*")&gt;0))</f>
        <v/>
      </c>
      <c r="AC2634" s="38">
        <f>IF($B2634="","",(IFERROR(INDEX(Setup!$G$33:$G$40,MATCH(C2634,Setup!$B$33:$B$40,0)),0)=1)*(COUNTIF(C2608:E2625,$B2634)+COUNTIF(C2608:E2625,$B2634&amp;" ~*")&gt;0)+(IFERROR(INDEX(Setup!$G$33:$G$40,MATCH(G2634,Setup!$B$33:$B$40,0)),0)=1)*(COUNTIF(G2608:I2625,$B2634)+COUNTIF(G2608:I2625,$B2634&amp;" ~*")&gt;0)+(IFERROR(INDEX(Setup!$G$33:$G$40,MATCH(K2634,Setup!$B$33:$B$40,0)),0)=1)*(COUNTIF(K2608:M2625,$B2634)+COUNTIF(K2608:M2625,$B2634&amp;" ~*")&gt;0)+(IFERROR(INDEX(Setup!$G$33:$G$40,MATCH(O2634,Setup!$B$33:$B$40,0)),0)=1)*(COUNTIF(O2608:Q2625,$B2634)+COUNTIF(O2608:Q2625,$B2634&amp;" ~*")&gt;0)+(IFERROR(INDEX(Setup!$G$33:$G$40,MATCH(S2634,Setup!$B$33:$B$40,0)),0)=1)*(COUNTIF(S2608:U2625,$B2634)+COUNTIF(S2608:U2625,$B2634&amp;" ~*")&gt;0)+(IFERROR(INDEX(Setup!$G$33:$G$40,MATCH(W2634,Setup!$B$33:$B$40,0)),0)=1)*(COUNTIF(W2608:W2625,$B2634)+COUNTIF(W2608:W2625,$B2634&amp;" ~*")&gt;0)+(IFERROR(INDEX(Setup!$G$33:$G$40,MATCH(Y2634,Setup!$B$33:$B$40,0)),0)=1)*(COUNTIF(Y2608:Y2625,$B2634)+COUNTIF(Y2608:Y2625,$B2634&amp;" ~*")&gt;0))</f>
        <v/>
      </c>
    </row>
    <row r="2635" ht="15" customHeight="1">
      <c r="A2635" t="n">
        <v>53</v>
      </c>
      <c r="B2635" s="35">
        <f>IF(Setup!$B$14="","",Setup!$B$14)</f>
        <v/>
      </c>
      <c r="C2635" s="98" t="n"/>
      <c r="D2635" s="99" t="n"/>
      <c r="E2635" s="99" t="n"/>
      <c r="F2635" s="100" t="n"/>
      <c r="G2635" s="98" t="n"/>
      <c r="H2635" s="99" t="n"/>
      <c r="I2635" s="99" t="n"/>
      <c r="J2635" s="100" t="n"/>
      <c r="K2635" s="98" t="n"/>
      <c r="L2635" s="99" t="n"/>
      <c r="M2635" s="99" t="n"/>
      <c r="N2635" s="100" t="n"/>
      <c r="O2635" s="98" t="n"/>
      <c r="P2635" s="99" t="n"/>
      <c r="Q2635" s="99" t="n"/>
      <c r="R2635" s="100" t="n"/>
      <c r="S2635" s="98" t="n"/>
      <c r="T2635" s="99" t="n"/>
      <c r="U2635" s="99" t="n"/>
      <c r="V2635" s="100" t="n"/>
      <c r="W2635" s="98" t="n"/>
      <c r="X2635" s="100" t="n"/>
      <c r="Y2635" s="98" t="n"/>
      <c r="Z2635" s="100" t="n"/>
      <c r="AB2635" s="101">
        <f>IF($B2635="","",(COUNTIF(C2608:E2625,$B2635)+COUNTIF(C2608:E2625,$B2635&amp;" ~*")&gt;0)+(COUNTIF(G2608:I2625,$B2635)+COUNTIF(G2608:I2625,$B2635&amp;" ~*")&gt;0)+(COUNTIF(K2608:M2625,$B2635)+COUNTIF(K2608:M2625,$B2635&amp;" ~*")&gt;0)+(COUNTIF(O2608:Q2625,$B2635)+COUNTIF(O2608:Q2625,$B2635&amp;" ~*")&gt;0)+(COUNTIF(S2608:U2625,$B2635)+COUNTIF(S2608:U2625,$B2635&amp;" ~*")&gt;0)+(COUNTIF(W2608:W2625,$B2635)+COUNTIF(W2608:W2625,$B2635&amp;" ~*")&gt;0)+(COUNTIF(Y2608:Y2625,$B2635)+COUNTIF(Y2608:Y2625,$B2635&amp;" ~*")&gt;0))</f>
        <v/>
      </c>
      <c r="AC2635" s="36">
        <f>IF($B2635="","",(IFERROR(INDEX(Setup!$G$33:$G$40,MATCH(C2635,Setup!$B$33:$B$40,0)),0)=1)*(COUNTIF(C2608:E2625,$B2635)+COUNTIF(C2608:E2625,$B2635&amp;" ~*")&gt;0)+(IFERROR(INDEX(Setup!$G$33:$G$40,MATCH(G2635,Setup!$B$33:$B$40,0)),0)=1)*(COUNTIF(G2608:I2625,$B2635)+COUNTIF(G2608:I2625,$B2635&amp;" ~*")&gt;0)+(IFERROR(INDEX(Setup!$G$33:$G$40,MATCH(K2635,Setup!$B$33:$B$40,0)),0)=1)*(COUNTIF(K2608:M2625,$B2635)+COUNTIF(K2608:M2625,$B2635&amp;" ~*")&gt;0)+(IFERROR(INDEX(Setup!$G$33:$G$40,MATCH(O2635,Setup!$B$33:$B$40,0)),0)=1)*(COUNTIF(O2608:Q2625,$B2635)+COUNTIF(O2608:Q2625,$B2635&amp;" ~*")&gt;0)+(IFERROR(INDEX(Setup!$G$33:$G$40,MATCH(S2635,Setup!$B$33:$B$40,0)),0)=1)*(COUNTIF(S2608:U2625,$B2635)+COUNTIF(S2608:U2625,$B2635&amp;" ~*")&gt;0)+(IFERROR(INDEX(Setup!$G$33:$G$40,MATCH(W2635,Setup!$B$33:$B$40,0)),0)=1)*(COUNTIF(W2608:W2625,$B2635)+COUNTIF(W2608:W2625,$B2635&amp;" ~*")&gt;0)+(IFERROR(INDEX(Setup!$G$33:$G$40,MATCH(Y2635,Setup!$B$33:$B$40,0)),0)=1)*(COUNTIF(Y2608:Y2625,$B2635)+COUNTIF(Y2608:Y2625,$B2635&amp;" ~*")&gt;0))</f>
        <v/>
      </c>
    </row>
    <row r="2636" ht="15" customHeight="1">
      <c r="A2636" t="n">
        <v>53</v>
      </c>
      <c r="B2636" s="37">
        <f>IF(Setup!$B$15="","",Setup!$B$15)</f>
        <v/>
      </c>
      <c r="C2636" s="102" t="n"/>
      <c r="D2636" s="103" t="n"/>
      <c r="E2636" s="103" t="n"/>
      <c r="F2636" s="104" t="n"/>
      <c r="G2636" s="102" t="n"/>
      <c r="H2636" s="103" t="n"/>
      <c r="I2636" s="103" t="n"/>
      <c r="J2636" s="104" t="n"/>
      <c r="K2636" s="102" t="n"/>
      <c r="L2636" s="103" t="n"/>
      <c r="M2636" s="103" t="n"/>
      <c r="N2636" s="104" t="n"/>
      <c r="O2636" s="102" t="n"/>
      <c r="P2636" s="103" t="n"/>
      <c r="Q2636" s="103" t="n"/>
      <c r="R2636" s="104" t="n"/>
      <c r="S2636" s="102" t="n"/>
      <c r="T2636" s="103" t="n"/>
      <c r="U2636" s="103" t="n"/>
      <c r="V2636" s="104" t="n"/>
      <c r="W2636" s="102" t="n"/>
      <c r="X2636" s="104" t="n"/>
      <c r="Y2636" s="102" t="n"/>
      <c r="Z2636" s="104" t="n"/>
      <c r="AB2636" s="105">
        <f>IF($B2636="","",(COUNTIF(C2608:E2625,$B2636)+COUNTIF(C2608:E2625,$B2636&amp;" ~*")&gt;0)+(COUNTIF(G2608:I2625,$B2636)+COUNTIF(G2608:I2625,$B2636&amp;" ~*")&gt;0)+(COUNTIF(K2608:M2625,$B2636)+COUNTIF(K2608:M2625,$B2636&amp;" ~*")&gt;0)+(COUNTIF(O2608:Q2625,$B2636)+COUNTIF(O2608:Q2625,$B2636&amp;" ~*")&gt;0)+(COUNTIF(S2608:U2625,$B2636)+COUNTIF(S2608:U2625,$B2636&amp;" ~*")&gt;0)+(COUNTIF(W2608:W2625,$B2636)+COUNTIF(W2608:W2625,$B2636&amp;" ~*")&gt;0)+(COUNTIF(Y2608:Y2625,$B2636)+COUNTIF(Y2608:Y2625,$B2636&amp;" ~*")&gt;0))</f>
        <v/>
      </c>
      <c r="AC2636" s="38">
        <f>IF($B2636="","",(IFERROR(INDEX(Setup!$G$33:$G$40,MATCH(C2636,Setup!$B$33:$B$40,0)),0)=1)*(COUNTIF(C2608:E2625,$B2636)+COUNTIF(C2608:E2625,$B2636&amp;" ~*")&gt;0)+(IFERROR(INDEX(Setup!$G$33:$G$40,MATCH(G2636,Setup!$B$33:$B$40,0)),0)=1)*(COUNTIF(G2608:I2625,$B2636)+COUNTIF(G2608:I2625,$B2636&amp;" ~*")&gt;0)+(IFERROR(INDEX(Setup!$G$33:$G$40,MATCH(K2636,Setup!$B$33:$B$40,0)),0)=1)*(COUNTIF(K2608:M2625,$B2636)+COUNTIF(K2608:M2625,$B2636&amp;" ~*")&gt;0)+(IFERROR(INDEX(Setup!$G$33:$G$40,MATCH(O2636,Setup!$B$33:$B$40,0)),0)=1)*(COUNTIF(O2608:Q2625,$B2636)+COUNTIF(O2608:Q2625,$B2636&amp;" ~*")&gt;0)+(IFERROR(INDEX(Setup!$G$33:$G$40,MATCH(S2636,Setup!$B$33:$B$40,0)),0)=1)*(COUNTIF(S2608:U2625,$B2636)+COUNTIF(S2608:U2625,$B2636&amp;" ~*")&gt;0)+(IFERROR(INDEX(Setup!$G$33:$G$40,MATCH(W2636,Setup!$B$33:$B$40,0)),0)=1)*(COUNTIF(W2608:W2625,$B2636)+COUNTIF(W2608:W2625,$B2636&amp;" ~*")&gt;0)+(IFERROR(INDEX(Setup!$G$33:$G$40,MATCH(Y2636,Setup!$B$33:$B$40,0)),0)=1)*(COUNTIF(Y2608:Y2625,$B2636)+COUNTIF(Y2608:Y2625,$B2636&amp;" ~*")&gt;0))</f>
        <v/>
      </c>
    </row>
    <row r="2637" ht="15" customHeight="1">
      <c r="A2637" t="n">
        <v>53</v>
      </c>
      <c r="B2637" s="35">
        <f>IF(Setup!$B$16="","",Setup!$B$16)</f>
        <v/>
      </c>
      <c r="C2637" s="98" t="n"/>
      <c r="D2637" s="99" t="n"/>
      <c r="E2637" s="99" t="n"/>
      <c r="F2637" s="100" t="n"/>
      <c r="G2637" s="98" t="n"/>
      <c r="H2637" s="99" t="n"/>
      <c r="I2637" s="99" t="n"/>
      <c r="J2637" s="100" t="n"/>
      <c r="K2637" s="98" t="n"/>
      <c r="L2637" s="99" t="n"/>
      <c r="M2637" s="99" t="n"/>
      <c r="N2637" s="100" t="n"/>
      <c r="O2637" s="98" t="n"/>
      <c r="P2637" s="99" t="n"/>
      <c r="Q2637" s="99" t="n"/>
      <c r="R2637" s="100" t="n"/>
      <c r="S2637" s="98" t="n"/>
      <c r="T2637" s="99" t="n"/>
      <c r="U2637" s="99" t="n"/>
      <c r="V2637" s="100" t="n"/>
      <c r="W2637" s="98" t="n"/>
      <c r="X2637" s="100" t="n"/>
      <c r="Y2637" s="98" t="n"/>
      <c r="Z2637" s="100" t="n"/>
      <c r="AB2637" s="101">
        <f>IF($B2637="","",(COUNTIF(C2608:E2625,$B2637)+COUNTIF(C2608:E2625,$B2637&amp;" ~*")&gt;0)+(COUNTIF(G2608:I2625,$B2637)+COUNTIF(G2608:I2625,$B2637&amp;" ~*")&gt;0)+(COUNTIF(K2608:M2625,$B2637)+COUNTIF(K2608:M2625,$B2637&amp;" ~*")&gt;0)+(COUNTIF(O2608:Q2625,$B2637)+COUNTIF(O2608:Q2625,$B2637&amp;" ~*")&gt;0)+(COUNTIF(S2608:U2625,$B2637)+COUNTIF(S2608:U2625,$B2637&amp;" ~*")&gt;0)+(COUNTIF(W2608:W2625,$B2637)+COUNTIF(W2608:W2625,$B2637&amp;" ~*")&gt;0)+(COUNTIF(Y2608:Y2625,$B2637)+COUNTIF(Y2608:Y2625,$B2637&amp;" ~*")&gt;0))</f>
        <v/>
      </c>
      <c r="AC2637" s="36">
        <f>IF($B2637="","",(IFERROR(INDEX(Setup!$G$33:$G$40,MATCH(C2637,Setup!$B$33:$B$40,0)),0)=1)*(COUNTIF(C2608:E2625,$B2637)+COUNTIF(C2608:E2625,$B2637&amp;" ~*")&gt;0)+(IFERROR(INDEX(Setup!$G$33:$G$40,MATCH(G2637,Setup!$B$33:$B$40,0)),0)=1)*(COUNTIF(G2608:I2625,$B2637)+COUNTIF(G2608:I2625,$B2637&amp;" ~*")&gt;0)+(IFERROR(INDEX(Setup!$G$33:$G$40,MATCH(K2637,Setup!$B$33:$B$40,0)),0)=1)*(COUNTIF(K2608:M2625,$B2637)+COUNTIF(K2608:M2625,$B2637&amp;" ~*")&gt;0)+(IFERROR(INDEX(Setup!$G$33:$G$40,MATCH(O2637,Setup!$B$33:$B$40,0)),0)=1)*(COUNTIF(O2608:Q2625,$B2637)+COUNTIF(O2608:Q2625,$B2637&amp;" ~*")&gt;0)+(IFERROR(INDEX(Setup!$G$33:$G$40,MATCH(S2637,Setup!$B$33:$B$40,0)),0)=1)*(COUNTIF(S2608:U2625,$B2637)+COUNTIF(S2608:U2625,$B2637&amp;" ~*")&gt;0)+(IFERROR(INDEX(Setup!$G$33:$G$40,MATCH(W2637,Setup!$B$33:$B$40,0)),0)=1)*(COUNTIF(W2608:W2625,$B2637)+COUNTIF(W2608:W2625,$B2637&amp;" ~*")&gt;0)+(IFERROR(INDEX(Setup!$G$33:$G$40,MATCH(Y2637,Setup!$B$33:$B$40,0)),0)=1)*(COUNTIF(Y2608:Y2625,$B2637)+COUNTIF(Y2608:Y2625,$B2637&amp;" ~*")&gt;0))</f>
        <v/>
      </c>
    </row>
    <row r="2638" ht="15" customHeight="1">
      <c r="A2638" t="n">
        <v>53</v>
      </c>
      <c r="B2638" s="37">
        <f>IF(Setup!$B$17="","",Setup!$B$17)</f>
        <v/>
      </c>
      <c r="C2638" s="102" t="n"/>
      <c r="D2638" s="103" t="n"/>
      <c r="E2638" s="103" t="n"/>
      <c r="F2638" s="104" t="n"/>
      <c r="G2638" s="102" t="n"/>
      <c r="H2638" s="103" t="n"/>
      <c r="I2638" s="103" t="n"/>
      <c r="J2638" s="104" t="n"/>
      <c r="K2638" s="102" t="n"/>
      <c r="L2638" s="103" t="n"/>
      <c r="M2638" s="103" t="n"/>
      <c r="N2638" s="104" t="n"/>
      <c r="O2638" s="102" t="n"/>
      <c r="P2638" s="103" t="n"/>
      <c r="Q2638" s="103" t="n"/>
      <c r="R2638" s="104" t="n"/>
      <c r="S2638" s="102" t="n"/>
      <c r="T2638" s="103" t="n"/>
      <c r="U2638" s="103" t="n"/>
      <c r="V2638" s="104" t="n"/>
      <c r="W2638" s="102" t="n"/>
      <c r="X2638" s="104" t="n"/>
      <c r="Y2638" s="102" t="n"/>
      <c r="Z2638" s="104" t="n"/>
      <c r="AB2638" s="105">
        <f>IF($B2638="","",(COUNTIF(C2608:E2625,$B2638)+COUNTIF(C2608:E2625,$B2638&amp;" ~*")&gt;0)+(COUNTIF(G2608:I2625,$B2638)+COUNTIF(G2608:I2625,$B2638&amp;" ~*")&gt;0)+(COUNTIF(K2608:M2625,$B2638)+COUNTIF(K2608:M2625,$B2638&amp;" ~*")&gt;0)+(COUNTIF(O2608:Q2625,$B2638)+COUNTIF(O2608:Q2625,$B2638&amp;" ~*")&gt;0)+(COUNTIF(S2608:U2625,$B2638)+COUNTIF(S2608:U2625,$B2638&amp;" ~*")&gt;0)+(COUNTIF(W2608:W2625,$B2638)+COUNTIF(W2608:W2625,$B2638&amp;" ~*")&gt;0)+(COUNTIF(Y2608:Y2625,$B2638)+COUNTIF(Y2608:Y2625,$B2638&amp;" ~*")&gt;0))</f>
        <v/>
      </c>
      <c r="AC2638" s="38">
        <f>IF($B2638="","",(IFERROR(INDEX(Setup!$G$33:$G$40,MATCH(C2638,Setup!$B$33:$B$40,0)),0)=1)*(COUNTIF(C2608:E2625,$B2638)+COUNTIF(C2608:E2625,$B2638&amp;" ~*")&gt;0)+(IFERROR(INDEX(Setup!$G$33:$G$40,MATCH(G2638,Setup!$B$33:$B$40,0)),0)=1)*(COUNTIF(G2608:I2625,$B2638)+COUNTIF(G2608:I2625,$B2638&amp;" ~*")&gt;0)+(IFERROR(INDEX(Setup!$G$33:$G$40,MATCH(K2638,Setup!$B$33:$B$40,0)),0)=1)*(COUNTIF(K2608:M2625,$B2638)+COUNTIF(K2608:M2625,$B2638&amp;" ~*")&gt;0)+(IFERROR(INDEX(Setup!$G$33:$G$40,MATCH(O2638,Setup!$B$33:$B$40,0)),0)=1)*(COUNTIF(O2608:Q2625,$B2638)+COUNTIF(O2608:Q2625,$B2638&amp;" ~*")&gt;0)+(IFERROR(INDEX(Setup!$G$33:$G$40,MATCH(S2638,Setup!$B$33:$B$40,0)),0)=1)*(COUNTIF(S2608:U2625,$B2638)+COUNTIF(S2608:U2625,$B2638&amp;" ~*")&gt;0)+(IFERROR(INDEX(Setup!$G$33:$G$40,MATCH(W2638,Setup!$B$33:$B$40,0)),0)=1)*(COUNTIF(W2608:W2625,$B2638)+COUNTIF(W2608:W2625,$B2638&amp;" ~*")&gt;0)+(IFERROR(INDEX(Setup!$G$33:$G$40,MATCH(Y2638,Setup!$B$33:$B$40,0)),0)=1)*(COUNTIF(Y2608:Y2625,$B2638)+COUNTIF(Y2608:Y2625,$B2638&amp;" ~*")&gt;0))</f>
        <v/>
      </c>
    </row>
    <row r="2639" ht="15" customHeight="1">
      <c r="A2639" t="n">
        <v>53</v>
      </c>
      <c r="B2639" s="35">
        <f>IF(Setup!$B$18="","",Setup!$B$18)</f>
        <v/>
      </c>
      <c r="C2639" s="98" t="n"/>
      <c r="D2639" s="99" t="n"/>
      <c r="E2639" s="99" t="n"/>
      <c r="F2639" s="100" t="n"/>
      <c r="G2639" s="98" t="n"/>
      <c r="H2639" s="99" t="n"/>
      <c r="I2639" s="99" t="n"/>
      <c r="J2639" s="100" t="n"/>
      <c r="K2639" s="98" t="n"/>
      <c r="L2639" s="99" t="n"/>
      <c r="M2639" s="99" t="n"/>
      <c r="N2639" s="100" t="n"/>
      <c r="O2639" s="98" t="n"/>
      <c r="P2639" s="99" t="n"/>
      <c r="Q2639" s="99" t="n"/>
      <c r="R2639" s="100" t="n"/>
      <c r="S2639" s="98" t="n"/>
      <c r="T2639" s="99" t="n"/>
      <c r="U2639" s="99" t="n"/>
      <c r="V2639" s="100" t="n"/>
      <c r="W2639" s="98" t="n"/>
      <c r="X2639" s="100" t="n"/>
      <c r="Y2639" s="98" t="n"/>
      <c r="Z2639" s="100" t="n"/>
      <c r="AB2639" s="101">
        <f>IF($B2639="","",(COUNTIF(C2608:E2625,$B2639)+COUNTIF(C2608:E2625,$B2639&amp;" ~*")&gt;0)+(COUNTIF(G2608:I2625,$B2639)+COUNTIF(G2608:I2625,$B2639&amp;" ~*")&gt;0)+(COUNTIF(K2608:M2625,$B2639)+COUNTIF(K2608:M2625,$B2639&amp;" ~*")&gt;0)+(COUNTIF(O2608:Q2625,$B2639)+COUNTIF(O2608:Q2625,$B2639&amp;" ~*")&gt;0)+(COUNTIF(S2608:U2625,$B2639)+COUNTIF(S2608:U2625,$B2639&amp;" ~*")&gt;0)+(COUNTIF(W2608:W2625,$B2639)+COUNTIF(W2608:W2625,$B2639&amp;" ~*")&gt;0)+(COUNTIF(Y2608:Y2625,$B2639)+COUNTIF(Y2608:Y2625,$B2639&amp;" ~*")&gt;0))</f>
        <v/>
      </c>
      <c r="AC2639" s="36">
        <f>IF($B2639="","",(IFERROR(INDEX(Setup!$G$33:$G$40,MATCH(C2639,Setup!$B$33:$B$40,0)),0)=1)*(COUNTIF(C2608:E2625,$B2639)+COUNTIF(C2608:E2625,$B2639&amp;" ~*")&gt;0)+(IFERROR(INDEX(Setup!$G$33:$G$40,MATCH(G2639,Setup!$B$33:$B$40,0)),0)=1)*(COUNTIF(G2608:I2625,$B2639)+COUNTIF(G2608:I2625,$B2639&amp;" ~*")&gt;0)+(IFERROR(INDEX(Setup!$G$33:$G$40,MATCH(K2639,Setup!$B$33:$B$40,0)),0)=1)*(COUNTIF(K2608:M2625,$B2639)+COUNTIF(K2608:M2625,$B2639&amp;" ~*")&gt;0)+(IFERROR(INDEX(Setup!$G$33:$G$40,MATCH(O2639,Setup!$B$33:$B$40,0)),0)=1)*(COUNTIF(O2608:Q2625,$B2639)+COUNTIF(O2608:Q2625,$B2639&amp;" ~*")&gt;0)+(IFERROR(INDEX(Setup!$G$33:$G$40,MATCH(S2639,Setup!$B$33:$B$40,0)),0)=1)*(COUNTIF(S2608:U2625,$B2639)+COUNTIF(S2608:U2625,$B2639&amp;" ~*")&gt;0)+(IFERROR(INDEX(Setup!$G$33:$G$40,MATCH(W2639,Setup!$B$33:$B$40,0)),0)=1)*(COUNTIF(W2608:W2625,$B2639)+COUNTIF(W2608:W2625,$B2639&amp;" ~*")&gt;0)+(IFERROR(INDEX(Setup!$G$33:$G$40,MATCH(Y2639,Setup!$B$33:$B$40,0)),0)=1)*(COUNTIF(Y2608:Y2625,$B2639)+COUNTIF(Y2608:Y2625,$B2639&amp;" ~*")&gt;0))</f>
        <v/>
      </c>
    </row>
    <row r="2640" ht="15" customHeight="1">
      <c r="A2640" t="n">
        <v>53</v>
      </c>
      <c r="B2640" s="37">
        <f>IF(Setup!$B$19="","",Setup!$B$19)</f>
        <v/>
      </c>
      <c r="C2640" s="102" t="n"/>
      <c r="D2640" s="103" t="n"/>
      <c r="E2640" s="103" t="n"/>
      <c r="F2640" s="104" t="n"/>
      <c r="G2640" s="102" t="n"/>
      <c r="H2640" s="103" t="n"/>
      <c r="I2640" s="103" t="n"/>
      <c r="J2640" s="104" t="n"/>
      <c r="K2640" s="102" t="n"/>
      <c r="L2640" s="103" t="n"/>
      <c r="M2640" s="103" t="n"/>
      <c r="N2640" s="104" t="n"/>
      <c r="O2640" s="102" t="n"/>
      <c r="P2640" s="103" t="n"/>
      <c r="Q2640" s="103" t="n"/>
      <c r="R2640" s="104" t="n"/>
      <c r="S2640" s="102" t="n"/>
      <c r="T2640" s="103" t="n"/>
      <c r="U2640" s="103" t="n"/>
      <c r="V2640" s="104" t="n"/>
      <c r="W2640" s="102" t="n"/>
      <c r="X2640" s="104" t="n"/>
      <c r="Y2640" s="102" t="n"/>
      <c r="Z2640" s="104" t="n"/>
      <c r="AB2640" s="105">
        <f>IF($B2640="","",(COUNTIF(C2608:E2625,$B2640)+COUNTIF(C2608:E2625,$B2640&amp;" ~*")&gt;0)+(COUNTIF(G2608:I2625,$B2640)+COUNTIF(G2608:I2625,$B2640&amp;" ~*")&gt;0)+(COUNTIF(K2608:M2625,$B2640)+COUNTIF(K2608:M2625,$B2640&amp;" ~*")&gt;0)+(COUNTIF(O2608:Q2625,$B2640)+COUNTIF(O2608:Q2625,$B2640&amp;" ~*")&gt;0)+(COUNTIF(S2608:U2625,$B2640)+COUNTIF(S2608:U2625,$B2640&amp;" ~*")&gt;0)+(COUNTIF(W2608:W2625,$B2640)+COUNTIF(W2608:W2625,$B2640&amp;" ~*")&gt;0)+(COUNTIF(Y2608:Y2625,$B2640)+COUNTIF(Y2608:Y2625,$B2640&amp;" ~*")&gt;0))</f>
        <v/>
      </c>
      <c r="AC2640" s="38">
        <f>IF($B2640="","",(IFERROR(INDEX(Setup!$G$33:$G$40,MATCH(C2640,Setup!$B$33:$B$40,0)),0)=1)*(COUNTIF(C2608:E2625,$B2640)+COUNTIF(C2608:E2625,$B2640&amp;" ~*")&gt;0)+(IFERROR(INDEX(Setup!$G$33:$G$40,MATCH(G2640,Setup!$B$33:$B$40,0)),0)=1)*(COUNTIF(G2608:I2625,$B2640)+COUNTIF(G2608:I2625,$B2640&amp;" ~*")&gt;0)+(IFERROR(INDEX(Setup!$G$33:$G$40,MATCH(K2640,Setup!$B$33:$B$40,0)),0)=1)*(COUNTIF(K2608:M2625,$B2640)+COUNTIF(K2608:M2625,$B2640&amp;" ~*")&gt;0)+(IFERROR(INDEX(Setup!$G$33:$G$40,MATCH(O2640,Setup!$B$33:$B$40,0)),0)=1)*(COUNTIF(O2608:Q2625,$B2640)+COUNTIF(O2608:Q2625,$B2640&amp;" ~*")&gt;0)+(IFERROR(INDEX(Setup!$G$33:$G$40,MATCH(S2640,Setup!$B$33:$B$40,0)),0)=1)*(COUNTIF(S2608:U2625,$B2640)+COUNTIF(S2608:U2625,$B2640&amp;" ~*")&gt;0)+(IFERROR(INDEX(Setup!$G$33:$G$40,MATCH(W2640,Setup!$B$33:$B$40,0)),0)=1)*(COUNTIF(W2608:W2625,$B2640)+COUNTIF(W2608:W2625,$B2640&amp;" ~*")&gt;0)+(IFERROR(INDEX(Setup!$G$33:$G$40,MATCH(Y2640,Setup!$B$33:$B$40,0)),0)=1)*(COUNTIF(Y2608:Y2625,$B2640)+COUNTIF(Y2608:Y2625,$B2640&amp;" ~*")&gt;0))</f>
        <v/>
      </c>
    </row>
    <row r="2641" ht="15" customHeight="1">
      <c r="A2641" t="n">
        <v>53</v>
      </c>
      <c r="B2641" s="35">
        <f>IF(Setup!$B$20="","",Setup!$B$20)</f>
        <v/>
      </c>
      <c r="C2641" s="98" t="n"/>
      <c r="D2641" s="99" t="n"/>
      <c r="E2641" s="99" t="n"/>
      <c r="F2641" s="100" t="n"/>
      <c r="G2641" s="98" t="n"/>
      <c r="H2641" s="99" t="n"/>
      <c r="I2641" s="99" t="n"/>
      <c r="J2641" s="100" t="n"/>
      <c r="K2641" s="98" t="n"/>
      <c r="L2641" s="99" t="n"/>
      <c r="M2641" s="99" t="n"/>
      <c r="N2641" s="100" t="n"/>
      <c r="O2641" s="98" t="n"/>
      <c r="P2641" s="99" t="n"/>
      <c r="Q2641" s="99" t="n"/>
      <c r="R2641" s="100" t="n"/>
      <c r="S2641" s="98" t="n"/>
      <c r="T2641" s="99" t="n"/>
      <c r="U2641" s="99" t="n"/>
      <c r="V2641" s="100" t="n"/>
      <c r="W2641" s="98" t="n"/>
      <c r="X2641" s="100" t="n"/>
      <c r="Y2641" s="98" t="n"/>
      <c r="Z2641" s="100" t="n"/>
      <c r="AB2641" s="101">
        <f>IF($B2641="","",(COUNTIF(C2608:E2625,$B2641)+COUNTIF(C2608:E2625,$B2641&amp;" ~*")&gt;0)+(COUNTIF(G2608:I2625,$B2641)+COUNTIF(G2608:I2625,$B2641&amp;" ~*")&gt;0)+(COUNTIF(K2608:M2625,$B2641)+COUNTIF(K2608:M2625,$B2641&amp;" ~*")&gt;0)+(COUNTIF(O2608:Q2625,$B2641)+COUNTIF(O2608:Q2625,$B2641&amp;" ~*")&gt;0)+(COUNTIF(S2608:U2625,$B2641)+COUNTIF(S2608:U2625,$B2641&amp;" ~*")&gt;0)+(COUNTIF(W2608:W2625,$B2641)+COUNTIF(W2608:W2625,$B2641&amp;" ~*")&gt;0)+(COUNTIF(Y2608:Y2625,$B2641)+COUNTIF(Y2608:Y2625,$B2641&amp;" ~*")&gt;0))</f>
        <v/>
      </c>
      <c r="AC2641" s="36">
        <f>IF($B2641="","",(IFERROR(INDEX(Setup!$G$33:$G$40,MATCH(C2641,Setup!$B$33:$B$40,0)),0)=1)*(COUNTIF(C2608:E2625,$B2641)+COUNTIF(C2608:E2625,$B2641&amp;" ~*")&gt;0)+(IFERROR(INDEX(Setup!$G$33:$G$40,MATCH(G2641,Setup!$B$33:$B$40,0)),0)=1)*(COUNTIF(G2608:I2625,$B2641)+COUNTIF(G2608:I2625,$B2641&amp;" ~*")&gt;0)+(IFERROR(INDEX(Setup!$G$33:$G$40,MATCH(K2641,Setup!$B$33:$B$40,0)),0)=1)*(COUNTIF(K2608:M2625,$B2641)+COUNTIF(K2608:M2625,$B2641&amp;" ~*")&gt;0)+(IFERROR(INDEX(Setup!$G$33:$G$40,MATCH(O2641,Setup!$B$33:$B$40,0)),0)=1)*(COUNTIF(O2608:Q2625,$B2641)+COUNTIF(O2608:Q2625,$B2641&amp;" ~*")&gt;0)+(IFERROR(INDEX(Setup!$G$33:$G$40,MATCH(S2641,Setup!$B$33:$B$40,0)),0)=1)*(COUNTIF(S2608:U2625,$B2641)+COUNTIF(S2608:U2625,$B2641&amp;" ~*")&gt;0)+(IFERROR(INDEX(Setup!$G$33:$G$40,MATCH(W2641,Setup!$B$33:$B$40,0)),0)=1)*(COUNTIF(W2608:W2625,$B2641)+COUNTIF(W2608:W2625,$B2641&amp;" ~*")&gt;0)+(IFERROR(INDEX(Setup!$G$33:$G$40,MATCH(Y2641,Setup!$B$33:$B$40,0)),0)=1)*(COUNTIF(Y2608:Y2625,$B2641)+COUNTIF(Y2608:Y2625,$B2641&amp;" ~*")&gt;0))</f>
        <v/>
      </c>
    </row>
    <row r="2642" ht="15" customHeight="1">
      <c r="A2642" t="n">
        <v>53</v>
      </c>
      <c r="B2642" s="37">
        <f>IF(Setup!$B$21="","",Setup!$B$21)</f>
        <v/>
      </c>
      <c r="C2642" s="102" t="n"/>
      <c r="D2642" s="103" t="n"/>
      <c r="E2642" s="103" t="n"/>
      <c r="F2642" s="104" t="n"/>
      <c r="G2642" s="102" t="n"/>
      <c r="H2642" s="103" t="n"/>
      <c r="I2642" s="103" t="n"/>
      <c r="J2642" s="104" t="n"/>
      <c r="K2642" s="102" t="n"/>
      <c r="L2642" s="103" t="n"/>
      <c r="M2642" s="103" t="n"/>
      <c r="N2642" s="104" t="n"/>
      <c r="O2642" s="102" t="n"/>
      <c r="P2642" s="103" t="n"/>
      <c r="Q2642" s="103" t="n"/>
      <c r="R2642" s="104" t="n"/>
      <c r="S2642" s="102" t="n"/>
      <c r="T2642" s="103" t="n"/>
      <c r="U2642" s="103" t="n"/>
      <c r="V2642" s="104" t="n"/>
      <c r="W2642" s="102" t="n"/>
      <c r="X2642" s="104" t="n"/>
      <c r="Y2642" s="102" t="n"/>
      <c r="Z2642" s="104" t="n"/>
      <c r="AB2642" s="105">
        <f>IF($B2642="","",(COUNTIF(C2608:E2625,$B2642)+COUNTIF(C2608:E2625,$B2642&amp;" ~*")&gt;0)+(COUNTIF(G2608:I2625,$B2642)+COUNTIF(G2608:I2625,$B2642&amp;" ~*")&gt;0)+(COUNTIF(K2608:M2625,$B2642)+COUNTIF(K2608:M2625,$B2642&amp;" ~*")&gt;0)+(COUNTIF(O2608:Q2625,$B2642)+COUNTIF(O2608:Q2625,$B2642&amp;" ~*")&gt;0)+(COUNTIF(S2608:U2625,$B2642)+COUNTIF(S2608:U2625,$B2642&amp;" ~*")&gt;0)+(COUNTIF(W2608:W2625,$B2642)+COUNTIF(W2608:W2625,$B2642&amp;" ~*")&gt;0)+(COUNTIF(Y2608:Y2625,$B2642)+COUNTIF(Y2608:Y2625,$B2642&amp;" ~*")&gt;0))</f>
        <v/>
      </c>
      <c r="AC2642" s="38">
        <f>IF($B2642="","",(IFERROR(INDEX(Setup!$G$33:$G$40,MATCH(C2642,Setup!$B$33:$B$40,0)),0)=1)*(COUNTIF(C2608:E2625,$B2642)+COUNTIF(C2608:E2625,$B2642&amp;" ~*")&gt;0)+(IFERROR(INDEX(Setup!$G$33:$G$40,MATCH(G2642,Setup!$B$33:$B$40,0)),0)=1)*(COUNTIF(G2608:I2625,$B2642)+COUNTIF(G2608:I2625,$B2642&amp;" ~*")&gt;0)+(IFERROR(INDEX(Setup!$G$33:$G$40,MATCH(K2642,Setup!$B$33:$B$40,0)),0)=1)*(COUNTIF(K2608:M2625,$B2642)+COUNTIF(K2608:M2625,$B2642&amp;" ~*")&gt;0)+(IFERROR(INDEX(Setup!$G$33:$G$40,MATCH(O2642,Setup!$B$33:$B$40,0)),0)=1)*(COUNTIF(O2608:Q2625,$B2642)+COUNTIF(O2608:Q2625,$B2642&amp;" ~*")&gt;0)+(IFERROR(INDEX(Setup!$G$33:$G$40,MATCH(S2642,Setup!$B$33:$B$40,0)),0)=1)*(COUNTIF(S2608:U2625,$B2642)+COUNTIF(S2608:U2625,$B2642&amp;" ~*")&gt;0)+(IFERROR(INDEX(Setup!$G$33:$G$40,MATCH(W2642,Setup!$B$33:$B$40,0)),0)=1)*(COUNTIF(W2608:W2625,$B2642)+COUNTIF(W2608:W2625,$B2642&amp;" ~*")&gt;0)+(IFERROR(INDEX(Setup!$G$33:$G$40,MATCH(Y2642,Setup!$B$33:$B$40,0)),0)=1)*(COUNTIF(Y2608:Y2625,$B2642)+COUNTIF(Y2608:Y2625,$B2642&amp;" ~*")&gt;0))</f>
        <v/>
      </c>
    </row>
    <row r="2643" ht="15" customHeight="1">
      <c r="A2643" t="n">
        <v>53</v>
      </c>
      <c r="B2643" s="35">
        <f>IF(Setup!$B$22="","",Setup!$B$22)</f>
        <v/>
      </c>
      <c r="C2643" s="98" t="n"/>
      <c r="D2643" s="99" t="n"/>
      <c r="E2643" s="99" t="n"/>
      <c r="F2643" s="100" t="n"/>
      <c r="G2643" s="98" t="n"/>
      <c r="H2643" s="99" t="n"/>
      <c r="I2643" s="99" t="n"/>
      <c r="J2643" s="100" t="n"/>
      <c r="K2643" s="98" t="n"/>
      <c r="L2643" s="99" t="n"/>
      <c r="M2643" s="99" t="n"/>
      <c r="N2643" s="100" t="n"/>
      <c r="O2643" s="98" t="n"/>
      <c r="P2643" s="99" t="n"/>
      <c r="Q2643" s="99" t="n"/>
      <c r="R2643" s="100" t="n"/>
      <c r="S2643" s="98" t="n"/>
      <c r="T2643" s="99" t="n"/>
      <c r="U2643" s="99" t="n"/>
      <c r="V2643" s="100" t="n"/>
      <c r="W2643" s="98" t="n"/>
      <c r="X2643" s="100" t="n"/>
      <c r="Y2643" s="98" t="n"/>
      <c r="Z2643" s="100" t="n"/>
      <c r="AB2643" s="101">
        <f>IF($B2643="","",(COUNTIF(C2608:E2625,$B2643)+COUNTIF(C2608:E2625,$B2643&amp;" ~*")&gt;0)+(COUNTIF(G2608:I2625,$B2643)+COUNTIF(G2608:I2625,$B2643&amp;" ~*")&gt;0)+(COUNTIF(K2608:M2625,$B2643)+COUNTIF(K2608:M2625,$B2643&amp;" ~*")&gt;0)+(COUNTIF(O2608:Q2625,$B2643)+COUNTIF(O2608:Q2625,$B2643&amp;" ~*")&gt;0)+(COUNTIF(S2608:U2625,$B2643)+COUNTIF(S2608:U2625,$B2643&amp;" ~*")&gt;0)+(COUNTIF(W2608:W2625,$B2643)+COUNTIF(W2608:W2625,$B2643&amp;" ~*")&gt;0)+(COUNTIF(Y2608:Y2625,$B2643)+COUNTIF(Y2608:Y2625,$B2643&amp;" ~*")&gt;0))</f>
        <v/>
      </c>
      <c r="AC2643" s="36">
        <f>IF($B2643="","",(IFERROR(INDEX(Setup!$G$33:$G$40,MATCH(C2643,Setup!$B$33:$B$40,0)),0)=1)*(COUNTIF(C2608:E2625,$B2643)+COUNTIF(C2608:E2625,$B2643&amp;" ~*")&gt;0)+(IFERROR(INDEX(Setup!$G$33:$G$40,MATCH(G2643,Setup!$B$33:$B$40,0)),0)=1)*(COUNTIF(G2608:I2625,$B2643)+COUNTIF(G2608:I2625,$B2643&amp;" ~*")&gt;0)+(IFERROR(INDEX(Setup!$G$33:$G$40,MATCH(K2643,Setup!$B$33:$B$40,0)),0)=1)*(COUNTIF(K2608:M2625,$B2643)+COUNTIF(K2608:M2625,$B2643&amp;" ~*")&gt;0)+(IFERROR(INDEX(Setup!$G$33:$G$40,MATCH(O2643,Setup!$B$33:$B$40,0)),0)=1)*(COUNTIF(O2608:Q2625,$B2643)+COUNTIF(O2608:Q2625,$B2643&amp;" ~*")&gt;0)+(IFERROR(INDEX(Setup!$G$33:$G$40,MATCH(S2643,Setup!$B$33:$B$40,0)),0)=1)*(COUNTIF(S2608:U2625,$B2643)+COUNTIF(S2608:U2625,$B2643&amp;" ~*")&gt;0)+(IFERROR(INDEX(Setup!$G$33:$G$40,MATCH(W2643,Setup!$B$33:$B$40,0)),0)=1)*(COUNTIF(W2608:W2625,$B2643)+COUNTIF(W2608:W2625,$B2643&amp;" ~*")&gt;0)+(IFERROR(INDEX(Setup!$G$33:$G$40,MATCH(Y2643,Setup!$B$33:$B$40,0)),0)=1)*(COUNTIF(Y2608:Y2625,$B2643)+COUNTIF(Y2608:Y2625,$B2643&amp;" ~*")&gt;0))</f>
        <v/>
      </c>
    </row>
    <row r="2644" ht="15" customHeight="1">
      <c r="A2644" t="n">
        <v>53</v>
      </c>
      <c r="B2644" s="37">
        <f>IF(Setup!$B$23="","",Setup!$B$23)</f>
        <v/>
      </c>
      <c r="C2644" s="102" t="n"/>
      <c r="D2644" s="103" t="n"/>
      <c r="E2644" s="103" t="n"/>
      <c r="F2644" s="104" t="n"/>
      <c r="G2644" s="102" t="n"/>
      <c r="H2644" s="103" t="n"/>
      <c r="I2644" s="103" t="n"/>
      <c r="J2644" s="104" t="n"/>
      <c r="K2644" s="102" t="n"/>
      <c r="L2644" s="103" t="n"/>
      <c r="M2644" s="103" t="n"/>
      <c r="N2644" s="104" t="n"/>
      <c r="O2644" s="102" t="n"/>
      <c r="P2644" s="103" t="n"/>
      <c r="Q2644" s="103" t="n"/>
      <c r="R2644" s="104" t="n"/>
      <c r="S2644" s="102" t="n"/>
      <c r="T2644" s="103" t="n"/>
      <c r="U2644" s="103" t="n"/>
      <c r="V2644" s="104" t="n"/>
      <c r="W2644" s="102" t="n"/>
      <c r="X2644" s="104" t="n"/>
      <c r="Y2644" s="102" t="n"/>
      <c r="Z2644" s="104" t="n"/>
      <c r="AB2644" s="105">
        <f>IF($B2644="","",(COUNTIF(C2608:E2625,$B2644)+COUNTIF(C2608:E2625,$B2644&amp;" ~*")&gt;0)+(COUNTIF(G2608:I2625,$B2644)+COUNTIF(G2608:I2625,$B2644&amp;" ~*")&gt;0)+(COUNTIF(K2608:M2625,$B2644)+COUNTIF(K2608:M2625,$B2644&amp;" ~*")&gt;0)+(COUNTIF(O2608:Q2625,$B2644)+COUNTIF(O2608:Q2625,$B2644&amp;" ~*")&gt;0)+(COUNTIF(S2608:U2625,$B2644)+COUNTIF(S2608:U2625,$B2644&amp;" ~*")&gt;0)+(COUNTIF(W2608:W2625,$B2644)+COUNTIF(W2608:W2625,$B2644&amp;" ~*")&gt;0)+(COUNTIF(Y2608:Y2625,$B2644)+COUNTIF(Y2608:Y2625,$B2644&amp;" ~*")&gt;0))</f>
        <v/>
      </c>
      <c r="AC2644" s="38">
        <f>IF($B2644="","",(IFERROR(INDEX(Setup!$G$33:$G$40,MATCH(C2644,Setup!$B$33:$B$40,0)),0)=1)*(COUNTIF(C2608:E2625,$B2644)+COUNTIF(C2608:E2625,$B2644&amp;" ~*")&gt;0)+(IFERROR(INDEX(Setup!$G$33:$G$40,MATCH(G2644,Setup!$B$33:$B$40,0)),0)=1)*(COUNTIF(G2608:I2625,$B2644)+COUNTIF(G2608:I2625,$B2644&amp;" ~*")&gt;0)+(IFERROR(INDEX(Setup!$G$33:$G$40,MATCH(K2644,Setup!$B$33:$B$40,0)),0)=1)*(COUNTIF(K2608:M2625,$B2644)+COUNTIF(K2608:M2625,$B2644&amp;" ~*")&gt;0)+(IFERROR(INDEX(Setup!$G$33:$G$40,MATCH(O2644,Setup!$B$33:$B$40,0)),0)=1)*(COUNTIF(O2608:Q2625,$B2644)+COUNTIF(O2608:Q2625,$B2644&amp;" ~*")&gt;0)+(IFERROR(INDEX(Setup!$G$33:$G$40,MATCH(S2644,Setup!$B$33:$B$40,0)),0)=1)*(COUNTIF(S2608:U2625,$B2644)+COUNTIF(S2608:U2625,$B2644&amp;" ~*")&gt;0)+(IFERROR(INDEX(Setup!$G$33:$G$40,MATCH(W2644,Setup!$B$33:$B$40,0)),0)=1)*(COUNTIF(W2608:W2625,$B2644)+COUNTIF(W2608:W2625,$B2644&amp;" ~*")&gt;0)+(IFERROR(INDEX(Setup!$G$33:$G$40,MATCH(Y2644,Setup!$B$33:$B$40,0)),0)=1)*(COUNTIF(Y2608:Y2625,$B2644)+COUNTIF(Y2608:Y2625,$B2644&amp;" ~*")&gt;0))</f>
        <v/>
      </c>
    </row>
    <row r="2645" ht="15" customHeight="1">
      <c r="A2645" t="n">
        <v>53</v>
      </c>
      <c r="B2645" s="35">
        <f>IF(Setup!$B$24="","",Setup!$B$24)</f>
        <v/>
      </c>
      <c r="C2645" s="98" t="n"/>
      <c r="D2645" s="99" t="n"/>
      <c r="E2645" s="99" t="n"/>
      <c r="F2645" s="100" t="n"/>
      <c r="G2645" s="98" t="n"/>
      <c r="H2645" s="99" t="n"/>
      <c r="I2645" s="99" t="n"/>
      <c r="J2645" s="100" t="n"/>
      <c r="K2645" s="98" t="n"/>
      <c r="L2645" s="99" t="n"/>
      <c r="M2645" s="99" t="n"/>
      <c r="N2645" s="100" t="n"/>
      <c r="O2645" s="98" t="n"/>
      <c r="P2645" s="99" t="n"/>
      <c r="Q2645" s="99" t="n"/>
      <c r="R2645" s="100" t="n"/>
      <c r="S2645" s="98" t="n"/>
      <c r="T2645" s="99" t="n"/>
      <c r="U2645" s="99" t="n"/>
      <c r="V2645" s="100" t="n"/>
      <c r="W2645" s="98" t="n"/>
      <c r="X2645" s="100" t="n"/>
      <c r="Y2645" s="98" t="n"/>
      <c r="Z2645" s="100" t="n"/>
      <c r="AB2645" s="101">
        <f>IF($B2645="","",(COUNTIF(C2608:E2625,$B2645)+COUNTIF(C2608:E2625,$B2645&amp;" ~*")&gt;0)+(COUNTIF(G2608:I2625,$B2645)+COUNTIF(G2608:I2625,$B2645&amp;" ~*")&gt;0)+(COUNTIF(K2608:M2625,$B2645)+COUNTIF(K2608:M2625,$B2645&amp;" ~*")&gt;0)+(COUNTIF(O2608:Q2625,$B2645)+COUNTIF(O2608:Q2625,$B2645&amp;" ~*")&gt;0)+(COUNTIF(S2608:U2625,$B2645)+COUNTIF(S2608:U2625,$B2645&amp;" ~*")&gt;0)+(COUNTIF(W2608:W2625,$B2645)+COUNTIF(W2608:W2625,$B2645&amp;" ~*")&gt;0)+(COUNTIF(Y2608:Y2625,$B2645)+COUNTIF(Y2608:Y2625,$B2645&amp;" ~*")&gt;0))</f>
        <v/>
      </c>
      <c r="AC2645" s="36">
        <f>IF($B2645="","",(IFERROR(INDEX(Setup!$G$33:$G$40,MATCH(C2645,Setup!$B$33:$B$40,0)),0)=1)*(COUNTIF(C2608:E2625,$B2645)+COUNTIF(C2608:E2625,$B2645&amp;" ~*")&gt;0)+(IFERROR(INDEX(Setup!$G$33:$G$40,MATCH(G2645,Setup!$B$33:$B$40,0)),0)=1)*(COUNTIF(G2608:I2625,$B2645)+COUNTIF(G2608:I2625,$B2645&amp;" ~*")&gt;0)+(IFERROR(INDEX(Setup!$G$33:$G$40,MATCH(K2645,Setup!$B$33:$B$40,0)),0)=1)*(COUNTIF(K2608:M2625,$B2645)+COUNTIF(K2608:M2625,$B2645&amp;" ~*")&gt;0)+(IFERROR(INDEX(Setup!$G$33:$G$40,MATCH(O2645,Setup!$B$33:$B$40,0)),0)=1)*(COUNTIF(O2608:Q2625,$B2645)+COUNTIF(O2608:Q2625,$B2645&amp;" ~*")&gt;0)+(IFERROR(INDEX(Setup!$G$33:$G$40,MATCH(S2645,Setup!$B$33:$B$40,0)),0)=1)*(COUNTIF(S2608:U2625,$B2645)+COUNTIF(S2608:U2625,$B2645&amp;" ~*")&gt;0)+(IFERROR(INDEX(Setup!$G$33:$G$40,MATCH(W2645,Setup!$B$33:$B$40,0)),0)=1)*(COUNTIF(W2608:W2625,$B2645)+COUNTIF(W2608:W2625,$B2645&amp;" ~*")&gt;0)+(IFERROR(INDEX(Setup!$G$33:$G$40,MATCH(Y2645,Setup!$B$33:$B$40,0)),0)=1)*(COUNTIF(Y2608:Y2625,$B2645)+COUNTIF(Y2608:Y2625,$B2645&amp;" ~*")&gt;0))</f>
        <v/>
      </c>
    </row>
    <row r="2646" ht="15" customHeight="1">
      <c r="A2646" t="n">
        <v>53</v>
      </c>
      <c r="B2646" s="37">
        <f>IF(Setup!$B$25="","",Setup!$B$25)</f>
        <v/>
      </c>
      <c r="C2646" s="102" t="n"/>
      <c r="D2646" s="103" t="n"/>
      <c r="E2646" s="103" t="n"/>
      <c r="F2646" s="104" t="n"/>
      <c r="G2646" s="102" t="n"/>
      <c r="H2646" s="103" t="n"/>
      <c r="I2646" s="103" t="n"/>
      <c r="J2646" s="104" t="n"/>
      <c r="K2646" s="102" t="n"/>
      <c r="L2646" s="103" t="n"/>
      <c r="M2646" s="103" t="n"/>
      <c r="N2646" s="104" t="n"/>
      <c r="O2646" s="102" t="n"/>
      <c r="P2646" s="103" t="n"/>
      <c r="Q2646" s="103" t="n"/>
      <c r="R2646" s="104" t="n"/>
      <c r="S2646" s="102" t="n"/>
      <c r="T2646" s="103" t="n"/>
      <c r="U2646" s="103" t="n"/>
      <c r="V2646" s="104" t="n"/>
      <c r="W2646" s="102" t="n"/>
      <c r="X2646" s="104" t="n"/>
      <c r="Y2646" s="102" t="n"/>
      <c r="Z2646" s="104" t="n"/>
      <c r="AB2646" s="105">
        <f>IF($B2646="","",(COUNTIF(C2608:E2625,$B2646)+COUNTIF(C2608:E2625,$B2646&amp;" ~*")&gt;0)+(COUNTIF(G2608:I2625,$B2646)+COUNTIF(G2608:I2625,$B2646&amp;" ~*")&gt;0)+(COUNTIF(K2608:M2625,$B2646)+COUNTIF(K2608:M2625,$B2646&amp;" ~*")&gt;0)+(COUNTIF(O2608:Q2625,$B2646)+COUNTIF(O2608:Q2625,$B2646&amp;" ~*")&gt;0)+(COUNTIF(S2608:U2625,$B2646)+COUNTIF(S2608:U2625,$B2646&amp;" ~*")&gt;0)+(COUNTIF(W2608:W2625,$B2646)+COUNTIF(W2608:W2625,$B2646&amp;" ~*")&gt;0)+(COUNTIF(Y2608:Y2625,$B2646)+COUNTIF(Y2608:Y2625,$B2646&amp;" ~*")&gt;0))</f>
        <v/>
      </c>
      <c r="AC2646" s="38">
        <f>IF($B2646="","",(IFERROR(INDEX(Setup!$G$33:$G$40,MATCH(C2646,Setup!$B$33:$B$40,0)),0)=1)*(COUNTIF(C2608:E2625,$B2646)+COUNTIF(C2608:E2625,$B2646&amp;" ~*")&gt;0)+(IFERROR(INDEX(Setup!$G$33:$G$40,MATCH(G2646,Setup!$B$33:$B$40,0)),0)=1)*(COUNTIF(G2608:I2625,$B2646)+COUNTIF(G2608:I2625,$B2646&amp;" ~*")&gt;0)+(IFERROR(INDEX(Setup!$G$33:$G$40,MATCH(K2646,Setup!$B$33:$B$40,0)),0)=1)*(COUNTIF(K2608:M2625,$B2646)+COUNTIF(K2608:M2625,$B2646&amp;" ~*")&gt;0)+(IFERROR(INDEX(Setup!$G$33:$G$40,MATCH(O2646,Setup!$B$33:$B$40,0)),0)=1)*(COUNTIF(O2608:Q2625,$B2646)+COUNTIF(O2608:Q2625,$B2646&amp;" ~*")&gt;0)+(IFERROR(INDEX(Setup!$G$33:$G$40,MATCH(S2646,Setup!$B$33:$B$40,0)),0)=1)*(COUNTIF(S2608:U2625,$B2646)+COUNTIF(S2608:U2625,$B2646&amp;" ~*")&gt;0)+(IFERROR(INDEX(Setup!$G$33:$G$40,MATCH(W2646,Setup!$B$33:$B$40,0)),0)=1)*(COUNTIF(W2608:W2625,$B2646)+COUNTIF(W2608:W2625,$B2646&amp;" ~*")&gt;0)+(IFERROR(INDEX(Setup!$G$33:$G$40,MATCH(Y2646,Setup!$B$33:$B$40,0)),0)=1)*(COUNTIF(Y2608:Y2625,$B2646)+COUNTIF(Y2608:Y2625,$B2646&amp;" ~*")&gt;0))</f>
        <v/>
      </c>
    </row>
    <row r="2647" ht="15" customHeight="1">
      <c r="A2647" t="n">
        <v>53</v>
      </c>
      <c r="B2647" s="35">
        <f>IF(Setup!$B$26="","",Setup!$B$26)</f>
        <v/>
      </c>
      <c r="C2647" s="98" t="n"/>
      <c r="D2647" s="99" t="n"/>
      <c r="E2647" s="99" t="n"/>
      <c r="F2647" s="100" t="n"/>
      <c r="G2647" s="98" t="n"/>
      <c r="H2647" s="99" t="n"/>
      <c r="I2647" s="99" t="n"/>
      <c r="J2647" s="100" t="n"/>
      <c r="K2647" s="98" t="n"/>
      <c r="L2647" s="99" t="n"/>
      <c r="M2647" s="99" t="n"/>
      <c r="N2647" s="100" t="n"/>
      <c r="O2647" s="98" t="n"/>
      <c r="P2647" s="99" t="n"/>
      <c r="Q2647" s="99" t="n"/>
      <c r="R2647" s="100" t="n"/>
      <c r="S2647" s="98" t="n"/>
      <c r="T2647" s="99" t="n"/>
      <c r="U2647" s="99" t="n"/>
      <c r="V2647" s="100" t="n"/>
      <c r="W2647" s="98" t="n"/>
      <c r="X2647" s="100" t="n"/>
      <c r="Y2647" s="98" t="n"/>
      <c r="Z2647" s="100" t="n"/>
      <c r="AB2647" s="101">
        <f>IF($B2647="","",(COUNTIF(C2608:E2625,$B2647)+COUNTIF(C2608:E2625,$B2647&amp;" ~*")&gt;0)+(COUNTIF(G2608:I2625,$B2647)+COUNTIF(G2608:I2625,$B2647&amp;" ~*")&gt;0)+(COUNTIF(K2608:M2625,$B2647)+COUNTIF(K2608:M2625,$B2647&amp;" ~*")&gt;0)+(COUNTIF(O2608:Q2625,$B2647)+COUNTIF(O2608:Q2625,$B2647&amp;" ~*")&gt;0)+(COUNTIF(S2608:U2625,$B2647)+COUNTIF(S2608:U2625,$B2647&amp;" ~*")&gt;0)+(COUNTIF(W2608:W2625,$B2647)+COUNTIF(W2608:W2625,$B2647&amp;" ~*")&gt;0)+(COUNTIF(Y2608:Y2625,$B2647)+COUNTIF(Y2608:Y2625,$B2647&amp;" ~*")&gt;0))</f>
        <v/>
      </c>
      <c r="AC2647" s="36">
        <f>IF($B2647="","",(IFERROR(INDEX(Setup!$G$33:$G$40,MATCH(C2647,Setup!$B$33:$B$40,0)),0)=1)*(COUNTIF(C2608:E2625,$B2647)+COUNTIF(C2608:E2625,$B2647&amp;" ~*")&gt;0)+(IFERROR(INDEX(Setup!$G$33:$G$40,MATCH(G2647,Setup!$B$33:$B$40,0)),0)=1)*(COUNTIF(G2608:I2625,$B2647)+COUNTIF(G2608:I2625,$B2647&amp;" ~*")&gt;0)+(IFERROR(INDEX(Setup!$G$33:$G$40,MATCH(K2647,Setup!$B$33:$B$40,0)),0)=1)*(COUNTIF(K2608:M2625,$B2647)+COUNTIF(K2608:M2625,$B2647&amp;" ~*")&gt;0)+(IFERROR(INDEX(Setup!$G$33:$G$40,MATCH(O2647,Setup!$B$33:$B$40,0)),0)=1)*(COUNTIF(O2608:Q2625,$B2647)+COUNTIF(O2608:Q2625,$B2647&amp;" ~*")&gt;0)+(IFERROR(INDEX(Setup!$G$33:$G$40,MATCH(S2647,Setup!$B$33:$B$40,0)),0)=1)*(COUNTIF(S2608:U2625,$B2647)+COUNTIF(S2608:U2625,$B2647&amp;" ~*")&gt;0)+(IFERROR(INDEX(Setup!$G$33:$G$40,MATCH(W2647,Setup!$B$33:$B$40,0)),0)=1)*(COUNTIF(W2608:W2625,$B2647)+COUNTIF(W2608:W2625,$B2647&amp;" ~*")&gt;0)+(IFERROR(INDEX(Setup!$G$33:$G$40,MATCH(Y2647,Setup!$B$33:$B$40,0)),0)=1)*(COUNTIF(Y2608:Y2625,$B2647)+COUNTIF(Y2608:Y2625,$B2647&amp;" ~*")&gt;0))</f>
        <v/>
      </c>
    </row>
    <row r="2648" ht="15" customHeight="1">
      <c r="A2648" t="n">
        <v>53</v>
      </c>
      <c r="B2648" s="37">
        <f>IF(Setup!$B$27="","",Setup!$B$27)</f>
        <v/>
      </c>
      <c r="C2648" s="102" t="n"/>
      <c r="D2648" s="103" t="n"/>
      <c r="E2648" s="103" t="n"/>
      <c r="F2648" s="104" t="n"/>
      <c r="G2648" s="102" t="n"/>
      <c r="H2648" s="103" t="n"/>
      <c r="I2648" s="103" t="n"/>
      <c r="J2648" s="104" t="n"/>
      <c r="K2648" s="102" t="n"/>
      <c r="L2648" s="103" t="n"/>
      <c r="M2648" s="103" t="n"/>
      <c r="N2648" s="104" t="n"/>
      <c r="O2648" s="102" t="n"/>
      <c r="P2648" s="103" t="n"/>
      <c r="Q2648" s="103" t="n"/>
      <c r="R2648" s="104" t="n"/>
      <c r="S2648" s="102" t="n"/>
      <c r="T2648" s="103" t="n"/>
      <c r="U2648" s="103" t="n"/>
      <c r="V2648" s="104" t="n"/>
      <c r="W2648" s="102" t="n"/>
      <c r="X2648" s="104" t="n"/>
      <c r="Y2648" s="102" t="n"/>
      <c r="Z2648" s="104" t="n"/>
      <c r="AB2648" s="105">
        <f>IF($B2648="","",(COUNTIF(C2608:E2625,$B2648)+COUNTIF(C2608:E2625,$B2648&amp;" ~*")&gt;0)+(COUNTIF(G2608:I2625,$B2648)+COUNTIF(G2608:I2625,$B2648&amp;" ~*")&gt;0)+(COUNTIF(K2608:M2625,$B2648)+COUNTIF(K2608:M2625,$B2648&amp;" ~*")&gt;0)+(COUNTIF(O2608:Q2625,$B2648)+COUNTIF(O2608:Q2625,$B2648&amp;" ~*")&gt;0)+(COUNTIF(S2608:U2625,$B2648)+COUNTIF(S2608:U2625,$B2648&amp;" ~*")&gt;0)+(COUNTIF(W2608:W2625,$B2648)+COUNTIF(W2608:W2625,$B2648&amp;" ~*")&gt;0)+(COUNTIF(Y2608:Y2625,$B2648)+COUNTIF(Y2608:Y2625,$B2648&amp;" ~*")&gt;0))</f>
        <v/>
      </c>
      <c r="AC2648" s="38">
        <f>IF($B2648="","",(IFERROR(INDEX(Setup!$G$33:$G$40,MATCH(C2648,Setup!$B$33:$B$40,0)),0)=1)*(COUNTIF(C2608:E2625,$B2648)+COUNTIF(C2608:E2625,$B2648&amp;" ~*")&gt;0)+(IFERROR(INDEX(Setup!$G$33:$G$40,MATCH(G2648,Setup!$B$33:$B$40,0)),0)=1)*(COUNTIF(G2608:I2625,$B2648)+COUNTIF(G2608:I2625,$B2648&amp;" ~*")&gt;0)+(IFERROR(INDEX(Setup!$G$33:$G$40,MATCH(K2648,Setup!$B$33:$B$40,0)),0)=1)*(COUNTIF(K2608:M2625,$B2648)+COUNTIF(K2608:M2625,$B2648&amp;" ~*")&gt;0)+(IFERROR(INDEX(Setup!$G$33:$G$40,MATCH(O2648,Setup!$B$33:$B$40,0)),0)=1)*(COUNTIF(O2608:Q2625,$B2648)+COUNTIF(O2608:Q2625,$B2648&amp;" ~*")&gt;0)+(IFERROR(INDEX(Setup!$G$33:$G$40,MATCH(S2648,Setup!$B$33:$B$40,0)),0)=1)*(COUNTIF(S2608:U2625,$B2648)+COUNTIF(S2608:U2625,$B2648&amp;" ~*")&gt;0)+(IFERROR(INDEX(Setup!$G$33:$G$40,MATCH(W2648,Setup!$B$33:$B$40,0)),0)=1)*(COUNTIF(W2608:W2625,$B2648)+COUNTIF(W2608:W2625,$B2648&amp;" ~*")&gt;0)+(IFERROR(INDEX(Setup!$G$33:$G$40,MATCH(Y2648,Setup!$B$33:$B$40,0)),0)=1)*(COUNTIF(Y2608:Y2625,$B2648)+COUNTIF(Y2608:Y2625,$B2648&amp;" ~*")&gt;0))</f>
        <v/>
      </c>
    </row>
    <row r="2649" ht="15" customHeight="1">
      <c r="A2649" t="n">
        <v>53</v>
      </c>
      <c r="B2649" s="35">
        <f>IF(Setup!$B$28="","",Setup!$B$28)</f>
        <v/>
      </c>
      <c r="C2649" s="98" t="n"/>
      <c r="D2649" s="99" t="n"/>
      <c r="E2649" s="99" t="n"/>
      <c r="F2649" s="100" t="n"/>
      <c r="G2649" s="98" t="n"/>
      <c r="H2649" s="99" t="n"/>
      <c r="I2649" s="99" t="n"/>
      <c r="J2649" s="100" t="n"/>
      <c r="K2649" s="98" t="n"/>
      <c r="L2649" s="99" t="n"/>
      <c r="M2649" s="99" t="n"/>
      <c r="N2649" s="100" t="n"/>
      <c r="O2649" s="98" t="n"/>
      <c r="P2649" s="99" t="n"/>
      <c r="Q2649" s="99" t="n"/>
      <c r="R2649" s="100" t="n"/>
      <c r="S2649" s="98" t="n"/>
      <c r="T2649" s="99" t="n"/>
      <c r="U2649" s="99" t="n"/>
      <c r="V2649" s="100" t="n"/>
      <c r="W2649" s="98" t="n"/>
      <c r="X2649" s="100" t="n"/>
      <c r="Y2649" s="98" t="n"/>
      <c r="Z2649" s="100" t="n"/>
      <c r="AB2649" s="101">
        <f>IF($B2649="","",(COUNTIF(C2608:E2625,$B2649)+COUNTIF(C2608:E2625,$B2649&amp;" ~*")&gt;0)+(COUNTIF(G2608:I2625,$B2649)+COUNTIF(G2608:I2625,$B2649&amp;" ~*")&gt;0)+(COUNTIF(K2608:M2625,$B2649)+COUNTIF(K2608:M2625,$B2649&amp;" ~*")&gt;0)+(COUNTIF(O2608:Q2625,$B2649)+COUNTIF(O2608:Q2625,$B2649&amp;" ~*")&gt;0)+(COUNTIF(S2608:U2625,$B2649)+COUNTIF(S2608:U2625,$B2649&amp;" ~*")&gt;0)+(COUNTIF(W2608:W2625,$B2649)+COUNTIF(W2608:W2625,$B2649&amp;" ~*")&gt;0)+(COUNTIF(Y2608:Y2625,$B2649)+COUNTIF(Y2608:Y2625,$B2649&amp;" ~*")&gt;0))</f>
        <v/>
      </c>
      <c r="AC2649" s="36">
        <f>IF($B2649="","",(IFERROR(INDEX(Setup!$G$33:$G$40,MATCH(C2649,Setup!$B$33:$B$40,0)),0)=1)*(COUNTIF(C2608:E2625,$B2649)+COUNTIF(C2608:E2625,$B2649&amp;" ~*")&gt;0)+(IFERROR(INDEX(Setup!$G$33:$G$40,MATCH(G2649,Setup!$B$33:$B$40,0)),0)=1)*(COUNTIF(G2608:I2625,$B2649)+COUNTIF(G2608:I2625,$B2649&amp;" ~*")&gt;0)+(IFERROR(INDEX(Setup!$G$33:$G$40,MATCH(K2649,Setup!$B$33:$B$40,0)),0)=1)*(COUNTIF(K2608:M2625,$B2649)+COUNTIF(K2608:M2625,$B2649&amp;" ~*")&gt;0)+(IFERROR(INDEX(Setup!$G$33:$G$40,MATCH(O2649,Setup!$B$33:$B$40,0)),0)=1)*(COUNTIF(O2608:Q2625,$B2649)+COUNTIF(O2608:Q2625,$B2649&amp;" ~*")&gt;0)+(IFERROR(INDEX(Setup!$G$33:$G$40,MATCH(S2649,Setup!$B$33:$B$40,0)),0)=1)*(COUNTIF(S2608:U2625,$B2649)+COUNTIF(S2608:U2625,$B2649&amp;" ~*")&gt;0)+(IFERROR(INDEX(Setup!$G$33:$G$40,MATCH(W2649,Setup!$B$33:$B$40,0)),0)=1)*(COUNTIF(W2608:W2625,$B2649)+COUNTIF(W2608:W2625,$B2649&amp;" ~*")&gt;0)+(IFERROR(INDEX(Setup!$G$33:$G$40,MATCH(Y2649,Setup!$B$33:$B$40,0)),0)=1)*(COUNTIF(Y2608:Y2625,$B2649)+COUNTIF(Y2608:Y2625,$B2649&amp;" ~*")&gt;0))</f>
        <v/>
      </c>
    </row>
    <row r="2650" ht="15" customHeight="1">
      <c r="A2650" t="n">
        <v>53</v>
      </c>
      <c r="B2650" s="37">
        <f>IF(Setup!$B$29="","",Setup!$B$29)</f>
        <v/>
      </c>
      <c r="C2650" s="102" t="n"/>
      <c r="D2650" s="103" t="n"/>
      <c r="E2650" s="103" t="n"/>
      <c r="F2650" s="104" t="n"/>
      <c r="G2650" s="102" t="n"/>
      <c r="H2650" s="103" t="n"/>
      <c r="I2650" s="103" t="n"/>
      <c r="J2650" s="104" t="n"/>
      <c r="K2650" s="102" t="n"/>
      <c r="L2650" s="103" t="n"/>
      <c r="M2650" s="103" t="n"/>
      <c r="N2650" s="104" t="n"/>
      <c r="O2650" s="102" t="n"/>
      <c r="P2650" s="103" t="n"/>
      <c r="Q2650" s="103" t="n"/>
      <c r="R2650" s="104" t="n"/>
      <c r="S2650" s="102" t="n"/>
      <c r="T2650" s="103" t="n"/>
      <c r="U2650" s="103" t="n"/>
      <c r="V2650" s="104" t="n"/>
      <c r="W2650" s="102" t="n"/>
      <c r="X2650" s="104" t="n"/>
      <c r="Y2650" s="102" t="n"/>
      <c r="Z2650" s="104" t="n"/>
      <c r="AB2650" s="105">
        <f>IF($B2650="","",(COUNTIF(C2608:E2625,$B2650)+COUNTIF(C2608:E2625,$B2650&amp;" ~*")&gt;0)+(COUNTIF(G2608:I2625,$B2650)+COUNTIF(G2608:I2625,$B2650&amp;" ~*")&gt;0)+(COUNTIF(K2608:M2625,$B2650)+COUNTIF(K2608:M2625,$B2650&amp;" ~*")&gt;0)+(COUNTIF(O2608:Q2625,$B2650)+COUNTIF(O2608:Q2625,$B2650&amp;" ~*")&gt;0)+(COUNTIF(S2608:U2625,$B2650)+COUNTIF(S2608:U2625,$B2650&amp;" ~*")&gt;0)+(COUNTIF(W2608:W2625,$B2650)+COUNTIF(W2608:W2625,$B2650&amp;" ~*")&gt;0)+(COUNTIF(Y2608:Y2625,$B2650)+COUNTIF(Y2608:Y2625,$B2650&amp;" ~*")&gt;0))</f>
        <v/>
      </c>
      <c r="AC2650" s="38">
        <f>IF($B2650="","",(IFERROR(INDEX(Setup!$G$33:$G$40,MATCH(C2650,Setup!$B$33:$B$40,0)),0)=1)*(COUNTIF(C2608:E2625,$B2650)+COUNTIF(C2608:E2625,$B2650&amp;" ~*")&gt;0)+(IFERROR(INDEX(Setup!$G$33:$G$40,MATCH(G2650,Setup!$B$33:$B$40,0)),0)=1)*(COUNTIF(G2608:I2625,$B2650)+COUNTIF(G2608:I2625,$B2650&amp;" ~*")&gt;0)+(IFERROR(INDEX(Setup!$G$33:$G$40,MATCH(K2650,Setup!$B$33:$B$40,0)),0)=1)*(COUNTIF(K2608:M2625,$B2650)+COUNTIF(K2608:M2625,$B2650&amp;" ~*")&gt;0)+(IFERROR(INDEX(Setup!$G$33:$G$40,MATCH(O2650,Setup!$B$33:$B$40,0)),0)=1)*(COUNTIF(O2608:Q2625,$B2650)+COUNTIF(O2608:Q2625,$B2650&amp;" ~*")&gt;0)+(IFERROR(INDEX(Setup!$G$33:$G$40,MATCH(S2650,Setup!$B$33:$B$40,0)),0)=1)*(COUNTIF(S2608:U2625,$B2650)+COUNTIF(S2608:U2625,$B2650&amp;" ~*")&gt;0)+(IFERROR(INDEX(Setup!$G$33:$G$40,MATCH(W2650,Setup!$B$33:$B$40,0)),0)=1)*(COUNTIF(W2608:W2625,$B2650)+COUNTIF(W2608:W2625,$B2650&amp;" ~*")&gt;0)+(IFERROR(INDEX(Setup!$G$33:$G$40,MATCH(Y2650,Setup!$B$33:$B$40,0)),0)=1)*(COUNTIF(Y2608:Y2625,$B2650)+COUNTIF(Y2608:Y2625,$B2650&amp;" ~*")&gt;0))</f>
        <v/>
      </c>
    </row>
    <row r="2651" ht="16" customHeight="1">
      <c r="A2651" t="n">
        <v>53</v>
      </c>
      <c r="B2651" s="106" t="inlineStr">
        <is>
          <t>Available people</t>
        </is>
      </c>
      <c r="C2651" s="107">
        <f>COUNTIFS(Setup!$E$6:$E$29,"Y",Setup!$B$6:$B$29,"?*")-SUMPRODUCT(COUNTIF(C2627:C2650,Setup!$F$33:$F$40))</f>
        <v/>
      </c>
      <c r="D2651" s="107" t="n"/>
      <c r="E2651" s="107" t="n"/>
      <c r="F2651" s="107" t="n"/>
      <c r="G2651" s="107">
        <f>COUNTIFS(Setup!$E$6:$E$29,"Y",Setup!$B$6:$B$29,"?*")-SUMPRODUCT(COUNTIF(G2627:G2650,Setup!$F$33:$F$40))</f>
        <v/>
      </c>
      <c r="H2651" s="107" t="n"/>
      <c r="I2651" s="107" t="n"/>
      <c r="J2651" s="107" t="n"/>
      <c r="K2651" s="107">
        <f>COUNTIFS(Setup!$E$6:$E$29,"Y",Setup!$B$6:$B$29,"?*")-SUMPRODUCT(COUNTIF(K2627:K2650,Setup!$F$33:$F$40))</f>
        <v/>
      </c>
      <c r="L2651" s="107" t="n"/>
      <c r="M2651" s="107" t="n"/>
      <c r="N2651" s="107" t="n"/>
      <c r="O2651" s="107">
        <f>COUNTIFS(Setup!$E$6:$E$29,"Y",Setup!$B$6:$B$29,"?*")-SUMPRODUCT(COUNTIF(O2627:O2650,Setup!$F$33:$F$40))</f>
        <v/>
      </c>
      <c r="P2651" s="107" t="n"/>
      <c r="Q2651" s="107" t="n"/>
      <c r="R2651" s="107" t="n"/>
      <c r="S2651" s="107">
        <f>COUNTIFS(Setup!$E$6:$E$29,"Y",Setup!$B$6:$B$29,"?*")-SUMPRODUCT(COUNTIF(S2627:S2650,Setup!$F$33:$F$40))</f>
        <v/>
      </c>
      <c r="T2651" s="107" t="n"/>
      <c r="U2651" s="107" t="n"/>
      <c r="V2651" s="107" t="n"/>
      <c r="W2651" s="107">
        <f>COUNTIFS(Setup!$E$6:$E$29,"Y",Setup!$B$6:$B$29,"?*")-SUMPRODUCT(COUNTIF(W2627:W2650,Setup!$F$33:$F$40))</f>
        <v/>
      </c>
      <c r="X2651" s="107" t="n"/>
      <c r="Y2651" s="107">
        <f>COUNTIFS(Setup!$E$6:$E$29,"Y",Setup!$B$6:$B$29,"?*")-SUMPRODUCT(COUNTIF(Y2627:Y2650,Setup!$F$33:$F$40))</f>
        <v/>
      </c>
      <c r="Z2651" s="107" t="n"/>
      <c r="AB2651" s="108">
        <f>SUM(AB2627:AB2650)</f>
        <v/>
      </c>
      <c r="AC2651" s="109">
        <f>SUM(AC2627:AC2650)</f>
        <v/>
      </c>
    </row>
    <row r="2652" ht="30" customHeight="1">
      <c r="A2652" t="n">
        <v>53</v>
      </c>
      <c r="B2652" s="110" t="inlineStr">
        <is>
          <t>Week notes</t>
        </is>
      </c>
      <c r="C2652" s="111" t="n"/>
      <c r="D2652" s="112" t="n"/>
      <c r="E2652" s="112" t="n"/>
      <c r="F2652" s="112" t="n"/>
      <c r="G2652" s="112" t="n"/>
      <c r="H2652" s="112" t="n"/>
      <c r="I2652" s="112" t="n"/>
      <c r="J2652" s="112" t="n"/>
      <c r="K2652" s="112" t="n"/>
      <c r="L2652" s="112" t="n"/>
      <c r="M2652" s="112" t="n"/>
      <c r="N2652" s="112" t="n"/>
      <c r="O2652" s="112" t="n"/>
      <c r="P2652" s="112" t="n"/>
      <c r="Q2652" s="112" t="n"/>
      <c r="R2652" s="112" t="n"/>
      <c r="S2652" s="112" t="n"/>
      <c r="T2652" s="112" t="n"/>
      <c r="U2652" s="112" t="n"/>
      <c r="V2652" s="112" t="n"/>
      <c r="W2652" s="112" t="n"/>
      <c r="X2652" s="112" t="n"/>
      <c r="Y2652" s="112" t="n"/>
      <c r="Z2652" s="113" t="n"/>
    </row>
    <row r="2653" ht="8" customHeight="1">
      <c r="A2653" t="n">
        <v>53</v>
      </c>
    </row>
    <row r="2654" ht="8" customHeight="1">
      <c r="A2654" t="n">
        <v>53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7">
    <mergeCell ref="B2155:R2155"/>
    <mergeCell ref="B1955:R1955"/>
    <mergeCell ref="B905:R905"/>
    <mergeCell ref="S505:V505"/>
    <mergeCell ref="C2552:Z2552"/>
    <mergeCell ref="S605:V605"/>
    <mergeCell ref="B355:R355"/>
    <mergeCell ref="B2505:R2505"/>
    <mergeCell ref="C152:Z152"/>
    <mergeCell ref="W1605:Z1605"/>
    <mergeCell ref="S855:V855"/>
    <mergeCell ref="W1055:Z1055"/>
    <mergeCell ref="C2352:Z2352"/>
    <mergeCell ref="S1455:V1455"/>
    <mergeCell ref="B1205:R1205"/>
    <mergeCell ref="S2155:V2155"/>
    <mergeCell ref="S1955:V1955"/>
    <mergeCell ref="B655:R655"/>
    <mergeCell ref="W1655:Z1655"/>
    <mergeCell ref="S905:V905"/>
    <mergeCell ref="S255:V255"/>
    <mergeCell ref="B105:R105"/>
    <mergeCell ref="S1155:V1155"/>
    <mergeCell ref="W1:X1"/>
    <mergeCell ref="S305:V305"/>
    <mergeCell ref="W805:Z805"/>
    <mergeCell ref="W1955:Z1955"/>
    <mergeCell ref="C2102:Z2102"/>
    <mergeCell ref="S2255:V2255"/>
    <mergeCell ref="S1205:V1205"/>
    <mergeCell ref="S655:V655"/>
    <mergeCell ref="B405:R405"/>
    <mergeCell ref="C2602:Z2602"/>
    <mergeCell ref="S2305:V2305"/>
    <mergeCell ref="B1905:R1905"/>
    <mergeCell ref="W2255:Z2255"/>
    <mergeCell ref="B2405:R2405"/>
    <mergeCell ref="S2005:V2005"/>
    <mergeCell ref="C1:F1"/>
    <mergeCell ref="C1852:Z1852"/>
    <mergeCell ref="W955:Z955"/>
    <mergeCell ref="S2605:V2605"/>
    <mergeCell ref="S405:V405"/>
    <mergeCell ref="S2055:V2055"/>
    <mergeCell ref="C1802:Z1802"/>
    <mergeCell ref="B1655:R1655"/>
    <mergeCell ref="W2555:Z2555"/>
    <mergeCell ref="W1405:Z1405"/>
    <mergeCell ref="B1105:R1105"/>
    <mergeCell ref="W1905:Z1905"/>
    <mergeCell ref="C2052:Z2052"/>
    <mergeCell ref="S1305:V1305"/>
    <mergeCell ref="S2355:V2355"/>
    <mergeCell ref="B5:R5"/>
    <mergeCell ref="W705:Z705"/>
    <mergeCell ref="W155:Z155"/>
    <mergeCell ref="W1705:Z1705"/>
    <mergeCell ref="B1405:R1405"/>
    <mergeCell ref="C2502:Z2502"/>
    <mergeCell ref="C302:Z302"/>
    <mergeCell ref="B1355:R1355"/>
    <mergeCell ref="S2405:V2405"/>
    <mergeCell ref="S1605:V1605"/>
    <mergeCell ref="B1455:R1455"/>
    <mergeCell ref="S5:V5"/>
    <mergeCell ref="W455:Z455"/>
    <mergeCell ref="B1705:R1705"/>
    <mergeCell ref="S2105:V2105"/>
    <mergeCell ref="B1155:R1155"/>
    <mergeCell ref="W505:Z505"/>
    <mergeCell ref="W2455:Z2455"/>
    <mergeCell ref="B1755:R1755"/>
    <mergeCell ref="B2255:R2255"/>
    <mergeCell ref="O1:V1"/>
    <mergeCell ref="W205:Z205"/>
    <mergeCell ref="C52:Z52"/>
    <mergeCell ref="B505:R505"/>
    <mergeCell ref="W605:Z605"/>
    <mergeCell ref="B2555:R2555"/>
    <mergeCell ref="W255:Z255"/>
    <mergeCell ref="S1755:V1755"/>
    <mergeCell ref="C1452:Z1452"/>
    <mergeCell ref="S1555:V1555"/>
    <mergeCell ref="C802:Z802"/>
    <mergeCell ref="B2005:R2005"/>
    <mergeCell ref="W2205:Z2205"/>
    <mergeCell ref="C2452:Z2452"/>
    <mergeCell ref="W55:Z55"/>
    <mergeCell ref="C352:Z352"/>
    <mergeCell ref="B805:R805"/>
    <mergeCell ref="W355:Z355"/>
    <mergeCell ref="B255:R255"/>
    <mergeCell ref="C1752:Z1752"/>
    <mergeCell ref="S1855:V1855"/>
    <mergeCell ref="S2555:V2555"/>
    <mergeCell ref="C1202:Z1202"/>
    <mergeCell ref="B1055:R1055"/>
    <mergeCell ref="W1505:Z1505"/>
    <mergeCell ref="C652:Z652"/>
    <mergeCell ref="C2202:Z2202"/>
    <mergeCell ref="B2355:R2355"/>
    <mergeCell ref="S1905:V1905"/>
    <mergeCell ref="W105:Z105"/>
    <mergeCell ref="C1502:Z1502"/>
    <mergeCell ref="W1805:Z1805"/>
    <mergeCell ref="C952:Z952"/>
    <mergeCell ref="C752:Z752"/>
    <mergeCell ref="W2305:Z2305"/>
    <mergeCell ref="W1255:Z1255"/>
    <mergeCell ref="S1005:V1005"/>
    <mergeCell ref="S1655:V1655"/>
    <mergeCell ref="W1855:Z1855"/>
    <mergeCell ref="B1555:R1555"/>
    <mergeCell ref="C1252:Z1252"/>
    <mergeCell ref="S1055:V1055"/>
    <mergeCell ref="W2605:Z2605"/>
    <mergeCell ref="S955:V955"/>
    <mergeCell ref="B705:R705"/>
    <mergeCell ref="B155:R155"/>
    <mergeCell ref="W1005:Z1005"/>
    <mergeCell ref="C252:Z252"/>
    <mergeCell ref="W2055:Z2055"/>
    <mergeCell ref="S2455:V2455"/>
    <mergeCell ref="B1855:R1855"/>
    <mergeCell ref="S1405:V1405"/>
    <mergeCell ref="C1102:Z1102"/>
    <mergeCell ref="B1305:R1305"/>
    <mergeCell ref="M3:O3"/>
    <mergeCell ref="S1355:V1355"/>
    <mergeCell ref="S805:V805"/>
    <mergeCell ref="C552:Z552"/>
    <mergeCell ref="S705:V705"/>
    <mergeCell ref="W1105:Z1105"/>
    <mergeCell ref="C2652:Z2652"/>
    <mergeCell ref="S155:V155"/>
    <mergeCell ref="C1402:Z1402"/>
    <mergeCell ref="W755:Z755"/>
    <mergeCell ref="W555:Z555"/>
    <mergeCell ref="S1705:V1705"/>
    <mergeCell ref="S2205:V2205"/>
    <mergeCell ref="B1605:R1605"/>
    <mergeCell ref="W5:Z5"/>
    <mergeCell ref="C852:Z852"/>
    <mergeCell ref="W1355:Z1355"/>
    <mergeCell ref="C2002:Z2002"/>
    <mergeCell ref="S455:V455"/>
    <mergeCell ref="B205:R205"/>
    <mergeCell ref="W855:Z855"/>
    <mergeCell ref="C102:Z102"/>
    <mergeCell ref="S2505:V2505"/>
    <mergeCell ref="W1455:Z1455"/>
    <mergeCell ref="W2155:Z2155"/>
    <mergeCell ref="C602:Z602"/>
    <mergeCell ref="W905:Z905"/>
    <mergeCell ref="C2302:Z2302"/>
    <mergeCell ref="B55:R55"/>
    <mergeCell ref="C402:Z402"/>
    <mergeCell ref="W1155:Z1155"/>
    <mergeCell ref="W2505:Z2505"/>
    <mergeCell ref="S205:V205"/>
    <mergeCell ref="W1755:Z1755"/>
    <mergeCell ref="W305:Z305"/>
    <mergeCell ref="C902:Z902"/>
    <mergeCell ref="W1205:Z1205"/>
    <mergeCell ref="C452:Z452"/>
    <mergeCell ref="C2402:Z2402"/>
    <mergeCell ref="W655:Z655"/>
    <mergeCell ref="B1505:R1505"/>
    <mergeCell ref="S55:V55"/>
    <mergeCell ref="B955:R955"/>
    <mergeCell ref="W2005:Z2005"/>
    <mergeCell ref="C202:Z202"/>
    <mergeCell ref="S355:V355"/>
    <mergeCell ref="C702:Z702"/>
    <mergeCell ref="B1805:R1805"/>
    <mergeCell ref="C2152:Z2152"/>
    <mergeCell ref="W405:Z405"/>
    <mergeCell ref="B2305:R2305"/>
    <mergeCell ref="C1602:Z1602"/>
    <mergeCell ref="S1505:V1505"/>
    <mergeCell ref="B1255:R1255"/>
    <mergeCell ref="C1052:Z1052"/>
    <mergeCell ref="C1552:Z1552"/>
    <mergeCell ref="C502:Z502"/>
    <mergeCell ref="C1652:Z1652"/>
    <mergeCell ref="W2405:Z2405"/>
    <mergeCell ref="C1002:Z1002"/>
    <mergeCell ref="S105:V105"/>
    <mergeCell ref="B2605:R2605"/>
    <mergeCell ref="C1902:Z1902"/>
    <mergeCell ref="W2355:Z2355"/>
    <mergeCell ref="S1805:V1805"/>
    <mergeCell ref="B2055:R2055"/>
    <mergeCell ref="B1005:R1005"/>
    <mergeCell ref="C1352:Z1352"/>
    <mergeCell ref="S1255:V1255"/>
    <mergeCell ref="B455:R455"/>
    <mergeCell ref="C1952:Z1952"/>
    <mergeCell ref="C1302:Z1302"/>
    <mergeCell ref="W2105:Z2105"/>
    <mergeCell ref="B2455:R2455"/>
    <mergeCell ref="W1555:Z1555"/>
    <mergeCell ref="B755:R755"/>
    <mergeCell ref="B555:R555"/>
    <mergeCell ref="C2252:Z2252"/>
    <mergeCell ref="C1702:Z1702"/>
    <mergeCell ref="C1152:Z1152"/>
    <mergeCell ref="G1:N1"/>
    <mergeCell ref="B605:R605"/>
    <mergeCell ref="B2105:R2105"/>
    <mergeCell ref="B2205:R2205"/>
    <mergeCell ref="S1105:V1105"/>
    <mergeCell ref="B855:R855"/>
    <mergeCell ref="W1305:Z1305"/>
    <mergeCell ref="S755:V755"/>
    <mergeCell ref="S555:V555"/>
    <mergeCell ref="B305:R305"/>
  </mergeCells>
  <conditionalFormatting sqref="B8:AC25 B58:AC75 B108:AC125 B158:AC175 B208:AC225 B258:AC275 B308:AC325 B358:AC375 B408:AC425 B458:AC475 B508:AC525 B558:AC575 B608:AC625 B658:AC675 B708:AC725 B758:AC775 B808:AC825 B858:AC875 B908:AC925 B958:AC975 B1008:AC1025 B1058:AC1075 B1108:AC1125 B1158:AC1175 B1208:AC1225 B1258:AC1275 B1308:AC1325 B1358:AC1375 B1408:AC1425 B1458:AC1475 B1508:AC1525 B1558:AC1575 B1608:AC1625 B1658:AC1675 B1708:AC1725 B1758:AC1775 B1808:AC1825 B1858:AC1875 B1908:AC1925 B1958:AC1975 B2008:AC2025 B2058:AC2075 B2108:AC2125 B2158:AC2175 B2208:AC2225 B2258:AC2275 B2308:AC2325 B2358:AC2375 B2408:AC2425 B2458:AC2475 B2508:AC2525 B2558:AC2575 B2608:AC2625">
    <cfRule type="expression" priority="1" dxfId="2" stopIfTrue="1">
      <formula>$B8=""</formula>
    </cfRule>
  </conditionalFormatting>
  <conditionalFormatting sqref="B27:AC50 B77:AC100 B127:AC150 B177:AC200 B227:AC250 B277:AC300 B327:AC350 B377:AC400 B427:AC450 B477:AC500 B527:AC550 B577:AC600 B627:AC650 B677:AC700 B727:AC750 B777:AC800 B827:AC850 B877:AC900 B927:AC950 B977:AC1000 B1027:AC1050 B1077:AC1100 B1127:AC1150 B1177:AC1200 B1227:AC1250 B1277:AC1300 B1327:AC1350 B1377:AC1400 B1427:AC1450 B1477:AC1500 B1527:AC1550 B1577:AC1600 B1627:AC1650 B1677:AC1700 B1727:AC1750 B1777:AC1800 B1827:AC1850 B1877:AC1900 B1927:AC1950 B1977:AC2000 B2027:AC2050 B2077:AC2100 B2127:AC2150 B2177:AC2200 B2227:AC2250 B2277:AC2300 B2327:AC2350 B2377:AC2400 B2427:AC2450 B2477:AC2500 B2527:AC2550 B2577:AC2600 B2627:AC2650">
    <cfRule type="expression" priority="2" dxfId="2" stopIfTrue="1">
      <formula>$B27=""</formula>
    </cfRule>
  </conditionalFormatting>
  <conditionalFormatting sqref="C8:Z25 C58:Z75 C108:Z125 C158:Z175 C208:Z225 C258:Z275 C308:Z325 C358:Z375 C408:Z425 C458:Z475 C508:Z525 C558:Z575 C608:Z625 C658:Z675 C708:Z725 C758:Z775 C808:Z825 C858:Z875 C908:Z925 C958:Z975 C1008:Z1025 C1058:Z1075 C1108:Z1125 C1158:Z1175 C1208:Z1225 C1258:Z1275 C1308:Z1325 C1358:Z1375 C1408:Z1425 C1458:Z1475 C1508:Z1525 C1558:Z1575 C1608:Z1625 C1658:Z1675 C1708:Z1725 C1758:Z1775 C1808:Z1825 C1858:Z1875 C1908:Z1925 C1958:Z1975 C2008:Z2025 C2058:Z2075 C2108:Z2125 C2158:Z2175 C2208:Z2225 C2258:Z2275 C2308:Z2325 C2358:Z2375 C2408:Z2425 C2458:Z2475 C2508:Z2525 C2558:Z2575 C2608:Z2625">
    <cfRule type="expression" priority="3" dxfId="3" stopIfTrue="1">
      <formula>AND(C8&lt;&gt;"",INDEX(Engine!$A$5:$AC$5,COLUMN())=1,$B8&lt;&gt;"",IFERROR(INDEX(Setup!$O$6:$AL$23,MATCH($B8,Setup!$K$6:$K$23,0),MATCH(SUBSTITUTE(C8," *",""),Setup!$B$6:$B$29,0)),"")="")</formula>
    </cfRule>
    <cfRule type="expression" priority="4" dxfId="3" stopIfTrue="1">
      <formula>AND(C8&lt;&gt;"",INDEX(Engine!$A$5:$AC$5,COLUMN())=1,IFERROR(INDEX(Setup!$G$33:$G$40,MATCH(IFERROR(INDEX($A:$Z,(5+50*QUOTIENT(ROW()-5,50))+21+MATCH(SUBSTITUTE(C8," *",""),INDEX($B:$B,(5+50*QUOTIENT(ROW()-5,50))+22):INDEX($B:$B,(5+50*QUOTIENT(ROW()-5,50))+45),0),INDEX(Engine!$A$4:$AC$4,COLUMN())),""),Setup!$B$33:$B$40,0)),0)=1)</formula>
    </cfRule>
    <cfRule type="expression" priority="5" dxfId="5" stopIfTrue="1">
      <formula>AND(INDEX(Engine!$A$5:$AC$5,COLUMN())=1,INDEX(Engine!$A$3:$AC$3,COLUMN())&gt;=6,$B8&lt;&gt;"",INDEX(Setup!$M$6:$M$23,MATCH($B8,Setup!$K$6:$K$23,0))&lt;&gt;"Y")</formula>
    </cfRule>
    <cfRule type="expression" priority="6" dxfId="18">
      <formula>AND(C8="",INDEX(Engine!$A$5:$AC$5,COLUMN())=1,$B8&lt;&gt;"",COUNTIF(INDEX($A:$Z,ROW(),INDEX(Engine!$A$4:$AC$4,COLUMN())):INDEX($A:$Z,ROW(),INDEX(Engine!$A$4:$AC$4,COLUMN())+INDEX(Engine!$A$6:$AC$6,COLUMN())-1),"?*")&lt;IF(INDEX(Engine!$A$3:$AC$3,COLUMN())&lt;=5,N(INDEX(Setup!$L$6:$L$23,MATCH($B8,Setup!$K$6:$K$23,0))),--(INDEX(Setup!$M$6:$M$23,MATCH($B8,Setup!$K$6:$K$23,0))="Y")))</formula>
    </cfRule>
    <cfRule type="expression" priority="7" dxfId="9">
      <formula>AND(INDEX(Engine!$A$5:$AC$5,COLUMN())=1,ISNUMBER(SEARCH("~*",C8)))</formula>
    </cfRule>
    <cfRule type="expression" priority="8" dxfId="10">
      <formula>AND(C8&lt;&gt;"",INDEX(Engine!$A$5:$AC$5,COLUMN())=1,Setup!$B$33&lt;&gt;"",IFERROR(INDEX($A:$Z,(5+50*QUOTIENT(ROW()-5,50))+21+MATCH(SUBSTITUTE(C8," *",""),INDEX($B:$B,(5+50*QUOTIENT(ROW()-5,50))+22):INDEX($B:$B,(5+50*QUOTIENT(ROW()-5,50))+45),0),INDEX(Engine!$A$4:$AC$4,COLUMN())),"")=Setup!$B$33)</formula>
    </cfRule>
    <cfRule type="expression" priority="9" dxfId="11">
      <formula>AND(C8&lt;&gt;"",INDEX(Engine!$A$5:$AC$5,COLUMN())=1,Setup!$B$34&lt;&gt;"",IFERROR(INDEX($A:$Z,(5+50*QUOTIENT(ROW()-5,50))+21+MATCH(SUBSTITUTE(C8," *",""),INDEX($B:$B,(5+50*QUOTIENT(ROW()-5,50))+22):INDEX($B:$B,(5+50*QUOTIENT(ROW()-5,50))+45),0),INDEX(Engine!$A$4:$AC$4,COLUMN())),"")=Setup!$B$34)</formula>
    </cfRule>
    <cfRule type="expression" priority="10" dxfId="12">
      <formula>AND(C8&lt;&gt;"",INDEX(Engine!$A$5:$AC$5,COLUMN())=1,Setup!$B$35&lt;&gt;"",IFERROR(INDEX($A:$Z,(5+50*QUOTIENT(ROW()-5,50))+21+MATCH(SUBSTITUTE(C8," *",""),INDEX($B:$B,(5+50*QUOTIENT(ROW()-5,50))+22):INDEX($B:$B,(5+50*QUOTIENT(ROW()-5,50))+45),0),INDEX(Engine!$A$4:$AC$4,COLUMN())),"")=Setup!$B$35)</formula>
    </cfRule>
    <cfRule type="expression" priority="11" dxfId="13">
      <formula>AND(C8&lt;&gt;"",INDEX(Engine!$A$5:$AC$5,COLUMN())=1,Setup!$B$36&lt;&gt;"",IFERROR(INDEX($A:$Z,(5+50*QUOTIENT(ROW()-5,50))+21+MATCH(SUBSTITUTE(C8," *",""),INDEX($B:$B,(5+50*QUOTIENT(ROW()-5,50))+22):INDEX($B:$B,(5+50*QUOTIENT(ROW()-5,50))+45),0),INDEX(Engine!$A$4:$AC$4,COLUMN())),"")=Setup!$B$36)</formula>
    </cfRule>
    <cfRule type="expression" priority="12" dxfId="14">
      <formula>AND(C8&lt;&gt;"",INDEX(Engine!$A$5:$AC$5,COLUMN())=1,Setup!$B$37&lt;&gt;"",IFERROR(INDEX($A:$Z,(5+50*QUOTIENT(ROW()-5,50))+21+MATCH(SUBSTITUTE(C8," *",""),INDEX($B:$B,(5+50*QUOTIENT(ROW()-5,50))+22):INDEX($B:$B,(5+50*QUOTIENT(ROW()-5,50))+45),0),INDEX(Engine!$A$4:$AC$4,COLUMN())),"")=Setup!$B$37)</formula>
    </cfRule>
    <cfRule type="expression" priority="13" dxfId="15">
      <formula>AND(C8&lt;&gt;"",INDEX(Engine!$A$5:$AC$5,COLUMN())=1,Setup!$B$38&lt;&gt;"",IFERROR(INDEX($A:$Z,(5+50*QUOTIENT(ROW()-5,50))+21+MATCH(SUBSTITUTE(C8," *",""),INDEX($B:$B,(5+50*QUOTIENT(ROW()-5,50))+22):INDEX($B:$B,(5+50*QUOTIENT(ROW()-5,50))+45),0),INDEX(Engine!$A$4:$AC$4,COLUMN())),"")=Setup!$B$38)</formula>
    </cfRule>
    <cfRule type="expression" priority="14" dxfId="16">
      <formula>AND(C8&lt;&gt;"",INDEX(Engine!$A$5:$AC$5,COLUMN())=1,Setup!$B$39&lt;&gt;"",IFERROR(INDEX($A:$Z,(5+50*QUOTIENT(ROW()-5,50))+21+MATCH(SUBSTITUTE(C8," *",""),INDEX($B:$B,(5+50*QUOTIENT(ROW()-5,50))+22):INDEX($B:$B,(5+50*QUOTIENT(ROW()-5,50))+45),0),INDEX(Engine!$A$4:$AC$4,COLUMN())),"")=Setup!$B$39)</formula>
    </cfRule>
    <cfRule type="expression" priority="15" dxfId="17">
      <formula>AND(C8&lt;&gt;"",INDEX(Engine!$A$5:$AC$5,COLUMN())=1,Setup!$B$40&lt;&gt;"",IFERROR(INDEX($A:$Z,(5+50*QUOTIENT(ROW()-5,50))+21+MATCH(SUBSTITUTE(C8," *",""),INDEX($B:$B,(5+50*QUOTIENT(ROW()-5,50))+22):INDEX($B:$B,(5+50*QUOTIENT(ROW()-5,50))+45),0),INDEX(Engine!$A$4:$AC$4,COLUMN())),"")=Setup!$B$40)</formula>
    </cfRule>
  </conditionalFormatting>
  <conditionalFormatting sqref="C6:Z51 C56:Z101 C106:Z151 C156:Z201 C206:Z251 C256:Z301 C306:Z351 C356:Z401 C406:Z451 C456:Z501 C506:Z551 C556:Z601 C606:Z651 C656:Z701 C706:Z751 C756:Z801 C806:Z851 C856:Z901 C906:Z951 C956:Z1001 C1006:Z1051 C1056:Z1101 C1106:Z1151 C1156:Z1201 C1206:Z1251 C1256:Z1301 C1306:Z1351 C1356:Z1401 C1406:Z1451 C1456:Z1501 C1506:Z1551 C1556:Z1601 C1606:Z1651 C1656:Z1701 C1706:Z1751 C1756:Z1801 C1806:Z1851 C1856:Z1901 C1906:Z1951 C1956:Z2001 C2006:Z2051 C2056:Z2101 C2106:Z2151 C2156:Z2201 C2206:Z2251 C2256:Z2301 C2306:Z2351 C2356:Z2401 C2406:Z2451 C2456:Z2501 C2506:Z2551 C2556:Z2601 C2606:Z2651">
    <cfRule type="expression" priority="16" dxfId="6">
      <formula>AND(INDEX(Engine!$A$4:$AC$4,COLUMN())&gt;0,INDEX($A:$Z,(5+50*QUOTIENT(ROW()-5,50))+1,INDEX(Engine!$A$4:$AC$4,COLUMN()))=TODAY())</formula>
    </cfRule>
  </conditionalFormatting>
  <conditionalFormatting sqref="C27:Z50 C77:Z100 C127:Z150 C177:Z200 C227:Z250 C277:Z300 C327:Z350 C377:Z400 C427:Z450 C477:Z500 C527:Z550 C577:Z600 C627:Z650 C677:Z700 C727:Z750 C777:Z800 C827:Z850 C877:Z900 C927:Z950 C977:Z1000 C1027:Z1050 C1077:Z1100 C1127:Z1150 C1177:Z1200 C1227:Z1250 C1277:Z1300 C1327:Z1350 C1377:Z1400 C1427:Z1450 C1477:Z1500 C1527:Z1550 C1577:Z1600 C1627:Z1650 C1677:Z1700 C1727:Z1750 C1777:Z1800 C1827:Z1850 C1877:Z1900 C1927:Z1950 C1977:Z2000 C2027:Z2050 C2077:Z2100 C2127:Z2150 C2177:Z2200 C2227:Z2250 C2277:Z2300 C2327:Z2350 C2377:Z2400 C2427:Z2450 C2477:Z2500 C2527:Z2550 C2577:Z2600 C2627:Z2650">
    <cfRule type="expression" priority="17" dxfId="3" stopIfTrue="1">
      <formula>AND(IFERROR(INDEX(Setup!$G$33:$G$40,MATCH(INDEX($A:$Z,ROW(),INDEX(Engine!$A$4:$AC$4,COLUMN())),Setup!$B$33:$B$40,0)),0)=1,COUNTIF(INDEX($A:$Z,(5+50*QUOTIENT(ROW()-5,50))+3,INDEX(Engine!$A$4:$AC$4,COLUMN())):INDEX($A:$Z,(5+50*QUOTIENT(ROW()-5,50))+20,INDEX(Engine!$A$4:$AC$4,COLUMN())+INDEX(Engine!$A$6:$AC$6,COLUMN())-1),$B27)+COUNTIF(INDEX($A:$Z,(5+50*QUOTIENT(ROW()-5,50))+3,INDEX(Engine!$A$4:$AC$4,COLUMN())):INDEX($A:$Z,(5+50*QUOTIENT(ROW()-5,50))+20,INDEX(Engine!$A$4:$AC$4,COLUMN())+INDEX(Engine!$A$6:$AC$6,COLUMN())-1),$B27&amp;" ~*")&gt;0)</formula>
    </cfRule>
    <cfRule type="expression" priority="18" dxfId="10">
      <formula>AND(Setup!$B$33&lt;&gt;"",INDEX($A:$Z,ROW(),INDEX(Engine!$A$4:$AC$4,COLUMN()))=Setup!$B$33)</formula>
    </cfRule>
    <cfRule type="expression" priority="19" dxfId="11">
      <formula>AND(Setup!$B$34&lt;&gt;"",INDEX($A:$Z,ROW(),INDEX(Engine!$A$4:$AC$4,COLUMN()))=Setup!$B$34)</formula>
    </cfRule>
    <cfRule type="expression" priority="20" dxfId="12">
      <formula>AND(Setup!$B$35&lt;&gt;"",INDEX($A:$Z,ROW(),INDEX(Engine!$A$4:$AC$4,COLUMN()))=Setup!$B$35)</formula>
    </cfRule>
    <cfRule type="expression" priority="21" dxfId="13">
      <formula>AND(Setup!$B$36&lt;&gt;"",INDEX($A:$Z,ROW(),INDEX(Engine!$A$4:$AC$4,COLUMN()))=Setup!$B$36)</formula>
    </cfRule>
    <cfRule type="expression" priority="22" dxfId="14">
      <formula>AND(Setup!$B$37&lt;&gt;"",INDEX($A:$Z,ROW(),INDEX(Engine!$A$4:$AC$4,COLUMN()))=Setup!$B$37)</formula>
    </cfRule>
    <cfRule type="expression" priority="23" dxfId="15">
      <formula>AND(Setup!$B$38&lt;&gt;"",INDEX($A:$Z,ROW(),INDEX(Engine!$A$4:$AC$4,COLUMN()))=Setup!$B$38)</formula>
    </cfRule>
    <cfRule type="expression" priority="24" dxfId="16">
      <formula>AND(Setup!$B$39&lt;&gt;"",INDEX($A:$Z,ROW(),INDEX(Engine!$A$4:$AC$4,COLUMN()))=Setup!$B$39)</formula>
    </cfRule>
    <cfRule type="expression" priority="25" dxfId="17">
      <formula>AND(Setup!$B$40&lt;&gt;"",INDEX($A:$Z,ROW(),INDEX(Engine!$A$4:$AC$4,COLUMN()))=Setup!$B$40)</formula>
    </cfRule>
    <cfRule type="expression" priority="26" dxfId="4">
      <formula>AND(INDEX($A:$Z,ROW(),INDEX(Engine!$A$4:$AC$4,COLUMN()))&lt;&gt;"",ISNA(MATCH(INDEX($A:$Z,ROW(),INDEX(Engine!$A$4:$AC$4,COLUMN())),Setup!$B$33:$B$40,0)))</formula>
    </cfRule>
  </conditionalFormatting>
  <conditionalFormatting sqref="B27:B50 B77:B100 B127:B150 B177:B200 B227:B250 B277:B300 B327:B350 B377:B400 B427:B450 B477:B500 B527:B550 B577:B600 B627:B650 B677:B700 B727:B750 B777:B800 B827:B850 B877:B900 B927:B950 B977:B1000 B1027:B1050 B1077:B1100 B1127:B1150 B1177:B1200 B1227:B1250 B1277:B1300 B1327:B1350 B1377:B1400 B1427:B1450 B1477:B1500 B1527:B1550 B1577:B1600 B1627:B1650 B1677:B1700 B1727:B1750 B1777:B1800 B1827:B1850 B1877:B1900 B1927:B1950 B1977:B2000 B2027:B2050 B2077:B2100 B2127:B2150 B2177:B2200 B2227:B2250 B2277:B2300 B2327:B2350 B2377:B2400 B2427:B2450 B2477:B2500 B2527:B2550 B2577:B2600 B2627:B2650">
    <cfRule type="expression" priority="27" dxfId="19">
      <formula>AND($B27&lt;&gt;"",IFERROR(INDEX(Setup!$E$6:$E$29,MATCH($B27,Setup!$B$6:$B$29,0)),"")&lt;&gt;"Y")</formula>
    </cfRule>
  </conditionalFormatting>
  <conditionalFormatting sqref="AB8:AB25 AB58:AB75 AB108:AB125 AB158:AB175 AB208:AB225 AB258:AB275 AB308:AB325 AB358:AB375 AB408:AB425 AB458:AB475 AB508:AB525 AB558:AB575 AB608:AB625 AB658:AB675 AB708:AB725 AB758:AB775 AB808:AB825 AB858:AB875 AB908:AB925 AB958:AB975 AB1008:AB1025 AB1058:AB1075 AB1108:AB1125 AB1158:AB1175 AB1208:AB1225 AB1258:AB1275 AB1308:AB1325 AB1358:AB1375 AB1408:AB1425 AB1458:AB1475 AB1508:AB1525 AB1558:AB1575 AB1608:AB1625 AB1658:AB1675 AB1708:AB1725 AB1758:AB1775 AB1808:AB1825 AB1858:AB1875 AB1908:AB1925 AB1958:AB1975 AB2008:AB2025 AB2058:AB2075 AB2108:AB2125 AB2158:AB2175 AB2208:AB2225 AB2258:AB2275 AB2308:AB2325 AB2358:AB2375 AB2408:AB2425 AB2458:AB2475 AB2508:AB2525 AB2558:AB2575 AB2608:AB2625">
    <cfRule type="expression" priority="28" dxfId="4">
      <formula>AND(ISNUMBER(AB8),AB8&gt;0)</formula>
    </cfRule>
  </conditionalFormatting>
  <conditionalFormatting sqref="AC8:AC25 AC58:AC75 AC108:AC125 AC158:AC175 AC208:AC225 AC258:AC275 AC308:AC325 AC358:AC375 AC408:AC425 AC458:AC475 AC508:AC525 AC558:AC575 AC608:AC625 AC658:AC675 AC708:AC725 AC758:AC775 AC808:AC825 AC858:AC875 AC908:AC925 AC958:AC975 AC1008:AC1025 AC1058:AC1075 AC1108:AC1125 AC1158:AC1175 AC1208:AC1225 AC1258:AC1275 AC1308:AC1325 AC1358:AC1375 AC1408:AC1425 AC1458:AC1475 AC1508:AC1525 AC1558:AC1575 AC1608:AC1625 AC1658:AC1675 AC1708:AC1725 AC1758:AC1775 AC1808:AC1825 AC1858:AC1875 AC1908:AC1925 AC1958:AC1975 AC2008:AC2025 AC2058:AC2075 AC2108:AC2125 AC2158:AC2175 AC2208:AC2225 AC2258:AC2275 AC2308:AC2325 AC2358:AC2375 AC2408:AC2425 AC2458:AC2475 AC2508:AC2525 AC2558:AC2575 AC2608:AC2625">
    <cfRule type="expression" priority="29" dxfId="4">
      <formula>LEFT(AC8,1)="⚠"</formula>
    </cfRule>
  </conditionalFormatting>
  <conditionalFormatting sqref="AC27:AC50 AC77:AC100 AC127:AC150 AC177:AC200 AC227:AC250 AC277:AC300 AC327:AC350 AC377:AC400 AC427:AC450 AC477:AC500 AC527:AC550 AC577:AC600 AC627:AC650 AC677:AC700 AC727:AC750 AC777:AC800 AC827:AC850 AC877:AC900 AC927:AC950 AC977:AC1000 AC1027:AC1050 AC1077:AC1100 AC1127:AC1150 AC1177:AC1200 AC1227:AC1250 AC1277:AC1300 AC1327:AC1350 AC1377:AC1400 AC1427:AC1450 AC1477:AC1500 AC1527:AC1550 AC1577:AC1600 AC1627:AC1650 AC1677:AC1700 AC1727:AC1750 AC1777:AC1800 AC1827:AC1850 AC1877:AC1900 AC1927:AC1950 AC1977:AC2000 AC2027:AC2050 AC2077:AC2100 AC2127:AC2150 AC2177:AC2200 AC2227:AC2250 AC2277:AC2300 AC2327:AC2350 AC2377:AC2400 AC2427:AC2450 AC2477:AC2500 AC2527:AC2550 AC2577:AC2600 AC2627:AC2650">
    <cfRule type="expression" priority="30" dxfId="3">
      <formula>AND(ISNUMBER(AC27),AC27&gt;0)</formula>
    </cfRule>
    <cfRule type="expression" priority="31" dxfId="20">
      <formula>AND(ISNUMBER(AC27),AC27=0)</formula>
    </cfRule>
  </conditionalFormatting>
  <conditionalFormatting sqref="S5:V5 S55:V55 S105:V105 S155:V155 S205:V205 S255:V255 S305:V305 S355:V355 S405:V405 S455:V455 S505:V505 S555:V555 S605:V605 S655:V655 S705:V705 S755:V755 S805:V805 S855:V855 S905:V905 S955:V955 S1005:V1005 S1055:V1055 S1105:V1105 S1155:V1155 S1205:V1205 S1255:V1255 S1305:V1305 S1355:V1355 S1405:V1405 S1455:V1455 S1505:V1505 S1555:V1555 S1605:V1605 S1655:V1655 S1705:V1705 S1755:V1755 S1805:V1805 S1855:V1855 S1905:V1905 S1955:V1955 S2005:V2005 S2055:V2055 S2105:V2105 S2155:V2155 S2205:V2205 S2255:V2255 S2305:V2305 S2355:V2355 S2405:V2405 S2455:V2455 S2505:V2505 S2555:V2555 S2605:V2605">
    <cfRule type="cellIs" priority="32" operator="equal" dxfId="21">
      <formula>"THIS WEEK"</formula>
    </cfRule>
    <cfRule type="cellIs" priority="33" operator="equal" dxfId="22">
      <formula>"PAST"</formula>
    </cfRule>
  </conditionalFormatting>
  <conditionalFormatting sqref="W5:Z5 W55:Z55 W105:Z105 W155:Z155 W205:Z205 W255:Z255 W305:Z305 W355:Z355 W405:Z405 W455:Z455 W505:Z505 W555:Z555 W605:Z605 W655:Z655 W705:Z705 W755:Z755 W805:Z805 W855:Z855 W905:Z905 W955:Z955 W1005:Z1005 W1055:Z1055 W1105:Z1105 W1155:Z1155 W1205:Z1205 W1255:Z1255 W1305:Z1305 W1355:Z1355 W1405:Z1405 W1455:Z1455 W1505:Z1505 W1555:Z1555 W1605:Z1605 W1655:Z1655 W1705:Z1705 W1755:Z1755 W1805:Z1805 W1855:Z1855 W1905:Z1905 W1955:Z1955 W2005:Z2005 W2055:Z2055 W2105:Z2105 W2155:Z2155 W2205:Z2205 W2255:Z2255 W2305:Z2305 W2355:Z2355 W2405:Z2405 W2455:Z2455 W2505:Z2505 W2555:Z2555 W2605:Z2605">
    <cfRule type="expression" priority="34" dxfId="7">
      <formula>W5&lt;&gt;""</formula>
    </cfRule>
  </conditionalFormatting>
  <conditionalFormatting sqref="B5:R5 B55:R55 B105:R105 B155:R155 B205:R205 B255:R255 B305:R305 B355:R355 B405:R405 B455:R455 B505:R505 B555:R555 B605:R605 B655:R655 B705:R705 B755:R755 B805:R805 B855:R855 B905:R905 B955:R955 B1005:R1005 B1055:R1055 B1105:R1105 B1155:R1155 B1205:R1205 B1255:R1255 B1305:R1305 B1355:R1355 B1405:R1405 B1455:R1455 B1505:R1505 B1555:R1555 B1605:R1605 B1655:R1655 B1705:R1705 B1755:R1755 B1805:R1805 B1855:R1855 B1905:R1905 B1955:R1955 B2005:R2005 B2055:R2055 B2105:R2105 B2155:R2155 B2205:R2205 B2255:R2255 B2305:R2305 B2355:R2355 B2405:R2405 B2455:R2455 B2505:R2505 B2555:R2555 B2605:R2605">
    <cfRule type="expression" priority="35" dxfId="23">
      <formula>$W5&lt;&gt;""</formula>
    </cfRule>
  </conditionalFormatting>
  <dataValidations count="3">
    <dataValidation sqref="Y1" showDropDown="0" showInputMessage="0" showErrorMessage="0" allowBlank="0" errorTitle="Week" error="Enter a week number from 1 to 53." type="whole" operator="between">
      <formula1>1</formula1>
      <formula2>53</formula2>
    </dataValidation>
    <dataValidation sqref="C8:E25 C58:E75 C108:E125 C158:E175 C208:E225 C258:E275 C308:E325 C358:E375 C408:E425 C458:E475 C508:E525 C558:E575 C608:E625 C658:E675 C708:E725 C758:E775 C808:E825 C858:E875 C908:E925 C958:E975 C1008:E1025 C1058:E1075 C1108:E1125 C1158:E1175 C1208:E1225 C1258:E1275 C1308:E1325 C1358:E1375 C1408:E1425 C1458:E1475 C1508:E1525 C1558:E1575 C1608:E1625 C1658:E1675 C1708:E1725 C1758:E1775 C1808:E1825 C1858:E1875 C1908:E1925 C1958:E1975 C2008:E2025 C2058:E2075 C2108:E2125 C2158:E2175 C2208:E2225 C2258:E2275 C2308:E2325 C2358:E2375 C2408:E2425 C2458:E2475 C2508:E2525 C2558:E2575 C2608:E2625 G8:I25 G58:I75 G108:I125 G158:I175 G208:I225 G258:I275 G308:I325 G358:I375 G408:I425 G458:I475 G508:I525 G558:I575 G608:I625 G658:I675 G708:I725 G758:I775 G808:I825 G858:I875 G908:I925 G958:I975 G1008:I1025 G1058:I1075 G1108:I1125 G1158:I1175 G1208:I1225 G1258:I1275 G1308:I1325 G1358:I1375 G1408:I1425 G1458:I1475 G1508:I1525 G1558:I1575 G1608:I1625 G1658:I1675 G1708:I1725 G1758:I1775 G1808:I1825 G1858:I1875 G1908:I1925 G1958:I1975 G2008:I2025 G2058:I2075 G2108:I2125 G2158:I2175 G2208:I2225 G2258:I2275 G2308:I2325 G2358:I2375 G2408:I2425 G2458:I2475 G2508:I2525 G2558:I2575 G2608:I2625 K8:M25 K58:M75 K108:M125 K158:M175 K208:M225 K258:M275 K308:M325 K358:M375 K408:M425 K458:M475 K508:M525 K558:M575 K608:M625 K658:M675 K708:M725 K758:M775 K808:M825 K858:M875 K908:M925 K958:M975 K1008:M1025 K1058:M1075 K1108:M1125 K1158:M1175 K1208:M1225 K1258:M1275 K1308:M1325 K1358:M1375 K1408:M1425 K1458:M1475 K1508:M1525 K1558:M1575 K1608:M1625 K1658:M1675 K1708:M1725 K1758:M1775 K1808:M1825 K1858:M1875 K1908:M1925 K1958:M1975 K2008:M2025 K2058:M2075 K2108:M2125 K2158:M2175 K2208:M2225 K2258:M2275 K2308:M2325 K2358:M2375 K2408:M2425 K2458:M2475 K2508:M2525 K2558:M2575 K2608:M2625 O8:Q25 O58:Q75 O108:Q125 O158:Q175 O208:Q225 O258:Q275 O308:Q325 O358:Q375 O408:Q425 O458:Q475 O508:Q525 O558:Q575 O608:Q625 O658:Q675 O708:Q725 O758:Q775 O808:Q825 O858:Q875 O908:Q925 O958:Q975 O1008:Q1025 O1058:Q1075 O1108:Q1125 O1158:Q1175 O1208:Q1225 O1258:Q1275 O1308:Q1325 O1358:Q1375 O1408:Q1425 O1458:Q1475 O1508:Q1525 O1558:Q1575 O1608:Q1625 O1658:Q1675 O1708:Q1725 O1758:Q1775 O1808:Q1825 O1858:Q1875 O1908:Q1925 O1958:Q1975 O2008:Q2025 O2058:Q2075 O2108:Q2125 O2158:Q2175 O2208:Q2225 O2258:Q2275 O2308:Q2325 O2358:Q2375 O2408:Q2425 O2458:Q2475 O2508:Q2525 O2558:Q2575 O2608:Q2625 S8:U25 S58:U75 S108:U125 S158:U175 S208:U225 S258:U275 S308:U325 S358:U375 S408:U425 S458:U475 S508:U525 S558:U575 S608:U625 S658:U675 S708:U725 S758:U775 S808:U825 S858:U875 S908:U925 S958:U975 S1008:U1025 S1058:U1075 S1108:U1125 S1158:U1175 S1208:U1225 S1258:U1275 S1308:U1325 S1358:U1375 S1408:U1425 S1458:U1475 S1508:U1525 S1558:U1575 S1608:U1625 S1658:U1675 S1708:U1725 S1758:U1775 S1808:U1825 S1858:U1875 S1908:U1925 S1958:U1975 S2008:U2025 S2058:U2075 S2108:U2125 S2158:U2175 S2208:U2225 S2258:U2275 S2308:U2325 S2358:U2375 S2408:U2425 S2458:U2475 S2508:U2525 S2558:U2575 S2608:U2625 W8:W25 W58:W75 W108:W125 W158:W175 W208:W225 W258:W275 W308:W325 W358:W375 W408:W425 W458:W475 W508:W525 W558:W575 W608:W625 W658:W675 W708:W725 W758:W775 W808:W825 W858:W875 W908:W925 W958:W975 W1008:W1025 W1058:W1075 W1108:W1125 W1158:W1175 W1208:W1225 W1258:W1275 W1308:W1325 W1358:W1375 W1408:W1425 W1458:W1475 W1508:W1525 W1558:W1575 W1608:W1625 W1658:W1675 W1708:W1725 W1758:W1775 W1808:W1825 W1858:W1875 W1908:W1925 W1958:W1975 W2008:W2025 W2058:W2075 W2108:W2125 W2158:W2175 W2208:W2225 W2258:W2275 W2308:W2325 W2358:W2375 W2408:W2425 W2458:W2475 W2508:W2525 W2558:W2575 W2608:W2625 Y8:Y25 Y58:Y75 Y108:Y125 Y158:Y175 Y208:Y225 Y258:Y275 Y308:Y325 Y358:Y375 Y408:Y425 Y458:Y475 Y508:Y525 Y558:Y575 Y608:Y625 Y658:Y675 Y708:Y725 Y758:Y775 Y808:Y825 Y858:Y875 Y908:Y925 Y958:Y975 Y1008:Y1025 Y1058:Y1075 Y1108:Y1125 Y1158:Y1175 Y1208:Y1225 Y1258:Y1275 Y1308:Y1325 Y1358:Y1375 Y1408:Y1425 Y1458:Y1475 Y1508:Y1525 Y1558:Y1575 Y1608:Y1625 Y1658:Y1675 Y1708:Y1725 Y1758:Y1775 Y1808:Y1825 Y1858:Y1875 Y1908:Y1925 Y1958:Y1975 Y2008:Y2025 Y2058:Y2075 Y2108:Y2125 Y2158:Y2175 Y2208:Y2225 Y2258:Y2275 Y2308:Y2325 Y2358:Y2375 Y2408:Y2425 Y2458:Y2475 Y2508:Y2525 Y2558:Y2575 Y2608:Y2625" showDropDown="0" showInputMessage="0" showErrorMessage="0" allowBlank="1" type="list">
      <formula1>OFFSET(Engine!$O$68,(INDEX(Engine!$A$3:$AC$3,COLUMN())-1)*18+MOD(ROW()-5,50)-3,0,1,MAX(1,INDEX(Engine!$N$68:$N$193,(INDEX(Engine!$A$3:$AC$3,COLUMN())-1)*18+MOD(ROW()-5,50)-2)))</formula1>
    </dataValidation>
    <dataValidation sqref="C27:C50 C77:C100 C127:C150 C177:C200 C227:C250 C277:C300 C327:C350 C377:C400 C427:C450 C477:C500 C527:C550 C577:C600 C627:C650 C677:C700 C727:C750 C777:C800 C827:C850 C877:C900 C927:C950 C977:C1000 C1027:C1050 C1077:C1100 C1127:C1150 C1177:C1200 C1227:C1250 C1277:C1300 C1327:C1350 C1377:C1400 C1427:C1450 C1477:C1500 C1527:C1550 C1577:C1600 C1627:C1650 C1677:C1700 C1727:C1750 C1777:C1800 C1827:C1850 C1877:C1900 C1927:C1950 C1977:C2000 C2027:C2050 C2077:C2100 C2127:C2150 C2177:C2200 C2227:C2250 C2277:C2300 C2327:C2350 C2377:C2400 C2427:C2450 C2477:C2500 C2527:C2550 C2577:C2600 C2627:C2650 G27:G50 G77:G100 G127:G150 G177:G200 G227:G250 G277:G300 G327:G350 G377:G400 G427:G450 G477:G500 G527:G550 G577:G600 G627:G650 G677:G700 G727:G750 G777:G800 G827:G850 G877:G900 G927:G950 G977:G1000 G1027:G1050 G1077:G1100 G1127:G1150 G1177:G1200 G1227:G1250 G1277:G1300 G1327:G1350 G1377:G1400 G1427:G1450 G1477:G1500 G1527:G1550 G1577:G1600 G1627:G1650 G1677:G1700 G1727:G1750 G1777:G1800 G1827:G1850 G1877:G1900 G1927:G1950 G1977:G2000 G2027:G2050 G2077:G2100 G2127:G2150 G2177:G2200 G2227:G2250 G2277:G2300 G2327:G2350 G2377:G2400 G2427:G2450 G2477:G2500 G2527:G2550 G2577:G2600 G2627:G2650 K27:K50 K77:K100 K127:K150 K177:K200 K227:K250 K277:K300 K327:K350 K377:K400 K427:K450 K477:K500 K527:K550 K577:K600 K627:K650 K677:K700 K727:K750 K777:K800 K827:K850 K877:K900 K927:K950 K977:K1000 K1027:K1050 K1077:K1100 K1127:K1150 K1177:K1200 K1227:K1250 K1277:K1300 K1327:K1350 K1377:K1400 K1427:K1450 K1477:K1500 K1527:K1550 K1577:K1600 K1627:K1650 K1677:K1700 K1727:K1750 K1777:K1800 K1827:K1850 K1877:K1900 K1927:K1950 K1977:K2000 K2027:K2050 K2077:K2100 K2127:K2150 K2177:K2200 K2227:K2250 K2277:K2300 K2327:K2350 K2377:K2400 K2427:K2450 K2477:K2500 K2527:K2550 K2577:K2600 K2627:K2650 O27:O50 O77:O100 O127:O150 O177:O200 O227:O250 O277:O300 O327:O350 O377:O400 O427:O450 O477:O500 O527:O550 O577:O600 O627:O650 O677:O700 O727:O750 O777:O800 O827:O850 O877:O900 O927:O950 O977:O1000 O1027:O1050 O1077:O1100 O1127:O1150 O1177:O1200 O1227:O1250 O1277:O1300 O1327:O1350 O1377:O1400 O1427:O1450 O1477:O1500 O1527:O1550 O1577:O1600 O1627:O1650 O1677:O1700 O1727:O1750 O1777:O1800 O1827:O1850 O1877:O1900 O1927:O1950 O1977:O2000 O2027:O2050 O2077:O2100 O2127:O2150 O2177:O2200 O2227:O2250 O2277:O2300 O2327:O2350 O2377:O2400 O2427:O2450 O2477:O2500 O2527:O2550 O2577:O2600 O2627:O2650 S27:S50 S77:S100 S127:S150 S177:S200 S227:S250 S277:S300 S327:S350 S377:S400 S427:S450 S477:S500 S527:S550 S577:S600 S627:S650 S677:S700 S727:S750 S777:S800 S827:S850 S877:S900 S927:S950 S977:S1000 S1027:S1050 S1077:S1100 S1127:S1150 S1177:S1200 S1227:S1250 S1277:S1300 S1327:S1350 S1377:S1400 S1427:S1450 S1477:S1500 S1527:S1550 S1577:S1600 S1627:S1650 S1677:S1700 S1727:S1750 S1777:S1800 S1827:S1850 S1877:S1900 S1927:S1950 S1977:S2000 S2027:S2050 S2077:S2100 S2127:S2150 S2177:S2200 S2227:S2250 S2277:S2300 S2327:S2350 S2377:S2400 S2427:S2450 S2477:S2500 S2527:S2550 S2577:S2600 S2627:S2650 W27:W50 W77:W100 W127:W150 W177:W200 W227:W250 W277:W300 W327:W350 W377:W400 W427:W450 W477:W500 W527:W550 W577:W600 W627:W650 W677:W700 W727:W750 W777:W800 W827:W850 W877:W900 W927:W950 W977:W1000 W1027:W1050 W1077:W1100 W1127:W1150 W1177:W1200 W1227:W1250 W1277:W1300 W1327:W1350 W1377:W1400 W1427:W1450 W1477:W1500 W1527:W1550 W1577:W1600 W1627:W1650 W1677:W1700 W1727:W1750 W1777:W1800 W1827:W1850 W1877:W1900 W1927:W1950 W1977:W2000 W2027:W2050 W2077:W2100 W2127:W2150 W2177:W2200 W2227:W2250 W2277:W2300 W2327:W2350 W2377:W2400 W2427:W2450 W2477:W2500 W2527:W2550 W2577:W2600 W2627:W2650 Y27:Y50 Y77:Y100 Y127:Y150 Y177:Y200 Y227:Y250 Y277:Y300 Y327:Y350 Y377:Y400 Y427:Y450 Y477:Y500 Y527:Y550 Y577:Y600 Y627:Y650 Y677:Y700 Y727:Y750 Y777:Y800 Y827:Y850 Y877:Y900 Y927:Y950 Y977:Y1000 Y1027:Y1050 Y1077:Y1100 Y1127:Y1150 Y1177:Y1200 Y1227:Y1250 Y1277:Y1300 Y1327:Y1350 Y1377:Y1400 Y1427:Y1450 Y1477:Y1500 Y1527:Y1550 Y1577:Y1600 Y1627:Y1650 Y1677:Y1700 Y1727:Y1750 Y1777:Y1800 Y1827:Y1850 Y1877:Y1900 Y1927:Y1950 Y1977:Y2000 Y2027:Y2050 Y2077:Y2100 Y2127:Y2150 Y2177:Y2200 Y2227:Y2250 Y2277:Y2300 Y2327:Y2350 Y2377:Y2400 Y2427:Y2450 Y2477:Y2500 Y2527:Y2550 Y2577:Y2600 Y2627:Y2650" showDropDown="0" showInputMessage="0" showErrorMessage="1" allowBlank="1" errorTitle="Status code" error="That is not one of the status codes on the Setup sheet. Keep it anyway?" type="list" errorStyle="warning">
      <formula1>OFFSET(Setup!$B$33,0,0,MAX(1,COUNTIF(Setup!$B$33:$B$40,"?*")),1)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AB5" r:id="rId2"/>
    <hyperlink xmlns:r="http://schemas.openxmlformats.org/officeDocument/2006/relationships" ref="AC5" r:id="rId3"/>
    <hyperlink xmlns:r="http://schemas.openxmlformats.org/officeDocument/2006/relationships" ref="AB55" r:id="rId4"/>
    <hyperlink xmlns:r="http://schemas.openxmlformats.org/officeDocument/2006/relationships" ref="AC55" r:id="rId5"/>
    <hyperlink xmlns:r="http://schemas.openxmlformats.org/officeDocument/2006/relationships" ref="AB105" r:id="rId6"/>
    <hyperlink xmlns:r="http://schemas.openxmlformats.org/officeDocument/2006/relationships" ref="AC105" r:id="rId7"/>
    <hyperlink xmlns:r="http://schemas.openxmlformats.org/officeDocument/2006/relationships" ref="AB155" r:id="rId8"/>
    <hyperlink xmlns:r="http://schemas.openxmlformats.org/officeDocument/2006/relationships" ref="AC155" r:id="rId9"/>
    <hyperlink xmlns:r="http://schemas.openxmlformats.org/officeDocument/2006/relationships" ref="AB205" r:id="rId10"/>
    <hyperlink xmlns:r="http://schemas.openxmlformats.org/officeDocument/2006/relationships" ref="AC205" r:id="rId11"/>
    <hyperlink xmlns:r="http://schemas.openxmlformats.org/officeDocument/2006/relationships" ref="AB255" r:id="rId12"/>
    <hyperlink xmlns:r="http://schemas.openxmlformats.org/officeDocument/2006/relationships" ref="AC255" r:id="rId13"/>
    <hyperlink xmlns:r="http://schemas.openxmlformats.org/officeDocument/2006/relationships" ref="AB305" r:id="rId14"/>
    <hyperlink xmlns:r="http://schemas.openxmlformats.org/officeDocument/2006/relationships" ref="AC305" r:id="rId15"/>
    <hyperlink xmlns:r="http://schemas.openxmlformats.org/officeDocument/2006/relationships" ref="AB355" r:id="rId16"/>
    <hyperlink xmlns:r="http://schemas.openxmlformats.org/officeDocument/2006/relationships" ref="AC355" r:id="rId17"/>
    <hyperlink xmlns:r="http://schemas.openxmlformats.org/officeDocument/2006/relationships" ref="AB405" r:id="rId18"/>
    <hyperlink xmlns:r="http://schemas.openxmlformats.org/officeDocument/2006/relationships" ref="AC405" r:id="rId19"/>
    <hyperlink xmlns:r="http://schemas.openxmlformats.org/officeDocument/2006/relationships" ref="AB455" r:id="rId20"/>
    <hyperlink xmlns:r="http://schemas.openxmlformats.org/officeDocument/2006/relationships" ref="AC455" r:id="rId21"/>
    <hyperlink xmlns:r="http://schemas.openxmlformats.org/officeDocument/2006/relationships" ref="AB505" r:id="rId22"/>
    <hyperlink xmlns:r="http://schemas.openxmlformats.org/officeDocument/2006/relationships" ref="AC505" r:id="rId23"/>
    <hyperlink xmlns:r="http://schemas.openxmlformats.org/officeDocument/2006/relationships" ref="AB555" r:id="rId24"/>
    <hyperlink xmlns:r="http://schemas.openxmlformats.org/officeDocument/2006/relationships" ref="AC555" r:id="rId25"/>
    <hyperlink xmlns:r="http://schemas.openxmlformats.org/officeDocument/2006/relationships" ref="AB605" r:id="rId26"/>
    <hyperlink xmlns:r="http://schemas.openxmlformats.org/officeDocument/2006/relationships" ref="AC605" r:id="rId27"/>
    <hyperlink xmlns:r="http://schemas.openxmlformats.org/officeDocument/2006/relationships" ref="AB655" r:id="rId28"/>
    <hyperlink xmlns:r="http://schemas.openxmlformats.org/officeDocument/2006/relationships" ref="AC655" r:id="rId29"/>
    <hyperlink xmlns:r="http://schemas.openxmlformats.org/officeDocument/2006/relationships" ref="AB705" r:id="rId30"/>
    <hyperlink xmlns:r="http://schemas.openxmlformats.org/officeDocument/2006/relationships" ref="AC705" r:id="rId31"/>
    <hyperlink xmlns:r="http://schemas.openxmlformats.org/officeDocument/2006/relationships" ref="AB755" r:id="rId32"/>
    <hyperlink xmlns:r="http://schemas.openxmlformats.org/officeDocument/2006/relationships" ref="AC755" r:id="rId33"/>
    <hyperlink xmlns:r="http://schemas.openxmlformats.org/officeDocument/2006/relationships" ref="AB805" r:id="rId34"/>
    <hyperlink xmlns:r="http://schemas.openxmlformats.org/officeDocument/2006/relationships" ref="AC805" r:id="rId35"/>
    <hyperlink xmlns:r="http://schemas.openxmlformats.org/officeDocument/2006/relationships" ref="AB855" r:id="rId36"/>
    <hyperlink xmlns:r="http://schemas.openxmlformats.org/officeDocument/2006/relationships" ref="AC855" r:id="rId37"/>
    <hyperlink xmlns:r="http://schemas.openxmlformats.org/officeDocument/2006/relationships" ref="AB905" r:id="rId38"/>
    <hyperlink xmlns:r="http://schemas.openxmlformats.org/officeDocument/2006/relationships" ref="AC905" r:id="rId39"/>
    <hyperlink xmlns:r="http://schemas.openxmlformats.org/officeDocument/2006/relationships" ref="AB955" r:id="rId40"/>
    <hyperlink xmlns:r="http://schemas.openxmlformats.org/officeDocument/2006/relationships" ref="AC955" r:id="rId41"/>
    <hyperlink xmlns:r="http://schemas.openxmlformats.org/officeDocument/2006/relationships" ref="AB1005" r:id="rId42"/>
    <hyperlink xmlns:r="http://schemas.openxmlformats.org/officeDocument/2006/relationships" ref="AC1005" r:id="rId43"/>
    <hyperlink xmlns:r="http://schemas.openxmlformats.org/officeDocument/2006/relationships" ref="AB1055" r:id="rId44"/>
    <hyperlink xmlns:r="http://schemas.openxmlformats.org/officeDocument/2006/relationships" ref="AC1055" r:id="rId45"/>
    <hyperlink xmlns:r="http://schemas.openxmlformats.org/officeDocument/2006/relationships" ref="AB1105" r:id="rId46"/>
    <hyperlink xmlns:r="http://schemas.openxmlformats.org/officeDocument/2006/relationships" ref="AC1105" r:id="rId47"/>
    <hyperlink xmlns:r="http://schemas.openxmlformats.org/officeDocument/2006/relationships" ref="AB1155" r:id="rId48"/>
    <hyperlink xmlns:r="http://schemas.openxmlformats.org/officeDocument/2006/relationships" ref="AC1155" r:id="rId49"/>
    <hyperlink xmlns:r="http://schemas.openxmlformats.org/officeDocument/2006/relationships" ref="AB1205" r:id="rId50"/>
    <hyperlink xmlns:r="http://schemas.openxmlformats.org/officeDocument/2006/relationships" ref="AC1205" r:id="rId51"/>
    <hyperlink xmlns:r="http://schemas.openxmlformats.org/officeDocument/2006/relationships" ref="AB1255" r:id="rId52"/>
    <hyperlink xmlns:r="http://schemas.openxmlformats.org/officeDocument/2006/relationships" ref="AC1255" r:id="rId53"/>
    <hyperlink xmlns:r="http://schemas.openxmlformats.org/officeDocument/2006/relationships" ref="AB1305" r:id="rId54"/>
    <hyperlink xmlns:r="http://schemas.openxmlformats.org/officeDocument/2006/relationships" ref="AC1305" r:id="rId55"/>
    <hyperlink xmlns:r="http://schemas.openxmlformats.org/officeDocument/2006/relationships" ref="AB1355" r:id="rId56"/>
    <hyperlink xmlns:r="http://schemas.openxmlformats.org/officeDocument/2006/relationships" ref="AC1355" r:id="rId57"/>
    <hyperlink xmlns:r="http://schemas.openxmlformats.org/officeDocument/2006/relationships" ref="AB1405" r:id="rId58"/>
    <hyperlink xmlns:r="http://schemas.openxmlformats.org/officeDocument/2006/relationships" ref="AC1405" r:id="rId59"/>
    <hyperlink xmlns:r="http://schemas.openxmlformats.org/officeDocument/2006/relationships" ref="AB1455" r:id="rId60"/>
    <hyperlink xmlns:r="http://schemas.openxmlformats.org/officeDocument/2006/relationships" ref="AC1455" r:id="rId61"/>
    <hyperlink xmlns:r="http://schemas.openxmlformats.org/officeDocument/2006/relationships" ref="AB1505" r:id="rId62"/>
    <hyperlink xmlns:r="http://schemas.openxmlformats.org/officeDocument/2006/relationships" ref="AC1505" r:id="rId63"/>
    <hyperlink xmlns:r="http://schemas.openxmlformats.org/officeDocument/2006/relationships" ref="AB1555" r:id="rId64"/>
    <hyperlink xmlns:r="http://schemas.openxmlformats.org/officeDocument/2006/relationships" ref="AC1555" r:id="rId65"/>
    <hyperlink xmlns:r="http://schemas.openxmlformats.org/officeDocument/2006/relationships" ref="AB1605" r:id="rId66"/>
    <hyperlink xmlns:r="http://schemas.openxmlformats.org/officeDocument/2006/relationships" ref="AC1605" r:id="rId67"/>
    <hyperlink xmlns:r="http://schemas.openxmlformats.org/officeDocument/2006/relationships" ref="AB1655" r:id="rId68"/>
    <hyperlink xmlns:r="http://schemas.openxmlformats.org/officeDocument/2006/relationships" ref="AC1655" r:id="rId69"/>
    <hyperlink xmlns:r="http://schemas.openxmlformats.org/officeDocument/2006/relationships" ref="AB1705" r:id="rId70"/>
    <hyperlink xmlns:r="http://schemas.openxmlformats.org/officeDocument/2006/relationships" ref="AC1705" r:id="rId71"/>
    <hyperlink xmlns:r="http://schemas.openxmlformats.org/officeDocument/2006/relationships" ref="AB1755" r:id="rId72"/>
    <hyperlink xmlns:r="http://schemas.openxmlformats.org/officeDocument/2006/relationships" ref="AC1755" r:id="rId73"/>
    <hyperlink xmlns:r="http://schemas.openxmlformats.org/officeDocument/2006/relationships" ref="AB1805" r:id="rId74"/>
    <hyperlink xmlns:r="http://schemas.openxmlformats.org/officeDocument/2006/relationships" ref="AC1805" r:id="rId75"/>
    <hyperlink xmlns:r="http://schemas.openxmlformats.org/officeDocument/2006/relationships" ref="AB1855" r:id="rId76"/>
    <hyperlink xmlns:r="http://schemas.openxmlformats.org/officeDocument/2006/relationships" ref="AC1855" r:id="rId77"/>
    <hyperlink xmlns:r="http://schemas.openxmlformats.org/officeDocument/2006/relationships" ref="AB1905" r:id="rId78"/>
    <hyperlink xmlns:r="http://schemas.openxmlformats.org/officeDocument/2006/relationships" ref="AC1905" r:id="rId79"/>
    <hyperlink xmlns:r="http://schemas.openxmlformats.org/officeDocument/2006/relationships" ref="AB1955" r:id="rId80"/>
    <hyperlink xmlns:r="http://schemas.openxmlformats.org/officeDocument/2006/relationships" ref="AC1955" r:id="rId81"/>
    <hyperlink xmlns:r="http://schemas.openxmlformats.org/officeDocument/2006/relationships" ref="AB2005" r:id="rId82"/>
    <hyperlink xmlns:r="http://schemas.openxmlformats.org/officeDocument/2006/relationships" ref="AC2005" r:id="rId83"/>
    <hyperlink xmlns:r="http://schemas.openxmlformats.org/officeDocument/2006/relationships" ref="AB2055" r:id="rId84"/>
    <hyperlink xmlns:r="http://schemas.openxmlformats.org/officeDocument/2006/relationships" ref="AC2055" r:id="rId85"/>
    <hyperlink xmlns:r="http://schemas.openxmlformats.org/officeDocument/2006/relationships" ref="AB2105" r:id="rId86"/>
    <hyperlink xmlns:r="http://schemas.openxmlformats.org/officeDocument/2006/relationships" ref="AC2105" r:id="rId87"/>
    <hyperlink xmlns:r="http://schemas.openxmlformats.org/officeDocument/2006/relationships" ref="AB2155" r:id="rId88"/>
    <hyperlink xmlns:r="http://schemas.openxmlformats.org/officeDocument/2006/relationships" ref="AC2155" r:id="rId89"/>
    <hyperlink xmlns:r="http://schemas.openxmlformats.org/officeDocument/2006/relationships" ref="AB2205" r:id="rId90"/>
    <hyperlink xmlns:r="http://schemas.openxmlformats.org/officeDocument/2006/relationships" ref="AC2205" r:id="rId91"/>
    <hyperlink xmlns:r="http://schemas.openxmlformats.org/officeDocument/2006/relationships" ref="AB2255" r:id="rId92"/>
    <hyperlink xmlns:r="http://schemas.openxmlformats.org/officeDocument/2006/relationships" ref="AC2255" r:id="rId93"/>
    <hyperlink xmlns:r="http://schemas.openxmlformats.org/officeDocument/2006/relationships" ref="AB2305" r:id="rId94"/>
    <hyperlink xmlns:r="http://schemas.openxmlformats.org/officeDocument/2006/relationships" ref="AC2305" r:id="rId95"/>
    <hyperlink xmlns:r="http://schemas.openxmlformats.org/officeDocument/2006/relationships" ref="AB2355" r:id="rId96"/>
    <hyperlink xmlns:r="http://schemas.openxmlformats.org/officeDocument/2006/relationships" ref="AC2355" r:id="rId97"/>
    <hyperlink xmlns:r="http://schemas.openxmlformats.org/officeDocument/2006/relationships" ref="AB2405" r:id="rId98"/>
    <hyperlink xmlns:r="http://schemas.openxmlformats.org/officeDocument/2006/relationships" ref="AC2405" r:id="rId99"/>
    <hyperlink xmlns:r="http://schemas.openxmlformats.org/officeDocument/2006/relationships" ref="AB2455" r:id="rId100"/>
    <hyperlink xmlns:r="http://schemas.openxmlformats.org/officeDocument/2006/relationships" ref="AC2455" r:id="rId101"/>
    <hyperlink xmlns:r="http://schemas.openxmlformats.org/officeDocument/2006/relationships" ref="AB2505" r:id="rId102"/>
    <hyperlink xmlns:r="http://schemas.openxmlformats.org/officeDocument/2006/relationships" ref="AC2505" r:id="rId103"/>
    <hyperlink xmlns:r="http://schemas.openxmlformats.org/officeDocument/2006/relationships" ref="AB2555" r:id="rId104"/>
    <hyperlink xmlns:r="http://schemas.openxmlformats.org/officeDocument/2006/relationships" ref="AC2555" r:id="rId105"/>
    <hyperlink xmlns:r="http://schemas.openxmlformats.org/officeDocument/2006/relationships" ref="AB2605" r:id="rId106"/>
    <hyperlink xmlns:r="http://schemas.openxmlformats.org/officeDocument/2006/relationships" ref="AC2605" r:id="rId107"/>
  </hyperlinks>
  <pageMargins left="0.75" right="0.75" top="1" bottom="1" header="0.5" footer="0.5"/>
  <pageSetup orientation="landscape" fitToHeight="0" fitToWidth="1"/>
  <rowBreaks count="52" manualBreakCount="52">
    <brk id="54" min="0" max="16383" man="1"/>
    <brk id="104" min="0" max="16383" man="1"/>
    <brk id="154" min="0" max="16383" man="1"/>
    <brk id="204" min="0" max="16383" man="1"/>
    <brk id="254" min="0" max="16383" man="1"/>
    <brk id="304" min="0" max="16383" man="1"/>
    <brk id="354" min="0" max="16383" man="1"/>
    <brk id="404" min="0" max="16383" man="1"/>
    <brk id="454" min="0" max="16383" man="1"/>
    <brk id="504" min="0" max="16383" man="1"/>
    <brk id="554" min="0" max="16383" man="1"/>
    <brk id="604" min="0" max="16383" man="1"/>
    <brk id="654" min="0" max="16383" man="1"/>
    <brk id="704" min="0" max="16383" man="1"/>
    <brk id="754" min="0" max="16383" man="1"/>
    <brk id="804" min="0" max="16383" man="1"/>
    <brk id="854" min="0" max="16383" man="1"/>
    <brk id="904" min="0" max="16383" man="1"/>
    <brk id="954" min="0" max="16383" man="1"/>
    <brk id="1004" min="0" max="16383" man="1"/>
    <brk id="1054" min="0" max="16383" man="1"/>
    <brk id="1104" min="0" max="16383" man="1"/>
    <brk id="1154" min="0" max="16383" man="1"/>
    <brk id="1204" min="0" max="16383" man="1"/>
    <brk id="1254" min="0" max="16383" man="1"/>
    <brk id="1304" min="0" max="16383" man="1"/>
    <brk id="1354" min="0" max="16383" man="1"/>
    <brk id="1404" min="0" max="16383" man="1"/>
    <brk id="1454" min="0" max="16383" man="1"/>
    <brk id="1504" min="0" max="16383" man="1"/>
    <brk id="1554" min="0" max="16383" man="1"/>
    <brk id="1604" min="0" max="16383" man="1"/>
    <brk id="1654" min="0" max="16383" man="1"/>
    <brk id="1704" min="0" max="16383" man="1"/>
    <brk id="1754" min="0" max="16383" man="1"/>
    <brk id="1804" min="0" max="16383" man="1"/>
    <brk id="1854" min="0" max="16383" man="1"/>
    <brk id="1904" min="0" max="16383" man="1"/>
    <brk id="1954" min="0" max="16383" man="1"/>
    <brk id="2004" min="0" max="16383" man="1"/>
    <brk id="2054" min="0" max="16383" man="1"/>
    <brk id="2104" min="0" max="16383" man="1"/>
    <brk id="2154" min="0" max="16383" man="1"/>
    <brk id="2204" min="0" max="16383" man="1"/>
    <brk id="2254" min="0" max="16383" man="1"/>
    <brk id="2304" min="0" max="16383" man="1"/>
    <brk id="2354" min="0" max="16383" man="1"/>
    <brk id="2404" min="0" max="16383" man="1"/>
    <brk id="2454" min="0" max="16383" man="1"/>
    <brk id="2504" min="0" max="16383" man="1"/>
    <brk id="2554" min="0" max="16383" man="1"/>
    <brk id="2604" min="0" max="16383" man="1"/>
  </rowBreaks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L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8" customWidth="1" min="2" max="2"/>
    <col width="4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18" customWidth="1" min="9" max="9"/>
    <col width="18" customWidth="1" min="10" max="10"/>
    <col width="14" customWidth="1" min="11" max="11"/>
  </cols>
  <sheetData>
    <row r="1" ht="30" customHeight="1">
      <c r="A1" s="1" t="n"/>
      <c r="B1" s="52" t="inlineStr">
        <is>
          <t>MY ROTA  ·  one person, six weeks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53" t="inlineStr">
        <is>
          <t>◀ Dashboard</t>
        </is>
      </c>
      <c r="L1" s="1" t="n"/>
    </row>
    <row r="2" ht="16" customHeight="1">
      <c r="A2" s="1" t="n"/>
      <c r="B2" s="4" t="inlineStr">
        <is>
          <t>Pick a person and a starting week. Hand this page to the person, or print it.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B4" s="8" t="inlineStr">
        <is>
          <t>Person (initials)</t>
        </is>
      </c>
      <c r="D4" s="10" t="inlineStr">
        <is>
          <t>JP</t>
        </is>
      </c>
      <c r="E4" s="114">
        <f>IFERROR(IF(INDEX(Setup!$C$6:$C$29,MATCH($D$4,Setup!$B$6:$B$29,0))="","",INDEX(Setup!$C$6:$C$29,MATCH($D$4,Setup!$B$6:$B$29,0))&amp;"   ·   ")&amp;INDEX(Setup!$D$6:$D$29,MATCH($D$4,Setup!$B$6:$B$29,0)),"unknown initials")</f>
        <v/>
      </c>
    </row>
    <row r="5">
      <c r="B5" s="8" t="inlineStr">
        <is>
          <t>Year</t>
        </is>
      </c>
      <c r="D5" s="10">
        <f>Engine!$B$11</f>
        <v/>
      </c>
      <c r="E5" s="11" t="inlineStr">
        <is>
          <t>← defaults to the planning week on the Dashboard; overwrite to look elsewhere</t>
        </is>
      </c>
    </row>
    <row r="6">
      <c r="B6" s="8" t="inlineStr">
        <is>
          <t>From week</t>
        </is>
      </c>
      <c r="D6" s="10">
        <f>Engine!$B$9</f>
        <v/>
      </c>
    </row>
    <row r="8" ht="18" customHeight="1">
      <c r="B8" s="22" t="inlineStr">
        <is>
          <t>Week</t>
        </is>
      </c>
      <c r="D8" s="22" t="inlineStr">
        <is>
          <t>Mon</t>
        </is>
      </c>
      <c r="E8" s="22" t="inlineStr">
        <is>
          <t>Tue</t>
        </is>
      </c>
      <c r="F8" s="22" t="inlineStr">
        <is>
          <t>Wed</t>
        </is>
      </c>
      <c r="G8" s="22" t="inlineStr">
        <is>
          <t>Thu</t>
        </is>
      </c>
      <c r="H8" s="22" t="inlineStr">
        <is>
          <t>Fri</t>
        </is>
      </c>
      <c r="I8" s="115" t="inlineStr">
        <is>
          <t>Sat</t>
        </is>
      </c>
      <c r="J8" s="115" t="inlineStr">
        <is>
          <t>Sun</t>
        </is>
      </c>
      <c r="K8" s="22" t="inlineStr">
        <is>
          <t>Days on</t>
        </is>
      </c>
    </row>
    <row r="9" ht="58" customHeight="1">
      <c r="B9" s="116">
        <f>IF(Engine!$C$312="","","W"&amp;(N($D$6)+0)&amp;CHAR(10)&amp;TEXT(Engine!$C$312,"d mmm")&amp;" – "&amp;TEXT(Engine!$C$312+6,"d mmm"))</f>
        <v/>
      </c>
      <c r="C9" s="117" t="n"/>
      <c r="D9" s="118">
        <f>IF(Engine!$C$312="","",IF(Engine!$D$312&lt;&gt;"",Engine!$D$312&amp;IFERROR("  "&amp;INDEX(Setup!$C$33:$C$40,MATCH(Engine!$D$312,Setup!$B$33:$B$40,0)),"")&amp;IF(Engine!$T$312="","",CHAR(10)),"")&amp;IF(Engine!$T$312="",IF(Engine!$D$312&lt;&gt;"","","–"),Engine!$T$312))</f>
        <v/>
      </c>
      <c r="E9" s="118">
        <f>IF(Engine!$C$312="","",IF(Engine!$E$312&lt;&gt;"",Engine!$E$312&amp;IFERROR("  "&amp;INDEX(Setup!$C$33:$C$40,MATCH(Engine!$E$312,Setup!$B$33:$B$40,0)),"")&amp;IF(Engine!$U$312="","",CHAR(10)),"")&amp;IF(Engine!$U$312="",IF(Engine!$E$312&lt;&gt;"","","–"),Engine!$U$312))</f>
        <v/>
      </c>
      <c r="F9" s="118">
        <f>IF(Engine!$C$312="","",IF(Engine!$F$312&lt;&gt;"",Engine!$F$312&amp;IFERROR("  "&amp;INDEX(Setup!$C$33:$C$40,MATCH(Engine!$F$312,Setup!$B$33:$B$40,0)),"")&amp;IF(Engine!$V$312="","",CHAR(10)),"")&amp;IF(Engine!$V$312="",IF(Engine!$F$312&lt;&gt;"","","–"),Engine!$V$312))</f>
        <v/>
      </c>
      <c r="G9" s="118">
        <f>IF(Engine!$C$312="","",IF(Engine!$G$312&lt;&gt;"",Engine!$G$312&amp;IFERROR("  "&amp;INDEX(Setup!$C$33:$C$40,MATCH(Engine!$G$312,Setup!$B$33:$B$40,0)),"")&amp;IF(Engine!$W$312="","",CHAR(10)),"")&amp;IF(Engine!$W$312="",IF(Engine!$G$312&lt;&gt;"","","–"),Engine!$W$312))</f>
        <v/>
      </c>
      <c r="H9" s="118">
        <f>IF(Engine!$C$312="","",IF(Engine!$H$312&lt;&gt;"",Engine!$H$312&amp;IFERROR("  "&amp;INDEX(Setup!$C$33:$C$40,MATCH(Engine!$H$312,Setup!$B$33:$B$40,0)),"")&amp;IF(Engine!$X$312="","",CHAR(10)),"")&amp;IF(Engine!$X$312="",IF(Engine!$H$312&lt;&gt;"","","–"),Engine!$X$312))</f>
        <v/>
      </c>
      <c r="I9" s="118">
        <f>IF(Engine!$C$312="","",IF(Engine!$I$312&lt;&gt;"",Engine!$I$312&amp;IFERROR("  "&amp;INDEX(Setup!$C$33:$C$40,MATCH(Engine!$I$312,Setup!$B$33:$B$40,0)),"")&amp;IF(Engine!$Y$312="","",CHAR(10)),"")&amp;IF(Engine!$Y$312="",IF(Engine!$I$312&lt;&gt;"","","–"),Engine!$Y$312))</f>
        <v/>
      </c>
      <c r="J9" s="118">
        <f>IF(Engine!$C$312="","",IF(Engine!$J$312&lt;&gt;"",Engine!$J$312&amp;IFERROR("  "&amp;INDEX(Setup!$C$33:$C$40,MATCH(Engine!$J$312,Setup!$B$33:$B$40,0)),"")&amp;IF(Engine!$Z$312="","",CHAR(10)),"")&amp;IF(Engine!$Z$312="",IF(Engine!$J$312&lt;&gt;"","","–"),Engine!$Z$312))</f>
        <v/>
      </c>
      <c r="K9" s="119">
        <f>IF(Engine!$C$312="","",SUMPRODUCT(--(LEFT(D9:J9,1)&lt;&gt;"–"),--(D9:J9&lt;&gt;"")))</f>
        <v/>
      </c>
    </row>
    <row r="10" ht="58" customHeight="1">
      <c r="B10" s="116">
        <f>IF(Engine!$C$313="","","W"&amp;(N($D$6)+1)&amp;CHAR(10)&amp;TEXT(Engine!$C$313,"d mmm")&amp;" – "&amp;TEXT(Engine!$C$313+6,"d mmm"))</f>
        <v/>
      </c>
      <c r="C10" s="117" t="n"/>
      <c r="D10" s="118">
        <f>IF(Engine!$C$313="","",IF(Engine!$D$313&lt;&gt;"",Engine!$D$313&amp;IFERROR("  "&amp;INDEX(Setup!$C$33:$C$40,MATCH(Engine!$D$313,Setup!$B$33:$B$40,0)),"")&amp;IF(Engine!$T$313="","",CHAR(10)),"")&amp;IF(Engine!$T$313="",IF(Engine!$D$313&lt;&gt;"","","–"),Engine!$T$313))</f>
        <v/>
      </c>
      <c r="E10" s="118">
        <f>IF(Engine!$C$313="","",IF(Engine!$E$313&lt;&gt;"",Engine!$E$313&amp;IFERROR("  "&amp;INDEX(Setup!$C$33:$C$40,MATCH(Engine!$E$313,Setup!$B$33:$B$40,0)),"")&amp;IF(Engine!$U$313="","",CHAR(10)),"")&amp;IF(Engine!$U$313="",IF(Engine!$E$313&lt;&gt;"","","–"),Engine!$U$313))</f>
        <v/>
      </c>
      <c r="F10" s="118">
        <f>IF(Engine!$C$313="","",IF(Engine!$F$313&lt;&gt;"",Engine!$F$313&amp;IFERROR("  "&amp;INDEX(Setup!$C$33:$C$40,MATCH(Engine!$F$313,Setup!$B$33:$B$40,0)),"")&amp;IF(Engine!$V$313="","",CHAR(10)),"")&amp;IF(Engine!$V$313="",IF(Engine!$F$313&lt;&gt;"","","–"),Engine!$V$313))</f>
        <v/>
      </c>
      <c r="G10" s="118">
        <f>IF(Engine!$C$313="","",IF(Engine!$G$313&lt;&gt;"",Engine!$G$313&amp;IFERROR("  "&amp;INDEX(Setup!$C$33:$C$40,MATCH(Engine!$G$313,Setup!$B$33:$B$40,0)),"")&amp;IF(Engine!$W$313="","",CHAR(10)),"")&amp;IF(Engine!$W$313="",IF(Engine!$G$313&lt;&gt;"","","–"),Engine!$W$313))</f>
        <v/>
      </c>
      <c r="H10" s="118">
        <f>IF(Engine!$C$313="","",IF(Engine!$H$313&lt;&gt;"",Engine!$H$313&amp;IFERROR("  "&amp;INDEX(Setup!$C$33:$C$40,MATCH(Engine!$H$313,Setup!$B$33:$B$40,0)),"")&amp;IF(Engine!$X$313="","",CHAR(10)),"")&amp;IF(Engine!$X$313="",IF(Engine!$H$313&lt;&gt;"","","–"),Engine!$X$313))</f>
        <v/>
      </c>
      <c r="I10" s="118">
        <f>IF(Engine!$C$313="","",IF(Engine!$I$313&lt;&gt;"",Engine!$I$313&amp;IFERROR("  "&amp;INDEX(Setup!$C$33:$C$40,MATCH(Engine!$I$313,Setup!$B$33:$B$40,0)),"")&amp;IF(Engine!$Y$313="","",CHAR(10)),"")&amp;IF(Engine!$Y$313="",IF(Engine!$I$313&lt;&gt;"","","–"),Engine!$Y$313))</f>
        <v/>
      </c>
      <c r="J10" s="118">
        <f>IF(Engine!$C$313="","",IF(Engine!$J$313&lt;&gt;"",Engine!$J$313&amp;IFERROR("  "&amp;INDEX(Setup!$C$33:$C$40,MATCH(Engine!$J$313,Setup!$B$33:$B$40,0)),"")&amp;IF(Engine!$Z$313="","",CHAR(10)),"")&amp;IF(Engine!$Z$313="",IF(Engine!$J$313&lt;&gt;"","","–"),Engine!$Z$313))</f>
        <v/>
      </c>
      <c r="K10" s="119">
        <f>IF(Engine!$C$313="","",SUMPRODUCT(--(LEFT(D10:J10,1)&lt;&gt;"–"),--(D10:J10&lt;&gt;"")))</f>
        <v/>
      </c>
    </row>
    <row r="11" ht="58" customHeight="1">
      <c r="B11" s="116">
        <f>IF(Engine!$C$314="","","W"&amp;(N($D$6)+2)&amp;CHAR(10)&amp;TEXT(Engine!$C$314,"d mmm")&amp;" – "&amp;TEXT(Engine!$C$314+6,"d mmm"))</f>
        <v/>
      </c>
      <c r="C11" s="117" t="n"/>
      <c r="D11" s="118">
        <f>IF(Engine!$C$314="","",IF(Engine!$D$314&lt;&gt;"",Engine!$D$314&amp;IFERROR("  "&amp;INDEX(Setup!$C$33:$C$40,MATCH(Engine!$D$314,Setup!$B$33:$B$40,0)),"")&amp;IF(Engine!$T$314="","",CHAR(10)),"")&amp;IF(Engine!$T$314="",IF(Engine!$D$314&lt;&gt;"","","–"),Engine!$T$314))</f>
        <v/>
      </c>
      <c r="E11" s="118">
        <f>IF(Engine!$C$314="","",IF(Engine!$E$314&lt;&gt;"",Engine!$E$314&amp;IFERROR("  "&amp;INDEX(Setup!$C$33:$C$40,MATCH(Engine!$E$314,Setup!$B$33:$B$40,0)),"")&amp;IF(Engine!$U$314="","",CHAR(10)),"")&amp;IF(Engine!$U$314="",IF(Engine!$E$314&lt;&gt;"","","–"),Engine!$U$314))</f>
        <v/>
      </c>
      <c r="F11" s="118">
        <f>IF(Engine!$C$314="","",IF(Engine!$F$314&lt;&gt;"",Engine!$F$314&amp;IFERROR("  "&amp;INDEX(Setup!$C$33:$C$40,MATCH(Engine!$F$314,Setup!$B$33:$B$40,0)),"")&amp;IF(Engine!$V$314="","",CHAR(10)),"")&amp;IF(Engine!$V$314="",IF(Engine!$F$314&lt;&gt;"","","–"),Engine!$V$314))</f>
        <v/>
      </c>
      <c r="G11" s="118">
        <f>IF(Engine!$C$314="","",IF(Engine!$G$314&lt;&gt;"",Engine!$G$314&amp;IFERROR("  "&amp;INDEX(Setup!$C$33:$C$40,MATCH(Engine!$G$314,Setup!$B$33:$B$40,0)),"")&amp;IF(Engine!$W$314="","",CHAR(10)),"")&amp;IF(Engine!$W$314="",IF(Engine!$G$314&lt;&gt;"","","–"),Engine!$W$314))</f>
        <v/>
      </c>
      <c r="H11" s="118">
        <f>IF(Engine!$C$314="","",IF(Engine!$H$314&lt;&gt;"",Engine!$H$314&amp;IFERROR("  "&amp;INDEX(Setup!$C$33:$C$40,MATCH(Engine!$H$314,Setup!$B$33:$B$40,0)),"")&amp;IF(Engine!$X$314="","",CHAR(10)),"")&amp;IF(Engine!$X$314="",IF(Engine!$H$314&lt;&gt;"","","–"),Engine!$X$314))</f>
        <v/>
      </c>
      <c r="I11" s="118">
        <f>IF(Engine!$C$314="","",IF(Engine!$I$314&lt;&gt;"",Engine!$I$314&amp;IFERROR("  "&amp;INDEX(Setup!$C$33:$C$40,MATCH(Engine!$I$314,Setup!$B$33:$B$40,0)),"")&amp;IF(Engine!$Y$314="","",CHAR(10)),"")&amp;IF(Engine!$Y$314="",IF(Engine!$I$314&lt;&gt;"","","–"),Engine!$Y$314))</f>
        <v/>
      </c>
      <c r="J11" s="118">
        <f>IF(Engine!$C$314="","",IF(Engine!$J$314&lt;&gt;"",Engine!$J$314&amp;IFERROR("  "&amp;INDEX(Setup!$C$33:$C$40,MATCH(Engine!$J$314,Setup!$B$33:$B$40,0)),"")&amp;IF(Engine!$Z$314="","",CHAR(10)),"")&amp;IF(Engine!$Z$314="",IF(Engine!$J$314&lt;&gt;"","","–"),Engine!$Z$314))</f>
        <v/>
      </c>
      <c r="K11" s="119">
        <f>IF(Engine!$C$314="","",SUMPRODUCT(--(LEFT(D11:J11,1)&lt;&gt;"–"),--(D11:J11&lt;&gt;"")))</f>
        <v/>
      </c>
    </row>
    <row r="12" ht="58" customHeight="1">
      <c r="B12" s="116">
        <f>IF(Engine!$C$315="","","W"&amp;(N($D$6)+3)&amp;CHAR(10)&amp;TEXT(Engine!$C$315,"d mmm")&amp;" – "&amp;TEXT(Engine!$C$315+6,"d mmm"))</f>
        <v/>
      </c>
      <c r="C12" s="117" t="n"/>
      <c r="D12" s="118">
        <f>IF(Engine!$C$315="","",IF(Engine!$D$315&lt;&gt;"",Engine!$D$315&amp;IFERROR("  "&amp;INDEX(Setup!$C$33:$C$40,MATCH(Engine!$D$315,Setup!$B$33:$B$40,0)),"")&amp;IF(Engine!$T$315="","",CHAR(10)),"")&amp;IF(Engine!$T$315="",IF(Engine!$D$315&lt;&gt;"","","–"),Engine!$T$315))</f>
        <v/>
      </c>
      <c r="E12" s="118">
        <f>IF(Engine!$C$315="","",IF(Engine!$E$315&lt;&gt;"",Engine!$E$315&amp;IFERROR("  "&amp;INDEX(Setup!$C$33:$C$40,MATCH(Engine!$E$315,Setup!$B$33:$B$40,0)),"")&amp;IF(Engine!$U$315="","",CHAR(10)),"")&amp;IF(Engine!$U$315="",IF(Engine!$E$315&lt;&gt;"","","–"),Engine!$U$315))</f>
        <v/>
      </c>
      <c r="F12" s="118">
        <f>IF(Engine!$C$315="","",IF(Engine!$F$315&lt;&gt;"",Engine!$F$315&amp;IFERROR("  "&amp;INDEX(Setup!$C$33:$C$40,MATCH(Engine!$F$315,Setup!$B$33:$B$40,0)),"")&amp;IF(Engine!$V$315="","",CHAR(10)),"")&amp;IF(Engine!$V$315="",IF(Engine!$F$315&lt;&gt;"","","–"),Engine!$V$315))</f>
        <v/>
      </c>
      <c r="G12" s="118">
        <f>IF(Engine!$C$315="","",IF(Engine!$G$315&lt;&gt;"",Engine!$G$315&amp;IFERROR("  "&amp;INDEX(Setup!$C$33:$C$40,MATCH(Engine!$G$315,Setup!$B$33:$B$40,0)),"")&amp;IF(Engine!$W$315="","",CHAR(10)),"")&amp;IF(Engine!$W$315="",IF(Engine!$G$315&lt;&gt;"","","–"),Engine!$W$315))</f>
        <v/>
      </c>
      <c r="H12" s="118">
        <f>IF(Engine!$C$315="","",IF(Engine!$H$315&lt;&gt;"",Engine!$H$315&amp;IFERROR("  "&amp;INDEX(Setup!$C$33:$C$40,MATCH(Engine!$H$315,Setup!$B$33:$B$40,0)),"")&amp;IF(Engine!$X$315="","",CHAR(10)),"")&amp;IF(Engine!$X$315="",IF(Engine!$H$315&lt;&gt;"","","–"),Engine!$X$315))</f>
        <v/>
      </c>
      <c r="I12" s="118">
        <f>IF(Engine!$C$315="","",IF(Engine!$I$315&lt;&gt;"",Engine!$I$315&amp;IFERROR("  "&amp;INDEX(Setup!$C$33:$C$40,MATCH(Engine!$I$315,Setup!$B$33:$B$40,0)),"")&amp;IF(Engine!$Y$315="","",CHAR(10)),"")&amp;IF(Engine!$Y$315="",IF(Engine!$I$315&lt;&gt;"","","–"),Engine!$Y$315))</f>
        <v/>
      </c>
      <c r="J12" s="118">
        <f>IF(Engine!$C$315="","",IF(Engine!$J$315&lt;&gt;"",Engine!$J$315&amp;IFERROR("  "&amp;INDEX(Setup!$C$33:$C$40,MATCH(Engine!$J$315,Setup!$B$33:$B$40,0)),"")&amp;IF(Engine!$Z$315="","",CHAR(10)),"")&amp;IF(Engine!$Z$315="",IF(Engine!$J$315&lt;&gt;"","","–"),Engine!$Z$315))</f>
        <v/>
      </c>
      <c r="K12" s="119">
        <f>IF(Engine!$C$315="","",SUMPRODUCT(--(LEFT(D12:J12,1)&lt;&gt;"–"),--(D12:J12&lt;&gt;"")))</f>
        <v/>
      </c>
    </row>
    <row r="13" ht="58" customHeight="1">
      <c r="B13" s="116">
        <f>IF(Engine!$C$316="","","W"&amp;(N($D$6)+4)&amp;CHAR(10)&amp;TEXT(Engine!$C$316,"d mmm")&amp;" – "&amp;TEXT(Engine!$C$316+6,"d mmm"))</f>
        <v/>
      </c>
      <c r="C13" s="117" t="n"/>
      <c r="D13" s="118">
        <f>IF(Engine!$C$316="","",IF(Engine!$D$316&lt;&gt;"",Engine!$D$316&amp;IFERROR("  "&amp;INDEX(Setup!$C$33:$C$40,MATCH(Engine!$D$316,Setup!$B$33:$B$40,0)),"")&amp;IF(Engine!$T$316="","",CHAR(10)),"")&amp;IF(Engine!$T$316="",IF(Engine!$D$316&lt;&gt;"","","–"),Engine!$T$316))</f>
        <v/>
      </c>
      <c r="E13" s="118">
        <f>IF(Engine!$C$316="","",IF(Engine!$E$316&lt;&gt;"",Engine!$E$316&amp;IFERROR("  "&amp;INDEX(Setup!$C$33:$C$40,MATCH(Engine!$E$316,Setup!$B$33:$B$40,0)),"")&amp;IF(Engine!$U$316="","",CHAR(10)),"")&amp;IF(Engine!$U$316="",IF(Engine!$E$316&lt;&gt;"","","–"),Engine!$U$316))</f>
        <v/>
      </c>
      <c r="F13" s="118">
        <f>IF(Engine!$C$316="","",IF(Engine!$F$316&lt;&gt;"",Engine!$F$316&amp;IFERROR("  "&amp;INDEX(Setup!$C$33:$C$40,MATCH(Engine!$F$316,Setup!$B$33:$B$40,0)),"")&amp;IF(Engine!$V$316="","",CHAR(10)),"")&amp;IF(Engine!$V$316="",IF(Engine!$F$316&lt;&gt;"","","–"),Engine!$V$316))</f>
        <v/>
      </c>
      <c r="G13" s="118">
        <f>IF(Engine!$C$316="","",IF(Engine!$G$316&lt;&gt;"",Engine!$G$316&amp;IFERROR("  "&amp;INDEX(Setup!$C$33:$C$40,MATCH(Engine!$G$316,Setup!$B$33:$B$40,0)),"")&amp;IF(Engine!$W$316="","",CHAR(10)),"")&amp;IF(Engine!$W$316="",IF(Engine!$G$316&lt;&gt;"","","–"),Engine!$W$316))</f>
        <v/>
      </c>
      <c r="H13" s="118">
        <f>IF(Engine!$C$316="","",IF(Engine!$H$316&lt;&gt;"",Engine!$H$316&amp;IFERROR("  "&amp;INDEX(Setup!$C$33:$C$40,MATCH(Engine!$H$316,Setup!$B$33:$B$40,0)),"")&amp;IF(Engine!$X$316="","",CHAR(10)),"")&amp;IF(Engine!$X$316="",IF(Engine!$H$316&lt;&gt;"","","–"),Engine!$X$316))</f>
        <v/>
      </c>
      <c r="I13" s="118">
        <f>IF(Engine!$C$316="","",IF(Engine!$I$316&lt;&gt;"",Engine!$I$316&amp;IFERROR("  "&amp;INDEX(Setup!$C$33:$C$40,MATCH(Engine!$I$316,Setup!$B$33:$B$40,0)),"")&amp;IF(Engine!$Y$316="","",CHAR(10)),"")&amp;IF(Engine!$Y$316="",IF(Engine!$I$316&lt;&gt;"","","–"),Engine!$Y$316))</f>
        <v/>
      </c>
      <c r="J13" s="118">
        <f>IF(Engine!$C$316="","",IF(Engine!$J$316&lt;&gt;"",Engine!$J$316&amp;IFERROR("  "&amp;INDEX(Setup!$C$33:$C$40,MATCH(Engine!$J$316,Setup!$B$33:$B$40,0)),"")&amp;IF(Engine!$Z$316="","",CHAR(10)),"")&amp;IF(Engine!$Z$316="",IF(Engine!$J$316&lt;&gt;"","","–"),Engine!$Z$316))</f>
        <v/>
      </c>
      <c r="K13" s="119">
        <f>IF(Engine!$C$316="","",SUMPRODUCT(--(LEFT(D13:J13,1)&lt;&gt;"–"),--(D13:J13&lt;&gt;"")))</f>
        <v/>
      </c>
    </row>
    <row r="14" ht="58" customHeight="1">
      <c r="B14" s="116">
        <f>IF(Engine!$C$317="","","W"&amp;(N($D$6)+5)&amp;CHAR(10)&amp;TEXT(Engine!$C$317,"d mmm")&amp;" – "&amp;TEXT(Engine!$C$317+6,"d mmm"))</f>
        <v/>
      </c>
      <c r="C14" s="117" t="n"/>
      <c r="D14" s="118">
        <f>IF(Engine!$C$317="","",IF(Engine!$D$317&lt;&gt;"",Engine!$D$317&amp;IFERROR("  "&amp;INDEX(Setup!$C$33:$C$40,MATCH(Engine!$D$317,Setup!$B$33:$B$40,0)),"")&amp;IF(Engine!$T$317="","",CHAR(10)),"")&amp;IF(Engine!$T$317="",IF(Engine!$D$317&lt;&gt;"","","–"),Engine!$T$317))</f>
        <v/>
      </c>
      <c r="E14" s="118">
        <f>IF(Engine!$C$317="","",IF(Engine!$E$317&lt;&gt;"",Engine!$E$317&amp;IFERROR("  "&amp;INDEX(Setup!$C$33:$C$40,MATCH(Engine!$E$317,Setup!$B$33:$B$40,0)),"")&amp;IF(Engine!$U$317="","",CHAR(10)),"")&amp;IF(Engine!$U$317="",IF(Engine!$E$317&lt;&gt;"","","–"),Engine!$U$317))</f>
        <v/>
      </c>
      <c r="F14" s="118">
        <f>IF(Engine!$C$317="","",IF(Engine!$F$317&lt;&gt;"",Engine!$F$317&amp;IFERROR("  "&amp;INDEX(Setup!$C$33:$C$40,MATCH(Engine!$F$317,Setup!$B$33:$B$40,0)),"")&amp;IF(Engine!$V$317="","",CHAR(10)),"")&amp;IF(Engine!$V$317="",IF(Engine!$F$317&lt;&gt;"","","–"),Engine!$V$317))</f>
        <v/>
      </c>
      <c r="G14" s="118">
        <f>IF(Engine!$C$317="","",IF(Engine!$G$317&lt;&gt;"",Engine!$G$317&amp;IFERROR("  "&amp;INDEX(Setup!$C$33:$C$40,MATCH(Engine!$G$317,Setup!$B$33:$B$40,0)),"")&amp;IF(Engine!$W$317="","",CHAR(10)),"")&amp;IF(Engine!$W$317="",IF(Engine!$G$317&lt;&gt;"","","–"),Engine!$W$317))</f>
        <v/>
      </c>
      <c r="H14" s="118">
        <f>IF(Engine!$C$317="","",IF(Engine!$H$317&lt;&gt;"",Engine!$H$317&amp;IFERROR("  "&amp;INDEX(Setup!$C$33:$C$40,MATCH(Engine!$H$317,Setup!$B$33:$B$40,0)),"")&amp;IF(Engine!$X$317="","",CHAR(10)),"")&amp;IF(Engine!$X$317="",IF(Engine!$H$317&lt;&gt;"","","–"),Engine!$X$317))</f>
        <v/>
      </c>
      <c r="I14" s="118">
        <f>IF(Engine!$C$317="","",IF(Engine!$I$317&lt;&gt;"",Engine!$I$317&amp;IFERROR("  "&amp;INDEX(Setup!$C$33:$C$40,MATCH(Engine!$I$317,Setup!$B$33:$B$40,0)),"")&amp;IF(Engine!$Y$317="","",CHAR(10)),"")&amp;IF(Engine!$Y$317="",IF(Engine!$I$317&lt;&gt;"","","–"),Engine!$Y$317))</f>
        <v/>
      </c>
      <c r="J14" s="118">
        <f>IF(Engine!$C$317="","",IF(Engine!$J$317&lt;&gt;"",Engine!$J$317&amp;IFERROR("  "&amp;INDEX(Setup!$C$33:$C$40,MATCH(Engine!$J$317,Setup!$B$33:$B$40,0)),"")&amp;IF(Engine!$Z$317="","",CHAR(10)),"")&amp;IF(Engine!$Z$317="",IF(Engine!$J$317&lt;&gt;"","","–"),Engine!$Z$317))</f>
        <v/>
      </c>
      <c r="K14" s="119">
        <f>IF(Engine!$C$317="","",SUMPRODUCT(--(LEFT(D14:J14,1)&lt;&gt;"–"),--(D14:J14&lt;&gt;"")))</f>
        <v/>
      </c>
    </row>
    <row r="17">
      <c r="B17" s="7">
        <f>"DUTY DAYS IN "&amp;$D$5&amp;" FOR "&amp;$D$4</f>
        <v/>
      </c>
    </row>
    <row r="18">
      <c r="B18" s="19" t="inlineStr">
        <is>
          <t>Duty</t>
        </is>
      </c>
      <c r="D18" s="22" t="inlineStr">
        <is>
          <t>Days</t>
        </is>
      </c>
      <c r="E18" s="22" t="inlineStr">
        <is>
          <t>Share of this duty</t>
        </is>
      </c>
      <c r="F18" s="11" t="inlineStr">
        <is>
          <t>how the workload is shared across the year - whole-year count for this year sheet</t>
        </is>
      </c>
    </row>
    <row r="19">
      <c r="B19" s="24">
        <f>Engine!$B$47</f>
        <v/>
      </c>
      <c r="C19" s="120" t="n"/>
      <c r="D19" s="121">
        <f>IF($B19="","",CHOOSE(IFERROR(MATCH($D$5,Setup!$K$33:$K$36,0),1),SUMPRODUCT(('2027'!$B$1:$B$2700=$B19)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19)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19)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19)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19)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19)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19)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19)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19" s="122">
        <f>IF($B19="","",IFERROR(D19/CHOOSE(IFERROR(MATCH($D$5,Setup!$K$33:$K$36,0),1),SUMPRODUCT(('2027'!$B$1:$B$2700=$B19)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19)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19)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19)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0">
      <c r="B20" s="29">
        <f>Engine!$B$48</f>
        <v/>
      </c>
      <c r="C20" s="120" t="n"/>
      <c r="D20" s="123">
        <f>IF($B20="","",CHOOSE(IFERROR(MATCH($D$5,Setup!$K$33:$K$36,0),1),SUMPRODUCT(('2027'!$B$1:$B$2700=$B20)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20)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20)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20)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20)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20)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20)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20)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0" s="124">
        <f>IF($B20="","",IFERROR(D20/CHOOSE(IFERROR(MATCH($D$5,Setup!$K$33:$K$36,0),1),SUMPRODUCT(('2027'!$B$1:$B$2700=$B20)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20)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20)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20)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1">
      <c r="B21" s="24">
        <f>Engine!$B$49</f>
        <v/>
      </c>
      <c r="C21" s="120" t="n"/>
      <c r="D21" s="121">
        <f>IF($B21="","",CHOOSE(IFERROR(MATCH($D$5,Setup!$K$33:$K$36,0),1),SUMPRODUCT(('2027'!$B$1:$B$2700=$B21)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21)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21)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21)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21)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21)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21)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21)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1" s="122">
        <f>IF($B21="","",IFERROR(D21/CHOOSE(IFERROR(MATCH($D$5,Setup!$K$33:$K$36,0),1),SUMPRODUCT(('2027'!$B$1:$B$2700=$B21)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21)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21)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21)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2">
      <c r="B22" s="29">
        <f>Engine!$B$50</f>
        <v/>
      </c>
      <c r="C22" s="120" t="n"/>
      <c r="D22" s="123">
        <f>IF($B22="","",CHOOSE(IFERROR(MATCH($D$5,Setup!$K$33:$K$36,0),1),SUMPRODUCT(('2027'!$B$1:$B$2700=$B22)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22)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22)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22)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22)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22)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22)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22)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2" s="124">
        <f>IF($B22="","",IFERROR(D22/CHOOSE(IFERROR(MATCH($D$5,Setup!$K$33:$K$36,0),1),SUMPRODUCT(('2027'!$B$1:$B$2700=$B22)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22)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22)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22)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3">
      <c r="B23" s="24">
        <f>Engine!$B$51</f>
        <v/>
      </c>
      <c r="C23" s="120" t="n"/>
      <c r="D23" s="121">
        <f>IF($B23="","",CHOOSE(IFERROR(MATCH($D$5,Setup!$K$33:$K$36,0),1),SUMPRODUCT(('2027'!$B$1:$B$2700=$B23)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23)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23)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23)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23)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23)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23)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23)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3" s="122">
        <f>IF($B23="","",IFERROR(D23/CHOOSE(IFERROR(MATCH($D$5,Setup!$K$33:$K$36,0),1),SUMPRODUCT(('2027'!$B$1:$B$2700=$B23)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23)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23)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23)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4">
      <c r="B24" s="29">
        <f>Engine!$B$52</f>
        <v/>
      </c>
      <c r="C24" s="120" t="n"/>
      <c r="D24" s="123">
        <f>IF($B24="","",CHOOSE(IFERROR(MATCH($D$5,Setup!$K$33:$K$36,0),1),SUMPRODUCT(('2027'!$B$1:$B$2700=$B24)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24)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24)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24)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24)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24)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24)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24)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4" s="124">
        <f>IF($B24="","",IFERROR(D24/CHOOSE(IFERROR(MATCH($D$5,Setup!$K$33:$K$36,0),1),SUMPRODUCT(('2027'!$B$1:$B$2700=$B24)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24)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24)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24)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5">
      <c r="B25" s="24">
        <f>Engine!$B$53</f>
        <v/>
      </c>
      <c r="C25" s="120" t="n"/>
      <c r="D25" s="121">
        <f>IF($B25="","",CHOOSE(IFERROR(MATCH($D$5,Setup!$K$33:$K$36,0),1),SUMPRODUCT(('2027'!$B$1:$B$2700=$B25)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25)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25)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25)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25)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25)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25)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25)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5" s="122">
        <f>IF($B25="","",IFERROR(D25/CHOOSE(IFERROR(MATCH($D$5,Setup!$K$33:$K$36,0),1),SUMPRODUCT(('2027'!$B$1:$B$2700=$B25)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25)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25)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25)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6">
      <c r="B26" s="29">
        <f>Engine!$B$54</f>
        <v/>
      </c>
      <c r="C26" s="120" t="n"/>
      <c r="D26" s="123">
        <f>IF($B26="","",CHOOSE(IFERROR(MATCH($D$5,Setup!$K$33:$K$36,0),1),SUMPRODUCT(('2027'!$B$1:$B$2700=$B26)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26)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26)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26)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26)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26)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26)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26)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6" s="124">
        <f>IF($B26="","",IFERROR(D26/CHOOSE(IFERROR(MATCH($D$5,Setup!$K$33:$K$36,0),1),SUMPRODUCT(('2027'!$B$1:$B$2700=$B26)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26)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26)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26)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7">
      <c r="B27" s="24">
        <f>Engine!$B$55</f>
        <v/>
      </c>
      <c r="C27" s="120" t="n"/>
      <c r="D27" s="121">
        <f>IF($B27="","",CHOOSE(IFERROR(MATCH($D$5,Setup!$K$33:$K$36,0),1),SUMPRODUCT(('2027'!$B$1:$B$2700=$B27)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27)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27)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27)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27)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27)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27)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27)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7" s="122">
        <f>IF($B27="","",IFERROR(D27/CHOOSE(IFERROR(MATCH($D$5,Setup!$K$33:$K$36,0),1),SUMPRODUCT(('2027'!$B$1:$B$2700=$B27)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27)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27)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27)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8">
      <c r="B28" s="29">
        <f>Engine!$B$56</f>
        <v/>
      </c>
      <c r="C28" s="120" t="n"/>
      <c r="D28" s="123">
        <f>IF($B28="","",CHOOSE(IFERROR(MATCH($D$5,Setup!$K$33:$K$36,0),1),SUMPRODUCT(('2027'!$B$1:$B$2700=$B28)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28)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28)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28)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28)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28)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28)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28)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8" s="124">
        <f>IF($B28="","",IFERROR(D28/CHOOSE(IFERROR(MATCH($D$5,Setup!$K$33:$K$36,0),1),SUMPRODUCT(('2027'!$B$1:$B$2700=$B28)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28)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28)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28)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9">
      <c r="B29" s="24">
        <f>Engine!$B$57</f>
        <v/>
      </c>
      <c r="C29" s="120" t="n"/>
      <c r="D29" s="121">
        <f>IF($B29="","",CHOOSE(IFERROR(MATCH($D$5,Setup!$K$33:$K$36,0),1),SUMPRODUCT(('2027'!$B$1:$B$2700=$B29)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29)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29)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29)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29)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29)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29)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29)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9" s="122">
        <f>IF($B29="","",IFERROR(D29/CHOOSE(IFERROR(MATCH($D$5,Setup!$K$33:$K$36,0),1),SUMPRODUCT(('2027'!$B$1:$B$2700=$B29)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29)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29)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29)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30">
      <c r="B30" s="29">
        <f>Engine!$B$58</f>
        <v/>
      </c>
      <c r="C30" s="120" t="n"/>
      <c r="D30" s="123">
        <f>IF($B30="","",CHOOSE(IFERROR(MATCH($D$5,Setup!$K$33:$K$36,0),1),SUMPRODUCT(('2027'!$B$1:$B$2700=$B30)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30)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30)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30)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30)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30)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30)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30)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30" s="124">
        <f>IF($B30="","",IFERROR(D30/CHOOSE(IFERROR(MATCH($D$5,Setup!$K$33:$K$36,0),1),SUMPRODUCT(('2027'!$B$1:$B$2700=$B30)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30)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30)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30)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31">
      <c r="B31" s="24">
        <f>Engine!$B$59</f>
        <v/>
      </c>
      <c r="C31" s="120" t="n"/>
      <c r="D31" s="121">
        <f>IF($B31="","",CHOOSE(IFERROR(MATCH($D$5,Setup!$K$33:$K$36,0),1),SUMPRODUCT(('2027'!$B$1:$B$2700=$B31)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31)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31)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31)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31)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31)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31)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31)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31" s="122">
        <f>IF($B31="","",IFERROR(D31/CHOOSE(IFERROR(MATCH($D$5,Setup!$K$33:$K$36,0),1),SUMPRODUCT(('2027'!$B$1:$B$2700=$B31)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31)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31)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31)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32">
      <c r="B32" s="29">
        <f>Engine!$B$60</f>
        <v/>
      </c>
      <c r="C32" s="120" t="n"/>
      <c r="D32" s="123">
        <f>IF($B32="","",CHOOSE(IFERROR(MATCH($D$5,Setup!$K$33:$K$36,0),1),SUMPRODUCT(('2027'!$B$1:$B$2700=$B32)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32)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32)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32)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32)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32)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32)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32)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32" s="124">
        <f>IF($B32="","",IFERROR(D32/CHOOSE(IFERROR(MATCH($D$5,Setup!$K$33:$K$36,0),1),SUMPRODUCT(('2027'!$B$1:$B$2700=$B32)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32)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32)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32)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33">
      <c r="B33" s="24">
        <f>Engine!$B$61</f>
        <v/>
      </c>
      <c r="C33" s="120" t="n"/>
      <c r="D33" s="121">
        <f>IF($B33="","",CHOOSE(IFERROR(MATCH($D$5,Setup!$K$33:$K$36,0),1),SUMPRODUCT(('2027'!$B$1:$B$2700=$B33)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33)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33)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33)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33)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33)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33)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33)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33" s="122">
        <f>IF($B33="","",IFERROR(D33/CHOOSE(IFERROR(MATCH($D$5,Setup!$K$33:$K$36,0),1),SUMPRODUCT(('2027'!$B$1:$B$2700=$B33)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33)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33)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33)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34">
      <c r="B34" s="29">
        <f>Engine!$B$62</f>
        <v/>
      </c>
      <c r="C34" s="120" t="n"/>
      <c r="D34" s="123">
        <f>IF($B34="","",CHOOSE(IFERROR(MATCH($D$5,Setup!$K$33:$K$36,0),1),SUMPRODUCT(('2027'!$B$1:$B$2700=$B34)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34)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34)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34)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34)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34)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34)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34)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34" s="124">
        <f>IF($B34="","",IFERROR(D34/CHOOSE(IFERROR(MATCH($D$5,Setup!$K$33:$K$36,0),1),SUMPRODUCT(('2027'!$B$1:$B$2700=$B34)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34)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34)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34)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35">
      <c r="B35" s="24">
        <f>Engine!$B$63</f>
        <v/>
      </c>
      <c r="C35" s="120" t="n"/>
      <c r="D35" s="121">
        <f>IF($B35="","",CHOOSE(IFERROR(MATCH($D$5,Setup!$K$33:$K$36,0),1),SUMPRODUCT(('2027'!$B$1:$B$2700=$B35)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35)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35)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35)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35)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35)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35)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35)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35" s="122">
        <f>IF($B35="","",IFERROR(D35/CHOOSE(IFERROR(MATCH($D$5,Setup!$K$33:$K$36,0),1),SUMPRODUCT(('2027'!$B$1:$B$2700=$B35)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35)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35)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35)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36">
      <c r="B36" s="29">
        <f>Engine!$B$64</f>
        <v/>
      </c>
      <c r="C36" s="120" t="n"/>
      <c r="D36" s="123">
        <f>IF($B36="","",CHOOSE(IFERROR(MATCH($D$5,Setup!$K$33:$K$36,0),1),SUMPRODUCT(('2027'!$B$1:$B$2700=$B36)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36)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36)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36)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36)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36)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36)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36)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36" s="124">
        <f>IF($B36="","",IFERROR(D36/CHOOSE(IFERROR(MATCH($D$5,Setup!$K$33:$K$36,0),1),SUMPRODUCT(('2027'!$B$1:$B$2700=$B36)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36)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36)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36)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B21:C21"/>
    <mergeCell ref="B24:C24"/>
    <mergeCell ref="B30:C30"/>
    <mergeCell ref="B29:C29"/>
    <mergeCell ref="B33:C33"/>
    <mergeCell ref="B25:C25"/>
    <mergeCell ref="B19:C19"/>
    <mergeCell ref="B20:C20"/>
    <mergeCell ref="B34:C34"/>
    <mergeCell ref="B28:C28"/>
    <mergeCell ref="B23:C23"/>
    <mergeCell ref="B22:C22"/>
    <mergeCell ref="B36:C36"/>
    <mergeCell ref="B32:C32"/>
    <mergeCell ref="B31:C31"/>
    <mergeCell ref="B26:C26"/>
    <mergeCell ref="B27:C27"/>
    <mergeCell ref="B35:C35"/>
  </mergeCells>
  <conditionalFormatting sqref="D9:J14">
    <cfRule type="expression" priority="1" dxfId="24">
      <formula>D9="–"</formula>
    </cfRule>
    <cfRule type="expression" priority="2" dxfId="10">
      <formula>AND(Setup!$B$33&lt;&gt;"",LEFT(D9,LEN(Setup!$B$33)+2)=Setup!$B$33&amp;"  ")</formula>
    </cfRule>
    <cfRule type="expression" priority="3" dxfId="11">
      <formula>AND(Setup!$B$34&lt;&gt;"",LEFT(D9,LEN(Setup!$B$34)+2)=Setup!$B$34&amp;"  ")</formula>
    </cfRule>
    <cfRule type="expression" priority="4" dxfId="12">
      <formula>AND(Setup!$B$35&lt;&gt;"",LEFT(D9,LEN(Setup!$B$35)+2)=Setup!$B$35&amp;"  ")</formula>
    </cfRule>
    <cfRule type="expression" priority="5" dxfId="13">
      <formula>AND(Setup!$B$36&lt;&gt;"",LEFT(D9,LEN(Setup!$B$36)+2)=Setup!$B$36&amp;"  ")</formula>
    </cfRule>
    <cfRule type="expression" priority="6" dxfId="14">
      <formula>AND(Setup!$B$37&lt;&gt;"",LEFT(D9,LEN(Setup!$B$37)+2)=Setup!$B$37&amp;"  ")</formula>
    </cfRule>
    <cfRule type="expression" priority="7" dxfId="15">
      <formula>AND(Setup!$B$38&lt;&gt;"",LEFT(D9,LEN(Setup!$B$38)+2)=Setup!$B$38&amp;"  ")</formula>
    </cfRule>
    <cfRule type="expression" priority="8" dxfId="16">
      <formula>AND(Setup!$B$39&lt;&gt;"",LEFT(D9,LEN(Setup!$B$39)+2)=Setup!$B$39&amp;"  ")</formula>
    </cfRule>
    <cfRule type="expression" priority="9" dxfId="17">
      <formula>AND(Setup!$B$40&lt;&gt;"",LEFT(D9,LEN(Setup!$B$40)+2)=Setup!$B$40&amp;"  ")</formula>
    </cfRule>
    <cfRule type="expression" priority="10" dxfId="25">
      <formula>ISNUMBER(SEARCH("~*",D9))</formula>
    </cfRule>
  </conditionalFormatting>
  <conditionalFormatting sqref="B19:E36">
    <cfRule type="expression" priority="11" dxfId="2" stopIfTrue="1">
      <formula>$B19=""</formula>
    </cfRule>
  </conditionalFormatting>
  <conditionalFormatting sqref="E19:E36">
    <cfRule type="colorScale" priority="12">
      <colorScale>
        <cfvo type="num" val="0"/>
        <cfvo type="num" val="0.5"/>
        <color rgb="00FFFFFF"/>
        <color rgb="009BC2E6"/>
      </colorScale>
    </cfRule>
  </conditionalFormatting>
  <dataValidations count="3">
    <dataValidation sqref="D4" showDropDown="0" showInputMessage="0" showErrorMessage="0" allowBlank="0" type="list">
      <formula1>=OFFSET(Setup!$B$6,0,0,MAX(1,COUNTIF(Setup!$B$6:$B$29,"?*")),1)</formula1>
    </dataValidation>
    <dataValidation sqref="D5" showDropDown="0" showInputMessage="0" showErrorMessage="0" allowBlank="0" type="list">
      <formula1>=Setup!$K$33:$K$36</formula1>
    </dataValidation>
    <dataValidation sqref="D6" showDropDown="0" showInputMessage="0" showErrorMessage="0" allowBlank="0" type="whole" operator="between">
      <formula1>1</formula1>
      <formula2>53</formula2>
    </dataValidation>
  </dataValidations>
  <hyperlinks>
    <hyperlink xmlns:r="http://schemas.openxmlformats.org/officeDocument/2006/relationships" ref="K1" r:id="rId1"/>
  </hyperlinks>
  <pageMargins left="0.75" right="0.75" top="1" bottom="1" header="0.5" footer="0.5"/>
  <pageSetup orientation="landscape" fitToHeight="1" fitToWidth="1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BJ86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  <col width="3.6" customWidth="1" min="46" max="46"/>
    <col width="3.6" customWidth="1" min="47" max="47"/>
    <col width="3.6" customWidth="1" min="48" max="48"/>
    <col width="3.6" customWidth="1" min="49" max="49"/>
    <col width="3.6" customWidth="1" min="50" max="50"/>
    <col width="3.6" customWidth="1" min="51" max="51"/>
    <col width="3.6" customWidth="1" min="52" max="52"/>
    <col width="3.6" customWidth="1" min="53" max="53"/>
    <col width="3.6" customWidth="1" min="54" max="54"/>
    <col width="3.6" customWidth="1" min="55" max="55"/>
    <col width="2" customWidth="1" min="56" max="56"/>
    <col width="9" customWidth="1" min="57" max="57"/>
    <col width="9" customWidth="1" min="58" max="58"/>
    <col width="9" customWidth="1" min="59" max="59"/>
    <col width="9" customWidth="1" min="60" max="60"/>
  </cols>
  <sheetData>
    <row r="1" ht="30" customHeight="1">
      <c r="A1" s="1" t="n"/>
      <c r="B1" s="52" t="inlineStr">
        <is>
          <t>YEAR VIEW  ·  planning progress, leave and training at a glance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53" t="inlineStr">
        <is>
          <t>◀ Dashboard</t>
        </is>
      </c>
      <c r="BI1" s="1" t="n"/>
      <c r="BJ1" s="1" t="n"/>
    </row>
    <row r="2" ht="16" customHeight="1">
      <c r="A2" s="1" t="n"/>
      <c r="B2" s="4" t="inlineStr">
        <is>
          <t>Top: weekday gaps per duty per week - click a week number to open it. Below: absence and training days per person.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</row>
    <row r="4">
      <c r="B4" s="125" t="inlineStr">
        <is>
          <t>Year</t>
        </is>
      </c>
      <c r="C4" s="10">
        <f>Engine!$B$11</f>
        <v/>
      </c>
      <c r="D4" s="112" t="n"/>
      <c r="E4" s="113" t="n"/>
      <c r="F4" s="11" t="inlineStr">
        <is>
          <t>← defaults to the planning year; overwrite to view another</t>
        </is>
      </c>
    </row>
    <row r="6">
      <c r="B6" s="7" t="inlineStr">
        <is>
          <t>PLANNING PROGRESS  -  weekday gaps per duty per week</t>
        </is>
      </c>
      <c r="P6" s="11" t="inlineStr">
        <is>
          <t>0 = fully covered · click a week number to open that week</t>
        </is>
      </c>
    </row>
    <row r="7">
      <c r="B7" s="19" t="inlineStr">
        <is>
          <t>Duty</t>
        </is>
      </c>
      <c r="C7" s="126">
        <f>HYPERLINK("#'"&amp;$C$4&amp;"'!B5",1)</f>
        <v/>
      </c>
      <c r="D7" s="126">
        <f>HYPERLINK("#'"&amp;$C$4&amp;"'!B55",2)</f>
        <v/>
      </c>
      <c r="E7" s="126">
        <f>HYPERLINK("#'"&amp;$C$4&amp;"'!B105",3)</f>
        <v/>
      </c>
      <c r="F7" s="126">
        <f>HYPERLINK("#'"&amp;$C$4&amp;"'!B155",4)</f>
        <v/>
      </c>
      <c r="G7" s="126">
        <f>HYPERLINK("#'"&amp;$C$4&amp;"'!B205",5)</f>
        <v/>
      </c>
      <c r="H7" s="126">
        <f>HYPERLINK("#'"&amp;$C$4&amp;"'!B255",6)</f>
        <v/>
      </c>
      <c r="I7" s="126">
        <f>HYPERLINK("#'"&amp;$C$4&amp;"'!B305",7)</f>
        <v/>
      </c>
      <c r="J7" s="126">
        <f>HYPERLINK("#'"&amp;$C$4&amp;"'!B355",8)</f>
        <v/>
      </c>
      <c r="K7" s="126">
        <f>HYPERLINK("#'"&amp;$C$4&amp;"'!B405",9)</f>
        <v/>
      </c>
      <c r="L7" s="126">
        <f>HYPERLINK("#'"&amp;$C$4&amp;"'!B455",10)</f>
        <v/>
      </c>
      <c r="M7" s="126">
        <f>HYPERLINK("#'"&amp;$C$4&amp;"'!B505",11)</f>
        <v/>
      </c>
      <c r="N7" s="126">
        <f>HYPERLINK("#'"&amp;$C$4&amp;"'!B555",12)</f>
        <v/>
      </c>
      <c r="O7" s="126">
        <f>HYPERLINK("#'"&amp;$C$4&amp;"'!B605",13)</f>
        <v/>
      </c>
      <c r="P7" s="126">
        <f>HYPERLINK("#'"&amp;$C$4&amp;"'!B655",14)</f>
        <v/>
      </c>
      <c r="Q7" s="126">
        <f>HYPERLINK("#'"&amp;$C$4&amp;"'!B705",15)</f>
        <v/>
      </c>
      <c r="R7" s="126">
        <f>HYPERLINK("#'"&amp;$C$4&amp;"'!B755",16)</f>
        <v/>
      </c>
      <c r="S7" s="126">
        <f>HYPERLINK("#'"&amp;$C$4&amp;"'!B805",17)</f>
        <v/>
      </c>
      <c r="T7" s="126">
        <f>HYPERLINK("#'"&amp;$C$4&amp;"'!B855",18)</f>
        <v/>
      </c>
      <c r="U7" s="126">
        <f>HYPERLINK("#'"&amp;$C$4&amp;"'!B905",19)</f>
        <v/>
      </c>
      <c r="V7" s="126">
        <f>HYPERLINK("#'"&amp;$C$4&amp;"'!B955",20)</f>
        <v/>
      </c>
      <c r="W7" s="126">
        <f>HYPERLINK("#'"&amp;$C$4&amp;"'!B1005",21)</f>
        <v/>
      </c>
      <c r="X7" s="126">
        <f>HYPERLINK("#'"&amp;$C$4&amp;"'!B1055",22)</f>
        <v/>
      </c>
      <c r="Y7" s="126">
        <f>HYPERLINK("#'"&amp;$C$4&amp;"'!B1105",23)</f>
        <v/>
      </c>
      <c r="Z7" s="126">
        <f>HYPERLINK("#'"&amp;$C$4&amp;"'!B1155",24)</f>
        <v/>
      </c>
      <c r="AA7" s="126">
        <f>HYPERLINK("#'"&amp;$C$4&amp;"'!B1205",25)</f>
        <v/>
      </c>
      <c r="AB7" s="126">
        <f>HYPERLINK("#'"&amp;$C$4&amp;"'!B1255",26)</f>
        <v/>
      </c>
      <c r="AC7" s="126">
        <f>HYPERLINK("#'"&amp;$C$4&amp;"'!B1305",27)</f>
        <v/>
      </c>
      <c r="AD7" s="126">
        <f>HYPERLINK("#'"&amp;$C$4&amp;"'!B1355",28)</f>
        <v/>
      </c>
      <c r="AE7" s="126">
        <f>HYPERLINK("#'"&amp;$C$4&amp;"'!B1405",29)</f>
        <v/>
      </c>
      <c r="AF7" s="126">
        <f>HYPERLINK("#'"&amp;$C$4&amp;"'!B1455",30)</f>
        <v/>
      </c>
      <c r="AG7" s="126">
        <f>HYPERLINK("#'"&amp;$C$4&amp;"'!B1505",31)</f>
        <v/>
      </c>
      <c r="AH7" s="126">
        <f>HYPERLINK("#'"&amp;$C$4&amp;"'!B1555",32)</f>
        <v/>
      </c>
      <c r="AI7" s="126">
        <f>HYPERLINK("#'"&amp;$C$4&amp;"'!B1605",33)</f>
        <v/>
      </c>
      <c r="AJ7" s="126">
        <f>HYPERLINK("#'"&amp;$C$4&amp;"'!B1655",34)</f>
        <v/>
      </c>
      <c r="AK7" s="126">
        <f>HYPERLINK("#'"&amp;$C$4&amp;"'!B1705",35)</f>
        <v/>
      </c>
      <c r="AL7" s="126">
        <f>HYPERLINK("#'"&amp;$C$4&amp;"'!B1755",36)</f>
        <v/>
      </c>
      <c r="AM7" s="126">
        <f>HYPERLINK("#'"&amp;$C$4&amp;"'!B1805",37)</f>
        <v/>
      </c>
      <c r="AN7" s="126">
        <f>HYPERLINK("#'"&amp;$C$4&amp;"'!B1855",38)</f>
        <v/>
      </c>
      <c r="AO7" s="126">
        <f>HYPERLINK("#'"&amp;$C$4&amp;"'!B1905",39)</f>
        <v/>
      </c>
      <c r="AP7" s="126">
        <f>HYPERLINK("#'"&amp;$C$4&amp;"'!B1955",40)</f>
        <v/>
      </c>
      <c r="AQ7" s="126">
        <f>HYPERLINK("#'"&amp;$C$4&amp;"'!B2005",41)</f>
        <v/>
      </c>
      <c r="AR7" s="126">
        <f>HYPERLINK("#'"&amp;$C$4&amp;"'!B2055",42)</f>
        <v/>
      </c>
      <c r="AS7" s="126">
        <f>HYPERLINK("#'"&amp;$C$4&amp;"'!B2105",43)</f>
        <v/>
      </c>
      <c r="AT7" s="126">
        <f>HYPERLINK("#'"&amp;$C$4&amp;"'!B2155",44)</f>
        <v/>
      </c>
      <c r="AU7" s="126">
        <f>HYPERLINK("#'"&amp;$C$4&amp;"'!B2205",45)</f>
        <v/>
      </c>
      <c r="AV7" s="126">
        <f>HYPERLINK("#'"&amp;$C$4&amp;"'!B2255",46)</f>
        <v/>
      </c>
      <c r="AW7" s="126">
        <f>HYPERLINK("#'"&amp;$C$4&amp;"'!B2305",47)</f>
        <v/>
      </c>
      <c r="AX7" s="126">
        <f>HYPERLINK("#'"&amp;$C$4&amp;"'!B2355",48)</f>
        <v/>
      </c>
      <c r="AY7" s="126">
        <f>HYPERLINK("#'"&amp;$C$4&amp;"'!B2405",49)</f>
        <v/>
      </c>
      <c r="AZ7" s="126">
        <f>HYPERLINK("#'"&amp;$C$4&amp;"'!B2455",50)</f>
        <v/>
      </c>
      <c r="BA7" s="126">
        <f>HYPERLINK("#'"&amp;$C$4&amp;"'!B2505",51)</f>
        <v/>
      </c>
      <c r="BB7" s="126">
        <f>HYPERLINK("#'"&amp;$C$4&amp;"'!B2555",52)</f>
        <v/>
      </c>
      <c r="BC7" s="126">
        <f>HYPERLINK("#'"&amp;$C$4&amp;"'!B2605",53)</f>
        <v/>
      </c>
      <c r="BD7" s="1" t="inlineStr"/>
      <c r="BE7" s="34" t="inlineStr">
        <is>
          <t>Total gaps</t>
        </is>
      </c>
      <c r="BF7" s="34" t="inlineStr">
        <is>
          <t>Weeks short</t>
        </is>
      </c>
    </row>
    <row r="8" ht="15" customHeight="1">
      <c r="B8" s="127">
        <f>IF(Setup!$K$6="","",Setup!$K$6)</f>
        <v/>
      </c>
      <c r="C8" s="128">
        <f>IF($B8="","",CHOOSE(IFERROR(MATCH($C$4,Setup!$K$33:$K$36,0),1),N(INDEX('2027'!$AB:$AB,8)),N(INDEX('2028'!$AB:$AB,8)),N(INDEX('2029'!$AB:$AB,8)),N(INDEX('2030'!$AB:$AB,8))))</f>
        <v/>
      </c>
      <c r="D8" s="128">
        <f>IF($B8="","",CHOOSE(IFERROR(MATCH($C$4,Setup!$K$33:$K$36,0),1),N(INDEX('2027'!$AB:$AB,58)),N(INDEX('2028'!$AB:$AB,58)),N(INDEX('2029'!$AB:$AB,58)),N(INDEX('2030'!$AB:$AB,58))))</f>
        <v/>
      </c>
      <c r="E8" s="128">
        <f>IF($B8="","",CHOOSE(IFERROR(MATCH($C$4,Setup!$K$33:$K$36,0),1),N(INDEX('2027'!$AB:$AB,108)),N(INDEX('2028'!$AB:$AB,108)),N(INDEX('2029'!$AB:$AB,108)),N(INDEX('2030'!$AB:$AB,108))))</f>
        <v/>
      </c>
      <c r="F8" s="128">
        <f>IF($B8="","",CHOOSE(IFERROR(MATCH($C$4,Setup!$K$33:$K$36,0),1),N(INDEX('2027'!$AB:$AB,158)),N(INDEX('2028'!$AB:$AB,158)),N(INDEX('2029'!$AB:$AB,158)),N(INDEX('2030'!$AB:$AB,158))))</f>
        <v/>
      </c>
      <c r="G8" s="128">
        <f>IF($B8="","",CHOOSE(IFERROR(MATCH($C$4,Setup!$K$33:$K$36,0),1),N(INDEX('2027'!$AB:$AB,208)),N(INDEX('2028'!$AB:$AB,208)),N(INDEX('2029'!$AB:$AB,208)),N(INDEX('2030'!$AB:$AB,208))))</f>
        <v/>
      </c>
      <c r="H8" s="128">
        <f>IF($B8="","",CHOOSE(IFERROR(MATCH($C$4,Setup!$K$33:$K$36,0),1),N(INDEX('2027'!$AB:$AB,258)),N(INDEX('2028'!$AB:$AB,258)),N(INDEX('2029'!$AB:$AB,258)),N(INDEX('2030'!$AB:$AB,258))))</f>
        <v/>
      </c>
      <c r="I8" s="128">
        <f>IF($B8="","",CHOOSE(IFERROR(MATCH($C$4,Setup!$K$33:$K$36,0),1),N(INDEX('2027'!$AB:$AB,308)),N(INDEX('2028'!$AB:$AB,308)),N(INDEX('2029'!$AB:$AB,308)),N(INDEX('2030'!$AB:$AB,308))))</f>
        <v/>
      </c>
      <c r="J8" s="128">
        <f>IF($B8="","",CHOOSE(IFERROR(MATCH($C$4,Setup!$K$33:$K$36,0),1),N(INDEX('2027'!$AB:$AB,358)),N(INDEX('2028'!$AB:$AB,358)),N(INDEX('2029'!$AB:$AB,358)),N(INDEX('2030'!$AB:$AB,358))))</f>
        <v/>
      </c>
      <c r="K8" s="128">
        <f>IF($B8="","",CHOOSE(IFERROR(MATCH($C$4,Setup!$K$33:$K$36,0),1),N(INDEX('2027'!$AB:$AB,408)),N(INDEX('2028'!$AB:$AB,408)),N(INDEX('2029'!$AB:$AB,408)),N(INDEX('2030'!$AB:$AB,408))))</f>
        <v/>
      </c>
      <c r="L8" s="128">
        <f>IF($B8="","",CHOOSE(IFERROR(MATCH($C$4,Setup!$K$33:$K$36,0),1),N(INDEX('2027'!$AB:$AB,458)),N(INDEX('2028'!$AB:$AB,458)),N(INDEX('2029'!$AB:$AB,458)),N(INDEX('2030'!$AB:$AB,458))))</f>
        <v/>
      </c>
      <c r="M8" s="128">
        <f>IF($B8="","",CHOOSE(IFERROR(MATCH($C$4,Setup!$K$33:$K$36,0),1),N(INDEX('2027'!$AB:$AB,508)),N(INDEX('2028'!$AB:$AB,508)),N(INDEX('2029'!$AB:$AB,508)),N(INDEX('2030'!$AB:$AB,508))))</f>
        <v/>
      </c>
      <c r="N8" s="128">
        <f>IF($B8="","",CHOOSE(IFERROR(MATCH($C$4,Setup!$K$33:$K$36,0),1),N(INDEX('2027'!$AB:$AB,558)),N(INDEX('2028'!$AB:$AB,558)),N(INDEX('2029'!$AB:$AB,558)),N(INDEX('2030'!$AB:$AB,558))))</f>
        <v/>
      </c>
      <c r="O8" s="128">
        <f>IF($B8="","",CHOOSE(IFERROR(MATCH($C$4,Setup!$K$33:$K$36,0),1),N(INDEX('2027'!$AB:$AB,608)),N(INDEX('2028'!$AB:$AB,608)),N(INDEX('2029'!$AB:$AB,608)),N(INDEX('2030'!$AB:$AB,608))))</f>
        <v/>
      </c>
      <c r="P8" s="128">
        <f>IF($B8="","",CHOOSE(IFERROR(MATCH($C$4,Setup!$K$33:$K$36,0),1),N(INDEX('2027'!$AB:$AB,658)),N(INDEX('2028'!$AB:$AB,658)),N(INDEX('2029'!$AB:$AB,658)),N(INDEX('2030'!$AB:$AB,658))))</f>
        <v/>
      </c>
      <c r="Q8" s="128">
        <f>IF($B8="","",CHOOSE(IFERROR(MATCH($C$4,Setup!$K$33:$K$36,0),1),N(INDEX('2027'!$AB:$AB,708)),N(INDEX('2028'!$AB:$AB,708)),N(INDEX('2029'!$AB:$AB,708)),N(INDEX('2030'!$AB:$AB,708))))</f>
        <v/>
      </c>
      <c r="R8" s="128">
        <f>IF($B8="","",CHOOSE(IFERROR(MATCH($C$4,Setup!$K$33:$K$36,0),1),N(INDEX('2027'!$AB:$AB,758)),N(INDEX('2028'!$AB:$AB,758)),N(INDEX('2029'!$AB:$AB,758)),N(INDEX('2030'!$AB:$AB,758))))</f>
        <v/>
      </c>
      <c r="S8" s="128">
        <f>IF($B8="","",CHOOSE(IFERROR(MATCH($C$4,Setup!$K$33:$K$36,0),1),N(INDEX('2027'!$AB:$AB,808)),N(INDEX('2028'!$AB:$AB,808)),N(INDEX('2029'!$AB:$AB,808)),N(INDEX('2030'!$AB:$AB,808))))</f>
        <v/>
      </c>
      <c r="T8" s="128">
        <f>IF($B8="","",CHOOSE(IFERROR(MATCH($C$4,Setup!$K$33:$K$36,0),1),N(INDEX('2027'!$AB:$AB,858)),N(INDEX('2028'!$AB:$AB,858)),N(INDEX('2029'!$AB:$AB,858)),N(INDEX('2030'!$AB:$AB,858))))</f>
        <v/>
      </c>
      <c r="U8" s="128">
        <f>IF($B8="","",CHOOSE(IFERROR(MATCH($C$4,Setup!$K$33:$K$36,0),1),N(INDEX('2027'!$AB:$AB,908)),N(INDEX('2028'!$AB:$AB,908)),N(INDEX('2029'!$AB:$AB,908)),N(INDEX('2030'!$AB:$AB,908))))</f>
        <v/>
      </c>
      <c r="V8" s="128">
        <f>IF($B8="","",CHOOSE(IFERROR(MATCH($C$4,Setup!$K$33:$K$36,0),1),N(INDEX('2027'!$AB:$AB,958)),N(INDEX('2028'!$AB:$AB,958)),N(INDEX('2029'!$AB:$AB,958)),N(INDEX('2030'!$AB:$AB,958))))</f>
        <v/>
      </c>
      <c r="W8" s="128">
        <f>IF($B8="","",CHOOSE(IFERROR(MATCH($C$4,Setup!$K$33:$K$36,0),1),N(INDEX('2027'!$AB:$AB,1008)),N(INDEX('2028'!$AB:$AB,1008)),N(INDEX('2029'!$AB:$AB,1008)),N(INDEX('2030'!$AB:$AB,1008))))</f>
        <v/>
      </c>
      <c r="X8" s="128">
        <f>IF($B8="","",CHOOSE(IFERROR(MATCH($C$4,Setup!$K$33:$K$36,0),1),N(INDEX('2027'!$AB:$AB,1058)),N(INDEX('2028'!$AB:$AB,1058)),N(INDEX('2029'!$AB:$AB,1058)),N(INDEX('2030'!$AB:$AB,1058))))</f>
        <v/>
      </c>
      <c r="Y8" s="128">
        <f>IF($B8="","",CHOOSE(IFERROR(MATCH($C$4,Setup!$K$33:$K$36,0),1),N(INDEX('2027'!$AB:$AB,1108)),N(INDEX('2028'!$AB:$AB,1108)),N(INDEX('2029'!$AB:$AB,1108)),N(INDEX('2030'!$AB:$AB,1108))))</f>
        <v/>
      </c>
      <c r="Z8" s="128">
        <f>IF($B8="","",CHOOSE(IFERROR(MATCH($C$4,Setup!$K$33:$K$36,0),1),N(INDEX('2027'!$AB:$AB,1158)),N(INDEX('2028'!$AB:$AB,1158)),N(INDEX('2029'!$AB:$AB,1158)),N(INDEX('2030'!$AB:$AB,1158))))</f>
        <v/>
      </c>
      <c r="AA8" s="128">
        <f>IF($B8="","",CHOOSE(IFERROR(MATCH($C$4,Setup!$K$33:$K$36,0),1),N(INDEX('2027'!$AB:$AB,1208)),N(INDEX('2028'!$AB:$AB,1208)),N(INDEX('2029'!$AB:$AB,1208)),N(INDEX('2030'!$AB:$AB,1208))))</f>
        <v/>
      </c>
      <c r="AB8" s="128">
        <f>IF($B8="","",CHOOSE(IFERROR(MATCH($C$4,Setup!$K$33:$K$36,0),1),N(INDEX('2027'!$AB:$AB,1258)),N(INDEX('2028'!$AB:$AB,1258)),N(INDEX('2029'!$AB:$AB,1258)),N(INDEX('2030'!$AB:$AB,1258))))</f>
        <v/>
      </c>
      <c r="AC8" s="128">
        <f>IF($B8="","",CHOOSE(IFERROR(MATCH($C$4,Setup!$K$33:$K$36,0),1),N(INDEX('2027'!$AB:$AB,1308)),N(INDEX('2028'!$AB:$AB,1308)),N(INDEX('2029'!$AB:$AB,1308)),N(INDEX('2030'!$AB:$AB,1308))))</f>
        <v/>
      </c>
      <c r="AD8" s="128">
        <f>IF($B8="","",CHOOSE(IFERROR(MATCH($C$4,Setup!$K$33:$K$36,0),1),N(INDEX('2027'!$AB:$AB,1358)),N(INDEX('2028'!$AB:$AB,1358)),N(INDEX('2029'!$AB:$AB,1358)),N(INDEX('2030'!$AB:$AB,1358))))</f>
        <v/>
      </c>
      <c r="AE8" s="128">
        <f>IF($B8="","",CHOOSE(IFERROR(MATCH($C$4,Setup!$K$33:$K$36,0),1),N(INDEX('2027'!$AB:$AB,1408)),N(INDEX('2028'!$AB:$AB,1408)),N(INDEX('2029'!$AB:$AB,1408)),N(INDEX('2030'!$AB:$AB,1408))))</f>
        <v/>
      </c>
      <c r="AF8" s="128">
        <f>IF($B8="","",CHOOSE(IFERROR(MATCH($C$4,Setup!$K$33:$K$36,0),1),N(INDEX('2027'!$AB:$AB,1458)),N(INDEX('2028'!$AB:$AB,1458)),N(INDEX('2029'!$AB:$AB,1458)),N(INDEX('2030'!$AB:$AB,1458))))</f>
        <v/>
      </c>
      <c r="AG8" s="128">
        <f>IF($B8="","",CHOOSE(IFERROR(MATCH($C$4,Setup!$K$33:$K$36,0),1),N(INDEX('2027'!$AB:$AB,1508)),N(INDEX('2028'!$AB:$AB,1508)),N(INDEX('2029'!$AB:$AB,1508)),N(INDEX('2030'!$AB:$AB,1508))))</f>
        <v/>
      </c>
      <c r="AH8" s="128">
        <f>IF($B8="","",CHOOSE(IFERROR(MATCH($C$4,Setup!$K$33:$K$36,0),1),N(INDEX('2027'!$AB:$AB,1558)),N(INDEX('2028'!$AB:$AB,1558)),N(INDEX('2029'!$AB:$AB,1558)),N(INDEX('2030'!$AB:$AB,1558))))</f>
        <v/>
      </c>
      <c r="AI8" s="128">
        <f>IF($B8="","",CHOOSE(IFERROR(MATCH($C$4,Setup!$K$33:$K$36,0),1),N(INDEX('2027'!$AB:$AB,1608)),N(INDEX('2028'!$AB:$AB,1608)),N(INDEX('2029'!$AB:$AB,1608)),N(INDEX('2030'!$AB:$AB,1608))))</f>
        <v/>
      </c>
      <c r="AJ8" s="128">
        <f>IF($B8="","",CHOOSE(IFERROR(MATCH($C$4,Setup!$K$33:$K$36,0),1),N(INDEX('2027'!$AB:$AB,1658)),N(INDEX('2028'!$AB:$AB,1658)),N(INDEX('2029'!$AB:$AB,1658)),N(INDEX('2030'!$AB:$AB,1658))))</f>
        <v/>
      </c>
      <c r="AK8" s="128">
        <f>IF($B8="","",CHOOSE(IFERROR(MATCH($C$4,Setup!$K$33:$K$36,0),1),N(INDEX('2027'!$AB:$AB,1708)),N(INDEX('2028'!$AB:$AB,1708)),N(INDEX('2029'!$AB:$AB,1708)),N(INDEX('2030'!$AB:$AB,1708))))</f>
        <v/>
      </c>
      <c r="AL8" s="128">
        <f>IF($B8="","",CHOOSE(IFERROR(MATCH($C$4,Setup!$K$33:$K$36,0),1),N(INDEX('2027'!$AB:$AB,1758)),N(INDEX('2028'!$AB:$AB,1758)),N(INDEX('2029'!$AB:$AB,1758)),N(INDEX('2030'!$AB:$AB,1758))))</f>
        <v/>
      </c>
      <c r="AM8" s="128">
        <f>IF($B8="","",CHOOSE(IFERROR(MATCH($C$4,Setup!$K$33:$K$36,0),1),N(INDEX('2027'!$AB:$AB,1808)),N(INDEX('2028'!$AB:$AB,1808)),N(INDEX('2029'!$AB:$AB,1808)),N(INDEX('2030'!$AB:$AB,1808))))</f>
        <v/>
      </c>
      <c r="AN8" s="128">
        <f>IF($B8="","",CHOOSE(IFERROR(MATCH($C$4,Setup!$K$33:$K$36,0),1),N(INDEX('2027'!$AB:$AB,1858)),N(INDEX('2028'!$AB:$AB,1858)),N(INDEX('2029'!$AB:$AB,1858)),N(INDEX('2030'!$AB:$AB,1858))))</f>
        <v/>
      </c>
      <c r="AO8" s="128">
        <f>IF($B8="","",CHOOSE(IFERROR(MATCH($C$4,Setup!$K$33:$K$36,0),1),N(INDEX('2027'!$AB:$AB,1908)),N(INDEX('2028'!$AB:$AB,1908)),N(INDEX('2029'!$AB:$AB,1908)),N(INDEX('2030'!$AB:$AB,1908))))</f>
        <v/>
      </c>
      <c r="AP8" s="128">
        <f>IF($B8="","",CHOOSE(IFERROR(MATCH($C$4,Setup!$K$33:$K$36,0),1),N(INDEX('2027'!$AB:$AB,1958)),N(INDEX('2028'!$AB:$AB,1958)),N(INDEX('2029'!$AB:$AB,1958)),N(INDEX('2030'!$AB:$AB,1958))))</f>
        <v/>
      </c>
      <c r="AQ8" s="128">
        <f>IF($B8="","",CHOOSE(IFERROR(MATCH($C$4,Setup!$K$33:$K$36,0),1),N(INDEX('2027'!$AB:$AB,2008)),N(INDEX('2028'!$AB:$AB,2008)),N(INDEX('2029'!$AB:$AB,2008)),N(INDEX('2030'!$AB:$AB,2008))))</f>
        <v/>
      </c>
      <c r="AR8" s="128">
        <f>IF($B8="","",CHOOSE(IFERROR(MATCH($C$4,Setup!$K$33:$K$36,0),1),N(INDEX('2027'!$AB:$AB,2058)),N(INDEX('2028'!$AB:$AB,2058)),N(INDEX('2029'!$AB:$AB,2058)),N(INDEX('2030'!$AB:$AB,2058))))</f>
        <v/>
      </c>
      <c r="AS8" s="128">
        <f>IF($B8="","",CHOOSE(IFERROR(MATCH($C$4,Setup!$K$33:$K$36,0),1),N(INDEX('2027'!$AB:$AB,2108)),N(INDEX('2028'!$AB:$AB,2108)),N(INDEX('2029'!$AB:$AB,2108)),N(INDEX('2030'!$AB:$AB,2108))))</f>
        <v/>
      </c>
      <c r="AT8" s="128">
        <f>IF($B8="","",CHOOSE(IFERROR(MATCH($C$4,Setup!$K$33:$K$36,0),1),N(INDEX('2027'!$AB:$AB,2158)),N(INDEX('2028'!$AB:$AB,2158)),N(INDEX('2029'!$AB:$AB,2158)),N(INDEX('2030'!$AB:$AB,2158))))</f>
        <v/>
      </c>
      <c r="AU8" s="128">
        <f>IF($B8="","",CHOOSE(IFERROR(MATCH($C$4,Setup!$K$33:$K$36,0),1),N(INDEX('2027'!$AB:$AB,2208)),N(INDEX('2028'!$AB:$AB,2208)),N(INDEX('2029'!$AB:$AB,2208)),N(INDEX('2030'!$AB:$AB,2208))))</f>
        <v/>
      </c>
      <c r="AV8" s="128">
        <f>IF($B8="","",CHOOSE(IFERROR(MATCH($C$4,Setup!$K$33:$K$36,0),1),N(INDEX('2027'!$AB:$AB,2258)),N(INDEX('2028'!$AB:$AB,2258)),N(INDEX('2029'!$AB:$AB,2258)),N(INDEX('2030'!$AB:$AB,2258))))</f>
        <v/>
      </c>
      <c r="AW8" s="128">
        <f>IF($B8="","",CHOOSE(IFERROR(MATCH($C$4,Setup!$K$33:$K$36,0),1),N(INDEX('2027'!$AB:$AB,2308)),N(INDEX('2028'!$AB:$AB,2308)),N(INDEX('2029'!$AB:$AB,2308)),N(INDEX('2030'!$AB:$AB,2308))))</f>
        <v/>
      </c>
      <c r="AX8" s="128">
        <f>IF($B8="","",CHOOSE(IFERROR(MATCH($C$4,Setup!$K$33:$K$36,0),1),N(INDEX('2027'!$AB:$AB,2358)),N(INDEX('2028'!$AB:$AB,2358)),N(INDEX('2029'!$AB:$AB,2358)),N(INDEX('2030'!$AB:$AB,2358))))</f>
        <v/>
      </c>
      <c r="AY8" s="128">
        <f>IF($B8="","",CHOOSE(IFERROR(MATCH($C$4,Setup!$K$33:$K$36,0),1),N(INDEX('2027'!$AB:$AB,2408)),N(INDEX('2028'!$AB:$AB,2408)),N(INDEX('2029'!$AB:$AB,2408)),N(INDEX('2030'!$AB:$AB,2408))))</f>
        <v/>
      </c>
      <c r="AZ8" s="128">
        <f>IF($B8="","",CHOOSE(IFERROR(MATCH($C$4,Setup!$K$33:$K$36,0),1),N(INDEX('2027'!$AB:$AB,2458)),N(INDEX('2028'!$AB:$AB,2458)),N(INDEX('2029'!$AB:$AB,2458)),N(INDEX('2030'!$AB:$AB,2458))))</f>
        <v/>
      </c>
      <c r="BA8" s="128">
        <f>IF($B8="","",CHOOSE(IFERROR(MATCH($C$4,Setup!$K$33:$K$36,0),1),N(INDEX('2027'!$AB:$AB,2508)),N(INDEX('2028'!$AB:$AB,2508)),N(INDEX('2029'!$AB:$AB,2508)),N(INDEX('2030'!$AB:$AB,2508))))</f>
        <v/>
      </c>
      <c r="BB8" s="128">
        <f>IF($B8="","",CHOOSE(IFERROR(MATCH($C$4,Setup!$K$33:$K$36,0),1),N(INDEX('2027'!$AB:$AB,2558)),N(INDEX('2028'!$AB:$AB,2558)),N(INDEX('2029'!$AB:$AB,2558)),N(INDEX('2030'!$AB:$AB,2558))))</f>
        <v/>
      </c>
      <c r="BC8" s="128">
        <f>IF($B8="","",CHOOSE(IFERROR(MATCH($C$4,Setup!$K$33:$K$36,0),1),N(INDEX('2027'!$AB:$AB,2608)),N(INDEX('2028'!$AB:$AB,2608)),N(INDEX('2029'!$AB:$AB,2608)),N(INDEX('2030'!$AB:$AB,2608))))</f>
        <v/>
      </c>
      <c r="BE8" s="129">
        <f>IF($B8="","",SUM(C8:BC8))</f>
        <v/>
      </c>
      <c r="BF8" s="130">
        <f>IF($B8="","",COUNTIF(C8:BC8,"&gt;0"))</f>
        <v/>
      </c>
    </row>
    <row r="9" ht="15" customHeight="1">
      <c r="B9" s="127">
        <f>IF(Setup!$K$7="","",Setup!$K$7)</f>
        <v/>
      </c>
      <c r="C9" s="128">
        <f>IF($B9="","",CHOOSE(IFERROR(MATCH($C$4,Setup!$K$33:$K$36,0),1),N(INDEX('2027'!$AB:$AB,9)),N(INDEX('2028'!$AB:$AB,9)),N(INDEX('2029'!$AB:$AB,9)),N(INDEX('2030'!$AB:$AB,9))))</f>
        <v/>
      </c>
      <c r="D9" s="128">
        <f>IF($B9="","",CHOOSE(IFERROR(MATCH($C$4,Setup!$K$33:$K$36,0),1),N(INDEX('2027'!$AB:$AB,59)),N(INDEX('2028'!$AB:$AB,59)),N(INDEX('2029'!$AB:$AB,59)),N(INDEX('2030'!$AB:$AB,59))))</f>
        <v/>
      </c>
      <c r="E9" s="128">
        <f>IF($B9="","",CHOOSE(IFERROR(MATCH($C$4,Setup!$K$33:$K$36,0),1),N(INDEX('2027'!$AB:$AB,109)),N(INDEX('2028'!$AB:$AB,109)),N(INDEX('2029'!$AB:$AB,109)),N(INDEX('2030'!$AB:$AB,109))))</f>
        <v/>
      </c>
      <c r="F9" s="128">
        <f>IF($B9="","",CHOOSE(IFERROR(MATCH($C$4,Setup!$K$33:$K$36,0),1),N(INDEX('2027'!$AB:$AB,159)),N(INDEX('2028'!$AB:$AB,159)),N(INDEX('2029'!$AB:$AB,159)),N(INDEX('2030'!$AB:$AB,159))))</f>
        <v/>
      </c>
      <c r="G9" s="128">
        <f>IF($B9="","",CHOOSE(IFERROR(MATCH($C$4,Setup!$K$33:$K$36,0),1),N(INDEX('2027'!$AB:$AB,209)),N(INDEX('2028'!$AB:$AB,209)),N(INDEX('2029'!$AB:$AB,209)),N(INDEX('2030'!$AB:$AB,209))))</f>
        <v/>
      </c>
      <c r="H9" s="128">
        <f>IF($B9="","",CHOOSE(IFERROR(MATCH($C$4,Setup!$K$33:$K$36,0),1),N(INDEX('2027'!$AB:$AB,259)),N(INDEX('2028'!$AB:$AB,259)),N(INDEX('2029'!$AB:$AB,259)),N(INDEX('2030'!$AB:$AB,259))))</f>
        <v/>
      </c>
      <c r="I9" s="128">
        <f>IF($B9="","",CHOOSE(IFERROR(MATCH($C$4,Setup!$K$33:$K$36,0),1),N(INDEX('2027'!$AB:$AB,309)),N(INDEX('2028'!$AB:$AB,309)),N(INDEX('2029'!$AB:$AB,309)),N(INDEX('2030'!$AB:$AB,309))))</f>
        <v/>
      </c>
      <c r="J9" s="128">
        <f>IF($B9="","",CHOOSE(IFERROR(MATCH($C$4,Setup!$K$33:$K$36,0),1),N(INDEX('2027'!$AB:$AB,359)),N(INDEX('2028'!$AB:$AB,359)),N(INDEX('2029'!$AB:$AB,359)),N(INDEX('2030'!$AB:$AB,359))))</f>
        <v/>
      </c>
      <c r="K9" s="128">
        <f>IF($B9="","",CHOOSE(IFERROR(MATCH($C$4,Setup!$K$33:$K$36,0),1),N(INDEX('2027'!$AB:$AB,409)),N(INDEX('2028'!$AB:$AB,409)),N(INDEX('2029'!$AB:$AB,409)),N(INDEX('2030'!$AB:$AB,409))))</f>
        <v/>
      </c>
      <c r="L9" s="128">
        <f>IF($B9="","",CHOOSE(IFERROR(MATCH($C$4,Setup!$K$33:$K$36,0),1),N(INDEX('2027'!$AB:$AB,459)),N(INDEX('2028'!$AB:$AB,459)),N(INDEX('2029'!$AB:$AB,459)),N(INDEX('2030'!$AB:$AB,459))))</f>
        <v/>
      </c>
      <c r="M9" s="128">
        <f>IF($B9="","",CHOOSE(IFERROR(MATCH($C$4,Setup!$K$33:$K$36,0),1),N(INDEX('2027'!$AB:$AB,509)),N(INDEX('2028'!$AB:$AB,509)),N(INDEX('2029'!$AB:$AB,509)),N(INDEX('2030'!$AB:$AB,509))))</f>
        <v/>
      </c>
      <c r="N9" s="128">
        <f>IF($B9="","",CHOOSE(IFERROR(MATCH($C$4,Setup!$K$33:$K$36,0),1),N(INDEX('2027'!$AB:$AB,559)),N(INDEX('2028'!$AB:$AB,559)),N(INDEX('2029'!$AB:$AB,559)),N(INDEX('2030'!$AB:$AB,559))))</f>
        <v/>
      </c>
      <c r="O9" s="128">
        <f>IF($B9="","",CHOOSE(IFERROR(MATCH($C$4,Setup!$K$33:$K$36,0),1),N(INDEX('2027'!$AB:$AB,609)),N(INDEX('2028'!$AB:$AB,609)),N(INDEX('2029'!$AB:$AB,609)),N(INDEX('2030'!$AB:$AB,609))))</f>
        <v/>
      </c>
      <c r="P9" s="128">
        <f>IF($B9="","",CHOOSE(IFERROR(MATCH($C$4,Setup!$K$33:$K$36,0),1),N(INDEX('2027'!$AB:$AB,659)),N(INDEX('2028'!$AB:$AB,659)),N(INDEX('2029'!$AB:$AB,659)),N(INDEX('2030'!$AB:$AB,659))))</f>
        <v/>
      </c>
      <c r="Q9" s="128">
        <f>IF($B9="","",CHOOSE(IFERROR(MATCH($C$4,Setup!$K$33:$K$36,0),1),N(INDEX('2027'!$AB:$AB,709)),N(INDEX('2028'!$AB:$AB,709)),N(INDEX('2029'!$AB:$AB,709)),N(INDEX('2030'!$AB:$AB,709))))</f>
        <v/>
      </c>
      <c r="R9" s="128">
        <f>IF($B9="","",CHOOSE(IFERROR(MATCH($C$4,Setup!$K$33:$K$36,0),1),N(INDEX('2027'!$AB:$AB,759)),N(INDEX('2028'!$AB:$AB,759)),N(INDEX('2029'!$AB:$AB,759)),N(INDEX('2030'!$AB:$AB,759))))</f>
        <v/>
      </c>
      <c r="S9" s="128">
        <f>IF($B9="","",CHOOSE(IFERROR(MATCH($C$4,Setup!$K$33:$K$36,0),1),N(INDEX('2027'!$AB:$AB,809)),N(INDEX('2028'!$AB:$AB,809)),N(INDEX('2029'!$AB:$AB,809)),N(INDEX('2030'!$AB:$AB,809))))</f>
        <v/>
      </c>
      <c r="T9" s="128">
        <f>IF($B9="","",CHOOSE(IFERROR(MATCH($C$4,Setup!$K$33:$K$36,0),1),N(INDEX('2027'!$AB:$AB,859)),N(INDEX('2028'!$AB:$AB,859)),N(INDEX('2029'!$AB:$AB,859)),N(INDEX('2030'!$AB:$AB,859))))</f>
        <v/>
      </c>
      <c r="U9" s="128">
        <f>IF($B9="","",CHOOSE(IFERROR(MATCH($C$4,Setup!$K$33:$K$36,0),1),N(INDEX('2027'!$AB:$AB,909)),N(INDEX('2028'!$AB:$AB,909)),N(INDEX('2029'!$AB:$AB,909)),N(INDEX('2030'!$AB:$AB,909))))</f>
        <v/>
      </c>
      <c r="V9" s="128">
        <f>IF($B9="","",CHOOSE(IFERROR(MATCH($C$4,Setup!$K$33:$K$36,0),1),N(INDEX('2027'!$AB:$AB,959)),N(INDEX('2028'!$AB:$AB,959)),N(INDEX('2029'!$AB:$AB,959)),N(INDEX('2030'!$AB:$AB,959))))</f>
        <v/>
      </c>
      <c r="W9" s="128">
        <f>IF($B9="","",CHOOSE(IFERROR(MATCH($C$4,Setup!$K$33:$K$36,0),1),N(INDEX('2027'!$AB:$AB,1009)),N(INDEX('2028'!$AB:$AB,1009)),N(INDEX('2029'!$AB:$AB,1009)),N(INDEX('2030'!$AB:$AB,1009))))</f>
        <v/>
      </c>
      <c r="X9" s="128">
        <f>IF($B9="","",CHOOSE(IFERROR(MATCH($C$4,Setup!$K$33:$K$36,0),1),N(INDEX('2027'!$AB:$AB,1059)),N(INDEX('2028'!$AB:$AB,1059)),N(INDEX('2029'!$AB:$AB,1059)),N(INDEX('2030'!$AB:$AB,1059))))</f>
        <v/>
      </c>
      <c r="Y9" s="128">
        <f>IF($B9="","",CHOOSE(IFERROR(MATCH($C$4,Setup!$K$33:$K$36,0),1),N(INDEX('2027'!$AB:$AB,1109)),N(INDEX('2028'!$AB:$AB,1109)),N(INDEX('2029'!$AB:$AB,1109)),N(INDEX('2030'!$AB:$AB,1109))))</f>
        <v/>
      </c>
      <c r="Z9" s="128">
        <f>IF($B9="","",CHOOSE(IFERROR(MATCH($C$4,Setup!$K$33:$K$36,0),1),N(INDEX('2027'!$AB:$AB,1159)),N(INDEX('2028'!$AB:$AB,1159)),N(INDEX('2029'!$AB:$AB,1159)),N(INDEX('2030'!$AB:$AB,1159))))</f>
        <v/>
      </c>
      <c r="AA9" s="128">
        <f>IF($B9="","",CHOOSE(IFERROR(MATCH($C$4,Setup!$K$33:$K$36,0),1),N(INDEX('2027'!$AB:$AB,1209)),N(INDEX('2028'!$AB:$AB,1209)),N(INDEX('2029'!$AB:$AB,1209)),N(INDEX('2030'!$AB:$AB,1209))))</f>
        <v/>
      </c>
      <c r="AB9" s="128">
        <f>IF($B9="","",CHOOSE(IFERROR(MATCH($C$4,Setup!$K$33:$K$36,0),1),N(INDEX('2027'!$AB:$AB,1259)),N(INDEX('2028'!$AB:$AB,1259)),N(INDEX('2029'!$AB:$AB,1259)),N(INDEX('2030'!$AB:$AB,1259))))</f>
        <v/>
      </c>
      <c r="AC9" s="128">
        <f>IF($B9="","",CHOOSE(IFERROR(MATCH($C$4,Setup!$K$33:$K$36,0),1),N(INDEX('2027'!$AB:$AB,1309)),N(INDEX('2028'!$AB:$AB,1309)),N(INDEX('2029'!$AB:$AB,1309)),N(INDEX('2030'!$AB:$AB,1309))))</f>
        <v/>
      </c>
      <c r="AD9" s="128">
        <f>IF($B9="","",CHOOSE(IFERROR(MATCH($C$4,Setup!$K$33:$K$36,0),1),N(INDEX('2027'!$AB:$AB,1359)),N(INDEX('2028'!$AB:$AB,1359)),N(INDEX('2029'!$AB:$AB,1359)),N(INDEX('2030'!$AB:$AB,1359))))</f>
        <v/>
      </c>
      <c r="AE9" s="128">
        <f>IF($B9="","",CHOOSE(IFERROR(MATCH($C$4,Setup!$K$33:$K$36,0),1),N(INDEX('2027'!$AB:$AB,1409)),N(INDEX('2028'!$AB:$AB,1409)),N(INDEX('2029'!$AB:$AB,1409)),N(INDEX('2030'!$AB:$AB,1409))))</f>
        <v/>
      </c>
      <c r="AF9" s="128">
        <f>IF($B9="","",CHOOSE(IFERROR(MATCH($C$4,Setup!$K$33:$K$36,0),1),N(INDEX('2027'!$AB:$AB,1459)),N(INDEX('2028'!$AB:$AB,1459)),N(INDEX('2029'!$AB:$AB,1459)),N(INDEX('2030'!$AB:$AB,1459))))</f>
        <v/>
      </c>
      <c r="AG9" s="128">
        <f>IF($B9="","",CHOOSE(IFERROR(MATCH($C$4,Setup!$K$33:$K$36,0),1),N(INDEX('2027'!$AB:$AB,1509)),N(INDEX('2028'!$AB:$AB,1509)),N(INDEX('2029'!$AB:$AB,1509)),N(INDEX('2030'!$AB:$AB,1509))))</f>
        <v/>
      </c>
      <c r="AH9" s="128">
        <f>IF($B9="","",CHOOSE(IFERROR(MATCH($C$4,Setup!$K$33:$K$36,0),1),N(INDEX('2027'!$AB:$AB,1559)),N(INDEX('2028'!$AB:$AB,1559)),N(INDEX('2029'!$AB:$AB,1559)),N(INDEX('2030'!$AB:$AB,1559))))</f>
        <v/>
      </c>
      <c r="AI9" s="128">
        <f>IF($B9="","",CHOOSE(IFERROR(MATCH($C$4,Setup!$K$33:$K$36,0),1),N(INDEX('2027'!$AB:$AB,1609)),N(INDEX('2028'!$AB:$AB,1609)),N(INDEX('2029'!$AB:$AB,1609)),N(INDEX('2030'!$AB:$AB,1609))))</f>
        <v/>
      </c>
      <c r="AJ9" s="128">
        <f>IF($B9="","",CHOOSE(IFERROR(MATCH($C$4,Setup!$K$33:$K$36,0),1),N(INDEX('2027'!$AB:$AB,1659)),N(INDEX('2028'!$AB:$AB,1659)),N(INDEX('2029'!$AB:$AB,1659)),N(INDEX('2030'!$AB:$AB,1659))))</f>
        <v/>
      </c>
      <c r="AK9" s="128">
        <f>IF($B9="","",CHOOSE(IFERROR(MATCH($C$4,Setup!$K$33:$K$36,0),1),N(INDEX('2027'!$AB:$AB,1709)),N(INDEX('2028'!$AB:$AB,1709)),N(INDEX('2029'!$AB:$AB,1709)),N(INDEX('2030'!$AB:$AB,1709))))</f>
        <v/>
      </c>
      <c r="AL9" s="128">
        <f>IF($B9="","",CHOOSE(IFERROR(MATCH($C$4,Setup!$K$33:$K$36,0),1),N(INDEX('2027'!$AB:$AB,1759)),N(INDEX('2028'!$AB:$AB,1759)),N(INDEX('2029'!$AB:$AB,1759)),N(INDEX('2030'!$AB:$AB,1759))))</f>
        <v/>
      </c>
      <c r="AM9" s="128">
        <f>IF($B9="","",CHOOSE(IFERROR(MATCH($C$4,Setup!$K$33:$K$36,0),1),N(INDEX('2027'!$AB:$AB,1809)),N(INDEX('2028'!$AB:$AB,1809)),N(INDEX('2029'!$AB:$AB,1809)),N(INDEX('2030'!$AB:$AB,1809))))</f>
        <v/>
      </c>
      <c r="AN9" s="128">
        <f>IF($B9="","",CHOOSE(IFERROR(MATCH($C$4,Setup!$K$33:$K$36,0),1),N(INDEX('2027'!$AB:$AB,1859)),N(INDEX('2028'!$AB:$AB,1859)),N(INDEX('2029'!$AB:$AB,1859)),N(INDEX('2030'!$AB:$AB,1859))))</f>
        <v/>
      </c>
      <c r="AO9" s="128">
        <f>IF($B9="","",CHOOSE(IFERROR(MATCH($C$4,Setup!$K$33:$K$36,0),1),N(INDEX('2027'!$AB:$AB,1909)),N(INDEX('2028'!$AB:$AB,1909)),N(INDEX('2029'!$AB:$AB,1909)),N(INDEX('2030'!$AB:$AB,1909))))</f>
        <v/>
      </c>
      <c r="AP9" s="128">
        <f>IF($B9="","",CHOOSE(IFERROR(MATCH($C$4,Setup!$K$33:$K$36,0),1),N(INDEX('2027'!$AB:$AB,1959)),N(INDEX('2028'!$AB:$AB,1959)),N(INDEX('2029'!$AB:$AB,1959)),N(INDEX('2030'!$AB:$AB,1959))))</f>
        <v/>
      </c>
      <c r="AQ9" s="128">
        <f>IF($B9="","",CHOOSE(IFERROR(MATCH($C$4,Setup!$K$33:$K$36,0),1),N(INDEX('2027'!$AB:$AB,2009)),N(INDEX('2028'!$AB:$AB,2009)),N(INDEX('2029'!$AB:$AB,2009)),N(INDEX('2030'!$AB:$AB,2009))))</f>
        <v/>
      </c>
      <c r="AR9" s="128">
        <f>IF($B9="","",CHOOSE(IFERROR(MATCH($C$4,Setup!$K$33:$K$36,0),1),N(INDEX('2027'!$AB:$AB,2059)),N(INDEX('2028'!$AB:$AB,2059)),N(INDEX('2029'!$AB:$AB,2059)),N(INDEX('2030'!$AB:$AB,2059))))</f>
        <v/>
      </c>
      <c r="AS9" s="128">
        <f>IF($B9="","",CHOOSE(IFERROR(MATCH($C$4,Setup!$K$33:$K$36,0),1),N(INDEX('2027'!$AB:$AB,2109)),N(INDEX('2028'!$AB:$AB,2109)),N(INDEX('2029'!$AB:$AB,2109)),N(INDEX('2030'!$AB:$AB,2109))))</f>
        <v/>
      </c>
      <c r="AT9" s="128">
        <f>IF($B9="","",CHOOSE(IFERROR(MATCH($C$4,Setup!$K$33:$K$36,0),1),N(INDEX('2027'!$AB:$AB,2159)),N(INDEX('2028'!$AB:$AB,2159)),N(INDEX('2029'!$AB:$AB,2159)),N(INDEX('2030'!$AB:$AB,2159))))</f>
        <v/>
      </c>
      <c r="AU9" s="128">
        <f>IF($B9="","",CHOOSE(IFERROR(MATCH($C$4,Setup!$K$33:$K$36,0),1),N(INDEX('2027'!$AB:$AB,2209)),N(INDEX('2028'!$AB:$AB,2209)),N(INDEX('2029'!$AB:$AB,2209)),N(INDEX('2030'!$AB:$AB,2209))))</f>
        <v/>
      </c>
      <c r="AV9" s="128">
        <f>IF($B9="","",CHOOSE(IFERROR(MATCH($C$4,Setup!$K$33:$K$36,0),1),N(INDEX('2027'!$AB:$AB,2259)),N(INDEX('2028'!$AB:$AB,2259)),N(INDEX('2029'!$AB:$AB,2259)),N(INDEX('2030'!$AB:$AB,2259))))</f>
        <v/>
      </c>
      <c r="AW9" s="128">
        <f>IF($B9="","",CHOOSE(IFERROR(MATCH($C$4,Setup!$K$33:$K$36,0),1),N(INDEX('2027'!$AB:$AB,2309)),N(INDEX('2028'!$AB:$AB,2309)),N(INDEX('2029'!$AB:$AB,2309)),N(INDEX('2030'!$AB:$AB,2309))))</f>
        <v/>
      </c>
      <c r="AX9" s="128">
        <f>IF($B9="","",CHOOSE(IFERROR(MATCH($C$4,Setup!$K$33:$K$36,0),1),N(INDEX('2027'!$AB:$AB,2359)),N(INDEX('2028'!$AB:$AB,2359)),N(INDEX('2029'!$AB:$AB,2359)),N(INDEX('2030'!$AB:$AB,2359))))</f>
        <v/>
      </c>
      <c r="AY9" s="128">
        <f>IF($B9="","",CHOOSE(IFERROR(MATCH($C$4,Setup!$K$33:$K$36,0),1),N(INDEX('2027'!$AB:$AB,2409)),N(INDEX('2028'!$AB:$AB,2409)),N(INDEX('2029'!$AB:$AB,2409)),N(INDEX('2030'!$AB:$AB,2409))))</f>
        <v/>
      </c>
      <c r="AZ9" s="128">
        <f>IF($B9="","",CHOOSE(IFERROR(MATCH($C$4,Setup!$K$33:$K$36,0),1),N(INDEX('2027'!$AB:$AB,2459)),N(INDEX('2028'!$AB:$AB,2459)),N(INDEX('2029'!$AB:$AB,2459)),N(INDEX('2030'!$AB:$AB,2459))))</f>
        <v/>
      </c>
      <c r="BA9" s="128">
        <f>IF($B9="","",CHOOSE(IFERROR(MATCH($C$4,Setup!$K$33:$K$36,0),1),N(INDEX('2027'!$AB:$AB,2509)),N(INDEX('2028'!$AB:$AB,2509)),N(INDEX('2029'!$AB:$AB,2509)),N(INDEX('2030'!$AB:$AB,2509))))</f>
        <v/>
      </c>
      <c r="BB9" s="128">
        <f>IF($B9="","",CHOOSE(IFERROR(MATCH($C$4,Setup!$K$33:$K$36,0),1),N(INDEX('2027'!$AB:$AB,2559)),N(INDEX('2028'!$AB:$AB,2559)),N(INDEX('2029'!$AB:$AB,2559)),N(INDEX('2030'!$AB:$AB,2559))))</f>
        <v/>
      </c>
      <c r="BC9" s="128">
        <f>IF($B9="","",CHOOSE(IFERROR(MATCH($C$4,Setup!$K$33:$K$36,0),1),N(INDEX('2027'!$AB:$AB,2609)),N(INDEX('2028'!$AB:$AB,2609)),N(INDEX('2029'!$AB:$AB,2609)),N(INDEX('2030'!$AB:$AB,2609))))</f>
        <v/>
      </c>
      <c r="BE9" s="129">
        <f>IF($B9="","",SUM(C9:BC9))</f>
        <v/>
      </c>
      <c r="BF9" s="130">
        <f>IF($B9="","",COUNTIF(C9:BC9,"&gt;0"))</f>
        <v/>
      </c>
    </row>
    <row r="10" ht="15" customHeight="1">
      <c r="B10" s="127">
        <f>IF(Setup!$K$8="","",Setup!$K$8)</f>
        <v/>
      </c>
      <c r="C10" s="128">
        <f>IF($B10="","",CHOOSE(IFERROR(MATCH($C$4,Setup!$K$33:$K$36,0),1),N(INDEX('2027'!$AB:$AB,10)),N(INDEX('2028'!$AB:$AB,10)),N(INDEX('2029'!$AB:$AB,10)),N(INDEX('2030'!$AB:$AB,10))))</f>
        <v/>
      </c>
      <c r="D10" s="128">
        <f>IF($B10="","",CHOOSE(IFERROR(MATCH($C$4,Setup!$K$33:$K$36,0),1),N(INDEX('2027'!$AB:$AB,60)),N(INDEX('2028'!$AB:$AB,60)),N(INDEX('2029'!$AB:$AB,60)),N(INDEX('2030'!$AB:$AB,60))))</f>
        <v/>
      </c>
      <c r="E10" s="128">
        <f>IF($B10="","",CHOOSE(IFERROR(MATCH($C$4,Setup!$K$33:$K$36,0),1),N(INDEX('2027'!$AB:$AB,110)),N(INDEX('2028'!$AB:$AB,110)),N(INDEX('2029'!$AB:$AB,110)),N(INDEX('2030'!$AB:$AB,110))))</f>
        <v/>
      </c>
      <c r="F10" s="128">
        <f>IF($B10="","",CHOOSE(IFERROR(MATCH($C$4,Setup!$K$33:$K$36,0),1),N(INDEX('2027'!$AB:$AB,160)),N(INDEX('2028'!$AB:$AB,160)),N(INDEX('2029'!$AB:$AB,160)),N(INDEX('2030'!$AB:$AB,160))))</f>
        <v/>
      </c>
      <c r="G10" s="128">
        <f>IF($B10="","",CHOOSE(IFERROR(MATCH($C$4,Setup!$K$33:$K$36,0),1),N(INDEX('2027'!$AB:$AB,210)),N(INDEX('2028'!$AB:$AB,210)),N(INDEX('2029'!$AB:$AB,210)),N(INDEX('2030'!$AB:$AB,210))))</f>
        <v/>
      </c>
      <c r="H10" s="128">
        <f>IF($B10="","",CHOOSE(IFERROR(MATCH($C$4,Setup!$K$33:$K$36,0),1),N(INDEX('2027'!$AB:$AB,260)),N(INDEX('2028'!$AB:$AB,260)),N(INDEX('2029'!$AB:$AB,260)),N(INDEX('2030'!$AB:$AB,260))))</f>
        <v/>
      </c>
      <c r="I10" s="128">
        <f>IF($B10="","",CHOOSE(IFERROR(MATCH($C$4,Setup!$K$33:$K$36,0),1),N(INDEX('2027'!$AB:$AB,310)),N(INDEX('2028'!$AB:$AB,310)),N(INDEX('2029'!$AB:$AB,310)),N(INDEX('2030'!$AB:$AB,310))))</f>
        <v/>
      </c>
      <c r="J10" s="128">
        <f>IF($B10="","",CHOOSE(IFERROR(MATCH($C$4,Setup!$K$33:$K$36,0),1),N(INDEX('2027'!$AB:$AB,360)),N(INDEX('2028'!$AB:$AB,360)),N(INDEX('2029'!$AB:$AB,360)),N(INDEX('2030'!$AB:$AB,360))))</f>
        <v/>
      </c>
      <c r="K10" s="128">
        <f>IF($B10="","",CHOOSE(IFERROR(MATCH($C$4,Setup!$K$33:$K$36,0),1),N(INDEX('2027'!$AB:$AB,410)),N(INDEX('2028'!$AB:$AB,410)),N(INDEX('2029'!$AB:$AB,410)),N(INDEX('2030'!$AB:$AB,410))))</f>
        <v/>
      </c>
      <c r="L10" s="128">
        <f>IF($B10="","",CHOOSE(IFERROR(MATCH($C$4,Setup!$K$33:$K$36,0),1),N(INDEX('2027'!$AB:$AB,460)),N(INDEX('2028'!$AB:$AB,460)),N(INDEX('2029'!$AB:$AB,460)),N(INDEX('2030'!$AB:$AB,460))))</f>
        <v/>
      </c>
      <c r="M10" s="128">
        <f>IF($B10="","",CHOOSE(IFERROR(MATCH($C$4,Setup!$K$33:$K$36,0),1),N(INDEX('2027'!$AB:$AB,510)),N(INDEX('2028'!$AB:$AB,510)),N(INDEX('2029'!$AB:$AB,510)),N(INDEX('2030'!$AB:$AB,510))))</f>
        <v/>
      </c>
      <c r="N10" s="128">
        <f>IF($B10="","",CHOOSE(IFERROR(MATCH($C$4,Setup!$K$33:$K$36,0),1),N(INDEX('2027'!$AB:$AB,560)),N(INDEX('2028'!$AB:$AB,560)),N(INDEX('2029'!$AB:$AB,560)),N(INDEX('2030'!$AB:$AB,560))))</f>
        <v/>
      </c>
      <c r="O10" s="128">
        <f>IF($B10="","",CHOOSE(IFERROR(MATCH($C$4,Setup!$K$33:$K$36,0),1),N(INDEX('2027'!$AB:$AB,610)),N(INDEX('2028'!$AB:$AB,610)),N(INDEX('2029'!$AB:$AB,610)),N(INDEX('2030'!$AB:$AB,610))))</f>
        <v/>
      </c>
      <c r="P10" s="128">
        <f>IF($B10="","",CHOOSE(IFERROR(MATCH($C$4,Setup!$K$33:$K$36,0),1),N(INDEX('2027'!$AB:$AB,660)),N(INDEX('2028'!$AB:$AB,660)),N(INDEX('2029'!$AB:$AB,660)),N(INDEX('2030'!$AB:$AB,660))))</f>
        <v/>
      </c>
      <c r="Q10" s="128">
        <f>IF($B10="","",CHOOSE(IFERROR(MATCH($C$4,Setup!$K$33:$K$36,0),1),N(INDEX('2027'!$AB:$AB,710)),N(INDEX('2028'!$AB:$AB,710)),N(INDEX('2029'!$AB:$AB,710)),N(INDEX('2030'!$AB:$AB,710))))</f>
        <v/>
      </c>
      <c r="R10" s="128">
        <f>IF($B10="","",CHOOSE(IFERROR(MATCH($C$4,Setup!$K$33:$K$36,0),1),N(INDEX('2027'!$AB:$AB,760)),N(INDEX('2028'!$AB:$AB,760)),N(INDEX('2029'!$AB:$AB,760)),N(INDEX('2030'!$AB:$AB,760))))</f>
        <v/>
      </c>
      <c r="S10" s="128">
        <f>IF($B10="","",CHOOSE(IFERROR(MATCH($C$4,Setup!$K$33:$K$36,0),1),N(INDEX('2027'!$AB:$AB,810)),N(INDEX('2028'!$AB:$AB,810)),N(INDEX('2029'!$AB:$AB,810)),N(INDEX('2030'!$AB:$AB,810))))</f>
        <v/>
      </c>
      <c r="T10" s="128">
        <f>IF($B10="","",CHOOSE(IFERROR(MATCH($C$4,Setup!$K$33:$K$36,0),1),N(INDEX('2027'!$AB:$AB,860)),N(INDEX('2028'!$AB:$AB,860)),N(INDEX('2029'!$AB:$AB,860)),N(INDEX('2030'!$AB:$AB,860))))</f>
        <v/>
      </c>
      <c r="U10" s="128">
        <f>IF($B10="","",CHOOSE(IFERROR(MATCH($C$4,Setup!$K$33:$K$36,0),1),N(INDEX('2027'!$AB:$AB,910)),N(INDEX('2028'!$AB:$AB,910)),N(INDEX('2029'!$AB:$AB,910)),N(INDEX('2030'!$AB:$AB,910))))</f>
        <v/>
      </c>
      <c r="V10" s="128">
        <f>IF($B10="","",CHOOSE(IFERROR(MATCH($C$4,Setup!$K$33:$K$36,0),1),N(INDEX('2027'!$AB:$AB,960)),N(INDEX('2028'!$AB:$AB,960)),N(INDEX('2029'!$AB:$AB,960)),N(INDEX('2030'!$AB:$AB,960))))</f>
        <v/>
      </c>
      <c r="W10" s="128">
        <f>IF($B10="","",CHOOSE(IFERROR(MATCH($C$4,Setup!$K$33:$K$36,0),1),N(INDEX('2027'!$AB:$AB,1010)),N(INDEX('2028'!$AB:$AB,1010)),N(INDEX('2029'!$AB:$AB,1010)),N(INDEX('2030'!$AB:$AB,1010))))</f>
        <v/>
      </c>
      <c r="X10" s="128">
        <f>IF($B10="","",CHOOSE(IFERROR(MATCH($C$4,Setup!$K$33:$K$36,0),1),N(INDEX('2027'!$AB:$AB,1060)),N(INDEX('2028'!$AB:$AB,1060)),N(INDEX('2029'!$AB:$AB,1060)),N(INDEX('2030'!$AB:$AB,1060))))</f>
        <v/>
      </c>
      <c r="Y10" s="128">
        <f>IF($B10="","",CHOOSE(IFERROR(MATCH($C$4,Setup!$K$33:$K$36,0),1),N(INDEX('2027'!$AB:$AB,1110)),N(INDEX('2028'!$AB:$AB,1110)),N(INDEX('2029'!$AB:$AB,1110)),N(INDEX('2030'!$AB:$AB,1110))))</f>
        <v/>
      </c>
      <c r="Z10" s="128">
        <f>IF($B10="","",CHOOSE(IFERROR(MATCH($C$4,Setup!$K$33:$K$36,0),1),N(INDEX('2027'!$AB:$AB,1160)),N(INDEX('2028'!$AB:$AB,1160)),N(INDEX('2029'!$AB:$AB,1160)),N(INDEX('2030'!$AB:$AB,1160))))</f>
        <v/>
      </c>
      <c r="AA10" s="128">
        <f>IF($B10="","",CHOOSE(IFERROR(MATCH($C$4,Setup!$K$33:$K$36,0),1),N(INDEX('2027'!$AB:$AB,1210)),N(INDEX('2028'!$AB:$AB,1210)),N(INDEX('2029'!$AB:$AB,1210)),N(INDEX('2030'!$AB:$AB,1210))))</f>
        <v/>
      </c>
      <c r="AB10" s="128">
        <f>IF($B10="","",CHOOSE(IFERROR(MATCH($C$4,Setup!$K$33:$K$36,0),1),N(INDEX('2027'!$AB:$AB,1260)),N(INDEX('2028'!$AB:$AB,1260)),N(INDEX('2029'!$AB:$AB,1260)),N(INDEX('2030'!$AB:$AB,1260))))</f>
        <v/>
      </c>
      <c r="AC10" s="128">
        <f>IF($B10="","",CHOOSE(IFERROR(MATCH($C$4,Setup!$K$33:$K$36,0),1),N(INDEX('2027'!$AB:$AB,1310)),N(INDEX('2028'!$AB:$AB,1310)),N(INDEX('2029'!$AB:$AB,1310)),N(INDEX('2030'!$AB:$AB,1310))))</f>
        <v/>
      </c>
      <c r="AD10" s="128">
        <f>IF($B10="","",CHOOSE(IFERROR(MATCH($C$4,Setup!$K$33:$K$36,0),1),N(INDEX('2027'!$AB:$AB,1360)),N(INDEX('2028'!$AB:$AB,1360)),N(INDEX('2029'!$AB:$AB,1360)),N(INDEX('2030'!$AB:$AB,1360))))</f>
        <v/>
      </c>
      <c r="AE10" s="128">
        <f>IF($B10="","",CHOOSE(IFERROR(MATCH($C$4,Setup!$K$33:$K$36,0),1),N(INDEX('2027'!$AB:$AB,1410)),N(INDEX('2028'!$AB:$AB,1410)),N(INDEX('2029'!$AB:$AB,1410)),N(INDEX('2030'!$AB:$AB,1410))))</f>
        <v/>
      </c>
      <c r="AF10" s="128">
        <f>IF($B10="","",CHOOSE(IFERROR(MATCH($C$4,Setup!$K$33:$K$36,0),1),N(INDEX('2027'!$AB:$AB,1460)),N(INDEX('2028'!$AB:$AB,1460)),N(INDEX('2029'!$AB:$AB,1460)),N(INDEX('2030'!$AB:$AB,1460))))</f>
        <v/>
      </c>
      <c r="AG10" s="128">
        <f>IF($B10="","",CHOOSE(IFERROR(MATCH($C$4,Setup!$K$33:$K$36,0),1),N(INDEX('2027'!$AB:$AB,1510)),N(INDEX('2028'!$AB:$AB,1510)),N(INDEX('2029'!$AB:$AB,1510)),N(INDEX('2030'!$AB:$AB,1510))))</f>
        <v/>
      </c>
      <c r="AH10" s="128">
        <f>IF($B10="","",CHOOSE(IFERROR(MATCH($C$4,Setup!$K$33:$K$36,0),1),N(INDEX('2027'!$AB:$AB,1560)),N(INDEX('2028'!$AB:$AB,1560)),N(INDEX('2029'!$AB:$AB,1560)),N(INDEX('2030'!$AB:$AB,1560))))</f>
        <v/>
      </c>
      <c r="AI10" s="128">
        <f>IF($B10="","",CHOOSE(IFERROR(MATCH($C$4,Setup!$K$33:$K$36,0),1),N(INDEX('2027'!$AB:$AB,1610)),N(INDEX('2028'!$AB:$AB,1610)),N(INDEX('2029'!$AB:$AB,1610)),N(INDEX('2030'!$AB:$AB,1610))))</f>
        <v/>
      </c>
      <c r="AJ10" s="128">
        <f>IF($B10="","",CHOOSE(IFERROR(MATCH($C$4,Setup!$K$33:$K$36,0),1),N(INDEX('2027'!$AB:$AB,1660)),N(INDEX('2028'!$AB:$AB,1660)),N(INDEX('2029'!$AB:$AB,1660)),N(INDEX('2030'!$AB:$AB,1660))))</f>
        <v/>
      </c>
      <c r="AK10" s="128">
        <f>IF($B10="","",CHOOSE(IFERROR(MATCH($C$4,Setup!$K$33:$K$36,0),1),N(INDEX('2027'!$AB:$AB,1710)),N(INDEX('2028'!$AB:$AB,1710)),N(INDEX('2029'!$AB:$AB,1710)),N(INDEX('2030'!$AB:$AB,1710))))</f>
        <v/>
      </c>
      <c r="AL10" s="128">
        <f>IF($B10="","",CHOOSE(IFERROR(MATCH($C$4,Setup!$K$33:$K$36,0),1),N(INDEX('2027'!$AB:$AB,1760)),N(INDEX('2028'!$AB:$AB,1760)),N(INDEX('2029'!$AB:$AB,1760)),N(INDEX('2030'!$AB:$AB,1760))))</f>
        <v/>
      </c>
      <c r="AM10" s="128">
        <f>IF($B10="","",CHOOSE(IFERROR(MATCH($C$4,Setup!$K$33:$K$36,0),1),N(INDEX('2027'!$AB:$AB,1810)),N(INDEX('2028'!$AB:$AB,1810)),N(INDEX('2029'!$AB:$AB,1810)),N(INDEX('2030'!$AB:$AB,1810))))</f>
        <v/>
      </c>
      <c r="AN10" s="128">
        <f>IF($B10="","",CHOOSE(IFERROR(MATCH($C$4,Setup!$K$33:$K$36,0),1),N(INDEX('2027'!$AB:$AB,1860)),N(INDEX('2028'!$AB:$AB,1860)),N(INDEX('2029'!$AB:$AB,1860)),N(INDEX('2030'!$AB:$AB,1860))))</f>
        <v/>
      </c>
      <c r="AO10" s="128">
        <f>IF($B10="","",CHOOSE(IFERROR(MATCH($C$4,Setup!$K$33:$K$36,0),1),N(INDEX('2027'!$AB:$AB,1910)),N(INDEX('2028'!$AB:$AB,1910)),N(INDEX('2029'!$AB:$AB,1910)),N(INDEX('2030'!$AB:$AB,1910))))</f>
        <v/>
      </c>
      <c r="AP10" s="128">
        <f>IF($B10="","",CHOOSE(IFERROR(MATCH($C$4,Setup!$K$33:$K$36,0),1),N(INDEX('2027'!$AB:$AB,1960)),N(INDEX('2028'!$AB:$AB,1960)),N(INDEX('2029'!$AB:$AB,1960)),N(INDEX('2030'!$AB:$AB,1960))))</f>
        <v/>
      </c>
      <c r="AQ10" s="128">
        <f>IF($B10="","",CHOOSE(IFERROR(MATCH($C$4,Setup!$K$33:$K$36,0),1),N(INDEX('2027'!$AB:$AB,2010)),N(INDEX('2028'!$AB:$AB,2010)),N(INDEX('2029'!$AB:$AB,2010)),N(INDEX('2030'!$AB:$AB,2010))))</f>
        <v/>
      </c>
      <c r="AR10" s="128">
        <f>IF($B10="","",CHOOSE(IFERROR(MATCH($C$4,Setup!$K$33:$K$36,0),1),N(INDEX('2027'!$AB:$AB,2060)),N(INDEX('2028'!$AB:$AB,2060)),N(INDEX('2029'!$AB:$AB,2060)),N(INDEX('2030'!$AB:$AB,2060))))</f>
        <v/>
      </c>
      <c r="AS10" s="128">
        <f>IF($B10="","",CHOOSE(IFERROR(MATCH($C$4,Setup!$K$33:$K$36,0),1),N(INDEX('2027'!$AB:$AB,2110)),N(INDEX('2028'!$AB:$AB,2110)),N(INDEX('2029'!$AB:$AB,2110)),N(INDEX('2030'!$AB:$AB,2110))))</f>
        <v/>
      </c>
      <c r="AT10" s="128">
        <f>IF($B10="","",CHOOSE(IFERROR(MATCH($C$4,Setup!$K$33:$K$36,0),1),N(INDEX('2027'!$AB:$AB,2160)),N(INDEX('2028'!$AB:$AB,2160)),N(INDEX('2029'!$AB:$AB,2160)),N(INDEX('2030'!$AB:$AB,2160))))</f>
        <v/>
      </c>
      <c r="AU10" s="128">
        <f>IF($B10="","",CHOOSE(IFERROR(MATCH($C$4,Setup!$K$33:$K$36,0),1),N(INDEX('2027'!$AB:$AB,2210)),N(INDEX('2028'!$AB:$AB,2210)),N(INDEX('2029'!$AB:$AB,2210)),N(INDEX('2030'!$AB:$AB,2210))))</f>
        <v/>
      </c>
      <c r="AV10" s="128">
        <f>IF($B10="","",CHOOSE(IFERROR(MATCH($C$4,Setup!$K$33:$K$36,0),1),N(INDEX('2027'!$AB:$AB,2260)),N(INDEX('2028'!$AB:$AB,2260)),N(INDEX('2029'!$AB:$AB,2260)),N(INDEX('2030'!$AB:$AB,2260))))</f>
        <v/>
      </c>
      <c r="AW10" s="128">
        <f>IF($B10="","",CHOOSE(IFERROR(MATCH($C$4,Setup!$K$33:$K$36,0),1),N(INDEX('2027'!$AB:$AB,2310)),N(INDEX('2028'!$AB:$AB,2310)),N(INDEX('2029'!$AB:$AB,2310)),N(INDEX('2030'!$AB:$AB,2310))))</f>
        <v/>
      </c>
      <c r="AX10" s="128">
        <f>IF($B10="","",CHOOSE(IFERROR(MATCH($C$4,Setup!$K$33:$K$36,0),1),N(INDEX('2027'!$AB:$AB,2360)),N(INDEX('2028'!$AB:$AB,2360)),N(INDEX('2029'!$AB:$AB,2360)),N(INDEX('2030'!$AB:$AB,2360))))</f>
        <v/>
      </c>
      <c r="AY10" s="128">
        <f>IF($B10="","",CHOOSE(IFERROR(MATCH($C$4,Setup!$K$33:$K$36,0),1),N(INDEX('2027'!$AB:$AB,2410)),N(INDEX('2028'!$AB:$AB,2410)),N(INDEX('2029'!$AB:$AB,2410)),N(INDEX('2030'!$AB:$AB,2410))))</f>
        <v/>
      </c>
      <c r="AZ10" s="128">
        <f>IF($B10="","",CHOOSE(IFERROR(MATCH($C$4,Setup!$K$33:$K$36,0),1),N(INDEX('2027'!$AB:$AB,2460)),N(INDEX('2028'!$AB:$AB,2460)),N(INDEX('2029'!$AB:$AB,2460)),N(INDEX('2030'!$AB:$AB,2460))))</f>
        <v/>
      </c>
      <c r="BA10" s="128">
        <f>IF($B10="","",CHOOSE(IFERROR(MATCH($C$4,Setup!$K$33:$K$36,0),1),N(INDEX('2027'!$AB:$AB,2510)),N(INDEX('2028'!$AB:$AB,2510)),N(INDEX('2029'!$AB:$AB,2510)),N(INDEX('2030'!$AB:$AB,2510))))</f>
        <v/>
      </c>
      <c r="BB10" s="128">
        <f>IF($B10="","",CHOOSE(IFERROR(MATCH($C$4,Setup!$K$33:$K$36,0),1),N(INDEX('2027'!$AB:$AB,2560)),N(INDEX('2028'!$AB:$AB,2560)),N(INDEX('2029'!$AB:$AB,2560)),N(INDEX('2030'!$AB:$AB,2560))))</f>
        <v/>
      </c>
      <c r="BC10" s="128">
        <f>IF($B10="","",CHOOSE(IFERROR(MATCH($C$4,Setup!$K$33:$K$36,0),1),N(INDEX('2027'!$AB:$AB,2610)),N(INDEX('2028'!$AB:$AB,2610)),N(INDEX('2029'!$AB:$AB,2610)),N(INDEX('2030'!$AB:$AB,2610))))</f>
        <v/>
      </c>
      <c r="BE10" s="129">
        <f>IF($B10="","",SUM(C10:BC10))</f>
        <v/>
      </c>
      <c r="BF10" s="130">
        <f>IF($B10="","",COUNTIF(C10:BC10,"&gt;0"))</f>
        <v/>
      </c>
    </row>
    <row r="11" ht="15" customHeight="1">
      <c r="B11" s="127">
        <f>IF(Setup!$K$9="","",Setup!$K$9)</f>
        <v/>
      </c>
      <c r="C11" s="128">
        <f>IF($B11="","",CHOOSE(IFERROR(MATCH($C$4,Setup!$K$33:$K$36,0),1),N(INDEX('2027'!$AB:$AB,11)),N(INDEX('2028'!$AB:$AB,11)),N(INDEX('2029'!$AB:$AB,11)),N(INDEX('2030'!$AB:$AB,11))))</f>
        <v/>
      </c>
      <c r="D11" s="128">
        <f>IF($B11="","",CHOOSE(IFERROR(MATCH($C$4,Setup!$K$33:$K$36,0),1),N(INDEX('2027'!$AB:$AB,61)),N(INDEX('2028'!$AB:$AB,61)),N(INDEX('2029'!$AB:$AB,61)),N(INDEX('2030'!$AB:$AB,61))))</f>
        <v/>
      </c>
      <c r="E11" s="128">
        <f>IF($B11="","",CHOOSE(IFERROR(MATCH($C$4,Setup!$K$33:$K$36,0),1),N(INDEX('2027'!$AB:$AB,111)),N(INDEX('2028'!$AB:$AB,111)),N(INDEX('2029'!$AB:$AB,111)),N(INDEX('2030'!$AB:$AB,111))))</f>
        <v/>
      </c>
      <c r="F11" s="128">
        <f>IF($B11="","",CHOOSE(IFERROR(MATCH($C$4,Setup!$K$33:$K$36,0),1),N(INDEX('2027'!$AB:$AB,161)),N(INDEX('2028'!$AB:$AB,161)),N(INDEX('2029'!$AB:$AB,161)),N(INDEX('2030'!$AB:$AB,161))))</f>
        <v/>
      </c>
      <c r="G11" s="128">
        <f>IF($B11="","",CHOOSE(IFERROR(MATCH($C$4,Setup!$K$33:$K$36,0),1),N(INDEX('2027'!$AB:$AB,211)),N(INDEX('2028'!$AB:$AB,211)),N(INDEX('2029'!$AB:$AB,211)),N(INDEX('2030'!$AB:$AB,211))))</f>
        <v/>
      </c>
      <c r="H11" s="128">
        <f>IF($B11="","",CHOOSE(IFERROR(MATCH($C$4,Setup!$K$33:$K$36,0),1),N(INDEX('2027'!$AB:$AB,261)),N(INDEX('2028'!$AB:$AB,261)),N(INDEX('2029'!$AB:$AB,261)),N(INDEX('2030'!$AB:$AB,261))))</f>
        <v/>
      </c>
      <c r="I11" s="128">
        <f>IF($B11="","",CHOOSE(IFERROR(MATCH($C$4,Setup!$K$33:$K$36,0),1),N(INDEX('2027'!$AB:$AB,311)),N(INDEX('2028'!$AB:$AB,311)),N(INDEX('2029'!$AB:$AB,311)),N(INDEX('2030'!$AB:$AB,311))))</f>
        <v/>
      </c>
      <c r="J11" s="128">
        <f>IF($B11="","",CHOOSE(IFERROR(MATCH($C$4,Setup!$K$33:$K$36,0),1),N(INDEX('2027'!$AB:$AB,361)),N(INDEX('2028'!$AB:$AB,361)),N(INDEX('2029'!$AB:$AB,361)),N(INDEX('2030'!$AB:$AB,361))))</f>
        <v/>
      </c>
      <c r="K11" s="128">
        <f>IF($B11="","",CHOOSE(IFERROR(MATCH($C$4,Setup!$K$33:$K$36,0),1),N(INDEX('2027'!$AB:$AB,411)),N(INDEX('2028'!$AB:$AB,411)),N(INDEX('2029'!$AB:$AB,411)),N(INDEX('2030'!$AB:$AB,411))))</f>
        <v/>
      </c>
      <c r="L11" s="128">
        <f>IF($B11="","",CHOOSE(IFERROR(MATCH($C$4,Setup!$K$33:$K$36,0),1),N(INDEX('2027'!$AB:$AB,461)),N(INDEX('2028'!$AB:$AB,461)),N(INDEX('2029'!$AB:$AB,461)),N(INDEX('2030'!$AB:$AB,461))))</f>
        <v/>
      </c>
      <c r="M11" s="128">
        <f>IF($B11="","",CHOOSE(IFERROR(MATCH($C$4,Setup!$K$33:$K$36,0),1),N(INDEX('2027'!$AB:$AB,511)),N(INDEX('2028'!$AB:$AB,511)),N(INDEX('2029'!$AB:$AB,511)),N(INDEX('2030'!$AB:$AB,511))))</f>
        <v/>
      </c>
      <c r="N11" s="128">
        <f>IF($B11="","",CHOOSE(IFERROR(MATCH($C$4,Setup!$K$33:$K$36,0),1),N(INDEX('2027'!$AB:$AB,561)),N(INDEX('2028'!$AB:$AB,561)),N(INDEX('2029'!$AB:$AB,561)),N(INDEX('2030'!$AB:$AB,561))))</f>
        <v/>
      </c>
      <c r="O11" s="128">
        <f>IF($B11="","",CHOOSE(IFERROR(MATCH($C$4,Setup!$K$33:$K$36,0),1),N(INDEX('2027'!$AB:$AB,611)),N(INDEX('2028'!$AB:$AB,611)),N(INDEX('2029'!$AB:$AB,611)),N(INDEX('2030'!$AB:$AB,611))))</f>
        <v/>
      </c>
      <c r="P11" s="128">
        <f>IF($B11="","",CHOOSE(IFERROR(MATCH($C$4,Setup!$K$33:$K$36,0),1),N(INDEX('2027'!$AB:$AB,661)),N(INDEX('2028'!$AB:$AB,661)),N(INDEX('2029'!$AB:$AB,661)),N(INDEX('2030'!$AB:$AB,661))))</f>
        <v/>
      </c>
      <c r="Q11" s="128">
        <f>IF($B11="","",CHOOSE(IFERROR(MATCH($C$4,Setup!$K$33:$K$36,0),1),N(INDEX('2027'!$AB:$AB,711)),N(INDEX('2028'!$AB:$AB,711)),N(INDEX('2029'!$AB:$AB,711)),N(INDEX('2030'!$AB:$AB,711))))</f>
        <v/>
      </c>
      <c r="R11" s="128">
        <f>IF($B11="","",CHOOSE(IFERROR(MATCH($C$4,Setup!$K$33:$K$36,0),1),N(INDEX('2027'!$AB:$AB,761)),N(INDEX('2028'!$AB:$AB,761)),N(INDEX('2029'!$AB:$AB,761)),N(INDEX('2030'!$AB:$AB,761))))</f>
        <v/>
      </c>
      <c r="S11" s="128">
        <f>IF($B11="","",CHOOSE(IFERROR(MATCH($C$4,Setup!$K$33:$K$36,0),1),N(INDEX('2027'!$AB:$AB,811)),N(INDEX('2028'!$AB:$AB,811)),N(INDEX('2029'!$AB:$AB,811)),N(INDEX('2030'!$AB:$AB,811))))</f>
        <v/>
      </c>
      <c r="T11" s="128">
        <f>IF($B11="","",CHOOSE(IFERROR(MATCH($C$4,Setup!$K$33:$K$36,0),1),N(INDEX('2027'!$AB:$AB,861)),N(INDEX('2028'!$AB:$AB,861)),N(INDEX('2029'!$AB:$AB,861)),N(INDEX('2030'!$AB:$AB,861))))</f>
        <v/>
      </c>
      <c r="U11" s="128">
        <f>IF($B11="","",CHOOSE(IFERROR(MATCH($C$4,Setup!$K$33:$K$36,0),1),N(INDEX('2027'!$AB:$AB,911)),N(INDEX('2028'!$AB:$AB,911)),N(INDEX('2029'!$AB:$AB,911)),N(INDEX('2030'!$AB:$AB,911))))</f>
        <v/>
      </c>
      <c r="V11" s="128">
        <f>IF($B11="","",CHOOSE(IFERROR(MATCH($C$4,Setup!$K$33:$K$36,0),1),N(INDEX('2027'!$AB:$AB,961)),N(INDEX('2028'!$AB:$AB,961)),N(INDEX('2029'!$AB:$AB,961)),N(INDEX('2030'!$AB:$AB,961))))</f>
        <v/>
      </c>
      <c r="W11" s="128">
        <f>IF($B11="","",CHOOSE(IFERROR(MATCH($C$4,Setup!$K$33:$K$36,0),1),N(INDEX('2027'!$AB:$AB,1011)),N(INDEX('2028'!$AB:$AB,1011)),N(INDEX('2029'!$AB:$AB,1011)),N(INDEX('2030'!$AB:$AB,1011))))</f>
        <v/>
      </c>
      <c r="X11" s="128">
        <f>IF($B11="","",CHOOSE(IFERROR(MATCH($C$4,Setup!$K$33:$K$36,0),1),N(INDEX('2027'!$AB:$AB,1061)),N(INDEX('2028'!$AB:$AB,1061)),N(INDEX('2029'!$AB:$AB,1061)),N(INDEX('2030'!$AB:$AB,1061))))</f>
        <v/>
      </c>
      <c r="Y11" s="128">
        <f>IF($B11="","",CHOOSE(IFERROR(MATCH($C$4,Setup!$K$33:$K$36,0),1),N(INDEX('2027'!$AB:$AB,1111)),N(INDEX('2028'!$AB:$AB,1111)),N(INDEX('2029'!$AB:$AB,1111)),N(INDEX('2030'!$AB:$AB,1111))))</f>
        <v/>
      </c>
      <c r="Z11" s="128">
        <f>IF($B11="","",CHOOSE(IFERROR(MATCH($C$4,Setup!$K$33:$K$36,0),1),N(INDEX('2027'!$AB:$AB,1161)),N(INDEX('2028'!$AB:$AB,1161)),N(INDEX('2029'!$AB:$AB,1161)),N(INDEX('2030'!$AB:$AB,1161))))</f>
        <v/>
      </c>
      <c r="AA11" s="128">
        <f>IF($B11="","",CHOOSE(IFERROR(MATCH($C$4,Setup!$K$33:$K$36,0),1),N(INDEX('2027'!$AB:$AB,1211)),N(INDEX('2028'!$AB:$AB,1211)),N(INDEX('2029'!$AB:$AB,1211)),N(INDEX('2030'!$AB:$AB,1211))))</f>
        <v/>
      </c>
      <c r="AB11" s="128">
        <f>IF($B11="","",CHOOSE(IFERROR(MATCH($C$4,Setup!$K$33:$K$36,0),1),N(INDEX('2027'!$AB:$AB,1261)),N(INDEX('2028'!$AB:$AB,1261)),N(INDEX('2029'!$AB:$AB,1261)),N(INDEX('2030'!$AB:$AB,1261))))</f>
        <v/>
      </c>
      <c r="AC11" s="128">
        <f>IF($B11="","",CHOOSE(IFERROR(MATCH($C$4,Setup!$K$33:$K$36,0),1),N(INDEX('2027'!$AB:$AB,1311)),N(INDEX('2028'!$AB:$AB,1311)),N(INDEX('2029'!$AB:$AB,1311)),N(INDEX('2030'!$AB:$AB,1311))))</f>
        <v/>
      </c>
      <c r="AD11" s="128">
        <f>IF($B11="","",CHOOSE(IFERROR(MATCH($C$4,Setup!$K$33:$K$36,0),1),N(INDEX('2027'!$AB:$AB,1361)),N(INDEX('2028'!$AB:$AB,1361)),N(INDEX('2029'!$AB:$AB,1361)),N(INDEX('2030'!$AB:$AB,1361))))</f>
        <v/>
      </c>
      <c r="AE11" s="128">
        <f>IF($B11="","",CHOOSE(IFERROR(MATCH($C$4,Setup!$K$33:$K$36,0),1),N(INDEX('2027'!$AB:$AB,1411)),N(INDEX('2028'!$AB:$AB,1411)),N(INDEX('2029'!$AB:$AB,1411)),N(INDEX('2030'!$AB:$AB,1411))))</f>
        <v/>
      </c>
      <c r="AF11" s="128">
        <f>IF($B11="","",CHOOSE(IFERROR(MATCH($C$4,Setup!$K$33:$K$36,0),1),N(INDEX('2027'!$AB:$AB,1461)),N(INDEX('2028'!$AB:$AB,1461)),N(INDEX('2029'!$AB:$AB,1461)),N(INDEX('2030'!$AB:$AB,1461))))</f>
        <v/>
      </c>
      <c r="AG11" s="128">
        <f>IF($B11="","",CHOOSE(IFERROR(MATCH($C$4,Setup!$K$33:$K$36,0),1),N(INDEX('2027'!$AB:$AB,1511)),N(INDEX('2028'!$AB:$AB,1511)),N(INDEX('2029'!$AB:$AB,1511)),N(INDEX('2030'!$AB:$AB,1511))))</f>
        <v/>
      </c>
      <c r="AH11" s="128">
        <f>IF($B11="","",CHOOSE(IFERROR(MATCH($C$4,Setup!$K$33:$K$36,0),1),N(INDEX('2027'!$AB:$AB,1561)),N(INDEX('2028'!$AB:$AB,1561)),N(INDEX('2029'!$AB:$AB,1561)),N(INDEX('2030'!$AB:$AB,1561))))</f>
        <v/>
      </c>
      <c r="AI11" s="128">
        <f>IF($B11="","",CHOOSE(IFERROR(MATCH($C$4,Setup!$K$33:$K$36,0),1),N(INDEX('2027'!$AB:$AB,1611)),N(INDEX('2028'!$AB:$AB,1611)),N(INDEX('2029'!$AB:$AB,1611)),N(INDEX('2030'!$AB:$AB,1611))))</f>
        <v/>
      </c>
      <c r="AJ11" s="128">
        <f>IF($B11="","",CHOOSE(IFERROR(MATCH($C$4,Setup!$K$33:$K$36,0),1),N(INDEX('2027'!$AB:$AB,1661)),N(INDEX('2028'!$AB:$AB,1661)),N(INDEX('2029'!$AB:$AB,1661)),N(INDEX('2030'!$AB:$AB,1661))))</f>
        <v/>
      </c>
      <c r="AK11" s="128">
        <f>IF($B11="","",CHOOSE(IFERROR(MATCH($C$4,Setup!$K$33:$K$36,0),1),N(INDEX('2027'!$AB:$AB,1711)),N(INDEX('2028'!$AB:$AB,1711)),N(INDEX('2029'!$AB:$AB,1711)),N(INDEX('2030'!$AB:$AB,1711))))</f>
        <v/>
      </c>
      <c r="AL11" s="128">
        <f>IF($B11="","",CHOOSE(IFERROR(MATCH($C$4,Setup!$K$33:$K$36,0),1),N(INDEX('2027'!$AB:$AB,1761)),N(INDEX('2028'!$AB:$AB,1761)),N(INDEX('2029'!$AB:$AB,1761)),N(INDEX('2030'!$AB:$AB,1761))))</f>
        <v/>
      </c>
      <c r="AM11" s="128">
        <f>IF($B11="","",CHOOSE(IFERROR(MATCH($C$4,Setup!$K$33:$K$36,0),1),N(INDEX('2027'!$AB:$AB,1811)),N(INDEX('2028'!$AB:$AB,1811)),N(INDEX('2029'!$AB:$AB,1811)),N(INDEX('2030'!$AB:$AB,1811))))</f>
        <v/>
      </c>
      <c r="AN11" s="128">
        <f>IF($B11="","",CHOOSE(IFERROR(MATCH($C$4,Setup!$K$33:$K$36,0),1),N(INDEX('2027'!$AB:$AB,1861)),N(INDEX('2028'!$AB:$AB,1861)),N(INDEX('2029'!$AB:$AB,1861)),N(INDEX('2030'!$AB:$AB,1861))))</f>
        <v/>
      </c>
      <c r="AO11" s="128">
        <f>IF($B11="","",CHOOSE(IFERROR(MATCH($C$4,Setup!$K$33:$K$36,0),1),N(INDEX('2027'!$AB:$AB,1911)),N(INDEX('2028'!$AB:$AB,1911)),N(INDEX('2029'!$AB:$AB,1911)),N(INDEX('2030'!$AB:$AB,1911))))</f>
        <v/>
      </c>
      <c r="AP11" s="128">
        <f>IF($B11="","",CHOOSE(IFERROR(MATCH($C$4,Setup!$K$33:$K$36,0),1),N(INDEX('2027'!$AB:$AB,1961)),N(INDEX('2028'!$AB:$AB,1961)),N(INDEX('2029'!$AB:$AB,1961)),N(INDEX('2030'!$AB:$AB,1961))))</f>
        <v/>
      </c>
      <c r="AQ11" s="128">
        <f>IF($B11="","",CHOOSE(IFERROR(MATCH($C$4,Setup!$K$33:$K$36,0),1),N(INDEX('2027'!$AB:$AB,2011)),N(INDEX('2028'!$AB:$AB,2011)),N(INDEX('2029'!$AB:$AB,2011)),N(INDEX('2030'!$AB:$AB,2011))))</f>
        <v/>
      </c>
      <c r="AR11" s="128">
        <f>IF($B11="","",CHOOSE(IFERROR(MATCH($C$4,Setup!$K$33:$K$36,0),1),N(INDEX('2027'!$AB:$AB,2061)),N(INDEX('2028'!$AB:$AB,2061)),N(INDEX('2029'!$AB:$AB,2061)),N(INDEX('2030'!$AB:$AB,2061))))</f>
        <v/>
      </c>
      <c r="AS11" s="128">
        <f>IF($B11="","",CHOOSE(IFERROR(MATCH($C$4,Setup!$K$33:$K$36,0),1),N(INDEX('2027'!$AB:$AB,2111)),N(INDEX('2028'!$AB:$AB,2111)),N(INDEX('2029'!$AB:$AB,2111)),N(INDEX('2030'!$AB:$AB,2111))))</f>
        <v/>
      </c>
      <c r="AT11" s="128">
        <f>IF($B11="","",CHOOSE(IFERROR(MATCH($C$4,Setup!$K$33:$K$36,0),1),N(INDEX('2027'!$AB:$AB,2161)),N(INDEX('2028'!$AB:$AB,2161)),N(INDEX('2029'!$AB:$AB,2161)),N(INDEX('2030'!$AB:$AB,2161))))</f>
        <v/>
      </c>
      <c r="AU11" s="128">
        <f>IF($B11="","",CHOOSE(IFERROR(MATCH($C$4,Setup!$K$33:$K$36,0),1),N(INDEX('2027'!$AB:$AB,2211)),N(INDEX('2028'!$AB:$AB,2211)),N(INDEX('2029'!$AB:$AB,2211)),N(INDEX('2030'!$AB:$AB,2211))))</f>
        <v/>
      </c>
      <c r="AV11" s="128">
        <f>IF($B11="","",CHOOSE(IFERROR(MATCH($C$4,Setup!$K$33:$K$36,0),1),N(INDEX('2027'!$AB:$AB,2261)),N(INDEX('2028'!$AB:$AB,2261)),N(INDEX('2029'!$AB:$AB,2261)),N(INDEX('2030'!$AB:$AB,2261))))</f>
        <v/>
      </c>
      <c r="AW11" s="128">
        <f>IF($B11="","",CHOOSE(IFERROR(MATCH($C$4,Setup!$K$33:$K$36,0),1),N(INDEX('2027'!$AB:$AB,2311)),N(INDEX('2028'!$AB:$AB,2311)),N(INDEX('2029'!$AB:$AB,2311)),N(INDEX('2030'!$AB:$AB,2311))))</f>
        <v/>
      </c>
      <c r="AX11" s="128">
        <f>IF($B11="","",CHOOSE(IFERROR(MATCH($C$4,Setup!$K$33:$K$36,0),1),N(INDEX('2027'!$AB:$AB,2361)),N(INDEX('2028'!$AB:$AB,2361)),N(INDEX('2029'!$AB:$AB,2361)),N(INDEX('2030'!$AB:$AB,2361))))</f>
        <v/>
      </c>
      <c r="AY11" s="128">
        <f>IF($B11="","",CHOOSE(IFERROR(MATCH($C$4,Setup!$K$33:$K$36,0),1),N(INDEX('2027'!$AB:$AB,2411)),N(INDEX('2028'!$AB:$AB,2411)),N(INDEX('2029'!$AB:$AB,2411)),N(INDEX('2030'!$AB:$AB,2411))))</f>
        <v/>
      </c>
      <c r="AZ11" s="128">
        <f>IF($B11="","",CHOOSE(IFERROR(MATCH($C$4,Setup!$K$33:$K$36,0),1),N(INDEX('2027'!$AB:$AB,2461)),N(INDEX('2028'!$AB:$AB,2461)),N(INDEX('2029'!$AB:$AB,2461)),N(INDEX('2030'!$AB:$AB,2461))))</f>
        <v/>
      </c>
      <c r="BA11" s="128">
        <f>IF($B11="","",CHOOSE(IFERROR(MATCH($C$4,Setup!$K$33:$K$36,0),1),N(INDEX('2027'!$AB:$AB,2511)),N(INDEX('2028'!$AB:$AB,2511)),N(INDEX('2029'!$AB:$AB,2511)),N(INDEX('2030'!$AB:$AB,2511))))</f>
        <v/>
      </c>
      <c r="BB11" s="128">
        <f>IF($B11="","",CHOOSE(IFERROR(MATCH($C$4,Setup!$K$33:$K$36,0),1),N(INDEX('2027'!$AB:$AB,2561)),N(INDEX('2028'!$AB:$AB,2561)),N(INDEX('2029'!$AB:$AB,2561)),N(INDEX('2030'!$AB:$AB,2561))))</f>
        <v/>
      </c>
      <c r="BC11" s="128">
        <f>IF($B11="","",CHOOSE(IFERROR(MATCH($C$4,Setup!$K$33:$K$36,0),1),N(INDEX('2027'!$AB:$AB,2611)),N(INDEX('2028'!$AB:$AB,2611)),N(INDEX('2029'!$AB:$AB,2611)),N(INDEX('2030'!$AB:$AB,2611))))</f>
        <v/>
      </c>
      <c r="BE11" s="129">
        <f>IF($B11="","",SUM(C11:BC11))</f>
        <v/>
      </c>
      <c r="BF11" s="130">
        <f>IF($B11="","",COUNTIF(C11:BC11,"&gt;0"))</f>
        <v/>
      </c>
    </row>
    <row r="12" ht="15" customHeight="1">
      <c r="B12" s="127">
        <f>IF(Setup!$K$10="","",Setup!$K$10)</f>
        <v/>
      </c>
      <c r="C12" s="128">
        <f>IF($B12="","",CHOOSE(IFERROR(MATCH($C$4,Setup!$K$33:$K$36,0),1),N(INDEX('2027'!$AB:$AB,12)),N(INDEX('2028'!$AB:$AB,12)),N(INDEX('2029'!$AB:$AB,12)),N(INDEX('2030'!$AB:$AB,12))))</f>
        <v/>
      </c>
      <c r="D12" s="128">
        <f>IF($B12="","",CHOOSE(IFERROR(MATCH($C$4,Setup!$K$33:$K$36,0),1),N(INDEX('2027'!$AB:$AB,62)),N(INDEX('2028'!$AB:$AB,62)),N(INDEX('2029'!$AB:$AB,62)),N(INDEX('2030'!$AB:$AB,62))))</f>
        <v/>
      </c>
      <c r="E12" s="128">
        <f>IF($B12="","",CHOOSE(IFERROR(MATCH($C$4,Setup!$K$33:$K$36,0),1),N(INDEX('2027'!$AB:$AB,112)),N(INDEX('2028'!$AB:$AB,112)),N(INDEX('2029'!$AB:$AB,112)),N(INDEX('2030'!$AB:$AB,112))))</f>
        <v/>
      </c>
      <c r="F12" s="128">
        <f>IF($B12="","",CHOOSE(IFERROR(MATCH($C$4,Setup!$K$33:$K$36,0),1),N(INDEX('2027'!$AB:$AB,162)),N(INDEX('2028'!$AB:$AB,162)),N(INDEX('2029'!$AB:$AB,162)),N(INDEX('2030'!$AB:$AB,162))))</f>
        <v/>
      </c>
      <c r="G12" s="128">
        <f>IF($B12="","",CHOOSE(IFERROR(MATCH($C$4,Setup!$K$33:$K$36,0),1),N(INDEX('2027'!$AB:$AB,212)),N(INDEX('2028'!$AB:$AB,212)),N(INDEX('2029'!$AB:$AB,212)),N(INDEX('2030'!$AB:$AB,212))))</f>
        <v/>
      </c>
      <c r="H12" s="128">
        <f>IF($B12="","",CHOOSE(IFERROR(MATCH($C$4,Setup!$K$33:$K$36,0),1),N(INDEX('2027'!$AB:$AB,262)),N(INDEX('2028'!$AB:$AB,262)),N(INDEX('2029'!$AB:$AB,262)),N(INDEX('2030'!$AB:$AB,262))))</f>
        <v/>
      </c>
      <c r="I12" s="128">
        <f>IF($B12="","",CHOOSE(IFERROR(MATCH($C$4,Setup!$K$33:$K$36,0),1),N(INDEX('2027'!$AB:$AB,312)),N(INDEX('2028'!$AB:$AB,312)),N(INDEX('2029'!$AB:$AB,312)),N(INDEX('2030'!$AB:$AB,312))))</f>
        <v/>
      </c>
      <c r="J12" s="128">
        <f>IF($B12="","",CHOOSE(IFERROR(MATCH($C$4,Setup!$K$33:$K$36,0),1),N(INDEX('2027'!$AB:$AB,362)),N(INDEX('2028'!$AB:$AB,362)),N(INDEX('2029'!$AB:$AB,362)),N(INDEX('2030'!$AB:$AB,362))))</f>
        <v/>
      </c>
      <c r="K12" s="128">
        <f>IF($B12="","",CHOOSE(IFERROR(MATCH($C$4,Setup!$K$33:$K$36,0),1),N(INDEX('2027'!$AB:$AB,412)),N(INDEX('2028'!$AB:$AB,412)),N(INDEX('2029'!$AB:$AB,412)),N(INDEX('2030'!$AB:$AB,412))))</f>
        <v/>
      </c>
      <c r="L12" s="128">
        <f>IF($B12="","",CHOOSE(IFERROR(MATCH($C$4,Setup!$K$33:$K$36,0),1),N(INDEX('2027'!$AB:$AB,462)),N(INDEX('2028'!$AB:$AB,462)),N(INDEX('2029'!$AB:$AB,462)),N(INDEX('2030'!$AB:$AB,462))))</f>
        <v/>
      </c>
      <c r="M12" s="128">
        <f>IF($B12="","",CHOOSE(IFERROR(MATCH($C$4,Setup!$K$33:$K$36,0),1),N(INDEX('2027'!$AB:$AB,512)),N(INDEX('2028'!$AB:$AB,512)),N(INDEX('2029'!$AB:$AB,512)),N(INDEX('2030'!$AB:$AB,512))))</f>
        <v/>
      </c>
      <c r="N12" s="128">
        <f>IF($B12="","",CHOOSE(IFERROR(MATCH($C$4,Setup!$K$33:$K$36,0),1),N(INDEX('2027'!$AB:$AB,562)),N(INDEX('2028'!$AB:$AB,562)),N(INDEX('2029'!$AB:$AB,562)),N(INDEX('2030'!$AB:$AB,562))))</f>
        <v/>
      </c>
      <c r="O12" s="128">
        <f>IF($B12="","",CHOOSE(IFERROR(MATCH($C$4,Setup!$K$33:$K$36,0),1),N(INDEX('2027'!$AB:$AB,612)),N(INDEX('2028'!$AB:$AB,612)),N(INDEX('2029'!$AB:$AB,612)),N(INDEX('2030'!$AB:$AB,612))))</f>
        <v/>
      </c>
      <c r="P12" s="128">
        <f>IF($B12="","",CHOOSE(IFERROR(MATCH($C$4,Setup!$K$33:$K$36,0),1),N(INDEX('2027'!$AB:$AB,662)),N(INDEX('2028'!$AB:$AB,662)),N(INDEX('2029'!$AB:$AB,662)),N(INDEX('2030'!$AB:$AB,662))))</f>
        <v/>
      </c>
      <c r="Q12" s="128">
        <f>IF($B12="","",CHOOSE(IFERROR(MATCH($C$4,Setup!$K$33:$K$36,0),1),N(INDEX('2027'!$AB:$AB,712)),N(INDEX('2028'!$AB:$AB,712)),N(INDEX('2029'!$AB:$AB,712)),N(INDEX('2030'!$AB:$AB,712))))</f>
        <v/>
      </c>
      <c r="R12" s="128">
        <f>IF($B12="","",CHOOSE(IFERROR(MATCH($C$4,Setup!$K$33:$K$36,0),1),N(INDEX('2027'!$AB:$AB,762)),N(INDEX('2028'!$AB:$AB,762)),N(INDEX('2029'!$AB:$AB,762)),N(INDEX('2030'!$AB:$AB,762))))</f>
        <v/>
      </c>
      <c r="S12" s="128">
        <f>IF($B12="","",CHOOSE(IFERROR(MATCH($C$4,Setup!$K$33:$K$36,0),1),N(INDEX('2027'!$AB:$AB,812)),N(INDEX('2028'!$AB:$AB,812)),N(INDEX('2029'!$AB:$AB,812)),N(INDEX('2030'!$AB:$AB,812))))</f>
        <v/>
      </c>
      <c r="T12" s="128">
        <f>IF($B12="","",CHOOSE(IFERROR(MATCH($C$4,Setup!$K$33:$K$36,0),1),N(INDEX('2027'!$AB:$AB,862)),N(INDEX('2028'!$AB:$AB,862)),N(INDEX('2029'!$AB:$AB,862)),N(INDEX('2030'!$AB:$AB,862))))</f>
        <v/>
      </c>
      <c r="U12" s="128">
        <f>IF($B12="","",CHOOSE(IFERROR(MATCH($C$4,Setup!$K$33:$K$36,0),1),N(INDEX('2027'!$AB:$AB,912)),N(INDEX('2028'!$AB:$AB,912)),N(INDEX('2029'!$AB:$AB,912)),N(INDEX('2030'!$AB:$AB,912))))</f>
        <v/>
      </c>
      <c r="V12" s="128">
        <f>IF($B12="","",CHOOSE(IFERROR(MATCH($C$4,Setup!$K$33:$K$36,0),1),N(INDEX('2027'!$AB:$AB,962)),N(INDEX('2028'!$AB:$AB,962)),N(INDEX('2029'!$AB:$AB,962)),N(INDEX('2030'!$AB:$AB,962))))</f>
        <v/>
      </c>
      <c r="W12" s="128">
        <f>IF($B12="","",CHOOSE(IFERROR(MATCH($C$4,Setup!$K$33:$K$36,0),1),N(INDEX('2027'!$AB:$AB,1012)),N(INDEX('2028'!$AB:$AB,1012)),N(INDEX('2029'!$AB:$AB,1012)),N(INDEX('2030'!$AB:$AB,1012))))</f>
        <v/>
      </c>
      <c r="X12" s="128">
        <f>IF($B12="","",CHOOSE(IFERROR(MATCH($C$4,Setup!$K$33:$K$36,0),1),N(INDEX('2027'!$AB:$AB,1062)),N(INDEX('2028'!$AB:$AB,1062)),N(INDEX('2029'!$AB:$AB,1062)),N(INDEX('2030'!$AB:$AB,1062))))</f>
        <v/>
      </c>
      <c r="Y12" s="128">
        <f>IF($B12="","",CHOOSE(IFERROR(MATCH($C$4,Setup!$K$33:$K$36,0),1),N(INDEX('2027'!$AB:$AB,1112)),N(INDEX('2028'!$AB:$AB,1112)),N(INDEX('2029'!$AB:$AB,1112)),N(INDEX('2030'!$AB:$AB,1112))))</f>
        <v/>
      </c>
      <c r="Z12" s="128">
        <f>IF($B12="","",CHOOSE(IFERROR(MATCH($C$4,Setup!$K$33:$K$36,0),1),N(INDEX('2027'!$AB:$AB,1162)),N(INDEX('2028'!$AB:$AB,1162)),N(INDEX('2029'!$AB:$AB,1162)),N(INDEX('2030'!$AB:$AB,1162))))</f>
        <v/>
      </c>
      <c r="AA12" s="128">
        <f>IF($B12="","",CHOOSE(IFERROR(MATCH($C$4,Setup!$K$33:$K$36,0),1),N(INDEX('2027'!$AB:$AB,1212)),N(INDEX('2028'!$AB:$AB,1212)),N(INDEX('2029'!$AB:$AB,1212)),N(INDEX('2030'!$AB:$AB,1212))))</f>
        <v/>
      </c>
      <c r="AB12" s="128">
        <f>IF($B12="","",CHOOSE(IFERROR(MATCH($C$4,Setup!$K$33:$K$36,0),1),N(INDEX('2027'!$AB:$AB,1262)),N(INDEX('2028'!$AB:$AB,1262)),N(INDEX('2029'!$AB:$AB,1262)),N(INDEX('2030'!$AB:$AB,1262))))</f>
        <v/>
      </c>
      <c r="AC12" s="128">
        <f>IF($B12="","",CHOOSE(IFERROR(MATCH($C$4,Setup!$K$33:$K$36,0),1),N(INDEX('2027'!$AB:$AB,1312)),N(INDEX('2028'!$AB:$AB,1312)),N(INDEX('2029'!$AB:$AB,1312)),N(INDEX('2030'!$AB:$AB,1312))))</f>
        <v/>
      </c>
      <c r="AD12" s="128">
        <f>IF($B12="","",CHOOSE(IFERROR(MATCH($C$4,Setup!$K$33:$K$36,0),1),N(INDEX('2027'!$AB:$AB,1362)),N(INDEX('2028'!$AB:$AB,1362)),N(INDEX('2029'!$AB:$AB,1362)),N(INDEX('2030'!$AB:$AB,1362))))</f>
        <v/>
      </c>
      <c r="AE12" s="128">
        <f>IF($B12="","",CHOOSE(IFERROR(MATCH($C$4,Setup!$K$33:$K$36,0),1),N(INDEX('2027'!$AB:$AB,1412)),N(INDEX('2028'!$AB:$AB,1412)),N(INDEX('2029'!$AB:$AB,1412)),N(INDEX('2030'!$AB:$AB,1412))))</f>
        <v/>
      </c>
      <c r="AF12" s="128">
        <f>IF($B12="","",CHOOSE(IFERROR(MATCH($C$4,Setup!$K$33:$K$36,0),1),N(INDEX('2027'!$AB:$AB,1462)),N(INDEX('2028'!$AB:$AB,1462)),N(INDEX('2029'!$AB:$AB,1462)),N(INDEX('2030'!$AB:$AB,1462))))</f>
        <v/>
      </c>
      <c r="AG12" s="128">
        <f>IF($B12="","",CHOOSE(IFERROR(MATCH($C$4,Setup!$K$33:$K$36,0),1),N(INDEX('2027'!$AB:$AB,1512)),N(INDEX('2028'!$AB:$AB,1512)),N(INDEX('2029'!$AB:$AB,1512)),N(INDEX('2030'!$AB:$AB,1512))))</f>
        <v/>
      </c>
      <c r="AH12" s="128">
        <f>IF($B12="","",CHOOSE(IFERROR(MATCH($C$4,Setup!$K$33:$K$36,0),1),N(INDEX('2027'!$AB:$AB,1562)),N(INDEX('2028'!$AB:$AB,1562)),N(INDEX('2029'!$AB:$AB,1562)),N(INDEX('2030'!$AB:$AB,1562))))</f>
        <v/>
      </c>
      <c r="AI12" s="128">
        <f>IF($B12="","",CHOOSE(IFERROR(MATCH($C$4,Setup!$K$33:$K$36,0),1),N(INDEX('2027'!$AB:$AB,1612)),N(INDEX('2028'!$AB:$AB,1612)),N(INDEX('2029'!$AB:$AB,1612)),N(INDEX('2030'!$AB:$AB,1612))))</f>
        <v/>
      </c>
      <c r="AJ12" s="128">
        <f>IF($B12="","",CHOOSE(IFERROR(MATCH($C$4,Setup!$K$33:$K$36,0),1),N(INDEX('2027'!$AB:$AB,1662)),N(INDEX('2028'!$AB:$AB,1662)),N(INDEX('2029'!$AB:$AB,1662)),N(INDEX('2030'!$AB:$AB,1662))))</f>
        <v/>
      </c>
      <c r="AK12" s="128">
        <f>IF($B12="","",CHOOSE(IFERROR(MATCH($C$4,Setup!$K$33:$K$36,0),1),N(INDEX('2027'!$AB:$AB,1712)),N(INDEX('2028'!$AB:$AB,1712)),N(INDEX('2029'!$AB:$AB,1712)),N(INDEX('2030'!$AB:$AB,1712))))</f>
        <v/>
      </c>
      <c r="AL12" s="128">
        <f>IF($B12="","",CHOOSE(IFERROR(MATCH($C$4,Setup!$K$33:$K$36,0),1),N(INDEX('2027'!$AB:$AB,1762)),N(INDEX('2028'!$AB:$AB,1762)),N(INDEX('2029'!$AB:$AB,1762)),N(INDEX('2030'!$AB:$AB,1762))))</f>
        <v/>
      </c>
      <c r="AM12" s="128">
        <f>IF($B12="","",CHOOSE(IFERROR(MATCH($C$4,Setup!$K$33:$K$36,0),1),N(INDEX('2027'!$AB:$AB,1812)),N(INDEX('2028'!$AB:$AB,1812)),N(INDEX('2029'!$AB:$AB,1812)),N(INDEX('2030'!$AB:$AB,1812))))</f>
        <v/>
      </c>
      <c r="AN12" s="128">
        <f>IF($B12="","",CHOOSE(IFERROR(MATCH($C$4,Setup!$K$33:$K$36,0),1),N(INDEX('2027'!$AB:$AB,1862)),N(INDEX('2028'!$AB:$AB,1862)),N(INDEX('2029'!$AB:$AB,1862)),N(INDEX('2030'!$AB:$AB,1862))))</f>
        <v/>
      </c>
      <c r="AO12" s="128">
        <f>IF($B12="","",CHOOSE(IFERROR(MATCH($C$4,Setup!$K$33:$K$36,0),1),N(INDEX('2027'!$AB:$AB,1912)),N(INDEX('2028'!$AB:$AB,1912)),N(INDEX('2029'!$AB:$AB,1912)),N(INDEX('2030'!$AB:$AB,1912))))</f>
        <v/>
      </c>
      <c r="AP12" s="128">
        <f>IF($B12="","",CHOOSE(IFERROR(MATCH($C$4,Setup!$K$33:$K$36,0),1),N(INDEX('2027'!$AB:$AB,1962)),N(INDEX('2028'!$AB:$AB,1962)),N(INDEX('2029'!$AB:$AB,1962)),N(INDEX('2030'!$AB:$AB,1962))))</f>
        <v/>
      </c>
      <c r="AQ12" s="128">
        <f>IF($B12="","",CHOOSE(IFERROR(MATCH($C$4,Setup!$K$33:$K$36,0),1),N(INDEX('2027'!$AB:$AB,2012)),N(INDEX('2028'!$AB:$AB,2012)),N(INDEX('2029'!$AB:$AB,2012)),N(INDEX('2030'!$AB:$AB,2012))))</f>
        <v/>
      </c>
      <c r="AR12" s="128">
        <f>IF($B12="","",CHOOSE(IFERROR(MATCH($C$4,Setup!$K$33:$K$36,0),1),N(INDEX('2027'!$AB:$AB,2062)),N(INDEX('2028'!$AB:$AB,2062)),N(INDEX('2029'!$AB:$AB,2062)),N(INDEX('2030'!$AB:$AB,2062))))</f>
        <v/>
      </c>
      <c r="AS12" s="128">
        <f>IF($B12="","",CHOOSE(IFERROR(MATCH($C$4,Setup!$K$33:$K$36,0),1),N(INDEX('2027'!$AB:$AB,2112)),N(INDEX('2028'!$AB:$AB,2112)),N(INDEX('2029'!$AB:$AB,2112)),N(INDEX('2030'!$AB:$AB,2112))))</f>
        <v/>
      </c>
      <c r="AT12" s="128">
        <f>IF($B12="","",CHOOSE(IFERROR(MATCH($C$4,Setup!$K$33:$K$36,0),1),N(INDEX('2027'!$AB:$AB,2162)),N(INDEX('2028'!$AB:$AB,2162)),N(INDEX('2029'!$AB:$AB,2162)),N(INDEX('2030'!$AB:$AB,2162))))</f>
        <v/>
      </c>
      <c r="AU12" s="128">
        <f>IF($B12="","",CHOOSE(IFERROR(MATCH($C$4,Setup!$K$33:$K$36,0),1),N(INDEX('2027'!$AB:$AB,2212)),N(INDEX('2028'!$AB:$AB,2212)),N(INDEX('2029'!$AB:$AB,2212)),N(INDEX('2030'!$AB:$AB,2212))))</f>
        <v/>
      </c>
      <c r="AV12" s="128">
        <f>IF($B12="","",CHOOSE(IFERROR(MATCH($C$4,Setup!$K$33:$K$36,0),1),N(INDEX('2027'!$AB:$AB,2262)),N(INDEX('2028'!$AB:$AB,2262)),N(INDEX('2029'!$AB:$AB,2262)),N(INDEX('2030'!$AB:$AB,2262))))</f>
        <v/>
      </c>
      <c r="AW12" s="128">
        <f>IF($B12="","",CHOOSE(IFERROR(MATCH($C$4,Setup!$K$33:$K$36,0),1),N(INDEX('2027'!$AB:$AB,2312)),N(INDEX('2028'!$AB:$AB,2312)),N(INDEX('2029'!$AB:$AB,2312)),N(INDEX('2030'!$AB:$AB,2312))))</f>
        <v/>
      </c>
      <c r="AX12" s="128">
        <f>IF($B12="","",CHOOSE(IFERROR(MATCH($C$4,Setup!$K$33:$K$36,0),1),N(INDEX('2027'!$AB:$AB,2362)),N(INDEX('2028'!$AB:$AB,2362)),N(INDEX('2029'!$AB:$AB,2362)),N(INDEX('2030'!$AB:$AB,2362))))</f>
        <v/>
      </c>
      <c r="AY12" s="128">
        <f>IF($B12="","",CHOOSE(IFERROR(MATCH($C$4,Setup!$K$33:$K$36,0),1),N(INDEX('2027'!$AB:$AB,2412)),N(INDEX('2028'!$AB:$AB,2412)),N(INDEX('2029'!$AB:$AB,2412)),N(INDEX('2030'!$AB:$AB,2412))))</f>
        <v/>
      </c>
      <c r="AZ12" s="128">
        <f>IF($B12="","",CHOOSE(IFERROR(MATCH($C$4,Setup!$K$33:$K$36,0),1),N(INDEX('2027'!$AB:$AB,2462)),N(INDEX('2028'!$AB:$AB,2462)),N(INDEX('2029'!$AB:$AB,2462)),N(INDEX('2030'!$AB:$AB,2462))))</f>
        <v/>
      </c>
      <c r="BA12" s="128">
        <f>IF($B12="","",CHOOSE(IFERROR(MATCH($C$4,Setup!$K$33:$K$36,0),1),N(INDEX('2027'!$AB:$AB,2512)),N(INDEX('2028'!$AB:$AB,2512)),N(INDEX('2029'!$AB:$AB,2512)),N(INDEX('2030'!$AB:$AB,2512))))</f>
        <v/>
      </c>
      <c r="BB12" s="128">
        <f>IF($B12="","",CHOOSE(IFERROR(MATCH($C$4,Setup!$K$33:$K$36,0),1),N(INDEX('2027'!$AB:$AB,2562)),N(INDEX('2028'!$AB:$AB,2562)),N(INDEX('2029'!$AB:$AB,2562)),N(INDEX('2030'!$AB:$AB,2562))))</f>
        <v/>
      </c>
      <c r="BC12" s="128">
        <f>IF($B12="","",CHOOSE(IFERROR(MATCH($C$4,Setup!$K$33:$K$36,0),1),N(INDEX('2027'!$AB:$AB,2612)),N(INDEX('2028'!$AB:$AB,2612)),N(INDEX('2029'!$AB:$AB,2612)),N(INDEX('2030'!$AB:$AB,2612))))</f>
        <v/>
      </c>
      <c r="BE12" s="129">
        <f>IF($B12="","",SUM(C12:BC12))</f>
        <v/>
      </c>
      <c r="BF12" s="130">
        <f>IF($B12="","",COUNTIF(C12:BC12,"&gt;0"))</f>
        <v/>
      </c>
    </row>
    <row r="13" ht="15" customHeight="1">
      <c r="B13" s="127">
        <f>IF(Setup!$K$11="","",Setup!$K$11)</f>
        <v/>
      </c>
      <c r="C13" s="128">
        <f>IF($B13="","",CHOOSE(IFERROR(MATCH($C$4,Setup!$K$33:$K$36,0),1),N(INDEX('2027'!$AB:$AB,13)),N(INDEX('2028'!$AB:$AB,13)),N(INDEX('2029'!$AB:$AB,13)),N(INDEX('2030'!$AB:$AB,13))))</f>
        <v/>
      </c>
      <c r="D13" s="128">
        <f>IF($B13="","",CHOOSE(IFERROR(MATCH($C$4,Setup!$K$33:$K$36,0),1),N(INDEX('2027'!$AB:$AB,63)),N(INDEX('2028'!$AB:$AB,63)),N(INDEX('2029'!$AB:$AB,63)),N(INDEX('2030'!$AB:$AB,63))))</f>
        <v/>
      </c>
      <c r="E13" s="128">
        <f>IF($B13="","",CHOOSE(IFERROR(MATCH($C$4,Setup!$K$33:$K$36,0),1),N(INDEX('2027'!$AB:$AB,113)),N(INDEX('2028'!$AB:$AB,113)),N(INDEX('2029'!$AB:$AB,113)),N(INDEX('2030'!$AB:$AB,113))))</f>
        <v/>
      </c>
      <c r="F13" s="128">
        <f>IF($B13="","",CHOOSE(IFERROR(MATCH($C$4,Setup!$K$33:$K$36,0),1),N(INDEX('2027'!$AB:$AB,163)),N(INDEX('2028'!$AB:$AB,163)),N(INDEX('2029'!$AB:$AB,163)),N(INDEX('2030'!$AB:$AB,163))))</f>
        <v/>
      </c>
      <c r="G13" s="128">
        <f>IF($B13="","",CHOOSE(IFERROR(MATCH($C$4,Setup!$K$33:$K$36,0),1),N(INDEX('2027'!$AB:$AB,213)),N(INDEX('2028'!$AB:$AB,213)),N(INDEX('2029'!$AB:$AB,213)),N(INDEX('2030'!$AB:$AB,213))))</f>
        <v/>
      </c>
      <c r="H13" s="128">
        <f>IF($B13="","",CHOOSE(IFERROR(MATCH($C$4,Setup!$K$33:$K$36,0),1),N(INDEX('2027'!$AB:$AB,263)),N(INDEX('2028'!$AB:$AB,263)),N(INDEX('2029'!$AB:$AB,263)),N(INDEX('2030'!$AB:$AB,263))))</f>
        <v/>
      </c>
      <c r="I13" s="128">
        <f>IF($B13="","",CHOOSE(IFERROR(MATCH($C$4,Setup!$K$33:$K$36,0),1),N(INDEX('2027'!$AB:$AB,313)),N(INDEX('2028'!$AB:$AB,313)),N(INDEX('2029'!$AB:$AB,313)),N(INDEX('2030'!$AB:$AB,313))))</f>
        <v/>
      </c>
      <c r="J13" s="128">
        <f>IF($B13="","",CHOOSE(IFERROR(MATCH($C$4,Setup!$K$33:$K$36,0),1),N(INDEX('2027'!$AB:$AB,363)),N(INDEX('2028'!$AB:$AB,363)),N(INDEX('2029'!$AB:$AB,363)),N(INDEX('2030'!$AB:$AB,363))))</f>
        <v/>
      </c>
      <c r="K13" s="128">
        <f>IF($B13="","",CHOOSE(IFERROR(MATCH($C$4,Setup!$K$33:$K$36,0),1),N(INDEX('2027'!$AB:$AB,413)),N(INDEX('2028'!$AB:$AB,413)),N(INDEX('2029'!$AB:$AB,413)),N(INDEX('2030'!$AB:$AB,413))))</f>
        <v/>
      </c>
      <c r="L13" s="128">
        <f>IF($B13="","",CHOOSE(IFERROR(MATCH($C$4,Setup!$K$33:$K$36,0),1),N(INDEX('2027'!$AB:$AB,463)),N(INDEX('2028'!$AB:$AB,463)),N(INDEX('2029'!$AB:$AB,463)),N(INDEX('2030'!$AB:$AB,463))))</f>
        <v/>
      </c>
      <c r="M13" s="128">
        <f>IF($B13="","",CHOOSE(IFERROR(MATCH($C$4,Setup!$K$33:$K$36,0),1),N(INDEX('2027'!$AB:$AB,513)),N(INDEX('2028'!$AB:$AB,513)),N(INDEX('2029'!$AB:$AB,513)),N(INDEX('2030'!$AB:$AB,513))))</f>
        <v/>
      </c>
      <c r="N13" s="128">
        <f>IF($B13="","",CHOOSE(IFERROR(MATCH($C$4,Setup!$K$33:$K$36,0),1),N(INDEX('2027'!$AB:$AB,563)),N(INDEX('2028'!$AB:$AB,563)),N(INDEX('2029'!$AB:$AB,563)),N(INDEX('2030'!$AB:$AB,563))))</f>
        <v/>
      </c>
      <c r="O13" s="128">
        <f>IF($B13="","",CHOOSE(IFERROR(MATCH($C$4,Setup!$K$33:$K$36,0),1),N(INDEX('2027'!$AB:$AB,613)),N(INDEX('2028'!$AB:$AB,613)),N(INDEX('2029'!$AB:$AB,613)),N(INDEX('2030'!$AB:$AB,613))))</f>
        <v/>
      </c>
      <c r="P13" s="128">
        <f>IF($B13="","",CHOOSE(IFERROR(MATCH($C$4,Setup!$K$33:$K$36,0),1),N(INDEX('2027'!$AB:$AB,663)),N(INDEX('2028'!$AB:$AB,663)),N(INDEX('2029'!$AB:$AB,663)),N(INDEX('2030'!$AB:$AB,663))))</f>
        <v/>
      </c>
      <c r="Q13" s="128">
        <f>IF($B13="","",CHOOSE(IFERROR(MATCH($C$4,Setup!$K$33:$K$36,0),1),N(INDEX('2027'!$AB:$AB,713)),N(INDEX('2028'!$AB:$AB,713)),N(INDEX('2029'!$AB:$AB,713)),N(INDEX('2030'!$AB:$AB,713))))</f>
        <v/>
      </c>
      <c r="R13" s="128">
        <f>IF($B13="","",CHOOSE(IFERROR(MATCH($C$4,Setup!$K$33:$K$36,0),1),N(INDEX('2027'!$AB:$AB,763)),N(INDEX('2028'!$AB:$AB,763)),N(INDEX('2029'!$AB:$AB,763)),N(INDEX('2030'!$AB:$AB,763))))</f>
        <v/>
      </c>
      <c r="S13" s="128">
        <f>IF($B13="","",CHOOSE(IFERROR(MATCH($C$4,Setup!$K$33:$K$36,0),1),N(INDEX('2027'!$AB:$AB,813)),N(INDEX('2028'!$AB:$AB,813)),N(INDEX('2029'!$AB:$AB,813)),N(INDEX('2030'!$AB:$AB,813))))</f>
        <v/>
      </c>
      <c r="T13" s="128">
        <f>IF($B13="","",CHOOSE(IFERROR(MATCH($C$4,Setup!$K$33:$K$36,0),1),N(INDEX('2027'!$AB:$AB,863)),N(INDEX('2028'!$AB:$AB,863)),N(INDEX('2029'!$AB:$AB,863)),N(INDEX('2030'!$AB:$AB,863))))</f>
        <v/>
      </c>
      <c r="U13" s="128">
        <f>IF($B13="","",CHOOSE(IFERROR(MATCH($C$4,Setup!$K$33:$K$36,0),1),N(INDEX('2027'!$AB:$AB,913)),N(INDEX('2028'!$AB:$AB,913)),N(INDEX('2029'!$AB:$AB,913)),N(INDEX('2030'!$AB:$AB,913))))</f>
        <v/>
      </c>
      <c r="V13" s="128">
        <f>IF($B13="","",CHOOSE(IFERROR(MATCH($C$4,Setup!$K$33:$K$36,0),1),N(INDEX('2027'!$AB:$AB,963)),N(INDEX('2028'!$AB:$AB,963)),N(INDEX('2029'!$AB:$AB,963)),N(INDEX('2030'!$AB:$AB,963))))</f>
        <v/>
      </c>
      <c r="W13" s="128">
        <f>IF($B13="","",CHOOSE(IFERROR(MATCH($C$4,Setup!$K$33:$K$36,0),1),N(INDEX('2027'!$AB:$AB,1013)),N(INDEX('2028'!$AB:$AB,1013)),N(INDEX('2029'!$AB:$AB,1013)),N(INDEX('2030'!$AB:$AB,1013))))</f>
        <v/>
      </c>
      <c r="X13" s="128">
        <f>IF($B13="","",CHOOSE(IFERROR(MATCH($C$4,Setup!$K$33:$K$36,0),1),N(INDEX('2027'!$AB:$AB,1063)),N(INDEX('2028'!$AB:$AB,1063)),N(INDEX('2029'!$AB:$AB,1063)),N(INDEX('2030'!$AB:$AB,1063))))</f>
        <v/>
      </c>
      <c r="Y13" s="128">
        <f>IF($B13="","",CHOOSE(IFERROR(MATCH($C$4,Setup!$K$33:$K$36,0),1),N(INDEX('2027'!$AB:$AB,1113)),N(INDEX('2028'!$AB:$AB,1113)),N(INDEX('2029'!$AB:$AB,1113)),N(INDEX('2030'!$AB:$AB,1113))))</f>
        <v/>
      </c>
      <c r="Z13" s="128">
        <f>IF($B13="","",CHOOSE(IFERROR(MATCH($C$4,Setup!$K$33:$K$36,0),1),N(INDEX('2027'!$AB:$AB,1163)),N(INDEX('2028'!$AB:$AB,1163)),N(INDEX('2029'!$AB:$AB,1163)),N(INDEX('2030'!$AB:$AB,1163))))</f>
        <v/>
      </c>
      <c r="AA13" s="128">
        <f>IF($B13="","",CHOOSE(IFERROR(MATCH($C$4,Setup!$K$33:$K$36,0),1),N(INDEX('2027'!$AB:$AB,1213)),N(INDEX('2028'!$AB:$AB,1213)),N(INDEX('2029'!$AB:$AB,1213)),N(INDEX('2030'!$AB:$AB,1213))))</f>
        <v/>
      </c>
      <c r="AB13" s="128">
        <f>IF($B13="","",CHOOSE(IFERROR(MATCH($C$4,Setup!$K$33:$K$36,0),1),N(INDEX('2027'!$AB:$AB,1263)),N(INDEX('2028'!$AB:$AB,1263)),N(INDEX('2029'!$AB:$AB,1263)),N(INDEX('2030'!$AB:$AB,1263))))</f>
        <v/>
      </c>
      <c r="AC13" s="128">
        <f>IF($B13="","",CHOOSE(IFERROR(MATCH($C$4,Setup!$K$33:$K$36,0),1),N(INDEX('2027'!$AB:$AB,1313)),N(INDEX('2028'!$AB:$AB,1313)),N(INDEX('2029'!$AB:$AB,1313)),N(INDEX('2030'!$AB:$AB,1313))))</f>
        <v/>
      </c>
      <c r="AD13" s="128">
        <f>IF($B13="","",CHOOSE(IFERROR(MATCH($C$4,Setup!$K$33:$K$36,0),1),N(INDEX('2027'!$AB:$AB,1363)),N(INDEX('2028'!$AB:$AB,1363)),N(INDEX('2029'!$AB:$AB,1363)),N(INDEX('2030'!$AB:$AB,1363))))</f>
        <v/>
      </c>
      <c r="AE13" s="128">
        <f>IF($B13="","",CHOOSE(IFERROR(MATCH($C$4,Setup!$K$33:$K$36,0),1),N(INDEX('2027'!$AB:$AB,1413)),N(INDEX('2028'!$AB:$AB,1413)),N(INDEX('2029'!$AB:$AB,1413)),N(INDEX('2030'!$AB:$AB,1413))))</f>
        <v/>
      </c>
      <c r="AF13" s="128">
        <f>IF($B13="","",CHOOSE(IFERROR(MATCH($C$4,Setup!$K$33:$K$36,0),1),N(INDEX('2027'!$AB:$AB,1463)),N(INDEX('2028'!$AB:$AB,1463)),N(INDEX('2029'!$AB:$AB,1463)),N(INDEX('2030'!$AB:$AB,1463))))</f>
        <v/>
      </c>
      <c r="AG13" s="128">
        <f>IF($B13="","",CHOOSE(IFERROR(MATCH($C$4,Setup!$K$33:$K$36,0),1),N(INDEX('2027'!$AB:$AB,1513)),N(INDEX('2028'!$AB:$AB,1513)),N(INDEX('2029'!$AB:$AB,1513)),N(INDEX('2030'!$AB:$AB,1513))))</f>
        <v/>
      </c>
      <c r="AH13" s="128">
        <f>IF($B13="","",CHOOSE(IFERROR(MATCH($C$4,Setup!$K$33:$K$36,0),1),N(INDEX('2027'!$AB:$AB,1563)),N(INDEX('2028'!$AB:$AB,1563)),N(INDEX('2029'!$AB:$AB,1563)),N(INDEX('2030'!$AB:$AB,1563))))</f>
        <v/>
      </c>
      <c r="AI13" s="128">
        <f>IF($B13="","",CHOOSE(IFERROR(MATCH($C$4,Setup!$K$33:$K$36,0),1),N(INDEX('2027'!$AB:$AB,1613)),N(INDEX('2028'!$AB:$AB,1613)),N(INDEX('2029'!$AB:$AB,1613)),N(INDEX('2030'!$AB:$AB,1613))))</f>
        <v/>
      </c>
      <c r="AJ13" s="128">
        <f>IF($B13="","",CHOOSE(IFERROR(MATCH($C$4,Setup!$K$33:$K$36,0),1),N(INDEX('2027'!$AB:$AB,1663)),N(INDEX('2028'!$AB:$AB,1663)),N(INDEX('2029'!$AB:$AB,1663)),N(INDEX('2030'!$AB:$AB,1663))))</f>
        <v/>
      </c>
      <c r="AK13" s="128">
        <f>IF($B13="","",CHOOSE(IFERROR(MATCH($C$4,Setup!$K$33:$K$36,0),1),N(INDEX('2027'!$AB:$AB,1713)),N(INDEX('2028'!$AB:$AB,1713)),N(INDEX('2029'!$AB:$AB,1713)),N(INDEX('2030'!$AB:$AB,1713))))</f>
        <v/>
      </c>
      <c r="AL13" s="128">
        <f>IF($B13="","",CHOOSE(IFERROR(MATCH($C$4,Setup!$K$33:$K$36,0),1),N(INDEX('2027'!$AB:$AB,1763)),N(INDEX('2028'!$AB:$AB,1763)),N(INDEX('2029'!$AB:$AB,1763)),N(INDEX('2030'!$AB:$AB,1763))))</f>
        <v/>
      </c>
      <c r="AM13" s="128">
        <f>IF($B13="","",CHOOSE(IFERROR(MATCH($C$4,Setup!$K$33:$K$36,0),1),N(INDEX('2027'!$AB:$AB,1813)),N(INDEX('2028'!$AB:$AB,1813)),N(INDEX('2029'!$AB:$AB,1813)),N(INDEX('2030'!$AB:$AB,1813))))</f>
        <v/>
      </c>
      <c r="AN13" s="128">
        <f>IF($B13="","",CHOOSE(IFERROR(MATCH($C$4,Setup!$K$33:$K$36,0),1),N(INDEX('2027'!$AB:$AB,1863)),N(INDEX('2028'!$AB:$AB,1863)),N(INDEX('2029'!$AB:$AB,1863)),N(INDEX('2030'!$AB:$AB,1863))))</f>
        <v/>
      </c>
      <c r="AO13" s="128">
        <f>IF($B13="","",CHOOSE(IFERROR(MATCH($C$4,Setup!$K$33:$K$36,0),1),N(INDEX('2027'!$AB:$AB,1913)),N(INDEX('2028'!$AB:$AB,1913)),N(INDEX('2029'!$AB:$AB,1913)),N(INDEX('2030'!$AB:$AB,1913))))</f>
        <v/>
      </c>
      <c r="AP13" s="128">
        <f>IF($B13="","",CHOOSE(IFERROR(MATCH($C$4,Setup!$K$33:$K$36,0),1),N(INDEX('2027'!$AB:$AB,1963)),N(INDEX('2028'!$AB:$AB,1963)),N(INDEX('2029'!$AB:$AB,1963)),N(INDEX('2030'!$AB:$AB,1963))))</f>
        <v/>
      </c>
      <c r="AQ13" s="128">
        <f>IF($B13="","",CHOOSE(IFERROR(MATCH($C$4,Setup!$K$33:$K$36,0),1),N(INDEX('2027'!$AB:$AB,2013)),N(INDEX('2028'!$AB:$AB,2013)),N(INDEX('2029'!$AB:$AB,2013)),N(INDEX('2030'!$AB:$AB,2013))))</f>
        <v/>
      </c>
      <c r="AR13" s="128">
        <f>IF($B13="","",CHOOSE(IFERROR(MATCH($C$4,Setup!$K$33:$K$36,0),1),N(INDEX('2027'!$AB:$AB,2063)),N(INDEX('2028'!$AB:$AB,2063)),N(INDEX('2029'!$AB:$AB,2063)),N(INDEX('2030'!$AB:$AB,2063))))</f>
        <v/>
      </c>
      <c r="AS13" s="128">
        <f>IF($B13="","",CHOOSE(IFERROR(MATCH($C$4,Setup!$K$33:$K$36,0),1),N(INDEX('2027'!$AB:$AB,2113)),N(INDEX('2028'!$AB:$AB,2113)),N(INDEX('2029'!$AB:$AB,2113)),N(INDEX('2030'!$AB:$AB,2113))))</f>
        <v/>
      </c>
      <c r="AT13" s="128">
        <f>IF($B13="","",CHOOSE(IFERROR(MATCH($C$4,Setup!$K$33:$K$36,0),1),N(INDEX('2027'!$AB:$AB,2163)),N(INDEX('2028'!$AB:$AB,2163)),N(INDEX('2029'!$AB:$AB,2163)),N(INDEX('2030'!$AB:$AB,2163))))</f>
        <v/>
      </c>
      <c r="AU13" s="128">
        <f>IF($B13="","",CHOOSE(IFERROR(MATCH($C$4,Setup!$K$33:$K$36,0),1),N(INDEX('2027'!$AB:$AB,2213)),N(INDEX('2028'!$AB:$AB,2213)),N(INDEX('2029'!$AB:$AB,2213)),N(INDEX('2030'!$AB:$AB,2213))))</f>
        <v/>
      </c>
      <c r="AV13" s="128">
        <f>IF($B13="","",CHOOSE(IFERROR(MATCH($C$4,Setup!$K$33:$K$36,0),1),N(INDEX('2027'!$AB:$AB,2263)),N(INDEX('2028'!$AB:$AB,2263)),N(INDEX('2029'!$AB:$AB,2263)),N(INDEX('2030'!$AB:$AB,2263))))</f>
        <v/>
      </c>
      <c r="AW13" s="128">
        <f>IF($B13="","",CHOOSE(IFERROR(MATCH($C$4,Setup!$K$33:$K$36,0),1),N(INDEX('2027'!$AB:$AB,2313)),N(INDEX('2028'!$AB:$AB,2313)),N(INDEX('2029'!$AB:$AB,2313)),N(INDEX('2030'!$AB:$AB,2313))))</f>
        <v/>
      </c>
      <c r="AX13" s="128">
        <f>IF($B13="","",CHOOSE(IFERROR(MATCH($C$4,Setup!$K$33:$K$36,0),1),N(INDEX('2027'!$AB:$AB,2363)),N(INDEX('2028'!$AB:$AB,2363)),N(INDEX('2029'!$AB:$AB,2363)),N(INDEX('2030'!$AB:$AB,2363))))</f>
        <v/>
      </c>
      <c r="AY13" s="128">
        <f>IF($B13="","",CHOOSE(IFERROR(MATCH($C$4,Setup!$K$33:$K$36,0),1),N(INDEX('2027'!$AB:$AB,2413)),N(INDEX('2028'!$AB:$AB,2413)),N(INDEX('2029'!$AB:$AB,2413)),N(INDEX('2030'!$AB:$AB,2413))))</f>
        <v/>
      </c>
      <c r="AZ13" s="128">
        <f>IF($B13="","",CHOOSE(IFERROR(MATCH($C$4,Setup!$K$33:$K$36,0),1),N(INDEX('2027'!$AB:$AB,2463)),N(INDEX('2028'!$AB:$AB,2463)),N(INDEX('2029'!$AB:$AB,2463)),N(INDEX('2030'!$AB:$AB,2463))))</f>
        <v/>
      </c>
      <c r="BA13" s="128">
        <f>IF($B13="","",CHOOSE(IFERROR(MATCH($C$4,Setup!$K$33:$K$36,0),1),N(INDEX('2027'!$AB:$AB,2513)),N(INDEX('2028'!$AB:$AB,2513)),N(INDEX('2029'!$AB:$AB,2513)),N(INDEX('2030'!$AB:$AB,2513))))</f>
        <v/>
      </c>
      <c r="BB13" s="128">
        <f>IF($B13="","",CHOOSE(IFERROR(MATCH($C$4,Setup!$K$33:$K$36,0),1),N(INDEX('2027'!$AB:$AB,2563)),N(INDEX('2028'!$AB:$AB,2563)),N(INDEX('2029'!$AB:$AB,2563)),N(INDEX('2030'!$AB:$AB,2563))))</f>
        <v/>
      </c>
      <c r="BC13" s="128">
        <f>IF($B13="","",CHOOSE(IFERROR(MATCH($C$4,Setup!$K$33:$K$36,0),1),N(INDEX('2027'!$AB:$AB,2613)),N(INDEX('2028'!$AB:$AB,2613)),N(INDEX('2029'!$AB:$AB,2613)),N(INDEX('2030'!$AB:$AB,2613))))</f>
        <v/>
      </c>
      <c r="BE13" s="129">
        <f>IF($B13="","",SUM(C13:BC13))</f>
        <v/>
      </c>
      <c r="BF13" s="130">
        <f>IF($B13="","",COUNTIF(C13:BC13,"&gt;0"))</f>
        <v/>
      </c>
    </row>
    <row r="14" ht="15" customHeight="1">
      <c r="B14" s="127">
        <f>IF(Setup!$K$12="","",Setup!$K$12)</f>
        <v/>
      </c>
      <c r="C14" s="128">
        <f>IF($B14="","",CHOOSE(IFERROR(MATCH($C$4,Setup!$K$33:$K$36,0),1),N(INDEX('2027'!$AB:$AB,14)),N(INDEX('2028'!$AB:$AB,14)),N(INDEX('2029'!$AB:$AB,14)),N(INDEX('2030'!$AB:$AB,14))))</f>
        <v/>
      </c>
      <c r="D14" s="128">
        <f>IF($B14="","",CHOOSE(IFERROR(MATCH($C$4,Setup!$K$33:$K$36,0),1),N(INDEX('2027'!$AB:$AB,64)),N(INDEX('2028'!$AB:$AB,64)),N(INDEX('2029'!$AB:$AB,64)),N(INDEX('2030'!$AB:$AB,64))))</f>
        <v/>
      </c>
      <c r="E14" s="128">
        <f>IF($B14="","",CHOOSE(IFERROR(MATCH($C$4,Setup!$K$33:$K$36,0),1),N(INDEX('2027'!$AB:$AB,114)),N(INDEX('2028'!$AB:$AB,114)),N(INDEX('2029'!$AB:$AB,114)),N(INDEX('2030'!$AB:$AB,114))))</f>
        <v/>
      </c>
      <c r="F14" s="128">
        <f>IF($B14="","",CHOOSE(IFERROR(MATCH($C$4,Setup!$K$33:$K$36,0),1),N(INDEX('2027'!$AB:$AB,164)),N(INDEX('2028'!$AB:$AB,164)),N(INDEX('2029'!$AB:$AB,164)),N(INDEX('2030'!$AB:$AB,164))))</f>
        <v/>
      </c>
      <c r="G14" s="128">
        <f>IF($B14="","",CHOOSE(IFERROR(MATCH($C$4,Setup!$K$33:$K$36,0),1),N(INDEX('2027'!$AB:$AB,214)),N(INDEX('2028'!$AB:$AB,214)),N(INDEX('2029'!$AB:$AB,214)),N(INDEX('2030'!$AB:$AB,214))))</f>
        <v/>
      </c>
      <c r="H14" s="128">
        <f>IF($B14="","",CHOOSE(IFERROR(MATCH($C$4,Setup!$K$33:$K$36,0),1),N(INDEX('2027'!$AB:$AB,264)),N(INDEX('2028'!$AB:$AB,264)),N(INDEX('2029'!$AB:$AB,264)),N(INDEX('2030'!$AB:$AB,264))))</f>
        <v/>
      </c>
      <c r="I14" s="128">
        <f>IF($B14="","",CHOOSE(IFERROR(MATCH($C$4,Setup!$K$33:$K$36,0),1),N(INDEX('2027'!$AB:$AB,314)),N(INDEX('2028'!$AB:$AB,314)),N(INDEX('2029'!$AB:$AB,314)),N(INDEX('2030'!$AB:$AB,314))))</f>
        <v/>
      </c>
      <c r="J14" s="128">
        <f>IF($B14="","",CHOOSE(IFERROR(MATCH($C$4,Setup!$K$33:$K$36,0),1),N(INDEX('2027'!$AB:$AB,364)),N(INDEX('2028'!$AB:$AB,364)),N(INDEX('2029'!$AB:$AB,364)),N(INDEX('2030'!$AB:$AB,364))))</f>
        <v/>
      </c>
      <c r="K14" s="128">
        <f>IF($B14="","",CHOOSE(IFERROR(MATCH($C$4,Setup!$K$33:$K$36,0),1),N(INDEX('2027'!$AB:$AB,414)),N(INDEX('2028'!$AB:$AB,414)),N(INDEX('2029'!$AB:$AB,414)),N(INDEX('2030'!$AB:$AB,414))))</f>
        <v/>
      </c>
      <c r="L14" s="128">
        <f>IF($B14="","",CHOOSE(IFERROR(MATCH($C$4,Setup!$K$33:$K$36,0),1),N(INDEX('2027'!$AB:$AB,464)),N(INDEX('2028'!$AB:$AB,464)),N(INDEX('2029'!$AB:$AB,464)),N(INDEX('2030'!$AB:$AB,464))))</f>
        <v/>
      </c>
      <c r="M14" s="128">
        <f>IF($B14="","",CHOOSE(IFERROR(MATCH($C$4,Setup!$K$33:$K$36,0),1),N(INDEX('2027'!$AB:$AB,514)),N(INDEX('2028'!$AB:$AB,514)),N(INDEX('2029'!$AB:$AB,514)),N(INDEX('2030'!$AB:$AB,514))))</f>
        <v/>
      </c>
      <c r="N14" s="128">
        <f>IF($B14="","",CHOOSE(IFERROR(MATCH($C$4,Setup!$K$33:$K$36,0),1),N(INDEX('2027'!$AB:$AB,564)),N(INDEX('2028'!$AB:$AB,564)),N(INDEX('2029'!$AB:$AB,564)),N(INDEX('2030'!$AB:$AB,564))))</f>
        <v/>
      </c>
      <c r="O14" s="128">
        <f>IF($B14="","",CHOOSE(IFERROR(MATCH($C$4,Setup!$K$33:$K$36,0),1),N(INDEX('2027'!$AB:$AB,614)),N(INDEX('2028'!$AB:$AB,614)),N(INDEX('2029'!$AB:$AB,614)),N(INDEX('2030'!$AB:$AB,614))))</f>
        <v/>
      </c>
      <c r="P14" s="128">
        <f>IF($B14="","",CHOOSE(IFERROR(MATCH($C$4,Setup!$K$33:$K$36,0),1),N(INDEX('2027'!$AB:$AB,664)),N(INDEX('2028'!$AB:$AB,664)),N(INDEX('2029'!$AB:$AB,664)),N(INDEX('2030'!$AB:$AB,664))))</f>
        <v/>
      </c>
      <c r="Q14" s="128">
        <f>IF($B14="","",CHOOSE(IFERROR(MATCH($C$4,Setup!$K$33:$K$36,0),1),N(INDEX('2027'!$AB:$AB,714)),N(INDEX('2028'!$AB:$AB,714)),N(INDEX('2029'!$AB:$AB,714)),N(INDEX('2030'!$AB:$AB,714))))</f>
        <v/>
      </c>
      <c r="R14" s="128">
        <f>IF($B14="","",CHOOSE(IFERROR(MATCH($C$4,Setup!$K$33:$K$36,0),1),N(INDEX('2027'!$AB:$AB,764)),N(INDEX('2028'!$AB:$AB,764)),N(INDEX('2029'!$AB:$AB,764)),N(INDEX('2030'!$AB:$AB,764))))</f>
        <v/>
      </c>
      <c r="S14" s="128">
        <f>IF($B14="","",CHOOSE(IFERROR(MATCH($C$4,Setup!$K$33:$K$36,0),1),N(INDEX('2027'!$AB:$AB,814)),N(INDEX('2028'!$AB:$AB,814)),N(INDEX('2029'!$AB:$AB,814)),N(INDEX('2030'!$AB:$AB,814))))</f>
        <v/>
      </c>
      <c r="T14" s="128">
        <f>IF($B14="","",CHOOSE(IFERROR(MATCH($C$4,Setup!$K$33:$K$36,0),1),N(INDEX('2027'!$AB:$AB,864)),N(INDEX('2028'!$AB:$AB,864)),N(INDEX('2029'!$AB:$AB,864)),N(INDEX('2030'!$AB:$AB,864))))</f>
        <v/>
      </c>
      <c r="U14" s="128">
        <f>IF($B14="","",CHOOSE(IFERROR(MATCH($C$4,Setup!$K$33:$K$36,0),1),N(INDEX('2027'!$AB:$AB,914)),N(INDEX('2028'!$AB:$AB,914)),N(INDEX('2029'!$AB:$AB,914)),N(INDEX('2030'!$AB:$AB,914))))</f>
        <v/>
      </c>
      <c r="V14" s="128">
        <f>IF($B14="","",CHOOSE(IFERROR(MATCH($C$4,Setup!$K$33:$K$36,0),1),N(INDEX('2027'!$AB:$AB,964)),N(INDEX('2028'!$AB:$AB,964)),N(INDEX('2029'!$AB:$AB,964)),N(INDEX('2030'!$AB:$AB,964))))</f>
        <v/>
      </c>
      <c r="W14" s="128">
        <f>IF($B14="","",CHOOSE(IFERROR(MATCH($C$4,Setup!$K$33:$K$36,0),1),N(INDEX('2027'!$AB:$AB,1014)),N(INDEX('2028'!$AB:$AB,1014)),N(INDEX('2029'!$AB:$AB,1014)),N(INDEX('2030'!$AB:$AB,1014))))</f>
        <v/>
      </c>
      <c r="X14" s="128">
        <f>IF($B14="","",CHOOSE(IFERROR(MATCH($C$4,Setup!$K$33:$K$36,0),1),N(INDEX('2027'!$AB:$AB,1064)),N(INDEX('2028'!$AB:$AB,1064)),N(INDEX('2029'!$AB:$AB,1064)),N(INDEX('2030'!$AB:$AB,1064))))</f>
        <v/>
      </c>
      <c r="Y14" s="128">
        <f>IF($B14="","",CHOOSE(IFERROR(MATCH($C$4,Setup!$K$33:$K$36,0),1),N(INDEX('2027'!$AB:$AB,1114)),N(INDEX('2028'!$AB:$AB,1114)),N(INDEX('2029'!$AB:$AB,1114)),N(INDEX('2030'!$AB:$AB,1114))))</f>
        <v/>
      </c>
      <c r="Z14" s="128">
        <f>IF($B14="","",CHOOSE(IFERROR(MATCH($C$4,Setup!$K$33:$K$36,0),1),N(INDEX('2027'!$AB:$AB,1164)),N(INDEX('2028'!$AB:$AB,1164)),N(INDEX('2029'!$AB:$AB,1164)),N(INDEX('2030'!$AB:$AB,1164))))</f>
        <v/>
      </c>
      <c r="AA14" s="128">
        <f>IF($B14="","",CHOOSE(IFERROR(MATCH($C$4,Setup!$K$33:$K$36,0),1),N(INDEX('2027'!$AB:$AB,1214)),N(INDEX('2028'!$AB:$AB,1214)),N(INDEX('2029'!$AB:$AB,1214)),N(INDEX('2030'!$AB:$AB,1214))))</f>
        <v/>
      </c>
      <c r="AB14" s="128">
        <f>IF($B14="","",CHOOSE(IFERROR(MATCH($C$4,Setup!$K$33:$K$36,0),1),N(INDEX('2027'!$AB:$AB,1264)),N(INDEX('2028'!$AB:$AB,1264)),N(INDEX('2029'!$AB:$AB,1264)),N(INDEX('2030'!$AB:$AB,1264))))</f>
        <v/>
      </c>
      <c r="AC14" s="128">
        <f>IF($B14="","",CHOOSE(IFERROR(MATCH($C$4,Setup!$K$33:$K$36,0),1),N(INDEX('2027'!$AB:$AB,1314)),N(INDEX('2028'!$AB:$AB,1314)),N(INDEX('2029'!$AB:$AB,1314)),N(INDEX('2030'!$AB:$AB,1314))))</f>
        <v/>
      </c>
      <c r="AD14" s="128">
        <f>IF($B14="","",CHOOSE(IFERROR(MATCH($C$4,Setup!$K$33:$K$36,0),1),N(INDEX('2027'!$AB:$AB,1364)),N(INDEX('2028'!$AB:$AB,1364)),N(INDEX('2029'!$AB:$AB,1364)),N(INDEX('2030'!$AB:$AB,1364))))</f>
        <v/>
      </c>
      <c r="AE14" s="128">
        <f>IF($B14="","",CHOOSE(IFERROR(MATCH($C$4,Setup!$K$33:$K$36,0),1),N(INDEX('2027'!$AB:$AB,1414)),N(INDEX('2028'!$AB:$AB,1414)),N(INDEX('2029'!$AB:$AB,1414)),N(INDEX('2030'!$AB:$AB,1414))))</f>
        <v/>
      </c>
      <c r="AF14" s="128">
        <f>IF($B14="","",CHOOSE(IFERROR(MATCH($C$4,Setup!$K$33:$K$36,0),1),N(INDEX('2027'!$AB:$AB,1464)),N(INDEX('2028'!$AB:$AB,1464)),N(INDEX('2029'!$AB:$AB,1464)),N(INDEX('2030'!$AB:$AB,1464))))</f>
        <v/>
      </c>
      <c r="AG14" s="128">
        <f>IF($B14="","",CHOOSE(IFERROR(MATCH($C$4,Setup!$K$33:$K$36,0),1),N(INDEX('2027'!$AB:$AB,1514)),N(INDEX('2028'!$AB:$AB,1514)),N(INDEX('2029'!$AB:$AB,1514)),N(INDEX('2030'!$AB:$AB,1514))))</f>
        <v/>
      </c>
      <c r="AH14" s="128">
        <f>IF($B14="","",CHOOSE(IFERROR(MATCH($C$4,Setup!$K$33:$K$36,0),1),N(INDEX('2027'!$AB:$AB,1564)),N(INDEX('2028'!$AB:$AB,1564)),N(INDEX('2029'!$AB:$AB,1564)),N(INDEX('2030'!$AB:$AB,1564))))</f>
        <v/>
      </c>
      <c r="AI14" s="128">
        <f>IF($B14="","",CHOOSE(IFERROR(MATCH($C$4,Setup!$K$33:$K$36,0),1),N(INDEX('2027'!$AB:$AB,1614)),N(INDEX('2028'!$AB:$AB,1614)),N(INDEX('2029'!$AB:$AB,1614)),N(INDEX('2030'!$AB:$AB,1614))))</f>
        <v/>
      </c>
      <c r="AJ14" s="128">
        <f>IF($B14="","",CHOOSE(IFERROR(MATCH($C$4,Setup!$K$33:$K$36,0),1),N(INDEX('2027'!$AB:$AB,1664)),N(INDEX('2028'!$AB:$AB,1664)),N(INDEX('2029'!$AB:$AB,1664)),N(INDEX('2030'!$AB:$AB,1664))))</f>
        <v/>
      </c>
      <c r="AK14" s="128">
        <f>IF($B14="","",CHOOSE(IFERROR(MATCH($C$4,Setup!$K$33:$K$36,0),1),N(INDEX('2027'!$AB:$AB,1714)),N(INDEX('2028'!$AB:$AB,1714)),N(INDEX('2029'!$AB:$AB,1714)),N(INDEX('2030'!$AB:$AB,1714))))</f>
        <v/>
      </c>
      <c r="AL14" s="128">
        <f>IF($B14="","",CHOOSE(IFERROR(MATCH($C$4,Setup!$K$33:$K$36,0),1),N(INDEX('2027'!$AB:$AB,1764)),N(INDEX('2028'!$AB:$AB,1764)),N(INDEX('2029'!$AB:$AB,1764)),N(INDEX('2030'!$AB:$AB,1764))))</f>
        <v/>
      </c>
      <c r="AM14" s="128">
        <f>IF($B14="","",CHOOSE(IFERROR(MATCH($C$4,Setup!$K$33:$K$36,0),1),N(INDEX('2027'!$AB:$AB,1814)),N(INDEX('2028'!$AB:$AB,1814)),N(INDEX('2029'!$AB:$AB,1814)),N(INDEX('2030'!$AB:$AB,1814))))</f>
        <v/>
      </c>
      <c r="AN14" s="128">
        <f>IF($B14="","",CHOOSE(IFERROR(MATCH($C$4,Setup!$K$33:$K$36,0),1),N(INDEX('2027'!$AB:$AB,1864)),N(INDEX('2028'!$AB:$AB,1864)),N(INDEX('2029'!$AB:$AB,1864)),N(INDEX('2030'!$AB:$AB,1864))))</f>
        <v/>
      </c>
      <c r="AO14" s="128">
        <f>IF($B14="","",CHOOSE(IFERROR(MATCH($C$4,Setup!$K$33:$K$36,0),1),N(INDEX('2027'!$AB:$AB,1914)),N(INDEX('2028'!$AB:$AB,1914)),N(INDEX('2029'!$AB:$AB,1914)),N(INDEX('2030'!$AB:$AB,1914))))</f>
        <v/>
      </c>
      <c r="AP14" s="128">
        <f>IF($B14="","",CHOOSE(IFERROR(MATCH($C$4,Setup!$K$33:$K$36,0),1),N(INDEX('2027'!$AB:$AB,1964)),N(INDEX('2028'!$AB:$AB,1964)),N(INDEX('2029'!$AB:$AB,1964)),N(INDEX('2030'!$AB:$AB,1964))))</f>
        <v/>
      </c>
      <c r="AQ14" s="128">
        <f>IF($B14="","",CHOOSE(IFERROR(MATCH($C$4,Setup!$K$33:$K$36,0),1),N(INDEX('2027'!$AB:$AB,2014)),N(INDEX('2028'!$AB:$AB,2014)),N(INDEX('2029'!$AB:$AB,2014)),N(INDEX('2030'!$AB:$AB,2014))))</f>
        <v/>
      </c>
      <c r="AR14" s="128">
        <f>IF($B14="","",CHOOSE(IFERROR(MATCH($C$4,Setup!$K$33:$K$36,0),1),N(INDEX('2027'!$AB:$AB,2064)),N(INDEX('2028'!$AB:$AB,2064)),N(INDEX('2029'!$AB:$AB,2064)),N(INDEX('2030'!$AB:$AB,2064))))</f>
        <v/>
      </c>
      <c r="AS14" s="128">
        <f>IF($B14="","",CHOOSE(IFERROR(MATCH($C$4,Setup!$K$33:$K$36,0),1),N(INDEX('2027'!$AB:$AB,2114)),N(INDEX('2028'!$AB:$AB,2114)),N(INDEX('2029'!$AB:$AB,2114)),N(INDEX('2030'!$AB:$AB,2114))))</f>
        <v/>
      </c>
      <c r="AT14" s="128">
        <f>IF($B14="","",CHOOSE(IFERROR(MATCH($C$4,Setup!$K$33:$K$36,0),1),N(INDEX('2027'!$AB:$AB,2164)),N(INDEX('2028'!$AB:$AB,2164)),N(INDEX('2029'!$AB:$AB,2164)),N(INDEX('2030'!$AB:$AB,2164))))</f>
        <v/>
      </c>
      <c r="AU14" s="128">
        <f>IF($B14="","",CHOOSE(IFERROR(MATCH($C$4,Setup!$K$33:$K$36,0),1),N(INDEX('2027'!$AB:$AB,2214)),N(INDEX('2028'!$AB:$AB,2214)),N(INDEX('2029'!$AB:$AB,2214)),N(INDEX('2030'!$AB:$AB,2214))))</f>
        <v/>
      </c>
      <c r="AV14" s="128">
        <f>IF($B14="","",CHOOSE(IFERROR(MATCH($C$4,Setup!$K$33:$K$36,0),1),N(INDEX('2027'!$AB:$AB,2264)),N(INDEX('2028'!$AB:$AB,2264)),N(INDEX('2029'!$AB:$AB,2264)),N(INDEX('2030'!$AB:$AB,2264))))</f>
        <v/>
      </c>
      <c r="AW14" s="128">
        <f>IF($B14="","",CHOOSE(IFERROR(MATCH($C$4,Setup!$K$33:$K$36,0),1),N(INDEX('2027'!$AB:$AB,2314)),N(INDEX('2028'!$AB:$AB,2314)),N(INDEX('2029'!$AB:$AB,2314)),N(INDEX('2030'!$AB:$AB,2314))))</f>
        <v/>
      </c>
      <c r="AX14" s="128">
        <f>IF($B14="","",CHOOSE(IFERROR(MATCH($C$4,Setup!$K$33:$K$36,0),1),N(INDEX('2027'!$AB:$AB,2364)),N(INDEX('2028'!$AB:$AB,2364)),N(INDEX('2029'!$AB:$AB,2364)),N(INDEX('2030'!$AB:$AB,2364))))</f>
        <v/>
      </c>
      <c r="AY14" s="128">
        <f>IF($B14="","",CHOOSE(IFERROR(MATCH($C$4,Setup!$K$33:$K$36,0),1),N(INDEX('2027'!$AB:$AB,2414)),N(INDEX('2028'!$AB:$AB,2414)),N(INDEX('2029'!$AB:$AB,2414)),N(INDEX('2030'!$AB:$AB,2414))))</f>
        <v/>
      </c>
      <c r="AZ14" s="128">
        <f>IF($B14="","",CHOOSE(IFERROR(MATCH($C$4,Setup!$K$33:$K$36,0),1),N(INDEX('2027'!$AB:$AB,2464)),N(INDEX('2028'!$AB:$AB,2464)),N(INDEX('2029'!$AB:$AB,2464)),N(INDEX('2030'!$AB:$AB,2464))))</f>
        <v/>
      </c>
      <c r="BA14" s="128">
        <f>IF($B14="","",CHOOSE(IFERROR(MATCH($C$4,Setup!$K$33:$K$36,0),1),N(INDEX('2027'!$AB:$AB,2514)),N(INDEX('2028'!$AB:$AB,2514)),N(INDEX('2029'!$AB:$AB,2514)),N(INDEX('2030'!$AB:$AB,2514))))</f>
        <v/>
      </c>
      <c r="BB14" s="128">
        <f>IF($B14="","",CHOOSE(IFERROR(MATCH($C$4,Setup!$K$33:$K$36,0),1),N(INDEX('2027'!$AB:$AB,2564)),N(INDEX('2028'!$AB:$AB,2564)),N(INDEX('2029'!$AB:$AB,2564)),N(INDEX('2030'!$AB:$AB,2564))))</f>
        <v/>
      </c>
      <c r="BC14" s="128">
        <f>IF($B14="","",CHOOSE(IFERROR(MATCH($C$4,Setup!$K$33:$K$36,0),1),N(INDEX('2027'!$AB:$AB,2614)),N(INDEX('2028'!$AB:$AB,2614)),N(INDEX('2029'!$AB:$AB,2614)),N(INDEX('2030'!$AB:$AB,2614))))</f>
        <v/>
      </c>
      <c r="BE14" s="129">
        <f>IF($B14="","",SUM(C14:BC14))</f>
        <v/>
      </c>
      <c r="BF14" s="130">
        <f>IF($B14="","",COUNTIF(C14:BC14,"&gt;0"))</f>
        <v/>
      </c>
    </row>
    <row r="15" ht="15" customHeight="1">
      <c r="B15" s="127">
        <f>IF(Setup!$K$13="","",Setup!$K$13)</f>
        <v/>
      </c>
      <c r="C15" s="128">
        <f>IF($B15="","",CHOOSE(IFERROR(MATCH($C$4,Setup!$K$33:$K$36,0),1),N(INDEX('2027'!$AB:$AB,15)),N(INDEX('2028'!$AB:$AB,15)),N(INDEX('2029'!$AB:$AB,15)),N(INDEX('2030'!$AB:$AB,15))))</f>
        <v/>
      </c>
      <c r="D15" s="128">
        <f>IF($B15="","",CHOOSE(IFERROR(MATCH($C$4,Setup!$K$33:$K$36,0),1),N(INDEX('2027'!$AB:$AB,65)),N(INDEX('2028'!$AB:$AB,65)),N(INDEX('2029'!$AB:$AB,65)),N(INDEX('2030'!$AB:$AB,65))))</f>
        <v/>
      </c>
      <c r="E15" s="128">
        <f>IF($B15="","",CHOOSE(IFERROR(MATCH($C$4,Setup!$K$33:$K$36,0),1),N(INDEX('2027'!$AB:$AB,115)),N(INDEX('2028'!$AB:$AB,115)),N(INDEX('2029'!$AB:$AB,115)),N(INDEX('2030'!$AB:$AB,115))))</f>
        <v/>
      </c>
      <c r="F15" s="128">
        <f>IF($B15="","",CHOOSE(IFERROR(MATCH($C$4,Setup!$K$33:$K$36,0),1),N(INDEX('2027'!$AB:$AB,165)),N(INDEX('2028'!$AB:$AB,165)),N(INDEX('2029'!$AB:$AB,165)),N(INDEX('2030'!$AB:$AB,165))))</f>
        <v/>
      </c>
      <c r="G15" s="128">
        <f>IF($B15="","",CHOOSE(IFERROR(MATCH($C$4,Setup!$K$33:$K$36,0),1),N(INDEX('2027'!$AB:$AB,215)),N(INDEX('2028'!$AB:$AB,215)),N(INDEX('2029'!$AB:$AB,215)),N(INDEX('2030'!$AB:$AB,215))))</f>
        <v/>
      </c>
      <c r="H15" s="128">
        <f>IF($B15="","",CHOOSE(IFERROR(MATCH($C$4,Setup!$K$33:$K$36,0),1),N(INDEX('2027'!$AB:$AB,265)),N(INDEX('2028'!$AB:$AB,265)),N(INDEX('2029'!$AB:$AB,265)),N(INDEX('2030'!$AB:$AB,265))))</f>
        <v/>
      </c>
      <c r="I15" s="128">
        <f>IF($B15="","",CHOOSE(IFERROR(MATCH($C$4,Setup!$K$33:$K$36,0),1),N(INDEX('2027'!$AB:$AB,315)),N(INDEX('2028'!$AB:$AB,315)),N(INDEX('2029'!$AB:$AB,315)),N(INDEX('2030'!$AB:$AB,315))))</f>
        <v/>
      </c>
      <c r="J15" s="128">
        <f>IF($B15="","",CHOOSE(IFERROR(MATCH($C$4,Setup!$K$33:$K$36,0),1),N(INDEX('2027'!$AB:$AB,365)),N(INDEX('2028'!$AB:$AB,365)),N(INDEX('2029'!$AB:$AB,365)),N(INDEX('2030'!$AB:$AB,365))))</f>
        <v/>
      </c>
      <c r="K15" s="128">
        <f>IF($B15="","",CHOOSE(IFERROR(MATCH($C$4,Setup!$K$33:$K$36,0),1),N(INDEX('2027'!$AB:$AB,415)),N(INDEX('2028'!$AB:$AB,415)),N(INDEX('2029'!$AB:$AB,415)),N(INDEX('2030'!$AB:$AB,415))))</f>
        <v/>
      </c>
      <c r="L15" s="128">
        <f>IF($B15="","",CHOOSE(IFERROR(MATCH($C$4,Setup!$K$33:$K$36,0),1),N(INDEX('2027'!$AB:$AB,465)),N(INDEX('2028'!$AB:$AB,465)),N(INDEX('2029'!$AB:$AB,465)),N(INDEX('2030'!$AB:$AB,465))))</f>
        <v/>
      </c>
      <c r="M15" s="128">
        <f>IF($B15="","",CHOOSE(IFERROR(MATCH($C$4,Setup!$K$33:$K$36,0),1),N(INDEX('2027'!$AB:$AB,515)),N(INDEX('2028'!$AB:$AB,515)),N(INDEX('2029'!$AB:$AB,515)),N(INDEX('2030'!$AB:$AB,515))))</f>
        <v/>
      </c>
      <c r="N15" s="128">
        <f>IF($B15="","",CHOOSE(IFERROR(MATCH($C$4,Setup!$K$33:$K$36,0),1),N(INDEX('2027'!$AB:$AB,565)),N(INDEX('2028'!$AB:$AB,565)),N(INDEX('2029'!$AB:$AB,565)),N(INDEX('2030'!$AB:$AB,565))))</f>
        <v/>
      </c>
      <c r="O15" s="128">
        <f>IF($B15="","",CHOOSE(IFERROR(MATCH($C$4,Setup!$K$33:$K$36,0),1),N(INDEX('2027'!$AB:$AB,615)),N(INDEX('2028'!$AB:$AB,615)),N(INDEX('2029'!$AB:$AB,615)),N(INDEX('2030'!$AB:$AB,615))))</f>
        <v/>
      </c>
      <c r="P15" s="128">
        <f>IF($B15="","",CHOOSE(IFERROR(MATCH($C$4,Setup!$K$33:$K$36,0),1),N(INDEX('2027'!$AB:$AB,665)),N(INDEX('2028'!$AB:$AB,665)),N(INDEX('2029'!$AB:$AB,665)),N(INDEX('2030'!$AB:$AB,665))))</f>
        <v/>
      </c>
      <c r="Q15" s="128">
        <f>IF($B15="","",CHOOSE(IFERROR(MATCH($C$4,Setup!$K$33:$K$36,0),1),N(INDEX('2027'!$AB:$AB,715)),N(INDEX('2028'!$AB:$AB,715)),N(INDEX('2029'!$AB:$AB,715)),N(INDEX('2030'!$AB:$AB,715))))</f>
        <v/>
      </c>
      <c r="R15" s="128">
        <f>IF($B15="","",CHOOSE(IFERROR(MATCH($C$4,Setup!$K$33:$K$36,0),1),N(INDEX('2027'!$AB:$AB,765)),N(INDEX('2028'!$AB:$AB,765)),N(INDEX('2029'!$AB:$AB,765)),N(INDEX('2030'!$AB:$AB,765))))</f>
        <v/>
      </c>
      <c r="S15" s="128">
        <f>IF($B15="","",CHOOSE(IFERROR(MATCH($C$4,Setup!$K$33:$K$36,0),1),N(INDEX('2027'!$AB:$AB,815)),N(INDEX('2028'!$AB:$AB,815)),N(INDEX('2029'!$AB:$AB,815)),N(INDEX('2030'!$AB:$AB,815))))</f>
        <v/>
      </c>
      <c r="T15" s="128">
        <f>IF($B15="","",CHOOSE(IFERROR(MATCH($C$4,Setup!$K$33:$K$36,0),1),N(INDEX('2027'!$AB:$AB,865)),N(INDEX('2028'!$AB:$AB,865)),N(INDEX('2029'!$AB:$AB,865)),N(INDEX('2030'!$AB:$AB,865))))</f>
        <v/>
      </c>
      <c r="U15" s="128">
        <f>IF($B15="","",CHOOSE(IFERROR(MATCH($C$4,Setup!$K$33:$K$36,0),1),N(INDEX('2027'!$AB:$AB,915)),N(INDEX('2028'!$AB:$AB,915)),N(INDEX('2029'!$AB:$AB,915)),N(INDEX('2030'!$AB:$AB,915))))</f>
        <v/>
      </c>
      <c r="V15" s="128">
        <f>IF($B15="","",CHOOSE(IFERROR(MATCH($C$4,Setup!$K$33:$K$36,0),1),N(INDEX('2027'!$AB:$AB,965)),N(INDEX('2028'!$AB:$AB,965)),N(INDEX('2029'!$AB:$AB,965)),N(INDEX('2030'!$AB:$AB,965))))</f>
        <v/>
      </c>
      <c r="W15" s="128">
        <f>IF($B15="","",CHOOSE(IFERROR(MATCH($C$4,Setup!$K$33:$K$36,0),1),N(INDEX('2027'!$AB:$AB,1015)),N(INDEX('2028'!$AB:$AB,1015)),N(INDEX('2029'!$AB:$AB,1015)),N(INDEX('2030'!$AB:$AB,1015))))</f>
        <v/>
      </c>
      <c r="X15" s="128">
        <f>IF($B15="","",CHOOSE(IFERROR(MATCH($C$4,Setup!$K$33:$K$36,0),1),N(INDEX('2027'!$AB:$AB,1065)),N(INDEX('2028'!$AB:$AB,1065)),N(INDEX('2029'!$AB:$AB,1065)),N(INDEX('2030'!$AB:$AB,1065))))</f>
        <v/>
      </c>
      <c r="Y15" s="128">
        <f>IF($B15="","",CHOOSE(IFERROR(MATCH($C$4,Setup!$K$33:$K$36,0),1),N(INDEX('2027'!$AB:$AB,1115)),N(INDEX('2028'!$AB:$AB,1115)),N(INDEX('2029'!$AB:$AB,1115)),N(INDEX('2030'!$AB:$AB,1115))))</f>
        <v/>
      </c>
      <c r="Z15" s="128">
        <f>IF($B15="","",CHOOSE(IFERROR(MATCH($C$4,Setup!$K$33:$K$36,0),1),N(INDEX('2027'!$AB:$AB,1165)),N(INDEX('2028'!$AB:$AB,1165)),N(INDEX('2029'!$AB:$AB,1165)),N(INDEX('2030'!$AB:$AB,1165))))</f>
        <v/>
      </c>
      <c r="AA15" s="128">
        <f>IF($B15="","",CHOOSE(IFERROR(MATCH($C$4,Setup!$K$33:$K$36,0),1),N(INDEX('2027'!$AB:$AB,1215)),N(INDEX('2028'!$AB:$AB,1215)),N(INDEX('2029'!$AB:$AB,1215)),N(INDEX('2030'!$AB:$AB,1215))))</f>
        <v/>
      </c>
      <c r="AB15" s="128">
        <f>IF($B15="","",CHOOSE(IFERROR(MATCH($C$4,Setup!$K$33:$K$36,0),1),N(INDEX('2027'!$AB:$AB,1265)),N(INDEX('2028'!$AB:$AB,1265)),N(INDEX('2029'!$AB:$AB,1265)),N(INDEX('2030'!$AB:$AB,1265))))</f>
        <v/>
      </c>
      <c r="AC15" s="128">
        <f>IF($B15="","",CHOOSE(IFERROR(MATCH($C$4,Setup!$K$33:$K$36,0),1),N(INDEX('2027'!$AB:$AB,1315)),N(INDEX('2028'!$AB:$AB,1315)),N(INDEX('2029'!$AB:$AB,1315)),N(INDEX('2030'!$AB:$AB,1315))))</f>
        <v/>
      </c>
      <c r="AD15" s="128">
        <f>IF($B15="","",CHOOSE(IFERROR(MATCH($C$4,Setup!$K$33:$K$36,0),1),N(INDEX('2027'!$AB:$AB,1365)),N(INDEX('2028'!$AB:$AB,1365)),N(INDEX('2029'!$AB:$AB,1365)),N(INDEX('2030'!$AB:$AB,1365))))</f>
        <v/>
      </c>
      <c r="AE15" s="128">
        <f>IF($B15="","",CHOOSE(IFERROR(MATCH($C$4,Setup!$K$33:$K$36,0),1),N(INDEX('2027'!$AB:$AB,1415)),N(INDEX('2028'!$AB:$AB,1415)),N(INDEX('2029'!$AB:$AB,1415)),N(INDEX('2030'!$AB:$AB,1415))))</f>
        <v/>
      </c>
      <c r="AF15" s="128">
        <f>IF($B15="","",CHOOSE(IFERROR(MATCH($C$4,Setup!$K$33:$K$36,0),1),N(INDEX('2027'!$AB:$AB,1465)),N(INDEX('2028'!$AB:$AB,1465)),N(INDEX('2029'!$AB:$AB,1465)),N(INDEX('2030'!$AB:$AB,1465))))</f>
        <v/>
      </c>
      <c r="AG15" s="128">
        <f>IF($B15="","",CHOOSE(IFERROR(MATCH($C$4,Setup!$K$33:$K$36,0),1),N(INDEX('2027'!$AB:$AB,1515)),N(INDEX('2028'!$AB:$AB,1515)),N(INDEX('2029'!$AB:$AB,1515)),N(INDEX('2030'!$AB:$AB,1515))))</f>
        <v/>
      </c>
      <c r="AH15" s="128">
        <f>IF($B15="","",CHOOSE(IFERROR(MATCH($C$4,Setup!$K$33:$K$36,0),1),N(INDEX('2027'!$AB:$AB,1565)),N(INDEX('2028'!$AB:$AB,1565)),N(INDEX('2029'!$AB:$AB,1565)),N(INDEX('2030'!$AB:$AB,1565))))</f>
        <v/>
      </c>
      <c r="AI15" s="128">
        <f>IF($B15="","",CHOOSE(IFERROR(MATCH($C$4,Setup!$K$33:$K$36,0),1),N(INDEX('2027'!$AB:$AB,1615)),N(INDEX('2028'!$AB:$AB,1615)),N(INDEX('2029'!$AB:$AB,1615)),N(INDEX('2030'!$AB:$AB,1615))))</f>
        <v/>
      </c>
      <c r="AJ15" s="128">
        <f>IF($B15="","",CHOOSE(IFERROR(MATCH($C$4,Setup!$K$33:$K$36,0),1),N(INDEX('2027'!$AB:$AB,1665)),N(INDEX('2028'!$AB:$AB,1665)),N(INDEX('2029'!$AB:$AB,1665)),N(INDEX('2030'!$AB:$AB,1665))))</f>
        <v/>
      </c>
      <c r="AK15" s="128">
        <f>IF($B15="","",CHOOSE(IFERROR(MATCH($C$4,Setup!$K$33:$K$36,0),1),N(INDEX('2027'!$AB:$AB,1715)),N(INDEX('2028'!$AB:$AB,1715)),N(INDEX('2029'!$AB:$AB,1715)),N(INDEX('2030'!$AB:$AB,1715))))</f>
        <v/>
      </c>
      <c r="AL15" s="128">
        <f>IF($B15="","",CHOOSE(IFERROR(MATCH($C$4,Setup!$K$33:$K$36,0),1),N(INDEX('2027'!$AB:$AB,1765)),N(INDEX('2028'!$AB:$AB,1765)),N(INDEX('2029'!$AB:$AB,1765)),N(INDEX('2030'!$AB:$AB,1765))))</f>
        <v/>
      </c>
      <c r="AM15" s="128">
        <f>IF($B15="","",CHOOSE(IFERROR(MATCH($C$4,Setup!$K$33:$K$36,0),1),N(INDEX('2027'!$AB:$AB,1815)),N(INDEX('2028'!$AB:$AB,1815)),N(INDEX('2029'!$AB:$AB,1815)),N(INDEX('2030'!$AB:$AB,1815))))</f>
        <v/>
      </c>
      <c r="AN15" s="128">
        <f>IF($B15="","",CHOOSE(IFERROR(MATCH($C$4,Setup!$K$33:$K$36,0),1),N(INDEX('2027'!$AB:$AB,1865)),N(INDEX('2028'!$AB:$AB,1865)),N(INDEX('2029'!$AB:$AB,1865)),N(INDEX('2030'!$AB:$AB,1865))))</f>
        <v/>
      </c>
      <c r="AO15" s="128">
        <f>IF($B15="","",CHOOSE(IFERROR(MATCH($C$4,Setup!$K$33:$K$36,0),1),N(INDEX('2027'!$AB:$AB,1915)),N(INDEX('2028'!$AB:$AB,1915)),N(INDEX('2029'!$AB:$AB,1915)),N(INDEX('2030'!$AB:$AB,1915))))</f>
        <v/>
      </c>
      <c r="AP15" s="128">
        <f>IF($B15="","",CHOOSE(IFERROR(MATCH($C$4,Setup!$K$33:$K$36,0),1),N(INDEX('2027'!$AB:$AB,1965)),N(INDEX('2028'!$AB:$AB,1965)),N(INDEX('2029'!$AB:$AB,1965)),N(INDEX('2030'!$AB:$AB,1965))))</f>
        <v/>
      </c>
      <c r="AQ15" s="128">
        <f>IF($B15="","",CHOOSE(IFERROR(MATCH($C$4,Setup!$K$33:$K$36,0),1),N(INDEX('2027'!$AB:$AB,2015)),N(INDEX('2028'!$AB:$AB,2015)),N(INDEX('2029'!$AB:$AB,2015)),N(INDEX('2030'!$AB:$AB,2015))))</f>
        <v/>
      </c>
      <c r="AR15" s="128">
        <f>IF($B15="","",CHOOSE(IFERROR(MATCH($C$4,Setup!$K$33:$K$36,0),1),N(INDEX('2027'!$AB:$AB,2065)),N(INDEX('2028'!$AB:$AB,2065)),N(INDEX('2029'!$AB:$AB,2065)),N(INDEX('2030'!$AB:$AB,2065))))</f>
        <v/>
      </c>
      <c r="AS15" s="128">
        <f>IF($B15="","",CHOOSE(IFERROR(MATCH($C$4,Setup!$K$33:$K$36,0),1),N(INDEX('2027'!$AB:$AB,2115)),N(INDEX('2028'!$AB:$AB,2115)),N(INDEX('2029'!$AB:$AB,2115)),N(INDEX('2030'!$AB:$AB,2115))))</f>
        <v/>
      </c>
      <c r="AT15" s="128">
        <f>IF($B15="","",CHOOSE(IFERROR(MATCH($C$4,Setup!$K$33:$K$36,0),1),N(INDEX('2027'!$AB:$AB,2165)),N(INDEX('2028'!$AB:$AB,2165)),N(INDEX('2029'!$AB:$AB,2165)),N(INDEX('2030'!$AB:$AB,2165))))</f>
        <v/>
      </c>
      <c r="AU15" s="128">
        <f>IF($B15="","",CHOOSE(IFERROR(MATCH($C$4,Setup!$K$33:$K$36,0),1),N(INDEX('2027'!$AB:$AB,2215)),N(INDEX('2028'!$AB:$AB,2215)),N(INDEX('2029'!$AB:$AB,2215)),N(INDEX('2030'!$AB:$AB,2215))))</f>
        <v/>
      </c>
      <c r="AV15" s="128">
        <f>IF($B15="","",CHOOSE(IFERROR(MATCH($C$4,Setup!$K$33:$K$36,0),1),N(INDEX('2027'!$AB:$AB,2265)),N(INDEX('2028'!$AB:$AB,2265)),N(INDEX('2029'!$AB:$AB,2265)),N(INDEX('2030'!$AB:$AB,2265))))</f>
        <v/>
      </c>
      <c r="AW15" s="128">
        <f>IF($B15="","",CHOOSE(IFERROR(MATCH($C$4,Setup!$K$33:$K$36,0),1),N(INDEX('2027'!$AB:$AB,2315)),N(INDEX('2028'!$AB:$AB,2315)),N(INDEX('2029'!$AB:$AB,2315)),N(INDEX('2030'!$AB:$AB,2315))))</f>
        <v/>
      </c>
      <c r="AX15" s="128">
        <f>IF($B15="","",CHOOSE(IFERROR(MATCH($C$4,Setup!$K$33:$K$36,0),1),N(INDEX('2027'!$AB:$AB,2365)),N(INDEX('2028'!$AB:$AB,2365)),N(INDEX('2029'!$AB:$AB,2365)),N(INDEX('2030'!$AB:$AB,2365))))</f>
        <v/>
      </c>
      <c r="AY15" s="128">
        <f>IF($B15="","",CHOOSE(IFERROR(MATCH($C$4,Setup!$K$33:$K$36,0),1),N(INDEX('2027'!$AB:$AB,2415)),N(INDEX('2028'!$AB:$AB,2415)),N(INDEX('2029'!$AB:$AB,2415)),N(INDEX('2030'!$AB:$AB,2415))))</f>
        <v/>
      </c>
      <c r="AZ15" s="128">
        <f>IF($B15="","",CHOOSE(IFERROR(MATCH($C$4,Setup!$K$33:$K$36,0),1),N(INDEX('2027'!$AB:$AB,2465)),N(INDEX('2028'!$AB:$AB,2465)),N(INDEX('2029'!$AB:$AB,2465)),N(INDEX('2030'!$AB:$AB,2465))))</f>
        <v/>
      </c>
      <c r="BA15" s="128">
        <f>IF($B15="","",CHOOSE(IFERROR(MATCH($C$4,Setup!$K$33:$K$36,0),1),N(INDEX('2027'!$AB:$AB,2515)),N(INDEX('2028'!$AB:$AB,2515)),N(INDEX('2029'!$AB:$AB,2515)),N(INDEX('2030'!$AB:$AB,2515))))</f>
        <v/>
      </c>
      <c r="BB15" s="128">
        <f>IF($B15="","",CHOOSE(IFERROR(MATCH($C$4,Setup!$K$33:$K$36,0),1),N(INDEX('2027'!$AB:$AB,2565)),N(INDEX('2028'!$AB:$AB,2565)),N(INDEX('2029'!$AB:$AB,2565)),N(INDEX('2030'!$AB:$AB,2565))))</f>
        <v/>
      </c>
      <c r="BC15" s="128">
        <f>IF($B15="","",CHOOSE(IFERROR(MATCH($C$4,Setup!$K$33:$K$36,0),1),N(INDEX('2027'!$AB:$AB,2615)),N(INDEX('2028'!$AB:$AB,2615)),N(INDEX('2029'!$AB:$AB,2615)),N(INDEX('2030'!$AB:$AB,2615))))</f>
        <v/>
      </c>
      <c r="BE15" s="129">
        <f>IF($B15="","",SUM(C15:BC15))</f>
        <v/>
      </c>
      <c r="BF15" s="130">
        <f>IF($B15="","",COUNTIF(C15:BC15,"&gt;0"))</f>
        <v/>
      </c>
    </row>
    <row r="16" ht="15" customHeight="1">
      <c r="B16" s="127">
        <f>IF(Setup!$K$14="","",Setup!$K$14)</f>
        <v/>
      </c>
      <c r="C16" s="128">
        <f>IF($B16="","",CHOOSE(IFERROR(MATCH($C$4,Setup!$K$33:$K$36,0),1),N(INDEX('2027'!$AB:$AB,16)),N(INDEX('2028'!$AB:$AB,16)),N(INDEX('2029'!$AB:$AB,16)),N(INDEX('2030'!$AB:$AB,16))))</f>
        <v/>
      </c>
      <c r="D16" s="128">
        <f>IF($B16="","",CHOOSE(IFERROR(MATCH($C$4,Setup!$K$33:$K$36,0),1),N(INDEX('2027'!$AB:$AB,66)),N(INDEX('2028'!$AB:$AB,66)),N(INDEX('2029'!$AB:$AB,66)),N(INDEX('2030'!$AB:$AB,66))))</f>
        <v/>
      </c>
      <c r="E16" s="128">
        <f>IF($B16="","",CHOOSE(IFERROR(MATCH($C$4,Setup!$K$33:$K$36,0),1),N(INDEX('2027'!$AB:$AB,116)),N(INDEX('2028'!$AB:$AB,116)),N(INDEX('2029'!$AB:$AB,116)),N(INDEX('2030'!$AB:$AB,116))))</f>
        <v/>
      </c>
      <c r="F16" s="128">
        <f>IF($B16="","",CHOOSE(IFERROR(MATCH($C$4,Setup!$K$33:$K$36,0),1),N(INDEX('2027'!$AB:$AB,166)),N(INDEX('2028'!$AB:$AB,166)),N(INDEX('2029'!$AB:$AB,166)),N(INDEX('2030'!$AB:$AB,166))))</f>
        <v/>
      </c>
      <c r="G16" s="128">
        <f>IF($B16="","",CHOOSE(IFERROR(MATCH($C$4,Setup!$K$33:$K$36,0),1),N(INDEX('2027'!$AB:$AB,216)),N(INDEX('2028'!$AB:$AB,216)),N(INDEX('2029'!$AB:$AB,216)),N(INDEX('2030'!$AB:$AB,216))))</f>
        <v/>
      </c>
      <c r="H16" s="128">
        <f>IF($B16="","",CHOOSE(IFERROR(MATCH($C$4,Setup!$K$33:$K$36,0),1),N(INDEX('2027'!$AB:$AB,266)),N(INDEX('2028'!$AB:$AB,266)),N(INDEX('2029'!$AB:$AB,266)),N(INDEX('2030'!$AB:$AB,266))))</f>
        <v/>
      </c>
      <c r="I16" s="128">
        <f>IF($B16="","",CHOOSE(IFERROR(MATCH($C$4,Setup!$K$33:$K$36,0),1),N(INDEX('2027'!$AB:$AB,316)),N(INDEX('2028'!$AB:$AB,316)),N(INDEX('2029'!$AB:$AB,316)),N(INDEX('2030'!$AB:$AB,316))))</f>
        <v/>
      </c>
      <c r="J16" s="128">
        <f>IF($B16="","",CHOOSE(IFERROR(MATCH($C$4,Setup!$K$33:$K$36,0),1),N(INDEX('2027'!$AB:$AB,366)),N(INDEX('2028'!$AB:$AB,366)),N(INDEX('2029'!$AB:$AB,366)),N(INDEX('2030'!$AB:$AB,366))))</f>
        <v/>
      </c>
      <c r="K16" s="128">
        <f>IF($B16="","",CHOOSE(IFERROR(MATCH($C$4,Setup!$K$33:$K$36,0),1),N(INDEX('2027'!$AB:$AB,416)),N(INDEX('2028'!$AB:$AB,416)),N(INDEX('2029'!$AB:$AB,416)),N(INDEX('2030'!$AB:$AB,416))))</f>
        <v/>
      </c>
      <c r="L16" s="128">
        <f>IF($B16="","",CHOOSE(IFERROR(MATCH($C$4,Setup!$K$33:$K$36,0),1),N(INDEX('2027'!$AB:$AB,466)),N(INDEX('2028'!$AB:$AB,466)),N(INDEX('2029'!$AB:$AB,466)),N(INDEX('2030'!$AB:$AB,466))))</f>
        <v/>
      </c>
      <c r="M16" s="128">
        <f>IF($B16="","",CHOOSE(IFERROR(MATCH($C$4,Setup!$K$33:$K$36,0),1),N(INDEX('2027'!$AB:$AB,516)),N(INDEX('2028'!$AB:$AB,516)),N(INDEX('2029'!$AB:$AB,516)),N(INDEX('2030'!$AB:$AB,516))))</f>
        <v/>
      </c>
      <c r="N16" s="128">
        <f>IF($B16="","",CHOOSE(IFERROR(MATCH($C$4,Setup!$K$33:$K$36,0),1),N(INDEX('2027'!$AB:$AB,566)),N(INDEX('2028'!$AB:$AB,566)),N(INDEX('2029'!$AB:$AB,566)),N(INDEX('2030'!$AB:$AB,566))))</f>
        <v/>
      </c>
      <c r="O16" s="128">
        <f>IF($B16="","",CHOOSE(IFERROR(MATCH($C$4,Setup!$K$33:$K$36,0),1),N(INDEX('2027'!$AB:$AB,616)),N(INDEX('2028'!$AB:$AB,616)),N(INDEX('2029'!$AB:$AB,616)),N(INDEX('2030'!$AB:$AB,616))))</f>
        <v/>
      </c>
      <c r="P16" s="128">
        <f>IF($B16="","",CHOOSE(IFERROR(MATCH($C$4,Setup!$K$33:$K$36,0),1),N(INDEX('2027'!$AB:$AB,666)),N(INDEX('2028'!$AB:$AB,666)),N(INDEX('2029'!$AB:$AB,666)),N(INDEX('2030'!$AB:$AB,666))))</f>
        <v/>
      </c>
      <c r="Q16" s="128">
        <f>IF($B16="","",CHOOSE(IFERROR(MATCH($C$4,Setup!$K$33:$K$36,0),1),N(INDEX('2027'!$AB:$AB,716)),N(INDEX('2028'!$AB:$AB,716)),N(INDEX('2029'!$AB:$AB,716)),N(INDEX('2030'!$AB:$AB,716))))</f>
        <v/>
      </c>
      <c r="R16" s="128">
        <f>IF($B16="","",CHOOSE(IFERROR(MATCH($C$4,Setup!$K$33:$K$36,0),1),N(INDEX('2027'!$AB:$AB,766)),N(INDEX('2028'!$AB:$AB,766)),N(INDEX('2029'!$AB:$AB,766)),N(INDEX('2030'!$AB:$AB,766))))</f>
        <v/>
      </c>
      <c r="S16" s="128">
        <f>IF($B16="","",CHOOSE(IFERROR(MATCH($C$4,Setup!$K$33:$K$36,0),1),N(INDEX('2027'!$AB:$AB,816)),N(INDEX('2028'!$AB:$AB,816)),N(INDEX('2029'!$AB:$AB,816)),N(INDEX('2030'!$AB:$AB,816))))</f>
        <v/>
      </c>
      <c r="T16" s="128">
        <f>IF($B16="","",CHOOSE(IFERROR(MATCH($C$4,Setup!$K$33:$K$36,0),1),N(INDEX('2027'!$AB:$AB,866)),N(INDEX('2028'!$AB:$AB,866)),N(INDEX('2029'!$AB:$AB,866)),N(INDEX('2030'!$AB:$AB,866))))</f>
        <v/>
      </c>
      <c r="U16" s="128">
        <f>IF($B16="","",CHOOSE(IFERROR(MATCH($C$4,Setup!$K$33:$K$36,0),1),N(INDEX('2027'!$AB:$AB,916)),N(INDEX('2028'!$AB:$AB,916)),N(INDEX('2029'!$AB:$AB,916)),N(INDEX('2030'!$AB:$AB,916))))</f>
        <v/>
      </c>
      <c r="V16" s="128">
        <f>IF($B16="","",CHOOSE(IFERROR(MATCH($C$4,Setup!$K$33:$K$36,0),1),N(INDEX('2027'!$AB:$AB,966)),N(INDEX('2028'!$AB:$AB,966)),N(INDEX('2029'!$AB:$AB,966)),N(INDEX('2030'!$AB:$AB,966))))</f>
        <v/>
      </c>
      <c r="W16" s="128">
        <f>IF($B16="","",CHOOSE(IFERROR(MATCH($C$4,Setup!$K$33:$K$36,0),1),N(INDEX('2027'!$AB:$AB,1016)),N(INDEX('2028'!$AB:$AB,1016)),N(INDEX('2029'!$AB:$AB,1016)),N(INDEX('2030'!$AB:$AB,1016))))</f>
        <v/>
      </c>
      <c r="X16" s="128">
        <f>IF($B16="","",CHOOSE(IFERROR(MATCH($C$4,Setup!$K$33:$K$36,0),1),N(INDEX('2027'!$AB:$AB,1066)),N(INDEX('2028'!$AB:$AB,1066)),N(INDEX('2029'!$AB:$AB,1066)),N(INDEX('2030'!$AB:$AB,1066))))</f>
        <v/>
      </c>
      <c r="Y16" s="128">
        <f>IF($B16="","",CHOOSE(IFERROR(MATCH($C$4,Setup!$K$33:$K$36,0),1),N(INDEX('2027'!$AB:$AB,1116)),N(INDEX('2028'!$AB:$AB,1116)),N(INDEX('2029'!$AB:$AB,1116)),N(INDEX('2030'!$AB:$AB,1116))))</f>
        <v/>
      </c>
      <c r="Z16" s="128">
        <f>IF($B16="","",CHOOSE(IFERROR(MATCH($C$4,Setup!$K$33:$K$36,0),1),N(INDEX('2027'!$AB:$AB,1166)),N(INDEX('2028'!$AB:$AB,1166)),N(INDEX('2029'!$AB:$AB,1166)),N(INDEX('2030'!$AB:$AB,1166))))</f>
        <v/>
      </c>
      <c r="AA16" s="128">
        <f>IF($B16="","",CHOOSE(IFERROR(MATCH($C$4,Setup!$K$33:$K$36,0),1),N(INDEX('2027'!$AB:$AB,1216)),N(INDEX('2028'!$AB:$AB,1216)),N(INDEX('2029'!$AB:$AB,1216)),N(INDEX('2030'!$AB:$AB,1216))))</f>
        <v/>
      </c>
      <c r="AB16" s="128">
        <f>IF($B16="","",CHOOSE(IFERROR(MATCH($C$4,Setup!$K$33:$K$36,0),1),N(INDEX('2027'!$AB:$AB,1266)),N(INDEX('2028'!$AB:$AB,1266)),N(INDEX('2029'!$AB:$AB,1266)),N(INDEX('2030'!$AB:$AB,1266))))</f>
        <v/>
      </c>
      <c r="AC16" s="128">
        <f>IF($B16="","",CHOOSE(IFERROR(MATCH($C$4,Setup!$K$33:$K$36,0),1),N(INDEX('2027'!$AB:$AB,1316)),N(INDEX('2028'!$AB:$AB,1316)),N(INDEX('2029'!$AB:$AB,1316)),N(INDEX('2030'!$AB:$AB,1316))))</f>
        <v/>
      </c>
      <c r="AD16" s="128">
        <f>IF($B16="","",CHOOSE(IFERROR(MATCH($C$4,Setup!$K$33:$K$36,0),1),N(INDEX('2027'!$AB:$AB,1366)),N(INDEX('2028'!$AB:$AB,1366)),N(INDEX('2029'!$AB:$AB,1366)),N(INDEX('2030'!$AB:$AB,1366))))</f>
        <v/>
      </c>
      <c r="AE16" s="128">
        <f>IF($B16="","",CHOOSE(IFERROR(MATCH($C$4,Setup!$K$33:$K$36,0),1),N(INDEX('2027'!$AB:$AB,1416)),N(INDEX('2028'!$AB:$AB,1416)),N(INDEX('2029'!$AB:$AB,1416)),N(INDEX('2030'!$AB:$AB,1416))))</f>
        <v/>
      </c>
      <c r="AF16" s="128">
        <f>IF($B16="","",CHOOSE(IFERROR(MATCH($C$4,Setup!$K$33:$K$36,0),1),N(INDEX('2027'!$AB:$AB,1466)),N(INDEX('2028'!$AB:$AB,1466)),N(INDEX('2029'!$AB:$AB,1466)),N(INDEX('2030'!$AB:$AB,1466))))</f>
        <v/>
      </c>
      <c r="AG16" s="128">
        <f>IF($B16="","",CHOOSE(IFERROR(MATCH($C$4,Setup!$K$33:$K$36,0),1),N(INDEX('2027'!$AB:$AB,1516)),N(INDEX('2028'!$AB:$AB,1516)),N(INDEX('2029'!$AB:$AB,1516)),N(INDEX('2030'!$AB:$AB,1516))))</f>
        <v/>
      </c>
      <c r="AH16" s="128">
        <f>IF($B16="","",CHOOSE(IFERROR(MATCH($C$4,Setup!$K$33:$K$36,0),1),N(INDEX('2027'!$AB:$AB,1566)),N(INDEX('2028'!$AB:$AB,1566)),N(INDEX('2029'!$AB:$AB,1566)),N(INDEX('2030'!$AB:$AB,1566))))</f>
        <v/>
      </c>
      <c r="AI16" s="128">
        <f>IF($B16="","",CHOOSE(IFERROR(MATCH($C$4,Setup!$K$33:$K$36,0),1),N(INDEX('2027'!$AB:$AB,1616)),N(INDEX('2028'!$AB:$AB,1616)),N(INDEX('2029'!$AB:$AB,1616)),N(INDEX('2030'!$AB:$AB,1616))))</f>
        <v/>
      </c>
      <c r="AJ16" s="128">
        <f>IF($B16="","",CHOOSE(IFERROR(MATCH($C$4,Setup!$K$33:$K$36,0),1),N(INDEX('2027'!$AB:$AB,1666)),N(INDEX('2028'!$AB:$AB,1666)),N(INDEX('2029'!$AB:$AB,1666)),N(INDEX('2030'!$AB:$AB,1666))))</f>
        <v/>
      </c>
      <c r="AK16" s="128">
        <f>IF($B16="","",CHOOSE(IFERROR(MATCH($C$4,Setup!$K$33:$K$36,0),1),N(INDEX('2027'!$AB:$AB,1716)),N(INDEX('2028'!$AB:$AB,1716)),N(INDEX('2029'!$AB:$AB,1716)),N(INDEX('2030'!$AB:$AB,1716))))</f>
        <v/>
      </c>
      <c r="AL16" s="128">
        <f>IF($B16="","",CHOOSE(IFERROR(MATCH($C$4,Setup!$K$33:$K$36,0),1),N(INDEX('2027'!$AB:$AB,1766)),N(INDEX('2028'!$AB:$AB,1766)),N(INDEX('2029'!$AB:$AB,1766)),N(INDEX('2030'!$AB:$AB,1766))))</f>
        <v/>
      </c>
      <c r="AM16" s="128">
        <f>IF($B16="","",CHOOSE(IFERROR(MATCH($C$4,Setup!$K$33:$K$36,0),1),N(INDEX('2027'!$AB:$AB,1816)),N(INDEX('2028'!$AB:$AB,1816)),N(INDEX('2029'!$AB:$AB,1816)),N(INDEX('2030'!$AB:$AB,1816))))</f>
        <v/>
      </c>
      <c r="AN16" s="128">
        <f>IF($B16="","",CHOOSE(IFERROR(MATCH($C$4,Setup!$K$33:$K$36,0),1),N(INDEX('2027'!$AB:$AB,1866)),N(INDEX('2028'!$AB:$AB,1866)),N(INDEX('2029'!$AB:$AB,1866)),N(INDEX('2030'!$AB:$AB,1866))))</f>
        <v/>
      </c>
      <c r="AO16" s="128">
        <f>IF($B16="","",CHOOSE(IFERROR(MATCH($C$4,Setup!$K$33:$K$36,0),1),N(INDEX('2027'!$AB:$AB,1916)),N(INDEX('2028'!$AB:$AB,1916)),N(INDEX('2029'!$AB:$AB,1916)),N(INDEX('2030'!$AB:$AB,1916))))</f>
        <v/>
      </c>
      <c r="AP16" s="128">
        <f>IF($B16="","",CHOOSE(IFERROR(MATCH($C$4,Setup!$K$33:$K$36,0),1),N(INDEX('2027'!$AB:$AB,1966)),N(INDEX('2028'!$AB:$AB,1966)),N(INDEX('2029'!$AB:$AB,1966)),N(INDEX('2030'!$AB:$AB,1966))))</f>
        <v/>
      </c>
      <c r="AQ16" s="128">
        <f>IF($B16="","",CHOOSE(IFERROR(MATCH($C$4,Setup!$K$33:$K$36,0),1),N(INDEX('2027'!$AB:$AB,2016)),N(INDEX('2028'!$AB:$AB,2016)),N(INDEX('2029'!$AB:$AB,2016)),N(INDEX('2030'!$AB:$AB,2016))))</f>
        <v/>
      </c>
      <c r="AR16" s="128">
        <f>IF($B16="","",CHOOSE(IFERROR(MATCH($C$4,Setup!$K$33:$K$36,0),1),N(INDEX('2027'!$AB:$AB,2066)),N(INDEX('2028'!$AB:$AB,2066)),N(INDEX('2029'!$AB:$AB,2066)),N(INDEX('2030'!$AB:$AB,2066))))</f>
        <v/>
      </c>
      <c r="AS16" s="128">
        <f>IF($B16="","",CHOOSE(IFERROR(MATCH($C$4,Setup!$K$33:$K$36,0),1),N(INDEX('2027'!$AB:$AB,2116)),N(INDEX('2028'!$AB:$AB,2116)),N(INDEX('2029'!$AB:$AB,2116)),N(INDEX('2030'!$AB:$AB,2116))))</f>
        <v/>
      </c>
      <c r="AT16" s="128">
        <f>IF($B16="","",CHOOSE(IFERROR(MATCH($C$4,Setup!$K$33:$K$36,0),1),N(INDEX('2027'!$AB:$AB,2166)),N(INDEX('2028'!$AB:$AB,2166)),N(INDEX('2029'!$AB:$AB,2166)),N(INDEX('2030'!$AB:$AB,2166))))</f>
        <v/>
      </c>
      <c r="AU16" s="128">
        <f>IF($B16="","",CHOOSE(IFERROR(MATCH($C$4,Setup!$K$33:$K$36,0),1),N(INDEX('2027'!$AB:$AB,2216)),N(INDEX('2028'!$AB:$AB,2216)),N(INDEX('2029'!$AB:$AB,2216)),N(INDEX('2030'!$AB:$AB,2216))))</f>
        <v/>
      </c>
      <c r="AV16" s="128">
        <f>IF($B16="","",CHOOSE(IFERROR(MATCH($C$4,Setup!$K$33:$K$36,0),1),N(INDEX('2027'!$AB:$AB,2266)),N(INDEX('2028'!$AB:$AB,2266)),N(INDEX('2029'!$AB:$AB,2266)),N(INDEX('2030'!$AB:$AB,2266))))</f>
        <v/>
      </c>
      <c r="AW16" s="128">
        <f>IF($B16="","",CHOOSE(IFERROR(MATCH($C$4,Setup!$K$33:$K$36,0),1),N(INDEX('2027'!$AB:$AB,2316)),N(INDEX('2028'!$AB:$AB,2316)),N(INDEX('2029'!$AB:$AB,2316)),N(INDEX('2030'!$AB:$AB,2316))))</f>
        <v/>
      </c>
      <c r="AX16" s="128">
        <f>IF($B16="","",CHOOSE(IFERROR(MATCH($C$4,Setup!$K$33:$K$36,0),1),N(INDEX('2027'!$AB:$AB,2366)),N(INDEX('2028'!$AB:$AB,2366)),N(INDEX('2029'!$AB:$AB,2366)),N(INDEX('2030'!$AB:$AB,2366))))</f>
        <v/>
      </c>
      <c r="AY16" s="128">
        <f>IF($B16="","",CHOOSE(IFERROR(MATCH($C$4,Setup!$K$33:$K$36,0),1),N(INDEX('2027'!$AB:$AB,2416)),N(INDEX('2028'!$AB:$AB,2416)),N(INDEX('2029'!$AB:$AB,2416)),N(INDEX('2030'!$AB:$AB,2416))))</f>
        <v/>
      </c>
      <c r="AZ16" s="128">
        <f>IF($B16="","",CHOOSE(IFERROR(MATCH($C$4,Setup!$K$33:$K$36,0),1),N(INDEX('2027'!$AB:$AB,2466)),N(INDEX('2028'!$AB:$AB,2466)),N(INDEX('2029'!$AB:$AB,2466)),N(INDEX('2030'!$AB:$AB,2466))))</f>
        <v/>
      </c>
      <c r="BA16" s="128">
        <f>IF($B16="","",CHOOSE(IFERROR(MATCH($C$4,Setup!$K$33:$K$36,0),1),N(INDEX('2027'!$AB:$AB,2516)),N(INDEX('2028'!$AB:$AB,2516)),N(INDEX('2029'!$AB:$AB,2516)),N(INDEX('2030'!$AB:$AB,2516))))</f>
        <v/>
      </c>
      <c r="BB16" s="128">
        <f>IF($B16="","",CHOOSE(IFERROR(MATCH($C$4,Setup!$K$33:$K$36,0),1),N(INDEX('2027'!$AB:$AB,2566)),N(INDEX('2028'!$AB:$AB,2566)),N(INDEX('2029'!$AB:$AB,2566)),N(INDEX('2030'!$AB:$AB,2566))))</f>
        <v/>
      </c>
      <c r="BC16" s="128">
        <f>IF($B16="","",CHOOSE(IFERROR(MATCH($C$4,Setup!$K$33:$K$36,0),1),N(INDEX('2027'!$AB:$AB,2616)),N(INDEX('2028'!$AB:$AB,2616)),N(INDEX('2029'!$AB:$AB,2616)),N(INDEX('2030'!$AB:$AB,2616))))</f>
        <v/>
      </c>
      <c r="BE16" s="129">
        <f>IF($B16="","",SUM(C16:BC16))</f>
        <v/>
      </c>
      <c r="BF16" s="130">
        <f>IF($B16="","",COUNTIF(C16:BC16,"&gt;0"))</f>
        <v/>
      </c>
    </row>
    <row r="17" ht="15" customHeight="1">
      <c r="B17" s="127">
        <f>IF(Setup!$K$15="","",Setup!$K$15)</f>
        <v/>
      </c>
      <c r="C17" s="128">
        <f>IF($B17="","",CHOOSE(IFERROR(MATCH($C$4,Setup!$K$33:$K$36,0),1),N(INDEX('2027'!$AB:$AB,17)),N(INDEX('2028'!$AB:$AB,17)),N(INDEX('2029'!$AB:$AB,17)),N(INDEX('2030'!$AB:$AB,17))))</f>
        <v/>
      </c>
      <c r="D17" s="128">
        <f>IF($B17="","",CHOOSE(IFERROR(MATCH($C$4,Setup!$K$33:$K$36,0),1),N(INDEX('2027'!$AB:$AB,67)),N(INDEX('2028'!$AB:$AB,67)),N(INDEX('2029'!$AB:$AB,67)),N(INDEX('2030'!$AB:$AB,67))))</f>
        <v/>
      </c>
      <c r="E17" s="128">
        <f>IF($B17="","",CHOOSE(IFERROR(MATCH($C$4,Setup!$K$33:$K$36,0),1),N(INDEX('2027'!$AB:$AB,117)),N(INDEX('2028'!$AB:$AB,117)),N(INDEX('2029'!$AB:$AB,117)),N(INDEX('2030'!$AB:$AB,117))))</f>
        <v/>
      </c>
      <c r="F17" s="128">
        <f>IF($B17="","",CHOOSE(IFERROR(MATCH($C$4,Setup!$K$33:$K$36,0),1),N(INDEX('2027'!$AB:$AB,167)),N(INDEX('2028'!$AB:$AB,167)),N(INDEX('2029'!$AB:$AB,167)),N(INDEX('2030'!$AB:$AB,167))))</f>
        <v/>
      </c>
      <c r="G17" s="128">
        <f>IF($B17="","",CHOOSE(IFERROR(MATCH($C$4,Setup!$K$33:$K$36,0),1),N(INDEX('2027'!$AB:$AB,217)),N(INDEX('2028'!$AB:$AB,217)),N(INDEX('2029'!$AB:$AB,217)),N(INDEX('2030'!$AB:$AB,217))))</f>
        <v/>
      </c>
      <c r="H17" s="128">
        <f>IF($B17="","",CHOOSE(IFERROR(MATCH($C$4,Setup!$K$33:$K$36,0),1),N(INDEX('2027'!$AB:$AB,267)),N(INDEX('2028'!$AB:$AB,267)),N(INDEX('2029'!$AB:$AB,267)),N(INDEX('2030'!$AB:$AB,267))))</f>
        <v/>
      </c>
      <c r="I17" s="128">
        <f>IF($B17="","",CHOOSE(IFERROR(MATCH($C$4,Setup!$K$33:$K$36,0),1),N(INDEX('2027'!$AB:$AB,317)),N(INDEX('2028'!$AB:$AB,317)),N(INDEX('2029'!$AB:$AB,317)),N(INDEX('2030'!$AB:$AB,317))))</f>
        <v/>
      </c>
      <c r="J17" s="128">
        <f>IF($B17="","",CHOOSE(IFERROR(MATCH($C$4,Setup!$K$33:$K$36,0),1),N(INDEX('2027'!$AB:$AB,367)),N(INDEX('2028'!$AB:$AB,367)),N(INDEX('2029'!$AB:$AB,367)),N(INDEX('2030'!$AB:$AB,367))))</f>
        <v/>
      </c>
      <c r="K17" s="128">
        <f>IF($B17="","",CHOOSE(IFERROR(MATCH($C$4,Setup!$K$33:$K$36,0),1),N(INDEX('2027'!$AB:$AB,417)),N(INDEX('2028'!$AB:$AB,417)),N(INDEX('2029'!$AB:$AB,417)),N(INDEX('2030'!$AB:$AB,417))))</f>
        <v/>
      </c>
      <c r="L17" s="128">
        <f>IF($B17="","",CHOOSE(IFERROR(MATCH($C$4,Setup!$K$33:$K$36,0),1),N(INDEX('2027'!$AB:$AB,467)),N(INDEX('2028'!$AB:$AB,467)),N(INDEX('2029'!$AB:$AB,467)),N(INDEX('2030'!$AB:$AB,467))))</f>
        <v/>
      </c>
      <c r="M17" s="128">
        <f>IF($B17="","",CHOOSE(IFERROR(MATCH($C$4,Setup!$K$33:$K$36,0),1),N(INDEX('2027'!$AB:$AB,517)),N(INDEX('2028'!$AB:$AB,517)),N(INDEX('2029'!$AB:$AB,517)),N(INDEX('2030'!$AB:$AB,517))))</f>
        <v/>
      </c>
      <c r="N17" s="128">
        <f>IF($B17="","",CHOOSE(IFERROR(MATCH($C$4,Setup!$K$33:$K$36,0),1),N(INDEX('2027'!$AB:$AB,567)),N(INDEX('2028'!$AB:$AB,567)),N(INDEX('2029'!$AB:$AB,567)),N(INDEX('2030'!$AB:$AB,567))))</f>
        <v/>
      </c>
      <c r="O17" s="128">
        <f>IF($B17="","",CHOOSE(IFERROR(MATCH($C$4,Setup!$K$33:$K$36,0),1),N(INDEX('2027'!$AB:$AB,617)),N(INDEX('2028'!$AB:$AB,617)),N(INDEX('2029'!$AB:$AB,617)),N(INDEX('2030'!$AB:$AB,617))))</f>
        <v/>
      </c>
      <c r="P17" s="128">
        <f>IF($B17="","",CHOOSE(IFERROR(MATCH($C$4,Setup!$K$33:$K$36,0),1),N(INDEX('2027'!$AB:$AB,667)),N(INDEX('2028'!$AB:$AB,667)),N(INDEX('2029'!$AB:$AB,667)),N(INDEX('2030'!$AB:$AB,667))))</f>
        <v/>
      </c>
      <c r="Q17" s="128">
        <f>IF($B17="","",CHOOSE(IFERROR(MATCH($C$4,Setup!$K$33:$K$36,0),1),N(INDEX('2027'!$AB:$AB,717)),N(INDEX('2028'!$AB:$AB,717)),N(INDEX('2029'!$AB:$AB,717)),N(INDEX('2030'!$AB:$AB,717))))</f>
        <v/>
      </c>
      <c r="R17" s="128">
        <f>IF($B17="","",CHOOSE(IFERROR(MATCH($C$4,Setup!$K$33:$K$36,0),1),N(INDEX('2027'!$AB:$AB,767)),N(INDEX('2028'!$AB:$AB,767)),N(INDEX('2029'!$AB:$AB,767)),N(INDEX('2030'!$AB:$AB,767))))</f>
        <v/>
      </c>
      <c r="S17" s="128">
        <f>IF($B17="","",CHOOSE(IFERROR(MATCH($C$4,Setup!$K$33:$K$36,0),1),N(INDEX('2027'!$AB:$AB,817)),N(INDEX('2028'!$AB:$AB,817)),N(INDEX('2029'!$AB:$AB,817)),N(INDEX('2030'!$AB:$AB,817))))</f>
        <v/>
      </c>
      <c r="T17" s="128">
        <f>IF($B17="","",CHOOSE(IFERROR(MATCH($C$4,Setup!$K$33:$K$36,0),1),N(INDEX('2027'!$AB:$AB,867)),N(INDEX('2028'!$AB:$AB,867)),N(INDEX('2029'!$AB:$AB,867)),N(INDEX('2030'!$AB:$AB,867))))</f>
        <v/>
      </c>
      <c r="U17" s="128">
        <f>IF($B17="","",CHOOSE(IFERROR(MATCH($C$4,Setup!$K$33:$K$36,0),1),N(INDEX('2027'!$AB:$AB,917)),N(INDEX('2028'!$AB:$AB,917)),N(INDEX('2029'!$AB:$AB,917)),N(INDEX('2030'!$AB:$AB,917))))</f>
        <v/>
      </c>
      <c r="V17" s="128">
        <f>IF($B17="","",CHOOSE(IFERROR(MATCH($C$4,Setup!$K$33:$K$36,0),1),N(INDEX('2027'!$AB:$AB,967)),N(INDEX('2028'!$AB:$AB,967)),N(INDEX('2029'!$AB:$AB,967)),N(INDEX('2030'!$AB:$AB,967))))</f>
        <v/>
      </c>
      <c r="W17" s="128">
        <f>IF($B17="","",CHOOSE(IFERROR(MATCH($C$4,Setup!$K$33:$K$36,0),1),N(INDEX('2027'!$AB:$AB,1017)),N(INDEX('2028'!$AB:$AB,1017)),N(INDEX('2029'!$AB:$AB,1017)),N(INDEX('2030'!$AB:$AB,1017))))</f>
        <v/>
      </c>
      <c r="X17" s="128">
        <f>IF($B17="","",CHOOSE(IFERROR(MATCH($C$4,Setup!$K$33:$K$36,0),1),N(INDEX('2027'!$AB:$AB,1067)),N(INDEX('2028'!$AB:$AB,1067)),N(INDEX('2029'!$AB:$AB,1067)),N(INDEX('2030'!$AB:$AB,1067))))</f>
        <v/>
      </c>
      <c r="Y17" s="128">
        <f>IF($B17="","",CHOOSE(IFERROR(MATCH($C$4,Setup!$K$33:$K$36,0),1),N(INDEX('2027'!$AB:$AB,1117)),N(INDEX('2028'!$AB:$AB,1117)),N(INDEX('2029'!$AB:$AB,1117)),N(INDEX('2030'!$AB:$AB,1117))))</f>
        <v/>
      </c>
      <c r="Z17" s="128">
        <f>IF($B17="","",CHOOSE(IFERROR(MATCH($C$4,Setup!$K$33:$K$36,0),1),N(INDEX('2027'!$AB:$AB,1167)),N(INDEX('2028'!$AB:$AB,1167)),N(INDEX('2029'!$AB:$AB,1167)),N(INDEX('2030'!$AB:$AB,1167))))</f>
        <v/>
      </c>
      <c r="AA17" s="128">
        <f>IF($B17="","",CHOOSE(IFERROR(MATCH($C$4,Setup!$K$33:$K$36,0),1),N(INDEX('2027'!$AB:$AB,1217)),N(INDEX('2028'!$AB:$AB,1217)),N(INDEX('2029'!$AB:$AB,1217)),N(INDEX('2030'!$AB:$AB,1217))))</f>
        <v/>
      </c>
      <c r="AB17" s="128">
        <f>IF($B17="","",CHOOSE(IFERROR(MATCH($C$4,Setup!$K$33:$K$36,0),1),N(INDEX('2027'!$AB:$AB,1267)),N(INDEX('2028'!$AB:$AB,1267)),N(INDEX('2029'!$AB:$AB,1267)),N(INDEX('2030'!$AB:$AB,1267))))</f>
        <v/>
      </c>
      <c r="AC17" s="128">
        <f>IF($B17="","",CHOOSE(IFERROR(MATCH($C$4,Setup!$K$33:$K$36,0),1),N(INDEX('2027'!$AB:$AB,1317)),N(INDEX('2028'!$AB:$AB,1317)),N(INDEX('2029'!$AB:$AB,1317)),N(INDEX('2030'!$AB:$AB,1317))))</f>
        <v/>
      </c>
      <c r="AD17" s="128">
        <f>IF($B17="","",CHOOSE(IFERROR(MATCH($C$4,Setup!$K$33:$K$36,0),1),N(INDEX('2027'!$AB:$AB,1367)),N(INDEX('2028'!$AB:$AB,1367)),N(INDEX('2029'!$AB:$AB,1367)),N(INDEX('2030'!$AB:$AB,1367))))</f>
        <v/>
      </c>
      <c r="AE17" s="128">
        <f>IF($B17="","",CHOOSE(IFERROR(MATCH($C$4,Setup!$K$33:$K$36,0),1),N(INDEX('2027'!$AB:$AB,1417)),N(INDEX('2028'!$AB:$AB,1417)),N(INDEX('2029'!$AB:$AB,1417)),N(INDEX('2030'!$AB:$AB,1417))))</f>
        <v/>
      </c>
      <c r="AF17" s="128">
        <f>IF($B17="","",CHOOSE(IFERROR(MATCH($C$4,Setup!$K$33:$K$36,0),1),N(INDEX('2027'!$AB:$AB,1467)),N(INDEX('2028'!$AB:$AB,1467)),N(INDEX('2029'!$AB:$AB,1467)),N(INDEX('2030'!$AB:$AB,1467))))</f>
        <v/>
      </c>
      <c r="AG17" s="128">
        <f>IF($B17="","",CHOOSE(IFERROR(MATCH($C$4,Setup!$K$33:$K$36,0),1),N(INDEX('2027'!$AB:$AB,1517)),N(INDEX('2028'!$AB:$AB,1517)),N(INDEX('2029'!$AB:$AB,1517)),N(INDEX('2030'!$AB:$AB,1517))))</f>
        <v/>
      </c>
      <c r="AH17" s="128">
        <f>IF($B17="","",CHOOSE(IFERROR(MATCH($C$4,Setup!$K$33:$K$36,0),1),N(INDEX('2027'!$AB:$AB,1567)),N(INDEX('2028'!$AB:$AB,1567)),N(INDEX('2029'!$AB:$AB,1567)),N(INDEX('2030'!$AB:$AB,1567))))</f>
        <v/>
      </c>
      <c r="AI17" s="128">
        <f>IF($B17="","",CHOOSE(IFERROR(MATCH($C$4,Setup!$K$33:$K$36,0),1),N(INDEX('2027'!$AB:$AB,1617)),N(INDEX('2028'!$AB:$AB,1617)),N(INDEX('2029'!$AB:$AB,1617)),N(INDEX('2030'!$AB:$AB,1617))))</f>
        <v/>
      </c>
      <c r="AJ17" s="128">
        <f>IF($B17="","",CHOOSE(IFERROR(MATCH($C$4,Setup!$K$33:$K$36,0),1),N(INDEX('2027'!$AB:$AB,1667)),N(INDEX('2028'!$AB:$AB,1667)),N(INDEX('2029'!$AB:$AB,1667)),N(INDEX('2030'!$AB:$AB,1667))))</f>
        <v/>
      </c>
      <c r="AK17" s="128">
        <f>IF($B17="","",CHOOSE(IFERROR(MATCH($C$4,Setup!$K$33:$K$36,0),1),N(INDEX('2027'!$AB:$AB,1717)),N(INDEX('2028'!$AB:$AB,1717)),N(INDEX('2029'!$AB:$AB,1717)),N(INDEX('2030'!$AB:$AB,1717))))</f>
        <v/>
      </c>
      <c r="AL17" s="128">
        <f>IF($B17="","",CHOOSE(IFERROR(MATCH($C$4,Setup!$K$33:$K$36,0),1),N(INDEX('2027'!$AB:$AB,1767)),N(INDEX('2028'!$AB:$AB,1767)),N(INDEX('2029'!$AB:$AB,1767)),N(INDEX('2030'!$AB:$AB,1767))))</f>
        <v/>
      </c>
      <c r="AM17" s="128">
        <f>IF($B17="","",CHOOSE(IFERROR(MATCH($C$4,Setup!$K$33:$K$36,0),1),N(INDEX('2027'!$AB:$AB,1817)),N(INDEX('2028'!$AB:$AB,1817)),N(INDEX('2029'!$AB:$AB,1817)),N(INDEX('2030'!$AB:$AB,1817))))</f>
        <v/>
      </c>
      <c r="AN17" s="128">
        <f>IF($B17="","",CHOOSE(IFERROR(MATCH($C$4,Setup!$K$33:$K$36,0),1),N(INDEX('2027'!$AB:$AB,1867)),N(INDEX('2028'!$AB:$AB,1867)),N(INDEX('2029'!$AB:$AB,1867)),N(INDEX('2030'!$AB:$AB,1867))))</f>
        <v/>
      </c>
      <c r="AO17" s="128">
        <f>IF($B17="","",CHOOSE(IFERROR(MATCH($C$4,Setup!$K$33:$K$36,0),1),N(INDEX('2027'!$AB:$AB,1917)),N(INDEX('2028'!$AB:$AB,1917)),N(INDEX('2029'!$AB:$AB,1917)),N(INDEX('2030'!$AB:$AB,1917))))</f>
        <v/>
      </c>
      <c r="AP17" s="128">
        <f>IF($B17="","",CHOOSE(IFERROR(MATCH($C$4,Setup!$K$33:$K$36,0),1),N(INDEX('2027'!$AB:$AB,1967)),N(INDEX('2028'!$AB:$AB,1967)),N(INDEX('2029'!$AB:$AB,1967)),N(INDEX('2030'!$AB:$AB,1967))))</f>
        <v/>
      </c>
      <c r="AQ17" s="128">
        <f>IF($B17="","",CHOOSE(IFERROR(MATCH($C$4,Setup!$K$33:$K$36,0),1),N(INDEX('2027'!$AB:$AB,2017)),N(INDEX('2028'!$AB:$AB,2017)),N(INDEX('2029'!$AB:$AB,2017)),N(INDEX('2030'!$AB:$AB,2017))))</f>
        <v/>
      </c>
      <c r="AR17" s="128">
        <f>IF($B17="","",CHOOSE(IFERROR(MATCH($C$4,Setup!$K$33:$K$36,0),1),N(INDEX('2027'!$AB:$AB,2067)),N(INDEX('2028'!$AB:$AB,2067)),N(INDEX('2029'!$AB:$AB,2067)),N(INDEX('2030'!$AB:$AB,2067))))</f>
        <v/>
      </c>
      <c r="AS17" s="128">
        <f>IF($B17="","",CHOOSE(IFERROR(MATCH($C$4,Setup!$K$33:$K$36,0),1),N(INDEX('2027'!$AB:$AB,2117)),N(INDEX('2028'!$AB:$AB,2117)),N(INDEX('2029'!$AB:$AB,2117)),N(INDEX('2030'!$AB:$AB,2117))))</f>
        <v/>
      </c>
      <c r="AT17" s="128">
        <f>IF($B17="","",CHOOSE(IFERROR(MATCH($C$4,Setup!$K$33:$K$36,0),1),N(INDEX('2027'!$AB:$AB,2167)),N(INDEX('2028'!$AB:$AB,2167)),N(INDEX('2029'!$AB:$AB,2167)),N(INDEX('2030'!$AB:$AB,2167))))</f>
        <v/>
      </c>
      <c r="AU17" s="128">
        <f>IF($B17="","",CHOOSE(IFERROR(MATCH($C$4,Setup!$K$33:$K$36,0),1),N(INDEX('2027'!$AB:$AB,2217)),N(INDEX('2028'!$AB:$AB,2217)),N(INDEX('2029'!$AB:$AB,2217)),N(INDEX('2030'!$AB:$AB,2217))))</f>
        <v/>
      </c>
      <c r="AV17" s="128">
        <f>IF($B17="","",CHOOSE(IFERROR(MATCH($C$4,Setup!$K$33:$K$36,0),1),N(INDEX('2027'!$AB:$AB,2267)),N(INDEX('2028'!$AB:$AB,2267)),N(INDEX('2029'!$AB:$AB,2267)),N(INDEX('2030'!$AB:$AB,2267))))</f>
        <v/>
      </c>
      <c r="AW17" s="128">
        <f>IF($B17="","",CHOOSE(IFERROR(MATCH($C$4,Setup!$K$33:$K$36,0),1),N(INDEX('2027'!$AB:$AB,2317)),N(INDEX('2028'!$AB:$AB,2317)),N(INDEX('2029'!$AB:$AB,2317)),N(INDEX('2030'!$AB:$AB,2317))))</f>
        <v/>
      </c>
      <c r="AX17" s="128">
        <f>IF($B17="","",CHOOSE(IFERROR(MATCH($C$4,Setup!$K$33:$K$36,0),1),N(INDEX('2027'!$AB:$AB,2367)),N(INDEX('2028'!$AB:$AB,2367)),N(INDEX('2029'!$AB:$AB,2367)),N(INDEX('2030'!$AB:$AB,2367))))</f>
        <v/>
      </c>
      <c r="AY17" s="128">
        <f>IF($B17="","",CHOOSE(IFERROR(MATCH($C$4,Setup!$K$33:$K$36,0),1),N(INDEX('2027'!$AB:$AB,2417)),N(INDEX('2028'!$AB:$AB,2417)),N(INDEX('2029'!$AB:$AB,2417)),N(INDEX('2030'!$AB:$AB,2417))))</f>
        <v/>
      </c>
      <c r="AZ17" s="128">
        <f>IF($B17="","",CHOOSE(IFERROR(MATCH($C$4,Setup!$K$33:$K$36,0),1),N(INDEX('2027'!$AB:$AB,2467)),N(INDEX('2028'!$AB:$AB,2467)),N(INDEX('2029'!$AB:$AB,2467)),N(INDEX('2030'!$AB:$AB,2467))))</f>
        <v/>
      </c>
      <c r="BA17" s="128">
        <f>IF($B17="","",CHOOSE(IFERROR(MATCH($C$4,Setup!$K$33:$K$36,0),1),N(INDEX('2027'!$AB:$AB,2517)),N(INDEX('2028'!$AB:$AB,2517)),N(INDEX('2029'!$AB:$AB,2517)),N(INDEX('2030'!$AB:$AB,2517))))</f>
        <v/>
      </c>
      <c r="BB17" s="128">
        <f>IF($B17="","",CHOOSE(IFERROR(MATCH($C$4,Setup!$K$33:$K$36,0),1),N(INDEX('2027'!$AB:$AB,2567)),N(INDEX('2028'!$AB:$AB,2567)),N(INDEX('2029'!$AB:$AB,2567)),N(INDEX('2030'!$AB:$AB,2567))))</f>
        <v/>
      </c>
      <c r="BC17" s="128">
        <f>IF($B17="","",CHOOSE(IFERROR(MATCH($C$4,Setup!$K$33:$K$36,0),1),N(INDEX('2027'!$AB:$AB,2617)),N(INDEX('2028'!$AB:$AB,2617)),N(INDEX('2029'!$AB:$AB,2617)),N(INDEX('2030'!$AB:$AB,2617))))</f>
        <v/>
      </c>
      <c r="BE17" s="129">
        <f>IF($B17="","",SUM(C17:BC17))</f>
        <v/>
      </c>
      <c r="BF17" s="130">
        <f>IF($B17="","",COUNTIF(C17:BC17,"&gt;0"))</f>
        <v/>
      </c>
    </row>
    <row r="18" ht="15" customHeight="1">
      <c r="B18" s="127">
        <f>IF(Setup!$K$16="","",Setup!$K$16)</f>
        <v/>
      </c>
      <c r="C18" s="128">
        <f>IF($B18="","",CHOOSE(IFERROR(MATCH($C$4,Setup!$K$33:$K$36,0),1),N(INDEX('2027'!$AB:$AB,18)),N(INDEX('2028'!$AB:$AB,18)),N(INDEX('2029'!$AB:$AB,18)),N(INDEX('2030'!$AB:$AB,18))))</f>
        <v/>
      </c>
      <c r="D18" s="128">
        <f>IF($B18="","",CHOOSE(IFERROR(MATCH($C$4,Setup!$K$33:$K$36,0),1),N(INDEX('2027'!$AB:$AB,68)),N(INDEX('2028'!$AB:$AB,68)),N(INDEX('2029'!$AB:$AB,68)),N(INDEX('2030'!$AB:$AB,68))))</f>
        <v/>
      </c>
      <c r="E18" s="128">
        <f>IF($B18="","",CHOOSE(IFERROR(MATCH($C$4,Setup!$K$33:$K$36,0),1),N(INDEX('2027'!$AB:$AB,118)),N(INDEX('2028'!$AB:$AB,118)),N(INDEX('2029'!$AB:$AB,118)),N(INDEX('2030'!$AB:$AB,118))))</f>
        <v/>
      </c>
      <c r="F18" s="128">
        <f>IF($B18="","",CHOOSE(IFERROR(MATCH($C$4,Setup!$K$33:$K$36,0),1),N(INDEX('2027'!$AB:$AB,168)),N(INDEX('2028'!$AB:$AB,168)),N(INDEX('2029'!$AB:$AB,168)),N(INDEX('2030'!$AB:$AB,168))))</f>
        <v/>
      </c>
      <c r="G18" s="128">
        <f>IF($B18="","",CHOOSE(IFERROR(MATCH($C$4,Setup!$K$33:$K$36,0),1),N(INDEX('2027'!$AB:$AB,218)),N(INDEX('2028'!$AB:$AB,218)),N(INDEX('2029'!$AB:$AB,218)),N(INDEX('2030'!$AB:$AB,218))))</f>
        <v/>
      </c>
      <c r="H18" s="128">
        <f>IF($B18="","",CHOOSE(IFERROR(MATCH($C$4,Setup!$K$33:$K$36,0),1),N(INDEX('2027'!$AB:$AB,268)),N(INDEX('2028'!$AB:$AB,268)),N(INDEX('2029'!$AB:$AB,268)),N(INDEX('2030'!$AB:$AB,268))))</f>
        <v/>
      </c>
      <c r="I18" s="128">
        <f>IF($B18="","",CHOOSE(IFERROR(MATCH($C$4,Setup!$K$33:$K$36,0),1),N(INDEX('2027'!$AB:$AB,318)),N(INDEX('2028'!$AB:$AB,318)),N(INDEX('2029'!$AB:$AB,318)),N(INDEX('2030'!$AB:$AB,318))))</f>
        <v/>
      </c>
      <c r="J18" s="128">
        <f>IF($B18="","",CHOOSE(IFERROR(MATCH($C$4,Setup!$K$33:$K$36,0),1),N(INDEX('2027'!$AB:$AB,368)),N(INDEX('2028'!$AB:$AB,368)),N(INDEX('2029'!$AB:$AB,368)),N(INDEX('2030'!$AB:$AB,368))))</f>
        <v/>
      </c>
      <c r="K18" s="128">
        <f>IF($B18="","",CHOOSE(IFERROR(MATCH($C$4,Setup!$K$33:$K$36,0),1),N(INDEX('2027'!$AB:$AB,418)),N(INDEX('2028'!$AB:$AB,418)),N(INDEX('2029'!$AB:$AB,418)),N(INDEX('2030'!$AB:$AB,418))))</f>
        <v/>
      </c>
      <c r="L18" s="128">
        <f>IF($B18="","",CHOOSE(IFERROR(MATCH($C$4,Setup!$K$33:$K$36,0),1),N(INDEX('2027'!$AB:$AB,468)),N(INDEX('2028'!$AB:$AB,468)),N(INDEX('2029'!$AB:$AB,468)),N(INDEX('2030'!$AB:$AB,468))))</f>
        <v/>
      </c>
      <c r="M18" s="128">
        <f>IF($B18="","",CHOOSE(IFERROR(MATCH($C$4,Setup!$K$33:$K$36,0),1),N(INDEX('2027'!$AB:$AB,518)),N(INDEX('2028'!$AB:$AB,518)),N(INDEX('2029'!$AB:$AB,518)),N(INDEX('2030'!$AB:$AB,518))))</f>
        <v/>
      </c>
      <c r="N18" s="128">
        <f>IF($B18="","",CHOOSE(IFERROR(MATCH($C$4,Setup!$K$33:$K$36,0),1),N(INDEX('2027'!$AB:$AB,568)),N(INDEX('2028'!$AB:$AB,568)),N(INDEX('2029'!$AB:$AB,568)),N(INDEX('2030'!$AB:$AB,568))))</f>
        <v/>
      </c>
      <c r="O18" s="128">
        <f>IF($B18="","",CHOOSE(IFERROR(MATCH($C$4,Setup!$K$33:$K$36,0),1),N(INDEX('2027'!$AB:$AB,618)),N(INDEX('2028'!$AB:$AB,618)),N(INDEX('2029'!$AB:$AB,618)),N(INDEX('2030'!$AB:$AB,618))))</f>
        <v/>
      </c>
      <c r="P18" s="128">
        <f>IF($B18="","",CHOOSE(IFERROR(MATCH($C$4,Setup!$K$33:$K$36,0),1),N(INDEX('2027'!$AB:$AB,668)),N(INDEX('2028'!$AB:$AB,668)),N(INDEX('2029'!$AB:$AB,668)),N(INDEX('2030'!$AB:$AB,668))))</f>
        <v/>
      </c>
      <c r="Q18" s="128">
        <f>IF($B18="","",CHOOSE(IFERROR(MATCH($C$4,Setup!$K$33:$K$36,0),1),N(INDEX('2027'!$AB:$AB,718)),N(INDEX('2028'!$AB:$AB,718)),N(INDEX('2029'!$AB:$AB,718)),N(INDEX('2030'!$AB:$AB,718))))</f>
        <v/>
      </c>
      <c r="R18" s="128">
        <f>IF($B18="","",CHOOSE(IFERROR(MATCH($C$4,Setup!$K$33:$K$36,0),1),N(INDEX('2027'!$AB:$AB,768)),N(INDEX('2028'!$AB:$AB,768)),N(INDEX('2029'!$AB:$AB,768)),N(INDEX('2030'!$AB:$AB,768))))</f>
        <v/>
      </c>
      <c r="S18" s="128">
        <f>IF($B18="","",CHOOSE(IFERROR(MATCH($C$4,Setup!$K$33:$K$36,0),1),N(INDEX('2027'!$AB:$AB,818)),N(INDEX('2028'!$AB:$AB,818)),N(INDEX('2029'!$AB:$AB,818)),N(INDEX('2030'!$AB:$AB,818))))</f>
        <v/>
      </c>
      <c r="T18" s="128">
        <f>IF($B18="","",CHOOSE(IFERROR(MATCH($C$4,Setup!$K$33:$K$36,0),1),N(INDEX('2027'!$AB:$AB,868)),N(INDEX('2028'!$AB:$AB,868)),N(INDEX('2029'!$AB:$AB,868)),N(INDEX('2030'!$AB:$AB,868))))</f>
        <v/>
      </c>
      <c r="U18" s="128">
        <f>IF($B18="","",CHOOSE(IFERROR(MATCH($C$4,Setup!$K$33:$K$36,0),1),N(INDEX('2027'!$AB:$AB,918)),N(INDEX('2028'!$AB:$AB,918)),N(INDEX('2029'!$AB:$AB,918)),N(INDEX('2030'!$AB:$AB,918))))</f>
        <v/>
      </c>
      <c r="V18" s="128">
        <f>IF($B18="","",CHOOSE(IFERROR(MATCH($C$4,Setup!$K$33:$K$36,0),1),N(INDEX('2027'!$AB:$AB,968)),N(INDEX('2028'!$AB:$AB,968)),N(INDEX('2029'!$AB:$AB,968)),N(INDEX('2030'!$AB:$AB,968))))</f>
        <v/>
      </c>
      <c r="W18" s="128">
        <f>IF($B18="","",CHOOSE(IFERROR(MATCH($C$4,Setup!$K$33:$K$36,0),1),N(INDEX('2027'!$AB:$AB,1018)),N(INDEX('2028'!$AB:$AB,1018)),N(INDEX('2029'!$AB:$AB,1018)),N(INDEX('2030'!$AB:$AB,1018))))</f>
        <v/>
      </c>
      <c r="X18" s="128">
        <f>IF($B18="","",CHOOSE(IFERROR(MATCH($C$4,Setup!$K$33:$K$36,0),1),N(INDEX('2027'!$AB:$AB,1068)),N(INDEX('2028'!$AB:$AB,1068)),N(INDEX('2029'!$AB:$AB,1068)),N(INDEX('2030'!$AB:$AB,1068))))</f>
        <v/>
      </c>
      <c r="Y18" s="128">
        <f>IF($B18="","",CHOOSE(IFERROR(MATCH($C$4,Setup!$K$33:$K$36,0),1),N(INDEX('2027'!$AB:$AB,1118)),N(INDEX('2028'!$AB:$AB,1118)),N(INDEX('2029'!$AB:$AB,1118)),N(INDEX('2030'!$AB:$AB,1118))))</f>
        <v/>
      </c>
      <c r="Z18" s="128">
        <f>IF($B18="","",CHOOSE(IFERROR(MATCH($C$4,Setup!$K$33:$K$36,0),1),N(INDEX('2027'!$AB:$AB,1168)),N(INDEX('2028'!$AB:$AB,1168)),N(INDEX('2029'!$AB:$AB,1168)),N(INDEX('2030'!$AB:$AB,1168))))</f>
        <v/>
      </c>
      <c r="AA18" s="128">
        <f>IF($B18="","",CHOOSE(IFERROR(MATCH($C$4,Setup!$K$33:$K$36,0),1),N(INDEX('2027'!$AB:$AB,1218)),N(INDEX('2028'!$AB:$AB,1218)),N(INDEX('2029'!$AB:$AB,1218)),N(INDEX('2030'!$AB:$AB,1218))))</f>
        <v/>
      </c>
      <c r="AB18" s="128">
        <f>IF($B18="","",CHOOSE(IFERROR(MATCH($C$4,Setup!$K$33:$K$36,0),1),N(INDEX('2027'!$AB:$AB,1268)),N(INDEX('2028'!$AB:$AB,1268)),N(INDEX('2029'!$AB:$AB,1268)),N(INDEX('2030'!$AB:$AB,1268))))</f>
        <v/>
      </c>
      <c r="AC18" s="128">
        <f>IF($B18="","",CHOOSE(IFERROR(MATCH($C$4,Setup!$K$33:$K$36,0),1),N(INDEX('2027'!$AB:$AB,1318)),N(INDEX('2028'!$AB:$AB,1318)),N(INDEX('2029'!$AB:$AB,1318)),N(INDEX('2030'!$AB:$AB,1318))))</f>
        <v/>
      </c>
      <c r="AD18" s="128">
        <f>IF($B18="","",CHOOSE(IFERROR(MATCH($C$4,Setup!$K$33:$K$36,0),1),N(INDEX('2027'!$AB:$AB,1368)),N(INDEX('2028'!$AB:$AB,1368)),N(INDEX('2029'!$AB:$AB,1368)),N(INDEX('2030'!$AB:$AB,1368))))</f>
        <v/>
      </c>
      <c r="AE18" s="128">
        <f>IF($B18="","",CHOOSE(IFERROR(MATCH($C$4,Setup!$K$33:$K$36,0),1),N(INDEX('2027'!$AB:$AB,1418)),N(INDEX('2028'!$AB:$AB,1418)),N(INDEX('2029'!$AB:$AB,1418)),N(INDEX('2030'!$AB:$AB,1418))))</f>
        <v/>
      </c>
      <c r="AF18" s="128">
        <f>IF($B18="","",CHOOSE(IFERROR(MATCH($C$4,Setup!$K$33:$K$36,0),1),N(INDEX('2027'!$AB:$AB,1468)),N(INDEX('2028'!$AB:$AB,1468)),N(INDEX('2029'!$AB:$AB,1468)),N(INDEX('2030'!$AB:$AB,1468))))</f>
        <v/>
      </c>
      <c r="AG18" s="128">
        <f>IF($B18="","",CHOOSE(IFERROR(MATCH($C$4,Setup!$K$33:$K$36,0),1),N(INDEX('2027'!$AB:$AB,1518)),N(INDEX('2028'!$AB:$AB,1518)),N(INDEX('2029'!$AB:$AB,1518)),N(INDEX('2030'!$AB:$AB,1518))))</f>
        <v/>
      </c>
      <c r="AH18" s="128">
        <f>IF($B18="","",CHOOSE(IFERROR(MATCH($C$4,Setup!$K$33:$K$36,0),1),N(INDEX('2027'!$AB:$AB,1568)),N(INDEX('2028'!$AB:$AB,1568)),N(INDEX('2029'!$AB:$AB,1568)),N(INDEX('2030'!$AB:$AB,1568))))</f>
        <v/>
      </c>
      <c r="AI18" s="128">
        <f>IF($B18="","",CHOOSE(IFERROR(MATCH($C$4,Setup!$K$33:$K$36,0),1),N(INDEX('2027'!$AB:$AB,1618)),N(INDEX('2028'!$AB:$AB,1618)),N(INDEX('2029'!$AB:$AB,1618)),N(INDEX('2030'!$AB:$AB,1618))))</f>
        <v/>
      </c>
      <c r="AJ18" s="128">
        <f>IF($B18="","",CHOOSE(IFERROR(MATCH($C$4,Setup!$K$33:$K$36,0),1),N(INDEX('2027'!$AB:$AB,1668)),N(INDEX('2028'!$AB:$AB,1668)),N(INDEX('2029'!$AB:$AB,1668)),N(INDEX('2030'!$AB:$AB,1668))))</f>
        <v/>
      </c>
      <c r="AK18" s="128">
        <f>IF($B18="","",CHOOSE(IFERROR(MATCH($C$4,Setup!$K$33:$K$36,0),1),N(INDEX('2027'!$AB:$AB,1718)),N(INDEX('2028'!$AB:$AB,1718)),N(INDEX('2029'!$AB:$AB,1718)),N(INDEX('2030'!$AB:$AB,1718))))</f>
        <v/>
      </c>
      <c r="AL18" s="128">
        <f>IF($B18="","",CHOOSE(IFERROR(MATCH($C$4,Setup!$K$33:$K$36,0),1),N(INDEX('2027'!$AB:$AB,1768)),N(INDEX('2028'!$AB:$AB,1768)),N(INDEX('2029'!$AB:$AB,1768)),N(INDEX('2030'!$AB:$AB,1768))))</f>
        <v/>
      </c>
      <c r="AM18" s="128">
        <f>IF($B18="","",CHOOSE(IFERROR(MATCH($C$4,Setup!$K$33:$K$36,0),1),N(INDEX('2027'!$AB:$AB,1818)),N(INDEX('2028'!$AB:$AB,1818)),N(INDEX('2029'!$AB:$AB,1818)),N(INDEX('2030'!$AB:$AB,1818))))</f>
        <v/>
      </c>
      <c r="AN18" s="128">
        <f>IF($B18="","",CHOOSE(IFERROR(MATCH($C$4,Setup!$K$33:$K$36,0),1),N(INDEX('2027'!$AB:$AB,1868)),N(INDEX('2028'!$AB:$AB,1868)),N(INDEX('2029'!$AB:$AB,1868)),N(INDEX('2030'!$AB:$AB,1868))))</f>
        <v/>
      </c>
      <c r="AO18" s="128">
        <f>IF($B18="","",CHOOSE(IFERROR(MATCH($C$4,Setup!$K$33:$K$36,0),1),N(INDEX('2027'!$AB:$AB,1918)),N(INDEX('2028'!$AB:$AB,1918)),N(INDEX('2029'!$AB:$AB,1918)),N(INDEX('2030'!$AB:$AB,1918))))</f>
        <v/>
      </c>
      <c r="AP18" s="128">
        <f>IF($B18="","",CHOOSE(IFERROR(MATCH($C$4,Setup!$K$33:$K$36,0),1),N(INDEX('2027'!$AB:$AB,1968)),N(INDEX('2028'!$AB:$AB,1968)),N(INDEX('2029'!$AB:$AB,1968)),N(INDEX('2030'!$AB:$AB,1968))))</f>
        <v/>
      </c>
      <c r="AQ18" s="128">
        <f>IF($B18="","",CHOOSE(IFERROR(MATCH($C$4,Setup!$K$33:$K$36,0),1),N(INDEX('2027'!$AB:$AB,2018)),N(INDEX('2028'!$AB:$AB,2018)),N(INDEX('2029'!$AB:$AB,2018)),N(INDEX('2030'!$AB:$AB,2018))))</f>
        <v/>
      </c>
      <c r="AR18" s="128">
        <f>IF($B18="","",CHOOSE(IFERROR(MATCH($C$4,Setup!$K$33:$K$36,0),1),N(INDEX('2027'!$AB:$AB,2068)),N(INDEX('2028'!$AB:$AB,2068)),N(INDEX('2029'!$AB:$AB,2068)),N(INDEX('2030'!$AB:$AB,2068))))</f>
        <v/>
      </c>
      <c r="AS18" s="128">
        <f>IF($B18="","",CHOOSE(IFERROR(MATCH($C$4,Setup!$K$33:$K$36,0),1),N(INDEX('2027'!$AB:$AB,2118)),N(INDEX('2028'!$AB:$AB,2118)),N(INDEX('2029'!$AB:$AB,2118)),N(INDEX('2030'!$AB:$AB,2118))))</f>
        <v/>
      </c>
      <c r="AT18" s="128">
        <f>IF($B18="","",CHOOSE(IFERROR(MATCH($C$4,Setup!$K$33:$K$36,0),1),N(INDEX('2027'!$AB:$AB,2168)),N(INDEX('2028'!$AB:$AB,2168)),N(INDEX('2029'!$AB:$AB,2168)),N(INDEX('2030'!$AB:$AB,2168))))</f>
        <v/>
      </c>
      <c r="AU18" s="128">
        <f>IF($B18="","",CHOOSE(IFERROR(MATCH($C$4,Setup!$K$33:$K$36,0),1),N(INDEX('2027'!$AB:$AB,2218)),N(INDEX('2028'!$AB:$AB,2218)),N(INDEX('2029'!$AB:$AB,2218)),N(INDEX('2030'!$AB:$AB,2218))))</f>
        <v/>
      </c>
      <c r="AV18" s="128">
        <f>IF($B18="","",CHOOSE(IFERROR(MATCH($C$4,Setup!$K$33:$K$36,0),1),N(INDEX('2027'!$AB:$AB,2268)),N(INDEX('2028'!$AB:$AB,2268)),N(INDEX('2029'!$AB:$AB,2268)),N(INDEX('2030'!$AB:$AB,2268))))</f>
        <v/>
      </c>
      <c r="AW18" s="128">
        <f>IF($B18="","",CHOOSE(IFERROR(MATCH($C$4,Setup!$K$33:$K$36,0),1),N(INDEX('2027'!$AB:$AB,2318)),N(INDEX('2028'!$AB:$AB,2318)),N(INDEX('2029'!$AB:$AB,2318)),N(INDEX('2030'!$AB:$AB,2318))))</f>
        <v/>
      </c>
      <c r="AX18" s="128">
        <f>IF($B18="","",CHOOSE(IFERROR(MATCH($C$4,Setup!$K$33:$K$36,0),1),N(INDEX('2027'!$AB:$AB,2368)),N(INDEX('2028'!$AB:$AB,2368)),N(INDEX('2029'!$AB:$AB,2368)),N(INDEX('2030'!$AB:$AB,2368))))</f>
        <v/>
      </c>
      <c r="AY18" s="128">
        <f>IF($B18="","",CHOOSE(IFERROR(MATCH($C$4,Setup!$K$33:$K$36,0),1),N(INDEX('2027'!$AB:$AB,2418)),N(INDEX('2028'!$AB:$AB,2418)),N(INDEX('2029'!$AB:$AB,2418)),N(INDEX('2030'!$AB:$AB,2418))))</f>
        <v/>
      </c>
      <c r="AZ18" s="128">
        <f>IF($B18="","",CHOOSE(IFERROR(MATCH($C$4,Setup!$K$33:$K$36,0),1),N(INDEX('2027'!$AB:$AB,2468)),N(INDEX('2028'!$AB:$AB,2468)),N(INDEX('2029'!$AB:$AB,2468)),N(INDEX('2030'!$AB:$AB,2468))))</f>
        <v/>
      </c>
      <c r="BA18" s="128">
        <f>IF($B18="","",CHOOSE(IFERROR(MATCH($C$4,Setup!$K$33:$K$36,0),1),N(INDEX('2027'!$AB:$AB,2518)),N(INDEX('2028'!$AB:$AB,2518)),N(INDEX('2029'!$AB:$AB,2518)),N(INDEX('2030'!$AB:$AB,2518))))</f>
        <v/>
      </c>
      <c r="BB18" s="128">
        <f>IF($B18="","",CHOOSE(IFERROR(MATCH($C$4,Setup!$K$33:$K$36,0),1),N(INDEX('2027'!$AB:$AB,2568)),N(INDEX('2028'!$AB:$AB,2568)),N(INDEX('2029'!$AB:$AB,2568)),N(INDEX('2030'!$AB:$AB,2568))))</f>
        <v/>
      </c>
      <c r="BC18" s="128">
        <f>IF($B18="","",CHOOSE(IFERROR(MATCH($C$4,Setup!$K$33:$K$36,0),1),N(INDEX('2027'!$AB:$AB,2618)),N(INDEX('2028'!$AB:$AB,2618)),N(INDEX('2029'!$AB:$AB,2618)),N(INDEX('2030'!$AB:$AB,2618))))</f>
        <v/>
      </c>
      <c r="BE18" s="129">
        <f>IF($B18="","",SUM(C18:BC18))</f>
        <v/>
      </c>
      <c r="BF18" s="130">
        <f>IF($B18="","",COUNTIF(C18:BC18,"&gt;0"))</f>
        <v/>
      </c>
    </row>
    <row r="19" ht="15" customHeight="1">
      <c r="B19" s="127">
        <f>IF(Setup!$K$17="","",Setup!$K$17)</f>
        <v/>
      </c>
      <c r="C19" s="128">
        <f>IF($B19="","",CHOOSE(IFERROR(MATCH($C$4,Setup!$K$33:$K$36,0),1),N(INDEX('2027'!$AB:$AB,19)),N(INDEX('2028'!$AB:$AB,19)),N(INDEX('2029'!$AB:$AB,19)),N(INDEX('2030'!$AB:$AB,19))))</f>
        <v/>
      </c>
      <c r="D19" s="128">
        <f>IF($B19="","",CHOOSE(IFERROR(MATCH($C$4,Setup!$K$33:$K$36,0),1),N(INDEX('2027'!$AB:$AB,69)),N(INDEX('2028'!$AB:$AB,69)),N(INDEX('2029'!$AB:$AB,69)),N(INDEX('2030'!$AB:$AB,69))))</f>
        <v/>
      </c>
      <c r="E19" s="128">
        <f>IF($B19="","",CHOOSE(IFERROR(MATCH($C$4,Setup!$K$33:$K$36,0),1),N(INDEX('2027'!$AB:$AB,119)),N(INDEX('2028'!$AB:$AB,119)),N(INDEX('2029'!$AB:$AB,119)),N(INDEX('2030'!$AB:$AB,119))))</f>
        <v/>
      </c>
      <c r="F19" s="128">
        <f>IF($B19="","",CHOOSE(IFERROR(MATCH($C$4,Setup!$K$33:$K$36,0),1),N(INDEX('2027'!$AB:$AB,169)),N(INDEX('2028'!$AB:$AB,169)),N(INDEX('2029'!$AB:$AB,169)),N(INDEX('2030'!$AB:$AB,169))))</f>
        <v/>
      </c>
      <c r="G19" s="128">
        <f>IF($B19="","",CHOOSE(IFERROR(MATCH($C$4,Setup!$K$33:$K$36,0),1),N(INDEX('2027'!$AB:$AB,219)),N(INDEX('2028'!$AB:$AB,219)),N(INDEX('2029'!$AB:$AB,219)),N(INDEX('2030'!$AB:$AB,219))))</f>
        <v/>
      </c>
      <c r="H19" s="128">
        <f>IF($B19="","",CHOOSE(IFERROR(MATCH($C$4,Setup!$K$33:$K$36,0),1),N(INDEX('2027'!$AB:$AB,269)),N(INDEX('2028'!$AB:$AB,269)),N(INDEX('2029'!$AB:$AB,269)),N(INDEX('2030'!$AB:$AB,269))))</f>
        <v/>
      </c>
      <c r="I19" s="128">
        <f>IF($B19="","",CHOOSE(IFERROR(MATCH($C$4,Setup!$K$33:$K$36,0),1),N(INDEX('2027'!$AB:$AB,319)),N(INDEX('2028'!$AB:$AB,319)),N(INDEX('2029'!$AB:$AB,319)),N(INDEX('2030'!$AB:$AB,319))))</f>
        <v/>
      </c>
      <c r="J19" s="128">
        <f>IF($B19="","",CHOOSE(IFERROR(MATCH($C$4,Setup!$K$33:$K$36,0),1),N(INDEX('2027'!$AB:$AB,369)),N(INDEX('2028'!$AB:$AB,369)),N(INDEX('2029'!$AB:$AB,369)),N(INDEX('2030'!$AB:$AB,369))))</f>
        <v/>
      </c>
      <c r="K19" s="128">
        <f>IF($B19="","",CHOOSE(IFERROR(MATCH($C$4,Setup!$K$33:$K$36,0),1),N(INDEX('2027'!$AB:$AB,419)),N(INDEX('2028'!$AB:$AB,419)),N(INDEX('2029'!$AB:$AB,419)),N(INDEX('2030'!$AB:$AB,419))))</f>
        <v/>
      </c>
      <c r="L19" s="128">
        <f>IF($B19="","",CHOOSE(IFERROR(MATCH($C$4,Setup!$K$33:$K$36,0),1),N(INDEX('2027'!$AB:$AB,469)),N(INDEX('2028'!$AB:$AB,469)),N(INDEX('2029'!$AB:$AB,469)),N(INDEX('2030'!$AB:$AB,469))))</f>
        <v/>
      </c>
      <c r="M19" s="128">
        <f>IF($B19="","",CHOOSE(IFERROR(MATCH($C$4,Setup!$K$33:$K$36,0),1),N(INDEX('2027'!$AB:$AB,519)),N(INDEX('2028'!$AB:$AB,519)),N(INDEX('2029'!$AB:$AB,519)),N(INDEX('2030'!$AB:$AB,519))))</f>
        <v/>
      </c>
      <c r="N19" s="128">
        <f>IF($B19="","",CHOOSE(IFERROR(MATCH($C$4,Setup!$K$33:$K$36,0),1),N(INDEX('2027'!$AB:$AB,569)),N(INDEX('2028'!$AB:$AB,569)),N(INDEX('2029'!$AB:$AB,569)),N(INDEX('2030'!$AB:$AB,569))))</f>
        <v/>
      </c>
      <c r="O19" s="128">
        <f>IF($B19="","",CHOOSE(IFERROR(MATCH($C$4,Setup!$K$33:$K$36,0),1),N(INDEX('2027'!$AB:$AB,619)),N(INDEX('2028'!$AB:$AB,619)),N(INDEX('2029'!$AB:$AB,619)),N(INDEX('2030'!$AB:$AB,619))))</f>
        <v/>
      </c>
      <c r="P19" s="128">
        <f>IF($B19="","",CHOOSE(IFERROR(MATCH($C$4,Setup!$K$33:$K$36,0),1),N(INDEX('2027'!$AB:$AB,669)),N(INDEX('2028'!$AB:$AB,669)),N(INDEX('2029'!$AB:$AB,669)),N(INDEX('2030'!$AB:$AB,669))))</f>
        <v/>
      </c>
      <c r="Q19" s="128">
        <f>IF($B19="","",CHOOSE(IFERROR(MATCH($C$4,Setup!$K$33:$K$36,0),1),N(INDEX('2027'!$AB:$AB,719)),N(INDEX('2028'!$AB:$AB,719)),N(INDEX('2029'!$AB:$AB,719)),N(INDEX('2030'!$AB:$AB,719))))</f>
        <v/>
      </c>
      <c r="R19" s="128">
        <f>IF($B19="","",CHOOSE(IFERROR(MATCH($C$4,Setup!$K$33:$K$36,0),1),N(INDEX('2027'!$AB:$AB,769)),N(INDEX('2028'!$AB:$AB,769)),N(INDEX('2029'!$AB:$AB,769)),N(INDEX('2030'!$AB:$AB,769))))</f>
        <v/>
      </c>
      <c r="S19" s="128">
        <f>IF($B19="","",CHOOSE(IFERROR(MATCH($C$4,Setup!$K$33:$K$36,0),1),N(INDEX('2027'!$AB:$AB,819)),N(INDEX('2028'!$AB:$AB,819)),N(INDEX('2029'!$AB:$AB,819)),N(INDEX('2030'!$AB:$AB,819))))</f>
        <v/>
      </c>
      <c r="T19" s="128">
        <f>IF($B19="","",CHOOSE(IFERROR(MATCH($C$4,Setup!$K$33:$K$36,0),1),N(INDEX('2027'!$AB:$AB,869)),N(INDEX('2028'!$AB:$AB,869)),N(INDEX('2029'!$AB:$AB,869)),N(INDEX('2030'!$AB:$AB,869))))</f>
        <v/>
      </c>
      <c r="U19" s="128">
        <f>IF($B19="","",CHOOSE(IFERROR(MATCH($C$4,Setup!$K$33:$K$36,0),1),N(INDEX('2027'!$AB:$AB,919)),N(INDEX('2028'!$AB:$AB,919)),N(INDEX('2029'!$AB:$AB,919)),N(INDEX('2030'!$AB:$AB,919))))</f>
        <v/>
      </c>
      <c r="V19" s="128">
        <f>IF($B19="","",CHOOSE(IFERROR(MATCH($C$4,Setup!$K$33:$K$36,0),1),N(INDEX('2027'!$AB:$AB,969)),N(INDEX('2028'!$AB:$AB,969)),N(INDEX('2029'!$AB:$AB,969)),N(INDEX('2030'!$AB:$AB,969))))</f>
        <v/>
      </c>
      <c r="W19" s="128">
        <f>IF($B19="","",CHOOSE(IFERROR(MATCH($C$4,Setup!$K$33:$K$36,0),1),N(INDEX('2027'!$AB:$AB,1019)),N(INDEX('2028'!$AB:$AB,1019)),N(INDEX('2029'!$AB:$AB,1019)),N(INDEX('2030'!$AB:$AB,1019))))</f>
        <v/>
      </c>
      <c r="X19" s="128">
        <f>IF($B19="","",CHOOSE(IFERROR(MATCH($C$4,Setup!$K$33:$K$36,0),1),N(INDEX('2027'!$AB:$AB,1069)),N(INDEX('2028'!$AB:$AB,1069)),N(INDEX('2029'!$AB:$AB,1069)),N(INDEX('2030'!$AB:$AB,1069))))</f>
        <v/>
      </c>
      <c r="Y19" s="128">
        <f>IF($B19="","",CHOOSE(IFERROR(MATCH($C$4,Setup!$K$33:$K$36,0),1),N(INDEX('2027'!$AB:$AB,1119)),N(INDEX('2028'!$AB:$AB,1119)),N(INDEX('2029'!$AB:$AB,1119)),N(INDEX('2030'!$AB:$AB,1119))))</f>
        <v/>
      </c>
      <c r="Z19" s="128">
        <f>IF($B19="","",CHOOSE(IFERROR(MATCH($C$4,Setup!$K$33:$K$36,0),1),N(INDEX('2027'!$AB:$AB,1169)),N(INDEX('2028'!$AB:$AB,1169)),N(INDEX('2029'!$AB:$AB,1169)),N(INDEX('2030'!$AB:$AB,1169))))</f>
        <v/>
      </c>
      <c r="AA19" s="128">
        <f>IF($B19="","",CHOOSE(IFERROR(MATCH($C$4,Setup!$K$33:$K$36,0),1),N(INDEX('2027'!$AB:$AB,1219)),N(INDEX('2028'!$AB:$AB,1219)),N(INDEX('2029'!$AB:$AB,1219)),N(INDEX('2030'!$AB:$AB,1219))))</f>
        <v/>
      </c>
      <c r="AB19" s="128">
        <f>IF($B19="","",CHOOSE(IFERROR(MATCH($C$4,Setup!$K$33:$K$36,0),1),N(INDEX('2027'!$AB:$AB,1269)),N(INDEX('2028'!$AB:$AB,1269)),N(INDEX('2029'!$AB:$AB,1269)),N(INDEX('2030'!$AB:$AB,1269))))</f>
        <v/>
      </c>
      <c r="AC19" s="128">
        <f>IF($B19="","",CHOOSE(IFERROR(MATCH($C$4,Setup!$K$33:$K$36,0),1),N(INDEX('2027'!$AB:$AB,1319)),N(INDEX('2028'!$AB:$AB,1319)),N(INDEX('2029'!$AB:$AB,1319)),N(INDEX('2030'!$AB:$AB,1319))))</f>
        <v/>
      </c>
      <c r="AD19" s="128">
        <f>IF($B19="","",CHOOSE(IFERROR(MATCH($C$4,Setup!$K$33:$K$36,0),1),N(INDEX('2027'!$AB:$AB,1369)),N(INDEX('2028'!$AB:$AB,1369)),N(INDEX('2029'!$AB:$AB,1369)),N(INDEX('2030'!$AB:$AB,1369))))</f>
        <v/>
      </c>
      <c r="AE19" s="128">
        <f>IF($B19="","",CHOOSE(IFERROR(MATCH($C$4,Setup!$K$33:$K$36,0),1),N(INDEX('2027'!$AB:$AB,1419)),N(INDEX('2028'!$AB:$AB,1419)),N(INDEX('2029'!$AB:$AB,1419)),N(INDEX('2030'!$AB:$AB,1419))))</f>
        <v/>
      </c>
      <c r="AF19" s="128">
        <f>IF($B19="","",CHOOSE(IFERROR(MATCH($C$4,Setup!$K$33:$K$36,0),1),N(INDEX('2027'!$AB:$AB,1469)),N(INDEX('2028'!$AB:$AB,1469)),N(INDEX('2029'!$AB:$AB,1469)),N(INDEX('2030'!$AB:$AB,1469))))</f>
        <v/>
      </c>
      <c r="AG19" s="128">
        <f>IF($B19="","",CHOOSE(IFERROR(MATCH($C$4,Setup!$K$33:$K$36,0),1),N(INDEX('2027'!$AB:$AB,1519)),N(INDEX('2028'!$AB:$AB,1519)),N(INDEX('2029'!$AB:$AB,1519)),N(INDEX('2030'!$AB:$AB,1519))))</f>
        <v/>
      </c>
      <c r="AH19" s="128">
        <f>IF($B19="","",CHOOSE(IFERROR(MATCH($C$4,Setup!$K$33:$K$36,0),1),N(INDEX('2027'!$AB:$AB,1569)),N(INDEX('2028'!$AB:$AB,1569)),N(INDEX('2029'!$AB:$AB,1569)),N(INDEX('2030'!$AB:$AB,1569))))</f>
        <v/>
      </c>
      <c r="AI19" s="128">
        <f>IF($B19="","",CHOOSE(IFERROR(MATCH($C$4,Setup!$K$33:$K$36,0),1),N(INDEX('2027'!$AB:$AB,1619)),N(INDEX('2028'!$AB:$AB,1619)),N(INDEX('2029'!$AB:$AB,1619)),N(INDEX('2030'!$AB:$AB,1619))))</f>
        <v/>
      </c>
      <c r="AJ19" s="128">
        <f>IF($B19="","",CHOOSE(IFERROR(MATCH($C$4,Setup!$K$33:$K$36,0),1),N(INDEX('2027'!$AB:$AB,1669)),N(INDEX('2028'!$AB:$AB,1669)),N(INDEX('2029'!$AB:$AB,1669)),N(INDEX('2030'!$AB:$AB,1669))))</f>
        <v/>
      </c>
      <c r="AK19" s="128">
        <f>IF($B19="","",CHOOSE(IFERROR(MATCH($C$4,Setup!$K$33:$K$36,0),1),N(INDEX('2027'!$AB:$AB,1719)),N(INDEX('2028'!$AB:$AB,1719)),N(INDEX('2029'!$AB:$AB,1719)),N(INDEX('2030'!$AB:$AB,1719))))</f>
        <v/>
      </c>
      <c r="AL19" s="128">
        <f>IF($B19="","",CHOOSE(IFERROR(MATCH($C$4,Setup!$K$33:$K$36,0),1),N(INDEX('2027'!$AB:$AB,1769)),N(INDEX('2028'!$AB:$AB,1769)),N(INDEX('2029'!$AB:$AB,1769)),N(INDEX('2030'!$AB:$AB,1769))))</f>
        <v/>
      </c>
      <c r="AM19" s="128">
        <f>IF($B19="","",CHOOSE(IFERROR(MATCH($C$4,Setup!$K$33:$K$36,0),1),N(INDEX('2027'!$AB:$AB,1819)),N(INDEX('2028'!$AB:$AB,1819)),N(INDEX('2029'!$AB:$AB,1819)),N(INDEX('2030'!$AB:$AB,1819))))</f>
        <v/>
      </c>
      <c r="AN19" s="128">
        <f>IF($B19="","",CHOOSE(IFERROR(MATCH($C$4,Setup!$K$33:$K$36,0),1),N(INDEX('2027'!$AB:$AB,1869)),N(INDEX('2028'!$AB:$AB,1869)),N(INDEX('2029'!$AB:$AB,1869)),N(INDEX('2030'!$AB:$AB,1869))))</f>
        <v/>
      </c>
      <c r="AO19" s="128">
        <f>IF($B19="","",CHOOSE(IFERROR(MATCH($C$4,Setup!$K$33:$K$36,0),1),N(INDEX('2027'!$AB:$AB,1919)),N(INDEX('2028'!$AB:$AB,1919)),N(INDEX('2029'!$AB:$AB,1919)),N(INDEX('2030'!$AB:$AB,1919))))</f>
        <v/>
      </c>
      <c r="AP19" s="128">
        <f>IF($B19="","",CHOOSE(IFERROR(MATCH($C$4,Setup!$K$33:$K$36,0),1),N(INDEX('2027'!$AB:$AB,1969)),N(INDEX('2028'!$AB:$AB,1969)),N(INDEX('2029'!$AB:$AB,1969)),N(INDEX('2030'!$AB:$AB,1969))))</f>
        <v/>
      </c>
      <c r="AQ19" s="128">
        <f>IF($B19="","",CHOOSE(IFERROR(MATCH($C$4,Setup!$K$33:$K$36,0),1),N(INDEX('2027'!$AB:$AB,2019)),N(INDEX('2028'!$AB:$AB,2019)),N(INDEX('2029'!$AB:$AB,2019)),N(INDEX('2030'!$AB:$AB,2019))))</f>
        <v/>
      </c>
      <c r="AR19" s="128">
        <f>IF($B19="","",CHOOSE(IFERROR(MATCH($C$4,Setup!$K$33:$K$36,0),1),N(INDEX('2027'!$AB:$AB,2069)),N(INDEX('2028'!$AB:$AB,2069)),N(INDEX('2029'!$AB:$AB,2069)),N(INDEX('2030'!$AB:$AB,2069))))</f>
        <v/>
      </c>
      <c r="AS19" s="128">
        <f>IF($B19="","",CHOOSE(IFERROR(MATCH($C$4,Setup!$K$33:$K$36,0),1),N(INDEX('2027'!$AB:$AB,2119)),N(INDEX('2028'!$AB:$AB,2119)),N(INDEX('2029'!$AB:$AB,2119)),N(INDEX('2030'!$AB:$AB,2119))))</f>
        <v/>
      </c>
      <c r="AT19" s="128">
        <f>IF($B19="","",CHOOSE(IFERROR(MATCH($C$4,Setup!$K$33:$K$36,0),1),N(INDEX('2027'!$AB:$AB,2169)),N(INDEX('2028'!$AB:$AB,2169)),N(INDEX('2029'!$AB:$AB,2169)),N(INDEX('2030'!$AB:$AB,2169))))</f>
        <v/>
      </c>
      <c r="AU19" s="128">
        <f>IF($B19="","",CHOOSE(IFERROR(MATCH($C$4,Setup!$K$33:$K$36,0),1),N(INDEX('2027'!$AB:$AB,2219)),N(INDEX('2028'!$AB:$AB,2219)),N(INDEX('2029'!$AB:$AB,2219)),N(INDEX('2030'!$AB:$AB,2219))))</f>
        <v/>
      </c>
      <c r="AV19" s="128">
        <f>IF($B19="","",CHOOSE(IFERROR(MATCH($C$4,Setup!$K$33:$K$36,0),1),N(INDEX('2027'!$AB:$AB,2269)),N(INDEX('2028'!$AB:$AB,2269)),N(INDEX('2029'!$AB:$AB,2269)),N(INDEX('2030'!$AB:$AB,2269))))</f>
        <v/>
      </c>
      <c r="AW19" s="128">
        <f>IF($B19="","",CHOOSE(IFERROR(MATCH($C$4,Setup!$K$33:$K$36,0),1),N(INDEX('2027'!$AB:$AB,2319)),N(INDEX('2028'!$AB:$AB,2319)),N(INDEX('2029'!$AB:$AB,2319)),N(INDEX('2030'!$AB:$AB,2319))))</f>
        <v/>
      </c>
      <c r="AX19" s="128">
        <f>IF($B19="","",CHOOSE(IFERROR(MATCH($C$4,Setup!$K$33:$K$36,0),1),N(INDEX('2027'!$AB:$AB,2369)),N(INDEX('2028'!$AB:$AB,2369)),N(INDEX('2029'!$AB:$AB,2369)),N(INDEX('2030'!$AB:$AB,2369))))</f>
        <v/>
      </c>
      <c r="AY19" s="128">
        <f>IF($B19="","",CHOOSE(IFERROR(MATCH($C$4,Setup!$K$33:$K$36,0),1),N(INDEX('2027'!$AB:$AB,2419)),N(INDEX('2028'!$AB:$AB,2419)),N(INDEX('2029'!$AB:$AB,2419)),N(INDEX('2030'!$AB:$AB,2419))))</f>
        <v/>
      </c>
      <c r="AZ19" s="128">
        <f>IF($B19="","",CHOOSE(IFERROR(MATCH($C$4,Setup!$K$33:$K$36,0),1),N(INDEX('2027'!$AB:$AB,2469)),N(INDEX('2028'!$AB:$AB,2469)),N(INDEX('2029'!$AB:$AB,2469)),N(INDEX('2030'!$AB:$AB,2469))))</f>
        <v/>
      </c>
      <c r="BA19" s="128">
        <f>IF($B19="","",CHOOSE(IFERROR(MATCH($C$4,Setup!$K$33:$K$36,0),1),N(INDEX('2027'!$AB:$AB,2519)),N(INDEX('2028'!$AB:$AB,2519)),N(INDEX('2029'!$AB:$AB,2519)),N(INDEX('2030'!$AB:$AB,2519))))</f>
        <v/>
      </c>
      <c r="BB19" s="128">
        <f>IF($B19="","",CHOOSE(IFERROR(MATCH($C$4,Setup!$K$33:$K$36,0),1),N(INDEX('2027'!$AB:$AB,2569)),N(INDEX('2028'!$AB:$AB,2569)),N(INDEX('2029'!$AB:$AB,2569)),N(INDEX('2030'!$AB:$AB,2569))))</f>
        <v/>
      </c>
      <c r="BC19" s="128">
        <f>IF($B19="","",CHOOSE(IFERROR(MATCH($C$4,Setup!$K$33:$K$36,0),1),N(INDEX('2027'!$AB:$AB,2619)),N(INDEX('2028'!$AB:$AB,2619)),N(INDEX('2029'!$AB:$AB,2619)),N(INDEX('2030'!$AB:$AB,2619))))</f>
        <v/>
      </c>
      <c r="BE19" s="129">
        <f>IF($B19="","",SUM(C19:BC19))</f>
        <v/>
      </c>
      <c r="BF19" s="130">
        <f>IF($B19="","",COUNTIF(C19:BC19,"&gt;0"))</f>
        <v/>
      </c>
    </row>
    <row r="20" ht="15" customHeight="1">
      <c r="B20" s="127">
        <f>IF(Setup!$K$18="","",Setup!$K$18)</f>
        <v/>
      </c>
      <c r="C20" s="128">
        <f>IF($B20="","",CHOOSE(IFERROR(MATCH($C$4,Setup!$K$33:$K$36,0),1),N(INDEX('2027'!$AB:$AB,20)),N(INDEX('2028'!$AB:$AB,20)),N(INDEX('2029'!$AB:$AB,20)),N(INDEX('2030'!$AB:$AB,20))))</f>
        <v/>
      </c>
      <c r="D20" s="128">
        <f>IF($B20="","",CHOOSE(IFERROR(MATCH($C$4,Setup!$K$33:$K$36,0),1),N(INDEX('2027'!$AB:$AB,70)),N(INDEX('2028'!$AB:$AB,70)),N(INDEX('2029'!$AB:$AB,70)),N(INDEX('2030'!$AB:$AB,70))))</f>
        <v/>
      </c>
      <c r="E20" s="128">
        <f>IF($B20="","",CHOOSE(IFERROR(MATCH($C$4,Setup!$K$33:$K$36,0),1),N(INDEX('2027'!$AB:$AB,120)),N(INDEX('2028'!$AB:$AB,120)),N(INDEX('2029'!$AB:$AB,120)),N(INDEX('2030'!$AB:$AB,120))))</f>
        <v/>
      </c>
      <c r="F20" s="128">
        <f>IF($B20="","",CHOOSE(IFERROR(MATCH($C$4,Setup!$K$33:$K$36,0),1),N(INDEX('2027'!$AB:$AB,170)),N(INDEX('2028'!$AB:$AB,170)),N(INDEX('2029'!$AB:$AB,170)),N(INDEX('2030'!$AB:$AB,170))))</f>
        <v/>
      </c>
      <c r="G20" s="128">
        <f>IF($B20="","",CHOOSE(IFERROR(MATCH($C$4,Setup!$K$33:$K$36,0),1),N(INDEX('2027'!$AB:$AB,220)),N(INDEX('2028'!$AB:$AB,220)),N(INDEX('2029'!$AB:$AB,220)),N(INDEX('2030'!$AB:$AB,220))))</f>
        <v/>
      </c>
      <c r="H20" s="128">
        <f>IF($B20="","",CHOOSE(IFERROR(MATCH($C$4,Setup!$K$33:$K$36,0),1),N(INDEX('2027'!$AB:$AB,270)),N(INDEX('2028'!$AB:$AB,270)),N(INDEX('2029'!$AB:$AB,270)),N(INDEX('2030'!$AB:$AB,270))))</f>
        <v/>
      </c>
      <c r="I20" s="128">
        <f>IF($B20="","",CHOOSE(IFERROR(MATCH($C$4,Setup!$K$33:$K$36,0),1),N(INDEX('2027'!$AB:$AB,320)),N(INDEX('2028'!$AB:$AB,320)),N(INDEX('2029'!$AB:$AB,320)),N(INDEX('2030'!$AB:$AB,320))))</f>
        <v/>
      </c>
      <c r="J20" s="128">
        <f>IF($B20="","",CHOOSE(IFERROR(MATCH($C$4,Setup!$K$33:$K$36,0),1),N(INDEX('2027'!$AB:$AB,370)),N(INDEX('2028'!$AB:$AB,370)),N(INDEX('2029'!$AB:$AB,370)),N(INDEX('2030'!$AB:$AB,370))))</f>
        <v/>
      </c>
      <c r="K20" s="128">
        <f>IF($B20="","",CHOOSE(IFERROR(MATCH($C$4,Setup!$K$33:$K$36,0),1),N(INDEX('2027'!$AB:$AB,420)),N(INDEX('2028'!$AB:$AB,420)),N(INDEX('2029'!$AB:$AB,420)),N(INDEX('2030'!$AB:$AB,420))))</f>
        <v/>
      </c>
      <c r="L20" s="128">
        <f>IF($B20="","",CHOOSE(IFERROR(MATCH($C$4,Setup!$K$33:$K$36,0),1),N(INDEX('2027'!$AB:$AB,470)),N(INDEX('2028'!$AB:$AB,470)),N(INDEX('2029'!$AB:$AB,470)),N(INDEX('2030'!$AB:$AB,470))))</f>
        <v/>
      </c>
      <c r="M20" s="128">
        <f>IF($B20="","",CHOOSE(IFERROR(MATCH($C$4,Setup!$K$33:$K$36,0),1),N(INDEX('2027'!$AB:$AB,520)),N(INDEX('2028'!$AB:$AB,520)),N(INDEX('2029'!$AB:$AB,520)),N(INDEX('2030'!$AB:$AB,520))))</f>
        <v/>
      </c>
      <c r="N20" s="128">
        <f>IF($B20="","",CHOOSE(IFERROR(MATCH($C$4,Setup!$K$33:$K$36,0),1),N(INDEX('2027'!$AB:$AB,570)),N(INDEX('2028'!$AB:$AB,570)),N(INDEX('2029'!$AB:$AB,570)),N(INDEX('2030'!$AB:$AB,570))))</f>
        <v/>
      </c>
      <c r="O20" s="128">
        <f>IF($B20="","",CHOOSE(IFERROR(MATCH($C$4,Setup!$K$33:$K$36,0),1),N(INDEX('2027'!$AB:$AB,620)),N(INDEX('2028'!$AB:$AB,620)),N(INDEX('2029'!$AB:$AB,620)),N(INDEX('2030'!$AB:$AB,620))))</f>
        <v/>
      </c>
      <c r="P20" s="128">
        <f>IF($B20="","",CHOOSE(IFERROR(MATCH($C$4,Setup!$K$33:$K$36,0),1),N(INDEX('2027'!$AB:$AB,670)),N(INDEX('2028'!$AB:$AB,670)),N(INDEX('2029'!$AB:$AB,670)),N(INDEX('2030'!$AB:$AB,670))))</f>
        <v/>
      </c>
      <c r="Q20" s="128">
        <f>IF($B20="","",CHOOSE(IFERROR(MATCH($C$4,Setup!$K$33:$K$36,0),1),N(INDEX('2027'!$AB:$AB,720)),N(INDEX('2028'!$AB:$AB,720)),N(INDEX('2029'!$AB:$AB,720)),N(INDEX('2030'!$AB:$AB,720))))</f>
        <v/>
      </c>
      <c r="R20" s="128">
        <f>IF($B20="","",CHOOSE(IFERROR(MATCH($C$4,Setup!$K$33:$K$36,0),1),N(INDEX('2027'!$AB:$AB,770)),N(INDEX('2028'!$AB:$AB,770)),N(INDEX('2029'!$AB:$AB,770)),N(INDEX('2030'!$AB:$AB,770))))</f>
        <v/>
      </c>
      <c r="S20" s="128">
        <f>IF($B20="","",CHOOSE(IFERROR(MATCH($C$4,Setup!$K$33:$K$36,0),1),N(INDEX('2027'!$AB:$AB,820)),N(INDEX('2028'!$AB:$AB,820)),N(INDEX('2029'!$AB:$AB,820)),N(INDEX('2030'!$AB:$AB,820))))</f>
        <v/>
      </c>
      <c r="T20" s="128">
        <f>IF($B20="","",CHOOSE(IFERROR(MATCH($C$4,Setup!$K$33:$K$36,0),1),N(INDEX('2027'!$AB:$AB,870)),N(INDEX('2028'!$AB:$AB,870)),N(INDEX('2029'!$AB:$AB,870)),N(INDEX('2030'!$AB:$AB,870))))</f>
        <v/>
      </c>
      <c r="U20" s="128">
        <f>IF($B20="","",CHOOSE(IFERROR(MATCH($C$4,Setup!$K$33:$K$36,0),1),N(INDEX('2027'!$AB:$AB,920)),N(INDEX('2028'!$AB:$AB,920)),N(INDEX('2029'!$AB:$AB,920)),N(INDEX('2030'!$AB:$AB,920))))</f>
        <v/>
      </c>
      <c r="V20" s="128">
        <f>IF($B20="","",CHOOSE(IFERROR(MATCH($C$4,Setup!$K$33:$K$36,0),1),N(INDEX('2027'!$AB:$AB,970)),N(INDEX('2028'!$AB:$AB,970)),N(INDEX('2029'!$AB:$AB,970)),N(INDEX('2030'!$AB:$AB,970))))</f>
        <v/>
      </c>
      <c r="W20" s="128">
        <f>IF($B20="","",CHOOSE(IFERROR(MATCH($C$4,Setup!$K$33:$K$36,0),1),N(INDEX('2027'!$AB:$AB,1020)),N(INDEX('2028'!$AB:$AB,1020)),N(INDEX('2029'!$AB:$AB,1020)),N(INDEX('2030'!$AB:$AB,1020))))</f>
        <v/>
      </c>
      <c r="X20" s="128">
        <f>IF($B20="","",CHOOSE(IFERROR(MATCH($C$4,Setup!$K$33:$K$36,0),1),N(INDEX('2027'!$AB:$AB,1070)),N(INDEX('2028'!$AB:$AB,1070)),N(INDEX('2029'!$AB:$AB,1070)),N(INDEX('2030'!$AB:$AB,1070))))</f>
        <v/>
      </c>
      <c r="Y20" s="128">
        <f>IF($B20="","",CHOOSE(IFERROR(MATCH($C$4,Setup!$K$33:$K$36,0),1),N(INDEX('2027'!$AB:$AB,1120)),N(INDEX('2028'!$AB:$AB,1120)),N(INDEX('2029'!$AB:$AB,1120)),N(INDEX('2030'!$AB:$AB,1120))))</f>
        <v/>
      </c>
      <c r="Z20" s="128">
        <f>IF($B20="","",CHOOSE(IFERROR(MATCH($C$4,Setup!$K$33:$K$36,0),1),N(INDEX('2027'!$AB:$AB,1170)),N(INDEX('2028'!$AB:$AB,1170)),N(INDEX('2029'!$AB:$AB,1170)),N(INDEX('2030'!$AB:$AB,1170))))</f>
        <v/>
      </c>
      <c r="AA20" s="128">
        <f>IF($B20="","",CHOOSE(IFERROR(MATCH($C$4,Setup!$K$33:$K$36,0),1),N(INDEX('2027'!$AB:$AB,1220)),N(INDEX('2028'!$AB:$AB,1220)),N(INDEX('2029'!$AB:$AB,1220)),N(INDEX('2030'!$AB:$AB,1220))))</f>
        <v/>
      </c>
      <c r="AB20" s="128">
        <f>IF($B20="","",CHOOSE(IFERROR(MATCH($C$4,Setup!$K$33:$K$36,0),1),N(INDEX('2027'!$AB:$AB,1270)),N(INDEX('2028'!$AB:$AB,1270)),N(INDEX('2029'!$AB:$AB,1270)),N(INDEX('2030'!$AB:$AB,1270))))</f>
        <v/>
      </c>
      <c r="AC20" s="128">
        <f>IF($B20="","",CHOOSE(IFERROR(MATCH($C$4,Setup!$K$33:$K$36,0),1),N(INDEX('2027'!$AB:$AB,1320)),N(INDEX('2028'!$AB:$AB,1320)),N(INDEX('2029'!$AB:$AB,1320)),N(INDEX('2030'!$AB:$AB,1320))))</f>
        <v/>
      </c>
      <c r="AD20" s="128">
        <f>IF($B20="","",CHOOSE(IFERROR(MATCH($C$4,Setup!$K$33:$K$36,0),1),N(INDEX('2027'!$AB:$AB,1370)),N(INDEX('2028'!$AB:$AB,1370)),N(INDEX('2029'!$AB:$AB,1370)),N(INDEX('2030'!$AB:$AB,1370))))</f>
        <v/>
      </c>
      <c r="AE20" s="128">
        <f>IF($B20="","",CHOOSE(IFERROR(MATCH($C$4,Setup!$K$33:$K$36,0),1),N(INDEX('2027'!$AB:$AB,1420)),N(INDEX('2028'!$AB:$AB,1420)),N(INDEX('2029'!$AB:$AB,1420)),N(INDEX('2030'!$AB:$AB,1420))))</f>
        <v/>
      </c>
      <c r="AF20" s="128">
        <f>IF($B20="","",CHOOSE(IFERROR(MATCH($C$4,Setup!$K$33:$K$36,0),1),N(INDEX('2027'!$AB:$AB,1470)),N(INDEX('2028'!$AB:$AB,1470)),N(INDEX('2029'!$AB:$AB,1470)),N(INDEX('2030'!$AB:$AB,1470))))</f>
        <v/>
      </c>
      <c r="AG20" s="128">
        <f>IF($B20="","",CHOOSE(IFERROR(MATCH($C$4,Setup!$K$33:$K$36,0),1),N(INDEX('2027'!$AB:$AB,1520)),N(INDEX('2028'!$AB:$AB,1520)),N(INDEX('2029'!$AB:$AB,1520)),N(INDEX('2030'!$AB:$AB,1520))))</f>
        <v/>
      </c>
      <c r="AH20" s="128">
        <f>IF($B20="","",CHOOSE(IFERROR(MATCH($C$4,Setup!$K$33:$K$36,0),1),N(INDEX('2027'!$AB:$AB,1570)),N(INDEX('2028'!$AB:$AB,1570)),N(INDEX('2029'!$AB:$AB,1570)),N(INDEX('2030'!$AB:$AB,1570))))</f>
        <v/>
      </c>
      <c r="AI20" s="128">
        <f>IF($B20="","",CHOOSE(IFERROR(MATCH($C$4,Setup!$K$33:$K$36,0),1),N(INDEX('2027'!$AB:$AB,1620)),N(INDEX('2028'!$AB:$AB,1620)),N(INDEX('2029'!$AB:$AB,1620)),N(INDEX('2030'!$AB:$AB,1620))))</f>
        <v/>
      </c>
      <c r="AJ20" s="128">
        <f>IF($B20="","",CHOOSE(IFERROR(MATCH($C$4,Setup!$K$33:$K$36,0),1),N(INDEX('2027'!$AB:$AB,1670)),N(INDEX('2028'!$AB:$AB,1670)),N(INDEX('2029'!$AB:$AB,1670)),N(INDEX('2030'!$AB:$AB,1670))))</f>
        <v/>
      </c>
      <c r="AK20" s="128">
        <f>IF($B20="","",CHOOSE(IFERROR(MATCH($C$4,Setup!$K$33:$K$36,0),1),N(INDEX('2027'!$AB:$AB,1720)),N(INDEX('2028'!$AB:$AB,1720)),N(INDEX('2029'!$AB:$AB,1720)),N(INDEX('2030'!$AB:$AB,1720))))</f>
        <v/>
      </c>
      <c r="AL20" s="128">
        <f>IF($B20="","",CHOOSE(IFERROR(MATCH($C$4,Setup!$K$33:$K$36,0),1),N(INDEX('2027'!$AB:$AB,1770)),N(INDEX('2028'!$AB:$AB,1770)),N(INDEX('2029'!$AB:$AB,1770)),N(INDEX('2030'!$AB:$AB,1770))))</f>
        <v/>
      </c>
      <c r="AM20" s="128">
        <f>IF($B20="","",CHOOSE(IFERROR(MATCH($C$4,Setup!$K$33:$K$36,0),1),N(INDEX('2027'!$AB:$AB,1820)),N(INDEX('2028'!$AB:$AB,1820)),N(INDEX('2029'!$AB:$AB,1820)),N(INDEX('2030'!$AB:$AB,1820))))</f>
        <v/>
      </c>
      <c r="AN20" s="128">
        <f>IF($B20="","",CHOOSE(IFERROR(MATCH($C$4,Setup!$K$33:$K$36,0),1),N(INDEX('2027'!$AB:$AB,1870)),N(INDEX('2028'!$AB:$AB,1870)),N(INDEX('2029'!$AB:$AB,1870)),N(INDEX('2030'!$AB:$AB,1870))))</f>
        <v/>
      </c>
      <c r="AO20" s="128">
        <f>IF($B20="","",CHOOSE(IFERROR(MATCH($C$4,Setup!$K$33:$K$36,0),1),N(INDEX('2027'!$AB:$AB,1920)),N(INDEX('2028'!$AB:$AB,1920)),N(INDEX('2029'!$AB:$AB,1920)),N(INDEX('2030'!$AB:$AB,1920))))</f>
        <v/>
      </c>
      <c r="AP20" s="128">
        <f>IF($B20="","",CHOOSE(IFERROR(MATCH($C$4,Setup!$K$33:$K$36,0),1),N(INDEX('2027'!$AB:$AB,1970)),N(INDEX('2028'!$AB:$AB,1970)),N(INDEX('2029'!$AB:$AB,1970)),N(INDEX('2030'!$AB:$AB,1970))))</f>
        <v/>
      </c>
      <c r="AQ20" s="128">
        <f>IF($B20="","",CHOOSE(IFERROR(MATCH($C$4,Setup!$K$33:$K$36,0),1),N(INDEX('2027'!$AB:$AB,2020)),N(INDEX('2028'!$AB:$AB,2020)),N(INDEX('2029'!$AB:$AB,2020)),N(INDEX('2030'!$AB:$AB,2020))))</f>
        <v/>
      </c>
      <c r="AR20" s="128">
        <f>IF($B20="","",CHOOSE(IFERROR(MATCH($C$4,Setup!$K$33:$K$36,0),1),N(INDEX('2027'!$AB:$AB,2070)),N(INDEX('2028'!$AB:$AB,2070)),N(INDEX('2029'!$AB:$AB,2070)),N(INDEX('2030'!$AB:$AB,2070))))</f>
        <v/>
      </c>
      <c r="AS20" s="128">
        <f>IF($B20="","",CHOOSE(IFERROR(MATCH($C$4,Setup!$K$33:$K$36,0),1),N(INDEX('2027'!$AB:$AB,2120)),N(INDEX('2028'!$AB:$AB,2120)),N(INDEX('2029'!$AB:$AB,2120)),N(INDEX('2030'!$AB:$AB,2120))))</f>
        <v/>
      </c>
      <c r="AT20" s="128">
        <f>IF($B20="","",CHOOSE(IFERROR(MATCH($C$4,Setup!$K$33:$K$36,0),1),N(INDEX('2027'!$AB:$AB,2170)),N(INDEX('2028'!$AB:$AB,2170)),N(INDEX('2029'!$AB:$AB,2170)),N(INDEX('2030'!$AB:$AB,2170))))</f>
        <v/>
      </c>
      <c r="AU20" s="128">
        <f>IF($B20="","",CHOOSE(IFERROR(MATCH($C$4,Setup!$K$33:$K$36,0),1),N(INDEX('2027'!$AB:$AB,2220)),N(INDEX('2028'!$AB:$AB,2220)),N(INDEX('2029'!$AB:$AB,2220)),N(INDEX('2030'!$AB:$AB,2220))))</f>
        <v/>
      </c>
      <c r="AV20" s="128">
        <f>IF($B20="","",CHOOSE(IFERROR(MATCH($C$4,Setup!$K$33:$K$36,0),1),N(INDEX('2027'!$AB:$AB,2270)),N(INDEX('2028'!$AB:$AB,2270)),N(INDEX('2029'!$AB:$AB,2270)),N(INDEX('2030'!$AB:$AB,2270))))</f>
        <v/>
      </c>
      <c r="AW20" s="128">
        <f>IF($B20="","",CHOOSE(IFERROR(MATCH($C$4,Setup!$K$33:$K$36,0),1),N(INDEX('2027'!$AB:$AB,2320)),N(INDEX('2028'!$AB:$AB,2320)),N(INDEX('2029'!$AB:$AB,2320)),N(INDEX('2030'!$AB:$AB,2320))))</f>
        <v/>
      </c>
      <c r="AX20" s="128">
        <f>IF($B20="","",CHOOSE(IFERROR(MATCH($C$4,Setup!$K$33:$K$36,0),1),N(INDEX('2027'!$AB:$AB,2370)),N(INDEX('2028'!$AB:$AB,2370)),N(INDEX('2029'!$AB:$AB,2370)),N(INDEX('2030'!$AB:$AB,2370))))</f>
        <v/>
      </c>
      <c r="AY20" s="128">
        <f>IF($B20="","",CHOOSE(IFERROR(MATCH($C$4,Setup!$K$33:$K$36,0),1),N(INDEX('2027'!$AB:$AB,2420)),N(INDEX('2028'!$AB:$AB,2420)),N(INDEX('2029'!$AB:$AB,2420)),N(INDEX('2030'!$AB:$AB,2420))))</f>
        <v/>
      </c>
      <c r="AZ20" s="128">
        <f>IF($B20="","",CHOOSE(IFERROR(MATCH($C$4,Setup!$K$33:$K$36,0),1),N(INDEX('2027'!$AB:$AB,2470)),N(INDEX('2028'!$AB:$AB,2470)),N(INDEX('2029'!$AB:$AB,2470)),N(INDEX('2030'!$AB:$AB,2470))))</f>
        <v/>
      </c>
      <c r="BA20" s="128">
        <f>IF($B20="","",CHOOSE(IFERROR(MATCH($C$4,Setup!$K$33:$K$36,0),1),N(INDEX('2027'!$AB:$AB,2520)),N(INDEX('2028'!$AB:$AB,2520)),N(INDEX('2029'!$AB:$AB,2520)),N(INDEX('2030'!$AB:$AB,2520))))</f>
        <v/>
      </c>
      <c r="BB20" s="128">
        <f>IF($B20="","",CHOOSE(IFERROR(MATCH($C$4,Setup!$K$33:$K$36,0),1),N(INDEX('2027'!$AB:$AB,2570)),N(INDEX('2028'!$AB:$AB,2570)),N(INDEX('2029'!$AB:$AB,2570)),N(INDEX('2030'!$AB:$AB,2570))))</f>
        <v/>
      </c>
      <c r="BC20" s="128">
        <f>IF($B20="","",CHOOSE(IFERROR(MATCH($C$4,Setup!$K$33:$K$36,0),1),N(INDEX('2027'!$AB:$AB,2620)),N(INDEX('2028'!$AB:$AB,2620)),N(INDEX('2029'!$AB:$AB,2620)),N(INDEX('2030'!$AB:$AB,2620))))</f>
        <v/>
      </c>
      <c r="BE20" s="129">
        <f>IF($B20="","",SUM(C20:BC20))</f>
        <v/>
      </c>
      <c r="BF20" s="130">
        <f>IF($B20="","",COUNTIF(C20:BC20,"&gt;0"))</f>
        <v/>
      </c>
    </row>
    <row r="21" ht="15" customHeight="1">
      <c r="B21" s="127">
        <f>IF(Setup!$K$19="","",Setup!$K$19)</f>
        <v/>
      </c>
      <c r="C21" s="128">
        <f>IF($B21="","",CHOOSE(IFERROR(MATCH($C$4,Setup!$K$33:$K$36,0),1),N(INDEX('2027'!$AB:$AB,21)),N(INDEX('2028'!$AB:$AB,21)),N(INDEX('2029'!$AB:$AB,21)),N(INDEX('2030'!$AB:$AB,21))))</f>
        <v/>
      </c>
      <c r="D21" s="128">
        <f>IF($B21="","",CHOOSE(IFERROR(MATCH($C$4,Setup!$K$33:$K$36,0),1),N(INDEX('2027'!$AB:$AB,71)),N(INDEX('2028'!$AB:$AB,71)),N(INDEX('2029'!$AB:$AB,71)),N(INDEX('2030'!$AB:$AB,71))))</f>
        <v/>
      </c>
      <c r="E21" s="128">
        <f>IF($B21="","",CHOOSE(IFERROR(MATCH($C$4,Setup!$K$33:$K$36,0),1),N(INDEX('2027'!$AB:$AB,121)),N(INDEX('2028'!$AB:$AB,121)),N(INDEX('2029'!$AB:$AB,121)),N(INDEX('2030'!$AB:$AB,121))))</f>
        <v/>
      </c>
      <c r="F21" s="128">
        <f>IF($B21="","",CHOOSE(IFERROR(MATCH($C$4,Setup!$K$33:$K$36,0),1),N(INDEX('2027'!$AB:$AB,171)),N(INDEX('2028'!$AB:$AB,171)),N(INDEX('2029'!$AB:$AB,171)),N(INDEX('2030'!$AB:$AB,171))))</f>
        <v/>
      </c>
      <c r="G21" s="128">
        <f>IF($B21="","",CHOOSE(IFERROR(MATCH($C$4,Setup!$K$33:$K$36,0),1),N(INDEX('2027'!$AB:$AB,221)),N(INDEX('2028'!$AB:$AB,221)),N(INDEX('2029'!$AB:$AB,221)),N(INDEX('2030'!$AB:$AB,221))))</f>
        <v/>
      </c>
      <c r="H21" s="128">
        <f>IF($B21="","",CHOOSE(IFERROR(MATCH($C$4,Setup!$K$33:$K$36,0),1),N(INDEX('2027'!$AB:$AB,271)),N(INDEX('2028'!$AB:$AB,271)),N(INDEX('2029'!$AB:$AB,271)),N(INDEX('2030'!$AB:$AB,271))))</f>
        <v/>
      </c>
      <c r="I21" s="128">
        <f>IF($B21="","",CHOOSE(IFERROR(MATCH($C$4,Setup!$K$33:$K$36,0),1),N(INDEX('2027'!$AB:$AB,321)),N(INDEX('2028'!$AB:$AB,321)),N(INDEX('2029'!$AB:$AB,321)),N(INDEX('2030'!$AB:$AB,321))))</f>
        <v/>
      </c>
      <c r="J21" s="128">
        <f>IF($B21="","",CHOOSE(IFERROR(MATCH($C$4,Setup!$K$33:$K$36,0),1),N(INDEX('2027'!$AB:$AB,371)),N(INDEX('2028'!$AB:$AB,371)),N(INDEX('2029'!$AB:$AB,371)),N(INDEX('2030'!$AB:$AB,371))))</f>
        <v/>
      </c>
      <c r="K21" s="128">
        <f>IF($B21="","",CHOOSE(IFERROR(MATCH($C$4,Setup!$K$33:$K$36,0),1),N(INDEX('2027'!$AB:$AB,421)),N(INDEX('2028'!$AB:$AB,421)),N(INDEX('2029'!$AB:$AB,421)),N(INDEX('2030'!$AB:$AB,421))))</f>
        <v/>
      </c>
      <c r="L21" s="128">
        <f>IF($B21="","",CHOOSE(IFERROR(MATCH($C$4,Setup!$K$33:$K$36,0),1),N(INDEX('2027'!$AB:$AB,471)),N(INDEX('2028'!$AB:$AB,471)),N(INDEX('2029'!$AB:$AB,471)),N(INDEX('2030'!$AB:$AB,471))))</f>
        <v/>
      </c>
      <c r="M21" s="128">
        <f>IF($B21="","",CHOOSE(IFERROR(MATCH($C$4,Setup!$K$33:$K$36,0),1),N(INDEX('2027'!$AB:$AB,521)),N(INDEX('2028'!$AB:$AB,521)),N(INDEX('2029'!$AB:$AB,521)),N(INDEX('2030'!$AB:$AB,521))))</f>
        <v/>
      </c>
      <c r="N21" s="128">
        <f>IF($B21="","",CHOOSE(IFERROR(MATCH($C$4,Setup!$K$33:$K$36,0),1),N(INDEX('2027'!$AB:$AB,571)),N(INDEX('2028'!$AB:$AB,571)),N(INDEX('2029'!$AB:$AB,571)),N(INDEX('2030'!$AB:$AB,571))))</f>
        <v/>
      </c>
      <c r="O21" s="128">
        <f>IF($B21="","",CHOOSE(IFERROR(MATCH($C$4,Setup!$K$33:$K$36,0),1),N(INDEX('2027'!$AB:$AB,621)),N(INDEX('2028'!$AB:$AB,621)),N(INDEX('2029'!$AB:$AB,621)),N(INDEX('2030'!$AB:$AB,621))))</f>
        <v/>
      </c>
      <c r="P21" s="128">
        <f>IF($B21="","",CHOOSE(IFERROR(MATCH($C$4,Setup!$K$33:$K$36,0),1),N(INDEX('2027'!$AB:$AB,671)),N(INDEX('2028'!$AB:$AB,671)),N(INDEX('2029'!$AB:$AB,671)),N(INDEX('2030'!$AB:$AB,671))))</f>
        <v/>
      </c>
      <c r="Q21" s="128">
        <f>IF($B21="","",CHOOSE(IFERROR(MATCH($C$4,Setup!$K$33:$K$36,0),1),N(INDEX('2027'!$AB:$AB,721)),N(INDEX('2028'!$AB:$AB,721)),N(INDEX('2029'!$AB:$AB,721)),N(INDEX('2030'!$AB:$AB,721))))</f>
        <v/>
      </c>
      <c r="R21" s="128">
        <f>IF($B21="","",CHOOSE(IFERROR(MATCH($C$4,Setup!$K$33:$K$36,0),1),N(INDEX('2027'!$AB:$AB,771)),N(INDEX('2028'!$AB:$AB,771)),N(INDEX('2029'!$AB:$AB,771)),N(INDEX('2030'!$AB:$AB,771))))</f>
        <v/>
      </c>
      <c r="S21" s="128">
        <f>IF($B21="","",CHOOSE(IFERROR(MATCH($C$4,Setup!$K$33:$K$36,0),1),N(INDEX('2027'!$AB:$AB,821)),N(INDEX('2028'!$AB:$AB,821)),N(INDEX('2029'!$AB:$AB,821)),N(INDEX('2030'!$AB:$AB,821))))</f>
        <v/>
      </c>
      <c r="T21" s="128">
        <f>IF($B21="","",CHOOSE(IFERROR(MATCH($C$4,Setup!$K$33:$K$36,0),1),N(INDEX('2027'!$AB:$AB,871)),N(INDEX('2028'!$AB:$AB,871)),N(INDEX('2029'!$AB:$AB,871)),N(INDEX('2030'!$AB:$AB,871))))</f>
        <v/>
      </c>
      <c r="U21" s="128">
        <f>IF($B21="","",CHOOSE(IFERROR(MATCH($C$4,Setup!$K$33:$K$36,0),1),N(INDEX('2027'!$AB:$AB,921)),N(INDEX('2028'!$AB:$AB,921)),N(INDEX('2029'!$AB:$AB,921)),N(INDEX('2030'!$AB:$AB,921))))</f>
        <v/>
      </c>
      <c r="V21" s="128">
        <f>IF($B21="","",CHOOSE(IFERROR(MATCH($C$4,Setup!$K$33:$K$36,0),1),N(INDEX('2027'!$AB:$AB,971)),N(INDEX('2028'!$AB:$AB,971)),N(INDEX('2029'!$AB:$AB,971)),N(INDEX('2030'!$AB:$AB,971))))</f>
        <v/>
      </c>
      <c r="W21" s="128">
        <f>IF($B21="","",CHOOSE(IFERROR(MATCH($C$4,Setup!$K$33:$K$36,0),1),N(INDEX('2027'!$AB:$AB,1021)),N(INDEX('2028'!$AB:$AB,1021)),N(INDEX('2029'!$AB:$AB,1021)),N(INDEX('2030'!$AB:$AB,1021))))</f>
        <v/>
      </c>
      <c r="X21" s="128">
        <f>IF($B21="","",CHOOSE(IFERROR(MATCH($C$4,Setup!$K$33:$K$36,0),1),N(INDEX('2027'!$AB:$AB,1071)),N(INDEX('2028'!$AB:$AB,1071)),N(INDEX('2029'!$AB:$AB,1071)),N(INDEX('2030'!$AB:$AB,1071))))</f>
        <v/>
      </c>
      <c r="Y21" s="128">
        <f>IF($B21="","",CHOOSE(IFERROR(MATCH($C$4,Setup!$K$33:$K$36,0),1),N(INDEX('2027'!$AB:$AB,1121)),N(INDEX('2028'!$AB:$AB,1121)),N(INDEX('2029'!$AB:$AB,1121)),N(INDEX('2030'!$AB:$AB,1121))))</f>
        <v/>
      </c>
      <c r="Z21" s="128">
        <f>IF($B21="","",CHOOSE(IFERROR(MATCH($C$4,Setup!$K$33:$K$36,0),1),N(INDEX('2027'!$AB:$AB,1171)),N(INDEX('2028'!$AB:$AB,1171)),N(INDEX('2029'!$AB:$AB,1171)),N(INDEX('2030'!$AB:$AB,1171))))</f>
        <v/>
      </c>
      <c r="AA21" s="128">
        <f>IF($B21="","",CHOOSE(IFERROR(MATCH($C$4,Setup!$K$33:$K$36,0),1),N(INDEX('2027'!$AB:$AB,1221)),N(INDEX('2028'!$AB:$AB,1221)),N(INDEX('2029'!$AB:$AB,1221)),N(INDEX('2030'!$AB:$AB,1221))))</f>
        <v/>
      </c>
      <c r="AB21" s="128">
        <f>IF($B21="","",CHOOSE(IFERROR(MATCH($C$4,Setup!$K$33:$K$36,0),1),N(INDEX('2027'!$AB:$AB,1271)),N(INDEX('2028'!$AB:$AB,1271)),N(INDEX('2029'!$AB:$AB,1271)),N(INDEX('2030'!$AB:$AB,1271))))</f>
        <v/>
      </c>
      <c r="AC21" s="128">
        <f>IF($B21="","",CHOOSE(IFERROR(MATCH($C$4,Setup!$K$33:$K$36,0),1),N(INDEX('2027'!$AB:$AB,1321)),N(INDEX('2028'!$AB:$AB,1321)),N(INDEX('2029'!$AB:$AB,1321)),N(INDEX('2030'!$AB:$AB,1321))))</f>
        <v/>
      </c>
      <c r="AD21" s="128">
        <f>IF($B21="","",CHOOSE(IFERROR(MATCH($C$4,Setup!$K$33:$K$36,0),1),N(INDEX('2027'!$AB:$AB,1371)),N(INDEX('2028'!$AB:$AB,1371)),N(INDEX('2029'!$AB:$AB,1371)),N(INDEX('2030'!$AB:$AB,1371))))</f>
        <v/>
      </c>
      <c r="AE21" s="128">
        <f>IF($B21="","",CHOOSE(IFERROR(MATCH($C$4,Setup!$K$33:$K$36,0),1),N(INDEX('2027'!$AB:$AB,1421)),N(INDEX('2028'!$AB:$AB,1421)),N(INDEX('2029'!$AB:$AB,1421)),N(INDEX('2030'!$AB:$AB,1421))))</f>
        <v/>
      </c>
      <c r="AF21" s="128">
        <f>IF($B21="","",CHOOSE(IFERROR(MATCH($C$4,Setup!$K$33:$K$36,0),1),N(INDEX('2027'!$AB:$AB,1471)),N(INDEX('2028'!$AB:$AB,1471)),N(INDEX('2029'!$AB:$AB,1471)),N(INDEX('2030'!$AB:$AB,1471))))</f>
        <v/>
      </c>
      <c r="AG21" s="128">
        <f>IF($B21="","",CHOOSE(IFERROR(MATCH($C$4,Setup!$K$33:$K$36,0),1),N(INDEX('2027'!$AB:$AB,1521)),N(INDEX('2028'!$AB:$AB,1521)),N(INDEX('2029'!$AB:$AB,1521)),N(INDEX('2030'!$AB:$AB,1521))))</f>
        <v/>
      </c>
      <c r="AH21" s="128">
        <f>IF($B21="","",CHOOSE(IFERROR(MATCH($C$4,Setup!$K$33:$K$36,0),1),N(INDEX('2027'!$AB:$AB,1571)),N(INDEX('2028'!$AB:$AB,1571)),N(INDEX('2029'!$AB:$AB,1571)),N(INDEX('2030'!$AB:$AB,1571))))</f>
        <v/>
      </c>
      <c r="AI21" s="128">
        <f>IF($B21="","",CHOOSE(IFERROR(MATCH($C$4,Setup!$K$33:$K$36,0),1),N(INDEX('2027'!$AB:$AB,1621)),N(INDEX('2028'!$AB:$AB,1621)),N(INDEX('2029'!$AB:$AB,1621)),N(INDEX('2030'!$AB:$AB,1621))))</f>
        <v/>
      </c>
      <c r="AJ21" s="128">
        <f>IF($B21="","",CHOOSE(IFERROR(MATCH($C$4,Setup!$K$33:$K$36,0),1),N(INDEX('2027'!$AB:$AB,1671)),N(INDEX('2028'!$AB:$AB,1671)),N(INDEX('2029'!$AB:$AB,1671)),N(INDEX('2030'!$AB:$AB,1671))))</f>
        <v/>
      </c>
      <c r="AK21" s="128">
        <f>IF($B21="","",CHOOSE(IFERROR(MATCH($C$4,Setup!$K$33:$K$36,0),1),N(INDEX('2027'!$AB:$AB,1721)),N(INDEX('2028'!$AB:$AB,1721)),N(INDEX('2029'!$AB:$AB,1721)),N(INDEX('2030'!$AB:$AB,1721))))</f>
        <v/>
      </c>
      <c r="AL21" s="128">
        <f>IF($B21="","",CHOOSE(IFERROR(MATCH($C$4,Setup!$K$33:$K$36,0),1),N(INDEX('2027'!$AB:$AB,1771)),N(INDEX('2028'!$AB:$AB,1771)),N(INDEX('2029'!$AB:$AB,1771)),N(INDEX('2030'!$AB:$AB,1771))))</f>
        <v/>
      </c>
      <c r="AM21" s="128">
        <f>IF($B21="","",CHOOSE(IFERROR(MATCH($C$4,Setup!$K$33:$K$36,0),1),N(INDEX('2027'!$AB:$AB,1821)),N(INDEX('2028'!$AB:$AB,1821)),N(INDEX('2029'!$AB:$AB,1821)),N(INDEX('2030'!$AB:$AB,1821))))</f>
        <v/>
      </c>
      <c r="AN21" s="128">
        <f>IF($B21="","",CHOOSE(IFERROR(MATCH($C$4,Setup!$K$33:$K$36,0),1),N(INDEX('2027'!$AB:$AB,1871)),N(INDEX('2028'!$AB:$AB,1871)),N(INDEX('2029'!$AB:$AB,1871)),N(INDEX('2030'!$AB:$AB,1871))))</f>
        <v/>
      </c>
      <c r="AO21" s="128">
        <f>IF($B21="","",CHOOSE(IFERROR(MATCH($C$4,Setup!$K$33:$K$36,0),1),N(INDEX('2027'!$AB:$AB,1921)),N(INDEX('2028'!$AB:$AB,1921)),N(INDEX('2029'!$AB:$AB,1921)),N(INDEX('2030'!$AB:$AB,1921))))</f>
        <v/>
      </c>
      <c r="AP21" s="128">
        <f>IF($B21="","",CHOOSE(IFERROR(MATCH($C$4,Setup!$K$33:$K$36,0),1),N(INDEX('2027'!$AB:$AB,1971)),N(INDEX('2028'!$AB:$AB,1971)),N(INDEX('2029'!$AB:$AB,1971)),N(INDEX('2030'!$AB:$AB,1971))))</f>
        <v/>
      </c>
      <c r="AQ21" s="128">
        <f>IF($B21="","",CHOOSE(IFERROR(MATCH($C$4,Setup!$K$33:$K$36,0),1),N(INDEX('2027'!$AB:$AB,2021)),N(INDEX('2028'!$AB:$AB,2021)),N(INDEX('2029'!$AB:$AB,2021)),N(INDEX('2030'!$AB:$AB,2021))))</f>
        <v/>
      </c>
      <c r="AR21" s="128">
        <f>IF($B21="","",CHOOSE(IFERROR(MATCH($C$4,Setup!$K$33:$K$36,0),1),N(INDEX('2027'!$AB:$AB,2071)),N(INDEX('2028'!$AB:$AB,2071)),N(INDEX('2029'!$AB:$AB,2071)),N(INDEX('2030'!$AB:$AB,2071))))</f>
        <v/>
      </c>
      <c r="AS21" s="128">
        <f>IF($B21="","",CHOOSE(IFERROR(MATCH($C$4,Setup!$K$33:$K$36,0),1),N(INDEX('2027'!$AB:$AB,2121)),N(INDEX('2028'!$AB:$AB,2121)),N(INDEX('2029'!$AB:$AB,2121)),N(INDEX('2030'!$AB:$AB,2121))))</f>
        <v/>
      </c>
      <c r="AT21" s="128">
        <f>IF($B21="","",CHOOSE(IFERROR(MATCH($C$4,Setup!$K$33:$K$36,0),1),N(INDEX('2027'!$AB:$AB,2171)),N(INDEX('2028'!$AB:$AB,2171)),N(INDEX('2029'!$AB:$AB,2171)),N(INDEX('2030'!$AB:$AB,2171))))</f>
        <v/>
      </c>
      <c r="AU21" s="128">
        <f>IF($B21="","",CHOOSE(IFERROR(MATCH($C$4,Setup!$K$33:$K$36,0),1),N(INDEX('2027'!$AB:$AB,2221)),N(INDEX('2028'!$AB:$AB,2221)),N(INDEX('2029'!$AB:$AB,2221)),N(INDEX('2030'!$AB:$AB,2221))))</f>
        <v/>
      </c>
      <c r="AV21" s="128">
        <f>IF($B21="","",CHOOSE(IFERROR(MATCH($C$4,Setup!$K$33:$K$36,0),1),N(INDEX('2027'!$AB:$AB,2271)),N(INDEX('2028'!$AB:$AB,2271)),N(INDEX('2029'!$AB:$AB,2271)),N(INDEX('2030'!$AB:$AB,2271))))</f>
        <v/>
      </c>
      <c r="AW21" s="128">
        <f>IF($B21="","",CHOOSE(IFERROR(MATCH($C$4,Setup!$K$33:$K$36,0),1),N(INDEX('2027'!$AB:$AB,2321)),N(INDEX('2028'!$AB:$AB,2321)),N(INDEX('2029'!$AB:$AB,2321)),N(INDEX('2030'!$AB:$AB,2321))))</f>
        <v/>
      </c>
      <c r="AX21" s="128">
        <f>IF($B21="","",CHOOSE(IFERROR(MATCH($C$4,Setup!$K$33:$K$36,0),1),N(INDEX('2027'!$AB:$AB,2371)),N(INDEX('2028'!$AB:$AB,2371)),N(INDEX('2029'!$AB:$AB,2371)),N(INDEX('2030'!$AB:$AB,2371))))</f>
        <v/>
      </c>
      <c r="AY21" s="128">
        <f>IF($B21="","",CHOOSE(IFERROR(MATCH($C$4,Setup!$K$33:$K$36,0),1),N(INDEX('2027'!$AB:$AB,2421)),N(INDEX('2028'!$AB:$AB,2421)),N(INDEX('2029'!$AB:$AB,2421)),N(INDEX('2030'!$AB:$AB,2421))))</f>
        <v/>
      </c>
      <c r="AZ21" s="128">
        <f>IF($B21="","",CHOOSE(IFERROR(MATCH($C$4,Setup!$K$33:$K$36,0),1),N(INDEX('2027'!$AB:$AB,2471)),N(INDEX('2028'!$AB:$AB,2471)),N(INDEX('2029'!$AB:$AB,2471)),N(INDEX('2030'!$AB:$AB,2471))))</f>
        <v/>
      </c>
      <c r="BA21" s="128">
        <f>IF($B21="","",CHOOSE(IFERROR(MATCH($C$4,Setup!$K$33:$K$36,0),1),N(INDEX('2027'!$AB:$AB,2521)),N(INDEX('2028'!$AB:$AB,2521)),N(INDEX('2029'!$AB:$AB,2521)),N(INDEX('2030'!$AB:$AB,2521))))</f>
        <v/>
      </c>
      <c r="BB21" s="128">
        <f>IF($B21="","",CHOOSE(IFERROR(MATCH($C$4,Setup!$K$33:$K$36,0),1),N(INDEX('2027'!$AB:$AB,2571)),N(INDEX('2028'!$AB:$AB,2571)),N(INDEX('2029'!$AB:$AB,2571)),N(INDEX('2030'!$AB:$AB,2571))))</f>
        <v/>
      </c>
      <c r="BC21" s="128">
        <f>IF($B21="","",CHOOSE(IFERROR(MATCH($C$4,Setup!$K$33:$K$36,0),1),N(INDEX('2027'!$AB:$AB,2621)),N(INDEX('2028'!$AB:$AB,2621)),N(INDEX('2029'!$AB:$AB,2621)),N(INDEX('2030'!$AB:$AB,2621))))</f>
        <v/>
      </c>
      <c r="BE21" s="129">
        <f>IF($B21="","",SUM(C21:BC21))</f>
        <v/>
      </c>
      <c r="BF21" s="130">
        <f>IF($B21="","",COUNTIF(C21:BC21,"&gt;0"))</f>
        <v/>
      </c>
    </row>
    <row r="22" ht="15" customHeight="1">
      <c r="B22" s="127">
        <f>IF(Setup!$K$20="","",Setup!$K$20)</f>
        <v/>
      </c>
      <c r="C22" s="128">
        <f>IF($B22="","",CHOOSE(IFERROR(MATCH($C$4,Setup!$K$33:$K$36,0),1),N(INDEX('2027'!$AB:$AB,22)),N(INDEX('2028'!$AB:$AB,22)),N(INDEX('2029'!$AB:$AB,22)),N(INDEX('2030'!$AB:$AB,22))))</f>
        <v/>
      </c>
      <c r="D22" s="128">
        <f>IF($B22="","",CHOOSE(IFERROR(MATCH($C$4,Setup!$K$33:$K$36,0),1),N(INDEX('2027'!$AB:$AB,72)),N(INDEX('2028'!$AB:$AB,72)),N(INDEX('2029'!$AB:$AB,72)),N(INDEX('2030'!$AB:$AB,72))))</f>
        <v/>
      </c>
      <c r="E22" s="128">
        <f>IF($B22="","",CHOOSE(IFERROR(MATCH($C$4,Setup!$K$33:$K$36,0),1),N(INDEX('2027'!$AB:$AB,122)),N(INDEX('2028'!$AB:$AB,122)),N(INDEX('2029'!$AB:$AB,122)),N(INDEX('2030'!$AB:$AB,122))))</f>
        <v/>
      </c>
      <c r="F22" s="128">
        <f>IF($B22="","",CHOOSE(IFERROR(MATCH($C$4,Setup!$K$33:$K$36,0),1),N(INDEX('2027'!$AB:$AB,172)),N(INDEX('2028'!$AB:$AB,172)),N(INDEX('2029'!$AB:$AB,172)),N(INDEX('2030'!$AB:$AB,172))))</f>
        <v/>
      </c>
      <c r="G22" s="128">
        <f>IF($B22="","",CHOOSE(IFERROR(MATCH($C$4,Setup!$K$33:$K$36,0),1),N(INDEX('2027'!$AB:$AB,222)),N(INDEX('2028'!$AB:$AB,222)),N(INDEX('2029'!$AB:$AB,222)),N(INDEX('2030'!$AB:$AB,222))))</f>
        <v/>
      </c>
      <c r="H22" s="128">
        <f>IF($B22="","",CHOOSE(IFERROR(MATCH($C$4,Setup!$K$33:$K$36,0),1),N(INDEX('2027'!$AB:$AB,272)),N(INDEX('2028'!$AB:$AB,272)),N(INDEX('2029'!$AB:$AB,272)),N(INDEX('2030'!$AB:$AB,272))))</f>
        <v/>
      </c>
      <c r="I22" s="128">
        <f>IF($B22="","",CHOOSE(IFERROR(MATCH($C$4,Setup!$K$33:$K$36,0),1),N(INDEX('2027'!$AB:$AB,322)),N(INDEX('2028'!$AB:$AB,322)),N(INDEX('2029'!$AB:$AB,322)),N(INDEX('2030'!$AB:$AB,322))))</f>
        <v/>
      </c>
      <c r="J22" s="128">
        <f>IF($B22="","",CHOOSE(IFERROR(MATCH($C$4,Setup!$K$33:$K$36,0),1),N(INDEX('2027'!$AB:$AB,372)),N(INDEX('2028'!$AB:$AB,372)),N(INDEX('2029'!$AB:$AB,372)),N(INDEX('2030'!$AB:$AB,372))))</f>
        <v/>
      </c>
      <c r="K22" s="128">
        <f>IF($B22="","",CHOOSE(IFERROR(MATCH($C$4,Setup!$K$33:$K$36,0),1),N(INDEX('2027'!$AB:$AB,422)),N(INDEX('2028'!$AB:$AB,422)),N(INDEX('2029'!$AB:$AB,422)),N(INDEX('2030'!$AB:$AB,422))))</f>
        <v/>
      </c>
      <c r="L22" s="128">
        <f>IF($B22="","",CHOOSE(IFERROR(MATCH($C$4,Setup!$K$33:$K$36,0),1),N(INDEX('2027'!$AB:$AB,472)),N(INDEX('2028'!$AB:$AB,472)),N(INDEX('2029'!$AB:$AB,472)),N(INDEX('2030'!$AB:$AB,472))))</f>
        <v/>
      </c>
      <c r="M22" s="128">
        <f>IF($B22="","",CHOOSE(IFERROR(MATCH($C$4,Setup!$K$33:$K$36,0),1),N(INDEX('2027'!$AB:$AB,522)),N(INDEX('2028'!$AB:$AB,522)),N(INDEX('2029'!$AB:$AB,522)),N(INDEX('2030'!$AB:$AB,522))))</f>
        <v/>
      </c>
      <c r="N22" s="128">
        <f>IF($B22="","",CHOOSE(IFERROR(MATCH($C$4,Setup!$K$33:$K$36,0),1),N(INDEX('2027'!$AB:$AB,572)),N(INDEX('2028'!$AB:$AB,572)),N(INDEX('2029'!$AB:$AB,572)),N(INDEX('2030'!$AB:$AB,572))))</f>
        <v/>
      </c>
      <c r="O22" s="128">
        <f>IF($B22="","",CHOOSE(IFERROR(MATCH($C$4,Setup!$K$33:$K$36,0),1),N(INDEX('2027'!$AB:$AB,622)),N(INDEX('2028'!$AB:$AB,622)),N(INDEX('2029'!$AB:$AB,622)),N(INDEX('2030'!$AB:$AB,622))))</f>
        <v/>
      </c>
      <c r="P22" s="128">
        <f>IF($B22="","",CHOOSE(IFERROR(MATCH($C$4,Setup!$K$33:$K$36,0),1),N(INDEX('2027'!$AB:$AB,672)),N(INDEX('2028'!$AB:$AB,672)),N(INDEX('2029'!$AB:$AB,672)),N(INDEX('2030'!$AB:$AB,672))))</f>
        <v/>
      </c>
      <c r="Q22" s="128">
        <f>IF($B22="","",CHOOSE(IFERROR(MATCH($C$4,Setup!$K$33:$K$36,0),1),N(INDEX('2027'!$AB:$AB,722)),N(INDEX('2028'!$AB:$AB,722)),N(INDEX('2029'!$AB:$AB,722)),N(INDEX('2030'!$AB:$AB,722))))</f>
        <v/>
      </c>
      <c r="R22" s="128">
        <f>IF($B22="","",CHOOSE(IFERROR(MATCH($C$4,Setup!$K$33:$K$36,0),1),N(INDEX('2027'!$AB:$AB,772)),N(INDEX('2028'!$AB:$AB,772)),N(INDEX('2029'!$AB:$AB,772)),N(INDEX('2030'!$AB:$AB,772))))</f>
        <v/>
      </c>
      <c r="S22" s="128">
        <f>IF($B22="","",CHOOSE(IFERROR(MATCH($C$4,Setup!$K$33:$K$36,0),1),N(INDEX('2027'!$AB:$AB,822)),N(INDEX('2028'!$AB:$AB,822)),N(INDEX('2029'!$AB:$AB,822)),N(INDEX('2030'!$AB:$AB,822))))</f>
        <v/>
      </c>
      <c r="T22" s="128">
        <f>IF($B22="","",CHOOSE(IFERROR(MATCH($C$4,Setup!$K$33:$K$36,0),1),N(INDEX('2027'!$AB:$AB,872)),N(INDEX('2028'!$AB:$AB,872)),N(INDEX('2029'!$AB:$AB,872)),N(INDEX('2030'!$AB:$AB,872))))</f>
        <v/>
      </c>
      <c r="U22" s="128">
        <f>IF($B22="","",CHOOSE(IFERROR(MATCH($C$4,Setup!$K$33:$K$36,0),1),N(INDEX('2027'!$AB:$AB,922)),N(INDEX('2028'!$AB:$AB,922)),N(INDEX('2029'!$AB:$AB,922)),N(INDEX('2030'!$AB:$AB,922))))</f>
        <v/>
      </c>
      <c r="V22" s="128">
        <f>IF($B22="","",CHOOSE(IFERROR(MATCH($C$4,Setup!$K$33:$K$36,0),1),N(INDEX('2027'!$AB:$AB,972)),N(INDEX('2028'!$AB:$AB,972)),N(INDEX('2029'!$AB:$AB,972)),N(INDEX('2030'!$AB:$AB,972))))</f>
        <v/>
      </c>
      <c r="W22" s="128">
        <f>IF($B22="","",CHOOSE(IFERROR(MATCH($C$4,Setup!$K$33:$K$36,0),1),N(INDEX('2027'!$AB:$AB,1022)),N(INDEX('2028'!$AB:$AB,1022)),N(INDEX('2029'!$AB:$AB,1022)),N(INDEX('2030'!$AB:$AB,1022))))</f>
        <v/>
      </c>
      <c r="X22" s="128">
        <f>IF($B22="","",CHOOSE(IFERROR(MATCH($C$4,Setup!$K$33:$K$36,0),1),N(INDEX('2027'!$AB:$AB,1072)),N(INDEX('2028'!$AB:$AB,1072)),N(INDEX('2029'!$AB:$AB,1072)),N(INDEX('2030'!$AB:$AB,1072))))</f>
        <v/>
      </c>
      <c r="Y22" s="128">
        <f>IF($B22="","",CHOOSE(IFERROR(MATCH($C$4,Setup!$K$33:$K$36,0),1),N(INDEX('2027'!$AB:$AB,1122)),N(INDEX('2028'!$AB:$AB,1122)),N(INDEX('2029'!$AB:$AB,1122)),N(INDEX('2030'!$AB:$AB,1122))))</f>
        <v/>
      </c>
      <c r="Z22" s="128">
        <f>IF($B22="","",CHOOSE(IFERROR(MATCH($C$4,Setup!$K$33:$K$36,0),1),N(INDEX('2027'!$AB:$AB,1172)),N(INDEX('2028'!$AB:$AB,1172)),N(INDEX('2029'!$AB:$AB,1172)),N(INDEX('2030'!$AB:$AB,1172))))</f>
        <v/>
      </c>
      <c r="AA22" s="128">
        <f>IF($B22="","",CHOOSE(IFERROR(MATCH($C$4,Setup!$K$33:$K$36,0),1),N(INDEX('2027'!$AB:$AB,1222)),N(INDEX('2028'!$AB:$AB,1222)),N(INDEX('2029'!$AB:$AB,1222)),N(INDEX('2030'!$AB:$AB,1222))))</f>
        <v/>
      </c>
      <c r="AB22" s="128">
        <f>IF($B22="","",CHOOSE(IFERROR(MATCH($C$4,Setup!$K$33:$K$36,0),1),N(INDEX('2027'!$AB:$AB,1272)),N(INDEX('2028'!$AB:$AB,1272)),N(INDEX('2029'!$AB:$AB,1272)),N(INDEX('2030'!$AB:$AB,1272))))</f>
        <v/>
      </c>
      <c r="AC22" s="128">
        <f>IF($B22="","",CHOOSE(IFERROR(MATCH($C$4,Setup!$K$33:$K$36,0),1),N(INDEX('2027'!$AB:$AB,1322)),N(INDEX('2028'!$AB:$AB,1322)),N(INDEX('2029'!$AB:$AB,1322)),N(INDEX('2030'!$AB:$AB,1322))))</f>
        <v/>
      </c>
      <c r="AD22" s="128">
        <f>IF($B22="","",CHOOSE(IFERROR(MATCH($C$4,Setup!$K$33:$K$36,0),1),N(INDEX('2027'!$AB:$AB,1372)),N(INDEX('2028'!$AB:$AB,1372)),N(INDEX('2029'!$AB:$AB,1372)),N(INDEX('2030'!$AB:$AB,1372))))</f>
        <v/>
      </c>
      <c r="AE22" s="128">
        <f>IF($B22="","",CHOOSE(IFERROR(MATCH($C$4,Setup!$K$33:$K$36,0),1),N(INDEX('2027'!$AB:$AB,1422)),N(INDEX('2028'!$AB:$AB,1422)),N(INDEX('2029'!$AB:$AB,1422)),N(INDEX('2030'!$AB:$AB,1422))))</f>
        <v/>
      </c>
      <c r="AF22" s="128">
        <f>IF($B22="","",CHOOSE(IFERROR(MATCH($C$4,Setup!$K$33:$K$36,0),1),N(INDEX('2027'!$AB:$AB,1472)),N(INDEX('2028'!$AB:$AB,1472)),N(INDEX('2029'!$AB:$AB,1472)),N(INDEX('2030'!$AB:$AB,1472))))</f>
        <v/>
      </c>
      <c r="AG22" s="128">
        <f>IF($B22="","",CHOOSE(IFERROR(MATCH($C$4,Setup!$K$33:$K$36,0),1),N(INDEX('2027'!$AB:$AB,1522)),N(INDEX('2028'!$AB:$AB,1522)),N(INDEX('2029'!$AB:$AB,1522)),N(INDEX('2030'!$AB:$AB,1522))))</f>
        <v/>
      </c>
      <c r="AH22" s="128">
        <f>IF($B22="","",CHOOSE(IFERROR(MATCH($C$4,Setup!$K$33:$K$36,0),1),N(INDEX('2027'!$AB:$AB,1572)),N(INDEX('2028'!$AB:$AB,1572)),N(INDEX('2029'!$AB:$AB,1572)),N(INDEX('2030'!$AB:$AB,1572))))</f>
        <v/>
      </c>
      <c r="AI22" s="128">
        <f>IF($B22="","",CHOOSE(IFERROR(MATCH($C$4,Setup!$K$33:$K$36,0),1),N(INDEX('2027'!$AB:$AB,1622)),N(INDEX('2028'!$AB:$AB,1622)),N(INDEX('2029'!$AB:$AB,1622)),N(INDEX('2030'!$AB:$AB,1622))))</f>
        <v/>
      </c>
      <c r="AJ22" s="128">
        <f>IF($B22="","",CHOOSE(IFERROR(MATCH($C$4,Setup!$K$33:$K$36,0),1),N(INDEX('2027'!$AB:$AB,1672)),N(INDEX('2028'!$AB:$AB,1672)),N(INDEX('2029'!$AB:$AB,1672)),N(INDEX('2030'!$AB:$AB,1672))))</f>
        <v/>
      </c>
      <c r="AK22" s="128">
        <f>IF($B22="","",CHOOSE(IFERROR(MATCH($C$4,Setup!$K$33:$K$36,0),1),N(INDEX('2027'!$AB:$AB,1722)),N(INDEX('2028'!$AB:$AB,1722)),N(INDEX('2029'!$AB:$AB,1722)),N(INDEX('2030'!$AB:$AB,1722))))</f>
        <v/>
      </c>
      <c r="AL22" s="128">
        <f>IF($B22="","",CHOOSE(IFERROR(MATCH($C$4,Setup!$K$33:$K$36,0),1),N(INDEX('2027'!$AB:$AB,1772)),N(INDEX('2028'!$AB:$AB,1772)),N(INDEX('2029'!$AB:$AB,1772)),N(INDEX('2030'!$AB:$AB,1772))))</f>
        <v/>
      </c>
      <c r="AM22" s="128">
        <f>IF($B22="","",CHOOSE(IFERROR(MATCH($C$4,Setup!$K$33:$K$36,0),1),N(INDEX('2027'!$AB:$AB,1822)),N(INDEX('2028'!$AB:$AB,1822)),N(INDEX('2029'!$AB:$AB,1822)),N(INDEX('2030'!$AB:$AB,1822))))</f>
        <v/>
      </c>
      <c r="AN22" s="128">
        <f>IF($B22="","",CHOOSE(IFERROR(MATCH($C$4,Setup!$K$33:$K$36,0),1),N(INDEX('2027'!$AB:$AB,1872)),N(INDEX('2028'!$AB:$AB,1872)),N(INDEX('2029'!$AB:$AB,1872)),N(INDEX('2030'!$AB:$AB,1872))))</f>
        <v/>
      </c>
      <c r="AO22" s="128">
        <f>IF($B22="","",CHOOSE(IFERROR(MATCH($C$4,Setup!$K$33:$K$36,0),1),N(INDEX('2027'!$AB:$AB,1922)),N(INDEX('2028'!$AB:$AB,1922)),N(INDEX('2029'!$AB:$AB,1922)),N(INDEX('2030'!$AB:$AB,1922))))</f>
        <v/>
      </c>
      <c r="AP22" s="128">
        <f>IF($B22="","",CHOOSE(IFERROR(MATCH($C$4,Setup!$K$33:$K$36,0),1),N(INDEX('2027'!$AB:$AB,1972)),N(INDEX('2028'!$AB:$AB,1972)),N(INDEX('2029'!$AB:$AB,1972)),N(INDEX('2030'!$AB:$AB,1972))))</f>
        <v/>
      </c>
      <c r="AQ22" s="128">
        <f>IF($B22="","",CHOOSE(IFERROR(MATCH($C$4,Setup!$K$33:$K$36,0),1),N(INDEX('2027'!$AB:$AB,2022)),N(INDEX('2028'!$AB:$AB,2022)),N(INDEX('2029'!$AB:$AB,2022)),N(INDEX('2030'!$AB:$AB,2022))))</f>
        <v/>
      </c>
      <c r="AR22" s="128">
        <f>IF($B22="","",CHOOSE(IFERROR(MATCH($C$4,Setup!$K$33:$K$36,0),1),N(INDEX('2027'!$AB:$AB,2072)),N(INDEX('2028'!$AB:$AB,2072)),N(INDEX('2029'!$AB:$AB,2072)),N(INDEX('2030'!$AB:$AB,2072))))</f>
        <v/>
      </c>
      <c r="AS22" s="128">
        <f>IF($B22="","",CHOOSE(IFERROR(MATCH($C$4,Setup!$K$33:$K$36,0),1),N(INDEX('2027'!$AB:$AB,2122)),N(INDEX('2028'!$AB:$AB,2122)),N(INDEX('2029'!$AB:$AB,2122)),N(INDEX('2030'!$AB:$AB,2122))))</f>
        <v/>
      </c>
      <c r="AT22" s="128">
        <f>IF($B22="","",CHOOSE(IFERROR(MATCH($C$4,Setup!$K$33:$K$36,0),1),N(INDEX('2027'!$AB:$AB,2172)),N(INDEX('2028'!$AB:$AB,2172)),N(INDEX('2029'!$AB:$AB,2172)),N(INDEX('2030'!$AB:$AB,2172))))</f>
        <v/>
      </c>
      <c r="AU22" s="128">
        <f>IF($B22="","",CHOOSE(IFERROR(MATCH($C$4,Setup!$K$33:$K$36,0),1),N(INDEX('2027'!$AB:$AB,2222)),N(INDEX('2028'!$AB:$AB,2222)),N(INDEX('2029'!$AB:$AB,2222)),N(INDEX('2030'!$AB:$AB,2222))))</f>
        <v/>
      </c>
      <c r="AV22" s="128">
        <f>IF($B22="","",CHOOSE(IFERROR(MATCH($C$4,Setup!$K$33:$K$36,0),1),N(INDEX('2027'!$AB:$AB,2272)),N(INDEX('2028'!$AB:$AB,2272)),N(INDEX('2029'!$AB:$AB,2272)),N(INDEX('2030'!$AB:$AB,2272))))</f>
        <v/>
      </c>
      <c r="AW22" s="128">
        <f>IF($B22="","",CHOOSE(IFERROR(MATCH($C$4,Setup!$K$33:$K$36,0),1),N(INDEX('2027'!$AB:$AB,2322)),N(INDEX('2028'!$AB:$AB,2322)),N(INDEX('2029'!$AB:$AB,2322)),N(INDEX('2030'!$AB:$AB,2322))))</f>
        <v/>
      </c>
      <c r="AX22" s="128">
        <f>IF($B22="","",CHOOSE(IFERROR(MATCH($C$4,Setup!$K$33:$K$36,0),1),N(INDEX('2027'!$AB:$AB,2372)),N(INDEX('2028'!$AB:$AB,2372)),N(INDEX('2029'!$AB:$AB,2372)),N(INDEX('2030'!$AB:$AB,2372))))</f>
        <v/>
      </c>
      <c r="AY22" s="128">
        <f>IF($B22="","",CHOOSE(IFERROR(MATCH($C$4,Setup!$K$33:$K$36,0),1),N(INDEX('2027'!$AB:$AB,2422)),N(INDEX('2028'!$AB:$AB,2422)),N(INDEX('2029'!$AB:$AB,2422)),N(INDEX('2030'!$AB:$AB,2422))))</f>
        <v/>
      </c>
      <c r="AZ22" s="128">
        <f>IF($B22="","",CHOOSE(IFERROR(MATCH($C$4,Setup!$K$33:$K$36,0),1),N(INDEX('2027'!$AB:$AB,2472)),N(INDEX('2028'!$AB:$AB,2472)),N(INDEX('2029'!$AB:$AB,2472)),N(INDEX('2030'!$AB:$AB,2472))))</f>
        <v/>
      </c>
      <c r="BA22" s="128">
        <f>IF($B22="","",CHOOSE(IFERROR(MATCH($C$4,Setup!$K$33:$K$36,0),1),N(INDEX('2027'!$AB:$AB,2522)),N(INDEX('2028'!$AB:$AB,2522)),N(INDEX('2029'!$AB:$AB,2522)),N(INDEX('2030'!$AB:$AB,2522))))</f>
        <v/>
      </c>
      <c r="BB22" s="128">
        <f>IF($B22="","",CHOOSE(IFERROR(MATCH($C$4,Setup!$K$33:$K$36,0),1),N(INDEX('2027'!$AB:$AB,2572)),N(INDEX('2028'!$AB:$AB,2572)),N(INDEX('2029'!$AB:$AB,2572)),N(INDEX('2030'!$AB:$AB,2572))))</f>
        <v/>
      </c>
      <c r="BC22" s="128">
        <f>IF($B22="","",CHOOSE(IFERROR(MATCH($C$4,Setup!$K$33:$K$36,0),1),N(INDEX('2027'!$AB:$AB,2622)),N(INDEX('2028'!$AB:$AB,2622)),N(INDEX('2029'!$AB:$AB,2622)),N(INDEX('2030'!$AB:$AB,2622))))</f>
        <v/>
      </c>
      <c r="BE22" s="129">
        <f>IF($B22="","",SUM(C22:BC22))</f>
        <v/>
      </c>
      <c r="BF22" s="130">
        <f>IF($B22="","",COUNTIF(C22:BC22,"&gt;0"))</f>
        <v/>
      </c>
    </row>
    <row r="23" ht="15" customHeight="1">
      <c r="B23" s="127">
        <f>IF(Setup!$K$21="","",Setup!$K$21)</f>
        <v/>
      </c>
      <c r="C23" s="128">
        <f>IF($B23="","",CHOOSE(IFERROR(MATCH($C$4,Setup!$K$33:$K$36,0),1),N(INDEX('2027'!$AB:$AB,23)),N(INDEX('2028'!$AB:$AB,23)),N(INDEX('2029'!$AB:$AB,23)),N(INDEX('2030'!$AB:$AB,23))))</f>
        <v/>
      </c>
      <c r="D23" s="128">
        <f>IF($B23="","",CHOOSE(IFERROR(MATCH($C$4,Setup!$K$33:$K$36,0),1),N(INDEX('2027'!$AB:$AB,73)),N(INDEX('2028'!$AB:$AB,73)),N(INDEX('2029'!$AB:$AB,73)),N(INDEX('2030'!$AB:$AB,73))))</f>
        <v/>
      </c>
      <c r="E23" s="128">
        <f>IF($B23="","",CHOOSE(IFERROR(MATCH($C$4,Setup!$K$33:$K$36,0),1),N(INDEX('2027'!$AB:$AB,123)),N(INDEX('2028'!$AB:$AB,123)),N(INDEX('2029'!$AB:$AB,123)),N(INDEX('2030'!$AB:$AB,123))))</f>
        <v/>
      </c>
      <c r="F23" s="128">
        <f>IF($B23="","",CHOOSE(IFERROR(MATCH($C$4,Setup!$K$33:$K$36,0),1),N(INDEX('2027'!$AB:$AB,173)),N(INDEX('2028'!$AB:$AB,173)),N(INDEX('2029'!$AB:$AB,173)),N(INDEX('2030'!$AB:$AB,173))))</f>
        <v/>
      </c>
      <c r="G23" s="128">
        <f>IF($B23="","",CHOOSE(IFERROR(MATCH($C$4,Setup!$K$33:$K$36,0),1),N(INDEX('2027'!$AB:$AB,223)),N(INDEX('2028'!$AB:$AB,223)),N(INDEX('2029'!$AB:$AB,223)),N(INDEX('2030'!$AB:$AB,223))))</f>
        <v/>
      </c>
      <c r="H23" s="128">
        <f>IF($B23="","",CHOOSE(IFERROR(MATCH($C$4,Setup!$K$33:$K$36,0),1),N(INDEX('2027'!$AB:$AB,273)),N(INDEX('2028'!$AB:$AB,273)),N(INDEX('2029'!$AB:$AB,273)),N(INDEX('2030'!$AB:$AB,273))))</f>
        <v/>
      </c>
      <c r="I23" s="128">
        <f>IF($B23="","",CHOOSE(IFERROR(MATCH($C$4,Setup!$K$33:$K$36,0),1),N(INDEX('2027'!$AB:$AB,323)),N(INDEX('2028'!$AB:$AB,323)),N(INDEX('2029'!$AB:$AB,323)),N(INDEX('2030'!$AB:$AB,323))))</f>
        <v/>
      </c>
      <c r="J23" s="128">
        <f>IF($B23="","",CHOOSE(IFERROR(MATCH($C$4,Setup!$K$33:$K$36,0),1),N(INDEX('2027'!$AB:$AB,373)),N(INDEX('2028'!$AB:$AB,373)),N(INDEX('2029'!$AB:$AB,373)),N(INDEX('2030'!$AB:$AB,373))))</f>
        <v/>
      </c>
      <c r="K23" s="128">
        <f>IF($B23="","",CHOOSE(IFERROR(MATCH($C$4,Setup!$K$33:$K$36,0),1),N(INDEX('2027'!$AB:$AB,423)),N(INDEX('2028'!$AB:$AB,423)),N(INDEX('2029'!$AB:$AB,423)),N(INDEX('2030'!$AB:$AB,423))))</f>
        <v/>
      </c>
      <c r="L23" s="128">
        <f>IF($B23="","",CHOOSE(IFERROR(MATCH($C$4,Setup!$K$33:$K$36,0),1),N(INDEX('2027'!$AB:$AB,473)),N(INDEX('2028'!$AB:$AB,473)),N(INDEX('2029'!$AB:$AB,473)),N(INDEX('2030'!$AB:$AB,473))))</f>
        <v/>
      </c>
      <c r="M23" s="128">
        <f>IF($B23="","",CHOOSE(IFERROR(MATCH($C$4,Setup!$K$33:$K$36,0),1),N(INDEX('2027'!$AB:$AB,523)),N(INDEX('2028'!$AB:$AB,523)),N(INDEX('2029'!$AB:$AB,523)),N(INDEX('2030'!$AB:$AB,523))))</f>
        <v/>
      </c>
      <c r="N23" s="128">
        <f>IF($B23="","",CHOOSE(IFERROR(MATCH($C$4,Setup!$K$33:$K$36,0),1),N(INDEX('2027'!$AB:$AB,573)),N(INDEX('2028'!$AB:$AB,573)),N(INDEX('2029'!$AB:$AB,573)),N(INDEX('2030'!$AB:$AB,573))))</f>
        <v/>
      </c>
      <c r="O23" s="128">
        <f>IF($B23="","",CHOOSE(IFERROR(MATCH($C$4,Setup!$K$33:$K$36,0),1),N(INDEX('2027'!$AB:$AB,623)),N(INDEX('2028'!$AB:$AB,623)),N(INDEX('2029'!$AB:$AB,623)),N(INDEX('2030'!$AB:$AB,623))))</f>
        <v/>
      </c>
      <c r="P23" s="128">
        <f>IF($B23="","",CHOOSE(IFERROR(MATCH($C$4,Setup!$K$33:$K$36,0),1),N(INDEX('2027'!$AB:$AB,673)),N(INDEX('2028'!$AB:$AB,673)),N(INDEX('2029'!$AB:$AB,673)),N(INDEX('2030'!$AB:$AB,673))))</f>
        <v/>
      </c>
      <c r="Q23" s="128">
        <f>IF($B23="","",CHOOSE(IFERROR(MATCH($C$4,Setup!$K$33:$K$36,0),1),N(INDEX('2027'!$AB:$AB,723)),N(INDEX('2028'!$AB:$AB,723)),N(INDEX('2029'!$AB:$AB,723)),N(INDEX('2030'!$AB:$AB,723))))</f>
        <v/>
      </c>
      <c r="R23" s="128">
        <f>IF($B23="","",CHOOSE(IFERROR(MATCH($C$4,Setup!$K$33:$K$36,0),1),N(INDEX('2027'!$AB:$AB,773)),N(INDEX('2028'!$AB:$AB,773)),N(INDEX('2029'!$AB:$AB,773)),N(INDEX('2030'!$AB:$AB,773))))</f>
        <v/>
      </c>
      <c r="S23" s="128">
        <f>IF($B23="","",CHOOSE(IFERROR(MATCH($C$4,Setup!$K$33:$K$36,0),1),N(INDEX('2027'!$AB:$AB,823)),N(INDEX('2028'!$AB:$AB,823)),N(INDEX('2029'!$AB:$AB,823)),N(INDEX('2030'!$AB:$AB,823))))</f>
        <v/>
      </c>
      <c r="T23" s="128">
        <f>IF($B23="","",CHOOSE(IFERROR(MATCH($C$4,Setup!$K$33:$K$36,0),1),N(INDEX('2027'!$AB:$AB,873)),N(INDEX('2028'!$AB:$AB,873)),N(INDEX('2029'!$AB:$AB,873)),N(INDEX('2030'!$AB:$AB,873))))</f>
        <v/>
      </c>
      <c r="U23" s="128">
        <f>IF($B23="","",CHOOSE(IFERROR(MATCH($C$4,Setup!$K$33:$K$36,0),1),N(INDEX('2027'!$AB:$AB,923)),N(INDEX('2028'!$AB:$AB,923)),N(INDEX('2029'!$AB:$AB,923)),N(INDEX('2030'!$AB:$AB,923))))</f>
        <v/>
      </c>
      <c r="V23" s="128">
        <f>IF($B23="","",CHOOSE(IFERROR(MATCH($C$4,Setup!$K$33:$K$36,0),1),N(INDEX('2027'!$AB:$AB,973)),N(INDEX('2028'!$AB:$AB,973)),N(INDEX('2029'!$AB:$AB,973)),N(INDEX('2030'!$AB:$AB,973))))</f>
        <v/>
      </c>
      <c r="W23" s="128">
        <f>IF($B23="","",CHOOSE(IFERROR(MATCH($C$4,Setup!$K$33:$K$36,0),1),N(INDEX('2027'!$AB:$AB,1023)),N(INDEX('2028'!$AB:$AB,1023)),N(INDEX('2029'!$AB:$AB,1023)),N(INDEX('2030'!$AB:$AB,1023))))</f>
        <v/>
      </c>
      <c r="X23" s="128">
        <f>IF($B23="","",CHOOSE(IFERROR(MATCH($C$4,Setup!$K$33:$K$36,0),1),N(INDEX('2027'!$AB:$AB,1073)),N(INDEX('2028'!$AB:$AB,1073)),N(INDEX('2029'!$AB:$AB,1073)),N(INDEX('2030'!$AB:$AB,1073))))</f>
        <v/>
      </c>
      <c r="Y23" s="128">
        <f>IF($B23="","",CHOOSE(IFERROR(MATCH($C$4,Setup!$K$33:$K$36,0),1),N(INDEX('2027'!$AB:$AB,1123)),N(INDEX('2028'!$AB:$AB,1123)),N(INDEX('2029'!$AB:$AB,1123)),N(INDEX('2030'!$AB:$AB,1123))))</f>
        <v/>
      </c>
      <c r="Z23" s="128">
        <f>IF($B23="","",CHOOSE(IFERROR(MATCH($C$4,Setup!$K$33:$K$36,0),1),N(INDEX('2027'!$AB:$AB,1173)),N(INDEX('2028'!$AB:$AB,1173)),N(INDEX('2029'!$AB:$AB,1173)),N(INDEX('2030'!$AB:$AB,1173))))</f>
        <v/>
      </c>
      <c r="AA23" s="128">
        <f>IF($B23="","",CHOOSE(IFERROR(MATCH($C$4,Setup!$K$33:$K$36,0),1),N(INDEX('2027'!$AB:$AB,1223)),N(INDEX('2028'!$AB:$AB,1223)),N(INDEX('2029'!$AB:$AB,1223)),N(INDEX('2030'!$AB:$AB,1223))))</f>
        <v/>
      </c>
      <c r="AB23" s="128">
        <f>IF($B23="","",CHOOSE(IFERROR(MATCH($C$4,Setup!$K$33:$K$36,0),1),N(INDEX('2027'!$AB:$AB,1273)),N(INDEX('2028'!$AB:$AB,1273)),N(INDEX('2029'!$AB:$AB,1273)),N(INDEX('2030'!$AB:$AB,1273))))</f>
        <v/>
      </c>
      <c r="AC23" s="128">
        <f>IF($B23="","",CHOOSE(IFERROR(MATCH($C$4,Setup!$K$33:$K$36,0),1),N(INDEX('2027'!$AB:$AB,1323)),N(INDEX('2028'!$AB:$AB,1323)),N(INDEX('2029'!$AB:$AB,1323)),N(INDEX('2030'!$AB:$AB,1323))))</f>
        <v/>
      </c>
      <c r="AD23" s="128">
        <f>IF($B23="","",CHOOSE(IFERROR(MATCH($C$4,Setup!$K$33:$K$36,0),1),N(INDEX('2027'!$AB:$AB,1373)),N(INDEX('2028'!$AB:$AB,1373)),N(INDEX('2029'!$AB:$AB,1373)),N(INDEX('2030'!$AB:$AB,1373))))</f>
        <v/>
      </c>
      <c r="AE23" s="128">
        <f>IF($B23="","",CHOOSE(IFERROR(MATCH($C$4,Setup!$K$33:$K$36,0),1),N(INDEX('2027'!$AB:$AB,1423)),N(INDEX('2028'!$AB:$AB,1423)),N(INDEX('2029'!$AB:$AB,1423)),N(INDEX('2030'!$AB:$AB,1423))))</f>
        <v/>
      </c>
      <c r="AF23" s="128">
        <f>IF($B23="","",CHOOSE(IFERROR(MATCH($C$4,Setup!$K$33:$K$36,0),1),N(INDEX('2027'!$AB:$AB,1473)),N(INDEX('2028'!$AB:$AB,1473)),N(INDEX('2029'!$AB:$AB,1473)),N(INDEX('2030'!$AB:$AB,1473))))</f>
        <v/>
      </c>
      <c r="AG23" s="128">
        <f>IF($B23="","",CHOOSE(IFERROR(MATCH($C$4,Setup!$K$33:$K$36,0),1),N(INDEX('2027'!$AB:$AB,1523)),N(INDEX('2028'!$AB:$AB,1523)),N(INDEX('2029'!$AB:$AB,1523)),N(INDEX('2030'!$AB:$AB,1523))))</f>
        <v/>
      </c>
      <c r="AH23" s="128">
        <f>IF($B23="","",CHOOSE(IFERROR(MATCH($C$4,Setup!$K$33:$K$36,0),1),N(INDEX('2027'!$AB:$AB,1573)),N(INDEX('2028'!$AB:$AB,1573)),N(INDEX('2029'!$AB:$AB,1573)),N(INDEX('2030'!$AB:$AB,1573))))</f>
        <v/>
      </c>
      <c r="AI23" s="128">
        <f>IF($B23="","",CHOOSE(IFERROR(MATCH($C$4,Setup!$K$33:$K$36,0),1),N(INDEX('2027'!$AB:$AB,1623)),N(INDEX('2028'!$AB:$AB,1623)),N(INDEX('2029'!$AB:$AB,1623)),N(INDEX('2030'!$AB:$AB,1623))))</f>
        <v/>
      </c>
      <c r="AJ23" s="128">
        <f>IF($B23="","",CHOOSE(IFERROR(MATCH($C$4,Setup!$K$33:$K$36,0),1),N(INDEX('2027'!$AB:$AB,1673)),N(INDEX('2028'!$AB:$AB,1673)),N(INDEX('2029'!$AB:$AB,1673)),N(INDEX('2030'!$AB:$AB,1673))))</f>
        <v/>
      </c>
      <c r="AK23" s="128">
        <f>IF($B23="","",CHOOSE(IFERROR(MATCH($C$4,Setup!$K$33:$K$36,0),1),N(INDEX('2027'!$AB:$AB,1723)),N(INDEX('2028'!$AB:$AB,1723)),N(INDEX('2029'!$AB:$AB,1723)),N(INDEX('2030'!$AB:$AB,1723))))</f>
        <v/>
      </c>
      <c r="AL23" s="128">
        <f>IF($B23="","",CHOOSE(IFERROR(MATCH($C$4,Setup!$K$33:$K$36,0),1),N(INDEX('2027'!$AB:$AB,1773)),N(INDEX('2028'!$AB:$AB,1773)),N(INDEX('2029'!$AB:$AB,1773)),N(INDEX('2030'!$AB:$AB,1773))))</f>
        <v/>
      </c>
      <c r="AM23" s="128">
        <f>IF($B23="","",CHOOSE(IFERROR(MATCH($C$4,Setup!$K$33:$K$36,0),1),N(INDEX('2027'!$AB:$AB,1823)),N(INDEX('2028'!$AB:$AB,1823)),N(INDEX('2029'!$AB:$AB,1823)),N(INDEX('2030'!$AB:$AB,1823))))</f>
        <v/>
      </c>
      <c r="AN23" s="128">
        <f>IF($B23="","",CHOOSE(IFERROR(MATCH($C$4,Setup!$K$33:$K$36,0),1),N(INDEX('2027'!$AB:$AB,1873)),N(INDEX('2028'!$AB:$AB,1873)),N(INDEX('2029'!$AB:$AB,1873)),N(INDEX('2030'!$AB:$AB,1873))))</f>
        <v/>
      </c>
      <c r="AO23" s="128">
        <f>IF($B23="","",CHOOSE(IFERROR(MATCH($C$4,Setup!$K$33:$K$36,0),1),N(INDEX('2027'!$AB:$AB,1923)),N(INDEX('2028'!$AB:$AB,1923)),N(INDEX('2029'!$AB:$AB,1923)),N(INDEX('2030'!$AB:$AB,1923))))</f>
        <v/>
      </c>
      <c r="AP23" s="128">
        <f>IF($B23="","",CHOOSE(IFERROR(MATCH($C$4,Setup!$K$33:$K$36,0),1),N(INDEX('2027'!$AB:$AB,1973)),N(INDEX('2028'!$AB:$AB,1973)),N(INDEX('2029'!$AB:$AB,1973)),N(INDEX('2030'!$AB:$AB,1973))))</f>
        <v/>
      </c>
      <c r="AQ23" s="128">
        <f>IF($B23="","",CHOOSE(IFERROR(MATCH($C$4,Setup!$K$33:$K$36,0),1),N(INDEX('2027'!$AB:$AB,2023)),N(INDEX('2028'!$AB:$AB,2023)),N(INDEX('2029'!$AB:$AB,2023)),N(INDEX('2030'!$AB:$AB,2023))))</f>
        <v/>
      </c>
      <c r="AR23" s="128">
        <f>IF($B23="","",CHOOSE(IFERROR(MATCH($C$4,Setup!$K$33:$K$36,0),1),N(INDEX('2027'!$AB:$AB,2073)),N(INDEX('2028'!$AB:$AB,2073)),N(INDEX('2029'!$AB:$AB,2073)),N(INDEX('2030'!$AB:$AB,2073))))</f>
        <v/>
      </c>
      <c r="AS23" s="128">
        <f>IF($B23="","",CHOOSE(IFERROR(MATCH($C$4,Setup!$K$33:$K$36,0),1),N(INDEX('2027'!$AB:$AB,2123)),N(INDEX('2028'!$AB:$AB,2123)),N(INDEX('2029'!$AB:$AB,2123)),N(INDEX('2030'!$AB:$AB,2123))))</f>
        <v/>
      </c>
      <c r="AT23" s="128">
        <f>IF($B23="","",CHOOSE(IFERROR(MATCH($C$4,Setup!$K$33:$K$36,0),1),N(INDEX('2027'!$AB:$AB,2173)),N(INDEX('2028'!$AB:$AB,2173)),N(INDEX('2029'!$AB:$AB,2173)),N(INDEX('2030'!$AB:$AB,2173))))</f>
        <v/>
      </c>
      <c r="AU23" s="128">
        <f>IF($B23="","",CHOOSE(IFERROR(MATCH($C$4,Setup!$K$33:$K$36,0),1),N(INDEX('2027'!$AB:$AB,2223)),N(INDEX('2028'!$AB:$AB,2223)),N(INDEX('2029'!$AB:$AB,2223)),N(INDEX('2030'!$AB:$AB,2223))))</f>
        <v/>
      </c>
      <c r="AV23" s="128">
        <f>IF($B23="","",CHOOSE(IFERROR(MATCH($C$4,Setup!$K$33:$K$36,0),1),N(INDEX('2027'!$AB:$AB,2273)),N(INDEX('2028'!$AB:$AB,2273)),N(INDEX('2029'!$AB:$AB,2273)),N(INDEX('2030'!$AB:$AB,2273))))</f>
        <v/>
      </c>
      <c r="AW23" s="128">
        <f>IF($B23="","",CHOOSE(IFERROR(MATCH($C$4,Setup!$K$33:$K$36,0),1),N(INDEX('2027'!$AB:$AB,2323)),N(INDEX('2028'!$AB:$AB,2323)),N(INDEX('2029'!$AB:$AB,2323)),N(INDEX('2030'!$AB:$AB,2323))))</f>
        <v/>
      </c>
      <c r="AX23" s="128">
        <f>IF($B23="","",CHOOSE(IFERROR(MATCH($C$4,Setup!$K$33:$K$36,0),1),N(INDEX('2027'!$AB:$AB,2373)),N(INDEX('2028'!$AB:$AB,2373)),N(INDEX('2029'!$AB:$AB,2373)),N(INDEX('2030'!$AB:$AB,2373))))</f>
        <v/>
      </c>
      <c r="AY23" s="128">
        <f>IF($B23="","",CHOOSE(IFERROR(MATCH($C$4,Setup!$K$33:$K$36,0),1),N(INDEX('2027'!$AB:$AB,2423)),N(INDEX('2028'!$AB:$AB,2423)),N(INDEX('2029'!$AB:$AB,2423)),N(INDEX('2030'!$AB:$AB,2423))))</f>
        <v/>
      </c>
      <c r="AZ23" s="128">
        <f>IF($B23="","",CHOOSE(IFERROR(MATCH($C$4,Setup!$K$33:$K$36,0),1),N(INDEX('2027'!$AB:$AB,2473)),N(INDEX('2028'!$AB:$AB,2473)),N(INDEX('2029'!$AB:$AB,2473)),N(INDEX('2030'!$AB:$AB,2473))))</f>
        <v/>
      </c>
      <c r="BA23" s="128">
        <f>IF($B23="","",CHOOSE(IFERROR(MATCH($C$4,Setup!$K$33:$K$36,0),1),N(INDEX('2027'!$AB:$AB,2523)),N(INDEX('2028'!$AB:$AB,2523)),N(INDEX('2029'!$AB:$AB,2523)),N(INDEX('2030'!$AB:$AB,2523))))</f>
        <v/>
      </c>
      <c r="BB23" s="128">
        <f>IF($B23="","",CHOOSE(IFERROR(MATCH($C$4,Setup!$K$33:$K$36,0),1),N(INDEX('2027'!$AB:$AB,2573)),N(INDEX('2028'!$AB:$AB,2573)),N(INDEX('2029'!$AB:$AB,2573)),N(INDEX('2030'!$AB:$AB,2573))))</f>
        <v/>
      </c>
      <c r="BC23" s="128">
        <f>IF($B23="","",CHOOSE(IFERROR(MATCH($C$4,Setup!$K$33:$K$36,0),1),N(INDEX('2027'!$AB:$AB,2623)),N(INDEX('2028'!$AB:$AB,2623)),N(INDEX('2029'!$AB:$AB,2623)),N(INDEX('2030'!$AB:$AB,2623))))</f>
        <v/>
      </c>
      <c r="BE23" s="129">
        <f>IF($B23="","",SUM(C23:BC23))</f>
        <v/>
      </c>
      <c r="BF23" s="130">
        <f>IF($B23="","",COUNTIF(C23:BC23,"&gt;0"))</f>
        <v/>
      </c>
    </row>
    <row r="24" ht="15" customHeight="1">
      <c r="B24" s="127">
        <f>IF(Setup!$K$22="","",Setup!$K$22)</f>
        <v/>
      </c>
      <c r="C24" s="128">
        <f>IF($B24="","",CHOOSE(IFERROR(MATCH($C$4,Setup!$K$33:$K$36,0),1),N(INDEX('2027'!$AB:$AB,24)),N(INDEX('2028'!$AB:$AB,24)),N(INDEX('2029'!$AB:$AB,24)),N(INDEX('2030'!$AB:$AB,24))))</f>
        <v/>
      </c>
      <c r="D24" s="128">
        <f>IF($B24="","",CHOOSE(IFERROR(MATCH($C$4,Setup!$K$33:$K$36,0),1),N(INDEX('2027'!$AB:$AB,74)),N(INDEX('2028'!$AB:$AB,74)),N(INDEX('2029'!$AB:$AB,74)),N(INDEX('2030'!$AB:$AB,74))))</f>
        <v/>
      </c>
      <c r="E24" s="128">
        <f>IF($B24="","",CHOOSE(IFERROR(MATCH($C$4,Setup!$K$33:$K$36,0),1),N(INDEX('2027'!$AB:$AB,124)),N(INDEX('2028'!$AB:$AB,124)),N(INDEX('2029'!$AB:$AB,124)),N(INDEX('2030'!$AB:$AB,124))))</f>
        <v/>
      </c>
      <c r="F24" s="128">
        <f>IF($B24="","",CHOOSE(IFERROR(MATCH($C$4,Setup!$K$33:$K$36,0),1),N(INDEX('2027'!$AB:$AB,174)),N(INDEX('2028'!$AB:$AB,174)),N(INDEX('2029'!$AB:$AB,174)),N(INDEX('2030'!$AB:$AB,174))))</f>
        <v/>
      </c>
      <c r="G24" s="128">
        <f>IF($B24="","",CHOOSE(IFERROR(MATCH($C$4,Setup!$K$33:$K$36,0),1),N(INDEX('2027'!$AB:$AB,224)),N(INDEX('2028'!$AB:$AB,224)),N(INDEX('2029'!$AB:$AB,224)),N(INDEX('2030'!$AB:$AB,224))))</f>
        <v/>
      </c>
      <c r="H24" s="128">
        <f>IF($B24="","",CHOOSE(IFERROR(MATCH($C$4,Setup!$K$33:$K$36,0),1),N(INDEX('2027'!$AB:$AB,274)),N(INDEX('2028'!$AB:$AB,274)),N(INDEX('2029'!$AB:$AB,274)),N(INDEX('2030'!$AB:$AB,274))))</f>
        <v/>
      </c>
      <c r="I24" s="128">
        <f>IF($B24="","",CHOOSE(IFERROR(MATCH($C$4,Setup!$K$33:$K$36,0),1),N(INDEX('2027'!$AB:$AB,324)),N(INDEX('2028'!$AB:$AB,324)),N(INDEX('2029'!$AB:$AB,324)),N(INDEX('2030'!$AB:$AB,324))))</f>
        <v/>
      </c>
      <c r="J24" s="128">
        <f>IF($B24="","",CHOOSE(IFERROR(MATCH($C$4,Setup!$K$33:$K$36,0),1),N(INDEX('2027'!$AB:$AB,374)),N(INDEX('2028'!$AB:$AB,374)),N(INDEX('2029'!$AB:$AB,374)),N(INDEX('2030'!$AB:$AB,374))))</f>
        <v/>
      </c>
      <c r="K24" s="128">
        <f>IF($B24="","",CHOOSE(IFERROR(MATCH($C$4,Setup!$K$33:$K$36,0),1),N(INDEX('2027'!$AB:$AB,424)),N(INDEX('2028'!$AB:$AB,424)),N(INDEX('2029'!$AB:$AB,424)),N(INDEX('2030'!$AB:$AB,424))))</f>
        <v/>
      </c>
      <c r="L24" s="128">
        <f>IF($B24="","",CHOOSE(IFERROR(MATCH($C$4,Setup!$K$33:$K$36,0),1),N(INDEX('2027'!$AB:$AB,474)),N(INDEX('2028'!$AB:$AB,474)),N(INDEX('2029'!$AB:$AB,474)),N(INDEX('2030'!$AB:$AB,474))))</f>
        <v/>
      </c>
      <c r="M24" s="128">
        <f>IF($B24="","",CHOOSE(IFERROR(MATCH($C$4,Setup!$K$33:$K$36,0),1),N(INDEX('2027'!$AB:$AB,524)),N(INDEX('2028'!$AB:$AB,524)),N(INDEX('2029'!$AB:$AB,524)),N(INDEX('2030'!$AB:$AB,524))))</f>
        <v/>
      </c>
      <c r="N24" s="128">
        <f>IF($B24="","",CHOOSE(IFERROR(MATCH($C$4,Setup!$K$33:$K$36,0),1),N(INDEX('2027'!$AB:$AB,574)),N(INDEX('2028'!$AB:$AB,574)),N(INDEX('2029'!$AB:$AB,574)),N(INDEX('2030'!$AB:$AB,574))))</f>
        <v/>
      </c>
      <c r="O24" s="128">
        <f>IF($B24="","",CHOOSE(IFERROR(MATCH($C$4,Setup!$K$33:$K$36,0),1),N(INDEX('2027'!$AB:$AB,624)),N(INDEX('2028'!$AB:$AB,624)),N(INDEX('2029'!$AB:$AB,624)),N(INDEX('2030'!$AB:$AB,624))))</f>
        <v/>
      </c>
      <c r="P24" s="128">
        <f>IF($B24="","",CHOOSE(IFERROR(MATCH($C$4,Setup!$K$33:$K$36,0),1),N(INDEX('2027'!$AB:$AB,674)),N(INDEX('2028'!$AB:$AB,674)),N(INDEX('2029'!$AB:$AB,674)),N(INDEX('2030'!$AB:$AB,674))))</f>
        <v/>
      </c>
      <c r="Q24" s="128">
        <f>IF($B24="","",CHOOSE(IFERROR(MATCH($C$4,Setup!$K$33:$K$36,0),1),N(INDEX('2027'!$AB:$AB,724)),N(INDEX('2028'!$AB:$AB,724)),N(INDEX('2029'!$AB:$AB,724)),N(INDEX('2030'!$AB:$AB,724))))</f>
        <v/>
      </c>
      <c r="R24" s="128">
        <f>IF($B24="","",CHOOSE(IFERROR(MATCH($C$4,Setup!$K$33:$K$36,0),1),N(INDEX('2027'!$AB:$AB,774)),N(INDEX('2028'!$AB:$AB,774)),N(INDEX('2029'!$AB:$AB,774)),N(INDEX('2030'!$AB:$AB,774))))</f>
        <v/>
      </c>
      <c r="S24" s="128">
        <f>IF($B24="","",CHOOSE(IFERROR(MATCH($C$4,Setup!$K$33:$K$36,0),1),N(INDEX('2027'!$AB:$AB,824)),N(INDEX('2028'!$AB:$AB,824)),N(INDEX('2029'!$AB:$AB,824)),N(INDEX('2030'!$AB:$AB,824))))</f>
        <v/>
      </c>
      <c r="T24" s="128">
        <f>IF($B24="","",CHOOSE(IFERROR(MATCH($C$4,Setup!$K$33:$K$36,0),1),N(INDEX('2027'!$AB:$AB,874)),N(INDEX('2028'!$AB:$AB,874)),N(INDEX('2029'!$AB:$AB,874)),N(INDEX('2030'!$AB:$AB,874))))</f>
        <v/>
      </c>
      <c r="U24" s="128">
        <f>IF($B24="","",CHOOSE(IFERROR(MATCH($C$4,Setup!$K$33:$K$36,0),1),N(INDEX('2027'!$AB:$AB,924)),N(INDEX('2028'!$AB:$AB,924)),N(INDEX('2029'!$AB:$AB,924)),N(INDEX('2030'!$AB:$AB,924))))</f>
        <v/>
      </c>
      <c r="V24" s="128">
        <f>IF($B24="","",CHOOSE(IFERROR(MATCH($C$4,Setup!$K$33:$K$36,0),1),N(INDEX('2027'!$AB:$AB,974)),N(INDEX('2028'!$AB:$AB,974)),N(INDEX('2029'!$AB:$AB,974)),N(INDEX('2030'!$AB:$AB,974))))</f>
        <v/>
      </c>
      <c r="W24" s="128">
        <f>IF($B24="","",CHOOSE(IFERROR(MATCH($C$4,Setup!$K$33:$K$36,0),1),N(INDEX('2027'!$AB:$AB,1024)),N(INDEX('2028'!$AB:$AB,1024)),N(INDEX('2029'!$AB:$AB,1024)),N(INDEX('2030'!$AB:$AB,1024))))</f>
        <v/>
      </c>
      <c r="X24" s="128">
        <f>IF($B24="","",CHOOSE(IFERROR(MATCH($C$4,Setup!$K$33:$K$36,0),1),N(INDEX('2027'!$AB:$AB,1074)),N(INDEX('2028'!$AB:$AB,1074)),N(INDEX('2029'!$AB:$AB,1074)),N(INDEX('2030'!$AB:$AB,1074))))</f>
        <v/>
      </c>
      <c r="Y24" s="128">
        <f>IF($B24="","",CHOOSE(IFERROR(MATCH($C$4,Setup!$K$33:$K$36,0),1),N(INDEX('2027'!$AB:$AB,1124)),N(INDEX('2028'!$AB:$AB,1124)),N(INDEX('2029'!$AB:$AB,1124)),N(INDEX('2030'!$AB:$AB,1124))))</f>
        <v/>
      </c>
      <c r="Z24" s="128">
        <f>IF($B24="","",CHOOSE(IFERROR(MATCH($C$4,Setup!$K$33:$K$36,0),1),N(INDEX('2027'!$AB:$AB,1174)),N(INDEX('2028'!$AB:$AB,1174)),N(INDEX('2029'!$AB:$AB,1174)),N(INDEX('2030'!$AB:$AB,1174))))</f>
        <v/>
      </c>
      <c r="AA24" s="128">
        <f>IF($B24="","",CHOOSE(IFERROR(MATCH($C$4,Setup!$K$33:$K$36,0),1),N(INDEX('2027'!$AB:$AB,1224)),N(INDEX('2028'!$AB:$AB,1224)),N(INDEX('2029'!$AB:$AB,1224)),N(INDEX('2030'!$AB:$AB,1224))))</f>
        <v/>
      </c>
      <c r="AB24" s="128">
        <f>IF($B24="","",CHOOSE(IFERROR(MATCH($C$4,Setup!$K$33:$K$36,0),1),N(INDEX('2027'!$AB:$AB,1274)),N(INDEX('2028'!$AB:$AB,1274)),N(INDEX('2029'!$AB:$AB,1274)),N(INDEX('2030'!$AB:$AB,1274))))</f>
        <v/>
      </c>
      <c r="AC24" s="128">
        <f>IF($B24="","",CHOOSE(IFERROR(MATCH($C$4,Setup!$K$33:$K$36,0),1),N(INDEX('2027'!$AB:$AB,1324)),N(INDEX('2028'!$AB:$AB,1324)),N(INDEX('2029'!$AB:$AB,1324)),N(INDEX('2030'!$AB:$AB,1324))))</f>
        <v/>
      </c>
      <c r="AD24" s="128">
        <f>IF($B24="","",CHOOSE(IFERROR(MATCH($C$4,Setup!$K$33:$K$36,0),1),N(INDEX('2027'!$AB:$AB,1374)),N(INDEX('2028'!$AB:$AB,1374)),N(INDEX('2029'!$AB:$AB,1374)),N(INDEX('2030'!$AB:$AB,1374))))</f>
        <v/>
      </c>
      <c r="AE24" s="128">
        <f>IF($B24="","",CHOOSE(IFERROR(MATCH($C$4,Setup!$K$33:$K$36,0),1),N(INDEX('2027'!$AB:$AB,1424)),N(INDEX('2028'!$AB:$AB,1424)),N(INDEX('2029'!$AB:$AB,1424)),N(INDEX('2030'!$AB:$AB,1424))))</f>
        <v/>
      </c>
      <c r="AF24" s="128">
        <f>IF($B24="","",CHOOSE(IFERROR(MATCH($C$4,Setup!$K$33:$K$36,0),1),N(INDEX('2027'!$AB:$AB,1474)),N(INDEX('2028'!$AB:$AB,1474)),N(INDEX('2029'!$AB:$AB,1474)),N(INDEX('2030'!$AB:$AB,1474))))</f>
        <v/>
      </c>
      <c r="AG24" s="128">
        <f>IF($B24="","",CHOOSE(IFERROR(MATCH($C$4,Setup!$K$33:$K$36,0),1),N(INDEX('2027'!$AB:$AB,1524)),N(INDEX('2028'!$AB:$AB,1524)),N(INDEX('2029'!$AB:$AB,1524)),N(INDEX('2030'!$AB:$AB,1524))))</f>
        <v/>
      </c>
      <c r="AH24" s="128">
        <f>IF($B24="","",CHOOSE(IFERROR(MATCH($C$4,Setup!$K$33:$K$36,0),1),N(INDEX('2027'!$AB:$AB,1574)),N(INDEX('2028'!$AB:$AB,1574)),N(INDEX('2029'!$AB:$AB,1574)),N(INDEX('2030'!$AB:$AB,1574))))</f>
        <v/>
      </c>
      <c r="AI24" s="128">
        <f>IF($B24="","",CHOOSE(IFERROR(MATCH($C$4,Setup!$K$33:$K$36,0),1),N(INDEX('2027'!$AB:$AB,1624)),N(INDEX('2028'!$AB:$AB,1624)),N(INDEX('2029'!$AB:$AB,1624)),N(INDEX('2030'!$AB:$AB,1624))))</f>
        <v/>
      </c>
      <c r="AJ24" s="128">
        <f>IF($B24="","",CHOOSE(IFERROR(MATCH($C$4,Setup!$K$33:$K$36,0),1),N(INDEX('2027'!$AB:$AB,1674)),N(INDEX('2028'!$AB:$AB,1674)),N(INDEX('2029'!$AB:$AB,1674)),N(INDEX('2030'!$AB:$AB,1674))))</f>
        <v/>
      </c>
      <c r="AK24" s="128">
        <f>IF($B24="","",CHOOSE(IFERROR(MATCH($C$4,Setup!$K$33:$K$36,0),1),N(INDEX('2027'!$AB:$AB,1724)),N(INDEX('2028'!$AB:$AB,1724)),N(INDEX('2029'!$AB:$AB,1724)),N(INDEX('2030'!$AB:$AB,1724))))</f>
        <v/>
      </c>
      <c r="AL24" s="128">
        <f>IF($B24="","",CHOOSE(IFERROR(MATCH($C$4,Setup!$K$33:$K$36,0),1),N(INDEX('2027'!$AB:$AB,1774)),N(INDEX('2028'!$AB:$AB,1774)),N(INDEX('2029'!$AB:$AB,1774)),N(INDEX('2030'!$AB:$AB,1774))))</f>
        <v/>
      </c>
      <c r="AM24" s="128">
        <f>IF($B24="","",CHOOSE(IFERROR(MATCH($C$4,Setup!$K$33:$K$36,0),1),N(INDEX('2027'!$AB:$AB,1824)),N(INDEX('2028'!$AB:$AB,1824)),N(INDEX('2029'!$AB:$AB,1824)),N(INDEX('2030'!$AB:$AB,1824))))</f>
        <v/>
      </c>
      <c r="AN24" s="128">
        <f>IF($B24="","",CHOOSE(IFERROR(MATCH($C$4,Setup!$K$33:$K$36,0),1),N(INDEX('2027'!$AB:$AB,1874)),N(INDEX('2028'!$AB:$AB,1874)),N(INDEX('2029'!$AB:$AB,1874)),N(INDEX('2030'!$AB:$AB,1874))))</f>
        <v/>
      </c>
      <c r="AO24" s="128">
        <f>IF($B24="","",CHOOSE(IFERROR(MATCH($C$4,Setup!$K$33:$K$36,0),1),N(INDEX('2027'!$AB:$AB,1924)),N(INDEX('2028'!$AB:$AB,1924)),N(INDEX('2029'!$AB:$AB,1924)),N(INDEX('2030'!$AB:$AB,1924))))</f>
        <v/>
      </c>
      <c r="AP24" s="128">
        <f>IF($B24="","",CHOOSE(IFERROR(MATCH($C$4,Setup!$K$33:$K$36,0),1),N(INDEX('2027'!$AB:$AB,1974)),N(INDEX('2028'!$AB:$AB,1974)),N(INDEX('2029'!$AB:$AB,1974)),N(INDEX('2030'!$AB:$AB,1974))))</f>
        <v/>
      </c>
      <c r="AQ24" s="128">
        <f>IF($B24="","",CHOOSE(IFERROR(MATCH($C$4,Setup!$K$33:$K$36,0),1),N(INDEX('2027'!$AB:$AB,2024)),N(INDEX('2028'!$AB:$AB,2024)),N(INDEX('2029'!$AB:$AB,2024)),N(INDEX('2030'!$AB:$AB,2024))))</f>
        <v/>
      </c>
      <c r="AR24" s="128">
        <f>IF($B24="","",CHOOSE(IFERROR(MATCH($C$4,Setup!$K$33:$K$36,0),1),N(INDEX('2027'!$AB:$AB,2074)),N(INDEX('2028'!$AB:$AB,2074)),N(INDEX('2029'!$AB:$AB,2074)),N(INDEX('2030'!$AB:$AB,2074))))</f>
        <v/>
      </c>
      <c r="AS24" s="128">
        <f>IF($B24="","",CHOOSE(IFERROR(MATCH($C$4,Setup!$K$33:$K$36,0),1),N(INDEX('2027'!$AB:$AB,2124)),N(INDEX('2028'!$AB:$AB,2124)),N(INDEX('2029'!$AB:$AB,2124)),N(INDEX('2030'!$AB:$AB,2124))))</f>
        <v/>
      </c>
      <c r="AT24" s="128">
        <f>IF($B24="","",CHOOSE(IFERROR(MATCH($C$4,Setup!$K$33:$K$36,0),1),N(INDEX('2027'!$AB:$AB,2174)),N(INDEX('2028'!$AB:$AB,2174)),N(INDEX('2029'!$AB:$AB,2174)),N(INDEX('2030'!$AB:$AB,2174))))</f>
        <v/>
      </c>
      <c r="AU24" s="128">
        <f>IF($B24="","",CHOOSE(IFERROR(MATCH($C$4,Setup!$K$33:$K$36,0),1),N(INDEX('2027'!$AB:$AB,2224)),N(INDEX('2028'!$AB:$AB,2224)),N(INDEX('2029'!$AB:$AB,2224)),N(INDEX('2030'!$AB:$AB,2224))))</f>
        <v/>
      </c>
      <c r="AV24" s="128">
        <f>IF($B24="","",CHOOSE(IFERROR(MATCH($C$4,Setup!$K$33:$K$36,0),1),N(INDEX('2027'!$AB:$AB,2274)),N(INDEX('2028'!$AB:$AB,2274)),N(INDEX('2029'!$AB:$AB,2274)),N(INDEX('2030'!$AB:$AB,2274))))</f>
        <v/>
      </c>
      <c r="AW24" s="128">
        <f>IF($B24="","",CHOOSE(IFERROR(MATCH($C$4,Setup!$K$33:$K$36,0),1),N(INDEX('2027'!$AB:$AB,2324)),N(INDEX('2028'!$AB:$AB,2324)),N(INDEX('2029'!$AB:$AB,2324)),N(INDEX('2030'!$AB:$AB,2324))))</f>
        <v/>
      </c>
      <c r="AX24" s="128">
        <f>IF($B24="","",CHOOSE(IFERROR(MATCH($C$4,Setup!$K$33:$K$36,0),1),N(INDEX('2027'!$AB:$AB,2374)),N(INDEX('2028'!$AB:$AB,2374)),N(INDEX('2029'!$AB:$AB,2374)),N(INDEX('2030'!$AB:$AB,2374))))</f>
        <v/>
      </c>
      <c r="AY24" s="128">
        <f>IF($B24="","",CHOOSE(IFERROR(MATCH($C$4,Setup!$K$33:$K$36,0),1),N(INDEX('2027'!$AB:$AB,2424)),N(INDEX('2028'!$AB:$AB,2424)),N(INDEX('2029'!$AB:$AB,2424)),N(INDEX('2030'!$AB:$AB,2424))))</f>
        <v/>
      </c>
      <c r="AZ24" s="128">
        <f>IF($B24="","",CHOOSE(IFERROR(MATCH($C$4,Setup!$K$33:$K$36,0),1),N(INDEX('2027'!$AB:$AB,2474)),N(INDEX('2028'!$AB:$AB,2474)),N(INDEX('2029'!$AB:$AB,2474)),N(INDEX('2030'!$AB:$AB,2474))))</f>
        <v/>
      </c>
      <c r="BA24" s="128">
        <f>IF($B24="","",CHOOSE(IFERROR(MATCH($C$4,Setup!$K$33:$K$36,0),1),N(INDEX('2027'!$AB:$AB,2524)),N(INDEX('2028'!$AB:$AB,2524)),N(INDEX('2029'!$AB:$AB,2524)),N(INDEX('2030'!$AB:$AB,2524))))</f>
        <v/>
      </c>
      <c r="BB24" s="128">
        <f>IF($B24="","",CHOOSE(IFERROR(MATCH($C$4,Setup!$K$33:$K$36,0),1),N(INDEX('2027'!$AB:$AB,2574)),N(INDEX('2028'!$AB:$AB,2574)),N(INDEX('2029'!$AB:$AB,2574)),N(INDEX('2030'!$AB:$AB,2574))))</f>
        <v/>
      </c>
      <c r="BC24" s="128">
        <f>IF($B24="","",CHOOSE(IFERROR(MATCH($C$4,Setup!$K$33:$K$36,0),1),N(INDEX('2027'!$AB:$AB,2624)),N(INDEX('2028'!$AB:$AB,2624)),N(INDEX('2029'!$AB:$AB,2624)),N(INDEX('2030'!$AB:$AB,2624))))</f>
        <v/>
      </c>
      <c r="BE24" s="129">
        <f>IF($B24="","",SUM(C24:BC24))</f>
        <v/>
      </c>
      <c r="BF24" s="130">
        <f>IF($B24="","",COUNTIF(C24:BC24,"&gt;0"))</f>
        <v/>
      </c>
    </row>
    <row r="25" ht="15" customHeight="1">
      <c r="B25" s="127">
        <f>IF(Setup!$K$23="","",Setup!$K$23)</f>
        <v/>
      </c>
      <c r="C25" s="128">
        <f>IF($B25="","",CHOOSE(IFERROR(MATCH($C$4,Setup!$K$33:$K$36,0),1),N(INDEX('2027'!$AB:$AB,25)),N(INDEX('2028'!$AB:$AB,25)),N(INDEX('2029'!$AB:$AB,25)),N(INDEX('2030'!$AB:$AB,25))))</f>
        <v/>
      </c>
      <c r="D25" s="128">
        <f>IF($B25="","",CHOOSE(IFERROR(MATCH($C$4,Setup!$K$33:$K$36,0),1),N(INDEX('2027'!$AB:$AB,75)),N(INDEX('2028'!$AB:$AB,75)),N(INDEX('2029'!$AB:$AB,75)),N(INDEX('2030'!$AB:$AB,75))))</f>
        <v/>
      </c>
      <c r="E25" s="128">
        <f>IF($B25="","",CHOOSE(IFERROR(MATCH($C$4,Setup!$K$33:$K$36,0),1),N(INDEX('2027'!$AB:$AB,125)),N(INDEX('2028'!$AB:$AB,125)),N(INDEX('2029'!$AB:$AB,125)),N(INDEX('2030'!$AB:$AB,125))))</f>
        <v/>
      </c>
      <c r="F25" s="128">
        <f>IF($B25="","",CHOOSE(IFERROR(MATCH($C$4,Setup!$K$33:$K$36,0),1),N(INDEX('2027'!$AB:$AB,175)),N(INDEX('2028'!$AB:$AB,175)),N(INDEX('2029'!$AB:$AB,175)),N(INDEX('2030'!$AB:$AB,175))))</f>
        <v/>
      </c>
      <c r="G25" s="128">
        <f>IF($B25="","",CHOOSE(IFERROR(MATCH($C$4,Setup!$K$33:$K$36,0),1),N(INDEX('2027'!$AB:$AB,225)),N(INDEX('2028'!$AB:$AB,225)),N(INDEX('2029'!$AB:$AB,225)),N(INDEX('2030'!$AB:$AB,225))))</f>
        <v/>
      </c>
      <c r="H25" s="128">
        <f>IF($B25="","",CHOOSE(IFERROR(MATCH($C$4,Setup!$K$33:$K$36,0),1),N(INDEX('2027'!$AB:$AB,275)),N(INDEX('2028'!$AB:$AB,275)),N(INDEX('2029'!$AB:$AB,275)),N(INDEX('2030'!$AB:$AB,275))))</f>
        <v/>
      </c>
      <c r="I25" s="128">
        <f>IF($B25="","",CHOOSE(IFERROR(MATCH($C$4,Setup!$K$33:$K$36,0),1),N(INDEX('2027'!$AB:$AB,325)),N(INDEX('2028'!$AB:$AB,325)),N(INDEX('2029'!$AB:$AB,325)),N(INDEX('2030'!$AB:$AB,325))))</f>
        <v/>
      </c>
      <c r="J25" s="128">
        <f>IF($B25="","",CHOOSE(IFERROR(MATCH($C$4,Setup!$K$33:$K$36,0),1),N(INDEX('2027'!$AB:$AB,375)),N(INDEX('2028'!$AB:$AB,375)),N(INDEX('2029'!$AB:$AB,375)),N(INDEX('2030'!$AB:$AB,375))))</f>
        <v/>
      </c>
      <c r="K25" s="128">
        <f>IF($B25="","",CHOOSE(IFERROR(MATCH($C$4,Setup!$K$33:$K$36,0),1),N(INDEX('2027'!$AB:$AB,425)),N(INDEX('2028'!$AB:$AB,425)),N(INDEX('2029'!$AB:$AB,425)),N(INDEX('2030'!$AB:$AB,425))))</f>
        <v/>
      </c>
      <c r="L25" s="128">
        <f>IF($B25="","",CHOOSE(IFERROR(MATCH($C$4,Setup!$K$33:$K$36,0),1),N(INDEX('2027'!$AB:$AB,475)),N(INDEX('2028'!$AB:$AB,475)),N(INDEX('2029'!$AB:$AB,475)),N(INDEX('2030'!$AB:$AB,475))))</f>
        <v/>
      </c>
      <c r="M25" s="128">
        <f>IF($B25="","",CHOOSE(IFERROR(MATCH($C$4,Setup!$K$33:$K$36,0),1),N(INDEX('2027'!$AB:$AB,525)),N(INDEX('2028'!$AB:$AB,525)),N(INDEX('2029'!$AB:$AB,525)),N(INDEX('2030'!$AB:$AB,525))))</f>
        <v/>
      </c>
      <c r="N25" s="128">
        <f>IF($B25="","",CHOOSE(IFERROR(MATCH($C$4,Setup!$K$33:$K$36,0),1),N(INDEX('2027'!$AB:$AB,575)),N(INDEX('2028'!$AB:$AB,575)),N(INDEX('2029'!$AB:$AB,575)),N(INDEX('2030'!$AB:$AB,575))))</f>
        <v/>
      </c>
      <c r="O25" s="128">
        <f>IF($B25="","",CHOOSE(IFERROR(MATCH($C$4,Setup!$K$33:$K$36,0),1),N(INDEX('2027'!$AB:$AB,625)),N(INDEX('2028'!$AB:$AB,625)),N(INDEX('2029'!$AB:$AB,625)),N(INDEX('2030'!$AB:$AB,625))))</f>
        <v/>
      </c>
      <c r="P25" s="128">
        <f>IF($B25="","",CHOOSE(IFERROR(MATCH($C$4,Setup!$K$33:$K$36,0),1),N(INDEX('2027'!$AB:$AB,675)),N(INDEX('2028'!$AB:$AB,675)),N(INDEX('2029'!$AB:$AB,675)),N(INDEX('2030'!$AB:$AB,675))))</f>
        <v/>
      </c>
      <c r="Q25" s="128">
        <f>IF($B25="","",CHOOSE(IFERROR(MATCH($C$4,Setup!$K$33:$K$36,0),1),N(INDEX('2027'!$AB:$AB,725)),N(INDEX('2028'!$AB:$AB,725)),N(INDEX('2029'!$AB:$AB,725)),N(INDEX('2030'!$AB:$AB,725))))</f>
        <v/>
      </c>
      <c r="R25" s="128">
        <f>IF($B25="","",CHOOSE(IFERROR(MATCH($C$4,Setup!$K$33:$K$36,0),1),N(INDEX('2027'!$AB:$AB,775)),N(INDEX('2028'!$AB:$AB,775)),N(INDEX('2029'!$AB:$AB,775)),N(INDEX('2030'!$AB:$AB,775))))</f>
        <v/>
      </c>
      <c r="S25" s="128">
        <f>IF($B25="","",CHOOSE(IFERROR(MATCH($C$4,Setup!$K$33:$K$36,0),1),N(INDEX('2027'!$AB:$AB,825)),N(INDEX('2028'!$AB:$AB,825)),N(INDEX('2029'!$AB:$AB,825)),N(INDEX('2030'!$AB:$AB,825))))</f>
        <v/>
      </c>
      <c r="T25" s="128">
        <f>IF($B25="","",CHOOSE(IFERROR(MATCH($C$4,Setup!$K$33:$K$36,0),1),N(INDEX('2027'!$AB:$AB,875)),N(INDEX('2028'!$AB:$AB,875)),N(INDEX('2029'!$AB:$AB,875)),N(INDEX('2030'!$AB:$AB,875))))</f>
        <v/>
      </c>
      <c r="U25" s="128">
        <f>IF($B25="","",CHOOSE(IFERROR(MATCH($C$4,Setup!$K$33:$K$36,0),1),N(INDEX('2027'!$AB:$AB,925)),N(INDEX('2028'!$AB:$AB,925)),N(INDEX('2029'!$AB:$AB,925)),N(INDEX('2030'!$AB:$AB,925))))</f>
        <v/>
      </c>
      <c r="V25" s="128">
        <f>IF($B25="","",CHOOSE(IFERROR(MATCH($C$4,Setup!$K$33:$K$36,0),1),N(INDEX('2027'!$AB:$AB,975)),N(INDEX('2028'!$AB:$AB,975)),N(INDEX('2029'!$AB:$AB,975)),N(INDEX('2030'!$AB:$AB,975))))</f>
        <v/>
      </c>
      <c r="W25" s="128">
        <f>IF($B25="","",CHOOSE(IFERROR(MATCH($C$4,Setup!$K$33:$K$36,0),1),N(INDEX('2027'!$AB:$AB,1025)),N(INDEX('2028'!$AB:$AB,1025)),N(INDEX('2029'!$AB:$AB,1025)),N(INDEX('2030'!$AB:$AB,1025))))</f>
        <v/>
      </c>
      <c r="X25" s="128">
        <f>IF($B25="","",CHOOSE(IFERROR(MATCH($C$4,Setup!$K$33:$K$36,0),1),N(INDEX('2027'!$AB:$AB,1075)),N(INDEX('2028'!$AB:$AB,1075)),N(INDEX('2029'!$AB:$AB,1075)),N(INDEX('2030'!$AB:$AB,1075))))</f>
        <v/>
      </c>
      <c r="Y25" s="128">
        <f>IF($B25="","",CHOOSE(IFERROR(MATCH($C$4,Setup!$K$33:$K$36,0),1),N(INDEX('2027'!$AB:$AB,1125)),N(INDEX('2028'!$AB:$AB,1125)),N(INDEX('2029'!$AB:$AB,1125)),N(INDEX('2030'!$AB:$AB,1125))))</f>
        <v/>
      </c>
      <c r="Z25" s="128">
        <f>IF($B25="","",CHOOSE(IFERROR(MATCH($C$4,Setup!$K$33:$K$36,0),1),N(INDEX('2027'!$AB:$AB,1175)),N(INDEX('2028'!$AB:$AB,1175)),N(INDEX('2029'!$AB:$AB,1175)),N(INDEX('2030'!$AB:$AB,1175))))</f>
        <v/>
      </c>
      <c r="AA25" s="128">
        <f>IF($B25="","",CHOOSE(IFERROR(MATCH($C$4,Setup!$K$33:$K$36,0),1),N(INDEX('2027'!$AB:$AB,1225)),N(INDEX('2028'!$AB:$AB,1225)),N(INDEX('2029'!$AB:$AB,1225)),N(INDEX('2030'!$AB:$AB,1225))))</f>
        <v/>
      </c>
      <c r="AB25" s="128">
        <f>IF($B25="","",CHOOSE(IFERROR(MATCH($C$4,Setup!$K$33:$K$36,0),1),N(INDEX('2027'!$AB:$AB,1275)),N(INDEX('2028'!$AB:$AB,1275)),N(INDEX('2029'!$AB:$AB,1275)),N(INDEX('2030'!$AB:$AB,1275))))</f>
        <v/>
      </c>
      <c r="AC25" s="128">
        <f>IF($B25="","",CHOOSE(IFERROR(MATCH($C$4,Setup!$K$33:$K$36,0),1),N(INDEX('2027'!$AB:$AB,1325)),N(INDEX('2028'!$AB:$AB,1325)),N(INDEX('2029'!$AB:$AB,1325)),N(INDEX('2030'!$AB:$AB,1325))))</f>
        <v/>
      </c>
      <c r="AD25" s="128">
        <f>IF($B25="","",CHOOSE(IFERROR(MATCH($C$4,Setup!$K$33:$K$36,0),1),N(INDEX('2027'!$AB:$AB,1375)),N(INDEX('2028'!$AB:$AB,1375)),N(INDEX('2029'!$AB:$AB,1375)),N(INDEX('2030'!$AB:$AB,1375))))</f>
        <v/>
      </c>
      <c r="AE25" s="128">
        <f>IF($B25="","",CHOOSE(IFERROR(MATCH($C$4,Setup!$K$33:$K$36,0),1),N(INDEX('2027'!$AB:$AB,1425)),N(INDEX('2028'!$AB:$AB,1425)),N(INDEX('2029'!$AB:$AB,1425)),N(INDEX('2030'!$AB:$AB,1425))))</f>
        <v/>
      </c>
      <c r="AF25" s="128">
        <f>IF($B25="","",CHOOSE(IFERROR(MATCH($C$4,Setup!$K$33:$K$36,0),1),N(INDEX('2027'!$AB:$AB,1475)),N(INDEX('2028'!$AB:$AB,1475)),N(INDEX('2029'!$AB:$AB,1475)),N(INDEX('2030'!$AB:$AB,1475))))</f>
        <v/>
      </c>
      <c r="AG25" s="128">
        <f>IF($B25="","",CHOOSE(IFERROR(MATCH($C$4,Setup!$K$33:$K$36,0),1),N(INDEX('2027'!$AB:$AB,1525)),N(INDEX('2028'!$AB:$AB,1525)),N(INDEX('2029'!$AB:$AB,1525)),N(INDEX('2030'!$AB:$AB,1525))))</f>
        <v/>
      </c>
      <c r="AH25" s="128">
        <f>IF($B25="","",CHOOSE(IFERROR(MATCH($C$4,Setup!$K$33:$K$36,0),1),N(INDEX('2027'!$AB:$AB,1575)),N(INDEX('2028'!$AB:$AB,1575)),N(INDEX('2029'!$AB:$AB,1575)),N(INDEX('2030'!$AB:$AB,1575))))</f>
        <v/>
      </c>
      <c r="AI25" s="128">
        <f>IF($B25="","",CHOOSE(IFERROR(MATCH($C$4,Setup!$K$33:$K$36,0),1),N(INDEX('2027'!$AB:$AB,1625)),N(INDEX('2028'!$AB:$AB,1625)),N(INDEX('2029'!$AB:$AB,1625)),N(INDEX('2030'!$AB:$AB,1625))))</f>
        <v/>
      </c>
      <c r="AJ25" s="128">
        <f>IF($B25="","",CHOOSE(IFERROR(MATCH($C$4,Setup!$K$33:$K$36,0),1),N(INDEX('2027'!$AB:$AB,1675)),N(INDEX('2028'!$AB:$AB,1675)),N(INDEX('2029'!$AB:$AB,1675)),N(INDEX('2030'!$AB:$AB,1675))))</f>
        <v/>
      </c>
      <c r="AK25" s="128">
        <f>IF($B25="","",CHOOSE(IFERROR(MATCH($C$4,Setup!$K$33:$K$36,0),1),N(INDEX('2027'!$AB:$AB,1725)),N(INDEX('2028'!$AB:$AB,1725)),N(INDEX('2029'!$AB:$AB,1725)),N(INDEX('2030'!$AB:$AB,1725))))</f>
        <v/>
      </c>
      <c r="AL25" s="128">
        <f>IF($B25="","",CHOOSE(IFERROR(MATCH($C$4,Setup!$K$33:$K$36,0),1),N(INDEX('2027'!$AB:$AB,1775)),N(INDEX('2028'!$AB:$AB,1775)),N(INDEX('2029'!$AB:$AB,1775)),N(INDEX('2030'!$AB:$AB,1775))))</f>
        <v/>
      </c>
      <c r="AM25" s="128">
        <f>IF($B25="","",CHOOSE(IFERROR(MATCH($C$4,Setup!$K$33:$K$36,0),1),N(INDEX('2027'!$AB:$AB,1825)),N(INDEX('2028'!$AB:$AB,1825)),N(INDEX('2029'!$AB:$AB,1825)),N(INDEX('2030'!$AB:$AB,1825))))</f>
        <v/>
      </c>
      <c r="AN25" s="128">
        <f>IF($B25="","",CHOOSE(IFERROR(MATCH($C$4,Setup!$K$33:$K$36,0),1),N(INDEX('2027'!$AB:$AB,1875)),N(INDEX('2028'!$AB:$AB,1875)),N(INDEX('2029'!$AB:$AB,1875)),N(INDEX('2030'!$AB:$AB,1875))))</f>
        <v/>
      </c>
      <c r="AO25" s="128">
        <f>IF($B25="","",CHOOSE(IFERROR(MATCH($C$4,Setup!$K$33:$K$36,0),1),N(INDEX('2027'!$AB:$AB,1925)),N(INDEX('2028'!$AB:$AB,1925)),N(INDEX('2029'!$AB:$AB,1925)),N(INDEX('2030'!$AB:$AB,1925))))</f>
        <v/>
      </c>
      <c r="AP25" s="128">
        <f>IF($B25="","",CHOOSE(IFERROR(MATCH($C$4,Setup!$K$33:$K$36,0),1),N(INDEX('2027'!$AB:$AB,1975)),N(INDEX('2028'!$AB:$AB,1975)),N(INDEX('2029'!$AB:$AB,1975)),N(INDEX('2030'!$AB:$AB,1975))))</f>
        <v/>
      </c>
      <c r="AQ25" s="128">
        <f>IF($B25="","",CHOOSE(IFERROR(MATCH($C$4,Setup!$K$33:$K$36,0),1),N(INDEX('2027'!$AB:$AB,2025)),N(INDEX('2028'!$AB:$AB,2025)),N(INDEX('2029'!$AB:$AB,2025)),N(INDEX('2030'!$AB:$AB,2025))))</f>
        <v/>
      </c>
      <c r="AR25" s="128">
        <f>IF($B25="","",CHOOSE(IFERROR(MATCH($C$4,Setup!$K$33:$K$36,0),1),N(INDEX('2027'!$AB:$AB,2075)),N(INDEX('2028'!$AB:$AB,2075)),N(INDEX('2029'!$AB:$AB,2075)),N(INDEX('2030'!$AB:$AB,2075))))</f>
        <v/>
      </c>
      <c r="AS25" s="128">
        <f>IF($B25="","",CHOOSE(IFERROR(MATCH($C$4,Setup!$K$33:$K$36,0),1),N(INDEX('2027'!$AB:$AB,2125)),N(INDEX('2028'!$AB:$AB,2125)),N(INDEX('2029'!$AB:$AB,2125)),N(INDEX('2030'!$AB:$AB,2125))))</f>
        <v/>
      </c>
      <c r="AT25" s="128">
        <f>IF($B25="","",CHOOSE(IFERROR(MATCH($C$4,Setup!$K$33:$K$36,0),1),N(INDEX('2027'!$AB:$AB,2175)),N(INDEX('2028'!$AB:$AB,2175)),N(INDEX('2029'!$AB:$AB,2175)),N(INDEX('2030'!$AB:$AB,2175))))</f>
        <v/>
      </c>
      <c r="AU25" s="128">
        <f>IF($B25="","",CHOOSE(IFERROR(MATCH($C$4,Setup!$K$33:$K$36,0),1),N(INDEX('2027'!$AB:$AB,2225)),N(INDEX('2028'!$AB:$AB,2225)),N(INDEX('2029'!$AB:$AB,2225)),N(INDEX('2030'!$AB:$AB,2225))))</f>
        <v/>
      </c>
      <c r="AV25" s="128">
        <f>IF($B25="","",CHOOSE(IFERROR(MATCH($C$4,Setup!$K$33:$K$36,0),1),N(INDEX('2027'!$AB:$AB,2275)),N(INDEX('2028'!$AB:$AB,2275)),N(INDEX('2029'!$AB:$AB,2275)),N(INDEX('2030'!$AB:$AB,2275))))</f>
        <v/>
      </c>
      <c r="AW25" s="128">
        <f>IF($B25="","",CHOOSE(IFERROR(MATCH($C$4,Setup!$K$33:$K$36,0),1),N(INDEX('2027'!$AB:$AB,2325)),N(INDEX('2028'!$AB:$AB,2325)),N(INDEX('2029'!$AB:$AB,2325)),N(INDEX('2030'!$AB:$AB,2325))))</f>
        <v/>
      </c>
      <c r="AX25" s="128">
        <f>IF($B25="","",CHOOSE(IFERROR(MATCH($C$4,Setup!$K$33:$K$36,0),1),N(INDEX('2027'!$AB:$AB,2375)),N(INDEX('2028'!$AB:$AB,2375)),N(INDEX('2029'!$AB:$AB,2375)),N(INDEX('2030'!$AB:$AB,2375))))</f>
        <v/>
      </c>
      <c r="AY25" s="128">
        <f>IF($B25="","",CHOOSE(IFERROR(MATCH($C$4,Setup!$K$33:$K$36,0),1),N(INDEX('2027'!$AB:$AB,2425)),N(INDEX('2028'!$AB:$AB,2425)),N(INDEX('2029'!$AB:$AB,2425)),N(INDEX('2030'!$AB:$AB,2425))))</f>
        <v/>
      </c>
      <c r="AZ25" s="128">
        <f>IF($B25="","",CHOOSE(IFERROR(MATCH($C$4,Setup!$K$33:$K$36,0),1),N(INDEX('2027'!$AB:$AB,2475)),N(INDEX('2028'!$AB:$AB,2475)),N(INDEX('2029'!$AB:$AB,2475)),N(INDEX('2030'!$AB:$AB,2475))))</f>
        <v/>
      </c>
      <c r="BA25" s="128">
        <f>IF($B25="","",CHOOSE(IFERROR(MATCH($C$4,Setup!$K$33:$K$36,0),1),N(INDEX('2027'!$AB:$AB,2525)),N(INDEX('2028'!$AB:$AB,2525)),N(INDEX('2029'!$AB:$AB,2525)),N(INDEX('2030'!$AB:$AB,2525))))</f>
        <v/>
      </c>
      <c r="BB25" s="128">
        <f>IF($B25="","",CHOOSE(IFERROR(MATCH($C$4,Setup!$K$33:$K$36,0),1),N(INDEX('2027'!$AB:$AB,2575)),N(INDEX('2028'!$AB:$AB,2575)),N(INDEX('2029'!$AB:$AB,2575)),N(INDEX('2030'!$AB:$AB,2575))))</f>
        <v/>
      </c>
      <c r="BC25" s="128">
        <f>IF($B25="","",CHOOSE(IFERROR(MATCH($C$4,Setup!$K$33:$K$36,0),1),N(INDEX('2027'!$AB:$AB,2625)),N(INDEX('2028'!$AB:$AB,2625)),N(INDEX('2029'!$AB:$AB,2625)),N(INDEX('2030'!$AB:$AB,2625))))</f>
        <v/>
      </c>
      <c r="BE25" s="129">
        <f>IF($B25="","",SUM(C25:BC25))</f>
        <v/>
      </c>
      <c r="BF25" s="130">
        <f>IF($B25="","",COUNTIF(C25:BC25,"&gt;0"))</f>
        <v/>
      </c>
    </row>
    <row r="26">
      <c r="B26" s="131" t="inlineStr">
        <is>
          <t>Gaps this week</t>
        </is>
      </c>
      <c r="C26" s="132">
        <f>SUM(C8:C25)</f>
        <v/>
      </c>
      <c r="D26" s="132">
        <f>SUM(D8:D25)</f>
        <v/>
      </c>
      <c r="E26" s="132">
        <f>SUM(E8:E25)</f>
        <v/>
      </c>
      <c r="F26" s="132">
        <f>SUM(F8:F25)</f>
        <v/>
      </c>
      <c r="G26" s="132">
        <f>SUM(G8:G25)</f>
        <v/>
      </c>
      <c r="H26" s="132">
        <f>SUM(H8:H25)</f>
        <v/>
      </c>
      <c r="I26" s="132">
        <f>SUM(I8:I25)</f>
        <v/>
      </c>
      <c r="J26" s="132">
        <f>SUM(J8:J25)</f>
        <v/>
      </c>
      <c r="K26" s="132">
        <f>SUM(K8:K25)</f>
        <v/>
      </c>
      <c r="L26" s="132">
        <f>SUM(L8:L25)</f>
        <v/>
      </c>
      <c r="M26" s="132">
        <f>SUM(M8:M25)</f>
        <v/>
      </c>
      <c r="N26" s="132">
        <f>SUM(N8:N25)</f>
        <v/>
      </c>
      <c r="O26" s="132">
        <f>SUM(O8:O25)</f>
        <v/>
      </c>
      <c r="P26" s="132">
        <f>SUM(P8:P25)</f>
        <v/>
      </c>
      <c r="Q26" s="132">
        <f>SUM(Q8:Q25)</f>
        <v/>
      </c>
      <c r="R26" s="132">
        <f>SUM(R8:R25)</f>
        <v/>
      </c>
      <c r="S26" s="132">
        <f>SUM(S8:S25)</f>
        <v/>
      </c>
      <c r="T26" s="132">
        <f>SUM(T8:T25)</f>
        <v/>
      </c>
      <c r="U26" s="132">
        <f>SUM(U8:U25)</f>
        <v/>
      </c>
      <c r="V26" s="132">
        <f>SUM(V8:V25)</f>
        <v/>
      </c>
      <c r="W26" s="132">
        <f>SUM(W8:W25)</f>
        <v/>
      </c>
      <c r="X26" s="132">
        <f>SUM(X8:X25)</f>
        <v/>
      </c>
      <c r="Y26" s="132">
        <f>SUM(Y8:Y25)</f>
        <v/>
      </c>
      <c r="Z26" s="132">
        <f>SUM(Z8:Z25)</f>
        <v/>
      </c>
      <c r="AA26" s="132">
        <f>SUM(AA8:AA25)</f>
        <v/>
      </c>
      <c r="AB26" s="132">
        <f>SUM(AB8:AB25)</f>
        <v/>
      </c>
      <c r="AC26" s="132">
        <f>SUM(AC8:AC25)</f>
        <v/>
      </c>
      <c r="AD26" s="132">
        <f>SUM(AD8:AD25)</f>
        <v/>
      </c>
      <c r="AE26" s="132">
        <f>SUM(AE8:AE25)</f>
        <v/>
      </c>
      <c r="AF26" s="132">
        <f>SUM(AF8:AF25)</f>
        <v/>
      </c>
      <c r="AG26" s="132">
        <f>SUM(AG8:AG25)</f>
        <v/>
      </c>
      <c r="AH26" s="132">
        <f>SUM(AH8:AH25)</f>
        <v/>
      </c>
      <c r="AI26" s="132">
        <f>SUM(AI8:AI25)</f>
        <v/>
      </c>
      <c r="AJ26" s="132">
        <f>SUM(AJ8:AJ25)</f>
        <v/>
      </c>
      <c r="AK26" s="132">
        <f>SUM(AK8:AK25)</f>
        <v/>
      </c>
      <c r="AL26" s="132">
        <f>SUM(AL8:AL25)</f>
        <v/>
      </c>
      <c r="AM26" s="132">
        <f>SUM(AM8:AM25)</f>
        <v/>
      </c>
      <c r="AN26" s="132">
        <f>SUM(AN8:AN25)</f>
        <v/>
      </c>
      <c r="AO26" s="132">
        <f>SUM(AO8:AO25)</f>
        <v/>
      </c>
      <c r="AP26" s="132">
        <f>SUM(AP8:AP25)</f>
        <v/>
      </c>
      <c r="AQ26" s="132">
        <f>SUM(AQ8:AQ25)</f>
        <v/>
      </c>
      <c r="AR26" s="132">
        <f>SUM(AR8:AR25)</f>
        <v/>
      </c>
      <c r="AS26" s="132">
        <f>SUM(AS8:AS25)</f>
        <v/>
      </c>
      <c r="AT26" s="132">
        <f>SUM(AT8:AT25)</f>
        <v/>
      </c>
      <c r="AU26" s="132">
        <f>SUM(AU8:AU25)</f>
        <v/>
      </c>
      <c r="AV26" s="132">
        <f>SUM(AV8:AV25)</f>
        <v/>
      </c>
      <c r="AW26" s="132">
        <f>SUM(AW8:AW25)</f>
        <v/>
      </c>
      <c r="AX26" s="132">
        <f>SUM(AX8:AX25)</f>
        <v/>
      </c>
      <c r="AY26" s="132">
        <f>SUM(AY8:AY25)</f>
        <v/>
      </c>
      <c r="AZ26" s="132">
        <f>SUM(AZ8:AZ25)</f>
        <v/>
      </c>
      <c r="BA26" s="132">
        <f>SUM(BA8:BA25)</f>
        <v/>
      </c>
      <c r="BB26" s="132">
        <f>SUM(BB8:BB25)</f>
        <v/>
      </c>
      <c r="BC26" s="132">
        <f>SUM(BC8:BC25)</f>
        <v/>
      </c>
      <c r="BE26" s="133">
        <f>SUM(BE8:BE25)</f>
        <v/>
      </c>
    </row>
    <row r="27">
      <c r="B27" s="131" t="inlineStr">
        <is>
          <t>Status</t>
        </is>
      </c>
      <c r="C27" s="134">
        <f>IF(C26=0,"✓","")</f>
        <v/>
      </c>
      <c r="D27" s="134">
        <f>IF(D26=0,"✓","")</f>
        <v/>
      </c>
      <c r="E27" s="134">
        <f>IF(E26=0,"✓","")</f>
        <v/>
      </c>
      <c r="F27" s="134">
        <f>IF(F26=0,"✓","")</f>
        <v/>
      </c>
      <c r="G27" s="134">
        <f>IF(G26=0,"✓","")</f>
        <v/>
      </c>
      <c r="H27" s="134">
        <f>IF(H26=0,"✓","")</f>
        <v/>
      </c>
      <c r="I27" s="134">
        <f>IF(I26=0,"✓","")</f>
        <v/>
      </c>
      <c r="J27" s="134">
        <f>IF(J26=0,"✓","")</f>
        <v/>
      </c>
      <c r="K27" s="134">
        <f>IF(K26=0,"✓","")</f>
        <v/>
      </c>
      <c r="L27" s="134">
        <f>IF(L26=0,"✓","")</f>
        <v/>
      </c>
      <c r="M27" s="134">
        <f>IF(M26=0,"✓","")</f>
        <v/>
      </c>
      <c r="N27" s="134">
        <f>IF(N26=0,"✓","")</f>
        <v/>
      </c>
      <c r="O27" s="134">
        <f>IF(O26=0,"✓","")</f>
        <v/>
      </c>
      <c r="P27" s="134">
        <f>IF(P26=0,"✓","")</f>
        <v/>
      </c>
      <c r="Q27" s="134">
        <f>IF(Q26=0,"✓","")</f>
        <v/>
      </c>
      <c r="R27" s="134">
        <f>IF(R26=0,"✓","")</f>
        <v/>
      </c>
      <c r="S27" s="134">
        <f>IF(S26=0,"✓","")</f>
        <v/>
      </c>
      <c r="T27" s="134">
        <f>IF(T26=0,"✓","")</f>
        <v/>
      </c>
      <c r="U27" s="134">
        <f>IF(U26=0,"✓","")</f>
        <v/>
      </c>
      <c r="V27" s="134">
        <f>IF(V26=0,"✓","")</f>
        <v/>
      </c>
      <c r="W27" s="134">
        <f>IF(W26=0,"✓","")</f>
        <v/>
      </c>
      <c r="X27" s="134">
        <f>IF(X26=0,"✓","")</f>
        <v/>
      </c>
      <c r="Y27" s="134">
        <f>IF(Y26=0,"✓","")</f>
        <v/>
      </c>
      <c r="Z27" s="134">
        <f>IF(Z26=0,"✓","")</f>
        <v/>
      </c>
      <c r="AA27" s="134">
        <f>IF(AA26=0,"✓","")</f>
        <v/>
      </c>
      <c r="AB27" s="134">
        <f>IF(AB26=0,"✓","")</f>
        <v/>
      </c>
      <c r="AC27" s="134">
        <f>IF(AC26=0,"✓","")</f>
        <v/>
      </c>
      <c r="AD27" s="134">
        <f>IF(AD26=0,"✓","")</f>
        <v/>
      </c>
      <c r="AE27" s="134">
        <f>IF(AE26=0,"✓","")</f>
        <v/>
      </c>
      <c r="AF27" s="134">
        <f>IF(AF26=0,"✓","")</f>
        <v/>
      </c>
      <c r="AG27" s="134">
        <f>IF(AG26=0,"✓","")</f>
        <v/>
      </c>
      <c r="AH27" s="134">
        <f>IF(AH26=0,"✓","")</f>
        <v/>
      </c>
      <c r="AI27" s="134">
        <f>IF(AI26=0,"✓","")</f>
        <v/>
      </c>
      <c r="AJ27" s="134">
        <f>IF(AJ26=0,"✓","")</f>
        <v/>
      </c>
      <c r="AK27" s="134">
        <f>IF(AK26=0,"✓","")</f>
        <v/>
      </c>
      <c r="AL27" s="134">
        <f>IF(AL26=0,"✓","")</f>
        <v/>
      </c>
      <c r="AM27" s="134">
        <f>IF(AM26=0,"✓","")</f>
        <v/>
      </c>
      <c r="AN27" s="134">
        <f>IF(AN26=0,"✓","")</f>
        <v/>
      </c>
      <c r="AO27" s="134">
        <f>IF(AO26=0,"✓","")</f>
        <v/>
      </c>
      <c r="AP27" s="134">
        <f>IF(AP26=0,"✓","")</f>
        <v/>
      </c>
      <c r="AQ27" s="134">
        <f>IF(AQ26=0,"✓","")</f>
        <v/>
      </c>
      <c r="AR27" s="134">
        <f>IF(AR26=0,"✓","")</f>
        <v/>
      </c>
      <c r="AS27" s="134">
        <f>IF(AS26=0,"✓","")</f>
        <v/>
      </c>
      <c r="AT27" s="134">
        <f>IF(AT26=0,"✓","")</f>
        <v/>
      </c>
      <c r="AU27" s="134">
        <f>IF(AU26=0,"✓","")</f>
        <v/>
      </c>
      <c r="AV27" s="134">
        <f>IF(AV26=0,"✓","")</f>
        <v/>
      </c>
      <c r="AW27" s="134">
        <f>IF(AW26=0,"✓","")</f>
        <v/>
      </c>
      <c r="AX27" s="134">
        <f>IF(AX26=0,"✓","")</f>
        <v/>
      </c>
      <c r="AY27" s="134">
        <f>IF(AY26=0,"✓","")</f>
        <v/>
      </c>
      <c r="AZ27" s="134">
        <f>IF(AZ26=0,"✓","")</f>
        <v/>
      </c>
      <c r="BA27" s="134">
        <f>IF(BA26=0,"✓","")</f>
        <v/>
      </c>
      <c r="BB27" s="134">
        <f>IF(BB26=0,"✓","")</f>
        <v/>
      </c>
      <c r="BC27" s="134">
        <f>IF(BC26=0,"✓","")</f>
        <v/>
      </c>
    </row>
    <row r="30">
      <c r="B30" s="7" t="inlineStr">
        <is>
          <t>ABSENCE DAYS  (leave, sickness, off-site ...)</t>
        </is>
      </c>
      <c r="P30" s="11" t="inlineStr">
        <is>
          <t>cell = number of days that week; blank = none</t>
        </is>
      </c>
    </row>
    <row r="31">
      <c r="B31" s="19" t="inlineStr">
        <is>
          <t>Person</t>
        </is>
      </c>
      <c r="C31" s="135" t="n">
        <v>1</v>
      </c>
      <c r="D31" s="135" t="n">
        <v>2</v>
      </c>
      <c r="E31" s="135" t="n">
        <v>3</v>
      </c>
      <c r="F31" s="135" t="n">
        <v>4</v>
      </c>
      <c r="G31" s="135" t="n">
        <v>5</v>
      </c>
      <c r="H31" s="135" t="n">
        <v>6</v>
      </c>
      <c r="I31" s="135" t="n">
        <v>7</v>
      </c>
      <c r="J31" s="135" t="n">
        <v>8</v>
      </c>
      <c r="K31" s="135" t="n">
        <v>9</v>
      </c>
      <c r="L31" s="135" t="n">
        <v>10</v>
      </c>
      <c r="M31" s="135" t="n">
        <v>11</v>
      </c>
      <c r="N31" s="135" t="n">
        <v>12</v>
      </c>
      <c r="O31" s="135" t="n">
        <v>13</v>
      </c>
      <c r="P31" s="135" t="n">
        <v>14</v>
      </c>
      <c r="Q31" s="135" t="n">
        <v>15</v>
      </c>
      <c r="R31" s="135" t="n">
        <v>16</v>
      </c>
      <c r="S31" s="135" t="n">
        <v>17</v>
      </c>
      <c r="T31" s="135" t="n">
        <v>18</v>
      </c>
      <c r="U31" s="135" t="n">
        <v>19</v>
      </c>
      <c r="V31" s="135" t="n">
        <v>20</v>
      </c>
      <c r="W31" s="135" t="n">
        <v>21</v>
      </c>
      <c r="X31" s="135" t="n">
        <v>22</v>
      </c>
      <c r="Y31" s="135" t="n">
        <v>23</v>
      </c>
      <c r="Z31" s="135" t="n">
        <v>24</v>
      </c>
      <c r="AA31" s="135" t="n">
        <v>25</v>
      </c>
      <c r="AB31" s="135" t="n">
        <v>26</v>
      </c>
      <c r="AC31" s="135" t="n">
        <v>27</v>
      </c>
      <c r="AD31" s="135" t="n">
        <v>28</v>
      </c>
      <c r="AE31" s="135" t="n">
        <v>29</v>
      </c>
      <c r="AF31" s="135" t="n">
        <v>30</v>
      </c>
      <c r="AG31" s="135" t="n">
        <v>31</v>
      </c>
      <c r="AH31" s="135" t="n">
        <v>32</v>
      </c>
      <c r="AI31" s="135" t="n">
        <v>33</v>
      </c>
      <c r="AJ31" s="135" t="n">
        <v>34</v>
      </c>
      <c r="AK31" s="135" t="n">
        <v>35</v>
      </c>
      <c r="AL31" s="135" t="n">
        <v>36</v>
      </c>
      <c r="AM31" s="135" t="n">
        <v>37</v>
      </c>
      <c r="AN31" s="135" t="n">
        <v>38</v>
      </c>
      <c r="AO31" s="135" t="n">
        <v>39</v>
      </c>
      <c r="AP31" s="135" t="n">
        <v>40</v>
      </c>
      <c r="AQ31" s="135" t="n">
        <v>41</v>
      </c>
      <c r="AR31" s="135" t="n">
        <v>42</v>
      </c>
      <c r="AS31" s="135" t="n">
        <v>43</v>
      </c>
      <c r="AT31" s="135" t="n">
        <v>44</v>
      </c>
      <c r="AU31" s="135" t="n">
        <v>45</v>
      </c>
      <c r="AV31" s="135" t="n">
        <v>46</v>
      </c>
      <c r="AW31" s="135" t="n">
        <v>47</v>
      </c>
      <c r="AX31" s="135" t="n">
        <v>48</v>
      </c>
      <c r="AY31" s="135" t="n">
        <v>49</v>
      </c>
      <c r="AZ31" s="135" t="n">
        <v>50</v>
      </c>
      <c r="BA31" s="135" t="n">
        <v>51</v>
      </c>
      <c r="BB31" s="135" t="n">
        <v>52</v>
      </c>
      <c r="BC31" s="135" t="n">
        <v>53</v>
      </c>
      <c r="BD31" s="1" t="inlineStr"/>
      <c r="BE31" s="34" t="inlineStr">
        <is>
          <t>Total days</t>
        </is>
      </c>
      <c r="BF31" s="34" t="inlineStr">
        <is>
          <t>Weeks</t>
        </is>
      </c>
      <c r="BG31" s="34" t="inlineStr">
        <is>
          <t>Peak wk</t>
        </is>
      </c>
    </row>
    <row r="32" ht="15" customHeight="1">
      <c r="B32" s="136">
        <f>IF(Setup!$B$6="","",Setup!$B$6)</f>
        <v/>
      </c>
      <c r="C32" s="137">
        <f>IF($B32="","",CHOOSE(IFERROR(MATCH($C$4,Setup!$K$33:$K$36,0),1),SUMPRODUCT(COUNTIF('2027'!$C$27:$Z$27,Setup!$F$33:$F$40)),SUMPRODUCT(COUNTIF('2028'!$C$27:$Z$27,Setup!$F$33:$F$40)),SUMPRODUCT(COUNTIF('2029'!$C$27:$Z$27,Setup!$F$33:$F$40)),SUMPRODUCT(COUNTIF('2030'!$C$27:$Z$27,Setup!$F$33:$F$40))))</f>
        <v/>
      </c>
      <c r="D32" s="137">
        <f>IF($B32="","",CHOOSE(IFERROR(MATCH($C$4,Setup!$K$33:$K$36,0),1),SUMPRODUCT(COUNTIF('2027'!$C$77:$Z$77,Setup!$F$33:$F$40)),SUMPRODUCT(COUNTIF('2028'!$C$77:$Z$77,Setup!$F$33:$F$40)),SUMPRODUCT(COUNTIF('2029'!$C$77:$Z$77,Setup!$F$33:$F$40)),SUMPRODUCT(COUNTIF('2030'!$C$77:$Z$77,Setup!$F$33:$F$40))))</f>
        <v/>
      </c>
      <c r="E32" s="137">
        <f>IF($B32="","",CHOOSE(IFERROR(MATCH($C$4,Setup!$K$33:$K$36,0),1),SUMPRODUCT(COUNTIF('2027'!$C$127:$Z$127,Setup!$F$33:$F$40)),SUMPRODUCT(COUNTIF('2028'!$C$127:$Z$127,Setup!$F$33:$F$40)),SUMPRODUCT(COUNTIF('2029'!$C$127:$Z$127,Setup!$F$33:$F$40)),SUMPRODUCT(COUNTIF('2030'!$C$127:$Z$127,Setup!$F$33:$F$40))))</f>
        <v/>
      </c>
      <c r="F32" s="137">
        <f>IF($B32="","",CHOOSE(IFERROR(MATCH($C$4,Setup!$K$33:$K$36,0),1),SUMPRODUCT(COUNTIF('2027'!$C$177:$Z$177,Setup!$F$33:$F$40)),SUMPRODUCT(COUNTIF('2028'!$C$177:$Z$177,Setup!$F$33:$F$40)),SUMPRODUCT(COUNTIF('2029'!$C$177:$Z$177,Setup!$F$33:$F$40)),SUMPRODUCT(COUNTIF('2030'!$C$177:$Z$177,Setup!$F$33:$F$40))))</f>
        <v/>
      </c>
      <c r="G32" s="137">
        <f>IF($B32="","",CHOOSE(IFERROR(MATCH($C$4,Setup!$K$33:$K$36,0),1),SUMPRODUCT(COUNTIF('2027'!$C$227:$Z$227,Setup!$F$33:$F$40)),SUMPRODUCT(COUNTIF('2028'!$C$227:$Z$227,Setup!$F$33:$F$40)),SUMPRODUCT(COUNTIF('2029'!$C$227:$Z$227,Setup!$F$33:$F$40)),SUMPRODUCT(COUNTIF('2030'!$C$227:$Z$227,Setup!$F$33:$F$40))))</f>
        <v/>
      </c>
      <c r="H32" s="137">
        <f>IF($B32="","",CHOOSE(IFERROR(MATCH($C$4,Setup!$K$33:$K$36,0),1),SUMPRODUCT(COUNTIF('2027'!$C$277:$Z$277,Setup!$F$33:$F$40)),SUMPRODUCT(COUNTIF('2028'!$C$277:$Z$277,Setup!$F$33:$F$40)),SUMPRODUCT(COUNTIF('2029'!$C$277:$Z$277,Setup!$F$33:$F$40)),SUMPRODUCT(COUNTIF('2030'!$C$277:$Z$277,Setup!$F$33:$F$40))))</f>
        <v/>
      </c>
      <c r="I32" s="137">
        <f>IF($B32="","",CHOOSE(IFERROR(MATCH($C$4,Setup!$K$33:$K$36,0),1),SUMPRODUCT(COUNTIF('2027'!$C$327:$Z$327,Setup!$F$33:$F$40)),SUMPRODUCT(COUNTIF('2028'!$C$327:$Z$327,Setup!$F$33:$F$40)),SUMPRODUCT(COUNTIF('2029'!$C$327:$Z$327,Setup!$F$33:$F$40)),SUMPRODUCT(COUNTIF('2030'!$C$327:$Z$327,Setup!$F$33:$F$40))))</f>
        <v/>
      </c>
      <c r="J32" s="137">
        <f>IF($B32="","",CHOOSE(IFERROR(MATCH($C$4,Setup!$K$33:$K$36,0),1),SUMPRODUCT(COUNTIF('2027'!$C$377:$Z$377,Setup!$F$33:$F$40)),SUMPRODUCT(COUNTIF('2028'!$C$377:$Z$377,Setup!$F$33:$F$40)),SUMPRODUCT(COUNTIF('2029'!$C$377:$Z$377,Setup!$F$33:$F$40)),SUMPRODUCT(COUNTIF('2030'!$C$377:$Z$377,Setup!$F$33:$F$40))))</f>
        <v/>
      </c>
      <c r="K32" s="137">
        <f>IF($B32="","",CHOOSE(IFERROR(MATCH($C$4,Setup!$K$33:$K$36,0),1),SUMPRODUCT(COUNTIF('2027'!$C$427:$Z$427,Setup!$F$33:$F$40)),SUMPRODUCT(COUNTIF('2028'!$C$427:$Z$427,Setup!$F$33:$F$40)),SUMPRODUCT(COUNTIF('2029'!$C$427:$Z$427,Setup!$F$33:$F$40)),SUMPRODUCT(COUNTIF('2030'!$C$427:$Z$427,Setup!$F$33:$F$40))))</f>
        <v/>
      </c>
      <c r="L32" s="137">
        <f>IF($B32="","",CHOOSE(IFERROR(MATCH($C$4,Setup!$K$33:$K$36,0),1),SUMPRODUCT(COUNTIF('2027'!$C$477:$Z$477,Setup!$F$33:$F$40)),SUMPRODUCT(COUNTIF('2028'!$C$477:$Z$477,Setup!$F$33:$F$40)),SUMPRODUCT(COUNTIF('2029'!$C$477:$Z$477,Setup!$F$33:$F$40)),SUMPRODUCT(COUNTIF('2030'!$C$477:$Z$477,Setup!$F$33:$F$40))))</f>
        <v/>
      </c>
      <c r="M32" s="137">
        <f>IF($B32="","",CHOOSE(IFERROR(MATCH($C$4,Setup!$K$33:$K$36,0),1),SUMPRODUCT(COUNTIF('2027'!$C$527:$Z$527,Setup!$F$33:$F$40)),SUMPRODUCT(COUNTIF('2028'!$C$527:$Z$527,Setup!$F$33:$F$40)),SUMPRODUCT(COUNTIF('2029'!$C$527:$Z$527,Setup!$F$33:$F$40)),SUMPRODUCT(COUNTIF('2030'!$C$527:$Z$527,Setup!$F$33:$F$40))))</f>
        <v/>
      </c>
      <c r="N32" s="137">
        <f>IF($B32="","",CHOOSE(IFERROR(MATCH($C$4,Setup!$K$33:$K$36,0),1),SUMPRODUCT(COUNTIF('2027'!$C$577:$Z$577,Setup!$F$33:$F$40)),SUMPRODUCT(COUNTIF('2028'!$C$577:$Z$577,Setup!$F$33:$F$40)),SUMPRODUCT(COUNTIF('2029'!$C$577:$Z$577,Setup!$F$33:$F$40)),SUMPRODUCT(COUNTIF('2030'!$C$577:$Z$577,Setup!$F$33:$F$40))))</f>
        <v/>
      </c>
      <c r="O32" s="137">
        <f>IF($B32="","",CHOOSE(IFERROR(MATCH($C$4,Setup!$K$33:$K$36,0),1),SUMPRODUCT(COUNTIF('2027'!$C$627:$Z$627,Setup!$F$33:$F$40)),SUMPRODUCT(COUNTIF('2028'!$C$627:$Z$627,Setup!$F$33:$F$40)),SUMPRODUCT(COUNTIF('2029'!$C$627:$Z$627,Setup!$F$33:$F$40)),SUMPRODUCT(COUNTIF('2030'!$C$627:$Z$627,Setup!$F$33:$F$40))))</f>
        <v/>
      </c>
      <c r="P32" s="137">
        <f>IF($B32="","",CHOOSE(IFERROR(MATCH($C$4,Setup!$K$33:$K$36,0),1),SUMPRODUCT(COUNTIF('2027'!$C$677:$Z$677,Setup!$F$33:$F$40)),SUMPRODUCT(COUNTIF('2028'!$C$677:$Z$677,Setup!$F$33:$F$40)),SUMPRODUCT(COUNTIF('2029'!$C$677:$Z$677,Setup!$F$33:$F$40)),SUMPRODUCT(COUNTIF('2030'!$C$677:$Z$677,Setup!$F$33:$F$40))))</f>
        <v/>
      </c>
      <c r="Q32" s="137">
        <f>IF($B32="","",CHOOSE(IFERROR(MATCH($C$4,Setup!$K$33:$K$36,0),1),SUMPRODUCT(COUNTIF('2027'!$C$727:$Z$727,Setup!$F$33:$F$40)),SUMPRODUCT(COUNTIF('2028'!$C$727:$Z$727,Setup!$F$33:$F$40)),SUMPRODUCT(COUNTIF('2029'!$C$727:$Z$727,Setup!$F$33:$F$40)),SUMPRODUCT(COUNTIF('2030'!$C$727:$Z$727,Setup!$F$33:$F$40))))</f>
        <v/>
      </c>
      <c r="R32" s="137">
        <f>IF($B32="","",CHOOSE(IFERROR(MATCH($C$4,Setup!$K$33:$K$36,0),1),SUMPRODUCT(COUNTIF('2027'!$C$777:$Z$777,Setup!$F$33:$F$40)),SUMPRODUCT(COUNTIF('2028'!$C$777:$Z$777,Setup!$F$33:$F$40)),SUMPRODUCT(COUNTIF('2029'!$C$777:$Z$777,Setup!$F$33:$F$40)),SUMPRODUCT(COUNTIF('2030'!$C$777:$Z$777,Setup!$F$33:$F$40))))</f>
        <v/>
      </c>
      <c r="S32" s="137">
        <f>IF($B32="","",CHOOSE(IFERROR(MATCH($C$4,Setup!$K$33:$K$36,0),1),SUMPRODUCT(COUNTIF('2027'!$C$827:$Z$827,Setup!$F$33:$F$40)),SUMPRODUCT(COUNTIF('2028'!$C$827:$Z$827,Setup!$F$33:$F$40)),SUMPRODUCT(COUNTIF('2029'!$C$827:$Z$827,Setup!$F$33:$F$40)),SUMPRODUCT(COUNTIF('2030'!$C$827:$Z$827,Setup!$F$33:$F$40))))</f>
        <v/>
      </c>
      <c r="T32" s="137">
        <f>IF($B32="","",CHOOSE(IFERROR(MATCH($C$4,Setup!$K$33:$K$36,0),1),SUMPRODUCT(COUNTIF('2027'!$C$877:$Z$877,Setup!$F$33:$F$40)),SUMPRODUCT(COUNTIF('2028'!$C$877:$Z$877,Setup!$F$33:$F$40)),SUMPRODUCT(COUNTIF('2029'!$C$877:$Z$877,Setup!$F$33:$F$40)),SUMPRODUCT(COUNTIF('2030'!$C$877:$Z$877,Setup!$F$33:$F$40))))</f>
        <v/>
      </c>
      <c r="U32" s="137">
        <f>IF($B32="","",CHOOSE(IFERROR(MATCH($C$4,Setup!$K$33:$K$36,0),1),SUMPRODUCT(COUNTIF('2027'!$C$927:$Z$927,Setup!$F$33:$F$40)),SUMPRODUCT(COUNTIF('2028'!$C$927:$Z$927,Setup!$F$33:$F$40)),SUMPRODUCT(COUNTIF('2029'!$C$927:$Z$927,Setup!$F$33:$F$40)),SUMPRODUCT(COUNTIF('2030'!$C$927:$Z$927,Setup!$F$33:$F$40))))</f>
        <v/>
      </c>
      <c r="V32" s="137">
        <f>IF($B32="","",CHOOSE(IFERROR(MATCH($C$4,Setup!$K$33:$K$36,0),1),SUMPRODUCT(COUNTIF('2027'!$C$977:$Z$977,Setup!$F$33:$F$40)),SUMPRODUCT(COUNTIF('2028'!$C$977:$Z$977,Setup!$F$33:$F$40)),SUMPRODUCT(COUNTIF('2029'!$C$977:$Z$977,Setup!$F$33:$F$40)),SUMPRODUCT(COUNTIF('2030'!$C$977:$Z$977,Setup!$F$33:$F$40))))</f>
        <v/>
      </c>
      <c r="W32" s="137">
        <f>IF($B32="","",CHOOSE(IFERROR(MATCH($C$4,Setup!$K$33:$K$36,0),1),SUMPRODUCT(COUNTIF('2027'!$C$1027:$Z$1027,Setup!$F$33:$F$40)),SUMPRODUCT(COUNTIF('2028'!$C$1027:$Z$1027,Setup!$F$33:$F$40)),SUMPRODUCT(COUNTIF('2029'!$C$1027:$Z$1027,Setup!$F$33:$F$40)),SUMPRODUCT(COUNTIF('2030'!$C$1027:$Z$1027,Setup!$F$33:$F$40))))</f>
        <v/>
      </c>
      <c r="X32" s="137">
        <f>IF($B32="","",CHOOSE(IFERROR(MATCH($C$4,Setup!$K$33:$K$36,0),1),SUMPRODUCT(COUNTIF('2027'!$C$1077:$Z$1077,Setup!$F$33:$F$40)),SUMPRODUCT(COUNTIF('2028'!$C$1077:$Z$1077,Setup!$F$33:$F$40)),SUMPRODUCT(COUNTIF('2029'!$C$1077:$Z$1077,Setup!$F$33:$F$40)),SUMPRODUCT(COUNTIF('2030'!$C$1077:$Z$1077,Setup!$F$33:$F$40))))</f>
        <v/>
      </c>
      <c r="Y32" s="137">
        <f>IF($B32="","",CHOOSE(IFERROR(MATCH($C$4,Setup!$K$33:$K$36,0),1),SUMPRODUCT(COUNTIF('2027'!$C$1127:$Z$1127,Setup!$F$33:$F$40)),SUMPRODUCT(COUNTIF('2028'!$C$1127:$Z$1127,Setup!$F$33:$F$40)),SUMPRODUCT(COUNTIF('2029'!$C$1127:$Z$1127,Setup!$F$33:$F$40)),SUMPRODUCT(COUNTIF('2030'!$C$1127:$Z$1127,Setup!$F$33:$F$40))))</f>
        <v/>
      </c>
      <c r="Z32" s="137">
        <f>IF($B32="","",CHOOSE(IFERROR(MATCH($C$4,Setup!$K$33:$K$36,0),1),SUMPRODUCT(COUNTIF('2027'!$C$1177:$Z$1177,Setup!$F$33:$F$40)),SUMPRODUCT(COUNTIF('2028'!$C$1177:$Z$1177,Setup!$F$33:$F$40)),SUMPRODUCT(COUNTIF('2029'!$C$1177:$Z$1177,Setup!$F$33:$F$40)),SUMPRODUCT(COUNTIF('2030'!$C$1177:$Z$1177,Setup!$F$33:$F$40))))</f>
        <v/>
      </c>
      <c r="AA32" s="137">
        <f>IF($B32="","",CHOOSE(IFERROR(MATCH($C$4,Setup!$K$33:$K$36,0),1),SUMPRODUCT(COUNTIF('2027'!$C$1227:$Z$1227,Setup!$F$33:$F$40)),SUMPRODUCT(COUNTIF('2028'!$C$1227:$Z$1227,Setup!$F$33:$F$40)),SUMPRODUCT(COUNTIF('2029'!$C$1227:$Z$1227,Setup!$F$33:$F$40)),SUMPRODUCT(COUNTIF('2030'!$C$1227:$Z$1227,Setup!$F$33:$F$40))))</f>
        <v/>
      </c>
      <c r="AB32" s="137">
        <f>IF($B32="","",CHOOSE(IFERROR(MATCH($C$4,Setup!$K$33:$K$36,0),1),SUMPRODUCT(COUNTIF('2027'!$C$1277:$Z$1277,Setup!$F$33:$F$40)),SUMPRODUCT(COUNTIF('2028'!$C$1277:$Z$1277,Setup!$F$33:$F$40)),SUMPRODUCT(COUNTIF('2029'!$C$1277:$Z$1277,Setup!$F$33:$F$40)),SUMPRODUCT(COUNTIF('2030'!$C$1277:$Z$1277,Setup!$F$33:$F$40))))</f>
        <v/>
      </c>
      <c r="AC32" s="137">
        <f>IF($B32="","",CHOOSE(IFERROR(MATCH($C$4,Setup!$K$33:$K$36,0),1),SUMPRODUCT(COUNTIF('2027'!$C$1327:$Z$1327,Setup!$F$33:$F$40)),SUMPRODUCT(COUNTIF('2028'!$C$1327:$Z$1327,Setup!$F$33:$F$40)),SUMPRODUCT(COUNTIF('2029'!$C$1327:$Z$1327,Setup!$F$33:$F$40)),SUMPRODUCT(COUNTIF('2030'!$C$1327:$Z$1327,Setup!$F$33:$F$40))))</f>
        <v/>
      </c>
      <c r="AD32" s="137">
        <f>IF($B32="","",CHOOSE(IFERROR(MATCH($C$4,Setup!$K$33:$K$36,0),1),SUMPRODUCT(COUNTIF('2027'!$C$1377:$Z$1377,Setup!$F$33:$F$40)),SUMPRODUCT(COUNTIF('2028'!$C$1377:$Z$1377,Setup!$F$33:$F$40)),SUMPRODUCT(COUNTIF('2029'!$C$1377:$Z$1377,Setup!$F$33:$F$40)),SUMPRODUCT(COUNTIF('2030'!$C$1377:$Z$1377,Setup!$F$33:$F$40))))</f>
        <v/>
      </c>
      <c r="AE32" s="137">
        <f>IF($B32="","",CHOOSE(IFERROR(MATCH($C$4,Setup!$K$33:$K$36,0),1),SUMPRODUCT(COUNTIF('2027'!$C$1427:$Z$1427,Setup!$F$33:$F$40)),SUMPRODUCT(COUNTIF('2028'!$C$1427:$Z$1427,Setup!$F$33:$F$40)),SUMPRODUCT(COUNTIF('2029'!$C$1427:$Z$1427,Setup!$F$33:$F$40)),SUMPRODUCT(COUNTIF('2030'!$C$1427:$Z$1427,Setup!$F$33:$F$40))))</f>
        <v/>
      </c>
      <c r="AF32" s="137">
        <f>IF($B32="","",CHOOSE(IFERROR(MATCH($C$4,Setup!$K$33:$K$36,0),1),SUMPRODUCT(COUNTIF('2027'!$C$1477:$Z$1477,Setup!$F$33:$F$40)),SUMPRODUCT(COUNTIF('2028'!$C$1477:$Z$1477,Setup!$F$33:$F$40)),SUMPRODUCT(COUNTIF('2029'!$C$1477:$Z$1477,Setup!$F$33:$F$40)),SUMPRODUCT(COUNTIF('2030'!$C$1477:$Z$1477,Setup!$F$33:$F$40))))</f>
        <v/>
      </c>
      <c r="AG32" s="137">
        <f>IF($B32="","",CHOOSE(IFERROR(MATCH($C$4,Setup!$K$33:$K$36,0),1),SUMPRODUCT(COUNTIF('2027'!$C$1527:$Z$1527,Setup!$F$33:$F$40)),SUMPRODUCT(COUNTIF('2028'!$C$1527:$Z$1527,Setup!$F$33:$F$40)),SUMPRODUCT(COUNTIF('2029'!$C$1527:$Z$1527,Setup!$F$33:$F$40)),SUMPRODUCT(COUNTIF('2030'!$C$1527:$Z$1527,Setup!$F$33:$F$40))))</f>
        <v/>
      </c>
      <c r="AH32" s="137">
        <f>IF($B32="","",CHOOSE(IFERROR(MATCH($C$4,Setup!$K$33:$K$36,0),1),SUMPRODUCT(COUNTIF('2027'!$C$1577:$Z$1577,Setup!$F$33:$F$40)),SUMPRODUCT(COUNTIF('2028'!$C$1577:$Z$1577,Setup!$F$33:$F$40)),SUMPRODUCT(COUNTIF('2029'!$C$1577:$Z$1577,Setup!$F$33:$F$40)),SUMPRODUCT(COUNTIF('2030'!$C$1577:$Z$1577,Setup!$F$33:$F$40))))</f>
        <v/>
      </c>
      <c r="AI32" s="137">
        <f>IF($B32="","",CHOOSE(IFERROR(MATCH($C$4,Setup!$K$33:$K$36,0),1),SUMPRODUCT(COUNTIF('2027'!$C$1627:$Z$1627,Setup!$F$33:$F$40)),SUMPRODUCT(COUNTIF('2028'!$C$1627:$Z$1627,Setup!$F$33:$F$40)),SUMPRODUCT(COUNTIF('2029'!$C$1627:$Z$1627,Setup!$F$33:$F$40)),SUMPRODUCT(COUNTIF('2030'!$C$1627:$Z$1627,Setup!$F$33:$F$40))))</f>
        <v/>
      </c>
      <c r="AJ32" s="137">
        <f>IF($B32="","",CHOOSE(IFERROR(MATCH($C$4,Setup!$K$33:$K$36,0),1),SUMPRODUCT(COUNTIF('2027'!$C$1677:$Z$1677,Setup!$F$33:$F$40)),SUMPRODUCT(COUNTIF('2028'!$C$1677:$Z$1677,Setup!$F$33:$F$40)),SUMPRODUCT(COUNTIF('2029'!$C$1677:$Z$1677,Setup!$F$33:$F$40)),SUMPRODUCT(COUNTIF('2030'!$C$1677:$Z$1677,Setup!$F$33:$F$40))))</f>
        <v/>
      </c>
      <c r="AK32" s="137">
        <f>IF($B32="","",CHOOSE(IFERROR(MATCH($C$4,Setup!$K$33:$K$36,0),1),SUMPRODUCT(COUNTIF('2027'!$C$1727:$Z$1727,Setup!$F$33:$F$40)),SUMPRODUCT(COUNTIF('2028'!$C$1727:$Z$1727,Setup!$F$33:$F$40)),SUMPRODUCT(COUNTIF('2029'!$C$1727:$Z$1727,Setup!$F$33:$F$40)),SUMPRODUCT(COUNTIF('2030'!$C$1727:$Z$1727,Setup!$F$33:$F$40))))</f>
        <v/>
      </c>
      <c r="AL32" s="137">
        <f>IF($B32="","",CHOOSE(IFERROR(MATCH($C$4,Setup!$K$33:$K$36,0),1),SUMPRODUCT(COUNTIF('2027'!$C$1777:$Z$1777,Setup!$F$33:$F$40)),SUMPRODUCT(COUNTIF('2028'!$C$1777:$Z$1777,Setup!$F$33:$F$40)),SUMPRODUCT(COUNTIF('2029'!$C$1777:$Z$1777,Setup!$F$33:$F$40)),SUMPRODUCT(COUNTIF('2030'!$C$1777:$Z$1777,Setup!$F$33:$F$40))))</f>
        <v/>
      </c>
      <c r="AM32" s="137">
        <f>IF($B32="","",CHOOSE(IFERROR(MATCH($C$4,Setup!$K$33:$K$36,0),1),SUMPRODUCT(COUNTIF('2027'!$C$1827:$Z$1827,Setup!$F$33:$F$40)),SUMPRODUCT(COUNTIF('2028'!$C$1827:$Z$1827,Setup!$F$33:$F$40)),SUMPRODUCT(COUNTIF('2029'!$C$1827:$Z$1827,Setup!$F$33:$F$40)),SUMPRODUCT(COUNTIF('2030'!$C$1827:$Z$1827,Setup!$F$33:$F$40))))</f>
        <v/>
      </c>
      <c r="AN32" s="137">
        <f>IF($B32="","",CHOOSE(IFERROR(MATCH($C$4,Setup!$K$33:$K$36,0),1),SUMPRODUCT(COUNTIF('2027'!$C$1877:$Z$1877,Setup!$F$33:$F$40)),SUMPRODUCT(COUNTIF('2028'!$C$1877:$Z$1877,Setup!$F$33:$F$40)),SUMPRODUCT(COUNTIF('2029'!$C$1877:$Z$1877,Setup!$F$33:$F$40)),SUMPRODUCT(COUNTIF('2030'!$C$1877:$Z$1877,Setup!$F$33:$F$40))))</f>
        <v/>
      </c>
      <c r="AO32" s="137">
        <f>IF($B32="","",CHOOSE(IFERROR(MATCH($C$4,Setup!$K$33:$K$36,0),1),SUMPRODUCT(COUNTIF('2027'!$C$1927:$Z$1927,Setup!$F$33:$F$40)),SUMPRODUCT(COUNTIF('2028'!$C$1927:$Z$1927,Setup!$F$33:$F$40)),SUMPRODUCT(COUNTIF('2029'!$C$1927:$Z$1927,Setup!$F$33:$F$40)),SUMPRODUCT(COUNTIF('2030'!$C$1927:$Z$1927,Setup!$F$33:$F$40))))</f>
        <v/>
      </c>
      <c r="AP32" s="137">
        <f>IF($B32="","",CHOOSE(IFERROR(MATCH($C$4,Setup!$K$33:$K$36,0),1),SUMPRODUCT(COUNTIF('2027'!$C$1977:$Z$1977,Setup!$F$33:$F$40)),SUMPRODUCT(COUNTIF('2028'!$C$1977:$Z$1977,Setup!$F$33:$F$40)),SUMPRODUCT(COUNTIF('2029'!$C$1977:$Z$1977,Setup!$F$33:$F$40)),SUMPRODUCT(COUNTIF('2030'!$C$1977:$Z$1977,Setup!$F$33:$F$40))))</f>
        <v/>
      </c>
      <c r="AQ32" s="137">
        <f>IF($B32="","",CHOOSE(IFERROR(MATCH($C$4,Setup!$K$33:$K$36,0),1),SUMPRODUCT(COUNTIF('2027'!$C$2027:$Z$2027,Setup!$F$33:$F$40)),SUMPRODUCT(COUNTIF('2028'!$C$2027:$Z$2027,Setup!$F$33:$F$40)),SUMPRODUCT(COUNTIF('2029'!$C$2027:$Z$2027,Setup!$F$33:$F$40)),SUMPRODUCT(COUNTIF('2030'!$C$2027:$Z$2027,Setup!$F$33:$F$40))))</f>
        <v/>
      </c>
      <c r="AR32" s="137">
        <f>IF($B32="","",CHOOSE(IFERROR(MATCH($C$4,Setup!$K$33:$K$36,0),1),SUMPRODUCT(COUNTIF('2027'!$C$2077:$Z$2077,Setup!$F$33:$F$40)),SUMPRODUCT(COUNTIF('2028'!$C$2077:$Z$2077,Setup!$F$33:$F$40)),SUMPRODUCT(COUNTIF('2029'!$C$2077:$Z$2077,Setup!$F$33:$F$40)),SUMPRODUCT(COUNTIF('2030'!$C$2077:$Z$2077,Setup!$F$33:$F$40))))</f>
        <v/>
      </c>
      <c r="AS32" s="137">
        <f>IF($B32="","",CHOOSE(IFERROR(MATCH($C$4,Setup!$K$33:$K$36,0),1),SUMPRODUCT(COUNTIF('2027'!$C$2127:$Z$2127,Setup!$F$33:$F$40)),SUMPRODUCT(COUNTIF('2028'!$C$2127:$Z$2127,Setup!$F$33:$F$40)),SUMPRODUCT(COUNTIF('2029'!$C$2127:$Z$2127,Setup!$F$33:$F$40)),SUMPRODUCT(COUNTIF('2030'!$C$2127:$Z$2127,Setup!$F$33:$F$40))))</f>
        <v/>
      </c>
      <c r="AT32" s="137">
        <f>IF($B32="","",CHOOSE(IFERROR(MATCH($C$4,Setup!$K$33:$K$36,0),1),SUMPRODUCT(COUNTIF('2027'!$C$2177:$Z$2177,Setup!$F$33:$F$40)),SUMPRODUCT(COUNTIF('2028'!$C$2177:$Z$2177,Setup!$F$33:$F$40)),SUMPRODUCT(COUNTIF('2029'!$C$2177:$Z$2177,Setup!$F$33:$F$40)),SUMPRODUCT(COUNTIF('2030'!$C$2177:$Z$2177,Setup!$F$33:$F$40))))</f>
        <v/>
      </c>
      <c r="AU32" s="137">
        <f>IF($B32="","",CHOOSE(IFERROR(MATCH($C$4,Setup!$K$33:$K$36,0),1),SUMPRODUCT(COUNTIF('2027'!$C$2227:$Z$2227,Setup!$F$33:$F$40)),SUMPRODUCT(COUNTIF('2028'!$C$2227:$Z$2227,Setup!$F$33:$F$40)),SUMPRODUCT(COUNTIF('2029'!$C$2227:$Z$2227,Setup!$F$33:$F$40)),SUMPRODUCT(COUNTIF('2030'!$C$2227:$Z$2227,Setup!$F$33:$F$40))))</f>
        <v/>
      </c>
      <c r="AV32" s="137">
        <f>IF($B32="","",CHOOSE(IFERROR(MATCH($C$4,Setup!$K$33:$K$36,0),1),SUMPRODUCT(COUNTIF('2027'!$C$2277:$Z$2277,Setup!$F$33:$F$40)),SUMPRODUCT(COUNTIF('2028'!$C$2277:$Z$2277,Setup!$F$33:$F$40)),SUMPRODUCT(COUNTIF('2029'!$C$2277:$Z$2277,Setup!$F$33:$F$40)),SUMPRODUCT(COUNTIF('2030'!$C$2277:$Z$2277,Setup!$F$33:$F$40))))</f>
        <v/>
      </c>
      <c r="AW32" s="137">
        <f>IF($B32="","",CHOOSE(IFERROR(MATCH($C$4,Setup!$K$33:$K$36,0),1),SUMPRODUCT(COUNTIF('2027'!$C$2327:$Z$2327,Setup!$F$33:$F$40)),SUMPRODUCT(COUNTIF('2028'!$C$2327:$Z$2327,Setup!$F$33:$F$40)),SUMPRODUCT(COUNTIF('2029'!$C$2327:$Z$2327,Setup!$F$33:$F$40)),SUMPRODUCT(COUNTIF('2030'!$C$2327:$Z$2327,Setup!$F$33:$F$40))))</f>
        <v/>
      </c>
      <c r="AX32" s="137">
        <f>IF($B32="","",CHOOSE(IFERROR(MATCH($C$4,Setup!$K$33:$K$36,0),1),SUMPRODUCT(COUNTIF('2027'!$C$2377:$Z$2377,Setup!$F$33:$F$40)),SUMPRODUCT(COUNTIF('2028'!$C$2377:$Z$2377,Setup!$F$33:$F$40)),SUMPRODUCT(COUNTIF('2029'!$C$2377:$Z$2377,Setup!$F$33:$F$40)),SUMPRODUCT(COUNTIF('2030'!$C$2377:$Z$2377,Setup!$F$33:$F$40))))</f>
        <v/>
      </c>
      <c r="AY32" s="137">
        <f>IF($B32="","",CHOOSE(IFERROR(MATCH($C$4,Setup!$K$33:$K$36,0),1),SUMPRODUCT(COUNTIF('2027'!$C$2427:$Z$2427,Setup!$F$33:$F$40)),SUMPRODUCT(COUNTIF('2028'!$C$2427:$Z$2427,Setup!$F$33:$F$40)),SUMPRODUCT(COUNTIF('2029'!$C$2427:$Z$2427,Setup!$F$33:$F$40)),SUMPRODUCT(COUNTIF('2030'!$C$2427:$Z$2427,Setup!$F$33:$F$40))))</f>
        <v/>
      </c>
      <c r="AZ32" s="137">
        <f>IF($B32="","",CHOOSE(IFERROR(MATCH($C$4,Setup!$K$33:$K$36,0),1),SUMPRODUCT(COUNTIF('2027'!$C$2477:$Z$2477,Setup!$F$33:$F$40)),SUMPRODUCT(COUNTIF('2028'!$C$2477:$Z$2477,Setup!$F$33:$F$40)),SUMPRODUCT(COUNTIF('2029'!$C$2477:$Z$2477,Setup!$F$33:$F$40)),SUMPRODUCT(COUNTIF('2030'!$C$2477:$Z$2477,Setup!$F$33:$F$40))))</f>
        <v/>
      </c>
      <c r="BA32" s="137">
        <f>IF($B32="","",CHOOSE(IFERROR(MATCH($C$4,Setup!$K$33:$K$36,0),1),SUMPRODUCT(COUNTIF('2027'!$C$2527:$Z$2527,Setup!$F$33:$F$40)),SUMPRODUCT(COUNTIF('2028'!$C$2527:$Z$2527,Setup!$F$33:$F$40)),SUMPRODUCT(COUNTIF('2029'!$C$2527:$Z$2527,Setup!$F$33:$F$40)),SUMPRODUCT(COUNTIF('2030'!$C$2527:$Z$2527,Setup!$F$33:$F$40))))</f>
        <v/>
      </c>
      <c r="BB32" s="137">
        <f>IF($B32="","",CHOOSE(IFERROR(MATCH($C$4,Setup!$K$33:$K$36,0),1),SUMPRODUCT(COUNTIF('2027'!$C$2577:$Z$2577,Setup!$F$33:$F$40)),SUMPRODUCT(COUNTIF('2028'!$C$2577:$Z$2577,Setup!$F$33:$F$40)),SUMPRODUCT(COUNTIF('2029'!$C$2577:$Z$2577,Setup!$F$33:$F$40)),SUMPRODUCT(COUNTIF('2030'!$C$2577:$Z$2577,Setup!$F$33:$F$40))))</f>
        <v/>
      </c>
      <c r="BC32" s="137">
        <f>IF($B32="","",CHOOSE(IFERROR(MATCH($C$4,Setup!$K$33:$K$36,0),1),SUMPRODUCT(COUNTIF('2027'!$C$2627:$Z$2627,Setup!$F$33:$F$40)),SUMPRODUCT(COUNTIF('2028'!$C$2627:$Z$2627,Setup!$F$33:$F$40)),SUMPRODUCT(COUNTIF('2029'!$C$2627:$Z$2627,Setup!$F$33:$F$40)),SUMPRODUCT(COUNTIF('2030'!$C$2627:$Z$2627,Setup!$F$33:$F$40))))</f>
        <v/>
      </c>
      <c r="BE32" s="129">
        <f>IF($B32="","",SUM(C32:BC32))</f>
        <v/>
      </c>
      <c r="BF32" s="130">
        <f>IF($B32="","",COUNTIF(C32:BC32,"&gt;0"))</f>
        <v/>
      </c>
      <c r="BG32" s="130">
        <f>IF(OR($B32="",N(BE32)=0),"",MATCH(MAX(C32:BC32),C32:BC32,0))</f>
        <v/>
      </c>
    </row>
    <row r="33" ht="15" customHeight="1">
      <c r="B33" s="136">
        <f>IF(Setup!$B$7="","",Setup!$B$7)</f>
        <v/>
      </c>
      <c r="C33" s="137">
        <f>IF($B33="","",CHOOSE(IFERROR(MATCH($C$4,Setup!$K$33:$K$36,0),1),SUMPRODUCT(COUNTIF('2027'!$C$28:$Z$28,Setup!$F$33:$F$40)),SUMPRODUCT(COUNTIF('2028'!$C$28:$Z$28,Setup!$F$33:$F$40)),SUMPRODUCT(COUNTIF('2029'!$C$28:$Z$28,Setup!$F$33:$F$40)),SUMPRODUCT(COUNTIF('2030'!$C$28:$Z$28,Setup!$F$33:$F$40))))</f>
        <v/>
      </c>
      <c r="D33" s="137">
        <f>IF($B33="","",CHOOSE(IFERROR(MATCH($C$4,Setup!$K$33:$K$36,0),1),SUMPRODUCT(COUNTIF('2027'!$C$78:$Z$78,Setup!$F$33:$F$40)),SUMPRODUCT(COUNTIF('2028'!$C$78:$Z$78,Setup!$F$33:$F$40)),SUMPRODUCT(COUNTIF('2029'!$C$78:$Z$78,Setup!$F$33:$F$40)),SUMPRODUCT(COUNTIF('2030'!$C$78:$Z$78,Setup!$F$33:$F$40))))</f>
        <v/>
      </c>
      <c r="E33" s="137">
        <f>IF($B33="","",CHOOSE(IFERROR(MATCH($C$4,Setup!$K$33:$K$36,0),1),SUMPRODUCT(COUNTIF('2027'!$C$128:$Z$128,Setup!$F$33:$F$40)),SUMPRODUCT(COUNTIF('2028'!$C$128:$Z$128,Setup!$F$33:$F$40)),SUMPRODUCT(COUNTIF('2029'!$C$128:$Z$128,Setup!$F$33:$F$40)),SUMPRODUCT(COUNTIF('2030'!$C$128:$Z$128,Setup!$F$33:$F$40))))</f>
        <v/>
      </c>
      <c r="F33" s="137">
        <f>IF($B33="","",CHOOSE(IFERROR(MATCH($C$4,Setup!$K$33:$K$36,0),1),SUMPRODUCT(COUNTIF('2027'!$C$178:$Z$178,Setup!$F$33:$F$40)),SUMPRODUCT(COUNTIF('2028'!$C$178:$Z$178,Setup!$F$33:$F$40)),SUMPRODUCT(COUNTIF('2029'!$C$178:$Z$178,Setup!$F$33:$F$40)),SUMPRODUCT(COUNTIF('2030'!$C$178:$Z$178,Setup!$F$33:$F$40))))</f>
        <v/>
      </c>
      <c r="G33" s="137">
        <f>IF($B33="","",CHOOSE(IFERROR(MATCH($C$4,Setup!$K$33:$K$36,0),1),SUMPRODUCT(COUNTIF('2027'!$C$228:$Z$228,Setup!$F$33:$F$40)),SUMPRODUCT(COUNTIF('2028'!$C$228:$Z$228,Setup!$F$33:$F$40)),SUMPRODUCT(COUNTIF('2029'!$C$228:$Z$228,Setup!$F$33:$F$40)),SUMPRODUCT(COUNTIF('2030'!$C$228:$Z$228,Setup!$F$33:$F$40))))</f>
        <v/>
      </c>
      <c r="H33" s="137">
        <f>IF($B33="","",CHOOSE(IFERROR(MATCH($C$4,Setup!$K$33:$K$36,0),1),SUMPRODUCT(COUNTIF('2027'!$C$278:$Z$278,Setup!$F$33:$F$40)),SUMPRODUCT(COUNTIF('2028'!$C$278:$Z$278,Setup!$F$33:$F$40)),SUMPRODUCT(COUNTIF('2029'!$C$278:$Z$278,Setup!$F$33:$F$40)),SUMPRODUCT(COUNTIF('2030'!$C$278:$Z$278,Setup!$F$33:$F$40))))</f>
        <v/>
      </c>
      <c r="I33" s="137">
        <f>IF($B33="","",CHOOSE(IFERROR(MATCH($C$4,Setup!$K$33:$K$36,0),1),SUMPRODUCT(COUNTIF('2027'!$C$328:$Z$328,Setup!$F$33:$F$40)),SUMPRODUCT(COUNTIF('2028'!$C$328:$Z$328,Setup!$F$33:$F$40)),SUMPRODUCT(COUNTIF('2029'!$C$328:$Z$328,Setup!$F$33:$F$40)),SUMPRODUCT(COUNTIF('2030'!$C$328:$Z$328,Setup!$F$33:$F$40))))</f>
        <v/>
      </c>
      <c r="J33" s="137">
        <f>IF($B33="","",CHOOSE(IFERROR(MATCH($C$4,Setup!$K$33:$K$36,0),1),SUMPRODUCT(COUNTIF('2027'!$C$378:$Z$378,Setup!$F$33:$F$40)),SUMPRODUCT(COUNTIF('2028'!$C$378:$Z$378,Setup!$F$33:$F$40)),SUMPRODUCT(COUNTIF('2029'!$C$378:$Z$378,Setup!$F$33:$F$40)),SUMPRODUCT(COUNTIF('2030'!$C$378:$Z$378,Setup!$F$33:$F$40))))</f>
        <v/>
      </c>
      <c r="K33" s="137">
        <f>IF($B33="","",CHOOSE(IFERROR(MATCH($C$4,Setup!$K$33:$K$36,0),1),SUMPRODUCT(COUNTIF('2027'!$C$428:$Z$428,Setup!$F$33:$F$40)),SUMPRODUCT(COUNTIF('2028'!$C$428:$Z$428,Setup!$F$33:$F$40)),SUMPRODUCT(COUNTIF('2029'!$C$428:$Z$428,Setup!$F$33:$F$40)),SUMPRODUCT(COUNTIF('2030'!$C$428:$Z$428,Setup!$F$33:$F$40))))</f>
        <v/>
      </c>
      <c r="L33" s="137">
        <f>IF($B33="","",CHOOSE(IFERROR(MATCH($C$4,Setup!$K$33:$K$36,0),1),SUMPRODUCT(COUNTIF('2027'!$C$478:$Z$478,Setup!$F$33:$F$40)),SUMPRODUCT(COUNTIF('2028'!$C$478:$Z$478,Setup!$F$33:$F$40)),SUMPRODUCT(COUNTIF('2029'!$C$478:$Z$478,Setup!$F$33:$F$40)),SUMPRODUCT(COUNTIF('2030'!$C$478:$Z$478,Setup!$F$33:$F$40))))</f>
        <v/>
      </c>
      <c r="M33" s="137">
        <f>IF($B33="","",CHOOSE(IFERROR(MATCH($C$4,Setup!$K$33:$K$36,0),1),SUMPRODUCT(COUNTIF('2027'!$C$528:$Z$528,Setup!$F$33:$F$40)),SUMPRODUCT(COUNTIF('2028'!$C$528:$Z$528,Setup!$F$33:$F$40)),SUMPRODUCT(COUNTIF('2029'!$C$528:$Z$528,Setup!$F$33:$F$40)),SUMPRODUCT(COUNTIF('2030'!$C$528:$Z$528,Setup!$F$33:$F$40))))</f>
        <v/>
      </c>
      <c r="N33" s="137">
        <f>IF($B33="","",CHOOSE(IFERROR(MATCH($C$4,Setup!$K$33:$K$36,0),1),SUMPRODUCT(COUNTIF('2027'!$C$578:$Z$578,Setup!$F$33:$F$40)),SUMPRODUCT(COUNTIF('2028'!$C$578:$Z$578,Setup!$F$33:$F$40)),SUMPRODUCT(COUNTIF('2029'!$C$578:$Z$578,Setup!$F$33:$F$40)),SUMPRODUCT(COUNTIF('2030'!$C$578:$Z$578,Setup!$F$33:$F$40))))</f>
        <v/>
      </c>
      <c r="O33" s="137">
        <f>IF($B33="","",CHOOSE(IFERROR(MATCH($C$4,Setup!$K$33:$K$36,0),1),SUMPRODUCT(COUNTIF('2027'!$C$628:$Z$628,Setup!$F$33:$F$40)),SUMPRODUCT(COUNTIF('2028'!$C$628:$Z$628,Setup!$F$33:$F$40)),SUMPRODUCT(COUNTIF('2029'!$C$628:$Z$628,Setup!$F$33:$F$40)),SUMPRODUCT(COUNTIF('2030'!$C$628:$Z$628,Setup!$F$33:$F$40))))</f>
        <v/>
      </c>
      <c r="P33" s="137">
        <f>IF($B33="","",CHOOSE(IFERROR(MATCH($C$4,Setup!$K$33:$K$36,0),1),SUMPRODUCT(COUNTIF('2027'!$C$678:$Z$678,Setup!$F$33:$F$40)),SUMPRODUCT(COUNTIF('2028'!$C$678:$Z$678,Setup!$F$33:$F$40)),SUMPRODUCT(COUNTIF('2029'!$C$678:$Z$678,Setup!$F$33:$F$40)),SUMPRODUCT(COUNTIF('2030'!$C$678:$Z$678,Setup!$F$33:$F$40))))</f>
        <v/>
      </c>
      <c r="Q33" s="137">
        <f>IF($B33="","",CHOOSE(IFERROR(MATCH($C$4,Setup!$K$33:$K$36,0),1),SUMPRODUCT(COUNTIF('2027'!$C$728:$Z$728,Setup!$F$33:$F$40)),SUMPRODUCT(COUNTIF('2028'!$C$728:$Z$728,Setup!$F$33:$F$40)),SUMPRODUCT(COUNTIF('2029'!$C$728:$Z$728,Setup!$F$33:$F$40)),SUMPRODUCT(COUNTIF('2030'!$C$728:$Z$728,Setup!$F$33:$F$40))))</f>
        <v/>
      </c>
      <c r="R33" s="137">
        <f>IF($B33="","",CHOOSE(IFERROR(MATCH($C$4,Setup!$K$33:$K$36,0),1),SUMPRODUCT(COUNTIF('2027'!$C$778:$Z$778,Setup!$F$33:$F$40)),SUMPRODUCT(COUNTIF('2028'!$C$778:$Z$778,Setup!$F$33:$F$40)),SUMPRODUCT(COUNTIF('2029'!$C$778:$Z$778,Setup!$F$33:$F$40)),SUMPRODUCT(COUNTIF('2030'!$C$778:$Z$778,Setup!$F$33:$F$40))))</f>
        <v/>
      </c>
      <c r="S33" s="137">
        <f>IF($B33="","",CHOOSE(IFERROR(MATCH($C$4,Setup!$K$33:$K$36,0),1),SUMPRODUCT(COUNTIF('2027'!$C$828:$Z$828,Setup!$F$33:$F$40)),SUMPRODUCT(COUNTIF('2028'!$C$828:$Z$828,Setup!$F$33:$F$40)),SUMPRODUCT(COUNTIF('2029'!$C$828:$Z$828,Setup!$F$33:$F$40)),SUMPRODUCT(COUNTIF('2030'!$C$828:$Z$828,Setup!$F$33:$F$40))))</f>
        <v/>
      </c>
      <c r="T33" s="137">
        <f>IF($B33="","",CHOOSE(IFERROR(MATCH($C$4,Setup!$K$33:$K$36,0),1),SUMPRODUCT(COUNTIF('2027'!$C$878:$Z$878,Setup!$F$33:$F$40)),SUMPRODUCT(COUNTIF('2028'!$C$878:$Z$878,Setup!$F$33:$F$40)),SUMPRODUCT(COUNTIF('2029'!$C$878:$Z$878,Setup!$F$33:$F$40)),SUMPRODUCT(COUNTIF('2030'!$C$878:$Z$878,Setup!$F$33:$F$40))))</f>
        <v/>
      </c>
      <c r="U33" s="137">
        <f>IF($B33="","",CHOOSE(IFERROR(MATCH($C$4,Setup!$K$33:$K$36,0),1),SUMPRODUCT(COUNTIF('2027'!$C$928:$Z$928,Setup!$F$33:$F$40)),SUMPRODUCT(COUNTIF('2028'!$C$928:$Z$928,Setup!$F$33:$F$40)),SUMPRODUCT(COUNTIF('2029'!$C$928:$Z$928,Setup!$F$33:$F$40)),SUMPRODUCT(COUNTIF('2030'!$C$928:$Z$928,Setup!$F$33:$F$40))))</f>
        <v/>
      </c>
      <c r="V33" s="137">
        <f>IF($B33="","",CHOOSE(IFERROR(MATCH($C$4,Setup!$K$33:$K$36,0),1),SUMPRODUCT(COUNTIF('2027'!$C$978:$Z$978,Setup!$F$33:$F$40)),SUMPRODUCT(COUNTIF('2028'!$C$978:$Z$978,Setup!$F$33:$F$40)),SUMPRODUCT(COUNTIF('2029'!$C$978:$Z$978,Setup!$F$33:$F$40)),SUMPRODUCT(COUNTIF('2030'!$C$978:$Z$978,Setup!$F$33:$F$40))))</f>
        <v/>
      </c>
      <c r="W33" s="137">
        <f>IF($B33="","",CHOOSE(IFERROR(MATCH($C$4,Setup!$K$33:$K$36,0),1),SUMPRODUCT(COUNTIF('2027'!$C$1028:$Z$1028,Setup!$F$33:$F$40)),SUMPRODUCT(COUNTIF('2028'!$C$1028:$Z$1028,Setup!$F$33:$F$40)),SUMPRODUCT(COUNTIF('2029'!$C$1028:$Z$1028,Setup!$F$33:$F$40)),SUMPRODUCT(COUNTIF('2030'!$C$1028:$Z$1028,Setup!$F$33:$F$40))))</f>
        <v/>
      </c>
      <c r="X33" s="137">
        <f>IF($B33="","",CHOOSE(IFERROR(MATCH($C$4,Setup!$K$33:$K$36,0),1),SUMPRODUCT(COUNTIF('2027'!$C$1078:$Z$1078,Setup!$F$33:$F$40)),SUMPRODUCT(COUNTIF('2028'!$C$1078:$Z$1078,Setup!$F$33:$F$40)),SUMPRODUCT(COUNTIF('2029'!$C$1078:$Z$1078,Setup!$F$33:$F$40)),SUMPRODUCT(COUNTIF('2030'!$C$1078:$Z$1078,Setup!$F$33:$F$40))))</f>
        <v/>
      </c>
      <c r="Y33" s="137">
        <f>IF($B33="","",CHOOSE(IFERROR(MATCH($C$4,Setup!$K$33:$K$36,0),1),SUMPRODUCT(COUNTIF('2027'!$C$1128:$Z$1128,Setup!$F$33:$F$40)),SUMPRODUCT(COUNTIF('2028'!$C$1128:$Z$1128,Setup!$F$33:$F$40)),SUMPRODUCT(COUNTIF('2029'!$C$1128:$Z$1128,Setup!$F$33:$F$40)),SUMPRODUCT(COUNTIF('2030'!$C$1128:$Z$1128,Setup!$F$33:$F$40))))</f>
        <v/>
      </c>
      <c r="Z33" s="137">
        <f>IF($B33="","",CHOOSE(IFERROR(MATCH($C$4,Setup!$K$33:$K$36,0),1),SUMPRODUCT(COUNTIF('2027'!$C$1178:$Z$1178,Setup!$F$33:$F$40)),SUMPRODUCT(COUNTIF('2028'!$C$1178:$Z$1178,Setup!$F$33:$F$40)),SUMPRODUCT(COUNTIF('2029'!$C$1178:$Z$1178,Setup!$F$33:$F$40)),SUMPRODUCT(COUNTIF('2030'!$C$1178:$Z$1178,Setup!$F$33:$F$40))))</f>
        <v/>
      </c>
      <c r="AA33" s="137">
        <f>IF($B33="","",CHOOSE(IFERROR(MATCH($C$4,Setup!$K$33:$K$36,0),1),SUMPRODUCT(COUNTIF('2027'!$C$1228:$Z$1228,Setup!$F$33:$F$40)),SUMPRODUCT(COUNTIF('2028'!$C$1228:$Z$1228,Setup!$F$33:$F$40)),SUMPRODUCT(COUNTIF('2029'!$C$1228:$Z$1228,Setup!$F$33:$F$40)),SUMPRODUCT(COUNTIF('2030'!$C$1228:$Z$1228,Setup!$F$33:$F$40))))</f>
        <v/>
      </c>
      <c r="AB33" s="137">
        <f>IF($B33="","",CHOOSE(IFERROR(MATCH($C$4,Setup!$K$33:$K$36,0),1),SUMPRODUCT(COUNTIF('2027'!$C$1278:$Z$1278,Setup!$F$33:$F$40)),SUMPRODUCT(COUNTIF('2028'!$C$1278:$Z$1278,Setup!$F$33:$F$40)),SUMPRODUCT(COUNTIF('2029'!$C$1278:$Z$1278,Setup!$F$33:$F$40)),SUMPRODUCT(COUNTIF('2030'!$C$1278:$Z$1278,Setup!$F$33:$F$40))))</f>
        <v/>
      </c>
      <c r="AC33" s="137">
        <f>IF($B33="","",CHOOSE(IFERROR(MATCH($C$4,Setup!$K$33:$K$36,0),1),SUMPRODUCT(COUNTIF('2027'!$C$1328:$Z$1328,Setup!$F$33:$F$40)),SUMPRODUCT(COUNTIF('2028'!$C$1328:$Z$1328,Setup!$F$33:$F$40)),SUMPRODUCT(COUNTIF('2029'!$C$1328:$Z$1328,Setup!$F$33:$F$40)),SUMPRODUCT(COUNTIF('2030'!$C$1328:$Z$1328,Setup!$F$33:$F$40))))</f>
        <v/>
      </c>
      <c r="AD33" s="137">
        <f>IF($B33="","",CHOOSE(IFERROR(MATCH($C$4,Setup!$K$33:$K$36,0),1),SUMPRODUCT(COUNTIF('2027'!$C$1378:$Z$1378,Setup!$F$33:$F$40)),SUMPRODUCT(COUNTIF('2028'!$C$1378:$Z$1378,Setup!$F$33:$F$40)),SUMPRODUCT(COUNTIF('2029'!$C$1378:$Z$1378,Setup!$F$33:$F$40)),SUMPRODUCT(COUNTIF('2030'!$C$1378:$Z$1378,Setup!$F$33:$F$40))))</f>
        <v/>
      </c>
      <c r="AE33" s="137">
        <f>IF($B33="","",CHOOSE(IFERROR(MATCH($C$4,Setup!$K$33:$K$36,0),1),SUMPRODUCT(COUNTIF('2027'!$C$1428:$Z$1428,Setup!$F$33:$F$40)),SUMPRODUCT(COUNTIF('2028'!$C$1428:$Z$1428,Setup!$F$33:$F$40)),SUMPRODUCT(COUNTIF('2029'!$C$1428:$Z$1428,Setup!$F$33:$F$40)),SUMPRODUCT(COUNTIF('2030'!$C$1428:$Z$1428,Setup!$F$33:$F$40))))</f>
        <v/>
      </c>
      <c r="AF33" s="137">
        <f>IF($B33="","",CHOOSE(IFERROR(MATCH($C$4,Setup!$K$33:$K$36,0),1),SUMPRODUCT(COUNTIF('2027'!$C$1478:$Z$1478,Setup!$F$33:$F$40)),SUMPRODUCT(COUNTIF('2028'!$C$1478:$Z$1478,Setup!$F$33:$F$40)),SUMPRODUCT(COUNTIF('2029'!$C$1478:$Z$1478,Setup!$F$33:$F$40)),SUMPRODUCT(COUNTIF('2030'!$C$1478:$Z$1478,Setup!$F$33:$F$40))))</f>
        <v/>
      </c>
      <c r="AG33" s="137">
        <f>IF($B33="","",CHOOSE(IFERROR(MATCH($C$4,Setup!$K$33:$K$36,0),1),SUMPRODUCT(COUNTIF('2027'!$C$1528:$Z$1528,Setup!$F$33:$F$40)),SUMPRODUCT(COUNTIF('2028'!$C$1528:$Z$1528,Setup!$F$33:$F$40)),SUMPRODUCT(COUNTIF('2029'!$C$1528:$Z$1528,Setup!$F$33:$F$40)),SUMPRODUCT(COUNTIF('2030'!$C$1528:$Z$1528,Setup!$F$33:$F$40))))</f>
        <v/>
      </c>
      <c r="AH33" s="137">
        <f>IF($B33="","",CHOOSE(IFERROR(MATCH($C$4,Setup!$K$33:$K$36,0),1),SUMPRODUCT(COUNTIF('2027'!$C$1578:$Z$1578,Setup!$F$33:$F$40)),SUMPRODUCT(COUNTIF('2028'!$C$1578:$Z$1578,Setup!$F$33:$F$40)),SUMPRODUCT(COUNTIF('2029'!$C$1578:$Z$1578,Setup!$F$33:$F$40)),SUMPRODUCT(COUNTIF('2030'!$C$1578:$Z$1578,Setup!$F$33:$F$40))))</f>
        <v/>
      </c>
      <c r="AI33" s="137">
        <f>IF($B33="","",CHOOSE(IFERROR(MATCH($C$4,Setup!$K$33:$K$36,0),1),SUMPRODUCT(COUNTIF('2027'!$C$1628:$Z$1628,Setup!$F$33:$F$40)),SUMPRODUCT(COUNTIF('2028'!$C$1628:$Z$1628,Setup!$F$33:$F$40)),SUMPRODUCT(COUNTIF('2029'!$C$1628:$Z$1628,Setup!$F$33:$F$40)),SUMPRODUCT(COUNTIF('2030'!$C$1628:$Z$1628,Setup!$F$33:$F$40))))</f>
        <v/>
      </c>
      <c r="AJ33" s="137">
        <f>IF($B33="","",CHOOSE(IFERROR(MATCH($C$4,Setup!$K$33:$K$36,0),1),SUMPRODUCT(COUNTIF('2027'!$C$1678:$Z$1678,Setup!$F$33:$F$40)),SUMPRODUCT(COUNTIF('2028'!$C$1678:$Z$1678,Setup!$F$33:$F$40)),SUMPRODUCT(COUNTIF('2029'!$C$1678:$Z$1678,Setup!$F$33:$F$40)),SUMPRODUCT(COUNTIF('2030'!$C$1678:$Z$1678,Setup!$F$33:$F$40))))</f>
        <v/>
      </c>
      <c r="AK33" s="137">
        <f>IF($B33="","",CHOOSE(IFERROR(MATCH($C$4,Setup!$K$33:$K$36,0),1),SUMPRODUCT(COUNTIF('2027'!$C$1728:$Z$1728,Setup!$F$33:$F$40)),SUMPRODUCT(COUNTIF('2028'!$C$1728:$Z$1728,Setup!$F$33:$F$40)),SUMPRODUCT(COUNTIF('2029'!$C$1728:$Z$1728,Setup!$F$33:$F$40)),SUMPRODUCT(COUNTIF('2030'!$C$1728:$Z$1728,Setup!$F$33:$F$40))))</f>
        <v/>
      </c>
      <c r="AL33" s="137">
        <f>IF($B33="","",CHOOSE(IFERROR(MATCH($C$4,Setup!$K$33:$K$36,0),1),SUMPRODUCT(COUNTIF('2027'!$C$1778:$Z$1778,Setup!$F$33:$F$40)),SUMPRODUCT(COUNTIF('2028'!$C$1778:$Z$1778,Setup!$F$33:$F$40)),SUMPRODUCT(COUNTIF('2029'!$C$1778:$Z$1778,Setup!$F$33:$F$40)),SUMPRODUCT(COUNTIF('2030'!$C$1778:$Z$1778,Setup!$F$33:$F$40))))</f>
        <v/>
      </c>
      <c r="AM33" s="137">
        <f>IF($B33="","",CHOOSE(IFERROR(MATCH($C$4,Setup!$K$33:$K$36,0),1),SUMPRODUCT(COUNTIF('2027'!$C$1828:$Z$1828,Setup!$F$33:$F$40)),SUMPRODUCT(COUNTIF('2028'!$C$1828:$Z$1828,Setup!$F$33:$F$40)),SUMPRODUCT(COUNTIF('2029'!$C$1828:$Z$1828,Setup!$F$33:$F$40)),SUMPRODUCT(COUNTIF('2030'!$C$1828:$Z$1828,Setup!$F$33:$F$40))))</f>
        <v/>
      </c>
      <c r="AN33" s="137">
        <f>IF($B33="","",CHOOSE(IFERROR(MATCH($C$4,Setup!$K$33:$K$36,0),1),SUMPRODUCT(COUNTIF('2027'!$C$1878:$Z$1878,Setup!$F$33:$F$40)),SUMPRODUCT(COUNTIF('2028'!$C$1878:$Z$1878,Setup!$F$33:$F$40)),SUMPRODUCT(COUNTIF('2029'!$C$1878:$Z$1878,Setup!$F$33:$F$40)),SUMPRODUCT(COUNTIF('2030'!$C$1878:$Z$1878,Setup!$F$33:$F$40))))</f>
        <v/>
      </c>
      <c r="AO33" s="137">
        <f>IF($B33="","",CHOOSE(IFERROR(MATCH($C$4,Setup!$K$33:$K$36,0),1),SUMPRODUCT(COUNTIF('2027'!$C$1928:$Z$1928,Setup!$F$33:$F$40)),SUMPRODUCT(COUNTIF('2028'!$C$1928:$Z$1928,Setup!$F$33:$F$40)),SUMPRODUCT(COUNTIF('2029'!$C$1928:$Z$1928,Setup!$F$33:$F$40)),SUMPRODUCT(COUNTIF('2030'!$C$1928:$Z$1928,Setup!$F$33:$F$40))))</f>
        <v/>
      </c>
      <c r="AP33" s="137">
        <f>IF($B33="","",CHOOSE(IFERROR(MATCH($C$4,Setup!$K$33:$K$36,0),1),SUMPRODUCT(COUNTIF('2027'!$C$1978:$Z$1978,Setup!$F$33:$F$40)),SUMPRODUCT(COUNTIF('2028'!$C$1978:$Z$1978,Setup!$F$33:$F$40)),SUMPRODUCT(COUNTIF('2029'!$C$1978:$Z$1978,Setup!$F$33:$F$40)),SUMPRODUCT(COUNTIF('2030'!$C$1978:$Z$1978,Setup!$F$33:$F$40))))</f>
        <v/>
      </c>
      <c r="AQ33" s="137">
        <f>IF($B33="","",CHOOSE(IFERROR(MATCH($C$4,Setup!$K$33:$K$36,0),1),SUMPRODUCT(COUNTIF('2027'!$C$2028:$Z$2028,Setup!$F$33:$F$40)),SUMPRODUCT(COUNTIF('2028'!$C$2028:$Z$2028,Setup!$F$33:$F$40)),SUMPRODUCT(COUNTIF('2029'!$C$2028:$Z$2028,Setup!$F$33:$F$40)),SUMPRODUCT(COUNTIF('2030'!$C$2028:$Z$2028,Setup!$F$33:$F$40))))</f>
        <v/>
      </c>
      <c r="AR33" s="137">
        <f>IF($B33="","",CHOOSE(IFERROR(MATCH($C$4,Setup!$K$33:$K$36,0),1),SUMPRODUCT(COUNTIF('2027'!$C$2078:$Z$2078,Setup!$F$33:$F$40)),SUMPRODUCT(COUNTIF('2028'!$C$2078:$Z$2078,Setup!$F$33:$F$40)),SUMPRODUCT(COUNTIF('2029'!$C$2078:$Z$2078,Setup!$F$33:$F$40)),SUMPRODUCT(COUNTIF('2030'!$C$2078:$Z$2078,Setup!$F$33:$F$40))))</f>
        <v/>
      </c>
      <c r="AS33" s="137">
        <f>IF($B33="","",CHOOSE(IFERROR(MATCH($C$4,Setup!$K$33:$K$36,0),1),SUMPRODUCT(COUNTIF('2027'!$C$2128:$Z$2128,Setup!$F$33:$F$40)),SUMPRODUCT(COUNTIF('2028'!$C$2128:$Z$2128,Setup!$F$33:$F$40)),SUMPRODUCT(COUNTIF('2029'!$C$2128:$Z$2128,Setup!$F$33:$F$40)),SUMPRODUCT(COUNTIF('2030'!$C$2128:$Z$2128,Setup!$F$33:$F$40))))</f>
        <v/>
      </c>
      <c r="AT33" s="137">
        <f>IF($B33="","",CHOOSE(IFERROR(MATCH($C$4,Setup!$K$33:$K$36,0),1),SUMPRODUCT(COUNTIF('2027'!$C$2178:$Z$2178,Setup!$F$33:$F$40)),SUMPRODUCT(COUNTIF('2028'!$C$2178:$Z$2178,Setup!$F$33:$F$40)),SUMPRODUCT(COUNTIF('2029'!$C$2178:$Z$2178,Setup!$F$33:$F$40)),SUMPRODUCT(COUNTIF('2030'!$C$2178:$Z$2178,Setup!$F$33:$F$40))))</f>
        <v/>
      </c>
      <c r="AU33" s="137">
        <f>IF($B33="","",CHOOSE(IFERROR(MATCH($C$4,Setup!$K$33:$K$36,0),1),SUMPRODUCT(COUNTIF('2027'!$C$2228:$Z$2228,Setup!$F$33:$F$40)),SUMPRODUCT(COUNTIF('2028'!$C$2228:$Z$2228,Setup!$F$33:$F$40)),SUMPRODUCT(COUNTIF('2029'!$C$2228:$Z$2228,Setup!$F$33:$F$40)),SUMPRODUCT(COUNTIF('2030'!$C$2228:$Z$2228,Setup!$F$33:$F$40))))</f>
        <v/>
      </c>
      <c r="AV33" s="137">
        <f>IF($B33="","",CHOOSE(IFERROR(MATCH($C$4,Setup!$K$33:$K$36,0),1),SUMPRODUCT(COUNTIF('2027'!$C$2278:$Z$2278,Setup!$F$33:$F$40)),SUMPRODUCT(COUNTIF('2028'!$C$2278:$Z$2278,Setup!$F$33:$F$40)),SUMPRODUCT(COUNTIF('2029'!$C$2278:$Z$2278,Setup!$F$33:$F$40)),SUMPRODUCT(COUNTIF('2030'!$C$2278:$Z$2278,Setup!$F$33:$F$40))))</f>
        <v/>
      </c>
      <c r="AW33" s="137">
        <f>IF($B33="","",CHOOSE(IFERROR(MATCH($C$4,Setup!$K$33:$K$36,0),1),SUMPRODUCT(COUNTIF('2027'!$C$2328:$Z$2328,Setup!$F$33:$F$40)),SUMPRODUCT(COUNTIF('2028'!$C$2328:$Z$2328,Setup!$F$33:$F$40)),SUMPRODUCT(COUNTIF('2029'!$C$2328:$Z$2328,Setup!$F$33:$F$40)),SUMPRODUCT(COUNTIF('2030'!$C$2328:$Z$2328,Setup!$F$33:$F$40))))</f>
        <v/>
      </c>
      <c r="AX33" s="137">
        <f>IF($B33="","",CHOOSE(IFERROR(MATCH($C$4,Setup!$K$33:$K$36,0),1),SUMPRODUCT(COUNTIF('2027'!$C$2378:$Z$2378,Setup!$F$33:$F$40)),SUMPRODUCT(COUNTIF('2028'!$C$2378:$Z$2378,Setup!$F$33:$F$40)),SUMPRODUCT(COUNTIF('2029'!$C$2378:$Z$2378,Setup!$F$33:$F$40)),SUMPRODUCT(COUNTIF('2030'!$C$2378:$Z$2378,Setup!$F$33:$F$40))))</f>
        <v/>
      </c>
      <c r="AY33" s="137">
        <f>IF($B33="","",CHOOSE(IFERROR(MATCH($C$4,Setup!$K$33:$K$36,0),1),SUMPRODUCT(COUNTIF('2027'!$C$2428:$Z$2428,Setup!$F$33:$F$40)),SUMPRODUCT(COUNTIF('2028'!$C$2428:$Z$2428,Setup!$F$33:$F$40)),SUMPRODUCT(COUNTIF('2029'!$C$2428:$Z$2428,Setup!$F$33:$F$40)),SUMPRODUCT(COUNTIF('2030'!$C$2428:$Z$2428,Setup!$F$33:$F$40))))</f>
        <v/>
      </c>
      <c r="AZ33" s="137">
        <f>IF($B33="","",CHOOSE(IFERROR(MATCH($C$4,Setup!$K$33:$K$36,0),1),SUMPRODUCT(COUNTIF('2027'!$C$2478:$Z$2478,Setup!$F$33:$F$40)),SUMPRODUCT(COUNTIF('2028'!$C$2478:$Z$2478,Setup!$F$33:$F$40)),SUMPRODUCT(COUNTIF('2029'!$C$2478:$Z$2478,Setup!$F$33:$F$40)),SUMPRODUCT(COUNTIF('2030'!$C$2478:$Z$2478,Setup!$F$33:$F$40))))</f>
        <v/>
      </c>
      <c r="BA33" s="137">
        <f>IF($B33="","",CHOOSE(IFERROR(MATCH($C$4,Setup!$K$33:$K$36,0),1),SUMPRODUCT(COUNTIF('2027'!$C$2528:$Z$2528,Setup!$F$33:$F$40)),SUMPRODUCT(COUNTIF('2028'!$C$2528:$Z$2528,Setup!$F$33:$F$40)),SUMPRODUCT(COUNTIF('2029'!$C$2528:$Z$2528,Setup!$F$33:$F$40)),SUMPRODUCT(COUNTIF('2030'!$C$2528:$Z$2528,Setup!$F$33:$F$40))))</f>
        <v/>
      </c>
      <c r="BB33" s="137">
        <f>IF($B33="","",CHOOSE(IFERROR(MATCH($C$4,Setup!$K$33:$K$36,0),1),SUMPRODUCT(COUNTIF('2027'!$C$2578:$Z$2578,Setup!$F$33:$F$40)),SUMPRODUCT(COUNTIF('2028'!$C$2578:$Z$2578,Setup!$F$33:$F$40)),SUMPRODUCT(COUNTIF('2029'!$C$2578:$Z$2578,Setup!$F$33:$F$40)),SUMPRODUCT(COUNTIF('2030'!$C$2578:$Z$2578,Setup!$F$33:$F$40))))</f>
        <v/>
      </c>
      <c r="BC33" s="137">
        <f>IF($B33="","",CHOOSE(IFERROR(MATCH($C$4,Setup!$K$33:$K$36,0),1),SUMPRODUCT(COUNTIF('2027'!$C$2628:$Z$2628,Setup!$F$33:$F$40)),SUMPRODUCT(COUNTIF('2028'!$C$2628:$Z$2628,Setup!$F$33:$F$40)),SUMPRODUCT(COUNTIF('2029'!$C$2628:$Z$2628,Setup!$F$33:$F$40)),SUMPRODUCT(COUNTIF('2030'!$C$2628:$Z$2628,Setup!$F$33:$F$40))))</f>
        <v/>
      </c>
      <c r="BE33" s="129">
        <f>IF($B33="","",SUM(C33:BC33))</f>
        <v/>
      </c>
      <c r="BF33" s="130">
        <f>IF($B33="","",COUNTIF(C33:BC33,"&gt;0"))</f>
        <v/>
      </c>
      <c r="BG33" s="130">
        <f>IF(OR($B33="",N(BE33)=0),"",MATCH(MAX(C33:BC33),C33:BC33,0))</f>
        <v/>
      </c>
    </row>
    <row r="34" ht="15" customHeight="1">
      <c r="B34" s="136">
        <f>IF(Setup!$B$8="","",Setup!$B$8)</f>
        <v/>
      </c>
      <c r="C34" s="137">
        <f>IF($B34="","",CHOOSE(IFERROR(MATCH($C$4,Setup!$K$33:$K$36,0),1),SUMPRODUCT(COUNTIF('2027'!$C$29:$Z$29,Setup!$F$33:$F$40)),SUMPRODUCT(COUNTIF('2028'!$C$29:$Z$29,Setup!$F$33:$F$40)),SUMPRODUCT(COUNTIF('2029'!$C$29:$Z$29,Setup!$F$33:$F$40)),SUMPRODUCT(COUNTIF('2030'!$C$29:$Z$29,Setup!$F$33:$F$40))))</f>
        <v/>
      </c>
      <c r="D34" s="137">
        <f>IF($B34="","",CHOOSE(IFERROR(MATCH($C$4,Setup!$K$33:$K$36,0),1),SUMPRODUCT(COUNTIF('2027'!$C$79:$Z$79,Setup!$F$33:$F$40)),SUMPRODUCT(COUNTIF('2028'!$C$79:$Z$79,Setup!$F$33:$F$40)),SUMPRODUCT(COUNTIF('2029'!$C$79:$Z$79,Setup!$F$33:$F$40)),SUMPRODUCT(COUNTIF('2030'!$C$79:$Z$79,Setup!$F$33:$F$40))))</f>
        <v/>
      </c>
      <c r="E34" s="137">
        <f>IF($B34="","",CHOOSE(IFERROR(MATCH($C$4,Setup!$K$33:$K$36,0),1),SUMPRODUCT(COUNTIF('2027'!$C$129:$Z$129,Setup!$F$33:$F$40)),SUMPRODUCT(COUNTIF('2028'!$C$129:$Z$129,Setup!$F$33:$F$40)),SUMPRODUCT(COUNTIF('2029'!$C$129:$Z$129,Setup!$F$33:$F$40)),SUMPRODUCT(COUNTIF('2030'!$C$129:$Z$129,Setup!$F$33:$F$40))))</f>
        <v/>
      </c>
      <c r="F34" s="137">
        <f>IF($B34="","",CHOOSE(IFERROR(MATCH($C$4,Setup!$K$33:$K$36,0),1),SUMPRODUCT(COUNTIF('2027'!$C$179:$Z$179,Setup!$F$33:$F$40)),SUMPRODUCT(COUNTIF('2028'!$C$179:$Z$179,Setup!$F$33:$F$40)),SUMPRODUCT(COUNTIF('2029'!$C$179:$Z$179,Setup!$F$33:$F$40)),SUMPRODUCT(COUNTIF('2030'!$C$179:$Z$179,Setup!$F$33:$F$40))))</f>
        <v/>
      </c>
      <c r="G34" s="137">
        <f>IF($B34="","",CHOOSE(IFERROR(MATCH($C$4,Setup!$K$33:$K$36,0),1),SUMPRODUCT(COUNTIF('2027'!$C$229:$Z$229,Setup!$F$33:$F$40)),SUMPRODUCT(COUNTIF('2028'!$C$229:$Z$229,Setup!$F$33:$F$40)),SUMPRODUCT(COUNTIF('2029'!$C$229:$Z$229,Setup!$F$33:$F$40)),SUMPRODUCT(COUNTIF('2030'!$C$229:$Z$229,Setup!$F$33:$F$40))))</f>
        <v/>
      </c>
      <c r="H34" s="137">
        <f>IF($B34="","",CHOOSE(IFERROR(MATCH($C$4,Setup!$K$33:$K$36,0),1),SUMPRODUCT(COUNTIF('2027'!$C$279:$Z$279,Setup!$F$33:$F$40)),SUMPRODUCT(COUNTIF('2028'!$C$279:$Z$279,Setup!$F$33:$F$40)),SUMPRODUCT(COUNTIF('2029'!$C$279:$Z$279,Setup!$F$33:$F$40)),SUMPRODUCT(COUNTIF('2030'!$C$279:$Z$279,Setup!$F$33:$F$40))))</f>
        <v/>
      </c>
      <c r="I34" s="137">
        <f>IF($B34="","",CHOOSE(IFERROR(MATCH($C$4,Setup!$K$33:$K$36,0),1),SUMPRODUCT(COUNTIF('2027'!$C$329:$Z$329,Setup!$F$33:$F$40)),SUMPRODUCT(COUNTIF('2028'!$C$329:$Z$329,Setup!$F$33:$F$40)),SUMPRODUCT(COUNTIF('2029'!$C$329:$Z$329,Setup!$F$33:$F$40)),SUMPRODUCT(COUNTIF('2030'!$C$329:$Z$329,Setup!$F$33:$F$40))))</f>
        <v/>
      </c>
      <c r="J34" s="137">
        <f>IF($B34="","",CHOOSE(IFERROR(MATCH($C$4,Setup!$K$33:$K$36,0),1),SUMPRODUCT(COUNTIF('2027'!$C$379:$Z$379,Setup!$F$33:$F$40)),SUMPRODUCT(COUNTIF('2028'!$C$379:$Z$379,Setup!$F$33:$F$40)),SUMPRODUCT(COUNTIF('2029'!$C$379:$Z$379,Setup!$F$33:$F$40)),SUMPRODUCT(COUNTIF('2030'!$C$379:$Z$379,Setup!$F$33:$F$40))))</f>
        <v/>
      </c>
      <c r="K34" s="137">
        <f>IF($B34="","",CHOOSE(IFERROR(MATCH($C$4,Setup!$K$33:$K$36,0),1),SUMPRODUCT(COUNTIF('2027'!$C$429:$Z$429,Setup!$F$33:$F$40)),SUMPRODUCT(COUNTIF('2028'!$C$429:$Z$429,Setup!$F$33:$F$40)),SUMPRODUCT(COUNTIF('2029'!$C$429:$Z$429,Setup!$F$33:$F$40)),SUMPRODUCT(COUNTIF('2030'!$C$429:$Z$429,Setup!$F$33:$F$40))))</f>
        <v/>
      </c>
      <c r="L34" s="137">
        <f>IF($B34="","",CHOOSE(IFERROR(MATCH($C$4,Setup!$K$33:$K$36,0),1),SUMPRODUCT(COUNTIF('2027'!$C$479:$Z$479,Setup!$F$33:$F$40)),SUMPRODUCT(COUNTIF('2028'!$C$479:$Z$479,Setup!$F$33:$F$40)),SUMPRODUCT(COUNTIF('2029'!$C$479:$Z$479,Setup!$F$33:$F$40)),SUMPRODUCT(COUNTIF('2030'!$C$479:$Z$479,Setup!$F$33:$F$40))))</f>
        <v/>
      </c>
      <c r="M34" s="137">
        <f>IF($B34="","",CHOOSE(IFERROR(MATCH($C$4,Setup!$K$33:$K$36,0),1),SUMPRODUCT(COUNTIF('2027'!$C$529:$Z$529,Setup!$F$33:$F$40)),SUMPRODUCT(COUNTIF('2028'!$C$529:$Z$529,Setup!$F$33:$F$40)),SUMPRODUCT(COUNTIF('2029'!$C$529:$Z$529,Setup!$F$33:$F$40)),SUMPRODUCT(COUNTIF('2030'!$C$529:$Z$529,Setup!$F$33:$F$40))))</f>
        <v/>
      </c>
      <c r="N34" s="137">
        <f>IF($B34="","",CHOOSE(IFERROR(MATCH($C$4,Setup!$K$33:$K$36,0),1),SUMPRODUCT(COUNTIF('2027'!$C$579:$Z$579,Setup!$F$33:$F$40)),SUMPRODUCT(COUNTIF('2028'!$C$579:$Z$579,Setup!$F$33:$F$40)),SUMPRODUCT(COUNTIF('2029'!$C$579:$Z$579,Setup!$F$33:$F$40)),SUMPRODUCT(COUNTIF('2030'!$C$579:$Z$579,Setup!$F$33:$F$40))))</f>
        <v/>
      </c>
      <c r="O34" s="137">
        <f>IF($B34="","",CHOOSE(IFERROR(MATCH($C$4,Setup!$K$33:$K$36,0),1),SUMPRODUCT(COUNTIF('2027'!$C$629:$Z$629,Setup!$F$33:$F$40)),SUMPRODUCT(COUNTIF('2028'!$C$629:$Z$629,Setup!$F$33:$F$40)),SUMPRODUCT(COUNTIF('2029'!$C$629:$Z$629,Setup!$F$33:$F$40)),SUMPRODUCT(COUNTIF('2030'!$C$629:$Z$629,Setup!$F$33:$F$40))))</f>
        <v/>
      </c>
      <c r="P34" s="137">
        <f>IF($B34="","",CHOOSE(IFERROR(MATCH($C$4,Setup!$K$33:$K$36,0),1),SUMPRODUCT(COUNTIF('2027'!$C$679:$Z$679,Setup!$F$33:$F$40)),SUMPRODUCT(COUNTIF('2028'!$C$679:$Z$679,Setup!$F$33:$F$40)),SUMPRODUCT(COUNTIF('2029'!$C$679:$Z$679,Setup!$F$33:$F$40)),SUMPRODUCT(COUNTIF('2030'!$C$679:$Z$679,Setup!$F$33:$F$40))))</f>
        <v/>
      </c>
      <c r="Q34" s="137">
        <f>IF($B34="","",CHOOSE(IFERROR(MATCH($C$4,Setup!$K$33:$K$36,0),1),SUMPRODUCT(COUNTIF('2027'!$C$729:$Z$729,Setup!$F$33:$F$40)),SUMPRODUCT(COUNTIF('2028'!$C$729:$Z$729,Setup!$F$33:$F$40)),SUMPRODUCT(COUNTIF('2029'!$C$729:$Z$729,Setup!$F$33:$F$40)),SUMPRODUCT(COUNTIF('2030'!$C$729:$Z$729,Setup!$F$33:$F$40))))</f>
        <v/>
      </c>
      <c r="R34" s="137">
        <f>IF($B34="","",CHOOSE(IFERROR(MATCH($C$4,Setup!$K$33:$K$36,0),1),SUMPRODUCT(COUNTIF('2027'!$C$779:$Z$779,Setup!$F$33:$F$40)),SUMPRODUCT(COUNTIF('2028'!$C$779:$Z$779,Setup!$F$33:$F$40)),SUMPRODUCT(COUNTIF('2029'!$C$779:$Z$779,Setup!$F$33:$F$40)),SUMPRODUCT(COUNTIF('2030'!$C$779:$Z$779,Setup!$F$33:$F$40))))</f>
        <v/>
      </c>
      <c r="S34" s="137">
        <f>IF($B34="","",CHOOSE(IFERROR(MATCH($C$4,Setup!$K$33:$K$36,0),1),SUMPRODUCT(COUNTIF('2027'!$C$829:$Z$829,Setup!$F$33:$F$40)),SUMPRODUCT(COUNTIF('2028'!$C$829:$Z$829,Setup!$F$33:$F$40)),SUMPRODUCT(COUNTIF('2029'!$C$829:$Z$829,Setup!$F$33:$F$40)),SUMPRODUCT(COUNTIF('2030'!$C$829:$Z$829,Setup!$F$33:$F$40))))</f>
        <v/>
      </c>
      <c r="T34" s="137">
        <f>IF($B34="","",CHOOSE(IFERROR(MATCH($C$4,Setup!$K$33:$K$36,0),1),SUMPRODUCT(COUNTIF('2027'!$C$879:$Z$879,Setup!$F$33:$F$40)),SUMPRODUCT(COUNTIF('2028'!$C$879:$Z$879,Setup!$F$33:$F$40)),SUMPRODUCT(COUNTIF('2029'!$C$879:$Z$879,Setup!$F$33:$F$40)),SUMPRODUCT(COUNTIF('2030'!$C$879:$Z$879,Setup!$F$33:$F$40))))</f>
        <v/>
      </c>
      <c r="U34" s="137">
        <f>IF($B34="","",CHOOSE(IFERROR(MATCH($C$4,Setup!$K$33:$K$36,0),1),SUMPRODUCT(COUNTIF('2027'!$C$929:$Z$929,Setup!$F$33:$F$40)),SUMPRODUCT(COUNTIF('2028'!$C$929:$Z$929,Setup!$F$33:$F$40)),SUMPRODUCT(COUNTIF('2029'!$C$929:$Z$929,Setup!$F$33:$F$40)),SUMPRODUCT(COUNTIF('2030'!$C$929:$Z$929,Setup!$F$33:$F$40))))</f>
        <v/>
      </c>
      <c r="V34" s="137">
        <f>IF($B34="","",CHOOSE(IFERROR(MATCH($C$4,Setup!$K$33:$K$36,0),1),SUMPRODUCT(COUNTIF('2027'!$C$979:$Z$979,Setup!$F$33:$F$40)),SUMPRODUCT(COUNTIF('2028'!$C$979:$Z$979,Setup!$F$33:$F$40)),SUMPRODUCT(COUNTIF('2029'!$C$979:$Z$979,Setup!$F$33:$F$40)),SUMPRODUCT(COUNTIF('2030'!$C$979:$Z$979,Setup!$F$33:$F$40))))</f>
        <v/>
      </c>
      <c r="W34" s="137">
        <f>IF($B34="","",CHOOSE(IFERROR(MATCH($C$4,Setup!$K$33:$K$36,0),1),SUMPRODUCT(COUNTIF('2027'!$C$1029:$Z$1029,Setup!$F$33:$F$40)),SUMPRODUCT(COUNTIF('2028'!$C$1029:$Z$1029,Setup!$F$33:$F$40)),SUMPRODUCT(COUNTIF('2029'!$C$1029:$Z$1029,Setup!$F$33:$F$40)),SUMPRODUCT(COUNTIF('2030'!$C$1029:$Z$1029,Setup!$F$33:$F$40))))</f>
        <v/>
      </c>
      <c r="X34" s="137">
        <f>IF($B34="","",CHOOSE(IFERROR(MATCH($C$4,Setup!$K$33:$K$36,0),1),SUMPRODUCT(COUNTIF('2027'!$C$1079:$Z$1079,Setup!$F$33:$F$40)),SUMPRODUCT(COUNTIF('2028'!$C$1079:$Z$1079,Setup!$F$33:$F$40)),SUMPRODUCT(COUNTIF('2029'!$C$1079:$Z$1079,Setup!$F$33:$F$40)),SUMPRODUCT(COUNTIF('2030'!$C$1079:$Z$1079,Setup!$F$33:$F$40))))</f>
        <v/>
      </c>
      <c r="Y34" s="137">
        <f>IF($B34="","",CHOOSE(IFERROR(MATCH($C$4,Setup!$K$33:$K$36,0),1),SUMPRODUCT(COUNTIF('2027'!$C$1129:$Z$1129,Setup!$F$33:$F$40)),SUMPRODUCT(COUNTIF('2028'!$C$1129:$Z$1129,Setup!$F$33:$F$40)),SUMPRODUCT(COUNTIF('2029'!$C$1129:$Z$1129,Setup!$F$33:$F$40)),SUMPRODUCT(COUNTIF('2030'!$C$1129:$Z$1129,Setup!$F$33:$F$40))))</f>
        <v/>
      </c>
      <c r="Z34" s="137">
        <f>IF($B34="","",CHOOSE(IFERROR(MATCH($C$4,Setup!$K$33:$K$36,0),1),SUMPRODUCT(COUNTIF('2027'!$C$1179:$Z$1179,Setup!$F$33:$F$40)),SUMPRODUCT(COUNTIF('2028'!$C$1179:$Z$1179,Setup!$F$33:$F$40)),SUMPRODUCT(COUNTIF('2029'!$C$1179:$Z$1179,Setup!$F$33:$F$40)),SUMPRODUCT(COUNTIF('2030'!$C$1179:$Z$1179,Setup!$F$33:$F$40))))</f>
        <v/>
      </c>
      <c r="AA34" s="137">
        <f>IF($B34="","",CHOOSE(IFERROR(MATCH($C$4,Setup!$K$33:$K$36,0),1),SUMPRODUCT(COUNTIF('2027'!$C$1229:$Z$1229,Setup!$F$33:$F$40)),SUMPRODUCT(COUNTIF('2028'!$C$1229:$Z$1229,Setup!$F$33:$F$40)),SUMPRODUCT(COUNTIF('2029'!$C$1229:$Z$1229,Setup!$F$33:$F$40)),SUMPRODUCT(COUNTIF('2030'!$C$1229:$Z$1229,Setup!$F$33:$F$40))))</f>
        <v/>
      </c>
      <c r="AB34" s="137">
        <f>IF($B34="","",CHOOSE(IFERROR(MATCH($C$4,Setup!$K$33:$K$36,0),1),SUMPRODUCT(COUNTIF('2027'!$C$1279:$Z$1279,Setup!$F$33:$F$40)),SUMPRODUCT(COUNTIF('2028'!$C$1279:$Z$1279,Setup!$F$33:$F$40)),SUMPRODUCT(COUNTIF('2029'!$C$1279:$Z$1279,Setup!$F$33:$F$40)),SUMPRODUCT(COUNTIF('2030'!$C$1279:$Z$1279,Setup!$F$33:$F$40))))</f>
        <v/>
      </c>
      <c r="AC34" s="137">
        <f>IF($B34="","",CHOOSE(IFERROR(MATCH($C$4,Setup!$K$33:$K$36,0),1),SUMPRODUCT(COUNTIF('2027'!$C$1329:$Z$1329,Setup!$F$33:$F$40)),SUMPRODUCT(COUNTIF('2028'!$C$1329:$Z$1329,Setup!$F$33:$F$40)),SUMPRODUCT(COUNTIF('2029'!$C$1329:$Z$1329,Setup!$F$33:$F$40)),SUMPRODUCT(COUNTIF('2030'!$C$1329:$Z$1329,Setup!$F$33:$F$40))))</f>
        <v/>
      </c>
      <c r="AD34" s="137">
        <f>IF($B34="","",CHOOSE(IFERROR(MATCH($C$4,Setup!$K$33:$K$36,0),1),SUMPRODUCT(COUNTIF('2027'!$C$1379:$Z$1379,Setup!$F$33:$F$40)),SUMPRODUCT(COUNTIF('2028'!$C$1379:$Z$1379,Setup!$F$33:$F$40)),SUMPRODUCT(COUNTIF('2029'!$C$1379:$Z$1379,Setup!$F$33:$F$40)),SUMPRODUCT(COUNTIF('2030'!$C$1379:$Z$1379,Setup!$F$33:$F$40))))</f>
        <v/>
      </c>
      <c r="AE34" s="137">
        <f>IF($B34="","",CHOOSE(IFERROR(MATCH($C$4,Setup!$K$33:$K$36,0),1),SUMPRODUCT(COUNTIF('2027'!$C$1429:$Z$1429,Setup!$F$33:$F$40)),SUMPRODUCT(COUNTIF('2028'!$C$1429:$Z$1429,Setup!$F$33:$F$40)),SUMPRODUCT(COUNTIF('2029'!$C$1429:$Z$1429,Setup!$F$33:$F$40)),SUMPRODUCT(COUNTIF('2030'!$C$1429:$Z$1429,Setup!$F$33:$F$40))))</f>
        <v/>
      </c>
      <c r="AF34" s="137">
        <f>IF($B34="","",CHOOSE(IFERROR(MATCH($C$4,Setup!$K$33:$K$36,0),1),SUMPRODUCT(COUNTIF('2027'!$C$1479:$Z$1479,Setup!$F$33:$F$40)),SUMPRODUCT(COUNTIF('2028'!$C$1479:$Z$1479,Setup!$F$33:$F$40)),SUMPRODUCT(COUNTIF('2029'!$C$1479:$Z$1479,Setup!$F$33:$F$40)),SUMPRODUCT(COUNTIF('2030'!$C$1479:$Z$1479,Setup!$F$33:$F$40))))</f>
        <v/>
      </c>
      <c r="AG34" s="137">
        <f>IF($B34="","",CHOOSE(IFERROR(MATCH($C$4,Setup!$K$33:$K$36,0),1),SUMPRODUCT(COUNTIF('2027'!$C$1529:$Z$1529,Setup!$F$33:$F$40)),SUMPRODUCT(COUNTIF('2028'!$C$1529:$Z$1529,Setup!$F$33:$F$40)),SUMPRODUCT(COUNTIF('2029'!$C$1529:$Z$1529,Setup!$F$33:$F$40)),SUMPRODUCT(COUNTIF('2030'!$C$1529:$Z$1529,Setup!$F$33:$F$40))))</f>
        <v/>
      </c>
      <c r="AH34" s="137">
        <f>IF($B34="","",CHOOSE(IFERROR(MATCH($C$4,Setup!$K$33:$K$36,0),1),SUMPRODUCT(COUNTIF('2027'!$C$1579:$Z$1579,Setup!$F$33:$F$40)),SUMPRODUCT(COUNTIF('2028'!$C$1579:$Z$1579,Setup!$F$33:$F$40)),SUMPRODUCT(COUNTIF('2029'!$C$1579:$Z$1579,Setup!$F$33:$F$40)),SUMPRODUCT(COUNTIF('2030'!$C$1579:$Z$1579,Setup!$F$33:$F$40))))</f>
        <v/>
      </c>
      <c r="AI34" s="137">
        <f>IF($B34="","",CHOOSE(IFERROR(MATCH($C$4,Setup!$K$33:$K$36,0),1),SUMPRODUCT(COUNTIF('2027'!$C$1629:$Z$1629,Setup!$F$33:$F$40)),SUMPRODUCT(COUNTIF('2028'!$C$1629:$Z$1629,Setup!$F$33:$F$40)),SUMPRODUCT(COUNTIF('2029'!$C$1629:$Z$1629,Setup!$F$33:$F$40)),SUMPRODUCT(COUNTIF('2030'!$C$1629:$Z$1629,Setup!$F$33:$F$40))))</f>
        <v/>
      </c>
      <c r="AJ34" s="137">
        <f>IF($B34="","",CHOOSE(IFERROR(MATCH($C$4,Setup!$K$33:$K$36,0),1),SUMPRODUCT(COUNTIF('2027'!$C$1679:$Z$1679,Setup!$F$33:$F$40)),SUMPRODUCT(COUNTIF('2028'!$C$1679:$Z$1679,Setup!$F$33:$F$40)),SUMPRODUCT(COUNTIF('2029'!$C$1679:$Z$1679,Setup!$F$33:$F$40)),SUMPRODUCT(COUNTIF('2030'!$C$1679:$Z$1679,Setup!$F$33:$F$40))))</f>
        <v/>
      </c>
      <c r="AK34" s="137">
        <f>IF($B34="","",CHOOSE(IFERROR(MATCH($C$4,Setup!$K$33:$K$36,0),1),SUMPRODUCT(COUNTIF('2027'!$C$1729:$Z$1729,Setup!$F$33:$F$40)),SUMPRODUCT(COUNTIF('2028'!$C$1729:$Z$1729,Setup!$F$33:$F$40)),SUMPRODUCT(COUNTIF('2029'!$C$1729:$Z$1729,Setup!$F$33:$F$40)),SUMPRODUCT(COUNTIF('2030'!$C$1729:$Z$1729,Setup!$F$33:$F$40))))</f>
        <v/>
      </c>
      <c r="AL34" s="137">
        <f>IF($B34="","",CHOOSE(IFERROR(MATCH($C$4,Setup!$K$33:$K$36,0),1),SUMPRODUCT(COUNTIF('2027'!$C$1779:$Z$1779,Setup!$F$33:$F$40)),SUMPRODUCT(COUNTIF('2028'!$C$1779:$Z$1779,Setup!$F$33:$F$40)),SUMPRODUCT(COUNTIF('2029'!$C$1779:$Z$1779,Setup!$F$33:$F$40)),SUMPRODUCT(COUNTIF('2030'!$C$1779:$Z$1779,Setup!$F$33:$F$40))))</f>
        <v/>
      </c>
      <c r="AM34" s="137">
        <f>IF($B34="","",CHOOSE(IFERROR(MATCH($C$4,Setup!$K$33:$K$36,0),1),SUMPRODUCT(COUNTIF('2027'!$C$1829:$Z$1829,Setup!$F$33:$F$40)),SUMPRODUCT(COUNTIF('2028'!$C$1829:$Z$1829,Setup!$F$33:$F$40)),SUMPRODUCT(COUNTIF('2029'!$C$1829:$Z$1829,Setup!$F$33:$F$40)),SUMPRODUCT(COUNTIF('2030'!$C$1829:$Z$1829,Setup!$F$33:$F$40))))</f>
        <v/>
      </c>
      <c r="AN34" s="137">
        <f>IF($B34="","",CHOOSE(IFERROR(MATCH($C$4,Setup!$K$33:$K$36,0),1),SUMPRODUCT(COUNTIF('2027'!$C$1879:$Z$1879,Setup!$F$33:$F$40)),SUMPRODUCT(COUNTIF('2028'!$C$1879:$Z$1879,Setup!$F$33:$F$40)),SUMPRODUCT(COUNTIF('2029'!$C$1879:$Z$1879,Setup!$F$33:$F$40)),SUMPRODUCT(COUNTIF('2030'!$C$1879:$Z$1879,Setup!$F$33:$F$40))))</f>
        <v/>
      </c>
      <c r="AO34" s="137">
        <f>IF($B34="","",CHOOSE(IFERROR(MATCH($C$4,Setup!$K$33:$K$36,0),1),SUMPRODUCT(COUNTIF('2027'!$C$1929:$Z$1929,Setup!$F$33:$F$40)),SUMPRODUCT(COUNTIF('2028'!$C$1929:$Z$1929,Setup!$F$33:$F$40)),SUMPRODUCT(COUNTIF('2029'!$C$1929:$Z$1929,Setup!$F$33:$F$40)),SUMPRODUCT(COUNTIF('2030'!$C$1929:$Z$1929,Setup!$F$33:$F$40))))</f>
        <v/>
      </c>
      <c r="AP34" s="137">
        <f>IF($B34="","",CHOOSE(IFERROR(MATCH($C$4,Setup!$K$33:$K$36,0),1),SUMPRODUCT(COUNTIF('2027'!$C$1979:$Z$1979,Setup!$F$33:$F$40)),SUMPRODUCT(COUNTIF('2028'!$C$1979:$Z$1979,Setup!$F$33:$F$40)),SUMPRODUCT(COUNTIF('2029'!$C$1979:$Z$1979,Setup!$F$33:$F$40)),SUMPRODUCT(COUNTIF('2030'!$C$1979:$Z$1979,Setup!$F$33:$F$40))))</f>
        <v/>
      </c>
      <c r="AQ34" s="137">
        <f>IF($B34="","",CHOOSE(IFERROR(MATCH($C$4,Setup!$K$33:$K$36,0),1),SUMPRODUCT(COUNTIF('2027'!$C$2029:$Z$2029,Setup!$F$33:$F$40)),SUMPRODUCT(COUNTIF('2028'!$C$2029:$Z$2029,Setup!$F$33:$F$40)),SUMPRODUCT(COUNTIF('2029'!$C$2029:$Z$2029,Setup!$F$33:$F$40)),SUMPRODUCT(COUNTIF('2030'!$C$2029:$Z$2029,Setup!$F$33:$F$40))))</f>
        <v/>
      </c>
      <c r="AR34" s="137">
        <f>IF($B34="","",CHOOSE(IFERROR(MATCH($C$4,Setup!$K$33:$K$36,0),1),SUMPRODUCT(COUNTIF('2027'!$C$2079:$Z$2079,Setup!$F$33:$F$40)),SUMPRODUCT(COUNTIF('2028'!$C$2079:$Z$2079,Setup!$F$33:$F$40)),SUMPRODUCT(COUNTIF('2029'!$C$2079:$Z$2079,Setup!$F$33:$F$40)),SUMPRODUCT(COUNTIF('2030'!$C$2079:$Z$2079,Setup!$F$33:$F$40))))</f>
        <v/>
      </c>
      <c r="AS34" s="137">
        <f>IF($B34="","",CHOOSE(IFERROR(MATCH($C$4,Setup!$K$33:$K$36,0),1),SUMPRODUCT(COUNTIF('2027'!$C$2129:$Z$2129,Setup!$F$33:$F$40)),SUMPRODUCT(COUNTIF('2028'!$C$2129:$Z$2129,Setup!$F$33:$F$40)),SUMPRODUCT(COUNTIF('2029'!$C$2129:$Z$2129,Setup!$F$33:$F$40)),SUMPRODUCT(COUNTIF('2030'!$C$2129:$Z$2129,Setup!$F$33:$F$40))))</f>
        <v/>
      </c>
      <c r="AT34" s="137">
        <f>IF($B34="","",CHOOSE(IFERROR(MATCH($C$4,Setup!$K$33:$K$36,0),1),SUMPRODUCT(COUNTIF('2027'!$C$2179:$Z$2179,Setup!$F$33:$F$40)),SUMPRODUCT(COUNTIF('2028'!$C$2179:$Z$2179,Setup!$F$33:$F$40)),SUMPRODUCT(COUNTIF('2029'!$C$2179:$Z$2179,Setup!$F$33:$F$40)),SUMPRODUCT(COUNTIF('2030'!$C$2179:$Z$2179,Setup!$F$33:$F$40))))</f>
        <v/>
      </c>
      <c r="AU34" s="137">
        <f>IF($B34="","",CHOOSE(IFERROR(MATCH($C$4,Setup!$K$33:$K$36,0),1),SUMPRODUCT(COUNTIF('2027'!$C$2229:$Z$2229,Setup!$F$33:$F$40)),SUMPRODUCT(COUNTIF('2028'!$C$2229:$Z$2229,Setup!$F$33:$F$40)),SUMPRODUCT(COUNTIF('2029'!$C$2229:$Z$2229,Setup!$F$33:$F$40)),SUMPRODUCT(COUNTIF('2030'!$C$2229:$Z$2229,Setup!$F$33:$F$40))))</f>
        <v/>
      </c>
      <c r="AV34" s="137">
        <f>IF($B34="","",CHOOSE(IFERROR(MATCH($C$4,Setup!$K$33:$K$36,0),1),SUMPRODUCT(COUNTIF('2027'!$C$2279:$Z$2279,Setup!$F$33:$F$40)),SUMPRODUCT(COUNTIF('2028'!$C$2279:$Z$2279,Setup!$F$33:$F$40)),SUMPRODUCT(COUNTIF('2029'!$C$2279:$Z$2279,Setup!$F$33:$F$40)),SUMPRODUCT(COUNTIF('2030'!$C$2279:$Z$2279,Setup!$F$33:$F$40))))</f>
        <v/>
      </c>
      <c r="AW34" s="137">
        <f>IF($B34="","",CHOOSE(IFERROR(MATCH($C$4,Setup!$K$33:$K$36,0),1),SUMPRODUCT(COUNTIF('2027'!$C$2329:$Z$2329,Setup!$F$33:$F$40)),SUMPRODUCT(COUNTIF('2028'!$C$2329:$Z$2329,Setup!$F$33:$F$40)),SUMPRODUCT(COUNTIF('2029'!$C$2329:$Z$2329,Setup!$F$33:$F$40)),SUMPRODUCT(COUNTIF('2030'!$C$2329:$Z$2329,Setup!$F$33:$F$40))))</f>
        <v/>
      </c>
      <c r="AX34" s="137">
        <f>IF($B34="","",CHOOSE(IFERROR(MATCH($C$4,Setup!$K$33:$K$36,0),1),SUMPRODUCT(COUNTIF('2027'!$C$2379:$Z$2379,Setup!$F$33:$F$40)),SUMPRODUCT(COUNTIF('2028'!$C$2379:$Z$2379,Setup!$F$33:$F$40)),SUMPRODUCT(COUNTIF('2029'!$C$2379:$Z$2379,Setup!$F$33:$F$40)),SUMPRODUCT(COUNTIF('2030'!$C$2379:$Z$2379,Setup!$F$33:$F$40))))</f>
        <v/>
      </c>
      <c r="AY34" s="137">
        <f>IF($B34="","",CHOOSE(IFERROR(MATCH($C$4,Setup!$K$33:$K$36,0),1),SUMPRODUCT(COUNTIF('2027'!$C$2429:$Z$2429,Setup!$F$33:$F$40)),SUMPRODUCT(COUNTIF('2028'!$C$2429:$Z$2429,Setup!$F$33:$F$40)),SUMPRODUCT(COUNTIF('2029'!$C$2429:$Z$2429,Setup!$F$33:$F$40)),SUMPRODUCT(COUNTIF('2030'!$C$2429:$Z$2429,Setup!$F$33:$F$40))))</f>
        <v/>
      </c>
      <c r="AZ34" s="137">
        <f>IF($B34="","",CHOOSE(IFERROR(MATCH($C$4,Setup!$K$33:$K$36,0),1),SUMPRODUCT(COUNTIF('2027'!$C$2479:$Z$2479,Setup!$F$33:$F$40)),SUMPRODUCT(COUNTIF('2028'!$C$2479:$Z$2479,Setup!$F$33:$F$40)),SUMPRODUCT(COUNTIF('2029'!$C$2479:$Z$2479,Setup!$F$33:$F$40)),SUMPRODUCT(COUNTIF('2030'!$C$2479:$Z$2479,Setup!$F$33:$F$40))))</f>
        <v/>
      </c>
      <c r="BA34" s="137">
        <f>IF($B34="","",CHOOSE(IFERROR(MATCH($C$4,Setup!$K$33:$K$36,0),1),SUMPRODUCT(COUNTIF('2027'!$C$2529:$Z$2529,Setup!$F$33:$F$40)),SUMPRODUCT(COUNTIF('2028'!$C$2529:$Z$2529,Setup!$F$33:$F$40)),SUMPRODUCT(COUNTIF('2029'!$C$2529:$Z$2529,Setup!$F$33:$F$40)),SUMPRODUCT(COUNTIF('2030'!$C$2529:$Z$2529,Setup!$F$33:$F$40))))</f>
        <v/>
      </c>
      <c r="BB34" s="137">
        <f>IF($B34="","",CHOOSE(IFERROR(MATCH($C$4,Setup!$K$33:$K$36,0),1),SUMPRODUCT(COUNTIF('2027'!$C$2579:$Z$2579,Setup!$F$33:$F$40)),SUMPRODUCT(COUNTIF('2028'!$C$2579:$Z$2579,Setup!$F$33:$F$40)),SUMPRODUCT(COUNTIF('2029'!$C$2579:$Z$2579,Setup!$F$33:$F$40)),SUMPRODUCT(COUNTIF('2030'!$C$2579:$Z$2579,Setup!$F$33:$F$40))))</f>
        <v/>
      </c>
      <c r="BC34" s="137">
        <f>IF($B34="","",CHOOSE(IFERROR(MATCH($C$4,Setup!$K$33:$K$36,0),1),SUMPRODUCT(COUNTIF('2027'!$C$2629:$Z$2629,Setup!$F$33:$F$40)),SUMPRODUCT(COUNTIF('2028'!$C$2629:$Z$2629,Setup!$F$33:$F$40)),SUMPRODUCT(COUNTIF('2029'!$C$2629:$Z$2629,Setup!$F$33:$F$40)),SUMPRODUCT(COUNTIF('2030'!$C$2629:$Z$2629,Setup!$F$33:$F$40))))</f>
        <v/>
      </c>
      <c r="BE34" s="129">
        <f>IF($B34="","",SUM(C34:BC34))</f>
        <v/>
      </c>
      <c r="BF34" s="130">
        <f>IF($B34="","",COUNTIF(C34:BC34,"&gt;0"))</f>
        <v/>
      </c>
      <c r="BG34" s="130">
        <f>IF(OR($B34="",N(BE34)=0),"",MATCH(MAX(C34:BC34),C34:BC34,0))</f>
        <v/>
      </c>
    </row>
    <row r="35" ht="15" customHeight="1">
      <c r="B35" s="136">
        <f>IF(Setup!$B$9="","",Setup!$B$9)</f>
        <v/>
      </c>
      <c r="C35" s="137">
        <f>IF($B35="","",CHOOSE(IFERROR(MATCH($C$4,Setup!$K$33:$K$36,0),1),SUMPRODUCT(COUNTIF('2027'!$C$30:$Z$30,Setup!$F$33:$F$40)),SUMPRODUCT(COUNTIF('2028'!$C$30:$Z$30,Setup!$F$33:$F$40)),SUMPRODUCT(COUNTIF('2029'!$C$30:$Z$30,Setup!$F$33:$F$40)),SUMPRODUCT(COUNTIF('2030'!$C$30:$Z$30,Setup!$F$33:$F$40))))</f>
        <v/>
      </c>
      <c r="D35" s="137">
        <f>IF($B35="","",CHOOSE(IFERROR(MATCH($C$4,Setup!$K$33:$K$36,0),1),SUMPRODUCT(COUNTIF('2027'!$C$80:$Z$80,Setup!$F$33:$F$40)),SUMPRODUCT(COUNTIF('2028'!$C$80:$Z$80,Setup!$F$33:$F$40)),SUMPRODUCT(COUNTIF('2029'!$C$80:$Z$80,Setup!$F$33:$F$40)),SUMPRODUCT(COUNTIF('2030'!$C$80:$Z$80,Setup!$F$33:$F$40))))</f>
        <v/>
      </c>
      <c r="E35" s="137">
        <f>IF($B35="","",CHOOSE(IFERROR(MATCH($C$4,Setup!$K$33:$K$36,0),1),SUMPRODUCT(COUNTIF('2027'!$C$130:$Z$130,Setup!$F$33:$F$40)),SUMPRODUCT(COUNTIF('2028'!$C$130:$Z$130,Setup!$F$33:$F$40)),SUMPRODUCT(COUNTIF('2029'!$C$130:$Z$130,Setup!$F$33:$F$40)),SUMPRODUCT(COUNTIF('2030'!$C$130:$Z$130,Setup!$F$33:$F$40))))</f>
        <v/>
      </c>
      <c r="F35" s="137">
        <f>IF($B35="","",CHOOSE(IFERROR(MATCH($C$4,Setup!$K$33:$K$36,0),1),SUMPRODUCT(COUNTIF('2027'!$C$180:$Z$180,Setup!$F$33:$F$40)),SUMPRODUCT(COUNTIF('2028'!$C$180:$Z$180,Setup!$F$33:$F$40)),SUMPRODUCT(COUNTIF('2029'!$C$180:$Z$180,Setup!$F$33:$F$40)),SUMPRODUCT(COUNTIF('2030'!$C$180:$Z$180,Setup!$F$33:$F$40))))</f>
        <v/>
      </c>
      <c r="G35" s="137">
        <f>IF($B35="","",CHOOSE(IFERROR(MATCH($C$4,Setup!$K$33:$K$36,0),1),SUMPRODUCT(COUNTIF('2027'!$C$230:$Z$230,Setup!$F$33:$F$40)),SUMPRODUCT(COUNTIF('2028'!$C$230:$Z$230,Setup!$F$33:$F$40)),SUMPRODUCT(COUNTIF('2029'!$C$230:$Z$230,Setup!$F$33:$F$40)),SUMPRODUCT(COUNTIF('2030'!$C$230:$Z$230,Setup!$F$33:$F$40))))</f>
        <v/>
      </c>
      <c r="H35" s="137">
        <f>IF($B35="","",CHOOSE(IFERROR(MATCH($C$4,Setup!$K$33:$K$36,0),1),SUMPRODUCT(COUNTIF('2027'!$C$280:$Z$280,Setup!$F$33:$F$40)),SUMPRODUCT(COUNTIF('2028'!$C$280:$Z$280,Setup!$F$33:$F$40)),SUMPRODUCT(COUNTIF('2029'!$C$280:$Z$280,Setup!$F$33:$F$40)),SUMPRODUCT(COUNTIF('2030'!$C$280:$Z$280,Setup!$F$33:$F$40))))</f>
        <v/>
      </c>
      <c r="I35" s="137">
        <f>IF($B35="","",CHOOSE(IFERROR(MATCH($C$4,Setup!$K$33:$K$36,0),1),SUMPRODUCT(COUNTIF('2027'!$C$330:$Z$330,Setup!$F$33:$F$40)),SUMPRODUCT(COUNTIF('2028'!$C$330:$Z$330,Setup!$F$33:$F$40)),SUMPRODUCT(COUNTIF('2029'!$C$330:$Z$330,Setup!$F$33:$F$40)),SUMPRODUCT(COUNTIF('2030'!$C$330:$Z$330,Setup!$F$33:$F$40))))</f>
        <v/>
      </c>
      <c r="J35" s="137">
        <f>IF($B35="","",CHOOSE(IFERROR(MATCH($C$4,Setup!$K$33:$K$36,0),1),SUMPRODUCT(COUNTIF('2027'!$C$380:$Z$380,Setup!$F$33:$F$40)),SUMPRODUCT(COUNTIF('2028'!$C$380:$Z$380,Setup!$F$33:$F$40)),SUMPRODUCT(COUNTIF('2029'!$C$380:$Z$380,Setup!$F$33:$F$40)),SUMPRODUCT(COUNTIF('2030'!$C$380:$Z$380,Setup!$F$33:$F$40))))</f>
        <v/>
      </c>
      <c r="K35" s="137">
        <f>IF($B35="","",CHOOSE(IFERROR(MATCH($C$4,Setup!$K$33:$K$36,0),1),SUMPRODUCT(COUNTIF('2027'!$C$430:$Z$430,Setup!$F$33:$F$40)),SUMPRODUCT(COUNTIF('2028'!$C$430:$Z$430,Setup!$F$33:$F$40)),SUMPRODUCT(COUNTIF('2029'!$C$430:$Z$430,Setup!$F$33:$F$40)),SUMPRODUCT(COUNTIF('2030'!$C$430:$Z$430,Setup!$F$33:$F$40))))</f>
        <v/>
      </c>
      <c r="L35" s="137">
        <f>IF($B35="","",CHOOSE(IFERROR(MATCH($C$4,Setup!$K$33:$K$36,0),1),SUMPRODUCT(COUNTIF('2027'!$C$480:$Z$480,Setup!$F$33:$F$40)),SUMPRODUCT(COUNTIF('2028'!$C$480:$Z$480,Setup!$F$33:$F$40)),SUMPRODUCT(COUNTIF('2029'!$C$480:$Z$480,Setup!$F$33:$F$40)),SUMPRODUCT(COUNTIF('2030'!$C$480:$Z$480,Setup!$F$33:$F$40))))</f>
        <v/>
      </c>
      <c r="M35" s="137">
        <f>IF($B35="","",CHOOSE(IFERROR(MATCH($C$4,Setup!$K$33:$K$36,0),1),SUMPRODUCT(COUNTIF('2027'!$C$530:$Z$530,Setup!$F$33:$F$40)),SUMPRODUCT(COUNTIF('2028'!$C$530:$Z$530,Setup!$F$33:$F$40)),SUMPRODUCT(COUNTIF('2029'!$C$530:$Z$530,Setup!$F$33:$F$40)),SUMPRODUCT(COUNTIF('2030'!$C$530:$Z$530,Setup!$F$33:$F$40))))</f>
        <v/>
      </c>
      <c r="N35" s="137">
        <f>IF($B35="","",CHOOSE(IFERROR(MATCH($C$4,Setup!$K$33:$K$36,0),1),SUMPRODUCT(COUNTIF('2027'!$C$580:$Z$580,Setup!$F$33:$F$40)),SUMPRODUCT(COUNTIF('2028'!$C$580:$Z$580,Setup!$F$33:$F$40)),SUMPRODUCT(COUNTIF('2029'!$C$580:$Z$580,Setup!$F$33:$F$40)),SUMPRODUCT(COUNTIF('2030'!$C$580:$Z$580,Setup!$F$33:$F$40))))</f>
        <v/>
      </c>
      <c r="O35" s="137">
        <f>IF($B35="","",CHOOSE(IFERROR(MATCH($C$4,Setup!$K$33:$K$36,0),1),SUMPRODUCT(COUNTIF('2027'!$C$630:$Z$630,Setup!$F$33:$F$40)),SUMPRODUCT(COUNTIF('2028'!$C$630:$Z$630,Setup!$F$33:$F$40)),SUMPRODUCT(COUNTIF('2029'!$C$630:$Z$630,Setup!$F$33:$F$40)),SUMPRODUCT(COUNTIF('2030'!$C$630:$Z$630,Setup!$F$33:$F$40))))</f>
        <v/>
      </c>
      <c r="P35" s="137">
        <f>IF($B35="","",CHOOSE(IFERROR(MATCH($C$4,Setup!$K$33:$K$36,0),1),SUMPRODUCT(COUNTIF('2027'!$C$680:$Z$680,Setup!$F$33:$F$40)),SUMPRODUCT(COUNTIF('2028'!$C$680:$Z$680,Setup!$F$33:$F$40)),SUMPRODUCT(COUNTIF('2029'!$C$680:$Z$680,Setup!$F$33:$F$40)),SUMPRODUCT(COUNTIF('2030'!$C$680:$Z$680,Setup!$F$33:$F$40))))</f>
        <v/>
      </c>
      <c r="Q35" s="137">
        <f>IF($B35="","",CHOOSE(IFERROR(MATCH($C$4,Setup!$K$33:$K$36,0),1),SUMPRODUCT(COUNTIF('2027'!$C$730:$Z$730,Setup!$F$33:$F$40)),SUMPRODUCT(COUNTIF('2028'!$C$730:$Z$730,Setup!$F$33:$F$40)),SUMPRODUCT(COUNTIF('2029'!$C$730:$Z$730,Setup!$F$33:$F$40)),SUMPRODUCT(COUNTIF('2030'!$C$730:$Z$730,Setup!$F$33:$F$40))))</f>
        <v/>
      </c>
      <c r="R35" s="137">
        <f>IF($B35="","",CHOOSE(IFERROR(MATCH($C$4,Setup!$K$33:$K$36,0),1),SUMPRODUCT(COUNTIF('2027'!$C$780:$Z$780,Setup!$F$33:$F$40)),SUMPRODUCT(COUNTIF('2028'!$C$780:$Z$780,Setup!$F$33:$F$40)),SUMPRODUCT(COUNTIF('2029'!$C$780:$Z$780,Setup!$F$33:$F$40)),SUMPRODUCT(COUNTIF('2030'!$C$780:$Z$780,Setup!$F$33:$F$40))))</f>
        <v/>
      </c>
      <c r="S35" s="137">
        <f>IF($B35="","",CHOOSE(IFERROR(MATCH($C$4,Setup!$K$33:$K$36,0),1),SUMPRODUCT(COUNTIF('2027'!$C$830:$Z$830,Setup!$F$33:$F$40)),SUMPRODUCT(COUNTIF('2028'!$C$830:$Z$830,Setup!$F$33:$F$40)),SUMPRODUCT(COUNTIF('2029'!$C$830:$Z$830,Setup!$F$33:$F$40)),SUMPRODUCT(COUNTIF('2030'!$C$830:$Z$830,Setup!$F$33:$F$40))))</f>
        <v/>
      </c>
      <c r="T35" s="137">
        <f>IF($B35="","",CHOOSE(IFERROR(MATCH($C$4,Setup!$K$33:$K$36,0),1),SUMPRODUCT(COUNTIF('2027'!$C$880:$Z$880,Setup!$F$33:$F$40)),SUMPRODUCT(COUNTIF('2028'!$C$880:$Z$880,Setup!$F$33:$F$40)),SUMPRODUCT(COUNTIF('2029'!$C$880:$Z$880,Setup!$F$33:$F$40)),SUMPRODUCT(COUNTIF('2030'!$C$880:$Z$880,Setup!$F$33:$F$40))))</f>
        <v/>
      </c>
      <c r="U35" s="137">
        <f>IF($B35="","",CHOOSE(IFERROR(MATCH($C$4,Setup!$K$33:$K$36,0),1),SUMPRODUCT(COUNTIF('2027'!$C$930:$Z$930,Setup!$F$33:$F$40)),SUMPRODUCT(COUNTIF('2028'!$C$930:$Z$930,Setup!$F$33:$F$40)),SUMPRODUCT(COUNTIF('2029'!$C$930:$Z$930,Setup!$F$33:$F$40)),SUMPRODUCT(COUNTIF('2030'!$C$930:$Z$930,Setup!$F$33:$F$40))))</f>
        <v/>
      </c>
      <c r="V35" s="137">
        <f>IF($B35="","",CHOOSE(IFERROR(MATCH($C$4,Setup!$K$33:$K$36,0),1),SUMPRODUCT(COUNTIF('2027'!$C$980:$Z$980,Setup!$F$33:$F$40)),SUMPRODUCT(COUNTIF('2028'!$C$980:$Z$980,Setup!$F$33:$F$40)),SUMPRODUCT(COUNTIF('2029'!$C$980:$Z$980,Setup!$F$33:$F$40)),SUMPRODUCT(COUNTIF('2030'!$C$980:$Z$980,Setup!$F$33:$F$40))))</f>
        <v/>
      </c>
      <c r="W35" s="137">
        <f>IF($B35="","",CHOOSE(IFERROR(MATCH($C$4,Setup!$K$33:$K$36,0),1),SUMPRODUCT(COUNTIF('2027'!$C$1030:$Z$1030,Setup!$F$33:$F$40)),SUMPRODUCT(COUNTIF('2028'!$C$1030:$Z$1030,Setup!$F$33:$F$40)),SUMPRODUCT(COUNTIF('2029'!$C$1030:$Z$1030,Setup!$F$33:$F$40)),SUMPRODUCT(COUNTIF('2030'!$C$1030:$Z$1030,Setup!$F$33:$F$40))))</f>
        <v/>
      </c>
      <c r="X35" s="137">
        <f>IF($B35="","",CHOOSE(IFERROR(MATCH($C$4,Setup!$K$33:$K$36,0),1),SUMPRODUCT(COUNTIF('2027'!$C$1080:$Z$1080,Setup!$F$33:$F$40)),SUMPRODUCT(COUNTIF('2028'!$C$1080:$Z$1080,Setup!$F$33:$F$40)),SUMPRODUCT(COUNTIF('2029'!$C$1080:$Z$1080,Setup!$F$33:$F$40)),SUMPRODUCT(COUNTIF('2030'!$C$1080:$Z$1080,Setup!$F$33:$F$40))))</f>
        <v/>
      </c>
      <c r="Y35" s="137">
        <f>IF($B35="","",CHOOSE(IFERROR(MATCH($C$4,Setup!$K$33:$K$36,0),1),SUMPRODUCT(COUNTIF('2027'!$C$1130:$Z$1130,Setup!$F$33:$F$40)),SUMPRODUCT(COUNTIF('2028'!$C$1130:$Z$1130,Setup!$F$33:$F$40)),SUMPRODUCT(COUNTIF('2029'!$C$1130:$Z$1130,Setup!$F$33:$F$40)),SUMPRODUCT(COUNTIF('2030'!$C$1130:$Z$1130,Setup!$F$33:$F$40))))</f>
        <v/>
      </c>
      <c r="Z35" s="137">
        <f>IF($B35="","",CHOOSE(IFERROR(MATCH($C$4,Setup!$K$33:$K$36,0),1),SUMPRODUCT(COUNTIF('2027'!$C$1180:$Z$1180,Setup!$F$33:$F$40)),SUMPRODUCT(COUNTIF('2028'!$C$1180:$Z$1180,Setup!$F$33:$F$40)),SUMPRODUCT(COUNTIF('2029'!$C$1180:$Z$1180,Setup!$F$33:$F$40)),SUMPRODUCT(COUNTIF('2030'!$C$1180:$Z$1180,Setup!$F$33:$F$40))))</f>
        <v/>
      </c>
      <c r="AA35" s="137">
        <f>IF($B35="","",CHOOSE(IFERROR(MATCH($C$4,Setup!$K$33:$K$36,0),1),SUMPRODUCT(COUNTIF('2027'!$C$1230:$Z$1230,Setup!$F$33:$F$40)),SUMPRODUCT(COUNTIF('2028'!$C$1230:$Z$1230,Setup!$F$33:$F$40)),SUMPRODUCT(COUNTIF('2029'!$C$1230:$Z$1230,Setup!$F$33:$F$40)),SUMPRODUCT(COUNTIF('2030'!$C$1230:$Z$1230,Setup!$F$33:$F$40))))</f>
        <v/>
      </c>
      <c r="AB35" s="137">
        <f>IF($B35="","",CHOOSE(IFERROR(MATCH($C$4,Setup!$K$33:$K$36,0),1),SUMPRODUCT(COUNTIF('2027'!$C$1280:$Z$1280,Setup!$F$33:$F$40)),SUMPRODUCT(COUNTIF('2028'!$C$1280:$Z$1280,Setup!$F$33:$F$40)),SUMPRODUCT(COUNTIF('2029'!$C$1280:$Z$1280,Setup!$F$33:$F$40)),SUMPRODUCT(COUNTIF('2030'!$C$1280:$Z$1280,Setup!$F$33:$F$40))))</f>
        <v/>
      </c>
      <c r="AC35" s="137">
        <f>IF($B35="","",CHOOSE(IFERROR(MATCH($C$4,Setup!$K$33:$K$36,0),1),SUMPRODUCT(COUNTIF('2027'!$C$1330:$Z$1330,Setup!$F$33:$F$40)),SUMPRODUCT(COUNTIF('2028'!$C$1330:$Z$1330,Setup!$F$33:$F$40)),SUMPRODUCT(COUNTIF('2029'!$C$1330:$Z$1330,Setup!$F$33:$F$40)),SUMPRODUCT(COUNTIF('2030'!$C$1330:$Z$1330,Setup!$F$33:$F$40))))</f>
        <v/>
      </c>
      <c r="AD35" s="137">
        <f>IF($B35="","",CHOOSE(IFERROR(MATCH($C$4,Setup!$K$33:$K$36,0),1),SUMPRODUCT(COUNTIF('2027'!$C$1380:$Z$1380,Setup!$F$33:$F$40)),SUMPRODUCT(COUNTIF('2028'!$C$1380:$Z$1380,Setup!$F$33:$F$40)),SUMPRODUCT(COUNTIF('2029'!$C$1380:$Z$1380,Setup!$F$33:$F$40)),SUMPRODUCT(COUNTIF('2030'!$C$1380:$Z$1380,Setup!$F$33:$F$40))))</f>
        <v/>
      </c>
      <c r="AE35" s="137">
        <f>IF($B35="","",CHOOSE(IFERROR(MATCH($C$4,Setup!$K$33:$K$36,0),1),SUMPRODUCT(COUNTIF('2027'!$C$1430:$Z$1430,Setup!$F$33:$F$40)),SUMPRODUCT(COUNTIF('2028'!$C$1430:$Z$1430,Setup!$F$33:$F$40)),SUMPRODUCT(COUNTIF('2029'!$C$1430:$Z$1430,Setup!$F$33:$F$40)),SUMPRODUCT(COUNTIF('2030'!$C$1430:$Z$1430,Setup!$F$33:$F$40))))</f>
        <v/>
      </c>
      <c r="AF35" s="137">
        <f>IF($B35="","",CHOOSE(IFERROR(MATCH($C$4,Setup!$K$33:$K$36,0),1),SUMPRODUCT(COUNTIF('2027'!$C$1480:$Z$1480,Setup!$F$33:$F$40)),SUMPRODUCT(COUNTIF('2028'!$C$1480:$Z$1480,Setup!$F$33:$F$40)),SUMPRODUCT(COUNTIF('2029'!$C$1480:$Z$1480,Setup!$F$33:$F$40)),SUMPRODUCT(COUNTIF('2030'!$C$1480:$Z$1480,Setup!$F$33:$F$40))))</f>
        <v/>
      </c>
      <c r="AG35" s="137">
        <f>IF($B35="","",CHOOSE(IFERROR(MATCH($C$4,Setup!$K$33:$K$36,0),1),SUMPRODUCT(COUNTIF('2027'!$C$1530:$Z$1530,Setup!$F$33:$F$40)),SUMPRODUCT(COUNTIF('2028'!$C$1530:$Z$1530,Setup!$F$33:$F$40)),SUMPRODUCT(COUNTIF('2029'!$C$1530:$Z$1530,Setup!$F$33:$F$40)),SUMPRODUCT(COUNTIF('2030'!$C$1530:$Z$1530,Setup!$F$33:$F$40))))</f>
        <v/>
      </c>
      <c r="AH35" s="137">
        <f>IF($B35="","",CHOOSE(IFERROR(MATCH($C$4,Setup!$K$33:$K$36,0),1),SUMPRODUCT(COUNTIF('2027'!$C$1580:$Z$1580,Setup!$F$33:$F$40)),SUMPRODUCT(COUNTIF('2028'!$C$1580:$Z$1580,Setup!$F$33:$F$40)),SUMPRODUCT(COUNTIF('2029'!$C$1580:$Z$1580,Setup!$F$33:$F$40)),SUMPRODUCT(COUNTIF('2030'!$C$1580:$Z$1580,Setup!$F$33:$F$40))))</f>
        <v/>
      </c>
      <c r="AI35" s="137">
        <f>IF($B35="","",CHOOSE(IFERROR(MATCH($C$4,Setup!$K$33:$K$36,0),1),SUMPRODUCT(COUNTIF('2027'!$C$1630:$Z$1630,Setup!$F$33:$F$40)),SUMPRODUCT(COUNTIF('2028'!$C$1630:$Z$1630,Setup!$F$33:$F$40)),SUMPRODUCT(COUNTIF('2029'!$C$1630:$Z$1630,Setup!$F$33:$F$40)),SUMPRODUCT(COUNTIF('2030'!$C$1630:$Z$1630,Setup!$F$33:$F$40))))</f>
        <v/>
      </c>
      <c r="AJ35" s="137">
        <f>IF($B35="","",CHOOSE(IFERROR(MATCH($C$4,Setup!$K$33:$K$36,0),1),SUMPRODUCT(COUNTIF('2027'!$C$1680:$Z$1680,Setup!$F$33:$F$40)),SUMPRODUCT(COUNTIF('2028'!$C$1680:$Z$1680,Setup!$F$33:$F$40)),SUMPRODUCT(COUNTIF('2029'!$C$1680:$Z$1680,Setup!$F$33:$F$40)),SUMPRODUCT(COUNTIF('2030'!$C$1680:$Z$1680,Setup!$F$33:$F$40))))</f>
        <v/>
      </c>
      <c r="AK35" s="137">
        <f>IF($B35="","",CHOOSE(IFERROR(MATCH($C$4,Setup!$K$33:$K$36,0),1),SUMPRODUCT(COUNTIF('2027'!$C$1730:$Z$1730,Setup!$F$33:$F$40)),SUMPRODUCT(COUNTIF('2028'!$C$1730:$Z$1730,Setup!$F$33:$F$40)),SUMPRODUCT(COUNTIF('2029'!$C$1730:$Z$1730,Setup!$F$33:$F$40)),SUMPRODUCT(COUNTIF('2030'!$C$1730:$Z$1730,Setup!$F$33:$F$40))))</f>
        <v/>
      </c>
      <c r="AL35" s="137">
        <f>IF($B35="","",CHOOSE(IFERROR(MATCH($C$4,Setup!$K$33:$K$36,0),1),SUMPRODUCT(COUNTIF('2027'!$C$1780:$Z$1780,Setup!$F$33:$F$40)),SUMPRODUCT(COUNTIF('2028'!$C$1780:$Z$1780,Setup!$F$33:$F$40)),SUMPRODUCT(COUNTIF('2029'!$C$1780:$Z$1780,Setup!$F$33:$F$40)),SUMPRODUCT(COUNTIF('2030'!$C$1780:$Z$1780,Setup!$F$33:$F$40))))</f>
        <v/>
      </c>
      <c r="AM35" s="137">
        <f>IF($B35="","",CHOOSE(IFERROR(MATCH($C$4,Setup!$K$33:$K$36,0),1),SUMPRODUCT(COUNTIF('2027'!$C$1830:$Z$1830,Setup!$F$33:$F$40)),SUMPRODUCT(COUNTIF('2028'!$C$1830:$Z$1830,Setup!$F$33:$F$40)),SUMPRODUCT(COUNTIF('2029'!$C$1830:$Z$1830,Setup!$F$33:$F$40)),SUMPRODUCT(COUNTIF('2030'!$C$1830:$Z$1830,Setup!$F$33:$F$40))))</f>
        <v/>
      </c>
      <c r="AN35" s="137">
        <f>IF($B35="","",CHOOSE(IFERROR(MATCH($C$4,Setup!$K$33:$K$36,0),1),SUMPRODUCT(COUNTIF('2027'!$C$1880:$Z$1880,Setup!$F$33:$F$40)),SUMPRODUCT(COUNTIF('2028'!$C$1880:$Z$1880,Setup!$F$33:$F$40)),SUMPRODUCT(COUNTIF('2029'!$C$1880:$Z$1880,Setup!$F$33:$F$40)),SUMPRODUCT(COUNTIF('2030'!$C$1880:$Z$1880,Setup!$F$33:$F$40))))</f>
        <v/>
      </c>
      <c r="AO35" s="137">
        <f>IF($B35="","",CHOOSE(IFERROR(MATCH($C$4,Setup!$K$33:$K$36,0),1),SUMPRODUCT(COUNTIF('2027'!$C$1930:$Z$1930,Setup!$F$33:$F$40)),SUMPRODUCT(COUNTIF('2028'!$C$1930:$Z$1930,Setup!$F$33:$F$40)),SUMPRODUCT(COUNTIF('2029'!$C$1930:$Z$1930,Setup!$F$33:$F$40)),SUMPRODUCT(COUNTIF('2030'!$C$1930:$Z$1930,Setup!$F$33:$F$40))))</f>
        <v/>
      </c>
      <c r="AP35" s="137">
        <f>IF($B35="","",CHOOSE(IFERROR(MATCH($C$4,Setup!$K$33:$K$36,0),1),SUMPRODUCT(COUNTIF('2027'!$C$1980:$Z$1980,Setup!$F$33:$F$40)),SUMPRODUCT(COUNTIF('2028'!$C$1980:$Z$1980,Setup!$F$33:$F$40)),SUMPRODUCT(COUNTIF('2029'!$C$1980:$Z$1980,Setup!$F$33:$F$40)),SUMPRODUCT(COUNTIF('2030'!$C$1980:$Z$1980,Setup!$F$33:$F$40))))</f>
        <v/>
      </c>
      <c r="AQ35" s="137">
        <f>IF($B35="","",CHOOSE(IFERROR(MATCH($C$4,Setup!$K$33:$K$36,0),1),SUMPRODUCT(COUNTIF('2027'!$C$2030:$Z$2030,Setup!$F$33:$F$40)),SUMPRODUCT(COUNTIF('2028'!$C$2030:$Z$2030,Setup!$F$33:$F$40)),SUMPRODUCT(COUNTIF('2029'!$C$2030:$Z$2030,Setup!$F$33:$F$40)),SUMPRODUCT(COUNTIF('2030'!$C$2030:$Z$2030,Setup!$F$33:$F$40))))</f>
        <v/>
      </c>
      <c r="AR35" s="137">
        <f>IF($B35="","",CHOOSE(IFERROR(MATCH($C$4,Setup!$K$33:$K$36,0),1),SUMPRODUCT(COUNTIF('2027'!$C$2080:$Z$2080,Setup!$F$33:$F$40)),SUMPRODUCT(COUNTIF('2028'!$C$2080:$Z$2080,Setup!$F$33:$F$40)),SUMPRODUCT(COUNTIF('2029'!$C$2080:$Z$2080,Setup!$F$33:$F$40)),SUMPRODUCT(COUNTIF('2030'!$C$2080:$Z$2080,Setup!$F$33:$F$40))))</f>
        <v/>
      </c>
      <c r="AS35" s="137">
        <f>IF($B35="","",CHOOSE(IFERROR(MATCH($C$4,Setup!$K$33:$K$36,0),1),SUMPRODUCT(COUNTIF('2027'!$C$2130:$Z$2130,Setup!$F$33:$F$40)),SUMPRODUCT(COUNTIF('2028'!$C$2130:$Z$2130,Setup!$F$33:$F$40)),SUMPRODUCT(COUNTIF('2029'!$C$2130:$Z$2130,Setup!$F$33:$F$40)),SUMPRODUCT(COUNTIF('2030'!$C$2130:$Z$2130,Setup!$F$33:$F$40))))</f>
        <v/>
      </c>
      <c r="AT35" s="137">
        <f>IF($B35="","",CHOOSE(IFERROR(MATCH($C$4,Setup!$K$33:$K$36,0),1),SUMPRODUCT(COUNTIF('2027'!$C$2180:$Z$2180,Setup!$F$33:$F$40)),SUMPRODUCT(COUNTIF('2028'!$C$2180:$Z$2180,Setup!$F$33:$F$40)),SUMPRODUCT(COUNTIF('2029'!$C$2180:$Z$2180,Setup!$F$33:$F$40)),SUMPRODUCT(COUNTIF('2030'!$C$2180:$Z$2180,Setup!$F$33:$F$40))))</f>
        <v/>
      </c>
      <c r="AU35" s="137">
        <f>IF($B35="","",CHOOSE(IFERROR(MATCH($C$4,Setup!$K$33:$K$36,0),1),SUMPRODUCT(COUNTIF('2027'!$C$2230:$Z$2230,Setup!$F$33:$F$40)),SUMPRODUCT(COUNTIF('2028'!$C$2230:$Z$2230,Setup!$F$33:$F$40)),SUMPRODUCT(COUNTIF('2029'!$C$2230:$Z$2230,Setup!$F$33:$F$40)),SUMPRODUCT(COUNTIF('2030'!$C$2230:$Z$2230,Setup!$F$33:$F$40))))</f>
        <v/>
      </c>
      <c r="AV35" s="137">
        <f>IF($B35="","",CHOOSE(IFERROR(MATCH($C$4,Setup!$K$33:$K$36,0),1),SUMPRODUCT(COUNTIF('2027'!$C$2280:$Z$2280,Setup!$F$33:$F$40)),SUMPRODUCT(COUNTIF('2028'!$C$2280:$Z$2280,Setup!$F$33:$F$40)),SUMPRODUCT(COUNTIF('2029'!$C$2280:$Z$2280,Setup!$F$33:$F$40)),SUMPRODUCT(COUNTIF('2030'!$C$2280:$Z$2280,Setup!$F$33:$F$40))))</f>
        <v/>
      </c>
      <c r="AW35" s="137">
        <f>IF($B35="","",CHOOSE(IFERROR(MATCH($C$4,Setup!$K$33:$K$36,0),1),SUMPRODUCT(COUNTIF('2027'!$C$2330:$Z$2330,Setup!$F$33:$F$40)),SUMPRODUCT(COUNTIF('2028'!$C$2330:$Z$2330,Setup!$F$33:$F$40)),SUMPRODUCT(COUNTIF('2029'!$C$2330:$Z$2330,Setup!$F$33:$F$40)),SUMPRODUCT(COUNTIF('2030'!$C$2330:$Z$2330,Setup!$F$33:$F$40))))</f>
        <v/>
      </c>
      <c r="AX35" s="137">
        <f>IF($B35="","",CHOOSE(IFERROR(MATCH($C$4,Setup!$K$33:$K$36,0),1),SUMPRODUCT(COUNTIF('2027'!$C$2380:$Z$2380,Setup!$F$33:$F$40)),SUMPRODUCT(COUNTIF('2028'!$C$2380:$Z$2380,Setup!$F$33:$F$40)),SUMPRODUCT(COUNTIF('2029'!$C$2380:$Z$2380,Setup!$F$33:$F$40)),SUMPRODUCT(COUNTIF('2030'!$C$2380:$Z$2380,Setup!$F$33:$F$40))))</f>
        <v/>
      </c>
      <c r="AY35" s="137">
        <f>IF($B35="","",CHOOSE(IFERROR(MATCH($C$4,Setup!$K$33:$K$36,0),1),SUMPRODUCT(COUNTIF('2027'!$C$2430:$Z$2430,Setup!$F$33:$F$40)),SUMPRODUCT(COUNTIF('2028'!$C$2430:$Z$2430,Setup!$F$33:$F$40)),SUMPRODUCT(COUNTIF('2029'!$C$2430:$Z$2430,Setup!$F$33:$F$40)),SUMPRODUCT(COUNTIF('2030'!$C$2430:$Z$2430,Setup!$F$33:$F$40))))</f>
        <v/>
      </c>
      <c r="AZ35" s="137">
        <f>IF($B35="","",CHOOSE(IFERROR(MATCH($C$4,Setup!$K$33:$K$36,0),1),SUMPRODUCT(COUNTIF('2027'!$C$2480:$Z$2480,Setup!$F$33:$F$40)),SUMPRODUCT(COUNTIF('2028'!$C$2480:$Z$2480,Setup!$F$33:$F$40)),SUMPRODUCT(COUNTIF('2029'!$C$2480:$Z$2480,Setup!$F$33:$F$40)),SUMPRODUCT(COUNTIF('2030'!$C$2480:$Z$2480,Setup!$F$33:$F$40))))</f>
        <v/>
      </c>
      <c r="BA35" s="137">
        <f>IF($B35="","",CHOOSE(IFERROR(MATCH($C$4,Setup!$K$33:$K$36,0),1),SUMPRODUCT(COUNTIF('2027'!$C$2530:$Z$2530,Setup!$F$33:$F$40)),SUMPRODUCT(COUNTIF('2028'!$C$2530:$Z$2530,Setup!$F$33:$F$40)),SUMPRODUCT(COUNTIF('2029'!$C$2530:$Z$2530,Setup!$F$33:$F$40)),SUMPRODUCT(COUNTIF('2030'!$C$2530:$Z$2530,Setup!$F$33:$F$40))))</f>
        <v/>
      </c>
      <c r="BB35" s="137">
        <f>IF($B35="","",CHOOSE(IFERROR(MATCH($C$4,Setup!$K$33:$K$36,0),1),SUMPRODUCT(COUNTIF('2027'!$C$2580:$Z$2580,Setup!$F$33:$F$40)),SUMPRODUCT(COUNTIF('2028'!$C$2580:$Z$2580,Setup!$F$33:$F$40)),SUMPRODUCT(COUNTIF('2029'!$C$2580:$Z$2580,Setup!$F$33:$F$40)),SUMPRODUCT(COUNTIF('2030'!$C$2580:$Z$2580,Setup!$F$33:$F$40))))</f>
        <v/>
      </c>
      <c r="BC35" s="137">
        <f>IF($B35="","",CHOOSE(IFERROR(MATCH($C$4,Setup!$K$33:$K$36,0),1),SUMPRODUCT(COUNTIF('2027'!$C$2630:$Z$2630,Setup!$F$33:$F$40)),SUMPRODUCT(COUNTIF('2028'!$C$2630:$Z$2630,Setup!$F$33:$F$40)),SUMPRODUCT(COUNTIF('2029'!$C$2630:$Z$2630,Setup!$F$33:$F$40)),SUMPRODUCT(COUNTIF('2030'!$C$2630:$Z$2630,Setup!$F$33:$F$40))))</f>
        <v/>
      </c>
      <c r="BE35" s="129">
        <f>IF($B35="","",SUM(C35:BC35))</f>
        <v/>
      </c>
      <c r="BF35" s="130">
        <f>IF($B35="","",COUNTIF(C35:BC35,"&gt;0"))</f>
        <v/>
      </c>
      <c r="BG35" s="130">
        <f>IF(OR($B35="",N(BE35)=0),"",MATCH(MAX(C35:BC35),C35:BC35,0))</f>
        <v/>
      </c>
    </row>
    <row r="36" ht="15" customHeight="1">
      <c r="B36" s="136">
        <f>IF(Setup!$B$10="","",Setup!$B$10)</f>
        <v/>
      </c>
      <c r="C36" s="137">
        <f>IF($B36="","",CHOOSE(IFERROR(MATCH($C$4,Setup!$K$33:$K$36,0),1),SUMPRODUCT(COUNTIF('2027'!$C$31:$Z$31,Setup!$F$33:$F$40)),SUMPRODUCT(COUNTIF('2028'!$C$31:$Z$31,Setup!$F$33:$F$40)),SUMPRODUCT(COUNTIF('2029'!$C$31:$Z$31,Setup!$F$33:$F$40)),SUMPRODUCT(COUNTIF('2030'!$C$31:$Z$31,Setup!$F$33:$F$40))))</f>
        <v/>
      </c>
      <c r="D36" s="137">
        <f>IF($B36="","",CHOOSE(IFERROR(MATCH($C$4,Setup!$K$33:$K$36,0),1),SUMPRODUCT(COUNTIF('2027'!$C$81:$Z$81,Setup!$F$33:$F$40)),SUMPRODUCT(COUNTIF('2028'!$C$81:$Z$81,Setup!$F$33:$F$40)),SUMPRODUCT(COUNTIF('2029'!$C$81:$Z$81,Setup!$F$33:$F$40)),SUMPRODUCT(COUNTIF('2030'!$C$81:$Z$81,Setup!$F$33:$F$40))))</f>
        <v/>
      </c>
      <c r="E36" s="137">
        <f>IF($B36="","",CHOOSE(IFERROR(MATCH($C$4,Setup!$K$33:$K$36,0),1),SUMPRODUCT(COUNTIF('2027'!$C$131:$Z$131,Setup!$F$33:$F$40)),SUMPRODUCT(COUNTIF('2028'!$C$131:$Z$131,Setup!$F$33:$F$40)),SUMPRODUCT(COUNTIF('2029'!$C$131:$Z$131,Setup!$F$33:$F$40)),SUMPRODUCT(COUNTIF('2030'!$C$131:$Z$131,Setup!$F$33:$F$40))))</f>
        <v/>
      </c>
      <c r="F36" s="137">
        <f>IF($B36="","",CHOOSE(IFERROR(MATCH($C$4,Setup!$K$33:$K$36,0),1),SUMPRODUCT(COUNTIF('2027'!$C$181:$Z$181,Setup!$F$33:$F$40)),SUMPRODUCT(COUNTIF('2028'!$C$181:$Z$181,Setup!$F$33:$F$40)),SUMPRODUCT(COUNTIF('2029'!$C$181:$Z$181,Setup!$F$33:$F$40)),SUMPRODUCT(COUNTIF('2030'!$C$181:$Z$181,Setup!$F$33:$F$40))))</f>
        <v/>
      </c>
      <c r="G36" s="137">
        <f>IF($B36="","",CHOOSE(IFERROR(MATCH($C$4,Setup!$K$33:$K$36,0),1),SUMPRODUCT(COUNTIF('2027'!$C$231:$Z$231,Setup!$F$33:$F$40)),SUMPRODUCT(COUNTIF('2028'!$C$231:$Z$231,Setup!$F$33:$F$40)),SUMPRODUCT(COUNTIF('2029'!$C$231:$Z$231,Setup!$F$33:$F$40)),SUMPRODUCT(COUNTIF('2030'!$C$231:$Z$231,Setup!$F$33:$F$40))))</f>
        <v/>
      </c>
      <c r="H36" s="137">
        <f>IF($B36="","",CHOOSE(IFERROR(MATCH($C$4,Setup!$K$33:$K$36,0),1),SUMPRODUCT(COUNTIF('2027'!$C$281:$Z$281,Setup!$F$33:$F$40)),SUMPRODUCT(COUNTIF('2028'!$C$281:$Z$281,Setup!$F$33:$F$40)),SUMPRODUCT(COUNTIF('2029'!$C$281:$Z$281,Setup!$F$33:$F$40)),SUMPRODUCT(COUNTIF('2030'!$C$281:$Z$281,Setup!$F$33:$F$40))))</f>
        <v/>
      </c>
      <c r="I36" s="137">
        <f>IF($B36="","",CHOOSE(IFERROR(MATCH($C$4,Setup!$K$33:$K$36,0),1),SUMPRODUCT(COUNTIF('2027'!$C$331:$Z$331,Setup!$F$33:$F$40)),SUMPRODUCT(COUNTIF('2028'!$C$331:$Z$331,Setup!$F$33:$F$40)),SUMPRODUCT(COUNTIF('2029'!$C$331:$Z$331,Setup!$F$33:$F$40)),SUMPRODUCT(COUNTIF('2030'!$C$331:$Z$331,Setup!$F$33:$F$40))))</f>
        <v/>
      </c>
      <c r="J36" s="137">
        <f>IF($B36="","",CHOOSE(IFERROR(MATCH($C$4,Setup!$K$33:$K$36,0),1),SUMPRODUCT(COUNTIF('2027'!$C$381:$Z$381,Setup!$F$33:$F$40)),SUMPRODUCT(COUNTIF('2028'!$C$381:$Z$381,Setup!$F$33:$F$40)),SUMPRODUCT(COUNTIF('2029'!$C$381:$Z$381,Setup!$F$33:$F$40)),SUMPRODUCT(COUNTIF('2030'!$C$381:$Z$381,Setup!$F$33:$F$40))))</f>
        <v/>
      </c>
      <c r="K36" s="137">
        <f>IF($B36="","",CHOOSE(IFERROR(MATCH($C$4,Setup!$K$33:$K$36,0),1),SUMPRODUCT(COUNTIF('2027'!$C$431:$Z$431,Setup!$F$33:$F$40)),SUMPRODUCT(COUNTIF('2028'!$C$431:$Z$431,Setup!$F$33:$F$40)),SUMPRODUCT(COUNTIF('2029'!$C$431:$Z$431,Setup!$F$33:$F$40)),SUMPRODUCT(COUNTIF('2030'!$C$431:$Z$431,Setup!$F$33:$F$40))))</f>
        <v/>
      </c>
      <c r="L36" s="137">
        <f>IF($B36="","",CHOOSE(IFERROR(MATCH($C$4,Setup!$K$33:$K$36,0),1),SUMPRODUCT(COUNTIF('2027'!$C$481:$Z$481,Setup!$F$33:$F$40)),SUMPRODUCT(COUNTIF('2028'!$C$481:$Z$481,Setup!$F$33:$F$40)),SUMPRODUCT(COUNTIF('2029'!$C$481:$Z$481,Setup!$F$33:$F$40)),SUMPRODUCT(COUNTIF('2030'!$C$481:$Z$481,Setup!$F$33:$F$40))))</f>
        <v/>
      </c>
      <c r="M36" s="137">
        <f>IF($B36="","",CHOOSE(IFERROR(MATCH($C$4,Setup!$K$33:$K$36,0),1),SUMPRODUCT(COUNTIF('2027'!$C$531:$Z$531,Setup!$F$33:$F$40)),SUMPRODUCT(COUNTIF('2028'!$C$531:$Z$531,Setup!$F$33:$F$40)),SUMPRODUCT(COUNTIF('2029'!$C$531:$Z$531,Setup!$F$33:$F$40)),SUMPRODUCT(COUNTIF('2030'!$C$531:$Z$531,Setup!$F$33:$F$40))))</f>
        <v/>
      </c>
      <c r="N36" s="137">
        <f>IF($B36="","",CHOOSE(IFERROR(MATCH($C$4,Setup!$K$33:$K$36,0),1),SUMPRODUCT(COUNTIF('2027'!$C$581:$Z$581,Setup!$F$33:$F$40)),SUMPRODUCT(COUNTIF('2028'!$C$581:$Z$581,Setup!$F$33:$F$40)),SUMPRODUCT(COUNTIF('2029'!$C$581:$Z$581,Setup!$F$33:$F$40)),SUMPRODUCT(COUNTIF('2030'!$C$581:$Z$581,Setup!$F$33:$F$40))))</f>
        <v/>
      </c>
      <c r="O36" s="137">
        <f>IF($B36="","",CHOOSE(IFERROR(MATCH($C$4,Setup!$K$33:$K$36,0),1),SUMPRODUCT(COUNTIF('2027'!$C$631:$Z$631,Setup!$F$33:$F$40)),SUMPRODUCT(COUNTIF('2028'!$C$631:$Z$631,Setup!$F$33:$F$40)),SUMPRODUCT(COUNTIF('2029'!$C$631:$Z$631,Setup!$F$33:$F$40)),SUMPRODUCT(COUNTIF('2030'!$C$631:$Z$631,Setup!$F$33:$F$40))))</f>
        <v/>
      </c>
      <c r="P36" s="137">
        <f>IF($B36="","",CHOOSE(IFERROR(MATCH($C$4,Setup!$K$33:$K$36,0),1),SUMPRODUCT(COUNTIF('2027'!$C$681:$Z$681,Setup!$F$33:$F$40)),SUMPRODUCT(COUNTIF('2028'!$C$681:$Z$681,Setup!$F$33:$F$40)),SUMPRODUCT(COUNTIF('2029'!$C$681:$Z$681,Setup!$F$33:$F$40)),SUMPRODUCT(COUNTIF('2030'!$C$681:$Z$681,Setup!$F$33:$F$40))))</f>
        <v/>
      </c>
      <c r="Q36" s="137">
        <f>IF($B36="","",CHOOSE(IFERROR(MATCH($C$4,Setup!$K$33:$K$36,0),1),SUMPRODUCT(COUNTIF('2027'!$C$731:$Z$731,Setup!$F$33:$F$40)),SUMPRODUCT(COUNTIF('2028'!$C$731:$Z$731,Setup!$F$33:$F$40)),SUMPRODUCT(COUNTIF('2029'!$C$731:$Z$731,Setup!$F$33:$F$40)),SUMPRODUCT(COUNTIF('2030'!$C$731:$Z$731,Setup!$F$33:$F$40))))</f>
        <v/>
      </c>
      <c r="R36" s="137">
        <f>IF($B36="","",CHOOSE(IFERROR(MATCH($C$4,Setup!$K$33:$K$36,0),1),SUMPRODUCT(COUNTIF('2027'!$C$781:$Z$781,Setup!$F$33:$F$40)),SUMPRODUCT(COUNTIF('2028'!$C$781:$Z$781,Setup!$F$33:$F$40)),SUMPRODUCT(COUNTIF('2029'!$C$781:$Z$781,Setup!$F$33:$F$40)),SUMPRODUCT(COUNTIF('2030'!$C$781:$Z$781,Setup!$F$33:$F$40))))</f>
        <v/>
      </c>
      <c r="S36" s="137">
        <f>IF($B36="","",CHOOSE(IFERROR(MATCH($C$4,Setup!$K$33:$K$36,0),1),SUMPRODUCT(COUNTIF('2027'!$C$831:$Z$831,Setup!$F$33:$F$40)),SUMPRODUCT(COUNTIF('2028'!$C$831:$Z$831,Setup!$F$33:$F$40)),SUMPRODUCT(COUNTIF('2029'!$C$831:$Z$831,Setup!$F$33:$F$40)),SUMPRODUCT(COUNTIF('2030'!$C$831:$Z$831,Setup!$F$33:$F$40))))</f>
        <v/>
      </c>
      <c r="T36" s="137">
        <f>IF($B36="","",CHOOSE(IFERROR(MATCH($C$4,Setup!$K$33:$K$36,0),1),SUMPRODUCT(COUNTIF('2027'!$C$881:$Z$881,Setup!$F$33:$F$40)),SUMPRODUCT(COUNTIF('2028'!$C$881:$Z$881,Setup!$F$33:$F$40)),SUMPRODUCT(COUNTIF('2029'!$C$881:$Z$881,Setup!$F$33:$F$40)),SUMPRODUCT(COUNTIF('2030'!$C$881:$Z$881,Setup!$F$33:$F$40))))</f>
        <v/>
      </c>
      <c r="U36" s="137">
        <f>IF($B36="","",CHOOSE(IFERROR(MATCH($C$4,Setup!$K$33:$K$36,0),1),SUMPRODUCT(COUNTIF('2027'!$C$931:$Z$931,Setup!$F$33:$F$40)),SUMPRODUCT(COUNTIF('2028'!$C$931:$Z$931,Setup!$F$33:$F$40)),SUMPRODUCT(COUNTIF('2029'!$C$931:$Z$931,Setup!$F$33:$F$40)),SUMPRODUCT(COUNTIF('2030'!$C$931:$Z$931,Setup!$F$33:$F$40))))</f>
        <v/>
      </c>
      <c r="V36" s="137">
        <f>IF($B36="","",CHOOSE(IFERROR(MATCH($C$4,Setup!$K$33:$K$36,0),1),SUMPRODUCT(COUNTIF('2027'!$C$981:$Z$981,Setup!$F$33:$F$40)),SUMPRODUCT(COUNTIF('2028'!$C$981:$Z$981,Setup!$F$33:$F$40)),SUMPRODUCT(COUNTIF('2029'!$C$981:$Z$981,Setup!$F$33:$F$40)),SUMPRODUCT(COUNTIF('2030'!$C$981:$Z$981,Setup!$F$33:$F$40))))</f>
        <v/>
      </c>
      <c r="W36" s="137">
        <f>IF($B36="","",CHOOSE(IFERROR(MATCH($C$4,Setup!$K$33:$K$36,0),1),SUMPRODUCT(COUNTIF('2027'!$C$1031:$Z$1031,Setup!$F$33:$F$40)),SUMPRODUCT(COUNTIF('2028'!$C$1031:$Z$1031,Setup!$F$33:$F$40)),SUMPRODUCT(COUNTIF('2029'!$C$1031:$Z$1031,Setup!$F$33:$F$40)),SUMPRODUCT(COUNTIF('2030'!$C$1031:$Z$1031,Setup!$F$33:$F$40))))</f>
        <v/>
      </c>
      <c r="X36" s="137">
        <f>IF($B36="","",CHOOSE(IFERROR(MATCH($C$4,Setup!$K$33:$K$36,0),1),SUMPRODUCT(COUNTIF('2027'!$C$1081:$Z$1081,Setup!$F$33:$F$40)),SUMPRODUCT(COUNTIF('2028'!$C$1081:$Z$1081,Setup!$F$33:$F$40)),SUMPRODUCT(COUNTIF('2029'!$C$1081:$Z$1081,Setup!$F$33:$F$40)),SUMPRODUCT(COUNTIF('2030'!$C$1081:$Z$1081,Setup!$F$33:$F$40))))</f>
        <v/>
      </c>
      <c r="Y36" s="137">
        <f>IF($B36="","",CHOOSE(IFERROR(MATCH($C$4,Setup!$K$33:$K$36,0),1),SUMPRODUCT(COUNTIF('2027'!$C$1131:$Z$1131,Setup!$F$33:$F$40)),SUMPRODUCT(COUNTIF('2028'!$C$1131:$Z$1131,Setup!$F$33:$F$40)),SUMPRODUCT(COUNTIF('2029'!$C$1131:$Z$1131,Setup!$F$33:$F$40)),SUMPRODUCT(COUNTIF('2030'!$C$1131:$Z$1131,Setup!$F$33:$F$40))))</f>
        <v/>
      </c>
      <c r="Z36" s="137">
        <f>IF($B36="","",CHOOSE(IFERROR(MATCH($C$4,Setup!$K$33:$K$36,0),1),SUMPRODUCT(COUNTIF('2027'!$C$1181:$Z$1181,Setup!$F$33:$F$40)),SUMPRODUCT(COUNTIF('2028'!$C$1181:$Z$1181,Setup!$F$33:$F$40)),SUMPRODUCT(COUNTIF('2029'!$C$1181:$Z$1181,Setup!$F$33:$F$40)),SUMPRODUCT(COUNTIF('2030'!$C$1181:$Z$1181,Setup!$F$33:$F$40))))</f>
        <v/>
      </c>
      <c r="AA36" s="137">
        <f>IF($B36="","",CHOOSE(IFERROR(MATCH($C$4,Setup!$K$33:$K$36,0),1),SUMPRODUCT(COUNTIF('2027'!$C$1231:$Z$1231,Setup!$F$33:$F$40)),SUMPRODUCT(COUNTIF('2028'!$C$1231:$Z$1231,Setup!$F$33:$F$40)),SUMPRODUCT(COUNTIF('2029'!$C$1231:$Z$1231,Setup!$F$33:$F$40)),SUMPRODUCT(COUNTIF('2030'!$C$1231:$Z$1231,Setup!$F$33:$F$40))))</f>
        <v/>
      </c>
      <c r="AB36" s="137">
        <f>IF($B36="","",CHOOSE(IFERROR(MATCH($C$4,Setup!$K$33:$K$36,0),1),SUMPRODUCT(COUNTIF('2027'!$C$1281:$Z$1281,Setup!$F$33:$F$40)),SUMPRODUCT(COUNTIF('2028'!$C$1281:$Z$1281,Setup!$F$33:$F$40)),SUMPRODUCT(COUNTIF('2029'!$C$1281:$Z$1281,Setup!$F$33:$F$40)),SUMPRODUCT(COUNTIF('2030'!$C$1281:$Z$1281,Setup!$F$33:$F$40))))</f>
        <v/>
      </c>
      <c r="AC36" s="137">
        <f>IF($B36="","",CHOOSE(IFERROR(MATCH($C$4,Setup!$K$33:$K$36,0),1),SUMPRODUCT(COUNTIF('2027'!$C$1331:$Z$1331,Setup!$F$33:$F$40)),SUMPRODUCT(COUNTIF('2028'!$C$1331:$Z$1331,Setup!$F$33:$F$40)),SUMPRODUCT(COUNTIF('2029'!$C$1331:$Z$1331,Setup!$F$33:$F$40)),SUMPRODUCT(COUNTIF('2030'!$C$1331:$Z$1331,Setup!$F$33:$F$40))))</f>
        <v/>
      </c>
      <c r="AD36" s="137">
        <f>IF($B36="","",CHOOSE(IFERROR(MATCH($C$4,Setup!$K$33:$K$36,0),1),SUMPRODUCT(COUNTIF('2027'!$C$1381:$Z$1381,Setup!$F$33:$F$40)),SUMPRODUCT(COUNTIF('2028'!$C$1381:$Z$1381,Setup!$F$33:$F$40)),SUMPRODUCT(COUNTIF('2029'!$C$1381:$Z$1381,Setup!$F$33:$F$40)),SUMPRODUCT(COUNTIF('2030'!$C$1381:$Z$1381,Setup!$F$33:$F$40))))</f>
        <v/>
      </c>
      <c r="AE36" s="137">
        <f>IF($B36="","",CHOOSE(IFERROR(MATCH($C$4,Setup!$K$33:$K$36,0),1),SUMPRODUCT(COUNTIF('2027'!$C$1431:$Z$1431,Setup!$F$33:$F$40)),SUMPRODUCT(COUNTIF('2028'!$C$1431:$Z$1431,Setup!$F$33:$F$40)),SUMPRODUCT(COUNTIF('2029'!$C$1431:$Z$1431,Setup!$F$33:$F$40)),SUMPRODUCT(COUNTIF('2030'!$C$1431:$Z$1431,Setup!$F$33:$F$40))))</f>
        <v/>
      </c>
      <c r="AF36" s="137">
        <f>IF($B36="","",CHOOSE(IFERROR(MATCH($C$4,Setup!$K$33:$K$36,0),1),SUMPRODUCT(COUNTIF('2027'!$C$1481:$Z$1481,Setup!$F$33:$F$40)),SUMPRODUCT(COUNTIF('2028'!$C$1481:$Z$1481,Setup!$F$33:$F$40)),SUMPRODUCT(COUNTIF('2029'!$C$1481:$Z$1481,Setup!$F$33:$F$40)),SUMPRODUCT(COUNTIF('2030'!$C$1481:$Z$1481,Setup!$F$33:$F$40))))</f>
        <v/>
      </c>
      <c r="AG36" s="137">
        <f>IF($B36="","",CHOOSE(IFERROR(MATCH($C$4,Setup!$K$33:$K$36,0),1),SUMPRODUCT(COUNTIF('2027'!$C$1531:$Z$1531,Setup!$F$33:$F$40)),SUMPRODUCT(COUNTIF('2028'!$C$1531:$Z$1531,Setup!$F$33:$F$40)),SUMPRODUCT(COUNTIF('2029'!$C$1531:$Z$1531,Setup!$F$33:$F$40)),SUMPRODUCT(COUNTIF('2030'!$C$1531:$Z$1531,Setup!$F$33:$F$40))))</f>
        <v/>
      </c>
      <c r="AH36" s="137">
        <f>IF($B36="","",CHOOSE(IFERROR(MATCH($C$4,Setup!$K$33:$K$36,0),1),SUMPRODUCT(COUNTIF('2027'!$C$1581:$Z$1581,Setup!$F$33:$F$40)),SUMPRODUCT(COUNTIF('2028'!$C$1581:$Z$1581,Setup!$F$33:$F$40)),SUMPRODUCT(COUNTIF('2029'!$C$1581:$Z$1581,Setup!$F$33:$F$40)),SUMPRODUCT(COUNTIF('2030'!$C$1581:$Z$1581,Setup!$F$33:$F$40))))</f>
        <v/>
      </c>
      <c r="AI36" s="137">
        <f>IF($B36="","",CHOOSE(IFERROR(MATCH($C$4,Setup!$K$33:$K$36,0),1),SUMPRODUCT(COUNTIF('2027'!$C$1631:$Z$1631,Setup!$F$33:$F$40)),SUMPRODUCT(COUNTIF('2028'!$C$1631:$Z$1631,Setup!$F$33:$F$40)),SUMPRODUCT(COUNTIF('2029'!$C$1631:$Z$1631,Setup!$F$33:$F$40)),SUMPRODUCT(COUNTIF('2030'!$C$1631:$Z$1631,Setup!$F$33:$F$40))))</f>
        <v/>
      </c>
      <c r="AJ36" s="137">
        <f>IF($B36="","",CHOOSE(IFERROR(MATCH($C$4,Setup!$K$33:$K$36,0),1),SUMPRODUCT(COUNTIF('2027'!$C$1681:$Z$1681,Setup!$F$33:$F$40)),SUMPRODUCT(COUNTIF('2028'!$C$1681:$Z$1681,Setup!$F$33:$F$40)),SUMPRODUCT(COUNTIF('2029'!$C$1681:$Z$1681,Setup!$F$33:$F$40)),SUMPRODUCT(COUNTIF('2030'!$C$1681:$Z$1681,Setup!$F$33:$F$40))))</f>
        <v/>
      </c>
      <c r="AK36" s="137">
        <f>IF($B36="","",CHOOSE(IFERROR(MATCH($C$4,Setup!$K$33:$K$36,0),1),SUMPRODUCT(COUNTIF('2027'!$C$1731:$Z$1731,Setup!$F$33:$F$40)),SUMPRODUCT(COUNTIF('2028'!$C$1731:$Z$1731,Setup!$F$33:$F$40)),SUMPRODUCT(COUNTIF('2029'!$C$1731:$Z$1731,Setup!$F$33:$F$40)),SUMPRODUCT(COUNTIF('2030'!$C$1731:$Z$1731,Setup!$F$33:$F$40))))</f>
        <v/>
      </c>
      <c r="AL36" s="137">
        <f>IF($B36="","",CHOOSE(IFERROR(MATCH($C$4,Setup!$K$33:$K$36,0),1),SUMPRODUCT(COUNTIF('2027'!$C$1781:$Z$1781,Setup!$F$33:$F$40)),SUMPRODUCT(COUNTIF('2028'!$C$1781:$Z$1781,Setup!$F$33:$F$40)),SUMPRODUCT(COUNTIF('2029'!$C$1781:$Z$1781,Setup!$F$33:$F$40)),SUMPRODUCT(COUNTIF('2030'!$C$1781:$Z$1781,Setup!$F$33:$F$40))))</f>
        <v/>
      </c>
      <c r="AM36" s="137">
        <f>IF($B36="","",CHOOSE(IFERROR(MATCH($C$4,Setup!$K$33:$K$36,0),1),SUMPRODUCT(COUNTIF('2027'!$C$1831:$Z$1831,Setup!$F$33:$F$40)),SUMPRODUCT(COUNTIF('2028'!$C$1831:$Z$1831,Setup!$F$33:$F$40)),SUMPRODUCT(COUNTIF('2029'!$C$1831:$Z$1831,Setup!$F$33:$F$40)),SUMPRODUCT(COUNTIF('2030'!$C$1831:$Z$1831,Setup!$F$33:$F$40))))</f>
        <v/>
      </c>
      <c r="AN36" s="137">
        <f>IF($B36="","",CHOOSE(IFERROR(MATCH($C$4,Setup!$K$33:$K$36,0),1),SUMPRODUCT(COUNTIF('2027'!$C$1881:$Z$1881,Setup!$F$33:$F$40)),SUMPRODUCT(COUNTIF('2028'!$C$1881:$Z$1881,Setup!$F$33:$F$40)),SUMPRODUCT(COUNTIF('2029'!$C$1881:$Z$1881,Setup!$F$33:$F$40)),SUMPRODUCT(COUNTIF('2030'!$C$1881:$Z$1881,Setup!$F$33:$F$40))))</f>
        <v/>
      </c>
      <c r="AO36" s="137">
        <f>IF($B36="","",CHOOSE(IFERROR(MATCH($C$4,Setup!$K$33:$K$36,0),1),SUMPRODUCT(COUNTIF('2027'!$C$1931:$Z$1931,Setup!$F$33:$F$40)),SUMPRODUCT(COUNTIF('2028'!$C$1931:$Z$1931,Setup!$F$33:$F$40)),SUMPRODUCT(COUNTIF('2029'!$C$1931:$Z$1931,Setup!$F$33:$F$40)),SUMPRODUCT(COUNTIF('2030'!$C$1931:$Z$1931,Setup!$F$33:$F$40))))</f>
        <v/>
      </c>
      <c r="AP36" s="137">
        <f>IF($B36="","",CHOOSE(IFERROR(MATCH($C$4,Setup!$K$33:$K$36,0),1),SUMPRODUCT(COUNTIF('2027'!$C$1981:$Z$1981,Setup!$F$33:$F$40)),SUMPRODUCT(COUNTIF('2028'!$C$1981:$Z$1981,Setup!$F$33:$F$40)),SUMPRODUCT(COUNTIF('2029'!$C$1981:$Z$1981,Setup!$F$33:$F$40)),SUMPRODUCT(COUNTIF('2030'!$C$1981:$Z$1981,Setup!$F$33:$F$40))))</f>
        <v/>
      </c>
      <c r="AQ36" s="137">
        <f>IF($B36="","",CHOOSE(IFERROR(MATCH($C$4,Setup!$K$33:$K$36,0),1),SUMPRODUCT(COUNTIF('2027'!$C$2031:$Z$2031,Setup!$F$33:$F$40)),SUMPRODUCT(COUNTIF('2028'!$C$2031:$Z$2031,Setup!$F$33:$F$40)),SUMPRODUCT(COUNTIF('2029'!$C$2031:$Z$2031,Setup!$F$33:$F$40)),SUMPRODUCT(COUNTIF('2030'!$C$2031:$Z$2031,Setup!$F$33:$F$40))))</f>
        <v/>
      </c>
      <c r="AR36" s="137">
        <f>IF($B36="","",CHOOSE(IFERROR(MATCH($C$4,Setup!$K$33:$K$36,0),1),SUMPRODUCT(COUNTIF('2027'!$C$2081:$Z$2081,Setup!$F$33:$F$40)),SUMPRODUCT(COUNTIF('2028'!$C$2081:$Z$2081,Setup!$F$33:$F$40)),SUMPRODUCT(COUNTIF('2029'!$C$2081:$Z$2081,Setup!$F$33:$F$40)),SUMPRODUCT(COUNTIF('2030'!$C$2081:$Z$2081,Setup!$F$33:$F$40))))</f>
        <v/>
      </c>
      <c r="AS36" s="137">
        <f>IF($B36="","",CHOOSE(IFERROR(MATCH($C$4,Setup!$K$33:$K$36,0),1),SUMPRODUCT(COUNTIF('2027'!$C$2131:$Z$2131,Setup!$F$33:$F$40)),SUMPRODUCT(COUNTIF('2028'!$C$2131:$Z$2131,Setup!$F$33:$F$40)),SUMPRODUCT(COUNTIF('2029'!$C$2131:$Z$2131,Setup!$F$33:$F$40)),SUMPRODUCT(COUNTIF('2030'!$C$2131:$Z$2131,Setup!$F$33:$F$40))))</f>
        <v/>
      </c>
      <c r="AT36" s="137">
        <f>IF($B36="","",CHOOSE(IFERROR(MATCH($C$4,Setup!$K$33:$K$36,0),1),SUMPRODUCT(COUNTIF('2027'!$C$2181:$Z$2181,Setup!$F$33:$F$40)),SUMPRODUCT(COUNTIF('2028'!$C$2181:$Z$2181,Setup!$F$33:$F$40)),SUMPRODUCT(COUNTIF('2029'!$C$2181:$Z$2181,Setup!$F$33:$F$40)),SUMPRODUCT(COUNTIF('2030'!$C$2181:$Z$2181,Setup!$F$33:$F$40))))</f>
        <v/>
      </c>
      <c r="AU36" s="137">
        <f>IF($B36="","",CHOOSE(IFERROR(MATCH($C$4,Setup!$K$33:$K$36,0),1),SUMPRODUCT(COUNTIF('2027'!$C$2231:$Z$2231,Setup!$F$33:$F$40)),SUMPRODUCT(COUNTIF('2028'!$C$2231:$Z$2231,Setup!$F$33:$F$40)),SUMPRODUCT(COUNTIF('2029'!$C$2231:$Z$2231,Setup!$F$33:$F$40)),SUMPRODUCT(COUNTIF('2030'!$C$2231:$Z$2231,Setup!$F$33:$F$40))))</f>
        <v/>
      </c>
      <c r="AV36" s="137">
        <f>IF($B36="","",CHOOSE(IFERROR(MATCH($C$4,Setup!$K$33:$K$36,0),1),SUMPRODUCT(COUNTIF('2027'!$C$2281:$Z$2281,Setup!$F$33:$F$40)),SUMPRODUCT(COUNTIF('2028'!$C$2281:$Z$2281,Setup!$F$33:$F$40)),SUMPRODUCT(COUNTIF('2029'!$C$2281:$Z$2281,Setup!$F$33:$F$40)),SUMPRODUCT(COUNTIF('2030'!$C$2281:$Z$2281,Setup!$F$33:$F$40))))</f>
        <v/>
      </c>
      <c r="AW36" s="137">
        <f>IF($B36="","",CHOOSE(IFERROR(MATCH($C$4,Setup!$K$33:$K$36,0),1),SUMPRODUCT(COUNTIF('2027'!$C$2331:$Z$2331,Setup!$F$33:$F$40)),SUMPRODUCT(COUNTIF('2028'!$C$2331:$Z$2331,Setup!$F$33:$F$40)),SUMPRODUCT(COUNTIF('2029'!$C$2331:$Z$2331,Setup!$F$33:$F$40)),SUMPRODUCT(COUNTIF('2030'!$C$2331:$Z$2331,Setup!$F$33:$F$40))))</f>
        <v/>
      </c>
      <c r="AX36" s="137">
        <f>IF($B36="","",CHOOSE(IFERROR(MATCH($C$4,Setup!$K$33:$K$36,0),1),SUMPRODUCT(COUNTIF('2027'!$C$2381:$Z$2381,Setup!$F$33:$F$40)),SUMPRODUCT(COUNTIF('2028'!$C$2381:$Z$2381,Setup!$F$33:$F$40)),SUMPRODUCT(COUNTIF('2029'!$C$2381:$Z$2381,Setup!$F$33:$F$40)),SUMPRODUCT(COUNTIF('2030'!$C$2381:$Z$2381,Setup!$F$33:$F$40))))</f>
        <v/>
      </c>
      <c r="AY36" s="137">
        <f>IF($B36="","",CHOOSE(IFERROR(MATCH($C$4,Setup!$K$33:$K$36,0),1),SUMPRODUCT(COUNTIF('2027'!$C$2431:$Z$2431,Setup!$F$33:$F$40)),SUMPRODUCT(COUNTIF('2028'!$C$2431:$Z$2431,Setup!$F$33:$F$40)),SUMPRODUCT(COUNTIF('2029'!$C$2431:$Z$2431,Setup!$F$33:$F$40)),SUMPRODUCT(COUNTIF('2030'!$C$2431:$Z$2431,Setup!$F$33:$F$40))))</f>
        <v/>
      </c>
      <c r="AZ36" s="137">
        <f>IF($B36="","",CHOOSE(IFERROR(MATCH($C$4,Setup!$K$33:$K$36,0),1),SUMPRODUCT(COUNTIF('2027'!$C$2481:$Z$2481,Setup!$F$33:$F$40)),SUMPRODUCT(COUNTIF('2028'!$C$2481:$Z$2481,Setup!$F$33:$F$40)),SUMPRODUCT(COUNTIF('2029'!$C$2481:$Z$2481,Setup!$F$33:$F$40)),SUMPRODUCT(COUNTIF('2030'!$C$2481:$Z$2481,Setup!$F$33:$F$40))))</f>
        <v/>
      </c>
      <c r="BA36" s="137">
        <f>IF($B36="","",CHOOSE(IFERROR(MATCH($C$4,Setup!$K$33:$K$36,0),1),SUMPRODUCT(COUNTIF('2027'!$C$2531:$Z$2531,Setup!$F$33:$F$40)),SUMPRODUCT(COUNTIF('2028'!$C$2531:$Z$2531,Setup!$F$33:$F$40)),SUMPRODUCT(COUNTIF('2029'!$C$2531:$Z$2531,Setup!$F$33:$F$40)),SUMPRODUCT(COUNTIF('2030'!$C$2531:$Z$2531,Setup!$F$33:$F$40))))</f>
        <v/>
      </c>
      <c r="BB36" s="137">
        <f>IF($B36="","",CHOOSE(IFERROR(MATCH($C$4,Setup!$K$33:$K$36,0),1),SUMPRODUCT(COUNTIF('2027'!$C$2581:$Z$2581,Setup!$F$33:$F$40)),SUMPRODUCT(COUNTIF('2028'!$C$2581:$Z$2581,Setup!$F$33:$F$40)),SUMPRODUCT(COUNTIF('2029'!$C$2581:$Z$2581,Setup!$F$33:$F$40)),SUMPRODUCT(COUNTIF('2030'!$C$2581:$Z$2581,Setup!$F$33:$F$40))))</f>
        <v/>
      </c>
      <c r="BC36" s="137">
        <f>IF($B36="","",CHOOSE(IFERROR(MATCH($C$4,Setup!$K$33:$K$36,0),1),SUMPRODUCT(COUNTIF('2027'!$C$2631:$Z$2631,Setup!$F$33:$F$40)),SUMPRODUCT(COUNTIF('2028'!$C$2631:$Z$2631,Setup!$F$33:$F$40)),SUMPRODUCT(COUNTIF('2029'!$C$2631:$Z$2631,Setup!$F$33:$F$40)),SUMPRODUCT(COUNTIF('2030'!$C$2631:$Z$2631,Setup!$F$33:$F$40))))</f>
        <v/>
      </c>
      <c r="BE36" s="129">
        <f>IF($B36="","",SUM(C36:BC36))</f>
        <v/>
      </c>
      <c r="BF36" s="130">
        <f>IF($B36="","",COUNTIF(C36:BC36,"&gt;0"))</f>
        <v/>
      </c>
      <c r="BG36" s="130">
        <f>IF(OR($B36="",N(BE36)=0),"",MATCH(MAX(C36:BC36),C36:BC36,0))</f>
        <v/>
      </c>
    </row>
    <row r="37" ht="15" customHeight="1">
      <c r="B37" s="136">
        <f>IF(Setup!$B$11="","",Setup!$B$11)</f>
        <v/>
      </c>
      <c r="C37" s="137">
        <f>IF($B37="","",CHOOSE(IFERROR(MATCH($C$4,Setup!$K$33:$K$36,0),1),SUMPRODUCT(COUNTIF('2027'!$C$32:$Z$32,Setup!$F$33:$F$40)),SUMPRODUCT(COUNTIF('2028'!$C$32:$Z$32,Setup!$F$33:$F$40)),SUMPRODUCT(COUNTIF('2029'!$C$32:$Z$32,Setup!$F$33:$F$40)),SUMPRODUCT(COUNTIF('2030'!$C$32:$Z$32,Setup!$F$33:$F$40))))</f>
        <v/>
      </c>
      <c r="D37" s="137">
        <f>IF($B37="","",CHOOSE(IFERROR(MATCH($C$4,Setup!$K$33:$K$36,0),1),SUMPRODUCT(COUNTIF('2027'!$C$82:$Z$82,Setup!$F$33:$F$40)),SUMPRODUCT(COUNTIF('2028'!$C$82:$Z$82,Setup!$F$33:$F$40)),SUMPRODUCT(COUNTIF('2029'!$C$82:$Z$82,Setup!$F$33:$F$40)),SUMPRODUCT(COUNTIF('2030'!$C$82:$Z$82,Setup!$F$33:$F$40))))</f>
        <v/>
      </c>
      <c r="E37" s="137">
        <f>IF($B37="","",CHOOSE(IFERROR(MATCH($C$4,Setup!$K$33:$K$36,0),1),SUMPRODUCT(COUNTIF('2027'!$C$132:$Z$132,Setup!$F$33:$F$40)),SUMPRODUCT(COUNTIF('2028'!$C$132:$Z$132,Setup!$F$33:$F$40)),SUMPRODUCT(COUNTIF('2029'!$C$132:$Z$132,Setup!$F$33:$F$40)),SUMPRODUCT(COUNTIF('2030'!$C$132:$Z$132,Setup!$F$33:$F$40))))</f>
        <v/>
      </c>
      <c r="F37" s="137">
        <f>IF($B37="","",CHOOSE(IFERROR(MATCH($C$4,Setup!$K$33:$K$36,0),1),SUMPRODUCT(COUNTIF('2027'!$C$182:$Z$182,Setup!$F$33:$F$40)),SUMPRODUCT(COUNTIF('2028'!$C$182:$Z$182,Setup!$F$33:$F$40)),SUMPRODUCT(COUNTIF('2029'!$C$182:$Z$182,Setup!$F$33:$F$40)),SUMPRODUCT(COUNTIF('2030'!$C$182:$Z$182,Setup!$F$33:$F$40))))</f>
        <v/>
      </c>
      <c r="G37" s="137">
        <f>IF($B37="","",CHOOSE(IFERROR(MATCH($C$4,Setup!$K$33:$K$36,0),1),SUMPRODUCT(COUNTIF('2027'!$C$232:$Z$232,Setup!$F$33:$F$40)),SUMPRODUCT(COUNTIF('2028'!$C$232:$Z$232,Setup!$F$33:$F$40)),SUMPRODUCT(COUNTIF('2029'!$C$232:$Z$232,Setup!$F$33:$F$40)),SUMPRODUCT(COUNTIF('2030'!$C$232:$Z$232,Setup!$F$33:$F$40))))</f>
        <v/>
      </c>
      <c r="H37" s="137">
        <f>IF($B37="","",CHOOSE(IFERROR(MATCH($C$4,Setup!$K$33:$K$36,0),1),SUMPRODUCT(COUNTIF('2027'!$C$282:$Z$282,Setup!$F$33:$F$40)),SUMPRODUCT(COUNTIF('2028'!$C$282:$Z$282,Setup!$F$33:$F$40)),SUMPRODUCT(COUNTIF('2029'!$C$282:$Z$282,Setup!$F$33:$F$40)),SUMPRODUCT(COUNTIF('2030'!$C$282:$Z$282,Setup!$F$33:$F$40))))</f>
        <v/>
      </c>
      <c r="I37" s="137">
        <f>IF($B37="","",CHOOSE(IFERROR(MATCH($C$4,Setup!$K$33:$K$36,0),1),SUMPRODUCT(COUNTIF('2027'!$C$332:$Z$332,Setup!$F$33:$F$40)),SUMPRODUCT(COUNTIF('2028'!$C$332:$Z$332,Setup!$F$33:$F$40)),SUMPRODUCT(COUNTIF('2029'!$C$332:$Z$332,Setup!$F$33:$F$40)),SUMPRODUCT(COUNTIF('2030'!$C$332:$Z$332,Setup!$F$33:$F$40))))</f>
        <v/>
      </c>
      <c r="J37" s="137">
        <f>IF($B37="","",CHOOSE(IFERROR(MATCH($C$4,Setup!$K$33:$K$36,0),1),SUMPRODUCT(COUNTIF('2027'!$C$382:$Z$382,Setup!$F$33:$F$40)),SUMPRODUCT(COUNTIF('2028'!$C$382:$Z$382,Setup!$F$33:$F$40)),SUMPRODUCT(COUNTIF('2029'!$C$382:$Z$382,Setup!$F$33:$F$40)),SUMPRODUCT(COUNTIF('2030'!$C$382:$Z$382,Setup!$F$33:$F$40))))</f>
        <v/>
      </c>
      <c r="K37" s="137">
        <f>IF($B37="","",CHOOSE(IFERROR(MATCH($C$4,Setup!$K$33:$K$36,0),1),SUMPRODUCT(COUNTIF('2027'!$C$432:$Z$432,Setup!$F$33:$F$40)),SUMPRODUCT(COUNTIF('2028'!$C$432:$Z$432,Setup!$F$33:$F$40)),SUMPRODUCT(COUNTIF('2029'!$C$432:$Z$432,Setup!$F$33:$F$40)),SUMPRODUCT(COUNTIF('2030'!$C$432:$Z$432,Setup!$F$33:$F$40))))</f>
        <v/>
      </c>
      <c r="L37" s="137">
        <f>IF($B37="","",CHOOSE(IFERROR(MATCH($C$4,Setup!$K$33:$K$36,0),1),SUMPRODUCT(COUNTIF('2027'!$C$482:$Z$482,Setup!$F$33:$F$40)),SUMPRODUCT(COUNTIF('2028'!$C$482:$Z$482,Setup!$F$33:$F$40)),SUMPRODUCT(COUNTIF('2029'!$C$482:$Z$482,Setup!$F$33:$F$40)),SUMPRODUCT(COUNTIF('2030'!$C$482:$Z$482,Setup!$F$33:$F$40))))</f>
        <v/>
      </c>
      <c r="M37" s="137">
        <f>IF($B37="","",CHOOSE(IFERROR(MATCH($C$4,Setup!$K$33:$K$36,0),1),SUMPRODUCT(COUNTIF('2027'!$C$532:$Z$532,Setup!$F$33:$F$40)),SUMPRODUCT(COUNTIF('2028'!$C$532:$Z$532,Setup!$F$33:$F$40)),SUMPRODUCT(COUNTIF('2029'!$C$532:$Z$532,Setup!$F$33:$F$40)),SUMPRODUCT(COUNTIF('2030'!$C$532:$Z$532,Setup!$F$33:$F$40))))</f>
        <v/>
      </c>
      <c r="N37" s="137">
        <f>IF($B37="","",CHOOSE(IFERROR(MATCH($C$4,Setup!$K$33:$K$36,0),1),SUMPRODUCT(COUNTIF('2027'!$C$582:$Z$582,Setup!$F$33:$F$40)),SUMPRODUCT(COUNTIF('2028'!$C$582:$Z$582,Setup!$F$33:$F$40)),SUMPRODUCT(COUNTIF('2029'!$C$582:$Z$582,Setup!$F$33:$F$40)),SUMPRODUCT(COUNTIF('2030'!$C$582:$Z$582,Setup!$F$33:$F$40))))</f>
        <v/>
      </c>
      <c r="O37" s="137">
        <f>IF($B37="","",CHOOSE(IFERROR(MATCH($C$4,Setup!$K$33:$K$36,0),1),SUMPRODUCT(COUNTIF('2027'!$C$632:$Z$632,Setup!$F$33:$F$40)),SUMPRODUCT(COUNTIF('2028'!$C$632:$Z$632,Setup!$F$33:$F$40)),SUMPRODUCT(COUNTIF('2029'!$C$632:$Z$632,Setup!$F$33:$F$40)),SUMPRODUCT(COUNTIF('2030'!$C$632:$Z$632,Setup!$F$33:$F$40))))</f>
        <v/>
      </c>
      <c r="P37" s="137">
        <f>IF($B37="","",CHOOSE(IFERROR(MATCH($C$4,Setup!$K$33:$K$36,0),1),SUMPRODUCT(COUNTIF('2027'!$C$682:$Z$682,Setup!$F$33:$F$40)),SUMPRODUCT(COUNTIF('2028'!$C$682:$Z$682,Setup!$F$33:$F$40)),SUMPRODUCT(COUNTIF('2029'!$C$682:$Z$682,Setup!$F$33:$F$40)),SUMPRODUCT(COUNTIF('2030'!$C$682:$Z$682,Setup!$F$33:$F$40))))</f>
        <v/>
      </c>
      <c r="Q37" s="137">
        <f>IF($B37="","",CHOOSE(IFERROR(MATCH($C$4,Setup!$K$33:$K$36,0),1),SUMPRODUCT(COUNTIF('2027'!$C$732:$Z$732,Setup!$F$33:$F$40)),SUMPRODUCT(COUNTIF('2028'!$C$732:$Z$732,Setup!$F$33:$F$40)),SUMPRODUCT(COUNTIF('2029'!$C$732:$Z$732,Setup!$F$33:$F$40)),SUMPRODUCT(COUNTIF('2030'!$C$732:$Z$732,Setup!$F$33:$F$40))))</f>
        <v/>
      </c>
      <c r="R37" s="137">
        <f>IF($B37="","",CHOOSE(IFERROR(MATCH($C$4,Setup!$K$33:$K$36,0),1),SUMPRODUCT(COUNTIF('2027'!$C$782:$Z$782,Setup!$F$33:$F$40)),SUMPRODUCT(COUNTIF('2028'!$C$782:$Z$782,Setup!$F$33:$F$40)),SUMPRODUCT(COUNTIF('2029'!$C$782:$Z$782,Setup!$F$33:$F$40)),SUMPRODUCT(COUNTIF('2030'!$C$782:$Z$782,Setup!$F$33:$F$40))))</f>
        <v/>
      </c>
      <c r="S37" s="137">
        <f>IF($B37="","",CHOOSE(IFERROR(MATCH($C$4,Setup!$K$33:$K$36,0),1),SUMPRODUCT(COUNTIF('2027'!$C$832:$Z$832,Setup!$F$33:$F$40)),SUMPRODUCT(COUNTIF('2028'!$C$832:$Z$832,Setup!$F$33:$F$40)),SUMPRODUCT(COUNTIF('2029'!$C$832:$Z$832,Setup!$F$33:$F$40)),SUMPRODUCT(COUNTIF('2030'!$C$832:$Z$832,Setup!$F$33:$F$40))))</f>
        <v/>
      </c>
      <c r="T37" s="137">
        <f>IF($B37="","",CHOOSE(IFERROR(MATCH($C$4,Setup!$K$33:$K$36,0),1),SUMPRODUCT(COUNTIF('2027'!$C$882:$Z$882,Setup!$F$33:$F$40)),SUMPRODUCT(COUNTIF('2028'!$C$882:$Z$882,Setup!$F$33:$F$40)),SUMPRODUCT(COUNTIF('2029'!$C$882:$Z$882,Setup!$F$33:$F$40)),SUMPRODUCT(COUNTIF('2030'!$C$882:$Z$882,Setup!$F$33:$F$40))))</f>
        <v/>
      </c>
      <c r="U37" s="137">
        <f>IF($B37="","",CHOOSE(IFERROR(MATCH($C$4,Setup!$K$33:$K$36,0),1),SUMPRODUCT(COUNTIF('2027'!$C$932:$Z$932,Setup!$F$33:$F$40)),SUMPRODUCT(COUNTIF('2028'!$C$932:$Z$932,Setup!$F$33:$F$40)),SUMPRODUCT(COUNTIF('2029'!$C$932:$Z$932,Setup!$F$33:$F$40)),SUMPRODUCT(COUNTIF('2030'!$C$932:$Z$932,Setup!$F$33:$F$40))))</f>
        <v/>
      </c>
      <c r="V37" s="137">
        <f>IF($B37="","",CHOOSE(IFERROR(MATCH($C$4,Setup!$K$33:$K$36,0),1),SUMPRODUCT(COUNTIF('2027'!$C$982:$Z$982,Setup!$F$33:$F$40)),SUMPRODUCT(COUNTIF('2028'!$C$982:$Z$982,Setup!$F$33:$F$40)),SUMPRODUCT(COUNTIF('2029'!$C$982:$Z$982,Setup!$F$33:$F$40)),SUMPRODUCT(COUNTIF('2030'!$C$982:$Z$982,Setup!$F$33:$F$40))))</f>
        <v/>
      </c>
      <c r="W37" s="137">
        <f>IF($B37="","",CHOOSE(IFERROR(MATCH($C$4,Setup!$K$33:$K$36,0),1),SUMPRODUCT(COUNTIF('2027'!$C$1032:$Z$1032,Setup!$F$33:$F$40)),SUMPRODUCT(COUNTIF('2028'!$C$1032:$Z$1032,Setup!$F$33:$F$40)),SUMPRODUCT(COUNTIF('2029'!$C$1032:$Z$1032,Setup!$F$33:$F$40)),SUMPRODUCT(COUNTIF('2030'!$C$1032:$Z$1032,Setup!$F$33:$F$40))))</f>
        <v/>
      </c>
      <c r="X37" s="137">
        <f>IF($B37="","",CHOOSE(IFERROR(MATCH($C$4,Setup!$K$33:$K$36,0),1),SUMPRODUCT(COUNTIF('2027'!$C$1082:$Z$1082,Setup!$F$33:$F$40)),SUMPRODUCT(COUNTIF('2028'!$C$1082:$Z$1082,Setup!$F$33:$F$40)),SUMPRODUCT(COUNTIF('2029'!$C$1082:$Z$1082,Setup!$F$33:$F$40)),SUMPRODUCT(COUNTIF('2030'!$C$1082:$Z$1082,Setup!$F$33:$F$40))))</f>
        <v/>
      </c>
      <c r="Y37" s="137">
        <f>IF($B37="","",CHOOSE(IFERROR(MATCH($C$4,Setup!$K$33:$K$36,0),1),SUMPRODUCT(COUNTIF('2027'!$C$1132:$Z$1132,Setup!$F$33:$F$40)),SUMPRODUCT(COUNTIF('2028'!$C$1132:$Z$1132,Setup!$F$33:$F$40)),SUMPRODUCT(COUNTIF('2029'!$C$1132:$Z$1132,Setup!$F$33:$F$40)),SUMPRODUCT(COUNTIF('2030'!$C$1132:$Z$1132,Setup!$F$33:$F$40))))</f>
        <v/>
      </c>
      <c r="Z37" s="137">
        <f>IF($B37="","",CHOOSE(IFERROR(MATCH($C$4,Setup!$K$33:$K$36,0),1),SUMPRODUCT(COUNTIF('2027'!$C$1182:$Z$1182,Setup!$F$33:$F$40)),SUMPRODUCT(COUNTIF('2028'!$C$1182:$Z$1182,Setup!$F$33:$F$40)),SUMPRODUCT(COUNTIF('2029'!$C$1182:$Z$1182,Setup!$F$33:$F$40)),SUMPRODUCT(COUNTIF('2030'!$C$1182:$Z$1182,Setup!$F$33:$F$40))))</f>
        <v/>
      </c>
      <c r="AA37" s="137">
        <f>IF($B37="","",CHOOSE(IFERROR(MATCH($C$4,Setup!$K$33:$K$36,0),1),SUMPRODUCT(COUNTIF('2027'!$C$1232:$Z$1232,Setup!$F$33:$F$40)),SUMPRODUCT(COUNTIF('2028'!$C$1232:$Z$1232,Setup!$F$33:$F$40)),SUMPRODUCT(COUNTIF('2029'!$C$1232:$Z$1232,Setup!$F$33:$F$40)),SUMPRODUCT(COUNTIF('2030'!$C$1232:$Z$1232,Setup!$F$33:$F$40))))</f>
        <v/>
      </c>
      <c r="AB37" s="137">
        <f>IF($B37="","",CHOOSE(IFERROR(MATCH($C$4,Setup!$K$33:$K$36,0),1),SUMPRODUCT(COUNTIF('2027'!$C$1282:$Z$1282,Setup!$F$33:$F$40)),SUMPRODUCT(COUNTIF('2028'!$C$1282:$Z$1282,Setup!$F$33:$F$40)),SUMPRODUCT(COUNTIF('2029'!$C$1282:$Z$1282,Setup!$F$33:$F$40)),SUMPRODUCT(COUNTIF('2030'!$C$1282:$Z$1282,Setup!$F$33:$F$40))))</f>
        <v/>
      </c>
      <c r="AC37" s="137">
        <f>IF($B37="","",CHOOSE(IFERROR(MATCH($C$4,Setup!$K$33:$K$36,0),1),SUMPRODUCT(COUNTIF('2027'!$C$1332:$Z$1332,Setup!$F$33:$F$40)),SUMPRODUCT(COUNTIF('2028'!$C$1332:$Z$1332,Setup!$F$33:$F$40)),SUMPRODUCT(COUNTIF('2029'!$C$1332:$Z$1332,Setup!$F$33:$F$40)),SUMPRODUCT(COUNTIF('2030'!$C$1332:$Z$1332,Setup!$F$33:$F$40))))</f>
        <v/>
      </c>
      <c r="AD37" s="137">
        <f>IF($B37="","",CHOOSE(IFERROR(MATCH($C$4,Setup!$K$33:$K$36,0),1),SUMPRODUCT(COUNTIF('2027'!$C$1382:$Z$1382,Setup!$F$33:$F$40)),SUMPRODUCT(COUNTIF('2028'!$C$1382:$Z$1382,Setup!$F$33:$F$40)),SUMPRODUCT(COUNTIF('2029'!$C$1382:$Z$1382,Setup!$F$33:$F$40)),SUMPRODUCT(COUNTIF('2030'!$C$1382:$Z$1382,Setup!$F$33:$F$40))))</f>
        <v/>
      </c>
      <c r="AE37" s="137">
        <f>IF($B37="","",CHOOSE(IFERROR(MATCH($C$4,Setup!$K$33:$K$36,0),1),SUMPRODUCT(COUNTIF('2027'!$C$1432:$Z$1432,Setup!$F$33:$F$40)),SUMPRODUCT(COUNTIF('2028'!$C$1432:$Z$1432,Setup!$F$33:$F$40)),SUMPRODUCT(COUNTIF('2029'!$C$1432:$Z$1432,Setup!$F$33:$F$40)),SUMPRODUCT(COUNTIF('2030'!$C$1432:$Z$1432,Setup!$F$33:$F$40))))</f>
        <v/>
      </c>
      <c r="AF37" s="137">
        <f>IF($B37="","",CHOOSE(IFERROR(MATCH($C$4,Setup!$K$33:$K$36,0),1),SUMPRODUCT(COUNTIF('2027'!$C$1482:$Z$1482,Setup!$F$33:$F$40)),SUMPRODUCT(COUNTIF('2028'!$C$1482:$Z$1482,Setup!$F$33:$F$40)),SUMPRODUCT(COUNTIF('2029'!$C$1482:$Z$1482,Setup!$F$33:$F$40)),SUMPRODUCT(COUNTIF('2030'!$C$1482:$Z$1482,Setup!$F$33:$F$40))))</f>
        <v/>
      </c>
      <c r="AG37" s="137">
        <f>IF($B37="","",CHOOSE(IFERROR(MATCH($C$4,Setup!$K$33:$K$36,0),1),SUMPRODUCT(COUNTIF('2027'!$C$1532:$Z$1532,Setup!$F$33:$F$40)),SUMPRODUCT(COUNTIF('2028'!$C$1532:$Z$1532,Setup!$F$33:$F$40)),SUMPRODUCT(COUNTIF('2029'!$C$1532:$Z$1532,Setup!$F$33:$F$40)),SUMPRODUCT(COUNTIF('2030'!$C$1532:$Z$1532,Setup!$F$33:$F$40))))</f>
        <v/>
      </c>
      <c r="AH37" s="137">
        <f>IF($B37="","",CHOOSE(IFERROR(MATCH($C$4,Setup!$K$33:$K$36,0),1),SUMPRODUCT(COUNTIF('2027'!$C$1582:$Z$1582,Setup!$F$33:$F$40)),SUMPRODUCT(COUNTIF('2028'!$C$1582:$Z$1582,Setup!$F$33:$F$40)),SUMPRODUCT(COUNTIF('2029'!$C$1582:$Z$1582,Setup!$F$33:$F$40)),SUMPRODUCT(COUNTIF('2030'!$C$1582:$Z$1582,Setup!$F$33:$F$40))))</f>
        <v/>
      </c>
      <c r="AI37" s="137">
        <f>IF($B37="","",CHOOSE(IFERROR(MATCH($C$4,Setup!$K$33:$K$36,0),1),SUMPRODUCT(COUNTIF('2027'!$C$1632:$Z$1632,Setup!$F$33:$F$40)),SUMPRODUCT(COUNTIF('2028'!$C$1632:$Z$1632,Setup!$F$33:$F$40)),SUMPRODUCT(COUNTIF('2029'!$C$1632:$Z$1632,Setup!$F$33:$F$40)),SUMPRODUCT(COUNTIF('2030'!$C$1632:$Z$1632,Setup!$F$33:$F$40))))</f>
        <v/>
      </c>
      <c r="AJ37" s="137">
        <f>IF($B37="","",CHOOSE(IFERROR(MATCH($C$4,Setup!$K$33:$K$36,0),1),SUMPRODUCT(COUNTIF('2027'!$C$1682:$Z$1682,Setup!$F$33:$F$40)),SUMPRODUCT(COUNTIF('2028'!$C$1682:$Z$1682,Setup!$F$33:$F$40)),SUMPRODUCT(COUNTIF('2029'!$C$1682:$Z$1682,Setup!$F$33:$F$40)),SUMPRODUCT(COUNTIF('2030'!$C$1682:$Z$1682,Setup!$F$33:$F$40))))</f>
        <v/>
      </c>
      <c r="AK37" s="137">
        <f>IF($B37="","",CHOOSE(IFERROR(MATCH($C$4,Setup!$K$33:$K$36,0),1),SUMPRODUCT(COUNTIF('2027'!$C$1732:$Z$1732,Setup!$F$33:$F$40)),SUMPRODUCT(COUNTIF('2028'!$C$1732:$Z$1732,Setup!$F$33:$F$40)),SUMPRODUCT(COUNTIF('2029'!$C$1732:$Z$1732,Setup!$F$33:$F$40)),SUMPRODUCT(COUNTIF('2030'!$C$1732:$Z$1732,Setup!$F$33:$F$40))))</f>
        <v/>
      </c>
      <c r="AL37" s="137">
        <f>IF($B37="","",CHOOSE(IFERROR(MATCH($C$4,Setup!$K$33:$K$36,0),1),SUMPRODUCT(COUNTIF('2027'!$C$1782:$Z$1782,Setup!$F$33:$F$40)),SUMPRODUCT(COUNTIF('2028'!$C$1782:$Z$1782,Setup!$F$33:$F$40)),SUMPRODUCT(COUNTIF('2029'!$C$1782:$Z$1782,Setup!$F$33:$F$40)),SUMPRODUCT(COUNTIF('2030'!$C$1782:$Z$1782,Setup!$F$33:$F$40))))</f>
        <v/>
      </c>
      <c r="AM37" s="137">
        <f>IF($B37="","",CHOOSE(IFERROR(MATCH($C$4,Setup!$K$33:$K$36,0),1),SUMPRODUCT(COUNTIF('2027'!$C$1832:$Z$1832,Setup!$F$33:$F$40)),SUMPRODUCT(COUNTIF('2028'!$C$1832:$Z$1832,Setup!$F$33:$F$40)),SUMPRODUCT(COUNTIF('2029'!$C$1832:$Z$1832,Setup!$F$33:$F$40)),SUMPRODUCT(COUNTIF('2030'!$C$1832:$Z$1832,Setup!$F$33:$F$40))))</f>
        <v/>
      </c>
      <c r="AN37" s="137">
        <f>IF($B37="","",CHOOSE(IFERROR(MATCH($C$4,Setup!$K$33:$K$36,0),1),SUMPRODUCT(COUNTIF('2027'!$C$1882:$Z$1882,Setup!$F$33:$F$40)),SUMPRODUCT(COUNTIF('2028'!$C$1882:$Z$1882,Setup!$F$33:$F$40)),SUMPRODUCT(COUNTIF('2029'!$C$1882:$Z$1882,Setup!$F$33:$F$40)),SUMPRODUCT(COUNTIF('2030'!$C$1882:$Z$1882,Setup!$F$33:$F$40))))</f>
        <v/>
      </c>
      <c r="AO37" s="137">
        <f>IF($B37="","",CHOOSE(IFERROR(MATCH($C$4,Setup!$K$33:$K$36,0),1),SUMPRODUCT(COUNTIF('2027'!$C$1932:$Z$1932,Setup!$F$33:$F$40)),SUMPRODUCT(COUNTIF('2028'!$C$1932:$Z$1932,Setup!$F$33:$F$40)),SUMPRODUCT(COUNTIF('2029'!$C$1932:$Z$1932,Setup!$F$33:$F$40)),SUMPRODUCT(COUNTIF('2030'!$C$1932:$Z$1932,Setup!$F$33:$F$40))))</f>
        <v/>
      </c>
      <c r="AP37" s="137">
        <f>IF($B37="","",CHOOSE(IFERROR(MATCH($C$4,Setup!$K$33:$K$36,0),1),SUMPRODUCT(COUNTIF('2027'!$C$1982:$Z$1982,Setup!$F$33:$F$40)),SUMPRODUCT(COUNTIF('2028'!$C$1982:$Z$1982,Setup!$F$33:$F$40)),SUMPRODUCT(COUNTIF('2029'!$C$1982:$Z$1982,Setup!$F$33:$F$40)),SUMPRODUCT(COUNTIF('2030'!$C$1982:$Z$1982,Setup!$F$33:$F$40))))</f>
        <v/>
      </c>
      <c r="AQ37" s="137">
        <f>IF($B37="","",CHOOSE(IFERROR(MATCH($C$4,Setup!$K$33:$K$36,0),1),SUMPRODUCT(COUNTIF('2027'!$C$2032:$Z$2032,Setup!$F$33:$F$40)),SUMPRODUCT(COUNTIF('2028'!$C$2032:$Z$2032,Setup!$F$33:$F$40)),SUMPRODUCT(COUNTIF('2029'!$C$2032:$Z$2032,Setup!$F$33:$F$40)),SUMPRODUCT(COUNTIF('2030'!$C$2032:$Z$2032,Setup!$F$33:$F$40))))</f>
        <v/>
      </c>
      <c r="AR37" s="137">
        <f>IF($B37="","",CHOOSE(IFERROR(MATCH($C$4,Setup!$K$33:$K$36,0),1),SUMPRODUCT(COUNTIF('2027'!$C$2082:$Z$2082,Setup!$F$33:$F$40)),SUMPRODUCT(COUNTIF('2028'!$C$2082:$Z$2082,Setup!$F$33:$F$40)),SUMPRODUCT(COUNTIF('2029'!$C$2082:$Z$2082,Setup!$F$33:$F$40)),SUMPRODUCT(COUNTIF('2030'!$C$2082:$Z$2082,Setup!$F$33:$F$40))))</f>
        <v/>
      </c>
      <c r="AS37" s="137">
        <f>IF($B37="","",CHOOSE(IFERROR(MATCH($C$4,Setup!$K$33:$K$36,0),1),SUMPRODUCT(COUNTIF('2027'!$C$2132:$Z$2132,Setup!$F$33:$F$40)),SUMPRODUCT(COUNTIF('2028'!$C$2132:$Z$2132,Setup!$F$33:$F$40)),SUMPRODUCT(COUNTIF('2029'!$C$2132:$Z$2132,Setup!$F$33:$F$40)),SUMPRODUCT(COUNTIF('2030'!$C$2132:$Z$2132,Setup!$F$33:$F$40))))</f>
        <v/>
      </c>
      <c r="AT37" s="137">
        <f>IF($B37="","",CHOOSE(IFERROR(MATCH($C$4,Setup!$K$33:$K$36,0),1),SUMPRODUCT(COUNTIF('2027'!$C$2182:$Z$2182,Setup!$F$33:$F$40)),SUMPRODUCT(COUNTIF('2028'!$C$2182:$Z$2182,Setup!$F$33:$F$40)),SUMPRODUCT(COUNTIF('2029'!$C$2182:$Z$2182,Setup!$F$33:$F$40)),SUMPRODUCT(COUNTIF('2030'!$C$2182:$Z$2182,Setup!$F$33:$F$40))))</f>
        <v/>
      </c>
      <c r="AU37" s="137">
        <f>IF($B37="","",CHOOSE(IFERROR(MATCH($C$4,Setup!$K$33:$K$36,0),1),SUMPRODUCT(COUNTIF('2027'!$C$2232:$Z$2232,Setup!$F$33:$F$40)),SUMPRODUCT(COUNTIF('2028'!$C$2232:$Z$2232,Setup!$F$33:$F$40)),SUMPRODUCT(COUNTIF('2029'!$C$2232:$Z$2232,Setup!$F$33:$F$40)),SUMPRODUCT(COUNTIF('2030'!$C$2232:$Z$2232,Setup!$F$33:$F$40))))</f>
        <v/>
      </c>
      <c r="AV37" s="137">
        <f>IF($B37="","",CHOOSE(IFERROR(MATCH($C$4,Setup!$K$33:$K$36,0),1),SUMPRODUCT(COUNTIF('2027'!$C$2282:$Z$2282,Setup!$F$33:$F$40)),SUMPRODUCT(COUNTIF('2028'!$C$2282:$Z$2282,Setup!$F$33:$F$40)),SUMPRODUCT(COUNTIF('2029'!$C$2282:$Z$2282,Setup!$F$33:$F$40)),SUMPRODUCT(COUNTIF('2030'!$C$2282:$Z$2282,Setup!$F$33:$F$40))))</f>
        <v/>
      </c>
      <c r="AW37" s="137">
        <f>IF($B37="","",CHOOSE(IFERROR(MATCH($C$4,Setup!$K$33:$K$36,0),1),SUMPRODUCT(COUNTIF('2027'!$C$2332:$Z$2332,Setup!$F$33:$F$40)),SUMPRODUCT(COUNTIF('2028'!$C$2332:$Z$2332,Setup!$F$33:$F$40)),SUMPRODUCT(COUNTIF('2029'!$C$2332:$Z$2332,Setup!$F$33:$F$40)),SUMPRODUCT(COUNTIF('2030'!$C$2332:$Z$2332,Setup!$F$33:$F$40))))</f>
        <v/>
      </c>
      <c r="AX37" s="137">
        <f>IF($B37="","",CHOOSE(IFERROR(MATCH($C$4,Setup!$K$33:$K$36,0),1),SUMPRODUCT(COUNTIF('2027'!$C$2382:$Z$2382,Setup!$F$33:$F$40)),SUMPRODUCT(COUNTIF('2028'!$C$2382:$Z$2382,Setup!$F$33:$F$40)),SUMPRODUCT(COUNTIF('2029'!$C$2382:$Z$2382,Setup!$F$33:$F$40)),SUMPRODUCT(COUNTIF('2030'!$C$2382:$Z$2382,Setup!$F$33:$F$40))))</f>
        <v/>
      </c>
      <c r="AY37" s="137">
        <f>IF($B37="","",CHOOSE(IFERROR(MATCH($C$4,Setup!$K$33:$K$36,0),1),SUMPRODUCT(COUNTIF('2027'!$C$2432:$Z$2432,Setup!$F$33:$F$40)),SUMPRODUCT(COUNTIF('2028'!$C$2432:$Z$2432,Setup!$F$33:$F$40)),SUMPRODUCT(COUNTIF('2029'!$C$2432:$Z$2432,Setup!$F$33:$F$40)),SUMPRODUCT(COUNTIF('2030'!$C$2432:$Z$2432,Setup!$F$33:$F$40))))</f>
        <v/>
      </c>
      <c r="AZ37" s="137">
        <f>IF($B37="","",CHOOSE(IFERROR(MATCH($C$4,Setup!$K$33:$K$36,0),1),SUMPRODUCT(COUNTIF('2027'!$C$2482:$Z$2482,Setup!$F$33:$F$40)),SUMPRODUCT(COUNTIF('2028'!$C$2482:$Z$2482,Setup!$F$33:$F$40)),SUMPRODUCT(COUNTIF('2029'!$C$2482:$Z$2482,Setup!$F$33:$F$40)),SUMPRODUCT(COUNTIF('2030'!$C$2482:$Z$2482,Setup!$F$33:$F$40))))</f>
        <v/>
      </c>
      <c r="BA37" s="137">
        <f>IF($B37="","",CHOOSE(IFERROR(MATCH($C$4,Setup!$K$33:$K$36,0),1),SUMPRODUCT(COUNTIF('2027'!$C$2532:$Z$2532,Setup!$F$33:$F$40)),SUMPRODUCT(COUNTIF('2028'!$C$2532:$Z$2532,Setup!$F$33:$F$40)),SUMPRODUCT(COUNTIF('2029'!$C$2532:$Z$2532,Setup!$F$33:$F$40)),SUMPRODUCT(COUNTIF('2030'!$C$2532:$Z$2532,Setup!$F$33:$F$40))))</f>
        <v/>
      </c>
      <c r="BB37" s="137">
        <f>IF($B37="","",CHOOSE(IFERROR(MATCH($C$4,Setup!$K$33:$K$36,0),1),SUMPRODUCT(COUNTIF('2027'!$C$2582:$Z$2582,Setup!$F$33:$F$40)),SUMPRODUCT(COUNTIF('2028'!$C$2582:$Z$2582,Setup!$F$33:$F$40)),SUMPRODUCT(COUNTIF('2029'!$C$2582:$Z$2582,Setup!$F$33:$F$40)),SUMPRODUCT(COUNTIF('2030'!$C$2582:$Z$2582,Setup!$F$33:$F$40))))</f>
        <v/>
      </c>
      <c r="BC37" s="137">
        <f>IF($B37="","",CHOOSE(IFERROR(MATCH($C$4,Setup!$K$33:$K$36,0),1),SUMPRODUCT(COUNTIF('2027'!$C$2632:$Z$2632,Setup!$F$33:$F$40)),SUMPRODUCT(COUNTIF('2028'!$C$2632:$Z$2632,Setup!$F$33:$F$40)),SUMPRODUCT(COUNTIF('2029'!$C$2632:$Z$2632,Setup!$F$33:$F$40)),SUMPRODUCT(COUNTIF('2030'!$C$2632:$Z$2632,Setup!$F$33:$F$40))))</f>
        <v/>
      </c>
      <c r="BE37" s="129">
        <f>IF($B37="","",SUM(C37:BC37))</f>
        <v/>
      </c>
      <c r="BF37" s="130">
        <f>IF($B37="","",COUNTIF(C37:BC37,"&gt;0"))</f>
        <v/>
      </c>
      <c r="BG37" s="130">
        <f>IF(OR($B37="",N(BE37)=0),"",MATCH(MAX(C37:BC37),C37:BC37,0))</f>
        <v/>
      </c>
    </row>
    <row r="38" ht="15" customHeight="1">
      <c r="B38" s="136">
        <f>IF(Setup!$B$12="","",Setup!$B$12)</f>
        <v/>
      </c>
      <c r="C38" s="137">
        <f>IF($B38="","",CHOOSE(IFERROR(MATCH($C$4,Setup!$K$33:$K$36,0),1),SUMPRODUCT(COUNTIF('2027'!$C$33:$Z$33,Setup!$F$33:$F$40)),SUMPRODUCT(COUNTIF('2028'!$C$33:$Z$33,Setup!$F$33:$F$40)),SUMPRODUCT(COUNTIF('2029'!$C$33:$Z$33,Setup!$F$33:$F$40)),SUMPRODUCT(COUNTIF('2030'!$C$33:$Z$33,Setup!$F$33:$F$40))))</f>
        <v/>
      </c>
      <c r="D38" s="137">
        <f>IF($B38="","",CHOOSE(IFERROR(MATCH($C$4,Setup!$K$33:$K$36,0),1),SUMPRODUCT(COUNTIF('2027'!$C$83:$Z$83,Setup!$F$33:$F$40)),SUMPRODUCT(COUNTIF('2028'!$C$83:$Z$83,Setup!$F$33:$F$40)),SUMPRODUCT(COUNTIF('2029'!$C$83:$Z$83,Setup!$F$33:$F$40)),SUMPRODUCT(COUNTIF('2030'!$C$83:$Z$83,Setup!$F$33:$F$40))))</f>
        <v/>
      </c>
      <c r="E38" s="137">
        <f>IF($B38="","",CHOOSE(IFERROR(MATCH($C$4,Setup!$K$33:$K$36,0),1),SUMPRODUCT(COUNTIF('2027'!$C$133:$Z$133,Setup!$F$33:$F$40)),SUMPRODUCT(COUNTIF('2028'!$C$133:$Z$133,Setup!$F$33:$F$40)),SUMPRODUCT(COUNTIF('2029'!$C$133:$Z$133,Setup!$F$33:$F$40)),SUMPRODUCT(COUNTIF('2030'!$C$133:$Z$133,Setup!$F$33:$F$40))))</f>
        <v/>
      </c>
      <c r="F38" s="137">
        <f>IF($B38="","",CHOOSE(IFERROR(MATCH($C$4,Setup!$K$33:$K$36,0),1),SUMPRODUCT(COUNTIF('2027'!$C$183:$Z$183,Setup!$F$33:$F$40)),SUMPRODUCT(COUNTIF('2028'!$C$183:$Z$183,Setup!$F$33:$F$40)),SUMPRODUCT(COUNTIF('2029'!$C$183:$Z$183,Setup!$F$33:$F$40)),SUMPRODUCT(COUNTIF('2030'!$C$183:$Z$183,Setup!$F$33:$F$40))))</f>
        <v/>
      </c>
      <c r="G38" s="137">
        <f>IF($B38="","",CHOOSE(IFERROR(MATCH($C$4,Setup!$K$33:$K$36,0),1),SUMPRODUCT(COUNTIF('2027'!$C$233:$Z$233,Setup!$F$33:$F$40)),SUMPRODUCT(COUNTIF('2028'!$C$233:$Z$233,Setup!$F$33:$F$40)),SUMPRODUCT(COUNTIF('2029'!$C$233:$Z$233,Setup!$F$33:$F$40)),SUMPRODUCT(COUNTIF('2030'!$C$233:$Z$233,Setup!$F$33:$F$40))))</f>
        <v/>
      </c>
      <c r="H38" s="137">
        <f>IF($B38="","",CHOOSE(IFERROR(MATCH($C$4,Setup!$K$33:$K$36,0),1),SUMPRODUCT(COUNTIF('2027'!$C$283:$Z$283,Setup!$F$33:$F$40)),SUMPRODUCT(COUNTIF('2028'!$C$283:$Z$283,Setup!$F$33:$F$40)),SUMPRODUCT(COUNTIF('2029'!$C$283:$Z$283,Setup!$F$33:$F$40)),SUMPRODUCT(COUNTIF('2030'!$C$283:$Z$283,Setup!$F$33:$F$40))))</f>
        <v/>
      </c>
      <c r="I38" s="137">
        <f>IF($B38="","",CHOOSE(IFERROR(MATCH($C$4,Setup!$K$33:$K$36,0),1),SUMPRODUCT(COUNTIF('2027'!$C$333:$Z$333,Setup!$F$33:$F$40)),SUMPRODUCT(COUNTIF('2028'!$C$333:$Z$333,Setup!$F$33:$F$40)),SUMPRODUCT(COUNTIF('2029'!$C$333:$Z$333,Setup!$F$33:$F$40)),SUMPRODUCT(COUNTIF('2030'!$C$333:$Z$333,Setup!$F$33:$F$40))))</f>
        <v/>
      </c>
      <c r="J38" s="137">
        <f>IF($B38="","",CHOOSE(IFERROR(MATCH($C$4,Setup!$K$33:$K$36,0),1),SUMPRODUCT(COUNTIF('2027'!$C$383:$Z$383,Setup!$F$33:$F$40)),SUMPRODUCT(COUNTIF('2028'!$C$383:$Z$383,Setup!$F$33:$F$40)),SUMPRODUCT(COUNTIF('2029'!$C$383:$Z$383,Setup!$F$33:$F$40)),SUMPRODUCT(COUNTIF('2030'!$C$383:$Z$383,Setup!$F$33:$F$40))))</f>
        <v/>
      </c>
      <c r="K38" s="137">
        <f>IF($B38="","",CHOOSE(IFERROR(MATCH($C$4,Setup!$K$33:$K$36,0),1),SUMPRODUCT(COUNTIF('2027'!$C$433:$Z$433,Setup!$F$33:$F$40)),SUMPRODUCT(COUNTIF('2028'!$C$433:$Z$433,Setup!$F$33:$F$40)),SUMPRODUCT(COUNTIF('2029'!$C$433:$Z$433,Setup!$F$33:$F$40)),SUMPRODUCT(COUNTIF('2030'!$C$433:$Z$433,Setup!$F$33:$F$40))))</f>
        <v/>
      </c>
      <c r="L38" s="137">
        <f>IF($B38="","",CHOOSE(IFERROR(MATCH($C$4,Setup!$K$33:$K$36,0),1),SUMPRODUCT(COUNTIF('2027'!$C$483:$Z$483,Setup!$F$33:$F$40)),SUMPRODUCT(COUNTIF('2028'!$C$483:$Z$483,Setup!$F$33:$F$40)),SUMPRODUCT(COUNTIF('2029'!$C$483:$Z$483,Setup!$F$33:$F$40)),SUMPRODUCT(COUNTIF('2030'!$C$483:$Z$483,Setup!$F$33:$F$40))))</f>
        <v/>
      </c>
      <c r="M38" s="137">
        <f>IF($B38="","",CHOOSE(IFERROR(MATCH($C$4,Setup!$K$33:$K$36,0),1),SUMPRODUCT(COUNTIF('2027'!$C$533:$Z$533,Setup!$F$33:$F$40)),SUMPRODUCT(COUNTIF('2028'!$C$533:$Z$533,Setup!$F$33:$F$40)),SUMPRODUCT(COUNTIF('2029'!$C$533:$Z$533,Setup!$F$33:$F$40)),SUMPRODUCT(COUNTIF('2030'!$C$533:$Z$533,Setup!$F$33:$F$40))))</f>
        <v/>
      </c>
      <c r="N38" s="137">
        <f>IF($B38="","",CHOOSE(IFERROR(MATCH($C$4,Setup!$K$33:$K$36,0),1),SUMPRODUCT(COUNTIF('2027'!$C$583:$Z$583,Setup!$F$33:$F$40)),SUMPRODUCT(COUNTIF('2028'!$C$583:$Z$583,Setup!$F$33:$F$40)),SUMPRODUCT(COUNTIF('2029'!$C$583:$Z$583,Setup!$F$33:$F$40)),SUMPRODUCT(COUNTIF('2030'!$C$583:$Z$583,Setup!$F$33:$F$40))))</f>
        <v/>
      </c>
      <c r="O38" s="137">
        <f>IF($B38="","",CHOOSE(IFERROR(MATCH($C$4,Setup!$K$33:$K$36,0),1),SUMPRODUCT(COUNTIF('2027'!$C$633:$Z$633,Setup!$F$33:$F$40)),SUMPRODUCT(COUNTIF('2028'!$C$633:$Z$633,Setup!$F$33:$F$40)),SUMPRODUCT(COUNTIF('2029'!$C$633:$Z$633,Setup!$F$33:$F$40)),SUMPRODUCT(COUNTIF('2030'!$C$633:$Z$633,Setup!$F$33:$F$40))))</f>
        <v/>
      </c>
      <c r="P38" s="137">
        <f>IF($B38="","",CHOOSE(IFERROR(MATCH($C$4,Setup!$K$33:$K$36,0),1),SUMPRODUCT(COUNTIF('2027'!$C$683:$Z$683,Setup!$F$33:$F$40)),SUMPRODUCT(COUNTIF('2028'!$C$683:$Z$683,Setup!$F$33:$F$40)),SUMPRODUCT(COUNTIF('2029'!$C$683:$Z$683,Setup!$F$33:$F$40)),SUMPRODUCT(COUNTIF('2030'!$C$683:$Z$683,Setup!$F$33:$F$40))))</f>
        <v/>
      </c>
      <c r="Q38" s="137">
        <f>IF($B38="","",CHOOSE(IFERROR(MATCH($C$4,Setup!$K$33:$K$36,0),1),SUMPRODUCT(COUNTIF('2027'!$C$733:$Z$733,Setup!$F$33:$F$40)),SUMPRODUCT(COUNTIF('2028'!$C$733:$Z$733,Setup!$F$33:$F$40)),SUMPRODUCT(COUNTIF('2029'!$C$733:$Z$733,Setup!$F$33:$F$40)),SUMPRODUCT(COUNTIF('2030'!$C$733:$Z$733,Setup!$F$33:$F$40))))</f>
        <v/>
      </c>
      <c r="R38" s="137">
        <f>IF($B38="","",CHOOSE(IFERROR(MATCH($C$4,Setup!$K$33:$K$36,0),1),SUMPRODUCT(COUNTIF('2027'!$C$783:$Z$783,Setup!$F$33:$F$40)),SUMPRODUCT(COUNTIF('2028'!$C$783:$Z$783,Setup!$F$33:$F$40)),SUMPRODUCT(COUNTIF('2029'!$C$783:$Z$783,Setup!$F$33:$F$40)),SUMPRODUCT(COUNTIF('2030'!$C$783:$Z$783,Setup!$F$33:$F$40))))</f>
        <v/>
      </c>
      <c r="S38" s="137">
        <f>IF($B38="","",CHOOSE(IFERROR(MATCH($C$4,Setup!$K$33:$K$36,0),1),SUMPRODUCT(COUNTIF('2027'!$C$833:$Z$833,Setup!$F$33:$F$40)),SUMPRODUCT(COUNTIF('2028'!$C$833:$Z$833,Setup!$F$33:$F$40)),SUMPRODUCT(COUNTIF('2029'!$C$833:$Z$833,Setup!$F$33:$F$40)),SUMPRODUCT(COUNTIF('2030'!$C$833:$Z$833,Setup!$F$33:$F$40))))</f>
        <v/>
      </c>
      <c r="T38" s="137">
        <f>IF($B38="","",CHOOSE(IFERROR(MATCH($C$4,Setup!$K$33:$K$36,0),1),SUMPRODUCT(COUNTIF('2027'!$C$883:$Z$883,Setup!$F$33:$F$40)),SUMPRODUCT(COUNTIF('2028'!$C$883:$Z$883,Setup!$F$33:$F$40)),SUMPRODUCT(COUNTIF('2029'!$C$883:$Z$883,Setup!$F$33:$F$40)),SUMPRODUCT(COUNTIF('2030'!$C$883:$Z$883,Setup!$F$33:$F$40))))</f>
        <v/>
      </c>
      <c r="U38" s="137">
        <f>IF($B38="","",CHOOSE(IFERROR(MATCH($C$4,Setup!$K$33:$K$36,0),1),SUMPRODUCT(COUNTIF('2027'!$C$933:$Z$933,Setup!$F$33:$F$40)),SUMPRODUCT(COUNTIF('2028'!$C$933:$Z$933,Setup!$F$33:$F$40)),SUMPRODUCT(COUNTIF('2029'!$C$933:$Z$933,Setup!$F$33:$F$40)),SUMPRODUCT(COUNTIF('2030'!$C$933:$Z$933,Setup!$F$33:$F$40))))</f>
        <v/>
      </c>
      <c r="V38" s="137">
        <f>IF($B38="","",CHOOSE(IFERROR(MATCH($C$4,Setup!$K$33:$K$36,0),1),SUMPRODUCT(COUNTIF('2027'!$C$983:$Z$983,Setup!$F$33:$F$40)),SUMPRODUCT(COUNTIF('2028'!$C$983:$Z$983,Setup!$F$33:$F$40)),SUMPRODUCT(COUNTIF('2029'!$C$983:$Z$983,Setup!$F$33:$F$40)),SUMPRODUCT(COUNTIF('2030'!$C$983:$Z$983,Setup!$F$33:$F$40))))</f>
        <v/>
      </c>
      <c r="W38" s="137">
        <f>IF($B38="","",CHOOSE(IFERROR(MATCH($C$4,Setup!$K$33:$K$36,0),1),SUMPRODUCT(COUNTIF('2027'!$C$1033:$Z$1033,Setup!$F$33:$F$40)),SUMPRODUCT(COUNTIF('2028'!$C$1033:$Z$1033,Setup!$F$33:$F$40)),SUMPRODUCT(COUNTIF('2029'!$C$1033:$Z$1033,Setup!$F$33:$F$40)),SUMPRODUCT(COUNTIF('2030'!$C$1033:$Z$1033,Setup!$F$33:$F$40))))</f>
        <v/>
      </c>
      <c r="X38" s="137">
        <f>IF($B38="","",CHOOSE(IFERROR(MATCH($C$4,Setup!$K$33:$K$36,0),1),SUMPRODUCT(COUNTIF('2027'!$C$1083:$Z$1083,Setup!$F$33:$F$40)),SUMPRODUCT(COUNTIF('2028'!$C$1083:$Z$1083,Setup!$F$33:$F$40)),SUMPRODUCT(COUNTIF('2029'!$C$1083:$Z$1083,Setup!$F$33:$F$40)),SUMPRODUCT(COUNTIF('2030'!$C$1083:$Z$1083,Setup!$F$33:$F$40))))</f>
        <v/>
      </c>
      <c r="Y38" s="137">
        <f>IF($B38="","",CHOOSE(IFERROR(MATCH($C$4,Setup!$K$33:$K$36,0),1),SUMPRODUCT(COUNTIF('2027'!$C$1133:$Z$1133,Setup!$F$33:$F$40)),SUMPRODUCT(COUNTIF('2028'!$C$1133:$Z$1133,Setup!$F$33:$F$40)),SUMPRODUCT(COUNTIF('2029'!$C$1133:$Z$1133,Setup!$F$33:$F$40)),SUMPRODUCT(COUNTIF('2030'!$C$1133:$Z$1133,Setup!$F$33:$F$40))))</f>
        <v/>
      </c>
      <c r="Z38" s="137">
        <f>IF($B38="","",CHOOSE(IFERROR(MATCH($C$4,Setup!$K$33:$K$36,0),1),SUMPRODUCT(COUNTIF('2027'!$C$1183:$Z$1183,Setup!$F$33:$F$40)),SUMPRODUCT(COUNTIF('2028'!$C$1183:$Z$1183,Setup!$F$33:$F$40)),SUMPRODUCT(COUNTIF('2029'!$C$1183:$Z$1183,Setup!$F$33:$F$40)),SUMPRODUCT(COUNTIF('2030'!$C$1183:$Z$1183,Setup!$F$33:$F$40))))</f>
        <v/>
      </c>
      <c r="AA38" s="137">
        <f>IF($B38="","",CHOOSE(IFERROR(MATCH($C$4,Setup!$K$33:$K$36,0),1),SUMPRODUCT(COUNTIF('2027'!$C$1233:$Z$1233,Setup!$F$33:$F$40)),SUMPRODUCT(COUNTIF('2028'!$C$1233:$Z$1233,Setup!$F$33:$F$40)),SUMPRODUCT(COUNTIF('2029'!$C$1233:$Z$1233,Setup!$F$33:$F$40)),SUMPRODUCT(COUNTIF('2030'!$C$1233:$Z$1233,Setup!$F$33:$F$40))))</f>
        <v/>
      </c>
      <c r="AB38" s="137">
        <f>IF($B38="","",CHOOSE(IFERROR(MATCH($C$4,Setup!$K$33:$K$36,0),1),SUMPRODUCT(COUNTIF('2027'!$C$1283:$Z$1283,Setup!$F$33:$F$40)),SUMPRODUCT(COUNTIF('2028'!$C$1283:$Z$1283,Setup!$F$33:$F$40)),SUMPRODUCT(COUNTIF('2029'!$C$1283:$Z$1283,Setup!$F$33:$F$40)),SUMPRODUCT(COUNTIF('2030'!$C$1283:$Z$1283,Setup!$F$33:$F$40))))</f>
        <v/>
      </c>
      <c r="AC38" s="137">
        <f>IF($B38="","",CHOOSE(IFERROR(MATCH($C$4,Setup!$K$33:$K$36,0),1),SUMPRODUCT(COUNTIF('2027'!$C$1333:$Z$1333,Setup!$F$33:$F$40)),SUMPRODUCT(COUNTIF('2028'!$C$1333:$Z$1333,Setup!$F$33:$F$40)),SUMPRODUCT(COUNTIF('2029'!$C$1333:$Z$1333,Setup!$F$33:$F$40)),SUMPRODUCT(COUNTIF('2030'!$C$1333:$Z$1333,Setup!$F$33:$F$40))))</f>
        <v/>
      </c>
      <c r="AD38" s="137">
        <f>IF($B38="","",CHOOSE(IFERROR(MATCH($C$4,Setup!$K$33:$K$36,0),1),SUMPRODUCT(COUNTIF('2027'!$C$1383:$Z$1383,Setup!$F$33:$F$40)),SUMPRODUCT(COUNTIF('2028'!$C$1383:$Z$1383,Setup!$F$33:$F$40)),SUMPRODUCT(COUNTIF('2029'!$C$1383:$Z$1383,Setup!$F$33:$F$40)),SUMPRODUCT(COUNTIF('2030'!$C$1383:$Z$1383,Setup!$F$33:$F$40))))</f>
        <v/>
      </c>
      <c r="AE38" s="137">
        <f>IF($B38="","",CHOOSE(IFERROR(MATCH($C$4,Setup!$K$33:$K$36,0),1),SUMPRODUCT(COUNTIF('2027'!$C$1433:$Z$1433,Setup!$F$33:$F$40)),SUMPRODUCT(COUNTIF('2028'!$C$1433:$Z$1433,Setup!$F$33:$F$40)),SUMPRODUCT(COUNTIF('2029'!$C$1433:$Z$1433,Setup!$F$33:$F$40)),SUMPRODUCT(COUNTIF('2030'!$C$1433:$Z$1433,Setup!$F$33:$F$40))))</f>
        <v/>
      </c>
      <c r="AF38" s="137">
        <f>IF($B38="","",CHOOSE(IFERROR(MATCH($C$4,Setup!$K$33:$K$36,0),1),SUMPRODUCT(COUNTIF('2027'!$C$1483:$Z$1483,Setup!$F$33:$F$40)),SUMPRODUCT(COUNTIF('2028'!$C$1483:$Z$1483,Setup!$F$33:$F$40)),SUMPRODUCT(COUNTIF('2029'!$C$1483:$Z$1483,Setup!$F$33:$F$40)),SUMPRODUCT(COUNTIF('2030'!$C$1483:$Z$1483,Setup!$F$33:$F$40))))</f>
        <v/>
      </c>
      <c r="AG38" s="137">
        <f>IF($B38="","",CHOOSE(IFERROR(MATCH($C$4,Setup!$K$33:$K$36,0),1),SUMPRODUCT(COUNTIF('2027'!$C$1533:$Z$1533,Setup!$F$33:$F$40)),SUMPRODUCT(COUNTIF('2028'!$C$1533:$Z$1533,Setup!$F$33:$F$40)),SUMPRODUCT(COUNTIF('2029'!$C$1533:$Z$1533,Setup!$F$33:$F$40)),SUMPRODUCT(COUNTIF('2030'!$C$1533:$Z$1533,Setup!$F$33:$F$40))))</f>
        <v/>
      </c>
      <c r="AH38" s="137">
        <f>IF($B38="","",CHOOSE(IFERROR(MATCH($C$4,Setup!$K$33:$K$36,0),1),SUMPRODUCT(COUNTIF('2027'!$C$1583:$Z$1583,Setup!$F$33:$F$40)),SUMPRODUCT(COUNTIF('2028'!$C$1583:$Z$1583,Setup!$F$33:$F$40)),SUMPRODUCT(COUNTIF('2029'!$C$1583:$Z$1583,Setup!$F$33:$F$40)),SUMPRODUCT(COUNTIF('2030'!$C$1583:$Z$1583,Setup!$F$33:$F$40))))</f>
        <v/>
      </c>
      <c r="AI38" s="137">
        <f>IF($B38="","",CHOOSE(IFERROR(MATCH($C$4,Setup!$K$33:$K$36,0),1),SUMPRODUCT(COUNTIF('2027'!$C$1633:$Z$1633,Setup!$F$33:$F$40)),SUMPRODUCT(COUNTIF('2028'!$C$1633:$Z$1633,Setup!$F$33:$F$40)),SUMPRODUCT(COUNTIF('2029'!$C$1633:$Z$1633,Setup!$F$33:$F$40)),SUMPRODUCT(COUNTIF('2030'!$C$1633:$Z$1633,Setup!$F$33:$F$40))))</f>
        <v/>
      </c>
      <c r="AJ38" s="137">
        <f>IF($B38="","",CHOOSE(IFERROR(MATCH($C$4,Setup!$K$33:$K$36,0),1),SUMPRODUCT(COUNTIF('2027'!$C$1683:$Z$1683,Setup!$F$33:$F$40)),SUMPRODUCT(COUNTIF('2028'!$C$1683:$Z$1683,Setup!$F$33:$F$40)),SUMPRODUCT(COUNTIF('2029'!$C$1683:$Z$1683,Setup!$F$33:$F$40)),SUMPRODUCT(COUNTIF('2030'!$C$1683:$Z$1683,Setup!$F$33:$F$40))))</f>
        <v/>
      </c>
      <c r="AK38" s="137">
        <f>IF($B38="","",CHOOSE(IFERROR(MATCH($C$4,Setup!$K$33:$K$36,0),1),SUMPRODUCT(COUNTIF('2027'!$C$1733:$Z$1733,Setup!$F$33:$F$40)),SUMPRODUCT(COUNTIF('2028'!$C$1733:$Z$1733,Setup!$F$33:$F$40)),SUMPRODUCT(COUNTIF('2029'!$C$1733:$Z$1733,Setup!$F$33:$F$40)),SUMPRODUCT(COUNTIF('2030'!$C$1733:$Z$1733,Setup!$F$33:$F$40))))</f>
        <v/>
      </c>
      <c r="AL38" s="137">
        <f>IF($B38="","",CHOOSE(IFERROR(MATCH($C$4,Setup!$K$33:$K$36,0),1),SUMPRODUCT(COUNTIF('2027'!$C$1783:$Z$1783,Setup!$F$33:$F$40)),SUMPRODUCT(COUNTIF('2028'!$C$1783:$Z$1783,Setup!$F$33:$F$40)),SUMPRODUCT(COUNTIF('2029'!$C$1783:$Z$1783,Setup!$F$33:$F$40)),SUMPRODUCT(COUNTIF('2030'!$C$1783:$Z$1783,Setup!$F$33:$F$40))))</f>
        <v/>
      </c>
      <c r="AM38" s="137">
        <f>IF($B38="","",CHOOSE(IFERROR(MATCH($C$4,Setup!$K$33:$K$36,0),1),SUMPRODUCT(COUNTIF('2027'!$C$1833:$Z$1833,Setup!$F$33:$F$40)),SUMPRODUCT(COUNTIF('2028'!$C$1833:$Z$1833,Setup!$F$33:$F$40)),SUMPRODUCT(COUNTIF('2029'!$C$1833:$Z$1833,Setup!$F$33:$F$40)),SUMPRODUCT(COUNTIF('2030'!$C$1833:$Z$1833,Setup!$F$33:$F$40))))</f>
        <v/>
      </c>
      <c r="AN38" s="137">
        <f>IF($B38="","",CHOOSE(IFERROR(MATCH($C$4,Setup!$K$33:$K$36,0),1),SUMPRODUCT(COUNTIF('2027'!$C$1883:$Z$1883,Setup!$F$33:$F$40)),SUMPRODUCT(COUNTIF('2028'!$C$1883:$Z$1883,Setup!$F$33:$F$40)),SUMPRODUCT(COUNTIF('2029'!$C$1883:$Z$1883,Setup!$F$33:$F$40)),SUMPRODUCT(COUNTIF('2030'!$C$1883:$Z$1883,Setup!$F$33:$F$40))))</f>
        <v/>
      </c>
      <c r="AO38" s="137">
        <f>IF($B38="","",CHOOSE(IFERROR(MATCH($C$4,Setup!$K$33:$K$36,0),1),SUMPRODUCT(COUNTIF('2027'!$C$1933:$Z$1933,Setup!$F$33:$F$40)),SUMPRODUCT(COUNTIF('2028'!$C$1933:$Z$1933,Setup!$F$33:$F$40)),SUMPRODUCT(COUNTIF('2029'!$C$1933:$Z$1933,Setup!$F$33:$F$40)),SUMPRODUCT(COUNTIF('2030'!$C$1933:$Z$1933,Setup!$F$33:$F$40))))</f>
        <v/>
      </c>
      <c r="AP38" s="137">
        <f>IF($B38="","",CHOOSE(IFERROR(MATCH($C$4,Setup!$K$33:$K$36,0),1),SUMPRODUCT(COUNTIF('2027'!$C$1983:$Z$1983,Setup!$F$33:$F$40)),SUMPRODUCT(COUNTIF('2028'!$C$1983:$Z$1983,Setup!$F$33:$F$40)),SUMPRODUCT(COUNTIF('2029'!$C$1983:$Z$1983,Setup!$F$33:$F$40)),SUMPRODUCT(COUNTIF('2030'!$C$1983:$Z$1983,Setup!$F$33:$F$40))))</f>
        <v/>
      </c>
      <c r="AQ38" s="137">
        <f>IF($B38="","",CHOOSE(IFERROR(MATCH($C$4,Setup!$K$33:$K$36,0),1),SUMPRODUCT(COUNTIF('2027'!$C$2033:$Z$2033,Setup!$F$33:$F$40)),SUMPRODUCT(COUNTIF('2028'!$C$2033:$Z$2033,Setup!$F$33:$F$40)),SUMPRODUCT(COUNTIF('2029'!$C$2033:$Z$2033,Setup!$F$33:$F$40)),SUMPRODUCT(COUNTIF('2030'!$C$2033:$Z$2033,Setup!$F$33:$F$40))))</f>
        <v/>
      </c>
      <c r="AR38" s="137">
        <f>IF($B38="","",CHOOSE(IFERROR(MATCH($C$4,Setup!$K$33:$K$36,0),1),SUMPRODUCT(COUNTIF('2027'!$C$2083:$Z$2083,Setup!$F$33:$F$40)),SUMPRODUCT(COUNTIF('2028'!$C$2083:$Z$2083,Setup!$F$33:$F$40)),SUMPRODUCT(COUNTIF('2029'!$C$2083:$Z$2083,Setup!$F$33:$F$40)),SUMPRODUCT(COUNTIF('2030'!$C$2083:$Z$2083,Setup!$F$33:$F$40))))</f>
        <v/>
      </c>
      <c r="AS38" s="137">
        <f>IF($B38="","",CHOOSE(IFERROR(MATCH($C$4,Setup!$K$33:$K$36,0),1),SUMPRODUCT(COUNTIF('2027'!$C$2133:$Z$2133,Setup!$F$33:$F$40)),SUMPRODUCT(COUNTIF('2028'!$C$2133:$Z$2133,Setup!$F$33:$F$40)),SUMPRODUCT(COUNTIF('2029'!$C$2133:$Z$2133,Setup!$F$33:$F$40)),SUMPRODUCT(COUNTIF('2030'!$C$2133:$Z$2133,Setup!$F$33:$F$40))))</f>
        <v/>
      </c>
      <c r="AT38" s="137">
        <f>IF($B38="","",CHOOSE(IFERROR(MATCH($C$4,Setup!$K$33:$K$36,0),1),SUMPRODUCT(COUNTIF('2027'!$C$2183:$Z$2183,Setup!$F$33:$F$40)),SUMPRODUCT(COUNTIF('2028'!$C$2183:$Z$2183,Setup!$F$33:$F$40)),SUMPRODUCT(COUNTIF('2029'!$C$2183:$Z$2183,Setup!$F$33:$F$40)),SUMPRODUCT(COUNTIF('2030'!$C$2183:$Z$2183,Setup!$F$33:$F$40))))</f>
        <v/>
      </c>
      <c r="AU38" s="137">
        <f>IF($B38="","",CHOOSE(IFERROR(MATCH($C$4,Setup!$K$33:$K$36,0),1),SUMPRODUCT(COUNTIF('2027'!$C$2233:$Z$2233,Setup!$F$33:$F$40)),SUMPRODUCT(COUNTIF('2028'!$C$2233:$Z$2233,Setup!$F$33:$F$40)),SUMPRODUCT(COUNTIF('2029'!$C$2233:$Z$2233,Setup!$F$33:$F$40)),SUMPRODUCT(COUNTIF('2030'!$C$2233:$Z$2233,Setup!$F$33:$F$40))))</f>
        <v/>
      </c>
      <c r="AV38" s="137">
        <f>IF($B38="","",CHOOSE(IFERROR(MATCH($C$4,Setup!$K$33:$K$36,0),1),SUMPRODUCT(COUNTIF('2027'!$C$2283:$Z$2283,Setup!$F$33:$F$40)),SUMPRODUCT(COUNTIF('2028'!$C$2283:$Z$2283,Setup!$F$33:$F$40)),SUMPRODUCT(COUNTIF('2029'!$C$2283:$Z$2283,Setup!$F$33:$F$40)),SUMPRODUCT(COUNTIF('2030'!$C$2283:$Z$2283,Setup!$F$33:$F$40))))</f>
        <v/>
      </c>
      <c r="AW38" s="137">
        <f>IF($B38="","",CHOOSE(IFERROR(MATCH($C$4,Setup!$K$33:$K$36,0),1),SUMPRODUCT(COUNTIF('2027'!$C$2333:$Z$2333,Setup!$F$33:$F$40)),SUMPRODUCT(COUNTIF('2028'!$C$2333:$Z$2333,Setup!$F$33:$F$40)),SUMPRODUCT(COUNTIF('2029'!$C$2333:$Z$2333,Setup!$F$33:$F$40)),SUMPRODUCT(COUNTIF('2030'!$C$2333:$Z$2333,Setup!$F$33:$F$40))))</f>
        <v/>
      </c>
      <c r="AX38" s="137">
        <f>IF($B38="","",CHOOSE(IFERROR(MATCH($C$4,Setup!$K$33:$K$36,0),1),SUMPRODUCT(COUNTIF('2027'!$C$2383:$Z$2383,Setup!$F$33:$F$40)),SUMPRODUCT(COUNTIF('2028'!$C$2383:$Z$2383,Setup!$F$33:$F$40)),SUMPRODUCT(COUNTIF('2029'!$C$2383:$Z$2383,Setup!$F$33:$F$40)),SUMPRODUCT(COUNTIF('2030'!$C$2383:$Z$2383,Setup!$F$33:$F$40))))</f>
        <v/>
      </c>
      <c r="AY38" s="137">
        <f>IF($B38="","",CHOOSE(IFERROR(MATCH($C$4,Setup!$K$33:$K$36,0),1),SUMPRODUCT(COUNTIF('2027'!$C$2433:$Z$2433,Setup!$F$33:$F$40)),SUMPRODUCT(COUNTIF('2028'!$C$2433:$Z$2433,Setup!$F$33:$F$40)),SUMPRODUCT(COUNTIF('2029'!$C$2433:$Z$2433,Setup!$F$33:$F$40)),SUMPRODUCT(COUNTIF('2030'!$C$2433:$Z$2433,Setup!$F$33:$F$40))))</f>
        <v/>
      </c>
      <c r="AZ38" s="137">
        <f>IF($B38="","",CHOOSE(IFERROR(MATCH($C$4,Setup!$K$33:$K$36,0),1),SUMPRODUCT(COUNTIF('2027'!$C$2483:$Z$2483,Setup!$F$33:$F$40)),SUMPRODUCT(COUNTIF('2028'!$C$2483:$Z$2483,Setup!$F$33:$F$40)),SUMPRODUCT(COUNTIF('2029'!$C$2483:$Z$2483,Setup!$F$33:$F$40)),SUMPRODUCT(COUNTIF('2030'!$C$2483:$Z$2483,Setup!$F$33:$F$40))))</f>
        <v/>
      </c>
      <c r="BA38" s="137">
        <f>IF($B38="","",CHOOSE(IFERROR(MATCH($C$4,Setup!$K$33:$K$36,0),1),SUMPRODUCT(COUNTIF('2027'!$C$2533:$Z$2533,Setup!$F$33:$F$40)),SUMPRODUCT(COUNTIF('2028'!$C$2533:$Z$2533,Setup!$F$33:$F$40)),SUMPRODUCT(COUNTIF('2029'!$C$2533:$Z$2533,Setup!$F$33:$F$40)),SUMPRODUCT(COUNTIF('2030'!$C$2533:$Z$2533,Setup!$F$33:$F$40))))</f>
        <v/>
      </c>
      <c r="BB38" s="137">
        <f>IF($B38="","",CHOOSE(IFERROR(MATCH($C$4,Setup!$K$33:$K$36,0),1),SUMPRODUCT(COUNTIF('2027'!$C$2583:$Z$2583,Setup!$F$33:$F$40)),SUMPRODUCT(COUNTIF('2028'!$C$2583:$Z$2583,Setup!$F$33:$F$40)),SUMPRODUCT(COUNTIF('2029'!$C$2583:$Z$2583,Setup!$F$33:$F$40)),SUMPRODUCT(COUNTIF('2030'!$C$2583:$Z$2583,Setup!$F$33:$F$40))))</f>
        <v/>
      </c>
      <c r="BC38" s="137">
        <f>IF($B38="","",CHOOSE(IFERROR(MATCH($C$4,Setup!$K$33:$K$36,0),1),SUMPRODUCT(COUNTIF('2027'!$C$2633:$Z$2633,Setup!$F$33:$F$40)),SUMPRODUCT(COUNTIF('2028'!$C$2633:$Z$2633,Setup!$F$33:$F$40)),SUMPRODUCT(COUNTIF('2029'!$C$2633:$Z$2633,Setup!$F$33:$F$40)),SUMPRODUCT(COUNTIF('2030'!$C$2633:$Z$2633,Setup!$F$33:$F$40))))</f>
        <v/>
      </c>
      <c r="BE38" s="129">
        <f>IF($B38="","",SUM(C38:BC38))</f>
        <v/>
      </c>
      <c r="BF38" s="130">
        <f>IF($B38="","",COUNTIF(C38:BC38,"&gt;0"))</f>
        <v/>
      </c>
      <c r="BG38" s="130">
        <f>IF(OR($B38="",N(BE38)=0),"",MATCH(MAX(C38:BC38),C38:BC38,0))</f>
        <v/>
      </c>
    </row>
    <row r="39" ht="15" customHeight="1">
      <c r="B39" s="136">
        <f>IF(Setup!$B$13="","",Setup!$B$13)</f>
        <v/>
      </c>
      <c r="C39" s="137">
        <f>IF($B39="","",CHOOSE(IFERROR(MATCH($C$4,Setup!$K$33:$K$36,0),1),SUMPRODUCT(COUNTIF('2027'!$C$34:$Z$34,Setup!$F$33:$F$40)),SUMPRODUCT(COUNTIF('2028'!$C$34:$Z$34,Setup!$F$33:$F$40)),SUMPRODUCT(COUNTIF('2029'!$C$34:$Z$34,Setup!$F$33:$F$40)),SUMPRODUCT(COUNTIF('2030'!$C$34:$Z$34,Setup!$F$33:$F$40))))</f>
        <v/>
      </c>
      <c r="D39" s="137">
        <f>IF($B39="","",CHOOSE(IFERROR(MATCH($C$4,Setup!$K$33:$K$36,0),1),SUMPRODUCT(COUNTIF('2027'!$C$84:$Z$84,Setup!$F$33:$F$40)),SUMPRODUCT(COUNTIF('2028'!$C$84:$Z$84,Setup!$F$33:$F$40)),SUMPRODUCT(COUNTIF('2029'!$C$84:$Z$84,Setup!$F$33:$F$40)),SUMPRODUCT(COUNTIF('2030'!$C$84:$Z$84,Setup!$F$33:$F$40))))</f>
        <v/>
      </c>
      <c r="E39" s="137">
        <f>IF($B39="","",CHOOSE(IFERROR(MATCH($C$4,Setup!$K$33:$K$36,0),1),SUMPRODUCT(COUNTIF('2027'!$C$134:$Z$134,Setup!$F$33:$F$40)),SUMPRODUCT(COUNTIF('2028'!$C$134:$Z$134,Setup!$F$33:$F$40)),SUMPRODUCT(COUNTIF('2029'!$C$134:$Z$134,Setup!$F$33:$F$40)),SUMPRODUCT(COUNTIF('2030'!$C$134:$Z$134,Setup!$F$33:$F$40))))</f>
        <v/>
      </c>
      <c r="F39" s="137">
        <f>IF($B39="","",CHOOSE(IFERROR(MATCH($C$4,Setup!$K$33:$K$36,0),1),SUMPRODUCT(COUNTIF('2027'!$C$184:$Z$184,Setup!$F$33:$F$40)),SUMPRODUCT(COUNTIF('2028'!$C$184:$Z$184,Setup!$F$33:$F$40)),SUMPRODUCT(COUNTIF('2029'!$C$184:$Z$184,Setup!$F$33:$F$40)),SUMPRODUCT(COUNTIF('2030'!$C$184:$Z$184,Setup!$F$33:$F$40))))</f>
        <v/>
      </c>
      <c r="G39" s="137">
        <f>IF($B39="","",CHOOSE(IFERROR(MATCH($C$4,Setup!$K$33:$K$36,0),1),SUMPRODUCT(COUNTIF('2027'!$C$234:$Z$234,Setup!$F$33:$F$40)),SUMPRODUCT(COUNTIF('2028'!$C$234:$Z$234,Setup!$F$33:$F$40)),SUMPRODUCT(COUNTIF('2029'!$C$234:$Z$234,Setup!$F$33:$F$40)),SUMPRODUCT(COUNTIF('2030'!$C$234:$Z$234,Setup!$F$33:$F$40))))</f>
        <v/>
      </c>
      <c r="H39" s="137">
        <f>IF($B39="","",CHOOSE(IFERROR(MATCH($C$4,Setup!$K$33:$K$36,0),1),SUMPRODUCT(COUNTIF('2027'!$C$284:$Z$284,Setup!$F$33:$F$40)),SUMPRODUCT(COUNTIF('2028'!$C$284:$Z$284,Setup!$F$33:$F$40)),SUMPRODUCT(COUNTIF('2029'!$C$284:$Z$284,Setup!$F$33:$F$40)),SUMPRODUCT(COUNTIF('2030'!$C$284:$Z$284,Setup!$F$33:$F$40))))</f>
        <v/>
      </c>
      <c r="I39" s="137">
        <f>IF($B39="","",CHOOSE(IFERROR(MATCH($C$4,Setup!$K$33:$K$36,0),1),SUMPRODUCT(COUNTIF('2027'!$C$334:$Z$334,Setup!$F$33:$F$40)),SUMPRODUCT(COUNTIF('2028'!$C$334:$Z$334,Setup!$F$33:$F$40)),SUMPRODUCT(COUNTIF('2029'!$C$334:$Z$334,Setup!$F$33:$F$40)),SUMPRODUCT(COUNTIF('2030'!$C$334:$Z$334,Setup!$F$33:$F$40))))</f>
        <v/>
      </c>
      <c r="J39" s="137">
        <f>IF($B39="","",CHOOSE(IFERROR(MATCH($C$4,Setup!$K$33:$K$36,0),1),SUMPRODUCT(COUNTIF('2027'!$C$384:$Z$384,Setup!$F$33:$F$40)),SUMPRODUCT(COUNTIF('2028'!$C$384:$Z$384,Setup!$F$33:$F$40)),SUMPRODUCT(COUNTIF('2029'!$C$384:$Z$384,Setup!$F$33:$F$40)),SUMPRODUCT(COUNTIF('2030'!$C$384:$Z$384,Setup!$F$33:$F$40))))</f>
        <v/>
      </c>
      <c r="K39" s="137">
        <f>IF($B39="","",CHOOSE(IFERROR(MATCH($C$4,Setup!$K$33:$K$36,0),1),SUMPRODUCT(COUNTIF('2027'!$C$434:$Z$434,Setup!$F$33:$F$40)),SUMPRODUCT(COUNTIF('2028'!$C$434:$Z$434,Setup!$F$33:$F$40)),SUMPRODUCT(COUNTIF('2029'!$C$434:$Z$434,Setup!$F$33:$F$40)),SUMPRODUCT(COUNTIF('2030'!$C$434:$Z$434,Setup!$F$33:$F$40))))</f>
        <v/>
      </c>
      <c r="L39" s="137">
        <f>IF($B39="","",CHOOSE(IFERROR(MATCH($C$4,Setup!$K$33:$K$36,0),1),SUMPRODUCT(COUNTIF('2027'!$C$484:$Z$484,Setup!$F$33:$F$40)),SUMPRODUCT(COUNTIF('2028'!$C$484:$Z$484,Setup!$F$33:$F$40)),SUMPRODUCT(COUNTIF('2029'!$C$484:$Z$484,Setup!$F$33:$F$40)),SUMPRODUCT(COUNTIF('2030'!$C$484:$Z$484,Setup!$F$33:$F$40))))</f>
        <v/>
      </c>
      <c r="M39" s="137">
        <f>IF($B39="","",CHOOSE(IFERROR(MATCH($C$4,Setup!$K$33:$K$36,0),1),SUMPRODUCT(COUNTIF('2027'!$C$534:$Z$534,Setup!$F$33:$F$40)),SUMPRODUCT(COUNTIF('2028'!$C$534:$Z$534,Setup!$F$33:$F$40)),SUMPRODUCT(COUNTIF('2029'!$C$534:$Z$534,Setup!$F$33:$F$40)),SUMPRODUCT(COUNTIF('2030'!$C$534:$Z$534,Setup!$F$33:$F$40))))</f>
        <v/>
      </c>
      <c r="N39" s="137">
        <f>IF($B39="","",CHOOSE(IFERROR(MATCH($C$4,Setup!$K$33:$K$36,0),1),SUMPRODUCT(COUNTIF('2027'!$C$584:$Z$584,Setup!$F$33:$F$40)),SUMPRODUCT(COUNTIF('2028'!$C$584:$Z$584,Setup!$F$33:$F$40)),SUMPRODUCT(COUNTIF('2029'!$C$584:$Z$584,Setup!$F$33:$F$40)),SUMPRODUCT(COUNTIF('2030'!$C$584:$Z$584,Setup!$F$33:$F$40))))</f>
        <v/>
      </c>
      <c r="O39" s="137">
        <f>IF($B39="","",CHOOSE(IFERROR(MATCH($C$4,Setup!$K$33:$K$36,0),1),SUMPRODUCT(COUNTIF('2027'!$C$634:$Z$634,Setup!$F$33:$F$40)),SUMPRODUCT(COUNTIF('2028'!$C$634:$Z$634,Setup!$F$33:$F$40)),SUMPRODUCT(COUNTIF('2029'!$C$634:$Z$634,Setup!$F$33:$F$40)),SUMPRODUCT(COUNTIF('2030'!$C$634:$Z$634,Setup!$F$33:$F$40))))</f>
        <v/>
      </c>
      <c r="P39" s="137">
        <f>IF($B39="","",CHOOSE(IFERROR(MATCH($C$4,Setup!$K$33:$K$36,0),1),SUMPRODUCT(COUNTIF('2027'!$C$684:$Z$684,Setup!$F$33:$F$40)),SUMPRODUCT(COUNTIF('2028'!$C$684:$Z$684,Setup!$F$33:$F$40)),SUMPRODUCT(COUNTIF('2029'!$C$684:$Z$684,Setup!$F$33:$F$40)),SUMPRODUCT(COUNTIF('2030'!$C$684:$Z$684,Setup!$F$33:$F$40))))</f>
        <v/>
      </c>
      <c r="Q39" s="137">
        <f>IF($B39="","",CHOOSE(IFERROR(MATCH($C$4,Setup!$K$33:$K$36,0),1),SUMPRODUCT(COUNTIF('2027'!$C$734:$Z$734,Setup!$F$33:$F$40)),SUMPRODUCT(COUNTIF('2028'!$C$734:$Z$734,Setup!$F$33:$F$40)),SUMPRODUCT(COUNTIF('2029'!$C$734:$Z$734,Setup!$F$33:$F$40)),SUMPRODUCT(COUNTIF('2030'!$C$734:$Z$734,Setup!$F$33:$F$40))))</f>
        <v/>
      </c>
      <c r="R39" s="137">
        <f>IF($B39="","",CHOOSE(IFERROR(MATCH($C$4,Setup!$K$33:$K$36,0),1),SUMPRODUCT(COUNTIF('2027'!$C$784:$Z$784,Setup!$F$33:$F$40)),SUMPRODUCT(COUNTIF('2028'!$C$784:$Z$784,Setup!$F$33:$F$40)),SUMPRODUCT(COUNTIF('2029'!$C$784:$Z$784,Setup!$F$33:$F$40)),SUMPRODUCT(COUNTIF('2030'!$C$784:$Z$784,Setup!$F$33:$F$40))))</f>
        <v/>
      </c>
      <c r="S39" s="137">
        <f>IF($B39="","",CHOOSE(IFERROR(MATCH($C$4,Setup!$K$33:$K$36,0),1),SUMPRODUCT(COUNTIF('2027'!$C$834:$Z$834,Setup!$F$33:$F$40)),SUMPRODUCT(COUNTIF('2028'!$C$834:$Z$834,Setup!$F$33:$F$40)),SUMPRODUCT(COUNTIF('2029'!$C$834:$Z$834,Setup!$F$33:$F$40)),SUMPRODUCT(COUNTIF('2030'!$C$834:$Z$834,Setup!$F$33:$F$40))))</f>
        <v/>
      </c>
      <c r="T39" s="137">
        <f>IF($B39="","",CHOOSE(IFERROR(MATCH($C$4,Setup!$K$33:$K$36,0),1),SUMPRODUCT(COUNTIF('2027'!$C$884:$Z$884,Setup!$F$33:$F$40)),SUMPRODUCT(COUNTIF('2028'!$C$884:$Z$884,Setup!$F$33:$F$40)),SUMPRODUCT(COUNTIF('2029'!$C$884:$Z$884,Setup!$F$33:$F$40)),SUMPRODUCT(COUNTIF('2030'!$C$884:$Z$884,Setup!$F$33:$F$40))))</f>
        <v/>
      </c>
      <c r="U39" s="137">
        <f>IF($B39="","",CHOOSE(IFERROR(MATCH($C$4,Setup!$K$33:$K$36,0),1),SUMPRODUCT(COUNTIF('2027'!$C$934:$Z$934,Setup!$F$33:$F$40)),SUMPRODUCT(COUNTIF('2028'!$C$934:$Z$934,Setup!$F$33:$F$40)),SUMPRODUCT(COUNTIF('2029'!$C$934:$Z$934,Setup!$F$33:$F$40)),SUMPRODUCT(COUNTIF('2030'!$C$934:$Z$934,Setup!$F$33:$F$40))))</f>
        <v/>
      </c>
      <c r="V39" s="137">
        <f>IF($B39="","",CHOOSE(IFERROR(MATCH($C$4,Setup!$K$33:$K$36,0),1),SUMPRODUCT(COUNTIF('2027'!$C$984:$Z$984,Setup!$F$33:$F$40)),SUMPRODUCT(COUNTIF('2028'!$C$984:$Z$984,Setup!$F$33:$F$40)),SUMPRODUCT(COUNTIF('2029'!$C$984:$Z$984,Setup!$F$33:$F$40)),SUMPRODUCT(COUNTIF('2030'!$C$984:$Z$984,Setup!$F$33:$F$40))))</f>
        <v/>
      </c>
      <c r="W39" s="137">
        <f>IF($B39="","",CHOOSE(IFERROR(MATCH($C$4,Setup!$K$33:$K$36,0),1),SUMPRODUCT(COUNTIF('2027'!$C$1034:$Z$1034,Setup!$F$33:$F$40)),SUMPRODUCT(COUNTIF('2028'!$C$1034:$Z$1034,Setup!$F$33:$F$40)),SUMPRODUCT(COUNTIF('2029'!$C$1034:$Z$1034,Setup!$F$33:$F$40)),SUMPRODUCT(COUNTIF('2030'!$C$1034:$Z$1034,Setup!$F$33:$F$40))))</f>
        <v/>
      </c>
      <c r="X39" s="137">
        <f>IF($B39="","",CHOOSE(IFERROR(MATCH($C$4,Setup!$K$33:$K$36,0),1),SUMPRODUCT(COUNTIF('2027'!$C$1084:$Z$1084,Setup!$F$33:$F$40)),SUMPRODUCT(COUNTIF('2028'!$C$1084:$Z$1084,Setup!$F$33:$F$40)),SUMPRODUCT(COUNTIF('2029'!$C$1084:$Z$1084,Setup!$F$33:$F$40)),SUMPRODUCT(COUNTIF('2030'!$C$1084:$Z$1084,Setup!$F$33:$F$40))))</f>
        <v/>
      </c>
      <c r="Y39" s="137">
        <f>IF($B39="","",CHOOSE(IFERROR(MATCH($C$4,Setup!$K$33:$K$36,0),1),SUMPRODUCT(COUNTIF('2027'!$C$1134:$Z$1134,Setup!$F$33:$F$40)),SUMPRODUCT(COUNTIF('2028'!$C$1134:$Z$1134,Setup!$F$33:$F$40)),SUMPRODUCT(COUNTIF('2029'!$C$1134:$Z$1134,Setup!$F$33:$F$40)),SUMPRODUCT(COUNTIF('2030'!$C$1134:$Z$1134,Setup!$F$33:$F$40))))</f>
        <v/>
      </c>
      <c r="Z39" s="137">
        <f>IF($B39="","",CHOOSE(IFERROR(MATCH($C$4,Setup!$K$33:$K$36,0),1),SUMPRODUCT(COUNTIF('2027'!$C$1184:$Z$1184,Setup!$F$33:$F$40)),SUMPRODUCT(COUNTIF('2028'!$C$1184:$Z$1184,Setup!$F$33:$F$40)),SUMPRODUCT(COUNTIF('2029'!$C$1184:$Z$1184,Setup!$F$33:$F$40)),SUMPRODUCT(COUNTIF('2030'!$C$1184:$Z$1184,Setup!$F$33:$F$40))))</f>
        <v/>
      </c>
      <c r="AA39" s="137">
        <f>IF($B39="","",CHOOSE(IFERROR(MATCH($C$4,Setup!$K$33:$K$36,0),1),SUMPRODUCT(COUNTIF('2027'!$C$1234:$Z$1234,Setup!$F$33:$F$40)),SUMPRODUCT(COUNTIF('2028'!$C$1234:$Z$1234,Setup!$F$33:$F$40)),SUMPRODUCT(COUNTIF('2029'!$C$1234:$Z$1234,Setup!$F$33:$F$40)),SUMPRODUCT(COUNTIF('2030'!$C$1234:$Z$1234,Setup!$F$33:$F$40))))</f>
        <v/>
      </c>
      <c r="AB39" s="137">
        <f>IF($B39="","",CHOOSE(IFERROR(MATCH($C$4,Setup!$K$33:$K$36,0),1),SUMPRODUCT(COUNTIF('2027'!$C$1284:$Z$1284,Setup!$F$33:$F$40)),SUMPRODUCT(COUNTIF('2028'!$C$1284:$Z$1284,Setup!$F$33:$F$40)),SUMPRODUCT(COUNTIF('2029'!$C$1284:$Z$1284,Setup!$F$33:$F$40)),SUMPRODUCT(COUNTIF('2030'!$C$1284:$Z$1284,Setup!$F$33:$F$40))))</f>
        <v/>
      </c>
      <c r="AC39" s="137">
        <f>IF($B39="","",CHOOSE(IFERROR(MATCH($C$4,Setup!$K$33:$K$36,0),1),SUMPRODUCT(COUNTIF('2027'!$C$1334:$Z$1334,Setup!$F$33:$F$40)),SUMPRODUCT(COUNTIF('2028'!$C$1334:$Z$1334,Setup!$F$33:$F$40)),SUMPRODUCT(COUNTIF('2029'!$C$1334:$Z$1334,Setup!$F$33:$F$40)),SUMPRODUCT(COUNTIF('2030'!$C$1334:$Z$1334,Setup!$F$33:$F$40))))</f>
        <v/>
      </c>
      <c r="AD39" s="137">
        <f>IF($B39="","",CHOOSE(IFERROR(MATCH($C$4,Setup!$K$33:$K$36,0),1),SUMPRODUCT(COUNTIF('2027'!$C$1384:$Z$1384,Setup!$F$33:$F$40)),SUMPRODUCT(COUNTIF('2028'!$C$1384:$Z$1384,Setup!$F$33:$F$40)),SUMPRODUCT(COUNTIF('2029'!$C$1384:$Z$1384,Setup!$F$33:$F$40)),SUMPRODUCT(COUNTIF('2030'!$C$1384:$Z$1384,Setup!$F$33:$F$40))))</f>
        <v/>
      </c>
      <c r="AE39" s="137">
        <f>IF($B39="","",CHOOSE(IFERROR(MATCH($C$4,Setup!$K$33:$K$36,0),1),SUMPRODUCT(COUNTIF('2027'!$C$1434:$Z$1434,Setup!$F$33:$F$40)),SUMPRODUCT(COUNTIF('2028'!$C$1434:$Z$1434,Setup!$F$33:$F$40)),SUMPRODUCT(COUNTIF('2029'!$C$1434:$Z$1434,Setup!$F$33:$F$40)),SUMPRODUCT(COUNTIF('2030'!$C$1434:$Z$1434,Setup!$F$33:$F$40))))</f>
        <v/>
      </c>
      <c r="AF39" s="137">
        <f>IF($B39="","",CHOOSE(IFERROR(MATCH($C$4,Setup!$K$33:$K$36,0),1),SUMPRODUCT(COUNTIF('2027'!$C$1484:$Z$1484,Setup!$F$33:$F$40)),SUMPRODUCT(COUNTIF('2028'!$C$1484:$Z$1484,Setup!$F$33:$F$40)),SUMPRODUCT(COUNTIF('2029'!$C$1484:$Z$1484,Setup!$F$33:$F$40)),SUMPRODUCT(COUNTIF('2030'!$C$1484:$Z$1484,Setup!$F$33:$F$40))))</f>
        <v/>
      </c>
      <c r="AG39" s="137">
        <f>IF($B39="","",CHOOSE(IFERROR(MATCH($C$4,Setup!$K$33:$K$36,0),1),SUMPRODUCT(COUNTIF('2027'!$C$1534:$Z$1534,Setup!$F$33:$F$40)),SUMPRODUCT(COUNTIF('2028'!$C$1534:$Z$1534,Setup!$F$33:$F$40)),SUMPRODUCT(COUNTIF('2029'!$C$1534:$Z$1534,Setup!$F$33:$F$40)),SUMPRODUCT(COUNTIF('2030'!$C$1534:$Z$1534,Setup!$F$33:$F$40))))</f>
        <v/>
      </c>
      <c r="AH39" s="137">
        <f>IF($B39="","",CHOOSE(IFERROR(MATCH($C$4,Setup!$K$33:$K$36,0),1),SUMPRODUCT(COUNTIF('2027'!$C$1584:$Z$1584,Setup!$F$33:$F$40)),SUMPRODUCT(COUNTIF('2028'!$C$1584:$Z$1584,Setup!$F$33:$F$40)),SUMPRODUCT(COUNTIF('2029'!$C$1584:$Z$1584,Setup!$F$33:$F$40)),SUMPRODUCT(COUNTIF('2030'!$C$1584:$Z$1584,Setup!$F$33:$F$40))))</f>
        <v/>
      </c>
      <c r="AI39" s="137">
        <f>IF($B39="","",CHOOSE(IFERROR(MATCH($C$4,Setup!$K$33:$K$36,0),1),SUMPRODUCT(COUNTIF('2027'!$C$1634:$Z$1634,Setup!$F$33:$F$40)),SUMPRODUCT(COUNTIF('2028'!$C$1634:$Z$1634,Setup!$F$33:$F$40)),SUMPRODUCT(COUNTIF('2029'!$C$1634:$Z$1634,Setup!$F$33:$F$40)),SUMPRODUCT(COUNTIF('2030'!$C$1634:$Z$1634,Setup!$F$33:$F$40))))</f>
        <v/>
      </c>
      <c r="AJ39" s="137">
        <f>IF($B39="","",CHOOSE(IFERROR(MATCH($C$4,Setup!$K$33:$K$36,0),1),SUMPRODUCT(COUNTIF('2027'!$C$1684:$Z$1684,Setup!$F$33:$F$40)),SUMPRODUCT(COUNTIF('2028'!$C$1684:$Z$1684,Setup!$F$33:$F$40)),SUMPRODUCT(COUNTIF('2029'!$C$1684:$Z$1684,Setup!$F$33:$F$40)),SUMPRODUCT(COUNTIF('2030'!$C$1684:$Z$1684,Setup!$F$33:$F$40))))</f>
        <v/>
      </c>
      <c r="AK39" s="137">
        <f>IF($B39="","",CHOOSE(IFERROR(MATCH($C$4,Setup!$K$33:$K$36,0),1),SUMPRODUCT(COUNTIF('2027'!$C$1734:$Z$1734,Setup!$F$33:$F$40)),SUMPRODUCT(COUNTIF('2028'!$C$1734:$Z$1734,Setup!$F$33:$F$40)),SUMPRODUCT(COUNTIF('2029'!$C$1734:$Z$1734,Setup!$F$33:$F$40)),SUMPRODUCT(COUNTIF('2030'!$C$1734:$Z$1734,Setup!$F$33:$F$40))))</f>
        <v/>
      </c>
      <c r="AL39" s="137">
        <f>IF($B39="","",CHOOSE(IFERROR(MATCH($C$4,Setup!$K$33:$K$36,0),1),SUMPRODUCT(COUNTIF('2027'!$C$1784:$Z$1784,Setup!$F$33:$F$40)),SUMPRODUCT(COUNTIF('2028'!$C$1784:$Z$1784,Setup!$F$33:$F$40)),SUMPRODUCT(COUNTIF('2029'!$C$1784:$Z$1784,Setup!$F$33:$F$40)),SUMPRODUCT(COUNTIF('2030'!$C$1784:$Z$1784,Setup!$F$33:$F$40))))</f>
        <v/>
      </c>
      <c r="AM39" s="137">
        <f>IF($B39="","",CHOOSE(IFERROR(MATCH($C$4,Setup!$K$33:$K$36,0),1),SUMPRODUCT(COUNTIF('2027'!$C$1834:$Z$1834,Setup!$F$33:$F$40)),SUMPRODUCT(COUNTIF('2028'!$C$1834:$Z$1834,Setup!$F$33:$F$40)),SUMPRODUCT(COUNTIF('2029'!$C$1834:$Z$1834,Setup!$F$33:$F$40)),SUMPRODUCT(COUNTIF('2030'!$C$1834:$Z$1834,Setup!$F$33:$F$40))))</f>
        <v/>
      </c>
      <c r="AN39" s="137">
        <f>IF($B39="","",CHOOSE(IFERROR(MATCH($C$4,Setup!$K$33:$K$36,0),1),SUMPRODUCT(COUNTIF('2027'!$C$1884:$Z$1884,Setup!$F$33:$F$40)),SUMPRODUCT(COUNTIF('2028'!$C$1884:$Z$1884,Setup!$F$33:$F$40)),SUMPRODUCT(COUNTIF('2029'!$C$1884:$Z$1884,Setup!$F$33:$F$40)),SUMPRODUCT(COUNTIF('2030'!$C$1884:$Z$1884,Setup!$F$33:$F$40))))</f>
        <v/>
      </c>
      <c r="AO39" s="137">
        <f>IF($B39="","",CHOOSE(IFERROR(MATCH($C$4,Setup!$K$33:$K$36,0),1),SUMPRODUCT(COUNTIF('2027'!$C$1934:$Z$1934,Setup!$F$33:$F$40)),SUMPRODUCT(COUNTIF('2028'!$C$1934:$Z$1934,Setup!$F$33:$F$40)),SUMPRODUCT(COUNTIF('2029'!$C$1934:$Z$1934,Setup!$F$33:$F$40)),SUMPRODUCT(COUNTIF('2030'!$C$1934:$Z$1934,Setup!$F$33:$F$40))))</f>
        <v/>
      </c>
      <c r="AP39" s="137">
        <f>IF($B39="","",CHOOSE(IFERROR(MATCH($C$4,Setup!$K$33:$K$36,0),1),SUMPRODUCT(COUNTIF('2027'!$C$1984:$Z$1984,Setup!$F$33:$F$40)),SUMPRODUCT(COUNTIF('2028'!$C$1984:$Z$1984,Setup!$F$33:$F$40)),SUMPRODUCT(COUNTIF('2029'!$C$1984:$Z$1984,Setup!$F$33:$F$40)),SUMPRODUCT(COUNTIF('2030'!$C$1984:$Z$1984,Setup!$F$33:$F$40))))</f>
        <v/>
      </c>
      <c r="AQ39" s="137">
        <f>IF($B39="","",CHOOSE(IFERROR(MATCH($C$4,Setup!$K$33:$K$36,0),1),SUMPRODUCT(COUNTIF('2027'!$C$2034:$Z$2034,Setup!$F$33:$F$40)),SUMPRODUCT(COUNTIF('2028'!$C$2034:$Z$2034,Setup!$F$33:$F$40)),SUMPRODUCT(COUNTIF('2029'!$C$2034:$Z$2034,Setup!$F$33:$F$40)),SUMPRODUCT(COUNTIF('2030'!$C$2034:$Z$2034,Setup!$F$33:$F$40))))</f>
        <v/>
      </c>
      <c r="AR39" s="137">
        <f>IF($B39="","",CHOOSE(IFERROR(MATCH($C$4,Setup!$K$33:$K$36,0),1),SUMPRODUCT(COUNTIF('2027'!$C$2084:$Z$2084,Setup!$F$33:$F$40)),SUMPRODUCT(COUNTIF('2028'!$C$2084:$Z$2084,Setup!$F$33:$F$40)),SUMPRODUCT(COUNTIF('2029'!$C$2084:$Z$2084,Setup!$F$33:$F$40)),SUMPRODUCT(COUNTIF('2030'!$C$2084:$Z$2084,Setup!$F$33:$F$40))))</f>
        <v/>
      </c>
      <c r="AS39" s="137">
        <f>IF($B39="","",CHOOSE(IFERROR(MATCH($C$4,Setup!$K$33:$K$36,0),1),SUMPRODUCT(COUNTIF('2027'!$C$2134:$Z$2134,Setup!$F$33:$F$40)),SUMPRODUCT(COUNTIF('2028'!$C$2134:$Z$2134,Setup!$F$33:$F$40)),SUMPRODUCT(COUNTIF('2029'!$C$2134:$Z$2134,Setup!$F$33:$F$40)),SUMPRODUCT(COUNTIF('2030'!$C$2134:$Z$2134,Setup!$F$33:$F$40))))</f>
        <v/>
      </c>
      <c r="AT39" s="137">
        <f>IF($B39="","",CHOOSE(IFERROR(MATCH($C$4,Setup!$K$33:$K$36,0),1),SUMPRODUCT(COUNTIF('2027'!$C$2184:$Z$2184,Setup!$F$33:$F$40)),SUMPRODUCT(COUNTIF('2028'!$C$2184:$Z$2184,Setup!$F$33:$F$40)),SUMPRODUCT(COUNTIF('2029'!$C$2184:$Z$2184,Setup!$F$33:$F$40)),SUMPRODUCT(COUNTIF('2030'!$C$2184:$Z$2184,Setup!$F$33:$F$40))))</f>
        <v/>
      </c>
      <c r="AU39" s="137">
        <f>IF($B39="","",CHOOSE(IFERROR(MATCH($C$4,Setup!$K$33:$K$36,0),1),SUMPRODUCT(COUNTIF('2027'!$C$2234:$Z$2234,Setup!$F$33:$F$40)),SUMPRODUCT(COUNTIF('2028'!$C$2234:$Z$2234,Setup!$F$33:$F$40)),SUMPRODUCT(COUNTIF('2029'!$C$2234:$Z$2234,Setup!$F$33:$F$40)),SUMPRODUCT(COUNTIF('2030'!$C$2234:$Z$2234,Setup!$F$33:$F$40))))</f>
        <v/>
      </c>
      <c r="AV39" s="137">
        <f>IF($B39="","",CHOOSE(IFERROR(MATCH($C$4,Setup!$K$33:$K$36,0),1),SUMPRODUCT(COUNTIF('2027'!$C$2284:$Z$2284,Setup!$F$33:$F$40)),SUMPRODUCT(COUNTIF('2028'!$C$2284:$Z$2284,Setup!$F$33:$F$40)),SUMPRODUCT(COUNTIF('2029'!$C$2284:$Z$2284,Setup!$F$33:$F$40)),SUMPRODUCT(COUNTIF('2030'!$C$2284:$Z$2284,Setup!$F$33:$F$40))))</f>
        <v/>
      </c>
      <c r="AW39" s="137">
        <f>IF($B39="","",CHOOSE(IFERROR(MATCH($C$4,Setup!$K$33:$K$36,0),1),SUMPRODUCT(COUNTIF('2027'!$C$2334:$Z$2334,Setup!$F$33:$F$40)),SUMPRODUCT(COUNTIF('2028'!$C$2334:$Z$2334,Setup!$F$33:$F$40)),SUMPRODUCT(COUNTIF('2029'!$C$2334:$Z$2334,Setup!$F$33:$F$40)),SUMPRODUCT(COUNTIF('2030'!$C$2334:$Z$2334,Setup!$F$33:$F$40))))</f>
        <v/>
      </c>
      <c r="AX39" s="137">
        <f>IF($B39="","",CHOOSE(IFERROR(MATCH($C$4,Setup!$K$33:$K$36,0),1),SUMPRODUCT(COUNTIF('2027'!$C$2384:$Z$2384,Setup!$F$33:$F$40)),SUMPRODUCT(COUNTIF('2028'!$C$2384:$Z$2384,Setup!$F$33:$F$40)),SUMPRODUCT(COUNTIF('2029'!$C$2384:$Z$2384,Setup!$F$33:$F$40)),SUMPRODUCT(COUNTIF('2030'!$C$2384:$Z$2384,Setup!$F$33:$F$40))))</f>
        <v/>
      </c>
      <c r="AY39" s="137">
        <f>IF($B39="","",CHOOSE(IFERROR(MATCH($C$4,Setup!$K$33:$K$36,0),1),SUMPRODUCT(COUNTIF('2027'!$C$2434:$Z$2434,Setup!$F$33:$F$40)),SUMPRODUCT(COUNTIF('2028'!$C$2434:$Z$2434,Setup!$F$33:$F$40)),SUMPRODUCT(COUNTIF('2029'!$C$2434:$Z$2434,Setup!$F$33:$F$40)),SUMPRODUCT(COUNTIF('2030'!$C$2434:$Z$2434,Setup!$F$33:$F$40))))</f>
        <v/>
      </c>
      <c r="AZ39" s="137">
        <f>IF($B39="","",CHOOSE(IFERROR(MATCH($C$4,Setup!$K$33:$K$36,0),1),SUMPRODUCT(COUNTIF('2027'!$C$2484:$Z$2484,Setup!$F$33:$F$40)),SUMPRODUCT(COUNTIF('2028'!$C$2484:$Z$2484,Setup!$F$33:$F$40)),SUMPRODUCT(COUNTIF('2029'!$C$2484:$Z$2484,Setup!$F$33:$F$40)),SUMPRODUCT(COUNTIF('2030'!$C$2484:$Z$2484,Setup!$F$33:$F$40))))</f>
        <v/>
      </c>
      <c r="BA39" s="137">
        <f>IF($B39="","",CHOOSE(IFERROR(MATCH($C$4,Setup!$K$33:$K$36,0),1),SUMPRODUCT(COUNTIF('2027'!$C$2534:$Z$2534,Setup!$F$33:$F$40)),SUMPRODUCT(COUNTIF('2028'!$C$2534:$Z$2534,Setup!$F$33:$F$40)),SUMPRODUCT(COUNTIF('2029'!$C$2534:$Z$2534,Setup!$F$33:$F$40)),SUMPRODUCT(COUNTIF('2030'!$C$2534:$Z$2534,Setup!$F$33:$F$40))))</f>
        <v/>
      </c>
      <c r="BB39" s="137">
        <f>IF($B39="","",CHOOSE(IFERROR(MATCH($C$4,Setup!$K$33:$K$36,0),1),SUMPRODUCT(COUNTIF('2027'!$C$2584:$Z$2584,Setup!$F$33:$F$40)),SUMPRODUCT(COUNTIF('2028'!$C$2584:$Z$2584,Setup!$F$33:$F$40)),SUMPRODUCT(COUNTIF('2029'!$C$2584:$Z$2584,Setup!$F$33:$F$40)),SUMPRODUCT(COUNTIF('2030'!$C$2584:$Z$2584,Setup!$F$33:$F$40))))</f>
        <v/>
      </c>
      <c r="BC39" s="137">
        <f>IF($B39="","",CHOOSE(IFERROR(MATCH($C$4,Setup!$K$33:$K$36,0),1),SUMPRODUCT(COUNTIF('2027'!$C$2634:$Z$2634,Setup!$F$33:$F$40)),SUMPRODUCT(COUNTIF('2028'!$C$2634:$Z$2634,Setup!$F$33:$F$40)),SUMPRODUCT(COUNTIF('2029'!$C$2634:$Z$2634,Setup!$F$33:$F$40)),SUMPRODUCT(COUNTIF('2030'!$C$2634:$Z$2634,Setup!$F$33:$F$40))))</f>
        <v/>
      </c>
      <c r="BE39" s="129">
        <f>IF($B39="","",SUM(C39:BC39))</f>
        <v/>
      </c>
      <c r="BF39" s="130">
        <f>IF($B39="","",COUNTIF(C39:BC39,"&gt;0"))</f>
        <v/>
      </c>
      <c r="BG39" s="130">
        <f>IF(OR($B39="",N(BE39)=0),"",MATCH(MAX(C39:BC39),C39:BC39,0))</f>
        <v/>
      </c>
    </row>
    <row r="40" ht="15" customHeight="1">
      <c r="B40" s="136">
        <f>IF(Setup!$B$14="","",Setup!$B$14)</f>
        <v/>
      </c>
      <c r="C40" s="137">
        <f>IF($B40="","",CHOOSE(IFERROR(MATCH($C$4,Setup!$K$33:$K$36,0),1),SUMPRODUCT(COUNTIF('2027'!$C$35:$Z$35,Setup!$F$33:$F$40)),SUMPRODUCT(COUNTIF('2028'!$C$35:$Z$35,Setup!$F$33:$F$40)),SUMPRODUCT(COUNTIF('2029'!$C$35:$Z$35,Setup!$F$33:$F$40)),SUMPRODUCT(COUNTIF('2030'!$C$35:$Z$35,Setup!$F$33:$F$40))))</f>
        <v/>
      </c>
      <c r="D40" s="137">
        <f>IF($B40="","",CHOOSE(IFERROR(MATCH($C$4,Setup!$K$33:$K$36,0),1),SUMPRODUCT(COUNTIF('2027'!$C$85:$Z$85,Setup!$F$33:$F$40)),SUMPRODUCT(COUNTIF('2028'!$C$85:$Z$85,Setup!$F$33:$F$40)),SUMPRODUCT(COUNTIF('2029'!$C$85:$Z$85,Setup!$F$33:$F$40)),SUMPRODUCT(COUNTIF('2030'!$C$85:$Z$85,Setup!$F$33:$F$40))))</f>
        <v/>
      </c>
      <c r="E40" s="137">
        <f>IF($B40="","",CHOOSE(IFERROR(MATCH($C$4,Setup!$K$33:$K$36,0),1),SUMPRODUCT(COUNTIF('2027'!$C$135:$Z$135,Setup!$F$33:$F$40)),SUMPRODUCT(COUNTIF('2028'!$C$135:$Z$135,Setup!$F$33:$F$40)),SUMPRODUCT(COUNTIF('2029'!$C$135:$Z$135,Setup!$F$33:$F$40)),SUMPRODUCT(COUNTIF('2030'!$C$135:$Z$135,Setup!$F$33:$F$40))))</f>
        <v/>
      </c>
      <c r="F40" s="137">
        <f>IF($B40="","",CHOOSE(IFERROR(MATCH($C$4,Setup!$K$33:$K$36,0),1),SUMPRODUCT(COUNTIF('2027'!$C$185:$Z$185,Setup!$F$33:$F$40)),SUMPRODUCT(COUNTIF('2028'!$C$185:$Z$185,Setup!$F$33:$F$40)),SUMPRODUCT(COUNTIF('2029'!$C$185:$Z$185,Setup!$F$33:$F$40)),SUMPRODUCT(COUNTIF('2030'!$C$185:$Z$185,Setup!$F$33:$F$40))))</f>
        <v/>
      </c>
      <c r="G40" s="137">
        <f>IF($B40="","",CHOOSE(IFERROR(MATCH($C$4,Setup!$K$33:$K$36,0),1),SUMPRODUCT(COUNTIF('2027'!$C$235:$Z$235,Setup!$F$33:$F$40)),SUMPRODUCT(COUNTIF('2028'!$C$235:$Z$235,Setup!$F$33:$F$40)),SUMPRODUCT(COUNTIF('2029'!$C$235:$Z$235,Setup!$F$33:$F$40)),SUMPRODUCT(COUNTIF('2030'!$C$235:$Z$235,Setup!$F$33:$F$40))))</f>
        <v/>
      </c>
      <c r="H40" s="137">
        <f>IF($B40="","",CHOOSE(IFERROR(MATCH($C$4,Setup!$K$33:$K$36,0),1),SUMPRODUCT(COUNTIF('2027'!$C$285:$Z$285,Setup!$F$33:$F$40)),SUMPRODUCT(COUNTIF('2028'!$C$285:$Z$285,Setup!$F$33:$F$40)),SUMPRODUCT(COUNTIF('2029'!$C$285:$Z$285,Setup!$F$33:$F$40)),SUMPRODUCT(COUNTIF('2030'!$C$285:$Z$285,Setup!$F$33:$F$40))))</f>
        <v/>
      </c>
      <c r="I40" s="137">
        <f>IF($B40="","",CHOOSE(IFERROR(MATCH($C$4,Setup!$K$33:$K$36,0),1),SUMPRODUCT(COUNTIF('2027'!$C$335:$Z$335,Setup!$F$33:$F$40)),SUMPRODUCT(COUNTIF('2028'!$C$335:$Z$335,Setup!$F$33:$F$40)),SUMPRODUCT(COUNTIF('2029'!$C$335:$Z$335,Setup!$F$33:$F$40)),SUMPRODUCT(COUNTIF('2030'!$C$335:$Z$335,Setup!$F$33:$F$40))))</f>
        <v/>
      </c>
      <c r="J40" s="137">
        <f>IF($B40="","",CHOOSE(IFERROR(MATCH($C$4,Setup!$K$33:$K$36,0),1),SUMPRODUCT(COUNTIF('2027'!$C$385:$Z$385,Setup!$F$33:$F$40)),SUMPRODUCT(COUNTIF('2028'!$C$385:$Z$385,Setup!$F$33:$F$40)),SUMPRODUCT(COUNTIF('2029'!$C$385:$Z$385,Setup!$F$33:$F$40)),SUMPRODUCT(COUNTIF('2030'!$C$385:$Z$385,Setup!$F$33:$F$40))))</f>
        <v/>
      </c>
      <c r="K40" s="137">
        <f>IF($B40="","",CHOOSE(IFERROR(MATCH($C$4,Setup!$K$33:$K$36,0),1),SUMPRODUCT(COUNTIF('2027'!$C$435:$Z$435,Setup!$F$33:$F$40)),SUMPRODUCT(COUNTIF('2028'!$C$435:$Z$435,Setup!$F$33:$F$40)),SUMPRODUCT(COUNTIF('2029'!$C$435:$Z$435,Setup!$F$33:$F$40)),SUMPRODUCT(COUNTIF('2030'!$C$435:$Z$435,Setup!$F$33:$F$40))))</f>
        <v/>
      </c>
      <c r="L40" s="137">
        <f>IF($B40="","",CHOOSE(IFERROR(MATCH($C$4,Setup!$K$33:$K$36,0),1),SUMPRODUCT(COUNTIF('2027'!$C$485:$Z$485,Setup!$F$33:$F$40)),SUMPRODUCT(COUNTIF('2028'!$C$485:$Z$485,Setup!$F$33:$F$40)),SUMPRODUCT(COUNTIF('2029'!$C$485:$Z$485,Setup!$F$33:$F$40)),SUMPRODUCT(COUNTIF('2030'!$C$485:$Z$485,Setup!$F$33:$F$40))))</f>
        <v/>
      </c>
      <c r="M40" s="137">
        <f>IF($B40="","",CHOOSE(IFERROR(MATCH($C$4,Setup!$K$33:$K$36,0),1),SUMPRODUCT(COUNTIF('2027'!$C$535:$Z$535,Setup!$F$33:$F$40)),SUMPRODUCT(COUNTIF('2028'!$C$535:$Z$535,Setup!$F$33:$F$40)),SUMPRODUCT(COUNTIF('2029'!$C$535:$Z$535,Setup!$F$33:$F$40)),SUMPRODUCT(COUNTIF('2030'!$C$535:$Z$535,Setup!$F$33:$F$40))))</f>
        <v/>
      </c>
      <c r="N40" s="137">
        <f>IF($B40="","",CHOOSE(IFERROR(MATCH($C$4,Setup!$K$33:$K$36,0),1),SUMPRODUCT(COUNTIF('2027'!$C$585:$Z$585,Setup!$F$33:$F$40)),SUMPRODUCT(COUNTIF('2028'!$C$585:$Z$585,Setup!$F$33:$F$40)),SUMPRODUCT(COUNTIF('2029'!$C$585:$Z$585,Setup!$F$33:$F$40)),SUMPRODUCT(COUNTIF('2030'!$C$585:$Z$585,Setup!$F$33:$F$40))))</f>
        <v/>
      </c>
      <c r="O40" s="137">
        <f>IF($B40="","",CHOOSE(IFERROR(MATCH($C$4,Setup!$K$33:$K$36,0),1),SUMPRODUCT(COUNTIF('2027'!$C$635:$Z$635,Setup!$F$33:$F$40)),SUMPRODUCT(COUNTIF('2028'!$C$635:$Z$635,Setup!$F$33:$F$40)),SUMPRODUCT(COUNTIF('2029'!$C$635:$Z$635,Setup!$F$33:$F$40)),SUMPRODUCT(COUNTIF('2030'!$C$635:$Z$635,Setup!$F$33:$F$40))))</f>
        <v/>
      </c>
      <c r="P40" s="137">
        <f>IF($B40="","",CHOOSE(IFERROR(MATCH($C$4,Setup!$K$33:$K$36,0),1),SUMPRODUCT(COUNTIF('2027'!$C$685:$Z$685,Setup!$F$33:$F$40)),SUMPRODUCT(COUNTIF('2028'!$C$685:$Z$685,Setup!$F$33:$F$40)),SUMPRODUCT(COUNTIF('2029'!$C$685:$Z$685,Setup!$F$33:$F$40)),SUMPRODUCT(COUNTIF('2030'!$C$685:$Z$685,Setup!$F$33:$F$40))))</f>
        <v/>
      </c>
      <c r="Q40" s="137">
        <f>IF($B40="","",CHOOSE(IFERROR(MATCH($C$4,Setup!$K$33:$K$36,0),1),SUMPRODUCT(COUNTIF('2027'!$C$735:$Z$735,Setup!$F$33:$F$40)),SUMPRODUCT(COUNTIF('2028'!$C$735:$Z$735,Setup!$F$33:$F$40)),SUMPRODUCT(COUNTIF('2029'!$C$735:$Z$735,Setup!$F$33:$F$40)),SUMPRODUCT(COUNTIF('2030'!$C$735:$Z$735,Setup!$F$33:$F$40))))</f>
        <v/>
      </c>
      <c r="R40" s="137">
        <f>IF($B40="","",CHOOSE(IFERROR(MATCH($C$4,Setup!$K$33:$K$36,0),1),SUMPRODUCT(COUNTIF('2027'!$C$785:$Z$785,Setup!$F$33:$F$40)),SUMPRODUCT(COUNTIF('2028'!$C$785:$Z$785,Setup!$F$33:$F$40)),SUMPRODUCT(COUNTIF('2029'!$C$785:$Z$785,Setup!$F$33:$F$40)),SUMPRODUCT(COUNTIF('2030'!$C$785:$Z$785,Setup!$F$33:$F$40))))</f>
        <v/>
      </c>
      <c r="S40" s="137">
        <f>IF($B40="","",CHOOSE(IFERROR(MATCH($C$4,Setup!$K$33:$K$36,0),1),SUMPRODUCT(COUNTIF('2027'!$C$835:$Z$835,Setup!$F$33:$F$40)),SUMPRODUCT(COUNTIF('2028'!$C$835:$Z$835,Setup!$F$33:$F$40)),SUMPRODUCT(COUNTIF('2029'!$C$835:$Z$835,Setup!$F$33:$F$40)),SUMPRODUCT(COUNTIF('2030'!$C$835:$Z$835,Setup!$F$33:$F$40))))</f>
        <v/>
      </c>
      <c r="T40" s="137">
        <f>IF($B40="","",CHOOSE(IFERROR(MATCH($C$4,Setup!$K$33:$K$36,0),1),SUMPRODUCT(COUNTIF('2027'!$C$885:$Z$885,Setup!$F$33:$F$40)),SUMPRODUCT(COUNTIF('2028'!$C$885:$Z$885,Setup!$F$33:$F$40)),SUMPRODUCT(COUNTIF('2029'!$C$885:$Z$885,Setup!$F$33:$F$40)),SUMPRODUCT(COUNTIF('2030'!$C$885:$Z$885,Setup!$F$33:$F$40))))</f>
        <v/>
      </c>
      <c r="U40" s="137">
        <f>IF($B40="","",CHOOSE(IFERROR(MATCH($C$4,Setup!$K$33:$K$36,0),1),SUMPRODUCT(COUNTIF('2027'!$C$935:$Z$935,Setup!$F$33:$F$40)),SUMPRODUCT(COUNTIF('2028'!$C$935:$Z$935,Setup!$F$33:$F$40)),SUMPRODUCT(COUNTIF('2029'!$C$935:$Z$935,Setup!$F$33:$F$40)),SUMPRODUCT(COUNTIF('2030'!$C$935:$Z$935,Setup!$F$33:$F$40))))</f>
        <v/>
      </c>
      <c r="V40" s="137">
        <f>IF($B40="","",CHOOSE(IFERROR(MATCH($C$4,Setup!$K$33:$K$36,0),1),SUMPRODUCT(COUNTIF('2027'!$C$985:$Z$985,Setup!$F$33:$F$40)),SUMPRODUCT(COUNTIF('2028'!$C$985:$Z$985,Setup!$F$33:$F$40)),SUMPRODUCT(COUNTIF('2029'!$C$985:$Z$985,Setup!$F$33:$F$40)),SUMPRODUCT(COUNTIF('2030'!$C$985:$Z$985,Setup!$F$33:$F$40))))</f>
        <v/>
      </c>
      <c r="W40" s="137">
        <f>IF($B40="","",CHOOSE(IFERROR(MATCH($C$4,Setup!$K$33:$K$36,0),1),SUMPRODUCT(COUNTIF('2027'!$C$1035:$Z$1035,Setup!$F$33:$F$40)),SUMPRODUCT(COUNTIF('2028'!$C$1035:$Z$1035,Setup!$F$33:$F$40)),SUMPRODUCT(COUNTIF('2029'!$C$1035:$Z$1035,Setup!$F$33:$F$40)),SUMPRODUCT(COUNTIF('2030'!$C$1035:$Z$1035,Setup!$F$33:$F$40))))</f>
        <v/>
      </c>
      <c r="X40" s="137">
        <f>IF($B40="","",CHOOSE(IFERROR(MATCH($C$4,Setup!$K$33:$K$36,0),1),SUMPRODUCT(COUNTIF('2027'!$C$1085:$Z$1085,Setup!$F$33:$F$40)),SUMPRODUCT(COUNTIF('2028'!$C$1085:$Z$1085,Setup!$F$33:$F$40)),SUMPRODUCT(COUNTIF('2029'!$C$1085:$Z$1085,Setup!$F$33:$F$40)),SUMPRODUCT(COUNTIF('2030'!$C$1085:$Z$1085,Setup!$F$33:$F$40))))</f>
        <v/>
      </c>
      <c r="Y40" s="137">
        <f>IF($B40="","",CHOOSE(IFERROR(MATCH($C$4,Setup!$K$33:$K$36,0),1),SUMPRODUCT(COUNTIF('2027'!$C$1135:$Z$1135,Setup!$F$33:$F$40)),SUMPRODUCT(COUNTIF('2028'!$C$1135:$Z$1135,Setup!$F$33:$F$40)),SUMPRODUCT(COUNTIF('2029'!$C$1135:$Z$1135,Setup!$F$33:$F$40)),SUMPRODUCT(COUNTIF('2030'!$C$1135:$Z$1135,Setup!$F$33:$F$40))))</f>
        <v/>
      </c>
      <c r="Z40" s="137">
        <f>IF($B40="","",CHOOSE(IFERROR(MATCH($C$4,Setup!$K$33:$K$36,0),1),SUMPRODUCT(COUNTIF('2027'!$C$1185:$Z$1185,Setup!$F$33:$F$40)),SUMPRODUCT(COUNTIF('2028'!$C$1185:$Z$1185,Setup!$F$33:$F$40)),SUMPRODUCT(COUNTIF('2029'!$C$1185:$Z$1185,Setup!$F$33:$F$40)),SUMPRODUCT(COUNTIF('2030'!$C$1185:$Z$1185,Setup!$F$33:$F$40))))</f>
        <v/>
      </c>
      <c r="AA40" s="137">
        <f>IF($B40="","",CHOOSE(IFERROR(MATCH($C$4,Setup!$K$33:$K$36,0),1),SUMPRODUCT(COUNTIF('2027'!$C$1235:$Z$1235,Setup!$F$33:$F$40)),SUMPRODUCT(COUNTIF('2028'!$C$1235:$Z$1235,Setup!$F$33:$F$40)),SUMPRODUCT(COUNTIF('2029'!$C$1235:$Z$1235,Setup!$F$33:$F$40)),SUMPRODUCT(COUNTIF('2030'!$C$1235:$Z$1235,Setup!$F$33:$F$40))))</f>
        <v/>
      </c>
      <c r="AB40" s="137">
        <f>IF($B40="","",CHOOSE(IFERROR(MATCH($C$4,Setup!$K$33:$K$36,0),1),SUMPRODUCT(COUNTIF('2027'!$C$1285:$Z$1285,Setup!$F$33:$F$40)),SUMPRODUCT(COUNTIF('2028'!$C$1285:$Z$1285,Setup!$F$33:$F$40)),SUMPRODUCT(COUNTIF('2029'!$C$1285:$Z$1285,Setup!$F$33:$F$40)),SUMPRODUCT(COUNTIF('2030'!$C$1285:$Z$1285,Setup!$F$33:$F$40))))</f>
        <v/>
      </c>
      <c r="AC40" s="137">
        <f>IF($B40="","",CHOOSE(IFERROR(MATCH($C$4,Setup!$K$33:$K$36,0),1),SUMPRODUCT(COUNTIF('2027'!$C$1335:$Z$1335,Setup!$F$33:$F$40)),SUMPRODUCT(COUNTIF('2028'!$C$1335:$Z$1335,Setup!$F$33:$F$40)),SUMPRODUCT(COUNTIF('2029'!$C$1335:$Z$1335,Setup!$F$33:$F$40)),SUMPRODUCT(COUNTIF('2030'!$C$1335:$Z$1335,Setup!$F$33:$F$40))))</f>
        <v/>
      </c>
      <c r="AD40" s="137">
        <f>IF($B40="","",CHOOSE(IFERROR(MATCH($C$4,Setup!$K$33:$K$36,0),1),SUMPRODUCT(COUNTIF('2027'!$C$1385:$Z$1385,Setup!$F$33:$F$40)),SUMPRODUCT(COUNTIF('2028'!$C$1385:$Z$1385,Setup!$F$33:$F$40)),SUMPRODUCT(COUNTIF('2029'!$C$1385:$Z$1385,Setup!$F$33:$F$40)),SUMPRODUCT(COUNTIF('2030'!$C$1385:$Z$1385,Setup!$F$33:$F$40))))</f>
        <v/>
      </c>
      <c r="AE40" s="137">
        <f>IF($B40="","",CHOOSE(IFERROR(MATCH($C$4,Setup!$K$33:$K$36,0),1),SUMPRODUCT(COUNTIF('2027'!$C$1435:$Z$1435,Setup!$F$33:$F$40)),SUMPRODUCT(COUNTIF('2028'!$C$1435:$Z$1435,Setup!$F$33:$F$40)),SUMPRODUCT(COUNTIF('2029'!$C$1435:$Z$1435,Setup!$F$33:$F$40)),SUMPRODUCT(COUNTIF('2030'!$C$1435:$Z$1435,Setup!$F$33:$F$40))))</f>
        <v/>
      </c>
      <c r="AF40" s="137">
        <f>IF($B40="","",CHOOSE(IFERROR(MATCH($C$4,Setup!$K$33:$K$36,0),1),SUMPRODUCT(COUNTIF('2027'!$C$1485:$Z$1485,Setup!$F$33:$F$40)),SUMPRODUCT(COUNTIF('2028'!$C$1485:$Z$1485,Setup!$F$33:$F$40)),SUMPRODUCT(COUNTIF('2029'!$C$1485:$Z$1485,Setup!$F$33:$F$40)),SUMPRODUCT(COUNTIF('2030'!$C$1485:$Z$1485,Setup!$F$33:$F$40))))</f>
        <v/>
      </c>
      <c r="AG40" s="137">
        <f>IF($B40="","",CHOOSE(IFERROR(MATCH($C$4,Setup!$K$33:$K$36,0),1),SUMPRODUCT(COUNTIF('2027'!$C$1535:$Z$1535,Setup!$F$33:$F$40)),SUMPRODUCT(COUNTIF('2028'!$C$1535:$Z$1535,Setup!$F$33:$F$40)),SUMPRODUCT(COUNTIF('2029'!$C$1535:$Z$1535,Setup!$F$33:$F$40)),SUMPRODUCT(COUNTIF('2030'!$C$1535:$Z$1535,Setup!$F$33:$F$40))))</f>
        <v/>
      </c>
      <c r="AH40" s="137">
        <f>IF($B40="","",CHOOSE(IFERROR(MATCH($C$4,Setup!$K$33:$K$36,0),1),SUMPRODUCT(COUNTIF('2027'!$C$1585:$Z$1585,Setup!$F$33:$F$40)),SUMPRODUCT(COUNTIF('2028'!$C$1585:$Z$1585,Setup!$F$33:$F$40)),SUMPRODUCT(COUNTIF('2029'!$C$1585:$Z$1585,Setup!$F$33:$F$40)),SUMPRODUCT(COUNTIF('2030'!$C$1585:$Z$1585,Setup!$F$33:$F$40))))</f>
        <v/>
      </c>
      <c r="AI40" s="137">
        <f>IF($B40="","",CHOOSE(IFERROR(MATCH($C$4,Setup!$K$33:$K$36,0),1),SUMPRODUCT(COUNTIF('2027'!$C$1635:$Z$1635,Setup!$F$33:$F$40)),SUMPRODUCT(COUNTIF('2028'!$C$1635:$Z$1635,Setup!$F$33:$F$40)),SUMPRODUCT(COUNTIF('2029'!$C$1635:$Z$1635,Setup!$F$33:$F$40)),SUMPRODUCT(COUNTIF('2030'!$C$1635:$Z$1635,Setup!$F$33:$F$40))))</f>
        <v/>
      </c>
      <c r="AJ40" s="137">
        <f>IF($B40="","",CHOOSE(IFERROR(MATCH($C$4,Setup!$K$33:$K$36,0),1),SUMPRODUCT(COUNTIF('2027'!$C$1685:$Z$1685,Setup!$F$33:$F$40)),SUMPRODUCT(COUNTIF('2028'!$C$1685:$Z$1685,Setup!$F$33:$F$40)),SUMPRODUCT(COUNTIF('2029'!$C$1685:$Z$1685,Setup!$F$33:$F$40)),SUMPRODUCT(COUNTIF('2030'!$C$1685:$Z$1685,Setup!$F$33:$F$40))))</f>
        <v/>
      </c>
      <c r="AK40" s="137">
        <f>IF($B40="","",CHOOSE(IFERROR(MATCH($C$4,Setup!$K$33:$K$36,0),1),SUMPRODUCT(COUNTIF('2027'!$C$1735:$Z$1735,Setup!$F$33:$F$40)),SUMPRODUCT(COUNTIF('2028'!$C$1735:$Z$1735,Setup!$F$33:$F$40)),SUMPRODUCT(COUNTIF('2029'!$C$1735:$Z$1735,Setup!$F$33:$F$40)),SUMPRODUCT(COUNTIF('2030'!$C$1735:$Z$1735,Setup!$F$33:$F$40))))</f>
        <v/>
      </c>
      <c r="AL40" s="137">
        <f>IF($B40="","",CHOOSE(IFERROR(MATCH($C$4,Setup!$K$33:$K$36,0),1),SUMPRODUCT(COUNTIF('2027'!$C$1785:$Z$1785,Setup!$F$33:$F$40)),SUMPRODUCT(COUNTIF('2028'!$C$1785:$Z$1785,Setup!$F$33:$F$40)),SUMPRODUCT(COUNTIF('2029'!$C$1785:$Z$1785,Setup!$F$33:$F$40)),SUMPRODUCT(COUNTIF('2030'!$C$1785:$Z$1785,Setup!$F$33:$F$40))))</f>
        <v/>
      </c>
      <c r="AM40" s="137">
        <f>IF($B40="","",CHOOSE(IFERROR(MATCH($C$4,Setup!$K$33:$K$36,0),1),SUMPRODUCT(COUNTIF('2027'!$C$1835:$Z$1835,Setup!$F$33:$F$40)),SUMPRODUCT(COUNTIF('2028'!$C$1835:$Z$1835,Setup!$F$33:$F$40)),SUMPRODUCT(COUNTIF('2029'!$C$1835:$Z$1835,Setup!$F$33:$F$40)),SUMPRODUCT(COUNTIF('2030'!$C$1835:$Z$1835,Setup!$F$33:$F$40))))</f>
        <v/>
      </c>
      <c r="AN40" s="137">
        <f>IF($B40="","",CHOOSE(IFERROR(MATCH($C$4,Setup!$K$33:$K$36,0),1),SUMPRODUCT(COUNTIF('2027'!$C$1885:$Z$1885,Setup!$F$33:$F$40)),SUMPRODUCT(COUNTIF('2028'!$C$1885:$Z$1885,Setup!$F$33:$F$40)),SUMPRODUCT(COUNTIF('2029'!$C$1885:$Z$1885,Setup!$F$33:$F$40)),SUMPRODUCT(COUNTIF('2030'!$C$1885:$Z$1885,Setup!$F$33:$F$40))))</f>
        <v/>
      </c>
      <c r="AO40" s="137">
        <f>IF($B40="","",CHOOSE(IFERROR(MATCH($C$4,Setup!$K$33:$K$36,0),1),SUMPRODUCT(COUNTIF('2027'!$C$1935:$Z$1935,Setup!$F$33:$F$40)),SUMPRODUCT(COUNTIF('2028'!$C$1935:$Z$1935,Setup!$F$33:$F$40)),SUMPRODUCT(COUNTIF('2029'!$C$1935:$Z$1935,Setup!$F$33:$F$40)),SUMPRODUCT(COUNTIF('2030'!$C$1935:$Z$1935,Setup!$F$33:$F$40))))</f>
        <v/>
      </c>
      <c r="AP40" s="137">
        <f>IF($B40="","",CHOOSE(IFERROR(MATCH($C$4,Setup!$K$33:$K$36,0),1),SUMPRODUCT(COUNTIF('2027'!$C$1985:$Z$1985,Setup!$F$33:$F$40)),SUMPRODUCT(COUNTIF('2028'!$C$1985:$Z$1985,Setup!$F$33:$F$40)),SUMPRODUCT(COUNTIF('2029'!$C$1985:$Z$1985,Setup!$F$33:$F$40)),SUMPRODUCT(COUNTIF('2030'!$C$1985:$Z$1985,Setup!$F$33:$F$40))))</f>
        <v/>
      </c>
      <c r="AQ40" s="137">
        <f>IF($B40="","",CHOOSE(IFERROR(MATCH($C$4,Setup!$K$33:$K$36,0),1),SUMPRODUCT(COUNTIF('2027'!$C$2035:$Z$2035,Setup!$F$33:$F$40)),SUMPRODUCT(COUNTIF('2028'!$C$2035:$Z$2035,Setup!$F$33:$F$40)),SUMPRODUCT(COUNTIF('2029'!$C$2035:$Z$2035,Setup!$F$33:$F$40)),SUMPRODUCT(COUNTIF('2030'!$C$2035:$Z$2035,Setup!$F$33:$F$40))))</f>
        <v/>
      </c>
      <c r="AR40" s="137">
        <f>IF($B40="","",CHOOSE(IFERROR(MATCH($C$4,Setup!$K$33:$K$36,0),1),SUMPRODUCT(COUNTIF('2027'!$C$2085:$Z$2085,Setup!$F$33:$F$40)),SUMPRODUCT(COUNTIF('2028'!$C$2085:$Z$2085,Setup!$F$33:$F$40)),SUMPRODUCT(COUNTIF('2029'!$C$2085:$Z$2085,Setup!$F$33:$F$40)),SUMPRODUCT(COUNTIF('2030'!$C$2085:$Z$2085,Setup!$F$33:$F$40))))</f>
        <v/>
      </c>
      <c r="AS40" s="137">
        <f>IF($B40="","",CHOOSE(IFERROR(MATCH($C$4,Setup!$K$33:$K$36,0),1),SUMPRODUCT(COUNTIF('2027'!$C$2135:$Z$2135,Setup!$F$33:$F$40)),SUMPRODUCT(COUNTIF('2028'!$C$2135:$Z$2135,Setup!$F$33:$F$40)),SUMPRODUCT(COUNTIF('2029'!$C$2135:$Z$2135,Setup!$F$33:$F$40)),SUMPRODUCT(COUNTIF('2030'!$C$2135:$Z$2135,Setup!$F$33:$F$40))))</f>
        <v/>
      </c>
      <c r="AT40" s="137">
        <f>IF($B40="","",CHOOSE(IFERROR(MATCH($C$4,Setup!$K$33:$K$36,0),1),SUMPRODUCT(COUNTIF('2027'!$C$2185:$Z$2185,Setup!$F$33:$F$40)),SUMPRODUCT(COUNTIF('2028'!$C$2185:$Z$2185,Setup!$F$33:$F$40)),SUMPRODUCT(COUNTIF('2029'!$C$2185:$Z$2185,Setup!$F$33:$F$40)),SUMPRODUCT(COUNTIF('2030'!$C$2185:$Z$2185,Setup!$F$33:$F$40))))</f>
        <v/>
      </c>
      <c r="AU40" s="137">
        <f>IF($B40="","",CHOOSE(IFERROR(MATCH($C$4,Setup!$K$33:$K$36,0),1),SUMPRODUCT(COUNTIF('2027'!$C$2235:$Z$2235,Setup!$F$33:$F$40)),SUMPRODUCT(COUNTIF('2028'!$C$2235:$Z$2235,Setup!$F$33:$F$40)),SUMPRODUCT(COUNTIF('2029'!$C$2235:$Z$2235,Setup!$F$33:$F$40)),SUMPRODUCT(COUNTIF('2030'!$C$2235:$Z$2235,Setup!$F$33:$F$40))))</f>
        <v/>
      </c>
      <c r="AV40" s="137">
        <f>IF($B40="","",CHOOSE(IFERROR(MATCH($C$4,Setup!$K$33:$K$36,0),1),SUMPRODUCT(COUNTIF('2027'!$C$2285:$Z$2285,Setup!$F$33:$F$40)),SUMPRODUCT(COUNTIF('2028'!$C$2285:$Z$2285,Setup!$F$33:$F$40)),SUMPRODUCT(COUNTIF('2029'!$C$2285:$Z$2285,Setup!$F$33:$F$40)),SUMPRODUCT(COUNTIF('2030'!$C$2285:$Z$2285,Setup!$F$33:$F$40))))</f>
        <v/>
      </c>
      <c r="AW40" s="137">
        <f>IF($B40="","",CHOOSE(IFERROR(MATCH($C$4,Setup!$K$33:$K$36,0),1),SUMPRODUCT(COUNTIF('2027'!$C$2335:$Z$2335,Setup!$F$33:$F$40)),SUMPRODUCT(COUNTIF('2028'!$C$2335:$Z$2335,Setup!$F$33:$F$40)),SUMPRODUCT(COUNTIF('2029'!$C$2335:$Z$2335,Setup!$F$33:$F$40)),SUMPRODUCT(COUNTIF('2030'!$C$2335:$Z$2335,Setup!$F$33:$F$40))))</f>
        <v/>
      </c>
      <c r="AX40" s="137">
        <f>IF($B40="","",CHOOSE(IFERROR(MATCH($C$4,Setup!$K$33:$K$36,0),1),SUMPRODUCT(COUNTIF('2027'!$C$2385:$Z$2385,Setup!$F$33:$F$40)),SUMPRODUCT(COUNTIF('2028'!$C$2385:$Z$2385,Setup!$F$33:$F$40)),SUMPRODUCT(COUNTIF('2029'!$C$2385:$Z$2385,Setup!$F$33:$F$40)),SUMPRODUCT(COUNTIF('2030'!$C$2385:$Z$2385,Setup!$F$33:$F$40))))</f>
        <v/>
      </c>
      <c r="AY40" s="137">
        <f>IF($B40="","",CHOOSE(IFERROR(MATCH($C$4,Setup!$K$33:$K$36,0),1),SUMPRODUCT(COUNTIF('2027'!$C$2435:$Z$2435,Setup!$F$33:$F$40)),SUMPRODUCT(COUNTIF('2028'!$C$2435:$Z$2435,Setup!$F$33:$F$40)),SUMPRODUCT(COUNTIF('2029'!$C$2435:$Z$2435,Setup!$F$33:$F$40)),SUMPRODUCT(COUNTIF('2030'!$C$2435:$Z$2435,Setup!$F$33:$F$40))))</f>
        <v/>
      </c>
      <c r="AZ40" s="137">
        <f>IF($B40="","",CHOOSE(IFERROR(MATCH($C$4,Setup!$K$33:$K$36,0),1),SUMPRODUCT(COUNTIF('2027'!$C$2485:$Z$2485,Setup!$F$33:$F$40)),SUMPRODUCT(COUNTIF('2028'!$C$2485:$Z$2485,Setup!$F$33:$F$40)),SUMPRODUCT(COUNTIF('2029'!$C$2485:$Z$2485,Setup!$F$33:$F$40)),SUMPRODUCT(COUNTIF('2030'!$C$2485:$Z$2485,Setup!$F$33:$F$40))))</f>
        <v/>
      </c>
      <c r="BA40" s="137">
        <f>IF($B40="","",CHOOSE(IFERROR(MATCH($C$4,Setup!$K$33:$K$36,0),1),SUMPRODUCT(COUNTIF('2027'!$C$2535:$Z$2535,Setup!$F$33:$F$40)),SUMPRODUCT(COUNTIF('2028'!$C$2535:$Z$2535,Setup!$F$33:$F$40)),SUMPRODUCT(COUNTIF('2029'!$C$2535:$Z$2535,Setup!$F$33:$F$40)),SUMPRODUCT(COUNTIF('2030'!$C$2535:$Z$2535,Setup!$F$33:$F$40))))</f>
        <v/>
      </c>
      <c r="BB40" s="137">
        <f>IF($B40="","",CHOOSE(IFERROR(MATCH($C$4,Setup!$K$33:$K$36,0),1),SUMPRODUCT(COUNTIF('2027'!$C$2585:$Z$2585,Setup!$F$33:$F$40)),SUMPRODUCT(COUNTIF('2028'!$C$2585:$Z$2585,Setup!$F$33:$F$40)),SUMPRODUCT(COUNTIF('2029'!$C$2585:$Z$2585,Setup!$F$33:$F$40)),SUMPRODUCT(COUNTIF('2030'!$C$2585:$Z$2585,Setup!$F$33:$F$40))))</f>
        <v/>
      </c>
      <c r="BC40" s="137">
        <f>IF($B40="","",CHOOSE(IFERROR(MATCH($C$4,Setup!$K$33:$K$36,0),1),SUMPRODUCT(COUNTIF('2027'!$C$2635:$Z$2635,Setup!$F$33:$F$40)),SUMPRODUCT(COUNTIF('2028'!$C$2635:$Z$2635,Setup!$F$33:$F$40)),SUMPRODUCT(COUNTIF('2029'!$C$2635:$Z$2635,Setup!$F$33:$F$40)),SUMPRODUCT(COUNTIF('2030'!$C$2635:$Z$2635,Setup!$F$33:$F$40))))</f>
        <v/>
      </c>
      <c r="BE40" s="129">
        <f>IF($B40="","",SUM(C40:BC40))</f>
        <v/>
      </c>
      <c r="BF40" s="130">
        <f>IF($B40="","",COUNTIF(C40:BC40,"&gt;0"))</f>
        <v/>
      </c>
      <c r="BG40" s="130">
        <f>IF(OR($B40="",N(BE40)=0),"",MATCH(MAX(C40:BC40),C40:BC40,0))</f>
        <v/>
      </c>
    </row>
    <row r="41" ht="15" customHeight="1">
      <c r="B41" s="136">
        <f>IF(Setup!$B$15="","",Setup!$B$15)</f>
        <v/>
      </c>
      <c r="C41" s="137">
        <f>IF($B41="","",CHOOSE(IFERROR(MATCH($C$4,Setup!$K$33:$K$36,0),1),SUMPRODUCT(COUNTIF('2027'!$C$36:$Z$36,Setup!$F$33:$F$40)),SUMPRODUCT(COUNTIF('2028'!$C$36:$Z$36,Setup!$F$33:$F$40)),SUMPRODUCT(COUNTIF('2029'!$C$36:$Z$36,Setup!$F$33:$F$40)),SUMPRODUCT(COUNTIF('2030'!$C$36:$Z$36,Setup!$F$33:$F$40))))</f>
        <v/>
      </c>
      <c r="D41" s="137">
        <f>IF($B41="","",CHOOSE(IFERROR(MATCH($C$4,Setup!$K$33:$K$36,0),1),SUMPRODUCT(COUNTIF('2027'!$C$86:$Z$86,Setup!$F$33:$F$40)),SUMPRODUCT(COUNTIF('2028'!$C$86:$Z$86,Setup!$F$33:$F$40)),SUMPRODUCT(COUNTIF('2029'!$C$86:$Z$86,Setup!$F$33:$F$40)),SUMPRODUCT(COUNTIF('2030'!$C$86:$Z$86,Setup!$F$33:$F$40))))</f>
        <v/>
      </c>
      <c r="E41" s="137">
        <f>IF($B41="","",CHOOSE(IFERROR(MATCH($C$4,Setup!$K$33:$K$36,0),1),SUMPRODUCT(COUNTIF('2027'!$C$136:$Z$136,Setup!$F$33:$F$40)),SUMPRODUCT(COUNTIF('2028'!$C$136:$Z$136,Setup!$F$33:$F$40)),SUMPRODUCT(COUNTIF('2029'!$C$136:$Z$136,Setup!$F$33:$F$40)),SUMPRODUCT(COUNTIF('2030'!$C$136:$Z$136,Setup!$F$33:$F$40))))</f>
        <v/>
      </c>
      <c r="F41" s="137">
        <f>IF($B41="","",CHOOSE(IFERROR(MATCH($C$4,Setup!$K$33:$K$36,0),1),SUMPRODUCT(COUNTIF('2027'!$C$186:$Z$186,Setup!$F$33:$F$40)),SUMPRODUCT(COUNTIF('2028'!$C$186:$Z$186,Setup!$F$33:$F$40)),SUMPRODUCT(COUNTIF('2029'!$C$186:$Z$186,Setup!$F$33:$F$40)),SUMPRODUCT(COUNTIF('2030'!$C$186:$Z$186,Setup!$F$33:$F$40))))</f>
        <v/>
      </c>
      <c r="G41" s="137">
        <f>IF($B41="","",CHOOSE(IFERROR(MATCH($C$4,Setup!$K$33:$K$36,0),1),SUMPRODUCT(COUNTIF('2027'!$C$236:$Z$236,Setup!$F$33:$F$40)),SUMPRODUCT(COUNTIF('2028'!$C$236:$Z$236,Setup!$F$33:$F$40)),SUMPRODUCT(COUNTIF('2029'!$C$236:$Z$236,Setup!$F$33:$F$40)),SUMPRODUCT(COUNTIF('2030'!$C$236:$Z$236,Setup!$F$33:$F$40))))</f>
        <v/>
      </c>
      <c r="H41" s="137">
        <f>IF($B41="","",CHOOSE(IFERROR(MATCH($C$4,Setup!$K$33:$K$36,0),1),SUMPRODUCT(COUNTIF('2027'!$C$286:$Z$286,Setup!$F$33:$F$40)),SUMPRODUCT(COUNTIF('2028'!$C$286:$Z$286,Setup!$F$33:$F$40)),SUMPRODUCT(COUNTIF('2029'!$C$286:$Z$286,Setup!$F$33:$F$40)),SUMPRODUCT(COUNTIF('2030'!$C$286:$Z$286,Setup!$F$33:$F$40))))</f>
        <v/>
      </c>
      <c r="I41" s="137">
        <f>IF($B41="","",CHOOSE(IFERROR(MATCH($C$4,Setup!$K$33:$K$36,0),1),SUMPRODUCT(COUNTIF('2027'!$C$336:$Z$336,Setup!$F$33:$F$40)),SUMPRODUCT(COUNTIF('2028'!$C$336:$Z$336,Setup!$F$33:$F$40)),SUMPRODUCT(COUNTIF('2029'!$C$336:$Z$336,Setup!$F$33:$F$40)),SUMPRODUCT(COUNTIF('2030'!$C$336:$Z$336,Setup!$F$33:$F$40))))</f>
        <v/>
      </c>
      <c r="J41" s="137">
        <f>IF($B41="","",CHOOSE(IFERROR(MATCH($C$4,Setup!$K$33:$K$36,0),1),SUMPRODUCT(COUNTIF('2027'!$C$386:$Z$386,Setup!$F$33:$F$40)),SUMPRODUCT(COUNTIF('2028'!$C$386:$Z$386,Setup!$F$33:$F$40)),SUMPRODUCT(COUNTIF('2029'!$C$386:$Z$386,Setup!$F$33:$F$40)),SUMPRODUCT(COUNTIF('2030'!$C$386:$Z$386,Setup!$F$33:$F$40))))</f>
        <v/>
      </c>
      <c r="K41" s="137">
        <f>IF($B41="","",CHOOSE(IFERROR(MATCH($C$4,Setup!$K$33:$K$36,0),1),SUMPRODUCT(COUNTIF('2027'!$C$436:$Z$436,Setup!$F$33:$F$40)),SUMPRODUCT(COUNTIF('2028'!$C$436:$Z$436,Setup!$F$33:$F$40)),SUMPRODUCT(COUNTIF('2029'!$C$436:$Z$436,Setup!$F$33:$F$40)),SUMPRODUCT(COUNTIF('2030'!$C$436:$Z$436,Setup!$F$33:$F$40))))</f>
        <v/>
      </c>
      <c r="L41" s="137">
        <f>IF($B41="","",CHOOSE(IFERROR(MATCH($C$4,Setup!$K$33:$K$36,0),1),SUMPRODUCT(COUNTIF('2027'!$C$486:$Z$486,Setup!$F$33:$F$40)),SUMPRODUCT(COUNTIF('2028'!$C$486:$Z$486,Setup!$F$33:$F$40)),SUMPRODUCT(COUNTIF('2029'!$C$486:$Z$486,Setup!$F$33:$F$40)),SUMPRODUCT(COUNTIF('2030'!$C$486:$Z$486,Setup!$F$33:$F$40))))</f>
        <v/>
      </c>
      <c r="M41" s="137">
        <f>IF($B41="","",CHOOSE(IFERROR(MATCH($C$4,Setup!$K$33:$K$36,0),1),SUMPRODUCT(COUNTIF('2027'!$C$536:$Z$536,Setup!$F$33:$F$40)),SUMPRODUCT(COUNTIF('2028'!$C$536:$Z$536,Setup!$F$33:$F$40)),SUMPRODUCT(COUNTIF('2029'!$C$536:$Z$536,Setup!$F$33:$F$40)),SUMPRODUCT(COUNTIF('2030'!$C$536:$Z$536,Setup!$F$33:$F$40))))</f>
        <v/>
      </c>
      <c r="N41" s="137">
        <f>IF($B41="","",CHOOSE(IFERROR(MATCH($C$4,Setup!$K$33:$K$36,0),1),SUMPRODUCT(COUNTIF('2027'!$C$586:$Z$586,Setup!$F$33:$F$40)),SUMPRODUCT(COUNTIF('2028'!$C$586:$Z$586,Setup!$F$33:$F$40)),SUMPRODUCT(COUNTIF('2029'!$C$586:$Z$586,Setup!$F$33:$F$40)),SUMPRODUCT(COUNTIF('2030'!$C$586:$Z$586,Setup!$F$33:$F$40))))</f>
        <v/>
      </c>
      <c r="O41" s="137">
        <f>IF($B41="","",CHOOSE(IFERROR(MATCH($C$4,Setup!$K$33:$K$36,0),1),SUMPRODUCT(COUNTIF('2027'!$C$636:$Z$636,Setup!$F$33:$F$40)),SUMPRODUCT(COUNTIF('2028'!$C$636:$Z$636,Setup!$F$33:$F$40)),SUMPRODUCT(COUNTIF('2029'!$C$636:$Z$636,Setup!$F$33:$F$40)),SUMPRODUCT(COUNTIF('2030'!$C$636:$Z$636,Setup!$F$33:$F$40))))</f>
        <v/>
      </c>
      <c r="P41" s="137">
        <f>IF($B41="","",CHOOSE(IFERROR(MATCH($C$4,Setup!$K$33:$K$36,0),1),SUMPRODUCT(COUNTIF('2027'!$C$686:$Z$686,Setup!$F$33:$F$40)),SUMPRODUCT(COUNTIF('2028'!$C$686:$Z$686,Setup!$F$33:$F$40)),SUMPRODUCT(COUNTIF('2029'!$C$686:$Z$686,Setup!$F$33:$F$40)),SUMPRODUCT(COUNTIF('2030'!$C$686:$Z$686,Setup!$F$33:$F$40))))</f>
        <v/>
      </c>
      <c r="Q41" s="137">
        <f>IF($B41="","",CHOOSE(IFERROR(MATCH($C$4,Setup!$K$33:$K$36,0),1),SUMPRODUCT(COUNTIF('2027'!$C$736:$Z$736,Setup!$F$33:$F$40)),SUMPRODUCT(COUNTIF('2028'!$C$736:$Z$736,Setup!$F$33:$F$40)),SUMPRODUCT(COUNTIF('2029'!$C$736:$Z$736,Setup!$F$33:$F$40)),SUMPRODUCT(COUNTIF('2030'!$C$736:$Z$736,Setup!$F$33:$F$40))))</f>
        <v/>
      </c>
      <c r="R41" s="137">
        <f>IF($B41="","",CHOOSE(IFERROR(MATCH($C$4,Setup!$K$33:$K$36,0),1),SUMPRODUCT(COUNTIF('2027'!$C$786:$Z$786,Setup!$F$33:$F$40)),SUMPRODUCT(COUNTIF('2028'!$C$786:$Z$786,Setup!$F$33:$F$40)),SUMPRODUCT(COUNTIF('2029'!$C$786:$Z$786,Setup!$F$33:$F$40)),SUMPRODUCT(COUNTIF('2030'!$C$786:$Z$786,Setup!$F$33:$F$40))))</f>
        <v/>
      </c>
      <c r="S41" s="137">
        <f>IF($B41="","",CHOOSE(IFERROR(MATCH($C$4,Setup!$K$33:$K$36,0),1),SUMPRODUCT(COUNTIF('2027'!$C$836:$Z$836,Setup!$F$33:$F$40)),SUMPRODUCT(COUNTIF('2028'!$C$836:$Z$836,Setup!$F$33:$F$40)),SUMPRODUCT(COUNTIF('2029'!$C$836:$Z$836,Setup!$F$33:$F$40)),SUMPRODUCT(COUNTIF('2030'!$C$836:$Z$836,Setup!$F$33:$F$40))))</f>
        <v/>
      </c>
      <c r="T41" s="137">
        <f>IF($B41="","",CHOOSE(IFERROR(MATCH($C$4,Setup!$K$33:$K$36,0),1),SUMPRODUCT(COUNTIF('2027'!$C$886:$Z$886,Setup!$F$33:$F$40)),SUMPRODUCT(COUNTIF('2028'!$C$886:$Z$886,Setup!$F$33:$F$40)),SUMPRODUCT(COUNTIF('2029'!$C$886:$Z$886,Setup!$F$33:$F$40)),SUMPRODUCT(COUNTIF('2030'!$C$886:$Z$886,Setup!$F$33:$F$40))))</f>
        <v/>
      </c>
      <c r="U41" s="137">
        <f>IF($B41="","",CHOOSE(IFERROR(MATCH($C$4,Setup!$K$33:$K$36,0),1),SUMPRODUCT(COUNTIF('2027'!$C$936:$Z$936,Setup!$F$33:$F$40)),SUMPRODUCT(COUNTIF('2028'!$C$936:$Z$936,Setup!$F$33:$F$40)),SUMPRODUCT(COUNTIF('2029'!$C$936:$Z$936,Setup!$F$33:$F$40)),SUMPRODUCT(COUNTIF('2030'!$C$936:$Z$936,Setup!$F$33:$F$40))))</f>
        <v/>
      </c>
      <c r="V41" s="137">
        <f>IF($B41="","",CHOOSE(IFERROR(MATCH($C$4,Setup!$K$33:$K$36,0),1),SUMPRODUCT(COUNTIF('2027'!$C$986:$Z$986,Setup!$F$33:$F$40)),SUMPRODUCT(COUNTIF('2028'!$C$986:$Z$986,Setup!$F$33:$F$40)),SUMPRODUCT(COUNTIF('2029'!$C$986:$Z$986,Setup!$F$33:$F$40)),SUMPRODUCT(COUNTIF('2030'!$C$986:$Z$986,Setup!$F$33:$F$40))))</f>
        <v/>
      </c>
      <c r="W41" s="137">
        <f>IF($B41="","",CHOOSE(IFERROR(MATCH($C$4,Setup!$K$33:$K$36,0),1),SUMPRODUCT(COUNTIF('2027'!$C$1036:$Z$1036,Setup!$F$33:$F$40)),SUMPRODUCT(COUNTIF('2028'!$C$1036:$Z$1036,Setup!$F$33:$F$40)),SUMPRODUCT(COUNTIF('2029'!$C$1036:$Z$1036,Setup!$F$33:$F$40)),SUMPRODUCT(COUNTIF('2030'!$C$1036:$Z$1036,Setup!$F$33:$F$40))))</f>
        <v/>
      </c>
      <c r="X41" s="137">
        <f>IF($B41="","",CHOOSE(IFERROR(MATCH($C$4,Setup!$K$33:$K$36,0),1),SUMPRODUCT(COUNTIF('2027'!$C$1086:$Z$1086,Setup!$F$33:$F$40)),SUMPRODUCT(COUNTIF('2028'!$C$1086:$Z$1086,Setup!$F$33:$F$40)),SUMPRODUCT(COUNTIF('2029'!$C$1086:$Z$1086,Setup!$F$33:$F$40)),SUMPRODUCT(COUNTIF('2030'!$C$1086:$Z$1086,Setup!$F$33:$F$40))))</f>
        <v/>
      </c>
      <c r="Y41" s="137">
        <f>IF($B41="","",CHOOSE(IFERROR(MATCH($C$4,Setup!$K$33:$K$36,0),1),SUMPRODUCT(COUNTIF('2027'!$C$1136:$Z$1136,Setup!$F$33:$F$40)),SUMPRODUCT(COUNTIF('2028'!$C$1136:$Z$1136,Setup!$F$33:$F$40)),SUMPRODUCT(COUNTIF('2029'!$C$1136:$Z$1136,Setup!$F$33:$F$40)),SUMPRODUCT(COUNTIF('2030'!$C$1136:$Z$1136,Setup!$F$33:$F$40))))</f>
        <v/>
      </c>
      <c r="Z41" s="137">
        <f>IF($B41="","",CHOOSE(IFERROR(MATCH($C$4,Setup!$K$33:$K$36,0),1),SUMPRODUCT(COUNTIF('2027'!$C$1186:$Z$1186,Setup!$F$33:$F$40)),SUMPRODUCT(COUNTIF('2028'!$C$1186:$Z$1186,Setup!$F$33:$F$40)),SUMPRODUCT(COUNTIF('2029'!$C$1186:$Z$1186,Setup!$F$33:$F$40)),SUMPRODUCT(COUNTIF('2030'!$C$1186:$Z$1186,Setup!$F$33:$F$40))))</f>
        <v/>
      </c>
      <c r="AA41" s="137">
        <f>IF($B41="","",CHOOSE(IFERROR(MATCH($C$4,Setup!$K$33:$K$36,0),1),SUMPRODUCT(COUNTIF('2027'!$C$1236:$Z$1236,Setup!$F$33:$F$40)),SUMPRODUCT(COUNTIF('2028'!$C$1236:$Z$1236,Setup!$F$33:$F$40)),SUMPRODUCT(COUNTIF('2029'!$C$1236:$Z$1236,Setup!$F$33:$F$40)),SUMPRODUCT(COUNTIF('2030'!$C$1236:$Z$1236,Setup!$F$33:$F$40))))</f>
        <v/>
      </c>
      <c r="AB41" s="137">
        <f>IF($B41="","",CHOOSE(IFERROR(MATCH($C$4,Setup!$K$33:$K$36,0),1),SUMPRODUCT(COUNTIF('2027'!$C$1286:$Z$1286,Setup!$F$33:$F$40)),SUMPRODUCT(COUNTIF('2028'!$C$1286:$Z$1286,Setup!$F$33:$F$40)),SUMPRODUCT(COUNTIF('2029'!$C$1286:$Z$1286,Setup!$F$33:$F$40)),SUMPRODUCT(COUNTIF('2030'!$C$1286:$Z$1286,Setup!$F$33:$F$40))))</f>
        <v/>
      </c>
      <c r="AC41" s="137">
        <f>IF($B41="","",CHOOSE(IFERROR(MATCH($C$4,Setup!$K$33:$K$36,0),1),SUMPRODUCT(COUNTIF('2027'!$C$1336:$Z$1336,Setup!$F$33:$F$40)),SUMPRODUCT(COUNTIF('2028'!$C$1336:$Z$1336,Setup!$F$33:$F$40)),SUMPRODUCT(COUNTIF('2029'!$C$1336:$Z$1336,Setup!$F$33:$F$40)),SUMPRODUCT(COUNTIF('2030'!$C$1336:$Z$1336,Setup!$F$33:$F$40))))</f>
        <v/>
      </c>
      <c r="AD41" s="137">
        <f>IF($B41="","",CHOOSE(IFERROR(MATCH($C$4,Setup!$K$33:$K$36,0),1),SUMPRODUCT(COUNTIF('2027'!$C$1386:$Z$1386,Setup!$F$33:$F$40)),SUMPRODUCT(COUNTIF('2028'!$C$1386:$Z$1386,Setup!$F$33:$F$40)),SUMPRODUCT(COUNTIF('2029'!$C$1386:$Z$1386,Setup!$F$33:$F$40)),SUMPRODUCT(COUNTIF('2030'!$C$1386:$Z$1386,Setup!$F$33:$F$40))))</f>
        <v/>
      </c>
      <c r="AE41" s="137">
        <f>IF($B41="","",CHOOSE(IFERROR(MATCH($C$4,Setup!$K$33:$K$36,0),1),SUMPRODUCT(COUNTIF('2027'!$C$1436:$Z$1436,Setup!$F$33:$F$40)),SUMPRODUCT(COUNTIF('2028'!$C$1436:$Z$1436,Setup!$F$33:$F$40)),SUMPRODUCT(COUNTIF('2029'!$C$1436:$Z$1436,Setup!$F$33:$F$40)),SUMPRODUCT(COUNTIF('2030'!$C$1436:$Z$1436,Setup!$F$33:$F$40))))</f>
        <v/>
      </c>
      <c r="AF41" s="137">
        <f>IF($B41="","",CHOOSE(IFERROR(MATCH($C$4,Setup!$K$33:$K$36,0),1),SUMPRODUCT(COUNTIF('2027'!$C$1486:$Z$1486,Setup!$F$33:$F$40)),SUMPRODUCT(COUNTIF('2028'!$C$1486:$Z$1486,Setup!$F$33:$F$40)),SUMPRODUCT(COUNTIF('2029'!$C$1486:$Z$1486,Setup!$F$33:$F$40)),SUMPRODUCT(COUNTIF('2030'!$C$1486:$Z$1486,Setup!$F$33:$F$40))))</f>
        <v/>
      </c>
      <c r="AG41" s="137">
        <f>IF($B41="","",CHOOSE(IFERROR(MATCH($C$4,Setup!$K$33:$K$36,0),1),SUMPRODUCT(COUNTIF('2027'!$C$1536:$Z$1536,Setup!$F$33:$F$40)),SUMPRODUCT(COUNTIF('2028'!$C$1536:$Z$1536,Setup!$F$33:$F$40)),SUMPRODUCT(COUNTIF('2029'!$C$1536:$Z$1536,Setup!$F$33:$F$40)),SUMPRODUCT(COUNTIF('2030'!$C$1536:$Z$1536,Setup!$F$33:$F$40))))</f>
        <v/>
      </c>
      <c r="AH41" s="137">
        <f>IF($B41="","",CHOOSE(IFERROR(MATCH($C$4,Setup!$K$33:$K$36,0),1),SUMPRODUCT(COUNTIF('2027'!$C$1586:$Z$1586,Setup!$F$33:$F$40)),SUMPRODUCT(COUNTIF('2028'!$C$1586:$Z$1586,Setup!$F$33:$F$40)),SUMPRODUCT(COUNTIF('2029'!$C$1586:$Z$1586,Setup!$F$33:$F$40)),SUMPRODUCT(COUNTIF('2030'!$C$1586:$Z$1586,Setup!$F$33:$F$40))))</f>
        <v/>
      </c>
      <c r="AI41" s="137">
        <f>IF($B41="","",CHOOSE(IFERROR(MATCH($C$4,Setup!$K$33:$K$36,0),1),SUMPRODUCT(COUNTIF('2027'!$C$1636:$Z$1636,Setup!$F$33:$F$40)),SUMPRODUCT(COUNTIF('2028'!$C$1636:$Z$1636,Setup!$F$33:$F$40)),SUMPRODUCT(COUNTIF('2029'!$C$1636:$Z$1636,Setup!$F$33:$F$40)),SUMPRODUCT(COUNTIF('2030'!$C$1636:$Z$1636,Setup!$F$33:$F$40))))</f>
        <v/>
      </c>
      <c r="AJ41" s="137">
        <f>IF($B41="","",CHOOSE(IFERROR(MATCH($C$4,Setup!$K$33:$K$36,0),1),SUMPRODUCT(COUNTIF('2027'!$C$1686:$Z$1686,Setup!$F$33:$F$40)),SUMPRODUCT(COUNTIF('2028'!$C$1686:$Z$1686,Setup!$F$33:$F$40)),SUMPRODUCT(COUNTIF('2029'!$C$1686:$Z$1686,Setup!$F$33:$F$40)),SUMPRODUCT(COUNTIF('2030'!$C$1686:$Z$1686,Setup!$F$33:$F$40))))</f>
        <v/>
      </c>
      <c r="AK41" s="137">
        <f>IF($B41="","",CHOOSE(IFERROR(MATCH($C$4,Setup!$K$33:$K$36,0),1),SUMPRODUCT(COUNTIF('2027'!$C$1736:$Z$1736,Setup!$F$33:$F$40)),SUMPRODUCT(COUNTIF('2028'!$C$1736:$Z$1736,Setup!$F$33:$F$40)),SUMPRODUCT(COUNTIF('2029'!$C$1736:$Z$1736,Setup!$F$33:$F$40)),SUMPRODUCT(COUNTIF('2030'!$C$1736:$Z$1736,Setup!$F$33:$F$40))))</f>
        <v/>
      </c>
      <c r="AL41" s="137">
        <f>IF($B41="","",CHOOSE(IFERROR(MATCH($C$4,Setup!$K$33:$K$36,0),1),SUMPRODUCT(COUNTIF('2027'!$C$1786:$Z$1786,Setup!$F$33:$F$40)),SUMPRODUCT(COUNTIF('2028'!$C$1786:$Z$1786,Setup!$F$33:$F$40)),SUMPRODUCT(COUNTIF('2029'!$C$1786:$Z$1786,Setup!$F$33:$F$40)),SUMPRODUCT(COUNTIF('2030'!$C$1786:$Z$1786,Setup!$F$33:$F$40))))</f>
        <v/>
      </c>
      <c r="AM41" s="137">
        <f>IF($B41="","",CHOOSE(IFERROR(MATCH($C$4,Setup!$K$33:$K$36,0),1),SUMPRODUCT(COUNTIF('2027'!$C$1836:$Z$1836,Setup!$F$33:$F$40)),SUMPRODUCT(COUNTIF('2028'!$C$1836:$Z$1836,Setup!$F$33:$F$40)),SUMPRODUCT(COUNTIF('2029'!$C$1836:$Z$1836,Setup!$F$33:$F$40)),SUMPRODUCT(COUNTIF('2030'!$C$1836:$Z$1836,Setup!$F$33:$F$40))))</f>
        <v/>
      </c>
      <c r="AN41" s="137">
        <f>IF($B41="","",CHOOSE(IFERROR(MATCH($C$4,Setup!$K$33:$K$36,0),1),SUMPRODUCT(COUNTIF('2027'!$C$1886:$Z$1886,Setup!$F$33:$F$40)),SUMPRODUCT(COUNTIF('2028'!$C$1886:$Z$1886,Setup!$F$33:$F$40)),SUMPRODUCT(COUNTIF('2029'!$C$1886:$Z$1886,Setup!$F$33:$F$40)),SUMPRODUCT(COUNTIF('2030'!$C$1886:$Z$1886,Setup!$F$33:$F$40))))</f>
        <v/>
      </c>
      <c r="AO41" s="137">
        <f>IF($B41="","",CHOOSE(IFERROR(MATCH($C$4,Setup!$K$33:$K$36,0),1),SUMPRODUCT(COUNTIF('2027'!$C$1936:$Z$1936,Setup!$F$33:$F$40)),SUMPRODUCT(COUNTIF('2028'!$C$1936:$Z$1936,Setup!$F$33:$F$40)),SUMPRODUCT(COUNTIF('2029'!$C$1936:$Z$1936,Setup!$F$33:$F$40)),SUMPRODUCT(COUNTIF('2030'!$C$1936:$Z$1936,Setup!$F$33:$F$40))))</f>
        <v/>
      </c>
      <c r="AP41" s="137">
        <f>IF($B41="","",CHOOSE(IFERROR(MATCH($C$4,Setup!$K$33:$K$36,0),1),SUMPRODUCT(COUNTIF('2027'!$C$1986:$Z$1986,Setup!$F$33:$F$40)),SUMPRODUCT(COUNTIF('2028'!$C$1986:$Z$1986,Setup!$F$33:$F$40)),SUMPRODUCT(COUNTIF('2029'!$C$1986:$Z$1986,Setup!$F$33:$F$40)),SUMPRODUCT(COUNTIF('2030'!$C$1986:$Z$1986,Setup!$F$33:$F$40))))</f>
        <v/>
      </c>
      <c r="AQ41" s="137">
        <f>IF($B41="","",CHOOSE(IFERROR(MATCH($C$4,Setup!$K$33:$K$36,0),1),SUMPRODUCT(COUNTIF('2027'!$C$2036:$Z$2036,Setup!$F$33:$F$40)),SUMPRODUCT(COUNTIF('2028'!$C$2036:$Z$2036,Setup!$F$33:$F$40)),SUMPRODUCT(COUNTIF('2029'!$C$2036:$Z$2036,Setup!$F$33:$F$40)),SUMPRODUCT(COUNTIF('2030'!$C$2036:$Z$2036,Setup!$F$33:$F$40))))</f>
        <v/>
      </c>
      <c r="AR41" s="137">
        <f>IF($B41="","",CHOOSE(IFERROR(MATCH($C$4,Setup!$K$33:$K$36,0),1),SUMPRODUCT(COUNTIF('2027'!$C$2086:$Z$2086,Setup!$F$33:$F$40)),SUMPRODUCT(COUNTIF('2028'!$C$2086:$Z$2086,Setup!$F$33:$F$40)),SUMPRODUCT(COUNTIF('2029'!$C$2086:$Z$2086,Setup!$F$33:$F$40)),SUMPRODUCT(COUNTIF('2030'!$C$2086:$Z$2086,Setup!$F$33:$F$40))))</f>
        <v/>
      </c>
      <c r="AS41" s="137">
        <f>IF($B41="","",CHOOSE(IFERROR(MATCH($C$4,Setup!$K$33:$K$36,0),1),SUMPRODUCT(COUNTIF('2027'!$C$2136:$Z$2136,Setup!$F$33:$F$40)),SUMPRODUCT(COUNTIF('2028'!$C$2136:$Z$2136,Setup!$F$33:$F$40)),SUMPRODUCT(COUNTIF('2029'!$C$2136:$Z$2136,Setup!$F$33:$F$40)),SUMPRODUCT(COUNTIF('2030'!$C$2136:$Z$2136,Setup!$F$33:$F$40))))</f>
        <v/>
      </c>
      <c r="AT41" s="137">
        <f>IF($B41="","",CHOOSE(IFERROR(MATCH($C$4,Setup!$K$33:$K$36,0),1),SUMPRODUCT(COUNTIF('2027'!$C$2186:$Z$2186,Setup!$F$33:$F$40)),SUMPRODUCT(COUNTIF('2028'!$C$2186:$Z$2186,Setup!$F$33:$F$40)),SUMPRODUCT(COUNTIF('2029'!$C$2186:$Z$2186,Setup!$F$33:$F$40)),SUMPRODUCT(COUNTIF('2030'!$C$2186:$Z$2186,Setup!$F$33:$F$40))))</f>
        <v/>
      </c>
      <c r="AU41" s="137">
        <f>IF($B41="","",CHOOSE(IFERROR(MATCH($C$4,Setup!$K$33:$K$36,0),1),SUMPRODUCT(COUNTIF('2027'!$C$2236:$Z$2236,Setup!$F$33:$F$40)),SUMPRODUCT(COUNTIF('2028'!$C$2236:$Z$2236,Setup!$F$33:$F$40)),SUMPRODUCT(COUNTIF('2029'!$C$2236:$Z$2236,Setup!$F$33:$F$40)),SUMPRODUCT(COUNTIF('2030'!$C$2236:$Z$2236,Setup!$F$33:$F$40))))</f>
        <v/>
      </c>
      <c r="AV41" s="137">
        <f>IF($B41="","",CHOOSE(IFERROR(MATCH($C$4,Setup!$K$33:$K$36,0),1),SUMPRODUCT(COUNTIF('2027'!$C$2286:$Z$2286,Setup!$F$33:$F$40)),SUMPRODUCT(COUNTIF('2028'!$C$2286:$Z$2286,Setup!$F$33:$F$40)),SUMPRODUCT(COUNTIF('2029'!$C$2286:$Z$2286,Setup!$F$33:$F$40)),SUMPRODUCT(COUNTIF('2030'!$C$2286:$Z$2286,Setup!$F$33:$F$40))))</f>
        <v/>
      </c>
      <c r="AW41" s="137">
        <f>IF($B41="","",CHOOSE(IFERROR(MATCH($C$4,Setup!$K$33:$K$36,0),1),SUMPRODUCT(COUNTIF('2027'!$C$2336:$Z$2336,Setup!$F$33:$F$40)),SUMPRODUCT(COUNTIF('2028'!$C$2336:$Z$2336,Setup!$F$33:$F$40)),SUMPRODUCT(COUNTIF('2029'!$C$2336:$Z$2336,Setup!$F$33:$F$40)),SUMPRODUCT(COUNTIF('2030'!$C$2336:$Z$2336,Setup!$F$33:$F$40))))</f>
        <v/>
      </c>
      <c r="AX41" s="137">
        <f>IF($B41="","",CHOOSE(IFERROR(MATCH($C$4,Setup!$K$33:$K$36,0),1),SUMPRODUCT(COUNTIF('2027'!$C$2386:$Z$2386,Setup!$F$33:$F$40)),SUMPRODUCT(COUNTIF('2028'!$C$2386:$Z$2386,Setup!$F$33:$F$40)),SUMPRODUCT(COUNTIF('2029'!$C$2386:$Z$2386,Setup!$F$33:$F$40)),SUMPRODUCT(COUNTIF('2030'!$C$2386:$Z$2386,Setup!$F$33:$F$40))))</f>
        <v/>
      </c>
      <c r="AY41" s="137">
        <f>IF($B41="","",CHOOSE(IFERROR(MATCH($C$4,Setup!$K$33:$K$36,0),1),SUMPRODUCT(COUNTIF('2027'!$C$2436:$Z$2436,Setup!$F$33:$F$40)),SUMPRODUCT(COUNTIF('2028'!$C$2436:$Z$2436,Setup!$F$33:$F$40)),SUMPRODUCT(COUNTIF('2029'!$C$2436:$Z$2436,Setup!$F$33:$F$40)),SUMPRODUCT(COUNTIF('2030'!$C$2436:$Z$2436,Setup!$F$33:$F$40))))</f>
        <v/>
      </c>
      <c r="AZ41" s="137">
        <f>IF($B41="","",CHOOSE(IFERROR(MATCH($C$4,Setup!$K$33:$K$36,0),1),SUMPRODUCT(COUNTIF('2027'!$C$2486:$Z$2486,Setup!$F$33:$F$40)),SUMPRODUCT(COUNTIF('2028'!$C$2486:$Z$2486,Setup!$F$33:$F$40)),SUMPRODUCT(COUNTIF('2029'!$C$2486:$Z$2486,Setup!$F$33:$F$40)),SUMPRODUCT(COUNTIF('2030'!$C$2486:$Z$2486,Setup!$F$33:$F$40))))</f>
        <v/>
      </c>
      <c r="BA41" s="137">
        <f>IF($B41="","",CHOOSE(IFERROR(MATCH($C$4,Setup!$K$33:$K$36,0),1),SUMPRODUCT(COUNTIF('2027'!$C$2536:$Z$2536,Setup!$F$33:$F$40)),SUMPRODUCT(COUNTIF('2028'!$C$2536:$Z$2536,Setup!$F$33:$F$40)),SUMPRODUCT(COUNTIF('2029'!$C$2536:$Z$2536,Setup!$F$33:$F$40)),SUMPRODUCT(COUNTIF('2030'!$C$2536:$Z$2536,Setup!$F$33:$F$40))))</f>
        <v/>
      </c>
      <c r="BB41" s="137">
        <f>IF($B41="","",CHOOSE(IFERROR(MATCH($C$4,Setup!$K$33:$K$36,0),1),SUMPRODUCT(COUNTIF('2027'!$C$2586:$Z$2586,Setup!$F$33:$F$40)),SUMPRODUCT(COUNTIF('2028'!$C$2586:$Z$2586,Setup!$F$33:$F$40)),SUMPRODUCT(COUNTIF('2029'!$C$2586:$Z$2586,Setup!$F$33:$F$40)),SUMPRODUCT(COUNTIF('2030'!$C$2586:$Z$2586,Setup!$F$33:$F$40))))</f>
        <v/>
      </c>
      <c r="BC41" s="137">
        <f>IF($B41="","",CHOOSE(IFERROR(MATCH($C$4,Setup!$K$33:$K$36,0),1),SUMPRODUCT(COUNTIF('2027'!$C$2636:$Z$2636,Setup!$F$33:$F$40)),SUMPRODUCT(COUNTIF('2028'!$C$2636:$Z$2636,Setup!$F$33:$F$40)),SUMPRODUCT(COUNTIF('2029'!$C$2636:$Z$2636,Setup!$F$33:$F$40)),SUMPRODUCT(COUNTIF('2030'!$C$2636:$Z$2636,Setup!$F$33:$F$40))))</f>
        <v/>
      </c>
      <c r="BE41" s="129">
        <f>IF($B41="","",SUM(C41:BC41))</f>
        <v/>
      </c>
      <c r="BF41" s="130">
        <f>IF($B41="","",COUNTIF(C41:BC41,"&gt;0"))</f>
        <v/>
      </c>
      <c r="BG41" s="130">
        <f>IF(OR($B41="",N(BE41)=0),"",MATCH(MAX(C41:BC41),C41:BC41,0))</f>
        <v/>
      </c>
    </row>
    <row r="42" ht="15" customHeight="1">
      <c r="B42" s="136">
        <f>IF(Setup!$B$16="","",Setup!$B$16)</f>
        <v/>
      </c>
      <c r="C42" s="137">
        <f>IF($B42="","",CHOOSE(IFERROR(MATCH($C$4,Setup!$K$33:$K$36,0),1),SUMPRODUCT(COUNTIF('2027'!$C$37:$Z$37,Setup!$F$33:$F$40)),SUMPRODUCT(COUNTIF('2028'!$C$37:$Z$37,Setup!$F$33:$F$40)),SUMPRODUCT(COUNTIF('2029'!$C$37:$Z$37,Setup!$F$33:$F$40)),SUMPRODUCT(COUNTIF('2030'!$C$37:$Z$37,Setup!$F$33:$F$40))))</f>
        <v/>
      </c>
      <c r="D42" s="137">
        <f>IF($B42="","",CHOOSE(IFERROR(MATCH($C$4,Setup!$K$33:$K$36,0),1),SUMPRODUCT(COUNTIF('2027'!$C$87:$Z$87,Setup!$F$33:$F$40)),SUMPRODUCT(COUNTIF('2028'!$C$87:$Z$87,Setup!$F$33:$F$40)),SUMPRODUCT(COUNTIF('2029'!$C$87:$Z$87,Setup!$F$33:$F$40)),SUMPRODUCT(COUNTIF('2030'!$C$87:$Z$87,Setup!$F$33:$F$40))))</f>
        <v/>
      </c>
      <c r="E42" s="137">
        <f>IF($B42="","",CHOOSE(IFERROR(MATCH($C$4,Setup!$K$33:$K$36,0),1),SUMPRODUCT(COUNTIF('2027'!$C$137:$Z$137,Setup!$F$33:$F$40)),SUMPRODUCT(COUNTIF('2028'!$C$137:$Z$137,Setup!$F$33:$F$40)),SUMPRODUCT(COUNTIF('2029'!$C$137:$Z$137,Setup!$F$33:$F$40)),SUMPRODUCT(COUNTIF('2030'!$C$137:$Z$137,Setup!$F$33:$F$40))))</f>
        <v/>
      </c>
      <c r="F42" s="137">
        <f>IF($B42="","",CHOOSE(IFERROR(MATCH($C$4,Setup!$K$33:$K$36,0),1),SUMPRODUCT(COUNTIF('2027'!$C$187:$Z$187,Setup!$F$33:$F$40)),SUMPRODUCT(COUNTIF('2028'!$C$187:$Z$187,Setup!$F$33:$F$40)),SUMPRODUCT(COUNTIF('2029'!$C$187:$Z$187,Setup!$F$33:$F$40)),SUMPRODUCT(COUNTIF('2030'!$C$187:$Z$187,Setup!$F$33:$F$40))))</f>
        <v/>
      </c>
      <c r="G42" s="137">
        <f>IF($B42="","",CHOOSE(IFERROR(MATCH($C$4,Setup!$K$33:$K$36,0),1),SUMPRODUCT(COUNTIF('2027'!$C$237:$Z$237,Setup!$F$33:$F$40)),SUMPRODUCT(COUNTIF('2028'!$C$237:$Z$237,Setup!$F$33:$F$40)),SUMPRODUCT(COUNTIF('2029'!$C$237:$Z$237,Setup!$F$33:$F$40)),SUMPRODUCT(COUNTIF('2030'!$C$237:$Z$237,Setup!$F$33:$F$40))))</f>
        <v/>
      </c>
      <c r="H42" s="137">
        <f>IF($B42="","",CHOOSE(IFERROR(MATCH($C$4,Setup!$K$33:$K$36,0),1),SUMPRODUCT(COUNTIF('2027'!$C$287:$Z$287,Setup!$F$33:$F$40)),SUMPRODUCT(COUNTIF('2028'!$C$287:$Z$287,Setup!$F$33:$F$40)),SUMPRODUCT(COUNTIF('2029'!$C$287:$Z$287,Setup!$F$33:$F$40)),SUMPRODUCT(COUNTIF('2030'!$C$287:$Z$287,Setup!$F$33:$F$40))))</f>
        <v/>
      </c>
      <c r="I42" s="137">
        <f>IF($B42="","",CHOOSE(IFERROR(MATCH($C$4,Setup!$K$33:$K$36,0),1),SUMPRODUCT(COUNTIF('2027'!$C$337:$Z$337,Setup!$F$33:$F$40)),SUMPRODUCT(COUNTIF('2028'!$C$337:$Z$337,Setup!$F$33:$F$40)),SUMPRODUCT(COUNTIF('2029'!$C$337:$Z$337,Setup!$F$33:$F$40)),SUMPRODUCT(COUNTIF('2030'!$C$337:$Z$337,Setup!$F$33:$F$40))))</f>
        <v/>
      </c>
      <c r="J42" s="137">
        <f>IF($B42="","",CHOOSE(IFERROR(MATCH($C$4,Setup!$K$33:$K$36,0),1),SUMPRODUCT(COUNTIF('2027'!$C$387:$Z$387,Setup!$F$33:$F$40)),SUMPRODUCT(COUNTIF('2028'!$C$387:$Z$387,Setup!$F$33:$F$40)),SUMPRODUCT(COUNTIF('2029'!$C$387:$Z$387,Setup!$F$33:$F$40)),SUMPRODUCT(COUNTIF('2030'!$C$387:$Z$387,Setup!$F$33:$F$40))))</f>
        <v/>
      </c>
      <c r="K42" s="137">
        <f>IF($B42="","",CHOOSE(IFERROR(MATCH($C$4,Setup!$K$33:$K$36,0),1),SUMPRODUCT(COUNTIF('2027'!$C$437:$Z$437,Setup!$F$33:$F$40)),SUMPRODUCT(COUNTIF('2028'!$C$437:$Z$437,Setup!$F$33:$F$40)),SUMPRODUCT(COUNTIF('2029'!$C$437:$Z$437,Setup!$F$33:$F$40)),SUMPRODUCT(COUNTIF('2030'!$C$437:$Z$437,Setup!$F$33:$F$40))))</f>
        <v/>
      </c>
      <c r="L42" s="137">
        <f>IF($B42="","",CHOOSE(IFERROR(MATCH($C$4,Setup!$K$33:$K$36,0),1),SUMPRODUCT(COUNTIF('2027'!$C$487:$Z$487,Setup!$F$33:$F$40)),SUMPRODUCT(COUNTIF('2028'!$C$487:$Z$487,Setup!$F$33:$F$40)),SUMPRODUCT(COUNTIF('2029'!$C$487:$Z$487,Setup!$F$33:$F$40)),SUMPRODUCT(COUNTIF('2030'!$C$487:$Z$487,Setup!$F$33:$F$40))))</f>
        <v/>
      </c>
      <c r="M42" s="137">
        <f>IF($B42="","",CHOOSE(IFERROR(MATCH($C$4,Setup!$K$33:$K$36,0),1),SUMPRODUCT(COUNTIF('2027'!$C$537:$Z$537,Setup!$F$33:$F$40)),SUMPRODUCT(COUNTIF('2028'!$C$537:$Z$537,Setup!$F$33:$F$40)),SUMPRODUCT(COUNTIF('2029'!$C$537:$Z$537,Setup!$F$33:$F$40)),SUMPRODUCT(COUNTIF('2030'!$C$537:$Z$537,Setup!$F$33:$F$40))))</f>
        <v/>
      </c>
      <c r="N42" s="137">
        <f>IF($B42="","",CHOOSE(IFERROR(MATCH($C$4,Setup!$K$33:$K$36,0),1),SUMPRODUCT(COUNTIF('2027'!$C$587:$Z$587,Setup!$F$33:$F$40)),SUMPRODUCT(COUNTIF('2028'!$C$587:$Z$587,Setup!$F$33:$F$40)),SUMPRODUCT(COUNTIF('2029'!$C$587:$Z$587,Setup!$F$33:$F$40)),SUMPRODUCT(COUNTIF('2030'!$C$587:$Z$587,Setup!$F$33:$F$40))))</f>
        <v/>
      </c>
      <c r="O42" s="137">
        <f>IF($B42="","",CHOOSE(IFERROR(MATCH($C$4,Setup!$K$33:$K$36,0),1),SUMPRODUCT(COUNTIF('2027'!$C$637:$Z$637,Setup!$F$33:$F$40)),SUMPRODUCT(COUNTIF('2028'!$C$637:$Z$637,Setup!$F$33:$F$40)),SUMPRODUCT(COUNTIF('2029'!$C$637:$Z$637,Setup!$F$33:$F$40)),SUMPRODUCT(COUNTIF('2030'!$C$637:$Z$637,Setup!$F$33:$F$40))))</f>
        <v/>
      </c>
      <c r="P42" s="137">
        <f>IF($B42="","",CHOOSE(IFERROR(MATCH($C$4,Setup!$K$33:$K$36,0),1),SUMPRODUCT(COUNTIF('2027'!$C$687:$Z$687,Setup!$F$33:$F$40)),SUMPRODUCT(COUNTIF('2028'!$C$687:$Z$687,Setup!$F$33:$F$40)),SUMPRODUCT(COUNTIF('2029'!$C$687:$Z$687,Setup!$F$33:$F$40)),SUMPRODUCT(COUNTIF('2030'!$C$687:$Z$687,Setup!$F$33:$F$40))))</f>
        <v/>
      </c>
      <c r="Q42" s="137">
        <f>IF($B42="","",CHOOSE(IFERROR(MATCH($C$4,Setup!$K$33:$K$36,0),1),SUMPRODUCT(COUNTIF('2027'!$C$737:$Z$737,Setup!$F$33:$F$40)),SUMPRODUCT(COUNTIF('2028'!$C$737:$Z$737,Setup!$F$33:$F$40)),SUMPRODUCT(COUNTIF('2029'!$C$737:$Z$737,Setup!$F$33:$F$40)),SUMPRODUCT(COUNTIF('2030'!$C$737:$Z$737,Setup!$F$33:$F$40))))</f>
        <v/>
      </c>
      <c r="R42" s="137">
        <f>IF($B42="","",CHOOSE(IFERROR(MATCH($C$4,Setup!$K$33:$K$36,0),1),SUMPRODUCT(COUNTIF('2027'!$C$787:$Z$787,Setup!$F$33:$F$40)),SUMPRODUCT(COUNTIF('2028'!$C$787:$Z$787,Setup!$F$33:$F$40)),SUMPRODUCT(COUNTIF('2029'!$C$787:$Z$787,Setup!$F$33:$F$40)),SUMPRODUCT(COUNTIF('2030'!$C$787:$Z$787,Setup!$F$33:$F$40))))</f>
        <v/>
      </c>
      <c r="S42" s="137">
        <f>IF($B42="","",CHOOSE(IFERROR(MATCH($C$4,Setup!$K$33:$K$36,0),1),SUMPRODUCT(COUNTIF('2027'!$C$837:$Z$837,Setup!$F$33:$F$40)),SUMPRODUCT(COUNTIF('2028'!$C$837:$Z$837,Setup!$F$33:$F$40)),SUMPRODUCT(COUNTIF('2029'!$C$837:$Z$837,Setup!$F$33:$F$40)),SUMPRODUCT(COUNTIF('2030'!$C$837:$Z$837,Setup!$F$33:$F$40))))</f>
        <v/>
      </c>
      <c r="T42" s="137">
        <f>IF($B42="","",CHOOSE(IFERROR(MATCH($C$4,Setup!$K$33:$K$36,0),1),SUMPRODUCT(COUNTIF('2027'!$C$887:$Z$887,Setup!$F$33:$F$40)),SUMPRODUCT(COUNTIF('2028'!$C$887:$Z$887,Setup!$F$33:$F$40)),SUMPRODUCT(COUNTIF('2029'!$C$887:$Z$887,Setup!$F$33:$F$40)),SUMPRODUCT(COUNTIF('2030'!$C$887:$Z$887,Setup!$F$33:$F$40))))</f>
        <v/>
      </c>
      <c r="U42" s="137">
        <f>IF($B42="","",CHOOSE(IFERROR(MATCH($C$4,Setup!$K$33:$K$36,0),1),SUMPRODUCT(COUNTIF('2027'!$C$937:$Z$937,Setup!$F$33:$F$40)),SUMPRODUCT(COUNTIF('2028'!$C$937:$Z$937,Setup!$F$33:$F$40)),SUMPRODUCT(COUNTIF('2029'!$C$937:$Z$937,Setup!$F$33:$F$40)),SUMPRODUCT(COUNTIF('2030'!$C$937:$Z$937,Setup!$F$33:$F$40))))</f>
        <v/>
      </c>
      <c r="V42" s="137">
        <f>IF($B42="","",CHOOSE(IFERROR(MATCH($C$4,Setup!$K$33:$K$36,0),1),SUMPRODUCT(COUNTIF('2027'!$C$987:$Z$987,Setup!$F$33:$F$40)),SUMPRODUCT(COUNTIF('2028'!$C$987:$Z$987,Setup!$F$33:$F$40)),SUMPRODUCT(COUNTIF('2029'!$C$987:$Z$987,Setup!$F$33:$F$40)),SUMPRODUCT(COUNTIF('2030'!$C$987:$Z$987,Setup!$F$33:$F$40))))</f>
        <v/>
      </c>
      <c r="W42" s="137">
        <f>IF($B42="","",CHOOSE(IFERROR(MATCH($C$4,Setup!$K$33:$K$36,0),1),SUMPRODUCT(COUNTIF('2027'!$C$1037:$Z$1037,Setup!$F$33:$F$40)),SUMPRODUCT(COUNTIF('2028'!$C$1037:$Z$1037,Setup!$F$33:$F$40)),SUMPRODUCT(COUNTIF('2029'!$C$1037:$Z$1037,Setup!$F$33:$F$40)),SUMPRODUCT(COUNTIF('2030'!$C$1037:$Z$1037,Setup!$F$33:$F$40))))</f>
        <v/>
      </c>
      <c r="X42" s="137">
        <f>IF($B42="","",CHOOSE(IFERROR(MATCH($C$4,Setup!$K$33:$K$36,0),1),SUMPRODUCT(COUNTIF('2027'!$C$1087:$Z$1087,Setup!$F$33:$F$40)),SUMPRODUCT(COUNTIF('2028'!$C$1087:$Z$1087,Setup!$F$33:$F$40)),SUMPRODUCT(COUNTIF('2029'!$C$1087:$Z$1087,Setup!$F$33:$F$40)),SUMPRODUCT(COUNTIF('2030'!$C$1087:$Z$1087,Setup!$F$33:$F$40))))</f>
        <v/>
      </c>
      <c r="Y42" s="137">
        <f>IF($B42="","",CHOOSE(IFERROR(MATCH($C$4,Setup!$K$33:$K$36,0),1),SUMPRODUCT(COUNTIF('2027'!$C$1137:$Z$1137,Setup!$F$33:$F$40)),SUMPRODUCT(COUNTIF('2028'!$C$1137:$Z$1137,Setup!$F$33:$F$40)),SUMPRODUCT(COUNTIF('2029'!$C$1137:$Z$1137,Setup!$F$33:$F$40)),SUMPRODUCT(COUNTIF('2030'!$C$1137:$Z$1137,Setup!$F$33:$F$40))))</f>
        <v/>
      </c>
      <c r="Z42" s="137">
        <f>IF($B42="","",CHOOSE(IFERROR(MATCH($C$4,Setup!$K$33:$K$36,0),1),SUMPRODUCT(COUNTIF('2027'!$C$1187:$Z$1187,Setup!$F$33:$F$40)),SUMPRODUCT(COUNTIF('2028'!$C$1187:$Z$1187,Setup!$F$33:$F$40)),SUMPRODUCT(COUNTIF('2029'!$C$1187:$Z$1187,Setup!$F$33:$F$40)),SUMPRODUCT(COUNTIF('2030'!$C$1187:$Z$1187,Setup!$F$33:$F$40))))</f>
        <v/>
      </c>
      <c r="AA42" s="137">
        <f>IF($B42="","",CHOOSE(IFERROR(MATCH($C$4,Setup!$K$33:$K$36,0),1),SUMPRODUCT(COUNTIF('2027'!$C$1237:$Z$1237,Setup!$F$33:$F$40)),SUMPRODUCT(COUNTIF('2028'!$C$1237:$Z$1237,Setup!$F$33:$F$40)),SUMPRODUCT(COUNTIF('2029'!$C$1237:$Z$1237,Setup!$F$33:$F$40)),SUMPRODUCT(COUNTIF('2030'!$C$1237:$Z$1237,Setup!$F$33:$F$40))))</f>
        <v/>
      </c>
      <c r="AB42" s="137">
        <f>IF($B42="","",CHOOSE(IFERROR(MATCH($C$4,Setup!$K$33:$K$36,0),1),SUMPRODUCT(COUNTIF('2027'!$C$1287:$Z$1287,Setup!$F$33:$F$40)),SUMPRODUCT(COUNTIF('2028'!$C$1287:$Z$1287,Setup!$F$33:$F$40)),SUMPRODUCT(COUNTIF('2029'!$C$1287:$Z$1287,Setup!$F$33:$F$40)),SUMPRODUCT(COUNTIF('2030'!$C$1287:$Z$1287,Setup!$F$33:$F$40))))</f>
        <v/>
      </c>
      <c r="AC42" s="137">
        <f>IF($B42="","",CHOOSE(IFERROR(MATCH($C$4,Setup!$K$33:$K$36,0),1),SUMPRODUCT(COUNTIF('2027'!$C$1337:$Z$1337,Setup!$F$33:$F$40)),SUMPRODUCT(COUNTIF('2028'!$C$1337:$Z$1337,Setup!$F$33:$F$40)),SUMPRODUCT(COUNTIF('2029'!$C$1337:$Z$1337,Setup!$F$33:$F$40)),SUMPRODUCT(COUNTIF('2030'!$C$1337:$Z$1337,Setup!$F$33:$F$40))))</f>
        <v/>
      </c>
      <c r="AD42" s="137">
        <f>IF($B42="","",CHOOSE(IFERROR(MATCH($C$4,Setup!$K$33:$K$36,0),1),SUMPRODUCT(COUNTIF('2027'!$C$1387:$Z$1387,Setup!$F$33:$F$40)),SUMPRODUCT(COUNTIF('2028'!$C$1387:$Z$1387,Setup!$F$33:$F$40)),SUMPRODUCT(COUNTIF('2029'!$C$1387:$Z$1387,Setup!$F$33:$F$40)),SUMPRODUCT(COUNTIF('2030'!$C$1387:$Z$1387,Setup!$F$33:$F$40))))</f>
        <v/>
      </c>
      <c r="AE42" s="137">
        <f>IF($B42="","",CHOOSE(IFERROR(MATCH($C$4,Setup!$K$33:$K$36,0),1),SUMPRODUCT(COUNTIF('2027'!$C$1437:$Z$1437,Setup!$F$33:$F$40)),SUMPRODUCT(COUNTIF('2028'!$C$1437:$Z$1437,Setup!$F$33:$F$40)),SUMPRODUCT(COUNTIF('2029'!$C$1437:$Z$1437,Setup!$F$33:$F$40)),SUMPRODUCT(COUNTIF('2030'!$C$1437:$Z$1437,Setup!$F$33:$F$40))))</f>
        <v/>
      </c>
      <c r="AF42" s="137">
        <f>IF($B42="","",CHOOSE(IFERROR(MATCH($C$4,Setup!$K$33:$K$36,0),1),SUMPRODUCT(COUNTIF('2027'!$C$1487:$Z$1487,Setup!$F$33:$F$40)),SUMPRODUCT(COUNTIF('2028'!$C$1487:$Z$1487,Setup!$F$33:$F$40)),SUMPRODUCT(COUNTIF('2029'!$C$1487:$Z$1487,Setup!$F$33:$F$40)),SUMPRODUCT(COUNTIF('2030'!$C$1487:$Z$1487,Setup!$F$33:$F$40))))</f>
        <v/>
      </c>
      <c r="AG42" s="137">
        <f>IF($B42="","",CHOOSE(IFERROR(MATCH($C$4,Setup!$K$33:$K$36,0),1),SUMPRODUCT(COUNTIF('2027'!$C$1537:$Z$1537,Setup!$F$33:$F$40)),SUMPRODUCT(COUNTIF('2028'!$C$1537:$Z$1537,Setup!$F$33:$F$40)),SUMPRODUCT(COUNTIF('2029'!$C$1537:$Z$1537,Setup!$F$33:$F$40)),SUMPRODUCT(COUNTIF('2030'!$C$1537:$Z$1537,Setup!$F$33:$F$40))))</f>
        <v/>
      </c>
      <c r="AH42" s="137">
        <f>IF($B42="","",CHOOSE(IFERROR(MATCH($C$4,Setup!$K$33:$K$36,0),1),SUMPRODUCT(COUNTIF('2027'!$C$1587:$Z$1587,Setup!$F$33:$F$40)),SUMPRODUCT(COUNTIF('2028'!$C$1587:$Z$1587,Setup!$F$33:$F$40)),SUMPRODUCT(COUNTIF('2029'!$C$1587:$Z$1587,Setup!$F$33:$F$40)),SUMPRODUCT(COUNTIF('2030'!$C$1587:$Z$1587,Setup!$F$33:$F$40))))</f>
        <v/>
      </c>
      <c r="AI42" s="137">
        <f>IF($B42="","",CHOOSE(IFERROR(MATCH($C$4,Setup!$K$33:$K$36,0),1),SUMPRODUCT(COUNTIF('2027'!$C$1637:$Z$1637,Setup!$F$33:$F$40)),SUMPRODUCT(COUNTIF('2028'!$C$1637:$Z$1637,Setup!$F$33:$F$40)),SUMPRODUCT(COUNTIF('2029'!$C$1637:$Z$1637,Setup!$F$33:$F$40)),SUMPRODUCT(COUNTIF('2030'!$C$1637:$Z$1637,Setup!$F$33:$F$40))))</f>
        <v/>
      </c>
      <c r="AJ42" s="137">
        <f>IF($B42="","",CHOOSE(IFERROR(MATCH($C$4,Setup!$K$33:$K$36,0),1),SUMPRODUCT(COUNTIF('2027'!$C$1687:$Z$1687,Setup!$F$33:$F$40)),SUMPRODUCT(COUNTIF('2028'!$C$1687:$Z$1687,Setup!$F$33:$F$40)),SUMPRODUCT(COUNTIF('2029'!$C$1687:$Z$1687,Setup!$F$33:$F$40)),SUMPRODUCT(COUNTIF('2030'!$C$1687:$Z$1687,Setup!$F$33:$F$40))))</f>
        <v/>
      </c>
      <c r="AK42" s="137">
        <f>IF($B42="","",CHOOSE(IFERROR(MATCH($C$4,Setup!$K$33:$K$36,0),1),SUMPRODUCT(COUNTIF('2027'!$C$1737:$Z$1737,Setup!$F$33:$F$40)),SUMPRODUCT(COUNTIF('2028'!$C$1737:$Z$1737,Setup!$F$33:$F$40)),SUMPRODUCT(COUNTIF('2029'!$C$1737:$Z$1737,Setup!$F$33:$F$40)),SUMPRODUCT(COUNTIF('2030'!$C$1737:$Z$1737,Setup!$F$33:$F$40))))</f>
        <v/>
      </c>
      <c r="AL42" s="137">
        <f>IF($B42="","",CHOOSE(IFERROR(MATCH($C$4,Setup!$K$33:$K$36,0),1),SUMPRODUCT(COUNTIF('2027'!$C$1787:$Z$1787,Setup!$F$33:$F$40)),SUMPRODUCT(COUNTIF('2028'!$C$1787:$Z$1787,Setup!$F$33:$F$40)),SUMPRODUCT(COUNTIF('2029'!$C$1787:$Z$1787,Setup!$F$33:$F$40)),SUMPRODUCT(COUNTIF('2030'!$C$1787:$Z$1787,Setup!$F$33:$F$40))))</f>
        <v/>
      </c>
      <c r="AM42" s="137">
        <f>IF($B42="","",CHOOSE(IFERROR(MATCH($C$4,Setup!$K$33:$K$36,0),1),SUMPRODUCT(COUNTIF('2027'!$C$1837:$Z$1837,Setup!$F$33:$F$40)),SUMPRODUCT(COUNTIF('2028'!$C$1837:$Z$1837,Setup!$F$33:$F$40)),SUMPRODUCT(COUNTIF('2029'!$C$1837:$Z$1837,Setup!$F$33:$F$40)),SUMPRODUCT(COUNTIF('2030'!$C$1837:$Z$1837,Setup!$F$33:$F$40))))</f>
        <v/>
      </c>
      <c r="AN42" s="137">
        <f>IF($B42="","",CHOOSE(IFERROR(MATCH($C$4,Setup!$K$33:$K$36,0),1),SUMPRODUCT(COUNTIF('2027'!$C$1887:$Z$1887,Setup!$F$33:$F$40)),SUMPRODUCT(COUNTIF('2028'!$C$1887:$Z$1887,Setup!$F$33:$F$40)),SUMPRODUCT(COUNTIF('2029'!$C$1887:$Z$1887,Setup!$F$33:$F$40)),SUMPRODUCT(COUNTIF('2030'!$C$1887:$Z$1887,Setup!$F$33:$F$40))))</f>
        <v/>
      </c>
      <c r="AO42" s="137">
        <f>IF($B42="","",CHOOSE(IFERROR(MATCH($C$4,Setup!$K$33:$K$36,0),1),SUMPRODUCT(COUNTIF('2027'!$C$1937:$Z$1937,Setup!$F$33:$F$40)),SUMPRODUCT(COUNTIF('2028'!$C$1937:$Z$1937,Setup!$F$33:$F$40)),SUMPRODUCT(COUNTIF('2029'!$C$1937:$Z$1937,Setup!$F$33:$F$40)),SUMPRODUCT(COUNTIF('2030'!$C$1937:$Z$1937,Setup!$F$33:$F$40))))</f>
        <v/>
      </c>
      <c r="AP42" s="137">
        <f>IF($B42="","",CHOOSE(IFERROR(MATCH($C$4,Setup!$K$33:$K$36,0),1),SUMPRODUCT(COUNTIF('2027'!$C$1987:$Z$1987,Setup!$F$33:$F$40)),SUMPRODUCT(COUNTIF('2028'!$C$1987:$Z$1987,Setup!$F$33:$F$40)),SUMPRODUCT(COUNTIF('2029'!$C$1987:$Z$1987,Setup!$F$33:$F$40)),SUMPRODUCT(COUNTIF('2030'!$C$1987:$Z$1987,Setup!$F$33:$F$40))))</f>
        <v/>
      </c>
      <c r="AQ42" s="137">
        <f>IF($B42="","",CHOOSE(IFERROR(MATCH($C$4,Setup!$K$33:$K$36,0),1),SUMPRODUCT(COUNTIF('2027'!$C$2037:$Z$2037,Setup!$F$33:$F$40)),SUMPRODUCT(COUNTIF('2028'!$C$2037:$Z$2037,Setup!$F$33:$F$40)),SUMPRODUCT(COUNTIF('2029'!$C$2037:$Z$2037,Setup!$F$33:$F$40)),SUMPRODUCT(COUNTIF('2030'!$C$2037:$Z$2037,Setup!$F$33:$F$40))))</f>
        <v/>
      </c>
      <c r="AR42" s="137">
        <f>IF($B42="","",CHOOSE(IFERROR(MATCH($C$4,Setup!$K$33:$K$36,0),1),SUMPRODUCT(COUNTIF('2027'!$C$2087:$Z$2087,Setup!$F$33:$F$40)),SUMPRODUCT(COUNTIF('2028'!$C$2087:$Z$2087,Setup!$F$33:$F$40)),SUMPRODUCT(COUNTIF('2029'!$C$2087:$Z$2087,Setup!$F$33:$F$40)),SUMPRODUCT(COUNTIF('2030'!$C$2087:$Z$2087,Setup!$F$33:$F$40))))</f>
        <v/>
      </c>
      <c r="AS42" s="137">
        <f>IF($B42="","",CHOOSE(IFERROR(MATCH($C$4,Setup!$K$33:$K$36,0),1),SUMPRODUCT(COUNTIF('2027'!$C$2137:$Z$2137,Setup!$F$33:$F$40)),SUMPRODUCT(COUNTIF('2028'!$C$2137:$Z$2137,Setup!$F$33:$F$40)),SUMPRODUCT(COUNTIF('2029'!$C$2137:$Z$2137,Setup!$F$33:$F$40)),SUMPRODUCT(COUNTIF('2030'!$C$2137:$Z$2137,Setup!$F$33:$F$40))))</f>
        <v/>
      </c>
      <c r="AT42" s="137">
        <f>IF($B42="","",CHOOSE(IFERROR(MATCH($C$4,Setup!$K$33:$K$36,0),1),SUMPRODUCT(COUNTIF('2027'!$C$2187:$Z$2187,Setup!$F$33:$F$40)),SUMPRODUCT(COUNTIF('2028'!$C$2187:$Z$2187,Setup!$F$33:$F$40)),SUMPRODUCT(COUNTIF('2029'!$C$2187:$Z$2187,Setup!$F$33:$F$40)),SUMPRODUCT(COUNTIF('2030'!$C$2187:$Z$2187,Setup!$F$33:$F$40))))</f>
        <v/>
      </c>
      <c r="AU42" s="137">
        <f>IF($B42="","",CHOOSE(IFERROR(MATCH($C$4,Setup!$K$33:$K$36,0),1),SUMPRODUCT(COUNTIF('2027'!$C$2237:$Z$2237,Setup!$F$33:$F$40)),SUMPRODUCT(COUNTIF('2028'!$C$2237:$Z$2237,Setup!$F$33:$F$40)),SUMPRODUCT(COUNTIF('2029'!$C$2237:$Z$2237,Setup!$F$33:$F$40)),SUMPRODUCT(COUNTIF('2030'!$C$2237:$Z$2237,Setup!$F$33:$F$40))))</f>
        <v/>
      </c>
      <c r="AV42" s="137">
        <f>IF($B42="","",CHOOSE(IFERROR(MATCH($C$4,Setup!$K$33:$K$36,0),1),SUMPRODUCT(COUNTIF('2027'!$C$2287:$Z$2287,Setup!$F$33:$F$40)),SUMPRODUCT(COUNTIF('2028'!$C$2287:$Z$2287,Setup!$F$33:$F$40)),SUMPRODUCT(COUNTIF('2029'!$C$2287:$Z$2287,Setup!$F$33:$F$40)),SUMPRODUCT(COUNTIF('2030'!$C$2287:$Z$2287,Setup!$F$33:$F$40))))</f>
        <v/>
      </c>
      <c r="AW42" s="137">
        <f>IF($B42="","",CHOOSE(IFERROR(MATCH($C$4,Setup!$K$33:$K$36,0),1),SUMPRODUCT(COUNTIF('2027'!$C$2337:$Z$2337,Setup!$F$33:$F$40)),SUMPRODUCT(COUNTIF('2028'!$C$2337:$Z$2337,Setup!$F$33:$F$40)),SUMPRODUCT(COUNTIF('2029'!$C$2337:$Z$2337,Setup!$F$33:$F$40)),SUMPRODUCT(COUNTIF('2030'!$C$2337:$Z$2337,Setup!$F$33:$F$40))))</f>
        <v/>
      </c>
      <c r="AX42" s="137">
        <f>IF($B42="","",CHOOSE(IFERROR(MATCH($C$4,Setup!$K$33:$K$36,0),1),SUMPRODUCT(COUNTIF('2027'!$C$2387:$Z$2387,Setup!$F$33:$F$40)),SUMPRODUCT(COUNTIF('2028'!$C$2387:$Z$2387,Setup!$F$33:$F$40)),SUMPRODUCT(COUNTIF('2029'!$C$2387:$Z$2387,Setup!$F$33:$F$40)),SUMPRODUCT(COUNTIF('2030'!$C$2387:$Z$2387,Setup!$F$33:$F$40))))</f>
        <v/>
      </c>
      <c r="AY42" s="137">
        <f>IF($B42="","",CHOOSE(IFERROR(MATCH($C$4,Setup!$K$33:$K$36,0),1),SUMPRODUCT(COUNTIF('2027'!$C$2437:$Z$2437,Setup!$F$33:$F$40)),SUMPRODUCT(COUNTIF('2028'!$C$2437:$Z$2437,Setup!$F$33:$F$40)),SUMPRODUCT(COUNTIF('2029'!$C$2437:$Z$2437,Setup!$F$33:$F$40)),SUMPRODUCT(COUNTIF('2030'!$C$2437:$Z$2437,Setup!$F$33:$F$40))))</f>
        <v/>
      </c>
      <c r="AZ42" s="137">
        <f>IF($B42="","",CHOOSE(IFERROR(MATCH($C$4,Setup!$K$33:$K$36,0),1),SUMPRODUCT(COUNTIF('2027'!$C$2487:$Z$2487,Setup!$F$33:$F$40)),SUMPRODUCT(COUNTIF('2028'!$C$2487:$Z$2487,Setup!$F$33:$F$40)),SUMPRODUCT(COUNTIF('2029'!$C$2487:$Z$2487,Setup!$F$33:$F$40)),SUMPRODUCT(COUNTIF('2030'!$C$2487:$Z$2487,Setup!$F$33:$F$40))))</f>
        <v/>
      </c>
      <c r="BA42" s="137">
        <f>IF($B42="","",CHOOSE(IFERROR(MATCH($C$4,Setup!$K$33:$K$36,0),1),SUMPRODUCT(COUNTIF('2027'!$C$2537:$Z$2537,Setup!$F$33:$F$40)),SUMPRODUCT(COUNTIF('2028'!$C$2537:$Z$2537,Setup!$F$33:$F$40)),SUMPRODUCT(COUNTIF('2029'!$C$2537:$Z$2537,Setup!$F$33:$F$40)),SUMPRODUCT(COUNTIF('2030'!$C$2537:$Z$2537,Setup!$F$33:$F$40))))</f>
        <v/>
      </c>
      <c r="BB42" s="137">
        <f>IF($B42="","",CHOOSE(IFERROR(MATCH($C$4,Setup!$K$33:$K$36,0),1),SUMPRODUCT(COUNTIF('2027'!$C$2587:$Z$2587,Setup!$F$33:$F$40)),SUMPRODUCT(COUNTIF('2028'!$C$2587:$Z$2587,Setup!$F$33:$F$40)),SUMPRODUCT(COUNTIF('2029'!$C$2587:$Z$2587,Setup!$F$33:$F$40)),SUMPRODUCT(COUNTIF('2030'!$C$2587:$Z$2587,Setup!$F$33:$F$40))))</f>
        <v/>
      </c>
      <c r="BC42" s="137">
        <f>IF($B42="","",CHOOSE(IFERROR(MATCH($C$4,Setup!$K$33:$K$36,0),1),SUMPRODUCT(COUNTIF('2027'!$C$2637:$Z$2637,Setup!$F$33:$F$40)),SUMPRODUCT(COUNTIF('2028'!$C$2637:$Z$2637,Setup!$F$33:$F$40)),SUMPRODUCT(COUNTIF('2029'!$C$2637:$Z$2637,Setup!$F$33:$F$40)),SUMPRODUCT(COUNTIF('2030'!$C$2637:$Z$2637,Setup!$F$33:$F$40))))</f>
        <v/>
      </c>
      <c r="BE42" s="129">
        <f>IF($B42="","",SUM(C42:BC42))</f>
        <v/>
      </c>
      <c r="BF42" s="130">
        <f>IF($B42="","",COUNTIF(C42:BC42,"&gt;0"))</f>
        <v/>
      </c>
      <c r="BG42" s="130">
        <f>IF(OR($B42="",N(BE42)=0),"",MATCH(MAX(C42:BC42),C42:BC42,0))</f>
        <v/>
      </c>
    </row>
    <row r="43" ht="15" customHeight="1">
      <c r="B43" s="136">
        <f>IF(Setup!$B$17="","",Setup!$B$17)</f>
        <v/>
      </c>
      <c r="C43" s="137">
        <f>IF($B43="","",CHOOSE(IFERROR(MATCH($C$4,Setup!$K$33:$K$36,0),1),SUMPRODUCT(COUNTIF('2027'!$C$38:$Z$38,Setup!$F$33:$F$40)),SUMPRODUCT(COUNTIF('2028'!$C$38:$Z$38,Setup!$F$33:$F$40)),SUMPRODUCT(COUNTIF('2029'!$C$38:$Z$38,Setup!$F$33:$F$40)),SUMPRODUCT(COUNTIF('2030'!$C$38:$Z$38,Setup!$F$33:$F$40))))</f>
        <v/>
      </c>
      <c r="D43" s="137">
        <f>IF($B43="","",CHOOSE(IFERROR(MATCH($C$4,Setup!$K$33:$K$36,0),1),SUMPRODUCT(COUNTIF('2027'!$C$88:$Z$88,Setup!$F$33:$F$40)),SUMPRODUCT(COUNTIF('2028'!$C$88:$Z$88,Setup!$F$33:$F$40)),SUMPRODUCT(COUNTIF('2029'!$C$88:$Z$88,Setup!$F$33:$F$40)),SUMPRODUCT(COUNTIF('2030'!$C$88:$Z$88,Setup!$F$33:$F$40))))</f>
        <v/>
      </c>
      <c r="E43" s="137">
        <f>IF($B43="","",CHOOSE(IFERROR(MATCH($C$4,Setup!$K$33:$K$36,0),1),SUMPRODUCT(COUNTIF('2027'!$C$138:$Z$138,Setup!$F$33:$F$40)),SUMPRODUCT(COUNTIF('2028'!$C$138:$Z$138,Setup!$F$33:$F$40)),SUMPRODUCT(COUNTIF('2029'!$C$138:$Z$138,Setup!$F$33:$F$40)),SUMPRODUCT(COUNTIF('2030'!$C$138:$Z$138,Setup!$F$33:$F$40))))</f>
        <v/>
      </c>
      <c r="F43" s="137">
        <f>IF($B43="","",CHOOSE(IFERROR(MATCH($C$4,Setup!$K$33:$K$36,0),1),SUMPRODUCT(COUNTIF('2027'!$C$188:$Z$188,Setup!$F$33:$F$40)),SUMPRODUCT(COUNTIF('2028'!$C$188:$Z$188,Setup!$F$33:$F$40)),SUMPRODUCT(COUNTIF('2029'!$C$188:$Z$188,Setup!$F$33:$F$40)),SUMPRODUCT(COUNTIF('2030'!$C$188:$Z$188,Setup!$F$33:$F$40))))</f>
        <v/>
      </c>
      <c r="G43" s="137">
        <f>IF($B43="","",CHOOSE(IFERROR(MATCH($C$4,Setup!$K$33:$K$36,0),1),SUMPRODUCT(COUNTIF('2027'!$C$238:$Z$238,Setup!$F$33:$F$40)),SUMPRODUCT(COUNTIF('2028'!$C$238:$Z$238,Setup!$F$33:$F$40)),SUMPRODUCT(COUNTIF('2029'!$C$238:$Z$238,Setup!$F$33:$F$40)),SUMPRODUCT(COUNTIF('2030'!$C$238:$Z$238,Setup!$F$33:$F$40))))</f>
        <v/>
      </c>
      <c r="H43" s="137">
        <f>IF($B43="","",CHOOSE(IFERROR(MATCH($C$4,Setup!$K$33:$K$36,0),1),SUMPRODUCT(COUNTIF('2027'!$C$288:$Z$288,Setup!$F$33:$F$40)),SUMPRODUCT(COUNTIF('2028'!$C$288:$Z$288,Setup!$F$33:$F$40)),SUMPRODUCT(COUNTIF('2029'!$C$288:$Z$288,Setup!$F$33:$F$40)),SUMPRODUCT(COUNTIF('2030'!$C$288:$Z$288,Setup!$F$33:$F$40))))</f>
        <v/>
      </c>
      <c r="I43" s="137">
        <f>IF($B43="","",CHOOSE(IFERROR(MATCH($C$4,Setup!$K$33:$K$36,0),1),SUMPRODUCT(COUNTIF('2027'!$C$338:$Z$338,Setup!$F$33:$F$40)),SUMPRODUCT(COUNTIF('2028'!$C$338:$Z$338,Setup!$F$33:$F$40)),SUMPRODUCT(COUNTIF('2029'!$C$338:$Z$338,Setup!$F$33:$F$40)),SUMPRODUCT(COUNTIF('2030'!$C$338:$Z$338,Setup!$F$33:$F$40))))</f>
        <v/>
      </c>
      <c r="J43" s="137">
        <f>IF($B43="","",CHOOSE(IFERROR(MATCH($C$4,Setup!$K$33:$K$36,0),1),SUMPRODUCT(COUNTIF('2027'!$C$388:$Z$388,Setup!$F$33:$F$40)),SUMPRODUCT(COUNTIF('2028'!$C$388:$Z$388,Setup!$F$33:$F$40)),SUMPRODUCT(COUNTIF('2029'!$C$388:$Z$388,Setup!$F$33:$F$40)),SUMPRODUCT(COUNTIF('2030'!$C$388:$Z$388,Setup!$F$33:$F$40))))</f>
        <v/>
      </c>
      <c r="K43" s="137">
        <f>IF($B43="","",CHOOSE(IFERROR(MATCH($C$4,Setup!$K$33:$K$36,0),1),SUMPRODUCT(COUNTIF('2027'!$C$438:$Z$438,Setup!$F$33:$F$40)),SUMPRODUCT(COUNTIF('2028'!$C$438:$Z$438,Setup!$F$33:$F$40)),SUMPRODUCT(COUNTIF('2029'!$C$438:$Z$438,Setup!$F$33:$F$40)),SUMPRODUCT(COUNTIF('2030'!$C$438:$Z$438,Setup!$F$33:$F$40))))</f>
        <v/>
      </c>
      <c r="L43" s="137">
        <f>IF($B43="","",CHOOSE(IFERROR(MATCH($C$4,Setup!$K$33:$K$36,0),1),SUMPRODUCT(COUNTIF('2027'!$C$488:$Z$488,Setup!$F$33:$F$40)),SUMPRODUCT(COUNTIF('2028'!$C$488:$Z$488,Setup!$F$33:$F$40)),SUMPRODUCT(COUNTIF('2029'!$C$488:$Z$488,Setup!$F$33:$F$40)),SUMPRODUCT(COUNTIF('2030'!$C$488:$Z$488,Setup!$F$33:$F$40))))</f>
        <v/>
      </c>
      <c r="M43" s="137">
        <f>IF($B43="","",CHOOSE(IFERROR(MATCH($C$4,Setup!$K$33:$K$36,0),1),SUMPRODUCT(COUNTIF('2027'!$C$538:$Z$538,Setup!$F$33:$F$40)),SUMPRODUCT(COUNTIF('2028'!$C$538:$Z$538,Setup!$F$33:$F$40)),SUMPRODUCT(COUNTIF('2029'!$C$538:$Z$538,Setup!$F$33:$F$40)),SUMPRODUCT(COUNTIF('2030'!$C$538:$Z$538,Setup!$F$33:$F$40))))</f>
        <v/>
      </c>
      <c r="N43" s="137">
        <f>IF($B43="","",CHOOSE(IFERROR(MATCH($C$4,Setup!$K$33:$K$36,0),1),SUMPRODUCT(COUNTIF('2027'!$C$588:$Z$588,Setup!$F$33:$F$40)),SUMPRODUCT(COUNTIF('2028'!$C$588:$Z$588,Setup!$F$33:$F$40)),SUMPRODUCT(COUNTIF('2029'!$C$588:$Z$588,Setup!$F$33:$F$40)),SUMPRODUCT(COUNTIF('2030'!$C$588:$Z$588,Setup!$F$33:$F$40))))</f>
        <v/>
      </c>
      <c r="O43" s="137">
        <f>IF($B43="","",CHOOSE(IFERROR(MATCH($C$4,Setup!$K$33:$K$36,0),1),SUMPRODUCT(COUNTIF('2027'!$C$638:$Z$638,Setup!$F$33:$F$40)),SUMPRODUCT(COUNTIF('2028'!$C$638:$Z$638,Setup!$F$33:$F$40)),SUMPRODUCT(COUNTIF('2029'!$C$638:$Z$638,Setup!$F$33:$F$40)),SUMPRODUCT(COUNTIF('2030'!$C$638:$Z$638,Setup!$F$33:$F$40))))</f>
        <v/>
      </c>
      <c r="P43" s="137">
        <f>IF($B43="","",CHOOSE(IFERROR(MATCH($C$4,Setup!$K$33:$K$36,0),1),SUMPRODUCT(COUNTIF('2027'!$C$688:$Z$688,Setup!$F$33:$F$40)),SUMPRODUCT(COUNTIF('2028'!$C$688:$Z$688,Setup!$F$33:$F$40)),SUMPRODUCT(COUNTIF('2029'!$C$688:$Z$688,Setup!$F$33:$F$40)),SUMPRODUCT(COUNTIF('2030'!$C$688:$Z$688,Setup!$F$33:$F$40))))</f>
        <v/>
      </c>
      <c r="Q43" s="137">
        <f>IF($B43="","",CHOOSE(IFERROR(MATCH($C$4,Setup!$K$33:$K$36,0),1),SUMPRODUCT(COUNTIF('2027'!$C$738:$Z$738,Setup!$F$33:$F$40)),SUMPRODUCT(COUNTIF('2028'!$C$738:$Z$738,Setup!$F$33:$F$40)),SUMPRODUCT(COUNTIF('2029'!$C$738:$Z$738,Setup!$F$33:$F$40)),SUMPRODUCT(COUNTIF('2030'!$C$738:$Z$738,Setup!$F$33:$F$40))))</f>
        <v/>
      </c>
      <c r="R43" s="137">
        <f>IF($B43="","",CHOOSE(IFERROR(MATCH($C$4,Setup!$K$33:$K$36,0),1),SUMPRODUCT(COUNTIF('2027'!$C$788:$Z$788,Setup!$F$33:$F$40)),SUMPRODUCT(COUNTIF('2028'!$C$788:$Z$788,Setup!$F$33:$F$40)),SUMPRODUCT(COUNTIF('2029'!$C$788:$Z$788,Setup!$F$33:$F$40)),SUMPRODUCT(COUNTIF('2030'!$C$788:$Z$788,Setup!$F$33:$F$40))))</f>
        <v/>
      </c>
      <c r="S43" s="137">
        <f>IF($B43="","",CHOOSE(IFERROR(MATCH($C$4,Setup!$K$33:$K$36,0),1),SUMPRODUCT(COUNTIF('2027'!$C$838:$Z$838,Setup!$F$33:$F$40)),SUMPRODUCT(COUNTIF('2028'!$C$838:$Z$838,Setup!$F$33:$F$40)),SUMPRODUCT(COUNTIF('2029'!$C$838:$Z$838,Setup!$F$33:$F$40)),SUMPRODUCT(COUNTIF('2030'!$C$838:$Z$838,Setup!$F$33:$F$40))))</f>
        <v/>
      </c>
      <c r="T43" s="137">
        <f>IF($B43="","",CHOOSE(IFERROR(MATCH($C$4,Setup!$K$33:$K$36,0),1),SUMPRODUCT(COUNTIF('2027'!$C$888:$Z$888,Setup!$F$33:$F$40)),SUMPRODUCT(COUNTIF('2028'!$C$888:$Z$888,Setup!$F$33:$F$40)),SUMPRODUCT(COUNTIF('2029'!$C$888:$Z$888,Setup!$F$33:$F$40)),SUMPRODUCT(COUNTIF('2030'!$C$888:$Z$888,Setup!$F$33:$F$40))))</f>
        <v/>
      </c>
      <c r="U43" s="137">
        <f>IF($B43="","",CHOOSE(IFERROR(MATCH($C$4,Setup!$K$33:$K$36,0),1),SUMPRODUCT(COUNTIF('2027'!$C$938:$Z$938,Setup!$F$33:$F$40)),SUMPRODUCT(COUNTIF('2028'!$C$938:$Z$938,Setup!$F$33:$F$40)),SUMPRODUCT(COUNTIF('2029'!$C$938:$Z$938,Setup!$F$33:$F$40)),SUMPRODUCT(COUNTIF('2030'!$C$938:$Z$938,Setup!$F$33:$F$40))))</f>
        <v/>
      </c>
      <c r="V43" s="137">
        <f>IF($B43="","",CHOOSE(IFERROR(MATCH($C$4,Setup!$K$33:$K$36,0),1),SUMPRODUCT(COUNTIF('2027'!$C$988:$Z$988,Setup!$F$33:$F$40)),SUMPRODUCT(COUNTIF('2028'!$C$988:$Z$988,Setup!$F$33:$F$40)),SUMPRODUCT(COUNTIF('2029'!$C$988:$Z$988,Setup!$F$33:$F$40)),SUMPRODUCT(COUNTIF('2030'!$C$988:$Z$988,Setup!$F$33:$F$40))))</f>
        <v/>
      </c>
      <c r="W43" s="137">
        <f>IF($B43="","",CHOOSE(IFERROR(MATCH($C$4,Setup!$K$33:$K$36,0),1),SUMPRODUCT(COUNTIF('2027'!$C$1038:$Z$1038,Setup!$F$33:$F$40)),SUMPRODUCT(COUNTIF('2028'!$C$1038:$Z$1038,Setup!$F$33:$F$40)),SUMPRODUCT(COUNTIF('2029'!$C$1038:$Z$1038,Setup!$F$33:$F$40)),SUMPRODUCT(COUNTIF('2030'!$C$1038:$Z$1038,Setup!$F$33:$F$40))))</f>
        <v/>
      </c>
      <c r="X43" s="137">
        <f>IF($B43="","",CHOOSE(IFERROR(MATCH($C$4,Setup!$K$33:$K$36,0),1),SUMPRODUCT(COUNTIF('2027'!$C$1088:$Z$1088,Setup!$F$33:$F$40)),SUMPRODUCT(COUNTIF('2028'!$C$1088:$Z$1088,Setup!$F$33:$F$40)),SUMPRODUCT(COUNTIF('2029'!$C$1088:$Z$1088,Setup!$F$33:$F$40)),SUMPRODUCT(COUNTIF('2030'!$C$1088:$Z$1088,Setup!$F$33:$F$40))))</f>
        <v/>
      </c>
      <c r="Y43" s="137">
        <f>IF($B43="","",CHOOSE(IFERROR(MATCH($C$4,Setup!$K$33:$K$36,0),1),SUMPRODUCT(COUNTIF('2027'!$C$1138:$Z$1138,Setup!$F$33:$F$40)),SUMPRODUCT(COUNTIF('2028'!$C$1138:$Z$1138,Setup!$F$33:$F$40)),SUMPRODUCT(COUNTIF('2029'!$C$1138:$Z$1138,Setup!$F$33:$F$40)),SUMPRODUCT(COUNTIF('2030'!$C$1138:$Z$1138,Setup!$F$33:$F$40))))</f>
        <v/>
      </c>
      <c r="Z43" s="137">
        <f>IF($B43="","",CHOOSE(IFERROR(MATCH($C$4,Setup!$K$33:$K$36,0),1),SUMPRODUCT(COUNTIF('2027'!$C$1188:$Z$1188,Setup!$F$33:$F$40)),SUMPRODUCT(COUNTIF('2028'!$C$1188:$Z$1188,Setup!$F$33:$F$40)),SUMPRODUCT(COUNTIF('2029'!$C$1188:$Z$1188,Setup!$F$33:$F$40)),SUMPRODUCT(COUNTIF('2030'!$C$1188:$Z$1188,Setup!$F$33:$F$40))))</f>
        <v/>
      </c>
      <c r="AA43" s="137">
        <f>IF($B43="","",CHOOSE(IFERROR(MATCH($C$4,Setup!$K$33:$K$36,0),1),SUMPRODUCT(COUNTIF('2027'!$C$1238:$Z$1238,Setup!$F$33:$F$40)),SUMPRODUCT(COUNTIF('2028'!$C$1238:$Z$1238,Setup!$F$33:$F$40)),SUMPRODUCT(COUNTIF('2029'!$C$1238:$Z$1238,Setup!$F$33:$F$40)),SUMPRODUCT(COUNTIF('2030'!$C$1238:$Z$1238,Setup!$F$33:$F$40))))</f>
        <v/>
      </c>
      <c r="AB43" s="137">
        <f>IF($B43="","",CHOOSE(IFERROR(MATCH($C$4,Setup!$K$33:$K$36,0),1),SUMPRODUCT(COUNTIF('2027'!$C$1288:$Z$1288,Setup!$F$33:$F$40)),SUMPRODUCT(COUNTIF('2028'!$C$1288:$Z$1288,Setup!$F$33:$F$40)),SUMPRODUCT(COUNTIF('2029'!$C$1288:$Z$1288,Setup!$F$33:$F$40)),SUMPRODUCT(COUNTIF('2030'!$C$1288:$Z$1288,Setup!$F$33:$F$40))))</f>
        <v/>
      </c>
      <c r="AC43" s="137">
        <f>IF($B43="","",CHOOSE(IFERROR(MATCH($C$4,Setup!$K$33:$K$36,0),1),SUMPRODUCT(COUNTIF('2027'!$C$1338:$Z$1338,Setup!$F$33:$F$40)),SUMPRODUCT(COUNTIF('2028'!$C$1338:$Z$1338,Setup!$F$33:$F$40)),SUMPRODUCT(COUNTIF('2029'!$C$1338:$Z$1338,Setup!$F$33:$F$40)),SUMPRODUCT(COUNTIF('2030'!$C$1338:$Z$1338,Setup!$F$33:$F$40))))</f>
        <v/>
      </c>
      <c r="AD43" s="137">
        <f>IF($B43="","",CHOOSE(IFERROR(MATCH($C$4,Setup!$K$33:$K$36,0),1),SUMPRODUCT(COUNTIF('2027'!$C$1388:$Z$1388,Setup!$F$33:$F$40)),SUMPRODUCT(COUNTIF('2028'!$C$1388:$Z$1388,Setup!$F$33:$F$40)),SUMPRODUCT(COUNTIF('2029'!$C$1388:$Z$1388,Setup!$F$33:$F$40)),SUMPRODUCT(COUNTIF('2030'!$C$1388:$Z$1388,Setup!$F$33:$F$40))))</f>
        <v/>
      </c>
      <c r="AE43" s="137">
        <f>IF($B43="","",CHOOSE(IFERROR(MATCH($C$4,Setup!$K$33:$K$36,0),1),SUMPRODUCT(COUNTIF('2027'!$C$1438:$Z$1438,Setup!$F$33:$F$40)),SUMPRODUCT(COUNTIF('2028'!$C$1438:$Z$1438,Setup!$F$33:$F$40)),SUMPRODUCT(COUNTIF('2029'!$C$1438:$Z$1438,Setup!$F$33:$F$40)),SUMPRODUCT(COUNTIF('2030'!$C$1438:$Z$1438,Setup!$F$33:$F$40))))</f>
        <v/>
      </c>
      <c r="AF43" s="137">
        <f>IF($B43="","",CHOOSE(IFERROR(MATCH($C$4,Setup!$K$33:$K$36,0),1),SUMPRODUCT(COUNTIF('2027'!$C$1488:$Z$1488,Setup!$F$33:$F$40)),SUMPRODUCT(COUNTIF('2028'!$C$1488:$Z$1488,Setup!$F$33:$F$40)),SUMPRODUCT(COUNTIF('2029'!$C$1488:$Z$1488,Setup!$F$33:$F$40)),SUMPRODUCT(COUNTIF('2030'!$C$1488:$Z$1488,Setup!$F$33:$F$40))))</f>
        <v/>
      </c>
      <c r="AG43" s="137">
        <f>IF($B43="","",CHOOSE(IFERROR(MATCH($C$4,Setup!$K$33:$K$36,0),1),SUMPRODUCT(COUNTIF('2027'!$C$1538:$Z$1538,Setup!$F$33:$F$40)),SUMPRODUCT(COUNTIF('2028'!$C$1538:$Z$1538,Setup!$F$33:$F$40)),SUMPRODUCT(COUNTIF('2029'!$C$1538:$Z$1538,Setup!$F$33:$F$40)),SUMPRODUCT(COUNTIF('2030'!$C$1538:$Z$1538,Setup!$F$33:$F$40))))</f>
        <v/>
      </c>
      <c r="AH43" s="137">
        <f>IF($B43="","",CHOOSE(IFERROR(MATCH($C$4,Setup!$K$33:$K$36,0),1),SUMPRODUCT(COUNTIF('2027'!$C$1588:$Z$1588,Setup!$F$33:$F$40)),SUMPRODUCT(COUNTIF('2028'!$C$1588:$Z$1588,Setup!$F$33:$F$40)),SUMPRODUCT(COUNTIF('2029'!$C$1588:$Z$1588,Setup!$F$33:$F$40)),SUMPRODUCT(COUNTIF('2030'!$C$1588:$Z$1588,Setup!$F$33:$F$40))))</f>
        <v/>
      </c>
      <c r="AI43" s="137">
        <f>IF($B43="","",CHOOSE(IFERROR(MATCH($C$4,Setup!$K$33:$K$36,0),1),SUMPRODUCT(COUNTIF('2027'!$C$1638:$Z$1638,Setup!$F$33:$F$40)),SUMPRODUCT(COUNTIF('2028'!$C$1638:$Z$1638,Setup!$F$33:$F$40)),SUMPRODUCT(COUNTIF('2029'!$C$1638:$Z$1638,Setup!$F$33:$F$40)),SUMPRODUCT(COUNTIF('2030'!$C$1638:$Z$1638,Setup!$F$33:$F$40))))</f>
        <v/>
      </c>
      <c r="AJ43" s="137">
        <f>IF($B43="","",CHOOSE(IFERROR(MATCH($C$4,Setup!$K$33:$K$36,0),1),SUMPRODUCT(COUNTIF('2027'!$C$1688:$Z$1688,Setup!$F$33:$F$40)),SUMPRODUCT(COUNTIF('2028'!$C$1688:$Z$1688,Setup!$F$33:$F$40)),SUMPRODUCT(COUNTIF('2029'!$C$1688:$Z$1688,Setup!$F$33:$F$40)),SUMPRODUCT(COUNTIF('2030'!$C$1688:$Z$1688,Setup!$F$33:$F$40))))</f>
        <v/>
      </c>
      <c r="AK43" s="137">
        <f>IF($B43="","",CHOOSE(IFERROR(MATCH($C$4,Setup!$K$33:$K$36,0),1),SUMPRODUCT(COUNTIF('2027'!$C$1738:$Z$1738,Setup!$F$33:$F$40)),SUMPRODUCT(COUNTIF('2028'!$C$1738:$Z$1738,Setup!$F$33:$F$40)),SUMPRODUCT(COUNTIF('2029'!$C$1738:$Z$1738,Setup!$F$33:$F$40)),SUMPRODUCT(COUNTIF('2030'!$C$1738:$Z$1738,Setup!$F$33:$F$40))))</f>
        <v/>
      </c>
      <c r="AL43" s="137">
        <f>IF($B43="","",CHOOSE(IFERROR(MATCH($C$4,Setup!$K$33:$K$36,0),1),SUMPRODUCT(COUNTIF('2027'!$C$1788:$Z$1788,Setup!$F$33:$F$40)),SUMPRODUCT(COUNTIF('2028'!$C$1788:$Z$1788,Setup!$F$33:$F$40)),SUMPRODUCT(COUNTIF('2029'!$C$1788:$Z$1788,Setup!$F$33:$F$40)),SUMPRODUCT(COUNTIF('2030'!$C$1788:$Z$1788,Setup!$F$33:$F$40))))</f>
        <v/>
      </c>
      <c r="AM43" s="137">
        <f>IF($B43="","",CHOOSE(IFERROR(MATCH($C$4,Setup!$K$33:$K$36,0),1),SUMPRODUCT(COUNTIF('2027'!$C$1838:$Z$1838,Setup!$F$33:$F$40)),SUMPRODUCT(COUNTIF('2028'!$C$1838:$Z$1838,Setup!$F$33:$F$40)),SUMPRODUCT(COUNTIF('2029'!$C$1838:$Z$1838,Setup!$F$33:$F$40)),SUMPRODUCT(COUNTIF('2030'!$C$1838:$Z$1838,Setup!$F$33:$F$40))))</f>
        <v/>
      </c>
      <c r="AN43" s="137">
        <f>IF($B43="","",CHOOSE(IFERROR(MATCH($C$4,Setup!$K$33:$K$36,0),1),SUMPRODUCT(COUNTIF('2027'!$C$1888:$Z$1888,Setup!$F$33:$F$40)),SUMPRODUCT(COUNTIF('2028'!$C$1888:$Z$1888,Setup!$F$33:$F$40)),SUMPRODUCT(COUNTIF('2029'!$C$1888:$Z$1888,Setup!$F$33:$F$40)),SUMPRODUCT(COUNTIF('2030'!$C$1888:$Z$1888,Setup!$F$33:$F$40))))</f>
        <v/>
      </c>
      <c r="AO43" s="137">
        <f>IF($B43="","",CHOOSE(IFERROR(MATCH($C$4,Setup!$K$33:$K$36,0),1),SUMPRODUCT(COUNTIF('2027'!$C$1938:$Z$1938,Setup!$F$33:$F$40)),SUMPRODUCT(COUNTIF('2028'!$C$1938:$Z$1938,Setup!$F$33:$F$40)),SUMPRODUCT(COUNTIF('2029'!$C$1938:$Z$1938,Setup!$F$33:$F$40)),SUMPRODUCT(COUNTIF('2030'!$C$1938:$Z$1938,Setup!$F$33:$F$40))))</f>
        <v/>
      </c>
      <c r="AP43" s="137">
        <f>IF($B43="","",CHOOSE(IFERROR(MATCH($C$4,Setup!$K$33:$K$36,0),1),SUMPRODUCT(COUNTIF('2027'!$C$1988:$Z$1988,Setup!$F$33:$F$40)),SUMPRODUCT(COUNTIF('2028'!$C$1988:$Z$1988,Setup!$F$33:$F$40)),SUMPRODUCT(COUNTIF('2029'!$C$1988:$Z$1988,Setup!$F$33:$F$40)),SUMPRODUCT(COUNTIF('2030'!$C$1988:$Z$1988,Setup!$F$33:$F$40))))</f>
        <v/>
      </c>
      <c r="AQ43" s="137">
        <f>IF($B43="","",CHOOSE(IFERROR(MATCH($C$4,Setup!$K$33:$K$36,0),1),SUMPRODUCT(COUNTIF('2027'!$C$2038:$Z$2038,Setup!$F$33:$F$40)),SUMPRODUCT(COUNTIF('2028'!$C$2038:$Z$2038,Setup!$F$33:$F$40)),SUMPRODUCT(COUNTIF('2029'!$C$2038:$Z$2038,Setup!$F$33:$F$40)),SUMPRODUCT(COUNTIF('2030'!$C$2038:$Z$2038,Setup!$F$33:$F$40))))</f>
        <v/>
      </c>
      <c r="AR43" s="137">
        <f>IF($B43="","",CHOOSE(IFERROR(MATCH($C$4,Setup!$K$33:$K$36,0),1),SUMPRODUCT(COUNTIF('2027'!$C$2088:$Z$2088,Setup!$F$33:$F$40)),SUMPRODUCT(COUNTIF('2028'!$C$2088:$Z$2088,Setup!$F$33:$F$40)),SUMPRODUCT(COUNTIF('2029'!$C$2088:$Z$2088,Setup!$F$33:$F$40)),SUMPRODUCT(COUNTIF('2030'!$C$2088:$Z$2088,Setup!$F$33:$F$40))))</f>
        <v/>
      </c>
      <c r="AS43" s="137">
        <f>IF($B43="","",CHOOSE(IFERROR(MATCH($C$4,Setup!$K$33:$K$36,0),1),SUMPRODUCT(COUNTIF('2027'!$C$2138:$Z$2138,Setup!$F$33:$F$40)),SUMPRODUCT(COUNTIF('2028'!$C$2138:$Z$2138,Setup!$F$33:$F$40)),SUMPRODUCT(COUNTIF('2029'!$C$2138:$Z$2138,Setup!$F$33:$F$40)),SUMPRODUCT(COUNTIF('2030'!$C$2138:$Z$2138,Setup!$F$33:$F$40))))</f>
        <v/>
      </c>
      <c r="AT43" s="137">
        <f>IF($B43="","",CHOOSE(IFERROR(MATCH($C$4,Setup!$K$33:$K$36,0),1),SUMPRODUCT(COUNTIF('2027'!$C$2188:$Z$2188,Setup!$F$33:$F$40)),SUMPRODUCT(COUNTIF('2028'!$C$2188:$Z$2188,Setup!$F$33:$F$40)),SUMPRODUCT(COUNTIF('2029'!$C$2188:$Z$2188,Setup!$F$33:$F$40)),SUMPRODUCT(COUNTIF('2030'!$C$2188:$Z$2188,Setup!$F$33:$F$40))))</f>
        <v/>
      </c>
      <c r="AU43" s="137">
        <f>IF($B43="","",CHOOSE(IFERROR(MATCH($C$4,Setup!$K$33:$K$36,0),1),SUMPRODUCT(COUNTIF('2027'!$C$2238:$Z$2238,Setup!$F$33:$F$40)),SUMPRODUCT(COUNTIF('2028'!$C$2238:$Z$2238,Setup!$F$33:$F$40)),SUMPRODUCT(COUNTIF('2029'!$C$2238:$Z$2238,Setup!$F$33:$F$40)),SUMPRODUCT(COUNTIF('2030'!$C$2238:$Z$2238,Setup!$F$33:$F$40))))</f>
        <v/>
      </c>
      <c r="AV43" s="137">
        <f>IF($B43="","",CHOOSE(IFERROR(MATCH($C$4,Setup!$K$33:$K$36,0),1),SUMPRODUCT(COUNTIF('2027'!$C$2288:$Z$2288,Setup!$F$33:$F$40)),SUMPRODUCT(COUNTIF('2028'!$C$2288:$Z$2288,Setup!$F$33:$F$40)),SUMPRODUCT(COUNTIF('2029'!$C$2288:$Z$2288,Setup!$F$33:$F$40)),SUMPRODUCT(COUNTIF('2030'!$C$2288:$Z$2288,Setup!$F$33:$F$40))))</f>
        <v/>
      </c>
      <c r="AW43" s="137">
        <f>IF($B43="","",CHOOSE(IFERROR(MATCH($C$4,Setup!$K$33:$K$36,0),1),SUMPRODUCT(COUNTIF('2027'!$C$2338:$Z$2338,Setup!$F$33:$F$40)),SUMPRODUCT(COUNTIF('2028'!$C$2338:$Z$2338,Setup!$F$33:$F$40)),SUMPRODUCT(COUNTIF('2029'!$C$2338:$Z$2338,Setup!$F$33:$F$40)),SUMPRODUCT(COUNTIF('2030'!$C$2338:$Z$2338,Setup!$F$33:$F$40))))</f>
        <v/>
      </c>
      <c r="AX43" s="137">
        <f>IF($B43="","",CHOOSE(IFERROR(MATCH($C$4,Setup!$K$33:$K$36,0),1),SUMPRODUCT(COUNTIF('2027'!$C$2388:$Z$2388,Setup!$F$33:$F$40)),SUMPRODUCT(COUNTIF('2028'!$C$2388:$Z$2388,Setup!$F$33:$F$40)),SUMPRODUCT(COUNTIF('2029'!$C$2388:$Z$2388,Setup!$F$33:$F$40)),SUMPRODUCT(COUNTIF('2030'!$C$2388:$Z$2388,Setup!$F$33:$F$40))))</f>
        <v/>
      </c>
      <c r="AY43" s="137">
        <f>IF($B43="","",CHOOSE(IFERROR(MATCH($C$4,Setup!$K$33:$K$36,0),1),SUMPRODUCT(COUNTIF('2027'!$C$2438:$Z$2438,Setup!$F$33:$F$40)),SUMPRODUCT(COUNTIF('2028'!$C$2438:$Z$2438,Setup!$F$33:$F$40)),SUMPRODUCT(COUNTIF('2029'!$C$2438:$Z$2438,Setup!$F$33:$F$40)),SUMPRODUCT(COUNTIF('2030'!$C$2438:$Z$2438,Setup!$F$33:$F$40))))</f>
        <v/>
      </c>
      <c r="AZ43" s="137">
        <f>IF($B43="","",CHOOSE(IFERROR(MATCH($C$4,Setup!$K$33:$K$36,0),1),SUMPRODUCT(COUNTIF('2027'!$C$2488:$Z$2488,Setup!$F$33:$F$40)),SUMPRODUCT(COUNTIF('2028'!$C$2488:$Z$2488,Setup!$F$33:$F$40)),SUMPRODUCT(COUNTIF('2029'!$C$2488:$Z$2488,Setup!$F$33:$F$40)),SUMPRODUCT(COUNTIF('2030'!$C$2488:$Z$2488,Setup!$F$33:$F$40))))</f>
        <v/>
      </c>
      <c r="BA43" s="137">
        <f>IF($B43="","",CHOOSE(IFERROR(MATCH($C$4,Setup!$K$33:$K$36,0),1),SUMPRODUCT(COUNTIF('2027'!$C$2538:$Z$2538,Setup!$F$33:$F$40)),SUMPRODUCT(COUNTIF('2028'!$C$2538:$Z$2538,Setup!$F$33:$F$40)),SUMPRODUCT(COUNTIF('2029'!$C$2538:$Z$2538,Setup!$F$33:$F$40)),SUMPRODUCT(COUNTIF('2030'!$C$2538:$Z$2538,Setup!$F$33:$F$40))))</f>
        <v/>
      </c>
      <c r="BB43" s="137">
        <f>IF($B43="","",CHOOSE(IFERROR(MATCH($C$4,Setup!$K$33:$K$36,0),1),SUMPRODUCT(COUNTIF('2027'!$C$2588:$Z$2588,Setup!$F$33:$F$40)),SUMPRODUCT(COUNTIF('2028'!$C$2588:$Z$2588,Setup!$F$33:$F$40)),SUMPRODUCT(COUNTIF('2029'!$C$2588:$Z$2588,Setup!$F$33:$F$40)),SUMPRODUCT(COUNTIF('2030'!$C$2588:$Z$2588,Setup!$F$33:$F$40))))</f>
        <v/>
      </c>
      <c r="BC43" s="137">
        <f>IF($B43="","",CHOOSE(IFERROR(MATCH($C$4,Setup!$K$33:$K$36,0),1),SUMPRODUCT(COUNTIF('2027'!$C$2638:$Z$2638,Setup!$F$33:$F$40)),SUMPRODUCT(COUNTIF('2028'!$C$2638:$Z$2638,Setup!$F$33:$F$40)),SUMPRODUCT(COUNTIF('2029'!$C$2638:$Z$2638,Setup!$F$33:$F$40)),SUMPRODUCT(COUNTIF('2030'!$C$2638:$Z$2638,Setup!$F$33:$F$40))))</f>
        <v/>
      </c>
      <c r="BE43" s="129">
        <f>IF($B43="","",SUM(C43:BC43))</f>
        <v/>
      </c>
      <c r="BF43" s="130">
        <f>IF($B43="","",COUNTIF(C43:BC43,"&gt;0"))</f>
        <v/>
      </c>
      <c r="BG43" s="130">
        <f>IF(OR($B43="",N(BE43)=0),"",MATCH(MAX(C43:BC43),C43:BC43,0))</f>
        <v/>
      </c>
    </row>
    <row r="44" ht="15" customHeight="1">
      <c r="B44" s="136">
        <f>IF(Setup!$B$18="","",Setup!$B$18)</f>
        <v/>
      </c>
      <c r="C44" s="137">
        <f>IF($B44="","",CHOOSE(IFERROR(MATCH($C$4,Setup!$K$33:$K$36,0),1),SUMPRODUCT(COUNTIF('2027'!$C$39:$Z$39,Setup!$F$33:$F$40)),SUMPRODUCT(COUNTIF('2028'!$C$39:$Z$39,Setup!$F$33:$F$40)),SUMPRODUCT(COUNTIF('2029'!$C$39:$Z$39,Setup!$F$33:$F$40)),SUMPRODUCT(COUNTIF('2030'!$C$39:$Z$39,Setup!$F$33:$F$40))))</f>
        <v/>
      </c>
      <c r="D44" s="137">
        <f>IF($B44="","",CHOOSE(IFERROR(MATCH($C$4,Setup!$K$33:$K$36,0),1),SUMPRODUCT(COUNTIF('2027'!$C$89:$Z$89,Setup!$F$33:$F$40)),SUMPRODUCT(COUNTIF('2028'!$C$89:$Z$89,Setup!$F$33:$F$40)),SUMPRODUCT(COUNTIF('2029'!$C$89:$Z$89,Setup!$F$33:$F$40)),SUMPRODUCT(COUNTIF('2030'!$C$89:$Z$89,Setup!$F$33:$F$40))))</f>
        <v/>
      </c>
      <c r="E44" s="137">
        <f>IF($B44="","",CHOOSE(IFERROR(MATCH($C$4,Setup!$K$33:$K$36,0),1),SUMPRODUCT(COUNTIF('2027'!$C$139:$Z$139,Setup!$F$33:$F$40)),SUMPRODUCT(COUNTIF('2028'!$C$139:$Z$139,Setup!$F$33:$F$40)),SUMPRODUCT(COUNTIF('2029'!$C$139:$Z$139,Setup!$F$33:$F$40)),SUMPRODUCT(COUNTIF('2030'!$C$139:$Z$139,Setup!$F$33:$F$40))))</f>
        <v/>
      </c>
      <c r="F44" s="137">
        <f>IF($B44="","",CHOOSE(IFERROR(MATCH($C$4,Setup!$K$33:$K$36,0),1),SUMPRODUCT(COUNTIF('2027'!$C$189:$Z$189,Setup!$F$33:$F$40)),SUMPRODUCT(COUNTIF('2028'!$C$189:$Z$189,Setup!$F$33:$F$40)),SUMPRODUCT(COUNTIF('2029'!$C$189:$Z$189,Setup!$F$33:$F$40)),SUMPRODUCT(COUNTIF('2030'!$C$189:$Z$189,Setup!$F$33:$F$40))))</f>
        <v/>
      </c>
      <c r="G44" s="137">
        <f>IF($B44="","",CHOOSE(IFERROR(MATCH($C$4,Setup!$K$33:$K$36,0),1),SUMPRODUCT(COUNTIF('2027'!$C$239:$Z$239,Setup!$F$33:$F$40)),SUMPRODUCT(COUNTIF('2028'!$C$239:$Z$239,Setup!$F$33:$F$40)),SUMPRODUCT(COUNTIF('2029'!$C$239:$Z$239,Setup!$F$33:$F$40)),SUMPRODUCT(COUNTIF('2030'!$C$239:$Z$239,Setup!$F$33:$F$40))))</f>
        <v/>
      </c>
      <c r="H44" s="137">
        <f>IF($B44="","",CHOOSE(IFERROR(MATCH($C$4,Setup!$K$33:$K$36,0),1),SUMPRODUCT(COUNTIF('2027'!$C$289:$Z$289,Setup!$F$33:$F$40)),SUMPRODUCT(COUNTIF('2028'!$C$289:$Z$289,Setup!$F$33:$F$40)),SUMPRODUCT(COUNTIF('2029'!$C$289:$Z$289,Setup!$F$33:$F$40)),SUMPRODUCT(COUNTIF('2030'!$C$289:$Z$289,Setup!$F$33:$F$40))))</f>
        <v/>
      </c>
      <c r="I44" s="137">
        <f>IF($B44="","",CHOOSE(IFERROR(MATCH($C$4,Setup!$K$33:$K$36,0),1),SUMPRODUCT(COUNTIF('2027'!$C$339:$Z$339,Setup!$F$33:$F$40)),SUMPRODUCT(COUNTIF('2028'!$C$339:$Z$339,Setup!$F$33:$F$40)),SUMPRODUCT(COUNTIF('2029'!$C$339:$Z$339,Setup!$F$33:$F$40)),SUMPRODUCT(COUNTIF('2030'!$C$339:$Z$339,Setup!$F$33:$F$40))))</f>
        <v/>
      </c>
      <c r="J44" s="137">
        <f>IF($B44="","",CHOOSE(IFERROR(MATCH($C$4,Setup!$K$33:$K$36,0),1),SUMPRODUCT(COUNTIF('2027'!$C$389:$Z$389,Setup!$F$33:$F$40)),SUMPRODUCT(COUNTIF('2028'!$C$389:$Z$389,Setup!$F$33:$F$40)),SUMPRODUCT(COUNTIF('2029'!$C$389:$Z$389,Setup!$F$33:$F$40)),SUMPRODUCT(COUNTIF('2030'!$C$389:$Z$389,Setup!$F$33:$F$40))))</f>
        <v/>
      </c>
      <c r="K44" s="137">
        <f>IF($B44="","",CHOOSE(IFERROR(MATCH($C$4,Setup!$K$33:$K$36,0),1),SUMPRODUCT(COUNTIF('2027'!$C$439:$Z$439,Setup!$F$33:$F$40)),SUMPRODUCT(COUNTIF('2028'!$C$439:$Z$439,Setup!$F$33:$F$40)),SUMPRODUCT(COUNTIF('2029'!$C$439:$Z$439,Setup!$F$33:$F$40)),SUMPRODUCT(COUNTIF('2030'!$C$439:$Z$439,Setup!$F$33:$F$40))))</f>
        <v/>
      </c>
      <c r="L44" s="137">
        <f>IF($B44="","",CHOOSE(IFERROR(MATCH($C$4,Setup!$K$33:$K$36,0),1),SUMPRODUCT(COUNTIF('2027'!$C$489:$Z$489,Setup!$F$33:$F$40)),SUMPRODUCT(COUNTIF('2028'!$C$489:$Z$489,Setup!$F$33:$F$40)),SUMPRODUCT(COUNTIF('2029'!$C$489:$Z$489,Setup!$F$33:$F$40)),SUMPRODUCT(COUNTIF('2030'!$C$489:$Z$489,Setup!$F$33:$F$40))))</f>
        <v/>
      </c>
      <c r="M44" s="137">
        <f>IF($B44="","",CHOOSE(IFERROR(MATCH($C$4,Setup!$K$33:$K$36,0),1),SUMPRODUCT(COUNTIF('2027'!$C$539:$Z$539,Setup!$F$33:$F$40)),SUMPRODUCT(COUNTIF('2028'!$C$539:$Z$539,Setup!$F$33:$F$40)),SUMPRODUCT(COUNTIF('2029'!$C$539:$Z$539,Setup!$F$33:$F$40)),SUMPRODUCT(COUNTIF('2030'!$C$539:$Z$539,Setup!$F$33:$F$40))))</f>
        <v/>
      </c>
      <c r="N44" s="137">
        <f>IF($B44="","",CHOOSE(IFERROR(MATCH($C$4,Setup!$K$33:$K$36,0),1),SUMPRODUCT(COUNTIF('2027'!$C$589:$Z$589,Setup!$F$33:$F$40)),SUMPRODUCT(COUNTIF('2028'!$C$589:$Z$589,Setup!$F$33:$F$40)),SUMPRODUCT(COUNTIF('2029'!$C$589:$Z$589,Setup!$F$33:$F$40)),SUMPRODUCT(COUNTIF('2030'!$C$589:$Z$589,Setup!$F$33:$F$40))))</f>
        <v/>
      </c>
      <c r="O44" s="137">
        <f>IF($B44="","",CHOOSE(IFERROR(MATCH($C$4,Setup!$K$33:$K$36,0),1),SUMPRODUCT(COUNTIF('2027'!$C$639:$Z$639,Setup!$F$33:$F$40)),SUMPRODUCT(COUNTIF('2028'!$C$639:$Z$639,Setup!$F$33:$F$40)),SUMPRODUCT(COUNTIF('2029'!$C$639:$Z$639,Setup!$F$33:$F$40)),SUMPRODUCT(COUNTIF('2030'!$C$639:$Z$639,Setup!$F$33:$F$40))))</f>
        <v/>
      </c>
      <c r="P44" s="137">
        <f>IF($B44="","",CHOOSE(IFERROR(MATCH($C$4,Setup!$K$33:$K$36,0),1),SUMPRODUCT(COUNTIF('2027'!$C$689:$Z$689,Setup!$F$33:$F$40)),SUMPRODUCT(COUNTIF('2028'!$C$689:$Z$689,Setup!$F$33:$F$40)),SUMPRODUCT(COUNTIF('2029'!$C$689:$Z$689,Setup!$F$33:$F$40)),SUMPRODUCT(COUNTIF('2030'!$C$689:$Z$689,Setup!$F$33:$F$40))))</f>
        <v/>
      </c>
      <c r="Q44" s="137">
        <f>IF($B44="","",CHOOSE(IFERROR(MATCH($C$4,Setup!$K$33:$K$36,0),1),SUMPRODUCT(COUNTIF('2027'!$C$739:$Z$739,Setup!$F$33:$F$40)),SUMPRODUCT(COUNTIF('2028'!$C$739:$Z$739,Setup!$F$33:$F$40)),SUMPRODUCT(COUNTIF('2029'!$C$739:$Z$739,Setup!$F$33:$F$40)),SUMPRODUCT(COUNTIF('2030'!$C$739:$Z$739,Setup!$F$33:$F$40))))</f>
        <v/>
      </c>
      <c r="R44" s="137">
        <f>IF($B44="","",CHOOSE(IFERROR(MATCH($C$4,Setup!$K$33:$K$36,0),1),SUMPRODUCT(COUNTIF('2027'!$C$789:$Z$789,Setup!$F$33:$F$40)),SUMPRODUCT(COUNTIF('2028'!$C$789:$Z$789,Setup!$F$33:$F$40)),SUMPRODUCT(COUNTIF('2029'!$C$789:$Z$789,Setup!$F$33:$F$40)),SUMPRODUCT(COUNTIF('2030'!$C$789:$Z$789,Setup!$F$33:$F$40))))</f>
        <v/>
      </c>
      <c r="S44" s="137">
        <f>IF($B44="","",CHOOSE(IFERROR(MATCH($C$4,Setup!$K$33:$K$36,0),1),SUMPRODUCT(COUNTIF('2027'!$C$839:$Z$839,Setup!$F$33:$F$40)),SUMPRODUCT(COUNTIF('2028'!$C$839:$Z$839,Setup!$F$33:$F$40)),SUMPRODUCT(COUNTIF('2029'!$C$839:$Z$839,Setup!$F$33:$F$40)),SUMPRODUCT(COUNTIF('2030'!$C$839:$Z$839,Setup!$F$33:$F$40))))</f>
        <v/>
      </c>
      <c r="T44" s="137">
        <f>IF($B44="","",CHOOSE(IFERROR(MATCH($C$4,Setup!$K$33:$K$36,0),1),SUMPRODUCT(COUNTIF('2027'!$C$889:$Z$889,Setup!$F$33:$F$40)),SUMPRODUCT(COUNTIF('2028'!$C$889:$Z$889,Setup!$F$33:$F$40)),SUMPRODUCT(COUNTIF('2029'!$C$889:$Z$889,Setup!$F$33:$F$40)),SUMPRODUCT(COUNTIF('2030'!$C$889:$Z$889,Setup!$F$33:$F$40))))</f>
        <v/>
      </c>
      <c r="U44" s="137">
        <f>IF($B44="","",CHOOSE(IFERROR(MATCH($C$4,Setup!$K$33:$K$36,0),1),SUMPRODUCT(COUNTIF('2027'!$C$939:$Z$939,Setup!$F$33:$F$40)),SUMPRODUCT(COUNTIF('2028'!$C$939:$Z$939,Setup!$F$33:$F$40)),SUMPRODUCT(COUNTIF('2029'!$C$939:$Z$939,Setup!$F$33:$F$40)),SUMPRODUCT(COUNTIF('2030'!$C$939:$Z$939,Setup!$F$33:$F$40))))</f>
        <v/>
      </c>
      <c r="V44" s="137">
        <f>IF($B44="","",CHOOSE(IFERROR(MATCH($C$4,Setup!$K$33:$K$36,0),1),SUMPRODUCT(COUNTIF('2027'!$C$989:$Z$989,Setup!$F$33:$F$40)),SUMPRODUCT(COUNTIF('2028'!$C$989:$Z$989,Setup!$F$33:$F$40)),SUMPRODUCT(COUNTIF('2029'!$C$989:$Z$989,Setup!$F$33:$F$40)),SUMPRODUCT(COUNTIF('2030'!$C$989:$Z$989,Setup!$F$33:$F$40))))</f>
        <v/>
      </c>
      <c r="W44" s="137">
        <f>IF($B44="","",CHOOSE(IFERROR(MATCH($C$4,Setup!$K$33:$K$36,0),1),SUMPRODUCT(COUNTIF('2027'!$C$1039:$Z$1039,Setup!$F$33:$F$40)),SUMPRODUCT(COUNTIF('2028'!$C$1039:$Z$1039,Setup!$F$33:$F$40)),SUMPRODUCT(COUNTIF('2029'!$C$1039:$Z$1039,Setup!$F$33:$F$40)),SUMPRODUCT(COUNTIF('2030'!$C$1039:$Z$1039,Setup!$F$33:$F$40))))</f>
        <v/>
      </c>
      <c r="X44" s="137">
        <f>IF($B44="","",CHOOSE(IFERROR(MATCH($C$4,Setup!$K$33:$K$36,0),1),SUMPRODUCT(COUNTIF('2027'!$C$1089:$Z$1089,Setup!$F$33:$F$40)),SUMPRODUCT(COUNTIF('2028'!$C$1089:$Z$1089,Setup!$F$33:$F$40)),SUMPRODUCT(COUNTIF('2029'!$C$1089:$Z$1089,Setup!$F$33:$F$40)),SUMPRODUCT(COUNTIF('2030'!$C$1089:$Z$1089,Setup!$F$33:$F$40))))</f>
        <v/>
      </c>
      <c r="Y44" s="137">
        <f>IF($B44="","",CHOOSE(IFERROR(MATCH($C$4,Setup!$K$33:$K$36,0),1),SUMPRODUCT(COUNTIF('2027'!$C$1139:$Z$1139,Setup!$F$33:$F$40)),SUMPRODUCT(COUNTIF('2028'!$C$1139:$Z$1139,Setup!$F$33:$F$40)),SUMPRODUCT(COUNTIF('2029'!$C$1139:$Z$1139,Setup!$F$33:$F$40)),SUMPRODUCT(COUNTIF('2030'!$C$1139:$Z$1139,Setup!$F$33:$F$40))))</f>
        <v/>
      </c>
      <c r="Z44" s="137">
        <f>IF($B44="","",CHOOSE(IFERROR(MATCH($C$4,Setup!$K$33:$K$36,0),1),SUMPRODUCT(COUNTIF('2027'!$C$1189:$Z$1189,Setup!$F$33:$F$40)),SUMPRODUCT(COUNTIF('2028'!$C$1189:$Z$1189,Setup!$F$33:$F$40)),SUMPRODUCT(COUNTIF('2029'!$C$1189:$Z$1189,Setup!$F$33:$F$40)),SUMPRODUCT(COUNTIF('2030'!$C$1189:$Z$1189,Setup!$F$33:$F$40))))</f>
        <v/>
      </c>
      <c r="AA44" s="137">
        <f>IF($B44="","",CHOOSE(IFERROR(MATCH($C$4,Setup!$K$33:$K$36,0),1),SUMPRODUCT(COUNTIF('2027'!$C$1239:$Z$1239,Setup!$F$33:$F$40)),SUMPRODUCT(COUNTIF('2028'!$C$1239:$Z$1239,Setup!$F$33:$F$40)),SUMPRODUCT(COUNTIF('2029'!$C$1239:$Z$1239,Setup!$F$33:$F$40)),SUMPRODUCT(COUNTIF('2030'!$C$1239:$Z$1239,Setup!$F$33:$F$40))))</f>
        <v/>
      </c>
      <c r="AB44" s="137">
        <f>IF($B44="","",CHOOSE(IFERROR(MATCH($C$4,Setup!$K$33:$K$36,0),1),SUMPRODUCT(COUNTIF('2027'!$C$1289:$Z$1289,Setup!$F$33:$F$40)),SUMPRODUCT(COUNTIF('2028'!$C$1289:$Z$1289,Setup!$F$33:$F$40)),SUMPRODUCT(COUNTIF('2029'!$C$1289:$Z$1289,Setup!$F$33:$F$40)),SUMPRODUCT(COUNTIF('2030'!$C$1289:$Z$1289,Setup!$F$33:$F$40))))</f>
        <v/>
      </c>
      <c r="AC44" s="137">
        <f>IF($B44="","",CHOOSE(IFERROR(MATCH($C$4,Setup!$K$33:$K$36,0),1),SUMPRODUCT(COUNTIF('2027'!$C$1339:$Z$1339,Setup!$F$33:$F$40)),SUMPRODUCT(COUNTIF('2028'!$C$1339:$Z$1339,Setup!$F$33:$F$40)),SUMPRODUCT(COUNTIF('2029'!$C$1339:$Z$1339,Setup!$F$33:$F$40)),SUMPRODUCT(COUNTIF('2030'!$C$1339:$Z$1339,Setup!$F$33:$F$40))))</f>
        <v/>
      </c>
      <c r="AD44" s="137">
        <f>IF($B44="","",CHOOSE(IFERROR(MATCH($C$4,Setup!$K$33:$K$36,0),1),SUMPRODUCT(COUNTIF('2027'!$C$1389:$Z$1389,Setup!$F$33:$F$40)),SUMPRODUCT(COUNTIF('2028'!$C$1389:$Z$1389,Setup!$F$33:$F$40)),SUMPRODUCT(COUNTIF('2029'!$C$1389:$Z$1389,Setup!$F$33:$F$40)),SUMPRODUCT(COUNTIF('2030'!$C$1389:$Z$1389,Setup!$F$33:$F$40))))</f>
        <v/>
      </c>
      <c r="AE44" s="137">
        <f>IF($B44="","",CHOOSE(IFERROR(MATCH($C$4,Setup!$K$33:$K$36,0),1),SUMPRODUCT(COUNTIF('2027'!$C$1439:$Z$1439,Setup!$F$33:$F$40)),SUMPRODUCT(COUNTIF('2028'!$C$1439:$Z$1439,Setup!$F$33:$F$40)),SUMPRODUCT(COUNTIF('2029'!$C$1439:$Z$1439,Setup!$F$33:$F$40)),SUMPRODUCT(COUNTIF('2030'!$C$1439:$Z$1439,Setup!$F$33:$F$40))))</f>
        <v/>
      </c>
      <c r="AF44" s="137">
        <f>IF($B44="","",CHOOSE(IFERROR(MATCH($C$4,Setup!$K$33:$K$36,0),1),SUMPRODUCT(COUNTIF('2027'!$C$1489:$Z$1489,Setup!$F$33:$F$40)),SUMPRODUCT(COUNTIF('2028'!$C$1489:$Z$1489,Setup!$F$33:$F$40)),SUMPRODUCT(COUNTIF('2029'!$C$1489:$Z$1489,Setup!$F$33:$F$40)),SUMPRODUCT(COUNTIF('2030'!$C$1489:$Z$1489,Setup!$F$33:$F$40))))</f>
        <v/>
      </c>
      <c r="AG44" s="137">
        <f>IF($B44="","",CHOOSE(IFERROR(MATCH($C$4,Setup!$K$33:$K$36,0),1),SUMPRODUCT(COUNTIF('2027'!$C$1539:$Z$1539,Setup!$F$33:$F$40)),SUMPRODUCT(COUNTIF('2028'!$C$1539:$Z$1539,Setup!$F$33:$F$40)),SUMPRODUCT(COUNTIF('2029'!$C$1539:$Z$1539,Setup!$F$33:$F$40)),SUMPRODUCT(COUNTIF('2030'!$C$1539:$Z$1539,Setup!$F$33:$F$40))))</f>
        <v/>
      </c>
      <c r="AH44" s="137">
        <f>IF($B44="","",CHOOSE(IFERROR(MATCH($C$4,Setup!$K$33:$K$36,0),1),SUMPRODUCT(COUNTIF('2027'!$C$1589:$Z$1589,Setup!$F$33:$F$40)),SUMPRODUCT(COUNTIF('2028'!$C$1589:$Z$1589,Setup!$F$33:$F$40)),SUMPRODUCT(COUNTIF('2029'!$C$1589:$Z$1589,Setup!$F$33:$F$40)),SUMPRODUCT(COUNTIF('2030'!$C$1589:$Z$1589,Setup!$F$33:$F$40))))</f>
        <v/>
      </c>
      <c r="AI44" s="137">
        <f>IF($B44="","",CHOOSE(IFERROR(MATCH($C$4,Setup!$K$33:$K$36,0),1),SUMPRODUCT(COUNTIF('2027'!$C$1639:$Z$1639,Setup!$F$33:$F$40)),SUMPRODUCT(COUNTIF('2028'!$C$1639:$Z$1639,Setup!$F$33:$F$40)),SUMPRODUCT(COUNTIF('2029'!$C$1639:$Z$1639,Setup!$F$33:$F$40)),SUMPRODUCT(COUNTIF('2030'!$C$1639:$Z$1639,Setup!$F$33:$F$40))))</f>
        <v/>
      </c>
      <c r="AJ44" s="137">
        <f>IF($B44="","",CHOOSE(IFERROR(MATCH($C$4,Setup!$K$33:$K$36,0),1),SUMPRODUCT(COUNTIF('2027'!$C$1689:$Z$1689,Setup!$F$33:$F$40)),SUMPRODUCT(COUNTIF('2028'!$C$1689:$Z$1689,Setup!$F$33:$F$40)),SUMPRODUCT(COUNTIF('2029'!$C$1689:$Z$1689,Setup!$F$33:$F$40)),SUMPRODUCT(COUNTIF('2030'!$C$1689:$Z$1689,Setup!$F$33:$F$40))))</f>
        <v/>
      </c>
      <c r="AK44" s="137">
        <f>IF($B44="","",CHOOSE(IFERROR(MATCH($C$4,Setup!$K$33:$K$36,0),1),SUMPRODUCT(COUNTIF('2027'!$C$1739:$Z$1739,Setup!$F$33:$F$40)),SUMPRODUCT(COUNTIF('2028'!$C$1739:$Z$1739,Setup!$F$33:$F$40)),SUMPRODUCT(COUNTIF('2029'!$C$1739:$Z$1739,Setup!$F$33:$F$40)),SUMPRODUCT(COUNTIF('2030'!$C$1739:$Z$1739,Setup!$F$33:$F$40))))</f>
        <v/>
      </c>
      <c r="AL44" s="137">
        <f>IF($B44="","",CHOOSE(IFERROR(MATCH($C$4,Setup!$K$33:$K$36,0),1),SUMPRODUCT(COUNTIF('2027'!$C$1789:$Z$1789,Setup!$F$33:$F$40)),SUMPRODUCT(COUNTIF('2028'!$C$1789:$Z$1789,Setup!$F$33:$F$40)),SUMPRODUCT(COUNTIF('2029'!$C$1789:$Z$1789,Setup!$F$33:$F$40)),SUMPRODUCT(COUNTIF('2030'!$C$1789:$Z$1789,Setup!$F$33:$F$40))))</f>
        <v/>
      </c>
      <c r="AM44" s="137">
        <f>IF($B44="","",CHOOSE(IFERROR(MATCH($C$4,Setup!$K$33:$K$36,0),1),SUMPRODUCT(COUNTIF('2027'!$C$1839:$Z$1839,Setup!$F$33:$F$40)),SUMPRODUCT(COUNTIF('2028'!$C$1839:$Z$1839,Setup!$F$33:$F$40)),SUMPRODUCT(COUNTIF('2029'!$C$1839:$Z$1839,Setup!$F$33:$F$40)),SUMPRODUCT(COUNTIF('2030'!$C$1839:$Z$1839,Setup!$F$33:$F$40))))</f>
        <v/>
      </c>
      <c r="AN44" s="137">
        <f>IF($B44="","",CHOOSE(IFERROR(MATCH($C$4,Setup!$K$33:$K$36,0),1),SUMPRODUCT(COUNTIF('2027'!$C$1889:$Z$1889,Setup!$F$33:$F$40)),SUMPRODUCT(COUNTIF('2028'!$C$1889:$Z$1889,Setup!$F$33:$F$40)),SUMPRODUCT(COUNTIF('2029'!$C$1889:$Z$1889,Setup!$F$33:$F$40)),SUMPRODUCT(COUNTIF('2030'!$C$1889:$Z$1889,Setup!$F$33:$F$40))))</f>
        <v/>
      </c>
      <c r="AO44" s="137">
        <f>IF($B44="","",CHOOSE(IFERROR(MATCH($C$4,Setup!$K$33:$K$36,0),1),SUMPRODUCT(COUNTIF('2027'!$C$1939:$Z$1939,Setup!$F$33:$F$40)),SUMPRODUCT(COUNTIF('2028'!$C$1939:$Z$1939,Setup!$F$33:$F$40)),SUMPRODUCT(COUNTIF('2029'!$C$1939:$Z$1939,Setup!$F$33:$F$40)),SUMPRODUCT(COUNTIF('2030'!$C$1939:$Z$1939,Setup!$F$33:$F$40))))</f>
        <v/>
      </c>
      <c r="AP44" s="137">
        <f>IF($B44="","",CHOOSE(IFERROR(MATCH($C$4,Setup!$K$33:$K$36,0),1),SUMPRODUCT(COUNTIF('2027'!$C$1989:$Z$1989,Setup!$F$33:$F$40)),SUMPRODUCT(COUNTIF('2028'!$C$1989:$Z$1989,Setup!$F$33:$F$40)),SUMPRODUCT(COUNTIF('2029'!$C$1989:$Z$1989,Setup!$F$33:$F$40)),SUMPRODUCT(COUNTIF('2030'!$C$1989:$Z$1989,Setup!$F$33:$F$40))))</f>
        <v/>
      </c>
      <c r="AQ44" s="137">
        <f>IF($B44="","",CHOOSE(IFERROR(MATCH($C$4,Setup!$K$33:$K$36,0),1),SUMPRODUCT(COUNTIF('2027'!$C$2039:$Z$2039,Setup!$F$33:$F$40)),SUMPRODUCT(COUNTIF('2028'!$C$2039:$Z$2039,Setup!$F$33:$F$40)),SUMPRODUCT(COUNTIF('2029'!$C$2039:$Z$2039,Setup!$F$33:$F$40)),SUMPRODUCT(COUNTIF('2030'!$C$2039:$Z$2039,Setup!$F$33:$F$40))))</f>
        <v/>
      </c>
      <c r="AR44" s="137">
        <f>IF($B44="","",CHOOSE(IFERROR(MATCH($C$4,Setup!$K$33:$K$36,0),1),SUMPRODUCT(COUNTIF('2027'!$C$2089:$Z$2089,Setup!$F$33:$F$40)),SUMPRODUCT(COUNTIF('2028'!$C$2089:$Z$2089,Setup!$F$33:$F$40)),SUMPRODUCT(COUNTIF('2029'!$C$2089:$Z$2089,Setup!$F$33:$F$40)),SUMPRODUCT(COUNTIF('2030'!$C$2089:$Z$2089,Setup!$F$33:$F$40))))</f>
        <v/>
      </c>
      <c r="AS44" s="137">
        <f>IF($B44="","",CHOOSE(IFERROR(MATCH($C$4,Setup!$K$33:$K$36,0),1),SUMPRODUCT(COUNTIF('2027'!$C$2139:$Z$2139,Setup!$F$33:$F$40)),SUMPRODUCT(COUNTIF('2028'!$C$2139:$Z$2139,Setup!$F$33:$F$40)),SUMPRODUCT(COUNTIF('2029'!$C$2139:$Z$2139,Setup!$F$33:$F$40)),SUMPRODUCT(COUNTIF('2030'!$C$2139:$Z$2139,Setup!$F$33:$F$40))))</f>
        <v/>
      </c>
      <c r="AT44" s="137">
        <f>IF($B44="","",CHOOSE(IFERROR(MATCH($C$4,Setup!$K$33:$K$36,0),1),SUMPRODUCT(COUNTIF('2027'!$C$2189:$Z$2189,Setup!$F$33:$F$40)),SUMPRODUCT(COUNTIF('2028'!$C$2189:$Z$2189,Setup!$F$33:$F$40)),SUMPRODUCT(COUNTIF('2029'!$C$2189:$Z$2189,Setup!$F$33:$F$40)),SUMPRODUCT(COUNTIF('2030'!$C$2189:$Z$2189,Setup!$F$33:$F$40))))</f>
        <v/>
      </c>
      <c r="AU44" s="137">
        <f>IF($B44="","",CHOOSE(IFERROR(MATCH($C$4,Setup!$K$33:$K$36,0),1),SUMPRODUCT(COUNTIF('2027'!$C$2239:$Z$2239,Setup!$F$33:$F$40)),SUMPRODUCT(COUNTIF('2028'!$C$2239:$Z$2239,Setup!$F$33:$F$40)),SUMPRODUCT(COUNTIF('2029'!$C$2239:$Z$2239,Setup!$F$33:$F$40)),SUMPRODUCT(COUNTIF('2030'!$C$2239:$Z$2239,Setup!$F$33:$F$40))))</f>
        <v/>
      </c>
      <c r="AV44" s="137">
        <f>IF($B44="","",CHOOSE(IFERROR(MATCH($C$4,Setup!$K$33:$K$36,0),1),SUMPRODUCT(COUNTIF('2027'!$C$2289:$Z$2289,Setup!$F$33:$F$40)),SUMPRODUCT(COUNTIF('2028'!$C$2289:$Z$2289,Setup!$F$33:$F$40)),SUMPRODUCT(COUNTIF('2029'!$C$2289:$Z$2289,Setup!$F$33:$F$40)),SUMPRODUCT(COUNTIF('2030'!$C$2289:$Z$2289,Setup!$F$33:$F$40))))</f>
        <v/>
      </c>
      <c r="AW44" s="137">
        <f>IF($B44="","",CHOOSE(IFERROR(MATCH($C$4,Setup!$K$33:$K$36,0),1),SUMPRODUCT(COUNTIF('2027'!$C$2339:$Z$2339,Setup!$F$33:$F$40)),SUMPRODUCT(COUNTIF('2028'!$C$2339:$Z$2339,Setup!$F$33:$F$40)),SUMPRODUCT(COUNTIF('2029'!$C$2339:$Z$2339,Setup!$F$33:$F$40)),SUMPRODUCT(COUNTIF('2030'!$C$2339:$Z$2339,Setup!$F$33:$F$40))))</f>
        <v/>
      </c>
      <c r="AX44" s="137">
        <f>IF($B44="","",CHOOSE(IFERROR(MATCH($C$4,Setup!$K$33:$K$36,0),1),SUMPRODUCT(COUNTIF('2027'!$C$2389:$Z$2389,Setup!$F$33:$F$40)),SUMPRODUCT(COUNTIF('2028'!$C$2389:$Z$2389,Setup!$F$33:$F$40)),SUMPRODUCT(COUNTIF('2029'!$C$2389:$Z$2389,Setup!$F$33:$F$40)),SUMPRODUCT(COUNTIF('2030'!$C$2389:$Z$2389,Setup!$F$33:$F$40))))</f>
        <v/>
      </c>
      <c r="AY44" s="137">
        <f>IF($B44="","",CHOOSE(IFERROR(MATCH($C$4,Setup!$K$33:$K$36,0),1),SUMPRODUCT(COUNTIF('2027'!$C$2439:$Z$2439,Setup!$F$33:$F$40)),SUMPRODUCT(COUNTIF('2028'!$C$2439:$Z$2439,Setup!$F$33:$F$40)),SUMPRODUCT(COUNTIF('2029'!$C$2439:$Z$2439,Setup!$F$33:$F$40)),SUMPRODUCT(COUNTIF('2030'!$C$2439:$Z$2439,Setup!$F$33:$F$40))))</f>
        <v/>
      </c>
      <c r="AZ44" s="137">
        <f>IF($B44="","",CHOOSE(IFERROR(MATCH($C$4,Setup!$K$33:$K$36,0),1),SUMPRODUCT(COUNTIF('2027'!$C$2489:$Z$2489,Setup!$F$33:$F$40)),SUMPRODUCT(COUNTIF('2028'!$C$2489:$Z$2489,Setup!$F$33:$F$40)),SUMPRODUCT(COUNTIF('2029'!$C$2489:$Z$2489,Setup!$F$33:$F$40)),SUMPRODUCT(COUNTIF('2030'!$C$2489:$Z$2489,Setup!$F$33:$F$40))))</f>
        <v/>
      </c>
      <c r="BA44" s="137">
        <f>IF($B44="","",CHOOSE(IFERROR(MATCH($C$4,Setup!$K$33:$K$36,0),1),SUMPRODUCT(COUNTIF('2027'!$C$2539:$Z$2539,Setup!$F$33:$F$40)),SUMPRODUCT(COUNTIF('2028'!$C$2539:$Z$2539,Setup!$F$33:$F$40)),SUMPRODUCT(COUNTIF('2029'!$C$2539:$Z$2539,Setup!$F$33:$F$40)),SUMPRODUCT(COUNTIF('2030'!$C$2539:$Z$2539,Setup!$F$33:$F$40))))</f>
        <v/>
      </c>
      <c r="BB44" s="137">
        <f>IF($B44="","",CHOOSE(IFERROR(MATCH($C$4,Setup!$K$33:$K$36,0),1),SUMPRODUCT(COUNTIF('2027'!$C$2589:$Z$2589,Setup!$F$33:$F$40)),SUMPRODUCT(COUNTIF('2028'!$C$2589:$Z$2589,Setup!$F$33:$F$40)),SUMPRODUCT(COUNTIF('2029'!$C$2589:$Z$2589,Setup!$F$33:$F$40)),SUMPRODUCT(COUNTIF('2030'!$C$2589:$Z$2589,Setup!$F$33:$F$40))))</f>
        <v/>
      </c>
      <c r="BC44" s="137">
        <f>IF($B44="","",CHOOSE(IFERROR(MATCH($C$4,Setup!$K$33:$K$36,0),1),SUMPRODUCT(COUNTIF('2027'!$C$2639:$Z$2639,Setup!$F$33:$F$40)),SUMPRODUCT(COUNTIF('2028'!$C$2639:$Z$2639,Setup!$F$33:$F$40)),SUMPRODUCT(COUNTIF('2029'!$C$2639:$Z$2639,Setup!$F$33:$F$40)),SUMPRODUCT(COUNTIF('2030'!$C$2639:$Z$2639,Setup!$F$33:$F$40))))</f>
        <v/>
      </c>
      <c r="BE44" s="129">
        <f>IF($B44="","",SUM(C44:BC44))</f>
        <v/>
      </c>
      <c r="BF44" s="130">
        <f>IF($B44="","",COUNTIF(C44:BC44,"&gt;0"))</f>
        <v/>
      </c>
      <c r="BG44" s="130">
        <f>IF(OR($B44="",N(BE44)=0),"",MATCH(MAX(C44:BC44),C44:BC44,0))</f>
        <v/>
      </c>
    </row>
    <row r="45" ht="15" customHeight="1">
      <c r="B45" s="136">
        <f>IF(Setup!$B$19="","",Setup!$B$19)</f>
        <v/>
      </c>
      <c r="C45" s="137">
        <f>IF($B45="","",CHOOSE(IFERROR(MATCH($C$4,Setup!$K$33:$K$36,0),1),SUMPRODUCT(COUNTIF('2027'!$C$40:$Z$40,Setup!$F$33:$F$40)),SUMPRODUCT(COUNTIF('2028'!$C$40:$Z$40,Setup!$F$33:$F$40)),SUMPRODUCT(COUNTIF('2029'!$C$40:$Z$40,Setup!$F$33:$F$40)),SUMPRODUCT(COUNTIF('2030'!$C$40:$Z$40,Setup!$F$33:$F$40))))</f>
        <v/>
      </c>
      <c r="D45" s="137">
        <f>IF($B45="","",CHOOSE(IFERROR(MATCH($C$4,Setup!$K$33:$K$36,0),1),SUMPRODUCT(COUNTIF('2027'!$C$90:$Z$90,Setup!$F$33:$F$40)),SUMPRODUCT(COUNTIF('2028'!$C$90:$Z$90,Setup!$F$33:$F$40)),SUMPRODUCT(COUNTIF('2029'!$C$90:$Z$90,Setup!$F$33:$F$40)),SUMPRODUCT(COUNTIF('2030'!$C$90:$Z$90,Setup!$F$33:$F$40))))</f>
        <v/>
      </c>
      <c r="E45" s="137">
        <f>IF($B45="","",CHOOSE(IFERROR(MATCH($C$4,Setup!$K$33:$K$36,0),1),SUMPRODUCT(COUNTIF('2027'!$C$140:$Z$140,Setup!$F$33:$F$40)),SUMPRODUCT(COUNTIF('2028'!$C$140:$Z$140,Setup!$F$33:$F$40)),SUMPRODUCT(COUNTIF('2029'!$C$140:$Z$140,Setup!$F$33:$F$40)),SUMPRODUCT(COUNTIF('2030'!$C$140:$Z$140,Setup!$F$33:$F$40))))</f>
        <v/>
      </c>
      <c r="F45" s="137">
        <f>IF($B45="","",CHOOSE(IFERROR(MATCH($C$4,Setup!$K$33:$K$36,0),1),SUMPRODUCT(COUNTIF('2027'!$C$190:$Z$190,Setup!$F$33:$F$40)),SUMPRODUCT(COUNTIF('2028'!$C$190:$Z$190,Setup!$F$33:$F$40)),SUMPRODUCT(COUNTIF('2029'!$C$190:$Z$190,Setup!$F$33:$F$40)),SUMPRODUCT(COUNTIF('2030'!$C$190:$Z$190,Setup!$F$33:$F$40))))</f>
        <v/>
      </c>
      <c r="G45" s="137">
        <f>IF($B45="","",CHOOSE(IFERROR(MATCH($C$4,Setup!$K$33:$K$36,0),1),SUMPRODUCT(COUNTIF('2027'!$C$240:$Z$240,Setup!$F$33:$F$40)),SUMPRODUCT(COUNTIF('2028'!$C$240:$Z$240,Setup!$F$33:$F$40)),SUMPRODUCT(COUNTIF('2029'!$C$240:$Z$240,Setup!$F$33:$F$40)),SUMPRODUCT(COUNTIF('2030'!$C$240:$Z$240,Setup!$F$33:$F$40))))</f>
        <v/>
      </c>
      <c r="H45" s="137">
        <f>IF($B45="","",CHOOSE(IFERROR(MATCH($C$4,Setup!$K$33:$K$36,0),1),SUMPRODUCT(COUNTIF('2027'!$C$290:$Z$290,Setup!$F$33:$F$40)),SUMPRODUCT(COUNTIF('2028'!$C$290:$Z$290,Setup!$F$33:$F$40)),SUMPRODUCT(COUNTIF('2029'!$C$290:$Z$290,Setup!$F$33:$F$40)),SUMPRODUCT(COUNTIF('2030'!$C$290:$Z$290,Setup!$F$33:$F$40))))</f>
        <v/>
      </c>
      <c r="I45" s="137">
        <f>IF($B45="","",CHOOSE(IFERROR(MATCH($C$4,Setup!$K$33:$K$36,0),1),SUMPRODUCT(COUNTIF('2027'!$C$340:$Z$340,Setup!$F$33:$F$40)),SUMPRODUCT(COUNTIF('2028'!$C$340:$Z$340,Setup!$F$33:$F$40)),SUMPRODUCT(COUNTIF('2029'!$C$340:$Z$340,Setup!$F$33:$F$40)),SUMPRODUCT(COUNTIF('2030'!$C$340:$Z$340,Setup!$F$33:$F$40))))</f>
        <v/>
      </c>
      <c r="J45" s="137">
        <f>IF($B45="","",CHOOSE(IFERROR(MATCH($C$4,Setup!$K$33:$K$36,0),1),SUMPRODUCT(COUNTIF('2027'!$C$390:$Z$390,Setup!$F$33:$F$40)),SUMPRODUCT(COUNTIF('2028'!$C$390:$Z$390,Setup!$F$33:$F$40)),SUMPRODUCT(COUNTIF('2029'!$C$390:$Z$390,Setup!$F$33:$F$40)),SUMPRODUCT(COUNTIF('2030'!$C$390:$Z$390,Setup!$F$33:$F$40))))</f>
        <v/>
      </c>
      <c r="K45" s="137">
        <f>IF($B45="","",CHOOSE(IFERROR(MATCH($C$4,Setup!$K$33:$K$36,0),1),SUMPRODUCT(COUNTIF('2027'!$C$440:$Z$440,Setup!$F$33:$F$40)),SUMPRODUCT(COUNTIF('2028'!$C$440:$Z$440,Setup!$F$33:$F$40)),SUMPRODUCT(COUNTIF('2029'!$C$440:$Z$440,Setup!$F$33:$F$40)),SUMPRODUCT(COUNTIF('2030'!$C$440:$Z$440,Setup!$F$33:$F$40))))</f>
        <v/>
      </c>
      <c r="L45" s="137">
        <f>IF($B45="","",CHOOSE(IFERROR(MATCH($C$4,Setup!$K$33:$K$36,0),1),SUMPRODUCT(COUNTIF('2027'!$C$490:$Z$490,Setup!$F$33:$F$40)),SUMPRODUCT(COUNTIF('2028'!$C$490:$Z$490,Setup!$F$33:$F$40)),SUMPRODUCT(COUNTIF('2029'!$C$490:$Z$490,Setup!$F$33:$F$40)),SUMPRODUCT(COUNTIF('2030'!$C$490:$Z$490,Setup!$F$33:$F$40))))</f>
        <v/>
      </c>
      <c r="M45" s="137">
        <f>IF($B45="","",CHOOSE(IFERROR(MATCH($C$4,Setup!$K$33:$K$36,0),1),SUMPRODUCT(COUNTIF('2027'!$C$540:$Z$540,Setup!$F$33:$F$40)),SUMPRODUCT(COUNTIF('2028'!$C$540:$Z$540,Setup!$F$33:$F$40)),SUMPRODUCT(COUNTIF('2029'!$C$540:$Z$540,Setup!$F$33:$F$40)),SUMPRODUCT(COUNTIF('2030'!$C$540:$Z$540,Setup!$F$33:$F$40))))</f>
        <v/>
      </c>
      <c r="N45" s="137">
        <f>IF($B45="","",CHOOSE(IFERROR(MATCH($C$4,Setup!$K$33:$K$36,0),1),SUMPRODUCT(COUNTIF('2027'!$C$590:$Z$590,Setup!$F$33:$F$40)),SUMPRODUCT(COUNTIF('2028'!$C$590:$Z$590,Setup!$F$33:$F$40)),SUMPRODUCT(COUNTIF('2029'!$C$590:$Z$590,Setup!$F$33:$F$40)),SUMPRODUCT(COUNTIF('2030'!$C$590:$Z$590,Setup!$F$33:$F$40))))</f>
        <v/>
      </c>
      <c r="O45" s="137">
        <f>IF($B45="","",CHOOSE(IFERROR(MATCH($C$4,Setup!$K$33:$K$36,0),1),SUMPRODUCT(COUNTIF('2027'!$C$640:$Z$640,Setup!$F$33:$F$40)),SUMPRODUCT(COUNTIF('2028'!$C$640:$Z$640,Setup!$F$33:$F$40)),SUMPRODUCT(COUNTIF('2029'!$C$640:$Z$640,Setup!$F$33:$F$40)),SUMPRODUCT(COUNTIF('2030'!$C$640:$Z$640,Setup!$F$33:$F$40))))</f>
        <v/>
      </c>
      <c r="P45" s="137">
        <f>IF($B45="","",CHOOSE(IFERROR(MATCH($C$4,Setup!$K$33:$K$36,0),1),SUMPRODUCT(COUNTIF('2027'!$C$690:$Z$690,Setup!$F$33:$F$40)),SUMPRODUCT(COUNTIF('2028'!$C$690:$Z$690,Setup!$F$33:$F$40)),SUMPRODUCT(COUNTIF('2029'!$C$690:$Z$690,Setup!$F$33:$F$40)),SUMPRODUCT(COUNTIF('2030'!$C$690:$Z$690,Setup!$F$33:$F$40))))</f>
        <v/>
      </c>
      <c r="Q45" s="137">
        <f>IF($B45="","",CHOOSE(IFERROR(MATCH($C$4,Setup!$K$33:$K$36,0),1),SUMPRODUCT(COUNTIF('2027'!$C$740:$Z$740,Setup!$F$33:$F$40)),SUMPRODUCT(COUNTIF('2028'!$C$740:$Z$740,Setup!$F$33:$F$40)),SUMPRODUCT(COUNTIF('2029'!$C$740:$Z$740,Setup!$F$33:$F$40)),SUMPRODUCT(COUNTIF('2030'!$C$740:$Z$740,Setup!$F$33:$F$40))))</f>
        <v/>
      </c>
      <c r="R45" s="137">
        <f>IF($B45="","",CHOOSE(IFERROR(MATCH($C$4,Setup!$K$33:$K$36,0),1),SUMPRODUCT(COUNTIF('2027'!$C$790:$Z$790,Setup!$F$33:$F$40)),SUMPRODUCT(COUNTIF('2028'!$C$790:$Z$790,Setup!$F$33:$F$40)),SUMPRODUCT(COUNTIF('2029'!$C$790:$Z$790,Setup!$F$33:$F$40)),SUMPRODUCT(COUNTIF('2030'!$C$790:$Z$790,Setup!$F$33:$F$40))))</f>
        <v/>
      </c>
      <c r="S45" s="137">
        <f>IF($B45="","",CHOOSE(IFERROR(MATCH($C$4,Setup!$K$33:$K$36,0),1),SUMPRODUCT(COUNTIF('2027'!$C$840:$Z$840,Setup!$F$33:$F$40)),SUMPRODUCT(COUNTIF('2028'!$C$840:$Z$840,Setup!$F$33:$F$40)),SUMPRODUCT(COUNTIF('2029'!$C$840:$Z$840,Setup!$F$33:$F$40)),SUMPRODUCT(COUNTIF('2030'!$C$840:$Z$840,Setup!$F$33:$F$40))))</f>
        <v/>
      </c>
      <c r="T45" s="137">
        <f>IF($B45="","",CHOOSE(IFERROR(MATCH($C$4,Setup!$K$33:$K$36,0),1),SUMPRODUCT(COUNTIF('2027'!$C$890:$Z$890,Setup!$F$33:$F$40)),SUMPRODUCT(COUNTIF('2028'!$C$890:$Z$890,Setup!$F$33:$F$40)),SUMPRODUCT(COUNTIF('2029'!$C$890:$Z$890,Setup!$F$33:$F$40)),SUMPRODUCT(COUNTIF('2030'!$C$890:$Z$890,Setup!$F$33:$F$40))))</f>
        <v/>
      </c>
      <c r="U45" s="137">
        <f>IF($B45="","",CHOOSE(IFERROR(MATCH($C$4,Setup!$K$33:$K$36,0),1),SUMPRODUCT(COUNTIF('2027'!$C$940:$Z$940,Setup!$F$33:$F$40)),SUMPRODUCT(COUNTIF('2028'!$C$940:$Z$940,Setup!$F$33:$F$40)),SUMPRODUCT(COUNTIF('2029'!$C$940:$Z$940,Setup!$F$33:$F$40)),SUMPRODUCT(COUNTIF('2030'!$C$940:$Z$940,Setup!$F$33:$F$40))))</f>
        <v/>
      </c>
      <c r="V45" s="137">
        <f>IF($B45="","",CHOOSE(IFERROR(MATCH($C$4,Setup!$K$33:$K$36,0),1),SUMPRODUCT(COUNTIF('2027'!$C$990:$Z$990,Setup!$F$33:$F$40)),SUMPRODUCT(COUNTIF('2028'!$C$990:$Z$990,Setup!$F$33:$F$40)),SUMPRODUCT(COUNTIF('2029'!$C$990:$Z$990,Setup!$F$33:$F$40)),SUMPRODUCT(COUNTIF('2030'!$C$990:$Z$990,Setup!$F$33:$F$40))))</f>
        <v/>
      </c>
      <c r="W45" s="137">
        <f>IF($B45="","",CHOOSE(IFERROR(MATCH($C$4,Setup!$K$33:$K$36,0),1),SUMPRODUCT(COUNTIF('2027'!$C$1040:$Z$1040,Setup!$F$33:$F$40)),SUMPRODUCT(COUNTIF('2028'!$C$1040:$Z$1040,Setup!$F$33:$F$40)),SUMPRODUCT(COUNTIF('2029'!$C$1040:$Z$1040,Setup!$F$33:$F$40)),SUMPRODUCT(COUNTIF('2030'!$C$1040:$Z$1040,Setup!$F$33:$F$40))))</f>
        <v/>
      </c>
      <c r="X45" s="137">
        <f>IF($B45="","",CHOOSE(IFERROR(MATCH($C$4,Setup!$K$33:$K$36,0),1),SUMPRODUCT(COUNTIF('2027'!$C$1090:$Z$1090,Setup!$F$33:$F$40)),SUMPRODUCT(COUNTIF('2028'!$C$1090:$Z$1090,Setup!$F$33:$F$40)),SUMPRODUCT(COUNTIF('2029'!$C$1090:$Z$1090,Setup!$F$33:$F$40)),SUMPRODUCT(COUNTIF('2030'!$C$1090:$Z$1090,Setup!$F$33:$F$40))))</f>
        <v/>
      </c>
      <c r="Y45" s="137">
        <f>IF($B45="","",CHOOSE(IFERROR(MATCH($C$4,Setup!$K$33:$K$36,0),1),SUMPRODUCT(COUNTIF('2027'!$C$1140:$Z$1140,Setup!$F$33:$F$40)),SUMPRODUCT(COUNTIF('2028'!$C$1140:$Z$1140,Setup!$F$33:$F$40)),SUMPRODUCT(COUNTIF('2029'!$C$1140:$Z$1140,Setup!$F$33:$F$40)),SUMPRODUCT(COUNTIF('2030'!$C$1140:$Z$1140,Setup!$F$33:$F$40))))</f>
        <v/>
      </c>
      <c r="Z45" s="137">
        <f>IF($B45="","",CHOOSE(IFERROR(MATCH($C$4,Setup!$K$33:$K$36,0),1),SUMPRODUCT(COUNTIF('2027'!$C$1190:$Z$1190,Setup!$F$33:$F$40)),SUMPRODUCT(COUNTIF('2028'!$C$1190:$Z$1190,Setup!$F$33:$F$40)),SUMPRODUCT(COUNTIF('2029'!$C$1190:$Z$1190,Setup!$F$33:$F$40)),SUMPRODUCT(COUNTIF('2030'!$C$1190:$Z$1190,Setup!$F$33:$F$40))))</f>
        <v/>
      </c>
      <c r="AA45" s="137">
        <f>IF($B45="","",CHOOSE(IFERROR(MATCH($C$4,Setup!$K$33:$K$36,0),1),SUMPRODUCT(COUNTIF('2027'!$C$1240:$Z$1240,Setup!$F$33:$F$40)),SUMPRODUCT(COUNTIF('2028'!$C$1240:$Z$1240,Setup!$F$33:$F$40)),SUMPRODUCT(COUNTIF('2029'!$C$1240:$Z$1240,Setup!$F$33:$F$40)),SUMPRODUCT(COUNTIF('2030'!$C$1240:$Z$1240,Setup!$F$33:$F$40))))</f>
        <v/>
      </c>
      <c r="AB45" s="137">
        <f>IF($B45="","",CHOOSE(IFERROR(MATCH($C$4,Setup!$K$33:$K$36,0),1),SUMPRODUCT(COUNTIF('2027'!$C$1290:$Z$1290,Setup!$F$33:$F$40)),SUMPRODUCT(COUNTIF('2028'!$C$1290:$Z$1290,Setup!$F$33:$F$40)),SUMPRODUCT(COUNTIF('2029'!$C$1290:$Z$1290,Setup!$F$33:$F$40)),SUMPRODUCT(COUNTIF('2030'!$C$1290:$Z$1290,Setup!$F$33:$F$40))))</f>
        <v/>
      </c>
      <c r="AC45" s="137">
        <f>IF($B45="","",CHOOSE(IFERROR(MATCH($C$4,Setup!$K$33:$K$36,0),1),SUMPRODUCT(COUNTIF('2027'!$C$1340:$Z$1340,Setup!$F$33:$F$40)),SUMPRODUCT(COUNTIF('2028'!$C$1340:$Z$1340,Setup!$F$33:$F$40)),SUMPRODUCT(COUNTIF('2029'!$C$1340:$Z$1340,Setup!$F$33:$F$40)),SUMPRODUCT(COUNTIF('2030'!$C$1340:$Z$1340,Setup!$F$33:$F$40))))</f>
        <v/>
      </c>
      <c r="AD45" s="137">
        <f>IF($B45="","",CHOOSE(IFERROR(MATCH($C$4,Setup!$K$33:$K$36,0),1),SUMPRODUCT(COUNTIF('2027'!$C$1390:$Z$1390,Setup!$F$33:$F$40)),SUMPRODUCT(COUNTIF('2028'!$C$1390:$Z$1390,Setup!$F$33:$F$40)),SUMPRODUCT(COUNTIF('2029'!$C$1390:$Z$1390,Setup!$F$33:$F$40)),SUMPRODUCT(COUNTIF('2030'!$C$1390:$Z$1390,Setup!$F$33:$F$40))))</f>
        <v/>
      </c>
      <c r="AE45" s="137">
        <f>IF($B45="","",CHOOSE(IFERROR(MATCH($C$4,Setup!$K$33:$K$36,0),1),SUMPRODUCT(COUNTIF('2027'!$C$1440:$Z$1440,Setup!$F$33:$F$40)),SUMPRODUCT(COUNTIF('2028'!$C$1440:$Z$1440,Setup!$F$33:$F$40)),SUMPRODUCT(COUNTIF('2029'!$C$1440:$Z$1440,Setup!$F$33:$F$40)),SUMPRODUCT(COUNTIF('2030'!$C$1440:$Z$1440,Setup!$F$33:$F$40))))</f>
        <v/>
      </c>
      <c r="AF45" s="137">
        <f>IF($B45="","",CHOOSE(IFERROR(MATCH($C$4,Setup!$K$33:$K$36,0),1),SUMPRODUCT(COUNTIF('2027'!$C$1490:$Z$1490,Setup!$F$33:$F$40)),SUMPRODUCT(COUNTIF('2028'!$C$1490:$Z$1490,Setup!$F$33:$F$40)),SUMPRODUCT(COUNTIF('2029'!$C$1490:$Z$1490,Setup!$F$33:$F$40)),SUMPRODUCT(COUNTIF('2030'!$C$1490:$Z$1490,Setup!$F$33:$F$40))))</f>
        <v/>
      </c>
      <c r="AG45" s="137">
        <f>IF($B45="","",CHOOSE(IFERROR(MATCH($C$4,Setup!$K$33:$K$36,0),1),SUMPRODUCT(COUNTIF('2027'!$C$1540:$Z$1540,Setup!$F$33:$F$40)),SUMPRODUCT(COUNTIF('2028'!$C$1540:$Z$1540,Setup!$F$33:$F$40)),SUMPRODUCT(COUNTIF('2029'!$C$1540:$Z$1540,Setup!$F$33:$F$40)),SUMPRODUCT(COUNTIF('2030'!$C$1540:$Z$1540,Setup!$F$33:$F$40))))</f>
        <v/>
      </c>
      <c r="AH45" s="137">
        <f>IF($B45="","",CHOOSE(IFERROR(MATCH($C$4,Setup!$K$33:$K$36,0),1),SUMPRODUCT(COUNTIF('2027'!$C$1590:$Z$1590,Setup!$F$33:$F$40)),SUMPRODUCT(COUNTIF('2028'!$C$1590:$Z$1590,Setup!$F$33:$F$40)),SUMPRODUCT(COUNTIF('2029'!$C$1590:$Z$1590,Setup!$F$33:$F$40)),SUMPRODUCT(COUNTIF('2030'!$C$1590:$Z$1590,Setup!$F$33:$F$40))))</f>
        <v/>
      </c>
      <c r="AI45" s="137">
        <f>IF($B45="","",CHOOSE(IFERROR(MATCH($C$4,Setup!$K$33:$K$36,0),1),SUMPRODUCT(COUNTIF('2027'!$C$1640:$Z$1640,Setup!$F$33:$F$40)),SUMPRODUCT(COUNTIF('2028'!$C$1640:$Z$1640,Setup!$F$33:$F$40)),SUMPRODUCT(COUNTIF('2029'!$C$1640:$Z$1640,Setup!$F$33:$F$40)),SUMPRODUCT(COUNTIF('2030'!$C$1640:$Z$1640,Setup!$F$33:$F$40))))</f>
        <v/>
      </c>
      <c r="AJ45" s="137">
        <f>IF($B45="","",CHOOSE(IFERROR(MATCH($C$4,Setup!$K$33:$K$36,0),1),SUMPRODUCT(COUNTIF('2027'!$C$1690:$Z$1690,Setup!$F$33:$F$40)),SUMPRODUCT(COUNTIF('2028'!$C$1690:$Z$1690,Setup!$F$33:$F$40)),SUMPRODUCT(COUNTIF('2029'!$C$1690:$Z$1690,Setup!$F$33:$F$40)),SUMPRODUCT(COUNTIF('2030'!$C$1690:$Z$1690,Setup!$F$33:$F$40))))</f>
        <v/>
      </c>
      <c r="AK45" s="137">
        <f>IF($B45="","",CHOOSE(IFERROR(MATCH($C$4,Setup!$K$33:$K$36,0),1),SUMPRODUCT(COUNTIF('2027'!$C$1740:$Z$1740,Setup!$F$33:$F$40)),SUMPRODUCT(COUNTIF('2028'!$C$1740:$Z$1740,Setup!$F$33:$F$40)),SUMPRODUCT(COUNTIF('2029'!$C$1740:$Z$1740,Setup!$F$33:$F$40)),SUMPRODUCT(COUNTIF('2030'!$C$1740:$Z$1740,Setup!$F$33:$F$40))))</f>
        <v/>
      </c>
      <c r="AL45" s="137">
        <f>IF($B45="","",CHOOSE(IFERROR(MATCH($C$4,Setup!$K$33:$K$36,0),1),SUMPRODUCT(COUNTIF('2027'!$C$1790:$Z$1790,Setup!$F$33:$F$40)),SUMPRODUCT(COUNTIF('2028'!$C$1790:$Z$1790,Setup!$F$33:$F$40)),SUMPRODUCT(COUNTIF('2029'!$C$1790:$Z$1790,Setup!$F$33:$F$40)),SUMPRODUCT(COUNTIF('2030'!$C$1790:$Z$1790,Setup!$F$33:$F$40))))</f>
        <v/>
      </c>
      <c r="AM45" s="137">
        <f>IF($B45="","",CHOOSE(IFERROR(MATCH($C$4,Setup!$K$33:$K$36,0),1),SUMPRODUCT(COUNTIF('2027'!$C$1840:$Z$1840,Setup!$F$33:$F$40)),SUMPRODUCT(COUNTIF('2028'!$C$1840:$Z$1840,Setup!$F$33:$F$40)),SUMPRODUCT(COUNTIF('2029'!$C$1840:$Z$1840,Setup!$F$33:$F$40)),SUMPRODUCT(COUNTIF('2030'!$C$1840:$Z$1840,Setup!$F$33:$F$40))))</f>
        <v/>
      </c>
      <c r="AN45" s="137">
        <f>IF($B45="","",CHOOSE(IFERROR(MATCH($C$4,Setup!$K$33:$K$36,0),1),SUMPRODUCT(COUNTIF('2027'!$C$1890:$Z$1890,Setup!$F$33:$F$40)),SUMPRODUCT(COUNTIF('2028'!$C$1890:$Z$1890,Setup!$F$33:$F$40)),SUMPRODUCT(COUNTIF('2029'!$C$1890:$Z$1890,Setup!$F$33:$F$40)),SUMPRODUCT(COUNTIF('2030'!$C$1890:$Z$1890,Setup!$F$33:$F$40))))</f>
        <v/>
      </c>
      <c r="AO45" s="137">
        <f>IF($B45="","",CHOOSE(IFERROR(MATCH($C$4,Setup!$K$33:$K$36,0),1),SUMPRODUCT(COUNTIF('2027'!$C$1940:$Z$1940,Setup!$F$33:$F$40)),SUMPRODUCT(COUNTIF('2028'!$C$1940:$Z$1940,Setup!$F$33:$F$40)),SUMPRODUCT(COUNTIF('2029'!$C$1940:$Z$1940,Setup!$F$33:$F$40)),SUMPRODUCT(COUNTIF('2030'!$C$1940:$Z$1940,Setup!$F$33:$F$40))))</f>
        <v/>
      </c>
      <c r="AP45" s="137">
        <f>IF($B45="","",CHOOSE(IFERROR(MATCH($C$4,Setup!$K$33:$K$36,0),1),SUMPRODUCT(COUNTIF('2027'!$C$1990:$Z$1990,Setup!$F$33:$F$40)),SUMPRODUCT(COUNTIF('2028'!$C$1990:$Z$1990,Setup!$F$33:$F$40)),SUMPRODUCT(COUNTIF('2029'!$C$1990:$Z$1990,Setup!$F$33:$F$40)),SUMPRODUCT(COUNTIF('2030'!$C$1990:$Z$1990,Setup!$F$33:$F$40))))</f>
        <v/>
      </c>
      <c r="AQ45" s="137">
        <f>IF($B45="","",CHOOSE(IFERROR(MATCH($C$4,Setup!$K$33:$K$36,0),1),SUMPRODUCT(COUNTIF('2027'!$C$2040:$Z$2040,Setup!$F$33:$F$40)),SUMPRODUCT(COUNTIF('2028'!$C$2040:$Z$2040,Setup!$F$33:$F$40)),SUMPRODUCT(COUNTIF('2029'!$C$2040:$Z$2040,Setup!$F$33:$F$40)),SUMPRODUCT(COUNTIF('2030'!$C$2040:$Z$2040,Setup!$F$33:$F$40))))</f>
        <v/>
      </c>
      <c r="AR45" s="137">
        <f>IF($B45="","",CHOOSE(IFERROR(MATCH($C$4,Setup!$K$33:$K$36,0),1),SUMPRODUCT(COUNTIF('2027'!$C$2090:$Z$2090,Setup!$F$33:$F$40)),SUMPRODUCT(COUNTIF('2028'!$C$2090:$Z$2090,Setup!$F$33:$F$40)),SUMPRODUCT(COUNTIF('2029'!$C$2090:$Z$2090,Setup!$F$33:$F$40)),SUMPRODUCT(COUNTIF('2030'!$C$2090:$Z$2090,Setup!$F$33:$F$40))))</f>
        <v/>
      </c>
      <c r="AS45" s="137">
        <f>IF($B45="","",CHOOSE(IFERROR(MATCH($C$4,Setup!$K$33:$K$36,0),1),SUMPRODUCT(COUNTIF('2027'!$C$2140:$Z$2140,Setup!$F$33:$F$40)),SUMPRODUCT(COUNTIF('2028'!$C$2140:$Z$2140,Setup!$F$33:$F$40)),SUMPRODUCT(COUNTIF('2029'!$C$2140:$Z$2140,Setup!$F$33:$F$40)),SUMPRODUCT(COUNTIF('2030'!$C$2140:$Z$2140,Setup!$F$33:$F$40))))</f>
        <v/>
      </c>
      <c r="AT45" s="137">
        <f>IF($B45="","",CHOOSE(IFERROR(MATCH($C$4,Setup!$K$33:$K$36,0),1),SUMPRODUCT(COUNTIF('2027'!$C$2190:$Z$2190,Setup!$F$33:$F$40)),SUMPRODUCT(COUNTIF('2028'!$C$2190:$Z$2190,Setup!$F$33:$F$40)),SUMPRODUCT(COUNTIF('2029'!$C$2190:$Z$2190,Setup!$F$33:$F$40)),SUMPRODUCT(COUNTIF('2030'!$C$2190:$Z$2190,Setup!$F$33:$F$40))))</f>
        <v/>
      </c>
      <c r="AU45" s="137">
        <f>IF($B45="","",CHOOSE(IFERROR(MATCH($C$4,Setup!$K$33:$K$36,0),1),SUMPRODUCT(COUNTIF('2027'!$C$2240:$Z$2240,Setup!$F$33:$F$40)),SUMPRODUCT(COUNTIF('2028'!$C$2240:$Z$2240,Setup!$F$33:$F$40)),SUMPRODUCT(COUNTIF('2029'!$C$2240:$Z$2240,Setup!$F$33:$F$40)),SUMPRODUCT(COUNTIF('2030'!$C$2240:$Z$2240,Setup!$F$33:$F$40))))</f>
        <v/>
      </c>
      <c r="AV45" s="137">
        <f>IF($B45="","",CHOOSE(IFERROR(MATCH($C$4,Setup!$K$33:$K$36,0),1),SUMPRODUCT(COUNTIF('2027'!$C$2290:$Z$2290,Setup!$F$33:$F$40)),SUMPRODUCT(COUNTIF('2028'!$C$2290:$Z$2290,Setup!$F$33:$F$40)),SUMPRODUCT(COUNTIF('2029'!$C$2290:$Z$2290,Setup!$F$33:$F$40)),SUMPRODUCT(COUNTIF('2030'!$C$2290:$Z$2290,Setup!$F$33:$F$40))))</f>
        <v/>
      </c>
      <c r="AW45" s="137">
        <f>IF($B45="","",CHOOSE(IFERROR(MATCH($C$4,Setup!$K$33:$K$36,0),1),SUMPRODUCT(COUNTIF('2027'!$C$2340:$Z$2340,Setup!$F$33:$F$40)),SUMPRODUCT(COUNTIF('2028'!$C$2340:$Z$2340,Setup!$F$33:$F$40)),SUMPRODUCT(COUNTIF('2029'!$C$2340:$Z$2340,Setup!$F$33:$F$40)),SUMPRODUCT(COUNTIF('2030'!$C$2340:$Z$2340,Setup!$F$33:$F$40))))</f>
        <v/>
      </c>
      <c r="AX45" s="137">
        <f>IF($B45="","",CHOOSE(IFERROR(MATCH($C$4,Setup!$K$33:$K$36,0),1),SUMPRODUCT(COUNTIF('2027'!$C$2390:$Z$2390,Setup!$F$33:$F$40)),SUMPRODUCT(COUNTIF('2028'!$C$2390:$Z$2390,Setup!$F$33:$F$40)),SUMPRODUCT(COUNTIF('2029'!$C$2390:$Z$2390,Setup!$F$33:$F$40)),SUMPRODUCT(COUNTIF('2030'!$C$2390:$Z$2390,Setup!$F$33:$F$40))))</f>
        <v/>
      </c>
      <c r="AY45" s="137">
        <f>IF($B45="","",CHOOSE(IFERROR(MATCH($C$4,Setup!$K$33:$K$36,0),1),SUMPRODUCT(COUNTIF('2027'!$C$2440:$Z$2440,Setup!$F$33:$F$40)),SUMPRODUCT(COUNTIF('2028'!$C$2440:$Z$2440,Setup!$F$33:$F$40)),SUMPRODUCT(COUNTIF('2029'!$C$2440:$Z$2440,Setup!$F$33:$F$40)),SUMPRODUCT(COUNTIF('2030'!$C$2440:$Z$2440,Setup!$F$33:$F$40))))</f>
        <v/>
      </c>
      <c r="AZ45" s="137">
        <f>IF($B45="","",CHOOSE(IFERROR(MATCH($C$4,Setup!$K$33:$K$36,0),1),SUMPRODUCT(COUNTIF('2027'!$C$2490:$Z$2490,Setup!$F$33:$F$40)),SUMPRODUCT(COUNTIF('2028'!$C$2490:$Z$2490,Setup!$F$33:$F$40)),SUMPRODUCT(COUNTIF('2029'!$C$2490:$Z$2490,Setup!$F$33:$F$40)),SUMPRODUCT(COUNTIF('2030'!$C$2490:$Z$2490,Setup!$F$33:$F$40))))</f>
        <v/>
      </c>
      <c r="BA45" s="137">
        <f>IF($B45="","",CHOOSE(IFERROR(MATCH($C$4,Setup!$K$33:$K$36,0),1),SUMPRODUCT(COUNTIF('2027'!$C$2540:$Z$2540,Setup!$F$33:$F$40)),SUMPRODUCT(COUNTIF('2028'!$C$2540:$Z$2540,Setup!$F$33:$F$40)),SUMPRODUCT(COUNTIF('2029'!$C$2540:$Z$2540,Setup!$F$33:$F$40)),SUMPRODUCT(COUNTIF('2030'!$C$2540:$Z$2540,Setup!$F$33:$F$40))))</f>
        <v/>
      </c>
      <c r="BB45" s="137">
        <f>IF($B45="","",CHOOSE(IFERROR(MATCH($C$4,Setup!$K$33:$K$36,0),1),SUMPRODUCT(COUNTIF('2027'!$C$2590:$Z$2590,Setup!$F$33:$F$40)),SUMPRODUCT(COUNTIF('2028'!$C$2590:$Z$2590,Setup!$F$33:$F$40)),SUMPRODUCT(COUNTIF('2029'!$C$2590:$Z$2590,Setup!$F$33:$F$40)),SUMPRODUCT(COUNTIF('2030'!$C$2590:$Z$2590,Setup!$F$33:$F$40))))</f>
        <v/>
      </c>
      <c r="BC45" s="137">
        <f>IF($B45="","",CHOOSE(IFERROR(MATCH($C$4,Setup!$K$33:$K$36,0),1),SUMPRODUCT(COUNTIF('2027'!$C$2640:$Z$2640,Setup!$F$33:$F$40)),SUMPRODUCT(COUNTIF('2028'!$C$2640:$Z$2640,Setup!$F$33:$F$40)),SUMPRODUCT(COUNTIF('2029'!$C$2640:$Z$2640,Setup!$F$33:$F$40)),SUMPRODUCT(COUNTIF('2030'!$C$2640:$Z$2640,Setup!$F$33:$F$40))))</f>
        <v/>
      </c>
      <c r="BE45" s="129">
        <f>IF($B45="","",SUM(C45:BC45))</f>
        <v/>
      </c>
      <c r="BF45" s="130">
        <f>IF($B45="","",COUNTIF(C45:BC45,"&gt;0"))</f>
        <v/>
      </c>
      <c r="BG45" s="130">
        <f>IF(OR($B45="",N(BE45)=0),"",MATCH(MAX(C45:BC45),C45:BC45,0))</f>
        <v/>
      </c>
    </row>
    <row r="46" ht="15" customHeight="1">
      <c r="B46" s="136">
        <f>IF(Setup!$B$20="","",Setup!$B$20)</f>
        <v/>
      </c>
      <c r="C46" s="137">
        <f>IF($B46="","",CHOOSE(IFERROR(MATCH($C$4,Setup!$K$33:$K$36,0),1),SUMPRODUCT(COUNTIF('2027'!$C$41:$Z$41,Setup!$F$33:$F$40)),SUMPRODUCT(COUNTIF('2028'!$C$41:$Z$41,Setup!$F$33:$F$40)),SUMPRODUCT(COUNTIF('2029'!$C$41:$Z$41,Setup!$F$33:$F$40)),SUMPRODUCT(COUNTIF('2030'!$C$41:$Z$41,Setup!$F$33:$F$40))))</f>
        <v/>
      </c>
      <c r="D46" s="137">
        <f>IF($B46="","",CHOOSE(IFERROR(MATCH($C$4,Setup!$K$33:$K$36,0),1),SUMPRODUCT(COUNTIF('2027'!$C$91:$Z$91,Setup!$F$33:$F$40)),SUMPRODUCT(COUNTIF('2028'!$C$91:$Z$91,Setup!$F$33:$F$40)),SUMPRODUCT(COUNTIF('2029'!$C$91:$Z$91,Setup!$F$33:$F$40)),SUMPRODUCT(COUNTIF('2030'!$C$91:$Z$91,Setup!$F$33:$F$40))))</f>
        <v/>
      </c>
      <c r="E46" s="137">
        <f>IF($B46="","",CHOOSE(IFERROR(MATCH($C$4,Setup!$K$33:$K$36,0),1),SUMPRODUCT(COUNTIF('2027'!$C$141:$Z$141,Setup!$F$33:$F$40)),SUMPRODUCT(COUNTIF('2028'!$C$141:$Z$141,Setup!$F$33:$F$40)),SUMPRODUCT(COUNTIF('2029'!$C$141:$Z$141,Setup!$F$33:$F$40)),SUMPRODUCT(COUNTIF('2030'!$C$141:$Z$141,Setup!$F$33:$F$40))))</f>
        <v/>
      </c>
      <c r="F46" s="137">
        <f>IF($B46="","",CHOOSE(IFERROR(MATCH($C$4,Setup!$K$33:$K$36,0),1),SUMPRODUCT(COUNTIF('2027'!$C$191:$Z$191,Setup!$F$33:$F$40)),SUMPRODUCT(COUNTIF('2028'!$C$191:$Z$191,Setup!$F$33:$F$40)),SUMPRODUCT(COUNTIF('2029'!$C$191:$Z$191,Setup!$F$33:$F$40)),SUMPRODUCT(COUNTIF('2030'!$C$191:$Z$191,Setup!$F$33:$F$40))))</f>
        <v/>
      </c>
      <c r="G46" s="137">
        <f>IF($B46="","",CHOOSE(IFERROR(MATCH($C$4,Setup!$K$33:$K$36,0),1),SUMPRODUCT(COUNTIF('2027'!$C$241:$Z$241,Setup!$F$33:$F$40)),SUMPRODUCT(COUNTIF('2028'!$C$241:$Z$241,Setup!$F$33:$F$40)),SUMPRODUCT(COUNTIF('2029'!$C$241:$Z$241,Setup!$F$33:$F$40)),SUMPRODUCT(COUNTIF('2030'!$C$241:$Z$241,Setup!$F$33:$F$40))))</f>
        <v/>
      </c>
      <c r="H46" s="137">
        <f>IF($B46="","",CHOOSE(IFERROR(MATCH($C$4,Setup!$K$33:$K$36,0),1),SUMPRODUCT(COUNTIF('2027'!$C$291:$Z$291,Setup!$F$33:$F$40)),SUMPRODUCT(COUNTIF('2028'!$C$291:$Z$291,Setup!$F$33:$F$40)),SUMPRODUCT(COUNTIF('2029'!$C$291:$Z$291,Setup!$F$33:$F$40)),SUMPRODUCT(COUNTIF('2030'!$C$291:$Z$291,Setup!$F$33:$F$40))))</f>
        <v/>
      </c>
      <c r="I46" s="137">
        <f>IF($B46="","",CHOOSE(IFERROR(MATCH($C$4,Setup!$K$33:$K$36,0),1),SUMPRODUCT(COUNTIF('2027'!$C$341:$Z$341,Setup!$F$33:$F$40)),SUMPRODUCT(COUNTIF('2028'!$C$341:$Z$341,Setup!$F$33:$F$40)),SUMPRODUCT(COUNTIF('2029'!$C$341:$Z$341,Setup!$F$33:$F$40)),SUMPRODUCT(COUNTIF('2030'!$C$341:$Z$341,Setup!$F$33:$F$40))))</f>
        <v/>
      </c>
      <c r="J46" s="137">
        <f>IF($B46="","",CHOOSE(IFERROR(MATCH($C$4,Setup!$K$33:$K$36,0),1),SUMPRODUCT(COUNTIF('2027'!$C$391:$Z$391,Setup!$F$33:$F$40)),SUMPRODUCT(COUNTIF('2028'!$C$391:$Z$391,Setup!$F$33:$F$40)),SUMPRODUCT(COUNTIF('2029'!$C$391:$Z$391,Setup!$F$33:$F$40)),SUMPRODUCT(COUNTIF('2030'!$C$391:$Z$391,Setup!$F$33:$F$40))))</f>
        <v/>
      </c>
      <c r="K46" s="137">
        <f>IF($B46="","",CHOOSE(IFERROR(MATCH($C$4,Setup!$K$33:$K$36,0),1),SUMPRODUCT(COUNTIF('2027'!$C$441:$Z$441,Setup!$F$33:$F$40)),SUMPRODUCT(COUNTIF('2028'!$C$441:$Z$441,Setup!$F$33:$F$40)),SUMPRODUCT(COUNTIF('2029'!$C$441:$Z$441,Setup!$F$33:$F$40)),SUMPRODUCT(COUNTIF('2030'!$C$441:$Z$441,Setup!$F$33:$F$40))))</f>
        <v/>
      </c>
      <c r="L46" s="137">
        <f>IF($B46="","",CHOOSE(IFERROR(MATCH($C$4,Setup!$K$33:$K$36,0),1),SUMPRODUCT(COUNTIF('2027'!$C$491:$Z$491,Setup!$F$33:$F$40)),SUMPRODUCT(COUNTIF('2028'!$C$491:$Z$491,Setup!$F$33:$F$40)),SUMPRODUCT(COUNTIF('2029'!$C$491:$Z$491,Setup!$F$33:$F$40)),SUMPRODUCT(COUNTIF('2030'!$C$491:$Z$491,Setup!$F$33:$F$40))))</f>
        <v/>
      </c>
      <c r="M46" s="137">
        <f>IF($B46="","",CHOOSE(IFERROR(MATCH($C$4,Setup!$K$33:$K$36,0),1),SUMPRODUCT(COUNTIF('2027'!$C$541:$Z$541,Setup!$F$33:$F$40)),SUMPRODUCT(COUNTIF('2028'!$C$541:$Z$541,Setup!$F$33:$F$40)),SUMPRODUCT(COUNTIF('2029'!$C$541:$Z$541,Setup!$F$33:$F$40)),SUMPRODUCT(COUNTIF('2030'!$C$541:$Z$541,Setup!$F$33:$F$40))))</f>
        <v/>
      </c>
      <c r="N46" s="137">
        <f>IF($B46="","",CHOOSE(IFERROR(MATCH($C$4,Setup!$K$33:$K$36,0),1),SUMPRODUCT(COUNTIF('2027'!$C$591:$Z$591,Setup!$F$33:$F$40)),SUMPRODUCT(COUNTIF('2028'!$C$591:$Z$591,Setup!$F$33:$F$40)),SUMPRODUCT(COUNTIF('2029'!$C$591:$Z$591,Setup!$F$33:$F$40)),SUMPRODUCT(COUNTIF('2030'!$C$591:$Z$591,Setup!$F$33:$F$40))))</f>
        <v/>
      </c>
      <c r="O46" s="137">
        <f>IF($B46="","",CHOOSE(IFERROR(MATCH($C$4,Setup!$K$33:$K$36,0),1),SUMPRODUCT(COUNTIF('2027'!$C$641:$Z$641,Setup!$F$33:$F$40)),SUMPRODUCT(COUNTIF('2028'!$C$641:$Z$641,Setup!$F$33:$F$40)),SUMPRODUCT(COUNTIF('2029'!$C$641:$Z$641,Setup!$F$33:$F$40)),SUMPRODUCT(COUNTIF('2030'!$C$641:$Z$641,Setup!$F$33:$F$40))))</f>
        <v/>
      </c>
      <c r="P46" s="137">
        <f>IF($B46="","",CHOOSE(IFERROR(MATCH($C$4,Setup!$K$33:$K$36,0),1),SUMPRODUCT(COUNTIF('2027'!$C$691:$Z$691,Setup!$F$33:$F$40)),SUMPRODUCT(COUNTIF('2028'!$C$691:$Z$691,Setup!$F$33:$F$40)),SUMPRODUCT(COUNTIF('2029'!$C$691:$Z$691,Setup!$F$33:$F$40)),SUMPRODUCT(COUNTIF('2030'!$C$691:$Z$691,Setup!$F$33:$F$40))))</f>
        <v/>
      </c>
      <c r="Q46" s="137">
        <f>IF($B46="","",CHOOSE(IFERROR(MATCH($C$4,Setup!$K$33:$K$36,0),1),SUMPRODUCT(COUNTIF('2027'!$C$741:$Z$741,Setup!$F$33:$F$40)),SUMPRODUCT(COUNTIF('2028'!$C$741:$Z$741,Setup!$F$33:$F$40)),SUMPRODUCT(COUNTIF('2029'!$C$741:$Z$741,Setup!$F$33:$F$40)),SUMPRODUCT(COUNTIF('2030'!$C$741:$Z$741,Setup!$F$33:$F$40))))</f>
        <v/>
      </c>
      <c r="R46" s="137">
        <f>IF($B46="","",CHOOSE(IFERROR(MATCH($C$4,Setup!$K$33:$K$36,0),1),SUMPRODUCT(COUNTIF('2027'!$C$791:$Z$791,Setup!$F$33:$F$40)),SUMPRODUCT(COUNTIF('2028'!$C$791:$Z$791,Setup!$F$33:$F$40)),SUMPRODUCT(COUNTIF('2029'!$C$791:$Z$791,Setup!$F$33:$F$40)),SUMPRODUCT(COUNTIF('2030'!$C$791:$Z$791,Setup!$F$33:$F$40))))</f>
        <v/>
      </c>
      <c r="S46" s="137">
        <f>IF($B46="","",CHOOSE(IFERROR(MATCH($C$4,Setup!$K$33:$K$36,0),1),SUMPRODUCT(COUNTIF('2027'!$C$841:$Z$841,Setup!$F$33:$F$40)),SUMPRODUCT(COUNTIF('2028'!$C$841:$Z$841,Setup!$F$33:$F$40)),SUMPRODUCT(COUNTIF('2029'!$C$841:$Z$841,Setup!$F$33:$F$40)),SUMPRODUCT(COUNTIF('2030'!$C$841:$Z$841,Setup!$F$33:$F$40))))</f>
        <v/>
      </c>
      <c r="T46" s="137">
        <f>IF($B46="","",CHOOSE(IFERROR(MATCH($C$4,Setup!$K$33:$K$36,0),1),SUMPRODUCT(COUNTIF('2027'!$C$891:$Z$891,Setup!$F$33:$F$40)),SUMPRODUCT(COUNTIF('2028'!$C$891:$Z$891,Setup!$F$33:$F$40)),SUMPRODUCT(COUNTIF('2029'!$C$891:$Z$891,Setup!$F$33:$F$40)),SUMPRODUCT(COUNTIF('2030'!$C$891:$Z$891,Setup!$F$33:$F$40))))</f>
        <v/>
      </c>
      <c r="U46" s="137">
        <f>IF($B46="","",CHOOSE(IFERROR(MATCH($C$4,Setup!$K$33:$K$36,0),1),SUMPRODUCT(COUNTIF('2027'!$C$941:$Z$941,Setup!$F$33:$F$40)),SUMPRODUCT(COUNTIF('2028'!$C$941:$Z$941,Setup!$F$33:$F$40)),SUMPRODUCT(COUNTIF('2029'!$C$941:$Z$941,Setup!$F$33:$F$40)),SUMPRODUCT(COUNTIF('2030'!$C$941:$Z$941,Setup!$F$33:$F$40))))</f>
        <v/>
      </c>
      <c r="V46" s="137">
        <f>IF($B46="","",CHOOSE(IFERROR(MATCH($C$4,Setup!$K$33:$K$36,0),1),SUMPRODUCT(COUNTIF('2027'!$C$991:$Z$991,Setup!$F$33:$F$40)),SUMPRODUCT(COUNTIF('2028'!$C$991:$Z$991,Setup!$F$33:$F$40)),SUMPRODUCT(COUNTIF('2029'!$C$991:$Z$991,Setup!$F$33:$F$40)),SUMPRODUCT(COUNTIF('2030'!$C$991:$Z$991,Setup!$F$33:$F$40))))</f>
        <v/>
      </c>
      <c r="W46" s="137">
        <f>IF($B46="","",CHOOSE(IFERROR(MATCH($C$4,Setup!$K$33:$K$36,0),1),SUMPRODUCT(COUNTIF('2027'!$C$1041:$Z$1041,Setup!$F$33:$F$40)),SUMPRODUCT(COUNTIF('2028'!$C$1041:$Z$1041,Setup!$F$33:$F$40)),SUMPRODUCT(COUNTIF('2029'!$C$1041:$Z$1041,Setup!$F$33:$F$40)),SUMPRODUCT(COUNTIF('2030'!$C$1041:$Z$1041,Setup!$F$33:$F$40))))</f>
        <v/>
      </c>
      <c r="X46" s="137">
        <f>IF($B46="","",CHOOSE(IFERROR(MATCH($C$4,Setup!$K$33:$K$36,0),1),SUMPRODUCT(COUNTIF('2027'!$C$1091:$Z$1091,Setup!$F$33:$F$40)),SUMPRODUCT(COUNTIF('2028'!$C$1091:$Z$1091,Setup!$F$33:$F$40)),SUMPRODUCT(COUNTIF('2029'!$C$1091:$Z$1091,Setup!$F$33:$F$40)),SUMPRODUCT(COUNTIF('2030'!$C$1091:$Z$1091,Setup!$F$33:$F$40))))</f>
        <v/>
      </c>
      <c r="Y46" s="137">
        <f>IF($B46="","",CHOOSE(IFERROR(MATCH($C$4,Setup!$K$33:$K$36,0),1),SUMPRODUCT(COUNTIF('2027'!$C$1141:$Z$1141,Setup!$F$33:$F$40)),SUMPRODUCT(COUNTIF('2028'!$C$1141:$Z$1141,Setup!$F$33:$F$40)),SUMPRODUCT(COUNTIF('2029'!$C$1141:$Z$1141,Setup!$F$33:$F$40)),SUMPRODUCT(COUNTIF('2030'!$C$1141:$Z$1141,Setup!$F$33:$F$40))))</f>
        <v/>
      </c>
      <c r="Z46" s="137">
        <f>IF($B46="","",CHOOSE(IFERROR(MATCH($C$4,Setup!$K$33:$K$36,0),1),SUMPRODUCT(COUNTIF('2027'!$C$1191:$Z$1191,Setup!$F$33:$F$40)),SUMPRODUCT(COUNTIF('2028'!$C$1191:$Z$1191,Setup!$F$33:$F$40)),SUMPRODUCT(COUNTIF('2029'!$C$1191:$Z$1191,Setup!$F$33:$F$40)),SUMPRODUCT(COUNTIF('2030'!$C$1191:$Z$1191,Setup!$F$33:$F$40))))</f>
        <v/>
      </c>
      <c r="AA46" s="137">
        <f>IF($B46="","",CHOOSE(IFERROR(MATCH($C$4,Setup!$K$33:$K$36,0),1),SUMPRODUCT(COUNTIF('2027'!$C$1241:$Z$1241,Setup!$F$33:$F$40)),SUMPRODUCT(COUNTIF('2028'!$C$1241:$Z$1241,Setup!$F$33:$F$40)),SUMPRODUCT(COUNTIF('2029'!$C$1241:$Z$1241,Setup!$F$33:$F$40)),SUMPRODUCT(COUNTIF('2030'!$C$1241:$Z$1241,Setup!$F$33:$F$40))))</f>
        <v/>
      </c>
      <c r="AB46" s="137">
        <f>IF($B46="","",CHOOSE(IFERROR(MATCH($C$4,Setup!$K$33:$K$36,0),1),SUMPRODUCT(COUNTIF('2027'!$C$1291:$Z$1291,Setup!$F$33:$F$40)),SUMPRODUCT(COUNTIF('2028'!$C$1291:$Z$1291,Setup!$F$33:$F$40)),SUMPRODUCT(COUNTIF('2029'!$C$1291:$Z$1291,Setup!$F$33:$F$40)),SUMPRODUCT(COUNTIF('2030'!$C$1291:$Z$1291,Setup!$F$33:$F$40))))</f>
        <v/>
      </c>
      <c r="AC46" s="137">
        <f>IF($B46="","",CHOOSE(IFERROR(MATCH($C$4,Setup!$K$33:$K$36,0),1),SUMPRODUCT(COUNTIF('2027'!$C$1341:$Z$1341,Setup!$F$33:$F$40)),SUMPRODUCT(COUNTIF('2028'!$C$1341:$Z$1341,Setup!$F$33:$F$40)),SUMPRODUCT(COUNTIF('2029'!$C$1341:$Z$1341,Setup!$F$33:$F$40)),SUMPRODUCT(COUNTIF('2030'!$C$1341:$Z$1341,Setup!$F$33:$F$40))))</f>
        <v/>
      </c>
      <c r="AD46" s="137">
        <f>IF($B46="","",CHOOSE(IFERROR(MATCH($C$4,Setup!$K$33:$K$36,0),1),SUMPRODUCT(COUNTIF('2027'!$C$1391:$Z$1391,Setup!$F$33:$F$40)),SUMPRODUCT(COUNTIF('2028'!$C$1391:$Z$1391,Setup!$F$33:$F$40)),SUMPRODUCT(COUNTIF('2029'!$C$1391:$Z$1391,Setup!$F$33:$F$40)),SUMPRODUCT(COUNTIF('2030'!$C$1391:$Z$1391,Setup!$F$33:$F$40))))</f>
        <v/>
      </c>
      <c r="AE46" s="137">
        <f>IF($B46="","",CHOOSE(IFERROR(MATCH($C$4,Setup!$K$33:$K$36,0),1),SUMPRODUCT(COUNTIF('2027'!$C$1441:$Z$1441,Setup!$F$33:$F$40)),SUMPRODUCT(COUNTIF('2028'!$C$1441:$Z$1441,Setup!$F$33:$F$40)),SUMPRODUCT(COUNTIF('2029'!$C$1441:$Z$1441,Setup!$F$33:$F$40)),SUMPRODUCT(COUNTIF('2030'!$C$1441:$Z$1441,Setup!$F$33:$F$40))))</f>
        <v/>
      </c>
      <c r="AF46" s="137">
        <f>IF($B46="","",CHOOSE(IFERROR(MATCH($C$4,Setup!$K$33:$K$36,0),1),SUMPRODUCT(COUNTIF('2027'!$C$1491:$Z$1491,Setup!$F$33:$F$40)),SUMPRODUCT(COUNTIF('2028'!$C$1491:$Z$1491,Setup!$F$33:$F$40)),SUMPRODUCT(COUNTIF('2029'!$C$1491:$Z$1491,Setup!$F$33:$F$40)),SUMPRODUCT(COUNTIF('2030'!$C$1491:$Z$1491,Setup!$F$33:$F$40))))</f>
        <v/>
      </c>
      <c r="AG46" s="137">
        <f>IF($B46="","",CHOOSE(IFERROR(MATCH($C$4,Setup!$K$33:$K$36,0),1),SUMPRODUCT(COUNTIF('2027'!$C$1541:$Z$1541,Setup!$F$33:$F$40)),SUMPRODUCT(COUNTIF('2028'!$C$1541:$Z$1541,Setup!$F$33:$F$40)),SUMPRODUCT(COUNTIF('2029'!$C$1541:$Z$1541,Setup!$F$33:$F$40)),SUMPRODUCT(COUNTIF('2030'!$C$1541:$Z$1541,Setup!$F$33:$F$40))))</f>
        <v/>
      </c>
      <c r="AH46" s="137">
        <f>IF($B46="","",CHOOSE(IFERROR(MATCH($C$4,Setup!$K$33:$K$36,0),1),SUMPRODUCT(COUNTIF('2027'!$C$1591:$Z$1591,Setup!$F$33:$F$40)),SUMPRODUCT(COUNTIF('2028'!$C$1591:$Z$1591,Setup!$F$33:$F$40)),SUMPRODUCT(COUNTIF('2029'!$C$1591:$Z$1591,Setup!$F$33:$F$40)),SUMPRODUCT(COUNTIF('2030'!$C$1591:$Z$1591,Setup!$F$33:$F$40))))</f>
        <v/>
      </c>
      <c r="AI46" s="137">
        <f>IF($B46="","",CHOOSE(IFERROR(MATCH($C$4,Setup!$K$33:$K$36,0),1),SUMPRODUCT(COUNTIF('2027'!$C$1641:$Z$1641,Setup!$F$33:$F$40)),SUMPRODUCT(COUNTIF('2028'!$C$1641:$Z$1641,Setup!$F$33:$F$40)),SUMPRODUCT(COUNTIF('2029'!$C$1641:$Z$1641,Setup!$F$33:$F$40)),SUMPRODUCT(COUNTIF('2030'!$C$1641:$Z$1641,Setup!$F$33:$F$40))))</f>
        <v/>
      </c>
      <c r="AJ46" s="137">
        <f>IF($B46="","",CHOOSE(IFERROR(MATCH($C$4,Setup!$K$33:$K$36,0),1),SUMPRODUCT(COUNTIF('2027'!$C$1691:$Z$1691,Setup!$F$33:$F$40)),SUMPRODUCT(COUNTIF('2028'!$C$1691:$Z$1691,Setup!$F$33:$F$40)),SUMPRODUCT(COUNTIF('2029'!$C$1691:$Z$1691,Setup!$F$33:$F$40)),SUMPRODUCT(COUNTIF('2030'!$C$1691:$Z$1691,Setup!$F$33:$F$40))))</f>
        <v/>
      </c>
      <c r="AK46" s="137">
        <f>IF($B46="","",CHOOSE(IFERROR(MATCH($C$4,Setup!$K$33:$K$36,0),1),SUMPRODUCT(COUNTIF('2027'!$C$1741:$Z$1741,Setup!$F$33:$F$40)),SUMPRODUCT(COUNTIF('2028'!$C$1741:$Z$1741,Setup!$F$33:$F$40)),SUMPRODUCT(COUNTIF('2029'!$C$1741:$Z$1741,Setup!$F$33:$F$40)),SUMPRODUCT(COUNTIF('2030'!$C$1741:$Z$1741,Setup!$F$33:$F$40))))</f>
        <v/>
      </c>
      <c r="AL46" s="137">
        <f>IF($B46="","",CHOOSE(IFERROR(MATCH($C$4,Setup!$K$33:$K$36,0),1),SUMPRODUCT(COUNTIF('2027'!$C$1791:$Z$1791,Setup!$F$33:$F$40)),SUMPRODUCT(COUNTIF('2028'!$C$1791:$Z$1791,Setup!$F$33:$F$40)),SUMPRODUCT(COUNTIF('2029'!$C$1791:$Z$1791,Setup!$F$33:$F$40)),SUMPRODUCT(COUNTIF('2030'!$C$1791:$Z$1791,Setup!$F$33:$F$40))))</f>
        <v/>
      </c>
      <c r="AM46" s="137">
        <f>IF($B46="","",CHOOSE(IFERROR(MATCH($C$4,Setup!$K$33:$K$36,0),1),SUMPRODUCT(COUNTIF('2027'!$C$1841:$Z$1841,Setup!$F$33:$F$40)),SUMPRODUCT(COUNTIF('2028'!$C$1841:$Z$1841,Setup!$F$33:$F$40)),SUMPRODUCT(COUNTIF('2029'!$C$1841:$Z$1841,Setup!$F$33:$F$40)),SUMPRODUCT(COUNTIF('2030'!$C$1841:$Z$1841,Setup!$F$33:$F$40))))</f>
        <v/>
      </c>
      <c r="AN46" s="137">
        <f>IF($B46="","",CHOOSE(IFERROR(MATCH($C$4,Setup!$K$33:$K$36,0),1),SUMPRODUCT(COUNTIF('2027'!$C$1891:$Z$1891,Setup!$F$33:$F$40)),SUMPRODUCT(COUNTIF('2028'!$C$1891:$Z$1891,Setup!$F$33:$F$40)),SUMPRODUCT(COUNTIF('2029'!$C$1891:$Z$1891,Setup!$F$33:$F$40)),SUMPRODUCT(COUNTIF('2030'!$C$1891:$Z$1891,Setup!$F$33:$F$40))))</f>
        <v/>
      </c>
      <c r="AO46" s="137">
        <f>IF($B46="","",CHOOSE(IFERROR(MATCH($C$4,Setup!$K$33:$K$36,0),1),SUMPRODUCT(COUNTIF('2027'!$C$1941:$Z$1941,Setup!$F$33:$F$40)),SUMPRODUCT(COUNTIF('2028'!$C$1941:$Z$1941,Setup!$F$33:$F$40)),SUMPRODUCT(COUNTIF('2029'!$C$1941:$Z$1941,Setup!$F$33:$F$40)),SUMPRODUCT(COUNTIF('2030'!$C$1941:$Z$1941,Setup!$F$33:$F$40))))</f>
        <v/>
      </c>
      <c r="AP46" s="137">
        <f>IF($B46="","",CHOOSE(IFERROR(MATCH($C$4,Setup!$K$33:$K$36,0),1),SUMPRODUCT(COUNTIF('2027'!$C$1991:$Z$1991,Setup!$F$33:$F$40)),SUMPRODUCT(COUNTIF('2028'!$C$1991:$Z$1991,Setup!$F$33:$F$40)),SUMPRODUCT(COUNTIF('2029'!$C$1991:$Z$1991,Setup!$F$33:$F$40)),SUMPRODUCT(COUNTIF('2030'!$C$1991:$Z$1991,Setup!$F$33:$F$40))))</f>
        <v/>
      </c>
      <c r="AQ46" s="137">
        <f>IF($B46="","",CHOOSE(IFERROR(MATCH($C$4,Setup!$K$33:$K$36,0),1),SUMPRODUCT(COUNTIF('2027'!$C$2041:$Z$2041,Setup!$F$33:$F$40)),SUMPRODUCT(COUNTIF('2028'!$C$2041:$Z$2041,Setup!$F$33:$F$40)),SUMPRODUCT(COUNTIF('2029'!$C$2041:$Z$2041,Setup!$F$33:$F$40)),SUMPRODUCT(COUNTIF('2030'!$C$2041:$Z$2041,Setup!$F$33:$F$40))))</f>
        <v/>
      </c>
      <c r="AR46" s="137">
        <f>IF($B46="","",CHOOSE(IFERROR(MATCH($C$4,Setup!$K$33:$K$36,0),1),SUMPRODUCT(COUNTIF('2027'!$C$2091:$Z$2091,Setup!$F$33:$F$40)),SUMPRODUCT(COUNTIF('2028'!$C$2091:$Z$2091,Setup!$F$33:$F$40)),SUMPRODUCT(COUNTIF('2029'!$C$2091:$Z$2091,Setup!$F$33:$F$40)),SUMPRODUCT(COUNTIF('2030'!$C$2091:$Z$2091,Setup!$F$33:$F$40))))</f>
        <v/>
      </c>
      <c r="AS46" s="137">
        <f>IF($B46="","",CHOOSE(IFERROR(MATCH($C$4,Setup!$K$33:$K$36,0),1),SUMPRODUCT(COUNTIF('2027'!$C$2141:$Z$2141,Setup!$F$33:$F$40)),SUMPRODUCT(COUNTIF('2028'!$C$2141:$Z$2141,Setup!$F$33:$F$40)),SUMPRODUCT(COUNTIF('2029'!$C$2141:$Z$2141,Setup!$F$33:$F$40)),SUMPRODUCT(COUNTIF('2030'!$C$2141:$Z$2141,Setup!$F$33:$F$40))))</f>
        <v/>
      </c>
      <c r="AT46" s="137">
        <f>IF($B46="","",CHOOSE(IFERROR(MATCH($C$4,Setup!$K$33:$K$36,0),1),SUMPRODUCT(COUNTIF('2027'!$C$2191:$Z$2191,Setup!$F$33:$F$40)),SUMPRODUCT(COUNTIF('2028'!$C$2191:$Z$2191,Setup!$F$33:$F$40)),SUMPRODUCT(COUNTIF('2029'!$C$2191:$Z$2191,Setup!$F$33:$F$40)),SUMPRODUCT(COUNTIF('2030'!$C$2191:$Z$2191,Setup!$F$33:$F$40))))</f>
        <v/>
      </c>
      <c r="AU46" s="137">
        <f>IF($B46="","",CHOOSE(IFERROR(MATCH($C$4,Setup!$K$33:$K$36,0),1),SUMPRODUCT(COUNTIF('2027'!$C$2241:$Z$2241,Setup!$F$33:$F$40)),SUMPRODUCT(COUNTIF('2028'!$C$2241:$Z$2241,Setup!$F$33:$F$40)),SUMPRODUCT(COUNTIF('2029'!$C$2241:$Z$2241,Setup!$F$33:$F$40)),SUMPRODUCT(COUNTIF('2030'!$C$2241:$Z$2241,Setup!$F$33:$F$40))))</f>
        <v/>
      </c>
      <c r="AV46" s="137">
        <f>IF($B46="","",CHOOSE(IFERROR(MATCH($C$4,Setup!$K$33:$K$36,0),1),SUMPRODUCT(COUNTIF('2027'!$C$2291:$Z$2291,Setup!$F$33:$F$40)),SUMPRODUCT(COUNTIF('2028'!$C$2291:$Z$2291,Setup!$F$33:$F$40)),SUMPRODUCT(COUNTIF('2029'!$C$2291:$Z$2291,Setup!$F$33:$F$40)),SUMPRODUCT(COUNTIF('2030'!$C$2291:$Z$2291,Setup!$F$33:$F$40))))</f>
        <v/>
      </c>
      <c r="AW46" s="137">
        <f>IF($B46="","",CHOOSE(IFERROR(MATCH($C$4,Setup!$K$33:$K$36,0),1),SUMPRODUCT(COUNTIF('2027'!$C$2341:$Z$2341,Setup!$F$33:$F$40)),SUMPRODUCT(COUNTIF('2028'!$C$2341:$Z$2341,Setup!$F$33:$F$40)),SUMPRODUCT(COUNTIF('2029'!$C$2341:$Z$2341,Setup!$F$33:$F$40)),SUMPRODUCT(COUNTIF('2030'!$C$2341:$Z$2341,Setup!$F$33:$F$40))))</f>
        <v/>
      </c>
      <c r="AX46" s="137">
        <f>IF($B46="","",CHOOSE(IFERROR(MATCH($C$4,Setup!$K$33:$K$36,0),1),SUMPRODUCT(COUNTIF('2027'!$C$2391:$Z$2391,Setup!$F$33:$F$40)),SUMPRODUCT(COUNTIF('2028'!$C$2391:$Z$2391,Setup!$F$33:$F$40)),SUMPRODUCT(COUNTIF('2029'!$C$2391:$Z$2391,Setup!$F$33:$F$40)),SUMPRODUCT(COUNTIF('2030'!$C$2391:$Z$2391,Setup!$F$33:$F$40))))</f>
        <v/>
      </c>
      <c r="AY46" s="137">
        <f>IF($B46="","",CHOOSE(IFERROR(MATCH($C$4,Setup!$K$33:$K$36,0),1),SUMPRODUCT(COUNTIF('2027'!$C$2441:$Z$2441,Setup!$F$33:$F$40)),SUMPRODUCT(COUNTIF('2028'!$C$2441:$Z$2441,Setup!$F$33:$F$40)),SUMPRODUCT(COUNTIF('2029'!$C$2441:$Z$2441,Setup!$F$33:$F$40)),SUMPRODUCT(COUNTIF('2030'!$C$2441:$Z$2441,Setup!$F$33:$F$40))))</f>
        <v/>
      </c>
      <c r="AZ46" s="137">
        <f>IF($B46="","",CHOOSE(IFERROR(MATCH($C$4,Setup!$K$33:$K$36,0),1),SUMPRODUCT(COUNTIF('2027'!$C$2491:$Z$2491,Setup!$F$33:$F$40)),SUMPRODUCT(COUNTIF('2028'!$C$2491:$Z$2491,Setup!$F$33:$F$40)),SUMPRODUCT(COUNTIF('2029'!$C$2491:$Z$2491,Setup!$F$33:$F$40)),SUMPRODUCT(COUNTIF('2030'!$C$2491:$Z$2491,Setup!$F$33:$F$40))))</f>
        <v/>
      </c>
      <c r="BA46" s="137">
        <f>IF($B46="","",CHOOSE(IFERROR(MATCH($C$4,Setup!$K$33:$K$36,0),1),SUMPRODUCT(COUNTIF('2027'!$C$2541:$Z$2541,Setup!$F$33:$F$40)),SUMPRODUCT(COUNTIF('2028'!$C$2541:$Z$2541,Setup!$F$33:$F$40)),SUMPRODUCT(COUNTIF('2029'!$C$2541:$Z$2541,Setup!$F$33:$F$40)),SUMPRODUCT(COUNTIF('2030'!$C$2541:$Z$2541,Setup!$F$33:$F$40))))</f>
        <v/>
      </c>
      <c r="BB46" s="137">
        <f>IF($B46="","",CHOOSE(IFERROR(MATCH($C$4,Setup!$K$33:$K$36,0),1),SUMPRODUCT(COUNTIF('2027'!$C$2591:$Z$2591,Setup!$F$33:$F$40)),SUMPRODUCT(COUNTIF('2028'!$C$2591:$Z$2591,Setup!$F$33:$F$40)),SUMPRODUCT(COUNTIF('2029'!$C$2591:$Z$2591,Setup!$F$33:$F$40)),SUMPRODUCT(COUNTIF('2030'!$C$2591:$Z$2591,Setup!$F$33:$F$40))))</f>
        <v/>
      </c>
      <c r="BC46" s="137">
        <f>IF($B46="","",CHOOSE(IFERROR(MATCH($C$4,Setup!$K$33:$K$36,0),1),SUMPRODUCT(COUNTIF('2027'!$C$2641:$Z$2641,Setup!$F$33:$F$40)),SUMPRODUCT(COUNTIF('2028'!$C$2641:$Z$2641,Setup!$F$33:$F$40)),SUMPRODUCT(COUNTIF('2029'!$C$2641:$Z$2641,Setup!$F$33:$F$40)),SUMPRODUCT(COUNTIF('2030'!$C$2641:$Z$2641,Setup!$F$33:$F$40))))</f>
        <v/>
      </c>
      <c r="BE46" s="129">
        <f>IF($B46="","",SUM(C46:BC46))</f>
        <v/>
      </c>
      <c r="BF46" s="130">
        <f>IF($B46="","",COUNTIF(C46:BC46,"&gt;0"))</f>
        <v/>
      </c>
      <c r="BG46" s="130">
        <f>IF(OR($B46="",N(BE46)=0),"",MATCH(MAX(C46:BC46),C46:BC46,0))</f>
        <v/>
      </c>
    </row>
    <row r="47" ht="15" customHeight="1">
      <c r="B47" s="136">
        <f>IF(Setup!$B$21="","",Setup!$B$21)</f>
        <v/>
      </c>
      <c r="C47" s="137">
        <f>IF($B47="","",CHOOSE(IFERROR(MATCH($C$4,Setup!$K$33:$K$36,0),1),SUMPRODUCT(COUNTIF('2027'!$C$42:$Z$42,Setup!$F$33:$F$40)),SUMPRODUCT(COUNTIF('2028'!$C$42:$Z$42,Setup!$F$33:$F$40)),SUMPRODUCT(COUNTIF('2029'!$C$42:$Z$42,Setup!$F$33:$F$40)),SUMPRODUCT(COUNTIF('2030'!$C$42:$Z$42,Setup!$F$33:$F$40))))</f>
        <v/>
      </c>
      <c r="D47" s="137">
        <f>IF($B47="","",CHOOSE(IFERROR(MATCH($C$4,Setup!$K$33:$K$36,0),1),SUMPRODUCT(COUNTIF('2027'!$C$92:$Z$92,Setup!$F$33:$F$40)),SUMPRODUCT(COUNTIF('2028'!$C$92:$Z$92,Setup!$F$33:$F$40)),SUMPRODUCT(COUNTIF('2029'!$C$92:$Z$92,Setup!$F$33:$F$40)),SUMPRODUCT(COUNTIF('2030'!$C$92:$Z$92,Setup!$F$33:$F$40))))</f>
        <v/>
      </c>
      <c r="E47" s="137">
        <f>IF($B47="","",CHOOSE(IFERROR(MATCH($C$4,Setup!$K$33:$K$36,0),1),SUMPRODUCT(COUNTIF('2027'!$C$142:$Z$142,Setup!$F$33:$F$40)),SUMPRODUCT(COUNTIF('2028'!$C$142:$Z$142,Setup!$F$33:$F$40)),SUMPRODUCT(COUNTIF('2029'!$C$142:$Z$142,Setup!$F$33:$F$40)),SUMPRODUCT(COUNTIF('2030'!$C$142:$Z$142,Setup!$F$33:$F$40))))</f>
        <v/>
      </c>
      <c r="F47" s="137">
        <f>IF($B47="","",CHOOSE(IFERROR(MATCH($C$4,Setup!$K$33:$K$36,0),1),SUMPRODUCT(COUNTIF('2027'!$C$192:$Z$192,Setup!$F$33:$F$40)),SUMPRODUCT(COUNTIF('2028'!$C$192:$Z$192,Setup!$F$33:$F$40)),SUMPRODUCT(COUNTIF('2029'!$C$192:$Z$192,Setup!$F$33:$F$40)),SUMPRODUCT(COUNTIF('2030'!$C$192:$Z$192,Setup!$F$33:$F$40))))</f>
        <v/>
      </c>
      <c r="G47" s="137">
        <f>IF($B47="","",CHOOSE(IFERROR(MATCH($C$4,Setup!$K$33:$K$36,0),1),SUMPRODUCT(COUNTIF('2027'!$C$242:$Z$242,Setup!$F$33:$F$40)),SUMPRODUCT(COUNTIF('2028'!$C$242:$Z$242,Setup!$F$33:$F$40)),SUMPRODUCT(COUNTIF('2029'!$C$242:$Z$242,Setup!$F$33:$F$40)),SUMPRODUCT(COUNTIF('2030'!$C$242:$Z$242,Setup!$F$33:$F$40))))</f>
        <v/>
      </c>
      <c r="H47" s="137">
        <f>IF($B47="","",CHOOSE(IFERROR(MATCH($C$4,Setup!$K$33:$K$36,0),1),SUMPRODUCT(COUNTIF('2027'!$C$292:$Z$292,Setup!$F$33:$F$40)),SUMPRODUCT(COUNTIF('2028'!$C$292:$Z$292,Setup!$F$33:$F$40)),SUMPRODUCT(COUNTIF('2029'!$C$292:$Z$292,Setup!$F$33:$F$40)),SUMPRODUCT(COUNTIF('2030'!$C$292:$Z$292,Setup!$F$33:$F$40))))</f>
        <v/>
      </c>
      <c r="I47" s="137">
        <f>IF($B47="","",CHOOSE(IFERROR(MATCH($C$4,Setup!$K$33:$K$36,0),1),SUMPRODUCT(COUNTIF('2027'!$C$342:$Z$342,Setup!$F$33:$F$40)),SUMPRODUCT(COUNTIF('2028'!$C$342:$Z$342,Setup!$F$33:$F$40)),SUMPRODUCT(COUNTIF('2029'!$C$342:$Z$342,Setup!$F$33:$F$40)),SUMPRODUCT(COUNTIF('2030'!$C$342:$Z$342,Setup!$F$33:$F$40))))</f>
        <v/>
      </c>
      <c r="J47" s="137">
        <f>IF($B47="","",CHOOSE(IFERROR(MATCH($C$4,Setup!$K$33:$K$36,0),1),SUMPRODUCT(COUNTIF('2027'!$C$392:$Z$392,Setup!$F$33:$F$40)),SUMPRODUCT(COUNTIF('2028'!$C$392:$Z$392,Setup!$F$33:$F$40)),SUMPRODUCT(COUNTIF('2029'!$C$392:$Z$392,Setup!$F$33:$F$40)),SUMPRODUCT(COUNTIF('2030'!$C$392:$Z$392,Setup!$F$33:$F$40))))</f>
        <v/>
      </c>
      <c r="K47" s="137">
        <f>IF($B47="","",CHOOSE(IFERROR(MATCH($C$4,Setup!$K$33:$K$36,0),1),SUMPRODUCT(COUNTIF('2027'!$C$442:$Z$442,Setup!$F$33:$F$40)),SUMPRODUCT(COUNTIF('2028'!$C$442:$Z$442,Setup!$F$33:$F$40)),SUMPRODUCT(COUNTIF('2029'!$C$442:$Z$442,Setup!$F$33:$F$40)),SUMPRODUCT(COUNTIF('2030'!$C$442:$Z$442,Setup!$F$33:$F$40))))</f>
        <v/>
      </c>
      <c r="L47" s="137">
        <f>IF($B47="","",CHOOSE(IFERROR(MATCH($C$4,Setup!$K$33:$K$36,0),1),SUMPRODUCT(COUNTIF('2027'!$C$492:$Z$492,Setup!$F$33:$F$40)),SUMPRODUCT(COUNTIF('2028'!$C$492:$Z$492,Setup!$F$33:$F$40)),SUMPRODUCT(COUNTIF('2029'!$C$492:$Z$492,Setup!$F$33:$F$40)),SUMPRODUCT(COUNTIF('2030'!$C$492:$Z$492,Setup!$F$33:$F$40))))</f>
        <v/>
      </c>
      <c r="M47" s="137">
        <f>IF($B47="","",CHOOSE(IFERROR(MATCH($C$4,Setup!$K$33:$K$36,0),1),SUMPRODUCT(COUNTIF('2027'!$C$542:$Z$542,Setup!$F$33:$F$40)),SUMPRODUCT(COUNTIF('2028'!$C$542:$Z$542,Setup!$F$33:$F$40)),SUMPRODUCT(COUNTIF('2029'!$C$542:$Z$542,Setup!$F$33:$F$40)),SUMPRODUCT(COUNTIF('2030'!$C$542:$Z$542,Setup!$F$33:$F$40))))</f>
        <v/>
      </c>
      <c r="N47" s="137">
        <f>IF($B47="","",CHOOSE(IFERROR(MATCH($C$4,Setup!$K$33:$K$36,0),1),SUMPRODUCT(COUNTIF('2027'!$C$592:$Z$592,Setup!$F$33:$F$40)),SUMPRODUCT(COUNTIF('2028'!$C$592:$Z$592,Setup!$F$33:$F$40)),SUMPRODUCT(COUNTIF('2029'!$C$592:$Z$592,Setup!$F$33:$F$40)),SUMPRODUCT(COUNTIF('2030'!$C$592:$Z$592,Setup!$F$33:$F$40))))</f>
        <v/>
      </c>
      <c r="O47" s="137">
        <f>IF($B47="","",CHOOSE(IFERROR(MATCH($C$4,Setup!$K$33:$K$36,0),1),SUMPRODUCT(COUNTIF('2027'!$C$642:$Z$642,Setup!$F$33:$F$40)),SUMPRODUCT(COUNTIF('2028'!$C$642:$Z$642,Setup!$F$33:$F$40)),SUMPRODUCT(COUNTIF('2029'!$C$642:$Z$642,Setup!$F$33:$F$40)),SUMPRODUCT(COUNTIF('2030'!$C$642:$Z$642,Setup!$F$33:$F$40))))</f>
        <v/>
      </c>
      <c r="P47" s="137">
        <f>IF($B47="","",CHOOSE(IFERROR(MATCH($C$4,Setup!$K$33:$K$36,0),1),SUMPRODUCT(COUNTIF('2027'!$C$692:$Z$692,Setup!$F$33:$F$40)),SUMPRODUCT(COUNTIF('2028'!$C$692:$Z$692,Setup!$F$33:$F$40)),SUMPRODUCT(COUNTIF('2029'!$C$692:$Z$692,Setup!$F$33:$F$40)),SUMPRODUCT(COUNTIF('2030'!$C$692:$Z$692,Setup!$F$33:$F$40))))</f>
        <v/>
      </c>
      <c r="Q47" s="137">
        <f>IF($B47="","",CHOOSE(IFERROR(MATCH($C$4,Setup!$K$33:$K$36,0),1),SUMPRODUCT(COUNTIF('2027'!$C$742:$Z$742,Setup!$F$33:$F$40)),SUMPRODUCT(COUNTIF('2028'!$C$742:$Z$742,Setup!$F$33:$F$40)),SUMPRODUCT(COUNTIF('2029'!$C$742:$Z$742,Setup!$F$33:$F$40)),SUMPRODUCT(COUNTIF('2030'!$C$742:$Z$742,Setup!$F$33:$F$40))))</f>
        <v/>
      </c>
      <c r="R47" s="137">
        <f>IF($B47="","",CHOOSE(IFERROR(MATCH($C$4,Setup!$K$33:$K$36,0),1),SUMPRODUCT(COUNTIF('2027'!$C$792:$Z$792,Setup!$F$33:$F$40)),SUMPRODUCT(COUNTIF('2028'!$C$792:$Z$792,Setup!$F$33:$F$40)),SUMPRODUCT(COUNTIF('2029'!$C$792:$Z$792,Setup!$F$33:$F$40)),SUMPRODUCT(COUNTIF('2030'!$C$792:$Z$792,Setup!$F$33:$F$40))))</f>
        <v/>
      </c>
      <c r="S47" s="137">
        <f>IF($B47="","",CHOOSE(IFERROR(MATCH($C$4,Setup!$K$33:$K$36,0),1),SUMPRODUCT(COUNTIF('2027'!$C$842:$Z$842,Setup!$F$33:$F$40)),SUMPRODUCT(COUNTIF('2028'!$C$842:$Z$842,Setup!$F$33:$F$40)),SUMPRODUCT(COUNTIF('2029'!$C$842:$Z$842,Setup!$F$33:$F$40)),SUMPRODUCT(COUNTIF('2030'!$C$842:$Z$842,Setup!$F$33:$F$40))))</f>
        <v/>
      </c>
      <c r="T47" s="137">
        <f>IF($B47="","",CHOOSE(IFERROR(MATCH($C$4,Setup!$K$33:$K$36,0),1),SUMPRODUCT(COUNTIF('2027'!$C$892:$Z$892,Setup!$F$33:$F$40)),SUMPRODUCT(COUNTIF('2028'!$C$892:$Z$892,Setup!$F$33:$F$40)),SUMPRODUCT(COUNTIF('2029'!$C$892:$Z$892,Setup!$F$33:$F$40)),SUMPRODUCT(COUNTIF('2030'!$C$892:$Z$892,Setup!$F$33:$F$40))))</f>
        <v/>
      </c>
      <c r="U47" s="137">
        <f>IF($B47="","",CHOOSE(IFERROR(MATCH($C$4,Setup!$K$33:$K$36,0),1),SUMPRODUCT(COUNTIF('2027'!$C$942:$Z$942,Setup!$F$33:$F$40)),SUMPRODUCT(COUNTIF('2028'!$C$942:$Z$942,Setup!$F$33:$F$40)),SUMPRODUCT(COUNTIF('2029'!$C$942:$Z$942,Setup!$F$33:$F$40)),SUMPRODUCT(COUNTIF('2030'!$C$942:$Z$942,Setup!$F$33:$F$40))))</f>
        <v/>
      </c>
      <c r="V47" s="137">
        <f>IF($B47="","",CHOOSE(IFERROR(MATCH($C$4,Setup!$K$33:$K$36,0),1),SUMPRODUCT(COUNTIF('2027'!$C$992:$Z$992,Setup!$F$33:$F$40)),SUMPRODUCT(COUNTIF('2028'!$C$992:$Z$992,Setup!$F$33:$F$40)),SUMPRODUCT(COUNTIF('2029'!$C$992:$Z$992,Setup!$F$33:$F$40)),SUMPRODUCT(COUNTIF('2030'!$C$992:$Z$992,Setup!$F$33:$F$40))))</f>
        <v/>
      </c>
      <c r="W47" s="137">
        <f>IF($B47="","",CHOOSE(IFERROR(MATCH($C$4,Setup!$K$33:$K$36,0),1),SUMPRODUCT(COUNTIF('2027'!$C$1042:$Z$1042,Setup!$F$33:$F$40)),SUMPRODUCT(COUNTIF('2028'!$C$1042:$Z$1042,Setup!$F$33:$F$40)),SUMPRODUCT(COUNTIF('2029'!$C$1042:$Z$1042,Setup!$F$33:$F$40)),SUMPRODUCT(COUNTIF('2030'!$C$1042:$Z$1042,Setup!$F$33:$F$40))))</f>
        <v/>
      </c>
      <c r="X47" s="137">
        <f>IF($B47="","",CHOOSE(IFERROR(MATCH($C$4,Setup!$K$33:$K$36,0),1),SUMPRODUCT(COUNTIF('2027'!$C$1092:$Z$1092,Setup!$F$33:$F$40)),SUMPRODUCT(COUNTIF('2028'!$C$1092:$Z$1092,Setup!$F$33:$F$40)),SUMPRODUCT(COUNTIF('2029'!$C$1092:$Z$1092,Setup!$F$33:$F$40)),SUMPRODUCT(COUNTIF('2030'!$C$1092:$Z$1092,Setup!$F$33:$F$40))))</f>
        <v/>
      </c>
      <c r="Y47" s="137">
        <f>IF($B47="","",CHOOSE(IFERROR(MATCH($C$4,Setup!$K$33:$K$36,0),1),SUMPRODUCT(COUNTIF('2027'!$C$1142:$Z$1142,Setup!$F$33:$F$40)),SUMPRODUCT(COUNTIF('2028'!$C$1142:$Z$1142,Setup!$F$33:$F$40)),SUMPRODUCT(COUNTIF('2029'!$C$1142:$Z$1142,Setup!$F$33:$F$40)),SUMPRODUCT(COUNTIF('2030'!$C$1142:$Z$1142,Setup!$F$33:$F$40))))</f>
        <v/>
      </c>
      <c r="Z47" s="137">
        <f>IF($B47="","",CHOOSE(IFERROR(MATCH($C$4,Setup!$K$33:$K$36,0),1),SUMPRODUCT(COUNTIF('2027'!$C$1192:$Z$1192,Setup!$F$33:$F$40)),SUMPRODUCT(COUNTIF('2028'!$C$1192:$Z$1192,Setup!$F$33:$F$40)),SUMPRODUCT(COUNTIF('2029'!$C$1192:$Z$1192,Setup!$F$33:$F$40)),SUMPRODUCT(COUNTIF('2030'!$C$1192:$Z$1192,Setup!$F$33:$F$40))))</f>
        <v/>
      </c>
      <c r="AA47" s="137">
        <f>IF($B47="","",CHOOSE(IFERROR(MATCH($C$4,Setup!$K$33:$K$36,0),1),SUMPRODUCT(COUNTIF('2027'!$C$1242:$Z$1242,Setup!$F$33:$F$40)),SUMPRODUCT(COUNTIF('2028'!$C$1242:$Z$1242,Setup!$F$33:$F$40)),SUMPRODUCT(COUNTIF('2029'!$C$1242:$Z$1242,Setup!$F$33:$F$40)),SUMPRODUCT(COUNTIF('2030'!$C$1242:$Z$1242,Setup!$F$33:$F$40))))</f>
        <v/>
      </c>
      <c r="AB47" s="137">
        <f>IF($B47="","",CHOOSE(IFERROR(MATCH($C$4,Setup!$K$33:$K$36,0),1),SUMPRODUCT(COUNTIF('2027'!$C$1292:$Z$1292,Setup!$F$33:$F$40)),SUMPRODUCT(COUNTIF('2028'!$C$1292:$Z$1292,Setup!$F$33:$F$40)),SUMPRODUCT(COUNTIF('2029'!$C$1292:$Z$1292,Setup!$F$33:$F$40)),SUMPRODUCT(COUNTIF('2030'!$C$1292:$Z$1292,Setup!$F$33:$F$40))))</f>
        <v/>
      </c>
      <c r="AC47" s="137">
        <f>IF($B47="","",CHOOSE(IFERROR(MATCH($C$4,Setup!$K$33:$K$36,0),1),SUMPRODUCT(COUNTIF('2027'!$C$1342:$Z$1342,Setup!$F$33:$F$40)),SUMPRODUCT(COUNTIF('2028'!$C$1342:$Z$1342,Setup!$F$33:$F$40)),SUMPRODUCT(COUNTIF('2029'!$C$1342:$Z$1342,Setup!$F$33:$F$40)),SUMPRODUCT(COUNTIF('2030'!$C$1342:$Z$1342,Setup!$F$33:$F$40))))</f>
        <v/>
      </c>
      <c r="AD47" s="137">
        <f>IF($B47="","",CHOOSE(IFERROR(MATCH($C$4,Setup!$K$33:$K$36,0),1),SUMPRODUCT(COUNTIF('2027'!$C$1392:$Z$1392,Setup!$F$33:$F$40)),SUMPRODUCT(COUNTIF('2028'!$C$1392:$Z$1392,Setup!$F$33:$F$40)),SUMPRODUCT(COUNTIF('2029'!$C$1392:$Z$1392,Setup!$F$33:$F$40)),SUMPRODUCT(COUNTIF('2030'!$C$1392:$Z$1392,Setup!$F$33:$F$40))))</f>
        <v/>
      </c>
      <c r="AE47" s="137">
        <f>IF($B47="","",CHOOSE(IFERROR(MATCH($C$4,Setup!$K$33:$K$36,0),1),SUMPRODUCT(COUNTIF('2027'!$C$1442:$Z$1442,Setup!$F$33:$F$40)),SUMPRODUCT(COUNTIF('2028'!$C$1442:$Z$1442,Setup!$F$33:$F$40)),SUMPRODUCT(COUNTIF('2029'!$C$1442:$Z$1442,Setup!$F$33:$F$40)),SUMPRODUCT(COUNTIF('2030'!$C$1442:$Z$1442,Setup!$F$33:$F$40))))</f>
        <v/>
      </c>
      <c r="AF47" s="137">
        <f>IF($B47="","",CHOOSE(IFERROR(MATCH($C$4,Setup!$K$33:$K$36,0),1),SUMPRODUCT(COUNTIF('2027'!$C$1492:$Z$1492,Setup!$F$33:$F$40)),SUMPRODUCT(COUNTIF('2028'!$C$1492:$Z$1492,Setup!$F$33:$F$40)),SUMPRODUCT(COUNTIF('2029'!$C$1492:$Z$1492,Setup!$F$33:$F$40)),SUMPRODUCT(COUNTIF('2030'!$C$1492:$Z$1492,Setup!$F$33:$F$40))))</f>
        <v/>
      </c>
      <c r="AG47" s="137">
        <f>IF($B47="","",CHOOSE(IFERROR(MATCH($C$4,Setup!$K$33:$K$36,0),1),SUMPRODUCT(COUNTIF('2027'!$C$1542:$Z$1542,Setup!$F$33:$F$40)),SUMPRODUCT(COUNTIF('2028'!$C$1542:$Z$1542,Setup!$F$33:$F$40)),SUMPRODUCT(COUNTIF('2029'!$C$1542:$Z$1542,Setup!$F$33:$F$40)),SUMPRODUCT(COUNTIF('2030'!$C$1542:$Z$1542,Setup!$F$33:$F$40))))</f>
        <v/>
      </c>
      <c r="AH47" s="137">
        <f>IF($B47="","",CHOOSE(IFERROR(MATCH($C$4,Setup!$K$33:$K$36,0),1),SUMPRODUCT(COUNTIF('2027'!$C$1592:$Z$1592,Setup!$F$33:$F$40)),SUMPRODUCT(COUNTIF('2028'!$C$1592:$Z$1592,Setup!$F$33:$F$40)),SUMPRODUCT(COUNTIF('2029'!$C$1592:$Z$1592,Setup!$F$33:$F$40)),SUMPRODUCT(COUNTIF('2030'!$C$1592:$Z$1592,Setup!$F$33:$F$40))))</f>
        <v/>
      </c>
      <c r="AI47" s="137">
        <f>IF($B47="","",CHOOSE(IFERROR(MATCH($C$4,Setup!$K$33:$K$36,0),1),SUMPRODUCT(COUNTIF('2027'!$C$1642:$Z$1642,Setup!$F$33:$F$40)),SUMPRODUCT(COUNTIF('2028'!$C$1642:$Z$1642,Setup!$F$33:$F$40)),SUMPRODUCT(COUNTIF('2029'!$C$1642:$Z$1642,Setup!$F$33:$F$40)),SUMPRODUCT(COUNTIF('2030'!$C$1642:$Z$1642,Setup!$F$33:$F$40))))</f>
        <v/>
      </c>
      <c r="AJ47" s="137">
        <f>IF($B47="","",CHOOSE(IFERROR(MATCH($C$4,Setup!$K$33:$K$36,0),1),SUMPRODUCT(COUNTIF('2027'!$C$1692:$Z$1692,Setup!$F$33:$F$40)),SUMPRODUCT(COUNTIF('2028'!$C$1692:$Z$1692,Setup!$F$33:$F$40)),SUMPRODUCT(COUNTIF('2029'!$C$1692:$Z$1692,Setup!$F$33:$F$40)),SUMPRODUCT(COUNTIF('2030'!$C$1692:$Z$1692,Setup!$F$33:$F$40))))</f>
        <v/>
      </c>
      <c r="AK47" s="137">
        <f>IF($B47="","",CHOOSE(IFERROR(MATCH($C$4,Setup!$K$33:$K$36,0),1),SUMPRODUCT(COUNTIF('2027'!$C$1742:$Z$1742,Setup!$F$33:$F$40)),SUMPRODUCT(COUNTIF('2028'!$C$1742:$Z$1742,Setup!$F$33:$F$40)),SUMPRODUCT(COUNTIF('2029'!$C$1742:$Z$1742,Setup!$F$33:$F$40)),SUMPRODUCT(COUNTIF('2030'!$C$1742:$Z$1742,Setup!$F$33:$F$40))))</f>
        <v/>
      </c>
      <c r="AL47" s="137">
        <f>IF($B47="","",CHOOSE(IFERROR(MATCH($C$4,Setup!$K$33:$K$36,0),1),SUMPRODUCT(COUNTIF('2027'!$C$1792:$Z$1792,Setup!$F$33:$F$40)),SUMPRODUCT(COUNTIF('2028'!$C$1792:$Z$1792,Setup!$F$33:$F$40)),SUMPRODUCT(COUNTIF('2029'!$C$1792:$Z$1792,Setup!$F$33:$F$40)),SUMPRODUCT(COUNTIF('2030'!$C$1792:$Z$1792,Setup!$F$33:$F$40))))</f>
        <v/>
      </c>
      <c r="AM47" s="137">
        <f>IF($B47="","",CHOOSE(IFERROR(MATCH($C$4,Setup!$K$33:$K$36,0),1),SUMPRODUCT(COUNTIF('2027'!$C$1842:$Z$1842,Setup!$F$33:$F$40)),SUMPRODUCT(COUNTIF('2028'!$C$1842:$Z$1842,Setup!$F$33:$F$40)),SUMPRODUCT(COUNTIF('2029'!$C$1842:$Z$1842,Setup!$F$33:$F$40)),SUMPRODUCT(COUNTIF('2030'!$C$1842:$Z$1842,Setup!$F$33:$F$40))))</f>
        <v/>
      </c>
      <c r="AN47" s="137">
        <f>IF($B47="","",CHOOSE(IFERROR(MATCH($C$4,Setup!$K$33:$K$36,0),1),SUMPRODUCT(COUNTIF('2027'!$C$1892:$Z$1892,Setup!$F$33:$F$40)),SUMPRODUCT(COUNTIF('2028'!$C$1892:$Z$1892,Setup!$F$33:$F$40)),SUMPRODUCT(COUNTIF('2029'!$C$1892:$Z$1892,Setup!$F$33:$F$40)),SUMPRODUCT(COUNTIF('2030'!$C$1892:$Z$1892,Setup!$F$33:$F$40))))</f>
        <v/>
      </c>
      <c r="AO47" s="137">
        <f>IF($B47="","",CHOOSE(IFERROR(MATCH($C$4,Setup!$K$33:$K$36,0),1),SUMPRODUCT(COUNTIF('2027'!$C$1942:$Z$1942,Setup!$F$33:$F$40)),SUMPRODUCT(COUNTIF('2028'!$C$1942:$Z$1942,Setup!$F$33:$F$40)),SUMPRODUCT(COUNTIF('2029'!$C$1942:$Z$1942,Setup!$F$33:$F$40)),SUMPRODUCT(COUNTIF('2030'!$C$1942:$Z$1942,Setup!$F$33:$F$40))))</f>
        <v/>
      </c>
      <c r="AP47" s="137">
        <f>IF($B47="","",CHOOSE(IFERROR(MATCH($C$4,Setup!$K$33:$K$36,0),1),SUMPRODUCT(COUNTIF('2027'!$C$1992:$Z$1992,Setup!$F$33:$F$40)),SUMPRODUCT(COUNTIF('2028'!$C$1992:$Z$1992,Setup!$F$33:$F$40)),SUMPRODUCT(COUNTIF('2029'!$C$1992:$Z$1992,Setup!$F$33:$F$40)),SUMPRODUCT(COUNTIF('2030'!$C$1992:$Z$1992,Setup!$F$33:$F$40))))</f>
        <v/>
      </c>
      <c r="AQ47" s="137">
        <f>IF($B47="","",CHOOSE(IFERROR(MATCH($C$4,Setup!$K$33:$K$36,0),1),SUMPRODUCT(COUNTIF('2027'!$C$2042:$Z$2042,Setup!$F$33:$F$40)),SUMPRODUCT(COUNTIF('2028'!$C$2042:$Z$2042,Setup!$F$33:$F$40)),SUMPRODUCT(COUNTIF('2029'!$C$2042:$Z$2042,Setup!$F$33:$F$40)),SUMPRODUCT(COUNTIF('2030'!$C$2042:$Z$2042,Setup!$F$33:$F$40))))</f>
        <v/>
      </c>
      <c r="AR47" s="137">
        <f>IF($B47="","",CHOOSE(IFERROR(MATCH($C$4,Setup!$K$33:$K$36,0),1),SUMPRODUCT(COUNTIF('2027'!$C$2092:$Z$2092,Setup!$F$33:$F$40)),SUMPRODUCT(COUNTIF('2028'!$C$2092:$Z$2092,Setup!$F$33:$F$40)),SUMPRODUCT(COUNTIF('2029'!$C$2092:$Z$2092,Setup!$F$33:$F$40)),SUMPRODUCT(COUNTIF('2030'!$C$2092:$Z$2092,Setup!$F$33:$F$40))))</f>
        <v/>
      </c>
      <c r="AS47" s="137">
        <f>IF($B47="","",CHOOSE(IFERROR(MATCH($C$4,Setup!$K$33:$K$36,0),1),SUMPRODUCT(COUNTIF('2027'!$C$2142:$Z$2142,Setup!$F$33:$F$40)),SUMPRODUCT(COUNTIF('2028'!$C$2142:$Z$2142,Setup!$F$33:$F$40)),SUMPRODUCT(COUNTIF('2029'!$C$2142:$Z$2142,Setup!$F$33:$F$40)),SUMPRODUCT(COUNTIF('2030'!$C$2142:$Z$2142,Setup!$F$33:$F$40))))</f>
        <v/>
      </c>
      <c r="AT47" s="137">
        <f>IF($B47="","",CHOOSE(IFERROR(MATCH($C$4,Setup!$K$33:$K$36,0),1),SUMPRODUCT(COUNTIF('2027'!$C$2192:$Z$2192,Setup!$F$33:$F$40)),SUMPRODUCT(COUNTIF('2028'!$C$2192:$Z$2192,Setup!$F$33:$F$40)),SUMPRODUCT(COUNTIF('2029'!$C$2192:$Z$2192,Setup!$F$33:$F$40)),SUMPRODUCT(COUNTIF('2030'!$C$2192:$Z$2192,Setup!$F$33:$F$40))))</f>
        <v/>
      </c>
      <c r="AU47" s="137">
        <f>IF($B47="","",CHOOSE(IFERROR(MATCH($C$4,Setup!$K$33:$K$36,0),1),SUMPRODUCT(COUNTIF('2027'!$C$2242:$Z$2242,Setup!$F$33:$F$40)),SUMPRODUCT(COUNTIF('2028'!$C$2242:$Z$2242,Setup!$F$33:$F$40)),SUMPRODUCT(COUNTIF('2029'!$C$2242:$Z$2242,Setup!$F$33:$F$40)),SUMPRODUCT(COUNTIF('2030'!$C$2242:$Z$2242,Setup!$F$33:$F$40))))</f>
        <v/>
      </c>
      <c r="AV47" s="137">
        <f>IF($B47="","",CHOOSE(IFERROR(MATCH($C$4,Setup!$K$33:$K$36,0),1),SUMPRODUCT(COUNTIF('2027'!$C$2292:$Z$2292,Setup!$F$33:$F$40)),SUMPRODUCT(COUNTIF('2028'!$C$2292:$Z$2292,Setup!$F$33:$F$40)),SUMPRODUCT(COUNTIF('2029'!$C$2292:$Z$2292,Setup!$F$33:$F$40)),SUMPRODUCT(COUNTIF('2030'!$C$2292:$Z$2292,Setup!$F$33:$F$40))))</f>
        <v/>
      </c>
      <c r="AW47" s="137">
        <f>IF($B47="","",CHOOSE(IFERROR(MATCH($C$4,Setup!$K$33:$K$36,0),1),SUMPRODUCT(COUNTIF('2027'!$C$2342:$Z$2342,Setup!$F$33:$F$40)),SUMPRODUCT(COUNTIF('2028'!$C$2342:$Z$2342,Setup!$F$33:$F$40)),SUMPRODUCT(COUNTIF('2029'!$C$2342:$Z$2342,Setup!$F$33:$F$40)),SUMPRODUCT(COUNTIF('2030'!$C$2342:$Z$2342,Setup!$F$33:$F$40))))</f>
        <v/>
      </c>
      <c r="AX47" s="137">
        <f>IF($B47="","",CHOOSE(IFERROR(MATCH($C$4,Setup!$K$33:$K$36,0),1),SUMPRODUCT(COUNTIF('2027'!$C$2392:$Z$2392,Setup!$F$33:$F$40)),SUMPRODUCT(COUNTIF('2028'!$C$2392:$Z$2392,Setup!$F$33:$F$40)),SUMPRODUCT(COUNTIF('2029'!$C$2392:$Z$2392,Setup!$F$33:$F$40)),SUMPRODUCT(COUNTIF('2030'!$C$2392:$Z$2392,Setup!$F$33:$F$40))))</f>
        <v/>
      </c>
      <c r="AY47" s="137">
        <f>IF($B47="","",CHOOSE(IFERROR(MATCH($C$4,Setup!$K$33:$K$36,0),1),SUMPRODUCT(COUNTIF('2027'!$C$2442:$Z$2442,Setup!$F$33:$F$40)),SUMPRODUCT(COUNTIF('2028'!$C$2442:$Z$2442,Setup!$F$33:$F$40)),SUMPRODUCT(COUNTIF('2029'!$C$2442:$Z$2442,Setup!$F$33:$F$40)),SUMPRODUCT(COUNTIF('2030'!$C$2442:$Z$2442,Setup!$F$33:$F$40))))</f>
        <v/>
      </c>
      <c r="AZ47" s="137">
        <f>IF($B47="","",CHOOSE(IFERROR(MATCH($C$4,Setup!$K$33:$K$36,0),1),SUMPRODUCT(COUNTIF('2027'!$C$2492:$Z$2492,Setup!$F$33:$F$40)),SUMPRODUCT(COUNTIF('2028'!$C$2492:$Z$2492,Setup!$F$33:$F$40)),SUMPRODUCT(COUNTIF('2029'!$C$2492:$Z$2492,Setup!$F$33:$F$40)),SUMPRODUCT(COUNTIF('2030'!$C$2492:$Z$2492,Setup!$F$33:$F$40))))</f>
        <v/>
      </c>
      <c r="BA47" s="137">
        <f>IF($B47="","",CHOOSE(IFERROR(MATCH($C$4,Setup!$K$33:$K$36,0),1),SUMPRODUCT(COUNTIF('2027'!$C$2542:$Z$2542,Setup!$F$33:$F$40)),SUMPRODUCT(COUNTIF('2028'!$C$2542:$Z$2542,Setup!$F$33:$F$40)),SUMPRODUCT(COUNTIF('2029'!$C$2542:$Z$2542,Setup!$F$33:$F$40)),SUMPRODUCT(COUNTIF('2030'!$C$2542:$Z$2542,Setup!$F$33:$F$40))))</f>
        <v/>
      </c>
      <c r="BB47" s="137">
        <f>IF($B47="","",CHOOSE(IFERROR(MATCH($C$4,Setup!$K$33:$K$36,0),1),SUMPRODUCT(COUNTIF('2027'!$C$2592:$Z$2592,Setup!$F$33:$F$40)),SUMPRODUCT(COUNTIF('2028'!$C$2592:$Z$2592,Setup!$F$33:$F$40)),SUMPRODUCT(COUNTIF('2029'!$C$2592:$Z$2592,Setup!$F$33:$F$40)),SUMPRODUCT(COUNTIF('2030'!$C$2592:$Z$2592,Setup!$F$33:$F$40))))</f>
        <v/>
      </c>
      <c r="BC47" s="137">
        <f>IF($B47="","",CHOOSE(IFERROR(MATCH($C$4,Setup!$K$33:$K$36,0),1),SUMPRODUCT(COUNTIF('2027'!$C$2642:$Z$2642,Setup!$F$33:$F$40)),SUMPRODUCT(COUNTIF('2028'!$C$2642:$Z$2642,Setup!$F$33:$F$40)),SUMPRODUCT(COUNTIF('2029'!$C$2642:$Z$2642,Setup!$F$33:$F$40)),SUMPRODUCT(COUNTIF('2030'!$C$2642:$Z$2642,Setup!$F$33:$F$40))))</f>
        <v/>
      </c>
      <c r="BE47" s="129">
        <f>IF($B47="","",SUM(C47:BC47))</f>
        <v/>
      </c>
      <c r="BF47" s="130">
        <f>IF($B47="","",COUNTIF(C47:BC47,"&gt;0"))</f>
        <v/>
      </c>
      <c r="BG47" s="130">
        <f>IF(OR($B47="",N(BE47)=0),"",MATCH(MAX(C47:BC47),C47:BC47,0))</f>
        <v/>
      </c>
    </row>
    <row r="48" ht="15" customHeight="1">
      <c r="B48" s="136">
        <f>IF(Setup!$B$22="","",Setup!$B$22)</f>
        <v/>
      </c>
      <c r="C48" s="137">
        <f>IF($B48="","",CHOOSE(IFERROR(MATCH($C$4,Setup!$K$33:$K$36,0),1),SUMPRODUCT(COUNTIF('2027'!$C$43:$Z$43,Setup!$F$33:$F$40)),SUMPRODUCT(COUNTIF('2028'!$C$43:$Z$43,Setup!$F$33:$F$40)),SUMPRODUCT(COUNTIF('2029'!$C$43:$Z$43,Setup!$F$33:$F$40)),SUMPRODUCT(COUNTIF('2030'!$C$43:$Z$43,Setup!$F$33:$F$40))))</f>
        <v/>
      </c>
      <c r="D48" s="137">
        <f>IF($B48="","",CHOOSE(IFERROR(MATCH($C$4,Setup!$K$33:$K$36,0),1),SUMPRODUCT(COUNTIF('2027'!$C$93:$Z$93,Setup!$F$33:$F$40)),SUMPRODUCT(COUNTIF('2028'!$C$93:$Z$93,Setup!$F$33:$F$40)),SUMPRODUCT(COUNTIF('2029'!$C$93:$Z$93,Setup!$F$33:$F$40)),SUMPRODUCT(COUNTIF('2030'!$C$93:$Z$93,Setup!$F$33:$F$40))))</f>
        <v/>
      </c>
      <c r="E48" s="137">
        <f>IF($B48="","",CHOOSE(IFERROR(MATCH($C$4,Setup!$K$33:$K$36,0),1),SUMPRODUCT(COUNTIF('2027'!$C$143:$Z$143,Setup!$F$33:$F$40)),SUMPRODUCT(COUNTIF('2028'!$C$143:$Z$143,Setup!$F$33:$F$40)),SUMPRODUCT(COUNTIF('2029'!$C$143:$Z$143,Setup!$F$33:$F$40)),SUMPRODUCT(COUNTIF('2030'!$C$143:$Z$143,Setup!$F$33:$F$40))))</f>
        <v/>
      </c>
      <c r="F48" s="137">
        <f>IF($B48="","",CHOOSE(IFERROR(MATCH($C$4,Setup!$K$33:$K$36,0),1),SUMPRODUCT(COUNTIF('2027'!$C$193:$Z$193,Setup!$F$33:$F$40)),SUMPRODUCT(COUNTIF('2028'!$C$193:$Z$193,Setup!$F$33:$F$40)),SUMPRODUCT(COUNTIF('2029'!$C$193:$Z$193,Setup!$F$33:$F$40)),SUMPRODUCT(COUNTIF('2030'!$C$193:$Z$193,Setup!$F$33:$F$40))))</f>
        <v/>
      </c>
      <c r="G48" s="137">
        <f>IF($B48="","",CHOOSE(IFERROR(MATCH($C$4,Setup!$K$33:$K$36,0),1),SUMPRODUCT(COUNTIF('2027'!$C$243:$Z$243,Setup!$F$33:$F$40)),SUMPRODUCT(COUNTIF('2028'!$C$243:$Z$243,Setup!$F$33:$F$40)),SUMPRODUCT(COUNTIF('2029'!$C$243:$Z$243,Setup!$F$33:$F$40)),SUMPRODUCT(COUNTIF('2030'!$C$243:$Z$243,Setup!$F$33:$F$40))))</f>
        <v/>
      </c>
      <c r="H48" s="137">
        <f>IF($B48="","",CHOOSE(IFERROR(MATCH($C$4,Setup!$K$33:$K$36,0),1),SUMPRODUCT(COUNTIF('2027'!$C$293:$Z$293,Setup!$F$33:$F$40)),SUMPRODUCT(COUNTIF('2028'!$C$293:$Z$293,Setup!$F$33:$F$40)),SUMPRODUCT(COUNTIF('2029'!$C$293:$Z$293,Setup!$F$33:$F$40)),SUMPRODUCT(COUNTIF('2030'!$C$293:$Z$293,Setup!$F$33:$F$40))))</f>
        <v/>
      </c>
      <c r="I48" s="137">
        <f>IF($B48="","",CHOOSE(IFERROR(MATCH($C$4,Setup!$K$33:$K$36,0),1),SUMPRODUCT(COUNTIF('2027'!$C$343:$Z$343,Setup!$F$33:$F$40)),SUMPRODUCT(COUNTIF('2028'!$C$343:$Z$343,Setup!$F$33:$F$40)),SUMPRODUCT(COUNTIF('2029'!$C$343:$Z$343,Setup!$F$33:$F$40)),SUMPRODUCT(COUNTIF('2030'!$C$343:$Z$343,Setup!$F$33:$F$40))))</f>
        <v/>
      </c>
      <c r="J48" s="137">
        <f>IF($B48="","",CHOOSE(IFERROR(MATCH($C$4,Setup!$K$33:$K$36,0),1),SUMPRODUCT(COUNTIF('2027'!$C$393:$Z$393,Setup!$F$33:$F$40)),SUMPRODUCT(COUNTIF('2028'!$C$393:$Z$393,Setup!$F$33:$F$40)),SUMPRODUCT(COUNTIF('2029'!$C$393:$Z$393,Setup!$F$33:$F$40)),SUMPRODUCT(COUNTIF('2030'!$C$393:$Z$393,Setup!$F$33:$F$40))))</f>
        <v/>
      </c>
      <c r="K48" s="137">
        <f>IF($B48="","",CHOOSE(IFERROR(MATCH($C$4,Setup!$K$33:$K$36,0),1),SUMPRODUCT(COUNTIF('2027'!$C$443:$Z$443,Setup!$F$33:$F$40)),SUMPRODUCT(COUNTIF('2028'!$C$443:$Z$443,Setup!$F$33:$F$40)),SUMPRODUCT(COUNTIF('2029'!$C$443:$Z$443,Setup!$F$33:$F$40)),SUMPRODUCT(COUNTIF('2030'!$C$443:$Z$443,Setup!$F$33:$F$40))))</f>
        <v/>
      </c>
      <c r="L48" s="137">
        <f>IF($B48="","",CHOOSE(IFERROR(MATCH($C$4,Setup!$K$33:$K$36,0),1),SUMPRODUCT(COUNTIF('2027'!$C$493:$Z$493,Setup!$F$33:$F$40)),SUMPRODUCT(COUNTIF('2028'!$C$493:$Z$493,Setup!$F$33:$F$40)),SUMPRODUCT(COUNTIF('2029'!$C$493:$Z$493,Setup!$F$33:$F$40)),SUMPRODUCT(COUNTIF('2030'!$C$493:$Z$493,Setup!$F$33:$F$40))))</f>
        <v/>
      </c>
      <c r="M48" s="137">
        <f>IF($B48="","",CHOOSE(IFERROR(MATCH($C$4,Setup!$K$33:$K$36,0),1),SUMPRODUCT(COUNTIF('2027'!$C$543:$Z$543,Setup!$F$33:$F$40)),SUMPRODUCT(COUNTIF('2028'!$C$543:$Z$543,Setup!$F$33:$F$40)),SUMPRODUCT(COUNTIF('2029'!$C$543:$Z$543,Setup!$F$33:$F$40)),SUMPRODUCT(COUNTIF('2030'!$C$543:$Z$543,Setup!$F$33:$F$40))))</f>
        <v/>
      </c>
      <c r="N48" s="137">
        <f>IF($B48="","",CHOOSE(IFERROR(MATCH($C$4,Setup!$K$33:$K$36,0),1),SUMPRODUCT(COUNTIF('2027'!$C$593:$Z$593,Setup!$F$33:$F$40)),SUMPRODUCT(COUNTIF('2028'!$C$593:$Z$593,Setup!$F$33:$F$40)),SUMPRODUCT(COUNTIF('2029'!$C$593:$Z$593,Setup!$F$33:$F$40)),SUMPRODUCT(COUNTIF('2030'!$C$593:$Z$593,Setup!$F$33:$F$40))))</f>
        <v/>
      </c>
      <c r="O48" s="137">
        <f>IF($B48="","",CHOOSE(IFERROR(MATCH($C$4,Setup!$K$33:$K$36,0),1),SUMPRODUCT(COUNTIF('2027'!$C$643:$Z$643,Setup!$F$33:$F$40)),SUMPRODUCT(COUNTIF('2028'!$C$643:$Z$643,Setup!$F$33:$F$40)),SUMPRODUCT(COUNTIF('2029'!$C$643:$Z$643,Setup!$F$33:$F$40)),SUMPRODUCT(COUNTIF('2030'!$C$643:$Z$643,Setup!$F$33:$F$40))))</f>
        <v/>
      </c>
      <c r="P48" s="137">
        <f>IF($B48="","",CHOOSE(IFERROR(MATCH($C$4,Setup!$K$33:$K$36,0),1),SUMPRODUCT(COUNTIF('2027'!$C$693:$Z$693,Setup!$F$33:$F$40)),SUMPRODUCT(COUNTIF('2028'!$C$693:$Z$693,Setup!$F$33:$F$40)),SUMPRODUCT(COUNTIF('2029'!$C$693:$Z$693,Setup!$F$33:$F$40)),SUMPRODUCT(COUNTIF('2030'!$C$693:$Z$693,Setup!$F$33:$F$40))))</f>
        <v/>
      </c>
      <c r="Q48" s="137">
        <f>IF($B48="","",CHOOSE(IFERROR(MATCH($C$4,Setup!$K$33:$K$36,0),1),SUMPRODUCT(COUNTIF('2027'!$C$743:$Z$743,Setup!$F$33:$F$40)),SUMPRODUCT(COUNTIF('2028'!$C$743:$Z$743,Setup!$F$33:$F$40)),SUMPRODUCT(COUNTIF('2029'!$C$743:$Z$743,Setup!$F$33:$F$40)),SUMPRODUCT(COUNTIF('2030'!$C$743:$Z$743,Setup!$F$33:$F$40))))</f>
        <v/>
      </c>
      <c r="R48" s="137">
        <f>IF($B48="","",CHOOSE(IFERROR(MATCH($C$4,Setup!$K$33:$K$36,0),1),SUMPRODUCT(COUNTIF('2027'!$C$793:$Z$793,Setup!$F$33:$F$40)),SUMPRODUCT(COUNTIF('2028'!$C$793:$Z$793,Setup!$F$33:$F$40)),SUMPRODUCT(COUNTIF('2029'!$C$793:$Z$793,Setup!$F$33:$F$40)),SUMPRODUCT(COUNTIF('2030'!$C$793:$Z$793,Setup!$F$33:$F$40))))</f>
        <v/>
      </c>
      <c r="S48" s="137">
        <f>IF($B48="","",CHOOSE(IFERROR(MATCH($C$4,Setup!$K$33:$K$36,0),1),SUMPRODUCT(COUNTIF('2027'!$C$843:$Z$843,Setup!$F$33:$F$40)),SUMPRODUCT(COUNTIF('2028'!$C$843:$Z$843,Setup!$F$33:$F$40)),SUMPRODUCT(COUNTIF('2029'!$C$843:$Z$843,Setup!$F$33:$F$40)),SUMPRODUCT(COUNTIF('2030'!$C$843:$Z$843,Setup!$F$33:$F$40))))</f>
        <v/>
      </c>
      <c r="T48" s="137">
        <f>IF($B48="","",CHOOSE(IFERROR(MATCH($C$4,Setup!$K$33:$K$36,0),1),SUMPRODUCT(COUNTIF('2027'!$C$893:$Z$893,Setup!$F$33:$F$40)),SUMPRODUCT(COUNTIF('2028'!$C$893:$Z$893,Setup!$F$33:$F$40)),SUMPRODUCT(COUNTIF('2029'!$C$893:$Z$893,Setup!$F$33:$F$40)),SUMPRODUCT(COUNTIF('2030'!$C$893:$Z$893,Setup!$F$33:$F$40))))</f>
        <v/>
      </c>
      <c r="U48" s="137">
        <f>IF($B48="","",CHOOSE(IFERROR(MATCH($C$4,Setup!$K$33:$K$36,0),1),SUMPRODUCT(COUNTIF('2027'!$C$943:$Z$943,Setup!$F$33:$F$40)),SUMPRODUCT(COUNTIF('2028'!$C$943:$Z$943,Setup!$F$33:$F$40)),SUMPRODUCT(COUNTIF('2029'!$C$943:$Z$943,Setup!$F$33:$F$40)),SUMPRODUCT(COUNTIF('2030'!$C$943:$Z$943,Setup!$F$33:$F$40))))</f>
        <v/>
      </c>
      <c r="V48" s="137">
        <f>IF($B48="","",CHOOSE(IFERROR(MATCH($C$4,Setup!$K$33:$K$36,0),1),SUMPRODUCT(COUNTIF('2027'!$C$993:$Z$993,Setup!$F$33:$F$40)),SUMPRODUCT(COUNTIF('2028'!$C$993:$Z$993,Setup!$F$33:$F$40)),SUMPRODUCT(COUNTIF('2029'!$C$993:$Z$993,Setup!$F$33:$F$40)),SUMPRODUCT(COUNTIF('2030'!$C$993:$Z$993,Setup!$F$33:$F$40))))</f>
        <v/>
      </c>
      <c r="W48" s="137">
        <f>IF($B48="","",CHOOSE(IFERROR(MATCH($C$4,Setup!$K$33:$K$36,0),1),SUMPRODUCT(COUNTIF('2027'!$C$1043:$Z$1043,Setup!$F$33:$F$40)),SUMPRODUCT(COUNTIF('2028'!$C$1043:$Z$1043,Setup!$F$33:$F$40)),SUMPRODUCT(COUNTIF('2029'!$C$1043:$Z$1043,Setup!$F$33:$F$40)),SUMPRODUCT(COUNTIF('2030'!$C$1043:$Z$1043,Setup!$F$33:$F$40))))</f>
        <v/>
      </c>
      <c r="X48" s="137">
        <f>IF($B48="","",CHOOSE(IFERROR(MATCH($C$4,Setup!$K$33:$K$36,0),1),SUMPRODUCT(COUNTIF('2027'!$C$1093:$Z$1093,Setup!$F$33:$F$40)),SUMPRODUCT(COUNTIF('2028'!$C$1093:$Z$1093,Setup!$F$33:$F$40)),SUMPRODUCT(COUNTIF('2029'!$C$1093:$Z$1093,Setup!$F$33:$F$40)),SUMPRODUCT(COUNTIF('2030'!$C$1093:$Z$1093,Setup!$F$33:$F$40))))</f>
        <v/>
      </c>
      <c r="Y48" s="137">
        <f>IF($B48="","",CHOOSE(IFERROR(MATCH($C$4,Setup!$K$33:$K$36,0),1),SUMPRODUCT(COUNTIF('2027'!$C$1143:$Z$1143,Setup!$F$33:$F$40)),SUMPRODUCT(COUNTIF('2028'!$C$1143:$Z$1143,Setup!$F$33:$F$40)),SUMPRODUCT(COUNTIF('2029'!$C$1143:$Z$1143,Setup!$F$33:$F$40)),SUMPRODUCT(COUNTIF('2030'!$C$1143:$Z$1143,Setup!$F$33:$F$40))))</f>
        <v/>
      </c>
      <c r="Z48" s="137">
        <f>IF($B48="","",CHOOSE(IFERROR(MATCH($C$4,Setup!$K$33:$K$36,0),1),SUMPRODUCT(COUNTIF('2027'!$C$1193:$Z$1193,Setup!$F$33:$F$40)),SUMPRODUCT(COUNTIF('2028'!$C$1193:$Z$1193,Setup!$F$33:$F$40)),SUMPRODUCT(COUNTIF('2029'!$C$1193:$Z$1193,Setup!$F$33:$F$40)),SUMPRODUCT(COUNTIF('2030'!$C$1193:$Z$1193,Setup!$F$33:$F$40))))</f>
        <v/>
      </c>
      <c r="AA48" s="137">
        <f>IF($B48="","",CHOOSE(IFERROR(MATCH($C$4,Setup!$K$33:$K$36,0),1),SUMPRODUCT(COUNTIF('2027'!$C$1243:$Z$1243,Setup!$F$33:$F$40)),SUMPRODUCT(COUNTIF('2028'!$C$1243:$Z$1243,Setup!$F$33:$F$40)),SUMPRODUCT(COUNTIF('2029'!$C$1243:$Z$1243,Setup!$F$33:$F$40)),SUMPRODUCT(COUNTIF('2030'!$C$1243:$Z$1243,Setup!$F$33:$F$40))))</f>
        <v/>
      </c>
      <c r="AB48" s="137">
        <f>IF($B48="","",CHOOSE(IFERROR(MATCH($C$4,Setup!$K$33:$K$36,0),1),SUMPRODUCT(COUNTIF('2027'!$C$1293:$Z$1293,Setup!$F$33:$F$40)),SUMPRODUCT(COUNTIF('2028'!$C$1293:$Z$1293,Setup!$F$33:$F$40)),SUMPRODUCT(COUNTIF('2029'!$C$1293:$Z$1293,Setup!$F$33:$F$40)),SUMPRODUCT(COUNTIF('2030'!$C$1293:$Z$1293,Setup!$F$33:$F$40))))</f>
        <v/>
      </c>
      <c r="AC48" s="137">
        <f>IF($B48="","",CHOOSE(IFERROR(MATCH($C$4,Setup!$K$33:$K$36,0),1),SUMPRODUCT(COUNTIF('2027'!$C$1343:$Z$1343,Setup!$F$33:$F$40)),SUMPRODUCT(COUNTIF('2028'!$C$1343:$Z$1343,Setup!$F$33:$F$40)),SUMPRODUCT(COUNTIF('2029'!$C$1343:$Z$1343,Setup!$F$33:$F$40)),SUMPRODUCT(COUNTIF('2030'!$C$1343:$Z$1343,Setup!$F$33:$F$40))))</f>
        <v/>
      </c>
      <c r="AD48" s="137">
        <f>IF($B48="","",CHOOSE(IFERROR(MATCH($C$4,Setup!$K$33:$K$36,0),1),SUMPRODUCT(COUNTIF('2027'!$C$1393:$Z$1393,Setup!$F$33:$F$40)),SUMPRODUCT(COUNTIF('2028'!$C$1393:$Z$1393,Setup!$F$33:$F$40)),SUMPRODUCT(COUNTIF('2029'!$C$1393:$Z$1393,Setup!$F$33:$F$40)),SUMPRODUCT(COUNTIF('2030'!$C$1393:$Z$1393,Setup!$F$33:$F$40))))</f>
        <v/>
      </c>
      <c r="AE48" s="137">
        <f>IF($B48="","",CHOOSE(IFERROR(MATCH($C$4,Setup!$K$33:$K$36,0),1),SUMPRODUCT(COUNTIF('2027'!$C$1443:$Z$1443,Setup!$F$33:$F$40)),SUMPRODUCT(COUNTIF('2028'!$C$1443:$Z$1443,Setup!$F$33:$F$40)),SUMPRODUCT(COUNTIF('2029'!$C$1443:$Z$1443,Setup!$F$33:$F$40)),SUMPRODUCT(COUNTIF('2030'!$C$1443:$Z$1443,Setup!$F$33:$F$40))))</f>
        <v/>
      </c>
      <c r="AF48" s="137">
        <f>IF($B48="","",CHOOSE(IFERROR(MATCH($C$4,Setup!$K$33:$K$36,0),1),SUMPRODUCT(COUNTIF('2027'!$C$1493:$Z$1493,Setup!$F$33:$F$40)),SUMPRODUCT(COUNTIF('2028'!$C$1493:$Z$1493,Setup!$F$33:$F$40)),SUMPRODUCT(COUNTIF('2029'!$C$1493:$Z$1493,Setup!$F$33:$F$40)),SUMPRODUCT(COUNTIF('2030'!$C$1493:$Z$1493,Setup!$F$33:$F$40))))</f>
        <v/>
      </c>
      <c r="AG48" s="137">
        <f>IF($B48="","",CHOOSE(IFERROR(MATCH($C$4,Setup!$K$33:$K$36,0),1),SUMPRODUCT(COUNTIF('2027'!$C$1543:$Z$1543,Setup!$F$33:$F$40)),SUMPRODUCT(COUNTIF('2028'!$C$1543:$Z$1543,Setup!$F$33:$F$40)),SUMPRODUCT(COUNTIF('2029'!$C$1543:$Z$1543,Setup!$F$33:$F$40)),SUMPRODUCT(COUNTIF('2030'!$C$1543:$Z$1543,Setup!$F$33:$F$40))))</f>
        <v/>
      </c>
      <c r="AH48" s="137">
        <f>IF($B48="","",CHOOSE(IFERROR(MATCH($C$4,Setup!$K$33:$K$36,0),1),SUMPRODUCT(COUNTIF('2027'!$C$1593:$Z$1593,Setup!$F$33:$F$40)),SUMPRODUCT(COUNTIF('2028'!$C$1593:$Z$1593,Setup!$F$33:$F$40)),SUMPRODUCT(COUNTIF('2029'!$C$1593:$Z$1593,Setup!$F$33:$F$40)),SUMPRODUCT(COUNTIF('2030'!$C$1593:$Z$1593,Setup!$F$33:$F$40))))</f>
        <v/>
      </c>
      <c r="AI48" s="137">
        <f>IF($B48="","",CHOOSE(IFERROR(MATCH($C$4,Setup!$K$33:$K$36,0),1),SUMPRODUCT(COUNTIF('2027'!$C$1643:$Z$1643,Setup!$F$33:$F$40)),SUMPRODUCT(COUNTIF('2028'!$C$1643:$Z$1643,Setup!$F$33:$F$40)),SUMPRODUCT(COUNTIF('2029'!$C$1643:$Z$1643,Setup!$F$33:$F$40)),SUMPRODUCT(COUNTIF('2030'!$C$1643:$Z$1643,Setup!$F$33:$F$40))))</f>
        <v/>
      </c>
      <c r="AJ48" s="137">
        <f>IF($B48="","",CHOOSE(IFERROR(MATCH($C$4,Setup!$K$33:$K$36,0),1),SUMPRODUCT(COUNTIF('2027'!$C$1693:$Z$1693,Setup!$F$33:$F$40)),SUMPRODUCT(COUNTIF('2028'!$C$1693:$Z$1693,Setup!$F$33:$F$40)),SUMPRODUCT(COUNTIF('2029'!$C$1693:$Z$1693,Setup!$F$33:$F$40)),SUMPRODUCT(COUNTIF('2030'!$C$1693:$Z$1693,Setup!$F$33:$F$40))))</f>
        <v/>
      </c>
      <c r="AK48" s="137">
        <f>IF($B48="","",CHOOSE(IFERROR(MATCH($C$4,Setup!$K$33:$K$36,0),1),SUMPRODUCT(COUNTIF('2027'!$C$1743:$Z$1743,Setup!$F$33:$F$40)),SUMPRODUCT(COUNTIF('2028'!$C$1743:$Z$1743,Setup!$F$33:$F$40)),SUMPRODUCT(COUNTIF('2029'!$C$1743:$Z$1743,Setup!$F$33:$F$40)),SUMPRODUCT(COUNTIF('2030'!$C$1743:$Z$1743,Setup!$F$33:$F$40))))</f>
        <v/>
      </c>
      <c r="AL48" s="137">
        <f>IF($B48="","",CHOOSE(IFERROR(MATCH($C$4,Setup!$K$33:$K$36,0),1),SUMPRODUCT(COUNTIF('2027'!$C$1793:$Z$1793,Setup!$F$33:$F$40)),SUMPRODUCT(COUNTIF('2028'!$C$1793:$Z$1793,Setup!$F$33:$F$40)),SUMPRODUCT(COUNTIF('2029'!$C$1793:$Z$1793,Setup!$F$33:$F$40)),SUMPRODUCT(COUNTIF('2030'!$C$1793:$Z$1793,Setup!$F$33:$F$40))))</f>
        <v/>
      </c>
      <c r="AM48" s="137">
        <f>IF($B48="","",CHOOSE(IFERROR(MATCH($C$4,Setup!$K$33:$K$36,0),1),SUMPRODUCT(COUNTIF('2027'!$C$1843:$Z$1843,Setup!$F$33:$F$40)),SUMPRODUCT(COUNTIF('2028'!$C$1843:$Z$1843,Setup!$F$33:$F$40)),SUMPRODUCT(COUNTIF('2029'!$C$1843:$Z$1843,Setup!$F$33:$F$40)),SUMPRODUCT(COUNTIF('2030'!$C$1843:$Z$1843,Setup!$F$33:$F$40))))</f>
        <v/>
      </c>
      <c r="AN48" s="137">
        <f>IF($B48="","",CHOOSE(IFERROR(MATCH($C$4,Setup!$K$33:$K$36,0),1),SUMPRODUCT(COUNTIF('2027'!$C$1893:$Z$1893,Setup!$F$33:$F$40)),SUMPRODUCT(COUNTIF('2028'!$C$1893:$Z$1893,Setup!$F$33:$F$40)),SUMPRODUCT(COUNTIF('2029'!$C$1893:$Z$1893,Setup!$F$33:$F$40)),SUMPRODUCT(COUNTIF('2030'!$C$1893:$Z$1893,Setup!$F$33:$F$40))))</f>
        <v/>
      </c>
      <c r="AO48" s="137">
        <f>IF($B48="","",CHOOSE(IFERROR(MATCH($C$4,Setup!$K$33:$K$36,0),1),SUMPRODUCT(COUNTIF('2027'!$C$1943:$Z$1943,Setup!$F$33:$F$40)),SUMPRODUCT(COUNTIF('2028'!$C$1943:$Z$1943,Setup!$F$33:$F$40)),SUMPRODUCT(COUNTIF('2029'!$C$1943:$Z$1943,Setup!$F$33:$F$40)),SUMPRODUCT(COUNTIF('2030'!$C$1943:$Z$1943,Setup!$F$33:$F$40))))</f>
        <v/>
      </c>
      <c r="AP48" s="137">
        <f>IF($B48="","",CHOOSE(IFERROR(MATCH($C$4,Setup!$K$33:$K$36,0),1),SUMPRODUCT(COUNTIF('2027'!$C$1993:$Z$1993,Setup!$F$33:$F$40)),SUMPRODUCT(COUNTIF('2028'!$C$1993:$Z$1993,Setup!$F$33:$F$40)),SUMPRODUCT(COUNTIF('2029'!$C$1993:$Z$1993,Setup!$F$33:$F$40)),SUMPRODUCT(COUNTIF('2030'!$C$1993:$Z$1993,Setup!$F$33:$F$40))))</f>
        <v/>
      </c>
      <c r="AQ48" s="137">
        <f>IF($B48="","",CHOOSE(IFERROR(MATCH($C$4,Setup!$K$33:$K$36,0),1),SUMPRODUCT(COUNTIF('2027'!$C$2043:$Z$2043,Setup!$F$33:$F$40)),SUMPRODUCT(COUNTIF('2028'!$C$2043:$Z$2043,Setup!$F$33:$F$40)),SUMPRODUCT(COUNTIF('2029'!$C$2043:$Z$2043,Setup!$F$33:$F$40)),SUMPRODUCT(COUNTIF('2030'!$C$2043:$Z$2043,Setup!$F$33:$F$40))))</f>
        <v/>
      </c>
      <c r="AR48" s="137">
        <f>IF($B48="","",CHOOSE(IFERROR(MATCH($C$4,Setup!$K$33:$K$36,0),1),SUMPRODUCT(COUNTIF('2027'!$C$2093:$Z$2093,Setup!$F$33:$F$40)),SUMPRODUCT(COUNTIF('2028'!$C$2093:$Z$2093,Setup!$F$33:$F$40)),SUMPRODUCT(COUNTIF('2029'!$C$2093:$Z$2093,Setup!$F$33:$F$40)),SUMPRODUCT(COUNTIF('2030'!$C$2093:$Z$2093,Setup!$F$33:$F$40))))</f>
        <v/>
      </c>
      <c r="AS48" s="137">
        <f>IF($B48="","",CHOOSE(IFERROR(MATCH($C$4,Setup!$K$33:$K$36,0),1),SUMPRODUCT(COUNTIF('2027'!$C$2143:$Z$2143,Setup!$F$33:$F$40)),SUMPRODUCT(COUNTIF('2028'!$C$2143:$Z$2143,Setup!$F$33:$F$40)),SUMPRODUCT(COUNTIF('2029'!$C$2143:$Z$2143,Setup!$F$33:$F$40)),SUMPRODUCT(COUNTIF('2030'!$C$2143:$Z$2143,Setup!$F$33:$F$40))))</f>
        <v/>
      </c>
      <c r="AT48" s="137">
        <f>IF($B48="","",CHOOSE(IFERROR(MATCH($C$4,Setup!$K$33:$K$36,0),1),SUMPRODUCT(COUNTIF('2027'!$C$2193:$Z$2193,Setup!$F$33:$F$40)),SUMPRODUCT(COUNTIF('2028'!$C$2193:$Z$2193,Setup!$F$33:$F$40)),SUMPRODUCT(COUNTIF('2029'!$C$2193:$Z$2193,Setup!$F$33:$F$40)),SUMPRODUCT(COUNTIF('2030'!$C$2193:$Z$2193,Setup!$F$33:$F$40))))</f>
        <v/>
      </c>
      <c r="AU48" s="137">
        <f>IF($B48="","",CHOOSE(IFERROR(MATCH($C$4,Setup!$K$33:$K$36,0),1),SUMPRODUCT(COUNTIF('2027'!$C$2243:$Z$2243,Setup!$F$33:$F$40)),SUMPRODUCT(COUNTIF('2028'!$C$2243:$Z$2243,Setup!$F$33:$F$40)),SUMPRODUCT(COUNTIF('2029'!$C$2243:$Z$2243,Setup!$F$33:$F$40)),SUMPRODUCT(COUNTIF('2030'!$C$2243:$Z$2243,Setup!$F$33:$F$40))))</f>
        <v/>
      </c>
      <c r="AV48" s="137">
        <f>IF($B48="","",CHOOSE(IFERROR(MATCH($C$4,Setup!$K$33:$K$36,0),1),SUMPRODUCT(COUNTIF('2027'!$C$2293:$Z$2293,Setup!$F$33:$F$40)),SUMPRODUCT(COUNTIF('2028'!$C$2293:$Z$2293,Setup!$F$33:$F$40)),SUMPRODUCT(COUNTIF('2029'!$C$2293:$Z$2293,Setup!$F$33:$F$40)),SUMPRODUCT(COUNTIF('2030'!$C$2293:$Z$2293,Setup!$F$33:$F$40))))</f>
        <v/>
      </c>
      <c r="AW48" s="137">
        <f>IF($B48="","",CHOOSE(IFERROR(MATCH($C$4,Setup!$K$33:$K$36,0),1),SUMPRODUCT(COUNTIF('2027'!$C$2343:$Z$2343,Setup!$F$33:$F$40)),SUMPRODUCT(COUNTIF('2028'!$C$2343:$Z$2343,Setup!$F$33:$F$40)),SUMPRODUCT(COUNTIF('2029'!$C$2343:$Z$2343,Setup!$F$33:$F$40)),SUMPRODUCT(COUNTIF('2030'!$C$2343:$Z$2343,Setup!$F$33:$F$40))))</f>
        <v/>
      </c>
      <c r="AX48" s="137">
        <f>IF($B48="","",CHOOSE(IFERROR(MATCH($C$4,Setup!$K$33:$K$36,0),1),SUMPRODUCT(COUNTIF('2027'!$C$2393:$Z$2393,Setup!$F$33:$F$40)),SUMPRODUCT(COUNTIF('2028'!$C$2393:$Z$2393,Setup!$F$33:$F$40)),SUMPRODUCT(COUNTIF('2029'!$C$2393:$Z$2393,Setup!$F$33:$F$40)),SUMPRODUCT(COUNTIF('2030'!$C$2393:$Z$2393,Setup!$F$33:$F$40))))</f>
        <v/>
      </c>
      <c r="AY48" s="137">
        <f>IF($B48="","",CHOOSE(IFERROR(MATCH($C$4,Setup!$K$33:$K$36,0),1),SUMPRODUCT(COUNTIF('2027'!$C$2443:$Z$2443,Setup!$F$33:$F$40)),SUMPRODUCT(COUNTIF('2028'!$C$2443:$Z$2443,Setup!$F$33:$F$40)),SUMPRODUCT(COUNTIF('2029'!$C$2443:$Z$2443,Setup!$F$33:$F$40)),SUMPRODUCT(COUNTIF('2030'!$C$2443:$Z$2443,Setup!$F$33:$F$40))))</f>
        <v/>
      </c>
      <c r="AZ48" s="137">
        <f>IF($B48="","",CHOOSE(IFERROR(MATCH($C$4,Setup!$K$33:$K$36,0),1),SUMPRODUCT(COUNTIF('2027'!$C$2493:$Z$2493,Setup!$F$33:$F$40)),SUMPRODUCT(COUNTIF('2028'!$C$2493:$Z$2493,Setup!$F$33:$F$40)),SUMPRODUCT(COUNTIF('2029'!$C$2493:$Z$2493,Setup!$F$33:$F$40)),SUMPRODUCT(COUNTIF('2030'!$C$2493:$Z$2493,Setup!$F$33:$F$40))))</f>
        <v/>
      </c>
      <c r="BA48" s="137">
        <f>IF($B48="","",CHOOSE(IFERROR(MATCH($C$4,Setup!$K$33:$K$36,0),1),SUMPRODUCT(COUNTIF('2027'!$C$2543:$Z$2543,Setup!$F$33:$F$40)),SUMPRODUCT(COUNTIF('2028'!$C$2543:$Z$2543,Setup!$F$33:$F$40)),SUMPRODUCT(COUNTIF('2029'!$C$2543:$Z$2543,Setup!$F$33:$F$40)),SUMPRODUCT(COUNTIF('2030'!$C$2543:$Z$2543,Setup!$F$33:$F$40))))</f>
        <v/>
      </c>
      <c r="BB48" s="137">
        <f>IF($B48="","",CHOOSE(IFERROR(MATCH($C$4,Setup!$K$33:$K$36,0),1),SUMPRODUCT(COUNTIF('2027'!$C$2593:$Z$2593,Setup!$F$33:$F$40)),SUMPRODUCT(COUNTIF('2028'!$C$2593:$Z$2593,Setup!$F$33:$F$40)),SUMPRODUCT(COUNTIF('2029'!$C$2593:$Z$2593,Setup!$F$33:$F$40)),SUMPRODUCT(COUNTIF('2030'!$C$2593:$Z$2593,Setup!$F$33:$F$40))))</f>
        <v/>
      </c>
      <c r="BC48" s="137">
        <f>IF($B48="","",CHOOSE(IFERROR(MATCH($C$4,Setup!$K$33:$K$36,0),1),SUMPRODUCT(COUNTIF('2027'!$C$2643:$Z$2643,Setup!$F$33:$F$40)),SUMPRODUCT(COUNTIF('2028'!$C$2643:$Z$2643,Setup!$F$33:$F$40)),SUMPRODUCT(COUNTIF('2029'!$C$2643:$Z$2643,Setup!$F$33:$F$40)),SUMPRODUCT(COUNTIF('2030'!$C$2643:$Z$2643,Setup!$F$33:$F$40))))</f>
        <v/>
      </c>
      <c r="BE48" s="129">
        <f>IF($B48="","",SUM(C48:BC48))</f>
        <v/>
      </c>
      <c r="BF48" s="130">
        <f>IF($B48="","",COUNTIF(C48:BC48,"&gt;0"))</f>
        <v/>
      </c>
      <c r="BG48" s="130">
        <f>IF(OR($B48="",N(BE48)=0),"",MATCH(MAX(C48:BC48),C48:BC48,0))</f>
        <v/>
      </c>
    </row>
    <row r="49" ht="15" customHeight="1">
      <c r="B49" s="136">
        <f>IF(Setup!$B$23="","",Setup!$B$23)</f>
        <v/>
      </c>
      <c r="C49" s="137">
        <f>IF($B49="","",CHOOSE(IFERROR(MATCH($C$4,Setup!$K$33:$K$36,0),1),SUMPRODUCT(COUNTIF('2027'!$C$44:$Z$44,Setup!$F$33:$F$40)),SUMPRODUCT(COUNTIF('2028'!$C$44:$Z$44,Setup!$F$33:$F$40)),SUMPRODUCT(COUNTIF('2029'!$C$44:$Z$44,Setup!$F$33:$F$40)),SUMPRODUCT(COUNTIF('2030'!$C$44:$Z$44,Setup!$F$33:$F$40))))</f>
        <v/>
      </c>
      <c r="D49" s="137">
        <f>IF($B49="","",CHOOSE(IFERROR(MATCH($C$4,Setup!$K$33:$K$36,0),1),SUMPRODUCT(COUNTIF('2027'!$C$94:$Z$94,Setup!$F$33:$F$40)),SUMPRODUCT(COUNTIF('2028'!$C$94:$Z$94,Setup!$F$33:$F$40)),SUMPRODUCT(COUNTIF('2029'!$C$94:$Z$94,Setup!$F$33:$F$40)),SUMPRODUCT(COUNTIF('2030'!$C$94:$Z$94,Setup!$F$33:$F$40))))</f>
        <v/>
      </c>
      <c r="E49" s="137">
        <f>IF($B49="","",CHOOSE(IFERROR(MATCH($C$4,Setup!$K$33:$K$36,0),1),SUMPRODUCT(COUNTIF('2027'!$C$144:$Z$144,Setup!$F$33:$F$40)),SUMPRODUCT(COUNTIF('2028'!$C$144:$Z$144,Setup!$F$33:$F$40)),SUMPRODUCT(COUNTIF('2029'!$C$144:$Z$144,Setup!$F$33:$F$40)),SUMPRODUCT(COUNTIF('2030'!$C$144:$Z$144,Setup!$F$33:$F$40))))</f>
        <v/>
      </c>
      <c r="F49" s="137">
        <f>IF($B49="","",CHOOSE(IFERROR(MATCH($C$4,Setup!$K$33:$K$36,0),1),SUMPRODUCT(COUNTIF('2027'!$C$194:$Z$194,Setup!$F$33:$F$40)),SUMPRODUCT(COUNTIF('2028'!$C$194:$Z$194,Setup!$F$33:$F$40)),SUMPRODUCT(COUNTIF('2029'!$C$194:$Z$194,Setup!$F$33:$F$40)),SUMPRODUCT(COUNTIF('2030'!$C$194:$Z$194,Setup!$F$33:$F$40))))</f>
        <v/>
      </c>
      <c r="G49" s="137">
        <f>IF($B49="","",CHOOSE(IFERROR(MATCH($C$4,Setup!$K$33:$K$36,0),1),SUMPRODUCT(COUNTIF('2027'!$C$244:$Z$244,Setup!$F$33:$F$40)),SUMPRODUCT(COUNTIF('2028'!$C$244:$Z$244,Setup!$F$33:$F$40)),SUMPRODUCT(COUNTIF('2029'!$C$244:$Z$244,Setup!$F$33:$F$40)),SUMPRODUCT(COUNTIF('2030'!$C$244:$Z$244,Setup!$F$33:$F$40))))</f>
        <v/>
      </c>
      <c r="H49" s="137">
        <f>IF($B49="","",CHOOSE(IFERROR(MATCH($C$4,Setup!$K$33:$K$36,0),1),SUMPRODUCT(COUNTIF('2027'!$C$294:$Z$294,Setup!$F$33:$F$40)),SUMPRODUCT(COUNTIF('2028'!$C$294:$Z$294,Setup!$F$33:$F$40)),SUMPRODUCT(COUNTIF('2029'!$C$294:$Z$294,Setup!$F$33:$F$40)),SUMPRODUCT(COUNTIF('2030'!$C$294:$Z$294,Setup!$F$33:$F$40))))</f>
        <v/>
      </c>
      <c r="I49" s="137">
        <f>IF($B49="","",CHOOSE(IFERROR(MATCH($C$4,Setup!$K$33:$K$36,0),1),SUMPRODUCT(COUNTIF('2027'!$C$344:$Z$344,Setup!$F$33:$F$40)),SUMPRODUCT(COUNTIF('2028'!$C$344:$Z$344,Setup!$F$33:$F$40)),SUMPRODUCT(COUNTIF('2029'!$C$344:$Z$344,Setup!$F$33:$F$40)),SUMPRODUCT(COUNTIF('2030'!$C$344:$Z$344,Setup!$F$33:$F$40))))</f>
        <v/>
      </c>
      <c r="J49" s="137">
        <f>IF($B49="","",CHOOSE(IFERROR(MATCH($C$4,Setup!$K$33:$K$36,0),1),SUMPRODUCT(COUNTIF('2027'!$C$394:$Z$394,Setup!$F$33:$F$40)),SUMPRODUCT(COUNTIF('2028'!$C$394:$Z$394,Setup!$F$33:$F$40)),SUMPRODUCT(COUNTIF('2029'!$C$394:$Z$394,Setup!$F$33:$F$40)),SUMPRODUCT(COUNTIF('2030'!$C$394:$Z$394,Setup!$F$33:$F$40))))</f>
        <v/>
      </c>
      <c r="K49" s="137">
        <f>IF($B49="","",CHOOSE(IFERROR(MATCH($C$4,Setup!$K$33:$K$36,0),1),SUMPRODUCT(COUNTIF('2027'!$C$444:$Z$444,Setup!$F$33:$F$40)),SUMPRODUCT(COUNTIF('2028'!$C$444:$Z$444,Setup!$F$33:$F$40)),SUMPRODUCT(COUNTIF('2029'!$C$444:$Z$444,Setup!$F$33:$F$40)),SUMPRODUCT(COUNTIF('2030'!$C$444:$Z$444,Setup!$F$33:$F$40))))</f>
        <v/>
      </c>
      <c r="L49" s="137">
        <f>IF($B49="","",CHOOSE(IFERROR(MATCH($C$4,Setup!$K$33:$K$36,0),1),SUMPRODUCT(COUNTIF('2027'!$C$494:$Z$494,Setup!$F$33:$F$40)),SUMPRODUCT(COUNTIF('2028'!$C$494:$Z$494,Setup!$F$33:$F$40)),SUMPRODUCT(COUNTIF('2029'!$C$494:$Z$494,Setup!$F$33:$F$40)),SUMPRODUCT(COUNTIF('2030'!$C$494:$Z$494,Setup!$F$33:$F$40))))</f>
        <v/>
      </c>
      <c r="M49" s="137">
        <f>IF($B49="","",CHOOSE(IFERROR(MATCH($C$4,Setup!$K$33:$K$36,0),1),SUMPRODUCT(COUNTIF('2027'!$C$544:$Z$544,Setup!$F$33:$F$40)),SUMPRODUCT(COUNTIF('2028'!$C$544:$Z$544,Setup!$F$33:$F$40)),SUMPRODUCT(COUNTIF('2029'!$C$544:$Z$544,Setup!$F$33:$F$40)),SUMPRODUCT(COUNTIF('2030'!$C$544:$Z$544,Setup!$F$33:$F$40))))</f>
        <v/>
      </c>
      <c r="N49" s="137">
        <f>IF($B49="","",CHOOSE(IFERROR(MATCH($C$4,Setup!$K$33:$K$36,0),1),SUMPRODUCT(COUNTIF('2027'!$C$594:$Z$594,Setup!$F$33:$F$40)),SUMPRODUCT(COUNTIF('2028'!$C$594:$Z$594,Setup!$F$33:$F$40)),SUMPRODUCT(COUNTIF('2029'!$C$594:$Z$594,Setup!$F$33:$F$40)),SUMPRODUCT(COUNTIF('2030'!$C$594:$Z$594,Setup!$F$33:$F$40))))</f>
        <v/>
      </c>
      <c r="O49" s="137">
        <f>IF($B49="","",CHOOSE(IFERROR(MATCH($C$4,Setup!$K$33:$K$36,0),1),SUMPRODUCT(COUNTIF('2027'!$C$644:$Z$644,Setup!$F$33:$F$40)),SUMPRODUCT(COUNTIF('2028'!$C$644:$Z$644,Setup!$F$33:$F$40)),SUMPRODUCT(COUNTIF('2029'!$C$644:$Z$644,Setup!$F$33:$F$40)),SUMPRODUCT(COUNTIF('2030'!$C$644:$Z$644,Setup!$F$33:$F$40))))</f>
        <v/>
      </c>
      <c r="P49" s="137">
        <f>IF($B49="","",CHOOSE(IFERROR(MATCH($C$4,Setup!$K$33:$K$36,0),1),SUMPRODUCT(COUNTIF('2027'!$C$694:$Z$694,Setup!$F$33:$F$40)),SUMPRODUCT(COUNTIF('2028'!$C$694:$Z$694,Setup!$F$33:$F$40)),SUMPRODUCT(COUNTIF('2029'!$C$694:$Z$694,Setup!$F$33:$F$40)),SUMPRODUCT(COUNTIF('2030'!$C$694:$Z$694,Setup!$F$33:$F$40))))</f>
        <v/>
      </c>
      <c r="Q49" s="137">
        <f>IF($B49="","",CHOOSE(IFERROR(MATCH($C$4,Setup!$K$33:$K$36,0),1),SUMPRODUCT(COUNTIF('2027'!$C$744:$Z$744,Setup!$F$33:$F$40)),SUMPRODUCT(COUNTIF('2028'!$C$744:$Z$744,Setup!$F$33:$F$40)),SUMPRODUCT(COUNTIF('2029'!$C$744:$Z$744,Setup!$F$33:$F$40)),SUMPRODUCT(COUNTIF('2030'!$C$744:$Z$744,Setup!$F$33:$F$40))))</f>
        <v/>
      </c>
      <c r="R49" s="137">
        <f>IF($B49="","",CHOOSE(IFERROR(MATCH($C$4,Setup!$K$33:$K$36,0),1),SUMPRODUCT(COUNTIF('2027'!$C$794:$Z$794,Setup!$F$33:$F$40)),SUMPRODUCT(COUNTIF('2028'!$C$794:$Z$794,Setup!$F$33:$F$40)),SUMPRODUCT(COUNTIF('2029'!$C$794:$Z$794,Setup!$F$33:$F$40)),SUMPRODUCT(COUNTIF('2030'!$C$794:$Z$794,Setup!$F$33:$F$40))))</f>
        <v/>
      </c>
      <c r="S49" s="137">
        <f>IF($B49="","",CHOOSE(IFERROR(MATCH($C$4,Setup!$K$33:$K$36,0),1),SUMPRODUCT(COUNTIF('2027'!$C$844:$Z$844,Setup!$F$33:$F$40)),SUMPRODUCT(COUNTIF('2028'!$C$844:$Z$844,Setup!$F$33:$F$40)),SUMPRODUCT(COUNTIF('2029'!$C$844:$Z$844,Setup!$F$33:$F$40)),SUMPRODUCT(COUNTIF('2030'!$C$844:$Z$844,Setup!$F$33:$F$40))))</f>
        <v/>
      </c>
      <c r="T49" s="137">
        <f>IF($B49="","",CHOOSE(IFERROR(MATCH($C$4,Setup!$K$33:$K$36,0),1),SUMPRODUCT(COUNTIF('2027'!$C$894:$Z$894,Setup!$F$33:$F$40)),SUMPRODUCT(COUNTIF('2028'!$C$894:$Z$894,Setup!$F$33:$F$40)),SUMPRODUCT(COUNTIF('2029'!$C$894:$Z$894,Setup!$F$33:$F$40)),SUMPRODUCT(COUNTIF('2030'!$C$894:$Z$894,Setup!$F$33:$F$40))))</f>
        <v/>
      </c>
      <c r="U49" s="137">
        <f>IF($B49="","",CHOOSE(IFERROR(MATCH($C$4,Setup!$K$33:$K$36,0),1),SUMPRODUCT(COUNTIF('2027'!$C$944:$Z$944,Setup!$F$33:$F$40)),SUMPRODUCT(COUNTIF('2028'!$C$944:$Z$944,Setup!$F$33:$F$40)),SUMPRODUCT(COUNTIF('2029'!$C$944:$Z$944,Setup!$F$33:$F$40)),SUMPRODUCT(COUNTIF('2030'!$C$944:$Z$944,Setup!$F$33:$F$40))))</f>
        <v/>
      </c>
      <c r="V49" s="137">
        <f>IF($B49="","",CHOOSE(IFERROR(MATCH($C$4,Setup!$K$33:$K$36,0),1),SUMPRODUCT(COUNTIF('2027'!$C$994:$Z$994,Setup!$F$33:$F$40)),SUMPRODUCT(COUNTIF('2028'!$C$994:$Z$994,Setup!$F$33:$F$40)),SUMPRODUCT(COUNTIF('2029'!$C$994:$Z$994,Setup!$F$33:$F$40)),SUMPRODUCT(COUNTIF('2030'!$C$994:$Z$994,Setup!$F$33:$F$40))))</f>
        <v/>
      </c>
      <c r="W49" s="137">
        <f>IF($B49="","",CHOOSE(IFERROR(MATCH($C$4,Setup!$K$33:$K$36,0),1),SUMPRODUCT(COUNTIF('2027'!$C$1044:$Z$1044,Setup!$F$33:$F$40)),SUMPRODUCT(COUNTIF('2028'!$C$1044:$Z$1044,Setup!$F$33:$F$40)),SUMPRODUCT(COUNTIF('2029'!$C$1044:$Z$1044,Setup!$F$33:$F$40)),SUMPRODUCT(COUNTIF('2030'!$C$1044:$Z$1044,Setup!$F$33:$F$40))))</f>
        <v/>
      </c>
      <c r="X49" s="137">
        <f>IF($B49="","",CHOOSE(IFERROR(MATCH($C$4,Setup!$K$33:$K$36,0),1),SUMPRODUCT(COUNTIF('2027'!$C$1094:$Z$1094,Setup!$F$33:$F$40)),SUMPRODUCT(COUNTIF('2028'!$C$1094:$Z$1094,Setup!$F$33:$F$40)),SUMPRODUCT(COUNTIF('2029'!$C$1094:$Z$1094,Setup!$F$33:$F$40)),SUMPRODUCT(COUNTIF('2030'!$C$1094:$Z$1094,Setup!$F$33:$F$40))))</f>
        <v/>
      </c>
      <c r="Y49" s="137">
        <f>IF($B49="","",CHOOSE(IFERROR(MATCH($C$4,Setup!$K$33:$K$36,0),1),SUMPRODUCT(COUNTIF('2027'!$C$1144:$Z$1144,Setup!$F$33:$F$40)),SUMPRODUCT(COUNTIF('2028'!$C$1144:$Z$1144,Setup!$F$33:$F$40)),SUMPRODUCT(COUNTIF('2029'!$C$1144:$Z$1144,Setup!$F$33:$F$40)),SUMPRODUCT(COUNTIF('2030'!$C$1144:$Z$1144,Setup!$F$33:$F$40))))</f>
        <v/>
      </c>
      <c r="Z49" s="137">
        <f>IF($B49="","",CHOOSE(IFERROR(MATCH($C$4,Setup!$K$33:$K$36,0),1),SUMPRODUCT(COUNTIF('2027'!$C$1194:$Z$1194,Setup!$F$33:$F$40)),SUMPRODUCT(COUNTIF('2028'!$C$1194:$Z$1194,Setup!$F$33:$F$40)),SUMPRODUCT(COUNTIF('2029'!$C$1194:$Z$1194,Setup!$F$33:$F$40)),SUMPRODUCT(COUNTIF('2030'!$C$1194:$Z$1194,Setup!$F$33:$F$40))))</f>
        <v/>
      </c>
      <c r="AA49" s="137">
        <f>IF($B49="","",CHOOSE(IFERROR(MATCH($C$4,Setup!$K$33:$K$36,0),1),SUMPRODUCT(COUNTIF('2027'!$C$1244:$Z$1244,Setup!$F$33:$F$40)),SUMPRODUCT(COUNTIF('2028'!$C$1244:$Z$1244,Setup!$F$33:$F$40)),SUMPRODUCT(COUNTIF('2029'!$C$1244:$Z$1244,Setup!$F$33:$F$40)),SUMPRODUCT(COUNTIF('2030'!$C$1244:$Z$1244,Setup!$F$33:$F$40))))</f>
        <v/>
      </c>
      <c r="AB49" s="137">
        <f>IF($B49="","",CHOOSE(IFERROR(MATCH($C$4,Setup!$K$33:$K$36,0),1),SUMPRODUCT(COUNTIF('2027'!$C$1294:$Z$1294,Setup!$F$33:$F$40)),SUMPRODUCT(COUNTIF('2028'!$C$1294:$Z$1294,Setup!$F$33:$F$40)),SUMPRODUCT(COUNTIF('2029'!$C$1294:$Z$1294,Setup!$F$33:$F$40)),SUMPRODUCT(COUNTIF('2030'!$C$1294:$Z$1294,Setup!$F$33:$F$40))))</f>
        <v/>
      </c>
      <c r="AC49" s="137">
        <f>IF($B49="","",CHOOSE(IFERROR(MATCH($C$4,Setup!$K$33:$K$36,0),1),SUMPRODUCT(COUNTIF('2027'!$C$1344:$Z$1344,Setup!$F$33:$F$40)),SUMPRODUCT(COUNTIF('2028'!$C$1344:$Z$1344,Setup!$F$33:$F$40)),SUMPRODUCT(COUNTIF('2029'!$C$1344:$Z$1344,Setup!$F$33:$F$40)),SUMPRODUCT(COUNTIF('2030'!$C$1344:$Z$1344,Setup!$F$33:$F$40))))</f>
        <v/>
      </c>
      <c r="AD49" s="137">
        <f>IF($B49="","",CHOOSE(IFERROR(MATCH($C$4,Setup!$K$33:$K$36,0),1),SUMPRODUCT(COUNTIF('2027'!$C$1394:$Z$1394,Setup!$F$33:$F$40)),SUMPRODUCT(COUNTIF('2028'!$C$1394:$Z$1394,Setup!$F$33:$F$40)),SUMPRODUCT(COUNTIF('2029'!$C$1394:$Z$1394,Setup!$F$33:$F$40)),SUMPRODUCT(COUNTIF('2030'!$C$1394:$Z$1394,Setup!$F$33:$F$40))))</f>
        <v/>
      </c>
      <c r="AE49" s="137">
        <f>IF($B49="","",CHOOSE(IFERROR(MATCH($C$4,Setup!$K$33:$K$36,0),1),SUMPRODUCT(COUNTIF('2027'!$C$1444:$Z$1444,Setup!$F$33:$F$40)),SUMPRODUCT(COUNTIF('2028'!$C$1444:$Z$1444,Setup!$F$33:$F$40)),SUMPRODUCT(COUNTIF('2029'!$C$1444:$Z$1444,Setup!$F$33:$F$40)),SUMPRODUCT(COUNTIF('2030'!$C$1444:$Z$1444,Setup!$F$33:$F$40))))</f>
        <v/>
      </c>
      <c r="AF49" s="137">
        <f>IF($B49="","",CHOOSE(IFERROR(MATCH($C$4,Setup!$K$33:$K$36,0),1),SUMPRODUCT(COUNTIF('2027'!$C$1494:$Z$1494,Setup!$F$33:$F$40)),SUMPRODUCT(COUNTIF('2028'!$C$1494:$Z$1494,Setup!$F$33:$F$40)),SUMPRODUCT(COUNTIF('2029'!$C$1494:$Z$1494,Setup!$F$33:$F$40)),SUMPRODUCT(COUNTIF('2030'!$C$1494:$Z$1494,Setup!$F$33:$F$40))))</f>
        <v/>
      </c>
      <c r="AG49" s="137">
        <f>IF($B49="","",CHOOSE(IFERROR(MATCH($C$4,Setup!$K$33:$K$36,0),1),SUMPRODUCT(COUNTIF('2027'!$C$1544:$Z$1544,Setup!$F$33:$F$40)),SUMPRODUCT(COUNTIF('2028'!$C$1544:$Z$1544,Setup!$F$33:$F$40)),SUMPRODUCT(COUNTIF('2029'!$C$1544:$Z$1544,Setup!$F$33:$F$40)),SUMPRODUCT(COUNTIF('2030'!$C$1544:$Z$1544,Setup!$F$33:$F$40))))</f>
        <v/>
      </c>
      <c r="AH49" s="137">
        <f>IF($B49="","",CHOOSE(IFERROR(MATCH($C$4,Setup!$K$33:$K$36,0),1),SUMPRODUCT(COUNTIF('2027'!$C$1594:$Z$1594,Setup!$F$33:$F$40)),SUMPRODUCT(COUNTIF('2028'!$C$1594:$Z$1594,Setup!$F$33:$F$40)),SUMPRODUCT(COUNTIF('2029'!$C$1594:$Z$1594,Setup!$F$33:$F$40)),SUMPRODUCT(COUNTIF('2030'!$C$1594:$Z$1594,Setup!$F$33:$F$40))))</f>
        <v/>
      </c>
      <c r="AI49" s="137">
        <f>IF($B49="","",CHOOSE(IFERROR(MATCH($C$4,Setup!$K$33:$K$36,0),1),SUMPRODUCT(COUNTIF('2027'!$C$1644:$Z$1644,Setup!$F$33:$F$40)),SUMPRODUCT(COUNTIF('2028'!$C$1644:$Z$1644,Setup!$F$33:$F$40)),SUMPRODUCT(COUNTIF('2029'!$C$1644:$Z$1644,Setup!$F$33:$F$40)),SUMPRODUCT(COUNTIF('2030'!$C$1644:$Z$1644,Setup!$F$33:$F$40))))</f>
        <v/>
      </c>
      <c r="AJ49" s="137">
        <f>IF($B49="","",CHOOSE(IFERROR(MATCH($C$4,Setup!$K$33:$K$36,0),1),SUMPRODUCT(COUNTIF('2027'!$C$1694:$Z$1694,Setup!$F$33:$F$40)),SUMPRODUCT(COUNTIF('2028'!$C$1694:$Z$1694,Setup!$F$33:$F$40)),SUMPRODUCT(COUNTIF('2029'!$C$1694:$Z$1694,Setup!$F$33:$F$40)),SUMPRODUCT(COUNTIF('2030'!$C$1694:$Z$1694,Setup!$F$33:$F$40))))</f>
        <v/>
      </c>
      <c r="AK49" s="137">
        <f>IF($B49="","",CHOOSE(IFERROR(MATCH($C$4,Setup!$K$33:$K$36,0),1),SUMPRODUCT(COUNTIF('2027'!$C$1744:$Z$1744,Setup!$F$33:$F$40)),SUMPRODUCT(COUNTIF('2028'!$C$1744:$Z$1744,Setup!$F$33:$F$40)),SUMPRODUCT(COUNTIF('2029'!$C$1744:$Z$1744,Setup!$F$33:$F$40)),SUMPRODUCT(COUNTIF('2030'!$C$1744:$Z$1744,Setup!$F$33:$F$40))))</f>
        <v/>
      </c>
      <c r="AL49" s="137">
        <f>IF($B49="","",CHOOSE(IFERROR(MATCH($C$4,Setup!$K$33:$K$36,0),1),SUMPRODUCT(COUNTIF('2027'!$C$1794:$Z$1794,Setup!$F$33:$F$40)),SUMPRODUCT(COUNTIF('2028'!$C$1794:$Z$1794,Setup!$F$33:$F$40)),SUMPRODUCT(COUNTIF('2029'!$C$1794:$Z$1794,Setup!$F$33:$F$40)),SUMPRODUCT(COUNTIF('2030'!$C$1794:$Z$1794,Setup!$F$33:$F$40))))</f>
        <v/>
      </c>
      <c r="AM49" s="137">
        <f>IF($B49="","",CHOOSE(IFERROR(MATCH($C$4,Setup!$K$33:$K$36,0),1),SUMPRODUCT(COUNTIF('2027'!$C$1844:$Z$1844,Setup!$F$33:$F$40)),SUMPRODUCT(COUNTIF('2028'!$C$1844:$Z$1844,Setup!$F$33:$F$40)),SUMPRODUCT(COUNTIF('2029'!$C$1844:$Z$1844,Setup!$F$33:$F$40)),SUMPRODUCT(COUNTIF('2030'!$C$1844:$Z$1844,Setup!$F$33:$F$40))))</f>
        <v/>
      </c>
      <c r="AN49" s="137">
        <f>IF($B49="","",CHOOSE(IFERROR(MATCH($C$4,Setup!$K$33:$K$36,0),1),SUMPRODUCT(COUNTIF('2027'!$C$1894:$Z$1894,Setup!$F$33:$F$40)),SUMPRODUCT(COUNTIF('2028'!$C$1894:$Z$1894,Setup!$F$33:$F$40)),SUMPRODUCT(COUNTIF('2029'!$C$1894:$Z$1894,Setup!$F$33:$F$40)),SUMPRODUCT(COUNTIF('2030'!$C$1894:$Z$1894,Setup!$F$33:$F$40))))</f>
        <v/>
      </c>
      <c r="AO49" s="137">
        <f>IF($B49="","",CHOOSE(IFERROR(MATCH($C$4,Setup!$K$33:$K$36,0),1),SUMPRODUCT(COUNTIF('2027'!$C$1944:$Z$1944,Setup!$F$33:$F$40)),SUMPRODUCT(COUNTIF('2028'!$C$1944:$Z$1944,Setup!$F$33:$F$40)),SUMPRODUCT(COUNTIF('2029'!$C$1944:$Z$1944,Setup!$F$33:$F$40)),SUMPRODUCT(COUNTIF('2030'!$C$1944:$Z$1944,Setup!$F$33:$F$40))))</f>
        <v/>
      </c>
      <c r="AP49" s="137">
        <f>IF($B49="","",CHOOSE(IFERROR(MATCH($C$4,Setup!$K$33:$K$36,0),1),SUMPRODUCT(COUNTIF('2027'!$C$1994:$Z$1994,Setup!$F$33:$F$40)),SUMPRODUCT(COUNTIF('2028'!$C$1994:$Z$1994,Setup!$F$33:$F$40)),SUMPRODUCT(COUNTIF('2029'!$C$1994:$Z$1994,Setup!$F$33:$F$40)),SUMPRODUCT(COUNTIF('2030'!$C$1994:$Z$1994,Setup!$F$33:$F$40))))</f>
        <v/>
      </c>
      <c r="AQ49" s="137">
        <f>IF($B49="","",CHOOSE(IFERROR(MATCH($C$4,Setup!$K$33:$K$36,0),1),SUMPRODUCT(COUNTIF('2027'!$C$2044:$Z$2044,Setup!$F$33:$F$40)),SUMPRODUCT(COUNTIF('2028'!$C$2044:$Z$2044,Setup!$F$33:$F$40)),SUMPRODUCT(COUNTIF('2029'!$C$2044:$Z$2044,Setup!$F$33:$F$40)),SUMPRODUCT(COUNTIF('2030'!$C$2044:$Z$2044,Setup!$F$33:$F$40))))</f>
        <v/>
      </c>
      <c r="AR49" s="137">
        <f>IF($B49="","",CHOOSE(IFERROR(MATCH($C$4,Setup!$K$33:$K$36,0),1),SUMPRODUCT(COUNTIF('2027'!$C$2094:$Z$2094,Setup!$F$33:$F$40)),SUMPRODUCT(COUNTIF('2028'!$C$2094:$Z$2094,Setup!$F$33:$F$40)),SUMPRODUCT(COUNTIF('2029'!$C$2094:$Z$2094,Setup!$F$33:$F$40)),SUMPRODUCT(COUNTIF('2030'!$C$2094:$Z$2094,Setup!$F$33:$F$40))))</f>
        <v/>
      </c>
      <c r="AS49" s="137">
        <f>IF($B49="","",CHOOSE(IFERROR(MATCH($C$4,Setup!$K$33:$K$36,0),1),SUMPRODUCT(COUNTIF('2027'!$C$2144:$Z$2144,Setup!$F$33:$F$40)),SUMPRODUCT(COUNTIF('2028'!$C$2144:$Z$2144,Setup!$F$33:$F$40)),SUMPRODUCT(COUNTIF('2029'!$C$2144:$Z$2144,Setup!$F$33:$F$40)),SUMPRODUCT(COUNTIF('2030'!$C$2144:$Z$2144,Setup!$F$33:$F$40))))</f>
        <v/>
      </c>
      <c r="AT49" s="137">
        <f>IF($B49="","",CHOOSE(IFERROR(MATCH($C$4,Setup!$K$33:$K$36,0),1),SUMPRODUCT(COUNTIF('2027'!$C$2194:$Z$2194,Setup!$F$33:$F$40)),SUMPRODUCT(COUNTIF('2028'!$C$2194:$Z$2194,Setup!$F$33:$F$40)),SUMPRODUCT(COUNTIF('2029'!$C$2194:$Z$2194,Setup!$F$33:$F$40)),SUMPRODUCT(COUNTIF('2030'!$C$2194:$Z$2194,Setup!$F$33:$F$40))))</f>
        <v/>
      </c>
      <c r="AU49" s="137">
        <f>IF($B49="","",CHOOSE(IFERROR(MATCH($C$4,Setup!$K$33:$K$36,0),1),SUMPRODUCT(COUNTIF('2027'!$C$2244:$Z$2244,Setup!$F$33:$F$40)),SUMPRODUCT(COUNTIF('2028'!$C$2244:$Z$2244,Setup!$F$33:$F$40)),SUMPRODUCT(COUNTIF('2029'!$C$2244:$Z$2244,Setup!$F$33:$F$40)),SUMPRODUCT(COUNTIF('2030'!$C$2244:$Z$2244,Setup!$F$33:$F$40))))</f>
        <v/>
      </c>
      <c r="AV49" s="137">
        <f>IF($B49="","",CHOOSE(IFERROR(MATCH($C$4,Setup!$K$33:$K$36,0),1),SUMPRODUCT(COUNTIF('2027'!$C$2294:$Z$2294,Setup!$F$33:$F$40)),SUMPRODUCT(COUNTIF('2028'!$C$2294:$Z$2294,Setup!$F$33:$F$40)),SUMPRODUCT(COUNTIF('2029'!$C$2294:$Z$2294,Setup!$F$33:$F$40)),SUMPRODUCT(COUNTIF('2030'!$C$2294:$Z$2294,Setup!$F$33:$F$40))))</f>
        <v/>
      </c>
      <c r="AW49" s="137">
        <f>IF($B49="","",CHOOSE(IFERROR(MATCH($C$4,Setup!$K$33:$K$36,0),1),SUMPRODUCT(COUNTIF('2027'!$C$2344:$Z$2344,Setup!$F$33:$F$40)),SUMPRODUCT(COUNTIF('2028'!$C$2344:$Z$2344,Setup!$F$33:$F$40)),SUMPRODUCT(COUNTIF('2029'!$C$2344:$Z$2344,Setup!$F$33:$F$40)),SUMPRODUCT(COUNTIF('2030'!$C$2344:$Z$2344,Setup!$F$33:$F$40))))</f>
        <v/>
      </c>
      <c r="AX49" s="137">
        <f>IF($B49="","",CHOOSE(IFERROR(MATCH($C$4,Setup!$K$33:$K$36,0),1),SUMPRODUCT(COUNTIF('2027'!$C$2394:$Z$2394,Setup!$F$33:$F$40)),SUMPRODUCT(COUNTIF('2028'!$C$2394:$Z$2394,Setup!$F$33:$F$40)),SUMPRODUCT(COUNTIF('2029'!$C$2394:$Z$2394,Setup!$F$33:$F$40)),SUMPRODUCT(COUNTIF('2030'!$C$2394:$Z$2394,Setup!$F$33:$F$40))))</f>
        <v/>
      </c>
      <c r="AY49" s="137">
        <f>IF($B49="","",CHOOSE(IFERROR(MATCH($C$4,Setup!$K$33:$K$36,0),1),SUMPRODUCT(COUNTIF('2027'!$C$2444:$Z$2444,Setup!$F$33:$F$40)),SUMPRODUCT(COUNTIF('2028'!$C$2444:$Z$2444,Setup!$F$33:$F$40)),SUMPRODUCT(COUNTIF('2029'!$C$2444:$Z$2444,Setup!$F$33:$F$40)),SUMPRODUCT(COUNTIF('2030'!$C$2444:$Z$2444,Setup!$F$33:$F$40))))</f>
        <v/>
      </c>
      <c r="AZ49" s="137">
        <f>IF($B49="","",CHOOSE(IFERROR(MATCH($C$4,Setup!$K$33:$K$36,0),1),SUMPRODUCT(COUNTIF('2027'!$C$2494:$Z$2494,Setup!$F$33:$F$40)),SUMPRODUCT(COUNTIF('2028'!$C$2494:$Z$2494,Setup!$F$33:$F$40)),SUMPRODUCT(COUNTIF('2029'!$C$2494:$Z$2494,Setup!$F$33:$F$40)),SUMPRODUCT(COUNTIF('2030'!$C$2494:$Z$2494,Setup!$F$33:$F$40))))</f>
        <v/>
      </c>
      <c r="BA49" s="137">
        <f>IF($B49="","",CHOOSE(IFERROR(MATCH($C$4,Setup!$K$33:$K$36,0),1),SUMPRODUCT(COUNTIF('2027'!$C$2544:$Z$2544,Setup!$F$33:$F$40)),SUMPRODUCT(COUNTIF('2028'!$C$2544:$Z$2544,Setup!$F$33:$F$40)),SUMPRODUCT(COUNTIF('2029'!$C$2544:$Z$2544,Setup!$F$33:$F$40)),SUMPRODUCT(COUNTIF('2030'!$C$2544:$Z$2544,Setup!$F$33:$F$40))))</f>
        <v/>
      </c>
      <c r="BB49" s="137">
        <f>IF($B49="","",CHOOSE(IFERROR(MATCH($C$4,Setup!$K$33:$K$36,0),1),SUMPRODUCT(COUNTIF('2027'!$C$2594:$Z$2594,Setup!$F$33:$F$40)),SUMPRODUCT(COUNTIF('2028'!$C$2594:$Z$2594,Setup!$F$33:$F$40)),SUMPRODUCT(COUNTIF('2029'!$C$2594:$Z$2594,Setup!$F$33:$F$40)),SUMPRODUCT(COUNTIF('2030'!$C$2594:$Z$2594,Setup!$F$33:$F$40))))</f>
        <v/>
      </c>
      <c r="BC49" s="137">
        <f>IF($B49="","",CHOOSE(IFERROR(MATCH($C$4,Setup!$K$33:$K$36,0),1),SUMPRODUCT(COUNTIF('2027'!$C$2644:$Z$2644,Setup!$F$33:$F$40)),SUMPRODUCT(COUNTIF('2028'!$C$2644:$Z$2644,Setup!$F$33:$F$40)),SUMPRODUCT(COUNTIF('2029'!$C$2644:$Z$2644,Setup!$F$33:$F$40)),SUMPRODUCT(COUNTIF('2030'!$C$2644:$Z$2644,Setup!$F$33:$F$40))))</f>
        <v/>
      </c>
      <c r="BE49" s="129">
        <f>IF($B49="","",SUM(C49:BC49))</f>
        <v/>
      </c>
      <c r="BF49" s="130">
        <f>IF($B49="","",COUNTIF(C49:BC49,"&gt;0"))</f>
        <v/>
      </c>
      <c r="BG49" s="130">
        <f>IF(OR($B49="",N(BE49)=0),"",MATCH(MAX(C49:BC49),C49:BC49,0))</f>
        <v/>
      </c>
    </row>
    <row r="50" ht="15" customHeight="1">
      <c r="B50" s="136">
        <f>IF(Setup!$B$24="","",Setup!$B$24)</f>
        <v/>
      </c>
      <c r="C50" s="137">
        <f>IF($B50="","",CHOOSE(IFERROR(MATCH($C$4,Setup!$K$33:$K$36,0),1),SUMPRODUCT(COUNTIF('2027'!$C$45:$Z$45,Setup!$F$33:$F$40)),SUMPRODUCT(COUNTIF('2028'!$C$45:$Z$45,Setup!$F$33:$F$40)),SUMPRODUCT(COUNTIF('2029'!$C$45:$Z$45,Setup!$F$33:$F$40)),SUMPRODUCT(COUNTIF('2030'!$C$45:$Z$45,Setup!$F$33:$F$40))))</f>
        <v/>
      </c>
      <c r="D50" s="137">
        <f>IF($B50="","",CHOOSE(IFERROR(MATCH($C$4,Setup!$K$33:$K$36,0),1),SUMPRODUCT(COUNTIF('2027'!$C$95:$Z$95,Setup!$F$33:$F$40)),SUMPRODUCT(COUNTIF('2028'!$C$95:$Z$95,Setup!$F$33:$F$40)),SUMPRODUCT(COUNTIF('2029'!$C$95:$Z$95,Setup!$F$33:$F$40)),SUMPRODUCT(COUNTIF('2030'!$C$95:$Z$95,Setup!$F$33:$F$40))))</f>
        <v/>
      </c>
      <c r="E50" s="137">
        <f>IF($B50="","",CHOOSE(IFERROR(MATCH($C$4,Setup!$K$33:$K$36,0),1),SUMPRODUCT(COUNTIF('2027'!$C$145:$Z$145,Setup!$F$33:$F$40)),SUMPRODUCT(COUNTIF('2028'!$C$145:$Z$145,Setup!$F$33:$F$40)),SUMPRODUCT(COUNTIF('2029'!$C$145:$Z$145,Setup!$F$33:$F$40)),SUMPRODUCT(COUNTIF('2030'!$C$145:$Z$145,Setup!$F$33:$F$40))))</f>
        <v/>
      </c>
      <c r="F50" s="137">
        <f>IF($B50="","",CHOOSE(IFERROR(MATCH($C$4,Setup!$K$33:$K$36,0),1),SUMPRODUCT(COUNTIF('2027'!$C$195:$Z$195,Setup!$F$33:$F$40)),SUMPRODUCT(COUNTIF('2028'!$C$195:$Z$195,Setup!$F$33:$F$40)),SUMPRODUCT(COUNTIF('2029'!$C$195:$Z$195,Setup!$F$33:$F$40)),SUMPRODUCT(COUNTIF('2030'!$C$195:$Z$195,Setup!$F$33:$F$40))))</f>
        <v/>
      </c>
      <c r="G50" s="137">
        <f>IF($B50="","",CHOOSE(IFERROR(MATCH($C$4,Setup!$K$33:$K$36,0),1),SUMPRODUCT(COUNTIF('2027'!$C$245:$Z$245,Setup!$F$33:$F$40)),SUMPRODUCT(COUNTIF('2028'!$C$245:$Z$245,Setup!$F$33:$F$40)),SUMPRODUCT(COUNTIF('2029'!$C$245:$Z$245,Setup!$F$33:$F$40)),SUMPRODUCT(COUNTIF('2030'!$C$245:$Z$245,Setup!$F$33:$F$40))))</f>
        <v/>
      </c>
      <c r="H50" s="137">
        <f>IF($B50="","",CHOOSE(IFERROR(MATCH($C$4,Setup!$K$33:$K$36,0),1),SUMPRODUCT(COUNTIF('2027'!$C$295:$Z$295,Setup!$F$33:$F$40)),SUMPRODUCT(COUNTIF('2028'!$C$295:$Z$295,Setup!$F$33:$F$40)),SUMPRODUCT(COUNTIF('2029'!$C$295:$Z$295,Setup!$F$33:$F$40)),SUMPRODUCT(COUNTIF('2030'!$C$295:$Z$295,Setup!$F$33:$F$40))))</f>
        <v/>
      </c>
      <c r="I50" s="137">
        <f>IF($B50="","",CHOOSE(IFERROR(MATCH($C$4,Setup!$K$33:$K$36,0),1),SUMPRODUCT(COUNTIF('2027'!$C$345:$Z$345,Setup!$F$33:$F$40)),SUMPRODUCT(COUNTIF('2028'!$C$345:$Z$345,Setup!$F$33:$F$40)),SUMPRODUCT(COUNTIF('2029'!$C$345:$Z$345,Setup!$F$33:$F$40)),SUMPRODUCT(COUNTIF('2030'!$C$345:$Z$345,Setup!$F$33:$F$40))))</f>
        <v/>
      </c>
      <c r="J50" s="137">
        <f>IF($B50="","",CHOOSE(IFERROR(MATCH($C$4,Setup!$K$33:$K$36,0),1),SUMPRODUCT(COUNTIF('2027'!$C$395:$Z$395,Setup!$F$33:$F$40)),SUMPRODUCT(COUNTIF('2028'!$C$395:$Z$395,Setup!$F$33:$F$40)),SUMPRODUCT(COUNTIF('2029'!$C$395:$Z$395,Setup!$F$33:$F$40)),SUMPRODUCT(COUNTIF('2030'!$C$395:$Z$395,Setup!$F$33:$F$40))))</f>
        <v/>
      </c>
      <c r="K50" s="137">
        <f>IF($B50="","",CHOOSE(IFERROR(MATCH($C$4,Setup!$K$33:$K$36,0),1),SUMPRODUCT(COUNTIF('2027'!$C$445:$Z$445,Setup!$F$33:$F$40)),SUMPRODUCT(COUNTIF('2028'!$C$445:$Z$445,Setup!$F$33:$F$40)),SUMPRODUCT(COUNTIF('2029'!$C$445:$Z$445,Setup!$F$33:$F$40)),SUMPRODUCT(COUNTIF('2030'!$C$445:$Z$445,Setup!$F$33:$F$40))))</f>
        <v/>
      </c>
      <c r="L50" s="137">
        <f>IF($B50="","",CHOOSE(IFERROR(MATCH($C$4,Setup!$K$33:$K$36,0),1),SUMPRODUCT(COUNTIF('2027'!$C$495:$Z$495,Setup!$F$33:$F$40)),SUMPRODUCT(COUNTIF('2028'!$C$495:$Z$495,Setup!$F$33:$F$40)),SUMPRODUCT(COUNTIF('2029'!$C$495:$Z$495,Setup!$F$33:$F$40)),SUMPRODUCT(COUNTIF('2030'!$C$495:$Z$495,Setup!$F$33:$F$40))))</f>
        <v/>
      </c>
      <c r="M50" s="137">
        <f>IF($B50="","",CHOOSE(IFERROR(MATCH($C$4,Setup!$K$33:$K$36,0),1),SUMPRODUCT(COUNTIF('2027'!$C$545:$Z$545,Setup!$F$33:$F$40)),SUMPRODUCT(COUNTIF('2028'!$C$545:$Z$545,Setup!$F$33:$F$40)),SUMPRODUCT(COUNTIF('2029'!$C$545:$Z$545,Setup!$F$33:$F$40)),SUMPRODUCT(COUNTIF('2030'!$C$545:$Z$545,Setup!$F$33:$F$40))))</f>
        <v/>
      </c>
      <c r="N50" s="137">
        <f>IF($B50="","",CHOOSE(IFERROR(MATCH($C$4,Setup!$K$33:$K$36,0),1),SUMPRODUCT(COUNTIF('2027'!$C$595:$Z$595,Setup!$F$33:$F$40)),SUMPRODUCT(COUNTIF('2028'!$C$595:$Z$595,Setup!$F$33:$F$40)),SUMPRODUCT(COUNTIF('2029'!$C$595:$Z$595,Setup!$F$33:$F$40)),SUMPRODUCT(COUNTIF('2030'!$C$595:$Z$595,Setup!$F$33:$F$40))))</f>
        <v/>
      </c>
      <c r="O50" s="137">
        <f>IF($B50="","",CHOOSE(IFERROR(MATCH($C$4,Setup!$K$33:$K$36,0),1),SUMPRODUCT(COUNTIF('2027'!$C$645:$Z$645,Setup!$F$33:$F$40)),SUMPRODUCT(COUNTIF('2028'!$C$645:$Z$645,Setup!$F$33:$F$40)),SUMPRODUCT(COUNTIF('2029'!$C$645:$Z$645,Setup!$F$33:$F$40)),SUMPRODUCT(COUNTIF('2030'!$C$645:$Z$645,Setup!$F$33:$F$40))))</f>
        <v/>
      </c>
      <c r="P50" s="137">
        <f>IF($B50="","",CHOOSE(IFERROR(MATCH($C$4,Setup!$K$33:$K$36,0),1),SUMPRODUCT(COUNTIF('2027'!$C$695:$Z$695,Setup!$F$33:$F$40)),SUMPRODUCT(COUNTIF('2028'!$C$695:$Z$695,Setup!$F$33:$F$40)),SUMPRODUCT(COUNTIF('2029'!$C$695:$Z$695,Setup!$F$33:$F$40)),SUMPRODUCT(COUNTIF('2030'!$C$695:$Z$695,Setup!$F$33:$F$40))))</f>
        <v/>
      </c>
      <c r="Q50" s="137">
        <f>IF($B50="","",CHOOSE(IFERROR(MATCH($C$4,Setup!$K$33:$K$36,0),1),SUMPRODUCT(COUNTIF('2027'!$C$745:$Z$745,Setup!$F$33:$F$40)),SUMPRODUCT(COUNTIF('2028'!$C$745:$Z$745,Setup!$F$33:$F$40)),SUMPRODUCT(COUNTIF('2029'!$C$745:$Z$745,Setup!$F$33:$F$40)),SUMPRODUCT(COUNTIF('2030'!$C$745:$Z$745,Setup!$F$33:$F$40))))</f>
        <v/>
      </c>
      <c r="R50" s="137">
        <f>IF($B50="","",CHOOSE(IFERROR(MATCH($C$4,Setup!$K$33:$K$36,0),1),SUMPRODUCT(COUNTIF('2027'!$C$795:$Z$795,Setup!$F$33:$F$40)),SUMPRODUCT(COUNTIF('2028'!$C$795:$Z$795,Setup!$F$33:$F$40)),SUMPRODUCT(COUNTIF('2029'!$C$795:$Z$795,Setup!$F$33:$F$40)),SUMPRODUCT(COUNTIF('2030'!$C$795:$Z$795,Setup!$F$33:$F$40))))</f>
        <v/>
      </c>
      <c r="S50" s="137">
        <f>IF($B50="","",CHOOSE(IFERROR(MATCH($C$4,Setup!$K$33:$K$36,0),1),SUMPRODUCT(COUNTIF('2027'!$C$845:$Z$845,Setup!$F$33:$F$40)),SUMPRODUCT(COUNTIF('2028'!$C$845:$Z$845,Setup!$F$33:$F$40)),SUMPRODUCT(COUNTIF('2029'!$C$845:$Z$845,Setup!$F$33:$F$40)),SUMPRODUCT(COUNTIF('2030'!$C$845:$Z$845,Setup!$F$33:$F$40))))</f>
        <v/>
      </c>
      <c r="T50" s="137">
        <f>IF($B50="","",CHOOSE(IFERROR(MATCH($C$4,Setup!$K$33:$K$36,0),1),SUMPRODUCT(COUNTIF('2027'!$C$895:$Z$895,Setup!$F$33:$F$40)),SUMPRODUCT(COUNTIF('2028'!$C$895:$Z$895,Setup!$F$33:$F$40)),SUMPRODUCT(COUNTIF('2029'!$C$895:$Z$895,Setup!$F$33:$F$40)),SUMPRODUCT(COUNTIF('2030'!$C$895:$Z$895,Setup!$F$33:$F$40))))</f>
        <v/>
      </c>
      <c r="U50" s="137">
        <f>IF($B50="","",CHOOSE(IFERROR(MATCH($C$4,Setup!$K$33:$K$36,0),1),SUMPRODUCT(COUNTIF('2027'!$C$945:$Z$945,Setup!$F$33:$F$40)),SUMPRODUCT(COUNTIF('2028'!$C$945:$Z$945,Setup!$F$33:$F$40)),SUMPRODUCT(COUNTIF('2029'!$C$945:$Z$945,Setup!$F$33:$F$40)),SUMPRODUCT(COUNTIF('2030'!$C$945:$Z$945,Setup!$F$33:$F$40))))</f>
        <v/>
      </c>
      <c r="V50" s="137">
        <f>IF($B50="","",CHOOSE(IFERROR(MATCH($C$4,Setup!$K$33:$K$36,0),1),SUMPRODUCT(COUNTIF('2027'!$C$995:$Z$995,Setup!$F$33:$F$40)),SUMPRODUCT(COUNTIF('2028'!$C$995:$Z$995,Setup!$F$33:$F$40)),SUMPRODUCT(COUNTIF('2029'!$C$995:$Z$995,Setup!$F$33:$F$40)),SUMPRODUCT(COUNTIF('2030'!$C$995:$Z$995,Setup!$F$33:$F$40))))</f>
        <v/>
      </c>
      <c r="W50" s="137">
        <f>IF($B50="","",CHOOSE(IFERROR(MATCH($C$4,Setup!$K$33:$K$36,0),1),SUMPRODUCT(COUNTIF('2027'!$C$1045:$Z$1045,Setup!$F$33:$F$40)),SUMPRODUCT(COUNTIF('2028'!$C$1045:$Z$1045,Setup!$F$33:$F$40)),SUMPRODUCT(COUNTIF('2029'!$C$1045:$Z$1045,Setup!$F$33:$F$40)),SUMPRODUCT(COUNTIF('2030'!$C$1045:$Z$1045,Setup!$F$33:$F$40))))</f>
        <v/>
      </c>
      <c r="X50" s="137">
        <f>IF($B50="","",CHOOSE(IFERROR(MATCH($C$4,Setup!$K$33:$K$36,0),1),SUMPRODUCT(COUNTIF('2027'!$C$1095:$Z$1095,Setup!$F$33:$F$40)),SUMPRODUCT(COUNTIF('2028'!$C$1095:$Z$1095,Setup!$F$33:$F$40)),SUMPRODUCT(COUNTIF('2029'!$C$1095:$Z$1095,Setup!$F$33:$F$40)),SUMPRODUCT(COUNTIF('2030'!$C$1095:$Z$1095,Setup!$F$33:$F$40))))</f>
        <v/>
      </c>
      <c r="Y50" s="137">
        <f>IF($B50="","",CHOOSE(IFERROR(MATCH($C$4,Setup!$K$33:$K$36,0),1),SUMPRODUCT(COUNTIF('2027'!$C$1145:$Z$1145,Setup!$F$33:$F$40)),SUMPRODUCT(COUNTIF('2028'!$C$1145:$Z$1145,Setup!$F$33:$F$40)),SUMPRODUCT(COUNTIF('2029'!$C$1145:$Z$1145,Setup!$F$33:$F$40)),SUMPRODUCT(COUNTIF('2030'!$C$1145:$Z$1145,Setup!$F$33:$F$40))))</f>
        <v/>
      </c>
      <c r="Z50" s="137">
        <f>IF($B50="","",CHOOSE(IFERROR(MATCH($C$4,Setup!$K$33:$K$36,0),1),SUMPRODUCT(COUNTIF('2027'!$C$1195:$Z$1195,Setup!$F$33:$F$40)),SUMPRODUCT(COUNTIF('2028'!$C$1195:$Z$1195,Setup!$F$33:$F$40)),SUMPRODUCT(COUNTIF('2029'!$C$1195:$Z$1195,Setup!$F$33:$F$40)),SUMPRODUCT(COUNTIF('2030'!$C$1195:$Z$1195,Setup!$F$33:$F$40))))</f>
        <v/>
      </c>
      <c r="AA50" s="137">
        <f>IF($B50="","",CHOOSE(IFERROR(MATCH($C$4,Setup!$K$33:$K$36,0),1),SUMPRODUCT(COUNTIF('2027'!$C$1245:$Z$1245,Setup!$F$33:$F$40)),SUMPRODUCT(COUNTIF('2028'!$C$1245:$Z$1245,Setup!$F$33:$F$40)),SUMPRODUCT(COUNTIF('2029'!$C$1245:$Z$1245,Setup!$F$33:$F$40)),SUMPRODUCT(COUNTIF('2030'!$C$1245:$Z$1245,Setup!$F$33:$F$40))))</f>
        <v/>
      </c>
      <c r="AB50" s="137">
        <f>IF($B50="","",CHOOSE(IFERROR(MATCH($C$4,Setup!$K$33:$K$36,0),1),SUMPRODUCT(COUNTIF('2027'!$C$1295:$Z$1295,Setup!$F$33:$F$40)),SUMPRODUCT(COUNTIF('2028'!$C$1295:$Z$1295,Setup!$F$33:$F$40)),SUMPRODUCT(COUNTIF('2029'!$C$1295:$Z$1295,Setup!$F$33:$F$40)),SUMPRODUCT(COUNTIF('2030'!$C$1295:$Z$1295,Setup!$F$33:$F$40))))</f>
        <v/>
      </c>
      <c r="AC50" s="137">
        <f>IF($B50="","",CHOOSE(IFERROR(MATCH($C$4,Setup!$K$33:$K$36,0),1),SUMPRODUCT(COUNTIF('2027'!$C$1345:$Z$1345,Setup!$F$33:$F$40)),SUMPRODUCT(COUNTIF('2028'!$C$1345:$Z$1345,Setup!$F$33:$F$40)),SUMPRODUCT(COUNTIF('2029'!$C$1345:$Z$1345,Setup!$F$33:$F$40)),SUMPRODUCT(COUNTIF('2030'!$C$1345:$Z$1345,Setup!$F$33:$F$40))))</f>
        <v/>
      </c>
      <c r="AD50" s="137">
        <f>IF($B50="","",CHOOSE(IFERROR(MATCH($C$4,Setup!$K$33:$K$36,0),1),SUMPRODUCT(COUNTIF('2027'!$C$1395:$Z$1395,Setup!$F$33:$F$40)),SUMPRODUCT(COUNTIF('2028'!$C$1395:$Z$1395,Setup!$F$33:$F$40)),SUMPRODUCT(COUNTIF('2029'!$C$1395:$Z$1395,Setup!$F$33:$F$40)),SUMPRODUCT(COUNTIF('2030'!$C$1395:$Z$1395,Setup!$F$33:$F$40))))</f>
        <v/>
      </c>
      <c r="AE50" s="137">
        <f>IF($B50="","",CHOOSE(IFERROR(MATCH($C$4,Setup!$K$33:$K$36,0),1),SUMPRODUCT(COUNTIF('2027'!$C$1445:$Z$1445,Setup!$F$33:$F$40)),SUMPRODUCT(COUNTIF('2028'!$C$1445:$Z$1445,Setup!$F$33:$F$40)),SUMPRODUCT(COUNTIF('2029'!$C$1445:$Z$1445,Setup!$F$33:$F$40)),SUMPRODUCT(COUNTIF('2030'!$C$1445:$Z$1445,Setup!$F$33:$F$40))))</f>
        <v/>
      </c>
      <c r="AF50" s="137">
        <f>IF($B50="","",CHOOSE(IFERROR(MATCH($C$4,Setup!$K$33:$K$36,0),1),SUMPRODUCT(COUNTIF('2027'!$C$1495:$Z$1495,Setup!$F$33:$F$40)),SUMPRODUCT(COUNTIF('2028'!$C$1495:$Z$1495,Setup!$F$33:$F$40)),SUMPRODUCT(COUNTIF('2029'!$C$1495:$Z$1495,Setup!$F$33:$F$40)),SUMPRODUCT(COUNTIF('2030'!$C$1495:$Z$1495,Setup!$F$33:$F$40))))</f>
        <v/>
      </c>
      <c r="AG50" s="137">
        <f>IF($B50="","",CHOOSE(IFERROR(MATCH($C$4,Setup!$K$33:$K$36,0),1),SUMPRODUCT(COUNTIF('2027'!$C$1545:$Z$1545,Setup!$F$33:$F$40)),SUMPRODUCT(COUNTIF('2028'!$C$1545:$Z$1545,Setup!$F$33:$F$40)),SUMPRODUCT(COUNTIF('2029'!$C$1545:$Z$1545,Setup!$F$33:$F$40)),SUMPRODUCT(COUNTIF('2030'!$C$1545:$Z$1545,Setup!$F$33:$F$40))))</f>
        <v/>
      </c>
      <c r="AH50" s="137">
        <f>IF($B50="","",CHOOSE(IFERROR(MATCH($C$4,Setup!$K$33:$K$36,0),1),SUMPRODUCT(COUNTIF('2027'!$C$1595:$Z$1595,Setup!$F$33:$F$40)),SUMPRODUCT(COUNTIF('2028'!$C$1595:$Z$1595,Setup!$F$33:$F$40)),SUMPRODUCT(COUNTIF('2029'!$C$1595:$Z$1595,Setup!$F$33:$F$40)),SUMPRODUCT(COUNTIF('2030'!$C$1595:$Z$1595,Setup!$F$33:$F$40))))</f>
        <v/>
      </c>
      <c r="AI50" s="137">
        <f>IF($B50="","",CHOOSE(IFERROR(MATCH($C$4,Setup!$K$33:$K$36,0),1),SUMPRODUCT(COUNTIF('2027'!$C$1645:$Z$1645,Setup!$F$33:$F$40)),SUMPRODUCT(COUNTIF('2028'!$C$1645:$Z$1645,Setup!$F$33:$F$40)),SUMPRODUCT(COUNTIF('2029'!$C$1645:$Z$1645,Setup!$F$33:$F$40)),SUMPRODUCT(COUNTIF('2030'!$C$1645:$Z$1645,Setup!$F$33:$F$40))))</f>
        <v/>
      </c>
      <c r="AJ50" s="137">
        <f>IF($B50="","",CHOOSE(IFERROR(MATCH($C$4,Setup!$K$33:$K$36,0),1),SUMPRODUCT(COUNTIF('2027'!$C$1695:$Z$1695,Setup!$F$33:$F$40)),SUMPRODUCT(COUNTIF('2028'!$C$1695:$Z$1695,Setup!$F$33:$F$40)),SUMPRODUCT(COUNTIF('2029'!$C$1695:$Z$1695,Setup!$F$33:$F$40)),SUMPRODUCT(COUNTIF('2030'!$C$1695:$Z$1695,Setup!$F$33:$F$40))))</f>
        <v/>
      </c>
      <c r="AK50" s="137">
        <f>IF($B50="","",CHOOSE(IFERROR(MATCH($C$4,Setup!$K$33:$K$36,0),1),SUMPRODUCT(COUNTIF('2027'!$C$1745:$Z$1745,Setup!$F$33:$F$40)),SUMPRODUCT(COUNTIF('2028'!$C$1745:$Z$1745,Setup!$F$33:$F$40)),SUMPRODUCT(COUNTIF('2029'!$C$1745:$Z$1745,Setup!$F$33:$F$40)),SUMPRODUCT(COUNTIF('2030'!$C$1745:$Z$1745,Setup!$F$33:$F$40))))</f>
        <v/>
      </c>
      <c r="AL50" s="137">
        <f>IF($B50="","",CHOOSE(IFERROR(MATCH($C$4,Setup!$K$33:$K$36,0),1),SUMPRODUCT(COUNTIF('2027'!$C$1795:$Z$1795,Setup!$F$33:$F$40)),SUMPRODUCT(COUNTIF('2028'!$C$1795:$Z$1795,Setup!$F$33:$F$40)),SUMPRODUCT(COUNTIF('2029'!$C$1795:$Z$1795,Setup!$F$33:$F$40)),SUMPRODUCT(COUNTIF('2030'!$C$1795:$Z$1795,Setup!$F$33:$F$40))))</f>
        <v/>
      </c>
      <c r="AM50" s="137">
        <f>IF($B50="","",CHOOSE(IFERROR(MATCH($C$4,Setup!$K$33:$K$36,0),1),SUMPRODUCT(COUNTIF('2027'!$C$1845:$Z$1845,Setup!$F$33:$F$40)),SUMPRODUCT(COUNTIF('2028'!$C$1845:$Z$1845,Setup!$F$33:$F$40)),SUMPRODUCT(COUNTIF('2029'!$C$1845:$Z$1845,Setup!$F$33:$F$40)),SUMPRODUCT(COUNTIF('2030'!$C$1845:$Z$1845,Setup!$F$33:$F$40))))</f>
        <v/>
      </c>
      <c r="AN50" s="137">
        <f>IF($B50="","",CHOOSE(IFERROR(MATCH($C$4,Setup!$K$33:$K$36,0),1),SUMPRODUCT(COUNTIF('2027'!$C$1895:$Z$1895,Setup!$F$33:$F$40)),SUMPRODUCT(COUNTIF('2028'!$C$1895:$Z$1895,Setup!$F$33:$F$40)),SUMPRODUCT(COUNTIF('2029'!$C$1895:$Z$1895,Setup!$F$33:$F$40)),SUMPRODUCT(COUNTIF('2030'!$C$1895:$Z$1895,Setup!$F$33:$F$40))))</f>
        <v/>
      </c>
      <c r="AO50" s="137">
        <f>IF($B50="","",CHOOSE(IFERROR(MATCH($C$4,Setup!$K$33:$K$36,0),1),SUMPRODUCT(COUNTIF('2027'!$C$1945:$Z$1945,Setup!$F$33:$F$40)),SUMPRODUCT(COUNTIF('2028'!$C$1945:$Z$1945,Setup!$F$33:$F$40)),SUMPRODUCT(COUNTIF('2029'!$C$1945:$Z$1945,Setup!$F$33:$F$40)),SUMPRODUCT(COUNTIF('2030'!$C$1945:$Z$1945,Setup!$F$33:$F$40))))</f>
        <v/>
      </c>
      <c r="AP50" s="137">
        <f>IF($B50="","",CHOOSE(IFERROR(MATCH($C$4,Setup!$K$33:$K$36,0),1),SUMPRODUCT(COUNTIF('2027'!$C$1995:$Z$1995,Setup!$F$33:$F$40)),SUMPRODUCT(COUNTIF('2028'!$C$1995:$Z$1995,Setup!$F$33:$F$40)),SUMPRODUCT(COUNTIF('2029'!$C$1995:$Z$1995,Setup!$F$33:$F$40)),SUMPRODUCT(COUNTIF('2030'!$C$1995:$Z$1995,Setup!$F$33:$F$40))))</f>
        <v/>
      </c>
      <c r="AQ50" s="137">
        <f>IF($B50="","",CHOOSE(IFERROR(MATCH($C$4,Setup!$K$33:$K$36,0),1),SUMPRODUCT(COUNTIF('2027'!$C$2045:$Z$2045,Setup!$F$33:$F$40)),SUMPRODUCT(COUNTIF('2028'!$C$2045:$Z$2045,Setup!$F$33:$F$40)),SUMPRODUCT(COUNTIF('2029'!$C$2045:$Z$2045,Setup!$F$33:$F$40)),SUMPRODUCT(COUNTIF('2030'!$C$2045:$Z$2045,Setup!$F$33:$F$40))))</f>
        <v/>
      </c>
      <c r="AR50" s="137">
        <f>IF($B50="","",CHOOSE(IFERROR(MATCH($C$4,Setup!$K$33:$K$36,0),1),SUMPRODUCT(COUNTIF('2027'!$C$2095:$Z$2095,Setup!$F$33:$F$40)),SUMPRODUCT(COUNTIF('2028'!$C$2095:$Z$2095,Setup!$F$33:$F$40)),SUMPRODUCT(COUNTIF('2029'!$C$2095:$Z$2095,Setup!$F$33:$F$40)),SUMPRODUCT(COUNTIF('2030'!$C$2095:$Z$2095,Setup!$F$33:$F$40))))</f>
        <v/>
      </c>
      <c r="AS50" s="137">
        <f>IF($B50="","",CHOOSE(IFERROR(MATCH($C$4,Setup!$K$33:$K$36,0),1),SUMPRODUCT(COUNTIF('2027'!$C$2145:$Z$2145,Setup!$F$33:$F$40)),SUMPRODUCT(COUNTIF('2028'!$C$2145:$Z$2145,Setup!$F$33:$F$40)),SUMPRODUCT(COUNTIF('2029'!$C$2145:$Z$2145,Setup!$F$33:$F$40)),SUMPRODUCT(COUNTIF('2030'!$C$2145:$Z$2145,Setup!$F$33:$F$40))))</f>
        <v/>
      </c>
      <c r="AT50" s="137">
        <f>IF($B50="","",CHOOSE(IFERROR(MATCH($C$4,Setup!$K$33:$K$36,0),1),SUMPRODUCT(COUNTIF('2027'!$C$2195:$Z$2195,Setup!$F$33:$F$40)),SUMPRODUCT(COUNTIF('2028'!$C$2195:$Z$2195,Setup!$F$33:$F$40)),SUMPRODUCT(COUNTIF('2029'!$C$2195:$Z$2195,Setup!$F$33:$F$40)),SUMPRODUCT(COUNTIF('2030'!$C$2195:$Z$2195,Setup!$F$33:$F$40))))</f>
        <v/>
      </c>
      <c r="AU50" s="137">
        <f>IF($B50="","",CHOOSE(IFERROR(MATCH($C$4,Setup!$K$33:$K$36,0),1),SUMPRODUCT(COUNTIF('2027'!$C$2245:$Z$2245,Setup!$F$33:$F$40)),SUMPRODUCT(COUNTIF('2028'!$C$2245:$Z$2245,Setup!$F$33:$F$40)),SUMPRODUCT(COUNTIF('2029'!$C$2245:$Z$2245,Setup!$F$33:$F$40)),SUMPRODUCT(COUNTIF('2030'!$C$2245:$Z$2245,Setup!$F$33:$F$40))))</f>
        <v/>
      </c>
      <c r="AV50" s="137">
        <f>IF($B50="","",CHOOSE(IFERROR(MATCH($C$4,Setup!$K$33:$K$36,0),1),SUMPRODUCT(COUNTIF('2027'!$C$2295:$Z$2295,Setup!$F$33:$F$40)),SUMPRODUCT(COUNTIF('2028'!$C$2295:$Z$2295,Setup!$F$33:$F$40)),SUMPRODUCT(COUNTIF('2029'!$C$2295:$Z$2295,Setup!$F$33:$F$40)),SUMPRODUCT(COUNTIF('2030'!$C$2295:$Z$2295,Setup!$F$33:$F$40))))</f>
        <v/>
      </c>
      <c r="AW50" s="137">
        <f>IF($B50="","",CHOOSE(IFERROR(MATCH($C$4,Setup!$K$33:$K$36,0),1),SUMPRODUCT(COUNTIF('2027'!$C$2345:$Z$2345,Setup!$F$33:$F$40)),SUMPRODUCT(COUNTIF('2028'!$C$2345:$Z$2345,Setup!$F$33:$F$40)),SUMPRODUCT(COUNTIF('2029'!$C$2345:$Z$2345,Setup!$F$33:$F$40)),SUMPRODUCT(COUNTIF('2030'!$C$2345:$Z$2345,Setup!$F$33:$F$40))))</f>
        <v/>
      </c>
      <c r="AX50" s="137">
        <f>IF($B50="","",CHOOSE(IFERROR(MATCH($C$4,Setup!$K$33:$K$36,0),1),SUMPRODUCT(COUNTIF('2027'!$C$2395:$Z$2395,Setup!$F$33:$F$40)),SUMPRODUCT(COUNTIF('2028'!$C$2395:$Z$2395,Setup!$F$33:$F$40)),SUMPRODUCT(COUNTIF('2029'!$C$2395:$Z$2395,Setup!$F$33:$F$40)),SUMPRODUCT(COUNTIF('2030'!$C$2395:$Z$2395,Setup!$F$33:$F$40))))</f>
        <v/>
      </c>
      <c r="AY50" s="137">
        <f>IF($B50="","",CHOOSE(IFERROR(MATCH($C$4,Setup!$K$33:$K$36,0),1),SUMPRODUCT(COUNTIF('2027'!$C$2445:$Z$2445,Setup!$F$33:$F$40)),SUMPRODUCT(COUNTIF('2028'!$C$2445:$Z$2445,Setup!$F$33:$F$40)),SUMPRODUCT(COUNTIF('2029'!$C$2445:$Z$2445,Setup!$F$33:$F$40)),SUMPRODUCT(COUNTIF('2030'!$C$2445:$Z$2445,Setup!$F$33:$F$40))))</f>
        <v/>
      </c>
      <c r="AZ50" s="137">
        <f>IF($B50="","",CHOOSE(IFERROR(MATCH($C$4,Setup!$K$33:$K$36,0),1),SUMPRODUCT(COUNTIF('2027'!$C$2495:$Z$2495,Setup!$F$33:$F$40)),SUMPRODUCT(COUNTIF('2028'!$C$2495:$Z$2495,Setup!$F$33:$F$40)),SUMPRODUCT(COUNTIF('2029'!$C$2495:$Z$2495,Setup!$F$33:$F$40)),SUMPRODUCT(COUNTIF('2030'!$C$2495:$Z$2495,Setup!$F$33:$F$40))))</f>
        <v/>
      </c>
      <c r="BA50" s="137">
        <f>IF($B50="","",CHOOSE(IFERROR(MATCH($C$4,Setup!$K$33:$K$36,0),1),SUMPRODUCT(COUNTIF('2027'!$C$2545:$Z$2545,Setup!$F$33:$F$40)),SUMPRODUCT(COUNTIF('2028'!$C$2545:$Z$2545,Setup!$F$33:$F$40)),SUMPRODUCT(COUNTIF('2029'!$C$2545:$Z$2545,Setup!$F$33:$F$40)),SUMPRODUCT(COUNTIF('2030'!$C$2545:$Z$2545,Setup!$F$33:$F$40))))</f>
        <v/>
      </c>
      <c r="BB50" s="137">
        <f>IF($B50="","",CHOOSE(IFERROR(MATCH($C$4,Setup!$K$33:$K$36,0),1),SUMPRODUCT(COUNTIF('2027'!$C$2595:$Z$2595,Setup!$F$33:$F$40)),SUMPRODUCT(COUNTIF('2028'!$C$2595:$Z$2595,Setup!$F$33:$F$40)),SUMPRODUCT(COUNTIF('2029'!$C$2595:$Z$2595,Setup!$F$33:$F$40)),SUMPRODUCT(COUNTIF('2030'!$C$2595:$Z$2595,Setup!$F$33:$F$40))))</f>
        <v/>
      </c>
      <c r="BC50" s="137">
        <f>IF($B50="","",CHOOSE(IFERROR(MATCH($C$4,Setup!$K$33:$K$36,0),1),SUMPRODUCT(COUNTIF('2027'!$C$2645:$Z$2645,Setup!$F$33:$F$40)),SUMPRODUCT(COUNTIF('2028'!$C$2645:$Z$2645,Setup!$F$33:$F$40)),SUMPRODUCT(COUNTIF('2029'!$C$2645:$Z$2645,Setup!$F$33:$F$40)),SUMPRODUCT(COUNTIF('2030'!$C$2645:$Z$2645,Setup!$F$33:$F$40))))</f>
        <v/>
      </c>
      <c r="BE50" s="129">
        <f>IF($B50="","",SUM(C50:BC50))</f>
        <v/>
      </c>
      <c r="BF50" s="130">
        <f>IF($B50="","",COUNTIF(C50:BC50,"&gt;0"))</f>
        <v/>
      </c>
      <c r="BG50" s="130">
        <f>IF(OR($B50="",N(BE50)=0),"",MATCH(MAX(C50:BC50),C50:BC50,0))</f>
        <v/>
      </c>
    </row>
    <row r="51" ht="15" customHeight="1">
      <c r="B51" s="136">
        <f>IF(Setup!$B$25="","",Setup!$B$25)</f>
        <v/>
      </c>
      <c r="C51" s="137">
        <f>IF($B51="","",CHOOSE(IFERROR(MATCH($C$4,Setup!$K$33:$K$36,0),1),SUMPRODUCT(COUNTIF('2027'!$C$46:$Z$46,Setup!$F$33:$F$40)),SUMPRODUCT(COUNTIF('2028'!$C$46:$Z$46,Setup!$F$33:$F$40)),SUMPRODUCT(COUNTIF('2029'!$C$46:$Z$46,Setup!$F$33:$F$40)),SUMPRODUCT(COUNTIF('2030'!$C$46:$Z$46,Setup!$F$33:$F$40))))</f>
        <v/>
      </c>
      <c r="D51" s="137">
        <f>IF($B51="","",CHOOSE(IFERROR(MATCH($C$4,Setup!$K$33:$K$36,0),1),SUMPRODUCT(COUNTIF('2027'!$C$96:$Z$96,Setup!$F$33:$F$40)),SUMPRODUCT(COUNTIF('2028'!$C$96:$Z$96,Setup!$F$33:$F$40)),SUMPRODUCT(COUNTIF('2029'!$C$96:$Z$96,Setup!$F$33:$F$40)),SUMPRODUCT(COUNTIF('2030'!$C$96:$Z$96,Setup!$F$33:$F$40))))</f>
        <v/>
      </c>
      <c r="E51" s="137">
        <f>IF($B51="","",CHOOSE(IFERROR(MATCH($C$4,Setup!$K$33:$K$36,0),1),SUMPRODUCT(COUNTIF('2027'!$C$146:$Z$146,Setup!$F$33:$F$40)),SUMPRODUCT(COUNTIF('2028'!$C$146:$Z$146,Setup!$F$33:$F$40)),SUMPRODUCT(COUNTIF('2029'!$C$146:$Z$146,Setup!$F$33:$F$40)),SUMPRODUCT(COUNTIF('2030'!$C$146:$Z$146,Setup!$F$33:$F$40))))</f>
        <v/>
      </c>
      <c r="F51" s="137">
        <f>IF($B51="","",CHOOSE(IFERROR(MATCH($C$4,Setup!$K$33:$K$36,0),1),SUMPRODUCT(COUNTIF('2027'!$C$196:$Z$196,Setup!$F$33:$F$40)),SUMPRODUCT(COUNTIF('2028'!$C$196:$Z$196,Setup!$F$33:$F$40)),SUMPRODUCT(COUNTIF('2029'!$C$196:$Z$196,Setup!$F$33:$F$40)),SUMPRODUCT(COUNTIF('2030'!$C$196:$Z$196,Setup!$F$33:$F$40))))</f>
        <v/>
      </c>
      <c r="G51" s="137">
        <f>IF($B51="","",CHOOSE(IFERROR(MATCH($C$4,Setup!$K$33:$K$36,0),1),SUMPRODUCT(COUNTIF('2027'!$C$246:$Z$246,Setup!$F$33:$F$40)),SUMPRODUCT(COUNTIF('2028'!$C$246:$Z$246,Setup!$F$33:$F$40)),SUMPRODUCT(COUNTIF('2029'!$C$246:$Z$246,Setup!$F$33:$F$40)),SUMPRODUCT(COUNTIF('2030'!$C$246:$Z$246,Setup!$F$33:$F$40))))</f>
        <v/>
      </c>
      <c r="H51" s="137">
        <f>IF($B51="","",CHOOSE(IFERROR(MATCH($C$4,Setup!$K$33:$K$36,0),1),SUMPRODUCT(COUNTIF('2027'!$C$296:$Z$296,Setup!$F$33:$F$40)),SUMPRODUCT(COUNTIF('2028'!$C$296:$Z$296,Setup!$F$33:$F$40)),SUMPRODUCT(COUNTIF('2029'!$C$296:$Z$296,Setup!$F$33:$F$40)),SUMPRODUCT(COUNTIF('2030'!$C$296:$Z$296,Setup!$F$33:$F$40))))</f>
        <v/>
      </c>
      <c r="I51" s="137">
        <f>IF($B51="","",CHOOSE(IFERROR(MATCH($C$4,Setup!$K$33:$K$36,0),1),SUMPRODUCT(COUNTIF('2027'!$C$346:$Z$346,Setup!$F$33:$F$40)),SUMPRODUCT(COUNTIF('2028'!$C$346:$Z$346,Setup!$F$33:$F$40)),SUMPRODUCT(COUNTIF('2029'!$C$346:$Z$346,Setup!$F$33:$F$40)),SUMPRODUCT(COUNTIF('2030'!$C$346:$Z$346,Setup!$F$33:$F$40))))</f>
        <v/>
      </c>
      <c r="J51" s="137">
        <f>IF($B51="","",CHOOSE(IFERROR(MATCH($C$4,Setup!$K$33:$K$36,0),1),SUMPRODUCT(COUNTIF('2027'!$C$396:$Z$396,Setup!$F$33:$F$40)),SUMPRODUCT(COUNTIF('2028'!$C$396:$Z$396,Setup!$F$33:$F$40)),SUMPRODUCT(COUNTIF('2029'!$C$396:$Z$396,Setup!$F$33:$F$40)),SUMPRODUCT(COUNTIF('2030'!$C$396:$Z$396,Setup!$F$33:$F$40))))</f>
        <v/>
      </c>
      <c r="K51" s="137">
        <f>IF($B51="","",CHOOSE(IFERROR(MATCH($C$4,Setup!$K$33:$K$36,0),1),SUMPRODUCT(COUNTIF('2027'!$C$446:$Z$446,Setup!$F$33:$F$40)),SUMPRODUCT(COUNTIF('2028'!$C$446:$Z$446,Setup!$F$33:$F$40)),SUMPRODUCT(COUNTIF('2029'!$C$446:$Z$446,Setup!$F$33:$F$40)),SUMPRODUCT(COUNTIF('2030'!$C$446:$Z$446,Setup!$F$33:$F$40))))</f>
        <v/>
      </c>
      <c r="L51" s="137">
        <f>IF($B51="","",CHOOSE(IFERROR(MATCH($C$4,Setup!$K$33:$K$36,0),1),SUMPRODUCT(COUNTIF('2027'!$C$496:$Z$496,Setup!$F$33:$F$40)),SUMPRODUCT(COUNTIF('2028'!$C$496:$Z$496,Setup!$F$33:$F$40)),SUMPRODUCT(COUNTIF('2029'!$C$496:$Z$496,Setup!$F$33:$F$40)),SUMPRODUCT(COUNTIF('2030'!$C$496:$Z$496,Setup!$F$33:$F$40))))</f>
        <v/>
      </c>
      <c r="M51" s="137">
        <f>IF($B51="","",CHOOSE(IFERROR(MATCH($C$4,Setup!$K$33:$K$36,0),1),SUMPRODUCT(COUNTIF('2027'!$C$546:$Z$546,Setup!$F$33:$F$40)),SUMPRODUCT(COUNTIF('2028'!$C$546:$Z$546,Setup!$F$33:$F$40)),SUMPRODUCT(COUNTIF('2029'!$C$546:$Z$546,Setup!$F$33:$F$40)),SUMPRODUCT(COUNTIF('2030'!$C$546:$Z$546,Setup!$F$33:$F$40))))</f>
        <v/>
      </c>
      <c r="N51" s="137">
        <f>IF($B51="","",CHOOSE(IFERROR(MATCH($C$4,Setup!$K$33:$K$36,0),1),SUMPRODUCT(COUNTIF('2027'!$C$596:$Z$596,Setup!$F$33:$F$40)),SUMPRODUCT(COUNTIF('2028'!$C$596:$Z$596,Setup!$F$33:$F$40)),SUMPRODUCT(COUNTIF('2029'!$C$596:$Z$596,Setup!$F$33:$F$40)),SUMPRODUCT(COUNTIF('2030'!$C$596:$Z$596,Setup!$F$33:$F$40))))</f>
        <v/>
      </c>
      <c r="O51" s="137">
        <f>IF($B51="","",CHOOSE(IFERROR(MATCH($C$4,Setup!$K$33:$K$36,0),1),SUMPRODUCT(COUNTIF('2027'!$C$646:$Z$646,Setup!$F$33:$F$40)),SUMPRODUCT(COUNTIF('2028'!$C$646:$Z$646,Setup!$F$33:$F$40)),SUMPRODUCT(COUNTIF('2029'!$C$646:$Z$646,Setup!$F$33:$F$40)),SUMPRODUCT(COUNTIF('2030'!$C$646:$Z$646,Setup!$F$33:$F$40))))</f>
        <v/>
      </c>
      <c r="P51" s="137">
        <f>IF($B51="","",CHOOSE(IFERROR(MATCH($C$4,Setup!$K$33:$K$36,0),1),SUMPRODUCT(COUNTIF('2027'!$C$696:$Z$696,Setup!$F$33:$F$40)),SUMPRODUCT(COUNTIF('2028'!$C$696:$Z$696,Setup!$F$33:$F$40)),SUMPRODUCT(COUNTIF('2029'!$C$696:$Z$696,Setup!$F$33:$F$40)),SUMPRODUCT(COUNTIF('2030'!$C$696:$Z$696,Setup!$F$33:$F$40))))</f>
        <v/>
      </c>
      <c r="Q51" s="137">
        <f>IF($B51="","",CHOOSE(IFERROR(MATCH($C$4,Setup!$K$33:$K$36,0),1),SUMPRODUCT(COUNTIF('2027'!$C$746:$Z$746,Setup!$F$33:$F$40)),SUMPRODUCT(COUNTIF('2028'!$C$746:$Z$746,Setup!$F$33:$F$40)),SUMPRODUCT(COUNTIF('2029'!$C$746:$Z$746,Setup!$F$33:$F$40)),SUMPRODUCT(COUNTIF('2030'!$C$746:$Z$746,Setup!$F$33:$F$40))))</f>
        <v/>
      </c>
      <c r="R51" s="137">
        <f>IF($B51="","",CHOOSE(IFERROR(MATCH($C$4,Setup!$K$33:$K$36,0),1),SUMPRODUCT(COUNTIF('2027'!$C$796:$Z$796,Setup!$F$33:$F$40)),SUMPRODUCT(COUNTIF('2028'!$C$796:$Z$796,Setup!$F$33:$F$40)),SUMPRODUCT(COUNTIF('2029'!$C$796:$Z$796,Setup!$F$33:$F$40)),SUMPRODUCT(COUNTIF('2030'!$C$796:$Z$796,Setup!$F$33:$F$40))))</f>
        <v/>
      </c>
      <c r="S51" s="137">
        <f>IF($B51="","",CHOOSE(IFERROR(MATCH($C$4,Setup!$K$33:$K$36,0),1),SUMPRODUCT(COUNTIF('2027'!$C$846:$Z$846,Setup!$F$33:$F$40)),SUMPRODUCT(COUNTIF('2028'!$C$846:$Z$846,Setup!$F$33:$F$40)),SUMPRODUCT(COUNTIF('2029'!$C$846:$Z$846,Setup!$F$33:$F$40)),SUMPRODUCT(COUNTIF('2030'!$C$846:$Z$846,Setup!$F$33:$F$40))))</f>
        <v/>
      </c>
      <c r="T51" s="137">
        <f>IF($B51="","",CHOOSE(IFERROR(MATCH($C$4,Setup!$K$33:$K$36,0),1),SUMPRODUCT(COUNTIF('2027'!$C$896:$Z$896,Setup!$F$33:$F$40)),SUMPRODUCT(COUNTIF('2028'!$C$896:$Z$896,Setup!$F$33:$F$40)),SUMPRODUCT(COUNTIF('2029'!$C$896:$Z$896,Setup!$F$33:$F$40)),SUMPRODUCT(COUNTIF('2030'!$C$896:$Z$896,Setup!$F$33:$F$40))))</f>
        <v/>
      </c>
      <c r="U51" s="137">
        <f>IF($B51="","",CHOOSE(IFERROR(MATCH($C$4,Setup!$K$33:$K$36,0),1),SUMPRODUCT(COUNTIF('2027'!$C$946:$Z$946,Setup!$F$33:$F$40)),SUMPRODUCT(COUNTIF('2028'!$C$946:$Z$946,Setup!$F$33:$F$40)),SUMPRODUCT(COUNTIF('2029'!$C$946:$Z$946,Setup!$F$33:$F$40)),SUMPRODUCT(COUNTIF('2030'!$C$946:$Z$946,Setup!$F$33:$F$40))))</f>
        <v/>
      </c>
      <c r="V51" s="137">
        <f>IF($B51="","",CHOOSE(IFERROR(MATCH($C$4,Setup!$K$33:$K$36,0),1),SUMPRODUCT(COUNTIF('2027'!$C$996:$Z$996,Setup!$F$33:$F$40)),SUMPRODUCT(COUNTIF('2028'!$C$996:$Z$996,Setup!$F$33:$F$40)),SUMPRODUCT(COUNTIF('2029'!$C$996:$Z$996,Setup!$F$33:$F$40)),SUMPRODUCT(COUNTIF('2030'!$C$996:$Z$996,Setup!$F$33:$F$40))))</f>
        <v/>
      </c>
      <c r="W51" s="137">
        <f>IF($B51="","",CHOOSE(IFERROR(MATCH($C$4,Setup!$K$33:$K$36,0),1),SUMPRODUCT(COUNTIF('2027'!$C$1046:$Z$1046,Setup!$F$33:$F$40)),SUMPRODUCT(COUNTIF('2028'!$C$1046:$Z$1046,Setup!$F$33:$F$40)),SUMPRODUCT(COUNTIF('2029'!$C$1046:$Z$1046,Setup!$F$33:$F$40)),SUMPRODUCT(COUNTIF('2030'!$C$1046:$Z$1046,Setup!$F$33:$F$40))))</f>
        <v/>
      </c>
      <c r="X51" s="137">
        <f>IF($B51="","",CHOOSE(IFERROR(MATCH($C$4,Setup!$K$33:$K$36,0),1),SUMPRODUCT(COUNTIF('2027'!$C$1096:$Z$1096,Setup!$F$33:$F$40)),SUMPRODUCT(COUNTIF('2028'!$C$1096:$Z$1096,Setup!$F$33:$F$40)),SUMPRODUCT(COUNTIF('2029'!$C$1096:$Z$1096,Setup!$F$33:$F$40)),SUMPRODUCT(COUNTIF('2030'!$C$1096:$Z$1096,Setup!$F$33:$F$40))))</f>
        <v/>
      </c>
      <c r="Y51" s="137">
        <f>IF($B51="","",CHOOSE(IFERROR(MATCH($C$4,Setup!$K$33:$K$36,0),1),SUMPRODUCT(COUNTIF('2027'!$C$1146:$Z$1146,Setup!$F$33:$F$40)),SUMPRODUCT(COUNTIF('2028'!$C$1146:$Z$1146,Setup!$F$33:$F$40)),SUMPRODUCT(COUNTIF('2029'!$C$1146:$Z$1146,Setup!$F$33:$F$40)),SUMPRODUCT(COUNTIF('2030'!$C$1146:$Z$1146,Setup!$F$33:$F$40))))</f>
        <v/>
      </c>
      <c r="Z51" s="137">
        <f>IF($B51="","",CHOOSE(IFERROR(MATCH($C$4,Setup!$K$33:$K$36,0),1),SUMPRODUCT(COUNTIF('2027'!$C$1196:$Z$1196,Setup!$F$33:$F$40)),SUMPRODUCT(COUNTIF('2028'!$C$1196:$Z$1196,Setup!$F$33:$F$40)),SUMPRODUCT(COUNTIF('2029'!$C$1196:$Z$1196,Setup!$F$33:$F$40)),SUMPRODUCT(COUNTIF('2030'!$C$1196:$Z$1196,Setup!$F$33:$F$40))))</f>
        <v/>
      </c>
      <c r="AA51" s="137">
        <f>IF($B51="","",CHOOSE(IFERROR(MATCH($C$4,Setup!$K$33:$K$36,0),1),SUMPRODUCT(COUNTIF('2027'!$C$1246:$Z$1246,Setup!$F$33:$F$40)),SUMPRODUCT(COUNTIF('2028'!$C$1246:$Z$1246,Setup!$F$33:$F$40)),SUMPRODUCT(COUNTIF('2029'!$C$1246:$Z$1246,Setup!$F$33:$F$40)),SUMPRODUCT(COUNTIF('2030'!$C$1246:$Z$1246,Setup!$F$33:$F$40))))</f>
        <v/>
      </c>
      <c r="AB51" s="137">
        <f>IF($B51="","",CHOOSE(IFERROR(MATCH($C$4,Setup!$K$33:$K$36,0),1),SUMPRODUCT(COUNTIF('2027'!$C$1296:$Z$1296,Setup!$F$33:$F$40)),SUMPRODUCT(COUNTIF('2028'!$C$1296:$Z$1296,Setup!$F$33:$F$40)),SUMPRODUCT(COUNTIF('2029'!$C$1296:$Z$1296,Setup!$F$33:$F$40)),SUMPRODUCT(COUNTIF('2030'!$C$1296:$Z$1296,Setup!$F$33:$F$40))))</f>
        <v/>
      </c>
      <c r="AC51" s="137">
        <f>IF($B51="","",CHOOSE(IFERROR(MATCH($C$4,Setup!$K$33:$K$36,0),1),SUMPRODUCT(COUNTIF('2027'!$C$1346:$Z$1346,Setup!$F$33:$F$40)),SUMPRODUCT(COUNTIF('2028'!$C$1346:$Z$1346,Setup!$F$33:$F$40)),SUMPRODUCT(COUNTIF('2029'!$C$1346:$Z$1346,Setup!$F$33:$F$40)),SUMPRODUCT(COUNTIF('2030'!$C$1346:$Z$1346,Setup!$F$33:$F$40))))</f>
        <v/>
      </c>
      <c r="AD51" s="137">
        <f>IF($B51="","",CHOOSE(IFERROR(MATCH($C$4,Setup!$K$33:$K$36,0),1),SUMPRODUCT(COUNTIF('2027'!$C$1396:$Z$1396,Setup!$F$33:$F$40)),SUMPRODUCT(COUNTIF('2028'!$C$1396:$Z$1396,Setup!$F$33:$F$40)),SUMPRODUCT(COUNTIF('2029'!$C$1396:$Z$1396,Setup!$F$33:$F$40)),SUMPRODUCT(COUNTIF('2030'!$C$1396:$Z$1396,Setup!$F$33:$F$40))))</f>
        <v/>
      </c>
      <c r="AE51" s="137">
        <f>IF($B51="","",CHOOSE(IFERROR(MATCH($C$4,Setup!$K$33:$K$36,0),1),SUMPRODUCT(COUNTIF('2027'!$C$1446:$Z$1446,Setup!$F$33:$F$40)),SUMPRODUCT(COUNTIF('2028'!$C$1446:$Z$1446,Setup!$F$33:$F$40)),SUMPRODUCT(COUNTIF('2029'!$C$1446:$Z$1446,Setup!$F$33:$F$40)),SUMPRODUCT(COUNTIF('2030'!$C$1446:$Z$1446,Setup!$F$33:$F$40))))</f>
        <v/>
      </c>
      <c r="AF51" s="137">
        <f>IF($B51="","",CHOOSE(IFERROR(MATCH($C$4,Setup!$K$33:$K$36,0),1),SUMPRODUCT(COUNTIF('2027'!$C$1496:$Z$1496,Setup!$F$33:$F$40)),SUMPRODUCT(COUNTIF('2028'!$C$1496:$Z$1496,Setup!$F$33:$F$40)),SUMPRODUCT(COUNTIF('2029'!$C$1496:$Z$1496,Setup!$F$33:$F$40)),SUMPRODUCT(COUNTIF('2030'!$C$1496:$Z$1496,Setup!$F$33:$F$40))))</f>
        <v/>
      </c>
      <c r="AG51" s="137">
        <f>IF($B51="","",CHOOSE(IFERROR(MATCH($C$4,Setup!$K$33:$K$36,0),1),SUMPRODUCT(COUNTIF('2027'!$C$1546:$Z$1546,Setup!$F$33:$F$40)),SUMPRODUCT(COUNTIF('2028'!$C$1546:$Z$1546,Setup!$F$33:$F$40)),SUMPRODUCT(COUNTIF('2029'!$C$1546:$Z$1546,Setup!$F$33:$F$40)),SUMPRODUCT(COUNTIF('2030'!$C$1546:$Z$1546,Setup!$F$33:$F$40))))</f>
        <v/>
      </c>
      <c r="AH51" s="137">
        <f>IF($B51="","",CHOOSE(IFERROR(MATCH($C$4,Setup!$K$33:$K$36,0),1),SUMPRODUCT(COUNTIF('2027'!$C$1596:$Z$1596,Setup!$F$33:$F$40)),SUMPRODUCT(COUNTIF('2028'!$C$1596:$Z$1596,Setup!$F$33:$F$40)),SUMPRODUCT(COUNTIF('2029'!$C$1596:$Z$1596,Setup!$F$33:$F$40)),SUMPRODUCT(COUNTIF('2030'!$C$1596:$Z$1596,Setup!$F$33:$F$40))))</f>
        <v/>
      </c>
      <c r="AI51" s="137">
        <f>IF($B51="","",CHOOSE(IFERROR(MATCH($C$4,Setup!$K$33:$K$36,0),1),SUMPRODUCT(COUNTIF('2027'!$C$1646:$Z$1646,Setup!$F$33:$F$40)),SUMPRODUCT(COUNTIF('2028'!$C$1646:$Z$1646,Setup!$F$33:$F$40)),SUMPRODUCT(COUNTIF('2029'!$C$1646:$Z$1646,Setup!$F$33:$F$40)),SUMPRODUCT(COUNTIF('2030'!$C$1646:$Z$1646,Setup!$F$33:$F$40))))</f>
        <v/>
      </c>
      <c r="AJ51" s="137">
        <f>IF($B51="","",CHOOSE(IFERROR(MATCH($C$4,Setup!$K$33:$K$36,0),1),SUMPRODUCT(COUNTIF('2027'!$C$1696:$Z$1696,Setup!$F$33:$F$40)),SUMPRODUCT(COUNTIF('2028'!$C$1696:$Z$1696,Setup!$F$33:$F$40)),SUMPRODUCT(COUNTIF('2029'!$C$1696:$Z$1696,Setup!$F$33:$F$40)),SUMPRODUCT(COUNTIF('2030'!$C$1696:$Z$1696,Setup!$F$33:$F$40))))</f>
        <v/>
      </c>
      <c r="AK51" s="137">
        <f>IF($B51="","",CHOOSE(IFERROR(MATCH($C$4,Setup!$K$33:$K$36,0),1),SUMPRODUCT(COUNTIF('2027'!$C$1746:$Z$1746,Setup!$F$33:$F$40)),SUMPRODUCT(COUNTIF('2028'!$C$1746:$Z$1746,Setup!$F$33:$F$40)),SUMPRODUCT(COUNTIF('2029'!$C$1746:$Z$1746,Setup!$F$33:$F$40)),SUMPRODUCT(COUNTIF('2030'!$C$1746:$Z$1746,Setup!$F$33:$F$40))))</f>
        <v/>
      </c>
      <c r="AL51" s="137">
        <f>IF($B51="","",CHOOSE(IFERROR(MATCH($C$4,Setup!$K$33:$K$36,0),1),SUMPRODUCT(COUNTIF('2027'!$C$1796:$Z$1796,Setup!$F$33:$F$40)),SUMPRODUCT(COUNTIF('2028'!$C$1796:$Z$1796,Setup!$F$33:$F$40)),SUMPRODUCT(COUNTIF('2029'!$C$1796:$Z$1796,Setup!$F$33:$F$40)),SUMPRODUCT(COUNTIF('2030'!$C$1796:$Z$1796,Setup!$F$33:$F$40))))</f>
        <v/>
      </c>
      <c r="AM51" s="137">
        <f>IF($B51="","",CHOOSE(IFERROR(MATCH($C$4,Setup!$K$33:$K$36,0),1),SUMPRODUCT(COUNTIF('2027'!$C$1846:$Z$1846,Setup!$F$33:$F$40)),SUMPRODUCT(COUNTIF('2028'!$C$1846:$Z$1846,Setup!$F$33:$F$40)),SUMPRODUCT(COUNTIF('2029'!$C$1846:$Z$1846,Setup!$F$33:$F$40)),SUMPRODUCT(COUNTIF('2030'!$C$1846:$Z$1846,Setup!$F$33:$F$40))))</f>
        <v/>
      </c>
      <c r="AN51" s="137">
        <f>IF($B51="","",CHOOSE(IFERROR(MATCH($C$4,Setup!$K$33:$K$36,0),1),SUMPRODUCT(COUNTIF('2027'!$C$1896:$Z$1896,Setup!$F$33:$F$40)),SUMPRODUCT(COUNTIF('2028'!$C$1896:$Z$1896,Setup!$F$33:$F$40)),SUMPRODUCT(COUNTIF('2029'!$C$1896:$Z$1896,Setup!$F$33:$F$40)),SUMPRODUCT(COUNTIF('2030'!$C$1896:$Z$1896,Setup!$F$33:$F$40))))</f>
        <v/>
      </c>
      <c r="AO51" s="137">
        <f>IF($B51="","",CHOOSE(IFERROR(MATCH($C$4,Setup!$K$33:$K$36,0),1),SUMPRODUCT(COUNTIF('2027'!$C$1946:$Z$1946,Setup!$F$33:$F$40)),SUMPRODUCT(COUNTIF('2028'!$C$1946:$Z$1946,Setup!$F$33:$F$40)),SUMPRODUCT(COUNTIF('2029'!$C$1946:$Z$1946,Setup!$F$33:$F$40)),SUMPRODUCT(COUNTIF('2030'!$C$1946:$Z$1946,Setup!$F$33:$F$40))))</f>
        <v/>
      </c>
      <c r="AP51" s="137">
        <f>IF($B51="","",CHOOSE(IFERROR(MATCH($C$4,Setup!$K$33:$K$36,0),1),SUMPRODUCT(COUNTIF('2027'!$C$1996:$Z$1996,Setup!$F$33:$F$40)),SUMPRODUCT(COUNTIF('2028'!$C$1996:$Z$1996,Setup!$F$33:$F$40)),SUMPRODUCT(COUNTIF('2029'!$C$1996:$Z$1996,Setup!$F$33:$F$40)),SUMPRODUCT(COUNTIF('2030'!$C$1996:$Z$1996,Setup!$F$33:$F$40))))</f>
        <v/>
      </c>
      <c r="AQ51" s="137">
        <f>IF($B51="","",CHOOSE(IFERROR(MATCH($C$4,Setup!$K$33:$K$36,0),1),SUMPRODUCT(COUNTIF('2027'!$C$2046:$Z$2046,Setup!$F$33:$F$40)),SUMPRODUCT(COUNTIF('2028'!$C$2046:$Z$2046,Setup!$F$33:$F$40)),SUMPRODUCT(COUNTIF('2029'!$C$2046:$Z$2046,Setup!$F$33:$F$40)),SUMPRODUCT(COUNTIF('2030'!$C$2046:$Z$2046,Setup!$F$33:$F$40))))</f>
        <v/>
      </c>
      <c r="AR51" s="137">
        <f>IF($B51="","",CHOOSE(IFERROR(MATCH($C$4,Setup!$K$33:$K$36,0),1),SUMPRODUCT(COUNTIF('2027'!$C$2096:$Z$2096,Setup!$F$33:$F$40)),SUMPRODUCT(COUNTIF('2028'!$C$2096:$Z$2096,Setup!$F$33:$F$40)),SUMPRODUCT(COUNTIF('2029'!$C$2096:$Z$2096,Setup!$F$33:$F$40)),SUMPRODUCT(COUNTIF('2030'!$C$2096:$Z$2096,Setup!$F$33:$F$40))))</f>
        <v/>
      </c>
      <c r="AS51" s="137">
        <f>IF($B51="","",CHOOSE(IFERROR(MATCH($C$4,Setup!$K$33:$K$36,0),1),SUMPRODUCT(COUNTIF('2027'!$C$2146:$Z$2146,Setup!$F$33:$F$40)),SUMPRODUCT(COUNTIF('2028'!$C$2146:$Z$2146,Setup!$F$33:$F$40)),SUMPRODUCT(COUNTIF('2029'!$C$2146:$Z$2146,Setup!$F$33:$F$40)),SUMPRODUCT(COUNTIF('2030'!$C$2146:$Z$2146,Setup!$F$33:$F$40))))</f>
        <v/>
      </c>
      <c r="AT51" s="137">
        <f>IF($B51="","",CHOOSE(IFERROR(MATCH($C$4,Setup!$K$33:$K$36,0),1),SUMPRODUCT(COUNTIF('2027'!$C$2196:$Z$2196,Setup!$F$33:$F$40)),SUMPRODUCT(COUNTIF('2028'!$C$2196:$Z$2196,Setup!$F$33:$F$40)),SUMPRODUCT(COUNTIF('2029'!$C$2196:$Z$2196,Setup!$F$33:$F$40)),SUMPRODUCT(COUNTIF('2030'!$C$2196:$Z$2196,Setup!$F$33:$F$40))))</f>
        <v/>
      </c>
      <c r="AU51" s="137">
        <f>IF($B51="","",CHOOSE(IFERROR(MATCH($C$4,Setup!$K$33:$K$36,0),1),SUMPRODUCT(COUNTIF('2027'!$C$2246:$Z$2246,Setup!$F$33:$F$40)),SUMPRODUCT(COUNTIF('2028'!$C$2246:$Z$2246,Setup!$F$33:$F$40)),SUMPRODUCT(COUNTIF('2029'!$C$2246:$Z$2246,Setup!$F$33:$F$40)),SUMPRODUCT(COUNTIF('2030'!$C$2246:$Z$2246,Setup!$F$33:$F$40))))</f>
        <v/>
      </c>
      <c r="AV51" s="137">
        <f>IF($B51="","",CHOOSE(IFERROR(MATCH($C$4,Setup!$K$33:$K$36,0),1),SUMPRODUCT(COUNTIF('2027'!$C$2296:$Z$2296,Setup!$F$33:$F$40)),SUMPRODUCT(COUNTIF('2028'!$C$2296:$Z$2296,Setup!$F$33:$F$40)),SUMPRODUCT(COUNTIF('2029'!$C$2296:$Z$2296,Setup!$F$33:$F$40)),SUMPRODUCT(COUNTIF('2030'!$C$2296:$Z$2296,Setup!$F$33:$F$40))))</f>
        <v/>
      </c>
      <c r="AW51" s="137">
        <f>IF($B51="","",CHOOSE(IFERROR(MATCH($C$4,Setup!$K$33:$K$36,0),1),SUMPRODUCT(COUNTIF('2027'!$C$2346:$Z$2346,Setup!$F$33:$F$40)),SUMPRODUCT(COUNTIF('2028'!$C$2346:$Z$2346,Setup!$F$33:$F$40)),SUMPRODUCT(COUNTIF('2029'!$C$2346:$Z$2346,Setup!$F$33:$F$40)),SUMPRODUCT(COUNTIF('2030'!$C$2346:$Z$2346,Setup!$F$33:$F$40))))</f>
        <v/>
      </c>
      <c r="AX51" s="137">
        <f>IF($B51="","",CHOOSE(IFERROR(MATCH($C$4,Setup!$K$33:$K$36,0),1),SUMPRODUCT(COUNTIF('2027'!$C$2396:$Z$2396,Setup!$F$33:$F$40)),SUMPRODUCT(COUNTIF('2028'!$C$2396:$Z$2396,Setup!$F$33:$F$40)),SUMPRODUCT(COUNTIF('2029'!$C$2396:$Z$2396,Setup!$F$33:$F$40)),SUMPRODUCT(COUNTIF('2030'!$C$2396:$Z$2396,Setup!$F$33:$F$40))))</f>
        <v/>
      </c>
      <c r="AY51" s="137">
        <f>IF($B51="","",CHOOSE(IFERROR(MATCH($C$4,Setup!$K$33:$K$36,0),1),SUMPRODUCT(COUNTIF('2027'!$C$2446:$Z$2446,Setup!$F$33:$F$40)),SUMPRODUCT(COUNTIF('2028'!$C$2446:$Z$2446,Setup!$F$33:$F$40)),SUMPRODUCT(COUNTIF('2029'!$C$2446:$Z$2446,Setup!$F$33:$F$40)),SUMPRODUCT(COUNTIF('2030'!$C$2446:$Z$2446,Setup!$F$33:$F$40))))</f>
        <v/>
      </c>
      <c r="AZ51" s="137">
        <f>IF($B51="","",CHOOSE(IFERROR(MATCH($C$4,Setup!$K$33:$K$36,0),1),SUMPRODUCT(COUNTIF('2027'!$C$2496:$Z$2496,Setup!$F$33:$F$40)),SUMPRODUCT(COUNTIF('2028'!$C$2496:$Z$2496,Setup!$F$33:$F$40)),SUMPRODUCT(COUNTIF('2029'!$C$2496:$Z$2496,Setup!$F$33:$F$40)),SUMPRODUCT(COUNTIF('2030'!$C$2496:$Z$2496,Setup!$F$33:$F$40))))</f>
        <v/>
      </c>
      <c r="BA51" s="137">
        <f>IF($B51="","",CHOOSE(IFERROR(MATCH($C$4,Setup!$K$33:$K$36,0),1),SUMPRODUCT(COUNTIF('2027'!$C$2546:$Z$2546,Setup!$F$33:$F$40)),SUMPRODUCT(COUNTIF('2028'!$C$2546:$Z$2546,Setup!$F$33:$F$40)),SUMPRODUCT(COUNTIF('2029'!$C$2546:$Z$2546,Setup!$F$33:$F$40)),SUMPRODUCT(COUNTIF('2030'!$C$2546:$Z$2546,Setup!$F$33:$F$40))))</f>
        <v/>
      </c>
      <c r="BB51" s="137">
        <f>IF($B51="","",CHOOSE(IFERROR(MATCH($C$4,Setup!$K$33:$K$36,0),1),SUMPRODUCT(COUNTIF('2027'!$C$2596:$Z$2596,Setup!$F$33:$F$40)),SUMPRODUCT(COUNTIF('2028'!$C$2596:$Z$2596,Setup!$F$33:$F$40)),SUMPRODUCT(COUNTIF('2029'!$C$2596:$Z$2596,Setup!$F$33:$F$40)),SUMPRODUCT(COUNTIF('2030'!$C$2596:$Z$2596,Setup!$F$33:$F$40))))</f>
        <v/>
      </c>
      <c r="BC51" s="137">
        <f>IF($B51="","",CHOOSE(IFERROR(MATCH($C$4,Setup!$K$33:$K$36,0),1),SUMPRODUCT(COUNTIF('2027'!$C$2646:$Z$2646,Setup!$F$33:$F$40)),SUMPRODUCT(COUNTIF('2028'!$C$2646:$Z$2646,Setup!$F$33:$F$40)),SUMPRODUCT(COUNTIF('2029'!$C$2646:$Z$2646,Setup!$F$33:$F$40)),SUMPRODUCT(COUNTIF('2030'!$C$2646:$Z$2646,Setup!$F$33:$F$40))))</f>
        <v/>
      </c>
      <c r="BE51" s="129">
        <f>IF($B51="","",SUM(C51:BC51))</f>
        <v/>
      </c>
      <c r="BF51" s="130">
        <f>IF($B51="","",COUNTIF(C51:BC51,"&gt;0"))</f>
        <v/>
      </c>
      <c r="BG51" s="130">
        <f>IF(OR($B51="",N(BE51)=0),"",MATCH(MAX(C51:BC51),C51:BC51,0))</f>
        <v/>
      </c>
    </row>
    <row r="52" ht="15" customHeight="1">
      <c r="B52" s="136">
        <f>IF(Setup!$B$26="","",Setup!$B$26)</f>
        <v/>
      </c>
      <c r="C52" s="137">
        <f>IF($B52="","",CHOOSE(IFERROR(MATCH($C$4,Setup!$K$33:$K$36,0),1),SUMPRODUCT(COUNTIF('2027'!$C$47:$Z$47,Setup!$F$33:$F$40)),SUMPRODUCT(COUNTIF('2028'!$C$47:$Z$47,Setup!$F$33:$F$40)),SUMPRODUCT(COUNTIF('2029'!$C$47:$Z$47,Setup!$F$33:$F$40)),SUMPRODUCT(COUNTIF('2030'!$C$47:$Z$47,Setup!$F$33:$F$40))))</f>
        <v/>
      </c>
      <c r="D52" s="137">
        <f>IF($B52="","",CHOOSE(IFERROR(MATCH($C$4,Setup!$K$33:$K$36,0),1),SUMPRODUCT(COUNTIF('2027'!$C$97:$Z$97,Setup!$F$33:$F$40)),SUMPRODUCT(COUNTIF('2028'!$C$97:$Z$97,Setup!$F$33:$F$40)),SUMPRODUCT(COUNTIF('2029'!$C$97:$Z$97,Setup!$F$33:$F$40)),SUMPRODUCT(COUNTIF('2030'!$C$97:$Z$97,Setup!$F$33:$F$40))))</f>
        <v/>
      </c>
      <c r="E52" s="137">
        <f>IF($B52="","",CHOOSE(IFERROR(MATCH($C$4,Setup!$K$33:$K$36,0),1),SUMPRODUCT(COUNTIF('2027'!$C$147:$Z$147,Setup!$F$33:$F$40)),SUMPRODUCT(COUNTIF('2028'!$C$147:$Z$147,Setup!$F$33:$F$40)),SUMPRODUCT(COUNTIF('2029'!$C$147:$Z$147,Setup!$F$33:$F$40)),SUMPRODUCT(COUNTIF('2030'!$C$147:$Z$147,Setup!$F$33:$F$40))))</f>
        <v/>
      </c>
      <c r="F52" s="137">
        <f>IF($B52="","",CHOOSE(IFERROR(MATCH($C$4,Setup!$K$33:$K$36,0),1),SUMPRODUCT(COUNTIF('2027'!$C$197:$Z$197,Setup!$F$33:$F$40)),SUMPRODUCT(COUNTIF('2028'!$C$197:$Z$197,Setup!$F$33:$F$40)),SUMPRODUCT(COUNTIF('2029'!$C$197:$Z$197,Setup!$F$33:$F$40)),SUMPRODUCT(COUNTIF('2030'!$C$197:$Z$197,Setup!$F$33:$F$40))))</f>
        <v/>
      </c>
      <c r="G52" s="137">
        <f>IF($B52="","",CHOOSE(IFERROR(MATCH($C$4,Setup!$K$33:$K$36,0),1),SUMPRODUCT(COUNTIF('2027'!$C$247:$Z$247,Setup!$F$33:$F$40)),SUMPRODUCT(COUNTIF('2028'!$C$247:$Z$247,Setup!$F$33:$F$40)),SUMPRODUCT(COUNTIF('2029'!$C$247:$Z$247,Setup!$F$33:$F$40)),SUMPRODUCT(COUNTIF('2030'!$C$247:$Z$247,Setup!$F$33:$F$40))))</f>
        <v/>
      </c>
      <c r="H52" s="137">
        <f>IF($B52="","",CHOOSE(IFERROR(MATCH($C$4,Setup!$K$33:$K$36,0),1),SUMPRODUCT(COUNTIF('2027'!$C$297:$Z$297,Setup!$F$33:$F$40)),SUMPRODUCT(COUNTIF('2028'!$C$297:$Z$297,Setup!$F$33:$F$40)),SUMPRODUCT(COUNTIF('2029'!$C$297:$Z$297,Setup!$F$33:$F$40)),SUMPRODUCT(COUNTIF('2030'!$C$297:$Z$297,Setup!$F$33:$F$40))))</f>
        <v/>
      </c>
      <c r="I52" s="137">
        <f>IF($B52="","",CHOOSE(IFERROR(MATCH($C$4,Setup!$K$33:$K$36,0),1),SUMPRODUCT(COUNTIF('2027'!$C$347:$Z$347,Setup!$F$33:$F$40)),SUMPRODUCT(COUNTIF('2028'!$C$347:$Z$347,Setup!$F$33:$F$40)),SUMPRODUCT(COUNTIF('2029'!$C$347:$Z$347,Setup!$F$33:$F$40)),SUMPRODUCT(COUNTIF('2030'!$C$347:$Z$347,Setup!$F$33:$F$40))))</f>
        <v/>
      </c>
      <c r="J52" s="137">
        <f>IF($B52="","",CHOOSE(IFERROR(MATCH($C$4,Setup!$K$33:$K$36,0),1),SUMPRODUCT(COUNTIF('2027'!$C$397:$Z$397,Setup!$F$33:$F$40)),SUMPRODUCT(COUNTIF('2028'!$C$397:$Z$397,Setup!$F$33:$F$40)),SUMPRODUCT(COUNTIF('2029'!$C$397:$Z$397,Setup!$F$33:$F$40)),SUMPRODUCT(COUNTIF('2030'!$C$397:$Z$397,Setup!$F$33:$F$40))))</f>
        <v/>
      </c>
      <c r="K52" s="137">
        <f>IF($B52="","",CHOOSE(IFERROR(MATCH($C$4,Setup!$K$33:$K$36,0),1),SUMPRODUCT(COUNTIF('2027'!$C$447:$Z$447,Setup!$F$33:$F$40)),SUMPRODUCT(COUNTIF('2028'!$C$447:$Z$447,Setup!$F$33:$F$40)),SUMPRODUCT(COUNTIF('2029'!$C$447:$Z$447,Setup!$F$33:$F$40)),SUMPRODUCT(COUNTIF('2030'!$C$447:$Z$447,Setup!$F$33:$F$40))))</f>
        <v/>
      </c>
      <c r="L52" s="137">
        <f>IF($B52="","",CHOOSE(IFERROR(MATCH($C$4,Setup!$K$33:$K$36,0),1),SUMPRODUCT(COUNTIF('2027'!$C$497:$Z$497,Setup!$F$33:$F$40)),SUMPRODUCT(COUNTIF('2028'!$C$497:$Z$497,Setup!$F$33:$F$40)),SUMPRODUCT(COUNTIF('2029'!$C$497:$Z$497,Setup!$F$33:$F$40)),SUMPRODUCT(COUNTIF('2030'!$C$497:$Z$497,Setup!$F$33:$F$40))))</f>
        <v/>
      </c>
      <c r="M52" s="137">
        <f>IF($B52="","",CHOOSE(IFERROR(MATCH($C$4,Setup!$K$33:$K$36,0),1),SUMPRODUCT(COUNTIF('2027'!$C$547:$Z$547,Setup!$F$33:$F$40)),SUMPRODUCT(COUNTIF('2028'!$C$547:$Z$547,Setup!$F$33:$F$40)),SUMPRODUCT(COUNTIF('2029'!$C$547:$Z$547,Setup!$F$33:$F$40)),SUMPRODUCT(COUNTIF('2030'!$C$547:$Z$547,Setup!$F$33:$F$40))))</f>
        <v/>
      </c>
      <c r="N52" s="137">
        <f>IF($B52="","",CHOOSE(IFERROR(MATCH($C$4,Setup!$K$33:$K$36,0),1),SUMPRODUCT(COUNTIF('2027'!$C$597:$Z$597,Setup!$F$33:$F$40)),SUMPRODUCT(COUNTIF('2028'!$C$597:$Z$597,Setup!$F$33:$F$40)),SUMPRODUCT(COUNTIF('2029'!$C$597:$Z$597,Setup!$F$33:$F$40)),SUMPRODUCT(COUNTIF('2030'!$C$597:$Z$597,Setup!$F$33:$F$40))))</f>
        <v/>
      </c>
      <c r="O52" s="137">
        <f>IF($B52="","",CHOOSE(IFERROR(MATCH($C$4,Setup!$K$33:$K$36,0),1),SUMPRODUCT(COUNTIF('2027'!$C$647:$Z$647,Setup!$F$33:$F$40)),SUMPRODUCT(COUNTIF('2028'!$C$647:$Z$647,Setup!$F$33:$F$40)),SUMPRODUCT(COUNTIF('2029'!$C$647:$Z$647,Setup!$F$33:$F$40)),SUMPRODUCT(COUNTIF('2030'!$C$647:$Z$647,Setup!$F$33:$F$40))))</f>
        <v/>
      </c>
      <c r="P52" s="137">
        <f>IF($B52="","",CHOOSE(IFERROR(MATCH($C$4,Setup!$K$33:$K$36,0),1),SUMPRODUCT(COUNTIF('2027'!$C$697:$Z$697,Setup!$F$33:$F$40)),SUMPRODUCT(COUNTIF('2028'!$C$697:$Z$697,Setup!$F$33:$F$40)),SUMPRODUCT(COUNTIF('2029'!$C$697:$Z$697,Setup!$F$33:$F$40)),SUMPRODUCT(COUNTIF('2030'!$C$697:$Z$697,Setup!$F$33:$F$40))))</f>
        <v/>
      </c>
      <c r="Q52" s="137">
        <f>IF($B52="","",CHOOSE(IFERROR(MATCH($C$4,Setup!$K$33:$K$36,0),1),SUMPRODUCT(COUNTIF('2027'!$C$747:$Z$747,Setup!$F$33:$F$40)),SUMPRODUCT(COUNTIF('2028'!$C$747:$Z$747,Setup!$F$33:$F$40)),SUMPRODUCT(COUNTIF('2029'!$C$747:$Z$747,Setup!$F$33:$F$40)),SUMPRODUCT(COUNTIF('2030'!$C$747:$Z$747,Setup!$F$33:$F$40))))</f>
        <v/>
      </c>
      <c r="R52" s="137">
        <f>IF($B52="","",CHOOSE(IFERROR(MATCH($C$4,Setup!$K$33:$K$36,0),1),SUMPRODUCT(COUNTIF('2027'!$C$797:$Z$797,Setup!$F$33:$F$40)),SUMPRODUCT(COUNTIF('2028'!$C$797:$Z$797,Setup!$F$33:$F$40)),SUMPRODUCT(COUNTIF('2029'!$C$797:$Z$797,Setup!$F$33:$F$40)),SUMPRODUCT(COUNTIF('2030'!$C$797:$Z$797,Setup!$F$33:$F$40))))</f>
        <v/>
      </c>
      <c r="S52" s="137">
        <f>IF($B52="","",CHOOSE(IFERROR(MATCH($C$4,Setup!$K$33:$K$36,0),1),SUMPRODUCT(COUNTIF('2027'!$C$847:$Z$847,Setup!$F$33:$F$40)),SUMPRODUCT(COUNTIF('2028'!$C$847:$Z$847,Setup!$F$33:$F$40)),SUMPRODUCT(COUNTIF('2029'!$C$847:$Z$847,Setup!$F$33:$F$40)),SUMPRODUCT(COUNTIF('2030'!$C$847:$Z$847,Setup!$F$33:$F$40))))</f>
        <v/>
      </c>
      <c r="T52" s="137">
        <f>IF($B52="","",CHOOSE(IFERROR(MATCH($C$4,Setup!$K$33:$K$36,0),1),SUMPRODUCT(COUNTIF('2027'!$C$897:$Z$897,Setup!$F$33:$F$40)),SUMPRODUCT(COUNTIF('2028'!$C$897:$Z$897,Setup!$F$33:$F$40)),SUMPRODUCT(COUNTIF('2029'!$C$897:$Z$897,Setup!$F$33:$F$40)),SUMPRODUCT(COUNTIF('2030'!$C$897:$Z$897,Setup!$F$33:$F$40))))</f>
        <v/>
      </c>
      <c r="U52" s="137">
        <f>IF($B52="","",CHOOSE(IFERROR(MATCH($C$4,Setup!$K$33:$K$36,0),1),SUMPRODUCT(COUNTIF('2027'!$C$947:$Z$947,Setup!$F$33:$F$40)),SUMPRODUCT(COUNTIF('2028'!$C$947:$Z$947,Setup!$F$33:$F$40)),SUMPRODUCT(COUNTIF('2029'!$C$947:$Z$947,Setup!$F$33:$F$40)),SUMPRODUCT(COUNTIF('2030'!$C$947:$Z$947,Setup!$F$33:$F$40))))</f>
        <v/>
      </c>
      <c r="V52" s="137">
        <f>IF($B52="","",CHOOSE(IFERROR(MATCH($C$4,Setup!$K$33:$K$36,0),1),SUMPRODUCT(COUNTIF('2027'!$C$997:$Z$997,Setup!$F$33:$F$40)),SUMPRODUCT(COUNTIF('2028'!$C$997:$Z$997,Setup!$F$33:$F$40)),SUMPRODUCT(COUNTIF('2029'!$C$997:$Z$997,Setup!$F$33:$F$40)),SUMPRODUCT(COUNTIF('2030'!$C$997:$Z$997,Setup!$F$33:$F$40))))</f>
        <v/>
      </c>
      <c r="W52" s="137">
        <f>IF($B52="","",CHOOSE(IFERROR(MATCH($C$4,Setup!$K$33:$K$36,0),1),SUMPRODUCT(COUNTIF('2027'!$C$1047:$Z$1047,Setup!$F$33:$F$40)),SUMPRODUCT(COUNTIF('2028'!$C$1047:$Z$1047,Setup!$F$33:$F$40)),SUMPRODUCT(COUNTIF('2029'!$C$1047:$Z$1047,Setup!$F$33:$F$40)),SUMPRODUCT(COUNTIF('2030'!$C$1047:$Z$1047,Setup!$F$33:$F$40))))</f>
        <v/>
      </c>
      <c r="X52" s="137">
        <f>IF($B52="","",CHOOSE(IFERROR(MATCH($C$4,Setup!$K$33:$K$36,0),1),SUMPRODUCT(COUNTIF('2027'!$C$1097:$Z$1097,Setup!$F$33:$F$40)),SUMPRODUCT(COUNTIF('2028'!$C$1097:$Z$1097,Setup!$F$33:$F$40)),SUMPRODUCT(COUNTIF('2029'!$C$1097:$Z$1097,Setup!$F$33:$F$40)),SUMPRODUCT(COUNTIF('2030'!$C$1097:$Z$1097,Setup!$F$33:$F$40))))</f>
        <v/>
      </c>
      <c r="Y52" s="137">
        <f>IF($B52="","",CHOOSE(IFERROR(MATCH($C$4,Setup!$K$33:$K$36,0),1),SUMPRODUCT(COUNTIF('2027'!$C$1147:$Z$1147,Setup!$F$33:$F$40)),SUMPRODUCT(COUNTIF('2028'!$C$1147:$Z$1147,Setup!$F$33:$F$40)),SUMPRODUCT(COUNTIF('2029'!$C$1147:$Z$1147,Setup!$F$33:$F$40)),SUMPRODUCT(COUNTIF('2030'!$C$1147:$Z$1147,Setup!$F$33:$F$40))))</f>
        <v/>
      </c>
      <c r="Z52" s="137">
        <f>IF($B52="","",CHOOSE(IFERROR(MATCH($C$4,Setup!$K$33:$K$36,0),1),SUMPRODUCT(COUNTIF('2027'!$C$1197:$Z$1197,Setup!$F$33:$F$40)),SUMPRODUCT(COUNTIF('2028'!$C$1197:$Z$1197,Setup!$F$33:$F$40)),SUMPRODUCT(COUNTIF('2029'!$C$1197:$Z$1197,Setup!$F$33:$F$40)),SUMPRODUCT(COUNTIF('2030'!$C$1197:$Z$1197,Setup!$F$33:$F$40))))</f>
        <v/>
      </c>
      <c r="AA52" s="137">
        <f>IF($B52="","",CHOOSE(IFERROR(MATCH($C$4,Setup!$K$33:$K$36,0),1),SUMPRODUCT(COUNTIF('2027'!$C$1247:$Z$1247,Setup!$F$33:$F$40)),SUMPRODUCT(COUNTIF('2028'!$C$1247:$Z$1247,Setup!$F$33:$F$40)),SUMPRODUCT(COUNTIF('2029'!$C$1247:$Z$1247,Setup!$F$33:$F$40)),SUMPRODUCT(COUNTIF('2030'!$C$1247:$Z$1247,Setup!$F$33:$F$40))))</f>
        <v/>
      </c>
      <c r="AB52" s="137">
        <f>IF($B52="","",CHOOSE(IFERROR(MATCH($C$4,Setup!$K$33:$K$36,0),1),SUMPRODUCT(COUNTIF('2027'!$C$1297:$Z$1297,Setup!$F$33:$F$40)),SUMPRODUCT(COUNTIF('2028'!$C$1297:$Z$1297,Setup!$F$33:$F$40)),SUMPRODUCT(COUNTIF('2029'!$C$1297:$Z$1297,Setup!$F$33:$F$40)),SUMPRODUCT(COUNTIF('2030'!$C$1297:$Z$1297,Setup!$F$33:$F$40))))</f>
        <v/>
      </c>
      <c r="AC52" s="137">
        <f>IF($B52="","",CHOOSE(IFERROR(MATCH($C$4,Setup!$K$33:$K$36,0),1),SUMPRODUCT(COUNTIF('2027'!$C$1347:$Z$1347,Setup!$F$33:$F$40)),SUMPRODUCT(COUNTIF('2028'!$C$1347:$Z$1347,Setup!$F$33:$F$40)),SUMPRODUCT(COUNTIF('2029'!$C$1347:$Z$1347,Setup!$F$33:$F$40)),SUMPRODUCT(COUNTIF('2030'!$C$1347:$Z$1347,Setup!$F$33:$F$40))))</f>
        <v/>
      </c>
      <c r="AD52" s="137">
        <f>IF($B52="","",CHOOSE(IFERROR(MATCH($C$4,Setup!$K$33:$K$36,0),1),SUMPRODUCT(COUNTIF('2027'!$C$1397:$Z$1397,Setup!$F$33:$F$40)),SUMPRODUCT(COUNTIF('2028'!$C$1397:$Z$1397,Setup!$F$33:$F$40)),SUMPRODUCT(COUNTIF('2029'!$C$1397:$Z$1397,Setup!$F$33:$F$40)),SUMPRODUCT(COUNTIF('2030'!$C$1397:$Z$1397,Setup!$F$33:$F$40))))</f>
        <v/>
      </c>
      <c r="AE52" s="137">
        <f>IF($B52="","",CHOOSE(IFERROR(MATCH($C$4,Setup!$K$33:$K$36,0),1),SUMPRODUCT(COUNTIF('2027'!$C$1447:$Z$1447,Setup!$F$33:$F$40)),SUMPRODUCT(COUNTIF('2028'!$C$1447:$Z$1447,Setup!$F$33:$F$40)),SUMPRODUCT(COUNTIF('2029'!$C$1447:$Z$1447,Setup!$F$33:$F$40)),SUMPRODUCT(COUNTIF('2030'!$C$1447:$Z$1447,Setup!$F$33:$F$40))))</f>
        <v/>
      </c>
      <c r="AF52" s="137">
        <f>IF($B52="","",CHOOSE(IFERROR(MATCH($C$4,Setup!$K$33:$K$36,0),1),SUMPRODUCT(COUNTIF('2027'!$C$1497:$Z$1497,Setup!$F$33:$F$40)),SUMPRODUCT(COUNTIF('2028'!$C$1497:$Z$1497,Setup!$F$33:$F$40)),SUMPRODUCT(COUNTIF('2029'!$C$1497:$Z$1497,Setup!$F$33:$F$40)),SUMPRODUCT(COUNTIF('2030'!$C$1497:$Z$1497,Setup!$F$33:$F$40))))</f>
        <v/>
      </c>
      <c r="AG52" s="137">
        <f>IF($B52="","",CHOOSE(IFERROR(MATCH($C$4,Setup!$K$33:$K$36,0),1),SUMPRODUCT(COUNTIF('2027'!$C$1547:$Z$1547,Setup!$F$33:$F$40)),SUMPRODUCT(COUNTIF('2028'!$C$1547:$Z$1547,Setup!$F$33:$F$40)),SUMPRODUCT(COUNTIF('2029'!$C$1547:$Z$1547,Setup!$F$33:$F$40)),SUMPRODUCT(COUNTIF('2030'!$C$1547:$Z$1547,Setup!$F$33:$F$40))))</f>
        <v/>
      </c>
      <c r="AH52" s="137">
        <f>IF($B52="","",CHOOSE(IFERROR(MATCH($C$4,Setup!$K$33:$K$36,0),1),SUMPRODUCT(COUNTIF('2027'!$C$1597:$Z$1597,Setup!$F$33:$F$40)),SUMPRODUCT(COUNTIF('2028'!$C$1597:$Z$1597,Setup!$F$33:$F$40)),SUMPRODUCT(COUNTIF('2029'!$C$1597:$Z$1597,Setup!$F$33:$F$40)),SUMPRODUCT(COUNTIF('2030'!$C$1597:$Z$1597,Setup!$F$33:$F$40))))</f>
        <v/>
      </c>
      <c r="AI52" s="137">
        <f>IF($B52="","",CHOOSE(IFERROR(MATCH($C$4,Setup!$K$33:$K$36,0),1),SUMPRODUCT(COUNTIF('2027'!$C$1647:$Z$1647,Setup!$F$33:$F$40)),SUMPRODUCT(COUNTIF('2028'!$C$1647:$Z$1647,Setup!$F$33:$F$40)),SUMPRODUCT(COUNTIF('2029'!$C$1647:$Z$1647,Setup!$F$33:$F$40)),SUMPRODUCT(COUNTIF('2030'!$C$1647:$Z$1647,Setup!$F$33:$F$40))))</f>
        <v/>
      </c>
      <c r="AJ52" s="137">
        <f>IF($B52="","",CHOOSE(IFERROR(MATCH($C$4,Setup!$K$33:$K$36,0),1),SUMPRODUCT(COUNTIF('2027'!$C$1697:$Z$1697,Setup!$F$33:$F$40)),SUMPRODUCT(COUNTIF('2028'!$C$1697:$Z$1697,Setup!$F$33:$F$40)),SUMPRODUCT(COUNTIF('2029'!$C$1697:$Z$1697,Setup!$F$33:$F$40)),SUMPRODUCT(COUNTIF('2030'!$C$1697:$Z$1697,Setup!$F$33:$F$40))))</f>
        <v/>
      </c>
      <c r="AK52" s="137">
        <f>IF($B52="","",CHOOSE(IFERROR(MATCH($C$4,Setup!$K$33:$K$36,0),1),SUMPRODUCT(COUNTIF('2027'!$C$1747:$Z$1747,Setup!$F$33:$F$40)),SUMPRODUCT(COUNTIF('2028'!$C$1747:$Z$1747,Setup!$F$33:$F$40)),SUMPRODUCT(COUNTIF('2029'!$C$1747:$Z$1747,Setup!$F$33:$F$40)),SUMPRODUCT(COUNTIF('2030'!$C$1747:$Z$1747,Setup!$F$33:$F$40))))</f>
        <v/>
      </c>
      <c r="AL52" s="137">
        <f>IF($B52="","",CHOOSE(IFERROR(MATCH($C$4,Setup!$K$33:$K$36,0),1),SUMPRODUCT(COUNTIF('2027'!$C$1797:$Z$1797,Setup!$F$33:$F$40)),SUMPRODUCT(COUNTIF('2028'!$C$1797:$Z$1797,Setup!$F$33:$F$40)),SUMPRODUCT(COUNTIF('2029'!$C$1797:$Z$1797,Setup!$F$33:$F$40)),SUMPRODUCT(COUNTIF('2030'!$C$1797:$Z$1797,Setup!$F$33:$F$40))))</f>
        <v/>
      </c>
      <c r="AM52" s="137">
        <f>IF($B52="","",CHOOSE(IFERROR(MATCH($C$4,Setup!$K$33:$K$36,0),1),SUMPRODUCT(COUNTIF('2027'!$C$1847:$Z$1847,Setup!$F$33:$F$40)),SUMPRODUCT(COUNTIF('2028'!$C$1847:$Z$1847,Setup!$F$33:$F$40)),SUMPRODUCT(COUNTIF('2029'!$C$1847:$Z$1847,Setup!$F$33:$F$40)),SUMPRODUCT(COUNTIF('2030'!$C$1847:$Z$1847,Setup!$F$33:$F$40))))</f>
        <v/>
      </c>
      <c r="AN52" s="137">
        <f>IF($B52="","",CHOOSE(IFERROR(MATCH($C$4,Setup!$K$33:$K$36,0),1),SUMPRODUCT(COUNTIF('2027'!$C$1897:$Z$1897,Setup!$F$33:$F$40)),SUMPRODUCT(COUNTIF('2028'!$C$1897:$Z$1897,Setup!$F$33:$F$40)),SUMPRODUCT(COUNTIF('2029'!$C$1897:$Z$1897,Setup!$F$33:$F$40)),SUMPRODUCT(COUNTIF('2030'!$C$1897:$Z$1897,Setup!$F$33:$F$40))))</f>
        <v/>
      </c>
      <c r="AO52" s="137">
        <f>IF($B52="","",CHOOSE(IFERROR(MATCH($C$4,Setup!$K$33:$K$36,0),1),SUMPRODUCT(COUNTIF('2027'!$C$1947:$Z$1947,Setup!$F$33:$F$40)),SUMPRODUCT(COUNTIF('2028'!$C$1947:$Z$1947,Setup!$F$33:$F$40)),SUMPRODUCT(COUNTIF('2029'!$C$1947:$Z$1947,Setup!$F$33:$F$40)),SUMPRODUCT(COUNTIF('2030'!$C$1947:$Z$1947,Setup!$F$33:$F$40))))</f>
        <v/>
      </c>
      <c r="AP52" s="137">
        <f>IF($B52="","",CHOOSE(IFERROR(MATCH($C$4,Setup!$K$33:$K$36,0),1),SUMPRODUCT(COUNTIF('2027'!$C$1997:$Z$1997,Setup!$F$33:$F$40)),SUMPRODUCT(COUNTIF('2028'!$C$1997:$Z$1997,Setup!$F$33:$F$40)),SUMPRODUCT(COUNTIF('2029'!$C$1997:$Z$1997,Setup!$F$33:$F$40)),SUMPRODUCT(COUNTIF('2030'!$C$1997:$Z$1997,Setup!$F$33:$F$40))))</f>
        <v/>
      </c>
      <c r="AQ52" s="137">
        <f>IF($B52="","",CHOOSE(IFERROR(MATCH($C$4,Setup!$K$33:$K$36,0),1),SUMPRODUCT(COUNTIF('2027'!$C$2047:$Z$2047,Setup!$F$33:$F$40)),SUMPRODUCT(COUNTIF('2028'!$C$2047:$Z$2047,Setup!$F$33:$F$40)),SUMPRODUCT(COUNTIF('2029'!$C$2047:$Z$2047,Setup!$F$33:$F$40)),SUMPRODUCT(COUNTIF('2030'!$C$2047:$Z$2047,Setup!$F$33:$F$40))))</f>
        <v/>
      </c>
      <c r="AR52" s="137">
        <f>IF($B52="","",CHOOSE(IFERROR(MATCH($C$4,Setup!$K$33:$K$36,0),1),SUMPRODUCT(COUNTIF('2027'!$C$2097:$Z$2097,Setup!$F$33:$F$40)),SUMPRODUCT(COUNTIF('2028'!$C$2097:$Z$2097,Setup!$F$33:$F$40)),SUMPRODUCT(COUNTIF('2029'!$C$2097:$Z$2097,Setup!$F$33:$F$40)),SUMPRODUCT(COUNTIF('2030'!$C$2097:$Z$2097,Setup!$F$33:$F$40))))</f>
        <v/>
      </c>
      <c r="AS52" s="137">
        <f>IF($B52="","",CHOOSE(IFERROR(MATCH($C$4,Setup!$K$33:$K$36,0),1),SUMPRODUCT(COUNTIF('2027'!$C$2147:$Z$2147,Setup!$F$33:$F$40)),SUMPRODUCT(COUNTIF('2028'!$C$2147:$Z$2147,Setup!$F$33:$F$40)),SUMPRODUCT(COUNTIF('2029'!$C$2147:$Z$2147,Setup!$F$33:$F$40)),SUMPRODUCT(COUNTIF('2030'!$C$2147:$Z$2147,Setup!$F$33:$F$40))))</f>
        <v/>
      </c>
      <c r="AT52" s="137">
        <f>IF($B52="","",CHOOSE(IFERROR(MATCH($C$4,Setup!$K$33:$K$36,0),1),SUMPRODUCT(COUNTIF('2027'!$C$2197:$Z$2197,Setup!$F$33:$F$40)),SUMPRODUCT(COUNTIF('2028'!$C$2197:$Z$2197,Setup!$F$33:$F$40)),SUMPRODUCT(COUNTIF('2029'!$C$2197:$Z$2197,Setup!$F$33:$F$40)),SUMPRODUCT(COUNTIF('2030'!$C$2197:$Z$2197,Setup!$F$33:$F$40))))</f>
        <v/>
      </c>
      <c r="AU52" s="137">
        <f>IF($B52="","",CHOOSE(IFERROR(MATCH($C$4,Setup!$K$33:$K$36,0),1),SUMPRODUCT(COUNTIF('2027'!$C$2247:$Z$2247,Setup!$F$33:$F$40)),SUMPRODUCT(COUNTIF('2028'!$C$2247:$Z$2247,Setup!$F$33:$F$40)),SUMPRODUCT(COUNTIF('2029'!$C$2247:$Z$2247,Setup!$F$33:$F$40)),SUMPRODUCT(COUNTIF('2030'!$C$2247:$Z$2247,Setup!$F$33:$F$40))))</f>
        <v/>
      </c>
      <c r="AV52" s="137">
        <f>IF($B52="","",CHOOSE(IFERROR(MATCH($C$4,Setup!$K$33:$K$36,0),1),SUMPRODUCT(COUNTIF('2027'!$C$2297:$Z$2297,Setup!$F$33:$F$40)),SUMPRODUCT(COUNTIF('2028'!$C$2297:$Z$2297,Setup!$F$33:$F$40)),SUMPRODUCT(COUNTIF('2029'!$C$2297:$Z$2297,Setup!$F$33:$F$40)),SUMPRODUCT(COUNTIF('2030'!$C$2297:$Z$2297,Setup!$F$33:$F$40))))</f>
        <v/>
      </c>
      <c r="AW52" s="137">
        <f>IF($B52="","",CHOOSE(IFERROR(MATCH($C$4,Setup!$K$33:$K$36,0),1),SUMPRODUCT(COUNTIF('2027'!$C$2347:$Z$2347,Setup!$F$33:$F$40)),SUMPRODUCT(COUNTIF('2028'!$C$2347:$Z$2347,Setup!$F$33:$F$40)),SUMPRODUCT(COUNTIF('2029'!$C$2347:$Z$2347,Setup!$F$33:$F$40)),SUMPRODUCT(COUNTIF('2030'!$C$2347:$Z$2347,Setup!$F$33:$F$40))))</f>
        <v/>
      </c>
      <c r="AX52" s="137">
        <f>IF($B52="","",CHOOSE(IFERROR(MATCH($C$4,Setup!$K$33:$K$36,0),1),SUMPRODUCT(COUNTIF('2027'!$C$2397:$Z$2397,Setup!$F$33:$F$40)),SUMPRODUCT(COUNTIF('2028'!$C$2397:$Z$2397,Setup!$F$33:$F$40)),SUMPRODUCT(COUNTIF('2029'!$C$2397:$Z$2397,Setup!$F$33:$F$40)),SUMPRODUCT(COUNTIF('2030'!$C$2397:$Z$2397,Setup!$F$33:$F$40))))</f>
        <v/>
      </c>
      <c r="AY52" s="137">
        <f>IF($B52="","",CHOOSE(IFERROR(MATCH($C$4,Setup!$K$33:$K$36,0),1),SUMPRODUCT(COUNTIF('2027'!$C$2447:$Z$2447,Setup!$F$33:$F$40)),SUMPRODUCT(COUNTIF('2028'!$C$2447:$Z$2447,Setup!$F$33:$F$40)),SUMPRODUCT(COUNTIF('2029'!$C$2447:$Z$2447,Setup!$F$33:$F$40)),SUMPRODUCT(COUNTIF('2030'!$C$2447:$Z$2447,Setup!$F$33:$F$40))))</f>
        <v/>
      </c>
      <c r="AZ52" s="137">
        <f>IF($B52="","",CHOOSE(IFERROR(MATCH($C$4,Setup!$K$33:$K$36,0),1),SUMPRODUCT(COUNTIF('2027'!$C$2497:$Z$2497,Setup!$F$33:$F$40)),SUMPRODUCT(COUNTIF('2028'!$C$2497:$Z$2497,Setup!$F$33:$F$40)),SUMPRODUCT(COUNTIF('2029'!$C$2497:$Z$2497,Setup!$F$33:$F$40)),SUMPRODUCT(COUNTIF('2030'!$C$2497:$Z$2497,Setup!$F$33:$F$40))))</f>
        <v/>
      </c>
      <c r="BA52" s="137">
        <f>IF($B52="","",CHOOSE(IFERROR(MATCH($C$4,Setup!$K$33:$K$36,0),1),SUMPRODUCT(COUNTIF('2027'!$C$2547:$Z$2547,Setup!$F$33:$F$40)),SUMPRODUCT(COUNTIF('2028'!$C$2547:$Z$2547,Setup!$F$33:$F$40)),SUMPRODUCT(COUNTIF('2029'!$C$2547:$Z$2547,Setup!$F$33:$F$40)),SUMPRODUCT(COUNTIF('2030'!$C$2547:$Z$2547,Setup!$F$33:$F$40))))</f>
        <v/>
      </c>
      <c r="BB52" s="137">
        <f>IF($B52="","",CHOOSE(IFERROR(MATCH($C$4,Setup!$K$33:$K$36,0),1),SUMPRODUCT(COUNTIF('2027'!$C$2597:$Z$2597,Setup!$F$33:$F$40)),SUMPRODUCT(COUNTIF('2028'!$C$2597:$Z$2597,Setup!$F$33:$F$40)),SUMPRODUCT(COUNTIF('2029'!$C$2597:$Z$2597,Setup!$F$33:$F$40)),SUMPRODUCT(COUNTIF('2030'!$C$2597:$Z$2597,Setup!$F$33:$F$40))))</f>
        <v/>
      </c>
      <c r="BC52" s="137">
        <f>IF($B52="","",CHOOSE(IFERROR(MATCH($C$4,Setup!$K$33:$K$36,0),1),SUMPRODUCT(COUNTIF('2027'!$C$2647:$Z$2647,Setup!$F$33:$F$40)),SUMPRODUCT(COUNTIF('2028'!$C$2647:$Z$2647,Setup!$F$33:$F$40)),SUMPRODUCT(COUNTIF('2029'!$C$2647:$Z$2647,Setup!$F$33:$F$40)),SUMPRODUCT(COUNTIF('2030'!$C$2647:$Z$2647,Setup!$F$33:$F$40))))</f>
        <v/>
      </c>
      <c r="BE52" s="129">
        <f>IF($B52="","",SUM(C52:BC52))</f>
        <v/>
      </c>
      <c r="BF52" s="130">
        <f>IF($B52="","",COUNTIF(C52:BC52,"&gt;0"))</f>
        <v/>
      </c>
      <c r="BG52" s="130">
        <f>IF(OR($B52="",N(BE52)=0),"",MATCH(MAX(C52:BC52),C52:BC52,0))</f>
        <v/>
      </c>
    </row>
    <row r="53" ht="15" customHeight="1">
      <c r="B53" s="136">
        <f>IF(Setup!$B$27="","",Setup!$B$27)</f>
        <v/>
      </c>
      <c r="C53" s="137">
        <f>IF($B53="","",CHOOSE(IFERROR(MATCH($C$4,Setup!$K$33:$K$36,0),1),SUMPRODUCT(COUNTIF('2027'!$C$48:$Z$48,Setup!$F$33:$F$40)),SUMPRODUCT(COUNTIF('2028'!$C$48:$Z$48,Setup!$F$33:$F$40)),SUMPRODUCT(COUNTIF('2029'!$C$48:$Z$48,Setup!$F$33:$F$40)),SUMPRODUCT(COUNTIF('2030'!$C$48:$Z$48,Setup!$F$33:$F$40))))</f>
        <v/>
      </c>
      <c r="D53" s="137">
        <f>IF($B53="","",CHOOSE(IFERROR(MATCH($C$4,Setup!$K$33:$K$36,0),1),SUMPRODUCT(COUNTIF('2027'!$C$98:$Z$98,Setup!$F$33:$F$40)),SUMPRODUCT(COUNTIF('2028'!$C$98:$Z$98,Setup!$F$33:$F$40)),SUMPRODUCT(COUNTIF('2029'!$C$98:$Z$98,Setup!$F$33:$F$40)),SUMPRODUCT(COUNTIF('2030'!$C$98:$Z$98,Setup!$F$33:$F$40))))</f>
        <v/>
      </c>
      <c r="E53" s="137">
        <f>IF($B53="","",CHOOSE(IFERROR(MATCH($C$4,Setup!$K$33:$K$36,0),1),SUMPRODUCT(COUNTIF('2027'!$C$148:$Z$148,Setup!$F$33:$F$40)),SUMPRODUCT(COUNTIF('2028'!$C$148:$Z$148,Setup!$F$33:$F$40)),SUMPRODUCT(COUNTIF('2029'!$C$148:$Z$148,Setup!$F$33:$F$40)),SUMPRODUCT(COUNTIF('2030'!$C$148:$Z$148,Setup!$F$33:$F$40))))</f>
        <v/>
      </c>
      <c r="F53" s="137">
        <f>IF($B53="","",CHOOSE(IFERROR(MATCH($C$4,Setup!$K$33:$K$36,0),1),SUMPRODUCT(COUNTIF('2027'!$C$198:$Z$198,Setup!$F$33:$F$40)),SUMPRODUCT(COUNTIF('2028'!$C$198:$Z$198,Setup!$F$33:$F$40)),SUMPRODUCT(COUNTIF('2029'!$C$198:$Z$198,Setup!$F$33:$F$40)),SUMPRODUCT(COUNTIF('2030'!$C$198:$Z$198,Setup!$F$33:$F$40))))</f>
        <v/>
      </c>
      <c r="G53" s="137">
        <f>IF($B53="","",CHOOSE(IFERROR(MATCH($C$4,Setup!$K$33:$K$36,0),1),SUMPRODUCT(COUNTIF('2027'!$C$248:$Z$248,Setup!$F$33:$F$40)),SUMPRODUCT(COUNTIF('2028'!$C$248:$Z$248,Setup!$F$33:$F$40)),SUMPRODUCT(COUNTIF('2029'!$C$248:$Z$248,Setup!$F$33:$F$40)),SUMPRODUCT(COUNTIF('2030'!$C$248:$Z$248,Setup!$F$33:$F$40))))</f>
        <v/>
      </c>
      <c r="H53" s="137">
        <f>IF($B53="","",CHOOSE(IFERROR(MATCH($C$4,Setup!$K$33:$K$36,0),1),SUMPRODUCT(COUNTIF('2027'!$C$298:$Z$298,Setup!$F$33:$F$40)),SUMPRODUCT(COUNTIF('2028'!$C$298:$Z$298,Setup!$F$33:$F$40)),SUMPRODUCT(COUNTIF('2029'!$C$298:$Z$298,Setup!$F$33:$F$40)),SUMPRODUCT(COUNTIF('2030'!$C$298:$Z$298,Setup!$F$33:$F$40))))</f>
        <v/>
      </c>
      <c r="I53" s="137">
        <f>IF($B53="","",CHOOSE(IFERROR(MATCH($C$4,Setup!$K$33:$K$36,0),1),SUMPRODUCT(COUNTIF('2027'!$C$348:$Z$348,Setup!$F$33:$F$40)),SUMPRODUCT(COUNTIF('2028'!$C$348:$Z$348,Setup!$F$33:$F$40)),SUMPRODUCT(COUNTIF('2029'!$C$348:$Z$348,Setup!$F$33:$F$40)),SUMPRODUCT(COUNTIF('2030'!$C$348:$Z$348,Setup!$F$33:$F$40))))</f>
        <v/>
      </c>
      <c r="J53" s="137">
        <f>IF($B53="","",CHOOSE(IFERROR(MATCH($C$4,Setup!$K$33:$K$36,0),1),SUMPRODUCT(COUNTIF('2027'!$C$398:$Z$398,Setup!$F$33:$F$40)),SUMPRODUCT(COUNTIF('2028'!$C$398:$Z$398,Setup!$F$33:$F$40)),SUMPRODUCT(COUNTIF('2029'!$C$398:$Z$398,Setup!$F$33:$F$40)),SUMPRODUCT(COUNTIF('2030'!$C$398:$Z$398,Setup!$F$33:$F$40))))</f>
        <v/>
      </c>
      <c r="K53" s="137">
        <f>IF($B53="","",CHOOSE(IFERROR(MATCH($C$4,Setup!$K$33:$K$36,0),1),SUMPRODUCT(COUNTIF('2027'!$C$448:$Z$448,Setup!$F$33:$F$40)),SUMPRODUCT(COUNTIF('2028'!$C$448:$Z$448,Setup!$F$33:$F$40)),SUMPRODUCT(COUNTIF('2029'!$C$448:$Z$448,Setup!$F$33:$F$40)),SUMPRODUCT(COUNTIF('2030'!$C$448:$Z$448,Setup!$F$33:$F$40))))</f>
        <v/>
      </c>
      <c r="L53" s="137">
        <f>IF($B53="","",CHOOSE(IFERROR(MATCH($C$4,Setup!$K$33:$K$36,0),1),SUMPRODUCT(COUNTIF('2027'!$C$498:$Z$498,Setup!$F$33:$F$40)),SUMPRODUCT(COUNTIF('2028'!$C$498:$Z$498,Setup!$F$33:$F$40)),SUMPRODUCT(COUNTIF('2029'!$C$498:$Z$498,Setup!$F$33:$F$40)),SUMPRODUCT(COUNTIF('2030'!$C$498:$Z$498,Setup!$F$33:$F$40))))</f>
        <v/>
      </c>
      <c r="M53" s="137">
        <f>IF($B53="","",CHOOSE(IFERROR(MATCH($C$4,Setup!$K$33:$K$36,0),1),SUMPRODUCT(COUNTIF('2027'!$C$548:$Z$548,Setup!$F$33:$F$40)),SUMPRODUCT(COUNTIF('2028'!$C$548:$Z$548,Setup!$F$33:$F$40)),SUMPRODUCT(COUNTIF('2029'!$C$548:$Z$548,Setup!$F$33:$F$40)),SUMPRODUCT(COUNTIF('2030'!$C$548:$Z$548,Setup!$F$33:$F$40))))</f>
        <v/>
      </c>
      <c r="N53" s="137">
        <f>IF($B53="","",CHOOSE(IFERROR(MATCH($C$4,Setup!$K$33:$K$36,0),1),SUMPRODUCT(COUNTIF('2027'!$C$598:$Z$598,Setup!$F$33:$F$40)),SUMPRODUCT(COUNTIF('2028'!$C$598:$Z$598,Setup!$F$33:$F$40)),SUMPRODUCT(COUNTIF('2029'!$C$598:$Z$598,Setup!$F$33:$F$40)),SUMPRODUCT(COUNTIF('2030'!$C$598:$Z$598,Setup!$F$33:$F$40))))</f>
        <v/>
      </c>
      <c r="O53" s="137">
        <f>IF($B53="","",CHOOSE(IFERROR(MATCH($C$4,Setup!$K$33:$K$36,0),1),SUMPRODUCT(COUNTIF('2027'!$C$648:$Z$648,Setup!$F$33:$F$40)),SUMPRODUCT(COUNTIF('2028'!$C$648:$Z$648,Setup!$F$33:$F$40)),SUMPRODUCT(COUNTIF('2029'!$C$648:$Z$648,Setup!$F$33:$F$40)),SUMPRODUCT(COUNTIF('2030'!$C$648:$Z$648,Setup!$F$33:$F$40))))</f>
        <v/>
      </c>
      <c r="P53" s="137">
        <f>IF($B53="","",CHOOSE(IFERROR(MATCH($C$4,Setup!$K$33:$K$36,0),1),SUMPRODUCT(COUNTIF('2027'!$C$698:$Z$698,Setup!$F$33:$F$40)),SUMPRODUCT(COUNTIF('2028'!$C$698:$Z$698,Setup!$F$33:$F$40)),SUMPRODUCT(COUNTIF('2029'!$C$698:$Z$698,Setup!$F$33:$F$40)),SUMPRODUCT(COUNTIF('2030'!$C$698:$Z$698,Setup!$F$33:$F$40))))</f>
        <v/>
      </c>
      <c r="Q53" s="137">
        <f>IF($B53="","",CHOOSE(IFERROR(MATCH($C$4,Setup!$K$33:$K$36,0),1),SUMPRODUCT(COUNTIF('2027'!$C$748:$Z$748,Setup!$F$33:$F$40)),SUMPRODUCT(COUNTIF('2028'!$C$748:$Z$748,Setup!$F$33:$F$40)),SUMPRODUCT(COUNTIF('2029'!$C$748:$Z$748,Setup!$F$33:$F$40)),SUMPRODUCT(COUNTIF('2030'!$C$748:$Z$748,Setup!$F$33:$F$40))))</f>
        <v/>
      </c>
      <c r="R53" s="137">
        <f>IF($B53="","",CHOOSE(IFERROR(MATCH($C$4,Setup!$K$33:$K$36,0),1),SUMPRODUCT(COUNTIF('2027'!$C$798:$Z$798,Setup!$F$33:$F$40)),SUMPRODUCT(COUNTIF('2028'!$C$798:$Z$798,Setup!$F$33:$F$40)),SUMPRODUCT(COUNTIF('2029'!$C$798:$Z$798,Setup!$F$33:$F$40)),SUMPRODUCT(COUNTIF('2030'!$C$798:$Z$798,Setup!$F$33:$F$40))))</f>
        <v/>
      </c>
      <c r="S53" s="137">
        <f>IF($B53="","",CHOOSE(IFERROR(MATCH($C$4,Setup!$K$33:$K$36,0),1),SUMPRODUCT(COUNTIF('2027'!$C$848:$Z$848,Setup!$F$33:$F$40)),SUMPRODUCT(COUNTIF('2028'!$C$848:$Z$848,Setup!$F$33:$F$40)),SUMPRODUCT(COUNTIF('2029'!$C$848:$Z$848,Setup!$F$33:$F$40)),SUMPRODUCT(COUNTIF('2030'!$C$848:$Z$848,Setup!$F$33:$F$40))))</f>
        <v/>
      </c>
      <c r="T53" s="137">
        <f>IF($B53="","",CHOOSE(IFERROR(MATCH($C$4,Setup!$K$33:$K$36,0),1),SUMPRODUCT(COUNTIF('2027'!$C$898:$Z$898,Setup!$F$33:$F$40)),SUMPRODUCT(COUNTIF('2028'!$C$898:$Z$898,Setup!$F$33:$F$40)),SUMPRODUCT(COUNTIF('2029'!$C$898:$Z$898,Setup!$F$33:$F$40)),SUMPRODUCT(COUNTIF('2030'!$C$898:$Z$898,Setup!$F$33:$F$40))))</f>
        <v/>
      </c>
      <c r="U53" s="137">
        <f>IF($B53="","",CHOOSE(IFERROR(MATCH($C$4,Setup!$K$33:$K$36,0),1),SUMPRODUCT(COUNTIF('2027'!$C$948:$Z$948,Setup!$F$33:$F$40)),SUMPRODUCT(COUNTIF('2028'!$C$948:$Z$948,Setup!$F$33:$F$40)),SUMPRODUCT(COUNTIF('2029'!$C$948:$Z$948,Setup!$F$33:$F$40)),SUMPRODUCT(COUNTIF('2030'!$C$948:$Z$948,Setup!$F$33:$F$40))))</f>
        <v/>
      </c>
      <c r="V53" s="137">
        <f>IF($B53="","",CHOOSE(IFERROR(MATCH($C$4,Setup!$K$33:$K$36,0),1),SUMPRODUCT(COUNTIF('2027'!$C$998:$Z$998,Setup!$F$33:$F$40)),SUMPRODUCT(COUNTIF('2028'!$C$998:$Z$998,Setup!$F$33:$F$40)),SUMPRODUCT(COUNTIF('2029'!$C$998:$Z$998,Setup!$F$33:$F$40)),SUMPRODUCT(COUNTIF('2030'!$C$998:$Z$998,Setup!$F$33:$F$40))))</f>
        <v/>
      </c>
      <c r="W53" s="137">
        <f>IF($B53="","",CHOOSE(IFERROR(MATCH($C$4,Setup!$K$33:$K$36,0),1),SUMPRODUCT(COUNTIF('2027'!$C$1048:$Z$1048,Setup!$F$33:$F$40)),SUMPRODUCT(COUNTIF('2028'!$C$1048:$Z$1048,Setup!$F$33:$F$40)),SUMPRODUCT(COUNTIF('2029'!$C$1048:$Z$1048,Setup!$F$33:$F$40)),SUMPRODUCT(COUNTIF('2030'!$C$1048:$Z$1048,Setup!$F$33:$F$40))))</f>
        <v/>
      </c>
      <c r="X53" s="137">
        <f>IF($B53="","",CHOOSE(IFERROR(MATCH($C$4,Setup!$K$33:$K$36,0),1),SUMPRODUCT(COUNTIF('2027'!$C$1098:$Z$1098,Setup!$F$33:$F$40)),SUMPRODUCT(COUNTIF('2028'!$C$1098:$Z$1098,Setup!$F$33:$F$40)),SUMPRODUCT(COUNTIF('2029'!$C$1098:$Z$1098,Setup!$F$33:$F$40)),SUMPRODUCT(COUNTIF('2030'!$C$1098:$Z$1098,Setup!$F$33:$F$40))))</f>
        <v/>
      </c>
      <c r="Y53" s="137">
        <f>IF($B53="","",CHOOSE(IFERROR(MATCH($C$4,Setup!$K$33:$K$36,0),1),SUMPRODUCT(COUNTIF('2027'!$C$1148:$Z$1148,Setup!$F$33:$F$40)),SUMPRODUCT(COUNTIF('2028'!$C$1148:$Z$1148,Setup!$F$33:$F$40)),SUMPRODUCT(COUNTIF('2029'!$C$1148:$Z$1148,Setup!$F$33:$F$40)),SUMPRODUCT(COUNTIF('2030'!$C$1148:$Z$1148,Setup!$F$33:$F$40))))</f>
        <v/>
      </c>
      <c r="Z53" s="137">
        <f>IF($B53="","",CHOOSE(IFERROR(MATCH($C$4,Setup!$K$33:$K$36,0),1),SUMPRODUCT(COUNTIF('2027'!$C$1198:$Z$1198,Setup!$F$33:$F$40)),SUMPRODUCT(COUNTIF('2028'!$C$1198:$Z$1198,Setup!$F$33:$F$40)),SUMPRODUCT(COUNTIF('2029'!$C$1198:$Z$1198,Setup!$F$33:$F$40)),SUMPRODUCT(COUNTIF('2030'!$C$1198:$Z$1198,Setup!$F$33:$F$40))))</f>
        <v/>
      </c>
      <c r="AA53" s="137">
        <f>IF($B53="","",CHOOSE(IFERROR(MATCH($C$4,Setup!$K$33:$K$36,0),1),SUMPRODUCT(COUNTIF('2027'!$C$1248:$Z$1248,Setup!$F$33:$F$40)),SUMPRODUCT(COUNTIF('2028'!$C$1248:$Z$1248,Setup!$F$33:$F$40)),SUMPRODUCT(COUNTIF('2029'!$C$1248:$Z$1248,Setup!$F$33:$F$40)),SUMPRODUCT(COUNTIF('2030'!$C$1248:$Z$1248,Setup!$F$33:$F$40))))</f>
        <v/>
      </c>
      <c r="AB53" s="137">
        <f>IF($B53="","",CHOOSE(IFERROR(MATCH($C$4,Setup!$K$33:$K$36,0),1),SUMPRODUCT(COUNTIF('2027'!$C$1298:$Z$1298,Setup!$F$33:$F$40)),SUMPRODUCT(COUNTIF('2028'!$C$1298:$Z$1298,Setup!$F$33:$F$40)),SUMPRODUCT(COUNTIF('2029'!$C$1298:$Z$1298,Setup!$F$33:$F$40)),SUMPRODUCT(COUNTIF('2030'!$C$1298:$Z$1298,Setup!$F$33:$F$40))))</f>
        <v/>
      </c>
      <c r="AC53" s="137">
        <f>IF($B53="","",CHOOSE(IFERROR(MATCH($C$4,Setup!$K$33:$K$36,0),1),SUMPRODUCT(COUNTIF('2027'!$C$1348:$Z$1348,Setup!$F$33:$F$40)),SUMPRODUCT(COUNTIF('2028'!$C$1348:$Z$1348,Setup!$F$33:$F$40)),SUMPRODUCT(COUNTIF('2029'!$C$1348:$Z$1348,Setup!$F$33:$F$40)),SUMPRODUCT(COUNTIF('2030'!$C$1348:$Z$1348,Setup!$F$33:$F$40))))</f>
        <v/>
      </c>
      <c r="AD53" s="137">
        <f>IF($B53="","",CHOOSE(IFERROR(MATCH($C$4,Setup!$K$33:$K$36,0),1),SUMPRODUCT(COUNTIF('2027'!$C$1398:$Z$1398,Setup!$F$33:$F$40)),SUMPRODUCT(COUNTIF('2028'!$C$1398:$Z$1398,Setup!$F$33:$F$40)),SUMPRODUCT(COUNTIF('2029'!$C$1398:$Z$1398,Setup!$F$33:$F$40)),SUMPRODUCT(COUNTIF('2030'!$C$1398:$Z$1398,Setup!$F$33:$F$40))))</f>
        <v/>
      </c>
      <c r="AE53" s="137">
        <f>IF($B53="","",CHOOSE(IFERROR(MATCH($C$4,Setup!$K$33:$K$36,0),1),SUMPRODUCT(COUNTIF('2027'!$C$1448:$Z$1448,Setup!$F$33:$F$40)),SUMPRODUCT(COUNTIF('2028'!$C$1448:$Z$1448,Setup!$F$33:$F$40)),SUMPRODUCT(COUNTIF('2029'!$C$1448:$Z$1448,Setup!$F$33:$F$40)),SUMPRODUCT(COUNTIF('2030'!$C$1448:$Z$1448,Setup!$F$33:$F$40))))</f>
        <v/>
      </c>
      <c r="AF53" s="137">
        <f>IF($B53="","",CHOOSE(IFERROR(MATCH($C$4,Setup!$K$33:$K$36,0),1),SUMPRODUCT(COUNTIF('2027'!$C$1498:$Z$1498,Setup!$F$33:$F$40)),SUMPRODUCT(COUNTIF('2028'!$C$1498:$Z$1498,Setup!$F$33:$F$40)),SUMPRODUCT(COUNTIF('2029'!$C$1498:$Z$1498,Setup!$F$33:$F$40)),SUMPRODUCT(COUNTIF('2030'!$C$1498:$Z$1498,Setup!$F$33:$F$40))))</f>
        <v/>
      </c>
      <c r="AG53" s="137">
        <f>IF($B53="","",CHOOSE(IFERROR(MATCH($C$4,Setup!$K$33:$K$36,0),1),SUMPRODUCT(COUNTIF('2027'!$C$1548:$Z$1548,Setup!$F$33:$F$40)),SUMPRODUCT(COUNTIF('2028'!$C$1548:$Z$1548,Setup!$F$33:$F$40)),SUMPRODUCT(COUNTIF('2029'!$C$1548:$Z$1548,Setup!$F$33:$F$40)),SUMPRODUCT(COUNTIF('2030'!$C$1548:$Z$1548,Setup!$F$33:$F$40))))</f>
        <v/>
      </c>
      <c r="AH53" s="137">
        <f>IF($B53="","",CHOOSE(IFERROR(MATCH($C$4,Setup!$K$33:$K$36,0),1),SUMPRODUCT(COUNTIF('2027'!$C$1598:$Z$1598,Setup!$F$33:$F$40)),SUMPRODUCT(COUNTIF('2028'!$C$1598:$Z$1598,Setup!$F$33:$F$40)),SUMPRODUCT(COUNTIF('2029'!$C$1598:$Z$1598,Setup!$F$33:$F$40)),SUMPRODUCT(COUNTIF('2030'!$C$1598:$Z$1598,Setup!$F$33:$F$40))))</f>
        <v/>
      </c>
      <c r="AI53" s="137">
        <f>IF($B53="","",CHOOSE(IFERROR(MATCH($C$4,Setup!$K$33:$K$36,0),1),SUMPRODUCT(COUNTIF('2027'!$C$1648:$Z$1648,Setup!$F$33:$F$40)),SUMPRODUCT(COUNTIF('2028'!$C$1648:$Z$1648,Setup!$F$33:$F$40)),SUMPRODUCT(COUNTIF('2029'!$C$1648:$Z$1648,Setup!$F$33:$F$40)),SUMPRODUCT(COUNTIF('2030'!$C$1648:$Z$1648,Setup!$F$33:$F$40))))</f>
        <v/>
      </c>
      <c r="AJ53" s="137">
        <f>IF($B53="","",CHOOSE(IFERROR(MATCH($C$4,Setup!$K$33:$K$36,0),1),SUMPRODUCT(COUNTIF('2027'!$C$1698:$Z$1698,Setup!$F$33:$F$40)),SUMPRODUCT(COUNTIF('2028'!$C$1698:$Z$1698,Setup!$F$33:$F$40)),SUMPRODUCT(COUNTIF('2029'!$C$1698:$Z$1698,Setup!$F$33:$F$40)),SUMPRODUCT(COUNTIF('2030'!$C$1698:$Z$1698,Setup!$F$33:$F$40))))</f>
        <v/>
      </c>
      <c r="AK53" s="137">
        <f>IF($B53="","",CHOOSE(IFERROR(MATCH($C$4,Setup!$K$33:$K$36,0),1),SUMPRODUCT(COUNTIF('2027'!$C$1748:$Z$1748,Setup!$F$33:$F$40)),SUMPRODUCT(COUNTIF('2028'!$C$1748:$Z$1748,Setup!$F$33:$F$40)),SUMPRODUCT(COUNTIF('2029'!$C$1748:$Z$1748,Setup!$F$33:$F$40)),SUMPRODUCT(COUNTIF('2030'!$C$1748:$Z$1748,Setup!$F$33:$F$40))))</f>
        <v/>
      </c>
      <c r="AL53" s="137">
        <f>IF($B53="","",CHOOSE(IFERROR(MATCH($C$4,Setup!$K$33:$K$36,0),1),SUMPRODUCT(COUNTIF('2027'!$C$1798:$Z$1798,Setup!$F$33:$F$40)),SUMPRODUCT(COUNTIF('2028'!$C$1798:$Z$1798,Setup!$F$33:$F$40)),SUMPRODUCT(COUNTIF('2029'!$C$1798:$Z$1798,Setup!$F$33:$F$40)),SUMPRODUCT(COUNTIF('2030'!$C$1798:$Z$1798,Setup!$F$33:$F$40))))</f>
        <v/>
      </c>
      <c r="AM53" s="137">
        <f>IF($B53="","",CHOOSE(IFERROR(MATCH($C$4,Setup!$K$33:$K$36,0),1),SUMPRODUCT(COUNTIF('2027'!$C$1848:$Z$1848,Setup!$F$33:$F$40)),SUMPRODUCT(COUNTIF('2028'!$C$1848:$Z$1848,Setup!$F$33:$F$40)),SUMPRODUCT(COUNTIF('2029'!$C$1848:$Z$1848,Setup!$F$33:$F$40)),SUMPRODUCT(COUNTIF('2030'!$C$1848:$Z$1848,Setup!$F$33:$F$40))))</f>
        <v/>
      </c>
      <c r="AN53" s="137">
        <f>IF($B53="","",CHOOSE(IFERROR(MATCH($C$4,Setup!$K$33:$K$36,0),1),SUMPRODUCT(COUNTIF('2027'!$C$1898:$Z$1898,Setup!$F$33:$F$40)),SUMPRODUCT(COUNTIF('2028'!$C$1898:$Z$1898,Setup!$F$33:$F$40)),SUMPRODUCT(COUNTIF('2029'!$C$1898:$Z$1898,Setup!$F$33:$F$40)),SUMPRODUCT(COUNTIF('2030'!$C$1898:$Z$1898,Setup!$F$33:$F$40))))</f>
        <v/>
      </c>
      <c r="AO53" s="137">
        <f>IF($B53="","",CHOOSE(IFERROR(MATCH($C$4,Setup!$K$33:$K$36,0),1),SUMPRODUCT(COUNTIF('2027'!$C$1948:$Z$1948,Setup!$F$33:$F$40)),SUMPRODUCT(COUNTIF('2028'!$C$1948:$Z$1948,Setup!$F$33:$F$40)),SUMPRODUCT(COUNTIF('2029'!$C$1948:$Z$1948,Setup!$F$33:$F$40)),SUMPRODUCT(COUNTIF('2030'!$C$1948:$Z$1948,Setup!$F$33:$F$40))))</f>
        <v/>
      </c>
      <c r="AP53" s="137">
        <f>IF($B53="","",CHOOSE(IFERROR(MATCH($C$4,Setup!$K$33:$K$36,0),1),SUMPRODUCT(COUNTIF('2027'!$C$1998:$Z$1998,Setup!$F$33:$F$40)),SUMPRODUCT(COUNTIF('2028'!$C$1998:$Z$1998,Setup!$F$33:$F$40)),SUMPRODUCT(COUNTIF('2029'!$C$1998:$Z$1998,Setup!$F$33:$F$40)),SUMPRODUCT(COUNTIF('2030'!$C$1998:$Z$1998,Setup!$F$33:$F$40))))</f>
        <v/>
      </c>
      <c r="AQ53" s="137">
        <f>IF($B53="","",CHOOSE(IFERROR(MATCH($C$4,Setup!$K$33:$K$36,0),1),SUMPRODUCT(COUNTIF('2027'!$C$2048:$Z$2048,Setup!$F$33:$F$40)),SUMPRODUCT(COUNTIF('2028'!$C$2048:$Z$2048,Setup!$F$33:$F$40)),SUMPRODUCT(COUNTIF('2029'!$C$2048:$Z$2048,Setup!$F$33:$F$40)),SUMPRODUCT(COUNTIF('2030'!$C$2048:$Z$2048,Setup!$F$33:$F$40))))</f>
        <v/>
      </c>
      <c r="AR53" s="137">
        <f>IF($B53="","",CHOOSE(IFERROR(MATCH($C$4,Setup!$K$33:$K$36,0),1),SUMPRODUCT(COUNTIF('2027'!$C$2098:$Z$2098,Setup!$F$33:$F$40)),SUMPRODUCT(COUNTIF('2028'!$C$2098:$Z$2098,Setup!$F$33:$F$40)),SUMPRODUCT(COUNTIF('2029'!$C$2098:$Z$2098,Setup!$F$33:$F$40)),SUMPRODUCT(COUNTIF('2030'!$C$2098:$Z$2098,Setup!$F$33:$F$40))))</f>
        <v/>
      </c>
      <c r="AS53" s="137">
        <f>IF($B53="","",CHOOSE(IFERROR(MATCH($C$4,Setup!$K$33:$K$36,0),1),SUMPRODUCT(COUNTIF('2027'!$C$2148:$Z$2148,Setup!$F$33:$F$40)),SUMPRODUCT(COUNTIF('2028'!$C$2148:$Z$2148,Setup!$F$33:$F$40)),SUMPRODUCT(COUNTIF('2029'!$C$2148:$Z$2148,Setup!$F$33:$F$40)),SUMPRODUCT(COUNTIF('2030'!$C$2148:$Z$2148,Setup!$F$33:$F$40))))</f>
        <v/>
      </c>
      <c r="AT53" s="137">
        <f>IF($B53="","",CHOOSE(IFERROR(MATCH($C$4,Setup!$K$33:$K$36,0),1),SUMPRODUCT(COUNTIF('2027'!$C$2198:$Z$2198,Setup!$F$33:$F$40)),SUMPRODUCT(COUNTIF('2028'!$C$2198:$Z$2198,Setup!$F$33:$F$40)),SUMPRODUCT(COUNTIF('2029'!$C$2198:$Z$2198,Setup!$F$33:$F$40)),SUMPRODUCT(COUNTIF('2030'!$C$2198:$Z$2198,Setup!$F$33:$F$40))))</f>
        <v/>
      </c>
      <c r="AU53" s="137">
        <f>IF($B53="","",CHOOSE(IFERROR(MATCH($C$4,Setup!$K$33:$K$36,0),1),SUMPRODUCT(COUNTIF('2027'!$C$2248:$Z$2248,Setup!$F$33:$F$40)),SUMPRODUCT(COUNTIF('2028'!$C$2248:$Z$2248,Setup!$F$33:$F$40)),SUMPRODUCT(COUNTIF('2029'!$C$2248:$Z$2248,Setup!$F$33:$F$40)),SUMPRODUCT(COUNTIF('2030'!$C$2248:$Z$2248,Setup!$F$33:$F$40))))</f>
        <v/>
      </c>
      <c r="AV53" s="137">
        <f>IF($B53="","",CHOOSE(IFERROR(MATCH($C$4,Setup!$K$33:$K$36,0),1),SUMPRODUCT(COUNTIF('2027'!$C$2298:$Z$2298,Setup!$F$33:$F$40)),SUMPRODUCT(COUNTIF('2028'!$C$2298:$Z$2298,Setup!$F$33:$F$40)),SUMPRODUCT(COUNTIF('2029'!$C$2298:$Z$2298,Setup!$F$33:$F$40)),SUMPRODUCT(COUNTIF('2030'!$C$2298:$Z$2298,Setup!$F$33:$F$40))))</f>
        <v/>
      </c>
      <c r="AW53" s="137">
        <f>IF($B53="","",CHOOSE(IFERROR(MATCH($C$4,Setup!$K$33:$K$36,0),1),SUMPRODUCT(COUNTIF('2027'!$C$2348:$Z$2348,Setup!$F$33:$F$40)),SUMPRODUCT(COUNTIF('2028'!$C$2348:$Z$2348,Setup!$F$33:$F$40)),SUMPRODUCT(COUNTIF('2029'!$C$2348:$Z$2348,Setup!$F$33:$F$40)),SUMPRODUCT(COUNTIF('2030'!$C$2348:$Z$2348,Setup!$F$33:$F$40))))</f>
        <v/>
      </c>
      <c r="AX53" s="137">
        <f>IF($B53="","",CHOOSE(IFERROR(MATCH($C$4,Setup!$K$33:$K$36,0),1),SUMPRODUCT(COUNTIF('2027'!$C$2398:$Z$2398,Setup!$F$33:$F$40)),SUMPRODUCT(COUNTIF('2028'!$C$2398:$Z$2398,Setup!$F$33:$F$40)),SUMPRODUCT(COUNTIF('2029'!$C$2398:$Z$2398,Setup!$F$33:$F$40)),SUMPRODUCT(COUNTIF('2030'!$C$2398:$Z$2398,Setup!$F$33:$F$40))))</f>
        <v/>
      </c>
      <c r="AY53" s="137">
        <f>IF($B53="","",CHOOSE(IFERROR(MATCH($C$4,Setup!$K$33:$K$36,0),1),SUMPRODUCT(COUNTIF('2027'!$C$2448:$Z$2448,Setup!$F$33:$F$40)),SUMPRODUCT(COUNTIF('2028'!$C$2448:$Z$2448,Setup!$F$33:$F$40)),SUMPRODUCT(COUNTIF('2029'!$C$2448:$Z$2448,Setup!$F$33:$F$40)),SUMPRODUCT(COUNTIF('2030'!$C$2448:$Z$2448,Setup!$F$33:$F$40))))</f>
        <v/>
      </c>
      <c r="AZ53" s="137">
        <f>IF($B53="","",CHOOSE(IFERROR(MATCH($C$4,Setup!$K$33:$K$36,0),1),SUMPRODUCT(COUNTIF('2027'!$C$2498:$Z$2498,Setup!$F$33:$F$40)),SUMPRODUCT(COUNTIF('2028'!$C$2498:$Z$2498,Setup!$F$33:$F$40)),SUMPRODUCT(COUNTIF('2029'!$C$2498:$Z$2498,Setup!$F$33:$F$40)),SUMPRODUCT(COUNTIF('2030'!$C$2498:$Z$2498,Setup!$F$33:$F$40))))</f>
        <v/>
      </c>
      <c r="BA53" s="137">
        <f>IF($B53="","",CHOOSE(IFERROR(MATCH($C$4,Setup!$K$33:$K$36,0),1),SUMPRODUCT(COUNTIF('2027'!$C$2548:$Z$2548,Setup!$F$33:$F$40)),SUMPRODUCT(COUNTIF('2028'!$C$2548:$Z$2548,Setup!$F$33:$F$40)),SUMPRODUCT(COUNTIF('2029'!$C$2548:$Z$2548,Setup!$F$33:$F$40)),SUMPRODUCT(COUNTIF('2030'!$C$2548:$Z$2548,Setup!$F$33:$F$40))))</f>
        <v/>
      </c>
      <c r="BB53" s="137">
        <f>IF($B53="","",CHOOSE(IFERROR(MATCH($C$4,Setup!$K$33:$K$36,0),1),SUMPRODUCT(COUNTIF('2027'!$C$2598:$Z$2598,Setup!$F$33:$F$40)),SUMPRODUCT(COUNTIF('2028'!$C$2598:$Z$2598,Setup!$F$33:$F$40)),SUMPRODUCT(COUNTIF('2029'!$C$2598:$Z$2598,Setup!$F$33:$F$40)),SUMPRODUCT(COUNTIF('2030'!$C$2598:$Z$2598,Setup!$F$33:$F$40))))</f>
        <v/>
      </c>
      <c r="BC53" s="137">
        <f>IF($B53="","",CHOOSE(IFERROR(MATCH($C$4,Setup!$K$33:$K$36,0),1),SUMPRODUCT(COUNTIF('2027'!$C$2648:$Z$2648,Setup!$F$33:$F$40)),SUMPRODUCT(COUNTIF('2028'!$C$2648:$Z$2648,Setup!$F$33:$F$40)),SUMPRODUCT(COUNTIF('2029'!$C$2648:$Z$2648,Setup!$F$33:$F$40)),SUMPRODUCT(COUNTIF('2030'!$C$2648:$Z$2648,Setup!$F$33:$F$40))))</f>
        <v/>
      </c>
      <c r="BE53" s="129">
        <f>IF($B53="","",SUM(C53:BC53))</f>
        <v/>
      </c>
      <c r="BF53" s="130">
        <f>IF($B53="","",COUNTIF(C53:BC53,"&gt;0"))</f>
        <v/>
      </c>
      <c r="BG53" s="130">
        <f>IF(OR($B53="",N(BE53)=0),"",MATCH(MAX(C53:BC53),C53:BC53,0))</f>
        <v/>
      </c>
    </row>
    <row r="54" ht="15" customHeight="1">
      <c r="B54" s="136">
        <f>IF(Setup!$B$28="","",Setup!$B$28)</f>
        <v/>
      </c>
      <c r="C54" s="137">
        <f>IF($B54="","",CHOOSE(IFERROR(MATCH($C$4,Setup!$K$33:$K$36,0),1),SUMPRODUCT(COUNTIF('2027'!$C$49:$Z$49,Setup!$F$33:$F$40)),SUMPRODUCT(COUNTIF('2028'!$C$49:$Z$49,Setup!$F$33:$F$40)),SUMPRODUCT(COUNTIF('2029'!$C$49:$Z$49,Setup!$F$33:$F$40)),SUMPRODUCT(COUNTIF('2030'!$C$49:$Z$49,Setup!$F$33:$F$40))))</f>
        <v/>
      </c>
      <c r="D54" s="137">
        <f>IF($B54="","",CHOOSE(IFERROR(MATCH($C$4,Setup!$K$33:$K$36,0),1),SUMPRODUCT(COUNTIF('2027'!$C$99:$Z$99,Setup!$F$33:$F$40)),SUMPRODUCT(COUNTIF('2028'!$C$99:$Z$99,Setup!$F$33:$F$40)),SUMPRODUCT(COUNTIF('2029'!$C$99:$Z$99,Setup!$F$33:$F$40)),SUMPRODUCT(COUNTIF('2030'!$C$99:$Z$99,Setup!$F$33:$F$40))))</f>
        <v/>
      </c>
      <c r="E54" s="137">
        <f>IF($B54="","",CHOOSE(IFERROR(MATCH($C$4,Setup!$K$33:$K$36,0),1),SUMPRODUCT(COUNTIF('2027'!$C$149:$Z$149,Setup!$F$33:$F$40)),SUMPRODUCT(COUNTIF('2028'!$C$149:$Z$149,Setup!$F$33:$F$40)),SUMPRODUCT(COUNTIF('2029'!$C$149:$Z$149,Setup!$F$33:$F$40)),SUMPRODUCT(COUNTIF('2030'!$C$149:$Z$149,Setup!$F$33:$F$40))))</f>
        <v/>
      </c>
      <c r="F54" s="137">
        <f>IF($B54="","",CHOOSE(IFERROR(MATCH($C$4,Setup!$K$33:$K$36,0),1),SUMPRODUCT(COUNTIF('2027'!$C$199:$Z$199,Setup!$F$33:$F$40)),SUMPRODUCT(COUNTIF('2028'!$C$199:$Z$199,Setup!$F$33:$F$40)),SUMPRODUCT(COUNTIF('2029'!$C$199:$Z$199,Setup!$F$33:$F$40)),SUMPRODUCT(COUNTIF('2030'!$C$199:$Z$199,Setup!$F$33:$F$40))))</f>
        <v/>
      </c>
      <c r="G54" s="137">
        <f>IF($B54="","",CHOOSE(IFERROR(MATCH($C$4,Setup!$K$33:$K$36,0),1),SUMPRODUCT(COUNTIF('2027'!$C$249:$Z$249,Setup!$F$33:$F$40)),SUMPRODUCT(COUNTIF('2028'!$C$249:$Z$249,Setup!$F$33:$F$40)),SUMPRODUCT(COUNTIF('2029'!$C$249:$Z$249,Setup!$F$33:$F$40)),SUMPRODUCT(COUNTIF('2030'!$C$249:$Z$249,Setup!$F$33:$F$40))))</f>
        <v/>
      </c>
      <c r="H54" s="137">
        <f>IF($B54="","",CHOOSE(IFERROR(MATCH($C$4,Setup!$K$33:$K$36,0),1),SUMPRODUCT(COUNTIF('2027'!$C$299:$Z$299,Setup!$F$33:$F$40)),SUMPRODUCT(COUNTIF('2028'!$C$299:$Z$299,Setup!$F$33:$F$40)),SUMPRODUCT(COUNTIF('2029'!$C$299:$Z$299,Setup!$F$33:$F$40)),SUMPRODUCT(COUNTIF('2030'!$C$299:$Z$299,Setup!$F$33:$F$40))))</f>
        <v/>
      </c>
      <c r="I54" s="137">
        <f>IF($B54="","",CHOOSE(IFERROR(MATCH($C$4,Setup!$K$33:$K$36,0),1),SUMPRODUCT(COUNTIF('2027'!$C$349:$Z$349,Setup!$F$33:$F$40)),SUMPRODUCT(COUNTIF('2028'!$C$349:$Z$349,Setup!$F$33:$F$40)),SUMPRODUCT(COUNTIF('2029'!$C$349:$Z$349,Setup!$F$33:$F$40)),SUMPRODUCT(COUNTIF('2030'!$C$349:$Z$349,Setup!$F$33:$F$40))))</f>
        <v/>
      </c>
      <c r="J54" s="137">
        <f>IF($B54="","",CHOOSE(IFERROR(MATCH($C$4,Setup!$K$33:$K$36,0),1),SUMPRODUCT(COUNTIF('2027'!$C$399:$Z$399,Setup!$F$33:$F$40)),SUMPRODUCT(COUNTIF('2028'!$C$399:$Z$399,Setup!$F$33:$F$40)),SUMPRODUCT(COUNTIF('2029'!$C$399:$Z$399,Setup!$F$33:$F$40)),SUMPRODUCT(COUNTIF('2030'!$C$399:$Z$399,Setup!$F$33:$F$40))))</f>
        <v/>
      </c>
      <c r="K54" s="137">
        <f>IF($B54="","",CHOOSE(IFERROR(MATCH($C$4,Setup!$K$33:$K$36,0),1),SUMPRODUCT(COUNTIF('2027'!$C$449:$Z$449,Setup!$F$33:$F$40)),SUMPRODUCT(COUNTIF('2028'!$C$449:$Z$449,Setup!$F$33:$F$40)),SUMPRODUCT(COUNTIF('2029'!$C$449:$Z$449,Setup!$F$33:$F$40)),SUMPRODUCT(COUNTIF('2030'!$C$449:$Z$449,Setup!$F$33:$F$40))))</f>
        <v/>
      </c>
      <c r="L54" s="137">
        <f>IF($B54="","",CHOOSE(IFERROR(MATCH($C$4,Setup!$K$33:$K$36,0),1),SUMPRODUCT(COUNTIF('2027'!$C$499:$Z$499,Setup!$F$33:$F$40)),SUMPRODUCT(COUNTIF('2028'!$C$499:$Z$499,Setup!$F$33:$F$40)),SUMPRODUCT(COUNTIF('2029'!$C$499:$Z$499,Setup!$F$33:$F$40)),SUMPRODUCT(COUNTIF('2030'!$C$499:$Z$499,Setup!$F$33:$F$40))))</f>
        <v/>
      </c>
      <c r="M54" s="137">
        <f>IF($B54="","",CHOOSE(IFERROR(MATCH($C$4,Setup!$K$33:$K$36,0),1),SUMPRODUCT(COUNTIF('2027'!$C$549:$Z$549,Setup!$F$33:$F$40)),SUMPRODUCT(COUNTIF('2028'!$C$549:$Z$549,Setup!$F$33:$F$40)),SUMPRODUCT(COUNTIF('2029'!$C$549:$Z$549,Setup!$F$33:$F$40)),SUMPRODUCT(COUNTIF('2030'!$C$549:$Z$549,Setup!$F$33:$F$40))))</f>
        <v/>
      </c>
      <c r="N54" s="137">
        <f>IF($B54="","",CHOOSE(IFERROR(MATCH($C$4,Setup!$K$33:$K$36,0),1),SUMPRODUCT(COUNTIF('2027'!$C$599:$Z$599,Setup!$F$33:$F$40)),SUMPRODUCT(COUNTIF('2028'!$C$599:$Z$599,Setup!$F$33:$F$40)),SUMPRODUCT(COUNTIF('2029'!$C$599:$Z$599,Setup!$F$33:$F$40)),SUMPRODUCT(COUNTIF('2030'!$C$599:$Z$599,Setup!$F$33:$F$40))))</f>
        <v/>
      </c>
      <c r="O54" s="137">
        <f>IF($B54="","",CHOOSE(IFERROR(MATCH($C$4,Setup!$K$33:$K$36,0),1),SUMPRODUCT(COUNTIF('2027'!$C$649:$Z$649,Setup!$F$33:$F$40)),SUMPRODUCT(COUNTIF('2028'!$C$649:$Z$649,Setup!$F$33:$F$40)),SUMPRODUCT(COUNTIF('2029'!$C$649:$Z$649,Setup!$F$33:$F$40)),SUMPRODUCT(COUNTIF('2030'!$C$649:$Z$649,Setup!$F$33:$F$40))))</f>
        <v/>
      </c>
      <c r="P54" s="137">
        <f>IF($B54="","",CHOOSE(IFERROR(MATCH($C$4,Setup!$K$33:$K$36,0),1),SUMPRODUCT(COUNTIF('2027'!$C$699:$Z$699,Setup!$F$33:$F$40)),SUMPRODUCT(COUNTIF('2028'!$C$699:$Z$699,Setup!$F$33:$F$40)),SUMPRODUCT(COUNTIF('2029'!$C$699:$Z$699,Setup!$F$33:$F$40)),SUMPRODUCT(COUNTIF('2030'!$C$699:$Z$699,Setup!$F$33:$F$40))))</f>
        <v/>
      </c>
      <c r="Q54" s="137">
        <f>IF($B54="","",CHOOSE(IFERROR(MATCH($C$4,Setup!$K$33:$K$36,0),1),SUMPRODUCT(COUNTIF('2027'!$C$749:$Z$749,Setup!$F$33:$F$40)),SUMPRODUCT(COUNTIF('2028'!$C$749:$Z$749,Setup!$F$33:$F$40)),SUMPRODUCT(COUNTIF('2029'!$C$749:$Z$749,Setup!$F$33:$F$40)),SUMPRODUCT(COUNTIF('2030'!$C$749:$Z$749,Setup!$F$33:$F$40))))</f>
        <v/>
      </c>
      <c r="R54" s="137">
        <f>IF($B54="","",CHOOSE(IFERROR(MATCH($C$4,Setup!$K$33:$K$36,0),1),SUMPRODUCT(COUNTIF('2027'!$C$799:$Z$799,Setup!$F$33:$F$40)),SUMPRODUCT(COUNTIF('2028'!$C$799:$Z$799,Setup!$F$33:$F$40)),SUMPRODUCT(COUNTIF('2029'!$C$799:$Z$799,Setup!$F$33:$F$40)),SUMPRODUCT(COUNTIF('2030'!$C$799:$Z$799,Setup!$F$33:$F$40))))</f>
        <v/>
      </c>
      <c r="S54" s="137">
        <f>IF($B54="","",CHOOSE(IFERROR(MATCH($C$4,Setup!$K$33:$K$36,0),1),SUMPRODUCT(COUNTIF('2027'!$C$849:$Z$849,Setup!$F$33:$F$40)),SUMPRODUCT(COUNTIF('2028'!$C$849:$Z$849,Setup!$F$33:$F$40)),SUMPRODUCT(COUNTIF('2029'!$C$849:$Z$849,Setup!$F$33:$F$40)),SUMPRODUCT(COUNTIF('2030'!$C$849:$Z$849,Setup!$F$33:$F$40))))</f>
        <v/>
      </c>
      <c r="T54" s="137">
        <f>IF($B54="","",CHOOSE(IFERROR(MATCH($C$4,Setup!$K$33:$K$36,0),1),SUMPRODUCT(COUNTIF('2027'!$C$899:$Z$899,Setup!$F$33:$F$40)),SUMPRODUCT(COUNTIF('2028'!$C$899:$Z$899,Setup!$F$33:$F$40)),SUMPRODUCT(COUNTIF('2029'!$C$899:$Z$899,Setup!$F$33:$F$40)),SUMPRODUCT(COUNTIF('2030'!$C$899:$Z$899,Setup!$F$33:$F$40))))</f>
        <v/>
      </c>
      <c r="U54" s="137">
        <f>IF($B54="","",CHOOSE(IFERROR(MATCH($C$4,Setup!$K$33:$K$36,0),1),SUMPRODUCT(COUNTIF('2027'!$C$949:$Z$949,Setup!$F$33:$F$40)),SUMPRODUCT(COUNTIF('2028'!$C$949:$Z$949,Setup!$F$33:$F$40)),SUMPRODUCT(COUNTIF('2029'!$C$949:$Z$949,Setup!$F$33:$F$40)),SUMPRODUCT(COUNTIF('2030'!$C$949:$Z$949,Setup!$F$33:$F$40))))</f>
        <v/>
      </c>
      <c r="V54" s="137">
        <f>IF($B54="","",CHOOSE(IFERROR(MATCH($C$4,Setup!$K$33:$K$36,0),1),SUMPRODUCT(COUNTIF('2027'!$C$999:$Z$999,Setup!$F$33:$F$40)),SUMPRODUCT(COUNTIF('2028'!$C$999:$Z$999,Setup!$F$33:$F$40)),SUMPRODUCT(COUNTIF('2029'!$C$999:$Z$999,Setup!$F$33:$F$40)),SUMPRODUCT(COUNTIF('2030'!$C$999:$Z$999,Setup!$F$33:$F$40))))</f>
        <v/>
      </c>
      <c r="W54" s="137">
        <f>IF($B54="","",CHOOSE(IFERROR(MATCH($C$4,Setup!$K$33:$K$36,0),1),SUMPRODUCT(COUNTIF('2027'!$C$1049:$Z$1049,Setup!$F$33:$F$40)),SUMPRODUCT(COUNTIF('2028'!$C$1049:$Z$1049,Setup!$F$33:$F$40)),SUMPRODUCT(COUNTIF('2029'!$C$1049:$Z$1049,Setup!$F$33:$F$40)),SUMPRODUCT(COUNTIF('2030'!$C$1049:$Z$1049,Setup!$F$33:$F$40))))</f>
        <v/>
      </c>
      <c r="X54" s="137">
        <f>IF($B54="","",CHOOSE(IFERROR(MATCH($C$4,Setup!$K$33:$K$36,0),1),SUMPRODUCT(COUNTIF('2027'!$C$1099:$Z$1099,Setup!$F$33:$F$40)),SUMPRODUCT(COUNTIF('2028'!$C$1099:$Z$1099,Setup!$F$33:$F$40)),SUMPRODUCT(COUNTIF('2029'!$C$1099:$Z$1099,Setup!$F$33:$F$40)),SUMPRODUCT(COUNTIF('2030'!$C$1099:$Z$1099,Setup!$F$33:$F$40))))</f>
        <v/>
      </c>
      <c r="Y54" s="137">
        <f>IF($B54="","",CHOOSE(IFERROR(MATCH($C$4,Setup!$K$33:$K$36,0),1),SUMPRODUCT(COUNTIF('2027'!$C$1149:$Z$1149,Setup!$F$33:$F$40)),SUMPRODUCT(COUNTIF('2028'!$C$1149:$Z$1149,Setup!$F$33:$F$40)),SUMPRODUCT(COUNTIF('2029'!$C$1149:$Z$1149,Setup!$F$33:$F$40)),SUMPRODUCT(COUNTIF('2030'!$C$1149:$Z$1149,Setup!$F$33:$F$40))))</f>
        <v/>
      </c>
      <c r="Z54" s="137">
        <f>IF($B54="","",CHOOSE(IFERROR(MATCH($C$4,Setup!$K$33:$K$36,0),1),SUMPRODUCT(COUNTIF('2027'!$C$1199:$Z$1199,Setup!$F$33:$F$40)),SUMPRODUCT(COUNTIF('2028'!$C$1199:$Z$1199,Setup!$F$33:$F$40)),SUMPRODUCT(COUNTIF('2029'!$C$1199:$Z$1199,Setup!$F$33:$F$40)),SUMPRODUCT(COUNTIF('2030'!$C$1199:$Z$1199,Setup!$F$33:$F$40))))</f>
        <v/>
      </c>
      <c r="AA54" s="137">
        <f>IF($B54="","",CHOOSE(IFERROR(MATCH($C$4,Setup!$K$33:$K$36,0),1),SUMPRODUCT(COUNTIF('2027'!$C$1249:$Z$1249,Setup!$F$33:$F$40)),SUMPRODUCT(COUNTIF('2028'!$C$1249:$Z$1249,Setup!$F$33:$F$40)),SUMPRODUCT(COUNTIF('2029'!$C$1249:$Z$1249,Setup!$F$33:$F$40)),SUMPRODUCT(COUNTIF('2030'!$C$1249:$Z$1249,Setup!$F$33:$F$40))))</f>
        <v/>
      </c>
      <c r="AB54" s="137">
        <f>IF($B54="","",CHOOSE(IFERROR(MATCH($C$4,Setup!$K$33:$K$36,0),1),SUMPRODUCT(COUNTIF('2027'!$C$1299:$Z$1299,Setup!$F$33:$F$40)),SUMPRODUCT(COUNTIF('2028'!$C$1299:$Z$1299,Setup!$F$33:$F$40)),SUMPRODUCT(COUNTIF('2029'!$C$1299:$Z$1299,Setup!$F$33:$F$40)),SUMPRODUCT(COUNTIF('2030'!$C$1299:$Z$1299,Setup!$F$33:$F$40))))</f>
        <v/>
      </c>
      <c r="AC54" s="137">
        <f>IF($B54="","",CHOOSE(IFERROR(MATCH($C$4,Setup!$K$33:$K$36,0),1),SUMPRODUCT(COUNTIF('2027'!$C$1349:$Z$1349,Setup!$F$33:$F$40)),SUMPRODUCT(COUNTIF('2028'!$C$1349:$Z$1349,Setup!$F$33:$F$40)),SUMPRODUCT(COUNTIF('2029'!$C$1349:$Z$1349,Setup!$F$33:$F$40)),SUMPRODUCT(COUNTIF('2030'!$C$1349:$Z$1349,Setup!$F$33:$F$40))))</f>
        <v/>
      </c>
      <c r="AD54" s="137">
        <f>IF($B54="","",CHOOSE(IFERROR(MATCH($C$4,Setup!$K$33:$K$36,0),1),SUMPRODUCT(COUNTIF('2027'!$C$1399:$Z$1399,Setup!$F$33:$F$40)),SUMPRODUCT(COUNTIF('2028'!$C$1399:$Z$1399,Setup!$F$33:$F$40)),SUMPRODUCT(COUNTIF('2029'!$C$1399:$Z$1399,Setup!$F$33:$F$40)),SUMPRODUCT(COUNTIF('2030'!$C$1399:$Z$1399,Setup!$F$33:$F$40))))</f>
        <v/>
      </c>
      <c r="AE54" s="137">
        <f>IF($B54="","",CHOOSE(IFERROR(MATCH($C$4,Setup!$K$33:$K$36,0),1),SUMPRODUCT(COUNTIF('2027'!$C$1449:$Z$1449,Setup!$F$33:$F$40)),SUMPRODUCT(COUNTIF('2028'!$C$1449:$Z$1449,Setup!$F$33:$F$40)),SUMPRODUCT(COUNTIF('2029'!$C$1449:$Z$1449,Setup!$F$33:$F$40)),SUMPRODUCT(COUNTIF('2030'!$C$1449:$Z$1449,Setup!$F$33:$F$40))))</f>
        <v/>
      </c>
      <c r="AF54" s="137">
        <f>IF($B54="","",CHOOSE(IFERROR(MATCH($C$4,Setup!$K$33:$K$36,0),1),SUMPRODUCT(COUNTIF('2027'!$C$1499:$Z$1499,Setup!$F$33:$F$40)),SUMPRODUCT(COUNTIF('2028'!$C$1499:$Z$1499,Setup!$F$33:$F$40)),SUMPRODUCT(COUNTIF('2029'!$C$1499:$Z$1499,Setup!$F$33:$F$40)),SUMPRODUCT(COUNTIF('2030'!$C$1499:$Z$1499,Setup!$F$33:$F$40))))</f>
        <v/>
      </c>
      <c r="AG54" s="137">
        <f>IF($B54="","",CHOOSE(IFERROR(MATCH($C$4,Setup!$K$33:$K$36,0),1),SUMPRODUCT(COUNTIF('2027'!$C$1549:$Z$1549,Setup!$F$33:$F$40)),SUMPRODUCT(COUNTIF('2028'!$C$1549:$Z$1549,Setup!$F$33:$F$40)),SUMPRODUCT(COUNTIF('2029'!$C$1549:$Z$1549,Setup!$F$33:$F$40)),SUMPRODUCT(COUNTIF('2030'!$C$1549:$Z$1549,Setup!$F$33:$F$40))))</f>
        <v/>
      </c>
      <c r="AH54" s="137">
        <f>IF($B54="","",CHOOSE(IFERROR(MATCH($C$4,Setup!$K$33:$K$36,0),1),SUMPRODUCT(COUNTIF('2027'!$C$1599:$Z$1599,Setup!$F$33:$F$40)),SUMPRODUCT(COUNTIF('2028'!$C$1599:$Z$1599,Setup!$F$33:$F$40)),SUMPRODUCT(COUNTIF('2029'!$C$1599:$Z$1599,Setup!$F$33:$F$40)),SUMPRODUCT(COUNTIF('2030'!$C$1599:$Z$1599,Setup!$F$33:$F$40))))</f>
        <v/>
      </c>
      <c r="AI54" s="137">
        <f>IF($B54="","",CHOOSE(IFERROR(MATCH($C$4,Setup!$K$33:$K$36,0),1),SUMPRODUCT(COUNTIF('2027'!$C$1649:$Z$1649,Setup!$F$33:$F$40)),SUMPRODUCT(COUNTIF('2028'!$C$1649:$Z$1649,Setup!$F$33:$F$40)),SUMPRODUCT(COUNTIF('2029'!$C$1649:$Z$1649,Setup!$F$33:$F$40)),SUMPRODUCT(COUNTIF('2030'!$C$1649:$Z$1649,Setup!$F$33:$F$40))))</f>
        <v/>
      </c>
      <c r="AJ54" s="137">
        <f>IF($B54="","",CHOOSE(IFERROR(MATCH($C$4,Setup!$K$33:$K$36,0),1),SUMPRODUCT(COUNTIF('2027'!$C$1699:$Z$1699,Setup!$F$33:$F$40)),SUMPRODUCT(COUNTIF('2028'!$C$1699:$Z$1699,Setup!$F$33:$F$40)),SUMPRODUCT(COUNTIF('2029'!$C$1699:$Z$1699,Setup!$F$33:$F$40)),SUMPRODUCT(COUNTIF('2030'!$C$1699:$Z$1699,Setup!$F$33:$F$40))))</f>
        <v/>
      </c>
      <c r="AK54" s="137">
        <f>IF($B54="","",CHOOSE(IFERROR(MATCH($C$4,Setup!$K$33:$K$36,0),1),SUMPRODUCT(COUNTIF('2027'!$C$1749:$Z$1749,Setup!$F$33:$F$40)),SUMPRODUCT(COUNTIF('2028'!$C$1749:$Z$1749,Setup!$F$33:$F$40)),SUMPRODUCT(COUNTIF('2029'!$C$1749:$Z$1749,Setup!$F$33:$F$40)),SUMPRODUCT(COUNTIF('2030'!$C$1749:$Z$1749,Setup!$F$33:$F$40))))</f>
        <v/>
      </c>
      <c r="AL54" s="137">
        <f>IF($B54="","",CHOOSE(IFERROR(MATCH($C$4,Setup!$K$33:$K$36,0),1),SUMPRODUCT(COUNTIF('2027'!$C$1799:$Z$1799,Setup!$F$33:$F$40)),SUMPRODUCT(COUNTIF('2028'!$C$1799:$Z$1799,Setup!$F$33:$F$40)),SUMPRODUCT(COUNTIF('2029'!$C$1799:$Z$1799,Setup!$F$33:$F$40)),SUMPRODUCT(COUNTIF('2030'!$C$1799:$Z$1799,Setup!$F$33:$F$40))))</f>
        <v/>
      </c>
      <c r="AM54" s="137">
        <f>IF($B54="","",CHOOSE(IFERROR(MATCH($C$4,Setup!$K$33:$K$36,0),1),SUMPRODUCT(COUNTIF('2027'!$C$1849:$Z$1849,Setup!$F$33:$F$40)),SUMPRODUCT(COUNTIF('2028'!$C$1849:$Z$1849,Setup!$F$33:$F$40)),SUMPRODUCT(COUNTIF('2029'!$C$1849:$Z$1849,Setup!$F$33:$F$40)),SUMPRODUCT(COUNTIF('2030'!$C$1849:$Z$1849,Setup!$F$33:$F$40))))</f>
        <v/>
      </c>
      <c r="AN54" s="137">
        <f>IF($B54="","",CHOOSE(IFERROR(MATCH($C$4,Setup!$K$33:$K$36,0),1),SUMPRODUCT(COUNTIF('2027'!$C$1899:$Z$1899,Setup!$F$33:$F$40)),SUMPRODUCT(COUNTIF('2028'!$C$1899:$Z$1899,Setup!$F$33:$F$40)),SUMPRODUCT(COUNTIF('2029'!$C$1899:$Z$1899,Setup!$F$33:$F$40)),SUMPRODUCT(COUNTIF('2030'!$C$1899:$Z$1899,Setup!$F$33:$F$40))))</f>
        <v/>
      </c>
      <c r="AO54" s="137">
        <f>IF($B54="","",CHOOSE(IFERROR(MATCH($C$4,Setup!$K$33:$K$36,0),1),SUMPRODUCT(COUNTIF('2027'!$C$1949:$Z$1949,Setup!$F$33:$F$40)),SUMPRODUCT(COUNTIF('2028'!$C$1949:$Z$1949,Setup!$F$33:$F$40)),SUMPRODUCT(COUNTIF('2029'!$C$1949:$Z$1949,Setup!$F$33:$F$40)),SUMPRODUCT(COUNTIF('2030'!$C$1949:$Z$1949,Setup!$F$33:$F$40))))</f>
        <v/>
      </c>
      <c r="AP54" s="137">
        <f>IF($B54="","",CHOOSE(IFERROR(MATCH($C$4,Setup!$K$33:$K$36,0),1),SUMPRODUCT(COUNTIF('2027'!$C$1999:$Z$1999,Setup!$F$33:$F$40)),SUMPRODUCT(COUNTIF('2028'!$C$1999:$Z$1999,Setup!$F$33:$F$40)),SUMPRODUCT(COUNTIF('2029'!$C$1999:$Z$1999,Setup!$F$33:$F$40)),SUMPRODUCT(COUNTIF('2030'!$C$1999:$Z$1999,Setup!$F$33:$F$40))))</f>
        <v/>
      </c>
      <c r="AQ54" s="137">
        <f>IF($B54="","",CHOOSE(IFERROR(MATCH($C$4,Setup!$K$33:$K$36,0),1),SUMPRODUCT(COUNTIF('2027'!$C$2049:$Z$2049,Setup!$F$33:$F$40)),SUMPRODUCT(COUNTIF('2028'!$C$2049:$Z$2049,Setup!$F$33:$F$40)),SUMPRODUCT(COUNTIF('2029'!$C$2049:$Z$2049,Setup!$F$33:$F$40)),SUMPRODUCT(COUNTIF('2030'!$C$2049:$Z$2049,Setup!$F$33:$F$40))))</f>
        <v/>
      </c>
      <c r="AR54" s="137">
        <f>IF($B54="","",CHOOSE(IFERROR(MATCH($C$4,Setup!$K$33:$K$36,0),1),SUMPRODUCT(COUNTIF('2027'!$C$2099:$Z$2099,Setup!$F$33:$F$40)),SUMPRODUCT(COUNTIF('2028'!$C$2099:$Z$2099,Setup!$F$33:$F$40)),SUMPRODUCT(COUNTIF('2029'!$C$2099:$Z$2099,Setup!$F$33:$F$40)),SUMPRODUCT(COUNTIF('2030'!$C$2099:$Z$2099,Setup!$F$33:$F$40))))</f>
        <v/>
      </c>
      <c r="AS54" s="137">
        <f>IF($B54="","",CHOOSE(IFERROR(MATCH($C$4,Setup!$K$33:$K$36,0),1),SUMPRODUCT(COUNTIF('2027'!$C$2149:$Z$2149,Setup!$F$33:$F$40)),SUMPRODUCT(COUNTIF('2028'!$C$2149:$Z$2149,Setup!$F$33:$F$40)),SUMPRODUCT(COUNTIF('2029'!$C$2149:$Z$2149,Setup!$F$33:$F$40)),SUMPRODUCT(COUNTIF('2030'!$C$2149:$Z$2149,Setup!$F$33:$F$40))))</f>
        <v/>
      </c>
      <c r="AT54" s="137">
        <f>IF($B54="","",CHOOSE(IFERROR(MATCH($C$4,Setup!$K$33:$K$36,0),1),SUMPRODUCT(COUNTIF('2027'!$C$2199:$Z$2199,Setup!$F$33:$F$40)),SUMPRODUCT(COUNTIF('2028'!$C$2199:$Z$2199,Setup!$F$33:$F$40)),SUMPRODUCT(COUNTIF('2029'!$C$2199:$Z$2199,Setup!$F$33:$F$40)),SUMPRODUCT(COUNTIF('2030'!$C$2199:$Z$2199,Setup!$F$33:$F$40))))</f>
        <v/>
      </c>
      <c r="AU54" s="137">
        <f>IF($B54="","",CHOOSE(IFERROR(MATCH($C$4,Setup!$K$33:$K$36,0),1),SUMPRODUCT(COUNTIF('2027'!$C$2249:$Z$2249,Setup!$F$33:$F$40)),SUMPRODUCT(COUNTIF('2028'!$C$2249:$Z$2249,Setup!$F$33:$F$40)),SUMPRODUCT(COUNTIF('2029'!$C$2249:$Z$2249,Setup!$F$33:$F$40)),SUMPRODUCT(COUNTIF('2030'!$C$2249:$Z$2249,Setup!$F$33:$F$40))))</f>
        <v/>
      </c>
      <c r="AV54" s="137">
        <f>IF($B54="","",CHOOSE(IFERROR(MATCH($C$4,Setup!$K$33:$K$36,0),1),SUMPRODUCT(COUNTIF('2027'!$C$2299:$Z$2299,Setup!$F$33:$F$40)),SUMPRODUCT(COUNTIF('2028'!$C$2299:$Z$2299,Setup!$F$33:$F$40)),SUMPRODUCT(COUNTIF('2029'!$C$2299:$Z$2299,Setup!$F$33:$F$40)),SUMPRODUCT(COUNTIF('2030'!$C$2299:$Z$2299,Setup!$F$33:$F$40))))</f>
        <v/>
      </c>
      <c r="AW54" s="137">
        <f>IF($B54="","",CHOOSE(IFERROR(MATCH($C$4,Setup!$K$33:$K$36,0),1),SUMPRODUCT(COUNTIF('2027'!$C$2349:$Z$2349,Setup!$F$33:$F$40)),SUMPRODUCT(COUNTIF('2028'!$C$2349:$Z$2349,Setup!$F$33:$F$40)),SUMPRODUCT(COUNTIF('2029'!$C$2349:$Z$2349,Setup!$F$33:$F$40)),SUMPRODUCT(COUNTIF('2030'!$C$2349:$Z$2349,Setup!$F$33:$F$40))))</f>
        <v/>
      </c>
      <c r="AX54" s="137">
        <f>IF($B54="","",CHOOSE(IFERROR(MATCH($C$4,Setup!$K$33:$K$36,0),1),SUMPRODUCT(COUNTIF('2027'!$C$2399:$Z$2399,Setup!$F$33:$F$40)),SUMPRODUCT(COUNTIF('2028'!$C$2399:$Z$2399,Setup!$F$33:$F$40)),SUMPRODUCT(COUNTIF('2029'!$C$2399:$Z$2399,Setup!$F$33:$F$40)),SUMPRODUCT(COUNTIF('2030'!$C$2399:$Z$2399,Setup!$F$33:$F$40))))</f>
        <v/>
      </c>
      <c r="AY54" s="137">
        <f>IF($B54="","",CHOOSE(IFERROR(MATCH($C$4,Setup!$K$33:$K$36,0),1),SUMPRODUCT(COUNTIF('2027'!$C$2449:$Z$2449,Setup!$F$33:$F$40)),SUMPRODUCT(COUNTIF('2028'!$C$2449:$Z$2449,Setup!$F$33:$F$40)),SUMPRODUCT(COUNTIF('2029'!$C$2449:$Z$2449,Setup!$F$33:$F$40)),SUMPRODUCT(COUNTIF('2030'!$C$2449:$Z$2449,Setup!$F$33:$F$40))))</f>
        <v/>
      </c>
      <c r="AZ54" s="137">
        <f>IF($B54="","",CHOOSE(IFERROR(MATCH($C$4,Setup!$K$33:$K$36,0),1),SUMPRODUCT(COUNTIF('2027'!$C$2499:$Z$2499,Setup!$F$33:$F$40)),SUMPRODUCT(COUNTIF('2028'!$C$2499:$Z$2499,Setup!$F$33:$F$40)),SUMPRODUCT(COUNTIF('2029'!$C$2499:$Z$2499,Setup!$F$33:$F$40)),SUMPRODUCT(COUNTIF('2030'!$C$2499:$Z$2499,Setup!$F$33:$F$40))))</f>
        <v/>
      </c>
      <c r="BA54" s="137">
        <f>IF($B54="","",CHOOSE(IFERROR(MATCH($C$4,Setup!$K$33:$K$36,0),1),SUMPRODUCT(COUNTIF('2027'!$C$2549:$Z$2549,Setup!$F$33:$F$40)),SUMPRODUCT(COUNTIF('2028'!$C$2549:$Z$2549,Setup!$F$33:$F$40)),SUMPRODUCT(COUNTIF('2029'!$C$2549:$Z$2549,Setup!$F$33:$F$40)),SUMPRODUCT(COUNTIF('2030'!$C$2549:$Z$2549,Setup!$F$33:$F$40))))</f>
        <v/>
      </c>
      <c r="BB54" s="137">
        <f>IF($B54="","",CHOOSE(IFERROR(MATCH($C$4,Setup!$K$33:$K$36,0),1),SUMPRODUCT(COUNTIF('2027'!$C$2599:$Z$2599,Setup!$F$33:$F$40)),SUMPRODUCT(COUNTIF('2028'!$C$2599:$Z$2599,Setup!$F$33:$F$40)),SUMPRODUCT(COUNTIF('2029'!$C$2599:$Z$2599,Setup!$F$33:$F$40)),SUMPRODUCT(COUNTIF('2030'!$C$2599:$Z$2599,Setup!$F$33:$F$40))))</f>
        <v/>
      </c>
      <c r="BC54" s="137">
        <f>IF($B54="","",CHOOSE(IFERROR(MATCH($C$4,Setup!$K$33:$K$36,0),1),SUMPRODUCT(COUNTIF('2027'!$C$2649:$Z$2649,Setup!$F$33:$F$40)),SUMPRODUCT(COUNTIF('2028'!$C$2649:$Z$2649,Setup!$F$33:$F$40)),SUMPRODUCT(COUNTIF('2029'!$C$2649:$Z$2649,Setup!$F$33:$F$40)),SUMPRODUCT(COUNTIF('2030'!$C$2649:$Z$2649,Setup!$F$33:$F$40))))</f>
        <v/>
      </c>
      <c r="BE54" s="129">
        <f>IF($B54="","",SUM(C54:BC54))</f>
        <v/>
      </c>
      <c r="BF54" s="130">
        <f>IF($B54="","",COUNTIF(C54:BC54,"&gt;0"))</f>
        <v/>
      </c>
      <c r="BG54" s="130">
        <f>IF(OR($B54="",N(BE54)=0),"",MATCH(MAX(C54:BC54),C54:BC54,0))</f>
        <v/>
      </c>
    </row>
    <row r="55" ht="15" customHeight="1">
      <c r="B55" s="136">
        <f>IF(Setup!$B$29="","",Setup!$B$29)</f>
        <v/>
      </c>
      <c r="C55" s="137">
        <f>IF($B55="","",CHOOSE(IFERROR(MATCH($C$4,Setup!$K$33:$K$36,0),1),SUMPRODUCT(COUNTIF('2027'!$C$50:$Z$50,Setup!$F$33:$F$40)),SUMPRODUCT(COUNTIF('2028'!$C$50:$Z$50,Setup!$F$33:$F$40)),SUMPRODUCT(COUNTIF('2029'!$C$50:$Z$50,Setup!$F$33:$F$40)),SUMPRODUCT(COUNTIF('2030'!$C$50:$Z$50,Setup!$F$33:$F$40))))</f>
        <v/>
      </c>
      <c r="D55" s="137">
        <f>IF($B55="","",CHOOSE(IFERROR(MATCH($C$4,Setup!$K$33:$K$36,0),1),SUMPRODUCT(COUNTIF('2027'!$C$100:$Z$100,Setup!$F$33:$F$40)),SUMPRODUCT(COUNTIF('2028'!$C$100:$Z$100,Setup!$F$33:$F$40)),SUMPRODUCT(COUNTIF('2029'!$C$100:$Z$100,Setup!$F$33:$F$40)),SUMPRODUCT(COUNTIF('2030'!$C$100:$Z$100,Setup!$F$33:$F$40))))</f>
        <v/>
      </c>
      <c r="E55" s="137">
        <f>IF($B55="","",CHOOSE(IFERROR(MATCH($C$4,Setup!$K$33:$K$36,0),1),SUMPRODUCT(COUNTIF('2027'!$C$150:$Z$150,Setup!$F$33:$F$40)),SUMPRODUCT(COUNTIF('2028'!$C$150:$Z$150,Setup!$F$33:$F$40)),SUMPRODUCT(COUNTIF('2029'!$C$150:$Z$150,Setup!$F$33:$F$40)),SUMPRODUCT(COUNTIF('2030'!$C$150:$Z$150,Setup!$F$33:$F$40))))</f>
        <v/>
      </c>
      <c r="F55" s="137">
        <f>IF($B55="","",CHOOSE(IFERROR(MATCH($C$4,Setup!$K$33:$K$36,0),1),SUMPRODUCT(COUNTIF('2027'!$C$200:$Z$200,Setup!$F$33:$F$40)),SUMPRODUCT(COUNTIF('2028'!$C$200:$Z$200,Setup!$F$33:$F$40)),SUMPRODUCT(COUNTIF('2029'!$C$200:$Z$200,Setup!$F$33:$F$40)),SUMPRODUCT(COUNTIF('2030'!$C$200:$Z$200,Setup!$F$33:$F$40))))</f>
        <v/>
      </c>
      <c r="G55" s="137">
        <f>IF($B55="","",CHOOSE(IFERROR(MATCH($C$4,Setup!$K$33:$K$36,0),1),SUMPRODUCT(COUNTIF('2027'!$C$250:$Z$250,Setup!$F$33:$F$40)),SUMPRODUCT(COUNTIF('2028'!$C$250:$Z$250,Setup!$F$33:$F$40)),SUMPRODUCT(COUNTIF('2029'!$C$250:$Z$250,Setup!$F$33:$F$40)),SUMPRODUCT(COUNTIF('2030'!$C$250:$Z$250,Setup!$F$33:$F$40))))</f>
        <v/>
      </c>
      <c r="H55" s="137">
        <f>IF($B55="","",CHOOSE(IFERROR(MATCH($C$4,Setup!$K$33:$K$36,0),1),SUMPRODUCT(COUNTIF('2027'!$C$300:$Z$300,Setup!$F$33:$F$40)),SUMPRODUCT(COUNTIF('2028'!$C$300:$Z$300,Setup!$F$33:$F$40)),SUMPRODUCT(COUNTIF('2029'!$C$300:$Z$300,Setup!$F$33:$F$40)),SUMPRODUCT(COUNTIF('2030'!$C$300:$Z$300,Setup!$F$33:$F$40))))</f>
        <v/>
      </c>
      <c r="I55" s="137">
        <f>IF($B55="","",CHOOSE(IFERROR(MATCH($C$4,Setup!$K$33:$K$36,0),1),SUMPRODUCT(COUNTIF('2027'!$C$350:$Z$350,Setup!$F$33:$F$40)),SUMPRODUCT(COUNTIF('2028'!$C$350:$Z$350,Setup!$F$33:$F$40)),SUMPRODUCT(COUNTIF('2029'!$C$350:$Z$350,Setup!$F$33:$F$40)),SUMPRODUCT(COUNTIF('2030'!$C$350:$Z$350,Setup!$F$33:$F$40))))</f>
        <v/>
      </c>
      <c r="J55" s="137">
        <f>IF($B55="","",CHOOSE(IFERROR(MATCH($C$4,Setup!$K$33:$K$36,0),1),SUMPRODUCT(COUNTIF('2027'!$C$400:$Z$400,Setup!$F$33:$F$40)),SUMPRODUCT(COUNTIF('2028'!$C$400:$Z$400,Setup!$F$33:$F$40)),SUMPRODUCT(COUNTIF('2029'!$C$400:$Z$400,Setup!$F$33:$F$40)),SUMPRODUCT(COUNTIF('2030'!$C$400:$Z$400,Setup!$F$33:$F$40))))</f>
        <v/>
      </c>
      <c r="K55" s="137">
        <f>IF($B55="","",CHOOSE(IFERROR(MATCH($C$4,Setup!$K$33:$K$36,0),1),SUMPRODUCT(COUNTIF('2027'!$C$450:$Z$450,Setup!$F$33:$F$40)),SUMPRODUCT(COUNTIF('2028'!$C$450:$Z$450,Setup!$F$33:$F$40)),SUMPRODUCT(COUNTIF('2029'!$C$450:$Z$450,Setup!$F$33:$F$40)),SUMPRODUCT(COUNTIF('2030'!$C$450:$Z$450,Setup!$F$33:$F$40))))</f>
        <v/>
      </c>
      <c r="L55" s="137">
        <f>IF($B55="","",CHOOSE(IFERROR(MATCH($C$4,Setup!$K$33:$K$36,0),1),SUMPRODUCT(COUNTIF('2027'!$C$500:$Z$500,Setup!$F$33:$F$40)),SUMPRODUCT(COUNTIF('2028'!$C$500:$Z$500,Setup!$F$33:$F$40)),SUMPRODUCT(COUNTIF('2029'!$C$500:$Z$500,Setup!$F$33:$F$40)),SUMPRODUCT(COUNTIF('2030'!$C$500:$Z$500,Setup!$F$33:$F$40))))</f>
        <v/>
      </c>
      <c r="M55" s="137">
        <f>IF($B55="","",CHOOSE(IFERROR(MATCH($C$4,Setup!$K$33:$K$36,0),1),SUMPRODUCT(COUNTIF('2027'!$C$550:$Z$550,Setup!$F$33:$F$40)),SUMPRODUCT(COUNTIF('2028'!$C$550:$Z$550,Setup!$F$33:$F$40)),SUMPRODUCT(COUNTIF('2029'!$C$550:$Z$550,Setup!$F$33:$F$40)),SUMPRODUCT(COUNTIF('2030'!$C$550:$Z$550,Setup!$F$33:$F$40))))</f>
        <v/>
      </c>
      <c r="N55" s="137">
        <f>IF($B55="","",CHOOSE(IFERROR(MATCH($C$4,Setup!$K$33:$K$36,0),1),SUMPRODUCT(COUNTIF('2027'!$C$600:$Z$600,Setup!$F$33:$F$40)),SUMPRODUCT(COUNTIF('2028'!$C$600:$Z$600,Setup!$F$33:$F$40)),SUMPRODUCT(COUNTIF('2029'!$C$600:$Z$600,Setup!$F$33:$F$40)),SUMPRODUCT(COUNTIF('2030'!$C$600:$Z$600,Setup!$F$33:$F$40))))</f>
        <v/>
      </c>
      <c r="O55" s="137">
        <f>IF($B55="","",CHOOSE(IFERROR(MATCH($C$4,Setup!$K$33:$K$36,0),1),SUMPRODUCT(COUNTIF('2027'!$C$650:$Z$650,Setup!$F$33:$F$40)),SUMPRODUCT(COUNTIF('2028'!$C$650:$Z$650,Setup!$F$33:$F$40)),SUMPRODUCT(COUNTIF('2029'!$C$650:$Z$650,Setup!$F$33:$F$40)),SUMPRODUCT(COUNTIF('2030'!$C$650:$Z$650,Setup!$F$33:$F$40))))</f>
        <v/>
      </c>
      <c r="P55" s="137">
        <f>IF($B55="","",CHOOSE(IFERROR(MATCH($C$4,Setup!$K$33:$K$36,0),1),SUMPRODUCT(COUNTIF('2027'!$C$700:$Z$700,Setup!$F$33:$F$40)),SUMPRODUCT(COUNTIF('2028'!$C$700:$Z$700,Setup!$F$33:$F$40)),SUMPRODUCT(COUNTIF('2029'!$C$700:$Z$700,Setup!$F$33:$F$40)),SUMPRODUCT(COUNTIF('2030'!$C$700:$Z$700,Setup!$F$33:$F$40))))</f>
        <v/>
      </c>
      <c r="Q55" s="137">
        <f>IF($B55="","",CHOOSE(IFERROR(MATCH($C$4,Setup!$K$33:$K$36,0),1),SUMPRODUCT(COUNTIF('2027'!$C$750:$Z$750,Setup!$F$33:$F$40)),SUMPRODUCT(COUNTIF('2028'!$C$750:$Z$750,Setup!$F$33:$F$40)),SUMPRODUCT(COUNTIF('2029'!$C$750:$Z$750,Setup!$F$33:$F$40)),SUMPRODUCT(COUNTIF('2030'!$C$750:$Z$750,Setup!$F$33:$F$40))))</f>
        <v/>
      </c>
      <c r="R55" s="137">
        <f>IF($B55="","",CHOOSE(IFERROR(MATCH($C$4,Setup!$K$33:$K$36,0),1),SUMPRODUCT(COUNTIF('2027'!$C$800:$Z$800,Setup!$F$33:$F$40)),SUMPRODUCT(COUNTIF('2028'!$C$800:$Z$800,Setup!$F$33:$F$40)),SUMPRODUCT(COUNTIF('2029'!$C$800:$Z$800,Setup!$F$33:$F$40)),SUMPRODUCT(COUNTIF('2030'!$C$800:$Z$800,Setup!$F$33:$F$40))))</f>
        <v/>
      </c>
      <c r="S55" s="137">
        <f>IF($B55="","",CHOOSE(IFERROR(MATCH($C$4,Setup!$K$33:$K$36,0),1),SUMPRODUCT(COUNTIF('2027'!$C$850:$Z$850,Setup!$F$33:$F$40)),SUMPRODUCT(COUNTIF('2028'!$C$850:$Z$850,Setup!$F$33:$F$40)),SUMPRODUCT(COUNTIF('2029'!$C$850:$Z$850,Setup!$F$33:$F$40)),SUMPRODUCT(COUNTIF('2030'!$C$850:$Z$850,Setup!$F$33:$F$40))))</f>
        <v/>
      </c>
      <c r="T55" s="137">
        <f>IF($B55="","",CHOOSE(IFERROR(MATCH($C$4,Setup!$K$33:$K$36,0),1),SUMPRODUCT(COUNTIF('2027'!$C$900:$Z$900,Setup!$F$33:$F$40)),SUMPRODUCT(COUNTIF('2028'!$C$900:$Z$900,Setup!$F$33:$F$40)),SUMPRODUCT(COUNTIF('2029'!$C$900:$Z$900,Setup!$F$33:$F$40)),SUMPRODUCT(COUNTIF('2030'!$C$900:$Z$900,Setup!$F$33:$F$40))))</f>
        <v/>
      </c>
      <c r="U55" s="137">
        <f>IF($B55="","",CHOOSE(IFERROR(MATCH($C$4,Setup!$K$33:$K$36,0),1),SUMPRODUCT(COUNTIF('2027'!$C$950:$Z$950,Setup!$F$33:$F$40)),SUMPRODUCT(COUNTIF('2028'!$C$950:$Z$950,Setup!$F$33:$F$40)),SUMPRODUCT(COUNTIF('2029'!$C$950:$Z$950,Setup!$F$33:$F$40)),SUMPRODUCT(COUNTIF('2030'!$C$950:$Z$950,Setup!$F$33:$F$40))))</f>
        <v/>
      </c>
      <c r="V55" s="137">
        <f>IF($B55="","",CHOOSE(IFERROR(MATCH($C$4,Setup!$K$33:$K$36,0),1),SUMPRODUCT(COUNTIF('2027'!$C$1000:$Z$1000,Setup!$F$33:$F$40)),SUMPRODUCT(COUNTIF('2028'!$C$1000:$Z$1000,Setup!$F$33:$F$40)),SUMPRODUCT(COUNTIF('2029'!$C$1000:$Z$1000,Setup!$F$33:$F$40)),SUMPRODUCT(COUNTIF('2030'!$C$1000:$Z$1000,Setup!$F$33:$F$40))))</f>
        <v/>
      </c>
      <c r="W55" s="137">
        <f>IF($B55="","",CHOOSE(IFERROR(MATCH($C$4,Setup!$K$33:$K$36,0),1),SUMPRODUCT(COUNTIF('2027'!$C$1050:$Z$1050,Setup!$F$33:$F$40)),SUMPRODUCT(COUNTIF('2028'!$C$1050:$Z$1050,Setup!$F$33:$F$40)),SUMPRODUCT(COUNTIF('2029'!$C$1050:$Z$1050,Setup!$F$33:$F$40)),SUMPRODUCT(COUNTIF('2030'!$C$1050:$Z$1050,Setup!$F$33:$F$40))))</f>
        <v/>
      </c>
      <c r="X55" s="137">
        <f>IF($B55="","",CHOOSE(IFERROR(MATCH($C$4,Setup!$K$33:$K$36,0),1),SUMPRODUCT(COUNTIF('2027'!$C$1100:$Z$1100,Setup!$F$33:$F$40)),SUMPRODUCT(COUNTIF('2028'!$C$1100:$Z$1100,Setup!$F$33:$F$40)),SUMPRODUCT(COUNTIF('2029'!$C$1100:$Z$1100,Setup!$F$33:$F$40)),SUMPRODUCT(COUNTIF('2030'!$C$1100:$Z$1100,Setup!$F$33:$F$40))))</f>
        <v/>
      </c>
      <c r="Y55" s="137">
        <f>IF($B55="","",CHOOSE(IFERROR(MATCH($C$4,Setup!$K$33:$K$36,0),1),SUMPRODUCT(COUNTIF('2027'!$C$1150:$Z$1150,Setup!$F$33:$F$40)),SUMPRODUCT(COUNTIF('2028'!$C$1150:$Z$1150,Setup!$F$33:$F$40)),SUMPRODUCT(COUNTIF('2029'!$C$1150:$Z$1150,Setup!$F$33:$F$40)),SUMPRODUCT(COUNTIF('2030'!$C$1150:$Z$1150,Setup!$F$33:$F$40))))</f>
        <v/>
      </c>
      <c r="Z55" s="137">
        <f>IF($B55="","",CHOOSE(IFERROR(MATCH($C$4,Setup!$K$33:$K$36,0),1),SUMPRODUCT(COUNTIF('2027'!$C$1200:$Z$1200,Setup!$F$33:$F$40)),SUMPRODUCT(COUNTIF('2028'!$C$1200:$Z$1200,Setup!$F$33:$F$40)),SUMPRODUCT(COUNTIF('2029'!$C$1200:$Z$1200,Setup!$F$33:$F$40)),SUMPRODUCT(COUNTIF('2030'!$C$1200:$Z$1200,Setup!$F$33:$F$40))))</f>
        <v/>
      </c>
      <c r="AA55" s="137">
        <f>IF($B55="","",CHOOSE(IFERROR(MATCH($C$4,Setup!$K$33:$K$36,0),1),SUMPRODUCT(COUNTIF('2027'!$C$1250:$Z$1250,Setup!$F$33:$F$40)),SUMPRODUCT(COUNTIF('2028'!$C$1250:$Z$1250,Setup!$F$33:$F$40)),SUMPRODUCT(COUNTIF('2029'!$C$1250:$Z$1250,Setup!$F$33:$F$40)),SUMPRODUCT(COUNTIF('2030'!$C$1250:$Z$1250,Setup!$F$33:$F$40))))</f>
        <v/>
      </c>
      <c r="AB55" s="137">
        <f>IF($B55="","",CHOOSE(IFERROR(MATCH($C$4,Setup!$K$33:$K$36,0),1),SUMPRODUCT(COUNTIF('2027'!$C$1300:$Z$1300,Setup!$F$33:$F$40)),SUMPRODUCT(COUNTIF('2028'!$C$1300:$Z$1300,Setup!$F$33:$F$40)),SUMPRODUCT(COUNTIF('2029'!$C$1300:$Z$1300,Setup!$F$33:$F$40)),SUMPRODUCT(COUNTIF('2030'!$C$1300:$Z$1300,Setup!$F$33:$F$40))))</f>
        <v/>
      </c>
      <c r="AC55" s="137">
        <f>IF($B55="","",CHOOSE(IFERROR(MATCH($C$4,Setup!$K$33:$K$36,0),1),SUMPRODUCT(COUNTIF('2027'!$C$1350:$Z$1350,Setup!$F$33:$F$40)),SUMPRODUCT(COUNTIF('2028'!$C$1350:$Z$1350,Setup!$F$33:$F$40)),SUMPRODUCT(COUNTIF('2029'!$C$1350:$Z$1350,Setup!$F$33:$F$40)),SUMPRODUCT(COUNTIF('2030'!$C$1350:$Z$1350,Setup!$F$33:$F$40))))</f>
        <v/>
      </c>
      <c r="AD55" s="137">
        <f>IF($B55="","",CHOOSE(IFERROR(MATCH($C$4,Setup!$K$33:$K$36,0),1),SUMPRODUCT(COUNTIF('2027'!$C$1400:$Z$1400,Setup!$F$33:$F$40)),SUMPRODUCT(COUNTIF('2028'!$C$1400:$Z$1400,Setup!$F$33:$F$40)),SUMPRODUCT(COUNTIF('2029'!$C$1400:$Z$1400,Setup!$F$33:$F$40)),SUMPRODUCT(COUNTIF('2030'!$C$1400:$Z$1400,Setup!$F$33:$F$40))))</f>
        <v/>
      </c>
      <c r="AE55" s="137">
        <f>IF($B55="","",CHOOSE(IFERROR(MATCH($C$4,Setup!$K$33:$K$36,0),1),SUMPRODUCT(COUNTIF('2027'!$C$1450:$Z$1450,Setup!$F$33:$F$40)),SUMPRODUCT(COUNTIF('2028'!$C$1450:$Z$1450,Setup!$F$33:$F$40)),SUMPRODUCT(COUNTIF('2029'!$C$1450:$Z$1450,Setup!$F$33:$F$40)),SUMPRODUCT(COUNTIF('2030'!$C$1450:$Z$1450,Setup!$F$33:$F$40))))</f>
        <v/>
      </c>
      <c r="AF55" s="137">
        <f>IF($B55="","",CHOOSE(IFERROR(MATCH($C$4,Setup!$K$33:$K$36,0),1),SUMPRODUCT(COUNTIF('2027'!$C$1500:$Z$1500,Setup!$F$33:$F$40)),SUMPRODUCT(COUNTIF('2028'!$C$1500:$Z$1500,Setup!$F$33:$F$40)),SUMPRODUCT(COUNTIF('2029'!$C$1500:$Z$1500,Setup!$F$33:$F$40)),SUMPRODUCT(COUNTIF('2030'!$C$1500:$Z$1500,Setup!$F$33:$F$40))))</f>
        <v/>
      </c>
      <c r="AG55" s="137">
        <f>IF($B55="","",CHOOSE(IFERROR(MATCH($C$4,Setup!$K$33:$K$36,0),1),SUMPRODUCT(COUNTIF('2027'!$C$1550:$Z$1550,Setup!$F$33:$F$40)),SUMPRODUCT(COUNTIF('2028'!$C$1550:$Z$1550,Setup!$F$33:$F$40)),SUMPRODUCT(COUNTIF('2029'!$C$1550:$Z$1550,Setup!$F$33:$F$40)),SUMPRODUCT(COUNTIF('2030'!$C$1550:$Z$1550,Setup!$F$33:$F$40))))</f>
        <v/>
      </c>
      <c r="AH55" s="137">
        <f>IF($B55="","",CHOOSE(IFERROR(MATCH($C$4,Setup!$K$33:$K$36,0),1),SUMPRODUCT(COUNTIF('2027'!$C$1600:$Z$1600,Setup!$F$33:$F$40)),SUMPRODUCT(COUNTIF('2028'!$C$1600:$Z$1600,Setup!$F$33:$F$40)),SUMPRODUCT(COUNTIF('2029'!$C$1600:$Z$1600,Setup!$F$33:$F$40)),SUMPRODUCT(COUNTIF('2030'!$C$1600:$Z$1600,Setup!$F$33:$F$40))))</f>
        <v/>
      </c>
      <c r="AI55" s="137">
        <f>IF($B55="","",CHOOSE(IFERROR(MATCH($C$4,Setup!$K$33:$K$36,0),1),SUMPRODUCT(COUNTIF('2027'!$C$1650:$Z$1650,Setup!$F$33:$F$40)),SUMPRODUCT(COUNTIF('2028'!$C$1650:$Z$1650,Setup!$F$33:$F$40)),SUMPRODUCT(COUNTIF('2029'!$C$1650:$Z$1650,Setup!$F$33:$F$40)),SUMPRODUCT(COUNTIF('2030'!$C$1650:$Z$1650,Setup!$F$33:$F$40))))</f>
        <v/>
      </c>
      <c r="AJ55" s="137">
        <f>IF($B55="","",CHOOSE(IFERROR(MATCH($C$4,Setup!$K$33:$K$36,0),1),SUMPRODUCT(COUNTIF('2027'!$C$1700:$Z$1700,Setup!$F$33:$F$40)),SUMPRODUCT(COUNTIF('2028'!$C$1700:$Z$1700,Setup!$F$33:$F$40)),SUMPRODUCT(COUNTIF('2029'!$C$1700:$Z$1700,Setup!$F$33:$F$40)),SUMPRODUCT(COUNTIF('2030'!$C$1700:$Z$1700,Setup!$F$33:$F$40))))</f>
        <v/>
      </c>
      <c r="AK55" s="137">
        <f>IF($B55="","",CHOOSE(IFERROR(MATCH($C$4,Setup!$K$33:$K$36,0),1),SUMPRODUCT(COUNTIF('2027'!$C$1750:$Z$1750,Setup!$F$33:$F$40)),SUMPRODUCT(COUNTIF('2028'!$C$1750:$Z$1750,Setup!$F$33:$F$40)),SUMPRODUCT(COUNTIF('2029'!$C$1750:$Z$1750,Setup!$F$33:$F$40)),SUMPRODUCT(COUNTIF('2030'!$C$1750:$Z$1750,Setup!$F$33:$F$40))))</f>
        <v/>
      </c>
      <c r="AL55" s="137">
        <f>IF($B55="","",CHOOSE(IFERROR(MATCH($C$4,Setup!$K$33:$K$36,0),1),SUMPRODUCT(COUNTIF('2027'!$C$1800:$Z$1800,Setup!$F$33:$F$40)),SUMPRODUCT(COUNTIF('2028'!$C$1800:$Z$1800,Setup!$F$33:$F$40)),SUMPRODUCT(COUNTIF('2029'!$C$1800:$Z$1800,Setup!$F$33:$F$40)),SUMPRODUCT(COUNTIF('2030'!$C$1800:$Z$1800,Setup!$F$33:$F$40))))</f>
        <v/>
      </c>
      <c r="AM55" s="137">
        <f>IF($B55="","",CHOOSE(IFERROR(MATCH($C$4,Setup!$K$33:$K$36,0),1),SUMPRODUCT(COUNTIF('2027'!$C$1850:$Z$1850,Setup!$F$33:$F$40)),SUMPRODUCT(COUNTIF('2028'!$C$1850:$Z$1850,Setup!$F$33:$F$40)),SUMPRODUCT(COUNTIF('2029'!$C$1850:$Z$1850,Setup!$F$33:$F$40)),SUMPRODUCT(COUNTIF('2030'!$C$1850:$Z$1850,Setup!$F$33:$F$40))))</f>
        <v/>
      </c>
      <c r="AN55" s="137">
        <f>IF($B55="","",CHOOSE(IFERROR(MATCH($C$4,Setup!$K$33:$K$36,0),1),SUMPRODUCT(COUNTIF('2027'!$C$1900:$Z$1900,Setup!$F$33:$F$40)),SUMPRODUCT(COUNTIF('2028'!$C$1900:$Z$1900,Setup!$F$33:$F$40)),SUMPRODUCT(COUNTIF('2029'!$C$1900:$Z$1900,Setup!$F$33:$F$40)),SUMPRODUCT(COUNTIF('2030'!$C$1900:$Z$1900,Setup!$F$33:$F$40))))</f>
        <v/>
      </c>
      <c r="AO55" s="137">
        <f>IF($B55="","",CHOOSE(IFERROR(MATCH($C$4,Setup!$K$33:$K$36,0),1),SUMPRODUCT(COUNTIF('2027'!$C$1950:$Z$1950,Setup!$F$33:$F$40)),SUMPRODUCT(COUNTIF('2028'!$C$1950:$Z$1950,Setup!$F$33:$F$40)),SUMPRODUCT(COUNTIF('2029'!$C$1950:$Z$1950,Setup!$F$33:$F$40)),SUMPRODUCT(COUNTIF('2030'!$C$1950:$Z$1950,Setup!$F$33:$F$40))))</f>
        <v/>
      </c>
      <c r="AP55" s="137">
        <f>IF($B55="","",CHOOSE(IFERROR(MATCH($C$4,Setup!$K$33:$K$36,0),1),SUMPRODUCT(COUNTIF('2027'!$C$2000:$Z$2000,Setup!$F$33:$F$40)),SUMPRODUCT(COUNTIF('2028'!$C$2000:$Z$2000,Setup!$F$33:$F$40)),SUMPRODUCT(COUNTIF('2029'!$C$2000:$Z$2000,Setup!$F$33:$F$40)),SUMPRODUCT(COUNTIF('2030'!$C$2000:$Z$2000,Setup!$F$33:$F$40))))</f>
        <v/>
      </c>
      <c r="AQ55" s="137">
        <f>IF($B55="","",CHOOSE(IFERROR(MATCH($C$4,Setup!$K$33:$K$36,0),1),SUMPRODUCT(COUNTIF('2027'!$C$2050:$Z$2050,Setup!$F$33:$F$40)),SUMPRODUCT(COUNTIF('2028'!$C$2050:$Z$2050,Setup!$F$33:$F$40)),SUMPRODUCT(COUNTIF('2029'!$C$2050:$Z$2050,Setup!$F$33:$F$40)),SUMPRODUCT(COUNTIF('2030'!$C$2050:$Z$2050,Setup!$F$33:$F$40))))</f>
        <v/>
      </c>
      <c r="AR55" s="137">
        <f>IF($B55="","",CHOOSE(IFERROR(MATCH($C$4,Setup!$K$33:$K$36,0),1),SUMPRODUCT(COUNTIF('2027'!$C$2100:$Z$2100,Setup!$F$33:$F$40)),SUMPRODUCT(COUNTIF('2028'!$C$2100:$Z$2100,Setup!$F$33:$F$40)),SUMPRODUCT(COUNTIF('2029'!$C$2100:$Z$2100,Setup!$F$33:$F$40)),SUMPRODUCT(COUNTIF('2030'!$C$2100:$Z$2100,Setup!$F$33:$F$40))))</f>
        <v/>
      </c>
      <c r="AS55" s="137">
        <f>IF($B55="","",CHOOSE(IFERROR(MATCH($C$4,Setup!$K$33:$K$36,0),1),SUMPRODUCT(COUNTIF('2027'!$C$2150:$Z$2150,Setup!$F$33:$F$40)),SUMPRODUCT(COUNTIF('2028'!$C$2150:$Z$2150,Setup!$F$33:$F$40)),SUMPRODUCT(COUNTIF('2029'!$C$2150:$Z$2150,Setup!$F$33:$F$40)),SUMPRODUCT(COUNTIF('2030'!$C$2150:$Z$2150,Setup!$F$33:$F$40))))</f>
        <v/>
      </c>
      <c r="AT55" s="137">
        <f>IF($B55="","",CHOOSE(IFERROR(MATCH($C$4,Setup!$K$33:$K$36,0),1),SUMPRODUCT(COUNTIF('2027'!$C$2200:$Z$2200,Setup!$F$33:$F$40)),SUMPRODUCT(COUNTIF('2028'!$C$2200:$Z$2200,Setup!$F$33:$F$40)),SUMPRODUCT(COUNTIF('2029'!$C$2200:$Z$2200,Setup!$F$33:$F$40)),SUMPRODUCT(COUNTIF('2030'!$C$2200:$Z$2200,Setup!$F$33:$F$40))))</f>
        <v/>
      </c>
      <c r="AU55" s="137">
        <f>IF($B55="","",CHOOSE(IFERROR(MATCH($C$4,Setup!$K$33:$K$36,0),1),SUMPRODUCT(COUNTIF('2027'!$C$2250:$Z$2250,Setup!$F$33:$F$40)),SUMPRODUCT(COUNTIF('2028'!$C$2250:$Z$2250,Setup!$F$33:$F$40)),SUMPRODUCT(COUNTIF('2029'!$C$2250:$Z$2250,Setup!$F$33:$F$40)),SUMPRODUCT(COUNTIF('2030'!$C$2250:$Z$2250,Setup!$F$33:$F$40))))</f>
        <v/>
      </c>
      <c r="AV55" s="137">
        <f>IF($B55="","",CHOOSE(IFERROR(MATCH($C$4,Setup!$K$33:$K$36,0),1),SUMPRODUCT(COUNTIF('2027'!$C$2300:$Z$2300,Setup!$F$33:$F$40)),SUMPRODUCT(COUNTIF('2028'!$C$2300:$Z$2300,Setup!$F$33:$F$40)),SUMPRODUCT(COUNTIF('2029'!$C$2300:$Z$2300,Setup!$F$33:$F$40)),SUMPRODUCT(COUNTIF('2030'!$C$2300:$Z$2300,Setup!$F$33:$F$40))))</f>
        <v/>
      </c>
      <c r="AW55" s="137">
        <f>IF($B55="","",CHOOSE(IFERROR(MATCH($C$4,Setup!$K$33:$K$36,0),1),SUMPRODUCT(COUNTIF('2027'!$C$2350:$Z$2350,Setup!$F$33:$F$40)),SUMPRODUCT(COUNTIF('2028'!$C$2350:$Z$2350,Setup!$F$33:$F$40)),SUMPRODUCT(COUNTIF('2029'!$C$2350:$Z$2350,Setup!$F$33:$F$40)),SUMPRODUCT(COUNTIF('2030'!$C$2350:$Z$2350,Setup!$F$33:$F$40))))</f>
        <v/>
      </c>
      <c r="AX55" s="137">
        <f>IF($B55="","",CHOOSE(IFERROR(MATCH($C$4,Setup!$K$33:$K$36,0),1),SUMPRODUCT(COUNTIF('2027'!$C$2400:$Z$2400,Setup!$F$33:$F$40)),SUMPRODUCT(COUNTIF('2028'!$C$2400:$Z$2400,Setup!$F$33:$F$40)),SUMPRODUCT(COUNTIF('2029'!$C$2400:$Z$2400,Setup!$F$33:$F$40)),SUMPRODUCT(COUNTIF('2030'!$C$2400:$Z$2400,Setup!$F$33:$F$40))))</f>
        <v/>
      </c>
      <c r="AY55" s="137">
        <f>IF($B55="","",CHOOSE(IFERROR(MATCH($C$4,Setup!$K$33:$K$36,0),1),SUMPRODUCT(COUNTIF('2027'!$C$2450:$Z$2450,Setup!$F$33:$F$40)),SUMPRODUCT(COUNTIF('2028'!$C$2450:$Z$2450,Setup!$F$33:$F$40)),SUMPRODUCT(COUNTIF('2029'!$C$2450:$Z$2450,Setup!$F$33:$F$40)),SUMPRODUCT(COUNTIF('2030'!$C$2450:$Z$2450,Setup!$F$33:$F$40))))</f>
        <v/>
      </c>
      <c r="AZ55" s="137">
        <f>IF($B55="","",CHOOSE(IFERROR(MATCH($C$4,Setup!$K$33:$K$36,0),1),SUMPRODUCT(COUNTIF('2027'!$C$2500:$Z$2500,Setup!$F$33:$F$40)),SUMPRODUCT(COUNTIF('2028'!$C$2500:$Z$2500,Setup!$F$33:$F$40)),SUMPRODUCT(COUNTIF('2029'!$C$2500:$Z$2500,Setup!$F$33:$F$40)),SUMPRODUCT(COUNTIF('2030'!$C$2500:$Z$2500,Setup!$F$33:$F$40))))</f>
        <v/>
      </c>
      <c r="BA55" s="137">
        <f>IF($B55="","",CHOOSE(IFERROR(MATCH($C$4,Setup!$K$33:$K$36,0),1),SUMPRODUCT(COUNTIF('2027'!$C$2550:$Z$2550,Setup!$F$33:$F$40)),SUMPRODUCT(COUNTIF('2028'!$C$2550:$Z$2550,Setup!$F$33:$F$40)),SUMPRODUCT(COUNTIF('2029'!$C$2550:$Z$2550,Setup!$F$33:$F$40)),SUMPRODUCT(COUNTIF('2030'!$C$2550:$Z$2550,Setup!$F$33:$F$40))))</f>
        <v/>
      </c>
      <c r="BB55" s="137">
        <f>IF($B55="","",CHOOSE(IFERROR(MATCH($C$4,Setup!$K$33:$K$36,0),1),SUMPRODUCT(COUNTIF('2027'!$C$2600:$Z$2600,Setup!$F$33:$F$40)),SUMPRODUCT(COUNTIF('2028'!$C$2600:$Z$2600,Setup!$F$33:$F$40)),SUMPRODUCT(COUNTIF('2029'!$C$2600:$Z$2600,Setup!$F$33:$F$40)),SUMPRODUCT(COUNTIF('2030'!$C$2600:$Z$2600,Setup!$F$33:$F$40))))</f>
        <v/>
      </c>
      <c r="BC55" s="137">
        <f>IF($B55="","",CHOOSE(IFERROR(MATCH($C$4,Setup!$K$33:$K$36,0),1),SUMPRODUCT(COUNTIF('2027'!$C$2650:$Z$2650,Setup!$F$33:$F$40)),SUMPRODUCT(COUNTIF('2028'!$C$2650:$Z$2650,Setup!$F$33:$F$40)),SUMPRODUCT(COUNTIF('2029'!$C$2650:$Z$2650,Setup!$F$33:$F$40)),SUMPRODUCT(COUNTIF('2030'!$C$2650:$Z$2650,Setup!$F$33:$F$40))))</f>
        <v/>
      </c>
      <c r="BE55" s="129">
        <f>IF($B55="","",SUM(C55:BC55))</f>
        <v/>
      </c>
      <c r="BF55" s="130">
        <f>IF($B55="","",COUNTIF(C55:BC55,"&gt;0"))</f>
        <v/>
      </c>
      <c r="BG55" s="130">
        <f>IF(OR($B55="",N(BE55)=0),"",MATCH(MAX(C55:BC55),C55:BC55,0))</f>
        <v/>
      </c>
    </row>
    <row r="56">
      <c r="B56" s="131" t="inlineStr">
        <is>
          <t>Team total</t>
        </is>
      </c>
      <c r="C56" s="138">
        <f>SUM(C32:C55)</f>
        <v/>
      </c>
      <c r="D56" s="138">
        <f>SUM(D32:D55)</f>
        <v/>
      </c>
      <c r="E56" s="138">
        <f>SUM(E32:E55)</f>
        <v/>
      </c>
      <c r="F56" s="138">
        <f>SUM(F32:F55)</f>
        <v/>
      </c>
      <c r="G56" s="138">
        <f>SUM(G32:G55)</f>
        <v/>
      </c>
      <c r="H56" s="138">
        <f>SUM(H32:H55)</f>
        <v/>
      </c>
      <c r="I56" s="138">
        <f>SUM(I32:I55)</f>
        <v/>
      </c>
      <c r="J56" s="138">
        <f>SUM(J32:J55)</f>
        <v/>
      </c>
      <c r="K56" s="138">
        <f>SUM(K32:K55)</f>
        <v/>
      </c>
      <c r="L56" s="138">
        <f>SUM(L32:L55)</f>
        <v/>
      </c>
      <c r="M56" s="138">
        <f>SUM(M32:M55)</f>
        <v/>
      </c>
      <c r="N56" s="138">
        <f>SUM(N32:N55)</f>
        <v/>
      </c>
      <c r="O56" s="138">
        <f>SUM(O32:O55)</f>
        <v/>
      </c>
      <c r="P56" s="138">
        <f>SUM(P32:P55)</f>
        <v/>
      </c>
      <c r="Q56" s="138">
        <f>SUM(Q32:Q55)</f>
        <v/>
      </c>
      <c r="R56" s="138">
        <f>SUM(R32:R55)</f>
        <v/>
      </c>
      <c r="S56" s="138">
        <f>SUM(S32:S55)</f>
        <v/>
      </c>
      <c r="T56" s="138">
        <f>SUM(T32:T55)</f>
        <v/>
      </c>
      <c r="U56" s="138">
        <f>SUM(U32:U55)</f>
        <v/>
      </c>
      <c r="V56" s="138">
        <f>SUM(V32:V55)</f>
        <v/>
      </c>
      <c r="W56" s="138">
        <f>SUM(W32:W55)</f>
        <v/>
      </c>
      <c r="X56" s="138">
        <f>SUM(X32:X55)</f>
        <v/>
      </c>
      <c r="Y56" s="138">
        <f>SUM(Y32:Y55)</f>
        <v/>
      </c>
      <c r="Z56" s="138">
        <f>SUM(Z32:Z55)</f>
        <v/>
      </c>
      <c r="AA56" s="138">
        <f>SUM(AA32:AA55)</f>
        <v/>
      </c>
      <c r="AB56" s="138">
        <f>SUM(AB32:AB55)</f>
        <v/>
      </c>
      <c r="AC56" s="138">
        <f>SUM(AC32:AC55)</f>
        <v/>
      </c>
      <c r="AD56" s="138">
        <f>SUM(AD32:AD55)</f>
        <v/>
      </c>
      <c r="AE56" s="138">
        <f>SUM(AE32:AE55)</f>
        <v/>
      </c>
      <c r="AF56" s="138">
        <f>SUM(AF32:AF55)</f>
        <v/>
      </c>
      <c r="AG56" s="138">
        <f>SUM(AG32:AG55)</f>
        <v/>
      </c>
      <c r="AH56" s="138">
        <f>SUM(AH32:AH55)</f>
        <v/>
      </c>
      <c r="AI56" s="138">
        <f>SUM(AI32:AI55)</f>
        <v/>
      </c>
      <c r="AJ56" s="138">
        <f>SUM(AJ32:AJ55)</f>
        <v/>
      </c>
      <c r="AK56" s="138">
        <f>SUM(AK32:AK55)</f>
        <v/>
      </c>
      <c r="AL56" s="138">
        <f>SUM(AL32:AL55)</f>
        <v/>
      </c>
      <c r="AM56" s="138">
        <f>SUM(AM32:AM55)</f>
        <v/>
      </c>
      <c r="AN56" s="138">
        <f>SUM(AN32:AN55)</f>
        <v/>
      </c>
      <c r="AO56" s="138">
        <f>SUM(AO32:AO55)</f>
        <v/>
      </c>
      <c r="AP56" s="138">
        <f>SUM(AP32:AP55)</f>
        <v/>
      </c>
      <c r="AQ56" s="138">
        <f>SUM(AQ32:AQ55)</f>
        <v/>
      </c>
      <c r="AR56" s="138">
        <f>SUM(AR32:AR55)</f>
        <v/>
      </c>
      <c r="AS56" s="138">
        <f>SUM(AS32:AS55)</f>
        <v/>
      </c>
      <c r="AT56" s="138">
        <f>SUM(AT32:AT55)</f>
        <v/>
      </c>
      <c r="AU56" s="138">
        <f>SUM(AU32:AU55)</f>
        <v/>
      </c>
      <c r="AV56" s="138">
        <f>SUM(AV32:AV55)</f>
        <v/>
      </c>
      <c r="AW56" s="138">
        <f>SUM(AW32:AW55)</f>
        <v/>
      </c>
      <c r="AX56" s="138">
        <f>SUM(AX32:AX55)</f>
        <v/>
      </c>
      <c r="AY56" s="138">
        <f>SUM(AY32:AY55)</f>
        <v/>
      </c>
      <c r="AZ56" s="138">
        <f>SUM(AZ32:AZ55)</f>
        <v/>
      </c>
      <c r="BA56" s="138">
        <f>SUM(BA32:BA55)</f>
        <v/>
      </c>
      <c r="BB56" s="138">
        <f>SUM(BB32:BB55)</f>
        <v/>
      </c>
      <c r="BC56" s="138">
        <f>SUM(BC32:BC55)</f>
        <v/>
      </c>
      <c r="BE56" s="133">
        <f>SUM(BE32:BE55)</f>
        <v/>
      </c>
    </row>
    <row r="57">
      <c r="B57" s="11" t="inlineStr">
        <is>
          <t>Red team totals = 10 or more absence days in one week - check cover before approving more leave.</t>
        </is>
      </c>
    </row>
    <row r="60">
      <c r="B60" s="7" t="inlineStr">
        <is>
          <t>TRAINING DAYS  (T code)</t>
        </is>
      </c>
      <c r="P60" s="11" t="inlineStr">
        <is>
          <t>cell = number of days that week; blank = none</t>
        </is>
      </c>
    </row>
    <row r="61">
      <c r="B61" s="19" t="inlineStr">
        <is>
          <t>Person</t>
        </is>
      </c>
      <c r="C61" s="135" t="n">
        <v>1</v>
      </c>
      <c r="D61" s="135" t="n">
        <v>2</v>
      </c>
      <c r="E61" s="135" t="n">
        <v>3</v>
      </c>
      <c r="F61" s="135" t="n">
        <v>4</v>
      </c>
      <c r="G61" s="135" t="n">
        <v>5</v>
      </c>
      <c r="H61" s="135" t="n">
        <v>6</v>
      </c>
      <c r="I61" s="135" t="n">
        <v>7</v>
      </c>
      <c r="J61" s="135" t="n">
        <v>8</v>
      </c>
      <c r="K61" s="135" t="n">
        <v>9</v>
      </c>
      <c r="L61" s="135" t="n">
        <v>10</v>
      </c>
      <c r="M61" s="135" t="n">
        <v>11</v>
      </c>
      <c r="N61" s="135" t="n">
        <v>12</v>
      </c>
      <c r="O61" s="135" t="n">
        <v>13</v>
      </c>
      <c r="P61" s="135" t="n">
        <v>14</v>
      </c>
      <c r="Q61" s="135" t="n">
        <v>15</v>
      </c>
      <c r="R61" s="135" t="n">
        <v>16</v>
      </c>
      <c r="S61" s="135" t="n">
        <v>17</v>
      </c>
      <c r="T61" s="135" t="n">
        <v>18</v>
      </c>
      <c r="U61" s="135" t="n">
        <v>19</v>
      </c>
      <c r="V61" s="135" t="n">
        <v>20</v>
      </c>
      <c r="W61" s="135" t="n">
        <v>21</v>
      </c>
      <c r="X61" s="135" t="n">
        <v>22</v>
      </c>
      <c r="Y61" s="135" t="n">
        <v>23</v>
      </c>
      <c r="Z61" s="135" t="n">
        <v>24</v>
      </c>
      <c r="AA61" s="135" t="n">
        <v>25</v>
      </c>
      <c r="AB61" s="135" t="n">
        <v>26</v>
      </c>
      <c r="AC61" s="135" t="n">
        <v>27</v>
      </c>
      <c r="AD61" s="135" t="n">
        <v>28</v>
      </c>
      <c r="AE61" s="135" t="n">
        <v>29</v>
      </c>
      <c r="AF61" s="135" t="n">
        <v>30</v>
      </c>
      <c r="AG61" s="135" t="n">
        <v>31</v>
      </c>
      <c r="AH61" s="135" t="n">
        <v>32</v>
      </c>
      <c r="AI61" s="135" t="n">
        <v>33</v>
      </c>
      <c r="AJ61" s="135" t="n">
        <v>34</v>
      </c>
      <c r="AK61" s="135" t="n">
        <v>35</v>
      </c>
      <c r="AL61" s="135" t="n">
        <v>36</v>
      </c>
      <c r="AM61" s="135" t="n">
        <v>37</v>
      </c>
      <c r="AN61" s="135" t="n">
        <v>38</v>
      </c>
      <c r="AO61" s="135" t="n">
        <v>39</v>
      </c>
      <c r="AP61" s="135" t="n">
        <v>40</v>
      </c>
      <c r="AQ61" s="135" t="n">
        <v>41</v>
      </c>
      <c r="AR61" s="135" t="n">
        <v>42</v>
      </c>
      <c r="AS61" s="135" t="n">
        <v>43</v>
      </c>
      <c r="AT61" s="135" t="n">
        <v>44</v>
      </c>
      <c r="AU61" s="135" t="n">
        <v>45</v>
      </c>
      <c r="AV61" s="135" t="n">
        <v>46</v>
      </c>
      <c r="AW61" s="135" t="n">
        <v>47</v>
      </c>
      <c r="AX61" s="135" t="n">
        <v>48</v>
      </c>
      <c r="AY61" s="135" t="n">
        <v>49</v>
      </c>
      <c r="AZ61" s="135" t="n">
        <v>50</v>
      </c>
      <c r="BA61" s="135" t="n">
        <v>51</v>
      </c>
      <c r="BB61" s="135" t="n">
        <v>52</v>
      </c>
      <c r="BC61" s="135" t="n">
        <v>53</v>
      </c>
      <c r="BD61" s="1" t="inlineStr"/>
      <c r="BE61" s="34" t="inlineStr">
        <is>
          <t>Total days</t>
        </is>
      </c>
      <c r="BF61" s="34" t="inlineStr">
        <is>
          <t>Weeks</t>
        </is>
      </c>
      <c r="BG61" s="34" t="inlineStr">
        <is>
          <t>Peak wk</t>
        </is>
      </c>
    </row>
    <row r="62" ht="15" customHeight="1">
      <c r="B62" s="136">
        <f>IF(Setup!$B$6="","",Setup!$B$6)</f>
        <v/>
      </c>
      <c r="C62" s="137">
        <f>IF($B62="","",CHOOSE(IFERROR(MATCH($C$4,Setup!$K$33:$K$36,0),1),SUMPRODUCT(COUNTIF('2027'!$C$27:$Z$27,Setup!$B$35)),SUMPRODUCT(COUNTIF('2028'!$C$27:$Z$27,Setup!$B$35)),SUMPRODUCT(COUNTIF('2029'!$C$27:$Z$27,Setup!$B$35)),SUMPRODUCT(COUNTIF('2030'!$C$27:$Z$27,Setup!$B$35))))</f>
        <v/>
      </c>
      <c r="D62" s="137">
        <f>IF($B62="","",CHOOSE(IFERROR(MATCH($C$4,Setup!$K$33:$K$36,0),1),SUMPRODUCT(COUNTIF('2027'!$C$77:$Z$77,Setup!$B$35)),SUMPRODUCT(COUNTIF('2028'!$C$77:$Z$77,Setup!$B$35)),SUMPRODUCT(COUNTIF('2029'!$C$77:$Z$77,Setup!$B$35)),SUMPRODUCT(COUNTIF('2030'!$C$77:$Z$77,Setup!$B$35))))</f>
        <v/>
      </c>
      <c r="E62" s="137">
        <f>IF($B62="","",CHOOSE(IFERROR(MATCH($C$4,Setup!$K$33:$K$36,0),1),SUMPRODUCT(COUNTIF('2027'!$C$127:$Z$127,Setup!$B$35)),SUMPRODUCT(COUNTIF('2028'!$C$127:$Z$127,Setup!$B$35)),SUMPRODUCT(COUNTIF('2029'!$C$127:$Z$127,Setup!$B$35)),SUMPRODUCT(COUNTIF('2030'!$C$127:$Z$127,Setup!$B$35))))</f>
        <v/>
      </c>
      <c r="F62" s="137">
        <f>IF($B62="","",CHOOSE(IFERROR(MATCH($C$4,Setup!$K$33:$K$36,0),1),SUMPRODUCT(COUNTIF('2027'!$C$177:$Z$177,Setup!$B$35)),SUMPRODUCT(COUNTIF('2028'!$C$177:$Z$177,Setup!$B$35)),SUMPRODUCT(COUNTIF('2029'!$C$177:$Z$177,Setup!$B$35)),SUMPRODUCT(COUNTIF('2030'!$C$177:$Z$177,Setup!$B$35))))</f>
        <v/>
      </c>
      <c r="G62" s="137">
        <f>IF($B62="","",CHOOSE(IFERROR(MATCH($C$4,Setup!$K$33:$K$36,0),1),SUMPRODUCT(COUNTIF('2027'!$C$227:$Z$227,Setup!$B$35)),SUMPRODUCT(COUNTIF('2028'!$C$227:$Z$227,Setup!$B$35)),SUMPRODUCT(COUNTIF('2029'!$C$227:$Z$227,Setup!$B$35)),SUMPRODUCT(COUNTIF('2030'!$C$227:$Z$227,Setup!$B$35))))</f>
        <v/>
      </c>
      <c r="H62" s="137">
        <f>IF($B62="","",CHOOSE(IFERROR(MATCH($C$4,Setup!$K$33:$K$36,0),1),SUMPRODUCT(COUNTIF('2027'!$C$277:$Z$277,Setup!$B$35)),SUMPRODUCT(COUNTIF('2028'!$C$277:$Z$277,Setup!$B$35)),SUMPRODUCT(COUNTIF('2029'!$C$277:$Z$277,Setup!$B$35)),SUMPRODUCT(COUNTIF('2030'!$C$277:$Z$277,Setup!$B$35))))</f>
        <v/>
      </c>
      <c r="I62" s="137">
        <f>IF($B62="","",CHOOSE(IFERROR(MATCH($C$4,Setup!$K$33:$K$36,0),1),SUMPRODUCT(COUNTIF('2027'!$C$327:$Z$327,Setup!$B$35)),SUMPRODUCT(COUNTIF('2028'!$C$327:$Z$327,Setup!$B$35)),SUMPRODUCT(COUNTIF('2029'!$C$327:$Z$327,Setup!$B$35)),SUMPRODUCT(COUNTIF('2030'!$C$327:$Z$327,Setup!$B$35))))</f>
        <v/>
      </c>
      <c r="J62" s="137">
        <f>IF($B62="","",CHOOSE(IFERROR(MATCH($C$4,Setup!$K$33:$K$36,0),1),SUMPRODUCT(COUNTIF('2027'!$C$377:$Z$377,Setup!$B$35)),SUMPRODUCT(COUNTIF('2028'!$C$377:$Z$377,Setup!$B$35)),SUMPRODUCT(COUNTIF('2029'!$C$377:$Z$377,Setup!$B$35)),SUMPRODUCT(COUNTIF('2030'!$C$377:$Z$377,Setup!$B$35))))</f>
        <v/>
      </c>
      <c r="K62" s="137">
        <f>IF($B62="","",CHOOSE(IFERROR(MATCH($C$4,Setup!$K$33:$K$36,0),1),SUMPRODUCT(COUNTIF('2027'!$C$427:$Z$427,Setup!$B$35)),SUMPRODUCT(COUNTIF('2028'!$C$427:$Z$427,Setup!$B$35)),SUMPRODUCT(COUNTIF('2029'!$C$427:$Z$427,Setup!$B$35)),SUMPRODUCT(COUNTIF('2030'!$C$427:$Z$427,Setup!$B$35))))</f>
        <v/>
      </c>
      <c r="L62" s="137">
        <f>IF($B62="","",CHOOSE(IFERROR(MATCH($C$4,Setup!$K$33:$K$36,0),1),SUMPRODUCT(COUNTIF('2027'!$C$477:$Z$477,Setup!$B$35)),SUMPRODUCT(COUNTIF('2028'!$C$477:$Z$477,Setup!$B$35)),SUMPRODUCT(COUNTIF('2029'!$C$477:$Z$477,Setup!$B$35)),SUMPRODUCT(COUNTIF('2030'!$C$477:$Z$477,Setup!$B$35))))</f>
        <v/>
      </c>
      <c r="M62" s="137">
        <f>IF($B62="","",CHOOSE(IFERROR(MATCH($C$4,Setup!$K$33:$K$36,0),1),SUMPRODUCT(COUNTIF('2027'!$C$527:$Z$527,Setup!$B$35)),SUMPRODUCT(COUNTIF('2028'!$C$527:$Z$527,Setup!$B$35)),SUMPRODUCT(COUNTIF('2029'!$C$527:$Z$527,Setup!$B$35)),SUMPRODUCT(COUNTIF('2030'!$C$527:$Z$527,Setup!$B$35))))</f>
        <v/>
      </c>
      <c r="N62" s="137">
        <f>IF($B62="","",CHOOSE(IFERROR(MATCH($C$4,Setup!$K$33:$K$36,0),1),SUMPRODUCT(COUNTIF('2027'!$C$577:$Z$577,Setup!$B$35)),SUMPRODUCT(COUNTIF('2028'!$C$577:$Z$577,Setup!$B$35)),SUMPRODUCT(COUNTIF('2029'!$C$577:$Z$577,Setup!$B$35)),SUMPRODUCT(COUNTIF('2030'!$C$577:$Z$577,Setup!$B$35))))</f>
        <v/>
      </c>
      <c r="O62" s="137">
        <f>IF($B62="","",CHOOSE(IFERROR(MATCH($C$4,Setup!$K$33:$K$36,0),1),SUMPRODUCT(COUNTIF('2027'!$C$627:$Z$627,Setup!$B$35)),SUMPRODUCT(COUNTIF('2028'!$C$627:$Z$627,Setup!$B$35)),SUMPRODUCT(COUNTIF('2029'!$C$627:$Z$627,Setup!$B$35)),SUMPRODUCT(COUNTIF('2030'!$C$627:$Z$627,Setup!$B$35))))</f>
        <v/>
      </c>
      <c r="P62" s="137">
        <f>IF($B62="","",CHOOSE(IFERROR(MATCH($C$4,Setup!$K$33:$K$36,0),1),SUMPRODUCT(COUNTIF('2027'!$C$677:$Z$677,Setup!$B$35)),SUMPRODUCT(COUNTIF('2028'!$C$677:$Z$677,Setup!$B$35)),SUMPRODUCT(COUNTIF('2029'!$C$677:$Z$677,Setup!$B$35)),SUMPRODUCT(COUNTIF('2030'!$C$677:$Z$677,Setup!$B$35))))</f>
        <v/>
      </c>
      <c r="Q62" s="137">
        <f>IF($B62="","",CHOOSE(IFERROR(MATCH($C$4,Setup!$K$33:$K$36,0),1),SUMPRODUCT(COUNTIF('2027'!$C$727:$Z$727,Setup!$B$35)),SUMPRODUCT(COUNTIF('2028'!$C$727:$Z$727,Setup!$B$35)),SUMPRODUCT(COUNTIF('2029'!$C$727:$Z$727,Setup!$B$35)),SUMPRODUCT(COUNTIF('2030'!$C$727:$Z$727,Setup!$B$35))))</f>
        <v/>
      </c>
      <c r="R62" s="137">
        <f>IF($B62="","",CHOOSE(IFERROR(MATCH($C$4,Setup!$K$33:$K$36,0),1),SUMPRODUCT(COUNTIF('2027'!$C$777:$Z$777,Setup!$B$35)),SUMPRODUCT(COUNTIF('2028'!$C$777:$Z$777,Setup!$B$35)),SUMPRODUCT(COUNTIF('2029'!$C$777:$Z$777,Setup!$B$35)),SUMPRODUCT(COUNTIF('2030'!$C$777:$Z$777,Setup!$B$35))))</f>
        <v/>
      </c>
      <c r="S62" s="137">
        <f>IF($B62="","",CHOOSE(IFERROR(MATCH($C$4,Setup!$K$33:$K$36,0),1),SUMPRODUCT(COUNTIF('2027'!$C$827:$Z$827,Setup!$B$35)),SUMPRODUCT(COUNTIF('2028'!$C$827:$Z$827,Setup!$B$35)),SUMPRODUCT(COUNTIF('2029'!$C$827:$Z$827,Setup!$B$35)),SUMPRODUCT(COUNTIF('2030'!$C$827:$Z$827,Setup!$B$35))))</f>
        <v/>
      </c>
      <c r="T62" s="137">
        <f>IF($B62="","",CHOOSE(IFERROR(MATCH($C$4,Setup!$K$33:$K$36,0),1),SUMPRODUCT(COUNTIF('2027'!$C$877:$Z$877,Setup!$B$35)),SUMPRODUCT(COUNTIF('2028'!$C$877:$Z$877,Setup!$B$35)),SUMPRODUCT(COUNTIF('2029'!$C$877:$Z$877,Setup!$B$35)),SUMPRODUCT(COUNTIF('2030'!$C$877:$Z$877,Setup!$B$35))))</f>
        <v/>
      </c>
      <c r="U62" s="137">
        <f>IF($B62="","",CHOOSE(IFERROR(MATCH($C$4,Setup!$K$33:$K$36,0),1),SUMPRODUCT(COUNTIF('2027'!$C$927:$Z$927,Setup!$B$35)),SUMPRODUCT(COUNTIF('2028'!$C$927:$Z$927,Setup!$B$35)),SUMPRODUCT(COUNTIF('2029'!$C$927:$Z$927,Setup!$B$35)),SUMPRODUCT(COUNTIF('2030'!$C$927:$Z$927,Setup!$B$35))))</f>
        <v/>
      </c>
      <c r="V62" s="137">
        <f>IF($B62="","",CHOOSE(IFERROR(MATCH($C$4,Setup!$K$33:$K$36,0),1),SUMPRODUCT(COUNTIF('2027'!$C$977:$Z$977,Setup!$B$35)),SUMPRODUCT(COUNTIF('2028'!$C$977:$Z$977,Setup!$B$35)),SUMPRODUCT(COUNTIF('2029'!$C$977:$Z$977,Setup!$B$35)),SUMPRODUCT(COUNTIF('2030'!$C$977:$Z$977,Setup!$B$35))))</f>
        <v/>
      </c>
      <c r="W62" s="137">
        <f>IF($B62="","",CHOOSE(IFERROR(MATCH($C$4,Setup!$K$33:$K$36,0),1),SUMPRODUCT(COUNTIF('2027'!$C$1027:$Z$1027,Setup!$B$35)),SUMPRODUCT(COUNTIF('2028'!$C$1027:$Z$1027,Setup!$B$35)),SUMPRODUCT(COUNTIF('2029'!$C$1027:$Z$1027,Setup!$B$35)),SUMPRODUCT(COUNTIF('2030'!$C$1027:$Z$1027,Setup!$B$35))))</f>
        <v/>
      </c>
      <c r="X62" s="137">
        <f>IF($B62="","",CHOOSE(IFERROR(MATCH($C$4,Setup!$K$33:$K$36,0),1),SUMPRODUCT(COUNTIF('2027'!$C$1077:$Z$1077,Setup!$B$35)),SUMPRODUCT(COUNTIF('2028'!$C$1077:$Z$1077,Setup!$B$35)),SUMPRODUCT(COUNTIF('2029'!$C$1077:$Z$1077,Setup!$B$35)),SUMPRODUCT(COUNTIF('2030'!$C$1077:$Z$1077,Setup!$B$35))))</f>
        <v/>
      </c>
      <c r="Y62" s="137">
        <f>IF($B62="","",CHOOSE(IFERROR(MATCH($C$4,Setup!$K$33:$K$36,0),1),SUMPRODUCT(COUNTIF('2027'!$C$1127:$Z$1127,Setup!$B$35)),SUMPRODUCT(COUNTIF('2028'!$C$1127:$Z$1127,Setup!$B$35)),SUMPRODUCT(COUNTIF('2029'!$C$1127:$Z$1127,Setup!$B$35)),SUMPRODUCT(COUNTIF('2030'!$C$1127:$Z$1127,Setup!$B$35))))</f>
        <v/>
      </c>
      <c r="Z62" s="137">
        <f>IF($B62="","",CHOOSE(IFERROR(MATCH($C$4,Setup!$K$33:$K$36,0),1),SUMPRODUCT(COUNTIF('2027'!$C$1177:$Z$1177,Setup!$B$35)),SUMPRODUCT(COUNTIF('2028'!$C$1177:$Z$1177,Setup!$B$35)),SUMPRODUCT(COUNTIF('2029'!$C$1177:$Z$1177,Setup!$B$35)),SUMPRODUCT(COUNTIF('2030'!$C$1177:$Z$1177,Setup!$B$35))))</f>
        <v/>
      </c>
      <c r="AA62" s="137">
        <f>IF($B62="","",CHOOSE(IFERROR(MATCH($C$4,Setup!$K$33:$K$36,0),1),SUMPRODUCT(COUNTIF('2027'!$C$1227:$Z$1227,Setup!$B$35)),SUMPRODUCT(COUNTIF('2028'!$C$1227:$Z$1227,Setup!$B$35)),SUMPRODUCT(COUNTIF('2029'!$C$1227:$Z$1227,Setup!$B$35)),SUMPRODUCT(COUNTIF('2030'!$C$1227:$Z$1227,Setup!$B$35))))</f>
        <v/>
      </c>
      <c r="AB62" s="137">
        <f>IF($B62="","",CHOOSE(IFERROR(MATCH($C$4,Setup!$K$33:$K$36,0),1),SUMPRODUCT(COUNTIF('2027'!$C$1277:$Z$1277,Setup!$B$35)),SUMPRODUCT(COUNTIF('2028'!$C$1277:$Z$1277,Setup!$B$35)),SUMPRODUCT(COUNTIF('2029'!$C$1277:$Z$1277,Setup!$B$35)),SUMPRODUCT(COUNTIF('2030'!$C$1277:$Z$1277,Setup!$B$35))))</f>
        <v/>
      </c>
      <c r="AC62" s="137">
        <f>IF($B62="","",CHOOSE(IFERROR(MATCH($C$4,Setup!$K$33:$K$36,0),1),SUMPRODUCT(COUNTIF('2027'!$C$1327:$Z$1327,Setup!$B$35)),SUMPRODUCT(COUNTIF('2028'!$C$1327:$Z$1327,Setup!$B$35)),SUMPRODUCT(COUNTIF('2029'!$C$1327:$Z$1327,Setup!$B$35)),SUMPRODUCT(COUNTIF('2030'!$C$1327:$Z$1327,Setup!$B$35))))</f>
        <v/>
      </c>
      <c r="AD62" s="137">
        <f>IF($B62="","",CHOOSE(IFERROR(MATCH($C$4,Setup!$K$33:$K$36,0),1),SUMPRODUCT(COUNTIF('2027'!$C$1377:$Z$1377,Setup!$B$35)),SUMPRODUCT(COUNTIF('2028'!$C$1377:$Z$1377,Setup!$B$35)),SUMPRODUCT(COUNTIF('2029'!$C$1377:$Z$1377,Setup!$B$35)),SUMPRODUCT(COUNTIF('2030'!$C$1377:$Z$1377,Setup!$B$35))))</f>
        <v/>
      </c>
      <c r="AE62" s="137">
        <f>IF($B62="","",CHOOSE(IFERROR(MATCH($C$4,Setup!$K$33:$K$36,0),1),SUMPRODUCT(COUNTIF('2027'!$C$1427:$Z$1427,Setup!$B$35)),SUMPRODUCT(COUNTIF('2028'!$C$1427:$Z$1427,Setup!$B$35)),SUMPRODUCT(COUNTIF('2029'!$C$1427:$Z$1427,Setup!$B$35)),SUMPRODUCT(COUNTIF('2030'!$C$1427:$Z$1427,Setup!$B$35))))</f>
        <v/>
      </c>
      <c r="AF62" s="137">
        <f>IF($B62="","",CHOOSE(IFERROR(MATCH($C$4,Setup!$K$33:$K$36,0),1),SUMPRODUCT(COUNTIF('2027'!$C$1477:$Z$1477,Setup!$B$35)),SUMPRODUCT(COUNTIF('2028'!$C$1477:$Z$1477,Setup!$B$35)),SUMPRODUCT(COUNTIF('2029'!$C$1477:$Z$1477,Setup!$B$35)),SUMPRODUCT(COUNTIF('2030'!$C$1477:$Z$1477,Setup!$B$35))))</f>
        <v/>
      </c>
      <c r="AG62" s="137">
        <f>IF($B62="","",CHOOSE(IFERROR(MATCH($C$4,Setup!$K$33:$K$36,0),1),SUMPRODUCT(COUNTIF('2027'!$C$1527:$Z$1527,Setup!$B$35)),SUMPRODUCT(COUNTIF('2028'!$C$1527:$Z$1527,Setup!$B$35)),SUMPRODUCT(COUNTIF('2029'!$C$1527:$Z$1527,Setup!$B$35)),SUMPRODUCT(COUNTIF('2030'!$C$1527:$Z$1527,Setup!$B$35))))</f>
        <v/>
      </c>
      <c r="AH62" s="137">
        <f>IF($B62="","",CHOOSE(IFERROR(MATCH($C$4,Setup!$K$33:$K$36,0),1),SUMPRODUCT(COUNTIF('2027'!$C$1577:$Z$1577,Setup!$B$35)),SUMPRODUCT(COUNTIF('2028'!$C$1577:$Z$1577,Setup!$B$35)),SUMPRODUCT(COUNTIF('2029'!$C$1577:$Z$1577,Setup!$B$35)),SUMPRODUCT(COUNTIF('2030'!$C$1577:$Z$1577,Setup!$B$35))))</f>
        <v/>
      </c>
      <c r="AI62" s="137">
        <f>IF($B62="","",CHOOSE(IFERROR(MATCH($C$4,Setup!$K$33:$K$36,0),1),SUMPRODUCT(COUNTIF('2027'!$C$1627:$Z$1627,Setup!$B$35)),SUMPRODUCT(COUNTIF('2028'!$C$1627:$Z$1627,Setup!$B$35)),SUMPRODUCT(COUNTIF('2029'!$C$1627:$Z$1627,Setup!$B$35)),SUMPRODUCT(COUNTIF('2030'!$C$1627:$Z$1627,Setup!$B$35))))</f>
        <v/>
      </c>
      <c r="AJ62" s="137">
        <f>IF($B62="","",CHOOSE(IFERROR(MATCH($C$4,Setup!$K$33:$K$36,0),1),SUMPRODUCT(COUNTIF('2027'!$C$1677:$Z$1677,Setup!$B$35)),SUMPRODUCT(COUNTIF('2028'!$C$1677:$Z$1677,Setup!$B$35)),SUMPRODUCT(COUNTIF('2029'!$C$1677:$Z$1677,Setup!$B$35)),SUMPRODUCT(COUNTIF('2030'!$C$1677:$Z$1677,Setup!$B$35))))</f>
        <v/>
      </c>
      <c r="AK62" s="137">
        <f>IF($B62="","",CHOOSE(IFERROR(MATCH($C$4,Setup!$K$33:$K$36,0),1),SUMPRODUCT(COUNTIF('2027'!$C$1727:$Z$1727,Setup!$B$35)),SUMPRODUCT(COUNTIF('2028'!$C$1727:$Z$1727,Setup!$B$35)),SUMPRODUCT(COUNTIF('2029'!$C$1727:$Z$1727,Setup!$B$35)),SUMPRODUCT(COUNTIF('2030'!$C$1727:$Z$1727,Setup!$B$35))))</f>
        <v/>
      </c>
      <c r="AL62" s="137">
        <f>IF($B62="","",CHOOSE(IFERROR(MATCH($C$4,Setup!$K$33:$K$36,0),1),SUMPRODUCT(COUNTIF('2027'!$C$1777:$Z$1777,Setup!$B$35)),SUMPRODUCT(COUNTIF('2028'!$C$1777:$Z$1777,Setup!$B$35)),SUMPRODUCT(COUNTIF('2029'!$C$1777:$Z$1777,Setup!$B$35)),SUMPRODUCT(COUNTIF('2030'!$C$1777:$Z$1777,Setup!$B$35))))</f>
        <v/>
      </c>
      <c r="AM62" s="137">
        <f>IF($B62="","",CHOOSE(IFERROR(MATCH($C$4,Setup!$K$33:$K$36,0),1),SUMPRODUCT(COUNTIF('2027'!$C$1827:$Z$1827,Setup!$B$35)),SUMPRODUCT(COUNTIF('2028'!$C$1827:$Z$1827,Setup!$B$35)),SUMPRODUCT(COUNTIF('2029'!$C$1827:$Z$1827,Setup!$B$35)),SUMPRODUCT(COUNTIF('2030'!$C$1827:$Z$1827,Setup!$B$35))))</f>
        <v/>
      </c>
      <c r="AN62" s="137">
        <f>IF($B62="","",CHOOSE(IFERROR(MATCH($C$4,Setup!$K$33:$K$36,0),1),SUMPRODUCT(COUNTIF('2027'!$C$1877:$Z$1877,Setup!$B$35)),SUMPRODUCT(COUNTIF('2028'!$C$1877:$Z$1877,Setup!$B$35)),SUMPRODUCT(COUNTIF('2029'!$C$1877:$Z$1877,Setup!$B$35)),SUMPRODUCT(COUNTIF('2030'!$C$1877:$Z$1877,Setup!$B$35))))</f>
        <v/>
      </c>
      <c r="AO62" s="137">
        <f>IF($B62="","",CHOOSE(IFERROR(MATCH($C$4,Setup!$K$33:$K$36,0),1),SUMPRODUCT(COUNTIF('2027'!$C$1927:$Z$1927,Setup!$B$35)),SUMPRODUCT(COUNTIF('2028'!$C$1927:$Z$1927,Setup!$B$35)),SUMPRODUCT(COUNTIF('2029'!$C$1927:$Z$1927,Setup!$B$35)),SUMPRODUCT(COUNTIF('2030'!$C$1927:$Z$1927,Setup!$B$35))))</f>
        <v/>
      </c>
      <c r="AP62" s="137">
        <f>IF($B62="","",CHOOSE(IFERROR(MATCH($C$4,Setup!$K$33:$K$36,0),1),SUMPRODUCT(COUNTIF('2027'!$C$1977:$Z$1977,Setup!$B$35)),SUMPRODUCT(COUNTIF('2028'!$C$1977:$Z$1977,Setup!$B$35)),SUMPRODUCT(COUNTIF('2029'!$C$1977:$Z$1977,Setup!$B$35)),SUMPRODUCT(COUNTIF('2030'!$C$1977:$Z$1977,Setup!$B$35))))</f>
        <v/>
      </c>
      <c r="AQ62" s="137">
        <f>IF($B62="","",CHOOSE(IFERROR(MATCH($C$4,Setup!$K$33:$K$36,0),1),SUMPRODUCT(COUNTIF('2027'!$C$2027:$Z$2027,Setup!$B$35)),SUMPRODUCT(COUNTIF('2028'!$C$2027:$Z$2027,Setup!$B$35)),SUMPRODUCT(COUNTIF('2029'!$C$2027:$Z$2027,Setup!$B$35)),SUMPRODUCT(COUNTIF('2030'!$C$2027:$Z$2027,Setup!$B$35))))</f>
        <v/>
      </c>
      <c r="AR62" s="137">
        <f>IF($B62="","",CHOOSE(IFERROR(MATCH($C$4,Setup!$K$33:$K$36,0),1),SUMPRODUCT(COUNTIF('2027'!$C$2077:$Z$2077,Setup!$B$35)),SUMPRODUCT(COUNTIF('2028'!$C$2077:$Z$2077,Setup!$B$35)),SUMPRODUCT(COUNTIF('2029'!$C$2077:$Z$2077,Setup!$B$35)),SUMPRODUCT(COUNTIF('2030'!$C$2077:$Z$2077,Setup!$B$35))))</f>
        <v/>
      </c>
      <c r="AS62" s="137">
        <f>IF($B62="","",CHOOSE(IFERROR(MATCH($C$4,Setup!$K$33:$K$36,0),1),SUMPRODUCT(COUNTIF('2027'!$C$2127:$Z$2127,Setup!$B$35)),SUMPRODUCT(COUNTIF('2028'!$C$2127:$Z$2127,Setup!$B$35)),SUMPRODUCT(COUNTIF('2029'!$C$2127:$Z$2127,Setup!$B$35)),SUMPRODUCT(COUNTIF('2030'!$C$2127:$Z$2127,Setup!$B$35))))</f>
        <v/>
      </c>
      <c r="AT62" s="137">
        <f>IF($B62="","",CHOOSE(IFERROR(MATCH($C$4,Setup!$K$33:$K$36,0),1),SUMPRODUCT(COUNTIF('2027'!$C$2177:$Z$2177,Setup!$B$35)),SUMPRODUCT(COUNTIF('2028'!$C$2177:$Z$2177,Setup!$B$35)),SUMPRODUCT(COUNTIF('2029'!$C$2177:$Z$2177,Setup!$B$35)),SUMPRODUCT(COUNTIF('2030'!$C$2177:$Z$2177,Setup!$B$35))))</f>
        <v/>
      </c>
      <c r="AU62" s="137">
        <f>IF($B62="","",CHOOSE(IFERROR(MATCH($C$4,Setup!$K$33:$K$36,0),1),SUMPRODUCT(COUNTIF('2027'!$C$2227:$Z$2227,Setup!$B$35)),SUMPRODUCT(COUNTIF('2028'!$C$2227:$Z$2227,Setup!$B$35)),SUMPRODUCT(COUNTIF('2029'!$C$2227:$Z$2227,Setup!$B$35)),SUMPRODUCT(COUNTIF('2030'!$C$2227:$Z$2227,Setup!$B$35))))</f>
        <v/>
      </c>
      <c r="AV62" s="137">
        <f>IF($B62="","",CHOOSE(IFERROR(MATCH($C$4,Setup!$K$33:$K$36,0),1),SUMPRODUCT(COUNTIF('2027'!$C$2277:$Z$2277,Setup!$B$35)),SUMPRODUCT(COUNTIF('2028'!$C$2277:$Z$2277,Setup!$B$35)),SUMPRODUCT(COUNTIF('2029'!$C$2277:$Z$2277,Setup!$B$35)),SUMPRODUCT(COUNTIF('2030'!$C$2277:$Z$2277,Setup!$B$35))))</f>
        <v/>
      </c>
      <c r="AW62" s="137">
        <f>IF($B62="","",CHOOSE(IFERROR(MATCH($C$4,Setup!$K$33:$K$36,0),1),SUMPRODUCT(COUNTIF('2027'!$C$2327:$Z$2327,Setup!$B$35)),SUMPRODUCT(COUNTIF('2028'!$C$2327:$Z$2327,Setup!$B$35)),SUMPRODUCT(COUNTIF('2029'!$C$2327:$Z$2327,Setup!$B$35)),SUMPRODUCT(COUNTIF('2030'!$C$2327:$Z$2327,Setup!$B$35))))</f>
        <v/>
      </c>
      <c r="AX62" s="137">
        <f>IF($B62="","",CHOOSE(IFERROR(MATCH($C$4,Setup!$K$33:$K$36,0),1),SUMPRODUCT(COUNTIF('2027'!$C$2377:$Z$2377,Setup!$B$35)),SUMPRODUCT(COUNTIF('2028'!$C$2377:$Z$2377,Setup!$B$35)),SUMPRODUCT(COUNTIF('2029'!$C$2377:$Z$2377,Setup!$B$35)),SUMPRODUCT(COUNTIF('2030'!$C$2377:$Z$2377,Setup!$B$35))))</f>
        <v/>
      </c>
      <c r="AY62" s="137">
        <f>IF($B62="","",CHOOSE(IFERROR(MATCH($C$4,Setup!$K$33:$K$36,0),1),SUMPRODUCT(COUNTIF('2027'!$C$2427:$Z$2427,Setup!$B$35)),SUMPRODUCT(COUNTIF('2028'!$C$2427:$Z$2427,Setup!$B$35)),SUMPRODUCT(COUNTIF('2029'!$C$2427:$Z$2427,Setup!$B$35)),SUMPRODUCT(COUNTIF('2030'!$C$2427:$Z$2427,Setup!$B$35))))</f>
        <v/>
      </c>
      <c r="AZ62" s="137">
        <f>IF($B62="","",CHOOSE(IFERROR(MATCH($C$4,Setup!$K$33:$K$36,0),1),SUMPRODUCT(COUNTIF('2027'!$C$2477:$Z$2477,Setup!$B$35)),SUMPRODUCT(COUNTIF('2028'!$C$2477:$Z$2477,Setup!$B$35)),SUMPRODUCT(COUNTIF('2029'!$C$2477:$Z$2477,Setup!$B$35)),SUMPRODUCT(COUNTIF('2030'!$C$2477:$Z$2477,Setup!$B$35))))</f>
        <v/>
      </c>
      <c r="BA62" s="137">
        <f>IF($B62="","",CHOOSE(IFERROR(MATCH($C$4,Setup!$K$33:$K$36,0),1),SUMPRODUCT(COUNTIF('2027'!$C$2527:$Z$2527,Setup!$B$35)),SUMPRODUCT(COUNTIF('2028'!$C$2527:$Z$2527,Setup!$B$35)),SUMPRODUCT(COUNTIF('2029'!$C$2527:$Z$2527,Setup!$B$35)),SUMPRODUCT(COUNTIF('2030'!$C$2527:$Z$2527,Setup!$B$35))))</f>
        <v/>
      </c>
      <c r="BB62" s="137">
        <f>IF($B62="","",CHOOSE(IFERROR(MATCH($C$4,Setup!$K$33:$K$36,0),1),SUMPRODUCT(COUNTIF('2027'!$C$2577:$Z$2577,Setup!$B$35)),SUMPRODUCT(COUNTIF('2028'!$C$2577:$Z$2577,Setup!$B$35)),SUMPRODUCT(COUNTIF('2029'!$C$2577:$Z$2577,Setup!$B$35)),SUMPRODUCT(COUNTIF('2030'!$C$2577:$Z$2577,Setup!$B$35))))</f>
        <v/>
      </c>
      <c r="BC62" s="137">
        <f>IF($B62="","",CHOOSE(IFERROR(MATCH($C$4,Setup!$K$33:$K$36,0),1),SUMPRODUCT(COUNTIF('2027'!$C$2627:$Z$2627,Setup!$B$35)),SUMPRODUCT(COUNTIF('2028'!$C$2627:$Z$2627,Setup!$B$35)),SUMPRODUCT(COUNTIF('2029'!$C$2627:$Z$2627,Setup!$B$35)),SUMPRODUCT(COUNTIF('2030'!$C$2627:$Z$2627,Setup!$B$35))))</f>
        <v/>
      </c>
      <c r="BE62" s="129">
        <f>IF($B62="","",SUM(C62:BC62))</f>
        <v/>
      </c>
      <c r="BF62" s="130">
        <f>IF($B62="","",COUNTIF(C62:BC62,"&gt;0"))</f>
        <v/>
      </c>
      <c r="BG62" s="130">
        <f>IF(OR($B62="",N(BE62)=0),"",MATCH(MAX(C62:BC62),C62:BC62,0))</f>
        <v/>
      </c>
    </row>
    <row r="63" ht="15" customHeight="1">
      <c r="B63" s="136">
        <f>IF(Setup!$B$7="","",Setup!$B$7)</f>
        <v/>
      </c>
      <c r="C63" s="137">
        <f>IF($B63="","",CHOOSE(IFERROR(MATCH($C$4,Setup!$K$33:$K$36,0),1),SUMPRODUCT(COUNTIF('2027'!$C$28:$Z$28,Setup!$B$35)),SUMPRODUCT(COUNTIF('2028'!$C$28:$Z$28,Setup!$B$35)),SUMPRODUCT(COUNTIF('2029'!$C$28:$Z$28,Setup!$B$35)),SUMPRODUCT(COUNTIF('2030'!$C$28:$Z$28,Setup!$B$35))))</f>
        <v/>
      </c>
      <c r="D63" s="137">
        <f>IF($B63="","",CHOOSE(IFERROR(MATCH($C$4,Setup!$K$33:$K$36,0),1),SUMPRODUCT(COUNTIF('2027'!$C$78:$Z$78,Setup!$B$35)),SUMPRODUCT(COUNTIF('2028'!$C$78:$Z$78,Setup!$B$35)),SUMPRODUCT(COUNTIF('2029'!$C$78:$Z$78,Setup!$B$35)),SUMPRODUCT(COUNTIF('2030'!$C$78:$Z$78,Setup!$B$35))))</f>
        <v/>
      </c>
      <c r="E63" s="137">
        <f>IF($B63="","",CHOOSE(IFERROR(MATCH($C$4,Setup!$K$33:$K$36,0),1),SUMPRODUCT(COUNTIF('2027'!$C$128:$Z$128,Setup!$B$35)),SUMPRODUCT(COUNTIF('2028'!$C$128:$Z$128,Setup!$B$35)),SUMPRODUCT(COUNTIF('2029'!$C$128:$Z$128,Setup!$B$35)),SUMPRODUCT(COUNTIF('2030'!$C$128:$Z$128,Setup!$B$35))))</f>
        <v/>
      </c>
      <c r="F63" s="137">
        <f>IF($B63="","",CHOOSE(IFERROR(MATCH($C$4,Setup!$K$33:$K$36,0),1),SUMPRODUCT(COUNTIF('2027'!$C$178:$Z$178,Setup!$B$35)),SUMPRODUCT(COUNTIF('2028'!$C$178:$Z$178,Setup!$B$35)),SUMPRODUCT(COUNTIF('2029'!$C$178:$Z$178,Setup!$B$35)),SUMPRODUCT(COUNTIF('2030'!$C$178:$Z$178,Setup!$B$35))))</f>
        <v/>
      </c>
      <c r="G63" s="137">
        <f>IF($B63="","",CHOOSE(IFERROR(MATCH($C$4,Setup!$K$33:$K$36,0),1),SUMPRODUCT(COUNTIF('2027'!$C$228:$Z$228,Setup!$B$35)),SUMPRODUCT(COUNTIF('2028'!$C$228:$Z$228,Setup!$B$35)),SUMPRODUCT(COUNTIF('2029'!$C$228:$Z$228,Setup!$B$35)),SUMPRODUCT(COUNTIF('2030'!$C$228:$Z$228,Setup!$B$35))))</f>
        <v/>
      </c>
      <c r="H63" s="137">
        <f>IF($B63="","",CHOOSE(IFERROR(MATCH($C$4,Setup!$K$33:$K$36,0),1),SUMPRODUCT(COUNTIF('2027'!$C$278:$Z$278,Setup!$B$35)),SUMPRODUCT(COUNTIF('2028'!$C$278:$Z$278,Setup!$B$35)),SUMPRODUCT(COUNTIF('2029'!$C$278:$Z$278,Setup!$B$35)),SUMPRODUCT(COUNTIF('2030'!$C$278:$Z$278,Setup!$B$35))))</f>
        <v/>
      </c>
      <c r="I63" s="137">
        <f>IF($B63="","",CHOOSE(IFERROR(MATCH($C$4,Setup!$K$33:$K$36,0),1),SUMPRODUCT(COUNTIF('2027'!$C$328:$Z$328,Setup!$B$35)),SUMPRODUCT(COUNTIF('2028'!$C$328:$Z$328,Setup!$B$35)),SUMPRODUCT(COUNTIF('2029'!$C$328:$Z$328,Setup!$B$35)),SUMPRODUCT(COUNTIF('2030'!$C$328:$Z$328,Setup!$B$35))))</f>
        <v/>
      </c>
      <c r="J63" s="137">
        <f>IF($B63="","",CHOOSE(IFERROR(MATCH($C$4,Setup!$K$33:$K$36,0),1),SUMPRODUCT(COUNTIF('2027'!$C$378:$Z$378,Setup!$B$35)),SUMPRODUCT(COUNTIF('2028'!$C$378:$Z$378,Setup!$B$35)),SUMPRODUCT(COUNTIF('2029'!$C$378:$Z$378,Setup!$B$35)),SUMPRODUCT(COUNTIF('2030'!$C$378:$Z$378,Setup!$B$35))))</f>
        <v/>
      </c>
      <c r="K63" s="137">
        <f>IF($B63="","",CHOOSE(IFERROR(MATCH($C$4,Setup!$K$33:$K$36,0),1),SUMPRODUCT(COUNTIF('2027'!$C$428:$Z$428,Setup!$B$35)),SUMPRODUCT(COUNTIF('2028'!$C$428:$Z$428,Setup!$B$35)),SUMPRODUCT(COUNTIF('2029'!$C$428:$Z$428,Setup!$B$35)),SUMPRODUCT(COUNTIF('2030'!$C$428:$Z$428,Setup!$B$35))))</f>
        <v/>
      </c>
      <c r="L63" s="137">
        <f>IF($B63="","",CHOOSE(IFERROR(MATCH($C$4,Setup!$K$33:$K$36,0),1),SUMPRODUCT(COUNTIF('2027'!$C$478:$Z$478,Setup!$B$35)),SUMPRODUCT(COUNTIF('2028'!$C$478:$Z$478,Setup!$B$35)),SUMPRODUCT(COUNTIF('2029'!$C$478:$Z$478,Setup!$B$35)),SUMPRODUCT(COUNTIF('2030'!$C$478:$Z$478,Setup!$B$35))))</f>
        <v/>
      </c>
      <c r="M63" s="137">
        <f>IF($B63="","",CHOOSE(IFERROR(MATCH($C$4,Setup!$K$33:$K$36,0),1),SUMPRODUCT(COUNTIF('2027'!$C$528:$Z$528,Setup!$B$35)),SUMPRODUCT(COUNTIF('2028'!$C$528:$Z$528,Setup!$B$35)),SUMPRODUCT(COUNTIF('2029'!$C$528:$Z$528,Setup!$B$35)),SUMPRODUCT(COUNTIF('2030'!$C$528:$Z$528,Setup!$B$35))))</f>
        <v/>
      </c>
      <c r="N63" s="137">
        <f>IF($B63="","",CHOOSE(IFERROR(MATCH($C$4,Setup!$K$33:$K$36,0),1),SUMPRODUCT(COUNTIF('2027'!$C$578:$Z$578,Setup!$B$35)),SUMPRODUCT(COUNTIF('2028'!$C$578:$Z$578,Setup!$B$35)),SUMPRODUCT(COUNTIF('2029'!$C$578:$Z$578,Setup!$B$35)),SUMPRODUCT(COUNTIF('2030'!$C$578:$Z$578,Setup!$B$35))))</f>
        <v/>
      </c>
      <c r="O63" s="137">
        <f>IF($B63="","",CHOOSE(IFERROR(MATCH($C$4,Setup!$K$33:$K$36,0),1),SUMPRODUCT(COUNTIF('2027'!$C$628:$Z$628,Setup!$B$35)),SUMPRODUCT(COUNTIF('2028'!$C$628:$Z$628,Setup!$B$35)),SUMPRODUCT(COUNTIF('2029'!$C$628:$Z$628,Setup!$B$35)),SUMPRODUCT(COUNTIF('2030'!$C$628:$Z$628,Setup!$B$35))))</f>
        <v/>
      </c>
      <c r="P63" s="137">
        <f>IF($B63="","",CHOOSE(IFERROR(MATCH($C$4,Setup!$K$33:$K$36,0),1),SUMPRODUCT(COUNTIF('2027'!$C$678:$Z$678,Setup!$B$35)),SUMPRODUCT(COUNTIF('2028'!$C$678:$Z$678,Setup!$B$35)),SUMPRODUCT(COUNTIF('2029'!$C$678:$Z$678,Setup!$B$35)),SUMPRODUCT(COUNTIF('2030'!$C$678:$Z$678,Setup!$B$35))))</f>
        <v/>
      </c>
      <c r="Q63" s="137">
        <f>IF($B63="","",CHOOSE(IFERROR(MATCH($C$4,Setup!$K$33:$K$36,0),1),SUMPRODUCT(COUNTIF('2027'!$C$728:$Z$728,Setup!$B$35)),SUMPRODUCT(COUNTIF('2028'!$C$728:$Z$728,Setup!$B$35)),SUMPRODUCT(COUNTIF('2029'!$C$728:$Z$728,Setup!$B$35)),SUMPRODUCT(COUNTIF('2030'!$C$728:$Z$728,Setup!$B$35))))</f>
        <v/>
      </c>
      <c r="R63" s="137">
        <f>IF($B63="","",CHOOSE(IFERROR(MATCH($C$4,Setup!$K$33:$K$36,0),1),SUMPRODUCT(COUNTIF('2027'!$C$778:$Z$778,Setup!$B$35)),SUMPRODUCT(COUNTIF('2028'!$C$778:$Z$778,Setup!$B$35)),SUMPRODUCT(COUNTIF('2029'!$C$778:$Z$778,Setup!$B$35)),SUMPRODUCT(COUNTIF('2030'!$C$778:$Z$778,Setup!$B$35))))</f>
        <v/>
      </c>
      <c r="S63" s="137">
        <f>IF($B63="","",CHOOSE(IFERROR(MATCH($C$4,Setup!$K$33:$K$36,0),1),SUMPRODUCT(COUNTIF('2027'!$C$828:$Z$828,Setup!$B$35)),SUMPRODUCT(COUNTIF('2028'!$C$828:$Z$828,Setup!$B$35)),SUMPRODUCT(COUNTIF('2029'!$C$828:$Z$828,Setup!$B$35)),SUMPRODUCT(COUNTIF('2030'!$C$828:$Z$828,Setup!$B$35))))</f>
        <v/>
      </c>
      <c r="T63" s="137">
        <f>IF($B63="","",CHOOSE(IFERROR(MATCH($C$4,Setup!$K$33:$K$36,0),1),SUMPRODUCT(COUNTIF('2027'!$C$878:$Z$878,Setup!$B$35)),SUMPRODUCT(COUNTIF('2028'!$C$878:$Z$878,Setup!$B$35)),SUMPRODUCT(COUNTIF('2029'!$C$878:$Z$878,Setup!$B$35)),SUMPRODUCT(COUNTIF('2030'!$C$878:$Z$878,Setup!$B$35))))</f>
        <v/>
      </c>
      <c r="U63" s="137">
        <f>IF($B63="","",CHOOSE(IFERROR(MATCH($C$4,Setup!$K$33:$K$36,0),1),SUMPRODUCT(COUNTIF('2027'!$C$928:$Z$928,Setup!$B$35)),SUMPRODUCT(COUNTIF('2028'!$C$928:$Z$928,Setup!$B$35)),SUMPRODUCT(COUNTIF('2029'!$C$928:$Z$928,Setup!$B$35)),SUMPRODUCT(COUNTIF('2030'!$C$928:$Z$928,Setup!$B$35))))</f>
        <v/>
      </c>
      <c r="V63" s="137">
        <f>IF($B63="","",CHOOSE(IFERROR(MATCH($C$4,Setup!$K$33:$K$36,0),1),SUMPRODUCT(COUNTIF('2027'!$C$978:$Z$978,Setup!$B$35)),SUMPRODUCT(COUNTIF('2028'!$C$978:$Z$978,Setup!$B$35)),SUMPRODUCT(COUNTIF('2029'!$C$978:$Z$978,Setup!$B$35)),SUMPRODUCT(COUNTIF('2030'!$C$978:$Z$978,Setup!$B$35))))</f>
        <v/>
      </c>
      <c r="W63" s="137">
        <f>IF($B63="","",CHOOSE(IFERROR(MATCH($C$4,Setup!$K$33:$K$36,0),1),SUMPRODUCT(COUNTIF('2027'!$C$1028:$Z$1028,Setup!$B$35)),SUMPRODUCT(COUNTIF('2028'!$C$1028:$Z$1028,Setup!$B$35)),SUMPRODUCT(COUNTIF('2029'!$C$1028:$Z$1028,Setup!$B$35)),SUMPRODUCT(COUNTIF('2030'!$C$1028:$Z$1028,Setup!$B$35))))</f>
        <v/>
      </c>
      <c r="X63" s="137">
        <f>IF($B63="","",CHOOSE(IFERROR(MATCH($C$4,Setup!$K$33:$K$36,0),1),SUMPRODUCT(COUNTIF('2027'!$C$1078:$Z$1078,Setup!$B$35)),SUMPRODUCT(COUNTIF('2028'!$C$1078:$Z$1078,Setup!$B$35)),SUMPRODUCT(COUNTIF('2029'!$C$1078:$Z$1078,Setup!$B$35)),SUMPRODUCT(COUNTIF('2030'!$C$1078:$Z$1078,Setup!$B$35))))</f>
        <v/>
      </c>
      <c r="Y63" s="137">
        <f>IF($B63="","",CHOOSE(IFERROR(MATCH($C$4,Setup!$K$33:$K$36,0),1),SUMPRODUCT(COUNTIF('2027'!$C$1128:$Z$1128,Setup!$B$35)),SUMPRODUCT(COUNTIF('2028'!$C$1128:$Z$1128,Setup!$B$35)),SUMPRODUCT(COUNTIF('2029'!$C$1128:$Z$1128,Setup!$B$35)),SUMPRODUCT(COUNTIF('2030'!$C$1128:$Z$1128,Setup!$B$35))))</f>
        <v/>
      </c>
      <c r="Z63" s="137">
        <f>IF($B63="","",CHOOSE(IFERROR(MATCH($C$4,Setup!$K$33:$K$36,0),1),SUMPRODUCT(COUNTIF('2027'!$C$1178:$Z$1178,Setup!$B$35)),SUMPRODUCT(COUNTIF('2028'!$C$1178:$Z$1178,Setup!$B$35)),SUMPRODUCT(COUNTIF('2029'!$C$1178:$Z$1178,Setup!$B$35)),SUMPRODUCT(COUNTIF('2030'!$C$1178:$Z$1178,Setup!$B$35))))</f>
        <v/>
      </c>
      <c r="AA63" s="137">
        <f>IF($B63="","",CHOOSE(IFERROR(MATCH($C$4,Setup!$K$33:$K$36,0),1),SUMPRODUCT(COUNTIF('2027'!$C$1228:$Z$1228,Setup!$B$35)),SUMPRODUCT(COUNTIF('2028'!$C$1228:$Z$1228,Setup!$B$35)),SUMPRODUCT(COUNTIF('2029'!$C$1228:$Z$1228,Setup!$B$35)),SUMPRODUCT(COUNTIF('2030'!$C$1228:$Z$1228,Setup!$B$35))))</f>
        <v/>
      </c>
      <c r="AB63" s="137">
        <f>IF($B63="","",CHOOSE(IFERROR(MATCH($C$4,Setup!$K$33:$K$36,0),1),SUMPRODUCT(COUNTIF('2027'!$C$1278:$Z$1278,Setup!$B$35)),SUMPRODUCT(COUNTIF('2028'!$C$1278:$Z$1278,Setup!$B$35)),SUMPRODUCT(COUNTIF('2029'!$C$1278:$Z$1278,Setup!$B$35)),SUMPRODUCT(COUNTIF('2030'!$C$1278:$Z$1278,Setup!$B$35))))</f>
        <v/>
      </c>
      <c r="AC63" s="137">
        <f>IF($B63="","",CHOOSE(IFERROR(MATCH($C$4,Setup!$K$33:$K$36,0),1),SUMPRODUCT(COUNTIF('2027'!$C$1328:$Z$1328,Setup!$B$35)),SUMPRODUCT(COUNTIF('2028'!$C$1328:$Z$1328,Setup!$B$35)),SUMPRODUCT(COUNTIF('2029'!$C$1328:$Z$1328,Setup!$B$35)),SUMPRODUCT(COUNTIF('2030'!$C$1328:$Z$1328,Setup!$B$35))))</f>
        <v/>
      </c>
      <c r="AD63" s="137">
        <f>IF($B63="","",CHOOSE(IFERROR(MATCH($C$4,Setup!$K$33:$K$36,0),1),SUMPRODUCT(COUNTIF('2027'!$C$1378:$Z$1378,Setup!$B$35)),SUMPRODUCT(COUNTIF('2028'!$C$1378:$Z$1378,Setup!$B$35)),SUMPRODUCT(COUNTIF('2029'!$C$1378:$Z$1378,Setup!$B$35)),SUMPRODUCT(COUNTIF('2030'!$C$1378:$Z$1378,Setup!$B$35))))</f>
        <v/>
      </c>
      <c r="AE63" s="137">
        <f>IF($B63="","",CHOOSE(IFERROR(MATCH($C$4,Setup!$K$33:$K$36,0),1),SUMPRODUCT(COUNTIF('2027'!$C$1428:$Z$1428,Setup!$B$35)),SUMPRODUCT(COUNTIF('2028'!$C$1428:$Z$1428,Setup!$B$35)),SUMPRODUCT(COUNTIF('2029'!$C$1428:$Z$1428,Setup!$B$35)),SUMPRODUCT(COUNTIF('2030'!$C$1428:$Z$1428,Setup!$B$35))))</f>
        <v/>
      </c>
      <c r="AF63" s="137">
        <f>IF($B63="","",CHOOSE(IFERROR(MATCH($C$4,Setup!$K$33:$K$36,0),1),SUMPRODUCT(COUNTIF('2027'!$C$1478:$Z$1478,Setup!$B$35)),SUMPRODUCT(COUNTIF('2028'!$C$1478:$Z$1478,Setup!$B$35)),SUMPRODUCT(COUNTIF('2029'!$C$1478:$Z$1478,Setup!$B$35)),SUMPRODUCT(COUNTIF('2030'!$C$1478:$Z$1478,Setup!$B$35))))</f>
        <v/>
      </c>
      <c r="AG63" s="137">
        <f>IF($B63="","",CHOOSE(IFERROR(MATCH($C$4,Setup!$K$33:$K$36,0),1),SUMPRODUCT(COUNTIF('2027'!$C$1528:$Z$1528,Setup!$B$35)),SUMPRODUCT(COUNTIF('2028'!$C$1528:$Z$1528,Setup!$B$35)),SUMPRODUCT(COUNTIF('2029'!$C$1528:$Z$1528,Setup!$B$35)),SUMPRODUCT(COUNTIF('2030'!$C$1528:$Z$1528,Setup!$B$35))))</f>
        <v/>
      </c>
      <c r="AH63" s="137">
        <f>IF($B63="","",CHOOSE(IFERROR(MATCH($C$4,Setup!$K$33:$K$36,0),1),SUMPRODUCT(COUNTIF('2027'!$C$1578:$Z$1578,Setup!$B$35)),SUMPRODUCT(COUNTIF('2028'!$C$1578:$Z$1578,Setup!$B$35)),SUMPRODUCT(COUNTIF('2029'!$C$1578:$Z$1578,Setup!$B$35)),SUMPRODUCT(COUNTIF('2030'!$C$1578:$Z$1578,Setup!$B$35))))</f>
        <v/>
      </c>
      <c r="AI63" s="137">
        <f>IF($B63="","",CHOOSE(IFERROR(MATCH($C$4,Setup!$K$33:$K$36,0),1),SUMPRODUCT(COUNTIF('2027'!$C$1628:$Z$1628,Setup!$B$35)),SUMPRODUCT(COUNTIF('2028'!$C$1628:$Z$1628,Setup!$B$35)),SUMPRODUCT(COUNTIF('2029'!$C$1628:$Z$1628,Setup!$B$35)),SUMPRODUCT(COUNTIF('2030'!$C$1628:$Z$1628,Setup!$B$35))))</f>
        <v/>
      </c>
      <c r="AJ63" s="137">
        <f>IF($B63="","",CHOOSE(IFERROR(MATCH($C$4,Setup!$K$33:$K$36,0),1),SUMPRODUCT(COUNTIF('2027'!$C$1678:$Z$1678,Setup!$B$35)),SUMPRODUCT(COUNTIF('2028'!$C$1678:$Z$1678,Setup!$B$35)),SUMPRODUCT(COUNTIF('2029'!$C$1678:$Z$1678,Setup!$B$35)),SUMPRODUCT(COUNTIF('2030'!$C$1678:$Z$1678,Setup!$B$35))))</f>
        <v/>
      </c>
      <c r="AK63" s="137">
        <f>IF($B63="","",CHOOSE(IFERROR(MATCH($C$4,Setup!$K$33:$K$36,0),1),SUMPRODUCT(COUNTIF('2027'!$C$1728:$Z$1728,Setup!$B$35)),SUMPRODUCT(COUNTIF('2028'!$C$1728:$Z$1728,Setup!$B$35)),SUMPRODUCT(COUNTIF('2029'!$C$1728:$Z$1728,Setup!$B$35)),SUMPRODUCT(COUNTIF('2030'!$C$1728:$Z$1728,Setup!$B$35))))</f>
        <v/>
      </c>
      <c r="AL63" s="137">
        <f>IF($B63="","",CHOOSE(IFERROR(MATCH($C$4,Setup!$K$33:$K$36,0),1),SUMPRODUCT(COUNTIF('2027'!$C$1778:$Z$1778,Setup!$B$35)),SUMPRODUCT(COUNTIF('2028'!$C$1778:$Z$1778,Setup!$B$35)),SUMPRODUCT(COUNTIF('2029'!$C$1778:$Z$1778,Setup!$B$35)),SUMPRODUCT(COUNTIF('2030'!$C$1778:$Z$1778,Setup!$B$35))))</f>
        <v/>
      </c>
      <c r="AM63" s="137">
        <f>IF($B63="","",CHOOSE(IFERROR(MATCH($C$4,Setup!$K$33:$K$36,0),1),SUMPRODUCT(COUNTIF('2027'!$C$1828:$Z$1828,Setup!$B$35)),SUMPRODUCT(COUNTIF('2028'!$C$1828:$Z$1828,Setup!$B$35)),SUMPRODUCT(COUNTIF('2029'!$C$1828:$Z$1828,Setup!$B$35)),SUMPRODUCT(COUNTIF('2030'!$C$1828:$Z$1828,Setup!$B$35))))</f>
        <v/>
      </c>
      <c r="AN63" s="137">
        <f>IF($B63="","",CHOOSE(IFERROR(MATCH($C$4,Setup!$K$33:$K$36,0),1),SUMPRODUCT(COUNTIF('2027'!$C$1878:$Z$1878,Setup!$B$35)),SUMPRODUCT(COUNTIF('2028'!$C$1878:$Z$1878,Setup!$B$35)),SUMPRODUCT(COUNTIF('2029'!$C$1878:$Z$1878,Setup!$B$35)),SUMPRODUCT(COUNTIF('2030'!$C$1878:$Z$1878,Setup!$B$35))))</f>
        <v/>
      </c>
      <c r="AO63" s="137">
        <f>IF($B63="","",CHOOSE(IFERROR(MATCH($C$4,Setup!$K$33:$K$36,0),1),SUMPRODUCT(COUNTIF('2027'!$C$1928:$Z$1928,Setup!$B$35)),SUMPRODUCT(COUNTIF('2028'!$C$1928:$Z$1928,Setup!$B$35)),SUMPRODUCT(COUNTIF('2029'!$C$1928:$Z$1928,Setup!$B$35)),SUMPRODUCT(COUNTIF('2030'!$C$1928:$Z$1928,Setup!$B$35))))</f>
        <v/>
      </c>
      <c r="AP63" s="137">
        <f>IF($B63="","",CHOOSE(IFERROR(MATCH($C$4,Setup!$K$33:$K$36,0),1),SUMPRODUCT(COUNTIF('2027'!$C$1978:$Z$1978,Setup!$B$35)),SUMPRODUCT(COUNTIF('2028'!$C$1978:$Z$1978,Setup!$B$35)),SUMPRODUCT(COUNTIF('2029'!$C$1978:$Z$1978,Setup!$B$35)),SUMPRODUCT(COUNTIF('2030'!$C$1978:$Z$1978,Setup!$B$35))))</f>
        <v/>
      </c>
      <c r="AQ63" s="137">
        <f>IF($B63="","",CHOOSE(IFERROR(MATCH($C$4,Setup!$K$33:$K$36,0),1),SUMPRODUCT(COUNTIF('2027'!$C$2028:$Z$2028,Setup!$B$35)),SUMPRODUCT(COUNTIF('2028'!$C$2028:$Z$2028,Setup!$B$35)),SUMPRODUCT(COUNTIF('2029'!$C$2028:$Z$2028,Setup!$B$35)),SUMPRODUCT(COUNTIF('2030'!$C$2028:$Z$2028,Setup!$B$35))))</f>
        <v/>
      </c>
      <c r="AR63" s="137">
        <f>IF($B63="","",CHOOSE(IFERROR(MATCH($C$4,Setup!$K$33:$K$36,0),1),SUMPRODUCT(COUNTIF('2027'!$C$2078:$Z$2078,Setup!$B$35)),SUMPRODUCT(COUNTIF('2028'!$C$2078:$Z$2078,Setup!$B$35)),SUMPRODUCT(COUNTIF('2029'!$C$2078:$Z$2078,Setup!$B$35)),SUMPRODUCT(COUNTIF('2030'!$C$2078:$Z$2078,Setup!$B$35))))</f>
        <v/>
      </c>
      <c r="AS63" s="137">
        <f>IF($B63="","",CHOOSE(IFERROR(MATCH($C$4,Setup!$K$33:$K$36,0),1),SUMPRODUCT(COUNTIF('2027'!$C$2128:$Z$2128,Setup!$B$35)),SUMPRODUCT(COUNTIF('2028'!$C$2128:$Z$2128,Setup!$B$35)),SUMPRODUCT(COUNTIF('2029'!$C$2128:$Z$2128,Setup!$B$35)),SUMPRODUCT(COUNTIF('2030'!$C$2128:$Z$2128,Setup!$B$35))))</f>
        <v/>
      </c>
      <c r="AT63" s="137">
        <f>IF($B63="","",CHOOSE(IFERROR(MATCH($C$4,Setup!$K$33:$K$36,0),1),SUMPRODUCT(COUNTIF('2027'!$C$2178:$Z$2178,Setup!$B$35)),SUMPRODUCT(COUNTIF('2028'!$C$2178:$Z$2178,Setup!$B$35)),SUMPRODUCT(COUNTIF('2029'!$C$2178:$Z$2178,Setup!$B$35)),SUMPRODUCT(COUNTIF('2030'!$C$2178:$Z$2178,Setup!$B$35))))</f>
        <v/>
      </c>
      <c r="AU63" s="137">
        <f>IF($B63="","",CHOOSE(IFERROR(MATCH($C$4,Setup!$K$33:$K$36,0),1),SUMPRODUCT(COUNTIF('2027'!$C$2228:$Z$2228,Setup!$B$35)),SUMPRODUCT(COUNTIF('2028'!$C$2228:$Z$2228,Setup!$B$35)),SUMPRODUCT(COUNTIF('2029'!$C$2228:$Z$2228,Setup!$B$35)),SUMPRODUCT(COUNTIF('2030'!$C$2228:$Z$2228,Setup!$B$35))))</f>
        <v/>
      </c>
      <c r="AV63" s="137">
        <f>IF($B63="","",CHOOSE(IFERROR(MATCH($C$4,Setup!$K$33:$K$36,0),1),SUMPRODUCT(COUNTIF('2027'!$C$2278:$Z$2278,Setup!$B$35)),SUMPRODUCT(COUNTIF('2028'!$C$2278:$Z$2278,Setup!$B$35)),SUMPRODUCT(COUNTIF('2029'!$C$2278:$Z$2278,Setup!$B$35)),SUMPRODUCT(COUNTIF('2030'!$C$2278:$Z$2278,Setup!$B$35))))</f>
        <v/>
      </c>
      <c r="AW63" s="137">
        <f>IF($B63="","",CHOOSE(IFERROR(MATCH($C$4,Setup!$K$33:$K$36,0),1),SUMPRODUCT(COUNTIF('2027'!$C$2328:$Z$2328,Setup!$B$35)),SUMPRODUCT(COUNTIF('2028'!$C$2328:$Z$2328,Setup!$B$35)),SUMPRODUCT(COUNTIF('2029'!$C$2328:$Z$2328,Setup!$B$35)),SUMPRODUCT(COUNTIF('2030'!$C$2328:$Z$2328,Setup!$B$35))))</f>
        <v/>
      </c>
      <c r="AX63" s="137">
        <f>IF($B63="","",CHOOSE(IFERROR(MATCH($C$4,Setup!$K$33:$K$36,0),1),SUMPRODUCT(COUNTIF('2027'!$C$2378:$Z$2378,Setup!$B$35)),SUMPRODUCT(COUNTIF('2028'!$C$2378:$Z$2378,Setup!$B$35)),SUMPRODUCT(COUNTIF('2029'!$C$2378:$Z$2378,Setup!$B$35)),SUMPRODUCT(COUNTIF('2030'!$C$2378:$Z$2378,Setup!$B$35))))</f>
        <v/>
      </c>
      <c r="AY63" s="137">
        <f>IF($B63="","",CHOOSE(IFERROR(MATCH($C$4,Setup!$K$33:$K$36,0),1),SUMPRODUCT(COUNTIF('2027'!$C$2428:$Z$2428,Setup!$B$35)),SUMPRODUCT(COUNTIF('2028'!$C$2428:$Z$2428,Setup!$B$35)),SUMPRODUCT(COUNTIF('2029'!$C$2428:$Z$2428,Setup!$B$35)),SUMPRODUCT(COUNTIF('2030'!$C$2428:$Z$2428,Setup!$B$35))))</f>
        <v/>
      </c>
      <c r="AZ63" s="137">
        <f>IF($B63="","",CHOOSE(IFERROR(MATCH($C$4,Setup!$K$33:$K$36,0),1),SUMPRODUCT(COUNTIF('2027'!$C$2478:$Z$2478,Setup!$B$35)),SUMPRODUCT(COUNTIF('2028'!$C$2478:$Z$2478,Setup!$B$35)),SUMPRODUCT(COUNTIF('2029'!$C$2478:$Z$2478,Setup!$B$35)),SUMPRODUCT(COUNTIF('2030'!$C$2478:$Z$2478,Setup!$B$35))))</f>
        <v/>
      </c>
      <c r="BA63" s="137">
        <f>IF($B63="","",CHOOSE(IFERROR(MATCH($C$4,Setup!$K$33:$K$36,0),1),SUMPRODUCT(COUNTIF('2027'!$C$2528:$Z$2528,Setup!$B$35)),SUMPRODUCT(COUNTIF('2028'!$C$2528:$Z$2528,Setup!$B$35)),SUMPRODUCT(COUNTIF('2029'!$C$2528:$Z$2528,Setup!$B$35)),SUMPRODUCT(COUNTIF('2030'!$C$2528:$Z$2528,Setup!$B$35))))</f>
        <v/>
      </c>
      <c r="BB63" s="137">
        <f>IF($B63="","",CHOOSE(IFERROR(MATCH($C$4,Setup!$K$33:$K$36,0),1),SUMPRODUCT(COUNTIF('2027'!$C$2578:$Z$2578,Setup!$B$35)),SUMPRODUCT(COUNTIF('2028'!$C$2578:$Z$2578,Setup!$B$35)),SUMPRODUCT(COUNTIF('2029'!$C$2578:$Z$2578,Setup!$B$35)),SUMPRODUCT(COUNTIF('2030'!$C$2578:$Z$2578,Setup!$B$35))))</f>
        <v/>
      </c>
      <c r="BC63" s="137">
        <f>IF($B63="","",CHOOSE(IFERROR(MATCH($C$4,Setup!$K$33:$K$36,0),1),SUMPRODUCT(COUNTIF('2027'!$C$2628:$Z$2628,Setup!$B$35)),SUMPRODUCT(COUNTIF('2028'!$C$2628:$Z$2628,Setup!$B$35)),SUMPRODUCT(COUNTIF('2029'!$C$2628:$Z$2628,Setup!$B$35)),SUMPRODUCT(COUNTIF('2030'!$C$2628:$Z$2628,Setup!$B$35))))</f>
        <v/>
      </c>
      <c r="BE63" s="129">
        <f>IF($B63="","",SUM(C63:BC63))</f>
        <v/>
      </c>
      <c r="BF63" s="130">
        <f>IF($B63="","",COUNTIF(C63:BC63,"&gt;0"))</f>
        <v/>
      </c>
      <c r="BG63" s="130">
        <f>IF(OR($B63="",N(BE63)=0),"",MATCH(MAX(C63:BC63),C63:BC63,0))</f>
        <v/>
      </c>
    </row>
    <row r="64" ht="15" customHeight="1">
      <c r="B64" s="136">
        <f>IF(Setup!$B$8="","",Setup!$B$8)</f>
        <v/>
      </c>
      <c r="C64" s="137">
        <f>IF($B64="","",CHOOSE(IFERROR(MATCH($C$4,Setup!$K$33:$K$36,0),1),SUMPRODUCT(COUNTIF('2027'!$C$29:$Z$29,Setup!$B$35)),SUMPRODUCT(COUNTIF('2028'!$C$29:$Z$29,Setup!$B$35)),SUMPRODUCT(COUNTIF('2029'!$C$29:$Z$29,Setup!$B$35)),SUMPRODUCT(COUNTIF('2030'!$C$29:$Z$29,Setup!$B$35))))</f>
        <v/>
      </c>
      <c r="D64" s="137">
        <f>IF($B64="","",CHOOSE(IFERROR(MATCH($C$4,Setup!$K$33:$K$36,0),1),SUMPRODUCT(COUNTIF('2027'!$C$79:$Z$79,Setup!$B$35)),SUMPRODUCT(COUNTIF('2028'!$C$79:$Z$79,Setup!$B$35)),SUMPRODUCT(COUNTIF('2029'!$C$79:$Z$79,Setup!$B$35)),SUMPRODUCT(COUNTIF('2030'!$C$79:$Z$79,Setup!$B$35))))</f>
        <v/>
      </c>
      <c r="E64" s="137">
        <f>IF($B64="","",CHOOSE(IFERROR(MATCH($C$4,Setup!$K$33:$K$36,0),1),SUMPRODUCT(COUNTIF('2027'!$C$129:$Z$129,Setup!$B$35)),SUMPRODUCT(COUNTIF('2028'!$C$129:$Z$129,Setup!$B$35)),SUMPRODUCT(COUNTIF('2029'!$C$129:$Z$129,Setup!$B$35)),SUMPRODUCT(COUNTIF('2030'!$C$129:$Z$129,Setup!$B$35))))</f>
        <v/>
      </c>
      <c r="F64" s="137">
        <f>IF($B64="","",CHOOSE(IFERROR(MATCH($C$4,Setup!$K$33:$K$36,0),1),SUMPRODUCT(COUNTIF('2027'!$C$179:$Z$179,Setup!$B$35)),SUMPRODUCT(COUNTIF('2028'!$C$179:$Z$179,Setup!$B$35)),SUMPRODUCT(COUNTIF('2029'!$C$179:$Z$179,Setup!$B$35)),SUMPRODUCT(COUNTIF('2030'!$C$179:$Z$179,Setup!$B$35))))</f>
        <v/>
      </c>
      <c r="G64" s="137">
        <f>IF($B64="","",CHOOSE(IFERROR(MATCH($C$4,Setup!$K$33:$K$36,0),1),SUMPRODUCT(COUNTIF('2027'!$C$229:$Z$229,Setup!$B$35)),SUMPRODUCT(COUNTIF('2028'!$C$229:$Z$229,Setup!$B$35)),SUMPRODUCT(COUNTIF('2029'!$C$229:$Z$229,Setup!$B$35)),SUMPRODUCT(COUNTIF('2030'!$C$229:$Z$229,Setup!$B$35))))</f>
        <v/>
      </c>
      <c r="H64" s="137">
        <f>IF($B64="","",CHOOSE(IFERROR(MATCH($C$4,Setup!$K$33:$K$36,0),1),SUMPRODUCT(COUNTIF('2027'!$C$279:$Z$279,Setup!$B$35)),SUMPRODUCT(COUNTIF('2028'!$C$279:$Z$279,Setup!$B$35)),SUMPRODUCT(COUNTIF('2029'!$C$279:$Z$279,Setup!$B$35)),SUMPRODUCT(COUNTIF('2030'!$C$279:$Z$279,Setup!$B$35))))</f>
        <v/>
      </c>
      <c r="I64" s="137">
        <f>IF($B64="","",CHOOSE(IFERROR(MATCH($C$4,Setup!$K$33:$K$36,0),1),SUMPRODUCT(COUNTIF('2027'!$C$329:$Z$329,Setup!$B$35)),SUMPRODUCT(COUNTIF('2028'!$C$329:$Z$329,Setup!$B$35)),SUMPRODUCT(COUNTIF('2029'!$C$329:$Z$329,Setup!$B$35)),SUMPRODUCT(COUNTIF('2030'!$C$329:$Z$329,Setup!$B$35))))</f>
        <v/>
      </c>
      <c r="J64" s="137">
        <f>IF($B64="","",CHOOSE(IFERROR(MATCH($C$4,Setup!$K$33:$K$36,0),1),SUMPRODUCT(COUNTIF('2027'!$C$379:$Z$379,Setup!$B$35)),SUMPRODUCT(COUNTIF('2028'!$C$379:$Z$379,Setup!$B$35)),SUMPRODUCT(COUNTIF('2029'!$C$379:$Z$379,Setup!$B$35)),SUMPRODUCT(COUNTIF('2030'!$C$379:$Z$379,Setup!$B$35))))</f>
        <v/>
      </c>
      <c r="K64" s="137">
        <f>IF($B64="","",CHOOSE(IFERROR(MATCH($C$4,Setup!$K$33:$K$36,0),1),SUMPRODUCT(COUNTIF('2027'!$C$429:$Z$429,Setup!$B$35)),SUMPRODUCT(COUNTIF('2028'!$C$429:$Z$429,Setup!$B$35)),SUMPRODUCT(COUNTIF('2029'!$C$429:$Z$429,Setup!$B$35)),SUMPRODUCT(COUNTIF('2030'!$C$429:$Z$429,Setup!$B$35))))</f>
        <v/>
      </c>
      <c r="L64" s="137">
        <f>IF($B64="","",CHOOSE(IFERROR(MATCH($C$4,Setup!$K$33:$K$36,0),1),SUMPRODUCT(COUNTIF('2027'!$C$479:$Z$479,Setup!$B$35)),SUMPRODUCT(COUNTIF('2028'!$C$479:$Z$479,Setup!$B$35)),SUMPRODUCT(COUNTIF('2029'!$C$479:$Z$479,Setup!$B$35)),SUMPRODUCT(COUNTIF('2030'!$C$479:$Z$479,Setup!$B$35))))</f>
        <v/>
      </c>
      <c r="M64" s="137">
        <f>IF($B64="","",CHOOSE(IFERROR(MATCH($C$4,Setup!$K$33:$K$36,0),1),SUMPRODUCT(COUNTIF('2027'!$C$529:$Z$529,Setup!$B$35)),SUMPRODUCT(COUNTIF('2028'!$C$529:$Z$529,Setup!$B$35)),SUMPRODUCT(COUNTIF('2029'!$C$529:$Z$529,Setup!$B$35)),SUMPRODUCT(COUNTIF('2030'!$C$529:$Z$529,Setup!$B$35))))</f>
        <v/>
      </c>
      <c r="N64" s="137">
        <f>IF($B64="","",CHOOSE(IFERROR(MATCH($C$4,Setup!$K$33:$K$36,0),1),SUMPRODUCT(COUNTIF('2027'!$C$579:$Z$579,Setup!$B$35)),SUMPRODUCT(COUNTIF('2028'!$C$579:$Z$579,Setup!$B$35)),SUMPRODUCT(COUNTIF('2029'!$C$579:$Z$579,Setup!$B$35)),SUMPRODUCT(COUNTIF('2030'!$C$579:$Z$579,Setup!$B$35))))</f>
        <v/>
      </c>
      <c r="O64" s="137">
        <f>IF($B64="","",CHOOSE(IFERROR(MATCH($C$4,Setup!$K$33:$K$36,0),1),SUMPRODUCT(COUNTIF('2027'!$C$629:$Z$629,Setup!$B$35)),SUMPRODUCT(COUNTIF('2028'!$C$629:$Z$629,Setup!$B$35)),SUMPRODUCT(COUNTIF('2029'!$C$629:$Z$629,Setup!$B$35)),SUMPRODUCT(COUNTIF('2030'!$C$629:$Z$629,Setup!$B$35))))</f>
        <v/>
      </c>
      <c r="P64" s="137">
        <f>IF($B64="","",CHOOSE(IFERROR(MATCH($C$4,Setup!$K$33:$K$36,0),1),SUMPRODUCT(COUNTIF('2027'!$C$679:$Z$679,Setup!$B$35)),SUMPRODUCT(COUNTIF('2028'!$C$679:$Z$679,Setup!$B$35)),SUMPRODUCT(COUNTIF('2029'!$C$679:$Z$679,Setup!$B$35)),SUMPRODUCT(COUNTIF('2030'!$C$679:$Z$679,Setup!$B$35))))</f>
        <v/>
      </c>
      <c r="Q64" s="137">
        <f>IF($B64="","",CHOOSE(IFERROR(MATCH($C$4,Setup!$K$33:$K$36,0),1),SUMPRODUCT(COUNTIF('2027'!$C$729:$Z$729,Setup!$B$35)),SUMPRODUCT(COUNTIF('2028'!$C$729:$Z$729,Setup!$B$35)),SUMPRODUCT(COUNTIF('2029'!$C$729:$Z$729,Setup!$B$35)),SUMPRODUCT(COUNTIF('2030'!$C$729:$Z$729,Setup!$B$35))))</f>
        <v/>
      </c>
      <c r="R64" s="137">
        <f>IF($B64="","",CHOOSE(IFERROR(MATCH($C$4,Setup!$K$33:$K$36,0),1),SUMPRODUCT(COUNTIF('2027'!$C$779:$Z$779,Setup!$B$35)),SUMPRODUCT(COUNTIF('2028'!$C$779:$Z$779,Setup!$B$35)),SUMPRODUCT(COUNTIF('2029'!$C$779:$Z$779,Setup!$B$35)),SUMPRODUCT(COUNTIF('2030'!$C$779:$Z$779,Setup!$B$35))))</f>
        <v/>
      </c>
      <c r="S64" s="137">
        <f>IF($B64="","",CHOOSE(IFERROR(MATCH($C$4,Setup!$K$33:$K$36,0),1),SUMPRODUCT(COUNTIF('2027'!$C$829:$Z$829,Setup!$B$35)),SUMPRODUCT(COUNTIF('2028'!$C$829:$Z$829,Setup!$B$35)),SUMPRODUCT(COUNTIF('2029'!$C$829:$Z$829,Setup!$B$35)),SUMPRODUCT(COUNTIF('2030'!$C$829:$Z$829,Setup!$B$35))))</f>
        <v/>
      </c>
      <c r="T64" s="137">
        <f>IF($B64="","",CHOOSE(IFERROR(MATCH($C$4,Setup!$K$33:$K$36,0),1),SUMPRODUCT(COUNTIF('2027'!$C$879:$Z$879,Setup!$B$35)),SUMPRODUCT(COUNTIF('2028'!$C$879:$Z$879,Setup!$B$35)),SUMPRODUCT(COUNTIF('2029'!$C$879:$Z$879,Setup!$B$35)),SUMPRODUCT(COUNTIF('2030'!$C$879:$Z$879,Setup!$B$35))))</f>
        <v/>
      </c>
      <c r="U64" s="137">
        <f>IF($B64="","",CHOOSE(IFERROR(MATCH($C$4,Setup!$K$33:$K$36,0),1),SUMPRODUCT(COUNTIF('2027'!$C$929:$Z$929,Setup!$B$35)),SUMPRODUCT(COUNTIF('2028'!$C$929:$Z$929,Setup!$B$35)),SUMPRODUCT(COUNTIF('2029'!$C$929:$Z$929,Setup!$B$35)),SUMPRODUCT(COUNTIF('2030'!$C$929:$Z$929,Setup!$B$35))))</f>
        <v/>
      </c>
      <c r="V64" s="137">
        <f>IF($B64="","",CHOOSE(IFERROR(MATCH($C$4,Setup!$K$33:$K$36,0),1),SUMPRODUCT(COUNTIF('2027'!$C$979:$Z$979,Setup!$B$35)),SUMPRODUCT(COUNTIF('2028'!$C$979:$Z$979,Setup!$B$35)),SUMPRODUCT(COUNTIF('2029'!$C$979:$Z$979,Setup!$B$35)),SUMPRODUCT(COUNTIF('2030'!$C$979:$Z$979,Setup!$B$35))))</f>
        <v/>
      </c>
      <c r="W64" s="137">
        <f>IF($B64="","",CHOOSE(IFERROR(MATCH($C$4,Setup!$K$33:$K$36,0),1),SUMPRODUCT(COUNTIF('2027'!$C$1029:$Z$1029,Setup!$B$35)),SUMPRODUCT(COUNTIF('2028'!$C$1029:$Z$1029,Setup!$B$35)),SUMPRODUCT(COUNTIF('2029'!$C$1029:$Z$1029,Setup!$B$35)),SUMPRODUCT(COUNTIF('2030'!$C$1029:$Z$1029,Setup!$B$35))))</f>
        <v/>
      </c>
      <c r="X64" s="137">
        <f>IF($B64="","",CHOOSE(IFERROR(MATCH($C$4,Setup!$K$33:$K$36,0),1),SUMPRODUCT(COUNTIF('2027'!$C$1079:$Z$1079,Setup!$B$35)),SUMPRODUCT(COUNTIF('2028'!$C$1079:$Z$1079,Setup!$B$35)),SUMPRODUCT(COUNTIF('2029'!$C$1079:$Z$1079,Setup!$B$35)),SUMPRODUCT(COUNTIF('2030'!$C$1079:$Z$1079,Setup!$B$35))))</f>
        <v/>
      </c>
      <c r="Y64" s="137">
        <f>IF($B64="","",CHOOSE(IFERROR(MATCH($C$4,Setup!$K$33:$K$36,0),1),SUMPRODUCT(COUNTIF('2027'!$C$1129:$Z$1129,Setup!$B$35)),SUMPRODUCT(COUNTIF('2028'!$C$1129:$Z$1129,Setup!$B$35)),SUMPRODUCT(COUNTIF('2029'!$C$1129:$Z$1129,Setup!$B$35)),SUMPRODUCT(COUNTIF('2030'!$C$1129:$Z$1129,Setup!$B$35))))</f>
        <v/>
      </c>
      <c r="Z64" s="137">
        <f>IF($B64="","",CHOOSE(IFERROR(MATCH($C$4,Setup!$K$33:$K$36,0),1),SUMPRODUCT(COUNTIF('2027'!$C$1179:$Z$1179,Setup!$B$35)),SUMPRODUCT(COUNTIF('2028'!$C$1179:$Z$1179,Setup!$B$35)),SUMPRODUCT(COUNTIF('2029'!$C$1179:$Z$1179,Setup!$B$35)),SUMPRODUCT(COUNTIF('2030'!$C$1179:$Z$1179,Setup!$B$35))))</f>
        <v/>
      </c>
      <c r="AA64" s="137">
        <f>IF($B64="","",CHOOSE(IFERROR(MATCH($C$4,Setup!$K$33:$K$36,0),1),SUMPRODUCT(COUNTIF('2027'!$C$1229:$Z$1229,Setup!$B$35)),SUMPRODUCT(COUNTIF('2028'!$C$1229:$Z$1229,Setup!$B$35)),SUMPRODUCT(COUNTIF('2029'!$C$1229:$Z$1229,Setup!$B$35)),SUMPRODUCT(COUNTIF('2030'!$C$1229:$Z$1229,Setup!$B$35))))</f>
        <v/>
      </c>
      <c r="AB64" s="137">
        <f>IF($B64="","",CHOOSE(IFERROR(MATCH($C$4,Setup!$K$33:$K$36,0),1),SUMPRODUCT(COUNTIF('2027'!$C$1279:$Z$1279,Setup!$B$35)),SUMPRODUCT(COUNTIF('2028'!$C$1279:$Z$1279,Setup!$B$35)),SUMPRODUCT(COUNTIF('2029'!$C$1279:$Z$1279,Setup!$B$35)),SUMPRODUCT(COUNTIF('2030'!$C$1279:$Z$1279,Setup!$B$35))))</f>
        <v/>
      </c>
      <c r="AC64" s="137">
        <f>IF($B64="","",CHOOSE(IFERROR(MATCH($C$4,Setup!$K$33:$K$36,0),1),SUMPRODUCT(COUNTIF('2027'!$C$1329:$Z$1329,Setup!$B$35)),SUMPRODUCT(COUNTIF('2028'!$C$1329:$Z$1329,Setup!$B$35)),SUMPRODUCT(COUNTIF('2029'!$C$1329:$Z$1329,Setup!$B$35)),SUMPRODUCT(COUNTIF('2030'!$C$1329:$Z$1329,Setup!$B$35))))</f>
        <v/>
      </c>
      <c r="AD64" s="137">
        <f>IF($B64="","",CHOOSE(IFERROR(MATCH($C$4,Setup!$K$33:$K$36,0),1),SUMPRODUCT(COUNTIF('2027'!$C$1379:$Z$1379,Setup!$B$35)),SUMPRODUCT(COUNTIF('2028'!$C$1379:$Z$1379,Setup!$B$35)),SUMPRODUCT(COUNTIF('2029'!$C$1379:$Z$1379,Setup!$B$35)),SUMPRODUCT(COUNTIF('2030'!$C$1379:$Z$1379,Setup!$B$35))))</f>
        <v/>
      </c>
      <c r="AE64" s="137">
        <f>IF($B64="","",CHOOSE(IFERROR(MATCH($C$4,Setup!$K$33:$K$36,0),1),SUMPRODUCT(COUNTIF('2027'!$C$1429:$Z$1429,Setup!$B$35)),SUMPRODUCT(COUNTIF('2028'!$C$1429:$Z$1429,Setup!$B$35)),SUMPRODUCT(COUNTIF('2029'!$C$1429:$Z$1429,Setup!$B$35)),SUMPRODUCT(COUNTIF('2030'!$C$1429:$Z$1429,Setup!$B$35))))</f>
        <v/>
      </c>
      <c r="AF64" s="137">
        <f>IF($B64="","",CHOOSE(IFERROR(MATCH($C$4,Setup!$K$33:$K$36,0),1),SUMPRODUCT(COUNTIF('2027'!$C$1479:$Z$1479,Setup!$B$35)),SUMPRODUCT(COUNTIF('2028'!$C$1479:$Z$1479,Setup!$B$35)),SUMPRODUCT(COUNTIF('2029'!$C$1479:$Z$1479,Setup!$B$35)),SUMPRODUCT(COUNTIF('2030'!$C$1479:$Z$1479,Setup!$B$35))))</f>
        <v/>
      </c>
      <c r="AG64" s="137">
        <f>IF($B64="","",CHOOSE(IFERROR(MATCH($C$4,Setup!$K$33:$K$36,0),1),SUMPRODUCT(COUNTIF('2027'!$C$1529:$Z$1529,Setup!$B$35)),SUMPRODUCT(COUNTIF('2028'!$C$1529:$Z$1529,Setup!$B$35)),SUMPRODUCT(COUNTIF('2029'!$C$1529:$Z$1529,Setup!$B$35)),SUMPRODUCT(COUNTIF('2030'!$C$1529:$Z$1529,Setup!$B$35))))</f>
        <v/>
      </c>
      <c r="AH64" s="137">
        <f>IF($B64="","",CHOOSE(IFERROR(MATCH($C$4,Setup!$K$33:$K$36,0),1),SUMPRODUCT(COUNTIF('2027'!$C$1579:$Z$1579,Setup!$B$35)),SUMPRODUCT(COUNTIF('2028'!$C$1579:$Z$1579,Setup!$B$35)),SUMPRODUCT(COUNTIF('2029'!$C$1579:$Z$1579,Setup!$B$35)),SUMPRODUCT(COUNTIF('2030'!$C$1579:$Z$1579,Setup!$B$35))))</f>
        <v/>
      </c>
      <c r="AI64" s="137">
        <f>IF($B64="","",CHOOSE(IFERROR(MATCH($C$4,Setup!$K$33:$K$36,0),1),SUMPRODUCT(COUNTIF('2027'!$C$1629:$Z$1629,Setup!$B$35)),SUMPRODUCT(COUNTIF('2028'!$C$1629:$Z$1629,Setup!$B$35)),SUMPRODUCT(COUNTIF('2029'!$C$1629:$Z$1629,Setup!$B$35)),SUMPRODUCT(COUNTIF('2030'!$C$1629:$Z$1629,Setup!$B$35))))</f>
        <v/>
      </c>
      <c r="AJ64" s="137">
        <f>IF($B64="","",CHOOSE(IFERROR(MATCH($C$4,Setup!$K$33:$K$36,0),1),SUMPRODUCT(COUNTIF('2027'!$C$1679:$Z$1679,Setup!$B$35)),SUMPRODUCT(COUNTIF('2028'!$C$1679:$Z$1679,Setup!$B$35)),SUMPRODUCT(COUNTIF('2029'!$C$1679:$Z$1679,Setup!$B$35)),SUMPRODUCT(COUNTIF('2030'!$C$1679:$Z$1679,Setup!$B$35))))</f>
        <v/>
      </c>
      <c r="AK64" s="137">
        <f>IF($B64="","",CHOOSE(IFERROR(MATCH($C$4,Setup!$K$33:$K$36,0),1),SUMPRODUCT(COUNTIF('2027'!$C$1729:$Z$1729,Setup!$B$35)),SUMPRODUCT(COUNTIF('2028'!$C$1729:$Z$1729,Setup!$B$35)),SUMPRODUCT(COUNTIF('2029'!$C$1729:$Z$1729,Setup!$B$35)),SUMPRODUCT(COUNTIF('2030'!$C$1729:$Z$1729,Setup!$B$35))))</f>
        <v/>
      </c>
      <c r="AL64" s="137">
        <f>IF($B64="","",CHOOSE(IFERROR(MATCH($C$4,Setup!$K$33:$K$36,0),1),SUMPRODUCT(COUNTIF('2027'!$C$1779:$Z$1779,Setup!$B$35)),SUMPRODUCT(COUNTIF('2028'!$C$1779:$Z$1779,Setup!$B$35)),SUMPRODUCT(COUNTIF('2029'!$C$1779:$Z$1779,Setup!$B$35)),SUMPRODUCT(COUNTIF('2030'!$C$1779:$Z$1779,Setup!$B$35))))</f>
        <v/>
      </c>
      <c r="AM64" s="137">
        <f>IF($B64="","",CHOOSE(IFERROR(MATCH($C$4,Setup!$K$33:$K$36,0),1),SUMPRODUCT(COUNTIF('2027'!$C$1829:$Z$1829,Setup!$B$35)),SUMPRODUCT(COUNTIF('2028'!$C$1829:$Z$1829,Setup!$B$35)),SUMPRODUCT(COUNTIF('2029'!$C$1829:$Z$1829,Setup!$B$35)),SUMPRODUCT(COUNTIF('2030'!$C$1829:$Z$1829,Setup!$B$35))))</f>
        <v/>
      </c>
      <c r="AN64" s="137">
        <f>IF($B64="","",CHOOSE(IFERROR(MATCH($C$4,Setup!$K$33:$K$36,0),1),SUMPRODUCT(COUNTIF('2027'!$C$1879:$Z$1879,Setup!$B$35)),SUMPRODUCT(COUNTIF('2028'!$C$1879:$Z$1879,Setup!$B$35)),SUMPRODUCT(COUNTIF('2029'!$C$1879:$Z$1879,Setup!$B$35)),SUMPRODUCT(COUNTIF('2030'!$C$1879:$Z$1879,Setup!$B$35))))</f>
        <v/>
      </c>
      <c r="AO64" s="137">
        <f>IF($B64="","",CHOOSE(IFERROR(MATCH($C$4,Setup!$K$33:$K$36,0),1),SUMPRODUCT(COUNTIF('2027'!$C$1929:$Z$1929,Setup!$B$35)),SUMPRODUCT(COUNTIF('2028'!$C$1929:$Z$1929,Setup!$B$35)),SUMPRODUCT(COUNTIF('2029'!$C$1929:$Z$1929,Setup!$B$35)),SUMPRODUCT(COUNTIF('2030'!$C$1929:$Z$1929,Setup!$B$35))))</f>
        <v/>
      </c>
      <c r="AP64" s="137">
        <f>IF($B64="","",CHOOSE(IFERROR(MATCH($C$4,Setup!$K$33:$K$36,0),1),SUMPRODUCT(COUNTIF('2027'!$C$1979:$Z$1979,Setup!$B$35)),SUMPRODUCT(COUNTIF('2028'!$C$1979:$Z$1979,Setup!$B$35)),SUMPRODUCT(COUNTIF('2029'!$C$1979:$Z$1979,Setup!$B$35)),SUMPRODUCT(COUNTIF('2030'!$C$1979:$Z$1979,Setup!$B$35))))</f>
        <v/>
      </c>
      <c r="AQ64" s="137">
        <f>IF($B64="","",CHOOSE(IFERROR(MATCH($C$4,Setup!$K$33:$K$36,0),1),SUMPRODUCT(COUNTIF('2027'!$C$2029:$Z$2029,Setup!$B$35)),SUMPRODUCT(COUNTIF('2028'!$C$2029:$Z$2029,Setup!$B$35)),SUMPRODUCT(COUNTIF('2029'!$C$2029:$Z$2029,Setup!$B$35)),SUMPRODUCT(COUNTIF('2030'!$C$2029:$Z$2029,Setup!$B$35))))</f>
        <v/>
      </c>
      <c r="AR64" s="137">
        <f>IF($B64="","",CHOOSE(IFERROR(MATCH($C$4,Setup!$K$33:$K$36,0),1),SUMPRODUCT(COUNTIF('2027'!$C$2079:$Z$2079,Setup!$B$35)),SUMPRODUCT(COUNTIF('2028'!$C$2079:$Z$2079,Setup!$B$35)),SUMPRODUCT(COUNTIF('2029'!$C$2079:$Z$2079,Setup!$B$35)),SUMPRODUCT(COUNTIF('2030'!$C$2079:$Z$2079,Setup!$B$35))))</f>
        <v/>
      </c>
      <c r="AS64" s="137">
        <f>IF($B64="","",CHOOSE(IFERROR(MATCH($C$4,Setup!$K$33:$K$36,0),1),SUMPRODUCT(COUNTIF('2027'!$C$2129:$Z$2129,Setup!$B$35)),SUMPRODUCT(COUNTIF('2028'!$C$2129:$Z$2129,Setup!$B$35)),SUMPRODUCT(COUNTIF('2029'!$C$2129:$Z$2129,Setup!$B$35)),SUMPRODUCT(COUNTIF('2030'!$C$2129:$Z$2129,Setup!$B$35))))</f>
        <v/>
      </c>
      <c r="AT64" s="137">
        <f>IF($B64="","",CHOOSE(IFERROR(MATCH($C$4,Setup!$K$33:$K$36,0),1),SUMPRODUCT(COUNTIF('2027'!$C$2179:$Z$2179,Setup!$B$35)),SUMPRODUCT(COUNTIF('2028'!$C$2179:$Z$2179,Setup!$B$35)),SUMPRODUCT(COUNTIF('2029'!$C$2179:$Z$2179,Setup!$B$35)),SUMPRODUCT(COUNTIF('2030'!$C$2179:$Z$2179,Setup!$B$35))))</f>
        <v/>
      </c>
      <c r="AU64" s="137">
        <f>IF($B64="","",CHOOSE(IFERROR(MATCH($C$4,Setup!$K$33:$K$36,0),1),SUMPRODUCT(COUNTIF('2027'!$C$2229:$Z$2229,Setup!$B$35)),SUMPRODUCT(COUNTIF('2028'!$C$2229:$Z$2229,Setup!$B$35)),SUMPRODUCT(COUNTIF('2029'!$C$2229:$Z$2229,Setup!$B$35)),SUMPRODUCT(COUNTIF('2030'!$C$2229:$Z$2229,Setup!$B$35))))</f>
        <v/>
      </c>
      <c r="AV64" s="137">
        <f>IF($B64="","",CHOOSE(IFERROR(MATCH($C$4,Setup!$K$33:$K$36,0),1),SUMPRODUCT(COUNTIF('2027'!$C$2279:$Z$2279,Setup!$B$35)),SUMPRODUCT(COUNTIF('2028'!$C$2279:$Z$2279,Setup!$B$35)),SUMPRODUCT(COUNTIF('2029'!$C$2279:$Z$2279,Setup!$B$35)),SUMPRODUCT(COUNTIF('2030'!$C$2279:$Z$2279,Setup!$B$35))))</f>
        <v/>
      </c>
      <c r="AW64" s="137">
        <f>IF($B64="","",CHOOSE(IFERROR(MATCH($C$4,Setup!$K$33:$K$36,0),1),SUMPRODUCT(COUNTIF('2027'!$C$2329:$Z$2329,Setup!$B$35)),SUMPRODUCT(COUNTIF('2028'!$C$2329:$Z$2329,Setup!$B$35)),SUMPRODUCT(COUNTIF('2029'!$C$2329:$Z$2329,Setup!$B$35)),SUMPRODUCT(COUNTIF('2030'!$C$2329:$Z$2329,Setup!$B$35))))</f>
        <v/>
      </c>
      <c r="AX64" s="137">
        <f>IF($B64="","",CHOOSE(IFERROR(MATCH($C$4,Setup!$K$33:$K$36,0),1),SUMPRODUCT(COUNTIF('2027'!$C$2379:$Z$2379,Setup!$B$35)),SUMPRODUCT(COUNTIF('2028'!$C$2379:$Z$2379,Setup!$B$35)),SUMPRODUCT(COUNTIF('2029'!$C$2379:$Z$2379,Setup!$B$35)),SUMPRODUCT(COUNTIF('2030'!$C$2379:$Z$2379,Setup!$B$35))))</f>
        <v/>
      </c>
      <c r="AY64" s="137">
        <f>IF($B64="","",CHOOSE(IFERROR(MATCH($C$4,Setup!$K$33:$K$36,0),1),SUMPRODUCT(COUNTIF('2027'!$C$2429:$Z$2429,Setup!$B$35)),SUMPRODUCT(COUNTIF('2028'!$C$2429:$Z$2429,Setup!$B$35)),SUMPRODUCT(COUNTIF('2029'!$C$2429:$Z$2429,Setup!$B$35)),SUMPRODUCT(COUNTIF('2030'!$C$2429:$Z$2429,Setup!$B$35))))</f>
        <v/>
      </c>
      <c r="AZ64" s="137">
        <f>IF($B64="","",CHOOSE(IFERROR(MATCH($C$4,Setup!$K$33:$K$36,0),1),SUMPRODUCT(COUNTIF('2027'!$C$2479:$Z$2479,Setup!$B$35)),SUMPRODUCT(COUNTIF('2028'!$C$2479:$Z$2479,Setup!$B$35)),SUMPRODUCT(COUNTIF('2029'!$C$2479:$Z$2479,Setup!$B$35)),SUMPRODUCT(COUNTIF('2030'!$C$2479:$Z$2479,Setup!$B$35))))</f>
        <v/>
      </c>
      <c r="BA64" s="137">
        <f>IF($B64="","",CHOOSE(IFERROR(MATCH($C$4,Setup!$K$33:$K$36,0),1),SUMPRODUCT(COUNTIF('2027'!$C$2529:$Z$2529,Setup!$B$35)),SUMPRODUCT(COUNTIF('2028'!$C$2529:$Z$2529,Setup!$B$35)),SUMPRODUCT(COUNTIF('2029'!$C$2529:$Z$2529,Setup!$B$35)),SUMPRODUCT(COUNTIF('2030'!$C$2529:$Z$2529,Setup!$B$35))))</f>
        <v/>
      </c>
      <c r="BB64" s="137">
        <f>IF($B64="","",CHOOSE(IFERROR(MATCH($C$4,Setup!$K$33:$K$36,0),1),SUMPRODUCT(COUNTIF('2027'!$C$2579:$Z$2579,Setup!$B$35)),SUMPRODUCT(COUNTIF('2028'!$C$2579:$Z$2579,Setup!$B$35)),SUMPRODUCT(COUNTIF('2029'!$C$2579:$Z$2579,Setup!$B$35)),SUMPRODUCT(COUNTIF('2030'!$C$2579:$Z$2579,Setup!$B$35))))</f>
        <v/>
      </c>
      <c r="BC64" s="137">
        <f>IF($B64="","",CHOOSE(IFERROR(MATCH($C$4,Setup!$K$33:$K$36,0),1),SUMPRODUCT(COUNTIF('2027'!$C$2629:$Z$2629,Setup!$B$35)),SUMPRODUCT(COUNTIF('2028'!$C$2629:$Z$2629,Setup!$B$35)),SUMPRODUCT(COUNTIF('2029'!$C$2629:$Z$2629,Setup!$B$35)),SUMPRODUCT(COUNTIF('2030'!$C$2629:$Z$2629,Setup!$B$35))))</f>
        <v/>
      </c>
      <c r="BE64" s="129">
        <f>IF($B64="","",SUM(C64:BC64))</f>
        <v/>
      </c>
      <c r="BF64" s="130">
        <f>IF($B64="","",COUNTIF(C64:BC64,"&gt;0"))</f>
        <v/>
      </c>
      <c r="BG64" s="130">
        <f>IF(OR($B64="",N(BE64)=0),"",MATCH(MAX(C64:BC64),C64:BC64,0))</f>
        <v/>
      </c>
    </row>
    <row r="65" ht="15" customHeight="1">
      <c r="B65" s="136">
        <f>IF(Setup!$B$9="","",Setup!$B$9)</f>
        <v/>
      </c>
      <c r="C65" s="137">
        <f>IF($B65="","",CHOOSE(IFERROR(MATCH($C$4,Setup!$K$33:$K$36,0),1),SUMPRODUCT(COUNTIF('2027'!$C$30:$Z$30,Setup!$B$35)),SUMPRODUCT(COUNTIF('2028'!$C$30:$Z$30,Setup!$B$35)),SUMPRODUCT(COUNTIF('2029'!$C$30:$Z$30,Setup!$B$35)),SUMPRODUCT(COUNTIF('2030'!$C$30:$Z$30,Setup!$B$35))))</f>
        <v/>
      </c>
      <c r="D65" s="137">
        <f>IF($B65="","",CHOOSE(IFERROR(MATCH($C$4,Setup!$K$33:$K$36,0),1),SUMPRODUCT(COUNTIF('2027'!$C$80:$Z$80,Setup!$B$35)),SUMPRODUCT(COUNTIF('2028'!$C$80:$Z$80,Setup!$B$35)),SUMPRODUCT(COUNTIF('2029'!$C$80:$Z$80,Setup!$B$35)),SUMPRODUCT(COUNTIF('2030'!$C$80:$Z$80,Setup!$B$35))))</f>
        <v/>
      </c>
      <c r="E65" s="137">
        <f>IF($B65="","",CHOOSE(IFERROR(MATCH($C$4,Setup!$K$33:$K$36,0),1),SUMPRODUCT(COUNTIF('2027'!$C$130:$Z$130,Setup!$B$35)),SUMPRODUCT(COUNTIF('2028'!$C$130:$Z$130,Setup!$B$35)),SUMPRODUCT(COUNTIF('2029'!$C$130:$Z$130,Setup!$B$35)),SUMPRODUCT(COUNTIF('2030'!$C$130:$Z$130,Setup!$B$35))))</f>
        <v/>
      </c>
      <c r="F65" s="137">
        <f>IF($B65="","",CHOOSE(IFERROR(MATCH($C$4,Setup!$K$33:$K$36,0),1),SUMPRODUCT(COUNTIF('2027'!$C$180:$Z$180,Setup!$B$35)),SUMPRODUCT(COUNTIF('2028'!$C$180:$Z$180,Setup!$B$35)),SUMPRODUCT(COUNTIF('2029'!$C$180:$Z$180,Setup!$B$35)),SUMPRODUCT(COUNTIF('2030'!$C$180:$Z$180,Setup!$B$35))))</f>
        <v/>
      </c>
      <c r="G65" s="137">
        <f>IF($B65="","",CHOOSE(IFERROR(MATCH($C$4,Setup!$K$33:$K$36,0),1),SUMPRODUCT(COUNTIF('2027'!$C$230:$Z$230,Setup!$B$35)),SUMPRODUCT(COUNTIF('2028'!$C$230:$Z$230,Setup!$B$35)),SUMPRODUCT(COUNTIF('2029'!$C$230:$Z$230,Setup!$B$35)),SUMPRODUCT(COUNTIF('2030'!$C$230:$Z$230,Setup!$B$35))))</f>
        <v/>
      </c>
      <c r="H65" s="137">
        <f>IF($B65="","",CHOOSE(IFERROR(MATCH($C$4,Setup!$K$33:$K$36,0),1),SUMPRODUCT(COUNTIF('2027'!$C$280:$Z$280,Setup!$B$35)),SUMPRODUCT(COUNTIF('2028'!$C$280:$Z$280,Setup!$B$35)),SUMPRODUCT(COUNTIF('2029'!$C$280:$Z$280,Setup!$B$35)),SUMPRODUCT(COUNTIF('2030'!$C$280:$Z$280,Setup!$B$35))))</f>
        <v/>
      </c>
      <c r="I65" s="137">
        <f>IF($B65="","",CHOOSE(IFERROR(MATCH($C$4,Setup!$K$33:$K$36,0),1),SUMPRODUCT(COUNTIF('2027'!$C$330:$Z$330,Setup!$B$35)),SUMPRODUCT(COUNTIF('2028'!$C$330:$Z$330,Setup!$B$35)),SUMPRODUCT(COUNTIF('2029'!$C$330:$Z$330,Setup!$B$35)),SUMPRODUCT(COUNTIF('2030'!$C$330:$Z$330,Setup!$B$35))))</f>
        <v/>
      </c>
      <c r="J65" s="137">
        <f>IF($B65="","",CHOOSE(IFERROR(MATCH($C$4,Setup!$K$33:$K$36,0),1),SUMPRODUCT(COUNTIF('2027'!$C$380:$Z$380,Setup!$B$35)),SUMPRODUCT(COUNTIF('2028'!$C$380:$Z$380,Setup!$B$35)),SUMPRODUCT(COUNTIF('2029'!$C$380:$Z$380,Setup!$B$35)),SUMPRODUCT(COUNTIF('2030'!$C$380:$Z$380,Setup!$B$35))))</f>
        <v/>
      </c>
      <c r="K65" s="137">
        <f>IF($B65="","",CHOOSE(IFERROR(MATCH($C$4,Setup!$K$33:$K$36,0),1),SUMPRODUCT(COUNTIF('2027'!$C$430:$Z$430,Setup!$B$35)),SUMPRODUCT(COUNTIF('2028'!$C$430:$Z$430,Setup!$B$35)),SUMPRODUCT(COUNTIF('2029'!$C$430:$Z$430,Setup!$B$35)),SUMPRODUCT(COUNTIF('2030'!$C$430:$Z$430,Setup!$B$35))))</f>
        <v/>
      </c>
      <c r="L65" s="137">
        <f>IF($B65="","",CHOOSE(IFERROR(MATCH($C$4,Setup!$K$33:$K$36,0),1),SUMPRODUCT(COUNTIF('2027'!$C$480:$Z$480,Setup!$B$35)),SUMPRODUCT(COUNTIF('2028'!$C$480:$Z$480,Setup!$B$35)),SUMPRODUCT(COUNTIF('2029'!$C$480:$Z$480,Setup!$B$35)),SUMPRODUCT(COUNTIF('2030'!$C$480:$Z$480,Setup!$B$35))))</f>
        <v/>
      </c>
      <c r="M65" s="137">
        <f>IF($B65="","",CHOOSE(IFERROR(MATCH($C$4,Setup!$K$33:$K$36,0),1),SUMPRODUCT(COUNTIF('2027'!$C$530:$Z$530,Setup!$B$35)),SUMPRODUCT(COUNTIF('2028'!$C$530:$Z$530,Setup!$B$35)),SUMPRODUCT(COUNTIF('2029'!$C$530:$Z$530,Setup!$B$35)),SUMPRODUCT(COUNTIF('2030'!$C$530:$Z$530,Setup!$B$35))))</f>
        <v/>
      </c>
      <c r="N65" s="137">
        <f>IF($B65="","",CHOOSE(IFERROR(MATCH($C$4,Setup!$K$33:$K$36,0),1),SUMPRODUCT(COUNTIF('2027'!$C$580:$Z$580,Setup!$B$35)),SUMPRODUCT(COUNTIF('2028'!$C$580:$Z$580,Setup!$B$35)),SUMPRODUCT(COUNTIF('2029'!$C$580:$Z$580,Setup!$B$35)),SUMPRODUCT(COUNTIF('2030'!$C$580:$Z$580,Setup!$B$35))))</f>
        <v/>
      </c>
      <c r="O65" s="137">
        <f>IF($B65="","",CHOOSE(IFERROR(MATCH($C$4,Setup!$K$33:$K$36,0),1),SUMPRODUCT(COUNTIF('2027'!$C$630:$Z$630,Setup!$B$35)),SUMPRODUCT(COUNTIF('2028'!$C$630:$Z$630,Setup!$B$35)),SUMPRODUCT(COUNTIF('2029'!$C$630:$Z$630,Setup!$B$35)),SUMPRODUCT(COUNTIF('2030'!$C$630:$Z$630,Setup!$B$35))))</f>
        <v/>
      </c>
      <c r="P65" s="137">
        <f>IF($B65="","",CHOOSE(IFERROR(MATCH($C$4,Setup!$K$33:$K$36,0),1),SUMPRODUCT(COUNTIF('2027'!$C$680:$Z$680,Setup!$B$35)),SUMPRODUCT(COUNTIF('2028'!$C$680:$Z$680,Setup!$B$35)),SUMPRODUCT(COUNTIF('2029'!$C$680:$Z$680,Setup!$B$35)),SUMPRODUCT(COUNTIF('2030'!$C$680:$Z$680,Setup!$B$35))))</f>
        <v/>
      </c>
      <c r="Q65" s="137">
        <f>IF($B65="","",CHOOSE(IFERROR(MATCH($C$4,Setup!$K$33:$K$36,0),1),SUMPRODUCT(COUNTIF('2027'!$C$730:$Z$730,Setup!$B$35)),SUMPRODUCT(COUNTIF('2028'!$C$730:$Z$730,Setup!$B$35)),SUMPRODUCT(COUNTIF('2029'!$C$730:$Z$730,Setup!$B$35)),SUMPRODUCT(COUNTIF('2030'!$C$730:$Z$730,Setup!$B$35))))</f>
        <v/>
      </c>
      <c r="R65" s="137">
        <f>IF($B65="","",CHOOSE(IFERROR(MATCH($C$4,Setup!$K$33:$K$36,0),1),SUMPRODUCT(COUNTIF('2027'!$C$780:$Z$780,Setup!$B$35)),SUMPRODUCT(COUNTIF('2028'!$C$780:$Z$780,Setup!$B$35)),SUMPRODUCT(COUNTIF('2029'!$C$780:$Z$780,Setup!$B$35)),SUMPRODUCT(COUNTIF('2030'!$C$780:$Z$780,Setup!$B$35))))</f>
        <v/>
      </c>
      <c r="S65" s="137">
        <f>IF($B65="","",CHOOSE(IFERROR(MATCH($C$4,Setup!$K$33:$K$36,0),1),SUMPRODUCT(COUNTIF('2027'!$C$830:$Z$830,Setup!$B$35)),SUMPRODUCT(COUNTIF('2028'!$C$830:$Z$830,Setup!$B$35)),SUMPRODUCT(COUNTIF('2029'!$C$830:$Z$830,Setup!$B$35)),SUMPRODUCT(COUNTIF('2030'!$C$830:$Z$830,Setup!$B$35))))</f>
        <v/>
      </c>
      <c r="T65" s="137">
        <f>IF($B65="","",CHOOSE(IFERROR(MATCH($C$4,Setup!$K$33:$K$36,0),1),SUMPRODUCT(COUNTIF('2027'!$C$880:$Z$880,Setup!$B$35)),SUMPRODUCT(COUNTIF('2028'!$C$880:$Z$880,Setup!$B$35)),SUMPRODUCT(COUNTIF('2029'!$C$880:$Z$880,Setup!$B$35)),SUMPRODUCT(COUNTIF('2030'!$C$880:$Z$880,Setup!$B$35))))</f>
        <v/>
      </c>
      <c r="U65" s="137">
        <f>IF($B65="","",CHOOSE(IFERROR(MATCH($C$4,Setup!$K$33:$K$36,0),1),SUMPRODUCT(COUNTIF('2027'!$C$930:$Z$930,Setup!$B$35)),SUMPRODUCT(COUNTIF('2028'!$C$930:$Z$930,Setup!$B$35)),SUMPRODUCT(COUNTIF('2029'!$C$930:$Z$930,Setup!$B$35)),SUMPRODUCT(COUNTIF('2030'!$C$930:$Z$930,Setup!$B$35))))</f>
        <v/>
      </c>
      <c r="V65" s="137">
        <f>IF($B65="","",CHOOSE(IFERROR(MATCH($C$4,Setup!$K$33:$K$36,0),1),SUMPRODUCT(COUNTIF('2027'!$C$980:$Z$980,Setup!$B$35)),SUMPRODUCT(COUNTIF('2028'!$C$980:$Z$980,Setup!$B$35)),SUMPRODUCT(COUNTIF('2029'!$C$980:$Z$980,Setup!$B$35)),SUMPRODUCT(COUNTIF('2030'!$C$980:$Z$980,Setup!$B$35))))</f>
        <v/>
      </c>
      <c r="W65" s="137">
        <f>IF($B65="","",CHOOSE(IFERROR(MATCH($C$4,Setup!$K$33:$K$36,0),1),SUMPRODUCT(COUNTIF('2027'!$C$1030:$Z$1030,Setup!$B$35)),SUMPRODUCT(COUNTIF('2028'!$C$1030:$Z$1030,Setup!$B$35)),SUMPRODUCT(COUNTIF('2029'!$C$1030:$Z$1030,Setup!$B$35)),SUMPRODUCT(COUNTIF('2030'!$C$1030:$Z$1030,Setup!$B$35))))</f>
        <v/>
      </c>
      <c r="X65" s="137">
        <f>IF($B65="","",CHOOSE(IFERROR(MATCH($C$4,Setup!$K$33:$K$36,0),1),SUMPRODUCT(COUNTIF('2027'!$C$1080:$Z$1080,Setup!$B$35)),SUMPRODUCT(COUNTIF('2028'!$C$1080:$Z$1080,Setup!$B$35)),SUMPRODUCT(COUNTIF('2029'!$C$1080:$Z$1080,Setup!$B$35)),SUMPRODUCT(COUNTIF('2030'!$C$1080:$Z$1080,Setup!$B$35))))</f>
        <v/>
      </c>
      <c r="Y65" s="137">
        <f>IF($B65="","",CHOOSE(IFERROR(MATCH($C$4,Setup!$K$33:$K$36,0),1),SUMPRODUCT(COUNTIF('2027'!$C$1130:$Z$1130,Setup!$B$35)),SUMPRODUCT(COUNTIF('2028'!$C$1130:$Z$1130,Setup!$B$35)),SUMPRODUCT(COUNTIF('2029'!$C$1130:$Z$1130,Setup!$B$35)),SUMPRODUCT(COUNTIF('2030'!$C$1130:$Z$1130,Setup!$B$35))))</f>
        <v/>
      </c>
      <c r="Z65" s="137">
        <f>IF($B65="","",CHOOSE(IFERROR(MATCH($C$4,Setup!$K$33:$K$36,0),1),SUMPRODUCT(COUNTIF('2027'!$C$1180:$Z$1180,Setup!$B$35)),SUMPRODUCT(COUNTIF('2028'!$C$1180:$Z$1180,Setup!$B$35)),SUMPRODUCT(COUNTIF('2029'!$C$1180:$Z$1180,Setup!$B$35)),SUMPRODUCT(COUNTIF('2030'!$C$1180:$Z$1180,Setup!$B$35))))</f>
        <v/>
      </c>
      <c r="AA65" s="137">
        <f>IF($B65="","",CHOOSE(IFERROR(MATCH($C$4,Setup!$K$33:$K$36,0),1),SUMPRODUCT(COUNTIF('2027'!$C$1230:$Z$1230,Setup!$B$35)),SUMPRODUCT(COUNTIF('2028'!$C$1230:$Z$1230,Setup!$B$35)),SUMPRODUCT(COUNTIF('2029'!$C$1230:$Z$1230,Setup!$B$35)),SUMPRODUCT(COUNTIF('2030'!$C$1230:$Z$1230,Setup!$B$35))))</f>
        <v/>
      </c>
      <c r="AB65" s="137">
        <f>IF($B65="","",CHOOSE(IFERROR(MATCH($C$4,Setup!$K$33:$K$36,0),1),SUMPRODUCT(COUNTIF('2027'!$C$1280:$Z$1280,Setup!$B$35)),SUMPRODUCT(COUNTIF('2028'!$C$1280:$Z$1280,Setup!$B$35)),SUMPRODUCT(COUNTIF('2029'!$C$1280:$Z$1280,Setup!$B$35)),SUMPRODUCT(COUNTIF('2030'!$C$1280:$Z$1280,Setup!$B$35))))</f>
        <v/>
      </c>
      <c r="AC65" s="137">
        <f>IF($B65="","",CHOOSE(IFERROR(MATCH($C$4,Setup!$K$33:$K$36,0),1),SUMPRODUCT(COUNTIF('2027'!$C$1330:$Z$1330,Setup!$B$35)),SUMPRODUCT(COUNTIF('2028'!$C$1330:$Z$1330,Setup!$B$35)),SUMPRODUCT(COUNTIF('2029'!$C$1330:$Z$1330,Setup!$B$35)),SUMPRODUCT(COUNTIF('2030'!$C$1330:$Z$1330,Setup!$B$35))))</f>
        <v/>
      </c>
      <c r="AD65" s="137">
        <f>IF($B65="","",CHOOSE(IFERROR(MATCH($C$4,Setup!$K$33:$K$36,0),1),SUMPRODUCT(COUNTIF('2027'!$C$1380:$Z$1380,Setup!$B$35)),SUMPRODUCT(COUNTIF('2028'!$C$1380:$Z$1380,Setup!$B$35)),SUMPRODUCT(COUNTIF('2029'!$C$1380:$Z$1380,Setup!$B$35)),SUMPRODUCT(COUNTIF('2030'!$C$1380:$Z$1380,Setup!$B$35))))</f>
        <v/>
      </c>
      <c r="AE65" s="137">
        <f>IF($B65="","",CHOOSE(IFERROR(MATCH($C$4,Setup!$K$33:$K$36,0),1),SUMPRODUCT(COUNTIF('2027'!$C$1430:$Z$1430,Setup!$B$35)),SUMPRODUCT(COUNTIF('2028'!$C$1430:$Z$1430,Setup!$B$35)),SUMPRODUCT(COUNTIF('2029'!$C$1430:$Z$1430,Setup!$B$35)),SUMPRODUCT(COUNTIF('2030'!$C$1430:$Z$1430,Setup!$B$35))))</f>
        <v/>
      </c>
      <c r="AF65" s="137">
        <f>IF($B65="","",CHOOSE(IFERROR(MATCH($C$4,Setup!$K$33:$K$36,0),1),SUMPRODUCT(COUNTIF('2027'!$C$1480:$Z$1480,Setup!$B$35)),SUMPRODUCT(COUNTIF('2028'!$C$1480:$Z$1480,Setup!$B$35)),SUMPRODUCT(COUNTIF('2029'!$C$1480:$Z$1480,Setup!$B$35)),SUMPRODUCT(COUNTIF('2030'!$C$1480:$Z$1480,Setup!$B$35))))</f>
        <v/>
      </c>
      <c r="AG65" s="137">
        <f>IF($B65="","",CHOOSE(IFERROR(MATCH($C$4,Setup!$K$33:$K$36,0),1),SUMPRODUCT(COUNTIF('2027'!$C$1530:$Z$1530,Setup!$B$35)),SUMPRODUCT(COUNTIF('2028'!$C$1530:$Z$1530,Setup!$B$35)),SUMPRODUCT(COUNTIF('2029'!$C$1530:$Z$1530,Setup!$B$35)),SUMPRODUCT(COUNTIF('2030'!$C$1530:$Z$1530,Setup!$B$35))))</f>
        <v/>
      </c>
      <c r="AH65" s="137">
        <f>IF($B65="","",CHOOSE(IFERROR(MATCH($C$4,Setup!$K$33:$K$36,0),1),SUMPRODUCT(COUNTIF('2027'!$C$1580:$Z$1580,Setup!$B$35)),SUMPRODUCT(COUNTIF('2028'!$C$1580:$Z$1580,Setup!$B$35)),SUMPRODUCT(COUNTIF('2029'!$C$1580:$Z$1580,Setup!$B$35)),SUMPRODUCT(COUNTIF('2030'!$C$1580:$Z$1580,Setup!$B$35))))</f>
        <v/>
      </c>
      <c r="AI65" s="137">
        <f>IF($B65="","",CHOOSE(IFERROR(MATCH($C$4,Setup!$K$33:$K$36,0),1),SUMPRODUCT(COUNTIF('2027'!$C$1630:$Z$1630,Setup!$B$35)),SUMPRODUCT(COUNTIF('2028'!$C$1630:$Z$1630,Setup!$B$35)),SUMPRODUCT(COUNTIF('2029'!$C$1630:$Z$1630,Setup!$B$35)),SUMPRODUCT(COUNTIF('2030'!$C$1630:$Z$1630,Setup!$B$35))))</f>
        <v/>
      </c>
      <c r="AJ65" s="137">
        <f>IF($B65="","",CHOOSE(IFERROR(MATCH($C$4,Setup!$K$33:$K$36,0),1),SUMPRODUCT(COUNTIF('2027'!$C$1680:$Z$1680,Setup!$B$35)),SUMPRODUCT(COUNTIF('2028'!$C$1680:$Z$1680,Setup!$B$35)),SUMPRODUCT(COUNTIF('2029'!$C$1680:$Z$1680,Setup!$B$35)),SUMPRODUCT(COUNTIF('2030'!$C$1680:$Z$1680,Setup!$B$35))))</f>
        <v/>
      </c>
      <c r="AK65" s="137">
        <f>IF($B65="","",CHOOSE(IFERROR(MATCH($C$4,Setup!$K$33:$K$36,0),1),SUMPRODUCT(COUNTIF('2027'!$C$1730:$Z$1730,Setup!$B$35)),SUMPRODUCT(COUNTIF('2028'!$C$1730:$Z$1730,Setup!$B$35)),SUMPRODUCT(COUNTIF('2029'!$C$1730:$Z$1730,Setup!$B$35)),SUMPRODUCT(COUNTIF('2030'!$C$1730:$Z$1730,Setup!$B$35))))</f>
        <v/>
      </c>
      <c r="AL65" s="137">
        <f>IF($B65="","",CHOOSE(IFERROR(MATCH($C$4,Setup!$K$33:$K$36,0),1),SUMPRODUCT(COUNTIF('2027'!$C$1780:$Z$1780,Setup!$B$35)),SUMPRODUCT(COUNTIF('2028'!$C$1780:$Z$1780,Setup!$B$35)),SUMPRODUCT(COUNTIF('2029'!$C$1780:$Z$1780,Setup!$B$35)),SUMPRODUCT(COUNTIF('2030'!$C$1780:$Z$1780,Setup!$B$35))))</f>
        <v/>
      </c>
      <c r="AM65" s="137">
        <f>IF($B65="","",CHOOSE(IFERROR(MATCH($C$4,Setup!$K$33:$K$36,0),1),SUMPRODUCT(COUNTIF('2027'!$C$1830:$Z$1830,Setup!$B$35)),SUMPRODUCT(COUNTIF('2028'!$C$1830:$Z$1830,Setup!$B$35)),SUMPRODUCT(COUNTIF('2029'!$C$1830:$Z$1830,Setup!$B$35)),SUMPRODUCT(COUNTIF('2030'!$C$1830:$Z$1830,Setup!$B$35))))</f>
        <v/>
      </c>
      <c r="AN65" s="137">
        <f>IF($B65="","",CHOOSE(IFERROR(MATCH($C$4,Setup!$K$33:$K$36,0),1),SUMPRODUCT(COUNTIF('2027'!$C$1880:$Z$1880,Setup!$B$35)),SUMPRODUCT(COUNTIF('2028'!$C$1880:$Z$1880,Setup!$B$35)),SUMPRODUCT(COUNTIF('2029'!$C$1880:$Z$1880,Setup!$B$35)),SUMPRODUCT(COUNTIF('2030'!$C$1880:$Z$1880,Setup!$B$35))))</f>
        <v/>
      </c>
      <c r="AO65" s="137">
        <f>IF($B65="","",CHOOSE(IFERROR(MATCH($C$4,Setup!$K$33:$K$36,0),1),SUMPRODUCT(COUNTIF('2027'!$C$1930:$Z$1930,Setup!$B$35)),SUMPRODUCT(COUNTIF('2028'!$C$1930:$Z$1930,Setup!$B$35)),SUMPRODUCT(COUNTIF('2029'!$C$1930:$Z$1930,Setup!$B$35)),SUMPRODUCT(COUNTIF('2030'!$C$1930:$Z$1930,Setup!$B$35))))</f>
        <v/>
      </c>
      <c r="AP65" s="137">
        <f>IF($B65="","",CHOOSE(IFERROR(MATCH($C$4,Setup!$K$33:$K$36,0),1),SUMPRODUCT(COUNTIF('2027'!$C$1980:$Z$1980,Setup!$B$35)),SUMPRODUCT(COUNTIF('2028'!$C$1980:$Z$1980,Setup!$B$35)),SUMPRODUCT(COUNTIF('2029'!$C$1980:$Z$1980,Setup!$B$35)),SUMPRODUCT(COUNTIF('2030'!$C$1980:$Z$1980,Setup!$B$35))))</f>
        <v/>
      </c>
      <c r="AQ65" s="137">
        <f>IF($B65="","",CHOOSE(IFERROR(MATCH($C$4,Setup!$K$33:$K$36,0),1),SUMPRODUCT(COUNTIF('2027'!$C$2030:$Z$2030,Setup!$B$35)),SUMPRODUCT(COUNTIF('2028'!$C$2030:$Z$2030,Setup!$B$35)),SUMPRODUCT(COUNTIF('2029'!$C$2030:$Z$2030,Setup!$B$35)),SUMPRODUCT(COUNTIF('2030'!$C$2030:$Z$2030,Setup!$B$35))))</f>
        <v/>
      </c>
      <c r="AR65" s="137">
        <f>IF($B65="","",CHOOSE(IFERROR(MATCH($C$4,Setup!$K$33:$K$36,0),1),SUMPRODUCT(COUNTIF('2027'!$C$2080:$Z$2080,Setup!$B$35)),SUMPRODUCT(COUNTIF('2028'!$C$2080:$Z$2080,Setup!$B$35)),SUMPRODUCT(COUNTIF('2029'!$C$2080:$Z$2080,Setup!$B$35)),SUMPRODUCT(COUNTIF('2030'!$C$2080:$Z$2080,Setup!$B$35))))</f>
        <v/>
      </c>
      <c r="AS65" s="137">
        <f>IF($B65="","",CHOOSE(IFERROR(MATCH($C$4,Setup!$K$33:$K$36,0),1),SUMPRODUCT(COUNTIF('2027'!$C$2130:$Z$2130,Setup!$B$35)),SUMPRODUCT(COUNTIF('2028'!$C$2130:$Z$2130,Setup!$B$35)),SUMPRODUCT(COUNTIF('2029'!$C$2130:$Z$2130,Setup!$B$35)),SUMPRODUCT(COUNTIF('2030'!$C$2130:$Z$2130,Setup!$B$35))))</f>
        <v/>
      </c>
      <c r="AT65" s="137">
        <f>IF($B65="","",CHOOSE(IFERROR(MATCH($C$4,Setup!$K$33:$K$36,0),1),SUMPRODUCT(COUNTIF('2027'!$C$2180:$Z$2180,Setup!$B$35)),SUMPRODUCT(COUNTIF('2028'!$C$2180:$Z$2180,Setup!$B$35)),SUMPRODUCT(COUNTIF('2029'!$C$2180:$Z$2180,Setup!$B$35)),SUMPRODUCT(COUNTIF('2030'!$C$2180:$Z$2180,Setup!$B$35))))</f>
        <v/>
      </c>
      <c r="AU65" s="137">
        <f>IF($B65="","",CHOOSE(IFERROR(MATCH($C$4,Setup!$K$33:$K$36,0),1),SUMPRODUCT(COUNTIF('2027'!$C$2230:$Z$2230,Setup!$B$35)),SUMPRODUCT(COUNTIF('2028'!$C$2230:$Z$2230,Setup!$B$35)),SUMPRODUCT(COUNTIF('2029'!$C$2230:$Z$2230,Setup!$B$35)),SUMPRODUCT(COUNTIF('2030'!$C$2230:$Z$2230,Setup!$B$35))))</f>
        <v/>
      </c>
      <c r="AV65" s="137">
        <f>IF($B65="","",CHOOSE(IFERROR(MATCH($C$4,Setup!$K$33:$K$36,0),1),SUMPRODUCT(COUNTIF('2027'!$C$2280:$Z$2280,Setup!$B$35)),SUMPRODUCT(COUNTIF('2028'!$C$2280:$Z$2280,Setup!$B$35)),SUMPRODUCT(COUNTIF('2029'!$C$2280:$Z$2280,Setup!$B$35)),SUMPRODUCT(COUNTIF('2030'!$C$2280:$Z$2280,Setup!$B$35))))</f>
        <v/>
      </c>
      <c r="AW65" s="137">
        <f>IF($B65="","",CHOOSE(IFERROR(MATCH($C$4,Setup!$K$33:$K$36,0),1),SUMPRODUCT(COUNTIF('2027'!$C$2330:$Z$2330,Setup!$B$35)),SUMPRODUCT(COUNTIF('2028'!$C$2330:$Z$2330,Setup!$B$35)),SUMPRODUCT(COUNTIF('2029'!$C$2330:$Z$2330,Setup!$B$35)),SUMPRODUCT(COUNTIF('2030'!$C$2330:$Z$2330,Setup!$B$35))))</f>
        <v/>
      </c>
      <c r="AX65" s="137">
        <f>IF($B65="","",CHOOSE(IFERROR(MATCH($C$4,Setup!$K$33:$K$36,0),1),SUMPRODUCT(COUNTIF('2027'!$C$2380:$Z$2380,Setup!$B$35)),SUMPRODUCT(COUNTIF('2028'!$C$2380:$Z$2380,Setup!$B$35)),SUMPRODUCT(COUNTIF('2029'!$C$2380:$Z$2380,Setup!$B$35)),SUMPRODUCT(COUNTIF('2030'!$C$2380:$Z$2380,Setup!$B$35))))</f>
        <v/>
      </c>
      <c r="AY65" s="137">
        <f>IF($B65="","",CHOOSE(IFERROR(MATCH($C$4,Setup!$K$33:$K$36,0),1),SUMPRODUCT(COUNTIF('2027'!$C$2430:$Z$2430,Setup!$B$35)),SUMPRODUCT(COUNTIF('2028'!$C$2430:$Z$2430,Setup!$B$35)),SUMPRODUCT(COUNTIF('2029'!$C$2430:$Z$2430,Setup!$B$35)),SUMPRODUCT(COUNTIF('2030'!$C$2430:$Z$2430,Setup!$B$35))))</f>
        <v/>
      </c>
      <c r="AZ65" s="137">
        <f>IF($B65="","",CHOOSE(IFERROR(MATCH($C$4,Setup!$K$33:$K$36,0),1),SUMPRODUCT(COUNTIF('2027'!$C$2480:$Z$2480,Setup!$B$35)),SUMPRODUCT(COUNTIF('2028'!$C$2480:$Z$2480,Setup!$B$35)),SUMPRODUCT(COUNTIF('2029'!$C$2480:$Z$2480,Setup!$B$35)),SUMPRODUCT(COUNTIF('2030'!$C$2480:$Z$2480,Setup!$B$35))))</f>
        <v/>
      </c>
      <c r="BA65" s="137">
        <f>IF($B65="","",CHOOSE(IFERROR(MATCH($C$4,Setup!$K$33:$K$36,0),1),SUMPRODUCT(COUNTIF('2027'!$C$2530:$Z$2530,Setup!$B$35)),SUMPRODUCT(COUNTIF('2028'!$C$2530:$Z$2530,Setup!$B$35)),SUMPRODUCT(COUNTIF('2029'!$C$2530:$Z$2530,Setup!$B$35)),SUMPRODUCT(COUNTIF('2030'!$C$2530:$Z$2530,Setup!$B$35))))</f>
        <v/>
      </c>
      <c r="BB65" s="137">
        <f>IF($B65="","",CHOOSE(IFERROR(MATCH($C$4,Setup!$K$33:$K$36,0),1),SUMPRODUCT(COUNTIF('2027'!$C$2580:$Z$2580,Setup!$B$35)),SUMPRODUCT(COUNTIF('2028'!$C$2580:$Z$2580,Setup!$B$35)),SUMPRODUCT(COUNTIF('2029'!$C$2580:$Z$2580,Setup!$B$35)),SUMPRODUCT(COUNTIF('2030'!$C$2580:$Z$2580,Setup!$B$35))))</f>
        <v/>
      </c>
      <c r="BC65" s="137">
        <f>IF($B65="","",CHOOSE(IFERROR(MATCH($C$4,Setup!$K$33:$K$36,0),1),SUMPRODUCT(COUNTIF('2027'!$C$2630:$Z$2630,Setup!$B$35)),SUMPRODUCT(COUNTIF('2028'!$C$2630:$Z$2630,Setup!$B$35)),SUMPRODUCT(COUNTIF('2029'!$C$2630:$Z$2630,Setup!$B$35)),SUMPRODUCT(COUNTIF('2030'!$C$2630:$Z$2630,Setup!$B$35))))</f>
        <v/>
      </c>
      <c r="BE65" s="129">
        <f>IF($B65="","",SUM(C65:BC65))</f>
        <v/>
      </c>
      <c r="BF65" s="130">
        <f>IF($B65="","",COUNTIF(C65:BC65,"&gt;0"))</f>
        <v/>
      </c>
      <c r="BG65" s="130">
        <f>IF(OR($B65="",N(BE65)=0),"",MATCH(MAX(C65:BC65),C65:BC65,0))</f>
        <v/>
      </c>
    </row>
    <row r="66" ht="15" customHeight="1">
      <c r="B66" s="136">
        <f>IF(Setup!$B$10="","",Setup!$B$10)</f>
        <v/>
      </c>
      <c r="C66" s="137">
        <f>IF($B66="","",CHOOSE(IFERROR(MATCH($C$4,Setup!$K$33:$K$36,0),1),SUMPRODUCT(COUNTIF('2027'!$C$31:$Z$31,Setup!$B$35)),SUMPRODUCT(COUNTIF('2028'!$C$31:$Z$31,Setup!$B$35)),SUMPRODUCT(COUNTIF('2029'!$C$31:$Z$31,Setup!$B$35)),SUMPRODUCT(COUNTIF('2030'!$C$31:$Z$31,Setup!$B$35))))</f>
        <v/>
      </c>
      <c r="D66" s="137">
        <f>IF($B66="","",CHOOSE(IFERROR(MATCH($C$4,Setup!$K$33:$K$36,0),1),SUMPRODUCT(COUNTIF('2027'!$C$81:$Z$81,Setup!$B$35)),SUMPRODUCT(COUNTIF('2028'!$C$81:$Z$81,Setup!$B$35)),SUMPRODUCT(COUNTIF('2029'!$C$81:$Z$81,Setup!$B$35)),SUMPRODUCT(COUNTIF('2030'!$C$81:$Z$81,Setup!$B$35))))</f>
        <v/>
      </c>
      <c r="E66" s="137">
        <f>IF($B66="","",CHOOSE(IFERROR(MATCH($C$4,Setup!$K$33:$K$36,0),1),SUMPRODUCT(COUNTIF('2027'!$C$131:$Z$131,Setup!$B$35)),SUMPRODUCT(COUNTIF('2028'!$C$131:$Z$131,Setup!$B$35)),SUMPRODUCT(COUNTIF('2029'!$C$131:$Z$131,Setup!$B$35)),SUMPRODUCT(COUNTIF('2030'!$C$131:$Z$131,Setup!$B$35))))</f>
        <v/>
      </c>
      <c r="F66" s="137">
        <f>IF($B66="","",CHOOSE(IFERROR(MATCH($C$4,Setup!$K$33:$K$36,0),1),SUMPRODUCT(COUNTIF('2027'!$C$181:$Z$181,Setup!$B$35)),SUMPRODUCT(COUNTIF('2028'!$C$181:$Z$181,Setup!$B$35)),SUMPRODUCT(COUNTIF('2029'!$C$181:$Z$181,Setup!$B$35)),SUMPRODUCT(COUNTIF('2030'!$C$181:$Z$181,Setup!$B$35))))</f>
        <v/>
      </c>
      <c r="G66" s="137">
        <f>IF($B66="","",CHOOSE(IFERROR(MATCH($C$4,Setup!$K$33:$K$36,0),1),SUMPRODUCT(COUNTIF('2027'!$C$231:$Z$231,Setup!$B$35)),SUMPRODUCT(COUNTIF('2028'!$C$231:$Z$231,Setup!$B$35)),SUMPRODUCT(COUNTIF('2029'!$C$231:$Z$231,Setup!$B$35)),SUMPRODUCT(COUNTIF('2030'!$C$231:$Z$231,Setup!$B$35))))</f>
        <v/>
      </c>
      <c r="H66" s="137">
        <f>IF($B66="","",CHOOSE(IFERROR(MATCH($C$4,Setup!$K$33:$K$36,0),1),SUMPRODUCT(COUNTIF('2027'!$C$281:$Z$281,Setup!$B$35)),SUMPRODUCT(COUNTIF('2028'!$C$281:$Z$281,Setup!$B$35)),SUMPRODUCT(COUNTIF('2029'!$C$281:$Z$281,Setup!$B$35)),SUMPRODUCT(COUNTIF('2030'!$C$281:$Z$281,Setup!$B$35))))</f>
        <v/>
      </c>
      <c r="I66" s="137">
        <f>IF($B66="","",CHOOSE(IFERROR(MATCH($C$4,Setup!$K$33:$K$36,0),1),SUMPRODUCT(COUNTIF('2027'!$C$331:$Z$331,Setup!$B$35)),SUMPRODUCT(COUNTIF('2028'!$C$331:$Z$331,Setup!$B$35)),SUMPRODUCT(COUNTIF('2029'!$C$331:$Z$331,Setup!$B$35)),SUMPRODUCT(COUNTIF('2030'!$C$331:$Z$331,Setup!$B$35))))</f>
        <v/>
      </c>
      <c r="J66" s="137">
        <f>IF($B66="","",CHOOSE(IFERROR(MATCH($C$4,Setup!$K$33:$K$36,0),1),SUMPRODUCT(COUNTIF('2027'!$C$381:$Z$381,Setup!$B$35)),SUMPRODUCT(COUNTIF('2028'!$C$381:$Z$381,Setup!$B$35)),SUMPRODUCT(COUNTIF('2029'!$C$381:$Z$381,Setup!$B$35)),SUMPRODUCT(COUNTIF('2030'!$C$381:$Z$381,Setup!$B$35))))</f>
        <v/>
      </c>
      <c r="K66" s="137">
        <f>IF($B66="","",CHOOSE(IFERROR(MATCH($C$4,Setup!$K$33:$K$36,0),1),SUMPRODUCT(COUNTIF('2027'!$C$431:$Z$431,Setup!$B$35)),SUMPRODUCT(COUNTIF('2028'!$C$431:$Z$431,Setup!$B$35)),SUMPRODUCT(COUNTIF('2029'!$C$431:$Z$431,Setup!$B$35)),SUMPRODUCT(COUNTIF('2030'!$C$431:$Z$431,Setup!$B$35))))</f>
        <v/>
      </c>
      <c r="L66" s="137">
        <f>IF($B66="","",CHOOSE(IFERROR(MATCH($C$4,Setup!$K$33:$K$36,0),1),SUMPRODUCT(COUNTIF('2027'!$C$481:$Z$481,Setup!$B$35)),SUMPRODUCT(COUNTIF('2028'!$C$481:$Z$481,Setup!$B$35)),SUMPRODUCT(COUNTIF('2029'!$C$481:$Z$481,Setup!$B$35)),SUMPRODUCT(COUNTIF('2030'!$C$481:$Z$481,Setup!$B$35))))</f>
        <v/>
      </c>
      <c r="M66" s="137">
        <f>IF($B66="","",CHOOSE(IFERROR(MATCH($C$4,Setup!$K$33:$K$36,0),1),SUMPRODUCT(COUNTIF('2027'!$C$531:$Z$531,Setup!$B$35)),SUMPRODUCT(COUNTIF('2028'!$C$531:$Z$531,Setup!$B$35)),SUMPRODUCT(COUNTIF('2029'!$C$531:$Z$531,Setup!$B$35)),SUMPRODUCT(COUNTIF('2030'!$C$531:$Z$531,Setup!$B$35))))</f>
        <v/>
      </c>
      <c r="N66" s="137">
        <f>IF($B66="","",CHOOSE(IFERROR(MATCH($C$4,Setup!$K$33:$K$36,0),1),SUMPRODUCT(COUNTIF('2027'!$C$581:$Z$581,Setup!$B$35)),SUMPRODUCT(COUNTIF('2028'!$C$581:$Z$581,Setup!$B$35)),SUMPRODUCT(COUNTIF('2029'!$C$581:$Z$581,Setup!$B$35)),SUMPRODUCT(COUNTIF('2030'!$C$581:$Z$581,Setup!$B$35))))</f>
        <v/>
      </c>
      <c r="O66" s="137">
        <f>IF($B66="","",CHOOSE(IFERROR(MATCH($C$4,Setup!$K$33:$K$36,0),1),SUMPRODUCT(COUNTIF('2027'!$C$631:$Z$631,Setup!$B$35)),SUMPRODUCT(COUNTIF('2028'!$C$631:$Z$631,Setup!$B$35)),SUMPRODUCT(COUNTIF('2029'!$C$631:$Z$631,Setup!$B$35)),SUMPRODUCT(COUNTIF('2030'!$C$631:$Z$631,Setup!$B$35))))</f>
        <v/>
      </c>
      <c r="P66" s="137">
        <f>IF($B66="","",CHOOSE(IFERROR(MATCH($C$4,Setup!$K$33:$K$36,0),1),SUMPRODUCT(COUNTIF('2027'!$C$681:$Z$681,Setup!$B$35)),SUMPRODUCT(COUNTIF('2028'!$C$681:$Z$681,Setup!$B$35)),SUMPRODUCT(COUNTIF('2029'!$C$681:$Z$681,Setup!$B$35)),SUMPRODUCT(COUNTIF('2030'!$C$681:$Z$681,Setup!$B$35))))</f>
        <v/>
      </c>
      <c r="Q66" s="137">
        <f>IF($B66="","",CHOOSE(IFERROR(MATCH($C$4,Setup!$K$33:$K$36,0),1),SUMPRODUCT(COUNTIF('2027'!$C$731:$Z$731,Setup!$B$35)),SUMPRODUCT(COUNTIF('2028'!$C$731:$Z$731,Setup!$B$35)),SUMPRODUCT(COUNTIF('2029'!$C$731:$Z$731,Setup!$B$35)),SUMPRODUCT(COUNTIF('2030'!$C$731:$Z$731,Setup!$B$35))))</f>
        <v/>
      </c>
      <c r="R66" s="137">
        <f>IF($B66="","",CHOOSE(IFERROR(MATCH($C$4,Setup!$K$33:$K$36,0),1),SUMPRODUCT(COUNTIF('2027'!$C$781:$Z$781,Setup!$B$35)),SUMPRODUCT(COUNTIF('2028'!$C$781:$Z$781,Setup!$B$35)),SUMPRODUCT(COUNTIF('2029'!$C$781:$Z$781,Setup!$B$35)),SUMPRODUCT(COUNTIF('2030'!$C$781:$Z$781,Setup!$B$35))))</f>
        <v/>
      </c>
      <c r="S66" s="137">
        <f>IF($B66="","",CHOOSE(IFERROR(MATCH($C$4,Setup!$K$33:$K$36,0),1),SUMPRODUCT(COUNTIF('2027'!$C$831:$Z$831,Setup!$B$35)),SUMPRODUCT(COUNTIF('2028'!$C$831:$Z$831,Setup!$B$35)),SUMPRODUCT(COUNTIF('2029'!$C$831:$Z$831,Setup!$B$35)),SUMPRODUCT(COUNTIF('2030'!$C$831:$Z$831,Setup!$B$35))))</f>
        <v/>
      </c>
      <c r="T66" s="137">
        <f>IF($B66="","",CHOOSE(IFERROR(MATCH($C$4,Setup!$K$33:$K$36,0),1),SUMPRODUCT(COUNTIF('2027'!$C$881:$Z$881,Setup!$B$35)),SUMPRODUCT(COUNTIF('2028'!$C$881:$Z$881,Setup!$B$35)),SUMPRODUCT(COUNTIF('2029'!$C$881:$Z$881,Setup!$B$35)),SUMPRODUCT(COUNTIF('2030'!$C$881:$Z$881,Setup!$B$35))))</f>
        <v/>
      </c>
      <c r="U66" s="137">
        <f>IF($B66="","",CHOOSE(IFERROR(MATCH($C$4,Setup!$K$33:$K$36,0),1),SUMPRODUCT(COUNTIF('2027'!$C$931:$Z$931,Setup!$B$35)),SUMPRODUCT(COUNTIF('2028'!$C$931:$Z$931,Setup!$B$35)),SUMPRODUCT(COUNTIF('2029'!$C$931:$Z$931,Setup!$B$35)),SUMPRODUCT(COUNTIF('2030'!$C$931:$Z$931,Setup!$B$35))))</f>
        <v/>
      </c>
      <c r="V66" s="137">
        <f>IF($B66="","",CHOOSE(IFERROR(MATCH($C$4,Setup!$K$33:$K$36,0),1),SUMPRODUCT(COUNTIF('2027'!$C$981:$Z$981,Setup!$B$35)),SUMPRODUCT(COUNTIF('2028'!$C$981:$Z$981,Setup!$B$35)),SUMPRODUCT(COUNTIF('2029'!$C$981:$Z$981,Setup!$B$35)),SUMPRODUCT(COUNTIF('2030'!$C$981:$Z$981,Setup!$B$35))))</f>
        <v/>
      </c>
      <c r="W66" s="137">
        <f>IF($B66="","",CHOOSE(IFERROR(MATCH($C$4,Setup!$K$33:$K$36,0),1),SUMPRODUCT(COUNTIF('2027'!$C$1031:$Z$1031,Setup!$B$35)),SUMPRODUCT(COUNTIF('2028'!$C$1031:$Z$1031,Setup!$B$35)),SUMPRODUCT(COUNTIF('2029'!$C$1031:$Z$1031,Setup!$B$35)),SUMPRODUCT(COUNTIF('2030'!$C$1031:$Z$1031,Setup!$B$35))))</f>
        <v/>
      </c>
      <c r="X66" s="137">
        <f>IF($B66="","",CHOOSE(IFERROR(MATCH($C$4,Setup!$K$33:$K$36,0),1),SUMPRODUCT(COUNTIF('2027'!$C$1081:$Z$1081,Setup!$B$35)),SUMPRODUCT(COUNTIF('2028'!$C$1081:$Z$1081,Setup!$B$35)),SUMPRODUCT(COUNTIF('2029'!$C$1081:$Z$1081,Setup!$B$35)),SUMPRODUCT(COUNTIF('2030'!$C$1081:$Z$1081,Setup!$B$35))))</f>
        <v/>
      </c>
      <c r="Y66" s="137">
        <f>IF($B66="","",CHOOSE(IFERROR(MATCH($C$4,Setup!$K$33:$K$36,0),1),SUMPRODUCT(COUNTIF('2027'!$C$1131:$Z$1131,Setup!$B$35)),SUMPRODUCT(COUNTIF('2028'!$C$1131:$Z$1131,Setup!$B$35)),SUMPRODUCT(COUNTIF('2029'!$C$1131:$Z$1131,Setup!$B$35)),SUMPRODUCT(COUNTIF('2030'!$C$1131:$Z$1131,Setup!$B$35))))</f>
        <v/>
      </c>
      <c r="Z66" s="137">
        <f>IF($B66="","",CHOOSE(IFERROR(MATCH($C$4,Setup!$K$33:$K$36,0),1),SUMPRODUCT(COUNTIF('2027'!$C$1181:$Z$1181,Setup!$B$35)),SUMPRODUCT(COUNTIF('2028'!$C$1181:$Z$1181,Setup!$B$35)),SUMPRODUCT(COUNTIF('2029'!$C$1181:$Z$1181,Setup!$B$35)),SUMPRODUCT(COUNTIF('2030'!$C$1181:$Z$1181,Setup!$B$35))))</f>
        <v/>
      </c>
      <c r="AA66" s="137">
        <f>IF($B66="","",CHOOSE(IFERROR(MATCH($C$4,Setup!$K$33:$K$36,0),1),SUMPRODUCT(COUNTIF('2027'!$C$1231:$Z$1231,Setup!$B$35)),SUMPRODUCT(COUNTIF('2028'!$C$1231:$Z$1231,Setup!$B$35)),SUMPRODUCT(COUNTIF('2029'!$C$1231:$Z$1231,Setup!$B$35)),SUMPRODUCT(COUNTIF('2030'!$C$1231:$Z$1231,Setup!$B$35))))</f>
        <v/>
      </c>
      <c r="AB66" s="137">
        <f>IF($B66="","",CHOOSE(IFERROR(MATCH($C$4,Setup!$K$33:$K$36,0),1),SUMPRODUCT(COUNTIF('2027'!$C$1281:$Z$1281,Setup!$B$35)),SUMPRODUCT(COUNTIF('2028'!$C$1281:$Z$1281,Setup!$B$35)),SUMPRODUCT(COUNTIF('2029'!$C$1281:$Z$1281,Setup!$B$35)),SUMPRODUCT(COUNTIF('2030'!$C$1281:$Z$1281,Setup!$B$35))))</f>
        <v/>
      </c>
      <c r="AC66" s="137">
        <f>IF($B66="","",CHOOSE(IFERROR(MATCH($C$4,Setup!$K$33:$K$36,0),1),SUMPRODUCT(COUNTIF('2027'!$C$1331:$Z$1331,Setup!$B$35)),SUMPRODUCT(COUNTIF('2028'!$C$1331:$Z$1331,Setup!$B$35)),SUMPRODUCT(COUNTIF('2029'!$C$1331:$Z$1331,Setup!$B$35)),SUMPRODUCT(COUNTIF('2030'!$C$1331:$Z$1331,Setup!$B$35))))</f>
        <v/>
      </c>
      <c r="AD66" s="137">
        <f>IF($B66="","",CHOOSE(IFERROR(MATCH($C$4,Setup!$K$33:$K$36,0),1),SUMPRODUCT(COUNTIF('2027'!$C$1381:$Z$1381,Setup!$B$35)),SUMPRODUCT(COUNTIF('2028'!$C$1381:$Z$1381,Setup!$B$35)),SUMPRODUCT(COUNTIF('2029'!$C$1381:$Z$1381,Setup!$B$35)),SUMPRODUCT(COUNTIF('2030'!$C$1381:$Z$1381,Setup!$B$35))))</f>
        <v/>
      </c>
      <c r="AE66" s="137">
        <f>IF($B66="","",CHOOSE(IFERROR(MATCH($C$4,Setup!$K$33:$K$36,0),1),SUMPRODUCT(COUNTIF('2027'!$C$1431:$Z$1431,Setup!$B$35)),SUMPRODUCT(COUNTIF('2028'!$C$1431:$Z$1431,Setup!$B$35)),SUMPRODUCT(COUNTIF('2029'!$C$1431:$Z$1431,Setup!$B$35)),SUMPRODUCT(COUNTIF('2030'!$C$1431:$Z$1431,Setup!$B$35))))</f>
        <v/>
      </c>
      <c r="AF66" s="137">
        <f>IF($B66="","",CHOOSE(IFERROR(MATCH($C$4,Setup!$K$33:$K$36,0),1),SUMPRODUCT(COUNTIF('2027'!$C$1481:$Z$1481,Setup!$B$35)),SUMPRODUCT(COUNTIF('2028'!$C$1481:$Z$1481,Setup!$B$35)),SUMPRODUCT(COUNTIF('2029'!$C$1481:$Z$1481,Setup!$B$35)),SUMPRODUCT(COUNTIF('2030'!$C$1481:$Z$1481,Setup!$B$35))))</f>
        <v/>
      </c>
      <c r="AG66" s="137">
        <f>IF($B66="","",CHOOSE(IFERROR(MATCH($C$4,Setup!$K$33:$K$36,0),1),SUMPRODUCT(COUNTIF('2027'!$C$1531:$Z$1531,Setup!$B$35)),SUMPRODUCT(COUNTIF('2028'!$C$1531:$Z$1531,Setup!$B$35)),SUMPRODUCT(COUNTIF('2029'!$C$1531:$Z$1531,Setup!$B$35)),SUMPRODUCT(COUNTIF('2030'!$C$1531:$Z$1531,Setup!$B$35))))</f>
        <v/>
      </c>
      <c r="AH66" s="137">
        <f>IF($B66="","",CHOOSE(IFERROR(MATCH($C$4,Setup!$K$33:$K$36,0),1),SUMPRODUCT(COUNTIF('2027'!$C$1581:$Z$1581,Setup!$B$35)),SUMPRODUCT(COUNTIF('2028'!$C$1581:$Z$1581,Setup!$B$35)),SUMPRODUCT(COUNTIF('2029'!$C$1581:$Z$1581,Setup!$B$35)),SUMPRODUCT(COUNTIF('2030'!$C$1581:$Z$1581,Setup!$B$35))))</f>
        <v/>
      </c>
      <c r="AI66" s="137">
        <f>IF($B66="","",CHOOSE(IFERROR(MATCH($C$4,Setup!$K$33:$K$36,0),1),SUMPRODUCT(COUNTIF('2027'!$C$1631:$Z$1631,Setup!$B$35)),SUMPRODUCT(COUNTIF('2028'!$C$1631:$Z$1631,Setup!$B$35)),SUMPRODUCT(COUNTIF('2029'!$C$1631:$Z$1631,Setup!$B$35)),SUMPRODUCT(COUNTIF('2030'!$C$1631:$Z$1631,Setup!$B$35))))</f>
        <v/>
      </c>
      <c r="AJ66" s="137">
        <f>IF($B66="","",CHOOSE(IFERROR(MATCH($C$4,Setup!$K$33:$K$36,0),1),SUMPRODUCT(COUNTIF('2027'!$C$1681:$Z$1681,Setup!$B$35)),SUMPRODUCT(COUNTIF('2028'!$C$1681:$Z$1681,Setup!$B$35)),SUMPRODUCT(COUNTIF('2029'!$C$1681:$Z$1681,Setup!$B$35)),SUMPRODUCT(COUNTIF('2030'!$C$1681:$Z$1681,Setup!$B$35))))</f>
        <v/>
      </c>
      <c r="AK66" s="137">
        <f>IF($B66="","",CHOOSE(IFERROR(MATCH($C$4,Setup!$K$33:$K$36,0),1),SUMPRODUCT(COUNTIF('2027'!$C$1731:$Z$1731,Setup!$B$35)),SUMPRODUCT(COUNTIF('2028'!$C$1731:$Z$1731,Setup!$B$35)),SUMPRODUCT(COUNTIF('2029'!$C$1731:$Z$1731,Setup!$B$35)),SUMPRODUCT(COUNTIF('2030'!$C$1731:$Z$1731,Setup!$B$35))))</f>
        <v/>
      </c>
      <c r="AL66" s="137">
        <f>IF($B66="","",CHOOSE(IFERROR(MATCH($C$4,Setup!$K$33:$K$36,0),1),SUMPRODUCT(COUNTIF('2027'!$C$1781:$Z$1781,Setup!$B$35)),SUMPRODUCT(COUNTIF('2028'!$C$1781:$Z$1781,Setup!$B$35)),SUMPRODUCT(COUNTIF('2029'!$C$1781:$Z$1781,Setup!$B$35)),SUMPRODUCT(COUNTIF('2030'!$C$1781:$Z$1781,Setup!$B$35))))</f>
        <v/>
      </c>
      <c r="AM66" s="137">
        <f>IF($B66="","",CHOOSE(IFERROR(MATCH($C$4,Setup!$K$33:$K$36,0),1),SUMPRODUCT(COUNTIF('2027'!$C$1831:$Z$1831,Setup!$B$35)),SUMPRODUCT(COUNTIF('2028'!$C$1831:$Z$1831,Setup!$B$35)),SUMPRODUCT(COUNTIF('2029'!$C$1831:$Z$1831,Setup!$B$35)),SUMPRODUCT(COUNTIF('2030'!$C$1831:$Z$1831,Setup!$B$35))))</f>
        <v/>
      </c>
      <c r="AN66" s="137">
        <f>IF($B66="","",CHOOSE(IFERROR(MATCH($C$4,Setup!$K$33:$K$36,0),1),SUMPRODUCT(COUNTIF('2027'!$C$1881:$Z$1881,Setup!$B$35)),SUMPRODUCT(COUNTIF('2028'!$C$1881:$Z$1881,Setup!$B$35)),SUMPRODUCT(COUNTIF('2029'!$C$1881:$Z$1881,Setup!$B$35)),SUMPRODUCT(COUNTIF('2030'!$C$1881:$Z$1881,Setup!$B$35))))</f>
        <v/>
      </c>
      <c r="AO66" s="137">
        <f>IF($B66="","",CHOOSE(IFERROR(MATCH($C$4,Setup!$K$33:$K$36,0),1),SUMPRODUCT(COUNTIF('2027'!$C$1931:$Z$1931,Setup!$B$35)),SUMPRODUCT(COUNTIF('2028'!$C$1931:$Z$1931,Setup!$B$35)),SUMPRODUCT(COUNTIF('2029'!$C$1931:$Z$1931,Setup!$B$35)),SUMPRODUCT(COUNTIF('2030'!$C$1931:$Z$1931,Setup!$B$35))))</f>
        <v/>
      </c>
      <c r="AP66" s="137">
        <f>IF($B66="","",CHOOSE(IFERROR(MATCH($C$4,Setup!$K$33:$K$36,0),1),SUMPRODUCT(COUNTIF('2027'!$C$1981:$Z$1981,Setup!$B$35)),SUMPRODUCT(COUNTIF('2028'!$C$1981:$Z$1981,Setup!$B$35)),SUMPRODUCT(COUNTIF('2029'!$C$1981:$Z$1981,Setup!$B$35)),SUMPRODUCT(COUNTIF('2030'!$C$1981:$Z$1981,Setup!$B$35))))</f>
        <v/>
      </c>
      <c r="AQ66" s="137">
        <f>IF($B66="","",CHOOSE(IFERROR(MATCH($C$4,Setup!$K$33:$K$36,0),1),SUMPRODUCT(COUNTIF('2027'!$C$2031:$Z$2031,Setup!$B$35)),SUMPRODUCT(COUNTIF('2028'!$C$2031:$Z$2031,Setup!$B$35)),SUMPRODUCT(COUNTIF('2029'!$C$2031:$Z$2031,Setup!$B$35)),SUMPRODUCT(COUNTIF('2030'!$C$2031:$Z$2031,Setup!$B$35))))</f>
        <v/>
      </c>
      <c r="AR66" s="137">
        <f>IF($B66="","",CHOOSE(IFERROR(MATCH($C$4,Setup!$K$33:$K$36,0),1),SUMPRODUCT(COUNTIF('2027'!$C$2081:$Z$2081,Setup!$B$35)),SUMPRODUCT(COUNTIF('2028'!$C$2081:$Z$2081,Setup!$B$35)),SUMPRODUCT(COUNTIF('2029'!$C$2081:$Z$2081,Setup!$B$35)),SUMPRODUCT(COUNTIF('2030'!$C$2081:$Z$2081,Setup!$B$35))))</f>
        <v/>
      </c>
      <c r="AS66" s="137">
        <f>IF($B66="","",CHOOSE(IFERROR(MATCH($C$4,Setup!$K$33:$K$36,0),1),SUMPRODUCT(COUNTIF('2027'!$C$2131:$Z$2131,Setup!$B$35)),SUMPRODUCT(COUNTIF('2028'!$C$2131:$Z$2131,Setup!$B$35)),SUMPRODUCT(COUNTIF('2029'!$C$2131:$Z$2131,Setup!$B$35)),SUMPRODUCT(COUNTIF('2030'!$C$2131:$Z$2131,Setup!$B$35))))</f>
        <v/>
      </c>
      <c r="AT66" s="137">
        <f>IF($B66="","",CHOOSE(IFERROR(MATCH($C$4,Setup!$K$33:$K$36,0),1),SUMPRODUCT(COUNTIF('2027'!$C$2181:$Z$2181,Setup!$B$35)),SUMPRODUCT(COUNTIF('2028'!$C$2181:$Z$2181,Setup!$B$35)),SUMPRODUCT(COUNTIF('2029'!$C$2181:$Z$2181,Setup!$B$35)),SUMPRODUCT(COUNTIF('2030'!$C$2181:$Z$2181,Setup!$B$35))))</f>
        <v/>
      </c>
      <c r="AU66" s="137">
        <f>IF($B66="","",CHOOSE(IFERROR(MATCH($C$4,Setup!$K$33:$K$36,0),1),SUMPRODUCT(COUNTIF('2027'!$C$2231:$Z$2231,Setup!$B$35)),SUMPRODUCT(COUNTIF('2028'!$C$2231:$Z$2231,Setup!$B$35)),SUMPRODUCT(COUNTIF('2029'!$C$2231:$Z$2231,Setup!$B$35)),SUMPRODUCT(COUNTIF('2030'!$C$2231:$Z$2231,Setup!$B$35))))</f>
        <v/>
      </c>
      <c r="AV66" s="137">
        <f>IF($B66="","",CHOOSE(IFERROR(MATCH($C$4,Setup!$K$33:$K$36,0),1),SUMPRODUCT(COUNTIF('2027'!$C$2281:$Z$2281,Setup!$B$35)),SUMPRODUCT(COUNTIF('2028'!$C$2281:$Z$2281,Setup!$B$35)),SUMPRODUCT(COUNTIF('2029'!$C$2281:$Z$2281,Setup!$B$35)),SUMPRODUCT(COUNTIF('2030'!$C$2281:$Z$2281,Setup!$B$35))))</f>
        <v/>
      </c>
      <c r="AW66" s="137">
        <f>IF($B66="","",CHOOSE(IFERROR(MATCH($C$4,Setup!$K$33:$K$36,0),1),SUMPRODUCT(COUNTIF('2027'!$C$2331:$Z$2331,Setup!$B$35)),SUMPRODUCT(COUNTIF('2028'!$C$2331:$Z$2331,Setup!$B$35)),SUMPRODUCT(COUNTIF('2029'!$C$2331:$Z$2331,Setup!$B$35)),SUMPRODUCT(COUNTIF('2030'!$C$2331:$Z$2331,Setup!$B$35))))</f>
        <v/>
      </c>
      <c r="AX66" s="137">
        <f>IF($B66="","",CHOOSE(IFERROR(MATCH($C$4,Setup!$K$33:$K$36,0),1),SUMPRODUCT(COUNTIF('2027'!$C$2381:$Z$2381,Setup!$B$35)),SUMPRODUCT(COUNTIF('2028'!$C$2381:$Z$2381,Setup!$B$35)),SUMPRODUCT(COUNTIF('2029'!$C$2381:$Z$2381,Setup!$B$35)),SUMPRODUCT(COUNTIF('2030'!$C$2381:$Z$2381,Setup!$B$35))))</f>
        <v/>
      </c>
      <c r="AY66" s="137">
        <f>IF($B66="","",CHOOSE(IFERROR(MATCH($C$4,Setup!$K$33:$K$36,0),1),SUMPRODUCT(COUNTIF('2027'!$C$2431:$Z$2431,Setup!$B$35)),SUMPRODUCT(COUNTIF('2028'!$C$2431:$Z$2431,Setup!$B$35)),SUMPRODUCT(COUNTIF('2029'!$C$2431:$Z$2431,Setup!$B$35)),SUMPRODUCT(COUNTIF('2030'!$C$2431:$Z$2431,Setup!$B$35))))</f>
        <v/>
      </c>
      <c r="AZ66" s="137">
        <f>IF($B66="","",CHOOSE(IFERROR(MATCH($C$4,Setup!$K$33:$K$36,0),1),SUMPRODUCT(COUNTIF('2027'!$C$2481:$Z$2481,Setup!$B$35)),SUMPRODUCT(COUNTIF('2028'!$C$2481:$Z$2481,Setup!$B$35)),SUMPRODUCT(COUNTIF('2029'!$C$2481:$Z$2481,Setup!$B$35)),SUMPRODUCT(COUNTIF('2030'!$C$2481:$Z$2481,Setup!$B$35))))</f>
        <v/>
      </c>
      <c r="BA66" s="137">
        <f>IF($B66="","",CHOOSE(IFERROR(MATCH($C$4,Setup!$K$33:$K$36,0),1),SUMPRODUCT(COUNTIF('2027'!$C$2531:$Z$2531,Setup!$B$35)),SUMPRODUCT(COUNTIF('2028'!$C$2531:$Z$2531,Setup!$B$35)),SUMPRODUCT(COUNTIF('2029'!$C$2531:$Z$2531,Setup!$B$35)),SUMPRODUCT(COUNTIF('2030'!$C$2531:$Z$2531,Setup!$B$35))))</f>
        <v/>
      </c>
      <c r="BB66" s="137">
        <f>IF($B66="","",CHOOSE(IFERROR(MATCH($C$4,Setup!$K$33:$K$36,0),1),SUMPRODUCT(COUNTIF('2027'!$C$2581:$Z$2581,Setup!$B$35)),SUMPRODUCT(COUNTIF('2028'!$C$2581:$Z$2581,Setup!$B$35)),SUMPRODUCT(COUNTIF('2029'!$C$2581:$Z$2581,Setup!$B$35)),SUMPRODUCT(COUNTIF('2030'!$C$2581:$Z$2581,Setup!$B$35))))</f>
        <v/>
      </c>
      <c r="BC66" s="137">
        <f>IF($B66="","",CHOOSE(IFERROR(MATCH($C$4,Setup!$K$33:$K$36,0),1),SUMPRODUCT(COUNTIF('2027'!$C$2631:$Z$2631,Setup!$B$35)),SUMPRODUCT(COUNTIF('2028'!$C$2631:$Z$2631,Setup!$B$35)),SUMPRODUCT(COUNTIF('2029'!$C$2631:$Z$2631,Setup!$B$35)),SUMPRODUCT(COUNTIF('2030'!$C$2631:$Z$2631,Setup!$B$35))))</f>
        <v/>
      </c>
      <c r="BE66" s="129">
        <f>IF($B66="","",SUM(C66:BC66))</f>
        <v/>
      </c>
      <c r="BF66" s="130">
        <f>IF($B66="","",COUNTIF(C66:BC66,"&gt;0"))</f>
        <v/>
      </c>
      <c r="BG66" s="130">
        <f>IF(OR($B66="",N(BE66)=0),"",MATCH(MAX(C66:BC66),C66:BC66,0))</f>
        <v/>
      </c>
    </row>
    <row r="67" ht="15" customHeight="1">
      <c r="B67" s="136">
        <f>IF(Setup!$B$11="","",Setup!$B$11)</f>
        <v/>
      </c>
      <c r="C67" s="137">
        <f>IF($B67="","",CHOOSE(IFERROR(MATCH($C$4,Setup!$K$33:$K$36,0),1),SUMPRODUCT(COUNTIF('2027'!$C$32:$Z$32,Setup!$B$35)),SUMPRODUCT(COUNTIF('2028'!$C$32:$Z$32,Setup!$B$35)),SUMPRODUCT(COUNTIF('2029'!$C$32:$Z$32,Setup!$B$35)),SUMPRODUCT(COUNTIF('2030'!$C$32:$Z$32,Setup!$B$35))))</f>
        <v/>
      </c>
      <c r="D67" s="137">
        <f>IF($B67="","",CHOOSE(IFERROR(MATCH($C$4,Setup!$K$33:$K$36,0),1),SUMPRODUCT(COUNTIF('2027'!$C$82:$Z$82,Setup!$B$35)),SUMPRODUCT(COUNTIF('2028'!$C$82:$Z$82,Setup!$B$35)),SUMPRODUCT(COUNTIF('2029'!$C$82:$Z$82,Setup!$B$35)),SUMPRODUCT(COUNTIF('2030'!$C$82:$Z$82,Setup!$B$35))))</f>
        <v/>
      </c>
      <c r="E67" s="137">
        <f>IF($B67="","",CHOOSE(IFERROR(MATCH($C$4,Setup!$K$33:$K$36,0),1),SUMPRODUCT(COUNTIF('2027'!$C$132:$Z$132,Setup!$B$35)),SUMPRODUCT(COUNTIF('2028'!$C$132:$Z$132,Setup!$B$35)),SUMPRODUCT(COUNTIF('2029'!$C$132:$Z$132,Setup!$B$35)),SUMPRODUCT(COUNTIF('2030'!$C$132:$Z$132,Setup!$B$35))))</f>
        <v/>
      </c>
      <c r="F67" s="137">
        <f>IF($B67="","",CHOOSE(IFERROR(MATCH($C$4,Setup!$K$33:$K$36,0),1),SUMPRODUCT(COUNTIF('2027'!$C$182:$Z$182,Setup!$B$35)),SUMPRODUCT(COUNTIF('2028'!$C$182:$Z$182,Setup!$B$35)),SUMPRODUCT(COUNTIF('2029'!$C$182:$Z$182,Setup!$B$35)),SUMPRODUCT(COUNTIF('2030'!$C$182:$Z$182,Setup!$B$35))))</f>
        <v/>
      </c>
      <c r="G67" s="137">
        <f>IF($B67="","",CHOOSE(IFERROR(MATCH($C$4,Setup!$K$33:$K$36,0),1),SUMPRODUCT(COUNTIF('2027'!$C$232:$Z$232,Setup!$B$35)),SUMPRODUCT(COUNTIF('2028'!$C$232:$Z$232,Setup!$B$35)),SUMPRODUCT(COUNTIF('2029'!$C$232:$Z$232,Setup!$B$35)),SUMPRODUCT(COUNTIF('2030'!$C$232:$Z$232,Setup!$B$35))))</f>
        <v/>
      </c>
      <c r="H67" s="137">
        <f>IF($B67="","",CHOOSE(IFERROR(MATCH($C$4,Setup!$K$33:$K$36,0),1),SUMPRODUCT(COUNTIF('2027'!$C$282:$Z$282,Setup!$B$35)),SUMPRODUCT(COUNTIF('2028'!$C$282:$Z$282,Setup!$B$35)),SUMPRODUCT(COUNTIF('2029'!$C$282:$Z$282,Setup!$B$35)),SUMPRODUCT(COUNTIF('2030'!$C$282:$Z$282,Setup!$B$35))))</f>
        <v/>
      </c>
      <c r="I67" s="137">
        <f>IF($B67="","",CHOOSE(IFERROR(MATCH($C$4,Setup!$K$33:$K$36,0),1),SUMPRODUCT(COUNTIF('2027'!$C$332:$Z$332,Setup!$B$35)),SUMPRODUCT(COUNTIF('2028'!$C$332:$Z$332,Setup!$B$35)),SUMPRODUCT(COUNTIF('2029'!$C$332:$Z$332,Setup!$B$35)),SUMPRODUCT(COUNTIF('2030'!$C$332:$Z$332,Setup!$B$35))))</f>
        <v/>
      </c>
      <c r="J67" s="137">
        <f>IF($B67="","",CHOOSE(IFERROR(MATCH($C$4,Setup!$K$33:$K$36,0),1),SUMPRODUCT(COUNTIF('2027'!$C$382:$Z$382,Setup!$B$35)),SUMPRODUCT(COUNTIF('2028'!$C$382:$Z$382,Setup!$B$35)),SUMPRODUCT(COUNTIF('2029'!$C$382:$Z$382,Setup!$B$35)),SUMPRODUCT(COUNTIF('2030'!$C$382:$Z$382,Setup!$B$35))))</f>
        <v/>
      </c>
      <c r="K67" s="137">
        <f>IF($B67="","",CHOOSE(IFERROR(MATCH($C$4,Setup!$K$33:$K$36,0),1),SUMPRODUCT(COUNTIF('2027'!$C$432:$Z$432,Setup!$B$35)),SUMPRODUCT(COUNTIF('2028'!$C$432:$Z$432,Setup!$B$35)),SUMPRODUCT(COUNTIF('2029'!$C$432:$Z$432,Setup!$B$35)),SUMPRODUCT(COUNTIF('2030'!$C$432:$Z$432,Setup!$B$35))))</f>
        <v/>
      </c>
      <c r="L67" s="137">
        <f>IF($B67="","",CHOOSE(IFERROR(MATCH($C$4,Setup!$K$33:$K$36,0),1),SUMPRODUCT(COUNTIF('2027'!$C$482:$Z$482,Setup!$B$35)),SUMPRODUCT(COUNTIF('2028'!$C$482:$Z$482,Setup!$B$35)),SUMPRODUCT(COUNTIF('2029'!$C$482:$Z$482,Setup!$B$35)),SUMPRODUCT(COUNTIF('2030'!$C$482:$Z$482,Setup!$B$35))))</f>
        <v/>
      </c>
      <c r="M67" s="137">
        <f>IF($B67="","",CHOOSE(IFERROR(MATCH($C$4,Setup!$K$33:$K$36,0),1),SUMPRODUCT(COUNTIF('2027'!$C$532:$Z$532,Setup!$B$35)),SUMPRODUCT(COUNTIF('2028'!$C$532:$Z$532,Setup!$B$35)),SUMPRODUCT(COUNTIF('2029'!$C$532:$Z$532,Setup!$B$35)),SUMPRODUCT(COUNTIF('2030'!$C$532:$Z$532,Setup!$B$35))))</f>
        <v/>
      </c>
      <c r="N67" s="137">
        <f>IF($B67="","",CHOOSE(IFERROR(MATCH($C$4,Setup!$K$33:$K$36,0),1),SUMPRODUCT(COUNTIF('2027'!$C$582:$Z$582,Setup!$B$35)),SUMPRODUCT(COUNTIF('2028'!$C$582:$Z$582,Setup!$B$35)),SUMPRODUCT(COUNTIF('2029'!$C$582:$Z$582,Setup!$B$35)),SUMPRODUCT(COUNTIF('2030'!$C$582:$Z$582,Setup!$B$35))))</f>
        <v/>
      </c>
      <c r="O67" s="137">
        <f>IF($B67="","",CHOOSE(IFERROR(MATCH($C$4,Setup!$K$33:$K$36,0),1),SUMPRODUCT(COUNTIF('2027'!$C$632:$Z$632,Setup!$B$35)),SUMPRODUCT(COUNTIF('2028'!$C$632:$Z$632,Setup!$B$35)),SUMPRODUCT(COUNTIF('2029'!$C$632:$Z$632,Setup!$B$35)),SUMPRODUCT(COUNTIF('2030'!$C$632:$Z$632,Setup!$B$35))))</f>
        <v/>
      </c>
      <c r="P67" s="137">
        <f>IF($B67="","",CHOOSE(IFERROR(MATCH($C$4,Setup!$K$33:$K$36,0),1),SUMPRODUCT(COUNTIF('2027'!$C$682:$Z$682,Setup!$B$35)),SUMPRODUCT(COUNTIF('2028'!$C$682:$Z$682,Setup!$B$35)),SUMPRODUCT(COUNTIF('2029'!$C$682:$Z$682,Setup!$B$35)),SUMPRODUCT(COUNTIF('2030'!$C$682:$Z$682,Setup!$B$35))))</f>
        <v/>
      </c>
      <c r="Q67" s="137">
        <f>IF($B67="","",CHOOSE(IFERROR(MATCH($C$4,Setup!$K$33:$K$36,0),1),SUMPRODUCT(COUNTIF('2027'!$C$732:$Z$732,Setup!$B$35)),SUMPRODUCT(COUNTIF('2028'!$C$732:$Z$732,Setup!$B$35)),SUMPRODUCT(COUNTIF('2029'!$C$732:$Z$732,Setup!$B$35)),SUMPRODUCT(COUNTIF('2030'!$C$732:$Z$732,Setup!$B$35))))</f>
        <v/>
      </c>
      <c r="R67" s="137">
        <f>IF($B67="","",CHOOSE(IFERROR(MATCH($C$4,Setup!$K$33:$K$36,0),1),SUMPRODUCT(COUNTIF('2027'!$C$782:$Z$782,Setup!$B$35)),SUMPRODUCT(COUNTIF('2028'!$C$782:$Z$782,Setup!$B$35)),SUMPRODUCT(COUNTIF('2029'!$C$782:$Z$782,Setup!$B$35)),SUMPRODUCT(COUNTIF('2030'!$C$782:$Z$782,Setup!$B$35))))</f>
        <v/>
      </c>
      <c r="S67" s="137">
        <f>IF($B67="","",CHOOSE(IFERROR(MATCH($C$4,Setup!$K$33:$K$36,0),1),SUMPRODUCT(COUNTIF('2027'!$C$832:$Z$832,Setup!$B$35)),SUMPRODUCT(COUNTIF('2028'!$C$832:$Z$832,Setup!$B$35)),SUMPRODUCT(COUNTIF('2029'!$C$832:$Z$832,Setup!$B$35)),SUMPRODUCT(COUNTIF('2030'!$C$832:$Z$832,Setup!$B$35))))</f>
        <v/>
      </c>
      <c r="T67" s="137">
        <f>IF($B67="","",CHOOSE(IFERROR(MATCH($C$4,Setup!$K$33:$K$36,0),1),SUMPRODUCT(COUNTIF('2027'!$C$882:$Z$882,Setup!$B$35)),SUMPRODUCT(COUNTIF('2028'!$C$882:$Z$882,Setup!$B$35)),SUMPRODUCT(COUNTIF('2029'!$C$882:$Z$882,Setup!$B$35)),SUMPRODUCT(COUNTIF('2030'!$C$882:$Z$882,Setup!$B$35))))</f>
        <v/>
      </c>
      <c r="U67" s="137">
        <f>IF($B67="","",CHOOSE(IFERROR(MATCH($C$4,Setup!$K$33:$K$36,0),1),SUMPRODUCT(COUNTIF('2027'!$C$932:$Z$932,Setup!$B$35)),SUMPRODUCT(COUNTIF('2028'!$C$932:$Z$932,Setup!$B$35)),SUMPRODUCT(COUNTIF('2029'!$C$932:$Z$932,Setup!$B$35)),SUMPRODUCT(COUNTIF('2030'!$C$932:$Z$932,Setup!$B$35))))</f>
        <v/>
      </c>
      <c r="V67" s="137">
        <f>IF($B67="","",CHOOSE(IFERROR(MATCH($C$4,Setup!$K$33:$K$36,0),1),SUMPRODUCT(COUNTIF('2027'!$C$982:$Z$982,Setup!$B$35)),SUMPRODUCT(COUNTIF('2028'!$C$982:$Z$982,Setup!$B$35)),SUMPRODUCT(COUNTIF('2029'!$C$982:$Z$982,Setup!$B$35)),SUMPRODUCT(COUNTIF('2030'!$C$982:$Z$982,Setup!$B$35))))</f>
        <v/>
      </c>
      <c r="W67" s="137">
        <f>IF($B67="","",CHOOSE(IFERROR(MATCH($C$4,Setup!$K$33:$K$36,0),1),SUMPRODUCT(COUNTIF('2027'!$C$1032:$Z$1032,Setup!$B$35)),SUMPRODUCT(COUNTIF('2028'!$C$1032:$Z$1032,Setup!$B$35)),SUMPRODUCT(COUNTIF('2029'!$C$1032:$Z$1032,Setup!$B$35)),SUMPRODUCT(COUNTIF('2030'!$C$1032:$Z$1032,Setup!$B$35))))</f>
        <v/>
      </c>
      <c r="X67" s="137">
        <f>IF($B67="","",CHOOSE(IFERROR(MATCH($C$4,Setup!$K$33:$K$36,0),1),SUMPRODUCT(COUNTIF('2027'!$C$1082:$Z$1082,Setup!$B$35)),SUMPRODUCT(COUNTIF('2028'!$C$1082:$Z$1082,Setup!$B$35)),SUMPRODUCT(COUNTIF('2029'!$C$1082:$Z$1082,Setup!$B$35)),SUMPRODUCT(COUNTIF('2030'!$C$1082:$Z$1082,Setup!$B$35))))</f>
        <v/>
      </c>
      <c r="Y67" s="137">
        <f>IF($B67="","",CHOOSE(IFERROR(MATCH($C$4,Setup!$K$33:$K$36,0),1),SUMPRODUCT(COUNTIF('2027'!$C$1132:$Z$1132,Setup!$B$35)),SUMPRODUCT(COUNTIF('2028'!$C$1132:$Z$1132,Setup!$B$35)),SUMPRODUCT(COUNTIF('2029'!$C$1132:$Z$1132,Setup!$B$35)),SUMPRODUCT(COUNTIF('2030'!$C$1132:$Z$1132,Setup!$B$35))))</f>
        <v/>
      </c>
      <c r="Z67" s="137">
        <f>IF($B67="","",CHOOSE(IFERROR(MATCH($C$4,Setup!$K$33:$K$36,0),1),SUMPRODUCT(COUNTIF('2027'!$C$1182:$Z$1182,Setup!$B$35)),SUMPRODUCT(COUNTIF('2028'!$C$1182:$Z$1182,Setup!$B$35)),SUMPRODUCT(COUNTIF('2029'!$C$1182:$Z$1182,Setup!$B$35)),SUMPRODUCT(COUNTIF('2030'!$C$1182:$Z$1182,Setup!$B$35))))</f>
        <v/>
      </c>
      <c r="AA67" s="137">
        <f>IF($B67="","",CHOOSE(IFERROR(MATCH($C$4,Setup!$K$33:$K$36,0),1),SUMPRODUCT(COUNTIF('2027'!$C$1232:$Z$1232,Setup!$B$35)),SUMPRODUCT(COUNTIF('2028'!$C$1232:$Z$1232,Setup!$B$35)),SUMPRODUCT(COUNTIF('2029'!$C$1232:$Z$1232,Setup!$B$35)),SUMPRODUCT(COUNTIF('2030'!$C$1232:$Z$1232,Setup!$B$35))))</f>
        <v/>
      </c>
      <c r="AB67" s="137">
        <f>IF($B67="","",CHOOSE(IFERROR(MATCH($C$4,Setup!$K$33:$K$36,0),1),SUMPRODUCT(COUNTIF('2027'!$C$1282:$Z$1282,Setup!$B$35)),SUMPRODUCT(COUNTIF('2028'!$C$1282:$Z$1282,Setup!$B$35)),SUMPRODUCT(COUNTIF('2029'!$C$1282:$Z$1282,Setup!$B$35)),SUMPRODUCT(COUNTIF('2030'!$C$1282:$Z$1282,Setup!$B$35))))</f>
        <v/>
      </c>
      <c r="AC67" s="137">
        <f>IF($B67="","",CHOOSE(IFERROR(MATCH($C$4,Setup!$K$33:$K$36,0),1),SUMPRODUCT(COUNTIF('2027'!$C$1332:$Z$1332,Setup!$B$35)),SUMPRODUCT(COUNTIF('2028'!$C$1332:$Z$1332,Setup!$B$35)),SUMPRODUCT(COUNTIF('2029'!$C$1332:$Z$1332,Setup!$B$35)),SUMPRODUCT(COUNTIF('2030'!$C$1332:$Z$1332,Setup!$B$35))))</f>
        <v/>
      </c>
      <c r="AD67" s="137">
        <f>IF($B67="","",CHOOSE(IFERROR(MATCH($C$4,Setup!$K$33:$K$36,0),1),SUMPRODUCT(COUNTIF('2027'!$C$1382:$Z$1382,Setup!$B$35)),SUMPRODUCT(COUNTIF('2028'!$C$1382:$Z$1382,Setup!$B$35)),SUMPRODUCT(COUNTIF('2029'!$C$1382:$Z$1382,Setup!$B$35)),SUMPRODUCT(COUNTIF('2030'!$C$1382:$Z$1382,Setup!$B$35))))</f>
        <v/>
      </c>
      <c r="AE67" s="137">
        <f>IF($B67="","",CHOOSE(IFERROR(MATCH($C$4,Setup!$K$33:$K$36,0),1),SUMPRODUCT(COUNTIF('2027'!$C$1432:$Z$1432,Setup!$B$35)),SUMPRODUCT(COUNTIF('2028'!$C$1432:$Z$1432,Setup!$B$35)),SUMPRODUCT(COUNTIF('2029'!$C$1432:$Z$1432,Setup!$B$35)),SUMPRODUCT(COUNTIF('2030'!$C$1432:$Z$1432,Setup!$B$35))))</f>
        <v/>
      </c>
      <c r="AF67" s="137">
        <f>IF($B67="","",CHOOSE(IFERROR(MATCH($C$4,Setup!$K$33:$K$36,0),1),SUMPRODUCT(COUNTIF('2027'!$C$1482:$Z$1482,Setup!$B$35)),SUMPRODUCT(COUNTIF('2028'!$C$1482:$Z$1482,Setup!$B$35)),SUMPRODUCT(COUNTIF('2029'!$C$1482:$Z$1482,Setup!$B$35)),SUMPRODUCT(COUNTIF('2030'!$C$1482:$Z$1482,Setup!$B$35))))</f>
        <v/>
      </c>
      <c r="AG67" s="137">
        <f>IF($B67="","",CHOOSE(IFERROR(MATCH($C$4,Setup!$K$33:$K$36,0),1),SUMPRODUCT(COUNTIF('2027'!$C$1532:$Z$1532,Setup!$B$35)),SUMPRODUCT(COUNTIF('2028'!$C$1532:$Z$1532,Setup!$B$35)),SUMPRODUCT(COUNTIF('2029'!$C$1532:$Z$1532,Setup!$B$35)),SUMPRODUCT(COUNTIF('2030'!$C$1532:$Z$1532,Setup!$B$35))))</f>
        <v/>
      </c>
      <c r="AH67" s="137">
        <f>IF($B67="","",CHOOSE(IFERROR(MATCH($C$4,Setup!$K$33:$K$36,0),1),SUMPRODUCT(COUNTIF('2027'!$C$1582:$Z$1582,Setup!$B$35)),SUMPRODUCT(COUNTIF('2028'!$C$1582:$Z$1582,Setup!$B$35)),SUMPRODUCT(COUNTIF('2029'!$C$1582:$Z$1582,Setup!$B$35)),SUMPRODUCT(COUNTIF('2030'!$C$1582:$Z$1582,Setup!$B$35))))</f>
        <v/>
      </c>
      <c r="AI67" s="137">
        <f>IF($B67="","",CHOOSE(IFERROR(MATCH($C$4,Setup!$K$33:$K$36,0),1),SUMPRODUCT(COUNTIF('2027'!$C$1632:$Z$1632,Setup!$B$35)),SUMPRODUCT(COUNTIF('2028'!$C$1632:$Z$1632,Setup!$B$35)),SUMPRODUCT(COUNTIF('2029'!$C$1632:$Z$1632,Setup!$B$35)),SUMPRODUCT(COUNTIF('2030'!$C$1632:$Z$1632,Setup!$B$35))))</f>
        <v/>
      </c>
      <c r="AJ67" s="137">
        <f>IF($B67="","",CHOOSE(IFERROR(MATCH($C$4,Setup!$K$33:$K$36,0),1),SUMPRODUCT(COUNTIF('2027'!$C$1682:$Z$1682,Setup!$B$35)),SUMPRODUCT(COUNTIF('2028'!$C$1682:$Z$1682,Setup!$B$35)),SUMPRODUCT(COUNTIF('2029'!$C$1682:$Z$1682,Setup!$B$35)),SUMPRODUCT(COUNTIF('2030'!$C$1682:$Z$1682,Setup!$B$35))))</f>
        <v/>
      </c>
      <c r="AK67" s="137">
        <f>IF($B67="","",CHOOSE(IFERROR(MATCH($C$4,Setup!$K$33:$K$36,0),1),SUMPRODUCT(COUNTIF('2027'!$C$1732:$Z$1732,Setup!$B$35)),SUMPRODUCT(COUNTIF('2028'!$C$1732:$Z$1732,Setup!$B$35)),SUMPRODUCT(COUNTIF('2029'!$C$1732:$Z$1732,Setup!$B$35)),SUMPRODUCT(COUNTIF('2030'!$C$1732:$Z$1732,Setup!$B$35))))</f>
        <v/>
      </c>
      <c r="AL67" s="137">
        <f>IF($B67="","",CHOOSE(IFERROR(MATCH($C$4,Setup!$K$33:$K$36,0),1),SUMPRODUCT(COUNTIF('2027'!$C$1782:$Z$1782,Setup!$B$35)),SUMPRODUCT(COUNTIF('2028'!$C$1782:$Z$1782,Setup!$B$35)),SUMPRODUCT(COUNTIF('2029'!$C$1782:$Z$1782,Setup!$B$35)),SUMPRODUCT(COUNTIF('2030'!$C$1782:$Z$1782,Setup!$B$35))))</f>
        <v/>
      </c>
      <c r="AM67" s="137">
        <f>IF($B67="","",CHOOSE(IFERROR(MATCH($C$4,Setup!$K$33:$K$36,0),1),SUMPRODUCT(COUNTIF('2027'!$C$1832:$Z$1832,Setup!$B$35)),SUMPRODUCT(COUNTIF('2028'!$C$1832:$Z$1832,Setup!$B$35)),SUMPRODUCT(COUNTIF('2029'!$C$1832:$Z$1832,Setup!$B$35)),SUMPRODUCT(COUNTIF('2030'!$C$1832:$Z$1832,Setup!$B$35))))</f>
        <v/>
      </c>
      <c r="AN67" s="137">
        <f>IF($B67="","",CHOOSE(IFERROR(MATCH($C$4,Setup!$K$33:$K$36,0),1),SUMPRODUCT(COUNTIF('2027'!$C$1882:$Z$1882,Setup!$B$35)),SUMPRODUCT(COUNTIF('2028'!$C$1882:$Z$1882,Setup!$B$35)),SUMPRODUCT(COUNTIF('2029'!$C$1882:$Z$1882,Setup!$B$35)),SUMPRODUCT(COUNTIF('2030'!$C$1882:$Z$1882,Setup!$B$35))))</f>
        <v/>
      </c>
      <c r="AO67" s="137">
        <f>IF($B67="","",CHOOSE(IFERROR(MATCH($C$4,Setup!$K$33:$K$36,0),1),SUMPRODUCT(COUNTIF('2027'!$C$1932:$Z$1932,Setup!$B$35)),SUMPRODUCT(COUNTIF('2028'!$C$1932:$Z$1932,Setup!$B$35)),SUMPRODUCT(COUNTIF('2029'!$C$1932:$Z$1932,Setup!$B$35)),SUMPRODUCT(COUNTIF('2030'!$C$1932:$Z$1932,Setup!$B$35))))</f>
        <v/>
      </c>
      <c r="AP67" s="137">
        <f>IF($B67="","",CHOOSE(IFERROR(MATCH($C$4,Setup!$K$33:$K$36,0),1),SUMPRODUCT(COUNTIF('2027'!$C$1982:$Z$1982,Setup!$B$35)),SUMPRODUCT(COUNTIF('2028'!$C$1982:$Z$1982,Setup!$B$35)),SUMPRODUCT(COUNTIF('2029'!$C$1982:$Z$1982,Setup!$B$35)),SUMPRODUCT(COUNTIF('2030'!$C$1982:$Z$1982,Setup!$B$35))))</f>
        <v/>
      </c>
      <c r="AQ67" s="137">
        <f>IF($B67="","",CHOOSE(IFERROR(MATCH($C$4,Setup!$K$33:$K$36,0),1),SUMPRODUCT(COUNTIF('2027'!$C$2032:$Z$2032,Setup!$B$35)),SUMPRODUCT(COUNTIF('2028'!$C$2032:$Z$2032,Setup!$B$35)),SUMPRODUCT(COUNTIF('2029'!$C$2032:$Z$2032,Setup!$B$35)),SUMPRODUCT(COUNTIF('2030'!$C$2032:$Z$2032,Setup!$B$35))))</f>
        <v/>
      </c>
      <c r="AR67" s="137">
        <f>IF($B67="","",CHOOSE(IFERROR(MATCH($C$4,Setup!$K$33:$K$36,0),1),SUMPRODUCT(COUNTIF('2027'!$C$2082:$Z$2082,Setup!$B$35)),SUMPRODUCT(COUNTIF('2028'!$C$2082:$Z$2082,Setup!$B$35)),SUMPRODUCT(COUNTIF('2029'!$C$2082:$Z$2082,Setup!$B$35)),SUMPRODUCT(COUNTIF('2030'!$C$2082:$Z$2082,Setup!$B$35))))</f>
        <v/>
      </c>
      <c r="AS67" s="137">
        <f>IF($B67="","",CHOOSE(IFERROR(MATCH($C$4,Setup!$K$33:$K$36,0),1),SUMPRODUCT(COUNTIF('2027'!$C$2132:$Z$2132,Setup!$B$35)),SUMPRODUCT(COUNTIF('2028'!$C$2132:$Z$2132,Setup!$B$35)),SUMPRODUCT(COUNTIF('2029'!$C$2132:$Z$2132,Setup!$B$35)),SUMPRODUCT(COUNTIF('2030'!$C$2132:$Z$2132,Setup!$B$35))))</f>
        <v/>
      </c>
      <c r="AT67" s="137">
        <f>IF($B67="","",CHOOSE(IFERROR(MATCH($C$4,Setup!$K$33:$K$36,0),1),SUMPRODUCT(COUNTIF('2027'!$C$2182:$Z$2182,Setup!$B$35)),SUMPRODUCT(COUNTIF('2028'!$C$2182:$Z$2182,Setup!$B$35)),SUMPRODUCT(COUNTIF('2029'!$C$2182:$Z$2182,Setup!$B$35)),SUMPRODUCT(COUNTIF('2030'!$C$2182:$Z$2182,Setup!$B$35))))</f>
        <v/>
      </c>
      <c r="AU67" s="137">
        <f>IF($B67="","",CHOOSE(IFERROR(MATCH($C$4,Setup!$K$33:$K$36,0),1),SUMPRODUCT(COUNTIF('2027'!$C$2232:$Z$2232,Setup!$B$35)),SUMPRODUCT(COUNTIF('2028'!$C$2232:$Z$2232,Setup!$B$35)),SUMPRODUCT(COUNTIF('2029'!$C$2232:$Z$2232,Setup!$B$35)),SUMPRODUCT(COUNTIF('2030'!$C$2232:$Z$2232,Setup!$B$35))))</f>
        <v/>
      </c>
      <c r="AV67" s="137">
        <f>IF($B67="","",CHOOSE(IFERROR(MATCH($C$4,Setup!$K$33:$K$36,0),1),SUMPRODUCT(COUNTIF('2027'!$C$2282:$Z$2282,Setup!$B$35)),SUMPRODUCT(COUNTIF('2028'!$C$2282:$Z$2282,Setup!$B$35)),SUMPRODUCT(COUNTIF('2029'!$C$2282:$Z$2282,Setup!$B$35)),SUMPRODUCT(COUNTIF('2030'!$C$2282:$Z$2282,Setup!$B$35))))</f>
        <v/>
      </c>
      <c r="AW67" s="137">
        <f>IF($B67="","",CHOOSE(IFERROR(MATCH($C$4,Setup!$K$33:$K$36,0),1),SUMPRODUCT(COUNTIF('2027'!$C$2332:$Z$2332,Setup!$B$35)),SUMPRODUCT(COUNTIF('2028'!$C$2332:$Z$2332,Setup!$B$35)),SUMPRODUCT(COUNTIF('2029'!$C$2332:$Z$2332,Setup!$B$35)),SUMPRODUCT(COUNTIF('2030'!$C$2332:$Z$2332,Setup!$B$35))))</f>
        <v/>
      </c>
      <c r="AX67" s="137">
        <f>IF($B67="","",CHOOSE(IFERROR(MATCH($C$4,Setup!$K$33:$K$36,0),1),SUMPRODUCT(COUNTIF('2027'!$C$2382:$Z$2382,Setup!$B$35)),SUMPRODUCT(COUNTIF('2028'!$C$2382:$Z$2382,Setup!$B$35)),SUMPRODUCT(COUNTIF('2029'!$C$2382:$Z$2382,Setup!$B$35)),SUMPRODUCT(COUNTIF('2030'!$C$2382:$Z$2382,Setup!$B$35))))</f>
        <v/>
      </c>
      <c r="AY67" s="137">
        <f>IF($B67="","",CHOOSE(IFERROR(MATCH($C$4,Setup!$K$33:$K$36,0),1),SUMPRODUCT(COUNTIF('2027'!$C$2432:$Z$2432,Setup!$B$35)),SUMPRODUCT(COUNTIF('2028'!$C$2432:$Z$2432,Setup!$B$35)),SUMPRODUCT(COUNTIF('2029'!$C$2432:$Z$2432,Setup!$B$35)),SUMPRODUCT(COUNTIF('2030'!$C$2432:$Z$2432,Setup!$B$35))))</f>
        <v/>
      </c>
      <c r="AZ67" s="137">
        <f>IF($B67="","",CHOOSE(IFERROR(MATCH($C$4,Setup!$K$33:$K$36,0),1),SUMPRODUCT(COUNTIF('2027'!$C$2482:$Z$2482,Setup!$B$35)),SUMPRODUCT(COUNTIF('2028'!$C$2482:$Z$2482,Setup!$B$35)),SUMPRODUCT(COUNTIF('2029'!$C$2482:$Z$2482,Setup!$B$35)),SUMPRODUCT(COUNTIF('2030'!$C$2482:$Z$2482,Setup!$B$35))))</f>
        <v/>
      </c>
      <c r="BA67" s="137">
        <f>IF($B67="","",CHOOSE(IFERROR(MATCH($C$4,Setup!$K$33:$K$36,0),1),SUMPRODUCT(COUNTIF('2027'!$C$2532:$Z$2532,Setup!$B$35)),SUMPRODUCT(COUNTIF('2028'!$C$2532:$Z$2532,Setup!$B$35)),SUMPRODUCT(COUNTIF('2029'!$C$2532:$Z$2532,Setup!$B$35)),SUMPRODUCT(COUNTIF('2030'!$C$2532:$Z$2532,Setup!$B$35))))</f>
        <v/>
      </c>
      <c r="BB67" s="137">
        <f>IF($B67="","",CHOOSE(IFERROR(MATCH($C$4,Setup!$K$33:$K$36,0),1),SUMPRODUCT(COUNTIF('2027'!$C$2582:$Z$2582,Setup!$B$35)),SUMPRODUCT(COUNTIF('2028'!$C$2582:$Z$2582,Setup!$B$35)),SUMPRODUCT(COUNTIF('2029'!$C$2582:$Z$2582,Setup!$B$35)),SUMPRODUCT(COUNTIF('2030'!$C$2582:$Z$2582,Setup!$B$35))))</f>
        <v/>
      </c>
      <c r="BC67" s="137">
        <f>IF($B67="","",CHOOSE(IFERROR(MATCH($C$4,Setup!$K$33:$K$36,0),1),SUMPRODUCT(COUNTIF('2027'!$C$2632:$Z$2632,Setup!$B$35)),SUMPRODUCT(COUNTIF('2028'!$C$2632:$Z$2632,Setup!$B$35)),SUMPRODUCT(COUNTIF('2029'!$C$2632:$Z$2632,Setup!$B$35)),SUMPRODUCT(COUNTIF('2030'!$C$2632:$Z$2632,Setup!$B$35))))</f>
        <v/>
      </c>
      <c r="BE67" s="129">
        <f>IF($B67="","",SUM(C67:BC67))</f>
        <v/>
      </c>
      <c r="BF67" s="130">
        <f>IF($B67="","",COUNTIF(C67:BC67,"&gt;0"))</f>
        <v/>
      </c>
      <c r="BG67" s="130">
        <f>IF(OR($B67="",N(BE67)=0),"",MATCH(MAX(C67:BC67),C67:BC67,0))</f>
        <v/>
      </c>
    </row>
    <row r="68" ht="15" customHeight="1">
      <c r="B68" s="136">
        <f>IF(Setup!$B$12="","",Setup!$B$12)</f>
        <v/>
      </c>
      <c r="C68" s="137">
        <f>IF($B68="","",CHOOSE(IFERROR(MATCH($C$4,Setup!$K$33:$K$36,0),1),SUMPRODUCT(COUNTIF('2027'!$C$33:$Z$33,Setup!$B$35)),SUMPRODUCT(COUNTIF('2028'!$C$33:$Z$33,Setup!$B$35)),SUMPRODUCT(COUNTIF('2029'!$C$33:$Z$33,Setup!$B$35)),SUMPRODUCT(COUNTIF('2030'!$C$33:$Z$33,Setup!$B$35))))</f>
        <v/>
      </c>
      <c r="D68" s="137">
        <f>IF($B68="","",CHOOSE(IFERROR(MATCH($C$4,Setup!$K$33:$K$36,0),1),SUMPRODUCT(COUNTIF('2027'!$C$83:$Z$83,Setup!$B$35)),SUMPRODUCT(COUNTIF('2028'!$C$83:$Z$83,Setup!$B$35)),SUMPRODUCT(COUNTIF('2029'!$C$83:$Z$83,Setup!$B$35)),SUMPRODUCT(COUNTIF('2030'!$C$83:$Z$83,Setup!$B$35))))</f>
        <v/>
      </c>
      <c r="E68" s="137">
        <f>IF($B68="","",CHOOSE(IFERROR(MATCH($C$4,Setup!$K$33:$K$36,0),1),SUMPRODUCT(COUNTIF('2027'!$C$133:$Z$133,Setup!$B$35)),SUMPRODUCT(COUNTIF('2028'!$C$133:$Z$133,Setup!$B$35)),SUMPRODUCT(COUNTIF('2029'!$C$133:$Z$133,Setup!$B$35)),SUMPRODUCT(COUNTIF('2030'!$C$133:$Z$133,Setup!$B$35))))</f>
        <v/>
      </c>
      <c r="F68" s="137">
        <f>IF($B68="","",CHOOSE(IFERROR(MATCH($C$4,Setup!$K$33:$K$36,0),1),SUMPRODUCT(COUNTIF('2027'!$C$183:$Z$183,Setup!$B$35)),SUMPRODUCT(COUNTIF('2028'!$C$183:$Z$183,Setup!$B$35)),SUMPRODUCT(COUNTIF('2029'!$C$183:$Z$183,Setup!$B$35)),SUMPRODUCT(COUNTIF('2030'!$C$183:$Z$183,Setup!$B$35))))</f>
        <v/>
      </c>
      <c r="G68" s="137">
        <f>IF($B68="","",CHOOSE(IFERROR(MATCH($C$4,Setup!$K$33:$K$36,0),1),SUMPRODUCT(COUNTIF('2027'!$C$233:$Z$233,Setup!$B$35)),SUMPRODUCT(COUNTIF('2028'!$C$233:$Z$233,Setup!$B$35)),SUMPRODUCT(COUNTIF('2029'!$C$233:$Z$233,Setup!$B$35)),SUMPRODUCT(COUNTIF('2030'!$C$233:$Z$233,Setup!$B$35))))</f>
        <v/>
      </c>
      <c r="H68" s="137">
        <f>IF($B68="","",CHOOSE(IFERROR(MATCH($C$4,Setup!$K$33:$K$36,0),1),SUMPRODUCT(COUNTIF('2027'!$C$283:$Z$283,Setup!$B$35)),SUMPRODUCT(COUNTIF('2028'!$C$283:$Z$283,Setup!$B$35)),SUMPRODUCT(COUNTIF('2029'!$C$283:$Z$283,Setup!$B$35)),SUMPRODUCT(COUNTIF('2030'!$C$283:$Z$283,Setup!$B$35))))</f>
        <v/>
      </c>
      <c r="I68" s="137">
        <f>IF($B68="","",CHOOSE(IFERROR(MATCH($C$4,Setup!$K$33:$K$36,0),1),SUMPRODUCT(COUNTIF('2027'!$C$333:$Z$333,Setup!$B$35)),SUMPRODUCT(COUNTIF('2028'!$C$333:$Z$333,Setup!$B$35)),SUMPRODUCT(COUNTIF('2029'!$C$333:$Z$333,Setup!$B$35)),SUMPRODUCT(COUNTIF('2030'!$C$333:$Z$333,Setup!$B$35))))</f>
        <v/>
      </c>
      <c r="J68" s="137">
        <f>IF($B68="","",CHOOSE(IFERROR(MATCH($C$4,Setup!$K$33:$K$36,0),1),SUMPRODUCT(COUNTIF('2027'!$C$383:$Z$383,Setup!$B$35)),SUMPRODUCT(COUNTIF('2028'!$C$383:$Z$383,Setup!$B$35)),SUMPRODUCT(COUNTIF('2029'!$C$383:$Z$383,Setup!$B$35)),SUMPRODUCT(COUNTIF('2030'!$C$383:$Z$383,Setup!$B$35))))</f>
        <v/>
      </c>
      <c r="K68" s="137">
        <f>IF($B68="","",CHOOSE(IFERROR(MATCH($C$4,Setup!$K$33:$K$36,0),1),SUMPRODUCT(COUNTIF('2027'!$C$433:$Z$433,Setup!$B$35)),SUMPRODUCT(COUNTIF('2028'!$C$433:$Z$433,Setup!$B$35)),SUMPRODUCT(COUNTIF('2029'!$C$433:$Z$433,Setup!$B$35)),SUMPRODUCT(COUNTIF('2030'!$C$433:$Z$433,Setup!$B$35))))</f>
        <v/>
      </c>
      <c r="L68" s="137">
        <f>IF($B68="","",CHOOSE(IFERROR(MATCH($C$4,Setup!$K$33:$K$36,0),1),SUMPRODUCT(COUNTIF('2027'!$C$483:$Z$483,Setup!$B$35)),SUMPRODUCT(COUNTIF('2028'!$C$483:$Z$483,Setup!$B$35)),SUMPRODUCT(COUNTIF('2029'!$C$483:$Z$483,Setup!$B$35)),SUMPRODUCT(COUNTIF('2030'!$C$483:$Z$483,Setup!$B$35))))</f>
        <v/>
      </c>
      <c r="M68" s="137">
        <f>IF($B68="","",CHOOSE(IFERROR(MATCH($C$4,Setup!$K$33:$K$36,0),1),SUMPRODUCT(COUNTIF('2027'!$C$533:$Z$533,Setup!$B$35)),SUMPRODUCT(COUNTIF('2028'!$C$533:$Z$533,Setup!$B$35)),SUMPRODUCT(COUNTIF('2029'!$C$533:$Z$533,Setup!$B$35)),SUMPRODUCT(COUNTIF('2030'!$C$533:$Z$533,Setup!$B$35))))</f>
        <v/>
      </c>
      <c r="N68" s="137">
        <f>IF($B68="","",CHOOSE(IFERROR(MATCH($C$4,Setup!$K$33:$K$36,0),1),SUMPRODUCT(COUNTIF('2027'!$C$583:$Z$583,Setup!$B$35)),SUMPRODUCT(COUNTIF('2028'!$C$583:$Z$583,Setup!$B$35)),SUMPRODUCT(COUNTIF('2029'!$C$583:$Z$583,Setup!$B$35)),SUMPRODUCT(COUNTIF('2030'!$C$583:$Z$583,Setup!$B$35))))</f>
        <v/>
      </c>
      <c r="O68" s="137">
        <f>IF($B68="","",CHOOSE(IFERROR(MATCH($C$4,Setup!$K$33:$K$36,0),1),SUMPRODUCT(COUNTIF('2027'!$C$633:$Z$633,Setup!$B$35)),SUMPRODUCT(COUNTIF('2028'!$C$633:$Z$633,Setup!$B$35)),SUMPRODUCT(COUNTIF('2029'!$C$633:$Z$633,Setup!$B$35)),SUMPRODUCT(COUNTIF('2030'!$C$633:$Z$633,Setup!$B$35))))</f>
        <v/>
      </c>
      <c r="P68" s="137">
        <f>IF($B68="","",CHOOSE(IFERROR(MATCH($C$4,Setup!$K$33:$K$36,0),1),SUMPRODUCT(COUNTIF('2027'!$C$683:$Z$683,Setup!$B$35)),SUMPRODUCT(COUNTIF('2028'!$C$683:$Z$683,Setup!$B$35)),SUMPRODUCT(COUNTIF('2029'!$C$683:$Z$683,Setup!$B$35)),SUMPRODUCT(COUNTIF('2030'!$C$683:$Z$683,Setup!$B$35))))</f>
        <v/>
      </c>
      <c r="Q68" s="137">
        <f>IF($B68="","",CHOOSE(IFERROR(MATCH($C$4,Setup!$K$33:$K$36,0),1),SUMPRODUCT(COUNTIF('2027'!$C$733:$Z$733,Setup!$B$35)),SUMPRODUCT(COUNTIF('2028'!$C$733:$Z$733,Setup!$B$35)),SUMPRODUCT(COUNTIF('2029'!$C$733:$Z$733,Setup!$B$35)),SUMPRODUCT(COUNTIF('2030'!$C$733:$Z$733,Setup!$B$35))))</f>
        <v/>
      </c>
      <c r="R68" s="137">
        <f>IF($B68="","",CHOOSE(IFERROR(MATCH($C$4,Setup!$K$33:$K$36,0),1),SUMPRODUCT(COUNTIF('2027'!$C$783:$Z$783,Setup!$B$35)),SUMPRODUCT(COUNTIF('2028'!$C$783:$Z$783,Setup!$B$35)),SUMPRODUCT(COUNTIF('2029'!$C$783:$Z$783,Setup!$B$35)),SUMPRODUCT(COUNTIF('2030'!$C$783:$Z$783,Setup!$B$35))))</f>
        <v/>
      </c>
      <c r="S68" s="137">
        <f>IF($B68="","",CHOOSE(IFERROR(MATCH($C$4,Setup!$K$33:$K$36,0),1),SUMPRODUCT(COUNTIF('2027'!$C$833:$Z$833,Setup!$B$35)),SUMPRODUCT(COUNTIF('2028'!$C$833:$Z$833,Setup!$B$35)),SUMPRODUCT(COUNTIF('2029'!$C$833:$Z$833,Setup!$B$35)),SUMPRODUCT(COUNTIF('2030'!$C$833:$Z$833,Setup!$B$35))))</f>
        <v/>
      </c>
      <c r="T68" s="137">
        <f>IF($B68="","",CHOOSE(IFERROR(MATCH($C$4,Setup!$K$33:$K$36,0),1),SUMPRODUCT(COUNTIF('2027'!$C$883:$Z$883,Setup!$B$35)),SUMPRODUCT(COUNTIF('2028'!$C$883:$Z$883,Setup!$B$35)),SUMPRODUCT(COUNTIF('2029'!$C$883:$Z$883,Setup!$B$35)),SUMPRODUCT(COUNTIF('2030'!$C$883:$Z$883,Setup!$B$35))))</f>
        <v/>
      </c>
      <c r="U68" s="137">
        <f>IF($B68="","",CHOOSE(IFERROR(MATCH($C$4,Setup!$K$33:$K$36,0),1),SUMPRODUCT(COUNTIF('2027'!$C$933:$Z$933,Setup!$B$35)),SUMPRODUCT(COUNTIF('2028'!$C$933:$Z$933,Setup!$B$35)),SUMPRODUCT(COUNTIF('2029'!$C$933:$Z$933,Setup!$B$35)),SUMPRODUCT(COUNTIF('2030'!$C$933:$Z$933,Setup!$B$35))))</f>
        <v/>
      </c>
      <c r="V68" s="137">
        <f>IF($B68="","",CHOOSE(IFERROR(MATCH($C$4,Setup!$K$33:$K$36,0),1),SUMPRODUCT(COUNTIF('2027'!$C$983:$Z$983,Setup!$B$35)),SUMPRODUCT(COUNTIF('2028'!$C$983:$Z$983,Setup!$B$35)),SUMPRODUCT(COUNTIF('2029'!$C$983:$Z$983,Setup!$B$35)),SUMPRODUCT(COUNTIF('2030'!$C$983:$Z$983,Setup!$B$35))))</f>
        <v/>
      </c>
      <c r="W68" s="137">
        <f>IF($B68="","",CHOOSE(IFERROR(MATCH($C$4,Setup!$K$33:$K$36,0),1),SUMPRODUCT(COUNTIF('2027'!$C$1033:$Z$1033,Setup!$B$35)),SUMPRODUCT(COUNTIF('2028'!$C$1033:$Z$1033,Setup!$B$35)),SUMPRODUCT(COUNTIF('2029'!$C$1033:$Z$1033,Setup!$B$35)),SUMPRODUCT(COUNTIF('2030'!$C$1033:$Z$1033,Setup!$B$35))))</f>
        <v/>
      </c>
      <c r="X68" s="137">
        <f>IF($B68="","",CHOOSE(IFERROR(MATCH($C$4,Setup!$K$33:$K$36,0),1),SUMPRODUCT(COUNTIF('2027'!$C$1083:$Z$1083,Setup!$B$35)),SUMPRODUCT(COUNTIF('2028'!$C$1083:$Z$1083,Setup!$B$35)),SUMPRODUCT(COUNTIF('2029'!$C$1083:$Z$1083,Setup!$B$35)),SUMPRODUCT(COUNTIF('2030'!$C$1083:$Z$1083,Setup!$B$35))))</f>
        <v/>
      </c>
      <c r="Y68" s="137">
        <f>IF($B68="","",CHOOSE(IFERROR(MATCH($C$4,Setup!$K$33:$K$36,0),1),SUMPRODUCT(COUNTIF('2027'!$C$1133:$Z$1133,Setup!$B$35)),SUMPRODUCT(COUNTIF('2028'!$C$1133:$Z$1133,Setup!$B$35)),SUMPRODUCT(COUNTIF('2029'!$C$1133:$Z$1133,Setup!$B$35)),SUMPRODUCT(COUNTIF('2030'!$C$1133:$Z$1133,Setup!$B$35))))</f>
        <v/>
      </c>
      <c r="Z68" s="137">
        <f>IF($B68="","",CHOOSE(IFERROR(MATCH($C$4,Setup!$K$33:$K$36,0),1),SUMPRODUCT(COUNTIF('2027'!$C$1183:$Z$1183,Setup!$B$35)),SUMPRODUCT(COUNTIF('2028'!$C$1183:$Z$1183,Setup!$B$35)),SUMPRODUCT(COUNTIF('2029'!$C$1183:$Z$1183,Setup!$B$35)),SUMPRODUCT(COUNTIF('2030'!$C$1183:$Z$1183,Setup!$B$35))))</f>
        <v/>
      </c>
      <c r="AA68" s="137">
        <f>IF($B68="","",CHOOSE(IFERROR(MATCH($C$4,Setup!$K$33:$K$36,0),1),SUMPRODUCT(COUNTIF('2027'!$C$1233:$Z$1233,Setup!$B$35)),SUMPRODUCT(COUNTIF('2028'!$C$1233:$Z$1233,Setup!$B$35)),SUMPRODUCT(COUNTIF('2029'!$C$1233:$Z$1233,Setup!$B$35)),SUMPRODUCT(COUNTIF('2030'!$C$1233:$Z$1233,Setup!$B$35))))</f>
        <v/>
      </c>
      <c r="AB68" s="137">
        <f>IF($B68="","",CHOOSE(IFERROR(MATCH($C$4,Setup!$K$33:$K$36,0),1),SUMPRODUCT(COUNTIF('2027'!$C$1283:$Z$1283,Setup!$B$35)),SUMPRODUCT(COUNTIF('2028'!$C$1283:$Z$1283,Setup!$B$35)),SUMPRODUCT(COUNTIF('2029'!$C$1283:$Z$1283,Setup!$B$35)),SUMPRODUCT(COUNTIF('2030'!$C$1283:$Z$1283,Setup!$B$35))))</f>
        <v/>
      </c>
      <c r="AC68" s="137">
        <f>IF($B68="","",CHOOSE(IFERROR(MATCH($C$4,Setup!$K$33:$K$36,0),1),SUMPRODUCT(COUNTIF('2027'!$C$1333:$Z$1333,Setup!$B$35)),SUMPRODUCT(COUNTIF('2028'!$C$1333:$Z$1333,Setup!$B$35)),SUMPRODUCT(COUNTIF('2029'!$C$1333:$Z$1333,Setup!$B$35)),SUMPRODUCT(COUNTIF('2030'!$C$1333:$Z$1333,Setup!$B$35))))</f>
        <v/>
      </c>
      <c r="AD68" s="137">
        <f>IF($B68="","",CHOOSE(IFERROR(MATCH($C$4,Setup!$K$33:$K$36,0),1),SUMPRODUCT(COUNTIF('2027'!$C$1383:$Z$1383,Setup!$B$35)),SUMPRODUCT(COUNTIF('2028'!$C$1383:$Z$1383,Setup!$B$35)),SUMPRODUCT(COUNTIF('2029'!$C$1383:$Z$1383,Setup!$B$35)),SUMPRODUCT(COUNTIF('2030'!$C$1383:$Z$1383,Setup!$B$35))))</f>
        <v/>
      </c>
      <c r="AE68" s="137">
        <f>IF($B68="","",CHOOSE(IFERROR(MATCH($C$4,Setup!$K$33:$K$36,0),1),SUMPRODUCT(COUNTIF('2027'!$C$1433:$Z$1433,Setup!$B$35)),SUMPRODUCT(COUNTIF('2028'!$C$1433:$Z$1433,Setup!$B$35)),SUMPRODUCT(COUNTIF('2029'!$C$1433:$Z$1433,Setup!$B$35)),SUMPRODUCT(COUNTIF('2030'!$C$1433:$Z$1433,Setup!$B$35))))</f>
        <v/>
      </c>
      <c r="AF68" s="137">
        <f>IF($B68="","",CHOOSE(IFERROR(MATCH($C$4,Setup!$K$33:$K$36,0),1),SUMPRODUCT(COUNTIF('2027'!$C$1483:$Z$1483,Setup!$B$35)),SUMPRODUCT(COUNTIF('2028'!$C$1483:$Z$1483,Setup!$B$35)),SUMPRODUCT(COUNTIF('2029'!$C$1483:$Z$1483,Setup!$B$35)),SUMPRODUCT(COUNTIF('2030'!$C$1483:$Z$1483,Setup!$B$35))))</f>
        <v/>
      </c>
      <c r="AG68" s="137">
        <f>IF($B68="","",CHOOSE(IFERROR(MATCH($C$4,Setup!$K$33:$K$36,0),1),SUMPRODUCT(COUNTIF('2027'!$C$1533:$Z$1533,Setup!$B$35)),SUMPRODUCT(COUNTIF('2028'!$C$1533:$Z$1533,Setup!$B$35)),SUMPRODUCT(COUNTIF('2029'!$C$1533:$Z$1533,Setup!$B$35)),SUMPRODUCT(COUNTIF('2030'!$C$1533:$Z$1533,Setup!$B$35))))</f>
        <v/>
      </c>
      <c r="AH68" s="137">
        <f>IF($B68="","",CHOOSE(IFERROR(MATCH($C$4,Setup!$K$33:$K$36,0),1),SUMPRODUCT(COUNTIF('2027'!$C$1583:$Z$1583,Setup!$B$35)),SUMPRODUCT(COUNTIF('2028'!$C$1583:$Z$1583,Setup!$B$35)),SUMPRODUCT(COUNTIF('2029'!$C$1583:$Z$1583,Setup!$B$35)),SUMPRODUCT(COUNTIF('2030'!$C$1583:$Z$1583,Setup!$B$35))))</f>
        <v/>
      </c>
      <c r="AI68" s="137">
        <f>IF($B68="","",CHOOSE(IFERROR(MATCH($C$4,Setup!$K$33:$K$36,0),1),SUMPRODUCT(COUNTIF('2027'!$C$1633:$Z$1633,Setup!$B$35)),SUMPRODUCT(COUNTIF('2028'!$C$1633:$Z$1633,Setup!$B$35)),SUMPRODUCT(COUNTIF('2029'!$C$1633:$Z$1633,Setup!$B$35)),SUMPRODUCT(COUNTIF('2030'!$C$1633:$Z$1633,Setup!$B$35))))</f>
        <v/>
      </c>
      <c r="AJ68" s="137">
        <f>IF($B68="","",CHOOSE(IFERROR(MATCH($C$4,Setup!$K$33:$K$36,0),1),SUMPRODUCT(COUNTIF('2027'!$C$1683:$Z$1683,Setup!$B$35)),SUMPRODUCT(COUNTIF('2028'!$C$1683:$Z$1683,Setup!$B$35)),SUMPRODUCT(COUNTIF('2029'!$C$1683:$Z$1683,Setup!$B$35)),SUMPRODUCT(COUNTIF('2030'!$C$1683:$Z$1683,Setup!$B$35))))</f>
        <v/>
      </c>
      <c r="AK68" s="137">
        <f>IF($B68="","",CHOOSE(IFERROR(MATCH($C$4,Setup!$K$33:$K$36,0),1),SUMPRODUCT(COUNTIF('2027'!$C$1733:$Z$1733,Setup!$B$35)),SUMPRODUCT(COUNTIF('2028'!$C$1733:$Z$1733,Setup!$B$35)),SUMPRODUCT(COUNTIF('2029'!$C$1733:$Z$1733,Setup!$B$35)),SUMPRODUCT(COUNTIF('2030'!$C$1733:$Z$1733,Setup!$B$35))))</f>
        <v/>
      </c>
      <c r="AL68" s="137">
        <f>IF($B68="","",CHOOSE(IFERROR(MATCH($C$4,Setup!$K$33:$K$36,0),1),SUMPRODUCT(COUNTIF('2027'!$C$1783:$Z$1783,Setup!$B$35)),SUMPRODUCT(COUNTIF('2028'!$C$1783:$Z$1783,Setup!$B$35)),SUMPRODUCT(COUNTIF('2029'!$C$1783:$Z$1783,Setup!$B$35)),SUMPRODUCT(COUNTIF('2030'!$C$1783:$Z$1783,Setup!$B$35))))</f>
        <v/>
      </c>
      <c r="AM68" s="137">
        <f>IF($B68="","",CHOOSE(IFERROR(MATCH($C$4,Setup!$K$33:$K$36,0),1),SUMPRODUCT(COUNTIF('2027'!$C$1833:$Z$1833,Setup!$B$35)),SUMPRODUCT(COUNTIF('2028'!$C$1833:$Z$1833,Setup!$B$35)),SUMPRODUCT(COUNTIF('2029'!$C$1833:$Z$1833,Setup!$B$35)),SUMPRODUCT(COUNTIF('2030'!$C$1833:$Z$1833,Setup!$B$35))))</f>
        <v/>
      </c>
      <c r="AN68" s="137">
        <f>IF($B68="","",CHOOSE(IFERROR(MATCH($C$4,Setup!$K$33:$K$36,0),1),SUMPRODUCT(COUNTIF('2027'!$C$1883:$Z$1883,Setup!$B$35)),SUMPRODUCT(COUNTIF('2028'!$C$1883:$Z$1883,Setup!$B$35)),SUMPRODUCT(COUNTIF('2029'!$C$1883:$Z$1883,Setup!$B$35)),SUMPRODUCT(COUNTIF('2030'!$C$1883:$Z$1883,Setup!$B$35))))</f>
        <v/>
      </c>
      <c r="AO68" s="137">
        <f>IF($B68="","",CHOOSE(IFERROR(MATCH($C$4,Setup!$K$33:$K$36,0),1),SUMPRODUCT(COUNTIF('2027'!$C$1933:$Z$1933,Setup!$B$35)),SUMPRODUCT(COUNTIF('2028'!$C$1933:$Z$1933,Setup!$B$35)),SUMPRODUCT(COUNTIF('2029'!$C$1933:$Z$1933,Setup!$B$35)),SUMPRODUCT(COUNTIF('2030'!$C$1933:$Z$1933,Setup!$B$35))))</f>
        <v/>
      </c>
      <c r="AP68" s="137">
        <f>IF($B68="","",CHOOSE(IFERROR(MATCH($C$4,Setup!$K$33:$K$36,0),1),SUMPRODUCT(COUNTIF('2027'!$C$1983:$Z$1983,Setup!$B$35)),SUMPRODUCT(COUNTIF('2028'!$C$1983:$Z$1983,Setup!$B$35)),SUMPRODUCT(COUNTIF('2029'!$C$1983:$Z$1983,Setup!$B$35)),SUMPRODUCT(COUNTIF('2030'!$C$1983:$Z$1983,Setup!$B$35))))</f>
        <v/>
      </c>
      <c r="AQ68" s="137">
        <f>IF($B68="","",CHOOSE(IFERROR(MATCH($C$4,Setup!$K$33:$K$36,0),1),SUMPRODUCT(COUNTIF('2027'!$C$2033:$Z$2033,Setup!$B$35)),SUMPRODUCT(COUNTIF('2028'!$C$2033:$Z$2033,Setup!$B$35)),SUMPRODUCT(COUNTIF('2029'!$C$2033:$Z$2033,Setup!$B$35)),SUMPRODUCT(COUNTIF('2030'!$C$2033:$Z$2033,Setup!$B$35))))</f>
        <v/>
      </c>
      <c r="AR68" s="137">
        <f>IF($B68="","",CHOOSE(IFERROR(MATCH($C$4,Setup!$K$33:$K$36,0),1),SUMPRODUCT(COUNTIF('2027'!$C$2083:$Z$2083,Setup!$B$35)),SUMPRODUCT(COUNTIF('2028'!$C$2083:$Z$2083,Setup!$B$35)),SUMPRODUCT(COUNTIF('2029'!$C$2083:$Z$2083,Setup!$B$35)),SUMPRODUCT(COUNTIF('2030'!$C$2083:$Z$2083,Setup!$B$35))))</f>
        <v/>
      </c>
      <c r="AS68" s="137">
        <f>IF($B68="","",CHOOSE(IFERROR(MATCH($C$4,Setup!$K$33:$K$36,0),1),SUMPRODUCT(COUNTIF('2027'!$C$2133:$Z$2133,Setup!$B$35)),SUMPRODUCT(COUNTIF('2028'!$C$2133:$Z$2133,Setup!$B$35)),SUMPRODUCT(COUNTIF('2029'!$C$2133:$Z$2133,Setup!$B$35)),SUMPRODUCT(COUNTIF('2030'!$C$2133:$Z$2133,Setup!$B$35))))</f>
        <v/>
      </c>
      <c r="AT68" s="137">
        <f>IF($B68="","",CHOOSE(IFERROR(MATCH($C$4,Setup!$K$33:$K$36,0),1),SUMPRODUCT(COUNTIF('2027'!$C$2183:$Z$2183,Setup!$B$35)),SUMPRODUCT(COUNTIF('2028'!$C$2183:$Z$2183,Setup!$B$35)),SUMPRODUCT(COUNTIF('2029'!$C$2183:$Z$2183,Setup!$B$35)),SUMPRODUCT(COUNTIF('2030'!$C$2183:$Z$2183,Setup!$B$35))))</f>
        <v/>
      </c>
      <c r="AU68" s="137">
        <f>IF($B68="","",CHOOSE(IFERROR(MATCH($C$4,Setup!$K$33:$K$36,0),1),SUMPRODUCT(COUNTIF('2027'!$C$2233:$Z$2233,Setup!$B$35)),SUMPRODUCT(COUNTIF('2028'!$C$2233:$Z$2233,Setup!$B$35)),SUMPRODUCT(COUNTIF('2029'!$C$2233:$Z$2233,Setup!$B$35)),SUMPRODUCT(COUNTIF('2030'!$C$2233:$Z$2233,Setup!$B$35))))</f>
        <v/>
      </c>
      <c r="AV68" s="137">
        <f>IF($B68="","",CHOOSE(IFERROR(MATCH($C$4,Setup!$K$33:$K$36,0),1),SUMPRODUCT(COUNTIF('2027'!$C$2283:$Z$2283,Setup!$B$35)),SUMPRODUCT(COUNTIF('2028'!$C$2283:$Z$2283,Setup!$B$35)),SUMPRODUCT(COUNTIF('2029'!$C$2283:$Z$2283,Setup!$B$35)),SUMPRODUCT(COUNTIF('2030'!$C$2283:$Z$2283,Setup!$B$35))))</f>
        <v/>
      </c>
      <c r="AW68" s="137">
        <f>IF($B68="","",CHOOSE(IFERROR(MATCH($C$4,Setup!$K$33:$K$36,0),1),SUMPRODUCT(COUNTIF('2027'!$C$2333:$Z$2333,Setup!$B$35)),SUMPRODUCT(COUNTIF('2028'!$C$2333:$Z$2333,Setup!$B$35)),SUMPRODUCT(COUNTIF('2029'!$C$2333:$Z$2333,Setup!$B$35)),SUMPRODUCT(COUNTIF('2030'!$C$2333:$Z$2333,Setup!$B$35))))</f>
        <v/>
      </c>
      <c r="AX68" s="137">
        <f>IF($B68="","",CHOOSE(IFERROR(MATCH($C$4,Setup!$K$33:$K$36,0),1),SUMPRODUCT(COUNTIF('2027'!$C$2383:$Z$2383,Setup!$B$35)),SUMPRODUCT(COUNTIF('2028'!$C$2383:$Z$2383,Setup!$B$35)),SUMPRODUCT(COUNTIF('2029'!$C$2383:$Z$2383,Setup!$B$35)),SUMPRODUCT(COUNTIF('2030'!$C$2383:$Z$2383,Setup!$B$35))))</f>
        <v/>
      </c>
      <c r="AY68" s="137">
        <f>IF($B68="","",CHOOSE(IFERROR(MATCH($C$4,Setup!$K$33:$K$36,0),1),SUMPRODUCT(COUNTIF('2027'!$C$2433:$Z$2433,Setup!$B$35)),SUMPRODUCT(COUNTIF('2028'!$C$2433:$Z$2433,Setup!$B$35)),SUMPRODUCT(COUNTIF('2029'!$C$2433:$Z$2433,Setup!$B$35)),SUMPRODUCT(COUNTIF('2030'!$C$2433:$Z$2433,Setup!$B$35))))</f>
        <v/>
      </c>
      <c r="AZ68" s="137">
        <f>IF($B68="","",CHOOSE(IFERROR(MATCH($C$4,Setup!$K$33:$K$36,0),1),SUMPRODUCT(COUNTIF('2027'!$C$2483:$Z$2483,Setup!$B$35)),SUMPRODUCT(COUNTIF('2028'!$C$2483:$Z$2483,Setup!$B$35)),SUMPRODUCT(COUNTIF('2029'!$C$2483:$Z$2483,Setup!$B$35)),SUMPRODUCT(COUNTIF('2030'!$C$2483:$Z$2483,Setup!$B$35))))</f>
        <v/>
      </c>
      <c r="BA68" s="137">
        <f>IF($B68="","",CHOOSE(IFERROR(MATCH($C$4,Setup!$K$33:$K$36,0),1),SUMPRODUCT(COUNTIF('2027'!$C$2533:$Z$2533,Setup!$B$35)),SUMPRODUCT(COUNTIF('2028'!$C$2533:$Z$2533,Setup!$B$35)),SUMPRODUCT(COUNTIF('2029'!$C$2533:$Z$2533,Setup!$B$35)),SUMPRODUCT(COUNTIF('2030'!$C$2533:$Z$2533,Setup!$B$35))))</f>
        <v/>
      </c>
      <c r="BB68" s="137">
        <f>IF($B68="","",CHOOSE(IFERROR(MATCH($C$4,Setup!$K$33:$K$36,0),1),SUMPRODUCT(COUNTIF('2027'!$C$2583:$Z$2583,Setup!$B$35)),SUMPRODUCT(COUNTIF('2028'!$C$2583:$Z$2583,Setup!$B$35)),SUMPRODUCT(COUNTIF('2029'!$C$2583:$Z$2583,Setup!$B$35)),SUMPRODUCT(COUNTIF('2030'!$C$2583:$Z$2583,Setup!$B$35))))</f>
        <v/>
      </c>
      <c r="BC68" s="137">
        <f>IF($B68="","",CHOOSE(IFERROR(MATCH($C$4,Setup!$K$33:$K$36,0),1),SUMPRODUCT(COUNTIF('2027'!$C$2633:$Z$2633,Setup!$B$35)),SUMPRODUCT(COUNTIF('2028'!$C$2633:$Z$2633,Setup!$B$35)),SUMPRODUCT(COUNTIF('2029'!$C$2633:$Z$2633,Setup!$B$35)),SUMPRODUCT(COUNTIF('2030'!$C$2633:$Z$2633,Setup!$B$35))))</f>
        <v/>
      </c>
      <c r="BE68" s="129">
        <f>IF($B68="","",SUM(C68:BC68))</f>
        <v/>
      </c>
      <c r="BF68" s="130">
        <f>IF($B68="","",COUNTIF(C68:BC68,"&gt;0"))</f>
        <v/>
      </c>
      <c r="BG68" s="130">
        <f>IF(OR($B68="",N(BE68)=0),"",MATCH(MAX(C68:BC68),C68:BC68,0))</f>
        <v/>
      </c>
    </row>
    <row r="69" ht="15" customHeight="1">
      <c r="B69" s="136">
        <f>IF(Setup!$B$13="","",Setup!$B$13)</f>
        <v/>
      </c>
      <c r="C69" s="137">
        <f>IF($B69="","",CHOOSE(IFERROR(MATCH($C$4,Setup!$K$33:$K$36,0),1),SUMPRODUCT(COUNTIF('2027'!$C$34:$Z$34,Setup!$B$35)),SUMPRODUCT(COUNTIF('2028'!$C$34:$Z$34,Setup!$B$35)),SUMPRODUCT(COUNTIF('2029'!$C$34:$Z$34,Setup!$B$35)),SUMPRODUCT(COUNTIF('2030'!$C$34:$Z$34,Setup!$B$35))))</f>
        <v/>
      </c>
      <c r="D69" s="137">
        <f>IF($B69="","",CHOOSE(IFERROR(MATCH($C$4,Setup!$K$33:$K$36,0),1),SUMPRODUCT(COUNTIF('2027'!$C$84:$Z$84,Setup!$B$35)),SUMPRODUCT(COUNTIF('2028'!$C$84:$Z$84,Setup!$B$35)),SUMPRODUCT(COUNTIF('2029'!$C$84:$Z$84,Setup!$B$35)),SUMPRODUCT(COUNTIF('2030'!$C$84:$Z$84,Setup!$B$35))))</f>
        <v/>
      </c>
      <c r="E69" s="137">
        <f>IF($B69="","",CHOOSE(IFERROR(MATCH($C$4,Setup!$K$33:$K$36,0),1),SUMPRODUCT(COUNTIF('2027'!$C$134:$Z$134,Setup!$B$35)),SUMPRODUCT(COUNTIF('2028'!$C$134:$Z$134,Setup!$B$35)),SUMPRODUCT(COUNTIF('2029'!$C$134:$Z$134,Setup!$B$35)),SUMPRODUCT(COUNTIF('2030'!$C$134:$Z$134,Setup!$B$35))))</f>
        <v/>
      </c>
      <c r="F69" s="137">
        <f>IF($B69="","",CHOOSE(IFERROR(MATCH($C$4,Setup!$K$33:$K$36,0),1),SUMPRODUCT(COUNTIF('2027'!$C$184:$Z$184,Setup!$B$35)),SUMPRODUCT(COUNTIF('2028'!$C$184:$Z$184,Setup!$B$35)),SUMPRODUCT(COUNTIF('2029'!$C$184:$Z$184,Setup!$B$35)),SUMPRODUCT(COUNTIF('2030'!$C$184:$Z$184,Setup!$B$35))))</f>
        <v/>
      </c>
      <c r="G69" s="137">
        <f>IF($B69="","",CHOOSE(IFERROR(MATCH($C$4,Setup!$K$33:$K$36,0),1),SUMPRODUCT(COUNTIF('2027'!$C$234:$Z$234,Setup!$B$35)),SUMPRODUCT(COUNTIF('2028'!$C$234:$Z$234,Setup!$B$35)),SUMPRODUCT(COUNTIF('2029'!$C$234:$Z$234,Setup!$B$35)),SUMPRODUCT(COUNTIF('2030'!$C$234:$Z$234,Setup!$B$35))))</f>
        <v/>
      </c>
      <c r="H69" s="137">
        <f>IF($B69="","",CHOOSE(IFERROR(MATCH($C$4,Setup!$K$33:$K$36,0),1),SUMPRODUCT(COUNTIF('2027'!$C$284:$Z$284,Setup!$B$35)),SUMPRODUCT(COUNTIF('2028'!$C$284:$Z$284,Setup!$B$35)),SUMPRODUCT(COUNTIF('2029'!$C$284:$Z$284,Setup!$B$35)),SUMPRODUCT(COUNTIF('2030'!$C$284:$Z$284,Setup!$B$35))))</f>
        <v/>
      </c>
      <c r="I69" s="137">
        <f>IF($B69="","",CHOOSE(IFERROR(MATCH($C$4,Setup!$K$33:$K$36,0),1),SUMPRODUCT(COUNTIF('2027'!$C$334:$Z$334,Setup!$B$35)),SUMPRODUCT(COUNTIF('2028'!$C$334:$Z$334,Setup!$B$35)),SUMPRODUCT(COUNTIF('2029'!$C$334:$Z$334,Setup!$B$35)),SUMPRODUCT(COUNTIF('2030'!$C$334:$Z$334,Setup!$B$35))))</f>
        <v/>
      </c>
      <c r="J69" s="137">
        <f>IF($B69="","",CHOOSE(IFERROR(MATCH($C$4,Setup!$K$33:$K$36,0),1),SUMPRODUCT(COUNTIF('2027'!$C$384:$Z$384,Setup!$B$35)),SUMPRODUCT(COUNTIF('2028'!$C$384:$Z$384,Setup!$B$35)),SUMPRODUCT(COUNTIF('2029'!$C$384:$Z$384,Setup!$B$35)),SUMPRODUCT(COUNTIF('2030'!$C$384:$Z$384,Setup!$B$35))))</f>
        <v/>
      </c>
      <c r="K69" s="137">
        <f>IF($B69="","",CHOOSE(IFERROR(MATCH($C$4,Setup!$K$33:$K$36,0),1),SUMPRODUCT(COUNTIF('2027'!$C$434:$Z$434,Setup!$B$35)),SUMPRODUCT(COUNTIF('2028'!$C$434:$Z$434,Setup!$B$35)),SUMPRODUCT(COUNTIF('2029'!$C$434:$Z$434,Setup!$B$35)),SUMPRODUCT(COUNTIF('2030'!$C$434:$Z$434,Setup!$B$35))))</f>
        <v/>
      </c>
      <c r="L69" s="137">
        <f>IF($B69="","",CHOOSE(IFERROR(MATCH($C$4,Setup!$K$33:$K$36,0),1),SUMPRODUCT(COUNTIF('2027'!$C$484:$Z$484,Setup!$B$35)),SUMPRODUCT(COUNTIF('2028'!$C$484:$Z$484,Setup!$B$35)),SUMPRODUCT(COUNTIF('2029'!$C$484:$Z$484,Setup!$B$35)),SUMPRODUCT(COUNTIF('2030'!$C$484:$Z$484,Setup!$B$35))))</f>
        <v/>
      </c>
      <c r="M69" s="137">
        <f>IF($B69="","",CHOOSE(IFERROR(MATCH($C$4,Setup!$K$33:$K$36,0),1),SUMPRODUCT(COUNTIF('2027'!$C$534:$Z$534,Setup!$B$35)),SUMPRODUCT(COUNTIF('2028'!$C$534:$Z$534,Setup!$B$35)),SUMPRODUCT(COUNTIF('2029'!$C$534:$Z$534,Setup!$B$35)),SUMPRODUCT(COUNTIF('2030'!$C$534:$Z$534,Setup!$B$35))))</f>
        <v/>
      </c>
      <c r="N69" s="137">
        <f>IF($B69="","",CHOOSE(IFERROR(MATCH($C$4,Setup!$K$33:$K$36,0),1),SUMPRODUCT(COUNTIF('2027'!$C$584:$Z$584,Setup!$B$35)),SUMPRODUCT(COUNTIF('2028'!$C$584:$Z$584,Setup!$B$35)),SUMPRODUCT(COUNTIF('2029'!$C$584:$Z$584,Setup!$B$35)),SUMPRODUCT(COUNTIF('2030'!$C$584:$Z$584,Setup!$B$35))))</f>
        <v/>
      </c>
      <c r="O69" s="137">
        <f>IF($B69="","",CHOOSE(IFERROR(MATCH($C$4,Setup!$K$33:$K$36,0),1),SUMPRODUCT(COUNTIF('2027'!$C$634:$Z$634,Setup!$B$35)),SUMPRODUCT(COUNTIF('2028'!$C$634:$Z$634,Setup!$B$35)),SUMPRODUCT(COUNTIF('2029'!$C$634:$Z$634,Setup!$B$35)),SUMPRODUCT(COUNTIF('2030'!$C$634:$Z$634,Setup!$B$35))))</f>
        <v/>
      </c>
      <c r="P69" s="137">
        <f>IF($B69="","",CHOOSE(IFERROR(MATCH($C$4,Setup!$K$33:$K$36,0),1),SUMPRODUCT(COUNTIF('2027'!$C$684:$Z$684,Setup!$B$35)),SUMPRODUCT(COUNTIF('2028'!$C$684:$Z$684,Setup!$B$35)),SUMPRODUCT(COUNTIF('2029'!$C$684:$Z$684,Setup!$B$35)),SUMPRODUCT(COUNTIF('2030'!$C$684:$Z$684,Setup!$B$35))))</f>
        <v/>
      </c>
      <c r="Q69" s="137">
        <f>IF($B69="","",CHOOSE(IFERROR(MATCH($C$4,Setup!$K$33:$K$36,0),1),SUMPRODUCT(COUNTIF('2027'!$C$734:$Z$734,Setup!$B$35)),SUMPRODUCT(COUNTIF('2028'!$C$734:$Z$734,Setup!$B$35)),SUMPRODUCT(COUNTIF('2029'!$C$734:$Z$734,Setup!$B$35)),SUMPRODUCT(COUNTIF('2030'!$C$734:$Z$734,Setup!$B$35))))</f>
        <v/>
      </c>
      <c r="R69" s="137">
        <f>IF($B69="","",CHOOSE(IFERROR(MATCH($C$4,Setup!$K$33:$K$36,0),1),SUMPRODUCT(COUNTIF('2027'!$C$784:$Z$784,Setup!$B$35)),SUMPRODUCT(COUNTIF('2028'!$C$784:$Z$784,Setup!$B$35)),SUMPRODUCT(COUNTIF('2029'!$C$784:$Z$784,Setup!$B$35)),SUMPRODUCT(COUNTIF('2030'!$C$784:$Z$784,Setup!$B$35))))</f>
        <v/>
      </c>
      <c r="S69" s="137">
        <f>IF($B69="","",CHOOSE(IFERROR(MATCH($C$4,Setup!$K$33:$K$36,0),1),SUMPRODUCT(COUNTIF('2027'!$C$834:$Z$834,Setup!$B$35)),SUMPRODUCT(COUNTIF('2028'!$C$834:$Z$834,Setup!$B$35)),SUMPRODUCT(COUNTIF('2029'!$C$834:$Z$834,Setup!$B$35)),SUMPRODUCT(COUNTIF('2030'!$C$834:$Z$834,Setup!$B$35))))</f>
        <v/>
      </c>
      <c r="T69" s="137">
        <f>IF($B69="","",CHOOSE(IFERROR(MATCH($C$4,Setup!$K$33:$K$36,0),1),SUMPRODUCT(COUNTIF('2027'!$C$884:$Z$884,Setup!$B$35)),SUMPRODUCT(COUNTIF('2028'!$C$884:$Z$884,Setup!$B$35)),SUMPRODUCT(COUNTIF('2029'!$C$884:$Z$884,Setup!$B$35)),SUMPRODUCT(COUNTIF('2030'!$C$884:$Z$884,Setup!$B$35))))</f>
        <v/>
      </c>
      <c r="U69" s="137">
        <f>IF($B69="","",CHOOSE(IFERROR(MATCH($C$4,Setup!$K$33:$K$36,0),1),SUMPRODUCT(COUNTIF('2027'!$C$934:$Z$934,Setup!$B$35)),SUMPRODUCT(COUNTIF('2028'!$C$934:$Z$934,Setup!$B$35)),SUMPRODUCT(COUNTIF('2029'!$C$934:$Z$934,Setup!$B$35)),SUMPRODUCT(COUNTIF('2030'!$C$934:$Z$934,Setup!$B$35))))</f>
        <v/>
      </c>
      <c r="V69" s="137">
        <f>IF($B69="","",CHOOSE(IFERROR(MATCH($C$4,Setup!$K$33:$K$36,0),1),SUMPRODUCT(COUNTIF('2027'!$C$984:$Z$984,Setup!$B$35)),SUMPRODUCT(COUNTIF('2028'!$C$984:$Z$984,Setup!$B$35)),SUMPRODUCT(COUNTIF('2029'!$C$984:$Z$984,Setup!$B$35)),SUMPRODUCT(COUNTIF('2030'!$C$984:$Z$984,Setup!$B$35))))</f>
        <v/>
      </c>
      <c r="W69" s="137">
        <f>IF($B69="","",CHOOSE(IFERROR(MATCH($C$4,Setup!$K$33:$K$36,0),1),SUMPRODUCT(COUNTIF('2027'!$C$1034:$Z$1034,Setup!$B$35)),SUMPRODUCT(COUNTIF('2028'!$C$1034:$Z$1034,Setup!$B$35)),SUMPRODUCT(COUNTIF('2029'!$C$1034:$Z$1034,Setup!$B$35)),SUMPRODUCT(COUNTIF('2030'!$C$1034:$Z$1034,Setup!$B$35))))</f>
        <v/>
      </c>
      <c r="X69" s="137">
        <f>IF($B69="","",CHOOSE(IFERROR(MATCH($C$4,Setup!$K$33:$K$36,0),1),SUMPRODUCT(COUNTIF('2027'!$C$1084:$Z$1084,Setup!$B$35)),SUMPRODUCT(COUNTIF('2028'!$C$1084:$Z$1084,Setup!$B$35)),SUMPRODUCT(COUNTIF('2029'!$C$1084:$Z$1084,Setup!$B$35)),SUMPRODUCT(COUNTIF('2030'!$C$1084:$Z$1084,Setup!$B$35))))</f>
        <v/>
      </c>
      <c r="Y69" s="137">
        <f>IF($B69="","",CHOOSE(IFERROR(MATCH($C$4,Setup!$K$33:$K$36,0),1),SUMPRODUCT(COUNTIF('2027'!$C$1134:$Z$1134,Setup!$B$35)),SUMPRODUCT(COUNTIF('2028'!$C$1134:$Z$1134,Setup!$B$35)),SUMPRODUCT(COUNTIF('2029'!$C$1134:$Z$1134,Setup!$B$35)),SUMPRODUCT(COUNTIF('2030'!$C$1134:$Z$1134,Setup!$B$35))))</f>
        <v/>
      </c>
      <c r="Z69" s="137">
        <f>IF($B69="","",CHOOSE(IFERROR(MATCH($C$4,Setup!$K$33:$K$36,0),1),SUMPRODUCT(COUNTIF('2027'!$C$1184:$Z$1184,Setup!$B$35)),SUMPRODUCT(COUNTIF('2028'!$C$1184:$Z$1184,Setup!$B$35)),SUMPRODUCT(COUNTIF('2029'!$C$1184:$Z$1184,Setup!$B$35)),SUMPRODUCT(COUNTIF('2030'!$C$1184:$Z$1184,Setup!$B$35))))</f>
        <v/>
      </c>
      <c r="AA69" s="137">
        <f>IF($B69="","",CHOOSE(IFERROR(MATCH($C$4,Setup!$K$33:$K$36,0),1),SUMPRODUCT(COUNTIF('2027'!$C$1234:$Z$1234,Setup!$B$35)),SUMPRODUCT(COUNTIF('2028'!$C$1234:$Z$1234,Setup!$B$35)),SUMPRODUCT(COUNTIF('2029'!$C$1234:$Z$1234,Setup!$B$35)),SUMPRODUCT(COUNTIF('2030'!$C$1234:$Z$1234,Setup!$B$35))))</f>
        <v/>
      </c>
      <c r="AB69" s="137">
        <f>IF($B69="","",CHOOSE(IFERROR(MATCH($C$4,Setup!$K$33:$K$36,0),1),SUMPRODUCT(COUNTIF('2027'!$C$1284:$Z$1284,Setup!$B$35)),SUMPRODUCT(COUNTIF('2028'!$C$1284:$Z$1284,Setup!$B$35)),SUMPRODUCT(COUNTIF('2029'!$C$1284:$Z$1284,Setup!$B$35)),SUMPRODUCT(COUNTIF('2030'!$C$1284:$Z$1284,Setup!$B$35))))</f>
        <v/>
      </c>
      <c r="AC69" s="137">
        <f>IF($B69="","",CHOOSE(IFERROR(MATCH($C$4,Setup!$K$33:$K$36,0),1),SUMPRODUCT(COUNTIF('2027'!$C$1334:$Z$1334,Setup!$B$35)),SUMPRODUCT(COUNTIF('2028'!$C$1334:$Z$1334,Setup!$B$35)),SUMPRODUCT(COUNTIF('2029'!$C$1334:$Z$1334,Setup!$B$35)),SUMPRODUCT(COUNTIF('2030'!$C$1334:$Z$1334,Setup!$B$35))))</f>
        <v/>
      </c>
      <c r="AD69" s="137">
        <f>IF($B69="","",CHOOSE(IFERROR(MATCH($C$4,Setup!$K$33:$K$36,0),1),SUMPRODUCT(COUNTIF('2027'!$C$1384:$Z$1384,Setup!$B$35)),SUMPRODUCT(COUNTIF('2028'!$C$1384:$Z$1384,Setup!$B$35)),SUMPRODUCT(COUNTIF('2029'!$C$1384:$Z$1384,Setup!$B$35)),SUMPRODUCT(COUNTIF('2030'!$C$1384:$Z$1384,Setup!$B$35))))</f>
        <v/>
      </c>
      <c r="AE69" s="137">
        <f>IF($B69="","",CHOOSE(IFERROR(MATCH($C$4,Setup!$K$33:$K$36,0),1),SUMPRODUCT(COUNTIF('2027'!$C$1434:$Z$1434,Setup!$B$35)),SUMPRODUCT(COUNTIF('2028'!$C$1434:$Z$1434,Setup!$B$35)),SUMPRODUCT(COUNTIF('2029'!$C$1434:$Z$1434,Setup!$B$35)),SUMPRODUCT(COUNTIF('2030'!$C$1434:$Z$1434,Setup!$B$35))))</f>
        <v/>
      </c>
      <c r="AF69" s="137">
        <f>IF($B69="","",CHOOSE(IFERROR(MATCH($C$4,Setup!$K$33:$K$36,0),1),SUMPRODUCT(COUNTIF('2027'!$C$1484:$Z$1484,Setup!$B$35)),SUMPRODUCT(COUNTIF('2028'!$C$1484:$Z$1484,Setup!$B$35)),SUMPRODUCT(COUNTIF('2029'!$C$1484:$Z$1484,Setup!$B$35)),SUMPRODUCT(COUNTIF('2030'!$C$1484:$Z$1484,Setup!$B$35))))</f>
        <v/>
      </c>
      <c r="AG69" s="137">
        <f>IF($B69="","",CHOOSE(IFERROR(MATCH($C$4,Setup!$K$33:$K$36,0),1),SUMPRODUCT(COUNTIF('2027'!$C$1534:$Z$1534,Setup!$B$35)),SUMPRODUCT(COUNTIF('2028'!$C$1534:$Z$1534,Setup!$B$35)),SUMPRODUCT(COUNTIF('2029'!$C$1534:$Z$1534,Setup!$B$35)),SUMPRODUCT(COUNTIF('2030'!$C$1534:$Z$1534,Setup!$B$35))))</f>
        <v/>
      </c>
      <c r="AH69" s="137">
        <f>IF($B69="","",CHOOSE(IFERROR(MATCH($C$4,Setup!$K$33:$K$36,0),1),SUMPRODUCT(COUNTIF('2027'!$C$1584:$Z$1584,Setup!$B$35)),SUMPRODUCT(COUNTIF('2028'!$C$1584:$Z$1584,Setup!$B$35)),SUMPRODUCT(COUNTIF('2029'!$C$1584:$Z$1584,Setup!$B$35)),SUMPRODUCT(COUNTIF('2030'!$C$1584:$Z$1584,Setup!$B$35))))</f>
        <v/>
      </c>
      <c r="AI69" s="137">
        <f>IF($B69="","",CHOOSE(IFERROR(MATCH($C$4,Setup!$K$33:$K$36,0),1),SUMPRODUCT(COUNTIF('2027'!$C$1634:$Z$1634,Setup!$B$35)),SUMPRODUCT(COUNTIF('2028'!$C$1634:$Z$1634,Setup!$B$35)),SUMPRODUCT(COUNTIF('2029'!$C$1634:$Z$1634,Setup!$B$35)),SUMPRODUCT(COUNTIF('2030'!$C$1634:$Z$1634,Setup!$B$35))))</f>
        <v/>
      </c>
      <c r="AJ69" s="137">
        <f>IF($B69="","",CHOOSE(IFERROR(MATCH($C$4,Setup!$K$33:$K$36,0),1),SUMPRODUCT(COUNTIF('2027'!$C$1684:$Z$1684,Setup!$B$35)),SUMPRODUCT(COUNTIF('2028'!$C$1684:$Z$1684,Setup!$B$35)),SUMPRODUCT(COUNTIF('2029'!$C$1684:$Z$1684,Setup!$B$35)),SUMPRODUCT(COUNTIF('2030'!$C$1684:$Z$1684,Setup!$B$35))))</f>
        <v/>
      </c>
      <c r="AK69" s="137">
        <f>IF($B69="","",CHOOSE(IFERROR(MATCH($C$4,Setup!$K$33:$K$36,0),1),SUMPRODUCT(COUNTIF('2027'!$C$1734:$Z$1734,Setup!$B$35)),SUMPRODUCT(COUNTIF('2028'!$C$1734:$Z$1734,Setup!$B$35)),SUMPRODUCT(COUNTIF('2029'!$C$1734:$Z$1734,Setup!$B$35)),SUMPRODUCT(COUNTIF('2030'!$C$1734:$Z$1734,Setup!$B$35))))</f>
        <v/>
      </c>
      <c r="AL69" s="137">
        <f>IF($B69="","",CHOOSE(IFERROR(MATCH($C$4,Setup!$K$33:$K$36,0),1),SUMPRODUCT(COUNTIF('2027'!$C$1784:$Z$1784,Setup!$B$35)),SUMPRODUCT(COUNTIF('2028'!$C$1784:$Z$1784,Setup!$B$35)),SUMPRODUCT(COUNTIF('2029'!$C$1784:$Z$1784,Setup!$B$35)),SUMPRODUCT(COUNTIF('2030'!$C$1784:$Z$1784,Setup!$B$35))))</f>
        <v/>
      </c>
      <c r="AM69" s="137">
        <f>IF($B69="","",CHOOSE(IFERROR(MATCH($C$4,Setup!$K$33:$K$36,0),1),SUMPRODUCT(COUNTIF('2027'!$C$1834:$Z$1834,Setup!$B$35)),SUMPRODUCT(COUNTIF('2028'!$C$1834:$Z$1834,Setup!$B$35)),SUMPRODUCT(COUNTIF('2029'!$C$1834:$Z$1834,Setup!$B$35)),SUMPRODUCT(COUNTIF('2030'!$C$1834:$Z$1834,Setup!$B$35))))</f>
        <v/>
      </c>
      <c r="AN69" s="137">
        <f>IF($B69="","",CHOOSE(IFERROR(MATCH($C$4,Setup!$K$33:$K$36,0),1),SUMPRODUCT(COUNTIF('2027'!$C$1884:$Z$1884,Setup!$B$35)),SUMPRODUCT(COUNTIF('2028'!$C$1884:$Z$1884,Setup!$B$35)),SUMPRODUCT(COUNTIF('2029'!$C$1884:$Z$1884,Setup!$B$35)),SUMPRODUCT(COUNTIF('2030'!$C$1884:$Z$1884,Setup!$B$35))))</f>
        <v/>
      </c>
      <c r="AO69" s="137">
        <f>IF($B69="","",CHOOSE(IFERROR(MATCH($C$4,Setup!$K$33:$K$36,0),1),SUMPRODUCT(COUNTIF('2027'!$C$1934:$Z$1934,Setup!$B$35)),SUMPRODUCT(COUNTIF('2028'!$C$1934:$Z$1934,Setup!$B$35)),SUMPRODUCT(COUNTIF('2029'!$C$1934:$Z$1934,Setup!$B$35)),SUMPRODUCT(COUNTIF('2030'!$C$1934:$Z$1934,Setup!$B$35))))</f>
        <v/>
      </c>
      <c r="AP69" s="137">
        <f>IF($B69="","",CHOOSE(IFERROR(MATCH($C$4,Setup!$K$33:$K$36,0),1),SUMPRODUCT(COUNTIF('2027'!$C$1984:$Z$1984,Setup!$B$35)),SUMPRODUCT(COUNTIF('2028'!$C$1984:$Z$1984,Setup!$B$35)),SUMPRODUCT(COUNTIF('2029'!$C$1984:$Z$1984,Setup!$B$35)),SUMPRODUCT(COUNTIF('2030'!$C$1984:$Z$1984,Setup!$B$35))))</f>
        <v/>
      </c>
      <c r="AQ69" s="137">
        <f>IF($B69="","",CHOOSE(IFERROR(MATCH($C$4,Setup!$K$33:$K$36,0),1),SUMPRODUCT(COUNTIF('2027'!$C$2034:$Z$2034,Setup!$B$35)),SUMPRODUCT(COUNTIF('2028'!$C$2034:$Z$2034,Setup!$B$35)),SUMPRODUCT(COUNTIF('2029'!$C$2034:$Z$2034,Setup!$B$35)),SUMPRODUCT(COUNTIF('2030'!$C$2034:$Z$2034,Setup!$B$35))))</f>
        <v/>
      </c>
      <c r="AR69" s="137">
        <f>IF($B69="","",CHOOSE(IFERROR(MATCH($C$4,Setup!$K$33:$K$36,0),1),SUMPRODUCT(COUNTIF('2027'!$C$2084:$Z$2084,Setup!$B$35)),SUMPRODUCT(COUNTIF('2028'!$C$2084:$Z$2084,Setup!$B$35)),SUMPRODUCT(COUNTIF('2029'!$C$2084:$Z$2084,Setup!$B$35)),SUMPRODUCT(COUNTIF('2030'!$C$2084:$Z$2084,Setup!$B$35))))</f>
        <v/>
      </c>
      <c r="AS69" s="137">
        <f>IF($B69="","",CHOOSE(IFERROR(MATCH($C$4,Setup!$K$33:$K$36,0),1),SUMPRODUCT(COUNTIF('2027'!$C$2134:$Z$2134,Setup!$B$35)),SUMPRODUCT(COUNTIF('2028'!$C$2134:$Z$2134,Setup!$B$35)),SUMPRODUCT(COUNTIF('2029'!$C$2134:$Z$2134,Setup!$B$35)),SUMPRODUCT(COUNTIF('2030'!$C$2134:$Z$2134,Setup!$B$35))))</f>
        <v/>
      </c>
      <c r="AT69" s="137">
        <f>IF($B69="","",CHOOSE(IFERROR(MATCH($C$4,Setup!$K$33:$K$36,0),1),SUMPRODUCT(COUNTIF('2027'!$C$2184:$Z$2184,Setup!$B$35)),SUMPRODUCT(COUNTIF('2028'!$C$2184:$Z$2184,Setup!$B$35)),SUMPRODUCT(COUNTIF('2029'!$C$2184:$Z$2184,Setup!$B$35)),SUMPRODUCT(COUNTIF('2030'!$C$2184:$Z$2184,Setup!$B$35))))</f>
        <v/>
      </c>
      <c r="AU69" s="137">
        <f>IF($B69="","",CHOOSE(IFERROR(MATCH($C$4,Setup!$K$33:$K$36,0),1),SUMPRODUCT(COUNTIF('2027'!$C$2234:$Z$2234,Setup!$B$35)),SUMPRODUCT(COUNTIF('2028'!$C$2234:$Z$2234,Setup!$B$35)),SUMPRODUCT(COUNTIF('2029'!$C$2234:$Z$2234,Setup!$B$35)),SUMPRODUCT(COUNTIF('2030'!$C$2234:$Z$2234,Setup!$B$35))))</f>
        <v/>
      </c>
      <c r="AV69" s="137">
        <f>IF($B69="","",CHOOSE(IFERROR(MATCH($C$4,Setup!$K$33:$K$36,0),1),SUMPRODUCT(COUNTIF('2027'!$C$2284:$Z$2284,Setup!$B$35)),SUMPRODUCT(COUNTIF('2028'!$C$2284:$Z$2284,Setup!$B$35)),SUMPRODUCT(COUNTIF('2029'!$C$2284:$Z$2284,Setup!$B$35)),SUMPRODUCT(COUNTIF('2030'!$C$2284:$Z$2284,Setup!$B$35))))</f>
        <v/>
      </c>
      <c r="AW69" s="137">
        <f>IF($B69="","",CHOOSE(IFERROR(MATCH($C$4,Setup!$K$33:$K$36,0),1),SUMPRODUCT(COUNTIF('2027'!$C$2334:$Z$2334,Setup!$B$35)),SUMPRODUCT(COUNTIF('2028'!$C$2334:$Z$2334,Setup!$B$35)),SUMPRODUCT(COUNTIF('2029'!$C$2334:$Z$2334,Setup!$B$35)),SUMPRODUCT(COUNTIF('2030'!$C$2334:$Z$2334,Setup!$B$35))))</f>
        <v/>
      </c>
      <c r="AX69" s="137">
        <f>IF($B69="","",CHOOSE(IFERROR(MATCH($C$4,Setup!$K$33:$K$36,0),1),SUMPRODUCT(COUNTIF('2027'!$C$2384:$Z$2384,Setup!$B$35)),SUMPRODUCT(COUNTIF('2028'!$C$2384:$Z$2384,Setup!$B$35)),SUMPRODUCT(COUNTIF('2029'!$C$2384:$Z$2384,Setup!$B$35)),SUMPRODUCT(COUNTIF('2030'!$C$2384:$Z$2384,Setup!$B$35))))</f>
        <v/>
      </c>
      <c r="AY69" s="137">
        <f>IF($B69="","",CHOOSE(IFERROR(MATCH($C$4,Setup!$K$33:$K$36,0),1),SUMPRODUCT(COUNTIF('2027'!$C$2434:$Z$2434,Setup!$B$35)),SUMPRODUCT(COUNTIF('2028'!$C$2434:$Z$2434,Setup!$B$35)),SUMPRODUCT(COUNTIF('2029'!$C$2434:$Z$2434,Setup!$B$35)),SUMPRODUCT(COUNTIF('2030'!$C$2434:$Z$2434,Setup!$B$35))))</f>
        <v/>
      </c>
      <c r="AZ69" s="137">
        <f>IF($B69="","",CHOOSE(IFERROR(MATCH($C$4,Setup!$K$33:$K$36,0),1),SUMPRODUCT(COUNTIF('2027'!$C$2484:$Z$2484,Setup!$B$35)),SUMPRODUCT(COUNTIF('2028'!$C$2484:$Z$2484,Setup!$B$35)),SUMPRODUCT(COUNTIF('2029'!$C$2484:$Z$2484,Setup!$B$35)),SUMPRODUCT(COUNTIF('2030'!$C$2484:$Z$2484,Setup!$B$35))))</f>
        <v/>
      </c>
      <c r="BA69" s="137">
        <f>IF($B69="","",CHOOSE(IFERROR(MATCH($C$4,Setup!$K$33:$K$36,0),1),SUMPRODUCT(COUNTIF('2027'!$C$2534:$Z$2534,Setup!$B$35)),SUMPRODUCT(COUNTIF('2028'!$C$2534:$Z$2534,Setup!$B$35)),SUMPRODUCT(COUNTIF('2029'!$C$2534:$Z$2534,Setup!$B$35)),SUMPRODUCT(COUNTIF('2030'!$C$2534:$Z$2534,Setup!$B$35))))</f>
        <v/>
      </c>
      <c r="BB69" s="137">
        <f>IF($B69="","",CHOOSE(IFERROR(MATCH($C$4,Setup!$K$33:$K$36,0),1),SUMPRODUCT(COUNTIF('2027'!$C$2584:$Z$2584,Setup!$B$35)),SUMPRODUCT(COUNTIF('2028'!$C$2584:$Z$2584,Setup!$B$35)),SUMPRODUCT(COUNTIF('2029'!$C$2584:$Z$2584,Setup!$B$35)),SUMPRODUCT(COUNTIF('2030'!$C$2584:$Z$2584,Setup!$B$35))))</f>
        <v/>
      </c>
      <c r="BC69" s="137">
        <f>IF($B69="","",CHOOSE(IFERROR(MATCH($C$4,Setup!$K$33:$K$36,0),1),SUMPRODUCT(COUNTIF('2027'!$C$2634:$Z$2634,Setup!$B$35)),SUMPRODUCT(COUNTIF('2028'!$C$2634:$Z$2634,Setup!$B$35)),SUMPRODUCT(COUNTIF('2029'!$C$2634:$Z$2634,Setup!$B$35)),SUMPRODUCT(COUNTIF('2030'!$C$2634:$Z$2634,Setup!$B$35))))</f>
        <v/>
      </c>
      <c r="BE69" s="129">
        <f>IF($B69="","",SUM(C69:BC69))</f>
        <v/>
      </c>
      <c r="BF69" s="130">
        <f>IF($B69="","",COUNTIF(C69:BC69,"&gt;0"))</f>
        <v/>
      </c>
      <c r="BG69" s="130">
        <f>IF(OR($B69="",N(BE69)=0),"",MATCH(MAX(C69:BC69),C69:BC69,0))</f>
        <v/>
      </c>
    </row>
    <row r="70" ht="15" customHeight="1">
      <c r="B70" s="136">
        <f>IF(Setup!$B$14="","",Setup!$B$14)</f>
        <v/>
      </c>
      <c r="C70" s="137">
        <f>IF($B70="","",CHOOSE(IFERROR(MATCH($C$4,Setup!$K$33:$K$36,0),1),SUMPRODUCT(COUNTIF('2027'!$C$35:$Z$35,Setup!$B$35)),SUMPRODUCT(COUNTIF('2028'!$C$35:$Z$35,Setup!$B$35)),SUMPRODUCT(COUNTIF('2029'!$C$35:$Z$35,Setup!$B$35)),SUMPRODUCT(COUNTIF('2030'!$C$35:$Z$35,Setup!$B$35))))</f>
        <v/>
      </c>
      <c r="D70" s="137">
        <f>IF($B70="","",CHOOSE(IFERROR(MATCH($C$4,Setup!$K$33:$K$36,0),1),SUMPRODUCT(COUNTIF('2027'!$C$85:$Z$85,Setup!$B$35)),SUMPRODUCT(COUNTIF('2028'!$C$85:$Z$85,Setup!$B$35)),SUMPRODUCT(COUNTIF('2029'!$C$85:$Z$85,Setup!$B$35)),SUMPRODUCT(COUNTIF('2030'!$C$85:$Z$85,Setup!$B$35))))</f>
        <v/>
      </c>
      <c r="E70" s="137">
        <f>IF($B70="","",CHOOSE(IFERROR(MATCH($C$4,Setup!$K$33:$K$36,0),1),SUMPRODUCT(COUNTIF('2027'!$C$135:$Z$135,Setup!$B$35)),SUMPRODUCT(COUNTIF('2028'!$C$135:$Z$135,Setup!$B$35)),SUMPRODUCT(COUNTIF('2029'!$C$135:$Z$135,Setup!$B$35)),SUMPRODUCT(COUNTIF('2030'!$C$135:$Z$135,Setup!$B$35))))</f>
        <v/>
      </c>
      <c r="F70" s="137">
        <f>IF($B70="","",CHOOSE(IFERROR(MATCH($C$4,Setup!$K$33:$K$36,0),1),SUMPRODUCT(COUNTIF('2027'!$C$185:$Z$185,Setup!$B$35)),SUMPRODUCT(COUNTIF('2028'!$C$185:$Z$185,Setup!$B$35)),SUMPRODUCT(COUNTIF('2029'!$C$185:$Z$185,Setup!$B$35)),SUMPRODUCT(COUNTIF('2030'!$C$185:$Z$185,Setup!$B$35))))</f>
        <v/>
      </c>
      <c r="G70" s="137">
        <f>IF($B70="","",CHOOSE(IFERROR(MATCH($C$4,Setup!$K$33:$K$36,0),1),SUMPRODUCT(COUNTIF('2027'!$C$235:$Z$235,Setup!$B$35)),SUMPRODUCT(COUNTIF('2028'!$C$235:$Z$235,Setup!$B$35)),SUMPRODUCT(COUNTIF('2029'!$C$235:$Z$235,Setup!$B$35)),SUMPRODUCT(COUNTIF('2030'!$C$235:$Z$235,Setup!$B$35))))</f>
        <v/>
      </c>
      <c r="H70" s="137">
        <f>IF($B70="","",CHOOSE(IFERROR(MATCH($C$4,Setup!$K$33:$K$36,0),1),SUMPRODUCT(COUNTIF('2027'!$C$285:$Z$285,Setup!$B$35)),SUMPRODUCT(COUNTIF('2028'!$C$285:$Z$285,Setup!$B$35)),SUMPRODUCT(COUNTIF('2029'!$C$285:$Z$285,Setup!$B$35)),SUMPRODUCT(COUNTIF('2030'!$C$285:$Z$285,Setup!$B$35))))</f>
        <v/>
      </c>
      <c r="I70" s="137">
        <f>IF($B70="","",CHOOSE(IFERROR(MATCH($C$4,Setup!$K$33:$K$36,0),1),SUMPRODUCT(COUNTIF('2027'!$C$335:$Z$335,Setup!$B$35)),SUMPRODUCT(COUNTIF('2028'!$C$335:$Z$335,Setup!$B$35)),SUMPRODUCT(COUNTIF('2029'!$C$335:$Z$335,Setup!$B$35)),SUMPRODUCT(COUNTIF('2030'!$C$335:$Z$335,Setup!$B$35))))</f>
        <v/>
      </c>
      <c r="J70" s="137">
        <f>IF($B70="","",CHOOSE(IFERROR(MATCH($C$4,Setup!$K$33:$K$36,0),1),SUMPRODUCT(COUNTIF('2027'!$C$385:$Z$385,Setup!$B$35)),SUMPRODUCT(COUNTIF('2028'!$C$385:$Z$385,Setup!$B$35)),SUMPRODUCT(COUNTIF('2029'!$C$385:$Z$385,Setup!$B$35)),SUMPRODUCT(COUNTIF('2030'!$C$385:$Z$385,Setup!$B$35))))</f>
        <v/>
      </c>
      <c r="K70" s="137">
        <f>IF($B70="","",CHOOSE(IFERROR(MATCH($C$4,Setup!$K$33:$K$36,0),1),SUMPRODUCT(COUNTIF('2027'!$C$435:$Z$435,Setup!$B$35)),SUMPRODUCT(COUNTIF('2028'!$C$435:$Z$435,Setup!$B$35)),SUMPRODUCT(COUNTIF('2029'!$C$435:$Z$435,Setup!$B$35)),SUMPRODUCT(COUNTIF('2030'!$C$435:$Z$435,Setup!$B$35))))</f>
        <v/>
      </c>
      <c r="L70" s="137">
        <f>IF($B70="","",CHOOSE(IFERROR(MATCH($C$4,Setup!$K$33:$K$36,0),1),SUMPRODUCT(COUNTIF('2027'!$C$485:$Z$485,Setup!$B$35)),SUMPRODUCT(COUNTIF('2028'!$C$485:$Z$485,Setup!$B$35)),SUMPRODUCT(COUNTIF('2029'!$C$485:$Z$485,Setup!$B$35)),SUMPRODUCT(COUNTIF('2030'!$C$485:$Z$485,Setup!$B$35))))</f>
        <v/>
      </c>
      <c r="M70" s="137">
        <f>IF($B70="","",CHOOSE(IFERROR(MATCH($C$4,Setup!$K$33:$K$36,0),1),SUMPRODUCT(COUNTIF('2027'!$C$535:$Z$535,Setup!$B$35)),SUMPRODUCT(COUNTIF('2028'!$C$535:$Z$535,Setup!$B$35)),SUMPRODUCT(COUNTIF('2029'!$C$535:$Z$535,Setup!$B$35)),SUMPRODUCT(COUNTIF('2030'!$C$535:$Z$535,Setup!$B$35))))</f>
        <v/>
      </c>
      <c r="N70" s="137">
        <f>IF($B70="","",CHOOSE(IFERROR(MATCH($C$4,Setup!$K$33:$K$36,0),1),SUMPRODUCT(COUNTIF('2027'!$C$585:$Z$585,Setup!$B$35)),SUMPRODUCT(COUNTIF('2028'!$C$585:$Z$585,Setup!$B$35)),SUMPRODUCT(COUNTIF('2029'!$C$585:$Z$585,Setup!$B$35)),SUMPRODUCT(COUNTIF('2030'!$C$585:$Z$585,Setup!$B$35))))</f>
        <v/>
      </c>
      <c r="O70" s="137">
        <f>IF($B70="","",CHOOSE(IFERROR(MATCH($C$4,Setup!$K$33:$K$36,0),1),SUMPRODUCT(COUNTIF('2027'!$C$635:$Z$635,Setup!$B$35)),SUMPRODUCT(COUNTIF('2028'!$C$635:$Z$635,Setup!$B$35)),SUMPRODUCT(COUNTIF('2029'!$C$635:$Z$635,Setup!$B$35)),SUMPRODUCT(COUNTIF('2030'!$C$635:$Z$635,Setup!$B$35))))</f>
        <v/>
      </c>
      <c r="P70" s="137">
        <f>IF($B70="","",CHOOSE(IFERROR(MATCH($C$4,Setup!$K$33:$K$36,0),1),SUMPRODUCT(COUNTIF('2027'!$C$685:$Z$685,Setup!$B$35)),SUMPRODUCT(COUNTIF('2028'!$C$685:$Z$685,Setup!$B$35)),SUMPRODUCT(COUNTIF('2029'!$C$685:$Z$685,Setup!$B$35)),SUMPRODUCT(COUNTIF('2030'!$C$685:$Z$685,Setup!$B$35))))</f>
        <v/>
      </c>
      <c r="Q70" s="137">
        <f>IF($B70="","",CHOOSE(IFERROR(MATCH($C$4,Setup!$K$33:$K$36,0),1),SUMPRODUCT(COUNTIF('2027'!$C$735:$Z$735,Setup!$B$35)),SUMPRODUCT(COUNTIF('2028'!$C$735:$Z$735,Setup!$B$35)),SUMPRODUCT(COUNTIF('2029'!$C$735:$Z$735,Setup!$B$35)),SUMPRODUCT(COUNTIF('2030'!$C$735:$Z$735,Setup!$B$35))))</f>
        <v/>
      </c>
      <c r="R70" s="137">
        <f>IF($B70="","",CHOOSE(IFERROR(MATCH($C$4,Setup!$K$33:$K$36,0),1),SUMPRODUCT(COUNTIF('2027'!$C$785:$Z$785,Setup!$B$35)),SUMPRODUCT(COUNTIF('2028'!$C$785:$Z$785,Setup!$B$35)),SUMPRODUCT(COUNTIF('2029'!$C$785:$Z$785,Setup!$B$35)),SUMPRODUCT(COUNTIF('2030'!$C$785:$Z$785,Setup!$B$35))))</f>
        <v/>
      </c>
      <c r="S70" s="137">
        <f>IF($B70="","",CHOOSE(IFERROR(MATCH($C$4,Setup!$K$33:$K$36,0),1),SUMPRODUCT(COUNTIF('2027'!$C$835:$Z$835,Setup!$B$35)),SUMPRODUCT(COUNTIF('2028'!$C$835:$Z$835,Setup!$B$35)),SUMPRODUCT(COUNTIF('2029'!$C$835:$Z$835,Setup!$B$35)),SUMPRODUCT(COUNTIF('2030'!$C$835:$Z$835,Setup!$B$35))))</f>
        <v/>
      </c>
      <c r="T70" s="137">
        <f>IF($B70="","",CHOOSE(IFERROR(MATCH($C$4,Setup!$K$33:$K$36,0),1),SUMPRODUCT(COUNTIF('2027'!$C$885:$Z$885,Setup!$B$35)),SUMPRODUCT(COUNTIF('2028'!$C$885:$Z$885,Setup!$B$35)),SUMPRODUCT(COUNTIF('2029'!$C$885:$Z$885,Setup!$B$35)),SUMPRODUCT(COUNTIF('2030'!$C$885:$Z$885,Setup!$B$35))))</f>
        <v/>
      </c>
      <c r="U70" s="137">
        <f>IF($B70="","",CHOOSE(IFERROR(MATCH($C$4,Setup!$K$33:$K$36,0),1),SUMPRODUCT(COUNTIF('2027'!$C$935:$Z$935,Setup!$B$35)),SUMPRODUCT(COUNTIF('2028'!$C$935:$Z$935,Setup!$B$35)),SUMPRODUCT(COUNTIF('2029'!$C$935:$Z$935,Setup!$B$35)),SUMPRODUCT(COUNTIF('2030'!$C$935:$Z$935,Setup!$B$35))))</f>
        <v/>
      </c>
      <c r="V70" s="137">
        <f>IF($B70="","",CHOOSE(IFERROR(MATCH($C$4,Setup!$K$33:$K$36,0),1),SUMPRODUCT(COUNTIF('2027'!$C$985:$Z$985,Setup!$B$35)),SUMPRODUCT(COUNTIF('2028'!$C$985:$Z$985,Setup!$B$35)),SUMPRODUCT(COUNTIF('2029'!$C$985:$Z$985,Setup!$B$35)),SUMPRODUCT(COUNTIF('2030'!$C$985:$Z$985,Setup!$B$35))))</f>
        <v/>
      </c>
      <c r="W70" s="137">
        <f>IF($B70="","",CHOOSE(IFERROR(MATCH($C$4,Setup!$K$33:$K$36,0),1),SUMPRODUCT(COUNTIF('2027'!$C$1035:$Z$1035,Setup!$B$35)),SUMPRODUCT(COUNTIF('2028'!$C$1035:$Z$1035,Setup!$B$35)),SUMPRODUCT(COUNTIF('2029'!$C$1035:$Z$1035,Setup!$B$35)),SUMPRODUCT(COUNTIF('2030'!$C$1035:$Z$1035,Setup!$B$35))))</f>
        <v/>
      </c>
      <c r="X70" s="137">
        <f>IF($B70="","",CHOOSE(IFERROR(MATCH($C$4,Setup!$K$33:$K$36,0),1),SUMPRODUCT(COUNTIF('2027'!$C$1085:$Z$1085,Setup!$B$35)),SUMPRODUCT(COUNTIF('2028'!$C$1085:$Z$1085,Setup!$B$35)),SUMPRODUCT(COUNTIF('2029'!$C$1085:$Z$1085,Setup!$B$35)),SUMPRODUCT(COUNTIF('2030'!$C$1085:$Z$1085,Setup!$B$35))))</f>
        <v/>
      </c>
      <c r="Y70" s="137">
        <f>IF($B70="","",CHOOSE(IFERROR(MATCH($C$4,Setup!$K$33:$K$36,0),1),SUMPRODUCT(COUNTIF('2027'!$C$1135:$Z$1135,Setup!$B$35)),SUMPRODUCT(COUNTIF('2028'!$C$1135:$Z$1135,Setup!$B$35)),SUMPRODUCT(COUNTIF('2029'!$C$1135:$Z$1135,Setup!$B$35)),SUMPRODUCT(COUNTIF('2030'!$C$1135:$Z$1135,Setup!$B$35))))</f>
        <v/>
      </c>
      <c r="Z70" s="137">
        <f>IF($B70="","",CHOOSE(IFERROR(MATCH($C$4,Setup!$K$33:$K$36,0),1),SUMPRODUCT(COUNTIF('2027'!$C$1185:$Z$1185,Setup!$B$35)),SUMPRODUCT(COUNTIF('2028'!$C$1185:$Z$1185,Setup!$B$35)),SUMPRODUCT(COUNTIF('2029'!$C$1185:$Z$1185,Setup!$B$35)),SUMPRODUCT(COUNTIF('2030'!$C$1185:$Z$1185,Setup!$B$35))))</f>
        <v/>
      </c>
      <c r="AA70" s="137">
        <f>IF($B70="","",CHOOSE(IFERROR(MATCH($C$4,Setup!$K$33:$K$36,0),1),SUMPRODUCT(COUNTIF('2027'!$C$1235:$Z$1235,Setup!$B$35)),SUMPRODUCT(COUNTIF('2028'!$C$1235:$Z$1235,Setup!$B$35)),SUMPRODUCT(COUNTIF('2029'!$C$1235:$Z$1235,Setup!$B$35)),SUMPRODUCT(COUNTIF('2030'!$C$1235:$Z$1235,Setup!$B$35))))</f>
        <v/>
      </c>
      <c r="AB70" s="137">
        <f>IF($B70="","",CHOOSE(IFERROR(MATCH($C$4,Setup!$K$33:$K$36,0),1),SUMPRODUCT(COUNTIF('2027'!$C$1285:$Z$1285,Setup!$B$35)),SUMPRODUCT(COUNTIF('2028'!$C$1285:$Z$1285,Setup!$B$35)),SUMPRODUCT(COUNTIF('2029'!$C$1285:$Z$1285,Setup!$B$35)),SUMPRODUCT(COUNTIF('2030'!$C$1285:$Z$1285,Setup!$B$35))))</f>
        <v/>
      </c>
      <c r="AC70" s="137">
        <f>IF($B70="","",CHOOSE(IFERROR(MATCH($C$4,Setup!$K$33:$K$36,0),1),SUMPRODUCT(COUNTIF('2027'!$C$1335:$Z$1335,Setup!$B$35)),SUMPRODUCT(COUNTIF('2028'!$C$1335:$Z$1335,Setup!$B$35)),SUMPRODUCT(COUNTIF('2029'!$C$1335:$Z$1335,Setup!$B$35)),SUMPRODUCT(COUNTIF('2030'!$C$1335:$Z$1335,Setup!$B$35))))</f>
        <v/>
      </c>
      <c r="AD70" s="137">
        <f>IF($B70="","",CHOOSE(IFERROR(MATCH($C$4,Setup!$K$33:$K$36,0),1),SUMPRODUCT(COUNTIF('2027'!$C$1385:$Z$1385,Setup!$B$35)),SUMPRODUCT(COUNTIF('2028'!$C$1385:$Z$1385,Setup!$B$35)),SUMPRODUCT(COUNTIF('2029'!$C$1385:$Z$1385,Setup!$B$35)),SUMPRODUCT(COUNTIF('2030'!$C$1385:$Z$1385,Setup!$B$35))))</f>
        <v/>
      </c>
      <c r="AE70" s="137">
        <f>IF($B70="","",CHOOSE(IFERROR(MATCH($C$4,Setup!$K$33:$K$36,0),1),SUMPRODUCT(COUNTIF('2027'!$C$1435:$Z$1435,Setup!$B$35)),SUMPRODUCT(COUNTIF('2028'!$C$1435:$Z$1435,Setup!$B$35)),SUMPRODUCT(COUNTIF('2029'!$C$1435:$Z$1435,Setup!$B$35)),SUMPRODUCT(COUNTIF('2030'!$C$1435:$Z$1435,Setup!$B$35))))</f>
        <v/>
      </c>
      <c r="AF70" s="137">
        <f>IF($B70="","",CHOOSE(IFERROR(MATCH($C$4,Setup!$K$33:$K$36,0),1),SUMPRODUCT(COUNTIF('2027'!$C$1485:$Z$1485,Setup!$B$35)),SUMPRODUCT(COUNTIF('2028'!$C$1485:$Z$1485,Setup!$B$35)),SUMPRODUCT(COUNTIF('2029'!$C$1485:$Z$1485,Setup!$B$35)),SUMPRODUCT(COUNTIF('2030'!$C$1485:$Z$1485,Setup!$B$35))))</f>
        <v/>
      </c>
      <c r="AG70" s="137">
        <f>IF($B70="","",CHOOSE(IFERROR(MATCH($C$4,Setup!$K$33:$K$36,0),1),SUMPRODUCT(COUNTIF('2027'!$C$1535:$Z$1535,Setup!$B$35)),SUMPRODUCT(COUNTIF('2028'!$C$1535:$Z$1535,Setup!$B$35)),SUMPRODUCT(COUNTIF('2029'!$C$1535:$Z$1535,Setup!$B$35)),SUMPRODUCT(COUNTIF('2030'!$C$1535:$Z$1535,Setup!$B$35))))</f>
        <v/>
      </c>
      <c r="AH70" s="137">
        <f>IF($B70="","",CHOOSE(IFERROR(MATCH($C$4,Setup!$K$33:$K$36,0),1),SUMPRODUCT(COUNTIF('2027'!$C$1585:$Z$1585,Setup!$B$35)),SUMPRODUCT(COUNTIF('2028'!$C$1585:$Z$1585,Setup!$B$35)),SUMPRODUCT(COUNTIF('2029'!$C$1585:$Z$1585,Setup!$B$35)),SUMPRODUCT(COUNTIF('2030'!$C$1585:$Z$1585,Setup!$B$35))))</f>
        <v/>
      </c>
      <c r="AI70" s="137">
        <f>IF($B70="","",CHOOSE(IFERROR(MATCH($C$4,Setup!$K$33:$K$36,0),1),SUMPRODUCT(COUNTIF('2027'!$C$1635:$Z$1635,Setup!$B$35)),SUMPRODUCT(COUNTIF('2028'!$C$1635:$Z$1635,Setup!$B$35)),SUMPRODUCT(COUNTIF('2029'!$C$1635:$Z$1635,Setup!$B$35)),SUMPRODUCT(COUNTIF('2030'!$C$1635:$Z$1635,Setup!$B$35))))</f>
        <v/>
      </c>
      <c r="AJ70" s="137">
        <f>IF($B70="","",CHOOSE(IFERROR(MATCH($C$4,Setup!$K$33:$K$36,0),1),SUMPRODUCT(COUNTIF('2027'!$C$1685:$Z$1685,Setup!$B$35)),SUMPRODUCT(COUNTIF('2028'!$C$1685:$Z$1685,Setup!$B$35)),SUMPRODUCT(COUNTIF('2029'!$C$1685:$Z$1685,Setup!$B$35)),SUMPRODUCT(COUNTIF('2030'!$C$1685:$Z$1685,Setup!$B$35))))</f>
        <v/>
      </c>
      <c r="AK70" s="137">
        <f>IF($B70="","",CHOOSE(IFERROR(MATCH($C$4,Setup!$K$33:$K$36,0),1),SUMPRODUCT(COUNTIF('2027'!$C$1735:$Z$1735,Setup!$B$35)),SUMPRODUCT(COUNTIF('2028'!$C$1735:$Z$1735,Setup!$B$35)),SUMPRODUCT(COUNTIF('2029'!$C$1735:$Z$1735,Setup!$B$35)),SUMPRODUCT(COUNTIF('2030'!$C$1735:$Z$1735,Setup!$B$35))))</f>
        <v/>
      </c>
      <c r="AL70" s="137">
        <f>IF($B70="","",CHOOSE(IFERROR(MATCH($C$4,Setup!$K$33:$K$36,0),1),SUMPRODUCT(COUNTIF('2027'!$C$1785:$Z$1785,Setup!$B$35)),SUMPRODUCT(COUNTIF('2028'!$C$1785:$Z$1785,Setup!$B$35)),SUMPRODUCT(COUNTIF('2029'!$C$1785:$Z$1785,Setup!$B$35)),SUMPRODUCT(COUNTIF('2030'!$C$1785:$Z$1785,Setup!$B$35))))</f>
        <v/>
      </c>
      <c r="AM70" s="137">
        <f>IF($B70="","",CHOOSE(IFERROR(MATCH($C$4,Setup!$K$33:$K$36,0),1),SUMPRODUCT(COUNTIF('2027'!$C$1835:$Z$1835,Setup!$B$35)),SUMPRODUCT(COUNTIF('2028'!$C$1835:$Z$1835,Setup!$B$35)),SUMPRODUCT(COUNTIF('2029'!$C$1835:$Z$1835,Setup!$B$35)),SUMPRODUCT(COUNTIF('2030'!$C$1835:$Z$1835,Setup!$B$35))))</f>
        <v/>
      </c>
      <c r="AN70" s="137">
        <f>IF($B70="","",CHOOSE(IFERROR(MATCH($C$4,Setup!$K$33:$K$36,0),1),SUMPRODUCT(COUNTIF('2027'!$C$1885:$Z$1885,Setup!$B$35)),SUMPRODUCT(COUNTIF('2028'!$C$1885:$Z$1885,Setup!$B$35)),SUMPRODUCT(COUNTIF('2029'!$C$1885:$Z$1885,Setup!$B$35)),SUMPRODUCT(COUNTIF('2030'!$C$1885:$Z$1885,Setup!$B$35))))</f>
        <v/>
      </c>
      <c r="AO70" s="137">
        <f>IF($B70="","",CHOOSE(IFERROR(MATCH($C$4,Setup!$K$33:$K$36,0),1),SUMPRODUCT(COUNTIF('2027'!$C$1935:$Z$1935,Setup!$B$35)),SUMPRODUCT(COUNTIF('2028'!$C$1935:$Z$1935,Setup!$B$35)),SUMPRODUCT(COUNTIF('2029'!$C$1935:$Z$1935,Setup!$B$35)),SUMPRODUCT(COUNTIF('2030'!$C$1935:$Z$1935,Setup!$B$35))))</f>
        <v/>
      </c>
      <c r="AP70" s="137">
        <f>IF($B70="","",CHOOSE(IFERROR(MATCH($C$4,Setup!$K$33:$K$36,0),1),SUMPRODUCT(COUNTIF('2027'!$C$1985:$Z$1985,Setup!$B$35)),SUMPRODUCT(COUNTIF('2028'!$C$1985:$Z$1985,Setup!$B$35)),SUMPRODUCT(COUNTIF('2029'!$C$1985:$Z$1985,Setup!$B$35)),SUMPRODUCT(COUNTIF('2030'!$C$1985:$Z$1985,Setup!$B$35))))</f>
        <v/>
      </c>
      <c r="AQ70" s="137">
        <f>IF($B70="","",CHOOSE(IFERROR(MATCH($C$4,Setup!$K$33:$K$36,0),1),SUMPRODUCT(COUNTIF('2027'!$C$2035:$Z$2035,Setup!$B$35)),SUMPRODUCT(COUNTIF('2028'!$C$2035:$Z$2035,Setup!$B$35)),SUMPRODUCT(COUNTIF('2029'!$C$2035:$Z$2035,Setup!$B$35)),SUMPRODUCT(COUNTIF('2030'!$C$2035:$Z$2035,Setup!$B$35))))</f>
        <v/>
      </c>
      <c r="AR70" s="137">
        <f>IF($B70="","",CHOOSE(IFERROR(MATCH($C$4,Setup!$K$33:$K$36,0),1),SUMPRODUCT(COUNTIF('2027'!$C$2085:$Z$2085,Setup!$B$35)),SUMPRODUCT(COUNTIF('2028'!$C$2085:$Z$2085,Setup!$B$35)),SUMPRODUCT(COUNTIF('2029'!$C$2085:$Z$2085,Setup!$B$35)),SUMPRODUCT(COUNTIF('2030'!$C$2085:$Z$2085,Setup!$B$35))))</f>
        <v/>
      </c>
      <c r="AS70" s="137">
        <f>IF($B70="","",CHOOSE(IFERROR(MATCH($C$4,Setup!$K$33:$K$36,0),1),SUMPRODUCT(COUNTIF('2027'!$C$2135:$Z$2135,Setup!$B$35)),SUMPRODUCT(COUNTIF('2028'!$C$2135:$Z$2135,Setup!$B$35)),SUMPRODUCT(COUNTIF('2029'!$C$2135:$Z$2135,Setup!$B$35)),SUMPRODUCT(COUNTIF('2030'!$C$2135:$Z$2135,Setup!$B$35))))</f>
        <v/>
      </c>
      <c r="AT70" s="137">
        <f>IF($B70="","",CHOOSE(IFERROR(MATCH($C$4,Setup!$K$33:$K$36,0),1),SUMPRODUCT(COUNTIF('2027'!$C$2185:$Z$2185,Setup!$B$35)),SUMPRODUCT(COUNTIF('2028'!$C$2185:$Z$2185,Setup!$B$35)),SUMPRODUCT(COUNTIF('2029'!$C$2185:$Z$2185,Setup!$B$35)),SUMPRODUCT(COUNTIF('2030'!$C$2185:$Z$2185,Setup!$B$35))))</f>
        <v/>
      </c>
      <c r="AU70" s="137">
        <f>IF($B70="","",CHOOSE(IFERROR(MATCH($C$4,Setup!$K$33:$K$36,0),1),SUMPRODUCT(COUNTIF('2027'!$C$2235:$Z$2235,Setup!$B$35)),SUMPRODUCT(COUNTIF('2028'!$C$2235:$Z$2235,Setup!$B$35)),SUMPRODUCT(COUNTIF('2029'!$C$2235:$Z$2235,Setup!$B$35)),SUMPRODUCT(COUNTIF('2030'!$C$2235:$Z$2235,Setup!$B$35))))</f>
        <v/>
      </c>
      <c r="AV70" s="137">
        <f>IF($B70="","",CHOOSE(IFERROR(MATCH($C$4,Setup!$K$33:$K$36,0),1),SUMPRODUCT(COUNTIF('2027'!$C$2285:$Z$2285,Setup!$B$35)),SUMPRODUCT(COUNTIF('2028'!$C$2285:$Z$2285,Setup!$B$35)),SUMPRODUCT(COUNTIF('2029'!$C$2285:$Z$2285,Setup!$B$35)),SUMPRODUCT(COUNTIF('2030'!$C$2285:$Z$2285,Setup!$B$35))))</f>
        <v/>
      </c>
      <c r="AW70" s="137">
        <f>IF($B70="","",CHOOSE(IFERROR(MATCH($C$4,Setup!$K$33:$K$36,0),1),SUMPRODUCT(COUNTIF('2027'!$C$2335:$Z$2335,Setup!$B$35)),SUMPRODUCT(COUNTIF('2028'!$C$2335:$Z$2335,Setup!$B$35)),SUMPRODUCT(COUNTIF('2029'!$C$2335:$Z$2335,Setup!$B$35)),SUMPRODUCT(COUNTIF('2030'!$C$2335:$Z$2335,Setup!$B$35))))</f>
        <v/>
      </c>
      <c r="AX70" s="137">
        <f>IF($B70="","",CHOOSE(IFERROR(MATCH($C$4,Setup!$K$33:$K$36,0),1),SUMPRODUCT(COUNTIF('2027'!$C$2385:$Z$2385,Setup!$B$35)),SUMPRODUCT(COUNTIF('2028'!$C$2385:$Z$2385,Setup!$B$35)),SUMPRODUCT(COUNTIF('2029'!$C$2385:$Z$2385,Setup!$B$35)),SUMPRODUCT(COUNTIF('2030'!$C$2385:$Z$2385,Setup!$B$35))))</f>
        <v/>
      </c>
      <c r="AY70" s="137">
        <f>IF($B70="","",CHOOSE(IFERROR(MATCH($C$4,Setup!$K$33:$K$36,0),1),SUMPRODUCT(COUNTIF('2027'!$C$2435:$Z$2435,Setup!$B$35)),SUMPRODUCT(COUNTIF('2028'!$C$2435:$Z$2435,Setup!$B$35)),SUMPRODUCT(COUNTIF('2029'!$C$2435:$Z$2435,Setup!$B$35)),SUMPRODUCT(COUNTIF('2030'!$C$2435:$Z$2435,Setup!$B$35))))</f>
        <v/>
      </c>
      <c r="AZ70" s="137">
        <f>IF($B70="","",CHOOSE(IFERROR(MATCH($C$4,Setup!$K$33:$K$36,0),1),SUMPRODUCT(COUNTIF('2027'!$C$2485:$Z$2485,Setup!$B$35)),SUMPRODUCT(COUNTIF('2028'!$C$2485:$Z$2485,Setup!$B$35)),SUMPRODUCT(COUNTIF('2029'!$C$2485:$Z$2485,Setup!$B$35)),SUMPRODUCT(COUNTIF('2030'!$C$2485:$Z$2485,Setup!$B$35))))</f>
        <v/>
      </c>
      <c r="BA70" s="137">
        <f>IF($B70="","",CHOOSE(IFERROR(MATCH($C$4,Setup!$K$33:$K$36,0),1),SUMPRODUCT(COUNTIF('2027'!$C$2535:$Z$2535,Setup!$B$35)),SUMPRODUCT(COUNTIF('2028'!$C$2535:$Z$2535,Setup!$B$35)),SUMPRODUCT(COUNTIF('2029'!$C$2535:$Z$2535,Setup!$B$35)),SUMPRODUCT(COUNTIF('2030'!$C$2535:$Z$2535,Setup!$B$35))))</f>
        <v/>
      </c>
      <c r="BB70" s="137">
        <f>IF($B70="","",CHOOSE(IFERROR(MATCH($C$4,Setup!$K$33:$K$36,0),1),SUMPRODUCT(COUNTIF('2027'!$C$2585:$Z$2585,Setup!$B$35)),SUMPRODUCT(COUNTIF('2028'!$C$2585:$Z$2585,Setup!$B$35)),SUMPRODUCT(COUNTIF('2029'!$C$2585:$Z$2585,Setup!$B$35)),SUMPRODUCT(COUNTIF('2030'!$C$2585:$Z$2585,Setup!$B$35))))</f>
        <v/>
      </c>
      <c r="BC70" s="137">
        <f>IF($B70="","",CHOOSE(IFERROR(MATCH($C$4,Setup!$K$33:$K$36,0),1),SUMPRODUCT(COUNTIF('2027'!$C$2635:$Z$2635,Setup!$B$35)),SUMPRODUCT(COUNTIF('2028'!$C$2635:$Z$2635,Setup!$B$35)),SUMPRODUCT(COUNTIF('2029'!$C$2635:$Z$2635,Setup!$B$35)),SUMPRODUCT(COUNTIF('2030'!$C$2635:$Z$2635,Setup!$B$35))))</f>
        <v/>
      </c>
      <c r="BE70" s="129">
        <f>IF($B70="","",SUM(C70:BC70))</f>
        <v/>
      </c>
      <c r="BF70" s="130">
        <f>IF($B70="","",COUNTIF(C70:BC70,"&gt;0"))</f>
        <v/>
      </c>
      <c r="BG70" s="130">
        <f>IF(OR($B70="",N(BE70)=0),"",MATCH(MAX(C70:BC70),C70:BC70,0))</f>
        <v/>
      </c>
    </row>
    <row r="71" ht="15" customHeight="1">
      <c r="B71" s="136">
        <f>IF(Setup!$B$15="","",Setup!$B$15)</f>
        <v/>
      </c>
      <c r="C71" s="137">
        <f>IF($B71="","",CHOOSE(IFERROR(MATCH($C$4,Setup!$K$33:$K$36,0),1),SUMPRODUCT(COUNTIF('2027'!$C$36:$Z$36,Setup!$B$35)),SUMPRODUCT(COUNTIF('2028'!$C$36:$Z$36,Setup!$B$35)),SUMPRODUCT(COUNTIF('2029'!$C$36:$Z$36,Setup!$B$35)),SUMPRODUCT(COUNTIF('2030'!$C$36:$Z$36,Setup!$B$35))))</f>
        <v/>
      </c>
      <c r="D71" s="137">
        <f>IF($B71="","",CHOOSE(IFERROR(MATCH($C$4,Setup!$K$33:$K$36,0),1),SUMPRODUCT(COUNTIF('2027'!$C$86:$Z$86,Setup!$B$35)),SUMPRODUCT(COUNTIF('2028'!$C$86:$Z$86,Setup!$B$35)),SUMPRODUCT(COUNTIF('2029'!$C$86:$Z$86,Setup!$B$35)),SUMPRODUCT(COUNTIF('2030'!$C$86:$Z$86,Setup!$B$35))))</f>
        <v/>
      </c>
      <c r="E71" s="137">
        <f>IF($B71="","",CHOOSE(IFERROR(MATCH($C$4,Setup!$K$33:$K$36,0),1),SUMPRODUCT(COUNTIF('2027'!$C$136:$Z$136,Setup!$B$35)),SUMPRODUCT(COUNTIF('2028'!$C$136:$Z$136,Setup!$B$35)),SUMPRODUCT(COUNTIF('2029'!$C$136:$Z$136,Setup!$B$35)),SUMPRODUCT(COUNTIF('2030'!$C$136:$Z$136,Setup!$B$35))))</f>
        <v/>
      </c>
      <c r="F71" s="137">
        <f>IF($B71="","",CHOOSE(IFERROR(MATCH($C$4,Setup!$K$33:$K$36,0),1),SUMPRODUCT(COUNTIF('2027'!$C$186:$Z$186,Setup!$B$35)),SUMPRODUCT(COUNTIF('2028'!$C$186:$Z$186,Setup!$B$35)),SUMPRODUCT(COUNTIF('2029'!$C$186:$Z$186,Setup!$B$35)),SUMPRODUCT(COUNTIF('2030'!$C$186:$Z$186,Setup!$B$35))))</f>
        <v/>
      </c>
      <c r="G71" s="137">
        <f>IF($B71="","",CHOOSE(IFERROR(MATCH($C$4,Setup!$K$33:$K$36,0),1),SUMPRODUCT(COUNTIF('2027'!$C$236:$Z$236,Setup!$B$35)),SUMPRODUCT(COUNTIF('2028'!$C$236:$Z$236,Setup!$B$35)),SUMPRODUCT(COUNTIF('2029'!$C$236:$Z$236,Setup!$B$35)),SUMPRODUCT(COUNTIF('2030'!$C$236:$Z$236,Setup!$B$35))))</f>
        <v/>
      </c>
      <c r="H71" s="137">
        <f>IF($B71="","",CHOOSE(IFERROR(MATCH($C$4,Setup!$K$33:$K$36,0),1),SUMPRODUCT(COUNTIF('2027'!$C$286:$Z$286,Setup!$B$35)),SUMPRODUCT(COUNTIF('2028'!$C$286:$Z$286,Setup!$B$35)),SUMPRODUCT(COUNTIF('2029'!$C$286:$Z$286,Setup!$B$35)),SUMPRODUCT(COUNTIF('2030'!$C$286:$Z$286,Setup!$B$35))))</f>
        <v/>
      </c>
      <c r="I71" s="137">
        <f>IF($B71="","",CHOOSE(IFERROR(MATCH($C$4,Setup!$K$33:$K$36,0),1),SUMPRODUCT(COUNTIF('2027'!$C$336:$Z$336,Setup!$B$35)),SUMPRODUCT(COUNTIF('2028'!$C$336:$Z$336,Setup!$B$35)),SUMPRODUCT(COUNTIF('2029'!$C$336:$Z$336,Setup!$B$35)),SUMPRODUCT(COUNTIF('2030'!$C$336:$Z$336,Setup!$B$35))))</f>
        <v/>
      </c>
      <c r="J71" s="137">
        <f>IF($B71="","",CHOOSE(IFERROR(MATCH($C$4,Setup!$K$33:$K$36,0),1),SUMPRODUCT(COUNTIF('2027'!$C$386:$Z$386,Setup!$B$35)),SUMPRODUCT(COUNTIF('2028'!$C$386:$Z$386,Setup!$B$35)),SUMPRODUCT(COUNTIF('2029'!$C$386:$Z$386,Setup!$B$35)),SUMPRODUCT(COUNTIF('2030'!$C$386:$Z$386,Setup!$B$35))))</f>
        <v/>
      </c>
      <c r="K71" s="137">
        <f>IF($B71="","",CHOOSE(IFERROR(MATCH($C$4,Setup!$K$33:$K$36,0),1),SUMPRODUCT(COUNTIF('2027'!$C$436:$Z$436,Setup!$B$35)),SUMPRODUCT(COUNTIF('2028'!$C$436:$Z$436,Setup!$B$35)),SUMPRODUCT(COUNTIF('2029'!$C$436:$Z$436,Setup!$B$35)),SUMPRODUCT(COUNTIF('2030'!$C$436:$Z$436,Setup!$B$35))))</f>
        <v/>
      </c>
      <c r="L71" s="137">
        <f>IF($B71="","",CHOOSE(IFERROR(MATCH($C$4,Setup!$K$33:$K$36,0),1),SUMPRODUCT(COUNTIF('2027'!$C$486:$Z$486,Setup!$B$35)),SUMPRODUCT(COUNTIF('2028'!$C$486:$Z$486,Setup!$B$35)),SUMPRODUCT(COUNTIF('2029'!$C$486:$Z$486,Setup!$B$35)),SUMPRODUCT(COUNTIF('2030'!$C$486:$Z$486,Setup!$B$35))))</f>
        <v/>
      </c>
      <c r="M71" s="137">
        <f>IF($B71="","",CHOOSE(IFERROR(MATCH($C$4,Setup!$K$33:$K$36,0),1),SUMPRODUCT(COUNTIF('2027'!$C$536:$Z$536,Setup!$B$35)),SUMPRODUCT(COUNTIF('2028'!$C$536:$Z$536,Setup!$B$35)),SUMPRODUCT(COUNTIF('2029'!$C$536:$Z$536,Setup!$B$35)),SUMPRODUCT(COUNTIF('2030'!$C$536:$Z$536,Setup!$B$35))))</f>
        <v/>
      </c>
      <c r="N71" s="137">
        <f>IF($B71="","",CHOOSE(IFERROR(MATCH($C$4,Setup!$K$33:$K$36,0),1),SUMPRODUCT(COUNTIF('2027'!$C$586:$Z$586,Setup!$B$35)),SUMPRODUCT(COUNTIF('2028'!$C$586:$Z$586,Setup!$B$35)),SUMPRODUCT(COUNTIF('2029'!$C$586:$Z$586,Setup!$B$35)),SUMPRODUCT(COUNTIF('2030'!$C$586:$Z$586,Setup!$B$35))))</f>
        <v/>
      </c>
      <c r="O71" s="137">
        <f>IF($B71="","",CHOOSE(IFERROR(MATCH($C$4,Setup!$K$33:$K$36,0),1),SUMPRODUCT(COUNTIF('2027'!$C$636:$Z$636,Setup!$B$35)),SUMPRODUCT(COUNTIF('2028'!$C$636:$Z$636,Setup!$B$35)),SUMPRODUCT(COUNTIF('2029'!$C$636:$Z$636,Setup!$B$35)),SUMPRODUCT(COUNTIF('2030'!$C$636:$Z$636,Setup!$B$35))))</f>
        <v/>
      </c>
      <c r="P71" s="137">
        <f>IF($B71="","",CHOOSE(IFERROR(MATCH($C$4,Setup!$K$33:$K$36,0),1),SUMPRODUCT(COUNTIF('2027'!$C$686:$Z$686,Setup!$B$35)),SUMPRODUCT(COUNTIF('2028'!$C$686:$Z$686,Setup!$B$35)),SUMPRODUCT(COUNTIF('2029'!$C$686:$Z$686,Setup!$B$35)),SUMPRODUCT(COUNTIF('2030'!$C$686:$Z$686,Setup!$B$35))))</f>
        <v/>
      </c>
      <c r="Q71" s="137">
        <f>IF($B71="","",CHOOSE(IFERROR(MATCH($C$4,Setup!$K$33:$K$36,0),1),SUMPRODUCT(COUNTIF('2027'!$C$736:$Z$736,Setup!$B$35)),SUMPRODUCT(COUNTIF('2028'!$C$736:$Z$736,Setup!$B$35)),SUMPRODUCT(COUNTIF('2029'!$C$736:$Z$736,Setup!$B$35)),SUMPRODUCT(COUNTIF('2030'!$C$736:$Z$736,Setup!$B$35))))</f>
        <v/>
      </c>
      <c r="R71" s="137">
        <f>IF($B71="","",CHOOSE(IFERROR(MATCH($C$4,Setup!$K$33:$K$36,0),1),SUMPRODUCT(COUNTIF('2027'!$C$786:$Z$786,Setup!$B$35)),SUMPRODUCT(COUNTIF('2028'!$C$786:$Z$786,Setup!$B$35)),SUMPRODUCT(COUNTIF('2029'!$C$786:$Z$786,Setup!$B$35)),SUMPRODUCT(COUNTIF('2030'!$C$786:$Z$786,Setup!$B$35))))</f>
        <v/>
      </c>
      <c r="S71" s="137">
        <f>IF($B71="","",CHOOSE(IFERROR(MATCH($C$4,Setup!$K$33:$K$36,0),1),SUMPRODUCT(COUNTIF('2027'!$C$836:$Z$836,Setup!$B$35)),SUMPRODUCT(COUNTIF('2028'!$C$836:$Z$836,Setup!$B$35)),SUMPRODUCT(COUNTIF('2029'!$C$836:$Z$836,Setup!$B$35)),SUMPRODUCT(COUNTIF('2030'!$C$836:$Z$836,Setup!$B$35))))</f>
        <v/>
      </c>
      <c r="T71" s="137">
        <f>IF($B71="","",CHOOSE(IFERROR(MATCH($C$4,Setup!$K$33:$K$36,0),1),SUMPRODUCT(COUNTIF('2027'!$C$886:$Z$886,Setup!$B$35)),SUMPRODUCT(COUNTIF('2028'!$C$886:$Z$886,Setup!$B$35)),SUMPRODUCT(COUNTIF('2029'!$C$886:$Z$886,Setup!$B$35)),SUMPRODUCT(COUNTIF('2030'!$C$886:$Z$886,Setup!$B$35))))</f>
        <v/>
      </c>
      <c r="U71" s="137">
        <f>IF($B71="","",CHOOSE(IFERROR(MATCH($C$4,Setup!$K$33:$K$36,0),1),SUMPRODUCT(COUNTIF('2027'!$C$936:$Z$936,Setup!$B$35)),SUMPRODUCT(COUNTIF('2028'!$C$936:$Z$936,Setup!$B$35)),SUMPRODUCT(COUNTIF('2029'!$C$936:$Z$936,Setup!$B$35)),SUMPRODUCT(COUNTIF('2030'!$C$936:$Z$936,Setup!$B$35))))</f>
        <v/>
      </c>
      <c r="V71" s="137">
        <f>IF($B71="","",CHOOSE(IFERROR(MATCH($C$4,Setup!$K$33:$K$36,0),1),SUMPRODUCT(COUNTIF('2027'!$C$986:$Z$986,Setup!$B$35)),SUMPRODUCT(COUNTIF('2028'!$C$986:$Z$986,Setup!$B$35)),SUMPRODUCT(COUNTIF('2029'!$C$986:$Z$986,Setup!$B$35)),SUMPRODUCT(COUNTIF('2030'!$C$986:$Z$986,Setup!$B$35))))</f>
        <v/>
      </c>
      <c r="W71" s="137">
        <f>IF($B71="","",CHOOSE(IFERROR(MATCH($C$4,Setup!$K$33:$K$36,0),1),SUMPRODUCT(COUNTIF('2027'!$C$1036:$Z$1036,Setup!$B$35)),SUMPRODUCT(COUNTIF('2028'!$C$1036:$Z$1036,Setup!$B$35)),SUMPRODUCT(COUNTIF('2029'!$C$1036:$Z$1036,Setup!$B$35)),SUMPRODUCT(COUNTIF('2030'!$C$1036:$Z$1036,Setup!$B$35))))</f>
        <v/>
      </c>
      <c r="X71" s="137">
        <f>IF($B71="","",CHOOSE(IFERROR(MATCH($C$4,Setup!$K$33:$K$36,0),1),SUMPRODUCT(COUNTIF('2027'!$C$1086:$Z$1086,Setup!$B$35)),SUMPRODUCT(COUNTIF('2028'!$C$1086:$Z$1086,Setup!$B$35)),SUMPRODUCT(COUNTIF('2029'!$C$1086:$Z$1086,Setup!$B$35)),SUMPRODUCT(COUNTIF('2030'!$C$1086:$Z$1086,Setup!$B$35))))</f>
        <v/>
      </c>
      <c r="Y71" s="137">
        <f>IF($B71="","",CHOOSE(IFERROR(MATCH($C$4,Setup!$K$33:$K$36,0),1),SUMPRODUCT(COUNTIF('2027'!$C$1136:$Z$1136,Setup!$B$35)),SUMPRODUCT(COUNTIF('2028'!$C$1136:$Z$1136,Setup!$B$35)),SUMPRODUCT(COUNTIF('2029'!$C$1136:$Z$1136,Setup!$B$35)),SUMPRODUCT(COUNTIF('2030'!$C$1136:$Z$1136,Setup!$B$35))))</f>
        <v/>
      </c>
      <c r="Z71" s="137">
        <f>IF($B71="","",CHOOSE(IFERROR(MATCH($C$4,Setup!$K$33:$K$36,0),1),SUMPRODUCT(COUNTIF('2027'!$C$1186:$Z$1186,Setup!$B$35)),SUMPRODUCT(COUNTIF('2028'!$C$1186:$Z$1186,Setup!$B$35)),SUMPRODUCT(COUNTIF('2029'!$C$1186:$Z$1186,Setup!$B$35)),SUMPRODUCT(COUNTIF('2030'!$C$1186:$Z$1186,Setup!$B$35))))</f>
        <v/>
      </c>
      <c r="AA71" s="137">
        <f>IF($B71="","",CHOOSE(IFERROR(MATCH($C$4,Setup!$K$33:$K$36,0),1),SUMPRODUCT(COUNTIF('2027'!$C$1236:$Z$1236,Setup!$B$35)),SUMPRODUCT(COUNTIF('2028'!$C$1236:$Z$1236,Setup!$B$35)),SUMPRODUCT(COUNTIF('2029'!$C$1236:$Z$1236,Setup!$B$35)),SUMPRODUCT(COUNTIF('2030'!$C$1236:$Z$1236,Setup!$B$35))))</f>
        <v/>
      </c>
      <c r="AB71" s="137">
        <f>IF($B71="","",CHOOSE(IFERROR(MATCH($C$4,Setup!$K$33:$K$36,0),1),SUMPRODUCT(COUNTIF('2027'!$C$1286:$Z$1286,Setup!$B$35)),SUMPRODUCT(COUNTIF('2028'!$C$1286:$Z$1286,Setup!$B$35)),SUMPRODUCT(COUNTIF('2029'!$C$1286:$Z$1286,Setup!$B$35)),SUMPRODUCT(COUNTIF('2030'!$C$1286:$Z$1286,Setup!$B$35))))</f>
        <v/>
      </c>
      <c r="AC71" s="137">
        <f>IF($B71="","",CHOOSE(IFERROR(MATCH($C$4,Setup!$K$33:$K$36,0),1),SUMPRODUCT(COUNTIF('2027'!$C$1336:$Z$1336,Setup!$B$35)),SUMPRODUCT(COUNTIF('2028'!$C$1336:$Z$1336,Setup!$B$35)),SUMPRODUCT(COUNTIF('2029'!$C$1336:$Z$1336,Setup!$B$35)),SUMPRODUCT(COUNTIF('2030'!$C$1336:$Z$1336,Setup!$B$35))))</f>
        <v/>
      </c>
      <c r="AD71" s="137">
        <f>IF($B71="","",CHOOSE(IFERROR(MATCH($C$4,Setup!$K$33:$K$36,0),1),SUMPRODUCT(COUNTIF('2027'!$C$1386:$Z$1386,Setup!$B$35)),SUMPRODUCT(COUNTIF('2028'!$C$1386:$Z$1386,Setup!$B$35)),SUMPRODUCT(COUNTIF('2029'!$C$1386:$Z$1386,Setup!$B$35)),SUMPRODUCT(COUNTIF('2030'!$C$1386:$Z$1386,Setup!$B$35))))</f>
        <v/>
      </c>
      <c r="AE71" s="137">
        <f>IF($B71="","",CHOOSE(IFERROR(MATCH($C$4,Setup!$K$33:$K$36,0),1),SUMPRODUCT(COUNTIF('2027'!$C$1436:$Z$1436,Setup!$B$35)),SUMPRODUCT(COUNTIF('2028'!$C$1436:$Z$1436,Setup!$B$35)),SUMPRODUCT(COUNTIF('2029'!$C$1436:$Z$1436,Setup!$B$35)),SUMPRODUCT(COUNTIF('2030'!$C$1436:$Z$1436,Setup!$B$35))))</f>
        <v/>
      </c>
      <c r="AF71" s="137">
        <f>IF($B71="","",CHOOSE(IFERROR(MATCH($C$4,Setup!$K$33:$K$36,0),1),SUMPRODUCT(COUNTIF('2027'!$C$1486:$Z$1486,Setup!$B$35)),SUMPRODUCT(COUNTIF('2028'!$C$1486:$Z$1486,Setup!$B$35)),SUMPRODUCT(COUNTIF('2029'!$C$1486:$Z$1486,Setup!$B$35)),SUMPRODUCT(COUNTIF('2030'!$C$1486:$Z$1486,Setup!$B$35))))</f>
        <v/>
      </c>
      <c r="AG71" s="137">
        <f>IF($B71="","",CHOOSE(IFERROR(MATCH($C$4,Setup!$K$33:$K$36,0),1),SUMPRODUCT(COUNTIF('2027'!$C$1536:$Z$1536,Setup!$B$35)),SUMPRODUCT(COUNTIF('2028'!$C$1536:$Z$1536,Setup!$B$35)),SUMPRODUCT(COUNTIF('2029'!$C$1536:$Z$1536,Setup!$B$35)),SUMPRODUCT(COUNTIF('2030'!$C$1536:$Z$1536,Setup!$B$35))))</f>
        <v/>
      </c>
      <c r="AH71" s="137">
        <f>IF($B71="","",CHOOSE(IFERROR(MATCH($C$4,Setup!$K$33:$K$36,0),1),SUMPRODUCT(COUNTIF('2027'!$C$1586:$Z$1586,Setup!$B$35)),SUMPRODUCT(COUNTIF('2028'!$C$1586:$Z$1586,Setup!$B$35)),SUMPRODUCT(COUNTIF('2029'!$C$1586:$Z$1586,Setup!$B$35)),SUMPRODUCT(COUNTIF('2030'!$C$1586:$Z$1586,Setup!$B$35))))</f>
        <v/>
      </c>
      <c r="AI71" s="137">
        <f>IF($B71="","",CHOOSE(IFERROR(MATCH($C$4,Setup!$K$33:$K$36,0),1),SUMPRODUCT(COUNTIF('2027'!$C$1636:$Z$1636,Setup!$B$35)),SUMPRODUCT(COUNTIF('2028'!$C$1636:$Z$1636,Setup!$B$35)),SUMPRODUCT(COUNTIF('2029'!$C$1636:$Z$1636,Setup!$B$35)),SUMPRODUCT(COUNTIF('2030'!$C$1636:$Z$1636,Setup!$B$35))))</f>
        <v/>
      </c>
      <c r="AJ71" s="137">
        <f>IF($B71="","",CHOOSE(IFERROR(MATCH($C$4,Setup!$K$33:$K$36,0),1),SUMPRODUCT(COUNTIF('2027'!$C$1686:$Z$1686,Setup!$B$35)),SUMPRODUCT(COUNTIF('2028'!$C$1686:$Z$1686,Setup!$B$35)),SUMPRODUCT(COUNTIF('2029'!$C$1686:$Z$1686,Setup!$B$35)),SUMPRODUCT(COUNTIF('2030'!$C$1686:$Z$1686,Setup!$B$35))))</f>
        <v/>
      </c>
      <c r="AK71" s="137">
        <f>IF($B71="","",CHOOSE(IFERROR(MATCH($C$4,Setup!$K$33:$K$36,0),1),SUMPRODUCT(COUNTIF('2027'!$C$1736:$Z$1736,Setup!$B$35)),SUMPRODUCT(COUNTIF('2028'!$C$1736:$Z$1736,Setup!$B$35)),SUMPRODUCT(COUNTIF('2029'!$C$1736:$Z$1736,Setup!$B$35)),SUMPRODUCT(COUNTIF('2030'!$C$1736:$Z$1736,Setup!$B$35))))</f>
        <v/>
      </c>
      <c r="AL71" s="137">
        <f>IF($B71="","",CHOOSE(IFERROR(MATCH($C$4,Setup!$K$33:$K$36,0),1),SUMPRODUCT(COUNTIF('2027'!$C$1786:$Z$1786,Setup!$B$35)),SUMPRODUCT(COUNTIF('2028'!$C$1786:$Z$1786,Setup!$B$35)),SUMPRODUCT(COUNTIF('2029'!$C$1786:$Z$1786,Setup!$B$35)),SUMPRODUCT(COUNTIF('2030'!$C$1786:$Z$1786,Setup!$B$35))))</f>
        <v/>
      </c>
      <c r="AM71" s="137">
        <f>IF($B71="","",CHOOSE(IFERROR(MATCH($C$4,Setup!$K$33:$K$36,0),1),SUMPRODUCT(COUNTIF('2027'!$C$1836:$Z$1836,Setup!$B$35)),SUMPRODUCT(COUNTIF('2028'!$C$1836:$Z$1836,Setup!$B$35)),SUMPRODUCT(COUNTIF('2029'!$C$1836:$Z$1836,Setup!$B$35)),SUMPRODUCT(COUNTIF('2030'!$C$1836:$Z$1836,Setup!$B$35))))</f>
        <v/>
      </c>
      <c r="AN71" s="137">
        <f>IF($B71="","",CHOOSE(IFERROR(MATCH($C$4,Setup!$K$33:$K$36,0),1),SUMPRODUCT(COUNTIF('2027'!$C$1886:$Z$1886,Setup!$B$35)),SUMPRODUCT(COUNTIF('2028'!$C$1886:$Z$1886,Setup!$B$35)),SUMPRODUCT(COUNTIF('2029'!$C$1886:$Z$1886,Setup!$B$35)),SUMPRODUCT(COUNTIF('2030'!$C$1886:$Z$1886,Setup!$B$35))))</f>
        <v/>
      </c>
      <c r="AO71" s="137">
        <f>IF($B71="","",CHOOSE(IFERROR(MATCH($C$4,Setup!$K$33:$K$36,0),1),SUMPRODUCT(COUNTIF('2027'!$C$1936:$Z$1936,Setup!$B$35)),SUMPRODUCT(COUNTIF('2028'!$C$1936:$Z$1936,Setup!$B$35)),SUMPRODUCT(COUNTIF('2029'!$C$1936:$Z$1936,Setup!$B$35)),SUMPRODUCT(COUNTIF('2030'!$C$1936:$Z$1936,Setup!$B$35))))</f>
        <v/>
      </c>
      <c r="AP71" s="137">
        <f>IF($B71="","",CHOOSE(IFERROR(MATCH($C$4,Setup!$K$33:$K$36,0),1),SUMPRODUCT(COUNTIF('2027'!$C$1986:$Z$1986,Setup!$B$35)),SUMPRODUCT(COUNTIF('2028'!$C$1986:$Z$1986,Setup!$B$35)),SUMPRODUCT(COUNTIF('2029'!$C$1986:$Z$1986,Setup!$B$35)),SUMPRODUCT(COUNTIF('2030'!$C$1986:$Z$1986,Setup!$B$35))))</f>
        <v/>
      </c>
      <c r="AQ71" s="137">
        <f>IF($B71="","",CHOOSE(IFERROR(MATCH($C$4,Setup!$K$33:$K$36,0),1),SUMPRODUCT(COUNTIF('2027'!$C$2036:$Z$2036,Setup!$B$35)),SUMPRODUCT(COUNTIF('2028'!$C$2036:$Z$2036,Setup!$B$35)),SUMPRODUCT(COUNTIF('2029'!$C$2036:$Z$2036,Setup!$B$35)),SUMPRODUCT(COUNTIF('2030'!$C$2036:$Z$2036,Setup!$B$35))))</f>
        <v/>
      </c>
      <c r="AR71" s="137">
        <f>IF($B71="","",CHOOSE(IFERROR(MATCH($C$4,Setup!$K$33:$K$36,0),1),SUMPRODUCT(COUNTIF('2027'!$C$2086:$Z$2086,Setup!$B$35)),SUMPRODUCT(COUNTIF('2028'!$C$2086:$Z$2086,Setup!$B$35)),SUMPRODUCT(COUNTIF('2029'!$C$2086:$Z$2086,Setup!$B$35)),SUMPRODUCT(COUNTIF('2030'!$C$2086:$Z$2086,Setup!$B$35))))</f>
        <v/>
      </c>
      <c r="AS71" s="137">
        <f>IF($B71="","",CHOOSE(IFERROR(MATCH($C$4,Setup!$K$33:$K$36,0),1),SUMPRODUCT(COUNTIF('2027'!$C$2136:$Z$2136,Setup!$B$35)),SUMPRODUCT(COUNTIF('2028'!$C$2136:$Z$2136,Setup!$B$35)),SUMPRODUCT(COUNTIF('2029'!$C$2136:$Z$2136,Setup!$B$35)),SUMPRODUCT(COUNTIF('2030'!$C$2136:$Z$2136,Setup!$B$35))))</f>
        <v/>
      </c>
      <c r="AT71" s="137">
        <f>IF($B71="","",CHOOSE(IFERROR(MATCH($C$4,Setup!$K$33:$K$36,0),1),SUMPRODUCT(COUNTIF('2027'!$C$2186:$Z$2186,Setup!$B$35)),SUMPRODUCT(COUNTIF('2028'!$C$2186:$Z$2186,Setup!$B$35)),SUMPRODUCT(COUNTIF('2029'!$C$2186:$Z$2186,Setup!$B$35)),SUMPRODUCT(COUNTIF('2030'!$C$2186:$Z$2186,Setup!$B$35))))</f>
        <v/>
      </c>
      <c r="AU71" s="137">
        <f>IF($B71="","",CHOOSE(IFERROR(MATCH($C$4,Setup!$K$33:$K$36,0),1),SUMPRODUCT(COUNTIF('2027'!$C$2236:$Z$2236,Setup!$B$35)),SUMPRODUCT(COUNTIF('2028'!$C$2236:$Z$2236,Setup!$B$35)),SUMPRODUCT(COUNTIF('2029'!$C$2236:$Z$2236,Setup!$B$35)),SUMPRODUCT(COUNTIF('2030'!$C$2236:$Z$2236,Setup!$B$35))))</f>
        <v/>
      </c>
      <c r="AV71" s="137">
        <f>IF($B71="","",CHOOSE(IFERROR(MATCH($C$4,Setup!$K$33:$K$36,0),1),SUMPRODUCT(COUNTIF('2027'!$C$2286:$Z$2286,Setup!$B$35)),SUMPRODUCT(COUNTIF('2028'!$C$2286:$Z$2286,Setup!$B$35)),SUMPRODUCT(COUNTIF('2029'!$C$2286:$Z$2286,Setup!$B$35)),SUMPRODUCT(COUNTIF('2030'!$C$2286:$Z$2286,Setup!$B$35))))</f>
        <v/>
      </c>
      <c r="AW71" s="137">
        <f>IF($B71="","",CHOOSE(IFERROR(MATCH($C$4,Setup!$K$33:$K$36,0),1),SUMPRODUCT(COUNTIF('2027'!$C$2336:$Z$2336,Setup!$B$35)),SUMPRODUCT(COUNTIF('2028'!$C$2336:$Z$2336,Setup!$B$35)),SUMPRODUCT(COUNTIF('2029'!$C$2336:$Z$2336,Setup!$B$35)),SUMPRODUCT(COUNTIF('2030'!$C$2336:$Z$2336,Setup!$B$35))))</f>
        <v/>
      </c>
      <c r="AX71" s="137">
        <f>IF($B71="","",CHOOSE(IFERROR(MATCH($C$4,Setup!$K$33:$K$36,0),1),SUMPRODUCT(COUNTIF('2027'!$C$2386:$Z$2386,Setup!$B$35)),SUMPRODUCT(COUNTIF('2028'!$C$2386:$Z$2386,Setup!$B$35)),SUMPRODUCT(COUNTIF('2029'!$C$2386:$Z$2386,Setup!$B$35)),SUMPRODUCT(COUNTIF('2030'!$C$2386:$Z$2386,Setup!$B$35))))</f>
        <v/>
      </c>
      <c r="AY71" s="137">
        <f>IF($B71="","",CHOOSE(IFERROR(MATCH($C$4,Setup!$K$33:$K$36,0),1),SUMPRODUCT(COUNTIF('2027'!$C$2436:$Z$2436,Setup!$B$35)),SUMPRODUCT(COUNTIF('2028'!$C$2436:$Z$2436,Setup!$B$35)),SUMPRODUCT(COUNTIF('2029'!$C$2436:$Z$2436,Setup!$B$35)),SUMPRODUCT(COUNTIF('2030'!$C$2436:$Z$2436,Setup!$B$35))))</f>
        <v/>
      </c>
      <c r="AZ71" s="137">
        <f>IF($B71="","",CHOOSE(IFERROR(MATCH($C$4,Setup!$K$33:$K$36,0),1),SUMPRODUCT(COUNTIF('2027'!$C$2486:$Z$2486,Setup!$B$35)),SUMPRODUCT(COUNTIF('2028'!$C$2486:$Z$2486,Setup!$B$35)),SUMPRODUCT(COUNTIF('2029'!$C$2486:$Z$2486,Setup!$B$35)),SUMPRODUCT(COUNTIF('2030'!$C$2486:$Z$2486,Setup!$B$35))))</f>
        <v/>
      </c>
      <c r="BA71" s="137">
        <f>IF($B71="","",CHOOSE(IFERROR(MATCH($C$4,Setup!$K$33:$K$36,0),1),SUMPRODUCT(COUNTIF('2027'!$C$2536:$Z$2536,Setup!$B$35)),SUMPRODUCT(COUNTIF('2028'!$C$2536:$Z$2536,Setup!$B$35)),SUMPRODUCT(COUNTIF('2029'!$C$2536:$Z$2536,Setup!$B$35)),SUMPRODUCT(COUNTIF('2030'!$C$2536:$Z$2536,Setup!$B$35))))</f>
        <v/>
      </c>
      <c r="BB71" s="137">
        <f>IF($B71="","",CHOOSE(IFERROR(MATCH($C$4,Setup!$K$33:$K$36,0),1),SUMPRODUCT(COUNTIF('2027'!$C$2586:$Z$2586,Setup!$B$35)),SUMPRODUCT(COUNTIF('2028'!$C$2586:$Z$2586,Setup!$B$35)),SUMPRODUCT(COUNTIF('2029'!$C$2586:$Z$2586,Setup!$B$35)),SUMPRODUCT(COUNTIF('2030'!$C$2586:$Z$2586,Setup!$B$35))))</f>
        <v/>
      </c>
      <c r="BC71" s="137">
        <f>IF($B71="","",CHOOSE(IFERROR(MATCH($C$4,Setup!$K$33:$K$36,0),1),SUMPRODUCT(COUNTIF('2027'!$C$2636:$Z$2636,Setup!$B$35)),SUMPRODUCT(COUNTIF('2028'!$C$2636:$Z$2636,Setup!$B$35)),SUMPRODUCT(COUNTIF('2029'!$C$2636:$Z$2636,Setup!$B$35)),SUMPRODUCT(COUNTIF('2030'!$C$2636:$Z$2636,Setup!$B$35))))</f>
        <v/>
      </c>
      <c r="BE71" s="129">
        <f>IF($B71="","",SUM(C71:BC71))</f>
        <v/>
      </c>
      <c r="BF71" s="130">
        <f>IF($B71="","",COUNTIF(C71:BC71,"&gt;0"))</f>
        <v/>
      </c>
      <c r="BG71" s="130">
        <f>IF(OR($B71="",N(BE71)=0),"",MATCH(MAX(C71:BC71),C71:BC71,0))</f>
        <v/>
      </c>
    </row>
    <row r="72" ht="15" customHeight="1">
      <c r="B72" s="136">
        <f>IF(Setup!$B$16="","",Setup!$B$16)</f>
        <v/>
      </c>
      <c r="C72" s="137">
        <f>IF($B72="","",CHOOSE(IFERROR(MATCH($C$4,Setup!$K$33:$K$36,0),1),SUMPRODUCT(COUNTIF('2027'!$C$37:$Z$37,Setup!$B$35)),SUMPRODUCT(COUNTIF('2028'!$C$37:$Z$37,Setup!$B$35)),SUMPRODUCT(COUNTIF('2029'!$C$37:$Z$37,Setup!$B$35)),SUMPRODUCT(COUNTIF('2030'!$C$37:$Z$37,Setup!$B$35))))</f>
        <v/>
      </c>
      <c r="D72" s="137">
        <f>IF($B72="","",CHOOSE(IFERROR(MATCH($C$4,Setup!$K$33:$K$36,0),1),SUMPRODUCT(COUNTIF('2027'!$C$87:$Z$87,Setup!$B$35)),SUMPRODUCT(COUNTIF('2028'!$C$87:$Z$87,Setup!$B$35)),SUMPRODUCT(COUNTIF('2029'!$C$87:$Z$87,Setup!$B$35)),SUMPRODUCT(COUNTIF('2030'!$C$87:$Z$87,Setup!$B$35))))</f>
        <v/>
      </c>
      <c r="E72" s="137">
        <f>IF($B72="","",CHOOSE(IFERROR(MATCH($C$4,Setup!$K$33:$K$36,0),1),SUMPRODUCT(COUNTIF('2027'!$C$137:$Z$137,Setup!$B$35)),SUMPRODUCT(COUNTIF('2028'!$C$137:$Z$137,Setup!$B$35)),SUMPRODUCT(COUNTIF('2029'!$C$137:$Z$137,Setup!$B$35)),SUMPRODUCT(COUNTIF('2030'!$C$137:$Z$137,Setup!$B$35))))</f>
        <v/>
      </c>
      <c r="F72" s="137">
        <f>IF($B72="","",CHOOSE(IFERROR(MATCH($C$4,Setup!$K$33:$K$36,0),1),SUMPRODUCT(COUNTIF('2027'!$C$187:$Z$187,Setup!$B$35)),SUMPRODUCT(COUNTIF('2028'!$C$187:$Z$187,Setup!$B$35)),SUMPRODUCT(COUNTIF('2029'!$C$187:$Z$187,Setup!$B$35)),SUMPRODUCT(COUNTIF('2030'!$C$187:$Z$187,Setup!$B$35))))</f>
        <v/>
      </c>
      <c r="G72" s="137">
        <f>IF($B72="","",CHOOSE(IFERROR(MATCH($C$4,Setup!$K$33:$K$36,0),1),SUMPRODUCT(COUNTIF('2027'!$C$237:$Z$237,Setup!$B$35)),SUMPRODUCT(COUNTIF('2028'!$C$237:$Z$237,Setup!$B$35)),SUMPRODUCT(COUNTIF('2029'!$C$237:$Z$237,Setup!$B$35)),SUMPRODUCT(COUNTIF('2030'!$C$237:$Z$237,Setup!$B$35))))</f>
        <v/>
      </c>
      <c r="H72" s="137">
        <f>IF($B72="","",CHOOSE(IFERROR(MATCH($C$4,Setup!$K$33:$K$36,0),1),SUMPRODUCT(COUNTIF('2027'!$C$287:$Z$287,Setup!$B$35)),SUMPRODUCT(COUNTIF('2028'!$C$287:$Z$287,Setup!$B$35)),SUMPRODUCT(COUNTIF('2029'!$C$287:$Z$287,Setup!$B$35)),SUMPRODUCT(COUNTIF('2030'!$C$287:$Z$287,Setup!$B$35))))</f>
        <v/>
      </c>
      <c r="I72" s="137">
        <f>IF($B72="","",CHOOSE(IFERROR(MATCH($C$4,Setup!$K$33:$K$36,0),1),SUMPRODUCT(COUNTIF('2027'!$C$337:$Z$337,Setup!$B$35)),SUMPRODUCT(COUNTIF('2028'!$C$337:$Z$337,Setup!$B$35)),SUMPRODUCT(COUNTIF('2029'!$C$337:$Z$337,Setup!$B$35)),SUMPRODUCT(COUNTIF('2030'!$C$337:$Z$337,Setup!$B$35))))</f>
        <v/>
      </c>
      <c r="J72" s="137">
        <f>IF($B72="","",CHOOSE(IFERROR(MATCH($C$4,Setup!$K$33:$K$36,0),1),SUMPRODUCT(COUNTIF('2027'!$C$387:$Z$387,Setup!$B$35)),SUMPRODUCT(COUNTIF('2028'!$C$387:$Z$387,Setup!$B$35)),SUMPRODUCT(COUNTIF('2029'!$C$387:$Z$387,Setup!$B$35)),SUMPRODUCT(COUNTIF('2030'!$C$387:$Z$387,Setup!$B$35))))</f>
        <v/>
      </c>
      <c r="K72" s="137">
        <f>IF($B72="","",CHOOSE(IFERROR(MATCH($C$4,Setup!$K$33:$K$36,0),1),SUMPRODUCT(COUNTIF('2027'!$C$437:$Z$437,Setup!$B$35)),SUMPRODUCT(COUNTIF('2028'!$C$437:$Z$437,Setup!$B$35)),SUMPRODUCT(COUNTIF('2029'!$C$437:$Z$437,Setup!$B$35)),SUMPRODUCT(COUNTIF('2030'!$C$437:$Z$437,Setup!$B$35))))</f>
        <v/>
      </c>
      <c r="L72" s="137">
        <f>IF($B72="","",CHOOSE(IFERROR(MATCH($C$4,Setup!$K$33:$K$36,0),1),SUMPRODUCT(COUNTIF('2027'!$C$487:$Z$487,Setup!$B$35)),SUMPRODUCT(COUNTIF('2028'!$C$487:$Z$487,Setup!$B$35)),SUMPRODUCT(COUNTIF('2029'!$C$487:$Z$487,Setup!$B$35)),SUMPRODUCT(COUNTIF('2030'!$C$487:$Z$487,Setup!$B$35))))</f>
        <v/>
      </c>
      <c r="M72" s="137">
        <f>IF($B72="","",CHOOSE(IFERROR(MATCH($C$4,Setup!$K$33:$K$36,0),1),SUMPRODUCT(COUNTIF('2027'!$C$537:$Z$537,Setup!$B$35)),SUMPRODUCT(COUNTIF('2028'!$C$537:$Z$537,Setup!$B$35)),SUMPRODUCT(COUNTIF('2029'!$C$537:$Z$537,Setup!$B$35)),SUMPRODUCT(COUNTIF('2030'!$C$537:$Z$537,Setup!$B$35))))</f>
        <v/>
      </c>
      <c r="N72" s="137">
        <f>IF($B72="","",CHOOSE(IFERROR(MATCH($C$4,Setup!$K$33:$K$36,0),1),SUMPRODUCT(COUNTIF('2027'!$C$587:$Z$587,Setup!$B$35)),SUMPRODUCT(COUNTIF('2028'!$C$587:$Z$587,Setup!$B$35)),SUMPRODUCT(COUNTIF('2029'!$C$587:$Z$587,Setup!$B$35)),SUMPRODUCT(COUNTIF('2030'!$C$587:$Z$587,Setup!$B$35))))</f>
        <v/>
      </c>
      <c r="O72" s="137">
        <f>IF($B72="","",CHOOSE(IFERROR(MATCH($C$4,Setup!$K$33:$K$36,0),1),SUMPRODUCT(COUNTIF('2027'!$C$637:$Z$637,Setup!$B$35)),SUMPRODUCT(COUNTIF('2028'!$C$637:$Z$637,Setup!$B$35)),SUMPRODUCT(COUNTIF('2029'!$C$637:$Z$637,Setup!$B$35)),SUMPRODUCT(COUNTIF('2030'!$C$637:$Z$637,Setup!$B$35))))</f>
        <v/>
      </c>
      <c r="P72" s="137">
        <f>IF($B72="","",CHOOSE(IFERROR(MATCH($C$4,Setup!$K$33:$K$36,0),1),SUMPRODUCT(COUNTIF('2027'!$C$687:$Z$687,Setup!$B$35)),SUMPRODUCT(COUNTIF('2028'!$C$687:$Z$687,Setup!$B$35)),SUMPRODUCT(COUNTIF('2029'!$C$687:$Z$687,Setup!$B$35)),SUMPRODUCT(COUNTIF('2030'!$C$687:$Z$687,Setup!$B$35))))</f>
        <v/>
      </c>
      <c r="Q72" s="137">
        <f>IF($B72="","",CHOOSE(IFERROR(MATCH($C$4,Setup!$K$33:$K$36,0),1),SUMPRODUCT(COUNTIF('2027'!$C$737:$Z$737,Setup!$B$35)),SUMPRODUCT(COUNTIF('2028'!$C$737:$Z$737,Setup!$B$35)),SUMPRODUCT(COUNTIF('2029'!$C$737:$Z$737,Setup!$B$35)),SUMPRODUCT(COUNTIF('2030'!$C$737:$Z$737,Setup!$B$35))))</f>
        <v/>
      </c>
      <c r="R72" s="137">
        <f>IF($B72="","",CHOOSE(IFERROR(MATCH($C$4,Setup!$K$33:$K$36,0),1),SUMPRODUCT(COUNTIF('2027'!$C$787:$Z$787,Setup!$B$35)),SUMPRODUCT(COUNTIF('2028'!$C$787:$Z$787,Setup!$B$35)),SUMPRODUCT(COUNTIF('2029'!$C$787:$Z$787,Setup!$B$35)),SUMPRODUCT(COUNTIF('2030'!$C$787:$Z$787,Setup!$B$35))))</f>
        <v/>
      </c>
      <c r="S72" s="137">
        <f>IF($B72="","",CHOOSE(IFERROR(MATCH($C$4,Setup!$K$33:$K$36,0),1),SUMPRODUCT(COUNTIF('2027'!$C$837:$Z$837,Setup!$B$35)),SUMPRODUCT(COUNTIF('2028'!$C$837:$Z$837,Setup!$B$35)),SUMPRODUCT(COUNTIF('2029'!$C$837:$Z$837,Setup!$B$35)),SUMPRODUCT(COUNTIF('2030'!$C$837:$Z$837,Setup!$B$35))))</f>
        <v/>
      </c>
      <c r="T72" s="137">
        <f>IF($B72="","",CHOOSE(IFERROR(MATCH($C$4,Setup!$K$33:$K$36,0),1),SUMPRODUCT(COUNTIF('2027'!$C$887:$Z$887,Setup!$B$35)),SUMPRODUCT(COUNTIF('2028'!$C$887:$Z$887,Setup!$B$35)),SUMPRODUCT(COUNTIF('2029'!$C$887:$Z$887,Setup!$B$35)),SUMPRODUCT(COUNTIF('2030'!$C$887:$Z$887,Setup!$B$35))))</f>
        <v/>
      </c>
      <c r="U72" s="137">
        <f>IF($B72="","",CHOOSE(IFERROR(MATCH($C$4,Setup!$K$33:$K$36,0),1),SUMPRODUCT(COUNTIF('2027'!$C$937:$Z$937,Setup!$B$35)),SUMPRODUCT(COUNTIF('2028'!$C$937:$Z$937,Setup!$B$35)),SUMPRODUCT(COUNTIF('2029'!$C$937:$Z$937,Setup!$B$35)),SUMPRODUCT(COUNTIF('2030'!$C$937:$Z$937,Setup!$B$35))))</f>
        <v/>
      </c>
      <c r="V72" s="137">
        <f>IF($B72="","",CHOOSE(IFERROR(MATCH($C$4,Setup!$K$33:$K$36,0),1),SUMPRODUCT(COUNTIF('2027'!$C$987:$Z$987,Setup!$B$35)),SUMPRODUCT(COUNTIF('2028'!$C$987:$Z$987,Setup!$B$35)),SUMPRODUCT(COUNTIF('2029'!$C$987:$Z$987,Setup!$B$35)),SUMPRODUCT(COUNTIF('2030'!$C$987:$Z$987,Setup!$B$35))))</f>
        <v/>
      </c>
      <c r="W72" s="137">
        <f>IF($B72="","",CHOOSE(IFERROR(MATCH($C$4,Setup!$K$33:$K$36,0),1),SUMPRODUCT(COUNTIF('2027'!$C$1037:$Z$1037,Setup!$B$35)),SUMPRODUCT(COUNTIF('2028'!$C$1037:$Z$1037,Setup!$B$35)),SUMPRODUCT(COUNTIF('2029'!$C$1037:$Z$1037,Setup!$B$35)),SUMPRODUCT(COUNTIF('2030'!$C$1037:$Z$1037,Setup!$B$35))))</f>
        <v/>
      </c>
      <c r="X72" s="137">
        <f>IF($B72="","",CHOOSE(IFERROR(MATCH($C$4,Setup!$K$33:$K$36,0),1),SUMPRODUCT(COUNTIF('2027'!$C$1087:$Z$1087,Setup!$B$35)),SUMPRODUCT(COUNTIF('2028'!$C$1087:$Z$1087,Setup!$B$35)),SUMPRODUCT(COUNTIF('2029'!$C$1087:$Z$1087,Setup!$B$35)),SUMPRODUCT(COUNTIF('2030'!$C$1087:$Z$1087,Setup!$B$35))))</f>
        <v/>
      </c>
      <c r="Y72" s="137">
        <f>IF($B72="","",CHOOSE(IFERROR(MATCH($C$4,Setup!$K$33:$K$36,0),1),SUMPRODUCT(COUNTIF('2027'!$C$1137:$Z$1137,Setup!$B$35)),SUMPRODUCT(COUNTIF('2028'!$C$1137:$Z$1137,Setup!$B$35)),SUMPRODUCT(COUNTIF('2029'!$C$1137:$Z$1137,Setup!$B$35)),SUMPRODUCT(COUNTIF('2030'!$C$1137:$Z$1137,Setup!$B$35))))</f>
        <v/>
      </c>
      <c r="Z72" s="137">
        <f>IF($B72="","",CHOOSE(IFERROR(MATCH($C$4,Setup!$K$33:$K$36,0),1),SUMPRODUCT(COUNTIF('2027'!$C$1187:$Z$1187,Setup!$B$35)),SUMPRODUCT(COUNTIF('2028'!$C$1187:$Z$1187,Setup!$B$35)),SUMPRODUCT(COUNTIF('2029'!$C$1187:$Z$1187,Setup!$B$35)),SUMPRODUCT(COUNTIF('2030'!$C$1187:$Z$1187,Setup!$B$35))))</f>
        <v/>
      </c>
      <c r="AA72" s="137">
        <f>IF($B72="","",CHOOSE(IFERROR(MATCH($C$4,Setup!$K$33:$K$36,0),1),SUMPRODUCT(COUNTIF('2027'!$C$1237:$Z$1237,Setup!$B$35)),SUMPRODUCT(COUNTIF('2028'!$C$1237:$Z$1237,Setup!$B$35)),SUMPRODUCT(COUNTIF('2029'!$C$1237:$Z$1237,Setup!$B$35)),SUMPRODUCT(COUNTIF('2030'!$C$1237:$Z$1237,Setup!$B$35))))</f>
        <v/>
      </c>
      <c r="AB72" s="137">
        <f>IF($B72="","",CHOOSE(IFERROR(MATCH($C$4,Setup!$K$33:$K$36,0),1),SUMPRODUCT(COUNTIF('2027'!$C$1287:$Z$1287,Setup!$B$35)),SUMPRODUCT(COUNTIF('2028'!$C$1287:$Z$1287,Setup!$B$35)),SUMPRODUCT(COUNTIF('2029'!$C$1287:$Z$1287,Setup!$B$35)),SUMPRODUCT(COUNTIF('2030'!$C$1287:$Z$1287,Setup!$B$35))))</f>
        <v/>
      </c>
      <c r="AC72" s="137">
        <f>IF($B72="","",CHOOSE(IFERROR(MATCH($C$4,Setup!$K$33:$K$36,0),1),SUMPRODUCT(COUNTIF('2027'!$C$1337:$Z$1337,Setup!$B$35)),SUMPRODUCT(COUNTIF('2028'!$C$1337:$Z$1337,Setup!$B$35)),SUMPRODUCT(COUNTIF('2029'!$C$1337:$Z$1337,Setup!$B$35)),SUMPRODUCT(COUNTIF('2030'!$C$1337:$Z$1337,Setup!$B$35))))</f>
        <v/>
      </c>
      <c r="AD72" s="137">
        <f>IF($B72="","",CHOOSE(IFERROR(MATCH($C$4,Setup!$K$33:$K$36,0),1),SUMPRODUCT(COUNTIF('2027'!$C$1387:$Z$1387,Setup!$B$35)),SUMPRODUCT(COUNTIF('2028'!$C$1387:$Z$1387,Setup!$B$35)),SUMPRODUCT(COUNTIF('2029'!$C$1387:$Z$1387,Setup!$B$35)),SUMPRODUCT(COUNTIF('2030'!$C$1387:$Z$1387,Setup!$B$35))))</f>
        <v/>
      </c>
      <c r="AE72" s="137">
        <f>IF($B72="","",CHOOSE(IFERROR(MATCH($C$4,Setup!$K$33:$K$36,0),1),SUMPRODUCT(COUNTIF('2027'!$C$1437:$Z$1437,Setup!$B$35)),SUMPRODUCT(COUNTIF('2028'!$C$1437:$Z$1437,Setup!$B$35)),SUMPRODUCT(COUNTIF('2029'!$C$1437:$Z$1437,Setup!$B$35)),SUMPRODUCT(COUNTIF('2030'!$C$1437:$Z$1437,Setup!$B$35))))</f>
        <v/>
      </c>
      <c r="AF72" s="137">
        <f>IF($B72="","",CHOOSE(IFERROR(MATCH($C$4,Setup!$K$33:$K$36,0),1),SUMPRODUCT(COUNTIF('2027'!$C$1487:$Z$1487,Setup!$B$35)),SUMPRODUCT(COUNTIF('2028'!$C$1487:$Z$1487,Setup!$B$35)),SUMPRODUCT(COUNTIF('2029'!$C$1487:$Z$1487,Setup!$B$35)),SUMPRODUCT(COUNTIF('2030'!$C$1487:$Z$1487,Setup!$B$35))))</f>
        <v/>
      </c>
      <c r="AG72" s="137">
        <f>IF($B72="","",CHOOSE(IFERROR(MATCH($C$4,Setup!$K$33:$K$36,0),1),SUMPRODUCT(COUNTIF('2027'!$C$1537:$Z$1537,Setup!$B$35)),SUMPRODUCT(COUNTIF('2028'!$C$1537:$Z$1537,Setup!$B$35)),SUMPRODUCT(COUNTIF('2029'!$C$1537:$Z$1537,Setup!$B$35)),SUMPRODUCT(COUNTIF('2030'!$C$1537:$Z$1537,Setup!$B$35))))</f>
        <v/>
      </c>
      <c r="AH72" s="137">
        <f>IF($B72="","",CHOOSE(IFERROR(MATCH($C$4,Setup!$K$33:$K$36,0),1),SUMPRODUCT(COUNTIF('2027'!$C$1587:$Z$1587,Setup!$B$35)),SUMPRODUCT(COUNTIF('2028'!$C$1587:$Z$1587,Setup!$B$35)),SUMPRODUCT(COUNTIF('2029'!$C$1587:$Z$1587,Setup!$B$35)),SUMPRODUCT(COUNTIF('2030'!$C$1587:$Z$1587,Setup!$B$35))))</f>
        <v/>
      </c>
      <c r="AI72" s="137">
        <f>IF($B72="","",CHOOSE(IFERROR(MATCH($C$4,Setup!$K$33:$K$36,0),1),SUMPRODUCT(COUNTIF('2027'!$C$1637:$Z$1637,Setup!$B$35)),SUMPRODUCT(COUNTIF('2028'!$C$1637:$Z$1637,Setup!$B$35)),SUMPRODUCT(COUNTIF('2029'!$C$1637:$Z$1637,Setup!$B$35)),SUMPRODUCT(COUNTIF('2030'!$C$1637:$Z$1637,Setup!$B$35))))</f>
        <v/>
      </c>
      <c r="AJ72" s="137">
        <f>IF($B72="","",CHOOSE(IFERROR(MATCH($C$4,Setup!$K$33:$K$36,0),1),SUMPRODUCT(COUNTIF('2027'!$C$1687:$Z$1687,Setup!$B$35)),SUMPRODUCT(COUNTIF('2028'!$C$1687:$Z$1687,Setup!$B$35)),SUMPRODUCT(COUNTIF('2029'!$C$1687:$Z$1687,Setup!$B$35)),SUMPRODUCT(COUNTIF('2030'!$C$1687:$Z$1687,Setup!$B$35))))</f>
        <v/>
      </c>
      <c r="AK72" s="137">
        <f>IF($B72="","",CHOOSE(IFERROR(MATCH($C$4,Setup!$K$33:$K$36,0),1),SUMPRODUCT(COUNTIF('2027'!$C$1737:$Z$1737,Setup!$B$35)),SUMPRODUCT(COUNTIF('2028'!$C$1737:$Z$1737,Setup!$B$35)),SUMPRODUCT(COUNTIF('2029'!$C$1737:$Z$1737,Setup!$B$35)),SUMPRODUCT(COUNTIF('2030'!$C$1737:$Z$1737,Setup!$B$35))))</f>
        <v/>
      </c>
      <c r="AL72" s="137">
        <f>IF($B72="","",CHOOSE(IFERROR(MATCH($C$4,Setup!$K$33:$K$36,0),1),SUMPRODUCT(COUNTIF('2027'!$C$1787:$Z$1787,Setup!$B$35)),SUMPRODUCT(COUNTIF('2028'!$C$1787:$Z$1787,Setup!$B$35)),SUMPRODUCT(COUNTIF('2029'!$C$1787:$Z$1787,Setup!$B$35)),SUMPRODUCT(COUNTIF('2030'!$C$1787:$Z$1787,Setup!$B$35))))</f>
        <v/>
      </c>
      <c r="AM72" s="137">
        <f>IF($B72="","",CHOOSE(IFERROR(MATCH($C$4,Setup!$K$33:$K$36,0),1),SUMPRODUCT(COUNTIF('2027'!$C$1837:$Z$1837,Setup!$B$35)),SUMPRODUCT(COUNTIF('2028'!$C$1837:$Z$1837,Setup!$B$35)),SUMPRODUCT(COUNTIF('2029'!$C$1837:$Z$1837,Setup!$B$35)),SUMPRODUCT(COUNTIF('2030'!$C$1837:$Z$1837,Setup!$B$35))))</f>
        <v/>
      </c>
      <c r="AN72" s="137">
        <f>IF($B72="","",CHOOSE(IFERROR(MATCH($C$4,Setup!$K$33:$K$36,0),1),SUMPRODUCT(COUNTIF('2027'!$C$1887:$Z$1887,Setup!$B$35)),SUMPRODUCT(COUNTIF('2028'!$C$1887:$Z$1887,Setup!$B$35)),SUMPRODUCT(COUNTIF('2029'!$C$1887:$Z$1887,Setup!$B$35)),SUMPRODUCT(COUNTIF('2030'!$C$1887:$Z$1887,Setup!$B$35))))</f>
        <v/>
      </c>
      <c r="AO72" s="137">
        <f>IF($B72="","",CHOOSE(IFERROR(MATCH($C$4,Setup!$K$33:$K$36,0),1),SUMPRODUCT(COUNTIF('2027'!$C$1937:$Z$1937,Setup!$B$35)),SUMPRODUCT(COUNTIF('2028'!$C$1937:$Z$1937,Setup!$B$35)),SUMPRODUCT(COUNTIF('2029'!$C$1937:$Z$1937,Setup!$B$35)),SUMPRODUCT(COUNTIF('2030'!$C$1937:$Z$1937,Setup!$B$35))))</f>
        <v/>
      </c>
      <c r="AP72" s="137">
        <f>IF($B72="","",CHOOSE(IFERROR(MATCH($C$4,Setup!$K$33:$K$36,0),1),SUMPRODUCT(COUNTIF('2027'!$C$1987:$Z$1987,Setup!$B$35)),SUMPRODUCT(COUNTIF('2028'!$C$1987:$Z$1987,Setup!$B$35)),SUMPRODUCT(COUNTIF('2029'!$C$1987:$Z$1987,Setup!$B$35)),SUMPRODUCT(COUNTIF('2030'!$C$1987:$Z$1987,Setup!$B$35))))</f>
        <v/>
      </c>
      <c r="AQ72" s="137">
        <f>IF($B72="","",CHOOSE(IFERROR(MATCH($C$4,Setup!$K$33:$K$36,0),1),SUMPRODUCT(COUNTIF('2027'!$C$2037:$Z$2037,Setup!$B$35)),SUMPRODUCT(COUNTIF('2028'!$C$2037:$Z$2037,Setup!$B$35)),SUMPRODUCT(COUNTIF('2029'!$C$2037:$Z$2037,Setup!$B$35)),SUMPRODUCT(COUNTIF('2030'!$C$2037:$Z$2037,Setup!$B$35))))</f>
        <v/>
      </c>
      <c r="AR72" s="137">
        <f>IF($B72="","",CHOOSE(IFERROR(MATCH($C$4,Setup!$K$33:$K$36,0),1),SUMPRODUCT(COUNTIF('2027'!$C$2087:$Z$2087,Setup!$B$35)),SUMPRODUCT(COUNTIF('2028'!$C$2087:$Z$2087,Setup!$B$35)),SUMPRODUCT(COUNTIF('2029'!$C$2087:$Z$2087,Setup!$B$35)),SUMPRODUCT(COUNTIF('2030'!$C$2087:$Z$2087,Setup!$B$35))))</f>
        <v/>
      </c>
      <c r="AS72" s="137">
        <f>IF($B72="","",CHOOSE(IFERROR(MATCH($C$4,Setup!$K$33:$K$36,0),1),SUMPRODUCT(COUNTIF('2027'!$C$2137:$Z$2137,Setup!$B$35)),SUMPRODUCT(COUNTIF('2028'!$C$2137:$Z$2137,Setup!$B$35)),SUMPRODUCT(COUNTIF('2029'!$C$2137:$Z$2137,Setup!$B$35)),SUMPRODUCT(COUNTIF('2030'!$C$2137:$Z$2137,Setup!$B$35))))</f>
        <v/>
      </c>
      <c r="AT72" s="137">
        <f>IF($B72="","",CHOOSE(IFERROR(MATCH($C$4,Setup!$K$33:$K$36,0),1),SUMPRODUCT(COUNTIF('2027'!$C$2187:$Z$2187,Setup!$B$35)),SUMPRODUCT(COUNTIF('2028'!$C$2187:$Z$2187,Setup!$B$35)),SUMPRODUCT(COUNTIF('2029'!$C$2187:$Z$2187,Setup!$B$35)),SUMPRODUCT(COUNTIF('2030'!$C$2187:$Z$2187,Setup!$B$35))))</f>
        <v/>
      </c>
      <c r="AU72" s="137">
        <f>IF($B72="","",CHOOSE(IFERROR(MATCH($C$4,Setup!$K$33:$K$36,0),1),SUMPRODUCT(COUNTIF('2027'!$C$2237:$Z$2237,Setup!$B$35)),SUMPRODUCT(COUNTIF('2028'!$C$2237:$Z$2237,Setup!$B$35)),SUMPRODUCT(COUNTIF('2029'!$C$2237:$Z$2237,Setup!$B$35)),SUMPRODUCT(COUNTIF('2030'!$C$2237:$Z$2237,Setup!$B$35))))</f>
        <v/>
      </c>
      <c r="AV72" s="137">
        <f>IF($B72="","",CHOOSE(IFERROR(MATCH($C$4,Setup!$K$33:$K$36,0),1),SUMPRODUCT(COUNTIF('2027'!$C$2287:$Z$2287,Setup!$B$35)),SUMPRODUCT(COUNTIF('2028'!$C$2287:$Z$2287,Setup!$B$35)),SUMPRODUCT(COUNTIF('2029'!$C$2287:$Z$2287,Setup!$B$35)),SUMPRODUCT(COUNTIF('2030'!$C$2287:$Z$2287,Setup!$B$35))))</f>
        <v/>
      </c>
      <c r="AW72" s="137">
        <f>IF($B72="","",CHOOSE(IFERROR(MATCH($C$4,Setup!$K$33:$K$36,0),1),SUMPRODUCT(COUNTIF('2027'!$C$2337:$Z$2337,Setup!$B$35)),SUMPRODUCT(COUNTIF('2028'!$C$2337:$Z$2337,Setup!$B$35)),SUMPRODUCT(COUNTIF('2029'!$C$2337:$Z$2337,Setup!$B$35)),SUMPRODUCT(COUNTIF('2030'!$C$2337:$Z$2337,Setup!$B$35))))</f>
        <v/>
      </c>
      <c r="AX72" s="137">
        <f>IF($B72="","",CHOOSE(IFERROR(MATCH($C$4,Setup!$K$33:$K$36,0),1),SUMPRODUCT(COUNTIF('2027'!$C$2387:$Z$2387,Setup!$B$35)),SUMPRODUCT(COUNTIF('2028'!$C$2387:$Z$2387,Setup!$B$35)),SUMPRODUCT(COUNTIF('2029'!$C$2387:$Z$2387,Setup!$B$35)),SUMPRODUCT(COUNTIF('2030'!$C$2387:$Z$2387,Setup!$B$35))))</f>
        <v/>
      </c>
      <c r="AY72" s="137">
        <f>IF($B72="","",CHOOSE(IFERROR(MATCH($C$4,Setup!$K$33:$K$36,0),1),SUMPRODUCT(COUNTIF('2027'!$C$2437:$Z$2437,Setup!$B$35)),SUMPRODUCT(COUNTIF('2028'!$C$2437:$Z$2437,Setup!$B$35)),SUMPRODUCT(COUNTIF('2029'!$C$2437:$Z$2437,Setup!$B$35)),SUMPRODUCT(COUNTIF('2030'!$C$2437:$Z$2437,Setup!$B$35))))</f>
        <v/>
      </c>
      <c r="AZ72" s="137">
        <f>IF($B72="","",CHOOSE(IFERROR(MATCH($C$4,Setup!$K$33:$K$36,0),1),SUMPRODUCT(COUNTIF('2027'!$C$2487:$Z$2487,Setup!$B$35)),SUMPRODUCT(COUNTIF('2028'!$C$2487:$Z$2487,Setup!$B$35)),SUMPRODUCT(COUNTIF('2029'!$C$2487:$Z$2487,Setup!$B$35)),SUMPRODUCT(COUNTIF('2030'!$C$2487:$Z$2487,Setup!$B$35))))</f>
        <v/>
      </c>
      <c r="BA72" s="137">
        <f>IF($B72="","",CHOOSE(IFERROR(MATCH($C$4,Setup!$K$33:$K$36,0),1),SUMPRODUCT(COUNTIF('2027'!$C$2537:$Z$2537,Setup!$B$35)),SUMPRODUCT(COUNTIF('2028'!$C$2537:$Z$2537,Setup!$B$35)),SUMPRODUCT(COUNTIF('2029'!$C$2537:$Z$2537,Setup!$B$35)),SUMPRODUCT(COUNTIF('2030'!$C$2537:$Z$2537,Setup!$B$35))))</f>
        <v/>
      </c>
      <c r="BB72" s="137">
        <f>IF($B72="","",CHOOSE(IFERROR(MATCH($C$4,Setup!$K$33:$K$36,0),1),SUMPRODUCT(COUNTIF('2027'!$C$2587:$Z$2587,Setup!$B$35)),SUMPRODUCT(COUNTIF('2028'!$C$2587:$Z$2587,Setup!$B$35)),SUMPRODUCT(COUNTIF('2029'!$C$2587:$Z$2587,Setup!$B$35)),SUMPRODUCT(COUNTIF('2030'!$C$2587:$Z$2587,Setup!$B$35))))</f>
        <v/>
      </c>
      <c r="BC72" s="137">
        <f>IF($B72="","",CHOOSE(IFERROR(MATCH($C$4,Setup!$K$33:$K$36,0),1),SUMPRODUCT(COUNTIF('2027'!$C$2637:$Z$2637,Setup!$B$35)),SUMPRODUCT(COUNTIF('2028'!$C$2637:$Z$2637,Setup!$B$35)),SUMPRODUCT(COUNTIF('2029'!$C$2637:$Z$2637,Setup!$B$35)),SUMPRODUCT(COUNTIF('2030'!$C$2637:$Z$2637,Setup!$B$35))))</f>
        <v/>
      </c>
      <c r="BE72" s="129">
        <f>IF($B72="","",SUM(C72:BC72))</f>
        <v/>
      </c>
      <c r="BF72" s="130">
        <f>IF($B72="","",COUNTIF(C72:BC72,"&gt;0"))</f>
        <v/>
      </c>
      <c r="BG72" s="130">
        <f>IF(OR($B72="",N(BE72)=0),"",MATCH(MAX(C72:BC72),C72:BC72,0))</f>
        <v/>
      </c>
    </row>
    <row r="73" ht="15" customHeight="1">
      <c r="B73" s="136">
        <f>IF(Setup!$B$17="","",Setup!$B$17)</f>
        <v/>
      </c>
      <c r="C73" s="137">
        <f>IF($B73="","",CHOOSE(IFERROR(MATCH($C$4,Setup!$K$33:$K$36,0),1),SUMPRODUCT(COUNTIF('2027'!$C$38:$Z$38,Setup!$B$35)),SUMPRODUCT(COUNTIF('2028'!$C$38:$Z$38,Setup!$B$35)),SUMPRODUCT(COUNTIF('2029'!$C$38:$Z$38,Setup!$B$35)),SUMPRODUCT(COUNTIF('2030'!$C$38:$Z$38,Setup!$B$35))))</f>
        <v/>
      </c>
      <c r="D73" s="137">
        <f>IF($B73="","",CHOOSE(IFERROR(MATCH($C$4,Setup!$K$33:$K$36,0),1),SUMPRODUCT(COUNTIF('2027'!$C$88:$Z$88,Setup!$B$35)),SUMPRODUCT(COUNTIF('2028'!$C$88:$Z$88,Setup!$B$35)),SUMPRODUCT(COUNTIF('2029'!$C$88:$Z$88,Setup!$B$35)),SUMPRODUCT(COUNTIF('2030'!$C$88:$Z$88,Setup!$B$35))))</f>
        <v/>
      </c>
      <c r="E73" s="137">
        <f>IF($B73="","",CHOOSE(IFERROR(MATCH($C$4,Setup!$K$33:$K$36,0),1),SUMPRODUCT(COUNTIF('2027'!$C$138:$Z$138,Setup!$B$35)),SUMPRODUCT(COUNTIF('2028'!$C$138:$Z$138,Setup!$B$35)),SUMPRODUCT(COUNTIF('2029'!$C$138:$Z$138,Setup!$B$35)),SUMPRODUCT(COUNTIF('2030'!$C$138:$Z$138,Setup!$B$35))))</f>
        <v/>
      </c>
      <c r="F73" s="137">
        <f>IF($B73="","",CHOOSE(IFERROR(MATCH($C$4,Setup!$K$33:$K$36,0),1),SUMPRODUCT(COUNTIF('2027'!$C$188:$Z$188,Setup!$B$35)),SUMPRODUCT(COUNTIF('2028'!$C$188:$Z$188,Setup!$B$35)),SUMPRODUCT(COUNTIF('2029'!$C$188:$Z$188,Setup!$B$35)),SUMPRODUCT(COUNTIF('2030'!$C$188:$Z$188,Setup!$B$35))))</f>
        <v/>
      </c>
      <c r="G73" s="137">
        <f>IF($B73="","",CHOOSE(IFERROR(MATCH($C$4,Setup!$K$33:$K$36,0),1),SUMPRODUCT(COUNTIF('2027'!$C$238:$Z$238,Setup!$B$35)),SUMPRODUCT(COUNTIF('2028'!$C$238:$Z$238,Setup!$B$35)),SUMPRODUCT(COUNTIF('2029'!$C$238:$Z$238,Setup!$B$35)),SUMPRODUCT(COUNTIF('2030'!$C$238:$Z$238,Setup!$B$35))))</f>
        <v/>
      </c>
      <c r="H73" s="137">
        <f>IF($B73="","",CHOOSE(IFERROR(MATCH($C$4,Setup!$K$33:$K$36,0),1),SUMPRODUCT(COUNTIF('2027'!$C$288:$Z$288,Setup!$B$35)),SUMPRODUCT(COUNTIF('2028'!$C$288:$Z$288,Setup!$B$35)),SUMPRODUCT(COUNTIF('2029'!$C$288:$Z$288,Setup!$B$35)),SUMPRODUCT(COUNTIF('2030'!$C$288:$Z$288,Setup!$B$35))))</f>
        <v/>
      </c>
      <c r="I73" s="137">
        <f>IF($B73="","",CHOOSE(IFERROR(MATCH($C$4,Setup!$K$33:$K$36,0),1),SUMPRODUCT(COUNTIF('2027'!$C$338:$Z$338,Setup!$B$35)),SUMPRODUCT(COUNTIF('2028'!$C$338:$Z$338,Setup!$B$35)),SUMPRODUCT(COUNTIF('2029'!$C$338:$Z$338,Setup!$B$35)),SUMPRODUCT(COUNTIF('2030'!$C$338:$Z$338,Setup!$B$35))))</f>
        <v/>
      </c>
      <c r="J73" s="137">
        <f>IF($B73="","",CHOOSE(IFERROR(MATCH($C$4,Setup!$K$33:$K$36,0),1),SUMPRODUCT(COUNTIF('2027'!$C$388:$Z$388,Setup!$B$35)),SUMPRODUCT(COUNTIF('2028'!$C$388:$Z$388,Setup!$B$35)),SUMPRODUCT(COUNTIF('2029'!$C$388:$Z$388,Setup!$B$35)),SUMPRODUCT(COUNTIF('2030'!$C$388:$Z$388,Setup!$B$35))))</f>
        <v/>
      </c>
      <c r="K73" s="137">
        <f>IF($B73="","",CHOOSE(IFERROR(MATCH($C$4,Setup!$K$33:$K$36,0),1),SUMPRODUCT(COUNTIF('2027'!$C$438:$Z$438,Setup!$B$35)),SUMPRODUCT(COUNTIF('2028'!$C$438:$Z$438,Setup!$B$35)),SUMPRODUCT(COUNTIF('2029'!$C$438:$Z$438,Setup!$B$35)),SUMPRODUCT(COUNTIF('2030'!$C$438:$Z$438,Setup!$B$35))))</f>
        <v/>
      </c>
      <c r="L73" s="137">
        <f>IF($B73="","",CHOOSE(IFERROR(MATCH($C$4,Setup!$K$33:$K$36,0),1),SUMPRODUCT(COUNTIF('2027'!$C$488:$Z$488,Setup!$B$35)),SUMPRODUCT(COUNTIF('2028'!$C$488:$Z$488,Setup!$B$35)),SUMPRODUCT(COUNTIF('2029'!$C$488:$Z$488,Setup!$B$35)),SUMPRODUCT(COUNTIF('2030'!$C$488:$Z$488,Setup!$B$35))))</f>
        <v/>
      </c>
      <c r="M73" s="137">
        <f>IF($B73="","",CHOOSE(IFERROR(MATCH($C$4,Setup!$K$33:$K$36,0),1),SUMPRODUCT(COUNTIF('2027'!$C$538:$Z$538,Setup!$B$35)),SUMPRODUCT(COUNTIF('2028'!$C$538:$Z$538,Setup!$B$35)),SUMPRODUCT(COUNTIF('2029'!$C$538:$Z$538,Setup!$B$35)),SUMPRODUCT(COUNTIF('2030'!$C$538:$Z$538,Setup!$B$35))))</f>
        <v/>
      </c>
      <c r="N73" s="137">
        <f>IF($B73="","",CHOOSE(IFERROR(MATCH($C$4,Setup!$K$33:$K$36,0),1),SUMPRODUCT(COUNTIF('2027'!$C$588:$Z$588,Setup!$B$35)),SUMPRODUCT(COUNTIF('2028'!$C$588:$Z$588,Setup!$B$35)),SUMPRODUCT(COUNTIF('2029'!$C$588:$Z$588,Setup!$B$35)),SUMPRODUCT(COUNTIF('2030'!$C$588:$Z$588,Setup!$B$35))))</f>
        <v/>
      </c>
      <c r="O73" s="137">
        <f>IF($B73="","",CHOOSE(IFERROR(MATCH($C$4,Setup!$K$33:$K$36,0),1),SUMPRODUCT(COUNTIF('2027'!$C$638:$Z$638,Setup!$B$35)),SUMPRODUCT(COUNTIF('2028'!$C$638:$Z$638,Setup!$B$35)),SUMPRODUCT(COUNTIF('2029'!$C$638:$Z$638,Setup!$B$35)),SUMPRODUCT(COUNTIF('2030'!$C$638:$Z$638,Setup!$B$35))))</f>
        <v/>
      </c>
      <c r="P73" s="137">
        <f>IF($B73="","",CHOOSE(IFERROR(MATCH($C$4,Setup!$K$33:$K$36,0),1),SUMPRODUCT(COUNTIF('2027'!$C$688:$Z$688,Setup!$B$35)),SUMPRODUCT(COUNTIF('2028'!$C$688:$Z$688,Setup!$B$35)),SUMPRODUCT(COUNTIF('2029'!$C$688:$Z$688,Setup!$B$35)),SUMPRODUCT(COUNTIF('2030'!$C$688:$Z$688,Setup!$B$35))))</f>
        <v/>
      </c>
      <c r="Q73" s="137">
        <f>IF($B73="","",CHOOSE(IFERROR(MATCH($C$4,Setup!$K$33:$K$36,0),1),SUMPRODUCT(COUNTIF('2027'!$C$738:$Z$738,Setup!$B$35)),SUMPRODUCT(COUNTIF('2028'!$C$738:$Z$738,Setup!$B$35)),SUMPRODUCT(COUNTIF('2029'!$C$738:$Z$738,Setup!$B$35)),SUMPRODUCT(COUNTIF('2030'!$C$738:$Z$738,Setup!$B$35))))</f>
        <v/>
      </c>
      <c r="R73" s="137">
        <f>IF($B73="","",CHOOSE(IFERROR(MATCH($C$4,Setup!$K$33:$K$36,0),1),SUMPRODUCT(COUNTIF('2027'!$C$788:$Z$788,Setup!$B$35)),SUMPRODUCT(COUNTIF('2028'!$C$788:$Z$788,Setup!$B$35)),SUMPRODUCT(COUNTIF('2029'!$C$788:$Z$788,Setup!$B$35)),SUMPRODUCT(COUNTIF('2030'!$C$788:$Z$788,Setup!$B$35))))</f>
        <v/>
      </c>
      <c r="S73" s="137">
        <f>IF($B73="","",CHOOSE(IFERROR(MATCH($C$4,Setup!$K$33:$K$36,0),1),SUMPRODUCT(COUNTIF('2027'!$C$838:$Z$838,Setup!$B$35)),SUMPRODUCT(COUNTIF('2028'!$C$838:$Z$838,Setup!$B$35)),SUMPRODUCT(COUNTIF('2029'!$C$838:$Z$838,Setup!$B$35)),SUMPRODUCT(COUNTIF('2030'!$C$838:$Z$838,Setup!$B$35))))</f>
        <v/>
      </c>
      <c r="T73" s="137">
        <f>IF($B73="","",CHOOSE(IFERROR(MATCH($C$4,Setup!$K$33:$K$36,0),1),SUMPRODUCT(COUNTIF('2027'!$C$888:$Z$888,Setup!$B$35)),SUMPRODUCT(COUNTIF('2028'!$C$888:$Z$888,Setup!$B$35)),SUMPRODUCT(COUNTIF('2029'!$C$888:$Z$888,Setup!$B$35)),SUMPRODUCT(COUNTIF('2030'!$C$888:$Z$888,Setup!$B$35))))</f>
        <v/>
      </c>
      <c r="U73" s="137">
        <f>IF($B73="","",CHOOSE(IFERROR(MATCH($C$4,Setup!$K$33:$K$36,0),1),SUMPRODUCT(COUNTIF('2027'!$C$938:$Z$938,Setup!$B$35)),SUMPRODUCT(COUNTIF('2028'!$C$938:$Z$938,Setup!$B$35)),SUMPRODUCT(COUNTIF('2029'!$C$938:$Z$938,Setup!$B$35)),SUMPRODUCT(COUNTIF('2030'!$C$938:$Z$938,Setup!$B$35))))</f>
        <v/>
      </c>
      <c r="V73" s="137">
        <f>IF($B73="","",CHOOSE(IFERROR(MATCH($C$4,Setup!$K$33:$K$36,0),1),SUMPRODUCT(COUNTIF('2027'!$C$988:$Z$988,Setup!$B$35)),SUMPRODUCT(COUNTIF('2028'!$C$988:$Z$988,Setup!$B$35)),SUMPRODUCT(COUNTIF('2029'!$C$988:$Z$988,Setup!$B$35)),SUMPRODUCT(COUNTIF('2030'!$C$988:$Z$988,Setup!$B$35))))</f>
        <v/>
      </c>
      <c r="W73" s="137">
        <f>IF($B73="","",CHOOSE(IFERROR(MATCH($C$4,Setup!$K$33:$K$36,0),1),SUMPRODUCT(COUNTIF('2027'!$C$1038:$Z$1038,Setup!$B$35)),SUMPRODUCT(COUNTIF('2028'!$C$1038:$Z$1038,Setup!$B$35)),SUMPRODUCT(COUNTIF('2029'!$C$1038:$Z$1038,Setup!$B$35)),SUMPRODUCT(COUNTIF('2030'!$C$1038:$Z$1038,Setup!$B$35))))</f>
        <v/>
      </c>
      <c r="X73" s="137">
        <f>IF($B73="","",CHOOSE(IFERROR(MATCH($C$4,Setup!$K$33:$K$36,0),1),SUMPRODUCT(COUNTIF('2027'!$C$1088:$Z$1088,Setup!$B$35)),SUMPRODUCT(COUNTIF('2028'!$C$1088:$Z$1088,Setup!$B$35)),SUMPRODUCT(COUNTIF('2029'!$C$1088:$Z$1088,Setup!$B$35)),SUMPRODUCT(COUNTIF('2030'!$C$1088:$Z$1088,Setup!$B$35))))</f>
        <v/>
      </c>
      <c r="Y73" s="137">
        <f>IF($B73="","",CHOOSE(IFERROR(MATCH($C$4,Setup!$K$33:$K$36,0),1),SUMPRODUCT(COUNTIF('2027'!$C$1138:$Z$1138,Setup!$B$35)),SUMPRODUCT(COUNTIF('2028'!$C$1138:$Z$1138,Setup!$B$35)),SUMPRODUCT(COUNTIF('2029'!$C$1138:$Z$1138,Setup!$B$35)),SUMPRODUCT(COUNTIF('2030'!$C$1138:$Z$1138,Setup!$B$35))))</f>
        <v/>
      </c>
      <c r="Z73" s="137">
        <f>IF($B73="","",CHOOSE(IFERROR(MATCH($C$4,Setup!$K$33:$K$36,0),1),SUMPRODUCT(COUNTIF('2027'!$C$1188:$Z$1188,Setup!$B$35)),SUMPRODUCT(COUNTIF('2028'!$C$1188:$Z$1188,Setup!$B$35)),SUMPRODUCT(COUNTIF('2029'!$C$1188:$Z$1188,Setup!$B$35)),SUMPRODUCT(COUNTIF('2030'!$C$1188:$Z$1188,Setup!$B$35))))</f>
        <v/>
      </c>
      <c r="AA73" s="137">
        <f>IF($B73="","",CHOOSE(IFERROR(MATCH($C$4,Setup!$K$33:$K$36,0),1),SUMPRODUCT(COUNTIF('2027'!$C$1238:$Z$1238,Setup!$B$35)),SUMPRODUCT(COUNTIF('2028'!$C$1238:$Z$1238,Setup!$B$35)),SUMPRODUCT(COUNTIF('2029'!$C$1238:$Z$1238,Setup!$B$35)),SUMPRODUCT(COUNTIF('2030'!$C$1238:$Z$1238,Setup!$B$35))))</f>
        <v/>
      </c>
      <c r="AB73" s="137">
        <f>IF($B73="","",CHOOSE(IFERROR(MATCH($C$4,Setup!$K$33:$K$36,0),1),SUMPRODUCT(COUNTIF('2027'!$C$1288:$Z$1288,Setup!$B$35)),SUMPRODUCT(COUNTIF('2028'!$C$1288:$Z$1288,Setup!$B$35)),SUMPRODUCT(COUNTIF('2029'!$C$1288:$Z$1288,Setup!$B$35)),SUMPRODUCT(COUNTIF('2030'!$C$1288:$Z$1288,Setup!$B$35))))</f>
        <v/>
      </c>
      <c r="AC73" s="137">
        <f>IF($B73="","",CHOOSE(IFERROR(MATCH($C$4,Setup!$K$33:$K$36,0),1),SUMPRODUCT(COUNTIF('2027'!$C$1338:$Z$1338,Setup!$B$35)),SUMPRODUCT(COUNTIF('2028'!$C$1338:$Z$1338,Setup!$B$35)),SUMPRODUCT(COUNTIF('2029'!$C$1338:$Z$1338,Setup!$B$35)),SUMPRODUCT(COUNTIF('2030'!$C$1338:$Z$1338,Setup!$B$35))))</f>
        <v/>
      </c>
      <c r="AD73" s="137">
        <f>IF($B73="","",CHOOSE(IFERROR(MATCH($C$4,Setup!$K$33:$K$36,0),1),SUMPRODUCT(COUNTIF('2027'!$C$1388:$Z$1388,Setup!$B$35)),SUMPRODUCT(COUNTIF('2028'!$C$1388:$Z$1388,Setup!$B$35)),SUMPRODUCT(COUNTIF('2029'!$C$1388:$Z$1388,Setup!$B$35)),SUMPRODUCT(COUNTIF('2030'!$C$1388:$Z$1388,Setup!$B$35))))</f>
        <v/>
      </c>
      <c r="AE73" s="137">
        <f>IF($B73="","",CHOOSE(IFERROR(MATCH($C$4,Setup!$K$33:$K$36,0),1),SUMPRODUCT(COUNTIF('2027'!$C$1438:$Z$1438,Setup!$B$35)),SUMPRODUCT(COUNTIF('2028'!$C$1438:$Z$1438,Setup!$B$35)),SUMPRODUCT(COUNTIF('2029'!$C$1438:$Z$1438,Setup!$B$35)),SUMPRODUCT(COUNTIF('2030'!$C$1438:$Z$1438,Setup!$B$35))))</f>
        <v/>
      </c>
      <c r="AF73" s="137">
        <f>IF($B73="","",CHOOSE(IFERROR(MATCH($C$4,Setup!$K$33:$K$36,0),1),SUMPRODUCT(COUNTIF('2027'!$C$1488:$Z$1488,Setup!$B$35)),SUMPRODUCT(COUNTIF('2028'!$C$1488:$Z$1488,Setup!$B$35)),SUMPRODUCT(COUNTIF('2029'!$C$1488:$Z$1488,Setup!$B$35)),SUMPRODUCT(COUNTIF('2030'!$C$1488:$Z$1488,Setup!$B$35))))</f>
        <v/>
      </c>
      <c r="AG73" s="137">
        <f>IF($B73="","",CHOOSE(IFERROR(MATCH($C$4,Setup!$K$33:$K$36,0),1),SUMPRODUCT(COUNTIF('2027'!$C$1538:$Z$1538,Setup!$B$35)),SUMPRODUCT(COUNTIF('2028'!$C$1538:$Z$1538,Setup!$B$35)),SUMPRODUCT(COUNTIF('2029'!$C$1538:$Z$1538,Setup!$B$35)),SUMPRODUCT(COUNTIF('2030'!$C$1538:$Z$1538,Setup!$B$35))))</f>
        <v/>
      </c>
      <c r="AH73" s="137">
        <f>IF($B73="","",CHOOSE(IFERROR(MATCH($C$4,Setup!$K$33:$K$36,0),1),SUMPRODUCT(COUNTIF('2027'!$C$1588:$Z$1588,Setup!$B$35)),SUMPRODUCT(COUNTIF('2028'!$C$1588:$Z$1588,Setup!$B$35)),SUMPRODUCT(COUNTIF('2029'!$C$1588:$Z$1588,Setup!$B$35)),SUMPRODUCT(COUNTIF('2030'!$C$1588:$Z$1588,Setup!$B$35))))</f>
        <v/>
      </c>
      <c r="AI73" s="137">
        <f>IF($B73="","",CHOOSE(IFERROR(MATCH($C$4,Setup!$K$33:$K$36,0),1),SUMPRODUCT(COUNTIF('2027'!$C$1638:$Z$1638,Setup!$B$35)),SUMPRODUCT(COUNTIF('2028'!$C$1638:$Z$1638,Setup!$B$35)),SUMPRODUCT(COUNTIF('2029'!$C$1638:$Z$1638,Setup!$B$35)),SUMPRODUCT(COUNTIF('2030'!$C$1638:$Z$1638,Setup!$B$35))))</f>
        <v/>
      </c>
      <c r="AJ73" s="137">
        <f>IF($B73="","",CHOOSE(IFERROR(MATCH($C$4,Setup!$K$33:$K$36,0),1),SUMPRODUCT(COUNTIF('2027'!$C$1688:$Z$1688,Setup!$B$35)),SUMPRODUCT(COUNTIF('2028'!$C$1688:$Z$1688,Setup!$B$35)),SUMPRODUCT(COUNTIF('2029'!$C$1688:$Z$1688,Setup!$B$35)),SUMPRODUCT(COUNTIF('2030'!$C$1688:$Z$1688,Setup!$B$35))))</f>
        <v/>
      </c>
      <c r="AK73" s="137">
        <f>IF($B73="","",CHOOSE(IFERROR(MATCH($C$4,Setup!$K$33:$K$36,0),1),SUMPRODUCT(COUNTIF('2027'!$C$1738:$Z$1738,Setup!$B$35)),SUMPRODUCT(COUNTIF('2028'!$C$1738:$Z$1738,Setup!$B$35)),SUMPRODUCT(COUNTIF('2029'!$C$1738:$Z$1738,Setup!$B$35)),SUMPRODUCT(COUNTIF('2030'!$C$1738:$Z$1738,Setup!$B$35))))</f>
        <v/>
      </c>
      <c r="AL73" s="137">
        <f>IF($B73="","",CHOOSE(IFERROR(MATCH($C$4,Setup!$K$33:$K$36,0),1),SUMPRODUCT(COUNTIF('2027'!$C$1788:$Z$1788,Setup!$B$35)),SUMPRODUCT(COUNTIF('2028'!$C$1788:$Z$1788,Setup!$B$35)),SUMPRODUCT(COUNTIF('2029'!$C$1788:$Z$1788,Setup!$B$35)),SUMPRODUCT(COUNTIF('2030'!$C$1788:$Z$1788,Setup!$B$35))))</f>
        <v/>
      </c>
      <c r="AM73" s="137">
        <f>IF($B73="","",CHOOSE(IFERROR(MATCH($C$4,Setup!$K$33:$K$36,0),1),SUMPRODUCT(COUNTIF('2027'!$C$1838:$Z$1838,Setup!$B$35)),SUMPRODUCT(COUNTIF('2028'!$C$1838:$Z$1838,Setup!$B$35)),SUMPRODUCT(COUNTIF('2029'!$C$1838:$Z$1838,Setup!$B$35)),SUMPRODUCT(COUNTIF('2030'!$C$1838:$Z$1838,Setup!$B$35))))</f>
        <v/>
      </c>
      <c r="AN73" s="137">
        <f>IF($B73="","",CHOOSE(IFERROR(MATCH($C$4,Setup!$K$33:$K$36,0),1),SUMPRODUCT(COUNTIF('2027'!$C$1888:$Z$1888,Setup!$B$35)),SUMPRODUCT(COUNTIF('2028'!$C$1888:$Z$1888,Setup!$B$35)),SUMPRODUCT(COUNTIF('2029'!$C$1888:$Z$1888,Setup!$B$35)),SUMPRODUCT(COUNTIF('2030'!$C$1888:$Z$1888,Setup!$B$35))))</f>
        <v/>
      </c>
      <c r="AO73" s="137">
        <f>IF($B73="","",CHOOSE(IFERROR(MATCH($C$4,Setup!$K$33:$K$36,0),1),SUMPRODUCT(COUNTIF('2027'!$C$1938:$Z$1938,Setup!$B$35)),SUMPRODUCT(COUNTIF('2028'!$C$1938:$Z$1938,Setup!$B$35)),SUMPRODUCT(COUNTIF('2029'!$C$1938:$Z$1938,Setup!$B$35)),SUMPRODUCT(COUNTIF('2030'!$C$1938:$Z$1938,Setup!$B$35))))</f>
        <v/>
      </c>
      <c r="AP73" s="137">
        <f>IF($B73="","",CHOOSE(IFERROR(MATCH($C$4,Setup!$K$33:$K$36,0),1),SUMPRODUCT(COUNTIF('2027'!$C$1988:$Z$1988,Setup!$B$35)),SUMPRODUCT(COUNTIF('2028'!$C$1988:$Z$1988,Setup!$B$35)),SUMPRODUCT(COUNTIF('2029'!$C$1988:$Z$1988,Setup!$B$35)),SUMPRODUCT(COUNTIF('2030'!$C$1988:$Z$1988,Setup!$B$35))))</f>
        <v/>
      </c>
      <c r="AQ73" s="137">
        <f>IF($B73="","",CHOOSE(IFERROR(MATCH($C$4,Setup!$K$33:$K$36,0),1),SUMPRODUCT(COUNTIF('2027'!$C$2038:$Z$2038,Setup!$B$35)),SUMPRODUCT(COUNTIF('2028'!$C$2038:$Z$2038,Setup!$B$35)),SUMPRODUCT(COUNTIF('2029'!$C$2038:$Z$2038,Setup!$B$35)),SUMPRODUCT(COUNTIF('2030'!$C$2038:$Z$2038,Setup!$B$35))))</f>
        <v/>
      </c>
      <c r="AR73" s="137">
        <f>IF($B73="","",CHOOSE(IFERROR(MATCH($C$4,Setup!$K$33:$K$36,0),1),SUMPRODUCT(COUNTIF('2027'!$C$2088:$Z$2088,Setup!$B$35)),SUMPRODUCT(COUNTIF('2028'!$C$2088:$Z$2088,Setup!$B$35)),SUMPRODUCT(COUNTIF('2029'!$C$2088:$Z$2088,Setup!$B$35)),SUMPRODUCT(COUNTIF('2030'!$C$2088:$Z$2088,Setup!$B$35))))</f>
        <v/>
      </c>
      <c r="AS73" s="137">
        <f>IF($B73="","",CHOOSE(IFERROR(MATCH($C$4,Setup!$K$33:$K$36,0),1),SUMPRODUCT(COUNTIF('2027'!$C$2138:$Z$2138,Setup!$B$35)),SUMPRODUCT(COUNTIF('2028'!$C$2138:$Z$2138,Setup!$B$35)),SUMPRODUCT(COUNTIF('2029'!$C$2138:$Z$2138,Setup!$B$35)),SUMPRODUCT(COUNTIF('2030'!$C$2138:$Z$2138,Setup!$B$35))))</f>
        <v/>
      </c>
      <c r="AT73" s="137">
        <f>IF($B73="","",CHOOSE(IFERROR(MATCH($C$4,Setup!$K$33:$K$36,0),1),SUMPRODUCT(COUNTIF('2027'!$C$2188:$Z$2188,Setup!$B$35)),SUMPRODUCT(COUNTIF('2028'!$C$2188:$Z$2188,Setup!$B$35)),SUMPRODUCT(COUNTIF('2029'!$C$2188:$Z$2188,Setup!$B$35)),SUMPRODUCT(COUNTIF('2030'!$C$2188:$Z$2188,Setup!$B$35))))</f>
        <v/>
      </c>
      <c r="AU73" s="137">
        <f>IF($B73="","",CHOOSE(IFERROR(MATCH($C$4,Setup!$K$33:$K$36,0),1),SUMPRODUCT(COUNTIF('2027'!$C$2238:$Z$2238,Setup!$B$35)),SUMPRODUCT(COUNTIF('2028'!$C$2238:$Z$2238,Setup!$B$35)),SUMPRODUCT(COUNTIF('2029'!$C$2238:$Z$2238,Setup!$B$35)),SUMPRODUCT(COUNTIF('2030'!$C$2238:$Z$2238,Setup!$B$35))))</f>
        <v/>
      </c>
      <c r="AV73" s="137">
        <f>IF($B73="","",CHOOSE(IFERROR(MATCH($C$4,Setup!$K$33:$K$36,0),1),SUMPRODUCT(COUNTIF('2027'!$C$2288:$Z$2288,Setup!$B$35)),SUMPRODUCT(COUNTIF('2028'!$C$2288:$Z$2288,Setup!$B$35)),SUMPRODUCT(COUNTIF('2029'!$C$2288:$Z$2288,Setup!$B$35)),SUMPRODUCT(COUNTIF('2030'!$C$2288:$Z$2288,Setup!$B$35))))</f>
        <v/>
      </c>
      <c r="AW73" s="137">
        <f>IF($B73="","",CHOOSE(IFERROR(MATCH($C$4,Setup!$K$33:$K$36,0),1),SUMPRODUCT(COUNTIF('2027'!$C$2338:$Z$2338,Setup!$B$35)),SUMPRODUCT(COUNTIF('2028'!$C$2338:$Z$2338,Setup!$B$35)),SUMPRODUCT(COUNTIF('2029'!$C$2338:$Z$2338,Setup!$B$35)),SUMPRODUCT(COUNTIF('2030'!$C$2338:$Z$2338,Setup!$B$35))))</f>
        <v/>
      </c>
      <c r="AX73" s="137">
        <f>IF($B73="","",CHOOSE(IFERROR(MATCH($C$4,Setup!$K$33:$K$36,0),1),SUMPRODUCT(COUNTIF('2027'!$C$2388:$Z$2388,Setup!$B$35)),SUMPRODUCT(COUNTIF('2028'!$C$2388:$Z$2388,Setup!$B$35)),SUMPRODUCT(COUNTIF('2029'!$C$2388:$Z$2388,Setup!$B$35)),SUMPRODUCT(COUNTIF('2030'!$C$2388:$Z$2388,Setup!$B$35))))</f>
        <v/>
      </c>
      <c r="AY73" s="137">
        <f>IF($B73="","",CHOOSE(IFERROR(MATCH($C$4,Setup!$K$33:$K$36,0),1),SUMPRODUCT(COUNTIF('2027'!$C$2438:$Z$2438,Setup!$B$35)),SUMPRODUCT(COUNTIF('2028'!$C$2438:$Z$2438,Setup!$B$35)),SUMPRODUCT(COUNTIF('2029'!$C$2438:$Z$2438,Setup!$B$35)),SUMPRODUCT(COUNTIF('2030'!$C$2438:$Z$2438,Setup!$B$35))))</f>
        <v/>
      </c>
      <c r="AZ73" s="137">
        <f>IF($B73="","",CHOOSE(IFERROR(MATCH($C$4,Setup!$K$33:$K$36,0),1),SUMPRODUCT(COUNTIF('2027'!$C$2488:$Z$2488,Setup!$B$35)),SUMPRODUCT(COUNTIF('2028'!$C$2488:$Z$2488,Setup!$B$35)),SUMPRODUCT(COUNTIF('2029'!$C$2488:$Z$2488,Setup!$B$35)),SUMPRODUCT(COUNTIF('2030'!$C$2488:$Z$2488,Setup!$B$35))))</f>
        <v/>
      </c>
      <c r="BA73" s="137">
        <f>IF($B73="","",CHOOSE(IFERROR(MATCH($C$4,Setup!$K$33:$K$36,0),1),SUMPRODUCT(COUNTIF('2027'!$C$2538:$Z$2538,Setup!$B$35)),SUMPRODUCT(COUNTIF('2028'!$C$2538:$Z$2538,Setup!$B$35)),SUMPRODUCT(COUNTIF('2029'!$C$2538:$Z$2538,Setup!$B$35)),SUMPRODUCT(COUNTIF('2030'!$C$2538:$Z$2538,Setup!$B$35))))</f>
        <v/>
      </c>
      <c r="BB73" s="137">
        <f>IF($B73="","",CHOOSE(IFERROR(MATCH($C$4,Setup!$K$33:$K$36,0),1),SUMPRODUCT(COUNTIF('2027'!$C$2588:$Z$2588,Setup!$B$35)),SUMPRODUCT(COUNTIF('2028'!$C$2588:$Z$2588,Setup!$B$35)),SUMPRODUCT(COUNTIF('2029'!$C$2588:$Z$2588,Setup!$B$35)),SUMPRODUCT(COUNTIF('2030'!$C$2588:$Z$2588,Setup!$B$35))))</f>
        <v/>
      </c>
      <c r="BC73" s="137">
        <f>IF($B73="","",CHOOSE(IFERROR(MATCH($C$4,Setup!$K$33:$K$36,0),1),SUMPRODUCT(COUNTIF('2027'!$C$2638:$Z$2638,Setup!$B$35)),SUMPRODUCT(COUNTIF('2028'!$C$2638:$Z$2638,Setup!$B$35)),SUMPRODUCT(COUNTIF('2029'!$C$2638:$Z$2638,Setup!$B$35)),SUMPRODUCT(COUNTIF('2030'!$C$2638:$Z$2638,Setup!$B$35))))</f>
        <v/>
      </c>
      <c r="BE73" s="129">
        <f>IF($B73="","",SUM(C73:BC73))</f>
        <v/>
      </c>
      <c r="BF73" s="130">
        <f>IF($B73="","",COUNTIF(C73:BC73,"&gt;0"))</f>
        <v/>
      </c>
      <c r="BG73" s="130">
        <f>IF(OR($B73="",N(BE73)=0),"",MATCH(MAX(C73:BC73),C73:BC73,0))</f>
        <v/>
      </c>
    </row>
    <row r="74" ht="15" customHeight="1">
      <c r="B74" s="136">
        <f>IF(Setup!$B$18="","",Setup!$B$18)</f>
        <v/>
      </c>
      <c r="C74" s="137">
        <f>IF($B74="","",CHOOSE(IFERROR(MATCH($C$4,Setup!$K$33:$K$36,0),1),SUMPRODUCT(COUNTIF('2027'!$C$39:$Z$39,Setup!$B$35)),SUMPRODUCT(COUNTIF('2028'!$C$39:$Z$39,Setup!$B$35)),SUMPRODUCT(COUNTIF('2029'!$C$39:$Z$39,Setup!$B$35)),SUMPRODUCT(COUNTIF('2030'!$C$39:$Z$39,Setup!$B$35))))</f>
        <v/>
      </c>
      <c r="D74" s="137">
        <f>IF($B74="","",CHOOSE(IFERROR(MATCH($C$4,Setup!$K$33:$K$36,0),1),SUMPRODUCT(COUNTIF('2027'!$C$89:$Z$89,Setup!$B$35)),SUMPRODUCT(COUNTIF('2028'!$C$89:$Z$89,Setup!$B$35)),SUMPRODUCT(COUNTIF('2029'!$C$89:$Z$89,Setup!$B$35)),SUMPRODUCT(COUNTIF('2030'!$C$89:$Z$89,Setup!$B$35))))</f>
        <v/>
      </c>
      <c r="E74" s="137">
        <f>IF($B74="","",CHOOSE(IFERROR(MATCH($C$4,Setup!$K$33:$K$36,0),1),SUMPRODUCT(COUNTIF('2027'!$C$139:$Z$139,Setup!$B$35)),SUMPRODUCT(COUNTIF('2028'!$C$139:$Z$139,Setup!$B$35)),SUMPRODUCT(COUNTIF('2029'!$C$139:$Z$139,Setup!$B$35)),SUMPRODUCT(COUNTIF('2030'!$C$139:$Z$139,Setup!$B$35))))</f>
        <v/>
      </c>
      <c r="F74" s="137">
        <f>IF($B74="","",CHOOSE(IFERROR(MATCH($C$4,Setup!$K$33:$K$36,0),1),SUMPRODUCT(COUNTIF('2027'!$C$189:$Z$189,Setup!$B$35)),SUMPRODUCT(COUNTIF('2028'!$C$189:$Z$189,Setup!$B$35)),SUMPRODUCT(COUNTIF('2029'!$C$189:$Z$189,Setup!$B$35)),SUMPRODUCT(COUNTIF('2030'!$C$189:$Z$189,Setup!$B$35))))</f>
        <v/>
      </c>
      <c r="G74" s="137">
        <f>IF($B74="","",CHOOSE(IFERROR(MATCH($C$4,Setup!$K$33:$K$36,0),1),SUMPRODUCT(COUNTIF('2027'!$C$239:$Z$239,Setup!$B$35)),SUMPRODUCT(COUNTIF('2028'!$C$239:$Z$239,Setup!$B$35)),SUMPRODUCT(COUNTIF('2029'!$C$239:$Z$239,Setup!$B$35)),SUMPRODUCT(COUNTIF('2030'!$C$239:$Z$239,Setup!$B$35))))</f>
        <v/>
      </c>
      <c r="H74" s="137">
        <f>IF($B74="","",CHOOSE(IFERROR(MATCH($C$4,Setup!$K$33:$K$36,0),1),SUMPRODUCT(COUNTIF('2027'!$C$289:$Z$289,Setup!$B$35)),SUMPRODUCT(COUNTIF('2028'!$C$289:$Z$289,Setup!$B$35)),SUMPRODUCT(COUNTIF('2029'!$C$289:$Z$289,Setup!$B$35)),SUMPRODUCT(COUNTIF('2030'!$C$289:$Z$289,Setup!$B$35))))</f>
        <v/>
      </c>
      <c r="I74" s="137">
        <f>IF($B74="","",CHOOSE(IFERROR(MATCH($C$4,Setup!$K$33:$K$36,0),1),SUMPRODUCT(COUNTIF('2027'!$C$339:$Z$339,Setup!$B$35)),SUMPRODUCT(COUNTIF('2028'!$C$339:$Z$339,Setup!$B$35)),SUMPRODUCT(COUNTIF('2029'!$C$339:$Z$339,Setup!$B$35)),SUMPRODUCT(COUNTIF('2030'!$C$339:$Z$339,Setup!$B$35))))</f>
        <v/>
      </c>
      <c r="J74" s="137">
        <f>IF($B74="","",CHOOSE(IFERROR(MATCH($C$4,Setup!$K$33:$K$36,0),1),SUMPRODUCT(COUNTIF('2027'!$C$389:$Z$389,Setup!$B$35)),SUMPRODUCT(COUNTIF('2028'!$C$389:$Z$389,Setup!$B$35)),SUMPRODUCT(COUNTIF('2029'!$C$389:$Z$389,Setup!$B$35)),SUMPRODUCT(COUNTIF('2030'!$C$389:$Z$389,Setup!$B$35))))</f>
        <v/>
      </c>
      <c r="K74" s="137">
        <f>IF($B74="","",CHOOSE(IFERROR(MATCH($C$4,Setup!$K$33:$K$36,0),1),SUMPRODUCT(COUNTIF('2027'!$C$439:$Z$439,Setup!$B$35)),SUMPRODUCT(COUNTIF('2028'!$C$439:$Z$439,Setup!$B$35)),SUMPRODUCT(COUNTIF('2029'!$C$439:$Z$439,Setup!$B$35)),SUMPRODUCT(COUNTIF('2030'!$C$439:$Z$439,Setup!$B$35))))</f>
        <v/>
      </c>
      <c r="L74" s="137">
        <f>IF($B74="","",CHOOSE(IFERROR(MATCH($C$4,Setup!$K$33:$K$36,0),1),SUMPRODUCT(COUNTIF('2027'!$C$489:$Z$489,Setup!$B$35)),SUMPRODUCT(COUNTIF('2028'!$C$489:$Z$489,Setup!$B$35)),SUMPRODUCT(COUNTIF('2029'!$C$489:$Z$489,Setup!$B$35)),SUMPRODUCT(COUNTIF('2030'!$C$489:$Z$489,Setup!$B$35))))</f>
        <v/>
      </c>
      <c r="M74" s="137">
        <f>IF($B74="","",CHOOSE(IFERROR(MATCH($C$4,Setup!$K$33:$K$36,0),1),SUMPRODUCT(COUNTIF('2027'!$C$539:$Z$539,Setup!$B$35)),SUMPRODUCT(COUNTIF('2028'!$C$539:$Z$539,Setup!$B$35)),SUMPRODUCT(COUNTIF('2029'!$C$539:$Z$539,Setup!$B$35)),SUMPRODUCT(COUNTIF('2030'!$C$539:$Z$539,Setup!$B$35))))</f>
        <v/>
      </c>
      <c r="N74" s="137">
        <f>IF($B74="","",CHOOSE(IFERROR(MATCH($C$4,Setup!$K$33:$K$36,0),1),SUMPRODUCT(COUNTIF('2027'!$C$589:$Z$589,Setup!$B$35)),SUMPRODUCT(COUNTIF('2028'!$C$589:$Z$589,Setup!$B$35)),SUMPRODUCT(COUNTIF('2029'!$C$589:$Z$589,Setup!$B$35)),SUMPRODUCT(COUNTIF('2030'!$C$589:$Z$589,Setup!$B$35))))</f>
        <v/>
      </c>
      <c r="O74" s="137">
        <f>IF($B74="","",CHOOSE(IFERROR(MATCH($C$4,Setup!$K$33:$K$36,0),1),SUMPRODUCT(COUNTIF('2027'!$C$639:$Z$639,Setup!$B$35)),SUMPRODUCT(COUNTIF('2028'!$C$639:$Z$639,Setup!$B$35)),SUMPRODUCT(COUNTIF('2029'!$C$639:$Z$639,Setup!$B$35)),SUMPRODUCT(COUNTIF('2030'!$C$639:$Z$639,Setup!$B$35))))</f>
        <v/>
      </c>
      <c r="P74" s="137">
        <f>IF($B74="","",CHOOSE(IFERROR(MATCH($C$4,Setup!$K$33:$K$36,0),1),SUMPRODUCT(COUNTIF('2027'!$C$689:$Z$689,Setup!$B$35)),SUMPRODUCT(COUNTIF('2028'!$C$689:$Z$689,Setup!$B$35)),SUMPRODUCT(COUNTIF('2029'!$C$689:$Z$689,Setup!$B$35)),SUMPRODUCT(COUNTIF('2030'!$C$689:$Z$689,Setup!$B$35))))</f>
        <v/>
      </c>
      <c r="Q74" s="137">
        <f>IF($B74="","",CHOOSE(IFERROR(MATCH($C$4,Setup!$K$33:$K$36,0),1),SUMPRODUCT(COUNTIF('2027'!$C$739:$Z$739,Setup!$B$35)),SUMPRODUCT(COUNTIF('2028'!$C$739:$Z$739,Setup!$B$35)),SUMPRODUCT(COUNTIF('2029'!$C$739:$Z$739,Setup!$B$35)),SUMPRODUCT(COUNTIF('2030'!$C$739:$Z$739,Setup!$B$35))))</f>
        <v/>
      </c>
      <c r="R74" s="137">
        <f>IF($B74="","",CHOOSE(IFERROR(MATCH($C$4,Setup!$K$33:$K$36,0),1),SUMPRODUCT(COUNTIF('2027'!$C$789:$Z$789,Setup!$B$35)),SUMPRODUCT(COUNTIF('2028'!$C$789:$Z$789,Setup!$B$35)),SUMPRODUCT(COUNTIF('2029'!$C$789:$Z$789,Setup!$B$35)),SUMPRODUCT(COUNTIF('2030'!$C$789:$Z$789,Setup!$B$35))))</f>
        <v/>
      </c>
      <c r="S74" s="137">
        <f>IF($B74="","",CHOOSE(IFERROR(MATCH($C$4,Setup!$K$33:$K$36,0),1),SUMPRODUCT(COUNTIF('2027'!$C$839:$Z$839,Setup!$B$35)),SUMPRODUCT(COUNTIF('2028'!$C$839:$Z$839,Setup!$B$35)),SUMPRODUCT(COUNTIF('2029'!$C$839:$Z$839,Setup!$B$35)),SUMPRODUCT(COUNTIF('2030'!$C$839:$Z$839,Setup!$B$35))))</f>
        <v/>
      </c>
      <c r="T74" s="137">
        <f>IF($B74="","",CHOOSE(IFERROR(MATCH($C$4,Setup!$K$33:$K$36,0),1),SUMPRODUCT(COUNTIF('2027'!$C$889:$Z$889,Setup!$B$35)),SUMPRODUCT(COUNTIF('2028'!$C$889:$Z$889,Setup!$B$35)),SUMPRODUCT(COUNTIF('2029'!$C$889:$Z$889,Setup!$B$35)),SUMPRODUCT(COUNTIF('2030'!$C$889:$Z$889,Setup!$B$35))))</f>
        <v/>
      </c>
      <c r="U74" s="137">
        <f>IF($B74="","",CHOOSE(IFERROR(MATCH($C$4,Setup!$K$33:$K$36,0),1),SUMPRODUCT(COUNTIF('2027'!$C$939:$Z$939,Setup!$B$35)),SUMPRODUCT(COUNTIF('2028'!$C$939:$Z$939,Setup!$B$35)),SUMPRODUCT(COUNTIF('2029'!$C$939:$Z$939,Setup!$B$35)),SUMPRODUCT(COUNTIF('2030'!$C$939:$Z$939,Setup!$B$35))))</f>
        <v/>
      </c>
      <c r="V74" s="137">
        <f>IF($B74="","",CHOOSE(IFERROR(MATCH($C$4,Setup!$K$33:$K$36,0),1),SUMPRODUCT(COUNTIF('2027'!$C$989:$Z$989,Setup!$B$35)),SUMPRODUCT(COUNTIF('2028'!$C$989:$Z$989,Setup!$B$35)),SUMPRODUCT(COUNTIF('2029'!$C$989:$Z$989,Setup!$B$35)),SUMPRODUCT(COUNTIF('2030'!$C$989:$Z$989,Setup!$B$35))))</f>
        <v/>
      </c>
      <c r="W74" s="137">
        <f>IF($B74="","",CHOOSE(IFERROR(MATCH($C$4,Setup!$K$33:$K$36,0),1),SUMPRODUCT(COUNTIF('2027'!$C$1039:$Z$1039,Setup!$B$35)),SUMPRODUCT(COUNTIF('2028'!$C$1039:$Z$1039,Setup!$B$35)),SUMPRODUCT(COUNTIF('2029'!$C$1039:$Z$1039,Setup!$B$35)),SUMPRODUCT(COUNTIF('2030'!$C$1039:$Z$1039,Setup!$B$35))))</f>
        <v/>
      </c>
      <c r="X74" s="137">
        <f>IF($B74="","",CHOOSE(IFERROR(MATCH($C$4,Setup!$K$33:$K$36,0),1),SUMPRODUCT(COUNTIF('2027'!$C$1089:$Z$1089,Setup!$B$35)),SUMPRODUCT(COUNTIF('2028'!$C$1089:$Z$1089,Setup!$B$35)),SUMPRODUCT(COUNTIF('2029'!$C$1089:$Z$1089,Setup!$B$35)),SUMPRODUCT(COUNTIF('2030'!$C$1089:$Z$1089,Setup!$B$35))))</f>
        <v/>
      </c>
      <c r="Y74" s="137">
        <f>IF($B74="","",CHOOSE(IFERROR(MATCH($C$4,Setup!$K$33:$K$36,0),1),SUMPRODUCT(COUNTIF('2027'!$C$1139:$Z$1139,Setup!$B$35)),SUMPRODUCT(COUNTIF('2028'!$C$1139:$Z$1139,Setup!$B$35)),SUMPRODUCT(COUNTIF('2029'!$C$1139:$Z$1139,Setup!$B$35)),SUMPRODUCT(COUNTIF('2030'!$C$1139:$Z$1139,Setup!$B$35))))</f>
        <v/>
      </c>
      <c r="Z74" s="137">
        <f>IF($B74="","",CHOOSE(IFERROR(MATCH($C$4,Setup!$K$33:$K$36,0),1),SUMPRODUCT(COUNTIF('2027'!$C$1189:$Z$1189,Setup!$B$35)),SUMPRODUCT(COUNTIF('2028'!$C$1189:$Z$1189,Setup!$B$35)),SUMPRODUCT(COUNTIF('2029'!$C$1189:$Z$1189,Setup!$B$35)),SUMPRODUCT(COUNTIF('2030'!$C$1189:$Z$1189,Setup!$B$35))))</f>
        <v/>
      </c>
      <c r="AA74" s="137">
        <f>IF($B74="","",CHOOSE(IFERROR(MATCH($C$4,Setup!$K$33:$K$36,0),1),SUMPRODUCT(COUNTIF('2027'!$C$1239:$Z$1239,Setup!$B$35)),SUMPRODUCT(COUNTIF('2028'!$C$1239:$Z$1239,Setup!$B$35)),SUMPRODUCT(COUNTIF('2029'!$C$1239:$Z$1239,Setup!$B$35)),SUMPRODUCT(COUNTIF('2030'!$C$1239:$Z$1239,Setup!$B$35))))</f>
        <v/>
      </c>
      <c r="AB74" s="137">
        <f>IF($B74="","",CHOOSE(IFERROR(MATCH($C$4,Setup!$K$33:$K$36,0),1),SUMPRODUCT(COUNTIF('2027'!$C$1289:$Z$1289,Setup!$B$35)),SUMPRODUCT(COUNTIF('2028'!$C$1289:$Z$1289,Setup!$B$35)),SUMPRODUCT(COUNTIF('2029'!$C$1289:$Z$1289,Setup!$B$35)),SUMPRODUCT(COUNTIF('2030'!$C$1289:$Z$1289,Setup!$B$35))))</f>
        <v/>
      </c>
      <c r="AC74" s="137">
        <f>IF($B74="","",CHOOSE(IFERROR(MATCH($C$4,Setup!$K$33:$K$36,0),1),SUMPRODUCT(COUNTIF('2027'!$C$1339:$Z$1339,Setup!$B$35)),SUMPRODUCT(COUNTIF('2028'!$C$1339:$Z$1339,Setup!$B$35)),SUMPRODUCT(COUNTIF('2029'!$C$1339:$Z$1339,Setup!$B$35)),SUMPRODUCT(COUNTIF('2030'!$C$1339:$Z$1339,Setup!$B$35))))</f>
        <v/>
      </c>
      <c r="AD74" s="137">
        <f>IF($B74="","",CHOOSE(IFERROR(MATCH($C$4,Setup!$K$33:$K$36,0),1),SUMPRODUCT(COUNTIF('2027'!$C$1389:$Z$1389,Setup!$B$35)),SUMPRODUCT(COUNTIF('2028'!$C$1389:$Z$1389,Setup!$B$35)),SUMPRODUCT(COUNTIF('2029'!$C$1389:$Z$1389,Setup!$B$35)),SUMPRODUCT(COUNTIF('2030'!$C$1389:$Z$1389,Setup!$B$35))))</f>
        <v/>
      </c>
      <c r="AE74" s="137">
        <f>IF($B74="","",CHOOSE(IFERROR(MATCH($C$4,Setup!$K$33:$K$36,0),1),SUMPRODUCT(COUNTIF('2027'!$C$1439:$Z$1439,Setup!$B$35)),SUMPRODUCT(COUNTIF('2028'!$C$1439:$Z$1439,Setup!$B$35)),SUMPRODUCT(COUNTIF('2029'!$C$1439:$Z$1439,Setup!$B$35)),SUMPRODUCT(COUNTIF('2030'!$C$1439:$Z$1439,Setup!$B$35))))</f>
        <v/>
      </c>
      <c r="AF74" s="137">
        <f>IF($B74="","",CHOOSE(IFERROR(MATCH($C$4,Setup!$K$33:$K$36,0),1),SUMPRODUCT(COUNTIF('2027'!$C$1489:$Z$1489,Setup!$B$35)),SUMPRODUCT(COUNTIF('2028'!$C$1489:$Z$1489,Setup!$B$35)),SUMPRODUCT(COUNTIF('2029'!$C$1489:$Z$1489,Setup!$B$35)),SUMPRODUCT(COUNTIF('2030'!$C$1489:$Z$1489,Setup!$B$35))))</f>
        <v/>
      </c>
      <c r="AG74" s="137">
        <f>IF($B74="","",CHOOSE(IFERROR(MATCH($C$4,Setup!$K$33:$K$36,0),1),SUMPRODUCT(COUNTIF('2027'!$C$1539:$Z$1539,Setup!$B$35)),SUMPRODUCT(COUNTIF('2028'!$C$1539:$Z$1539,Setup!$B$35)),SUMPRODUCT(COUNTIF('2029'!$C$1539:$Z$1539,Setup!$B$35)),SUMPRODUCT(COUNTIF('2030'!$C$1539:$Z$1539,Setup!$B$35))))</f>
        <v/>
      </c>
      <c r="AH74" s="137">
        <f>IF($B74="","",CHOOSE(IFERROR(MATCH($C$4,Setup!$K$33:$K$36,0),1),SUMPRODUCT(COUNTIF('2027'!$C$1589:$Z$1589,Setup!$B$35)),SUMPRODUCT(COUNTIF('2028'!$C$1589:$Z$1589,Setup!$B$35)),SUMPRODUCT(COUNTIF('2029'!$C$1589:$Z$1589,Setup!$B$35)),SUMPRODUCT(COUNTIF('2030'!$C$1589:$Z$1589,Setup!$B$35))))</f>
        <v/>
      </c>
      <c r="AI74" s="137">
        <f>IF($B74="","",CHOOSE(IFERROR(MATCH($C$4,Setup!$K$33:$K$36,0),1),SUMPRODUCT(COUNTIF('2027'!$C$1639:$Z$1639,Setup!$B$35)),SUMPRODUCT(COUNTIF('2028'!$C$1639:$Z$1639,Setup!$B$35)),SUMPRODUCT(COUNTIF('2029'!$C$1639:$Z$1639,Setup!$B$35)),SUMPRODUCT(COUNTIF('2030'!$C$1639:$Z$1639,Setup!$B$35))))</f>
        <v/>
      </c>
      <c r="AJ74" s="137">
        <f>IF($B74="","",CHOOSE(IFERROR(MATCH($C$4,Setup!$K$33:$K$36,0),1),SUMPRODUCT(COUNTIF('2027'!$C$1689:$Z$1689,Setup!$B$35)),SUMPRODUCT(COUNTIF('2028'!$C$1689:$Z$1689,Setup!$B$35)),SUMPRODUCT(COUNTIF('2029'!$C$1689:$Z$1689,Setup!$B$35)),SUMPRODUCT(COUNTIF('2030'!$C$1689:$Z$1689,Setup!$B$35))))</f>
        <v/>
      </c>
      <c r="AK74" s="137">
        <f>IF($B74="","",CHOOSE(IFERROR(MATCH($C$4,Setup!$K$33:$K$36,0),1),SUMPRODUCT(COUNTIF('2027'!$C$1739:$Z$1739,Setup!$B$35)),SUMPRODUCT(COUNTIF('2028'!$C$1739:$Z$1739,Setup!$B$35)),SUMPRODUCT(COUNTIF('2029'!$C$1739:$Z$1739,Setup!$B$35)),SUMPRODUCT(COUNTIF('2030'!$C$1739:$Z$1739,Setup!$B$35))))</f>
        <v/>
      </c>
      <c r="AL74" s="137">
        <f>IF($B74="","",CHOOSE(IFERROR(MATCH($C$4,Setup!$K$33:$K$36,0),1),SUMPRODUCT(COUNTIF('2027'!$C$1789:$Z$1789,Setup!$B$35)),SUMPRODUCT(COUNTIF('2028'!$C$1789:$Z$1789,Setup!$B$35)),SUMPRODUCT(COUNTIF('2029'!$C$1789:$Z$1789,Setup!$B$35)),SUMPRODUCT(COUNTIF('2030'!$C$1789:$Z$1789,Setup!$B$35))))</f>
        <v/>
      </c>
      <c r="AM74" s="137">
        <f>IF($B74="","",CHOOSE(IFERROR(MATCH($C$4,Setup!$K$33:$K$36,0),1),SUMPRODUCT(COUNTIF('2027'!$C$1839:$Z$1839,Setup!$B$35)),SUMPRODUCT(COUNTIF('2028'!$C$1839:$Z$1839,Setup!$B$35)),SUMPRODUCT(COUNTIF('2029'!$C$1839:$Z$1839,Setup!$B$35)),SUMPRODUCT(COUNTIF('2030'!$C$1839:$Z$1839,Setup!$B$35))))</f>
        <v/>
      </c>
      <c r="AN74" s="137">
        <f>IF($B74="","",CHOOSE(IFERROR(MATCH($C$4,Setup!$K$33:$K$36,0),1),SUMPRODUCT(COUNTIF('2027'!$C$1889:$Z$1889,Setup!$B$35)),SUMPRODUCT(COUNTIF('2028'!$C$1889:$Z$1889,Setup!$B$35)),SUMPRODUCT(COUNTIF('2029'!$C$1889:$Z$1889,Setup!$B$35)),SUMPRODUCT(COUNTIF('2030'!$C$1889:$Z$1889,Setup!$B$35))))</f>
        <v/>
      </c>
      <c r="AO74" s="137">
        <f>IF($B74="","",CHOOSE(IFERROR(MATCH($C$4,Setup!$K$33:$K$36,0),1),SUMPRODUCT(COUNTIF('2027'!$C$1939:$Z$1939,Setup!$B$35)),SUMPRODUCT(COUNTIF('2028'!$C$1939:$Z$1939,Setup!$B$35)),SUMPRODUCT(COUNTIF('2029'!$C$1939:$Z$1939,Setup!$B$35)),SUMPRODUCT(COUNTIF('2030'!$C$1939:$Z$1939,Setup!$B$35))))</f>
        <v/>
      </c>
      <c r="AP74" s="137">
        <f>IF($B74="","",CHOOSE(IFERROR(MATCH($C$4,Setup!$K$33:$K$36,0),1),SUMPRODUCT(COUNTIF('2027'!$C$1989:$Z$1989,Setup!$B$35)),SUMPRODUCT(COUNTIF('2028'!$C$1989:$Z$1989,Setup!$B$35)),SUMPRODUCT(COUNTIF('2029'!$C$1989:$Z$1989,Setup!$B$35)),SUMPRODUCT(COUNTIF('2030'!$C$1989:$Z$1989,Setup!$B$35))))</f>
        <v/>
      </c>
      <c r="AQ74" s="137">
        <f>IF($B74="","",CHOOSE(IFERROR(MATCH($C$4,Setup!$K$33:$K$36,0),1),SUMPRODUCT(COUNTIF('2027'!$C$2039:$Z$2039,Setup!$B$35)),SUMPRODUCT(COUNTIF('2028'!$C$2039:$Z$2039,Setup!$B$35)),SUMPRODUCT(COUNTIF('2029'!$C$2039:$Z$2039,Setup!$B$35)),SUMPRODUCT(COUNTIF('2030'!$C$2039:$Z$2039,Setup!$B$35))))</f>
        <v/>
      </c>
      <c r="AR74" s="137">
        <f>IF($B74="","",CHOOSE(IFERROR(MATCH($C$4,Setup!$K$33:$K$36,0),1),SUMPRODUCT(COUNTIF('2027'!$C$2089:$Z$2089,Setup!$B$35)),SUMPRODUCT(COUNTIF('2028'!$C$2089:$Z$2089,Setup!$B$35)),SUMPRODUCT(COUNTIF('2029'!$C$2089:$Z$2089,Setup!$B$35)),SUMPRODUCT(COUNTIF('2030'!$C$2089:$Z$2089,Setup!$B$35))))</f>
        <v/>
      </c>
      <c r="AS74" s="137">
        <f>IF($B74="","",CHOOSE(IFERROR(MATCH($C$4,Setup!$K$33:$K$36,0),1),SUMPRODUCT(COUNTIF('2027'!$C$2139:$Z$2139,Setup!$B$35)),SUMPRODUCT(COUNTIF('2028'!$C$2139:$Z$2139,Setup!$B$35)),SUMPRODUCT(COUNTIF('2029'!$C$2139:$Z$2139,Setup!$B$35)),SUMPRODUCT(COUNTIF('2030'!$C$2139:$Z$2139,Setup!$B$35))))</f>
        <v/>
      </c>
      <c r="AT74" s="137">
        <f>IF($B74="","",CHOOSE(IFERROR(MATCH($C$4,Setup!$K$33:$K$36,0),1),SUMPRODUCT(COUNTIF('2027'!$C$2189:$Z$2189,Setup!$B$35)),SUMPRODUCT(COUNTIF('2028'!$C$2189:$Z$2189,Setup!$B$35)),SUMPRODUCT(COUNTIF('2029'!$C$2189:$Z$2189,Setup!$B$35)),SUMPRODUCT(COUNTIF('2030'!$C$2189:$Z$2189,Setup!$B$35))))</f>
        <v/>
      </c>
      <c r="AU74" s="137">
        <f>IF($B74="","",CHOOSE(IFERROR(MATCH($C$4,Setup!$K$33:$K$36,0),1),SUMPRODUCT(COUNTIF('2027'!$C$2239:$Z$2239,Setup!$B$35)),SUMPRODUCT(COUNTIF('2028'!$C$2239:$Z$2239,Setup!$B$35)),SUMPRODUCT(COUNTIF('2029'!$C$2239:$Z$2239,Setup!$B$35)),SUMPRODUCT(COUNTIF('2030'!$C$2239:$Z$2239,Setup!$B$35))))</f>
        <v/>
      </c>
      <c r="AV74" s="137">
        <f>IF($B74="","",CHOOSE(IFERROR(MATCH($C$4,Setup!$K$33:$K$36,0),1),SUMPRODUCT(COUNTIF('2027'!$C$2289:$Z$2289,Setup!$B$35)),SUMPRODUCT(COUNTIF('2028'!$C$2289:$Z$2289,Setup!$B$35)),SUMPRODUCT(COUNTIF('2029'!$C$2289:$Z$2289,Setup!$B$35)),SUMPRODUCT(COUNTIF('2030'!$C$2289:$Z$2289,Setup!$B$35))))</f>
        <v/>
      </c>
      <c r="AW74" s="137">
        <f>IF($B74="","",CHOOSE(IFERROR(MATCH($C$4,Setup!$K$33:$K$36,0),1),SUMPRODUCT(COUNTIF('2027'!$C$2339:$Z$2339,Setup!$B$35)),SUMPRODUCT(COUNTIF('2028'!$C$2339:$Z$2339,Setup!$B$35)),SUMPRODUCT(COUNTIF('2029'!$C$2339:$Z$2339,Setup!$B$35)),SUMPRODUCT(COUNTIF('2030'!$C$2339:$Z$2339,Setup!$B$35))))</f>
        <v/>
      </c>
      <c r="AX74" s="137">
        <f>IF($B74="","",CHOOSE(IFERROR(MATCH($C$4,Setup!$K$33:$K$36,0),1),SUMPRODUCT(COUNTIF('2027'!$C$2389:$Z$2389,Setup!$B$35)),SUMPRODUCT(COUNTIF('2028'!$C$2389:$Z$2389,Setup!$B$35)),SUMPRODUCT(COUNTIF('2029'!$C$2389:$Z$2389,Setup!$B$35)),SUMPRODUCT(COUNTIF('2030'!$C$2389:$Z$2389,Setup!$B$35))))</f>
        <v/>
      </c>
      <c r="AY74" s="137">
        <f>IF($B74="","",CHOOSE(IFERROR(MATCH($C$4,Setup!$K$33:$K$36,0),1),SUMPRODUCT(COUNTIF('2027'!$C$2439:$Z$2439,Setup!$B$35)),SUMPRODUCT(COUNTIF('2028'!$C$2439:$Z$2439,Setup!$B$35)),SUMPRODUCT(COUNTIF('2029'!$C$2439:$Z$2439,Setup!$B$35)),SUMPRODUCT(COUNTIF('2030'!$C$2439:$Z$2439,Setup!$B$35))))</f>
        <v/>
      </c>
      <c r="AZ74" s="137">
        <f>IF($B74="","",CHOOSE(IFERROR(MATCH($C$4,Setup!$K$33:$K$36,0),1),SUMPRODUCT(COUNTIF('2027'!$C$2489:$Z$2489,Setup!$B$35)),SUMPRODUCT(COUNTIF('2028'!$C$2489:$Z$2489,Setup!$B$35)),SUMPRODUCT(COUNTIF('2029'!$C$2489:$Z$2489,Setup!$B$35)),SUMPRODUCT(COUNTIF('2030'!$C$2489:$Z$2489,Setup!$B$35))))</f>
        <v/>
      </c>
      <c r="BA74" s="137">
        <f>IF($B74="","",CHOOSE(IFERROR(MATCH($C$4,Setup!$K$33:$K$36,0),1),SUMPRODUCT(COUNTIF('2027'!$C$2539:$Z$2539,Setup!$B$35)),SUMPRODUCT(COUNTIF('2028'!$C$2539:$Z$2539,Setup!$B$35)),SUMPRODUCT(COUNTIF('2029'!$C$2539:$Z$2539,Setup!$B$35)),SUMPRODUCT(COUNTIF('2030'!$C$2539:$Z$2539,Setup!$B$35))))</f>
        <v/>
      </c>
      <c r="BB74" s="137">
        <f>IF($B74="","",CHOOSE(IFERROR(MATCH($C$4,Setup!$K$33:$K$36,0),1),SUMPRODUCT(COUNTIF('2027'!$C$2589:$Z$2589,Setup!$B$35)),SUMPRODUCT(COUNTIF('2028'!$C$2589:$Z$2589,Setup!$B$35)),SUMPRODUCT(COUNTIF('2029'!$C$2589:$Z$2589,Setup!$B$35)),SUMPRODUCT(COUNTIF('2030'!$C$2589:$Z$2589,Setup!$B$35))))</f>
        <v/>
      </c>
      <c r="BC74" s="137">
        <f>IF($B74="","",CHOOSE(IFERROR(MATCH($C$4,Setup!$K$33:$K$36,0),1),SUMPRODUCT(COUNTIF('2027'!$C$2639:$Z$2639,Setup!$B$35)),SUMPRODUCT(COUNTIF('2028'!$C$2639:$Z$2639,Setup!$B$35)),SUMPRODUCT(COUNTIF('2029'!$C$2639:$Z$2639,Setup!$B$35)),SUMPRODUCT(COUNTIF('2030'!$C$2639:$Z$2639,Setup!$B$35))))</f>
        <v/>
      </c>
      <c r="BE74" s="129">
        <f>IF($B74="","",SUM(C74:BC74))</f>
        <v/>
      </c>
      <c r="BF74" s="130">
        <f>IF($B74="","",COUNTIF(C74:BC74,"&gt;0"))</f>
        <v/>
      </c>
      <c r="BG74" s="130">
        <f>IF(OR($B74="",N(BE74)=0),"",MATCH(MAX(C74:BC74),C74:BC74,0))</f>
        <v/>
      </c>
    </row>
    <row r="75" ht="15" customHeight="1">
      <c r="B75" s="136">
        <f>IF(Setup!$B$19="","",Setup!$B$19)</f>
        <v/>
      </c>
      <c r="C75" s="137">
        <f>IF($B75="","",CHOOSE(IFERROR(MATCH($C$4,Setup!$K$33:$K$36,0),1),SUMPRODUCT(COUNTIF('2027'!$C$40:$Z$40,Setup!$B$35)),SUMPRODUCT(COUNTIF('2028'!$C$40:$Z$40,Setup!$B$35)),SUMPRODUCT(COUNTIF('2029'!$C$40:$Z$40,Setup!$B$35)),SUMPRODUCT(COUNTIF('2030'!$C$40:$Z$40,Setup!$B$35))))</f>
        <v/>
      </c>
      <c r="D75" s="137">
        <f>IF($B75="","",CHOOSE(IFERROR(MATCH($C$4,Setup!$K$33:$K$36,0),1),SUMPRODUCT(COUNTIF('2027'!$C$90:$Z$90,Setup!$B$35)),SUMPRODUCT(COUNTIF('2028'!$C$90:$Z$90,Setup!$B$35)),SUMPRODUCT(COUNTIF('2029'!$C$90:$Z$90,Setup!$B$35)),SUMPRODUCT(COUNTIF('2030'!$C$90:$Z$90,Setup!$B$35))))</f>
        <v/>
      </c>
      <c r="E75" s="137">
        <f>IF($B75="","",CHOOSE(IFERROR(MATCH($C$4,Setup!$K$33:$K$36,0),1),SUMPRODUCT(COUNTIF('2027'!$C$140:$Z$140,Setup!$B$35)),SUMPRODUCT(COUNTIF('2028'!$C$140:$Z$140,Setup!$B$35)),SUMPRODUCT(COUNTIF('2029'!$C$140:$Z$140,Setup!$B$35)),SUMPRODUCT(COUNTIF('2030'!$C$140:$Z$140,Setup!$B$35))))</f>
        <v/>
      </c>
      <c r="F75" s="137">
        <f>IF($B75="","",CHOOSE(IFERROR(MATCH($C$4,Setup!$K$33:$K$36,0),1),SUMPRODUCT(COUNTIF('2027'!$C$190:$Z$190,Setup!$B$35)),SUMPRODUCT(COUNTIF('2028'!$C$190:$Z$190,Setup!$B$35)),SUMPRODUCT(COUNTIF('2029'!$C$190:$Z$190,Setup!$B$35)),SUMPRODUCT(COUNTIF('2030'!$C$190:$Z$190,Setup!$B$35))))</f>
        <v/>
      </c>
      <c r="G75" s="137">
        <f>IF($B75="","",CHOOSE(IFERROR(MATCH($C$4,Setup!$K$33:$K$36,0),1),SUMPRODUCT(COUNTIF('2027'!$C$240:$Z$240,Setup!$B$35)),SUMPRODUCT(COUNTIF('2028'!$C$240:$Z$240,Setup!$B$35)),SUMPRODUCT(COUNTIF('2029'!$C$240:$Z$240,Setup!$B$35)),SUMPRODUCT(COUNTIF('2030'!$C$240:$Z$240,Setup!$B$35))))</f>
        <v/>
      </c>
      <c r="H75" s="137">
        <f>IF($B75="","",CHOOSE(IFERROR(MATCH($C$4,Setup!$K$33:$K$36,0),1),SUMPRODUCT(COUNTIF('2027'!$C$290:$Z$290,Setup!$B$35)),SUMPRODUCT(COUNTIF('2028'!$C$290:$Z$290,Setup!$B$35)),SUMPRODUCT(COUNTIF('2029'!$C$290:$Z$290,Setup!$B$35)),SUMPRODUCT(COUNTIF('2030'!$C$290:$Z$290,Setup!$B$35))))</f>
        <v/>
      </c>
      <c r="I75" s="137">
        <f>IF($B75="","",CHOOSE(IFERROR(MATCH($C$4,Setup!$K$33:$K$36,0),1),SUMPRODUCT(COUNTIF('2027'!$C$340:$Z$340,Setup!$B$35)),SUMPRODUCT(COUNTIF('2028'!$C$340:$Z$340,Setup!$B$35)),SUMPRODUCT(COUNTIF('2029'!$C$340:$Z$340,Setup!$B$35)),SUMPRODUCT(COUNTIF('2030'!$C$340:$Z$340,Setup!$B$35))))</f>
        <v/>
      </c>
      <c r="J75" s="137">
        <f>IF($B75="","",CHOOSE(IFERROR(MATCH($C$4,Setup!$K$33:$K$36,0),1),SUMPRODUCT(COUNTIF('2027'!$C$390:$Z$390,Setup!$B$35)),SUMPRODUCT(COUNTIF('2028'!$C$390:$Z$390,Setup!$B$35)),SUMPRODUCT(COUNTIF('2029'!$C$390:$Z$390,Setup!$B$35)),SUMPRODUCT(COUNTIF('2030'!$C$390:$Z$390,Setup!$B$35))))</f>
        <v/>
      </c>
      <c r="K75" s="137">
        <f>IF($B75="","",CHOOSE(IFERROR(MATCH($C$4,Setup!$K$33:$K$36,0),1),SUMPRODUCT(COUNTIF('2027'!$C$440:$Z$440,Setup!$B$35)),SUMPRODUCT(COUNTIF('2028'!$C$440:$Z$440,Setup!$B$35)),SUMPRODUCT(COUNTIF('2029'!$C$440:$Z$440,Setup!$B$35)),SUMPRODUCT(COUNTIF('2030'!$C$440:$Z$440,Setup!$B$35))))</f>
        <v/>
      </c>
      <c r="L75" s="137">
        <f>IF($B75="","",CHOOSE(IFERROR(MATCH($C$4,Setup!$K$33:$K$36,0),1),SUMPRODUCT(COUNTIF('2027'!$C$490:$Z$490,Setup!$B$35)),SUMPRODUCT(COUNTIF('2028'!$C$490:$Z$490,Setup!$B$35)),SUMPRODUCT(COUNTIF('2029'!$C$490:$Z$490,Setup!$B$35)),SUMPRODUCT(COUNTIF('2030'!$C$490:$Z$490,Setup!$B$35))))</f>
        <v/>
      </c>
      <c r="M75" s="137">
        <f>IF($B75="","",CHOOSE(IFERROR(MATCH($C$4,Setup!$K$33:$K$36,0),1),SUMPRODUCT(COUNTIF('2027'!$C$540:$Z$540,Setup!$B$35)),SUMPRODUCT(COUNTIF('2028'!$C$540:$Z$540,Setup!$B$35)),SUMPRODUCT(COUNTIF('2029'!$C$540:$Z$540,Setup!$B$35)),SUMPRODUCT(COUNTIF('2030'!$C$540:$Z$540,Setup!$B$35))))</f>
        <v/>
      </c>
      <c r="N75" s="137">
        <f>IF($B75="","",CHOOSE(IFERROR(MATCH($C$4,Setup!$K$33:$K$36,0),1),SUMPRODUCT(COUNTIF('2027'!$C$590:$Z$590,Setup!$B$35)),SUMPRODUCT(COUNTIF('2028'!$C$590:$Z$590,Setup!$B$35)),SUMPRODUCT(COUNTIF('2029'!$C$590:$Z$590,Setup!$B$35)),SUMPRODUCT(COUNTIF('2030'!$C$590:$Z$590,Setup!$B$35))))</f>
        <v/>
      </c>
      <c r="O75" s="137">
        <f>IF($B75="","",CHOOSE(IFERROR(MATCH($C$4,Setup!$K$33:$K$36,0),1),SUMPRODUCT(COUNTIF('2027'!$C$640:$Z$640,Setup!$B$35)),SUMPRODUCT(COUNTIF('2028'!$C$640:$Z$640,Setup!$B$35)),SUMPRODUCT(COUNTIF('2029'!$C$640:$Z$640,Setup!$B$35)),SUMPRODUCT(COUNTIF('2030'!$C$640:$Z$640,Setup!$B$35))))</f>
        <v/>
      </c>
      <c r="P75" s="137">
        <f>IF($B75="","",CHOOSE(IFERROR(MATCH($C$4,Setup!$K$33:$K$36,0),1),SUMPRODUCT(COUNTIF('2027'!$C$690:$Z$690,Setup!$B$35)),SUMPRODUCT(COUNTIF('2028'!$C$690:$Z$690,Setup!$B$35)),SUMPRODUCT(COUNTIF('2029'!$C$690:$Z$690,Setup!$B$35)),SUMPRODUCT(COUNTIF('2030'!$C$690:$Z$690,Setup!$B$35))))</f>
        <v/>
      </c>
      <c r="Q75" s="137">
        <f>IF($B75="","",CHOOSE(IFERROR(MATCH($C$4,Setup!$K$33:$K$36,0),1),SUMPRODUCT(COUNTIF('2027'!$C$740:$Z$740,Setup!$B$35)),SUMPRODUCT(COUNTIF('2028'!$C$740:$Z$740,Setup!$B$35)),SUMPRODUCT(COUNTIF('2029'!$C$740:$Z$740,Setup!$B$35)),SUMPRODUCT(COUNTIF('2030'!$C$740:$Z$740,Setup!$B$35))))</f>
        <v/>
      </c>
      <c r="R75" s="137">
        <f>IF($B75="","",CHOOSE(IFERROR(MATCH($C$4,Setup!$K$33:$K$36,0),1),SUMPRODUCT(COUNTIF('2027'!$C$790:$Z$790,Setup!$B$35)),SUMPRODUCT(COUNTIF('2028'!$C$790:$Z$790,Setup!$B$35)),SUMPRODUCT(COUNTIF('2029'!$C$790:$Z$790,Setup!$B$35)),SUMPRODUCT(COUNTIF('2030'!$C$790:$Z$790,Setup!$B$35))))</f>
        <v/>
      </c>
      <c r="S75" s="137">
        <f>IF($B75="","",CHOOSE(IFERROR(MATCH($C$4,Setup!$K$33:$K$36,0),1),SUMPRODUCT(COUNTIF('2027'!$C$840:$Z$840,Setup!$B$35)),SUMPRODUCT(COUNTIF('2028'!$C$840:$Z$840,Setup!$B$35)),SUMPRODUCT(COUNTIF('2029'!$C$840:$Z$840,Setup!$B$35)),SUMPRODUCT(COUNTIF('2030'!$C$840:$Z$840,Setup!$B$35))))</f>
        <v/>
      </c>
      <c r="T75" s="137">
        <f>IF($B75="","",CHOOSE(IFERROR(MATCH($C$4,Setup!$K$33:$K$36,0),1),SUMPRODUCT(COUNTIF('2027'!$C$890:$Z$890,Setup!$B$35)),SUMPRODUCT(COUNTIF('2028'!$C$890:$Z$890,Setup!$B$35)),SUMPRODUCT(COUNTIF('2029'!$C$890:$Z$890,Setup!$B$35)),SUMPRODUCT(COUNTIF('2030'!$C$890:$Z$890,Setup!$B$35))))</f>
        <v/>
      </c>
      <c r="U75" s="137">
        <f>IF($B75="","",CHOOSE(IFERROR(MATCH($C$4,Setup!$K$33:$K$36,0),1),SUMPRODUCT(COUNTIF('2027'!$C$940:$Z$940,Setup!$B$35)),SUMPRODUCT(COUNTIF('2028'!$C$940:$Z$940,Setup!$B$35)),SUMPRODUCT(COUNTIF('2029'!$C$940:$Z$940,Setup!$B$35)),SUMPRODUCT(COUNTIF('2030'!$C$940:$Z$940,Setup!$B$35))))</f>
        <v/>
      </c>
      <c r="V75" s="137">
        <f>IF($B75="","",CHOOSE(IFERROR(MATCH($C$4,Setup!$K$33:$K$36,0),1),SUMPRODUCT(COUNTIF('2027'!$C$990:$Z$990,Setup!$B$35)),SUMPRODUCT(COUNTIF('2028'!$C$990:$Z$990,Setup!$B$35)),SUMPRODUCT(COUNTIF('2029'!$C$990:$Z$990,Setup!$B$35)),SUMPRODUCT(COUNTIF('2030'!$C$990:$Z$990,Setup!$B$35))))</f>
        <v/>
      </c>
      <c r="W75" s="137">
        <f>IF($B75="","",CHOOSE(IFERROR(MATCH($C$4,Setup!$K$33:$K$36,0),1),SUMPRODUCT(COUNTIF('2027'!$C$1040:$Z$1040,Setup!$B$35)),SUMPRODUCT(COUNTIF('2028'!$C$1040:$Z$1040,Setup!$B$35)),SUMPRODUCT(COUNTIF('2029'!$C$1040:$Z$1040,Setup!$B$35)),SUMPRODUCT(COUNTIF('2030'!$C$1040:$Z$1040,Setup!$B$35))))</f>
        <v/>
      </c>
      <c r="X75" s="137">
        <f>IF($B75="","",CHOOSE(IFERROR(MATCH($C$4,Setup!$K$33:$K$36,0),1),SUMPRODUCT(COUNTIF('2027'!$C$1090:$Z$1090,Setup!$B$35)),SUMPRODUCT(COUNTIF('2028'!$C$1090:$Z$1090,Setup!$B$35)),SUMPRODUCT(COUNTIF('2029'!$C$1090:$Z$1090,Setup!$B$35)),SUMPRODUCT(COUNTIF('2030'!$C$1090:$Z$1090,Setup!$B$35))))</f>
        <v/>
      </c>
      <c r="Y75" s="137">
        <f>IF($B75="","",CHOOSE(IFERROR(MATCH($C$4,Setup!$K$33:$K$36,0),1),SUMPRODUCT(COUNTIF('2027'!$C$1140:$Z$1140,Setup!$B$35)),SUMPRODUCT(COUNTIF('2028'!$C$1140:$Z$1140,Setup!$B$35)),SUMPRODUCT(COUNTIF('2029'!$C$1140:$Z$1140,Setup!$B$35)),SUMPRODUCT(COUNTIF('2030'!$C$1140:$Z$1140,Setup!$B$35))))</f>
        <v/>
      </c>
      <c r="Z75" s="137">
        <f>IF($B75="","",CHOOSE(IFERROR(MATCH($C$4,Setup!$K$33:$K$36,0),1),SUMPRODUCT(COUNTIF('2027'!$C$1190:$Z$1190,Setup!$B$35)),SUMPRODUCT(COUNTIF('2028'!$C$1190:$Z$1190,Setup!$B$35)),SUMPRODUCT(COUNTIF('2029'!$C$1190:$Z$1190,Setup!$B$35)),SUMPRODUCT(COUNTIF('2030'!$C$1190:$Z$1190,Setup!$B$35))))</f>
        <v/>
      </c>
      <c r="AA75" s="137">
        <f>IF($B75="","",CHOOSE(IFERROR(MATCH($C$4,Setup!$K$33:$K$36,0),1),SUMPRODUCT(COUNTIF('2027'!$C$1240:$Z$1240,Setup!$B$35)),SUMPRODUCT(COUNTIF('2028'!$C$1240:$Z$1240,Setup!$B$35)),SUMPRODUCT(COUNTIF('2029'!$C$1240:$Z$1240,Setup!$B$35)),SUMPRODUCT(COUNTIF('2030'!$C$1240:$Z$1240,Setup!$B$35))))</f>
        <v/>
      </c>
      <c r="AB75" s="137">
        <f>IF($B75="","",CHOOSE(IFERROR(MATCH($C$4,Setup!$K$33:$K$36,0),1),SUMPRODUCT(COUNTIF('2027'!$C$1290:$Z$1290,Setup!$B$35)),SUMPRODUCT(COUNTIF('2028'!$C$1290:$Z$1290,Setup!$B$35)),SUMPRODUCT(COUNTIF('2029'!$C$1290:$Z$1290,Setup!$B$35)),SUMPRODUCT(COUNTIF('2030'!$C$1290:$Z$1290,Setup!$B$35))))</f>
        <v/>
      </c>
      <c r="AC75" s="137">
        <f>IF($B75="","",CHOOSE(IFERROR(MATCH($C$4,Setup!$K$33:$K$36,0),1),SUMPRODUCT(COUNTIF('2027'!$C$1340:$Z$1340,Setup!$B$35)),SUMPRODUCT(COUNTIF('2028'!$C$1340:$Z$1340,Setup!$B$35)),SUMPRODUCT(COUNTIF('2029'!$C$1340:$Z$1340,Setup!$B$35)),SUMPRODUCT(COUNTIF('2030'!$C$1340:$Z$1340,Setup!$B$35))))</f>
        <v/>
      </c>
      <c r="AD75" s="137">
        <f>IF($B75="","",CHOOSE(IFERROR(MATCH($C$4,Setup!$K$33:$K$36,0),1),SUMPRODUCT(COUNTIF('2027'!$C$1390:$Z$1390,Setup!$B$35)),SUMPRODUCT(COUNTIF('2028'!$C$1390:$Z$1390,Setup!$B$35)),SUMPRODUCT(COUNTIF('2029'!$C$1390:$Z$1390,Setup!$B$35)),SUMPRODUCT(COUNTIF('2030'!$C$1390:$Z$1390,Setup!$B$35))))</f>
        <v/>
      </c>
      <c r="AE75" s="137">
        <f>IF($B75="","",CHOOSE(IFERROR(MATCH($C$4,Setup!$K$33:$K$36,0),1),SUMPRODUCT(COUNTIF('2027'!$C$1440:$Z$1440,Setup!$B$35)),SUMPRODUCT(COUNTIF('2028'!$C$1440:$Z$1440,Setup!$B$35)),SUMPRODUCT(COUNTIF('2029'!$C$1440:$Z$1440,Setup!$B$35)),SUMPRODUCT(COUNTIF('2030'!$C$1440:$Z$1440,Setup!$B$35))))</f>
        <v/>
      </c>
      <c r="AF75" s="137">
        <f>IF($B75="","",CHOOSE(IFERROR(MATCH($C$4,Setup!$K$33:$K$36,0),1),SUMPRODUCT(COUNTIF('2027'!$C$1490:$Z$1490,Setup!$B$35)),SUMPRODUCT(COUNTIF('2028'!$C$1490:$Z$1490,Setup!$B$35)),SUMPRODUCT(COUNTIF('2029'!$C$1490:$Z$1490,Setup!$B$35)),SUMPRODUCT(COUNTIF('2030'!$C$1490:$Z$1490,Setup!$B$35))))</f>
        <v/>
      </c>
      <c r="AG75" s="137">
        <f>IF($B75="","",CHOOSE(IFERROR(MATCH($C$4,Setup!$K$33:$K$36,0),1),SUMPRODUCT(COUNTIF('2027'!$C$1540:$Z$1540,Setup!$B$35)),SUMPRODUCT(COUNTIF('2028'!$C$1540:$Z$1540,Setup!$B$35)),SUMPRODUCT(COUNTIF('2029'!$C$1540:$Z$1540,Setup!$B$35)),SUMPRODUCT(COUNTIF('2030'!$C$1540:$Z$1540,Setup!$B$35))))</f>
        <v/>
      </c>
      <c r="AH75" s="137">
        <f>IF($B75="","",CHOOSE(IFERROR(MATCH($C$4,Setup!$K$33:$K$36,0),1),SUMPRODUCT(COUNTIF('2027'!$C$1590:$Z$1590,Setup!$B$35)),SUMPRODUCT(COUNTIF('2028'!$C$1590:$Z$1590,Setup!$B$35)),SUMPRODUCT(COUNTIF('2029'!$C$1590:$Z$1590,Setup!$B$35)),SUMPRODUCT(COUNTIF('2030'!$C$1590:$Z$1590,Setup!$B$35))))</f>
        <v/>
      </c>
      <c r="AI75" s="137">
        <f>IF($B75="","",CHOOSE(IFERROR(MATCH($C$4,Setup!$K$33:$K$36,0),1),SUMPRODUCT(COUNTIF('2027'!$C$1640:$Z$1640,Setup!$B$35)),SUMPRODUCT(COUNTIF('2028'!$C$1640:$Z$1640,Setup!$B$35)),SUMPRODUCT(COUNTIF('2029'!$C$1640:$Z$1640,Setup!$B$35)),SUMPRODUCT(COUNTIF('2030'!$C$1640:$Z$1640,Setup!$B$35))))</f>
        <v/>
      </c>
      <c r="AJ75" s="137">
        <f>IF($B75="","",CHOOSE(IFERROR(MATCH($C$4,Setup!$K$33:$K$36,0),1),SUMPRODUCT(COUNTIF('2027'!$C$1690:$Z$1690,Setup!$B$35)),SUMPRODUCT(COUNTIF('2028'!$C$1690:$Z$1690,Setup!$B$35)),SUMPRODUCT(COUNTIF('2029'!$C$1690:$Z$1690,Setup!$B$35)),SUMPRODUCT(COUNTIF('2030'!$C$1690:$Z$1690,Setup!$B$35))))</f>
        <v/>
      </c>
      <c r="AK75" s="137">
        <f>IF($B75="","",CHOOSE(IFERROR(MATCH($C$4,Setup!$K$33:$K$36,0),1),SUMPRODUCT(COUNTIF('2027'!$C$1740:$Z$1740,Setup!$B$35)),SUMPRODUCT(COUNTIF('2028'!$C$1740:$Z$1740,Setup!$B$35)),SUMPRODUCT(COUNTIF('2029'!$C$1740:$Z$1740,Setup!$B$35)),SUMPRODUCT(COUNTIF('2030'!$C$1740:$Z$1740,Setup!$B$35))))</f>
        <v/>
      </c>
      <c r="AL75" s="137">
        <f>IF($B75="","",CHOOSE(IFERROR(MATCH($C$4,Setup!$K$33:$K$36,0),1),SUMPRODUCT(COUNTIF('2027'!$C$1790:$Z$1790,Setup!$B$35)),SUMPRODUCT(COUNTIF('2028'!$C$1790:$Z$1790,Setup!$B$35)),SUMPRODUCT(COUNTIF('2029'!$C$1790:$Z$1790,Setup!$B$35)),SUMPRODUCT(COUNTIF('2030'!$C$1790:$Z$1790,Setup!$B$35))))</f>
        <v/>
      </c>
      <c r="AM75" s="137">
        <f>IF($B75="","",CHOOSE(IFERROR(MATCH($C$4,Setup!$K$33:$K$36,0),1),SUMPRODUCT(COUNTIF('2027'!$C$1840:$Z$1840,Setup!$B$35)),SUMPRODUCT(COUNTIF('2028'!$C$1840:$Z$1840,Setup!$B$35)),SUMPRODUCT(COUNTIF('2029'!$C$1840:$Z$1840,Setup!$B$35)),SUMPRODUCT(COUNTIF('2030'!$C$1840:$Z$1840,Setup!$B$35))))</f>
        <v/>
      </c>
      <c r="AN75" s="137">
        <f>IF($B75="","",CHOOSE(IFERROR(MATCH($C$4,Setup!$K$33:$K$36,0),1),SUMPRODUCT(COUNTIF('2027'!$C$1890:$Z$1890,Setup!$B$35)),SUMPRODUCT(COUNTIF('2028'!$C$1890:$Z$1890,Setup!$B$35)),SUMPRODUCT(COUNTIF('2029'!$C$1890:$Z$1890,Setup!$B$35)),SUMPRODUCT(COUNTIF('2030'!$C$1890:$Z$1890,Setup!$B$35))))</f>
        <v/>
      </c>
      <c r="AO75" s="137">
        <f>IF($B75="","",CHOOSE(IFERROR(MATCH($C$4,Setup!$K$33:$K$36,0),1),SUMPRODUCT(COUNTIF('2027'!$C$1940:$Z$1940,Setup!$B$35)),SUMPRODUCT(COUNTIF('2028'!$C$1940:$Z$1940,Setup!$B$35)),SUMPRODUCT(COUNTIF('2029'!$C$1940:$Z$1940,Setup!$B$35)),SUMPRODUCT(COUNTIF('2030'!$C$1940:$Z$1940,Setup!$B$35))))</f>
        <v/>
      </c>
      <c r="AP75" s="137">
        <f>IF($B75="","",CHOOSE(IFERROR(MATCH($C$4,Setup!$K$33:$K$36,0),1),SUMPRODUCT(COUNTIF('2027'!$C$1990:$Z$1990,Setup!$B$35)),SUMPRODUCT(COUNTIF('2028'!$C$1990:$Z$1990,Setup!$B$35)),SUMPRODUCT(COUNTIF('2029'!$C$1990:$Z$1990,Setup!$B$35)),SUMPRODUCT(COUNTIF('2030'!$C$1990:$Z$1990,Setup!$B$35))))</f>
        <v/>
      </c>
      <c r="AQ75" s="137">
        <f>IF($B75="","",CHOOSE(IFERROR(MATCH($C$4,Setup!$K$33:$K$36,0),1),SUMPRODUCT(COUNTIF('2027'!$C$2040:$Z$2040,Setup!$B$35)),SUMPRODUCT(COUNTIF('2028'!$C$2040:$Z$2040,Setup!$B$35)),SUMPRODUCT(COUNTIF('2029'!$C$2040:$Z$2040,Setup!$B$35)),SUMPRODUCT(COUNTIF('2030'!$C$2040:$Z$2040,Setup!$B$35))))</f>
        <v/>
      </c>
      <c r="AR75" s="137">
        <f>IF($B75="","",CHOOSE(IFERROR(MATCH($C$4,Setup!$K$33:$K$36,0),1),SUMPRODUCT(COUNTIF('2027'!$C$2090:$Z$2090,Setup!$B$35)),SUMPRODUCT(COUNTIF('2028'!$C$2090:$Z$2090,Setup!$B$35)),SUMPRODUCT(COUNTIF('2029'!$C$2090:$Z$2090,Setup!$B$35)),SUMPRODUCT(COUNTIF('2030'!$C$2090:$Z$2090,Setup!$B$35))))</f>
        <v/>
      </c>
      <c r="AS75" s="137">
        <f>IF($B75="","",CHOOSE(IFERROR(MATCH($C$4,Setup!$K$33:$K$36,0),1),SUMPRODUCT(COUNTIF('2027'!$C$2140:$Z$2140,Setup!$B$35)),SUMPRODUCT(COUNTIF('2028'!$C$2140:$Z$2140,Setup!$B$35)),SUMPRODUCT(COUNTIF('2029'!$C$2140:$Z$2140,Setup!$B$35)),SUMPRODUCT(COUNTIF('2030'!$C$2140:$Z$2140,Setup!$B$35))))</f>
        <v/>
      </c>
      <c r="AT75" s="137">
        <f>IF($B75="","",CHOOSE(IFERROR(MATCH($C$4,Setup!$K$33:$K$36,0),1),SUMPRODUCT(COUNTIF('2027'!$C$2190:$Z$2190,Setup!$B$35)),SUMPRODUCT(COUNTIF('2028'!$C$2190:$Z$2190,Setup!$B$35)),SUMPRODUCT(COUNTIF('2029'!$C$2190:$Z$2190,Setup!$B$35)),SUMPRODUCT(COUNTIF('2030'!$C$2190:$Z$2190,Setup!$B$35))))</f>
        <v/>
      </c>
      <c r="AU75" s="137">
        <f>IF($B75="","",CHOOSE(IFERROR(MATCH($C$4,Setup!$K$33:$K$36,0),1),SUMPRODUCT(COUNTIF('2027'!$C$2240:$Z$2240,Setup!$B$35)),SUMPRODUCT(COUNTIF('2028'!$C$2240:$Z$2240,Setup!$B$35)),SUMPRODUCT(COUNTIF('2029'!$C$2240:$Z$2240,Setup!$B$35)),SUMPRODUCT(COUNTIF('2030'!$C$2240:$Z$2240,Setup!$B$35))))</f>
        <v/>
      </c>
      <c r="AV75" s="137">
        <f>IF($B75="","",CHOOSE(IFERROR(MATCH($C$4,Setup!$K$33:$K$36,0),1),SUMPRODUCT(COUNTIF('2027'!$C$2290:$Z$2290,Setup!$B$35)),SUMPRODUCT(COUNTIF('2028'!$C$2290:$Z$2290,Setup!$B$35)),SUMPRODUCT(COUNTIF('2029'!$C$2290:$Z$2290,Setup!$B$35)),SUMPRODUCT(COUNTIF('2030'!$C$2290:$Z$2290,Setup!$B$35))))</f>
        <v/>
      </c>
      <c r="AW75" s="137">
        <f>IF($B75="","",CHOOSE(IFERROR(MATCH($C$4,Setup!$K$33:$K$36,0),1),SUMPRODUCT(COUNTIF('2027'!$C$2340:$Z$2340,Setup!$B$35)),SUMPRODUCT(COUNTIF('2028'!$C$2340:$Z$2340,Setup!$B$35)),SUMPRODUCT(COUNTIF('2029'!$C$2340:$Z$2340,Setup!$B$35)),SUMPRODUCT(COUNTIF('2030'!$C$2340:$Z$2340,Setup!$B$35))))</f>
        <v/>
      </c>
      <c r="AX75" s="137">
        <f>IF($B75="","",CHOOSE(IFERROR(MATCH($C$4,Setup!$K$33:$K$36,0),1),SUMPRODUCT(COUNTIF('2027'!$C$2390:$Z$2390,Setup!$B$35)),SUMPRODUCT(COUNTIF('2028'!$C$2390:$Z$2390,Setup!$B$35)),SUMPRODUCT(COUNTIF('2029'!$C$2390:$Z$2390,Setup!$B$35)),SUMPRODUCT(COUNTIF('2030'!$C$2390:$Z$2390,Setup!$B$35))))</f>
        <v/>
      </c>
      <c r="AY75" s="137">
        <f>IF($B75="","",CHOOSE(IFERROR(MATCH($C$4,Setup!$K$33:$K$36,0),1),SUMPRODUCT(COUNTIF('2027'!$C$2440:$Z$2440,Setup!$B$35)),SUMPRODUCT(COUNTIF('2028'!$C$2440:$Z$2440,Setup!$B$35)),SUMPRODUCT(COUNTIF('2029'!$C$2440:$Z$2440,Setup!$B$35)),SUMPRODUCT(COUNTIF('2030'!$C$2440:$Z$2440,Setup!$B$35))))</f>
        <v/>
      </c>
      <c r="AZ75" s="137">
        <f>IF($B75="","",CHOOSE(IFERROR(MATCH($C$4,Setup!$K$33:$K$36,0),1),SUMPRODUCT(COUNTIF('2027'!$C$2490:$Z$2490,Setup!$B$35)),SUMPRODUCT(COUNTIF('2028'!$C$2490:$Z$2490,Setup!$B$35)),SUMPRODUCT(COUNTIF('2029'!$C$2490:$Z$2490,Setup!$B$35)),SUMPRODUCT(COUNTIF('2030'!$C$2490:$Z$2490,Setup!$B$35))))</f>
        <v/>
      </c>
      <c r="BA75" s="137">
        <f>IF($B75="","",CHOOSE(IFERROR(MATCH($C$4,Setup!$K$33:$K$36,0),1),SUMPRODUCT(COUNTIF('2027'!$C$2540:$Z$2540,Setup!$B$35)),SUMPRODUCT(COUNTIF('2028'!$C$2540:$Z$2540,Setup!$B$35)),SUMPRODUCT(COUNTIF('2029'!$C$2540:$Z$2540,Setup!$B$35)),SUMPRODUCT(COUNTIF('2030'!$C$2540:$Z$2540,Setup!$B$35))))</f>
        <v/>
      </c>
      <c r="BB75" s="137">
        <f>IF($B75="","",CHOOSE(IFERROR(MATCH($C$4,Setup!$K$33:$K$36,0),1),SUMPRODUCT(COUNTIF('2027'!$C$2590:$Z$2590,Setup!$B$35)),SUMPRODUCT(COUNTIF('2028'!$C$2590:$Z$2590,Setup!$B$35)),SUMPRODUCT(COUNTIF('2029'!$C$2590:$Z$2590,Setup!$B$35)),SUMPRODUCT(COUNTIF('2030'!$C$2590:$Z$2590,Setup!$B$35))))</f>
        <v/>
      </c>
      <c r="BC75" s="137">
        <f>IF($B75="","",CHOOSE(IFERROR(MATCH($C$4,Setup!$K$33:$K$36,0),1),SUMPRODUCT(COUNTIF('2027'!$C$2640:$Z$2640,Setup!$B$35)),SUMPRODUCT(COUNTIF('2028'!$C$2640:$Z$2640,Setup!$B$35)),SUMPRODUCT(COUNTIF('2029'!$C$2640:$Z$2640,Setup!$B$35)),SUMPRODUCT(COUNTIF('2030'!$C$2640:$Z$2640,Setup!$B$35))))</f>
        <v/>
      </c>
      <c r="BE75" s="129">
        <f>IF($B75="","",SUM(C75:BC75))</f>
        <v/>
      </c>
      <c r="BF75" s="130">
        <f>IF($B75="","",COUNTIF(C75:BC75,"&gt;0"))</f>
        <v/>
      </c>
      <c r="BG75" s="130">
        <f>IF(OR($B75="",N(BE75)=0),"",MATCH(MAX(C75:BC75),C75:BC75,0))</f>
        <v/>
      </c>
    </row>
    <row r="76" ht="15" customHeight="1">
      <c r="B76" s="136">
        <f>IF(Setup!$B$20="","",Setup!$B$20)</f>
        <v/>
      </c>
      <c r="C76" s="137">
        <f>IF($B76="","",CHOOSE(IFERROR(MATCH($C$4,Setup!$K$33:$K$36,0),1),SUMPRODUCT(COUNTIF('2027'!$C$41:$Z$41,Setup!$B$35)),SUMPRODUCT(COUNTIF('2028'!$C$41:$Z$41,Setup!$B$35)),SUMPRODUCT(COUNTIF('2029'!$C$41:$Z$41,Setup!$B$35)),SUMPRODUCT(COUNTIF('2030'!$C$41:$Z$41,Setup!$B$35))))</f>
        <v/>
      </c>
      <c r="D76" s="137">
        <f>IF($B76="","",CHOOSE(IFERROR(MATCH($C$4,Setup!$K$33:$K$36,0),1),SUMPRODUCT(COUNTIF('2027'!$C$91:$Z$91,Setup!$B$35)),SUMPRODUCT(COUNTIF('2028'!$C$91:$Z$91,Setup!$B$35)),SUMPRODUCT(COUNTIF('2029'!$C$91:$Z$91,Setup!$B$35)),SUMPRODUCT(COUNTIF('2030'!$C$91:$Z$91,Setup!$B$35))))</f>
        <v/>
      </c>
      <c r="E76" s="137">
        <f>IF($B76="","",CHOOSE(IFERROR(MATCH($C$4,Setup!$K$33:$K$36,0),1),SUMPRODUCT(COUNTIF('2027'!$C$141:$Z$141,Setup!$B$35)),SUMPRODUCT(COUNTIF('2028'!$C$141:$Z$141,Setup!$B$35)),SUMPRODUCT(COUNTIF('2029'!$C$141:$Z$141,Setup!$B$35)),SUMPRODUCT(COUNTIF('2030'!$C$141:$Z$141,Setup!$B$35))))</f>
        <v/>
      </c>
      <c r="F76" s="137">
        <f>IF($B76="","",CHOOSE(IFERROR(MATCH($C$4,Setup!$K$33:$K$36,0),1),SUMPRODUCT(COUNTIF('2027'!$C$191:$Z$191,Setup!$B$35)),SUMPRODUCT(COUNTIF('2028'!$C$191:$Z$191,Setup!$B$35)),SUMPRODUCT(COUNTIF('2029'!$C$191:$Z$191,Setup!$B$35)),SUMPRODUCT(COUNTIF('2030'!$C$191:$Z$191,Setup!$B$35))))</f>
        <v/>
      </c>
      <c r="G76" s="137">
        <f>IF($B76="","",CHOOSE(IFERROR(MATCH($C$4,Setup!$K$33:$K$36,0),1),SUMPRODUCT(COUNTIF('2027'!$C$241:$Z$241,Setup!$B$35)),SUMPRODUCT(COUNTIF('2028'!$C$241:$Z$241,Setup!$B$35)),SUMPRODUCT(COUNTIF('2029'!$C$241:$Z$241,Setup!$B$35)),SUMPRODUCT(COUNTIF('2030'!$C$241:$Z$241,Setup!$B$35))))</f>
        <v/>
      </c>
      <c r="H76" s="137">
        <f>IF($B76="","",CHOOSE(IFERROR(MATCH($C$4,Setup!$K$33:$K$36,0),1),SUMPRODUCT(COUNTIF('2027'!$C$291:$Z$291,Setup!$B$35)),SUMPRODUCT(COUNTIF('2028'!$C$291:$Z$291,Setup!$B$35)),SUMPRODUCT(COUNTIF('2029'!$C$291:$Z$291,Setup!$B$35)),SUMPRODUCT(COUNTIF('2030'!$C$291:$Z$291,Setup!$B$35))))</f>
        <v/>
      </c>
      <c r="I76" s="137">
        <f>IF($B76="","",CHOOSE(IFERROR(MATCH($C$4,Setup!$K$33:$K$36,0),1),SUMPRODUCT(COUNTIF('2027'!$C$341:$Z$341,Setup!$B$35)),SUMPRODUCT(COUNTIF('2028'!$C$341:$Z$341,Setup!$B$35)),SUMPRODUCT(COUNTIF('2029'!$C$341:$Z$341,Setup!$B$35)),SUMPRODUCT(COUNTIF('2030'!$C$341:$Z$341,Setup!$B$35))))</f>
        <v/>
      </c>
      <c r="J76" s="137">
        <f>IF($B76="","",CHOOSE(IFERROR(MATCH($C$4,Setup!$K$33:$K$36,0),1),SUMPRODUCT(COUNTIF('2027'!$C$391:$Z$391,Setup!$B$35)),SUMPRODUCT(COUNTIF('2028'!$C$391:$Z$391,Setup!$B$35)),SUMPRODUCT(COUNTIF('2029'!$C$391:$Z$391,Setup!$B$35)),SUMPRODUCT(COUNTIF('2030'!$C$391:$Z$391,Setup!$B$35))))</f>
        <v/>
      </c>
      <c r="K76" s="137">
        <f>IF($B76="","",CHOOSE(IFERROR(MATCH($C$4,Setup!$K$33:$K$36,0),1),SUMPRODUCT(COUNTIF('2027'!$C$441:$Z$441,Setup!$B$35)),SUMPRODUCT(COUNTIF('2028'!$C$441:$Z$441,Setup!$B$35)),SUMPRODUCT(COUNTIF('2029'!$C$441:$Z$441,Setup!$B$35)),SUMPRODUCT(COUNTIF('2030'!$C$441:$Z$441,Setup!$B$35))))</f>
        <v/>
      </c>
      <c r="L76" s="137">
        <f>IF($B76="","",CHOOSE(IFERROR(MATCH($C$4,Setup!$K$33:$K$36,0),1),SUMPRODUCT(COUNTIF('2027'!$C$491:$Z$491,Setup!$B$35)),SUMPRODUCT(COUNTIF('2028'!$C$491:$Z$491,Setup!$B$35)),SUMPRODUCT(COUNTIF('2029'!$C$491:$Z$491,Setup!$B$35)),SUMPRODUCT(COUNTIF('2030'!$C$491:$Z$491,Setup!$B$35))))</f>
        <v/>
      </c>
      <c r="M76" s="137">
        <f>IF($B76="","",CHOOSE(IFERROR(MATCH($C$4,Setup!$K$33:$K$36,0),1),SUMPRODUCT(COUNTIF('2027'!$C$541:$Z$541,Setup!$B$35)),SUMPRODUCT(COUNTIF('2028'!$C$541:$Z$541,Setup!$B$35)),SUMPRODUCT(COUNTIF('2029'!$C$541:$Z$541,Setup!$B$35)),SUMPRODUCT(COUNTIF('2030'!$C$541:$Z$541,Setup!$B$35))))</f>
        <v/>
      </c>
      <c r="N76" s="137">
        <f>IF($B76="","",CHOOSE(IFERROR(MATCH($C$4,Setup!$K$33:$K$36,0),1),SUMPRODUCT(COUNTIF('2027'!$C$591:$Z$591,Setup!$B$35)),SUMPRODUCT(COUNTIF('2028'!$C$591:$Z$591,Setup!$B$35)),SUMPRODUCT(COUNTIF('2029'!$C$591:$Z$591,Setup!$B$35)),SUMPRODUCT(COUNTIF('2030'!$C$591:$Z$591,Setup!$B$35))))</f>
        <v/>
      </c>
      <c r="O76" s="137">
        <f>IF($B76="","",CHOOSE(IFERROR(MATCH($C$4,Setup!$K$33:$K$36,0),1),SUMPRODUCT(COUNTIF('2027'!$C$641:$Z$641,Setup!$B$35)),SUMPRODUCT(COUNTIF('2028'!$C$641:$Z$641,Setup!$B$35)),SUMPRODUCT(COUNTIF('2029'!$C$641:$Z$641,Setup!$B$35)),SUMPRODUCT(COUNTIF('2030'!$C$641:$Z$641,Setup!$B$35))))</f>
        <v/>
      </c>
      <c r="P76" s="137">
        <f>IF($B76="","",CHOOSE(IFERROR(MATCH($C$4,Setup!$K$33:$K$36,0),1),SUMPRODUCT(COUNTIF('2027'!$C$691:$Z$691,Setup!$B$35)),SUMPRODUCT(COUNTIF('2028'!$C$691:$Z$691,Setup!$B$35)),SUMPRODUCT(COUNTIF('2029'!$C$691:$Z$691,Setup!$B$35)),SUMPRODUCT(COUNTIF('2030'!$C$691:$Z$691,Setup!$B$35))))</f>
        <v/>
      </c>
      <c r="Q76" s="137">
        <f>IF($B76="","",CHOOSE(IFERROR(MATCH($C$4,Setup!$K$33:$K$36,0),1),SUMPRODUCT(COUNTIF('2027'!$C$741:$Z$741,Setup!$B$35)),SUMPRODUCT(COUNTIF('2028'!$C$741:$Z$741,Setup!$B$35)),SUMPRODUCT(COUNTIF('2029'!$C$741:$Z$741,Setup!$B$35)),SUMPRODUCT(COUNTIF('2030'!$C$741:$Z$741,Setup!$B$35))))</f>
        <v/>
      </c>
      <c r="R76" s="137">
        <f>IF($B76="","",CHOOSE(IFERROR(MATCH($C$4,Setup!$K$33:$K$36,0),1),SUMPRODUCT(COUNTIF('2027'!$C$791:$Z$791,Setup!$B$35)),SUMPRODUCT(COUNTIF('2028'!$C$791:$Z$791,Setup!$B$35)),SUMPRODUCT(COUNTIF('2029'!$C$791:$Z$791,Setup!$B$35)),SUMPRODUCT(COUNTIF('2030'!$C$791:$Z$791,Setup!$B$35))))</f>
        <v/>
      </c>
      <c r="S76" s="137">
        <f>IF($B76="","",CHOOSE(IFERROR(MATCH($C$4,Setup!$K$33:$K$36,0),1),SUMPRODUCT(COUNTIF('2027'!$C$841:$Z$841,Setup!$B$35)),SUMPRODUCT(COUNTIF('2028'!$C$841:$Z$841,Setup!$B$35)),SUMPRODUCT(COUNTIF('2029'!$C$841:$Z$841,Setup!$B$35)),SUMPRODUCT(COUNTIF('2030'!$C$841:$Z$841,Setup!$B$35))))</f>
        <v/>
      </c>
      <c r="T76" s="137">
        <f>IF($B76="","",CHOOSE(IFERROR(MATCH($C$4,Setup!$K$33:$K$36,0),1),SUMPRODUCT(COUNTIF('2027'!$C$891:$Z$891,Setup!$B$35)),SUMPRODUCT(COUNTIF('2028'!$C$891:$Z$891,Setup!$B$35)),SUMPRODUCT(COUNTIF('2029'!$C$891:$Z$891,Setup!$B$35)),SUMPRODUCT(COUNTIF('2030'!$C$891:$Z$891,Setup!$B$35))))</f>
        <v/>
      </c>
      <c r="U76" s="137">
        <f>IF($B76="","",CHOOSE(IFERROR(MATCH($C$4,Setup!$K$33:$K$36,0),1),SUMPRODUCT(COUNTIF('2027'!$C$941:$Z$941,Setup!$B$35)),SUMPRODUCT(COUNTIF('2028'!$C$941:$Z$941,Setup!$B$35)),SUMPRODUCT(COUNTIF('2029'!$C$941:$Z$941,Setup!$B$35)),SUMPRODUCT(COUNTIF('2030'!$C$941:$Z$941,Setup!$B$35))))</f>
        <v/>
      </c>
      <c r="V76" s="137">
        <f>IF($B76="","",CHOOSE(IFERROR(MATCH($C$4,Setup!$K$33:$K$36,0),1),SUMPRODUCT(COUNTIF('2027'!$C$991:$Z$991,Setup!$B$35)),SUMPRODUCT(COUNTIF('2028'!$C$991:$Z$991,Setup!$B$35)),SUMPRODUCT(COUNTIF('2029'!$C$991:$Z$991,Setup!$B$35)),SUMPRODUCT(COUNTIF('2030'!$C$991:$Z$991,Setup!$B$35))))</f>
        <v/>
      </c>
      <c r="W76" s="137">
        <f>IF($B76="","",CHOOSE(IFERROR(MATCH($C$4,Setup!$K$33:$K$36,0),1),SUMPRODUCT(COUNTIF('2027'!$C$1041:$Z$1041,Setup!$B$35)),SUMPRODUCT(COUNTIF('2028'!$C$1041:$Z$1041,Setup!$B$35)),SUMPRODUCT(COUNTIF('2029'!$C$1041:$Z$1041,Setup!$B$35)),SUMPRODUCT(COUNTIF('2030'!$C$1041:$Z$1041,Setup!$B$35))))</f>
        <v/>
      </c>
      <c r="X76" s="137">
        <f>IF($B76="","",CHOOSE(IFERROR(MATCH($C$4,Setup!$K$33:$K$36,0),1),SUMPRODUCT(COUNTIF('2027'!$C$1091:$Z$1091,Setup!$B$35)),SUMPRODUCT(COUNTIF('2028'!$C$1091:$Z$1091,Setup!$B$35)),SUMPRODUCT(COUNTIF('2029'!$C$1091:$Z$1091,Setup!$B$35)),SUMPRODUCT(COUNTIF('2030'!$C$1091:$Z$1091,Setup!$B$35))))</f>
        <v/>
      </c>
      <c r="Y76" s="137">
        <f>IF($B76="","",CHOOSE(IFERROR(MATCH($C$4,Setup!$K$33:$K$36,0),1),SUMPRODUCT(COUNTIF('2027'!$C$1141:$Z$1141,Setup!$B$35)),SUMPRODUCT(COUNTIF('2028'!$C$1141:$Z$1141,Setup!$B$35)),SUMPRODUCT(COUNTIF('2029'!$C$1141:$Z$1141,Setup!$B$35)),SUMPRODUCT(COUNTIF('2030'!$C$1141:$Z$1141,Setup!$B$35))))</f>
        <v/>
      </c>
      <c r="Z76" s="137">
        <f>IF($B76="","",CHOOSE(IFERROR(MATCH($C$4,Setup!$K$33:$K$36,0),1),SUMPRODUCT(COUNTIF('2027'!$C$1191:$Z$1191,Setup!$B$35)),SUMPRODUCT(COUNTIF('2028'!$C$1191:$Z$1191,Setup!$B$35)),SUMPRODUCT(COUNTIF('2029'!$C$1191:$Z$1191,Setup!$B$35)),SUMPRODUCT(COUNTIF('2030'!$C$1191:$Z$1191,Setup!$B$35))))</f>
        <v/>
      </c>
      <c r="AA76" s="137">
        <f>IF($B76="","",CHOOSE(IFERROR(MATCH($C$4,Setup!$K$33:$K$36,0),1),SUMPRODUCT(COUNTIF('2027'!$C$1241:$Z$1241,Setup!$B$35)),SUMPRODUCT(COUNTIF('2028'!$C$1241:$Z$1241,Setup!$B$35)),SUMPRODUCT(COUNTIF('2029'!$C$1241:$Z$1241,Setup!$B$35)),SUMPRODUCT(COUNTIF('2030'!$C$1241:$Z$1241,Setup!$B$35))))</f>
        <v/>
      </c>
      <c r="AB76" s="137">
        <f>IF($B76="","",CHOOSE(IFERROR(MATCH($C$4,Setup!$K$33:$K$36,0),1),SUMPRODUCT(COUNTIF('2027'!$C$1291:$Z$1291,Setup!$B$35)),SUMPRODUCT(COUNTIF('2028'!$C$1291:$Z$1291,Setup!$B$35)),SUMPRODUCT(COUNTIF('2029'!$C$1291:$Z$1291,Setup!$B$35)),SUMPRODUCT(COUNTIF('2030'!$C$1291:$Z$1291,Setup!$B$35))))</f>
        <v/>
      </c>
      <c r="AC76" s="137">
        <f>IF($B76="","",CHOOSE(IFERROR(MATCH($C$4,Setup!$K$33:$K$36,0),1),SUMPRODUCT(COUNTIF('2027'!$C$1341:$Z$1341,Setup!$B$35)),SUMPRODUCT(COUNTIF('2028'!$C$1341:$Z$1341,Setup!$B$35)),SUMPRODUCT(COUNTIF('2029'!$C$1341:$Z$1341,Setup!$B$35)),SUMPRODUCT(COUNTIF('2030'!$C$1341:$Z$1341,Setup!$B$35))))</f>
        <v/>
      </c>
      <c r="AD76" s="137">
        <f>IF($B76="","",CHOOSE(IFERROR(MATCH($C$4,Setup!$K$33:$K$36,0),1),SUMPRODUCT(COUNTIF('2027'!$C$1391:$Z$1391,Setup!$B$35)),SUMPRODUCT(COUNTIF('2028'!$C$1391:$Z$1391,Setup!$B$35)),SUMPRODUCT(COUNTIF('2029'!$C$1391:$Z$1391,Setup!$B$35)),SUMPRODUCT(COUNTIF('2030'!$C$1391:$Z$1391,Setup!$B$35))))</f>
        <v/>
      </c>
      <c r="AE76" s="137">
        <f>IF($B76="","",CHOOSE(IFERROR(MATCH($C$4,Setup!$K$33:$K$36,0),1),SUMPRODUCT(COUNTIF('2027'!$C$1441:$Z$1441,Setup!$B$35)),SUMPRODUCT(COUNTIF('2028'!$C$1441:$Z$1441,Setup!$B$35)),SUMPRODUCT(COUNTIF('2029'!$C$1441:$Z$1441,Setup!$B$35)),SUMPRODUCT(COUNTIF('2030'!$C$1441:$Z$1441,Setup!$B$35))))</f>
        <v/>
      </c>
      <c r="AF76" s="137">
        <f>IF($B76="","",CHOOSE(IFERROR(MATCH($C$4,Setup!$K$33:$K$36,0),1),SUMPRODUCT(COUNTIF('2027'!$C$1491:$Z$1491,Setup!$B$35)),SUMPRODUCT(COUNTIF('2028'!$C$1491:$Z$1491,Setup!$B$35)),SUMPRODUCT(COUNTIF('2029'!$C$1491:$Z$1491,Setup!$B$35)),SUMPRODUCT(COUNTIF('2030'!$C$1491:$Z$1491,Setup!$B$35))))</f>
        <v/>
      </c>
      <c r="AG76" s="137">
        <f>IF($B76="","",CHOOSE(IFERROR(MATCH($C$4,Setup!$K$33:$K$36,0),1),SUMPRODUCT(COUNTIF('2027'!$C$1541:$Z$1541,Setup!$B$35)),SUMPRODUCT(COUNTIF('2028'!$C$1541:$Z$1541,Setup!$B$35)),SUMPRODUCT(COUNTIF('2029'!$C$1541:$Z$1541,Setup!$B$35)),SUMPRODUCT(COUNTIF('2030'!$C$1541:$Z$1541,Setup!$B$35))))</f>
        <v/>
      </c>
      <c r="AH76" s="137">
        <f>IF($B76="","",CHOOSE(IFERROR(MATCH($C$4,Setup!$K$33:$K$36,0),1),SUMPRODUCT(COUNTIF('2027'!$C$1591:$Z$1591,Setup!$B$35)),SUMPRODUCT(COUNTIF('2028'!$C$1591:$Z$1591,Setup!$B$35)),SUMPRODUCT(COUNTIF('2029'!$C$1591:$Z$1591,Setup!$B$35)),SUMPRODUCT(COUNTIF('2030'!$C$1591:$Z$1591,Setup!$B$35))))</f>
        <v/>
      </c>
      <c r="AI76" s="137">
        <f>IF($B76="","",CHOOSE(IFERROR(MATCH($C$4,Setup!$K$33:$K$36,0),1),SUMPRODUCT(COUNTIF('2027'!$C$1641:$Z$1641,Setup!$B$35)),SUMPRODUCT(COUNTIF('2028'!$C$1641:$Z$1641,Setup!$B$35)),SUMPRODUCT(COUNTIF('2029'!$C$1641:$Z$1641,Setup!$B$35)),SUMPRODUCT(COUNTIF('2030'!$C$1641:$Z$1641,Setup!$B$35))))</f>
        <v/>
      </c>
      <c r="AJ76" s="137">
        <f>IF($B76="","",CHOOSE(IFERROR(MATCH($C$4,Setup!$K$33:$K$36,0),1),SUMPRODUCT(COUNTIF('2027'!$C$1691:$Z$1691,Setup!$B$35)),SUMPRODUCT(COUNTIF('2028'!$C$1691:$Z$1691,Setup!$B$35)),SUMPRODUCT(COUNTIF('2029'!$C$1691:$Z$1691,Setup!$B$35)),SUMPRODUCT(COUNTIF('2030'!$C$1691:$Z$1691,Setup!$B$35))))</f>
        <v/>
      </c>
      <c r="AK76" s="137">
        <f>IF($B76="","",CHOOSE(IFERROR(MATCH($C$4,Setup!$K$33:$K$36,0),1),SUMPRODUCT(COUNTIF('2027'!$C$1741:$Z$1741,Setup!$B$35)),SUMPRODUCT(COUNTIF('2028'!$C$1741:$Z$1741,Setup!$B$35)),SUMPRODUCT(COUNTIF('2029'!$C$1741:$Z$1741,Setup!$B$35)),SUMPRODUCT(COUNTIF('2030'!$C$1741:$Z$1741,Setup!$B$35))))</f>
        <v/>
      </c>
      <c r="AL76" s="137">
        <f>IF($B76="","",CHOOSE(IFERROR(MATCH($C$4,Setup!$K$33:$K$36,0),1),SUMPRODUCT(COUNTIF('2027'!$C$1791:$Z$1791,Setup!$B$35)),SUMPRODUCT(COUNTIF('2028'!$C$1791:$Z$1791,Setup!$B$35)),SUMPRODUCT(COUNTIF('2029'!$C$1791:$Z$1791,Setup!$B$35)),SUMPRODUCT(COUNTIF('2030'!$C$1791:$Z$1791,Setup!$B$35))))</f>
        <v/>
      </c>
      <c r="AM76" s="137">
        <f>IF($B76="","",CHOOSE(IFERROR(MATCH($C$4,Setup!$K$33:$K$36,0),1),SUMPRODUCT(COUNTIF('2027'!$C$1841:$Z$1841,Setup!$B$35)),SUMPRODUCT(COUNTIF('2028'!$C$1841:$Z$1841,Setup!$B$35)),SUMPRODUCT(COUNTIF('2029'!$C$1841:$Z$1841,Setup!$B$35)),SUMPRODUCT(COUNTIF('2030'!$C$1841:$Z$1841,Setup!$B$35))))</f>
        <v/>
      </c>
      <c r="AN76" s="137">
        <f>IF($B76="","",CHOOSE(IFERROR(MATCH($C$4,Setup!$K$33:$K$36,0),1),SUMPRODUCT(COUNTIF('2027'!$C$1891:$Z$1891,Setup!$B$35)),SUMPRODUCT(COUNTIF('2028'!$C$1891:$Z$1891,Setup!$B$35)),SUMPRODUCT(COUNTIF('2029'!$C$1891:$Z$1891,Setup!$B$35)),SUMPRODUCT(COUNTIF('2030'!$C$1891:$Z$1891,Setup!$B$35))))</f>
        <v/>
      </c>
      <c r="AO76" s="137">
        <f>IF($B76="","",CHOOSE(IFERROR(MATCH($C$4,Setup!$K$33:$K$36,0),1),SUMPRODUCT(COUNTIF('2027'!$C$1941:$Z$1941,Setup!$B$35)),SUMPRODUCT(COUNTIF('2028'!$C$1941:$Z$1941,Setup!$B$35)),SUMPRODUCT(COUNTIF('2029'!$C$1941:$Z$1941,Setup!$B$35)),SUMPRODUCT(COUNTIF('2030'!$C$1941:$Z$1941,Setup!$B$35))))</f>
        <v/>
      </c>
      <c r="AP76" s="137">
        <f>IF($B76="","",CHOOSE(IFERROR(MATCH($C$4,Setup!$K$33:$K$36,0),1),SUMPRODUCT(COUNTIF('2027'!$C$1991:$Z$1991,Setup!$B$35)),SUMPRODUCT(COUNTIF('2028'!$C$1991:$Z$1991,Setup!$B$35)),SUMPRODUCT(COUNTIF('2029'!$C$1991:$Z$1991,Setup!$B$35)),SUMPRODUCT(COUNTIF('2030'!$C$1991:$Z$1991,Setup!$B$35))))</f>
        <v/>
      </c>
      <c r="AQ76" s="137">
        <f>IF($B76="","",CHOOSE(IFERROR(MATCH($C$4,Setup!$K$33:$K$36,0),1),SUMPRODUCT(COUNTIF('2027'!$C$2041:$Z$2041,Setup!$B$35)),SUMPRODUCT(COUNTIF('2028'!$C$2041:$Z$2041,Setup!$B$35)),SUMPRODUCT(COUNTIF('2029'!$C$2041:$Z$2041,Setup!$B$35)),SUMPRODUCT(COUNTIF('2030'!$C$2041:$Z$2041,Setup!$B$35))))</f>
        <v/>
      </c>
      <c r="AR76" s="137">
        <f>IF($B76="","",CHOOSE(IFERROR(MATCH($C$4,Setup!$K$33:$K$36,0),1),SUMPRODUCT(COUNTIF('2027'!$C$2091:$Z$2091,Setup!$B$35)),SUMPRODUCT(COUNTIF('2028'!$C$2091:$Z$2091,Setup!$B$35)),SUMPRODUCT(COUNTIF('2029'!$C$2091:$Z$2091,Setup!$B$35)),SUMPRODUCT(COUNTIF('2030'!$C$2091:$Z$2091,Setup!$B$35))))</f>
        <v/>
      </c>
      <c r="AS76" s="137">
        <f>IF($B76="","",CHOOSE(IFERROR(MATCH($C$4,Setup!$K$33:$K$36,0),1),SUMPRODUCT(COUNTIF('2027'!$C$2141:$Z$2141,Setup!$B$35)),SUMPRODUCT(COUNTIF('2028'!$C$2141:$Z$2141,Setup!$B$35)),SUMPRODUCT(COUNTIF('2029'!$C$2141:$Z$2141,Setup!$B$35)),SUMPRODUCT(COUNTIF('2030'!$C$2141:$Z$2141,Setup!$B$35))))</f>
        <v/>
      </c>
      <c r="AT76" s="137">
        <f>IF($B76="","",CHOOSE(IFERROR(MATCH($C$4,Setup!$K$33:$K$36,0),1),SUMPRODUCT(COUNTIF('2027'!$C$2191:$Z$2191,Setup!$B$35)),SUMPRODUCT(COUNTIF('2028'!$C$2191:$Z$2191,Setup!$B$35)),SUMPRODUCT(COUNTIF('2029'!$C$2191:$Z$2191,Setup!$B$35)),SUMPRODUCT(COUNTIF('2030'!$C$2191:$Z$2191,Setup!$B$35))))</f>
        <v/>
      </c>
      <c r="AU76" s="137">
        <f>IF($B76="","",CHOOSE(IFERROR(MATCH($C$4,Setup!$K$33:$K$36,0),1),SUMPRODUCT(COUNTIF('2027'!$C$2241:$Z$2241,Setup!$B$35)),SUMPRODUCT(COUNTIF('2028'!$C$2241:$Z$2241,Setup!$B$35)),SUMPRODUCT(COUNTIF('2029'!$C$2241:$Z$2241,Setup!$B$35)),SUMPRODUCT(COUNTIF('2030'!$C$2241:$Z$2241,Setup!$B$35))))</f>
        <v/>
      </c>
      <c r="AV76" s="137">
        <f>IF($B76="","",CHOOSE(IFERROR(MATCH($C$4,Setup!$K$33:$K$36,0),1),SUMPRODUCT(COUNTIF('2027'!$C$2291:$Z$2291,Setup!$B$35)),SUMPRODUCT(COUNTIF('2028'!$C$2291:$Z$2291,Setup!$B$35)),SUMPRODUCT(COUNTIF('2029'!$C$2291:$Z$2291,Setup!$B$35)),SUMPRODUCT(COUNTIF('2030'!$C$2291:$Z$2291,Setup!$B$35))))</f>
        <v/>
      </c>
      <c r="AW76" s="137">
        <f>IF($B76="","",CHOOSE(IFERROR(MATCH($C$4,Setup!$K$33:$K$36,0),1),SUMPRODUCT(COUNTIF('2027'!$C$2341:$Z$2341,Setup!$B$35)),SUMPRODUCT(COUNTIF('2028'!$C$2341:$Z$2341,Setup!$B$35)),SUMPRODUCT(COUNTIF('2029'!$C$2341:$Z$2341,Setup!$B$35)),SUMPRODUCT(COUNTIF('2030'!$C$2341:$Z$2341,Setup!$B$35))))</f>
        <v/>
      </c>
      <c r="AX76" s="137">
        <f>IF($B76="","",CHOOSE(IFERROR(MATCH($C$4,Setup!$K$33:$K$36,0),1),SUMPRODUCT(COUNTIF('2027'!$C$2391:$Z$2391,Setup!$B$35)),SUMPRODUCT(COUNTIF('2028'!$C$2391:$Z$2391,Setup!$B$35)),SUMPRODUCT(COUNTIF('2029'!$C$2391:$Z$2391,Setup!$B$35)),SUMPRODUCT(COUNTIF('2030'!$C$2391:$Z$2391,Setup!$B$35))))</f>
        <v/>
      </c>
      <c r="AY76" s="137">
        <f>IF($B76="","",CHOOSE(IFERROR(MATCH($C$4,Setup!$K$33:$K$36,0),1),SUMPRODUCT(COUNTIF('2027'!$C$2441:$Z$2441,Setup!$B$35)),SUMPRODUCT(COUNTIF('2028'!$C$2441:$Z$2441,Setup!$B$35)),SUMPRODUCT(COUNTIF('2029'!$C$2441:$Z$2441,Setup!$B$35)),SUMPRODUCT(COUNTIF('2030'!$C$2441:$Z$2441,Setup!$B$35))))</f>
        <v/>
      </c>
      <c r="AZ76" s="137">
        <f>IF($B76="","",CHOOSE(IFERROR(MATCH($C$4,Setup!$K$33:$K$36,0),1),SUMPRODUCT(COUNTIF('2027'!$C$2491:$Z$2491,Setup!$B$35)),SUMPRODUCT(COUNTIF('2028'!$C$2491:$Z$2491,Setup!$B$35)),SUMPRODUCT(COUNTIF('2029'!$C$2491:$Z$2491,Setup!$B$35)),SUMPRODUCT(COUNTIF('2030'!$C$2491:$Z$2491,Setup!$B$35))))</f>
        <v/>
      </c>
      <c r="BA76" s="137">
        <f>IF($B76="","",CHOOSE(IFERROR(MATCH($C$4,Setup!$K$33:$K$36,0),1),SUMPRODUCT(COUNTIF('2027'!$C$2541:$Z$2541,Setup!$B$35)),SUMPRODUCT(COUNTIF('2028'!$C$2541:$Z$2541,Setup!$B$35)),SUMPRODUCT(COUNTIF('2029'!$C$2541:$Z$2541,Setup!$B$35)),SUMPRODUCT(COUNTIF('2030'!$C$2541:$Z$2541,Setup!$B$35))))</f>
        <v/>
      </c>
      <c r="BB76" s="137">
        <f>IF($B76="","",CHOOSE(IFERROR(MATCH($C$4,Setup!$K$33:$K$36,0),1),SUMPRODUCT(COUNTIF('2027'!$C$2591:$Z$2591,Setup!$B$35)),SUMPRODUCT(COUNTIF('2028'!$C$2591:$Z$2591,Setup!$B$35)),SUMPRODUCT(COUNTIF('2029'!$C$2591:$Z$2591,Setup!$B$35)),SUMPRODUCT(COUNTIF('2030'!$C$2591:$Z$2591,Setup!$B$35))))</f>
        <v/>
      </c>
      <c r="BC76" s="137">
        <f>IF($B76="","",CHOOSE(IFERROR(MATCH($C$4,Setup!$K$33:$K$36,0),1),SUMPRODUCT(COUNTIF('2027'!$C$2641:$Z$2641,Setup!$B$35)),SUMPRODUCT(COUNTIF('2028'!$C$2641:$Z$2641,Setup!$B$35)),SUMPRODUCT(COUNTIF('2029'!$C$2641:$Z$2641,Setup!$B$35)),SUMPRODUCT(COUNTIF('2030'!$C$2641:$Z$2641,Setup!$B$35))))</f>
        <v/>
      </c>
      <c r="BE76" s="129">
        <f>IF($B76="","",SUM(C76:BC76))</f>
        <v/>
      </c>
      <c r="BF76" s="130">
        <f>IF($B76="","",COUNTIF(C76:BC76,"&gt;0"))</f>
        <v/>
      </c>
      <c r="BG76" s="130">
        <f>IF(OR($B76="",N(BE76)=0),"",MATCH(MAX(C76:BC76),C76:BC76,0))</f>
        <v/>
      </c>
    </row>
    <row r="77" ht="15" customHeight="1">
      <c r="B77" s="136">
        <f>IF(Setup!$B$21="","",Setup!$B$21)</f>
        <v/>
      </c>
      <c r="C77" s="137">
        <f>IF($B77="","",CHOOSE(IFERROR(MATCH($C$4,Setup!$K$33:$K$36,0),1),SUMPRODUCT(COUNTIF('2027'!$C$42:$Z$42,Setup!$B$35)),SUMPRODUCT(COUNTIF('2028'!$C$42:$Z$42,Setup!$B$35)),SUMPRODUCT(COUNTIF('2029'!$C$42:$Z$42,Setup!$B$35)),SUMPRODUCT(COUNTIF('2030'!$C$42:$Z$42,Setup!$B$35))))</f>
        <v/>
      </c>
      <c r="D77" s="137">
        <f>IF($B77="","",CHOOSE(IFERROR(MATCH($C$4,Setup!$K$33:$K$36,0),1),SUMPRODUCT(COUNTIF('2027'!$C$92:$Z$92,Setup!$B$35)),SUMPRODUCT(COUNTIF('2028'!$C$92:$Z$92,Setup!$B$35)),SUMPRODUCT(COUNTIF('2029'!$C$92:$Z$92,Setup!$B$35)),SUMPRODUCT(COUNTIF('2030'!$C$92:$Z$92,Setup!$B$35))))</f>
        <v/>
      </c>
      <c r="E77" s="137">
        <f>IF($B77="","",CHOOSE(IFERROR(MATCH($C$4,Setup!$K$33:$K$36,0),1),SUMPRODUCT(COUNTIF('2027'!$C$142:$Z$142,Setup!$B$35)),SUMPRODUCT(COUNTIF('2028'!$C$142:$Z$142,Setup!$B$35)),SUMPRODUCT(COUNTIF('2029'!$C$142:$Z$142,Setup!$B$35)),SUMPRODUCT(COUNTIF('2030'!$C$142:$Z$142,Setup!$B$35))))</f>
        <v/>
      </c>
      <c r="F77" s="137">
        <f>IF($B77="","",CHOOSE(IFERROR(MATCH($C$4,Setup!$K$33:$K$36,0),1),SUMPRODUCT(COUNTIF('2027'!$C$192:$Z$192,Setup!$B$35)),SUMPRODUCT(COUNTIF('2028'!$C$192:$Z$192,Setup!$B$35)),SUMPRODUCT(COUNTIF('2029'!$C$192:$Z$192,Setup!$B$35)),SUMPRODUCT(COUNTIF('2030'!$C$192:$Z$192,Setup!$B$35))))</f>
        <v/>
      </c>
      <c r="G77" s="137">
        <f>IF($B77="","",CHOOSE(IFERROR(MATCH($C$4,Setup!$K$33:$K$36,0),1),SUMPRODUCT(COUNTIF('2027'!$C$242:$Z$242,Setup!$B$35)),SUMPRODUCT(COUNTIF('2028'!$C$242:$Z$242,Setup!$B$35)),SUMPRODUCT(COUNTIF('2029'!$C$242:$Z$242,Setup!$B$35)),SUMPRODUCT(COUNTIF('2030'!$C$242:$Z$242,Setup!$B$35))))</f>
        <v/>
      </c>
      <c r="H77" s="137">
        <f>IF($B77="","",CHOOSE(IFERROR(MATCH($C$4,Setup!$K$33:$K$36,0),1),SUMPRODUCT(COUNTIF('2027'!$C$292:$Z$292,Setup!$B$35)),SUMPRODUCT(COUNTIF('2028'!$C$292:$Z$292,Setup!$B$35)),SUMPRODUCT(COUNTIF('2029'!$C$292:$Z$292,Setup!$B$35)),SUMPRODUCT(COUNTIF('2030'!$C$292:$Z$292,Setup!$B$35))))</f>
        <v/>
      </c>
      <c r="I77" s="137">
        <f>IF($B77="","",CHOOSE(IFERROR(MATCH($C$4,Setup!$K$33:$K$36,0),1),SUMPRODUCT(COUNTIF('2027'!$C$342:$Z$342,Setup!$B$35)),SUMPRODUCT(COUNTIF('2028'!$C$342:$Z$342,Setup!$B$35)),SUMPRODUCT(COUNTIF('2029'!$C$342:$Z$342,Setup!$B$35)),SUMPRODUCT(COUNTIF('2030'!$C$342:$Z$342,Setup!$B$35))))</f>
        <v/>
      </c>
      <c r="J77" s="137">
        <f>IF($B77="","",CHOOSE(IFERROR(MATCH($C$4,Setup!$K$33:$K$36,0),1),SUMPRODUCT(COUNTIF('2027'!$C$392:$Z$392,Setup!$B$35)),SUMPRODUCT(COUNTIF('2028'!$C$392:$Z$392,Setup!$B$35)),SUMPRODUCT(COUNTIF('2029'!$C$392:$Z$392,Setup!$B$35)),SUMPRODUCT(COUNTIF('2030'!$C$392:$Z$392,Setup!$B$35))))</f>
        <v/>
      </c>
      <c r="K77" s="137">
        <f>IF($B77="","",CHOOSE(IFERROR(MATCH($C$4,Setup!$K$33:$K$36,0),1),SUMPRODUCT(COUNTIF('2027'!$C$442:$Z$442,Setup!$B$35)),SUMPRODUCT(COUNTIF('2028'!$C$442:$Z$442,Setup!$B$35)),SUMPRODUCT(COUNTIF('2029'!$C$442:$Z$442,Setup!$B$35)),SUMPRODUCT(COUNTIF('2030'!$C$442:$Z$442,Setup!$B$35))))</f>
        <v/>
      </c>
      <c r="L77" s="137">
        <f>IF($B77="","",CHOOSE(IFERROR(MATCH($C$4,Setup!$K$33:$K$36,0),1),SUMPRODUCT(COUNTIF('2027'!$C$492:$Z$492,Setup!$B$35)),SUMPRODUCT(COUNTIF('2028'!$C$492:$Z$492,Setup!$B$35)),SUMPRODUCT(COUNTIF('2029'!$C$492:$Z$492,Setup!$B$35)),SUMPRODUCT(COUNTIF('2030'!$C$492:$Z$492,Setup!$B$35))))</f>
        <v/>
      </c>
      <c r="M77" s="137">
        <f>IF($B77="","",CHOOSE(IFERROR(MATCH($C$4,Setup!$K$33:$K$36,0),1),SUMPRODUCT(COUNTIF('2027'!$C$542:$Z$542,Setup!$B$35)),SUMPRODUCT(COUNTIF('2028'!$C$542:$Z$542,Setup!$B$35)),SUMPRODUCT(COUNTIF('2029'!$C$542:$Z$542,Setup!$B$35)),SUMPRODUCT(COUNTIF('2030'!$C$542:$Z$542,Setup!$B$35))))</f>
        <v/>
      </c>
      <c r="N77" s="137">
        <f>IF($B77="","",CHOOSE(IFERROR(MATCH($C$4,Setup!$K$33:$K$36,0),1),SUMPRODUCT(COUNTIF('2027'!$C$592:$Z$592,Setup!$B$35)),SUMPRODUCT(COUNTIF('2028'!$C$592:$Z$592,Setup!$B$35)),SUMPRODUCT(COUNTIF('2029'!$C$592:$Z$592,Setup!$B$35)),SUMPRODUCT(COUNTIF('2030'!$C$592:$Z$592,Setup!$B$35))))</f>
        <v/>
      </c>
      <c r="O77" s="137">
        <f>IF($B77="","",CHOOSE(IFERROR(MATCH($C$4,Setup!$K$33:$K$36,0),1),SUMPRODUCT(COUNTIF('2027'!$C$642:$Z$642,Setup!$B$35)),SUMPRODUCT(COUNTIF('2028'!$C$642:$Z$642,Setup!$B$35)),SUMPRODUCT(COUNTIF('2029'!$C$642:$Z$642,Setup!$B$35)),SUMPRODUCT(COUNTIF('2030'!$C$642:$Z$642,Setup!$B$35))))</f>
        <v/>
      </c>
      <c r="P77" s="137">
        <f>IF($B77="","",CHOOSE(IFERROR(MATCH($C$4,Setup!$K$33:$K$36,0),1),SUMPRODUCT(COUNTIF('2027'!$C$692:$Z$692,Setup!$B$35)),SUMPRODUCT(COUNTIF('2028'!$C$692:$Z$692,Setup!$B$35)),SUMPRODUCT(COUNTIF('2029'!$C$692:$Z$692,Setup!$B$35)),SUMPRODUCT(COUNTIF('2030'!$C$692:$Z$692,Setup!$B$35))))</f>
        <v/>
      </c>
      <c r="Q77" s="137">
        <f>IF($B77="","",CHOOSE(IFERROR(MATCH($C$4,Setup!$K$33:$K$36,0),1),SUMPRODUCT(COUNTIF('2027'!$C$742:$Z$742,Setup!$B$35)),SUMPRODUCT(COUNTIF('2028'!$C$742:$Z$742,Setup!$B$35)),SUMPRODUCT(COUNTIF('2029'!$C$742:$Z$742,Setup!$B$35)),SUMPRODUCT(COUNTIF('2030'!$C$742:$Z$742,Setup!$B$35))))</f>
        <v/>
      </c>
      <c r="R77" s="137">
        <f>IF($B77="","",CHOOSE(IFERROR(MATCH($C$4,Setup!$K$33:$K$36,0),1),SUMPRODUCT(COUNTIF('2027'!$C$792:$Z$792,Setup!$B$35)),SUMPRODUCT(COUNTIF('2028'!$C$792:$Z$792,Setup!$B$35)),SUMPRODUCT(COUNTIF('2029'!$C$792:$Z$792,Setup!$B$35)),SUMPRODUCT(COUNTIF('2030'!$C$792:$Z$792,Setup!$B$35))))</f>
        <v/>
      </c>
      <c r="S77" s="137">
        <f>IF($B77="","",CHOOSE(IFERROR(MATCH($C$4,Setup!$K$33:$K$36,0),1),SUMPRODUCT(COUNTIF('2027'!$C$842:$Z$842,Setup!$B$35)),SUMPRODUCT(COUNTIF('2028'!$C$842:$Z$842,Setup!$B$35)),SUMPRODUCT(COUNTIF('2029'!$C$842:$Z$842,Setup!$B$35)),SUMPRODUCT(COUNTIF('2030'!$C$842:$Z$842,Setup!$B$35))))</f>
        <v/>
      </c>
      <c r="T77" s="137">
        <f>IF($B77="","",CHOOSE(IFERROR(MATCH($C$4,Setup!$K$33:$K$36,0),1),SUMPRODUCT(COUNTIF('2027'!$C$892:$Z$892,Setup!$B$35)),SUMPRODUCT(COUNTIF('2028'!$C$892:$Z$892,Setup!$B$35)),SUMPRODUCT(COUNTIF('2029'!$C$892:$Z$892,Setup!$B$35)),SUMPRODUCT(COUNTIF('2030'!$C$892:$Z$892,Setup!$B$35))))</f>
        <v/>
      </c>
      <c r="U77" s="137">
        <f>IF($B77="","",CHOOSE(IFERROR(MATCH($C$4,Setup!$K$33:$K$36,0),1),SUMPRODUCT(COUNTIF('2027'!$C$942:$Z$942,Setup!$B$35)),SUMPRODUCT(COUNTIF('2028'!$C$942:$Z$942,Setup!$B$35)),SUMPRODUCT(COUNTIF('2029'!$C$942:$Z$942,Setup!$B$35)),SUMPRODUCT(COUNTIF('2030'!$C$942:$Z$942,Setup!$B$35))))</f>
        <v/>
      </c>
      <c r="V77" s="137">
        <f>IF($B77="","",CHOOSE(IFERROR(MATCH($C$4,Setup!$K$33:$K$36,0),1),SUMPRODUCT(COUNTIF('2027'!$C$992:$Z$992,Setup!$B$35)),SUMPRODUCT(COUNTIF('2028'!$C$992:$Z$992,Setup!$B$35)),SUMPRODUCT(COUNTIF('2029'!$C$992:$Z$992,Setup!$B$35)),SUMPRODUCT(COUNTIF('2030'!$C$992:$Z$992,Setup!$B$35))))</f>
        <v/>
      </c>
      <c r="W77" s="137">
        <f>IF($B77="","",CHOOSE(IFERROR(MATCH($C$4,Setup!$K$33:$K$36,0),1),SUMPRODUCT(COUNTIF('2027'!$C$1042:$Z$1042,Setup!$B$35)),SUMPRODUCT(COUNTIF('2028'!$C$1042:$Z$1042,Setup!$B$35)),SUMPRODUCT(COUNTIF('2029'!$C$1042:$Z$1042,Setup!$B$35)),SUMPRODUCT(COUNTIF('2030'!$C$1042:$Z$1042,Setup!$B$35))))</f>
        <v/>
      </c>
      <c r="X77" s="137">
        <f>IF($B77="","",CHOOSE(IFERROR(MATCH($C$4,Setup!$K$33:$K$36,0),1),SUMPRODUCT(COUNTIF('2027'!$C$1092:$Z$1092,Setup!$B$35)),SUMPRODUCT(COUNTIF('2028'!$C$1092:$Z$1092,Setup!$B$35)),SUMPRODUCT(COUNTIF('2029'!$C$1092:$Z$1092,Setup!$B$35)),SUMPRODUCT(COUNTIF('2030'!$C$1092:$Z$1092,Setup!$B$35))))</f>
        <v/>
      </c>
      <c r="Y77" s="137">
        <f>IF($B77="","",CHOOSE(IFERROR(MATCH($C$4,Setup!$K$33:$K$36,0),1),SUMPRODUCT(COUNTIF('2027'!$C$1142:$Z$1142,Setup!$B$35)),SUMPRODUCT(COUNTIF('2028'!$C$1142:$Z$1142,Setup!$B$35)),SUMPRODUCT(COUNTIF('2029'!$C$1142:$Z$1142,Setup!$B$35)),SUMPRODUCT(COUNTIF('2030'!$C$1142:$Z$1142,Setup!$B$35))))</f>
        <v/>
      </c>
      <c r="Z77" s="137">
        <f>IF($B77="","",CHOOSE(IFERROR(MATCH($C$4,Setup!$K$33:$K$36,0),1),SUMPRODUCT(COUNTIF('2027'!$C$1192:$Z$1192,Setup!$B$35)),SUMPRODUCT(COUNTIF('2028'!$C$1192:$Z$1192,Setup!$B$35)),SUMPRODUCT(COUNTIF('2029'!$C$1192:$Z$1192,Setup!$B$35)),SUMPRODUCT(COUNTIF('2030'!$C$1192:$Z$1192,Setup!$B$35))))</f>
        <v/>
      </c>
      <c r="AA77" s="137">
        <f>IF($B77="","",CHOOSE(IFERROR(MATCH($C$4,Setup!$K$33:$K$36,0),1),SUMPRODUCT(COUNTIF('2027'!$C$1242:$Z$1242,Setup!$B$35)),SUMPRODUCT(COUNTIF('2028'!$C$1242:$Z$1242,Setup!$B$35)),SUMPRODUCT(COUNTIF('2029'!$C$1242:$Z$1242,Setup!$B$35)),SUMPRODUCT(COUNTIF('2030'!$C$1242:$Z$1242,Setup!$B$35))))</f>
        <v/>
      </c>
      <c r="AB77" s="137">
        <f>IF($B77="","",CHOOSE(IFERROR(MATCH($C$4,Setup!$K$33:$K$36,0),1),SUMPRODUCT(COUNTIF('2027'!$C$1292:$Z$1292,Setup!$B$35)),SUMPRODUCT(COUNTIF('2028'!$C$1292:$Z$1292,Setup!$B$35)),SUMPRODUCT(COUNTIF('2029'!$C$1292:$Z$1292,Setup!$B$35)),SUMPRODUCT(COUNTIF('2030'!$C$1292:$Z$1292,Setup!$B$35))))</f>
        <v/>
      </c>
      <c r="AC77" s="137">
        <f>IF($B77="","",CHOOSE(IFERROR(MATCH($C$4,Setup!$K$33:$K$36,0),1),SUMPRODUCT(COUNTIF('2027'!$C$1342:$Z$1342,Setup!$B$35)),SUMPRODUCT(COUNTIF('2028'!$C$1342:$Z$1342,Setup!$B$35)),SUMPRODUCT(COUNTIF('2029'!$C$1342:$Z$1342,Setup!$B$35)),SUMPRODUCT(COUNTIF('2030'!$C$1342:$Z$1342,Setup!$B$35))))</f>
        <v/>
      </c>
      <c r="AD77" s="137">
        <f>IF($B77="","",CHOOSE(IFERROR(MATCH($C$4,Setup!$K$33:$K$36,0),1),SUMPRODUCT(COUNTIF('2027'!$C$1392:$Z$1392,Setup!$B$35)),SUMPRODUCT(COUNTIF('2028'!$C$1392:$Z$1392,Setup!$B$35)),SUMPRODUCT(COUNTIF('2029'!$C$1392:$Z$1392,Setup!$B$35)),SUMPRODUCT(COUNTIF('2030'!$C$1392:$Z$1392,Setup!$B$35))))</f>
        <v/>
      </c>
      <c r="AE77" s="137">
        <f>IF($B77="","",CHOOSE(IFERROR(MATCH($C$4,Setup!$K$33:$K$36,0),1),SUMPRODUCT(COUNTIF('2027'!$C$1442:$Z$1442,Setup!$B$35)),SUMPRODUCT(COUNTIF('2028'!$C$1442:$Z$1442,Setup!$B$35)),SUMPRODUCT(COUNTIF('2029'!$C$1442:$Z$1442,Setup!$B$35)),SUMPRODUCT(COUNTIF('2030'!$C$1442:$Z$1442,Setup!$B$35))))</f>
        <v/>
      </c>
      <c r="AF77" s="137">
        <f>IF($B77="","",CHOOSE(IFERROR(MATCH($C$4,Setup!$K$33:$K$36,0),1),SUMPRODUCT(COUNTIF('2027'!$C$1492:$Z$1492,Setup!$B$35)),SUMPRODUCT(COUNTIF('2028'!$C$1492:$Z$1492,Setup!$B$35)),SUMPRODUCT(COUNTIF('2029'!$C$1492:$Z$1492,Setup!$B$35)),SUMPRODUCT(COUNTIF('2030'!$C$1492:$Z$1492,Setup!$B$35))))</f>
        <v/>
      </c>
      <c r="AG77" s="137">
        <f>IF($B77="","",CHOOSE(IFERROR(MATCH($C$4,Setup!$K$33:$K$36,0),1),SUMPRODUCT(COUNTIF('2027'!$C$1542:$Z$1542,Setup!$B$35)),SUMPRODUCT(COUNTIF('2028'!$C$1542:$Z$1542,Setup!$B$35)),SUMPRODUCT(COUNTIF('2029'!$C$1542:$Z$1542,Setup!$B$35)),SUMPRODUCT(COUNTIF('2030'!$C$1542:$Z$1542,Setup!$B$35))))</f>
        <v/>
      </c>
      <c r="AH77" s="137">
        <f>IF($B77="","",CHOOSE(IFERROR(MATCH($C$4,Setup!$K$33:$K$36,0),1),SUMPRODUCT(COUNTIF('2027'!$C$1592:$Z$1592,Setup!$B$35)),SUMPRODUCT(COUNTIF('2028'!$C$1592:$Z$1592,Setup!$B$35)),SUMPRODUCT(COUNTIF('2029'!$C$1592:$Z$1592,Setup!$B$35)),SUMPRODUCT(COUNTIF('2030'!$C$1592:$Z$1592,Setup!$B$35))))</f>
        <v/>
      </c>
      <c r="AI77" s="137">
        <f>IF($B77="","",CHOOSE(IFERROR(MATCH($C$4,Setup!$K$33:$K$36,0),1),SUMPRODUCT(COUNTIF('2027'!$C$1642:$Z$1642,Setup!$B$35)),SUMPRODUCT(COUNTIF('2028'!$C$1642:$Z$1642,Setup!$B$35)),SUMPRODUCT(COUNTIF('2029'!$C$1642:$Z$1642,Setup!$B$35)),SUMPRODUCT(COUNTIF('2030'!$C$1642:$Z$1642,Setup!$B$35))))</f>
        <v/>
      </c>
      <c r="AJ77" s="137">
        <f>IF($B77="","",CHOOSE(IFERROR(MATCH($C$4,Setup!$K$33:$K$36,0),1),SUMPRODUCT(COUNTIF('2027'!$C$1692:$Z$1692,Setup!$B$35)),SUMPRODUCT(COUNTIF('2028'!$C$1692:$Z$1692,Setup!$B$35)),SUMPRODUCT(COUNTIF('2029'!$C$1692:$Z$1692,Setup!$B$35)),SUMPRODUCT(COUNTIF('2030'!$C$1692:$Z$1692,Setup!$B$35))))</f>
        <v/>
      </c>
      <c r="AK77" s="137">
        <f>IF($B77="","",CHOOSE(IFERROR(MATCH($C$4,Setup!$K$33:$K$36,0),1),SUMPRODUCT(COUNTIF('2027'!$C$1742:$Z$1742,Setup!$B$35)),SUMPRODUCT(COUNTIF('2028'!$C$1742:$Z$1742,Setup!$B$35)),SUMPRODUCT(COUNTIF('2029'!$C$1742:$Z$1742,Setup!$B$35)),SUMPRODUCT(COUNTIF('2030'!$C$1742:$Z$1742,Setup!$B$35))))</f>
        <v/>
      </c>
      <c r="AL77" s="137">
        <f>IF($B77="","",CHOOSE(IFERROR(MATCH($C$4,Setup!$K$33:$K$36,0),1),SUMPRODUCT(COUNTIF('2027'!$C$1792:$Z$1792,Setup!$B$35)),SUMPRODUCT(COUNTIF('2028'!$C$1792:$Z$1792,Setup!$B$35)),SUMPRODUCT(COUNTIF('2029'!$C$1792:$Z$1792,Setup!$B$35)),SUMPRODUCT(COUNTIF('2030'!$C$1792:$Z$1792,Setup!$B$35))))</f>
        <v/>
      </c>
      <c r="AM77" s="137">
        <f>IF($B77="","",CHOOSE(IFERROR(MATCH($C$4,Setup!$K$33:$K$36,0),1),SUMPRODUCT(COUNTIF('2027'!$C$1842:$Z$1842,Setup!$B$35)),SUMPRODUCT(COUNTIF('2028'!$C$1842:$Z$1842,Setup!$B$35)),SUMPRODUCT(COUNTIF('2029'!$C$1842:$Z$1842,Setup!$B$35)),SUMPRODUCT(COUNTIF('2030'!$C$1842:$Z$1842,Setup!$B$35))))</f>
        <v/>
      </c>
      <c r="AN77" s="137">
        <f>IF($B77="","",CHOOSE(IFERROR(MATCH($C$4,Setup!$K$33:$K$36,0),1),SUMPRODUCT(COUNTIF('2027'!$C$1892:$Z$1892,Setup!$B$35)),SUMPRODUCT(COUNTIF('2028'!$C$1892:$Z$1892,Setup!$B$35)),SUMPRODUCT(COUNTIF('2029'!$C$1892:$Z$1892,Setup!$B$35)),SUMPRODUCT(COUNTIF('2030'!$C$1892:$Z$1892,Setup!$B$35))))</f>
        <v/>
      </c>
      <c r="AO77" s="137">
        <f>IF($B77="","",CHOOSE(IFERROR(MATCH($C$4,Setup!$K$33:$K$36,0),1),SUMPRODUCT(COUNTIF('2027'!$C$1942:$Z$1942,Setup!$B$35)),SUMPRODUCT(COUNTIF('2028'!$C$1942:$Z$1942,Setup!$B$35)),SUMPRODUCT(COUNTIF('2029'!$C$1942:$Z$1942,Setup!$B$35)),SUMPRODUCT(COUNTIF('2030'!$C$1942:$Z$1942,Setup!$B$35))))</f>
        <v/>
      </c>
      <c r="AP77" s="137">
        <f>IF($B77="","",CHOOSE(IFERROR(MATCH($C$4,Setup!$K$33:$K$36,0),1),SUMPRODUCT(COUNTIF('2027'!$C$1992:$Z$1992,Setup!$B$35)),SUMPRODUCT(COUNTIF('2028'!$C$1992:$Z$1992,Setup!$B$35)),SUMPRODUCT(COUNTIF('2029'!$C$1992:$Z$1992,Setup!$B$35)),SUMPRODUCT(COUNTIF('2030'!$C$1992:$Z$1992,Setup!$B$35))))</f>
        <v/>
      </c>
      <c r="AQ77" s="137">
        <f>IF($B77="","",CHOOSE(IFERROR(MATCH($C$4,Setup!$K$33:$K$36,0),1),SUMPRODUCT(COUNTIF('2027'!$C$2042:$Z$2042,Setup!$B$35)),SUMPRODUCT(COUNTIF('2028'!$C$2042:$Z$2042,Setup!$B$35)),SUMPRODUCT(COUNTIF('2029'!$C$2042:$Z$2042,Setup!$B$35)),SUMPRODUCT(COUNTIF('2030'!$C$2042:$Z$2042,Setup!$B$35))))</f>
        <v/>
      </c>
      <c r="AR77" s="137">
        <f>IF($B77="","",CHOOSE(IFERROR(MATCH($C$4,Setup!$K$33:$K$36,0),1),SUMPRODUCT(COUNTIF('2027'!$C$2092:$Z$2092,Setup!$B$35)),SUMPRODUCT(COUNTIF('2028'!$C$2092:$Z$2092,Setup!$B$35)),SUMPRODUCT(COUNTIF('2029'!$C$2092:$Z$2092,Setup!$B$35)),SUMPRODUCT(COUNTIF('2030'!$C$2092:$Z$2092,Setup!$B$35))))</f>
        <v/>
      </c>
      <c r="AS77" s="137">
        <f>IF($B77="","",CHOOSE(IFERROR(MATCH($C$4,Setup!$K$33:$K$36,0),1),SUMPRODUCT(COUNTIF('2027'!$C$2142:$Z$2142,Setup!$B$35)),SUMPRODUCT(COUNTIF('2028'!$C$2142:$Z$2142,Setup!$B$35)),SUMPRODUCT(COUNTIF('2029'!$C$2142:$Z$2142,Setup!$B$35)),SUMPRODUCT(COUNTIF('2030'!$C$2142:$Z$2142,Setup!$B$35))))</f>
        <v/>
      </c>
      <c r="AT77" s="137">
        <f>IF($B77="","",CHOOSE(IFERROR(MATCH($C$4,Setup!$K$33:$K$36,0),1),SUMPRODUCT(COUNTIF('2027'!$C$2192:$Z$2192,Setup!$B$35)),SUMPRODUCT(COUNTIF('2028'!$C$2192:$Z$2192,Setup!$B$35)),SUMPRODUCT(COUNTIF('2029'!$C$2192:$Z$2192,Setup!$B$35)),SUMPRODUCT(COUNTIF('2030'!$C$2192:$Z$2192,Setup!$B$35))))</f>
        <v/>
      </c>
      <c r="AU77" s="137">
        <f>IF($B77="","",CHOOSE(IFERROR(MATCH($C$4,Setup!$K$33:$K$36,0),1),SUMPRODUCT(COUNTIF('2027'!$C$2242:$Z$2242,Setup!$B$35)),SUMPRODUCT(COUNTIF('2028'!$C$2242:$Z$2242,Setup!$B$35)),SUMPRODUCT(COUNTIF('2029'!$C$2242:$Z$2242,Setup!$B$35)),SUMPRODUCT(COUNTIF('2030'!$C$2242:$Z$2242,Setup!$B$35))))</f>
        <v/>
      </c>
      <c r="AV77" s="137">
        <f>IF($B77="","",CHOOSE(IFERROR(MATCH($C$4,Setup!$K$33:$K$36,0),1),SUMPRODUCT(COUNTIF('2027'!$C$2292:$Z$2292,Setup!$B$35)),SUMPRODUCT(COUNTIF('2028'!$C$2292:$Z$2292,Setup!$B$35)),SUMPRODUCT(COUNTIF('2029'!$C$2292:$Z$2292,Setup!$B$35)),SUMPRODUCT(COUNTIF('2030'!$C$2292:$Z$2292,Setup!$B$35))))</f>
        <v/>
      </c>
      <c r="AW77" s="137">
        <f>IF($B77="","",CHOOSE(IFERROR(MATCH($C$4,Setup!$K$33:$K$36,0),1),SUMPRODUCT(COUNTIF('2027'!$C$2342:$Z$2342,Setup!$B$35)),SUMPRODUCT(COUNTIF('2028'!$C$2342:$Z$2342,Setup!$B$35)),SUMPRODUCT(COUNTIF('2029'!$C$2342:$Z$2342,Setup!$B$35)),SUMPRODUCT(COUNTIF('2030'!$C$2342:$Z$2342,Setup!$B$35))))</f>
        <v/>
      </c>
      <c r="AX77" s="137">
        <f>IF($B77="","",CHOOSE(IFERROR(MATCH($C$4,Setup!$K$33:$K$36,0),1),SUMPRODUCT(COUNTIF('2027'!$C$2392:$Z$2392,Setup!$B$35)),SUMPRODUCT(COUNTIF('2028'!$C$2392:$Z$2392,Setup!$B$35)),SUMPRODUCT(COUNTIF('2029'!$C$2392:$Z$2392,Setup!$B$35)),SUMPRODUCT(COUNTIF('2030'!$C$2392:$Z$2392,Setup!$B$35))))</f>
        <v/>
      </c>
      <c r="AY77" s="137">
        <f>IF($B77="","",CHOOSE(IFERROR(MATCH($C$4,Setup!$K$33:$K$36,0),1),SUMPRODUCT(COUNTIF('2027'!$C$2442:$Z$2442,Setup!$B$35)),SUMPRODUCT(COUNTIF('2028'!$C$2442:$Z$2442,Setup!$B$35)),SUMPRODUCT(COUNTIF('2029'!$C$2442:$Z$2442,Setup!$B$35)),SUMPRODUCT(COUNTIF('2030'!$C$2442:$Z$2442,Setup!$B$35))))</f>
        <v/>
      </c>
      <c r="AZ77" s="137">
        <f>IF($B77="","",CHOOSE(IFERROR(MATCH($C$4,Setup!$K$33:$K$36,0),1),SUMPRODUCT(COUNTIF('2027'!$C$2492:$Z$2492,Setup!$B$35)),SUMPRODUCT(COUNTIF('2028'!$C$2492:$Z$2492,Setup!$B$35)),SUMPRODUCT(COUNTIF('2029'!$C$2492:$Z$2492,Setup!$B$35)),SUMPRODUCT(COUNTIF('2030'!$C$2492:$Z$2492,Setup!$B$35))))</f>
        <v/>
      </c>
      <c r="BA77" s="137">
        <f>IF($B77="","",CHOOSE(IFERROR(MATCH($C$4,Setup!$K$33:$K$36,0),1),SUMPRODUCT(COUNTIF('2027'!$C$2542:$Z$2542,Setup!$B$35)),SUMPRODUCT(COUNTIF('2028'!$C$2542:$Z$2542,Setup!$B$35)),SUMPRODUCT(COUNTIF('2029'!$C$2542:$Z$2542,Setup!$B$35)),SUMPRODUCT(COUNTIF('2030'!$C$2542:$Z$2542,Setup!$B$35))))</f>
        <v/>
      </c>
      <c r="BB77" s="137">
        <f>IF($B77="","",CHOOSE(IFERROR(MATCH($C$4,Setup!$K$33:$K$36,0),1),SUMPRODUCT(COUNTIF('2027'!$C$2592:$Z$2592,Setup!$B$35)),SUMPRODUCT(COUNTIF('2028'!$C$2592:$Z$2592,Setup!$B$35)),SUMPRODUCT(COUNTIF('2029'!$C$2592:$Z$2592,Setup!$B$35)),SUMPRODUCT(COUNTIF('2030'!$C$2592:$Z$2592,Setup!$B$35))))</f>
        <v/>
      </c>
      <c r="BC77" s="137">
        <f>IF($B77="","",CHOOSE(IFERROR(MATCH($C$4,Setup!$K$33:$K$36,0),1),SUMPRODUCT(COUNTIF('2027'!$C$2642:$Z$2642,Setup!$B$35)),SUMPRODUCT(COUNTIF('2028'!$C$2642:$Z$2642,Setup!$B$35)),SUMPRODUCT(COUNTIF('2029'!$C$2642:$Z$2642,Setup!$B$35)),SUMPRODUCT(COUNTIF('2030'!$C$2642:$Z$2642,Setup!$B$35))))</f>
        <v/>
      </c>
      <c r="BE77" s="129">
        <f>IF($B77="","",SUM(C77:BC77))</f>
        <v/>
      </c>
      <c r="BF77" s="130">
        <f>IF($B77="","",COUNTIF(C77:BC77,"&gt;0"))</f>
        <v/>
      </c>
      <c r="BG77" s="130">
        <f>IF(OR($B77="",N(BE77)=0),"",MATCH(MAX(C77:BC77),C77:BC77,0))</f>
        <v/>
      </c>
    </row>
    <row r="78" ht="15" customHeight="1">
      <c r="B78" s="136">
        <f>IF(Setup!$B$22="","",Setup!$B$22)</f>
        <v/>
      </c>
      <c r="C78" s="137">
        <f>IF($B78="","",CHOOSE(IFERROR(MATCH($C$4,Setup!$K$33:$K$36,0),1),SUMPRODUCT(COUNTIF('2027'!$C$43:$Z$43,Setup!$B$35)),SUMPRODUCT(COUNTIF('2028'!$C$43:$Z$43,Setup!$B$35)),SUMPRODUCT(COUNTIF('2029'!$C$43:$Z$43,Setup!$B$35)),SUMPRODUCT(COUNTIF('2030'!$C$43:$Z$43,Setup!$B$35))))</f>
        <v/>
      </c>
      <c r="D78" s="137">
        <f>IF($B78="","",CHOOSE(IFERROR(MATCH($C$4,Setup!$K$33:$K$36,0),1),SUMPRODUCT(COUNTIF('2027'!$C$93:$Z$93,Setup!$B$35)),SUMPRODUCT(COUNTIF('2028'!$C$93:$Z$93,Setup!$B$35)),SUMPRODUCT(COUNTIF('2029'!$C$93:$Z$93,Setup!$B$35)),SUMPRODUCT(COUNTIF('2030'!$C$93:$Z$93,Setup!$B$35))))</f>
        <v/>
      </c>
      <c r="E78" s="137">
        <f>IF($B78="","",CHOOSE(IFERROR(MATCH($C$4,Setup!$K$33:$K$36,0),1),SUMPRODUCT(COUNTIF('2027'!$C$143:$Z$143,Setup!$B$35)),SUMPRODUCT(COUNTIF('2028'!$C$143:$Z$143,Setup!$B$35)),SUMPRODUCT(COUNTIF('2029'!$C$143:$Z$143,Setup!$B$35)),SUMPRODUCT(COUNTIF('2030'!$C$143:$Z$143,Setup!$B$35))))</f>
        <v/>
      </c>
      <c r="F78" s="137">
        <f>IF($B78="","",CHOOSE(IFERROR(MATCH($C$4,Setup!$K$33:$K$36,0),1),SUMPRODUCT(COUNTIF('2027'!$C$193:$Z$193,Setup!$B$35)),SUMPRODUCT(COUNTIF('2028'!$C$193:$Z$193,Setup!$B$35)),SUMPRODUCT(COUNTIF('2029'!$C$193:$Z$193,Setup!$B$35)),SUMPRODUCT(COUNTIF('2030'!$C$193:$Z$193,Setup!$B$35))))</f>
        <v/>
      </c>
      <c r="G78" s="137">
        <f>IF($B78="","",CHOOSE(IFERROR(MATCH($C$4,Setup!$K$33:$K$36,0),1),SUMPRODUCT(COUNTIF('2027'!$C$243:$Z$243,Setup!$B$35)),SUMPRODUCT(COUNTIF('2028'!$C$243:$Z$243,Setup!$B$35)),SUMPRODUCT(COUNTIF('2029'!$C$243:$Z$243,Setup!$B$35)),SUMPRODUCT(COUNTIF('2030'!$C$243:$Z$243,Setup!$B$35))))</f>
        <v/>
      </c>
      <c r="H78" s="137">
        <f>IF($B78="","",CHOOSE(IFERROR(MATCH($C$4,Setup!$K$33:$K$36,0),1),SUMPRODUCT(COUNTIF('2027'!$C$293:$Z$293,Setup!$B$35)),SUMPRODUCT(COUNTIF('2028'!$C$293:$Z$293,Setup!$B$35)),SUMPRODUCT(COUNTIF('2029'!$C$293:$Z$293,Setup!$B$35)),SUMPRODUCT(COUNTIF('2030'!$C$293:$Z$293,Setup!$B$35))))</f>
        <v/>
      </c>
      <c r="I78" s="137">
        <f>IF($B78="","",CHOOSE(IFERROR(MATCH($C$4,Setup!$K$33:$K$36,0),1),SUMPRODUCT(COUNTIF('2027'!$C$343:$Z$343,Setup!$B$35)),SUMPRODUCT(COUNTIF('2028'!$C$343:$Z$343,Setup!$B$35)),SUMPRODUCT(COUNTIF('2029'!$C$343:$Z$343,Setup!$B$35)),SUMPRODUCT(COUNTIF('2030'!$C$343:$Z$343,Setup!$B$35))))</f>
        <v/>
      </c>
      <c r="J78" s="137">
        <f>IF($B78="","",CHOOSE(IFERROR(MATCH($C$4,Setup!$K$33:$K$36,0),1),SUMPRODUCT(COUNTIF('2027'!$C$393:$Z$393,Setup!$B$35)),SUMPRODUCT(COUNTIF('2028'!$C$393:$Z$393,Setup!$B$35)),SUMPRODUCT(COUNTIF('2029'!$C$393:$Z$393,Setup!$B$35)),SUMPRODUCT(COUNTIF('2030'!$C$393:$Z$393,Setup!$B$35))))</f>
        <v/>
      </c>
      <c r="K78" s="137">
        <f>IF($B78="","",CHOOSE(IFERROR(MATCH($C$4,Setup!$K$33:$K$36,0),1),SUMPRODUCT(COUNTIF('2027'!$C$443:$Z$443,Setup!$B$35)),SUMPRODUCT(COUNTIF('2028'!$C$443:$Z$443,Setup!$B$35)),SUMPRODUCT(COUNTIF('2029'!$C$443:$Z$443,Setup!$B$35)),SUMPRODUCT(COUNTIF('2030'!$C$443:$Z$443,Setup!$B$35))))</f>
        <v/>
      </c>
      <c r="L78" s="137">
        <f>IF($B78="","",CHOOSE(IFERROR(MATCH($C$4,Setup!$K$33:$K$36,0),1),SUMPRODUCT(COUNTIF('2027'!$C$493:$Z$493,Setup!$B$35)),SUMPRODUCT(COUNTIF('2028'!$C$493:$Z$493,Setup!$B$35)),SUMPRODUCT(COUNTIF('2029'!$C$493:$Z$493,Setup!$B$35)),SUMPRODUCT(COUNTIF('2030'!$C$493:$Z$493,Setup!$B$35))))</f>
        <v/>
      </c>
      <c r="M78" s="137">
        <f>IF($B78="","",CHOOSE(IFERROR(MATCH($C$4,Setup!$K$33:$K$36,0),1),SUMPRODUCT(COUNTIF('2027'!$C$543:$Z$543,Setup!$B$35)),SUMPRODUCT(COUNTIF('2028'!$C$543:$Z$543,Setup!$B$35)),SUMPRODUCT(COUNTIF('2029'!$C$543:$Z$543,Setup!$B$35)),SUMPRODUCT(COUNTIF('2030'!$C$543:$Z$543,Setup!$B$35))))</f>
        <v/>
      </c>
      <c r="N78" s="137">
        <f>IF($B78="","",CHOOSE(IFERROR(MATCH($C$4,Setup!$K$33:$K$36,0),1),SUMPRODUCT(COUNTIF('2027'!$C$593:$Z$593,Setup!$B$35)),SUMPRODUCT(COUNTIF('2028'!$C$593:$Z$593,Setup!$B$35)),SUMPRODUCT(COUNTIF('2029'!$C$593:$Z$593,Setup!$B$35)),SUMPRODUCT(COUNTIF('2030'!$C$593:$Z$593,Setup!$B$35))))</f>
        <v/>
      </c>
      <c r="O78" s="137">
        <f>IF($B78="","",CHOOSE(IFERROR(MATCH($C$4,Setup!$K$33:$K$36,0),1),SUMPRODUCT(COUNTIF('2027'!$C$643:$Z$643,Setup!$B$35)),SUMPRODUCT(COUNTIF('2028'!$C$643:$Z$643,Setup!$B$35)),SUMPRODUCT(COUNTIF('2029'!$C$643:$Z$643,Setup!$B$35)),SUMPRODUCT(COUNTIF('2030'!$C$643:$Z$643,Setup!$B$35))))</f>
        <v/>
      </c>
      <c r="P78" s="137">
        <f>IF($B78="","",CHOOSE(IFERROR(MATCH($C$4,Setup!$K$33:$K$36,0),1),SUMPRODUCT(COUNTIF('2027'!$C$693:$Z$693,Setup!$B$35)),SUMPRODUCT(COUNTIF('2028'!$C$693:$Z$693,Setup!$B$35)),SUMPRODUCT(COUNTIF('2029'!$C$693:$Z$693,Setup!$B$35)),SUMPRODUCT(COUNTIF('2030'!$C$693:$Z$693,Setup!$B$35))))</f>
        <v/>
      </c>
      <c r="Q78" s="137">
        <f>IF($B78="","",CHOOSE(IFERROR(MATCH($C$4,Setup!$K$33:$K$36,0),1),SUMPRODUCT(COUNTIF('2027'!$C$743:$Z$743,Setup!$B$35)),SUMPRODUCT(COUNTIF('2028'!$C$743:$Z$743,Setup!$B$35)),SUMPRODUCT(COUNTIF('2029'!$C$743:$Z$743,Setup!$B$35)),SUMPRODUCT(COUNTIF('2030'!$C$743:$Z$743,Setup!$B$35))))</f>
        <v/>
      </c>
      <c r="R78" s="137">
        <f>IF($B78="","",CHOOSE(IFERROR(MATCH($C$4,Setup!$K$33:$K$36,0),1),SUMPRODUCT(COUNTIF('2027'!$C$793:$Z$793,Setup!$B$35)),SUMPRODUCT(COUNTIF('2028'!$C$793:$Z$793,Setup!$B$35)),SUMPRODUCT(COUNTIF('2029'!$C$793:$Z$793,Setup!$B$35)),SUMPRODUCT(COUNTIF('2030'!$C$793:$Z$793,Setup!$B$35))))</f>
        <v/>
      </c>
      <c r="S78" s="137">
        <f>IF($B78="","",CHOOSE(IFERROR(MATCH($C$4,Setup!$K$33:$K$36,0),1),SUMPRODUCT(COUNTIF('2027'!$C$843:$Z$843,Setup!$B$35)),SUMPRODUCT(COUNTIF('2028'!$C$843:$Z$843,Setup!$B$35)),SUMPRODUCT(COUNTIF('2029'!$C$843:$Z$843,Setup!$B$35)),SUMPRODUCT(COUNTIF('2030'!$C$843:$Z$843,Setup!$B$35))))</f>
        <v/>
      </c>
      <c r="T78" s="137">
        <f>IF($B78="","",CHOOSE(IFERROR(MATCH($C$4,Setup!$K$33:$K$36,0),1),SUMPRODUCT(COUNTIF('2027'!$C$893:$Z$893,Setup!$B$35)),SUMPRODUCT(COUNTIF('2028'!$C$893:$Z$893,Setup!$B$35)),SUMPRODUCT(COUNTIF('2029'!$C$893:$Z$893,Setup!$B$35)),SUMPRODUCT(COUNTIF('2030'!$C$893:$Z$893,Setup!$B$35))))</f>
        <v/>
      </c>
      <c r="U78" s="137">
        <f>IF($B78="","",CHOOSE(IFERROR(MATCH($C$4,Setup!$K$33:$K$36,0),1),SUMPRODUCT(COUNTIF('2027'!$C$943:$Z$943,Setup!$B$35)),SUMPRODUCT(COUNTIF('2028'!$C$943:$Z$943,Setup!$B$35)),SUMPRODUCT(COUNTIF('2029'!$C$943:$Z$943,Setup!$B$35)),SUMPRODUCT(COUNTIF('2030'!$C$943:$Z$943,Setup!$B$35))))</f>
        <v/>
      </c>
      <c r="V78" s="137">
        <f>IF($B78="","",CHOOSE(IFERROR(MATCH($C$4,Setup!$K$33:$K$36,0),1),SUMPRODUCT(COUNTIF('2027'!$C$993:$Z$993,Setup!$B$35)),SUMPRODUCT(COUNTIF('2028'!$C$993:$Z$993,Setup!$B$35)),SUMPRODUCT(COUNTIF('2029'!$C$993:$Z$993,Setup!$B$35)),SUMPRODUCT(COUNTIF('2030'!$C$993:$Z$993,Setup!$B$35))))</f>
        <v/>
      </c>
      <c r="W78" s="137">
        <f>IF($B78="","",CHOOSE(IFERROR(MATCH($C$4,Setup!$K$33:$K$36,0),1),SUMPRODUCT(COUNTIF('2027'!$C$1043:$Z$1043,Setup!$B$35)),SUMPRODUCT(COUNTIF('2028'!$C$1043:$Z$1043,Setup!$B$35)),SUMPRODUCT(COUNTIF('2029'!$C$1043:$Z$1043,Setup!$B$35)),SUMPRODUCT(COUNTIF('2030'!$C$1043:$Z$1043,Setup!$B$35))))</f>
        <v/>
      </c>
      <c r="X78" s="137">
        <f>IF($B78="","",CHOOSE(IFERROR(MATCH($C$4,Setup!$K$33:$K$36,0),1),SUMPRODUCT(COUNTIF('2027'!$C$1093:$Z$1093,Setup!$B$35)),SUMPRODUCT(COUNTIF('2028'!$C$1093:$Z$1093,Setup!$B$35)),SUMPRODUCT(COUNTIF('2029'!$C$1093:$Z$1093,Setup!$B$35)),SUMPRODUCT(COUNTIF('2030'!$C$1093:$Z$1093,Setup!$B$35))))</f>
        <v/>
      </c>
      <c r="Y78" s="137">
        <f>IF($B78="","",CHOOSE(IFERROR(MATCH($C$4,Setup!$K$33:$K$36,0),1),SUMPRODUCT(COUNTIF('2027'!$C$1143:$Z$1143,Setup!$B$35)),SUMPRODUCT(COUNTIF('2028'!$C$1143:$Z$1143,Setup!$B$35)),SUMPRODUCT(COUNTIF('2029'!$C$1143:$Z$1143,Setup!$B$35)),SUMPRODUCT(COUNTIF('2030'!$C$1143:$Z$1143,Setup!$B$35))))</f>
        <v/>
      </c>
      <c r="Z78" s="137">
        <f>IF($B78="","",CHOOSE(IFERROR(MATCH($C$4,Setup!$K$33:$K$36,0),1),SUMPRODUCT(COUNTIF('2027'!$C$1193:$Z$1193,Setup!$B$35)),SUMPRODUCT(COUNTIF('2028'!$C$1193:$Z$1193,Setup!$B$35)),SUMPRODUCT(COUNTIF('2029'!$C$1193:$Z$1193,Setup!$B$35)),SUMPRODUCT(COUNTIF('2030'!$C$1193:$Z$1193,Setup!$B$35))))</f>
        <v/>
      </c>
      <c r="AA78" s="137">
        <f>IF($B78="","",CHOOSE(IFERROR(MATCH($C$4,Setup!$K$33:$K$36,0),1),SUMPRODUCT(COUNTIF('2027'!$C$1243:$Z$1243,Setup!$B$35)),SUMPRODUCT(COUNTIF('2028'!$C$1243:$Z$1243,Setup!$B$35)),SUMPRODUCT(COUNTIF('2029'!$C$1243:$Z$1243,Setup!$B$35)),SUMPRODUCT(COUNTIF('2030'!$C$1243:$Z$1243,Setup!$B$35))))</f>
        <v/>
      </c>
      <c r="AB78" s="137">
        <f>IF($B78="","",CHOOSE(IFERROR(MATCH($C$4,Setup!$K$33:$K$36,0),1),SUMPRODUCT(COUNTIF('2027'!$C$1293:$Z$1293,Setup!$B$35)),SUMPRODUCT(COUNTIF('2028'!$C$1293:$Z$1293,Setup!$B$35)),SUMPRODUCT(COUNTIF('2029'!$C$1293:$Z$1293,Setup!$B$35)),SUMPRODUCT(COUNTIF('2030'!$C$1293:$Z$1293,Setup!$B$35))))</f>
        <v/>
      </c>
      <c r="AC78" s="137">
        <f>IF($B78="","",CHOOSE(IFERROR(MATCH($C$4,Setup!$K$33:$K$36,0),1),SUMPRODUCT(COUNTIF('2027'!$C$1343:$Z$1343,Setup!$B$35)),SUMPRODUCT(COUNTIF('2028'!$C$1343:$Z$1343,Setup!$B$35)),SUMPRODUCT(COUNTIF('2029'!$C$1343:$Z$1343,Setup!$B$35)),SUMPRODUCT(COUNTIF('2030'!$C$1343:$Z$1343,Setup!$B$35))))</f>
        <v/>
      </c>
      <c r="AD78" s="137">
        <f>IF($B78="","",CHOOSE(IFERROR(MATCH($C$4,Setup!$K$33:$K$36,0),1),SUMPRODUCT(COUNTIF('2027'!$C$1393:$Z$1393,Setup!$B$35)),SUMPRODUCT(COUNTIF('2028'!$C$1393:$Z$1393,Setup!$B$35)),SUMPRODUCT(COUNTIF('2029'!$C$1393:$Z$1393,Setup!$B$35)),SUMPRODUCT(COUNTIF('2030'!$C$1393:$Z$1393,Setup!$B$35))))</f>
        <v/>
      </c>
      <c r="AE78" s="137">
        <f>IF($B78="","",CHOOSE(IFERROR(MATCH($C$4,Setup!$K$33:$K$36,0),1),SUMPRODUCT(COUNTIF('2027'!$C$1443:$Z$1443,Setup!$B$35)),SUMPRODUCT(COUNTIF('2028'!$C$1443:$Z$1443,Setup!$B$35)),SUMPRODUCT(COUNTIF('2029'!$C$1443:$Z$1443,Setup!$B$35)),SUMPRODUCT(COUNTIF('2030'!$C$1443:$Z$1443,Setup!$B$35))))</f>
        <v/>
      </c>
      <c r="AF78" s="137">
        <f>IF($B78="","",CHOOSE(IFERROR(MATCH($C$4,Setup!$K$33:$K$36,0),1),SUMPRODUCT(COUNTIF('2027'!$C$1493:$Z$1493,Setup!$B$35)),SUMPRODUCT(COUNTIF('2028'!$C$1493:$Z$1493,Setup!$B$35)),SUMPRODUCT(COUNTIF('2029'!$C$1493:$Z$1493,Setup!$B$35)),SUMPRODUCT(COUNTIF('2030'!$C$1493:$Z$1493,Setup!$B$35))))</f>
        <v/>
      </c>
      <c r="AG78" s="137">
        <f>IF($B78="","",CHOOSE(IFERROR(MATCH($C$4,Setup!$K$33:$K$36,0),1),SUMPRODUCT(COUNTIF('2027'!$C$1543:$Z$1543,Setup!$B$35)),SUMPRODUCT(COUNTIF('2028'!$C$1543:$Z$1543,Setup!$B$35)),SUMPRODUCT(COUNTIF('2029'!$C$1543:$Z$1543,Setup!$B$35)),SUMPRODUCT(COUNTIF('2030'!$C$1543:$Z$1543,Setup!$B$35))))</f>
        <v/>
      </c>
      <c r="AH78" s="137">
        <f>IF($B78="","",CHOOSE(IFERROR(MATCH($C$4,Setup!$K$33:$K$36,0),1),SUMPRODUCT(COUNTIF('2027'!$C$1593:$Z$1593,Setup!$B$35)),SUMPRODUCT(COUNTIF('2028'!$C$1593:$Z$1593,Setup!$B$35)),SUMPRODUCT(COUNTIF('2029'!$C$1593:$Z$1593,Setup!$B$35)),SUMPRODUCT(COUNTIF('2030'!$C$1593:$Z$1593,Setup!$B$35))))</f>
        <v/>
      </c>
      <c r="AI78" s="137">
        <f>IF($B78="","",CHOOSE(IFERROR(MATCH($C$4,Setup!$K$33:$K$36,0),1),SUMPRODUCT(COUNTIF('2027'!$C$1643:$Z$1643,Setup!$B$35)),SUMPRODUCT(COUNTIF('2028'!$C$1643:$Z$1643,Setup!$B$35)),SUMPRODUCT(COUNTIF('2029'!$C$1643:$Z$1643,Setup!$B$35)),SUMPRODUCT(COUNTIF('2030'!$C$1643:$Z$1643,Setup!$B$35))))</f>
        <v/>
      </c>
      <c r="AJ78" s="137">
        <f>IF($B78="","",CHOOSE(IFERROR(MATCH($C$4,Setup!$K$33:$K$36,0),1),SUMPRODUCT(COUNTIF('2027'!$C$1693:$Z$1693,Setup!$B$35)),SUMPRODUCT(COUNTIF('2028'!$C$1693:$Z$1693,Setup!$B$35)),SUMPRODUCT(COUNTIF('2029'!$C$1693:$Z$1693,Setup!$B$35)),SUMPRODUCT(COUNTIF('2030'!$C$1693:$Z$1693,Setup!$B$35))))</f>
        <v/>
      </c>
      <c r="AK78" s="137">
        <f>IF($B78="","",CHOOSE(IFERROR(MATCH($C$4,Setup!$K$33:$K$36,0),1),SUMPRODUCT(COUNTIF('2027'!$C$1743:$Z$1743,Setup!$B$35)),SUMPRODUCT(COUNTIF('2028'!$C$1743:$Z$1743,Setup!$B$35)),SUMPRODUCT(COUNTIF('2029'!$C$1743:$Z$1743,Setup!$B$35)),SUMPRODUCT(COUNTIF('2030'!$C$1743:$Z$1743,Setup!$B$35))))</f>
        <v/>
      </c>
      <c r="AL78" s="137">
        <f>IF($B78="","",CHOOSE(IFERROR(MATCH($C$4,Setup!$K$33:$K$36,0),1),SUMPRODUCT(COUNTIF('2027'!$C$1793:$Z$1793,Setup!$B$35)),SUMPRODUCT(COUNTIF('2028'!$C$1793:$Z$1793,Setup!$B$35)),SUMPRODUCT(COUNTIF('2029'!$C$1793:$Z$1793,Setup!$B$35)),SUMPRODUCT(COUNTIF('2030'!$C$1793:$Z$1793,Setup!$B$35))))</f>
        <v/>
      </c>
      <c r="AM78" s="137">
        <f>IF($B78="","",CHOOSE(IFERROR(MATCH($C$4,Setup!$K$33:$K$36,0),1),SUMPRODUCT(COUNTIF('2027'!$C$1843:$Z$1843,Setup!$B$35)),SUMPRODUCT(COUNTIF('2028'!$C$1843:$Z$1843,Setup!$B$35)),SUMPRODUCT(COUNTIF('2029'!$C$1843:$Z$1843,Setup!$B$35)),SUMPRODUCT(COUNTIF('2030'!$C$1843:$Z$1843,Setup!$B$35))))</f>
        <v/>
      </c>
      <c r="AN78" s="137">
        <f>IF($B78="","",CHOOSE(IFERROR(MATCH($C$4,Setup!$K$33:$K$36,0),1),SUMPRODUCT(COUNTIF('2027'!$C$1893:$Z$1893,Setup!$B$35)),SUMPRODUCT(COUNTIF('2028'!$C$1893:$Z$1893,Setup!$B$35)),SUMPRODUCT(COUNTIF('2029'!$C$1893:$Z$1893,Setup!$B$35)),SUMPRODUCT(COUNTIF('2030'!$C$1893:$Z$1893,Setup!$B$35))))</f>
        <v/>
      </c>
      <c r="AO78" s="137">
        <f>IF($B78="","",CHOOSE(IFERROR(MATCH($C$4,Setup!$K$33:$K$36,0),1),SUMPRODUCT(COUNTIF('2027'!$C$1943:$Z$1943,Setup!$B$35)),SUMPRODUCT(COUNTIF('2028'!$C$1943:$Z$1943,Setup!$B$35)),SUMPRODUCT(COUNTIF('2029'!$C$1943:$Z$1943,Setup!$B$35)),SUMPRODUCT(COUNTIF('2030'!$C$1943:$Z$1943,Setup!$B$35))))</f>
        <v/>
      </c>
      <c r="AP78" s="137">
        <f>IF($B78="","",CHOOSE(IFERROR(MATCH($C$4,Setup!$K$33:$K$36,0),1),SUMPRODUCT(COUNTIF('2027'!$C$1993:$Z$1993,Setup!$B$35)),SUMPRODUCT(COUNTIF('2028'!$C$1993:$Z$1993,Setup!$B$35)),SUMPRODUCT(COUNTIF('2029'!$C$1993:$Z$1993,Setup!$B$35)),SUMPRODUCT(COUNTIF('2030'!$C$1993:$Z$1993,Setup!$B$35))))</f>
        <v/>
      </c>
      <c r="AQ78" s="137">
        <f>IF($B78="","",CHOOSE(IFERROR(MATCH($C$4,Setup!$K$33:$K$36,0),1),SUMPRODUCT(COUNTIF('2027'!$C$2043:$Z$2043,Setup!$B$35)),SUMPRODUCT(COUNTIF('2028'!$C$2043:$Z$2043,Setup!$B$35)),SUMPRODUCT(COUNTIF('2029'!$C$2043:$Z$2043,Setup!$B$35)),SUMPRODUCT(COUNTIF('2030'!$C$2043:$Z$2043,Setup!$B$35))))</f>
        <v/>
      </c>
      <c r="AR78" s="137">
        <f>IF($B78="","",CHOOSE(IFERROR(MATCH($C$4,Setup!$K$33:$K$36,0),1),SUMPRODUCT(COUNTIF('2027'!$C$2093:$Z$2093,Setup!$B$35)),SUMPRODUCT(COUNTIF('2028'!$C$2093:$Z$2093,Setup!$B$35)),SUMPRODUCT(COUNTIF('2029'!$C$2093:$Z$2093,Setup!$B$35)),SUMPRODUCT(COUNTIF('2030'!$C$2093:$Z$2093,Setup!$B$35))))</f>
        <v/>
      </c>
      <c r="AS78" s="137">
        <f>IF($B78="","",CHOOSE(IFERROR(MATCH($C$4,Setup!$K$33:$K$36,0),1),SUMPRODUCT(COUNTIF('2027'!$C$2143:$Z$2143,Setup!$B$35)),SUMPRODUCT(COUNTIF('2028'!$C$2143:$Z$2143,Setup!$B$35)),SUMPRODUCT(COUNTIF('2029'!$C$2143:$Z$2143,Setup!$B$35)),SUMPRODUCT(COUNTIF('2030'!$C$2143:$Z$2143,Setup!$B$35))))</f>
        <v/>
      </c>
      <c r="AT78" s="137">
        <f>IF($B78="","",CHOOSE(IFERROR(MATCH($C$4,Setup!$K$33:$K$36,0),1),SUMPRODUCT(COUNTIF('2027'!$C$2193:$Z$2193,Setup!$B$35)),SUMPRODUCT(COUNTIF('2028'!$C$2193:$Z$2193,Setup!$B$35)),SUMPRODUCT(COUNTIF('2029'!$C$2193:$Z$2193,Setup!$B$35)),SUMPRODUCT(COUNTIF('2030'!$C$2193:$Z$2193,Setup!$B$35))))</f>
        <v/>
      </c>
      <c r="AU78" s="137">
        <f>IF($B78="","",CHOOSE(IFERROR(MATCH($C$4,Setup!$K$33:$K$36,0),1),SUMPRODUCT(COUNTIF('2027'!$C$2243:$Z$2243,Setup!$B$35)),SUMPRODUCT(COUNTIF('2028'!$C$2243:$Z$2243,Setup!$B$35)),SUMPRODUCT(COUNTIF('2029'!$C$2243:$Z$2243,Setup!$B$35)),SUMPRODUCT(COUNTIF('2030'!$C$2243:$Z$2243,Setup!$B$35))))</f>
        <v/>
      </c>
      <c r="AV78" s="137">
        <f>IF($B78="","",CHOOSE(IFERROR(MATCH($C$4,Setup!$K$33:$K$36,0),1),SUMPRODUCT(COUNTIF('2027'!$C$2293:$Z$2293,Setup!$B$35)),SUMPRODUCT(COUNTIF('2028'!$C$2293:$Z$2293,Setup!$B$35)),SUMPRODUCT(COUNTIF('2029'!$C$2293:$Z$2293,Setup!$B$35)),SUMPRODUCT(COUNTIF('2030'!$C$2293:$Z$2293,Setup!$B$35))))</f>
        <v/>
      </c>
      <c r="AW78" s="137">
        <f>IF($B78="","",CHOOSE(IFERROR(MATCH($C$4,Setup!$K$33:$K$36,0),1),SUMPRODUCT(COUNTIF('2027'!$C$2343:$Z$2343,Setup!$B$35)),SUMPRODUCT(COUNTIF('2028'!$C$2343:$Z$2343,Setup!$B$35)),SUMPRODUCT(COUNTIF('2029'!$C$2343:$Z$2343,Setup!$B$35)),SUMPRODUCT(COUNTIF('2030'!$C$2343:$Z$2343,Setup!$B$35))))</f>
        <v/>
      </c>
      <c r="AX78" s="137">
        <f>IF($B78="","",CHOOSE(IFERROR(MATCH($C$4,Setup!$K$33:$K$36,0),1),SUMPRODUCT(COUNTIF('2027'!$C$2393:$Z$2393,Setup!$B$35)),SUMPRODUCT(COUNTIF('2028'!$C$2393:$Z$2393,Setup!$B$35)),SUMPRODUCT(COUNTIF('2029'!$C$2393:$Z$2393,Setup!$B$35)),SUMPRODUCT(COUNTIF('2030'!$C$2393:$Z$2393,Setup!$B$35))))</f>
        <v/>
      </c>
      <c r="AY78" s="137">
        <f>IF($B78="","",CHOOSE(IFERROR(MATCH($C$4,Setup!$K$33:$K$36,0),1),SUMPRODUCT(COUNTIF('2027'!$C$2443:$Z$2443,Setup!$B$35)),SUMPRODUCT(COUNTIF('2028'!$C$2443:$Z$2443,Setup!$B$35)),SUMPRODUCT(COUNTIF('2029'!$C$2443:$Z$2443,Setup!$B$35)),SUMPRODUCT(COUNTIF('2030'!$C$2443:$Z$2443,Setup!$B$35))))</f>
        <v/>
      </c>
      <c r="AZ78" s="137">
        <f>IF($B78="","",CHOOSE(IFERROR(MATCH($C$4,Setup!$K$33:$K$36,0),1),SUMPRODUCT(COUNTIF('2027'!$C$2493:$Z$2493,Setup!$B$35)),SUMPRODUCT(COUNTIF('2028'!$C$2493:$Z$2493,Setup!$B$35)),SUMPRODUCT(COUNTIF('2029'!$C$2493:$Z$2493,Setup!$B$35)),SUMPRODUCT(COUNTIF('2030'!$C$2493:$Z$2493,Setup!$B$35))))</f>
        <v/>
      </c>
      <c r="BA78" s="137">
        <f>IF($B78="","",CHOOSE(IFERROR(MATCH($C$4,Setup!$K$33:$K$36,0),1),SUMPRODUCT(COUNTIF('2027'!$C$2543:$Z$2543,Setup!$B$35)),SUMPRODUCT(COUNTIF('2028'!$C$2543:$Z$2543,Setup!$B$35)),SUMPRODUCT(COUNTIF('2029'!$C$2543:$Z$2543,Setup!$B$35)),SUMPRODUCT(COUNTIF('2030'!$C$2543:$Z$2543,Setup!$B$35))))</f>
        <v/>
      </c>
      <c r="BB78" s="137">
        <f>IF($B78="","",CHOOSE(IFERROR(MATCH($C$4,Setup!$K$33:$K$36,0),1),SUMPRODUCT(COUNTIF('2027'!$C$2593:$Z$2593,Setup!$B$35)),SUMPRODUCT(COUNTIF('2028'!$C$2593:$Z$2593,Setup!$B$35)),SUMPRODUCT(COUNTIF('2029'!$C$2593:$Z$2593,Setup!$B$35)),SUMPRODUCT(COUNTIF('2030'!$C$2593:$Z$2593,Setup!$B$35))))</f>
        <v/>
      </c>
      <c r="BC78" s="137">
        <f>IF($B78="","",CHOOSE(IFERROR(MATCH($C$4,Setup!$K$33:$K$36,0),1),SUMPRODUCT(COUNTIF('2027'!$C$2643:$Z$2643,Setup!$B$35)),SUMPRODUCT(COUNTIF('2028'!$C$2643:$Z$2643,Setup!$B$35)),SUMPRODUCT(COUNTIF('2029'!$C$2643:$Z$2643,Setup!$B$35)),SUMPRODUCT(COUNTIF('2030'!$C$2643:$Z$2643,Setup!$B$35))))</f>
        <v/>
      </c>
      <c r="BE78" s="129">
        <f>IF($B78="","",SUM(C78:BC78))</f>
        <v/>
      </c>
      <c r="BF78" s="130">
        <f>IF($B78="","",COUNTIF(C78:BC78,"&gt;0"))</f>
        <v/>
      </c>
      <c r="BG78" s="130">
        <f>IF(OR($B78="",N(BE78)=0),"",MATCH(MAX(C78:BC78),C78:BC78,0))</f>
        <v/>
      </c>
    </row>
    <row r="79" ht="15" customHeight="1">
      <c r="B79" s="136">
        <f>IF(Setup!$B$23="","",Setup!$B$23)</f>
        <v/>
      </c>
      <c r="C79" s="137">
        <f>IF($B79="","",CHOOSE(IFERROR(MATCH($C$4,Setup!$K$33:$K$36,0),1),SUMPRODUCT(COUNTIF('2027'!$C$44:$Z$44,Setup!$B$35)),SUMPRODUCT(COUNTIF('2028'!$C$44:$Z$44,Setup!$B$35)),SUMPRODUCT(COUNTIF('2029'!$C$44:$Z$44,Setup!$B$35)),SUMPRODUCT(COUNTIF('2030'!$C$44:$Z$44,Setup!$B$35))))</f>
        <v/>
      </c>
      <c r="D79" s="137">
        <f>IF($B79="","",CHOOSE(IFERROR(MATCH($C$4,Setup!$K$33:$K$36,0),1),SUMPRODUCT(COUNTIF('2027'!$C$94:$Z$94,Setup!$B$35)),SUMPRODUCT(COUNTIF('2028'!$C$94:$Z$94,Setup!$B$35)),SUMPRODUCT(COUNTIF('2029'!$C$94:$Z$94,Setup!$B$35)),SUMPRODUCT(COUNTIF('2030'!$C$94:$Z$94,Setup!$B$35))))</f>
        <v/>
      </c>
      <c r="E79" s="137">
        <f>IF($B79="","",CHOOSE(IFERROR(MATCH($C$4,Setup!$K$33:$K$36,0),1),SUMPRODUCT(COUNTIF('2027'!$C$144:$Z$144,Setup!$B$35)),SUMPRODUCT(COUNTIF('2028'!$C$144:$Z$144,Setup!$B$35)),SUMPRODUCT(COUNTIF('2029'!$C$144:$Z$144,Setup!$B$35)),SUMPRODUCT(COUNTIF('2030'!$C$144:$Z$144,Setup!$B$35))))</f>
        <v/>
      </c>
      <c r="F79" s="137">
        <f>IF($B79="","",CHOOSE(IFERROR(MATCH($C$4,Setup!$K$33:$K$36,0),1),SUMPRODUCT(COUNTIF('2027'!$C$194:$Z$194,Setup!$B$35)),SUMPRODUCT(COUNTIF('2028'!$C$194:$Z$194,Setup!$B$35)),SUMPRODUCT(COUNTIF('2029'!$C$194:$Z$194,Setup!$B$35)),SUMPRODUCT(COUNTIF('2030'!$C$194:$Z$194,Setup!$B$35))))</f>
        <v/>
      </c>
      <c r="G79" s="137">
        <f>IF($B79="","",CHOOSE(IFERROR(MATCH($C$4,Setup!$K$33:$K$36,0),1),SUMPRODUCT(COUNTIF('2027'!$C$244:$Z$244,Setup!$B$35)),SUMPRODUCT(COUNTIF('2028'!$C$244:$Z$244,Setup!$B$35)),SUMPRODUCT(COUNTIF('2029'!$C$244:$Z$244,Setup!$B$35)),SUMPRODUCT(COUNTIF('2030'!$C$244:$Z$244,Setup!$B$35))))</f>
        <v/>
      </c>
      <c r="H79" s="137">
        <f>IF($B79="","",CHOOSE(IFERROR(MATCH($C$4,Setup!$K$33:$K$36,0),1),SUMPRODUCT(COUNTIF('2027'!$C$294:$Z$294,Setup!$B$35)),SUMPRODUCT(COUNTIF('2028'!$C$294:$Z$294,Setup!$B$35)),SUMPRODUCT(COUNTIF('2029'!$C$294:$Z$294,Setup!$B$35)),SUMPRODUCT(COUNTIF('2030'!$C$294:$Z$294,Setup!$B$35))))</f>
        <v/>
      </c>
      <c r="I79" s="137">
        <f>IF($B79="","",CHOOSE(IFERROR(MATCH($C$4,Setup!$K$33:$K$36,0),1),SUMPRODUCT(COUNTIF('2027'!$C$344:$Z$344,Setup!$B$35)),SUMPRODUCT(COUNTIF('2028'!$C$344:$Z$344,Setup!$B$35)),SUMPRODUCT(COUNTIF('2029'!$C$344:$Z$344,Setup!$B$35)),SUMPRODUCT(COUNTIF('2030'!$C$344:$Z$344,Setup!$B$35))))</f>
        <v/>
      </c>
      <c r="J79" s="137">
        <f>IF($B79="","",CHOOSE(IFERROR(MATCH($C$4,Setup!$K$33:$K$36,0),1),SUMPRODUCT(COUNTIF('2027'!$C$394:$Z$394,Setup!$B$35)),SUMPRODUCT(COUNTIF('2028'!$C$394:$Z$394,Setup!$B$35)),SUMPRODUCT(COUNTIF('2029'!$C$394:$Z$394,Setup!$B$35)),SUMPRODUCT(COUNTIF('2030'!$C$394:$Z$394,Setup!$B$35))))</f>
        <v/>
      </c>
      <c r="K79" s="137">
        <f>IF($B79="","",CHOOSE(IFERROR(MATCH($C$4,Setup!$K$33:$K$36,0),1),SUMPRODUCT(COUNTIF('2027'!$C$444:$Z$444,Setup!$B$35)),SUMPRODUCT(COUNTIF('2028'!$C$444:$Z$444,Setup!$B$35)),SUMPRODUCT(COUNTIF('2029'!$C$444:$Z$444,Setup!$B$35)),SUMPRODUCT(COUNTIF('2030'!$C$444:$Z$444,Setup!$B$35))))</f>
        <v/>
      </c>
      <c r="L79" s="137">
        <f>IF($B79="","",CHOOSE(IFERROR(MATCH($C$4,Setup!$K$33:$K$36,0),1),SUMPRODUCT(COUNTIF('2027'!$C$494:$Z$494,Setup!$B$35)),SUMPRODUCT(COUNTIF('2028'!$C$494:$Z$494,Setup!$B$35)),SUMPRODUCT(COUNTIF('2029'!$C$494:$Z$494,Setup!$B$35)),SUMPRODUCT(COUNTIF('2030'!$C$494:$Z$494,Setup!$B$35))))</f>
        <v/>
      </c>
      <c r="M79" s="137">
        <f>IF($B79="","",CHOOSE(IFERROR(MATCH($C$4,Setup!$K$33:$K$36,0),1),SUMPRODUCT(COUNTIF('2027'!$C$544:$Z$544,Setup!$B$35)),SUMPRODUCT(COUNTIF('2028'!$C$544:$Z$544,Setup!$B$35)),SUMPRODUCT(COUNTIF('2029'!$C$544:$Z$544,Setup!$B$35)),SUMPRODUCT(COUNTIF('2030'!$C$544:$Z$544,Setup!$B$35))))</f>
        <v/>
      </c>
      <c r="N79" s="137">
        <f>IF($B79="","",CHOOSE(IFERROR(MATCH($C$4,Setup!$K$33:$K$36,0),1),SUMPRODUCT(COUNTIF('2027'!$C$594:$Z$594,Setup!$B$35)),SUMPRODUCT(COUNTIF('2028'!$C$594:$Z$594,Setup!$B$35)),SUMPRODUCT(COUNTIF('2029'!$C$594:$Z$594,Setup!$B$35)),SUMPRODUCT(COUNTIF('2030'!$C$594:$Z$594,Setup!$B$35))))</f>
        <v/>
      </c>
      <c r="O79" s="137">
        <f>IF($B79="","",CHOOSE(IFERROR(MATCH($C$4,Setup!$K$33:$K$36,0),1),SUMPRODUCT(COUNTIF('2027'!$C$644:$Z$644,Setup!$B$35)),SUMPRODUCT(COUNTIF('2028'!$C$644:$Z$644,Setup!$B$35)),SUMPRODUCT(COUNTIF('2029'!$C$644:$Z$644,Setup!$B$35)),SUMPRODUCT(COUNTIF('2030'!$C$644:$Z$644,Setup!$B$35))))</f>
        <v/>
      </c>
      <c r="P79" s="137">
        <f>IF($B79="","",CHOOSE(IFERROR(MATCH($C$4,Setup!$K$33:$K$36,0),1),SUMPRODUCT(COUNTIF('2027'!$C$694:$Z$694,Setup!$B$35)),SUMPRODUCT(COUNTIF('2028'!$C$694:$Z$694,Setup!$B$35)),SUMPRODUCT(COUNTIF('2029'!$C$694:$Z$694,Setup!$B$35)),SUMPRODUCT(COUNTIF('2030'!$C$694:$Z$694,Setup!$B$35))))</f>
        <v/>
      </c>
      <c r="Q79" s="137">
        <f>IF($B79="","",CHOOSE(IFERROR(MATCH($C$4,Setup!$K$33:$K$36,0),1),SUMPRODUCT(COUNTIF('2027'!$C$744:$Z$744,Setup!$B$35)),SUMPRODUCT(COUNTIF('2028'!$C$744:$Z$744,Setup!$B$35)),SUMPRODUCT(COUNTIF('2029'!$C$744:$Z$744,Setup!$B$35)),SUMPRODUCT(COUNTIF('2030'!$C$744:$Z$744,Setup!$B$35))))</f>
        <v/>
      </c>
      <c r="R79" s="137">
        <f>IF($B79="","",CHOOSE(IFERROR(MATCH($C$4,Setup!$K$33:$K$36,0),1),SUMPRODUCT(COUNTIF('2027'!$C$794:$Z$794,Setup!$B$35)),SUMPRODUCT(COUNTIF('2028'!$C$794:$Z$794,Setup!$B$35)),SUMPRODUCT(COUNTIF('2029'!$C$794:$Z$794,Setup!$B$35)),SUMPRODUCT(COUNTIF('2030'!$C$794:$Z$794,Setup!$B$35))))</f>
        <v/>
      </c>
      <c r="S79" s="137">
        <f>IF($B79="","",CHOOSE(IFERROR(MATCH($C$4,Setup!$K$33:$K$36,0),1),SUMPRODUCT(COUNTIF('2027'!$C$844:$Z$844,Setup!$B$35)),SUMPRODUCT(COUNTIF('2028'!$C$844:$Z$844,Setup!$B$35)),SUMPRODUCT(COUNTIF('2029'!$C$844:$Z$844,Setup!$B$35)),SUMPRODUCT(COUNTIF('2030'!$C$844:$Z$844,Setup!$B$35))))</f>
        <v/>
      </c>
      <c r="T79" s="137">
        <f>IF($B79="","",CHOOSE(IFERROR(MATCH($C$4,Setup!$K$33:$K$36,0),1),SUMPRODUCT(COUNTIF('2027'!$C$894:$Z$894,Setup!$B$35)),SUMPRODUCT(COUNTIF('2028'!$C$894:$Z$894,Setup!$B$35)),SUMPRODUCT(COUNTIF('2029'!$C$894:$Z$894,Setup!$B$35)),SUMPRODUCT(COUNTIF('2030'!$C$894:$Z$894,Setup!$B$35))))</f>
        <v/>
      </c>
      <c r="U79" s="137">
        <f>IF($B79="","",CHOOSE(IFERROR(MATCH($C$4,Setup!$K$33:$K$36,0),1),SUMPRODUCT(COUNTIF('2027'!$C$944:$Z$944,Setup!$B$35)),SUMPRODUCT(COUNTIF('2028'!$C$944:$Z$944,Setup!$B$35)),SUMPRODUCT(COUNTIF('2029'!$C$944:$Z$944,Setup!$B$35)),SUMPRODUCT(COUNTIF('2030'!$C$944:$Z$944,Setup!$B$35))))</f>
        <v/>
      </c>
      <c r="V79" s="137">
        <f>IF($B79="","",CHOOSE(IFERROR(MATCH($C$4,Setup!$K$33:$K$36,0),1),SUMPRODUCT(COUNTIF('2027'!$C$994:$Z$994,Setup!$B$35)),SUMPRODUCT(COUNTIF('2028'!$C$994:$Z$994,Setup!$B$35)),SUMPRODUCT(COUNTIF('2029'!$C$994:$Z$994,Setup!$B$35)),SUMPRODUCT(COUNTIF('2030'!$C$994:$Z$994,Setup!$B$35))))</f>
        <v/>
      </c>
      <c r="W79" s="137">
        <f>IF($B79="","",CHOOSE(IFERROR(MATCH($C$4,Setup!$K$33:$K$36,0),1),SUMPRODUCT(COUNTIF('2027'!$C$1044:$Z$1044,Setup!$B$35)),SUMPRODUCT(COUNTIF('2028'!$C$1044:$Z$1044,Setup!$B$35)),SUMPRODUCT(COUNTIF('2029'!$C$1044:$Z$1044,Setup!$B$35)),SUMPRODUCT(COUNTIF('2030'!$C$1044:$Z$1044,Setup!$B$35))))</f>
        <v/>
      </c>
      <c r="X79" s="137">
        <f>IF($B79="","",CHOOSE(IFERROR(MATCH($C$4,Setup!$K$33:$K$36,0),1),SUMPRODUCT(COUNTIF('2027'!$C$1094:$Z$1094,Setup!$B$35)),SUMPRODUCT(COUNTIF('2028'!$C$1094:$Z$1094,Setup!$B$35)),SUMPRODUCT(COUNTIF('2029'!$C$1094:$Z$1094,Setup!$B$35)),SUMPRODUCT(COUNTIF('2030'!$C$1094:$Z$1094,Setup!$B$35))))</f>
        <v/>
      </c>
      <c r="Y79" s="137">
        <f>IF($B79="","",CHOOSE(IFERROR(MATCH($C$4,Setup!$K$33:$K$36,0),1),SUMPRODUCT(COUNTIF('2027'!$C$1144:$Z$1144,Setup!$B$35)),SUMPRODUCT(COUNTIF('2028'!$C$1144:$Z$1144,Setup!$B$35)),SUMPRODUCT(COUNTIF('2029'!$C$1144:$Z$1144,Setup!$B$35)),SUMPRODUCT(COUNTIF('2030'!$C$1144:$Z$1144,Setup!$B$35))))</f>
        <v/>
      </c>
      <c r="Z79" s="137">
        <f>IF($B79="","",CHOOSE(IFERROR(MATCH($C$4,Setup!$K$33:$K$36,0),1),SUMPRODUCT(COUNTIF('2027'!$C$1194:$Z$1194,Setup!$B$35)),SUMPRODUCT(COUNTIF('2028'!$C$1194:$Z$1194,Setup!$B$35)),SUMPRODUCT(COUNTIF('2029'!$C$1194:$Z$1194,Setup!$B$35)),SUMPRODUCT(COUNTIF('2030'!$C$1194:$Z$1194,Setup!$B$35))))</f>
        <v/>
      </c>
      <c r="AA79" s="137">
        <f>IF($B79="","",CHOOSE(IFERROR(MATCH($C$4,Setup!$K$33:$K$36,0),1),SUMPRODUCT(COUNTIF('2027'!$C$1244:$Z$1244,Setup!$B$35)),SUMPRODUCT(COUNTIF('2028'!$C$1244:$Z$1244,Setup!$B$35)),SUMPRODUCT(COUNTIF('2029'!$C$1244:$Z$1244,Setup!$B$35)),SUMPRODUCT(COUNTIF('2030'!$C$1244:$Z$1244,Setup!$B$35))))</f>
        <v/>
      </c>
      <c r="AB79" s="137">
        <f>IF($B79="","",CHOOSE(IFERROR(MATCH($C$4,Setup!$K$33:$K$36,0),1),SUMPRODUCT(COUNTIF('2027'!$C$1294:$Z$1294,Setup!$B$35)),SUMPRODUCT(COUNTIF('2028'!$C$1294:$Z$1294,Setup!$B$35)),SUMPRODUCT(COUNTIF('2029'!$C$1294:$Z$1294,Setup!$B$35)),SUMPRODUCT(COUNTIF('2030'!$C$1294:$Z$1294,Setup!$B$35))))</f>
        <v/>
      </c>
      <c r="AC79" s="137">
        <f>IF($B79="","",CHOOSE(IFERROR(MATCH($C$4,Setup!$K$33:$K$36,0),1),SUMPRODUCT(COUNTIF('2027'!$C$1344:$Z$1344,Setup!$B$35)),SUMPRODUCT(COUNTIF('2028'!$C$1344:$Z$1344,Setup!$B$35)),SUMPRODUCT(COUNTIF('2029'!$C$1344:$Z$1344,Setup!$B$35)),SUMPRODUCT(COUNTIF('2030'!$C$1344:$Z$1344,Setup!$B$35))))</f>
        <v/>
      </c>
      <c r="AD79" s="137">
        <f>IF($B79="","",CHOOSE(IFERROR(MATCH($C$4,Setup!$K$33:$K$36,0),1),SUMPRODUCT(COUNTIF('2027'!$C$1394:$Z$1394,Setup!$B$35)),SUMPRODUCT(COUNTIF('2028'!$C$1394:$Z$1394,Setup!$B$35)),SUMPRODUCT(COUNTIF('2029'!$C$1394:$Z$1394,Setup!$B$35)),SUMPRODUCT(COUNTIF('2030'!$C$1394:$Z$1394,Setup!$B$35))))</f>
        <v/>
      </c>
      <c r="AE79" s="137">
        <f>IF($B79="","",CHOOSE(IFERROR(MATCH($C$4,Setup!$K$33:$K$36,0),1),SUMPRODUCT(COUNTIF('2027'!$C$1444:$Z$1444,Setup!$B$35)),SUMPRODUCT(COUNTIF('2028'!$C$1444:$Z$1444,Setup!$B$35)),SUMPRODUCT(COUNTIF('2029'!$C$1444:$Z$1444,Setup!$B$35)),SUMPRODUCT(COUNTIF('2030'!$C$1444:$Z$1444,Setup!$B$35))))</f>
        <v/>
      </c>
      <c r="AF79" s="137">
        <f>IF($B79="","",CHOOSE(IFERROR(MATCH($C$4,Setup!$K$33:$K$36,0),1),SUMPRODUCT(COUNTIF('2027'!$C$1494:$Z$1494,Setup!$B$35)),SUMPRODUCT(COUNTIF('2028'!$C$1494:$Z$1494,Setup!$B$35)),SUMPRODUCT(COUNTIF('2029'!$C$1494:$Z$1494,Setup!$B$35)),SUMPRODUCT(COUNTIF('2030'!$C$1494:$Z$1494,Setup!$B$35))))</f>
        <v/>
      </c>
      <c r="AG79" s="137">
        <f>IF($B79="","",CHOOSE(IFERROR(MATCH($C$4,Setup!$K$33:$K$36,0),1),SUMPRODUCT(COUNTIF('2027'!$C$1544:$Z$1544,Setup!$B$35)),SUMPRODUCT(COUNTIF('2028'!$C$1544:$Z$1544,Setup!$B$35)),SUMPRODUCT(COUNTIF('2029'!$C$1544:$Z$1544,Setup!$B$35)),SUMPRODUCT(COUNTIF('2030'!$C$1544:$Z$1544,Setup!$B$35))))</f>
        <v/>
      </c>
      <c r="AH79" s="137">
        <f>IF($B79="","",CHOOSE(IFERROR(MATCH($C$4,Setup!$K$33:$K$36,0),1),SUMPRODUCT(COUNTIF('2027'!$C$1594:$Z$1594,Setup!$B$35)),SUMPRODUCT(COUNTIF('2028'!$C$1594:$Z$1594,Setup!$B$35)),SUMPRODUCT(COUNTIF('2029'!$C$1594:$Z$1594,Setup!$B$35)),SUMPRODUCT(COUNTIF('2030'!$C$1594:$Z$1594,Setup!$B$35))))</f>
        <v/>
      </c>
      <c r="AI79" s="137">
        <f>IF($B79="","",CHOOSE(IFERROR(MATCH($C$4,Setup!$K$33:$K$36,0),1),SUMPRODUCT(COUNTIF('2027'!$C$1644:$Z$1644,Setup!$B$35)),SUMPRODUCT(COUNTIF('2028'!$C$1644:$Z$1644,Setup!$B$35)),SUMPRODUCT(COUNTIF('2029'!$C$1644:$Z$1644,Setup!$B$35)),SUMPRODUCT(COUNTIF('2030'!$C$1644:$Z$1644,Setup!$B$35))))</f>
        <v/>
      </c>
      <c r="AJ79" s="137">
        <f>IF($B79="","",CHOOSE(IFERROR(MATCH($C$4,Setup!$K$33:$K$36,0),1),SUMPRODUCT(COUNTIF('2027'!$C$1694:$Z$1694,Setup!$B$35)),SUMPRODUCT(COUNTIF('2028'!$C$1694:$Z$1694,Setup!$B$35)),SUMPRODUCT(COUNTIF('2029'!$C$1694:$Z$1694,Setup!$B$35)),SUMPRODUCT(COUNTIF('2030'!$C$1694:$Z$1694,Setup!$B$35))))</f>
        <v/>
      </c>
      <c r="AK79" s="137">
        <f>IF($B79="","",CHOOSE(IFERROR(MATCH($C$4,Setup!$K$33:$K$36,0),1),SUMPRODUCT(COUNTIF('2027'!$C$1744:$Z$1744,Setup!$B$35)),SUMPRODUCT(COUNTIF('2028'!$C$1744:$Z$1744,Setup!$B$35)),SUMPRODUCT(COUNTIF('2029'!$C$1744:$Z$1744,Setup!$B$35)),SUMPRODUCT(COUNTIF('2030'!$C$1744:$Z$1744,Setup!$B$35))))</f>
        <v/>
      </c>
      <c r="AL79" s="137">
        <f>IF($B79="","",CHOOSE(IFERROR(MATCH($C$4,Setup!$K$33:$K$36,0),1),SUMPRODUCT(COUNTIF('2027'!$C$1794:$Z$1794,Setup!$B$35)),SUMPRODUCT(COUNTIF('2028'!$C$1794:$Z$1794,Setup!$B$35)),SUMPRODUCT(COUNTIF('2029'!$C$1794:$Z$1794,Setup!$B$35)),SUMPRODUCT(COUNTIF('2030'!$C$1794:$Z$1794,Setup!$B$35))))</f>
        <v/>
      </c>
      <c r="AM79" s="137">
        <f>IF($B79="","",CHOOSE(IFERROR(MATCH($C$4,Setup!$K$33:$K$36,0),1),SUMPRODUCT(COUNTIF('2027'!$C$1844:$Z$1844,Setup!$B$35)),SUMPRODUCT(COUNTIF('2028'!$C$1844:$Z$1844,Setup!$B$35)),SUMPRODUCT(COUNTIF('2029'!$C$1844:$Z$1844,Setup!$B$35)),SUMPRODUCT(COUNTIF('2030'!$C$1844:$Z$1844,Setup!$B$35))))</f>
        <v/>
      </c>
      <c r="AN79" s="137">
        <f>IF($B79="","",CHOOSE(IFERROR(MATCH($C$4,Setup!$K$33:$K$36,0),1),SUMPRODUCT(COUNTIF('2027'!$C$1894:$Z$1894,Setup!$B$35)),SUMPRODUCT(COUNTIF('2028'!$C$1894:$Z$1894,Setup!$B$35)),SUMPRODUCT(COUNTIF('2029'!$C$1894:$Z$1894,Setup!$B$35)),SUMPRODUCT(COUNTIF('2030'!$C$1894:$Z$1894,Setup!$B$35))))</f>
        <v/>
      </c>
      <c r="AO79" s="137">
        <f>IF($B79="","",CHOOSE(IFERROR(MATCH($C$4,Setup!$K$33:$K$36,0),1),SUMPRODUCT(COUNTIF('2027'!$C$1944:$Z$1944,Setup!$B$35)),SUMPRODUCT(COUNTIF('2028'!$C$1944:$Z$1944,Setup!$B$35)),SUMPRODUCT(COUNTIF('2029'!$C$1944:$Z$1944,Setup!$B$35)),SUMPRODUCT(COUNTIF('2030'!$C$1944:$Z$1944,Setup!$B$35))))</f>
        <v/>
      </c>
      <c r="AP79" s="137">
        <f>IF($B79="","",CHOOSE(IFERROR(MATCH($C$4,Setup!$K$33:$K$36,0),1),SUMPRODUCT(COUNTIF('2027'!$C$1994:$Z$1994,Setup!$B$35)),SUMPRODUCT(COUNTIF('2028'!$C$1994:$Z$1994,Setup!$B$35)),SUMPRODUCT(COUNTIF('2029'!$C$1994:$Z$1994,Setup!$B$35)),SUMPRODUCT(COUNTIF('2030'!$C$1994:$Z$1994,Setup!$B$35))))</f>
        <v/>
      </c>
      <c r="AQ79" s="137">
        <f>IF($B79="","",CHOOSE(IFERROR(MATCH($C$4,Setup!$K$33:$K$36,0),1),SUMPRODUCT(COUNTIF('2027'!$C$2044:$Z$2044,Setup!$B$35)),SUMPRODUCT(COUNTIF('2028'!$C$2044:$Z$2044,Setup!$B$35)),SUMPRODUCT(COUNTIF('2029'!$C$2044:$Z$2044,Setup!$B$35)),SUMPRODUCT(COUNTIF('2030'!$C$2044:$Z$2044,Setup!$B$35))))</f>
        <v/>
      </c>
      <c r="AR79" s="137">
        <f>IF($B79="","",CHOOSE(IFERROR(MATCH($C$4,Setup!$K$33:$K$36,0),1),SUMPRODUCT(COUNTIF('2027'!$C$2094:$Z$2094,Setup!$B$35)),SUMPRODUCT(COUNTIF('2028'!$C$2094:$Z$2094,Setup!$B$35)),SUMPRODUCT(COUNTIF('2029'!$C$2094:$Z$2094,Setup!$B$35)),SUMPRODUCT(COUNTIF('2030'!$C$2094:$Z$2094,Setup!$B$35))))</f>
        <v/>
      </c>
      <c r="AS79" s="137">
        <f>IF($B79="","",CHOOSE(IFERROR(MATCH($C$4,Setup!$K$33:$K$36,0),1),SUMPRODUCT(COUNTIF('2027'!$C$2144:$Z$2144,Setup!$B$35)),SUMPRODUCT(COUNTIF('2028'!$C$2144:$Z$2144,Setup!$B$35)),SUMPRODUCT(COUNTIF('2029'!$C$2144:$Z$2144,Setup!$B$35)),SUMPRODUCT(COUNTIF('2030'!$C$2144:$Z$2144,Setup!$B$35))))</f>
        <v/>
      </c>
      <c r="AT79" s="137">
        <f>IF($B79="","",CHOOSE(IFERROR(MATCH($C$4,Setup!$K$33:$K$36,0),1),SUMPRODUCT(COUNTIF('2027'!$C$2194:$Z$2194,Setup!$B$35)),SUMPRODUCT(COUNTIF('2028'!$C$2194:$Z$2194,Setup!$B$35)),SUMPRODUCT(COUNTIF('2029'!$C$2194:$Z$2194,Setup!$B$35)),SUMPRODUCT(COUNTIF('2030'!$C$2194:$Z$2194,Setup!$B$35))))</f>
        <v/>
      </c>
      <c r="AU79" s="137">
        <f>IF($B79="","",CHOOSE(IFERROR(MATCH($C$4,Setup!$K$33:$K$36,0),1),SUMPRODUCT(COUNTIF('2027'!$C$2244:$Z$2244,Setup!$B$35)),SUMPRODUCT(COUNTIF('2028'!$C$2244:$Z$2244,Setup!$B$35)),SUMPRODUCT(COUNTIF('2029'!$C$2244:$Z$2244,Setup!$B$35)),SUMPRODUCT(COUNTIF('2030'!$C$2244:$Z$2244,Setup!$B$35))))</f>
        <v/>
      </c>
      <c r="AV79" s="137">
        <f>IF($B79="","",CHOOSE(IFERROR(MATCH($C$4,Setup!$K$33:$K$36,0),1),SUMPRODUCT(COUNTIF('2027'!$C$2294:$Z$2294,Setup!$B$35)),SUMPRODUCT(COUNTIF('2028'!$C$2294:$Z$2294,Setup!$B$35)),SUMPRODUCT(COUNTIF('2029'!$C$2294:$Z$2294,Setup!$B$35)),SUMPRODUCT(COUNTIF('2030'!$C$2294:$Z$2294,Setup!$B$35))))</f>
        <v/>
      </c>
      <c r="AW79" s="137">
        <f>IF($B79="","",CHOOSE(IFERROR(MATCH($C$4,Setup!$K$33:$K$36,0),1),SUMPRODUCT(COUNTIF('2027'!$C$2344:$Z$2344,Setup!$B$35)),SUMPRODUCT(COUNTIF('2028'!$C$2344:$Z$2344,Setup!$B$35)),SUMPRODUCT(COUNTIF('2029'!$C$2344:$Z$2344,Setup!$B$35)),SUMPRODUCT(COUNTIF('2030'!$C$2344:$Z$2344,Setup!$B$35))))</f>
        <v/>
      </c>
      <c r="AX79" s="137">
        <f>IF($B79="","",CHOOSE(IFERROR(MATCH($C$4,Setup!$K$33:$K$36,0),1),SUMPRODUCT(COUNTIF('2027'!$C$2394:$Z$2394,Setup!$B$35)),SUMPRODUCT(COUNTIF('2028'!$C$2394:$Z$2394,Setup!$B$35)),SUMPRODUCT(COUNTIF('2029'!$C$2394:$Z$2394,Setup!$B$35)),SUMPRODUCT(COUNTIF('2030'!$C$2394:$Z$2394,Setup!$B$35))))</f>
        <v/>
      </c>
      <c r="AY79" s="137">
        <f>IF($B79="","",CHOOSE(IFERROR(MATCH($C$4,Setup!$K$33:$K$36,0),1),SUMPRODUCT(COUNTIF('2027'!$C$2444:$Z$2444,Setup!$B$35)),SUMPRODUCT(COUNTIF('2028'!$C$2444:$Z$2444,Setup!$B$35)),SUMPRODUCT(COUNTIF('2029'!$C$2444:$Z$2444,Setup!$B$35)),SUMPRODUCT(COUNTIF('2030'!$C$2444:$Z$2444,Setup!$B$35))))</f>
        <v/>
      </c>
      <c r="AZ79" s="137">
        <f>IF($B79="","",CHOOSE(IFERROR(MATCH($C$4,Setup!$K$33:$K$36,0),1),SUMPRODUCT(COUNTIF('2027'!$C$2494:$Z$2494,Setup!$B$35)),SUMPRODUCT(COUNTIF('2028'!$C$2494:$Z$2494,Setup!$B$35)),SUMPRODUCT(COUNTIF('2029'!$C$2494:$Z$2494,Setup!$B$35)),SUMPRODUCT(COUNTIF('2030'!$C$2494:$Z$2494,Setup!$B$35))))</f>
        <v/>
      </c>
      <c r="BA79" s="137">
        <f>IF($B79="","",CHOOSE(IFERROR(MATCH($C$4,Setup!$K$33:$K$36,0),1),SUMPRODUCT(COUNTIF('2027'!$C$2544:$Z$2544,Setup!$B$35)),SUMPRODUCT(COUNTIF('2028'!$C$2544:$Z$2544,Setup!$B$35)),SUMPRODUCT(COUNTIF('2029'!$C$2544:$Z$2544,Setup!$B$35)),SUMPRODUCT(COUNTIF('2030'!$C$2544:$Z$2544,Setup!$B$35))))</f>
        <v/>
      </c>
      <c r="BB79" s="137">
        <f>IF($B79="","",CHOOSE(IFERROR(MATCH($C$4,Setup!$K$33:$K$36,0),1),SUMPRODUCT(COUNTIF('2027'!$C$2594:$Z$2594,Setup!$B$35)),SUMPRODUCT(COUNTIF('2028'!$C$2594:$Z$2594,Setup!$B$35)),SUMPRODUCT(COUNTIF('2029'!$C$2594:$Z$2594,Setup!$B$35)),SUMPRODUCT(COUNTIF('2030'!$C$2594:$Z$2594,Setup!$B$35))))</f>
        <v/>
      </c>
      <c r="BC79" s="137">
        <f>IF($B79="","",CHOOSE(IFERROR(MATCH($C$4,Setup!$K$33:$K$36,0),1),SUMPRODUCT(COUNTIF('2027'!$C$2644:$Z$2644,Setup!$B$35)),SUMPRODUCT(COUNTIF('2028'!$C$2644:$Z$2644,Setup!$B$35)),SUMPRODUCT(COUNTIF('2029'!$C$2644:$Z$2644,Setup!$B$35)),SUMPRODUCT(COUNTIF('2030'!$C$2644:$Z$2644,Setup!$B$35))))</f>
        <v/>
      </c>
      <c r="BE79" s="129">
        <f>IF($B79="","",SUM(C79:BC79))</f>
        <v/>
      </c>
      <c r="BF79" s="130">
        <f>IF($B79="","",COUNTIF(C79:BC79,"&gt;0"))</f>
        <v/>
      </c>
      <c r="BG79" s="130">
        <f>IF(OR($B79="",N(BE79)=0),"",MATCH(MAX(C79:BC79),C79:BC79,0))</f>
        <v/>
      </c>
    </row>
    <row r="80" ht="15" customHeight="1">
      <c r="B80" s="136">
        <f>IF(Setup!$B$24="","",Setup!$B$24)</f>
        <v/>
      </c>
      <c r="C80" s="137">
        <f>IF($B80="","",CHOOSE(IFERROR(MATCH($C$4,Setup!$K$33:$K$36,0),1),SUMPRODUCT(COUNTIF('2027'!$C$45:$Z$45,Setup!$B$35)),SUMPRODUCT(COUNTIF('2028'!$C$45:$Z$45,Setup!$B$35)),SUMPRODUCT(COUNTIF('2029'!$C$45:$Z$45,Setup!$B$35)),SUMPRODUCT(COUNTIF('2030'!$C$45:$Z$45,Setup!$B$35))))</f>
        <v/>
      </c>
      <c r="D80" s="137">
        <f>IF($B80="","",CHOOSE(IFERROR(MATCH($C$4,Setup!$K$33:$K$36,0),1),SUMPRODUCT(COUNTIF('2027'!$C$95:$Z$95,Setup!$B$35)),SUMPRODUCT(COUNTIF('2028'!$C$95:$Z$95,Setup!$B$35)),SUMPRODUCT(COUNTIF('2029'!$C$95:$Z$95,Setup!$B$35)),SUMPRODUCT(COUNTIF('2030'!$C$95:$Z$95,Setup!$B$35))))</f>
        <v/>
      </c>
      <c r="E80" s="137">
        <f>IF($B80="","",CHOOSE(IFERROR(MATCH($C$4,Setup!$K$33:$K$36,0),1),SUMPRODUCT(COUNTIF('2027'!$C$145:$Z$145,Setup!$B$35)),SUMPRODUCT(COUNTIF('2028'!$C$145:$Z$145,Setup!$B$35)),SUMPRODUCT(COUNTIF('2029'!$C$145:$Z$145,Setup!$B$35)),SUMPRODUCT(COUNTIF('2030'!$C$145:$Z$145,Setup!$B$35))))</f>
        <v/>
      </c>
      <c r="F80" s="137">
        <f>IF($B80="","",CHOOSE(IFERROR(MATCH($C$4,Setup!$K$33:$K$36,0),1),SUMPRODUCT(COUNTIF('2027'!$C$195:$Z$195,Setup!$B$35)),SUMPRODUCT(COUNTIF('2028'!$C$195:$Z$195,Setup!$B$35)),SUMPRODUCT(COUNTIF('2029'!$C$195:$Z$195,Setup!$B$35)),SUMPRODUCT(COUNTIF('2030'!$C$195:$Z$195,Setup!$B$35))))</f>
        <v/>
      </c>
      <c r="G80" s="137">
        <f>IF($B80="","",CHOOSE(IFERROR(MATCH($C$4,Setup!$K$33:$K$36,0),1),SUMPRODUCT(COUNTIF('2027'!$C$245:$Z$245,Setup!$B$35)),SUMPRODUCT(COUNTIF('2028'!$C$245:$Z$245,Setup!$B$35)),SUMPRODUCT(COUNTIF('2029'!$C$245:$Z$245,Setup!$B$35)),SUMPRODUCT(COUNTIF('2030'!$C$245:$Z$245,Setup!$B$35))))</f>
        <v/>
      </c>
      <c r="H80" s="137">
        <f>IF($B80="","",CHOOSE(IFERROR(MATCH($C$4,Setup!$K$33:$K$36,0),1),SUMPRODUCT(COUNTIF('2027'!$C$295:$Z$295,Setup!$B$35)),SUMPRODUCT(COUNTIF('2028'!$C$295:$Z$295,Setup!$B$35)),SUMPRODUCT(COUNTIF('2029'!$C$295:$Z$295,Setup!$B$35)),SUMPRODUCT(COUNTIF('2030'!$C$295:$Z$295,Setup!$B$35))))</f>
        <v/>
      </c>
      <c r="I80" s="137">
        <f>IF($B80="","",CHOOSE(IFERROR(MATCH($C$4,Setup!$K$33:$K$36,0),1),SUMPRODUCT(COUNTIF('2027'!$C$345:$Z$345,Setup!$B$35)),SUMPRODUCT(COUNTIF('2028'!$C$345:$Z$345,Setup!$B$35)),SUMPRODUCT(COUNTIF('2029'!$C$345:$Z$345,Setup!$B$35)),SUMPRODUCT(COUNTIF('2030'!$C$345:$Z$345,Setup!$B$35))))</f>
        <v/>
      </c>
      <c r="J80" s="137">
        <f>IF($B80="","",CHOOSE(IFERROR(MATCH($C$4,Setup!$K$33:$K$36,0),1),SUMPRODUCT(COUNTIF('2027'!$C$395:$Z$395,Setup!$B$35)),SUMPRODUCT(COUNTIF('2028'!$C$395:$Z$395,Setup!$B$35)),SUMPRODUCT(COUNTIF('2029'!$C$395:$Z$395,Setup!$B$35)),SUMPRODUCT(COUNTIF('2030'!$C$395:$Z$395,Setup!$B$35))))</f>
        <v/>
      </c>
      <c r="K80" s="137">
        <f>IF($B80="","",CHOOSE(IFERROR(MATCH($C$4,Setup!$K$33:$K$36,0),1),SUMPRODUCT(COUNTIF('2027'!$C$445:$Z$445,Setup!$B$35)),SUMPRODUCT(COUNTIF('2028'!$C$445:$Z$445,Setup!$B$35)),SUMPRODUCT(COUNTIF('2029'!$C$445:$Z$445,Setup!$B$35)),SUMPRODUCT(COUNTIF('2030'!$C$445:$Z$445,Setup!$B$35))))</f>
        <v/>
      </c>
      <c r="L80" s="137">
        <f>IF($B80="","",CHOOSE(IFERROR(MATCH($C$4,Setup!$K$33:$K$36,0),1),SUMPRODUCT(COUNTIF('2027'!$C$495:$Z$495,Setup!$B$35)),SUMPRODUCT(COUNTIF('2028'!$C$495:$Z$495,Setup!$B$35)),SUMPRODUCT(COUNTIF('2029'!$C$495:$Z$495,Setup!$B$35)),SUMPRODUCT(COUNTIF('2030'!$C$495:$Z$495,Setup!$B$35))))</f>
        <v/>
      </c>
      <c r="M80" s="137">
        <f>IF($B80="","",CHOOSE(IFERROR(MATCH($C$4,Setup!$K$33:$K$36,0),1),SUMPRODUCT(COUNTIF('2027'!$C$545:$Z$545,Setup!$B$35)),SUMPRODUCT(COUNTIF('2028'!$C$545:$Z$545,Setup!$B$35)),SUMPRODUCT(COUNTIF('2029'!$C$545:$Z$545,Setup!$B$35)),SUMPRODUCT(COUNTIF('2030'!$C$545:$Z$545,Setup!$B$35))))</f>
        <v/>
      </c>
      <c r="N80" s="137">
        <f>IF($B80="","",CHOOSE(IFERROR(MATCH($C$4,Setup!$K$33:$K$36,0),1),SUMPRODUCT(COUNTIF('2027'!$C$595:$Z$595,Setup!$B$35)),SUMPRODUCT(COUNTIF('2028'!$C$595:$Z$595,Setup!$B$35)),SUMPRODUCT(COUNTIF('2029'!$C$595:$Z$595,Setup!$B$35)),SUMPRODUCT(COUNTIF('2030'!$C$595:$Z$595,Setup!$B$35))))</f>
        <v/>
      </c>
      <c r="O80" s="137">
        <f>IF($B80="","",CHOOSE(IFERROR(MATCH($C$4,Setup!$K$33:$K$36,0),1),SUMPRODUCT(COUNTIF('2027'!$C$645:$Z$645,Setup!$B$35)),SUMPRODUCT(COUNTIF('2028'!$C$645:$Z$645,Setup!$B$35)),SUMPRODUCT(COUNTIF('2029'!$C$645:$Z$645,Setup!$B$35)),SUMPRODUCT(COUNTIF('2030'!$C$645:$Z$645,Setup!$B$35))))</f>
        <v/>
      </c>
      <c r="P80" s="137">
        <f>IF($B80="","",CHOOSE(IFERROR(MATCH($C$4,Setup!$K$33:$K$36,0),1),SUMPRODUCT(COUNTIF('2027'!$C$695:$Z$695,Setup!$B$35)),SUMPRODUCT(COUNTIF('2028'!$C$695:$Z$695,Setup!$B$35)),SUMPRODUCT(COUNTIF('2029'!$C$695:$Z$695,Setup!$B$35)),SUMPRODUCT(COUNTIF('2030'!$C$695:$Z$695,Setup!$B$35))))</f>
        <v/>
      </c>
      <c r="Q80" s="137">
        <f>IF($B80="","",CHOOSE(IFERROR(MATCH($C$4,Setup!$K$33:$K$36,0),1),SUMPRODUCT(COUNTIF('2027'!$C$745:$Z$745,Setup!$B$35)),SUMPRODUCT(COUNTIF('2028'!$C$745:$Z$745,Setup!$B$35)),SUMPRODUCT(COUNTIF('2029'!$C$745:$Z$745,Setup!$B$35)),SUMPRODUCT(COUNTIF('2030'!$C$745:$Z$745,Setup!$B$35))))</f>
        <v/>
      </c>
      <c r="R80" s="137">
        <f>IF($B80="","",CHOOSE(IFERROR(MATCH($C$4,Setup!$K$33:$K$36,0),1),SUMPRODUCT(COUNTIF('2027'!$C$795:$Z$795,Setup!$B$35)),SUMPRODUCT(COUNTIF('2028'!$C$795:$Z$795,Setup!$B$35)),SUMPRODUCT(COUNTIF('2029'!$C$795:$Z$795,Setup!$B$35)),SUMPRODUCT(COUNTIF('2030'!$C$795:$Z$795,Setup!$B$35))))</f>
        <v/>
      </c>
      <c r="S80" s="137">
        <f>IF($B80="","",CHOOSE(IFERROR(MATCH($C$4,Setup!$K$33:$K$36,0),1),SUMPRODUCT(COUNTIF('2027'!$C$845:$Z$845,Setup!$B$35)),SUMPRODUCT(COUNTIF('2028'!$C$845:$Z$845,Setup!$B$35)),SUMPRODUCT(COUNTIF('2029'!$C$845:$Z$845,Setup!$B$35)),SUMPRODUCT(COUNTIF('2030'!$C$845:$Z$845,Setup!$B$35))))</f>
        <v/>
      </c>
      <c r="T80" s="137">
        <f>IF($B80="","",CHOOSE(IFERROR(MATCH($C$4,Setup!$K$33:$K$36,0),1),SUMPRODUCT(COUNTIF('2027'!$C$895:$Z$895,Setup!$B$35)),SUMPRODUCT(COUNTIF('2028'!$C$895:$Z$895,Setup!$B$35)),SUMPRODUCT(COUNTIF('2029'!$C$895:$Z$895,Setup!$B$35)),SUMPRODUCT(COUNTIF('2030'!$C$895:$Z$895,Setup!$B$35))))</f>
        <v/>
      </c>
      <c r="U80" s="137">
        <f>IF($B80="","",CHOOSE(IFERROR(MATCH($C$4,Setup!$K$33:$K$36,0),1),SUMPRODUCT(COUNTIF('2027'!$C$945:$Z$945,Setup!$B$35)),SUMPRODUCT(COUNTIF('2028'!$C$945:$Z$945,Setup!$B$35)),SUMPRODUCT(COUNTIF('2029'!$C$945:$Z$945,Setup!$B$35)),SUMPRODUCT(COUNTIF('2030'!$C$945:$Z$945,Setup!$B$35))))</f>
        <v/>
      </c>
      <c r="V80" s="137">
        <f>IF($B80="","",CHOOSE(IFERROR(MATCH($C$4,Setup!$K$33:$K$36,0),1),SUMPRODUCT(COUNTIF('2027'!$C$995:$Z$995,Setup!$B$35)),SUMPRODUCT(COUNTIF('2028'!$C$995:$Z$995,Setup!$B$35)),SUMPRODUCT(COUNTIF('2029'!$C$995:$Z$995,Setup!$B$35)),SUMPRODUCT(COUNTIF('2030'!$C$995:$Z$995,Setup!$B$35))))</f>
        <v/>
      </c>
      <c r="W80" s="137">
        <f>IF($B80="","",CHOOSE(IFERROR(MATCH($C$4,Setup!$K$33:$K$36,0),1),SUMPRODUCT(COUNTIF('2027'!$C$1045:$Z$1045,Setup!$B$35)),SUMPRODUCT(COUNTIF('2028'!$C$1045:$Z$1045,Setup!$B$35)),SUMPRODUCT(COUNTIF('2029'!$C$1045:$Z$1045,Setup!$B$35)),SUMPRODUCT(COUNTIF('2030'!$C$1045:$Z$1045,Setup!$B$35))))</f>
        <v/>
      </c>
      <c r="X80" s="137">
        <f>IF($B80="","",CHOOSE(IFERROR(MATCH($C$4,Setup!$K$33:$K$36,0),1),SUMPRODUCT(COUNTIF('2027'!$C$1095:$Z$1095,Setup!$B$35)),SUMPRODUCT(COUNTIF('2028'!$C$1095:$Z$1095,Setup!$B$35)),SUMPRODUCT(COUNTIF('2029'!$C$1095:$Z$1095,Setup!$B$35)),SUMPRODUCT(COUNTIF('2030'!$C$1095:$Z$1095,Setup!$B$35))))</f>
        <v/>
      </c>
      <c r="Y80" s="137">
        <f>IF($B80="","",CHOOSE(IFERROR(MATCH($C$4,Setup!$K$33:$K$36,0),1),SUMPRODUCT(COUNTIF('2027'!$C$1145:$Z$1145,Setup!$B$35)),SUMPRODUCT(COUNTIF('2028'!$C$1145:$Z$1145,Setup!$B$35)),SUMPRODUCT(COUNTIF('2029'!$C$1145:$Z$1145,Setup!$B$35)),SUMPRODUCT(COUNTIF('2030'!$C$1145:$Z$1145,Setup!$B$35))))</f>
        <v/>
      </c>
      <c r="Z80" s="137">
        <f>IF($B80="","",CHOOSE(IFERROR(MATCH($C$4,Setup!$K$33:$K$36,0),1),SUMPRODUCT(COUNTIF('2027'!$C$1195:$Z$1195,Setup!$B$35)),SUMPRODUCT(COUNTIF('2028'!$C$1195:$Z$1195,Setup!$B$35)),SUMPRODUCT(COUNTIF('2029'!$C$1195:$Z$1195,Setup!$B$35)),SUMPRODUCT(COUNTIF('2030'!$C$1195:$Z$1195,Setup!$B$35))))</f>
        <v/>
      </c>
      <c r="AA80" s="137">
        <f>IF($B80="","",CHOOSE(IFERROR(MATCH($C$4,Setup!$K$33:$K$36,0),1),SUMPRODUCT(COUNTIF('2027'!$C$1245:$Z$1245,Setup!$B$35)),SUMPRODUCT(COUNTIF('2028'!$C$1245:$Z$1245,Setup!$B$35)),SUMPRODUCT(COUNTIF('2029'!$C$1245:$Z$1245,Setup!$B$35)),SUMPRODUCT(COUNTIF('2030'!$C$1245:$Z$1245,Setup!$B$35))))</f>
        <v/>
      </c>
      <c r="AB80" s="137">
        <f>IF($B80="","",CHOOSE(IFERROR(MATCH($C$4,Setup!$K$33:$K$36,0),1),SUMPRODUCT(COUNTIF('2027'!$C$1295:$Z$1295,Setup!$B$35)),SUMPRODUCT(COUNTIF('2028'!$C$1295:$Z$1295,Setup!$B$35)),SUMPRODUCT(COUNTIF('2029'!$C$1295:$Z$1295,Setup!$B$35)),SUMPRODUCT(COUNTIF('2030'!$C$1295:$Z$1295,Setup!$B$35))))</f>
        <v/>
      </c>
      <c r="AC80" s="137">
        <f>IF($B80="","",CHOOSE(IFERROR(MATCH($C$4,Setup!$K$33:$K$36,0),1),SUMPRODUCT(COUNTIF('2027'!$C$1345:$Z$1345,Setup!$B$35)),SUMPRODUCT(COUNTIF('2028'!$C$1345:$Z$1345,Setup!$B$35)),SUMPRODUCT(COUNTIF('2029'!$C$1345:$Z$1345,Setup!$B$35)),SUMPRODUCT(COUNTIF('2030'!$C$1345:$Z$1345,Setup!$B$35))))</f>
        <v/>
      </c>
      <c r="AD80" s="137">
        <f>IF($B80="","",CHOOSE(IFERROR(MATCH($C$4,Setup!$K$33:$K$36,0),1),SUMPRODUCT(COUNTIF('2027'!$C$1395:$Z$1395,Setup!$B$35)),SUMPRODUCT(COUNTIF('2028'!$C$1395:$Z$1395,Setup!$B$35)),SUMPRODUCT(COUNTIF('2029'!$C$1395:$Z$1395,Setup!$B$35)),SUMPRODUCT(COUNTIF('2030'!$C$1395:$Z$1395,Setup!$B$35))))</f>
        <v/>
      </c>
      <c r="AE80" s="137">
        <f>IF($B80="","",CHOOSE(IFERROR(MATCH($C$4,Setup!$K$33:$K$36,0),1),SUMPRODUCT(COUNTIF('2027'!$C$1445:$Z$1445,Setup!$B$35)),SUMPRODUCT(COUNTIF('2028'!$C$1445:$Z$1445,Setup!$B$35)),SUMPRODUCT(COUNTIF('2029'!$C$1445:$Z$1445,Setup!$B$35)),SUMPRODUCT(COUNTIF('2030'!$C$1445:$Z$1445,Setup!$B$35))))</f>
        <v/>
      </c>
      <c r="AF80" s="137">
        <f>IF($B80="","",CHOOSE(IFERROR(MATCH($C$4,Setup!$K$33:$K$36,0),1),SUMPRODUCT(COUNTIF('2027'!$C$1495:$Z$1495,Setup!$B$35)),SUMPRODUCT(COUNTIF('2028'!$C$1495:$Z$1495,Setup!$B$35)),SUMPRODUCT(COUNTIF('2029'!$C$1495:$Z$1495,Setup!$B$35)),SUMPRODUCT(COUNTIF('2030'!$C$1495:$Z$1495,Setup!$B$35))))</f>
        <v/>
      </c>
      <c r="AG80" s="137">
        <f>IF($B80="","",CHOOSE(IFERROR(MATCH($C$4,Setup!$K$33:$K$36,0),1),SUMPRODUCT(COUNTIF('2027'!$C$1545:$Z$1545,Setup!$B$35)),SUMPRODUCT(COUNTIF('2028'!$C$1545:$Z$1545,Setup!$B$35)),SUMPRODUCT(COUNTIF('2029'!$C$1545:$Z$1545,Setup!$B$35)),SUMPRODUCT(COUNTIF('2030'!$C$1545:$Z$1545,Setup!$B$35))))</f>
        <v/>
      </c>
      <c r="AH80" s="137">
        <f>IF($B80="","",CHOOSE(IFERROR(MATCH($C$4,Setup!$K$33:$K$36,0),1),SUMPRODUCT(COUNTIF('2027'!$C$1595:$Z$1595,Setup!$B$35)),SUMPRODUCT(COUNTIF('2028'!$C$1595:$Z$1595,Setup!$B$35)),SUMPRODUCT(COUNTIF('2029'!$C$1595:$Z$1595,Setup!$B$35)),SUMPRODUCT(COUNTIF('2030'!$C$1595:$Z$1595,Setup!$B$35))))</f>
        <v/>
      </c>
      <c r="AI80" s="137">
        <f>IF($B80="","",CHOOSE(IFERROR(MATCH($C$4,Setup!$K$33:$K$36,0),1),SUMPRODUCT(COUNTIF('2027'!$C$1645:$Z$1645,Setup!$B$35)),SUMPRODUCT(COUNTIF('2028'!$C$1645:$Z$1645,Setup!$B$35)),SUMPRODUCT(COUNTIF('2029'!$C$1645:$Z$1645,Setup!$B$35)),SUMPRODUCT(COUNTIF('2030'!$C$1645:$Z$1645,Setup!$B$35))))</f>
        <v/>
      </c>
      <c r="AJ80" s="137">
        <f>IF($B80="","",CHOOSE(IFERROR(MATCH($C$4,Setup!$K$33:$K$36,0),1),SUMPRODUCT(COUNTIF('2027'!$C$1695:$Z$1695,Setup!$B$35)),SUMPRODUCT(COUNTIF('2028'!$C$1695:$Z$1695,Setup!$B$35)),SUMPRODUCT(COUNTIF('2029'!$C$1695:$Z$1695,Setup!$B$35)),SUMPRODUCT(COUNTIF('2030'!$C$1695:$Z$1695,Setup!$B$35))))</f>
        <v/>
      </c>
      <c r="AK80" s="137">
        <f>IF($B80="","",CHOOSE(IFERROR(MATCH($C$4,Setup!$K$33:$K$36,0),1),SUMPRODUCT(COUNTIF('2027'!$C$1745:$Z$1745,Setup!$B$35)),SUMPRODUCT(COUNTIF('2028'!$C$1745:$Z$1745,Setup!$B$35)),SUMPRODUCT(COUNTIF('2029'!$C$1745:$Z$1745,Setup!$B$35)),SUMPRODUCT(COUNTIF('2030'!$C$1745:$Z$1745,Setup!$B$35))))</f>
        <v/>
      </c>
      <c r="AL80" s="137">
        <f>IF($B80="","",CHOOSE(IFERROR(MATCH($C$4,Setup!$K$33:$K$36,0),1),SUMPRODUCT(COUNTIF('2027'!$C$1795:$Z$1795,Setup!$B$35)),SUMPRODUCT(COUNTIF('2028'!$C$1795:$Z$1795,Setup!$B$35)),SUMPRODUCT(COUNTIF('2029'!$C$1795:$Z$1795,Setup!$B$35)),SUMPRODUCT(COUNTIF('2030'!$C$1795:$Z$1795,Setup!$B$35))))</f>
        <v/>
      </c>
      <c r="AM80" s="137">
        <f>IF($B80="","",CHOOSE(IFERROR(MATCH($C$4,Setup!$K$33:$K$36,0),1),SUMPRODUCT(COUNTIF('2027'!$C$1845:$Z$1845,Setup!$B$35)),SUMPRODUCT(COUNTIF('2028'!$C$1845:$Z$1845,Setup!$B$35)),SUMPRODUCT(COUNTIF('2029'!$C$1845:$Z$1845,Setup!$B$35)),SUMPRODUCT(COUNTIF('2030'!$C$1845:$Z$1845,Setup!$B$35))))</f>
        <v/>
      </c>
      <c r="AN80" s="137">
        <f>IF($B80="","",CHOOSE(IFERROR(MATCH($C$4,Setup!$K$33:$K$36,0),1),SUMPRODUCT(COUNTIF('2027'!$C$1895:$Z$1895,Setup!$B$35)),SUMPRODUCT(COUNTIF('2028'!$C$1895:$Z$1895,Setup!$B$35)),SUMPRODUCT(COUNTIF('2029'!$C$1895:$Z$1895,Setup!$B$35)),SUMPRODUCT(COUNTIF('2030'!$C$1895:$Z$1895,Setup!$B$35))))</f>
        <v/>
      </c>
      <c r="AO80" s="137">
        <f>IF($B80="","",CHOOSE(IFERROR(MATCH($C$4,Setup!$K$33:$K$36,0),1),SUMPRODUCT(COUNTIF('2027'!$C$1945:$Z$1945,Setup!$B$35)),SUMPRODUCT(COUNTIF('2028'!$C$1945:$Z$1945,Setup!$B$35)),SUMPRODUCT(COUNTIF('2029'!$C$1945:$Z$1945,Setup!$B$35)),SUMPRODUCT(COUNTIF('2030'!$C$1945:$Z$1945,Setup!$B$35))))</f>
        <v/>
      </c>
      <c r="AP80" s="137">
        <f>IF($B80="","",CHOOSE(IFERROR(MATCH($C$4,Setup!$K$33:$K$36,0),1),SUMPRODUCT(COUNTIF('2027'!$C$1995:$Z$1995,Setup!$B$35)),SUMPRODUCT(COUNTIF('2028'!$C$1995:$Z$1995,Setup!$B$35)),SUMPRODUCT(COUNTIF('2029'!$C$1995:$Z$1995,Setup!$B$35)),SUMPRODUCT(COUNTIF('2030'!$C$1995:$Z$1995,Setup!$B$35))))</f>
        <v/>
      </c>
      <c r="AQ80" s="137">
        <f>IF($B80="","",CHOOSE(IFERROR(MATCH($C$4,Setup!$K$33:$K$36,0),1),SUMPRODUCT(COUNTIF('2027'!$C$2045:$Z$2045,Setup!$B$35)),SUMPRODUCT(COUNTIF('2028'!$C$2045:$Z$2045,Setup!$B$35)),SUMPRODUCT(COUNTIF('2029'!$C$2045:$Z$2045,Setup!$B$35)),SUMPRODUCT(COUNTIF('2030'!$C$2045:$Z$2045,Setup!$B$35))))</f>
        <v/>
      </c>
      <c r="AR80" s="137">
        <f>IF($B80="","",CHOOSE(IFERROR(MATCH($C$4,Setup!$K$33:$K$36,0),1),SUMPRODUCT(COUNTIF('2027'!$C$2095:$Z$2095,Setup!$B$35)),SUMPRODUCT(COUNTIF('2028'!$C$2095:$Z$2095,Setup!$B$35)),SUMPRODUCT(COUNTIF('2029'!$C$2095:$Z$2095,Setup!$B$35)),SUMPRODUCT(COUNTIF('2030'!$C$2095:$Z$2095,Setup!$B$35))))</f>
        <v/>
      </c>
      <c r="AS80" s="137">
        <f>IF($B80="","",CHOOSE(IFERROR(MATCH($C$4,Setup!$K$33:$K$36,0),1),SUMPRODUCT(COUNTIF('2027'!$C$2145:$Z$2145,Setup!$B$35)),SUMPRODUCT(COUNTIF('2028'!$C$2145:$Z$2145,Setup!$B$35)),SUMPRODUCT(COUNTIF('2029'!$C$2145:$Z$2145,Setup!$B$35)),SUMPRODUCT(COUNTIF('2030'!$C$2145:$Z$2145,Setup!$B$35))))</f>
        <v/>
      </c>
      <c r="AT80" s="137">
        <f>IF($B80="","",CHOOSE(IFERROR(MATCH($C$4,Setup!$K$33:$K$36,0),1),SUMPRODUCT(COUNTIF('2027'!$C$2195:$Z$2195,Setup!$B$35)),SUMPRODUCT(COUNTIF('2028'!$C$2195:$Z$2195,Setup!$B$35)),SUMPRODUCT(COUNTIF('2029'!$C$2195:$Z$2195,Setup!$B$35)),SUMPRODUCT(COUNTIF('2030'!$C$2195:$Z$2195,Setup!$B$35))))</f>
        <v/>
      </c>
      <c r="AU80" s="137">
        <f>IF($B80="","",CHOOSE(IFERROR(MATCH($C$4,Setup!$K$33:$K$36,0),1),SUMPRODUCT(COUNTIF('2027'!$C$2245:$Z$2245,Setup!$B$35)),SUMPRODUCT(COUNTIF('2028'!$C$2245:$Z$2245,Setup!$B$35)),SUMPRODUCT(COUNTIF('2029'!$C$2245:$Z$2245,Setup!$B$35)),SUMPRODUCT(COUNTIF('2030'!$C$2245:$Z$2245,Setup!$B$35))))</f>
        <v/>
      </c>
      <c r="AV80" s="137">
        <f>IF($B80="","",CHOOSE(IFERROR(MATCH($C$4,Setup!$K$33:$K$36,0),1),SUMPRODUCT(COUNTIF('2027'!$C$2295:$Z$2295,Setup!$B$35)),SUMPRODUCT(COUNTIF('2028'!$C$2295:$Z$2295,Setup!$B$35)),SUMPRODUCT(COUNTIF('2029'!$C$2295:$Z$2295,Setup!$B$35)),SUMPRODUCT(COUNTIF('2030'!$C$2295:$Z$2295,Setup!$B$35))))</f>
        <v/>
      </c>
      <c r="AW80" s="137">
        <f>IF($B80="","",CHOOSE(IFERROR(MATCH($C$4,Setup!$K$33:$K$36,0),1),SUMPRODUCT(COUNTIF('2027'!$C$2345:$Z$2345,Setup!$B$35)),SUMPRODUCT(COUNTIF('2028'!$C$2345:$Z$2345,Setup!$B$35)),SUMPRODUCT(COUNTIF('2029'!$C$2345:$Z$2345,Setup!$B$35)),SUMPRODUCT(COUNTIF('2030'!$C$2345:$Z$2345,Setup!$B$35))))</f>
        <v/>
      </c>
      <c r="AX80" s="137">
        <f>IF($B80="","",CHOOSE(IFERROR(MATCH($C$4,Setup!$K$33:$K$36,0),1),SUMPRODUCT(COUNTIF('2027'!$C$2395:$Z$2395,Setup!$B$35)),SUMPRODUCT(COUNTIF('2028'!$C$2395:$Z$2395,Setup!$B$35)),SUMPRODUCT(COUNTIF('2029'!$C$2395:$Z$2395,Setup!$B$35)),SUMPRODUCT(COUNTIF('2030'!$C$2395:$Z$2395,Setup!$B$35))))</f>
        <v/>
      </c>
      <c r="AY80" s="137">
        <f>IF($B80="","",CHOOSE(IFERROR(MATCH($C$4,Setup!$K$33:$K$36,0),1),SUMPRODUCT(COUNTIF('2027'!$C$2445:$Z$2445,Setup!$B$35)),SUMPRODUCT(COUNTIF('2028'!$C$2445:$Z$2445,Setup!$B$35)),SUMPRODUCT(COUNTIF('2029'!$C$2445:$Z$2445,Setup!$B$35)),SUMPRODUCT(COUNTIF('2030'!$C$2445:$Z$2445,Setup!$B$35))))</f>
        <v/>
      </c>
      <c r="AZ80" s="137">
        <f>IF($B80="","",CHOOSE(IFERROR(MATCH($C$4,Setup!$K$33:$K$36,0),1),SUMPRODUCT(COUNTIF('2027'!$C$2495:$Z$2495,Setup!$B$35)),SUMPRODUCT(COUNTIF('2028'!$C$2495:$Z$2495,Setup!$B$35)),SUMPRODUCT(COUNTIF('2029'!$C$2495:$Z$2495,Setup!$B$35)),SUMPRODUCT(COUNTIF('2030'!$C$2495:$Z$2495,Setup!$B$35))))</f>
        <v/>
      </c>
      <c r="BA80" s="137">
        <f>IF($B80="","",CHOOSE(IFERROR(MATCH($C$4,Setup!$K$33:$K$36,0),1),SUMPRODUCT(COUNTIF('2027'!$C$2545:$Z$2545,Setup!$B$35)),SUMPRODUCT(COUNTIF('2028'!$C$2545:$Z$2545,Setup!$B$35)),SUMPRODUCT(COUNTIF('2029'!$C$2545:$Z$2545,Setup!$B$35)),SUMPRODUCT(COUNTIF('2030'!$C$2545:$Z$2545,Setup!$B$35))))</f>
        <v/>
      </c>
      <c r="BB80" s="137">
        <f>IF($B80="","",CHOOSE(IFERROR(MATCH($C$4,Setup!$K$33:$K$36,0),1),SUMPRODUCT(COUNTIF('2027'!$C$2595:$Z$2595,Setup!$B$35)),SUMPRODUCT(COUNTIF('2028'!$C$2595:$Z$2595,Setup!$B$35)),SUMPRODUCT(COUNTIF('2029'!$C$2595:$Z$2595,Setup!$B$35)),SUMPRODUCT(COUNTIF('2030'!$C$2595:$Z$2595,Setup!$B$35))))</f>
        <v/>
      </c>
      <c r="BC80" s="137">
        <f>IF($B80="","",CHOOSE(IFERROR(MATCH($C$4,Setup!$K$33:$K$36,0),1),SUMPRODUCT(COUNTIF('2027'!$C$2645:$Z$2645,Setup!$B$35)),SUMPRODUCT(COUNTIF('2028'!$C$2645:$Z$2645,Setup!$B$35)),SUMPRODUCT(COUNTIF('2029'!$C$2645:$Z$2645,Setup!$B$35)),SUMPRODUCT(COUNTIF('2030'!$C$2645:$Z$2645,Setup!$B$35))))</f>
        <v/>
      </c>
      <c r="BE80" s="129">
        <f>IF($B80="","",SUM(C80:BC80))</f>
        <v/>
      </c>
      <c r="BF80" s="130">
        <f>IF($B80="","",COUNTIF(C80:BC80,"&gt;0"))</f>
        <v/>
      </c>
      <c r="BG80" s="130">
        <f>IF(OR($B80="",N(BE80)=0),"",MATCH(MAX(C80:BC80),C80:BC80,0))</f>
        <v/>
      </c>
    </row>
    <row r="81" ht="15" customHeight="1">
      <c r="B81" s="136">
        <f>IF(Setup!$B$25="","",Setup!$B$25)</f>
        <v/>
      </c>
      <c r="C81" s="137">
        <f>IF($B81="","",CHOOSE(IFERROR(MATCH($C$4,Setup!$K$33:$K$36,0),1),SUMPRODUCT(COUNTIF('2027'!$C$46:$Z$46,Setup!$B$35)),SUMPRODUCT(COUNTIF('2028'!$C$46:$Z$46,Setup!$B$35)),SUMPRODUCT(COUNTIF('2029'!$C$46:$Z$46,Setup!$B$35)),SUMPRODUCT(COUNTIF('2030'!$C$46:$Z$46,Setup!$B$35))))</f>
        <v/>
      </c>
      <c r="D81" s="137">
        <f>IF($B81="","",CHOOSE(IFERROR(MATCH($C$4,Setup!$K$33:$K$36,0),1),SUMPRODUCT(COUNTIF('2027'!$C$96:$Z$96,Setup!$B$35)),SUMPRODUCT(COUNTIF('2028'!$C$96:$Z$96,Setup!$B$35)),SUMPRODUCT(COUNTIF('2029'!$C$96:$Z$96,Setup!$B$35)),SUMPRODUCT(COUNTIF('2030'!$C$96:$Z$96,Setup!$B$35))))</f>
        <v/>
      </c>
      <c r="E81" s="137">
        <f>IF($B81="","",CHOOSE(IFERROR(MATCH($C$4,Setup!$K$33:$K$36,0),1),SUMPRODUCT(COUNTIF('2027'!$C$146:$Z$146,Setup!$B$35)),SUMPRODUCT(COUNTIF('2028'!$C$146:$Z$146,Setup!$B$35)),SUMPRODUCT(COUNTIF('2029'!$C$146:$Z$146,Setup!$B$35)),SUMPRODUCT(COUNTIF('2030'!$C$146:$Z$146,Setup!$B$35))))</f>
        <v/>
      </c>
      <c r="F81" s="137">
        <f>IF($B81="","",CHOOSE(IFERROR(MATCH($C$4,Setup!$K$33:$K$36,0),1),SUMPRODUCT(COUNTIF('2027'!$C$196:$Z$196,Setup!$B$35)),SUMPRODUCT(COUNTIF('2028'!$C$196:$Z$196,Setup!$B$35)),SUMPRODUCT(COUNTIF('2029'!$C$196:$Z$196,Setup!$B$35)),SUMPRODUCT(COUNTIF('2030'!$C$196:$Z$196,Setup!$B$35))))</f>
        <v/>
      </c>
      <c r="G81" s="137">
        <f>IF($B81="","",CHOOSE(IFERROR(MATCH($C$4,Setup!$K$33:$K$36,0),1),SUMPRODUCT(COUNTIF('2027'!$C$246:$Z$246,Setup!$B$35)),SUMPRODUCT(COUNTIF('2028'!$C$246:$Z$246,Setup!$B$35)),SUMPRODUCT(COUNTIF('2029'!$C$246:$Z$246,Setup!$B$35)),SUMPRODUCT(COUNTIF('2030'!$C$246:$Z$246,Setup!$B$35))))</f>
        <v/>
      </c>
      <c r="H81" s="137">
        <f>IF($B81="","",CHOOSE(IFERROR(MATCH($C$4,Setup!$K$33:$K$36,0),1),SUMPRODUCT(COUNTIF('2027'!$C$296:$Z$296,Setup!$B$35)),SUMPRODUCT(COUNTIF('2028'!$C$296:$Z$296,Setup!$B$35)),SUMPRODUCT(COUNTIF('2029'!$C$296:$Z$296,Setup!$B$35)),SUMPRODUCT(COUNTIF('2030'!$C$296:$Z$296,Setup!$B$35))))</f>
        <v/>
      </c>
      <c r="I81" s="137">
        <f>IF($B81="","",CHOOSE(IFERROR(MATCH($C$4,Setup!$K$33:$K$36,0),1),SUMPRODUCT(COUNTIF('2027'!$C$346:$Z$346,Setup!$B$35)),SUMPRODUCT(COUNTIF('2028'!$C$346:$Z$346,Setup!$B$35)),SUMPRODUCT(COUNTIF('2029'!$C$346:$Z$346,Setup!$B$35)),SUMPRODUCT(COUNTIF('2030'!$C$346:$Z$346,Setup!$B$35))))</f>
        <v/>
      </c>
      <c r="J81" s="137">
        <f>IF($B81="","",CHOOSE(IFERROR(MATCH($C$4,Setup!$K$33:$K$36,0),1),SUMPRODUCT(COUNTIF('2027'!$C$396:$Z$396,Setup!$B$35)),SUMPRODUCT(COUNTIF('2028'!$C$396:$Z$396,Setup!$B$35)),SUMPRODUCT(COUNTIF('2029'!$C$396:$Z$396,Setup!$B$35)),SUMPRODUCT(COUNTIF('2030'!$C$396:$Z$396,Setup!$B$35))))</f>
        <v/>
      </c>
      <c r="K81" s="137">
        <f>IF($B81="","",CHOOSE(IFERROR(MATCH($C$4,Setup!$K$33:$K$36,0),1),SUMPRODUCT(COUNTIF('2027'!$C$446:$Z$446,Setup!$B$35)),SUMPRODUCT(COUNTIF('2028'!$C$446:$Z$446,Setup!$B$35)),SUMPRODUCT(COUNTIF('2029'!$C$446:$Z$446,Setup!$B$35)),SUMPRODUCT(COUNTIF('2030'!$C$446:$Z$446,Setup!$B$35))))</f>
        <v/>
      </c>
      <c r="L81" s="137">
        <f>IF($B81="","",CHOOSE(IFERROR(MATCH($C$4,Setup!$K$33:$K$36,0),1),SUMPRODUCT(COUNTIF('2027'!$C$496:$Z$496,Setup!$B$35)),SUMPRODUCT(COUNTIF('2028'!$C$496:$Z$496,Setup!$B$35)),SUMPRODUCT(COUNTIF('2029'!$C$496:$Z$496,Setup!$B$35)),SUMPRODUCT(COUNTIF('2030'!$C$496:$Z$496,Setup!$B$35))))</f>
        <v/>
      </c>
      <c r="M81" s="137">
        <f>IF($B81="","",CHOOSE(IFERROR(MATCH($C$4,Setup!$K$33:$K$36,0),1),SUMPRODUCT(COUNTIF('2027'!$C$546:$Z$546,Setup!$B$35)),SUMPRODUCT(COUNTIF('2028'!$C$546:$Z$546,Setup!$B$35)),SUMPRODUCT(COUNTIF('2029'!$C$546:$Z$546,Setup!$B$35)),SUMPRODUCT(COUNTIF('2030'!$C$546:$Z$546,Setup!$B$35))))</f>
        <v/>
      </c>
      <c r="N81" s="137">
        <f>IF($B81="","",CHOOSE(IFERROR(MATCH($C$4,Setup!$K$33:$K$36,0),1),SUMPRODUCT(COUNTIF('2027'!$C$596:$Z$596,Setup!$B$35)),SUMPRODUCT(COUNTIF('2028'!$C$596:$Z$596,Setup!$B$35)),SUMPRODUCT(COUNTIF('2029'!$C$596:$Z$596,Setup!$B$35)),SUMPRODUCT(COUNTIF('2030'!$C$596:$Z$596,Setup!$B$35))))</f>
        <v/>
      </c>
      <c r="O81" s="137">
        <f>IF($B81="","",CHOOSE(IFERROR(MATCH($C$4,Setup!$K$33:$K$36,0),1),SUMPRODUCT(COUNTIF('2027'!$C$646:$Z$646,Setup!$B$35)),SUMPRODUCT(COUNTIF('2028'!$C$646:$Z$646,Setup!$B$35)),SUMPRODUCT(COUNTIF('2029'!$C$646:$Z$646,Setup!$B$35)),SUMPRODUCT(COUNTIF('2030'!$C$646:$Z$646,Setup!$B$35))))</f>
        <v/>
      </c>
      <c r="P81" s="137">
        <f>IF($B81="","",CHOOSE(IFERROR(MATCH($C$4,Setup!$K$33:$K$36,0),1),SUMPRODUCT(COUNTIF('2027'!$C$696:$Z$696,Setup!$B$35)),SUMPRODUCT(COUNTIF('2028'!$C$696:$Z$696,Setup!$B$35)),SUMPRODUCT(COUNTIF('2029'!$C$696:$Z$696,Setup!$B$35)),SUMPRODUCT(COUNTIF('2030'!$C$696:$Z$696,Setup!$B$35))))</f>
        <v/>
      </c>
      <c r="Q81" s="137">
        <f>IF($B81="","",CHOOSE(IFERROR(MATCH($C$4,Setup!$K$33:$K$36,0),1),SUMPRODUCT(COUNTIF('2027'!$C$746:$Z$746,Setup!$B$35)),SUMPRODUCT(COUNTIF('2028'!$C$746:$Z$746,Setup!$B$35)),SUMPRODUCT(COUNTIF('2029'!$C$746:$Z$746,Setup!$B$35)),SUMPRODUCT(COUNTIF('2030'!$C$746:$Z$746,Setup!$B$35))))</f>
        <v/>
      </c>
      <c r="R81" s="137">
        <f>IF($B81="","",CHOOSE(IFERROR(MATCH($C$4,Setup!$K$33:$K$36,0),1),SUMPRODUCT(COUNTIF('2027'!$C$796:$Z$796,Setup!$B$35)),SUMPRODUCT(COUNTIF('2028'!$C$796:$Z$796,Setup!$B$35)),SUMPRODUCT(COUNTIF('2029'!$C$796:$Z$796,Setup!$B$35)),SUMPRODUCT(COUNTIF('2030'!$C$796:$Z$796,Setup!$B$35))))</f>
        <v/>
      </c>
      <c r="S81" s="137">
        <f>IF($B81="","",CHOOSE(IFERROR(MATCH($C$4,Setup!$K$33:$K$36,0),1),SUMPRODUCT(COUNTIF('2027'!$C$846:$Z$846,Setup!$B$35)),SUMPRODUCT(COUNTIF('2028'!$C$846:$Z$846,Setup!$B$35)),SUMPRODUCT(COUNTIF('2029'!$C$846:$Z$846,Setup!$B$35)),SUMPRODUCT(COUNTIF('2030'!$C$846:$Z$846,Setup!$B$35))))</f>
        <v/>
      </c>
      <c r="T81" s="137">
        <f>IF($B81="","",CHOOSE(IFERROR(MATCH($C$4,Setup!$K$33:$K$36,0),1),SUMPRODUCT(COUNTIF('2027'!$C$896:$Z$896,Setup!$B$35)),SUMPRODUCT(COUNTIF('2028'!$C$896:$Z$896,Setup!$B$35)),SUMPRODUCT(COUNTIF('2029'!$C$896:$Z$896,Setup!$B$35)),SUMPRODUCT(COUNTIF('2030'!$C$896:$Z$896,Setup!$B$35))))</f>
        <v/>
      </c>
      <c r="U81" s="137">
        <f>IF($B81="","",CHOOSE(IFERROR(MATCH($C$4,Setup!$K$33:$K$36,0),1),SUMPRODUCT(COUNTIF('2027'!$C$946:$Z$946,Setup!$B$35)),SUMPRODUCT(COUNTIF('2028'!$C$946:$Z$946,Setup!$B$35)),SUMPRODUCT(COUNTIF('2029'!$C$946:$Z$946,Setup!$B$35)),SUMPRODUCT(COUNTIF('2030'!$C$946:$Z$946,Setup!$B$35))))</f>
        <v/>
      </c>
      <c r="V81" s="137">
        <f>IF($B81="","",CHOOSE(IFERROR(MATCH($C$4,Setup!$K$33:$K$36,0),1),SUMPRODUCT(COUNTIF('2027'!$C$996:$Z$996,Setup!$B$35)),SUMPRODUCT(COUNTIF('2028'!$C$996:$Z$996,Setup!$B$35)),SUMPRODUCT(COUNTIF('2029'!$C$996:$Z$996,Setup!$B$35)),SUMPRODUCT(COUNTIF('2030'!$C$996:$Z$996,Setup!$B$35))))</f>
        <v/>
      </c>
      <c r="W81" s="137">
        <f>IF($B81="","",CHOOSE(IFERROR(MATCH($C$4,Setup!$K$33:$K$36,0),1),SUMPRODUCT(COUNTIF('2027'!$C$1046:$Z$1046,Setup!$B$35)),SUMPRODUCT(COUNTIF('2028'!$C$1046:$Z$1046,Setup!$B$35)),SUMPRODUCT(COUNTIF('2029'!$C$1046:$Z$1046,Setup!$B$35)),SUMPRODUCT(COUNTIF('2030'!$C$1046:$Z$1046,Setup!$B$35))))</f>
        <v/>
      </c>
      <c r="X81" s="137">
        <f>IF($B81="","",CHOOSE(IFERROR(MATCH($C$4,Setup!$K$33:$K$36,0),1),SUMPRODUCT(COUNTIF('2027'!$C$1096:$Z$1096,Setup!$B$35)),SUMPRODUCT(COUNTIF('2028'!$C$1096:$Z$1096,Setup!$B$35)),SUMPRODUCT(COUNTIF('2029'!$C$1096:$Z$1096,Setup!$B$35)),SUMPRODUCT(COUNTIF('2030'!$C$1096:$Z$1096,Setup!$B$35))))</f>
        <v/>
      </c>
      <c r="Y81" s="137">
        <f>IF($B81="","",CHOOSE(IFERROR(MATCH($C$4,Setup!$K$33:$K$36,0),1),SUMPRODUCT(COUNTIF('2027'!$C$1146:$Z$1146,Setup!$B$35)),SUMPRODUCT(COUNTIF('2028'!$C$1146:$Z$1146,Setup!$B$35)),SUMPRODUCT(COUNTIF('2029'!$C$1146:$Z$1146,Setup!$B$35)),SUMPRODUCT(COUNTIF('2030'!$C$1146:$Z$1146,Setup!$B$35))))</f>
        <v/>
      </c>
      <c r="Z81" s="137">
        <f>IF($B81="","",CHOOSE(IFERROR(MATCH($C$4,Setup!$K$33:$K$36,0),1),SUMPRODUCT(COUNTIF('2027'!$C$1196:$Z$1196,Setup!$B$35)),SUMPRODUCT(COUNTIF('2028'!$C$1196:$Z$1196,Setup!$B$35)),SUMPRODUCT(COUNTIF('2029'!$C$1196:$Z$1196,Setup!$B$35)),SUMPRODUCT(COUNTIF('2030'!$C$1196:$Z$1196,Setup!$B$35))))</f>
        <v/>
      </c>
      <c r="AA81" s="137">
        <f>IF($B81="","",CHOOSE(IFERROR(MATCH($C$4,Setup!$K$33:$K$36,0),1),SUMPRODUCT(COUNTIF('2027'!$C$1246:$Z$1246,Setup!$B$35)),SUMPRODUCT(COUNTIF('2028'!$C$1246:$Z$1246,Setup!$B$35)),SUMPRODUCT(COUNTIF('2029'!$C$1246:$Z$1246,Setup!$B$35)),SUMPRODUCT(COUNTIF('2030'!$C$1246:$Z$1246,Setup!$B$35))))</f>
        <v/>
      </c>
      <c r="AB81" s="137">
        <f>IF($B81="","",CHOOSE(IFERROR(MATCH($C$4,Setup!$K$33:$K$36,0),1),SUMPRODUCT(COUNTIF('2027'!$C$1296:$Z$1296,Setup!$B$35)),SUMPRODUCT(COUNTIF('2028'!$C$1296:$Z$1296,Setup!$B$35)),SUMPRODUCT(COUNTIF('2029'!$C$1296:$Z$1296,Setup!$B$35)),SUMPRODUCT(COUNTIF('2030'!$C$1296:$Z$1296,Setup!$B$35))))</f>
        <v/>
      </c>
      <c r="AC81" s="137">
        <f>IF($B81="","",CHOOSE(IFERROR(MATCH($C$4,Setup!$K$33:$K$36,0),1),SUMPRODUCT(COUNTIF('2027'!$C$1346:$Z$1346,Setup!$B$35)),SUMPRODUCT(COUNTIF('2028'!$C$1346:$Z$1346,Setup!$B$35)),SUMPRODUCT(COUNTIF('2029'!$C$1346:$Z$1346,Setup!$B$35)),SUMPRODUCT(COUNTIF('2030'!$C$1346:$Z$1346,Setup!$B$35))))</f>
        <v/>
      </c>
      <c r="AD81" s="137">
        <f>IF($B81="","",CHOOSE(IFERROR(MATCH($C$4,Setup!$K$33:$K$36,0),1),SUMPRODUCT(COUNTIF('2027'!$C$1396:$Z$1396,Setup!$B$35)),SUMPRODUCT(COUNTIF('2028'!$C$1396:$Z$1396,Setup!$B$35)),SUMPRODUCT(COUNTIF('2029'!$C$1396:$Z$1396,Setup!$B$35)),SUMPRODUCT(COUNTIF('2030'!$C$1396:$Z$1396,Setup!$B$35))))</f>
        <v/>
      </c>
      <c r="AE81" s="137">
        <f>IF($B81="","",CHOOSE(IFERROR(MATCH($C$4,Setup!$K$33:$K$36,0),1),SUMPRODUCT(COUNTIF('2027'!$C$1446:$Z$1446,Setup!$B$35)),SUMPRODUCT(COUNTIF('2028'!$C$1446:$Z$1446,Setup!$B$35)),SUMPRODUCT(COUNTIF('2029'!$C$1446:$Z$1446,Setup!$B$35)),SUMPRODUCT(COUNTIF('2030'!$C$1446:$Z$1446,Setup!$B$35))))</f>
        <v/>
      </c>
      <c r="AF81" s="137">
        <f>IF($B81="","",CHOOSE(IFERROR(MATCH($C$4,Setup!$K$33:$K$36,0),1),SUMPRODUCT(COUNTIF('2027'!$C$1496:$Z$1496,Setup!$B$35)),SUMPRODUCT(COUNTIF('2028'!$C$1496:$Z$1496,Setup!$B$35)),SUMPRODUCT(COUNTIF('2029'!$C$1496:$Z$1496,Setup!$B$35)),SUMPRODUCT(COUNTIF('2030'!$C$1496:$Z$1496,Setup!$B$35))))</f>
        <v/>
      </c>
      <c r="AG81" s="137">
        <f>IF($B81="","",CHOOSE(IFERROR(MATCH($C$4,Setup!$K$33:$K$36,0),1),SUMPRODUCT(COUNTIF('2027'!$C$1546:$Z$1546,Setup!$B$35)),SUMPRODUCT(COUNTIF('2028'!$C$1546:$Z$1546,Setup!$B$35)),SUMPRODUCT(COUNTIF('2029'!$C$1546:$Z$1546,Setup!$B$35)),SUMPRODUCT(COUNTIF('2030'!$C$1546:$Z$1546,Setup!$B$35))))</f>
        <v/>
      </c>
      <c r="AH81" s="137">
        <f>IF($B81="","",CHOOSE(IFERROR(MATCH($C$4,Setup!$K$33:$K$36,0),1),SUMPRODUCT(COUNTIF('2027'!$C$1596:$Z$1596,Setup!$B$35)),SUMPRODUCT(COUNTIF('2028'!$C$1596:$Z$1596,Setup!$B$35)),SUMPRODUCT(COUNTIF('2029'!$C$1596:$Z$1596,Setup!$B$35)),SUMPRODUCT(COUNTIF('2030'!$C$1596:$Z$1596,Setup!$B$35))))</f>
        <v/>
      </c>
      <c r="AI81" s="137">
        <f>IF($B81="","",CHOOSE(IFERROR(MATCH($C$4,Setup!$K$33:$K$36,0),1),SUMPRODUCT(COUNTIF('2027'!$C$1646:$Z$1646,Setup!$B$35)),SUMPRODUCT(COUNTIF('2028'!$C$1646:$Z$1646,Setup!$B$35)),SUMPRODUCT(COUNTIF('2029'!$C$1646:$Z$1646,Setup!$B$35)),SUMPRODUCT(COUNTIF('2030'!$C$1646:$Z$1646,Setup!$B$35))))</f>
        <v/>
      </c>
      <c r="AJ81" s="137">
        <f>IF($B81="","",CHOOSE(IFERROR(MATCH($C$4,Setup!$K$33:$K$36,0),1),SUMPRODUCT(COUNTIF('2027'!$C$1696:$Z$1696,Setup!$B$35)),SUMPRODUCT(COUNTIF('2028'!$C$1696:$Z$1696,Setup!$B$35)),SUMPRODUCT(COUNTIF('2029'!$C$1696:$Z$1696,Setup!$B$35)),SUMPRODUCT(COUNTIF('2030'!$C$1696:$Z$1696,Setup!$B$35))))</f>
        <v/>
      </c>
      <c r="AK81" s="137">
        <f>IF($B81="","",CHOOSE(IFERROR(MATCH($C$4,Setup!$K$33:$K$36,0),1),SUMPRODUCT(COUNTIF('2027'!$C$1746:$Z$1746,Setup!$B$35)),SUMPRODUCT(COUNTIF('2028'!$C$1746:$Z$1746,Setup!$B$35)),SUMPRODUCT(COUNTIF('2029'!$C$1746:$Z$1746,Setup!$B$35)),SUMPRODUCT(COUNTIF('2030'!$C$1746:$Z$1746,Setup!$B$35))))</f>
        <v/>
      </c>
      <c r="AL81" s="137">
        <f>IF($B81="","",CHOOSE(IFERROR(MATCH($C$4,Setup!$K$33:$K$36,0),1),SUMPRODUCT(COUNTIF('2027'!$C$1796:$Z$1796,Setup!$B$35)),SUMPRODUCT(COUNTIF('2028'!$C$1796:$Z$1796,Setup!$B$35)),SUMPRODUCT(COUNTIF('2029'!$C$1796:$Z$1796,Setup!$B$35)),SUMPRODUCT(COUNTIF('2030'!$C$1796:$Z$1796,Setup!$B$35))))</f>
        <v/>
      </c>
      <c r="AM81" s="137">
        <f>IF($B81="","",CHOOSE(IFERROR(MATCH($C$4,Setup!$K$33:$K$36,0),1),SUMPRODUCT(COUNTIF('2027'!$C$1846:$Z$1846,Setup!$B$35)),SUMPRODUCT(COUNTIF('2028'!$C$1846:$Z$1846,Setup!$B$35)),SUMPRODUCT(COUNTIF('2029'!$C$1846:$Z$1846,Setup!$B$35)),SUMPRODUCT(COUNTIF('2030'!$C$1846:$Z$1846,Setup!$B$35))))</f>
        <v/>
      </c>
      <c r="AN81" s="137">
        <f>IF($B81="","",CHOOSE(IFERROR(MATCH($C$4,Setup!$K$33:$K$36,0),1),SUMPRODUCT(COUNTIF('2027'!$C$1896:$Z$1896,Setup!$B$35)),SUMPRODUCT(COUNTIF('2028'!$C$1896:$Z$1896,Setup!$B$35)),SUMPRODUCT(COUNTIF('2029'!$C$1896:$Z$1896,Setup!$B$35)),SUMPRODUCT(COUNTIF('2030'!$C$1896:$Z$1896,Setup!$B$35))))</f>
        <v/>
      </c>
      <c r="AO81" s="137">
        <f>IF($B81="","",CHOOSE(IFERROR(MATCH($C$4,Setup!$K$33:$K$36,0),1),SUMPRODUCT(COUNTIF('2027'!$C$1946:$Z$1946,Setup!$B$35)),SUMPRODUCT(COUNTIF('2028'!$C$1946:$Z$1946,Setup!$B$35)),SUMPRODUCT(COUNTIF('2029'!$C$1946:$Z$1946,Setup!$B$35)),SUMPRODUCT(COUNTIF('2030'!$C$1946:$Z$1946,Setup!$B$35))))</f>
        <v/>
      </c>
      <c r="AP81" s="137">
        <f>IF($B81="","",CHOOSE(IFERROR(MATCH($C$4,Setup!$K$33:$K$36,0),1),SUMPRODUCT(COUNTIF('2027'!$C$1996:$Z$1996,Setup!$B$35)),SUMPRODUCT(COUNTIF('2028'!$C$1996:$Z$1996,Setup!$B$35)),SUMPRODUCT(COUNTIF('2029'!$C$1996:$Z$1996,Setup!$B$35)),SUMPRODUCT(COUNTIF('2030'!$C$1996:$Z$1996,Setup!$B$35))))</f>
        <v/>
      </c>
      <c r="AQ81" s="137">
        <f>IF($B81="","",CHOOSE(IFERROR(MATCH($C$4,Setup!$K$33:$K$36,0),1),SUMPRODUCT(COUNTIF('2027'!$C$2046:$Z$2046,Setup!$B$35)),SUMPRODUCT(COUNTIF('2028'!$C$2046:$Z$2046,Setup!$B$35)),SUMPRODUCT(COUNTIF('2029'!$C$2046:$Z$2046,Setup!$B$35)),SUMPRODUCT(COUNTIF('2030'!$C$2046:$Z$2046,Setup!$B$35))))</f>
        <v/>
      </c>
      <c r="AR81" s="137">
        <f>IF($B81="","",CHOOSE(IFERROR(MATCH($C$4,Setup!$K$33:$K$36,0),1),SUMPRODUCT(COUNTIF('2027'!$C$2096:$Z$2096,Setup!$B$35)),SUMPRODUCT(COUNTIF('2028'!$C$2096:$Z$2096,Setup!$B$35)),SUMPRODUCT(COUNTIF('2029'!$C$2096:$Z$2096,Setup!$B$35)),SUMPRODUCT(COUNTIF('2030'!$C$2096:$Z$2096,Setup!$B$35))))</f>
        <v/>
      </c>
      <c r="AS81" s="137">
        <f>IF($B81="","",CHOOSE(IFERROR(MATCH($C$4,Setup!$K$33:$K$36,0),1),SUMPRODUCT(COUNTIF('2027'!$C$2146:$Z$2146,Setup!$B$35)),SUMPRODUCT(COUNTIF('2028'!$C$2146:$Z$2146,Setup!$B$35)),SUMPRODUCT(COUNTIF('2029'!$C$2146:$Z$2146,Setup!$B$35)),SUMPRODUCT(COUNTIF('2030'!$C$2146:$Z$2146,Setup!$B$35))))</f>
        <v/>
      </c>
      <c r="AT81" s="137">
        <f>IF($B81="","",CHOOSE(IFERROR(MATCH($C$4,Setup!$K$33:$K$36,0),1),SUMPRODUCT(COUNTIF('2027'!$C$2196:$Z$2196,Setup!$B$35)),SUMPRODUCT(COUNTIF('2028'!$C$2196:$Z$2196,Setup!$B$35)),SUMPRODUCT(COUNTIF('2029'!$C$2196:$Z$2196,Setup!$B$35)),SUMPRODUCT(COUNTIF('2030'!$C$2196:$Z$2196,Setup!$B$35))))</f>
        <v/>
      </c>
      <c r="AU81" s="137">
        <f>IF($B81="","",CHOOSE(IFERROR(MATCH($C$4,Setup!$K$33:$K$36,0),1),SUMPRODUCT(COUNTIF('2027'!$C$2246:$Z$2246,Setup!$B$35)),SUMPRODUCT(COUNTIF('2028'!$C$2246:$Z$2246,Setup!$B$35)),SUMPRODUCT(COUNTIF('2029'!$C$2246:$Z$2246,Setup!$B$35)),SUMPRODUCT(COUNTIF('2030'!$C$2246:$Z$2246,Setup!$B$35))))</f>
        <v/>
      </c>
      <c r="AV81" s="137">
        <f>IF($B81="","",CHOOSE(IFERROR(MATCH($C$4,Setup!$K$33:$K$36,0),1),SUMPRODUCT(COUNTIF('2027'!$C$2296:$Z$2296,Setup!$B$35)),SUMPRODUCT(COUNTIF('2028'!$C$2296:$Z$2296,Setup!$B$35)),SUMPRODUCT(COUNTIF('2029'!$C$2296:$Z$2296,Setup!$B$35)),SUMPRODUCT(COUNTIF('2030'!$C$2296:$Z$2296,Setup!$B$35))))</f>
        <v/>
      </c>
      <c r="AW81" s="137">
        <f>IF($B81="","",CHOOSE(IFERROR(MATCH($C$4,Setup!$K$33:$K$36,0),1),SUMPRODUCT(COUNTIF('2027'!$C$2346:$Z$2346,Setup!$B$35)),SUMPRODUCT(COUNTIF('2028'!$C$2346:$Z$2346,Setup!$B$35)),SUMPRODUCT(COUNTIF('2029'!$C$2346:$Z$2346,Setup!$B$35)),SUMPRODUCT(COUNTIF('2030'!$C$2346:$Z$2346,Setup!$B$35))))</f>
        <v/>
      </c>
      <c r="AX81" s="137">
        <f>IF($B81="","",CHOOSE(IFERROR(MATCH($C$4,Setup!$K$33:$K$36,0),1),SUMPRODUCT(COUNTIF('2027'!$C$2396:$Z$2396,Setup!$B$35)),SUMPRODUCT(COUNTIF('2028'!$C$2396:$Z$2396,Setup!$B$35)),SUMPRODUCT(COUNTIF('2029'!$C$2396:$Z$2396,Setup!$B$35)),SUMPRODUCT(COUNTIF('2030'!$C$2396:$Z$2396,Setup!$B$35))))</f>
        <v/>
      </c>
      <c r="AY81" s="137">
        <f>IF($B81="","",CHOOSE(IFERROR(MATCH($C$4,Setup!$K$33:$K$36,0),1),SUMPRODUCT(COUNTIF('2027'!$C$2446:$Z$2446,Setup!$B$35)),SUMPRODUCT(COUNTIF('2028'!$C$2446:$Z$2446,Setup!$B$35)),SUMPRODUCT(COUNTIF('2029'!$C$2446:$Z$2446,Setup!$B$35)),SUMPRODUCT(COUNTIF('2030'!$C$2446:$Z$2446,Setup!$B$35))))</f>
        <v/>
      </c>
      <c r="AZ81" s="137">
        <f>IF($B81="","",CHOOSE(IFERROR(MATCH($C$4,Setup!$K$33:$K$36,0),1),SUMPRODUCT(COUNTIF('2027'!$C$2496:$Z$2496,Setup!$B$35)),SUMPRODUCT(COUNTIF('2028'!$C$2496:$Z$2496,Setup!$B$35)),SUMPRODUCT(COUNTIF('2029'!$C$2496:$Z$2496,Setup!$B$35)),SUMPRODUCT(COUNTIF('2030'!$C$2496:$Z$2496,Setup!$B$35))))</f>
        <v/>
      </c>
      <c r="BA81" s="137">
        <f>IF($B81="","",CHOOSE(IFERROR(MATCH($C$4,Setup!$K$33:$K$36,0),1),SUMPRODUCT(COUNTIF('2027'!$C$2546:$Z$2546,Setup!$B$35)),SUMPRODUCT(COUNTIF('2028'!$C$2546:$Z$2546,Setup!$B$35)),SUMPRODUCT(COUNTIF('2029'!$C$2546:$Z$2546,Setup!$B$35)),SUMPRODUCT(COUNTIF('2030'!$C$2546:$Z$2546,Setup!$B$35))))</f>
        <v/>
      </c>
      <c r="BB81" s="137">
        <f>IF($B81="","",CHOOSE(IFERROR(MATCH($C$4,Setup!$K$33:$K$36,0),1),SUMPRODUCT(COUNTIF('2027'!$C$2596:$Z$2596,Setup!$B$35)),SUMPRODUCT(COUNTIF('2028'!$C$2596:$Z$2596,Setup!$B$35)),SUMPRODUCT(COUNTIF('2029'!$C$2596:$Z$2596,Setup!$B$35)),SUMPRODUCT(COUNTIF('2030'!$C$2596:$Z$2596,Setup!$B$35))))</f>
        <v/>
      </c>
      <c r="BC81" s="137">
        <f>IF($B81="","",CHOOSE(IFERROR(MATCH($C$4,Setup!$K$33:$K$36,0),1),SUMPRODUCT(COUNTIF('2027'!$C$2646:$Z$2646,Setup!$B$35)),SUMPRODUCT(COUNTIF('2028'!$C$2646:$Z$2646,Setup!$B$35)),SUMPRODUCT(COUNTIF('2029'!$C$2646:$Z$2646,Setup!$B$35)),SUMPRODUCT(COUNTIF('2030'!$C$2646:$Z$2646,Setup!$B$35))))</f>
        <v/>
      </c>
      <c r="BE81" s="129">
        <f>IF($B81="","",SUM(C81:BC81))</f>
        <v/>
      </c>
      <c r="BF81" s="130">
        <f>IF($B81="","",COUNTIF(C81:BC81,"&gt;0"))</f>
        <v/>
      </c>
      <c r="BG81" s="130">
        <f>IF(OR($B81="",N(BE81)=0),"",MATCH(MAX(C81:BC81),C81:BC81,0))</f>
        <v/>
      </c>
    </row>
    <row r="82" ht="15" customHeight="1">
      <c r="B82" s="136">
        <f>IF(Setup!$B$26="","",Setup!$B$26)</f>
        <v/>
      </c>
      <c r="C82" s="137">
        <f>IF($B82="","",CHOOSE(IFERROR(MATCH($C$4,Setup!$K$33:$K$36,0),1),SUMPRODUCT(COUNTIF('2027'!$C$47:$Z$47,Setup!$B$35)),SUMPRODUCT(COUNTIF('2028'!$C$47:$Z$47,Setup!$B$35)),SUMPRODUCT(COUNTIF('2029'!$C$47:$Z$47,Setup!$B$35)),SUMPRODUCT(COUNTIF('2030'!$C$47:$Z$47,Setup!$B$35))))</f>
        <v/>
      </c>
      <c r="D82" s="137">
        <f>IF($B82="","",CHOOSE(IFERROR(MATCH($C$4,Setup!$K$33:$K$36,0),1),SUMPRODUCT(COUNTIF('2027'!$C$97:$Z$97,Setup!$B$35)),SUMPRODUCT(COUNTIF('2028'!$C$97:$Z$97,Setup!$B$35)),SUMPRODUCT(COUNTIF('2029'!$C$97:$Z$97,Setup!$B$35)),SUMPRODUCT(COUNTIF('2030'!$C$97:$Z$97,Setup!$B$35))))</f>
        <v/>
      </c>
      <c r="E82" s="137">
        <f>IF($B82="","",CHOOSE(IFERROR(MATCH($C$4,Setup!$K$33:$K$36,0),1),SUMPRODUCT(COUNTIF('2027'!$C$147:$Z$147,Setup!$B$35)),SUMPRODUCT(COUNTIF('2028'!$C$147:$Z$147,Setup!$B$35)),SUMPRODUCT(COUNTIF('2029'!$C$147:$Z$147,Setup!$B$35)),SUMPRODUCT(COUNTIF('2030'!$C$147:$Z$147,Setup!$B$35))))</f>
        <v/>
      </c>
      <c r="F82" s="137">
        <f>IF($B82="","",CHOOSE(IFERROR(MATCH($C$4,Setup!$K$33:$K$36,0),1),SUMPRODUCT(COUNTIF('2027'!$C$197:$Z$197,Setup!$B$35)),SUMPRODUCT(COUNTIF('2028'!$C$197:$Z$197,Setup!$B$35)),SUMPRODUCT(COUNTIF('2029'!$C$197:$Z$197,Setup!$B$35)),SUMPRODUCT(COUNTIF('2030'!$C$197:$Z$197,Setup!$B$35))))</f>
        <v/>
      </c>
      <c r="G82" s="137">
        <f>IF($B82="","",CHOOSE(IFERROR(MATCH($C$4,Setup!$K$33:$K$36,0),1),SUMPRODUCT(COUNTIF('2027'!$C$247:$Z$247,Setup!$B$35)),SUMPRODUCT(COUNTIF('2028'!$C$247:$Z$247,Setup!$B$35)),SUMPRODUCT(COUNTIF('2029'!$C$247:$Z$247,Setup!$B$35)),SUMPRODUCT(COUNTIF('2030'!$C$247:$Z$247,Setup!$B$35))))</f>
        <v/>
      </c>
      <c r="H82" s="137">
        <f>IF($B82="","",CHOOSE(IFERROR(MATCH($C$4,Setup!$K$33:$K$36,0),1),SUMPRODUCT(COUNTIF('2027'!$C$297:$Z$297,Setup!$B$35)),SUMPRODUCT(COUNTIF('2028'!$C$297:$Z$297,Setup!$B$35)),SUMPRODUCT(COUNTIF('2029'!$C$297:$Z$297,Setup!$B$35)),SUMPRODUCT(COUNTIF('2030'!$C$297:$Z$297,Setup!$B$35))))</f>
        <v/>
      </c>
      <c r="I82" s="137">
        <f>IF($B82="","",CHOOSE(IFERROR(MATCH($C$4,Setup!$K$33:$K$36,0),1),SUMPRODUCT(COUNTIF('2027'!$C$347:$Z$347,Setup!$B$35)),SUMPRODUCT(COUNTIF('2028'!$C$347:$Z$347,Setup!$B$35)),SUMPRODUCT(COUNTIF('2029'!$C$347:$Z$347,Setup!$B$35)),SUMPRODUCT(COUNTIF('2030'!$C$347:$Z$347,Setup!$B$35))))</f>
        <v/>
      </c>
      <c r="J82" s="137">
        <f>IF($B82="","",CHOOSE(IFERROR(MATCH($C$4,Setup!$K$33:$K$36,0),1),SUMPRODUCT(COUNTIF('2027'!$C$397:$Z$397,Setup!$B$35)),SUMPRODUCT(COUNTIF('2028'!$C$397:$Z$397,Setup!$B$35)),SUMPRODUCT(COUNTIF('2029'!$C$397:$Z$397,Setup!$B$35)),SUMPRODUCT(COUNTIF('2030'!$C$397:$Z$397,Setup!$B$35))))</f>
        <v/>
      </c>
      <c r="K82" s="137">
        <f>IF($B82="","",CHOOSE(IFERROR(MATCH($C$4,Setup!$K$33:$K$36,0),1),SUMPRODUCT(COUNTIF('2027'!$C$447:$Z$447,Setup!$B$35)),SUMPRODUCT(COUNTIF('2028'!$C$447:$Z$447,Setup!$B$35)),SUMPRODUCT(COUNTIF('2029'!$C$447:$Z$447,Setup!$B$35)),SUMPRODUCT(COUNTIF('2030'!$C$447:$Z$447,Setup!$B$35))))</f>
        <v/>
      </c>
      <c r="L82" s="137">
        <f>IF($B82="","",CHOOSE(IFERROR(MATCH($C$4,Setup!$K$33:$K$36,0),1),SUMPRODUCT(COUNTIF('2027'!$C$497:$Z$497,Setup!$B$35)),SUMPRODUCT(COUNTIF('2028'!$C$497:$Z$497,Setup!$B$35)),SUMPRODUCT(COUNTIF('2029'!$C$497:$Z$497,Setup!$B$35)),SUMPRODUCT(COUNTIF('2030'!$C$497:$Z$497,Setup!$B$35))))</f>
        <v/>
      </c>
      <c r="M82" s="137">
        <f>IF($B82="","",CHOOSE(IFERROR(MATCH($C$4,Setup!$K$33:$K$36,0),1),SUMPRODUCT(COUNTIF('2027'!$C$547:$Z$547,Setup!$B$35)),SUMPRODUCT(COUNTIF('2028'!$C$547:$Z$547,Setup!$B$35)),SUMPRODUCT(COUNTIF('2029'!$C$547:$Z$547,Setup!$B$35)),SUMPRODUCT(COUNTIF('2030'!$C$547:$Z$547,Setup!$B$35))))</f>
        <v/>
      </c>
      <c r="N82" s="137">
        <f>IF($B82="","",CHOOSE(IFERROR(MATCH($C$4,Setup!$K$33:$K$36,0),1),SUMPRODUCT(COUNTIF('2027'!$C$597:$Z$597,Setup!$B$35)),SUMPRODUCT(COUNTIF('2028'!$C$597:$Z$597,Setup!$B$35)),SUMPRODUCT(COUNTIF('2029'!$C$597:$Z$597,Setup!$B$35)),SUMPRODUCT(COUNTIF('2030'!$C$597:$Z$597,Setup!$B$35))))</f>
        <v/>
      </c>
      <c r="O82" s="137">
        <f>IF($B82="","",CHOOSE(IFERROR(MATCH($C$4,Setup!$K$33:$K$36,0),1),SUMPRODUCT(COUNTIF('2027'!$C$647:$Z$647,Setup!$B$35)),SUMPRODUCT(COUNTIF('2028'!$C$647:$Z$647,Setup!$B$35)),SUMPRODUCT(COUNTIF('2029'!$C$647:$Z$647,Setup!$B$35)),SUMPRODUCT(COUNTIF('2030'!$C$647:$Z$647,Setup!$B$35))))</f>
        <v/>
      </c>
      <c r="P82" s="137">
        <f>IF($B82="","",CHOOSE(IFERROR(MATCH($C$4,Setup!$K$33:$K$36,0),1),SUMPRODUCT(COUNTIF('2027'!$C$697:$Z$697,Setup!$B$35)),SUMPRODUCT(COUNTIF('2028'!$C$697:$Z$697,Setup!$B$35)),SUMPRODUCT(COUNTIF('2029'!$C$697:$Z$697,Setup!$B$35)),SUMPRODUCT(COUNTIF('2030'!$C$697:$Z$697,Setup!$B$35))))</f>
        <v/>
      </c>
      <c r="Q82" s="137">
        <f>IF($B82="","",CHOOSE(IFERROR(MATCH($C$4,Setup!$K$33:$K$36,0),1),SUMPRODUCT(COUNTIF('2027'!$C$747:$Z$747,Setup!$B$35)),SUMPRODUCT(COUNTIF('2028'!$C$747:$Z$747,Setup!$B$35)),SUMPRODUCT(COUNTIF('2029'!$C$747:$Z$747,Setup!$B$35)),SUMPRODUCT(COUNTIF('2030'!$C$747:$Z$747,Setup!$B$35))))</f>
        <v/>
      </c>
      <c r="R82" s="137">
        <f>IF($B82="","",CHOOSE(IFERROR(MATCH($C$4,Setup!$K$33:$K$36,0),1),SUMPRODUCT(COUNTIF('2027'!$C$797:$Z$797,Setup!$B$35)),SUMPRODUCT(COUNTIF('2028'!$C$797:$Z$797,Setup!$B$35)),SUMPRODUCT(COUNTIF('2029'!$C$797:$Z$797,Setup!$B$35)),SUMPRODUCT(COUNTIF('2030'!$C$797:$Z$797,Setup!$B$35))))</f>
        <v/>
      </c>
      <c r="S82" s="137">
        <f>IF($B82="","",CHOOSE(IFERROR(MATCH($C$4,Setup!$K$33:$K$36,0),1),SUMPRODUCT(COUNTIF('2027'!$C$847:$Z$847,Setup!$B$35)),SUMPRODUCT(COUNTIF('2028'!$C$847:$Z$847,Setup!$B$35)),SUMPRODUCT(COUNTIF('2029'!$C$847:$Z$847,Setup!$B$35)),SUMPRODUCT(COUNTIF('2030'!$C$847:$Z$847,Setup!$B$35))))</f>
        <v/>
      </c>
      <c r="T82" s="137">
        <f>IF($B82="","",CHOOSE(IFERROR(MATCH($C$4,Setup!$K$33:$K$36,0),1),SUMPRODUCT(COUNTIF('2027'!$C$897:$Z$897,Setup!$B$35)),SUMPRODUCT(COUNTIF('2028'!$C$897:$Z$897,Setup!$B$35)),SUMPRODUCT(COUNTIF('2029'!$C$897:$Z$897,Setup!$B$35)),SUMPRODUCT(COUNTIF('2030'!$C$897:$Z$897,Setup!$B$35))))</f>
        <v/>
      </c>
      <c r="U82" s="137">
        <f>IF($B82="","",CHOOSE(IFERROR(MATCH($C$4,Setup!$K$33:$K$36,0),1),SUMPRODUCT(COUNTIF('2027'!$C$947:$Z$947,Setup!$B$35)),SUMPRODUCT(COUNTIF('2028'!$C$947:$Z$947,Setup!$B$35)),SUMPRODUCT(COUNTIF('2029'!$C$947:$Z$947,Setup!$B$35)),SUMPRODUCT(COUNTIF('2030'!$C$947:$Z$947,Setup!$B$35))))</f>
        <v/>
      </c>
      <c r="V82" s="137">
        <f>IF($B82="","",CHOOSE(IFERROR(MATCH($C$4,Setup!$K$33:$K$36,0),1),SUMPRODUCT(COUNTIF('2027'!$C$997:$Z$997,Setup!$B$35)),SUMPRODUCT(COUNTIF('2028'!$C$997:$Z$997,Setup!$B$35)),SUMPRODUCT(COUNTIF('2029'!$C$997:$Z$997,Setup!$B$35)),SUMPRODUCT(COUNTIF('2030'!$C$997:$Z$997,Setup!$B$35))))</f>
        <v/>
      </c>
      <c r="W82" s="137">
        <f>IF($B82="","",CHOOSE(IFERROR(MATCH($C$4,Setup!$K$33:$K$36,0),1),SUMPRODUCT(COUNTIF('2027'!$C$1047:$Z$1047,Setup!$B$35)),SUMPRODUCT(COUNTIF('2028'!$C$1047:$Z$1047,Setup!$B$35)),SUMPRODUCT(COUNTIF('2029'!$C$1047:$Z$1047,Setup!$B$35)),SUMPRODUCT(COUNTIF('2030'!$C$1047:$Z$1047,Setup!$B$35))))</f>
        <v/>
      </c>
      <c r="X82" s="137">
        <f>IF($B82="","",CHOOSE(IFERROR(MATCH($C$4,Setup!$K$33:$K$36,0),1),SUMPRODUCT(COUNTIF('2027'!$C$1097:$Z$1097,Setup!$B$35)),SUMPRODUCT(COUNTIF('2028'!$C$1097:$Z$1097,Setup!$B$35)),SUMPRODUCT(COUNTIF('2029'!$C$1097:$Z$1097,Setup!$B$35)),SUMPRODUCT(COUNTIF('2030'!$C$1097:$Z$1097,Setup!$B$35))))</f>
        <v/>
      </c>
      <c r="Y82" s="137">
        <f>IF($B82="","",CHOOSE(IFERROR(MATCH($C$4,Setup!$K$33:$K$36,0),1),SUMPRODUCT(COUNTIF('2027'!$C$1147:$Z$1147,Setup!$B$35)),SUMPRODUCT(COUNTIF('2028'!$C$1147:$Z$1147,Setup!$B$35)),SUMPRODUCT(COUNTIF('2029'!$C$1147:$Z$1147,Setup!$B$35)),SUMPRODUCT(COUNTIF('2030'!$C$1147:$Z$1147,Setup!$B$35))))</f>
        <v/>
      </c>
      <c r="Z82" s="137">
        <f>IF($B82="","",CHOOSE(IFERROR(MATCH($C$4,Setup!$K$33:$K$36,0),1),SUMPRODUCT(COUNTIF('2027'!$C$1197:$Z$1197,Setup!$B$35)),SUMPRODUCT(COUNTIF('2028'!$C$1197:$Z$1197,Setup!$B$35)),SUMPRODUCT(COUNTIF('2029'!$C$1197:$Z$1197,Setup!$B$35)),SUMPRODUCT(COUNTIF('2030'!$C$1197:$Z$1197,Setup!$B$35))))</f>
        <v/>
      </c>
      <c r="AA82" s="137">
        <f>IF($B82="","",CHOOSE(IFERROR(MATCH($C$4,Setup!$K$33:$K$36,0),1),SUMPRODUCT(COUNTIF('2027'!$C$1247:$Z$1247,Setup!$B$35)),SUMPRODUCT(COUNTIF('2028'!$C$1247:$Z$1247,Setup!$B$35)),SUMPRODUCT(COUNTIF('2029'!$C$1247:$Z$1247,Setup!$B$35)),SUMPRODUCT(COUNTIF('2030'!$C$1247:$Z$1247,Setup!$B$35))))</f>
        <v/>
      </c>
      <c r="AB82" s="137">
        <f>IF($B82="","",CHOOSE(IFERROR(MATCH($C$4,Setup!$K$33:$K$36,0),1),SUMPRODUCT(COUNTIF('2027'!$C$1297:$Z$1297,Setup!$B$35)),SUMPRODUCT(COUNTIF('2028'!$C$1297:$Z$1297,Setup!$B$35)),SUMPRODUCT(COUNTIF('2029'!$C$1297:$Z$1297,Setup!$B$35)),SUMPRODUCT(COUNTIF('2030'!$C$1297:$Z$1297,Setup!$B$35))))</f>
        <v/>
      </c>
      <c r="AC82" s="137">
        <f>IF($B82="","",CHOOSE(IFERROR(MATCH($C$4,Setup!$K$33:$K$36,0),1),SUMPRODUCT(COUNTIF('2027'!$C$1347:$Z$1347,Setup!$B$35)),SUMPRODUCT(COUNTIF('2028'!$C$1347:$Z$1347,Setup!$B$35)),SUMPRODUCT(COUNTIF('2029'!$C$1347:$Z$1347,Setup!$B$35)),SUMPRODUCT(COUNTIF('2030'!$C$1347:$Z$1347,Setup!$B$35))))</f>
        <v/>
      </c>
      <c r="AD82" s="137">
        <f>IF($B82="","",CHOOSE(IFERROR(MATCH($C$4,Setup!$K$33:$K$36,0),1),SUMPRODUCT(COUNTIF('2027'!$C$1397:$Z$1397,Setup!$B$35)),SUMPRODUCT(COUNTIF('2028'!$C$1397:$Z$1397,Setup!$B$35)),SUMPRODUCT(COUNTIF('2029'!$C$1397:$Z$1397,Setup!$B$35)),SUMPRODUCT(COUNTIF('2030'!$C$1397:$Z$1397,Setup!$B$35))))</f>
        <v/>
      </c>
      <c r="AE82" s="137">
        <f>IF($B82="","",CHOOSE(IFERROR(MATCH($C$4,Setup!$K$33:$K$36,0),1),SUMPRODUCT(COUNTIF('2027'!$C$1447:$Z$1447,Setup!$B$35)),SUMPRODUCT(COUNTIF('2028'!$C$1447:$Z$1447,Setup!$B$35)),SUMPRODUCT(COUNTIF('2029'!$C$1447:$Z$1447,Setup!$B$35)),SUMPRODUCT(COUNTIF('2030'!$C$1447:$Z$1447,Setup!$B$35))))</f>
        <v/>
      </c>
      <c r="AF82" s="137">
        <f>IF($B82="","",CHOOSE(IFERROR(MATCH($C$4,Setup!$K$33:$K$36,0),1),SUMPRODUCT(COUNTIF('2027'!$C$1497:$Z$1497,Setup!$B$35)),SUMPRODUCT(COUNTIF('2028'!$C$1497:$Z$1497,Setup!$B$35)),SUMPRODUCT(COUNTIF('2029'!$C$1497:$Z$1497,Setup!$B$35)),SUMPRODUCT(COUNTIF('2030'!$C$1497:$Z$1497,Setup!$B$35))))</f>
        <v/>
      </c>
      <c r="AG82" s="137">
        <f>IF($B82="","",CHOOSE(IFERROR(MATCH($C$4,Setup!$K$33:$K$36,0),1),SUMPRODUCT(COUNTIF('2027'!$C$1547:$Z$1547,Setup!$B$35)),SUMPRODUCT(COUNTIF('2028'!$C$1547:$Z$1547,Setup!$B$35)),SUMPRODUCT(COUNTIF('2029'!$C$1547:$Z$1547,Setup!$B$35)),SUMPRODUCT(COUNTIF('2030'!$C$1547:$Z$1547,Setup!$B$35))))</f>
        <v/>
      </c>
      <c r="AH82" s="137">
        <f>IF($B82="","",CHOOSE(IFERROR(MATCH($C$4,Setup!$K$33:$K$36,0),1),SUMPRODUCT(COUNTIF('2027'!$C$1597:$Z$1597,Setup!$B$35)),SUMPRODUCT(COUNTIF('2028'!$C$1597:$Z$1597,Setup!$B$35)),SUMPRODUCT(COUNTIF('2029'!$C$1597:$Z$1597,Setup!$B$35)),SUMPRODUCT(COUNTIF('2030'!$C$1597:$Z$1597,Setup!$B$35))))</f>
        <v/>
      </c>
      <c r="AI82" s="137">
        <f>IF($B82="","",CHOOSE(IFERROR(MATCH($C$4,Setup!$K$33:$K$36,0),1),SUMPRODUCT(COUNTIF('2027'!$C$1647:$Z$1647,Setup!$B$35)),SUMPRODUCT(COUNTIF('2028'!$C$1647:$Z$1647,Setup!$B$35)),SUMPRODUCT(COUNTIF('2029'!$C$1647:$Z$1647,Setup!$B$35)),SUMPRODUCT(COUNTIF('2030'!$C$1647:$Z$1647,Setup!$B$35))))</f>
        <v/>
      </c>
      <c r="AJ82" s="137">
        <f>IF($B82="","",CHOOSE(IFERROR(MATCH($C$4,Setup!$K$33:$K$36,0),1),SUMPRODUCT(COUNTIF('2027'!$C$1697:$Z$1697,Setup!$B$35)),SUMPRODUCT(COUNTIF('2028'!$C$1697:$Z$1697,Setup!$B$35)),SUMPRODUCT(COUNTIF('2029'!$C$1697:$Z$1697,Setup!$B$35)),SUMPRODUCT(COUNTIF('2030'!$C$1697:$Z$1697,Setup!$B$35))))</f>
        <v/>
      </c>
      <c r="AK82" s="137">
        <f>IF($B82="","",CHOOSE(IFERROR(MATCH($C$4,Setup!$K$33:$K$36,0),1),SUMPRODUCT(COUNTIF('2027'!$C$1747:$Z$1747,Setup!$B$35)),SUMPRODUCT(COUNTIF('2028'!$C$1747:$Z$1747,Setup!$B$35)),SUMPRODUCT(COUNTIF('2029'!$C$1747:$Z$1747,Setup!$B$35)),SUMPRODUCT(COUNTIF('2030'!$C$1747:$Z$1747,Setup!$B$35))))</f>
        <v/>
      </c>
      <c r="AL82" s="137">
        <f>IF($B82="","",CHOOSE(IFERROR(MATCH($C$4,Setup!$K$33:$K$36,0),1),SUMPRODUCT(COUNTIF('2027'!$C$1797:$Z$1797,Setup!$B$35)),SUMPRODUCT(COUNTIF('2028'!$C$1797:$Z$1797,Setup!$B$35)),SUMPRODUCT(COUNTIF('2029'!$C$1797:$Z$1797,Setup!$B$35)),SUMPRODUCT(COUNTIF('2030'!$C$1797:$Z$1797,Setup!$B$35))))</f>
        <v/>
      </c>
      <c r="AM82" s="137">
        <f>IF($B82="","",CHOOSE(IFERROR(MATCH($C$4,Setup!$K$33:$K$36,0),1),SUMPRODUCT(COUNTIF('2027'!$C$1847:$Z$1847,Setup!$B$35)),SUMPRODUCT(COUNTIF('2028'!$C$1847:$Z$1847,Setup!$B$35)),SUMPRODUCT(COUNTIF('2029'!$C$1847:$Z$1847,Setup!$B$35)),SUMPRODUCT(COUNTIF('2030'!$C$1847:$Z$1847,Setup!$B$35))))</f>
        <v/>
      </c>
      <c r="AN82" s="137">
        <f>IF($B82="","",CHOOSE(IFERROR(MATCH($C$4,Setup!$K$33:$K$36,0),1),SUMPRODUCT(COUNTIF('2027'!$C$1897:$Z$1897,Setup!$B$35)),SUMPRODUCT(COUNTIF('2028'!$C$1897:$Z$1897,Setup!$B$35)),SUMPRODUCT(COUNTIF('2029'!$C$1897:$Z$1897,Setup!$B$35)),SUMPRODUCT(COUNTIF('2030'!$C$1897:$Z$1897,Setup!$B$35))))</f>
        <v/>
      </c>
      <c r="AO82" s="137">
        <f>IF($B82="","",CHOOSE(IFERROR(MATCH($C$4,Setup!$K$33:$K$36,0),1),SUMPRODUCT(COUNTIF('2027'!$C$1947:$Z$1947,Setup!$B$35)),SUMPRODUCT(COUNTIF('2028'!$C$1947:$Z$1947,Setup!$B$35)),SUMPRODUCT(COUNTIF('2029'!$C$1947:$Z$1947,Setup!$B$35)),SUMPRODUCT(COUNTIF('2030'!$C$1947:$Z$1947,Setup!$B$35))))</f>
        <v/>
      </c>
      <c r="AP82" s="137">
        <f>IF($B82="","",CHOOSE(IFERROR(MATCH($C$4,Setup!$K$33:$K$36,0),1),SUMPRODUCT(COUNTIF('2027'!$C$1997:$Z$1997,Setup!$B$35)),SUMPRODUCT(COUNTIF('2028'!$C$1997:$Z$1997,Setup!$B$35)),SUMPRODUCT(COUNTIF('2029'!$C$1997:$Z$1997,Setup!$B$35)),SUMPRODUCT(COUNTIF('2030'!$C$1997:$Z$1997,Setup!$B$35))))</f>
        <v/>
      </c>
      <c r="AQ82" s="137">
        <f>IF($B82="","",CHOOSE(IFERROR(MATCH($C$4,Setup!$K$33:$K$36,0),1),SUMPRODUCT(COUNTIF('2027'!$C$2047:$Z$2047,Setup!$B$35)),SUMPRODUCT(COUNTIF('2028'!$C$2047:$Z$2047,Setup!$B$35)),SUMPRODUCT(COUNTIF('2029'!$C$2047:$Z$2047,Setup!$B$35)),SUMPRODUCT(COUNTIF('2030'!$C$2047:$Z$2047,Setup!$B$35))))</f>
        <v/>
      </c>
      <c r="AR82" s="137">
        <f>IF($B82="","",CHOOSE(IFERROR(MATCH($C$4,Setup!$K$33:$K$36,0),1),SUMPRODUCT(COUNTIF('2027'!$C$2097:$Z$2097,Setup!$B$35)),SUMPRODUCT(COUNTIF('2028'!$C$2097:$Z$2097,Setup!$B$35)),SUMPRODUCT(COUNTIF('2029'!$C$2097:$Z$2097,Setup!$B$35)),SUMPRODUCT(COUNTIF('2030'!$C$2097:$Z$2097,Setup!$B$35))))</f>
        <v/>
      </c>
      <c r="AS82" s="137">
        <f>IF($B82="","",CHOOSE(IFERROR(MATCH($C$4,Setup!$K$33:$K$36,0),1),SUMPRODUCT(COUNTIF('2027'!$C$2147:$Z$2147,Setup!$B$35)),SUMPRODUCT(COUNTIF('2028'!$C$2147:$Z$2147,Setup!$B$35)),SUMPRODUCT(COUNTIF('2029'!$C$2147:$Z$2147,Setup!$B$35)),SUMPRODUCT(COUNTIF('2030'!$C$2147:$Z$2147,Setup!$B$35))))</f>
        <v/>
      </c>
      <c r="AT82" s="137">
        <f>IF($B82="","",CHOOSE(IFERROR(MATCH($C$4,Setup!$K$33:$K$36,0),1),SUMPRODUCT(COUNTIF('2027'!$C$2197:$Z$2197,Setup!$B$35)),SUMPRODUCT(COUNTIF('2028'!$C$2197:$Z$2197,Setup!$B$35)),SUMPRODUCT(COUNTIF('2029'!$C$2197:$Z$2197,Setup!$B$35)),SUMPRODUCT(COUNTIF('2030'!$C$2197:$Z$2197,Setup!$B$35))))</f>
        <v/>
      </c>
      <c r="AU82" s="137">
        <f>IF($B82="","",CHOOSE(IFERROR(MATCH($C$4,Setup!$K$33:$K$36,0),1),SUMPRODUCT(COUNTIF('2027'!$C$2247:$Z$2247,Setup!$B$35)),SUMPRODUCT(COUNTIF('2028'!$C$2247:$Z$2247,Setup!$B$35)),SUMPRODUCT(COUNTIF('2029'!$C$2247:$Z$2247,Setup!$B$35)),SUMPRODUCT(COUNTIF('2030'!$C$2247:$Z$2247,Setup!$B$35))))</f>
        <v/>
      </c>
      <c r="AV82" s="137">
        <f>IF($B82="","",CHOOSE(IFERROR(MATCH($C$4,Setup!$K$33:$K$36,0),1),SUMPRODUCT(COUNTIF('2027'!$C$2297:$Z$2297,Setup!$B$35)),SUMPRODUCT(COUNTIF('2028'!$C$2297:$Z$2297,Setup!$B$35)),SUMPRODUCT(COUNTIF('2029'!$C$2297:$Z$2297,Setup!$B$35)),SUMPRODUCT(COUNTIF('2030'!$C$2297:$Z$2297,Setup!$B$35))))</f>
        <v/>
      </c>
      <c r="AW82" s="137">
        <f>IF($B82="","",CHOOSE(IFERROR(MATCH($C$4,Setup!$K$33:$K$36,0),1),SUMPRODUCT(COUNTIF('2027'!$C$2347:$Z$2347,Setup!$B$35)),SUMPRODUCT(COUNTIF('2028'!$C$2347:$Z$2347,Setup!$B$35)),SUMPRODUCT(COUNTIF('2029'!$C$2347:$Z$2347,Setup!$B$35)),SUMPRODUCT(COUNTIF('2030'!$C$2347:$Z$2347,Setup!$B$35))))</f>
        <v/>
      </c>
      <c r="AX82" s="137">
        <f>IF($B82="","",CHOOSE(IFERROR(MATCH($C$4,Setup!$K$33:$K$36,0),1),SUMPRODUCT(COUNTIF('2027'!$C$2397:$Z$2397,Setup!$B$35)),SUMPRODUCT(COUNTIF('2028'!$C$2397:$Z$2397,Setup!$B$35)),SUMPRODUCT(COUNTIF('2029'!$C$2397:$Z$2397,Setup!$B$35)),SUMPRODUCT(COUNTIF('2030'!$C$2397:$Z$2397,Setup!$B$35))))</f>
        <v/>
      </c>
      <c r="AY82" s="137">
        <f>IF($B82="","",CHOOSE(IFERROR(MATCH($C$4,Setup!$K$33:$K$36,0),1),SUMPRODUCT(COUNTIF('2027'!$C$2447:$Z$2447,Setup!$B$35)),SUMPRODUCT(COUNTIF('2028'!$C$2447:$Z$2447,Setup!$B$35)),SUMPRODUCT(COUNTIF('2029'!$C$2447:$Z$2447,Setup!$B$35)),SUMPRODUCT(COUNTIF('2030'!$C$2447:$Z$2447,Setup!$B$35))))</f>
        <v/>
      </c>
      <c r="AZ82" s="137">
        <f>IF($B82="","",CHOOSE(IFERROR(MATCH($C$4,Setup!$K$33:$K$36,0),1),SUMPRODUCT(COUNTIF('2027'!$C$2497:$Z$2497,Setup!$B$35)),SUMPRODUCT(COUNTIF('2028'!$C$2497:$Z$2497,Setup!$B$35)),SUMPRODUCT(COUNTIF('2029'!$C$2497:$Z$2497,Setup!$B$35)),SUMPRODUCT(COUNTIF('2030'!$C$2497:$Z$2497,Setup!$B$35))))</f>
        <v/>
      </c>
      <c r="BA82" s="137">
        <f>IF($B82="","",CHOOSE(IFERROR(MATCH($C$4,Setup!$K$33:$K$36,0),1),SUMPRODUCT(COUNTIF('2027'!$C$2547:$Z$2547,Setup!$B$35)),SUMPRODUCT(COUNTIF('2028'!$C$2547:$Z$2547,Setup!$B$35)),SUMPRODUCT(COUNTIF('2029'!$C$2547:$Z$2547,Setup!$B$35)),SUMPRODUCT(COUNTIF('2030'!$C$2547:$Z$2547,Setup!$B$35))))</f>
        <v/>
      </c>
      <c r="BB82" s="137">
        <f>IF($B82="","",CHOOSE(IFERROR(MATCH($C$4,Setup!$K$33:$K$36,0),1),SUMPRODUCT(COUNTIF('2027'!$C$2597:$Z$2597,Setup!$B$35)),SUMPRODUCT(COUNTIF('2028'!$C$2597:$Z$2597,Setup!$B$35)),SUMPRODUCT(COUNTIF('2029'!$C$2597:$Z$2597,Setup!$B$35)),SUMPRODUCT(COUNTIF('2030'!$C$2597:$Z$2597,Setup!$B$35))))</f>
        <v/>
      </c>
      <c r="BC82" s="137">
        <f>IF($B82="","",CHOOSE(IFERROR(MATCH($C$4,Setup!$K$33:$K$36,0),1),SUMPRODUCT(COUNTIF('2027'!$C$2647:$Z$2647,Setup!$B$35)),SUMPRODUCT(COUNTIF('2028'!$C$2647:$Z$2647,Setup!$B$35)),SUMPRODUCT(COUNTIF('2029'!$C$2647:$Z$2647,Setup!$B$35)),SUMPRODUCT(COUNTIF('2030'!$C$2647:$Z$2647,Setup!$B$35))))</f>
        <v/>
      </c>
      <c r="BE82" s="129">
        <f>IF($B82="","",SUM(C82:BC82))</f>
        <v/>
      </c>
      <c r="BF82" s="130">
        <f>IF($B82="","",COUNTIF(C82:BC82,"&gt;0"))</f>
        <v/>
      </c>
      <c r="BG82" s="130">
        <f>IF(OR($B82="",N(BE82)=0),"",MATCH(MAX(C82:BC82),C82:BC82,0))</f>
        <v/>
      </c>
    </row>
    <row r="83" ht="15" customHeight="1">
      <c r="B83" s="136">
        <f>IF(Setup!$B$27="","",Setup!$B$27)</f>
        <v/>
      </c>
      <c r="C83" s="137">
        <f>IF($B83="","",CHOOSE(IFERROR(MATCH($C$4,Setup!$K$33:$K$36,0),1),SUMPRODUCT(COUNTIF('2027'!$C$48:$Z$48,Setup!$B$35)),SUMPRODUCT(COUNTIF('2028'!$C$48:$Z$48,Setup!$B$35)),SUMPRODUCT(COUNTIF('2029'!$C$48:$Z$48,Setup!$B$35)),SUMPRODUCT(COUNTIF('2030'!$C$48:$Z$48,Setup!$B$35))))</f>
        <v/>
      </c>
      <c r="D83" s="137">
        <f>IF($B83="","",CHOOSE(IFERROR(MATCH($C$4,Setup!$K$33:$K$36,0),1),SUMPRODUCT(COUNTIF('2027'!$C$98:$Z$98,Setup!$B$35)),SUMPRODUCT(COUNTIF('2028'!$C$98:$Z$98,Setup!$B$35)),SUMPRODUCT(COUNTIF('2029'!$C$98:$Z$98,Setup!$B$35)),SUMPRODUCT(COUNTIF('2030'!$C$98:$Z$98,Setup!$B$35))))</f>
        <v/>
      </c>
      <c r="E83" s="137">
        <f>IF($B83="","",CHOOSE(IFERROR(MATCH($C$4,Setup!$K$33:$K$36,0),1),SUMPRODUCT(COUNTIF('2027'!$C$148:$Z$148,Setup!$B$35)),SUMPRODUCT(COUNTIF('2028'!$C$148:$Z$148,Setup!$B$35)),SUMPRODUCT(COUNTIF('2029'!$C$148:$Z$148,Setup!$B$35)),SUMPRODUCT(COUNTIF('2030'!$C$148:$Z$148,Setup!$B$35))))</f>
        <v/>
      </c>
      <c r="F83" s="137">
        <f>IF($B83="","",CHOOSE(IFERROR(MATCH($C$4,Setup!$K$33:$K$36,0),1),SUMPRODUCT(COUNTIF('2027'!$C$198:$Z$198,Setup!$B$35)),SUMPRODUCT(COUNTIF('2028'!$C$198:$Z$198,Setup!$B$35)),SUMPRODUCT(COUNTIF('2029'!$C$198:$Z$198,Setup!$B$35)),SUMPRODUCT(COUNTIF('2030'!$C$198:$Z$198,Setup!$B$35))))</f>
        <v/>
      </c>
      <c r="G83" s="137">
        <f>IF($B83="","",CHOOSE(IFERROR(MATCH($C$4,Setup!$K$33:$K$36,0),1),SUMPRODUCT(COUNTIF('2027'!$C$248:$Z$248,Setup!$B$35)),SUMPRODUCT(COUNTIF('2028'!$C$248:$Z$248,Setup!$B$35)),SUMPRODUCT(COUNTIF('2029'!$C$248:$Z$248,Setup!$B$35)),SUMPRODUCT(COUNTIF('2030'!$C$248:$Z$248,Setup!$B$35))))</f>
        <v/>
      </c>
      <c r="H83" s="137">
        <f>IF($B83="","",CHOOSE(IFERROR(MATCH($C$4,Setup!$K$33:$K$36,0),1),SUMPRODUCT(COUNTIF('2027'!$C$298:$Z$298,Setup!$B$35)),SUMPRODUCT(COUNTIF('2028'!$C$298:$Z$298,Setup!$B$35)),SUMPRODUCT(COUNTIF('2029'!$C$298:$Z$298,Setup!$B$35)),SUMPRODUCT(COUNTIF('2030'!$C$298:$Z$298,Setup!$B$35))))</f>
        <v/>
      </c>
      <c r="I83" s="137">
        <f>IF($B83="","",CHOOSE(IFERROR(MATCH($C$4,Setup!$K$33:$K$36,0),1),SUMPRODUCT(COUNTIF('2027'!$C$348:$Z$348,Setup!$B$35)),SUMPRODUCT(COUNTIF('2028'!$C$348:$Z$348,Setup!$B$35)),SUMPRODUCT(COUNTIF('2029'!$C$348:$Z$348,Setup!$B$35)),SUMPRODUCT(COUNTIF('2030'!$C$348:$Z$348,Setup!$B$35))))</f>
        <v/>
      </c>
      <c r="J83" s="137">
        <f>IF($B83="","",CHOOSE(IFERROR(MATCH($C$4,Setup!$K$33:$K$36,0),1),SUMPRODUCT(COUNTIF('2027'!$C$398:$Z$398,Setup!$B$35)),SUMPRODUCT(COUNTIF('2028'!$C$398:$Z$398,Setup!$B$35)),SUMPRODUCT(COUNTIF('2029'!$C$398:$Z$398,Setup!$B$35)),SUMPRODUCT(COUNTIF('2030'!$C$398:$Z$398,Setup!$B$35))))</f>
        <v/>
      </c>
      <c r="K83" s="137">
        <f>IF($B83="","",CHOOSE(IFERROR(MATCH($C$4,Setup!$K$33:$K$36,0),1),SUMPRODUCT(COUNTIF('2027'!$C$448:$Z$448,Setup!$B$35)),SUMPRODUCT(COUNTIF('2028'!$C$448:$Z$448,Setup!$B$35)),SUMPRODUCT(COUNTIF('2029'!$C$448:$Z$448,Setup!$B$35)),SUMPRODUCT(COUNTIF('2030'!$C$448:$Z$448,Setup!$B$35))))</f>
        <v/>
      </c>
      <c r="L83" s="137">
        <f>IF($B83="","",CHOOSE(IFERROR(MATCH($C$4,Setup!$K$33:$K$36,0),1),SUMPRODUCT(COUNTIF('2027'!$C$498:$Z$498,Setup!$B$35)),SUMPRODUCT(COUNTIF('2028'!$C$498:$Z$498,Setup!$B$35)),SUMPRODUCT(COUNTIF('2029'!$C$498:$Z$498,Setup!$B$35)),SUMPRODUCT(COUNTIF('2030'!$C$498:$Z$498,Setup!$B$35))))</f>
        <v/>
      </c>
      <c r="M83" s="137">
        <f>IF($B83="","",CHOOSE(IFERROR(MATCH($C$4,Setup!$K$33:$K$36,0),1),SUMPRODUCT(COUNTIF('2027'!$C$548:$Z$548,Setup!$B$35)),SUMPRODUCT(COUNTIF('2028'!$C$548:$Z$548,Setup!$B$35)),SUMPRODUCT(COUNTIF('2029'!$C$548:$Z$548,Setup!$B$35)),SUMPRODUCT(COUNTIF('2030'!$C$548:$Z$548,Setup!$B$35))))</f>
        <v/>
      </c>
      <c r="N83" s="137">
        <f>IF($B83="","",CHOOSE(IFERROR(MATCH($C$4,Setup!$K$33:$K$36,0),1),SUMPRODUCT(COUNTIF('2027'!$C$598:$Z$598,Setup!$B$35)),SUMPRODUCT(COUNTIF('2028'!$C$598:$Z$598,Setup!$B$35)),SUMPRODUCT(COUNTIF('2029'!$C$598:$Z$598,Setup!$B$35)),SUMPRODUCT(COUNTIF('2030'!$C$598:$Z$598,Setup!$B$35))))</f>
        <v/>
      </c>
      <c r="O83" s="137">
        <f>IF($B83="","",CHOOSE(IFERROR(MATCH($C$4,Setup!$K$33:$K$36,0),1),SUMPRODUCT(COUNTIF('2027'!$C$648:$Z$648,Setup!$B$35)),SUMPRODUCT(COUNTIF('2028'!$C$648:$Z$648,Setup!$B$35)),SUMPRODUCT(COUNTIF('2029'!$C$648:$Z$648,Setup!$B$35)),SUMPRODUCT(COUNTIF('2030'!$C$648:$Z$648,Setup!$B$35))))</f>
        <v/>
      </c>
      <c r="P83" s="137">
        <f>IF($B83="","",CHOOSE(IFERROR(MATCH($C$4,Setup!$K$33:$K$36,0),1),SUMPRODUCT(COUNTIF('2027'!$C$698:$Z$698,Setup!$B$35)),SUMPRODUCT(COUNTIF('2028'!$C$698:$Z$698,Setup!$B$35)),SUMPRODUCT(COUNTIF('2029'!$C$698:$Z$698,Setup!$B$35)),SUMPRODUCT(COUNTIF('2030'!$C$698:$Z$698,Setup!$B$35))))</f>
        <v/>
      </c>
      <c r="Q83" s="137">
        <f>IF($B83="","",CHOOSE(IFERROR(MATCH($C$4,Setup!$K$33:$K$36,0),1),SUMPRODUCT(COUNTIF('2027'!$C$748:$Z$748,Setup!$B$35)),SUMPRODUCT(COUNTIF('2028'!$C$748:$Z$748,Setup!$B$35)),SUMPRODUCT(COUNTIF('2029'!$C$748:$Z$748,Setup!$B$35)),SUMPRODUCT(COUNTIF('2030'!$C$748:$Z$748,Setup!$B$35))))</f>
        <v/>
      </c>
      <c r="R83" s="137">
        <f>IF($B83="","",CHOOSE(IFERROR(MATCH($C$4,Setup!$K$33:$K$36,0),1),SUMPRODUCT(COUNTIF('2027'!$C$798:$Z$798,Setup!$B$35)),SUMPRODUCT(COUNTIF('2028'!$C$798:$Z$798,Setup!$B$35)),SUMPRODUCT(COUNTIF('2029'!$C$798:$Z$798,Setup!$B$35)),SUMPRODUCT(COUNTIF('2030'!$C$798:$Z$798,Setup!$B$35))))</f>
        <v/>
      </c>
      <c r="S83" s="137">
        <f>IF($B83="","",CHOOSE(IFERROR(MATCH($C$4,Setup!$K$33:$K$36,0),1),SUMPRODUCT(COUNTIF('2027'!$C$848:$Z$848,Setup!$B$35)),SUMPRODUCT(COUNTIF('2028'!$C$848:$Z$848,Setup!$B$35)),SUMPRODUCT(COUNTIF('2029'!$C$848:$Z$848,Setup!$B$35)),SUMPRODUCT(COUNTIF('2030'!$C$848:$Z$848,Setup!$B$35))))</f>
        <v/>
      </c>
      <c r="T83" s="137">
        <f>IF($B83="","",CHOOSE(IFERROR(MATCH($C$4,Setup!$K$33:$K$36,0),1),SUMPRODUCT(COUNTIF('2027'!$C$898:$Z$898,Setup!$B$35)),SUMPRODUCT(COUNTIF('2028'!$C$898:$Z$898,Setup!$B$35)),SUMPRODUCT(COUNTIF('2029'!$C$898:$Z$898,Setup!$B$35)),SUMPRODUCT(COUNTIF('2030'!$C$898:$Z$898,Setup!$B$35))))</f>
        <v/>
      </c>
      <c r="U83" s="137">
        <f>IF($B83="","",CHOOSE(IFERROR(MATCH($C$4,Setup!$K$33:$K$36,0),1),SUMPRODUCT(COUNTIF('2027'!$C$948:$Z$948,Setup!$B$35)),SUMPRODUCT(COUNTIF('2028'!$C$948:$Z$948,Setup!$B$35)),SUMPRODUCT(COUNTIF('2029'!$C$948:$Z$948,Setup!$B$35)),SUMPRODUCT(COUNTIF('2030'!$C$948:$Z$948,Setup!$B$35))))</f>
        <v/>
      </c>
      <c r="V83" s="137">
        <f>IF($B83="","",CHOOSE(IFERROR(MATCH($C$4,Setup!$K$33:$K$36,0),1),SUMPRODUCT(COUNTIF('2027'!$C$998:$Z$998,Setup!$B$35)),SUMPRODUCT(COUNTIF('2028'!$C$998:$Z$998,Setup!$B$35)),SUMPRODUCT(COUNTIF('2029'!$C$998:$Z$998,Setup!$B$35)),SUMPRODUCT(COUNTIF('2030'!$C$998:$Z$998,Setup!$B$35))))</f>
        <v/>
      </c>
      <c r="W83" s="137">
        <f>IF($B83="","",CHOOSE(IFERROR(MATCH($C$4,Setup!$K$33:$K$36,0),1),SUMPRODUCT(COUNTIF('2027'!$C$1048:$Z$1048,Setup!$B$35)),SUMPRODUCT(COUNTIF('2028'!$C$1048:$Z$1048,Setup!$B$35)),SUMPRODUCT(COUNTIF('2029'!$C$1048:$Z$1048,Setup!$B$35)),SUMPRODUCT(COUNTIF('2030'!$C$1048:$Z$1048,Setup!$B$35))))</f>
        <v/>
      </c>
      <c r="X83" s="137">
        <f>IF($B83="","",CHOOSE(IFERROR(MATCH($C$4,Setup!$K$33:$K$36,0),1),SUMPRODUCT(COUNTIF('2027'!$C$1098:$Z$1098,Setup!$B$35)),SUMPRODUCT(COUNTIF('2028'!$C$1098:$Z$1098,Setup!$B$35)),SUMPRODUCT(COUNTIF('2029'!$C$1098:$Z$1098,Setup!$B$35)),SUMPRODUCT(COUNTIF('2030'!$C$1098:$Z$1098,Setup!$B$35))))</f>
        <v/>
      </c>
      <c r="Y83" s="137">
        <f>IF($B83="","",CHOOSE(IFERROR(MATCH($C$4,Setup!$K$33:$K$36,0),1),SUMPRODUCT(COUNTIF('2027'!$C$1148:$Z$1148,Setup!$B$35)),SUMPRODUCT(COUNTIF('2028'!$C$1148:$Z$1148,Setup!$B$35)),SUMPRODUCT(COUNTIF('2029'!$C$1148:$Z$1148,Setup!$B$35)),SUMPRODUCT(COUNTIF('2030'!$C$1148:$Z$1148,Setup!$B$35))))</f>
        <v/>
      </c>
      <c r="Z83" s="137">
        <f>IF($B83="","",CHOOSE(IFERROR(MATCH($C$4,Setup!$K$33:$K$36,0),1),SUMPRODUCT(COUNTIF('2027'!$C$1198:$Z$1198,Setup!$B$35)),SUMPRODUCT(COUNTIF('2028'!$C$1198:$Z$1198,Setup!$B$35)),SUMPRODUCT(COUNTIF('2029'!$C$1198:$Z$1198,Setup!$B$35)),SUMPRODUCT(COUNTIF('2030'!$C$1198:$Z$1198,Setup!$B$35))))</f>
        <v/>
      </c>
      <c r="AA83" s="137">
        <f>IF($B83="","",CHOOSE(IFERROR(MATCH($C$4,Setup!$K$33:$K$36,0),1),SUMPRODUCT(COUNTIF('2027'!$C$1248:$Z$1248,Setup!$B$35)),SUMPRODUCT(COUNTIF('2028'!$C$1248:$Z$1248,Setup!$B$35)),SUMPRODUCT(COUNTIF('2029'!$C$1248:$Z$1248,Setup!$B$35)),SUMPRODUCT(COUNTIF('2030'!$C$1248:$Z$1248,Setup!$B$35))))</f>
        <v/>
      </c>
      <c r="AB83" s="137">
        <f>IF($B83="","",CHOOSE(IFERROR(MATCH($C$4,Setup!$K$33:$K$36,0),1),SUMPRODUCT(COUNTIF('2027'!$C$1298:$Z$1298,Setup!$B$35)),SUMPRODUCT(COUNTIF('2028'!$C$1298:$Z$1298,Setup!$B$35)),SUMPRODUCT(COUNTIF('2029'!$C$1298:$Z$1298,Setup!$B$35)),SUMPRODUCT(COUNTIF('2030'!$C$1298:$Z$1298,Setup!$B$35))))</f>
        <v/>
      </c>
      <c r="AC83" s="137">
        <f>IF($B83="","",CHOOSE(IFERROR(MATCH($C$4,Setup!$K$33:$K$36,0),1),SUMPRODUCT(COUNTIF('2027'!$C$1348:$Z$1348,Setup!$B$35)),SUMPRODUCT(COUNTIF('2028'!$C$1348:$Z$1348,Setup!$B$35)),SUMPRODUCT(COUNTIF('2029'!$C$1348:$Z$1348,Setup!$B$35)),SUMPRODUCT(COUNTIF('2030'!$C$1348:$Z$1348,Setup!$B$35))))</f>
        <v/>
      </c>
      <c r="AD83" s="137">
        <f>IF($B83="","",CHOOSE(IFERROR(MATCH($C$4,Setup!$K$33:$K$36,0),1),SUMPRODUCT(COUNTIF('2027'!$C$1398:$Z$1398,Setup!$B$35)),SUMPRODUCT(COUNTIF('2028'!$C$1398:$Z$1398,Setup!$B$35)),SUMPRODUCT(COUNTIF('2029'!$C$1398:$Z$1398,Setup!$B$35)),SUMPRODUCT(COUNTIF('2030'!$C$1398:$Z$1398,Setup!$B$35))))</f>
        <v/>
      </c>
      <c r="AE83" s="137">
        <f>IF($B83="","",CHOOSE(IFERROR(MATCH($C$4,Setup!$K$33:$K$36,0),1),SUMPRODUCT(COUNTIF('2027'!$C$1448:$Z$1448,Setup!$B$35)),SUMPRODUCT(COUNTIF('2028'!$C$1448:$Z$1448,Setup!$B$35)),SUMPRODUCT(COUNTIF('2029'!$C$1448:$Z$1448,Setup!$B$35)),SUMPRODUCT(COUNTIF('2030'!$C$1448:$Z$1448,Setup!$B$35))))</f>
        <v/>
      </c>
      <c r="AF83" s="137">
        <f>IF($B83="","",CHOOSE(IFERROR(MATCH($C$4,Setup!$K$33:$K$36,0),1),SUMPRODUCT(COUNTIF('2027'!$C$1498:$Z$1498,Setup!$B$35)),SUMPRODUCT(COUNTIF('2028'!$C$1498:$Z$1498,Setup!$B$35)),SUMPRODUCT(COUNTIF('2029'!$C$1498:$Z$1498,Setup!$B$35)),SUMPRODUCT(COUNTIF('2030'!$C$1498:$Z$1498,Setup!$B$35))))</f>
        <v/>
      </c>
      <c r="AG83" s="137">
        <f>IF($B83="","",CHOOSE(IFERROR(MATCH($C$4,Setup!$K$33:$K$36,0),1),SUMPRODUCT(COUNTIF('2027'!$C$1548:$Z$1548,Setup!$B$35)),SUMPRODUCT(COUNTIF('2028'!$C$1548:$Z$1548,Setup!$B$35)),SUMPRODUCT(COUNTIF('2029'!$C$1548:$Z$1548,Setup!$B$35)),SUMPRODUCT(COUNTIF('2030'!$C$1548:$Z$1548,Setup!$B$35))))</f>
        <v/>
      </c>
      <c r="AH83" s="137">
        <f>IF($B83="","",CHOOSE(IFERROR(MATCH($C$4,Setup!$K$33:$K$36,0),1),SUMPRODUCT(COUNTIF('2027'!$C$1598:$Z$1598,Setup!$B$35)),SUMPRODUCT(COUNTIF('2028'!$C$1598:$Z$1598,Setup!$B$35)),SUMPRODUCT(COUNTIF('2029'!$C$1598:$Z$1598,Setup!$B$35)),SUMPRODUCT(COUNTIF('2030'!$C$1598:$Z$1598,Setup!$B$35))))</f>
        <v/>
      </c>
      <c r="AI83" s="137">
        <f>IF($B83="","",CHOOSE(IFERROR(MATCH($C$4,Setup!$K$33:$K$36,0),1),SUMPRODUCT(COUNTIF('2027'!$C$1648:$Z$1648,Setup!$B$35)),SUMPRODUCT(COUNTIF('2028'!$C$1648:$Z$1648,Setup!$B$35)),SUMPRODUCT(COUNTIF('2029'!$C$1648:$Z$1648,Setup!$B$35)),SUMPRODUCT(COUNTIF('2030'!$C$1648:$Z$1648,Setup!$B$35))))</f>
        <v/>
      </c>
      <c r="AJ83" s="137">
        <f>IF($B83="","",CHOOSE(IFERROR(MATCH($C$4,Setup!$K$33:$K$36,0),1),SUMPRODUCT(COUNTIF('2027'!$C$1698:$Z$1698,Setup!$B$35)),SUMPRODUCT(COUNTIF('2028'!$C$1698:$Z$1698,Setup!$B$35)),SUMPRODUCT(COUNTIF('2029'!$C$1698:$Z$1698,Setup!$B$35)),SUMPRODUCT(COUNTIF('2030'!$C$1698:$Z$1698,Setup!$B$35))))</f>
        <v/>
      </c>
      <c r="AK83" s="137">
        <f>IF($B83="","",CHOOSE(IFERROR(MATCH($C$4,Setup!$K$33:$K$36,0),1),SUMPRODUCT(COUNTIF('2027'!$C$1748:$Z$1748,Setup!$B$35)),SUMPRODUCT(COUNTIF('2028'!$C$1748:$Z$1748,Setup!$B$35)),SUMPRODUCT(COUNTIF('2029'!$C$1748:$Z$1748,Setup!$B$35)),SUMPRODUCT(COUNTIF('2030'!$C$1748:$Z$1748,Setup!$B$35))))</f>
        <v/>
      </c>
      <c r="AL83" s="137">
        <f>IF($B83="","",CHOOSE(IFERROR(MATCH($C$4,Setup!$K$33:$K$36,0),1),SUMPRODUCT(COUNTIF('2027'!$C$1798:$Z$1798,Setup!$B$35)),SUMPRODUCT(COUNTIF('2028'!$C$1798:$Z$1798,Setup!$B$35)),SUMPRODUCT(COUNTIF('2029'!$C$1798:$Z$1798,Setup!$B$35)),SUMPRODUCT(COUNTIF('2030'!$C$1798:$Z$1798,Setup!$B$35))))</f>
        <v/>
      </c>
      <c r="AM83" s="137">
        <f>IF($B83="","",CHOOSE(IFERROR(MATCH($C$4,Setup!$K$33:$K$36,0),1),SUMPRODUCT(COUNTIF('2027'!$C$1848:$Z$1848,Setup!$B$35)),SUMPRODUCT(COUNTIF('2028'!$C$1848:$Z$1848,Setup!$B$35)),SUMPRODUCT(COUNTIF('2029'!$C$1848:$Z$1848,Setup!$B$35)),SUMPRODUCT(COUNTIF('2030'!$C$1848:$Z$1848,Setup!$B$35))))</f>
        <v/>
      </c>
      <c r="AN83" s="137">
        <f>IF($B83="","",CHOOSE(IFERROR(MATCH($C$4,Setup!$K$33:$K$36,0),1),SUMPRODUCT(COUNTIF('2027'!$C$1898:$Z$1898,Setup!$B$35)),SUMPRODUCT(COUNTIF('2028'!$C$1898:$Z$1898,Setup!$B$35)),SUMPRODUCT(COUNTIF('2029'!$C$1898:$Z$1898,Setup!$B$35)),SUMPRODUCT(COUNTIF('2030'!$C$1898:$Z$1898,Setup!$B$35))))</f>
        <v/>
      </c>
      <c r="AO83" s="137">
        <f>IF($B83="","",CHOOSE(IFERROR(MATCH($C$4,Setup!$K$33:$K$36,0),1),SUMPRODUCT(COUNTIF('2027'!$C$1948:$Z$1948,Setup!$B$35)),SUMPRODUCT(COUNTIF('2028'!$C$1948:$Z$1948,Setup!$B$35)),SUMPRODUCT(COUNTIF('2029'!$C$1948:$Z$1948,Setup!$B$35)),SUMPRODUCT(COUNTIF('2030'!$C$1948:$Z$1948,Setup!$B$35))))</f>
        <v/>
      </c>
      <c r="AP83" s="137">
        <f>IF($B83="","",CHOOSE(IFERROR(MATCH($C$4,Setup!$K$33:$K$36,0),1),SUMPRODUCT(COUNTIF('2027'!$C$1998:$Z$1998,Setup!$B$35)),SUMPRODUCT(COUNTIF('2028'!$C$1998:$Z$1998,Setup!$B$35)),SUMPRODUCT(COUNTIF('2029'!$C$1998:$Z$1998,Setup!$B$35)),SUMPRODUCT(COUNTIF('2030'!$C$1998:$Z$1998,Setup!$B$35))))</f>
        <v/>
      </c>
      <c r="AQ83" s="137">
        <f>IF($B83="","",CHOOSE(IFERROR(MATCH($C$4,Setup!$K$33:$K$36,0),1),SUMPRODUCT(COUNTIF('2027'!$C$2048:$Z$2048,Setup!$B$35)),SUMPRODUCT(COUNTIF('2028'!$C$2048:$Z$2048,Setup!$B$35)),SUMPRODUCT(COUNTIF('2029'!$C$2048:$Z$2048,Setup!$B$35)),SUMPRODUCT(COUNTIF('2030'!$C$2048:$Z$2048,Setup!$B$35))))</f>
        <v/>
      </c>
      <c r="AR83" s="137">
        <f>IF($B83="","",CHOOSE(IFERROR(MATCH($C$4,Setup!$K$33:$K$36,0),1),SUMPRODUCT(COUNTIF('2027'!$C$2098:$Z$2098,Setup!$B$35)),SUMPRODUCT(COUNTIF('2028'!$C$2098:$Z$2098,Setup!$B$35)),SUMPRODUCT(COUNTIF('2029'!$C$2098:$Z$2098,Setup!$B$35)),SUMPRODUCT(COUNTIF('2030'!$C$2098:$Z$2098,Setup!$B$35))))</f>
        <v/>
      </c>
      <c r="AS83" s="137">
        <f>IF($B83="","",CHOOSE(IFERROR(MATCH($C$4,Setup!$K$33:$K$36,0),1),SUMPRODUCT(COUNTIF('2027'!$C$2148:$Z$2148,Setup!$B$35)),SUMPRODUCT(COUNTIF('2028'!$C$2148:$Z$2148,Setup!$B$35)),SUMPRODUCT(COUNTIF('2029'!$C$2148:$Z$2148,Setup!$B$35)),SUMPRODUCT(COUNTIF('2030'!$C$2148:$Z$2148,Setup!$B$35))))</f>
        <v/>
      </c>
      <c r="AT83" s="137">
        <f>IF($B83="","",CHOOSE(IFERROR(MATCH($C$4,Setup!$K$33:$K$36,0),1),SUMPRODUCT(COUNTIF('2027'!$C$2198:$Z$2198,Setup!$B$35)),SUMPRODUCT(COUNTIF('2028'!$C$2198:$Z$2198,Setup!$B$35)),SUMPRODUCT(COUNTIF('2029'!$C$2198:$Z$2198,Setup!$B$35)),SUMPRODUCT(COUNTIF('2030'!$C$2198:$Z$2198,Setup!$B$35))))</f>
        <v/>
      </c>
      <c r="AU83" s="137">
        <f>IF($B83="","",CHOOSE(IFERROR(MATCH($C$4,Setup!$K$33:$K$36,0),1),SUMPRODUCT(COUNTIF('2027'!$C$2248:$Z$2248,Setup!$B$35)),SUMPRODUCT(COUNTIF('2028'!$C$2248:$Z$2248,Setup!$B$35)),SUMPRODUCT(COUNTIF('2029'!$C$2248:$Z$2248,Setup!$B$35)),SUMPRODUCT(COUNTIF('2030'!$C$2248:$Z$2248,Setup!$B$35))))</f>
        <v/>
      </c>
      <c r="AV83" s="137">
        <f>IF($B83="","",CHOOSE(IFERROR(MATCH($C$4,Setup!$K$33:$K$36,0),1),SUMPRODUCT(COUNTIF('2027'!$C$2298:$Z$2298,Setup!$B$35)),SUMPRODUCT(COUNTIF('2028'!$C$2298:$Z$2298,Setup!$B$35)),SUMPRODUCT(COUNTIF('2029'!$C$2298:$Z$2298,Setup!$B$35)),SUMPRODUCT(COUNTIF('2030'!$C$2298:$Z$2298,Setup!$B$35))))</f>
        <v/>
      </c>
      <c r="AW83" s="137">
        <f>IF($B83="","",CHOOSE(IFERROR(MATCH($C$4,Setup!$K$33:$K$36,0),1),SUMPRODUCT(COUNTIF('2027'!$C$2348:$Z$2348,Setup!$B$35)),SUMPRODUCT(COUNTIF('2028'!$C$2348:$Z$2348,Setup!$B$35)),SUMPRODUCT(COUNTIF('2029'!$C$2348:$Z$2348,Setup!$B$35)),SUMPRODUCT(COUNTIF('2030'!$C$2348:$Z$2348,Setup!$B$35))))</f>
        <v/>
      </c>
      <c r="AX83" s="137">
        <f>IF($B83="","",CHOOSE(IFERROR(MATCH($C$4,Setup!$K$33:$K$36,0),1),SUMPRODUCT(COUNTIF('2027'!$C$2398:$Z$2398,Setup!$B$35)),SUMPRODUCT(COUNTIF('2028'!$C$2398:$Z$2398,Setup!$B$35)),SUMPRODUCT(COUNTIF('2029'!$C$2398:$Z$2398,Setup!$B$35)),SUMPRODUCT(COUNTIF('2030'!$C$2398:$Z$2398,Setup!$B$35))))</f>
        <v/>
      </c>
      <c r="AY83" s="137">
        <f>IF($B83="","",CHOOSE(IFERROR(MATCH($C$4,Setup!$K$33:$K$36,0),1),SUMPRODUCT(COUNTIF('2027'!$C$2448:$Z$2448,Setup!$B$35)),SUMPRODUCT(COUNTIF('2028'!$C$2448:$Z$2448,Setup!$B$35)),SUMPRODUCT(COUNTIF('2029'!$C$2448:$Z$2448,Setup!$B$35)),SUMPRODUCT(COUNTIF('2030'!$C$2448:$Z$2448,Setup!$B$35))))</f>
        <v/>
      </c>
      <c r="AZ83" s="137">
        <f>IF($B83="","",CHOOSE(IFERROR(MATCH($C$4,Setup!$K$33:$K$36,0),1),SUMPRODUCT(COUNTIF('2027'!$C$2498:$Z$2498,Setup!$B$35)),SUMPRODUCT(COUNTIF('2028'!$C$2498:$Z$2498,Setup!$B$35)),SUMPRODUCT(COUNTIF('2029'!$C$2498:$Z$2498,Setup!$B$35)),SUMPRODUCT(COUNTIF('2030'!$C$2498:$Z$2498,Setup!$B$35))))</f>
        <v/>
      </c>
      <c r="BA83" s="137">
        <f>IF($B83="","",CHOOSE(IFERROR(MATCH($C$4,Setup!$K$33:$K$36,0),1),SUMPRODUCT(COUNTIF('2027'!$C$2548:$Z$2548,Setup!$B$35)),SUMPRODUCT(COUNTIF('2028'!$C$2548:$Z$2548,Setup!$B$35)),SUMPRODUCT(COUNTIF('2029'!$C$2548:$Z$2548,Setup!$B$35)),SUMPRODUCT(COUNTIF('2030'!$C$2548:$Z$2548,Setup!$B$35))))</f>
        <v/>
      </c>
      <c r="BB83" s="137">
        <f>IF($B83="","",CHOOSE(IFERROR(MATCH($C$4,Setup!$K$33:$K$36,0),1),SUMPRODUCT(COUNTIF('2027'!$C$2598:$Z$2598,Setup!$B$35)),SUMPRODUCT(COUNTIF('2028'!$C$2598:$Z$2598,Setup!$B$35)),SUMPRODUCT(COUNTIF('2029'!$C$2598:$Z$2598,Setup!$B$35)),SUMPRODUCT(COUNTIF('2030'!$C$2598:$Z$2598,Setup!$B$35))))</f>
        <v/>
      </c>
      <c r="BC83" s="137">
        <f>IF($B83="","",CHOOSE(IFERROR(MATCH($C$4,Setup!$K$33:$K$36,0),1),SUMPRODUCT(COUNTIF('2027'!$C$2648:$Z$2648,Setup!$B$35)),SUMPRODUCT(COUNTIF('2028'!$C$2648:$Z$2648,Setup!$B$35)),SUMPRODUCT(COUNTIF('2029'!$C$2648:$Z$2648,Setup!$B$35)),SUMPRODUCT(COUNTIF('2030'!$C$2648:$Z$2648,Setup!$B$35))))</f>
        <v/>
      </c>
      <c r="BE83" s="129">
        <f>IF($B83="","",SUM(C83:BC83))</f>
        <v/>
      </c>
      <c r="BF83" s="130">
        <f>IF($B83="","",COUNTIF(C83:BC83,"&gt;0"))</f>
        <v/>
      </c>
      <c r="BG83" s="130">
        <f>IF(OR($B83="",N(BE83)=0),"",MATCH(MAX(C83:BC83),C83:BC83,0))</f>
        <v/>
      </c>
    </row>
    <row r="84" ht="15" customHeight="1">
      <c r="B84" s="136">
        <f>IF(Setup!$B$28="","",Setup!$B$28)</f>
        <v/>
      </c>
      <c r="C84" s="137">
        <f>IF($B84="","",CHOOSE(IFERROR(MATCH($C$4,Setup!$K$33:$K$36,0),1),SUMPRODUCT(COUNTIF('2027'!$C$49:$Z$49,Setup!$B$35)),SUMPRODUCT(COUNTIF('2028'!$C$49:$Z$49,Setup!$B$35)),SUMPRODUCT(COUNTIF('2029'!$C$49:$Z$49,Setup!$B$35)),SUMPRODUCT(COUNTIF('2030'!$C$49:$Z$49,Setup!$B$35))))</f>
        <v/>
      </c>
      <c r="D84" s="137">
        <f>IF($B84="","",CHOOSE(IFERROR(MATCH($C$4,Setup!$K$33:$K$36,0),1),SUMPRODUCT(COUNTIF('2027'!$C$99:$Z$99,Setup!$B$35)),SUMPRODUCT(COUNTIF('2028'!$C$99:$Z$99,Setup!$B$35)),SUMPRODUCT(COUNTIF('2029'!$C$99:$Z$99,Setup!$B$35)),SUMPRODUCT(COUNTIF('2030'!$C$99:$Z$99,Setup!$B$35))))</f>
        <v/>
      </c>
      <c r="E84" s="137">
        <f>IF($B84="","",CHOOSE(IFERROR(MATCH($C$4,Setup!$K$33:$K$36,0),1),SUMPRODUCT(COUNTIF('2027'!$C$149:$Z$149,Setup!$B$35)),SUMPRODUCT(COUNTIF('2028'!$C$149:$Z$149,Setup!$B$35)),SUMPRODUCT(COUNTIF('2029'!$C$149:$Z$149,Setup!$B$35)),SUMPRODUCT(COUNTIF('2030'!$C$149:$Z$149,Setup!$B$35))))</f>
        <v/>
      </c>
      <c r="F84" s="137">
        <f>IF($B84="","",CHOOSE(IFERROR(MATCH($C$4,Setup!$K$33:$K$36,0),1),SUMPRODUCT(COUNTIF('2027'!$C$199:$Z$199,Setup!$B$35)),SUMPRODUCT(COUNTIF('2028'!$C$199:$Z$199,Setup!$B$35)),SUMPRODUCT(COUNTIF('2029'!$C$199:$Z$199,Setup!$B$35)),SUMPRODUCT(COUNTIF('2030'!$C$199:$Z$199,Setup!$B$35))))</f>
        <v/>
      </c>
      <c r="G84" s="137">
        <f>IF($B84="","",CHOOSE(IFERROR(MATCH($C$4,Setup!$K$33:$K$36,0),1),SUMPRODUCT(COUNTIF('2027'!$C$249:$Z$249,Setup!$B$35)),SUMPRODUCT(COUNTIF('2028'!$C$249:$Z$249,Setup!$B$35)),SUMPRODUCT(COUNTIF('2029'!$C$249:$Z$249,Setup!$B$35)),SUMPRODUCT(COUNTIF('2030'!$C$249:$Z$249,Setup!$B$35))))</f>
        <v/>
      </c>
      <c r="H84" s="137">
        <f>IF($B84="","",CHOOSE(IFERROR(MATCH($C$4,Setup!$K$33:$K$36,0),1),SUMPRODUCT(COUNTIF('2027'!$C$299:$Z$299,Setup!$B$35)),SUMPRODUCT(COUNTIF('2028'!$C$299:$Z$299,Setup!$B$35)),SUMPRODUCT(COUNTIF('2029'!$C$299:$Z$299,Setup!$B$35)),SUMPRODUCT(COUNTIF('2030'!$C$299:$Z$299,Setup!$B$35))))</f>
        <v/>
      </c>
      <c r="I84" s="137">
        <f>IF($B84="","",CHOOSE(IFERROR(MATCH($C$4,Setup!$K$33:$K$36,0),1),SUMPRODUCT(COUNTIF('2027'!$C$349:$Z$349,Setup!$B$35)),SUMPRODUCT(COUNTIF('2028'!$C$349:$Z$349,Setup!$B$35)),SUMPRODUCT(COUNTIF('2029'!$C$349:$Z$349,Setup!$B$35)),SUMPRODUCT(COUNTIF('2030'!$C$349:$Z$349,Setup!$B$35))))</f>
        <v/>
      </c>
      <c r="J84" s="137">
        <f>IF($B84="","",CHOOSE(IFERROR(MATCH($C$4,Setup!$K$33:$K$36,0),1),SUMPRODUCT(COUNTIF('2027'!$C$399:$Z$399,Setup!$B$35)),SUMPRODUCT(COUNTIF('2028'!$C$399:$Z$399,Setup!$B$35)),SUMPRODUCT(COUNTIF('2029'!$C$399:$Z$399,Setup!$B$35)),SUMPRODUCT(COUNTIF('2030'!$C$399:$Z$399,Setup!$B$35))))</f>
        <v/>
      </c>
      <c r="K84" s="137">
        <f>IF($B84="","",CHOOSE(IFERROR(MATCH($C$4,Setup!$K$33:$K$36,0),1),SUMPRODUCT(COUNTIF('2027'!$C$449:$Z$449,Setup!$B$35)),SUMPRODUCT(COUNTIF('2028'!$C$449:$Z$449,Setup!$B$35)),SUMPRODUCT(COUNTIF('2029'!$C$449:$Z$449,Setup!$B$35)),SUMPRODUCT(COUNTIF('2030'!$C$449:$Z$449,Setup!$B$35))))</f>
        <v/>
      </c>
      <c r="L84" s="137">
        <f>IF($B84="","",CHOOSE(IFERROR(MATCH($C$4,Setup!$K$33:$K$36,0),1),SUMPRODUCT(COUNTIF('2027'!$C$499:$Z$499,Setup!$B$35)),SUMPRODUCT(COUNTIF('2028'!$C$499:$Z$499,Setup!$B$35)),SUMPRODUCT(COUNTIF('2029'!$C$499:$Z$499,Setup!$B$35)),SUMPRODUCT(COUNTIF('2030'!$C$499:$Z$499,Setup!$B$35))))</f>
        <v/>
      </c>
      <c r="M84" s="137">
        <f>IF($B84="","",CHOOSE(IFERROR(MATCH($C$4,Setup!$K$33:$K$36,0),1),SUMPRODUCT(COUNTIF('2027'!$C$549:$Z$549,Setup!$B$35)),SUMPRODUCT(COUNTIF('2028'!$C$549:$Z$549,Setup!$B$35)),SUMPRODUCT(COUNTIF('2029'!$C$549:$Z$549,Setup!$B$35)),SUMPRODUCT(COUNTIF('2030'!$C$549:$Z$549,Setup!$B$35))))</f>
        <v/>
      </c>
      <c r="N84" s="137">
        <f>IF($B84="","",CHOOSE(IFERROR(MATCH($C$4,Setup!$K$33:$K$36,0),1),SUMPRODUCT(COUNTIF('2027'!$C$599:$Z$599,Setup!$B$35)),SUMPRODUCT(COUNTIF('2028'!$C$599:$Z$599,Setup!$B$35)),SUMPRODUCT(COUNTIF('2029'!$C$599:$Z$599,Setup!$B$35)),SUMPRODUCT(COUNTIF('2030'!$C$599:$Z$599,Setup!$B$35))))</f>
        <v/>
      </c>
      <c r="O84" s="137">
        <f>IF($B84="","",CHOOSE(IFERROR(MATCH($C$4,Setup!$K$33:$K$36,0),1),SUMPRODUCT(COUNTIF('2027'!$C$649:$Z$649,Setup!$B$35)),SUMPRODUCT(COUNTIF('2028'!$C$649:$Z$649,Setup!$B$35)),SUMPRODUCT(COUNTIF('2029'!$C$649:$Z$649,Setup!$B$35)),SUMPRODUCT(COUNTIF('2030'!$C$649:$Z$649,Setup!$B$35))))</f>
        <v/>
      </c>
      <c r="P84" s="137">
        <f>IF($B84="","",CHOOSE(IFERROR(MATCH($C$4,Setup!$K$33:$K$36,0),1),SUMPRODUCT(COUNTIF('2027'!$C$699:$Z$699,Setup!$B$35)),SUMPRODUCT(COUNTIF('2028'!$C$699:$Z$699,Setup!$B$35)),SUMPRODUCT(COUNTIF('2029'!$C$699:$Z$699,Setup!$B$35)),SUMPRODUCT(COUNTIF('2030'!$C$699:$Z$699,Setup!$B$35))))</f>
        <v/>
      </c>
      <c r="Q84" s="137">
        <f>IF($B84="","",CHOOSE(IFERROR(MATCH($C$4,Setup!$K$33:$K$36,0),1),SUMPRODUCT(COUNTIF('2027'!$C$749:$Z$749,Setup!$B$35)),SUMPRODUCT(COUNTIF('2028'!$C$749:$Z$749,Setup!$B$35)),SUMPRODUCT(COUNTIF('2029'!$C$749:$Z$749,Setup!$B$35)),SUMPRODUCT(COUNTIF('2030'!$C$749:$Z$749,Setup!$B$35))))</f>
        <v/>
      </c>
      <c r="R84" s="137">
        <f>IF($B84="","",CHOOSE(IFERROR(MATCH($C$4,Setup!$K$33:$K$36,0),1),SUMPRODUCT(COUNTIF('2027'!$C$799:$Z$799,Setup!$B$35)),SUMPRODUCT(COUNTIF('2028'!$C$799:$Z$799,Setup!$B$35)),SUMPRODUCT(COUNTIF('2029'!$C$799:$Z$799,Setup!$B$35)),SUMPRODUCT(COUNTIF('2030'!$C$799:$Z$799,Setup!$B$35))))</f>
        <v/>
      </c>
      <c r="S84" s="137">
        <f>IF($B84="","",CHOOSE(IFERROR(MATCH($C$4,Setup!$K$33:$K$36,0),1),SUMPRODUCT(COUNTIF('2027'!$C$849:$Z$849,Setup!$B$35)),SUMPRODUCT(COUNTIF('2028'!$C$849:$Z$849,Setup!$B$35)),SUMPRODUCT(COUNTIF('2029'!$C$849:$Z$849,Setup!$B$35)),SUMPRODUCT(COUNTIF('2030'!$C$849:$Z$849,Setup!$B$35))))</f>
        <v/>
      </c>
      <c r="T84" s="137">
        <f>IF($B84="","",CHOOSE(IFERROR(MATCH($C$4,Setup!$K$33:$K$36,0),1),SUMPRODUCT(COUNTIF('2027'!$C$899:$Z$899,Setup!$B$35)),SUMPRODUCT(COUNTIF('2028'!$C$899:$Z$899,Setup!$B$35)),SUMPRODUCT(COUNTIF('2029'!$C$899:$Z$899,Setup!$B$35)),SUMPRODUCT(COUNTIF('2030'!$C$899:$Z$899,Setup!$B$35))))</f>
        <v/>
      </c>
      <c r="U84" s="137">
        <f>IF($B84="","",CHOOSE(IFERROR(MATCH($C$4,Setup!$K$33:$K$36,0),1),SUMPRODUCT(COUNTIF('2027'!$C$949:$Z$949,Setup!$B$35)),SUMPRODUCT(COUNTIF('2028'!$C$949:$Z$949,Setup!$B$35)),SUMPRODUCT(COUNTIF('2029'!$C$949:$Z$949,Setup!$B$35)),SUMPRODUCT(COUNTIF('2030'!$C$949:$Z$949,Setup!$B$35))))</f>
        <v/>
      </c>
      <c r="V84" s="137">
        <f>IF($B84="","",CHOOSE(IFERROR(MATCH($C$4,Setup!$K$33:$K$36,0),1),SUMPRODUCT(COUNTIF('2027'!$C$999:$Z$999,Setup!$B$35)),SUMPRODUCT(COUNTIF('2028'!$C$999:$Z$999,Setup!$B$35)),SUMPRODUCT(COUNTIF('2029'!$C$999:$Z$999,Setup!$B$35)),SUMPRODUCT(COUNTIF('2030'!$C$999:$Z$999,Setup!$B$35))))</f>
        <v/>
      </c>
      <c r="W84" s="137">
        <f>IF($B84="","",CHOOSE(IFERROR(MATCH($C$4,Setup!$K$33:$K$36,0),1),SUMPRODUCT(COUNTIF('2027'!$C$1049:$Z$1049,Setup!$B$35)),SUMPRODUCT(COUNTIF('2028'!$C$1049:$Z$1049,Setup!$B$35)),SUMPRODUCT(COUNTIF('2029'!$C$1049:$Z$1049,Setup!$B$35)),SUMPRODUCT(COUNTIF('2030'!$C$1049:$Z$1049,Setup!$B$35))))</f>
        <v/>
      </c>
      <c r="X84" s="137">
        <f>IF($B84="","",CHOOSE(IFERROR(MATCH($C$4,Setup!$K$33:$K$36,0),1),SUMPRODUCT(COUNTIF('2027'!$C$1099:$Z$1099,Setup!$B$35)),SUMPRODUCT(COUNTIF('2028'!$C$1099:$Z$1099,Setup!$B$35)),SUMPRODUCT(COUNTIF('2029'!$C$1099:$Z$1099,Setup!$B$35)),SUMPRODUCT(COUNTIF('2030'!$C$1099:$Z$1099,Setup!$B$35))))</f>
        <v/>
      </c>
      <c r="Y84" s="137">
        <f>IF($B84="","",CHOOSE(IFERROR(MATCH($C$4,Setup!$K$33:$K$36,0),1),SUMPRODUCT(COUNTIF('2027'!$C$1149:$Z$1149,Setup!$B$35)),SUMPRODUCT(COUNTIF('2028'!$C$1149:$Z$1149,Setup!$B$35)),SUMPRODUCT(COUNTIF('2029'!$C$1149:$Z$1149,Setup!$B$35)),SUMPRODUCT(COUNTIF('2030'!$C$1149:$Z$1149,Setup!$B$35))))</f>
        <v/>
      </c>
      <c r="Z84" s="137">
        <f>IF($B84="","",CHOOSE(IFERROR(MATCH($C$4,Setup!$K$33:$K$36,0),1),SUMPRODUCT(COUNTIF('2027'!$C$1199:$Z$1199,Setup!$B$35)),SUMPRODUCT(COUNTIF('2028'!$C$1199:$Z$1199,Setup!$B$35)),SUMPRODUCT(COUNTIF('2029'!$C$1199:$Z$1199,Setup!$B$35)),SUMPRODUCT(COUNTIF('2030'!$C$1199:$Z$1199,Setup!$B$35))))</f>
        <v/>
      </c>
      <c r="AA84" s="137">
        <f>IF($B84="","",CHOOSE(IFERROR(MATCH($C$4,Setup!$K$33:$K$36,0),1),SUMPRODUCT(COUNTIF('2027'!$C$1249:$Z$1249,Setup!$B$35)),SUMPRODUCT(COUNTIF('2028'!$C$1249:$Z$1249,Setup!$B$35)),SUMPRODUCT(COUNTIF('2029'!$C$1249:$Z$1249,Setup!$B$35)),SUMPRODUCT(COUNTIF('2030'!$C$1249:$Z$1249,Setup!$B$35))))</f>
        <v/>
      </c>
      <c r="AB84" s="137">
        <f>IF($B84="","",CHOOSE(IFERROR(MATCH($C$4,Setup!$K$33:$K$36,0),1),SUMPRODUCT(COUNTIF('2027'!$C$1299:$Z$1299,Setup!$B$35)),SUMPRODUCT(COUNTIF('2028'!$C$1299:$Z$1299,Setup!$B$35)),SUMPRODUCT(COUNTIF('2029'!$C$1299:$Z$1299,Setup!$B$35)),SUMPRODUCT(COUNTIF('2030'!$C$1299:$Z$1299,Setup!$B$35))))</f>
        <v/>
      </c>
      <c r="AC84" s="137">
        <f>IF($B84="","",CHOOSE(IFERROR(MATCH($C$4,Setup!$K$33:$K$36,0),1),SUMPRODUCT(COUNTIF('2027'!$C$1349:$Z$1349,Setup!$B$35)),SUMPRODUCT(COUNTIF('2028'!$C$1349:$Z$1349,Setup!$B$35)),SUMPRODUCT(COUNTIF('2029'!$C$1349:$Z$1349,Setup!$B$35)),SUMPRODUCT(COUNTIF('2030'!$C$1349:$Z$1349,Setup!$B$35))))</f>
        <v/>
      </c>
      <c r="AD84" s="137">
        <f>IF($B84="","",CHOOSE(IFERROR(MATCH($C$4,Setup!$K$33:$K$36,0),1),SUMPRODUCT(COUNTIF('2027'!$C$1399:$Z$1399,Setup!$B$35)),SUMPRODUCT(COUNTIF('2028'!$C$1399:$Z$1399,Setup!$B$35)),SUMPRODUCT(COUNTIF('2029'!$C$1399:$Z$1399,Setup!$B$35)),SUMPRODUCT(COUNTIF('2030'!$C$1399:$Z$1399,Setup!$B$35))))</f>
        <v/>
      </c>
      <c r="AE84" s="137">
        <f>IF($B84="","",CHOOSE(IFERROR(MATCH($C$4,Setup!$K$33:$K$36,0),1),SUMPRODUCT(COUNTIF('2027'!$C$1449:$Z$1449,Setup!$B$35)),SUMPRODUCT(COUNTIF('2028'!$C$1449:$Z$1449,Setup!$B$35)),SUMPRODUCT(COUNTIF('2029'!$C$1449:$Z$1449,Setup!$B$35)),SUMPRODUCT(COUNTIF('2030'!$C$1449:$Z$1449,Setup!$B$35))))</f>
        <v/>
      </c>
      <c r="AF84" s="137">
        <f>IF($B84="","",CHOOSE(IFERROR(MATCH($C$4,Setup!$K$33:$K$36,0),1),SUMPRODUCT(COUNTIF('2027'!$C$1499:$Z$1499,Setup!$B$35)),SUMPRODUCT(COUNTIF('2028'!$C$1499:$Z$1499,Setup!$B$35)),SUMPRODUCT(COUNTIF('2029'!$C$1499:$Z$1499,Setup!$B$35)),SUMPRODUCT(COUNTIF('2030'!$C$1499:$Z$1499,Setup!$B$35))))</f>
        <v/>
      </c>
      <c r="AG84" s="137">
        <f>IF($B84="","",CHOOSE(IFERROR(MATCH($C$4,Setup!$K$33:$K$36,0),1),SUMPRODUCT(COUNTIF('2027'!$C$1549:$Z$1549,Setup!$B$35)),SUMPRODUCT(COUNTIF('2028'!$C$1549:$Z$1549,Setup!$B$35)),SUMPRODUCT(COUNTIF('2029'!$C$1549:$Z$1549,Setup!$B$35)),SUMPRODUCT(COUNTIF('2030'!$C$1549:$Z$1549,Setup!$B$35))))</f>
        <v/>
      </c>
      <c r="AH84" s="137">
        <f>IF($B84="","",CHOOSE(IFERROR(MATCH($C$4,Setup!$K$33:$K$36,0),1),SUMPRODUCT(COUNTIF('2027'!$C$1599:$Z$1599,Setup!$B$35)),SUMPRODUCT(COUNTIF('2028'!$C$1599:$Z$1599,Setup!$B$35)),SUMPRODUCT(COUNTIF('2029'!$C$1599:$Z$1599,Setup!$B$35)),SUMPRODUCT(COUNTIF('2030'!$C$1599:$Z$1599,Setup!$B$35))))</f>
        <v/>
      </c>
      <c r="AI84" s="137">
        <f>IF($B84="","",CHOOSE(IFERROR(MATCH($C$4,Setup!$K$33:$K$36,0),1),SUMPRODUCT(COUNTIF('2027'!$C$1649:$Z$1649,Setup!$B$35)),SUMPRODUCT(COUNTIF('2028'!$C$1649:$Z$1649,Setup!$B$35)),SUMPRODUCT(COUNTIF('2029'!$C$1649:$Z$1649,Setup!$B$35)),SUMPRODUCT(COUNTIF('2030'!$C$1649:$Z$1649,Setup!$B$35))))</f>
        <v/>
      </c>
      <c r="AJ84" s="137">
        <f>IF($B84="","",CHOOSE(IFERROR(MATCH($C$4,Setup!$K$33:$K$36,0),1),SUMPRODUCT(COUNTIF('2027'!$C$1699:$Z$1699,Setup!$B$35)),SUMPRODUCT(COUNTIF('2028'!$C$1699:$Z$1699,Setup!$B$35)),SUMPRODUCT(COUNTIF('2029'!$C$1699:$Z$1699,Setup!$B$35)),SUMPRODUCT(COUNTIF('2030'!$C$1699:$Z$1699,Setup!$B$35))))</f>
        <v/>
      </c>
      <c r="AK84" s="137">
        <f>IF($B84="","",CHOOSE(IFERROR(MATCH($C$4,Setup!$K$33:$K$36,0),1),SUMPRODUCT(COUNTIF('2027'!$C$1749:$Z$1749,Setup!$B$35)),SUMPRODUCT(COUNTIF('2028'!$C$1749:$Z$1749,Setup!$B$35)),SUMPRODUCT(COUNTIF('2029'!$C$1749:$Z$1749,Setup!$B$35)),SUMPRODUCT(COUNTIF('2030'!$C$1749:$Z$1749,Setup!$B$35))))</f>
        <v/>
      </c>
      <c r="AL84" s="137">
        <f>IF($B84="","",CHOOSE(IFERROR(MATCH($C$4,Setup!$K$33:$K$36,0),1),SUMPRODUCT(COUNTIF('2027'!$C$1799:$Z$1799,Setup!$B$35)),SUMPRODUCT(COUNTIF('2028'!$C$1799:$Z$1799,Setup!$B$35)),SUMPRODUCT(COUNTIF('2029'!$C$1799:$Z$1799,Setup!$B$35)),SUMPRODUCT(COUNTIF('2030'!$C$1799:$Z$1799,Setup!$B$35))))</f>
        <v/>
      </c>
      <c r="AM84" s="137">
        <f>IF($B84="","",CHOOSE(IFERROR(MATCH($C$4,Setup!$K$33:$K$36,0),1),SUMPRODUCT(COUNTIF('2027'!$C$1849:$Z$1849,Setup!$B$35)),SUMPRODUCT(COUNTIF('2028'!$C$1849:$Z$1849,Setup!$B$35)),SUMPRODUCT(COUNTIF('2029'!$C$1849:$Z$1849,Setup!$B$35)),SUMPRODUCT(COUNTIF('2030'!$C$1849:$Z$1849,Setup!$B$35))))</f>
        <v/>
      </c>
      <c r="AN84" s="137">
        <f>IF($B84="","",CHOOSE(IFERROR(MATCH($C$4,Setup!$K$33:$K$36,0),1),SUMPRODUCT(COUNTIF('2027'!$C$1899:$Z$1899,Setup!$B$35)),SUMPRODUCT(COUNTIF('2028'!$C$1899:$Z$1899,Setup!$B$35)),SUMPRODUCT(COUNTIF('2029'!$C$1899:$Z$1899,Setup!$B$35)),SUMPRODUCT(COUNTIF('2030'!$C$1899:$Z$1899,Setup!$B$35))))</f>
        <v/>
      </c>
      <c r="AO84" s="137">
        <f>IF($B84="","",CHOOSE(IFERROR(MATCH($C$4,Setup!$K$33:$K$36,0),1),SUMPRODUCT(COUNTIF('2027'!$C$1949:$Z$1949,Setup!$B$35)),SUMPRODUCT(COUNTIF('2028'!$C$1949:$Z$1949,Setup!$B$35)),SUMPRODUCT(COUNTIF('2029'!$C$1949:$Z$1949,Setup!$B$35)),SUMPRODUCT(COUNTIF('2030'!$C$1949:$Z$1949,Setup!$B$35))))</f>
        <v/>
      </c>
      <c r="AP84" s="137">
        <f>IF($B84="","",CHOOSE(IFERROR(MATCH($C$4,Setup!$K$33:$K$36,0),1),SUMPRODUCT(COUNTIF('2027'!$C$1999:$Z$1999,Setup!$B$35)),SUMPRODUCT(COUNTIF('2028'!$C$1999:$Z$1999,Setup!$B$35)),SUMPRODUCT(COUNTIF('2029'!$C$1999:$Z$1999,Setup!$B$35)),SUMPRODUCT(COUNTIF('2030'!$C$1999:$Z$1999,Setup!$B$35))))</f>
        <v/>
      </c>
      <c r="AQ84" s="137">
        <f>IF($B84="","",CHOOSE(IFERROR(MATCH($C$4,Setup!$K$33:$K$36,0),1),SUMPRODUCT(COUNTIF('2027'!$C$2049:$Z$2049,Setup!$B$35)),SUMPRODUCT(COUNTIF('2028'!$C$2049:$Z$2049,Setup!$B$35)),SUMPRODUCT(COUNTIF('2029'!$C$2049:$Z$2049,Setup!$B$35)),SUMPRODUCT(COUNTIF('2030'!$C$2049:$Z$2049,Setup!$B$35))))</f>
        <v/>
      </c>
      <c r="AR84" s="137">
        <f>IF($B84="","",CHOOSE(IFERROR(MATCH($C$4,Setup!$K$33:$K$36,0),1),SUMPRODUCT(COUNTIF('2027'!$C$2099:$Z$2099,Setup!$B$35)),SUMPRODUCT(COUNTIF('2028'!$C$2099:$Z$2099,Setup!$B$35)),SUMPRODUCT(COUNTIF('2029'!$C$2099:$Z$2099,Setup!$B$35)),SUMPRODUCT(COUNTIF('2030'!$C$2099:$Z$2099,Setup!$B$35))))</f>
        <v/>
      </c>
      <c r="AS84" s="137">
        <f>IF($B84="","",CHOOSE(IFERROR(MATCH($C$4,Setup!$K$33:$K$36,0),1),SUMPRODUCT(COUNTIF('2027'!$C$2149:$Z$2149,Setup!$B$35)),SUMPRODUCT(COUNTIF('2028'!$C$2149:$Z$2149,Setup!$B$35)),SUMPRODUCT(COUNTIF('2029'!$C$2149:$Z$2149,Setup!$B$35)),SUMPRODUCT(COUNTIF('2030'!$C$2149:$Z$2149,Setup!$B$35))))</f>
        <v/>
      </c>
      <c r="AT84" s="137">
        <f>IF($B84="","",CHOOSE(IFERROR(MATCH($C$4,Setup!$K$33:$K$36,0),1),SUMPRODUCT(COUNTIF('2027'!$C$2199:$Z$2199,Setup!$B$35)),SUMPRODUCT(COUNTIF('2028'!$C$2199:$Z$2199,Setup!$B$35)),SUMPRODUCT(COUNTIF('2029'!$C$2199:$Z$2199,Setup!$B$35)),SUMPRODUCT(COUNTIF('2030'!$C$2199:$Z$2199,Setup!$B$35))))</f>
        <v/>
      </c>
      <c r="AU84" s="137">
        <f>IF($B84="","",CHOOSE(IFERROR(MATCH($C$4,Setup!$K$33:$K$36,0),1),SUMPRODUCT(COUNTIF('2027'!$C$2249:$Z$2249,Setup!$B$35)),SUMPRODUCT(COUNTIF('2028'!$C$2249:$Z$2249,Setup!$B$35)),SUMPRODUCT(COUNTIF('2029'!$C$2249:$Z$2249,Setup!$B$35)),SUMPRODUCT(COUNTIF('2030'!$C$2249:$Z$2249,Setup!$B$35))))</f>
        <v/>
      </c>
      <c r="AV84" s="137">
        <f>IF($B84="","",CHOOSE(IFERROR(MATCH($C$4,Setup!$K$33:$K$36,0),1),SUMPRODUCT(COUNTIF('2027'!$C$2299:$Z$2299,Setup!$B$35)),SUMPRODUCT(COUNTIF('2028'!$C$2299:$Z$2299,Setup!$B$35)),SUMPRODUCT(COUNTIF('2029'!$C$2299:$Z$2299,Setup!$B$35)),SUMPRODUCT(COUNTIF('2030'!$C$2299:$Z$2299,Setup!$B$35))))</f>
        <v/>
      </c>
      <c r="AW84" s="137">
        <f>IF($B84="","",CHOOSE(IFERROR(MATCH($C$4,Setup!$K$33:$K$36,0),1),SUMPRODUCT(COUNTIF('2027'!$C$2349:$Z$2349,Setup!$B$35)),SUMPRODUCT(COUNTIF('2028'!$C$2349:$Z$2349,Setup!$B$35)),SUMPRODUCT(COUNTIF('2029'!$C$2349:$Z$2349,Setup!$B$35)),SUMPRODUCT(COUNTIF('2030'!$C$2349:$Z$2349,Setup!$B$35))))</f>
        <v/>
      </c>
      <c r="AX84" s="137">
        <f>IF($B84="","",CHOOSE(IFERROR(MATCH($C$4,Setup!$K$33:$K$36,0),1),SUMPRODUCT(COUNTIF('2027'!$C$2399:$Z$2399,Setup!$B$35)),SUMPRODUCT(COUNTIF('2028'!$C$2399:$Z$2399,Setup!$B$35)),SUMPRODUCT(COUNTIF('2029'!$C$2399:$Z$2399,Setup!$B$35)),SUMPRODUCT(COUNTIF('2030'!$C$2399:$Z$2399,Setup!$B$35))))</f>
        <v/>
      </c>
      <c r="AY84" s="137">
        <f>IF($B84="","",CHOOSE(IFERROR(MATCH($C$4,Setup!$K$33:$K$36,0),1),SUMPRODUCT(COUNTIF('2027'!$C$2449:$Z$2449,Setup!$B$35)),SUMPRODUCT(COUNTIF('2028'!$C$2449:$Z$2449,Setup!$B$35)),SUMPRODUCT(COUNTIF('2029'!$C$2449:$Z$2449,Setup!$B$35)),SUMPRODUCT(COUNTIF('2030'!$C$2449:$Z$2449,Setup!$B$35))))</f>
        <v/>
      </c>
      <c r="AZ84" s="137">
        <f>IF($B84="","",CHOOSE(IFERROR(MATCH($C$4,Setup!$K$33:$K$36,0),1),SUMPRODUCT(COUNTIF('2027'!$C$2499:$Z$2499,Setup!$B$35)),SUMPRODUCT(COUNTIF('2028'!$C$2499:$Z$2499,Setup!$B$35)),SUMPRODUCT(COUNTIF('2029'!$C$2499:$Z$2499,Setup!$B$35)),SUMPRODUCT(COUNTIF('2030'!$C$2499:$Z$2499,Setup!$B$35))))</f>
        <v/>
      </c>
      <c r="BA84" s="137">
        <f>IF($B84="","",CHOOSE(IFERROR(MATCH($C$4,Setup!$K$33:$K$36,0),1),SUMPRODUCT(COUNTIF('2027'!$C$2549:$Z$2549,Setup!$B$35)),SUMPRODUCT(COUNTIF('2028'!$C$2549:$Z$2549,Setup!$B$35)),SUMPRODUCT(COUNTIF('2029'!$C$2549:$Z$2549,Setup!$B$35)),SUMPRODUCT(COUNTIF('2030'!$C$2549:$Z$2549,Setup!$B$35))))</f>
        <v/>
      </c>
      <c r="BB84" s="137">
        <f>IF($B84="","",CHOOSE(IFERROR(MATCH($C$4,Setup!$K$33:$K$36,0),1),SUMPRODUCT(COUNTIF('2027'!$C$2599:$Z$2599,Setup!$B$35)),SUMPRODUCT(COUNTIF('2028'!$C$2599:$Z$2599,Setup!$B$35)),SUMPRODUCT(COUNTIF('2029'!$C$2599:$Z$2599,Setup!$B$35)),SUMPRODUCT(COUNTIF('2030'!$C$2599:$Z$2599,Setup!$B$35))))</f>
        <v/>
      </c>
      <c r="BC84" s="137">
        <f>IF($B84="","",CHOOSE(IFERROR(MATCH($C$4,Setup!$K$33:$K$36,0),1),SUMPRODUCT(COUNTIF('2027'!$C$2649:$Z$2649,Setup!$B$35)),SUMPRODUCT(COUNTIF('2028'!$C$2649:$Z$2649,Setup!$B$35)),SUMPRODUCT(COUNTIF('2029'!$C$2649:$Z$2649,Setup!$B$35)),SUMPRODUCT(COUNTIF('2030'!$C$2649:$Z$2649,Setup!$B$35))))</f>
        <v/>
      </c>
      <c r="BE84" s="129">
        <f>IF($B84="","",SUM(C84:BC84))</f>
        <v/>
      </c>
      <c r="BF84" s="130">
        <f>IF($B84="","",COUNTIF(C84:BC84,"&gt;0"))</f>
        <v/>
      </c>
      <c r="BG84" s="130">
        <f>IF(OR($B84="",N(BE84)=0),"",MATCH(MAX(C84:BC84),C84:BC84,0))</f>
        <v/>
      </c>
    </row>
    <row r="85" ht="15" customHeight="1">
      <c r="B85" s="136">
        <f>IF(Setup!$B$29="","",Setup!$B$29)</f>
        <v/>
      </c>
      <c r="C85" s="137">
        <f>IF($B85="","",CHOOSE(IFERROR(MATCH($C$4,Setup!$K$33:$K$36,0),1),SUMPRODUCT(COUNTIF('2027'!$C$50:$Z$50,Setup!$B$35)),SUMPRODUCT(COUNTIF('2028'!$C$50:$Z$50,Setup!$B$35)),SUMPRODUCT(COUNTIF('2029'!$C$50:$Z$50,Setup!$B$35)),SUMPRODUCT(COUNTIF('2030'!$C$50:$Z$50,Setup!$B$35))))</f>
        <v/>
      </c>
      <c r="D85" s="137">
        <f>IF($B85="","",CHOOSE(IFERROR(MATCH($C$4,Setup!$K$33:$K$36,0),1),SUMPRODUCT(COUNTIF('2027'!$C$100:$Z$100,Setup!$B$35)),SUMPRODUCT(COUNTIF('2028'!$C$100:$Z$100,Setup!$B$35)),SUMPRODUCT(COUNTIF('2029'!$C$100:$Z$100,Setup!$B$35)),SUMPRODUCT(COUNTIF('2030'!$C$100:$Z$100,Setup!$B$35))))</f>
        <v/>
      </c>
      <c r="E85" s="137">
        <f>IF($B85="","",CHOOSE(IFERROR(MATCH($C$4,Setup!$K$33:$K$36,0),1),SUMPRODUCT(COUNTIF('2027'!$C$150:$Z$150,Setup!$B$35)),SUMPRODUCT(COUNTIF('2028'!$C$150:$Z$150,Setup!$B$35)),SUMPRODUCT(COUNTIF('2029'!$C$150:$Z$150,Setup!$B$35)),SUMPRODUCT(COUNTIF('2030'!$C$150:$Z$150,Setup!$B$35))))</f>
        <v/>
      </c>
      <c r="F85" s="137">
        <f>IF($B85="","",CHOOSE(IFERROR(MATCH($C$4,Setup!$K$33:$K$36,0),1),SUMPRODUCT(COUNTIF('2027'!$C$200:$Z$200,Setup!$B$35)),SUMPRODUCT(COUNTIF('2028'!$C$200:$Z$200,Setup!$B$35)),SUMPRODUCT(COUNTIF('2029'!$C$200:$Z$200,Setup!$B$35)),SUMPRODUCT(COUNTIF('2030'!$C$200:$Z$200,Setup!$B$35))))</f>
        <v/>
      </c>
      <c r="G85" s="137">
        <f>IF($B85="","",CHOOSE(IFERROR(MATCH($C$4,Setup!$K$33:$K$36,0),1),SUMPRODUCT(COUNTIF('2027'!$C$250:$Z$250,Setup!$B$35)),SUMPRODUCT(COUNTIF('2028'!$C$250:$Z$250,Setup!$B$35)),SUMPRODUCT(COUNTIF('2029'!$C$250:$Z$250,Setup!$B$35)),SUMPRODUCT(COUNTIF('2030'!$C$250:$Z$250,Setup!$B$35))))</f>
        <v/>
      </c>
      <c r="H85" s="137">
        <f>IF($B85="","",CHOOSE(IFERROR(MATCH($C$4,Setup!$K$33:$K$36,0),1),SUMPRODUCT(COUNTIF('2027'!$C$300:$Z$300,Setup!$B$35)),SUMPRODUCT(COUNTIF('2028'!$C$300:$Z$300,Setup!$B$35)),SUMPRODUCT(COUNTIF('2029'!$C$300:$Z$300,Setup!$B$35)),SUMPRODUCT(COUNTIF('2030'!$C$300:$Z$300,Setup!$B$35))))</f>
        <v/>
      </c>
      <c r="I85" s="137">
        <f>IF($B85="","",CHOOSE(IFERROR(MATCH($C$4,Setup!$K$33:$K$36,0),1),SUMPRODUCT(COUNTIF('2027'!$C$350:$Z$350,Setup!$B$35)),SUMPRODUCT(COUNTIF('2028'!$C$350:$Z$350,Setup!$B$35)),SUMPRODUCT(COUNTIF('2029'!$C$350:$Z$350,Setup!$B$35)),SUMPRODUCT(COUNTIF('2030'!$C$350:$Z$350,Setup!$B$35))))</f>
        <v/>
      </c>
      <c r="J85" s="137">
        <f>IF($B85="","",CHOOSE(IFERROR(MATCH($C$4,Setup!$K$33:$K$36,0),1),SUMPRODUCT(COUNTIF('2027'!$C$400:$Z$400,Setup!$B$35)),SUMPRODUCT(COUNTIF('2028'!$C$400:$Z$400,Setup!$B$35)),SUMPRODUCT(COUNTIF('2029'!$C$400:$Z$400,Setup!$B$35)),SUMPRODUCT(COUNTIF('2030'!$C$400:$Z$400,Setup!$B$35))))</f>
        <v/>
      </c>
      <c r="K85" s="137">
        <f>IF($B85="","",CHOOSE(IFERROR(MATCH($C$4,Setup!$K$33:$K$36,0),1),SUMPRODUCT(COUNTIF('2027'!$C$450:$Z$450,Setup!$B$35)),SUMPRODUCT(COUNTIF('2028'!$C$450:$Z$450,Setup!$B$35)),SUMPRODUCT(COUNTIF('2029'!$C$450:$Z$450,Setup!$B$35)),SUMPRODUCT(COUNTIF('2030'!$C$450:$Z$450,Setup!$B$35))))</f>
        <v/>
      </c>
      <c r="L85" s="137">
        <f>IF($B85="","",CHOOSE(IFERROR(MATCH($C$4,Setup!$K$33:$K$36,0),1),SUMPRODUCT(COUNTIF('2027'!$C$500:$Z$500,Setup!$B$35)),SUMPRODUCT(COUNTIF('2028'!$C$500:$Z$500,Setup!$B$35)),SUMPRODUCT(COUNTIF('2029'!$C$500:$Z$500,Setup!$B$35)),SUMPRODUCT(COUNTIF('2030'!$C$500:$Z$500,Setup!$B$35))))</f>
        <v/>
      </c>
      <c r="M85" s="137">
        <f>IF($B85="","",CHOOSE(IFERROR(MATCH($C$4,Setup!$K$33:$K$36,0),1),SUMPRODUCT(COUNTIF('2027'!$C$550:$Z$550,Setup!$B$35)),SUMPRODUCT(COUNTIF('2028'!$C$550:$Z$550,Setup!$B$35)),SUMPRODUCT(COUNTIF('2029'!$C$550:$Z$550,Setup!$B$35)),SUMPRODUCT(COUNTIF('2030'!$C$550:$Z$550,Setup!$B$35))))</f>
        <v/>
      </c>
      <c r="N85" s="137">
        <f>IF($B85="","",CHOOSE(IFERROR(MATCH($C$4,Setup!$K$33:$K$36,0),1),SUMPRODUCT(COUNTIF('2027'!$C$600:$Z$600,Setup!$B$35)),SUMPRODUCT(COUNTIF('2028'!$C$600:$Z$600,Setup!$B$35)),SUMPRODUCT(COUNTIF('2029'!$C$600:$Z$600,Setup!$B$35)),SUMPRODUCT(COUNTIF('2030'!$C$600:$Z$600,Setup!$B$35))))</f>
        <v/>
      </c>
      <c r="O85" s="137">
        <f>IF($B85="","",CHOOSE(IFERROR(MATCH($C$4,Setup!$K$33:$K$36,0),1),SUMPRODUCT(COUNTIF('2027'!$C$650:$Z$650,Setup!$B$35)),SUMPRODUCT(COUNTIF('2028'!$C$650:$Z$650,Setup!$B$35)),SUMPRODUCT(COUNTIF('2029'!$C$650:$Z$650,Setup!$B$35)),SUMPRODUCT(COUNTIF('2030'!$C$650:$Z$650,Setup!$B$35))))</f>
        <v/>
      </c>
      <c r="P85" s="137">
        <f>IF($B85="","",CHOOSE(IFERROR(MATCH($C$4,Setup!$K$33:$K$36,0),1),SUMPRODUCT(COUNTIF('2027'!$C$700:$Z$700,Setup!$B$35)),SUMPRODUCT(COUNTIF('2028'!$C$700:$Z$700,Setup!$B$35)),SUMPRODUCT(COUNTIF('2029'!$C$700:$Z$700,Setup!$B$35)),SUMPRODUCT(COUNTIF('2030'!$C$700:$Z$700,Setup!$B$35))))</f>
        <v/>
      </c>
      <c r="Q85" s="137">
        <f>IF($B85="","",CHOOSE(IFERROR(MATCH($C$4,Setup!$K$33:$K$36,0),1),SUMPRODUCT(COUNTIF('2027'!$C$750:$Z$750,Setup!$B$35)),SUMPRODUCT(COUNTIF('2028'!$C$750:$Z$750,Setup!$B$35)),SUMPRODUCT(COUNTIF('2029'!$C$750:$Z$750,Setup!$B$35)),SUMPRODUCT(COUNTIF('2030'!$C$750:$Z$750,Setup!$B$35))))</f>
        <v/>
      </c>
      <c r="R85" s="137">
        <f>IF($B85="","",CHOOSE(IFERROR(MATCH($C$4,Setup!$K$33:$K$36,0),1),SUMPRODUCT(COUNTIF('2027'!$C$800:$Z$800,Setup!$B$35)),SUMPRODUCT(COUNTIF('2028'!$C$800:$Z$800,Setup!$B$35)),SUMPRODUCT(COUNTIF('2029'!$C$800:$Z$800,Setup!$B$35)),SUMPRODUCT(COUNTIF('2030'!$C$800:$Z$800,Setup!$B$35))))</f>
        <v/>
      </c>
      <c r="S85" s="137">
        <f>IF($B85="","",CHOOSE(IFERROR(MATCH($C$4,Setup!$K$33:$K$36,0),1),SUMPRODUCT(COUNTIF('2027'!$C$850:$Z$850,Setup!$B$35)),SUMPRODUCT(COUNTIF('2028'!$C$850:$Z$850,Setup!$B$35)),SUMPRODUCT(COUNTIF('2029'!$C$850:$Z$850,Setup!$B$35)),SUMPRODUCT(COUNTIF('2030'!$C$850:$Z$850,Setup!$B$35))))</f>
        <v/>
      </c>
      <c r="T85" s="137">
        <f>IF($B85="","",CHOOSE(IFERROR(MATCH($C$4,Setup!$K$33:$K$36,0),1),SUMPRODUCT(COUNTIF('2027'!$C$900:$Z$900,Setup!$B$35)),SUMPRODUCT(COUNTIF('2028'!$C$900:$Z$900,Setup!$B$35)),SUMPRODUCT(COUNTIF('2029'!$C$900:$Z$900,Setup!$B$35)),SUMPRODUCT(COUNTIF('2030'!$C$900:$Z$900,Setup!$B$35))))</f>
        <v/>
      </c>
      <c r="U85" s="137">
        <f>IF($B85="","",CHOOSE(IFERROR(MATCH($C$4,Setup!$K$33:$K$36,0),1),SUMPRODUCT(COUNTIF('2027'!$C$950:$Z$950,Setup!$B$35)),SUMPRODUCT(COUNTIF('2028'!$C$950:$Z$950,Setup!$B$35)),SUMPRODUCT(COUNTIF('2029'!$C$950:$Z$950,Setup!$B$35)),SUMPRODUCT(COUNTIF('2030'!$C$950:$Z$950,Setup!$B$35))))</f>
        <v/>
      </c>
      <c r="V85" s="137">
        <f>IF($B85="","",CHOOSE(IFERROR(MATCH($C$4,Setup!$K$33:$K$36,0),1),SUMPRODUCT(COUNTIF('2027'!$C$1000:$Z$1000,Setup!$B$35)),SUMPRODUCT(COUNTIF('2028'!$C$1000:$Z$1000,Setup!$B$35)),SUMPRODUCT(COUNTIF('2029'!$C$1000:$Z$1000,Setup!$B$35)),SUMPRODUCT(COUNTIF('2030'!$C$1000:$Z$1000,Setup!$B$35))))</f>
        <v/>
      </c>
      <c r="W85" s="137">
        <f>IF($B85="","",CHOOSE(IFERROR(MATCH($C$4,Setup!$K$33:$K$36,0),1),SUMPRODUCT(COUNTIF('2027'!$C$1050:$Z$1050,Setup!$B$35)),SUMPRODUCT(COUNTIF('2028'!$C$1050:$Z$1050,Setup!$B$35)),SUMPRODUCT(COUNTIF('2029'!$C$1050:$Z$1050,Setup!$B$35)),SUMPRODUCT(COUNTIF('2030'!$C$1050:$Z$1050,Setup!$B$35))))</f>
        <v/>
      </c>
      <c r="X85" s="137">
        <f>IF($B85="","",CHOOSE(IFERROR(MATCH($C$4,Setup!$K$33:$K$36,0),1),SUMPRODUCT(COUNTIF('2027'!$C$1100:$Z$1100,Setup!$B$35)),SUMPRODUCT(COUNTIF('2028'!$C$1100:$Z$1100,Setup!$B$35)),SUMPRODUCT(COUNTIF('2029'!$C$1100:$Z$1100,Setup!$B$35)),SUMPRODUCT(COUNTIF('2030'!$C$1100:$Z$1100,Setup!$B$35))))</f>
        <v/>
      </c>
      <c r="Y85" s="137">
        <f>IF($B85="","",CHOOSE(IFERROR(MATCH($C$4,Setup!$K$33:$K$36,0),1),SUMPRODUCT(COUNTIF('2027'!$C$1150:$Z$1150,Setup!$B$35)),SUMPRODUCT(COUNTIF('2028'!$C$1150:$Z$1150,Setup!$B$35)),SUMPRODUCT(COUNTIF('2029'!$C$1150:$Z$1150,Setup!$B$35)),SUMPRODUCT(COUNTIF('2030'!$C$1150:$Z$1150,Setup!$B$35))))</f>
        <v/>
      </c>
      <c r="Z85" s="137">
        <f>IF($B85="","",CHOOSE(IFERROR(MATCH($C$4,Setup!$K$33:$K$36,0),1),SUMPRODUCT(COUNTIF('2027'!$C$1200:$Z$1200,Setup!$B$35)),SUMPRODUCT(COUNTIF('2028'!$C$1200:$Z$1200,Setup!$B$35)),SUMPRODUCT(COUNTIF('2029'!$C$1200:$Z$1200,Setup!$B$35)),SUMPRODUCT(COUNTIF('2030'!$C$1200:$Z$1200,Setup!$B$35))))</f>
        <v/>
      </c>
      <c r="AA85" s="137">
        <f>IF($B85="","",CHOOSE(IFERROR(MATCH($C$4,Setup!$K$33:$K$36,0),1),SUMPRODUCT(COUNTIF('2027'!$C$1250:$Z$1250,Setup!$B$35)),SUMPRODUCT(COUNTIF('2028'!$C$1250:$Z$1250,Setup!$B$35)),SUMPRODUCT(COUNTIF('2029'!$C$1250:$Z$1250,Setup!$B$35)),SUMPRODUCT(COUNTIF('2030'!$C$1250:$Z$1250,Setup!$B$35))))</f>
        <v/>
      </c>
      <c r="AB85" s="137">
        <f>IF($B85="","",CHOOSE(IFERROR(MATCH($C$4,Setup!$K$33:$K$36,0),1),SUMPRODUCT(COUNTIF('2027'!$C$1300:$Z$1300,Setup!$B$35)),SUMPRODUCT(COUNTIF('2028'!$C$1300:$Z$1300,Setup!$B$35)),SUMPRODUCT(COUNTIF('2029'!$C$1300:$Z$1300,Setup!$B$35)),SUMPRODUCT(COUNTIF('2030'!$C$1300:$Z$1300,Setup!$B$35))))</f>
        <v/>
      </c>
      <c r="AC85" s="137">
        <f>IF($B85="","",CHOOSE(IFERROR(MATCH($C$4,Setup!$K$33:$K$36,0),1),SUMPRODUCT(COUNTIF('2027'!$C$1350:$Z$1350,Setup!$B$35)),SUMPRODUCT(COUNTIF('2028'!$C$1350:$Z$1350,Setup!$B$35)),SUMPRODUCT(COUNTIF('2029'!$C$1350:$Z$1350,Setup!$B$35)),SUMPRODUCT(COUNTIF('2030'!$C$1350:$Z$1350,Setup!$B$35))))</f>
        <v/>
      </c>
      <c r="AD85" s="137">
        <f>IF($B85="","",CHOOSE(IFERROR(MATCH($C$4,Setup!$K$33:$K$36,0),1),SUMPRODUCT(COUNTIF('2027'!$C$1400:$Z$1400,Setup!$B$35)),SUMPRODUCT(COUNTIF('2028'!$C$1400:$Z$1400,Setup!$B$35)),SUMPRODUCT(COUNTIF('2029'!$C$1400:$Z$1400,Setup!$B$35)),SUMPRODUCT(COUNTIF('2030'!$C$1400:$Z$1400,Setup!$B$35))))</f>
        <v/>
      </c>
      <c r="AE85" s="137">
        <f>IF($B85="","",CHOOSE(IFERROR(MATCH($C$4,Setup!$K$33:$K$36,0),1),SUMPRODUCT(COUNTIF('2027'!$C$1450:$Z$1450,Setup!$B$35)),SUMPRODUCT(COUNTIF('2028'!$C$1450:$Z$1450,Setup!$B$35)),SUMPRODUCT(COUNTIF('2029'!$C$1450:$Z$1450,Setup!$B$35)),SUMPRODUCT(COUNTIF('2030'!$C$1450:$Z$1450,Setup!$B$35))))</f>
        <v/>
      </c>
      <c r="AF85" s="137">
        <f>IF($B85="","",CHOOSE(IFERROR(MATCH($C$4,Setup!$K$33:$K$36,0),1),SUMPRODUCT(COUNTIF('2027'!$C$1500:$Z$1500,Setup!$B$35)),SUMPRODUCT(COUNTIF('2028'!$C$1500:$Z$1500,Setup!$B$35)),SUMPRODUCT(COUNTIF('2029'!$C$1500:$Z$1500,Setup!$B$35)),SUMPRODUCT(COUNTIF('2030'!$C$1500:$Z$1500,Setup!$B$35))))</f>
        <v/>
      </c>
      <c r="AG85" s="137">
        <f>IF($B85="","",CHOOSE(IFERROR(MATCH($C$4,Setup!$K$33:$K$36,0),1),SUMPRODUCT(COUNTIF('2027'!$C$1550:$Z$1550,Setup!$B$35)),SUMPRODUCT(COUNTIF('2028'!$C$1550:$Z$1550,Setup!$B$35)),SUMPRODUCT(COUNTIF('2029'!$C$1550:$Z$1550,Setup!$B$35)),SUMPRODUCT(COUNTIF('2030'!$C$1550:$Z$1550,Setup!$B$35))))</f>
        <v/>
      </c>
      <c r="AH85" s="137">
        <f>IF($B85="","",CHOOSE(IFERROR(MATCH($C$4,Setup!$K$33:$K$36,0),1),SUMPRODUCT(COUNTIF('2027'!$C$1600:$Z$1600,Setup!$B$35)),SUMPRODUCT(COUNTIF('2028'!$C$1600:$Z$1600,Setup!$B$35)),SUMPRODUCT(COUNTIF('2029'!$C$1600:$Z$1600,Setup!$B$35)),SUMPRODUCT(COUNTIF('2030'!$C$1600:$Z$1600,Setup!$B$35))))</f>
        <v/>
      </c>
      <c r="AI85" s="137">
        <f>IF($B85="","",CHOOSE(IFERROR(MATCH($C$4,Setup!$K$33:$K$36,0),1),SUMPRODUCT(COUNTIF('2027'!$C$1650:$Z$1650,Setup!$B$35)),SUMPRODUCT(COUNTIF('2028'!$C$1650:$Z$1650,Setup!$B$35)),SUMPRODUCT(COUNTIF('2029'!$C$1650:$Z$1650,Setup!$B$35)),SUMPRODUCT(COUNTIF('2030'!$C$1650:$Z$1650,Setup!$B$35))))</f>
        <v/>
      </c>
      <c r="AJ85" s="137">
        <f>IF($B85="","",CHOOSE(IFERROR(MATCH($C$4,Setup!$K$33:$K$36,0),1),SUMPRODUCT(COUNTIF('2027'!$C$1700:$Z$1700,Setup!$B$35)),SUMPRODUCT(COUNTIF('2028'!$C$1700:$Z$1700,Setup!$B$35)),SUMPRODUCT(COUNTIF('2029'!$C$1700:$Z$1700,Setup!$B$35)),SUMPRODUCT(COUNTIF('2030'!$C$1700:$Z$1700,Setup!$B$35))))</f>
        <v/>
      </c>
      <c r="AK85" s="137">
        <f>IF($B85="","",CHOOSE(IFERROR(MATCH($C$4,Setup!$K$33:$K$36,0),1),SUMPRODUCT(COUNTIF('2027'!$C$1750:$Z$1750,Setup!$B$35)),SUMPRODUCT(COUNTIF('2028'!$C$1750:$Z$1750,Setup!$B$35)),SUMPRODUCT(COUNTIF('2029'!$C$1750:$Z$1750,Setup!$B$35)),SUMPRODUCT(COUNTIF('2030'!$C$1750:$Z$1750,Setup!$B$35))))</f>
        <v/>
      </c>
      <c r="AL85" s="137">
        <f>IF($B85="","",CHOOSE(IFERROR(MATCH($C$4,Setup!$K$33:$K$36,0),1),SUMPRODUCT(COUNTIF('2027'!$C$1800:$Z$1800,Setup!$B$35)),SUMPRODUCT(COUNTIF('2028'!$C$1800:$Z$1800,Setup!$B$35)),SUMPRODUCT(COUNTIF('2029'!$C$1800:$Z$1800,Setup!$B$35)),SUMPRODUCT(COUNTIF('2030'!$C$1800:$Z$1800,Setup!$B$35))))</f>
        <v/>
      </c>
      <c r="AM85" s="137">
        <f>IF($B85="","",CHOOSE(IFERROR(MATCH($C$4,Setup!$K$33:$K$36,0),1),SUMPRODUCT(COUNTIF('2027'!$C$1850:$Z$1850,Setup!$B$35)),SUMPRODUCT(COUNTIF('2028'!$C$1850:$Z$1850,Setup!$B$35)),SUMPRODUCT(COUNTIF('2029'!$C$1850:$Z$1850,Setup!$B$35)),SUMPRODUCT(COUNTIF('2030'!$C$1850:$Z$1850,Setup!$B$35))))</f>
        <v/>
      </c>
      <c r="AN85" s="137">
        <f>IF($B85="","",CHOOSE(IFERROR(MATCH($C$4,Setup!$K$33:$K$36,0),1),SUMPRODUCT(COUNTIF('2027'!$C$1900:$Z$1900,Setup!$B$35)),SUMPRODUCT(COUNTIF('2028'!$C$1900:$Z$1900,Setup!$B$35)),SUMPRODUCT(COUNTIF('2029'!$C$1900:$Z$1900,Setup!$B$35)),SUMPRODUCT(COUNTIF('2030'!$C$1900:$Z$1900,Setup!$B$35))))</f>
        <v/>
      </c>
      <c r="AO85" s="137">
        <f>IF($B85="","",CHOOSE(IFERROR(MATCH($C$4,Setup!$K$33:$K$36,0),1),SUMPRODUCT(COUNTIF('2027'!$C$1950:$Z$1950,Setup!$B$35)),SUMPRODUCT(COUNTIF('2028'!$C$1950:$Z$1950,Setup!$B$35)),SUMPRODUCT(COUNTIF('2029'!$C$1950:$Z$1950,Setup!$B$35)),SUMPRODUCT(COUNTIF('2030'!$C$1950:$Z$1950,Setup!$B$35))))</f>
        <v/>
      </c>
      <c r="AP85" s="137">
        <f>IF($B85="","",CHOOSE(IFERROR(MATCH($C$4,Setup!$K$33:$K$36,0),1),SUMPRODUCT(COUNTIF('2027'!$C$2000:$Z$2000,Setup!$B$35)),SUMPRODUCT(COUNTIF('2028'!$C$2000:$Z$2000,Setup!$B$35)),SUMPRODUCT(COUNTIF('2029'!$C$2000:$Z$2000,Setup!$B$35)),SUMPRODUCT(COUNTIF('2030'!$C$2000:$Z$2000,Setup!$B$35))))</f>
        <v/>
      </c>
      <c r="AQ85" s="137">
        <f>IF($B85="","",CHOOSE(IFERROR(MATCH($C$4,Setup!$K$33:$K$36,0),1),SUMPRODUCT(COUNTIF('2027'!$C$2050:$Z$2050,Setup!$B$35)),SUMPRODUCT(COUNTIF('2028'!$C$2050:$Z$2050,Setup!$B$35)),SUMPRODUCT(COUNTIF('2029'!$C$2050:$Z$2050,Setup!$B$35)),SUMPRODUCT(COUNTIF('2030'!$C$2050:$Z$2050,Setup!$B$35))))</f>
        <v/>
      </c>
      <c r="AR85" s="137">
        <f>IF($B85="","",CHOOSE(IFERROR(MATCH($C$4,Setup!$K$33:$K$36,0),1),SUMPRODUCT(COUNTIF('2027'!$C$2100:$Z$2100,Setup!$B$35)),SUMPRODUCT(COUNTIF('2028'!$C$2100:$Z$2100,Setup!$B$35)),SUMPRODUCT(COUNTIF('2029'!$C$2100:$Z$2100,Setup!$B$35)),SUMPRODUCT(COUNTIF('2030'!$C$2100:$Z$2100,Setup!$B$35))))</f>
        <v/>
      </c>
      <c r="AS85" s="137">
        <f>IF($B85="","",CHOOSE(IFERROR(MATCH($C$4,Setup!$K$33:$K$36,0),1),SUMPRODUCT(COUNTIF('2027'!$C$2150:$Z$2150,Setup!$B$35)),SUMPRODUCT(COUNTIF('2028'!$C$2150:$Z$2150,Setup!$B$35)),SUMPRODUCT(COUNTIF('2029'!$C$2150:$Z$2150,Setup!$B$35)),SUMPRODUCT(COUNTIF('2030'!$C$2150:$Z$2150,Setup!$B$35))))</f>
        <v/>
      </c>
      <c r="AT85" s="137">
        <f>IF($B85="","",CHOOSE(IFERROR(MATCH($C$4,Setup!$K$33:$K$36,0),1),SUMPRODUCT(COUNTIF('2027'!$C$2200:$Z$2200,Setup!$B$35)),SUMPRODUCT(COUNTIF('2028'!$C$2200:$Z$2200,Setup!$B$35)),SUMPRODUCT(COUNTIF('2029'!$C$2200:$Z$2200,Setup!$B$35)),SUMPRODUCT(COUNTIF('2030'!$C$2200:$Z$2200,Setup!$B$35))))</f>
        <v/>
      </c>
      <c r="AU85" s="137">
        <f>IF($B85="","",CHOOSE(IFERROR(MATCH($C$4,Setup!$K$33:$K$36,0),1),SUMPRODUCT(COUNTIF('2027'!$C$2250:$Z$2250,Setup!$B$35)),SUMPRODUCT(COUNTIF('2028'!$C$2250:$Z$2250,Setup!$B$35)),SUMPRODUCT(COUNTIF('2029'!$C$2250:$Z$2250,Setup!$B$35)),SUMPRODUCT(COUNTIF('2030'!$C$2250:$Z$2250,Setup!$B$35))))</f>
        <v/>
      </c>
      <c r="AV85" s="137">
        <f>IF($B85="","",CHOOSE(IFERROR(MATCH($C$4,Setup!$K$33:$K$36,0),1),SUMPRODUCT(COUNTIF('2027'!$C$2300:$Z$2300,Setup!$B$35)),SUMPRODUCT(COUNTIF('2028'!$C$2300:$Z$2300,Setup!$B$35)),SUMPRODUCT(COUNTIF('2029'!$C$2300:$Z$2300,Setup!$B$35)),SUMPRODUCT(COUNTIF('2030'!$C$2300:$Z$2300,Setup!$B$35))))</f>
        <v/>
      </c>
      <c r="AW85" s="137">
        <f>IF($B85="","",CHOOSE(IFERROR(MATCH($C$4,Setup!$K$33:$K$36,0),1),SUMPRODUCT(COUNTIF('2027'!$C$2350:$Z$2350,Setup!$B$35)),SUMPRODUCT(COUNTIF('2028'!$C$2350:$Z$2350,Setup!$B$35)),SUMPRODUCT(COUNTIF('2029'!$C$2350:$Z$2350,Setup!$B$35)),SUMPRODUCT(COUNTIF('2030'!$C$2350:$Z$2350,Setup!$B$35))))</f>
        <v/>
      </c>
      <c r="AX85" s="137">
        <f>IF($B85="","",CHOOSE(IFERROR(MATCH($C$4,Setup!$K$33:$K$36,0),1),SUMPRODUCT(COUNTIF('2027'!$C$2400:$Z$2400,Setup!$B$35)),SUMPRODUCT(COUNTIF('2028'!$C$2400:$Z$2400,Setup!$B$35)),SUMPRODUCT(COUNTIF('2029'!$C$2400:$Z$2400,Setup!$B$35)),SUMPRODUCT(COUNTIF('2030'!$C$2400:$Z$2400,Setup!$B$35))))</f>
        <v/>
      </c>
      <c r="AY85" s="137">
        <f>IF($B85="","",CHOOSE(IFERROR(MATCH($C$4,Setup!$K$33:$K$36,0),1),SUMPRODUCT(COUNTIF('2027'!$C$2450:$Z$2450,Setup!$B$35)),SUMPRODUCT(COUNTIF('2028'!$C$2450:$Z$2450,Setup!$B$35)),SUMPRODUCT(COUNTIF('2029'!$C$2450:$Z$2450,Setup!$B$35)),SUMPRODUCT(COUNTIF('2030'!$C$2450:$Z$2450,Setup!$B$35))))</f>
        <v/>
      </c>
      <c r="AZ85" s="137">
        <f>IF($B85="","",CHOOSE(IFERROR(MATCH($C$4,Setup!$K$33:$K$36,0),1),SUMPRODUCT(COUNTIF('2027'!$C$2500:$Z$2500,Setup!$B$35)),SUMPRODUCT(COUNTIF('2028'!$C$2500:$Z$2500,Setup!$B$35)),SUMPRODUCT(COUNTIF('2029'!$C$2500:$Z$2500,Setup!$B$35)),SUMPRODUCT(COUNTIF('2030'!$C$2500:$Z$2500,Setup!$B$35))))</f>
        <v/>
      </c>
      <c r="BA85" s="137">
        <f>IF($B85="","",CHOOSE(IFERROR(MATCH($C$4,Setup!$K$33:$K$36,0),1),SUMPRODUCT(COUNTIF('2027'!$C$2550:$Z$2550,Setup!$B$35)),SUMPRODUCT(COUNTIF('2028'!$C$2550:$Z$2550,Setup!$B$35)),SUMPRODUCT(COUNTIF('2029'!$C$2550:$Z$2550,Setup!$B$35)),SUMPRODUCT(COUNTIF('2030'!$C$2550:$Z$2550,Setup!$B$35))))</f>
        <v/>
      </c>
      <c r="BB85" s="137">
        <f>IF($B85="","",CHOOSE(IFERROR(MATCH($C$4,Setup!$K$33:$K$36,0),1),SUMPRODUCT(COUNTIF('2027'!$C$2600:$Z$2600,Setup!$B$35)),SUMPRODUCT(COUNTIF('2028'!$C$2600:$Z$2600,Setup!$B$35)),SUMPRODUCT(COUNTIF('2029'!$C$2600:$Z$2600,Setup!$B$35)),SUMPRODUCT(COUNTIF('2030'!$C$2600:$Z$2600,Setup!$B$35))))</f>
        <v/>
      </c>
      <c r="BC85" s="137">
        <f>IF($B85="","",CHOOSE(IFERROR(MATCH($C$4,Setup!$K$33:$K$36,0),1),SUMPRODUCT(COUNTIF('2027'!$C$2650:$Z$2650,Setup!$B$35)),SUMPRODUCT(COUNTIF('2028'!$C$2650:$Z$2650,Setup!$B$35)),SUMPRODUCT(COUNTIF('2029'!$C$2650:$Z$2650,Setup!$B$35)),SUMPRODUCT(COUNTIF('2030'!$C$2650:$Z$2650,Setup!$B$35))))</f>
        <v/>
      </c>
      <c r="BE85" s="129">
        <f>IF($B85="","",SUM(C85:BC85))</f>
        <v/>
      </c>
      <c r="BF85" s="130">
        <f>IF($B85="","",COUNTIF(C85:BC85,"&gt;0"))</f>
        <v/>
      </c>
      <c r="BG85" s="130">
        <f>IF(OR($B85="",N(BE85)=0),"",MATCH(MAX(C85:BC85),C85:BC85,0))</f>
        <v/>
      </c>
    </row>
    <row r="86">
      <c r="B86" s="131" t="inlineStr">
        <is>
          <t>Team total</t>
        </is>
      </c>
      <c r="C86" s="138">
        <f>SUM(C62:C85)</f>
        <v/>
      </c>
      <c r="D86" s="138">
        <f>SUM(D62:D85)</f>
        <v/>
      </c>
      <c r="E86" s="138">
        <f>SUM(E62:E85)</f>
        <v/>
      </c>
      <c r="F86" s="138">
        <f>SUM(F62:F85)</f>
        <v/>
      </c>
      <c r="G86" s="138">
        <f>SUM(G62:G85)</f>
        <v/>
      </c>
      <c r="H86" s="138">
        <f>SUM(H62:H85)</f>
        <v/>
      </c>
      <c r="I86" s="138">
        <f>SUM(I62:I85)</f>
        <v/>
      </c>
      <c r="J86" s="138">
        <f>SUM(J62:J85)</f>
        <v/>
      </c>
      <c r="K86" s="138">
        <f>SUM(K62:K85)</f>
        <v/>
      </c>
      <c r="L86" s="138">
        <f>SUM(L62:L85)</f>
        <v/>
      </c>
      <c r="M86" s="138">
        <f>SUM(M62:M85)</f>
        <v/>
      </c>
      <c r="N86" s="138">
        <f>SUM(N62:N85)</f>
        <v/>
      </c>
      <c r="O86" s="138">
        <f>SUM(O62:O85)</f>
        <v/>
      </c>
      <c r="P86" s="138">
        <f>SUM(P62:P85)</f>
        <v/>
      </c>
      <c r="Q86" s="138">
        <f>SUM(Q62:Q85)</f>
        <v/>
      </c>
      <c r="R86" s="138">
        <f>SUM(R62:R85)</f>
        <v/>
      </c>
      <c r="S86" s="138">
        <f>SUM(S62:S85)</f>
        <v/>
      </c>
      <c r="T86" s="138">
        <f>SUM(T62:T85)</f>
        <v/>
      </c>
      <c r="U86" s="138">
        <f>SUM(U62:U85)</f>
        <v/>
      </c>
      <c r="V86" s="138">
        <f>SUM(V62:V85)</f>
        <v/>
      </c>
      <c r="W86" s="138">
        <f>SUM(W62:W85)</f>
        <v/>
      </c>
      <c r="X86" s="138">
        <f>SUM(X62:X85)</f>
        <v/>
      </c>
      <c r="Y86" s="138">
        <f>SUM(Y62:Y85)</f>
        <v/>
      </c>
      <c r="Z86" s="138">
        <f>SUM(Z62:Z85)</f>
        <v/>
      </c>
      <c r="AA86" s="138">
        <f>SUM(AA62:AA85)</f>
        <v/>
      </c>
      <c r="AB86" s="138">
        <f>SUM(AB62:AB85)</f>
        <v/>
      </c>
      <c r="AC86" s="138">
        <f>SUM(AC62:AC85)</f>
        <v/>
      </c>
      <c r="AD86" s="138">
        <f>SUM(AD62:AD85)</f>
        <v/>
      </c>
      <c r="AE86" s="138">
        <f>SUM(AE62:AE85)</f>
        <v/>
      </c>
      <c r="AF86" s="138">
        <f>SUM(AF62:AF85)</f>
        <v/>
      </c>
      <c r="AG86" s="138">
        <f>SUM(AG62:AG85)</f>
        <v/>
      </c>
      <c r="AH86" s="138">
        <f>SUM(AH62:AH85)</f>
        <v/>
      </c>
      <c r="AI86" s="138">
        <f>SUM(AI62:AI85)</f>
        <v/>
      </c>
      <c r="AJ86" s="138">
        <f>SUM(AJ62:AJ85)</f>
        <v/>
      </c>
      <c r="AK86" s="138">
        <f>SUM(AK62:AK85)</f>
        <v/>
      </c>
      <c r="AL86" s="138">
        <f>SUM(AL62:AL85)</f>
        <v/>
      </c>
      <c r="AM86" s="138">
        <f>SUM(AM62:AM85)</f>
        <v/>
      </c>
      <c r="AN86" s="138">
        <f>SUM(AN62:AN85)</f>
        <v/>
      </c>
      <c r="AO86" s="138">
        <f>SUM(AO62:AO85)</f>
        <v/>
      </c>
      <c r="AP86" s="138">
        <f>SUM(AP62:AP85)</f>
        <v/>
      </c>
      <c r="AQ86" s="138">
        <f>SUM(AQ62:AQ85)</f>
        <v/>
      </c>
      <c r="AR86" s="138">
        <f>SUM(AR62:AR85)</f>
        <v/>
      </c>
      <c r="AS86" s="138">
        <f>SUM(AS62:AS85)</f>
        <v/>
      </c>
      <c r="AT86" s="138">
        <f>SUM(AT62:AT85)</f>
        <v/>
      </c>
      <c r="AU86" s="138">
        <f>SUM(AU62:AU85)</f>
        <v/>
      </c>
      <c r="AV86" s="138">
        <f>SUM(AV62:AV85)</f>
        <v/>
      </c>
      <c r="AW86" s="138">
        <f>SUM(AW62:AW85)</f>
        <v/>
      </c>
      <c r="AX86" s="138">
        <f>SUM(AX62:AX85)</f>
        <v/>
      </c>
      <c r="AY86" s="138">
        <f>SUM(AY62:AY85)</f>
        <v/>
      </c>
      <c r="AZ86" s="138">
        <f>SUM(AZ62:AZ85)</f>
        <v/>
      </c>
      <c r="BA86" s="138">
        <f>SUM(BA62:BA85)</f>
        <v/>
      </c>
      <c r="BB86" s="138">
        <f>SUM(BB62:BB85)</f>
        <v/>
      </c>
      <c r="BC86" s="138">
        <f>SUM(BC62:BC85)</f>
        <v/>
      </c>
      <c r="BE86" s="133">
        <f>SUM(BE62:BE85)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4:E4"/>
  </mergeCells>
  <conditionalFormatting sqref="B8:BF25">
    <cfRule type="expression" priority="1" dxfId="2" stopIfTrue="1">
      <formula>$B8=""</formula>
    </cfRule>
  </conditionalFormatting>
  <conditionalFormatting sqref="C8:BC25">
    <cfRule type="cellIs" priority="2" operator="equal" dxfId="26">
      <formula>0</formula>
    </cfRule>
    <cfRule type="cellIs" priority="3" operator="greaterThan" dxfId="4">
      <formula>0</formula>
    </cfRule>
    <cfRule type="cellIs" priority="4" operator="greaterThanOrEqual" dxfId="3">
      <formula>5</formula>
    </cfRule>
  </conditionalFormatting>
  <conditionalFormatting sqref="C26:BC26">
    <cfRule type="cellIs" priority="5" operator="equal" dxfId="8">
      <formula>0</formula>
    </cfRule>
    <cfRule type="cellIs" priority="6" operator="greaterThan" dxfId="4">
      <formula>0</formula>
    </cfRule>
  </conditionalFormatting>
  <conditionalFormatting sqref="C7:BC7">
    <cfRule type="expression" priority="7" dxfId="7">
      <formula>AND($C$4=Engine!$B$11,COLUMN()-2=Engine!$B$9)</formula>
    </cfRule>
  </conditionalFormatting>
  <conditionalFormatting sqref="B32:BG55">
    <cfRule type="expression" priority="8" dxfId="2" stopIfTrue="1">
      <formula>$B32=""</formula>
    </cfRule>
  </conditionalFormatting>
  <conditionalFormatting sqref="C32:BC55">
    <cfRule type="colorScale" priority="9">
      <colorScale>
        <cfvo type="num" val="0"/>
        <cfvo type="num" val="3"/>
        <cfvo type="num" val="7"/>
        <color rgb="00FFFFFF"/>
        <color rgb="00FCE4D6"/>
        <color rgb="00C65911"/>
      </colorScale>
    </cfRule>
  </conditionalFormatting>
  <conditionalFormatting sqref="C56:BC56">
    <cfRule type="cellIs" priority="10" operator="greaterThanOrEqual" dxfId="3">
      <formula>10</formula>
    </cfRule>
  </conditionalFormatting>
  <conditionalFormatting sqref="B62:BG85">
    <cfRule type="expression" priority="11" dxfId="2" stopIfTrue="1">
      <formula>$B62=""</formula>
    </cfRule>
  </conditionalFormatting>
  <conditionalFormatting sqref="C62:BC85">
    <cfRule type="colorScale" priority="12">
      <colorScale>
        <cfvo type="num" val="0"/>
        <cfvo type="num" val="3"/>
        <cfvo type="num" val="7"/>
        <color rgb="00FFFFFF"/>
        <color rgb="00DDEBF7"/>
        <color rgb="002F5597"/>
      </colorScale>
    </cfRule>
  </conditionalFormatting>
  <dataValidations count="1">
    <dataValidation sqref="C4" showDropDown="0" showInputMessage="0" showErrorMessage="0" allowBlank="0" type="list">
      <formula1>=Setup!$K$33:$K$36</formula1>
    </dataValidation>
  </dataValidations>
  <hyperlinks>
    <hyperlink xmlns:r="http://schemas.openxmlformats.org/officeDocument/2006/relationships" ref="BH1" r:id="rId1"/>
  </hyperlinks>
  <pageMargins left="0.75" right="0.75" top="1" bottom="1" header="0.5" footer="0.5"/>
  <pageSetup orientation="landscape" fitToHeight="1" fitToWidth="1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N48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24" customWidth="1" min="3" max="3"/>
    <col width="14" customWidth="1" min="4" max="4"/>
    <col width="8" customWidth="1" min="5" max="5"/>
    <col width="26" customWidth="1" min="6" max="6"/>
    <col width="9" customWidth="1" min="7" max="7"/>
    <col width="10" customWidth="1" min="8" max="8"/>
    <col width="2" customWidth="1" min="9" max="9"/>
    <col width="4" customWidth="1" min="10" max="10"/>
    <col width="18" customWidth="1" min="11" max="11"/>
    <col width="15" customWidth="1" min="12" max="12"/>
    <col width="9" customWidth="1" min="13" max="13"/>
    <col width="2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</cols>
  <sheetData>
    <row r="1" ht="30" customHeight="1">
      <c r="A1" s="1" t="n"/>
      <c r="B1" s="52" t="inlineStr">
        <is>
          <t>SETUP  ·  team, duties, competencies, status codes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53" t="inlineStr">
        <is>
          <t>◀ Dashboard</t>
        </is>
      </c>
      <c r="AI1" s="1" t="n"/>
      <c r="AJ1" s="1" t="n"/>
      <c r="AK1" s="53" t="inlineStr">
        <is>
          <t>Guide ▶</t>
        </is>
      </c>
      <c r="AL1" s="1" t="n"/>
      <c r="AM1" s="1" t="n"/>
      <c r="AN1" s="1" t="n"/>
    </row>
    <row r="2" ht="16" customHeight="1">
      <c r="A2" s="1" t="n"/>
      <c r="B2" s="4" t="inlineStr">
        <is>
          <t>Everything on this sheet drives the rest of the workbook. Yellow cells are yours to edit.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</row>
    <row r="4">
      <c r="B4" s="7" t="inlineStr">
        <is>
          <t>TEAM</t>
        </is>
      </c>
      <c r="E4" s="11" t="inlineStr">
        <is>
          <t>Add a person: fill the next blank row. Set Active = N to retire someone without losing history.</t>
        </is>
      </c>
      <c r="J4" s="7" t="inlineStr">
        <is>
          <t>DUTIES &amp; COMPETENCY MATRIX  (Y = SQEP, T = trainee, blank = not qualified)</t>
        </is>
      </c>
    </row>
    <row r="5" ht="30" customHeight="1">
      <c r="A5" s="139" t="inlineStr">
        <is>
          <t>#</t>
        </is>
      </c>
      <c r="B5" s="139" t="inlineStr">
        <is>
          <t>Initials</t>
        </is>
      </c>
      <c r="C5" s="139" t="inlineStr">
        <is>
          <t>Full name</t>
        </is>
      </c>
      <c r="D5" s="139" t="inlineStr">
        <is>
          <t>Role</t>
        </is>
      </c>
      <c r="E5" s="139" t="inlineStr">
        <is>
          <t>Active</t>
        </is>
      </c>
      <c r="F5" s="139" t="inlineStr">
        <is>
          <t>Notes</t>
        </is>
      </c>
      <c r="G5" s="139" t="inlineStr">
        <is>
          <t>SQEP for</t>
        </is>
      </c>
      <c r="H5" s="139" t="inlineStr">
        <is>
          <t>Trainee for</t>
        </is>
      </c>
      <c r="J5" s="139" t="inlineStr">
        <is>
          <t>#</t>
        </is>
      </c>
      <c r="K5" s="139" t="inlineStr">
        <is>
          <t>Duty</t>
        </is>
      </c>
      <c r="L5" s="140" t="inlineStr">
        <is>
          <t>Min per weekday</t>
        </is>
      </c>
      <c r="M5" s="140" t="inlineStr">
        <is>
          <t>Weekend cover</t>
        </is>
      </c>
      <c r="O5" s="139">
        <f>IF(B6="","",B6)</f>
        <v/>
      </c>
      <c r="P5" s="139">
        <f>IF(B7="","",B7)</f>
        <v/>
      </c>
      <c r="Q5" s="139">
        <f>IF(B8="","",B8)</f>
        <v/>
      </c>
      <c r="R5" s="139">
        <f>IF(B9="","",B9)</f>
        <v/>
      </c>
      <c r="S5" s="139">
        <f>IF(B10="","",B10)</f>
        <v/>
      </c>
      <c r="T5" s="139">
        <f>IF(B11="","",B11)</f>
        <v/>
      </c>
      <c r="U5" s="139">
        <f>IF(B12="","",B12)</f>
        <v/>
      </c>
      <c r="V5" s="139">
        <f>IF(B13="","",B13)</f>
        <v/>
      </c>
      <c r="W5" s="139">
        <f>IF(B14="","",B14)</f>
        <v/>
      </c>
      <c r="X5" s="139">
        <f>IF(B15="","",B15)</f>
        <v/>
      </c>
      <c r="Y5" s="139">
        <f>IF(B16="","",B16)</f>
        <v/>
      </c>
      <c r="Z5" s="139">
        <f>IF(B17="","",B17)</f>
        <v/>
      </c>
      <c r="AA5" s="139">
        <f>IF(B18="","",B18)</f>
        <v/>
      </c>
      <c r="AB5" s="139">
        <f>IF(B19="","",B19)</f>
        <v/>
      </c>
      <c r="AC5" s="139">
        <f>IF(B20="","",B20)</f>
        <v/>
      </c>
      <c r="AD5" s="139">
        <f>IF(B21="","",B21)</f>
        <v/>
      </c>
      <c r="AE5" s="139">
        <f>IF(B22="","",B22)</f>
        <v/>
      </c>
      <c r="AF5" s="139">
        <f>IF(B23="","",B23)</f>
        <v/>
      </c>
      <c r="AG5" s="139">
        <f>IF(B24="","",B24)</f>
        <v/>
      </c>
      <c r="AH5" s="139">
        <f>IF(B25="","",B25)</f>
        <v/>
      </c>
      <c r="AI5" s="139">
        <f>IF(B26="","",B26)</f>
        <v/>
      </c>
      <c r="AJ5" s="139">
        <f>IF(B27="","",B27)</f>
        <v/>
      </c>
      <c r="AK5" s="139">
        <f>IF(B28="","",B28)</f>
        <v/>
      </c>
      <c r="AL5" s="139">
        <f>IF(B29="","",B29)</f>
        <v/>
      </c>
    </row>
    <row r="6">
      <c r="A6" s="141" t="n">
        <v>1</v>
      </c>
      <c r="B6" s="142" t="inlineStr">
        <is>
          <t>JP</t>
        </is>
      </c>
      <c r="C6" s="143" t="n"/>
      <c r="D6" s="144" t="inlineStr">
        <is>
          <t>Team Leader</t>
        </is>
      </c>
      <c r="E6" s="145" t="inlineStr">
        <is>
          <t>Y</t>
        </is>
      </c>
      <c r="F6" s="146" t="n"/>
      <c r="G6" s="141">
        <f>IF(B6="","",COUNTIF(O$6:O$23,"Y"))</f>
        <v/>
      </c>
      <c r="H6" s="141">
        <f>IF(B6="","",COUNTIF(O$6:O$23,"T"))</f>
        <v/>
      </c>
      <c r="J6" s="141" t="n">
        <v>1</v>
      </c>
      <c r="K6" s="147" t="inlineStr">
        <is>
          <t>Team Leader</t>
        </is>
      </c>
      <c r="L6" s="144" t="n">
        <v>1</v>
      </c>
      <c r="M6" s="144" t="inlineStr">
        <is>
          <t>Y</t>
        </is>
      </c>
      <c r="O6" s="148" t="inlineStr">
        <is>
          <t>Y</t>
        </is>
      </c>
      <c r="P6" s="148" t="inlineStr">
        <is>
          <t>Y</t>
        </is>
      </c>
      <c r="Q6" s="148" t="inlineStr">
        <is>
          <t>Y</t>
        </is>
      </c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  <c r="AA6" s="148" t="n"/>
      <c r="AB6" s="148" t="n"/>
      <c r="AC6" s="148" t="n"/>
      <c r="AD6" s="148" t="n"/>
      <c r="AE6" s="148" t="n"/>
      <c r="AF6" s="148" t="n"/>
      <c r="AG6" s="148" t="n"/>
      <c r="AH6" s="148" t="n"/>
      <c r="AI6" s="148" t="n"/>
      <c r="AJ6" s="148" t="n"/>
      <c r="AK6" s="148" t="n"/>
      <c r="AL6" s="148" t="n"/>
    </row>
    <row r="7">
      <c r="A7" s="141" t="n">
        <v>2</v>
      </c>
      <c r="B7" s="142" t="inlineStr">
        <is>
          <t>MW</t>
        </is>
      </c>
      <c r="C7" s="143" t="n"/>
      <c r="D7" s="144" t="inlineStr">
        <is>
          <t>Team Leader</t>
        </is>
      </c>
      <c r="E7" s="145" t="inlineStr">
        <is>
          <t>Y</t>
        </is>
      </c>
      <c r="F7" s="146" t="n"/>
      <c r="G7" s="141">
        <f>IF(B7="","",COUNTIF(P$6:P$23,"Y"))</f>
        <v/>
      </c>
      <c r="H7" s="141">
        <f>IF(B7="","",COUNTIF(P$6:P$23,"T"))</f>
        <v/>
      </c>
      <c r="J7" s="141" t="n">
        <v>2</v>
      </c>
      <c r="K7" s="147" t="inlineStr">
        <is>
          <t>Flask</t>
        </is>
      </c>
      <c r="L7" s="144" t="n">
        <v>1</v>
      </c>
      <c r="M7" s="144" t="inlineStr">
        <is>
          <t>Y</t>
        </is>
      </c>
      <c r="O7" s="148" t="n"/>
      <c r="P7" s="148" t="n"/>
      <c r="Q7" s="148" t="inlineStr">
        <is>
          <t>Y</t>
        </is>
      </c>
      <c r="R7" s="148" t="n"/>
      <c r="S7" s="148" t="n"/>
      <c r="T7" s="148" t="inlineStr">
        <is>
          <t>Y</t>
        </is>
      </c>
      <c r="U7" s="148" t="n"/>
      <c r="V7" s="148" t="inlineStr">
        <is>
          <t>Y</t>
        </is>
      </c>
      <c r="W7" s="148" t="n"/>
      <c r="X7" s="148" t="n"/>
      <c r="Y7" s="148" t="inlineStr">
        <is>
          <t>Y</t>
        </is>
      </c>
      <c r="Z7" s="148" t="n"/>
      <c r="AA7" s="148" t="n"/>
      <c r="AB7" s="148" t="inlineStr">
        <is>
          <t>Y</t>
        </is>
      </c>
      <c r="AC7" s="148" t="inlineStr">
        <is>
          <t>Y</t>
        </is>
      </c>
      <c r="AD7" s="148" t="n"/>
      <c r="AE7" s="148" t="inlineStr">
        <is>
          <t>Y</t>
        </is>
      </c>
      <c r="AF7" s="148" t="n"/>
      <c r="AG7" s="148" t="n"/>
      <c r="AH7" s="148" t="n"/>
      <c r="AI7" s="148" t="n"/>
      <c r="AJ7" s="148" t="n"/>
      <c r="AK7" s="148" t="n"/>
      <c r="AL7" s="148" t="n"/>
    </row>
    <row r="8">
      <c r="A8" s="141" t="n">
        <v>3</v>
      </c>
      <c r="B8" s="142" t="inlineStr">
        <is>
          <t>NT</t>
        </is>
      </c>
      <c r="C8" s="143" t="n"/>
      <c r="D8" s="144" t="inlineStr">
        <is>
          <t>Team Leader</t>
        </is>
      </c>
      <c r="E8" s="145" t="inlineStr">
        <is>
          <t>Y</t>
        </is>
      </c>
      <c r="F8" s="146" t="n"/>
      <c r="G8" s="141">
        <f>IF(B8="","",COUNTIF(Q$6:Q$23,"Y"))</f>
        <v/>
      </c>
      <c r="H8" s="141">
        <f>IF(B8="","",COUNTIF(Q$6:Q$23,"T"))</f>
        <v/>
      </c>
      <c r="J8" s="141" t="n">
        <v>3</v>
      </c>
      <c r="K8" s="147" t="inlineStr">
        <is>
          <t>Surveys</t>
        </is>
      </c>
      <c r="L8" s="144" t="n">
        <v>1</v>
      </c>
      <c r="M8" s="144" t="inlineStr">
        <is>
          <t>Y</t>
        </is>
      </c>
      <c r="O8" s="148" t="n"/>
      <c r="P8" s="148" t="n"/>
      <c r="Q8" s="148" t="inlineStr">
        <is>
          <t>Y</t>
        </is>
      </c>
      <c r="R8" s="148" t="inlineStr">
        <is>
          <t>Y</t>
        </is>
      </c>
      <c r="S8" s="148" t="inlineStr">
        <is>
          <t>Y</t>
        </is>
      </c>
      <c r="T8" s="148" t="inlineStr">
        <is>
          <t>Y</t>
        </is>
      </c>
      <c r="U8" s="148" t="inlineStr">
        <is>
          <t>Y</t>
        </is>
      </c>
      <c r="V8" s="148" t="inlineStr">
        <is>
          <t>Y</t>
        </is>
      </c>
      <c r="W8" s="148" t="inlineStr">
        <is>
          <t>Y</t>
        </is>
      </c>
      <c r="X8" s="148" t="inlineStr">
        <is>
          <t>Y</t>
        </is>
      </c>
      <c r="Y8" s="148" t="inlineStr">
        <is>
          <t>Y</t>
        </is>
      </c>
      <c r="Z8" s="148" t="inlineStr">
        <is>
          <t>Y</t>
        </is>
      </c>
      <c r="AA8" s="148" t="inlineStr">
        <is>
          <t>Y</t>
        </is>
      </c>
      <c r="AB8" s="148" t="inlineStr">
        <is>
          <t>Y</t>
        </is>
      </c>
      <c r="AC8" s="148" t="inlineStr">
        <is>
          <t>Y</t>
        </is>
      </c>
      <c r="AD8" s="148" t="inlineStr">
        <is>
          <t>Y</t>
        </is>
      </c>
      <c r="AE8" s="148" t="inlineStr">
        <is>
          <t>Y</t>
        </is>
      </c>
      <c r="AF8" s="148" t="inlineStr">
        <is>
          <t>Y</t>
        </is>
      </c>
      <c r="AG8" s="148" t="n"/>
      <c r="AH8" s="148" t="n"/>
      <c r="AI8" s="148" t="n"/>
      <c r="AJ8" s="148" t="n"/>
      <c r="AK8" s="148" t="n"/>
      <c r="AL8" s="148" t="n"/>
    </row>
    <row r="9">
      <c r="A9" s="141" t="n">
        <v>4</v>
      </c>
      <c r="B9" s="142" t="inlineStr">
        <is>
          <t>TB</t>
        </is>
      </c>
      <c r="C9" s="143" t="n"/>
      <c r="D9" s="144" t="inlineStr">
        <is>
          <t>Technician</t>
        </is>
      </c>
      <c r="E9" s="145" t="inlineStr">
        <is>
          <t>Y</t>
        </is>
      </c>
      <c r="F9" s="146" t="n"/>
      <c r="G9" s="141">
        <f>IF(B9="","",COUNTIF(R$6:R$23,"Y"))</f>
        <v/>
      </c>
      <c r="H9" s="141">
        <f>IF(B9="","",COUNTIF(R$6:R$23,"T"))</f>
        <v/>
      </c>
      <c r="J9" s="141" t="n">
        <v>4</v>
      </c>
      <c r="K9" s="147" t="inlineStr">
        <is>
          <t>Interactions</t>
        </is>
      </c>
      <c r="L9" s="144" t="n">
        <v>1</v>
      </c>
      <c r="M9" s="144" t="inlineStr">
        <is>
          <t>Y</t>
        </is>
      </c>
      <c r="O9" s="148" t="n"/>
      <c r="P9" s="148" t="n"/>
      <c r="Q9" s="148" t="inlineStr">
        <is>
          <t>Y</t>
        </is>
      </c>
      <c r="R9" s="148" t="inlineStr">
        <is>
          <t>Y</t>
        </is>
      </c>
      <c r="S9" s="148" t="inlineStr">
        <is>
          <t>Y</t>
        </is>
      </c>
      <c r="T9" s="148" t="inlineStr">
        <is>
          <t>Y</t>
        </is>
      </c>
      <c r="U9" s="148" t="inlineStr">
        <is>
          <t>Y</t>
        </is>
      </c>
      <c r="V9" s="148" t="inlineStr">
        <is>
          <t>Y</t>
        </is>
      </c>
      <c r="W9" s="148" t="inlineStr">
        <is>
          <t>Y</t>
        </is>
      </c>
      <c r="X9" s="148" t="inlineStr">
        <is>
          <t>Y</t>
        </is>
      </c>
      <c r="Y9" s="148" t="inlineStr">
        <is>
          <t>Y</t>
        </is>
      </c>
      <c r="Z9" s="148" t="inlineStr">
        <is>
          <t>Y</t>
        </is>
      </c>
      <c r="AA9" s="148" t="inlineStr">
        <is>
          <t>Y</t>
        </is>
      </c>
      <c r="AB9" s="148" t="inlineStr">
        <is>
          <t>Y</t>
        </is>
      </c>
      <c r="AC9" s="148" t="inlineStr">
        <is>
          <t>Y</t>
        </is>
      </c>
      <c r="AD9" s="148" t="inlineStr">
        <is>
          <t>Y</t>
        </is>
      </c>
      <c r="AE9" s="148" t="inlineStr">
        <is>
          <t>Y</t>
        </is>
      </c>
      <c r="AF9" s="148" t="inlineStr">
        <is>
          <t>Y</t>
        </is>
      </c>
      <c r="AG9" s="148" t="n"/>
      <c r="AH9" s="148" t="n"/>
      <c r="AI9" s="148" t="n"/>
      <c r="AJ9" s="148" t="n"/>
      <c r="AK9" s="148" t="n"/>
      <c r="AL9" s="148" t="n"/>
    </row>
    <row r="10">
      <c r="A10" s="141" t="n">
        <v>5</v>
      </c>
      <c r="B10" s="142" t="inlineStr">
        <is>
          <t>MB</t>
        </is>
      </c>
      <c r="C10" s="143" t="n"/>
      <c r="D10" s="144" t="inlineStr">
        <is>
          <t>Technician</t>
        </is>
      </c>
      <c r="E10" s="145" t="inlineStr">
        <is>
          <t>Y</t>
        </is>
      </c>
      <c r="F10" s="146" t="n"/>
      <c r="G10" s="141">
        <f>IF(B10="","",COUNTIF(S$6:S$23,"Y"))</f>
        <v/>
      </c>
      <c r="H10" s="141">
        <f>IF(B10="","",COUNTIF(S$6:S$23,"T"))</f>
        <v/>
      </c>
      <c r="J10" s="141" t="n">
        <v>5</v>
      </c>
      <c r="K10" s="147" t="inlineStr">
        <is>
          <t>Guardians</t>
        </is>
      </c>
      <c r="L10" s="144" t="n">
        <v>1</v>
      </c>
      <c r="M10" s="144" t="inlineStr">
        <is>
          <t>Y</t>
        </is>
      </c>
      <c r="O10" s="148" t="n"/>
      <c r="P10" s="148" t="n"/>
      <c r="Q10" s="148" t="inlineStr">
        <is>
          <t>Y</t>
        </is>
      </c>
      <c r="R10" s="148" t="inlineStr">
        <is>
          <t>Y</t>
        </is>
      </c>
      <c r="S10" s="148" t="n"/>
      <c r="T10" s="148" t="inlineStr">
        <is>
          <t>Y</t>
        </is>
      </c>
      <c r="U10" s="148" t="inlineStr">
        <is>
          <t>Y</t>
        </is>
      </c>
      <c r="V10" s="148" t="inlineStr">
        <is>
          <t>Y</t>
        </is>
      </c>
      <c r="W10" s="148" t="inlineStr">
        <is>
          <t>Y</t>
        </is>
      </c>
      <c r="X10" s="148" t="inlineStr">
        <is>
          <t>Y</t>
        </is>
      </c>
      <c r="Y10" s="148" t="inlineStr">
        <is>
          <t>Y</t>
        </is>
      </c>
      <c r="Z10" s="148" t="inlineStr">
        <is>
          <t>Y</t>
        </is>
      </c>
      <c r="AA10" s="148" t="inlineStr">
        <is>
          <t>Y</t>
        </is>
      </c>
      <c r="AB10" s="148" t="inlineStr">
        <is>
          <t>Y</t>
        </is>
      </c>
      <c r="AC10" s="148" t="inlineStr">
        <is>
          <t>Y</t>
        </is>
      </c>
      <c r="AD10" s="148" t="inlineStr">
        <is>
          <t>T</t>
        </is>
      </c>
      <c r="AE10" s="148" t="inlineStr">
        <is>
          <t>Y</t>
        </is>
      </c>
      <c r="AF10" s="148" t="inlineStr">
        <is>
          <t>Y</t>
        </is>
      </c>
      <c r="AG10" s="148" t="n"/>
      <c r="AH10" s="148" t="n"/>
      <c r="AI10" s="148" t="n"/>
      <c r="AJ10" s="148" t="n"/>
      <c r="AK10" s="148" t="n"/>
      <c r="AL10" s="148" t="n"/>
    </row>
    <row r="11">
      <c r="A11" s="141" t="n">
        <v>6</v>
      </c>
      <c r="B11" s="142" t="inlineStr">
        <is>
          <t>RB</t>
        </is>
      </c>
      <c r="C11" s="143" t="n"/>
      <c r="D11" s="144" t="inlineStr">
        <is>
          <t>Technician</t>
        </is>
      </c>
      <c r="E11" s="145" t="inlineStr">
        <is>
          <t>Y</t>
        </is>
      </c>
      <c r="F11" s="146" t="n"/>
      <c r="G11" s="141">
        <f>IF(B11="","",COUNTIF(T$6:T$23,"Y"))</f>
        <v/>
      </c>
      <c r="H11" s="141">
        <f>IF(B11="","",COUNTIF(T$6:T$23,"T"))</f>
        <v/>
      </c>
      <c r="J11" s="141" t="n">
        <v>6</v>
      </c>
      <c r="K11" s="147" t="inlineStr">
        <is>
          <t>Checks</t>
        </is>
      </c>
      <c r="L11" s="144" t="n">
        <v>1</v>
      </c>
      <c r="M11" s="144" t="inlineStr">
        <is>
          <t>Y</t>
        </is>
      </c>
      <c r="O11" s="148" t="n"/>
      <c r="P11" s="148" t="n"/>
      <c r="Q11" s="148" t="inlineStr">
        <is>
          <t>Y</t>
        </is>
      </c>
      <c r="R11" s="148" t="inlineStr">
        <is>
          <t>Y</t>
        </is>
      </c>
      <c r="S11" s="148" t="inlineStr">
        <is>
          <t>Y</t>
        </is>
      </c>
      <c r="T11" s="148" t="inlineStr">
        <is>
          <t>Y</t>
        </is>
      </c>
      <c r="U11" s="148" t="inlineStr">
        <is>
          <t>Y</t>
        </is>
      </c>
      <c r="V11" s="148" t="inlineStr">
        <is>
          <t>Y</t>
        </is>
      </c>
      <c r="W11" s="148" t="inlineStr">
        <is>
          <t>Y</t>
        </is>
      </c>
      <c r="X11" s="148" t="inlineStr">
        <is>
          <t>Y</t>
        </is>
      </c>
      <c r="Y11" s="148" t="inlineStr">
        <is>
          <t>Y</t>
        </is>
      </c>
      <c r="Z11" s="148" t="inlineStr">
        <is>
          <t>Y</t>
        </is>
      </c>
      <c r="AA11" s="148" t="inlineStr">
        <is>
          <t>Y</t>
        </is>
      </c>
      <c r="AB11" s="148" t="inlineStr">
        <is>
          <t>Y</t>
        </is>
      </c>
      <c r="AC11" s="148" t="inlineStr">
        <is>
          <t>Y</t>
        </is>
      </c>
      <c r="AD11" s="148" t="inlineStr">
        <is>
          <t>Y</t>
        </is>
      </c>
      <c r="AE11" s="148" t="inlineStr">
        <is>
          <t>Y</t>
        </is>
      </c>
      <c r="AF11" s="148" t="inlineStr">
        <is>
          <t>Y</t>
        </is>
      </c>
      <c r="AG11" s="148" t="n"/>
      <c r="AH11" s="148" t="n"/>
      <c r="AI11" s="148" t="n"/>
      <c r="AJ11" s="148" t="n"/>
      <c r="AK11" s="148" t="n"/>
      <c r="AL11" s="148" t="n"/>
    </row>
    <row r="12">
      <c r="A12" s="141" t="n">
        <v>7</v>
      </c>
      <c r="B12" s="142" t="inlineStr">
        <is>
          <t>LC</t>
        </is>
      </c>
      <c r="C12" s="143" t="n"/>
      <c r="D12" s="144" t="inlineStr">
        <is>
          <t>Technician</t>
        </is>
      </c>
      <c r="E12" s="145" t="inlineStr">
        <is>
          <t>Y</t>
        </is>
      </c>
      <c r="F12" s="146" t="n"/>
      <c r="G12" s="141">
        <f>IF(B12="","",COUNTIF(U$6:U$23,"Y"))</f>
        <v/>
      </c>
      <c r="H12" s="141">
        <f>IF(B12="","",COUNTIF(U$6:U$23,"T"))</f>
        <v/>
      </c>
      <c r="J12" s="141" t="n">
        <v>7</v>
      </c>
      <c r="K12" s="147" t="inlineStr">
        <is>
          <t>Instruments</t>
        </is>
      </c>
      <c r="L12" s="144" t="n">
        <v>1</v>
      </c>
      <c r="M12" s="144" t="inlineStr">
        <is>
          <t>Y</t>
        </is>
      </c>
      <c r="O12" s="148" t="n"/>
      <c r="P12" s="148" t="n"/>
      <c r="Q12" s="148" t="inlineStr">
        <is>
          <t>Y</t>
        </is>
      </c>
      <c r="R12" s="148" t="n"/>
      <c r="S12" s="148" t="n"/>
      <c r="T12" s="148" t="inlineStr">
        <is>
          <t>Y</t>
        </is>
      </c>
      <c r="U12" s="148" t="inlineStr">
        <is>
          <t>Y</t>
        </is>
      </c>
      <c r="V12" s="148" t="n"/>
      <c r="W12" s="148" t="n"/>
      <c r="X12" s="148" t="n"/>
      <c r="Y12" s="148" t="n"/>
      <c r="Z12" s="148" t="inlineStr">
        <is>
          <t>T</t>
        </is>
      </c>
      <c r="AA12" s="148" t="n"/>
      <c r="AB12" s="148" t="n"/>
      <c r="AC12" s="148" t="n"/>
      <c r="AD12" s="148" t="n"/>
      <c r="AE12" s="148" t="inlineStr">
        <is>
          <t>Y</t>
        </is>
      </c>
      <c r="AF12" s="148" t="n"/>
      <c r="AG12" s="148" t="n"/>
      <c r="AH12" s="148" t="n"/>
      <c r="AI12" s="148" t="n"/>
      <c r="AJ12" s="148" t="n"/>
      <c r="AK12" s="148" t="n"/>
      <c r="AL12" s="148" t="n"/>
    </row>
    <row r="13">
      <c r="A13" s="141" t="n">
        <v>8</v>
      </c>
      <c r="B13" s="142" t="inlineStr">
        <is>
          <t>DCA</t>
        </is>
      </c>
      <c r="C13" s="143" t="n"/>
      <c r="D13" s="144" t="inlineStr">
        <is>
          <t>Technician</t>
        </is>
      </c>
      <c r="E13" s="145" t="inlineStr">
        <is>
          <t>Y</t>
        </is>
      </c>
      <c r="F13" s="146" t="n"/>
      <c r="G13" s="141">
        <f>IF(B13="","",COUNTIF(V$6:V$23,"Y"))</f>
        <v/>
      </c>
      <c r="H13" s="141">
        <f>IF(B13="","",COUNTIF(V$6:V$23,"T"))</f>
        <v/>
      </c>
      <c r="J13" s="141" t="n">
        <v>8</v>
      </c>
      <c r="K13" s="147" t="inlineStr">
        <is>
          <t>BA</t>
        </is>
      </c>
      <c r="L13" s="144" t="n">
        <v>1</v>
      </c>
      <c r="M13" s="144" t="inlineStr">
        <is>
          <t>N</t>
        </is>
      </c>
      <c r="O13" s="148" t="n"/>
      <c r="P13" s="148" t="n"/>
      <c r="Q13" s="148" t="n"/>
      <c r="R13" s="148" t="n"/>
      <c r="S13" s="148" t="n"/>
      <c r="T13" s="148" t="n"/>
      <c r="U13" s="148" t="n"/>
      <c r="V13" s="148" t="n"/>
      <c r="W13" s="148" t="inlineStr">
        <is>
          <t>Y</t>
        </is>
      </c>
      <c r="X13" s="148" t="inlineStr">
        <is>
          <t>Y</t>
        </is>
      </c>
      <c r="Y13" s="148" t="inlineStr">
        <is>
          <t>Y</t>
        </is>
      </c>
      <c r="Z13" s="148" t="n"/>
      <c r="AA13" s="148" t="inlineStr">
        <is>
          <t>Y</t>
        </is>
      </c>
      <c r="AB13" s="148" t="inlineStr">
        <is>
          <t>Y</t>
        </is>
      </c>
      <c r="AC13" s="148" t="n"/>
      <c r="AD13" s="148" t="n"/>
      <c r="AE13" s="148" t="n"/>
      <c r="AF13" s="148" t="n"/>
      <c r="AG13" s="148" t="n"/>
      <c r="AH13" s="148" t="n"/>
      <c r="AI13" s="148" t="n"/>
      <c r="AJ13" s="148" t="n"/>
      <c r="AK13" s="148" t="n"/>
      <c r="AL13" s="148" t="n"/>
    </row>
    <row r="14">
      <c r="A14" s="141" t="n">
        <v>9</v>
      </c>
      <c r="B14" s="142" t="inlineStr">
        <is>
          <t>AC</t>
        </is>
      </c>
      <c r="C14" s="143" t="n"/>
      <c r="D14" s="144" t="inlineStr">
        <is>
          <t>Technician</t>
        </is>
      </c>
      <c r="E14" s="145" t="inlineStr">
        <is>
          <t>Y</t>
        </is>
      </c>
      <c r="F14" s="146" t="n"/>
      <c r="G14" s="141">
        <f>IF(B14="","",COUNTIF(W$6:W$23,"Y"))</f>
        <v/>
      </c>
      <c r="H14" s="141">
        <f>IF(B14="","",COUNTIF(W$6:W$23,"T"))</f>
        <v/>
      </c>
      <c r="J14" s="141" t="n">
        <v>9</v>
      </c>
      <c r="K14" s="147" t="inlineStr">
        <is>
          <t>RPE</t>
        </is>
      </c>
      <c r="L14" s="144" t="n">
        <v>1</v>
      </c>
      <c r="M14" s="144" t="inlineStr">
        <is>
          <t>N</t>
        </is>
      </c>
      <c r="O14" s="148" t="n"/>
      <c r="P14" s="148" t="n"/>
      <c r="Q14" s="148" t="n"/>
      <c r="R14" s="148" t="inlineStr">
        <is>
          <t>Y</t>
        </is>
      </c>
      <c r="S14" s="148" t="inlineStr">
        <is>
          <t>Y</t>
        </is>
      </c>
      <c r="T14" s="148" t="n"/>
      <c r="U14" s="148" t="n"/>
      <c r="V14" s="148" t="n"/>
      <c r="W14" s="148" t="inlineStr">
        <is>
          <t>Y</t>
        </is>
      </c>
      <c r="X14" s="148" t="inlineStr">
        <is>
          <t>Y</t>
        </is>
      </c>
      <c r="Y14" s="148" t="inlineStr">
        <is>
          <t>Y</t>
        </is>
      </c>
      <c r="Z14" s="148" t="n"/>
      <c r="AA14" s="148" t="inlineStr">
        <is>
          <t>Y</t>
        </is>
      </c>
      <c r="AB14" s="148" t="inlineStr">
        <is>
          <t>Y</t>
        </is>
      </c>
      <c r="AC14" s="148" t="n"/>
      <c r="AD14" s="148" t="n"/>
      <c r="AE14" s="148" t="n"/>
      <c r="AF14" s="148" t="n"/>
      <c r="AG14" s="148" t="n"/>
      <c r="AH14" s="148" t="n"/>
      <c r="AI14" s="148" t="n"/>
      <c r="AJ14" s="148" t="n"/>
      <c r="AK14" s="148" t="n"/>
      <c r="AL14" s="148" t="n"/>
    </row>
    <row r="15">
      <c r="A15" s="141" t="n">
        <v>10</v>
      </c>
      <c r="B15" s="142" t="inlineStr">
        <is>
          <t>CE</t>
        </is>
      </c>
      <c r="C15" s="143" t="n"/>
      <c r="D15" s="144" t="inlineStr">
        <is>
          <t>Technician</t>
        </is>
      </c>
      <c r="E15" s="145" t="inlineStr">
        <is>
          <t>Y</t>
        </is>
      </c>
      <c r="F15" s="146" t="n"/>
      <c r="G15" s="141">
        <f>IF(B15="","",COUNTIF(X$6:X$23,"Y"))</f>
        <v/>
      </c>
      <c r="H15" s="141">
        <f>IF(B15="","",COUNTIF(X$6:X$23,"T"))</f>
        <v/>
      </c>
      <c r="J15" s="141" t="n">
        <v>10</v>
      </c>
      <c r="K15" s="147" t="inlineStr">
        <is>
          <t>DSL</t>
        </is>
      </c>
      <c r="L15" s="144" t="n">
        <v>1</v>
      </c>
      <c r="M15" s="144" t="inlineStr">
        <is>
          <t>N</t>
        </is>
      </c>
      <c r="O15" s="148" t="n"/>
      <c r="P15" s="148" t="n"/>
      <c r="Q15" s="148" t="inlineStr">
        <is>
          <t>Y</t>
        </is>
      </c>
      <c r="R15" s="148" t="n"/>
      <c r="S15" s="148" t="n"/>
      <c r="T15" s="148" t="n"/>
      <c r="U15" s="148" t="n"/>
      <c r="V15" s="148" t="n"/>
      <c r="W15" s="148" t="inlineStr">
        <is>
          <t>Y</t>
        </is>
      </c>
      <c r="X15" s="148" t="n"/>
      <c r="Y15" s="148" t="n"/>
      <c r="Z15" s="148" t="n"/>
      <c r="AA15" s="148" t="inlineStr">
        <is>
          <t>Y</t>
        </is>
      </c>
      <c r="AB15" s="148" t="inlineStr">
        <is>
          <t>T</t>
        </is>
      </c>
      <c r="AC15" s="148" t="inlineStr">
        <is>
          <t>Y</t>
        </is>
      </c>
      <c r="AD15" s="148" t="n"/>
      <c r="AE15" s="148" t="n"/>
      <c r="AF15" s="148" t="n"/>
      <c r="AG15" s="148" t="n"/>
      <c r="AH15" s="148" t="n"/>
      <c r="AI15" s="148" t="n"/>
      <c r="AJ15" s="148" t="n"/>
      <c r="AK15" s="148" t="n"/>
      <c r="AL15" s="148" t="n"/>
    </row>
    <row r="16">
      <c r="A16" s="141" t="n">
        <v>11</v>
      </c>
      <c r="B16" s="142" t="inlineStr">
        <is>
          <t>MH</t>
        </is>
      </c>
      <c r="C16" s="143" t="n"/>
      <c r="D16" s="144" t="inlineStr">
        <is>
          <t>Technician</t>
        </is>
      </c>
      <c r="E16" s="145" t="inlineStr">
        <is>
          <t>Y</t>
        </is>
      </c>
      <c r="F16" s="146" t="n"/>
      <c r="G16" s="141">
        <f>IF(B16="","",COUNTIF(Y$6:Y$23,"Y"))</f>
        <v/>
      </c>
      <c r="H16" s="141">
        <f>IF(B16="","",COUNTIF(Y$6:Y$23,"T"))</f>
        <v/>
      </c>
      <c r="J16" s="141" t="n">
        <v>11</v>
      </c>
      <c r="K16" s="147" t="inlineStr">
        <is>
          <t>Active Lab</t>
        </is>
      </c>
      <c r="L16" s="144" t="n">
        <v>1</v>
      </c>
      <c r="M16" s="144" t="inlineStr">
        <is>
          <t>N</t>
        </is>
      </c>
      <c r="O16" s="148" t="n"/>
      <c r="P16" s="148" t="n"/>
      <c r="Q16" s="148" t="n"/>
      <c r="R16" s="148" t="inlineStr">
        <is>
          <t>Y</t>
        </is>
      </c>
      <c r="S16" s="148" t="n"/>
      <c r="T16" s="148" t="n"/>
      <c r="U16" s="148" t="inlineStr">
        <is>
          <t>Y</t>
        </is>
      </c>
      <c r="V16" s="148" t="inlineStr">
        <is>
          <t>Y</t>
        </is>
      </c>
      <c r="W16" s="148" t="n"/>
      <c r="X16" s="148" t="n"/>
      <c r="Y16" s="148" t="n"/>
      <c r="Z16" s="148" t="inlineStr">
        <is>
          <t>Y</t>
        </is>
      </c>
      <c r="AA16" s="148" t="n"/>
      <c r="AB16" s="148" t="n"/>
      <c r="AC16" s="148" t="inlineStr">
        <is>
          <t>Y</t>
        </is>
      </c>
      <c r="AD16" s="148" t="n"/>
      <c r="AE16" s="148" t="n"/>
      <c r="AF16" s="148" t="inlineStr">
        <is>
          <t>T</t>
        </is>
      </c>
      <c r="AG16" s="148" t="n"/>
      <c r="AH16" s="148" t="n"/>
      <c r="AI16" s="148" t="n"/>
      <c r="AJ16" s="148" t="n"/>
      <c r="AK16" s="148" t="n"/>
      <c r="AL16" s="148" t="n"/>
    </row>
    <row r="17">
      <c r="A17" s="141" t="n">
        <v>12</v>
      </c>
      <c r="B17" s="142" t="inlineStr">
        <is>
          <t>KH</t>
        </is>
      </c>
      <c r="C17" s="143" t="n"/>
      <c r="D17" s="144" t="inlineStr">
        <is>
          <t>Technician</t>
        </is>
      </c>
      <c r="E17" s="145" t="inlineStr">
        <is>
          <t>Y</t>
        </is>
      </c>
      <c r="F17" s="146" t="n"/>
      <c r="G17" s="141">
        <f>IF(B17="","",COUNTIF(Z$6:Z$23,"Y"))</f>
        <v/>
      </c>
      <c r="H17" s="141">
        <f>IF(B17="","",COUNTIF(Z$6:Z$23,"T"))</f>
        <v/>
      </c>
      <c r="J17" s="141" t="n">
        <v>12</v>
      </c>
      <c r="K17" s="147" t="inlineStr">
        <is>
          <t>Sampling</t>
        </is>
      </c>
      <c r="L17" s="144" t="n">
        <v>1</v>
      </c>
      <c r="M17" s="144" t="inlineStr">
        <is>
          <t>N</t>
        </is>
      </c>
      <c r="O17" s="148" t="n"/>
      <c r="P17" s="148" t="n"/>
      <c r="Q17" s="148" t="n"/>
      <c r="R17" s="148" t="inlineStr">
        <is>
          <t>Y</t>
        </is>
      </c>
      <c r="S17" s="148" t="n"/>
      <c r="T17" s="148" t="inlineStr">
        <is>
          <t>Y</t>
        </is>
      </c>
      <c r="U17" s="148" t="inlineStr">
        <is>
          <t>Y</t>
        </is>
      </c>
      <c r="V17" s="148" t="inlineStr">
        <is>
          <t>Y</t>
        </is>
      </c>
      <c r="W17" s="148" t="n"/>
      <c r="X17" s="148" t="inlineStr">
        <is>
          <t>Y</t>
        </is>
      </c>
      <c r="Y17" s="148" t="n"/>
      <c r="Z17" s="148" t="inlineStr">
        <is>
          <t>Y</t>
        </is>
      </c>
      <c r="AA17" s="148" t="n"/>
      <c r="AB17" s="148" t="n"/>
      <c r="AC17" s="148" t="inlineStr">
        <is>
          <t>Y</t>
        </is>
      </c>
      <c r="AD17" s="148" t="n"/>
      <c r="AE17" s="148" t="n"/>
      <c r="AF17" s="148" t="inlineStr">
        <is>
          <t>T</t>
        </is>
      </c>
      <c r="AG17" s="148" t="n"/>
      <c r="AH17" s="148" t="n"/>
      <c r="AI17" s="148" t="n"/>
      <c r="AJ17" s="148" t="n"/>
      <c r="AK17" s="148" t="n"/>
      <c r="AL17" s="148" t="n"/>
    </row>
    <row r="18">
      <c r="A18" s="141" t="n">
        <v>13</v>
      </c>
      <c r="B18" s="142" t="inlineStr">
        <is>
          <t>RH</t>
        </is>
      </c>
      <c r="C18" s="143" t="n"/>
      <c r="D18" s="144" t="inlineStr">
        <is>
          <t>Technician</t>
        </is>
      </c>
      <c r="E18" s="145" t="inlineStr">
        <is>
          <t>Y</t>
        </is>
      </c>
      <c r="F18" s="146" t="n"/>
      <c r="G18" s="141">
        <f>IF(B18="","",COUNTIF(AA$6:AA$23,"Y"))</f>
        <v/>
      </c>
      <c r="H18" s="141">
        <f>IF(B18="","",COUNTIF(AA$6:AA$23,"T"))</f>
        <v/>
      </c>
      <c r="J18" s="141" t="n">
        <v>13</v>
      </c>
      <c r="K18" s="147" t="inlineStr">
        <is>
          <t>Decontam</t>
        </is>
      </c>
      <c r="L18" s="144" t="n">
        <v>1</v>
      </c>
      <c r="M18" s="144" t="inlineStr">
        <is>
          <t>N</t>
        </is>
      </c>
      <c r="O18" s="148" t="n"/>
      <c r="P18" s="148" t="n"/>
      <c r="Q18" s="148" t="n"/>
      <c r="R18" s="148" t="inlineStr">
        <is>
          <t>Y</t>
        </is>
      </c>
      <c r="S18" s="148" t="n"/>
      <c r="T18" s="148" t="n"/>
      <c r="U18" s="148" t="inlineStr">
        <is>
          <t>T</t>
        </is>
      </c>
      <c r="V18" s="148" t="n"/>
      <c r="W18" s="148" t="inlineStr">
        <is>
          <t>Y</t>
        </is>
      </c>
      <c r="X18" s="148" t="n"/>
      <c r="Y18" s="148" t="inlineStr">
        <is>
          <t>Y</t>
        </is>
      </c>
      <c r="Z18" s="148" t="n"/>
      <c r="AA18" s="148" t="n"/>
      <c r="AB18" s="148" t="n"/>
      <c r="AC18" s="148" t="n"/>
      <c r="AD18" s="148" t="n"/>
      <c r="AE18" s="148" t="inlineStr">
        <is>
          <t>Y</t>
        </is>
      </c>
      <c r="AF18" s="148" t="n"/>
      <c r="AG18" s="148" t="n"/>
      <c r="AH18" s="148" t="n"/>
      <c r="AI18" s="148" t="n"/>
      <c r="AJ18" s="148" t="n"/>
      <c r="AK18" s="148" t="n"/>
      <c r="AL18" s="148" t="n"/>
    </row>
    <row r="19">
      <c r="A19" s="141" t="n">
        <v>14</v>
      </c>
      <c r="B19" s="142" t="inlineStr">
        <is>
          <t>NP</t>
        </is>
      </c>
      <c r="C19" s="143" t="n"/>
      <c r="D19" s="144" t="inlineStr">
        <is>
          <t>Technician</t>
        </is>
      </c>
      <c r="E19" s="145" t="inlineStr">
        <is>
          <t>Y</t>
        </is>
      </c>
      <c r="F19" s="146" t="n"/>
      <c r="G19" s="141">
        <f>IF(B19="","",COUNTIF(AB$6:AB$23,"Y"))</f>
        <v/>
      </c>
      <c r="H19" s="141">
        <f>IF(B19="","",COUNTIF(AB$6:AB$23,"T"))</f>
        <v/>
      </c>
      <c r="J19" s="141" t="n">
        <v>14</v>
      </c>
      <c r="K19" s="147" t="inlineStr">
        <is>
          <t>Greenstream</t>
        </is>
      </c>
      <c r="L19" s="144" t="n">
        <v>1</v>
      </c>
      <c r="M19" s="144" t="inlineStr">
        <is>
          <t>N</t>
        </is>
      </c>
      <c r="O19" s="148" t="n"/>
      <c r="P19" s="148" t="n"/>
      <c r="Q19" s="148" t="inlineStr">
        <is>
          <t>Y</t>
        </is>
      </c>
      <c r="R19" s="148" t="inlineStr">
        <is>
          <t>Y</t>
        </is>
      </c>
      <c r="S19" s="148" t="n"/>
      <c r="T19" s="148" t="inlineStr">
        <is>
          <t>Y</t>
        </is>
      </c>
      <c r="U19" s="148" t="inlineStr">
        <is>
          <t>Y</t>
        </is>
      </c>
      <c r="V19" s="148" t="inlineStr">
        <is>
          <t>Y</t>
        </is>
      </c>
      <c r="W19" s="148" t="inlineStr">
        <is>
          <t>Y</t>
        </is>
      </c>
      <c r="X19" s="148" t="inlineStr">
        <is>
          <t>Y</t>
        </is>
      </c>
      <c r="Y19" s="148" t="inlineStr">
        <is>
          <t>Y</t>
        </is>
      </c>
      <c r="Z19" s="148" t="inlineStr">
        <is>
          <t>Y</t>
        </is>
      </c>
      <c r="AA19" s="148" t="inlineStr">
        <is>
          <t>Y</t>
        </is>
      </c>
      <c r="AB19" s="148" t="inlineStr">
        <is>
          <t>Y</t>
        </is>
      </c>
      <c r="AC19" s="148" t="inlineStr">
        <is>
          <t>Y</t>
        </is>
      </c>
      <c r="AD19" s="148" t="inlineStr">
        <is>
          <t>T</t>
        </is>
      </c>
      <c r="AE19" s="148" t="inlineStr">
        <is>
          <t>Y</t>
        </is>
      </c>
      <c r="AF19" s="148" t="inlineStr">
        <is>
          <t>Y</t>
        </is>
      </c>
      <c r="AG19" s="148" t="n"/>
      <c r="AH19" s="148" t="n"/>
      <c r="AI19" s="148" t="n"/>
      <c r="AJ19" s="148" t="n"/>
      <c r="AK19" s="148" t="n"/>
      <c r="AL19" s="148" t="n"/>
    </row>
    <row r="20">
      <c r="A20" s="141" t="n">
        <v>15</v>
      </c>
      <c r="B20" s="142" t="inlineStr">
        <is>
          <t>SP</t>
        </is>
      </c>
      <c r="C20" s="143" t="n"/>
      <c r="D20" s="144" t="inlineStr">
        <is>
          <t>Technician</t>
        </is>
      </c>
      <c r="E20" s="145" t="inlineStr">
        <is>
          <t>Y</t>
        </is>
      </c>
      <c r="F20" s="146" t="n"/>
      <c r="G20" s="141">
        <f>IF(B20="","",COUNTIF(AC$6:AC$23,"Y"))</f>
        <v/>
      </c>
      <c r="H20" s="141">
        <f>IF(B20="","",COUNTIF(AC$6:AC$23,"T"))</f>
        <v/>
      </c>
      <c r="J20" s="141" t="n">
        <v>15</v>
      </c>
      <c r="K20" s="147" t="inlineStr">
        <is>
          <t>Dosimetry</t>
        </is>
      </c>
      <c r="L20" s="144" t="n">
        <v>1</v>
      </c>
      <c r="M20" s="144" t="inlineStr">
        <is>
          <t>N</t>
        </is>
      </c>
      <c r="O20" s="148" t="n"/>
      <c r="P20" s="148" t="n"/>
      <c r="Q20" s="148" t="n"/>
      <c r="R20" s="148" t="n"/>
      <c r="S20" s="148" t="n"/>
      <c r="T20" s="148" t="inlineStr">
        <is>
          <t>Y</t>
        </is>
      </c>
      <c r="U20" s="148" t="n"/>
      <c r="V20" s="148" t="inlineStr">
        <is>
          <t>Y</t>
        </is>
      </c>
      <c r="W20" s="148" t="n"/>
      <c r="X20" s="148" t="n"/>
      <c r="Y20" s="148" t="n"/>
      <c r="Z20" s="148" t="inlineStr">
        <is>
          <t>Y</t>
        </is>
      </c>
      <c r="AA20" s="148" t="inlineStr">
        <is>
          <t>Y</t>
        </is>
      </c>
      <c r="AB20" s="148" t="n"/>
      <c r="AC20" s="148" t="n"/>
      <c r="AD20" s="148" t="n"/>
      <c r="AE20" s="148" t="n"/>
      <c r="AF20" s="148" t="inlineStr">
        <is>
          <t>Y</t>
        </is>
      </c>
      <c r="AG20" s="148" t="n"/>
      <c r="AH20" s="148" t="n"/>
      <c r="AI20" s="148" t="n"/>
      <c r="AJ20" s="148" t="n"/>
      <c r="AK20" s="148" t="n"/>
      <c r="AL20" s="148" t="n"/>
    </row>
    <row r="21">
      <c r="A21" s="141" t="n">
        <v>16</v>
      </c>
      <c r="B21" s="142" t="inlineStr">
        <is>
          <t>JT</t>
        </is>
      </c>
      <c r="C21" s="143" t="n"/>
      <c r="D21" s="144" t="inlineStr">
        <is>
          <t>Technician</t>
        </is>
      </c>
      <c r="E21" s="145" t="inlineStr">
        <is>
          <t>Y</t>
        </is>
      </c>
      <c r="F21" s="146" t="n"/>
      <c r="G21" s="141">
        <f>IF(B21="","",COUNTIF(AD$6:AD$23,"Y"))</f>
        <v/>
      </c>
      <c r="H21" s="141">
        <f>IF(B21="","",COUNTIF(AD$6:AD$23,"T"))</f>
        <v/>
      </c>
      <c r="J21" s="141" t="n">
        <v>16</v>
      </c>
      <c r="K21" s="147" t="inlineStr">
        <is>
          <t>Emergency Scheme</t>
        </is>
      </c>
      <c r="L21" s="144" t="n">
        <v>1</v>
      </c>
      <c r="M21" s="144" t="inlineStr">
        <is>
          <t>N</t>
        </is>
      </c>
      <c r="O21" s="148" t="n"/>
      <c r="P21" s="148" t="n"/>
      <c r="Q21" s="148" t="inlineStr">
        <is>
          <t>Y</t>
        </is>
      </c>
      <c r="R21" s="148" t="inlineStr">
        <is>
          <t>Y</t>
        </is>
      </c>
      <c r="S21" s="148" t="inlineStr">
        <is>
          <t>Y</t>
        </is>
      </c>
      <c r="T21" s="148" t="inlineStr">
        <is>
          <t>Y</t>
        </is>
      </c>
      <c r="U21" s="148" t="inlineStr">
        <is>
          <t>Y</t>
        </is>
      </c>
      <c r="V21" s="148" t="inlineStr">
        <is>
          <t>Y</t>
        </is>
      </c>
      <c r="W21" s="148" t="inlineStr">
        <is>
          <t>Y</t>
        </is>
      </c>
      <c r="X21" s="148" t="inlineStr">
        <is>
          <t>Y</t>
        </is>
      </c>
      <c r="Y21" s="148" t="inlineStr">
        <is>
          <t>Y</t>
        </is>
      </c>
      <c r="Z21" s="148" t="inlineStr">
        <is>
          <t>Y</t>
        </is>
      </c>
      <c r="AA21" s="148" t="inlineStr">
        <is>
          <t>Y</t>
        </is>
      </c>
      <c r="AB21" s="148" t="inlineStr">
        <is>
          <t>Y</t>
        </is>
      </c>
      <c r="AC21" s="148" t="inlineStr">
        <is>
          <t>Y</t>
        </is>
      </c>
      <c r="AD21" s="148" t="inlineStr">
        <is>
          <t>T</t>
        </is>
      </c>
      <c r="AE21" s="148" t="inlineStr">
        <is>
          <t>Y</t>
        </is>
      </c>
      <c r="AF21" s="148" t="inlineStr">
        <is>
          <t>Y</t>
        </is>
      </c>
      <c r="AG21" s="148" t="n"/>
      <c r="AH21" s="148" t="n"/>
      <c r="AI21" s="148" t="n"/>
      <c r="AJ21" s="148" t="n"/>
      <c r="AK21" s="148" t="n"/>
      <c r="AL21" s="148" t="n"/>
    </row>
    <row r="22">
      <c r="A22" s="141" t="n">
        <v>17</v>
      </c>
      <c r="B22" s="142" t="inlineStr">
        <is>
          <t>AW</t>
        </is>
      </c>
      <c r="C22" s="143" t="n"/>
      <c r="D22" s="144" t="inlineStr">
        <is>
          <t>Technician</t>
        </is>
      </c>
      <c r="E22" s="145" t="inlineStr">
        <is>
          <t>Y</t>
        </is>
      </c>
      <c r="F22" s="146" t="n"/>
      <c r="G22" s="141">
        <f>IF(B22="","",COUNTIF(AE$6:AE$23,"Y"))</f>
        <v/>
      </c>
      <c r="H22" s="141">
        <f>IF(B22="","",COUNTIF(AE$6:AE$23,"T"))</f>
        <v/>
      </c>
      <c r="J22" s="141" t="n">
        <v>17</v>
      </c>
      <c r="K22" s="147" t="n"/>
      <c r="L22" s="144" t="n"/>
      <c r="M22" s="144" t="n"/>
      <c r="O22" s="148" t="n"/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  <c r="AA22" s="148" t="n"/>
      <c r="AB22" s="148" t="n"/>
      <c r="AC22" s="148" t="n"/>
      <c r="AD22" s="148" t="n"/>
      <c r="AE22" s="148" t="n"/>
      <c r="AF22" s="148" t="n"/>
      <c r="AG22" s="148" t="n"/>
      <c r="AH22" s="148" t="n"/>
      <c r="AI22" s="148" t="n"/>
      <c r="AJ22" s="148" t="n"/>
      <c r="AK22" s="148" t="n"/>
      <c r="AL22" s="148" t="n"/>
    </row>
    <row r="23">
      <c r="A23" s="141" t="n">
        <v>18</v>
      </c>
      <c r="B23" s="142" t="inlineStr">
        <is>
          <t>SY</t>
        </is>
      </c>
      <c r="C23" s="143" t="n"/>
      <c r="D23" s="144" t="inlineStr">
        <is>
          <t>Technician</t>
        </is>
      </c>
      <c r="E23" s="145" t="inlineStr">
        <is>
          <t>Y</t>
        </is>
      </c>
      <c r="F23" s="146" t="n"/>
      <c r="G23" s="141">
        <f>IF(B23="","",COUNTIF(AF$6:AF$23,"Y"))</f>
        <v/>
      </c>
      <c r="H23" s="141">
        <f>IF(B23="","",COUNTIF(AF$6:AF$23,"T"))</f>
        <v/>
      </c>
      <c r="J23" s="141" t="n">
        <v>18</v>
      </c>
      <c r="K23" s="147" t="n"/>
      <c r="L23" s="144" t="n"/>
      <c r="M23" s="144" t="n"/>
      <c r="O23" s="148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  <c r="AA23" s="148" t="n"/>
      <c r="AB23" s="148" t="n"/>
      <c r="AC23" s="148" t="n"/>
      <c r="AD23" s="148" t="n"/>
      <c r="AE23" s="148" t="n"/>
      <c r="AF23" s="148" t="n"/>
      <c r="AG23" s="148" t="n"/>
      <c r="AH23" s="148" t="n"/>
      <c r="AI23" s="148" t="n"/>
      <c r="AJ23" s="148" t="n"/>
      <c r="AK23" s="148" t="n"/>
      <c r="AL23" s="148" t="n"/>
    </row>
    <row r="24">
      <c r="A24" s="141" t="n">
        <v>19</v>
      </c>
      <c r="B24" s="142" t="n"/>
      <c r="C24" s="143" t="n"/>
      <c r="D24" s="144" t="n"/>
      <c r="E24" s="145" t="n"/>
      <c r="F24" s="146" t="n"/>
      <c r="G24" s="141">
        <f>IF(B24="","",COUNTIF(AG$6:AG$23,"Y"))</f>
        <v/>
      </c>
      <c r="H24" s="141">
        <f>IF(B24="","",COUNTIF(AG$6:AG$23,"T"))</f>
        <v/>
      </c>
    </row>
    <row r="25">
      <c r="A25" s="141" t="n">
        <v>20</v>
      </c>
      <c r="B25" s="142" t="n"/>
      <c r="C25" s="143" t="n"/>
      <c r="D25" s="144" t="n"/>
      <c r="E25" s="145" t="n"/>
      <c r="F25" s="146" t="n"/>
      <c r="G25" s="141">
        <f>IF(B25="","",COUNTIF(AH$6:AH$23,"Y"))</f>
        <v/>
      </c>
      <c r="H25" s="141">
        <f>IF(B25="","",COUNTIF(AH$6:AH$23,"T"))</f>
        <v/>
      </c>
    </row>
    <row r="26">
      <c r="A26" s="141" t="n">
        <v>21</v>
      </c>
      <c r="B26" s="142" t="n"/>
      <c r="C26" s="143" t="n"/>
      <c r="D26" s="144" t="n"/>
      <c r="E26" s="145" t="n"/>
      <c r="F26" s="146" t="n"/>
      <c r="G26" s="141">
        <f>IF(B26="","",COUNTIF(AI$6:AI$23,"Y"))</f>
        <v/>
      </c>
      <c r="H26" s="141">
        <f>IF(B26="","",COUNTIF(AI$6:AI$23,"T"))</f>
        <v/>
      </c>
    </row>
    <row r="27">
      <c r="A27" s="141" t="n">
        <v>22</v>
      </c>
      <c r="B27" s="142" t="n"/>
      <c r="C27" s="143" t="n"/>
      <c r="D27" s="144" t="n"/>
      <c r="E27" s="145" t="n"/>
      <c r="F27" s="146" t="n"/>
      <c r="G27" s="141">
        <f>IF(B27="","",COUNTIF(AJ$6:AJ$23,"Y"))</f>
        <v/>
      </c>
      <c r="H27" s="141">
        <f>IF(B27="","",COUNTIF(AJ$6:AJ$23,"T"))</f>
        <v/>
      </c>
    </row>
    <row r="28">
      <c r="A28" s="141" t="n">
        <v>23</v>
      </c>
      <c r="B28" s="142" t="n"/>
      <c r="C28" s="143" t="n"/>
      <c r="D28" s="144" t="n"/>
      <c r="E28" s="145" t="n"/>
      <c r="F28" s="146" t="n"/>
      <c r="G28" s="141">
        <f>IF(B28="","",COUNTIF(AK$6:AK$23,"Y"))</f>
        <v/>
      </c>
      <c r="H28" s="141">
        <f>IF(B28="","",COUNTIF(AK$6:AK$23,"T"))</f>
        <v/>
      </c>
    </row>
    <row r="29">
      <c r="A29" s="141" t="n">
        <v>24</v>
      </c>
      <c r="B29" s="142" t="n"/>
      <c r="C29" s="143" t="n"/>
      <c r="D29" s="144" t="n"/>
      <c r="E29" s="145" t="n"/>
      <c r="F29" s="146" t="n"/>
      <c r="G29" s="141">
        <f>IF(B29="","",COUNTIF(AL$6:AL$23,"Y"))</f>
        <v/>
      </c>
      <c r="H29" s="141">
        <f>IF(B29="","",COUNTIF(AL$6:AL$23,"T"))</f>
        <v/>
      </c>
    </row>
    <row r="31">
      <c r="B31" s="7" t="inlineStr">
        <is>
          <t>STATUS CODES  (typed against a person in the availability grid)</t>
        </is>
      </c>
      <c r="J31" s="7" t="inlineStr">
        <is>
          <t>PLANNING YEARS  (ISO weeks: week 1 contains 4 January)</t>
        </is>
      </c>
    </row>
    <row r="32">
      <c r="A32" s="139" t="inlineStr">
        <is>
          <t>#</t>
        </is>
      </c>
      <c r="B32" s="139" t="inlineStr">
        <is>
          <t>Code</t>
        </is>
      </c>
      <c r="C32" s="139" t="inlineStr">
        <is>
          <t>Meaning</t>
        </is>
      </c>
      <c r="D32" s="139" t="inlineStr">
        <is>
          <t>Unavailable?</t>
        </is>
      </c>
      <c r="E32" s="139" t="inlineStr">
        <is>
          <t>Colour</t>
        </is>
      </c>
      <c r="F32" s="139" t="inlineStr">
        <is>
          <t>helper</t>
        </is>
      </c>
      <c r="G32" s="139" t="inlineStr">
        <is>
          <t>flag</t>
        </is>
      </c>
      <c r="J32" s="139" t="inlineStr">
        <is>
          <t>#</t>
        </is>
      </c>
      <c r="K32" s="139" t="inlineStr">
        <is>
          <t>Year</t>
        </is>
      </c>
      <c r="L32" s="139" t="inlineStr">
        <is>
          <t>Week 1 starts</t>
        </is>
      </c>
      <c r="M32" s="139" t="inlineStr">
        <is>
          <t>ISO weeks</t>
        </is>
      </c>
    </row>
    <row r="33">
      <c r="A33" s="141" t="n">
        <v>1</v>
      </c>
      <c r="B33" s="145" t="inlineStr">
        <is>
          <t>AL</t>
        </is>
      </c>
      <c r="C33" s="143" t="inlineStr">
        <is>
          <t>Annual leave</t>
        </is>
      </c>
      <c r="D33" s="145" t="inlineStr">
        <is>
          <t>Y</t>
        </is>
      </c>
      <c r="E33" s="149">
        <f>IF(B33="","",B33)</f>
        <v/>
      </c>
      <c r="F33" s="150">
        <f>IF(AND(B33&lt;&gt;"",D33="Y"),B33,"•")</f>
        <v/>
      </c>
      <c r="G33" s="150">
        <f>IF(D33="Y",1,0)</f>
        <v/>
      </c>
      <c r="J33" s="141" t="n">
        <v>1</v>
      </c>
      <c r="K33" s="151" t="n">
        <v>2027</v>
      </c>
      <c r="L33" s="152">
        <f>DATE(K33,1,4)-WEEKDAY(DATE(K33,1,4),3)</f>
        <v/>
      </c>
      <c r="M33" s="153">
        <f>IF(OR(WEEKDAY(DATE(K33,1,1),2)=4,AND(WEEKDAY(DATE(K33,1,1),2)=3,OR(AND(MOD(K33,4)=0,MOD(K33,100)&lt;&gt;0),MOD(K33,400)=0))),53,52)</f>
        <v/>
      </c>
    </row>
    <row r="34">
      <c r="A34" s="141" t="n">
        <v>2</v>
      </c>
      <c r="B34" s="145" t="inlineStr">
        <is>
          <t>HRA</t>
        </is>
      </c>
      <c r="C34" s="143" t="inlineStr">
        <is>
          <t>HRA (as used on the previous planner)</t>
        </is>
      </c>
      <c r="D34" s="145" t="inlineStr">
        <is>
          <t>Y</t>
        </is>
      </c>
      <c r="E34" s="154">
        <f>IF(B34="","",B34)</f>
        <v/>
      </c>
      <c r="F34" s="150">
        <f>IF(AND(B34&lt;&gt;"",D34="Y"),B34,"•")</f>
        <v/>
      </c>
      <c r="G34" s="150">
        <f>IF(D34="Y",1,0)</f>
        <v/>
      </c>
      <c r="J34" s="141" t="n">
        <v>2</v>
      </c>
      <c r="K34" s="151" t="n">
        <v>2028</v>
      </c>
      <c r="L34" s="152">
        <f>DATE(K34,1,4)-WEEKDAY(DATE(K34,1,4),3)</f>
        <v/>
      </c>
      <c r="M34" s="153">
        <f>IF(OR(WEEKDAY(DATE(K34,1,1),2)=4,AND(WEEKDAY(DATE(K34,1,1),2)=3,OR(AND(MOD(K34,4)=0,MOD(K34,100)&lt;&gt;0),MOD(K34,400)=0))),53,52)</f>
        <v/>
      </c>
    </row>
    <row r="35">
      <c r="A35" s="141" t="n">
        <v>3</v>
      </c>
      <c r="B35" s="145" t="inlineStr">
        <is>
          <t>T</t>
        </is>
      </c>
      <c r="C35" s="143" t="inlineStr">
        <is>
          <t>Training / course (still on site)</t>
        </is>
      </c>
      <c r="D35" s="145" t="inlineStr">
        <is>
          <t>N</t>
        </is>
      </c>
      <c r="E35" s="155">
        <f>IF(B35="","",B35)</f>
        <v/>
      </c>
      <c r="F35" s="150">
        <f>IF(AND(B35&lt;&gt;"",D35="Y"),B35,"•")</f>
        <v/>
      </c>
      <c r="G35" s="150">
        <f>IF(D35="Y",1,0)</f>
        <v/>
      </c>
      <c r="J35" s="141" t="n">
        <v>3</v>
      </c>
      <c r="K35" s="151" t="n">
        <v>2029</v>
      </c>
      <c r="L35" s="152">
        <f>DATE(K35,1,4)-WEEKDAY(DATE(K35,1,4),3)</f>
        <v/>
      </c>
      <c r="M35" s="153">
        <f>IF(OR(WEEKDAY(DATE(K35,1,1),2)=4,AND(WEEKDAY(DATE(K35,1,1),2)=3,OR(AND(MOD(K35,4)=0,MOD(K35,100)&lt;&gt;0),MOD(K35,400)=0))),53,52)</f>
        <v/>
      </c>
    </row>
    <row r="36">
      <c r="A36" s="141" t="n">
        <v>4</v>
      </c>
      <c r="B36" s="145" t="inlineStr">
        <is>
          <t>S</t>
        </is>
      </c>
      <c r="C36" s="143" t="inlineStr">
        <is>
          <t>Sick</t>
        </is>
      </c>
      <c r="D36" s="145" t="inlineStr">
        <is>
          <t>Y</t>
        </is>
      </c>
      <c r="E36" s="156">
        <f>IF(B36="","",B36)</f>
        <v/>
      </c>
      <c r="F36" s="150">
        <f>IF(AND(B36&lt;&gt;"",D36="Y"),B36,"•")</f>
        <v/>
      </c>
      <c r="G36" s="150">
        <f>IF(D36="Y",1,0)</f>
        <v/>
      </c>
      <c r="J36" s="141" t="n">
        <v>4</v>
      </c>
      <c r="K36" s="151" t="n">
        <v>2030</v>
      </c>
      <c r="L36" s="152">
        <f>DATE(K36,1,4)-WEEKDAY(DATE(K36,1,4),3)</f>
        <v/>
      </c>
      <c r="M36" s="153">
        <f>IF(OR(WEEKDAY(DATE(K36,1,1),2)=4,AND(WEEKDAY(DATE(K36,1,1),2)=3,OR(AND(MOD(K36,4)=0,MOD(K36,100)&lt;&gt;0),MOD(K36,400)=0))),53,52)</f>
        <v/>
      </c>
    </row>
    <row r="37">
      <c r="A37" s="141" t="n">
        <v>5</v>
      </c>
      <c r="B37" s="145" t="inlineStr">
        <is>
          <t>OS</t>
        </is>
      </c>
      <c r="C37" s="143" t="inlineStr">
        <is>
          <t>Off site / secondment</t>
        </is>
      </c>
      <c r="D37" s="145" t="inlineStr">
        <is>
          <t>Y</t>
        </is>
      </c>
      <c r="E37" s="157">
        <f>IF(B37="","",B37)</f>
        <v/>
      </c>
      <c r="F37" s="150">
        <f>IF(AND(B37&lt;&gt;"",D37="Y"),B37,"•")</f>
        <v/>
      </c>
      <c r="G37" s="150">
        <f>IF(D37="Y",1,0)</f>
        <v/>
      </c>
    </row>
    <row r="38">
      <c r="A38" s="141" t="n">
        <v>6</v>
      </c>
      <c r="B38" s="145" t="inlineStr">
        <is>
          <t>HD</t>
        </is>
      </c>
      <c r="C38" s="143" t="inlineStr">
        <is>
          <t>Half day (available)</t>
        </is>
      </c>
      <c r="D38" s="145" t="inlineStr">
        <is>
          <t>N</t>
        </is>
      </c>
      <c r="E38" s="158">
        <f>IF(B38="","",B38)</f>
        <v/>
      </c>
      <c r="F38" s="150">
        <f>IF(AND(B38&lt;&gt;"",D38="Y"),B38,"•")</f>
        <v/>
      </c>
      <c r="G38" s="150">
        <f>IF(D38="Y",1,0)</f>
        <v/>
      </c>
    </row>
    <row r="39">
      <c r="A39" s="141" t="n">
        <v>7</v>
      </c>
      <c r="B39" s="145" t="n"/>
      <c r="C39" s="143" t="n"/>
      <c r="D39" s="145" t="n"/>
      <c r="E39" s="159">
        <f>IF(B39="","",B39)</f>
        <v/>
      </c>
      <c r="F39" s="150">
        <f>IF(AND(B39&lt;&gt;"",D39="Y"),B39,"•")</f>
        <v/>
      </c>
      <c r="G39" s="150">
        <f>IF(D39="Y",1,0)</f>
        <v/>
      </c>
    </row>
    <row r="40">
      <c r="A40" s="141" t="n">
        <v>8</v>
      </c>
      <c r="B40" s="145" t="n"/>
      <c r="C40" s="143" t="n"/>
      <c r="D40" s="145" t="n"/>
      <c r="E40" s="160">
        <f>IF(B40="","",B40)</f>
        <v/>
      </c>
      <c r="F40" s="150">
        <f>IF(AND(B40&lt;&gt;"",D40="Y"),B40,"•")</f>
        <v/>
      </c>
      <c r="G40" s="150">
        <f>IF(D40="Y",1,0)</f>
        <v/>
      </c>
    </row>
    <row r="41">
      <c r="B41" s="11" t="inlineStr">
        <is>
          <t>Row 3 is treated as the Training code by the Year View. Columns F:G are helpers used by formulas.</t>
        </is>
      </c>
    </row>
    <row r="43">
      <c r="B43" s="7" t="inlineStr">
        <is>
          <t>HOW TO EDIT THIS SHEET</t>
        </is>
      </c>
    </row>
    <row r="44">
      <c r="B44" s="161" t="inlineStr">
        <is>
          <t>•  Yellow cells are inputs. Everything else is calculated - the sheet is protected (no password) to stop accidental edits.</t>
        </is>
      </c>
    </row>
    <row r="45">
      <c r="B45" s="161" t="inlineStr">
        <is>
          <t>•  Initials must be unique and must match what people are called in the week grids (the dropdowns take care of that).</t>
        </is>
      </c>
    </row>
    <row r="46">
      <c r="B46" s="161" t="inlineStr">
        <is>
          <t>•  Competency matrix: Y = fully qualified (SQEP). T = trainee - offered in dropdowns with a * so they are rostered alongside a SQEP person.</t>
        </is>
      </c>
    </row>
    <row r="47">
      <c r="B47" s="161" t="inlineStr">
        <is>
          <t>•  Min per weekday: how many people that duty needs Mon-Fri. Weekend cover Y: one person needed Sat and Sun.</t>
        </is>
      </c>
    </row>
    <row r="48">
      <c r="B48" s="161" t="inlineStr">
        <is>
          <t>•  Status codes: keep them short. Unavailable? = Y hides the person from that day's dropdowns and flags any conflict in red.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conditionalFormatting sqref="O6:AL23">
    <cfRule type="cellIs" priority="1" operator="equal" dxfId="8">
      <formula>"Y"</formula>
    </cfRule>
    <cfRule type="cellIs" priority="2" operator="equal" dxfId="27">
      <formula>"T"</formula>
    </cfRule>
  </conditionalFormatting>
  <conditionalFormatting sqref="B6:H29">
    <cfRule type="expression" priority="3" dxfId="19">
      <formula>$E6="N"</formula>
    </cfRule>
  </conditionalFormatting>
  <dataValidations count="4">
    <dataValidation sqref="D6:D29" showDropDown="0" showInputMessage="0" showErrorMessage="0" allowBlank="1" type="list">
      <formula1>"Team Leader,Technician,Trainee,Other"</formula1>
    </dataValidation>
    <dataValidation sqref="D33:D40 E6:E29 M6:M23" showDropDown="0" showInputMessage="0" showErrorMessage="0" allowBlank="1" type="list">
      <formula1>"Y,N"</formula1>
    </dataValidation>
    <dataValidation sqref="O6:AL23" showDropDown="0" showInputMessage="0" showErrorMessage="0" allowBlank="1" type="list">
      <formula1>"Y,T"</formula1>
    </dataValidation>
    <dataValidation sqref="L6:L23" showDropDown="0" showInputMessage="0" showErrorMessage="0" allowBlank="1" errorTitle="Min per weekday" error="Enter 0 to 3 (there are three slots per weekday)." type="whole" operator="between">
      <formula1>0</formula1>
      <formula2>3</formula2>
    </dataValidation>
  </dataValidations>
  <hyperlinks>
    <hyperlink xmlns:r="http://schemas.openxmlformats.org/officeDocument/2006/relationships" ref="AH1" r:id="rId1"/>
    <hyperlink xmlns:r="http://schemas.openxmlformats.org/officeDocument/2006/relationships" ref="AK1" r:id="rId2"/>
  </hyperlinks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5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10" customWidth="1" min="3" max="3"/>
  </cols>
  <sheetData>
    <row r="1" ht="30" customHeight="1">
      <c r="A1" s="1" t="n"/>
      <c r="B1" s="52" t="inlineStr">
        <is>
          <t>GUIDE  ·  how the planner works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53" t="inlineStr">
        <is>
          <t>◀ Dashboard</t>
        </is>
      </c>
      <c r="L1" s="1" t="n"/>
    </row>
    <row r="2" ht="16" customHeight="1">
      <c r="A2" s="1" t="n"/>
      <c r="B2" s="4" t="inlineStr">
        <is>
          <t>Five minutes here saves an hour later.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B4" s="7" t="inlineStr">
        <is>
          <t>WHAT IS WHERE</t>
        </is>
      </c>
    </row>
    <row r="5" ht="28" customHeight="1">
      <c r="B5" s="162" t="inlineStr">
        <is>
          <t>•</t>
        </is>
      </c>
      <c r="C5" s="163" t="inlineStr">
        <is>
          <t>Dashboard - pick the planning week; see coverage, gaps with suggested cover, who is around, and jump anywhere.</t>
        </is>
      </c>
    </row>
    <row r="6" ht="28" customHeight="1">
      <c r="B6" s="162" t="inlineStr">
        <is>
          <t>•</t>
        </is>
      </c>
      <c r="C6" s="163" t="inlineStr">
        <is>
          <t>2027 / 2028 / 2029 / 2030 - one block per ISO week. Top half: duties x days, three slots per weekday, one at the weekend. Bottom half: team availability.</t>
        </is>
      </c>
    </row>
    <row r="7" ht="28" customHeight="1">
      <c r="B7" s="162" t="inlineStr">
        <is>
          <t>•</t>
        </is>
      </c>
      <c r="C7" s="163" t="inlineStr">
        <is>
          <t>Setup - the team, the duties, the competency (SQEP) matrix, status codes and the planning years. Change things here and everything follows.</t>
        </is>
      </c>
    </row>
    <row r="8" ht="28" customHeight="1">
      <c r="B8" s="162" t="inlineStr">
        <is>
          <t>•</t>
        </is>
      </c>
      <c r="C8" s="163" t="inlineStr">
        <is>
          <t>My Rota - six weeks for one person, ready to print or send. Also shows how the year's duty days are shared.</t>
        </is>
      </c>
    </row>
    <row r="9" ht="28" customHeight="1">
      <c r="B9" s="162" t="inlineStr">
        <is>
          <t>•</t>
        </is>
      </c>
      <c r="C9" s="163" t="inlineStr">
        <is>
          <t>Year View - the whole year on one screen: weekday gaps per duty per week (click a week to open it), then absence and training days per person.</t>
        </is>
      </c>
    </row>
    <row r="10" ht="28" customHeight="1">
      <c r="B10" s="162" t="inlineStr">
        <is>
          <t>•</t>
        </is>
      </c>
      <c r="C10" s="163" t="inlineStr">
        <is>
          <t>Engine (hidden) - the calculations behind the dropdowns and the Dashboard. Nothing to edit. Unhide it if you are curious.</t>
        </is>
      </c>
    </row>
    <row r="12">
      <c r="B12" s="7" t="inlineStr">
        <is>
          <t>PLANNING A WEEK IN FIVE STEPS</t>
        </is>
      </c>
    </row>
    <row r="13" ht="28" customHeight="1">
      <c r="B13" s="162" t="inlineStr">
        <is>
          <t>•</t>
        </is>
      </c>
      <c r="C13" s="163" t="inlineStr">
        <is>
          <t>1.  On the Dashboard set the Year and Week number (or set 'Follow today automatically' to Y once we are in 2027). Click 'Open week'.</t>
        </is>
      </c>
    </row>
    <row r="14" ht="28" customHeight="1">
      <c r="B14" s="162" t="inlineStr">
        <is>
          <t>•</t>
        </is>
      </c>
      <c r="C14" s="163" t="inlineStr">
        <is>
          <t>2.  In the block's lower half, mark anyone who is away: click a day against a person and pick a status code (AL, HRA, T, S, OS, HD...). Leave blank = available.</t>
        </is>
      </c>
    </row>
    <row r="15" ht="28" customHeight="1">
      <c r="B15" s="162" t="inlineStr">
        <is>
          <t>•</t>
        </is>
      </c>
      <c r="C15" s="163" t="inlineStr">
        <is>
          <t>3.  In the upper half, click a duty slot and pick from the dropdown. Only people who are SQEP for that duty and available that day are listed; trainees carry a *.</t>
        </is>
      </c>
    </row>
    <row r="16" ht="28" customHeight="1">
      <c r="B16" s="162" t="inlineStr">
        <is>
          <t>•</t>
        </is>
      </c>
      <c r="C16" s="163" t="inlineStr">
        <is>
          <t>4.  Watch the right-hand 'Gaps / Cover' column and the Dashboard's 'Gaps &amp; suggested cover' list. Yellow cells are days still short of the minimum.</t>
        </is>
      </c>
    </row>
    <row r="17" ht="28" customHeight="1">
      <c r="B17" s="162" t="inlineStr">
        <is>
          <t>•</t>
        </is>
      </c>
      <c r="C17" s="163" t="inlineStr">
        <is>
          <t>5.  Red cells mean something is wrong: a person is not qualified for that duty, or is rostered on a day they are marked unavailable. Fix them before you publish.</t>
        </is>
      </c>
    </row>
    <row r="19">
      <c r="B19" s="7" t="inlineStr">
        <is>
          <t>THE AUTOMATIONS</t>
        </is>
      </c>
    </row>
    <row r="20" ht="28" customHeight="1">
      <c r="B20" s="162" t="inlineStr">
        <is>
          <t>•</t>
        </is>
      </c>
      <c r="C20" s="163" t="inlineStr">
        <is>
          <t>Dropdowns are context-aware for the planning week: qualified + available people only, SQEP first, trainees after with a *.</t>
        </is>
      </c>
    </row>
    <row r="21" ht="28" customHeight="1">
      <c r="B21" s="162" t="inlineStr">
        <is>
          <t>•</t>
        </is>
      </c>
      <c r="C21" s="163" t="inlineStr">
        <is>
          <t>Gap detection on every week, every year: each duty has a minimum per weekday and a weekend-cover flag (Setup). Short days are shaded yellow, and each duty row shows how many weekdays are short.</t>
        </is>
      </c>
    </row>
    <row r="22" ht="28" customHeight="1">
      <c r="B22" s="162" t="inlineStr">
        <is>
          <t>•</t>
        </is>
      </c>
      <c r="C22" s="163" t="inlineStr">
        <is>
          <t>Suggested cover: for every gap in the planning week the Dashboard proposes the least-loaded eligible person (SQEP before trainee, then fewest days already rostered).</t>
        </is>
      </c>
    </row>
    <row r="23" ht="28" customHeight="1">
      <c r="B23" s="162" t="inlineStr">
        <is>
          <t>•</t>
        </is>
      </c>
      <c r="C23" s="163" t="inlineStr">
        <is>
          <t>Conflict checks everywhere: rostered while unavailable, or not qualified, is flagged red in the slot, in the person's row, and counted on the Dashboard.</t>
        </is>
      </c>
    </row>
    <row r="24" ht="28" customHeight="1">
      <c r="B24" s="162" t="inlineStr">
        <is>
          <t>•</t>
        </is>
      </c>
      <c r="C24" s="163" t="inlineStr">
        <is>
          <t>Colour follows status: a rostered person's initials take the colour of their status that day (e.g. blue when they are on a course), so partial availability is visible in the roster itself.</t>
        </is>
      </c>
    </row>
    <row r="25" ht="28" customHeight="1">
      <c r="B25" s="162" t="inlineStr">
        <is>
          <t>•</t>
        </is>
      </c>
      <c r="C25" s="163" t="inlineStr">
        <is>
          <t>Today's column is tinted; the current week's banner turns green; the planning week's banner turns orange. Past weeks are dimmed.</t>
        </is>
      </c>
    </row>
    <row r="26" ht="15" customHeight="1">
      <c r="B26" s="162" t="inlineStr">
        <is>
          <t>•</t>
        </is>
      </c>
      <c r="C26" s="163" t="inlineStr">
        <is>
          <t>Per person, per week: days rostered and conflicts. Per day: how many active people are on site.</t>
        </is>
      </c>
    </row>
    <row r="27" ht="28" customHeight="1">
      <c r="B27" s="162" t="inlineStr">
        <is>
          <t>•</t>
        </is>
      </c>
      <c r="C27" s="163" t="inlineStr">
        <is>
          <t>Everything is formula-driven: no macros to enable, works in Excel desktop, Excel Online, LibreOffice and Google Sheets.</t>
        </is>
      </c>
    </row>
    <row r="29">
      <c r="B29" s="7" t="inlineStr">
        <is>
          <t>CHANGING THE TEAM OR THE DUTIES</t>
        </is>
      </c>
    </row>
    <row r="30" ht="28" customHeight="1">
      <c r="B30" s="162" t="inlineStr">
        <is>
          <t>•</t>
        </is>
      </c>
      <c r="C30" s="163" t="inlineStr">
        <is>
          <t>New person: add initials on Setup (next blank row), set Active = Y and tick their competencies. They appear in every week's availability grid and in dropdowns.</t>
        </is>
      </c>
    </row>
    <row r="31" ht="28" customHeight="1">
      <c r="B31" s="162" t="inlineStr">
        <is>
          <t>•</t>
        </is>
      </c>
      <c r="C31" s="163" t="inlineStr">
        <is>
          <t>Someone leaves: set Active = N. Their history stays; they drop out of dropdowns and counts. Do not delete or reuse the initials in the same year.</t>
        </is>
      </c>
    </row>
    <row r="32" ht="28" customHeight="1">
      <c r="B32" s="162" t="inlineStr">
        <is>
          <t>•</t>
        </is>
      </c>
      <c r="C32" s="163" t="inlineStr">
        <is>
          <t>New duty: type it in the next blank duty row on Setup, set its minimum per weekday and weekend cover, then tick who is qualified. It appears in every week.</t>
        </is>
      </c>
    </row>
    <row r="33" ht="28" customHeight="1">
      <c r="B33" s="162" t="inlineStr">
        <is>
          <t>•</t>
        </is>
      </c>
      <c r="C33" s="163" t="inlineStr">
        <is>
          <t>Rename anything on Setup and every week, dropdown and dashboard updates. Rostered initials are stored as text, so renaming initials needs a find/replace on the year sheets.</t>
        </is>
      </c>
    </row>
    <row r="34" ht="28" customHeight="1">
      <c r="B34" s="162" t="inlineStr">
        <is>
          <t>•</t>
        </is>
      </c>
      <c r="C34" s="163" t="inlineStr">
        <is>
          <t>Status codes: rename, describe, and decide whether each one makes a person unavailable. Row 3 is also counted as 'training' on the Year View.</t>
        </is>
      </c>
    </row>
    <row r="35" ht="28" customHeight="1">
      <c r="B35" s="162" t="inlineStr">
        <is>
          <t>•</t>
        </is>
      </c>
      <c r="C35" s="163" t="inlineStr">
        <is>
          <t>Copy a week forward: select the duty grid of a planned week (columns C to Z, the 18 duty rows), copy, and paste into the same rows of the next block. Then adjust - the checks re-run instantly.</t>
        </is>
      </c>
    </row>
    <row r="37">
      <c r="B37" s="7" t="inlineStr">
        <is>
          <t>GOOD TO KNOW</t>
        </is>
      </c>
    </row>
    <row r="38" ht="28" customHeight="1">
      <c r="B38" s="162" t="inlineStr">
        <is>
          <t>•</t>
        </is>
      </c>
      <c r="C38" s="163" t="inlineStr">
        <is>
          <t>Sheets are protected without a password so that formulas cannot be typed over by accident. Review &gt; Unprotect Sheet lifts it in one click.</t>
        </is>
      </c>
    </row>
    <row r="39" ht="28" customHeight="1">
      <c r="B39" s="162" t="inlineStr">
        <is>
          <t>•</t>
        </is>
      </c>
      <c r="C39" s="163" t="inlineStr">
        <is>
          <t>The dropdown lists are computed for the planning week chosen on the Dashboard. If you type into a different week the list you see belongs to the planning week - the red/yellow checks still apply to every week, so nothing slips through.</t>
        </is>
      </c>
    </row>
    <row r="40" ht="28" customHeight="1">
      <c r="B40" s="162" t="inlineStr">
        <is>
          <t>•</t>
        </is>
      </c>
      <c r="C40" s="163" t="inlineStr">
        <is>
          <t>Weeks are ISO weeks (Monday to Sunday, week 1 contains 4 January). 2027-2030 all have 52 weeks; block 53 is there for years that need it.</t>
        </is>
      </c>
    </row>
    <row r="41" ht="28" customHeight="1">
      <c r="B41" s="162" t="inlineStr">
        <is>
          <t>•</t>
        </is>
      </c>
      <c r="C41" s="163" t="inlineStr">
        <is>
          <t>Printing: each year sheet is set to one week per page, landscape, with the navigation bar repeated. The Dashboard and My Rota fit on one page.</t>
        </is>
      </c>
    </row>
    <row r="42" ht="15" customHeight="1">
      <c r="B42" s="162" t="inlineStr">
        <is>
          <t>•</t>
        </is>
      </c>
      <c r="C42" s="163" t="inlineStr">
        <is>
          <t>Weekend slots for duties without weekend cover are greyed out but can still be used for ad-hoc cover.</t>
        </is>
      </c>
    </row>
    <row r="43" ht="28" customHeight="1">
      <c r="B43" s="162" t="inlineStr">
        <is>
          <t>•</t>
        </is>
      </c>
      <c r="C43" s="163" t="inlineStr">
        <is>
          <t>Migrated from the previous planner: the SQEP matrix, trainee flags, the team, and all AL/HRA/T marks and rostered initials that were present. Full names were not in the old file - add them on Setup.</t>
        </is>
      </c>
    </row>
    <row r="45">
      <c r="B45" s="7" t="inlineStr">
        <is>
          <t>LEGEND</t>
        </is>
      </c>
    </row>
    <row r="46">
      <c r="B46" s="164" t="inlineStr">
        <is>
          <t>AL</t>
        </is>
      </c>
      <c r="C46" s="161" t="inlineStr">
        <is>
          <t>Annual leave   (unavailable)</t>
        </is>
      </c>
    </row>
    <row r="47">
      <c r="B47" s="165" t="inlineStr">
        <is>
          <t>HRA</t>
        </is>
      </c>
      <c r="C47" s="161" t="inlineStr">
        <is>
          <t>HRA (as used on the previous planner)   (unavailable)</t>
        </is>
      </c>
    </row>
    <row r="48">
      <c r="B48" s="166" t="inlineStr">
        <is>
          <t>T</t>
        </is>
      </c>
      <c r="C48" s="161" t="inlineStr">
        <is>
          <t>Training / course (still on site)   (still available)</t>
        </is>
      </c>
    </row>
    <row r="49">
      <c r="B49" s="167" t="inlineStr">
        <is>
          <t>S</t>
        </is>
      </c>
      <c r="C49" s="161" t="inlineStr">
        <is>
          <t>Sick   (unavailable)</t>
        </is>
      </c>
    </row>
    <row r="50">
      <c r="B50" s="168" t="inlineStr">
        <is>
          <t>OS</t>
        </is>
      </c>
      <c r="C50" s="161" t="inlineStr">
        <is>
          <t>Off site / secondment   (unavailable)</t>
        </is>
      </c>
    </row>
    <row r="51">
      <c r="B51" s="169" t="inlineStr">
        <is>
          <t>HD</t>
        </is>
      </c>
      <c r="C51" s="161" t="inlineStr">
        <is>
          <t>Half day (available)   (still available)</t>
        </is>
      </c>
    </row>
    <row r="52">
      <c r="B52" s="170" t="inlineStr">
        <is>
          <t>gap</t>
        </is>
      </c>
      <c r="C52" s="161" t="inlineStr">
        <is>
          <t>day is short of the minimum for that duty</t>
        </is>
      </c>
    </row>
    <row r="53">
      <c r="B53" s="171" t="inlineStr">
        <is>
          <t>red</t>
        </is>
      </c>
      <c r="C53" s="161" t="inlineStr">
        <is>
          <t>not SQEP for the duty, or rostered while unavailable</t>
        </is>
      </c>
    </row>
    <row r="54">
      <c r="B54" s="172" t="inlineStr">
        <is>
          <t>today</t>
        </is>
      </c>
      <c r="C54" s="161" t="inlineStr">
        <is>
          <t>today's column</t>
        </is>
      </c>
    </row>
    <row r="55">
      <c r="B55" s="173" t="inlineStr">
        <is>
          <t>n/a</t>
        </is>
      </c>
      <c r="C55" s="161" t="inlineStr">
        <is>
          <t>weekend slot for a duty with no weekend cover</t>
        </is>
      </c>
    </row>
    <row r="56">
      <c r="B56" s="174" t="inlineStr">
        <is>
          <t>KH *</t>
        </is>
      </c>
      <c r="C56" s="161" t="inlineStr">
        <is>
          <t>trainee for that duty - roster alongside a SQEP person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hyperlinks>
    <hyperlink xmlns:r="http://schemas.openxmlformats.org/officeDocument/2006/relationships" ref="K1" r:id="rId1"/>
  </hyperlinks>
  <pageMargins left="0.75" right="0.75" top="1" bottom="1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00000000"/>
    <outlinePr summaryBelow="1" summaryRight="1"/>
    <pageSetUpPr/>
  </sheetPr>
  <dimension ref="A1:CJ317"/>
  <sheetViews>
    <sheetView workbookViewId="0">
      <selection activeCell="A1" sqref="A1"/>
    </sheetView>
  </sheetViews>
  <sheetFormatPr baseColWidth="8" defaultRowHeight="15"/>
  <sheetData>
    <row r="1">
      <c r="A1" s="114" t="inlineStr">
        <is>
          <t>ENGINE - calculations for the active planning week. Hidden; nothing here needs editing.</t>
        </is>
      </c>
    </row>
    <row r="2">
      <c r="A2" s="175" t="inlineStr">
        <is>
          <t>col→</t>
        </is>
      </c>
    </row>
    <row r="3">
      <c r="A3" t="n">
        <v>0</v>
      </c>
      <c r="B3" t="n">
        <v>0</v>
      </c>
      <c r="C3" t="n">
        <v>1</v>
      </c>
      <c r="D3" t="n">
        <v>1</v>
      </c>
      <c r="E3" t="n">
        <v>1</v>
      </c>
      <c r="F3" t="n">
        <v>1</v>
      </c>
      <c r="G3" t="n">
        <v>2</v>
      </c>
      <c r="H3" t="n">
        <v>2</v>
      </c>
      <c r="I3" t="n">
        <v>2</v>
      </c>
      <c r="J3" t="n">
        <v>2</v>
      </c>
      <c r="K3" t="n">
        <v>3</v>
      </c>
      <c r="L3" t="n">
        <v>3</v>
      </c>
      <c r="M3" t="n">
        <v>3</v>
      </c>
      <c r="N3" t="n">
        <v>3</v>
      </c>
      <c r="O3" t="n">
        <v>4</v>
      </c>
      <c r="P3" t="n">
        <v>4</v>
      </c>
      <c r="Q3" t="n">
        <v>4</v>
      </c>
      <c r="R3" t="n">
        <v>4</v>
      </c>
      <c r="S3" t="n">
        <v>5</v>
      </c>
      <c r="T3" t="n">
        <v>5</v>
      </c>
      <c r="U3" t="n">
        <v>5</v>
      </c>
      <c r="V3" t="n">
        <v>5</v>
      </c>
      <c r="W3" t="n">
        <v>6</v>
      </c>
      <c r="X3" t="n">
        <v>6</v>
      </c>
      <c r="Y3" t="n">
        <v>7</v>
      </c>
      <c r="Z3" t="n">
        <v>7</v>
      </c>
      <c r="AA3" t="n">
        <v>0</v>
      </c>
      <c r="AB3" t="n">
        <v>0</v>
      </c>
      <c r="AC3" t="n">
        <v>0</v>
      </c>
      <c r="AE3" t="inlineStr">
        <is>
          <t>day</t>
        </is>
      </c>
    </row>
    <row r="4">
      <c r="A4" t="n">
        <v>0</v>
      </c>
      <c r="B4" t="n">
        <v>0</v>
      </c>
      <c r="C4" t="n">
        <v>3</v>
      </c>
      <c r="D4" t="n">
        <v>3</v>
      </c>
      <c r="E4" t="n">
        <v>3</v>
      </c>
      <c r="F4" t="n">
        <v>3</v>
      </c>
      <c r="G4" t="n">
        <v>7</v>
      </c>
      <c r="H4" t="n">
        <v>7</v>
      </c>
      <c r="I4" t="n">
        <v>7</v>
      </c>
      <c r="J4" t="n">
        <v>7</v>
      </c>
      <c r="K4" t="n">
        <v>11</v>
      </c>
      <c r="L4" t="n">
        <v>11</v>
      </c>
      <c r="M4" t="n">
        <v>11</v>
      </c>
      <c r="N4" t="n">
        <v>11</v>
      </c>
      <c r="O4" t="n">
        <v>15</v>
      </c>
      <c r="P4" t="n">
        <v>15</v>
      </c>
      <c r="Q4" t="n">
        <v>15</v>
      </c>
      <c r="R4" t="n">
        <v>15</v>
      </c>
      <c r="S4" t="n">
        <v>19</v>
      </c>
      <c r="T4" t="n">
        <v>19</v>
      </c>
      <c r="U4" t="n">
        <v>19</v>
      </c>
      <c r="V4" t="n">
        <v>19</v>
      </c>
      <c r="W4" t="n">
        <v>23</v>
      </c>
      <c r="X4" t="n">
        <v>23</v>
      </c>
      <c r="Y4" t="n">
        <v>25</v>
      </c>
      <c r="Z4" t="n">
        <v>25</v>
      </c>
      <c r="AA4" t="n">
        <v>0</v>
      </c>
      <c r="AB4" t="n">
        <v>0</v>
      </c>
      <c r="AC4" t="n">
        <v>0</v>
      </c>
      <c r="AE4" t="inlineStr">
        <is>
          <t>firstcol</t>
        </is>
      </c>
    </row>
    <row r="5">
      <c r="A5" t="n">
        <v>0</v>
      </c>
      <c r="B5" t="n">
        <v>0</v>
      </c>
      <c r="C5" t="n">
        <v>1</v>
      </c>
      <c r="D5" t="n">
        <v>1</v>
      </c>
      <c r="E5" t="n">
        <v>1</v>
      </c>
      <c r="F5" t="n">
        <v>0</v>
      </c>
      <c r="G5" t="n">
        <v>1</v>
      </c>
      <c r="H5" t="n">
        <v>1</v>
      </c>
      <c r="I5" t="n">
        <v>1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t="n">
        <v>0</v>
      </c>
      <c r="W5" t="n">
        <v>1</v>
      </c>
      <c r="X5" t="n">
        <v>0</v>
      </c>
      <c r="Y5" t="n">
        <v>1</v>
      </c>
      <c r="Z5" t="n">
        <v>0</v>
      </c>
      <c r="AA5" t="n">
        <v>0</v>
      </c>
      <c r="AB5" t="n">
        <v>0</v>
      </c>
      <c r="AC5" t="n">
        <v>0</v>
      </c>
      <c r="AE5" t="inlineStr">
        <is>
          <t>isslot</t>
        </is>
      </c>
    </row>
    <row r="6">
      <c r="A6" t="n">
        <v>0</v>
      </c>
      <c r="B6" t="n">
        <v>0</v>
      </c>
      <c r="C6" t="n">
        <v>3</v>
      </c>
      <c r="D6" t="n">
        <v>3</v>
      </c>
      <c r="E6" t="n">
        <v>3</v>
      </c>
      <c r="F6" t="n">
        <v>3</v>
      </c>
      <c r="G6" t="n">
        <v>3</v>
      </c>
      <c r="H6" t="n">
        <v>3</v>
      </c>
      <c r="I6" t="n">
        <v>3</v>
      </c>
      <c r="J6" t="n">
        <v>3</v>
      </c>
      <c r="K6" t="n">
        <v>3</v>
      </c>
      <c r="L6" t="n">
        <v>3</v>
      </c>
      <c r="M6" t="n">
        <v>3</v>
      </c>
      <c r="N6" t="n">
        <v>3</v>
      </c>
      <c r="O6" t="n">
        <v>3</v>
      </c>
      <c r="P6" t="n">
        <v>3</v>
      </c>
      <c r="Q6" t="n">
        <v>3</v>
      </c>
      <c r="R6" t="n">
        <v>3</v>
      </c>
      <c r="S6" t="n">
        <v>3</v>
      </c>
      <c r="T6" t="n">
        <v>3</v>
      </c>
      <c r="U6" t="n">
        <v>3</v>
      </c>
      <c r="V6" t="n">
        <v>3</v>
      </c>
      <c r="W6" t="n">
        <v>1</v>
      </c>
      <c r="X6" t="n">
        <v>1</v>
      </c>
      <c r="Y6" t="n">
        <v>1</v>
      </c>
      <c r="Z6" t="n">
        <v>1</v>
      </c>
      <c r="AA6" t="n">
        <v>0</v>
      </c>
      <c r="AB6" t="n">
        <v>0</v>
      </c>
      <c r="AC6" t="n">
        <v>0</v>
      </c>
      <c r="AE6" t="inlineStr">
        <is>
          <t>slots</t>
        </is>
      </c>
    </row>
    <row r="8">
      <c r="A8" s="176" t="inlineStr">
        <is>
          <t>Active year index</t>
        </is>
      </c>
      <c r="B8" s="177">
        <f>IF(AND(Dashboard!$D$8="Y",B17&gt;=2027,B17&lt;=2030),B17-2026,IFERROR(MATCH(Dashboard!$D$6,Setup!$K$33:$K$36,0),1))</f>
        <v/>
      </c>
    </row>
    <row r="9">
      <c r="A9" s="176" t="inlineStr">
        <is>
          <t>Active week</t>
        </is>
      </c>
      <c r="B9" s="177">
        <f>IF(AND(Dashboard!$D$8="Y",B17&gt;=2027,B17&lt;=2030),B18,MAX(1,MIN(53,N(Dashboard!$D$7))))</f>
        <v/>
      </c>
    </row>
    <row r="10">
      <c r="A10" s="176" t="inlineStr">
        <is>
          <t>Block base row</t>
        </is>
      </c>
      <c r="B10" s="177">
        <f>5+50*(B9-1)</f>
        <v/>
      </c>
    </row>
    <row r="11">
      <c r="A11" s="176" t="inlineStr">
        <is>
          <t>Active year</t>
        </is>
      </c>
      <c r="B11" s="177">
        <f>2026+B8</f>
        <v/>
      </c>
    </row>
    <row r="12">
      <c r="A12" s="176" t="inlineStr">
        <is>
          <t>Week start (Mon)</t>
        </is>
      </c>
      <c r="B12" s="178">
        <f>INDEX(Setup!$L$33:$L$36,B8)+7*(B9-1)</f>
        <v/>
      </c>
    </row>
    <row r="13">
      <c r="A13" s="176" t="inlineStr">
        <is>
          <t>Today: calendar year</t>
        </is>
      </c>
      <c r="B13" s="177">
        <f>YEAR(TODAY())</f>
        <v/>
      </c>
    </row>
    <row r="14">
      <c r="A14" s="176" t="inlineStr">
        <is>
          <t>Week-1 Monday of that year</t>
        </is>
      </c>
      <c r="B14" s="178">
        <f>DATE(B13,1,4)-WEEKDAY(DATE(B13,1,4),3)</f>
        <v/>
      </c>
    </row>
    <row r="15">
      <c r="A15" s="176" t="inlineStr">
        <is>
          <t>Week-1 Monday of next year</t>
        </is>
      </c>
      <c r="B15" s="178">
        <f>DATE(B13+1,1,4)-WEEKDAY(DATE(B13+1,1,4),3)</f>
        <v/>
      </c>
    </row>
    <row r="16">
      <c r="A16" s="176" t="inlineStr">
        <is>
          <t>Week-1 Monday of previous year</t>
        </is>
      </c>
      <c r="B16" s="178">
        <f>DATE(B13-1,1,4)-WEEKDAY(DATE(B13-1,1,4),3)</f>
        <v/>
      </c>
    </row>
    <row r="17">
      <c r="A17" s="176" t="inlineStr">
        <is>
          <t>Today: ISO year</t>
        </is>
      </c>
      <c r="B17" s="177">
        <f>IF(TODAY()&gt;=B15,B13+1,IF(TODAY()&lt;B14,B13-1,B13))</f>
        <v/>
      </c>
    </row>
    <row r="18">
      <c r="A18" s="176" t="inlineStr">
        <is>
          <t>Today: ISO week</t>
        </is>
      </c>
      <c r="B18" s="177">
        <f>1+INT((TODAY()-IF(TODAY()&gt;=B15,B15,IF(TODAY()&lt;B14,B16,B14)))/7)</f>
        <v/>
      </c>
    </row>
    <row r="19">
      <c r="A19" s="179" t="inlineStr">
        <is>
          <t>k</t>
        </is>
      </c>
      <c r="B19" s="179" t="inlineStr">
        <is>
          <t>initials</t>
        </is>
      </c>
      <c r="C19" s="179" t="inlineStr">
        <is>
          <t>active</t>
        </is>
      </c>
      <c r="D19" s="179" t="inlineStr">
        <is>
          <t>Mon</t>
        </is>
      </c>
      <c r="E19" s="179" t="inlineStr">
        <is>
          <t>Tue</t>
        </is>
      </c>
      <c r="F19" s="179" t="inlineStr">
        <is>
          <t>Wed</t>
        </is>
      </c>
      <c r="G19" s="179" t="inlineStr">
        <is>
          <t>Thu</t>
        </is>
      </c>
      <c r="H19" s="179" t="inlineStr">
        <is>
          <t>Fri</t>
        </is>
      </c>
      <c r="I19" s="179" t="inlineStr">
        <is>
          <t>Sat</t>
        </is>
      </c>
      <c r="J19" s="179" t="inlineStr">
        <is>
          <t>Sun</t>
        </is>
      </c>
      <c r="K19" s="179" t="inlineStr">
        <is>
          <t>unMon</t>
        </is>
      </c>
      <c r="L19" s="179" t="inlineStr">
        <is>
          <t>unTue</t>
        </is>
      </c>
      <c r="M19" s="179" t="inlineStr">
        <is>
          <t>unWed</t>
        </is>
      </c>
      <c r="N19" s="179" t="inlineStr">
        <is>
          <t>unThu</t>
        </is>
      </c>
      <c r="O19" s="179" t="inlineStr">
        <is>
          <t>unFri</t>
        </is>
      </c>
      <c r="P19" s="179" t="inlineStr">
        <is>
          <t>unSat</t>
        </is>
      </c>
      <c r="Q19" s="179" t="inlineStr">
        <is>
          <t>unSun</t>
        </is>
      </c>
      <c r="R19" s="179" t="inlineStr">
        <is>
          <t>load</t>
        </is>
      </c>
      <c r="S19" s="179" t="inlineStr">
        <is>
          <t>conflicts</t>
        </is>
      </c>
    </row>
    <row r="20">
      <c r="A20" t="n">
        <v>1</v>
      </c>
      <c r="B20">
        <f>IF(Setup!$B$6="","",Setup!$B$6)</f>
        <v/>
      </c>
      <c r="C20">
        <f>IF(AND(B20&lt;&gt;"",Setup!$E$6="Y"),1,0)</f>
        <v/>
      </c>
      <c r="D20">
        <f>IF($B20="","",""&amp;CHOOSE(Engine!$B$8,INDEX('2027'!$A:$Z,$B$10+21+1,3),INDEX('2028'!$A:$Z,$B$10+21+1,3),INDEX('2029'!$A:$Z,$B$10+21+1,3),INDEX('2030'!$A:$Z,$B$10+21+1,3)))</f>
        <v/>
      </c>
      <c r="E20">
        <f>IF($B20="","",""&amp;CHOOSE(Engine!$B$8,INDEX('2027'!$A:$Z,$B$10+21+1,7),INDEX('2028'!$A:$Z,$B$10+21+1,7),INDEX('2029'!$A:$Z,$B$10+21+1,7),INDEX('2030'!$A:$Z,$B$10+21+1,7)))</f>
        <v/>
      </c>
      <c r="F20">
        <f>IF($B20="","",""&amp;CHOOSE(Engine!$B$8,INDEX('2027'!$A:$Z,$B$10+21+1,11),INDEX('2028'!$A:$Z,$B$10+21+1,11),INDEX('2029'!$A:$Z,$B$10+21+1,11),INDEX('2030'!$A:$Z,$B$10+21+1,11)))</f>
        <v/>
      </c>
      <c r="G20">
        <f>IF($B20="","",""&amp;CHOOSE(Engine!$B$8,INDEX('2027'!$A:$Z,$B$10+21+1,15),INDEX('2028'!$A:$Z,$B$10+21+1,15),INDEX('2029'!$A:$Z,$B$10+21+1,15),INDEX('2030'!$A:$Z,$B$10+21+1,15)))</f>
        <v/>
      </c>
      <c r="H20">
        <f>IF($B20="","",""&amp;CHOOSE(Engine!$B$8,INDEX('2027'!$A:$Z,$B$10+21+1,19),INDEX('2028'!$A:$Z,$B$10+21+1,19),INDEX('2029'!$A:$Z,$B$10+21+1,19),INDEX('2030'!$A:$Z,$B$10+21+1,19)))</f>
        <v/>
      </c>
      <c r="I20">
        <f>IF($B20="","",""&amp;CHOOSE(Engine!$B$8,INDEX('2027'!$A:$Z,$B$10+21+1,23),INDEX('2028'!$A:$Z,$B$10+21+1,23),INDEX('2029'!$A:$Z,$B$10+21+1,23),INDEX('2030'!$A:$Z,$B$10+21+1,23)))</f>
        <v/>
      </c>
      <c r="J20">
        <f>IF($B20="","",""&amp;CHOOSE(Engine!$B$8,INDEX('2027'!$A:$Z,$B$10+21+1,25),INDEX('2028'!$A:$Z,$B$10+21+1,25),INDEX('2029'!$A:$Z,$B$10+21+1,25),INDEX('2030'!$A:$Z,$B$10+21+1,25)))</f>
        <v/>
      </c>
      <c r="K20">
        <f>IF(D20="",0,IFERROR(INDEX(Setup!$G$33:$G$40,MATCH(D20,Setup!$B$33:$B$40,0)),0))</f>
        <v/>
      </c>
      <c r="L20">
        <f>IF(E20="",0,IFERROR(INDEX(Setup!$G$33:$G$40,MATCH(E20,Setup!$B$33:$B$40,0)),0))</f>
        <v/>
      </c>
      <c r="M20">
        <f>IF(F20="",0,IFERROR(INDEX(Setup!$G$33:$G$40,MATCH(F20,Setup!$B$33:$B$40,0)),0))</f>
        <v/>
      </c>
      <c r="N20">
        <f>IF(G20="",0,IFERROR(INDEX(Setup!$G$33:$G$40,MATCH(G20,Setup!$B$33:$B$40,0)),0))</f>
        <v/>
      </c>
      <c r="O20">
        <f>IF(H20="",0,IFERROR(INDEX(Setup!$G$33:$G$40,MATCH(H20,Setup!$B$33:$B$40,0)),0))</f>
        <v/>
      </c>
      <c r="P20">
        <f>IF(I20="",0,IFERROR(INDEX(Setup!$G$33:$G$40,MATCH(I20,Setup!$B$33:$B$40,0)),0))</f>
        <v/>
      </c>
      <c r="Q20">
        <f>IF(J20="",0,IFERROR(INDEX(Setup!$G$33:$G$40,MATCH(J20,Setup!$B$33:$B$40,0)),0))</f>
        <v/>
      </c>
      <c r="R20">
        <f>IF($B20="",0,N(CHOOSE(Engine!$B$8,INDEX('2027'!$AB:$AB,$B$10+21+1),INDEX('2028'!$AB:$AB,$B$10+21+1),INDEX('2029'!$AB:$AB,$B$10+21+1),INDEX('2030'!$AB:$AB,$B$10+21+1))))</f>
        <v/>
      </c>
      <c r="S20">
        <f>IF($B20="",0,N(CHOOSE(Engine!$B$8,INDEX('2027'!$AC:$AC,$B$10+21+1),INDEX('2028'!$AC:$AC,$B$10+21+1),INDEX('2029'!$AC:$AC,$B$10+21+1),INDEX('2030'!$AC:$AC,$B$10+21+1))))</f>
        <v/>
      </c>
    </row>
    <row r="21">
      <c r="A21" t="n">
        <v>2</v>
      </c>
      <c r="B21">
        <f>IF(Setup!$B$7="","",Setup!$B$7)</f>
        <v/>
      </c>
      <c r="C21">
        <f>IF(AND(B21&lt;&gt;"",Setup!$E$7="Y"),1,0)</f>
        <v/>
      </c>
      <c r="D21">
        <f>IF($B21="","",""&amp;CHOOSE(Engine!$B$8,INDEX('2027'!$A:$Z,$B$10+21+2,3),INDEX('2028'!$A:$Z,$B$10+21+2,3),INDEX('2029'!$A:$Z,$B$10+21+2,3),INDEX('2030'!$A:$Z,$B$10+21+2,3)))</f>
        <v/>
      </c>
      <c r="E21">
        <f>IF($B21="","",""&amp;CHOOSE(Engine!$B$8,INDEX('2027'!$A:$Z,$B$10+21+2,7),INDEX('2028'!$A:$Z,$B$10+21+2,7),INDEX('2029'!$A:$Z,$B$10+21+2,7),INDEX('2030'!$A:$Z,$B$10+21+2,7)))</f>
        <v/>
      </c>
      <c r="F21">
        <f>IF($B21="","",""&amp;CHOOSE(Engine!$B$8,INDEX('2027'!$A:$Z,$B$10+21+2,11),INDEX('2028'!$A:$Z,$B$10+21+2,11),INDEX('2029'!$A:$Z,$B$10+21+2,11),INDEX('2030'!$A:$Z,$B$10+21+2,11)))</f>
        <v/>
      </c>
      <c r="G21">
        <f>IF($B21="","",""&amp;CHOOSE(Engine!$B$8,INDEX('2027'!$A:$Z,$B$10+21+2,15),INDEX('2028'!$A:$Z,$B$10+21+2,15),INDEX('2029'!$A:$Z,$B$10+21+2,15),INDEX('2030'!$A:$Z,$B$10+21+2,15)))</f>
        <v/>
      </c>
      <c r="H21">
        <f>IF($B21="","",""&amp;CHOOSE(Engine!$B$8,INDEX('2027'!$A:$Z,$B$10+21+2,19),INDEX('2028'!$A:$Z,$B$10+21+2,19),INDEX('2029'!$A:$Z,$B$10+21+2,19),INDEX('2030'!$A:$Z,$B$10+21+2,19)))</f>
        <v/>
      </c>
      <c r="I21">
        <f>IF($B21="","",""&amp;CHOOSE(Engine!$B$8,INDEX('2027'!$A:$Z,$B$10+21+2,23),INDEX('2028'!$A:$Z,$B$10+21+2,23),INDEX('2029'!$A:$Z,$B$10+21+2,23),INDEX('2030'!$A:$Z,$B$10+21+2,23)))</f>
        <v/>
      </c>
      <c r="J21">
        <f>IF($B21="","",""&amp;CHOOSE(Engine!$B$8,INDEX('2027'!$A:$Z,$B$10+21+2,25),INDEX('2028'!$A:$Z,$B$10+21+2,25),INDEX('2029'!$A:$Z,$B$10+21+2,25),INDEX('2030'!$A:$Z,$B$10+21+2,25)))</f>
        <v/>
      </c>
      <c r="K21">
        <f>IF(D21="",0,IFERROR(INDEX(Setup!$G$33:$G$40,MATCH(D21,Setup!$B$33:$B$40,0)),0))</f>
        <v/>
      </c>
      <c r="L21">
        <f>IF(E21="",0,IFERROR(INDEX(Setup!$G$33:$G$40,MATCH(E21,Setup!$B$33:$B$40,0)),0))</f>
        <v/>
      </c>
      <c r="M21">
        <f>IF(F21="",0,IFERROR(INDEX(Setup!$G$33:$G$40,MATCH(F21,Setup!$B$33:$B$40,0)),0))</f>
        <v/>
      </c>
      <c r="N21">
        <f>IF(G21="",0,IFERROR(INDEX(Setup!$G$33:$G$40,MATCH(G21,Setup!$B$33:$B$40,0)),0))</f>
        <v/>
      </c>
      <c r="O21">
        <f>IF(H21="",0,IFERROR(INDEX(Setup!$G$33:$G$40,MATCH(H21,Setup!$B$33:$B$40,0)),0))</f>
        <v/>
      </c>
      <c r="P21">
        <f>IF(I21="",0,IFERROR(INDEX(Setup!$G$33:$G$40,MATCH(I21,Setup!$B$33:$B$40,0)),0))</f>
        <v/>
      </c>
      <c r="Q21">
        <f>IF(J21="",0,IFERROR(INDEX(Setup!$G$33:$G$40,MATCH(J21,Setup!$B$33:$B$40,0)),0))</f>
        <v/>
      </c>
      <c r="R21">
        <f>IF($B21="",0,N(CHOOSE(Engine!$B$8,INDEX('2027'!$AB:$AB,$B$10+21+2),INDEX('2028'!$AB:$AB,$B$10+21+2),INDEX('2029'!$AB:$AB,$B$10+21+2),INDEX('2030'!$AB:$AB,$B$10+21+2))))</f>
        <v/>
      </c>
      <c r="S21">
        <f>IF($B21="",0,N(CHOOSE(Engine!$B$8,INDEX('2027'!$AC:$AC,$B$10+21+2),INDEX('2028'!$AC:$AC,$B$10+21+2),INDEX('2029'!$AC:$AC,$B$10+21+2),INDEX('2030'!$AC:$AC,$B$10+21+2))))</f>
        <v/>
      </c>
    </row>
    <row r="22">
      <c r="A22" t="n">
        <v>3</v>
      </c>
      <c r="B22">
        <f>IF(Setup!$B$8="","",Setup!$B$8)</f>
        <v/>
      </c>
      <c r="C22">
        <f>IF(AND(B22&lt;&gt;"",Setup!$E$8="Y"),1,0)</f>
        <v/>
      </c>
      <c r="D22">
        <f>IF($B22="","",""&amp;CHOOSE(Engine!$B$8,INDEX('2027'!$A:$Z,$B$10+21+3,3),INDEX('2028'!$A:$Z,$B$10+21+3,3),INDEX('2029'!$A:$Z,$B$10+21+3,3),INDEX('2030'!$A:$Z,$B$10+21+3,3)))</f>
        <v/>
      </c>
      <c r="E22">
        <f>IF($B22="","",""&amp;CHOOSE(Engine!$B$8,INDEX('2027'!$A:$Z,$B$10+21+3,7),INDEX('2028'!$A:$Z,$B$10+21+3,7),INDEX('2029'!$A:$Z,$B$10+21+3,7),INDEX('2030'!$A:$Z,$B$10+21+3,7)))</f>
        <v/>
      </c>
      <c r="F22">
        <f>IF($B22="","",""&amp;CHOOSE(Engine!$B$8,INDEX('2027'!$A:$Z,$B$10+21+3,11),INDEX('2028'!$A:$Z,$B$10+21+3,11),INDEX('2029'!$A:$Z,$B$10+21+3,11),INDEX('2030'!$A:$Z,$B$10+21+3,11)))</f>
        <v/>
      </c>
      <c r="G22">
        <f>IF($B22="","",""&amp;CHOOSE(Engine!$B$8,INDEX('2027'!$A:$Z,$B$10+21+3,15),INDEX('2028'!$A:$Z,$B$10+21+3,15),INDEX('2029'!$A:$Z,$B$10+21+3,15),INDEX('2030'!$A:$Z,$B$10+21+3,15)))</f>
        <v/>
      </c>
      <c r="H22">
        <f>IF($B22="","",""&amp;CHOOSE(Engine!$B$8,INDEX('2027'!$A:$Z,$B$10+21+3,19),INDEX('2028'!$A:$Z,$B$10+21+3,19),INDEX('2029'!$A:$Z,$B$10+21+3,19),INDEX('2030'!$A:$Z,$B$10+21+3,19)))</f>
        <v/>
      </c>
      <c r="I22">
        <f>IF($B22="","",""&amp;CHOOSE(Engine!$B$8,INDEX('2027'!$A:$Z,$B$10+21+3,23),INDEX('2028'!$A:$Z,$B$10+21+3,23),INDEX('2029'!$A:$Z,$B$10+21+3,23),INDEX('2030'!$A:$Z,$B$10+21+3,23)))</f>
        <v/>
      </c>
      <c r="J22">
        <f>IF($B22="","",""&amp;CHOOSE(Engine!$B$8,INDEX('2027'!$A:$Z,$B$10+21+3,25),INDEX('2028'!$A:$Z,$B$10+21+3,25),INDEX('2029'!$A:$Z,$B$10+21+3,25),INDEX('2030'!$A:$Z,$B$10+21+3,25)))</f>
        <v/>
      </c>
      <c r="K22">
        <f>IF(D22="",0,IFERROR(INDEX(Setup!$G$33:$G$40,MATCH(D22,Setup!$B$33:$B$40,0)),0))</f>
        <v/>
      </c>
      <c r="L22">
        <f>IF(E22="",0,IFERROR(INDEX(Setup!$G$33:$G$40,MATCH(E22,Setup!$B$33:$B$40,0)),0))</f>
        <v/>
      </c>
      <c r="M22">
        <f>IF(F22="",0,IFERROR(INDEX(Setup!$G$33:$G$40,MATCH(F22,Setup!$B$33:$B$40,0)),0))</f>
        <v/>
      </c>
      <c r="N22">
        <f>IF(G22="",0,IFERROR(INDEX(Setup!$G$33:$G$40,MATCH(G22,Setup!$B$33:$B$40,0)),0))</f>
        <v/>
      </c>
      <c r="O22">
        <f>IF(H22="",0,IFERROR(INDEX(Setup!$G$33:$G$40,MATCH(H22,Setup!$B$33:$B$40,0)),0))</f>
        <v/>
      </c>
      <c r="P22">
        <f>IF(I22="",0,IFERROR(INDEX(Setup!$G$33:$G$40,MATCH(I22,Setup!$B$33:$B$40,0)),0))</f>
        <v/>
      </c>
      <c r="Q22">
        <f>IF(J22="",0,IFERROR(INDEX(Setup!$G$33:$G$40,MATCH(J22,Setup!$B$33:$B$40,0)),0))</f>
        <v/>
      </c>
      <c r="R22">
        <f>IF($B22="",0,N(CHOOSE(Engine!$B$8,INDEX('2027'!$AB:$AB,$B$10+21+3),INDEX('2028'!$AB:$AB,$B$10+21+3),INDEX('2029'!$AB:$AB,$B$10+21+3),INDEX('2030'!$AB:$AB,$B$10+21+3))))</f>
        <v/>
      </c>
      <c r="S22">
        <f>IF($B22="",0,N(CHOOSE(Engine!$B$8,INDEX('2027'!$AC:$AC,$B$10+21+3),INDEX('2028'!$AC:$AC,$B$10+21+3),INDEX('2029'!$AC:$AC,$B$10+21+3),INDEX('2030'!$AC:$AC,$B$10+21+3))))</f>
        <v/>
      </c>
    </row>
    <row r="23">
      <c r="A23" t="n">
        <v>4</v>
      </c>
      <c r="B23">
        <f>IF(Setup!$B$9="","",Setup!$B$9)</f>
        <v/>
      </c>
      <c r="C23">
        <f>IF(AND(B23&lt;&gt;"",Setup!$E$9="Y"),1,0)</f>
        <v/>
      </c>
      <c r="D23">
        <f>IF($B23="","",""&amp;CHOOSE(Engine!$B$8,INDEX('2027'!$A:$Z,$B$10+21+4,3),INDEX('2028'!$A:$Z,$B$10+21+4,3),INDEX('2029'!$A:$Z,$B$10+21+4,3),INDEX('2030'!$A:$Z,$B$10+21+4,3)))</f>
        <v/>
      </c>
      <c r="E23">
        <f>IF($B23="","",""&amp;CHOOSE(Engine!$B$8,INDEX('2027'!$A:$Z,$B$10+21+4,7),INDEX('2028'!$A:$Z,$B$10+21+4,7),INDEX('2029'!$A:$Z,$B$10+21+4,7),INDEX('2030'!$A:$Z,$B$10+21+4,7)))</f>
        <v/>
      </c>
      <c r="F23">
        <f>IF($B23="","",""&amp;CHOOSE(Engine!$B$8,INDEX('2027'!$A:$Z,$B$10+21+4,11),INDEX('2028'!$A:$Z,$B$10+21+4,11),INDEX('2029'!$A:$Z,$B$10+21+4,11),INDEX('2030'!$A:$Z,$B$10+21+4,11)))</f>
        <v/>
      </c>
      <c r="G23">
        <f>IF($B23="","",""&amp;CHOOSE(Engine!$B$8,INDEX('2027'!$A:$Z,$B$10+21+4,15),INDEX('2028'!$A:$Z,$B$10+21+4,15),INDEX('2029'!$A:$Z,$B$10+21+4,15),INDEX('2030'!$A:$Z,$B$10+21+4,15)))</f>
        <v/>
      </c>
      <c r="H23">
        <f>IF($B23="","",""&amp;CHOOSE(Engine!$B$8,INDEX('2027'!$A:$Z,$B$10+21+4,19),INDEX('2028'!$A:$Z,$B$10+21+4,19),INDEX('2029'!$A:$Z,$B$10+21+4,19),INDEX('2030'!$A:$Z,$B$10+21+4,19)))</f>
        <v/>
      </c>
      <c r="I23">
        <f>IF($B23="","",""&amp;CHOOSE(Engine!$B$8,INDEX('2027'!$A:$Z,$B$10+21+4,23),INDEX('2028'!$A:$Z,$B$10+21+4,23),INDEX('2029'!$A:$Z,$B$10+21+4,23),INDEX('2030'!$A:$Z,$B$10+21+4,23)))</f>
        <v/>
      </c>
      <c r="J23">
        <f>IF($B23="","",""&amp;CHOOSE(Engine!$B$8,INDEX('2027'!$A:$Z,$B$10+21+4,25),INDEX('2028'!$A:$Z,$B$10+21+4,25),INDEX('2029'!$A:$Z,$B$10+21+4,25),INDEX('2030'!$A:$Z,$B$10+21+4,25)))</f>
        <v/>
      </c>
      <c r="K23">
        <f>IF(D23="",0,IFERROR(INDEX(Setup!$G$33:$G$40,MATCH(D23,Setup!$B$33:$B$40,0)),0))</f>
        <v/>
      </c>
      <c r="L23">
        <f>IF(E23="",0,IFERROR(INDEX(Setup!$G$33:$G$40,MATCH(E23,Setup!$B$33:$B$40,0)),0))</f>
        <v/>
      </c>
      <c r="M23">
        <f>IF(F23="",0,IFERROR(INDEX(Setup!$G$33:$G$40,MATCH(F23,Setup!$B$33:$B$40,0)),0))</f>
        <v/>
      </c>
      <c r="N23">
        <f>IF(G23="",0,IFERROR(INDEX(Setup!$G$33:$G$40,MATCH(G23,Setup!$B$33:$B$40,0)),0))</f>
        <v/>
      </c>
      <c r="O23">
        <f>IF(H23="",0,IFERROR(INDEX(Setup!$G$33:$G$40,MATCH(H23,Setup!$B$33:$B$40,0)),0))</f>
        <v/>
      </c>
      <c r="P23">
        <f>IF(I23="",0,IFERROR(INDEX(Setup!$G$33:$G$40,MATCH(I23,Setup!$B$33:$B$40,0)),0))</f>
        <v/>
      </c>
      <c r="Q23">
        <f>IF(J23="",0,IFERROR(INDEX(Setup!$G$33:$G$40,MATCH(J23,Setup!$B$33:$B$40,0)),0))</f>
        <v/>
      </c>
      <c r="R23">
        <f>IF($B23="",0,N(CHOOSE(Engine!$B$8,INDEX('2027'!$AB:$AB,$B$10+21+4),INDEX('2028'!$AB:$AB,$B$10+21+4),INDEX('2029'!$AB:$AB,$B$10+21+4),INDEX('2030'!$AB:$AB,$B$10+21+4))))</f>
        <v/>
      </c>
      <c r="S23">
        <f>IF($B23="",0,N(CHOOSE(Engine!$B$8,INDEX('2027'!$AC:$AC,$B$10+21+4),INDEX('2028'!$AC:$AC,$B$10+21+4),INDEX('2029'!$AC:$AC,$B$10+21+4),INDEX('2030'!$AC:$AC,$B$10+21+4))))</f>
        <v/>
      </c>
    </row>
    <row r="24">
      <c r="A24" t="n">
        <v>5</v>
      </c>
      <c r="B24">
        <f>IF(Setup!$B$10="","",Setup!$B$10)</f>
        <v/>
      </c>
      <c r="C24">
        <f>IF(AND(B24&lt;&gt;"",Setup!$E$10="Y"),1,0)</f>
        <v/>
      </c>
      <c r="D24">
        <f>IF($B24="","",""&amp;CHOOSE(Engine!$B$8,INDEX('2027'!$A:$Z,$B$10+21+5,3),INDEX('2028'!$A:$Z,$B$10+21+5,3),INDEX('2029'!$A:$Z,$B$10+21+5,3),INDEX('2030'!$A:$Z,$B$10+21+5,3)))</f>
        <v/>
      </c>
      <c r="E24">
        <f>IF($B24="","",""&amp;CHOOSE(Engine!$B$8,INDEX('2027'!$A:$Z,$B$10+21+5,7),INDEX('2028'!$A:$Z,$B$10+21+5,7),INDEX('2029'!$A:$Z,$B$10+21+5,7),INDEX('2030'!$A:$Z,$B$10+21+5,7)))</f>
        <v/>
      </c>
      <c r="F24">
        <f>IF($B24="","",""&amp;CHOOSE(Engine!$B$8,INDEX('2027'!$A:$Z,$B$10+21+5,11),INDEX('2028'!$A:$Z,$B$10+21+5,11),INDEX('2029'!$A:$Z,$B$10+21+5,11),INDEX('2030'!$A:$Z,$B$10+21+5,11)))</f>
        <v/>
      </c>
      <c r="G24">
        <f>IF($B24="","",""&amp;CHOOSE(Engine!$B$8,INDEX('2027'!$A:$Z,$B$10+21+5,15),INDEX('2028'!$A:$Z,$B$10+21+5,15),INDEX('2029'!$A:$Z,$B$10+21+5,15),INDEX('2030'!$A:$Z,$B$10+21+5,15)))</f>
        <v/>
      </c>
      <c r="H24">
        <f>IF($B24="","",""&amp;CHOOSE(Engine!$B$8,INDEX('2027'!$A:$Z,$B$10+21+5,19),INDEX('2028'!$A:$Z,$B$10+21+5,19),INDEX('2029'!$A:$Z,$B$10+21+5,19),INDEX('2030'!$A:$Z,$B$10+21+5,19)))</f>
        <v/>
      </c>
      <c r="I24">
        <f>IF($B24="","",""&amp;CHOOSE(Engine!$B$8,INDEX('2027'!$A:$Z,$B$10+21+5,23),INDEX('2028'!$A:$Z,$B$10+21+5,23),INDEX('2029'!$A:$Z,$B$10+21+5,23),INDEX('2030'!$A:$Z,$B$10+21+5,23)))</f>
        <v/>
      </c>
      <c r="J24">
        <f>IF($B24="","",""&amp;CHOOSE(Engine!$B$8,INDEX('2027'!$A:$Z,$B$10+21+5,25),INDEX('2028'!$A:$Z,$B$10+21+5,25),INDEX('2029'!$A:$Z,$B$10+21+5,25),INDEX('2030'!$A:$Z,$B$10+21+5,25)))</f>
        <v/>
      </c>
      <c r="K24">
        <f>IF(D24="",0,IFERROR(INDEX(Setup!$G$33:$G$40,MATCH(D24,Setup!$B$33:$B$40,0)),0))</f>
        <v/>
      </c>
      <c r="L24">
        <f>IF(E24="",0,IFERROR(INDEX(Setup!$G$33:$G$40,MATCH(E24,Setup!$B$33:$B$40,0)),0))</f>
        <v/>
      </c>
      <c r="M24">
        <f>IF(F24="",0,IFERROR(INDEX(Setup!$G$33:$G$40,MATCH(F24,Setup!$B$33:$B$40,0)),0))</f>
        <v/>
      </c>
      <c r="N24">
        <f>IF(G24="",0,IFERROR(INDEX(Setup!$G$33:$G$40,MATCH(G24,Setup!$B$33:$B$40,0)),0))</f>
        <v/>
      </c>
      <c r="O24">
        <f>IF(H24="",0,IFERROR(INDEX(Setup!$G$33:$G$40,MATCH(H24,Setup!$B$33:$B$40,0)),0))</f>
        <v/>
      </c>
      <c r="P24">
        <f>IF(I24="",0,IFERROR(INDEX(Setup!$G$33:$G$40,MATCH(I24,Setup!$B$33:$B$40,0)),0))</f>
        <v/>
      </c>
      <c r="Q24">
        <f>IF(J24="",0,IFERROR(INDEX(Setup!$G$33:$G$40,MATCH(J24,Setup!$B$33:$B$40,0)),0))</f>
        <v/>
      </c>
      <c r="R24">
        <f>IF($B24="",0,N(CHOOSE(Engine!$B$8,INDEX('2027'!$AB:$AB,$B$10+21+5),INDEX('2028'!$AB:$AB,$B$10+21+5),INDEX('2029'!$AB:$AB,$B$10+21+5),INDEX('2030'!$AB:$AB,$B$10+21+5))))</f>
        <v/>
      </c>
      <c r="S24">
        <f>IF($B24="",0,N(CHOOSE(Engine!$B$8,INDEX('2027'!$AC:$AC,$B$10+21+5),INDEX('2028'!$AC:$AC,$B$10+21+5),INDEX('2029'!$AC:$AC,$B$10+21+5),INDEX('2030'!$AC:$AC,$B$10+21+5))))</f>
        <v/>
      </c>
    </row>
    <row r="25">
      <c r="A25" t="n">
        <v>6</v>
      </c>
      <c r="B25">
        <f>IF(Setup!$B$11="","",Setup!$B$11)</f>
        <v/>
      </c>
      <c r="C25">
        <f>IF(AND(B25&lt;&gt;"",Setup!$E$11="Y"),1,0)</f>
        <v/>
      </c>
      <c r="D25">
        <f>IF($B25="","",""&amp;CHOOSE(Engine!$B$8,INDEX('2027'!$A:$Z,$B$10+21+6,3),INDEX('2028'!$A:$Z,$B$10+21+6,3),INDEX('2029'!$A:$Z,$B$10+21+6,3),INDEX('2030'!$A:$Z,$B$10+21+6,3)))</f>
        <v/>
      </c>
      <c r="E25">
        <f>IF($B25="","",""&amp;CHOOSE(Engine!$B$8,INDEX('2027'!$A:$Z,$B$10+21+6,7),INDEX('2028'!$A:$Z,$B$10+21+6,7),INDEX('2029'!$A:$Z,$B$10+21+6,7),INDEX('2030'!$A:$Z,$B$10+21+6,7)))</f>
        <v/>
      </c>
      <c r="F25">
        <f>IF($B25="","",""&amp;CHOOSE(Engine!$B$8,INDEX('2027'!$A:$Z,$B$10+21+6,11),INDEX('2028'!$A:$Z,$B$10+21+6,11),INDEX('2029'!$A:$Z,$B$10+21+6,11),INDEX('2030'!$A:$Z,$B$10+21+6,11)))</f>
        <v/>
      </c>
      <c r="G25">
        <f>IF($B25="","",""&amp;CHOOSE(Engine!$B$8,INDEX('2027'!$A:$Z,$B$10+21+6,15),INDEX('2028'!$A:$Z,$B$10+21+6,15),INDEX('2029'!$A:$Z,$B$10+21+6,15),INDEX('2030'!$A:$Z,$B$10+21+6,15)))</f>
        <v/>
      </c>
      <c r="H25">
        <f>IF($B25="","",""&amp;CHOOSE(Engine!$B$8,INDEX('2027'!$A:$Z,$B$10+21+6,19),INDEX('2028'!$A:$Z,$B$10+21+6,19),INDEX('2029'!$A:$Z,$B$10+21+6,19),INDEX('2030'!$A:$Z,$B$10+21+6,19)))</f>
        <v/>
      </c>
      <c r="I25">
        <f>IF($B25="","",""&amp;CHOOSE(Engine!$B$8,INDEX('2027'!$A:$Z,$B$10+21+6,23),INDEX('2028'!$A:$Z,$B$10+21+6,23),INDEX('2029'!$A:$Z,$B$10+21+6,23),INDEX('2030'!$A:$Z,$B$10+21+6,23)))</f>
        <v/>
      </c>
      <c r="J25">
        <f>IF($B25="","",""&amp;CHOOSE(Engine!$B$8,INDEX('2027'!$A:$Z,$B$10+21+6,25),INDEX('2028'!$A:$Z,$B$10+21+6,25),INDEX('2029'!$A:$Z,$B$10+21+6,25),INDEX('2030'!$A:$Z,$B$10+21+6,25)))</f>
        <v/>
      </c>
      <c r="K25">
        <f>IF(D25="",0,IFERROR(INDEX(Setup!$G$33:$G$40,MATCH(D25,Setup!$B$33:$B$40,0)),0))</f>
        <v/>
      </c>
      <c r="L25">
        <f>IF(E25="",0,IFERROR(INDEX(Setup!$G$33:$G$40,MATCH(E25,Setup!$B$33:$B$40,0)),0))</f>
        <v/>
      </c>
      <c r="M25">
        <f>IF(F25="",0,IFERROR(INDEX(Setup!$G$33:$G$40,MATCH(F25,Setup!$B$33:$B$40,0)),0))</f>
        <v/>
      </c>
      <c r="N25">
        <f>IF(G25="",0,IFERROR(INDEX(Setup!$G$33:$G$40,MATCH(G25,Setup!$B$33:$B$40,0)),0))</f>
        <v/>
      </c>
      <c r="O25">
        <f>IF(H25="",0,IFERROR(INDEX(Setup!$G$33:$G$40,MATCH(H25,Setup!$B$33:$B$40,0)),0))</f>
        <v/>
      </c>
      <c r="P25">
        <f>IF(I25="",0,IFERROR(INDEX(Setup!$G$33:$G$40,MATCH(I25,Setup!$B$33:$B$40,0)),0))</f>
        <v/>
      </c>
      <c r="Q25">
        <f>IF(J25="",0,IFERROR(INDEX(Setup!$G$33:$G$40,MATCH(J25,Setup!$B$33:$B$40,0)),0))</f>
        <v/>
      </c>
      <c r="R25">
        <f>IF($B25="",0,N(CHOOSE(Engine!$B$8,INDEX('2027'!$AB:$AB,$B$10+21+6),INDEX('2028'!$AB:$AB,$B$10+21+6),INDEX('2029'!$AB:$AB,$B$10+21+6),INDEX('2030'!$AB:$AB,$B$10+21+6))))</f>
        <v/>
      </c>
      <c r="S25">
        <f>IF($B25="",0,N(CHOOSE(Engine!$B$8,INDEX('2027'!$AC:$AC,$B$10+21+6),INDEX('2028'!$AC:$AC,$B$10+21+6),INDEX('2029'!$AC:$AC,$B$10+21+6),INDEX('2030'!$AC:$AC,$B$10+21+6))))</f>
        <v/>
      </c>
    </row>
    <row r="26">
      <c r="A26" t="n">
        <v>7</v>
      </c>
      <c r="B26">
        <f>IF(Setup!$B$12="","",Setup!$B$12)</f>
        <v/>
      </c>
      <c r="C26">
        <f>IF(AND(B26&lt;&gt;"",Setup!$E$12="Y"),1,0)</f>
        <v/>
      </c>
      <c r="D26">
        <f>IF($B26="","",""&amp;CHOOSE(Engine!$B$8,INDEX('2027'!$A:$Z,$B$10+21+7,3),INDEX('2028'!$A:$Z,$B$10+21+7,3),INDEX('2029'!$A:$Z,$B$10+21+7,3),INDEX('2030'!$A:$Z,$B$10+21+7,3)))</f>
        <v/>
      </c>
      <c r="E26">
        <f>IF($B26="","",""&amp;CHOOSE(Engine!$B$8,INDEX('2027'!$A:$Z,$B$10+21+7,7),INDEX('2028'!$A:$Z,$B$10+21+7,7),INDEX('2029'!$A:$Z,$B$10+21+7,7),INDEX('2030'!$A:$Z,$B$10+21+7,7)))</f>
        <v/>
      </c>
      <c r="F26">
        <f>IF($B26="","",""&amp;CHOOSE(Engine!$B$8,INDEX('2027'!$A:$Z,$B$10+21+7,11),INDEX('2028'!$A:$Z,$B$10+21+7,11),INDEX('2029'!$A:$Z,$B$10+21+7,11),INDEX('2030'!$A:$Z,$B$10+21+7,11)))</f>
        <v/>
      </c>
      <c r="G26">
        <f>IF($B26="","",""&amp;CHOOSE(Engine!$B$8,INDEX('2027'!$A:$Z,$B$10+21+7,15),INDEX('2028'!$A:$Z,$B$10+21+7,15),INDEX('2029'!$A:$Z,$B$10+21+7,15),INDEX('2030'!$A:$Z,$B$10+21+7,15)))</f>
        <v/>
      </c>
      <c r="H26">
        <f>IF($B26="","",""&amp;CHOOSE(Engine!$B$8,INDEX('2027'!$A:$Z,$B$10+21+7,19),INDEX('2028'!$A:$Z,$B$10+21+7,19),INDEX('2029'!$A:$Z,$B$10+21+7,19),INDEX('2030'!$A:$Z,$B$10+21+7,19)))</f>
        <v/>
      </c>
      <c r="I26">
        <f>IF($B26="","",""&amp;CHOOSE(Engine!$B$8,INDEX('2027'!$A:$Z,$B$10+21+7,23),INDEX('2028'!$A:$Z,$B$10+21+7,23),INDEX('2029'!$A:$Z,$B$10+21+7,23),INDEX('2030'!$A:$Z,$B$10+21+7,23)))</f>
        <v/>
      </c>
      <c r="J26">
        <f>IF($B26="","",""&amp;CHOOSE(Engine!$B$8,INDEX('2027'!$A:$Z,$B$10+21+7,25),INDEX('2028'!$A:$Z,$B$10+21+7,25),INDEX('2029'!$A:$Z,$B$10+21+7,25),INDEX('2030'!$A:$Z,$B$10+21+7,25)))</f>
        <v/>
      </c>
      <c r="K26">
        <f>IF(D26="",0,IFERROR(INDEX(Setup!$G$33:$G$40,MATCH(D26,Setup!$B$33:$B$40,0)),0))</f>
        <v/>
      </c>
      <c r="L26">
        <f>IF(E26="",0,IFERROR(INDEX(Setup!$G$33:$G$40,MATCH(E26,Setup!$B$33:$B$40,0)),0))</f>
        <v/>
      </c>
      <c r="M26">
        <f>IF(F26="",0,IFERROR(INDEX(Setup!$G$33:$G$40,MATCH(F26,Setup!$B$33:$B$40,0)),0))</f>
        <v/>
      </c>
      <c r="N26">
        <f>IF(G26="",0,IFERROR(INDEX(Setup!$G$33:$G$40,MATCH(G26,Setup!$B$33:$B$40,0)),0))</f>
        <v/>
      </c>
      <c r="O26">
        <f>IF(H26="",0,IFERROR(INDEX(Setup!$G$33:$G$40,MATCH(H26,Setup!$B$33:$B$40,0)),0))</f>
        <v/>
      </c>
      <c r="P26">
        <f>IF(I26="",0,IFERROR(INDEX(Setup!$G$33:$G$40,MATCH(I26,Setup!$B$33:$B$40,0)),0))</f>
        <v/>
      </c>
      <c r="Q26">
        <f>IF(J26="",0,IFERROR(INDEX(Setup!$G$33:$G$40,MATCH(J26,Setup!$B$33:$B$40,0)),0))</f>
        <v/>
      </c>
      <c r="R26">
        <f>IF($B26="",0,N(CHOOSE(Engine!$B$8,INDEX('2027'!$AB:$AB,$B$10+21+7),INDEX('2028'!$AB:$AB,$B$10+21+7),INDEX('2029'!$AB:$AB,$B$10+21+7),INDEX('2030'!$AB:$AB,$B$10+21+7))))</f>
        <v/>
      </c>
      <c r="S26">
        <f>IF($B26="",0,N(CHOOSE(Engine!$B$8,INDEX('2027'!$AC:$AC,$B$10+21+7),INDEX('2028'!$AC:$AC,$B$10+21+7),INDEX('2029'!$AC:$AC,$B$10+21+7),INDEX('2030'!$AC:$AC,$B$10+21+7))))</f>
        <v/>
      </c>
    </row>
    <row r="27">
      <c r="A27" t="n">
        <v>8</v>
      </c>
      <c r="B27">
        <f>IF(Setup!$B$13="","",Setup!$B$13)</f>
        <v/>
      </c>
      <c r="C27">
        <f>IF(AND(B27&lt;&gt;"",Setup!$E$13="Y"),1,0)</f>
        <v/>
      </c>
      <c r="D27">
        <f>IF($B27="","",""&amp;CHOOSE(Engine!$B$8,INDEX('2027'!$A:$Z,$B$10+21+8,3),INDEX('2028'!$A:$Z,$B$10+21+8,3),INDEX('2029'!$A:$Z,$B$10+21+8,3),INDEX('2030'!$A:$Z,$B$10+21+8,3)))</f>
        <v/>
      </c>
      <c r="E27">
        <f>IF($B27="","",""&amp;CHOOSE(Engine!$B$8,INDEX('2027'!$A:$Z,$B$10+21+8,7),INDEX('2028'!$A:$Z,$B$10+21+8,7),INDEX('2029'!$A:$Z,$B$10+21+8,7),INDEX('2030'!$A:$Z,$B$10+21+8,7)))</f>
        <v/>
      </c>
      <c r="F27">
        <f>IF($B27="","",""&amp;CHOOSE(Engine!$B$8,INDEX('2027'!$A:$Z,$B$10+21+8,11),INDEX('2028'!$A:$Z,$B$10+21+8,11),INDEX('2029'!$A:$Z,$B$10+21+8,11),INDEX('2030'!$A:$Z,$B$10+21+8,11)))</f>
        <v/>
      </c>
      <c r="G27">
        <f>IF($B27="","",""&amp;CHOOSE(Engine!$B$8,INDEX('2027'!$A:$Z,$B$10+21+8,15),INDEX('2028'!$A:$Z,$B$10+21+8,15),INDEX('2029'!$A:$Z,$B$10+21+8,15),INDEX('2030'!$A:$Z,$B$10+21+8,15)))</f>
        <v/>
      </c>
      <c r="H27">
        <f>IF($B27="","",""&amp;CHOOSE(Engine!$B$8,INDEX('2027'!$A:$Z,$B$10+21+8,19),INDEX('2028'!$A:$Z,$B$10+21+8,19),INDEX('2029'!$A:$Z,$B$10+21+8,19),INDEX('2030'!$A:$Z,$B$10+21+8,19)))</f>
        <v/>
      </c>
      <c r="I27">
        <f>IF($B27="","",""&amp;CHOOSE(Engine!$B$8,INDEX('2027'!$A:$Z,$B$10+21+8,23),INDEX('2028'!$A:$Z,$B$10+21+8,23),INDEX('2029'!$A:$Z,$B$10+21+8,23),INDEX('2030'!$A:$Z,$B$10+21+8,23)))</f>
        <v/>
      </c>
      <c r="J27">
        <f>IF($B27="","",""&amp;CHOOSE(Engine!$B$8,INDEX('2027'!$A:$Z,$B$10+21+8,25),INDEX('2028'!$A:$Z,$B$10+21+8,25),INDEX('2029'!$A:$Z,$B$10+21+8,25),INDEX('2030'!$A:$Z,$B$10+21+8,25)))</f>
        <v/>
      </c>
      <c r="K27">
        <f>IF(D27="",0,IFERROR(INDEX(Setup!$G$33:$G$40,MATCH(D27,Setup!$B$33:$B$40,0)),0))</f>
        <v/>
      </c>
      <c r="L27">
        <f>IF(E27="",0,IFERROR(INDEX(Setup!$G$33:$G$40,MATCH(E27,Setup!$B$33:$B$40,0)),0))</f>
        <v/>
      </c>
      <c r="M27">
        <f>IF(F27="",0,IFERROR(INDEX(Setup!$G$33:$G$40,MATCH(F27,Setup!$B$33:$B$40,0)),0))</f>
        <v/>
      </c>
      <c r="N27">
        <f>IF(G27="",0,IFERROR(INDEX(Setup!$G$33:$G$40,MATCH(G27,Setup!$B$33:$B$40,0)),0))</f>
        <v/>
      </c>
      <c r="O27">
        <f>IF(H27="",0,IFERROR(INDEX(Setup!$G$33:$G$40,MATCH(H27,Setup!$B$33:$B$40,0)),0))</f>
        <v/>
      </c>
      <c r="P27">
        <f>IF(I27="",0,IFERROR(INDEX(Setup!$G$33:$G$40,MATCH(I27,Setup!$B$33:$B$40,0)),0))</f>
        <v/>
      </c>
      <c r="Q27">
        <f>IF(J27="",0,IFERROR(INDEX(Setup!$G$33:$G$40,MATCH(J27,Setup!$B$33:$B$40,0)),0))</f>
        <v/>
      </c>
      <c r="R27">
        <f>IF($B27="",0,N(CHOOSE(Engine!$B$8,INDEX('2027'!$AB:$AB,$B$10+21+8),INDEX('2028'!$AB:$AB,$B$10+21+8),INDEX('2029'!$AB:$AB,$B$10+21+8),INDEX('2030'!$AB:$AB,$B$10+21+8))))</f>
        <v/>
      </c>
      <c r="S27">
        <f>IF($B27="",0,N(CHOOSE(Engine!$B$8,INDEX('2027'!$AC:$AC,$B$10+21+8),INDEX('2028'!$AC:$AC,$B$10+21+8),INDEX('2029'!$AC:$AC,$B$10+21+8),INDEX('2030'!$AC:$AC,$B$10+21+8))))</f>
        <v/>
      </c>
    </row>
    <row r="28">
      <c r="A28" t="n">
        <v>9</v>
      </c>
      <c r="B28">
        <f>IF(Setup!$B$14="","",Setup!$B$14)</f>
        <v/>
      </c>
      <c r="C28">
        <f>IF(AND(B28&lt;&gt;"",Setup!$E$14="Y"),1,0)</f>
        <v/>
      </c>
      <c r="D28">
        <f>IF($B28="","",""&amp;CHOOSE(Engine!$B$8,INDEX('2027'!$A:$Z,$B$10+21+9,3),INDEX('2028'!$A:$Z,$B$10+21+9,3),INDEX('2029'!$A:$Z,$B$10+21+9,3),INDEX('2030'!$A:$Z,$B$10+21+9,3)))</f>
        <v/>
      </c>
      <c r="E28">
        <f>IF($B28="","",""&amp;CHOOSE(Engine!$B$8,INDEX('2027'!$A:$Z,$B$10+21+9,7),INDEX('2028'!$A:$Z,$B$10+21+9,7),INDEX('2029'!$A:$Z,$B$10+21+9,7),INDEX('2030'!$A:$Z,$B$10+21+9,7)))</f>
        <v/>
      </c>
      <c r="F28">
        <f>IF($B28="","",""&amp;CHOOSE(Engine!$B$8,INDEX('2027'!$A:$Z,$B$10+21+9,11),INDEX('2028'!$A:$Z,$B$10+21+9,11),INDEX('2029'!$A:$Z,$B$10+21+9,11),INDEX('2030'!$A:$Z,$B$10+21+9,11)))</f>
        <v/>
      </c>
      <c r="G28">
        <f>IF($B28="","",""&amp;CHOOSE(Engine!$B$8,INDEX('2027'!$A:$Z,$B$10+21+9,15),INDEX('2028'!$A:$Z,$B$10+21+9,15),INDEX('2029'!$A:$Z,$B$10+21+9,15),INDEX('2030'!$A:$Z,$B$10+21+9,15)))</f>
        <v/>
      </c>
      <c r="H28">
        <f>IF($B28="","",""&amp;CHOOSE(Engine!$B$8,INDEX('2027'!$A:$Z,$B$10+21+9,19),INDEX('2028'!$A:$Z,$B$10+21+9,19),INDEX('2029'!$A:$Z,$B$10+21+9,19),INDEX('2030'!$A:$Z,$B$10+21+9,19)))</f>
        <v/>
      </c>
      <c r="I28">
        <f>IF($B28="","",""&amp;CHOOSE(Engine!$B$8,INDEX('2027'!$A:$Z,$B$10+21+9,23),INDEX('2028'!$A:$Z,$B$10+21+9,23),INDEX('2029'!$A:$Z,$B$10+21+9,23),INDEX('2030'!$A:$Z,$B$10+21+9,23)))</f>
        <v/>
      </c>
      <c r="J28">
        <f>IF($B28="","",""&amp;CHOOSE(Engine!$B$8,INDEX('2027'!$A:$Z,$B$10+21+9,25),INDEX('2028'!$A:$Z,$B$10+21+9,25),INDEX('2029'!$A:$Z,$B$10+21+9,25),INDEX('2030'!$A:$Z,$B$10+21+9,25)))</f>
        <v/>
      </c>
      <c r="K28">
        <f>IF(D28="",0,IFERROR(INDEX(Setup!$G$33:$G$40,MATCH(D28,Setup!$B$33:$B$40,0)),0))</f>
        <v/>
      </c>
      <c r="L28">
        <f>IF(E28="",0,IFERROR(INDEX(Setup!$G$33:$G$40,MATCH(E28,Setup!$B$33:$B$40,0)),0))</f>
        <v/>
      </c>
      <c r="M28">
        <f>IF(F28="",0,IFERROR(INDEX(Setup!$G$33:$G$40,MATCH(F28,Setup!$B$33:$B$40,0)),0))</f>
        <v/>
      </c>
      <c r="N28">
        <f>IF(G28="",0,IFERROR(INDEX(Setup!$G$33:$G$40,MATCH(G28,Setup!$B$33:$B$40,0)),0))</f>
        <v/>
      </c>
      <c r="O28">
        <f>IF(H28="",0,IFERROR(INDEX(Setup!$G$33:$G$40,MATCH(H28,Setup!$B$33:$B$40,0)),0))</f>
        <v/>
      </c>
      <c r="P28">
        <f>IF(I28="",0,IFERROR(INDEX(Setup!$G$33:$G$40,MATCH(I28,Setup!$B$33:$B$40,0)),0))</f>
        <v/>
      </c>
      <c r="Q28">
        <f>IF(J28="",0,IFERROR(INDEX(Setup!$G$33:$G$40,MATCH(J28,Setup!$B$33:$B$40,0)),0))</f>
        <v/>
      </c>
      <c r="R28">
        <f>IF($B28="",0,N(CHOOSE(Engine!$B$8,INDEX('2027'!$AB:$AB,$B$10+21+9),INDEX('2028'!$AB:$AB,$B$10+21+9),INDEX('2029'!$AB:$AB,$B$10+21+9),INDEX('2030'!$AB:$AB,$B$10+21+9))))</f>
        <v/>
      </c>
      <c r="S28">
        <f>IF($B28="",0,N(CHOOSE(Engine!$B$8,INDEX('2027'!$AC:$AC,$B$10+21+9),INDEX('2028'!$AC:$AC,$B$10+21+9),INDEX('2029'!$AC:$AC,$B$10+21+9),INDEX('2030'!$AC:$AC,$B$10+21+9))))</f>
        <v/>
      </c>
    </row>
    <row r="29">
      <c r="A29" t="n">
        <v>10</v>
      </c>
      <c r="B29">
        <f>IF(Setup!$B$15="","",Setup!$B$15)</f>
        <v/>
      </c>
      <c r="C29">
        <f>IF(AND(B29&lt;&gt;"",Setup!$E$15="Y"),1,0)</f>
        <v/>
      </c>
      <c r="D29">
        <f>IF($B29="","",""&amp;CHOOSE(Engine!$B$8,INDEX('2027'!$A:$Z,$B$10+21+10,3),INDEX('2028'!$A:$Z,$B$10+21+10,3),INDEX('2029'!$A:$Z,$B$10+21+10,3),INDEX('2030'!$A:$Z,$B$10+21+10,3)))</f>
        <v/>
      </c>
      <c r="E29">
        <f>IF($B29="","",""&amp;CHOOSE(Engine!$B$8,INDEX('2027'!$A:$Z,$B$10+21+10,7),INDEX('2028'!$A:$Z,$B$10+21+10,7),INDEX('2029'!$A:$Z,$B$10+21+10,7),INDEX('2030'!$A:$Z,$B$10+21+10,7)))</f>
        <v/>
      </c>
      <c r="F29">
        <f>IF($B29="","",""&amp;CHOOSE(Engine!$B$8,INDEX('2027'!$A:$Z,$B$10+21+10,11),INDEX('2028'!$A:$Z,$B$10+21+10,11),INDEX('2029'!$A:$Z,$B$10+21+10,11),INDEX('2030'!$A:$Z,$B$10+21+10,11)))</f>
        <v/>
      </c>
      <c r="G29">
        <f>IF($B29="","",""&amp;CHOOSE(Engine!$B$8,INDEX('2027'!$A:$Z,$B$10+21+10,15),INDEX('2028'!$A:$Z,$B$10+21+10,15),INDEX('2029'!$A:$Z,$B$10+21+10,15),INDEX('2030'!$A:$Z,$B$10+21+10,15)))</f>
        <v/>
      </c>
      <c r="H29">
        <f>IF($B29="","",""&amp;CHOOSE(Engine!$B$8,INDEX('2027'!$A:$Z,$B$10+21+10,19),INDEX('2028'!$A:$Z,$B$10+21+10,19),INDEX('2029'!$A:$Z,$B$10+21+10,19),INDEX('2030'!$A:$Z,$B$10+21+10,19)))</f>
        <v/>
      </c>
      <c r="I29">
        <f>IF($B29="","",""&amp;CHOOSE(Engine!$B$8,INDEX('2027'!$A:$Z,$B$10+21+10,23),INDEX('2028'!$A:$Z,$B$10+21+10,23),INDEX('2029'!$A:$Z,$B$10+21+10,23),INDEX('2030'!$A:$Z,$B$10+21+10,23)))</f>
        <v/>
      </c>
      <c r="J29">
        <f>IF($B29="","",""&amp;CHOOSE(Engine!$B$8,INDEX('2027'!$A:$Z,$B$10+21+10,25),INDEX('2028'!$A:$Z,$B$10+21+10,25),INDEX('2029'!$A:$Z,$B$10+21+10,25),INDEX('2030'!$A:$Z,$B$10+21+10,25)))</f>
        <v/>
      </c>
      <c r="K29">
        <f>IF(D29="",0,IFERROR(INDEX(Setup!$G$33:$G$40,MATCH(D29,Setup!$B$33:$B$40,0)),0))</f>
        <v/>
      </c>
      <c r="L29">
        <f>IF(E29="",0,IFERROR(INDEX(Setup!$G$33:$G$40,MATCH(E29,Setup!$B$33:$B$40,0)),0))</f>
        <v/>
      </c>
      <c r="M29">
        <f>IF(F29="",0,IFERROR(INDEX(Setup!$G$33:$G$40,MATCH(F29,Setup!$B$33:$B$40,0)),0))</f>
        <v/>
      </c>
      <c r="N29">
        <f>IF(G29="",0,IFERROR(INDEX(Setup!$G$33:$G$40,MATCH(G29,Setup!$B$33:$B$40,0)),0))</f>
        <v/>
      </c>
      <c r="O29">
        <f>IF(H29="",0,IFERROR(INDEX(Setup!$G$33:$G$40,MATCH(H29,Setup!$B$33:$B$40,0)),0))</f>
        <v/>
      </c>
      <c r="P29">
        <f>IF(I29="",0,IFERROR(INDEX(Setup!$G$33:$G$40,MATCH(I29,Setup!$B$33:$B$40,0)),0))</f>
        <v/>
      </c>
      <c r="Q29">
        <f>IF(J29="",0,IFERROR(INDEX(Setup!$G$33:$G$40,MATCH(J29,Setup!$B$33:$B$40,0)),0))</f>
        <v/>
      </c>
      <c r="R29">
        <f>IF($B29="",0,N(CHOOSE(Engine!$B$8,INDEX('2027'!$AB:$AB,$B$10+21+10),INDEX('2028'!$AB:$AB,$B$10+21+10),INDEX('2029'!$AB:$AB,$B$10+21+10),INDEX('2030'!$AB:$AB,$B$10+21+10))))</f>
        <v/>
      </c>
      <c r="S29">
        <f>IF($B29="",0,N(CHOOSE(Engine!$B$8,INDEX('2027'!$AC:$AC,$B$10+21+10),INDEX('2028'!$AC:$AC,$B$10+21+10),INDEX('2029'!$AC:$AC,$B$10+21+10),INDEX('2030'!$AC:$AC,$B$10+21+10))))</f>
        <v/>
      </c>
    </row>
    <row r="30">
      <c r="A30" t="n">
        <v>11</v>
      </c>
      <c r="B30">
        <f>IF(Setup!$B$16="","",Setup!$B$16)</f>
        <v/>
      </c>
      <c r="C30">
        <f>IF(AND(B30&lt;&gt;"",Setup!$E$16="Y"),1,0)</f>
        <v/>
      </c>
      <c r="D30">
        <f>IF($B30="","",""&amp;CHOOSE(Engine!$B$8,INDEX('2027'!$A:$Z,$B$10+21+11,3),INDEX('2028'!$A:$Z,$B$10+21+11,3),INDEX('2029'!$A:$Z,$B$10+21+11,3),INDEX('2030'!$A:$Z,$B$10+21+11,3)))</f>
        <v/>
      </c>
      <c r="E30">
        <f>IF($B30="","",""&amp;CHOOSE(Engine!$B$8,INDEX('2027'!$A:$Z,$B$10+21+11,7),INDEX('2028'!$A:$Z,$B$10+21+11,7),INDEX('2029'!$A:$Z,$B$10+21+11,7),INDEX('2030'!$A:$Z,$B$10+21+11,7)))</f>
        <v/>
      </c>
      <c r="F30">
        <f>IF($B30="","",""&amp;CHOOSE(Engine!$B$8,INDEX('2027'!$A:$Z,$B$10+21+11,11),INDEX('2028'!$A:$Z,$B$10+21+11,11),INDEX('2029'!$A:$Z,$B$10+21+11,11),INDEX('2030'!$A:$Z,$B$10+21+11,11)))</f>
        <v/>
      </c>
      <c r="G30">
        <f>IF($B30="","",""&amp;CHOOSE(Engine!$B$8,INDEX('2027'!$A:$Z,$B$10+21+11,15),INDEX('2028'!$A:$Z,$B$10+21+11,15),INDEX('2029'!$A:$Z,$B$10+21+11,15),INDEX('2030'!$A:$Z,$B$10+21+11,15)))</f>
        <v/>
      </c>
      <c r="H30">
        <f>IF($B30="","",""&amp;CHOOSE(Engine!$B$8,INDEX('2027'!$A:$Z,$B$10+21+11,19),INDEX('2028'!$A:$Z,$B$10+21+11,19),INDEX('2029'!$A:$Z,$B$10+21+11,19),INDEX('2030'!$A:$Z,$B$10+21+11,19)))</f>
        <v/>
      </c>
      <c r="I30">
        <f>IF($B30="","",""&amp;CHOOSE(Engine!$B$8,INDEX('2027'!$A:$Z,$B$10+21+11,23),INDEX('2028'!$A:$Z,$B$10+21+11,23),INDEX('2029'!$A:$Z,$B$10+21+11,23),INDEX('2030'!$A:$Z,$B$10+21+11,23)))</f>
        <v/>
      </c>
      <c r="J30">
        <f>IF($B30="","",""&amp;CHOOSE(Engine!$B$8,INDEX('2027'!$A:$Z,$B$10+21+11,25),INDEX('2028'!$A:$Z,$B$10+21+11,25),INDEX('2029'!$A:$Z,$B$10+21+11,25),INDEX('2030'!$A:$Z,$B$10+21+11,25)))</f>
        <v/>
      </c>
      <c r="K30">
        <f>IF(D30="",0,IFERROR(INDEX(Setup!$G$33:$G$40,MATCH(D30,Setup!$B$33:$B$40,0)),0))</f>
        <v/>
      </c>
      <c r="L30">
        <f>IF(E30="",0,IFERROR(INDEX(Setup!$G$33:$G$40,MATCH(E30,Setup!$B$33:$B$40,0)),0))</f>
        <v/>
      </c>
      <c r="M30">
        <f>IF(F30="",0,IFERROR(INDEX(Setup!$G$33:$G$40,MATCH(F30,Setup!$B$33:$B$40,0)),0))</f>
        <v/>
      </c>
      <c r="N30">
        <f>IF(G30="",0,IFERROR(INDEX(Setup!$G$33:$G$40,MATCH(G30,Setup!$B$33:$B$40,0)),0))</f>
        <v/>
      </c>
      <c r="O30">
        <f>IF(H30="",0,IFERROR(INDEX(Setup!$G$33:$G$40,MATCH(H30,Setup!$B$33:$B$40,0)),0))</f>
        <v/>
      </c>
      <c r="P30">
        <f>IF(I30="",0,IFERROR(INDEX(Setup!$G$33:$G$40,MATCH(I30,Setup!$B$33:$B$40,0)),0))</f>
        <v/>
      </c>
      <c r="Q30">
        <f>IF(J30="",0,IFERROR(INDEX(Setup!$G$33:$G$40,MATCH(J30,Setup!$B$33:$B$40,0)),0))</f>
        <v/>
      </c>
      <c r="R30">
        <f>IF($B30="",0,N(CHOOSE(Engine!$B$8,INDEX('2027'!$AB:$AB,$B$10+21+11),INDEX('2028'!$AB:$AB,$B$10+21+11),INDEX('2029'!$AB:$AB,$B$10+21+11),INDEX('2030'!$AB:$AB,$B$10+21+11))))</f>
        <v/>
      </c>
      <c r="S30">
        <f>IF($B30="",0,N(CHOOSE(Engine!$B$8,INDEX('2027'!$AC:$AC,$B$10+21+11),INDEX('2028'!$AC:$AC,$B$10+21+11),INDEX('2029'!$AC:$AC,$B$10+21+11),INDEX('2030'!$AC:$AC,$B$10+21+11))))</f>
        <v/>
      </c>
    </row>
    <row r="31">
      <c r="A31" t="n">
        <v>12</v>
      </c>
      <c r="B31">
        <f>IF(Setup!$B$17="","",Setup!$B$17)</f>
        <v/>
      </c>
      <c r="C31">
        <f>IF(AND(B31&lt;&gt;"",Setup!$E$17="Y"),1,0)</f>
        <v/>
      </c>
      <c r="D31">
        <f>IF($B31="","",""&amp;CHOOSE(Engine!$B$8,INDEX('2027'!$A:$Z,$B$10+21+12,3),INDEX('2028'!$A:$Z,$B$10+21+12,3),INDEX('2029'!$A:$Z,$B$10+21+12,3),INDEX('2030'!$A:$Z,$B$10+21+12,3)))</f>
        <v/>
      </c>
      <c r="E31">
        <f>IF($B31="","",""&amp;CHOOSE(Engine!$B$8,INDEX('2027'!$A:$Z,$B$10+21+12,7),INDEX('2028'!$A:$Z,$B$10+21+12,7),INDEX('2029'!$A:$Z,$B$10+21+12,7),INDEX('2030'!$A:$Z,$B$10+21+12,7)))</f>
        <v/>
      </c>
      <c r="F31">
        <f>IF($B31="","",""&amp;CHOOSE(Engine!$B$8,INDEX('2027'!$A:$Z,$B$10+21+12,11),INDEX('2028'!$A:$Z,$B$10+21+12,11),INDEX('2029'!$A:$Z,$B$10+21+12,11),INDEX('2030'!$A:$Z,$B$10+21+12,11)))</f>
        <v/>
      </c>
      <c r="G31">
        <f>IF($B31="","",""&amp;CHOOSE(Engine!$B$8,INDEX('2027'!$A:$Z,$B$10+21+12,15),INDEX('2028'!$A:$Z,$B$10+21+12,15),INDEX('2029'!$A:$Z,$B$10+21+12,15),INDEX('2030'!$A:$Z,$B$10+21+12,15)))</f>
        <v/>
      </c>
      <c r="H31">
        <f>IF($B31="","",""&amp;CHOOSE(Engine!$B$8,INDEX('2027'!$A:$Z,$B$10+21+12,19),INDEX('2028'!$A:$Z,$B$10+21+12,19),INDEX('2029'!$A:$Z,$B$10+21+12,19),INDEX('2030'!$A:$Z,$B$10+21+12,19)))</f>
        <v/>
      </c>
      <c r="I31">
        <f>IF($B31="","",""&amp;CHOOSE(Engine!$B$8,INDEX('2027'!$A:$Z,$B$10+21+12,23),INDEX('2028'!$A:$Z,$B$10+21+12,23),INDEX('2029'!$A:$Z,$B$10+21+12,23),INDEX('2030'!$A:$Z,$B$10+21+12,23)))</f>
        <v/>
      </c>
      <c r="J31">
        <f>IF($B31="","",""&amp;CHOOSE(Engine!$B$8,INDEX('2027'!$A:$Z,$B$10+21+12,25),INDEX('2028'!$A:$Z,$B$10+21+12,25),INDEX('2029'!$A:$Z,$B$10+21+12,25),INDEX('2030'!$A:$Z,$B$10+21+12,25)))</f>
        <v/>
      </c>
      <c r="K31">
        <f>IF(D31="",0,IFERROR(INDEX(Setup!$G$33:$G$40,MATCH(D31,Setup!$B$33:$B$40,0)),0))</f>
        <v/>
      </c>
      <c r="L31">
        <f>IF(E31="",0,IFERROR(INDEX(Setup!$G$33:$G$40,MATCH(E31,Setup!$B$33:$B$40,0)),0))</f>
        <v/>
      </c>
      <c r="M31">
        <f>IF(F31="",0,IFERROR(INDEX(Setup!$G$33:$G$40,MATCH(F31,Setup!$B$33:$B$40,0)),0))</f>
        <v/>
      </c>
      <c r="N31">
        <f>IF(G31="",0,IFERROR(INDEX(Setup!$G$33:$G$40,MATCH(G31,Setup!$B$33:$B$40,0)),0))</f>
        <v/>
      </c>
      <c r="O31">
        <f>IF(H31="",0,IFERROR(INDEX(Setup!$G$33:$G$40,MATCH(H31,Setup!$B$33:$B$40,0)),0))</f>
        <v/>
      </c>
      <c r="P31">
        <f>IF(I31="",0,IFERROR(INDEX(Setup!$G$33:$G$40,MATCH(I31,Setup!$B$33:$B$40,0)),0))</f>
        <v/>
      </c>
      <c r="Q31">
        <f>IF(J31="",0,IFERROR(INDEX(Setup!$G$33:$G$40,MATCH(J31,Setup!$B$33:$B$40,0)),0))</f>
        <v/>
      </c>
      <c r="R31">
        <f>IF($B31="",0,N(CHOOSE(Engine!$B$8,INDEX('2027'!$AB:$AB,$B$10+21+12),INDEX('2028'!$AB:$AB,$B$10+21+12),INDEX('2029'!$AB:$AB,$B$10+21+12),INDEX('2030'!$AB:$AB,$B$10+21+12))))</f>
        <v/>
      </c>
      <c r="S31">
        <f>IF($B31="",0,N(CHOOSE(Engine!$B$8,INDEX('2027'!$AC:$AC,$B$10+21+12),INDEX('2028'!$AC:$AC,$B$10+21+12),INDEX('2029'!$AC:$AC,$B$10+21+12),INDEX('2030'!$AC:$AC,$B$10+21+12))))</f>
        <v/>
      </c>
    </row>
    <row r="32">
      <c r="A32" t="n">
        <v>13</v>
      </c>
      <c r="B32">
        <f>IF(Setup!$B$18="","",Setup!$B$18)</f>
        <v/>
      </c>
      <c r="C32">
        <f>IF(AND(B32&lt;&gt;"",Setup!$E$18="Y"),1,0)</f>
        <v/>
      </c>
      <c r="D32">
        <f>IF($B32="","",""&amp;CHOOSE(Engine!$B$8,INDEX('2027'!$A:$Z,$B$10+21+13,3),INDEX('2028'!$A:$Z,$B$10+21+13,3),INDEX('2029'!$A:$Z,$B$10+21+13,3),INDEX('2030'!$A:$Z,$B$10+21+13,3)))</f>
        <v/>
      </c>
      <c r="E32">
        <f>IF($B32="","",""&amp;CHOOSE(Engine!$B$8,INDEX('2027'!$A:$Z,$B$10+21+13,7),INDEX('2028'!$A:$Z,$B$10+21+13,7),INDEX('2029'!$A:$Z,$B$10+21+13,7),INDEX('2030'!$A:$Z,$B$10+21+13,7)))</f>
        <v/>
      </c>
      <c r="F32">
        <f>IF($B32="","",""&amp;CHOOSE(Engine!$B$8,INDEX('2027'!$A:$Z,$B$10+21+13,11),INDEX('2028'!$A:$Z,$B$10+21+13,11),INDEX('2029'!$A:$Z,$B$10+21+13,11),INDEX('2030'!$A:$Z,$B$10+21+13,11)))</f>
        <v/>
      </c>
      <c r="G32">
        <f>IF($B32="","",""&amp;CHOOSE(Engine!$B$8,INDEX('2027'!$A:$Z,$B$10+21+13,15),INDEX('2028'!$A:$Z,$B$10+21+13,15),INDEX('2029'!$A:$Z,$B$10+21+13,15),INDEX('2030'!$A:$Z,$B$10+21+13,15)))</f>
        <v/>
      </c>
      <c r="H32">
        <f>IF($B32="","",""&amp;CHOOSE(Engine!$B$8,INDEX('2027'!$A:$Z,$B$10+21+13,19),INDEX('2028'!$A:$Z,$B$10+21+13,19),INDEX('2029'!$A:$Z,$B$10+21+13,19),INDEX('2030'!$A:$Z,$B$10+21+13,19)))</f>
        <v/>
      </c>
      <c r="I32">
        <f>IF($B32="","",""&amp;CHOOSE(Engine!$B$8,INDEX('2027'!$A:$Z,$B$10+21+13,23),INDEX('2028'!$A:$Z,$B$10+21+13,23),INDEX('2029'!$A:$Z,$B$10+21+13,23),INDEX('2030'!$A:$Z,$B$10+21+13,23)))</f>
        <v/>
      </c>
      <c r="J32">
        <f>IF($B32="","",""&amp;CHOOSE(Engine!$B$8,INDEX('2027'!$A:$Z,$B$10+21+13,25),INDEX('2028'!$A:$Z,$B$10+21+13,25),INDEX('2029'!$A:$Z,$B$10+21+13,25),INDEX('2030'!$A:$Z,$B$10+21+13,25)))</f>
        <v/>
      </c>
      <c r="K32">
        <f>IF(D32="",0,IFERROR(INDEX(Setup!$G$33:$G$40,MATCH(D32,Setup!$B$33:$B$40,0)),0))</f>
        <v/>
      </c>
      <c r="L32">
        <f>IF(E32="",0,IFERROR(INDEX(Setup!$G$33:$G$40,MATCH(E32,Setup!$B$33:$B$40,0)),0))</f>
        <v/>
      </c>
      <c r="M32">
        <f>IF(F32="",0,IFERROR(INDEX(Setup!$G$33:$G$40,MATCH(F32,Setup!$B$33:$B$40,0)),0))</f>
        <v/>
      </c>
      <c r="N32">
        <f>IF(G32="",0,IFERROR(INDEX(Setup!$G$33:$G$40,MATCH(G32,Setup!$B$33:$B$40,0)),0))</f>
        <v/>
      </c>
      <c r="O32">
        <f>IF(H32="",0,IFERROR(INDEX(Setup!$G$33:$G$40,MATCH(H32,Setup!$B$33:$B$40,0)),0))</f>
        <v/>
      </c>
      <c r="P32">
        <f>IF(I32="",0,IFERROR(INDEX(Setup!$G$33:$G$40,MATCH(I32,Setup!$B$33:$B$40,0)),0))</f>
        <v/>
      </c>
      <c r="Q32">
        <f>IF(J32="",0,IFERROR(INDEX(Setup!$G$33:$G$40,MATCH(J32,Setup!$B$33:$B$40,0)),0))</f>
        <v/>
      </c>
      <c r="R32">
        <f>IF($B32="",0,N(CHOOSE(Engine!$B$8,INDEX('2027'!$AB:$AB,$B$10+21+13),INDEX('2028'!$AB:$AB,$B$10+21+13),INDEX('2029'!$AB:$AB,$B$10+21+13),INDEX('2030'!$AB:$AB,$B$10+21+13))))</f>
        <v/>
      </c>
      <c r="S32">
        <f>IF($B32="",0,N(CHOOSE(Engine!$B$8,INDEX('2027'!$AC:$AC,$B$10+21+13),INDEX('2028'!$AC:$AC,$B$10+21+13),INDEX('2029'!$AC:$AC,$B$10+21+13),INDEX('2030'!$AC:$AC,$B$10+21+13))))</f>
        <v/>
      </c>
    </row>
    <row r="33">
      <c r="A33" t="n">
        <v>14</v>
      </c>
      <c r="B33">
        <f>IF(Setup!$B$19="","",Setup!$B$19)</f>
        <v/>
      </c>
      <c r="C33">
        <f>IF(AND(B33&lt;&gt;"",Setup!$E$19="Y"),1,0)</f>
        <v/>
      </c>
      <c r="D33">
        <f>IF($B33="","",""&amp;CHOOSE(Engine!$B$8,INDEX('2027'!$A:$Z,$B$10+21+14,3),INDEX('2028'!$A:$Z,$B$10+21+14,3),INDEX('2029'!$A:$Z,$B$10+21+14,3),INDEX('2030'!$A:$Z,$B$10+21+14,3)))</f>
        <v/>
      </c>
      <c r="E33">
        <f>IF($B33="","",""&amp;CHOOSE(Engine!$B$8,INDEX('2027'!$A:$Z,$B$10+21+14,7),INDEX('2028'!$A:$Z,$B$10+21+14,7),INDEX('2029'!$A:$Z,$B$10+21+14,7),INDEX('2030'!$A:$Z,$B$10+21+14,7)))</f>
        <v/>
      </c>
      <c r="F33">
        <f>IF($B33="","",""&amp;CHOOSE(Engine!$B$8,INDEX('2027'!$A:$Z,$B$10+21+14,11),INDEX('2028'!$A:$Z,$B$10+21+14,11),INDEX('2029'!$A:$Z,$B$10+21+14,11),INDEX('2030'!$A:$Z,$B$10+21+14,11)))</f>
        <v/>
      </c>
      <c r="G33">
        <f>IF($B33="","",""&amp;CHOOSE(Engine!$B$8,INDEX('2027'!$A:$Z,$B$10+21+14,15),INDEX('2028'!$A:$Z,$B$10+21+14,15),INDEX('2029'!$A:$Z,$B$10+21+14,15),INDEX('2030'!$A:$Z,$B$10+21+14,15)))</f>
        <v/>
      </c>
      <c r="H33">
        <f>IF($B33="","",""&amp;CHOOSE(Engine!$B$8,INDEX('2027'!$A:$Z,$B$10+21+14,19),INDEX('2028'!$A:$Z,$B$10+21+14,19),INDEX('2029'!$A:$Z,$B$10+21+14,19),INDEX('2030'!$A:$Z,$B$10+21+14,19)))</f>
        <v/>
      </c>
      <c r="I33">
        <f>IF($B33="","",""&amp;CHOOSE(Engine!$B$8,INDEX('2027'!$A:$Z,$B$10+21+14,23),INDEX('2028'!$A:$Z,$B$10+21+14,23),INDEX('2029'!$A:$Z,$B$10+21+14,23),INDEX('2030'!$A:$Z,$B$10+21+14,23)))</f>
        <v/>
      </c>
      <c r="J33">
        <f>IF($B33="","",""&amp;CHOOSE(Engine!$B$8,INDEX('2027'!$A:$Z,$B$10+21+14,25),INDEX('2028'!$A:$Z,$B$10+21+14,25),INDEX('2029'!$A:$Z,$B$10+21+14,25),INDEX('2030'!$A:$Z,$B$10+21+14,25)))</f>
        <v/>
      </c>
      <c r="K33">
        <f>IF(D33="",0,IFERROR(INDEX(Setup!$G$33:$G$40,MATCH(D33,Setup!$B$33:$B$40,0)),0))</f>
        <v/>
      </c>
      <c r="L33">
        <f>IF(E33="",0,IFERROR(INDEX(Setup!$G$33:$G$40,MATCH(E33,Setup!$B$33:$B$40,0)),0))</f>
        <v/>
      </c>
      <c r="M33">
        <f>IF(F33="",0,IFERROR(INDEX(Setup!$G$33:$G$40,MATCH(F33,Setup!$B$33:$B$40,0)),0))</f>
        <v/>
      </c>
      <c r="N33">
        <f>IF(G33="",0,IFERROR(INDEX(Setup!$G$33:$G$40,MATCH(G33,Setup!$B$33:$B$40,0)),0))</f>
        <v/>
      </c>
      <c r="O33">
        <f>IF(H33="",0,IFERROR(INDEX(Setup!$G$33:$G$40,MATCH(H33,Setup!$B$33:$B$40,0)),0))</f>
        <v/>
      </c>
      <c r="P33">
        <f>IF(I33="",0,IFERROR(INDEX(Setup!$G$33:$G$40,MATCH(I33,Setup!$B$33:$B$40,0)),0))</f>
        <v/>
      </c>
      <c r="Q33">
        <f>IF(J33="",0,IFERROR(INDEX(Setup!$G$33:$G$40,MATCH(J33,Setup!$B$33:$B$40,0)),0))</f>
        <v/>
      </c>
      <c r="R33">
        <f>IF($B33="",0,N(CHOOSE(Engine!$B$8,INDEX('2027'!$AB:$AB,$B$10+21+14),INDEX('2028'!$AB:$AB,$B$10+21+14),INDEX('2029'!$AB:$AB,$B$10+21+14),INDEX('2030'!$AB:$AB,$B$10+21+14))))</f>
        <v/>
      </c>
      <c r="S33">
        <f>IF($B33="",0,N(CHOOSE(Engine!$B$8,INDEX('2027'!$AC:$AC,$B$10+21+14),INDEX('2028'!$AC:$AC,$B$10+21+14),INDEX('2029'!$AC:$AC,$B$10+21+14),INDEX('2030'!$AC:$AC,$B$10+21+14))))</f>
        <v/>
      </c>
    </row>
    <row r="34">
      <c r="A34" t="n">
        <v>15</v>
      </c>
      <c r="B34">
        <f>IF(Setup!$B$20="","",Setup!$B$20)</f>
        <v/>
      </c>
      <c r="C34">
        <f>IF(AND(B34&lt;&gt;"",Setup!$E$20="Y"),1,0)</f>
        <v/>
      </c>
      <c r="D34">
        <f>IF($B34="","",""&amp;CHOOSE(Engine!$B$8,INDEX('2027'!$A:$Z,$B$10+21+15,3),INDEX('2028'!$A:$Z,$B$10+21+15,3),INDEX('2029'!$A:$Z,$B$10+21+15,3),INDEX('2030'!$A:$Z,$B$10+21+15,3)))</f>
        <v/>
      </c>
      <c r="E34">
        <f>IF($B34="","",""&amp;CHOOSE(Engine!$B$8,INDEX('2027'!$A:$Z,$B$10+21+15,7),INDEX('2028'!$A:$Z,$B$10+21+15,7),INDEX('2029'!$A:$Z,$B$10+21+15,7),INDEX('2030'!$A:$Z,$B$10+21+15,7)))</f>
        <v/>
      </c>
      <c r="F34">
        <f>IF($B34="","",""&amp;CHOOSE(Engine!$B$8,INDEX('2027'!$A:$Z,$B$10+21+15,11),INDEX('2028'!$A:$Z,$B$10+21+15,11),INDEX('2029'!$A:$Z,$B$10+21+15,11),INDEX('2030'!$A:$Z,$B$10+21+15,11)))</f>
        <v/>
      </c>
      <c r="G34">
        <f>IF($B34="","",""&amp;CHOOSE(Engine!$B$8,INDEX('2027'!$A:$Z,$B$10+21+15,15),INDEX('2028'!$A:$Z,$B$10+21+15,15),INDEX('2029'!$A:$Z,$B$10+21+15,15),INDEX('2030'!$A:$Z,$B$10+21+15,15)))</f>
        <v/>
      </c>
      <c r="H34">
        <f>IF($B34="","",""&amp;CHOOSE(Engine!$B$8,INDEX('2027'!$A:$Z,$B$10+21+15,19),INDEX('2028'!$A:$Z,$B$10+21+15,19),INDEX('2029'!$A:$Z,$B$10+21+15,19),INDEX('2030'!$A:$Z,$B$10+21+15,19)))</f>
        <v/>
      </c>
      <c r="I34">
        <f>IF($B34="","",""&amp;CHOOSE(Engine!$B$8,INDEX('2027'!$A:$Z,$B$10+21+15,23),INDEX('2028'!$A:$Z,$B$10+21+15,23),INDEX('2029'!$A:$Z,$B$10+21+15,23),INDEX('2030'!$A:$Z,$B$10+21+15,23)))</f>
        <v/>
      </c>
      <c r="J34">
        <f>IF($B34="","",""&amp;CHOOSE(Engine!$B$8,INDEX('2027'!$A:$Z,$B$10+21+15,25),INDEX('2028'!$A:$Z,$B$10+21+15,25),INDEX('2029'!$A:$Z,$B$10+21+15,25),INDEX('2030'!$A:$Z,$B$10+21+15,25)))</f>
        <v/>
      </c>
      <c r="K34">
        <f>IF(D34="",0,IFERROR(INDEX(Setup!$G$33:$G$40,MATCH(D34,Setup!$B$33:$B$40,0)),0))</f>
        <v/>
      </c>
      <c r="L34">
        <f>IF(E34="",0,IFERROR(INDEX(Setup!$G$33:$G$40,MATCH(E34,Setup!$B$33:$B$40,0)),0))</f>
        <v/>
      </c>
      <c r="M34">
        <f>IF(F34="",0,IFERROR(INDEX(Setup!$G$33:$G$40,MATCH(F34,Setup!$B$33:$B$40,0)),0))</f>
        <v/>
      </c>
      <c r="N34">
        <f>IF(G34="",0,IFERROR(INDEX(Setup!$G$33:$G$40,MATCH(G34,Setup!$B$33:$B$40,0)),0))</f>
        <v/>
      </c>
      <c r="O34">
        <f>IF(H34="",0,IFERROR(INDEX(Setup!$G$33:$G$40,MATCH(H34,Setup!$B$33:$B$40,0)),0))</f>
        <v/>
      </c>
      <c r="P34">
        <f>IF(I34="",0,IFERROR(INDEX(Setup!$G$33:$G$40,MATCH(I34,Setup!$B$33:$B$40,0)),0))</f>
        <v/>
      </c>
      <c r="Q34">
        <f>IF(J34="",0,IFERROR(INDEX(Setup!$G$33:$G$40,MATCH(J34,Setup!$B$33:$B$40,0)),0))</f>
        <v/>
      </c>
      <c r="R34">
        <f>IF($B34="",0,N(CHOOSE(Engine!$B$8,INDEX('2027'!$AB:$AB,$B$10+21+15),INDEX('2028'!$AB:$AB,$B$10+21+15),INDEX('2029'!$AB:$AB,$B$10+21+15),INDEX('2030'!$AB:$AB,$B$10+21+15))))</f>
        <v/>
      </c>
      <c r="S34">
        <f>IF($B34="",0,N(CHOOSE(Engine!$B$8,INDEX('2027'!$AC:$AC,$B$10+21+15),INDEX('2028'!$AC:$AC,$B$10+21+15),INDEX('2029'!$AC:$AC,$B$10+21+15),INDEX('2030'!$AC:$AC,$B$10+21+15))))</f>
        <v/>
      </c>
    </row>
    <row r="35">
      <c r="A35" t="n">
        <v>16</v>
      </c>
      <c r="B35">
        <f>IF(Setup!$B$21="","",Setup!$B$21)</f>
        <v/>
      </c>
      <c r="C35">
        <f>IF(AND(B35&lt;&gt;"",Setup!$E$21="Y"),1,0)</f>
        <v/>
      </c>
      <c r="D35">
        <f>IF($B35="","",""&amp;CHOOSE(Engine!$B$8,INDEX('2027'!$A:$Z,$B$10+21+16,3),INDEX('2028'!$A:$Z,$B$10+21+16,3),INDEX('2029'!$A:$Z,$B$10+21+16,3),INDEX('2030'!$A:$Z,$B$10+21+16,3)))</f>
        <v/>
      </c>
      <c r="E35">
        <f>IF($B35="","",""&amp;CHOOSE(Engine!$B$8,INDEX('2027'!$A:$Z,$B$10+21+16,7),INDEX('2028'!$A:$Z,$B$10+21+16,7),INDEX('2029'!$A:$Z,$B$10+21+16,7),INDEX('2030'!$A:$Z,$B$10+21+16,7)))</f>
        <v/>
      </c>
      <c r="F35">
        <f>IF($B35="","",""&amp;CHOOSE(Engine!$B$8,INDEX('2027'!$A:$Z,$B$10+21+16,11),INDEX('2028'!$A:$Z,$B$10+21+16,11),INDEX('2029'!$A:$Z,$B$10+21+16,11),INDEX('2030'!$A:$Z,$B$10+21+16,11)))</f>
        <v/>
      </c>
      <c r="G35">
        <f>IF($B35="","",""&amp;CHOOSE(Engine!$B$8,INDEX('2027'!$A:$Z,$B$10+21+16,15),INDEX('2028'!$A:$Z,$B$10+21+16,15),INDEX('2029'!$A:$Z,$B$10+21+16,15),INDEX('2030'!$A:$Z,$B$10+21+16,15)))</f>
        <v/>
      </c>
      <c r="H35">
        <f>IF($B35="","",""&amp;CHOOSE(Engine!$B$8,INDEX('2027'!$A:$Z,$B$10+21+16,19),INDEX('2028'!$A:$Z,$B$10+21+16,19),INDEX('2029'!$A:$Z,$B$10+21+16,19),INDEX('2030'!$A:$Z,$B$10+21+16,19)))</f>
        <v/>
      </c>
      <c r="I35">
        <f>IF($B35="","",""&amp;CHOOSE(Engine!$B$8,INDEX('2027'!$A:$Z,$B$10+21+16,23),INDEX('2028'!$A:$Z,$B$10+21+16,23),INDEX('2029'!$A:$Z,$B$10+21+16,23),INDEX('2030'!$A:$Z,$B$10+21+16,23)))</f>
        <v/>
      </c>
      <c r="J35">
        <f>IF($B35="","",""&amp;CHOOSE(Engine!$B$8,INDEX('2027'!$A:$Z,$B$10+21+16,25),INDEX('2028'!$A:$Z,$B$10+21+16,25),INDEX('2029'!$A:$Z,$B$10+21+16,25),INDEX('2030'!$A:$Z,$B$10+21+16,25)))</f>
        <v/>
      </c>
      <c r="K35">
        <f>IF(D35="",0,IFERROR(INDEX(Setup!$G$33:$G$40,MATCH(D35,Setup!$B$33:$B$40,0)),0))</f>
        <v/>
      </c>
      <c r="L35">
        <f>IF(E35="",0,IFERROR(INDEX(Setup!$G$33:$G$40,MATCH(E35,Setup!$B$33:$B$40,0)),0))</f>
        <v/>
      </c>
      <c r="M35">
        <f>IF(F35="",0,IFERROR(INDEX(Setup!$G$33:$G$40,MATCH(F35,Setup!$B$33:$B$40,0)),0))</f>
        <v/>
      </c>
      <c r="N35">
        <f>IF(G35="",0,IFERROR(INDEX(Setup!$G$33:$G$40,MATCH(G35,Setup!$B$33:$B$40,0)),0))</f>
        <v/>
      </c>
      <c r="O35">
        <f>IF(H35="",0,IFERROR(INDEX(Setup!$G$33:$G$40,MATCH(H35,Setup!$B$33:$B$40,0)),0))</f>
        <v/>
      </c>
      <c r="P35">
        <f>IF(I35="",0,IFERROR(INDEX(Setup!$G$33:$G$40,MATCH(I35,Setup!$B$33:$B$40,0)),0))</f>
        <v/>
      </c>
      <c r="Q35">
        <f>IF(J35="",0,IFERROR(INDEX(Setup!$G$33:$G$40,MATCH(J35,Setup!$B$33:$B$40,0)),0))</f>
        <v/>
      </c>
      <c r="R35">
        <f>IF($B35="",0,N(CHOOSE(Engine!$B$8,INDEX('2027'!$AB:$AB,$B$10+21+16),INDEX('2028'!$AB:$AB,$B$10+21+16),INDEX('2029'!$AB:$AB,$B$10+21+16),INDEX('2030'!$AB:$AB,$B$10+21+16))))</f>
        <v/>
      </c>
      <c r="S35">
        <f>IF($B35="",0,N(CHOOSE(Engine!$B$8,INDEX('2027'!$AC:$AC,$B$10+21+16),INDEX('2028'!$AC:$AC,$B$10+21+16),INDEX('2029'!$AC:$AC,$B$10+21+16),INDEX('2030'!$AC:$AC,$B$10+21+16))))</f>
        <v/>
      </c>
    </row>
    <row r="36">
      <c r="A36" t="n">
        <v>17</v>
      </c>
      <c r="B36">
        <f>IF(Setup!$B$22="","",Setup!$B$22)</f>
        <v/>
      </c>
      <c r="C36">
        <f>IF(AND(B36&lt;&gt;"",Setup!$E$22="Y"),1,0)</f>
        <v/>
      </c>
      <c r="D36">
        <f>IF($B36="","",""&amp;CHOOSE(Engine!$B$8,INDEX('2027'!$A:$Z,$B$10+21+17,3),INDEX('2028'!$A:$Z,$B$10+21+17,3),INDEX('2029'!$A:$Z,$B$10+21+17,3),INDEX('2030'!$A:$Z,$B$10+21+17,3)))</f>
        <v/>
      </c>
      <c r="E36">
        <f>IF($B36="","",""&amp;CHOOSE(Engine!$B$8,INDEX('2027'!$A:$Z,$B$10+21+17,7),INDEX('2028'!$A:$Z,$B$10+21+17,7),INDEX('2029'!$A:$Z,$B$10+21+17,7),INDEX('2030'!$A:$Z,$B$10+21+17,7)))</f>
        <v/>
      </c>
      <c r="F36">
        <f>IF($B36="","",""&amp;CHOOSE(Engine!$B$8,INDEX('2027'!$A:$Z,$B$10+21+17,11),INDEX('2028'!$A:$Z,$B$10+21+17,11),INDEX('2029'!$A:$Z,$B$10+21+17,11),INDEX('2030'!$A:$Z,$B$10+21+17,11)))</f>
        <v/>
      </c>
      <c r="G36">
        <f>IF($B36="","",""&amp;CHOOSE(Engine!$B$8,INDEX('2027'!$A:$Z,$B$10+21+17,15),INDEX('2028'!$A:$Z,$B$10+21+17,15),INDEX('2029'!$A:$Z,$B$10+21+17,15),INDEX('2030'!$A:$Z,$B$10+21+17,15)))</f>
        <v/>
      </c>
      <c r="H36">
        <f>IF($B36="","",""&amp;CHOOSE(Engine!$B$8,INDEX('2027'!$A:$Z,$B$10+21+17,19),INDEX('2028'!$A:$Z,$B$10+21+17,19),INDEX('2029'!$A:$Z,$B$10+21+17,19),INDEX('2030'!$A:$Z,$B$10+21+17,19)))</f>
        <v/>
      </c>
      <c r="I36">
        <f>IF($B36="","",""&amp;CHOOSE(Engine!$B$8,INDEX('2027'!$A:$Z,$B$10+21+17,23),INDEX('2028'!$A:$Z,$B$10+21+17,23),INDEX('2029'!$A:$Z,$B$10+21+17,23),INDEX('2030'!$A:$Z,$B$10+21+17,23)))</f>
        <v/>
      </c>
      <c r="J36">
        <f>IF($B36="","",""&amp;CHOOSE(Engine!$B$8,INDEX('2027'!$A:$Z,$B$10+21+17,25),INDEX('2028'!$A:$Z,$B$10+21+17,25),INDEX('2029'!$A:$Z,$B$10+21+17,25),INDEX('2030'!$A:$Z,$B$10+21+17,25)))</f>
        <v/>
      </c>
      <c r="K36">
        <f>IF(D36="",0,IFERROR(INDEX(Setup!$G$33:$G$40,MATCH(D36,Setup!$B$33:$B$40,0)),0))</f>
        <v/>
      </c>
      <c r="L36">
        <f>IF(E36="",0,IFERROR(INDEX(Setup!$G$33:$G$40,MATCH(E36,Setup!$B$33:$B$40,0)),0))</f>
        <v/>
      </c>
      <c r="M36">
        <f>IF(F36="",0,IFERROR(INDEX(Setup!$G$33:$G$40,MATCH(F36,Setup!$B$33:$B$40,0)),0))</f>
        <v/>
      </c>
      <c r="N36">
        <f>IF(G36="",0,IFERROR(INDEX(Setup!$G$33:$G$40,MATCH(G36,Setup!$B$33:$B$40,0)),0))</f>
        <v/>
      </c>
      <c r="O36">
        <f>IF(H36="",0,IFERROR(INDEX(Setup!$G$33:$G$40,MATCH(H36,Setup!$B$33:$B$40,0)),0))</f>
        <v/>
      </c>
      <c r="P36">
        <f>IF(I36="",0,IFERROR(INDEX(Setup!$G$33:$G$40,MATCH(I36,Setup!$B$33:$B$40,0)),0))</f>
        <v/>
      </c>
      <c r="Q36">
        <f>IF(J36="",0,IFERROR(INDEX(Setup!$G$33:$G$40,MATCH(J36,Setup!$B$33:$B$40,0)),0))</f>
        <v/>
      </c>
      <c r="R36">
        <f>IF($B36="",0,N(CHOOSE(Engine!$B$8,INDEX('2027'!$AB:$AB,$B$10+21+17),INDEX('2028'!$AB:$AB,$B$10+21+17),INDEX('2029'!$AB:$AB,$B$10+21+17),INDEX('2030'!$AB:$AB,$B$10+21+17))))</f>
        <v/>
      </c>
      <c r="S36">
        <f>IF($B36="",0,N(CHOOSE(Engine!$B$8,INDEX('2027'!$AC:$AC,$B$10+21+17),INDEX('2028'!$AC:$AC,$B$10+21+17),INDEX('2029'!$AC:$AC,$B$10+21+17),INDEX('2030'!$AC:$AC,$B$10+21+17))))</f>
        <v/>
      </c>
    </row>
    <row r="37">
      <c r="A37" t="n">
        <v>18</v>
      </c>
      <c r="B37">
        <f>IF(Setup!$B$23="","",Setup!$B$23)</f>
        <v/>
      </c>
      <c r="C37">
        <f>IF(AND(B37&lt;&gt;"",Setup!$E$23="Y"),1,0)</f>
        <v/>
      </c>
      <c r="D37">
        <f>IF($B37="","",""&amp;CHOOSE(Engine!$B$8,INDEX('2027'!$A:$Z,$B$10+21+18,3),INDEX('2028'!$A:$Z,$B$10+21+18,3),INDEX('2029'!$A:$Z,$B$10+21+18,3),INDEX('2030'!$A:$Z,$B$10+21+18,3)))</f>
        <v/>
      </c>
      <c r="E37">
        <f>IF($B37="","",""&amp;CHOOSE(Engine!$B$8,INDEX('2027'!$A:$Z,$B$10+21+18,7),INDEX('2028'!$A:$Z,$B$10+21+18,7),INDEX('2029'!$A:$Z,$B$10+21+18,7),INDEX('2030'!$A:$Z,$B$10+21+18,7)))</f>
        <v/>
      </c>
      <c r="F37">
        <f>IF($B37="","",""&amp;CHOOSE(Engine!$B$8,INDEX('2027'!$A:$Z,$B$10+21+18,11),INDEX('2028'!$A:$Z,$B$10+21+18,11),INDEX('2029'!$A:$Z,$B$10+21+18,11),INDEX('2030'!$A:$Z,$B$10+21+18,11)))</f>
        <v/>
      </c>
      <c r="G37">
        <f>IF($B37="","",""&amp;CHOOSE(Engine!$B$8,INDEX('2027'!$A:$Z,$B$10+21+18,15),INDEX('2028'!$A:$Z,$B$10+21+18,15),INDEX('2029'!$A:$Z,$B$10+21+18,15),INDEX('2030'!$A:$Z,$B$10+21+18,15)))</f>
        <v/>
      </c>
      <c r="H37">
        <f>IF($B37="","",""&amp;CHOOSE(Engine!$B$8,INDEX('2027'!$A:$Z,$B$10+21+18,19),INDEX('2028'!$A:$Z,$B$10+21+18,19),INDEX('2029'!$A:$Z,$B$10+21+18,19),INDEX('2030'!$A:$Z,$B$10+21+18,19)))</f>
        <v/>
      </c>
      <c r="I37">
        <f>IF($B37="","",""&amp;CHOOSE(Engine!$B$8,INDEX('2027'!$A:$Z,$B$10+21+18,23),INDEX('2028'!$A:$Z,$B$10+21+18,23),INDEX('2029'!$A:$Z,$B$10+21+18,23),INDEX('2030'!$A:$Z,$B$10+21+18,23)))</f>
        <v/>
      </c>
      <c r="J37">
        <f>IF($B37="","",""&amp;CHOOSE(Engine!$B$8,INDEX('2027'!$A:$Z,$B$10+21+18,25),INDEX('2028'!$A:$Z,$B$10+21+18,25),INDEX('2029'!$A:$Z,$B$10+21+18,25),INDEX('2030'!$A:$Z,$B$10+21+18,25)))</f>
        <v/>
      </c>
      <c r="K37">
        <f>IF(D37="",0,IFERROR(INDEX(Setup!$G$33:$G$40,MATCH(D37,Setup!$B$33:$B$40,0)),0))</f>
        <v/>
      </c>
      <c r="L37">
        <f>IF(E37="",0,IFERROR(INDEX(Setup!$G$33:$G$40,MATCH(E37,Setup!$B$33:$B$40,0)),0))</f>
        <v/>
      </c>
      <c r="M37">
        <f>IF(F37="",0,IFERROR(INDEX(Setup!$G$33:$G$40,MATCH(F37,Setup!$B$33:$B$40,0)),0))</f>
        <v/>
      </c>
      <c r="N37">
        <f>IF(G37="",0,IFERROR(INDEX(Setup!$G$33:$G$40,MATCH(G37,Setup!$B$33:$B$40,0)),0))</f>
        <v/>
      </c>
      <c r="O37">
        <f>IF(H37="",0,IFERROR(INDEX(Setup!$G$33:$G$40,MATCH(H37,Setup!$B$33:$B$40,0)),0))</f>
        <v/>
      </c>
      <c r="P37">
        <f>IF(I37="",0,IFERROR(INDEX(Setup!$G$33:$G$40,MATCH(I37,Setup!$B$33:$B$40,0)),0))</f>
        <v/>
      </c>
      <c r="Q37">
        <f>IF(J37="",0,IFERROR(INDEX(Setup!$G$33:$G$40,MATCH(J37,Setup!$B$33:$B$40,0)),0))</f>
        <v/>
      </c>
      <c r="R37">
        <f>IF($B37="",0,N(CHOOSE(Engine!$B$8,INDEX('2027'!$AB:$AB,$B$10+21+18),INDEX('2028'!$AB:$AB,$B$10+21+18),INDEX('2029'!$AB:$AB,$B$10+21+18),INDEX('2030'!$AB:$AB,$B$10+21+18))))</f>
        <v/>
      </c>
      <c r="S37">
        <f>IF($B37="",0,N(CHOOSE(Engine!$B$8,INDEX('2027'!$AC:$AC,$B$10+21+18),INDEX('2028'!$AC:$AC,$B$10+21+18),INDEX('2029'!$AC:$AC,$B$10+21+18),INDEX('2030'!$AC:$AC,$B$10+21+18))))</f>
        <v/>
      </c>
    </row>
    <row r="38">
      <c r="A38" t="n">
        <v>19</v>
      </c>
      <c r="B38">
        <f>IF(Setup!$B$24="","",Setup!$B$24)</f>
        <v/>
      </c>
      <c r="C38">
        <f>IF(AND(B38&lt;&gt;"",Setup!$E$24="Y"),1,0)</f>
        <v/>
      </c>
      <c r="D38">
        <f>IF($B38="","",""&amp;CHOOSE(Engine!$B$8,INDEX('2027'!$A:$Z,$B$10+21+19,3),INDEX('2028'!$A:$Z,$B$10+21+19,3),INDEX('2029'!$A:$Z,$B$10+21+19,3),INDEX('2030'!$A:$Z,$B$10+21+19,3)))</f>
        <v/>
      </c>
      <c r="E38">
        <f>IF($B38="","",""&amp;CHOOSE(Engine!$B$8,INDEX('2027'!$A:$Z,$B$10+21+19,7),INDEX('2028'!$A:$Z,$B$10+21+19,7),INDEX('2029'!$A:$Z,$B$10+21+19,7),INDEX('2030'!$A:$Z,$B$10+21+19,7)))</f>
        <v/>
      </c>
      <c r="F38">
        <f>IF($B38="","",""&amp;CHOOSE(Engine!$B$8,INDEX('2027'!$A:$Z,$B$10+21+19,11),INDEX('2028'!$A:$Z,$B$10+21+19,11),INDEX('2029'!$A:$Z,$B$10+21+19,11),INDEX('2030'!$A:$Z,$B$10+21+19,11)))</f>
        <v/>
      </c>
      <c r="G38">
        <f>IF($B38="","",""&amp;CHOOSE(Engine!$B$8,INDEX('2027'!$A:$Z,$B$10+21+19,15),INDEX('2028'!$A:$Z,$B$10+21+19,15),INDEX('2029'!$A:$Z,$B$10+21+19,15),INDEX('2030'!$A:$Z,$B$10+21+19,15)))</f>
        <v/>
      </c>
      <c r="H38">
        <f>IF($B38="","",""&amp;CHOOSE(Engine!$B$8,INDEX('2027'!$A:$Z,$B$10+21+19,19),INDEX('2028'!$A:$Z,$B$10+21+19,19),INDEX('2029'!$A:$Z,$B$10+21+19,19),INDEX('2030'!$A:$Z,$B$10+21+19,19)))</f>
        <v/>
      </c>
      <c r="I38">
        <f>IF($B38="","",""&amp;CHOOSE(Engine!$B$8,INDEX('2027'!$A:$Z,$B$10+21+19,23),INDEX('2028'!$A:$Z,$B$10+21+19,23),INDEX('2029'!$A:$Z,$B$10+21+19,23),INDEX('2030'!$A:$Z,$B$10+21+19,23)))</f>
        <v/>
      </c>
      <c r="J38">
        <f>IF($B38="","",""&amp;CHOOSE(Engine!$B$8,INDEX('2027'!$A:$Z,$B$10+21+19,25),INDEX('2028'!$A:$Z,$B$10+21+19,25),INDEX('2029'!$A:$Z,$B$10+21+19,25),INDEX('2030'!$A:$Z,$B$10+21+19,25)))</f>
        <v/>
      </c>
      <c r="K38">
        <f>IF(D38="",0,IFERROR(INDEX(Setup!$G$33:$G$40,MATCH(D38,Setup!$B$33:$B$40,0)),0))</f>
        <v/>
      </c>
      <c r="L38">
        <f>IF(E38="",0,IFERROR(INDEX(Setup!$G$33:$G$40,MATCH(E38,Setup!$B$33:$B$40,0)),0))</f>
        <v/>
      </c>
      <c r="M38">
        <f>IF(F38="",0,IFERROR(INDEX(Setup!$G$33:$G$40,MATCH(F38,Setup!$B$33:$B$40,0)),0))</f>
        <v/>
      </c>
      <c r="N38">
        <f>IF(G38="",0,IFERROR(INDEX(Setup!$G$33:$G$40,MATCH(G38,Setup!$B$33:$B$40,0)),0))</f>
        <v/>
      </c>
      <c r="O38">
        <f>IF(H38="",0,IFERROR(INDEX(Setup!$G$33:$G$40,MATCH(H38,Setup!$B$33:$B$40,0)),0))</f>
        <v/>
      </c>
      <c r="P38">
        <f>IF(I38="",0,IFERROR(INDEX(Setup!$G$33:$G$40,MATCH(I38,Setup!$B$33:$B$40,0)),0))</f>
        <v/>
      </c>
      <c r="Q38">
        <f>IF(J38="",0,IFERROR(INDEX(Setup!$G$33:$G$40,MATCH(J38,Setup!$B$33:$B$40,0)),0))</f>
        <v/>
      </c>
      <c r="R38">
        <f>IF($B38="",0,N(CHOOSE(Engine!$B$8,INDEX('2027'!$AB:$AB,$B$10+21+19),INDEX('2028'!$AB:$AB,$B$10+21+19),INDEX('2029'!$AB:$AB,$B$10+21+19),INDEX('2030'!$AB:$AB,$B$10+21+19))))</f>
        <v/>
      </c>
      <c r="S38">
        <f>IF($B38="",0,N(CHOOSE(Engine!$B$8,INDEX('2027'!$AC:$AC,$B$10+21+19),INDEX('2028'!$AC:$AC,$B$10+21+19),INDEX('2029'!$AC:$AC,$B$10+21+19),INDEX('2030'!$AC:$AC,$B$10+21+19))))</f>
        <v/>
      </c>
    </row>
    <row r="39">
      <c r="A39" t="n">
        <v>20</v>
      </c>
      <c r="B39">
        <f>IF(Setup!$B$25="","",Setup!$B$25)</f>
        <v/>
      </c>
      <c r="C39">
        <f>IF(AND(B39&lt;&gt;"",Setup!$E$25="Y"),1,0)</f>
        <v/>
      </c>
      <c r="D39">
        <f>IF($B39="","",""&amp;CHOOSE(Engine!$B$8,INDEX('2027'!$A:$Z,$B$10+21+20,3),INDEX('2028'!$A:$Z,$B$10+21+20,3),INDEX('2029'!$A:$Z,$B$10+21+20,3),INDEX('2030'!$A:$Z,$B$10+21+20,3)))</f>
        <v/>
      </c>
      <c r="E39">
        <f>IF($B39="","",""&amp;CHOOSE(Engine!$B$8,INDEX('2027'!$A:$Z,$B$10+21+20,7),INDEX('2028'!$A:$Z,$B$10+21+20,7),INDEX('2029'!$A:$Z,$B$10+21+20,7),INDEX('2030'!$A:$Z,$B$10+21+20,7)))</f>
        <v/>
      </c>
      <c r="F39">
        <f>IF($B39="","",""&amp;CHOOSE(Engine!$B$8,INDEX('2027'!$A:$Z,$B$10+21+20,11),INDEX('2028'!$A:$Z,$B$10+21+20,11),INDEX('2029'!$A:$Z,$B$10+21+20,11),INDEX('2030'!$A:$Z,$B$10+21+20,11)))</f>
        <v/>
      </c>
      <c r="G39">
        <f>IF($B39="","",""&amp;CHOOSE(Engine!$B$8,INDEX('2027'!$A:$Z,$B$10+21+20,15),INDEX('2028'!$A:$Z,$B$10+21+20,15),INDEX('2029'!$A:$Z,$B$10+21+20,15),INDEX('2030'!$A:$Z,$B$10+21+20,15)))</f>
        <v/>
      </c>
      <c r="H39">
        <f>IF($B39="","",""&amp;CHOOSE(Engine!$B$8,INDEX('2027'!$A:$Z,$B$10+21+20,19),INDEX('2028'!$A:$Z,$B$10+21+20,19),INDEX('2029'!$A:$Z,$B$10+21+20,19),INDEX('2030'!$A:$Z,$B$10+21+20,19)))</f>
        <v/>
      </c>
      <c r="I39">
        <f>IF($B39="","",""&amp;CHOOSE(Engine!$B$8,INDEX('2027'!$A:$Z,$B$10+21+20,23),INDEX('2028'!$A:$Z,$B$10+21+20,23),INDEX('2029'!$A:$Z,$B$10+21+20,23),INDEX('2030'!$A:$Z,$B$10+21+20,23)))</f>
        <v/>
      </c>
      <c r="J39">
        <f>IF($B39="","",""&amp;CHOOSE(Engine!$B$8,INDEX('2027'!$A:$Z,$B$10+21+20,25),INDEX('2028'!$A:$Z,$B$10+21+20,25),INDEX('2029'!$A:$Z,$B$10+21+20,25),INDEX('2030'!$A:$Z,$B$10+21+20,25)))</f>
        <v/>
      </c>
      <c r="K39">
        <f>IF(D39="",0,IFERROR(INDEX(Setup!$G$33:$G$40,MATCH(D39,Setup!$B$33:$B$40,0)),0))</f>
        <v/>
      </c>
      <c r="L39">
        <f>IF(E39="",0,IFERROR(INDEX(Setup!$G$33:$G$40,MATCH(E39,Setup!$B$33:$B$40,0)),0))</f>
        <v/>
      </c>
      <c r="M39">
        <f>IF(F39="",0,IFERROR(INDEX(Setup!$G$33:$G$40,MATCH(F39,Setup!$B$33:$B$40,0)),0))</f>
        <v/>
      </c>
      <c r="N39">
        <f>IF(G39="",0,IFERROR(INDEX(Setup!$G$33:$G$40,MATCH(G39,Setup!$B$33:$B$40,0)),0))</f>
        <v/>
      </c>
      <c r="O39">
        <f>IF(H39="",0,IFERROR(INDEX(Setup!$G$33:$G$40,MATCH(H39,Setup!$B$33:$B$40,0)),0))</f>
        <v/>
      </c>
      <c r="P39">
        <f>IF(I39="",0,IFERROR(INDEX(Setup!$G$33:$G$40,MATCH(I39,Setup!$B$33:$B$40,0)),0))</f>
        <v/>
      </c>
      <c r="Q39">
        <f>IF(J39="",0,IFERROR(INDEX(Setup!$G$33:$G$40,MATCH(J39,Setup!$B$33:$B$40,0)),0))</f>
        <v/>
      </c>
      <c r="R39">
        <f>IF($B39="",0,N(CHOOSE(Engine!$B$8,INDEX('2027'!$AB:$AB,$B$10+21+20),INDEX('2028'!$AB:$AB,$B$10+21+20),INDEX('2029'!$AB:$AB,$B$10+21+20),INDEX('2030'!$AB:$AB,$B$10+21+20))))</f>
        <v/>
      </c>
      <c r="S39">
        <f>IF($B39="",0,N(CHOOSE(Engine!$B$8,INDEX('2027'!$AC:$AC,$B$10+21+20),INDEX('2028'!$AC:$AC,$B$10+21+20),INDEX('2029'!$AC:$AC,$B$10+21+20),INDEX('2030'!$AC:$AC,$B$10+21+20))))</f>
        <v/>
      </c>
    </row>
    <row r="40">
      <c r="A40" t="n">
        <v>21</v>
      </c>
      <c r="B40">
        <f>IF(Setup!$B$26="","",Setup!$B$26)</f>
        <v/>
      </c>
      <c r="C40">
        <f>IF(AND(B40&lt;&gt;"",Setup!$E$26="Y"),1,0)</f>
        <v/>
      </c>
      <c r="D40">
        <f>IF($B40="","",""&amp;CHOOSE(Engine!$B$8,INDEX('2027'!$A:$Z,$B$10+21+21,3),INDEX('2028'!$A:$Z,$B$10+21+21,3),INDEX('2029'!$A:$Z,$B$10+21+21,3),INDEX('2030'!$A:$Z,$B$10+21+21,3)))</f>
        <v/>
      </c>
      <c r="E40">
        <f>IF($B40="","",""&amp;CHOOSE(Engine!$B$8,INDEX('2027'!$A:$Z,$B$10+21+21,7),INDEX('2028'!$A:$Z,$B$10+21+21,7),INDEX('2029'!$A:$Z,$B$10+21+21,7),INDEX('2030'!$A:$Z,$B$10+21+21,7)))</f>
        <v/>
      </c>
      <c r="F40">
        <f>IF($B40="","",""&amp;CHOOSE(Engine!$B$8,INDEX('2027'!$A:$Z,$B$10+21+21,11),INDEX('2028'!$A:$Z,$B$10+21+21,11),INDEX('2029'!$A:$Z,$B$10+21+21,11),INDEX('2030'!$A:$Z,$B$10+21+21,11)))</f>
        <v/>
      </c>
      <c r="G40">
        <f>IF($B40="","",""&amp;CHOOSE(Engine!$B$8,INDEX('2027'!$A:$Z,$B$10+21+21,15),INDEX('2028'!$A:$Z,$B$10+21+21,15),INDEX('2029'!$A:$Z,$B$10+21+21,15),INDEX('2030'!$A:$Z,$B$10+21+21,15)))</f>
        <v/>
      </c>
      <c r="H40">
        <f>IF($B40="","",""&amp;CHOOSE(Engine!$B$8,INDEX('2027'!$A:$Z,$B$10+21+21,19),INDEX('2028'!$A:$Z,$B$10+21+21,19),INDEX('2029'!$A:$Z,$B$10+21+21,19),INDEX('2030'!$A:$Z,$B$10+21+21,19)))</f>
        <v/>
      </c>
      <c r="I40">
        <f>IF($B40="","",""&amp;CHOOSE(Engine!$B$8,INDEX('2027'!$A:$Z,$B$10+21+21,23),INDEX('2028'!$A:$Z,$B$10+21+21,23),INDEX('2029'!$A:$Z,$B$10+21+21,23),INDEX('2030'!$A:$Z,$B$10+21+21,23)))</f>
        <v/>
      </c>
      <c r="J40">
        <f>IF($B40="","",""&amp;CHOOSE(Engine!$B$8,INDEX('2027'!$A:$Z,$B$10+21+21,25),INDEX('2028'!$A:$Z,$B$10+21+21,25),INDEX('2029'!$A:$Z,$B$10+21+21,25),INDEX('2030'!$A:$Z,$B$10+21+21,25)))</f>
        <v/>
      </c>
      <c r="K40">
        <f>IF(D40="",0,IFERROR(INDEX(Setup!$G$33:$G$40,MATCH(D40,Setup!$B$33:$B$40,0)),0))</f>
        <v/>
      </c>
      <c r="L40">
        <f>IF(E40="",0,IFERROR(INDEX(Setup!$G$33:$G$40,MATCH(E40,Setup!$B$33:$B$40,0)),0))</f>
        <v/>
      </c>
      <c r="M40">
        <f>IF(F40="",0,IFERROR(INDEX(Setup!$G$33:$G$40,MATCH(F40,Setup!$B$33:$B$40,0)),0))</f>
        <v/>
      </c>
      <c r="N40">
        <f>IF(G40="",0,IFERROR(INDEX(Setup!$G$33:$G$40,MATCH(G40,Setup!$B$33:$B$40,0)),0))</f>
        <v/>
      </c>
      <c r="O40">
        <f>IF(H40="",0,IFERROR(INDEX(Setup!$G$33:$G$40,MATCH(H40,Setup!$B$33:$B$40,0)),0))</f>
        <v/>
      </c>
      <c r="P40">
        <f>IF(I40="",0,IFERROR(INDEX(Setup!$G$33:$G$40,MATCH(I40,Setup!$B$33:$B$40,0)),0))</f>
        <v/>
      </c>
      <c r="Q40">
        <f>IF(J40="",0,IFERROR(INDEX(Setup!$G$33:$G$40,MATCH(J40,Setup!$B$33:$B$40,0)),0))</f>
        <v/>
      </c>
      <c r="R40">
        <f>IF($B40="",0,N(CHOOSE(Engine!$B$8,INDEX('2027'!$AB:$AB,$B$10+21+21),INDEX('2028'!$AB:$AB,$B$10+21+21),INDEX('2029'!$AB:$AB,$B$10+21+21),INDEX('2030'!$AB:$AB,$B$10+21+21))))</f>
        <v/>
      </c>
      <c r="S40">
        <f>IF($B40="",0,N(CHOOSE(Engine!$B$8,INDEX('2027'!$AC:$AC,$B$10+21+21),INDEX('2028'!$AC:$AC,$B$10+21+21),INDEX('2029'!$AC:$AC,$B$10+21+21),INDEX('2030'!$AC:$AC,$B$10+21+21))))</f>
        <v/>
      </c>
    </row>
    <row r="41">
      <c r="A41" t="n">
        <v>22</v>
      </c>
      <c r="B41">
        <f>IF(Setup!$B$27="","",Setup!$B$27)</f>
        <v/>
      </c>
      <c r="C41">
        <f>IF(AND(B41&lt;&gt;"",Setup!$E$27="Y"),1,0)</f>
        <v/>
      </c>
      <c r="D41">
        <f>IF($B41="","",""&amp;CHOOSE(Engine!$B$8,INDEX('2027'!$A:$Z,$B$10+21+22,3),INDEX('2028'!$A:$Z,$B$10+21+22,3),INDEX('2029'!$A:$Z,$B$10+21+22,3),INDEX('2030'!$A:$Z,$B$10+21+22,3)))</f>
        <v/>
      </c>
      <c r="E41">
        <f>IF($B41="","",""&amp;CHOOSE(Engine!$B$8,INDEX('2027'!$A:$Z,$B$10+21+22,7),INDEX('2028'!$A:$Z,$B$10+21+22,7),INDEX('2029'!$A:$Z,$B$10+21+22,7),INDEX('2030'!$A:$Z,$B$10+21+22,7)))</f>
        <v/>
      </c>
      <c r="F41">
        <f>IF($B41="","",""&amp;CHOOSE(Engine!$B$8,INDEX('2027'!$A:$Z,$B$10+21+22,11),INDEX('2028'!$A:$Z,$B$10+21+22,11),INDEX('2029'!$A:$Z,$B$10+21+22,11),INDEX('2030'!$A:$Z,$B$10+21+22,11)))</f>
        <v/>
      </c>
      <c r="G41">
        <f>IF($B41="","",""&amp;CHOOSE(Engine!$B$8,INDEX('2027'!$A:$Z,$B$10+21+22,15),INDEX('2028'!$A:$Z,$B$10+21+22,15),INDEX('2029'!$A:$Z,$B$10+21+22,15),INDEX('2030'!$A:$Z,$B$10+21+22,15)))</f>
        <v/>
      </c>
      <c r="H41">
        <f>IF($B41="","",""&amp;CHOOSE(Engine!$B$8,INDEX('2027'!$A:$Z,$B$10+21+22,19),INDEX('2028'!$A:$Z,$B$10+21+22,19),INDEX('2029'!$A:$Z,$B$10+21+22,19),INDEX('2030'!$A:$Z,$B$10+21+22,19)))</f>
        <v/>
      </c>
      <c r="I41">
        <f>IF($B41="","",""&amp;CHOOSE(Engine!$B$8,INDEX('2027'!$A:$Z,$B$10+21+22,23),INDEX('2028'!$A:$Z,$B$10+21+22,23),INDEX('2029'!$A:$Z,$B$10+21+22,23),INDEX('2030'!$A:$Z,$B$10+21+22,23)))</f>
        <v/>
      </c>
      <c r="J41">
        <f>IF($B41="","",""&amp;CHOOSE(Engine!$B$8,INDEX('2027'!$A:$Z,$B$10+21+22,25),INDEX('2028'!$A:$Z,$B$10+21+22,25),INDEX('2029'!$A:$Z,$B$10+21+22,25),INDEX('2030'!$A:$Z,$B$10+21+22,25)))</f>
        <v/>
      </c>
      <c r="K41">
        <f>IF(D41="",0,IFERROR(INDEX(Setup!$G$33:$G$40,MATCH(D41,Setup!$B$33:$B$40,0)),0))</f>
        <v/>
      </c>
      <c r="L41">
        <f>IF(E41="",0,IFERROR(INDEX(Setup!$G$33:$G$40,MATCH(E41,Setup!$B$33:$B$40,0)),0))</f>
        <v/>
      </c>
      <c r="M41">
        <f>IF(F41="",0,IFERROR(INDEX(Setup!$G$33:$G$40,MATCH(F41,Setup!$B$33:$B$40,0)),0))</f>
        <v/>
      </c>
      <c r="N41">
        <f>IF(G41="",0,IFERROR(INDEX(Setup!$G$33:$G$40,MATCH(G41,Setup!$B$33:$B$40,0)),0))</f>
        <v/>
      </c>
      <c r="O41">
        <f>IF(H41="",0,IFERROR(INDEX(Setup!$G$33:$G$40,MATCH(H41,Setup!$B$33:$B$40,0)),0))</f>
        <v/>
      </c>
      <c r="P41">
        <f>IF(I41="",0,IFERROR(INDEX(Setup!$G$33:$G$40,MATCH(I41,Setup!$B$33:$B$40,0)),0))</f>
        <v/>
      </c>
      <c r="Q41">
        <f>IF(J41="",0,IFERROR(INDEX(Setup!$G$33:$G$40,MATCH(J41,Setup!$B$33:$B$40,0)),0))</f>
        <v/>
      </c>
      <c r="R41">
        <f>IF($B41="",0,N(CHOOSE(Engine!$B$8,INDEX('2027'!$AB:$AB,$B$10+21+22),INDEX('2028'!$AB:$AB,$B$10+21+22),INDEX('2029'!$AB:$AB,$B$10+21+22),INDEX('2030'!$AB:$AB,$B$10+21+22))))</f>
        <v/>
      </c>
      <c r="S41">
        <f>IF($B41="",0,N(CHOOSE(Engine!$B$8,INDEX('2027'!$AC:$AC,$B$10+21+22),INDEX('2028'!$AC:$AC,$B$10+21+22),INDEX('2029'!$AC:$AC,$B$10+21+22),INDEX('2030'!$AC:$AC,$B$10+21+22))))</f>
        <v/>
      </c>
    </row>
    <row r="42">
      <c r="A42" t="n">
        <v>23</v>
      </c>
      <c r="B42">
        <f>IF(Setup!$B$28="","",Setup!$B$28)</f>
        <v/>
      </c>
      <c r="C42">
        <f>IF(AND(B42&lt;&gt;"",Setup!$E$28="Y"),1,0)</f>
        <v/>
      </c>
      <c r="D42">
        <f>IF($B42="","",""&amp;CHOOSE(Engine!$B$8,INDEX('2027'!$A:$Z,$B$10+21+23,3),INDEX('2028'!$A:$Z,$B$10+21+23,3),INDEX('2029'!$A:$Z,$B$10+21+23,3),INDEX('2030'!$A:$Z,$B$10+21+23,3)))</f>
        <v/>
      </c>
      <c r="E42">
        <f>IF($B42="","",""&amp;CHOOSE(Engine!$B$8,INDEX('2027'!$A:$Z,$B$10+21+23,7),INDEX('2028'!$A:$Z,$B$10+21+23,7),INDEX('2029'!$A:$Z,$B$10+21+23,7),INDEX('2030'!$A:$Z,$B$10+21+23,7)))</f>
        <v/>
      </c>
      <c r="F42">
        <f>IF($B42="","",""&amp;CHOOSE(Engine!$B$8,INDEX('2027'!$A:$Z,$B$10+21+23,11),INDEX('2028'!$A:$Z,$B$10+21+23,11),INDEX('2029'!$A:$Z,$B$10+21+23,11),INDEX('2030'!$A:$Z,$B$10+21+23,11)))</f>
        <v/>
      </c>
      <c r="G42">
        <f>IF($B42="","",""&amp;CHOOSE(Engine!$B$8,INDEX('2027'!$A:$Z,$B$10+21+23,15),INDEX('2028'!$A:$Z,$B$10+21+23,15),INDEX('2029'!$A:$Z,$B$10+21+23,15),INDEX('2030'!$A:$Z,$B$10+21+23,15)))</f>
        <v/>
      </c>
      <c r="H42">
        <f>IF($B42="","",""&amp;CHOOSE(Engine!$B$8,INDEX('2027'!$A:$Z,$B$10+21+23,19),INDEX('2028'!$A:$Z,$B$10+21+23,19),INDEX('2029'!$A:$Z,$B$10+21+23,19),INDEX('2030'!$A:$Z,$B$10+21+23,19)))</f>
        <v/>
      </c>
      <c r="I42">
        <f>IF($B42="","",""&amp;CHOOSE(Engine!$B$8,INDEX('2027'!$A:$Z,$B$10+21+23,23),INDEX('2028'!$A:$Z,$B$10+21+23,23),INDEX('2029'!$A:$Z,$B$10+21+23,23),INDEX('2030'!$A:$Z,$B$10+21+23,23)))</f>
        <v/>
      </c>
      <c r="J42">
        <f>IF($B42="","",""&amp;CHOOSE(Engine!$B$8,INDEX('2027'!$A:$Z,$B$10+21+23,25),INDEX('2028'!$A:$Z,$B$10+21+23,25),INDEX('2029'!$A:$Z,$B$10+21+23,25),INDEX('2030'!$A:$Z,$B$10+21+23,25)))</f>
        <v/>
      </c>
      <c r="K42">
        <f>IF(D42="",0,IFERROR(INDEX(Setup!$G$33:$G$40,MATCH(D42,Setup!$B$33:$B$40,0)),0))</f>
        <v/>
      </c>
      <c r="L42">
        <f>IF(E42="",0,IFERROR(INDEX(Setup!$G$33:$G$40,MATCH(E42,Setup!$B$33:$B$40,0)),0))</f>
        <v/>
      </c>
      <c r="M42">
        <f>IF(F42="",0,IFERROR(INDEX(Setup!$G$33:$G$40,MATCH(F42,Setup!$B$33:$B$40,0)),0))</f>
        <v/>
      </c>
      <c r="N42">
        <f>IF(G42="",0,IFERROR(INDEX(Setup!$G$33:$G$40,MATCH(G42,Setup!$B$33:$B$40,0)),0))</f>
        <v/>
      </c>
      <c r="O42">
        <f>IF(H42="",0,IFERROR(INDEX(Setup!$G$33:$G$40,MATCH(H42,Setup!$B$33:$B$40,0)),0))</f>
        <v/>
      </c>
      <c r="P42">
        <f>IF(I42="",0,IFERROR(INDEX(Setup!$G$33:$G$40,MATCH(I42,Setup!$B$33:$B$40,0)),0))</f>
        <v/>
      </c>
      <c r="Q42">
        <f>IF(J42="",0,IFERROR(INDEX(Setup!$G$33:$G$40,MATCH(J42,Setup!$B$33:$B$40,0)),0))</f>
        <v/>
      </c>
      <c r="R42">
        <f>IF($B42="",0,N(CHOOSE(Engine!$B$8,INDEX('2027'!$AB:$AB,$B$10+21+23),INDEX('2028'!$AB:$AB,$B$10+21+23),INDEX('2029'!$AB:$AB,$B$10+21+23),INDEX('2030'!$AB:$AB,$B$10+21+23))))</f>
        <v/>
      </c>
      <c r="S42">
        <f>IF($B42="",0,N(CHOOSE(Engine!$B$8,INDEX('2027'!$AC:$AC,$B$10+21+23),INDEX('2028'!$AC:$AC,$B$10+21+23),INDEX('2029'!$AC:$AC,$B$10+21+23),INDEX('2030'!$AC:$AC,$B$10+21+23))))</f>
        <v/>
      </c>
    </row>
    <row r="43">
      <c r="A43" t="n">
        <v>24</v>
      </c>
      <c r="B43">
        <f>IF(Setup!$B$29="","",Setup!$B$29)</f>
        <v/>
      </c>
      <c r="C43">
        <f>IF(AND(B43&lt;&gt;"",Setup!$E$29="Y"),1,0)</f>
        <v/>
      </c>
      <c r="D43">
        <f>IF($B43="","",""&amp;CHOOSE(Engine!$B$8,INDEX('2027'!$A:$Z,$B$10+21+24,3),INDEX('2028'!$A:$Z,$B$10+21+24,3),INDEX('2029'!$A:$Z,$B$10+21+24,3),INDEX('2030'!$A:$Z,$B$10+21+24,3)))</f>
        <v/>
      </c>
      <c r="E43">
        <f>IF($B43="","",""&amp;CHOOSE(Engine!$B$8,INDEX('2027'!$A:$Z,$B$10+21+24,7),INDEX('2028'!$A:$Z,$B$10+21+24,7),INDEX('2029'!$A:$Z,$B$10+21+24,7),INDEX('2030'!$A:$Z,$B$10+21+24,7)))</f>
        <v/>
      </c>
      <c r="F43">
        <f>IF($B43="","",""&amp;CHOOSE(Engine!$B$8,INDEX('2027'!$A:$Z,$B$10+21+24,11),INDEX('2028'!$A:$Z,$B$10+21+24,11),INDEX('2029'!$A:$Z,$B$10+21+24,11),INDEX('2030'!$A:$Z,$B$10+21+24,11)))</f>
        <v/>
      </c>
      <c r="G43">
        <f>IF($B43="","",""&amp;CHOOSE(Engine!$B$8,INDEX('2027'!$A:$Z,$B$10+21+24,15),INDEX('2028'!$A:$Z,$B$10+21+24,15),INDEX('2029'!$A:$Z,$B$10+21+24,15),INDEX('2030'!$A:$Z,$B$10+21+24,15)))</f>
        <v/>
      </c>
      <c r="H43">
        <f>IF($B43="","",""&amp;CHOOSE(Engine!$B$8,INDEX('2027'!$A:$Z,$B$10+21+24,19),INDEX('2028'!$A:$Z,$B$10+21+24,19),INDEX('2029'!$A:$Z,$B$10+21+24,19),INDEX('2030'!$A:$Z,$B$10+21+24,19)))</f>
        <v/>
      </c>
      <c r="I43">
        <f>IF($B43="","",""&amp;CHOOSE(Engine!$B$8,INDEX('2027'!$A:$Z,$B$10+21+24,23),INDEX('2028'!$A:$Z,$B$10+21+24,23),INDEX('2029'!$A:$Z,$B$10+21+24,23),INDEX('2030'!$A:$Z,$B$10+21+24,23)))</f>
        <v/>
      </c>
      <c r="J43">
        <f>IF($B43="","",""&amp;CHOOSE(Engine!$B$8,INDEX('2027'!$A:$Z,$B$10+21+24,25),INDEX('2028'!$A:$Z,$B$10+21+24,25),INDEX('2029'!$A:$Z,$B$10+21+24,25),INDEX('2030'!$A:$Z,$B$10+21+24,25)))</f>
        <v/>
      </c>
      <c r="K43">
        <f>IF(D43="",0,IFERROR(INDEX(Setup!$G$33:$G$40,MATCH(D43,Setup!$B$33:$B$40,0)),0))</f>
        <v/>
      </c>
      <c r="L43">
        <f>IF(E43="",0,IFERROR(INDEX(Setup!$G$33:$G$40,MATCH(E43,Setup!$B$33:$B$40,0)),0))</f>
        <v/>
      </c>
      <c r="M43">
        <f>IF(F43="",0,IFERROR(INDEX(Setup!$G$33:$G$40,MATCH(F43,Setup!$B$33:$B$40,0)),0))</f>
        <v/>
      </c>
      <c r="N43">
        <f>IF(G43="",0,IFERROR(INDEX(Setup!$G$33:$G$40,MATCH(G43,Setup!$B$33:$B$40,0)),0))</f>
        <v/>
      </c>
      <c r="O43">
        <f>IF(H43="",0,IFERROR(INDEX(Setup!$G$33:$G$40,MATCH(H43,Setup!$B$33:$B$40,0)),0))</f>
        <v/>
      </c>
      <c r="P43">
        <f>IF(I43="",0,IFERROR(INDEX(Setup!$G$33:$G$40,MATCH(I43,Setup!$B$33:$B$40,0)),0))</f>
        <v/>
      </c>
      <c r="Q43">
        <f>IF(J43="",0,IFERROR(INDEX(Setup!$G$33:$G$40,MATCH(J43,Setup!$B$33:$B$40,0)),0))</f>
        <v/>
      </c>
      <c r="R43">
        <f>IF($B43="",0,N(CHOOSE(Engine!$B$8,INDEX('2027'!$AB:$AB,$B$10+21+24),INDEX('2028'!$AB:$AB,$B$10+21+24),INDEX('2029'!$AB:$AB,$B$10+21+24),INDEX('2030'!$AB:$AB,$B$10+21+24))))</f>
        <v/>
      </c>
      <c r="S43">
        <f>IF($B43="",0,N(CHOOSE(Engine!$B$8,INDEX('2027'!$AC:$AC,$B$10+21+24),INDEX('2028'!$AC:$AC,$B$10+21+24),INDEX('2029'!$AC:$AC,$B$10+21+24),INDEX('2030'!$AC:$AC,$B$10+21+24))))</f>
        <v/>
      </c>
    </row>
    <row r="46">
      <c r="A46" s="179" t="inlineStr">
        <is>
          <t>j</t>
        </is>
      </c>
      <c r="B46" s="179" t="inlineStr">
        <is>
          <t>duty (active-week roster mirror C..Z)</t>
        </is>
      </c>
    </row>
    <row r="47">
      <c r="A47" t="n">
        <v>1</v>
      </c>
      <c r="B47">
        <f>IF(Setup!$K$6="","",Setup!$K$6)</f>
        <v/>
      </c>
      <c r="C47">
        <f>IF($B47="","",""&amp;CHOOSE(Engine!$B$8,INDEX('2027'!$A:$Z,$B$10+2+1,3),INDEX('2028'!$A:$Z,$B$10+2+1,3),INDEX('2029'!$A:$Z,$B$10+2+1,3),INDEX('2030'!$A:$Z,$B$10+2+1,3)))</f>
        <v/>
      </c>
      <c r="D47">
        <f>IF($B47="","",""&amp;CHOOSE(Engine!$B$8,INDEX('2027'!$A:$Z,$B$10+2+1,4),INDEX('2028'!$A:$Z,$B$10+2+1,4),INDEX('2029'!$A:$Z,$B$10+2+1,4),INDEX('2030'!$A:$Z,$B$10+2+1,4)))</f>
        <v/>
      </c>
      <c r="E47">
        <f>IF($B47="","",""&amp;CHOOSE(Engine!$B$8,INDEX('2027'!$A:$Z,$B$10+2+1,5),INDEX('2028'!$A:$Z,$B$10+2+1,5),INDEX('2029'!$A:$Z,$B$10+2+1,5),INDEX('2030'!$A:$Z,$B$10+2+1,5)))</f>
        <v/>
      </c>
      <c r="F47">
        <f>IF($B47="","",""&amp;CHOOSE(Engine!$B$8,INDEX('2027'!$A:$Z,$B$10+2+1,6),INDEX('2028'!$A:$Z,$B$10+2+1,6),INDEX('2029'!$A:$Z,$B$10+2+1,6),INDEX('2030'!$A:$Z,$B$10+2+1,6)))</f>
        <v/>
      </c>
      <c r="G47">
        <f>IF($B47="","",""&amp;CHOOSE(Engine!$B$8,INDEX('2027'!$A:$Z,$B$10+2+1,7),INDEX('2028'!$A:$Z,$B$10+2+1,7),INDEX('2029'!$A:$Z,$B$10+2+1,7),INDEX('2030'!$A:$Z,$B$10+2+1,7)))</f>
        <v/>
      </c>
      <c r="H47">
        <f>IF($B47="","",""&amp;CHOOSE(Engine!$B$8,INDEX('2027'!$A:$Z,$B$10+2+1,8),INDEX('2028'!$A:$Z,$B$10+2+1,8),INDEX('2029'!$A:$Z,$B$10+2+1,8),INDEX('2030'!$A:$Z,$B$10+2+1,8)))</f>
        <v/>
      </c>
      <c r="I47">
        <f>IF($B47="","",""&amp;CHOOSE(Engine!$B$8,INDEX('2027'!$A:$Z,$B$10+2+1,9),INDEX('2028'!$A:$Z,$B$10+2+1,9),INDEX('2029'!$A:$Z,$B$10+2+1,9),INDEX('2030'!$A:$Z,$B$10+2+1,9)))</f>
        <v/>
      </c>
      <c r="J47">
        <f>IF($B47="","",""&amp;CHOOSE(Engine!$B$8,INDEX('2027'!$A:$Z,$B$10+2+1,10),INDEX('2028'!$A:$Z,$B$10+2+1,10),INDEX('2029'!$A:$Z,$B$10+2+1,10),INDEX('2030'!$A:$Z,$B$10+2+1,10)))</f>
        <v/>
      </c>
      <c r="K47">
        <f>IF($B47="","",""&amp;CHOOSE(Engine!$B$8,INDEX('2027'!$A:$Z,$B$10+2+1,11),INDEX('2028'!$A:$Z,$B$10+2+1,11),INDEX('2029'!$A:$Z,$B$10+2+1,11),INDEX('2030'!$A:$Z,$B$10+2+1,11)))</f>
        <v/>
      </c>
      <c r="L47">
        <f>IF($B47="","",""&amp;CHOOSE(Engine!$B$8,INDEX('2027'!$A:$Z,$B$10+2+1,12),INDEX('2028'!$A:$Z,$B$10+2+1,12),INDEX('2029'!$A:$Z,$B$10+2+1,12),INDEX('2030'!$A:$Z,$B$10+2+1,12)))</f>
        <v/>
      </c>
      <c r="M47">
        <f>IF($B47="","",""&amp;CHOOSE(Engine!$B$8,INDEX('2027'!$A:$Z,$B$10+2+1,13),INDEX('2028'!$A:$Z,$B$10+2+1,13),INDEX('2029'!$A:$Z,$B$10+2+1,13),INDEX('2030'!$A:$Z,$B$10+2+1,13)))</f>
        <v/>
      </c>
      <c r="N47">
        <f>IF($B47="","",""&amp;CHOOSE(Engine!$B$8,INDEX('2027'!$A:$Z,$B$10+2+1,14),INDEX('2028'!$A:$Z,$B$10+2+1,14),INDEX('2029'!$A:$Z,$B$10+2+1,14),INDEX('2030'!$A:$Z,$B$10+2+1,14)))</f>
        <v/>
      </c>
      <c r="O47">
        <f>IF($B47="","",""&amp;CHOOSE(Engine!$B$8,INDEX('2027'!$A:$Z,$B$10+2+1,15),INDEX('2028'!$A:$Z,$B$10+2+1,15),INDEX('2029'!$A:$Z,$B$10+2+1,15),INDEX('2030'!$A:$Z,$B$10+2+1,15)))</f>
        <v/>
      </c>
      <c r="P47">
        <f>IF($B47="","",""&amp;CHOOSE(Engine!$B$8,INDEX('2027'!$A:$Z,$B$10+2+1,16),INDEX('2028'!$A:$Z,$B$10+2+1,16),INDEX('2029'!$A:$Z,$B$10+2+1,16),INDEX('2030'!$A:$Z,$B$10+2+1,16)))</f>
        <v/>
      </c>
      <c r="Q47">
        <f>IF($B47="","",""&amp;CHOOSE(Engine!$B$8,INDEX('2027'!$A:$Z,$B$10+2+1,17),INDEX('2028'!$A:$Z,$B$10+2+1,17),INDEX('2029'!$A:$Z,$B$10+2+1,17),INDEX('2030'!$A:$Z,$B$10+2+1,17)))</f>
        <v/>
      </c>
      <c r="R47">
        <f>IF($B47="","",""&amp;CHOOSE(Engine!$B$8,INDEX('2027'!$A:$Z,$B$10+2+1,18),INDEX('2028'!$A:$Z,$B$10+2+1,18),INDEX('2029'!$A:$Z,$B$10+2+1,18),INDEX('2030'!$A:$Z,$B$10+2+1,18)))</f>
        <v/>
      </c>
      <c r="S47">
        <f>IF($B47="","",""&amp;CHOOSE(Engine!$B$8,INDEX('2027'!$A:$Z,$B$10+2+1,19),INDEX('2028'!$A:$Z,$B$10+2+1,19),INDEX('2029'!$A:$Z,$B$10+2+1,19),INDEX('2030'!$A:$Z,$B$10+2+1,19)))</f>
        <v/>
      </c>
      <c r="T47">
        <f>IF($B47="","",""&amp;CHOOSE(Engine!$B$8,INDEX('2027'!$A:$Z,$B$10+2+1,20),INDEX('2028'!$A:$Z,$B$10+2+1,20),INDEX('2029'!$A:$Z,$B$10+2+1,20),INDEX('2030'!$A:$Z,$B$10+2+1,20)))</f>
        <v/>
      </c>
      <c r="U47">
        <f>IF($B47="","",""&amp;CHOOSE(Engine!$B$8,INDEX('2027'!$A:$Z,$B$10+2+1,21),INDEX('2028'!$A:$Z,$B$10+2+1,21),INDEX('2029'!$A:$Z,$B$10+2+1,21),INDEX('2030'!$A:$Z,$B$10+2+1,21)))</f>
        <v/>
      </c>
      <c r="V47">
        <f>IF($B47="","",""&amp;CHOOSE(Engine!$B$8,INDEX('2027'!$A:$Z,$B$10+2+1,22),INDEX('2028'!$A:$Z,$B$10+2+1,22),INDEX('2029'!$A:$Z,$B$10+2+1,22),INDEX('2030'!$A:$Z,$B$10+2+1,22)))</f>
        <v/>
      </c>
      <c r="W47">
        <f>IF($B47="","",""&amp;CHOOSE(Engine!$B$8,INDEX('2027'!$A:$Z,$B$10+2+1,23),INDEX('2028'!$A:$Z,$B$10+2+1,23),INDEX('2029'!$A:$Z,$B$10+2+1,23),INDEX('2030'!$A:$Z,$B$10+2+1,23)))</f>
        <v/>
      </c>
      <c r="X47">
        <f>IF($B47="","",""&amp;CHOOSE(Engine!$B$8,INDEX('2027'!$A:$Z,$B$10+2+1,24),INDEX('2028'!$A:$Z,$B$10+2+1,24),INDEX('2029'!$A:$Z,$B$10+2+1,24),INDEX('2030'!$A:$Z,$B$10+2+1,24)))</f>
        <v/>
      </c>
      <c r="Y47">
        <f>IF($B47="","",""&amp;CHOOSE(Engine!$B$8,INDEX('2027'!$A:$Z,$B$10+2+1,25),INDEX('2028'!$A:$Z,$B$10+2+1,25),INDEX('2029'!$A:$Z,$B$10+2+1,25),INDEX('2030'!$A:$Z,$B$10+2+1,25)))</f>
        <v/>
      </c>
      <c r="Z47">
        <f>IF($B47="","",""&amp;CHOOSE(Engine!$B$8,INDEX('2027'!$A:$Z,$B$10+2+1,26),INDEX('2028'!$A:$Z,$B$10+2+1,26),INDEX('2029'!$A:$Z,$B$10+2+1,26),INDEX('2030'!$A:$Z,$B$10+2+1,26)))</f>
        <v/>
      </c>
      <c r="AB47">
        <f>IF($B47="","",N(Setup!$L$6))</f>
        <v/>
      </c>
      <c r="AC47">
        <f>IF($B47="","",IF(Setup!$M$6="Y",1,0))</f>
        <v/>
      </c>
    </row>
    <row r="48">
      <c r="A48" t="n">
        <v>2</v>
      </c>
      <c r="B48">
        <f>IF(Setup!$K$7="","",Setup!$K$7)</f>
        <v/>
      </c>
      <c r="C48">
        <f>IF($B48="","",""&amp;CHOOSE(Engine!$B$8,INDEX('2027'!$A:$Z,$B$10+2+2,3),INDEX('2028'!$A:$Z,$B$10+2+2,3),INDEX('2029'!$A:$Z,$B$10+2+2,3),INDEX('2030'!$A:$Z,$B$10+2+2,3)))</f>
        <v/>
      </c>
      <c r="D48">
        <f>IF($B48="","",""&amp;CHOOSE(Engine!$B$8,INDEX('2027'!$A:$Z,$B$10+2+2,4),INDEX('2028'!$A:$Z,$B$10+2+2,4),INDEX('2029'!$A:$Z,$B$10+2+2,4),INDEX('2030'!$A:$Z,$B$10+2+2,4)))</f>
        <v/>
      </c>
      <c r="E48">
        <f>IF($B48="","",""&amp;CHOOSE(Engine!$B$8,INDEX('2027'!$A:$Z,$B$10+2+2,5),INDEX('2028'!$A:$Z,$B$10+2+2,5),INDEX('2029'!$A:$Z,$B$10+2+2,5),INDEX('2030'!$A:$Z,$B$10+2+2,5)))</f>
        <v/>
      </c>
      <c r="F48">
        <f>IF($B48="","",""&amp;CHOOSE(Engine!$B$8,INDEX('2027'!$A:$Z,$B$10+2+2,6),INDEX('2028'!$A:$Z,$B$10+2+2,6),INDEX('2029'!$A:$Z,$B$10+2+2,6),INDEX('2030'!$A:$Z,$B$10+2+2,6)))</f>
        <v/>
      </c>
      <c r="G48">
        <f>IF($B48="","",""&amp;CHOOSE(Engine!$B$8,INDEX('2027'!$A:$Z,$B$10+2+2,7),INDEX('2028'!$A:$Z,$B$10+2+2,7),INDEX('2029'!$A:$Z,$B$10+2+2,7),INDEX('2030'!$A:$Z,$B$10+2+2,7)))</f>
        <v/>
      </c>
      <c r="H48">
        <f>IF($B48="","",""&amp;CHOOSE(Engine!$B$8,INDEX('2027'!$A:$Z,$B$10+2+2,8),INDEX('2028'!$A:$Z,$B$10+2+2,8),INDEX('2029'!$A:$Z,$B$10+2+2,8),INDEX('2030'!$A:$Z,$B$10+2+2,8)))</f>
        <v/>
      </c>
      <c r="I48">
        <f>IF($B48="","",""&amp;CHOOSE(Engine!$B$8,INDEX('2027'!$A:$Z,$B$10+2+2,9),INDEX('2028'!$A:$Z,$B$10+2+2,9),INDEX('2029'!$A:$Z,$B$10+2+2,9),INDEX('2030'!$A:$Z,$B$10+2+2,9)))</f>
        <v/>
      </c>
      <c r="J48">
        <f>IF($B48="","",""&amp;CHOOSE(Engine!$B$8,INDEX('2027'!$A:$Z,$B$10+2+2,10),INDEX('2028'!$A:$Z,$B$10+2+2,10),INDEX('2029'!$A:$Z,$B$10+2+2,10),INDEX('2030'!$A:$Z,$B$10+2+2,10)))</f>
        <v/>
      </c>
      <c r="K48">
        <f>IF($B48="","",""&amp;CHOOSE(Engine!$B$8,INDEX('2027'!$A:$Z,$B$10+2+2,11),INDEX('2028'!$A:$Z,$B$10+2+2,11),INDEX('2029'!$A:$Z,$B$10+2+2,11),INDEX('2030'!$A:$Z,$B$10+2+2,11)))</f>
        <v/>
      </c>
      <c r="L48">
        <f>IF($B48="","",""&amp;CHOOSE(Engine!$B$8,INDEX('2027'!$A:$Z,$B$10+2+2,12),INDEX('2028'!$A:$Z,$B$10+2+2,12),INDEX('2029'!$A:$Z,$B$10+2+2,12),INDEX('2030'!$A:$Z,$B$10+2+2,12)))</f>
        <v/>
      </c>
      <c r="M48">
        <f>IF($B48="","",""&amp;CHOOSE(Engine!$B$8,INDEX('2027'!$A:$Z,$B$10+2+2,13),INDEX('2028'!$A:$Z,$B$10+2+2,13),INDEX('2029'!$A:$Z,$B$10+2+2,13),INDEX('2030'!$A:$Z,$B$10+2+2,13)))</f>
        <v/>
      </c>
      <c r="N48">
        <f>IF($B48="","",""&amp;CHOOSE(Engine!$B$8,INDEX('2027'!$A:$Z,$B$10+2+2,14),INDEX('2028'!$A:$Z,$B$10+2+2,14),INDEX('2029'!$A:$Z,$B$10+2+2,14),INDEX('2030'!$A:$Z,$B$10+2+2,14)))</f>
        <v/>
      </c>
      <c r="O48">
        <f>IF($B48="","",""&amp;CHOOSE(Engine!$B$8,INDEX('2027'!$A:$Z,$B$10+2+2,15),INDEX('2028'!$A:$Z,$B$10+2+2,15),INDEX('2029'!$A:$Z,$B$10+2+2,15),INDEX('2030'!$A:$Z,$B$10+2+2,15)))</f>
        <v/>
      </c>
      <c r="P48">
        <f>IF($B48="","",""&amp;CHOOSE(Engine!$B$8,INDEX('2027'!$A:$Z,$B$10+2+2,16),INDEX('2028'!$A:$Z,$B$10+2+2,16),INDEX('2029'!$A:$Z,$B$10+2+2,16),INDEX('2030'!$A:$Z,$B$10+2+2,16)))</f>
        <v/>
      </c>
      <c r="Q48">
        <f>IF($B48="","",""&amp;CHOOSE(Engine!$B$8,INDEX('2027'!$A:$Z,$B$10+2+2,17),INDEX('2028'!$A:$Z,$B$10+2+2,17),INDEX('2029'!$A:$Z,$B$10+2+2,17),INDEX('2030'!$A:$Z,$B$10+2+2,17)))</f>
        <v/>
      </c>
      <c r="R48">
        <f>IF($B48="","",""&amp;CHOOSE(Engine!$B$8,INDEX('2027'!$A:$Z,$B$10+2+2,18),INDEX('2028'!$A:$Z,$B$10+2+2,18),INDEX('2029'!$A:$Z,$B$10+2+2,18),INDEX('2030'!$A:$Z,$B$10+2+2,18)))</f>
        <v/>
      </c>
      <c r="S48">
        <f>IF($B48="","",""&amp;CHOOSE(Engine!$B$8,INDEX('2027'!$A:$Z,$B$10+2+2,19),INDEX('2028'!$A:$Z,$B$10+2+2,19),INDEX('2029'!$A:$Z,$B$10+2+2,19),INDEX('2030'!$A:$Z,$B$10+2+2,19)))</f>
        <v/>
      </c>
      <c r="T48">
        <f>IF($B48="","",""&amp;CHOOSE(Engine!$B$8,INDEX('2027'!$A:$Z,$B$10+2+2,20),INDEX('2028'!$A:$Z,$B$10+2+2,20),INDEX('2029'!$A:$Z,$B$10+2+2,20),INDEX('2030'!$A:$Z,$B$10+2+2,20)))</f>
        <v/>
      </c>
      <c r="U48">
        <f>IF($B48="","",""&amp;CHOOSE(Engine!$B$8,INDEX('2027'!$A:$Z,$B$10+2+2,21),INDEX('2028'!$A:$Z,$B$10+2+2,21),INDEX('2029'!$A:$Z,$B$10+2+2,21),INDEX('2030'!$A:$Z,$B$10+2+2,21)))</f>
        <v/>
      </c>
      <c r="V48">
        <f>IF($B48="","",""&amp;CHOOSE(Engine!$B$8,INDEX('2027'!$A:$Z,$B$10+2+2,22),INDEX('2028'!$A:$Z,$B$10+2+2,22),INDEX('2029'!$A:$Z,$B$10+2+2,22),INDEX('2030'!$A:$Z,$B$10+2+2,22)))</f>
        <v/>
      </c>
      <c r="W48">
        <f>IF($B48="","",""&amp;CHOOSE(Engine!$B$8,INDEX('2027'!$A:$Z,$B$10+2+2,23),INDEX('2028'!$A:$Z,$B$10+2+2,23),INDEX('2029'!$A:$Z,$B$10+2+2,23),INDEX('2030'!$A:$Z,$B$10+2+2,23)))</f>
        <v/>
      </c>
      <c r="X48">
        <f>IF($B48="","",""&amp;CHOOSE(Engine!$B$8,INDEX('2027'!$A:$Z,$B$10+2+2,24),INDEX('2028'!$A:$Z,$B$10+2+2,24),INDEX('2029'!$A:$Z,$B$10+2+2,24),INDEX('2030'!$A:$Z,$B$10+2+2,24)))</f>
        <v/>
      </c>
      <c r="Y48">
        <f>IF($B48="","",""&amp;CHOOSE(Engine!$B$8,INDEX('2027'!$A:$Z,$B$10+2+2,25),INDEX('2028'!$A:$Z,$B$10+2+2,25),INDEX('2029'!$A:$Z,$B$10+2+2,25),INDEX('2030'!$A:$Z,$B$10+2+2,25)))</f>
        <v/>
      </c>
      <c r="Z48">
        <f>IF($B48="","",""&amp;CHOOSE(Engine!$B$8,INDEX('2027'!$A:$Z,$B$10+2+2,26),INDEX('2028'!$A:$Z,$B$10+2+2,26),INDEX('2029'!$A:$Z,$B$10+2+2,26),INDEX('2030'!$A:$Z,$B$10+2+2,26)))</f>
        <v/>
      </c>
      <c r="AB48">
        <f>IF($B48="","",N(Setup!$L$7))</f>
        <v/>
      </c>
      <c r="AC48">
        <f>IF($B48="","",IF(Setup!$M$7="Y",1,0))</f>
        <v/>
      </c>
    </row>
    <row r="49">
      <c r="A49" t="n">
        <v>3</v>
      </c>
      <c r="B49">
        <f>IF(Setup!$K$8="","",Setup!$K$8)</f>
        <v/>
      </c>
      <c r="C49">
        <f>IF($B49="","",""&amp;CHOOSE(Engine!$B$8,INDEX('2027'!$A:$Z,$B$10+2+3,3),INDEX('2028'!$A:$Z,$B$10+2+3,3),INDEX('2029'!$A:$Z,$B$10+2+3,3),INDEX('2030'!$A:$Z,$B$10+2+3,3)))</f>
        <v/>
      </c>
      <c r="D49">
        <f>IF($B49="","",""&amp;CHOOSE(Engine!$B$8,INDEX('2027'!$A:$Z,$B$10+2+3,4),INDEX('2028'!$A:$Z,$B$10+2+3,4),INDEX('2029'!$A:$Z,$B$10+2+3,4),INDEX('2030'!$A:$Z,$B$10+2+3,4)))</f>
        <v/>
      </c>
      <c r="E49">
        <f>IF($B49="","",""&amp;CHOOSE(Engine!$B$8,INDEX('2027'!$A:$Z,$B$10+2+3,5),INDEX('2028'!$A:$Z,$B$10+2+3,5),INDEX('2029'!$A:$Z,$B$10+2+3,5),INDEX('2030'!$A:$Z,$B$10+2+3,5)))</f>
        <v/>
      </c>
      <c r="F49">
        <f>IF($B49="","",""&amp;CHOOSE(Engine!$B$8,INDEX('2027'!$A:$Z,$B$10+2+3,6),INDEX('2028'!$A:$Z,$B$10+2+3,6),INDEX('2029'!$A:$Z,$B$10+2+3,6),INDEX('2030'!$A:$Z,$B$10+2+3,6)))</f>
        <v/>
      </c>
      <c r="G49">
        <f>IF($B49="","",""&amp;CHOOSE(Engine!$B$8,INDEX('2027'!$A:$Z,$B$10+2+3,7),INDEX('2028'!$A:$Z,$B$10+2+3,7),INDEX('2029'!$A:$Z,$B$10+2+3,7),INDEX('2030'!$A:$Z,$B$10+2+3,7)))</f>
        <v/>
      </c>
      <c r="H49">
        <f>IF($B49="","",""&amp;CHOOSE(Engine!$B$8,INDEX('2027'!$A:$Z,$B$10+2+3,8),INDEX('2028'!$A:$Z,$B$10+2+3,8),INDEX('2029'!$A:$Z,$B$10+2+3,8),INDEX('2030'!$A:$Z,$B$10+2+3,8)))</f>
        <v/>
      </c>
      <c r="I49">
        <f>IF($B49="","",""&amp;CHOOSE(Engine!$B$8,INDEX('2027'!$A:$Z,$B$10+2+3,9),INDEX('2028'!$A:$Z,$B$10+2+3,9),INDEX('2029'!$A:$Z,$B$10+2+3,9),INDEX('2030'!$A:$Z,$B$10+2+3,9)))</f>
        <v/>
      </c>
      <c r="J49">
        <f>IF($B49="","",""&amp;CHOOSE(Engine!$B$8,INDEX('2027'!$A:$Z,$B$10+2+3,10),INDEX('2028'!$A:$Z,$B$10+2+3,10),INDEX('2029'!$A:$Z,$B$10+2+3,10),INDEX('2030'!$A:$Z,$B$10+2+3,10)))</f>
        <v/>
      </c>
      <c r="K49">
        <f>IF($B49="","",""&amp;CHOOSE(Engine!$B$8,INDEX('2027'!$A:$Z,$B$10+2+3,11),INDEX('2028'!$A:$Z,$B$10+2+3,11),INDEX('2029'!$A:$Z,$B$10+2+3,11),INDEX('2030'!$A:$Z,$B$10+2+3,11)))</f>
        <v/>
      </c>
      <c r="L49">
        <f>IF($B49="","",""&amp;CHOOSE(Engine!$B$8,INDEX('2027'!$A:$Z,$B$10+2+3,12),INDEX('2028'!$A:$Z,$B$10+2+3,12),INDEX('2029'!$A:$Z,$B$10+2+3,12),INDEX('2030'!$A:$Z,$B$10+2+3,12)))</f>
        <v/>
      </c>
      <c r="M49">
        <f>IF($B49="","",""&amp;CHOOSE(Engine!$B$8,INDEX('2027'!$A:$Z,$B$10+2+3,13),INDEX('2028'!$A:$Z,$B$10+2+3,13),INDEX('2029'!$A:$Z,$B$10+2+3,13),INDEX('2030'!$A:$Z,$B$10+2+3,13)))</f>
        <v/>
      </c>
      <c r="N49">
        <f>IF($B49="","",""&amp;CHOOSE(Engine!$B$8,INDEX('2027'!$A:$Z,$B$10+2+3,14),INDEX('2028'!$A:$Z,$B$10+2+3,14),INDEX('2029'!$A:$Z,$B$10+2+3,14),INDEX('2030'!$A:$Z,$B$10+2+3,14)))</f>
        <v/>
      </c>
      <c r="O49">
        <f>IF($B49="","",""&amp;CHOOSE(Engine!$B$8,INDEX('2027'!$A:$Z,$B$10+2+3,15),INDEX('2028'!$A:$Z,$B$10+2+3,15),INDEX('2029'!$A:$Z,$B$10+2+3,15),INDEX('2030'!$A:$Z,$B$10+2+3,15)))</f>
        <v/>
      </c>
      <c r="P49">
        <f>IF($B49="","",""&amp;CHOOSE(Engine!$B$8,INDEX('2027'!$A:$Z,$B$10+2+3,16),INDEX('2028'!$A:$Z,$B$10+2+3,16),INDEX('2029'!$A:$Z,$B$10+2+3,16),INDEX('2030'!$A:$Z,$B$10+2+3,16)))</f>
        <v/>
      </c>
      <c r="Q49">
        <f>IF($B49="","",""&amp;CHOOSE(Engine!$B$8,INDEX('2027'!$A:$Z,$B$10+2+3,17),INDEX('2028'!$A:$Z,$B$10+2+3,17),INDEX('2029'!$A:$Z,$B$10+2+3,17),INDEX('2030'!$A:$Z,$B$10+2+3,17)))</f>
        <v/>
      </c>
      <c r="R49">
        <f>IF($B49="","",""&amp;CHOOSE(Engine!$B$8,INDEX('2027'!$A:$Z,$B$10+2+3,18),INDEX('2028'!$A:$Z,$B$10+2+3,18),INDEX('2029'!$A:$Z,$B$10+2+3,18),INDEX('2030'!$A:$Z,$B$10+2+3,18)))</f>
        <v/>
      </c>
      <c r="S49">
        <f>IF($B49="","",""&amp;CHOOSE(Engine!$B$8,INDEX('2027'!$A:$Z,$B$10+2+3,19),INDEX('2028'!$A:$Z,$B$10+2+3,19),INDEX('2029'!$A:$Z,$B$10+2+3,19),INDEX('2030'!$A:$Z,$B$10+2+3,19)))</f>
        <v/>
      </c>
      <c r="T49">
        <f>IF($B49="","",""&amp;CHOOSE(Engine!$B$8,INDEX('2027'!$A:$Z,$B$10+2+3,20),INDEX('2028'!$A:$Z,$B$10+2+3,20),INDEX('2029'!$A:$Z,$B$10+2+3,20),INDEX('2030'!$A:$Z,$B$10+2+3,20)))</f>
        <v/>
      </c>
      <c r="U49">
        <f>IF($B49="","",""&amp;CHOOSE(Engine!$B$8,INDEX('2027'!$A:$Z,$B$10+2+3,21),INDEX('2028'!$A:$Z,$B$10+2+3,21),INDEX('2029'!$A:$Z,$B$10+2+3,21),INDEX('2030'!$A:$Z,$B$10+2+3,21)))</f>
        <v/>
      </c>
      <c r="V49">
        <f>IF($B49="","",""&amp;CHOOSE(Engine!$B$8,INDEX('2027'!$A:$Z,$B$10+2+3,22),INDEX('2028'!$A:$Z,$B$10+2+3,22),INDEX('2029'!$A:$Z,$B$10+2+3,22),INDEX('2030'!$A:$Z,$B$10+2+3,22)))</f>
        <v/>
      </c>
      <c r="W49">
        <f>IF($B49="","",""&amp;CHOOSE(Engine!$B$8,INDEX('2027'!$A:$Z,$B$10+2+3,23),INDEX('2028'!$A:$Z,$B$10+2+3,23),INDEX('2029'!$A:$Z,$B$10+2+3,23),INDEX('2030'!$A:$Z,$B$10+2+3,23)))</f>
        <v/>
      </c>
      <c r="X49">
        <f>IF($B49="","",""&amp;CHOOSE(Engine!$B$8,INDEX('2027'!$A:$Z,$B$10+2+3,24),INDEX('2028'!$A:$Z,$B$10+2+3,24),INDEX('2029'!$A:$Z,$B$10+2+3,24),INDEX('2030'!$A:$Z,$B$10+2+3,24)))</f>
        <v/>
      </c>
      <c r="Y49">
        <f>IF($B49="","",""&amp;CHOOSE(Engine!$B$8,INDEX('2027'!$A:$Z,$B$10+2+3,25),INDEX('2028'!$A:$Z,$B$10+2+3,25),INDEX('2029'!$A:$Z,$B$10+2+3,25),INDEX('2030'!$A:$Z,$B$10+2+3,25)))</f>
        <v/>
      </c>
      <c r="Z49">
        <f>IF($B49="","",""&amp;CHOOSE(Engine!$B$8,INDEX('2027'!$A:$Z,$B$10+2+3,26),INDEX('2028'!$A:$Z,$B$10+2+3,26),INDEX('2029'!$A:$Z,$B$10+2+3,26),INDEX('2030'!$A:$Z,$B$10+2+3,26)))</f>
        <v/>
      </c>
      <c r="AB49">
        <f>IF($B49="","",N(Setup!$L$8))</f>
        <v/>
      </c>
      <c r="AC49">
        <f>IF($B49="","",IF(Setup!$M$8="Y",1,0))</f>
        <v/>
      </c>
    </row>
    <row r="50">
      <c r="A50" t="n">
        <v>4</v>
      </c>
      <c r="B50">
        <f>IF(Setup!$K$9="","",Setup!$K$9)</f>
        <v/>
      </c>
      <c r="C50">
        <f>IF($B50="","",""&amp;CHOOSE(Engine!$B$8,INDEX('2027'!$A:$Z,$B$10+2+4,3),INDEX('2028'!$A:$Z,$B$10+2+4,3),INDEX('2029'!$A:$Z,$B$10+2+4,3),INDEX('2030'!$A:$Z,$B$10+2+4,3)))</f>
        <v/>
      </c>
      <c r="D50">
        <f>IF($B50="","",""&amp;CHOOSE(Engine!$B$8,INDEX('2027'!$A:$Z,$B$10+2+4,4),INDEX('2028'!$A:$Z,$B$10+2+4,4),INDEX('2029'!$A:$Z,$B$10+2+4,4),INDEX('2030'!$A:$Z,$B$10+2+4,4)))</f>
        <v/>
      </c>
      <c r="E50">
        <f>IF($B50="","",""&amp;CHOOSE(Engine!$B$8,INDEX('2027'!$A:$Z,$B$10+2+4,5),INDEX('2028'!$A:$Z,$B$10+2+4,5),INDEX('2029'!$A:$Z,$B$10+2+4,5),INDEX('2030'!$A:$Z,$B$10+2+4,5)))</f>
        <v/>
      </c>
      <c r="F50">
        <f>IF($B50="","",""&amp;CHOOSE(Engine!$B$8,INDEX('2027'!$A:$Z,$B$10+2+4,6),INDEX('2028'!$A:$Z,$B$10+2+4,6),INDEX('2029'!$A:$Z,$B$10+2+4,6),INDEX('2030'!$A:$Z,$B$10+2+4,6)))</f>
        <v/>
      </c>
      <c r="G50">
        <f>IF($B50="","",""&amp;CHOOSE(Engine!$B$8,INDEX('2027'!$A:$Z,$B$10+2+4,7),INDEX('2028'!$A:$Z,$B$10+2+4,7),INDEX('2029'!$A:$Z,$B$10+2+4,7),INDEX('2030'!$A:$Z,$B$10+2+4,7)))</f>
        <v/>
      </c>
      <c r="H50">
        <f>IF($B50="","",""&amp;CHOOSE(Engine!$B$8,INDEX('2027'!$A:$Z,$B$10+2+4,8),INDEX('2028'!$A:$Z,$B$10+2+4,8),INDEX('2029'!$A:$Z,$B$10+2+4,8),INDEX('2030'!$A:$Z,$B$10+2+4,8)))</f>
        <v/>
      </c>
      <c r="I50">
        <f>IF($B50="","",""&amp;CHOOSE(Engine!$B$8,INDEX('2027'!$A:$Z,$B$10+2+4,9),INDEX('2028'!$A:$Z,$B$10+2+4,9),INDEX('2029'!$A:$Z,$B$10+2+4,9),INDEX('2030'!$A:$Z,$B$10+2+4,9)))</f>
        <v/>
      </c>
      <c r="J50">
        <f>IF($B50="","",""&amp;CHOOSE(Engine!$B$8,INDEX('2027'!$A:$Z,$B$10+2+4,10),INDEX('2028'!$A:$Z,$B$10+2+4,10),INDEX('2029'!$A:$Z,$B$10+2+4,10),INDEX('2030'!$A:$Z,$B$10+2+4,10)))</f>
        <v/>
      </c>
      <c r="K50">
        <f>IF($B50="","",""&amp;CHOOSE(Engine!$B$8,INDEX('2027'!$A:$Z,$B$10+2+4,11),INDEX('2028'!$A:$Z,$B$10+2+4,11),INDEX('2029'!$A:$Z,$B$10+2+4,11),INDEX('2030'!$A:$Z,$B$10+2+4,11)))</f>
        <v/>
      </c>
      <c r="L50">
        <f>IF($B50="","",""&amp;CHOOSE(Engine!$B$8,INDEX('2027'!$A:$Z,$B$10+2+4,12),INDEX('2028'!$A:$Z,$B$10+2+4,12),INDEX('2029'!$A:$Z,$B$10+2+4,12),INDEX('2030'!$A:$Z,$B$10+2+4,12)))</f>
        <v/>
      </c>
      <c r="M50">
        <f>IF($B50="","",""&amp;CHOOSE(Engine!$B$8,INDEX('2027'!$A:$Z,$B$10+2+4,13),INDEX('2028'!$A:$Z,$B$10+2+4,13),INDEX('2029'!$A:$Z,$B$10+2+4,13),INDEX('2030'!$A:$Z,$B$10+2+4,13)))</f>
        <v/>
      </c>
      <c r="N50">
        <f>IF($B50="","",""&amp;CHOOSE(Engine!$B$8,INDEX('2027'!$A:$Z,$B$10+2+4,14),INDEX('2028'!$A:$Z,$B$10+2+4,14),INDEX('2029'!$A:$Z,$B$10+2+4,14),INDEX('2030'!$A:$Z,$B$10+2+4,14)))</f>
        <v/>
      </c>
      <c r="O50">
        <f>IF($B50="","",""&amp;CHOOSE(Engine!$B$8,INDEX('2027'!$A:$Z,$B$10+2+4,15),INDEX('2028'!$A:$Z,$B$10+2+4,15),INDEX('2029'!$A:$Z,$B$10+2+4,15),INDEX('2030'!$A:$Z,$B$10+2+4,15)))</f>
        <v/>
      </c>
      <c r="P50">
        <f>IF($B50="","",""&amp;CHOOSE(Engine!$B$8,INDEX('2027'!$A:$Z,$B$10+2+4,16),INDEX('2028'!$A:$Z,$B$10+2+4,16),INDEX('2029'!$A:$Z,$B$10+2+4,16),INDEX('2030'!$A:$Z,$B$10+2+4,16)))</f>
        <v/>
      </c>
      <c r="Q50">
        <f>IF($B50="","",""&amp;CHOOSE(Engine!$B$8,INDEX('2027'!$A:$Z,$B$10+2+4,17),INDEX('2028'!$A:$Z,$B$10+2+4,17),INDEX('2029'!$A:$Z,$B$10+2+4,17),INDEX('2030'!$A:$Z,$B$10+2+4,17)))</f>
        <v/>
      </c>
      <c r="R50">
        <f>IF($B50="","",""&amp;CHOOSE(Engine!$B$8,INDEX('2027'!$A:$Z,$B$10+2+4,18),INDEX('2028'!$A:$Z,$B$10+2+4,18),INDEX('2029'!$A:$Z,$B$10+2+4,18),INDEX('2030'!$A:$Z,$B$10+2+4,18)))</f>
        <v/>
      </c>
      <c r="S50">
        <f>IF($B50="","",""&amp;CHOOSE(Engine!$B$8,INDEX('2027'!$A:$Z,$B$10+2+4,19),INDEX('2028'!$A:$Z,$B$10+2+4,19),INDEX('2029'!$A:$Z,$B$10+2+4,19),INDEX('2030'!$A:$Z,$B$10+2+4,19)))</f>
        <v/>
      </c>
      <c r="T50">
        <f>IF($B50="","",""&amp;CHOOSE(Engine!$B$8,INDEX('2027'!$A:$Z,$B$10+2+4,20),INDEX('2028'!$A:$Z,$B$10+2+4,20),INDEX('2029'!$A:$Z,$B$10+2+4,20),INDEX('2030'!$A:$Z,$B$10+2+4,20)))</f>
        <v/>
      </c>
      <c r="U50">
        <f>IF($B50="","",""&amp;CHOOSE(Engine!$B$8,INDEX('2027'!$A:$Z,$B$10+2+4,21),INDEX('2028'!$A:$Z,$B$10+2+4,21),INDEX('2029'!$A:$Z,$B$10+2+4,21),INDEX('2030'!$A:$Z,$B$10+2+4,21)))</f>
        <v/>
      </c>
      <c r="V50">
        <f>IF($B50="","",""&amp;CHOOSE(Engine!$B$8,INDEX('2027'!$A:$Z,$B$10+2+4,22),INDEX('2028'!$A:$Z,$B$10+2+4,22),INDEX('2029'!$A:$Z,$B$10+2+4,22),INDEX('2030'!$A:$Z,$B$10+2+4,22)))</f>
        <v/>
      </c>
      <c r="W50">
        <f>IF($B50="","",""&amp;CHOOSE(Engine!$B$8,INDEX('2027'!$A:$Z,$B$10+2+4,23),INDEX('2028'!$A:$Z,$B$10+2+4,23),INDEX('2029'!$A:$Z,$B$10+2+4,23),INDEX('2030'!$A:$Z,$B$10+2+4,23)))</f>
        <v/>
      </c>
      <c r="X50">
        <f>IF($B50="","",""&amp;CHOOSE(Engine!$B$8,INDEX('2027'!$A:$Z,$B$10+2+4,24),INDEX('2028'!$A:$Z,$B$10+2+4,24),INDEX('2029'!$A:$Z,$B$10+2+4,24),INDEX('2030'!$A:$Z,$B$10+2+4,24)))</f>
        <v/>
      </c>
      <c r="Y50">
        <f>IF($B50="","",""&amp;CHOOSE(Engine!$B$8,INDEX('2027'!$A:$Z,$B$10+2+4,25),INDEX('2028'!$A:$Z,$B$10+2+4,25),INDEX('2029'!$A:$Z,$B$10+2+4,25),INDEX('2030'!$A:$Z,$B$10+2+4,25)))</f>
        <v/>
      </c>
      <c r="Z50">
        <f>IF($B50="","",""&amp;CHOOSE(Engine!$B$8,INDEX('2027'!$A:$Z,$B$10+2+4,26),INDEX('2028'!$A:$Z,$B$10+2+4,26),INDEX('2029'!$A:$Z,$B$10+2+4,26),INDEX('2030'!$A:$Z,$B$10+2+4,26)))</f>
        <v/>
      </c>
      <c r="AB50">
        <f>IF($B50="","",N(Setup!$L$9))</f>
        <v/>
      </c>
      <c r="AC50">
        <f>IF($B50="","",IF(Setup!$M$9="Y",1,0))</f>
        <v/>
      </c>
    </row>
    <row r="51">
      <c r="A51" t="n">
        <v>5</v>
      </c>
      <c r="B51">
        <f>IF(Setup!$K$10="","",Setup!$K$10)</f>
        <v/>
      </c>
      <c r="C51">
        <f>IF($B51="","",""&amp;CHOOSE(Engine!$B$8,INDEX('2027'!$A:$Z,$B$10+2+5,3),INDEX('2028'!$A:$Z,$B$10+2+5,3),INDEX('2029'!$A:$Z,$B$10+2+5,3),INDEX('2030'!$A:$Z,$B$10+2+5,3)))</f>
        <v/>
      </c>
      <c r="D51">
        <f>IF($B51="","",""&amp;CHOOSE(Engine!$B$8,INDEX('2027'!$A:$Z,$B$10+2+5,4),INDEX('2028'!$A:$Z,$B$10+2+5,4),INDEX('2029'!$A:$Z,$B$10+2+5,4),INDEX('2030'!$A:$Z,$B$10+2+5,4)))</f>
        <v/>
      </c>
      <c r="E51">
        <f>IF($B51="","",""&amp;CHOOSE(Engine!$B$8,INDEX('2027'!$A:$Z,$B$10+2+5,5),INDEX('2028'!$A:$Z,$B$10+2+5,5),INDEX('2029'!$A:$Z,$B$10+2+5,5),INDEX('2030'!$A:$Z,$B$10+2+5,5)))</f>
        <v/>
      </c>
      <c r="F51">
        <f>IF($B51="","",""&amp;CHOOSE(Engine!$B$8,INDEX('2027'!$A:$Z,$B$10+2+5,6),INDEX('2028'!$A:$Z,$B$10+2+5,6),INDEX('2029'!$A:$Z,$B$10+2+5,6),INDEX('2030'!$A:$Z,$B$10+2+5,6)))</f>
        <v/>
      </c>
      <c r="G51">
        <f>IF($B51="","",""&amp;CHOOSE(Engine!$B$8,INDEX('2027'!$A:$Z,$B$10+2+5,7),INDEX('2028'!$A:$Z,$B$10+2+5,7),INDEX('2029'!$A:$Z,$B$10+2+5,7),INDEX('2030'!$A:$Z,$B$10+2+5,7)))</f>
        <v/>
      </c>
      <c r="H51">
        <f>IF($B51="","",""&amp;CHOOSE(Engine!$B$8,INDEX('2027'!$A:$Z,$B$10+2+5,8),INDEX('2028'!$A:$Z,$B$10+2+5,8),INDEX('2029'!$A:$Z,$B$10+2+5,8),INDEX('2030'!$A:$Z,$B$10+2+5,8)))</f>
        <v/>
      </c>
      <c r="I51">
        <f>IF($B51="","",""&amp;CHOOSE(Engine!$B$8,INDEX('2027'!$A:$Z,$B$10+2+5,9),INDEX('2028'!$A:$Z,$B$10+2+5,9),INDEX('2029'!$A:$Z,$B$10+2+5,9),INDEX('2030'!$A:$Z,$B$10+2+5,9)))</f>
        <v/>
      </c>
      <c r="J51">
        <f>IF($B51="","",""&amp;CHOOSE(Engine!$B$8,INDEX('2027'!$A:$Z,$B$10+2+5,10),INDEX('2028'!$A:$Z,$B$10+2+5,10),INDEX('2029'!$A:$Z,$B$10+2+5,10),INDEX('2030'!$A:$Z,$B$10+2+5,10)))</f>
        <v/>
      </c>
      <c r="K51">
        <f>IF($B51="","",""&amp;CHOOSE(Engine!$B$8,INDEX('2027'!$A:$Z,$B$10+2+5,11),INDEX('2028'!$A:$Z,$B$10+2+5,11),INDEX('2029'!$A:$Z,$B$10+2+5,11),INDEX('2030'!$A:$Z,$B$10+2+5,11)))</f>
        <v/>
      </c>
      <c r="L51">
        <f>IF($B51="","",""&amp;CHOOSE(Engine!$B$8,INDEX('2027'!$A:$Z,$B$10+2+5,12),INDEX('2028'!$A:$Z,$B$10+2+5,12),INDEX('2029'!$A:$Z,$B$10+2+5,12),INDEX('2030'!$A:$Z,$B$10+2+5,12)))</f>
        <v/>
      </c>
      <c r="M51">
        <f>IF($B51="","",""&amp;CHOOSE(Engine!$B$8,INDEX('2027'!$A:$Z,$B$10+2+5,13),INDEX('2028'!$A:$Z,$B$10+2+5,13),INDEX('2029'!$A:$Z,$B$10+2+5,13),INDEX('2030'!$A:$Z,$B$10+2+5,13)))</f>
        <v/>
      </c>
      <c r="N51">
        <f>IF($B51="","",""&amp;CHOOSE(Engine!$B$8,INDEX('2027'!$A:$Z,$B$10+2+5,14),INDEX('2028'!$A:$Z,$B$10+2+5,14),INDEX('2029'!$A:$Z,$B$10+2+5,14),INDEX('2030'!$A:$Z,$B$10+2+5,14)))</f>
        <v/>
      </c>
      <c r="O51">
        <f>IF($B51="","",""&amp;CHOOSE(Engine!$B$8,INDEX('2027'!$A:$Z,$B$10+2+5,15),INDEX('2028'!$A:$Z,$B$10+2+5,15),INDEX('2029'!$A:$Z,$B$10+2+5,15),INDEX('2030'!$A:$Z,$B$10+2+5,15)))</f>
        <v/>
      </c>
      <c r="P51">
        <f>IF($B51="","",""&amp;CHOOSE(Engine!$B$8,INDEX('2027'!$A:$Z,$B$10+2+5,16),INDEX('2028'!$A:$Z,$B$10+2+5,16),INDEX('2029'!$A:$Z,$B$10+2+5,16),INDEX('2030'!$A:$Z,$B$10+2+5,16)))</f>
        <v/>
      </c>
      <c r="Q51">
        <f>IF($B51="","",""&amp;CHOOSE(Engine!$B$8,INDEX('2027'!$A:$Z,$B$10+2+5,17),INDEX('2028'!$A:$Z,$B$10+2+5,17),INDEX('2029'!$A:$Z,$B$10+2+5,17),INDEX('2030'!$A:$Z,$B$10+2+5,17)))</f>
        <v/>
      </c>
      <c r="R51">
        <f>IF($B51="","",""&amp;CHOOSE(Engine!$B$8,INDEX('2027'!$A:$Z,$B$10+2+5,18),INDEX('2028'!$A:$Z,$B$10+2+5,18),INDEX('2029'!$A:$Z,$B$10+2+5,18),INDEX('2030'!$A:$Z,$B$10+2+5,18)))</f>
        <v/>
      </c>
      <c r="S51">
        <f>IF($B51="","",""&amp;CHOOSE(Engine!$B$8,INDEX('2027'!$A:$Z,$B$10+2+5,19),INDEX('2028'!$A:$Z,$B$10+2+5,19),INDEX('2029'!$A:$Z,$B$10+2+5,19),INDEX('2030'!$A:$Z,$B$10+2+5,19)))</f>
        <v/>
      </c>
      <c r="T51">
        <f>IF($B51="","",""&amp;CHOOSE(Engine!$B$8,INDEX('2027'!$A:$Z,$B$10+2+5,20),INDEX('2028'!$A:$Z,$B$10+2+5,20),INDEX('2029'!$A:$Z,$B$10+2+5,20),INDEX('2030'!$A:$Z,$B$10+2+5,20)))</f>
        <v/>
      </c>
      <c r="U51">
        <f>IF($B51="","",""&amp;CHOOSE(Engine!$B$8,INDEX('2027'!$A:$Z,$B$10+2+5,21),INDEX('2028'!$A:$Z,$B$10+2+5,21),INDEX('2029'!$A:$Z,$B$10+2+5,21),INDEX('2030'!$A:$Z,$B$10+2+5,21)))</f>
        <v/>
      </c>
      <c r="V51">
        <f>IF($B51="","",""&amp;CHOOSE(Engine!$B$8,INDEX('2027'!$A:$Z,$B$10+2+5,22),INDEX('2028'!$A:$Z,$B$10+2+5,22),INDEX('2029'!$A:$Z,$B$10+2+5,22),INDEX('2030'!$A:$Z,$B$10+2+5,22)))</f>
        <v/>
      </c>
      <c r="W51">
        <f>IF($B51="","",""&amp;CHOOSE(Engine!$B$8,INDEX('2027'!$A:$Z,$B$10+2+5,23),INDEX('2028'!$A:$Z,$B$10+2+5,23),INDEX('2029'!$A:$Z,$B$10+2+5,23),INDEX('2030'!$A:$Z,$B$10+2+5,23)))</f>
        <v/>
      </c>
      <c r="X51">
        <f>IF($B51="","",""&amp;CHOOSE(Engine!$B$8,INDEX('2027'!$A:$Z,$B$10+2+5,24),INDEX('2028'!$A:$Z,$B$10+2+5,24),INDEX('2029'!$A:$Z,$B$10+2+5,24),INDEX('2030'!$A:$Z,$B$10+2+5,24)))</f>
        <v/>
      </c>
      <c r="Y51">
        <f>IF($B51="","",""&amp;CHOOSE(Engine!$B$8,INDEX('2027'!$A:$Z,$B$10+2+5,25),INDEX('2028'!$A:$Z,$B$10+2+5,25),INDEX('2029'!$A:$Z,$B$10+2+5,25),INDEX('2030'!$A:$Z,$B$10+2+5,25)))</f>
        <v/>
      </c>
      <c r="Z51">
        <f>IF($B51="","",""&amp;CHOOSE(Engine!$B$8,INDEX('2027'!$A:$Z,$B$10+2+5,26),INDEX('2028'!$A:$Z,$B$10+2+5,26),INDEX('2029'!$A:$Z,$B$10+2+5,26),INDEX('2030'!$A:$Z,$B$10+2+5,26)))</f>
        <v/>
      </c>
      <c r="AB51">
        <f>IF($B51="","",N(Setup!$L$10))</f>
        <v/>
      </c>
      <c r="AC51">
        <f>IF($B51="","",IF(Setup!$M$10="Y",1,0))</f>
        <v/>
      </c>
    </row>
    <row r="52">
      <c r="A52" t="n">
        <v>6</v>
      </c>
      <c r="B52">
        <f>IF(Setup!$K$11="","",Setup!$K$11)</f>
        <v/>
      </c>
      <c r="C52">
        <f>IF($B52="","",""&amp;CHOOSE(Engine!$B$8,INDEX('2027'!$A:$Z,$B$10+2+6,3),INDEX('2028'!$A:$Z,$B$10+2+6,3),INDEX('2029'!$A:$Z,$B$10+2+6,3),INDEX('2030'!$A:$Z,$B$10+2+6,3)))</f>
        <v/>
      </c>
      <c r="D52">
        <f>IF($B52="","",""&amp;CHOOSE(Engine!$B$8,INDEX('2027'!$A:$Z,$B$10+2+6,4),INDEX('2028'!$A:$Z,$B$10+2+6,4),INDEX('2029'!$A:$Z,$B$10+2+6,4),INDEX('2030'!$A:$Z,$B$10+2+6,4)))</f>
        <v/>
      </c>
      <c r="E52">
        <f>IF($B52="","",""&amp;CHOOSE(Engine!$B$8,INDEX('2027'!$A:$Z,$B$10+2+6,5),INDEX('2028'!$A:$Z,$B$10+2+6,5),INDEX('2029'!$A:$Z,$B$10+2+6,5),INDEX('2030'!$A:$Z,$B$10+2+6,5)))</f>
        <v/>
      </c>
      <c r="F52">
        <f>IF($B52="","",""&amp;CHOOSE(Engine!$B$8,INDEX('2027'!$A:$Z,$B$10+2+6,6),INDEX('2028'!$A:$Z,$B$10+2+6,6),INDEX('2029'!$A:$Z,$B$10+2+6,6),INDEX('2030'!$A:$Z,$B$10+2+6,6)))</f>
        <v/>
      </c>
      <c r="G52">
        <f>IF($B52="","",""&amp;CHOOSE(Engine!$B$8,INDEX('2027'!$A:$Z,$B$10+2+6,7),INDEX('2028'!$A:$Z,$B$10+2+6,7),INDEX('2029'!$A:$Z,$B$10+2+6,7),INDEX('2030'!$A:$Z,$B$10+2+6,7)))</f>
        <v/>
      </c>
      <c r="H52">
        <f>IF($B52="","",""&amp;CHOOSE(Engine!$B$8,INDEX('2027'!$A:$Z,$B$10+2+6,8),INDEX('2028'!$A:$Z,$B$10+2+6,8),INDEX('2029'!$A:$Z,$B$10+2+6,8),INDEX('2030'!$A:$Z,$B$10+2+6,8)))</f>
        <v/>
      </c>
      <c r="I52">
        <f>IF($B52="","",""&amp;CHOOSE(Engine!$B$8,INDEX('2027'!$A:$Z,$B$10+2+6,9),INDEX('2028'!$A:$Z,$B$10+2+6,9),INDEX('2029'!$A:$Z,$B$10+2+6,9),INDEX('2030'!$A:$Z,$B$10+2+6,9)))</f>
        <v/>
      </c>
      <c r="J52">
        <f>IF($B52="","",""&amp;CHOOSE(Engine!$B$8,INDEX('2027'!$A:$Z,$B$10+2+6,10),INDEX('2028'!$A:$Z,$B$10+2+6,10),INDEX('2029'!$A:$Z,$B$10+2+6,10),INDEX('2030'!$A:$Z,$B$10+2+6,10)))</f>
        <v/>
      </c>
      <c r="K52">
        <f>IF($B52="","",""&amp;CHOOSE(Engine!$B$8,INDEX('2027'!$A:$Z,$B$10+2+6,11),INDEX('2028'!$A:$Z,$B$10+2+6,11),INDEX('2029'!$A:$Z,$B$10+2+6,11),INDEX('2030'!$A:$Z,$B$10+2+6,11)))</f>
        <v/>
      </c>
      <c r="L52">
        <f>IF($B52="","",""&amp;CHOOSE(Engine!$B$8,INDEX('2027'!$A:$Z,$B$10+2+6,12),INDEX('2028'!$A:$Z,$B$10+2+6,12),INDEX('2029'!$A:$Z,$B$10+2+6,12),INDEX('2030'!$A:$Z,$B$10+2+6,12)))</f>
        <v/>
      </c>
      <c r="M52">
        <f>IF($B52="","",""&amp;CHOOSE(Engine!$B$8,INDEX('2027'!$A:$Z,$B$10+2+6,13),INDEX('2028'!$A:$Z,$B$10+2+6,13),INDEX('2029'!$A:$Z,$B$10+2+6,13),INDEX('2030'!$A:$Z,$B$10+2+6,13)))</f>
        <v/>
      </c>
      <c r="N52">
        <f>IF($B52="","",""&amp;CHOOSE(Engine!$B$8,INDEX('2027'!$A:$Z,$B$10+2+6,14),INDEX('2028'!$A:$Z,$B$10+2+6,14),INDEX('2029'!$A:$Z,$B$10+2+6,14),INDEX('2030'!$A:$Z,$B$10+2+6,14)))</f>
        <v/>
      </c>
      <c r="O52">
        <f>IF($B52="","",""&amp;CHOOSE(Engine!$B$8,INDEX('2027'!$A:$Z,$B$10+2+6,15),INDEX('2028'!$A:$Z,$B$10+2+6,15),INDEX('2029'!$A:$Z,$B$10+2+6,15),INDEX('2030'!$A:$Z,$B$10+2+6,15)))</f>
        <v/>
      </c>
      <c r="P52">
        <f>IF($B52="","",""&amp;CHOOSE(Engine!$B$8,INDEX('2027'!$A:$Z,$B$10+2+6,16),INDEX('2028'!$A:$Z,$B$10+2+6,16),INDEX('2029'!$A:$Z,$B$10+2+6,16),INDEX('2030'!$A:$Z,$B$10+2+6,16)))</f>
        <v/>
      </c>
      <c r="Q52">
        <f>IF($B52="","",""&amp;CHOOSE(Engine!$B$8,INDEX('2027'!$A:$Z,$B$10+2+6,17),INDEX('2028'!$A:$Z,$B$10+2+6,17),INDEX('2029'!$A:$Z,$B$10+2+6,17),INDEX('2030'!$A:$Z,$B$10+2+6,17)))</f>
        <v/>
      </c>
      <c r="R52">
        <f>IF($B52="","",""&amp;CHOOSE(Engine!$B$8,INDEX('2027'!$A:$Z,$B$10+2+6,18),INDEX('2028'!$A:$Z,$B$10+2+6,18),INDEX('2029'!$A:$Z,$B$10+2+6,18),INDEX('2030'!$A:$Z,$B$10+2+6,18)))</f>
        <v/>
      </c>
      <c r="S52">
        <f>IF($B52="","",""&amp;CHOOSE(Engine!$B$8,INDEX('2027'!$A:$Z,$B$10+2+6,19),INDEX('2028'!$A:$Z,$B$10+2+6,19),INDEX('2029'!$A:$Z,$B$10+2+6,19),INDEX('2030'!$A:$Z,$B$10+2+6,19)))</f>
        <v/>
      </c>
      <c r="T52">
        <f>IF($B52="","",""&amp;CHOOSE(Engine!$B$8,INDEX('2027'!$A:$Z,$B$10+2+6,20),INDEX('2028'!$A:$Z,$B$10+2+6,20),INDEX('2029'!$A:$Z,$B$10+2+6,20),INDEX('2030'!$A:$Z,$B$10+2+6,20)))</f>
        <v/>
      </c>
      <c r="U52">
        <f>IF($B52="","",""&amp;CHOOSE(Engine!$B$8,INDEX('2027'!$A:$Z,$B$10+2+6,21),INDEX('2028'!$A:$Z,$B$10+2+6,21),INDEX('2029'!$A:$Z,$B$10+2+6,21),INDEX('2030'!$A:$Z,$B$10+2+6,21)))</f>
        <v/>
      </c>
      <c r="V52">
        <f>IF($B52="","",""&amp;CHOOSE(Engine!$B$8,INDEX('2027'!$A:$Z,$B$10+2+6,22),INDEX('2028'!$A:$Z,$B$10+2+6,22),INDEX('2029'!$A:$Z,$B$10+2+6,22),INDEX('2030'!$A:$Z,$B$10+2+6,22)))</f>
        <v/>
      </c>
      <c r="W52">
        <f>IF($B52="","",""&amp;CHOOSE(Engine!$B$8,INDEX('2027'!$A:$Z,$B$10+2+6,23),INDEX('2028'!$A:$Z,$B$10+2+6,23),INDEX('2029'!$A:$Z,$B$10+2+6,23),INDEX('2030'!$A:$Z,$B$10+2+6,23)))</f>
        <v/>
      </c>
      <c r="X52">
        <f>IF($B52="","",""&amp;CHOOSE(Engine!$B$8,INDEX('2027'!$A:$Z,$B$10+2+6,24),INDEX('2028'!$A:$Z,$B$10+2+6,24),INDEX('2029'!$A:$Z,$B$10+2+6,24),INDEX('2030'!$A:$Z,$B$10+2+6,24)))</f>
        <v/>
      </c>
      <c r="Y52">
        <f>IF($B52="","",""&amp;CHOOSE(Engine!$B$8,INDEX('2027'!$A:$Z,$B$10+2+6,25),INDEX('2028'!$A:$Z,$B$10+2+6,25),INDEX('2029'!$A:$Z,$B$10+2+6,25),INDEX('2030'!$A:$Z,$B$10+2+6,25)))</f>
        <v/>
      </c>
      <c r="Z52">
        <f>IF($B52="","",""&amp;CHOOSE(Engine!$B$8,INDEX('2027'!$A:$Z,$B$10+2+6,26),INDEX('2028'!$A:$Z,$B$10+2+6,26),INDEX('2029'!$A:$Z,$B$10+2+6,26),INDEX('2030'!$A:$Z,$B$10+2+6,26)))</f>
        <v/>
      </c>
      <c r="AB52">
        <f>IF($B52="","",N(Setup!$L$11))</f>
        <v/>
      </c>
      <c r="AC52">
        <f>IF($B52="","",IF(Setup!$M$11="Y",1,0))</f>
        <v/>
      </c>
    </row>
    <row r="53">
      <c r="A53" t="n">
        <v>7</v>
      </c>
      <c r="B53">
        <f>IF(Setup!$K$12="","",Setup!$K$12)</f>
        <v/>
      </c>
      <c r="C53">
        <f>IF($B53="","",""&amp;CHOOSE(Engine!$B$8,INDEX('2027'!$A:$Z,$B$10+2+7,3),INDEX('2028'!$A:$Z,$B$10+2+7,3),INDEX('2029'!$A:$Z,$B$10+2+7,3),INDEX('2030'!$A:$Z,$B$10+2+7,3)))</f>
        <v/>
      </c>
      <c r="D53">
        <f>IF($B53="","",""&amp;CHOOSE(Engine!$B$8,INDEX('2027'!$A:$Z,$B$10+2+7,4),INDEX('2028'!$A:$Z,$B$10+2+7,4),INDEX('2029'!$A:$Z,$B$10+2+7,4),INDEX('2030'!$A:$Z,$B$10+2+7,4)))</f>
        <v/>
      </c>
      <c r="E53">
        <f>IF($B53="","",""&amp;CHOOSE(Engine!$B$8,INDEX('2027'!$A:$Z,$B$10+2+7,5),INDEX('2028'!$A:$Z,$B$10+2+7,5),INDEX('2029'!$A:$Z,$B$10+2+7,5),INDEX('2030'!$A:$Z,$B$10+2+7,5)))</f>
        <v/>
      </c>
      <c r="F53">
        <f>IF($B53="","",""&amp;CHOOSE(Engine!$B$8,INDEX('2027'!$A:$Z,$B$10+2+7,6),INDEX('2028'!$A:$Z,$B$10+2+7,6),INDEX('2029'!$A:$Z,$B$10+2+7,6),INDEX('2030'!$A:$Z,$B$10+2+7,6)))</f>
        <v/>
      </c>
      <c r="G53">
        <f>IF($B53="","",""&amp;CHOOSE(Engine!$B$8,INDEX('2027'!$A:$Z,$B$10+2+7,7),INDEX('2028'!$A:$Z,$B$10+2+7,7),INDEX('2029'!$A:$Z,$B$10+2+7,7),INDEX('2030'!$A:$Z,$B$10+2+7,7)))</f>
        <v/>
      </c>
      <c r="H53">
        <f>IF($B53="","",""&amp;CHOOSE(Engine!$B$8,INDEX('2027'!$A:$Z,$B$10+2+7,8),INDEX('2028'!$A:$Z,$B$10+2+7,8),INDEX('2029'!$A:$Z,$B$10+2+7,8),INDEX('2030'!$A:$Z,$B$10+2+7,8)))</f>
        <v/>
      </c>
      <c r="I53">
        <f>IF($B53="","",""&amp;CHOOSE(Engine!$B$8,INDEX('2027'!$A:$Z,$B$10+2+7,9),INDEX('2028'!$A:$Z,$B$10+2+7,9),INDEX('2029'!$A:$Z,$B$10+2+7,9),INDEX('2030'!$A:$Z,$B$10+2+7,9)))</f>
        <v/>
      </c>
      <c r="J53">
        <f>IF($B53="","",""&amp;CHOOSE(Engine!$B$8,INDEX('2027'!$A:$Z,$B$10+2+7,10),INDEX('2028'!$A:$Z,$B$10+2+7,10),INDEX('2029'!$A:$Z,$B$10+2+7,10),INDEX('2030'!$A:$Z,$B$10+2+7,10)))</f>
        <v/>
      </c>
      <c r="K53">
        <f>IF($B53="","",""&amp;CHOOSE(Engine!$B$8,INDEX('2027'!$A:$Z,$B$10+2+7,11),INDEX('2028'!$A:$Z,$B$10+2+7,11),INDEX('2029'!$A:$Z,$B$10+2+7,11),INDEX('2030'!$A:$Z,$B$10+2+7,11)))</f>
        <v/>
      </c>
      <c r="L53">
        <f>IF($B53="","",""&amp;CHOOSE(Engine!$B$8,INDEX('2027'!$A:$Z,$B$10+2+7,12),INDEX('2028'!$A:$Z,$B$10+2+7,12),INDEX('2029'!$A:$Z,$B$10+2+7,12),INDEX('2030'!$A:$Z,$B$10+2+7,12)))</f>
        <v/>
      </c>
      <c r="M53">
        <f>IF($B53="","",""&amp;CHOOSE(Engine!$B$8,INDEX('2027'!$A:$Z,$B$10+2+7,13),INDEX('2028'!$A:$Z,$B$10+2+7,13),INDEX('2029'!$A:$Z,$B$10+2+7,13),INDEX('2030'!$A:$Z,$B$10+2+7,13)))</f>
        <v/>
      </c>
      <c r="N53">
        <f>IF($B53="","",""&amp;CHOOSE(Engine!$B$8,INDEX('2027'!$A:$Z,$B$10+2+7,14),INDEX('2028'!$A:$Z,$B$10+2+7,14),INDEX('2029'!$A:$Z,$B$10+2+7,14),INDEX('2030'!$A:$Z,$B$10+2+7,14)))</f>
        <v/>
      </c>
      <c r="O53">
        <f>IF($B53="","",""&amp;CHOOSE(Engine!$B$8,INDEX('2027'!$A:$Z,$B$10+2+7,15),INDEX('2028'!$A:$Z,$B$10+2+7,15),INDEX('2029'!$A:$Z,$B$10+2+7,15),INDEX('2030'!$A:$Z,$B$10+2+7,15)))</f>
        <v/>
      </c>
      <c r="P53">
        <f>IF($B53="","",""&amp;CHOOSE(Engine!$B$8,INDEX('2027'!$A:$Z,$B$10+2+7,16),INDEX('2028'!$A:$Z,$B$10+2+7,16),INDEX('2029'!$A:$Z,$B$10+2+7,16),INDEX('2030'!$A:$Z,$B$10+2+7,16)))</f>
        <v/>
      </c>
      <c r="Q53">
        <f>IF($B53="","",""&amp;CHOOSE(Engine!$B$8,INDEX('2027'!$A:$Z,$B$10+2+7,17),INDEX('2028'!$A:$Z,$B$10+2+7,17),INDEX('2029'!$A:$Z,$B$10+2+7,17),INDEX('2030'!$A:$Z,$B$10+2+7,17)))</f>
        <v/>
      </c>
      <c r="R53">
        <f>IF($B53="","",""&amp;CHOOSE(Engine!$B$8,INDEX('2027'!$A:$Z,$B$10+2+7,18),INDEX('2028'!$A:$Z,$B$10+2+7,18),INDEX('2029'!$A:$Z,$B$10+2+7,18),INDEX('2030'!$A:$Z,$B$10+2+7,18)))</f>
        <v/>
      </c>
      <c r="S53">
        <f>IF($B53="","",""&amp;CHOOSE(Engine!$B$8,INDEX('2027'!$A:$Z,$B$10+2+7,19),INDEX('2028'!$A:$Z,$B$10+2+7,19),INDEX('2029'!$A:$Z,$B$10+2+7,19),INDEX('2030'!$A:$Z,$B$10+2+7,19)))</f>
        <v/>
      </c>
      <c r="T53">
        <f>IF($B53="","",""&amp;CHOOSE(Engine!$B$8,INDEX('2027'!$A:$Z,$B$10+2+7,20),INDEX('2028'!$A:$Z,$B$10+2+7,20),INDEX('2029'!$A:$Z,$B$10+2+7,20),INDEX('2030'!$A:$Z,$B$10+2+7,20)))</f>
        <v/>
      </c>
      <c r="U53">
        <f>IF($B53="","",""&amp;CHOOSE(Engine!$B$8,INDEX('2027'!$A:$Z,$B$10+2+7,21),INDEX('2028'!$A:$Z,$B$10+2+7,21),INDEX('2029'!$A:$Z,$B$10+2+7,21),INDEX('2030'!$A:$Z,$B$10+2+7,21)))</f>
        <v/>
      </c>
      <c r="V53">
        <f>IF($B53="","",""&amp;CHOOSE(Engine!$B$8,INDEX('2027'!$A:$Z,$B$10+2+7,22),INDEX('2028'!$A:$Z,$B$10+2+7,22),INDEX('2029'!$A:$Z,$B$10+2+7,22),INDEX('2030'!$A:$Z,$B$10+2+7,22)))</f>
        <v/>
      </c>
      <c r="W53">
        <f>IF($B53="","",""&amp;CHOOSE(Engine!$B$8,INDEX('2027'!$A:$Z,$B$10+2+7,23),INDEX('2028'!$A:$Z,$B$10+2+7,23),INDEX('2029'!$A:$Z,$B$10+2+7,23),INDEX('2030'!$A:$Z,$B$10+2+7,23)))</f>
        <v/>
      </c>
      <c r="X53">
        <f>IF($B53="","",""&amp;CHOOSE(Engine!$B$8,INDEX('2027'!$A:$Z,$B$10+2+7,24),INDEX('2028'!$A:$Z,$B$10+2+7,24),INDEX('2029'!$A:$Z,$B$10+2+7,24),INDEX('2030'!$A:$Z,$B$10+2+7,24)))</f>
        <v/>
      </c>
      <c r="Y53">
        <f>IF($B53="","",""&amp;CHOOSE(Engine!$B$8,INDEX('2027'!$A:$Z,$B$10+2+7,25),INDEX('2028'!$A:$Z,$B$10+2+7,25),INDEX('2029'!$A:$Z,$B$10+2+7,25),INDEX('2030'!$A:$Z,$B$10+2+7,25)))</f>
        <v/>
      </c>
      <c r="Z53">
        <f>IF($B53="","",""&amp;CHOOSE(Engine!$B$8,INDEX('2027'!$A:$Z,$B$10+2+7,26),INDEX('2028'!$A:$Z,$B$10+2+7,26),INDEX('2029'!$A:$Z,$B$10+2+7,26),INDEX('2030'!$A:$Z,$B$10+2+7,26)))</f>
        <v/>
      </c>
      <c r="AB53">
        <f>IF($B53="","",N(Setup!$L$12))</f>
        <v/>
      </c>
      <c r="AC53">
        <f>IF($B53="","",IF(Setup!$M$12="Y",1,0))</f>
        <v/>
      </c>
    </row>
    <row r="54">
      <c r="A54" t="n">
        <v>8</v>
      </c>
      <c r="B54">
        <f>IF(Setup!$K$13="","",Setup!$K$13)</f>
        <v/>
      </c>
      <c r="C54">
        <f>IF($B54="","",""&amp;CHOOSE(Engine!$B$8,INDEX('2027'!$A:$Z,$B$10+2+8,3),INDEX('2028'!$A:$Z,$B$10+2+8,3),INDEX('2029'!$A:$Z,$B$10+2+8,3),INDEX('2030'!$A:$Z,$B$10+2+8,3)))</f>
        <v/>
      </c>
      <c r="D54">
        <f>IF($B54="","",""&amp;CHOOSE(Engine!$B$8,INDEX('2027'!$A:$Z,$B$10+2+8,4),INDEX('2028'!$A:$Z,$B$10+2+8,4),INDEX('2029'!$A:$Z,$B$10+2+8,4),INDEX('2030'!$A:$Z,$B$10+2+8,4)))</f>
        <v/>
      </c>
      <c r="E54">
        <f>IF($B54="","",""&amp;CHOOSE(Engine!$B$8,INDEX('2027'!$A:$Z,$B$10+2+8,5),INDEX('2028'!$A:$Z,$B$10+2+8,5),INDEX('2029'!$A:$Z,$B$10+2+8,5),INDEX('2030'!$A:$Z,$B$10+2+8,5)))</f>
        <v/>
      </c>
      <c r="F54">
        <f>IF($B54="","",""&amp;CHOOSE(Engine!$B$8,INDEX('2027'!$A:$Z,$B$10+2+8,6),INDEX('2028'!$A:$Z,$B$10+2+8,6),INDEX('2029'!$A:$Z,$B$10+2+8,6),INDEX('2030'!$A:$Z,$B$10+2+8,6)))</f>
        <v/>
      </c>
      <c r="G54">
        <f>IF($B54="","",""&amp;CHOOSE(Engine!$B$8,INDEX('2027'!$A:$Z,$B$10+2+8,7),INDEX('2028'!$A:$Z,$B$10+2+8,7),INDEX('2029'!$A:$Z,$B$10+2+8,7),INDEX('2030'!$A:$Z,$B$10+2+8,7)))</f>
        <v/>
      </c>
      <c r="H54">
        <f>IF($B54="","",""&amp;CHOOSE(Engine!$B$8,INDEX('2027'!$A:$Z,$B$10+2+8,8),INDEX('2028'!$A:$Z,$B$10+2+8,8),INDEX('2029'!$A:$Z,$B$10+2+8,8),INDEX('2030'!$A:$Z,$B$10+2+8,8)))</f>
        <v/>
      </c>
      <c r="I54">
        <f>IF($B54="","",""&amp;CHOOSE(Engine!$B$8,INDEX('2027'!$A:$Z,$B$10+2+8,9),INDEX('2028'!$A:$Z,$B$10+2+8,9),INDEX('2029'!$A:$Z,$B$10+2+8,9),INDEX('2030'!$A:$Z,$B$10+2+8,9)))</f>
        <v/>
      </c>
      <c r="J54">
        <f>IF($B54="","",""&amp;CHOOSE(Engine!$B$8,INDEX('2027'!$A:$Z,$B$10+2+8,10),INDEX('2028'!$A:$Z,$B$10+2+8,10),INDEX('2029'!$A:$Z,$B$10+2+8,10),INDEX('2030'!$A:$Z,$B$10+2+8,10)))</f>
        <v/>
      </c>
      <c r="K54">
        <f>IF($B54="","",""&amp;CHOOSE(Engine!$B$8,INDEX('2027'!$A:$Z,$B$10+2+8,11),INDEX('2028'!$A:$Z,$B$10+2+8,11),INDEX('2029'!$A:$Z,$B$10+2+8,11),INDEX('2030'!$A:$Z,$B$10+2+8,11)))</f>
        <v/>
      </c>
      <c r="L54">
        <f>IF($B54="","",""&amp;CHOOSE(Engine!$B$8,INDEX('2027'!$A:$Z,$B$10+2+8,12),INDEX('2028'!$A:$Z,$B$10+2+8,12),INDEX('2029'!$A:$Z,$B$10+2+8,12),INDEX('2030'!$A:$Z,$B$10+2+8,12)))</f>
        <v/>
      </c>
      <c r="M54">
        <f>IF($B54="","",""&amp;CHOOSE(Engine!$B$8,INDEX('2027'!$A:$Z,$B$10+2+8,13),INDEX('2028'!$A:$Z,$B$10+2+8,13),INDEX('2029'!$A:$Z,$B$10+2+8,13),INDEX('2030'!$A:$Z,$B$10+2+8,13)))</f>
        <v/>
      </c>
      <c r="N54">
        <f>IF($B54="","",""&amp;CHOOSE(Engine!$B$8,INDEX('2027'!$A:$Z,$B$10+2+8,14),INDEX('2028'!$A:$Z,$B$10+2+8,14),INDEX('2029'!$A:$Z,$B$10+2+8,14),INDEX('2030'!$A:$Z,$B$10+2+8,14)))</f>
        <v/>
      </c>
      <c r="O54">
        <f>IF($B54="","",""&amp;CHOOSE(Engine!$B$8,INDEX('2027'!$A:$Z,$B$10+2+8,15),INDEX('2028'!$A:$Z,$B$10+2+8,15),INDEX('2029'!$A:$Z,$B$10+2+8,15),INDEX('2030'!$A:$Z,$B$10+2+8,15)))</f>
        <v/>
      </c>
      <c r="P54">
        <f>IF($B54="","",""&amp;CHOOSE(Engine!$B$8,INDEX('2027'!$A:$Z,$B$10+2+8,16),INDEX('2028'!$A:$Z,$B$10+2+8,16),INDEX('2029'!$A:$Z,$B$10+2+8,16),INDEX('2030'!$A:$Z,$B$10+2+8,16)))</f>
        <v/>
      </c>
      <c r="Q54">
        <f>IF($B54="","",""&amp;CHOOSE(Engine!$B$8,INDEX('2027'!$A:$Z,$B$10+2+8,17),INDEX('2028'!$A:$Z,$B$10+2+8,17),INDEX('2029'!$A:$Z,$B$10+2+8,17),INDEX('2030'!$A:$Z,$B$10+2+8,17)))</f>
        <v/>
      </c>
      <c r="R54">
        <f>IF($B54="","",""&amp;CHOOSE(Engine!$B$8,INDEX('2027'!$A:$Z,$B$10+2+8,18),INDEX('2028'!$A:$Z,$B$10+2+8,18),INDEX('2029'!$A:$Z,$B$10+2+8,18),INDEX('2030'!$A:$Z,$B$10+2+8,18)))</f>
        <v/>
      </c>
      <c r="S54">
        <f>IF($B54="","",""&amp;CHOOSE(Engine!$B$8,INDEX('2027'!$A:$Z,$B$10+2+8,19),INDEX('2028'!$A:$Z,$B$10+2+8,19),INDEX('2029'!$A:$Z,$B$10+2+8,19),INDEX('2030'!$A:$Z,$B$10+2+8,19)))</f>
        <v/>
      </c>
      <c r="T54">
        <f>IF($B54="","",""&amp;CHOOSE(Engine!$B$8,INDEX('2027'!$A:$Z,$B$10+2+8,20),INDEX('2028'!$A:$Z,$B$10+2+8,20),INDEX('2029'!$A:$Z,$B$10+2+8,20),INDEX('2030'!$A:$Z,$B$10+2+8,20)))</f>
        <v/>
      </c>
      <c r="U54">
        <f>IF($B54="","",""&amp;CHOOSE(Engine!$B$8,INDEX('2027'!$A:$Z,$B$10+2+8,21),INDEX('2028'!$A:$Z,$B$10+2+8,21),INDEX('2029'!$A:$Z,$B$10+2+8,21),INDEX('2030'!$A:$Z,$B$10+2+8,21)))</f>
        <v/>
      </c>
      <c r="V54">
        <f>IF($B54="","",""&amp;CHOOSE(Engine!$B$8,INDEX('2027'!$A:$Z,$B$10+2+8,22),INDEX('2028'!$A:$Z,$B$10+2+8,22),INDEX('2029'!$A:$Z,$B$10+2+8,22),INDEX('2030'!$A:$Z,$B$10+2+8,22)))</f>
        <v/>
      </c>
      <c r="W54">
        <f>IF($B54="","",""&amp;CHOOSE(Engine!$B$8,INDEX('2027'!$A:$Z,$B$10+2+8,23),INDEX('2028'!$A:$Z,$B$10+2+8,23),INDEX('2029'!$A:$Z,$B$10+2+8,23),INDEX('2030'!$A:$Z,$B$10+2+8,23)))</f>
        <v/>
      </c>
      <c r="X54">
        <f>IF($B54="","",""&amp;CHOOSE(Engine!$B$8,INDEX('2027'!$A:$Z,$B$10+2+8,24),INDEX('2028'!$A:$Z,$B$10+2+8,24),INDEX('2029'!$A:$Z,$B$10+2+8,24),INDEX('2030'!$A:$Z,$B$10+2+8,24)))</f>
        <v/>
      </c>
      <c r="Y54">
        <f>IF($B54="","",""&amp;CHOOSE(Engine!$B$8,INDEX('2027'!$A:$Z,$B$10+2+8,25),INDEX('2028'!$A:$Z,$B$10+2+8,25),INDEX('2029'!$A:$Z,$B$10+2+8,25),INDEX('2030'!$A:$Z,$B$10+2+8,25)))</f>
        <v/>
      </c>
      <c r="Z54">
        <f>IF($B54="","",""&amp;CHOOSE(Engine!$B$8,INDEX('2027'!$A:$Z,$B$10+2+8,26),INDEX('2028'!$A:$Z,$B$10+2+8,26),INDEX('2029'!$A:$Z,$B$10+2+8,26),INDEX('2030'!$A:$Z,$B$10+2+8,26)))</f>
        <v/>
      </c>
      <c r="AB54">
        <f>IF($B54="","",N(Setup!$L$13))</f>
        <v/>
      </c>
      <c r="AC54">
        <f>IF($B54="","",IF(Setup!$M$13="Y",1,0))</f>
        <v/>
      </c>
    </row>
    <row r="55">
      <c r="A55" t="n">
        <v>9</v>
      </c>
      <c r="B55">
        <f>IF(Setup!$K$14="","",Setup!$K$14)</f>
        <v/>
      </c>
      <c r="C55">
        <f>IF($B55="","",""&amp;CHOOSE(Engine!$B$8,INDEX('2027'!$A:$Z,$B$10+2+9,3),INDEX('2028'!$A:$Z,$B$10+2+9,3),INDEX('2029'!$A:$Z,$B$10+2+9,3),INDEX('2030'!$A:$Z,$B$10+2+9,3)))</f>
        <v/>
      </c>
      <c r="D55">
        <f>IF($B55="","",""&amp;CHOOSE(Engine!$B$8,INDEX('2027'!$A:$Z,$B$10+2+9,4),INDEX('2028'!$A:$Z,$B$10+2+9,4),INDEX('2029'!$A:$Z,$B$10+2+9,4),INDEX('2030'!$A:$Z,$B$10+2+9,4)))</f>
        <v/>
      </c>
      <c r="E55">
        <f>IF($B55="","",""&amp;CHOOSE(Engine!$B$8,INDEX('2027'!$A:$Z,$B$10+2+9,5),INDEX('2028'!$A:$Z,$B$10+2+9,5),INDEX('2029'!$A:$Z,$B$10+2+9,5),INDEX('2030'!$A:$Z,$B$10+2+9,5)))</f>
        <v/>
      </c>
      <c r="F55">
        <f>IF($B55="","",""&amp;CHOOSE(Engine!$B$8,INDEX('2027'!$A:$Z,$B$10+2+9,6),INDEX('2028'!$A:$Z,$B$10+2+9,6),INDEX('2029'!$A:$Z,$B$10+2+9,6),INDEX('2030'!$A:$Z,$B$10+2+9,6)))</f>
        <v/>
      </c>
      <c r="G55">
        <f>IF($B55="","",""&amp;CHOOSE(Engine!$B$8,INDEX('2027'!$A:$Z,$B$10+2+9,7),INDEX('2028'!$A:$Z,$B$10+2+9,7),INDEX('2029'!$A:$Z,$B$10+2+9,7),INDEX('2030'!$A:$Z,$B$10+2+9,7)))</f>
        <v/>
      </c>
      <c r="H55">
        <f>IF($B55="","",""&amp;CHOOSE(Engine!$B$8,INDEX('2027'!$A:$Z,$B$10+2+9,8),INDEX('2028'!$A:$Z,$B$10+2+9,8),INDEX('2029'!$A:$Z,$B$10+2+9,8),INDEX('2030'!$A:$Z,$B$10+2+9,8)))</f>
        <v/>
      </c>
      <c r="I55">
        <f>IF($B55="","",""&amp;CHOOSE(Engine!$B$8,INDEX('2027'!$A:$Z,$B$10+2+9,9),INDEX('2028'!$A:$Z,$B$10+2+9,9),INDEX('2029'!$A:$Z,$B$10+2+9,9),INDEX('2030'!$A:$Z,$B$10+2+9,9)))</f>
        <v/>
      </c>
      <c r="J55">
        <f>IF($B55="","",""&amp;CHOOSE(Engine!$B$8,INDEX('2027'!$A:$Z,$B$10+2+9,10),INDEX('2028'!$A:$Z,$B$10+2+9,10),INDEX('2029'!$A:$Z,$B$10+2+9,10),INDEX('2030'!$A:$Z,$B$10+2+9,10)))</f>
        <v/>
      </c>
      <c r="K55">
        <f>IF($B55="","",""&amp;CHOOSE(Engine!$B$8,INDEX('2027'!$A:$Z,$B$10+2+9,11),INDEX('2028'!$A:$Z,$B$10+2+9,11),INDEX('2029'!$A:$Z,$B$10+2+9,11),INDEX('2030'!$A:$Z,$B$10+2+9,11)))</f>
        <v/>
      </c>
      <c r="L55">
        <f>IF($B55="","",""&amp;CHOOSE(Engine!$B$8,INDEX('2027'!$A:$Z,$B$10+2+9,12),INDEX('2028'!$A:$Z,$B$10+2+9,12),INDEX('2029'!$A:$Z,$B$10+2+9,12),INDEX('2030'!$A:$Z,$B$10+2+9,12)))</f>
        <v/>
      </c>
      <c r="M55">
        <f>IF($B55="","",""&amp;CHOOSE(Engine!$B$8,INDEX('2027'!$A:$Z,$B$10+2+9,13),INDEX('2028'!$A:$Z,$B$10+2+9,13),INDEX('2029'!$A:$Z,$B$10+2+9,13),INDEX('2030'!$A:$Z,$B$10+2+9,13)))</f>
        <v/>
      </c>
      <c r="N55">
        <f>IF($B55="","",""&amp;CHOOSE(Engine!$B$8,INDEX('2027'!$A:$Z,$B$10+2+9,14),INDEX('2028'!$A:$Z,$B$10+2+9,14),INDEX('2029'!$A:$Z,$B$10+2+9,14),INDEX('2030'!$A:$Z,$B$10+2+9,14)))</f>
        <v/>
      </c>
      <c r="O55">
        <f>IF($B55="","",""&amp;CHOOSE(Engine!$B$8,INDEX('2027'!$A:$Z,$B$10+2+9,15),INDEX('2028'!$A:$Z,$B$10+2+9,15),INDEX('2029'!$A:$Z,$B$10+2+9,15),INDEX('2030'!$A:$Z,$B$10+2+9,15)))</f>
        <v/>
      </c>
      <c r="P55">
        <f>IF($B55="","",""&amp;CHOOSE(Engine!$B$8,INDEX('2027'!$A:$Z,$B$10+2+9,16),INDEX('2028'!$A:$Z,$B$10+2+9,16),INDEX('2029'!$A:$Z,$B$10+2+9,16),INDEX('2030'!$A:$Z,$B$10+2+9,16)))</f>
        <v/>
      </c>
      <c r="Q55">
        <f>IF($B55="","",""&amp;CHOOSE(Engine!$B$8,INDEX('2027'!$A:$Z,$B$10+2+9,17),INDEX('2028'!$A:$Z,$B$10+2+9,17),INDEX('2029'!$A:$Z,$B$10+2+9,17),INDEX('2030'!$A:$Z,$B$10+2+9,17)))</f>
        <v/>
      </c>
      <c r="R55">
        <f>IF($B55="","",""&amp;CHOOSE(Engine!$B$8,INDEX('2027'!$A:$Z,$B$10+2+9,18),INDEX('2028'!$A:$Z,$B$10+2+9,18),INDEX('2029'!$A:$Z,$B$10+2+9,18),INDEX('2030'!$A:$Z,$B$10+2+9,18)))</f>
        <v/>
      </c>
      <c r="S55">
        <f>IF($B55="","",""&amp;CHOOSE(Engine!$B$8,INDEX('2027'!$A:$Z,$B$10+2+9,19),INDEX('2028'!$A:$Z,$B$10+2+9,19),INDEX('2029'!$A:$Z,$B$10+2+9,19),INDEX('2030'!$A:$Z,$B$10+2+9,19)))</f>
        <v/>
      </c>
      <c r="T55">
        <f>IF($B55="","",""&amp;CHOOSE(Engine!$B$8,INDEX('2027'!$A:$Z,$B$10+2+9,20),INDEX('2028'!$A:$Z,$B$10+2+9,20),INDEX('2029'!$A:$Z,$B$10+2+9,20),INDEX('2030'!$A:$Z,$B$10+2+9,20)))</f>
        <v/>
      </c>
      <c r="U55">
        <f>IF($B55="","",""&amp;CHOOSE(Engine!$B$8,INDEX('2027'!$A:$Z,$B$10+2+9,21),INDEX('2028'!$A:$Z,$B$10+2+9,21),INDEX('2029'!$A:$Z,$B$10+2+9,21),INDEX('2030'!$A:$Z,$B$10+2+9,21)))</f>
        <v/>
      </c>
      <c r="V55">
        <f>IF($B55="","",""&amp;CHOOSE(Engine!$B$8,INDEX('2027'!$A:$Z,$B$10+2+9,22),INDEX('2028'!$A:$Z,$B$10+2+9,22),INDEX('2029'!$A:$Z,$B$10+2+9,22),INDEX('2030'!$A:$Z,$B$10+2+9,22)))</f>
        <v/>
      </c>
      <c r="W55">
        <f>IF($B55="","",""&amp;CHOOSE(Engine!$B$8,INDEX('2027'!$A:$Z,$B$10+2+9,23),INDEX('2028'!$A:$Z,$B$10+2+9,23),INDEX('2029'!$A:$Z,$B$10+2+9,23),INDEX('2030'!$A:$Z,$B$10+2+9,23)))</f>
        <v/>
      </c>
      <c r="X55">
        <f>IF($B55="","",""&amp;CHOOSE(Engine!$B$8,INDEX('2027'!$A:$Z,$B$10+2+9,24),INDEX('2028'!$A:$Z,$B$10+2+9,24),INDEX('2029'!$A:$Z,$B$10+2+9,24),INDEX('2030'!$A:$Z,$B$10+2+9,24)))</f>
        <v/>
      </c>
      <c r="Y55">
        <f>IF($B55="","",""&amp;CHOOSE(Engine!$B$8,INDEX('2027'!$A:$Z,$B$10+2+9,25),INDEX('2028'!$A:$Z,$B$10+2+9,25),INDEX('2029'!$A:$Z,$B$10+2+9,25),INDEX('2030'!$A:$Z,$B$10+2+9,25)))</f>
        <v/>
      </c>
      <c r="Z55">
        <f>IF($B55="","",""&amp;CHOOSE(Engine!$B$8,INDEX('2027'!$A:$Z,$B$10+2+9,26),INDEX('2028'!$A:$Z,$B$10+2+9,26),INDEX('2029'!$A:$Z,$B$10+2+9,26),INDEX('2030'!$A:$Z,$B$10+2+9,26)))</f>
        <v/>
      </c>
      <c r="AB55">
        <f>IF($B55="","",N(Setup!$L$14))</f>
        <v/>
      </c>
      <c r="AC55">
        <f>IF($B55="","",IF(Setup!$M$14="Y",1,0))</f>
        <v/>
      </c>
    </row>
    <row r="56">
      <c r="A56" t="n">
        <v>10</v>
      </c>
      <c r="B56">
        <f>IF(Setup!$K$15="","",Setup!$K$15)</f>
        <v/>
      </c>
      <c r="C56">
        <f>IF($B56="","",""&amp;CHOOSE(Engine!$B$8,INDEX('2027'!$A:$Z,$B$10+2+10,3),INDEX('2028'!$A:$Z,$B$10+2+10,3),INDEX('2029'!$A:$Z,$B$10+2+10,3),INDEX('2030'!$A:$Z,$B$10+2+10,3)))</f>
        <v/>
      </c>
      <c r="D56">
        <f>IF($B56="","",""&amp;CHOOSE(Engine!$B$8,INDEX('2027'!$A:$Z,$B$10+2+10,4),INDEX('2028'!$A:$Z,$B$10+2+10,4),INDEX('2029'!$A:$Z,$B$10+2+10,4),INDEX('2030'!$A:$Z,$B$10+2+10,4)))</f>
        <v/>
      </c>
      <c r="E56">
        <f>IF($B56="","",""&amp;CHOOSE(Engine!$B$8,INDEX('2027'!$A:$Z,$B$10+2+10,5),INDEX('2028'!$A:$Z,$B$10+2+10,5),INDEX('2029'!$A:$Z,$B$10+2+10,5),INDEX('2030'!$A:$Z,$B$10+2+10,5)))</f>
        <v/>
      </c>
      <c r="F56">
        <f>IF($B56="","",""&amp;CHOOSE(Engine!$B$8,INDEX('2027'!$A:$Z,$B$10+2+10,6),INDEX('2028'!$A:$Z,$B$10+2+10,6),INDEX('2029'!$A:$Z,$B$10+2+10,6),INDEX('2030'!$A:$Z,$B$10+2+10,6)))</f>
        <v/>
      </c>
      <c r="G56">
        <f>IF($B56="","",""&amp;CHOOSE(Engine!$B$8,INDEX('2027'!$A:$Z,$B$10+2+10,7),INDEX('2028'!$A:$Z,$B$10+2+10,7),INDEX('2029'!$A:$Z,$B$10+2+10,7),INDEX('2030'!$A:$Z,$B$10+2+10,7)))</f>
        <v/>
      </c>
      <c r="H56">
        <f>IF($B56="","",""&amp;CHOOSE(Engine!$B$8,INDEX('2027'!$A:$Z,$B$10+2+10,8),INDEX('2028'!$A:$Z,$B$10+2+10,8),INDEX('2029'!$A:$Z,$B$10+2+10,8),INDEX('2030'!$A:$Z,$B$10+2+10,8)))</f>
        <v/>
      </c>
      <c r="I56">
        <f>IF($B56="","",""&amp;CHOOSE(Engine!$B$8,INDEX('2027'!$A:$Z,$B$10+2+10,9),INDEX('2028'!$A:$Z,$B$10+2+10,9),INDEX('2029'!$A:$Z,$B$10+2+10,9),INDEX('2030'!$A:$Z,$B$10+2+10,9)))</f>
        <v/>
      </c>
      <c r="J56">
        <f>IF($B56="","",""&amp;CHOOSE(Engine!$B$8,INDEX('2027'!$A:$Z,$B$10+2+10,10),INDEX('2028'!$A:$Z,$B$10+2+10,10),INDEX('2029'!$A:$Z,$B$10+2+10,10),INDEX('2030'!$A:$Z,$B$10+2+10,10)))</f>
        <v/>
      </c>
      <c r="K56">
        <f>IF($B56="","",""&amp;CHOOSE(Engine!$B$8,INDEX('2027'!$A:$Z,$B$10+2+10,11),INDEX('2028'!$A:$Z,$B$10+2+10,11),INDEX('2029'!$A:$Z,$B$10+2+10,11),INDEX('2030'!$A:$Z,$B$10+2+10,11)))</f>
        <v/>
      </c>
      <c r="L56">
        <f>IF($B56="","",""&amp;CHOOSE(Engine!$B$8,INDEX('2027'!$A:$Z,$B$10+2+10,12),INDEX('2028'!$A:$Z,$B$10+2+10,12),INDEX('2029'!$A:$Z,$B$10+2+10,12),INDEX('2030'!$A:$Z,$B$10+2+10,12)))</f>
        <v/>
      </c>
      <c r="M56">
        <f>IF($B56="","",""&amp;CHOOSE(Engine!$B$8,INDEX('2027'!$A:$Z,$B$10+2+10,13),INDEX('2028'!$A:$Z,$B$10+2+10,13),INDEX('2029'!$A:$Z,$B$10+2+10,13),INDEX('2030'!$A:$Z,$B$10+2+10,13)))</f>
        <v/>
      </c>
      <c r="N56">
        <f>IF($B56="","",""&amp;CHOOSE(Engine!$B$8,INDEX('2027'!$A:$Z,$B$10+2+10,14),INDEX('2028'!$A:$Z,$B$10+2+10,14),INDEX('2029'!$A:$Z,$B$10+2+10,14),INDEX('2030'!$A:$Z,$B$10+2+10,14)))</f>
        <v/>
      </c>
      <c r="O56">
        <f>IF($B56="","",""&amp;CHOOSE(Engine!$B$8,INDEX('2027'!$A:$Z,$B$10+2+10,15),INDEX('2028'!$A:$Z,$B$10+2+10,15),INDEX('2029'!$A:$Z,$B$10+2+10,15),INDEX('2030'!$A:$Z,$B$10+2+10,15)))</f>
        <v/>
      </c>
      <c r="P56">
        <f>IF($B56="","",""&amp;CHOOSE(Engine!$B$8,INDEX('2027'!$A:$Z,$B$10+2+10,16),INDEX('2028'!$A:$Z,$B$10+2+10,16),INDEX('2029'!$A:$Z,$B$10+2+10,16),INDEX('2030'!$A:$Z,$B$10+2+10,16)))</f>
        <v/>
      </c>
      <c r="Q56">
        <f>IF($B56="","",""&amp;CHOOSE(Engine!$B$8,INDEX('2027'!$A:$Z,$B$10+2+10,17),INDEX('2028'!$A:$Z,$B$10+2+10,17),INDEX('2029'!$A:$Z,$B$10+2+10,17),INDEX('2030'!$A:$Z,$B$10+2+10,17)))</f>
        <v/>
      </c>
      <c r="R56">
        <f>IF($B56="","",""&amp;CHOOSE(Engine!$B$8,INDEX('2027'!$A:$Z,$B$10+2+10,18),INDEX('2028'!$A:$Z,$B$10+2+10,18),INDEX('2029'!$A:$Z,$B$10+2+10,18),INDEX('2030'!$A:$Z,$B$10+2+10,18)))</f>
        <v/>
      </c>
      <c r="S56">
        <f>IF($B56="","",""&amp;CHOOSE(Engine!$B$8,INDEX('2027'!$A:$Z,$B$10+2+10,19),INDEX('2028'!$A:$Z,$B$10+2+10,19),INDEX('2029'!$A:$Z,$B$10+2+10,19),INDEX('2030'!$A:$Z,$B$10+2+10,19)))</f>
        <v/>
      </c>
      <c r="T56">
        <f>IF($B56="","",""&amp;CHOOSE(Engine!$B$8,INDEX('2027'!$A:$Z,$B$10+2+10,20),INDEX('2028'!$A:$Z,$B$10+2+10,20),INDEX('2029'!$A:$Z,$B$10+2+10,20),INDEX('2030'!$A:$Z,$B$10+2+10,20)))</f>
        <v/>
      </c>
      <c r="U56">
        <f>IF($B56="","",""&amp;CHOOSE(Engine!$B$8,INDEX('2027'!$A:$Z,$B$10+2+10,21),INDEX('2028'!$A:$Z,$B$10+2+10,21),INDEX('2029'!$A:$Z,$B$10+2+10,21),INDEX('2030'!$A:$Z,$B$10+2+10,21)))</f>
        <v/>
      </c>
      <c r="V56">
        <f>IF($B56="","",""&amp;CHOOSE(Engine!$B$8,INDEX('2027'!$A:$Z,$B$10+2+10,22),INDEX('2028'!$A:$Z,$B$10+2+10,22),INDEX('2029'!$A:$Z,$B$10+2+10,22),INDEX('2030'!$A:$Z,$B$10+2+10,22)))</f>
        <v/>
      </c>
      <c r="W56">
        <f>IF($B56="","",""&amp;CHOOSE(Engine!$B$8,INDEX('2027'!$A:$Z,$B$10+2+10,23),INDEX('2028'!$A:$Z,$B$10+2+10,23),INDEX('2029'!$A:$Z,$B$10+2+10,23),INDEX('2030'!$A:$Z,$B$10+2+10,23)))</f>
        <v/>
      </c>
      <c r="X56">
        <f>IF($B56="","",""&amp;CHOOSE(Engine!$B$8,INDEX('2027'!$A:$Z,$B$10+2+10,24),INDEX('2028'!$A:$Z,$B$10+2+10,24),INDEX('2029'!$A:$Z,$B$10+2+10,24),INDEX('2030'!$A:$Z,$B$10+2+10,24)))</f>
        <v/>
      </c>
      <c r="Y56">
        <f>IF($B56="","",""&amp;CHOOSE(Engine!$B$8,INDEX('2027'!$A:$Z,$B$10+2+10,25),INDEX('2028'!$A:$Z,$B$10+2+10,25),INDEX('2029'!$A:$Z,$B$10+2+10,25),INDEX('2030'!$A:$Z,$B$10+2+10,25)))</f>
        <v/>
      </c>
      <c r="Z56">
        <f>IF($B56="","",""&amp;CHOOSE(Engine!$B$8,INDEX('2027'!$A:$Z,$B$10+2+10,26),INDEX('2028'!$A:$Z,$B$10+2+10,26),INDEX('2029'!$A:$Z,$B$10+2+10,26),INDEX('2030'!$A:$Z,$B$10+2+10,26)))</f>
        <v/>
      </c>
      <c r="AB56">
        <f>IF($B56="","",N(Setup!$L$15))</f>
        <v/>
      </c>
      <c r="AC56">
        <f>IF($B56="","",IF(Setup!$M$15="Y",1,0))</f>
        <v/>
      </c>
    </row>
    <row r="57">
      <c r="A57" t="n">
        <v>11</v>
      </c>
      <c r="B57">
        <f>IF(Setup!$K$16="","",Setup!$K$16)</f>
        <v/>
      </c>
      <c r="C57">
        <f>IF($B57="","",""&amp;CHOOSE(Engine!$B$8,INDEX('2027'!$A:$Z,$B$10+2+11,3),INDEX('2028'!$A:$Z,$B$10+2+11,3),INDEX('2029'!$A:$Z,$B$10+2+11,3),INDEX('2030'!$A:$Z,$B$10+2+11,3)))</f>
        <v/>
      </c>
      <c r="D57">
        <f>IF($B57="","",""&amp;CHOOSE(Engine!$B$8,INDEX('2027'!$A:$Z,$B$10+2+11,4),INDEX('2028'!$A:$Z,$B$10+2+11,4),INDEX('2029'!$A:$Z,$B$10+2+11,4),INDEX('2030'!$A:$Z,$B$10+2+11,4)))</f>
        <v/>
      </c>
      <c r="E57">
        <f>IF($B57="","",""&amp;CHOOSE(Engine!$B$8,INDEX('2027'!$A:$Z,$B$10+2+11,5),INDEX('2028'!$A:$Z,$B$10+2+11,5),INDEX('2029'!$A:$Z,$B$10+2+11,5),INDEX('2030'!$A:$Z,$B$10+2+11,5)))</f>
        <v/>
      </c>
      <c r="F57">
        <f>IF($B57="","",""&amp;CHOOSE(Engine!$B$8,INDEX('2027'!$A:$Z,$B$10+2+11,6),INDEX('2028'!$A:$Z,$B$10+2+11,6),INDEX('2029'!$A:$Z,$B$10+2+11,6),INDEX('2030'!$A:$Z,$B$10+2+11,6)))</f>
        <v/>
      </c>
      <c r="G57">
        <f>IF($B57="","",""&amp;CHOOSE(Engine!$B$8,INDEX('2027'!$A:$Z,$B$10+2+11,7),INDEX('2028'!$A:$Z,$B$10+2+11,7),INDEX('2029'!$A:$Z,$B$10+2+11,7),INDEX('2030'!$A:$Z,$B$10+2+11,7)))</f>
        <v/>
      </c>
      <c r="H57">
        <f>IF($B57="","",""&amp;CHOOSE(Engine!$B$8,INDEX('2027'!$A:$Z,$B$10+2+11,8),INDEX('2028'!$A:$Z,$B$10+2+11,8),INDEX('2029'!$A:$Z,$B$10+2+11,8),INDEX('2030'!$A:$Z,$B$10+2+11,8)))</f>
        <v/>
      </c>
      <c r="I57">
        <f>IF($B57="","",""&amp;CHOOSE(Engine!$B$8,INDEX('2027'!$A:$Z,$B$10+2+11,9),INDEX('2028'!$A:$Z,$B$10+2+11,9),INDEX('2029'!$A:$Z,$B$10+2+11,9),INDEX('2030'!$A:$Z,$B$10+2+11,9)))</f>
        <v/>
      </c>
      <c r="J57">
        <f>IF($B57="","",""&amp;CHOOSE(Engine!$B$8,INDEX('2027'!$A:$Z,$B$10+2+11,10),INDEX('2028'!$A:$Z,$B$10+2+11,10),INDEX('2029'!$A:$Z,$B$10+2+11,10),INDEX('2030'!$A:$Z,$B$10+2+11,10)))</f>
        <v/>
      </c>
      <c r="K57">
        <f>IF($B57="","",""&amp;CHOOSE(Engine!$B$8,INDEX('2027'!$A:$Z,$B$10+2+11,11),INDEX('2028'!$A:$Z,$B$10+2+11,11),INDEX('2029'!$A:$Z,$B$10+2+11,11),INDEX('2030'!$A:$Z,$B$10+2+11,11)))</f>
        <v/>
      </c>
      <c r="L57">
        <f>IF($B57="","",""&amp;CHOOSE(Engine!$B$8,INDEX('2027'!$A:$Z,$B$10+2+11,12),INDEX('2028'!$A:$Z,$B$10+2+11,12),INDEX('2029'!$A:$Z,$B$10+2+11,12),INDEX('2030'!$A:$Z,$B$10+2+11,12)))</f>
        <v/>
      </c>
      <c r="M57">
        <f>IF($B57="","",""&amp;CHOOSE(Engine!$B$8,INDEX('2027'!$A:$Z,$B$10+2+11,13),INDEX('2028'!$A:$Z,$B$10+2+11,13),INDEX('2029'!$A:$Z,$B$10+2+11,13),INDEX('2030'!$A:$Z,$B$10+2+11,13)))</f>
        <v/>
      </c>
      <c r="N57">
        <f>IF($B57="","",""&amp;CHOOSE(Engine!$B$8,INDEX('2027'!$A:$Z,$B$10+2+11,14),INDEX('2028'!$A:$Z,$B$10+2+11,14),INDEX('2029'!$A:$Z,$B$10+2+11,14),INDEX('2030'!$A:$Z,$B$10+2+11,14)))</f>
        <v/>
      </c>
      <c r="O57">
        <f>IF($B57="","",""&amp;CHOOSE(Engine!$B$8,INDEX('2027'!$A:$Z,$B$10+2+11,15),INDEX('2028'!$A:$Z,$B$10+2+11,15),INDEX('2029'!$A:$Z,$B$10+2+11,15),INDEX('2030'!$A:$Z,$B$10+2+11,15)))</f>
        <v/>
      </c>
      <c r="P57">
        <f>IF($B57="","",""&amp;CHOOSE(Engine!$B$8,INDEX('2027'!$A:$Z,$B$10+2+11,16),INDEX('2028'!$A:$Z,$B$10+2+11,16),INDEX('2029'!$A:$Z,$B$10+2+11,16),INDEX('2030'!$A:$Z,$B$10+2+11,16)))</f>
        <v/>
      </c>
      <c r="Q57">
        <f>IF($B57="","",""&amp;CHOOSE(Engine!$B$8,INDEX('2027'!$A:$Z,$B$10+2+11,17),INDEX('2028'!$A:$Z,$B$10+2+11,17),INDEX('2029'!$A:$Z,$B$10+2+11,17),INDEX('2030'!$A:$Z,$B$10+2+11,17)))</f>
        <v/>
      </c>
      <c r="R57">
        <f>IF($B57="","",""&amp;CHOOSE(Engine!$B$8,INDEX('2027'!$A:$Z,$B$10+2+11,18),INDEX('2028'!$A:$Z,$B$10+2+11,18),INDEX('2029'!$A:$Z,$B$10+2+11,18),INDEX('2030'!$A:$Z,$B$10+2+11,18)))</f>
        <v/>
      </c>
      <c r="S57">
        <f>IF($B57="","",""&amp;CHOOSE(Engine!$B$8,INDEX('2027'!$A:$Z,$B$10+2+11,19),INDEX('2028'!$A:$Z,$B$10+2+11,19),INDEX('2029'!$A:$Z,$B$10+2+11,19),INDEX('2030'!$A:$Z,$B$10+2+11,19)))</f>
        <v/>
      </c>
      <c r="T57">
        <f>IF($B57="","",""&amp;CHOOSE(Engine!$B$8,INDEX('2027'!$A:$Z,$B$10+2+11,20),INDEX('2028'!$A:$Z,$B$10+2+11,20),INDEX('2029'!$A:$Z,$B$10+2+11,20),INDEX('2030'!$A:$Z,$B$10+2+11,20)))</f>
        <v/>
      </c>
      <c r="U57">
        <f>IF($B57="","",""&amp;CHOOSE(Engine!$B$8,INDEX('2027'!$A:$Z,$B$10+2+11,21),INDEX('2028'!$A:$Z,$B$10+2+11,21),INDEX('2029'!$A:$Z,$B$10+2+11,21),INDEX('2030'!$A:$Z,$B$10+2+11,21)))</f>
        <v/>
      </c>
      <c r="V57">
        <f>IF($B57="","",""&amp;CHOOSE(Engine!$B$8,INDEX('2027'!$A:$Z,$B$10+2+11,22),INDEX('2028'!$A:$Z,$B$10+2+11,22),INDEX('2029'!$A:$Z,$B$10+2+11,22),INDEX('2030'!$A:$Z,$B$10+2+11,22)))</f>
        <v/>
      </c>
      <c r="W57">
        <f>IF($B57="","",""&amp;CHOOSE(Engine!$B$8,INDEX('2027'!$A:$Z,$B$10+2+11,23),INDEX('2028'!$A:$Z,$B$10+2+11,23),INDEX('2029'!$A:$Z,$B$10+2+11,23),INDEX('2030'!$A:$Z,$B$10+2+11,23)))</f>
        <v/>
      </c>
      <c r="X57">
        <f>IF($B57="","",""&amp;CHOOSE(Engine!$B$8,INDEX('2027'!$A:$Z,$B$10+2+11,24),INDEX('2028'!$A:$Z,$B$10+2+11,24),INDEX('2029'!$A:$Z,$B$10+2+11,24),INDEX('2030'!$A:$Z,$B$10+2+11,24)))</f>
        <v/>
      </c>
      <c r="Y57">
        <f>IF($B57="","",""&amp;CHOOSE(Engine!$B$8,INDEX('2027'!$A:$Z,$B$10+2+11,25),INDEX('2028'!$A:$Z,$B$10+2+11,25),INDEX('2029'!$A:$Z,$B$10+2+11,25),INDEX('2030'!$A:$Z,$B$10+2+11,25)))</f>
        <v/>
      </c>
      <c r="Z57">
        <f>IF($B57="","",""&amp;CHOOSE(Engine!$B$8,INDEX('2027'!$A:$Z,$B$10+2+11,26),INDEX('2028'!$A:$Z,$B$10+2+11,26),INDEX('2029'!$A:$Z,$B$10+2+11,26),INDEX('2030'!$A:$Z,$B$10+2+11,26)))</f>
        <v/>
      </c>
      <c r="AB57">
        <f>IF($B57="","",N(Setup!$L$16))</f>
        <v/>
      </c>
      <c r="AC57">
        <f>IF($B57="","",IF(Setup!$M$16="Y",1,0))</f>
        <v/>
      </c>
    </row>
    <row r="58">
      <c r="A58" t="n">
        <v>12</v>
      </c>
      <c r="B58">
        <f>IF(Setup!$K$17="","",Setup!$K$17)</f>
        <v/>
      </c>
      <c r="C58">
        <f>IF($B58="","",""&amp;CHOOSE(Engine!$B$8,INDEX('2027'!$A:$Z,$B$10+2+12,3),INDEX('2028'!$A:$Z,$B$10+2+12,3),INDEX('2029'!$A:$Z,$B$10+2+12,3),INDEX('2030'!$A:$Z,$B$10+2+12,3)))</f>
        <v/>
      </c>
      <c r="D58">
        <f>IF($B58="","",""&amp;CHOOSE(Engine!$B$8,INDEX('2027'!$A:$Z,$B$10+2+12,4),INDEX('2028'!$A:$Z,$B$10+2+12,4),INDEX('2029'!$A:$Z,$B$10+2+12,4),INDEX('2030'!$A:$Z,$B$10+2+12,4)))</f>
        <v/>
      </c>
      <c r="E58">
        <f>IF($B58="","",""&amp;CHOOSE(Engine!$B$8,INDEX('2027'!$A:$Z,$B$10+2+12,5),INDEX('2028'!$A:$Z,$B$10+2+12,5),INDEX('2029'!$A:$Z,$B$10+2+12,5),INDEX('2030'!$A:$Z,$B$10+2+12,5)))</f>
        <v/>
      </c>
      <c r="F58">
        <f>IF($B58="","",""&amp;CHOOSE(Engine!$B$8,INDEX('2027'!$A:$Z,$B$10+2+12,6),INDEX('2028'!$A:$Z,$B$10+2+12,6),INDEX('2029'!$A:$Z,$B$10+2+12,6),INDEX('2030'!$A:$Z,$B$10+2+12,6)))</f>
        <v/>
      </c>
      <c r="G58">
        <f>IF($B58="","",""&amp;CHOOSE(Engine!$B$8,INDEX('2027'!$A:$Z,$B$10+2+12,7),INDEX('2028'!$A:$Z,$B$10+2+12,7),INDEX('2029'!$A:$Z,$B$10+2+12,7),INDEX('2030'!$A:$Z,$B$10+2+12,7)))</f>
        <v/>
      </c>
      <c r="H58">
        <f>IF($B58="","",""&amp;CHOOSE(Engine!$B$8,INDEX('2027'!$A:$Z,$B$10+2+12,8),INDEX('2028'!$A:$Z,$B$10+2+12,8),INDEX('2029'!$A:$Z,$B$10+2+12,8),INDEX('2030'!$A:$Z,$B$10+2+12,8)))</f>
        <v/>
      </c>
      <c r="I58">
        <f>IF($B58="","",""&amp;CHOOSE(Engine!$B$8,INDEX('2027'!$A:$Z,$B$10+2+12,9),INDEX('2028'!$A:$Z,$B$10+2+12,9),INDEX('2029'!$A:$Z,$B$10+2+12,9),INDEX('2030'!$A:$Z,$B$10+2+12,9)))</f>
        <v/>
      </c>
      <c r="J58">
        <f>IF($B58="","",""&amp;CHOOSE(Engine!$B$8,INDEX('2027'!$A:$Z,$B$10+2+12,10),INDEX('2028'!$A:$Z,$B$10+2+12,10),INDEX('2029'!$A:$Z,$B$10+2+12,10),INDEX('2030'!$A:$Z,$B$10+2+12,10)))</f>
        <v/>
      </c>
      <c r="K58">
        <f>IF($B58="","",""&amp;CHOOSE(Engine!$B$8,INDEX('2027'!$A:$Z,$B$10+2+12,11),INDEX('2028'!$A:$Z,$B$10+2+12,11),INDEX('2029'!$A:$Z,$B$10+2+12,11),INDEX('2030'!$A:$Z,$B$10+2+12,11)))</f>
        <v/>
      </c>
      <c r="L58">
        <f>IF($B58="","",""&amp;CHOOSE(Engine!$B$8,INDEX('2027'!$A:$Z,$B$10+2+12,12),INDEX('2028'!$A:$Z,$B$10+2+12,12),INDEX('2029'!$A:$Z,$B$10+2+12,12),INDEX('2030'!$A:$Z,$B$10+2+12,12)))</f>
        <v/>
      </c>
      <c r="M58">
        <f>IF($B58="","",""&amp;CHOOSE(Engine!$B$8,INDEX('2027'!$A:$Z,$B$10+2+12,13),INDEX('2028'!$A:$Z,$B$10+2+12,13),INDEX('2029'!$A:$Z,$B$10+2+12,13),INDEX('2030'!$A:$Z,$B$10+2+12,13)))</f>
        <v/>
      </c>
      <c r="N58">
        <f>IF($B58="","",""&amp;CHOOSE(Engine!$B$8,INDEX('2027'!$A:$Z,$B$10+2+12,14),INDEX('2028'!$A:$Z,$B$10+2+12,14),INDEX('2029'!$A:$Z,$B$10+2+12,14),INDEX('2030'!$A:$Z,$B$10+2+12,14)))</f>
        <v/>
      </c>
      <c r="O58">
        <f>IF($B58="","",""&amp;CHOOSE(Engine!$B$8,INDEX('2027'!$A:$Z,$B$10+2+12,15),INDEX('2028'!$A:$Z,$B$10+2+12,15),INDEX('2029'!$A:$Z,$B$10+2+12,15),INDEX('2030'!$A:$Z,$B$10+2+12,15)))</f>
        <v/>
      </c>
      <c r="P58">
        <f>IF($B58="","",""&amp;CHOOSE(Engine!$B$8,INDEX('2027'!$A:$Z,$B$10+2+12,16),INDEX('2028'!$A:$Z,$B$10+2+12,16),INDEX('2029'!$A:$Z,$B$10+2+12,16),INDEX('2030'!$A:$Z,$B$10+2+12,16)))</f>
        <v/>
      </c>
      <c r="Q58">
        <f>IF($B58="","",""&amp;CHOOSE(Engine!$B$8,INDEX('2027'!$A:$Z,$B$10+2+12,17),INDEX('2028'!$A:$Z,$B$10+2+12,17),INDEX('2029'!$A:$Z,$B$10+2+12,17),INDEX('2030'!$A:$Z,$B$10+2+12,17)))</f>
        <v/>
      </c>
      <c r="R58">
        <f>IF($B58="","",""&amp;CHOOSE(Engine!$B$8,INDEX('2027'!$A:$Z,$B$10+2+12,18),INDEX('2028'!$A:$Z,$B$10+2+12,18),INDEX('2029'!$A:$Z,$B$10+2+12,18),INDEX('2030'!$A:$Z,$B$10+2+12,18)))</f>
        <v/>
      </c>
      <c r="S58">
        <f>IF($B58="","",""&amp;CHOOSE(Engine!$B$8,INDEX('2027'!$A:$Z,$B$10+2+12,19),INDEX('2028'!$A:$Z,$B$10+2+12,19),INDEX('2029'!$A:$Z,$B$10+2+12,19),INDEX('2030'!$A:$Z,$B$10+2+12,19)))</f>
        <v/>
      </c>
      <c r="T58">
        <f>IF($B58="","",""&amp;CHOOSE(Engine!$B$8,INDEX('2027'!$A:$Z,$B$10+2+12,20),INDEX('2028'!$A:$Z,$B$10+2+12,20),INDEX('2029'!$A:$Z,$B$10+2+12,20),INDEX('2030'!$A:$Z,$B$10+2+12,20)))</f>
        <v/>
      </c>
      <c r="U58">
        <f>IF($B58="","",""&amp;CHOOSE(Engine!$B$8,INDEX('2027'!$A:$Z,$B$10+2+12,21),INDEX('2028'!$A:$Z,$B$10+2+12,21),INDEX('2029'!$A:$Z,$B$10+2+12,21),INDEX('2030'!$A:$Z,$B$10+2+12,21)))</f>
        <v/>
      </c>
      <c r="V58">
        <f>IF($B58="","",""&amp;CHOOSE(Engine!$B$8,INDEX('2027'!$A:$Z,$B$10+2+12,22),INDEX('2028'!$A:$Z,$B$10+2+12,22),INDEX('2029'!$A:$Z,$B$10+2+12,22),INDEX('2030'!$A:$Z,$B$10+2+12,22)))</f>
        <v/>
      </c>
      <c r="W58">
        <f>IF($B58="","",""&amp;CHOOSE(Engine!$B$8,INDEX('2027'!$A:$Z,$B$10+2+12,23),INDEX('2028'!$A:$Z,$B$10+2+12,23),INDEX('2029'!$A:$Z,$B$10+2+12,23),INDEX('2030'!$A:$Z,$B$10+2+12,23)))</f>
        <v/>
      </c>
      <c r="X58">
        <f>IF($B58="","",""&amp;CHOOSE(Engine!$B$8,INDEX('2027'!$A:$Z,$B$10+2+12,24),INDEX('2028'!$A:$Z,$B$10+2+12,24),INDEX('2029'!$A:$Z,$B$10+2+12,24),INDEX('2030'!$A:$Z,$B$10+2+12,24)))</f>
        <v/>
      </c>
      <c r="Y58">
        <f>IF($B58="","",""&amp;CHOOSE(Engine!$B$8,INDEX('2027'!$A:$Z,$B$10+2+12,25),INDEX('2028'!$A:$Z,$B$10+2+12,25),INDEX('2029'!$A:$Z,$B$10+2+12,25),INDEX('2030'!$A:$Z,$B$10+2+12,25)))</f>
        <v/>
      </c>
      <c r="Z58">
        <f>IF($B58="","",""&amp;CHOOSE(Engine!$B$8,INDEX('2027'!$A:$Z,$B$10+2+12,26),INDEX('2028'!$A:$Z,$B$10+2+12,26),INDEX('2029'!$A:$Z,$B$10+2+12,26),INDEX('2030'!$A:$Z,$B$10+2+12,26)))</f>
        <v/>
      </c>
      <c r="AB58">
        <f>IF($B58="","",N(Setup!$L$17))</f>
        <v/>
      </c>
      <c r="AC58">
        <f>IF($B58="","",IF(Setup!$M$17="Y",1,0))</f>
        <v/>
      </c>
    </row>
    <row r="59">
      <c r="A59" t="n">
        <v>13</v>
      </c>
      <c r="B59">
        <f>IF(Setup!$K$18="","",Setup!$K$18)</f>
        <v/>
      </c>
      <c r="C59">
        <f>IF($B59="","",""&amp;CHOOSE(Engine!$B$8,INDEX('2027'!$A:$Z,$B$10+2+13,3),INDEX('2028'!$A:$Z,$B$10+2+13,3),INDEX('2029'!$A:$Z,$B$10+2+13,3),INDEX('2030'!$A:$Z,$B$10+2+13,3)))</f>
        <v/>
      </c>
      <c r="D59">
        <f>IF($B59="","",""&amp;CHOOSE(Engine!$B$8,INDEX('2027'!$A:$Z,$B$10+2+13,4),INDEX('2028'!$A:$Z,$B$10+2+13,4),INDEX('2029'!$A:$Z,$B$10+2+13,4),INDEX('2030'!$A:$Z,$B$10+2+13,4)))</f>
        <v/>
      </c>
      <c r="E59">
        <f>IF($B59="","",""&amp;CHOOSE(Engine!$B$8,INDEX('2027'!$A:$Z,$B$10+2+13,5),INDEX('2028'!$A:$Z,$B$10+2+13,5),INDEX('2029'!$A:$Z,$B$10+2+13,5),INDEX('2030'!$A:$Z,$B$10+2+13,5)))</f>
        <v/>
      </c>
      <c r="F59">
        <f>IF($B59="","",""&amp;CHOOSE(Engine!$B$8,INDEX('2027'!$A:$Z,$B$10+2+13,6),INDEX('2028'!$A:$Z,$B$10+2+13,6),INDEX('2029'!$A:$Z,$B$10+2+13,6),INDEX('2030'!$A:$Z,$B$10+2+13,6)))</f>
        <v/>
      </c>
      <c r="G59">
        <f>IF($B59="","",""&amp;CHOOSE(Engine!$B$8,INDEX('2027'!$A:$Z,$B$10+2+13,7),INDEX('2028'!$A:$Z,$B$10+2+13,7),INDEX('2029'!$A:$Z,$B$10+2+13,7),INDEX('2030'!$A:$Z,$B$10+2+13,7)))</f>
        <v/>
      </c>
      <c r="H59">
        <f>IF($B59="","",""&amp;CHOOSE(Engine!$B$8,INDEX('2027'!$A:$Z,$B$10+2+13,8),INDEX('2028'!$A:$Z,$B$10+2+13,8),INDEX('2029'!$A:$Z,$B$10+2+13,8),INDEX('2030'!$A:$Z,$B$10+2+13,8)))</f>
        <v/>
      </c>
      <c r="I59">
        <f>IF($B59="","",""&amp;CHOOSE(Engine!$B$8,INDEX('2027'!$A:$Z,$B$10+2+13,9),INDEX('2028'!$A:$Z,$B$10+2+13,9),INDEX('2029'!$A:$Z,$B$10+2+13,9),INDEX('2030'!$A:$Z,$B$10+2+13,9)))</f>
        <v/>
      </c>
      <c r="J59">
        <f>IF($B59="","",""&amp;CHOOSE(Engine!$B$8,INDEX('2027'!$A:$Z,$B$10+2+13,10),INDEX('2028'!$A:$Z,$B$10+2+13,10),INDEX('2029'!$A:$Z,$B$10+2+13,10),INDEX('2030'!$A:$Z,$B$10+2+13,10)))</f>
        <v/>
      </c>
      <c r="K59">
        <f>IF($B59="","",""&amp;CHOOSE(Engine!$B$8,INDEX('2027'!$A:$Z,$B$10+2+13,11),INDEX('2028'!$A:$Z,$B$10+2+13,11),INDEX('2029'!$A:$Z,$B$10+2+13,11),INDEX('2030'!$A:$Z,$B$10+2+13,11)))</f>
        <v/>
      </c>
      <c r="L59">
        <f>IF($B59="","",""&amp;CHOOSE(Engine!$B$8,INDEX('2027'!$A:$Z,$B$10+2+13,12),INDEX('2028'!$A:$Z,$B$10+2+13,12),INDEX('2029'!$A:$Z,$B$10+2+13,12),INDEX('2030'!$A:$Z,$B$10+2+13,12)))</f>
        <v/>
      </c>
      <c r="M59">
        <f>IF($B59="","",""&amp;CHOOSE(Engine!$B$8,INDEX('2027'!$A:$Z,$B$10+2+13,13),INDEX('2028'!$A:$Z,$B$10+2+13,13),INDEX('2029'!$A:$Z,$B$10+2+13,13),INDEX('2030'!$A:$Z,$B$10+2+13,13)))</f>
        <v/>
      </c>
      <c r="N59">
        <f>IF($B59="","",""&amp;CHOOSE(Engine!$B$8,INDEX('2027'!$A:$Z,$B$10+2+13,14),INDEX('2028'!$A:$Z,$B$10+2+13,14),INDEX('2029'!$A:$Z,$B$10+2+13,14),INDEX('2030'!$A:$Z,$B$10+2+13,14)))</f>
        <v/>
      </c>
      <c r="O59">
        <f>IF($B59="","",""&amp;CHOOSE(Engine!$B$8,INDEX('2027'!$A:$Z,$B$10+2+13,15),INDEX('2028'!$A:$Z,$B$10+2+13,15),INDEX('2029'!$A:$Z,$B$10+2+13,15),INDEX('2030'!$A:$Z,$B$10+2+13,15)))</f>
        <v/>
      </c>
      <c r="P59">
        <f>IF($B59="","",""&amp;CHOOSE(Engine!$B$8,INDEX('2027'!$A:$Z,$B$10+2+13,16),INDEX('2028'!$A:$Z,$B$10+2+13,16),INDEX('2029'!$A:$Z,$B$10+2+13,16),INDEX('2030'!$A:$Z,$B$10+2+13,16)))</f>
        <v/>
      </c>
      <c r="Q59">
        <f>IF($B59="","",""&amp;CHOOSE(Engine!$B$8,INDEX('2027'!$A:$Z,$B$10+2+13,17),INDEX('2028'!$A:$Z,$B$10+2+13,17),INDEX('2029'!$A:$Z,$B$10+2+13,17),INDEX('2030'!$A:$Z,$B$10+2+13,17)))</f>
        <v/>
      </c>
      <c r="R59">
        <f>IF($B59="","",""&amp;CHOOSE(Engine!$B$8,INDEX('2027'!$A:$Z,$B$10+2+13,18),INDEX('2028'!$A:$Z,$B$10+2+13,18),INDEX('2029'!$A:$Z,$B$10+2+13,18),INDEX('2030'!$A:$Z,$B$10+2+13,18)))</f>
        <v/>
      </c>
      <c r="S59">
        <f>IF($B59="","",""&amp;CHOOSE(Engine!$B$8,INDEX('2027'!$A:$Z,$B$10+2+13,19),INDEX('2028'!$A:$Z,$B$10+2+13,19),INDEX('2029'!$A:$Z,$B$10+2+13,19),INDEX('2030'!$A:$Z,$B$10+2+13,19)))</f>
        <v/>
      </c>
      <c r="T59">
        <f>IF($B59="","",""&amp;CHOOSE(Engine!$B$8,INDEX('2027'!$A:$Z,$B$10+2+13,20),INDEX('2028'!$A:$Z,$B$10+2+13,20),INDEX('2029'!$A:$Z,$B$10+2+13,20),INDEX('2030'!$A:$Z,$B$10+2+13,20)))</f>
        <v/>
      </c>
      <c r="U59">
        <f>IF($B59="","",""&amp;CHOOSE(Engine!$B$8,INDEX('2027'!$A:$Z,$B$10+2+13,21),INDEX('2028'!$A:$Z,$B$10+2+13,21),INDEX('2029'!$A:$Z,$B$10+2+13,21),INDEX('2030'!$A:$Z,$B$10+2+13,21)))</f>
        <v/>
      </c>
      <c r="V59">
        <f>IF($B59="","",""&amp;CHOOSE(Engine!$B$8,INDEX('2027'!$A:$Z,$B$10+2+13,22),INDEX('2028'!$A:$Z,$B$10+2+13,22),INDEX('2029'!$A:$Z,$B$10+2+13,22),INDEX('2030'!$A:$Z,$B$10+2+13,22)))</f>
        <v/>
      </c>
      <c r="W59">
        <f>IF($B59="","",""&amp;CHOOSE(Engine!$B$8,INDEX('2027'!$A:$Z,$B$10+2+13,23),INDEX('2028'!$A:$Z,$B$10+2+13,23),INDEX('2029'!$A:$Z,$B$10+2+13,23),INDEX('2030'!$A:$Z,$B$10+2+13,23)))</f>
        <v/>
      </c>
      <c r="X59">
        <f>IF($B59="","",""&amp;CHOOSE(Engine!$B$8,INDEX('2027'!$A:$Z,$B$10+2+13,24),INDEX('2028'!$A:$Z,$B$10+2+13,24),INDEX('2029'!$A:$Z,$B$10+2+13,24),INDEX('2030'!$A:$Z,$B$10+2+13,24)))</f>
        <v/>
      </c>
      <c r="Y59">
        <f>IF($B59="","",""&amp;CHOOSE(Engine!$B$8,INDEX('2027'!$A:$Z,$B$10+2+13,25),INDEX('2028'!$A:$Z,$B$10+2+13,25),INDEX('2029'!$A:$Z,$B$10+2+13,25),INDEX('2030'!$A:$Z,$B$10+2+13,25)))</f>
        <v/>
      </c>
      <c r="Z59">
        <f>IF($B59="","",""&amp;CHOOSE(Engine!$B$8,INDEX('2027'!$A:$Z,$B$10+2+13,26),INDEX('2028'!$A:$Z,$B$10+2+13,26),INDEX('2029'!$A:$Z,$B$10+2+13,26),INDEX('2030'!$A:$Z,$B$10+2+13,26)))</f>
        <v/>
      </c>
      <c r="AB59">
        <f>IF($B59="","",N(Setup!$L$18))</f>
        <v/>
      </c>
      <c r="AC59">
        <f>IF($B59="","",IF(Setup!$M$18="Y",1,0))</f>
        <v/>
      </c>
    </row>
    <row r="60">
      <c r="A60" t="n">
        <v>14</v>
      </c>
      <c r="B60">
        <f>IF(Setup!$K$19="","",Setup!$K$19)</f>
        <v/>
      </c>
      <c r="C60">
        <f>IF($B60="","",""&amp;CHOOSE(Engine!$B$8,INDEX('2027'!$A:$Z,$B$10+2+14,3),INDEX('2028'!$A:$Z,$B$10+2+14,3),INDEX('2029'!$A:$Z,$B$10+2+14,3),INDEX('2030'!$A:$Z,$B$10+2+14,3)))</f>
        <v/>
      </c>
      <c r="D60">
        <f>IF($B60="","",""&amp;CHOOSE(Engine!$B$8,INDEX('2027'!$A:$Z,$B$10+2+14,4),INDEX('2028'!$A:$Z,$B$10+2+14,4),INDEX('2029'!$A:$Z,$B$10+2+14,4),INDEX('2030'!$A:$Z,$B$10+2+14,4)))</f>
        <v/>
      </c>
      <c r="E60">
        <f>IF($B60="","",""&amp;CHOOSE(Engine!$B$8,INDEX('2027'!$A:$Z,$B$10+2+14,5),INDEX('2028'!$A:$Z,$B$10+2+14,5),INDEX('2029'!$A:$Z,$B$10+2+14,5),INDEX('2030'!$A:$Z,$B$10+2+14,5)))</f>
        <v/>
      </c>
      <c r="F60">
        <f>IF($B60="","",""&amp;CHOOSE(Engine!$B$8,INDEX('2027'!$A:$Z,$B$10+2+14,6),INDEX('2028'!$A:$Z,$B$10+2+14,6),INDEX('2029'!$A:$Z,$B$10+2+14,6),INDEX('2030'!$A:$Z,$B$10+2+14,6)))</f>
        <v/>
      </c>
      <c r="G60">
        <f>IF($B60="","",""&amp;CHOOSE(Engine!$B$8,INDEX('2027'!$A:$Z,$B$10+2+14,7),INDEX('2028'!$A:$Z,$B$10+2+14,7),INDEX('2029'!$A:$Z,$B$10+2+14,7),INDEX('2030'!$A:$Z,$B$10+2+14,7)))</f>
        <v/>
      </c>
      <c r="H60">
        <f>IF($B60="","",""&amp;CHOOSE(Engine!$B$8,INDEX('2027'!$A:$Z,$B$10+2+14,8),INDEX('2028'!$A:$Z,$B$10+2+14,8),INDEX('2029'!$A:$Z,$B$10+2+14,8),INDEX('2030'!$A:$Z,$B$10+2+14,8)))</f>
        <v/>
      </c>
      <c r="I60">
        <f>IF($B60="","",""&amp;CHOOSE(Engine!$B$8,INDEX('2027'!$A:$Z,$B$10+2+14,9),INDEX('2028'!$A:$Z,$B$10+2+14,9),INDEX('2029'!$A:$Z,$B$10+2+14,9),INDEX('2030'!$A:$Z,$B$10+2+14,9)))</f>
        <v/>
      </c>
      <c r="J60">
        <f>IF($B60="","",""&amp;CHOOSE(Engine!$B$8,INDEX('2027'!$A:$Z,$B$10+2+14,10),INDEX('2028'!$A:$Z,$B$10+2+14,10),INDEX('2029'!$A:$Z,$B$10+2+14,10),INDEX('2030'!$A:$Z,$B$10+2+14,10)))</f>
        <v/>
      </c>
      <c r="K60">
        <f>IF($B60="","",""&amp;CHOOSE(Engine!$B$8,INDEX('2027'!$A:$Z,$B$10+2+14,11),INDEX('2028'!$A:$Z,$B$10+2+14,11),INDEX('2029'!$A:$Z,$B$10+2+14,11),INDEX('2030'!$A:$Z,$B$10+2+14,11)))</f>
        <v/>
      </c>
      <c r="L60">
        <f>IF($B60="","",""&amp;CHOOSE(Engine!$B$8,INDEX('2027'!$A:$Z,$B$10+2+14,12),INDEX('2028'!$A:$Z,$B$10+2+14,12),INDEX('2029'!$A:$Z,$B$10+2+14,12),INDEX('2030'!$A:$Z,$B$10+2+14,12)))</f>
        <v/>
      </c>
      <c r="M60">
        <f>IF($B60="","",""&amp;CHOOSE(Engine!$B$8,INDEX('2027'!$A:$Z,$B$10+2+14,13),INDEX('2028'!$A:$Z,$B$10+2+14,13),INDEX('2029'!$A:$Z,$B$10+2+14,13),INDEX('2030'!$A:$Z,$B$10+2+14,13)))</f>
        <v/>
      </c>
      <c r="N60">
        <f>IF($B60="","",""&amp;CHOOSE(Engine!$B$8,INDEX('2027'!$A:$Z,$B$10+2+14,14),INDEX('2028'!$A:$Z,$B$10+2+14,14),INDEX('2029'!$A:$Z,$B$10+2+14,14),INDEX('2030'!$A:$Z,$B$10+2+14,14)))</f>
        <v/>
      </c>
      <c r="O60">
        <f>IF($B60="","",""&amp;CHOOSE(Engine!$B$8,INDEX('2027'!$A:$Z,$B$10+2+14,15),INDEX('2028'!$A:$Z,$B$10+2+14,15),INDEX('2029'!$A:$Z,$B$10+2+14,15),INDEX('2030'!$A:$Z,$B$10+2+14,15)))</f>
        <v/>
      </c>
      <c r="P60">
        <f>IF($B60="","",""&amp;CHOOSE(Engine!$B$8,INDEX('2027'!$A:$Z,$B$10+2+14,16),INDEX('2028'!$A:$Z,$B$10+2+14,16),INDEX('2029'!$A:$Z,$B$10+2+14,16),INDEX('2030'!$A:$Z,$B$10+2+14,16)))</f>
        <v/>
      </c>
      <c r="Q60">
        <f>IF($B60="","",""&amp;CHOOSE(Engine!$B$8,INDEX('2027'!$A:$Z,$B$10+2+14,17),INDEX('2028'!$A:$Z,$B$10+2+14,17),INDEX('2029'!$A:$Z,$B$10+2+14,17),INDEX('2030'!$A:$Z,$B$10+2+14,17)))</f>
        <v/>
      </c>
      <c r="R60">
        <f>IF($B60="","",""&amp;CHOOSE(Engine!$B$8,INDEX('2027'!$A:$Z,$B$10+2+14,18),INDEX('2028'!$A:$Z,$B$10+2+14,18),INDEX('2029'!$A:$Z,$B$10+2+14,18),INDEX('2030'!$A:$Z,$B$10+2+14,18)))</f>
        <v/>
      </c>
      <c r="S60">
        <f>IF($B60="","",""&amp;CHOOSE(Engine!$B$8,INDEX('2027'!$A:$Z,$B$10+2+14,19),INDEX('2028'!$A:$Z,$B$10+2+14,19),INDEX('2029'!$A:$Z,$B$10+2+14,19),INDEX('2030'!$A:$Z,$B$10+2+14,19)))</f>
        <v/>
      </c>
      <c r="T60">
        <f>IF($B60="","",""&amp;CHOOSE(Engine!$B$8,INDEX('2027'!$A:$Z,$B$10+2+14,20),INDEX('2028'!$A:$Z,$B$10+2+14,20),INDEX('2029'!$A:$Z,$B$10+2+14,20),INDEX('2030'!$A:$Z,$B$10+2+14,20)))</f>
        <v/>
      </c>
      <c r="U60">
        <f>IF($B60="","",""&amp;CHOOSE(Engine!$B$8,INDEX('2027'!$A:$Z,$B$10+2+14,21),INDEX('2028'!$A:$Z,$B$10+2+14,21),INDEX('2029'!$A:$Z,$B$10+2+14,21),INDEX('2030'!$A:$Z,$B$10+2+14,21)))</f>
        <v/>
      </c>
      <c r="V60">
        <f>IF($B60="","",""&amp;CHOOSE(Engine!$B$8,INDEX('2027'!$A:$Z,$B$10+2+14,22),INDEX('2028'!$A:$Z,$B$10+2+14,22),INDEX('2029'!$A:$Z,$B$10+2+14,22),INDEX('2030'!$A:$Z,$B$10+2+14,22)))</f>
        <v/>
      </c>
      <c r="W60">
        <f>IF($B60="","",""&amp;CHOOSE(Engine!$B$8,INDEX('2027'!$A:$Z,$B$10+2+14,23),INDEX('2028'!$A:$Z,$B$10+2+14,23),INDEX('2029'!$A:$Z,$B$10+2+14,23),INDEX('2030'!$A:$Z,$B$10+2+14,23)))</f>
        <v/>
      </c>
      <c r="X60">
        <f>IF($B60="","",""&amp;CHOOSE(Engine!$B$8,INDEX('2027'!$A:$Z,$B$10+2+14,24),INDEX('2028'!$A:$Z,$B$10+2+14,24),INDEX('2029'!$A:$Z,$B$10+2+14,24),INDEX('2030'!$A:$Z,$B$10+2+14,24)))</f>
        <v/>
      </c>
      <c r="Y60">
        <f>IF($B60="","",""&amp;CHOOSE(Engine!$B$8,INDEX('2027'!$A:$Z,$B$10+2+14,25),INDEX('2028'!$A:$Z,$B$10+2+14,25),INDEX('2029'!$A:$Z,$B$10+2+14,25),INDEX('2030'!$A:$Z,$B$10+2+14,25)))</f>
        <v/>
      </c>
      <c r="Z60">
        <f>IF($B60="","",""&amp;CHOOSE(Engine!$B$8,INDEX('2027'!$A:$Z,$B$10+2+14,26),INDEX('2028'!$A:$Z,$B$10+2+14,26),INDEX('2029'!$A:$Z,$B$10+2+14,26),INDEX('2030'!$A:$Z,$B$10+2+14,26)))</f>
        <v/>
      </c>
      <c r="AB60">
        <f>IF($B60="","",N(Setup!$L$19))</f>
        <v/>
      </c>
      <c r="AC60">
        <f>IF($B60="","",IF(Setup!$M$19="Y",1,0))</f>
        <v/>
      </c>
    </row>
    <row r="61">
      <c r="A61" t="n">
        <v>15</v>
      </c>
      <c r="B61">
        <f>IF(Setup!$K$20="","",Setup!$K$20)</f>
        <v/>
      </c>
      <c r="C61">
        <f>IF($B61="","",""&amp;CHOOSE(Engine!$B$8,INDEX('2027'!$A:$Z,$B$10+2+15,3),INDEX('2028'!$A:$Z,$B$10+2+15,3),INDEX('2029'!$A:$Z,$B$10+2+15,3),INDEX('2030'!$A:$Z,$B$10+2+15,3)))</f>
        <v/>
      </c>
      <c r="D61">
        <f>IF($B61="","",""&amp;CHOOSE(Engine!$B$8,INDEX('2027'!$A:$Z,$B$10+2+15,4),INDEX('2028'!$A:$Z,$B$10+2+15,4),INDEX('2029'!$A:$Z,$B$10+2+15,4),INDEX('2030'!$A:$Z,$B$10+2+15,4)))</f>
        <v/>
      </c>
      <c r="E61">
        <f>IF($B61="","",""&amp;CHOOSE(Engine!$B$8,INDEX('2027'!$A:$Z,$B$10+2+15,5),INDEX('2028'!$A:$Z,$B$10+2+15,5),INDEX('2029'!$A:$Z,$B$10+2+15,5),INDEX('2030'!$A:$Z,$B$10+2+15,5)))</f>
        <v/>
      </c>
      <c r="F61">
        <f>IF($B61="","",""&amp;CHOOSE(Engine!$B$8,INDEX('2027'!$A:$Z,$B$10+2+15,6),INDEX('2028'!$A:$Z,$B$10+2+15,6),INDEX('2029'!$A:$Z,$B$10+2+15,6),INDEX('2030'!$A:$Z,$B$10+2+15,6)))</f>
        <v/>
      </c>
      <c r="G61">
        <f>IF($B61="","",""&amp;CHOOSE(Engine!$B$8,INDEX('2027'!$A:$Z,$B$10+2+15,7),INDEX('2028'!$A:$Z,$B$10+2+15,7),INDEX('2029'!$A:$Z,$B$10+2+15,7),INDEX('2030'!$A:$Z,$B$10+2+15,7)))</f>
        <v/>
      </c>
      <c r="H61">
        <f>IF($B61="","",""&amp;CHOOSE(Engine!$B$8,INDEX('2027'!$A:$Z,$B$10+2+15,8),INDEX('2028'!$A:$Z,$B$10+2+15,8),INDEX('2029'!$A:$Z,$B$10+2+15,8),INDEX('2030'!$A:$Z,$B$10+2+15,8)))</f>
        <v/>
      </c>
      <c r="I61">
        <f>IF($B61="","",""&amp;CHOOSE(Engine!$B$8,INDEX('2027'!$A:$Z,$B$10+2+15,9),INDEX('2028'!$A:$Z,$B$10+2+15,9),INDEX('2029'!$A:$Z,$B$10+2+15,9),INDEX('2030'!$A:$Z,$B$10+2+15,9)))</f>
        <v/>
      </c>
      <c r="J61">
        <f>IF($B61="","",""&amp;CHOOSE(Engine!$B$8,INDEX('2027'!$A:$Z,$B$10+2+15,10),INDEX('2028'!$A:$Z,$B$10+2+15,10),INDEX('2029'!$A:$Z,$B$10+2+15,10),INDEX('2030'!$A:$Z,$B$10+2+15,10)))</f>
        <v/>
      </c>
      <c r="K61">
        <f>IF($B61="","",""&amp;CHOOSE(Engine!$B$8,INDEX('2027'!$A:$Z,$B$10+2+15,11),INDEX('2028'!$A:$Z,$B$10+2+15,11),INDEX('2029'!$A:$Z,$B$10+2+15,11),INDEX('2030'!$A:$Z,$B$10+2+15,11)))</f>
        <v/>
      </c>
      <c r="L61">
        <f>IF($B61="","",""&amp;CHOOSE(Engine!$B$8,INDEX('2027'!$A:$Z,$B$10+2+15,12),INDEX('2028'!$A:$Z,$B$10+2+15,12),INDEX('2029'!$A:$Z,$B$10+2+15,12),INDEX('2030'!$A:$Z,$B$10+2+15,12)))</f>
        <v/>
      </c>
      <c r="M61">
        <f>IF($B61="","",""&amp;CHOOSE(Engine!$B$8,INDEX('2027'!$A:$Z,$B$10+2+15,13),INDEX('2028'!$A:$Z,$B$10+2+15,13),INDEX('2029'!$A:$Z,$B$10+2+15,13),INDEX('2030'!$A:$Z,$B$10+2+15,13)))</f>
        <v/>
      </c>
      <c r="N61">
        <f>IF($B61="","",""&amp;CHOOSE(Engine!$B$8,INDEX('2027'!$A:$Z,$B$10+2+15,14),INDEX('2028'!$A:$Z,$B$10+2+15,14),INDEX('2029'!$A:$Z,$B$10+2+15,14),INDEX('2030'!$A:$Z,$B$10+2+15,14)))</f>
        <v/>
      </c>
      <c r="O61">
        <f>IF($B61="","",""&amp;CHOOSE(Engine!$B$8,INDEX('2027'!$A:$Z,$B$10+2+15,15),INDEX('2028'!$A:$Z,$B$10+2+15,15),INDEX('2029'!$A:$Z,$B$10+2+15,15),INDEX('2030'!$A:$Z,$B$10+2+15,15)))</f>
        <v/>
      </c>
      <c r="P61">
        <f>IF($B61="","",""&amp;CHOOSE(Engine!$B$8,INDEX('2027'!$A:$Z,$B$10+2+15,16),INDEX('2028'!$A:$Z,$B$10+2+15,16),INDEX('2029'!$A:$Z,$B$10+2+15,16),INDEX('2030'!$A:$Z,$B$10+2+15,16)))</f>
        <v/>
      </c>
      <c r="Q61">
        <f>IF($B61="","",""&amp;CHOOSE(Engine!$B$8,INDEX('2027'!$A:$Z,$B$10+2+15,17),INDEX('2028'!$A:$Z,$B$10+2+15,17),INDEX('2029'!$A:$Z,$B$10+2+15,17),INDEX('2030'!$A:$Z,$B$10+2+15,17)))</f>
        <v/>
      </c>
      <c r="R61">
        <f>IF($B61="","",""&amp;CHOOSE(Engine!$B$8,INDEX('2027'!$A:$Z,$B$10+2+15,18),INDEX('2028'!$A:$Z,$B$10+2+15,18),INDEX('2029'!$A:$Z,$B$10+2+15,18),INDEX('2030'!$A:$Z,$B$10+2+15,18)))</f>
        <v/>
      </c>
      <c r="S61">
        <f>IF($B61="","",""&amp;CHOOSE(Engine!$B$8,INDEX('2027'!$A:$Z,$B$10+2+15,19),INDEX('2028'!$A:$Z,$B$10+2+15,19),INDEX('2029'!$A:$Z,$B$10+2+15,19),INDEX('2030'!$A:$Z,$B$10+2+15,19)))</f>
        <v/>
      </c>
      <c r="T61">
        <f>IF($B61="","",""&amp;CHOOSE(Engine!$B$8,INDEX('2027'!$A:$Z,$B$10+2+15,20),INDEX('2028'!$A:$Z,$B$10+2+15,20),INDEX('2029'!$A:$Z,$B$10+2+15,20),INDEX('2030'!$A:$Z,$B$10+2+15,20)))</f>
        <v/>
      </c>
      <c r="U61">
        <f>IF($B61="","",""&amp;CHOOSE(Engine!$B$8,INDEX('2027'!$A:$Z,$B$10+2+15,21),INDEX('2028'!$A:$Z,$B$10+2+15,21),INDEX('2029'!$A:$Z,$B$10+2+15,21),INDEX('2030'!$A:$Z,$B$10+2+15,21)))</f>
        <v/>
      </c>
      <c r="V61">
        <f>IF($B61="","",""&amp;CHOOSE(Engine!$B$8,INDEX('2027'!$A:$Z,$B$10+2+15,22),INDEX('2028'!$A:$Z,$B$10+2+15,22),INDEX('2029'!$A:$Z,$B$10+2+15,22),INDEX('2030'!$A:$Z,$B$10+2+15,22)))</f>
        <v/>
      </c>
      <c r="W61">
        <f>IF($B61="","",""&amp;CHOOSE(Engine!$B$8,INDEX('2027'!$A:$Z,$B$10+2+15,23),INDEX('2028'!$A:$Z,$B$10+2+15,23),INDEX('2029'!$A:$Z,$B$10+2+15,23),INDEX('2030'!$A:$Z,$B$10+2+15,23)))</f>
        <v/>
      </c>
      <c r="X61">
        <f>IF($B61="","",""&amp;CHOOSE(Engine!$B$8,INDEX('2027'!$A:$Z,$B$10+2+15,24),INDEX('2028'!$A:$Z,$B$10+2+15,24),INDEX('2029'!$A:$Z,$B$10+2+15,24),INDEX('2030'!$A:$Z,$B$10+2+15,24)))</f>
        <v/>
      </c>
      <c r="Y61">
        <f>IF($B61="","",""&amp;CHOOSE(Engine!$B$8,INDEX('2027'!$A:$Z,$B$10+2+15,25),INDEX('2028'!$A:$Z,$B$10+2+15,25),INDEX('2029'!$A:$Z,$B$10+2+15,25),INDEX('2030'!$A:$Z,$B$10+2+15,25)))</f>
        <v/>
      </c>
      <c r="Z61">
        <f>IF($B61="","",""&amp;CHOOSE(Engine!$B$8,INDEX('2027'!$A:$Z,$B$10+2+15,26),INDEX('2028'!$A:$Z,$B$10+2+15,26),INDEX('2029'!$A:$Z,$B$10+2+15,26),INDEX('2030'!$A:$Z,$B$10+2+15,26)))</f>
        <v/>
      </c>
      <c r="AB61">
        <f>IF($B61="","",N(Setup!$L$20))</f>
        <v/>
      </c>
      <c r="AC61">
        <f>IF($B61="","",IF(Setup!$M$20="Y",1,0))</f>
        <v/>
      </c>
    </row>
    <row r="62">
      <c r="A62" t="n">
        <v>16</v>
      </c>
      <c r="B62">
        <f>IF(Setup!$K$21="","",Setup!$K$21)</f>
        <v/>
      </c>
      <c r="C62">
        <f>IF($B62="","",""&amp;CHOOSE(Engine!$B$8,INDEX('2027'!$A:$Z,$B$10+2+16,3),INDEX('2028'!$A:$Z,$B$10+2+16,3),INDEX('2029'!$A:$Z,$B$10+2+16,3),INDEX('2030'!$A:$Z,$B$10+2+16,3)))</f>
        <v/>
      </c>
      <c r="D62">
        <f>IF($B62="","",""&amp;CHOOSE(Engine!$B$8,INDEX('2027'!$A:$Z,$B$10+2+16,4),INDEX('2028'!$A:$Z,$B$10+2+16,4),INDEX('2029'!$A:$Z,$B$10+2+16,4),INDEX('2030'!$A:$Z,$B$10+2+16,4)))</f>
        <v/>
      </c>
      <c r="E62">
        <f>IF($B62="","",""&amp;CHOOSE(Engine!$B$8,INDEX('2027'!$A:$Z,$B$10+2+16,5),INDEX('2028'!$A:$Z,$B$10+2+16,5),INDEX('2029'!$A:$Z,$B$10+2+16,5),INDEX('2030'!$A:$Z,$B$10+2+16,5)))</f>
        <v/>
      </c>
      <c r="F62">
        <f>IF($B62="","",""&amp;CHOOSE(Engine!$B$8,INDEX('2027'!$A:$Z,$B$10+2+16,6),INDEX('2028'!$A:$Z,$B$10+2+16,6),INDEX('2029'!$A:$Z,$B$10+2+16,6),INDEX('2030'!$A:$Z,$B$10+2+16,6)))</f>
        <v/>
      </c>
      <c r="G62">
        <f>IF($B62="","",""&amp;CHOOSE(Engine!$B$8,INDEX('2027'!$A:$Z,$B$10+2+16,7),INDEX('2028'!$A:$Z,$B$10+2+16,7),INDEX('2029'!$A:$Z,$B$10+2+16,7),INDEX('2030'!$A:$Z,$B$10+2+16,7)))</f>
        <v/>
      </c>
      <c r="H62">
        <f>IF($B62="","",""&amp;CHOOSE(Engine!$B$8,INDEX('2027'!$A:$Z,$B$10+2+16,8),INDEX('2028'!$A:$Z,$B$10+2+16,8),INDEX('2029'!$A:$Z,$B$10+2+16,8),INDEX('2030'!$A:$Z,$B$10+2+16,8)))</f>
        <v/>
      </c>
      <c r="I62">
        <f>IF($B62="","",""&amp;CHOOSE(Engine!$B$8,INDEX('2027'!$A:$Z,$B$10+2+16,9),INDEX('2028'!$A:$Z,$B$10+2+16,9),INDEX('2029'!$A:$Z,$B$10+2+16,9),INDEX('2030'!$A:$Z,$B$10+2+16,9)))</f>
        <v/>
      </c>
      <c r="J62">
        <f>IF($B62="","",""&amp;CHOOSE(Engine!$B$8,INDEX('2027'!$A:$Z,$B$10+2+16,10),INDEX('2028'!$A:$Z,$B$10+2+16,10),INDEX('2029'!$A:$Z,$B$10+2+16,10),INDEX('2030'!$A:$Z,$B$10+2+16,10)))</f>
        <v/>
      </c>
      <c r="K62">
        <f>IF($B62="","",""&amp;CHOOSE(Engine!$B$8,INDEX('2027'!$A:$Z,$B$10+2+16,11),INDEX('2028'!$A:$Z,$B$10+2+16,11),INDEX('2029'!$A:$Z,$B$10+2+16,11),INDEX('2030'!$A:$Z,$B$10+2+16,11)))</f>
        <v/>
      </c>
      <c r="L62">
        <f>IF($B62="","",""&amp;CHOOSE(Engine!$B$8,INDEX('2027'!$A:$Z,$B$10+2+16,12),INDEX('2028'!$A:$Z,$B$10+2+16,12),INDEX('2029'!$A:$Z,$B$10+2+16,12),INDEX('2030'!$A:$Z,$B$10+2+16,12)))</f>
        <v/>
      </c>
      <c r="M62">
        <f>IF($B62="","",""&amp;CHOOSE(Engine!$B$8,INDEX('2027'!$A:$Z,$B$10+2+16,13),INDEX('2028'!$A:$Z,$B$10+2+16,13),INDEX('2029'!$A:$Z,$B$10+2+16,13),INDEX('2030'!$A:$Z,$B$10+2+16,13)))</f>
        <v/>
      </c>
      <c r="N62">
        <f>IF($B62="","",""&amp;CHOOSE(Engine!$B$8,INDEX('2027'!$A:$Z,$B$10+2+16,14),INDEX('2028'!$A:$Z,$B$10+2+16,14),INDEX('2029'!$A:$Z,$B$10+2+16,14),INDEX('2030'!$A:$Z,$B$10+2+16,14)))</f>
        <v/>
      </c>
      <c r="O62">
        <f>IF($B62="","",""&amp;CHOOSE(Engine!$B$8,INDEX('2027'!$A:$Z,$B$10+2+16,15),INDEX('2028'!$A:$Z,$B$10+2+16,15),INDEX('2029'!$A:$Z,$B$10+2+16,15),INDEX('2030'!$A:$Z,$B$10+2+16,15)))</f>
        <v/>
      </c>
      <c r="P62">
        <f>IF($B62="","",""&amp;CHOOSE(Engine!$B$8,INDEX('2027'!$A:$Z,$B$10+2+16,16),INDEX('2028'!$A:$Z,$B$10+2+16,16),INDEX('2029'!$A:$Z,$B$10+2+16,16),INDEX('2030'!$A:$Z,$B$10+2+16,16)))</f>
        <v/>
      </c>
      <c r="Q62">
        <f>IF($B62="","",""&amp;CHOOSE(Engine!$B$8,INDEX('2027'!$A:$Z,$B$10+2+16,17),INDEX('2028'!$A:$Z,$B$10+2+16,17),INDEX('2029'!$A:$Z,$B$10+2+16,17),INDEX('2030'!$A:$Z,$B$10+2+16,17)))</f>
        <v/>
      </c>
      <c r="R62">
        <f>IF($B62="","",""&amp;CHOOSE(Engine!$B$8,INDEX('2027'!$A:$Z,$B$10+2+16,18),INDEX('2028'!$A:$Z,$B$10+2+16,18),INDEX('2029'!$A:$Z,$B$10+2+16,18),INDEX('2030'!$A:$Z,$B$10+2+16,18)))</f>
        <v/>
      </c>
      <c r="S62">
        <f>IF($B62="","",""&amp;CHOOSE(Engine!$B$8,INDEX('2027'!$A:$Z,$B$10+2+16,19),INDEX('2028'!$A:$Z,$B$10+2+16,19),INDEX('2029'!$A:$Z,$B$10+2+16,19),INDEX('2030'!$A:$Z,$B$10+2+16,19)))</f>
        <v/>
      </c>
      <c r="T62">
        <f>IF($B62="","",""&amp;CHOOSE(Engine!$B$8,INDEX('2027'!$A:$Z,$B$10+2+16,20),INDEX('2028'!$A:$Z,$B$10+2+16,20),INDEX('2029'!$A:$Z,$B$10+2+16,20),INDEX('2030'!$A:$Z,$B$10+2+16,20)))</f>
        <v/>
      </c>
      <c r="U62">
        <f>IF($B62="","",""&amp;CHOOSE(Engine!$B$8,INDEX('2027'!$A:$Z,$B$10+2+16,21),INDEX('2028'!$A:$Z,$B$10+2+16,21),INDEX('2029'!$A:$Z,$B$10+2+16,21),INDEX('2030'!$A:$Z,$B$10+2+16,21)))</f>
        <v/>
      </c>
      <c r="V62">
        <f>IF($B62="","",""&amp;CHOOSE(Engine!$B$8,INDEX('2027'!$A:$Z,$B$10+2+16,22),INDEX('2028'!$A:$Z,$B$10+2+16,22),INDEX('2029'!$A:$Z,$B$10+2+16,22),INDEX('2030'!$A:$Z,$B$10+2+16,22)))</f>
        <v/>
      </c>
      <c r="W62">
        <f>IF($B62="","",""&amp;CHOOSE(Engine!$B$8,INDEX('2027'!$A:$Z,$B$10+2+16,23),INDEX('2028'!$A:$Z,$B$10+2+16,23),INDEX('2029'!$A:$Z,$B$10+2+16,23),INDEX('2030'!$A:$Z,$B$10+2+16,23)))</f>
        <v/>
      </c>
      <c r="X62">
        <f>IF($B62="","",""&amp;CHOOSE(Engine!$B$8,INDEX('2027'!$A:$Z,$B$10+2+16,24),INDEX('2028'!$A:$Z,$B$10+2+16,24),INDEX('2029'!$A:$Z,$B$10+2+16,24),INDEX('2030'!$A:$Z,$B$10+2+16,24)))</f>
        <v/>
      </c>
      <c r="Y62">
        <f>IF($B62="","",""&amp;CHOOSE(Engine!$B$8,INDEX('2027'!$A:$Z,$B$10+2+16,25),INDEX('2028'!$A:$Z,$B$10+2+16,25),INDEX('2029'!$A:$Z,$B$10+2+16,25),INDEX('2030'!$A:$Z,$B$10+2+16,25)))</f>
        <v/>
      </c>
      <c r="Z62">
        <f>IF($B62="","",""&amp;CHOOSE(Engine!$B$8,INDEX('2027'!$A:$Z,$B$10+2+16,26),INDEX('2028'!$A:$Z,$B$10+2+16,26),INDEX('2029'!$A:$Z,$B$10+2+16,26),INDEX('2030'!$A:$Z,$B$10+2+16,26)))</f>
        <v/>
      </c>
      <c r="AB62">
        <f>IF($B62="","",N(Setup!$L$21))</f>
        <v/>
      </c>
      <c r="AC62">
        <f>IF($B62="","",IF(Setup!$M$21="Y",1,0))</f>
        <v/>
      </c>
    </row>
    <row r="63">
      <c r="A63" t="n">
        <v>17</v>
      </c>
      <c r="B63">
        <f>IF(Setup!$K$22="","",Setup!$K$22)</f>
        <v/>
      </c>
      <c r="C63">
        <f>IF($B63="","",""&amp;CHOOSE(Engine!$B$8,INDEX('2027'!$A:$Z,$B$10+2+17,3),INDEX('2028'!$A:$Z,$B$10+2+17,3),INDEX('2029'!$A:$Z,$B$10+2+17,3),INDEX('2030'!$A:$Z,$B$10+2+17,3)))</f>
        <v/>
      </c>
      <c r="D63">
        <f>IF($B63="","",""&amp;CHOOSE(Engine!$B$8,INDEX('2027'!$A:$Z,$B$10+2+17,4),INDEX('2028'!$A:$Z,$B$10+2+17,4),INDEX('2029'!$A:$Z,$B$10+2+17,4),INDEX('2030'!$A:$Z,$B$10+2+17,4)))</f>
        <v/>
      </c>
      <c r="E63">
        <f>IF($B63="","",""&amp;CHOOSE(Engine!$B$8,INDEX('2027'!$A:$Z,$B$10+2+17,5),INDEX('2028'!$A:$Z,$B$10+2+17,5),INDEX('2029'!$A:$Z,$B$10+2+17,5),INDEX('2030'!$A:$Z,$B$10+2+17,5)))</f>
        <v/>
      </c>
      <c r="F63">
        <f>IF($B63="","",""&amp;CHOOSE(Engine!$B$8,INDEX('2027'!$A:$Z,$B$10+2+17,6),INDEX('2028'!$A:$Z,$B$10+2+17,6),INDEX('2029'!$A:$Z,$B$10+2+17,6),INDEX('2030'!$A:$Z,$B$10+2+17,6)))</f>
        <v/>
      </c>
      <c r="G63">
        <f>IF($B63="","",""&amp;CHOOSE(Engine!$B$8,INDEX('2027'!$A:$Z,$B$10+2+17,7),INDEX('2028'!$A:$Z,$B$10+2+17,7),INDEX('2029'!$A:$Z,$B$10+2+17,7),INDEX('2030'!$A:$Z,$B$10+2+17,7)))</f>
        <v/>
      </c>
      <c r="H63">
        <f>IF($B63="","",""&amp;CHOOSE(Engine!$B$8,INDEX('2027'!$A:$Z,$B$10+2+17,8),INDEX('2028'!$A:$Z,$B$10+2+17,8),INDEX('2029'!$A:$Z,$B$10+2+17,8),INDEX('2030'!$A:$Z,$B$10+2+17,8)))</f>
        <v/>
      </c>
      <c r="I63">
        <f>IF($B63="","",""&amp;CHOOSE(Engine!$B$8,INDEX('2027'!$A:$Z,$B$10+2+17,9),INDEX('2028'!$A:$Z,$B$10+2+17,9),INDEX('2029'!$A:$Z,$B$10+2+17,9),INDEX('2030'!$A:$Z,$B$10+2+17,9)))</f>
        <v/>
      </c>
      <c r="J63">
        <f>IF($B63="","",""&amp;CHOOSE(Engine!$B$8,INDEX('2027'!$A:$Z,$B$10+2+17,10),INDEX('2028'!$A:$Z,$B$10+2+17,10),INDEX('2029'!$A:$Z,$B$10+2+17,10),INDEX('2030'!$A:$Z,$B$10+2+17,10)))</f>
        <v/>
      </c>
      <c r="K63">
        <f>IF($B63="","",""&amp;CHOOSE(Engine!$B$8,INDEX('2027'!$A:$Z,$B$10+2+17,11),INDEX('2028'!$A:$Z,$B$10+2+17,11),INDEX('2029'!$A:$Z,$B$10+2+17,11),INDEX('2030'!$A:$Z,$B$10+2+17,11)))</f>
        <v/>
      </c>
      <c r="L63">
        <f>IF($B63="","",""&amp;CHOOSE(Engine!$B$8,INDEX('2027'!$A:$Z,$B$10+2+17,12),INDEX('2028'!$A:$Z,$B$10+2+17,12),INDEX('2029'!$A:$Z,$B$10+2+17,12),INDEX('2030'!$A:$Z,$B$10+2+17,12)))</f>
        <v/>
      </c>
      <c r="M63">
        <f>IF($B63="","",""&amp;CHOOSE(Engine!$B$8,INDEX('2027'!$A:$Z,$B$10+2+17,13),INDEX('2028'!$A:$Z,$B$10+2+17,13),INDEX('2029'!$A:$Z,$B$10+2+17,13),INDEX('2030'!$A:$Z,$B$10+2+17,13)))</f>
        <v/>
      </c>
      <c r="N63">
        <f>IF($B63="","",""&amp;CHOOSE(Engine!$B$8,INDEX('2027'!$A:$Z,$B$10+2+17,14),INDEX('2028'!$A:$Z,$B$10+2+17,14),INDEX('2029'!$A:$Z,$B$10+2+17,14),INDEX('2030'!$A:$Z,$B$10+2+17,14)))</f>
        <v/>
      </c>
      <c r="O63">
        <f>IF($B63="","",""&amp;CHOOSE(Engine!$B$8,INDEX('2027'!$A:$Z,$B$10+2+17,15),INDEX('2028'!$A:$Z,$B$10+2+17,15),INDEX('2029'!$A:$Z,$B$10+2+17,15),INDEX('2030'!$A:$Z,$B$10+2+17,15)))</f>
        <v/>
      </c>
      <c r="P63">
        <f>IF($B63="","",""&amp;CHOOSE(Engine!$B$8,INDEX('2027'!$A:$Z,$B$10+2+17,16),INDEX('2028'!$A:$Z,$B$10+2+17,16),INDEX('2029'!$A:$Z,$B$10+2+17,16),INDEX('2030'!$A:$Z,$B$10+2+17,16)))</f>
        <v/>
      </c>
      <c r="Q63">
        <f>IF($B63="","",""&amp;CHOOSE(Engine!$B$8,INDEX('2027'!$A:$Z,$B$10+2+17,17),INDEX('2028'!$A:$Z,$B$10+2+17,17),INDEX('2029'!$A:$Z,$B$10+2+17,17),INDEX('2030'!$A:$Z,$B$10+2+17,17)))</f>
        <v/>
      </c>
      <c r="R63">
        <f>IF($B63="","",""&amp;CHOOSE(Engine!$B$8,INDEX('2027'!$A:$Z,$B$10+2+17,18),INDEX('2028'!$A:$Z,$B$10+2+17,18),INDEX('2029'!$A:$Z,$B$10+2+17,18),INDEX('2030'!$A:$Z,$B$10+2+17,18)))</f>
        <v/>
      </c>
      <c r="S63">
        <f>IF($B63="","",""&amp;CHOOSE(Engine!$B$8,INDEX('2027'!$A:$Z,$B$10+2+17,19),INDEX('2028'!$A:$Z,$B$10+2+17,19),INDEX('2029'!$A:$Z,$B$10+2+17,19),INDEX('2030'!$A:$Z,$B$10+2+17,19)))</f>
        <v/>
      </c>
      <c r="T63">
        <f>IF($B63="","",""&amp;CHOOSE(Engine!$B$8,INDEX('2027'!$A:$Z,$B$10+2+17,20),INDEX('2028'!$A:$Z,$B$10+2+17,20),INDEX('2029'!$A:$Z,$B$10+2+17,20),INDEX('2030'!$A:$Z,$B$10+2+17,20)))</f>
        <v/>
      </c>
      <c r="U63">
        <f>IF($B63="","",""&amp;CHOOSE(Engine!$B$8,INDEX('2027'!$A:$Z,$B$10+2+17,21),INDEX('2028'!$A:$Z,$B$10+2+17,21),INDEX('2029'!$A:$Z,$B$10+2+17,21),INDEX('2030'!$A:$Z,$B$10+2+17,21)))</f>
        <v/>
      </c>
      <c r="V63">
        <f>IF($B63="","",""&amp;CHOOSE(Engine!$B$8,INDEX('2027'!$A:$Z,$B$10+2+17,22),INDEX('2028'!$A:$Z,$B$10+2+17,22),INDEX('2029'!$A:$Z,$B$10+2+17,22),INDEX('2030'!$A:$Z,$B$10+2+17,22)))</f>
        <v/>
      </c>
      <c r="W63">
        <f>IF($B63="","",""&amp;CHOOSE(Engine!$B$8,INDEX('2027'!$A:$Z,$B$10+2+17,23),INDEX('2028'!$A:$Z,$B$10+2+17,23),INDEX('2029'!$A:$Z,$B$10+2+17,23),INDEX('2030'!$A:$Z,$B$10+2+17,23)))</f>
        <v/>
      </c>
      <c r="X63">
        <f>IF($B63="","",""&amp;CHOOSE(Engine!$B$8,INDEX('2027'!$A:$Z,$B$10+2+17,24),INDEX('2028'!$A:$Z,$B$10+2+17,24),INDEX('2029'!$A:$Z,$B$10+2+17,24),INDEX('2030'!$A:$Z,$B$10+2+17,24)))</f>
        <v/>
      </c>
      <c r="Y63">
        <f>IF($B63="","",""&amp;CHOOSE(Engine!$B$8,INDEX('2027'!$A:$Z,$B$10+2+17,25),INDEX('2028'!$A:$Z,$B$10+2+17,25),INDEX('2029'!$A:$Z,$B$10+2+17,25),INDEX('2030'!$A:$Z,$B$10+2+17,25)))</f>
        <v/>
      </c>
      <c r="Z63">
        <f>IF($B63="","",""&amp;CHOOSE(Engine!$B$8,INDEX('2027'!$A:$Z,$B$10+2+17,26),INDEX('2028'!$A:$Z,$B$10+2+17,26),INDEX('2029'!$A:$Z,$B$10+2+17,26),INDEX('2030'!$A:$Z,$B$10+2+17,26)))</f>
        <v/>
      </c>
      <c r="AB63">
        <f>IF($B63="","",N(Setup!$L$22))</f>
        <v/>
      </c>
      <c r="AC63">
        <f>IF($B63="","",IF(Setup!$M$22="Y",1,0))</f>
        <v/>
      </c>
    </row>
    <row r="64">
      <c r="A64" t="n">
        <v>18</v>
      </c>
      <c r="B64">
        <f>IF(Setup!$K$23="","",Setup!$K$23)</f>
        <v/>
      </c>
      <c r="C64">
        <f>IF($B64="","",""&amp;CHOOSE(Engine!$B$8,INDEX('2027'!$A:$Z,$B$10+2+18,3),INDEX('2028'!$A:$Z,$B$10+2+18,3),INDEX('2029'!$A:$Z,$B$10+2+18,3),INDEX('2030'!$A:$Z,$B$10+2+18,3)))</f>
        <v/>
      </c>
      <c r="D64">
        <f>IF($B64="","",""&amp;CHOOSE(Engine!$B$8,INDEX('2027'!$A:$Z,$B$10+2+18,4),INDEX('2028'!$A:$Z,$B$10+2+18,4),INDEX('2029'!$A:$Z,$B$10+2+18,4),INDEX('2030'!$A:$Z,$B$10+2+18,4)))</f>
        <v/>
      </c>
      <c r="E64">
        <f>IF($B64="","",""&amp;CHOOSE(Engine!$B$8,INDEX('2027'!$A:$Z,$B$10+2+18,5),INDEX('2028'!$A:$Z,$B$10+2+18,5),INDEX('2029'!$A:$Z,$B$10+2+18,5),INDEX('2030'!$A:$Z,$B$10+2+18,5)))</f>
        <v/>
      </c>
      <c r="F64">
        <f>IF($B64="","",""&amp;CHOOSE(Engine!$B$8,INDEX('2027'!$A:$Z,$B$10+2+18,6),INDEX('2028'!$A:$Z,$B$10+2+18,6),INDEX('2029'!$A:$Z,$B$10+2+18,6),INDEX('2030'!$A:$Z,$B$10+2+18,6)))</f>
        <v/>
      </c>
      <c r="G64">
        <f>IF($B64="","",""&amp;CHOOSE(Engine!$B$8,INDEX('2027'!$A:$Z,$B$10+2+18,7),INDEX('2028'!$A:$Z,$B$10+2+18,7),INDEX('2029'!$A:$Z,$B$10+2+18,7),INDEX('2030'!$A:$Z,$B$10+2+18,7)))</f>
        <v/>
      </c>
      <c r="H64">
        <f>IF($B64="","",""&amp;CHOOSE(Engine!$B$8,INDEX('2027'!$A:$Z,$B$10+2+18,8),INDEX('2028'!$A:$Z,$B$10+2+18,8),INDEX('2029'!$A:$Z,$B$10+2+18,8),INDEX('2030'!$A:$Z,$B$10+2+18,8)))</f>
        <v/>
      </c>
      <c r="I64">
        <f>IF($B64="","",""&amp;CHOOSE(Engine!$B$8,INDEX('2027'!$A:$Z,$B$10+2+18,9),INDEX('2028'!$A:$Z,$B$10+2+18,9),INDEX('2029'!$A:$Z,$B$10+2+18,9),INDEX('2030'!$A:$Z,$B$10+2+18,9)))</f>
        <v/>
      </c>
      <c r="J64">
        <f>IF($B64="","",""&amp;CHOOSE(Engine!$B$8,INDEX('2027'!$A:$Z,$B$10+2+18,10),INDEX('2028'!$A:$Z,$B$10+2+18,10),INDEX('2029'!$A:$Z,$B$10+2+18,10),INDEX('2030'!$A:$Z,$B$10+2+18,10)))</f>
        <v/>
      </c>
      <c r="K64">
        <f>IF($B64="","",""&amp;CHOOSE(Engine!$B$8,INDEX('2027'!$A:$Z,$B$10+2+18,11),INDEX('2028'!$A:$Z,$B$10+2+18,11),INDEX('2029'!$A:$Z,$B$10+2+18,11),INDEX('2030'!$A:$Z,$B$10+2+18,11)))</f>
        <v/>
      </c>
      <c r="L64">
        <f>IF($B64="","",""&amp;CHOOSE(Engine!$B$8,INDEX('2027'!$A:$Z,$B$10+2+18,12),INDEX('2028'!$A:$Z,$B$10+2+18,12),INDEX('2029'!$A:$Z,$B$10+2+18,12),INDEX('2030'!$A:$Z,$B$10+2+18,12)))</f>
        <v/>
      </c>
      <c r="M64">
        <f>IF($B64="","",""&amp;CHOOSE(Engine!$B$8,INDEX('2027'!$A:$Z,$B$10+2+18,13),INDEX('2028'!$A:$Z,$B$10+2+18,13),INDEX('2029'!$A:$Z,$B$10+2+18,13),INDEX('2030'!$A:$Z,$B$10+2+18,13)))</f>
        <v/>
      </c>
      <c r="N64">
        <f>IF($B64="","",""&amp;CHOOSE(Engine!$B$8,INDEX('2027'!$A:$Z,$B$10+2+18,14),INDEX('2028'!$A:$Z,$B$10+2+18,14),INDEX('2029'!$A:$Z,$B$10+2+18,14),INDEX('2030'!$A:$Z,$B$10+2+18,14)))</f>
        <v/>
      </c>
      <c r="O64">
        <f>IF($B64="","",""&amp;CHOOSE(Engine!$B$8,INDEX('2027'!$A:$Z,$B$10+2+18,15),INDEX('2028'!$A:$Z,$B$10+2+18,15),INDEX('2029'!$A:$Z,$B$10+2+18,15),INDEX('2030'!$A:$Z,$B$10+2+18,15)))</f>
        <v/>
      </c>
      <c r="P64">
        <f>IF($B64="","",""&amp;CHOOSE(Engine!$B$8,INDEX('2027'!$A:$Z,$B$10+2+18,16),INDEX('2028'!$A:$Z,$B$10+2+18,16),INDEX('2029'!$A:$Z,$B$10+2+18,16),INDEX('2030'!$A:$Z,$B$10+2+18,16)))</f>
        <v/>
      </c>
      <c r="Q64">
        <f>IF($B64="","",""&amp;CHOOSE(Engine!$B$8,INDEX('2027'!$A:$Z,$B$10+2+18,17),INDEX('2028'!$A:$Z,$B$10+2+18,17),INDEX('2029'!$A:$Z,$B$10+2+18,17),INDEX('2030'!$A:$Z,$B$10+2+18,17)))</f>
        <v/>
      </c>
      <c r="R64">
        <f>IF($B64="","",""&amp;CHOOSE(Engine!$B$8,INDEX('2027'!$A:$Z,$B$10+2+18,18),INDEX('2028'!$A:$Z,$B$10+2+18,18),INDEX('2029'!$A:$Z,$B$10+2+18,18),INDEX('2030'!$A:$Z,$B$10+2+18,18)))</f>
        <v/>
      </c>
      <c r="S64">
        <f>IF($B64="","",""&amp;CHOOSE(Engine!$B$8,INDEX('2027'!$A:$Z,$B$10+2+18,19),INDEX('2028'!$A:$Z,$B$10+2+18,19),INDEX('2029'!$A:$Z,$B$10+2+18,19),INDEX('2030'!$A:$Z,$B$10+2+18,19)))</f>
        <v/>
      </c>
      <c r="T64">
        <f>IF($B64="","",""&amp;CHOOSE(Engine!$B$8,INDEX('2027'!$A:$Z,$B$10+2+18,20),INDEX('2028'!$A:$Z,$B$10+2+18,20),INDEX('2029'!$A:$Z,$B$10+2+18,20),INDEX('2030'!$A:$Z,$B$10+2+18,20)))</f>
        <v/>
      </c>
      <c r="U64">
        <f>IF($B64="","",""&amp;CHOOSE(Engine!$B$8,INDEX('2027'!$A:$Z,$B$10+2+18,21),INDEX('2028'!$A:$Z,$B$10+2+18,21),INDEX('2029'!$A:$Z,$B$10+2+18,21),INDEX('2030'!$A:$Z,$B$10+2+18,21)))</f>
        <v/>
      </c>
      <c r="V64">
        <f>IF($B64="","",""&amp;CHOOSE(Engine!$B$8,INDEX('2027'!$A:$Z,$B$10+2+18,22),INDEX('2028'!$A:$Z,$B$10+2+18,22),INDEX('2029'!$A:$Z,$B$10+2+18,22),INDEX('2030'!$A:$Z,$B$10+2+18,22)))</f>
        <v/>
      </c>
      <c r="W64">
        <f>IF($B64="","",""&amp;CHOOSE(Engine!$B$8,INDEX('2027'!$A:$Z,$B$10+2+18,23),INDEX('2028'!$A:$Z,$B$10+2+18,23),INDEX('2029'!$A:$Z,$B$10+2+18,23),INDEX('2030'!$A:$Z,$B$10+2+18,23)))</f>
        <v/>
      </c>
      <c r="X64">
        <f>IF($B64="","",""&amp;CHOOSE(Engine!$B$8,INDEX('2027'!$A:$Z,$B$10+2+18,24),INDEX('2028'!$A:$Z,$B$10+2+18,24),INDEX('2029'!$A:$Z,$B$10+2+18,24),INDEX('2030'!$A:$Z,$B$10+2+18,24)))</f>
        <v/>
      </c>
      <c r="Y64">
        <f>IF($B64="","",""&amp;CHOOSE(Engine!$B$8,INDEX('2027'!$A:$Z,$B$10+2+18,25),INDEX('2028'!$A:$Z,$B$10+2+18,25),INDEX('2029'!$A:$Z,$B$10+2+18,25),INDEX('2030'!$A:$Z,$B$10+2+18,25)))</f>
        <v/>
      </c>
      <c r="Z64">
        <f>IF($B64="","",""&amp;CHOOSE(Engine!$B$8,INDEX('2027'!$A:$Z,$B$10+2+18,26),INDEX('2028'!$A:$Z,$B$10+2+18,26),INDEX('2029'!$A:$Z,$B$10+2+18,26),INDEX('2030'!$A:$Z,$B$10+2+18,26)))</f>
        <v/>
      </c>
      <c r="AB64">
        <f>IF($B64="","",N(Setup!$L$23))</f>
        <v/>
      </c>
      <c r="AC64">
        <f>IF($B64="","",IF(Setup!$M$23="Y",1,0))</f>
        <v/>
      </c>
    </row>
    <row r="67">
      <c r="A67" s="179" t="inlineStr">
        <is>
          <t>d</t>
        </is>
      </c>
      <c r="B67" s="179" t="inlineStr">
        <is>
          <t>j</t>
        </is>
      </c>
      <c r="C67" s="179" t="inlineStr">
        <is>
          <t>duty</t>
        </is>
      </c>
      <c r="D67" s="179" t="inlineStr">
        <is>
          <t>day</t>
        </is>
      </c>
      <c r="E67" s="179" t="inlineStr">
        <is>
          <t>required</t>
        </is>
      </c>
      <c r="F67" s="179" t="inlineStr">
        <is>
          <t>filled</t>
        </is>
      </c>
      <c r="G67" s="179" t="inlineStr">
        <is>
          <t>short</t>
        </is>
      </c>
      <c r="H67" s="179" t="inlineStr">
        <is>
          <t>suggested</t>
        </is>
      </c>
      <c r="I67" s="179" t="inlineStr">
        <is>
          <t>gaprank</t>
        </is>
      </c>
      <c r="J67" s="179" t="inlineStr">
        <is>
          <t>unqualified</t>
        </is>
      </c>
      <c r="K67" s="179" t="inlineStr">
        <is>
          <t>is today</t>
        </is>
      </c>
      <c r="N67" s="179" t="inlineStr">
        <is>
          <t>n eligible</t>
        </is>
      </c>
      <c r="O67" s="179" t="inlineStr">
        <is>
          <t>eligible list (dropdown source) →</t>
        </is>
      </c>
      <c r="AN67" s="179" t="inlineStr">
        <is>
          <t>rank helper →</t>
        </is>
      </c>
      <c r="BM67" s="179" t="inlineStr">
        <is>
          <t>suggestion score →</t>
        </is>
      </c>
    </row>
    <row r="68">
      <c r="A68" t="n">
        <v>1</v>
      </c>
      <c r="B68" t="n">
        <v>1</v>
      </c>
      <c r="C68">
        <f>$B$47</f>
        <v/>
      </c>
      <c r="D68" t="inlineStr">
        <is>
          <t>Mon</t>
        </is>
      </c>
      <c r="E68">
        <f>IF(C68="","",N($AB$47))</f>
        <v/>
      </c>
      <c r="F68">
        <f>IF(C68="","",COUNTIF($C$47:$E$47,"?*"))</f>
        <v/>
      </c>
      <c r="G68">
        <f>IF(C68="","",MAX(0,E68-F68))</f>
        <v/>
      </c>
      <c r="H68">
        <f>IF(N(G68)=0,"",IF(COUNT(BM68:CJ68)=0,"no-one eligible",INDEX(Engine!$B$20:$B$43,MOD(MIN(BM68:CJ68),500))&amp;IF(MOD(MIN(BM68:CJ68),1000)&gt;=500," *","")))</f>
        <v/>
      </c>
      <c r="I68">
        <f>IF(N(G68)&gt;0,COUNTIF($G$68:G68,"&gt;0"),"")</f>
        <v/>
      </c>
      <c r="J68">
        <f>IF(C68="","",IF($C$47="",0,IF(IFERROR(INDEX(Setup!$O$6:$AL$23,1,MATCH(SUBSTITUTE($C$47," *",""),Setup!$B$6:$B$29,0)),"")="",1,0))+IF($D$47="",0,IF(IFERROR(INDEX(Setup!$O$6:$AL$23,1,MATCH(SUBSTITUTE($D$47," *",""),Setup!$B$6:$B$29,0)),"")="",1,0))+IF($E$47="",0,IF(IFERROR(INDEX(Setup!$O$6:$AL$23,1,MATCH(SUBSTITUTE($E$47," *",""),Setup!$B$6:$B$29,0)),"")="",1,0)))</f>
        <v/>
      </c>
      <c r="K68">
        <f>IF($B$12+0=TODAY(),1,0)</f>
        <v/>
      </c>
      <c r="N68">
        <f>COUNT($AN68:$BK68)</f>
        <v/>
      </c>
      <c r="O68">
        <f>IF(1&gt;$N68,"",INDEX(Engine!$B$20:$B$43,MOD(SMALL($AN68:$BK68,1),100))&amp;IF(SMALL($AN68:$BK68,1)&gt;100," *",""))</f>
        <v/>
      </c>
      <c r="P68">
        <f>IF(2&gt;$N68,"",INDEX(Engine!$B$20:$B$43,MOD(SMALL($AN68:$BK68,2),100))&amp;IF(SMALL($AN68:$BK68,2)&gt;100," *",""))</f>
        <v/>
      </c>
      <c r="Q68">
        <f>IF(3&gt;$N68,"",INDEX(Engine!$B$20:$B$43,MOD(SMALL($AN68:$BK68,3),100))&amp;IF(SMALL($AN68:$BK68,3)&gt;100," *",""))</f>
        <v/>
      </c>
      <c r="R68">
        <f>IF(4&gt;$N68,"",INDEX(Engine!$B$20:$B$43,MOD(SMALL($AN68:$BK68,4),100))&amp;IF(SMALL($AN68:$BK68,4)&gt;100," *",""))</f>
        <v/>
      </c>
      <c r="S68">
        <f>IF(5&gt;$N68,"",INDEX(Engine!$B$20:$B$43,MOD(SMALL($AN68:$BK68,5),100))&amp;IF(SMALL($AN68:$BK68,5)&gt;100," *",""))</f>
        <v/>
      </c>
      <c r="T68">
        <f>IF(6&gt;$N68,"",INDEX(Engine!$B$20:$B$43,MOD(SMALL($AN68:$BK68,6),100))&amp;IF(SMALL($AN68:$BK68,6)&gt;100," *",""))</f>
        <v/>
      </c>
      <c r="U68">
        <f>IF(7&gt;$N68,"",INDEX(Engine!$B$20:$B$43,MOD(SMALL($AN68:$BK68,7),100))&amp;IF(SMALL($AN68:$BK68,7)&gt;100," *",""))</f>
        <v/>
      </c>
      <c r="V68">
        <f>IF(8&gt;$N68,"",INDEX(Engine!$B$20:$B$43,MOD(SMALL($AN68:$BK68,8),100))&amp;IF(SMALL($AN68:$BK68,8)&gt;100," *",""))</f>
        <v/>
      </c>
      <c r="W68">
        <f>IF(9&gt;$N68,"",INDEX(Engine!$B$20:$B$43,MOD(SMALL($AN68:$BK68,9),100))&amp;IF(SMALL($AN68:$BK68,9)&gt;100," *",""))</f>
        <v/>
      </c>
      <c r="X68">
        <f>IF(10&gt;$N68,"",INDEX(Engine!$B$20:$B$43,MOD(SMALL($AN68:$BK68,10),100))&amp;IF(SMALL($AN68:$BK68,10)&gt;100," *",""))</f>
        <v/>
      </c>
      <c r="Y68">
        <f>IF(11&gt;$N68,"",INDEX(Engine!$B$20:$B$43,MOD(SMALL($AN68:$BK68,11),100))&amp;IF(SMALL($AN68:$BK68,11)&gt;100," *",""))</f>
        <v/>
      </c>
      <c r="Z68">
        <f>IF(12&gt;$N68,"",INDEX(Engine!$B$20:$B$43,MOD(SMALL($AN68:$BK68,12),100))&amp;IF(SMALL($AN68:$BK68,12)&gt;100," *",""))</f>
        <v/>
      </c>
      <c r="AA68">
        <f>IF(13&gt;$N68,"",INDEX(Engine!$B$20:$B$43,MOD(SMALL($AN68:$BK68,13),100))&amp;IF(SMALL($AN68:$BK68,13)&gt;100," *",""))</f>
        <v/>
      </c>
      <c r="AB68">
        <f>IF(14&gt;$N68,"",INDEX(Engine!$B$20:$B$43,MOD(SMALL($AN68:$BK68,14),100))&amp;IF(SMALL($AN68:$BK68,14)&gt;100," *",""))</f>
        <v/>
      </c>
      <c r="AC68">
        <f>IF(15&gt;$N68,"",INDEX(Engine!$B$20:$B$43,MOD(SMALL($AN68:$BK68,15),100))&amp;IF(SMALL($AN68:$BK68,15)&gt;100," *",""))</f>
        <v/>
      </c>
      <c r="AD68">
        <f>IF(16&gt;$N68,"",INDEX(Engine!$B$20:$B$43,MOD(SMALL($AN68:$BK68,16),100))&amp;IF(SMALL($AN68:$BK68,16)&gt;100," *",""))</f>
        <v/>
      </c>
      <c r="AE68">
        <f>IF(17&gt;$N68,"",INDEX(Engine!$B$20:$B$43,MOD(SMALL($AN68:$BK68,17),100))&amp;IF(SMALL($AN68:$BK68,17)&gt;100," *",""))</f>
        <v/>
      </c>
      <c r="AF68">
        <f>IF(18&gt;$N68,"",INDEX(Engine!$B$20:$B$43,MOD(SMALL($AN68:$BK68,18),100))&amp;IF(SMALL($AN68:$BK68,18)&gt;100," *",""))</f>
        <v/>
      </c>
      <c r="AG68">
        <f>IF(19&gt;$N68,"",INDEX(Engine!$B$20:$B$43,MOD(SMALL($AN68:$BK68,19),100))&amp;IF(SMALL($AN68:$BK68,19)&gt;100," *",""))</f>
        <v/>
      </c>
      <c r="AH68">
        <f>IF(20&gt;$N68,"",INDEX(Engine!$B$20:$B$43,MOD(SMALL($AN68:$BK68,20),100))&amp;IF(SMALL($AN68:$BK68,20)&gt;100," *",""))</f>
        <v/>
      </c>
      <c r="AI68">
        <f>IF(21&gt;$N68,"",INDEX(Engine!$B$20:$B$43,MOD(SMALL($AN68:$BK68,21),100))&amp;IF(SMALL($AN68:$BK68,21)&gt;100," *",""))</f>
        <v/>
      </c>
      <c r="AJ68">
        <f>IF(22&gt;$N68,"",INDEX(Engine!$B$20:$B$43,MOD(SMALL($AN68:$BK68,22),100))&amp;IF(SMALL($AN68:$BK68,22)&gt;100," *",""))</f>
        <v/>
      </c>
      <c r="AK68">
        <f>IF(23&gt;$N68,"",INDEX(Engine!$B$20:$B$43,MOD(SMALL($AN68:$BK68,23),100))&amp;IF(SMALL($AN68:$BK68,23)&gt;100," *",""))</f>
        <v/>
      </c>
      <c r="AL68">
        <f>IF(24&gt;$N68,"",INDEX(Engine!$B$20:$B$43,MOD(SMALL($AN68:$BK68,24),100))&amp;IF(SMALL($AN68:$BK68,24)&gt;100," *",""))</f>
        <v/>
      </c>
      <c r="AN68">
        <f>IF(AND($C20=1,INDEX(Setup!$O$6:$AL$23,1,1)&lt;&gt;"",K20=0),1+IF(INDEX(Setup!$O$6:$AL$23,1,1)="T",100,0),"")</f>
        <v/>
      </c>
      <c r="AO68">
        <f>IF(AND($C21=1,INDEX(Setup!$O$6:$AL$23,1,2)&lt;&gt;"",K21=0),2+IF(INDEX(Setup!$O$6:$AL$23,1,2)="T",100,0),"")</f>
        <v/>
      </c>
      <c r="AP68">
        <f>IF(AND($C22=1,INDEX(Setup!$O$6:$AL$23,1,3)&lt;&gt;"",K22=0),3+IF(INDEX(Setup!$O$6:$AL$23,1,3)="T",100,0),"")</f>
        <v/>
      </c>
      <c r="AQ68">
        <f>IF(AND($C23=1,INDEX(Setup!$O$6:$AL$23,1,4)&lt;&gt;"",K23=0),4+IF(INDEX(Setup!$O$6:$AL$23,1,4)="T",100,0),"")</f>
        <v/>
      </c>
      <c r="AR68">
        <f>IF(AND($C24=1,INDEX(Setup!$O$6:$AL$23,1,5)&lt;&gt;"",K24=0),5+IF(INDEX(Setup!$O$6:$AL$23,1,5)="T",100,0),"")</f>
        <v/>
      </c>
      <c r="AS68">
        <f>IF(AND($C25=1,INDEX(Setup!$O$6:$AL$23,1,6)&lt;&gt;"",K25=0),6+IF(INDEX(Setup!$O$6:$AL$23,1,6)="T",100,0),"")</f>
        <v/>
      </c>
      <c r="AT68">
        <f>IF(AND($C26=1,INDEX(Setup!$O$6:$AL$23,1,7)&lt;&gt;"",K26=0),7+IF(INDEX(Setup!$O$6:$AL$23,1,7)="T",100,0),"")</f>
        <v/>
      </c>
      <c r="AU68">
        <f>IF(AND($C27=1,INDEX(Setup!$O$6:$AL$23,1,8)&lt;&gt;"",K27=0),8+IF(INDEX(Setup!$O$6:$AL$23,1,8)="T",100,0),"")</f>
        <v/>
      </c>
      <c r="AV68">
        <f>IF(AND($C28=1,INDEX(Setup!$O$6:$AL$23,1,9)&lt;&gt;"",K28=0),9+IF(INDEX(Setup!$O$6:$AL$23,1,9)="T",100,0),"")</f>
        <v/>
      </c>
      <c r="AW68">
        <f>IF(AND($C29=1,INDEX(Setup!$O$6:$AL$23,1,10)&lt;&gt;"",K29=0),10+IF(INDEX(Setup!$O$6:$AL$23,1,10)="T",100,0),"")</f>
        <v/>
      </c>
      <c r="AX68">
        <f>IF(AND($C30=1,INDEX(Setup!$O$6:$AL$23,1,11)&lt;&gt;"",K30=0),11+IF(INDEX(Setup!$O$6:$AL$23,1,11)="T",100,0),"")</f>
        <v/>
      </c>
      <c r="AY68">
        <f>IF(AND($C31=1,INDEX(Setup!$O$6:$AL$23,1,12)&lt;&gt;"",K31=0),12+IF(INDEX(Setup!$O$6:$AL$23,1,12)="T",100,0),"")</f>
        <v/>
      </c>
      <c r="AZ68">
        <f>IF(AND($C32=1,INDEX(Setup!$O$6:$AL$23,1,13)&lt;&gt;"",K32=0),13+IF(INDEX(Setup!$O$6:$AL$23,1,13)="T",100,0),"")</f>
        <v/>
      </c>
      <c r="BA68">
        <f>IF(AND($C33=1,INDEX(Setup!$O$6:$AL$23,1,14)&lt;&gt;"",K33=0),14+IF(INDEX(Setup!$O$6:$AL$23,1,14)="T",100,0),"")</f>
        <v/>
      </c>
      <c r="BB68">
        <f>IF(AND($C34=1,INDEX(Setup!$O$6:$AL$23,1,15)&lt;&gt;"",K34=0),15+IF(INDEX(Setup!$O$6:$AL$23,1,15)="T",100,0),"")</f>
        <v/>
      </c>
      <c r="BC68">
        <f>IF(AND($C35=1,INDEX(Setup!$O$6:$AL$23,1,16)&lt;&gt;"",K35=0),16+IF(INDEX(Setup!$O$6:$AL$23,1,16)="T",100,0),"")</f>
        <v/>
      </c>
      <c r="BD68">
        <f>IF(AND($C36=1,INDEX(Setup!$O$6:$AL$23,1,17)&lt;&gt;"",K36=0),17+IF(INDEX(Setup!$O$6:$AL$23,1,17)="T",100,0),"")</f>
        <v/>
      </c>
      <c r="BE68">
        <f>IF(AND($C37=1,INDEX(Setup!$O$6:$AL$23,1,18)&lt;&gt;"",K37=0),18+IF(INDEX(Setup!$O$6:$AL$23,1,18)="T",100,0),"")</f>
        <v/>
      </c>
      <c r="BF68">
        <f>IF(AND($C38=1,INDEX(Setup!$O$6:$AL$23,1,19)&lt;&gt;"",K38=0),19+IF(INDEX(Setup!$O$6:$AL$23,1,19)="T",100,0),"")</f>
        <v/>
      </c>
      <c r="BG68">
        <f>IF(AND($C39=1,INDEX(Setup!$O$6:$AL$23,1,20)&lt;&gt;"",K39=0),20+IF(INDEX(Setup!$O$6:$AL$23,1,20)="T",100,0),"")</f>
        <v/>
      </c>
      <c r="BH68">
        <f>IF(AND($C40=1,INDEX(Setup!$O$6:$AL$23,1,21)&lt;&gt;"",K40=0),21+IF(INDEX(Setup!$O$6:$AL$23,1,21)="T",100,0),"")</f>
        <v/>
      </c>
      <c r="BI68">
        <f>IF(AND($C41=1,INDEX(Setup!$O$6:$AL$23,1,22)&lt;&gt;"",K41=0),22+IF(INDEX(Setup!$O$6:$AL$23,1,22)="T",100,0),"")</f>
        <v/>
      </c>
      <c r="BJ68">
        <f>IF(AND($C42=1,INDEX(Setup!$O$6:$AL$23,1,23)&lt;&gt;"",K42=0),23+IF(INDEX(Setup!$O$6:$AL$23,1,23)="T",100,0),"")</f>
        <v/>
      </c>
      <c r="BK68">
        <f>IF(AND($C43=1,INDEX(Setup!$O$6:$AL$23,1,24)&lt;&gt;"",K43=0),24+IF(INDEX(Setup!$O$6:$AL$23,1,24)="T",100,0),"")</f>
        <v/>
      </c>
      <c r="BM68">
        <f>IF(AND(AN68&lt;&gt;"",COUNTIF($C$47:$E$47,$B20)+COUNTIF($C$47:$E$47,$B20&amp;" ~*")=0),($R20+0)*1000+IF(AN68&gt;100,500,0)+1,"")</f>
        <v/>
      </c>
      <c r="BN68">
        <f>IF(AND(AO68&lt;&gt;"",COUNTIF($C$47:$E$47,$B21)+COUNTIF($C$47:$E$47,$B21&amp;" ~*")=0),($R21+0)*1000+IF(AO68&gt;100,500,0)+2,"")</f>
        <v/>
      </c>
      <c r="BO68">
        <f>IF(AND(AP68&lt;&gt;"",COUNTIF($C$47:$E$47,$B22)+COUNTIF($C$47:$E$47,$B22&amp;" ~*")=0),($R22+0)*1000+IF(AP68&gt;100,500,0)+3,"")</f>
        <v/>
      </c>
      <c r="BP68">
        <f>IF(AND(AQ68&lt;&gt;"",COUNTIF($C$47:$E$47,$B23)+COUNTIF($C$47:$E$47,$B23&amp;" ~*")=0),($R23+0)*1000+IF(AQ68&gt;100,500,0)+4,"")</f>
        <v/>
      </c>
      <c r="BQ68">
        <f>IF(AND(AR68&lt;&gt;"",COUNTIF($C$47:$E$47,$B24)+COUNTIF($C$47:$E$47,$B24&amp;" ~*")=0),($R24+0)*1000+IF(AR68&gt;100,500,0)+5,"")</f>
        <v/>
      </c>
      <c r="BR68">
        <f>IF(AND(AS68&lt;&gt;"",COUNTIF($C$47:$E$47,$B25)+COUNTIF($C$47:$E$47,$B25&amp;" ~*")=0),($R25+0)*1000+IF(AS68&gt;100,500,0)+6,"")</f>
        <v/>
      </c>
      <c r="BS68">
        <f>IF(AND(AT68&lt;&gt;"",COUNTIF($C$47:$E$47,$B26)+COUNTIF($C$47:$E$47,$B26&amp;" ~*")=0),($R26+0)*1000+IF(AT68&gt;100,500,0)+7,"")</f>
        <v/>
      </c>
      <c r="BT68">
        <f>IF(AND(AU68&lt;&gt;"",COUNTIF($C$47:$E$47,$B27)+COUNTIF($C$47:$E$47,$B27&amp;" ~*")=0),($R27+0)*1000+IF(AU68&gt;100,500,0)+8,"")</f>
        <v/>
      </c>
      <c r="BU68">
        <f>IF(AND(AV68&lt;&gt;"",COUNTIF($C$47:$E$47,$B28)+COUNTIF($C$47:$E$47,$B28&amp;" ~*")=0),($R28+0)*1000+IF(AV68&gt;100,500,0)+9,"")</f>
        <v/>
      </c>
      <c r="BV68">
        <f>IF(AND(AW68&lt;&gt;"",COUNTIF($C$47:$E$47,$B29)+COUNTIF($C$47:$E$47,$B29&amp;" ~*")=0),($R29+0)*1000+IF(AW68&gt;100,500,0)+10,"")</f>
        <v/>
      </c>
      <c r="BW68">
        <f>IF(AND(AX68&lt;&gt;"",COUNTIF($C$47:$E$47,$B30)+COUNTIF($C$47:$E$47,$B30&amp;" ~*")=0),($R30+0)*1000+IF(AX68&gt;100,500,0)+11,"")</f>
        <v/>
      </c>
      <c r="BX68">
        <f>IF(AND(AY68&lt;&gt;"",COUNTIF($C$47:$E$47,$B31)+COUNTIF($C$47:$E$47,$B31&amp;" ~*")=0),($R31+0)*1000+IF(AY68&gt;100,500,0)+12,"")</f>
        <v/>
      </c>
      <c r="BY68">
        <f>IF(AND(AZ68&lt;&gt;"",COUNTIF($C$47:$E$47,$B32)+COUNTIF($C$47:$E$47,$B32&amp;" ~*")=0),($R32+0)*1000+IF(AZ68&gt;100,500,0)+13,"")</f>
        <v/>
      </c>
      <c r="BZ68">
        <f>IF(AND(BA68&lt;&gt;"",COUNTIF($C$47:$E$47,$B33)+COUNTIF($C$47:$E$47,$B33&amp;" ~*")=0),($R33+0)*1000+IF(BA68&gt;100,500,0)+14,"")</f>
        <v/>
      </c>
      <c r="CA68">
        <f>IF(AND(BB68&lt;&gt;"",COUNTIF($C$47:$E$47,$B34)+COUNTIF($C$47:$E$47,$B34&amp;" ~*")=0),($R34+0)*1000+IF(BB68&gt;100,500,0)+15,"")</f>
        <v/>
      </c>
      <c r="CB68">
        <f>IF(AND(BC68&lt;&gt;"",COUNTIF($C$47:$E$47,$B35)+COUNTIF($C$47:$E$47,$B35&amp;" ~*")=0),($R35+0)*1000+IF(BC68&gt;100,500,0)+16,"")</f>
        <v/>
      </c>
      <c r="CC68">
        <f>IF(AND(BD68&lt;&gt;"",COUNTIF($C$47:$E$47,$B36)+COUNTIF($C$47:$E$47,$B36&amp;" ~*")=0),($R36+0)*1000+IF(BD68&gt;100,500,0)+17,"")</f>
        <v/>
      </c>
      <c r="CD68">
        <f>IF(AND(BE68&lt;&gt;"",COUNTIF($C$47:$E$47,$B37)+COUNTIF($C$47:$E$47,$B37&amp;" ~*")=0),($R37+0)*1000+IF(BE68&gt;100,500,0)+18,"")</f>
        <v/>
      </c>
      <c r="CE68">
        <f>IF(AND(BF68&lt;&gt;"",COUNTIF($C$47:$E$47,$B38)+COUNTIF($C$47:$E$47,$B38&amp;" ~*")=0),($R38+0)*1000+IF(BF68&gt;100,500,0)+19,"")</f>
        <v/>
      </c>
      <c r="CF68">
        <f>IF(AND(BG68&lt;&gt;"",COUNTIF($C$47:$E$47,$B39)+COUNTIF($C$47:$E$47,$B39&amp;" ~*")=0),($R39+0)*1000+IF(BG68&gt;100,500,0)+20,"")</f>
        <v/>
      </c>
      <c r="CG68">
        <f>IF(AND(BH68&lt;&gt;"",COUNTIF($C$47:$E$47,$B40)+COUNTIF($C$47:$E$47,$B40&amp;" ~*")=0),($R40+0)*1000+IF(BH68&gt;100,500,0)+21,"")</f>
        <v/>
      </c>
      <c r="CH68">
        <f>IF(AND(BI68&lt;&gt;"",COUNTIF($C$47:$E$47,$B41)+COUNTIF($C$47:$E$47,$B41&amp;" ~*")=0),($R41+0)*1000+IF(BI68&gt;100,500,0)+22,"")</f>
        <v/>
      </c>
      <c r="CI68">
        <f>IF(AND(BJ68&lt;&gt;"",COUNTIF($C$47:$E$47,$B42)+COUNTIF($C$47:$E$47,$B42&amp;" ~*")=0),($R42+0)*1000+IF(BJ68&gt;100,500,0)+23,"")</f>
        <v/>
      </c>
      <c r="CJ68">
        <f>IF(AND(BK68&lt;&gt;"",COUNTIF($C$47:$E$47,$B43)+COUNTIF($C$47:$E$47,$B43&amp;" ~*")=0),($R43+0)*1000+IF(BK68&gt;100,500,0)+24,"")</f>
        <v/>
      </c>
    </row>
    <row r="69">
      <c r="A69" t="n">
        <v>1</v>
      </c>
      <c r="B69" t="n">
        <v>2</v>
      </c>
      <c r="C69">
        <f>$B$48</f>
        <v/>
      </c>
      <c r="D69" t="inlineStr">
        <is>
          <t>Mon</t>
        </is>
      </c>
      <c r="E69">
        <f>IF(C69="","",N($AB$48))</f>
        <v/>
      </c>
      <c r="F69">
        <f>IF(C69="","",COUNTIF($C$48:$E$48,"?*"))</f>
        <v/>
      </c>
      <c r="G69">
        <f>IF(C69="","",MAX(0,E69-F69))</f>
        <v/>
      </c>
      <c r="H69">
        <f>IF(N(G69)=0,"",IF(COUNT(BM69:CJ69)=0,"no-one eligible",INDEX(Engine!$B$20:$B$43,MOD(MIN(BM69:CJ69),500))&amp;IF(MOD(MIN(BM69:CJ69),1000)&gt;=500," *","")))</f>
        <v/>
      </c>
      <c r="I69">
        <f>IF(N(G69)&gt;0,COUNTIF($G$68:G69,"&gt;0"),"")</f>
        <v/>
      </c>
      <c r="J69">
        <f>IF(C69="","",IF($C$48="",0,IF(IFERROR(INDEX(Setup!$O$6:$AL$23,2,MATCH(SUBSTITUTE($C$48," *",""),Setup!$B$6:$B$29,0)),"")="",1,0))+IF($D$48="",0,IF(IFERROR(INDEX(Setup!$O$6:$AL$23,2,MATCH(SUBSTITUTE($D$48," *",""),Setup!$B$6:$B$29,0)),"")="",1,0))+IF($E$48="",0,IF(IFERROR(INDEX(Setup!$O$6:$AL$23,2,MATCH(SUBSTITUTE($E$48," *",""),Setup!$B$6:$B$29,0)),"")="",1,0)))</f>
        <v/>
      </c>
      <c r="K69">
        <f>IF($B$12+0=TODAY(),1,0)</f>
        <v/>
      </c>
      <c r="N69">
        <f>COUNT($AN69:$BK69)</f>
        <v/>
      </c>
      <c r="O69">
        <f>IF(1&gt;$N69,"",INDEX(Engine!$B$20:$B$43,MOD(SMALL($AN69:$BK69,1),100))&amp;IF(SMALL($AN69:$BK69,1)&gt;100," *",""))</f>
        <v/>
      </c>
      <c r="P69">
        <f>IF(2&gt;$N69,"",INDEX(Engine!$B$20:$B$43,MOD(SMALL($AN69:$BK69,2),100))&amp;IF(SMALL($AN69:$BK69,2)&gt;100," *",""))</f>
        <v/>
      </c>
      <c r="Q69">
        <f>IF(3&gt;$N69,"",INDEX(Engine!$B$20:$B$43,MOD(SMALL($AN69:$BK69,3),100))&amp;IF(SMALL($AN69:$BK69,3)&gt;100," *",""))</f>
        <v/>
      </c>
      <c r="R69">
        <f>IF(4&gt;$N69,"",INDEX(Engine!$B$20:$B$43,MOD(SMALL($AN69:$BK69,4),100))&amp;IF(SMALL($AN69:$BK69,4)&gt;100," *",""))</f>
        <v/>
      </c>
      <c r="S69">
        <f>IF(5&gt;$N69,"",INDEX(Engine!$B$20:$B$43,MOD(SMALL($AN69:$BK69,5),100))&amp;IF(SMALL($AN69:$BK69,5)&gt;100," *",""))</f>
        <v/>
      </c>
      <c r="T69">
        <f>IF(6&gt;$N69,"",INDEX(Engine!$B$20:$B$43,MOD(SMALL($AN69:$BK69,6),100))&amp;IF(SMALL($AN69:$BK69,6)&gt;100," *",""))</f>
        <v/>
      </c>
      <c r="U69">
        <f>IF(7&gt;$N69,"",INDEX(Engine!$B$20:$B$43,MOD(SMALL($AN69:$BK69,7),100))&amp;IF(SMALL($AN69:$BK69,7)&gt;100," *",""))</f>
        <v/>
      </c>
      <c r="V69">
        <f>IF(8&gt;$N69,"",INDEX(Engine!$B$20:$B$43,MOD(SMALL($AN69:$BK69,8),100))&amp;IF(SMALL($AN69:$BK69,8)&gt;100," *",""))</f>
        <v/>
      </c>
      <c r="W69">
        <f>IF(9&gt;$N69,"",INDEX(Engine!$B$20:$B$43,MOD(SMALL($AN69:$BK69,9),100))&amp;IF(SMALL($AN69:$BK69,9)&gt;100," *",""))</f>
        <v/>
      </c>
      <c r="X69">
        <f>IF(10&gt;$N69,"",INDEX(Engine!$B$20:$B$43,MOD(SMALL($AN69:$BK69,10),100))&amp;IF(SMALL($AN69:$BK69,10)&gt;100," *",""))</f>
        <v/>
      </c>
      <c r="Y69">
        <f>IF(11&gt;$N69,"",INDEX(Engine!$B$20:$B$43,MOD(SMALL($AN69:$BK69,11),100))&amp;IF(SMALL($AN69:$BK69,11)&gt;100," *",""))</f>
        <v/>
      </c>
      <c r="Z69">
        <f>IF(12&gt;$N69,"",INDEX(Engine!$B$20:$B$43,MOD(SMALL($AN69:$BK69,12),100))&amp;IF(SMALL($AN69:$BK69,12)&gt;100," *",""))</f>
        <v/>
      </c>
      <c r="AA69">
        <f>IF(13&gt;$N69,"",INDEX(Engine!$B$20:$B$43,MOD(SMALL($AN69:$BK69,13),100))&amp;IF(SMALL($AN69:$BK69,13)&gt;100," *",""))</f>
        <v/>
      </c>
      <c r="AB69">
        <f>IF(14&gt;$N69,"",INDEX(Engine!$B$20:$B$43,MOD(SMALL($AN69:$BK69,14),100))&amp;IF(SMALL($AN69:$BK69,14)&gt;100," *",""))</f>
        <v/>
      </c>
      <c r="AC69">
        <f>IF(15&gt;$N69,"",INDEX(Engine!$B$20:$B$43,MOD(SMALL($AN69:$BK69,15),100))&amp;IF(SMALL($AN69:$BK69,15)&gt;100," *",""))</f>
        <v/>
      </c>
      <c r="AD69">
        <f>IF(16&gt;$N69,"",INDEX(Engine!$B$20:$B$43,MOD(SMALL($AN69:$BK69,16),100))&amp;IF(SMALL($AN69:$BK69,16)&gt;100," *",""))</f>
        <v/>
      </c>
      <c r="AE69">
        <f>IF(17&gt;$N69,"",INDEX(Engine!$B$20:$B$43,MOD(SMALL($AN69:$BK69,17),100))&amp;IF(SMALL($AN69:$BK69,17)&gt;100," *",""))</f>
        <v/>
      </c>
      <c r="AF69">
        <f>IF(18&gt;$N69,"",INDEX(Engine!$B$20:$B$43,MOD(SMALL($AN69:$BK69,18),100))&amp;IF(SMALL($AN69:$BK69,18)&gt;100," *",""))</f>
        <v/>
      </c>
      <c r="AG69">
        <f>IF(19&gt;$N69,"",INDEX(Engine!$B$20:$B$43,MOD(SMALL($AN69:$BK69,19),100))&amp;IF(SMALL($AN69:$BK69,19)&gt;100," *",""))</f>
        <v/>
      </c>
      <c r="AH69">
        <f>IF(20&gt;$N69,"",INDEX(Engine!$B$20:$B$43,MOD(SMALL($AN69:$BK69,20),100))&amp;IF(SMALL($AN69:$BK69,20)&gt;100," *",""))</f>
        <v/>
      </c>
      <c r="AI69">
        <f>IF(21&gt;$N69,"",INDEX(Engine!$B$20:$B$43,MOD(SMALL($AN69:$BK69,21),100))&amp;IF(SMALL($AN69:$BK69,21)&gt;100," *",""))</f>
        <v/>
      </c>
      <c r="AJ69">
        <f>IF(22&gt;$N69,"",INDEX(Engine!$B$20:$B$43,MOD(SMALL($AN69:$BK69,22),100))&amp;IF(SMALL($AN69:$BK69,22)&gt;100," *",""))</f>
        <v/>
      </c>
      <c r="AK69">
        <f>IF(23&gt;$N69,"",INDEX(Engine!$B$20:$B$43,MOD(SMALL($AN69:$BK69,23),100))&amp;IF(SMALL($AN69:$BK69,23)&gt;100," *",""))</f>
        <v/>
      </c>
      <c r="AL69">
        <f>IF(24&gt;$N69,"",INDEX(Engine!$B$20:$B$43,MOD(SMALL($AN69:$BK69,24),100))&amp;IF(SMALL($AN69:$BK69,24)&gt;100," *",""))</f>
        <v/>
      </c>
      <c r="AN69">
        <f>IF(AND($C20=1,INDEX(Setup!$O$6:$AL$23,2,1)&lt;&gt;"",K20=0),1+IF(INDEX(Setup!$O$6:$AL$23,2,1)="T",100,0),"")</f>
        <v/>
      </c>
      <c r="AO69">
        <f>IF(AND($C21=1,INDEX(Setup!$O$6:$AL$23,2,2)&lt;&gt;"",K21=0),2+IF(INDEX(Setup!$O$6:$AL$23,2,2)="T",100,0),"")</f>
        <v/>
      </c>
      <c r="AP69">
        <f>IF(AND($C22=1,INDEX(Setup!$O$6:$AL$23,2,3)&lt;&gt;"",K22=0),3+IF(INDEX(Setup!$O$6:$AL$23,2,3)="T",100,0),"")</f>
        <v/>
      </c>
      <c r="AQ69">
        <f>IF(AND($C23=1,INDEX(Setup!$O$6:$AL$23,2,4)&lt;&gt;"",K23=0),4+IF(INDEX(Setup!$O$6:$AL$23,2,4)="T",100,0),"")</f>
        <v/>
      </c>
      <c r="AR69">
        <f>IF(AND($C24=1,INDEX(Setup!$O$6:$AL$23,2,5)&lt;&gt;"",K24=0),5+IF(INDEX(Setup!$O$6:$AL$23,2,5)="T",100,0),"")</f>
        <v/>
      </c>
      <c r="AS69">
        <f>IF(AND($C25=1,INDEX(Setup!$O$6:$AL$23,2,6)&lt;&gt;"",K25=0),6+IF(INDEX(Setup!$O$6:$AL$23,2,6)="T",100,0),"")</f>
        <v/>
      </c>
      <c r="AT69">
        <f>IF(AND($C26=1,INDEX(Setup!$O$6:$AL$23,2,7)&lt;&gt;"",K26=0),7+IF(INDEX(Setup!$O$6:$AL$23,2,7)="T",100,0),"")</f>
        <v/>
      </c>
      <c r="AU69">
        <f>IF(AND($C27=1,INDEX(Setup!$O$6:$AL$23,2,8)&lt;&gt;"",K27=0),8+IF(INDEX(Setup!$O$6:$AL$23,2,8)="T",100,0),"")</f>
        <v/>
      </c>
      <c r="AV69">
        <f>IF(AND($C28=1,INDEX(Setup!$O$6:$AL$23,2,9)&lt;&gt;"",K28=0),9+IF(INDEX(Setup!$O$6:$AL$23,2,9)="T",100,0),"")</f>
        <v/>
      </c>
      <c r="AW69">
        <f>IF(AND($C29=1,INDEX(Setup!$O$6:$AL$23,2,10)&lt;&gt;"",K29=0),10+IF(INDEX(Setup!$O$6:$AL$23,2,10)="T",100,0),"")</f>
        <v/>
      </c>
      <c r="AX69">
        <f>IF(AND($C30=1,INDEX(Setup!$O$6:$AL$23,2,11)&lt;&gt;"",K30=0),11+IF(INDEX(Setup!$O$6:$AL$23,2,11)="T",100,0),"")</f>
        <v/>
      </c>
      <c r="AY69">
        <f>IF(AND($C31=1,INDEX(Setup!$O$6:$AL$23,2,12)&lt;&gt;"",K31=0),12+IF(INDEX(Setup!$O$6:$AL$23,2,12)="T",100,0),"")</f>
        <v/>
      </c>
      <c r="AZ69">
        <f>IF(AND($C32=1,INDEX(Setup!$O$6:$AL$23,2,13)&lt;&gt;"",K32=0),13+IF(INDEX(Setup!$O$6:$AL$23,2,13)="T",100,0),"")</f>
        <v/>
      </c>
      <c r="BA69">
        <f>IF(AND($C33=1,INDEX(Setup!$O$6:$AL$23,2,14)&lt;&gt;"",K33=0),14+IF(INDEX(Setup!$O$6:$AL$23,2,14)="T",100,0),"")</f>
        <v/>
      </c>
      <c r="BB69">
        <f>IF(AND($C34=1,INDEX(Setup!$O$6:$AL$23,2,15)&lt;&gt;"",K34=0),15+IF(INDEX(Setup!$O$6:$AL$23,2,15)="T",100,0),"")</f>
        <v/>
      </c>
      <c r="BC69">
        <f>IF(AND($C35=1,INDEX(Setup!$O$6:$AL$23,2,16)&lt;&gt;"",K35=0),16+IF(INDEX(Setup!$O$6:$AL$23,2,16)="T",100,0),"")</f>
        <v/>
      </c>
      <c r="BD69">
        <f>IF(AND($C36=1,INDEX(Setup!$O$6:$AL$23,2,17)&lt;&gt;"",K36=0),17+IF(INDEX(Setup!$O$6:$AL$23,2,17)="T",100,0),"")</f>
        <v/>
      </c>
      <c r="BE69">
        <f>IF(AND($C37=1,INDEX(Setup!$O$6:$AL$23,2,18)&lt;&gt;"",K37=0),18+IF(INDEX(Setup!$O$6:$AL$23,2,18)="T",100,0),"")</f>
        <v/>
      </c>
      <c r="BF69">
        <f>IF(AND($C38=1,INDEX(Setup!$O$6:$AL$23,2,19)&lt;&gt;"",K38=0),19+IF(INDEX(Setup!$O$6:$AL$23,2,19)="T",100,0),"")</f>
        <v/>
      </c>
      <c r="BG69">
        <f>IF(AND($C39=1,INDEX(Setup!$O$6:$AL$23,2,20)&lt;&gt;"",K39=0),20+IF(INDEX(Setup!$O$6:$AL$23,2,20)="T",100,0),"")</f>
        <v/>
      </c>
      <c r="BH69">
        <f>IF(AND($C40=1,INDEX(Setup!$O$6:$AL$23,2,21)&lt;&gt;"",K40=0),21+IF(INDEX(Setup!$O$6:$AL$23,2,21)="T",100,0),"")</f>
        <v/>
      </c>
      <c r="BI69">
        <f>IF(AND($C41=1,INDEX(Setup!$O$6:$AL$23,2,22)&lt;&gt;"",K41=0),22+IF(INDEX(Setup!$O$6:$AL$23,2,22)="T",100,0),"")</f>
        <v/>
      </c>
      <c r="BJ69">
        <f>IF(AND($C42=1,INDEX(Setup!$O$6:$AL$23,2,23)&lt;&gt;"",K42=0),23+IF(INDEX(Setup!$O$6:$AL$23,2,23)="T",100,0),"")</f>
        <v/>
      </c>
      <c r="BK69">
        <f>IF(AND($C43=1,INDEX(Setup!$O$6:$AL$23,2,24)&lt;&gt;"",K43=0),24+IF(INDEX(Setup!$O$6:$AL$23,2,24)="T",100,0),"")</f>
        <v/>
      </c>
      <c r="BM69">
        <f>IF(AND(AN69&lt;&gt;"",COUNTIF($C$48:$E$48,$B20)+COUNTIF($C$48:$E$48,$B20&amp;" ~*")=0),($R20+COUNTIF($H$68:$H68,$B20)+COUNTIF($H$68:$H68,$B20&amp;" ~*"))*1000+IF(AN69&gt;100,500,0)+1,"")</f>
        <v/>
      </c>
      <c r="BN69">
        <f>IF(AND(AO69&lt;&gt;"",COUNTIF($C$48:$E$48,$B21)+COUNTIF($C$48:$E$48,$B21&amp;" ~*")=0),($R21+COUNTIF($H$68:$H68,$B21)+COUNTIF($H$68:$H68,$B21&amp;" ~*"))*1000+IF(AO69&gt;100,500,0)+2,"")</f>
        <v/>
      </c>
      <c r="BO69">
        <f>IF(AND(AP69&lt;&gt;"",COUNTIF($C$48:$E$48,$B22)+COUNTIF($C$48:$E$48,$B22&amp;" ~*")=0),($R22+COUNTIF($H$68:$H68,$B22)+COUNTIF($H$68:$H68,$B22&amp;" ~*"))*1000+IF(AP69&gt;100,500,0)+3,"")</f>
        <v/>
      </c>
      <c r="BP69">
        <f>IF(AND(AQ69&lt;&gt;"",COUNTIF($C$48:$E$48,$B23)+COUNTIF($C$48:$E$48,$B23&amp;" ~*")=0),($R23+COUNTIF($H$68:$H68,$B23)+COUNTIF($H$68:$H68,$B23&amp;" ~*"))*1000+IF(AQ69&gt;100,500,0)+4,"")</f>
        <v/>
      </c>
      <c r="BQ69">
        <f>IF(AND(AR69&lt;&gt;"",COUNTIF($C$48:$E$48,$B24)+COUNTIF($C$48:$E$48,$B24&amp;" ~*")=0),($R24+COUNTIF($H$68:$H68,$B24)+COUNTIF($H$68:$H68,$B24&amp;" ~*"))*1000+IF(AR69&gt;100,500,0)+5,"")</f>
        <v/>
      </c>
      <c r="BR69">
        <f>IF(AND(AS69&lt;&gt;"",COUNTIF($C$48:$E$48,$B25)+COUNTIF($C$48:$E$48,$B25&amp;" ~*")=0),($R25+COUNTIF($H$68:$H68,$B25)+COUNTIF($H$68:$H68,$B25&amp;" ~*"))*1000+IF(AS69&gt;100,500,0)+6,"")</f>
        <v/>
      </c>
      <c r="BS69">
        <f>IF(AND(AT69&lt;&gt;"",COUNTIF($C$48:$E$48,$B26)+COUNTIF($C$48:$E$48,$B26&amp;" ~*")=0),($R26+COUNTIF($H$68:$H68,$B26)+COUNTIF($H$68:$H68,$B26&amp;" ~*"))*1000+IF(AT69&gt;100,500,0)+7,"")</f>
        <v/>
      </c>
      <c r="BT69">
        <f>IF(AND(AU69&lt;&gt;"",COUNTIF($C$48:$E$48,$B27)+COUNTIF($C$48:$E$48,$B27&amp;" ~*")=0),($R27+COUNTIF($H$68:$H68,$B27)+COUNTIF($H$68:$H68,$B27&amp;" ~*"))*1000+IF(AU69&gt;100,500,0)+8,"")</f>
        <v/>
      </c>
      <c r="BU69">
        <f>IF(AND(AV69&lt;&gt;"",COUNTIF($C$48:$E$48,$B28)+COUNTIF($C$48:$E$48,$B28&amp;" ~*")=0),($R28+COUNTIF($H$68:$H68,$B28)+COUNTIF($H$68:$H68,$B28&amp;" ~*"))*1000+IF(AV69&gt;100,500,0)+9,"")</f>
        <v/>
      </c>
      <c r="BV69">
        <f>IF(AND(AW69&lt;&gt;"",COUNTIF($C$48:$E$48,$B29)+COUNTIF($C$48:$E$48,$B29&amp;" ~*")=0),($R29+COUNTIF($H$68:$H68,$B29)+COUNTIF($H$68:$H68,$B29&amp;" ~*"))*1000+IF(AW69&gt;100,500,0)+10,"")</f>
        <v/>
      </c>
      <c r="BW69">
        <f>IF(AND(AX69&lt;&gt;"",COUNTIF($C$48:$E$48,$B30)+COUNTIF($C$48:$E$48,$B30&amp;" ~*")=0),($R30+COUNTIF($H$68:$H68,$B30)+COUNTIF($H$68:$H68,$B30&amp;" ~*"))*1000+IF(AX69&gt;100,500,0)+11,"")</f>
        <v/>
      </c>
      <c r="BX69">
        <f>IF(AND(AY69&lt;&gt;"",COUNTIF($C$48:$E$48,$B31)+COUNTIF($C$48:$E$48,$B31&amp;" ~*")=0),($R31+COUNTIF($H$68:$H68,$B31)+COUNTIF($H$68:$H68,$B31&amp;" ~*"))*1000+IF(AY69&gt;100,500,0)+12,"")</f>
        <v/>
      </c>
      <c r="BY69">
        <f>IF(AND(AZ69&lt;&gt;"",COUNTIF($C$48:$E$48,$B32)+COUNTIF($C$48:$E$48,$B32&amp;" ~*")=0),($R32+COUNTIF($H$68:$H68,$B32)+COUNTIF($H$68:$H68,$B32&amp;" ~*"))*1000+IF(AZ69&gt;100,500,0)+13,"")</f>
        <v/>
      </c>
      <c r="BZ69">
        <f>IF(AND(BA69&lt;&gt;"",COUNTIF($C$48:$E$48,$B33)+COUNTIF($C$48:$E$48,$B33&amp;" ~*")=0),($R33+COUNTIF($H$68:$H68,$B33)+COUNTIF($H$68:$H68,$B33&amp;" ~*"))*1000+IF(BA69&gt;100,500,0)+14,"")</f>
        <v/>
      </c>
      <c r="CA69">
        <f>IF(AND(BB69&lt;&gt;"",COUNTIF($C$48:$E$48,$B34)+COUNTIF($C$48:$E$48,$B34&amp;" ~*")=0),($R34+COUNTIF($H$68:$H68,$B34)+COUNTIF($H$68:$H68,$B34&amp;" ~*"))*1000+IF(BB69&gt;100,500,0)+15,"")</f>
        <v/>
      </c>
      <c r="CB69">
        <f>IF(AND(BC69&lt;&gt;"",COUNTIF($C$48:$E$48,$B35)+COUNTIF($C$48:$E$48,$B35&amp;" ~*")=0),($R35+COUNTIF($H$68:$H68,$B35)+COUNTIF($H$68:$H68,$B35&amp;" ~*"))*1000+IF(BC69&gt;100,500,0)+16,"")</f>
        <v/>
      </c>
      <c r="CC69">
        <f>IF(AND(BD69&lt;&gt;"",COUNTIF($C$48:$E$48,$B36)+COUNTIF($C$48:$E$48,$B36&amp;" ~*")=0),($R36+COUNTIF($H$68:$H68,$B36)+COUNTIF($H$68:$H68,$B36&amp;" ~*"))*1000+IF(BD69&gt;100,500,0)+17,"")</f>
        <v/>
      </c>
      <c r="CD69">
        <f>IF(AND(BE69&lt;&gt;"",COUNTIF($C$48:$E$48,$B37)+COUNTIF($C$48:$E$48,$B37&amp;" ~*")=0),($R37+COUNTIF($H$68:$H68,$B37)+COUNTIF($H$68:$H68,$B37&amp;" ~*"))*1000+IF(BE69&gt;100,500,0)+18,"")</f>
        <v/>
      </c>
      <c r="CE69">
        <f>IF(AND(BF69&lt;&gt;"",COUNTIF($C$48:$E$48,$B38)+COUNTIF($C$48:$E$48,$B38&amp;" ~*")=0),($R38+COUNTIF($H$68:$H68,$B38)+COUNTIF($H$68:$H68,$B38&amp;" ~*"))*1000+IF(BF69&gt;100,500,0)+19,"")</f>
        <v/>
      </c>
      <c r="CF69">
        <f>IF(AND(BG69&lt;&gt;"",COUNTIF($C$48:$E$48,$B39)+COUNTIF($C$48:$E$48,$B39&amp;" ~*")=0),($R39+COUNTIF($H$68:$H68,$B39)+COUNTIF($H$68:$H68,$B39&amp;" ~*"))*1000+IF(BG69&gt;100,500,0)+20,"")</f>
        <v/>
      </c>
      <c r="CG69">
        <f>IF(AND(BH69&lt;&gt;"",COUNTIF($C$48:$E$48,$B40)+COUNTIF($C$48:$E$48,$B40&amp;" ~*")=0),($R40+COUNTIF($H$68:$H68,$B40)+COUNTIF($H$68:$H68,$B40&amp;" ~*"))*1000+IF(BH69&gt;100,500,0)+21,"")</f>
        <v/>
      </c>
      <c r="CH69">
        <f>IF(AND(BI69&lt;&gt;"",COUNTIF($C$48:$E$48,$B41)+COUNTIF($C$48:$E$48,$B41&amp;" ~*")=0),($R41+COUNTIF($H$68:$H68,$B41)+COUNTIF($H$68:$H68,$B41&amp;" ~*"))*1000+IF(BI69&gt;100,500,0)+22,"")</f>
        <v/>
      </c>
      <c r="CI69">
        <f>IF(AND(BJ69&lt;&gt;"",COUNTIF($C$48:$E$48,$B42)+COUNTIF($C$48:$E$48,$B42&amp;" ~*")=0),($R42+COUNTIF($H$68:$H68,$B42)+COUNTIF($H$68:$H68,$B42&amp;" ~*"))*1000+IF(BJ69&gt;100,500,0)+23,"")</f>
        <v/>
      </c>
      <c r="CJ69">
        <f>IF(AND(BK69&lt;&gt;"",COUNTIF($C$48:$E$48,$B43)+COUNTIF($C$48:$E$48,$B43&amp;" ~*")=0),($R43+COUNTIF($H$68:$H68,$B43)+COUNTIF($H$68:$H68,$B43&amp;" ~*"))*1000+IF(BK69&gt;100,500,0)+24,"")</f>
        <v/>
      </c>
    </row>
    <row r="70">
      <c r="A70" t="n">
        <v>1</v>
      </c>
      <c r="B70" t="n">
        <v>3</v>
      </c>
      <c r="C70">
        <f>$B$49</f>
        <v/>
      </c>
      <c r="D70" t="inlineStr">
        <is>
          <t>Mon</t>
        </is>
      </c>
      <c r="E70">
        <f>IF(C70="","",N($AB$49))</f>
        <v/>
      </c>
      <c r="F70">
        <f>IF(C70="","",COUNTIF($C$49:$E$49,"?*"))</f>
        <v/>
      </c>
      <c r="G70">
        <f>IF(C70="","",MAX(0,E70-F70))</f>
        <v/>
      </c>
      <c r="H70">
        <f>IF(N(G70)=0,"",IF(COUNT(BM70:CJ70)=0,"no-one eligible",INDEX(Engine!$B$20:$B$43,MOD(MIN(BM70:CJ70),500))&amp;IF(MOD(MIN(BM70:CJ70),1000)&gt;=500," *","")))</f>
        <v/>
      </c>
      <c r="I70">
        <f>IF(N(G70)&gt;0,COUNTIF($G$68:G70,"&gt;0"),"")</f>
        <v/>
      </c>
      <c r="J70">
        <f>IF(C70="","",IF($C$49="",0,IF(IFERROR(INDEX(Setup!$O$6:$AL$23,3,MATCH(SUBSTITUTE($C$49," *",""),Setup!$B$6:$B$29,0)),"")="",1,0))+IF($D$49="",0,IF(IFERROR(INDEX(Setup!$O$6:$AL$23,3,MATCH(SUBSTITUTE($D$49," *",""),Setup!$B$6:$B$29,0)),"")="",1,0))+IF($E$49="",0,IF(IFERROR(INDEX(Setup!$O$6:$AL$23,3,MATCH(SUBSTITUTE($E$49," *",""),Setup!$B$6:$B$29,0)),"")="",1,0)))</f>
        <v/>
      </c>
      <c r="K70">
        <f>IF($B$12+0=TODAY(),1,0)</f>
        <v/>
      </c>
      <c r="N70">
        <f>COUNT($AN70:$BK70)</f>
        <v/>
      </c>
      <c r="O70">
        <f>IF(1&gt;$N70,"",INDEX(Engine!$B$20:$B$43,MOD(SMALL($AN70:$BK70,1),100))&amp;IF(SMALL($AN70:$BK70,1)&gt;100," *",""))</f>
        <v/>
      </c>
      <c r="P70">
        <f>IF(2&gt;$N70,"",INDEX(Engine!$B$20:$B$43,MOD(SMALL($AN70:$BK70,2),100))&amp;IF(SMALL($AN70:$BK70,2)&gt;100," *",""))</f>
        <v/>
      </c>
      <c r="Q70">
        <f>IF(3&gt;$N70,"",INDEX(Engine!$B$20:$B$43,MOD(SMALL($AN70:$BK70,3),100))&amp;IF(SMALL($AN70:$BK70,3)&gt;100," *",""))</f>
        <v/>
      </c>
      <c r="R70">
        <f>IF(4&gt;$N70,"",INDEX(Engine!$B$20:$B$43,MOD(SMALL($AN70:$BK70,4),100))&amp;IF(SMALL($AN70:$BK70,4)&gt;100," *",""))</f>
        <v/>
      </c>
      <c r="S70">
        <f>IF(5&gt;$N70,"",INDEX(Engine!$B$20:$B$43,MOD(SMALL($AN70:$BK70,5),100))&amp;IF(SMALL($AN70:$BK70,5)&gt;100," *",""))</f>
        <v/>
      </c>
      <c r="T70">
        <f>IF(6&gt;$N70,"",INDEX(Engine!$B$20:$B$43,MOD(SMALL($AN70:$BK70,6),100))&amp;IF(SMALL($AN70:$BK70,6)&gt;100," *",""))</f>
        <v/>
      </c>
      <c r="U70">
        <f>IF(7&gt;$N70,"",INDEX(Engine!$B$20:$B$43,MOD(SMALL($AN70:$BK70,7),100))&amp;IF(SMALL($AN70:$BK70,7)&gt;100," *",""))</f>
        <v/>
      </c>
      <c r="V70">
        <f>IF(8&gt;$N70,"",INDEX(Engine!$B$20:$B$43,MOD(SMALL($AN70:$BK70,8),100))&amp;IF(SMALL($AN70:$BK70,8)&gt;100," *",""))</f>
        <v/>
      </c>
      <c r="W70">
        <f>IF(9&gt;$N70,"",INDEX(Engine!$B$20:$B$43,MOD(SMALL($AN70:$BK70,9),100))&amp;IF(SMALL($AN70:$BK70,9)&gt;100," *",""))</f>
        <v/>
      </c>
      <c r="X70">
        <f>IF(10&gt;$N70,"",INDEX(Engine!$B$20:$B$43,MOD(SMALL($AN70:$BK70,10),100))&amp;IF(SMALL($AN70:$BK70,10)&gt;100," *",""))</f>
        <v/>
      </c>
      <c r="Y70">
        <f>IF(11&gt;$N70,"",INDEX(Engine!$B$20:$B$43,MOD(SMALL($AN70:$BK70,11),100))&amp;IF(SMALL($AN70:$BK70,11)&gt;100," *",""))</f>
        <v/>
      </c>
      <c r="Z70">
        <f>IF(12&gt;$N70,"",INDEX(Engine!$B$20:$B$43,MOD(SMALL($AN70:$BK70,12),100))&amp;IF(SMALL($AN70:$BK70,12)&gt;100," *",""))</f>
        <v/>
      </c>
      <c r="AA70">
        <f>IF(13&gt;$N70,"",INDEX(Engine!$B$20:$B$43,MOD(SMALL($AN70:$BK70,13),100))&amp;IF(SMALL($AN70:$BK70,13)&gt;100," *",""))</f>
        <v/>
      </c>
      <c r="AB70">
        <f>IF(14&gt;$N70,"",INDEX(Engine!$B$20:$B$43,MOD(SMALL($AN70:$BK70,14),100))&amp;IF(SMALL($AN70:$BK70,14)&gt;100," *",""))</f>
        <v/>
      </c>
      <c r="AC70">
        <f>IF(15&gt;$N70,"",INDEX(Engine!$B$20:$B$43,MOD(SMALL($AN70:$BK70,15),100))&amp;IF(SMALL($AN70:$BK70,15)&gt;100," *",""))</f>
        <v/>
      </c>
      <c r="AD70">
        <f>IF(16&gt;$N70,"",INDEX(Engine!$B$20:$B$43,MOD(SMALL($AN70:$BK70,16),100))&amp;IF(SMALL($AN70:$BK70,16)&gt;100," *",""))</f>
        <v/>
      </c>
      <c r="AE70">
        <f>IF(17&gt;$N70,"",INDEX(Engine!$B$20:$B$43,MOD(SMALL($AN70:$BK70,17),100))&amp;IF(SMALL($AN70:$BK70,17)&gt;100," *",""))</f>
        <v/>
      </c>
      <c r="AF70">
        <f>IF(18&gt;$N70,"",INDEX(Engine!$B$20:$B$43,MOD(SMALL($AN70:$BK70,18),100))&amp;IF(SMALL($AN70:$BK70,18)&gt;100," *",""))</f>
        <v/>
      </c>
      <c r="AG70">
        <f>IF(19&gt;$N70,"",INDEX(Engine!$B$20:$B$43,MOD(SMALL($AN70:$BK70,19),100))&amp;IF(SMALL($AN70:$BK70,19)&gt;100," *",""))</f>
        <v/>
      </c>
      <c r="AH70">
        <f>IF(20&gt;$N70,"",INDEX(Engine!$B$20:$B$43,MOD(SMALL($AN70:$BK70,20),100))&amp;IF(SMALL($AN70:$BK70,20)&gt;100," *",""))</f>
        <v/>
      </c>
      <c r="AI70">
        <f>IF(21&gt;$N70,"",INDEX(Engine!$B$20:$B$43,MOD(SMALL($AN70:$BK70,21),100))&amp;IF(SMALL($AN70:$BK70,21)&gt;100," *",""))</f>
        <v/>
      </c>
      <c r="AJ70">
        <f>IF(22&gt;$N70,"",INDEX(Engine!$B$20:$B$43,MOD(SMALL($AN70:$BK70,22),100))&amp;IF(SMALL($AN70:$BK70,22)&gt;100," *",""))</f>
        <v/>
      </c>
      <c r="AK70">
        <f>IF(23&gt;$N70,"",INDEX(Engine!$B$20:$B$43,MOD(SMALL($AN70:$BK70,23),100))&amp;IF(SMALL($AN70:$BK70,23)&gt;100," *",""))</f>
        <v/>
      </c>
      <c r="AL70">
        <f>IF(24&gt;$N70,"",INDEX(Engine!$B$20:$B$43,MOD(SMALL($AN70:$BK70,24),100))&amp;IF(SMALL($AN70:$BK70,24)&gt;100," *",""))</f>
        <v/>
      </c>
      <c r="AN70">
        <f>IF(AND($C20=1,INDEX(Setup!$O$6:$AL$23,3,1)&lt;&gt;"",K20=0),1+IF(INDEX(Setup!$O$6:$AL$23,3,1)="T",100,0),"")</f>
        <v/>
      </c>
      <c r="AO70">
        <f>IF(AND($C21=1,INDEX(Setup!$O$6:$AL$23,3,2)&lt;&gt;"",K21=0),2+IF(INDEX(Setup!$O$6:$AL$23,3,2)="T",100,0),"")</f>
        <v/>
      </c>
      <c r="AP70">
        <f>IF(AND($C22=1,INDEX(Setup!$O$6:$AL$23,3,3)&lt;&gt;"",K22=0),3+IF(INDEX(Setup!$O$6:$AL$23,3,3)="T",100,0),"")</f>
        <v/>
      </c>
      <c r="AQ70">
        <f>IF(AND($C23=1,INDEX(Setup!$O$6:$AL$23,3,4)&lt;&gt;"",K23=0),4+IF(INDEX(Setup!$O$6:$AL$23,3,4)="T",100,0),"")</f>
        <v/>
      </c>
      <c r="AR70">
        <f>IF(AND($C24=1,INDEX(Setup!$O$6:$AL$23,3,5)&lt;&gt;"",K24=0),5+IF(INDEX(Setup!$O$6:$AL$23,3,5)="T",100,0),"")</f>
        <v/>
      </c>
      <c r="AS70">
        <f>IF(AND($C25=1,INDEX(Setup!$O$6:$AL$23,3,6)&lt;&gt;"",K25=0),6+IF(INDEX(Setup!$O$6:$AL$23,3,6)="T",100,0),"")</f>
        <v/>
      </c>
      <c r="AT70">
        <f>IF(AND($C26=1,INDEX(Setup!$O$6:$AL$23,3,7)&lt;&gt;"",K26=0),7+IF(INDEX(Setup!$O$6:$AL$23,3,7)="T",100,0),"")</f>
        <v/>
      </c>
      <c r="AU70">
        <f>IF(AND($C27=1,INDEX(Setup!$O$6:$AL$23,3,8)&lt;&gt;"",K27=0),8+IF(INDEX(Setup!$O$6:$AL$23,3,8)="T",100,0),"")</f>
        <v/>
      </c>
      <c r="AV70">
        <f>IF(AND($C28=1,INDEX(Setup!$O$6:$AL$23,3,9)&lt;&gt;"",K28=0),9+IF(INDEX(Setup!$O$6:$AL$23,3,9)="T",100,0),"")</f>
        <v/>
      </c>
      <c r="AW70">
        <f>IF(AND($C29=1,INDEX(Setup!$O$6:$AL$23,3,10)&lt;&gt;"",K29=0),10+IF(INDEX(Setup!$O$6:$AL$23,3,10)="T",100,0),"")</f>
        <v/>
      </c>
      <c r="AX70">
        <f>IF(AND($C30=1,INDEX(Setup!$O$6:$AL$23,3,11)&lt;&gt;"",K30=0),11+IF(INDEX(Setup!$O$6:$AL$23,3,11)="T",100,0),"")</f>
        <v/>
      </c>
      <c r="AY70">
        <f>IF(AND($C31=1,INDEX(Setup!$O$6:$AL$23,3,12)&lt;&gt;"",K31=0),12+IF(INDEX(Setup!$O$6:$AL$23,3,12)="T",100,0),"")</f>
        <v/>
      </c>
      <c r="AZ70">
        <f>IF(AND($C32=1,INDEX(Setup!$O$6:$AL$23,3,13)&lt;&gt;"",K32=0),13+IF(INDEX(Setup!$O$6:$AL$23,3,13)="T",100,0),"")</f>
        <v/>
      </c>
      <c r="BA70">
        <f>IF(AND($C33=1,INDEX(Setup!$O$6:$AL$23,3,14)&lt;&gt;"",K33=0),14+IF(INDEX(Setup!$O$6:$AL$23,3,14)="T",100,0),"")</f>
        <v/>
      </c>
      <c r="BB70">
        <f>IF(AND($C34=1,INDEX(Setup!$O$6:$AL$23,3,15)&lt;&gt;"",K34=0),15+IF(INDEX(Setup!$O$6:$AL$23,3,15)="T",100,0),"")</f>
        <v/>
      </c>
      <c r="BC70">
        <f>IF(AND($C35=1,INDEX(Setup!$O$6:$AL$23,3,16)&lt;&gt;"",K35=0),16+IF(INDEX(Setup!$O$6:$AL$23,3,16)="T",100,0),"")</f>
        <v/>
      </c>
      <c r="BD70">
        <f>IF(AND($C36=1,INDEX(Setup!$O$6:$AL$23,3,17)&lt;&gt;"",K36=0),17+IF(INDEX(Setup!$O$6:$AL$23,3,17)="T",100,0),"")</f>
        <v/>
      </c>
      <c r="BE70">
        <f>IF(AND($C37=1,INDEX(Setup!$O$6:$AL$23,3,18)&lt;&gt;"",K37=0),18+IF(INDEX(Setup!$O$6:$AL$23,3,18)="T",100,0),"")</f>
        <v/>
      </c>
      <c r="BF70">
        <f>IF(AND($C38=1,INDEX(Setup!$O$6:$AL$23,3,19)&lt;&gt;"",K38=0),19+IF(INDEX(Setup!$O$6:$AL$23,3,19)="T",100,0),"")</f>
        <v/>
      </c>
      <c r="BG70">
        <f>IF(AND($C39=1,INDEX(Setup!$O$6:$AL$23,3,20)&lt;&gt;"",K39=0),20+IF(INDEX(Setup!$O$6:$AL$23,3,20)="T",100,0),"")</f>
        <v/>
      </c>
      <c r="BH70">
        <f>IF(AND($C40=1,INDEX(Setup!$O$6:$AL$23,3,21)&lt;&gt;"",K40=0),21+IF(INDEX(Setup!$O$6:$AL$23,3,21)="T",100,0),"")</f>
        <v/>
      </c>
      <c r="BI70">
        <f>IF(AND($C41=1,INDEX(Setup!$O$6:$AL$23,3,22)&lt;&gt;"",K41=0),22+IF(INDEX(Setup!$O$6:$AL$23,3,22)="T",100,0),"")</f>
        <v/>
      </c>
      <c r="BJ70">
        <f>IF(AND($C42=1,INDEX(Setup!$O$6:$AL$23,3,23)&lt;&gt;"",K42=0),23+IF(INDEX(Setup!$O$6:$AL$23,3,23)="T",100,0),"")</f>
        <v/>
      </c>
      <c r="BK70">
        <f>IF(AND($C43=1,INDEX(Setup!$O$6:$AL$23,3,24)&lt;&gt;"",K43=0),24+IF(INDEX(Setup!$O$6:$AL$23,3,24)="T",100,0),"")</f>
        <v/>
      </c>
      <c r="BM70">
        <f>IF(AND(AN70&lt;&gt;"",COUNTIF($C$49:$E$49,$B20)+COUNTIF($C$49:$E$49,$B20&amp;" ~*")=0),($R20+COUNTIF($H$68:$H69,$B20)+COUNTIF($H$68:$H69,$B20&amp;" ~*"))*1000+IF(AN70&gt;100,500,0)+1,"")</f>
        <v/>
      </c>
      <c r="BN70">
        <f>IF(AND(AO70&lt;&gt;"",COUNTIF($C$49:$E$49,$B21)+COUNTIF($C$49:$E$49,$B21&amp;" ~*")=0),($R21+COUNTIF($H$68:$H69,$B21)+COUNTIF($H$68:$H69,$B21&amp;" ~*"))*1000+IF(AO70&gt;100,500,0)+2,"")</f>
        <v/>
      </c>
      <c r="BO70">
        <f>IF(AND(AP70&lt;&gt;"",COUNTIF($C$49:$E$49,$B22)+COUNTIF($C$49:$E$49,$B22&amp;" ~*")=0),($R22+COUNTIF($H$68:$H69,$B22)+COUNTIF($H$68:$H69,$B22&amp;" ~*"))*1000+IF(AP70&gt;100,500,0)+3,"")</f>
        <v/>
      </c>
      <c r="BP70">
        <f>IF(AND(AQ70&lt;&gt;"",COUNTIF($C$49:$E$49,$B23)+COUNTIF($C$49:$E$49,$B23&amp;" ~*")=0),($R23+COUNTIF($H$68:$H69,$B23)+COUNTIF($H$68:$H69,$B23&amp;" ~*"))*1000+IF(AQ70&gt;100,500,0)+4,"")</f>
        <v/>
      </c>
      <c r="BQ70">
        <f>IF(AND(AR70&lt;&gt;"",COUNTIF($C$49:$E$49,$B24)+COUNTIF($C$49:$E$49,$B24&amp;" ~*")=0),($R24+COUNTIF($H$68:$H69,$B24)+COUNTIF($H$68:$H69,$B24&amp;" ~*"))*1000+IF(AR70&gt;100,500,0)+5,"")</f>
        <v/>
      </c>
      <c r="BR70">
        <f>IF(AND(AS70&lt;&gt;"",COUNTIF($C$49:$E$49,$B25)+COUNTIF($C$49:$E$49,$B25&amp;" ~*")=0),($R25+COUNTIF($H$68:$H69,$B25)+COUNTIF($H$68:$H69,$B25&amp;" ~*"))*1000+IF(AS70&gt;100,500,0)+6,"")</f>
        <v/>
      </c>
      <c r="BS70">
        <f>IF(AND(AT70&lt;&gt;"",COUNTIF($C$49:$E$49,$B26)+COUNTIF($C$49:$E$49,$B26&amp;" ~*")=0),($R26+COUNTIF($H$68:$H69,$B26)+COUNTIF($H$68:$H69,$B26&amp;" ~*"))*1000+IF(AT70&gt;100,500,0)+7,"")</f>
        <v/>
      </c>
      <c r="BT70">
        <f>IF(AND(AU70&lt;&gt;"",COUNTIF($C$49:$E$49,$B27)+COUNTIF($C$49:$E$49,$B27&amp;" ~*")=0),($R27+COUNTIF($H$68:$H69,$B27)+COUNTIF($H$68:$H69,$B27&amp;" ~*"))*1000+IF(AU70&gt;100,500,0)+8,"")</f>
        <v/>
      </c>
      <c r="BU70">
        <f>IF(AND(AV70&lt;&gt;"",COUNTIF($C$49:$E$49,$B28)+COUNTIF($C$49:$E$49,$B28&amp;" ~*")=0),($R28+COUNTIF($H$68:$H69,$B28)+COUNTIF($H$68:$H69,$B28&amp;" ~*"))*1000+IF(AV70&gt;100,500,0)+9,"")</f>
        <v/>
      </c>
      <c r="BV70">
        <f>IF(AND(AW70&lt;&gt;"",COUNTIF($C$49:$E$49,$B29)+COUNTIF($C$49:$E$49,$B29&amp;" ~*")=0),($R29+COUNTIF($H$68:$H69,$B29)+COUNTIF($H$68:$H69,$B29&amp;" ~*"))*1000+IF(AW70&gt;100,500,0)+10,"")</f>
        <v/>
      </c>
      <c r="BW70">
        <f>IF(AND(AX70&lt;&gt;"",COUNTIF($C$49:$E$49,$B30)+COUNTIF($C$49:$E$49,$B30&amp;" ~*")=0),($R30+COUNTIF($H$68:$H69,$B30)+COUNTIF($H$68:$H69,$B30&amp;" ~*"))*1000+IF(AX70&gt;100,500,0)+11,"")</f>
        <v/>
      </c>
      <c r="BX70">
        <f>IF(AND(AY70&lt;&gt;"",COUNTIF($C$49:$E$49,$B31)+COUNTIF($C$49:$E$49,$B31&amp;" ~*")=0),($R31+COUNTIF($H$68:$H69,$B31)+COUNTIF($H$68:$H69,$B31&amp;" ~*"))*1000+IF(AY70&gt;100,500,0)+12,"")</f>
        <v/>
      </c>
      <c r="BY70">
        <f>IF(AND(AZ70&lt;&gt;"",COUNTIF($C$49:$E$49,$B32)+COUNTIF($C$49:$E$49,$B32&amp;" ~*")=0),($R32+COUNTIF($H$68:$H69,$B32)+COUNTIF($H$68:$H69,$B32&amp;" ~*"))*1000+IF(AZ70&gt;100,500,0)+13,"")</f>
        <v/>
      </c>
      <c r="BZ70">
        <f>IF(AND(BA70&lt;&gt;"",COUNTIF($C$49:$E$49,$B33)+COUNTIF($C$49:$E$49,$B33&amp;" ~*")=0),($R33+COUNTIF($H$68:$H69,$B33)+COUNTIF($H$68:$H69,$B33&amp;" ~*"))*1000+IF(BA70&gt;100,500,0)+14,"")</f>
        <v/>
      </c>
      <c r="CA70">
        <f>IF(AND(BB70&lt;&gt;"",COUNTIF($C$49:$E$49,$B34)+COUNTIF($C$49:$E$49,$B34&amp;" ~*")=0),($R34+COUNTIF($H$68:$H69,$B34)+COUNTIF($H$68:$H69,$B34&amp;" ~*"))*1000+IF(BB70&gt;100,500,0)+15,"")</f>
        <v/>
      </c>
      <c r="CB70">
        <f>IF(AND(BC70&lt;&gt;"",COUNTIF($C$49:$E$49,$B35)+COUNTIF($C$49:$E$49,$B35&amp;" ~*")=0),($R35+COUNTIF($H$68:$H69,$B35)+COUNTIF($H$68:$H69,$B35&amp;" ~*"))*1000+IF(BC70&gt;100,500,0)+16,"")</f>
        <v/>
      </c>
      <c r="CC70">
        <f>IF(AND(BD70&lt;&gt;"",COUNTIF($C$49:$E$49,$B36)+COUNTIF($C$49:$E$49,$B36&amp;" ~*")=0),($R36+COUNTIF($H$68:$H69,$B36)+COUNTIF($H$68:$H69,$B36&amp;" ~*"))*1000+IF(BD70&gt;100,500,0)+17,"")</f>
        <v/>
      </c>
      <c r="CD70">
        <f>IF(AND(BE70&lt;&gt;"",COUNTIF($C$49:$E$49,$B37)+COUNTIF($C$49:$E$49,$B37&amp;" ~*")=0),($R37+COUNTIF($H$68:$H69,$B37)+COUNTIF($H$68:$H69,$B37&amp;" ~*"))*1000+IF(BE70&gt;100,500,0)+18,"")</f>
        <v/>
      </c>
      <c r="CE70">
        <f>IF(AND(BF70&lt;&gt;"",COUNTIF($C$49:$E$49,$B38)+COUNTIF($C$49:$E$49,$B38&amp;" ~*")=0),($R38+COUNTIF($H$68:$H69,$B38)+COUNTIF($H$68:$H69,$B38&amp;" ~*"))*1000+IF(BF70&gt;100,500,0)+19,"")</f>
        <v/>
      </c>
      <c r="CF70">
        <f>IF(AND(BG70&lt;&gt;"",COUNTIF($C$49:$E$49,$B39)+COUNTIF($C$49:$E$49,$B39&amp;" ~*")=0),($R39+COUNTIF($H$68:$H69,$B39)+COUNTIF($H$68:$H69,$B39&amp;" ~*"))*1000+IF(BG70&gt;100,500,0)+20,"")</f>
        <v/>
      </c>
      <c r="CG70">
        <f>IF(AND(BH70&lt;&gt;"",COUNTIF($C$49:$E$49,$B40)+COUNTIF($C$49:$E$49,$B40&amp;" ~*")=0),($R40+COUNTIF($H$68:$H69,$B40)+COUNTIF($H$68:$H69,$B40&amp;" ~*"))*1000+IF(BH70&gt;100,500,0)+21,"")</f>
        <v/>
      </c>
      <c r="CH70">
        <f>IF(AND(BI70&lt;&gt;"",COUNTIF($C$49:$E$49,$B41)+COUNTIF($C$49:$E$49,$B41&amp;" ~*")=0),($R41+COUNTIF($H$68:$H69,$B41)+COUNTIF($H$68:$H69,$B41&amp;" ~*"))*1000+IF(BI70&gt;100,500,0)+22,"")</f>
        <v/>
      </c>
      <c r="CI70">
        <f>IF(AND(BJ70&lt;&gt;"",COUNTIF($C$49:$E$49,$B42)+COUNTIF($C$49:$E$49,$B42&amp;" ~*")=0),($R42+COUNTIF($H$68:$H69,$B42)+COUNTIF($H$68:$H69,$B42&amp;" ~*"))*1000+IF(BJ70&gt;100,500,0)+23,"")</f>
        <v/>
      </c>
      <c r="CJ70">
        <f>IF(AND(BK70&lt;&gt;"",COUNTIF($C$49:$E$49,$B43)+COUNTIF($C$49:$E$49,$B43&amp;" ~*")=0),($R43+COUNTIF($H$68:$H69,$B43)+COUNTIF($H$68:$H69,$B43&amp;" ~*"))*1000+IF(BK70&gt;100,500,0)+24,"")</f>
        <v/>
      </c>
    </row>
    <row r="71">
      <c r="A71" t="n">
        <v>1</v>
      </c>
      <c r="B71" t="n">
        <v>4</v>
      </c>
      <c r="C71">
        <f>$B$50</f>
        <v/>
      </c>
      <c r="D71" t="inlineStr">
        <is>
          <t>Mon</t>
        </is>
      </c>
      <c r="E71">
        <f>IF(C71="","",N($AB$50))</f>
        <v/>
      </c>
      <c r="F71">
        <f>IF(C71="","",COUNTIF($C$50:$E$50,"?*"))</f>
        <v/>
      </c>
      <c r="G71">
        <f>IF(C71="","",MAX(0,E71-F71))</f>
        <v/>
      </c>
      <c r="H71">
        <f>IF(N(G71)=0,"",IF(COUNT(BM71:CJ71)=0,"no-one eligible",INDEX(Engine!$B$20:$B$43,MOD(MIN(BM71:CJ71),500))&amp;IF(MOD(MIN(BM71:CJ71),1000)&gt;=500," *","")))</f>
        <v/>
      </c>
      <c r="I71">
        <f>IF(N(G71)&gt;0,COUNTIF($G$68:G71,"&gt;0"),"")</f>
        <v/>
      </c>
      <c r="J71">
        <f>IF(C71="","",IF($C$50="",0,IF(IFERROR(INDEX(Setup!$O$6:$AL$23,4,MATCH(SUBSTITUTE($C$50," *",""),Setup!$B$6:$B$29,0)),"")="",1,0))+IF($D$50="",0,IF(IFERROR(INDEX(Setup!$O$6:$AL$23,4,MATCH(SUBSTITUTE($D$50," *",""),Setup!$B$6:$B$29,0)),"")="",1,0))+IF($E$50="",0,IF(IFERROR(INDEX(Setup!$O$6:$AL$23,4,MATCH(SUBSTITUTE($E$50," *",""),Setup!$B$6:$B$29,0)),"")="",1,0)))</f>
        <v/>
      </c>
      <c r="K71">
        <f>IF($B$12+0=TODAY(),1,0)</f>
        <v/>
      </c>
      <c r="N71">
        <f>COUNT($AN71:$BK71)</f>
        <v/>
      </c>
      <c r="O71">
        <f>IF(1&gt;$N71,"",INDEX(Engine!$B$20:$B$43,MOD(SMALL($AN71:$BK71,1),100))&amp;IF(SMALL($AN71:$BK71,1)&gt;100," *",""))</f>
        <v/>
      </c>
      <c r="P71">
        <f>IF(2&gt;$N71,"",INDEX(Engine!$B$20:$B$43,MOD(SMALL($AN71:$BK71,2),100))&amp;IF(SMALL($AN71:$BK71,2)&gt;100," *",""))</f>
        <v/>
      </c>
      <c r="Q71">
        <f>IF(3&gt;$N71,"",INDEX(Engine!$B$20:$B$43,MOD(SMALL($AN71:$BK71,3),100))&amp;IF(SMALL($AN71:$BK71,3)&gt;100," *",""))</f>
        <v/>
      </c>
      <c r="R71">
        <f>IF(4&gt;$N71,"",INDEX(Engine!$B$20:$B$43,MOD(SMALL($AN71:$BK71,4),100))&amp;IF(SMALL($AN71:$BK71,4)&gt;100," *",""))</f>
        <v/>
      </c>
      <c r="S71">
        <f>IF(5&gt;$N71,"",INDEX(Engine!$B$20:$B$43,MOD(SMALL($AN71:$BK71,5),100))&amp;IF(SMALL($AN71:$BK71,5)&gt;100," *",""))</f>
        <v/>
      </c>
      <c r="T71">
        <f>IF(6&gt;$N71,"",INDEX(Engine!$B$20:$B$43,MOD(SMALL($AN71:$BK71,6),100))&amp;IF(SMALL($AN71:$BK71,6)&gt;100," *",""))</f>
        <v/>
      </c>
      <c r="U71">
        <f>IF(7&gt;$N71,"",INDEX(Engine!$B$20:$B$43,MOD(SMALL($AN71:$BK71,7),100))&amp;IF(SMALL($AN71:$BK71,7)&gt;100," *",""))</f>
        <v/>
      </c>
      <c r="V71">
        <f>IF(8&gt;$N71,"",INDEX(Engine!$B$20:$B$43,MOD(SMALL($AN71:$BK71,8),100))&amp;IF(SMALL($AN71:$BK71,8)&gt;100," *",""))</f>
        <v/>
      </c>
      <c r="W71">
        <f>IF(9&gt;$N71,"",INDEX(Engine!$B$20:$B$43,MOD(SMALL($AN71:$BK71,9),100))&amp;IF(SMALL($AN71:$BK71,9)&gt;100," *",""))</f>
        <v/>
      </c>
      <c r="X71">
        <f>IF(10&gt;$N71,"",INDEX(Engine!$B$20:$B$43,MOD(SMALL($AN71:$BK71,10),100))&amp;IF(SMALL($AN71:$BK71,10)&gt;100," *",""))</f>
        <v/>
      </c>
      <c r="Y71">
        <f>IF(11&gt;$N71,"",INDEX(Engine!$B$20:$B$43,MOD(SMALL($AN71:$BK71,11),100))&amp;IF(SMALL($AN71:$BK71,11)&gt;100," *",""))</f>
        <v/>
      </c>
      <c r="Z71">
        <f>IF(12&gt;$N71,"",INDEX(Engine!$B$20:$B$43,MOD(SMALL($AN71:$BK71,12),100))&amp;IF(SMALL($AN71:$BK71,12)&gt;100," *",""))</f>
        <v/>
      </c>
      <c r="AA71">
        <f>IF(13&gt;$N71,"",INDEX(Engine!$B$20:$B$43,MOD(SMALL($AN71:$BK71,13),100))&amp;IF(SMALL($AN71:$BK71,13)&gt;100," *",""))</f>
        <v/>
      </c>
      <c r="AB71">
        <f>IF(14&gt;$N71,"",INDEX(Engine!$B$20:$B$43,MOD(SMALL($AN71:$BK71,14),100))&amp;IF(SMALL($AN71:$BK71,14)&gt;100," *",""))</f>
        <v/>
      </c>
      <c r="AC71">
        <f>IF(15&gt;$N71,"",INDEX(Engine!$B$20:$B$43,MOD(SMALL($AN71:$BK71,15),100))&amp;IF(SMALL($AN71:$BK71,15)&gt;100," *",""))</f>
        <v/>
      </c>
      <c r="AD71">
        <f>IF(16&gt;$N71,"",INDEX(Engine!$B$20:$B$43,MOD(SMALL($AN71:$BK71,16),100))&amp;IF(SMALL($AN71:$BK71,16)&gt;100," *",""))</f>
        <v/>
      </c>
      <c r="AE71">
        <f>IF(17&gt;$N71,"",INDEX(Engine!$B$20:$B$43,MOD(SMALL($AN71:$BK71,17),100))&amp;IF(SMALL($AN71:$BK71,17)&gt;100," *",""))</f>
        <v/>
      </c>
      <c r="AF71">
        <f>IF(18&gt;$N71,"",INDEX(Engine!$B$20:$B$43,MOD(SMALL($AN71:$BK71,18),100))&amp;IF(SMALL($AN71:$BK71,18)&gt;100," *",""))</f>
        <v/>
      </c>
      <c r="AG71">
        <f>IF(19&gt;$N71,"",INDEX(Engine!$B$20:$B$43,MOD(SMALL($AN71:$BK71,19),100))&amp;IF(SMALL($AN71:$BK71,19)&gt;100," *",""))</f>
        <v/>
      </c>
      <c r="AH71">
        <f>IF(20&gt;$N71,"",INDEX(Engine!$B$20:$B$43,MOD(SMALL($AN71:$BK71,20),100))&amp;IF(SMALL($AN71:$BK71,20)&gt;100," *",""))</f>
        <v/>
      </c>
      <c r="AI71">
        <f>IF(21&gt;$N71,"",INDEX(Engine!$B$20:$B$43,MOD(SMALL($AN71:$BK71,21),100))&amp;IF(SMALL($AN71:$BK71,21)&gt;100," *",""))</f>
        <v/>
      </c>
      <c r="AJ71">
        <f>IF(22&gt;$N71,"",INDEX(Engine!$B$20:$B$43,MOD(SMALL($AN71:$BK71,22),100))&amp;IF(SMALL($AN71:$BK71,22)&gt;100," *",""))</f>
        <v/>
      </c>
      <c r="AK71">
        <f>IF(23&gt;$N71,"",INDEX(Engine!$B$20:$B$43,MOD(SMALL($AN71:$BK71,23),100))&amp;IF(SMALL($AN71:$BK71,23)&gt;100," *",""))</f>
        <v/>
      </c>
      <c r="AL71">
        <f>IF(24&gt;$N71,"",INDEX(Engine!$B$20:$B$43,MOD(SMALL($AN71:$BK71,24),100))&amp;IF(SMALL($AN71:$BK71,24)&gt;100," *",""))</f>
        <v/>
      </c>
      <c r="AN71">
        <f>IF(AND($C20=1,INDEX(Setup!$O$6:$AL$23,4,1)&lt;&gt;"",K20=0),1+IF(INDEX(Setup!$O$6:$AL$23,4,1)="T",100,0),"")</f>
        <v/>
      </c>
      <c r="AO71">
        <f>IF(AND($C21=1,INDEX(Setup!$O$6:$AL$23,4,2)&lt;&gt;"",K21=0),2+IF(INDEX(Setup!$O$6:$AL$23,4,2)="T",100,0),"")</f>
        <v/>
      </c>
      <c r="AP71">
        <f>IF(AND($C22=1,INDEX(Setup!$O$6:$AL$23,4,3)&lt;&gt;"",K22=0),3+IF(INDEX(Setup!$O$6:$AL$23,4,3)="T",100,0),"")</f>
        <v/>
      </c>
      <c r="AQ71">
        <f>IF(AND($C23=1,INDEX(Setup!$O$6:$AL$23,4,4)&lt;&gt;"",K23=0),4+IF(INDEX(Setup!$O$6:$AL$23,4,4)="T",100,0),"")</f>
        <v/>
      </c>
      <c r="AR71">
        <f>IF(AND($C24=1,INDEX(Setup!$O$6:$AL$23,4,5)&lt;&gt;"",K24=0),5+IF(INDEX(Setup!$O$6:$AL$23,4,5)="T",100,0),"")</f>
        <v/>
      </c>
      <c r="AS71">
        <f>IF(AND($C25=1,INDEX(Setup!$O$6:$AL$23,4,6)&lt;&gt;"",K25=0),6+IF(INDEX(Setup!$O$6:$AL$23,4,6)="T",100,0),"")</f>
        <v/>
      </c>
      <c r="AT71">
        <f>IF(AND($C26=1,INDEX(Setup!$O$6:$AL$23,4,7)&lt;&gt;"",K26=0),7+IF(INDEX(Setup!$O$6:$AL$23,4,7)="T",100,0),"")</f>
        <v/>
      </c>
      <c r="AU71">
        <f>IF(AND($C27=1,INDEX(Setup!$O$6:$AL$23,4,8)&lt;&gt;"",K27=0),8+IF(INDEX(Setup!$O$6:$AL$23,4,8)="T",100,0),"")</f>
        <v/>
      </c>
      <c r="AV71">
        <f>IF(AND($C28=1,INDEX(Setup!$O$6:$AL$23,4,9)&lt;&gt;"",K28=0),9+IF(INDEX(Setup!$O$6:$AL$23,4,9)="T",100,0),"")</f>
        <v/>
      </c>
      <c r="AW71">
        <f>IF(AND($C29=1,INDEX(Setup!$O$6:$AL$23,4,10)&lt;&gt;"",K29=0),10+IF(INDEX(Setup!$O$6:$AL$23,4,10)="T",100,0),"")</f>
        <v/>
      </c>
      <c r="AX71">
        <f>IF(AND($C30=1,INDEX(Setup!$O$6:$AL$23,4,11)&lt;&gt;"",K30=0),11+IF(INDEX(Setup!$O$6:$AL$23,4,11)="T",100,0),"")</f>
        <v/>
      </c>
      <c r="AY71">
        <f>IF(AND($C31=1,INDEX(Setup!$O$6:$AL$23,4,12)&lt;&gt;"",K31=0),12+IF(INDEX(Setup!$O$6:$AL$23,4,12)="T",100,0),"")</f>
        <v/>
      </c>
      <c r="AZ71">
        <f>IF(AND($C32=1,INDEX(Setup!$O$6:$AL$23,4,13)&lt;&gt;"",K32=0),13+IF(INDEX(Setup!$O$6:$AL$23,4,13)="T",100,0),"")</f>
        <v/>
      </c>
      <c r="BA71">
        <f>IF(AND($C33=1,INDEX(Setup!$O$6:$AL$23,4,14)&lt;&gt;"",K33=0),14+IF(INDEX(Setup!$O$6:$AL$23,4,14)="T",100,0),"")</f>
        <v/>
      </c>
      <c r="BB71">
        <f>IF(AND($C34=1,INDEX(Setup!$O$6:$AL$23,4,15)&lt;&gt;"",K34=0),15+IF(INDEX(Setup!$O$6:$AL$23,4,15)="T",100,0),"")</f>
        <v/>
      </c>
      <c r="BC71">
        <f>IF(AND($C35=1,INDEX(Setup!$O$6:$AL$23,4,16)&lt;&gt;"",K35=0),16+IF(INDEX(Setup!$O$6:$AL$23,4,16)="T",100,0),"")</f>
        <v/>
      </c>
      <c r="BD71">
        <f>IF(AND($C36=1,INDEX(Setup!$O$6:$AL$23,4,17)&lt;&gt;"",K36=0),17+IF(INDEX(Setup!$O$6:$AL$23,4,17)="T",100,0),"")</f>
        <v/>
      </c>
      <c r="BE71">
        <f>IF(AND($C37=1,INDEX(Setup!$O$6:$AL$23,4,18)&lt;&gt;"",K37=0),18+IF(INDEX(Setup!$O$6:$AL$23,4,18)="T",100,0),"")</f>
        <v/>
      </c>
      <c r="BF71">
        <f>IF(AND($C38=1,INDEX(Setup!$O$6:$AL$23,4,19)&lt;&gt;"",K38=0),19+IF(INDEX(Setup!$O$6:$AL$23,4,19)="T",100,0),"")</f>
        <v/>
      </c>
      <c r="BG71">
        <f>IF(AND($C39=1,INDEX(Setup!$O$6:$AL$23,4,20)&lt;&gt;"",K39=0),20+IF(INDEX(Setup!$O$6:$AL$23,4,20)="T",100,0),"")</f>
        <v/>
      </c>
      <c r="BH71">
        <f>IF(AND($C40=1,INDEX(Setup!$O$6:$AL$23,4,21)&lt;&gt;"",K40=0),21+IF(INDEX(Setup!$O$6:$AL$23,4,21)="T",100,0),"")</f>
        <v/>
      </c>
      <c r="BI71">
        <f>IF(AND($C41=1,INDEX(Setup!$O$6:$AL$23,4,22)&lt;&gt;"",K41=0),22+IF(INDEX(Setup!$O$6:$AL$23,4,22)="T",100,0),"")</f>
        <v/>
      </c>
      <c r="BJ71">
        <f>IF(AND($C42=1,INDEX(Setup!$O$6:$AL$23,4,23)&lt;&gt;"",K42=0),23+IF(INDEX(Setup!$O$6:$AL$23,4,23)="T",100,0),"")</f>
        <v/>
      </c>
      <c r="BK71">
        <f>IF(AND($C43=1,INDEX(Setup!$O$6:$AL$23,4,24)&lt;&gt;"",K43=0),24+IF(INDEX(Setup!$O$6:$AL$23,4,24)="T",100,0),"")</f>
        <v/>
      </c>
      <c r="BM71">
        <f>IF(AND(AN71&lt;&gt;"",COUNTIF($C$50:$E$50,$B20)+COUNTIF($C$50:$E$50,$B20&amp;" ~*")=0),($R20+COUNTIF($H$68:$H70,$B20)+COUNTIF($H$68:$H70,$B20&amp;" ~*"))*1000+IF(AN71&gt;100,500,0)+1,"")</f>
        <v/>
      </c>
      <c r="BN71">
        <f>IF(AND(AO71&lt;&gt;"",COUNTIF($C$50:$E$50,$B21)+COUNTIF($C$50:$E$50,$B21&amp;" ~*")=0),($R21+COUNTIF($H$68:$H70,$B21)+COUNTIF($H$68:$H70,$B21&amp;" ~*"))*1000+IF(AO71&gt;100,500,0)+2,"")</f>
        <v/>
      </c>
      <c r="BO71">
        <f>IF(AND(AP71&lt;&gt;"",COUNTIF($C$50:$E$50,$B22)+COUNTIF($C$50:$E$50,$B22&amp;" ~*")=0),($R22+COUNTIF($H$68:$H70,$B22)+COUNTIF($H$68:$H70,$B22&amp;" ~*"))*1000+IF(AP71&gt;100,500,0)+3,"")</f>
        <v/>
      </c>
      <c r="BP71">
        <f>IF(AND(AQ71&lt;&gt;"",COUNTIF($C$50:$E$50,$B23)+COUNTIF($C$50:$E$50,$B23&amp;" ~*")=0),($R23+COUNTIF($H$68:$H70,$B23)+COUNTIF($H$68:$H70,$B23&amp;" ~*"))*1000+IF(AQ71&gt;100,500,0)+4,"")</f>
        <v/>
      </c>
      <c r="BQ71">
        <f>IF(AND(AR71&lt;&gt;"",COUNTIF($C$50:$E$50,$B24)+COUNTIF($C$50:$E$50,$B24&amp;" ~*")=0),($R24+COUNTIF($H$68:$H70,$B24)+COUNTIF($H$68:$H70,$B24&amp;" ~*"))*1000+IF(AR71&gt;100,500,0)+5,"")</f>
        <v/>
      </c>
      <c r="BR71">
        <f>IF(AND(AS71&lt;&gt;"",COUNTIF($C$50:$E$50,$B25)+COUNTIF($C$50:$E$50,$B25&amp;" ~*")=0),($R25+COUNTIF($H$68:$H70,$B25)+COUNTIF($H$68:$H70,$B25&amp;" ~*"))*1000+IF(AS71&gt;100,500,0)+6,"")</f>
        <v/>
      </c>
      <c r="BS71">
        <f>IF(AND(AT71&lt;&gt;"",COUNTIF($C$50:$E$50,$B26)+COUNTIF($C$50:$E$50,$B26&amp;" ~*")=0),($R26+COUNTIF($H$68:$H70,$B26)+COUNTIF($H$68:$H70,$B26&amp;" ~*"))*1000+IF(AT71&gt;100,500,0)+7,"")</f>
        <v/>
      </c>
      <c r="BT71">
        <f>IF(AND(AU71&lt;&gt;"",COUNTIF($C$50:$E$50,$B27)+COUNTIF($C$50:$E$50,$B27&amp;" ~*")=0),($R27+COUNTIF($H$68:$H70,$B27)+COUNTIF($H$68:$H70,$B27&amp;" ~*"))*1000+IF(AU71&gt;100,500,0)+8,"")</f>
        <v/>
      </c>
      <c r="BU71">
        <f>IF(AND(AV71&lt;&gt;"",COUNTIF($C$50:$E$50,$B28)+COUNTIF($C$50:$E$50,$B28&amp;" ~*")=0),($R28+COUNTIF($H$68:$H70,$B28)+COUNTIF($H$68:$H70,$B28&amp;" ~*"))*1000+IF(AV71&gt;100,500,0)+9,"")</f>
        <v/>
      </c>
      <c r="BV71">
        <f>IF(AND(AW71&lt;&gt;"",COUNTIF($C$50:$E$50,$B29)+COUNTIF($C$50:$E$50,$B29&amp;" ~*")=0),($R29+COUNTIF($H$68:$H70,$B29)+COUNTIF($H$68:$H70,$B29&amp;" ~*"))*1000+IF(AW71&gt;100,500,0)+10,"")</f>
        <v/>
      </c>
      <c r="BW71">
        <f>IF(AND(AX71&lt;&gt;"",COUNTIF($C$50:$E$50,$B30)+COUNTIF($C$50:$E$50,$B30&amp;" ~*")=0),($R30+COUNTIF($H$68:$H70,$B30)+COUNTIF($H$68:$H70,$B30&amp;" ~*"))*1000+IF(AX71&gt;100,500,0)+11,"")</f>
        <v/>
      </c>
      <c r="BX71">
        <f>IF(AND(AY71&lt;&gt;"",COUNTIF($C$50:$E$50,$B31)+COUNTIF($C$50:$E$50,$B31&amp;" ~*")=0),($R31+COUNTIF($H$68:$H70,$B31)+COUNTIF($H$68:$H70,$B31&amp;" ~*"))*1000+IF(AY71&gt;100,500,0)+12,"")</f>
        <v/>
      </c>
      <c r="BY71">
        <f>IF(AND(AZ71&lt;&gt;"",COUNTIF($C$50:$E$50,$B32)+COUNTIF($C$50:$E$50,$B32&amp;" ~*")=0),($R32+COUNTIF($H$68:$H70,$B32)+COUNTIF($H$68:$H70,$B32&amp;" ~*"))*1000+IF(AZ71&gt;100,500,0)+13,"")</f>
        <v/>
      </c>
      <c r="BZ71">
        <f>IF(AND(BA71&lt;&gt;"",COUNTIF($C$50:$E$50,$B33)+COUNTIF($C$50:$E$50,$B33&amp;" ~*")=0),($R33+COUNTIF($H$68:$H70,$B33)+COUNTIF($H$68:$H70,$B33&amp;" ~*"))*1000+IF(BA71&gt;100,500,0)+14,"")</f>
        <v/>
      </c>
      <c r="CA71">
        <f>IF(AND(BB71&lt;&gt;"",COUNTIF($C$50:$E$50,$B34)+COUNTIF($C$50:$E$50,$B34&amp;" ~*")=0),($R34+COUNTIF($H$68:$H70,$B34)+COUNTIF($H$68:$H70,$B34&amp;" ~*"))*1000+IF(BB71&gt;100,500,0)+15,"")</f>
        <v/>
      </c>
      <c r="CB71">
        <f>IF(AND(BC71&lt;&gt;"",COUNTIF($C$50:$E$50,$B35)+COUNTIF($C$50:$E$50,$B35&amp;" ~*")=0),($R35+COUNTIF($H$68:$H70,$B35)+COUNTIF($H$68:$H70,$B35&amp;" ~*"))*1000+IF(BC71&gt;100,500,0)+16,"")</f>
        <v/>
      </c>
      <c r="CC71">
        <f>IF(AND(BD71&lt;&gt;"",COUNTIF($C$50:$E$50,$B36)+COUNTIF($C$50:$E$50,$B36&amp;" ~*")=0),($R36+COUNTIF($H$68:$H70,$B36)+COUNTIF($H$68:$H70,$B36&amp;" ~*"))*1000+IF(BD71&gt;100,500,0)+17,"")</f>
        <v/>
      </c>
      <c r="CD71">
        <f>IF(AND(BE71&lt;&gt;"",COUNTIF($C$50:$E$50,$B37)+COUNTIF($C$50:$E$50,$B37&amp;" ~*")=0),($R37+COUNTIF($H$68:$H70,$B37)+COUNTIF($H$68:$H70,$B37&amp;" ~*"))*1000+IF(BE71&gt;100,500,0)+18,"")</f>
        <v/>
      </c>
      <c r="CE71">
        <f>IF(AND(BF71&lt;&gt;"",COUNTIF($C$50:$E$50,$B38)+COUNTIF($C$50:$E$50,$B38&amp;" ~*")=0),($R38+COUNTIF($H$68:$H70,$B38)+COUNTIF($H$68:$H70,$B38&amp;" ~*"))*1000+IF(BF71&gt;100,500,0)+19,"")</f>
        <v/>
      </c>
      <c r="CF71">
        <f>IF(AND(BG71&lt;&gt;"",COUNTIF($C$50:$E$50,$B39)+COUNTIF($C$50:$E$50,$B39&amp;" ~*")=0),($R39+COUNTIF($H$68:$H70,$B39)+COUNTIF($H$68:$H70,$B39&amp;" ~*"))*1000+IF(BG71&gt;100,500,0)+20,"")</f>
        <v/>
      </c>
      <c r="CG71">
        <f>IF(AND(BH71&lt;&gt;"",COUNTIF($C$50:$E$50,$B40)+COUNTIF($C$50:$E$50,$B40&amp;" ~*")=0),($R40+COUNTIF($H$68:$H70,$B40)+COUNTIF($H$68:$H70,$B40&amp;" ~*"))*1000+IF(BH71&gt;100,500,0)+21,"")</f>
        <v/>
      </c>
      <c r="CH71">
        <f>IF(AND(BI71&lt;&gt;"",COUNTIF($C$50:$E$50,$B41)+COUNTIF($C$50:$E$50,$B41&amp;" ~*")=0),($R41+COUNTIF($H$68:$H70,$B41)+COUNTIF($H$68:$H70,$B41&amp;" ~*"))*1000+IF(BI71&gt;100,500,0)+22,"")</f>
        <v/>
      </c>
      <c r="CI71">
        <f>IF(AND(BJ71&lt;&gt;"",COUNTIF($C$50:$E$50,$B42)+COUNTIF($C$50:$E$50,$B42&amp;" ~*")=0),($R42+COUNTIF($H$68:$H70,$B42)+COUNTIF($H$68:$H70,$B42&amp;" ~*"))*1000+IF(BJ71&gt;100,500,0)+23,"")</f>
        <v/>
      </c>
      <c r="CJ71">
        <f>IF(AND(BK71&lt;&gt;"",COUNTIF($C$50:$E$50,$B43)+COUNTIF($C$50:$E$50,$B43&amp;" ~*")=0),($R43+COUNTIF($H$68:$H70,$B43)+COUNTIF($H$68:$H70,$B43&amp;" ~*"))*1000+IF(BK71&gt;100,500,0)+24,"")</f>
        <v/>
      </c>
    </row>
    <row r="72">
      <c r="A72" t="n">
        <v>1</v>
      </c>
      <c r="B72" t="n">
        <v>5</v>
      </c>
      <c r="C72">
        <f>$B$51</f>
        <v/>
      </c>
      <c r="D72" t="inlineStr">
        <is>
          <t>Mon</t>
        </is>
      </c>
      <c r="E72">
        <f>IF(C72="","",N($AB$51))</f>
        <v/>
      </c>
      <c r="F72">
        <f>IF(C72="","",COUNTIF($C$51:$E$51,"?*"))</f>
        <v/>
      </c>
      <c r="G72">
        <f>IF(C72="","",MAX(0,E72-F72))</f>
        <v/>
      </c>
      <c r="H72">
        <f>IF(N(G72)=0,"",IF(COUNT(BM72:CJ72)=0,"no-one eligible",INDEX(Engine!$B$20:$B$43,MOD(MIN(BM72:CJ72),500))&amp;IF(MOD(MIN(BM72:CJ72),1000)&gt;=500," *","")))</f>
        <v/>
      </c>
      <c r="I72">
        <f>IF(N(G72)&gt;0,COUNTIF($G$68:G72,"&gt;0"),"")</f>
        <v/>
      </c>
      <c r="J72">
        <f>IF(C72="","",IF($C$51="",0,IF(IFERROR(INDEX(Setup!$O$6:$AL$23,5,MATCH(SUBSTITUTE($C$51," *",""),Setup!$B$6:$B$29,0)),"")="",1,0))+IF($D$51="",0,IF(IFERROR(INDEX(Setup!$O$6:$AL$23,5,MATCH(SUBSTITUTE($D$51," *",""),Setup!$B$6:$B$29,0)),"")="",1,0))+IF($E$51="",0,IF(IFERROR(INDEX(Setup!$O$6:$AL$23,5,MATCH(SUBSTITUTE($E$51," *",""),Setup!$B$6:$B$29,0)),"")="",1,0)))</f>
        <v/>
      </c>
      <c r="K72">
        <f>IF($B$12+0=TODAY(),1,0)</f>
        <v/>
      </c>
      <c r="N72">
        <f>COUNT($AN72:$BK72)</f>
        <v/>
      </c>
      <c r="O72">
        <f>IF(1&gt;$N72,"",INDEX(Engine!$B$20:$B$43,MOD(SMALL($AN72:$BK72,1),100))&amp;IF(SMALL($AN72:$BK72,1)&gt;100," *",""))</f>
        <v/>
      </c>
      <c r="P72">
        <f>IF(2&gt;$N72,"",INDEX(Engine!$B$20:$B$43,MOD(SMALL($AN72:$BK72,2),100))&amp;IF(SMALL($AN72:$BK72,2)&gt;100," *",""))</f>
        <v/>
      </c>
      <c r="Q72">
        <f>IF(3&gt;$N72,"",INDEX(Engine!$B$20:$B$43,MOD(SMALL($AN72:$BK72,3),100))&amp;IF(SMALL($AN72:$BK72,3)&gt;100," *",""))</f>
        <v/>
      </c>
      <c r="R72">
        <f>IF(4&gt;$N72,"",INDEX(Engine!$B$20:$B$43,MOD(SMALL($AN72:$BK72,4),100))&amp;IF(SMALL($AN72:$BK72,4)&gt;100," *",""))</f>
        <v/>
      </c>
      <c r="S72">
        <f>IF(5&gt;$N72,"",INDEX(Engine!$B$20:$B$43,MOD(SMALL($AN72:$BK72,5),100))&amp;IF(SMALL($AN72:$BK72,5)&gt;100," *",""))</f>
        <v/>
      </c>
      <c r="T72">
        <f>IF(6&gt;$N72,"",INDEX(Engine!$B$20:$B$43,MOD(SMALL($AN72:$BK72,6),100))&amp;IF(SMALL($AN72:$BK72,6)&gt;100," *",""))</f>
        <v/>
      </c>
      <c r="U72">
        <f>IF(7&gt;$N72,"",INDEX(Engine!$B$20:$B$43,MOD(SMALL($AN72:$BK72,7),100))&amp;IF(SMALL($AN72:$BK72,7)&gt;100," *",""))</f>
        <v/>
      </c>
      <c r="V72">
        <f>IF(8&gt;$N72,"",INDEX(Engine!$B$20:$B$43,MOD(SMALL($AN72:$BK72,8),100))&amp;IF(SMALL($AN72:$BK72,8)&gt;100," *",""))</f>
        <v/>
      </c>
      <c r="W72">
        <f>IF(9&gt;$N72,"",INDEX(Engine!$B$20:$B$43,MOD(SMALL($AN72:$BK72,9),100))&amp;IF(SMALL($AN72:$BK72,9)&gt;100," *",""))</f>
        <v/>
      </c>
      <c r="X72">
        <f>IF(10&gt;$N72,"",INDEX(Engine!$B$20:$B$43,MOD(SMALL($AN72:$BK72,10),100))&amp;IF(SMALL($AN72:$BK72,10)&gt;100," *",""))</f>
        <v/>
      </c>
      <c r="Y72">
        <f>IF(11&gt;$N72,"",INDEX(Engine!$B$20:$B$43,MOD(SMALL($AN72:$BK72,11),100))&amp;IF(SMALL($AN72:$BK72,11)&gt;100," *",""))</f>
        <v/>
      </c>
      <c r="Z72">
        <f>IF(12&gt;$N72,"",INDEX(Engine!$B$20:$B$43,MOD(SMALL($AN72:$BK72,12),100))&amp;IF(SMALL($AN72:$BK72,12)&gt;100," *",""))</f>
        <v/>
      </c>
      <c r="AA72">
        <f>IF(13&gt;$N72,"",INDEX(Engine!$B$20:$B$43,MOD(SMALL($AN72:$BK72,13),100))&amp;IF(SMALL($AN72:$BK72,13)&gt;100," *",""))</f>
        <v/>
      </c>
      <c r="AB72">
        <f>IF(14&gt;$N72,"",INDEX(Engine!$B$20:$B$43,MOD(SMALL($AN72:$BK72,14),100))&amp;IF(SMALL($AN72:$BK72,14)&gt;100," *",""))</f>
        <v/>
      </c>
      <c r="AC72">
        <f>IF(15&gt;$N72,"",INDEX(Engine!$B$20:$B$43,MOD(SMALL($AN72:$BK72,15),100))&amp;IF(SMALL($AN72:$BK72,15)&gt;100," *",""))</f>
        <v/>
      </c>
      <c r="AD72">
        <f>IF(16&gt;$N72,"",INDEX(Engine!$B$20:$B$43,MOD(SMALL($AN72:$BK72,16),100))&amp;IF(SMALL($AN72:$BK72,16)&gt;100," *",""))</f>
        <v/>
      </c>
      <c r="AE72">
        <f>IF(17&gt;$N72,"",INDEX(Engine!$B$20:$B$43,MOD(SMALL($AN72:$BK72,17),100))&amp;IF(SMALL($AN72:$BK72,17)&gt;100," *",""))</f>
        <v/>
      </c>
      <c r="AF72">
        <f>IF(18&gt;$N72,"",INDEX(Engine!$B$20:$B$43,MOD(SMALL($AN72:$BK72,18),100))&amp;IF(SMALL($AN72:$BK72,18)&gt;100," *",""))</f>
        <v/>
      </c>
      <c r="AG72">
        <f>IF(19&gt;$N72,"",INDEX(Engine!$B$20:$B$43,MOD(SMALL($AN72:$BK72,19),100))&amp;IF(SMALL($AN72:$BK72,19)&gt;100," *",""))</f>
        <v/>
      </c>
      <c r="AH72">
        <f>IF(20&gt;$N72,"",INDEX(Engine!$B$20:$B$43,MOD(SMALL($AN72:$BK72,20),100))&amp;IF(SMALL($AN72:$BK72,20)&gt;100," *",""))</f>
        <v/>
      </c>
      <c r="AI72">
        <f>IF(21&gt;$N72,"",INDEX(Engine!$B$20:$B$43,MOD(SMALL($AN72:$BK72,21),100))&amp;IF(SMALL($AN72:$BK72,21)&gt;100," *",""))</f>
        <v/>
      </c>
      <c r="AJ72">
        <f>IF(22&gt;$N72,"",INDEX(Engine!$B$20:$B$43,MOD(SMALL($AN72:$BK72,22),100))&amp;IF(SMALL($AN72:$BK72,22)&gt;100," *",""))</f>
        <v/>
      </c>
      <c r="AK72">
        <f>IF(23&gt;$N72,"",INDEX(Engine!$B$20:$B$43,MOD(SMALL($AN72:$BK72,23),100))&amp;IF(SMALL($AN72:$BK72,23)&gt;100," *",""))</f>
        <v/>
      </c>
      <c r="AL72">
        <f>IF(24&gt;$N72,"",INDEX(Engine!$B$20:$B$43,MOD(SMALL($AN72:$BK72,24),100))&amp;IF(SMALL($AN72:$BK72,24)&gt;100," *",""))</f>
        <v/>
      </c>
      <c r="AN72">
        <f>IF(AND($C20=1,INDEX(Setup!$O$6:$AL$23,5,1)&lt;&gt;"",K20=0),1+IF(INDEX(Setup!$O$6:$AL$23,5,1)="T",100,0),"")</f>
        <v/>
      </c>
      <c r="AO72">
        <f>IF(AND($C21=1,INDEX(Setup!$O$6:$AL$23,5,2)&lt;&gt;"",K21=0),2+IF(INDEX(Setup!$O$6:$AL$23,5,2)="T",100,0),"")</f>
        <v/>
      </c>
      <c r="AP72">
        <f>IF(AND($C22=1,INDEX(Setup!$O$6:$AL$23,5,3)&lt;&gt;"",K22=0),3+IF(INDEX(Setup!$O$6:$AL$23,5,3)="T",100,0),"")</f>
        <v/>
      </c>
      <c r="AQ72">
        <f>IF(AND($C23=1,INDEX(Setup!$O$6:$AL$23,5,4)&lt;&gt;"",K23=0),4+IF(INDEX(Setup!$O$6:$AL$23,5,4)="T",100,0),"")</f>
        <v/>
      </c>
      <c r="AR72">
        <f>IF(AND($C24=1,INDEX(Setup!$O$6:$AL$23,5,5)&lt;&gt;"",K24=0),5+IF(INDEX(Setup!$O$6:$AL$23,5,5)="T",100,0),"")</f>
        <v/>
      </c>
      <c r="AS72">
        <f>IF(AND($C25=1,INDEX(Setup!$O$6:$AL$23,5,6)&lt;&gt;"",K25=0),6+IF(INDEX(Setup!$O$6:$AL$23,5,6)="T",100,0),"")</f>
        <v/>
      </c>
      <c r="AT72">
        <f>IF(AND($C26=1,INDEX(Setup!$O$6:$AL$23,5,7)&lt;&gt;"",K26=0),7+IF(INDEX(Setup!$O$6:$AL$23,5,7)="T",100,0),"")</f>
        <v/>
      </c>
      <c r="AU72">
        <f>IF(AND($C27=1,INDEX(Setup!$O$6:$AL$23,5,8)&lt;&gt;"",K27=0),8+IF(INDEX(Setup!$O$6:$AL$23,5,8)="T",100,0),"")</f>
        <v/>
      </c>
      <c r="AV72">
        <f>IF(AND($C28=1,INDEX(Setup!$O$6:$AL$23,5,9)&lt;&gt;"",K28=0),9+IF(INDEX(Setup!$O$6:$AL$23,5,9)="T",100,0),"")</f>
        <v/>
      </c>
      <c r="AW72">
        <f>IF(AND($C29=1,INDEX(Setup!$O$6:$AL$23,5,10)&lt;&gt;"",K29=0),10+IF(INDEX(Setup!$O$6:$AL$23,5,10)="T",100,0),"")</f>
        <v/>
      </c>
      <c r="AX72">
        <f>IF(AND($C30=1,INDEX(Setup!$O$6:$AL$23,5,11)&lt;&gt;"",K30=0),11+IF(INDEX(Setup!$O$6:$AL$23,5,11)="T",100,0),"")</f>
        <v/>
      </c>
      <c r="AY72">
        <f>IF(AND($C31=1,INDEX(Setup!$O$6:$AL$23,5,12)&lt;&gt;"",K31=0),12+IF(INDEX(Setup!$O$6:$AL$23,5,12)="T",100,0),"")</f>
        <v/>
      </c>
      <c r="AZ72">
        <f>IF(AND($C32=1,INDEX(Setup!$O$6:$AL$23,5,13)&lt;&gt;"",K32=0),13+IF(INDEX(Setup!$O$6:$AL$23,5,13)="T",100,0),"")</f>
        <v/>
      </c>
      <c r="BA72">
        <f>IF(AND($C33=1,INDEX(Setup!$O$6:$AL$23,5,14)&lt;&gt;"",K33=0),14+IF(INDEX(Setup!$O$6:$AL$23,5,14)="T",100,0),"")</f>
        <v/>
      </c>
      <c r="BB72">
        <f>IF(AND($C34=1,INDEX(Setup!$O$6:$AL$23,5,15)&lt;&gt;"",K34=0),15+IF(INDEX(Setup!$O$6:$AL$23,5,15)="T",100,0),"")</f>
        <v/>
      </c>
      <c r="BC72">
        <f>IF(AND($C35=1,INDEX(Setup!$O$6:$AL$23,5,16)&lt;&gt;"",K35=0),16+IF(INDEX(Setup!$O$6:$AL$23,5,16)="T",100,0),"")</f>
        <v/>
      </c>
      <c r="BD72">
        <f>IF(AND($C36=1,INDEX(Setup!$O$6:$AL$23,5,17)&lt;&gt;"",K36=0),17+IF(INDEX(Setup!$O$6:$AL$23,5,17)="T",100,0),"")</f>
        <v/>
      </c>
      <c r="BE72">
        <f>IF(AND($C37=1,INDEX(Setup!$O$6:$AL$23,5,18)&lt;&gt;"",K37=0),18+IF(INDEX(Setup!$O$6:$AL$23,5,18)="T",100,0),"")</f>
        <v/>
      </c>
      <c r="BF72">
        <f>IF(AND($C38=1,INDEX(Setup!$O$6:$AL$23,5,19)&lt;&gt;"",K38=0),19+IF(INDEX(Setup!$O$6:$AL$23,5,19)="T",100,0),"")</f>
        <v/>
      </c>
      <c r="BG72">
        <f>IF(AND($C39=1,INDEX(Setup!$O$6:$AL$23,5,20)&lt;&gt;"",K39=0),20+IF(INDEX(Setup!$O$6:$AL$23,5,20)="T",100,0),"")</f>
        <v/>
      </c>
      <c r="BH72">
        <f>IF(AND($C40=1,INDEX(Setup!$O$6:$AL$23,5,21)&lt;&gt;"",K40=0),21+IF(INDEX(Setup!$O$6:$AL$23,5,21)="T",100,0),"")</f>
        <v/>
      </c>
      <c r="BI72">
        <f>IF(AND($C41=1,INDEX(Setup!$O$6:$AL$23,5,22)&lt;&gt;"",K41=0),22+IF(INDEX(Setup!$O$6:$AL$23,5,22)="T",100,0),"")</f>
        <v/>
      </c>
      <c r="BJ72">
        <f>IF(AND($C42=1,INDEX(Setup!$O$6:$AL$23,5,23)&lt;&gt;"",K42=0),23+IF(INDEX(Setup!$O$6:$AL$23,5,23)="T",100,0),"")</f>
        <v/>
      </c>
      <c r="BK72">
        <f>IF(AND($C43=1,INDEX(Setup!$O$6:$AL$23,5,24)&lt;&gt;"",K43=0),24+IF(INDEX(Setup!$O$6:$AL$23,5,24)="T",100,0),"")</f>
        <v/>
      </c>
      <c r="BM72">
        <f>IF(AND(AN72&lt;&gt;"",COUNTIF($C$51:$E$51,$B20)+COUNTIF($C$51:$E$51,$B20&amp;" ~*")=0),($R20+COUNTIF($H$68:$H71,$B20)+COUNTIF($H$68:$H71,$B20&amp;" ~*"))*1000+IF(AN72&gt;100,500,0)+1,"")</f>
        <v/>
      </c>
      <c r="BN72">
        <f>IF(AND(AO72&lt;&gt;"",COUNTIF($C$51:$E$51,$B21)+COUNTIF($C$51:$E$51,$B21&amp;" ~*")=0),($R21+COUNTIF($H$68:$H71,$B21)+COUNTIF($H$68:$H71,$B21&amp;" ~*"))*1000+IF(AO72&gt;100,500,0)+2,"")</f>
        <v/>
      </c>
      <c r="BO72">
        <f>IF(AND(AP72&lt;&gt;"",COUNTIF($C$51:$E$51,$B22)+COUNTIF($C$51:$E$51,$B22&amp;" ~*")=0),($R22+COUNTIF($H$68:$H71,$B22)+COUNTIF($H$68:$H71,$B22&amp;" ~*"))*1000+IF(AP72&gt;100,500,0)+3,"")</f>
        <v/>
      </c>
      <c r="BP72">
        <f>IF(AND(AQ72&lt;&gt;"",COUNTIF($C$51:$E$51,$B23)+COUNTIF($C$51:$E$51,$B23&amp;" ~*")=0),($R23+COUNTIF($H$68:$H71,$B23)+COUNTIF($H$68:$H71,$B23&amp;" ~*"))*1000+IF(AQ72&gt;100,500,0)+4,"")</f>
        <v/>
      </c>
      <c r="BQ72">
        <f>IF(AND(AR72&lt;&gt;"",COUNTIF($C$51:$E$51,$B24)+COUNTIF($C$51:$E$51,$B24&amp;" ~*")=0),($R24+COUNTIF($H$68:$H71,$B24)+COUNTIF($H$68:$H71,$B24&amp;" ~*"))*1000+IF(AR72&gt;100,500,0)+5,"")</f>
        <v/>
      </c>
      <c r="BR72">
        <f>IF(AND(AS72&lt;&gt;"",COUNTIF($C$51:$E$51,$B25)+COUNTIF($C$51:$E$51,$B25&amp;" ~*")=0),($R25+COUNTIF($H$68:$H71,$B25)+COUNTIF($H$68:$H71,$B25&amp;" ~*"))*1000+IF(AS72&gt;100,500,0)+6,"")</f>
        <v/>
      </c>
      <c r="BS72">
        <f>IF(AND(AT72&lt;&gt;"",COUNTIF($C$51:$E$51,$B26)+COUNTIF($C$51:$E$51,$B26&amp;" ~*")=0),($R26+COUNTIF($H$68:$H71,$B26)+COUNTIF($H$68:$H71,$B26&amp;" ~*"))*1000+IF(AT72&gt;100,500,0)+7,"")</f>
        <v/>
      </c>
      <c r="BT72">
        <f>IF(AND(AU72&lt;&gt;"",COUNTIF($C$51:$E$51,$B27)+COUNTIF($C$51:$E$51,$B27&amp;" ~*")=0),($R27+COUNTIF($H$68:$H71,$B27)+COUNTIF($H$68:$H71,$B27&amp;" ~*"))*1000+IF(AU72&gt;100,500,0)+8,"")</f>
        <v/>
      </c>
      <c r="BU72">
        <f>IF(AND(AV72&lt;&gt;"",COUNTIF($C$51:$E$51,$B28)+COUNTIF($C$51:$E$51,$B28&amp;" ~*")=0),($R28+COUNTIF($H$68:$H71,$B28)+COUNTIF($H$68:$H71,$B28&amp;" ~*"))*1000+IF(AV72&gt;100,500,0)+9,"")</f>
        <v/>
      </c>
      <c r="BV72">
        <f>IF(AND(AW72&lt;&gt;"",COUNTIF($C$51:$E$51,$B29)+COUNTIF($C$51:$E$51,$B29&amp;" ~*")=0),($R29+COUNTIF($H$68:$H71,$B29)+COUNTIF($H$68:$H71,$B29&amp;" ~*"))*1000+IF(AW72&gt;100,500,0)+10,"")</f>
        <v/>
      </c>
      <c r="BW72">
        <f>IF(AND(AX72&lt;&gt;"",COUNTIF($C$51:$E$51,$B30)+COUNTIF($C$51:$E$51,$B30&amp;" ~*")=0),($R30+COUNTIF($H$68:$H71,$B30)+COUNTIF($H$68:$H71,$B30&amp;" ~*"))*1000+IF(AX72&gt;100,500,0)+11,"")</f>
        <v/>
      </c>
      <c r="BX72">
        <f>IF(AND(AY72&lt;&gt;"",COUNTIF($C$51:$E$51,$B31)+COUNTIF($C$51:$E$51,$B31&amp;" ~*")=0),($R31+COUNTIF($H$68:$H71,$B31)+COUNTIF($H$68:$H71,$B31&amp;" ~*"))*1000+IF(AY72&gt;100,500,0)+12,"")</f>
        <v/>
      </c>
      <c r="BY72">
        <f>IF(AND(AZ72&lt;&gt;"",COUNTIF($C$51:$E$51,$B32)+COUNTIF($C$51:$E$51,$B32&amp;" ~*")=0),($R32+COUNTIF($H$68:$H71,$B32)+COUNTIF($H$68:$H71,$B32&amp;" ~*"))*1000+IF(AZ72&gt;100,500,0)+13,"")</f>
        <v/>
      </c>
      <c r="BZ72">
        <f>IF(AND(BA72&lt;&gt;"",COUNTIF($C$51:$E$51,$B33)+COUNTIF($C$51:$E$51,$B33&amp;" ~*")=0),($R33+COUNTIF($H$68:$H71,$B33)+COUNTIF($H$68:$H71,$B33&amp;" ~*"))*1000+IF(BA72&gt;100,500,0)+14,"")</f>
        <v/>
      </c>
      <c r="CA72">
        <f>IF(AND(BB72&lt;&gt;"",COUNTIF($C$51:$E$51,$B34)+COUNTIF($C$51:$E$51,$B34&amp;" ~*")=0),($R34+COUNTIF($H$68:$H71,$B34)+COUNTIF($H$68:$H71,$B34&amp;" ~*"))*1000+IF(BB72&gt;100,500,0)+15,"")</f>
        <v/>
      </c>
      <c r="CB72">
        <f>IF(AND(BC72&lt;&gt;"",COUNTIF($C$51:$E$51,$B35)+COUNTIF($C$51:$E$51,$B35&amp;" ~*")=0),($R35+COUNTIF($H$68:$H71,$B35)+COUNTIF($H$68:$H71,$B35&amp;" ~*"))*1000+IF(BC72&gt;100,500,0)+16,"")</f>
        <v/>
      </c>
      <c r="CC72">
        <f>IF(AND(BD72&lt;&gt;"",COUNTIF($C$51:$E$51,$B36)+COUNTIF($C$51:$E$51,$B36&amp;" ~*")=0),($R36+COUNTIF($H$68:$H71,$B36)+COUNTIF($H$68:$H71,$B36&amp;" ~*"))*1000+IF(BD72&gt;100,500,0)+17,"")</f>
        <v/>
      </c>
      <c r="CD72">
        <f>IF(AND(BE72&lt;&gt;"",COUNTIF($C$51:$E$51,$B37)+COUNTIF($C$51:$E$51,$B37&amp;" ~*")=0),($R37+COUNTIF($H$68:$H71,$B37)+COUNTIF($H$68:$H71,$B37&amp;" ~*"))*1000+IF(BE72&gt;100,500,0)+18,"")</f>
        <v/>
      </c>
      <c r="CE72">
        <f>IF(AND(BF72&lt;&gt;"",COUNTIF($C$51:$E$51,$B38)+COUNTIF($C$51:$E$51,$B38&amp;" ~*")=0),($R38+COUNTIF($H$68:$H71,$B38)+COUNTIF($H$68:$H71,$B38&amp;" ~*"))*1000+IF(BF72&gt;100,500,0)+19,"")</f>
        <v/>
      </c>
      <c r="CF72">
        <f>IF(AND(BG72&lt;&gt;"",COUNTIF($C$51:$E$51,$B39)+COUNTIF($C$51:$E$51,$B39&amp;" ~*")=0),($R39+COUNTIF($H$68:$H71,$B39)+COUNTIF($H$68:$H71,$B39&amp;" ~*"))*1000+IF(BG72&gt;100,500,0)+20,"")</f>
        <v/>
      </c>
      <c r="CG72">
        <f>IF(AND(BH72&lt;&gt;"",COUNTIF($C$51:$E$51,$B40)+COUNTIF($C$51:$E$51,$B40&amp;" ~*")=0),($R40+COUNTIF($H$68:$H71,$B40)+COUNTIF($H$68:$H71,$B40&amp;" ~*"))*1000+IF(BH72&gt;100,500,0)+21,"")</f>
        <v/>
      </c>
      <c r="CH72">
        <f>IF(AND(BI72&lt;&gt;"",COUNTIF($C$51:$E$51,$B41)+COUNTIF($C$51:$E$51,$B41&amp;" ~*")=0),($R41+COUNTIF($H$68:$H71,$B41)+COUNTIF($H$68:$H71,$B41&amp;" ~*"))*1000+IF(BI72&gt;100,500,0)+22,"")</f>
        <v/>
      </c>
      <c r="CI72">
        <f>IF(AND(BJ72&lt;&gt;"",COUNTIF($C$51:$E$51,$B42)+COUNTIF($C$51:$E$51,$B42&amp;" ~*")=0),($R42+COUNTIF($H$68:$H71,$B42)+COUNTIF($H$68:$H71,$B42&amp;" ~*"))*1000+IF(BJ72&gt;100,500,0)+23,"")</f>
        <v/>
      </c>
      <c r="CJ72">
        <f>IF(AND(BK72&lt;&gt;"",COUNTIF($C$51:$E$51,$B43)+COUNTIF($C$51:$E$51,$B43&amp;" ~*")=0),($R43+COUNTIF($H$68:$H71,$B43)+COUNTIF($H$68:$H71,$B43&amp;" ~*"))*1000+IF(BK72&gt;100,500,0)+24,"")</f>
        <v/>
      </c>
    </row>
    <row r="73">
      <c r="A73" t="n">
        <v>1</v>
      </c>
      <c r="B73" t="n">
        <v>6</v>
      </c>
      <c r="C73">
        <f>$B$52</f>
        <v/>
      </c>
      <c r="D73" t="inlineStr">
        <is>
          <t>Mon</t>
        </is>
      </c>
      <c r="E73">
        <f>IF(C73="","",N($AB$52))</f>
        <v/>
      </c>
      <c r="F73">
        <f>IF(C73="","",COUNTIF($C$52:$E$52,"?*"))</f>
        <v/>
      </c>
      <c r="G73">
        <f>IF(C73="","",MAX(0,E73-F73))</f>
        <v/>
      </c>
      <c r="H73">
        <f>IF(N(G73)=0,"",IF(COUNT(BM73:CJ73)=0,"no-one eligible",INDEX(Engine!$B$20:$B$43,MOD(MIN(BM73:CJ73),500))&amp;IF(MOD(MIN(BM73:CJ73),1000)&gt;=500," *","")))</f>
        <v/>
      </c>
      <c r="I73">
        <f>IF(N(G73)&gt;0,COUNTIF($G$68:G73,"&gt;0"),"")</f>
        <v/>
      </c>
      <c r="J73">
        <f>IF(C73="","",IF($C$52="",0,IF(IFERROR(INDEX(Setup!$O$6:$AL$23,6,MATCH(SUBSTITUTE($C$52," *",""),Setup!$B$6:$B$29,0)),"")="",1,0))+IF($D$52="",0,IF(IFERROR(INDEX(Setup!$O$6:$AL$23,6,MATCH(SUBSTITUTE($D$52," *",""),Setup!$B$6:$B$29,0)),"")="",1,0))+IF($E$52="",0,IF(IFERROR(INDEX(Setup!$O$6:$AL$23,6,MATCH(SUBSTITUTE($E$52," *",""),Setup!$B$6:$B$29,0)),"")="",1,0)))</f>
        <v/>
      </c>
      <c r="K73">
        <f>IF($B$12+0=TODAY(),1,0)</f>
        <v/>
      </c>
      <c r="N73">
        <f>COUNT($AN73:$BK73)</f>
        <v/>
      </c>
      <c r="O73">
        <f>IF(1&gt;$N73,"",INDEX(Engine!$B$20:$B$43,MOD(SMALL($AN73:$BK73,1),100))&amp;IF(SMALL($AN73:$BK73,1)&gt;100," *",""))</f>
        <v/>
      </c>
      <c r="P73">
        <f>IF(2&gt;$N73,"",INDEX(Engine!$B$20:$B$43,MOD(SMALL($AN73:$BK73,2),100))&amp;IF(SMALL($AN73:$BK73,2)&gt;100," *",""))</f>
        <v/>
      </c>
      <c r="Q73">
        <f>IF(3&gt;$N73,"",INDEX(Engine!$B$20:$B$43,MOD(SMALL($AN73:$BK73,3),100))&amp;IF(SMALL($AN73:$BK73,3)&gt;100," *",""))</f>
        <v/>
      </c>
      <c r="R73">
        <f>IF(4&gt;$N73,"",INDEX(Engine!$B$20:$B$43,MOD(SMALL($AN73:$BK73,4),100))&amp;IF(SMALL($AN73:$BK73,4)&gt;100," *",""))</f>
        <v/>
      </c>
      <c r="S73">
        <f>IF(5&gt;$N73,"",INDEX(Engine!$B$20:$B$43,MOD(SMALL($AN73:$BK73,5),100))&amp;IF(SMALL($AN73:$BK73,5)&gt;100," *",""))</f>
        <v/>
      </c>
      <c r="T73">
        <f>IF(6&gt;$N73,"",INDEX(Engine!$B$20:$B$43,MOD(SMALL($AN73:$BK73,6),100))&amp;IF(SMALL($AN73:$BK73,6)&gt;100," *",""))</f>
        <v/>
      </c>
      <c r="U73">
        <f>IF(7&gt;$N73,"",INDEX(Engine!$B$20:$B$43,MOD(SMALL($AN73:$BK73,7),100))&amp;IF(SMALL($AN73:$BK73,7)&gt;100," *",""))</f>
        <v/>
      </c>
      <c r="V73">
        <f>IF(8&gt;$N73,"",INDEX(Engine!$B$20:$B$43,MOD(SMALL($AN73:$BK73,8),100))&amp;IF(SMALL($AN73:$BK73,8)&gt;100," *",""))</f>
        <v/>
      </c>
      <c r="W73">
        <f>IF(9&gt;$N73,"",INDEX(Engine!$B$20:$B$43,MOD(SMALL($AN73:$BK73,9),100))&amp;IF(SMALL($AN73:$BK73,9)&gt;100," *",""))</f>
        <v/>
      </c>
      <c r="X73">
        <f>IF(10&gt;$N73,"",INDEX(Engine!$B$20:$B$43,MOD(SMALL($AN73:$BK73,10),100))&amp;IF(SMALL($AN73:$BK73,10)&gt;100," *",""))</f>
        <v/>
      </c>
      <c r="Y73">
        <f>IF(11&gt;$N73,"",INDEX(Engine!$B$20:$B$43,MOD(SMALL($AN73:$BK73,11),100))&amp;IF(SMALL($AN73:$BK73,11)&gt;100," *",""))</f>
        <v/>
      </c>
      <c r="Z73">
        <f>IF(12&gt;$N73,"",INDEX(Engine!$B$20:$B$43,MOD(SMALL($AN73:$BK73,12),100))&amp;IF(SMALL($AN73:$BK73,12)&gt;100," *",""))</f>
        <v/>
      </c>
      <c r="AA73">
        <f>IF(13&gt;$N73,"",INDEX(Engine!$B$20:$B$43,MOD(SMALL($AN73:$BK73,13),100))&amp;IF(SMALL($AN73:$BK73,13)&gt;100," *",""))</f>
        <v/>
      </c>
      <c r="AB73">
        <f>IF(14&gt;$N73,"",INDEX(Engine!$B$20:$B$43,MOD(SMALL($AN73:$BK73,14),100))&amp;IF(SMALL($AN73:$BK73,14)&gt;100," *",""))</f>
        <v/>
      </c>
      <c r="AC73">
        <f>IF(15&gt;$N73,"",INDEX(Engine!$B$20:$B$43,MOD(SMALL($AN73:$BK73,15),100))&amp;IF(SMALL($AN73:$BK73,15)&gt;100," *",""))</f>
        <v/>
      </c>
      <c r="AD73">
        <f>IF(16&gt;$N73,"",INDEX(Engine!$B$20:$B$43,MOD(SMALL($AN73:$BK73,16),100))&amp;IF(SMALL($AN73:$BK73,16)&gt;100," *",""))</f>
        <v/>
      </c>
      <c r="AE73">
        <f>IF(17&gt;$N73,"",INDEX(Engine!$B$20:$B$43,MOD(SMALL($AN73:$BK73,17),100))&amp;IF(SMALL($AN73:$BK73,17)&gt;100," *",""))</f>
        <v/>
      </c>
      <c r="AF73">
        <f>IF(18&gt;$N73,"",INDEX(Engine!$B$20:$B$43,MOD(SMALL($AN73:$BK73,18),100))&amp;IF(SMALL($AN73:$BK73,18)&gt;100," *",""))</f>
        <v/>
      </c>
      <c r="AG73">
        <f>IF(19&gt;$N73,"",INDEX(Engine!$B$20:$B$43,MOD(SMALL($AN73:$BK73,19),100))&amp;IF(SMALL($AN73:$BK73,19)&gt;100," *",""))</f>
        <v/>
      </c>
      <c r="AH73">
        <f>IF(20&gt;$N73,"",INDEX(Engine!$B$20:$B$43,MOD(SMALL($AN73:$BK73,20),100))&amp;IF(SMALL($AN73:$BK73,20)&gt;100," *",""))</f>
        <v/>
      </c>
      <c r="AI73">
        <f>IF(21&gt;$N73,"",INDEX(Engine!$B$20:$B$43,MOD(SMALL($AN73:$BK73,21),100))&amp;IF(SMALL($AN73:$BK73,21)&gt;100," *",""))</f>
        <v/>
      </c>
      <c r="AJ73">
        <f>IF(22&gt;$N73,"",INDEX(Engine!$B$20:$B$43,MOD(SMALL($AN73:$BK73,22),100))&amp;IF(SMALL($AN73:$BK73,22)&gt;100," *",""))</f>
        <v/>
      </c>
      <c r="AK73">
        <f>IF(23&gt;$N73,"",INDEX(Engine!$B$20:$B$43,MOD(SMALL($AN73:$BK73,23),100))&amp;IF(SMALL($AN73:$BK73,23)&gt;100," *",""))</f>
        <v/>
      </c>
      <c r="AL73">
        <f>IF(24&gt;$N73,"",INDEX(Engine!$B$20:$B$43,MOD(SMALL($AN73:$BK73,24),100))&amp;IF(SMALL($AN73:$BK73,24)&gt;100," *",""))</f>
        <v/>
      </c>
      <c r="AN73">
        <f>IF(AND($C20=1,INDEX(Setup!$O$6:$AL$23,6,1)&lt;&gt;"",K20=0),1+IF(INDEX(Setup!$O$6:$AL$23,6,1)="T",100,0),"")</f>
        <v/>
      </c>
      <c r="AO73">
        <f>IF(AND($C21=1,INDEX(Setup!$O$6:$AL$23,6,2)&lt;&gt;"",K21=0),2+IF(INDEX(Setup!$O$6:$AL$23,6,2)="T",100,0),"")</f>
        <v/>
      </c>
      <c r="AP73">
        <f>IF(AND($C22=1,INDEX(Setup!$O$6:$AL$23,6,3)&lt;&gt;"",K22=0),3+IF(INDEX(Setup!$O$6:$AL$23,6,3)="T",100,0),"")</f>
        <v/>
      </c>
      <c r="AQ73">
        <f>IF(AND($C23=1,INDEX(Setup!$O$6:$AL$23,6,4)&lt;&gt;"",K23=0),4+IF(INDEX(Setup!$O$6:$AL$23,6,4)="T",100,0),"")</f>
        <v/>
      </c>
      <c r="AR73">
        <f>IF(AND($C24=1,INDEX(Setup!$O$6:$AL$23,6,5)&lt;&gt;"",K24=0),5+IF(INDEX(Setup!$O$6:$AL$23,6,5)="T",100,0),"")</f>
        <v/>
      </c>
      <c r="AS73">
        <f>IF(AND($C25=1,INDEX(Setup!$O$6:$AL$23,6,6)&lt;&gt;"",K25=0),6+IF(INDEX(Setup!$O$6:$AL$23,6,6)="T",100,0),"")</f>
        <v/>
      </c>
      <c r="AT73">
        <f>IF(AND($C26=1,INDEX(Setup!$O$6:$AL$23,6,7)&lt;&gt;"",K26=0),7+IF(INDEX(Setup!$O$6:$AL$23,6,7)="T",100,0),"")</f>
        <v/>
      </c>
      <c r="AU73">
        <f>IF(AND($C27=1,INDEX(Setup!$O$6:$AL$23,6,8)&lt;&gt;"",K27=0),8+IF(INDEX(Setup!$O$6:$AL$23,6,8)="T",100,0),"")</f>
        <v/>
      </c>
      <c r="AV73">
        <f>IF(AND($C28=1,INDEX(Setup!$O$6:$AL$23,6,9)&lt;&gt;"",K28=0),9+IF(INDEX(Setup!$O$6:$AL$23,6,9)="T",100,0),"")</f>
        <v/>
      </c>
      <c r="AW73">
        <f>IF(AND($C29=1,INDEX(Setup!$O$6:$AL$23,6,10)&lt;&gt;"",K29=0),10+IF(INDEX(Setup!$O$6:$AL$23,6,10)="T",100,0),"")</f>
        <v/>
      </c>
      <c r="AX73">
        <f>IF(AND($C30=1,INDEX(Setup!$O$6:$AL$23,6,11)&lt;&gt;"",K30=0),11+IF(INDEX(Setup!$O$6:$AL$23,6,11)="T",100,0),"")</f>
        <v/>
      </c>
      <c r="AY73">
        <f>IF(AND($C31=1,INDEX(Setup!$O$6:$AL$23,6,12)&lt;&gt;"",K31=0),12+IF(INDEX(Setup!$O$6:$AL$23,6,12)="T",100,0),"")</f>
        <v/>
      </c>
      <c r="AZ73">
        <f>IF(AND($C32=1,INDEX(Setup!$O$6:$AL$23,6,13)&lt;&gt;"",K32=0),13+IF(INDEX(Setup!$O$6:$AL$23,6,13)="T",100,0),"")</f>
        <v/>
      </c>
      <c r="BA73">
        <f>IF(AND($C33=1,INDEX(Setup!$O$6:$AL$23,6,14)&lt;&gt;"",K33=0),14+IF(INDEX(Setup!$O$6:$AL$23,6,14)="T",100,0),"")</f>
        <v/>
      </c>
      <c r="BB73">
        <f>IF(AND($C34=1,INDEX(Setup!$O$6:$AL$23,6,15)&lt;&gt;"",K34=0),15+IF(INDEX(Setup!$O$6:$AL$23,6,15)="T",100,0),"")</f>
        <v/>
      </c>
      <c r="BC73">
        <f>IF(AND($C35=1,INDEX(Setup!$O$6:$AL$23,6,16)&lt;&gt;"",K35=0),16+IF(INDEX(Setup!$O$6:$AL$23,6,16)="T",100,0),"")</f>
        <v/>
      </c>
      <c r="BD73">
        <f>IF(AND($C36=1,INDEX(Setup!$O$6:$AL$23,6,17)&lt;&gt;"",K36=0),17+IF(INDEX(Setup!$O$6:$AL$23,6,17)="T",100,0),"")</f>
        <v/>
      </c>
      <c r="BE73">
        <f>IF(AND($C37=1,INDEX(Setup!$O$6:$AL$23,6,18)&lt;&gt;"",K37=0),18+IF(INDEX(Setup!$O$6:$AL$23,6,18)="T",100,0),"")</f>
        <v/>
      </c>
      <c r="BF73">
        <f>IF(AND($C38=1,INDEX(Setup!$O$6:$AL$23,6,19)&lt;&gt;"",K38=0),19+IF(INDEX(Setup!$O$6:$AL$23,6,19)="T",100,0),"")</f>
        <v/>
      </c>
      <c r="BG73">
        <f>IF(AND($C39=1,INDEX(Setup!$O$6:$AL$23,6,20)&lt;&gt;"",K39=0),20+IF(INDEX(Setup!$O$6:$AL$23,6,20)="T",100,0),"")</f>
        <v/>
      </c>
      <c r="BH73">
        <f>IF(AND($C40=1,INDEX(Setup!$O$6:$AL$23,6,21)&lt;&gt;"",K40=0),21+IF(INDEX(Setup!$O$6:$AL$23,6,21)="T",100,0),"")</f>
        <v/>
      </c>
      <c r="BI73">
        <f>IF(AND($C41=1,INDEX(Setup!$O$6:$AL$23,6,22)&lt;&gt;"",K41=0),22+IF(INDEX(Setup!$O$6:$AL$23,6,22)="T",100,0),"")</f>
        <v/>
      </c>
      <c r="BJ73">
        <f>IF(AND($C42=1,INDEX(Setup!$O$6:$AL$23,6,23)&lt;&gt;"",K42=0),23+IF(INDEX(Setup!$O$6:$AL$23,6,23)="T",100,0),"")</f>
        <v/>
      </c>
      <c r="BK73">
        <f>IF(AND($C43=1,INDEX(Setup!$O$6:$AL$23,6,24)&lt;&gt;"",K43=0),24+IF(INDEX(Setup!$O$6:$AL$23,6,24)="T",100,0),"")</f>
        <v/>
      </c>
      <c r="BM73">
        <f>IF(AND(AN73&lt;&gt;"",COUNTIF($C$52:$E$52,$B20)+COUNTIF($C$52:$E$52,$B20&amp;" ~*")=0),($R20+COUNTIF($H$68:$H72,$B20)+COUNTIF($H$68:$H72,$B20&amp;" ~*"))*1000+IF(AN73&gt;100,500,0)+1,"")</f>
        <v/>
      </c>
      <c r="BN73">
        <f>IF(AND(AO73&lt;&gt;"",COUNTIF($C$52:$E$52,$B21)+COUNTIF($C$52:$E$52,$B21&amp;" ~*")=0),($R21+COUNTIF($H$68:$H72,$B21)+COUNTIF($H$68:$H72,$B21&amp;" ~*"))*1000+IF(AO73&gt;100,500,0)+2,"")</f>
        <v/>
      </c>
      <c r="BO73">
        <f>IF(AND(AP73&lt;&gt;"",COUNTIF($C$52:$E$52,$B22)+COUNTIF($C$52:$E$52,$B22&amp;" ~*")=0),($R22+COUNTIF($H$68:$H72,$B22)+COUNTIF($H$68:$H72,$B22&amp;" ~*"))*1000+IF(AP73&gt;100,500,0)+3,"")</f>
        <v/>
      </c>
      <c r="BP73">
        <f>IF(AND(AQ73&lt;&gt;"",COUNTIF($C$52:$E$52,$B23)+COUNTIF($C$52:$E$52,$B23&amp;" ~*")=0),($R23+COUNTIF($H$68:$H72,$B23)+COUNTIF($H$68:$H72,$B23&amp;" ~*"))*1000+IF(AQ73&gt;100,500,0)+4,"")</f>
        <v/>
      </c>
      <c r="BQ73">
        <f>IF(AND(AR73&lt;&gt;"",COUNTIF($C$52:$E$52,$B24)+COUNTIF($C$52:$E$52,$B24&amp;" ~*")=0),($R24+COUNTIF($H$68:$H72,$B24)+COUNTIF($H$68:$H72,$B24&amp;" ~*"))*1000+IF(AR73&gt;100,500,0)+5,"")</f>
        <v/>
      </c>
      <c r="BR73">
        <f>IF(AND(AS73&lt;&gt;"",COUNTIF($C$52:$E$52,$B25)+COUNTIF($C$52:$E$52,$B25&amp;" ~*")=0),($R25+COUNTIF($H$68:$H72,$B25)+COUNTIF($H$68:$H72,$B25&amp;" ~*"))*1000+IF(AS73&gt;100,500,0)+6,"")</f>
        <v/>
      </c>
      <c r="BS73">
        <f>IF(AND(AT73&lt;&gt;"",COUNTIF($C$52:$E$52,$B26)+COUNTIF($C$52:$E$52,$B26&amp;" ~*")=0),($R26+COUNTIF($H$68:$H72,$B26)+COUNTIF($H$68:$H72,$B26&amp;" ~*"))*1000+IF(AT73&gt;100,500,0)+7,"")</f>
        <v/>
      </c>
      <c r="BT73">
        <f>IF(AND(AU73&lt;&gt;"",COUNTIF($C$52:$E$52,$B27)+COUNTIF($C$52:$E$52,$B27&amp;" ~*")=0),($R27+COUNTIF($H$68:$H72,$B27)+COUNTIF($H$68:$H72,$B27&amp;" ~*"))*1000+IF(AU73&gt;100,500,0)+8,"")</f>
        <v/>
      </c>
      <c r="BU73">
        <f>IF(AND(AV73&lt;&gt;"",COUNTIF($C$52:$E$52,$B28)+COUNTIF($C$52:$E$52,$B28&amp;" ~*")=0),($R28+COUNTIF($H$68:$H72,$B28)+COUNTIF($H$68:$H72,$B28&amp;" ~*"))*1000+IF(AV73&gt;100,500,0)+9,"")</f>
        <v/>
      </c>
      <c r="BV73">
        <f>IF(AND(AW73&lt;&gt;"",COUNTIF($C$52:$E$52,$B29)+COUNTIF($C$52:$E$52,$B29&amp;" ~*")=0),($R29+COUNTIF($H$68:$H72,$B29)+COUNTIF($H$68:$H72,$B29&amp;" ~*"))*1000+IF(AW73&gt;100,500,0)+10,"")</f>
        <v/>
      </c>
      <c r="BW73">
        <f>IF(AND(AX73&lt;&gt;"",COUNTIF($C$52:$E$52,$B30)+COUNTIF($C$52:$E$52,$B30&amp;" ~*")=0),($R30+COUNTIF($H$68:$H72,$B30)+COUNTIF($H$68:$H72,$B30&amp;" ~*"))*1000+IF(AX73&gt;100,500,0)+11,"")</f>
        <v/>
      </c>
      <c r="BX73">
        <f>IF(AND(AY73&lt;&gt;"",COUNTIF($C$52:$E$52,$B31)+COUNTIF($C$52:$E$52,$B31&amp;" ~*")=0),($R31+COUNTIF($H$68:$H72,$B31)+COUNTIF($H$68:$H72,$B31&amp;" ~*"))*1000+IF(AY73&gt;100,500,0)+12,"")</f>
        <v/>
      </c>
      <c r="BY73">
        <f>IF(AND(AZ73&lt;&gt;"",COUNTIF($C$52:$E$52,$B32)+COUNTIF($C$52:$E$52,$B32&amp;" ~*")=0),($R32+COUNTIF($H$68:$H72,$B32)+COUNTIF($H$68:$H72,$B32&amp;" ~*"))*1000+IF(AZ73&gt;100,500,0)+13,"")</f>
        <v/>
      </c>
      <c r="BZ73">
        <f>IF(AND(BA73&lt;&gt;"",COUNTIF($C$52:$E$52,$B33)+COUNTIF($C$52:$E$52,$B33&amp;" ~*")=0),($R33+COUNTIF($H$68:$H72,$B33)+COUNTIF($H$68:$H72,$B33&amp;" ~*"))*1000+IF(BA73&gt;100,500,0)+14,"")</f>
        <v/>
      </c>
      <c r="CA73">
        <f>IF(AND(BB73&lt;&gt;"",COUNTIF($C$52:$E$52,$B34)+COUNTIF($C$52:$E$52,$B34&amp;" ~*")=0),($R34+COUNTIF($H$68:$H72,$B34)+COUNTIF($H$68:$H72,$B34&amp;" ~*"))*1000+IF(BB73&gt;100,500,0)+15,"")</f>
        <v/>
      </c>
      <c r="CB73">
        <f>IF(AND(BC73&lt;&gt;"",COUNTIF($C$52:$E$52,$B35)+COUNTIF($C$52:$E$52,$B35&amp;" ~*")=0),($R35+COUNTIF($H$68:$H72,$B35)+COUNTIF($H$68:$H72,$B35&amp;" ~*"))*1000+IF(BC73&gt;100,500,0)+16,"")</f>
        <v/>
      </c>
      <c r="CC73">
        <f>IF(AND(BD73&lt;&gt;"",COUNTIF($C$52:$E$52,$B36)+COUNTIF($C$52:$E$52,$B36&amp;" ~*")=0),($R36+COUNTIF($H$68:$H72,$B36)+COUNTIF($H$68:$H72,$B36&amp;" ~*"))*1000+IF(BD73&gt;100,500,0)+17,"")</f>
        <v/>
      </c>
      <c r="CD73">
        <f>IF(AND(BE73&lt;&gt;"",COUNTIF($C$52:$E$52,$B37)+COUNTIF($C$52:$E$52,$B37&amp;" ~*")=0),($R37+COUNTIF($H$68:$H72,$B37)+COUNTIF($H$68:$H72,$B37&amp;" ~*"))*1000+IF(BE73&gt;100,500,0)+18,"")</f>
        <v/>
      </c>
      <c r="CE73">
        <f>IF(AND(BF73&lt;&gt;"",COUNTIF($C$52:$E$52,$B38)+COUNTIF($C$52:$E$52,$B38&amp;" ~*")=0),($R38+COUNTIF($H$68:$H72,$B38)+COUNTIF($H$68:$H72,$B38&amp;" ~*"))*1000+IF(BF73&gt;100,500,0)+19,"")</f>
        <v/>
      </c>
      <c r="CF73">
        <f>IF(AND(BG73&lt;&gt;"",COUNTIF($C$52:$E$52,$B39)+COUNTIF($C$52:$E$52,$B39&amp;" ~*")=0),($R39+COUNTIF($H$68:$H72,$B39)+COUNTIF($H$68:$H72,$B39&amp;" ~*"))*1000+IF(BG73&gt;100,500,0)+20,"")</f>
        <v/>
      </c>
      <c r="CG73">
        <f>IF(AND(BH73&lt;&gt;"",COUNTIF($C$52:$E$52,$B40)+COUNTIF($C$52:$E$52,$B40&amp;" ~*")=0),($R40+COUNTIF($H$68:$H72,$B40)+COUNTIF($H$68:$H72,$B40&amp;" ~*"))*1000+IF(BH73&gt;100,500,0)+21,"")</f>
        <v/>
      </c>
      <c r="CH73">
        <f>IF(AND(BI73&lt;&gt;"",COUNTIF($C$52:$E$52,$B41)+COUNTIF($C$52:$E$52,$B41&amp;" ~*")=0),($R41+COUNTIF($H$68:$H72,$B41)+COUNTIF($H$68:$H72,$B41&amp;" ~*"))*1000+IF(BI73&gt;100,500,0)+22,"")</f>
        <v/>
      </c>
      <c r="CI73">
        <f>IF(AND(BJ73&lt;&gt;"",COUNTIF($C$52:$E$52,$B42)+COUNTIF($C$52:$E$52,$B42&amp;" ~*")=0),($R42+COUNTIF($H$68:$H72,$B42)+COUNTIF($H$68:$H72,$B42&amp;" ~*"))*1000+IF(BJ73&gt;100,500,0)+23,"")</f>
        <v/>
      </c>
      <c r="CJ73">
        <f>IF(AND(BK73&lt;&gt;"",COUNTIF($C$52:$E$52,$B43)+COUNTIF($C$52:$E$52,$B43&amp;" ~*")=0),($R43+COUNTIF($H$68:$H72,$B43)+COUNTIF($H$68:$H72,$B43&amp;" ~*"))*1000+IF(BK73&gt;100,500,0)+24,"")</f>
        <v/>
      </c>
    </row>
    <row r="74">
      <c r="A74" t="n">
        <v>1</v>
      </c>
      <c r="B74" t="n">
        <v>7</v>
      </c>
      <c r="C74">
        <f>$B$53</f>
        <v/>
      </c>
      <c r="D74" t="inlineStr">
        <is>
          <t>Mon</t>
        </is>
      </c>
      <c r="E74">
        <f>IF(C74="","",N($AB$53))</f>
        <v/>
      </c>
      <c r="F74">
        <f>IF(C74="","",COUNTIF($C$53:$E$53,"?*"))</f>
        <v/>
      </c>
      <c r="G74">
        <f>IF(C74="","",MAX(0,E74-F74))</f>
        <v/>
      </c>
      <c r="H74">
        <f>IF(N(G74)=0,"",IF(COUNT(BM74:CJ74)=0,"no-one eligible",INDEX(Engine!$B$20:$B$43,MOD(MIN(BM74:CJ74),500))&amp;IF(MOD(MIN(BM74:CJ74),1000)&gt;=500," *","")))</f>
        <v/>
      </c>
      <c r="I74">
        <f>IF(N(G74)&gt;0,COUNTIF($G$68:G74,"&gt;0"),"")</f>
        <v/>
      </c>
      <c r="J74">
        <f>IF(C74="","",IF($C$53="",0,IF(IFERROR(INDEX(Setup!$O$6:$AL$23,7,MATCH(SUBSTITUTE($C$53," *",""),Setup!$B$6:$B$29,0)),"")="",1,0))+IF($D$53="",0,IF(IFERROR(INDEX(Setup!$O$6:$AL$23,7,MATCH(SUBSTITUTE($D$53," *",""),Setup!$B$6:$B$29,0)),"")="",1,0))+IF($E$53="",0,IF(IFERROR(INDEX(Setup!$O$6:$AL$23,7,MATCH(SUBSTITUTE($E$53," *",""),Setup!$B$6:$B$29,0)),"")="",1,0)))</f>
        <v/>
      </c>
      <c r="K74">
        <f>IF($B$12+0=TODAY(),1,0)</f>
        <v/>
      </c>
      <c r="N74">
        <f>COUNT($AN74:$BK74)</f>
        <v/>
      </c>
      <c r="O74">
        <f>IF(1&gt;$N74,"",INDEX(Engine!$B$20:$B$43,MOD(SMALL($AN74:$BK74,1),100))&amp;IF(SMALL($AN74:$BK74,1)&gt;100," *",""))</f>
        <v/>
      </c>
      <c r="P74">
        <f>IF(2&gt;$N74,"",INDEX(Engine!$B$20:$B$43,MOD(SMALL($AN74:$BK74,2),100))&amp;IF(SMALL($AN74:$BK74,2)&gt;100," *",""))</f>
        <v/>
      </c>
      <c r="Q74">
        <f>IF(3&gt;$N74,"",INDEX(Engine!$B$20:$B$43,MOD(SMALL($AN74:$BK74,3),100))&amp;IF(SMALL($AN74:$BK74,3)&gt;100," *",""))</f>
        <v/>
      </c>
      <c r="R74">
        <f>IF(4&gt;$N74,"",INDEX(Engine!$B$20:$B$43,MOD(SMALL($AN74:$BK74,4),100))&amp;IF(SMALL($AN74:$BK74,4)&gt;100," *",""))</f>
        <v/>
      </c>
      <c r="S74">
        <f>IF(5&gt;$N74,"",INDEX(Engine!$B$20:$B$43,MOD(SMALL($AN74:$BK74,5),100))&amp;IF(SMALL($AN74:$BK74,5)&gt;100," *",""))</f>
        <v/>
      </c>
      <c r="T74">
        <f>IF(6&gt;$N74,"",INDEX(Engine!$B$20:$B$43,MOD(SMALL($AN74:$BK74,6),100))&amp;IF(SMALL($AN74:$BK74,6)&gt;100," *",""))</f>
        <v/>
      </c>
      <c r="U74">
        <f>IF(7&gt;$N74,"",INDEX(Engine!$B$20:$B$43,MOD(SMALL($AN74:$BK74,7),100))&amp;IF(SMALL($AN74:$BK74,7)&gt;100," *",""))</f>
        <v/>
      </c>
      <c r="V74">
        <f>IF(8&gt;$N74,"",INDEX(Engine!$B$20:$B$43,MOD(SMALL($AN74:$BK74,8),100))&amp;IF(SMALL($AN74:$BK74,8)&gt;100," *",""))</f>
        <v/>
      </c>
      <c r="W74">
        <f>IF(9&gt;$N74,"",INDEX(Engine!$B$20:$B$43,MOD(SMALL($AN74:$BK74,9),100))&amp;IF(SMALL($AN74:$BK74,9)&gt;100," *",""))</f>
        <v/>
      </c>
      <c r="X74">
        <f>IF(10&gt;$N74,"",INDEX(Engine!$B$20:$B$43,MOD(SMALL($AN74:$BK74,10),100))&amp;IF(SMALL($AN74:$BK74,10)&gt;100," *",""))</f>
        <v/>
      </c>
      <c r="Y74">
        <f>IF(11&gt;$N74,"",INDEX(Engine!$B$20:$B$43,MOD(SMALL($AN74:$BK74,11),100))&amp;IF(SMALL($AN74:$BK74,11)&gt;100," *",""))</f>
        <v/>
      </c>
      <c r="Z74">
        <f>IF(12&gt;$N74,"",INDEX(Engine!$B$20:$B$43,MOD(SMALL($AN74:$BK74,12),100))&amp;IF(SMALL($AN74:$BK74,12)&gt;100," *",""))</f>
        <v/>
      </c>
      <c r="AA74">
        <f>IF(13&gt;$N74,"",INDEX(Engine!$B$20:$B$43,MOD(SMALL($AN74:$BK74,13),100))&amp;IF(SMALL($AN74:$BK74,13)&gt;100," *",""))</f>
        <v/>
      </c>
      <c r="AB74">
        <f>IF(14&gt;$N74,"",INDEX(Engine!$B$20:$B$43,MOD(SMALL($AN74:$BK74,14),100))&amp;IF(SMALL($AN74:$BK74,14)&gt;100," *",""))</f>
        <v/>
      </c>
      <c r="AC74">
        <f>IF(15&gt;$N74,"",INDEX(Engine!$B$20:$B$43,MOD(SMALL($AN74:$BK74,15),100))&amp;IF(SMALL($AN74:$BK74,15)&gt;100," *",""))</f>
        <v/>
      </c>
      <c r="AD74">
        <f>IF(16&gt;$N74,"",INDEX(Engine!$B$20:$B$43,MOD(SMALL($AN74:$BK74,16),100))&amp;IF(SMALL($AN74:$BK74,16)&gt;100," *",""))</f>
        <v/>
      </c>
      <c r="AE74">
        <f>IF(17&gt;$N74,"",INDEX(Engine!$B$20:$B$43,MOD(SMALL($AN74:$BK74,17),100))&amp;IF(SMALL($AN74:$BK74,17)&gt;100," *",""))</f>
        <v/>
      </c>
      <c r="AF74">
        <f>IF(18&gt;$N74,"",INDEX(Engine!$B$20:$B$43,MOD(SMALL($AN74:$BK74,18),100))&amp;IF(SMALL($AN74:$BK74,18)&gt;100," *",""))</f>
        <v/>
      </c>
      <c r="AG74">
        <f>IF(19&gt;$N74,"",INDEX(Engine!$B$20:$B$43,MOD(SMALL($AN74:$BK74,19),100))&amp;IF(SMALL($AN74:$BK74,19)&gt;100," *",""))</f>
        <v/>
      </c>
      <c r="AH74">
        <f>IF(20&gt;$N74,"",INDEX(Engine!$B$20:$B$43,MOD(SMALL($AN74:$BK74,20),100))&amp;IF(SMALL($AN74:$BK74,20)&gt;100," *",""))</f>
        <v/>
      </c>
      <c r="AI74">
        <f>IF(21&gt;$N74,"",INDEX(Engine!$B$20:$B$43,MOD(SMALL($AN74:$BK74,21),100))&amp;IF(SMALL($AN74:$BK74,21)&gt;100," *",""))</f>
        <v/>
      </c>
      <c r="AJ74">
        <f>IF(22&gt;$N74,"",INDEX(Engine!$B$20:$B$43,MOD(SMALL($AN74:$BK74,22),100))&amp;IF(SMALL($AN74:$BK74,22)&gt;100," *",""))</f>
        <v/>
      </c>
      <c r="AK74">
        <f>IF(23&gt;$N74,"",INDEX(Engine!$B$20:$B$43,MOD(SMALL($AN74:$BK74,23),100))&amp;IF(SMALL($AN74:$BK74,23)&gt;100," *",""))</f>
        <v/>
      </c>
      <c r="AL74">
        <f>IF(24&gt;$N74,"",INDEX(Engine!$B$20:$B$43,MOD(SMALL($AN74:$BK74,24),100))&amp;IF(SMALL($AN74:$BK74,24)&gt;100," *",""))</f>
        <v/>
      </c>
      <c r="AN74">
        <f>IF(AND($C20=1,INDEX(Setup!$O$6:$AL$23,7,1)&lt;&gt;"",K20=0),1+IF(INDEX(Setup!$O$6:$AL$23,7,1)="T",100,0),"")</f>
        <v/>
      </c>
      <c r="AO74">
        <f>IF(AND($C21=1,INDEX(Setup!$O$6:$AL$23,7,2)&lt;&gt;"",K21=0),2+IF(INDEX(Setup!$O$6:$AL$23,7,2)="T",100,0),"")</f>
        <v/>
      </c>
      <c r="AP74">
        <f>IF(AND($C22=1,INDEX(Setup!$O$6:$AL$23,7,3)&lt;&gt;"",K22=0),3+IF(INDEX(Setup!$O$6:$AL$23,7,3)="T",100,0),"")</f>
        <v/>
      </c>
      <c r="AQ74">
        <f>IF(AND($C23=1,INDEX(Setup!$O$6:$AL$23,7,4)&lt;&gt;"",K23=0),4+IF(INDEX(Setup!$O$6:$AL$23,7,4)="T",100,0),"")</f>
        <v/>
      </c>
      <c r="AR74">
        <f>IF(AND($C24=1,INDEX(Setup!$O$6:$AL$23,7,5)&lt;&gt;"",K24=0),5+IF(INDEX(Setup!$O$6:$AL$23,7,5)="T",100,0),"")</f>
        <v/>
      </c>
      <c r="AS74">
        <f>IF(AND($C25=1,INDEX(Setup!$O$6:$AL$23,7,6)&lt;&gt;"",K25=0),6+IF(INDEX(Setup!$O$6:$AL$23,7,6)="T",100,0),"")</f>
        <v/>
      </c>
      <c r="AT74">
        <f>IF(AND($C26=1,INDEX(Setup!$O$6:$AL$23,7,7)&lt;&gt;"",K26=0),7+IF(INDEX(Setup!$O$6:$AL$23,7,7)="T",100,0),"")</f>
        <v/>
      </c>
      <c r="AU74">
        <f>IF(AND($C27=1,INDEX(Setup!$O$6:$AL$23,7,8)&lt;&gt;"",K27=0),8+IF(INDEX(Setup!$O$6:$AL$23,7,8)="T",100,0),"")</f>
        <v/>
      </c>
      <c r="AV74">
        <f>IF(AND($C28=1,INDEX(Setup!$O$6:$AL$23,7,9)&lt;&gt;"",K28=0),9+IF(INDEX(Setup!$O$6:$AL$23,7,9)="T",100,0),"")</f>
        <v/>
      </c>
      <c r="AW74">
        <f>IF(AND($C29=1,INDEX(Setup!$O$6:$AL$23,7,10)&lt;&gt;"",K29=0),10+IF(INDEX(Setup!$O$6:$AL$23,7,10)="T",100,0),"")</f>
        <v/>
      </c>
      <c r="AX74">
        <f>IF(AND($C30=1,INDEX(Setup!$O$6:$AL$23,7,11)&lt;&gt;"",K30=0),11+IF(INDEX(Setup!$O$6:$AL$23,7,11)="T",100,0),"")</f>
        <v/>
      </c>
      <c r="AY74">
        <f>IF(AND($C31=1,INDEX(Setup!$O$6:$AL$23,7,12)&lt;&gt;"",K31=0),12+IF(INDEX(Setup!$O$6:$AL$23,7,12)="T",100,0),"")</f>
        <v/>
      </c>
      <c r="AZ74">
        <f>IF(AND($C32=1,INDEX(Setup!$O$6:$AL$23,7,13)&lt;&gt;"",K32=0),13+IF(INDEX(Setup!$O$6:$AL$23,7,13)="T",100,0),"")</f>
        <v/>
      </c>
      <c r="BA74">
        <f>IF(AND($C33=1,INDEX(Setup!$O$6:$AL$23,7,14)&lt;&gt;"",K33=0),14+IF(INDEX(Setup!$O$6:$AL$23,7,14)="T",100,0),"")</f>
        <v/>
      </c>
      <c r="BB74">
        <f>IF(AND($C34=1,INDEX(Setup!$O$6:$AL$23,7,15)&lt;&gt;"",K34=0),15+IF(INDEX(Setup!$O$6:$AL$23,7,15)="T",100,0),"")</f>
        <v/>
      </c>
      <c r="BC74">
        <f>IF(AND($C35=1,INDEX(Setup!$O$6:$AL$23,7,16)&lt;&gt;"",K35=0),16+IF(INDEX(Setup!$O$6:$AL$23,7,16)="T",100,0),"")</f>
        <v/>
      </c>
      <c r="BD74">
        <f>IF(AND($C36=1,INDEX(Setup!$O$6:$AL$23,7,17)&lt;&gt;"",K36=0),17+IF(INDEX(Setup!$O$6:$AL$23,7,17)="T",100,0),"")</f>
        <v/>
      </c>
      <c r="BE74">
        <f>IF(AND($C37=1,INDEX(Setup!$O$6:$AL$23,7,18)&lt;&gt;"",K37=0),18+IF(INDEX(Setup!$O$6:$AL$23,7,18)="T",100,0),"")</f>
        <v/>
      </c>
      <c r="BF74">
        <f>IF(AND($C38=1,INDEX(Setup!$O$6:$AL$23,7,19)&lt;&gt;"",K38=0),19+IF(INDEX(Setup!$O$6:$AL$23,7,19)="T",100,0),"")</f>
        <v/>
      </c>
      <c r="BG74">
        <f>IF(AND($C39=1,INDEX(Setup!$O$6:$AL$23,7,20)&lt;&gt;"",K39=0),20+IF(INDEX(Setup!$O$6:$AL$23,7,20)="T",100,0),"")</f>
        <v/>
      </c>
      <c r="BH74">
        <f>IF(AND($C40=1,INDEX(Setup!$O$6:$AL$23,7,21)&lt;&gt;"",K40=0),21+IF(INDEX(Setup!$O$6:$AL$23,7,21)="T",100,0),"")</f>
        <v/>
      </c>
      <c r="BI74">
        <f>IF(AND($C41=1,INDEX(Setup!$O$6:$AL$23,7,22)&lt;&gt;"",K41=0),22+IF(INDEX(Setup!$O$6:$AL$23,7,22)="T",100,0),"")</f>
        <v/>
      </c>
      <c r="BJ74">
        <f>IF(AND($C42=1,INDEX(Setup!$O$6:$AL$23,7,23)&lt;&gt;"",K42=0),23+IF(INDEX(Setup!$O$6:$AL$23,7,23)="T",100,0),"")</f>
        <v/>
      </c>
      <c r="BK74">
        <f>IF(AND($C43=1,INDEX(Setup!$O$6:$AL$23,7,24)&lt;&gt;"",K43=0),24+IF(INDEX(Setup!$O$6:$AL$23,7,24)="T",100,0),"")</f>
        <v/>
      </c>
      <c r="BM74">
        <f>IF(AND(AN74&lt;&gt;"",COUNTIF($C$53:$E$53,$B20)+COUNTIF($C$53:$E$53,$B20&amp;" ~*")=0),($R20+COUNTIF($H$68:$H73,$B20)+COUNTIF($H$68:$H73,$B20&amp;" ~*"))*1000+IF(AN74&gt;100,500,0)+1,"")</f>
        <v/>
      </c>
      <c r="BN74">
        <f>IF(AND(AO74&lt;&gt;"",COUNTIF($C$53:$E$53,$B21)+COUNTIF($C$53:$E$53,$B21&amp;" ~*")=0),($R21+COUNTIF($H$68:$H73,$B21)+COUNTIF($H$68:$H73,$B21&amp;" ~*"))*1000+IF(AO74&gt;100,500,0)+2,"")</f>
        <v/>
      </c>
      <c r="BO74">
        <f>IF(AND(AP74&lt;&gt;"",COUNTIF($C$53:$E$53,$B22)+COUNTIF($C$53:$E$53,$B22&amp;" ~*")=0),($R22+COUNTIF($H$68:$H73,$B22)+COUNTIF($H$68:$H73,$B22&amp;" ~*"))*1000+IF(AP74&gt;100,500,0)+3,"")</f>
        <v/>
      </c>
      <c r="BP74">
        <f>IF(AND(AQ74&lt;&gt;"",COUNTIF($C$53:$E$53,$B23)+COUNTIF($C$53:$E$53,$B23&amp;" ~*")=0),($R23+COUNTIF($H$68:$H73,$B23)+COUNTIF($H$68:$H73,$B23&amp;" ~*"))*1000+IF(AQ74&gt;100,500,0)+4,"")</f>
        <v/>
      </c>
      <c r="BQ74">
        <f>IF(AND(AR74&lt;&gt;"",COUNTIF($C$53:$E$53,$B24)+COUNTIF($C$53:$E$53,$B24&amp;" ~*")=0),($R24+COUNTIF($H$68:$H73,$B24)+COUNTIF($H$68:$H73,$B24&amp;" ~*"))*1000+IF(AR74&gt;100,500,0)+5,"")</f>
        <v/>
      </c>
      <c r="BR74">
        <f>IF(AND(AS74&lt;&gt;"",COUNTIF($C$53:$E$53,$B25)+COUNTIF($C$53:$E$53,$B25&amp;" ~*")=0),($R25+COUNTIF($H$68:$H73,$B25)+COUNTIF($H$68:$H73,$B25&amp;" ~*"))*1000+IF(AS74&gt;100,500,0)+6,"")</f>
        <v/>
      </c>
      <c r="BS74">
        <f>IF(AND(AT74&lt;&gt;"",COUNTIF($C$53:$E$53,$B26)+COUNTIF($C$53:$E$53,$B26&amp;" ~*")=0),($R26+COUNTIF($H$68:$H73,$B26)+COUNTIF($H$68:$H73,$B26&amp;" ~*"))*1000+IF(AT74&gt;100,500,0)+7,"")</f>
        <v/>
      </c>
      <c r="BT74">
        <f>IF(AND(AU74&lt;&gt;"",COUNTIF($C$53:$E$53,$B27)+COUNTIF($C$53:$E$53,$B27&amp;" ~*")=0),($R27+COUNTIF($H$68:$H73,$B27)+COUNTIF($H$68:$H73,$B27&amp;" ~*"))*1000+IF(AU74&gt;100,500,0)+8,"")</f>
        <v/>
      </c>
      <c r="BU74">
        <f>IF(AND(AV74&lt;&gt;"",COUNTIF($C$53:$E$53,$B28)+COUNTIF($C$53:$E$53,$B28&amp;" ~*")=0),($R28+COUNTIF($H$68:$H73,$B28)+COUNTIF($H$68:$H73,$B28&amp;" ~*"))*1000+IF(AV74&gt;100,500,0)+9,"")</f>
        <v/>
      </c>
      <c r="BV74">
        <f>IF(AND(AW74&lt;&gt;"",COUNTIF($C$53:$E$53,$B29)+COUNTIF($C$53:$E$53,$B29&amp;" ~*")=0),($R29+COUNTIF($H$68:$H73,$B29)+COUNTIF($H$68:$H73,$B29&amp;" ~*"))*1000+IF(AW74&gt;100,500,0)+10,"")</f>
        <v/>
      </c>
      <c r="BW74">
        <f>IF(AND(AX74&lt;&gt;"",COUNTIF($C$53:$E$53,$B30)+COUNTIF($C$53:$E$53,$B30&amp;" ~*")=0),($R30+COUNTIF($H$68:$H73,$B30)+COUNTIF($H$68:$H73,$B30&amp;" ~*"))*1000+IF(AX74&gt;100,500,0)+11,"")</f>
        <v/>
      </c>
      <c r="BX74">
        <f>IF(AND(AY74&lt;&gt;"",COUNTIF($C$53:$E$53,$B31)+COUNTIF($C$53:$E$53,$B31&amp;" ~*")=0),($R31+COUNTIF($H$68:$H73,$B31)+COUNTIF($H$68:$H73,$B31&amp;" ~*"))*1000+IF(AY74&gt;100,500,0)+12,"")</f>
        <v/>
      </c>
      <c r="BY74">
        <f>IF(AND(AZ74&lt;&gt;"",COUNTIF($C$53:$E$53,$B32)+COUNTIF($C$53:$E$53,$B32&amp;" ~*")=0),($R32+COUNTIF($H$68:$H73,$B32)+COUNTIF($H$68:$H73,$B32&amp;" ~*"))*1000+IF(AZ74&gt;100,500,0)+13,"")</f>
        <v/>
      </c>
      <c r="BZ74">
        <f>IF(AND(BA74&lt;&gt;"",COUNTIF($C$53:$E$53,$B33)+COUNTIF($C$53:$E$53,$B33&amp;" ~*")=0),($R33+COUNTIF($H$68:$H73,$B33)+COUNTIF($H$68:$H73,$B33&amp;" ~*"))*1000+IF(BA74&gt;100,500,0)+14,"")</f>
        <v/>
      </c>
      <c r="CA74">
        <f>IF(AND(BB74&lt;&gt;"",COUNTIF($C$53:$E$53,$B34)+COUNTIF($C$53:$E$53,$B34&amp;" ~*")=0),($R34+COUNTIF($H$68:$H73,$B34)+COUNTIF($H$68:$H73,$B34&amp;" ~*"))*1000+IF(BB74&gt;100,500,0)+15,"")</f>
        <v/>
      </c>
      <c r="CB74">
        <f>IF(AND(BC74&lt;&gt;"",COUNTIF($C$53:$E$53,$B35)+COUNTIF($C$53:$E$53,$B35&amp;" ~*")=0),($R35+COUNTIF($H$68:$H73,$B35)+COUNTIF($H$68:$H73,$B35&amp;" ~*"))*1000+IF(BC74&gt;100,500,0)+16,"")</f>
        <v/>
      </c>
      <c r="CC74">
        <f>IF(AND(BD74&lt;&gt;"",COUNTIF($C$53:$E$53,$B36)+COUNTIF($C$53:$E$53,$B36&amp;" ~*")=0),($R36+COUNTIF($H$68:$H73,$B36)+COUNTIF($H$68:$H73,$B36&amp;" ~*"))*1000+IF(BD74&gt;100,500,0)+17,"")</f>
        <v/>
      </c>
      <c r="CD74">
        <f>IF(AND(BE74&lt;&gt;"",COUNTIF($C$53:$E$53,$B37)+COUNTIF($C$53:$E$53,$B37&amp;" ~*")=0),($R37+COUNTIF($H$68:$H73,$B37)+COUNTIF($H$68:$H73,$B37&amp;" ~*"))*1000+IF(BE74&gt;100,500,0)+18,"")</f>
        <v/>
      </c>
      <c r="CE74">
        <f>IF(AND(BF74&lt;&gt;"",COUNTIF($C$53:$E$53,$B38)+COUNTIF($C$53:$E$53,$B38&amp;" ~*")=0),($R38+COUNTIF($H$68:$H73,$B38)+COUNTIF($H$68:$H73,$B38&amp;" ~*"))*1000+IF(BF74&gt;100,500,0)+19,"")</f>
        <v/>
      </c>
      <c r="CF74">
        <f>IF(AND(BG74&lt;&gt;"",COUNTIF($C$53:$E$53,$B39)+COUNTIF($C$53:$E$53,$B39&amp;" ~*")=0),($R39+COUNTIF($H$68:$H73,$B39)+COUNTIF($H$68:$H73,$B39&amp;" ~*"))*1000+IF(BG74&gt;100,500,0)+20,"")</f>
        <v/>
      </c>
      <c r="CG74">
        <f>IF(AND(BH74&lt;&gt;"",COUNTIF($C$53:$E$53,$B40)+COUNTIF($C$53:$E$53,$B40&amp;" ~*")=0),($R40+COUNTIF($H$68:$H73,$B40)+COUNTIF($H$68:$H73,$B40&amp;" ~*"))*1000+IF(BH74&gt;100,500,0)+21,"")</f>
        <v/>
      </c>
      <c r="CH74">
        <f>IF(AND(BI74&lt;&gt;"",COUNTIF($C$53:$E$53,$B41)+COUNTIF($C$53:$E$53,$B41&amp;" ~*")=0),($R41+COUNTIF($H$68:$H73,$B41)+COUNTIF($H$68:$H73,$B41&amp;" ~*"))*1000+IF(BI74&gt;100,500,0)+22,"")</f>
        <v/>
      </c>
      <c r="CI74">
        <f>IF(AND(BJ74&lt;&gt;"",COUNTIF($C$53:$E$53,$B42)+COUNTIF($C$53:$E$53,$B42&amp;" ~*")=0),($R42+COUNTIF($H$68:$H73,$B42)+COUNTIF($H$68:$H73,$B42&amp;" ~*"))*1000+IF(BJ74&gt;100,500,0)+23,"")</f>
        <v/>
      </c>
      <c r="CJ74">
        <f>IF(AND(BK74&lt;&gt;"",COUNTIF($C$53:$E$53,$B43)+COUNTIF($C$53:$E$53,$B43&amp;" ~*")=0),($R43+COUNTIF($H$68:$H73,$B43)+COUNTIF($H$68:$H73,$B43&amp;" ~*"))*1000+IF(BK74&gt;100,500,0)+24,"")</f>
        <v/>
      </c>
    </row>
    <row r="75">
      <c r="A75" t="n">
        <v>1</v>
      </c>
      <c r="B75" t="n">
        <v>8</v>
      </c>
      <c r="C75">
        <f>$B$54</f>
        <v/>
      </c>
      <c r="D75" t="inlineStr">
        <is>
          <t>Mon</t>
        </is>
      </c>
      <c r="E75">
        <f>IF(C75="","",N($AB$54))</f>
        <v/>
      </c>
      <c r="F75">
        <f>IF(C75="","",COUNTIF($C$54:$E$54,"?*"))</f>
        <v/>
      </c>
      <c r="G75">
        <f>IF(C75="","",MAX(0,E75-F75))</f>
        <v/>
      </c>
      <c r="H75">
        <f>IF(N(G75)=0,"",IF(COUNT(BM75:CJ75)=0,"no-one eligible",INDEX(Engine!$B$20:$B$43,MOD(MIN(BM75:CJ75),500))&amp;IF(MOD(MIN(BM75:CJ75),1000)&gt;=500," *","")))</f>
        <v/>
      </c>
      <c r="I75">
        <f>IF(N(G75)&gt;0,COUNTIF($G$68:G75,"&gt;0"),"")</f>
        <v/>
      </c>
      <c r="J75">
        <f>IF(C75="","",IF($C$54="",0,IF(IFERROR(INDEX(Setup!$O$6:$AL$23,8,MATCH(SUBSTITUTE($C$54," *",""),Setup!$B$6:$B$29,0)),"")="",1,0))+IF($D$54="",0,IF(IFERROR(INDEX(Setup!$O$6:$AL$23,8,MATCH(SUBSTITUTE($D$54," *",""),Setup!$B$6:$B$29,0)),"")="",1,0))+IF($E$54="",0,IF(IFERROR(INDEX(Setup!$O$6:$AL$23,8,MATCH(SUBSTITUTE($E$54," *",""),Setup!$B$6:$B$29,0)),"")="",1,0)))</f>
        <v/>
      </c>
      <c r="K75">
        <f>IF($B$12+0=TODAY(),1,0)</f>
        <v/>
      </c>
      <c r="N75">
        <f>COUNT($AN75:$BK75)</f>
        <v/>
      </c>
      <c r="O75">
        <f>IF(1&gt;$N75,"",INDEX(Engine!$B$20:$B$43,MOD(SMALL($AN75:$BK75,1),100))&amp;IF(SMALL($AN75:$BK75,1)&gt;100," *",""))</f>
        <v/>
      </c>
      <c r="P75">
        <f>IF(2&gt;$N75,"",INDEX(Engine!$B$20:$B$43,MOD(SMALL($AN75:$BK75,2),100))&amp;IF(SMALL($AN75:$BK75,2)&gt;100," *",""))</f>
        <v/>
      </c>
      <c r="Q75">
        <f>IF(3&gt;$N75,"",INDEX(Engine!$B$20:$B$43,MOD(SMALL($AN75:$BK75,3),100))&amp;IF(SMALL($AN75:$BK75,3)&gt;100," *",""))</f>
        <v/>
      </c>
      <c r="R75">
        <f>IF(4&gt;$N75,"",INDEX(Engine!$B$20:$B$43,MOD(SMALL($AN75:$BK75,4),100))&amp;IF(SMALL($AN75:$BK75,4)&gt;100," *",""))</f>
        <v/>
      </c>
      <c r="S75">
        <f>IF(5&gt;$N75,"",INDEX(Engine!$B$20:$B$43,MOD(SMALL($AN75:$BK75,5),100))&amp;IF(SMALL($AN75:$BK75,5)&gt;100," *",""))</f>
        <v/>
      </c>
      <c r="T75">
        <f>IF(6&gt;$N75,"",INDEX(Engine!$B$20:$B$43,MOD(SMALL($AN75:$BK75,6),100))&amp;IF(SMALL($AN75:$BK75,6)&gt;100," *",""))</f>
        <v/>
      </c>
      <c r="U75">
        <f>IF(7&gt;$N75,"",INDEX(Engine!$B$20:$B$43,MOD(SMALL($AN75:$BK75,7),100))&amp;IF(SMALL($AN75:$BK75,7)&gt;100," *",""))</f>
        <v/>
      </c>
      <c r="V75">
        <f>IF(8&gt;$N75,"",INDEX(Engine!$B$20:$B$43,MOD(SMALL($AN75:$BK75,8),100))&amp;IF(SMALL($AN75:$BK75,8)&gt;100," *",""))</f>
        <v/>
      </c>
      <c r="W75">
        <f>IF(9&gt;$N75,"",INDEX(Engine!$B$20:$B$43,MOD(SMALL($AN75:$BK75,9),100))&amp;IF(SMALL($AN75:$BK75,9)&gt;100," *",""))</f>
        <v/>
      </c>
      <c r="X75">
        <f>IF(10&gt;$N75,"",INDEX(Engine!$B$20:$B$43,MOD(SMALL($AN75:$BK75,10),100))&amp;IF(SMALL($AN75:$BK75,10)&gt;100," *",""))</f>
        <v/>
      </c>
      <c r="Y75">
        <f>IF(11&gt;$N75,"",INDEX(Engine!$B$20:$B$43,MOD(SMALL($AN75:$BK75,11),100))&amp;IF(SMALL($AN75:$BK75,11)&gt;100," *",""))</f>
        <v/>
      </c>
      <c r="Z75">
        <f>IF(12&gt;$N75,"",INDEX(Engine!$B$20:$B$43,MOD(SMALL($AN75:$BK75,12),100))&amp;IF(SMALL($AN75:$BK75,12)&gt;100," *",""))</f>
        <v/>
      </c>
      <c r="AA75">
        <f>IF(13&gt;$N75,"",INDEX(Engine!$B$20:$B$43,MOD(SMALL($AN75:$BK75,13),100))&amp;IF(SMALL($AN75:$BK75,13)&gt;100," *",""))</f>
        <v/>
      </c>
      <c r="AB75">
        <f>IF(14&gt;$N75,"",INDEX(Engine!$B$20:$B$43,MOD(SMALL($AN75:$BK75,14),100))&amp;IF(SMALL($AN75:$BK75,14)&gt;100," *",""))</f>
        <v/>
      </c>
      <c r="AC75">
        <f>IF(15&gt;$N75,"",INDEX(Engine!$B$20:$B$43,MOD(SMALL($AN75:$BK75,15),100))&amp;IF(SMALL($AN75:$BK75,15)&gt;100," *",""))</f>
        <v/>
      </c>
      <c r="AD75">
        <f>IF(16&gt;$N75,"",INDEX(Engine!$B$20:$B$43,MOD(SMALL($AN75:$BK75,16),100))&amp;IF(SMALL($AN75:$BK75,16)&gt;100," *",""))</f>
        <v/>
      </c>
      <c r="AE75">
        <f>IF(17&gt;$N75,"",INDEX(Engine!$B$20:$B$43,MOD(SMALL($AN75:$BK75,17),100))&amp;IF(SMALL($AN75:$BK75,17)&gt;100," *",""))</f>
        <v/>
      </c>
      <c r="AF75">
        <f>IF(18&gt;$N75,"",INDEX(Engine!$B$20:$B$43,MOD(SMALL($AN75:$BK75,18),100))&amp;IF(SMALL($AN75:$BK75,18)&gt;100," *",""))</f>
        <v/>
      </c>
      <c r="AG75">
        <f>IF(19&gt;$N75,"",INDEX(Engine!$B$20:$B$43,MOD(SMALL($AN75:$BK75,19),100))&amp;IF(SMALL($AN75:$BK75,19)&gt;100," *",""))</f>
        <v/>
      </c>
      <c r="AH75">
        <f>IF(20&gt;$N75,"",INDEX(Engine!$B$20:$B$43,MOD(SMALL($AN75:$BK75,20),100))&amp;IF(SMALL($AN75:$BK75,20)&gt;100," *",""))</f>
        <v/>
      </c>
      <c r="AI75">
        <f>IF(21&gt;$N75,"",INDEX(Engine!$B$20:$B$43,MOD(SMALL($AN75:$BK75,21),100))&amp;IF(SMALL($AN75:$BK75,21)&gt;100," *",""))</f>
        <v/>
      </c>
      <c r="AJ75">
        <f>IF(22&gt;$N75,"",INDEX(Engine!$B$20:$B$43,MOD(SMALL($AN75:$BK75,22),100))&amp;IF(SMALL($AN75:$BK75,22)&gt;100," *",""))</f>
        <v/>
      </c>
      <c r="AK75">
        <f>IF(23&gt;$N75,"",INDEX(Engine!$B$20:$B$43,MOD(SMALL($AN75:$BK75,23),100))&amp;IF(SMALL($AN75:$BK75,23)&gt;100," *",""))</f>
        <v/>
      </c>
      <c r="AL75">
        <f>IF(24&gt;$N75,"",INDEX(Engine!$B$20:$B$43,MOD(SMALL($AN75:$BK75,24),100))&amp;IF(SMALL($AN75:$BK75,24)&gt;100," *",""))</f>
        <v/>
      </c>
      <c r="AN75">
        <f>IF(AND($C20=1,INDEX(Setup!$O$6:$AL$23,8,1)&lt;&gt;"",K20=0),1+IF(INDEX(Setup!$O$6:$AL$23,8,1)="T",100,0),"")</f>
        <v/>
      </c>
      <c r="AO75">
        <f>IF(AND($C21=1,INDEX(Setup!$O$6:$AL$23,8,2)&lt;&gt;"",K21=0),2+IF(INDEX(Setup!$O$6:$AL$23,8,2)="T",100,0),"")</f>
        <v/>
      </c>
      <c r="AP75">
        <f>IF(AND($C22=1,INDEX(Setup!$O$6:$AL$23,8,3)&lt;&gt;"",K22=0),3+IF(INDEX(Setup!$O$6:$AL$23,8,3)="T",100,0),"")</f>
        <v/>
      </c>
      <c r="AQ75">
        <f>IF(AND($C23=1,INDEX(Setup!$O$6:$AL$23,8,4)&lt;&gt;"",K23=0),4+IF(INDEX(Setup!$O$6:$AL$23,8,4)="T",100,0),"")</f>
        <v/>
      </c>
      <c r="AR75">
        <f>IF(AND($C24=1,INDEX(Setup!$O$6:$AL$23,8,5)&lt;&gt;"",K24=0),5+IF(INDEX(Setup!$O$6:$AL$23,8,5)="T",100,0),"")</f>
        <v/>
      </c>
      <c r="AS75">
        <f>IF(AND($C25=1,INDEX(Setup!$O$6:$AL$23,8,6)&lt;&gt;"",K25=0),6+IF(INDEX(Setup!$O$6:$AL$23,8,6)="T",100,0),"")</f>
        <v/>
      </c>
      <c r="AT75">
        <f>IF(AND($C26=1,INDEX(Setup!$O$6:$AL$23,8,7)&lt;&gt;"",K26=0),7+IF(INDEX(Setup!$O$6:$AL$23,8,7)="T",100,0),"")</f>
        <v/>
      </c>
      <c r="AU75">
        <f>IF(AND($C27=1,INDEX(Setup!$O$6:$AL$23,8,8)&lt;&gt;"",K27=0),8+IF(INDEX(Setup!$O$6:$AL$23,8,8)="T",100,0),"")</f>
        <v/>
      </c>
      <c r="AV75">
        <f>IF(AND($C28=1,INDEX(Setup!$O$6:$AL$23,8,9)&lt;&gt;"",K28=0),9+IF(INDEX(Setup!$O$6:$AL$23,8,9)="T",100,0),"")</f>
        <v/>
      </c>
      <c r="AW75">
        <f>IF(AND($C29=1,INDEX(Setup!$O$6:$AL$23,8,10)&lt;&gt;"",K29=0),10+IF(INDEX(Setup!$O$6:$AL$23,8,10)="T",100,0),"")</f>
        <v/>
      </c>
      <c r="AX75">
        <f>IF(AND($C30=1,INDEX(Setup!$O$6:$AL$23,8,11)&lt;&gt;"",K30=0),11+IF(INDEX(Setup!$O$6:$AL$23,8,11)="T",100,0),"")</f>
        <v/>
      </c>
      <c r="AY75">
        <f>IF(AND($C31=1,INDEX(Setup!$O$6:$AL$23,8,12)&lt;&gt;"",K31=0),12+IF(INDEX(Setup!$O$6:$AL$23,8,12)="T",100,0),"")</f>
        <v/>
      </c>
      <c r="AZ75">
        <f>IF(AND($C32=1,INDEX(Setup!$O$6:$AL$23,8,13)&lt;&gt;"",K32=0),13+IF(INDEX(Setup!$O$6:$AL$23,8,13)="T",100,0),"")</f>
        <v/>
      </c>
      <c r="BA75">
        <f>IF(AND($C33=1,INDEX(Setup!$O$6:$AL$23,8,14)&lt;&gt;"",K33=0),14+IF(INDEX(Setup!$O$6:$AL$23,8,14)="T",100,0),"")</f>
        <v/>
      </c>
      <c r="BB75">
        <f>IF(AND($C34=1,INDEX(Setup!$O$6:$AL$23,8,15)&lt;&gt;"",K34=0),15+IF(INDEX(Setup!$O$6:$AL$23,8,15)="T",100,0),"")</f>
        <v/>
      </c>
      <c r="BC75">
        <f>IF(AND($C35=1,INDEX(Setup!$O$6:$AL$23,8,16)&lt;&gt;"",K35=0),16+IF(INDEX(Setup!$O$6:$AL$23,8,16)="T",100,0),"")</f>
        <v/>
      </c>
      <c r="BD75">
        <f>IF(AND($C36=1,INDEX(Setup!$O$6:$AL$23,8,17)&lt;&gt;"",K36=0),17+IF(INDEX(Setup!$O$6:$AL$23,8,17)="T",100,0),"")</f>
        <v/>
      </c>
      <c r="BE75">
        <f>IF(AND($C37=1,INDEX(Setup!$O$6:$AL$23,8,18)&lt;&gt;"",K37=0),18+IF(INDEX(Setup!$O$6:$AL$23,8,18)="T",100,0),"")</f>
        <v/>
      </c>
      <c r="BF75">
        <f>IF(AND($C38=1,INDEX(Setup!$O$6:$AL$23,8,19)&lt;&gt;"",K38=0),19+IF(INDEX(Setup!$O$6:$AL$23,8,19)="T",100,0),"")</f>
        <v/>
      </c>
      <c r="BG75">
        <f>IF(AND($C39=1,INDEX(Setup!$O$6:$AL$23,8,20)&lt;&gt;"",K39=0),20+IF(INDEX(Setup!$O$6:$AL$23,8,20)="T",100,0),"")</f>
        <v/>
      </c>
      <c r="BH75">
        <f>IF(AND($C40=1,INDEX(Setup!$O$6:$AL$23,8,21)&lt;&gt;"",K40=0),21+IF(INDEX(Setup!$O$6:$AL$23,8,21)="T",100,0),"")</f>
        <v/>
      </c>
      <c r="BI75">
        <f>IF(AND($C41=1,INDEX(Setup!$O$6:$AL$23,8,22)&lt;&gt;"",K41=0),22+IF(INDEX(Setup!$O$6:$AL$23,8,22)="T",100,0),"")</f>
        <v/>
      </c>
      <c r="BJ75">
        <f>IF(AND($C42=1,INDEX(Setup!$O$6:$AL$23,8,23)&lt;&gt;"",K42=0),23+IF(INDEX(Setup!$O$6:$AL$23,8,23)="T",100,0),"")</f>
        <v/>
      </c>
      <c r="BK75">
        <f>IF(AND($C43=1,INDEX(Setup!$O$6:$AL$23,8,24)&lt;&gt;"",K43=0),24+IF(INDEX(Setup!$O$6:$AL$23,8,24)="T",100,0),"")</f>
        <v/>
      </c>
      <c r="BM75">
        <f>IF(AND(AN75&lt;&gt;"",COUNTIF($C$54:$E$54,$B20)+COUNTIF($C$54:$E$54,$B20&amp;" ~*")=0),($R20+COUNTIF($H$68:$H74,$B20)+COUNTIF($H$68:$H74,$B20&amp;" ~*"))*1000+IF(AN75&gt;100,500,0)+1,"")</f>
        <v/>
      </c>
      <c r="BN75">
        <f>IF(AND(AO75&lt;&gt;"",COUNTIF($C$54:$E$54,$B21)+COUNTIF($C$54:$E$54,$B21&amp;" ~*")=0),($R21+COUNTIF($H$68:$H74,$B21)+COUNTIF($H$68:$H74,$B21&amp;" ~*"))*1000+IF(AO75&gt;100,500,0)+2,"")</f>
        <v/>
      </c>
      <c r="BO75">
        <f>IF(AND(AP75&lt;&gt;"",COUNTIF($C$54:$E$54,$B22)+COUNTIF($C$54:$E$54,$B22&amp;" ~*")=0),($R22+COUNTIF($H$68:$H74,$B22)+COUNTIF($H$68:$H74,$B22&amp;" ~*"))*1000+IF(AP75&gt;100,500,0)+3,"")</f>
        <v/>
      </c>
      <c r="BP75">
        <f>IF(AND(AQ75&lt;&gt;"",COUNTIF($C$54:$E$54,$B23)+COUNTIF($C$54:$E$54,$B23&amp;" ~*")=0),($R23+COUNTIF($H$68:$H74,$B23)+COUNTIF($H$68:$H74,$B23&amp;" ~*"))*1000+IF(AQ75&gt;100,500,0)+4,"")</f>
        <v/>
      </c>
      <c r="BQ75">
        <f>IF(AND(AR75&lt;&gt;"",COUNTIF($C$54:$E$54,$B24)+COUNTIF($C$54:$E$54,$B24&amp;" ~*")=0),($R24+COUNTIF($H$68:$H74,$B24)+COUNTIF($H$68:$H74,$B24&amp;" ~*"))*1000+IF(AR75&gt;100,500,0)+5,"")</f>
        <v/>
      </c>
      <c r="BR75">
        <f>IF(AND(AS75&lt;&gt;"",COUNTIF($C$54:$E$54,$B25)+COUNTIF($C$54:$E$54,$B25&amp;" ~*")=0),($R25+COUNTIF($H$68:$H74,$B25)+COUNTIF($H$68:$H74,$B25&amp;" ~*"))*1000+IF(AS75&gt;100,500,0)+6,"")</f>
        <v/>
      </c>
      <c r="BS75">
        <f>IF(AND(AT75&lt;&gt;"",COUNTIF($C$54:$E$54,$B26)+COUNTIF($C$54:$E$54,$B26&amp;" ~*")=0),($R26+COUNTIF($H$68:$H74,$B26)+COUNTIF($H$68:$H74,$B26&amp;" ~*"))*1000+IF(AT75&gt;100,500,0)+7,"")</f>
        <v/>
      </c>
      <c r="BT75">
        <f>IF(AND(AU75&lt;&gt;"",COUNTIF($C$54:$E$54,$B27)+COUNTIF($C$54:$E$54,$B27&amp;" ~*")=0),($R27+COUNTIF($H$68:$H74,$B27)+COUNTIF($H$68:$H74,$B27&amp;" ~*"))*1000+IF(AU75&gt;100,500,0)+8,"")</f>
        <v/>
      </c>
      <c r="BU75">
        <f>IF(AND(AV75&lt;&gt;"",COUNTIF($C$54:$E$54,$B28)+COUNTIF($C$54:$E$54,$B28&amp;" ~*")=0),($R28+COUNTIF($H$68:$H74,$B28)+COUNTIF($H$68:$H74,$B28&amp;" ~*"))*1000+IF(AV75&gt;100,500,0)+9,"")</f>
        <v/>
      </c>
      <c r="BV75">
        <f>IF(AND(AW75&lt;&gt;"",COUNTIF($C$54:$E$54,$B29)+COUNTIF($C$54:$E$54,$B29&amp;" ~*")=0),($R29+COUNTIF($H$68:$H74,$B29)+COUNTIF($H$68:$H74,$B29&amp;" ~*"))*1000+IF(AW75&gt;100,500,0)+10,"")</f>
        <v/>
      </c>
      <c r="BW75">
        <f>IF(AND(AX75&lt;&gt;"",COUNTIF($C$54:$E$54,$B30)+COUNTIF($C$54:$E$54,$B30&amp;" ~*")=0),($R30+COUNTIF($H$68:$H74,$B30)+COUNTIF($H$68:$H74,$B30&amp;" ~*"))*1000+IF(AX75&gt;100,500,0)+11,"")</f>
        <v/>
      </c>
      <c r="BX75">
        <f>IF(AND(AY75&lt;&gt;"",COUNTIF($C$54:$E$54,$B31)+COUNTIF($C$54:$E$54,$B31&amp;" ~*")=0),($R31+COUNTIF($H$68:$H74,$B31)+COUNTIF($H$68:$H74,$B31&amp;" ~*"))*1000+IF(AY75&gt;100,500,0)+12,"")</f>
        <v/>
      </c>
      <c r="BY75">
        <f>IF(AND(AZ75&lt;&gt;"",COUNTIF($C$54:$E$54,$B32)+COUNTIF($C$54:$E$54,$B32&amp;" ~*")=0),($R32+COUNTIF($H$68:$H74,$B32)+COUNTIF($H$68:$H74,$B32&amp;" ~*"))*1000+IF(AZ75&gt;100,500,0)+13,"")</f>
        <v/>
      </c>
      <c r="BZ75">
        <f>IF(AND(BA75&lt;&gt;"",COUNTIF($C$54:$E$54,$B33)+COUNTIF($C$54:$E$54,$B33&amp;" ~*")=0),($R33+COUNTIF($H$68:$H74,$B33)+COUNTIF($H$68:$H74,$B33&amp;" ~*"))*1000+IF(BA75&gt;100,500,0)+14,"")</f>
        <v/>
      </c>
      <c r="CA75">
        <f>IF(AND(BB75&lt;&gt;"",COUNTIF($C$54:$E$54,$B34)+COUNTIF($C$54:$E$54,$B34&amp;" ~*")=0),($R34+COUNTIF($H$68:$H74,$B34)+COUNTIF($H$68:$H74,$B34&amp;" ~*"))*1000+IF(BB75&gt;100,500,0)+15,"")</f>
        <v/>
      </c>
      <c r="CB75">
        <f>IF(AND(BC75&lt;&gt;"",COUNTIF($C$54:$E$54,$B35)+COUNTIF($C$54:$E$54,$B35&amp;" ~*")=0),($R35+COUNTIF($H$68:$H74,$B35)+COUNTIF($H$68:$H74,$B35&amp;" ~*"))*1000+IF(BC75&gt;100,500,0)+16,"")</f>
        <v/>
      </c>
      <c r="CC75">
        <f>IF(AND(BD75&lt;&gt;"",COUNTIF($C$54:$E$54,$B36)+COUNTIF($C$54:$E$54,$B36&amp;" ~*")=0),($R36+COUNTIF($H$68:$H74,$B36)+COUNTIF($H$68:$H74,$B36&amp;" ~*"))*1000+IF(BD75&gt;100,500,0)+17,"")</f>
        <v/>
      </c>
      <c r="CD75">
        <f>IF(AND(BE75&lt;&gt;"",COUNTIF($C$54:$E$54,$B37)+COUNTIF($C$54:$E$54,$B37&amp;" ~*")=0),($R37+COUNTIF($H$68:$H74,$B37)+COUNTIF($H$68:$H74,$B37&amp;" ~*"))*1000+IF(BE75&gt;100,500,0)+18,"")</f>
        <v/>
      </c>
      <c r="CE75">
        <f>IF(AND(BF75&lt;&gt;"",COUNTIF($C$54:$E$54,$B38)+COUNTIF($C$54:$E$54,$B38&amp;" ~*")=0),($R38+COUNTIF($H$68:$H74,$B38)+COUNTIF($H$68:$H74,$B38&amp;" ~*"))*1000+IF(BF75&gt;100,500,0)+19,"")</f>
        <v/>
      </c>
      <c r="CF75">
        <f>IF(AND(BG75&lt;&gt;"",COUNTIF($C$54:$E$54,$B39)+COUNTIF($C$54:$E$54,$B39&amp;" ~*")=0),($R39+COUNTIF($H$68:$H74,$B39)+COUNTIF($H$68:$H74,$B39&amp;" ~*"))*1000+IF(BG75&gt;100,500,0)+20,"")</f>
        <v/>
      </c>
      <c r="CG75">
        <f>IF(AND(BH75&lt;&gt;"",COUNTIF($C$54:$E$54,$B40)+COUNTIF($C$54:$E$54,$B40&amp;" ~*")=0),($R40+COUNTIF($H$68:$H74,$B40)+COUNTIF($H$68:$H74,$B40&amp;" ~*"))*1000+IF(BH75&gt;100,500,0)+21,"")</f>
        <v/>
      </c>
      <c r="CH75">
        <f>IF(AND(BI75&lt;&gt;"",COUNTIF($C$54:$E$54,$B41)+COUNTIF($C$54:$E$54,$B41&amp;" ~*")=0),($R41+COUNTIF($H$68:$H74,$B41)+COUNTIF($H$68:$H74,$B41&amp;" ~*"))*1000+IF(BI75&gt;100,500,0)+22,"")</f>
        <v/>
      </c>
      <c r="CI75">
        <f>IF(AND(BJ75&lt;&gt;"",COUNTIF($C$54:$E$54,$B42)+COUNTIF($C$54:$E$54,$B42&amp;" ~*")=0),($R42+COUNTIF($H$68:$H74,$B42)+COUNTIF($H$68:$H74,$B42&amp;" ~*"))*1000+IF(BJ75&gt;100,500,0)+23,"")</f>
        <v/>
      </c>
      <c r="CJ75">
        <f>IF(AND(BK75&lt;&gt;"",COUNTIF($C$54:$E$54,$B43)+COUNTIF($C$54:$E$54,$B43&amp;" ~*")=0),($R43+COUNTIF($H$68:$H74,$B43)+COUNTIF($H$68:$H74,$B43&amp;" ~*"))*1000+IF(BK75&gt;100,500,0)+24,"")</f>
        <v/>
      </c>
    </row>
    <row r="76">
      <c r="A76" t="n">
        <v>1</v>
      </c>
      <c r="B76" t="n">
        <v>9</v>
      </c>
      <c r="C76">
        <f>$B$55</f>
        <v/>
      </c>
      <c r="D76" t="inlineStr">
        <is>
          <t>Mon</t>
        </is>
      </c>
      <c r="E76">
        <f>IF(C76="","",N($AB$55))</f>
        <v/>
      </c>
      <c r="F76">
        <f>IF(C76="","",COUNTIF($C$55:$E$55,"?*"))</f>
        <v/>
      </c>
      <c r="G76">
        <f>IF(C76="","",MAX(0,E76-F76))</f>
        <v/>
      </c>
      <c r="H76">
        <f>IF(N(G76)=0,"",IF(COUNT(BM76:CJ76)=0,"no-one eligible",INDEX(Engine!$B$20:$B$43,MOD(MIN(BM76:CJ76),500))&amp;IF(MOD(MIN(BM76:CJ76),1000)&gt;=500," *","")))</f>
        <v/>
      </c>
      <c r="I76">
        <f>IF(N(G76)&gt;0,COUNTIF($G$68:G76,"&gt;0"),"")</f>
        <v/>
      </c>
      <c r="J76">
        <f>IF(C76="","",IF($C$55="",0,IF(IFERROR(INDEX(Setup!$O$6:$AL$23,9,MATCH(SUBSTITUTE($C$55," *",""),Setup!$B$6:$B$29,0)),"")="",1,0))+IF($D$55="",0,IF(IFERROR(INDEX(Setup!$O$6:$AL$23,9,MATCH(SUBSTITUTE($D$55," *",""),Setup!$B$6:$B$29,0)),"")="",1,0))+IF($E$55="",0,IF(IFERROR(INDEX(Setup!$O$6:$AL$23,9,MATCH(SUBSTITUTE($E$55," *",""),Setup!$B$6:$B$29,0)),"")="",1,0)))</f>
        <v/>
      </c>
      <c r="K76">
        <f>IF($B$12+0=TODAY(),1,0)</f>
        <v/>
      </c>
      <c r="N76">
        <f>COUNT($AN76:$BK76)</f>
        <v/>
      </c>
      <c r="O76">
        <f>IF(1&gt;$N76,"",INDEX(Engine!$B$20:$B$43,MOD(SMALL($AN76:$BK76,1),100))&amp;IF(SMALL($AN76:$BK76,1)&gt;100," *",""))</f>
        <v/>
      </c>
      <c r="P76">
        <f>IF(2&gt;$N76,"",INDEX(Engine!$B$20:$B$43,MOD(SMALL($AN76:$BK76,2),100))&amp;IF(SMALL($AN76:$BK76,2)&gt;100," *",""))</f>
        <v/>
      </c>
      <c r="Q76">
        <f>IF(3&gt;$N76,"",INDEX(Engine!$B$20:$B$43,MOD(SMALL($AN76:$BK76,3),100))&amp;IF(SMALL($AN76:$BK76,3)&gt;100," *",""))</f>
        <v/>
      </c>
      <c r="R76">
        <f>IF(4&gt;$N76,"",INDEX(Engine!$B$20:$B$43,MOD(SMALL($AN76:$BK76,4),100))&amp;IF(SMALL($AN76:$BK76,4)&gt;100," *",""))</f>
        <v/>
      </c>
      <c r="S76">
        <f>IF(5&gt;$N76,"",INDEX(Engine!$B$20:$B$43,MOD(SMALL($AN76:$BK76,5),100))&amp;IF(SMALL($AN76:$BK76,5)&gt;100," *",""))</f>
        <v/>
      </c>
      <c r="T76">
        <f>IF(6&gt;$N76,"",INDEX(Engine!$B$20:$B$43,MOD(SMALL($AN76:$BK76,6),100))&amp;IF(SMALL($AN76:$BK76,6)&gt;100," *",""))</f>
        <v/>
      </c>
      <c r="U76">
        <f>IF(7&gt;$N76,"",INDEX(Engine!$B$20:$B$43,MOD(SMALL($AN76:$BK76,7),100))&amp;IF(SMALL($AN76:$BK76,7)&gt;100," *",""))</f>
        <v/>
      </c>
      <c r="V76">
        <f>IF(8&gt;$N76,"",INDEX(Engine!$B$20:$B$43,MOD(SMALL($AN76:$BK76,8),100))&amp;IF(SMALL($AN76:$BK76,8)&gt;100," *",""))</f>
        <v/>
      </c>
      <c r="W76">
        <f>IF(9&gt;$N76,"",INDEX(Engine!$B$20:$B$43,MOD(SMALL($AN76:$BK76,9),100))&amp;IF(SMALL($AN76:$BK76,9)&gt;100," *",""))</f>
        <v/>
      </c>
      <c r="X76">
        <f>IF(10&gt;$N76,"",INDEX(Engine!$B$20:$B$43,MOD(SMALL($AN76:$BK76,10),100))&amp;IF(SMALL($AN76:$BK76,10)&gt;100," *",""))</f>
        <v/>
      </c>
      <c r="Y76">
        <f>IF(11&gt;$N76,"",INDEX(Engine!$B$20:$B$43,MOD(SMALL($AN76:$BK76,11),100))&amp;IF(SMALL($AN76:$BK76,11)&gt;100," *",""))</f>
        <v/>
      </c>
      <c r="Z76">
        <f>IF(12&gt;$N76,"",INDEX(Engine!$B$20:$B$43,MOD(SMALL($AN76:$BK76,12),100))&amp;IF(SMALL($AN76:$BK76,12)&gt;100," *",""))</f>
        <v/>
      </c>
      <c r="AA76">
        <f>IF(13&gt;$N76,"",INDEX(Engine!$B$20:$B$43,MOD(SMALL($AN76:$BK76,13),100))&amp;IF(SMALL($AN76:$BK76,13)&gt;100," *",""))</f>
        <v/>
      </c>
      <c r="AB76">
        <f>IF(14&gt;$N76,"",INDEX(Engine!$B$20:$B$43,MOD(SMALL($AN76:$BK76,14),100))&amp;IF(SMALL($AN76:$BK76,14)&gt;100," *",""))</f>
        <v/>
      </c>
      <c r="AC76">
        <f>IF(15&gt;$N76,"",INDEX(Engine!$B$20:$B$43,MOD(SMALL($AN76:$BK76,15),100))&amp;IF(SMALL($AN76:$BK76,15)&gt;100," *",""))</f>
        <v/>
      </c>
      <c r="AD76">
        <f>IF(16&gt;$N76,"",INDEX(Engine!$B$20:$B$43,MOD(SMALL($AN76:$BK76,16),100))&amp;IF(SMALL($AN76:$BK76,16)&gt;100," *",""))</f>
        <v/>
      </c>
      <c r="AE76">
        <f>IF(17&gt;$N76,"",INDEX(Engine!$B$20:$B$43,MOD(SMALL($AN76:$BK76,17),100))&amp;IF(SMALL($AN76:$BK76,17)&gt;100," *",""))</f>
        <v/>
      </c>
      <c r="AF76">
        <f>IF(18&gt;$N76,"",INDEX(Engine!$B$20:$B$43,MOD(SMALL($AN76:$BK76,18),100))&amp;IF(SMALL($AN76:$BK76,18)&gt;100," *",""))</f>
        <v/>
      </c>
      <c r="AG76">
        <f>IF(19&gt;$N76,"",INDEX(Engine!$B$20:$B$43,MOD(SMALL($AN76:$BK76,19),100))&amp;IF(SMALL($AN76:$BK76,19)&gt;100," *",""))</f>
        <v/>
      </c>
      <c r="AH76">
        <f>IF(20&gt;$N76,"",INDEX(Engine!$B$20:$B$43,MOD(SMALL($AN76:$BK76,20),100))&amp;IF(SMALL($AN76:$BK76,20)&gt;100," *",""))</f>
        <v/>
      </c>
      <c r="AI76">
        <f>IF(21&gt;$N76,"",INDEX(Engine!$B$20:$B$43,MOD(SMALL($AN76:$BK76,21),100))&amp;IF(SMALL($AN76:$BK76,21)&gt;100," *",""))</f>
        <v/>
      </c>
      <c r="AJ76">
        <f>IF(22&gt;$N76,"",INDEX(Engine!$B$20:$B$43,MOD(SMALL($AN76:$BK76,22),100))&amp;IF(SMALL($AN76:$BK76,22)&gt;100," *",""))</f>
        <v/>
      </c>
      <c r="AK76">
        <f>IF(23&gt;$N76,"",INDEX(Engine!$B$20:$B$43,MOD(SMALL($AN76:$BK76,23),100))&amp;IF(SMALL($AN76:$BK76,23)&gt;100," *",""))</f>
        <v/>
      </c>
      <c r="AL76">
        <f>IF(24&gt;$N76,"",INDEX(Engine!$B$20:$B$43,MOD(SMALL($AN76:$BK76,24),100))&amp;IF(SMALL($AN76:$BK76,24)&gt;100," *",""))</f>
        <v/>
      </c>
      <c r="AN76">
        <f>IF(AND($C20=1,INDEX(Setup!$O$6:$AL$23,9,1)&lt;&gt;"",K20=0),1+IF(INDEX(Setup!$O$6:$AL$23,9,1)="T",100,0),"")</f>
        <v/>
      </c>
      <c r="AO76">
        <f>IF(AND($C21=1,INDEX(Setup!$O$6:$AL$23,9,2)&lt;&gt;"",K21=0),2+IF(INDEX(Setup!$O$6:$AL$23,9,2)="T",100,0),"")</f>
        <v/>
      </c>
      <c r="AP76">
        <f>IF(AND($C22=1,INDEX(Setup!$O$6:$AL$23,9,3)&lt;&gt;"",K22=0),3+IF(INDEX(Setup!$O$6:$AL$23,9,3)="T",100,0),"")</f>
        <v/>
      </c>
      <c r="AQ76">
        <f>IF(AND($C23=1,INDEX(Setup!$O$6:$AL$23,9,4)&lt;&gt;"",K23=0),4+IF(INDEX(Setup!$O$6:$AL$23,9,4)="T",100,0),"")</f>
        <v/>
      </c>
      <c r="AR76">
        <f>IF(AND($C24=1,INDEX(Setup!$O$6:$AL$23,9,5)&lt;&gt;"",K24=0),5+IF(INDEX(Setup!$O$6:$AL$23,9,5)="T",100,0),"")</f>
        <v/>
      </c>
      <c r="AS76">
        <f>IF(AND($C25=1,INDEX(Setup!$O$6:$AL$23,9,6)&lt;&gt;"",K25=0),6+IF(INDEX(Setup!$O$6:$AL$23,9,6)="T",100,0),"")</f>
        <v/>
      </c>
      <c r="AT76">
        <f>IF(AND($C26=1,INDEX(Setup!$O$6:$AL$23,9,7)&lt;&gt;"",K26=0),7+IF(INDEX(Setup!$O$6:$AL$23,9,7)="T",100,0),"")</f>
        <v/>
      </c>
      <c r="AU76">
        <f>IF(AND($C27=1,INDEX(Setup!$O$6:$AL$23,9,8)&lt;&gt;"",K27=0),8+IF(INDEX(Setup!$O$6:$AL$23,9,8)="T",100,0),"")</f>
        <v/>
      </c>
      <c r="AV76">
        <f>IF(AND($C28=1,INDEX(Setup!$O$6:$AL$23,9,9)&lt;&gt;"",K28=0),9+IF(INDEX(Setup!$O$6:$AL$23,9,9)="T",100,0),"")</f>
        <v/>
      </c>
      <c r="AW76">
        <f>IF(AND($C29=1,INDEX(Setup!$O$6:$AL$23,9,10)&lt;&gt;"",K29=0),10+IF(INDEX(Setup!$O$6:$AL$23,9,10)="T",100,0),"")</f>
        <v/>
      </c>
      <c r="AX76">
        <f>IF(AND($C30=1,INDEX(Setup!$O$6:$AL$23,9,11)&lt;&gt;"",K30=0),11+IF(INDEX(Setup!$O$6:$AL$23,9,11)="T",100,0),"")</f>
        <v/>
      </c>
      <c r="AY76">
        <f>IF(AND($C31=1,INDEX(Setup!$O$6:$AL$23,9,12)&lt;&gt;"",K31=0),12+IF(INDEX(Setup!$O$6:$AL$23,9,12)="T",100,0),"")</f>
        <v/>
      </c>
      <c r="AZ76">
        <f>IF(AND($C32=1,INDEX(Setup!$O$6:$AL$23,9,13)&lt;&gt;"",K32=0),13+IF(INDEX(Setup!$O$6:$AL$23,9,13)="T",100,0),"")</f>
        <v/>
      </c>
      <c r="BA76">
        <f>IF(AND($C33=1,INDEX(Setup!$O$6:$AL$23,9,14)&lt;&gt;"",K33=0),14+IF(INDEX(Setup!$O$6:$AL$23,9,14)="T",100,0),"")</f>
        <v/>
      </c>
      <c r="BB76">
        <f>IF(AND($C34=1,INDEX(Setup!$O$6:$AL$23,9,15)&lt;&gt;"",K34=0),15+IF(INDEX(Setup!$O$6:$AL$23,9,15)="T",100,0),"")</f>
        <v/>
      </c>
      <c r="BC76">
        <f>IF(AND($C35=1,INDEX(Setup!$O$6:$AL$23,9,16)&lt;&gt;"",K35=0),16+IF(INDEX(Setup!$O$6:$AL$23,9,16)="T",100,0),"")</f>
        <v/>
      </c>
      <c r="BD76">
        <f>IF(AND($C36=1,INDEX(Setup!$O$6:$AL$23,9,17)&lt;&gt;"",K36=0),17+IF(INDEX(Setup!$O$6:$AL$23,9,17)="T",100,0),"")</f>
        <v/>
      </c>
      <c r="BE76">
        <f>IF(AND($C37=1,INDEX(Setup!$O$6:$AL$23,9,18)&lt;&gt;"",K37=0),18+IF(INDEX(Setup!$O$6:$AL$23,9,18)="T",100,0),"")</f>
        <v/>
      </c>
      <c r="BF76">
        <f>IF(AND($C38=1,INDEX(Setup!$O$6:$AL$23,9,19)&lt;&gt;"",K38=0),19+IF(INDEX(Setup!$O$6:$AL$23,9,19)="T",100,0),"")</f>
        <v/>
      </c>
      <c r="BG76">
        <f>IF(AND($C39=1,INDEX(Setup!$O$6:$AL$23,9,20)&lt;&gt;"",K39=0),20+IF(INDEX(Setup!$O$6:$AL$23,9,20)="T",100,0),"")</f>
        <v/>
      </c>
      <c r="BH76">
        <f>IF(AND($C40=1,INDEX(Setup!$O$6:$AL$23,9,21)&lt;&gt;"",K40=0),21+IF(INDEX(Setup!$O$6:$AL$23,9,21)="T",100,0),"")</f>
        <v/>
      </c>
      <c r="BI76">
        <f>IF(AND($C41=1,INDEX(Setup!$O$6:$AL$23,9,22)&lt;&gt;"",K41=0),22+IF(INDEX(Setup!$O$6:$AL$23,9,22)="T",100,0),"")</f>
        <v/>
      </c>
      <c r="BJ76">
        <f>IF(AND($C42=1,INDEX(Setup!$O$6:$AL$23,9,23)&lt;&gt;"",K42=0),23+IF(INDEX(Setup!$O$6:$AL$23,9,23)="T",100,0),"")</f>
        <v/>
      </c>
      <c r="BK76">
        <f>IF(AND($C43=1,INDEX(Setup!$O$6:$AL$23,9,24)&lt;&gt;"",K43=0),24+IF(INDEX(Setup!$O$6:$AL$23,9,24)="T",100,0),"")</f>
        <v/>
      </c>
      <c r="BM76">
        <f>IF(AND(AN76&lt;&gt;"",COUNTIF($C$55:$E$55,$B20)+COUNTIF($C$55:$E$55,$B20&amp;" ~*")=0),($R20+COUNTIF($H$68:$H75,$B20)+COUNTIF($H$68:$H75,$B20&amp;" ~*"))*1000+IF(AN76&gt;100,500,0)+1,"")</f>
        <v/>
      </c>
      <c r="BN76">
        <f>IF(AND(AO76&lt;&gt;"",COUNTIF($C$55:$E$55,$B21)+COUNTIF($C$55:$E$55,$B21&amp;" ~*")=0),($R21+COUNTIF($H$68:$H75,$B21)+COUNTIF($H$68:$H75,$B21&amp;" ~*"))*1000+IF(AO76&gt;100,500,0)+2,"")</f>
        <v/>
      </c>
      <c r="BO76">
        <f>IF(AND(AP76&lt;&gt;"",COUNTIF($C$55:$E$55,$B22)+COUNTIF($C$55:$E$55,$B22&amp;" ~*")=0),($R22+COUNTIF($H$68:$H75,$B22)+COUNTIF($H$68:$H75,$B22&amp;" ~*"))*1000+IF(AP76&gt;100,500,0)+3,"")</f>
        <v/>
      </c>
      <c r="BP76">
        <f>IF(AND(AQ76&lt;&gt;"",COUNTIF($C$55:$E$55,$B23)+COUNTIF($C$55:$E$55,$B23&amp;" ~*")=0),($R23+COUNTIF($H$68:$H75,$B23)+COUNTIF($H$68:$H75,$B23&amp;" ~*"))*1000+IF(AQ76&gt;100,500,0)+4,"")</f>
        <v/>
      </c>
      <c r="BQ76">
        <f>IF(AND(AR76&lt;&gt;"",COUNTIF($C$55:$E$55,$B24)+COUNTIF($C$55:$E$55,$B24&amp;" ~*")=0),($R24+COUNTIF($H$68:$H75,$B24)+COUNTIF($H$68:$H75,$B24&amp;" ~*"))*1000+IF(AR76&gt;100,500,0)+5,"")</f>
        <v/>
      </c>
      <c r="BR76">
        <f>IF(AND(AS76&lt;&gt;"",COUNTIF($C$55:$E$55,$B25)+COUNTIF($C$55:$E$55,$B25&amp;" ~*")=0),($R25+COUNTIF($H$68:$H75,$B25)+COUNTIF($H$68:$H75,$B25&amp;" ~*"))*1000+IF(AS76&gt;100,500,0)+6,"")</f>
        <v/>
      </c>
      <c r="BS76">
        <f>IF(AND(AT76&lt;&gt;"",COUNTIF($C$55:$E$55,$B26)+COUNTIF($C$55:$E$55,$B26&amp;" ~*")=0),($R26+COUNTIF($H$68:$H75,$B26)+COUNTIF($H$68:$H75,$B26&amp;" ~*"))*1000+IF(AT76&gt;100,500,0)+7,"")</f>
        <v/>
      </c>
      <c r="BT76">
        <f>IF(AND(AU76&lt;&gt;"",COUNTIF($C$55:$E$55,$B27)+COUNTIF($C$55:$E$55,$B27&amp;" ~*")=0),($R27+COUNTIF($H$68:$H75,$B27)+COUNTIF($H$68:$H75,$B27&amp;" ~*"))*1000+IF(AU76&gt;100,500,0)+8,"")</f>
        <v/>
      </c>
      <c r="BU76">
        <f>IF(AND(AV76&lt;&gt;"",COUNTIF($C$55:$E$55,$B28)+COUNTIF($C$55:$E$55,$B28&amp;" ~*")=0),($R28+COUNTIF($H$68:$H75,$B28)+COUNTIF($H$68:$H75,$B28&amp;" ~*"))*1000+IF(AV76&gt;100,500,0)+9,"")</f>
        <v/>
      </c>
      <c r="BV76">
        <f>IF(AND(AW76&lt;&gt;"",COUNTIF($C$55:$E$55,$B29)+COUNTIF($C$55:$E$55,$B29&amp;" ~*")=0),($R29+COUNTIF($H$68:$H75,$B29)+COUNTIF($H$68:$H75,$B29&amp;" ~*"))*1000+IF(AW76&gt;100,500,0)+10,"")</f>
        <v/>
      </c>
      <c r="BW76">
        <f>IF(AND(AX76&lt;&gt;"",COUNTIF($C$55:$E$55,$B30)+COUNTIF($C$55:$E$55,$B30&amp;" ~*")=0),($R30+COUNTIF($H$68:$H75,$B30)+COUNTIF($H$68:$H75,$B30&amp;" ~*"))*1000+IF(AX76&gt;100,500,0)+11,"")</f>
        <v/>
      </c>
      <c r="BX76">
        <f>IF(AND(AY76&lt;&gt;"",COUNTIF($C$55:$E$55,$B31)+COUNTIF($C$55:$E$55,$B31&amp;" ~*")=0),($R31+COUNTIF($H$68:$H75,$B31)+COUNTIF($H$68:$H75,$B31&amp;" ~*"))*1000+IF(AY76&gt;100,500,0)+12,"")</f>
        <v/>
      </c>
      <c r="BY76">
        <f>IF(AND(AZ76&lt;&gt;"",COUNTIF($C$55:$E$55,$B32)+COUNTIF($C$55:$E$55,$B32&amp;" ~*")=0),($R32+COUNTIF($H$68:$H75,$B32)+COUNTIF($H$68:$H75,$B32&amp;" ~*"))*1000+IF(AZ76&gt;100,500,0)+13,"")</f>
        <v/>
      </c>
      <c r="BZ76">
        <f>IF(AND(BA76&lt;&gt;"",COUNTIF($C$55:$E$55,$B33)+COUNTIF($C$55:$E$55,$B33&amp;" ~*")=0),($R33+COUNTIF($H$68:$H75,$B33)+COUNTIF($H$68:$H75,$B33&amp;" ~*"))*1000+IF(BA76&gt;100,500,0)+14,"")</f>
        <v/>
      </c>
      <c r="CA76">
        <f>IF(AND(BB76&lt;&gt;"",COUNTIF($C$55:$E$55,$B34)+COUNTIF($C$55:$E$55,$B34&amp;" ~*")=0),($R34+COUNTIF($H$68:$H75,$B34)+COUNTIF($H$68:$H75,$B34&amp;" ~*"))*1000+IF(BB76&gt;100,500,0)+15,"")</f>
        <v/>
      </c>
      <c r="CB76">
        <f>IF(AND(BC76&lt;&gt;"",COUNTIF($C$55:$E$55,$B35)+COUNTIF($C$55:$E$55,$B35&amp;" ~*")=0),($R35+COUNTIF($H$68:$H75,$B35)+COUNTIF($H$68:$H75,$B35&amp;" ~*"))*1000+IF(BC76&gt;100,500,0)+16,"")</f>
        <v/>
      </c>
      <c r="CC76">
        <f>IF(AND(BD76&lt;&gt;"",COUNTIF($C$55:$E$55,$B36)+COUNTIF($C$55:$E$55,$B36&amp;" ~*")=0),($R36+COUNTIF($H$68:$H75,$B36)+COUNTIF($H$68:$H75,$B36&amp;" ~*"))*1000+IF(BD76&gt;100,500,0)+17,"")</f>
        <v/>
      </c>
      <c r="CD76">
        <f>IF(AND(BE76&lt;&gt;"",COUNTIF($C$55:$E$55,$B37)+COUNTIF($C$55:$E$55,$B37&amp;" ~*")=0),($R37+COUNTIF($H$68:$H75,$B37)+COUNTIF($H$68:$H75,$B37&amp;" ~*"))*1000+IF(BE76&gt;100,500,0)+18,"")</f>
        <v/>
      </c>
      <c r="CE76">
        <f>IF(AND(BF76&lt;&gt;"",COUNTIF($C$55:$E$55,$B38)+COUNTIF($C$55:$E$55,$B38&amp;" ~*")=0),($R38+COUNTIF($H$68:$H75,$B38)+COUNTIF($H$68:$H75,$B38&amp;" ~*"))*1000+IF(BF76&gt;100,500,0)+19,"")</f>
        <v/>
      </c>
      <c r="CF76">
        <f>IF(AND(BG76&lt;&gt;"",COUNTIF($C$55:$E$55,$B39)+COUNTIF($C$55:$E$55,$B39&amp;" ~*")=0),($R39+COUNTIF($H$68:$H75,$B39)+COUNTIF($H$68:$H75,$B39&amp;" ~*"))*1000+IF(BG76&gt;100,500,0)+20,"")</f>
        <v/>
      </c>
      <c r="CG76">
        <f>IF(AND(BH76&lt;&gt;"",COUNTIF($C$55:$E$55,$B40)+COUNTIF($C$55:$E$55,$B40&amp;" ~*")=0),($R40+COUNTIF($H$68:$H75,$B40)+COUNTIF($H$68:$H75,$B40&amp;" ~*"))*1000+IF(BH76&gt;100,500,0)+21,"")</f>
        <v/>
      </c>
      <c r="CH76">
        <f>IF(AND(BI76&lt;&gt;"",COUNTIF($C$55:$E$55,$B41)+COUNTIF($C$55:$E$55,$B41&amp;" ~*")=0),($R41+COUNTIF($H$68:$H75,$B41)+COUNTIF($H$68:$H75,$B41&amp;" ~*"))*1000+IF(BI76&gt;100,500,0)+22,"")</f>
        <v/>
      </c>
      <c r="CI76">
        <f>IF(AND(BJ76&lt;&gt;"",COUNTIF($C$55:$E$55,$B42)+COUNTIF($C$55:$E$55,$B42&amp;" ~*")=0),($R42+COUNTIF($H$68:$H75,$B42)+COUNTIF($H$68:$H75,$B42&amp;" ~*"))*1000+IF(BJ76&gt;100,500,0)+23,"")</f>
        <v/>
      </c>
      <c r="CJ76">
        <f>IF(AND(BK76&lt;&gt;"",COUNTIF($C$55:$E$55,$B43)+COUNTIF($C$55:$E$55,$B43&amp;" ~*")=0),($R43+COUNTIF($H$68:$H75,$B43)+COUNTIF($H$68:$H75,$B43&amp;" ~*"))*1000+IF(BK76&gt;100,500,0)+24,"")</f>
        <v/>
      </c>
    </row>
    <row r="77">
      <c r="A77" t="n">
        <v>1</v>
      </c>
      <c r="B77" t="n">
        <v>10</v>
      </c>
      <c r="C77">
        <f>$B$56</f>
        <v/>
      </c>
      <c r="D77" t="inlineStr">
        <is>
          <t>Mon</t>
        </is>
      </c>
      <c r="E77">
        <f>IF(C77="","",N($AB$56))</f>
        <v/>
      </c>
      <c r="F77">
        <f>IF(C77="","",COUNTIF($C$56:$E$56,"?*"))</f>
        <v/>
      </c>
      <c r="G77">
        <f>IF(C77="","",MAX(0,E77-F77))</f>
        <v/>
      </c>
      <c r="H77">
        <f>IF(N(G77)=0,"",IF(COUNT(BM77:CJ77)=0,"no-one eligible",INDEX(Engine!$B$20:$B$43,MOD(MIN(BM77:CJ77),500))&amp;IF(MOD(MIN(BM77:CJ77),1000)&gt;=500," *","")))</f>
        <v/>
      </c>
      <c r="I77">
        <f>IF(N(G77)&gt;0,COUNTIF($G$68:G77,"&gt;0"),"")</f>
        <v/>
      </c>
      <c r="J77">
        <f>IF(C77="","",IF($C$56="",0,IF(IFERROR(INDEX(Setup!$O$6:$AL$23,10,MATCH(SUBSTITUTE($C$56," *",""),Setup!$B$6:$B$29,0)),"")="",1,0))+IF($D$56="",0,IF(IFERROR(INDEX(Setup!$O$6:$AL$23,10,MATCH(SUBSTITUTE($D$56," *",""),Setup!$B$6:$B$29,0)),"")="",1,0))+IF($E$56="",0,IF(IFERROR(INDEX(Setup!$O$6:$AL$23,10,MATCH(SUBSTITUTE($E$56," *",""),Setup!$B$6:$B$29,0)),"")="",1,0)))</f>
        <v/>
      </c>
      <c r="K77">
        <f>IF($B$12+0=TODAY(),1,0)</f>
        <v/>
      </c>
      <c r="N77">
        <f>COUNT($AN77:$BK77)</f>
        <v/>
      </c>
      <c r="O77">
        <f>IF(1&gt;$N77,"",INDEX(Engine!$B$20:$B$43,MOD(SMALL($AN77:$BK77,1),100))&amp;IF(SMALL($AN77:$BK77,1)&gt;100," *",""))</f>
        <v/>
      </c>
      <c r="P77">
        <f>IF(2&gt;$N77,"",INDEX(Engine!$B$20:$B$43,MOD(SMALL($AN77:$BK77,2),100))&amp;IF(SMALL($AN77:$BK77,2)&gt;100," *",""))</f>
        <v/>
      </c>
      <c r="Q77">
        <f>IF(3&gt;$N77,"",INDEX(Engine!$B$20:$B$43,MOD(SMALL($AN77:$BK77,3),100))&amp;IF(SMALL($AN77:$BK77,3)&gt;100," *",""))</f>
        <v/>
      </c>
      <c r="R77">
        <f>IF(4&gt;$N77,"",INDEX(Engine!$B$20:$B$43,MOD(SMALL($AN77:$BK77,4),100))&amp;IF(SMALL($AN77:$BK77,4)&gt;100," *",""))</f>
        <v/>
      </c>
      <c r="S77">
        <f>IF(5&gt;$N77,"",INDEX(Engine!$B$20:$B$43,MOD(SMALL($AN77:$BK77,5),100))&amp;IF(SMALL($AN77:$BK77,5)&gt;100," *",""))</f>
        <v/>
      </c>
      <c r="T77">
        <f>IF(6&gt;$N77,"",INDEX(Engine!$B$20:$B$43,MOD(SMALL($AN77:$BK77,6),100))&amp;IF(SMALL($AN77:$BK77,6)&gt;100," *",""))</f>
        <v/>
      </c>
      <c r="U77">
        <f>IF(7&gt;$N77,"",INDEX(Engine!$B$20:$B$43,MOD(SMALL($AN77:$BK77,7),100))&amp;IF(SMALL($AN77:$BK77,7)&gt;100," *",""))</f>
        <v/>
      </c>
      <c r="V77">
        <f>IF(8&gt;$N77,"",INDEX(Engine!$B$20:$B$43,MOD(SMALL($AN77:$BK77,8),100))&amp;IF(SMALL($AN77:$BK77,8)&gt;100," *",""))</f>
        <v/>
      </c>
      <c r="W77">
        <f>IF(9&gt;$N77,"",INDEX(Engine!$B$20:$B$43,MOD(SMALL($AN77:$BK77,9),100))&amp;IF(SMALL($AN77:$BK77,9)&gt;100," *",""))</f>
        <v/>
      </c>
      <c r="X77">
        <f>IF(10&gt;$N77,"",INDEX(Engine!$B$20:$B$43,MOD(SMALL($AN77:$BK77,10),100))&amp;IF(SMALL($AN77:$BK77,10)&gt;100," *",""))</f>
        <v/>
      </c>
      <c r="Y77">
        <f>IF(11&gt;$N77,"",INDEX(Engine!$B$20:$B$43,MOD(SMALL($AN77:$BK77,11),100))&amp;IF(SMALL($AN77:$BK77,11)&gt;100," *",""))</f>
        <v/>
      </c>
      <c r="Z77">
        <f>IF(12&gt;$N77,"",INDEX(Engine!$B$20:$B$43,MOD(SMALL($AN77:$BK77,12),100))&amp;IF(SMALL($AN77:$BK77,12)&gt;100," *",""))</f>
        <v/>
      </c>
      <c r="AA77">
        <f>IF(13&gt;$N77,"",INDEX(Engine!$B$20:$B$43,MOD(SMALL($AN77:$BK77,13),100))&amp;IF(SMALL($AN77:$BK77,13)&gt;100," *",""))</f>
        <v/>
      </c>
      <c r="AB77">
        <f>IF(14&gt;$N77,"",INDEX(Engine!$B$20:$B$43,MOD(SMALL($AN77:$BK77,14),100))&amp;IF(SMALL($AN77:$BK77,14)&gt;100," *",""))</f>
        <v/>
      </c>
      <c r="AC77">
        <f>IF(15&gt;$N77,"",INDEX(Engine!$B$20:$B$43,MOD(SMALL($AN77:$BK77,15),100))&amp;IF(SMALL($AN77:$BK77,15)&gt;100," *",""))</f>
        <v/>
      </c>
      <c r="AD77">
        <f>IF(16&gt;$N77,"",INDEX(Engine!$B$20:$B$43,MOD(SMALL($AN77:$BK77,16),100))&amp;IF(SMALL($AN77:$BK77,16)&gt;100," *",""))</f>
        <v/>
      </c>
      <c r="AE77">
        <f>IF(17&gt;$N77,"",INDEX(Engine!$B$20:$B$43,MOD(SMALL($AN77:$BK77,17),100))&amp;IF(SMALL($AN77:$BK77,17)&gt;100," *",""))</f>
        <v/>
      </c>
      <c r="AF77">
        <f>IF(18&gt;$N77,"",INDEX(Engine!$B$20:$B$43,MOD(SMALL($AN77:$BK77,18),100))&amp;IF(SMALL($AN77:$BK77,18)&gt;100," *",""))</f>
        <v/>
      </c>
      <c r="AG77">
        <f>IF(19&gt;$N77,"",INDEX(Engine!$B$20:$B$43,MOD(SMALL($AN77:$BK77,19),100))&amp;IF(SMALL($AN77:$BK77,19)&gt;100," *",""))</f>
        <v/>
      </c>
      <c r="AH77">
        <f>IF(20&gt;$N77,"",INDEX(Engine!$B$20:$B$43,MOD(SMALL($AN77:$BK77,20),100))&amp;IF(SMALL($AN77:$BK77,20)&gt;100," *",""))</f>
        <v/>
      </c>
      <c r="AI77">
        <f>IF(21&gt;$N77,"",INDEX(Engine!$B$20:$B$43,MOD(SMALL($AN77:$BK77,21),100))&amp;IF(SMALL($AN77:$BK77,21)&gt;100," *",""))</f>
        <v/>
      </c>
      <c r="AJ77">
        <f>IF(22&gt;$N77,"",INDEX(Engine!$B$20:$B$43,MOD(SMALL($AN77:$BK77,22),100))&amp;IF(SMALL($AN77:$BK77,22)&gt;100," *",""))</f>
        <v/>
      </c>
      <c r="AK77">
        <f>IF(23&gt;$N77,"",INDEX(Engine!$B$20:$B$43,MOD(SMALL($AN77:$BK77,23),100))&amp;IF(SMALL($AN77:$BK77,23)&gt;100," *",""))</f>
        <v/>
      </c>
      <c r="AL77">
        <f>IF(24&gt;$N77,"",INDEX(Engine!$B$20:$B$43,MOD(SMALL($AN77:$BK77,24),100))&amp;IF(SMALL($AN77:$BK77,24)&gt;100," *",""))</f>
        <v/>
      </c>
      <c r="AN77">
        <f>IF(AND($C20=1,INDEX(Setup!$O$6:$AL$23,10,1)&lt;&gt;"",K20=0),1+IF(INDEX(Setup!$O$6:$AL$23,10,1)="T",100,0),"")</f>
        <v/>
      </c>
      <c r="AO77">
        <f>IF(AND($C21=1,INDEX(Setup!$O$6:$AL$23,10,2)&lt;&gt;"",K21=0),2+IF(INDEX(Setup!$O$6:$AL$23,10,2)="T",100,0),"")</f>
        <v/>
      </c>
      <c r="AP77">
        <f>IF(AND($C22=1,INDEX(Setup!$O$6:$AL$23,10,3)&lt;&gt;"",K22=0),3+IF(INDEX(Setup!$O$6:$AL$23,10,3)="T",100,0),"")</f>
        <v/>
      </c>
      <c r="AQ77">
        <f>IF(AND($C23=1,INDEX(Setup!$O$6:$AL$23,10,4)&lt;&gt;"",K23=0),4+IF(INDEX(Setup!$O$6:$AL$23,10,4)="T",100,0),"")</f>
        <v/>
      </c>
      <c r="AR77">
        <f>IF(AND($C24=1,INDEX(Setup!$O$6:$AL$23,10,5)&lt;&gt;"",K24=0),5+IF(INDEX(Setup!$O$6:$AL$23,10,5)="T",100,0),"")</f>
        <v/>
      </c>
      <c r="AS77">
        <f>IF(AND($C25=1,INDEX(Setup!$O$6:$AL$23,10,6)&lt;&gt;"",K25=0),6+IF(INDEX(Setup!$O$6:$AL$23,10,6)="T",100,0),"")</f>
        <v/>
      </c>
      <c r="AT77">
        <f>IF(AND($C26=1,INDEX(Setup!$O$6:$AL$23,10,7)&lt;&gt;"",K26=0),7+IF(INDEX(Setup!$O$6:$AL$23,10,7)="T",100,0),"")</f>
        <v/>
      </c>
      <c r="AU77">
        <f>IF(AND($C27=1,INDEX(Setup!$O$6:$AL$23,10,8)&lt;&gt;"",K27=0),8+IF(INDEX(Setup!$O$6:$AL$23,10,8)="T",100,0),"")</f>
        <v/>
      </c>
      <c r="AV77">
        <f>IF(AND($C28=1,INDEX(Setup!$O$6:$AL$23,10,9)&lt;&gt;"",K28=0),9+IF(INDEX(Setup!$O$6:$AL$23,10,9)="T",100,0),"")</f>
        <v/>
      </c>
      <c r="AW77">
        <f>IF(AND($C29=1,INDEX(Setup!$O$6:$AL$23,10,10)&lt;&gt;"",K29=0),10+IF(INDEX(Setup!$O$6:$AL$23,10,10)="T",100,0),"")</f>
        <v/>
      </c>
      <c r="AX77">
        <f>IF(AND($C30=1,INDEX(Setup!$O$6:$AL$23,10,11)&lt;&gt;"",K30=0),11+IF(INDEX(Setup!$O$6:$AL$23,10,11)="T",100,0),"")</f>
        <v/>
      </c>
      <c r="AY77">
        <f>IF(AND($C31=1,INDEX(Setup!$O$6:$AL$23,10,12)&lt;&gt;"",K31=0),12+IF(INDEX(Setup!$O$6:$AL$23,10,12)="T",100,0),"")</f>
        <v/>
      </c>
      <c r="AZ77">
        <f>IF(AND($C32=1,INDEX(Setup!$O$6:$AL$23,10,13)&lt;&gt;"",K32=0),13+IF(INDEX(Setup!$O$6:$AL$23,10,13)="T",100,0),"")</f>
        <v/>
      </c>
      <c r="BA77">
        <f>IF(AND($C33=1,INDEX(Setup!$O$6:$AL$23,10,14)&lt;&gt;"",K33=0),14+IF(INDEX(Setup!$O$6:$AL$23,10,14)="T",100,0),"")</f>
        <v/>
      </c>
      <c r="BB77">
        <f>IF(AND($C34=1,INDEX(Setup!$O$6:$AL$23,10,15)&lt;&gt;"",K34=0),15+IF(INDEX(Setup!$O$6:$AL$23,10,15)="T",100,0),"")</f>
        <v/>
      </c>
      <c r="BC77">
        <f>IF(AND($C35=1,INDEX(Setup!$O$6:$AL$23,10,16)&lt;&gt;"",K35=0),16+IF(INDEX(Setup!$O$6:$AL$23,10,16)="T",100,0),"")</f>
        <v/>
      </c>
      <c r="BD77">
        <f>IF(AND($C36=1,INDEX(Setup!$O$6:$AL$23,10,17)&lt;&gt;"",K36=0),17+IF(INDEX(Setup!$O$6:$AL$23,10,17)="T",100,0),"")</f>
        <v/>
      </c>
      <c r="BE77">
        <f>IF(AND($C37=1,INDEX(Setup!$O$6:$AL$23,10,18)&lt;&gt;"",K37=0),18+IF(INDEX(Setup!$O$6:$AL$23,10,18)="T",100,0),"")</f>
        <v/>
      </c>
      <c r="BF77">
        <f>IF(AND($C38=1,INDEX(Setup!$O$6:$AL$23,10,19)&lt;&gt;"",K38=0),19+IF(INDEX(Setup!$O$6:$AL$23,10,19)="T",100,0),"")</f>
        <v/>
      </c>
      <c r="BG77">
        <f>IF(AND($C39=1,INDEX(Setup!$O$6:$AL$23,10,20)&lt;&gt;"",K39=0),20+IF(INDEX(Setup!$O$6:$AL$23,10,20)="T",100,0),"")</f>
        <v/>
      </c>
      <c r="BH77">
        <f>IF(AND($C40=1,INDEX(Setup!$O$6:$AL$23,10,21)&lt;&gt;"",K40=0),21+IF(INDEX(Setup!$O$6:$AL$23,10,21)="T",100,0),"")</f>
        <v/>
      </c>
      <c r="BI77">
        <f>IF(AND($C41=1,INDEX(Setup!$O$6:$AL$23,10,22)&lt;&gt;"",K41=0),22+IF(INDEX(Setup!$O$6:$AL$23,10,22)="T",100,0),"")</f>
        <v/>
      </c>
      <c r="BJ77">
        <f>IF(AND($C42=1,INDEX(Setup!$O$6:$AL$23,10,23)&lt;&gt;"",K42=0),23+IF(INDEX(Setup!$O$6:$AL$23,10,23)="T",100,0),"")</f>
        <v/>
      </c>
      <c r="BK77">
        <f>IF(AND($C43=1,INDEX(Setup!$O$6:$AL$23,10,24)&lt;&gt;"",K43=0),24+IF(INDEX(Setup!$O$6:$AL$23,10,24)="T",100,0),"")</f>
        <v/>
      </c>
      <c r="BM77">
        <f>IF(AND(AN77&lt;&gt;"",COUNTIF($C$56:$E$56,$B20)+COUNTIF($C$56:$E$56,$B20&amp;" ~*")=0),($R20+COUNTIF($H$68:$H76,$B20)+COUNTIF($H$68:$H76,$B20&amp;" ~*"))*1000+IF(AN77&gt;100,500,0)+1,"")</f>
        <v/>
      </c>
      <c r="BN77">
        <f>IF(AND(AO77&lt;&gt;"",COUNTIF($C$56:$E$56,$B21)+COUNTIF($C$56:$E$56,$B21&amp;" ~*")=0),($R21+COUNTIF($H$68:$H76,$B21)+COUNTIF($H$68:$H76,$B21&amp;" ~*"))*1000+IF(AO77&gt;100,500,0)+2,"")</f>
        <v/>
      </c>
      <c r="BO77">
        <f>IF(AND(AP77&lt;&gt;"",COUNTIF($C$56:$E$56,$B22)+COUNTIF($C$56:$E$56,$B22&amp;" ~*")=0),($R22+COUNTIF($H$68:$H76,$B22)+COUNTIF($H$68:$H76,$B22&amp;" ~*"))*1000+IF(AP77&gt;100,500,0)+3,"")</f>
        <v/>
      </c>
      <c r="BP77">
        <f>IF(AND(AQ77&lt;&gt;"",COUNTIF($C$56:$E$56,$B23)+COUNTIF($C$56:$E$56,$B23&amp;" ~*")=0),($R23+COUNTIF($H$68:$H76,$B23)+COUNTIF($H$68:$H76,$B23&amp;" ~*"))*1000+IF(AQ77&gt;100,500,0)+4,"")</f>
        <v/>
      </c>
      <c r="BQ77">
        <f>IF(AND(AR77&lt;&gt;"",COUNTIF($C$56:$E$56,$B24)+COUNTIF($C$56:$E$56,$B24&amp;" ~*")=0),($R24+COUNTIF($H$68:$H76,$B24)+COUNTIF($H$68:$H76,$B24&amp;" ~*"))*1000+IF(AR77&gt;100,500,0)+5,"")</f>
        <v/>
      </c>
      <c r="BR77">
        <f>IF(AND(AS77&lt;&gt;"",COUNTIF($C$56:$E$56,$B25)+COUNTIF($C$56:$E$56,$B25&amp;" ~*")=0),($R25+COUNTIF($H$68:$H76,$B25)+COUNTIF($H$68:$H76,$B25&amp;" ~*"))*1000+IF(AS77&gt;100,500,0)+6,"")</f>
        <v/>
      </c>
      <c r="BS77">
        <f>IF(AND(AT77&lt;&gt;"",COUNTIF($C$56:$E$56,$B26)+COUNTIF($C$56:$E$56,$B26&amp;" ~*")=0),($R26+COUNTIF($H$68:$H76,$B26)+COUNTIF($H$68:$H76,$B26&amp;" ~*"))*1000+IF(AT77&gt;100,500,0)+7,"")</f>
        <v/>
      </c>
      <c r="BT77">
        <f>IF(AND(AU77&lt;&gt;"",COUNTIF($C$56:$E$56,$B27)+COUNTIF($C$56:$E$56,$B27&amp;" ~*")=0),($R27+COUNTIF($H$68:$H76,$B27)+COUNTIF($H$68:$H76,$B27&amp;" ~*"))*1000+IF(AU77&gt;100,500,0)+8,"")</f>
        <v/>
      </c>
      <c r="BU77">
        <f>IF(AND(AV77&lt;&gt;"",COUNTIF($C$56:$E$56,$B28)+COUNTIF($C$56:$E$56,$B28&amp;" ~*")=0),($R28+COUNTIF($H$68:$H76,$B28)+COUNTIF($H$68:$H76,$B28&amp;" ~*"))*1000+IF(AV77&gt;100,500,0)+9,"")</f>
        <v/>
      </c>
      <c r="BV77">
        <f>IF(AND(AW77&lt;&gt;"",COUNTIF($C$56:$E$56,$B29)+COUNTIF($C$56:$E$56,$B29&amp;" ~*")=0),($R29+COUNTIF($H$68:$H76,$B29)+COUNTIF($H$68:$H76,$B29&amp;" ~*"))*1000+IF(AW77&gt;100,500,0)+10,"")</f>
        <v/>
      </c>
      <c r="BW77">
        <f>IF(AND(AX77&lt;&gt;"",COUNTIF($C$56:$E$56,$B30)+COUNTIF($C$56:$E$56,$B30&amp;" ~*")=0),($R30+COUNTIF($H$68:$H76,$B30)+COUNTIF($H$68:$H76,$B30&amp;" ~*"))*1000+IF(AX77&gt;100,500,0)+11,"")</f>
        <v/>
      </c>
      <c r="BX77">
        <f>IF(AND(AY77&lt;&gt;"",COUNTIF($C$56:$E$56,$B31)+COUNTIF($C$56:$E$56,$B31&amp;" ~*")=0),($R31+COUNTIF($H$68:$H76,$B31)+COUNTIF($H$68:$H76,$B31&amp;" ~*"))*1000+IF(AY77&gt;100,500,0)+12,"")</f>
        <v/>
      </c>
      <c r="BY77">
        <f>IF(AND(AZ77&lt;&gt;"",COUNTIF($C$56:$E$56,$B32)+COUNTIF($C$56:$E$56,$B32&amp;" ~*")=0),($R32+COUNTIF($H$68:$H76,$B32)+COUNTIF($H$68:$H76,$B32&amp;" ~*"))*1000+IF(AZ77&gt;100,500,0)+13,"")</f>
        <v/>
      </c>
      <c r="BZ77">
        <f>IF(AND(BA77&lt;&gt;"",COUNTIF($C$56:$E$56,$B33)+COUNTIF($C$56:$E$56,$B33&amp;" ~*")=0),($R33+COUNTIF($H$68:$H76,$B33)+COUNTIF($H$68:$H76,$B33&amp;" ~*"))*1000+IF(BA77&gt;100,500,0)+14,"")</f>
        <v/>
      </c>
      <c r="CA77">
        <f>IF(AND(BB77&lt;&gt;"",COUNTIF($C$56:$E$56,$B34)+COUNTIF($C$56:$E$56,$B34&amp;" ~*")=0),($R34+COUNTIF($H$68:$H76,$B34)+COUNTIF($H$68:$H76,$B34&amp;" ~*"))*1000+IF(BB77&gt;100,500,0)+15,"")</f>
        <v/>
      </c>
      <c r="CB77">
        <f>IF(AND(BC77&lt;&gt;"",COUNTIF($C$56:$E$56,$B35)+COUNTIF($C$56:$E$56,$B35&amp;" ~*")=0),($R35+COUNTIF($H$68:$H76,$B35)+COUNTIF($H$68:$H76,$B35&amp;" ~*"))*1000+IF(BC77&gt;100,500,0)+16,"")</f>
        <v/>
      </c>
      <c r="CC77">
        <f>IF(AND(BD77&lt;&gt;"",COUNTIF($C$56:$E$56,$B36)+COUNTIF($C$56:$E$56,$B36&amp;" ~*")=0),($R36+COUNTIF($H$68:$H76,$B36)+COUNTIF($H$68:$H76,$B36&amp;" ~*"))*1000+IF(BD77&gt;100,500,0)+17,"")</f>
        <v/>
      </c>
      <c r="CD77">
        <f>IF(AND(BE77&lt;&gt;"",COUNTIF($C$56:$E$56,$B37)+COUNTIF($C$56:$E$56,$B37&amp;" ~*")=0),($R37+COUNTIF($H$68:$H76,$B37)+COUNTIF($H$68:$H76,$B37&amp;" ~*"))*1000+IF(BE77&gt;100,500,0)+18,"")</f>
        <v/>
      </c>
      <c r="CE77">
        <f>IF(AND(BF77&lt;&gt;"",COUNTIF($C$56:$E$56,$B38)+COUNTIF($C$56:$E$56,$B38&amp;" ~*")=0),($R38+COUNTIF($H$68:$H76,$B38)+COUNTIF($H$68:$H76,$B38&amp;" ~*"))*1000+IF(BF77&gt;100,500,0)+19,"")</f>
        <v/>
      </c>
      <c r="CF77">
        <f>IF(AND(BG77&lt;&gt;"",COUNTIF($C$56:$E$56,$B39)+COUNTIF($C$56:$E$56,$B39&amp;" ~*")=0),($R39+COUNTIF($H$68:$H76,$B39)+COUNTIF($H$68:$H76,$B39&amp;" ~*"))*1000+IF(BG77&gt;100,500,0)+20,"")</f>
        <v/>
      </c>
      <c r="CG77">
        <f>IF(AND(BH77&lt;&gt;"",COUNTIF($C$56:$E$56,$B40)+COUNTIF($C$56:$E$56,$B40&amp;" ~*")=0),($R40+COUNTIF($H$68:$H76,$B40)+COUNTIF($H$68:$H76,$B40&amp;" ~*"))*1000+IF(BH77&gt;100,500,0)+21,"")</f>
        <v/>
      </c>
      <c r="CH77">
        <f>IF(AND(BI77&lt;&gt;"",COUNTIF($C$56:$E$56,$B41)+COUNTIF($C$56:$E$56,$B41&amp;" ~*")=0),($R41+COUNTIF($H$68:$H76,$B41)+COUNTIF($H$68:$H76,$B41&amp;" ~*"))*1000+IF(BI77&gt;100,500,0)+22,"")</f>
        <v/>
      </c>
      <c r="CI77">
        <f>IF(AND(BJ77&lt;&gt;"",COUNTIF($C$56:$E$56,$B42)+COUNTIF($C$56:$E$56,$B42&amp;" ~*")=0),($R42+COUNTIF($H$68:$H76,$B42)+COUNTIF($H$68:$H76,$B42&amp;" ~*"))*1000+IF(BJ77&gt;100,500,0)+23,"")</f>
        <v/>
      </c>
      <c r="CJ77">
        <f>IF(AND(BK77&lt;&gt;"",COUNTIF($C$56:$E$56,$B43)+COUNTIF($C$56:$E$56,$B43&amp;" ~*")=0),($R43+COUNTIF($H$68:$H76,$B43)+COUNTIF($H$68:$H76,$B43&amp;" ~*"))*1000+IF(BK77&gt;100,500,0)+24,"")</f>
        <v/>
      </c>
    </row>
    <row r="78">
      <c r="A78" t="n">
        <v>1</v>
      </c>
      <c r="B78" t="n">
        <v>11</v>
      </c>
      <c r="C78">
        <f>$B$57</f>
        <v/>
      </c>
      <c r="D78" t="inlineStr">
        <is>
          <t>Mon</t>
        </is>
      </c>
      <c r="E78">
        <f>IF(C78="","",N($AB$57))</f>
        <v/>
      </c>
      <c r="F78">
        <f>IF(C78="","",COUNTIF($C$57:$E$57,"?*"))</f>
        <v/>
      </c>
      <c r="G78">
        <f>IF(C78="","",MAX(0,E78-F78))</f>
        <v/>
      </c>
      <c r="H78">
        <f>IF(N(G78)=0,"",IF(COUNT(BM78:CJ78)=0,"no-one eligible",INDEX(Engine!$B$20:$B$43,MOD(MIN(BM78:CJ78),500))&amp;IF(MOD(MIN(BM78:CJ78),1000)&gt;=500," *","")))</f>
        <v/>
      </c>
      <c r="I78">
        <f>IF(N(G78)&gt;0,COUNTIF($G$68:G78,"&gt;0"),"")</f>
        <v/>
      </c>
      <c r="J78">
        <f>IF(C78="","",IF($C$57="",0,IF(IFERROR(INDEX(Setup!$O$6:$AL$23,11,MATCH(SUBSTITUTE($C$57," *",""),Setup!$B$6:$B$29,0)),"")="",1,0))+IF($D$57="",0,IF(IFERROR(INDEX(Setup!$O$6:$AL$23,11,MATCH(SUBSTITUTE($D$57," *",""),Setup!$B$6:$B$29,0)),"")="",1,0))+IF($E$57="",0,IF(IFERROR(INDEX(Setup!$O$6:$AL$23,11,MATCH(SUBSTITUTE($E$57," *",""),Setup!$B$6:$B$29,0)),"")="",1,0)))</f>
        <v/>
      </c>
      <c r="K78">
        <f>IF($B$12+0=TODAY(),1,0)</f>
        <v/>
      </c>
      <c r="N78">
        <f>COUNT($AN78:$BK78)</f>
        <v/>
      </c>
      <c r="O78">
        <f>IF(1&gt;$N78,"",INDEX(Engine!$B$20:$B$43,MOD(SMALL($AN78:$BK78,1),100))&amp;IF(SMALL($AN78:$BK78,1)&gt;100," *",""))</f>
        <v/>
      </c>
      <c r="P78">
        <f>IF(2&gt;$N78,"",INDEX(Engine!$B$20:$B$43,MOD(SMALL($AN78:$BK78,2),100))&amp;IF(SMALL($AN78:$BK78,2)&gt;100," *",""))</f>
        <v/>
      </c>
      <c r="Q78">
        <f>IF(3&gt;$N78,"",INDEX(Engine!$B$20:$B$43,MOD(SMALL($AN78:$BK78,3),100))&amp;IF(SMALL($AN78:$BK78,3)&gt;100," *",""))</f>
        <v/>
      </c>
      <c r="R78">
        <f>IF(4&gt;$N78,"",INDEX(Engine!$B$20:$B$43,MOD(SMALL($AN78:$BK78,4),100))&amp;IF(SMALL($AN78:$BK78,4)&gt;100," *",""))</f>
        <v/>
      </c>
      <c r="S78">
        <f>IF(5&gt;$N78,"",INDEX(Engine!$B$20:$B$43,MOD(SMALL($AN78:$BK78,5),100))&amp;IF(SMALL($AN78:$BK78,5)&gt;100," *",""))</f>
        <v/>
      </c>
      <c r="T78">
        <f>IF(6&gt;$N78,"",INDEX(Engine!$B$20:$B$43,MOD(SMALL($AN78:$BK78,6),100))&amp;IF(SMALL($AN78:$BK78,6)&gt;100," *",""))</f>
        <v/>
      </c>
      <c r="U78">
        <f>IF(7&gt;$N78,"",INDEX(Engine!$B$20:$B$43,MOD(SMALL($AN78:$BK78,7),100))&amp;IF(SMALL($AN78:$BK78,7)&gt;100," *",""))</f>
        <v/>
      </c>
      <c r="V78">
        <f>IF(8&gt;$N78,"",INDEX(Engine!$B$20:$B$43,MOD(SMALL($AN78:$BK78,8),100))&amp;IF(SMALL($AN78:$BK78,8)&gt;100," *",""))</f>
        <v/>
      </c>
      <c r="W78">
        <f>IF(9&gt;$N78,"",INDEX(Engine!$B$20:$B$43,MOD(SMALL($AN78:$BK78,9),100))&amp;IF(SMALL($AN78:$BK78,9)&gt;100," *",""))</f>
        <v/>
      </c>
      <c r="X78">
        <f>IF(10&gt;$N78,"",INDEX(Engine!$B$20:$B$43,MOD(SMALL($AN78:$BK78,10),100))&amp;IF(SMALL($AN78:$BK78,10)&gt;100," *",""))</f>
        <v/>
      </c>
      <c r="Y78">
        <f>IF(11&gt;$N78,"",INDEX(Engine!$B$20:$B$43,MOD(SMALL($AN78:$BK78,11),100))&amp;IF(SMALL($AN78:$BK78,11)&gt;100," *",""))</f>
        <v/>
      </c>
      <c r="Z78">
        <f>IF(12&gt;$N78,"",INDEX(Engine!$B$20:$B$43,MOD(SMALL($AN78:$BK78,12),100))&amp;IF(SMALL($AN78:$BK78,12)&gt;100," *",""))</f>
        <v/>
      </c>
      <c r="AA78">
        <f>IF(13&gt;$N78,"",INDEX(Engine!$B$20:$B$43,MOD(SMALL($AN78:$BK78,13),100))&amp;IF(SMALL($AN78:$BK78,13)&gt;100," *",""))</f>
        <v/>
      </c>
      <c r="AB78">
        <f>IF(14&gt;$N78,"",INDEX(Engine!$B$20:$B$43,MOD(SMALL($AN78:$BK78,14),100))&amp;IF(SMALL($AN78:$BK78,14)&gt;100," *",""))</f>
        <v/>
      </c>
      <c r="AC78">
        <f>IF(15&gt;$N78,"",INDEX(Engine!$B$20:$B$43,MOD(SMALL($AN78:$BK78,15),100))&amp;IF(SMALL($AN78:$BK78,15)&gt;100," *",""))</f>
        <v/>
      </c>
      <c r="AD78">
        <f>IF(16&gt;$N78,"",INDEX(Engine!$B$20:$B$43,MOD(SMALL($AN78:$BK78,16),100))&amp;IF(SMALL($AN78:$BK78,16)&gt;100," *",""))</f>
        <v/>
      </c>
      <c r="AE78">
        <f>IF(17&gt;$N78,"",INDEX(Engine!$B$20:$B$43,MOD(SMALL($AN78:$BK78,17),100))&amp;IF(SMALL($AN78:$BK78,17)&gt;100," *",""))</f>
        <v/>
      </c>
      <c r="AF78">
        <f>IF(18&gt;$N78,"",INDEX(Engine!$B$20:$B$43,MOD(SMALL($AN78:$BK78,18),100))&amp;IF(SMALL($AN78:$BK78,18)&gt;100," *",""))</f>
        <v/>
      </c>
      <c r="AG78">
        <f>IF(19&gt;$N78,"",INDEX(Engine!$B$20:$B$43,MOD(SMALL($AN78:$BK78,19),100))&amp;IF(SMALL($AN78:$BK78,19)&gt;100," *",""))</f>
        <v/>
      </c>
      <c r="AH78">
        <f>IF(20&gt;$N78,"",INDEX(Engine!$B$20:$B$43,MOD(SMALL($AN78:$BK78,20),100))&amp;IF(SMALL($AN78:$BK78,20)&gt;100," *",""))</f>
        <v/>
      </c>
      <c r="AI78">
        <f>IF(21&gt;$N78,"",INDEX(Engine!$B$20:$B$43,MOD(SMALL($AN78:$BK78,21),100))&amp;IF(SMALL($AN78:$BK78,21)&gt;100," *",""))</f>
        <v/>
      </c>
      <c r="AJ78">
        <f>IF(22&gt;$N78,"",INDEX(Engine!$B$20:$B$43,MOD(SMALL($AN78:$BK78,22),100))&amp;IF(SMALL($AN78:$BK78,22)&gt;100," *",""))</f>
        <v/>
      </c>
      <c r="AK78">
        <f>IF(23&gt;$N78,"",INDEX(Engine!$B$20:$B$43,MOD(SMALL($AN78:$BK78,23),100))&amp;IF(SMALL($AN78:$BK78,23)&gt;100," *",""))</f>
        <v/>
      </c>
      <c r="AL78">
        <f>IF(24&gt;$N78,"",INDEX(Engine!$B$20:$B$43,MOD(SMALL($AN78:$BK78,24),100))&amp;IF(SMALL($AN78:$BK78,24)&gt;100," *",""))</f>
        <v/>
      </c>
      <c r="AN78">
        <f>IF(AND($C20=1,INDEX(Setup!$O$6:$AL$23,11,1)&lt;&gt;"",K20=0),1+IF(INDEX(Setup!$O$6:$AL$23,11,1)="T",100,0),"")</f>
        <v/>
      </c>
      <c r="AO78">
        <f>IF(AND($C21=1,INDEX(Setup!$O$6:$AL$23,11,2)&lt;&gt;"",K21=0),2+IF(INDEX(Setup!$O$6:$AL$23,11,2)="T",100,0),"")</f>
        <v/>
      </c>
      <c r="AP78">
        <f>IF(AND($C22=1,INDEX(Setup!$O$6:$AL$23,11,3)&lt;&gt;"",K22=0),3+IF(INDEX(Setup!$O$6:$AL$23,11,3)="T",100,0),"")</f>
        <v/>
      </c>
      <c r="AQ78">
        <f>IF(AND($C23=1,INDEX(Setup!$O$6:$AL$23,11,4)&lt;&gt;"",K23=0),4+IF(INDEX(Setup!$O$6:$AL$23,11,4)="T",100,0),"")</f>
        <v/>
      </c>
      <c r="AR78">
        <f>IF(AND($C24=1,INDEX(Setup!$O$6:$AL$23,11,5)&lt;&gt;"",K24=0),5+IF(INDEX(Setup!$O$6:$AL$23,11,5)="T",100,0),"")</f>
        <v/>
      </c>
      <c r="AS78">
        <f>IF(AND($C25=1,INDEX(Setup!$O$6:$AL$23,11,6)&lt;&gt;"",K25=0),6+IF(INDEX(Setup!$O$6:$AL$23,11,6)="T",100,0),"")</f>
        <v/>
      </c>
      <c r="AT78">
        <f>IF(AND($C26=1,INDEX(Setup!$O$6:$AL$23,11,7)&lt;&gt;"",K26=0),7+IF(INDEX(Setup!$O$6:$AL$23,11,7)="T",100,0),"")</f>
        <v/>
      </c>
      <c r="AU78">
        <f>IF(AND($C27=1,INDEX(Setup!$O$6:$AL$23,11,8)&lt;&gt;"",K27=0),8+IF(INDEX(Setup!$O$6:$AL$23,11,8)="T",100,0),"")</f>
        <v/>
      </c>
      <c r="AV78">
        <f>IF(AND($C28=1,INDEX(Setup!$O$6:$AL$23,11,9)&lt;&gt;"",K28=0),9+IF(INDEX(Setup!$O$6:$AL$23,11,9)="T",100,0),"")</f>
        <v/>
      </c>
      <c r="AW78">
        <f>IF(AND($C29=1,INDEX(Setup!$O$6:$AL$23,11,10)&lt;&gt;"",K29=0),10+IF(INDEX(Setup!$O$6:$AL$23,11,10)="T",100,0),"")</f>
        <v/>
      </c>
      <c r="AX78">
        <f>IF(AND($C30=1,INDEX(Setup!$O$6:$AL$23,11,11)&lt;&gt;"",K30=0),11+IF(INDEX(Setup!$O$6:$AL$23,11,11)="T",100,0),"")</f>
        <v/>
      </c>
      <c r="AY78">
        <f>IF(AND($C31=1,INDEX(Setup!$O$6:$AL$23,11,12)&lt;&gt;"",K31=0),12+IF(INDEX(Setup!$O$6:$AL$23,11,12)="T",100,0),"")</f>
        <v/>
      </c>
      <c r="AZ78">
        <f>IF(AND($C32=1,INDEX(Setup!$O$6:$AL$23,11,13)&lt;&gt;"",K32=0),13+IF(INDEX(Setup!$O$6:$AL$23,11,13)="T",100,0),"")</f>
        <v/>
      </c>
      <c r="BA78">
        <f>IF(AND($C33=1,INDEX(Setup!$O$6:$AL$23,11,14)&lt;&gt;"",K33=0),14+IF(INDEX(Setup!$O$6:$AL$23,11,14)="T",100,0),"")</f>
        <v/>
      </c>
      <c r="BB78">
        <f>IF(AND($C34=1,INDEX(Setup!$O$6:$AL$23,11,15)&lt;&gt;"",K34=0),15+IF(INDEX(Setup!$O$6:$AL$23,11,15)="T",100,0),"")</f>
        <v/>
      </c>
      <c r="BC78">
        <f>IF(AND($C35=1,INDEX(Setup!$O$6:$AL$23,11,16)&lt;&gt;"",K35=0),16+IF(INDEX(Setup!$O$6:$AL$23,11,16)="T",100,0),"")</f>
        <v/>
      </c>
      <c r="BD78">
        <f>IF(AND($C36=1,INDEX(Setup!$O$6:$AL$23,11,17)&lt;&gt;"",K36=0),17+IF(INDEX(Setup!$O$6:$AL$23,11,17)="T",100,0),"")</f>
        <v/>
      </c>
      <c r="BE78">
        <f>IF(AND($C37=1,INDEX(Setup!$O$6:$AL$23,11,18)&lt;&gt;"",K37=0),18+IF(INDEX(Setup!$O$6:$AL$23,11,18)="T",100,0),"")</f>
        <v/>
      </c>
      <c r="BF78">
        <f>IF(AND($C38=1,INDEX(Setup!$O$6:$AL$23,11,19)&lt;&gt;"",K38=0),19+IF(INDEX(Setup!$O$6:$AL$23,11,19)="T",100,0),"")</f>
        <v/>
      </c>
      <c r="BG78">
        <f>IF(AND($C39=1,INDEX(Setup!$O$6:$AL$23,11,20)&lt;&gt;"",K39=0),20+IF(INDEX(Setup!$O$6:$AL$23,11,20)="T",100,0),"")</f>
        <v/>
      </c>
      <c r="BH78">
        <f>IF(AND($C40=1,INDEX(Setup!$O$6:$AL$23,11,21)&lt;&gt;"",K40=0),21+IF(INDEX(Setup!$O$6:$AL$23,11,21)="T",100,0),"")</f>
        <v/>
      </c>
      <c r="BI78">
        <f>IF(AND($C41=1,INDEX(Setup!$O$6:$AL$23,11,22)&lt;&gt;"",K41=0),22+IF(INDEX(Setup!$O$6:$AL$23,11,22)="T",100,0),"")</f>
        <v/>
      </c>
      <c r="BJ78">
        <f>IF(AND($C42=1,INDEX(Setup!$O$6:$AL$23,11,23)&lt;&gt;"",K42=0),23+IF(INDEX(Setup!$O$6:$AL$23,11,23)="T",100,0),"")</f>
        <v/>
      </c>
      <c r="BK78">
        <f>IF(AND($C43=1,INDEX(Setup!$O$6:$AL$23,11,24)&lt;&gt;"",K43=0),24+IF(INDEX(Setup!$O$6:$AL$23,11,24)="T",100,0),"")</f>
        <v/>
      </c>
      <c r="BM78">
        <f>IF(AND(AN78&lt;&gt;"",COUNTIF($C$57:$E$57,$B20)+COUNTIF($C$57:$E$57,$B20&amp;" ~*")=0),($R20+COUNTIF($H$68:$H77,$B20)+COUNTIF($H$68:$H77,$B20&amp;" ~*"))*1000+IF(AN78&gt;100,500,0)+1,"")</f>
        <v/>
      </c>
      <c r="BN78">
        <f>IF(AND(AO78&lt;&gt;"",COUNTIF($C$57:$E$57,$B21)+COUNTIF($C$57:$E$57,$B21&amp;" ~*")=0),($R21+COUNTIF($H$68:$H77,$B21)+COUNTIF($H$68:$H77,$B21&amp;" ~*"))*1000+IF(AO78&gt;100,500,0)+2,"")</f>
        <v/>
      </c>
      <c r="BO78">
        <f>IF(AND(AP78&lt;&gt;"",COUNTIF($C$57:$E$57,$B22)+COUNTIF($C$57:$E$57,$B22&amp;" ~*")=0),($R22+COUNTIF($H$68:$H77,$B22)+COUNTIF($H$68:$H77,$B22&amp;" ~*"))*1000+IF(AP78&gt;100,500,0)+3,"")</f>
        <v/>
      </c>
      <c r="BP78">
        <f>IF(AND(AQ78&lt;&gt;"",COUNTIF($C$57:$E$57,$B23)+COUNTIF($C$57:$E$57,$B23&amp;" ~*")=0),($R23+COUNTIF($H$68:$H77,$B23)+COUNTIF($H$68:$H77,$B23&amp;" ~*"))*1000+IF(AQ78&gt;100,500,0)+4,"")</f>
        <v/>
      </c>
      <c r="BQ78">
        <f>IF(AND(AR78&lt;&gt;"",COUNTIF($C$57:$E$57,$B24)+COUNTIF($C$57:$E$57,$B24&amp;" ~*")=0),($R24+COUNTIF($H$68:$H77,$B24)+COUNTIF($H$68:$H77,$B24&amp;" ~*"))*1000+IF(AR78&gt;100,500,0)+5,"")</f>
        <v/>
      </c>
      <c r="BR78">
        <f>IF(AND(AS78&lt;&gt;"",COUNTIF($C$57:$E$57,$B25)+COUNTIF($C$57:$E$57,$B25&amp;" ~*")=0),($R25+COUNTIF($H$68:$H77,$B25)+COUNTIF($H$68:$H77,$B25&amp;" ~*"))*1000+IF(AS78&gt;100,500,0)+6,"")</f>
        <v/>
      </c>
      <c r="BS78">
        <f>IF(AND(AT78&lt;&gt;"",COUNTIF($C$57:$E$57,$B26)+COUNTIF($C$57:$E$57,$B26&amp;" ~*")=0),($R26+COUNTIF($H$68:$H77,$B26)+COUNTIF($H$68:$H77,$B26&amp;" ~*"))*1000+IF(AT78&gt;100,500,0)+7,"")</f>
        <v/>
      </c>
      <c r="BT78">
        <f>IF(AND(AU78&lt;&gt;"",COUNTIF($C$57:$E$57,$B27)+COUNTIF($C$57:$E$57,$B27&amp;" ~*")=0),($R27+COUNTIF($H$68:$H77,$B27)+COUNTIF($H$68:$H77,$B27&amp;" ~*"))*1000+IF(AU78&gt;100,500,0)+8,"")</f>
        <v/>
      </c>
      <c r="BU78">
        <f>IF(AND(AV78&lt;&gt;"",COUNTIF($C$57:$E$57,$B28)+COUNTIF($C$57:$E$57,$B28&amp;" ~*")=0),($R28+COUNTIF($H$68:$H77,$B28)+COUNTIF($H$68:$H77,$B28&amp;" ~*"))*1000+IF(AV78&gt;100,500,0)+9,"")</f>
        <v/>
      </c>
      <c r="BV78">
        <f>IF(AND(AW78&lt;&gt;"",COUNTIF($C$57:$E$57,$B29)+COUNTIF($C$57:$E$57,$B29&amp;" ~*")=0),($R29+COUNTIF($H$68:$H77,$B29)+COUNTIF($H$68:$H77,$B29&amp;" ~*"))*1000+IF(AW78&gt;100,500,0)+10,"")</f>
        <v/>
      </c>
      <c r="BW78">
        <f>IF(AND(AX78&lt;&gt;"",COUNTIF($C$57:$E$57,$B30)+COUNTIF($C$57:$E$57,$B30&amp;" ~*")=0),($R30+COUNTIF($H$68:$H77,$B30)+COUNTIF($H$68:$H77,$B30&amp;" ~*"))*1000+IF(AX78&gt;100,500,0)+11,"")</f>
        <v/>
      </c>
      <c r="BX78">
        <f>IF(AND(AY78&lt;&gt;"",COUNTIF($C$57:$E$57,$B31)+COUNTIF($C$57:$E$57,$B31&amp;" ~*")=0),($R31+COUNTIF($H$68:$H77,$B31)+COUNTIF($H$68:$H77,$B31&amp;" ~*"))*1000+IF(AY78&gt;100,500,0)+12,"")</f>
        <v/>
      </c>
      <c r="BY78">
        <f>IF(AND(AZ78&lt;&gt;"",COUNTIF($C$57:$E$57,$B32)+COUNTIF($C$57:$E$57,$B32&amp;" ~*")=0),($R32+COUNTIF($H$68:$H77,$B32)+COUNTIF($H$68:$H77,$B32&amp;" ~*"))*1000+IF(AZ78&gt;100,500,0)+13,"")</f>
        <v/>
      </c>
      <c r="BZ78">
        <f>IF(AND(BA78&lt;&gt;"",COUNTIF($C$57:$E$57,$B33)+COUNTIF($C$57:$E$57,$B33&amp;" ~*")=0),($R33+COUNTIF($H$68:$H77,$B33)+COUNTIF($H$68:$H77,$B33&amp;" ~*"))*1000+IF(BA78&gt;100,500,0)+14,"")</f>
        <v/>
      </c>
      <c r="CA78">
        <f>IF(AND(BB78&lt;&gt;"",COUNTIF($C$57:$E$57,$B34)+COUNTIF($C$57:$E$57,$B34&amp;" ~*")=0),($R34+COUNTIF($H$68:$H77,$B34)+COUNTIF($H$68:$H77,$B34&amp;" ~*"))*1000+IF(BB78&gt;100,500,0)+15,"")</f>
        <v/>
      </c>
      <c r="CB78">
        <f>IF(AND(BC78&lt;&gt;"",COUNTIF($C$57:$E$57,$B35)+COUNTIF($C$57:$E$57,$B35&amp;" ~*")=0),($R35+COUNTIF($H$68:$H77,$B35)+COUNTIF($H$68:$H77,$B35&amp;" ~*"))*1000+IF(BC78&gt;100,500,0)+16,"")</f>
        <v/>
      </c>
      <c r="CC78">
        <f>IF(AND(BD78&lt;&gt;"",COUNTIF($C$57:$E$57,$B36)+COUNTIF($C$57:$E$57,$B36&amp;" ~*")=0),($R36+COUNTIF($H$68:$H77,$B36)+COUNTIF($H$68:$H77,$B36&amp;" ~*"))*1000+IF(BD78&gt;100,500,0)+17,"")</f>
        <v/>
      </c>
      <c r="CD78">
        <f>IF(AND(BE78&lt;&gt;"",COUNTIF($C$57:$E$57,$B37)+COUNTIF($C$57:$E$57,$B37&amp;" ~*")=0),($R37+COUNTIF($H$68:$H77,$B37)+COUNTIF($H$68:$H77,$B37&amp;" ~*"))*1000+IF(BE78&gt;100,500,0)+18,"")</f>
        <v/>
      </c>
      <c r="CE78">
        <f>IF(AND(BF78&lt;&gt;"",COUNTIF($C$57:$E$57,$B38)+COUNTIF($C$57:$E$57,$B38&amp;" ~*")=0),($R38+COUNTIF($H$68:$H77,$B38)+COUNTIF($H$68:$H77,$B38&amp;" ~*"))*1000+IF(BF78&gt;100,500,0)+19,"")</f>
        <v/>
      </c>
      <c r="CF78">
        <f>IF(AND(BG78&lt;&gt;"",COUNTIF($C$57:$E$57,$B39)+COUNTIF($C$57:$E$57,$B39&amp;" ~*")=0),($R39+COUNTIF($H$68:$H77,$B39)+COUNTIF($H$68:$H77,$B39&amp;" ~*"))*1000+IF(BG78&gt;100,500,0)+20,"")</f>
        <v/>
      </c>
      <c r="CG78">
        <f>IF(AND(BH78&lt;&gt;"",COUNTIF($C$57:$E$57,$B40)+COUNTIF($C$57:$E$57,$B40&amp;" ~*")=0),($R40+COUNTIF($H$68:$H77,$B40)+COUNTIF($H$68:$H77,$B40&amp;" ~*"))*1000+IF(BH78&gt;100,500,0)+21,"")</f>
        <v/>
      </c>
      <c r="CH78">
        <f>IF(AND(BI78&lt;&gt;"",COUNTIF($C$57:$E$57,$B41)+COUNTIF($C$57:$E$57,$B41&amp;" ~*")=0),($R41+COUNTIF($H$68:$H77,$B41)+COUNTIF($H$68:$H77,$B41&amp;" ~*"))*1000+IF(BI78&gt;100,500,0)+22,"")</f>
        <v/>
      </c>
      <c r="CI78">
        <f>IF(AND(BJ78&lt;&gt;"",COUNTIF($C$57:$E$57,$B42)+COUNTIF($C$57:$E$57,$B42&amp;" ~*")=0),($R42+COUNTIF($H$68:$H77,$B42)+COUNTIF($H$68:$H77,$B42&amp;" ~*"))*1000+IF(BJ78&gt;100,500,0)+23,"")</f>
        <v/>
      </c>
      <c r="CJ78">
        <f>IF(AND(BK78&lt;&gt;"",COUNTIF($C$57:$E$57,$B43)+COUNTIF($C$57:$E$57,$B43&amp;" ~*")=0),($R43+COUNTIF($H$68:$H77,$B43)+COUNTIF($H$68:$H77,$B43&amp;" ~*"))*1000+IF(BK78&gt;100,500,0)+24,"")</f>
        <v/>
      </c>
    </row>
    <row r="79">
      <c r="A79" t="n">
        <v>1</v>
      </c>
      <c r="B79" t="n">
        <v>12</v>
      </c>
      <c r="C79">
        <f>$B$58</f>
        <v/>
      </c>
      <c r="D79" t="inlineStr">
        <is>
          <t>Mon</t>
        </is>
      </c>
      <c r="E79">
        <f>IF(C79="","",N($AB$58))</f>
        <v/>
      </c>
      <c r="F79">
        <f>IF(C79="","",COUNTIF($C$58:$E$58,"?*"))</f>
        <v/>
      </c>
      <c r="G79">
        <f>IF(C79="","",MAX(0,E79-F79))</f>
        <v/>
      </c>
      <c r="H79">
        <f>IF(N(G79)=0,"",IF(COUNT(BM79:CJ79)=0,"no-one eligible",INDEX(Engine!$B$20:$B$43,MOD(MIN(BM79:CJ79),500))&amp;IF(MOD(MIN(BM79:CJ79),1000)&gt;=500," *","")))</f>
        <v/>
      </c>
      <c r="I79">
        <f>IF(N(G79)&gt;0,COUNTIF($G$68:G79,"&gt;0"),"")</f>
        <v/>
      </c>
      <c r="J79">
        <f>IF(C79="","",IF($C$58="",0,IF(IFERROR(INDEX(Setup!$O$6:$AL$23,12,MATCH(SUBSTITUTE($C$58," *",""),Setup!$B$6:$B$29,0)),"")="",1,0))+IF($D$58="",0,IF(IFERROR(INDEX(Setup!$O$6:$AL$23,12,MATCH(SUBSTITUTE($D$58," *",""),Setup!$B$6:$B$29,0)),"")="",1,0))+IF($E$58="",0,IF(IFERROR(INDEX(Setup!$O$6:$AL$23,12,MATCH(SUBSTITUTE($E$58," *",""),Setup!$B$6:$B$29,0)),"")="",1,0)))</f>
        <v/>
      </c>
      <c r="K79">
        <f>IF($B$12+0=TODAY(),1,0)</f>
        <v/>
      </c>
      <c r="N79">
        <f>COUNT($AN79:$BK79)</f>
        <v/>
      </c>
      <c r="O79">
        <f>IF(1&gt;$N79,"",INDEX(Engine!$B$20:$B$43,MOD(SMALL($AN79:$BK79,1),100))&amp;IF(SMALL($AN79:$BK79,1)&gt;100," *",""))</f>
        <v/>
      </c>
      <c r="P79">
        <f>IF(2&gt;$N79,"",INDEX(Engine!$B$20:$B$43,MOD(SMALL($AN79:$BK79,2),100))&amp;IF(SMALL($AN79:$BK79,2)&gt;100," *",""))</f>
        <v/>
      </c>
      <c r="Q79">
        <f>IF(3&gt;$N79,"",INDEX(Engine!$B$20:$B$43,MOD(SMALL($AN79:$BK79,3),100))&amp;IF(SMALL($AN79:$BK79,3)&gt;100," *",""))</f>
        <v/>
      </c>
      <c r="R79">
        <f>IF(4&gt;$N79,"",INDEX(Engine!$B$20:$B$43,MOD(SMALL($AN79:$BK79,4),100))&amp;IF(SMALL($AN79:$BK79,4)&gt;100," *",""))</f>
        <v/>
      </c>
      <c r="S79">
        <f>IF(5&gt;$N79,"",INDEX(Engine!$B$20:$B$43,MOD(SMALL($AN79:$BK79,5),100))&amp;IF(SMALL($AN79:$BK79,5)&gt;100," *",""))</f>
        <v/>
      </c>
      <c r="T79">
        <f>IF(6&gt;$N79,"",INDEX(Engine!$B$20:$B$43,MOD(SMALL($AN79:$BK79,6),100))&amp;IF(SMALL($AN79:$BK79,6)&gt;100," *",""))</f>
        <v/>
      </c>
      <c r="U79">
        <f>IF(7&gt;$N79,"",INDEX(Engine!$B$20:$B$43,MOD(SMALL($AN79:$BK79,7),100))&amp;IF(SMALL($AN79:$BK79,7)&gt;100," *",""))</f>
        <v/>
      </c>
      <c r="V79">
        <f>IF(8&gt;$N79,"",INDEX(Engine!$B$20:$B$43,MOD(SMALL($AN79:$BK79,8),100))&amp;IF(SMALL($AN79:$BK79,8)&gt;100," *",""))</f>
        <v/>
      </c>
      <c r="W79">
        <f>IF(9&gt;$N79,"",INDEX(Engine!$B$20:$B$43,MOD(SMALL($AN79:$BK79,9),100))&amp;IF(SMALL($AN79:$BK79,9)&gt;100," *",""))</f>
        <v/>
      </c>
      <c r="X79">
        <f>IF(10&gt;$N79,"",INDEX(Engine!$B$20:$B$43,MOD(SMALL($AN79:$BK79,10),100))&amp;IF(SMALL($AN79:$BK79,10)&gt;100," *",""))</f>
        <v/>
      </c>
      <c r="Y79">
        <f>IF(11&gt;$N79,"",INDEX(Engine!$B$20:$B$43,MOD(SMALL($AN79:$BK79,11),100))&amp;IF(SMALL($AN79:$BK79,11)&gt;100," *",""))</f>
        <v/>
      </c>
      <c r="Z79">
        <f>IF(12&gt;$N79,"",INDEX(Engine!$B$20:$B$43,MOD(SMALL($AN79:$BK79,12),100))&amp;IF(SMALL($AN79:$BK79,12)&gt;100," *",""))</f>
        <v/>
      </c>
      <c r="AA79">
        <f>IF(13&gt;$N79,"",INDEX(Engine!$B$20:$B$43,MOD(SMALL($AN79:$BK79,13),100))&amp;IF(SMALL($AN79:$BK79,13)&gt;100," *",""))</f>
        <v/>
      </c>
      <c r="AB79">
        <f>IF(14&gt;$N79,"",INDEX(Engine!$B$20:$B$43,MOD(SMALL($AN79:$BK79,14),100))&amp;IF(SMALL($AN79:$BK79,14)&gt;100," *",""))</f>
        <v/>
      </c>
      <c r="AC79">
        <f>IF(15&gt;$N79,"",INDEX(Engine!$B$20:$B$43,MOD(SMALL($AN79:$BK79,15),100))&amp;IF(SMALL($AN79:$BK79,15)&gt;100," *",""))</f>
        <v/>
      </c>
      <c r="AD79">
        <f>IF(16&gt;$N79,"",INDEX(Engine!$B$20:$B$43,MOD(SMALL($AN79:$BK79,16),100))&amp;IF(SMALL($AN79:$BK79,16)&gt;100," *",""))</f>
        <v/>
      </c>
      <c r="AE79">
        <f>IF(17&gt;$N79,"",INDEX(Engine!$B$20:$B$43,MOD(SMALL($AN79:$BK79,17),100))&amp;IF(SMALL($AN79:$BK79,17)&gt;100," *",""))</f>
        <v/>
      </c>
      <c r="AF79">
        <f>IF(18&gt;$N79,"",INDEX(Engine!$B$20:$B$43,MOD(SMALL($AN79:$BK79,18),100))&amp;IF(SMALL($AN79:$BK79,18)&gt;100," *",""))</f>
        <v/>
      </c>
      <c r="AG79">
        <f>IF(19&gt;$N79,"",INDEX(Engine!$B$20:$B$43,MOD(SMALL($AN79:$BK79,19),100))&amp;IF(SMALL($AN79:$BK79,19)&gt;100," *",""))</f>
        <v/>
      </c>
      <c r="AH79">
        <f>IF(20&gt;$N79,"",INDEX(Engine!$B$20:$B$43,MOD(SMALL($AN79:$BK79,20),100))&amp;IF(SMALL($AN79:$BK79,20)&gt;100," *",""))</f>
        <v/>
      </c>
      <c r="AI79">
        <f>IF(21&gt;$N79,"",INDEX(Engine!$B$20:$B$43,MOD(SMALL($AN79:$BK79,21),100))&amp;IF(SMALL($AN79:$BK79,21)&gt;100," *",""))</f>
        <v/>
      </c>
      <c r="AJ79">
        <f>IF(22&gt;$N79,"",INDEX(Engine!$B$20:$B$43,MOD(SMALL($AN79:$BK79,22),100))&amp;IF(SMALL($AN79:$BK79,22)&gt;100," *",""))</f>
        <v/>
      </c>
      <c r="AK79">
        <f>IF(23&gt;$N79,"",INDEX(Engine!$B$20:$B$43,MOD(SMALL($AN79:$BK79,23),100))&amp;IF(SMALL($AN79:$BK79,23)&gt;100," *",""))</f>
        <v/>
      </c>
      <c r="AL79">
        <f>IF(24&gt;$N79,"",INDEX(Engine!$B$20:$B$43,MOD(SMALL($AN79:$BK79,24),100))&amp;IF(SMALL($AN79:$BK79,24)&gt;100," *",""))</f>
        <v/>
      </c>
      <c r="AN79">
        <f>IF(AND($C20=1,INDEX(Setup!$O$6:$AL$23,12,1)&lt;&gt;"",K20=0),1+IF(INDEX(Setup!$O$6:$AL$23,12,1)="T",100,0),"")</f>
        <v/>
      </c>
      <c r="AO79">
        <f>IF(AND($C21=1,INDEX(Setup!$O$6:$AL$23,12,2)&lt;&gt;"",K21=0),2+IF(INDEX(Setup!$O$6:$AL$23,12,2)="T",100,0),"")</f>
        <v/>
      </c>
      <c r="AP79">
        <f>IF(AND($C22=1,INDEX(Setup!$O$6:$AL$23,12,3)&lt;&gt;"",K22=0),3+IF(INDEX(Setup!$O$6:$AL$23,12,3)="T",100,0),"")</f>
        <v/>
      </c>
      <c r="AQ79">
        <f>IF(AND($C23=1,INDEX(Setup!$O$6:$AL$23,12,4)&lt;&gt;"",K23=0),4+IF(INDEX(Setup!$O$6:$AL$23,12,4)="T",100,0),"")</f>
        <v/>
      </c>
      <c r="AR79">
        <f>IF(AND($C24=1,INDEX(Setup!$O$6:$AL$23,12,5)&lt;&gt;"",K24=0),5+IF(INDEX(Setup!$O$6:$AL$23,12,5)="T",100,0),"")</f>
        <v/>
      </c>
      <c r="AS79">
        <f>IF(AND($C25=1,INDEX(Setup!$O$6:$AL$23,12,6)&lt;&gt;"",K25=0),6+IF(INDEX(Setup!$O$6:$AL$23,12,6)="T",100,0),"")</f>
        <v/>
      </c>
      <c r="AT79">
        <f>IF(AND($C26=1,INDEX(Setup!$O$6:$AL$23,12,7)&lt;&gt;"",K26=0),7+IF(INDEX(Setup!$O$6:$AL$23,12,7)="T",100,0),"")</f>
        <v/>
      </c>
      <c r="AU79">
        <f>IF(AND($C27=1,INDEX(Setup!$O$6:$AL$23,12,8)&lt;&gt;"",K27=0),8+IF(INDEX(Setup!$O$6:$AL$23,12,8)="T",100,0),"")</f>
        <v/>
      </c>
      <c r="AV79">
        <f>IF(AND($C28=1,INDEX(Setup!$O$6:$AL$23,12,9)&lt;&gt;"",K28=0),9+IF(INDEX(Setup!$O$6:$AL$23,12,9)="T",100,0),"")</f>
        <v/>
      </c>
      <c r="AW79">
        <f>IF(AND($C29=1,INDEX(Setup!$O$6:$AL$23,12,10)&lt;&gt;"",K29=0),10+IF(INDEX(Setup!$O$6:$AL$23,12,10)="T",100,0),"")</f>
        <v/>
      </c>
      <c r="AX79">
        <f>IF(AND($C30=1,INDEX(Setup!$O$6:$AL$23,12,11)&lt;&gt;"",K30=0),11+IF(INDEX(Setup!$O$6:$AL$23,12,11)="T",100,0),"")</f>
        <v/>
      </c>
      <c r="AY79">
        <f>IF(AND($C31=1,INDEX(Setup!$O$6:$AL$23,12,12)&lt;&gt;"",K31=0),12+IF(INDEX(Setup!$O$6:$AL$23,12,12)="T",100,0),"")</f>
        <v/>
      </c>
      <c r="AZ79">
        <f>IF(AND($C32=1,INDEX(Setup!$O$6:$AL$23,12,13)&lt;&gt;"",K32=0),13+IF(INDEX(Setup!$O$6:$AL$23,12,13)="T",100,0),"")</f>
        <v/>
      </c>
      <c r="BA79">
        <f>IF(AND($C33=1,INDEX(Setup!$O$6:$AL$23,12,14)&lt;&gt;"",K33=0),14+IF(INDEX(Setup!$O$6:$AL$23,12,14)="T",100,0),"")</f>
        <v/>
      </c>
      <c r="BB79">
        <f>IF(AND($C34=1,INDEX(Setup!$O$6:$AL$23,12,15)&lt;&gt;"",K34=0),15+IF(INDEX(Setup!$O$6:$AL$23,12,15)="T",100,0),"")</f>
        <v/>
      </c>
      <c r="BC79">
        <f>IF(AND($C35=1,INDEX(Setup!$O$6:$AL$23,12,16)&lt;&gt;"",K35=0),16+IF(INDEX(Setup!$O$6:$AL$23,12,16)="T",100,0),"")</f>
        <v/>
      </c>
      <c r="BD79">
        <f>IF(AND($C36=1,INDEX(Setup!$O$6:$AL$23,12,17)&lt;&gt;"",K36=0),17+IF(INDEX(Setup!$O$6:$AL$23,12,17)="T",100,0),"")</f>
        <v/>
      </c>
      <c r="BE79">
        <f>IF(AND($C37=1,INDEX(Setup!$O$6:$AL$23,12,18)&lt;&gt;"",K37=0),18+IF(INDEX(Setup!$O$6:$AL$23,12,18)="T",100,0),"")</f>
        <v/>
      </c>
      <c r="BF79">
        <f>IF(AND($C38=1,INDEX(Setup!$O$6:$AL$23,12,19)&lt;&gt;"",K38=0),19+IF(INDEX(Setup!$O$6:$AL$23,12,19)="T",100,0),"")</f>
        <v/>
      </c>
      <c r="BG79">
        <f>IF(AND($C39=1,INDEX(Setup!$O$6:$AL$23,12,20)&lt;&gt;"",K39=0),20+IF(INDEX(Setup!$O$6:$AL$23,12,20)="T",100,0),"")</f>
        <v/>
      </c>
      <c r="BH79">
        <f>IF(AND($C40=1,INDEX(Setup!$O$6:$AL$23,12,21)&lt;&gt;"",K40=0),21+IF(INDEX(Setup!$O$6:$AL$23,12,21)="T",100,0),"")</f>
        <v/>
      </c>
      <c r="BI79">
        <f>IF(AND($C41=1,INDEX(Setup!$O$6:$AL$23,12,22)&lt;&gt;"",K41=0),22+IF(INDEX(Setup!$O$6:$AL$23,12,22)="T",100,0),"")</f>
        <v/>
      </c>
      <c r="BJ79">
        <f>IF(AND($C42=1,INDEX(Setup!$O$6:$AL$23,12,23)&lt;&gt;"",K42=0),23+IF(INDEX(Setup!$O$6:$AL$23,12,23)="T",100,0),"")</f>
        <v/>
      </c>
      <c r="BK79">
        <f>IF(AND($C43=1,INDEX(Setup!$O$6:$AL$23,12,24)&lt;&gt;"",K43=0),24+IF(INDEX(Setup!$O$6:$AL$23,12,24)="T",100,0),"")</f>
        <v/>
      </c>
      <c r="BM79">
        <f>IF(AND(AN79&lt;&gt;"",COUNTIF($C$58:$E$58,$B20)+COUNTIF($C$58:$E$58,$B20&amp;" ~*")=0),($R20+COUNTIF($H$68:$H78,$B20)+COUNTIF($H$68:$H78,$B20&amp;" ~*"))*1000+IF(AN79&gt;100,500,0)+1,"")</f>
        <v/>
      </c>
      <c r="BN79">
        <f>IF(AND(AO79&lt;&gt;"",COUNTIF($C$58:$E$58,$B21)+COUNTIF($C$58:$E$58,$B21&amp;" ~*")=0),($R21+COUNTIF($H$68:$H78,$B21)+COUNTIF($H$68:$H78,$B21&amp;" ~*"))*1000+IF(AO79&gt;100,500,0)+2,"")</f>
        <v/>
      </c>
      <c r="BO79">
        <f>IF(AND(AP79&lt;&gt;"",COUNTIF($C$58:$E$58,$B22)+COUNTIF($C$58:$E$58,$B22&amp;" ~*")=0),($R22+COUNTIF($H$68:$H78,$B22)+COUNTIF($H$68:$H78,$B22&amp;" ~*"))*1000+IF(AP79&gt;100,500,0)+3,"")</f>
        <v/>
      </c>
      <c r="BP79">
        <f>IF(AND(AQ79&lt;&gt;"",COUNTIF($C$58:$E$58,$B23)+COUNTIF($C$58:$E$58,$B23&amp;" ~*")=0),($R23+COUNTIF($H$68:$H78,$B23)+COUNTIF($H$68:$H78,$B23&amp;" ~*"))*1000+IF(AQ79&gt;100,500,0)+4,"")</f>
        <v/>
      </c>
      <c r="BQ79">
        <f>IF(AND(AR79&lt;&gt;"",COUNTIF($C$58:$E$58,$B24)+COUNTIF($C$58:$E$58,$B24&amp;" ~*")=0),($R24+COUNTIF($H$68:$H78,$B24)+COUNTIF($H$68:$H78,$B24&amp;" ~*"))*1000+IF(AR79&gt;100,500,0)+5,"")</f>
        <v/>
      </c>
      <c r="BR79">
        <f>IF(AND(AS79&lt;&gt;"",COUNTIF($C$58:$E$58,$B25)+COUNTIF($C$58:$E$58,$B25&amp;" ~*")=0),($R25+COUNTIF($H$68:$H78,$B25)+COUNTIF($H$68:$H78,$B25&amp;" ~*"))*1000+IF(AS79&gt;100,500,0)+6,"")</f>
        <v/>
      </c>
      <c r="BS79">
        <f>IF(AND(AT79&lt;&gt;"",COUNTIF($C$58:$E$58,$B26)+COUNTIF($C$58:$E$58,$B26&amp;" ~*")=0),($R26+COUNTIF($H$68:$H78,$B26)+COUNTIF($H$68:$H78,$B26&amp;" ~*"))*1000+IF(AT79&gt;100,500,0)+7,"")</f>
        <v/>
      </c>
      <c r="BT79">
        <f>IF(AND(AU79&lt;&gt;"",COUNTIF($C$58:$E$58,$B27)+COUNTIF($C$58:$E$58,$B27&amp;" ~*")=0),($R27+COUNTIF($H$68:$H78,$B27)+COUNTIF($H$68:$H78,$B27&amp;" ~*"))*1000+IF(AU79&gt;100,500,0)+8,"")</f>
        <v/>
      </c>
      <c r="BU79">
        <f>IF(AND(AV79&lt;&gt;"",COUNTIF($C$58:$E$58,$B28)+COUNTIF($C$58:$E$58,$B28&amp;" ~*")=0),($R28+COUNTIF($H$68:$H78,$B28)+COUNTIF($H$68:$H78,$B28&amp;" ~*"))*1000+IF(AV79&gt;100,500,0)+9,"")</f>
        <v/>
      </c>
      <c r="BV79">
        <f>IF(AND(AW79&lt;&gt;"",COUNTIF($C$58:$E$58,$B29)+COUNTIF($C$58:$E$58,$B29&amp;" ~*")=0),($R29+COUNTIF($H$68:$H78,$B29)+COUNTIF($H$68:$H78,$B29&amp;" ~*"))*1000+IF(AW79&gt;100,500,0)+10,"")</f>
        <v/>
      </c>
      <c r="BW79">
        <f>IF(AND(AX79&lt;&gt;"",COUNTIF($C$58:$E$58,$B30)+COUNTIF($C$58:$E$58,$B30&amp;" ~*")=0),($R30+COUNTIF($H$68:$H78,$B30)+COUNTIF($H$68:$H78,$B30&amp;" ~*"))*1000+IF(AX79&gt;100,500,0)+11,"")</f>
        <v/>
      </c>
      <c r="BX79">
        <f>IF(AND(AY79&lt;&gt;"",COUNTIF($C$58:$E$58,$B31)+COUNTIF($C$58:$E$58,$B31&amp;" ~*")=0),($R31+COUNTIF($H$68:$H78,$B31)+COUNTIF($H$68:$H78,$B31&amp;" ~*"))*1000+IF(AY79&gt;100,500,0)+12,"")</f>
        <v/>
      </c>
      <c r="BY79">
        <f>IF(AND(AZ79&lt;&gt;"",COUNTIF($C$58:$E$58,$B32)+COUNTIF($C$58:$E$58,$B32&amp;" ~*")=0),($R32+COUNTIF($H$68:$H78,$B32)+COUNTIF($H$68:$H78,$B32&amp;" ~*"))*1000+IF(AZ79&gt;100,500,0)+13,"")</f>
        <v/>
      </c>
      <c r="BZ79">
        <f>IF(AND(BA79&lt;&gt;"",COUNTIF($C$58:$E$58,$B33)+COUNTIF($C$58:$E$58,$B33&amp;" ~*")=0),($R33+COUNTIF($H$68:$H78,$B33)+COUNTIF($H$68:$H78,$B33&amp;" ~*"))*1000+IF(BA79&gt;100,500,0)+14,"")</f>
        <v/>
      </c>
      <c r="CA79">
        <f>IF(AND(BB79&lt;&gt;"",COUNTIF($C$58:$E$58,$B34)+COUNTIF($C$58:$E$58,$B34&amp;" ~*")=0),($R34+COUNTIF($H$68:$H78,$B34)+COUNTIF($H$68:$H78,$B34&amp;" ~*"))*1000+IF(BB79&gt;100,500,0)+15,"")</f>
        <v/>
      </c>
      <c r="CB79">
        <f>IF(AND(BC79&lt;&gt;"",COUNTIF($C$58:$E$58,$B35)+COUNTIF($C$58:$E$58,$B35&amp;" ~*")=0),($R35+COUNTIF($H$68:$H78,$B35)+COUNTIF($H$68:$H78,$B35&amp;" ~*"))*1000+IF(BC79&gt;100,500,0)+16,"")</f>
        <v/>
      </c>
      <c r="CC79">
        <f>IF(AND(BD79&lt;&gt;"",COUNTIF($C$58:$E$58,$B36)+COUNTIF($C$58:$E$58,$B36&amp;" ~*")=0),($R36+COUNTIF($H$68:$H78,$B36)+COUNTIF($H$68:$H78,$B36&amp;" ~*"))*1000+IF(BD79&gt;100,500,0)+17,"")</f>
        <v/>
      </c>
      <c r="CD79">
        <f>IF(AND(BE79&lt;&gt;"",COUNTIF($C$58:$E$58,$B37)+COUNTIF($C$58:$E$58,$B37&amp;" ~*")=0),($R37+COUNTIF($H$68:$H78,$B37)+COUNTIF($H$68:$H78,$B37&amp;" ~*"))*1000+IF(BE79&gt;100,500,0)+18,"")</f>
        <v/>
      </c>
      <c r="CE79">
        <f>IF(AND(BF79&lt;&gt;"",COUNTIF($C$58:$E$58,$B38)+COUNTIF($C$58:$E$58,$B38&amp;" ~*")=0),($R38+COUNTIF($H$68:$H78,$B38)+COUNTIF($H$68:$H78,$B38&amp;" ~*"))*1000+IF(BF79&gt;100,500,0)+19,"")</f>
        <v/>
      </c>
      <c r="CF79">
        <f>IF(AND(BG79&lt;&gt;"",COUNTIF($C$58:$E$58,$B39)+COUNTIF($C$58:$E$58,$B39&amp;" ~*")=0),($R39+COUNTIF($H$68:$H78,$B39)+COUNTIF($H$68:$H78,$B39&amp;" ~*"))*1000+IF(BG79&gt;100,500,0)+20,"")</f>
        <v/>
      </c>
      <c r="CG79">
        <f>IF(AND(BH79&lt;&gt;"",COUNTIF($C$58:$E$58,$B40)+COUNTIF($C$58:$E$58,$B40&amp;" ~*")=0),($R40+COUNTIF($H$68:$H78,$B40)+COUNTIF($H$68:$H78,$B40&amp;" ~*"))*1000+IF(BH79&gt;100,500,0)+21,"")</f>
        <v/>
      </c>
      <c r="CH79">
        <f>IF(AND(BI79&lt;&gt;"",COUNTIF($C$58:$E$58,$B41)+COUNTIF($C$58:$E$58,$B41&amp;" ~*")=0),($R41+COUNTIF($H$68:$H78,$B41)+COUNTIF($H$68:$H78,$B41&amp;" ~*"))*1000+IF(BI79&gt;100,500,0)+22,"")</f>
        <v/>
      </c>
      <c r="CI79">
        <f>IF(AND(BJ79&lt;&gt;"",COUNTIF($C$58:$E$58,$B42)+COUNTIF($C$58:$E$58,$B42&amp;" ~*")=0),($R42+COUNTIF($H$68:$H78,$B42)+COUNTIF($H$68:$H78,$B42&amp;" ~*"))*1000+IF(BJ79&gt;100,500,0)+23,"")</f>
        <v/>
      </c>
      <c r="CJ79">
        <f>IF(AND(BK79&lt;&gt;"",COUNTIF($C$58:$E$58,$B43)+COUNTIF($C$58:$E$58,$B43&amp;" ~*")=0),($R43+COUNTIF($H$68:$H78,$B43)+COUNTIF($H$68:$H78,$B43&amp;" ~*"))*1000+IF(BK79&gt;100,500,0)+24,"")</f>
        <v/>
      </c>
    </row>
    <row r="80">
      <c r="A80" t="n">
        <v>1</v>
      </c>
      <c r="B80" t="n">
        <v>13</v>
      </c>
      <c r="C80">
        <f>$B$59</f>
        <v/>
      </c>
      <c r="D80" t="inlineStr">
        <is>
          <t>Mon</t>
        </is>
      </c>
      <c r="E80">
        <f>IF(C80="","",N($AB$59))</f>
        <v/>
      </c>
      <c r="F80">
        <f>IF(C80="","",COUNTIF($C$59:$E$59,"?*"))</f>
        <v/>
      </c>
      <c r="G80">
        <f>IF(C80="","",MAX(0,E80-F80))</f>
        <v/>
      </c>
      <c r="H80">
        <f>IF(N(G80)=0,"",IF(COUNT(BM80:CJ80)=0,"no-one eligible",INDEX(Engine!$B$20:$B$43,MOD(MIN(BM80:CJ80),500))&amp;IF(MOD(MIN(BM80:CJ80),1000)&gt;=500," *","")))</f>
        <v/>
      </c>
      <c r="I80">
        <f>IF(N(G80)&gt;0,COUNTIF($G$68:G80,"&gt;0"),"")</f>
        <v/>
      </c>
      <c r="J80">
        <f>IF(C80="","",IF($C$59="",0,IF(IFERROR(INDEX(Setup!$O$6:$AL$23,13,MATCH(SUBSTITUTE($C$59," *",""),Setup!$B$6:$B$29,0)),"")="",1,0))+IF($D$59="",0,IF(IFERROR(INDEX(Setup!$O$6:$AL$23,13,MATCH(SUBSTITUTE($D$59," *",""),Setup!$B$6:$B$29,0)),"")="",1,0))+IF($E$59="",0,IF(IFERROR(INDEX(Setup!$O$6:$AL$23,13,MATCH(SUBSTITUTE($E$59," *",""),Setup!$B$6:$B$29,0)),"")="",1,0)))</f>
        <v/>
      </c>
      <c r="K80">
        <f>IF($B$12+0=TODAY(),1,0)</f>
        <v/>
      </c>
      <c r="N80">
        <f>COUNT($AN80:$BK80)</f>
        <v/>
      </c>
      <c r="O80">
        <f>IF(1&gt;$N80,"",INDEX(Engine!$B$20:$B$43,MOD(SMALL($AN80:$BK80,1),100))&amp;IF(SMALL($AN80:$BK80,1)&gt;100," *",""))</f>
        <v/>
      </c>
      <c r="P80">
        <f>IF(2&gt;$N80,"",INDEX(Engine!$B$20:$B$43,MOD(SMALL($AN80:$BK80,2),100))&amp;IF(SMALL($AN80:$BK80,2)&gt;100," *",""))</f>
        <v/>
      </c>
      <c r="Q80">
        <f>IF(3&gt;$N80,"",INDEX(Engine!$B$20:$B$43,MOD(SMALL($AN80:$BK80,3),100))&amp;IF(SMALL($AN80:$BK80,3)&gt;100," *",""))</f>
        <v/>
      </c>
      <c r="R80">
        <f>IF(4&gt;$N80,"",INDEX(Engine!$B$20:$B$43,MOD(SMALL($AN80:$BK80,4),100))&amp;IF(SMALL($AN80:$BK80,4)&gt;100," *",""))</f>
        <v/>
      </c>
      <c r="S80">
        <f>IF(5&gt;$N80,"",INDEX(Engine!$B$20:$B$43,MOD(SMALL($AN80:$BK80,5),100))&amp;IF(SMALL($AN80:$BK80,5)&gt;100," *",""))</f>
        <v/>
      </c>
      <c r="T80">
        <f>IF(6&gt;$N80,"",INDEX(Engine!$B$20:$B$43,MOD(SMALL($AN80:$BK80,6),100))&amp;IF(SMALL($AN80:$BK80,6)&gt;100," *",""))</f>
        <v/>
      </c>
      <c r="U80">
        <f>IF(7&gt;$N80,"",INDEX(Engine!$B$20:$B$43,MOD(SMALL($AN80:$BK80,7),100))&amp;IF(SMALL($AN80:$BK80,7)&gt;100," *",""))</f>
        <v/>
      </c>
      <c r="V80">
        <f>IF(8&gt;$N80,"",INDEX(Engine!$B$20:$B$43,MOD(SMALL($AN80:$BK80,8),100))&amp;IF(SMALL($AN80:$BK80,8)&gt;100," *",""))</f>
        <v/>
      </c>
      <c r="W80">
        <f>IF(9&gt;$N80,"",INDEX(Engine!$B$20:$B$43,MOD(SMALL($AN80:$BK80,9),100))&amp;IF(SMALL($AN80:$BK80,9)&gt;100," *",""))</f>
        <v/>
      </c>
      <c r="X80">
        <f>IF(10&gt;$N80,"",INDEX(Engine!$B$20:$B$43,MOD(SMALL($AN80:$BK80,10),100))&amp;IF(SMALL($AN80:$BK80,10)&gt;100," *",""))</f>
        <v/>
      </c>
      <c r="Y80">
        <f>IF(11&gt;$N80,"",INDEX(Engine!$B$20:$B$43,MOD(SMALL($AN80:$BK80,11),100))&amp;IF(SMALL($AN80:$BK80,11)&gt;100," *",""))</f>
        <v/>
      </c>
      <c r="Z80">
        <f>IF(12&gt;$N80,"",INDEX(Engine!$B$20:$B$43,MOD(SMALL($AN80:$BK80,12),100))&amp;IF(SMALL($AN80:$BK80,12)&gt;100," *",""))</f>
        <v/>
      </c>
      <c r="AA80">
        <f>IF(13&gt;$N80,"",INDEX(Engine!$B$20:$B$43,MOD(SMALL($AN80:$BK80,13),100))&amp;IF(SMALL($AN80:$BK80,13)&gt;100," *",""))</f>
        <v/>
      </c>
      <c r="AB80">
        <f>IF(14&gt;$N80,"",INDEX(Engine!$B$20:$B$43,MOD(SMALL($AN80:$BK80,14),100))&amp;IF(SMALL($AN80:$BK80,14)&gt;100," *",""))</f>
        <v/>
      </c>
      <c r="AC80">
        <f>IF(15&gt;$N80,"",INDEX(Engine!$B$20:$B$43,MOD(SMALL($AN80:$BK80,15),100))&amp;IF(SMALL($AN80:$BK80,15)&gt;100," *",""))</f>
        <v/>
      </c>
      <c r="AD80">
        <f>IF(16&gt;$N80,"",INDEX(Engine!$B$20:$B$43,MOD(SMALL($AN80:$BK80,16),100))&amp;IF(SMALL($AN80:$BK80,16)&gt;100," *",""))</f>
        <v/>
      </c>
      <c r="AE80">
        <f>IF(17&gt;$N80,"",INDEX(Engine!$B$20:$B$43,MOD(SMALL($AN80:$BK80,17),100))&amp;IF(SMALL($AN80:$BK80,17)&gt;100," *",""))</f>
        <v/>
      </c>
      <c r="AF80">
        <f>IF(18&gt;$N80,"",INDEX(Engine!$B$20:$B$43,MOD(SMALL($AN80:$BK80,18),100))&amp;IF(SMALL($AN80:$BK80,18)&gt;100," *",""))</f>
        <v/>
      </c>
      <c r="AG80">
        <f>IF(19&gt;$N80,"",INDEX(Engine!$B$20:$B$43,MOD(SMALL($AN80:$BK80,19),100))&amp;IF(SMALL($AN80:$BK80,19)&gt;100," *",""))</f>
        <v/>
      </c>
      <c r="AH80">
        <f>IF(20&gt;$N80,"",INDEX(Engine!$B$20:$B$43,MOD(SMALL($AN80:$BK80,20),100))&amp;IF(SMALL($AN80:$BK80,20)&gt;100," *",""))</f>
        <v/>
      </c>
      <c r="AI80">
        <f>IF(21&gt;$N80,"",INDEX(Engine!$B$20:$B$43,MOD(SMALL($AN80:$BK80,21),100))&amp;IF(SMALL($AN80:$BK80,21)&gt;100," *",""))</f>
        <v/>
      </c>
      <c r="AJ80">
        <f>IF(22&gt;$N80,"",INDEX(Engine!$B$20:$B$43,MOD(SMALL($AN80:$BK80,22),100))&amp;IF(SMALL($AN80:$BK80,22)&gt;100," *",""))</f>
        <v/>
      </c>
      <c r="AK80">
        <f>IF(23&gt;$N80,"",INDEX(Engine!$B$20:$B$43,MOD(SMALL($AN80:$BK80,23),100))&amp;IF(SMALL($AN80:$BK80,23)&gt;100," *",""))</f>
        <v/>
      </c>
      <c r="AL80">
        <f>IF(24&gt;$N80,"",INDEX(Engine!$B$20:$B$43,MOD(SMALL($AN80:$BK80,24),100))&amp;IF(SMALL($AN80:$BK80,24)&gt;100," *",""))</f>
        <v/>
      </c>
      <c r="AN80">
        <f>IF(AND($C20=1,INDEX(Setup!$O$6:$AL$23,13,1)&lt;&gt;"",K20=0),1+IF(INDEX(Setup!$O$6:$AL$23,13,1)="T",100,0),"")</f>
        <v/>
      </c>
      <c r="AO80">
        <f>IF(AND($C21=1,INDEX(Setup!$O$6:$AL$23,13,2)&lt;&gt;"",K21=0),2+IF(INDEX(Setup!$O$6:$AL$23,13,2)="T",100,0),"")</f>
        <v/>
      </c>
      <c r="AP80">
        <f>IF(AND($C22=1,INDEX(Setup!$O$6:$AL$23,13,3)&lt;&gt;"",K22=0),3+IF(INDEX(Setup!$O$6:$AL$23,13,3)="T",100,0),"")</f>
        <v/>
      </c>
      <c r="AQ80">
        <f>IF(AND($C23=1,INDEX(Setup!$O$6:$AL$23,13,4)&lt;&gt;"",K23=0),4+IF(INDEX(Setup!$O$6:$AL$23,13,4)="T",100,0),"")</f>
        <v/>
      </c>
      <c r="AR80">
        <f>IF(AND($C24=1,INDEX(Setup!$O$6:$AL$23,13,5)&lt;&gt;"",K24=0),5+IF(INDEX(Setup!$O$6:$AL$23,13,5)="T",100,0),"")</f>
        <v/>
      </c>
      <c r="AS80">
        <f>IF(AND($C25=1,INDEX(Setup!$O$6:$AL$23,13,6)&lt;&gt;"",K25=0),6+IF(INDEX(Setup!$O$6:$AL$23,13,6)="T",100,0),"")</f>
        <v/>
      </c>
      <c r="AT80">
        <f>IF(AND($C26=1,INDEX(Setup!$O$6:$AL$23,13,7)&lt;&gt;"",K26=0),7+IF(INDEX(Setup!$O$6:$AL$23,13,7)="T",100,0),"")</f>
        <v/>
      </c>
      <c r="AU80">
        <f>IF(AND($C27=1,INDEX(Setup!$O$6:$AL$23,13,8)&lt;&gt;"",K27=0),8+IF(INDEX(Setup!$O$6:$AL$23,13,8)="T",100,0),"")</f>
        <v/>
      </c>
      <c r="AV80">
        <f>IF(AND($C28=1,INDEX(Setup!$O$6:$AL$23,13,9)&lt;&gt;"",K28=0),9+IF(INDEX(Setup!$O$6:$AL$23,13,9)="T",100,0),"")</f>
        <v/>
      </c>
      <c r="AW80">
        <f>IF(AND($C29=1,INDEX(Setup!$O$6:$AL$23,13,10)&lt;&gt;"",K29=0),10+IF(INDEX(Setup!$O$6:$AL$23,13,10)="T",100,0),"")</f>
        <v/>
      </c>
      <c r="AX80">
        <f>IF(AND($C30=1,INDEX(Setup!$O$6:$AL$23,13,11)&lt;&gt;"",K30=0),11+IF(INDEX(Setup!$O$6:$AL$23,13,11)="T",100,0),"")</f>
        <v/>
      </c>
      <c r="AY80">
        <f>IF(AND($C31=1,INDEX(Setup!$O$6:$AL$23,13,12)&lt;&gt;"",K31=0),12+IF(INDEX(Setup!$O$6:$AL$23,13,12)="T",100,0),"")</f>
        <v/>
      </c>
      <c r="AZ80">
        <f>IF(AND($C32=1,INDEX(Setup!$O$6:$AL$23,13,13)&lt;&gt;"",K32=0),13+IF(INDEX(Setup!$O$6:$AL$23,13,13)="T",100,0),"")</f>
        <v/>
      </c>
      <c r="BA80">
        <f>IF(AND($C33=1,INDEX(Setup!$O$6:$AL$23,13,14)&lt;&gt;"",K33=0),14+IF(INDEX(Setup!$O$6:$AL$23,13,14)="T",100,0),"")</f>
        <v/>
      </c>
      <c r="BB80">
        <f>IF(AND($C34=1,INDEX(Setup!$O$6:$AL$23,13,15)&lt;&gt;"",K34=0),15+IF(INDEX(Setup!$O$6:$AL$23,13,15)="T",100,0),"")</f>
        <v/>
      </c>
      <c r="BC80">
        <f>IF(AND($C35=1,INDEX(Setup!$O$6:$AL$23,13,16)&lt;&gt;"",K35=0),16+IF(INDEX(Setup!$O$6:$AL$23,13,16)="T",100,0),"")</f>
        <v/>
      </c>
      <c r="BD80">
        <f>IF(AND($C36=1,INDEX(Setup!$O$6:$AL$23,13,17)&lt;&gt;"",K36=0),17+IF(INDEX(Setup!$O$6:$AL$23,13,17)="T",100,0),"")</f>
        <v/>
      </c>
      <c r="BE80">
        <f>IF(AND($C37=1,INDEX(Setup!$O$6:$AL$23,13,18)&lt;&gt;"",K37=0),18+IF(INDEX(Setup!$O$6:$AL$23,13,18)="T",100,0),"")</f>
        <v/>
      </c>
      <c r="BF80">
        <f>IF(AND($C38=1,INDEX(Setup!$O$6:$AL$23,13,19)&lt;&gt;"",K38=0),19+IF(INDEX(Setup!$O$6:$AL$23,13,19)="T",100,0),"")</f>
        <v/>
      </c>
      <c r="BG80">
        <f>IF(AND($C39=1,INDEX(Setup!$O$6:$AL$23,13,20)&lt;&gt;"",K39=0),20+IF(INDEX(Setup!$O$6:$AL$23,13,20)="T",100,0),"")</f>
        <v/>
      </c>
      <c r="BH80">
        <f>IF(AND($C40=1,INDEX(Setup!$O$6:$AL$23,13,21)&lt;&gt;"",K40=0),21+IF(INDEX(Setup!$O$6:$AL$23,13,21)="T",100,0),"")</f>
        <v/>
      </c>
      <c r="BI80">
        <f>IF(AND($C41=1,INDEX(Setup!$O$6:$AL$23,13,22)&lt;&gt;"",K41=0),22+IF(INDEX(Setup!$O$6:$AL$23,13,22)="T",100,0),"")</f>
        <v/>
      </c>
      <c r="BJ80">
        <f>IF(AND($C42=1,INDEX(Setup!$O$6:$AL$23,13,23)&lt;&gt;"",K42=0),23+IF(INDEX(Setup!$O$6:$AL$23,13,23)="T",100,0),"")</f>
        <v/>
      </c>
      <c r="BK80">
        <f>IF(AND($C43=1,INDEX(Setup!$O$6:$AL$23,13,24)&lt;&gt;"",K43=0),24+IF(INDEX(Setup!$O$6:$AL$23,13,24)="T",100,0),"")</f>
        <v/>
      </c>
      <c r="BM80">
        <f>IF(AND(AN80&lt;&gt;"",COUNTIF($C$59:$E$59,$B20)+COUNTIF($C$59:$E$59,$B20&amp;" ~*")=0),($R20+COUNTIF($H$68:$H79,$B20)+COUNTIF($H$68:$H79,$B20&amp;" ~*"))*1000+IF(AN80&gt;100,500,0)+1,"")</f>
        <v/>
      </c>
      <c r="BN80">
        <f>IF(AND(AO80&lt;&gt;"",COUNTIF($C$59:$E$59,$B21)+COUNTIF($C$59:$E$59,$B21&amp;" ~*")=0),($R21+COUNTIF($H$68:$H79,$B21)+COUNTIF($H$68:$H79,$B21&amp;" ~*"))*1000+IF(AO80&gt;100,500,0)+2,"")</f>
        <v/>
      </c>
      <c r="BO80">
        <f>IF(AND(AP80&lt;&gt;"",COUNTIF($C$59:$E$59,$B22)+COUNTIF($C$59:$E$59,$B22&amp;" ~*")=0),($R22+COUNTIF($H$68:$H79,$B22)+COUNTIF($H$68:$H79,$B22&amp;" ~*"))*1000+IF(AP80&gt;100,500,0)+3,"")</f>
        <v/>
      </c>
      <c r="BP80">
        <f>IF(AND(AQ80&lt;&gt;"",COUNTIF($C$59:$E$59,$B23)+COUNTIF($C$59:$E$59,$B23&amp;" ~*")=0),($R23+COUNTIF($H$68:$H79,$B23)+COUNTIF($H$68:$H79,$B23&amp;" ~*"))*1000+IF(AQ80&gt;100,500,0)+4,"")</f>
        <v/>
      </c>
      <c r="BQ80">
        <f>IF(AND(AR80&lt;&gt;"",COUNTIF($C$59:$E$59,$B24)+COUNTIF($C$59:$E$59,$B24&amp;" ~*")=0),($R24+COUNTIF($H$68:$H79,$B24)+COUNTIF($H$68:$H79,$B24&amp;" ~*"))*1000+IF(AR80&gt;100,500,0)+5,"")</f>
        <v/>
      </c>
      <c r="BR80">
        <f>IF(AND(AS80&lt;&gt;"",COUNTIF($C$59:$E$59,$B25)+COUNTIF($C$59:$E$59,$B25&amp;" ~*")=0),($R25+COUNTIF($H$68:$H79,$B25)+COUNTIF($H$68:$H79,$B25&amp;" ~*"))*1000+IF(AS80&gt;100,500,0)+6,"")</f>
        <v/>
      </c>
      <c r="BS80">
        <f>IF(AND(AT80&lt;&gt;"",COUNTIF($C$59:$E$59,$B26)+COUNTIF($C$59:$E$59,$B26&amp;" ~*")=0),($R26+COUNTIF($H$68:$H79,$B26)+COUNTIF($H$68:$H79,$B26&amp;" ~*"))*1000+IF(AT80&gt;100,500,0)+7,"")</f>
        <v/>
      </c>
      <c r="BT80">
        <f>IF(AND(AU80&lt;&gt;"",COUNTIF($C$59:$E$59,$B27)+COUNTIF($C$59:$E$59,$B27&amp;" ~*")=0),($R27+COUNTIF($H$68:$H79,$B27)+COUNTIF($H$68:$H79,$B27&amp;" ~*"))*1000+IF(AU80&gt;100,500,0)+8,"")</f>
        <v/>
      </c>
      <c r="BU80">
        <f>IF(AND(AV80&lt;&gt;"",COUNTIF($C$59:$E$59,$B28)+COUNTIF($C$59:$E$59,$B28&amp;" ~*")=0),($R28+COUNTIF($H$68:$H79,$B28)+COUNTIF($H$68:$H79,$B28&amp;" ~*"))*1000+IF(AV80&gt;100,500,0)+9,"")</f>
        <v/>
      </c>
      <c r="BV80">
        <f>IF(AND(AW80&lt;&gt;"",COUNTIF($C$59:$E$59,$B29)+COUNTIF($C$59:$E$59,$B29&amp;" ~*")=0),($R29+COUNTIF($H$68:$H79,$B29)+COUNTIF($H$68:$H79,$B29&amp;" ~*"))*1000+IF(AW80&gt;100,500,0)+10,"")</f>
        <v/>
      </c>
      <c r="BW80">
        <f>IF(AND(AX80&lt;&gt;"",COUNTIF($C$59:$E$59,$B30)+COUNTIF($C$59:$E$59,$B30&amp;" ~*")=0),($R30+COUNTIF($H$68:$H79,$B30)+COUNTIF($H$68:$H79,$B30&amp;" ~*"))*1000+IF(AX80&gt;100,500,0)+11,"")</f>
        <v/>
      </c>
      <c r="BX80">
        <f>IF(AND(AY80&lt;&gt;"",COUNTIF($C$59:$E$59,$B31)+COUNTIF($C$59:$E$59,$B31&amp;" ~*")=0),($R31+COUNTIF($H$68:$H79,$B31)+COUNTIF($H$68:$H79,$B31&amp;" ~*"))*1000+IF(AY80&gt;100,500,0)+12,"")</f>
        <v/>
      </c>
      <c r="BY80">
        <f>IF(AND(AZ80&lt;&gt;"",COUNTIF($C$59:$E$59,$B32)+COUNTIF($C$59:$E$59,$B32&amp;" ~*")=0),($R32+COUNTIF($H$68:$H79,$B32)+COUNTIF($H$68:$H79,$B32&amp;" ~*"))*1000+IF(AZ80&gt;100,500,0)+13,"")</f>
        <v/>
      </c>
      <c r="BZ80">
        <f>IF(AND(BA80&lt;&gt;"",COUNTIF($C$59:$E$59,$B33)+COUNTIF($C$59:$E$59,$B33&amp;" ~*")=0),($R33+COUNTIF($H$68:$H79,$B33)+COUNTIF($H$68:$H79,$B33&amp;" ~*"))*1000+IF(BA80&gt;100,500,0)+14,"")</f>
        <v/>
      </c>
      <c r="CA80">
        <f>IF(AND(BB80&lt;&gt;"",COUNTIF($C$59:$E$59,$B34)+COUNTIF($C$59:$E$59,$B34&amp;" ~*")=0),($R34+COUNTIF($H$68:$H79,$B34)+COUNTIF($H$68:$H79,$B34&amp;" ~*"))*1000+IF(BB80&gt;100,500,0)+15,"")</f>
        <v/>
      </c>
      <c r="CB80">
        <f>IF(AND(BC80&lt;&gt;"",COUNTIF($C$59:$E$59,$B35)+COUNTIF($C$59:$E$59,$B35&amp;" ~*")=0),($R35+COUNTIF($H$68:$H79,$B35)+COUNTIF($H$68:$H79,$B35&amp;" ~*"))*1000+IF(BC80&gt;100,500,0)+16,"")</f>
        <v/>
      </c>
      <c r="CC80">
        <f>IF(AND(BD80&lt;&gt;"",COUNTIF($C$59:$E$59,$B36)+COUNTIF($C$59:$E$59,$B36&amp;" ~*")=0),($R36+COUNTIF($H$68:$H79,$B36)+COUNTIF($H$68:$H79,$B36&amp;" ~*"))*1000+IF(BD80&gt;100,500,0)+17,"")</f>
        <v/>
      </c>
      <c r="CD80">
        <f>IF(AND(BE80&lt;&gt;"",COUNTIF($C$59:$E$59,$B37)+COUNTIF($C$59:$E$59,$B37&amp;" ~*")=0),($R37+COUNTIF($H$68:$H79,$B37)+COUNTIF($H$68:$H79,$B37&amp;" ~*"))*1000+IF(BE80&gt;100,500,0)+18,"")</f>
        <v/>
      </c>
      <c r="CE80">
        <f>IF(AND(BF80&lt;&gt;"",COUNTIF($C$59:$E$59,$B38)+COUNTIF($C$59:$E$59,$B38&amp;" ~*")=0),($R38+COUNTIF($H$68:$H79,$B38)+COUNTIF($H$68:$H79,$B38&amp;" ~*"))*1000+IF(BF80&gt;100,500,0)+19,"")</f>
        <v/>
      </c>
      <c r="CF80">
        <f>IF(AND(BG80&lt;&gt;"",COUNTIF($C$59:$E$59,$B39)+COUNTIF($C$59:$E$59,$B39&amp;" ~*")=0),($R39+COUNTIF($H$68:$H79,$B39)+COUNTIF($H$68:$H79,$B39&amp;" ~*"))*1000+IF(BG80&gt;100,500,0)+20,"")</f>
        <v/>
      </c>
      <c r="CG80">
        <f>IF(AND(BH80&lt;&gt;"",COUNTIF($C$59:$E$59,$B40)+COUNTIF($C$59:$E$59,$B40&amp;" ~*")=0),($R40+COUNTIF($H$68:$H79,$B40)+COUNTIF($H$68:$H79,$B40&amp;" ~*"))*1000+IF(BH80&gt;100,500,0)+21,"")</f>
        <v/>
      </c>
      <c r="CH80">
        <f>IF(AND(BI80&lt;&gt;"",COUNTIF($C$59:$E$59,$B41)+COUNTIF($C$59:$E$59,$B41&amp;" ~*")=0),($R41+COUNTIF($H$68:$H79,$B41)+COUNTIF($H$68:$H79,$B41&amp;" ~*"))*1000+IF(BI80&gt;100,500,0)+22,"")</f>
        <v/>
      </c>
      <c r="CI80">
        <f>IF(AND(BJ80&lt;&gt;"",COUNTIF($C$59:$E$59,$B42)+COUNTIF($C$59:$E$59,$B42&amp;" ~*")=0),($R42+COUNTIF($H$68:$H79,$B42)+COUNTIF($H$68:$H79,$B42&amp;" ~*"))*1000+IF(BJ80&gt;100,500,0)+23,"")</f>
        <v/>
      </c>
      <c r="CJ80">
        <f>IF(AND(BK80&lt;&gt;"",COUNTIF($C$59:$E$59,$B43)+COUNTIF($C$59:$E$59,$B43&amp;" ~*")=0),($R43+COUNTIF($H$68:$H79,$B43)+COUNTIF($H$68:$H79,$B43&amp;" ~*"))*1000+IF(BK80&gt;100,500,0)+24,"")</f>
        <v/>
      </c>
    </row>
    <row r="81">
      <c r="A81" t="n">
        <v>1</v>
      </c>
      <c r="B81" t="n">
        <v>14</v>
      </c>
      <c r="C81">
        <f>$B$60</f>
        <v/>
      </c>
      <c r="D81" t="inlineStr">
        <is>
          <t>Mon</t>
        </is>
      </c>
      <c r="E81">
        <f>IF(C81="","",N($AB$60))</f>
        <v/>
      </c>
      <c r="F81">
        <f>IF(C81="","",COUNTIF($C$60:$E$60,"?*"))</f>
        <v/>
      </c>
      <c r="G81">
        <f>IF(C81="","",MAX(0,E81-F81))</f>
        <v/>
      </c>
      <c r="H81">
        <f>IF(N(G81)=0,"",IF(COUNT(BM81:CJ81)=0,"no-one eligible",INDEX(Engine!$B$20:$B$43,MOD(MIN(BM81:CJ81),500))&amp;IF(MOD(MIN(BM81:CJ81),1000)&gt;=500," *","")))</f>
        <v/>
      </c>
      <c r="I81">
        <f>IF(N(G81)&gt;0,COUNTIF($G$68:G81,"&gt;0"),"")</f>
        <v/>
      </c>
      <c r="J81">
        <f>IF(C81="","",IF($C$60="",0,IF(IFERROR(INDEX(Setup!$O$6:$AL$23,14,MATCH(SUBSTITUTE($C$60," *",""),Setup!$B$6:$B$29,0)),"")="",1,0))+IF($D$60="",0,IF(IFERROR(INDEX(Setup!$O$6:$AL$23,14,MATCH(SUBSTITUTE($D$60," *",""),Setup!$B$6:$B$29,0)),"")="",1,0))+IF($E$60="",0,IF(IFERROR(INDEX(Setup!$O$6:$AL$23,14,MATCH(SUBSTITUTE($E$60," *",""),Setup!$B$6:$B$29,0)),"")="",1,0)))</f>
        <v/>
      </c>
      <c r="K81">
        <f>IF($B$12+0=TODAY(),1,0)</f>
        <v/>
      </c>
      <c r="N81">
        <f>COUNT($AN81:$BK81)</f>
        <v/>
      </c>
      <c r="O81">
        <f>IF(1&gt;$N81,"",INDEX(Engine!$B$20:$B$43,MOD(SMALL($AN81:$BK81,1),100))&amp;IF(SMALL($AN81:$BK81,1)&gt;100," *",""))</f>
        <v/>
      </c>
      <c r="P81">
        <f>IF(2&gt;$N81,"",INDEX(Engine!$B$20:$B$43,MOD(SMALL($AN81:$BK81,2),100))&amp;IF(SMALL($AN81:$BK81,2)&gt;100," *",""))</f>
        <v/>
      </c>
      <c r="Q81">
        <f>IF(3&gt;$N81,"",INDEX(Engine!$B$20:$B$43,MOD(SMALL($AN81:$BK81,3),100))&amp;IF(SMALL($AN81:$BK81,3)&gt;100," *",""))</f>
        <v/>
      </c>
      <c r="R81">
        <f>IF(4&gt;$N81,"",INDEX(Engine!$B$20:$B$43,MOD(SMALL($AN81:$BK81,4),100))&amp;IF(SMALL($AN81:$BK81,4)&gt;100," *",""))</f>
        <v/>
      </c>
      <c r="S81">
        <f>IF(5&gt;$N81,"",INDEX(Engine!$B$20:$B$43,MOD(SMALL($AN81:$BK81,5),100))&amp;IF(SMALL($AN81:$BK81,5)&gt;100," *",""))</f>
        <v/>
      </c>
      <c r="T81">
        <f>IF(6&gt;$N81,"",INDEX(Engine!$B$20:$B$43,MOD(SMALL($AN81:$BK81,6),100))&amp;IF(SMALL($AN81:$BK81,6)&gt;100," *",""))</f>
        <v/>
      </c>
      <c r="U81">
        <f>IF(7&gt;$N81,"",INDEX(Engine!$B$20:$B$43,MOD(SMALL($AN81:$BK81,7),100))&amp;IF(SMALL($AN81:$BK81,7)&gt;100," *",""))</f>
        <v/>
      </c>
      <c r="V81">
        <f>IF(8&gt;$N81,"",INDEX(Engine!$B$20:$B$43,MOD(SMALL($AN81:$BK81,8),100))&amp;IF(SMALL($AN81:$BK81,8)&gt;100," *",""))</f>
        <v/>
      </c>
      <c r="W81">
        <f>IF(9&gt;$N81,"",INDEX(Engine!$B$20:$B$43,MOD(SMALL($AN81:$BK81,9),100))&amp;IF(SMALL($AN81:$BK81,9)&gt;100," *",""))</f>
        <v/>
      </c>
      <c r="X81">
        <f>IF(10&gt;$N81,"",INDEX(Engine!$B$20:$B$43,MOD(SMALL($AN81:$BK81,10),100))&amp;IF(SMALL($AN81:$BK81,10)&gt;100," *",""))</f>
        <v/>
      </c>
      <c r="Y81">
        <f>IF(11&gt;$N81,"",INDEX(Engine!$B$20:$B$43,MOD(SMALL($AN81:$BK81,11),100))&amp;IF(SMALL($AN81:$BK81,11)&gt;100," *",""))</f>
        <v/>
      </c>
      <c r="Z81">
        <f>IF(12&gt;$N81,"",INDEX(Engine!$B$20:$B$43,MOD(SMALL($AN81:$BK81,12),100))&amp;IF(SMALL($AN81:$BK81,12)&gt;100," *",""))</f>
        <v/>
      </c>
      <c r="AA81">
        <f>IF(13&gt;$N81,"",INDEX(Engine!$B$20:$B$43,MOD(SMALL($AN81:$BK81,13),100))&amp;IF(SMALL($AN81:$BK81,13)&gt;100," *",""))</f>
        <v/>
      </c>
      <c r="AB81">
        <f>IF(14&gt;$N81,"",INDEX(Engine!$B$20:$B$43,MOD(SMALL($AN81:$BK81,14),100))&amp;IF(SMALL($AN81:$BK81,14)&gt;100," *",""))</f>
        <v/>
      </c>
      <c r="AC81">
        <f>IF(15&gt;$N81,"",INDEX(Engine!$B$20:$B$43,MOD(SMALL($AN81:$BK81,15),100))&amp;IF(SMALL($AN81:$BK81,15)&gt;100," *",""))</f>
        <v/>
      </c>
      <c r="AD81">
        <f>IF(16&gt;$N81,"",INDEX(Engine!$B$20:$B$43,MOD(SMALL($AN81:$BK81,16),100))&amp;IF(SMALL($AN81:$BK81,16)&gt;100," *",""))</f>
        <v/>
      </c>
      <c r="AE81">
        <f>IF(17&gt;$N81,"",INDEX(Engine!$B$20:$B$43,MOD(SMALL($AN81:$BK81,17),100))&amp;IF(SMALL($AN81:$BK81,17)&gt;100," *",""))</f>
        <v/>
      </c>
      <c r="AF81">
        <f>IF(18&gt;$N81,"",INDEX(Engine!$B$20:$B$43,MOD(SMALL($AN81:$BK81,18),100))&amp;IF(SMALL($AN81:$BK81,18)&gt;100," *",""))</f>
        <v/>
      </c>
      <c r="AG81">
        <f>IF(19&gt;$N81,"",INDEX(Engine!$B$20:$B$43,MOD(SMALL($AN81:$BK81,19),100))&amp;IF(SMALL($AN81:$BK81,19)&gt;100," *",""))</f>
        <v/>
      </c>
      <c r="AH81">
        <f>IF(20&gt;$N81,"",INDEX(Engine!$B$20:$B$43,MOD(SMALL($AN81:$BK81,20),100))&amp;IF(SMALL($AN81:$BK81,20)&gt;100," *",""))</f>
        <v/>
      </c>
      <c r="AI81">
        <f>IF(21&gt;$N81,"",INDEX(Engine!$B$20:$B$43,MOD(SMALL($AN81:$BK81,21),100))&amp;IF(SMALL($AN81:$BK81,21)&gt;100," *",""))</f>
        <v/>
      </c>
      <c r="AJ81">
        <f>IF(22&gt;$N81,"",INDEX(Engine!$B$20:$B$43,MOD(SMALL($AN81:$BK81,22),100))&amp;IF(SMALL($AN81:$BK81,22)&gt;100," *",""))</f>
        <v/>
      </c>
      <c r="AK81">
        <f>IF(23&gt;$N81,"",INDEX(Engine!$B$20:$B$43,MOD(SMALL($AN81:$BK81,23),100))&amp;IF(SMALL($AN81:$BK81,23)&gt;100," *",""))</f>
        <v/>
      </c>
      <c r="AL81">
        <f>IF(24&gt;$N81,"",INDEX(Engine!$B$20:$B$43,MOD(SMALL($AN81:$BK81,24),100))&amp;IF(SMALL($AN81:$BK81,24)&gt;100," *",""))</f>
        <v/>
      </c>
      <c r="AN81">
        <f>IF(AND($C20=1,INDEX(Setup!$O$6:$AL$23,14,1)&lt;&gt;"",K20=0),1+IF(INDEX(Setup!$O$6:$AL$23,14,1)="T",100,0),"")</f>
        <v/>
      </c>
      <c r="AO81">
        <f>IF(AND($C21=1,INDEX(Setup!$O$6:$AL$23,14,2)&lt;&gt;"",K21=0),2+IF(INDEX(Setup!$O$6:$AL$23,14,2)="T",100,0),"")</f>
        <v/>
      </c>
      <c r="AP81">
        <f>IF(AND($C22=1,INDEX(Setup!$O$6:$AL$23,14,3)&lt;&gt;"",K22=0),3+IF(INDEX(Setup!$O$6:$AL$23,14,3)="T",100,0),"")</f>
        <v/>
      </c>
      <c r="AQ81">
        <f>IF(AND($C23=1,INDEX(Setup!$O$6:$AL$23,14,4)&lt;&gt;"",K23=0),4+IF(INDEX(Setup!$O$6:$AL$23,14,4)="T",100,0),"")</f>
        <v/>
      </c>
      <c r="AR81">
        <f>IF(AND($C24=1,INDEX(Setup!$O$6:$AL$23,14,5)&lt;&gt;"",K24=0),5+IF(INDEX(Setup!$O$6:$AL$23,14,5)="T",100,0),"")</f>
        <v/>
      </c>
      <c r="AS81">
        <f>IF(AND($C25=1,INDEX(Setup!$O$6:$AL$23,14,6)&lt;&gt;"",K25=0),6+IF(INDEX(Setup!$O$6:$AL$23,14,6)="T",100,0),"")</f>
        <v/>
      </c>
      <c r="AT81">
        <f>IF(AND($C26=1,INDEX(Setup!$O$6:$AL$23,14,7)&lt;&gt;"",K26=0),7+IF(INDEX(Setup!$O$6:$AL$23,14,7)="T",100,0),"")</f>
        <v/>
      </c>
      <c r="AU81">
        <f>IF(AND($C27=1,INDEX(Setup!$O$6:$AL$23,14,8)&lt;&gt;"",K27=0),8+IF(INDEX(Setup!$O$6:$AL$23,14,8)="T",100,0),"")</f>
        <v/>
      </c>
      <c r="AV81">
        <f>IF(AND($C28=1,INDEX(Setup!$O$6:$AL$23,14,9)&lt;&gt;"",K28=0),9+IF(INDEX(Setup!$O$6:$AL$23,14,9)="T",100,0),"")</f>
        <v/>
      </c>
      <c r="AW81">
        <f>IF(AND($C29=1,INDEX(Setup!$O$6:$AL$23,14,10)&lt;&gt;"",K29=0),10+IF(INDEX(Setup!$O$6:$AL$23,14,10)="T",100,0),"")</f>
        <v/>
      </c>
      <c r="AX81">
        <f>IF(AND($C30=1,INDEX(Setup!$O$6:$AL$23,14,11)&lt;&gt;"",K30=0),11+IF(INDEX(Setup!$O$6:$AL$23,14,11)="T",100,0),"")</f>
        <v/>
      </c>
      <c r="AY81">
        <f>IF(AND($C31=1,INDEX(Setup!$O$6:$AL$23,14,12)&lt;&gt;"",K31=0),12+IF(INDEX(Setup!$O$6:$AL$23,14,12)="T",100,0),"")</f>
        <v/>
      </c>
      <c r="AZ81">
        <f>IF(AND($C32=1,INDEX(Setup!$O$6:$AL$23,14,13)&lt;&gt;"",K32=0),13+IF(INDEX(Setup!$O$6:$AL$23,14,13)="T",100,0),"")</f>
        <v/>
      </c>
      <c r="BA81">
        <f>IF(AND($C33=1,INDEX(Setup!$O$6:$AL$23,14,14)&lt;&gt;"",K33=0),14+IF(INDEX(Setup!$O$6:$AL$23,14,14)="T",100,0),"")</f>
        <v/>
      </c>
      <c r="BB81">
        <f>IF(AND($C34=1,INDEX(Setup!$O$6:$AL$23,14,15)&lt;&gt;"",K34=0),15+IF(INDEX(Setup!$O$6:$AL$23,14,15)="T",100,0),"")</f>
        <v/>
      </c>
      <c r="BC81">
        <f>IF(AND($C35=1,INDEX(Setup!$O$6:$AL$23,14,16)&lt;&gt;"",K35=0),16+IF(INDEX(Setup!$O$6:$AL$23,14,16)="T",100,0),"")</f>
        <v/>
      </c>
      <c r="BD81">
        <f>IF(AND($C36=1,INDEX(Setup!$O$6:$AL$23,14,17)&lt;&gt;"",K36=0),17+IF(INDEX(Setup!$O$6:$AL$23,14,17)="T",100,0),"")</f>
        <v/>
      </c>
      <c r="BE81">
        <f>IF(AND($C37=1,INDEX(Setup!$O$6:$AL$23,14,18)&lt;&gt;"",K37=0),18+IF(INDEX(Setup!$O$6:$AL$23,14,18)="T",100,0),"")</f>
        <v/>
      </c>
      <c r="BF81">
        <f>IF(AND($C38=1,INDEX(Setup!$O$6:$AL$23,14,19)&lt;&gt;"",K38=0),19+IF(INDEX(Setup!$O$6:$AL$23,14,19)="T",100,0),"")</f>
        <v/>
      </c>
      <c r="BG81">
        <f>IF(AND($C39=1,INDEX(Setup!$O$6:$AL$23,14,20)&lt;&gt;"",K39=0),20+IF(INDEX(Setup!$O$6:$AL$23,14,20)="T",100,0),"")</f>
        <v/>
      </c>
      <c r="BH81">
        <f>IF(AND($C40=1,INDEX(Setup!$O$6:$AL$23,14,21)&lt;&gt;"",K40=0),21+IF(INDEX(Setup!$O$6:$AL$23,14,21)="T",100,0),"")</f>
        <v/>
      </c>
      <c r="BI81">
        <f>IF(AND($C41=1,INDEX(Setup!$O$6:$AL$23,14,22)&lt;&gt;"",K41=0),22+IF(INDEX(Setup!$O$6:$AL$23,14,22)="T",100,0),"")</f>
        <v/>
      </c>
      <c r="BJ81">
        <f>IF(AND($C42=1,INDEX(Setup!$O$6:$AL$23,14,23)&lt;&gt;"",K42=0),23+IF(INDEX(Setup!$O$6:$AL$23,14,23)="T",100,0),"")</f>
        <v/>
      </c>
      <c r="BK81">
        <f>IF(AND($C43=1,INDEX(Setup!$O$6:$AL$23,14,24)&lt;&gt;"",K43=0),24+IF(INDEX(Setup!$O$6:$AL$23,14,24)="T",100,0),"")</f>
        <v/>
      </c>
      <c r="BM81">
        <f>IF(AND(AN81&lt;&gt;"",COUNTIF($C$60:$E$60,$B20)+COUNTIF($C$60:$E$60,$B20&amp;" ~*")=0),($R20+COUNTIF($H$68:$H80,$B20)+COUNTIF($H$68:$H80,$B20&amp;" ~*"))*1000+IF(AN81&gt;100,500,0)+1,"")</f>
        <v/>
      </c>
      <c r="BN81">
        <f>IF(AND(AO81&lt;&gt;"",COUNTIF($C$60:$E$60,$B21)+COUNTIF($C$60:$E$60,$B21&amp;" ~*")=0),($R21+COUNTIF($H$68:$H80,$B21)+COUNTIF($H$68:$H80,$B21&amp;" ~*"))*1000+IF(AO81&gt;100,500,0)+2,"")</f>
        <v/>
      </c>
      <c r="BO81">
        <f>IF(AND(AP81&lt;&gt;"",COUNTIF($C$60:$E$60,$B22)+COUNTIF($C$60:$E$60,$B22&amp;" ~*")=0),($R22+COUNTIF($H$68:$H80,$B22)+COUNTIF($H$68:$H80,$B22&amp;" ~*"))*1000+IF(AP81&gt;100,500,0)+3,"")</f>
        <v/>
      </c>
      <c r="BP81">
        <f>IF(AND(AQ81&lt;&gt;"",COUNTIF($C$60:$E$60,$B23)+COUNTIF($C$60:$E$60,$B23&amp;" ~*")=0),($R23+COUNTIF($H$68:$H80,$B23)+COUNTIF($H$68:$H80,$B23&amp;" ~*"))*1000+IF(AQ81&gt;100,500,0)+4,"")</f>
        <v/>
      </c>
      <c r="BQ81">
        <f>IF(AND(AR81&lt;&gt;"",COUNTIF($C$60:$E$60,$B24)+COUNTIF($C$60:$E$60,$B24&amp;" ~*")=0),($R24+COUNTIF($H$68:$H80,$B24)+COUNTIF($H$68:$H80,$B24&amp;" ~*"))*1000+IF(AR81&gt;100,500,0)+5,"")</f>
        <v/>
      </c>
      <c r="BR81">
        <f>IF(AND(AS81&lt;&gt;"",COUNTIF($C$60:$E$60,$B25)+COUNTIF($C$60:$E$60,$B25&amp;" ~*")=0),($R25+COUNTIF($H$68:$H80,$B25)+COUNTIF($H$68:$H80,$B25&amp;" ~*"))*1000+IF(AS81&gt;100,500,0)+6,"")</f>
        <v/>
      </c>
      <c r="BS81">
        <f>IF(AND(AT81&lt;&gt;"",COUNTIF($C$60:$E$60,$B26)+COUNTIF($C$60:$E$60,$B26&amp;" ~*")=0),($R26+COUNTIF($H$68:$H80,$B26)+COUNTIF($H$68:$H80,$B26&amp;" ~*"))*1000+IF(AT81&gt;100,500,0)+7,"")</f>
        <v/>
      </c>
      <c r="BT81">
        <f>IF(AND(AU81&lt;&gt;"",COUNTIF($C$60:$E$60,$B27)+COUNTIF($C$60:$E$60,$B27&amp;" ~*")=0),($R27+COUNTIF($H$68:$H80,$B27)+COUNTIF($H$68:$H80,$B27&amp;" ~*"))*1000+IF(AU81&gt;100,500,0)+8,"")</f>
        <v/>
      </c>
      <c r="BU81">
        <f>IF(AND(AV81&lt;&gt;"",COUNTIF($C$60:$E$60,$B28)+COUNTIF($C$60:$E$60,$B28&amp;" ~*")=0),($R28+COUNTIF($H$68:$H80,$B28)+COUNTIF($H$68:$H80,$B28&amp;" ~*"))*1000+IF(AV81&gt;100,500,0)+9,"")</f>
        <v/>
      </c>
      <c r="BV81">
        <f>IF(AND(AW81&lt;&gt;"",COUNTIF($C$60:$E$60,$B29)+COUNTIF($C$60:$E$60,$B29&amp;" ~*")=0),($R29+COUNTIF($H$68:$H80,$B29)+COUNTIF($H$68:$H80,$B29&amp;" ~*"))*1000+IF(AW81&gt;100,500,0)+10,"")</f>
        <v/>
      </c>
      <c r="BW81">
        <f>IF(AND(AX81&lt;&gt;"",COUNTIF($C$60:$E$60,$B30)+COUNTIF($C$60:$E$60,$B30&amp;" ~*")=0),($R30+COUNTIF($H$68:$H80,$B30)+COUNTIF($H$68:$H80,$B30&amp;" ~*"))*1000+IF(AX81&gt;100,500,0)+11,"")</f>
        <v/>
      </c>
      <c r="BX81">
        <f>IF(AND(AY81&lt;&gt;"",COUNTIF($C$60:$E$60,$B31)+COUNTIF($C$60:$E$60,$B31&amp;" ~*")=0),($R31+COUNTIF($H$68:$H80,$B31)+COUNTIF($H$68:$H80,$B31&amp;" ~*"))*1000+IF(AY81&gt;100,500,0)+12,"")</f>
        <v/>
      </c>
      <c r="BY81">
        <f>IF(AND(AZ81&lt;&gt;"",COUNTIF($C$60:$E$60,$B32)+COUNTIF($C$60:$E$60,$B32&amp;" ~*")=0),($R32+COUNTIF($H$68:$H80,$B32)+COUNTIF($H$68:$H80,$B32&amp;" ~*"))*1000+IF(AZ81&gt;100,500,0)+13,"")</f>
        <v/>
      </c>
      <c r="BZ81">
        <f>IF(AND(BA81&lt;&gt;"",COUNTIF($C$60:$E$60,$B33)+COUNTIF($C$60:$E$60,$B33&amp;" ~*")=0),($R33+COUNTIF($H$68:$H80,$B33)+COUNTIF($H$68:$H80,$B33&amp;" ~*"))*1000+IF(BA81&gt;100,500,0)+14,"")</f>
        <v/>
      </c>
      <c r="CA81">
        <f>IF(AND(BB81&lt;&gt;"",COUNTIF($C$60:$E$60,$B34)+COUNTIF($C$60:$E$60,$B34&amp;" ~*")=0),($R34+COUNTIF($H$68:$H80,$B34)+COUNTIF($H$68:$H80,$B34&amp;" ~*"))*1000+IF(BB81&gt;100,500,0)+15,"")</f>
        <v/>
      </c>
      <c r="CB81">
        <f>IF(AND(BC81&lt;&gt;"",COUNTIF($C$60:$E$60,$B35)+COUNTIF($C$60:$E$60,$B35&amp;" ~*")=0),($R35+COUNTIF($H$68:$H80,$B35)+COUNTIF($H$68:$H80,$B35&amp;" ~*"))*1000+IF(BC81&gt;100,500,0)+16,"")</f>
        <v/>
      </c>
      <c r="CC81">
        <f>IF(AND(BD81&lt;&gt;"",COUNTIF($C$60:$E$60,$B36)+COUNTIF($C$60:$E$60,$B36&amp;" ~*")=0),($R36+COUNTIF($H$68:$H80,$B36)+COUNTIF($H$68:$H80,$B36&amp;" ~*"))*1000+IF(BD81&gt;100,500,0)+17,"")</f>
        <v/>
      </c>
      <c r="CD81">
        <f>IF(AND(BE81&lt;&gt;"",COUNTIF($C$60:$E$60,$B37)+COUNTIF($C$60:$E$60,$B37&amp;" ~*")=0),($R37+COUNTIF($H$68:$H80,$B37)+COUNTIF($H$68:$H80,$B37&amp;" ~*"))*1000+IF(BE81&gt;100,500,0)+18,"")</f>
        <v/>
      </c>
      <c r="CE81">
        <f>IF(AND(BF81&lt;&gt;"",COUNTIF($C$60:$E$60,$B38)+COUNTIF($C$60:$E$60,$B38&amp;" ~*")=0),($R38+COUNTIF($H$68:$H80,$B38)+COUNTIF($H$68:$H80,$B38&amp;" ~*"))*1000+IF(BF81&gt;100,500,0)+19,"")</f>
        <v/>
      </c>
      <c r="CF81">
        <f>IF(AND(BG81&lt;&gt;"",COUNTIF($C$60:$E$60,$B39)+COUNTIF($C$60:$E$60,$B39&amp;" ~*")=0),($R39+COUNTIF($H$68:$H80,$B39)+COUNTIF($H$68:$H80,$B39&amp;" ~*"))*1000+IF(BG81&gt;100,500,0)+20,"")</f>
        <v/>
      </c>
      <c r="CG81">
        <f>IF(AND(BH81&lt;&gt;"",COUNTIF($C$60:$E$60,$B40)+COUNTIF($C$60:$E$60,$B40&amp;" ~*")=0),($R40+COUNTIF($H$68:$H80,$B40)+COUNTIF($H$68:$H80,$B40&amp;" ~*"))*1000+IF(BH81&gt;100,500,0)+21,"")</f>
        <v/>
      </c>
      <c r="CH81">
        <f>IF(AND(BI81&lt;&gt;"",COUNTIF($C$60:$E$60,$B41)+COUNTIF($C$60:$E$60,$B41&amp;" ~*")=0),($R41+COUNTIF($H$68:$H80,$B41)+COUNTIF($H$68:$H80,$B41&amp;" ~*"))*1000+IF(BI81&gt;100,500,0)+22,"")</f>
        <v/>
      </c>
      <c r="CI81">
        <f>IF(AND(BJ81&lt;&gt;"",COUNTIF($C$60:$E$60,$B42)+COUNTIF($C$60:$E$60,$B42&amp;" ~*")=0),($R42+COUNTIF($H$68:$H80,$B42)+COUNTIF($H$68:$H80,$B42&amp;" ~*"))*1000+IF(BJ81&gt;100,500,0)+23,"")</f>
        <v/>
      </c>
      <c r="CJ81">
        <f>IF(AND(BK81&lt;&gt;"",COUNTIF($C$60:$E$60,$B43)+COUNTIF($C$60:$E$60,$B43&amp;" ~*")=0),($R43+COUNTIF($H$68:$H80,$B43)+COUNTIF($H$68:$H80,$B43&amp;" ~*"))*1000+IF(BK81&gt;100,500,0)+24,"")</f>
        <v/>
      </c>
    </row>
    <row r="82">
      <c r="A82" t="n">
        <v>1</v>
      </c>
      <c r="B82" t="n">
        <v>15</v>
      </c>
      <c r="C82">
        <f>$B$61</f>
        <v/>
      </c>
      <c r="D82" t="inlineStr">
        <is>
          <t>Mon</t>
        </is>
      </c>
      <c r="E82">
        <f>IF(C82="","",N($AB$61))</f>
        <v/>
      </c>
      <c r="F82">
        <f>IF(C82="","",COUNTIF($C$61:$E$61,"?*"))</f>
        <v/>
      </c>
      <c r="G82">
        <f>IF(C82="","",MAX(0,E82-F82))</f>
        <v/>
      </c>
      <c r="H82">
        <f>IF(N(G82)=0,"",IF(COUNT(BM82:CJ82)=0,"no-one eligible",INDEX(Engine!$B$20:$B$43,MOD(MIN(BM82:CJ82),500))&amp;IF(MOD(MIN(BM82:CJ82),1000)&gt;=500," *","")))</f>
        <v/>
      </c>
      <c r="I82">
        <f>IF(N(G82)&gt;0,COUNTIF($G$68:G82,"&gt;0"),"")</f>
        <v/>
      </c>
      <c r="J82">
        <f>IF(C82="","",IF($C$61="",0,IF(IFERROR(INDEX(Setup!$O$6:$AL$23,15,MATCH(SUBSTITUTE($C$61," *",""),Setup!$B$6:$B$29,0)),"")="",1,0))+IF($D$61="",0,IF(IFERROR(INDEX(Setup!$O$6:$AL$23,15,MATCH(SUBSTITUTE($D$61," *",""),Setup!$B$6:$B$29,0)),"")="",1,0))+IF($E$61="",0,IF(IFERROR(INDEX(Setup!$O$6:$AL$23,15,MATCH(SUBSTITUTE($E$61," *",""),Setup!$B$6:$B$29,0)),"")="",1,0)))</f>
        <v/>
      </c>
      <c r="K82">
        <f>IF($B$12+0=TODAY(),1,0)</f>
        <v/>
      </c>
      <c r="N82">
        <f>COUNT($AN82:$BK82)</f>
        <v/>
      </c>
      <c r="O82">
        <f>IF(1&gt;$N82,"",INDEX(Engine!$B$20:$B$43,MOD(SMALL($AN82:$BK82,1),100))&amp;IF(SMALL($AN82:$BK82,1)&gt;100," *",""))</f>
        <v/>
      </c>
      <c r="P82">
        <f>IF(2&gt;$N82,"",INDEX(Engine!$B$20:$B$43,MOD(SMALL($AN82:$BK82,2),100))&amp;IF(SMALL($AN82:$BK82,2)&gt;100," *",""))</f>
        <v/>
      </c>
      <c r="Q82">
        <f>IF(3&gt;$N82,"",INDEX(Engine!$B$20:$B$43,MOD(SMALL($AN82:$BK82,3),100))&amp;IF(SMALL($AN82:$BK82,3)&gt;100," *",""))</f>
        <v/>
      </c>
      <c r="R82">
        <f>IF(4&gt;$N82,"",INDEX(Engine!$B$20:$B$43,MOD(SMALL($AN82:$BK82,4),100))&amp;IF(SMALL($AN82:$BK82,4)&gt;100," *",""))</f>
        <v/>
      </c>
      <c r="S82">
        <f>IF(5&gt;$N82,"",INDEX(Engine!$B$20:$B$43,MOD(SMALL($AN82:$BK82,5),100))&amp;IF(SMALL($AN82:$BK82,5)&gt;100," *",""))</f>
        <v/>
      </c>
      <c r="T82">
        <f>IF(6&gt;$N82,"",INDEX(Engine!$B$20:$B$43,MOD(SMALL($AN82:$BK82,6),100))&amp;IF(SMALL($AN82:$BK82,6)&gt;100," *",""))</f>
        <v/>
      </c>
      <c r="U82">
        <f>IF(7&gt;$N82,"",INDEX(Engine!$B$20:$B$43,MOD(SMALL($AN82:$BK82,7),100))&amp;IF(SMALL($AN82:$BK82,7)&gt;100," *",""))</f>
        <v/>
      </c>
      <c r="V82">
        <f>IF(8&gt;$N82,"",INDEX(Engine!$B$20:$B$43,MOD(SMALL($AN82:$BK82,8),100))&amp;IF(SMALL($AN82:$BK82,8)&gt;100," *",""))</f>
        <v/>
      </c>
      <c r="W82">
        <f>IF(9&gt;$N82,"",INDEX(Engine!$B$20:$B$43,MOD(SMALL($AN82:$BK82,9),100))&amp;IF(SMALL($AN82:$BK82,9)&gt;100," *",""))</f>
        <v/>
      </c>
      <c r="X82">
        <f>IF(10&gt;$N82,"",INDEX(Engine!$B$20:$B$43,MOD(SMALL($AN82:$BK82,10),100))&amp;IF(SMALL($AN82:$BK82,10)&gt;100," *",""))</f>
        <v/>
      </c>
      <c r="Y82">
        <f>IF(11&gt;$N82,"",INDEX(Engine!$B$20:$B$43,MOD(SMALL($AN82:$BK82,11),100))&amp;IF(SMALL($AN82:$BK82,11)&gt;100," *",""))</f>
        <v/>
      </c>
      <c r="Z82">
        <f>IF(12&gt;$N82,"",INDEX(Engine!$B$20:$B$43,MOD(SMALL($AN82:$BK82,12),100))&amp;IF(SMALL($AN82:$BK82,12)&gt;100," *",""))</f>
        <v/>
      </c>
      <c r="AA82">
        <f>IF(13&gt;$N82,"",INDEX(Engine!$B$20:$B$43,MOD(SMALL($AN82:$BK82,13),100))&amp;IF(SMALL($AN82:$BK82,13)&gt;100," *",""))</f>
        <v/>
      </c>
      <c r="AB82">
        <f>IF(14&gt;$N82,"",INDEX(Engine!$B$20:$B$43,MOD(SMALL($AN82:$BK82,14),100))&amp;IF(SMALL($AN82:$BK82,14)&gt;100," *",""))</f>
        <v/>
      </c>
      <c r="AC82">
        <f>IF(15&gt;$N82,"",INDEX(Engine!$B$20:$B$43,MOD(SMALL($AN82:$BK82,15),100))&amp;IF(SMALL($AN82:$BK82,15)&gt;100," *",""))</f>
        <v/>
      </c>
      <c r="AD82">
        <f>IF(16&gt;$N82,"",INDEX(Engine!$B$20:$B$43,MOD(SMALL($AN82:$BK82,16),100))&amp;IF(SMALL($AN82:$BK82,16)&gt;100," *",""))</f>
        <v/>
      </c>
      <c r="AE82">
        <f>IF(17&gt;$N82,"",INDEX(Engine!$B$20:$B$43,MOD(SMALL($AN82:$BK82,17),100))&amp;IF(SMALL($AN82:$BK82,17)&gt;100," *",""))</f>
        <v/>
      </c>
      <c r="AF82">
        <f>IF(18&gt;$N82,"",INDEX(Engine!$B$20:$B$43,MOD(SMALL($AN82:$BK82,18),100))&amp;IF(SMALL($AN82:$BK82,18)&gt;100," *",""))</f>
        <v/>
      </c>
      <c r="AG82">
        <f>IF(19&gt;$N82,"",INDEX(Engine!$B$20:$B$43,MOD(SMALL($AN82:$BK82,19),100))&amp;IF(SMALL($AN82:$BK82,19)&gt;100," *",""))</f>
        <v/>
      </c>
      <c r="AH82">
        <f>IF(20&gt;$N82,"",INDEX(Engine!$B$20:$B$43,MOD(SMALL($AN82:$BK82,20),100))&amp;IF(SMALL($AN82:$BK82,20)&gt;100," *",""))</f>
        <v/>
      </c>
      <c r="AI82">
        <f>IF(21&gt;$N82,"",INDEX(Engine!$B$20:$B$43,MOD(SMALL($AN82:$BK82,21),100))&amp;IF(SMALL($AN82:$BK82,21)&gt;100," *",""))</f>
        <v/>
      </c>
      <c r="AJ82">
        <f>IF(22&gt;$N82,"",INDEX(Engine!$B$20:$B$43,MOD(SMALL($AN82:$BK82,22),100))&amp;IF(SMALL($AN82:$BK82,22)&gt;100," *",""))</f>
        <v/>
      </c>
      <c r="AK82">
        <f>IF(23&gt;$N82,"",INDEX(Engine!$B$20:$B$43,MOD(SMALL($AN82:$BK82,23),100))&amp;IF(SMALL($AN82:$BK82,23)&gt;100," *",""))</f>
        <v/>
      </c>
      <c r="AL82">
        <f>IF(24&gt;$N82,"",INDEX(Engine!$B$20:$B$43,MOD(SMALL($AN82:$BK82,24),100))&amp;IF(SMALL($AN82:$BK82,24)&gt;100," *",""))</f>
        <v/>
      </c>
      <c r="AN82">
        <f>IF(AND($C20=1,INDEX(Setup!$O$6:$AL$23,15,1)&lt;&gt;"",K20=0),1+IF(INDEX(Setup!$O$6:$AL$23,15,1)="T",100,0),"")</f>
        <v/>
      </c>
      <c r="AO82">
        <f>IF(AND($C21=1,INDEX(Setup!$O$6:$AL$23,15,2)&lt;&gt;"",K21=0),2+IF(INDEX(Setup!$O$6:$AL$23,15,2)="T",100,0),"")</f>
        <v/>
      </c>
      <c r="AP82">
        <f>IF(AND($C22=1,INDEX(Setup!$O$6:$AL$23,15,3)&lt;&gt;"",K22=0),3+IF(INDEX(Setup!$O$6:$AL$23,15,3)="T",100,0),"")</f>
        <v/>
      </c>
      <c r="AQ82">
        <f>IF(AND($C23=1,INDEX(Setup!$O$6:$AL$23,15,4)&lt;&gt;"",K23=0),4+IF(INDEX(Setup!$O$6:$AL$23,15,4)="T",100,0),"")</f>
        <v/>
      </c>
      <c r="AR82">
        <f>IF(AND($C24=1,INDEX(Setup!$O$6:$AL$23,15,5)&lt;&gt;"",K24=0),5+IF(INDEX(Setup!$O$6:$AL$23,15,5)="T",100,0),"")</f>
        <v/>
      </c>
      <c r="AS82">
        <f>IF(AND($C25=1,INDEX(Setup!$O$6:$AL$23,15,6)&lt;&gt;"",K25=0),6+IF(INDEX(Setup!$O$6:$AL$23,15,6)="T",100,0),"")</f>
        <v/>
      </c>
      <c r="AT82">
        <f>IF(AND($C26=1,INDEX(Setup!$O$6:$AL$23,15,7)&lt;&gt;"",K26=0),7+IF(INDEX(Setup!$O$6:$AL$23,15,7)="T",100,0),"")</f>
        <v/>
      </c>
      <c r="AU82">
        <f>IF(AND($C27=1,INDEX(Setup!$O$6:$AL$23,15,8)&lt;&gt;"",K27=0),8+IF(INDEX(Setup!$O$6:$AL$23,15,8)="T",100,0),"")</f>
        <v/>
      </c>
      <c r="AV82">
        <f>IF(AND($C28=1,INDEX(Setup!$O$6:$AL$23,15,9)&lt;&gt;"",K28=0),9+IF(INDEX(Setup!$O$6:$AL$23,15,9)="T",100,0),"")</f>
        <v/>
      </c>
      <c r="AW82">
        <f>IF(AND($C29=1,INDEX(Setup!$O$6:$AL$23,15,10)&lt;&gt;"",K29=0),10+IF(INDEX(Setup!$O$6:$AL$23,15,10)="T",100,0),"")</f>
        <v/>
      </c>
      <c r="AX82">
        <f>IF(AND($C30=1,INDEX(Setup!$O$6:$AL$23,15,11)&lt;&gt;"",K30=0),11+IF(INDEX(Setup!$O$6:$AL$23,15,11)="T",100,0),"")</f>
        <v/>
      </c>
      <c r="AY82">
        <f>IF(AND($C31=1,INDEX(Setup!$O$6:$AL$23,15,12)&lt;&gt;"",K31=0),12+IF(INDEX(Setup!$O$6:$AL$23,15,12)="T",100,0),"")</f>
        <v/>
      </c>
      <c r="AZ82">
        <f>IF(AND($C32=1,INDEX(Setup!$O$6:$AL$23,15,13)&lt;&gt;"",K32=0),13+IF(INDEX(Setup!$O$6:$AL$23,15,13)="T",100,0),"")</f>
        <v/>
      </c>
      <c r="BA82">
        <f>IF(AND($C33=1,INDEX(Setup!$O$6:$AL$23,15,14)&lt;&gt;"",K33=0),14+IF(INDEX(Setup!$O$6:$AL$23,15,14)="T",100,0),"")</f>
        <v/>
      </c>
      <c r="BB82">
        <f>IF(AND($C34=1,INDEX(Setup!$O$6:$AL$23,15,15)&lt;&gt;"",K34=0),15+IF(INDEX(Setup!$O$6:$AL$23,15,15)="T",100,0),"")</f>
        <v/>
      </c>
      <c r="BC82">
        <f>IF(AND($C35=1,INDEX(Setup!$O$6:$AL$23,15,16)&lt;&gt;"",K35=0),16+IF(INDEX(Setup!$O$6:$AL$23,15,16)="T",100,0),"")</f>
        <v/>
      </c>
      <c r="BD82">
        <f>IF(AND($C36=1,INDEX(Setup!$O$6:$AL$23,15,17)&lt;&gt;"",K36=0),17+IF(INDEX(Setup!$O$6:$AL$23,15,17)="T",100,0),"")</f>
        <v/>
      </c>
      <c r="BE82">
        <f>IF(AND($C37=1,INDEX(Setup!$O$6:$AL$23,15,18)&lt;&gt;"",K37=0),18+IF(INDEX(Setup!$O$6:$AL$23,15,18)="T",100,0),"")</f>
        <v/>
      </c>
      <c r="BF82">
        <f>IF(AND($C38=1,INDEX(Setup!$O$6:$AL$23,15,19)&lt;&gt;"",K38=0),19+IF(INDEX(Setup!$O$6:$AL$23,15,19)="T",100,0),"")</f>
        <v/>
      </c>
      <c r="BG82">
        <f>IF(AND($C39=1,INDEX(Setup!$O$6:$AL$23,15,20)&lt;&gt;"",K39=0),20+IF(INDEX(Setup!$O$6:$AL$23,15,20)="T",100,0),"")</f>
        <v/>
      </c>
      <c r="BH82">
        <f>IF(AND($C40=1,INDEX(Setup!$O$6:$AL$23,15,21)&lt;&gt;"",K40=0),21+IF(INDEX(Setup!$O$6:$AL$23,15,21)="T",100,0),"")</f>
        <v/>
      </c>
      <c r="BI82">
        <f>IF(AND($C41=1,INDEX(Setup!$O$6:$AL$23,15,22)&lt;&gt;"",K41=0),22+IF(INDEX(Setup!$O$6:$AL$23,15,22)="T",100,0),"")</f>
        <v/>
      </c>
      <c r="BJ82">
        <f>IF(AND($C42=1,INDEX(Setup!$O$6:$AL$23,15,23)&lt;&gt;"",K42=0),23+IF(INDEX(Setup!$O$6:$AL$23,15,23)="T",100,0),"")</f>
        <v/>
      </c>
      <c r="BK82">
        <f>IF(AND($C43=1,INDEX(Setup!$O$6:$AL$23,15,24)&lt;&gt;"",K43=0),24+IF(INDEX(Setup!$O$6:$AL$23,15,24)="T",100,0),"")</f>
        <v/>
      </c>
      <c r="BM82">
        <f>IF(AND(AN82&lt;&gt;"",COUNTIF($C$61:$E$61,$B20)+COUNTIF($C$61:$E$61,$B20&amp;" ~*")=0),($R20+COUNTIF($H$68:$H81,$B20)+COUNTIF($H$68:$H81,$B20&amp;" ~*"))*1000+IF(AN82&gt;100,500,0)+1,"")</f>
        <v/>
      </c>
      <c r="BN82">
        <f>IF(AND(AO82&lt;&gt;"",COUNTIF($C$61:$E$61,$B21)+COUNTIF($C$61:$E$61,$B21&amp;" ~*")=0),($R21+COUNTIF($H$68:$H81,$B21)+COUNTIF($H$68:$H81,$B21&amp;" ~*"))*1000+IF(AO82&gt;100,500,0)+2,"")</f>
        <v/>
      </c>
      <c r="BO82">
        <f>IF(AND(AP82&lt;&gt;"",COUNTIF($C$61:$E$61,$B22)+COUNTIF($C$61:$E$61,$B22&amp;" ~*")=0),($R22+COUNTIF($H$68:$H81,$B22)+COUNTIF($H$68:$H81,$B22&amp;" ~*"))*1000+IF(AP82&gt;100,500,0)+3,"")</f>
        <v/>
      </c>
      <c r="BP82">
        <f>IF(AND(AQ82&lt;&gt;"",COUNTIF($C$61:$E$61,$B23)+COUNTIF($C$61:$E$61,$B23&amp;" ~*")=0),($R23+COUNTIF($H$68:$H81,$B23)+COUNTIF($H$68:$H81,$B23&amp;" ~*"))*1000+IF(AQ82&gt;100,500,0)+4,"")</f>
        <v/>
      </c>
      <c r="BQ82">
        <f>IF(AND(AR82&lt;&gt;"",COUNTIF($C$61:$E$61,$B24)+COUNTIF($C$61:$E$61,$B24&amp;" ~*")=0),($R24+COUNTIF($H$68:$H81,$B24)+COUNTIF($H$68:$H81,$B24&amp;" ~*"))*1000+IF(AR82&gt;100,500,0)+5,"")</f>
        <v/>
      </c>
      <c r="BR82">
        <f>IF(AND(AS82&lt;&gt;"",COUNTIF($C$61:$E$61,$B25)+COUNTIF($C$61:$E$61,$B25&amp;" ~*")=0),($R25+COUNTIF($H$68:$H81,$B25)+COUNTIF($H$68:$H81,$B25&amp;" ~*"))*1000+IF(AS82&gt;100,500,0)+6,"")</f>
        <v/>
      </c>
      <c r="BS82">
        <f>IF(AND(AT82&lt;&gt;"",COUNTIF($C$61:$E$61,$B26)+COUNTIF($C$61:$E$61,$B26&amp;" ~*")=0),($R26+COUNTIF($H$68:$H81,$B26)+COUNTIF($H$68:$H81,$B26&amp;" ~*"))*1000+IF(AT82&gt;100,500,0)+7,"")</f>
        <v/>
      </c>
      <c r="BT82">
        <f>IF(AND(AU82&lt;&gt;"",COUNTIF($C$61:$E$61,$B27)+COUNTIF($C$61:$E$61,$B27&amp;" ~*")=0),($R27+COUNTIF($H$68:$H81,$B27)+COUNTIF($H$68:$H81,$B27&amp;" ~*"))*1000+IF(AU82&gt;100,500,0)+8,"")</f>
        <v/>
      </c>
      <c r="BU82">
        <f>IF(AND(AV82&lt;&gt;"",COUNTIF($C$61:$E$61,$B28)+COUNTIF($C$61:$E$61,$B28&amp;" ~*")=0),($R28+COUNTIF($H$68:$H81,$B28)+COUNTIF($H$68:$H81,$B28&amp;" ~*"))*1000+IF(AV82&gt;100,500,0)+9,"")</f>
        <v/>
      </c>
      <c r="BV82">
        <f>IF(AND(AW82&lt;&gt;"",COUNTIF($C$61:$E$61,$B29)+COUNTIF($C$61:$E$61,$B29&amp;" ~*")=0),($R29+COUNTIF($H$68:$H81,$B29)+COUNTIF($H$68:$H81,$B29&amp;" ~*"))*1000+IF(AW82&gt;100,500,0)+10,"")</f>
        <v/>
      </c>
      <c r="BW82">
        <f>IF(AND(AX82&lt;&gt;"",COUNTIF($C$61:$E$61,$B30)+COUNTIF($C$61:$E$61,$B30&amp;" ~*")=0),($R30+COUNTIF($H$68:$H81,$B30)+COUNTIF($H$68:$H81,$B30&amp;" ~*"))*1000+IF(AX82&gt;100,500,0)+11,"")</f>
        <v/>
      </c>
      <c r="BX82">
        <f>IF(AND(AY82&lt;&gt;"",COUNTIF($C$61:$E$61,$B31)+COUNTIF($C$61:$E$61,$B31&amp;" ~*")=0),($R31+COUNTIF($H$68:$H81,$B31)+COUNTIF($H$68:$H81,$B31&amp;" ~*"))*1000+IF(AY82&gt;100,500,0)+12,"")</f>
        <v/>
      </c>
      <c r="BY82">
        <f>IF(AND(AZ82&lt;&gt;"",COUNTIF($C$61:$E$61,$B32)+COUNTIF($C$61:$E$61,$B32&amp;" ~*")=0),($R32+COUNTIF($H$68:$H81,$B32)+COUNTIF($H$68:$H81,$B32&amp;" ~*"))*1000+IF(AZ82&gt;100,500,0)+13,"")</f>
        <v/>
      </c>
      <c r="BZ82">
        <f>IF(AND(BA82&lt;&gt;"",COUNTIF($C$61:$E$61,$B33)+COUNTIF($C$61:$E$61,$B33&amp;" ~*")=0),($R33+COUNTIF($H$68:$H81,$B33)+COUNTIF($H$68:$H81,$B33&amp;" ~*"))*1000+IF(BA82&gt;100,500,0)+14,"")</f>
        <v/>
      </c>
      <c r="CA82">
        <f>IF(AND(BB82&lt;&gt;"",COUNTIF($C$61:$E$61,$B34)+COUNTIF($C$61:$E$61,$B34&amp;" ~*")=0),($R34+COUNTIF($H$68:$H81,$B34)+COUNTIF($H$68:$H81,$B34&amp;" ~*"))*1000+IF(BB82&gt;100,500,0)+15,"")</f>
        <v/>
      </c>
      <c r="CB82">
        <f>IF(AND(BC82&lt;&gt;"",COUNTIF($C$61:$E$61,$B35)+COUNTIF($C$61:$E$61,$B35&amp;" ~*")=0),($R35+COUNTIF($H$68:$H81,$B35)+COUNTIF($H$68:$H81,$B35&amp;" ~*"))*1000+IF(BC82&gt;100,500,0)+16,"")</f>
        <v/>
      </c>
      <c r="CC82">
        <f>IF(AND(BD82&lt;&gt;"",COUNTIF($C$61:$E$61,$B36)+COUNTIF($C$61:$E$61,$B36&amp;" ~*")=0),($R36+COUNTIF($H$68:$H81,$B36)+COUNTIF($H$68:$H81,$B36&amp;" ~*"))*1000+IF(BD82&gt;100,500,0)+17,"")</f>
        <v/>
      </c>
      <c r="CD82">
        <f>IF(AND(BE82&lt;&gt;"",COUNTIF($C$61:$E$61,$B37)+COUNTIF($C$61:$E$61,$B37&amp;" ~*")=0),($R37+COUNTIF($H$68:$H81,$B37)+COUNTIF($H$68:$H81,$B37&amp;" ~*"))*1000+IF(BE82&gt;100,500,0)+18,"")</f>
        <v/>
      </c>
      <c r="CE82">
        <f>IF(AND(BF82&lt;&gt;"",COUNTIF($C$61:$E$61,$B38)+COUNTIF($C$61:$E$61,$B38&amp;" ~*")=0),($R38+COUNTIF($H$68:$H81,$B38)+COUNTIF($H$68:$H81,$B38&amp;" ~*"))*1000+IF(BF82&gt;100,500,0)+19,"")</f>
        <v/>
      </c>
      <c r="CF82">
        <f>IF(AND(BG82&lt;&gt;"",COUNTIF($C$61:$E$61,$B39)+COUNTIF($C$61:$E$61,$B39&amp;" ~*")=0),($R39+COUNTIF($H$68:$H81,$B39)+COUNTIF($H$68:$H81,$B39&amp;" ~*"))*1000+IF(BG82&gt;100,500,0)+20,"")</f>
        <v/>
      </c>
      <c r="CG82">
        <f>IF(AND(BH82&lt;&gt;"",COUNTIF($C$61:$E$61,$B40)+COUNTIF($C$61:$E$61,$B40&amp;" ~*")=0),($R40+COUNTIF($H$68:$H81,$B40)+COUNTIF($H$68:$H81,$B40&amp;" ~*"))*1000+IF(BH82&gt;100,500,0)+21,"")</f>
        <v/>
      </c>
      <c r="CH82">
        <f>IF(AND(BI82&lt;&gt;"",COUNTIF($C$61:$E$61,$B41)+COUNTIF($C$61:$E$61,$B41&amp;" ~*")=0),($R41+COUNTIF($H$68:$H81,$B41)+COUNTIF($H$68:$H81,$B41&amp;" ~*"))*1000+IF(BI82&gt;100,500,0)+22,"")</f>
        <v/>
      </c>
      <c r="CI82">
        <f>IF(AND(BJ82&lt;&gt;"",COUNTIF($C$61:$E$61,$B42)+COUNTIF($C$61:$E$61,$B42&amp;" ~*")=0),($R42+COUNTIF($H$68:$H81,$B42)+COUNTIF($H$68:$H81,$B42&amp;" ~*"))*1000+IF(BJ82&gt;100,500,0)+23,"")</f>
        <v/>
      </c>
      <c r="CJ82">
        <f>IF(AND(BK82&lt;&gt;"",COUNTIF($C$61:$E$61,$B43)+COUNTIF($C$61:$E$61,$B43&amp;" ~*")=0),($R43+COUNTIF($H$68:$H81,$B43)+COUNTIF($H$68:$H81,$B43&amp;" ~*"))*1000+IF(BK82&gt;100,500,0)+24,"")</f>
        <v/>
      </c>
    </row>
    <row r="83">
      <c r="A83" t="n">
        <v>1</v>
      </c>
      <c r="B83" t="n">
        <v>16</v>
      </c>
      <c r="C83">
        <f>$B$62</f>
        <v/>
      </c>
      <c r="D83" t="inlineStr">
        <is>
          <t>Mon</t>
        </is>
      </c>
      <c r="E83">
        <f>IF(C83="","",N($AB$62))</f>
        <v/>
      </c>
      <c r="F83">
        <f>IF(C83="","",COUNTIF($C$62:$E$62,"?*"))</f>
        <v/>
      </c>
      <c r="G83">
        <f>IF(C83="","",MAX(0,E83-F83))</f>
        <v/>
      </c>
      <c r="H83">
        <f>IF(N(G83)=0,"",IF(COUNT(BM83:CJ83)=0,"no-one eligible",INDEX(Engine!$B$20:$B$43,MOD(MIN(BM83:CJ83),500))&amp;IF(MOD(MIN(BM83:CJ83),1000)&gt;=500," *","")))</f>
        <v/>
      </c>
      <c r="I83">
        <f>IF(N(G83)&gt;0,COUNTIF($G$68:G83,"&gt;0"),"")</f>
        <v/>
      </c>
      <c r="J83">
        <f>IF(C83="","",IF($C$62="",0,IF(IFERROR(INDEX(Setup!$O$6:$AL$23,16,MATCH(SUBSTITUTE($C$62," *",""),Setup!$B$6:$B$29,0)),"")="",1,0))+IF($D$62="",0,IF(IFERROR(INDEX(Setup!$O$6:$AL$23,16,MATCH(SUBSTITUTE($D$62," *",""),Setup!$B$6:$B$29,0)),"")="",1,0))+IF($E$62="",0,IF(IFERROR(INDEX(Setup!$O$6:$AL$23,16,MATCH(SUBSTITUTE($E$62," *",""),Setup!$B$6:$B$29,0)),"")="",1,0)))</f>
        <v/>
      </c>
      <c r="K83">
        <f>IF($B$12+0=TODAY(),1,0)</f>
        <v/>
      </c>
      <c r="N83">
        <f>COUNT($AN83:$BK83)</f>
        <v/>
      </c>
      <c r="O83">
        <f>IF(1&gt;$N83,"",INDEX(Engine!$B$20:$B$43,MOD(SMALL($AN83:$BK83,1),100))&amp;IF(SMALL($AN83:$BK83,1)&gt;100," *",""))</f>
        <v/>
      </c>
      <c r="P83">
        <f>IF(2&gt;$N83,"",INDEX(Engine!$B$20:$B$43,MOD(SMALL($AN83:$BK83,2),100))&amp;IF(SMALL($AN83:$BK83,2)&gt;100," *",""))</f>
        <v/>
      </c>
      <c r="Q83">
        <f>IF(3&gt;$N83,"",INDEX(Engine!$B$20:$B$43,MOD(SMALL($AN83:$BK83,3),100))&amp;IF(SMALL($AN83:$BK83,3)&gt;100," *",""))</f>
        <v/>
      </c>
      <c r="R83">
        <f>IF(4&gt;$N83,"",INDEX(Engine!$B$20:$B$43,MOD(SMALL($AN83:$BK83,4),100))&amp;IF(SMALL($AN83:$BK83,4)&gt;100," *",""))</f>
        <v/>
      </c>
      <c r="S83">
        <f>IF(5&gt;$N83,"",INDEX(Engine!$B$20:$B$43,MOD(SMALL($AN83:$BK83,5),100))&amp;IF(SMALL($AN83:$BK83,5)&gt;100," *",""))</f>
        <v/>
      </c>
      <c r="T83">
        <f>IF(6&gt;$N83,"",INDEX(Engine!$B$20:$B$43,MOD(SMALL($AN83:$BK83,6),100))&amp;IF(SMALL($AN83:$BK83,6)&gt;100," *",""))</f>
        <v/>
      </c>
      <c r="U83">
        <f>IF(7&gt;$N83,"",INDEX(Engine!$B$20:$B$43,MOD(SMALL($AN83:$BK83,7),100))&amp;IF(SMALL($AN83:$BK83,7)&gt;100," *",""))</f>
        <v/>
      </c>
      <c r="V83">
        <f>IF(8&gt;$N83,"",INDEX(Engine!$B$20:$B$43,MOD(SMALL($AN83:$BK83,8),100))&amp;IF(SMALL($AN83:$BK83,8)&gt;100," *",""))</f>
        <v/>
      </c>
      <c r="W83">
        <f>IF(9&gt;$N83,"",INDEX(Engine!$B$20:$B$43,MOD(SMALL($AN83:$BK83,9),100))&amp;IF(SMALL($AN83:$BK83,9)&gt;100," *",""))</f>
        <v/>
      </c>
      <c r="X83">
        <f>IF(10&gt;$N83,"",INDEX(Engine!$B$20:$B$43,MOD(SMALL($AN83:$BK83,10),100))&amp;IF(SMALL($AN83:$BK83,10)&gt;100," *",""))</f>
        <v/>
      </c>
      <c r="Y83">
        <f>IF(11&gt;$N83,"",INDEX(Engine!$B$20:$B$43,MOD(SMALL($AN83:$BK83,11),100))&amp;IF(SMALL($AN83:$BK83,11)&gt;100," *",""))</f>
        <v/>
      </c>
      <c r="Z83">
        <f>IF(12&gt;$N83,"",INDEX(Engine!$B$20:$B$43,MOD(SMALL($AN83:$BK83,12),100))&amp;IF(SMALL($AN83:$BK83,12)&gt;100," *",""))</f>
        <v/>
      </c>
      <c r="AA83">
        <f>IF(13&gt;$N83,"",INDEX(Engine!$B$20:$B$43,MOD(SMALL($AN83:$BK83,13),100))&amp;IF(SMALL($AN83:$BK83,13)&gt;100," *",""))</f>
        <v/>
      </c>
      <c r="AB83">
        <f>IF(14&gt;$N83,"",INDEX(Engine!$B$20:$B$43,MOD(SMALL($AN83:$BK83,14),100))&amp;IF(SMALL($AN83:$BK83,14)&gt;100," *",""))</f>
        <v/>
      </c>
      <c r="AC83">
        <f>IF(15&gt;$N83,"",INDEX(Engine!$B$20:$B$43,MOD(SMALL($AN83:$BK83,15),100))&amp;IF(SMALL($AN83:$BK83,15)&gt;100," *",""))</f>
        <v/>
      </c>
      <c r="AD83">
        <f>IF(16&gt;$N83,"",INDEX(Engine!$B$20:$B$43,MOD(SMALL($AN83:$BK83,16),100))&amp;IF(SMALL($AN83:$BK83,16)&gt;100," *",""))</f>
        <v/>
      </c>
      <c r="AE83">
        <f>IF(17&gt;$N83,"",INDEX(Engine!$B$20:$B$43,MOD(SMALL($AN83:$BK83,17),100))&amp;IF(SMALL($AN83:$BK83,17)&gt;100," *",""))</f>
        <v/>
      </c>
      <c r="AF83">
        <f>IF(18&gt;$N83,"",INDEX(Engine!$B$20:$B$43,MOD(SMALL($AN83:$BK83,18),100))&amp;IF(SMALL($AN83:$BK83,18)&gt;100," *",""))</f>
        <v/>
      </c>
      <c r="AG83">
        <f>IF(19&gt;$N83,"",INDEX(Engine!$B$20:$B$43,MOD(SMALL($AN83:$BK83,19),100))&amp;IF(SMALL($AN83:$BK83,19)&gt;100," *",""))</f>
        <v/>
      </c>
      <c r="AH83">
        <f>IF(20&gt;$N83,"",INDEX(Engine!$B$20:$B$43,MOD(SMALL($AN83:$BK83,20),100))&amp;IF(SMALL($AN83:$BK83,20)&gt;100," *",""))</f>
        <v/>
      </c>
      <c r="AI83">
        <f>IF(21&gt;$N83,"",INDEX(Engine!$B$20:$B$43,MOD(SMALL($AN83:$BK83,21),100))&amp;IF(SMALL($AN83:$BK83,21)&gt;100," *",""))</f>
        <v/>
      </c>
      <c r="AJ83">
        <f>IF(22&gt;$N83,"",INDEX(Engine!$B$20:$B$43,MOD(SMALL($AN83:$BK83,22),100))&amp;IF(SMALL($AN83:$BK83,22)&gt;100," *",""))</f>
        <v/>
      </c>
      <c r="AK83">
        <f>IF(23&gt;$N83,"",INDEX(Engine!$B$20:$B$43,MOD(SMALL($AN83:$BK83,23),100))&amp;IF(SMALL($AN83:$BK83,23)&gt;100," *",""))</f>
        <v/>
      </c>
      <c r="AL83">
        <f>IF(24&gt;$N83,"",INDEX(Engine!$B$20:$B$43,MOD(SMALL($AN83:$BK83,24),100))&amp;IF(SMALL($AN83:$BK83,24)&gt;100," *",""))</f>
        <v/>
      </c>
      <c r="AN83">
        <f>IF(AND($C20=1,INDEX(Setup!$O$6:$AL$23,16,1)&lt;&gt;"",K20=0),1+IF(INDEX(Setup!$O$6:$AL$23,16,1)="T",100,0),"")</f>
        <v/>
      </c>
      <c r="AO83">
        <f>IF(AND($C21=1,INDEX(Setup!$O$6:$AL$23,16,2)&lt;&gt;"",K21=0),2+IF(INDEX(Setup!$O$6:$AL$23,16,2)="T",100,0),"")</f>
        <v/>
      </c>
      <c r="AP83">
        <f>IF(AND($C22=1,INDEX(Setup!$O$6:$AL$23,16,3)&lt;&gt;"",K22=0),3+IF(INDEX(Setup!$O$6:$AL$23,16,3)="T",100,0),"")</f>
        <v/>
      </c>
      <c r="AQ83">
        <f>IF(AND($C23=1,INDEX(Setup!$O$6:$AL$23,16,4)&lt;&gt;"",K23=0),4+IF(INDEX(Setup!$O$6:$AL$23,16,4)="T",100,0),"")</f>
        <v/>
      </c>
      <c r="AR83">
        <f>IF(AND($C24=1,INDEX(Setup!$O$6:$AL$23,16,5)&lt;&gt;"",K24=0),5+IF(INDEX(Setup!$O$6:$AL$23,16,5)="T",100,0),"")</f>
        <v/>
      </c>
      <c r="AS83">
        <f>IF(AND($C25=1,INDEX(Setup!$O$6:$AL$23,16,6)&lt;&gt;"",K25=0),6+IF(INDEX(Setup!$O$6:$AL$23,16,6)="T",100,0),"")</f>
        <v/>
      </c>
      <c r="AT83">
        <f>IF(AND($C26=1,INDEX(Setup!$O$6:$AL$23,16,7)&lt;&gt;"",K26=0),7+IF(INDEX(Setup!$O$6:$AL$23,16,7)="T",100,0),"")</f>
        <v/>
      </c>
      <c r="AU83">
        <f>IF(AND($C27=1,INDEX(Setup!$O$6:$AL$23,16,8)&lt;&gt;"",K27=0),8+IF(INDEX(Setup!$O$6:$AL$23,16,8)="T",100,0),"")</f>
        <v/>
      </c>
      <c r="AV83">
        <f>IF(AND($C28=1,INDEX(Setup!$O$6:$AL$23,16,9)&lt;&gt;"",K28=0),9+IF(INDEX(Setup!$O$6:$AL$23,16,9)="T",100,0),"")</f>
        <v/>
      </c>
      <c r="AW83">
        <f>IF(AND($C29=1,INDEX(Setup!$O$6:$AL$23,16,10)&lt;&gt;"",K29=0),10+IF(INDEX(Setup!$O$6:$AL$23,16,10)="T",100,0),"")</f>
        <v/>
      </c>
      <c r="AX83">
        <f>IF(AND($C30=1,INDEX(Setup!$O$6:$AL$23,16,11)&lt;&gt;"",K30=0),11+IF(INDEX(Setup!$O$6:$AL$23,16,11)="T",100,0),"")</f>
        <v/>
      </c>
      <c r="AY83">
        <f>IF(AND($C31=1,INDEX(Setup!$O$6:$AL$23,16,12)&lt;&gt;"",K31=0),12+IF(INDEX(Setup!$O$6:$AL$23,16,12)="T",100,0),"")</f>
        <v/>
      </c>
      <c r="AZ83">
        <f>IF(AND($C32=1,INDEX(Setup!$O$6:$AL$23,16,13)&lt;&gt;"",K32=0),13+IF(INDEX(Setup!$O$6:$AL$23,16,13)="T",100,0),"")</f>
        <v/>
      </c>
      <c r="BA83">
        <f>IF(AND($C33=1,INDEX(Setup!$O$6:$AL$23,16,14)&lt;&gt;"",K33=0),14+IF(INDEX(Setup!$O$6:$AL$23,16,14)="T",100,0),"")</f>
        <v/>
      </c>
      <c r="BB83">
        <f>IF(AND($C34=1,INDEX(Setup!$O$6:$AL$23,16,15)&lt;&gt;"",K34=0),15+IF(INDEX(Setup!$O$6:$AL$23,16,15)="T",100,0),"")</f>
        <v/>
      </c>
      <c r="BC83">
        <f>IF(AND($C35=1,INDEX(Setup!$O$6:$AL$23,16,16)&lt;&gt;"",K35=0),16+IF(INDEX(Setup!$O$6:$AL$23,16,16)="T",100,0),"")</f>
        <v/>
      </c>
      <c r="BD83">
        <f>IF(AND($C36=1,INDEX(Setup!$O$6:$AL$23,16,17)&lt;&gt;"",K36=0),17+IF(INDEX(Setup!$O$6:$AL$23,16,17)="T",100,0),"")</f>
        <v/>
      </c>
      <c r="BE83">
        <f>IF(AND($C37=1,INDEX(Setup!$O$6:$AL$23,16,18)&lt;&gt;"",K37=0),18+IF(INDEX(Setup!$O$6:$AL$23,16,18)="T",100,0),"")</f>
        <v/>
      </c>
      <c r="BF83">
        <f>IF(AND($C38=1,INDEX(Setup!$O$6:$AL$23,16,19)&lt;&gt;"",K38=0),19+IF(INDEX(Setup!$O$6:$AL$23,16,19)="T",100,0),"")</f>
        <v/>
      </c>
      <c r="BG83">
        <f>IF(AND($C39=1,INDEX(Setup!$O$6:$AL$23,16,20)&lt;&gt;"",K39=0),20+IF(INDEX(Setup!$O$6:$AL$23,16,20)="T",100,0),"")</f>
        <v/>
      </c>
      <c r="BH83">
        <f>IF(AND($C40=1,INDEX(Setup!$O$6:$AL$23,16,21)&lt;&gt;"",K40=0),21+IF(INDEX(Setup!$O$6:$AL$23,16,21)="T",100,0),"")</f>
        <v/>
      </c>
      <c r="BI83">
        <f>IF(AND($C41=1,INDEX(Setup!$O$6:$AL$23,16,22)&lt;&gt;"",K41=0),22+IF(INDEX(Setup!$O$6:$AL$23,16,22)="T",100,0),"")</f>
        <v/>
      </c>
      <c r="BJ83">
        <f>IF(AND($C42=1,INDEX(Setup!$O$6:$AL$23,16,23)&lt;&gt;"",K42=0),23+IF(INDEX(Setup!$O$6:$AL$23,16,23)="T",100,0),"")</f>
        <v/>
      </c>
      <c r="BK83">
        <f>IF(AND($C43=1,INDEX(Setup!$O$6:$AL$23,16,24)&lt;&gt;"",K43=0),24+IF(INDEX(Setup!$O$6:$AL$23,16,24)="T",100,0),"")</f>
        <v/>
      </c>
      <c r="BM83">
        <f>IF(AND(AN83&lt;&gt;"",COUNTIF($C$62:$E$62,$B20)+COUNTIF($C$62:$E$62,$B20&amp;" ~*")=0),($R20+COUNTIF($H$68:$H82,$B20)+COUNTIF($H$68:$H82,$B20&amp;" ~*"))*1000+IF(AN83&gt;100,500,0)+1,"")</f>
        <v/>
      </c>
      <c r="BN83">
        <f>IF(AND(AO83&lt;&gt;"",COUNTIF($C$62:$E$62,$B21)+COUNTIF($C$62:$E$62,$B21&amp;" ~*")=0),($R21+COUNTIF($H$68:$H82,$B21)+COUNTIF($H$68:$H82,$B21&amp;" ~*"))*1000+IF(AO83&gt;100,500,0)+2,"")</f>
        <v/>
      </c>
      <c r="BO83">
        <f>IF(AND(AP83&lt;&gt;"",COUNTIF($C$62:$E$62,$B22)+COUNTIF($C$62:$E$62,$B22&amp;" ~*")=0),($R22+COUNTIF($H$68:$H82,$B22)+COUNTIF($H$68:$H82,$B22&amp;" ~*"))*1000+IF(AP83&gt;100,500,0)+3,"")</f>
        <v/>
      </c>
      <c r="BP83">
        <f>IF(AND(AQ83&lt;&gt;"",COUNTIF($C$62:$E$62,$B23)+COUNTIF($C$62:$E$62,$B23&amp;" ~*")=0),($R23+COUNTIF($H$68:$H82,$B23)+COUNTIF($H$68:$H82,$B23&amp;" ~*"))*1000+IF(AQ83&gt;100,500,0)+4,"")</f>
        <v/>
      </c>
      <c r="BQ83">
        <f>IF(AND(AR83&lt;&gt;"",COUNTIF($C$62:$E$62,$B24)+COUNTIF($C$62:$E$62,$B24&amp;" ~*")=0),($R24+COUNTIF($H$68:$H82,$B24)+COUNTIF($H$68:$H82,$B24&amp;" ~*"))*1000+IF(AR83&gt;100,500,0)+5,"")</f>
        <v/>
      </c>
      <c r="BR83">
        <f>IF(AND(AS83&lt;&gt;"",COUNTIF($C$62:$E$62,$B25)+COUNTIF($C$62:$E$62,$B25&amp;" ~*")=0),($R25+COUNTIF($H$68:$H82,$B25)+COUNTIF($H$68:$H82,$B25&amp;" ~*"))*1000+IF(AS83&gt;100,500,0)+6,"")</f>
        <v/>
      </c>
      <c r="BS83">
        <f>IF(AND(AT83&lt;&gt;"",COUNTIF($C$62:$E$62,$B26)+COUNTIF($C$62:$E$62,$B26&amp;" ~*")=0),($R26+COUNTIF($H$68:$H82,$B26)+COUNTIF($H$68:$H82,$B26&amp;" ~*"))*1000+IF(AT83&gt;100,500,0)+7,"")</f>
        <v/>
      </c>
      <c r="BT83">
        <f>IF(AND(AU83&lt;&gt;"",COUNTIF($C$62:$E$62,$B27)+COUNTIF($C$62:$E$62,$B27&amp;" ~*")=0),($R27+COUNTIF($H$68:$H82,$B27)+COUNTIF($H$68:$H82,$B27&amp;" ~*"))*1000+IF(AU83&gt;100,500,0)+8,"")</f>
        <v/>
      </c>
      <c r="BU83">
        <f>IF(AND(AV83&lt;&gt;"",COUNTIF($C$62:$E$62,$B28)+COUNTIF($C$62:$E$62,$B28&amp;" ~*")=0),($R28+COUNTIF($H$68:$H82,$B28)+COUNTIF($H$68:$H82,$B28&amp;" ~*"))*1000+IF(AV83&gt;100,500,0)+9,"")</f>
        <v/>
      </c>
      <c r="BV83">
        <f>IF(AND(AW83&lt;&gt;"",COUNTIF($C$62:$E$62,$B29)+COUNTIF($C$62:$E$62,$B29&amp;" ~*")=0),($R29+COUNTIF($H$68:$H82,$B29)+COUNTIF($H$68:$H82,$B29&amp;" ~*"))*1000+IF(AW83&gt;100,500,0)+10,"")</f>
        <v/>
      </c>
      <c r="BW83">
        <f>IF(AND(AX83&lt;&gt;"",COUNTIF($C$62:$E$62,$B30)+COUNTIF($C$62:$E$62,$B30&amp;" ~*")=0),($R30+COUNTIF($H$68:$H82,$B30)+COUNTIF($H$68:$H82,$B30&amp;" ~*"))*1000+IF(AX83&gt;100,500,0)+11,"")</f>
        <v/>
      </c>
      <c r="BX83">
        <f>IF(AND(AY83&lt;&gt;"",COUNTIF($C$62:$E$62,$B31)+COUNTIF($C$62:$E$62,$B31&amp;" ~*")=0),($R31+COUNTIF($H$68:$H82,$B31)+COUNTIF($H$68:$H82,$B31&amp;" ~*"))*1000+IF(AY83&gt;100,500,0)+12,"")</f>
        <v/>
      </c>
      <c r="BY83">
        <f>IF(AND(AZ83&lt;&gt;"",COUNTIF($C$62:$E$62,$B32)+COUNTIF($C$62:$E$62,$B32&amp;" ~*")=0),($R32+COUNTIF($H$68:$H82,$B32)+COUNTIF($H$68:$H82,$B32&amp;" ~*"))*1000+IF(AZ83&gt;100,500,0)+13,"")</f>
        <v/>
      </c>
      <c r="BZ83">
        <f>IF(AND(BA83&lt;&gt;"",COUNTIF($C$62:$E$62,$B33)+COUNTIF($C$62:$E$62,$B33&amp;" ~*")=0),($R33+COUNTIF($H$68:$H82,$B33)+COUNTIF($H$68:$H82,$B33&amp;" ~*"))*1000+IF(BA83&gt;100,500,0)+14,"")</f>
        <v/>
      </c>
      <c r="CA83">
        <f>IF(AND(BB83&lt;&gt;"",COUNTIF($C$62:$E$62,$B34)+COUNTIF($C$62:$E$62,$B34&amp;" ~*")=0),($R34+COUNTIF($H$68:$H82,$B34)+COUNTIF($H$68:$H82,$B34&amp;" ~*"))*1000+IF(BB83&gt;100,500,0)+15,"")</f>
        <v/>
      </c>
      <c r="CB83">
        <f>IF(AND(BC83&lt;&gt;"",COUNTIF($C$62:$E$62,$B35)+COUNTIF($C$62:$E$62,$B35&amp;" ~*")=0),($R35+COUNTIF($H$68:$H82,$B35)+COUNTIF($H$68:$H82,$B35&amp;" ~*"))*1000+IF(BC83&gt;100,500,0)+16,"")</f>
        <v/>
      </c>
      <c r="CC83">
        <f>IF(AND(BD83&lt;&gt;"",COUNTIF($C$62:$E$62,$B36)+COUNTIF($C$62:$E$62,$B36&amp;" ~*")=0),($R36+COUNTIF($H$68:$H82,$B36)+COUNTIF($H$68:$H82,$B36&amp;" ~*"))*1000+IF(BD83&gt;100,500,0)+17,"")</f>
        <v/>
      </c>
      <c r="CD83">
        <f>IF(AND(BE83&lt;&gt;"",COUNTIF($C$62:$E$62,$B37)+COUNTIF($C$62:$E$62,$B37&amp;" ~*")=0),($R37+COUNTIF($H$68:$H82,$B37)+COUNTIF($H$68:$H82,$B37&amp;" ~*"))*1000+IF(BE83&gt;100,500,0)+18,"")</f>
        <v/>
      </c>
      <c r="CE83">
        <f>IF(AND(BF83&lt;&gt;"",COUNTIF($C$62:$E$62,$B38)+COUNTIF($C$62:$E$62,$B38&amp;" ~*")=0),($R38+COUNTIF($H$68:$H82,$B38)+COUNTIF($H$68:$H82,$B38&amp;" ~*"))*1000+IF(BF83&gt;100,500,0)+19,"")</f>
        <v/>
      </c>
      <c r="CF83">
        <f>IF(AND(BG83&lt;&gt;"",COUNTIF($C$62:$E$62,$B39)+COUNTIF($C$62:$E$62,$B39&amp;" ~*")=0),($R39+COUNTIF($H$68:$H82,$B39)+COUNTIF($H$68:$H82,$B39&amp;" ~*"))*1000+IF(BG83&gt;100,500,0)+20,"")</f>
        <v/>
      </c>
      <c r="CG83">
        <f>IF(AND(BH83&lt;&gt;"",COUNTIF($C$62:$E$62,$B40)+COUNTIF($C$62:$E$62,$B40&amp;" ~*")=0),($R40+COUNTIF($H$68:$H82,$B40)+COUNTIF($H$68:$H82,$B40&amp;" ~*"))*1000+IF(BH83&gt;100,500,0)+21,"")</f>
        <v/>
      </c>
      <c r="CH83">
        <f>IF(AND(BI83&lt;&gt;"",COUNTIF($C$62:$E$62,$B41)+COUNTIF($C$62:$E$62,$B41&amp;" ~*")=0),($R41+COUNTIF($H$68:$H82,$B41)+COUNTIF($H$68:$H82,$B41&amp;" ~*"))*1000+IF(BI83&gt;100,500,0)+22,"")</f>
        <v/>
      </c>
      <c r="CI83">
        <f>IF(AND(BJ83&lt;&gt;"",COUNTIF($C$62:$E$62,$B42)+COUNTIF($C$62:$E$62,$B42&amp;" ~*")=0),($R42+COUNTIF($H$68:$H82,$B42)+COUNTIF($H$68:$H82,$B42&amp;" ~*"))*1000+IF(BJ83&gt;100,500,0)+23,"")</f>
        <v/>
      </c>
      <c r="CJ83">
        <f>IF(AND(BK83&lt;&gt;"",COUNTIF($C$62:$E$62,$B43)+COUNTIF($C$62:$E$62,$B43&amp;" ~*")=0),($R43+COUNTIF($H$68:$H82,$B43)+COUNTIF($H$68:$H82,$B43&amp;" ~*"))*1000+IF(BK83&gt;100,500,0)+24,"")</f>
        <v/>
      </c>
    </row>
    <row r="84">
      <c r="A84" t="n">
        <v>1</v>
      </c>
      <c r="B84" t="n">
        <v>17</v>
      </c>
      <c r="C84">
        <f>$B$63</f>
        <v/>
      </c>
      <c r="D84" t="inlineStr">
        <is>
          <t>Mon</t>
        </is>
      </c>
      <c r="E84">
        <f>IF(C84="","",N($AB$63))</f>
        <v/>
      </c>
      <c r="F84">
        <f>IF(C84="","",COUNTIF($C$63:$E$63,"?*"))</f>
        <v/>
      </c>
      <c r="G84">
        <f>IF(C84="","",MAX(0,E84-F84))</f>
        <v/>
      </c>
      <c r="H84">
        <f>IF(N(G84)=0,"",IF(COUNT(BM84:CJ84)=0,"no-one eligible",INDEX(Engine!$B$20:$B$43,MOD(MIN(BM84:CJ84),500))&amp;IF(MOD(MIN(BM84:CJ84),1000)&gt;=500," *","")))</f>
        <v/>
      </c>
      <c r="I84">
        <f>IF(N(G84)&gt;0,COUNTIF($G$68:G84,"&gt;0"),"")</f>
        <v/>
      </c>
      <c r="J84">
        <f>IF(C84="","",IF($C$63="",0,IF(IFERROR(INDEX(Setup!$O$6:$AL$23,17,MATCH(SUBSTITUTE($C$63," *",""),Setup!$B$6:$B$29,0)),"")="",1,0))+IF($D$63="",0,IF(IFERROR(INDEX(Setup!$O$6:$AL$23,17,MATCH(SUBSTITUTE($D$63," *",""),Setup!$B$6:$B$29,0)),"")="",1,0))+IF($E$63="",0,IF(IFERROR(INDEX(Setup!$O$6:$AL$23,17,MATCH(SUBSTITUTE($E$63," *",""),Setup!$B$6:$B$29,0)),"")="",1,0)))</f>
        <v/>
      </c>
      <c r="K84">
        <f>IF($B$12+0=TODAY(),1,0)</f>
        <v/>
      </c>
      <c r="N84">
        <f>COUNT($AN84:$BK84)</f>
        <v/>
      </c>
      <c r="O84">
        <f>IF(1&gt;$N84,"",INDEX(Engine!$B$20:$B$43,MOD(SMALL($AN84:$BK84,1),100))&amp;IF(SMALL($AN84:$BK84,1)&gt;100," *",""))</f>
        <v/>
      </c>
      <c r="P84">
        <f>IF(2&gt;$N84,"",INDEX(Engine!$B$20:$B$43,MOD(SMALL($AN84:$BK84,2),100))&amp;IF(SMALL($AN84:$BK84,2)&gt;100," *",""))</f>
        <v/>
      </c>
      <c r="Q84">
        <f>IF(3&gt;$N84,"",INDEX(Engine!$B$20:$B$43,MOD(SMALL($AN84:$BK84,3),100))&amp;IF(SMALL($AN84:$BK84,3)&gt;100," *",""))</f>
        <v/>
      </c>
      <c r="R84">
        <f>IF(4&gt;$N84,"",INDEX(Engine!$B$20:$B$43,MOD(SMALL($AN84:$BK84,4),100))&amp;IF(SMALL($AN84:$BK84,4)&gt;100," *",""))</f>
        <v/>
      </c>
      <c r="S84">
        <f>IF(5&gt;$N84,"",INDEX(Engine!$B$20:$B$43,MOD(SMALL($AN84:$BK84,5),100))&amp;IF(SMALL($AN84:$BK84,5)&gt;100," *",""))</f>
        <v/>
      </c>
      <c r="T84">
        <f>IF(6&gt;$N84,"",INDEX(Engine!$B$20:$B$43,MOD(SMALL($AN84:$BK84,6),100))&amp;IF(SMALL($AN84:$BK84,6)&gt;100," *",""))</f>
        <v/>
      </c>
      <c r="U84">
        <f>IF(7&gt;$N84,"",INDEX(Engine!$B$20:$B$43,MOD(SMALL($AN84:$BK84,7),100))&amp;IF(SMALL($AN84:$BK84,7)&gt;100," *",""))</f>
        <v/>
      </c>
      <c r="V84">
        <f>IF(8&gt;$N84,"",INDEX(Engine!$B$20:$B$43,MOD(SMALL($AN84:$BK84,8),100))&amp;IF(SMALL($AN84:$BK84,8)&gt;100," *",""))</f>
        <v/>
      </c>
      <c r="W84">
        <f>IF(9&gt;$N84,"",INDEX(Engine!$B$20:$B$43,MOD(SMALL($AN84:$BK84,9),100))&amp;IF(SMALL($AN84:$BK84,9)&gt;100," *",""))</f>
        <v/>
      </c>
      <c r="X84">
        <f>IF(10&gt;$N84,"",INDEX(Engine!$B$20:$B$43,MOD(SMALL($AN84:$BK84,10),100))&amp;IF(SMALL($AN84:$BK84,10)&gt;100," *",""))</f>
        <v/>
      </c>
      <c r="Y84">
        <f>IF(11&gt;$N84,"",INDEX(Engine!$B$20:$B$43,MOD(SMALL($AN84:$BK84,11),100))&amp;IF(SMALL($AN84:$BK84,11)&gt;100," *",""))</f>
        <v/>
      </c>
      <c r="Z84">
        <f>IF(12&gt;$N84,"",INDEX(Engine!$B$20:$B$43,MOD(SMALL($AN84:$BK84,12),100))&amp;IF(SMALL($AN84:$BK84,12)&gt;100," *",""))</f>
        <v/>
      </c>
      <c r="AA84">
        <f>IF(13&gt;$N84,"",INDEX(Engine!$B$20:$B$43,MOD(SMALL($AN84:$BK84,13),100))&amp;IF(SMALL($AN84:$BK84,13)&gt;100," *",""))</f>
        <v/>
      </c>
      <c r="AB84">
        <f>IF(14&gt;$N84,"",INDEX(Engine!$B$20:$B$43,MOD(SMALL($AN84:$BK84,14),100))&amp;IF(SMALL($AN84:$BK84,14)&gt;100," *",""))</f>
        <v/>
      </c>
      <c r="AC84">
        <f>IF(15&gt;$N84,"",INDEX(Engine!$B$20:$B$43,MOD(SMALL($AN84:$BK84,15),100))&amp;IF(SMALL($AN84:$BK84,15)&gt;100," *",""))</f>
        <v/>
      </c>
      <c r="AD84">
        <f>IF(16&gt;$N84,"",INDEX(Engine!$B$20:$B$43,MOD(SMALL($AN84:$BK84,16),100))&amp;IF(SMALL($AN84:$BK84,16)&gt;100," *",""))</f>
        <v/>
      </c>
      <c r="AE84">
        <f>IF(17&gt;$N84,"",INDEX(Engine!$B$20:$B$43,MOD(SMALL($AN84:$BK84,17),100))&amp;IF(SMALL($AN84:$BK84,17)&gt;100," *",""))</f>
        <v/>
      </c>
      <c r="AF84">
        <f>IF(18&gt;$N84,"",INDEX(Engine!$B$20:$B$43,MOD(SMALL($AN84:$BK84,18),100))&amp;IF(SMALL($AN84:$BK84,18)&gt;100," *",""))</f>
        <v/>
      </c>
      <c r="AG84">
        <f>IF(19&gt;$N84,"",INDEX(Engine!$B$20:$B$43,MOD(SMALL($AN84:$BK84,19),100))&amp;IF(SMALL($AN84:$BK84,19)&gt;100," *",""))</f>
        <v/>
      </c>
      <c r="AH84">
        <f>IF(20&gt;$N84,"",INDEX(Engine!$B$20:$B$43,MOD(SMALL($AN84:$BK84,20),100))&amp;IF(SMALL($AN84:$BK84,20)&gt;100," *",""))</f>
        <v/>
      </c>
      <c r="AI84">
        <f>IF(21&gt;$N84,"",INDEX(Engine!$B$20:$B$43,MOD(SMALL($AN84:$BK84,21),100))&amp;IF(SMALL($AN84:$BK84,21)&gt;100," *",""))</f>
        <v/>
      </c>
      <c r="AJ84">
        <f>IF(22&gt;$N84,"",INDEX(Engine!$B$20:$B$43,MOD(SMALL($AN84:$BK84,22),100))&amp;IF(SMALL($AN84:$BK84,22)&gt;100," *",""))</f>
        <v/>
      </c>
      <c r="AK84">
        <f>IF(23&gt;$N84,"",INDEX(Engine!$B$20:$B$43,MOD(SMALL($AN84:$BK84,23),100))&amp;IF(SMALL($AN84:$BK84,23)&gt;100," *",""))</f>
        <v/>
      </c>
      <c r="AL84">
        <f>IF(24&gt;$N84,"",INDEX(Engine!$B$20:$B$43,MOD(SMALL($AN84:$BK84,24),100))&amp;IF(SMALL($AN84:$BK84,24)&gt;100," *",""))</f>
        <v/>
      </c>
      <c r="AN84">
        <f>IF(AND($C20=1,INDEX(Setup!$O$6:$AL$23,17,1)&lt;&gt;"",K20=0),1+IF(INDEX(Setup!$O$6:$AL$23,17,1)="T",100,0),"")</f>
        <v/>
      </c>
      <c r="AO84">
        <f>IF(AND($C21=1,INDEX(Setup!$O$6:$AL$23,17,2)&lt;&gt;"",K21=0),2+IF(INDEX(Setup!$O$6:$AL$23,17,2)="T",100,0),"")</f>
        <v/>
      </c>
      <c r="AP84">
        <f>IF(AND($C22=1,INDEX(Setup!$O$6:$AL$23,17,3)&lt;&gt;"",K22=0),3+IF(INDEX(Setup!$O$6:$AL$23,17,3)="T",100,0),"")</f>
        <v/>
      </c>
      <c r="AQ84">
        <f>IF(AND($C23=1,INDEX(Setup!$O$6:$AL$23,17,4)&lt;&gt;"",K23=0),4+IF(INDEX(Setup!$O$6:$AL$23,17,4)="T",100,0),"")</f>
        <v/>
      </c>
      <c r="AR84">
        <f>IF(AND($C24=1,INDEX(Setup!$O$6:$AL$23,17,5)&lt;&gt;"",K24=0),5+IF(INDEX(Setup!$O$6:$AL$23,17,5)="T",100,0),"")</f>
        <v/>
      </c>
      <c r="AS84">
        <f>IF(AND($C25=1,INDEX(Setup!$O$6:$AL$23,17,6)&lt;&gt;"",K25=0),6+IF(INDEX(Setup!$O$6:$AL$23,17,6)="T",100,0),"")</f>
        <v/>
      </c>
      <c r="AT84">
        <f>IF(AND($C26=1,INDEX(Setup!$O$6:$AL$23,17,7)&lt;&gt;"",K26=0),7+IF(INDEX(Setup!$O$6:$AL$23,17,7)="T",100,0),"")</f>
        <v/>
      </c>
      <c r="AU84">
        <f>IF(AND($C27=1,INDEX(Setup!$O$6:$AL$23,17,8)&lt;&gt;"",K27=0),8+IF(INDEX(Setup!$O$6:$AL$23,17,8)="T",100,0),"")</f>
        <v/>
      </c>
      <c r="AV84">
        <f>IF(AND($C28=1,INDEX(Setup!$O$6:$AL$23,17,9)&lt;&gt;"",K28=0),9+IF(INDEX(Setup!$O$6:$AL$23,17,9)="T",100,0),"")</f>
        <v/>
      </c>
      <c r="AW84">
        <f>IF(AND($C29=1,INDEX(Setup!$O$6:$AL$23,17,10)&lt;&gt;"",K29=0),10+IF(INDEX(Setup!$O$6:$AL$23,17,10)="T",100,0),"")</f>
        <v/>
      </c>
      <c r="AX84">
        <f>IF(AND($C30=1,INDEX(Setup!$O$6:$AL$23,17,11)&lt;&gt;"",K30=0),11+IF(INDEX(Setup!$O$6:$AL$23,17,11)="T",100,0),"")</f>
        <v/>
      </c>
      <c r="AY84">
        <f>IF(AND($C31=1,INDEX(Setup!$O$6:$AL$23,17,12)&lt;&gt;"",K31=0),12+IF(INDEX(Setup!$O$6:$AL$23,17,12)="T",100,0),"")</f>
        <v/>
      </c>
      <c r="AZ84">
        <f>IF(AND($C32=1,INDEX(Setup!$O$6:$AL$23,17,13)&lt;&gt;"",K32=0),13+IF(INDEX(Setup!$O$6:$AL$23,17,13)="T",100,0),"")</f>
        <v/>
      </c>
      <c r="BA84">
        <f>IF(AND($C33=1,INDEX(Setup!$O$6:$AL$23,17,14)&lt;&gt;"",K33=0),14+IF(INDEX(Setup!$O$6:$AL$23,17,14)="T",100,0),"")</f>
        <v/>
      </c>
      <c r="BB84">
        <f>IF(AND($C34=1,INDEX(Setup!$O$6:$AL$23,17,15)&lt;&gt;"",K34=0),15+IF(INDEX(Setup!$O$6:$AL$23,17,15)="T",100,0),"")</f>
        <v/>
      </c>
      <c r="BC84">
        <f>IF(AND($C35=1,INDEX(Setup!$O$6:$AL$23,17,16)&lt;&gt;"",K35=0),16+IF(INDEX(Setup!$O$6:$AL$23,17,16)="T",100,0),"")</f>
        <v/>
      </c>
      <c r="BD84">
        <f>IF(AND($C36=1,INDEX(Setup!$O$6:$AL$23,17,17)&lt;&gt;"",K36=0),17+IF(INDEX(Setup!$O$6:$AL$23,17,17)="T",100,0),"")</f>
        <v/>
      </c>
      <c r="BE84">
        <f>IF(AND($C37=1,INDEX(Setup!$O$6:$AL$23,17,18)&lt;&gt;"",K37=0),18+IF(INDEX(Setup!$O$6:$AL$23,17,18)="T",100,0),"")</f>
        <v/>
      </c>
      <c r="BF84">
        <f>IF(AND($C38=1,INDEX(Setup!$O$6:$AL$23,17,19)&lt;&gt;"",K38=0),19+IF(INDEX(Setup!$O$6:$AL$23,17,19)="T",100,0),"")</f>
        <v/>
      </c>
      <c r="BG84">
        <f>IF(AND($C39=1,INDEX(Setup!$O$6:$AL$23,17,20)&lt;&gt;"",K39=0),20+IF(INDEX(Setup!$O$6:$AL$23,17,20)="T",100,0),"")</f>
        <v/>
      </c>
      <c r="BH84">
        <f>IF(AND($C40=1,INDEX(Setup!$O$6:$AL$23,17,21)&lt;&gt;"",K40=0),21+IF(INDEX(Setup!$O$6:$AL$23,17,21)="T",100,0),"")</f>
        <v/>
      </c>
      <c r="BI84">
        <f>IF(AND($C41=1,INDEX(Setup!$O$6:$AL$23,17,22)&lt;&gt;"",K41=0),22+IF(INDEX(Setup!$O$6:$AL$23,17,22)="T",100,0),"")</f>
        <v/>
      </c>
      <c r="BJ84">
        <f>IF(AND($C42=1,INDEX(Setup!$O$6:$AL$23,17,23)&lt;&gt;"",K42=0),23+IF(INDEX(Setup!$O$6:$AL$23,17,23)="T",100,0),"")</f>
        <v/>
      </c>
      <c r="BK84">
        <f>IF(AND($C43=1,INDEX(Setup!$O$6:$AL$23,17,24)&lt;&gt;"",K43=0),24+IF(INDEX(Setup!$O$6:$AL$23,17,24)="T",100,0),"")</f>
        <v/>
      </c>
      <c r="BM84">
        <f>IF(AND(AN84&lt;&gt;"",COUNTIF($C$63:$E$63,$B20)+COUNTIF($C$63:$E$63,$B20&amp;" ~*")=0),($R20+COUNTIF($H$68:$H83,$B20)+COUNTIF($H$68:$H83,$B20&amp;" ~*"))*1000+IF(AN84&gt;100,500,0)+1,"")</f>
        <v/>
      </c>
      <c r="BN84">
        <f>IF(AND(AO84&lt;&gt;"",COUNTIF($C$63:$E$63,$B21)+COUNTIF($C$63:$E$63,$B21&amp;" ~*")=0),($R21+COUNTIF($H$68:$H83,$B21)+COUNTIF($H$68:$H83,$B21&amp;" ~*"))*1000+IF(AO84&gt;100,500,0)+2,"")</f>
        <v/>
      </c>
      <c r="BO84">
        <f>IF(AND(AP84&lt;&gt;"",COUNTIF($C$63:$E$63,$B22)+COUNTIF($C$63:$E$63,$B22&amp;" ~*")=0),($R22+COUNTIF($H$68:$H83,$B22)+COUNTIF($H$68:$H83,$B22&amp;" ~*"))*1000+IF(AP84&gt;100,500,0)+3,"")</f>
        <v/>
      </c>
      <c r="BP84">
        <f>IF(AND(AQ84&lt;&gt;"",COUNTIF($C$63:$E$63,$B23)+COUNTIF($C$63:$E$63,$B23&amp;" ~*")=0),($R23+COUNTIF($H$68:$H83,$B23)+COUNTIF($H$68:$H83,$B23&amp;" ~*"))*1000+IF(AQ84&gt;100,500,0)+4,"")</f>
        <v/>
      </c>
      <c r="BQ84">
        <f>IF(AND(AR84&lt;&gt;"",COUNTIF($C$63:$E$63,$B24)+COUNTIF($C$63:$E$63,$B24&amp;" ~*")=0),($R24+COUNTIF($H$68:$H83,$B24)+COUNTIF($H$68:$H83,$B24&amp;" ~*"))*1000+IF(AR84&gt;100,500,0)+5,"")</f>
        <v/>
      </c>
      <c r="BR84">
        <f>IF(AND(AS84&lt;&gt;"",COUNTIF($C$63:$E$63,$B25)+COUNTIF($C$63:$E$63,$B25&amp;" ~*")=0),($R25+COUNTIF($H$68:$H83,$B25)+COUNTIF($H$68:$H83,$B25&amp;" ~*"))*1000+IF(AS84&gt;100,500,0)+6,"")</f>
        <v/>
      </c>
      <c r="BS84">
        <f>IF(AND(AT84&lt;&gt;"",COUNTIF($C$63:$E$63,$B26)+COUNTIF($C$63:$E$63,$B26&amp;" ~*")=0),($R26+COUNTIF($H$68:$H83,$B26)+COUNTIF($H$68:$H83,$B26&amp;" ~*"))*1000+IF(AT84&gt;100,500,0)+7,"")</f>
        <v/>
      </c>
      <c r="BT84">
        <f>IF(AND(AU84&lt;&gt;"",COUNTIF($C$63:$E$63,$B27)+COUNTIF($C$63:$E$63,$B27&amp;" ~*")=0),($R27+COUNTIF($H$68:$H83,$B27)+COUNTIF($H$68:$H83,$B27&amp;" ~*"))*1000+IF(AU84&gt;100,500,0)+8,"")</f>
        <v/>
      </c>
      <c r="BU84">
        <f>IF(AND(AV84&lt;&gt;"",COUNTIF($C$63:$E$63,$B28)+COUNTIF($C$63:$E$63,$B28&amp;" ~*")=0),($R28+COUNTIF($H$68:$H83,$B28)+COUNTIF($H$68:$H83,$B28&amp;" ~*"))*1000+IF(AV84&gt;100,500,0)+9,"")</f>
        <v/>
      </c>
      <c r="BV84">
        <f>IF(AND(AW84&lt;&gt;"",COUNTIF($C$63:$E$63,$B29)+COUNTIF($C$63:$E$63,$B29&amp;" ~*")=0),($R29+COUNTIF($H$68:$H83,$B29)+COUNTIF($H$68:$H83,$B29&amp;" ~*"))*1000+IF(AW84&gt;100,500,0)+10,"")</f>
        <v/>
      </c>
      <c r="BW84">
        <f>IF(AND(AX84&lt;&gt;"",COUNTIF($C$63:$E$63,$B30)+COUNTIF($C$63:$E$63,$B30&amp;" ~*")=0),($R30+COUNTIF($H$68:$H83,$B30)+COUNTIF($H$68:$H83,$B30&amp;" ~*"))*1000+IF(AX84&gt;100,500,0)+11,"")</f>
        <v/>
      </c>
      <c r="BX84">
        <f>IF(AND(AY84&lt;&gt;"",COUNTIF($C$63:$E$63,$B31)+COUNTIF($C$63:$E$63,$B31&amp;" ~*")=0),($R31+COUNTIF($H$68:$H83,$B31)+COUNTIF($H$68:$H83,$B31&amp;" ~*"))*1000+IF(AY84&gt;100,500,0)+12,"")</f>
        <v/>
      </c>
      <c r="BY84">
        <f>IF(AND(AZ84&lt;&gt;"",COUNTIF($C$63:$E$63,$B32)+COUNTIF($C$63:$E$63,$B32&amp;" ~*")=0),($R32+COUNTIF($H$68:$H83,$B32)+COUNTIF($H$68:$H83,$B32&amp;" ~*"))*1000+IF(AZ84&gt;100,500,0)+13,"")</f>
        <v/>
      </c>
      <c r="BZ84">
        <f>IF(AND(BA84&lt;&gt;"",COUNTIF($C$63:$E$63,$B33)+COUNTIF($C$63:$E$63,$B33&amp;" ~*")=0),($R33+COUNTIF($H$68:$H83,$B33)+COUNTIF($H$68:$H83,$B33&amp;" ~*"))*1000+IF(BA84&gt;100,500,0)+14,"")</f>
        <v/>
      </c>
      <c r="CA84">
        <f>IF(AND(BB84&lt;&gt;"",COUNTIF($C$63:$E$63,$B34)+COUNTIF($C$63:$E$63,$B34&amp;" ~*")=0),($R34+COUNTIF($H$68:$H83,$B34)+COUNTIF($H$68:$H83,$B34&amp;" ~*"))*1000+IF(BB84&gt;100,500,0)+15,"")</f>
        <v/>
      </c>
      <c r="CB84">
        <f>IF(AND(BC84&lt;&gt;"",COUNTIF($C$63:$E$63,$B35)+COUNTIF($C$63:$E$63,$B35&amp;" ~*")=0),($R35+COUNTIF($H$68:$H83,$B35)+COUNTIF($H$68:$H83,$B35&amp;" ~*"))*1000+IF(BC84&gt;100,500,0)+16,"")</f>
        <v/>
      </c>
      <c r="CC84">
        <f>IF(AND(BD84&lt;&gt;"",COUNTIF($C$63:$E$63,$B36)+COUNTIF($C$63:$E$63,$B36&amp;" ~*")=0),($R36+COUNTIF($H$68:$H83,$B36)+COUNTIF($H$68:$H83,$B36&amp;" ~*"))*1000+IF(BD84&gt;100,500,0)+17,"")</f>
        <v/>
      </c>
      <c r="CD84">
        <f>IF(AND(BE84&lt;&gt;"",COUNTIF($C$63:$E$63,$B37)+COUNTIF($C$63:$E$63,$B37&amp;" ~*")=0),($R37+COUNTIF($H$68:$H83,$B37)+COUNTIF($H$68:$H83,$B37&amp;" ~*"))*1000+IF(BE84&gt;100,500,0)+18,"")</f>
        <v/>
      </c>
      <c r="CE84">
        <f>IF(AND(BF84&lt;&gt;"",COUNTIF($C$63:$E$63,$B38)+COUNTIF($C$63:$E$63,$B38&amp;" ~*")=0),($R38+COUNTIF($H$68:$H83,$B38)+COUNTIF($H$68:$H83,$B38&amp;" ~*"))*1000+IF(BF84&gt;100,500,0)+19,"")</f>
        <v/>
      </c>
      <c r="CF84">
        <f>IF(AND(BG84&lt;&gt;"",COUNTIF($C$63:$E$63,$B39)+COUNTIF($C$63:$E$63,$B39&amp;" ~*")=0),($R39+COUNTIF($H$68:$H83,$B39)+COUNTIF($H$68:$H83,$B39&amp;" ~*"))*1000+IF(BG84&gt;100,500,0)+20,"")</f>
        <v/>
      </c>
      <c r="CG84">
        <f>IF(AND(BH84&lt;&gt;"",COUNTIF($C$63:$E$63,$B40)+COUNTIF($C$63:$E$63,$B40&amp;" ~*")=0),($R40+COUNTIF($H$68:$H83,$B40)+COUNTIF($H$68:$H83,$B40&amp;" ~*"))*1000+IF(BH84&gt;100,500,0)+21,"")</f>
        <v/>
      </c>
      <c r="CH84">
        <f>IF(AND(BI84&lt;&gt;"",COUNTIF($C$63:$E$63,$B41)+COUNTIF($C$63:$E$63,$B41&amp;" ~*")=0),($R41+COUNTIF($H$68:$H83,$B41)+COUNTIF($H$68:$H83,$B41&amp;" ~*"))*1000+IF(BI84&gt;100,500,0)+22,"")</f>
        <v/>
      </c>
      <c r="CI84">
        <f>IF(AND(BJ84&lt;&gt;"",COUNTIF($C$63:$E$63,$B42)+COUNTIF($C$63:$E$63,$B42&amp;" ~*")=0),($R42+COUNTIF($H$68:$H83,$B42)+COUNTIF($H$68:$H83,$B42&amp;" ~*"))*1000+IF(BJ84&gt;100,500,0)+23,"")</f>
        <v/>
      </c>
      <c r="CJ84">
        <f>IF(AND(BK84&lt;&gt;"",COUNTIF($C$63:$E$63,$B43)+COUNTIF($C$63:$E$63,$B43&amp;" ~*")=0),($R43+COUNTIF($H$68:$H83,$B43)+COUNTIF($H$68:$H83,$B43&amp;" ~*"))*1000+IF(BK84&gt;100,500,0)+24,"")</f>
        <v/>
      </c>
    </row>
    <row r="85">
      <c r="A85" t="n">
        <v>1</v>
      </c>
      <c r="B85" t="n">
        <v>18</v>
      </c>
      <c r="C85">
        <f>$B$64</f>
        <v/>
      </c>
      <c r="D85" t="inlineStr">
        <is>
          <t>Mon</t>
        </is>
      </c>
      <c r="E85">
        <f>IF(C85="","",N($AB$64))</f>
        <v/>
      </c>
      <c r="F85">
        <f>IF(C85="","",COUNTIF($C$64:$E$64,"?*"))</f>
        <v/>
      </c>
      <c r="G85">
        <f>IF(C85="","",MAX(0,E85-F85))</f>
        <v/>
      </c>
      <c r="H85">
        <f>IF(N(G85)=0,"",IF(COUNT(BM85:CJ85)=0,"no-one eligible",INDEX(Engine!$B$20:$B$43,MOD(MIN(BM85:CJ85),500))&amp;IF(MOD(MIN(BM85:CJ85),1000)&gt;=500," *","")))</f>
        <v/>
      </c>
      <c r="I85">
        <f>IF(N(G85)&gt;0,COUNTIF($G$68:G85,"&gt;0"),"")</f>
        <v/>
      </c>
      <c r="J85">
        <f>IF(C85="","",IF($C$64="",0,IF(IFERROR(INDEX(Setup!$O$6:$AL$23,18,MATCH(SUBSTITUTE($C$64," *",""),Setup!$B$6:$B$29,0)),"")="",1,0))+IF($D$64="",0,IF(IFERROR(INDEX(Setup!$O$6:$AL$23,18,MATCH(SUBSTITUTE($D$64," *",""),Setup!$B$6:$B$29,0)),"")="",1,0))+IF($E$64="",0,IF(IFERROR(INDEX(Setup!$O$6:$AL$23,18,MATCH(SUBSTITUTE($E$64," *",""),Setup!$B$6:$B$29,0)),"")="",1,0)))</f>
        <v/>
      </c>
      <c r="K85">
        <f>IF($B$12+0=TODAY(),1,0)</f>
        <v/>
      </c>
      <c r="N85">
        <f>COUNT($AN85:$BK85)</f>
        <v/>
      </c>
      <c r="O85">
        <f>IF(1&gt;$N85,"",INDEX(Engine!$B$20:$B$43,MOD(SMALL($AN85:$BK85,1),100))&amp;IF(SMALL($AN85:$BK85,1)&gt;100," *",""))</f>
        <v/>
      </c>
      <c r="P85">
        <f>IF(2&gt;$N85,"",INDEX(Engine!$B$20:$B$43,MOD(SMALL($AN85:$BK85,2),100))&amp;IF(SMALL($AN85:$BK85,2)&gt;100," *",""))</f>
        <v/>
      </c>
      <c r="Q85">
        <f>IF(3&gt;$N85,"",INDEX(Engine!$B$20:$B$43,MOD(SMALL($AN85:$BK85,3),100))&amp;IF(SMALL($AN85:$BK85,3)&gt;100," *",""))</f>
        <v/>
      </c>
      <c r="R85">
        <f>IF(4&gt;$N85,"",INDEX(Engine!$B$20:$B$43,MOD(SMALL($AN85:$BK85,4),100))&amp;IF(SMALL($AN85:$BK85,4)&gt;100," *",""))</f>
        <v/>
      </c>
      <c r="S85">
        <f>IF(5&gt;$N85,"",INDEX(Engine!$B$20:$B$43,MOD(SMALL($AN85:$BK85,5),100))&amp;IF(SMALL($AN85:$BK85,5)&gt;100," *",""))</f>
        <v/>
      </c>
      <c r="T85">
        <f>IF(6&gt;$N85,"",INDEX(Engine!$B$20:$B$43,MOD(SMALL($AN85:$BK85,6),100))&amp;IF(SMALL($AN85:$BK85,6)&gt;100," *",""))</f>
        <v/>
      </c>
      <c r="U85">
        <f>IF(7&gt;$N85,"",INDEX(Engine!$B$20:$B$43,MOD(SMALL($AN85:$BK85,7),100))&amp;IF(SMALL($AN85:$BK85,7)&gt;100," *",""))</f>
        <v/>
      </c>
      <c r="V85">
        <f>IF(8&gt;$N85,"",INDEX(Engine!$B$20:$B$43,MOD(SMALL($AN85:$BK85,8),100))&amp;IF(SMALL($AN85:$BK85,8)&gt;100," *",""))</f>
        <v/>
      </c>
      <c r="W85">
        <f>IF(9&gt;$N85,"",INDEX(Engine!$B$20:$B$43,MOD(SMALL($AN85:$BK85,9),100))&amp;IF(SMALL($AN85:$BK85,9)&gt;100," *",""))</f>
        <v/>
      </c>
      <c r="X85">
        <f>IF(10&gt;$N85,"",INDEX(Engine!$B$20:$B$43,MOD(SMALL($AN85:$BK85,10),100))&amp;IF(SMALL($AN85:$BK85,10)&gt;100," *",""))</f>
        <v/>
      </c>
      <c r="Y85">
        <f>IF(11&gt;$N85,"",INDEX(Engine!$B$20:$B$43,MOD(SMALL($AN85:$BK85,11),100))&amp;IF(SMALL($AN85:$BK85,11)&gt;100," *",""))</f>
        <v/>
      </c>
      <c r="Z85">
        <f>IF(12&gt;$N85,"",INDEX(Engine!$B$20:$B$43,MOD(SMALL($AN85:$BK85,12),100))&amp;IF(SMALL($AN85:$BK85,12)&gt;100," *",""))</f>
        <v/>
      </c>
      <c r="AA85">
        <f>IF(13&gt;$N85,"",INDEX(Engine!$B$20:$B$43,MOD(SMALL($AN85:$BK85,13),100))&amp;IF(SMALL($AN85:$BK85,13)&gt;100," *",""))</f>
        <v/>
      </c>
      <c r="AB85">
        <f>IF(14&gt;$N85,"",INDEX(Engine!$B$20:$B$43,MOD(SMALL($AN85:$BK85,14),100))&amp;IF(SMALL($AN85:$BK85,14)&gt;100," *",""))</f>
        <v/>
      </c>
      <c r="AC85">
        <f>IF(15&gt;$N85,"",INDEX(Engine!$B$20:$B$43,MOD(SMALL($AN85:$BK85,15),100))&amp;IF(SMALL($AN85:$BK85,15)&gt;100," *",""))</f>
        <v/>
      </c>
      <c r="AD85">
        <f>IF(16&gt;$N85,"",INDEX(Engine!$B$20:$B$43,MOD(SMALL($AN85:$BK85,16),100))&amp;IF(SMALL($AN85:$BK85,16)&gt;100," *",""))</f>
        <v/>
      </c>
      <c r="AE85">
        <f>IF(17&gt;$N85,"",INDEX(Engine!$B$20:$B$43,MOD(SMALL($AN85:$BK85,17),100))&amp;IF(SMALL($AN85:$BK85,17)&gt;100," *",""))</f>
        <v/>
      </c>
      <c r="AF85">
        <f>IF(18&gt;$N85,"",INDEX(Engine!$B$20:$B$43,MOD(SMALL($AN85:$BK85,18),100))&amp;IF(SMALL($AN85:$BK85,18)&gt;100," *",""))</f>
        <v/>
      </c>
      <c r="AG85">
        <f>IF(19&gt;$N85,"",INDEX(Engine!$B$20:$B$43,MOD(SMALL($AN85:$BK85,19),100))&amp;IF(SMALL($AN85:$BK85,19)&gt;100," *",""))</f>
        <v/>
      </c>
      <c r="AH85">
        <f>IF(20&gt;$N85,"",INDEX(Engine!$B$20:$B$43,MOD(SMALL($AN85:$BK85,20),100))&amp;IF(SMALL($AN85:$BK85,20)&gt;100," *",""))</f>
        <v/>
      </c>
      <c r="AI85">
        <f>IF(21&gt;$N85,"",INDEX(Engine!$B$20:$B$43,MOD(SMALL($AN85:$BK85,21),100))&amp;IF(SMALL($AN85:$BK85,21)&gt;100," *",""))</f>
        <v/>
      </c>
      <c r="AJ85">
        <f>IF(22&gt;$N85,"",INDEX(Engine!$B$20:$B$43,MOD(SMALL($AN85:$BK85,22),100))&amp;IF(SMALL($AN85:$BK85,22)&gt;100," *",""))</f>
        <v/>
      </c>
      <c r="AK85">
        <f>IF(23&gt;$N85,"",INDEX(Engine!$B$20:$B$43,MOD(SMALL($AN85:$BK85,23),100))&amp;IF(SMALL($AN85:$BK85,23)&gt;100," *",""))</f>
        <v/>
      </c>
      <c r="AL85">
        <f>IF(24&gt;$N85,"",INDEX(Engine!$B$20:$B$43,MOD(SMALL($AN85:$BK85,24),100))&amp;IF(SMALL($AN85:$BK85,24)&gt;100," *",""))</f>
        <v/>
      </c>
      <c r="AN85">
        <f>IF(AND($C20=1,INDEX(Setup!$O$6:$AL$23,18,1)&lt;&gt;"",K20=0),1+IF(INDEX(Setup!$O$6:$AL$23,18,1)="T",100,0),"")</f>
        <v/>
      </c>
      <c r="AO85">
        <f>IF(AND($C21=1,INDEX(Setup!$O$6:$AL$23,18,2)&lt;&gt;"",K21=0),2+IF(INDEX(Setup!$O$6:$AL$23,18,2)="T",100,0),"")</f>
        <v/>
      </c>
      <c r="AP85">
        <f>IF(AND($C22=1,INDEX(Setup!$O$6:$AL$23,18,3)&lt;&gt;"",K22=0),3+IF(INDEX(Setup!$O$6:$AL$23,18,3)="T",100,0),"")</f>
        <v/>
      </c>
      <c r="AQ85">
        <f>IF(AND($C23=1,INDEX(Setup!$O$6:$AL$23,18,4)&lt;&gt;"",K23=0),4+IF(INDEX(Setup!$O$6:$AL$23,18,4)="T",100,0),"")</f>
        <v/>
      </c>
      <c r="AR85">
        <f>IF(AND($C24=1,INDEX(Setup!$O$6:$AL$23,18,5)&lt;&gt;"",K24=0),5+IF(INDEX(Setup!$O$6:$AL$23,18,5)="T",100,0),"")</f>
        <v/>
      </c>
      <c r="AS85">
        <f>IF(AND($C25=1,INDEX(Setup!$O$6:$AL$23,18,6)&lt;&gt;"",K25=0),6+IF(INDEX(Setup!$O$6:$AL$23,18,6)="T",100,0),"")</f>
        <v/>
      </c>
      <c r="AT85">
        <f>IF(AND($C26=1,INDEX(Setup!$O$6:$AL$23,18,7)&lt;&gt;"",K26=0),7+IF(INDEX(Setup!$O$6:$AL$23,18,7)="T",100,0),"")</f>
        <v/>
      </c>
      <c r="AU85">
        <f>IF(AND($C27=1,INDEX(Setup!$O$6:$AL$23,18,8)&lt;&gt;"",K27=0),8+IF(INDEX(Setup!$O$6:$AL$23,18,8)="T",100,0),"")</f>
        <v/>
      </c>
      <c r="AV85">
        <f>IF(AND($C28=1,INDEX(Setup!$O$6:$AL$23,18,9)&lt;&gt;"",K28=0),9+IF(INDEX(Setup!$O$6:$AL$23,18,9)="T",100,0),"")</f>
        <v/>
      </c>
      <c r="AW85">
        <f>IF(AND($C29=1,INDEX(Setup!$O$6:$AL$23,18,10)&lt;&gt;"",K29=0),10+IF(INDEX(Setup!$O$6:$AL$23,18,10)="T",100,0),"")</f>
        <v/>
      </c>
      <c r="AX85">
        <f>IF(AND($C30=1,INDEX(Setup!$O$6:$AL$23,18,11)&lt;&gt;"",K30=0),11+IF(INDEX(Setup!$O$6:$AL$23,18,11)="T",100,0),"")</f>
        <v/>
      </c>
      <c r="AY85">
        <f>IF(AND($C31=1,INDEX(Setup!$O$6:$AL$23,18,12)&lt;&gt;"",K31=0),12+IF(INDEX(Setup!$O$6:$AL$23,18,12)="T",100,0),"")</f>
        <v/>
      </c>
      <c r="AZ85">
        <f>IF(AND($C32=1,INDEX(Setup!$O$6:$AL$23,18,13)&lt;&gt;"",K32=0),13+IF(INDEX(Setup!$O$6:$AL$23,18,13)="T",100,0),"")</f>
        <v/>
      </c>
      <c r="BA85">
        <f>IF(AND($C33=1,INDEX(Setup!$O$6:$AL$23,18,14)&lt;&gt;"",K33=0),14+IF(INDEX(Setup!$O$6:$AL$23,18,14)="T",100,0),"")</f>
        <v/>
      </c>
      <c r="BB85">
        <f>IF(AND($C34=1,INDEX(Setup!$O$6:$AL$23,18,15)&lt;&gt;"",K34=0),15+IF(INDEX(Setup!$O$6:$AL$23,18,15)="T",100,0),"")</f>
        <v/>
      </c>
      <c r="BC85">
        <f>IF(AND($C35=1,INDEX(Setup!$O$6:$AL$23,18,16)&lt;&gt;"",K35=0),16+IF(INDEX(Setup!$O$6:$AL$23,18,16)="T",100,0),"")</f>
        <v/>
      </c>
      <c r="BD85">
        <f>IF(AND($C36=1,INDEX(Setup!$O$6:$AL$23,18,17)&lt;&gt;"",K36=0),17+IF(INDEX(Setup!$O$6:$AL$23,18,17)="T",100,0),"")</f>
        <v/>
      </c>
      <c r="BE85">
        <f>IF(AND($C37=1,INDEX(Setup!$O$6:$AL$23,18,18)&lt;&gt;"",K37=0),18+IF(INDEX(Setup!$O$6:$AL$23,18,18)="T",100,0),"")</f>
        <v/>
      </c>
      <c r="BF85">
        <f>IF(AND($C38=1,INDEX(Setup!$O$6:$AL$23,18,19)&lt;&gt;"",K38=0),19+IF(INDEX(Setup!$O$6:$AL$23,18,19)="T",100,0),"")</f>
        <v/>
      </c>
      <c r="BG85">
        <f>IF(AND($C39=1,INDEX(Setup!$O$6:$AL$23,18,20)&lt;&gt;"",K39=0),20+IF(INDEX(Setup!$O$6:$AL$23,18,20)="T",100,0),"")</f>
        <v/>
      </c>
      <c r="BH85">
        <f>IF(AND($C40=1,INDEX(Setup!$O$6:$AL$23,18,21)&lt;&gt;"",K40=0),21+IF(INDEX(Setup!$O$6:$AL$23,18,21)="T",100,0),"")</f>
        <v/>
      </c>
      <c r="BI85">
        <f>IF(AND($C41=1,INDEX(Setup!$O$6:$AL$23,18,22)&lt;&gt;"",K41=0),22+IF(INDEX(Setup!$O$6:$AL$23,18,22)="T",100,0),"")</f>
        <v/>
      </c>
      <c r="BJ85">
        <f>IF(AND($C42=1,INDEX(Setup!$O$6:$AL$23,18,23)&lt;&gt;"",K42=0),23+IF(INDEX(Setup!$O$6:$AL$23,18,23)="T",100,0),"")</f>
        <v/>
      </c>
      <c r="BK85">
        <f>IF(AND($C43=1,INDEX(Setup!$O$6:$AL$23,18,24)&lt;&gt;"",K43=0),24+IF(INDEX(Setup!$O$6:$AL$23,18,24)="T",100,0),"")</f>
        <v/>
      </c>
      <c r="BM85">
        <f>IF(AND(AN85&lt;&gt;"",COUNTIF($C$64:$E$64,$B20)+COUNTIF($C$64:$E$64,$B20&amp;" ~*")=0),($R20+COUNTIF($H$68:$H84,$B20)+COUNTIF($H$68:$H84,$B20&amp;" ~*"))*1000+IF(AN85&gt;100,500,0)+1,"")</f>
        <v/>
      </c>
      <c r="BN85">
        <f>IF(AND(AO85&lt;&gt;"",COUNTIF($C$64:$E$64,$B21)+COUNTIF($C$64:$E$64,$B21&amp;" ~*")=0),($R21+COUNTIF($H$68:$H84,$B21)+COUNTIF($H$68:$H84,$B21&amp;" ~*"))*1000+IF(AO85&gt;100,500,0)+2,"")</f>
        <v/>
      </c>
      <c r="BO85">
        <f>IF(AND(AP85&lt;&gt;"",COUNTIF($C$64:$E$64,$B22)+COUNTIF($C$64:$E$64,$B22&amp;" ~*")=0),($R22+COUNTIF($H$68:$H84,$B22)+COUNTIF($H$68:$H84,$B22&amp;" ~*"))*1000+IF(AP85&gt;100,500,0)+3,"")</f>
        <v/>
      </c>
      <c r="BP85">
        <f>IF(AND(AQ85&lt;&gt;"",COUNTIF($C$64:$E$64,$B23)+COUNTIF($C$64:$E$64,$B23&amp;" ~*")=0),($R23+COUNTIF($H$68:$H84,$B23)+COUNTIF($H$68:$H84,$B23&amp;" ~*"))*1000+IF(AQ85&gt;100,500,0)+4,"")</f>
        <v/>
      </c>
      <c r="BQ85">
        <f>IF(AND(AR85&lt;&gt;"",COUNTIF($C$64:$E$64,$B24)+COUNTIF($C$64:$E$64,$B24&amp;" ~*")=0),($R24+COUNTIF($H$68:$H84,$B24)+COUNTIF($H$68:$H84,$B24&amp;" ~*"))*1000+IF(AR85&gt;100,500,0)+5,"")</f>
        <v/>
      </c>
      <c r="BR85">
        <f>IF(AND(AS85&lt;&gt;"",COUNTIF($C$64:$E$64,$B25)+COUNTIF($C$64:$E$64,$B25&amp;" ~*")=0),($R25+COUNTIF($H$68:$H84,$B25)+COUNTIF($H$68:$H84,$B25&amp;" ~*"))*1000+IF(AS85&gt;100,500,0)+6,"")</f>
        <v/>
      </c>
      <c r="BS85">
        <f>IF(AND(AT85&lt;&gt;"",COUNTIF($C$64:$E$64,$B26)+COUNTIF($C$64:$E$64,$B26&amp;" ~*")=0),($R26+COUNTIF($H$68:$H84,$B26)+COUNTIF($H$68:$H84,$B26&amp;" ~*"))*1000+IF(AT85&gt;100,500,0)+7,"")</f>
        <v/>
      </c>
      <c r="BT85">
        <f>IF(AND(AU85&lt;&gt;"",COUNTIF($C$64:$E$64,$B27)+COUNTIF($C$64:$E$64,$B27&amp;" ~*")=0),($R27+COUNTIF($H$68:$H84,$B27)+COUNTIF($H$68:$H84,$B27&amp;" ~*"))*1000+IF(AU85&gt;100,500,0)+8,"")</f>
        <v/>
      </c>
      <c r="BU85">
        <f>IF(AND(AV85&lt;&gt;"",COUNTIF($C$64:$E$64,$B28)+COUNTIF($C$64:$E$64,$B28&amp;" ~*")=0),($R28+COUNTIF($H$68:$H84,$B28)+COUNTIF($H$68:$H84,$B28&amp;" ~*"))*1000+IF(AV85&gt;100,500,0)+9,"")</f>
        <v/>
      </c>
      <c r="BV85">
        <f>IF(AND(AW85&lt;&gt;"",COUNTIF($C$64:$E$64,$B29)+COUNTIF($C$64:$E$64,$B29&amp;" ~*")=0),($R29+COUNTIF($H$68:$H84,$B29)+COUNTIF($H$68:$H84,$B29&amp;" ~*"))*1000+IF(AW85&gt;100,500,0)+10,"")</f>
        <v/>
      </c>
      <c r="BW85">
        <f>IF(AND(AX85&lt;&gt;"",COUNTIF($C$64:$E$64,$B30)+COUNTIF($C$64:$E$64,$B30&amp;" ~*")=0),($R30+COUNTIF($H$68:$H84,$B30)+COUNTIF($H$68:$H84,$B30&amp;" ~*"))*1000+IF(AX85&gt;100,500,0)+11,"")</f>
        <v/>
      </c>
      <c r="BX85">
        <f>IF(AND(AY85&lt;&gt;"",COUNTIF($C$64:$E$64,$B31)+COUNTIF($C$64:$E$64,$B31&amp;" ~*")=0),($R31+COUNTIF($H$68:$H84,$B31)+COUNTIF($H$68:$H84,$B31&amp;" ~*"))*1000+IF(AY85&gt;100,500,0)+12,"")</f>
        <v/>
      </c>
      <c r="BY85">
        <f>IF(AND(AZ85&lt;&gt;"",COUNTIF($C$64:$E$64,$B32)+COUNTIF($C$64:$E$64,$B32&amp;" ~*")=0),($R32+COUNTIF($H$68:$H84,$B32)+COUNTIF($H$68:$H84,$B32&amp;" ~*"))*1000+IF(AZ85&gt;100,500,0)+13,"")</f>
        <v/>
      </c>
      <c r="BZ85">
        <f>IF(AND(BA85&lt;&gt;"",COUNTIF($C$64:$E$64,$B33)+COUNTIF($C$64:$E$64,$B33&amp;" ~*")=0),($R33+COUNTIF($H$68:$H84,$B33)+COUNTIF($H$68:$H84,$B33&amp;" ~*"))*1000+IF(BA85&gt;100,500,0)+14,"")</f>
        <v/>
      </c>
      <c r="CA85">
        <f>IF(AND(BB85&lt;&gt;"",COUNTIF($C$64:$E$64,$B34)+COUNTIF($C$64:$E$64,$B34&amp;" ~*")=0),($R34+COUNTIF($H$68:$H84,$B34)+COUNTIF($H$68:$H84,$B34&amp;" ~*"))*1000+IF(BB85&gt;100,500,0)+15,"")</f>
        <v/>
      </c>
      <c r="CB85">
        <f>IF(AND(BC85&lt;&gt;"",COUNTIF($C$64:$E$64,$B35)+COUNTIF($C$64:$E$64,$B35&amp;" ~*")=0),($R35+COUNTIF($H$68:$H84,$B35)+COUNTIF($H$68:$H84,$B35&amp;" ~*"))*1000+IF(BC85&gt;100,500,0)+16,"")</f>
        <v/>
      </c>
      <c r="CC85">
        <f>IF(AND(BD85&lt;&gt;"",COUNTIF($C$64:$E$64,$B36)+COUNTIF($C$64:$E$64,$B36&amp;" ~*")=0),($R36+COUNTIF($H$68:$H84,$B36)+COUNTIF($H$68:$H84,$B36&amp;" ~*"))*1000+IF(BD85&gt;100,500,0)+17,"")</f>
        <v/>
      </c>
      <c r="CD85">
        <f>IF(AND(BE85&lt;&gt;"",COUNTIF($C$64:$E$64,$B37)+COUNTIF($C$64:$E$64,$B37&amp;" ~*")=0),($R37+COUNTIF($H$68:$H84,$B37)+COUNTIF($H$68:$H84,$B37&amp;" ~*"))*1000+IF(BE85&gt;100,500,0)+18,"")</f>
        <v/>
      </c>
      <c r="CE85">
        <f>IF(AND(BF85&lt;&gt;"",COUNTIF($C$64:$E$64,$B38)+COUNTIF($C$64:$E$64,$B38&amp;" ~*")=0),($R38+COUNTIF($H$68:$H84,$B38)+COUNTIF($H$68:$H84,$B38&amp;" ~*"))*1000+IF(BF85&gt;100,500,0)+19,"")</f>
        <v/>
      </c>
      <c r="CF85">
        <f>IF(AND(BG85&lt;&gt;"",COUNTIF($C$64:$E$64,$B39)+COUNTIF($C$64:$E$64,$B39&amp;" ~*")=0),($R39+COUNTIF($H$68:$H84,$B39)+COUNTIF($H$68:$H84,$B39&amp;" ~*"))*1000+IF(BG85&gt;100,500,0)+20,"")</f>
        <v/>
      </c>
      <c r="CG85">
        <f>IF(AND(BH85&lt;&gt;"",COUNTIF($C$64:$E$64,$B40)+COUNTIF($C$64:$E$64,$B40&amp;" ~*")=0),($R40+COUNTIF($H$68:$H84,$B40)+COUNTIF($H$68:$H84,$B40&amp;" ~*"))*1000+IF(BH85&gt;100,500,0)+21,"")</f>
        <v/>
      </c>
      <c r="CH85">
        <f>IF(AND(BI85&lt;&gt;"",COUNTIF($C$64:$E$64,$B41)+COUNTIF($C$64:$E$64,$B41&amp;" ~*")=0),($R41+COUNTIF($H$68:$H84,$B41)+COUNTIF($H$68:$H84,$B41&amp;" ~*"))*1000+IF(BI85&gt;100,500,0)+22,"")</f>
        <v/>
      </c>
      <c r="CI85">
        <f>IF(AND(BJ85&lt;&gt;"",COUNTIF($C$64:$E$64,$B42)+COUNTIF($C$64:$E$64,$B42&amp;" ~*")=0),($R42+COUNTIF($H$68:$H84,$B42)+COUNTIF($H$68:$H84,$B42&amp;" ~*"))*1000+IF(BJ85&gt;100,500,0)+23,"")</f>
        <v/>
      </c>
      <c r="CJ85">
        <f>IF(AND(BK85&lt;&gt;"",COUNTIF($C$64:$E$64,$B43)+COUNTIF($C$64:$E$64,$B43&amp;" ~*")=0),($R43+COUNTIF($H$68:$H84,$B43)+COUNTIF($H$68:$H84,$B43&amp;" ~*"))*1000+IF(BK85&gt;100,500,0)+24,"")</f>
        <v/>
      </c>
    </row>
    <row r="86">
      <c r="A86" t="n">
        <v>2</v>
      </c>
      <c r="B86" t="n">
        <v>1</v>
      </c>
      <c r="C86">
        <f>$B$47</f>
        <v/>
      </c>
      <c r="D86" t="inlineStr">
        <is>
          <t>Tue</t>
        </is>
      </c>
      <c r="E86">
        <f>IF(C86="","",N($AB$47))</f>
        <v/>
      </c>
      <c r="F86">
        <f>IF(C86="","",COUNTIF($G$47:$I$47,"?*"))</f>
        <v/>
      </c>
      <c r="G86">
        <f>IF(C86="","",MAX(0,E86-F86))</f>
        <v/>
      </c>
      <c r="H86">
        <f>IF(N(G86)=0,"",IF(COUNT(BM86:CJ86)=0,"no-one eligible",INDEX(Engine!$B$20:$B$43,MOD(MIN(BM86:CJ86),500))&amp;IF(MOD(MIN(BM86:CJ86),1000)&gt;=500," *","")))</f>
        <v/>
      </c>
      <c r="I86">
        <f>IF(N(G86)&gt;0,COUNTIF($G$68:G86,"&gt;0"),"")</f>
        <v/>
      </c>
      <c r="J86">
        <f>IF(C86="","",IF($G$47="",0,IF(IFERROR(INDEX(Setup!$O$6:$AL$23,1,MATCH(SUBSTITUTE($G$47," *",""),Setup!$B$6:$B$29,0)),"")="",1,0))+IF($H$47="",0,IF(IFERROR(INDEX(Setup!$O$6:$AL$23,1,MATCH(SUBSTITUTE($H$47," *",""),Setup!$B$6:$B$29,0)),"")="",1,0))+IF($I$47="",0,IF(IFERROR(INDEX(Setup!$O$6:$AL$23,1,MATCH(SUBSTITUTE($I$47," *",""),Setup!$B$6:$B$29,0)),"")="",1,0)))</f>
        <v/>
      </c>
      <c r="K86">
        <f>IF($B$12+1=TODAY(),1,0)</f>
        <v/>
      </c>
      <c r="N86">
        <f>COUNT($AN86:$BK86)</f>
        <v/>
      </c>
      <c r="O86">
        <f>IF(1&gt;$N86,"",INDEX(Engine!$B$20:$B$43,MOD(SMALL($AN86:$BK86,1),100))&amp;IF(SMALL($AN86:$BK86,1)&gt;100," *",""))</f>
        <v/>
      </c>
      <c r="P86">
        <f>IF(2&gt;$N86,"",INDEX(Engine!$B$20:$B$43,MOD(SMALL($AN86:$BK86,2),100))&amp;IF(SMALL($AN86:$BK86,2)&gt;100," *",""))</f>
        <v/>
      </c>
      <c r="Q86">
        <f>IF(3&gt;$N86,"",INDEX(Engine!$B$20:$B$43,MOD(SMALL($AN86:$BK86,3),100))&amp;IF(SMALL($AN86:$BK86,3)&gt;100," *",""))</f>
        <v/>
      </c>
      <c r="R86">
        <f>IF(4&gt;$N86,"",INDEX(Engine!$B$20:$B$43,MOD(SMALL($AN86:$BK86,4),100))&amp;IF(SMALL($AN86:$BK86,4)&gt;100," *",""))</f>
        <v/>
      </c>
      <c r="S86">
        <f>IF(5&gt;$N86,"",INDEX(Engine!$B$20:$B$43,MOD(SMALL($AN86:$BK86,5),100))&amp;IF(SMALL($AN86:$BK86,5)&gt;100," *",""))</f>
        <v/>
      </c>
      <c r="T86">
        <f>IF(6&gt;$N86,"",INDEX(Engine!$B$20:$B$43,MOD(SMALL($AN86:$BK86,6),100))&amp;IF(SMALL($AN86:$BK86,6)&gt;100," *",""))</f>
        <v/>
      </c>
      <c r="U86">
        <f>IF(7&gt;$N86,"",INDEX(Engine!$B$20:$B$43,MOD(SMALL($AN86:$BK86,7),100))&amp;IF(SMALL($AN86:$BK86,7)&gt;100," *",""))</f>
        <v/>
      </c>
      <c r="V86">
        <f>IF(8&gt;$N86,"",INDEX(Engine!$B$20:$B$43,MOD(SMALL($AN86:$BK86,8),100))&amp;IF(SMALL($AN86:$BK86,8)&gt;100," *",""))</f>
        <v/>
      </c>
      <c r="W86">
        <f>IF(9&gt;$N86,"",INDEX(Engine!$B$20:$B$43,MOD(SMALL($AN86:$BK86,9),100))&amp;IF(SMALL($AN86:$BK86,9)&gt;100," *",""))</f>
        <v/>
      </c>
      <c r="X86">
        <f>IF(10&gt;$N86,"",INDEX(Engine!$B$20:$B$43,MOD(SMALL($AN86:$BK86,10),100))&amp;IF(SMALL($AN86:$BK86,10)&gt;100," *",""))</f>
        <v/>
      </c>
      <c r="Y86">
        <f>IF(11&gt;$N86,"",INDEX(Engine!$B$20:$B$43,MOD(SMALL($AN86:$BK86,11),100))&amp;IF(SMALL($AN86:$BK86,11)&gt;100," *",""))</f>
        <v/>
      </c>
      <c r="Z86">
        <f>IF(12&gt;$N86,"",INDEX(Engine!$B$20:$B$43,MOD(SMALL($AN86:$BK86,12),100))&amp;IF(SMALL($AN86:$BK86,12)&gt;100," *",""))</f>
        <v/>
      </c>
      <c r="AA86">
        <f>IF(13&gt;$N86,"",INDEX(Engine!$B$20:$B$43,MOD(SMALL($AN86:$BK86,13),100))&amp;IF(SMALL($AN86:$BK86,13)&gt;100," *",""))</f>
        <v/>
      </c>
      <c r="AB86">
        <f>IF(14&gt;$N86,"",INDEX(Engine!$B$20:$B$43,MOD(SMALL($AN86:$BK86,14),100))&amp;IF(SMALL($AN86:$BK86,14)&gt;100," *",""))</f>
        <v/>
      </c>
      <c r="AC86">
        <f>IF(15&gt;$N86,"",INDEX(Engine!$B$20:$B$43,MOD(SMALL($AN86:$BK86,15),100))&amp;IF(SMALL($AN86:$BK86,15)&gt;100," *",""))</f>
        <v/>
      </c>
      <c r="AD86">
        <f>IF(16&gt;$N86,"",INDEX(Engine!$B$20:$B$43,MOD(SMALL($AN86:$BK86,16),100))&amp;IF(SMALL($AN86:$BK86,16)&gt;100," *",""))</f>
        <v/>
      </c>
      <c r="AE86">
        <f>IF(17&gt;$N86,"",INDEX(Engine!$B$20:$B$43,MOD(SMALL($AN86:$BK86,17),100))&amp;IF(SMALL($AN86:$BK86,17)&gt;100," *",""))</f>
        <v/>
      </c>
      <c r="AF86">
        <f>IF(18&gt;$N86,"",INDEX(Engine!$B$20:$B$43,MOD(SMALL($AN86:$BK86,18),100))&amp;IF(SMALL($AN86:$BK86,18)&gt;100," *",""))</f>
        <v/>
      </c>
      <c r="AG86">
        <f>IF(19&gt;$N86,"",INDEX(Engine!$B$20:$B$43,MOD(SMALL($AN86:$BK86,19),100))&amp;IF(SMALL($AN86:$BK86,19)&gt;100," *",""))</f>
        <v/>
      </c>
      <c r="AH86">
        <f>IF(20&gt;$N86,"",INDEX(Engine!$B$20:$B$43,MOD(SMALL($AN86:$BK86,20),100))&amp;IF(SMALL($AN86:$BK86,20)&gt;100," *",""))</f>
        <v/>
      </c>
      <c r="AI86">
        <f>IF(21&gt;$N86,"",INDEX(Engine!$B$20:$B$43,MOD(SMALL($AN86:$BK86,21),100))&amp;IF(SMALL($AN86:$BK86,21)&gt;100," *",""))</f>
        <v/>
      </c>
      <c r="AJ86">
        <f>IF(22&gt;$N86,"",INDEX(Engine!$B$20:$B$43,MOD(SMALL($AN86:$BK86,22),100))&amp;IF(SMALL($AN86:$BK86,22)&gt;100," *",""))</f>
        <v/>
      </c>
      <c r="AK86">
        <f>IF(23&gt;$N86,"",INDEX(Engine!$B$20:$B$43,MOD(SMALL($AN86:$BK86,23),100))&amp;IF(SMALL($AN86:$BK86,23)&gt;100," *",""))</f>
        <v/>
      </c>
      <c r="AL86">
        <f>IF(24&gt;$N86,"",INDEX(Engine!$B$20:$B$43,MOD(SMALL($AN86:$BK86,24),100))&amp;IF(SMALL($AN86:$BK86,24)&gt;100," *",""))</f>
        <v/>
      </c>
      <c r="AN86">
        <f>IF(AND($C20=1,INDEX(Setup!$O$6:$AL$23,1,1)&lt;&gt;"",L20=0),1+IF(INDEX(Setup!$O$6:$AL$23,1,1)="T",100,0),"")</f>
        <v/>
      </c>
      <c r="AO86">
        <f>IF(AND($C21=1,INDEX(Setup!$O$6:$AL$23,1,2)&lt;&gt;"",L21=0),2+IF(INDEX(Setup!$O$6:$AL$23,1,2)="T",100,0),"")</f>
        <v/>
      </c>
      <c r="AP86">
        <f>IF(AND($C22=1,INDEX(Setup!$O$6:$AL$23,1,3)&lt;&gt;"",L22=0),3+IF(INDEX(Setup!$O$6:$AL$23,1,3)="T",100,0),"")</f>
        <v/>
      </c>
      <c r="AQ86">
        <f>IF(AND($C23=1,INDEX(Setup!$O$6:$AL$23,1,4)&lt;&gt;"",L23=0),4+IF(INDEX(Setup!$O$6:$AL$23,1,4)="T",100,0),"")</f>
        <v/>
      </c>
      <c r="AR86">
        <f>IF(AND($C24=1,INDEX(Setup!$O$6:$AL$23,1,5)&lt;&gt;"",L24=0),5+IF(INDEX(Setup!$O$6:$AL$23,1,5)="T",100,0),"")</f>
        <v/>
      </c>
      <c r="AS86">
        <f>IF(AND($C25=1,INDEX(Setup!$O$6:$AL$23,1,6)&lt;&gt;"",L25=0),6+IF(INDEX(Setup!$O$6:$AL$23,1,6)="T",100,0),"")</f>
        <v/>
      </c>
      <c r="AT86">
        <f>IF(AND($C26=1,INDEX(Setup!$O$6:$AL$23,1,7)&lt;&gt;"",L26=0),7+IF(INDEX(Setup!$O$6:$AL$23,1,7)="T",100,0),"")</f>
        <v/>
      </c>
      <c r="AU86">
        <f>IF(AND($C27=1,INDEX(Setup!$O$6:$AL$23,1,8)&lt;&gt;"",L27=0),8+IF(INDEX(Setup!$O$6:$AL$23,1,8)="T",100,0),"")</f>
        <v/>
      </c>
      <c r="AV86">
        <f>IF(AND($C28=1,INDEX(Setup!$O$6:$AL$23,1,9)&lt;&gt;"",L28=0),9+IF(INDEX(Setup!$O$6:$AL$23,1,9)="T",100,0),"")</f>
        <v/>
      </c>
      <c r="AW86">
        <f>IF(AND($C29=1,INDEX(Setup!$O$6:$AL$23,1,10)&lt;&gt;"",L29=0),10+IF(INDEX(Setup!$O$6:$AL$23,1,10)="T",100,0),"")</f>
        <v/>
      </c>
      <c r="AX86">
        <f>IF(AND($C30=1,INDEX(Setup!$O$6:$AL$23,1,11)&lt;&gt;"",L30=0),11+IF(INDEX(Setup!$O$6:$AL$23,1,11)="T",100,0),"")</f>
        <v/>
      </c>
      <c r="AY86">
        <f>IF(AND($C31=1,INDEX(Setup!$O$6:$AL$23,1,12)&lt;&gt;"",L31=0),12+IF(INDEX(Setup!$O$6:$AL$23,1,12)="T",100,0),"")</f>
        <v/>
      </c>
      <c r="AZ86">
        <f>IF(AND($C32=1,INDEX(Setup!$O$6:$AL$23,1,13)&lt;&gt;"",L32=0),13+IF(INDEX(Setup!$O$6:$AL$23,1,13)="T",100,0),"")</f>
        <v/>
      </c>
      <c r="BA86">
        <f>IF(AND($C33=1,INDEX(Setup!$O$6:$AL$23,1,14)&lt;&gt;"",L33=0),14+IF(INDEX(Setup!$O$6:$AL$23,1,14)="T",100,0),"")</f>
        <v/>
      </c>
      <c r="BB86">
        <f>IF(AND($C34=1,INDEX(Setup!$O$6:$AL$23,1,15)&lt;&gt;"",L34=0),15+IF(INDEX(Setup!$O$6:$AL$23,1,15)="T",100,0),"")</f>
        <v/>
      </c>
      <c r="BC86">
        <f>IF(AND($C35=1,INDEX(Setup!$O$6:$AL$23,1,16)&lt;&gt;"",L35=0),16+IF(INDEX(Setup!$O$6:$AL$23,1,16)="T",100,0),"")</f>
        <v/>
      </c>
      <c r="BD86">
        <f>IF(AND($C36=1,INDEX(Setup!$O$6:$AL$23,1,17)&lt;&gt;"",L36=0),17+IF(INDEX(Setup!$O$6:$AL$23,1,17)="T",100,0),"")</f>
        <v/>
      </c>
      <c r="BE86">
        <f>IF(AND($C37=1,INDEX(Setup!$O$6:$AL$23,1,18)&lt;&gt;"",L37=0),18+IF(INDEX(Setup!$O$6:$AL$23,1,18)="T",100,0),"")</f>
        <v/>
      </c>
      <c r="BF86">
        <f>IF(AND($C38=1,INDEX(Setup!$O$6:$AL$23,1,19)&lt;&gt;"",L38=0),19+IF(INDEX(Setup!$O$6:$AL$23,1,19)="T",100,0),"")</f>
        <v/>
      </c>
      <c r="BG86">
        <f>IF(AND($C39=1,INDEX(Setup!$O$6:$AL$23,1,20)&lt;&gt;"",L39=0),20+IF(INDEX(Setup!$O$6:$AL$23,1,20)="T",100,0),"")</f>
        <v/>
      </c>
      <c r="BH86">
        <f>IF(AND($C40=1,INDEX(Setup!$O$6:$AL$23,1,21)&lt;&gt;"",L40=0),21+IF(INDEX(Setup!$O$6:$AL$23,1,21)="T",100,0),"")</f>
        <v/>
      </c>
      <c r="BI86">
        <f>IF(AND($C41=1,INDEX(Setup!$O$6:$AL$23,1,22)&lt;&gt;"",L41=0),22+IF(INDEX(Setup!$O$6:$AL$23,1,22)="T",100,0),"")</f>
        <v/>
      </c>
      <c r="BJ86">
        <f>IF(AND($C42=1,INDEX(Setup!$O$6:$AL$23,1,23)&lt;&gt;"",L42=0),23+IF(INDEX(Setup!$O$6:$AL$23,1,23)="T",100,0),"")</f>
        <v/>
      </c>
      <c r="BK86">
        <f>IF(AND($C43=1,INDEX(Setup!$O$6:$AL$23,1,24)&lt;&gt;"",L43=0),24+IF(INDEX(Setup!$O$6:$AL$23,1,24)="T",100,0),"")</f>
        <v/>
      </c>
      <c r="BM86">
        <f>IF(AND(AN86&lt;&gt;"",COUNTIF($G$47:$I$47,$B20)+COUNTIF($G$47:$I$47,$B20&amp;" ~*")=0),($R20+0)*1000+IF(AN86&gt;100,500,0)+1,"")</f>
        <v/>
      </c>
      <c r="BN86">
        <f>IF(AND(AO86&lt;&gt;"",COUNTIF($G$47:$I$47,$B21)+COUNTIF($G$47:$I$47,$B21&amp;" ~*")=0),($R21+0)*1000+IF(AO86&gt;100,500,0)+2,"")</f>
        <v/>
      </c>
      <c r="BO86">
        <f>IF(AND(AP86&lt;&gt;"",COUNTIF($G$47:$I$47,$B22)+COUNTIF($G$47:$I$47,$B22&amp;" ~*")=0),($R22+0)*1000+IF(AP86&gt;100,500,0)+3,"")</f>
        <v/>
      </c>
      <c r="BP86">
        <f>IF(AND(AQ86&lt;&gt;"",COUNTIF($G$47:$I$47,$B23)+COUNTIF($G$47:$I$47,$B23&amp;" ~*")=0),($R23+0)*1000+IF(AQ86&gt;100,500,0)+4,"")</f>
        <v/>
      </c>
      <c r="BQ86">
        <f>IF(AND(AR86&lt;&gt;"",COUNTIF($G$47:$I$47,$B24)+COUNTIF($G$47:$I$47,$B24&amp;" ~*")=0),($R24+0)*1000+IF(AR86&gt;100,500,0)+5,"")</f>
        <v/>
      </c>
      <c r="BR86">
        <f>IF(AND(AS86&lt;&gt;"",COUNTIF($G$47:$I$47,$B25)+COUNTIF($G$47:$I$47,$B25&amp;" ~*")=0),($R25+0)*1000+IF(AS86&gt;100,500,0)+6,"")</f>
        <v/>
      </c>
      <c r="BS86">
        <f>IF(AND(AT86&lt;&gt;"",COUNTIF($G$47:$I$47,$B26)+COUNTIF($G$47:$I$47,$B26&amp;" ~*")=0),($R26+0)*1000+IF(AT86&gt;100,500,0)+7,"")</f>
        <v/>
      </c>
      <c r="BT86">
        <f>IF(AND(AU86&lt;&gt;"",COUNTIF($G$47:$I$47,$B27)+COUNTIF($G$47:$I$47,$B27&amp;" ~*")=0),($R27+0)*1000+IF(AU86&gt;100,500,0)+8,"")</f>
        <v/>
      </c>
      <c r="BU86">
        <f>IF(AND(AV86&lt;&gt;"",COUNTIF($G$47:$I$47,$B28)+COUNTIF($G$47:$I$47,$B28&amp;" ~*")=0),($R28+0)*1000+IF(AV86&gt;100,500,0)+9,"")</f>
        <v/>
      </c>
      <c r="BV86">
        <f>IF(AND(AW86&lt;&gt;"",COUNTIF($G$47:$I$47,$B29)+COUNTIF($G$47:$I$47,$B29&amp;" ~*")=0),($R29+0)*1000+IF(AW86&gt;100,500,0)+10,"")</f>
        <v/>
      </c>
      <c r="BW86">
        <f>IF(AND(AX86&lt;&gt;"",COUNTIF($G$47:$I$47,$B30)+COUNTIF($G$47:$I$47,$B30&amp;" ~*")=0),($R30+0)*1000+IF(AX86&gt;100,500,0)+11,"")</f>
        <v/>
      </c>
      <c r="BX86">
        <f>IF(AND(AY86&lt;&gt;"",COUNTIF($G$47:$I$47,$B31)+COUNTIF($G$47:$I$47,$B31&amp;" ~*")=0),($R31+0)*1000+IF(AY86&gt;100,500,0)+12,"")</f>
        <v/>
      </c>
      <c r="BY86">
        <f>IF(AND(AZ86&lt;&gt;"",COUNTIF($G$47:$I$47,$B32)+COUNTIF($G$47:$I$47,$B32&amp;" ~*")=0),($R32+0)*1000+IF(AZ86&gt;100,500,0)+13,"")</f>
        <v/>
      </c>
      <c r="BZ86">
        <f>IF(AND(BA86&lt;&gt;"",COUNTIF($G$47:$I$47,$B33)+COUNTIF($G$47:$I$47,$B33&amp;" ~*")=0),($R33+0)*1000+IF(BA86&gt;100,500,0)+14,"")</f>
        <v/>
      </c>
      <c r="CA86">
        <f>IF(AND(BB86&lt;&gt;"",COUNTIF($G$47:$I$47,$B34)+COUNTIF($G$47:$I$47,$B34&amp;" ~*")=0),($R34+0)*1000+IF(BB86&gt;100,500,0)+15,"")</f>
        <v/>
      </c>
      <c r="CB86">
        <f>IF(AND(BC86&lt;&gt;"",COUNTIF($G$47:$I$47,$B35)+COUNTIF($G$47:$I$47,$B35&amp;" ~*")=0),($R35+0)*1000+IF(BC86&gt;100,500,0)+16,"")</f>
        <v/>
      </c>
      <c r="CC86">
        <f>IF(AND(BD86&lt;&gt;"",COUNTIF($G$47:$I$47,$B36)+COUNTIF($G$47:$I$47,$B36&amp;" ~*")=0),($R36+0)*1000+IF(BD86&gt;100,500,0)+17,"")</f>
        <v/>
      </c>
      <c r="CD86">
        <f>IF(AND(BE86&lt;&gt;"",COUNTIF($G$47:$I$47,$B37)+COUNTIF($G$47:$I$47,$B37&amp;" ~*")=0),($R37+0)*1000+IF(BE86&gt;100,500,0)+18,"")</f>
        <v/>
      </c>
      <c r="CE86">
        <f>IF(AND(BF86&lt;&gt;"",COUNTIF($G$47:$I$47,$B38)+COUNTIF($G$47:$I$47,$B38&amp;" ~*")=0),($R38+0)*1000+IF(BF86&gt;100,500,0)+19,"")</f>
        <v/>
      </c>
      <c r="CF86">
        <f>IF(AND(BG86&lt;&gt;"",COUNTIF($G$47:$I$47,$B39)+COUNTIF($G$47:$I$47,$B39&amp;" ~*")=0),($R39+0)*1000+IF(BG86&gt;100,500,0)+20,"")</f>
        <v/>
      </c>
      <c r="CG86">
        <f>IF(AND(BH86&lt;&gt;"",COUNTIF($G$47:$I$47,$B40)+COUNTIF($G$47:$I$47,$B40&amp;" ~*")=0),($R40+0)*1000+IF(BH86&gt;100,500,0)+21,"")</f>
        <v/>
      </c>
      <c r="CH86">
        <f>IF(AND(BI86&lt;&gt;"",COUNTIF($G$47:$I$47,$B41)+COUNTIF($G$47:$I$47,$B41&amp;" ~*")=0),($R41+0)*1000+IF(BI86&gt;100,500,0)+22,"")</f>
        <v/>
      </c>
      <c r="CI86">
        <f>IF(AND(BJ86&lt;&gt;"",COUNTIF($G$47:$I$47,$B42)+COUNTIF($G$47:$I$47,$B42&amp;" ~*")=0),($R42+0)*1000+IF(BJ86&gt;100,500,0)+23,"")</f>
        <v/>
      </c>
      <c r="CJ86">
        <f>IF(AND(BK86&lt;&gt;"",COUNTIF($G$47:$I$47,$B43)+COUNTIF($G$47:$I$47,$B43&amp;" ~*")=0),($R43+0)*1000+IF(BK86&gt;100,500,0)+24,"")</f>
        <v/>
      </c>
    </row>
    <row r="87">
      <c r="A87" t="n">
        <v>2</v>
      </c>
      <c r="B87" t="n">
        <v>2</v>
      </c>
      <c r="C87">
        <f>$B$48</f>
        <v/>
      </c>
      <c r="D87" t="inlineStr">
        <is>
          <t>Tue</t>
        </is>
      </c>
      <c r="E87">
        <f>IF(C87="","",N($AB$48))</f>
        <v/>
      </c>
      <c r="F87">
        <f>IF(C87="","",COUNTIF($G$48:$I$48,"?*"))</f>
        <v/>
      </c>
      <c r="G87">
        <f>IF(C87="","",MAX(0,E87-F87))</f>
        <v/>
      </c>
      <c r="H87">
        <f>IF(N(G87)=0,"",IF(COUNT(BM87:CJ87)=0,"no-one eligible",INDEX(Engine!$B$20:$B$43,MOD(MIN(BM87:CJ87),500))&amp;IF(MOD(MIN(BM87:CJ87),1000)&gt;=500," *","")))</f>
        <v/>
      </c>
      <c r="I87">
        <f>IF(N(G87)&gt;0,COUNTIF($G$68:G87,"&gt;0"),"")</f>
        <v/>
      </c>
      <c r="J87">
        <f>IF(C87="","",IF($G$48="",0,IF(IFERROR(INDEX(Setup!$O$6:$AL$23,2,MATCH(SUBSTITUTE($G$48," *",""),Setup!$B$6:$B$29,0)),"")="",1,0))+IF($H$48="",0,IF(IFERROR(INDEX(Setup!$O$6:$AL$23,2,MATCH(SUBSTITUTE($H$48," *",""),Setup!$B$6:$B$29,0)),"")="",1,0))+IF($I$48="",0,IF(IFERROR(INDEX(Setup!$O$6:$AL$23,2,MATCH(SUBSTITUTE($I$48," *",""),Setup!$B$6:$B$29,0)),"")="",1,0)))</f>
        <v/>
      </c>
      <c r="K87">
        <f>IF($B$12+1=TODAY(),1,0)</f>
        <v/>
      </c>
      <c r="N87">
        <f>COUNT($AN87:$BK87)</f>
        <v/>
      </c>
      <c r="O87">
        <f>IF(1&gt;$N87,"",INDEX(Engine!$B$20:$B$43,MOD(SMALL($AN87:$BK87,1),100))&amp;IF(SMALL($AN87:$BK87,1)&gt;100," *",""))</f>
        <v/>
      </c>
      <c r="P87">
        <f>IF(2&gt;$N87,"",INDEX(Engine!$B$20:$B$43,MOD(SMALL($AN87:$BK87,2),100))&amp;IF(SMALL($AN87:$BK87,2)&gt;100," *",""))</f>
        <v/>
      </c>
      <c r="Q87">
        <f>IF(3&gt;$N87,"",INDEX(Engine!$B$20:$B$43,MOD(SMALL($AN87:$BK87,3),100))&amp;IF(SMALL($AN87:$BK87,3)&gt;100," *",""))</f>
        <v/>
      </c>
      <c r="R87">
        <f>IF(4&gt;$N87,"",INDEX(Engine!$B$20:$B$43,MOD(SMALL($AN87:$BK87,4),100))&amp;IF(SMALL($AN87:$BK87,4)&gt;100," *",""))</f>
        <v/>
      </c>
      <c r="S87">
        <f>IF(5&gt;$N87,"",INDEX(Engine!$B$20:$B$43,MOD(SMALL($AN87:$BK87,5),100))&amp;IF(SMALL($AN87:$BK87,5)&gt;100," *",""))</f>
        <v/>
      </c>
      <c r="T87">
        <f>IF(6&gt;$N87,"",INDEX(Engine!$B$20:$B$43,MOD(SMALL($AN87:$BK87,6),100))&amp;IF(SMALL($AN87:$BK87,6)&gt;100," *",""))</f>
        <v/>
      </c>
      <c r="U87">
        <f>IF(7&gt;$N87,"",INDEX(Engine!$B$20:$B$43,MOD(SMALL($AN87:$BK87,7),100))&amp;IF(SMALL($AN87:$BK87,7)&gt;100," *",""))</f>
        <v/>
      </c>
      <c r="V87">
        <f>IF(8&gt;$N87,"",INDEX(Engine!$B$20:$B$43,MOD(SMALL($AN87:$BK87,8),100))&amp;IF(SMALL($AN87:$BK87,8)&gt;100," *",""))</f>
        <v/>
      </c>
      <c r="W87">
        <f>IF(9&gt;$N87,"",INDEX(Engine!$B$20:$B$43,MOD(SMALL($AN87:$BK87,9),100))&amp;IF(SMALL($AN87:$BK87,9)&gt;100," *",""))</f>
        <v/>
      </c>
      <c r="X87">
        <f>IF(10&gt;$N87,"",INDEX(Engine!$B$20:$B$43,MOD(SMALL($AN87:$BK87,10),100))&amp;IF(SMALL($AN87:$BK87,10)&gt;100," *",""))</f>
        <v/>
      </c>
      <c r="Y87">
        <f>IF(11&gt;$N87,"",INDEX(Engine!$B$20:$B$43,MOD(SMALL($AN87:$BK87,11),100))&amp;IF(SMALL($AN87:$BK87,11)&gt;100," *",""))</f>
        <v/>
      </c>
      <c r="Z87">
        <f>IF(12&gt;$N87,"",INDEX(Engine!$B$20:$B$43,MOD(SMALL($AN87:$BK87,12),100))&amp;IF(SMALL($AN87:$BK87,12)&gt;100," *",""))</f>
        <v/>
      </c>
      <c r="AA87">
        <f>IF(13&gt;$N87,"",INDEX(Engine!$B$20:$B$43,MOD(SMALL($AN87:$BK87,13),100))&amp;IF(SMALL($AN87:$BK87,13)&gt;100," *",""))</f>
        <v/>
      </c>
      <c r="AB87">
        <f>IF(14&gt;$N87,"",INDEX(Engine!$B$20:$B$43,MOD(SMALL($AN87:$BK87,14),100))&amp;IF(SMALL($AN87:$BK87,14)&gt;100," *",""))</f>
        <v/>
      </c>
      <c r="AC87">
        <f>IF(15&gt;$N87,"",INDEX(Engine!$B$20:$B$43,MOD(SMALL($AN87:$BK87,15),100))&amp;IF(SMALL($AN87:$BK87,15)&gt;100," *",""))</f>
        <v/>
      </c>
      <c r="AD87">
        <f>IF(16&gt;$N87,"",INDEX(Engine!$B$20:$B$43,MOD(SMALL($AN87:$BK87,16),100))&amp;IF(SMALL($AN87:$BK87,16)&gt;100," *",""))</f>
        <v/>
      </c>
      <c r="AE87">
        <f>IF(17&gt;$N87,"",INDEX(Engine!$B$20:$B$43,MOD(SMALL($AN87:$BK87,17),100))&amp;IF(SMALL($AN87:$BK87,17)&gt;100," *",""))</f>
        <v/>
      </c>
      <c r="AF87">
        <f>IF(18&gt;$N87,"",INDEX(Engine!$B$20:$B$43,MOD(SMALL($AN87:$BK87,18),100))&amp;IF(SMALL($AN87:$BK87,18)&gt;100," *",""))</f>
        <v/>
      </c>
      <c r="AG87">
        <f>IF(19&gt;$N87,"",INDEX(Engine!$B$20:$B$43,MOD(SMALL($AN87:$BK87,19),100))&amp;IF(SMALL($AN87:$BK87,19)&gt;100," *",""))</f>
        <v/>
      </c>
      <c r="AH87">
        <f>IF(20&gt;$N87,"",INDEX(Engine!$B$20:$B$43,MOD(SMALL($AN87:$BK87,20),100))&amp;IF(SMALL($AN87:$BK87,20)&gt;100," *",""))</f>
        <v/>
      </c>
      <c r="AI87">
        <f>IF(21&gt;$N87,"",INDEX(Engine!$B$20:$B$43,MOD(SMALL($AN87:$BK87,21),100))&amp;IF(SMALL($AN87:$BK87,21)&gt;100," *",""))</f>
        <v/>
      </c>
      <c r="AJ87">
        <f>IF(22&gt;$N87,"",INDEX(Engine!$B$20:$B$43,MOD(SMALL($AN87:$BK87,22),100))&amp;IF(SMALL($AN87:$BK87,22)&gt;100," *",""))</f>
        <v/>
      </c>
      <c r="AK87">
        <f>IF(23&gt;$N87,"",INDEX(Engine!$B$20:$B$43,MOD(SMALL($AN87:$BK87,23),100))&amp;IF(SMALL($AN87:$BK87,23)&gt;100," *",""))</f>
        <v/>
      </c>
      <c r="AL87">
        <f>IF(24&gt;$N87,"",INDEX(Engine!$B$20:$B$43,MOD(SMALL($AN87:$BK87,24),100))&amp;IF(SMALL($AN87:$BK87,24)&gt;100," *",""))</f>
        <v/>
      </c>
      <c r="AN87">
        <f>IF(AND($C20=1,INDEX(Setup!$O$6:$AL$23,2,1)&lt;&gt;"",L20=0),1+IF(INDEX(Setup!$O$6:$AL$23,2,1)="T",100,0),"")</f>
        <v/>
      </c>
      <c r="AO87">
        <f>IF(AND($C21=1,INDEX(Setup!$O$6:$AL$23,2,2)&lt;&gt;"",L21=0),2+IF(INDEX(Setup!$O$6:$AL$23,2,2)="T",100,0),"")</f>
        <v/>
      </c>
      <c r="AP87">
        <f>IF(AND($C22=1,INDEX(Setup!$O$6:$AL$23,2,3)&lt;&gt;"",L22=0),3+IF(INDEX(Setup!$O$6:$AL$23,2,3)="T",100,0),"")</f>
        <v/>
      </c>
      <c r="AQ87">
        <f>IF(AND($C23=1,INDEX(Setup!$O$6:$AL$23,2,4)&lt;&gt;"",L23=0),4+IF(INDEX(Setup!$O$6:$AL$23,2,4)="T",100,0),"")</f>
        <v/>
      </c>
      <c r="AR87">
        <f>IF(AND($C24=1,INDEX(Setup!$O$6:$AL$23,2,5)&lt;&gt;"",L24=0),5+IF(INDEX(Setup!$O$6:$AL$23,2,5)="T",100,0),"")</f>
        <v/>
      </c>
      <c r="AS87">
        <f>IF(AND($C25=1,INDEX(Setup!$O$6:$AL$23,2,6)&lt;&gt;"",L25=0),6+IF(INDEX(Setup!$O$6:$AL$23,2,6)="T",100,0),"")</f>
        <v/>
      </c>
      <c r="AT87">
        <f>IF(AND($C26=1,INDEX(Setup!$O$6:$AL$23,2,7)&lt;&gt;"",L26=0),7+IF(INDEX(Setup!$O$6:$AL$23,2,7)="T",100,0),"")</f>
        <v/>
      </c>
      <c r="AU87">
        <f>IF(AND($C27=1,INDEX(Setup!$O$6:$AL$23,2,8)&lt;&gt;"",L27=0),8+IF(INDEX(Setup!$O$6:$AL$23,2,8)="T",100,0),"")</f>
        <v/>
      </c>
      <c r="AV87">
        <f>IF(AND($C28=1,INDEX(Setup!$O$6:$AL$23,2,9)&lt;&gt;"",L28=0),9+IF(INDEX(Setup!$O$6:$AL$23,2,9)="T",100,0),"")</f>
        <v/>
      </c>
      <c r="AW87">
        <f>IF(AND($C29=1,INDEX(Setup!$O$6:$AL$23,2,10)&lt;&gt;"",L29=0),10+IF(INDEX(Setup!$O$6:$AL$23,2,10)="T",100,0),"")</f>
        <v/>
      </c>
      <c r="AX87">
        <f>IF(AND($C30=1,INDEX(Setup!$O$6:$AL$23,2,11)&lt;&gt;"",L30=0),11+IF(INDEX(Setup!$O$6:$AL$23,2,11)="T",100,0),"")</f>
        <v/>
      </c>
      <c r="AY87">
        <f>IF(AND($C31=1,INDEX(Setup!$O$6:$AL$23,2,12)&lt;&gt;"",L31=0),12+IF(INDEX(Setup!$O$6:$AL$23,2,12)="T",100,0),"")</f>
        <v/>
      </c>
      <c r="AZ87">
        <f>IF(AND($C32=1,INDEX(Setup!$O$6:$AL$23,2,13)&lt;&gt;"",L32=0),13+IF(INDEX(Setup!$O$6:$AL$23,2,13)="T",100,0),"")</f>
        <v/>
      </c>
      <c r="BA87">
        <f>IF(AND($C33=1,INDEX(Setup!$O$6:$AL$23,2,14)&lt;&gt;"",L33=0),14+IF(INDEX(Setup!$O$6:$AL$23,2,14)="T",100,0),"")</f>
        <v/>
      </c>
      <c r="BB87">
        <f>IF(AND($C34=1,INDEX(Setup!$O$6:$AL$23,2,15)&lt;&gt;"",L34=0),15+IF(INDEX(Setup!$O$6:$AL$23,2,15)="T",100,0),"")</f>
        <v/>
      </c>
      <c r="BC87">
        <f>IF(AND($C35=1,INDEX(Setup!$O$6:$AL$23,2,16)&lt;&gt;"",L35=0),16+IF(INDEX(Setup!$O$6:$AL$23,2,16)="T",100,0),"")</f>
        <v/>
      </c>
      <c r="BD87">
        <f>IF(AND($C36=1,INDEX(Setup!$O$6:$AL$23,2,17)&lt;&gt;"",L36=0),17+IF(INDEX(Setup!$O$6:$AL$23,2,17)="T",100,0),"")</f>
        <v/>
      </c>
      <c r="BE87">
        <f>IF(AND($C37=1,INDEX(Setup!$O$6:$AL$23,2,18)&lt;&gt;"",L37=0),18+IF(INDEX(Setup!$O$6:$AL$23,2,18)="T",100,0),"")</f>
        <v/>
      </c>
      <c r="BF87">
        <f>IF(AND($C38=1,INDEX(Setup!$O$6:$AL$23,2,19)&lt;&gt;"",L38=0),19+IF(INDEX(Setup!$O$6:$AL$23,2,19)="T",100,0),"")</f>
        <v/>
      </c>
      <c r="BG87">
        <f>IF(AND($C39=1,INDEX(Setup!$O$6:$AL$23,2,20)&lt;&gt;"",L39=0),20+IF(INDEX(Setup!$O$6:$AL$23,2,20)="T",100,0),"")</f>
        <v/>
      </c>
      <c r="BH87">
        <f>IF(AND($C40=1,INDEX(Setup!$O$6:$AL$23,2,21)&lt;&gt;"",L40=0),21+IF(INDEX(Setup!$O$6:$AL$23,2,21)="T",100,0),"")</f>
        <v/>
      </c>
      <c r="BI87">
        <f>IF(AND($C41=1,INDEX(Setup!$O$6:$AL$23,2,22)&lt;&gt;"",L41=0),22+IF(INDEX(Setup!$O$6:$AL$23,2,22)="T",100,0),"")</f>
        <v/>
      </c>
      <c r="BJ87">
        <f>IF(AND($C42=1,INDEX(Setup!$O$6:$AL$23,2,23)&lt;&gt;"",L42=0),23+IF(INDEX(Setup!$O$6:$AL$23,2,23)="T",100,0),"")</f>
        <v/>
      </c>
      <c r="BK87">
        <f>IF(AND($C43=1,INDEX(Setup!$O$6:$AL$23,2,24)&lt;&gt;"",L43=0),24+IF(INDEX(Setup!$O$6:$AL$23,2,24)="T",100,0),"")</f>
        <v/>
      </c>
      <c r="BM87">
        <f>IF(AND(AN87&lt;&gt;"",COUNTIF($G$48:$I$48,$B20)+COUNTIF($G$48:$I$48,$B20&amp;" ~*")=0),($R20+COUNTIF($H$86:$H86,$B20)+COUNTIF($H$86:$H86,$B20&amp;" ~*"))*1000+IF(AN87&gt;100,500,0)+1,"")</f>
        <v/>
      </c>
      <c r="BN87">
        <f>IF(AND(AO87&lt;&gt;"",COUNTIF($G$48:$I$48,$B21)+COUNTIF($G$48:$I$48,$B21&amp;" ~*")=0),($R21+COUNTIF($H$86:$H86,$B21)+COUNTIF($H$86:$H86,$B21&amp;" ~*"))*1000+IF(AO87&gt;100,500,0)+2,"")</f>
        <v/>
      </c>
      <c r="BO87">
        <f>IF(AND(AP87&lt;&gt;"",COUNTIF($G$48:$I$48,$B22)+COUNTIF($G$48:$I$48,$B22&amp;" ~*")=0),($R22+COUNTIF($H$86:$H86,$B22)+COUNTIF($H$86:$H86,$B22&amp;" ~*"))*1000+IF(AP87&gt;100,500,0)+3,"")</f>
        <v/>
      </c>
      <c r="BP87">
        <f>IF(AND(AQ87&lt;&gt;"",COUNTIF($G$48:$I$48,$B23)+COUNTIF($G$48:$I$48,$B23&amp;" ~*")=0),($R23+COUNTIF($H$86:$H86,$B23)+COUNTIF($H$86:$H86,$B23&amp;" ~*"))*1000+IF(AQ87&gt;100,500,0)+4,"")</f>
        <v/>
      </c>
      <c r="BQ87">
        <f>IF(AND(AR87&lt;&gt;"",COUNTIF($G$48:$I$48,$B24)+COUNTIF($G$48:$I$48,$B24&amp;" ~*")=0),($R24+COUNTIF($H$86:$H86,$B24)+COUNTIF($H$86:$H86,$B24&amp;" ~*"))*1000+IF(AR87&gt;100,500,0)+5,"")</f>
        <v/>
      </c>
      <c r="BR87">
        <f>IF(AND(AS87&lt;&gt;"",COUNTIF($G$48:$I$48,$B25)+COUNTIF($G$48:$I$48,$B25&amp;" ~*")=0),($R25+COUNTIF($H$86:$H86,$B25)+COUNTIF($H$86:$H86,$B25&amp;" ~*"))*1000+IF(AS87&gt;100,500,0)+6,"")</f>
        <v/>
      </c>
      <c r="BS87">
        <f>IF(AND(AT87&lt;&gt;"",COUNTIF($G$48:$I$48,$B26)+COUNTIF($G$48:$I$48,$B26&amp;" ~*")=0),($R26+COUNTIF($H$86:$H86,$B26)+COUNTIF($H$86:$H86,$B26&amp;" ~*"))*1000+IF(AT87&gt;100,500,0)+7,"")</f>
        <v/>
      </c>
      <c r="BT87">
        <f>IF(AND(AU87&lt;&gt;"",COUNTIF($G$48:$I$48,$B27)+COUNTIF($G$48:$I$48,$B27&amp;" ~*")=0),($R27+COUNTIF($H$86:$H86,$B27)+COUNTIF($H$86:$H86,$B27&amp;" ~*"))*1000+IF(AU87&gt;100,500,0)+8,"")</f>
        <v/>
      </c>
      <c r="BU87">
        <f>IF(AND(AV87&lt;&gt;"",COUNTIF($G$48:$I$48,$B28)+COUNTIF($G$48:$I$48,$B28&amp;" ~*")=0),($R28+COUNTIF($H$86:$H86,$B28)+COUNTIF($H$86:$H86,$B28&amp;" ~*"))*1000+IF(AV87&gt;100,500,0)+9,"")</f>
        <v/>
      </c>
      <c r="BV87">
        <f>IF(AND(AW87&lt;&gt;"",COUNTIF($G$48:$I$48,$B29)+COUNTIF($G$48:$I$48,$B29&amp;" ~*")=0),($R29+COUNTIF($H$86:$H86,$B29)+COUNTIF($H$86:$H86,$B29&amp;" ~*"))*1000+IF(AW87&gt;100,500,0)+10,"")</f>
        <v/>
      </c>
      <c r="BW87">
        <f>IF(AND(AX87&lt;&gt;"",COUNTIF($G$48:$I$48,$B30)+COUNTIF($G$48:$I$48,$B30&amp;" ~*")=0),($R30+COUNTIF($H$86:$H86,$B30)+COUNTIF($H$86:$H86,$B30&amp;" ~*"))*1000+IF(AX87&gt;100,500,0)+11,"")</f>
        <v/>
      </c>
      <c r="BX87">
        <f>IF(AND(AY87&lt;&gt;"",COUNTIF($G$48:$I$48,$B31)+COUNTIF($G$48:$I$48,$B31&amp;" ~*")=0),($R31+COUNTIF($H$86:$H86,$B31)+COUNTIF($H$86:$H86,$B31&amp;" ~*"))*1000+IF(AY87&gt;100,500,0)+12,"")</f>
        <v/>
      </c>
      <c r="BY87">
        <f>IF(AND(AZ87&lt;&gt;"",COUNTIF($G$48:$I$48,$B32)+COUNTIF($G$48:$I$48,$B32&amp;" ~*")=0),($R32+COUNTIF($H$86:$H86,$B32)+COUNTIF($H$86:$H86,$B32&amp;" ~*"))*1000+IF(AZ87&gt;100,500,0)+13,"")</f>
        <v/>
      </c>
      <c r="BZ87">
        <f>IF(AND(BA87&lt;&gt;"",COUNTIF($G$48:$I$48,$B33)+COUNTIF($G$48:$I$48,$B33&amp;" ~*")=0),($R33+COUNTIF($H$86:$H86,$B33)+COUNTIF($H$86:$H86,$B33&amp;" ~*"))*1000+IF(BA87&gt;100,500,0)+14,"")</f>
        <v/>
      </c>
      <c r="CA87">
        <f>IF(AND(BB87&lt;&gt;"",COUNTIF($G$48:$I$48,$B34)+COUNTIF($G$48:$I$48,$B34&amp;" ~*")=0),($R34+COUNTIF($H$86:$H86,$B34)+COUNTIF($H$86:$H86,$B34&amp;" ~*"))*1000+IF(BB87&gt;100,500,0)+15,"")</f>
        <v/>
      </c>
      <c r="CB87">
        <f>IF(AND(BC87&lt;&gt;"",COUNTIF($G$48:$I$48,$B35)+COUNTIF($G$48:$I$48,$B35&amp;" ~*")=0),($R35+COUNTIF($H$86:$H86,$B35)+COUNTIF($H$86:$H86,$B35&amp;" ~*"))*1000+IF(BC87&gt;100,500,0)+16,"")</f>
        <v/>
      </c>
      <c r="CC87">
        <f>IF(AND(BD87&lt;&gt;"",COUNTIF($G$48:$I$48,$B36)+COUNTIF($G$48:$I$48,$B36&amp;" ~*")=0),($R36+COUNTIF($H$86:$H86,$B36)+COUNTIF($H$86:$H86,$B36&amp;" ~*"))*1000+IF(BD87&gt;100,500,0)+17,"")</f>
        <v/>
      </c>
      <c r="CD87">
        <f>IF(AND(BE87&lt;&gt;"",COUNTIF($G$48:$I$48,$B37)+COUNTIF($G$48:$I$48,$B37&amp;" ~*")=0),($R37+COUNTIF($H$86:$H86,$B37)+COUNTIF($H$86:$H86,$B37&amp;" ~*"))*1000+IF(BE87&gt;100,500,0)+18,"")</f>
        <v/>
      </c>
      <c r="CE87">
        <f>IF(AND(BF87&lt;&gt;"",COUNTIF($G$48:$I$48,$B38)+COUNTIF($G$48:$I$48,$B38&amp;" ~*")=0),($R38+COUNTIF($H$86:$H86,$B38)+COUNTIF($H$86:$H86,$B38&amp;" ~*"))*1000+IF(BF87&gt;100,500,0)+19,"")</f>
        <v/>
      </c>
      <c r="CF87">
        <f>IF(AND(BG87&lt;&gt;"",COUNTIF($G$48:$I$48,$B39)+COUNTIF($G$48:$I$48,$B39&amp;" ~*")=0),($R39+COUNTIF($H$86:$H86,$B39)+COUNTIF($H$86:$H86,$B39&amp;" ~*"))*1000+IF(BG87&gt;100,500,0)+20,"")</f>
        <v/>
      </c>
      <c r="CG87">
        <f>IF(AND(BH87&lt;&gt;"",COUNTIF($G$48:$I$48,$B40)+COUNTIF($G$48:$I$48,$B40&amp;" ~*")=0),($R40+COUNTIF($H$86:$H86,$B40)+COUNTIF($H$86:$H86,$B40&amp;" ~*"))*1000+IF(BH87&gt;100,500,0)+21,"")</f>
        <v/>
      </c>
      <c r="CH87">
        <f>IF(AND(BI87&lt;&gt;"",COUNTIF($G$48:$I$48,$B41)+COUNTIF($G$48:$I$48,$B41&amp;" ~*")=0),($R41+COUNTIF($H$86:$H86,$B41)+COUNTIF($H$86:$H86,$B41&amp;" ~*"))*1000+IF(BI87&gt;100,500,0)+22,"")</f>
        <v/>
      </c>
      <c r="CI87">
        <f>IF(AND(BJ87&lt;&gt;"",COUNTIF($G$48:$I$48,$B42)+COUNTIF($G$48:$I$48,$B42&amp;" ~*")=0),($R42+COUNTIF($H$86:$H86,$B42)+COUNTIF($H$86:$H86,$B42&amp;" ~*"))*1000+IF(BJ87&gt;100,500,0)+23,"")</f>
        <v/>
      </c>
      <c r="CJ87">
        <f>IF(AND(BK87&lt;&gt;"",COUNTIF($G$48:$I$48,$B43)+COUNTIF($G$48:$I$48,$B43&amp;" ~*")=0),($R43+COUNTIF($H$86:$H86,$B43)+COUNTIF($H$86:$H86,$B43&amp;" ~*"))*1000+IF(BK87&gt;100,500,0)+24,"")</f>
        <v/>
      </c>
    </row>
    <row r="88">
      <c r="A88" t="n">
        <v>2</v>
      </c>
      <c r="B88" t="n">
        <v>3</v>
      </c>
      <c r="C88">
        <f>$B$49</f>
        <v/>
      </c>
      <c r="D88" t="inlineStr">
        <is>
          <t>Tue</t>
        </is>
      </c>
      <c r="E88">
        <f>IF(C88="","",N($AB$49))</f>
        <v/>
      </c>
      <c r="F88">
        <f>IF(C88="","",COUNTIF($G$49:$I$49,"?*"))</f>
        <v/>
      </c>
      <c r="G88">
        <f>IF(C88="","",MAX(0,E88-F88))</f>
        <v/>
      </c>
      <c r="H88">
        <f>IF(N(G88)=0,"",IF(COUNT(BM88:CJ88)=0,"no-one eligible",INDEX(Engine!$B$20:$B$43,MOD(MIN(BM88:CJ88),500))&amp;IF(MOD(MIN(BM88:CJ88),1000)&gt;=500," *","")))</f>
        <v/>
      </c>
      <c r="I88">
        <f>IF(N(G88)&gt;0,COUNTIF($G$68:G88,"&gt;0"),"")</f>
        <v/>
      </c>
      <c r="J88">
        <f>IF(C88="","",IF($G$49="",0,IF(IFERROR(INDEX(Setup!$O$6:$AL$23,3,MATCH(SUBSTITUTE($G$49," *",""),Setup!$B$6:$B$29,0)),"")="",1,0))+IF($H$49="",0,IF(IFERROR(INDEX(Setup!$O$6:$AL$23,3,MATCH(SUBSTITUTE($H$49," *",""),Setup!$B$6:$B$29,0)),"")="",1,0))+IF($I$49="",0,IF(IFERROR(INDEX(Setup!$O$6:$AL$23,3,MATCH(SUBSTITUTE($I$49," *",""),Setup!$B$6:$B$29,0)),"")="",1,0)))</f>
        <v/>
      </c>
      <c r="K88">
        <f>IF($B$12+1=TODAY(),1,0)</f>
        <v/>
      </c>
      <c r="N88">
        <f>COUNT($AN88:$BK88)</f>
        <v/>
      </c>
      <c r="O88">
        <f>IF(1&gt;$N88,"",INDEX(Engine!$B$20:$B$43,MOD(SMALL($AN88:$BK88,1),100))&amp;IF(SMALL($AN88:$BK88,1)&gt;100," *",""))</f>
        <v/>
      </c>
      <c r="P88">
        <f>IF(2&gt;$N88,"",INDEX(Engine!$B$20:$B$43,MOD(SMALL($AN88:$BK88,2),100))&amp;IF(SMALL($AN88:$BK88,2)&gt;100," *",""))</f>
        <v/>
      </c>
      <c r="Q88">
        <f>IF(3&gt;$N88,"",INDEX(Engine!$B$20:$B$43,MOD(SMALL($AN88:$BK88,3),100))&amp;IF(SMALL($AN88:$BK88,3)&gt;100," *",""))</f>
        <v/>
      </c>
      <c r="R88">
        <f>IF(4&gt;$N88,"",INDEX(Engine!$B$20:$B$43,MOD(SMALL($AN88:$BK88,4),100))&amp;IF(SMALL($AN88:$BK88,4)&gt;100," *",""))</f>
        <v/>
      </c>
      <c r="S88">
        <f>IF(5&gt;$N88,"",INDEX(Engine!$B$20:$B$43,MOD(SMALL($AN88:$BK88,5),100))&amp;IF(SMALL($AN88:$BK88,5)&gt;100," *",""))</f>
        <v/>
      </c>
      <c r="T88">
        <f>IF(6&gt;$N88,"",INDEX(Engine!$B$20:$B$43,MOD(SMALL($AN88:$BK88,6),100))&amp;IF(SMALL($AN88:$BK88,6)&gt;100," *",""))</f>
        <v/>
      </c>
      <c r="U88">
        <f>IF(7&gt;$N88,"",INDEX(Engine!$B$20:$B$43,MOD(SMALL($AN88:$BK88,7),100))&amp;IF(SMALL($AN88:$BK88,7)&gt;100," *",""))</f>
        <v/>
      </c>
      <c r="V88">
        <f>IF(8&gt;$N88,"",INDEX(Engine!$B$20:$B$43,MOD(SMALL($AN88:$BK88,8),100))&amp;IF(SMALL($AN88:$BK88,8)&gt;100," *",""))</f>
        <v/>
      </c>
      <c r="W88">
        <f>IF(9&gt;$N88,"",INDEX(Engine!$B$20:$B$43,MOD(SMALL($AN88:$BK88,9),100))&amp;IF(SMALL($AN88:$BK88,9)&gt;100," *",""))</f>
        <v/>
      </c>
      <c r="X88">
        <f>IF(10&gt;$N88,"",INDEX(Engine!$B$20:$B$43,MOD(SMALL($AN88:$BK88,10),100))&amp;IF(SMALL($AN88:$BK88,10)&gt;100," *",""))</f>
        <v/>
      </c>
      <c r="Y88">
        <f>IF(11&gt;$N88,"",INDEX(Engine!$B$20:$B$43,MOD(SMALL($AN88:$BK88,11),100))&amp;IF(SMALL($AN88:$BK88,11)&gt;100," *",""))</f>
        <v/>
      </c>
      <c r="Z88">
        <f>IF(12&gt;$N88,"",INDEX(Engine!$B$20:$B$43,MOD(SMALL($AN88:$BK88,12),100))&amp;IF(SMALL($AN88:$BK88,12)&gt;100," *",""))</f>
        <v/>
      </c>
      <c r="AA88">
        <f>IF(13&gt;$N88,"",INDEX(Engine!$B$20:$B$43,MOD(SMALL($AN88:$BK88,13),100))&amp;IF(SMALL($AN88:$BK88,13)&gt;100," *",""))</f>
        <v/>
      </c>
      <c r="AB88">
        <f>IF(14&gt;$N88,"",INDEX(Engine!$B$20:$B$43,MOD(SMALL($AN88:$BK88,14),100))&amp;IF(SMALL($AN88:$BK88,14)&gt;100," *",""))</f>
        <v/>
      </c>
      <c r="AC88">
        <f>IF(15&gt;$N88,"",INDEX(Engine!$B$20:$B$43,MOD(SMALL($AN88:$BK88,15),100))&amp;IF(SMALL($AN88:$BK88,15)&gt;100," *",""))</f>
        <v/>
      </c>
      <c r="AD88">
        <f>IF(16&gt;$N88,"",INDEX(Engine!$B$20:$B$43,MOD(SMALL($AN88:$BK88,16),100))&amp;IF(SMALL($AN88:$BK88,16)&gt;100," *",""))</f>
        <v/>
      </c>
      <c r="AE88">
        <f>IF(17&gt;$N88,"",INDEX(Engine!$B$20:$B$43,MOD(SMALL($AN88:$BK88,17),100))&amp;IF(SMALL($AN88:$BK88,17)&gt;100," *",""))</f>
        <v/>
      </c>
      <c r="AF88">
        <f>IF(18&gt;$N88,"",INDEX(Engine!$B$20:$B$43,MOD(SMALL($AN88:$BK88,18),100))&amp;IF(SMALL($AN88:$BK88,18)&gt;100," *",""))</f>
        <v/>
      </c>
      <c r="AG88">
        <f>IF(19&gt;$N88,"",INDEX(Engine!$B$20:$B$43,MOD(SMALL($AN88:$BK88,19),100))&amp;IF(SMALL($AN88:$BK88,19)&gt;100," *",""))</f>
        <v/>
      </c>
      <c r="AH88">
        <f>IF(20&gt;$N88,"",INDEX(Engine!$B$20:$B$43,MOD(SMALL($AN88:$BK88,20),100))&amp;IF(SMALL($AN88:$BK88,20)&gt;100," *",""))</f>
        <v/>
      </c>
      <c r="AI88">
        <f>IF(21&gt;$N88,"",INDEX(Engine!$B$20:$B$43,MOD(SMALL($AN88:$BK88,21),100))&amp;IF(SMALL($AN88:$BK88,21)&gt;100," *",""))</f>
        <v/>
      </c>
      <c r="AJ88">
        <f>IF(22&gt;$N88,"",INDEX(Engine!$B$20:$B$43,MOD(SMALL($AN88:$BK88,22),100))&amp;IF(SMALL($AN88:$BK88,22)&gt;100," *",""))</f>
        <v/>
      </c>
      <c r="AK88">
        <f>IF(23&gt;$N88,"",INDEX(Engine!$B$20:$B$43,MOD(SMALL($AN88:$BK88,23),100))&amp;IF(SMALL($AN88:$BK88,23)&gt;100," *",""))</f>
        <v/>
      </c>
      <c r="AL88">
        <f>IF(24&gt;$N88,"",INDEX(Engine!$B$20:$B$43,MOD(SMALL($AN88:$BK88,24),100))&amp;IF(SMALL($AN88:$BK88,24)&gt;100," *",""))</f>
        <v/>
      </c>
      <c r="AN88">
        <f>IF(AND($C20=1,INDEX(Setup!$O$6:$AL$23,3,1)&lt;&gt;"",L20=0),1+IF(INDEX(Setup!$O$6:$AL$23,3,1)="T",100,0),"")</f>
        <v/>
      </c>
      <c r="AO88">
        <f>IF(AND($C21=1,INDEX(Setup!$O$6:$AL$23,3,2)&lt;&gt;"",L21=0),2+IF(INDEX(Setup!$O$6:$AL$23,3,2)="T",100,0),"")</f>
        <v/>
      </c>
      <c r="AP88">
        <f>IF(AND($C22=1,INDEX(Setup!$O$6:$AL$23,3,3)&lt;&gt;"",L22=0),3+IF(INDEX(Setup!$O$6:$AL$23,3,3)="T",100,0),"")</f>
        <v/>
      </c>
      <c r="AQ88">
        <f>IF(AND($C23=1,INDEX(Setup!$O$6:$AL$23,3,4)&lt;&gt;"",L23=0),4+IF(INDEX(Setup!$O$6:$AL$23,3,4)="T",100,0),"")</f>
        <v/>
      </c>
      <c r="AR88">
        <f>IF(AND($C24=1,INDEX(Setup!$O$6:$AL$23,3,5)&lt;&gt;"",L24=0),5+IF(INDEX(Setup!$O$6:$AL$23,3,5)="T",100,0),"")</f>
        <v/>
      </c>
      <c r="AS88">
        <f>IF(AND($C25=1,INDEX(Setup!$O$6:$AL$23,3,6)&lt;&gt;"",L25=0),6+IF(INDEX(Setup!$O$6:$AL$23,3,6)="T",100,0),"")</f>
        <v/>
      </c>
      <c r="AT88">
        <f>IF(AND($C26=1,INDEX(Setup!$O$6:$AL$23,3,7)&lt;&gt;"",L26=0),7+IF(INDEX(Setup!$O$6:$AL$23,3,7)="T",100,0),"")</f>
        <v/>
      </c>
      <c r="AU88">
        <f>IF(AND($C27=1,INDEX(Setup!$O$6:$AL$23,3,8)&lt;&gt;"",L27=0),8+IF(INDEX(Setup!$O$6:$AL$23,3,8)="T",100,0),"")</f>
        <v/>
      </c>
      <c r="AV88">
        <f>IF(AND($C28=1,INDEX(Setup!$O$6:$AL$23,3,9)&lt;&gt;"",L28=0),9+IF(INDEX(Setup!$O$6:$AL$23,3,9)="T",100,0),"")</f>
        <v/>
      </c>
      <c r="AW88">
        <f>IF(AND($C29=1,INDEX(Setup!$O$6:$AL$23,3,10)&lt;&gt;"",L29=0),10+IF(INDEX(Setup!$O$6:$AL$23,3,10)="T",100,0),"")</f>
        <v/>
      </c>
      <c r="AX88">
        <f>IF(AND($C30=1,INDEX(Setup!$O$6:$AL$23,3,11)&lt;&gt;"",L30=0),11+IF(INDEX(Setup!$O$6:$AL$23,3,11)="T",100,0),"")</f>
        <v/>
      </c>
      <c r="AY88">
        <f>IF(AND($C31=1,INDEX(Setup!$O$6:$AL$23,3,12)&lt;&gt;"",L31=0),12+IF(INDEX(Setup!$O$6:$AL$23,3,12)="T",100,0),"")</f>
        <v/>
      </c>
      <c r="AZ88">
        <f>IF(AND($C32=1,INDEX(Setup!$O$6:$AL$23,3,13)&lt;&gt;"",L32=0),13+IF(INDEX(Setup!$O$6:$AL$23,3,13)="T",100,0),"")</f>
        <v/>
      </c>
      <c r="BA88">
        <f>IF(AND($C33=1,INDEX(Setup!$O$6:$AL$23,3,14)&lt;&gt;"",L33=0),14+IF(INDEX(Setup!$O$6:$AL$23,3,14)="T",100,0),"")</f>
        <v/>
      </c>
      <c r="BB88">
        <f>IF(AND($C34=1,INDEX(Setup!$O$6:$AL$23,3,15)&lt;&gt;"",L34=0),15+IF(INDEX(Setup!$O$6:$AL$23,3,15)="T",100,0),"")</f>
        <v/>
      </c>
      <c r="BC88">
        <f>IF(AND($C35=1,INDEX(Setup!$O$6:$AL$23,3,16)&lt;&gt;"",L35=0),16+IF(INDEX(Setup!$O$6:$AL$23,3,16)="T",100,0),"")</f>
        <v/>
      </c>
      <c r="BD88">
        <f>IF(AND($C36=1,INDEX(Setup!$O$6:$AL$23,3,17)&lt;&gt;"",L36=0),17+IF(INDEX(Setup!$O$6:$AL$23,3,17)="T",100,0),"")</f>
        <v/>
      </c>
      <c r="BE88">
        <f>IF(AND($C37=1,INDEX(Setup!$O$6:$AL$23,3,18)&lt;&gt;"",L37=0),18+IF(INDEX(Setup!$O$6:$AL$23,3,18)="T",100,0),"")</f>
        <v/>
      </c>
      <c r="BF88">
        <f>IF(AND($C38=1,INDEX(Setup!$O$6:$AL$23,3,19)&lt;&gt;"",L38=0),19+IF(INDEX(Setup!$O$6:$AL$23,3,19)="T",100,0),"")</f>
        <v/>
      </c>
      <c r="BG88">
        <f>IF(AND($C39=1,INDEX(Setup!$O$6:$AL$23,3,20)&lt;&gt;"",L39=0),20+IF(INDEX(Setup!$O$6:$AL$23,3,20)="T",100,0),"")</f>
        <v/>
      </c>
      <c r="BH88">
        <f>IF(AND($C40=1,INDEX(Setup!$O$6:$AL$23,3,21)&lt;&gt;"",L40=0),21+IF(INDEX(Setup!$O$6:$AL$23,3,21)="T",100,0),"")</f>
        <v/>
      </c>
      <c r="BI88">
        <f>IF(AND($C41=1,INDEX(Setup!$O$6:$AL$23,3,22)&lt;&gt;"",L41=0),22+IF(INDEX(Setup!$O$6:$AL$23,3,22)="T",100,0),"")</f>
        <v/>
      </c>
      <c r="BJ88">
        <f>IF(AND($C42=1,INDEX(Setup!$O$6:$AL$23,3,23)&lt;&gt;"",L42=0),23+IF(INDEX(Setup!$O$6:$AL$23,3,23)="T",100,0),"")</f>
        <v/>
      </c>
      <c r="BK88">
        <f>IF(AND($C43=1,INDEX(Setup!$O$6:$AL$23,3,24)&lt;&gt;"",L43=0),24+IF(INDEX(Setup!$O$6:$AL$23,3,24)="T",100,0),"")</f>
        <v/>
      </c>
      <c r="BM88">
        <f>IF(AND(AN88&lt;&gt;"",COUNTIF($G$49:$I$49,$B20)+COUNTIF($G$49:$I$49,$B20&amp;" ~*")=0),($R20+COUNTIF($H$86:$H87,$B20)+COUNTIF($H$86:$H87,$B20&amp;" ~*"))*1000+IF(AN88&gt;100,500,0)+1,"")</f>
        <v/>
      </c>
      <c r="BN88">
        <f>IF(AND(AO88&lt;&gt;"",COUNTIF($G$49:$I$49,$B21)+COUNTIF($G$49:$I$49,$B21&amp;" ~*")=0),($R21+COUNTIF($H$86:$H87,$B21)+COUNTIF($H$86:$H87,$B21&amp;" ~*"))*1000+IF(AO88&gt;100,500,0)+2,"")</f>
        <v/>
      </c>
      <c r="BO88">
        <f>IF(AND(AP88&lt;&gt;"",COUNTIF($G$49:$I$49,$B22)+COUNTIF($G$49:$I$49,$B22&amp;" ~*")=0),($R22+COUNTIF($H$86:$H87,$B22)+COUNTIF($H$86:$H87,$B22&amp;" ~*"))*1000+IF(AP88&gt;100,500,0)+3,"")</f>
        <v/>
      </c>
      <c r="BP88">
        <f>IF(AND(AQ88&lt;&gt;"",COUNTIF($G$49:$I$49,$B23)+COUNTIF($G$49:$I$49,$B23&amp;" ~*")=0),($R23+COUNTIF($H$86:$H87,$B23)+COUNTIF($H$86:$H87,$B23&amp;" ~*"))*1000+IF(AQ88&gt;100,500,0)+4,"")</f>
        <v/>
      </c>
      <c r="BQ88">
        <f>IF(AND(AR88&lt;&gt;"",COUNTIF($G$49:$I$49,$B24)+COUNTIF($G$49:$I$49,$B24&amp;" ~*")=0),($R24+COUNTIF($H$86:$H87,$B24)+COUNTIF($H$86:$H87,$B24&amp;" ~*"))*1000+IF(AR88&gt;100,500,0)+5,"")</f>
        <v/>
      </c>
      <c r="BR88">
        <f>IF(AND(AS88&lt;&gt;"",COUNTIF($G$49:$I$49,$B25)+COUNTIF($G$49:$I$49,$B25&amp;" ~*")=0),($R25+COUNTIF($H$86:$H87,$B25)+COUNTIF($H$86:$H87,$B25&amp;" ~*"))*1000+IF(AS88&gt;100,500,0)+6,"")</f>
        <v/>
      </c>
      <c r="BS88">
        <f>IF(AND(AT88&lt;&gt;"",COUNTIF($G$49:$I$49,$B26)+COUNTIF($G$49:$I$49,$B26&amp;" ~*")=0),($R26+COUNTIF($H$86:$H87,$B26)+COUNTIF($H$86:$H87,$B26&amp;" ~*"))*1000+IF(AT88&gt;100,500,0)+7,"")</f>
        <v/>
      </c>
      <c r="BT88">
        <f>IF(AND(AU88&lt;&gt;"",COUNTIF($G$49:$I$49,$B27)+COUNTIF($G$49:$I$49,$B27&amp;" ~*")=0),($R27+COUNTIF($H$86:$H87,$B27)+COUNTIF($H$86:$H87,$B27&amp;" ~*"))*1000+IF(AU88&gt;100,500,0)+8,"")</f>
        <v/>
      </c>
      <c r="BU88">
        <f>IF(AND(AV88&lt;&gt;"",COUNTIF($G$49:$I$49,$B28)+COUNTIF($G$49:$I$49,$B28&amp;" ~*")=0),($R28+COUNTIF($H$86:$H87,$B28)+COUNTIF($H$86:$H87,$B28&amp;" ~*"))*1000+IF(AV88&gt;100,500,0)+9,"")</f>
        <v/>
      </c>
      <c r="BV88">
        <f>IF(AND(AW88&lt;&gt;"",COUNTIF($G$49:$I$49,$B29)+COUNTIF($G$49:$I$49,$B29&amp;" ~*")=0),($R29+COUNTIF($H$86:$H87,$B29)+COUNTIF($H$86:$H87,$B29&amp;" ~*"))*1000+IF(AW88&gt;100,500,0)+10,"")</f>
        <v/>
      </c>
      <c r="BW88">
        <f>IF(AND(AX88&lt;&gt;"",COUNTIF($G$49:$I$49,$B30)+COUNTIF($G$49:$I$49,$B30&amp;" ~*")=0),($R30+COUNTIF($H$86:$H87,$B30)+COUNTIF($H$86:$H87,$B30&amp;" ~*"))*1000+IF(AX88&gt;100,500,0)+11,"")</f>
        <v/>
      </c>
      <c r="BX88">
        <f>IF(AND(AY88&lt;&gt;"",COUNTIF($G$49:$I$49,$B31)+COUNTIF($G$49:$I$49,$B31&amp;" ~*")=0),($R31+COUNTIF($H$86:$H87,$B31)+COUNTIF($H$86:$H87,$B31&amp;" ~*"))*1000+IF(AY88&gt;100,500,0)+12,"")</f>
        <v/>
      </c>
      <c r="BY88">
        <f>IF(AND(AZ88&lt;&gt;"",COUNTIF($G$49:$I$49,$B32)+COUNTIF($G$49:$I$49,$B32&amp;" ~*")=0),($R32+COUNTIF($H$86:$H87,$B32)+COUNTIF($H$86:$H87,$B32&amp;" ~*"))*1000+IF(AZ88&gt;100,500,0)+13,"")</f>
        <v/>
      </c>
      <c r="BZ88">
        <f>IF(AND(BA88&lt;&gt;"",COUNTIF($G$49:$I$49,$B33)+COUNTIF($G$49:$I$49,$B33&amp;" ~*")=0),($R33+COUNTIF($H$86:$H87,$B33)+COUNTIF($H$86:$H87,$B33&amp;" ~*"))*1000+IF(BA88&gt;100,500,0)+14,"")</f>
        <v/>
      </c>
      <c r="CA88">
        <f>IF(AND(BB88&lt;&gt;"",COUNTIF($G$49:$I$49,$B34)+COUNTIF($G$49:$I$49,$B34&amp;" ~*")=0),($R34+COUNTIF($H$86:$H87,$B34)+COUNTIF($H$86:$H87,$B34&amp;" ~*"))*1000+IF(BB88&gt;100,500,0)+15,"")</f>
        <v/>
      </c>
      <c r="CB88">
        <f>IF(AND(BC88&lt;&gt;"",COUNTIF($G$49:$I$49,$B35)+COUNTIF($G$49:$I$49,$B35&amp;" ~*")=0),($R35+COUNTIF($H$86:$H87,$B35)+COUNTIF($H$86:$H87,$B35&amp;" ~*"))*1000+IF(BC88&gt;100,500,0)+16,"")</f>
        <v/>
      </c>
      <c r="CC88">
        <f>IF(AND(BD88&lt;&gt;"",COUNTIF($G$49:$I$49,$B36)+COUNTIF($G$49:$I$49,$B36&amp;" ~*")=0),($R36+COUNTIF($H$86:$H87,$B36)+COUNTIF($H$86:$H87,$B36&amp;" ~*"))*1000+IF(BD88&gt;100,500,0)+17,"")</f>
        <v/>
      </c>
      <c r="CD88">
        <f>IF(AND(BE88&lt;&gt;"",COUNTIF($G$49:$I$49,$B37)+COUNTIF($G$49:$I$49,$B37&amp;" ~*")=0),($R37+COUNTIF($H$86:$H87,$B37)+COUNTIF($H$86:$H87,$B37&amp;" ~*"))*1000+IF(BE88&gt;100,500,0)+18,"")</f>
        <v/>
      </c>
      <c r="CE88">
        <f>IF(AND(BF88&lt;&gt;"",COUNTIF($G$49:$I$49,$B38)+COUNTIF($G$49:$I$49,$B38&amp;" ~*")=0),($R38+COUNTIF($H$86:$H87,$B38)+COUNTIF($H$86:$H87,$B38&amp;" ~*"))*1000+IF(BF88&gt;100,500,0)+19,"")</f>
        <v/>
      </c>
      <c r="CF88">
        <f>IF(AND(BG88&lt;&gt;"",COUNTIF($G$49:$I$49,$B39)+COUNTIF($G$49:$I$49,$B39&amp;" ~*")=0),($R39+COUNTIF($H$86:$H87,$B39)+COUNTIF($H$86:$H87,$B39&amp;" ~*"))*1000+IF(BG88&gt;100,500,0)+20,"")</f>
        <v/>
      </c>
      <c r="CG88">
        <f>IF(AND(BH88&lt;&gt;"",COUNTIF($G$49:$I$49,$B40)+COUNTIF($G$49:$I$49,$B40&amp;" ~*")=0),($R40+COUNTIF($H$86:$H87,$B40)+COUNTIF($H$86:$H87,$B40&amp;" ~*"))*1000+IF(BH88&gt;100,500,0)+21,"")</f>
        <v/>
      </c>
      <c r="CH88">
        <f>IF(AND(BI88&lt;&gt;"",COUNTIF($G$49:$I$49,$B41)+COUNTIF($G$49:$I$49,$B41&amp;" ~*")=0),($R41+COUNTIF($H$86:$H87,$B41)+COUNTIF($H$86:$H87,$B41&amp;" ~*"))*1000+IF(BI88&gt;100,500,0)+22,"")</f>
        <v/>
      </c>
      <c r="CI88">
        <f>IF(AND(BJ88&lt;&gt;"",COUNTIF($G$49:$I$49,$B42)+COUNTIF($G$49:$I$49,$B42&amp;" ~*")=0),($R42+COUNTIF($H$86:$H87,$B42)+COUNTIF($H$86:$H87,$B42&amp;" ~*"))*1000+IF(BJ88&gt;100,500,0)+23,"")</f>
        <v/>
      </c>
      <c r="CJ88">
        <f>IF(AND(BK88&lt;&gt;"",COUNTIF($G$49:$I$49,$B43)+COUNTIF($G$49:$I$49,$B43&amp;" ~*")=0),($R43+COUNTIF($H$86:$H87,$B43)+COUNTIF($H$86:$H87,$B43&amp;" ~*"))*1000+IF(BK88&gt;100,500,0)+24,"")</f>
        <v/>
      </c>
    </row>
    <row r="89">
      <c r="A89" t="n">
        <v>2</v>
      </c>
      <c r="B89" t="n">
        <v>4</v>
      </c>
      <c r="C89">
        <f>$B$50</f>
        <v/>
      </c>
      <c r="D89" t="inlineStr">
        <is>
          <t>Tue</t>
        </is>
      </c>
      <c r="E89">
        <f>IF(C89="","",N($AB$50))</f>
        <v/>
      </c>
      <c r="F89">
        <f>IF(C89="","",COUNTIF($G$50:$I$50,"?*"))</f>
        <v/>
      </c>
      <c r="G89">
        <f>IF(C89="","",MAX(0,E89-F89))</f>
        <v/>
      </c>
      <c r="H89">
        <f>IF(N(G89)=0,"",IF(COUNT(BM89:CJ89)=0,"no-one eligible",INDEX(Engine!$B$20:$B$43,MOD(MIN(BM89:CJ89),500))&amp;IF(MOD(MIN(BM89:CJ89),1000)&gt;=500," *","")))</f>
        <v/>
      </c>
      <c r="I89">
        <f>IF(N(G89)&gt;0,COUNTIF($G$68:G89,"&gt;0"),"")</f>
        <v/>
      </c>
      <c r="J89">
        <f>IF(C89="","",IF($G$50="",0,IF(IFERROR(INDEX(Setup!$O$6:$AL$23,4,MATCH(SUBSTITUTE($G$50," *",""),Setup!$B$6:$B$29,0)),"")="",1,0))+IF($H$50="",0,IF(IFERROR(INDEX(Setup!$O$6:$AL$23,4,MATCH(SUBSTITUTE($H$50," *",""),Setup!$B$6:$B$29,0)),"")="",1,0))+IF($I$50="",0,IF(IFERROR(INDEX(Setup!$O$6:$AL$23,4,MATCH(SUBSTITUTE($I$50," *",""),Setup!$B$6:$B$29,0)),"")="",1,0)))</f>
        <v/>
      </c>
      <c r="K89">
        <f>IF($B$12+1=TODAY(),1,0)</f>
        <v/>
      </c>
      <c r="N89">
        <f>COUNT($AN89:$BK89)</f>
        <v/>
      </c>
      <c r="O89">
        <f>IF(1&gt;$N89,"",INDEX(Engine!$B$20:$B$43,MOD(SMALL($AN89:$BK89,1),100))&amp;IF(SMALL($AN89:$BK89,1)&gt;100," *",""))</f>
        <v/>
      </c>
      <c r="P89">
        <f>IF(2&gt;$N89,"",INDEX(Engine!$B$20:$B$43,MOD(SMALL($AN89:$BK89,2),100))&amp;IF(SMALL($AN89:$BK89,2)&gt;100," *",""))</f>
        <v/>
      </c>
      <c r="Q89">
        <f>IF(3&gt;$N89,"",INDEX(Engine!$B$20:$B$43,MOD(SMALL($AN89:$BK89,3),100))&amp;IF(SMALL($AN89:$BK89,3)&gt;100," *",""))</f>
        <v/>
      </c>
      <c r="R89">
        <f>IF(4&gt;$N89,"",INDEX(Engine!$B$20:$B$43,MOD(SMALL($AN89:$BK89,4),100))&amp;IF(SMALL($AN89:$BK89,4)&gt;100," *",""))</f>
        <v/>
      </c>
      <c r="S89">
        <f>IF(5&gt;$N89,"",INDEX(Engine!$B$20:$B$43,MOD(SMALL($AN89:$BK89,5),100))&amp;IF(SMALL($AN89:$BK89,5)&gt;100," *",""))</f>
        <v/>
      </c>
      <c r="T89">
        <f>IF(6&gt;$N89,"",INDEX(Engine!$B$20:$B$43,MOD(SMALL($AN89:$BK89,6),100))&amp;IF(SMALL($AN89:$BK89,6)&gt;100," *",""))</f>
        <v/>
      </c>
      <c r="U89">
        <f>IF(7&gt;$N89,"",INDEX(Engine!$B$20:$B$43,MOD(SMALL($AN89:$BK89,7),100))&amp;IF(SMALL($AN89:$BK89,7)&gt;100," *",""))</f>
        <v/>
      </c>
      <c r="V89">
        <f>IF(8&gt;$N89,"",INDEX(Engine!$B$20:$B$43,MOD(SMALL($AN89:$BK89,8),100))&amp;IF(SMALL($AN89:$BK89,8)&gt;100," *",""))</f>
        <v/>
      </c>
      <c r="W89">
        <f>IF(9&gt;$N89,"",INDEX(Engine!$B$20:$B$43,MOD(SMALL($AN89:$BK89,9),100))&amp;IF(SMALL($AN89:$BK89,9)&gt;100," *",""))</f>
        <v/>
      </c>
      <c r="X89">
        <f>IF(10&gt;$N89,"",INDEX(Engine!$B$20:$B$43,MOD(SMALL($AN89:$BK89,10),100))&amp;IF(SMALL($AN89:$BK89,10)&gt;100," *",""))</f>
        <v/>
      </c>
      <c r="Y89">
        <f>IF(11&gt;$N89,"",INDEX(Engine!$B$20:$B$43,MOD(SMALL($AN89:$BK89,11),100))&amp;IF(SMALL($AN89:$BK89,11)&gt;100," *",""))</f>
        <v/>
      </c>
      <c r="Z89">
        <f>IF(12&gt;$N89,"",INDEX(Engine!$B$20:$B$43,MOD(SMALL($AN89:$BK89,12),100))&amp;IF(SMALL($AN89:$BK89,12)&gt;100," *",""))</f>
        <v/>
      </c>
      <c r="AA89">
        <f>IF(13&gt;$N89,"",INDEX(Engine!$B$20:$B$43,MOD(SMALL($AN89:$BK89,13),100))&amp;IF(SMALL($AN89:$BK89,13)&gt;100," *",""))</f>
        <v/>
      </c>
      <c r="AB89">
        <f>IF(14&gt;$N89,"",INDEX(Engine!$B$20:$B$43,MOD(SMALL($AN89:$BK89,14),100))&amp;IF(SMALL($AN89:$BK89,14)&gt;100," *",""))</f>
        <v/>
      </c>
      <c r="AC89">
        <f>IF(15&gt;$N89,"",INDEX(Engine!$B$20:$B$43,MOD(SMALL($AN89:$BK89,15),100))&amp;IF(SMALL($AN89:$BK89,15)&gt;100," *",""))</f>
        <v/>
      </c>
      <c r="AD89">
        <f>IF(16&gt;$N89,"",INDEX(Engine!$B$20:$B$43,MOD(SMALL($AN89:$BK89,16),100))&amp;IF(SMALL($AN89:$BK89,16)&gt;100," *",""))</f>
        <v/>
      </c>
      <c r="AE89">
        <f>IF(17&gt;$N89,"",INDEX(Engine!$B$20:$B$43,MOD(SMALL($AN89:$BK89,17),100))&amp;IF(SMALL($AN89:$BK89,17)&gt;100," *",""))</f>
        <v/>
      </c>
      <c r="AF89">
        <f>IF(18&gt;$N89,"",INDEX(Engine!$B$20:$B$43,MOD(SMALL($AN89:$BK89,18),100))&amp;IF(SMALL($AN89:$BK89,18)&gt;100," *",""))</f>
        <v/>
      </c>
      <c r="AG89">
        <f>IF(19&gt;$N89,"",INDEX(Engine!$B$20:$B$43,MOD(SMALL($AN89:$BK89,19),100))&amp;IF(SMALL($AN89:$BK89,19)&gt;100," *",""))</f>
        <v/>
      </c>
      <c r="AH89">
        <f>IF(20&gt;$N89,"",INDEX(Engine!$B$20:$B$43,MOD(SMALL($AN89:$BK89,20),100))&amp;IF(SMALL($AN89:$BK89,20)&gt;100," *",""))</f>
        <v/>
      </c>
      <c r="AI89">
        <f>IF(21&gt;$N89,"",INDEX(Engine!$B$20:$B$43,MOD(SMALL($AN89:$BK89,21),100))&amp;IF(SMALL($AN89:$BK89,21)&gt;100," *",""))</f>
        <v/>
      </c>
      <c r="AJ89">
        <f>IF(22&gt;$N89,"",INDEX(Engine!$B$20:$B$43,MOD(SMALL($AN89:$BK89,22),100))&amp;IF(SMALL($AN89:$BK89,22)&gt;100," *",""))</f>
        <v/>
      </c>
      <c r="AK89">
        <f>IF(23&gt;$N89,"",INDEX(Engine!$B$20:$B$43,MOD(SMALL($AN89:$BK89,23),100))&amp;IF(SMALL($AN89:$BK89,23)&gt;100," *",""))</f>
        <v/>
      </c>
      <c r="AL89">
        <f>IF(24&gt;$N89,"",INDEX(Engine!$B$20:$B$43,MOD(SMALL($AN89:$BK89,24),100))&amp;IF(SMALL($AN89:$BK89,24)&gt;100," *",""))</f>
        <v/>
      </c>
      <c r="AN89">
        <f>IF(AND($C20=1,INDEX(Setup!$O$6:$AL$23,4,1)&lt;&gt;"",L20=0),1+IF(INDEX(Setup!$O$6:$AL$23,4,1)="T",100,0),"")</f>
        <v/>
      </c>
      <c r="AO89">
        <f>IF(AND($C21=1,INDEX(Setup!$O$6:$AL$23,4,2)&lt;&gt;"",L21=0),2+IF(INDEX(Setup!$O$6:$AL$23,4,2)="T",100,0),"")</f>
        <v/>
      </c>
      <c r="AP89">
        <f>IF(AND($C22=1,INDEX(Setup!$O$6:$AL$23,4,3)&lt;&gt;"",L22=0),3+IF(INDEX(Setup!$O$6:$AL$23,4,3)="T",100,0),"")</f>
        <v/>
      </c>
      <c r="AQ89">
        <f>IF(AND($C23=1,INDEX(Setup!$O$6:$AL$23,4,4)&lt;&gt;"",L23=0),4+IF(INDEX(Setup!$O$6:$AL$23,4,4)="T",100,0),"")</f>
        <v/>
      </c>
      <c r="AR89">
        <f>IF(AND($C24=1,INDEX(Setup!$O$6:$AL$23,4,5)&lt;&gt;"",L24=0),5+IF(INDEX(Setup!$O$6:$AL$23,4,5)="T",100,0),"")</f>
        <v/>
      </c>
      <c r="AS89">
        <f>IF(AND($C25=1,INDEX(Setup!$O$6:$AL$23,4,6)&lt;&gt;"",L25=0),6+IF(INDEX(Setup!$O$6:$AL$23,4,6)="T",100,0),"")</f>
        <v/>
      </c>
      <c r="AT89">
        <f>IF(AND($C26=1,INDEX(Setup!$O$6:$AL$23,4,7)&lt;&gt;"",L26=0),7+IF(INDEX(Setup!$O$6:$AL$23,4,7)="T",100,0),"")</f>
        <v/>
      </c>
      <c r="AU89">
        <f>IF(AND($C27=1,INDEX(Setup!$O$6:$AL$23,4,8)&lt;&gt;"",L27=0),8+IF(INDEX(Setup!$O$6:$AL$23,4,8)="T",100,0),"")</f>
        <v/>
      </c>
      <c r="AV89">
        <f>IF(AND($C28=1,INDEX(Setup!$O$6:$AL$23,4,9)&lt;&gt;"",L28=0),9+IF(INDEX(Setup!$O$6:$AL$23,4,9)="T",100,0),"")</f>
        <v/>
      </c>
      <c r="AW89">
        <f>IF(AND($C29=1,INDEX(Setup!$O$6:$AL$23,4,10)&lt;&gt;"",L29=0),10+IF(INDEX(Setup!$O$6:$AL$23,4,10)="T",100,0),"")</f>
        <v/>
      </c>
      <c r="AX89">
        <f>IF(AND($C30=1,INDEX(Setup!$O$6:$AL$23,4,11)&lt;&gt;"",L30=0),11+IF(INDEX(Setup!$O$6:$AL$23,4,11)="T",100,0),"")</f>
        <v/>
      </c>
      <c r="AY89">
        <f>IF(AND($C31=1,INDEX(Setup!$O$6:$AL$23,4,12)&lt;&gt;"",L31=0),12+IF(INDEX(Setup!$O$6:$AL$23,4,12)="T",100,0),"")</f>
        <v/>
      </c>
      <c r="AZ89">
        <f>IF(AND($C32=1,INDEX(Setup!$O$6:$AL$23,4,13)&lt;&gt;"",L32=0),13+IF(INDEX(Setup!$O$6:$AL$23,4,13)="T",100,0),"")</f>
        <v/>
      </c>
      <c r="BA89">
        <f>IF(AND($C33=1,INDEX(Setup!$O$6:$AL$23,4,14)&lt;&gt;"",L33=0),14+IF(INDEX(Setup!$O$6:$AL$23,4,14)="T",100,0),"")</f>
        <v/>
      </c>
      <c r="BB89">
        <f>IF(AND($C34=1,INDEX(Setup!$O$6:$AL$23,4,15)&lt;&gt;"",L34=0),15+IF(INDEX(Setup!$O$6:$AL$23,4,15)="T",100,0),"")</f>
        <v/>
      </c>
      <c r="BC89">
        <f>IF(AND($C35=1,INDEX(Setup!$O$6:$AL$23,4,16)&lt;&gt;"",L35=0),16+IF(INDEX(Setup!$O$6:$AL$23,4,16)="T",100,0),"")</f>
        <v/>
      </c>
      <c r="BD89">
        <f>IF(AND($C36=1,INDEX(Setup!$O$6:$AL$23,4,17)&lt;&gt;"",L36=0),17+IF(INDEX(Setup!$O$6:$AL$23,4,17)="T",100,0),"")</f>
        <v/>
      </c>
      <c r="BE89">
        <f>IF(AND($C37=1,INDEX(Setup!$O$6:$AL$23,4,18)&lt;&gt;"",L37=0),18+IF(INDEX(Setup!$O$6:$AL$23,4,18)="T",100,0),"")</f>
        <v/>
      </c>
      <c r="BF89">
        <f>IF(AND($C38=1,INDEX(Setup!$O$6:$AL$23,4,19)&lt;&gt;"",L38=0),19+IF(INDEX(Setup!$O$6:$AL$23,4,19)="T",100,0),"")</f>
        <v/>
      </c>
      <c r="BG89">
        <f>IF(AND($C39=1,INDEX(Setup!$O$6:$AL$23,4,20)&lt;&gt;"",L39=0),20+IF(INDEX(Setup!$O$6:$AL$23,4,20)="T",100,0),"")</f>
        <v/>
      </c>
      <c r="BH89">
        <f>IF(AND($C40=1,INDEX(Setup!$O$6:$AL$23,4,21)&lt;&gt;"",L40=0),21+IF(INDEX(Setup!$O$6:$AL$23,4,21)="T",100,0),"")</f>
        <v/>
      </c>
      <c r="BI89">
        <f>IF(AND($C41=1,INDEX(Setup!$O$6:$AL$23,4,22)&lt;&gt;"",L41=0),22+IF(INDEX(Setup!$O$6:$AL$23,4,22)="T",100,0),"")</f>
        <v/>
      </c>
      <c r="BJ89">
        <f>IF(AND($C42=1,INDEX(Setup!$O$6:$AL$23,4,23)&lt;&gt;"",L42=0),23+IF(INDEX(Setup!$O$6:$AL$23,4,23)="T",100,0),"")</f>
        <v/>
      </c>
      <c r="BK89">
        <f>IF(AND($C43=1,INDEX(Setup!$O$6:$AL$23,4,24)&lt;&gt;"",L43=0),24+IF(INDEX(Setup!$O$6:$AL$23,4,24)="T",100,0),"")</f>
        <v/>
      </c>
      <c r="BM89">
        <f>IF(AND(AN89&lt;&gt;"",COUNTIF($G$50:$I$50,$B20)+COUNTIF($G$50:$I$50,$B20&amp;" ~*")=0),($R20+COUNTIF($H$86:$H88,$B20)+COUNTIF($H$86:$H88,$B20&amp;" ~*"))*1000+IF(AN89&gt;100,500,0)+1,"")</f>
        <v/>
      </c>
      <c r="BN89">
        <f>IF(AND(AO89&lt;&gt;"",COUNTIF($G$50:$I$50,$B21)+COUNTIF($G$50:$I$50,$B21&amp;" ~*")=0),($R21+COUNTIF($H$86:$H88,$B21)+COUNTIF($H$86:$H88,$B21&amp;" ~*"))*1000+IF(AO89&gt;100,500,0)+2,"")</f>
        <v/>
      </c>
      <c r="BO89">
        <f>IF(AND(AP89&lt;&gt;"",COUNTIF($G$50:$I$50,$B22)+COUNTIF($G$50:$I$50,$B22&amp;" ~*")=0),($R22+COUNTIF($H$86:$H88,$B22)+COUNTIF($H$86:$H88,$B22&amp;" ~*"))*1000+IF(AP89&gt;100,500,0)+3,"")</f>
        <v/>
      </c>
      <c r="BP89">
        <f>IF(AND(AQ89&lt;&gt;"",COUNTIF($G$50:$I$50,$B23)+COUNTIF($G$50:$I$50,$B23&amp;" ~*")=0),($R23+COUNTIF($H$86:$H88,$B23)+COUNTIF($H$86:$H88,$B23&amp;" ~*"))*1000+IF(AQ89&gt;100,500,0)+4,"")</f>
        <v/>
      </c>
      <c r="BQ89">
        <f>IF(AND(AR89&lt;&gt;"",COUNTIF($G$50:$I$50,$B24)+COUNTIF($G$50:$I$50,$B24&amp;" ~*")=0),($R24+COUNTIF($H$86:$H88,$B24)+COUNTIF($H$86:$H88,$B24&amp;" ~*"))*1000+IF(AR89&gt;100,500,0)+5,"")</f>
        <v/>
      </c>
      <c r="BR89">
        <f>IF(AND(AS89&lt;&gt;"",COUNTIF($G$50:$I$50,$B25)+COUNTIF($G$50:$I$50,$B25&amp;" ~*")=0),($R25+COUNTIF($H$86:$H88,$B25)+COUNTIF($H$86:$H88,$B25&amp;" ~*"))*1000+IF(AS89&gt;100,500,0)+6,"")</f>
        <v/>
      </c>
      <c r="BS89">
        <f>IF(AND(AT89&lt;&gt;"",COUNTIF($G$50:$I$50,$B26)+COUNTIF($G$50:$I$50,$B26&amp;" ~*")=0),($R26+COUNTIF($H$86:$H88,$B26)+COUNTIF($H$86:$H88,$B26&amp;" ~*"))*1000+IF(AT89&gt;100,500,0)+7,"")</f>
        <v/>
      </c>
      <c r="BT89">
        <f>IF(AND(AU89&lt;&gt;"",COUNTIF($G$50:$I$50,$B27)+COUNTIF($G$50:$I$50,$B27&amp;" ~*")=0),($R27+COUNTIF($H$86:$H88,$B27)+COUNTIF($H$86:$H88,$B27&amp;" ~*"))*1000+IF(AU89&gt;100,500,0)+8,"")</f>
        <v/>
      </c>
      <c r="BU89">
        <f>IF(AND(AV89&lt;&gt;"",COUNTIF($G$50:$I$50,$B28)+COUNTIF($G$50:$I$50,$B28&amp;" ~*")=0),($R28+COUNTIF($H$86:$H88,$B28)+COUNTIF($H$86:$H88,$B28&amp;" ~*"))*1000+IF(AV89&gt;100,500,0)+9,"")</f>
        <v/>
      </c>
      <c r="BV89">
        <f>IF(AND(AW89&lt;&gt;"",COUNTIF($G$50:$I$50,$B29)+COUNTIF($G$50:$I$50,$B29&amp;" ~*")=0),($R29+COUNTIF($H$86:$H88,$B29)+COUNTIF($H$86:$H88,$B29&amp;" ~*"))*1000+IF(AW89&gt;100,500,0)+10,"")</f>
        <v/>
      </c>
      <c r="BW89">
        <f>IF(AND(AX89&lt;&gt;"",COUNTIF($G$50:$I$50,$B30)+COUNTIF($G$50:$I$50,$B30&amp;" ~*")=0),($R30+COUNTIF($H$86:$H88,$B30)+COUNTIF($H$86:$H88,$B30&amp;" ~*"))*1000+IF(AX89&gt;100,500,0)+11,"")</f>
        <v/>
      </c>
      <c r="BX89">
        <f>IF(AND(AY89&lt;&gt;"",COUNTIF($G$50:$I$50,$B31)+COUNTIF($G$50:$I$50,$B31&amp;" ~*")=0),($R31+COUNTIF($H$86:$H88,$B31)+COUNTIF($H$86:$H88,$B31&amp;" ~*"))*1000+IF(AY89&gt;100,500,0)+12,"")</f>
        <v/>
      </c>
      <c r="BY89">
        <f>IF(AND(AZ89&lt;&gt;"",COUNTIF($G$50:$I$50,$B32)+COUNTIF($G$50:$I$50,$B32&amp;" ~*")=0),($R32+COUNTIF($H$86:$H88,$B32)+COUNTIF($H$86:$H88,$B32&amp;" ~*"))*1000+IF(AZ89&gt;100,500,0)+13,"")</f>
        <v/>
      </c>
      <c r="BZ89">
        <f>IF(AND(BA89&lt;&gt;"",COUNTIF($G$50:$I$50,$B33)+COUNTIF($G$50:$I$50,$B33&amp;" ~*")=0),($R33+COUNTIF($H$86:$H88,$B33)+COUNTIF($H$86:$H88,$B33&amp;" ~*"))*1000+IF(BA89&gt;100,500,0)+14,"")</f>
        <v/>
      </c>
      <c r="CA89">
        <f>IF(AND(BB89&lt;&gt;"",COUNTIF($G$50:$I$50,$B34)+COUNTIF($G$50:$I$50,$B34&amp;" ~*")=0),($R34+COUNTIF($H$86:$H88,$B34)+COUNTIF($H$86:$H88,$B34&amp;" ~*"))*1000+IF(BB89&gt;100,500,0)+15,"")</f>
        <v/>
      </c>
      <c r="CB89">
        <f>IF(AND(BC89&lt;&gt;"",COUNTIF($G$50:$I$50,$B35)+COUNTIF($G$50:$I$50,$B35&amp;" ~*")=0),($R35+COUNTIF($H$86:$H88,$B35)+COUNTIF($H$86:$H88,$B35&amp;" ~*"))*1000+IF(BC89&gt;100,500,0)+16,"")</f>
        <v/>
      </c>
      <c r="CC89">
        <f>IF(AND(BD89&lt;&gt;"",COUNTIF($G$50:$I$50,$B36)+COUNTIF($G$50:$I$50,$B36&amp;" ~*")=0),($R36+COUNTIF($H$86:$H88,$B36)+COUNTIF($H$86:$H88,$B36&amp;" ~*"))*1000+IF(BD89&gt;100,500,0)+17,"")</f>
        <v/>
      </c>
      <c r="CD89">
        <f>IF(AND(BE89&lt;&gt;"",COUNTIF($G$50:$I$50,$B37)+COUNTIF($G$50:$I$50,$B37&amp;" ~*")=0),($R37+COUNTIF($H$86:$H88,$B37)+COUNTIF($H$86:$H88,$B37&amp;" ~*"))*1000+IF(BE89&gt;100,500,0)+18,"")</f>
        <v/>
      </c>
      <c r="CE89">
        <f>IF(AND(BF89&lt;&gt;"",COUNTIF($G$50:$I$50,$B38)+COUNTIF($G$50:$I$50,$B38&amp;" ~*")=0),($R38+COUNTIF($H$86:$H88,$B38)+COUNTIF($H$86:$H88,$B38&amp;" ~*"))*1000+IF(BF89&gt;100,500,0)+19,"")</f>
        <v/>
      </c>
      <c r="CF89">
        <f>IF(AND(BG89&lt;&gt;"",COUNTIF($G$50:$I$50,$B39)+COUNTIF($G$50:$I$50,$B39&amp;" ~*")=0),($R39+COUNTIF($H$86:$H88,$B39)+COUNTIF($H$86:$H88,$B39&amp;" ~*"))*1000+IF(BG89&gt;100,500,0)+20,"")</f>
        <v/>
      </c>
      <c r="CG89">
        <f>IF(AND(BH89&lt;&gt;"",COUNTIF($G$50:$I$50,$B40)+COUNTIF($G$50:$I$50,$B40&amp;" ~*")=0),($R40+COUNTIF($H$86:$H88,$B40)+COUNTIF($H$86:$H88,$B40&amp;" ~*"))*1000+IF(BH89&gt;100,500,0)+21,"")</f>
        <v/>
      </c>
      <c r="CH89">
        <f>IF(AND(BI89&lt;&gt;"",COUNTIF($G$50:$I$50,$B41)+COUNTIF($G$50:$I$50,$B41&amp;" ~*")=0),($R41+COUNTIF($H$86:$H88,$B41)+COUNTIF($H$86:$H88,$B41&amp;" ~*"))*1000+IF(BI89&gt;100,500,0)+22,"")</f>
        <v/>
      </c>
      <c r="CI89">
        <f>IF(AND(BJ89&lt;&gt;"",COUNTIF($G$50:$I$50,$B42)+COUNTIF($G$50:$I$50,$B42&amp;" ~*")=0),($R42+COUNTIF($H$86:$H88,$B42)+COUNTIF($H$86:$H88,$B42&amp;" ~*"))*1000+IF(BJ89&gt;100,500,0)+23,"")</f>
        <v/>
      </c>
      <c r="CJ89">
        <f>IF(AND(BK89&lt;&gt;"",COUNTIF($G$50:$I$50,$B43)+COUNTIF($G$50:$I$50,$B43&amp;" ~*")=0),($R43+COUNTIF($H$86:$H88,$B43)+COUNTIF($H$86:$H88,$B43&amp;" ~*"))*1000+IF(BK89&gt;100,500,0)+24,"")</f>
        <v/>
      </c>
    </row>
    <row r="90">
      <c r="A90" t="n">
        <v>2</v>
      </c>
      <c r="B90" t="n">
        <v>5</v>
      </c>
      <c r="C90">
        <f>$B$51</f>
        <v/>
      </c>
      <c r="D90" t="inlineStr">
        <is>
          <t>Tue</t>
        </is>
      </c>
      <c r="E90">
        <f>IF(C90="","",N($AB$51))</f>
        <v/>
      </c>
      <c r="F90">
        <f>IF(C90="","",COUNTIF($G$51:$I$51,"?*"))</f>
        <v/>
      </c>
      <c r="G90">
        <f>IF(C90="","",MAX(0,E90-F90))</f>
        <v/>
      </c>
      <c r="H90">
        <f>IF(N(G90)=0,"",IF(COUNT(BM90:CJ90)=0,"no-one eligible",INDEX(Engine!$B$20:$B$43,MOD(MIN(BM90:CJ90),500))&amp;IF(MOD(MIN(BM90:CJ90),1000)&gt;=500," *","")))</f>
        <v/>
      </c>
      <c r="I90">
        <f>IF(N(G90)&gt;0,COUNTIF($G$68:G90,"&gt;0"),"")</f>
        <v/>
      </c>
      <c r="J90">
        <f>IF(C90="","",IF($G$51="",0,IF(IFERROR(INDEX(Setup!$O$6:$AL$23,5,MATCH(SUBSTITUTE($G$51," *",""),Setup!$B$6:$B$29,0)),"")="",1,0))+IF($H$51="",0,IF(IFERROR(INDEX(Setup!$O$6:$AL$23,5,MATCH(SUBSTITUTE($H$51," *",""),Setup!$B$6:$B$29,0)),"")="",1,0))+IF($I$51="",0,IF(IFERROR(INDEX(Setup!$O$6:$AL$23,5,MATCH(SUBSTITUTE($I$51," *",""),Setup!$B$6:$B$29,0)),"")="",1,0)))</f>
        <v/>
      </c>
      <c r="K90">
        <f>IF($B$12+1=TODAY(),1,0)</f>
        <v/>
      </c>
      <c r="N90">
        <f>COUNT($AN90:$BK90)</f>
        <v/>
      </c>
      <c r="O90">
        <f>IF(1&gt;$N90,"",INDEX(Engine!$B$20:$B$43,MOD(SMALL($AN90:$BK90,1),100))&amp;IF(SMALL($AN90:$BK90,1)&gt;100," *",""))</f>
        <v/>
      </c>
      <c r="P90">
        <f>IF(2&gt;$N90,"",INDEX(Engine!$B$20:$B$43,MOD(SMALL($AN90:$BK90,2),100))&amp;IF(SMALL($AN90:$BK90,2)&gt;100," *",""))</f>
        <v/>
      </c>
      <c r="Q90">
        <f>IF(3&gt;$N90,"",INDEX(Engine!$B$20:$B$43,MOD(SMALL($AN90:$BK90,3),100))&amp;IF(SMALL($AN90:$BK90,3)&gt;100," *",""))</f>
        <v/>
      </c>
      <c r="R90">
        <f>IF(4&gt;$N90,"",INDEX(Engine!$B$20:$B$43,MOD(SMALL($AN90:$BK90,4),100))&amp;IF(SMALL($AN90:$BK90,4)&gt;100," *",""))</f>
        <v/>
      </c>
      <c r="S90">
        <f>IF(5&gt;$N90,"",INDEX(Engine!$B$20:$B$43,MOD(SMALL($AN90:$BK90,5),100))&amp;IF(SMALL($AN90:$BK90,5)&gt;100," *",""))</f>
        <v/>
      </c>
      <c r="T90">
        <f>IF(6&gt;$N90,"",INDEX(Engine!$B$20:$B$43,MOD(SMALL($AN90:$BK90,6),100))&amp;IF(SMALL($AN90:$BK90,6)&gt;100," *",""))</f>
        <v/>
      </c>
      <c r="U90">
        <f>IF(7&gt;$N90,"",INDEX(Engine!$B$20:$B$43,MOD(SMALL($AN90:$BK90,7),100))&amp;IF(SMALL($AN90:$BK90,7)&gt;100," *",""))</f>
        <v/>
      </c>
      <c r="V90">
        <f>IF(8&gt;$N90,"",INDEX(Engine!$B$20:$B$43,MOD(SMALL($AN90:$BK90,8),100))&amp;IF(SMALL($AN90:$BK90,8)&gt;100," *",""))</f>
        <v/>
      </c>
      <c r="W90">
        <f>IF(9&gt;$N90,"",INDEX(Engine!$B$20:$B$43,MOD(SMALL($AN90:$BK90,9),100))&amp;IF(SMALL($AN90:$BK90,9)&gt;100," *",""))</f>
        <v/>
      </c>
      <c r="X90">
        <f>IF(10&gt;$N90,"",INDEX(Engine!$B$20:$B$43,MOD(SMALL($AN90:$BK90,10),100))&amp;IF(SMALL($AN90:$BK90,10)&gt;100," *",""))</f>
        <v/>
      </c>
      <c r="Y90">
        <f>IF(11&gt;$N90,"",INDEX(Engine!$B$20:$B$43,MOD(SMALL($AN90:$BK90,11),100))&amp;IF(SMALL($AN90:$BK90,11)&gt;100," *",""))</f>
        <v/>
      </c>
      <c r="Z90">
        <f>IF(12&gt;$N90,"",INDEX(Engine!$B$20:$B$43,MOD(SMALL($AN90:$BK90,12),100))&amp;IF(SMALL($AN90:$BK90,12)&gt;100," *",""))</f>
        <v/>
      </c>
      <c r="AA90">
        <f>IF(13&gt;$N90,"",INDEX(Engine!$B$20:$B$43,MOD(SMALL($AN90:$BK90,13),100))&amp;IF(SMALL($AN90:$BK90,13)&gt;100," *",""))</f>
        <v/>
      </c>
      <c r="AB90">
        <f>IF(14&gt;$N90,"",INDEX(Engine!$B$20:$B$43,MOD(SMALL($AN90:$BK90,14),100))&amp;IF(SMALL($AN90:$BK90,14)&gt;100," *",""))</f>
        <v/>
      </c>
      <c r="AC90">
        <f>IF(15&gt;$N90,"",INDEX(Engine!$B$20:$B$43,MOD(SMALL($AN90:$BK90,15),100))&amp;IF(SMALL($AN90:$BK90,15)&gt;100," *",""))</f>
        <v/>
      </c>
      <c r="AD90">
        <f>IF(16&gt;$N90,"",INDEX(Engine!$B$20:$B$43,MOD(SMALL($AN90:$BK90,16),100))&amp;IF(SMALL($AN90:$BK90,16)&gt;100," *",""))</f>
        <v/>
      </c>
      <c r="AE90">
        <f>IF(17&gt;$N90,"",INDEX(Engine!$B$20:$B$43,MOD(SMALL($AN90:$BK90,17),100))&amp;IF(SMALL($AN90:$BK90,17)&gt;100," *",""))</f>
        <v/>
      </c>
      <c r="AF90">
        <f>IF(18&gt;$N90,"",INDEX(Engine!$B$20:$B$43,MOD(SMALL($AN90:$BK90,18),100))&amp;IF(SMALL($AN90:$BK90,18)&gt;100," *",""))</f>
        <v/>
      </c>
      <c r="AG90">
        <f>IF(19&gt;$N90,"",INDEX(Engine!$B$20:$B$43,MOD(SMALL($AN90:$BK90,19),100))&amp;IF(SMALL($AN90:$BK90,19)&gt;100," *",""))</f>
        <v/>
      </c>
      <c r="AH90">
        <f>IF(20&gt;$N90,"",INDEX(Engine!$B$20:$B$43,MOD(SMALL($AN90:$BK90,20),100))&amp;IF(SMALL($AN90:$BK90,20)&gt;100," *",""))</f>
        <v/>
      </c>
      <c r="AI90">
        <f>IF(21&gt;$N90,"",INDEX(Engine!$B$20:$B$43,MOD(SMALL($AN90:$BK90,21),100))&amp;IF(SMALL($AN90:$BK90,21)&gt;100," *",""))</f>
        <v/>
      </c>
      <c r="AJ90">
        <f>IF(22&gt;$N90,"",INDEX(Engine!$B$20:$B$43,MOD(SMALL($AN90:$BK90,22),100))&amp;IF(SMALL($AN90:$BK90,22)&gt;100," *",""))</f>
        <v/>
      </c>
      <c r="AK90">
        <f>IF(23&gt;$N90,"",INDEX(Engine!$B$20:$B$43,MOD(SMALL($AN90:$BK90,23),100))&amp;IF(SMALL($AN90:$BK90,23)&gt;100," *",""))</f>
        <v/>
      </c>
      <c r="AL90">
        <f>IF(24&gt;$N90,"",INDEX(Engine!$B$20:$B$43,MOD(SMALL($AN90:$BK90,24),100))&amp;IF(SMALL($AN90:$BK90,24)&gt;100," *",""))</f>
        <v/>
      </c>
      <c r="AN90">
        <f>IF(AND($C20=1,INDEX(Setup!$O$6:$AL$23,5,1)&lt;&gt;"",L20=0),1+IF(INDEX(Setup!$O$6:$AL$23,5,1)="T",100,0),"")</f>
        <v/>
      </c>
      <c r="AO90">
        <f>IF(AND($C21=1,INDEX(Setup!$O$6:$AL$23,5,2)&lt;&gt;"",L21=0),2+IF(INDEX(Setup!$O$6:$AL$23,5,2)="T",100,0),"")</f>
        <v/>
      </c>
      <c r="AP90">
        <f>IF(AND($C22=1,INDEX(Setup!$O$6:$AL$23,5,3)&lt;&gt;"",L22=0),3+IF(INDEX(Setup!$O$6:$AL$23,5,3)="T",100,0),"")</f>
        <v/>
      </c>
      <c r="AQ90">
        <f>IF(AND($C23=1,INDEX(Setup!$O$6:$AL$23,5,4)&lt;&gt;"",L23=0),4+IF(INDEX(Setup!$O$6:$AL$23,5,4)="T",100,0),"")</f>
        <v/>
      </c>
      <c r="AR90">
        <f>IF(AND($C24=1,INDEX(Setup!$O$6:$AL$23,5,5)&lt;&gt;"",L24=0),5+IF(INDEX(Setup!$O$6:$AL$23,5,5)="T",100,0),"")</f>
        <v/>
      </c>
      <c r="AS90">
        <f>IF(AND($C25=1,INDEX(Setup!$O$6:$AL$23,5,6)&lt;&gt;"",L25=0),6+IF(INDEX(Setup!$O$6:$AL$23,5,6)="T",100,0),"")</f>
        <v/>
      </c>
      <c r="AT90">
        <f>IF(AND($C26=1,INDEX(Setup!$O$6:$AL$23,5,7)&lt;&gt;"",L26=0),7+IF(INDEX(Setup!$O$6:$AL$23,5,7)="T",100,0),"")</f>
        <v/>
      </c>
      <c r="AU90">
        <f>IF(AND($C27=1,INDEX(Setup!$O$6:$AL$23,5,8)&lt;&gt;"",L27=0),8+IF(INDEX(Setup!$O$6:$AL$23,5,8)="T",100,0),"")</f>
        <v/>
      </c>
      <c r="AV90">
        <f>IF(AND($C28=1,INDEX(Setup!$O$6:$AL$23,5,9)&lt;&gt;"",L28=0),9+IF(INDEX(Setup!$O$6:$AL$23,5,9)="T",100,0),"")</f>
        <v/>
      </c>
      <c r="AW90">
        <f>IF(AND($C29=1,INDEX(Setup!$O$6:$AL$23,5,10)&lt;&gt;"",L29=0),10+IF(INDEX(Setup!$O$6:$AL$23,5,10)="T",100,0),"")</f>
        <v/>
      </c>
      <c r="AX90">
        <f>IF(AND($C30=1,INDEX(Setup!$O$6:$AL$23,5,11)&lt;&gt;"",L30=0),11+IF(INDEX(Setup!$O$6:$AL$23,5,11)="T",100,0),"")</f>
        <v/>
      </c>
      <c r="AY90">
        <f>IF(AND($C31=1,INDEX(Setup!$O$6:$AL$23,5,12)&lt;&gt;"",L31=0),12+IF(INDEX(Setup!$O$6:$AL$23,5,12)="T",100,0),"")</f>
        <v/>
      </c>
      <c r="AZ90">
        <f>IF(AND($C32=1,INDEX(Setup!$O$6:$AL$23,5,13)&lt;&gt;"",L32=0),13+IF(INDEX(Setup!$O$6:$AL$23,5,13)="T",100,0),"")</f>
        <v/>
      </c>
      <c r="BA90">
        <f>IF(AND($C33=1,INDEX(Setup!$O$6:$AL$23,5,14)&lt;&gt;"",L33=0),14+IF(INDEX(Setup!$O$6:$AL$23,5,14)="T",100,0),"")</f>
        <v/>
      </c>
      <c r="BB90">
        <f>IF(AND($C34=1,INDEX(Setup!$O$6:$AL$23,5,15)&lt;&gt;"",L34=0),15+IF(INDEX(Setup!$O$6:$AL$23,5,15)="T",100,0),"")</f>
        <v/>
      </c>
      <c r="BC90">
        <f>IF(AND($C35=1,INDEX(Setup!$O$6:$AL$23,5,16)&lt;&gt;"",L35=0),16+IF(INDEX(Setup!$O$6:$AL$23,5,16)="T",100,0),"")</f>
        <v/>
      </c>
      <c r="BD90">
        <f>IF(AND($C36=1,INDEX(Setup!$O$6:$AL$23,5,17)&lt;&gt;"",L36=0),17+IF(INDEX(Setup!$O$6:$AL$23,5,17)="T",100,0),"")</f>
        <v/>
      </c>
      <c r="BE90">
        <f>IF(AND($C37=1,INDEX(Setup!$O$6:$AL$23,5,18)&lt;&gt;"",L37=0),18+IF(INDEX(Setup!$O$6:$AL$23,5,18)="T",100,0),"")</f>
        <v/>
      </c>
      <c r="BF90">
        <f>IF(AND($C38=1,INDEX(Setup!$O$6:$AL$23,5,19)&lt;&gt;"",L38=0),19+IF(INDEX(Setup!$O$6:$AL$23,5,19)="T",100,0),"")</f>
        <v/>
      </c>
      <c r="BG90">
        <f>IF(AND($C39=1,INDEX(Setup!$O$6:$AL$23,5,20)&lt;&gt;"",L39=0),20+IF(INDEX(Setup!$O$6:$AL$23,5,20)="T",100,0),"")</f>
        <v/>
      </c>
      <c r="BH90">
        <f>IF(AND($C40=1,INDEX(Setup!$O$6:$AL$23,5,21)&lt;&gt;"",L40=0),21+IF(INDEX(Setup!$O$6:$AL$23,5,21)="T",100,0),"")</f>
        <v/>
      </c>
      <c r="BI90">
        <f>IF(AND($C41=1,INDEX(Setup!$O$6:$AL$23,5,22)&lt;&gt;"",L41=0),22+IF(INDEX(Setup!$O$6:$AL$23,5,22)="T",100,0),"")</f>
        <v/>
      </c>
      <c r="BJ90">
        <f>IF(AND($C42=1,INDEX(Setup!$O$6:$AL$23,5,23)&lt;&gt;"",L42=0),23+IF(INDEX(Setup!$O$6:$AL$23,5,23)="T",100,0),"")</f>
        <v/>
      </c>
      <c r="BK90">
        <f>IF(AND($C43=1,INDEX(Setup!$O$6:$AL$23,5,24)&lt;&gt;"",L43=0),24+IF(INDEX(Setup!$O$6:$AL$23,5,24)="T",100,0),"")</f>
        <v/>
      </c>
      <c r="BM90">
        <f>IF(AND(AN90&lt;&gt;"",COUNTIF($G$51:$I$51,$B20)+COUNTIF($G$51:$I$51,$B20&amp;" ~*")=0),($R20+COUNTIF($H$86:$H89,$B20)+COUNTIF($H$86:$H89,$B20&amp;" ~*"))*1000+IF(AN90&gt;100,500,0)+1,"")</f>
        <v/>
      </c>
      <c r="BN90">
        <f>IF(AND(AO90&lt;&gt;"",COUNTIF($G$51:$I$51,$B21)+COUNTIF($G$51:$I$51,$B21&amp;" ~*")=0),($R21+COUNTIF($H$86:$H89,$B21)+COUNTIF($H$86:$H89,$B21&amp;" ~*"))*1000+IF(AO90&gt;100,500,0)+2,"")</f>
        <v/>
      </c>
      <c r="BO90">
        <f>IF(AND(AP90&lt;&gt;"",COUNTIF($G$51:$I$51,$B22)+COUNTIF($G$51:$I$51,$B22&amp;" ~*")=0),($R22+COUNTIF($H$86:$H89,$B22)+COUNTIF($H$86:$H89,$B22&amp;" ~*"))*1000+IF(AP90&gt;100,500,0)+3,"")</f>
        <v/>
      </c>
      <c r="BP90">
        <f>IF(AND(AQ90&lt;&gt;"",COUNTIF($G$51:$I$51,$B23)+COUNTIF($G$51:$I$51,$B23&amp;" ~*")=0),($R23+COUNTIF($H$86:$H89,$B23)+COUNTIF($H$86:$H89,$B23&amp;" ~*"))*1000+IF(AQ90&gt;100,500,0)+4,"")</f>
        <v/>
      </c>
      <c r="BQ90">
        <f>IF(AND(AR90&lt;&gt;"",COUNTIF($G$51:$I$51,$B24)+COUNTIF($G$51:$I$51,$B24&amp;" ~*")=0),($R24+COUNTIF($H$86:$H89,$B24)+COUNTIF($H$86:$H89,$B24&amp;" ~*"))*1000+IF(AR90&gt;100,500,0)+5,"")</f>
        <v/>
      </c>
      <c r="BR90">
        <f>IF(AND(AS90&lt;&gt;"",COUNTIF($G$51:$I$51,$B25)+COUNTIF($G$51:$I$51,$B25&amp;" ~*")=0),($R25+COUNTIF($H$86:$H89,$B25)+COUNTIF($H$86:$H89,$B25&amp;" ~*"))*1000+IF(AS90&gt;100,500,0)+6,"")</f>
        <v/>
      </c>
      <c r="BS90">
        <f>IF(AND(AT90&lt;&gt;"",COUNTIF($G$51:$I$51,$B26)+COUNTIF($G$51:$I$51,$B26&amp;" ~*")=0),($R26+COUNTIF($H$86:$H89,$B26)+COUNTIF($H$86:$H89,$B26&amp;" ~*"))*1000+IF(AT90&gt;100,500,0)+7,"")</f>
        <v/>
      </c>
      <c r="BT90">
        <f>IF(AND(AU90&lt;&gt;"",COUNTIF($G$51:$I$51,$B27)+COUNTIF($G$51:$I$51,$B27&amp;" ~*")=0),($R27+COUNTIF($H$86:$H89,$B27)+COUNTIF($H$86:$H89,$B27&amp;" ~*"))*1000+IF(AU90&gt;100,500,0)+8,"")</f>
        <v/>
      </c>
      <c r="BU90">
        <f>IF(AND(AV90&lt;&gt;"",COUNTIF($G$51:$I$51,$B28)+COUNTIF($G$51:$I$51,$B28&amp;" ~*")=0),($R28+COUNTIF($H$86:$H89,$B28)+COUNTIF($H$86:$H89,$B28&amp;" ~*"))*1000+IF(AV90&gt;100,500,0)+9,"")</f>
        <v/>
      </c>
      <c r="BV90">
        <f>IF(AND(AW90&lt;&gt;"",COUNTIF($G$51:$I$51,$B29)+COUNTIF($G$51:$I$51,$B29&amp;" ~*")=0),($R29+COUNTIF($H$86:$H89,$B29)+COUNTIF($H$86:$H89,$B29&amp;" ~*"))*1000+IF(AW90&gt;100,500,0)+10,"")</f>
        <v/>
      </c>
      <c r="BW90">
        <f>IF(AND(AX90&lt;&gt;"",COUNTIF($G$51:$I$51,$B30)+COUNTIF($G$51:$I$51,$B30&amp;" ~*")=0),($R30+COUNTIF($H$86:$H89,$B30)+COUNTIF($H$86:$H89,$B30&amp;" ~*"))*1000+IF(AX90&gt;100,500,0)+11,"")</f>
        <v/>
      </c>
      <c r="BX90">
        <f>IF(AND(AY90&lt;&gt;"",COUNTIF($G$51:$I$51,$B31)+COUNTIF($G$51:$I$51,$B31&amp;" ~*")=0),($R31+COUNTIF($H$86:$H89,$B31)+COUNTIF($H$86:$H89,$B31&amp;" ~*"))*1000+IF(AY90&gt;100,500,0)+12,"")</f>
        <v/>
      </c>
      <c r="BY90">
        <f>IF(AND(AZ90&lt;&gt;"",COUNTIF($G$51:$I$51,$B32)+COUNTIF($G$51:$I$51,$B32&amp;" ~*")=0),($R32+COUNTIF($H$86:$H89,$B32)+COUNTIF($H$86:$H89,$B32&amp;" ~*"))*1000+IF(AZ90&gt;100,500,0)+13,"")</f>
        <v/>
      </c>
      <c r="BZ90">
        <f>IF(AND(BA90&lt;&gt;"",COUNTIF($G$51:$I$51,$B33)+COUNTIF($G$51:$I$51,$B33&amp;" ~*")=0),($R33+COUNTIF($H$86:$H89,$B33)+COUNTIF($H$86:$H89,$B33&amp;" ~*"))*1000+IF(BA90&gt;100,500,0)+14,"")</f>
        <v/>
      </c>
      <c r="CA90">
        <f>IF(AND(BB90&lt;&gt;"",COUNTIF($G$51:$I$51,$B34)+COUNTIF($G$51:$I$51,$B34&amp;" ~*")=0),($R34+COUNTIF($H$86:$H89,$B34)+COUNTIF($H$86:$H89,$B34&amp;" ~*"))*1000+IF(BB90&gt;100,500,0)+15,"")</f>
        <v/>
      </c>
      <c r="CB90">
        <f>IF(AND(BC90&lt;&gt;"",COUNTIF($G$51:$I$51,$B35)+COUNTIF($G$51:$I$51,$B35&amp;" ~*")=0),($R35+COUNTIF($H$86:$H89,$B35)+COUNTIF($H$86:$H89,$B35&amp;" ~*"))*1000+IF(BC90&gt;100,500,0)+16,"")</f>
        <v/>
      </c>
      <c r="CC90">
        <f>IF(AND(BD90&lt;&gt;"",COUNTIF($G$51:$I$51,$B36)+COUNTIF($G$51:$I$51,$B36&amp;" ~*")=0),($R36+COUNTIF($H$86:$H89,$B36)+COUNTIF($H$86:$H89,$B36&amp;" ~*"))*1000+IF(BD90&gt;100,500,0)+17,"")</f>
        <v/>
      </c>
      <c r="CD90">
        <f>IF(AND(BE90&lt;&gt;"",COUNTIF($G$51:$I$51,$B37)+COUNTIF($G$51:$I$51,$B37&amp;" ~*")=0),($R37+COUNTIF($H$86:$H89,$B37)+COUNTIF($H$86:$H89,$B37&amp;" ~*"))*1000+IF(BE90&gt;100,500,0)+18,"")</f>
        <v/>
      </c>
      <c r="CE90">
        <f>IF(AND(BF90&lt;&gt;"",COUNTIF($G$51:$I$51,$B38)+COUNTIF($G$51:$I$51,$B38&amp;" ~*")=0),($R38+COUNTIF($H$86:$H89,$B38)+COUNTIF($H$86:$H89,$B38&amp;" ~*"))*1000+IF(BF90&gt;100,500,0)+19,"")</f>
        <v/>
      </c>
      <c r="CF90">
        <f>IF(AND(BG90&lt;&gt;"",COUNTIF($G$51:$I$51,$B39)+COUNTIF($G$51:$I$51,$B39&amp;" ~*")=0),($R39+COUNTIF($H$86:$H89,$B39)+COUNTIF($H$86:$H89,$B39&amp;" ~*"))*1000+IF(BG90&gt;100,500,0)+20,"")</f>
        <v/>
      </c>
      <c r="CG90">
        <f>IF(AND(BH90&lt;&gt;"",COUNTIF($G$51:$I$51,$B40)+COUNTIF($G$51:$I$51,$B40&amp;" ~*")=0),($R40+COUNTIF($H$86:$H89,$B40)+COUNTIF($H$86:$H89,$B40&amp;" ~*"))*1000+IF(BH90&gt;100,500,0)+21,"")</f>
        <v/>
      </c>
      <c r="CH90">
        <f>IF(AND(BI90&lt;&gt;"",COUNTIF($G$51:$I$51,$B41)+COUNTIF($G$51:$I$51,$B41&amp;" ~*")=0),($R41+COUNTIF($H$86:$H89,$B41)+COUNTIF($H$86:$H89,$B41&amp;" ~*"))*1000+IF(BI90&gt;100,500,0)+22,"")</f>
        <v/>
      </c>
      <c r="CI90">
        <f>IF(AND(BJ90&lt;&gt;"",COUNTIF($G$51:$I$51,$B42)+COUNTIF($G$51:$I$51,$B42&amp;" ~*")=0),($R42+COUNTIF($H$86:$H89,$B42)+COUNTIF($H$86:$H89,$B42&amp;" ~*"))*1000+IF(BJ90&gt;100,500,0)+23,"")</f>
        <v/>
      </c>
      <c r="CJ90">
        <f>IF(AND(BK90&lt;&gt;"",COUNTIF($G$51:$I$51,$B43)+COUNTIF($G$51:$I$51,$B43&amp;" ~*")=0),($R43+COUNTIF($H$86:$H89,$B43)+COUNTIF($H$86:$H89,$B43&amp;" ~*"))*1000+IF(BK90&gt;100,500,0)+24,"")</f>
        <v/>
      </c>
    </row>
    <row r="91">
      <c r="A91" t="n">
        <v>2</v>
      </c>
      <c r="B91" t="n">
        <v>6</v>
      </c>
      <c r="C91">
        <f>$B$52</f>
        <v/>
      </c>
      <c r="D91" t="inlineStr">
        <is>
          <t>Tue</t>
        </is>
      </c>
      <c r="E91">
        <f>IF(C91="","",N($AB$52))</f>
        <v/>
      </c>
      <c r="F91">
        <f>IF(C91="","",COUNTIF($G$52:$I$52,"?*"))</f>
        <v/>
      </c>
      <c r="G91">
        <f>IF(C91="","",MAX(0,E91-F91))</f>
        <v/>
      </c>
      <c r="H91">
        <f>IF(N(G91)=0,"",IF(COUNT(BM91:CJ91)=0,"no-one eligible",INDEX(Engine!$B$20:$B$43,MOD(MIN(BM91:CJ91),500))&amp;IF(MOD(MIN(BM91:CJ91),1000)&gt;=500," *","")))</f>
        <v/>
      </c>
      <c r="I91">
        <f>IF(N(G91)&gt;0,COUNTIF($G$68:G91,"&gt;0"),"")</f>
        <v/>
      </c>
      <c r="J91">
        <f>IF(C91="","",IF($G$52="",0,IF(IFERROR(INDEX(Setup!$O$6:$AL$23,6,MATCH(SUBSTITUTE($G$52," *",""),Setup!$B$6:$B$29,0)),"")="",1,0))+IF($H$52="",0,IF(IFERROR(INDEX(Setup!$O$6:$AL$23,6,MATCH(SUBSTITUTE($H$52," *",""),Setup!$B$6:$B$29,0)),"")="",1,0))+IF($I$52="",0,IF(IFERROR(INDEX(Setup!$O$6:$AL$23,6,MATCH(SUBSTITUTE($I$52," *",""),Setup!$B$6:$B$29,0)),"")="",1,0)))</f>
        <v/>
      </c>
      <c r="K91">
        <f>IF($B$12+1=TODAY(),1,0)</f>
        <v/>
      </c>
      <c r="N91">
        <f>COUNT($AN91:$BK91)</f>
        <v/>
      </c>
      <c r="O91">
        <f>IF(1&gt;$N91,"",INDEX(Engine!$B$20:$B$43,MOD(SMALL($AN91:$BK91,1),100))&amp;IF(SMALL($AN91:$BK91,1)&gt;100," *",""))</f>
        <v/>
      </c>
      <c r="P91">
        <f>IF(2&gt;$N91,"",INDEX(Engine!$B$20:$B$43,MOD(SMALL($AN91:$BK91,2),100))&amp;IF(SMALL($AN91:$BK91,2)&gt;100," *",""))</f>
        <v/>
      </c>
      <c r="Q91">
        <f>IF(3&gt;$N91,"",INDEX(Engine!$B$20:$B$43,MOD(SMALL($AN91:$BK91,3),100))&amp;IF(SMALL($AN91:$BK91,3)&gt;100," *",""))</f>
        <v/>
      </c>
      <c r="R91">
        <f>IF(4&gt;$N91,"",INDEX(Engine!$B$20:$B$43,MOD(SMALL($AN91:$BK91,4),100))&amp;IF(SMALL($AN91:$BK91,4)&gt;100," *",""))</f>
        <v/>
      </c>
      <c r="S91">
        <f>IF(5&gt;$N91,"",INDEX(Engine!$B$20:$B$43,MOD(SMALL($AN91:$BK91,5),100))&amp;IF(SMALL($AN91:$BK91,5)&gt;100," *",""))</f>
        <v/>
      </c>
      <c r="T91">
        <f>IF(6&gt;$N91,"",INDEX(Engine!$B$20:$B$43,MOD(SMALL($AN91:$BK91,6),100))&amp;IF(SMALL($AN91:$BK91,6)&gt;100," *",""))</f>
        <v/>
      </c>
      <c r="U91">
        <f>IF(7&gt;$N91,"",INDEX(Engine!$B$20:$B$43,MOD(SMALL($AN91:$BK91,7),100))&amp;IF(SMALL($AN91:$BK91,7)&gt;100," *",""))</f>
        <v/>
      </c>
      <c r="V91">
        <f>IF(8&gt;$N91,"",INDEX(Engine!$B$20:$B$43,MOD(SMALL($AN91:$BK91,8),100))&amp;IF(SMALL($AN91:$BK91,8)&gt;100," *",""))</f>
        <v/>
      </c>
      <c r="W91">
        <f>IF(9&gt;$N91,"",INDEX(Engine!$B$20:$B$43,MOD(SMALL($AN91:$BK91,9),100))&amp;IF(SMALL($AN91:$BK91,9)&gt;100," *",""))</f>
        <v/>
      </c>
      <c r="X91">
        <f>IF(10&gt;$N91,"",INDEX(Engine!$B$20:$B$43,MOD(SMALL($AN91:$BK91,10),100))&amp;IF(SMALL($AN91:$BK91,10)&gt;100," *",""))</f>
        <v/>
      </c>
      <c r="Y91">
        <f>IF(11&gt;$N91,"",INDEX(Engine!$B$20:$B$43,MOD(SMALL($AN91:$BK91,11),100))&amp;IF(SMALL($AN91:$BK91,11)&gt;100," *",""))</f>
        <v/>
      </c>
      <c r="Z91">
        <f>IF(12&gt;$N91,"",INDEX(Engine!$B$20:$B$43,MOD(SMALL($AN91:$BK91,12),100))&amp;IF(SMALL($AN91:$BK91,12)&gt;100," *",""))</f>
        <v/>
      </c>
      <c r="AA91">
        <f>IF(13&gt;$N91,"",INDEX(Engine!$B$20:$B$43,MOD(SMALL($AN91:$BK91,13),100))&amp;IF(SMALL($AN91:$BK91,13)&gt;100," *",""))</f>
        <v/>
      </c>
      <c r="AB91">
        <f>IF(14&gt;$N91,"",INDEX(Engine!$B$20:$B$43,MOD(SMALL($AN91:$BK91,14),100))&amp;IF(SMALL($AN91:$BK91,14)&gt;100," *",""))</f>
        <v/>
      </c>
      <c r="AC91">
        <f>IF(15&gt;$N91,"",INDEX(Engine!$B$20:$B$43,MOD(SMALL($AN91:$BK91,15),100))&amp;IF(SMALL($AN91:$BK91,15)&gt;100," *",""))</f>
        <v/>
      </c>
      <c r="AD91">
        <f>IF(16&gt;$N91,"",INDEX(Engine!$B$20:$B$43,MOD(SMALL($AN91:$BK91,16),100))&amp;IF(SMALL($AN91:$BK91,16)&gt;100," *",""))</f>
        <v/>
      </c>
      <c r="AE91">
        <f>IF(17&gt;$N91,"",INDEX(Engine!$B$20:$B$43,MOD(SMALL($AN91:$BK91,17),100))&amp;IF(SMALL($AN91:$BK91,17)&gt;100," *",""))</f>
        <v/>
      </c>
      <c r="AF91">
        <f>IF(18&gt;$N91,"",INDEX(Engine!$B$20:$B$43,MOD(SMALL($AN91:$BK91,18),100))&amp;IF(SMALL($AN91:$BK91,18)&gt;100," *",""))</f>
        <v/>
      </c>
      <c r="AG91">
        <f>IF(19&gt;$N91,"",INDEX(Engine!$B$20:$B$43,MOD(SMALL($AN91:$BK91,19),100))&amp;IF(SMALL($AN91:$BK91,19)&gt;100," *",""))</f>
        <v/>
      </c>
      <c r="AH91">
        <f>IF(20&gt;$N91,"",INDEX(Engine!$B$20:$B$43,MOD(SMALL($AN91:$BK91,20),100))&amp;IF(SMALL($AN91:$BK91,20)&gt;100," *",""))</f>
        <v/>
      </c>
      <c r="AI91">
        <f>IF(21&gt;$N91,"",INDEX(Engine!$B$20:$B$43,MOD(SMALL($AN91:$BK91,21),100))&amp;IF(SMALL($AN91:$BK91,21)&gt;100," *",""))</f>
        <v/>
      </c>
      <c r="AJ91">
        <f>IF(22&gt;$N91,"",INDEX(Engine!$B$20:$B$43,MOD(SMALL($AN91:$BK91,22),100))&amp;IF(SMALL($AN91:$BK91,22)&gt;100," *",""))</f>
        <v/>
      </c>
      <c r="AK91">
        <f>IF(23&gt;$N91,"",INDEX(Engine!$B$20:$B$43,MOD(SMALL($AN91:$BK91,23),100))&amp;IF(SMALL($AN91:$BK91,23)&gt;100," *",""))</f>
        <v/>
      </c>
      <c r="AL91">
        <f>IF(24&gt;$N91,"",INDEX(Engine!$B$20:$B$43,MOD(SMALL($AN91:$BK91,24),100))&amp;IF(SMALL($AN91:$BK91,24)&gt;100," *",""))</f>
        <v/>
      </c>
      <c r="AN91">
        <f>IF(AND($C20=1,INDEX(Setup!$O$6:$AL$23,6,1)&lt;&gt;"",L20=0),1+IF(INDEX(Setup!$O$6:$AL$23,6,1)="T",100,0),"")</f>
        <v/>
      </c>
      <c r="AO91">
        <f>IF(AND($C21=1,INDEX(Setup!$O$6:$AL$23,6,2)&lt;&gt;"",L21=0),2+IF(INDEX(Setup!$O$6:$AL$23,6,2)="T",100,0),"")</f>
        <v/>
      </c>
      <c r="AP91">
        <f>IF(AND($C22=1,INDEX(Setup!$O$6:$AL$23,6,3)&lt;&gt;"",L22=0),3+IF(INDEX(Setup!$O$6:$AL$23,6,3)="T",100,0),"")</f>
        <v/>
      </c>
      <c r="AQ91">
        <f>IF(AND($C23=1,INDEX(Setup!$O$6:$AL$23,6,4)&lt;&gt;"",L23=0),4+IF(INDEX(Setup!$O$6:$AL$23,6,4)="T",100,0),"")</f>
        <v/>
      </c>
      <c r="AR91">
        <f>IF(AND($C24=1,INDEX(Setup!$O$6:$AL$23,6,5)&lt;&gt;"",L24=0),5+IF(INDEX(Setup!$O$6:$AL$23,6,5)="T",100,0),"")</f>
        <v/>
      </c>
      <c r="AS91">
        <f>IF(AND($C25=1,INDEX(Setup!$O$6:$AL$23,6,6)&lt;&gt;"",L25=0),6+IF(INDEX(Setup!$O$6:$AL$23,6,6)="T",100,0),"")</f>
        <v/>
      </c>
      <c r="AT91">
        <f>IF(AND($C26=1,INDEX(Setup!$O$6:$AL$23,6,7)&lt;&gt;"",L26=0),7+IF(INDEX(Setup!$O$6:$AL$23,6,7)="T",100,0),"")</f>
        <v/>
      </c>
      <c r="AU91">
        <f>IF(AND($C27=1,INDEX(Setup!$O$6:$AL$23,6,8)&lt;&gt;"",L27=0),8+IF(INDEX(Setup!$O$6:$AL$23,6,8)="T",100,0),"")</f>
        <v/>
      </c>
      <c r="AV91">
        <f>IF(AND($C28=1,INDEX(Setup!$O$6:$AL$23,6,9)&lt;&gt;"",L28=0),9+IF(INDEX(Setup!$O$6:$AL$23,6,9)="T",100,0),"")</f>
        <v/>
      </c>
      <c r="AW91">
        <f>IF(AND($C29=1,INDEX(Setup!$O$6:$AL$23,6,10)&lt;&gt;"",L29=0),10+IF(INDEX(Setup!$O$6:$AL$23,6,10)="T",100,0),"")</f>
        <v/>
      </c>
      <c r="AX91">
        <f>IF(AND($C30=1,INDEX(Setup!$O$6:$AL$23,6,11)&lt;&gt;"",L30=0),11+IF(INDEX(Setup!$O$6:$AL$23,6,11)="T",100,0),"")</f>
        <v/>
      </c>
      <c r="AY91">
        <f>IF(AND($C31=1,INDEX(Setup!$O$6:$AL$23,6,12)&lt;&gt;"",L31=0),12+IF(INDEX(Setup!$O$6:$AL$23,6,12)="T",100,0),"")</f>
        <v/>
      </c>
      <c r="AZ91">
        <f>IF(AND($C32=1,INDEX(Setup!$O$6:$AL$23,6,13)&lt;&gt;"",L32=0),13+IF(INDEX(Setup!$O$6:$AL$23,6,13)="T",100,0),"")</f>
        <v/>
      </c>
      <c r="BA91">
        <f>IF(AND($C33=1,INDEX(Setup!$O$6:$AL$23,6,14)&lt;&gt;"",L33=0),14+IF(INDEX(Setup!$O$6:$AL$23,6,14)="T",100,0),"")</f>
        <v/>
      </c>
      <c r="BB91">
        <f>IF(AND($C34=1,INDEX(Setup!$O$6:$AL$23,6,15)&lt;&gt;"",L34=0),15+IF(INDEX(Setup!$O$6:$AL$23,6,15)="T",100,0),"")</f>
        <v/>
      </c>
      <c r="BC91">
        <f>IF(AND($C35=1,INDEX(Setup!$O$6:$AL$23,6,16)&lt;&gt;"",L35=0),16+IF(INDEX(Setup!$O$6:$AL$23,6,16)="T",100,0),"")</f>
        <v/>
      </c>
      <c r="BD91">
        <f>IF(AND($C36=1,INDEX(Setup!$O$6:$AL$23,6,17)&lt;&gt;"",L36=0),17+IF(INDEX(Setup!$O$6:$AL$23,6,17)="T",100,0),"")</f>
        <v/>
      </c>
      <c r="BE91">
        <f>IF(AND($C37=1,INDEX(Setup!$O$6:$AL$23,6,18)&lt;&gt;"",L37=0),18+IF(INDEX(Setup!$O$6:$AL$23,6,18)="T",100,0),"")</f>
        <v/>
      </c>
      <c r="BF91">
        <f>IF(AND($C38=1,INDEX(Setup!$O$6:$AL$23,6,19)&lt;&gt;"",L38=0),19+IF(INDEX(Setup!$O$6:$AL$23,6,19)="T",100,0),"")</f>
        <v/>
      </c>
      <c r="BG91">
        <f>IF(AND($C39=1,INDEX(Setup!$O$6:$AL$23,6,20)&lt;&gt;"",L39=0),20+IF(INDEX(Setup!$O$6:$AL$23,6,20)="T",100,0),"")</f>
        <v/>
      </c>
      <c r="BH91">
        <f>IF(AND($C40=1,INDEX(Setup!$O$6:$AL$23,6,21)&lt;&gt;"",L40=0),21+IF(INDEX(Setup!$O$6:$AL$23,6,21)="T",100,0),"")</f>
        <v/>
      </c>
      <c r="BI91">
        <f>IF(AND($C41=1,INDEX(Setup!$O$6:$AL$23,6,22)&lt;&gt;"",L41=0),22+IF(INDEX(Setup!$O$6:$AL$23,6,22)="T",100,0),"")</f>
        <v/>
      </c>
      <c r="BJ91">
        <f>IF(AND($C42=1,INDEX(Setup!$O$6:$AL$23,6,23)&lt;&gt;"",L42=0),23+IF(INDEX(Setup!$O$6:$AL$23,6,23)="T",100,0),"")</f>
        <v/>
      </c>
      <c r="BK91">
        <f>IF(AND($C43=1,INDEX(Setup!$O$6:$AL$23,6,24)&lt;&gt;"",L43=0),24+IF(INDEX(Setup!$O$6:$AL$23,6,24)="T",100,0),"")</f>
        <v/>
      </c>
      <c r="BM91">
        <f>IF(AND(AN91&lt;&gt;"",COUNTIF($G$52:$I$52,$B20)+COUNTIF($G$52:$I$52,$B20&amp;" ~*")=0),($R20+COUNTIF($H$86:$H90,$B20)+COUNTIF($H$86:$H90,$B20&amp;" ~*"))*1000+IF(AN91&gt;100,500,0)+1,"")</f>
        <v/>
      </c>
      <c r="BN91">
        <f>IF(AND(AO91&lt;&gt;"",COUNTIF($G$52:$I$52,$B21)+COUNTIF($G$52:$I$52,$B21&amp;" ~*")=0),($R21+COUNTIF($H$86:$H90,$B21)+COUNTIF($H$86:$H90,$B21&amp;" ~*"))*1000+IF(AO91&gt;100,500,0)+2,"")</f>
        <v/>
      </c>
      <c r="BO91">
        <f>IF(AND(AP91&lt;&gt;"",COUNTIF($G$52:$I$52,$B22)+COUNTIF($G$52:$I$52,$B22&amp;" ~*")=0),($R22+COUNTIF($H$86:$H90,$B22)+COUNTIF($H$86:$H90,$B22&amp;" ~*"))*1000+IF(AP91&gt;100,500,0)+3,"")</f>
        <v/>
      </c>
      <c r="BP91">
        <f>IF(AND(AQ91&lt;&gt;"",COUNTIF($G$52:$I$52,$B23)+COUNTIF($G$52:$I$52,$B23&amp;" ~*")=0),($R23+COUNTIF($H$86:$H90,$B23)+COUNTIF($H$86:$H90,$B23&amp;" ~*"))*1000+IF(AQ91&gt;100,500,0)+4,"")</f>
        <v/>
      </c>
      <c r="BQ91">
        <f>IF(AND(AR91&lt;&gt;"",COUNTIF($G$52:$I$52,$B24)+COUNTIF($G$52:$I$52,$B24&amp;" ~*")=0),($R24+COUNTIF($H$86:$H90,$B24)+COUNTIF($H$86:$H90,$B24&amp;" ~*"))*1000+IF(AR91&gt;100,500,0)+5,"")</f>
        <v/>
      </c>
      <c r="BR91">
        <f>IF(AND(AS91&lt;&gt;"",COUNTIF($G$52:$I$52,$B25)+COUNTIF($G$52:$I$52,$B25&amp;" ~*")=0),($R25+COUNTIF($H$86:$H90,$B25)+COUNTIF($H$86:$H90,$B25&amp;" ~*"))*1000+IF(AS91&gt;100,500,0)+6,"")</f>
        <v/>
      </c>
      <c r="BS91">
        <f>IF(AND(AT91&lt;&gt;"",COUNTIF($G$52:$I$52,$B26)+COUNTIF($G$52:$I$52,$B26&amp;" ~*")=0),($R26+COUNTIF($H$86:$H90,$B26)+COUNTIF($H$86:$H90,$B26&amp;" ~*"))*1000+IF(AT91&gt;100,500,0)+7,"")</f>
        <v/>
      </c>
      <c r="BT91">
        <f>IF(AND(AU91&lt;&gt;"",COUNTIF($G$52:$I$52,$B27)+COUNTIF($G$52:$I$52,$B27&amp;" ~*")=0),($R27+COUNTIF($H$86:$H90,$B27)+COUNTIF($H$86:$H90,$B27&amp;" ~*"))*1000+IF(AU91&gt;100,500,0)+8,"")</f>
        <v/>
      </c>
      <c r="BU91">
        <f>IF(AND(AV91&lt;&gt;"",COUNTIF($G$52:$I$52,$B28)+COUNTIF($G$52:$I$52,$B28&amp;" ~*")=0),($R28+COUNTIF($H$86:$H90,$B28)+COUNTIF($H$86:$H90,$B28&amp;" ~*"))*1000+IF(AV91&gt;100,500,0)+9,"")</f>
        <v/>
      </c>
      <c r="BV91">
        <f>IF(AND(AW91&lt;&gt;"",COUNTIF($G$52:$I$52,$B29)+COUNTIF($G$52:$I$52,$B29&amp;" ~*")=0),($R29+COUNTIF($H$86:$H90,$B29)+COUNTIF($H$86:$H90,$B29&amp;" ~*"))*1000+IF(AW91&gt;100,500,0)+10,"")</f>
        <v/>
      </c>
      <c r="BW91">
        <f>IF(AND(AX91&lt;&gt;"",COUNTIF($G$52:$I$52,$B30)+COUNTIF($G$52:$I$52,$B30&amp;" ~*")=0),($R30+COUNTIF($H$86:$H90,$B30)+COUNTIF($H$86:$H90,$B30&amp;" ~*"))*1000+IF(AX91&gt;100,500,0)+11,"")</f>
        <v/>
      </c>
      <c r="BX91">
        <f>IF(AND(AY91&lt;&gt;"",COUNTIF($G$52:$I$52,$B31)+COUNTIF($G$52:$I$52,$B31&amp;" ~*")=0),($R31+COUNTIF($H$86:$H90,$B31)+COUNTIF($H$86:$H90,$B31&amp;" ~*"))*1000+IF(AY91&gt;100,500,0)+12,"")</f>
        <v/>
      </c>
      <c r="BY91">
        <f>IF(AND(AZ91&lt;&gt;"",COUNTIF($G$52:$I$52,$B32)+COUNTIF($G$52:$I$52,$B32&amp;" ~*")=0),($R32+COUNTIF($H$86:$H90,$B32)+COUNTIF($H$86:$H90,$B32&amp;" ~*"))*1000+IF(AZ91&gt;100,500,0)+13,"")</f>
        <v/>
      </c>
      <c r="BZ91">
        <f>IF(AND(BA91&lt;&gt;"",COUNTIF($G$52:$I$52,$B33)+COUNTIF($G$52:$I$52,$B33&amp;" ~*")=0),($R33+COUNTIF($H$86:$H90,$B33)+COUNTIF($H$86:$H90,$B33&amp;" ~*"))*1000+IF(BA91&gt;100,500,0)+14,"")</f>
        <v/>
      </c>
      <c r="CA91">
        <f>IF(AND(BB91&lt;&gt;"",COUNTIF($G$52:$I$52,$B34)+COUNTIF($G$52:$I$52,$B34&amp;" ~*")=0),($R34+COUNTIF($H$86:$H90,$B34)+COUNTIF($H$86:$H90,$B34&amp;" ~*"))*1000+IF(BB91&gt;100,500,0)+15,"")</f>
        <v/>
      </c>
      <c r="CB91">
        <f>IF(AND(BC91&lt;&gt;"",COUNTIF($G$52:$I$52,$B35)+COUNTIF($G$52:$I$52,$B35&amp;" ~*")=0),($R35+COUNTIF($H$86:$H90,$B35)+COUNTIF($H$86:$H90,$B35&amp;" ~*"))*1000+IF(BC91&gt;100,500,0)+16,"")</f>
        <v/>
      </c>
      <c r="CC91">
        <f>IF(AND(BD91&lt;&gt;"",COUNTIF($G$52:$I$52,$B36)+COUNTIF($G$52:$I$52,$B36&amp;" ~*")=0),($R36+COUNTIF($H$86:$H90,$B36)+COUNTIF($H$86:$H90,$B36&amp;" ~*"))*1000+IF(BD91&gt;100,500,0)+17,"")</f>
        <v/>
      </c>
      <c r="CD91">
        <f>IF(AND(BE91&lt;&gt;"",COUNTIF($G$52:$I$52,$B37)+COUNTIF($G$52:$I$52,$B37&amp;" ~*")=0),($R37+COUNTIF($H$86:$H90,$B37)+COUNTIF($H$86:$H90,$B37&amp;" ~*"))*1000+IF(BE91&gt;100,500,0)+18,"")</f>
        <v/>
      </c>
      <c r="CE91">
        <f>IF(AND(BF91&lt;&gt;"",COUNTIF($G$52:$I$52,$B38)+COUNTIF($G$52:$I$52,$B38&amp;" ~*")=0),($R38+COUNTIF($H$86:$H90,$B38)+COUNTIF($H$86:$H90,$B38&amp;" ~*"))*1000+IF(BF91&gt;100,500,0)+19,"")</f>
        <v/>
      </c>
      <c r="CF91">
        <f>IF(AND(BG91&lt;&gt;"",COUNTIF($G$52:$I$52,$B39)+COUNTIF($G$52:$I$52,$B39&amp;" ~*")=0),($R39+COUNTIF($H$86:$H90,$B39)+COUNTIF($H$86:$H90,$B39&amp;" ~*"))*1000+IF(BG91&gt;100,500,0)+20,"")</f>
        <v/>
      </c>
      <c r="CG91">
        <f>IF(AND(BH91&lt;&gt;"",COUNTIF($G$52:$I$52,$B40)+COUNTIF($G$52:$I$52,$B40&amp;" ~*")=0),($R40+COUNTIF($H$86:$H90,$B40)+COUNTIF($H$86:$H90,$B40&amp;" ~*"))*1000+IF(BH91&gt;100,500,0)+21,"")</f>
        <v/>
      </c>
      <c r="CH91">
        <f>IF(AND(BI91&lt;&gt;"",COUNTIF($G$52:$I$52,$B41)+COUNTIF($G$52:$I$52,$B41&amp;" ~*")=0),($R41+COUNTIF($H$86:$H90,$B41)+COUNTIF($H$86:$H90,$B41&amp;" ~*"))*1000+IF(BI91&gt;100,500,0)+22,"")</f>
        <v/>
      </c>
      <c r="CI91">
        <f>IF(AND(BJ91&lt;&gt;"",COUNTIF($G$52:$I$52,$B42)+COUNTIF($G$52:$I$52,$B42&amp;" ~*")=0),($R42+COUNTIF($H$86:$H90,$B42)+COUNTIF($H$86:$H90,$B42&amp;" ~*"))*1000+IF(BJ91&gt;100,500,0)+23,"")</f>
        <v/>
      </c>
      <c r="CJ91">
        <f>IF(AND(BK91&lt;&gt;"",COUNTIF($G$52:$I$52,$B43)+COUNTIF($G$52:$I$52,$B43&amp;" ~*")=0),($R43+COUNTIF($H$86:$H90,$B43)+COUNTIF($H$86:$H90,$B43&amp;" ~*"))*1000+IF(BK91&gt;100,500,0)+24,"")</f>
        <v/>
      </c>
    </row>
    <row r="92">
      <c r="A92" t="n">
        <v>2</v>
      </c>
      <c r="B92" t="n">
        <v>7</v>
      </c>
      <c r="C92">
        <f>$B$53</f>
        <v/>
      </c>
      <c r="D92" t="inlineStr">
        <is>
          <t>Tue</t>
        </is>
      </c>
      <c r="E92">
        <f>IF(C92="","",N($AB$53))</f>
        <v/>
      </c>
      <c r="F92">
        <f>IF(C92="","",COUNTIF($G$53:$I$53,"?*"))</f>
        <v/>
      </c>
      <c r="G92">
        <f>IF(C92="","",MAX(0,E92-F92))</f>
        <v/>
      </c>
      <c r="H92">
        <f>IF(N(G92)=0,"",IF(COUNT(BM92:CJ92)=0,"no-one eligible",INDEX(Engine!$B$20:$B$43,MOD(MIN(BM92:CJ92),500))&amp;IF(MOD(MIN(BM92:CJ92),1000)&gt;=500," *","")))</f>
        <v/>
      </c>
      <c r="I92">
        <f>IF(N(G92)&gt;0,COUNTIF($G$68:G92,"&gt;0"),"")</f>
        <v/>
      </c>
      <c r="J92">
        <f>IF(C92="","",IF($G$53="",0,IF(IFERROR(INDEX(Setup!$O$6:$AL$23,7,MATCH(SUBSTITUTE($G$53," *",""),Setup!$B$6:$B$29,0)),"")="",1,0))+IF($H$53="",0,IF(IFERROR(INDEX(Setup!$O$6:$AL$23,7,MATCH(SUBSTITUTE($H$53," *",""),Setup!$B$6:$B$29,0)),"")="",1,0))+IF($I$53="",0,IF(IFERROR(INDEX(Setup!$O$6:$AL$23,7,MATCH(SUBSTITUTE($I$53," *",""),Setup!$B$6:$B$29,0)),"")="",1,0)))</f>
        <v/>
      </c>
      <c r="K92">
        <f>IF($B$12+1=TODAY(),1,0)</f>
        <v/>
      </c>
      <c r="N92">
        <f>COUNT($AN92:$BK92)</f>
        <v/>
      </c>
      <c r="O92">
        <f>IF(1&gt;$N92,"",INDEX(Engine!$B$20:$B$43,MOD(SMALL($AN92:$BK92,1),100))&amp;IF(SMALL($AN92:$BK92,1)&gt;100," *",""))</f>
        <v/>
      </c>
      <c r="P92">
        <f>IF(2&gt;$N92,"",INDEX(Engine!$B$20:$B$43,MOD(SMALL($AN92:$BK92,2),100))&amp;IF(SMALL($AN92:$BK92,2)&gt;100," *",""))</f>
        <v/>
      </c>
      <c r="Q92">
        <f>IF(3&gt;$N92,"",INDEX(Engine!$B$20:$B$43,MOD(SMALL($AN92:$BK92,3),100))&amp;IF(SMALL($AN92:$BK92,3)&gt;100," *",""))</f>
        <v/>
      </c>
      <c r="R92">
        <f>IF(4&gt;$N92,"",INDEX(Engine!$B$20:$B$43,MOD(SMALL($AN92:$BK92,4),100))&amp;IF(SMALL($AN92:$BK92,4)&gt;100," *",""))</f>
        <v/>
      </c>
      <c r="S92">
        <f>IF(5&gt;$N92,"",INDEX(Engine!$B$20:$B$43,MOD(SMALL($AN92:$BK92,5),100))&amp;IF(SMALL($AN92:$BK92,5)&gt;100," *",""))</f>
        <v/>
      </c>
      <c r="T92">
        <f>IF(6&gt;$N92,"",INDEX(Engine!$B$20:$B$43,MOD(SMALL($AN92:$BK92,6),100))&amp;IF(SMALL($AN92:$BK92,6)&gt;100," *",""))</f>
        <v/>
      </c>
      <c r="U92">
        <f>IF(7&gt;$N92,"",INDEX(Engine!$B$20:$B$43,MOD(SMALL($AN92:$BK92,7),100))&amp;IF(SMALL($AN92:$BK92,7)&gt;100," *",""))</f>
        <v/>
      </c>
      <c r="V92">
        <f>IF(8&gt;$N92,"",INDEX(Engine!$B$20:$B$43,MOD(SMALL($AN92:$BK92,8),100))&amp;IF(SMALL($AN92:$BK92,8)&gt;100," *",""))</f>
        <v/>
      </c>
      <c r="W92">
        <f>IF(9&gt;$N92,"",INDEX(Engine!$B$20:$B$43,MOD(SMALL($AN92:$BK92,9),100))&amp;IF(SMALL($AN92:$BK92,9)&gt;100," *",""))</f>
        <v/>
      </c>
      <c r="X92">
        <f>IF(10&gt;$N92,"",INDEX(Engine!$B$20:$B$43,MOD(SMALL($AN92:$BK92,10),100))&amp;IF(SMALL($AN92:$BK92,10)&gt;100," *",""))</f>
        <v/>
      </c>
      <c r="Y92">
        <f>IF(11&gt;$N92,"",INDEX(Engine!$B$20:$B$43,MOD(SMALL($AN92:$BK92,11),100))&amp;IF(SMALL($AN92:$BK92,11)&gt;100," *",""))</f>
        <v/>
      </c>
      <c r="Z92">
        <f>IF(12&gt;$N92,"",INDEX(Engine!$B$20:$B$43,MOD(SMALL($AN92:$BK92,12),100))&amp;IF(SMALL($AN92:$BK92,12)&gt;100," *",""))</f>
        <v/>
      </c>
      <c r="AA92">
        <f>IF(13&gt;$N92,"",INDEX(Engine!$B$20:$B$43,MOD(SMALL($AN92:$BK92,13),100))&amp;IF(SMALL($AN92:$BK92,13)&gt;100," *",""))</f>
        <v/>
      </c>
      <c r="AB92">
        <f>IF(14&gt;$N92,"",INDEX(Engine!$B$20:$B$43,MOD(SMALL($AN92:$BK92,14),100))&amp;IF(SMALL($AN92:$BK92,14)&gt;100," *",""))</f>
        <v/>
      </c>
      <c r="AC92">
        <f>IF(15&gt;$N92,"",INDEX(Engine!$B$20:$B$43,MOD(SMALL($AN92:$BK92,15),100))&amp;IF(SMALL($AN92:$BK92,15)&gt;100," *",""))</f>
        <v/>
      </c>
      <c r="AD92">
        <f>IF(16&gt;$N92,"",INDEX(Engine!$B$20:$B$43,MOD(SMALL($AN92:$BK92,16),100))&amp;IF(SMALL($AN92:$BK92,16)&gt;100," *",""))</f>
        <v/>
      </c>
      <c r="AE92">
        <f>IF(17&gt;$N92,"",INDEX(Engine!$B$20:$B$43,MOD(SMALL($AN92:$BK92,17),100))&amp;IF(SMALL($AN92:$BK92,17)&gt;100," *",""))</f>
        <v/>
      </c>
      <c r="AF92">
        <f>IF(18&gt;$N92,"",INDEX(Engine!$B$20:$B$43,MOD(SMALL($AN92:$BK92,18),100))&amp;IF(SMALL($AN92:$BK92,18)&gt;100," *",""))</f>
        <v/>
      </c>
      <c r="AG92">
        <f>IF(19&gt;$N92,"",INDEX(Engine!$B$20:$B$43,MOD(SMALL($AN92:$BK92,19),100))&amp;IF(SMALL($AN92:$BK92,19)&gt;100," *",""))</f>
        <v/>
      </c>
      <c r="AH92">
        <f>IF(20&gt;$N92,"",INDEX(Engine!$B$20:$B$43,MOD(SMALL($AN92:$BK92,20),100))&amp;IF(SMALL($AN92:$BK92,20)&gt;100," *",""))</f>
        <v/>
      </c>
      <c r="AI92">
        <f>IF(21&gt;$N92,"",INDEX(Engine!$B$20:$B$43,MOD(SMALL($AN92:$BK92,21),100))&amp;IF(SMALL($AN92:$BK92,21)&gt;100," *",""))</f>
        <v/>
      </c>
      <c r="AJ92">
        <f>IF(22&gt;$N92,"",INDEX(Engine!$B$20:$B$43,MOD(SMALL($AN92:$BK92,22),100))&amp;IF(SMALL($AN92:$BK92,22)&gt;100," *",""))</f>
        <v/>
      </c>
      <c r="AK92">
        <f>IF(23&gt;$N92,"",INDEX(Engine!$B$20:$B$43,MOD(SMALL($AN92:$BK92,23),100))&amp;IF(SMALL($AN92:$BK92,23)&gt;100," *",""))</f>
        <v/>
      </c>
      <c r="AL92">
        <f>IF(24&gt;$N92,"",INDEX(Engine!$B$20:$B$43,MOD(SMALL($AN92:$BK92,24),100))&amp;IF(SMALL($AN92:$BK92,24)&gt;100," *",""))</f>
        <v/>
      </c>
      <c r="AN92">
        <f>IF(AND($C20=1,INDEX(Setup!$O$6:$AL$23,7,1)&lt;&gt;"",L20=0),1+IF(INDEX(Setup!$O$6:$AL$23,7,1)="T",100,0),"")</f>
        <v/>
      </c>
      <c r="AO92">
        <f>IF(AND($C21=1,INDEX(Setup!$O$6:$AL$23,7,2)&lt;&gt;"",L21=0),2+IF(INDEX(Setup!$O$6:$AL$23,7,2)="T",100,0),"")</f>
        <v/>
      </c>
      <c r="AP92">
        <f>IF(AND($C22=1,INDEX(Setup!$O$6:$AL$23,7,3)&lt;&gt;"",L22=0),3+IF(INDEX(Setup!$O$6:$AL$23,7,3)="T",100,0),"")</f>
        <v/>
      </c>
      <c r="AQ92">
        <f>IF(AND($C23=1,INDEX(Setup!$O$6:$AL$23,7,4)&lt;&gt;"",L23=0),4+IF(INDEX(Setup!$O$6:$AL$23,7,4)="T",100,0),"")</f>
        <v/>
      </c>
      <c r="AR92">
        <f>IF(AND($C24=1,INDEX(Setup!$O$6:$AL$23,7,5)&lt;&gt;"",L24=0),5+IF(INDEX(Setup!$O$6:$AL$23,7,5)="T",100,0),"")</f>
        <v/>
      </c>
      <c r="AS92">
        <f>IF(AND($C25=1,INDEX(Setup!$O$6:$AL$23,7,6)&lt;&gt;"",L25=0),6+IF(INDEX(Setup!$O$6:$AL$23,7,6)="T",100,0),"")</f>
        <v/>
      </c>
      <c r="AT92">
        <f>IF(AND($C26=1,INDEX(Setup!$O$6:$AL$23,7,7)&lt;&gt;"",L26=0),7+IF(INDEX(Setup!$O$6:$AL$23,7,7)="T",100,0),"")</f>
        <v/>
      </c>
      <c r="AU92">
        <f>IF(AND($C27=1,INDEX(Setup!$O$6:$AL$23,7,8)&lt;&gt;"",L27=0),8+IF(INDEX(Setup!$O$6:$AL$23,7,8)="T",100,0),"")</f>
        <v/>
      </c>
      <c r="AV92">
        <f>IF(AND($C28=1,INDEX(Setup!$O$6:$AL$23,7,9)&lt;&gt;"",L28=0),9+IF(INDEX(Setup!$O$6:$AL$23,7,9)="T",100,0),"")</f>
        <v/>
      </c>
      <c r="AW92">
        <f>IF(AND($C29=1,INDEX(Setup!$O$6:$AL$23,7,10)&lt;&gt;"",L29=0),10+IF(INDEX(Setup!$O$6:$AL$23,7,10)="T",100,0),"")</f>
        <v/>
      </c>
      <c r="AX92">
        <f>IF(AND($C30=1,INDEX(Setup!$O$6:$AL$23,7,11)&lt;&gt;"",L30=0),11+IF(INDEX(Setup!$O$6:$AL$23,7,11)="T",100,0),"")</f>
        <v/>
      </c>
      <c r="AY92">
        <f>IF(AND($C31=1,INDEX(Setup!$O$6:$AL$23,7,12)&lt;&gt;"",L31=0),12+IF(INDEX(Setup!$O$6:$AL$23,7,12)="T",100,0),"")</f>
        <v/>
      </c>
      <c r="AZ92">
        <f>IF(AND($C32=1,INDEX(Setup!$O$6:$AL$23,7,13)&lt;&gt;"",L32=0),13+IF(INDEX(Setup!$O$6:$AL$23,7,13)="T",100,0),"")</f>
        <v/>
      </c>
      <c r="BA92">
        <f>IF(AND($C33=1,INDEX(Setup!$O$6:$AL$23,7,14)&lt;&gt;"",L33=0),14+IF(INDEX(Setup!$O$6:$AL$23,7,14)="T",100,0),"")</f>
        <v/>
      </c>
      <c r="BB92">
        <f>IF(AND($C34=1,INDEX(Setup!$O$6:$AL$23,7,15)&lt;&gt;"",L34=0),15+IF(INDEX(Setup!$O$6:$AL$23,7,15)="T",100,0),"")</f>
        <v/>
      </c>
      <c r="BC92">
        <f>IF(AND($C35=1,INDEX(Setup!$O$6:$AL$23,7,16)&lt;&gt;"",L35=0),16+IF(INDEX(Setup!$O$6:$AL$23,7,16)="T",100,0),"")</f>
        <v/>
      </c>
      <c r="BD92">
        <f>IF(AND($C36=1,INDEX(Setup!$O$6:$AL$23,7,17)&lt;&gt;"",L36=0),17+IF(INDEX(Setup!$O$6:$AL$23,7,17)="T",100,0),"")</f>
        <v/>
      </c>
      <c r="BE92">
        <f>IF(AND($C37=1,INDEX(Setup!$O$6:$AL$23,7,18)&lt;&gt;"",L37=0),18+IF(INDEX(Setup!$O$6:$AL$23,7,18)="T",100,0),"")</f>
        <v/>
      </c>
      <c r="BF92">
        <f>IF(AND($C38=1,INDEX(Setup!$O$6:$AL$23,7,19)&lt;&gt;"",L38=0),19+IF(INDEX(Setup!$O$6:$AL$23,7,19)="T",100,0),"")</f>
        <v/>
      </c>
      <c r="BG92">
        <f>IF(AND($C39=1,INDEX(Setup!$O$6:$AL$23,7,20)&lt;&gt;"",L39=0),20+IF(INDEX(Setup!$O$6:$AL$23,7,20)="T",100,0),"")</f>
        <v/>
      </c>
      <c r="BH92">
        <f>IF(AND($C40=1,INDEX(Setup!$O$6:$AL$23,7,21)&lt;&gt;"",L40=0),21+IF(INDEX(Setup!$O$6:$AL$23,7,21)="T",100,0),"")</f>
        <v/>
      </c>
      <c r="BI92">
        <f>IF(AND($C41=1,INDEX(Setup!$O$6:$AL$23,7,22)&lt;&gt;"",L41=0),22+IF(INDEX(Setup!$O$6:$AL$23,7,22)="T",100,0),"")</f>
        <v/>
      </c>
      <c r="BJ92">
        <f>IF(AND($C42=1,INDEX(Setup!$O$6:$AL$23,7,23)&lt;&gt;"",L42=0),23+IF(INDEX(Setup!$O$6:$AL$23,7,23)="T",100,0),"")</f>
        <v/>
      </c>
      <c r="BK92">
        <f>IF(AND($C43=1,INDEX(Setup!$O$6:$AL$23,7,24)&lt;&gt;"",L43=0),24+IF(INDEX(Setup!$O$6:$AL$23,7,24)="T",100,0),"")</f>
        <v/>
      </c>
      <c r="BM92">
        <f>IF(AND(AN92&lt;&gt;"",COUNTIF($G$53:$I$53,$B20)+COUNTIF($G$53:$I$53,$B20&amp;" ~*")=0),($R20+COUNTIF($H$86:$H91,$B20)+COUNTIF($H$86:$H91,$B20&amp;" ~*"))*1000+IF(AN92&gt;100,500,0)+1,"")</f>
        <v/>
      </c>
      <c r="BN92">
        <f>IF(AND(AO92&lt;&gt;"",COUNTIF($G$53:$I$53,$B21)+COUNTIF($G$53:$I$53,$B21&amp;" ~*")=0),($R21+COUNTIF($H$86:$H91,$B21)+COUNTIF($H$86:$H91,$B21&amp;" ~*"))*1000+IF(AO92&gt;100,500,0)+2,"")</f>
        <v/>
      </c>
      <c r="BO92">
        <f>IF(AND(AP92&lt;&gt;"",COUNTIF($G$53:$I$53,$B22)+COUNTIF($G$53:$I$53,$B22&amp;" ~*")=0),($R22+COUNTIF($H$86:$H91,$B22)+COUNTIF($H$86:$H91,$B22&amp;" ~*"))*1000+IF(AP92&gt;100,500,0)+3,"")</f>
        <v/>
      </c>
      <c r="BP92">
        <f>IF(AND(AQ92&lt;&gt;"",COUNTIF($G$53:$I$53,$B23)+COUNTIF($G$53:$I$53,$B23&amp;" ~*")=0),($R23+COUNTIF($H$86:$H91,$B23)+COUNTIF($H$86:$H91,$B23&amp;" ~*"))*1000+IF(AQ92&gt;100,500,0)+4,"")</f>
        <v/>
      </c>
      <c r="BQ92">
        <f>IF(AND(AR92&lt;&gt;"",COUNTIF($G$53:$I$53,$B24)+COUNTIF($G$53:$I$53,$B24&amp;" ~*")=0),($R24+COUNTIF($H$86:$H91,$B24)+COUNTIF($H$86:$H91,$B24&amp;" ~*"))*1000+IF(AR92&gt;100,500,0)+5,"")</f>
        <v/>
      </c>
      <c r="BR92">
        <f>IF(AND(AS92&lt;&gt;"",COUNTIF($G$53:$I$53,$B25)+COUNTIF($G$53:$I$53,$B25&amp;" ~*")=0),($R25+COUNTIF($H$86:$H91,$B25)+COUNTIF($H$86:$H91,$B25&amp;" ~*"))*1000+IF(AS92&gt;100,500,0)+6,"")</f>
        <v/>
      </c>
      <c r="BS92">
        <f>IF(AND(AT92&lt;&gt;"",COUNTIF($G$53:$I$53,$B26)+COUNTIF($G$53:$I$53,$B26&amp;" ~*")=0),($R26+COUNTIF($H$86:$H91,$B26)+COUNTIF($H$86:$H91,$B26&amp;" ~*"))*1000+IF(AT92&gt;100,500,0)+7,"")</f>
        <v/>
      </c>
      <c r="BT92">
        <f>IF(AND(AU92&lt;&gt;"",COUNTIF($G$53:$I$53,$B27)+COUNTIF($G$53:$I$53,$B27&amp;" ~*")=0),($R27+COUNTIF($H$86:$H91,$B27)+COUNTIF($H$86:$H91,$B27&amp;" ~*"))*1000+IF(AU92&gt;100,500,0)+8,"")</f>
        <v/>
      </c>
      <c r="BU92">
        <f>IF(AND(AV92&lt;&gt;"",COUNTIF($G$53:$I$53,$B28)+COUNTIF($G$53:$I$53,$B28&amp;" ~*")=0),($R28+COUNTIF($H$86:$H91,$B28)+COUNTIF($H$86:$H91,$B28&amp;" ~*"))*1000+IF(AV92&gt;100,500,0)+9,"")</f>
        <v/>
      </c>
      <c r="BV92">
        <f>IF(AND(AW92&lt;&gt;"",COUNTIF($G$53:$I$53,$B29)+COUNTIF($G$53:$I$53,$B29&amp;" ~*")=0),($R29+COUNTIF($H$86:$H91,$B29)+COUNTIF($H$86:$H91,$B29&amp;" ~*"))*1000+IF(AW92&gt;100,500,0)+10,"")</f>
        <v/>
      </c>
      <c r="BW92">
        <f>IF(AND(AX92&lt;&gt;"",COUNTIF($G$53:$I$53,$B30)+COUNTIF($G$53:$I$53,$B30&amp;" ~*")=0),($R30+COUNTIF($H$86:$H91,$B30)+COUNTIF($H$86:$H91,$B30&amp;" ~*"))*1000+IF(AX92&gt;100,500,0)+11,"")</f>
        <v/>
      </c>
      <c r="BX92">
        <f>IF(AND(AY92&lt;&gt;"",COUNTIF($G$53:$I$53,$B31)+COUNTIF($G$53:$I$53,$B31&amp;" ~*")=0),($R31+COUNTIF($H$86:$H91,$B31)+COUNTIF($H$86:$H91,$B31&amp;" ~*"))*1000+IF(AY92&gt;100,500,0)+12,"")</f>
        <v/>
      </c>
      <c r="BY92">
        <f>IF(AND(AZ92&lt;&gt;"",COUNTIF($G$53:$I$53,$B32)+COUNTIF($G$53:$I$53,$B32&amp;" ~*")=0),($R32+COUNTIF($H$86:$H91,$B32)+COUNTIF($H$86:$H91,$B32&amp;" ~*"))*1000+IF(AZ92&gt;100,500,0)+13,"")</f>
        <v/>
      </c>
      <c r="BZ92">
        <f>IF(AND(BA92&lt;&gt;"",COUNTIF($G$53:$I$53,$B33)+COUNTIF($G$53:$I$53,$B33&amp;" ~*")=0),($R33+COUNTIF($H$86:$H91,$B33)+COUNTIF($H$86:$H91,$B33&amp;" ~*"))*1000+IF(BA92&gt;100,500,0)+14,"")</f>
        <v/>
      </c>
      <c r="CA92">
        <f>IF(AND(BB92&lt;&gt;"",COUNTIF($G$53:$I$53,$B34)+COUNTIF($G$53:$I$53,$B34&amp;" ~*")=0),($R34+COUNTIF($H$86:$H91,$B34)+COUNTIF($H$86:$H91,$B34&amp;" ~*"))*1000+IF(BB92&gt;100,500,0)+15,"")</f>
        <v/>
      </c>
      <c r="CB92">
        <f>IF(AND(BC92&lt;&gt;"",COUNTIF($G$53:$I$53,$B35)+COUNTIF($G$53:$I$53,$B35&amp;" ~*")=0),($R35+COUNTIF($H$86:$H91,$B35)+COUNTIF($H$86:$H91,$B35&amp;" ~*"))*1000+IF(BC92&gt;100,500,0)+16,"")</f>
        <v/>
      </c>
      <c r="CC92">
        <f>IF(AND(BD92&lt;&gt;"",COUNTIF($G$53:$I$53,$B36)+COUNTIF($G$53:$I$53,$B36&amp;" ~*")=0),($R36+COUNTIF($H$86:$H91,$B36)+COUNTIF($H$86:$H91,$B36&amp;" ~*"))*1000+IF(BD92&gt;100,500,0)+17,"")</f>
        <v/>
      </c>
      <c r="CD92">
        <f>IF(AND(BE92&lt;&gt;"",COUNTIF($G$53:$I$53,$B37)+COUNTIF($G$53:$I$53,$B37&amp;" ~*")=0),($R37+COUNTIF($H$86:$H91,$B37)+COUNTIF($H$86:$H91,$B37&amp;" ~*"))*1000+IF(BE92&gt;100,500,0)+18,"")</f>
        <v/>
      </c>
      <c r="CE92">
        <f>IF(AND(BF92&lt;&gt;"",COUNTIF($G$53:$I$53,$B38)+COUNTIF($G$53:$I$53,$B38&amp;" ~*")=0),($R38+COUNTIF($H$86:$H91,$B38)+COUNTIF($H$86:$H91,$B38&amp;" ~*"))*1000+IF(BF92&gt;100,500,0)+19,"")</f>
        <v/>
      </c>
      <c r="CF92">
        <f>IF(AND(BG92&lt;&gt;"",COUNTIF($G$53:$I$53,$B39)+COUNTIF($G$53:$I$53,$B39&amp;" ~*")=0),($R39+COUNTIF($H$86:$H91,$B39)+COUNTIF($H$86:$H91,$B39&amp;" ~*"))*1000+IF(BG92&gt;100,500,0)+20,"")</f>
        <v/>
      </c>
      <c r="CG92">
        <f>IF(AND(BH92&lt;&gt;"",COUNTIF($G$53:$I$53,$B40)+COUNTIF($G$53:$I$53,$B40&amp;" ~*")=0),($R40+COUNTIF($H$86:$H91,$B40)+COUNTIF($H$86:$H91,$B40&amp;" ~*"))*1000+IF(BH92&gt;100,500,0)+21,"")</f>
        <v/>
      </c>
      <c r="CH92">
        <f>IF(AND(BI92&lt;&gt;"",COUNTIF($G$53:$I$53,$B41)+COUNTIF($G$53:$I$53,$B41&amp;" ~*")=0),($R41+COUNTIF($H$86:$H91,$B41)+COUNTIF($H$86:$H91,$B41&amp;" ~*"))*1000+IF(BI92&gt;100,500,0)+22,"")</f>
        <v/>
      </c>
      <c r="CI92">
        <f>IF(AND(BJ92&lt;&gt;"",COUNTIF($G$53:$I$53,$B42)+COUNTIF($G$53:$I$53,$B42&amp;" ~*")=0),($R42+COUNTIF($H$86:$H91,$B42)+COUNTIF($H$86:$H91,$B42&amp;" ~*"))*1000+IF(BJ92&gt;100,500,0)+23,"")</f>
        <v/>
      </c>
      <c r="CJ92">
        <f>IF(AND(BK92&lt;&gt;"",COUNTIF($G$53:$I$53,$B43)+COUNTIF($G$53:$I$53,$B43&amp;" ~*")=0),($R43+COUNTIF($H$86:$H91,$B43)+COUNTIF($H$86:$H91,$B43&amp;" ~*"))*1000+IF(BK92&gt;100,500,0)+24,"")</f>
        <v/>
      </c>
    </row>
    <row r="93">
      <c r="A93" t="n">
        <v>2</v>
      </c>
      <c r="B93" t="n">
        <v>8</v>
      </c>
      <c r="C93">
        <f>$B$54</f>
        <v/>
      </c>
      <c r="D93" t="inlineStr">
        <is>
          <t>Tue</t>
        </is>
      </c>
      <c r="E93">
        <f>IF(C93="","",N($AB$54))</f>
        <v/>
      </c>
      <c r="F93">
        <f>IF(C93="","",COUNTIF($G$54:$I$54,"?*"))</f>
        <v/>
      </c>
      <c r="G93">
        <f>IF(C93="","",MAX(0,E93-F93))</f>
        <v/>
      </c>
      <c r="H93">
        <f>IF(N(G93)=0,"",IF(COUNT(BM93:CJ93)=0,"no-one eligible",INDEX(Engine!$B$20:$B$43,MOD(MIN(BM93:CJ93),500))&amp;IF(MOD(MIN(BM93:CJ93),1000)&gt;=500," *","")))</f>
        <v/>
      </c>
      <c r="I93">
        <f>IF(N(G93)&gt;0,COUNTIF($G$68:G93,"&gt;0"),"")</f>
        <v/>
      </c>
      <c r="J93">
        <f>IF(C93="","",IF($G$54="",0,IF(IFERROR(INDEX(Setup!$O$6:$AL$23,8,MATCH(SUBSTITUTE($G$54," *",""),Setup!$B$6:$B$29,0)),"")="",1,0))+IF($H$54="",0,IF(IFERROR(INDEX(Setup!$O$6:$AL$23,8,MATCH(SUBSTITUTE($H$54," *",""),Setup!$B$6:$B$29,0)),"")="",1,0))+IF($I$54="",0,IF(IFERROR(INDEX(Setup!$O$6:$AL$23,8,MATCH(SUBSTITUTE($I$54," *",""),Setup!$B$6:$B$29,0)),"")="",1,0)))</f>
        <v/>
      </c>
      <c r="K93">
        <f>IF($B$12+1=TODAY(),1,0)</f>
        <v/>
      </c>
      <c r="N93">
        <f>COUNT($AN93:$BK93)</f>
        <v/>
      </c>
      <c r="O93">
        <f>IF(1&gt;$N93,"",INDEX(Engine!$B$20:$B$43,MOD(SMALL($AN93:$BK93,1),100))&amp;IF(SMALL($AN93:$BK93,1)&gt;100," *",""))</f>
        <v/>
      </c>
      <c r="P93">
        <f>IF(2&gt;$N93,"",INDEX(Engine!$B$20:$B$43,MOD(SMALL($AN93:$BK93,2),100))&amp;IF(SMALL($AN93:$BK93,2)&gt;100," *",""))</f>
        <v/>
      </c>
      <c r="Q93">
        <f>IF(3&gt;$N93,"",INDEX(Engine!$B$20:$B$43,MOD(SMALL($AN93:$BK93,3),100))&amp;IF(SMALL($AN93:$BK93,3)&gt;100," *",""))</f>
        <v/>
      </c>
      <c r="R93">
        <f>IF(4&gt;$N93,"",INDEX(Engine!$B$20:$B$43,MOD(SMALL($AN93:$BK93,4),100))&amp;IF(SMALL($AN93:$BK93,4)&gt;100," *",""))</f>
        <v/>
      </c>
      <c r="S93">
        <f>IF(5&gt;$N93,"",INDEX(Engine!$B$20:$B$43,MOD(SMALL($AN93:$BK93,5),100))&amp;IF(SMALL($AN93:$BK93,5)&gt;100," *",""))</f>
        <v/>
      </c>
      <c r="T93">
        <f>IF(6&gt;$N93,"",INDEX(Engine!$B$20:$B$43,MOD(SMALL($AN93:$BK93,6),100))&amp;IF(SMALL($AN93:$BK93,6)&gt;100," *",""))</f>
        <v/>
      </c>
      <c r="U93">
        <f>IF(7&gt;$N93,"",INDEX(Engine!$B$20:$B$43,MOD(SMALL($AN93:$BK93,7),100))&amp;IF(SMALL($AN93:$BK93,7)&gt;100," *",""))</f>
        <v/>
      </c>
      <c r="V93">
        <f>IF(8&gt;$N93,"",INDEX(Engine!$B$20:$B$43,MOD(SMALL($AN93:$BK93,8),100))&amp;IF(SMALL($AN93:$BK93,8)&gt;100," *",""))</f>
        <v/>
      </c>
      <c r="W93">
        <f>IF(9&gt;$N93,"",INDEX(Engine!$B$20:$B$43,MOD(SMALL($AN93:$BK93,9),100))&amp;IF(SMALL($AN93:$BK93,9)&gt;100," *",""))</f>
        <v/>
      </c>
      <c r="X93">
        <f>IF(10&gt;$N93,"",INDEX(Engine!$B$20:$B$43,MOD(SMALL($AN93:$BK93,10),100))&amp;IF(SMALL($AN93:$BK93,10)&gt;100," *",""))</f>
        <v/>
      </c>
      <c r="Y93">
        <f>IF(11&gt;$N93,"",INDEX(Engine!$B$20:$B$43,MOD(SMALL($AN93:$BK93,11),100))&amp;IF(SMALL($AN93:$BK93,11)&gt;100," *",""))</f>
        <v/>
      </c>
      <c r="Z93">
        <f>IF(12&gt;$N93,"",INDEX(Engine!$B$20:$B$43,MOD(SMALL($AN93:$BK93,12),100))&amp;IF(SMALL($AN93:$BK93,12)&gt;100," *",""))</f>
        <v/>
      </c>
      <c r="AA93">
        <f>IF(13&gt;$N93,"",INDEX(Engine!$B$20:$B$43,MOD(SMALL($AN93:$BK93,13),100))&amp;IF(SMALL($AN93:$BK93,13)&gt;100," *",""))</f>
        <v/>
      </c>
      <c r="AB93">
        <f>IF(14&gt;$N93,"",INDEX(Engine!$B$20:$B$43,MOD(SMALL($AN93:$BK93,14),100))&amp;IF(SMALL($AN93:$BK93,14)&gt;100," *",""))</f>
        <v/>
      </c>
      <c r="AC93">
        <f>IF(15&gt;$N93,"",INDEX(Engine!$B$20:$B$43,MOD(SMALL($AN93:$BK93,15),100))&amp;IF(SMALL($AN93:$BK93,15)&gt;100," *",""))</f>
        <v/>
      </c>
      <c r="AD93">
        <f>IF(16&gt;$N93,"",INDEX(Engine!$B$20:$B$43,MOD(SMALL($AN93:$BK93,16),100))&amp;IF(SMALL($AN93:$BK93,16)&gt;100," *",""))</f>
        <v/>
      </c>
      <c r="AE93">
        <f>IF(17&gt;$N93,"",INDEX(Engine!$B$20:$B$43,MOD(SMALL($AN93:$BK93,17),100))&amp;IF(SMALL($AN93:$BK93,17)&gt;100," *",""))</f>
        <v/>
      </c>
      <c r="AF93">
        <f>IF(18&gt;$N93,"",INDEX(Engine!$B$20:$B$43,MOD(SMALL($AN93:$BK93,18),100))&amp;IF(SMALL($AN93:$BK93,18)&gt;100," *",""))</f>
        <v/>
      </c>
      <c r="AG93">
        <f>IF(19&gt;$N93,"",INDEX(Engine!$B$20:$B$43,MOD(SMALL($AN93:$BK93,19),100))&amp;IF(SMALL($AN93:$BK93,19)&gt;100," *",""))</f>
        <v/>
      </c>
      <c r="AH93">
        <f>IF(20&gt;$N93,"",INDEX(Engine!$B$20:$B$43,MOD(SMALL($AN93:$BK93,20),100))&amp;IF(SMALL($AN93:$BK93,20)&gt;100," *",""))</f>
        <v/>
      </c>
      <c r="AI93">
        <f>IF(21&gt;$N93,"",INDEX(Engine!$B$20:$B$43,MOD(SMALL($AN93:$BK93,21),100))&amp;IF(SMALL($AN93:$BK93,21)&gt;100," *",""))</f>
        <v/>
      </c>
      <c r="AJ93">
        <f>IF(22&gt;$N93,"",INDEX(Engine!$B$20:$B$43,MOD(SMALL($AN93:$BK93,22),100))&amp;IF(SMALL($AN93:$BK93,22)&gt;100," *",""))</f>
        <v/>
      </c>
      <c r="AK93">
        <f>IF(23&gt;$N93,"",INDEX(Engine!$B$20:$B$43,MOD(SMALL($AN93:$BK93,23),100))&amp;IF(SMALL($AN93:$BK93,23)&gt;100," *",""))</f>
        <v/>
      </c>
      <c r="AL93">
        <f>IF(24&gt;$N93,"",INDEX(Engine!$B$20:$B$43,MOD(SMALL($AN93:$BK93,24),100))&amp;IF(SMALL($AN93:$BK93,24)&gt;100," *",""))</f>
        <v/>
      </c>
      <c r="AN93">
        <f>IF(AND($C20=1,INDEX(Setup!$O$6:$AL$23,8,1)&lt;&gt;"",L20=0),1+IF(INDEX(Setup!$O$6:$AL$23,8,1)="T",100,0),"")</f>
        <v/>
      </c>
      <c r="AO93">
        <f>IF(AND($C21=1,INDEX(Setup!$O$6:$AL$23,8,2)&lt;&gt;"",L21=0),2+IF(INDEX(Setup!$O$6:$AL$23,8,2)="T",100,0),"")</f>
        <v/>
      </c>
      <c r="AP93">
        <f>IF(AND($C22=1,INDEX(Setup!$O$6:$AL$23,8,3)&lt;&gt;"",L22=0),3+IF(INDEX(Setup!$O$6:$AL$23,8,3)="T",100,0),"")</f>
        <v/>
      </c>
      <c r="AQ93">
        <f>IF(AND($C23=1,INDEX(Setup!$O$6:$AL$23,8,4)&lt;&gt;"",L23=0),4+IF(INDEX(Setup!$O$6:$AL$23,8,4)="T",100,0),"")</f>
        <v/>
      </c>
      <c r="AR93">
        <f>IF(AND($C24=1,INDEX(Setup!$O$6:$AL$23,8,5)&lt;&gt;"",L24=0),5+IF(INDEX(Setup!$O$6:$AL$23,8,5)="T",100,0),"")</f>
        <v/>
      </c>
      <c r="AS93">
        <f>IF(AND($C25=1,INDEX(Setup!$O$6:$AL$23,8,6)&lt;&gt;"",L25=0),6+IF(INDEX(Setup!$O$6:$AL$23,8,6)="T",100,0),"")</f>
        <v/>
      </c>
      <c r="AT93">
        <f>IF(AND($C26=1,INDEX(Setup!$O$6:$AL$23,8,7)&lt;&gt;"",L26=0),7+IF(INDEX(Setup!$O$6:$AL$23,8,7)="T",100,0),"")</f>
        <v/>
      </c>
      <c r="AU93">
        <f>IF(AND($C27=1,INDEX(Setup!$O$6:$AL$23,8,8)&lt;&gt;"",L27=0),8+IF(INDEX(Setup!$O$6:$AL$23,8,8)="T",100,0),"")</f>
        <v/>
      </c>
      <c r="AV93">
        <f>IF(AND($C28=1,INDEX(Setup!$O$6:$AL$23,8,9)&lt;&gt;"",L28=0),9+IF(INDEX(Setup!$O$6:$AL$23,8,9)="T",100,0),"")</f>
        <v/>
      </c>
      <c r="AW93">
        <f>IF(AND($C29=1,INDEX(Setup!$O$6:$AL$23,8,10)&lt;&gt;"",L29=0),10+IF(INDEX(Setup!$O$6:$AL$23,8,10)="T",100,0),"")</f>
        <v/>
      </c>
      <c r="AX93">
        <f>IF(AND($C30=1,INDEX(Setup!$O$6:$AL$23,8,11)&lt;&gt;"",L30=0),11+IF(INDEX(Setup!$O$6:$AL$23,8,11)="T",100,0),"")</f>
        <v/>
      </c>
      <c r="AY93">
        <f>IF(AND($C31=1,INDEX(Setup!$O$6:$AL$23,8,12)&lt;&gt;"",L31=0),12+IF(INDEX(Setup!$O$6:$AL$23,8,12)="T",100,0),"")</f>
        <v/>
      </c>
      <c r="AZ93">
        <f>IF(AND($C32=1,INDEX(Setup!$O$6:$AL$23,8,13)&lt;&gt;"",L32=0),13+IF(INDEX(Setup!$O$6:$AL$23,8,13)="T",100,0),"")</f>
        <v/>
      </c>
      <c r="BA93">
        <f>IF(AND($C33=1,INDEX(Setup!$O$6:$AL$23,8,14)&lt;&gt;"",L33=0),14+IF(INDEX(Setup!$O$6:$AL$23,8,14)="T",100,0),"")</f>
        <v/>
      </c>
      <c r="BB93">
        <f>IF(AND($C34=1,INDEX(Setup!$O$6:$AL$23,8,15)&lt;&gt;"",L34=0),15+IF(INDEX(Setup!$O$6:$AL$23,8,15)="T",100,0),"")</f>
        <v/>
      </c>
      <c r="BC93">
        <f>IF(AND($C35=1,INDEX(Setup!$O$6:$AL$23,8,16)&lt;&gt;"",L35=0),16+IF(INDEX(Setup!$O$6:$AL$23,8,16)="T",100,0),"")</f>
        <v/>
      </c>
      <c r="BD93">
        <f>IF(AND($C36=1,INDEX(Setup!$O$6:$AL$23,8,17)&lt;&gt;"",L36=0),17+IF(INDEX(Setup!$O$6:$AL$23,8,17)="T",100,0),"")</f>
        <v/>
      </c>
      <c r="BE93">
        <f>IF(AND($C37=1,INDEX(Setup!$O$6:$AL$23,8,18)&lt;&gt;"",L37=0),18+IF(INDEX(Setup!$O$6:$AL$23,8,18)="T",100,0),"")</f>
        <v/>
      </c>
      <c r="BF93">
        <f>IF(AND($C38=1,INDEX(Setup!$O$6:$AL$23,8,19)&lt;&gt;"",L38=0),19+IF(INDEX(Setup!$O$6:$AL$23,8,19)="T",100,0),"")</f>
        <v/>
      </c>
      <c r="BG93">
        <f>IF(AND($C39=1,INDEX(Setup!$O$6:$AL$23,8,20)&lt;&gt;"",L39=0),20+IF(INDEX(Setup!$O$6:$AL$23,8,20)="T",100,0),"")</f>
        <v/>
      </c>
      <c r="BH93">
        <f>IF(AND($C40=1,INDEX(Setup!$O$6:$AL$23,8,21)&lt;&gt;"",L40=0),21+IF(INDEX(Setup!$O$6:$AL$23,8,21)="T",100,0),"")</f>
        <v/>
      </c>
      <c r="BI93">
        <f>IF(AND($C41=1,INDEX(Setup!$O$6:$AL$23,8,22)&lt;&gt;"",L41=0),22+IF(INDEX(Setup!$O$6:$AL$23,8,22)="T",100,0),"")</f>
        <v/>
      </c>
      <c r="BJ93">
        <f>IF(AND($C42=1,INDEX(Setup!$O$6:$AL$23,8,23)&lt;&gt;"",L42=0),23+IF(INDEX(Setup!$O$6:$AL$23,8,23)="T",100,0),"")</f>
        <v/>
      </c>
      <c r="BK93">
        <f>IF(AND($C43=1,INDEX(Setup!$O$6:$AL$23,8,24)&lt;&gt;"",L43=0),24+IF(INDEX(Setup!$O$6:$AL$23,8,24)="T",100,0),"")</f>
        <v/>
      </c>
      <c r="BM93">
        <f>IF(AND(AN93&lt;&gt;"",COUNTIF($G$54:$I$54,$B20)+COUNTIF($G$54:$I$54,$B20&amp;" ~*")=0),($R20+COUNTIF($H$86:$H92,$B20)+COUNTIF($H$86:$H92,$B20&amp;" ~*"))*1000+IF(AN93&gt;100,500,0)+1,"")</f>
        <v/>
      </c>
      <c r="BN93">
        <f>IF(AND(AO93&lt;&gt;"",COUNTIF($G$54:$I$54,$B21)+COUNTIF($G$54:$I$54,$B21&amp;" ~*")=0),($R21+COUNTIF($H$86:$H92,$B21)+COUNTIF($H$86:$H92,$B21&amp;" ~*"))*1000+IF(AO93&gt;100,500,0)+2,"")</f>
        <v/>
      </c>
      <c r="BO93">
        <f>IF(AND(AP93&lt;&gt;"",COUNTIF($G$54:$I$54,$B22)+COUNTIF($G$54:$I$54,$B22&amp;" ~*")=0),($R22+COUNTIF($H$86:$H92,$B22)+COUNTIF($H$86:$H92,$B22&amp;" ~*"))*1000+IF(AP93&gt;100,500,0)+3,"")</f>
        <v/>
      </c>
      <c r="BP93">
        <f>IF(AND(AQ93&lt;&gt;"",COUNTIF($G$54:$I$54,$B23)+COUNTIF($G$54:$I$54,$B23&amp;" ~*")=0),($R23+COUNTIF($H$86:$H92,$B23)+COUNTIF($H$86:$H92,$B23&amp;" ~*"))*1000+IF(AQ93&gt;100,500,0)+4,"")</f>
        <v/>
      </c>
      <c r="BQ93">
        <f>IF(AND(AR93&lt;&gt;"",COUNTIF($G$54:$I$54,$B24)+COUNTIF($G$54:$I$54,$B24&amp;" ~*")=0),($R24+COUNTIF($H$86:$H92,$B24)+COUNTIF($H$86:$H92,$B24&amp;" ~*"))*1000+IF(AR93&gt;100,500,0)+5,"")</f>
        <v/>
      </c>
      <c r="BR93">
        <f>IF(AND(AS93&lt;&gt;"",COUNTIF($G$54:$I$54,$B25)+COUNTIF($G$54:$I$54,$B25&amp;" ~*")=0),($R25+COUNTIF($H$86:$H92,$B25)+COUNTIF($H$86:$H92,$B25&amp;" ~*"))*1000+IF(AS93&gt;100,500,0)+6,"")</f>
        <v/>
      </c>
      <c r="BS93">
        <f>IF(AND(AT93&lt;&gt;"",COUNTIF($G$54:$I$54,$B26)+COUNTIF($G$54:$I$54,$B26&amp;" ~*")=0),($R26+COUNTIF($H$86:$H92,$B26)+COUNTIF($H$86:$H92,$B26&amp;" ~*"))*1000+IF(AT93&gt;100,500,0)+7,"")</f>
        <v/>
      </c>
      <c r="BT93">
        <f>IF(AND(AU93&lt;&gt;"",COUNTIF($G$54:$I$54,$B27)+COUNTIF($G$54:$I$54,$B27&amp;" ~*")=0),($R27+COUNTIF($H$86:$H92,$B27)+COUNTIF($H$86:$H92,$B27&amp;" ~*"))*1000+IF(AU93&gt;100,500,0)+8,"")</f>
        <v/>
      </c>
      <c r="BU93">
        <f>IF(AND(AV93&lt;&gt;"",COUNTIF($G$54:$I$54,$B28)+COUNTIF($G$54:$I$54,$B28&amp;" ~*")=0),($R28+COUNTIF($H$86:$H92,$B28)+COUNTIF($H$86:$H92,$B28&amp;" ~*"))*1000+IF(AV93&gt;100,500,0)+9,"")</f>
        <v/>
      </c>
      <c r="BV93">
        <f>IF(AND(AW93&lt;&gt;"",COUNTIF($G$54:$I$54,$B29)+COUNTIF($G$54:$I$54,$B29&amp;" ~*")=0),($R29+COUNTIF($H$86:$H92,$B29)+COUNTIF($H$86:$H92,$B29&amp;" ~*"))*1000+IF(AW93&gt;100,500,0)+10,"")</f>
        <v/>
      </c>
      <c r="BW93">
        <f>IF(AND(AX93&lt;&gt;"",COUNTIF($G$54:$I$54,$B30)+COUNTIF($G$54:$I$54,$B30&amp;" ~*")=0),($R30+COUNTIF($H$86:$H92,$B30)+COUNTIF($H$86:$H92,$B30&amp;" ~*"))*1000+IF(AX93&gt;100,500,0)+11,"")</f>
        <v/>
      </c>
      <c r="BX93">
        <f>IF(AND(AY93&lt;&gt;"",COUNTIF($G$54:$I$54,$B31)+COUNTIF($G$54:$I$54,$B31&amp;" ~*")=0),($R31+COUNTIF($H$86:$H92,$B31)+COUNTIF($H$86:$H92,$B31&amp;" ~*"))*1000+IF(AY93&gt;100,500,0)+12,"")</f>
        <v/>
      </c>
      <c r="BY93">
        <f>IF(AND(AZ93&lt;&gt;"",COUNTIF($G$54:$I$54,$B32)+COUNTIF($G$54:$I$54,$B32&amp;" ~*")=0),($R32+COUNTIF($H$86:$H92,$B32)+COUNTIF($H$86:$H92,$B32&amp;" ~*"))*1000+IF(AZ93&gt;100,500,0)+13,"")</f>
        <v/>
      </c>
      <c r="BZ93">
        <f>IF(AND(BA93&lt;&gt;"",COUNTIF($G$54:$I$54,$B33)+COUNTIF($G$54:$I$54,$B33&amp;" ~*")=0),($R33+COUNTIF($H$86:$H92,$B33)+COUNTIF($H$86:$H92,$B33&amp;" ~*"))*1000+IF(BA93&gt;100,500,0)+14,"")</f>
        <v/>
      </c>
      <c r="CA93">
        <f>IF(AND(BB93&lt;&gt;"",COUNTIF($G$54:$I$54,$B34)+COUNTIF($G$54:$I$54,$B34&amp;" ~*")=0),($R34+COUNTIF($H$86:$H92,$B34)+COUNTIF($H$86:$H92,$B34&amp;" ~*"))*1000+IF(BB93&gt;100,500,0)+15,"")</f>
        <v/>
      </c>
      <c r="CB93">
        <f>IF(AND(BC93&lt;&gt;"",COUNTIF($G$54:$I$54,$B35)+COUNTIF($G$54:$I$54,$B35&amp;" ~*")=0),($R35+COUNTIF($H$86:$H92,$B35)+COUNTIF($H$86:$H92,$B35&amp;" ~*"))*1000+IF(BC93&gt;100,500,0)+16,"")</f>
        <v/>
      </c>
      <c r="CC93">
        <f>IF(AND(BD93&lt;&gt;"",COUNTIF($G$54:$I$54,$B36)+COUNTIF($G$54:$I$54,$B36&amp;" ~*")=0),($R36+COUNTIF($H$86:$H92,$B36)+COUNTIF($H$86:$H92,$B36&amp;" ~*"))*1000+IF(BD93&gt;100,500,0)+17,"")</f>
        <v/>
      </c>
      <c r="CD93">
        <f>IF(AND(BE93&lt;&gt;"",COUNTIF($G$54:$I$54,$B37)+COUNTIF($G$54:$I$54,$B37&amp;" ~*")=0),($R37+COUNTIF($H$86:$H92,$B37)+COUNTIF($H$86:$H92,$B37&amp;" ~*"))*1000+IF(BE93&gt;100,500,0)+18,"")</f>
        <v/>
      </c>
      <c r="CE93">
        <f>IF(AND(BF93&lt;&gt;"",COUNTIF($G$54:$I$54,$B38)+COUNTIF($G$54:$I$54,$B38&amp;" ~*")=0),($R38+COUNTIF($H$86:$H92,$B38)+COUNTIF($H$86:$H92,$B38&amp;" ~*"))*1000+IF(BF93&gt;100,500,0)+19,"")</f>
        <v/>
      </c>
      <c r="CF93">
        <f>IF(AND(BG93&lt;&gt;"",COUNTIF($G$54:$I$54,$B39)+COUNTIF($G$54:$I$54,$B39&amp;" ~*")=0),($R39+COUNTIF($H$86:$H92,$B39)+COUNTIF($H$86:$H92,$B39&amp;" ~*"))*1000+IF(BG93&gt;100,500,0)+20,"")</f>
        <v/>
      </c>
      <c r="CG93">
        <f>IF(AND(BH93&lt;&gt;"",COUNTIF($G$54:$I$54,$B40)+COUNTIF($G$54:$I$54,$B40&amp;" ~*")=0),($R40+COUNTIF($H$86:$H92,$B40)+COUNTIF($H$86:$H92,$B40&amp;" ~*"))*1000+IF(BH93&gt;100,500,0)+21,"")</f>
        <v/>
      </c>
      <c r="CH93">
        <f>IF(AND(BI93&lt;&gt;"",COUNTIF($G$54:$I$54,$B41)+COUNTIF($G$54:$I$54,$B41&amp;" ~*")=0),($R41+COUNTIF($H$86:$H92,$B41)+COUNTIF($H$86:$H92,$B41&amp;" ~*"))*1000+IF(BI93&gt;100,500,0)+22,"")</f>
        <v/>
      </c>
      <c r="CI93">
        <f>IF(AND(BJ93&lt;&gt;"",COUNTIF($G$54:$I$54,$B42)+COUNTIF($G$54:$I$54,$B42&amp;" ~*")=0),($R42+COUNTIF($H$86:$H92,$B42)+COUNTIF($H$86:$H92,$B42&amp;" ~*"))*1000+IF(BJ93&gt;100,500,0)+23,"")</f>
        <v/>
      </c>
      <c r="CJ93">
        <f>IF(AND(BK93&lt;&gt;"",COUNTIF($G$54:$I$54,$B43)+COUNTIF($G$54:$I$54,$B43&amp;" ~*")=0),($R43+COUNTIF($H$86:$H92,$B43)+COUNTIF($H$86:$H92,$B43&amp;" ~*"))*1000+IF(BK93&gt;100,500,0)+24,"")</f>
        <v/>
      </c>
    </row>
    <row r="94">
      <c r="A94" t="n">
        <v>2</v>
      </c>
      <c r="B94" t="n">
        <v>9</v>
      </c>
      <c r="C94">
        <f>$B$55</f>
        <v/>
      </c>
      <c r="D94" t="inlineStr">
        <is>
          <t>Tue</t>
        </is>
      </c>
      <c r="E94">
        <f>IF(C94="","",N($AB$55))</f>
        <v/>
      </c>
      <c r="F94">
        <f>IF(C94="","",COUNTIF($G$55:$I$55,"?*"))</f>
        <v/>
      </c>
      <c r="G94">
        <f>IF(C94="","",MAX(0,E94-F94))</f>
        <v/>
      </c>
      <c r="H94">
        <f>IF(N(G94)=0,"",IF(COUNT(BM94:CJ94)=0,"no-one eligible",INDEX(Engine!$B$20:$B$43,MOD(MIN(BM94:CJ94),500))&amp;IF(MOD(MIN(BM94:CJ94),1000)&gt;=500," *","")))</f>
        <v/>
      </c>
      <c r="I94">
        <f>IF(N(G94)&gt;0,COUNTIF($G$68:G94,"&gt;0"),"")</f>
        <v/>
      </c>
      <c r="J94">
        <f>IF(C94="","",IF($G$55="",0,IF(IFERROR(INDEX(Setup!$O$6:$AL$23,9,MATCH(SUBSTITUTE($G$55," *",""),Setup!$B$6:$B$29,0)),"")="",1,0))+IF($H$55="",0,IF(IFERROR(INDEX(Setup!$O$6:$AL$23,9,MATCH(SUBSTITUTE($H$55," *",""),Setup!$B$6:$B$29,0)),"")="",1,0))+IF($I$55="",0,IF(IFERROR(INDEX(Setup!$O$6:$AL$23,9,MATCH(SUBSTITUTE($I$55," *",""),Setup!$B$6:$B$29,0)),"")="",1,0)))</f>
        <v/>
      </c>
      <c r="K94">
        <f>IF($B$12+1=TODAY(),1,0)</f>
        <v/>
      </c>
      <c r="N94">
        <f>COUNT($AN94:$BK94)</f>
        <v/>
      </c>
      <c r="O94">
        <f>IF(1&gt;$N94,"",INDEX(Engine!$B$20:$B$43,MOD(SMALL($AN94:$BK94,1),100))&amp;IF(SMALL($AN94:$BK94,1)&gt;100," *",""))</f>
        <v/>
      </c>
      <c r="P94">
        <f>IF(2&gt;$N94,"",INDEX(Engine!$B$20:$B$43,MOD(SMALL($AN94:$BK94,2),100))&amp;IF(SMALL($AN94:$BK94,2)&gt;100," *",""))</f>
        <v/>
      </c>
      <c r="Q94">
        <f>IF(3&gt;$N94,"",INDEX(Engine!$B$20:$B$43,MOD(SMALL($AN94:$BK94,3),100))&amp;IF(SMALL($AN94:$BK94,3)&gt;100," *",""))</f>
        <v/>
      </c>
      <c r="R94">
        <f>IF(4&gt;$N94,"",INDEX(Engine!$B$20:$B$43,MOD(SMALL($AN94:$BK94,4),100))&amp;IF(SMALL($AN94:$BK94,4)&gt;100," *",""))</f>
        <v/>
      </c>
      <c r="S94">
        <f>IF(5&gt;$N94,"",INDEX(Engine!$B$20:$B$43,MOD(SMALL($AN94:$BK94,5),100))&amp;IF(SMALL($AN94:$BK94,5)&gt;100," *",""))</f>
        <v/>
      </c>
      <c r="T94">
        <f>IF(6&gt;$N94,"",INDEX(Engine!$B$20:$B$43,MOD(SMALL($AN94:$BK94,6),100))&amp;IF(SMALL($AN94:$BK94,6)&gt;100," *",""))</f>
        <v/>
      </c>
      <c r="U94">
        <f>IF(7&gt;$N94,"",INDEX(Engine!$B$20:$B$43,MOD(SMALL($AN94:$BK94,7),100))&amp;IF(SMALL($AN94:$BK94,7)&gt;100," *",""))</f>
        <v/>
      </c>
      <c r="V94">
        <f>IF(8&gt;$N94,"",INDEX(Engine!$B$20:$B$43,MOD(SMALL($AN94:$BK94,8),100))&amp;IF(SMALL($AN94:$BK94,8)&gt;100," *",""))</f>
        <v/>
      </c>
      <c r="W94">
        <f>IF(9&gt;$N94,"",INDEX(Engine!$B$20:$B$43,MOD(SMALL($AN94:$BK94,9),100))&amp;IF(SMALL($AN94:$BK94,9)&gt;100," *",""))</f>
        <v/>
      </c>
      <c r="X94">
        <f>IF(10&gt;$N94,"",INDEX(Engine!$B$20:$B$43,MOD(SMALL($AN94:$BK94,10),100))&amp;IF(SMALL($AN94:$BK94,10)&gt;100," *",""))</f>
        <v/>
      </c>
      <c r="Y94">
        <f>IF(11&gt;$N94,"",INDEX(Engine!$B$20:$B$43,MOD(SMALL($AN94:$BK94,11),100))&amp;IF(SMALL($AN94:$BK94,11)&gt;100," *",""))</f>
        <v/>
      </c>
      <c r="Z94">
        <f>IF(12&gt;$N94,"",INDEX(Engine!$B$20:$B$43,MOD(SMALL($AN94:$BK94,12),100))&amp;IF(SMALL($AN94:$BK94,12)&gt;100," *",""))</f>
        <v/>
      </c>
      <c r="AA94">
        <f>IF(13&gt;$N94,"",INDEX(Engine!$B$20:$B$43,MOD(SMALL($AN94:$BK94,13),100))&amp;IF(SMALL($AN94:$BK94,13)&gt;100," *",""))</f>
        <v/>
      </c>
      <c r="AB94">
        <f>IF(14&gt;$N94,"",INDEX(Engine!$B$20:$B$43,MOD(SMALL($AN94:$BK94,14),100))&amp;IF(SMALL($AN94:$BK94,14)&gt;100," *",""))</f>
        <v/>
      </c>
      <c r="AC94">
        <f>IF(15&gt;$N94,"",INDEX(Engine!$B$20:$B$43,MOD(SMALL($AN94:$BK94,15),100))&amp;IF(SMALL($AN94:$BK94,15)&gt;100," *",""))</f>
        <v/>
      </c>
      <c r="AD94">
        <f>IF(16&gt;$N94,"",INDEX(Engine!$B$20:$B$43,MOD(SMALL($AN94:$BK94,16),100))&amp;IF(SMALL($AN94:$BK94,16)&gt;100," *",""))</f>
        <v/>
      </c>
      <c r="AE94">
        <f>IF(17&gt;$N94,"",INDEX(Engine!$B$20:$B$43,MOD(SMALL($AN94:$BK94,17),100))&amp;IF(SMALL($AN94:$BK94,17)&gt;100," *",""))</f>
        <v/>
      </c>
      <c r="AF94">
        <f>IF(18&gt;$N94,"",INDEX(Engine!$B$20:$B$43,MOD(SMALL($AN94:$BK94,18),100))&amp;IF(SMALL($AN94:$BK94,18)&gt;100," *",""))</f>
        <v/>
      </c>
      <c r="AG94">
        <f>IF(19&gt;$N94,"",INDEX(Engine!$B$20:$B$43,MOD(SMALL($AN94:$BK94,19),100))&amp;IF(SMALL($AN94:$BK94,19)&gt;100," *",""))</f>
        <v/>
      </c>
      <c r="AH94">
        <f>IF(20&gt;$N94,"",INDEX(Engine!$B$20:$B$43,MOD(SMALL($AN94:$BK94,20),100))&amp;IF(SMALL($AN94:$BK94,20)&gt;100," *",""))</f>
        <v/>
      </c>
      <c r="AI94">
        <f>IF(21&gt;$N94,"",INDEX(Engine!$B$20:$B$43,MOD(SMALL($AN94:$BK94,21),100))&amp;IF(SMALL($AN94:$BK94,21)&gt;100," *",""))</f>
        <v/>
      </c>
      <c r="AJ94">
        <f>IF(22&gt;$N94,"",INDEX(Engine!$B$20:$B$43,MOD(SMALL($AN94:$BK94,22),100))&amp;IF(SMALL($AN94:$BK94,22)&gt;100," *",""))</f>
        <v/>
      </c>
      <c r="AK94">
        <f>IF(23&gt;$N94,"",INDEX(Engine!$B$20:$B$43,MOD(SMALL($AN94:$BK94,23),100))&amp;IF(SMALL($AN94:$BK94,23)&gt;100," *",""))</f>
        <v/>
      </c>
      <c r="AL94">
        <f>IF(24&gt;$N94,"",INDEX(Engine!$B$20:$B$43,MOD(SMALL($AN94:$BK94,24),100))&amp;IF(SMALL($AN94:$BK94,24)&gt;100," *",""))</f>
        <v/>
      </c>
      <c r="AN94">
        <f>IF(AND($C20=1,INDEX(Setup!$O$6:$AL$23,9,1)&lt;&gt;"",L20=0),1+IF(INDEX(Setup!$O$6:$AL$23,9,1)="T",100,0),"")</f>
        <v/>
      </c>
      <c r="AO94">
        <f>IF(AND($C21=1,INDEX(Setup!$O$6:$AL$23,9,2)&lt;&gt;"",L21=0),2+IF(INDEX(Setup!$O$6:$AL$23,9,2)="T",100,0),"")</f>
        <v/>
      </c>
      <c r="AP94">
        <f>IF(AND($C22=1,INDEX(Setup!$O$6:$AL$23,9,3)&lt;&gt;"",L22=0),3+IF(INDEX(Setup!$O$6:$AL$23,9,3)="T",100,0),"")</f>
        <v/>
      </c>
      <c r="AQ94">
        <f>IF(AND($C23=1,INDEX(Setup!$O$6:$AL$23,9,4)&lt;&gt;"",L23=0),4+IF(INDEX(Setup!$O$6:$AL$23,9,4)="T",100,0),"")</f>
        <v/>
      </c>
      <c r="AR94">
        <f>IF(AND($C24=1,INDEX(Setup!$O$6:$AL$23,9,5)&lt;&gt;"",L24=0),5+IF(INDEX(Setup!$O$6:$AL$23,9,5)="T",100,0),"")</f>
        <v/>
      </c>
      <c r="AS94">
        <f>IF(AND($C25=1,INDEX(Setup!$O$6:$AL$23,9,6)&lt;&gt;"",L25=0),6+IF(INDEX(Setup!$O$6:$AL$23,9,6)="T",100,0),"")</f>
        <v/>
      </c>
      <c r="AT94">
        <f>IF(AND($C26=1,INDEX(Setup!$O$6:$AL$23,9,7)&lt;&gt;"",L26=0),7+IF(INDEX(Setup!$O$6:$AL$23,9,7)="T",100,0),"")</f>
        <v/>
      </c>
      <c r="AU94">
        <f>IF(AND($C27=1,INDEX(Setup!$O$6:$AL$23,9,8)&lt;&gt;"",L27=0),8+IF(INDEX(Setup!$O$6:$AL$23,9,8)="T",100,0),"")</f>
        <v/>
      </c>
      <c r="AV94">
        <f>IF(AND($C28=1,INDEX(Setup!$O$6:$AL$23,9,9)&lt;&gt;"",L28=0),9+IF(INDEX(Setup!$O$6:$AL$23,9,9)="T",100,0),"")</f>
        <v/>
      </c>
      <c r="AW94">
        <f>IF(AND($C29=1,INDEX(Setup!$O$6:$AL$23,9,10)&lt;&gt;"",L29=0),10+IF(INDEX(Setup!$O$6:$AL$23,9,10)="T",100,0),"")</f>
        <v/>
      </c>
      <c r="AX94">
        <f>IF(AND($C30=1,INDEX(Setup!$O$6:$AL$23,9,11)&lt;&gt;"",L30=0),11+IF(INDEX(Setup!$O$6:$AL$23,9,11)="T",100,0),"")</f>
        <v/>
      </c>
      <c r="AY94">
        <f>IF(AND($C31=1,INDEX(Setup!$O$6:$AL$23,9,12)&lt;&gt;"",L31=0),12+IF(INDEX(Setup!$O$6:$AL$23,9,12)="T",100,0),"")</f>
        <v/>
      </c>
      <c r="AZ94">
        <f>IF(AND($C32=1,INDEX(Setup!$O$6:$AL$23,9,13)&lt;&gt;"",L32=0),13+IF(INDEX(Setup!$O$6:$AL$23,9,13)="T",100,0),"")</f>
        <v/>
      </c>
      <c r="BA94">
        <f>IF(AND($C33=1,INDEX(Setup!$O$6:$AL$23,9,14)&lt;&gt;"",L33=0),14+IF(INDEX(Setup!$O$6:$AL$23,9,14)="T",100,0),"")</f>
        <v/>
      </c>
      <c r="BB94">
        <f>IF(AND($C34=1,INDEX(Setup!$O$6:$AL$23,9,15)&lt;&gt;"",L34=0),15+IF(INDEX(Setup!$O$6:$AL$23,9,15)="T",100,0),"")</f>
        <v/>
      </c>
      <c r="BC94">
        <f>IF(AND($C35=1,INDEX(Setup!$O$6:$AL$23,9,16)&lt;&gt;"",L35=0),16+IF(INDEX(Setup!$O$6:$AL$23,9,16)="T",100,0),"")</f>
        <v/>
      </c>
      <c r="BD94">
        <f>IF(AND($C36=1,INDEX(Setup!$O$6:$AL$23,9,17)&lt;&gt;"",L36=0),17+IF(INDEX(Setup!$O$6:$AL$23,9,17)="T",100,0),"")</f>
        <v/>
      </c>
      <c r="BE94">
        <f>IF(AND($C37=1,INDEX(Setup!$O$6:$AL$23,9,18)&lt;&gt;"",L37=0),18+IF(INDEX(Setup!$O$6:$AL$23,9,18)="T",100,0),"")</f>
        <v/>
      </c>
      <c r="BF94">
        <f>IF(AND($C38=1,INDEX(Setup!$O$6:$AL$23,9,19)&lt;&gt;"",L38=0),19+IF(INDEX(Setup!$O$6:$AL$23,9,19)="T",100,0),"")</f>
        <v/>
      </c>
      <c r="BG94">
        <f>IF(AND($C39=1,INDEX(Setup!$O$6:$AL$23,9,20)&lt;&gt;"",L39=0),20+IF(INDEX(Setup!$O$6:$AL$23,9,20)="T",100,0),"")</f>
        <v/>
      </c>
      <c r="BH94">
        <f>IF(AND($C40=1,INDEX(Setup!$O$6:$AL$23,9,21)&lt;&gt;"",L40=0),21+IF(INDEX(Setup!$O$6:$AL$23,9,21)="T",100,0),"")</f>
        <v/>
      </c>
      <c r="BI94">
        <f>IF(AND($C41=1,INDEX(Setup!$O$6:$AL$23,9,22)&lt;&gt;"",L41=0),22+IF(INDEX(Setup!$O$6:$AL$23,9,22)="T",100,0),"")</f>
        <v/>
      </c>
      <c r="BJ94">
        <f>IF(AND($C42=1,INDEX(Setup!$O$6:$AL$23,9,23)&lt;&gt;"",L42=0),23+IF(INDEX(Setup!$O$6:$AL$23,9,23)="T",100,0),"")</f>
        <v/>
      </c>
      <c r="BK94">
        <f>IF(AND($C43=1,INDEX(Setup!$O$6:$AL$23,9,24)&lt;&gt;"",L43=0),24+IF(INDEX(Setup!$O$6:$AL$23,9,24)="T",100,0),"")</f>
        <v/>
      </c>
      <c r="BM94">
        <f>IF(AND(AN94&lt;&gt;"",COUNTIF($G$55:$I$55,$B20)+COUNTIF($G$55:$I$55,$B20&amp;" ~*")=0),($R20+COUNTIF($H$86:$H93,$B20)+COUNTIF($H$86:$H93,$B20&amp;" ~*"))*1000+IF(AN94&gt;100,500,0)+1,"")</f>
        <v/>
      </c>
      <c r="BN94">
        <f>IF(AND(AO94&lt;&gt;"",COUNTIF($G$55:$I$55,$B21)+COUNTIF($G$55:$I$55,$B21&amp;" ~*")=0),($R21+COUNTIF($H$86:$H93,$B21)+COUNTIF($H$86:$H93,$B21&amp;" ~*"))*1000+IF(AO94&gt;100,500,0)+2,"")</f>
        <v/>
      </c>
      <c r="BO94">
        <f>IF(AND(AP94&lt;&gt;"",COUNTIF($G$55:$I$55,$B22)+COUNTIF($G$55:$I$55,$B22&amp;" ~*")=0),($R22+COUNTIF($H$86:$H93,$B22)+COUNTIF($H$86:$H93,$B22&amp;" ~*"))*1000+IF(AP94&gt;100,500,0)+3,"")</f>
        <v/>
      </c>
      <c r="BP94">
        <f>IF(AND(AQ94&lt;&gt;"",COUNTIF($G$55:$I$55,$B23)+COUNTIF($G$55:$I$55,$B23&amp;" ~*")=0),($R23+COUNTIF($H$86:$H93,$B23)+COUNTIF($H$86:$H93,$B23&amp;" ~*"))*1000+IF(AQ94&gt;100,500,0)+4,"")</f>
        <v/>
      </c>
      <c r="BQ94">
        <f>IF(AND(AR94&lt;&gt;"",COUNTIF($G$55:$I$55,$B24)+COUNTIF($G$55:$I$55,$B24&amp;" ~*")=0),($R24+COUNTIF($H$86:$H93,$B24)+COUNTIF($H$86:$H93,$B24&amp;" ~*"))*1000+IF(AR94&gt;100,500,0)+5,"")</f>
        <v/>
      </c>
      <c r="BR94">
        <f>IF(AND(AS94&lt;&gt;"",COUNTIF($G$55:$I$55,$B25)+COUNTIF($G$55:$I$55,$B25&amp;" ~*")=0),($R25+COUNTIF($H$86:$H93,$B25)+COUNTIF($H$86:$H93,$B25&amp;" ~*"))*1000+IF(AS94&gt;100,500,0)+6,"")</f>
        <v/>
      </c>
      <c r="BS94">
        <f>IF(AND(AT94&lt;&gt;"",COUNTIF($G$55:$I$55,$B26)+COUNTIF($G$55:$I$55,$B26&amp;" ~*")=0),($R26+COUNTIF($H$86:$H93,$B26)+COUNTIF($H$86:$H93,$B26&amp;" ~*"))*1000+IF(AT94&gt;100,500,0)+7,"")</f>
        <v/>
      </c>
      <c r="BT94">
        <f>IF(AND(AU94&lt;&gt;"",COUNTIF($G$55:$I$55,$B27)+COUNTIF($G$55:$I$55,$B27&amp;" ~*")=0),($R27+COUNTIF($H$86:$H93,$B27)+COUNTIF($H$86:$H93,$B27&amp;" ~*"))*1000+IF(AU94&gt;100,500,0)+8,"")</f>
        <v/>
      </c>
      <c r="BU94">
        <f>IF(AND(AV94&lt;&gt;"",COUNTIF($G$55:$I$55,$B28)+COUNTIF($G$55:$I$55,$B28&amp;" ~*")=0),($R28+COUNTIF($H$86:$H93,$B28)+COUNTIF($H$86:$H93,$B28&amp;" ~*"))*1000+IF(AV94&gt;100,500,0)+9,"")</f>
        <v/>
      </c>
      <c r="BV94">
        <f>IF(AND(AW94&lt;&gt;"",COUNTIF($G$55:$I$55,$B29)+COUNTIF($G$55:$I$55,$B29&amp;" ~*")=0),($R29+COUNTIF($H$86:$H93,$B29)+COUNTIF($H$86:$H93,$B29&amp;" ~*"))*1000+IF(AW94&gt;100,500,0)+10,"")</f>
        <v/>
      </c>
      <c r="BW94">
        <f>IF(AND(AX94&lt;&gt;"",COUNTIF($G$55:$I$55,$B30)+COUNTIF($G$55:$I$55,$B30&amp;" ~*")=0),($R30+COUNTIF($H$86:$H93,$B30)+COUNTIF($H$86:$H93,$B30&amp;" ~*"))*1000+IF(AX94&gt;100,500,0)+11,"")</f>
        <v/>
      </c>
      <c r="BX94">
        <f>IF(AND(AY94&lt;&gt;"",COUNTIF($G$55:$I$55,$B31)+COUNTIF($G$55:$I$55,$B31&amp;" ~*")=0),($R31+COUNTIF($H$86:$H93,$B31)+COUNTIF($H$86:$H93,$B31&amp;" ~*"))*1000+IF(AY94&gt;100,500,0)+12,"")</f>
        <v/>
      </c>
      <c r="BY94">
        <f>IF(AND(AZ94&lt;&gt;"",COUNTIF($G$55:$I$55,$B32)+COUNTIF($G$55:$I$55,$B32&amp;" ~*")=0),($R32+COUNTIF($H$86:$H93,$B32)+COUNTIF($H$86:$H93,$B32&amp;" ~*"))*1000+IF(AZ94&gt;100,500,0)+13,"")</f>
        <v/>
      </c>
      <c r="BZ94">
        <f>IF(AND(BA94&lt;&gt;"",COUNTIF($G$55:$I$55,$B33)+COUNTIF($G$55:$I$55,$B33&amp;" ~*")=0),($R33+COUNTIF($H$86:$H93,$B33)+COUNTIF($H$86:$H93,$B33&amp;" ~*"))*1000+IF(BA94&gt;100,500,0)+14,"")</f>
        <v/>
      </c>
      <c r="CA94">
        <f>IF(AND(BB94&lt;&gt;"",COUNTIF($G$55:$I$55,$B34)+COUNTIF($G$55:$I$55,$B34&amp;" ~*")=0),($R34+COUNTIF($H$86:$H93,$B34)+COUNTIF($H$86:$H93,$B34&amp;" ~*"))*1000+IF(BB94&gt;100,500,0)+15,"")</f>
        <v/>
      </c>
      <c r="CB94">
        <f>IF(AND(BC94&lt;&gt;"",COUNTIF($G$55:$I$55,$B35)+COUNTIF($G$55:$I$55,$B35&amp;" ~*")=0),($R35+COUNTIF($H$86:$H93,$B35)+COUNTIF($H$86:$H93,$B35&amp;" ~*"))*1000+IF(BC94&gt;100,500,0)+16,"")</f>
        <v/>
      </c>
      <c r="CC94">
        <f>IF(AND(BD94&lt;&gt;"",COUNTIF($G$55:$I$55,$B36)+COUNTIF($G$55:$I$55,$B36&amp;" ~*")=0),($R36+COUNTIF($H$86:$H93,$B36)+COUNTIF($H$86:$H93,$B36&amp;" ~*"))*1000+IF(BD94&gt;100,500,0)+17,"")</f>
        <v/>
      </c>
      <c r="CD94">
        <f>IF(AND(BE94&lt;&gt;"",COUNTIF($G$55:$I$55,$B37)+COUNTIF($G$55:$I$55,$B37&amp;" ~*")=0),($R37+COUNTIF($H$86:$H93,$B37)+COUNTIF($H$86:$H93,$B37&amp;" ~*"))*1000+IF(BE94&gt;100,500,0)+18,"")</f>
        <v/>
      </c>
      <c r="CE94">
        <f>IF(AND(BF94&lt;&gt;"",COUNTIF($G$55:$I$55,$B38)+COUNTIF($G$55:$I$55,$B38&amp;" ~*")=0),($R38+COUNTIF($H$86:$H93,$B38)+COUNTIF($H$86:$H93,$B38&amp;" ~*"))*1000+IF(BF94&gt;100,500,0)+19,"")</f>
        <v/>
      </c>
      <c r="CF94">
        <f>IF(AND(BG94&lt;&gt;"",COUNTIF($G$55:$I$55,$B39)+COUNTIF($G$55:$I$55,$B39&amp;" ~*")=0),($R39+COUNTIF($H$86:$H93,$B39)+COUNTIF($H$86:$H93,$B39&amp;" ~*"))*1000+IF(BG94&gt;100,500,0)+20,"")</f>
        <v/>
      </c>
      <c r="CG94">
        <f>IF(AND(BH94&lt;&gt;"",COUNTIF($G$55:$I$55,$B40)+COUNTIF($G$55:$I$55,$B40&amp;" ~*")=0),($R40+COUNTIF($H$86:$H93,$B40)+COUNTIF($H$86:$H93,$B40&amp;" ~*"))*1000+IF(BH94&gt;100,500,0)+21,"")</f>
        <v/>
      </c>
      <c r="CH94">
        <f>IF(AND(BI94&lt;&gt;"",COUNTIF($G$55:$I$55,$B41)+COUNTIF($G$55:$I$55,$B41&amp;" ~*")=0),($R41+COUNTIF($H$86:$H93,$B41)+COUNTIF($H$86:$H93,$B41&amp;" ~*"))*1000+IF(BI94&gt;100,500,0)+22,"")</f>
        <v/>
      </c>
      <c r="CI94">
        <f>IF(AND(BJ94&lt;&gt;"",COUNTIF($G$55:$I$55,$B42)+COUNTIF($G$55:$I$55,$B42&amp;" ~*")=0),($R42+COUNTIF($H$86:$H93,$B42)+COUNTIF($H$86:$H93,$B42&amp;" ~*"))*1000+IF(BJ94&gt;100,500,0)+23,"")</f>
        <v/>
      </c>
      <c r="CJ94">
        <f>IF(AND(BK94&lt;&gt;"",COUNTIF($G$55:$I$55,$B43)+COUNTIF($G$55:$I$55,$B43&amp;" ~*")=0),($R43+COUNTIF($H$86:$H93,$B43)+COUNTIF($H$86:$H93,$B43&amp;" ~*"))*1000+IF(BK94&gt;100,500,0)+24,"")</f>
        <v/>
      </c>
    </row>
    <row r="95">
      <c r="A95" t="n">
        <v>2</v>
      </c>
      <c r="B95" t="n">
        <v>10</v>
      </c>
      <c r="C95">
        <f>$B$56</f>
        <v/>
      </c>
      <c r="D95" t="inlineStr">
        <is>
          <t>Tue</t>
        </is>
      </c>
      <c r="E95">
        <f>IF(C95="","",N($AB$56))</f>
        <v/>
      </c>
      <c r="F95">
        <f>IF(C95="","",COUNTIF($G$56:$I$56,"?*"))</f>
        <v/>
      </c>
      <c r="G95">
        <f>IF(C95="","",MAX(0,E95-F95))</f>
        <v/>
      </c>
      <c r="H95">
        <f>IF(N(G95)=0,"",IF(COUNT(BM95:CJ95)=0,"no-one eligible",INDEX(Engine!$B$20:$B$43,MOD(MIN(BM95:CJ95),500))&amp;IF(MOD(MIN(BM95:CJ95),1000)&gt;=500," *","")))</f>
        <v/>
      </c>
      <c r="I95">
        <f>IF(N(G95)&gt;0,COUNTIF($G$68:G95,"&gt;0"),"")</f>
        <v/>
      </c>
      <c r="J95">
        <f>IF(C95="","",IF($G$56="",0,IF(IFERROR(INDEX(Setup!$O$6:$AL$23,10,MATCH(SUBSTITUTE($G$56," *",""),Setup!$B$6:$B$29,0)),"")="",1,0))+IF($H$56="",0,IF(IFERROR(INDEX(Setup!$O$6:$AL$23,10,MATCH(SUBSTITUTE($H$56," *",""),Setup!$B$6:$B$29,0)),"")="",1,0))+IF($I$56="",0,IF(IFERROR(INDEX(Setup!$O$6:$AL$23,10,MATCH(SUBSTITUTE($I$56," *",""),Setup!$B$6:$B$29,0)),"")="",1,0)))</f>
        <v/>
      </c>
      <c r="K95">
        <f>IF($B$12+1=TODAY(),1,0)</f>
        <v/>
      </c>
      <c r="N95">
        <f>COUNT($AN95:$BK95)</f>
        <v/>
      </c>
      <c r="O95">
        <f>IF(1&gt;$N95,"",INDEX(Engine!$B$20:$B$43,MOD(SMALL($AN95:$BK95,1),100))&amp;IF(SMALL($AN95:$BK95,1)&gt;100," *",""))</f>
        <v/>
      </c>
      <c r="P95">
        <f>IF(2&gt;$N95,"",INDEX(Engine!$B$20:$B$43,MOD(SMALL($AN95:$BK95,2),100))&amp;IF(SMALL($AN95:$BK95,2)&gt;100," *",""))</f>
        <v/>
      </c>
      <c r="Q95">
        <f>IF(3&gt;$N95,"",INDEX(Engine!$B$20:$B$43,MOD(SMALL($AN95:$BK95,3),100))&amp;IF(SMALL($AN95:$BK95,3)&gt;100," *",""))</f>
        <v/>
      </c>
      <c r="R95">
        <f>IF(4&gt;$N95,"",INDEX(Engine!$B$20:$B$43,MOD(SMALL($AN95:$BK95,4),100))&amp;IF(SMALL($AN95:$BK95,4)&gt;100," *",""))</f>
        <v/>
      </c>
      <c r="S95">
        <f>IF(5&gt;$N95,"",INDEX(Engine!$B$20:$B$43,MOD(SMALL($AN95:$BK95,5),100))&amp;IF(SMALL($AN95:$BK95,5)&gt;100," *",""))</f>
        <v/>
      </c>
      <c r="T95">
        <f>IF(6&gt;$N95,"",INDEX(Engine!$B$20:$B$43,MOD(SMALL($AN95:$BK95,6),100))&amp;IF(SMALL($AN95:$BK95,6)&gt;100," *",""))</f>
        <v/>
      </c>
      <c r="U95">
        <f>IF(7&gt;$N95,"",INDEX(Engine!$B$20:$B$43,MOD(SMALL($AN95:$BK95,7),100))&amp;IF(SMALL($AN95:$BK95,7)&gt;100," *",""))</f>
        <v/>
      </c>
      <c r="V95">
        <f>IF(8&gt;$N95,"",INDEX(Engine!$B$20:$B$43,MOD(SMALL($AN95:$BK95,8),100))&amp;IF(SMALL($AN95:$BK95,8)&gt;100," *",""))</f>
        <v/>
      </c>
      <c r="W95">
        <f>IF(9&gt;$N95,"",INDEX(Engine!$B$20:$B$43,MOD(SMALL($AN95:$BK95,9),100))&amp;IF(SMALL($AN95:$BK95,9)&gt;100," *",""))</f>
        <v/>
      </c>
      <c r="X95">
        <f>IF(10&gt;$N95,"",INDEX(Engine!$B$20:$B$43,MOD(SMALL($AN95:$BK95,10),100))&amp;IF(SMALL($AN95:$BK95,10)&gt;100," *",""))</f>
        <v/>
      </c>
      <c r="Y95">
        <f>IF(11&gt;$N95,"",INDEX(Engine!$B$20:$B$43,MOD(SMALL($AN95:$BK95,11),100))&amp;IF(SMALL($AN95:$BK95,11)&gt;100," *",""))</f>
        <v/>
      </c>
      <c r="Z95">
        <f>IF(12&gt;$N95,"",INDEX(Engine!$B$20:$B$43,MOD(SMALL($AN95:$BK95,12),100))&amp;IF(SMALL($AN95:$BK95,12)&gt;100," *",""))</f>
        <v/>
      </c>
      <c r="AA95">
        <f>IF(13&gt;$N95,"",INDEX(Engine!$B$20:$B$43,MOD(SMALL($AN95:$BK95,13),100))&amp;IF(SMALL($AN95:$BK95,13)&gt;100," *",""))</f>
        <v/>
      </c>
      <c r="AB95">
        <f>IF(14&gt;$N95,"",INDEX(Engine!$B$20:$B$43,MOD(SMALL($AN95:$BK95,14),100))&amp;IF(SMALL($AN95:$BK95,14)&gt;100," *",""))</f>
        <v/>
      </c>
      <c r="AC95">
        <f>IF(15&gt;$N95,"",INDEX(Engine!$B$20:$B$43,MOD(SMALL($AN95:$BK95,15),100))&amp;IF(SMALL($AN95:$BK95,15)&gt;100," *",""))</f>
        <v/>
      </c>
      <c r="AD95">
        <f>IF(16&gt;$N95,"",INDEX(Engine!$B$20:$B$43,MOD(SMALL($AN95:$BK95,16),100))&amp;IF(SMALL($AN95:$BK95,16)&gt;100," *",""))</f>
        <v/>
      </c>
      <c r="AE95">
        <f>IF(17&gt;$N95,"",INDEX(Engine!$B$20:$B$43,MOD(SMALL($AN95:$BK95,17),100))&amp;IF(SMALL($AN95:$BK95,17)&gt;100," *",""))</f>
        <v/>
      </c>
      <c r="AF95">
        <f>IF(18&gt;$N95,"",INDEX(Engine!$B$20:$B$43,MOD(SMALL($AN95:$BK95,18),100))&amp;IF(SMALL($AN95:$BK95,18)&gt;100," *",""))</f>
        <v/>
      </c>
      <c r="AG95">
        <f>IF(19&gt;$N95,"",INDEX(Engine!$B$20:$B$43,MOD(SMALL($AN95:$BK95,19),100))&amp;IF(SMALL($AN95:$BK95,19)&gt;100," *",""))</f>
        <v/>
      </c>
      <c r="AH95">
        <f>IF(20&gt;$N95,"",INDEX(Engine!$B$20:$B$43,MOD(SMALL($AN95:$BK95,20),100))&amp;IF(SMALL($AN95:$BK95,20)&gt;100," *",""))</f>
        <v/>
      </c>
      <c r="AI95">
        <f>IF(21&gt;$N95,"",INDEX(Engine!$B$20:$B$43,MOD(SMALL($AN95:$BK95,21),100))&amp;IF(SMALL($AN95:$BK95,21)&gt;100," *",""))</f>
        <v/>
      </c>
      <c r="AJ95">
        <f>IF(22&gt;$N95,"",INDEX(Engine!$B$20:$B$43,MOD(SMALL($AN95:$BK95,22),100))&amp;IF(SMALL($AN95:$BK95,22)&gt;100," *",""))</f>
        <v/>
      </c>
      <c r="AK95">
        <f>IF(23&gt;$N95,"",INDEX(Engine!$B$20:$B$43,MOD(SMALL($AN95:$BK95,23),100))&amp;IF(SMALL($AN95:$BK95,23)&gt;100," *",""))</f>
        <v/>
      </c>
      <c r="AL95">
        <f>IF(24&gt;$N95,"",INDEX(Engine!$B$20:$B$43,MOD(SMALL($AN95:$BK95,24),100))&amp;IF(SMALL($AN95:$BK95,24)&gt;100," *",""))</f>
        <v/>
      </c>
      <c r="AN95">
        <f>IF(AND($C20=1,INDEX(Setup!$O$6:$AL$23,10,1)&lt;&gt;"",L20=0),1+IF(INDEX(Setup!$O$6:$AL$23,10,1)="T",100,0),"")</f>
        <v/>
      </c>
      <c r="AO95">
        <f>IF(AND($C21=1,INDEX(Setup!$O$6:$AL$23,10,2)&lt;&gt;"",L21=0),2+IF(INDEX(Setup!$O$6:$AL$23,10,2)="T",100,0),"")</f>
        <v/>
      </c>
      <c r="AP95">
        <f>IF(AND($C22=1,INDEX(Setup!$O$6:$AL$23,10,3)&lt;&gt;"",L22=0),3+IF(INDEX(Setup!$O$6:$AL$23,10,3)="T",100,0),"")</f>
        <v/>
      </c>
      <c r="AQ95">
        <f>IF(AND($C23=1,INDEX(Setup!$O$6:$AL$23,10,4)&lt;&gt;"",L23=0),4+IF(INDEX(Setup!$O$6:$AL$23,10,4)="T",100,0),"")</f>
        <v/>
      </c>
      <c r="AR95">
        <f>IF(AND($C24=1,INDEX(Setup!$O$6:$AL$23,10,5)&lt;&gt;"",L24=0),5+IF(INDEX(Setup!$O$6:$AL$23,10,5)="T",100,0),"")</f>
        <v/>
      </c>
      <c r="AS95">
        <f>IF(AND($C25=1,INDEX(Setup!$O$6:$AL$23,10,6)&lt;&gt;"",L25=0),6+IF(INDEX(Setup!$O$6:$AL$23,10,6)="T",100,0),"")</f>
        <v/>
      </c>
      <c r="AT95">
        <f>IF(AND($C26=1,INDEX(Setup!$O$6:$AL$23,10,7)&lt;&gt;"",L26=0),7+IF(INDEX(Setup!$O$6:$AL$23,10,7)="T",100,0),"")</f>
        <v/>
      </c>
      <c r="AU95">
        <f>IF(AND($C27=1,INDEX(Setup!$O$6:$AL$23,10,8)&lt;&gt;"",L27=0),8+IF(INDEX(Setup!$O$6:$AL$23,10,8)="T",100,0),"")</f>
        <v/>
      </c>
      <c r="AV95">
        <f>IF(AND($C28=1,INDEX(Setup!$O$6:$AL$23,10,9)&lt;&gt;"",L28=0),9+IF(INDEX(Setup!$O$6:$AL$23,10,9)="T",100,0),"")</f>
        <v/>
      </c>
      <c r="AW95">
        <f>IF(AND($C29=1,INDEX(Setup!$O$6:$AL$23,10,10)&lt;&gt;"",L29=0),10+IF(INDEX(Setup!$O$6:$AL$23,10,10)="T",100,0),"")</f>
        <v/>
      </c>
      <c r="AX95">
        <f>IF(AND($C30=1,INDEX(Setup!$O$6:$AL$23,10,11)&lt;&gt;"",L30=0),11+IF(INDEX(Setup!$O$6:$AL$23,10,11)="T",100,0),"")</f>
        <v/>
      </c>
      <c r="AY95">
        <f>IF(AND($C31=1,INDEX(Setup!$O$6:$AL$23,10,12)&lt;&gt;"",L31=0),12+IF(INDEX(Setup!$O$6:$AL$23,10,12)="T",100,0),"")</f>
        <v/>
      </c>
      <c r="AZ95">
        <f>IF(AND($C32=1,INDEX(Setup!$O$6:$AL$23,10,13)&lt;&gt;"",L32=0),13+IF(INDEX(Setup!$O$6:$AL$23,10,13)="T",100,0),"")</f>
        <v/>
      </c>
      <c r="BA95">
        <f>IF(AND($C33=1,INDEX(Setup!$O$6:$AL$23,10,14)&lt;&gt;"",L33=0),14+IF(INDEX(Setup!$O$6:$AL$23,10,14)="T",100,0),"")</f>
        <v/>
      </c>
      <c r="BB95">
        <f>IF(AND($C34=1,INDEX(Setup!$O$6:$AL$23,10,15)&lt;&gt;"",L34=0),15+IF(INDEX(Setup!$O$6:$AL$23,10,15)="T",100,0),"")</f>
        <v/>
      </c>
      <c r="BC95">
        <f>IF(AND($C35=1,INDEX(Setup!$O$6:$AL$23,10,16)&lt;&gt;"",L35=0),16+IF(INDEX(Setup!$O$6:$AL$23,10,16)="T",100,0),"")</f>
        <v/>
      </c>
      <c r="BD95">
        <f>IF(AND($C36=1,INDEX(Setup!$O$6:$AL$23,10,17)&lt;&gt;"",L36=0),17+IF(INDEX(Setup!$O$6:$AL$23,10,17)="T",100,0),"")</f>
        <v/>
      </c>
      <c r="BE95">
        <f>IF(AND($C37=1,INDEX(Setup!$O$6:$AL$23,10,18)&lt;&gt;"",L37=0),18+IF(INDEX(Setup!$O$6:$AL$23,10,18)="T",100,0),"")</f>
        <v/>
      </c>
      <c r="BF95">
        <f>IF(AND($C38=1,INDEX(Setup!$O$6:$AL$23,10,19)&lt;&gt;"",L38=0),19+IF(INDEX(Setup!$O$6:$AL$23,10,19)="T",100,0),"")</f>
        <v/>
      </c>
      <c r="BG95">
        <f>IF(AND($C39=1,INDEX(Setup!$O$6:$AL$23,10,20)&lt;&gt;"",L39=0),20+IF(INDEX(Setup!$O$6:$AL$23,10,20)="T",100,0),"")</f>
        <v/>
      </c>
      <c r="BH95">
        <f>IF(AND($C40=1,INDEX(Setup!$O$6:$AL$23,10,21)&lt;&gt;"",L40=0),21+IF(INDEX(Setup!$O$6:$AL$23,10,21)="T",100,0),"")</f>
        <v/>
      </c>
      <c r="BI95">
        <f>IF(AND($C41=1,INDEX(Setup!$O$6:$AL$23,10,22)&lt;&gt;"",L41=0),22+IF(INDEX(Setup!$O$6:$AL$23,10,22)="T",100,0),"")</f>
        <v/>
      </c>
      <c r="BJ95">
        <f>IF(AND($C42=1,INDEX(Setup!$O$6:$AL$23,10,23)&lt;&gt;"",L42=0),23+IF(INDEX(Setup!$O$6:$AL$23,10,23)="T",100,0),"")</f>
        <v/>
      </c>
      <c r="BK95">
        <f>IF(AND($C43=1,INDEX(Setup!$O$6:$AL$23,10,24)&lt;&gt;"",L43=0),24+IF(INDEX(Setup!$O$6:$AL$23,10,24)="T",100,0),"")</f>
        <v/>
      </c>
      <c r="BM95">
        <f>IF(AND(AN95&lt;&gt;"",COUNTIF($G$56:$I$56,$B20)+COUNTIF($G$56:$I$56,$B20&amp;" ~*")=0),($R20+COUNTIF($H$86:$H94,$B20)+COUNTIF($H$86:$H94,$B20&amp;" ~*"))*1000+IF(AN95&gt;100,500,0)+1,"")</f>
        <v/>
      </c>
      <c r="BN95">
        <f>IF(AND(AO95&lt;&gt;"",COUNTIF($G$56:$I$56,$B21)+COUNTIF($G$56:$I$56,$B21&amp;" ~*")=0),($R21+COUNTIF($H$86:$H94,$B21)+COUNTIF($H$86:$H94,$B21&amp;" ~*"))*1000+IF(AO95&gt;100,500,0)+2,"")</f>
        <v/>
      </c>
      <c r="BO95">
        <f>IF(AND(AP95&lt;&gt;"",COUNTIF($G$56:$I$56,$B22)+COUNTIF($G$56:$I$56,$B22&amp;" ~*")=0),($R22+COUNTIF($H$86:$H94,$B22)+COUNTIF($H$86:$H94,$B22&amp;" ~*"))*1000+IF(AP95&gt;100,500,0)+3,"")</f>
        <v/>
      </c>
      <c r="BP95">
        <f>IF(AND(AQ95&lt;&gt;"",COUNTIF($G$56:$I$56,$B23)+COUNTIF($G$56:$I$56,$B23&amp;" ~*")=0),($R23+COUNTIF($H$86:$H94,$B23)+COUNTIF($H$86:$H94,$B23&amp;" ~*"))*1000+IF(AQ95&gt;100,500,0)+4,"")</f>
        <v/>
      </c>
      <c r="BQ95">
        <f>IF(AND(AR95&lt;&gt;"",COUNTIF($G$56:$I$56,$B24)+COUNTIF($G$56:$I$56,$B24&amp;" ~*")=0),($R24+COUNTIF($H$86:$H94,$B24)+COUNTIF($H$86:$H94,$B24&amp;" ~*"))*1000+IF(AR95&gt;100,500,0)+5,"")</f>
        <v/>
      </c>
      <c r="BR95">
        <f>IF(AND(AS95&lt;&gt;"",COUNTIF($G$56:$I$56,$B25)+COUNTIF($G$56:$I$56,$B25&amp;" ~*")=0),($R25+COUNTIF($H$86:$H94,$B25)+COUNTIF($H$86:$H94,$B25&amp;" ~*"))*1000+IF(AS95&gt;100,500,0)+6,"")</f>
        <v/>
      </c>
      <c r="BS95">
        <f>IF(AND(AT95&lt;&gt;"",COUNTIF($G$56:$I$56,$B26)+COUNTIF($G$56:$I$56,$B26&amp;" ~*")=0),($R26+COUNTIF($H$86:$H94,$B26)+COUNTIF($H$86:$H94,$B26&amp;" ~*"))*1000+IF(AT95&gt;100,500,0)+7,"")</f>
        <v/>
      </c>
      <c r="BT95">
        <f>IF(AND(AU95&lt;&gt;"",COUNTIF($G$56:$I$56,$B27)+COUNTIF($G$56:$I$56,$B27&amp;" ~*")=0),($R27+COUNTIF($H$86:$H94,$B27)+COUNTIF($H$86:$H94,$B27&amp;" ~*"))*1000+IF(AU95&gt;100,500,0)+8,"")</f>
        <v/>
      </c>
      <c r="BU95">
        <f>IF(AND(AV95&lt;&gt;"",COUNTIF($G$56:$I$56,$B28)+COUNTIF($G$56:$I$56,$B28&amp;" ~*")=0),($R28+COUNTIF($H$86:$H94,$B28)+COUNTIF($H$86:$H94,$B28&amp;" ~*"))*1000+IF(AV95&gt;100,500,0)+9,"")</f>
        <v/>
      </c>
      <c r="BV95">
        <f>IF(AND(AW95&lt;&gt;"",COUNTIF($G$56:$I$56,$B29)+COUNTIF($G$56:$I$56,$B29&amp;" ~*")=0),($R29+COUNTIF($H$86:$H94,$B29)+COUNTIF($H$86:$H94,$B29&amp;" ~*"))*1000+IF(AW95&gt;100,500,0)+10,"")</f>
        <v/>
      </c>
      <c r="BW95">
        <f>IF(AND(AX95&lt;&gt;"",COUNTIF($G$56:$I$56,$B30)+COUNTIF($G$56:$I$56,$B30&amp;" ~*")=0),($R30+COUNTIF($H$86:$H94,$B30)+COUNTIF($H$86:$H94,$B30&amp;" ~*"))*1000+IF(AX95&gt;100,500,0)+11,"")</f>
        <v/>
      </c>
      <c r="BX95">
        <f>IF(AND(AY95&lt;&gt;"",COUNTIF($G$56:$I$56,$B31)+COUNTIF($G$56:$I$56,$B31&amp;" ~*")=0),($R31+COUNTIF($H$86:$H94,$B31)+COUNTIF($H$86:$H94,$B31&amp;" ~*"))*1000+IF(AY95&gt;100,500,0)+12,"")</f>
        <v/>
      </c>
      <c r="BY95">
        <f>IF(AND(AZ95&lt;&gt;"",COUNTIF($G$56:$I$56,$B32)+COUNTIF($G$56:$I$56,$B32&amp;" ~*")=0),($R32+COUNTIF($H$86:$H94,$B32)+COUNTIF($H$86:$H94,$B32&amp;" ~*"))*1000+IF(AZ95&gt;100,500,0)+13,"")</f>
        <v/>
      </c>
      <c r="BZ95">
        <f>IF(AND(BA95&lt;&gt;"",COUNTIF($G$56:$I$56,$B33)+COUNTIF($G$56:$I$56,$B33&amp;" ~*")=0),($R33+COUNTIF($H$86:$H94,$B33)+COUNTIF($H$86:$H94,$B33&amp;" ~*"))*1000+IF(BA95&gt;100,500,0)+14,"")</f>
        <v/>
      </c>
      <c r="CA95">
        <f>IF(AND(BB95&lt;&gt;"",COUNTIF($G$56:$I$56,$B34)+COUNTIF($G$56:$I$56,$B34&amp;" ~*")=0),($R34+COUNTIF($H$86:$H94,$B34)+COUNTIF($H$86:$H94,$B34&amp;" ~*"))*1000+IF(BB95&gt;100,500,0)+15,"")</f>
        <v/>
      </c>
      <c r="CB95">
        <f>IF(AND(BC95&lt;&gt;"",COUNTIF($G$56:$I$56,$B35)+COUNTIF($G$56:$I$56,$B35&amp;" ~*")=0),($R35+COUNTIF($H$86:$H94,$B35)+COUNTIF($H$86:$H94,$B35&amp;" ~*"))*1000+IF(BC95&gt;100,500,0)+16,"")</f>
        <v/>
      </c>
      <c r="CC95">
        <f>IF(AND(BD95&lt;&gt;"",COUNTIF($G$56:$I$56,$B36)+COUNTIF($G$56:$I$56,$B36&amp;" ~*")=0),($R36+COUNTIF($H$86:$H94,$B36)+COUNTIF($H$86:$H94,$B36&amp;" ~*"))*1000+IF(BD95&gt;100,500,0)+17,"")</f>
        <v/>
      </c>
      <c r="CD95">
        <f>IF(AND(BE95&lt;&gt;"",COUNTIF($G$56:$I$56,$B37)+COUNTIF($G$56:$I$56,$B37&amp;" ~*")=0),($R37+COUNTIF($H$86:$H94,$B37)+COUNTIF($H$86:$H94,$B37&amp;" ~*"))*1000+IF(BE95&gt;100,500,0)+18,"")</f>
        <v/>
      </c>
      <c r="CE95">
        <f>IF(AND(BF95&lt;&gt;"",COUNTIF($G$56:$I$56,$B38)+COUNTIF($G$56:$I$56,$B38&amp;" ~*")=0),($R38+COUNTIF($H$86:$H94,$B38)+COUNTIF($H$86:$H94,$B38&amp;" ~*"))*1000+IF(BF95&gt;100,500,0)+19,"")</f>
        <v/>
      </c>
      <c r="CF95">
        <f>IF(AND(BG95&lt;&gt;"",COUNTIF($G$56:$I$56,$B39)+COUNTIF($G$56:$I$56,$B39&amp;" ~*")=0),($R39+COUNTIF($H$86:$H94,$B39)+COUNTIF($H$86:$H94,$B39&amp;" ~*"))*1000+IF(BG95&gt;100,500,0)+20,"")</f>
        <v/>
      </c>
      <c r="CG95">
        <f>IF(AND(BH95&lt;&gt;"",COUNTIF($G$56:$I$56,$B40)+COUNTIF($G$56:$I$56,$B40&amp;" ~*")=0),($R40+COUNTIF($H$86:$H94,$B40)+COUNTIF($H$86:$H94,$B40&amp;" ~*"))*1000+IF(BH95&gt;100,500,0)+21,"")</f>
        <v/>
      </c>
      <c r="CH95">
        <f>IF(AND(BI95&lt;&gt;"",COUNTIF($G$56:$I$56,$B41)+COUNTIF($G$56:$I$56,$B41&amp;" ~*")=0),($R41+COUNTIF($H$86:$H94,$B41)+COUNTIF($H$86:$H94,$B41&amp;" ~*"))*1000+IF(BI95&gt;100,500,0)+22,"")</f>
        <v/>
      </c>
      <c r="CI95">
        <f>IF(AND(BJ95&lt;&gt;"",COUNTIF($G$56:$I$56,$B42)+COUNTIF($G$56:$I$56,$B42&amp;" ~*")=0),($R42+COUNTIF($H$86:$H94,$B42)+COUNTIF($H$86:$H94,$B42&amp;" ~*"))*1000+IF(BJ95&gt;100,500,0)+23,"")</f>
        <v/>
      </c>
      <c r="CJ95">
        <f>IF(AND(BK95&lt;&gt;"",COUNTIF($G$56:$I$56,$B43)+COUNTIF($G$56:$I$56,$B43&amp;" ~*")=0),($R43+COUNTIF($H$86:$H94,$B43)+COUNTIF($H$86:$H94,$B43&amp;" ~*"))*1000+IF(BK95&gt;100,500,0)+24,"")</f>
        <v/>
      </c>
    </row>
    <row r="96">
      <c r="A96" t="n">
        <v>2</v>
      </c>
      <c r="B96" t="n">
        <v>11</v>
      </c>
      <c r="C96">
        <f>$B$57</f>
        <v/>
      </c>
      <c r="D96" t="inlineStr">
        <is>
          <t>Tue</t>
        </is>
      </c>
      <c r="E96">
        <f>IF(C96="","",N($AB$57))</f>
        <v/>
      </c>
      <c r="F96">
        <f>IF(C96="","",COUNTIF($G$57:$I$57,"?*"))</f>
        <v/>
      </c>
      <c r="G96">
        <f>IF(C96="","",MAX(0,E96-F96))</f>
        <v/>
      </c>
      <c r="H96">
        <f>IF(N(G96)=0,"",IF(COUNT(BM96:CJ96)=0,"no-one eligible",INDEX(Engine!$B$20:$B$43,MOD(MIN(BM96:CJ96),500))&amp;IF(MOD(MIN(BM96:CJ96),1000)&gt;=500," *","")))</f>
        <v/>
      </c>
      <c r="I96">
        <f>IF(N(G96)&gt;0,COUNTIF($G$68:G96,"&gt;0"),"")</f>
        <v/>
      </c>
      <c r="J96">
        <f>IF(C96="","",IF($G$57="",0,IF(IFERROR(INDEX(Setup!$O$6:$AL$23,11,MATCH(SUBSTITUTE($G$57," *",""),Setup!$B$6:$B$29,0)),"")="",1,0))+IF($H$57="",0,IF(IFERROR(INDEX(Setup!$O$6:$AL$23,11,MATCH(SUBSTITUTE($H$57," *",""),Setup!$B$6:$B$29,0)),"")="",1,0))+IF($I$57="",0,IF(IFERROR(INDEX(Setup!$O$6:$AL$23,11,MATCH(SUBSTITUTE($I$57," *",""),Setup!$B$6:$B$29,0)),"")="",1,0)))</f>
        <v/>
      </c>
      <c r="K96">
        <f>IF($B$12+1=TODAY(),1,0)</f>
        <v/>
      </c>
      <c r="N96">
        <f>COUNT($AN96:$BK96)</f>
        <v/>
      </c>
      <c r="O96">
        <f>IF(1&gt;$N96,"",INDEX(Engine!$B$20:$B$43,MOD(SMALL($AN96:$BK96,1),100))&amp;IF(SMALL($AN96:$BK96,1)&gt;100," *",""))</f>
        <v/>
      </c>
      <c r="P96">
        <f>IF(2&gt;$N96,"",INDEX(Engine!$B$20:$B$43,MOD(SMALL($AN96:$BK96,2),100))&amp;IF(SMALL($AN96:$BK96,2)&gt;100," *",""))</f>
        <v/>
      </c>
      <c r="Q96">
        <f>IF(3&gt;$N96,"",INDEX(Engine!$B$20:$B$43,MOD(SMALL($AN96:$BK96,3),100))&amp;IF(SMALL($AN96:$BK96,3)&gt;100," *",""))</f>
        <v/>
      </c>
      <c r="R96">
        <f>IF(4&gt;$N96,"",INDEX(Engine!$B$20:$B$43,MOD(SMALL($AN96:$BK96,4),100))&amp;IF(SMALL($AN96:$BK96,4)&gt;100," *",""))</f>
        <v/>
      </c>
      <c r="S96">
        <f>IF(5&gt;$N96,"",INDEX(Engine!$B$20:$B$43,MOD(SMALL($AN96:$BK96,5),100))&amp;IF(SMALL($AN96:$BK96,5)&gt;100," *",""))</f>
        <v/>
      </c>
      <c r="T96">
        <f>IF(6&gt;$N96,"",INDEX(Engine!$B$20:$B$43,MOD(SMALL($AN96:$BK96,6),100))&amp;IF(SMALL($AN96:$BK96,6)&gt;100," *",""))</f>
        <v/>
      </c>
      <c r="U96">
        <f>IF(7&gt;$N96,"",INDEX(Engine!$B$20:$B$43,MOD(SMALL($AN96:$BK96,7),100))&amp;IF(SMALL($AN96:$BK96,7)&gt;100," *",""))</f>
        <v/>
      </c>
      <c r="V96">
        <f>IF(8&gt;$N96,"",INDEX(Engine!$B$20:$B$43,MOD(SMALL($AN96:$BK96,8),100))&amp;IF(SMALL($AN96:$BK96,8)&gt;100," *",""))</f>
        <v/>
      </c>
      <c r="W96">
        <f>IF(9&gt;$N96,"",INDEX(Engine!$B$20:$B$43,MOD(SMALL($AN96:$BK96,9),100))&amp;IF(SMALL($AN96:$BK96,9)&gt;100," *",""))</f>
        <v/>
      </c>
      <c r="X96">
        <f>IF(10&gt;$N96,"",INDEX(Engine!$B$20:$B$43,MOD(SMALL($AN96:$BK96,10),100))&amp;IF(SMALL($AN96:$BK96,10)&gt;100," *",""))</f>
        <v/>
      </c>
      <c r="Y96">
        <f>IF(11&gt;$N96,"",INDEX(Engine!$B$20:$B$43,MOD(SMALL($AN96:$BK96,11),100))&amp;IF(SMALL($AN96:$BK96,11)&gt;100," *",""))</f>
        <v/>
      </c>
      <c r="Z96">
        <f>IF(12&gt;$N96,"",INDEX(Engine!$B$20:$B$43,MOD(SMALL($AN96:$BK96,12),100))&amp;IF(SMALL($AN96:$BK96,12)&gt;100," *",""))</f>
        <v/>
      </c>
      <c r="AA96">
        <f>IF(13&gt;$N96,"",INDEX(Engine!$B$20:$B$43,MOD(SMALL($AN96:$BK96,13),100))&amp;IF(SMALL($AN96:$BK96,13)&gt;100," *",""))</f>
        <v/>
      </c>
      <c r="AB96">
        <f>IF(14&gt;$N96,"",INDEX(Engine!$B$20:$B$43,MOD(SMALL($AN96:$BK96,14),100))&amp;IF(SMALL($AN96:$BK96,14)&gt;100," *",""))</f>
        <v/>
      </c>
      <c r="AC96">
        <f>IF(15&gt;$N96,"",INDEX(Engine!$B$20:$B$43,MOD(SMALL($AN96:$BK96,15),100))&amp;IF(SMALL($AN96:$BK96,15)&gt;100," *",""))</f>
        <v/>
      </c>
      <c r="AD96">
        <f>IF(16&gt;$N96,"",INDEX(Engine!$B$20:$B$43,MOD(SMALL($AN96:$BK96,16),100))&amp;IF(SMALL($AN96:$BK96,16)&gt;100," *",""))</f>
        <v/>
      </c>
      <c r="AE96">
        <f>IF(17&gt;$N96,"",INDEX(Engine!$B$20:$B$43,MOD(SMALL($AN96:$BK96,17),100))&amp;IF(SMALL($AN96:$BK96,17)&gt;100," *",""))</f>
        <v/>
      </c>
      <c r="AF96">
        <f>IF(18&gt;$N96,"",INDEX(Engine!$B$20:$B$43,MOD(SMALL($AN96:$BK96,18),100))&amp;IF(SMALL($AN96:$BK96,18)&gt;100," *",""))</f>
        <v/>
      </c>
      <c r="AG96">
        <f>IF(19&gt;$N96,"",INDEX(Engine!$B$20:$B$43,MOD(SMALL($AN96:$BK96,19),100))&amp;IF(SMALL($AN96:$BK96,19)&gt;100," *",""))</f>
        <v/>
      </c>
      <c r="AH96">
        <f>IF(20&gt;$N96,"",INDEX(Engine!$B$20:$B$43,MOD(SMALL($AN96:$BK96,20),100))&amp;IF(SMALL($AN96:$BK96,20)&gt;100," *",""))</f>
        <v/>
      </c>
      <c r="AI96">
        <f>IF(21&gt;$N96,"",INDEX(Engine!$B$20:$B$43,MOD(SMALL($AN96:$BK96,21),100))&amp;IF(SMALL($AN96:$BK96,21)&gt;100," *",""))</f>
        <v/>
      </c>
      <c r="AJ96">
        <f>IF(22&gt;$N96,"",INDEX(Engine!$B$20:$B$43,MOD(SMALL($AN96:$BK96,22),100))&amp;IF(SMALL($AN96:$BK96,22)&gt;100," *",""))</f>
        <v/>
      </c>
      <c r="AK96">
        <f>IF(23&gt;$N96,"",INDEX(Engine!$B$20:$B$43,MOD(SMALL($AN96:$BK96,23),100))&amp;IF(SMALL($AN96:$BK96,23)&gt;100," *",""))</f>
        <v/>
      </c>
      <c r="AL96">
        <f>IF(24&gt;$N96,"",INDEX(Engine!$B$20:$B$43,MOD(SMALL($AN96:$BK96,24),100))&amp;IF(SMALL($AN96:$BK96,24)&gt;100," *",""))</f>
        <v/>
      </c>
      <c r="AN96">
        <f>IF(AND($C20=1,INDEX(Setup!$O$6:$AL$23,11,1)&lt;&gt;"",L20=0),1+IF(INDEX(Setup!$O$6:$AL$23,11,1)="T",100,0),"")</f>
        <v/>
      </c>
      <c r="AO96">
        <f>IF(AND($C21=1,INDEX(Setup!$O$6:$AL$23,11,2)&lt;&gt;"",L21=0),2+IF(INDEX(Setup!$O$6:$AL$23,11,2)="T",100,0),"")</f>
        <v/>
      </c>
      <c r="AP96">
        <f>IF(AND($C22=1,INDEX(Setup!$O$6:$AL$23,11,3)&lt;&gt;"",L22=0),3+IF(INDEX(Setup!$O$6:$AL$23,11,3)="T",100,0),"")</f>
        <v/>
      </c>
      <c r="AQ96">
        <f>IF(AND($C23=1,INDEX(Setup!$O$6:$AL$23,11,4)&lt;&gt;"",L23=0),4+IF(INDEX(Setup!$O$6:$AL$23,11,4)="T",100,0),"")</f>
        <v/>
      </c>
      <c r="AR96">
        <f>IF(AND($C24=1,INDEX(Setup!$O$6:$AL$23,11,5)&lt;&gt;"",L24=0),5+IF(INDEX(Setup!$O$6:$AL$23,11,5)="T",100,0),"")</f>
        <v/>
      </c>
      <c r="AS96">
        <f>IF(AND($C25=1,INDEX(Setup!$O$6:$AL$23,11,6)&lt;&gt;"",L25=0),6+IF(INDEX(Setup!$O$6:$AL$23,11,6)="T",100,0),"")</f>
        <v/>
      </c>
      <c r="AT96">
        <f>IF(AND($C26=1,INDEX(Setup!$O$6:$AL$23,11,7)&lt;&gt;"",L26=0),7+IF(INDEX(Setup!$O$6:$AL$23,11,7)="T",100,0),"")</f>
        <v/>
      </c>
      <c r="AU96">
        <f>IF(AND($C27=1,INDEX(Setup!$O$6:$AL$23,11,8)&lt;&gt;"",L27=0),8+IF(INDEX(Setup!$O$6:$AL$23,11,8)="T",100,0),"")</f>
        <v/>
      </c>
      <c r="AV96">
        <f>IF(AND($C28=1,INDEX(Setup!$O$6:$AL$23,11,9)&lt;&gt;"",L28=0),9+IF(INDEX(Setup!$O$6:$AL$23,11,9)="T",100,0),"")</f>
        <v/>
      </c>
      <c r="AW96">
        <f>IF(AND($C29=1,INDEX(Setup!$O$6:$AL$23,11,10)&lt;&gt;"",L29=0),10+IF(INDEX(Setup!$O$6:$AL$23,11,10)="T",100,0),"")</f>
        <v/>
      </c>
      <c r="AX96">
        <f>IF(AND($C30=1,INDEX(Setup!$O$6:$AL$23,11,11)&lt;&gt;"",L30=0),11+IF(INDEX(Setup!$O$6:$AL$23,11,11)="T",100,0),"")</f>
        <v/>
      </c>
      <c r="AY96">
        <f>IF(AND($C31=1,INDEX(Setup!$O$6:$AL$23,11,12)&lt;&gt;"",L31=0),12+IF(INDEX(Setup!$O$6:$AL$23,11,12)="T",100,0),"")</f>
        <v/>
      </c>
      <c r="AZ96">
        <f>IF(AND($C32=1,INDEX(Setup!$O$6:$AL$23,11,13)&lt;&gt;"",L32=0),13+IF(INDEX(Setup!$O$6:$AL$23,11,13)="T",100,0),"")</f>
        <v/>
      </c>
      <c r="BA96">
        <f>IF(AND($C33=1,INDEX(Setup!$O$6:$AL$23,11,14)&lt;&gt;"",L33=0),14+IF(INDEX(Setup!$O$6:$AL$23,11,14)="T",100,0),"")</f>
        <v/>
      </c>
      <c r="BB96">
        <f>IF(AND($C34=1,INDEX(Setup!$O$6:$AL$23,11,15)&lt;&gt;"",L34=0),15+IF(INDEX(Setup!$O$6:$AL$23,11,15)="T",100,0),"")</f>
        <v/>
      </c>
      <c r="BC96">
        <f>IF(AND($C35=1,INDEX(Setup!$O$6:$AL$23,11,16)&lt;&gt;"",L35=0),16+IF(INDEX(Setup!$O$6:$AL$23,11,16)="T",100,0),"")</f>
        <v/>
      </c>
      <c r="BD96">
        <f>IF(AND($C36=1,INDEX(Setup!$O$6:$AL$23,11,17)&lt;&gt;"",L36=0),17+IF(INDEX(Setup!$O$6:$AL$23,11,17)="T",100,0),"")</f>
        <v/>
      </c>
      <c r="BE96">
        <f>IF(AND($C37=1,INDEX(Setup!$O$6:$AL$23,11,18)&lt;&gt;"",L37=0),18+IF(INDEX(Setup!$O$6:$AL$23,11,18)="T",100,0),"")</f>
        <v/>
      </c>
      <c r="BF96">
        <f>IF(AND($C38=1,INDEX(Setup!$O$6:$AL$23,11,19)&lt;&gt;"",L38=0),19+IF(INDEX(Setup!$O$6:$AL$23,11,19)="T",100,0),"")</f>
        <v/>
      </c>
      <c r="BG96">
        <f>IF(AND($C39=1,INDEX(Setup!$O$6:$AL$23,11,20)&lt;&gt;"",L39=0),20+IF(INDEX(Setup!$O$6:$AL$23,11,20)="T",100,0),"")</f>
        <v/>
      </c>
      <c r="BH96">
        <f>IF(AND($C40=1,INDEX(Setup!$O$6:$AL$23,11,21)&lt;&gt;"",L40=0),21+IF(INDEX(Setup!$O$6:$AL$23,11,21)="T",100,0),"")</f>
        <v/>
      </c>
      <c r="BI96">
        <f>IF(AND($C41=1,INDEX(Setup!$O$6:$AL$23,11,22)&lt;&gt;"",L41=0),22+IF(INDEX(Setup!$O$6:$AL$23,11,22)="T",100,0),"")</f>
        <v/>
      </c>
      <c r="BJ96">
        <f>IF(AND($C42=1,INDEX(Setup!$O$6:$AL$23,11,23)&lt;&gt;"",L42=0),23+IF(INDEX(Setup!$O$6:$AL$23,11,23)="T",100,0),"")</f>
        <v/>
      </c>
      <c r="BK96">
        <f>IF(AND($C43=1,INDEX(Setup!$O$6:$AL$23,11,24)&lt;&gt;"",L43=0),24+IF(INDEX(Setup!$O$6:$AL$23,11,24)="T",100,0),"")</f>
        <v/>
      </c>
      <c r="BM96">
        <f>IF(AND(AN96&lt;&gt;"",COUNTIF($G$57:$I$57,$B20)+COUNTIF($G$57:$I$57,$B20&amp;" ~*")=0),($R20+COUNTIF($H$86:$H95,$B20)+COUNTIF($H$86:$H95,$B20&amp;" ~*"))*1000+IF(AN96&gt;100,500,0)+1,"")</f>
        <v/>
      </c>
      <c r="BN96">
        <f>IF(AND(AO96&lt;&gt;"",COUNTIF($G$57:$I$57,$B21)+COUNTIF($G$57:$I$57,$B21&amp;" ~*")=0),($R21+COUNTIF($H$86:$H95,$B21)+COUNTIF($H$86:$H95,$B21&amp;" ~*"))*1000+IF(AO96&gt;100,500,0)+2,"")</f>
        <v/>
      </c>
      <c r="BO96">
        <f>IF(AND(AP96&lt;&gt;"",COUNTIF($G$57:$I$57,$B22)+COUNTIF($G$57:$I$57,$B22&amp;" ~*")=0),($R22+COUNTIF($H$86:$H95,$B22)+COUNTIF($H$86:$H95,$B22&amp;" ~*"))*1000+IF(AP96&gt;100,500,0)+3,"")</f>
        <v/>
      </c>
      <c r="BP96">
        <f>IF(AND(AQ96&lt;&gt;"",COUNTIF($G$57:$I$57,$B23)+COUNTIF($G$57:$I$57,$B23&amp;" ~*")=0),($R23+COUNTIF($H$86:$H95,$B23)+COUNTIF($H$86:$H95,$B23&amp;" ~*"))*1000+IF(AQ96&gt;100,500,0)+4,"")</f>
        <v/>
      </c>
      <c r="BQ96">
        <f>IF(AND(AR96&lt;&gt;"",COUNTIF($G$57:$I$57,$B24)+COUNTIF($G$57:$I$57,$B24&amp;" ~*")=0),($R24+COUNTIF($H$86:$H95,$B24)+COUNTIF($H$86:$H95,$B24&amp;" ~*"))*1000+IF(AR96&gt;100,500,0)+5,"")</f>
        <v/>
      </c>
      <c r="BR96">
        <f>IF(AND(AS96&lt;&gt;"",COUNTIF($G$57:$I$57,$B25)+COUNTIF($G$57:$I$57,$B25&amp;" ~*")=0),($R25+COUNTIF($H$86:$H95,$B25)+COUNTIF($H$86:$H95,$B25&amp;" ~*"))*1000+IF(AS96&gt;100,500,0)+6,"")</f>
        <v/>
      </c>
      <c r="BS96">
        <f>IF(AND(AT96&lt;&gt;"",COUNTIF($G$57:$I$57,$B26)+COUNTIF($G$57:$I$57,$B26&amp;" ~*")=0),($R26+COUNTIF($H$86:$H95,$B26)+COUNTIF($H$86:$H95,$B26&amp;" ~*"))*1000+IF(AT96&gt;100,500,0)+7,"")</f>
        <v/>
      </c>
      <c r="BT96">
        <f>IF(AND(AU96&lt;&gt;"",COUNTIF($G$57:$I$57,$B27)+COUNTIF($G$57:$I$57,$B27&amp;" ~*")=0),($R27+COUNTIF($H$86:$H95,$B27)+COUNTIF($H$86:$H95,$B27&amp;" ~*"))*1000+IF(AU96&gt;100,500,0)+8,"")</f>
        <v/>
      </c>
      <c r="BU96">
        <f>IF(AND(AV96&lt;&gt;"",COUNTIF($G$57:$I$57,$B28)+COUNTIF($G$57:$I$57,$B28&amp;" ~*")=0),($R28+COUNTIF($H$86:$H95,$B28)+COUNTIF($H$86:$H95,$B28&amp;" ~*"))*1000+IF(AV96&gt;100,500,0)+9,"")</f>
        <v/>
      </c>
      <c r="BV96">
        <f>IF(AND(AW96&lt;&gt;"",COUNTIF($G$57:$I$57,$B29)+COUNTIF($G$57:$I$57,$B29&amp;" ~*")=0),($R29+COUNTIF($H$86:$H95,$B29)+COUNTIF($H$86:$H95,$B29&amp;" ~*"))*1000+IF(AW96&gt;100,500,0)+10,"")</f>
        <v/>
      </c>
      <c r="BW96">
        <f>IF(AND(AX96&lt;&gt;"",COUNTIF($G$57:$I$57,$B30)+COUNTIF($G$57:$I$57,$B30&amp;" ~*")=0),($R30+COUNTIF($H$86:$H95,$B30)+COUNTIF($H$86:$H95,$B30&amp;" ~*"))*1000+IF(AX96&gt;100,500,0)+11,"")</f>
        <v/>
      </c>
      <c r="BX96">
        <f>IF(AND(AY96&lt;&gt;"",COUNTIF($G$57:$I$57,$B31)+COUNTIF($G$57:$I$57,$B31&amp;" ~*")=0),($R31+COUNTIF($H$86:$H95,$B31)+COUNTIF($H$86:$H95,$B31&amp;" ~*"))*1000+IF(AY96&gt;100,500,0)+12,"")</f>
        <v/>
      </c>
      <c r="BY96">
        <f>IF(AND(AZ96&lt;&gt;"",COUNTIF($G$57:$I$57,$B32)+COUNTIF($G$57:$I$57,$B32&amp;" ~*")=0),($R32+COUNTIF($H$86:$H95,$B32)+COUNTIF($H$86:$H95,$B32&amp;" ~*"))*1000+IF(AZ96&gt;100,500,0)+13,"")</f>
        <v/>
      </c>
      <c r="BZ96">
        <f>IF(AND(BA96&lt;&gt;"",COUNTIF($G$57:$I$57,$B33)+COUNTIF($G$57:$I$57,$B33&amp;" ~*")=0),($R33+COUNTIF($H$86:$H95,$B33)+COUNTIF($H$86:$H95,$B33&amp;" ~*"))*1000+IF(BA96&gt;100,500,0)+14,"")</f>
        <v/>
      </c>
      <c r="CA96">
        <f>IF(AND(BB96&lt;&gt;"",COUNTIF($G$57:$I$57,$B34)+COUNTIF($G$57:$I$57,$B34&amp;" ~*")=0),($R34+COUNTIF($H$86:$H95,$B34)+COUNTIF($H$86:$H95,$B34&amp;" ~*"))*1000+IF(BB96&gt;100,500,0)+15,"")</f>
        <v/>
      </c>
      <c r="CB96">
        <f>IF(AND(BC96&lt;&gt;"",COUNTIF($G$57:$I$57,$B35)+COUNTIF($G$57:$I$57,$B35&amp;" ~*")=0),($R35+COUNTIF($H$86:$H95,$B35)+COUNTIF($H$86:$H95,$B35&amp;" ~*"))*1000+IF(BC96&gt;100,500,0)+16,"")</f>
        <v/>
      </c>
      <c r="CC96">
        <f>IF(AND(BD96&lt;&gt;"",COUNTIF($G$57:$I$57,$B36)+COUNTIF($G$57:$I$57,$B36&amp;" ~*")=0),($R36+COUNTIF($H$86:$H95,$B36)+COUNTIF($H$86:$H95,$B36&amp;" ~*"))*1000+IF(BD96&gt;100,500,0)+17,"")</f>
        <v/>
      </c>
      <c r="CD96">
        <f>IF(AND(BE96&lt;&gt;"",COUNTIF($G$57:$I$57,$B37)+COUNTIF($G$57:$I$57,$B37&amp;" ~*")=0),($R37+COUNTIF($H$86:$H95,$B37)+COUNTIF($H$86:$H95,$B37&amp;" ~*"))*1000+IF(BE96&gt;100,500,0)+18,"")</f>
        <v/>
      </c>
      <c r="CE96">
        <f>IF(AND(BF96&lt;&gt;"",COUNTIF($G$57:$I$57,$B38)+COUNTIF($G$57:$I$57,$B38&amp;" ~*")=0),($R38+COUNTIF($H$86:$H95,$B38)+COUNTIF($H$86:$H95,$B38&amp;" ~*"))*1000+IF(BF96&gt;100,500,0)+19,"")</f>
        <v/>
      </c>
      <c r="CF96">
        <f>IF(AND(BG96&lt;&gt;"",COUNTIF($G$57:$I$57,$B39)+COUNTIF($G$57:$I$57,$B39&amp;" ~*")=0),($R39+COUNTIF($H$86:$H95,$B39)+COUNTIF($H$86:$H95,$B39&amp;" ~*"))*1000+IF(BG96&gt;100,500,0)+20,"")</f>
        <v/>
      </c>
      <c r="CG96">
        <f>IF(AND(BH96&lt;&gt;"",COUNTIF($G$57:$I$57,$B40)+COUNTIF($G$57:$I$57,$B40&amp;" ~*")=0),($R40+COUNTIF($H$86:$H95,$B40)+COUNTIF($H$86:$H95,$B40&amp;" ~*"))*1000+IF(BH96&gt;100,500,0)+21,"")</f>
        <v/>
      </c>
      <c r="CH96">
        <f>IF(AND(BI96&lt;&gt;"",COUNTIF($G$57:$I$57,$B41)+COUNTIF($G$57:$I$57,$B41&amp;" ~*")=0),($R41+COUNTIF($H$86:$H95,$B41)+COUNTIF($H$86:$H95,$B41&amp;" ~*"))*1000+IF(BI96&gt;100,500,0)+22,"")</f>
        <v/>
      </c>
      <c r="CI96">
        <f>IF(AND(BJ96&lt;&gt;"",COUNTIF($G$57:$I$57,$B42)+COUNTIF($G$57:$I$57,$B42&amp;" ~*")=0),($R42+COUNTIF($H$86:$H95,$B42)+COUNTIF($H$86:$H95,$B42&amp;" ~*"))*1000+IF(BJ96&gt;100,500,0)+23,"")</f>
        <v/>
      </c>
      <c r="CJ96">
        <f>IF(AND(BK96&lt;&gt;"",COUNTIF($G$57:$I$57,$B43)+COUNTIF($G$57:$I$57,$B43&amp;" ~*")=0),($R43+COUNTIF($H$86:$H95,$B43)+COUNTIF($H$86:$H95,$B43&amp;" ~*"))*1000+IF(BK96&gt;100,500,0)+24,"")</f>
        <v/>
      </c>
    </row>
    <row r="97">
      <c r="A97" t="n">
        <v>2</v>
      </c>
      <c r="B97" t="n">
        <v>12</v>
      </c>
      <c r="C97">
        <f>$B$58</f>
        <v/>
      </c>
      <c r="D97" t="inlineStr">
        <is>
          <t>Tue</t>
        </is>
      </c>
      <c r="E97">
        <f>IF(C97="","",N($AB$58))</f>
        <v/>
      </c>
      <c r="F97">
        <f>IF(C97="","",COUNTIF($G$58:$I$58,"?*"))</f>
        <v/>
      </c>
      <c r="G97">
        <f>IF(C97="","",MAX(0,E97-F97))</f>
        <v/>
      </c>
      <c r="H97">
        <f>IF(N(G97)=0,"",IF(COUNT(BM97:CJ97)=0,"no-one eligible",INDEX(Engine!$B$20:$B$43,MOD(MIN(BM97:CJ97),500))&amp;IF(MOD(MIN(BM97:CJ97),1000)&gt;=500," *","")))</f>
        <v/>
      </c>
      <c r="I97">
        <f>IF(N(G97)&gt;0,COUNTIF($G$68:G97,"&gt;0"),"")</f>
        <v/>
      </c>
      <c r="J97">
        <f>IF(C97="","",IF($G$58="",0,IF(IFERROR(INDEX(Setup!$O$6:$AL$23,12,MATCH(SUBSTITUTE($G$58," *",""),Setup!$B$6:$B$29,0)),"")="",1,0))+IF($H$58="",0,IF(IFERROR(INDEX(Setup!$O$6:$AL$23,12,MATCH(SUBSTITUTE($H$58," *",""),Setup!$B$6:$B$29,0)),"")="",1,0))+IF($I$58="",0,IF(IFERROR(INDEX(Setup!$O$6:$AL$23,12,MATCH(SUBSTITUTE($I$58," *",""),Setup!$B$6:$B$29,0)),"")="",1,0)))</f>
        <v/>
      </c>
      <c r="K97">
        <f>IF($B$12+1=TODAY(),1,0)</f>
        <v/>
      </c>
      <c r="N97">
        <f>COUNT($AN97:$BK97)</f>
        <v/>
      </c>
      <c r="O97">
        <f>IF(1&gt;$N97,"",INDEX(Engine!$B$20:$B$43,MOD(SMALL($AN97:$BK97,1),100))&amp;IF(SMALL($AN97:$BK97,1)&gt;100," *",""))</f>
        <v/>
      </c>
      <c r="P97">
        <f>IF(2&gt;$N97,"",INDEX(Engine!$B$20:$B$43,MOD(SMALL($AN97:$BK97,2),100))&amp;IF(SMALL($AN97:$BK97,2)&gt;100," *",""))</f>
        <v/>
      </c>
      <c r="Q97">
        <f>IF(3&gt;$N97,"",INDEX(Engine!$B$20:$B$43,MOD(SMALL($AN97:$BK97,3),100))&amp;IF(SMALL($AN97:$BK97,3)&gt;100," *",""))</f>
        <v/>
      </c>
      <c r="R97">
        <f>IF(4&gt;$N97,"",INDEX(Engine!$B$20:$B$43,MOD(SMALL($AN97:$BK97,4),100))&amp;IF(SMALL($AN97:$BK97,4)&gt;100," *",""))</f>
        <v/>
      </c>
      <c r="S97">
        <f>IF(5&gt;$N97,"",INDEX(Engine!$B$20:$B$43,MOD(SMALL($AN97:$BK97,5),100))&amp;IF(SMALL($AN97:$BK97,5)&gt;100," *",""))</f>
        <v/>
      </c>
      <c r="T97">
        <f>IF(6&gt;$N97,"",INDEX(Engine!$B$20:$B$43,MOD(SMALL($AN97:$BK97,6),100))&amp;IF(SMALL($AN97:$BK97,6)&gt;100," *",""))</f>
        <v/>
      </c>
      <c r="U97">
        <f>IF(7&gt;$N97,"",INDEX(Engine!$B$20:$B$43,MOD(SMALL($AN97:$BK97,7),100))&amp;IF(SMALL($AN97:$BK97,7)&gt;100," *",""))</f>
        <v/>
      </c>
      <c r="V97">
        <f>IF(8&gt;$N97,"",INDEX(Engine!$B$20:$B$43,MOD(SMALL($AN97:$BK97,8),100))&amp;IF(SMALL($AN97:$BK97,8)&gt;100," *",""))</f>
        <v/>
      </c>
      <c r="W97">
        <f>IF(9&gt;$N97,"",INDEX(Engine!$B$20:$B$43,MOD(SMALL($AN97:$BK97,9),100))&amp;IF(SMALL($AN97:$BK97,9)&gt;100," *",""))</f>
        <v/>
      </c>
      <c r="X97">
        <f>IF(10&gt;$N97,"",INDEX(Engine!$B$20:$B$43,MOD(SMALL($AN97:$BK97,10),100))&amp;IF(SMALL($AN97:$BK97,10)&gt;100," *",""))</f>
        <v/>
      </c>
      <c r="Y97">
        <f>IF(11&gt;$N97,"",INDEX(Engine!$B$20:$B$43,MOD(SMALL($AN97:$BK97,11),100))&amp;IF(SMALL($AN97:$BK97,11)&gt;100," *",""))</f>
        <v/>
      </c>
      <c r="Z97">
        <f>IF(12&gt;$N97,"",INDEX(Engine!$B$20:$B$43,MOD(SMALL($AN97:$BK97,12),100))&amp;IF(SMALL($AN97:$BK97,12)&gt;100," *",""))</f>
        <v/>
      </c>
      <c r="AA97">
        <f>IF(13&gt;$N97,"",INDEX(Engine!$B$20:$B$43,MOD(SMALL($AN97:$BK97,13),100))&amp;IF(SMALL($AN97:$BK97,13)&gt;100," *",""))</f>
        <v/>
      </c>
      <c r="AB97">
        <f>IF(14&gt;$N97,"",INDEX(Engine!$B$20:$B$43,MOD(SMALL($AN97:$BK97,14),100))&amp;IF(SMALL($AN97:$BK97,14)&gt;100," *",""))</f>
        <v/>
      </c>
      <c r="AC97">
        <f>IF(15&gt;$N97,"",INDEX(Engine!$B$20:$B$43,MOD(SMALL($AN97:$BK97,15),100))&amp;IF(SMALL($AN97:$BK97,15)&gt;100," *",""))</f>
        <v/>
      </c>
      <c r="AD97">
        <f>IF(16&gt;$N97,"",INDEX(Engine!$B$20:$B$43,MOD(SMALL($AN97:$BK97,16),100))&amp;IF(SMALL($AN97:$BK97,16)&gt;100," *",""))</f>
        <v/>
      </c>
      <c r="AE97">
        <f>IF(17&gt;$N97,"",INDEX(Engine!$B$20:$B$43,MOD(SMALL($AN97:$BK97,17),100))&amp;IF(SMALL($AN97:$BK97,17)&gt;100," *",""))</f>
        <v/>
      </c>
      <c r="AF97">
        <f>IF(18&gt;$N97,"",INDEX(Engine!$B$20:$B$43,MOD(SMALL($AN97:$BK97,18),100))&amp;IF(SMALL($AN97:$BK97,18)&gt;100," *",""))</f>
        <v/>
      </c>
      <c r="AG97">
        <f>IF(19&gt;$N97,"",INDEX(Engine!$B$20:$B$43,MOD(SMALL($AN97:$BK97,19),100))&amp;IF(SMALL($AN97:$BK97,19)&gt;100," *",""))</f>
        <v/>
      </c>
      <c r="AH97">
        <f>IF(20&gt;$N97,"",INDEX(Engine!$B$20:$B$43,MOD(SMALL($AN97:$BK97,20),100))&amp;IF(SMALL($AN97:$BK97,20)&gt;100," *",""))</f>
        <v/>
      </c>
      <c r="AI97">
        <f>IF(21&gt;$N97,"",INDEX(Engine!$B$20:$B$43,MOD(SMALL($AN97:$BK97,21),100))&amp;IF(SMALL($AN97:$BK97,21)&gt;100," *",""))</f>
        <v/>
      </c>
      <c r="AJ97">
        <f>IF(22&gt;$N97,"",INDEX(Engine!$B$20:$B$43,MOD(SMALL($AN97:$BK97,22),100))&amp;IF(SMALL($AN97:$BK97,22)&gt;100," *",""))</f>
        <v/>
      </c>
      <c r="AK97">
        <f>IF(23&gt;$N97,"",INDEX(Engine!$B$20:$B$43,MOD(SMALL($AN97:$BK97,23),100))&amp;IF(SMALL($AN97:$BK97,23)&gt;100," *",""))</f>
        <v/>
      </c>
      <c r="AL97">
        <f>IF(24&gt;$N97,"",INDEX(Engine!$B$20:$B$43,MOD(SMALL($AN97:$BK97,24),100))&amp;IF(SMALL($AN97:$BK97,24)&gt;100," *",""))</f>
        <v/>
      </c>
      <c r="AN97">
        <f>IF(AND($C20=1,INDEX(Setup!$O$6:$AL$23,12,1)&lt;&gt;"",L20=0),1+IF(INDEX(Setup!$O$6:$AL$23,12,1)="T",100,0),"")</f>
        <v/>
      </c>
      <c r="AO97">
        <f>IF(AND($C21=1,INDEX(Setup!$O$6:$AL$23,12,2)&lt;&gt;"",L21=0),2+IF(INDEX(Setup!$O$6:$AL$23,12,2)="T",100,0),"")</f>
        <v/>
      </c>
      <c r="AP97">
        <f>IF(AND($C22=1,INDEX(Setup!$O$6:$AL$23,12,3)&lt;&gt;"",L22=0),3+IF(INDEX(Setup!$O$6:$AL$23,12,3)="T",100,0),"")</f>
        <v/>
      </c>
      <c r="AQ97">
        <f>IF(AND($C23=1,INDEX(Setup!$O$6:$AL$23,12,4)&lt;&gt;"",L23=0),4+IF(INDEX(Setup!$O$6:$AL$23,12,4)="T",100,0),"")</f>
        <v/>
      </c>
      <c r="AR97">
        <f>IF(AND($C24=1,INDEX(Setup!$O$6:$AL$23,12,5)&lt;&gt;"",L24=0),5+IF(INDEX(Setup!$O$6:$AL$23,12,5)="T",100,0),"")</f>
        <v/>
      </c>
      <c r="AS97">
        <f>IF(AND($C25=1,INDEX(Setup!$O$6:$AL$23,12,6)&lt;&gt;"",L25=0),6+IF(INDEX(Setup!$O$6:$AL$23,12,6)="T",100,0),"")</f>
        <v/>
      </c>
      <c r="AT97">
        <f>IF(AND($C26=1,INDEX(Setup!$O$6:$AL$23,12,7)&lt;&gt;"",L26=0),7+IF(INDEX(Setup!$O$6:$AL$23,12,7)="T",100,0),"")</f>
        <v/>
      </c>
      <c r="AU97">
        <f>IF(AND($C27=1,INDEX(Setup!$O$6:$AL$23,12,8)&lt;&gt;"",L27=0),8+IF(INDEX(Setup!$O$6:$AL$23,12,8)="T",100,0),"")</f>
        <v/>
      </c>
      <c r="AV97">
        <f>IF(AND($C28=1,INDEX(Setup!$O$6:$AL$23,12,9)&lt;&gt;"",L28=0),9+IF(INDEX(Setup!$O$6:$AL$23,12,9)="T",100,0),"")</f>
        <v/>
      </c>
      <c r="AW97">
        <f>IF(AND($C29=1,INDEX(Setup!$O$6:$AL$23,12,10)&lt;&gt;"",L29=0),10+IF(INDEX(Setup!$O$6:$AL$23,12,10)="T",100,0),"")</f>
        <v/>
      </c>
      <c r="AX97">
        <f>IF(AND($C30=1,INDEX(Setup!$O$6:$AL$23,12,11)&lt;&gt;"",L30=0),11+IF(INDEX(Setup!$O$6:$AL$23,12,11)="T",100,0),"")</f>
        <v/>
      </c>
      <c r="AY97">
        <f>IF(AND($C31=1,INDEX(Setup!$O$6:$AL$23,12,12)&lt;&gt;"",L31=0),12+IF(INDEX(Setup!$O$6:$AL$23,12,12)="T",100,0),"")</f>
        <v/>
      </c>
      <c r="AZ97">
        <f>IF(AND($C32=1,INDEX(Setup!$O$6:$AL$23,12,13)&lt;&gt;"",L32=0),13+IF(INDEX(Setup!$O$6:$AL$23,12,13)="T",100,0),"")</f>
        <v/>
      </c>
      <c r="BA97">
        <f>IF(AND($C33=1,INDEX(Setup!$O$6:$AL$23,12,14)&lt;&gt;"",L33=0),14+IF(INDEX(Setup!$O$6:$AL$23,12,14)="T",100,0),"")</f>
        <v/>
      </c>
      <c r="BB97">
        <f>IF(AND($C34=1,INDEX(Setup!$O$6:$AL$23,12,15)&lt;&gt;"",L34=0),15+IF(INDEX(Setup!$O$6:$AL$23,12,15)="T",100,0),"")</f>
        <v/>
      </c>
      <c r="BC97">
        <f>IF(AND($C35=1,INDEX(Setup!$O$6:$AL$23,12,16)&lt;&gt;"",L35=0),16+IF(INDEX(Setup!$O$6:$AL$23,12,16)="T",100,0),"")</f>
        <v/>
      </c>
      <c r="BD97">
        <f>IF(AND($C36=1,INDEX(Setup!$O$6:$AL$23,12,17)&lt;&gt;"",L36=0),17+IF(INDEX(Setup!$O$6:$AL$23,12,17)="T",100,0),"")</f>
        <v/>
      </c>
      <c r="BE97">
        <f>IF(AND($C37=1,INDEX(Setup!$O$6:$AL$23,12,18)&lt;&gt;"",L37=0),18+IF(INDEX(Setup!$O$6:$AL$23,12,18)="T",100,0),"")</f>
        <v/>
      </c>
      <c r="BF97">
        <f>IF(AND($C38=1,INDEX(Setup!$O$6:$AL$23,12,19)&lt;&gt;"",L38=0),19+IF(INDEX(Setup!$O$6:$AL$23,12,19)="T",100,0),"")</f>
        <v/>
      </c>
      <c r="BG97">
        <f>IF(AND($C39=1,INDEX(Setup!$O$6:$AL$23,12,20)&lt;&gt;"",L39=0),20+IF(INDEX(Setup!$O$6:$AL$23,12,20)="T",100,0),"")</f>
        <v/>
      </c>
      <c r="BH97">
        <f>IF(AND($C40=1,INDEX(Setup!$O$6:$AL$23,12,21)&lt;&gt;"",L40=0),21+IF(INDEX(Setup!$O$6:$AL$23,12,21)="T",100,0),"")</f>
        <v/>
      </c>
      <c r="BI97">
        <f>IF(AND($C41=1,INDEX(Setup!$O$6:$AL$23,12,22)&lt;&gt;"",L41=0),22+IF(INDEX(Setup!$O$6:$AL$23,12,22)="T",100,0),"")</f>
        <v/>
      </c>
      <c r="BJ97">
        <f>IF(AND($C42=1,INDEX(Setup!$O$6:$AL$23,12,23)&lt;&gt;"",L42=0),23+IF(INDEX(Setup!$O$6:$AL$23,12,23)="T",100,0),"")</f>
        <v/>
      </c>
      <c r="BK97">
        <f>IF(AND($C43=1,INDEX(Setup!$O$6:$AL$23,12,24)&lt;&gt;"",L43=0),24+IF(INDEX(Setup!$O$6:$AL$23,12,24)="T",100,0),"")</f>
        <v/>
      </c>
      <c r="BM97">
        <f>IF(AND(AN97&lt;&gt;"",COUNTIF($G$58:$I$58,$B20)+COUNTIF($G$58:$I$58,$B20&amp;" ~*")=0),($R20+COUNTIF($H$86:$H96,$B20)+COUNTIF($H$86:$H96,$B20&amp;" ~*"))*1000+IF(AN97&gt;100,500,0)+1,"")</f>
        <v/>
      </c>
      <c r="BN97">
        <f>IF(AND(AO97&lt;&gt;"",COUNTIF($G$58:$I$58,$B21)+COUNTIF($G$58:$I$58,$B21&amp;" ~*")=0),($R21+COUNTIF($H$86:$H96,$B21)+COUNTIF($H$86:$H96,$B21&amp;" ~*"))*1000+IF(AO97&gt;100,500,0)+2,"")</f>
        <v/>
      </c>
      <c r="BO97">
        <f>IF(AND(AP97&lt;&gt;"",COUNTIF($G$58:$I$58,$B22)+COUNTIF($G$58:$I$58,$B22&amp;" ~*")=0),($R22+COUNTIF($H$86:$H96,$B22)+COUNTIF($H$86:$H96,$B22&amp;" ~*"))*1000+IF(AP97&gt;100,500,0)+3,"")</f>
        <v/>
      </c>
      <c r="BP97">
        <f>IF(AND(AQ97&lt;&gt;"",COUNTIF($G$58:$I$58,$B23)+COUNTIF($G$58:$I$58,$B23&amp;" ~*")=0),($R23+COUNTIF($H$86:$H96,$B23)+COUNTIF($H$86:$H96,$B23&amp;" ~*"))*1000+IF(AQ97&gt;100,500,0)+4,"")</f>
        <v/>
      </c>
      <c r="BQ97">
        <f>IF(AND(AR97&lt;&gt;"",COUNTIF($G$58:$I$58,$B24)+COUNTIF($G$58:$I$58,$B24&amp;" ~*")=0),($R24+COUNTIF($H$86:$H96,$B24)+COUNTIF($H$86:$H96,$B24&amp;" ~*"))*1000+IF(AR97&gt;100,500,0)+5,"")</f>
        <v/>
      </c>
      <c r="BR97">
        <f>IF(AND(AS97&lt;&gt;"",COUNTIF($G$58:$I$58,$B25)+COUNTIF($G$58:$I$58,$B25&amp;" ~*")=0),($R25+COUNTIF($H$86:$H96,$B25)+COUNTIF($H$86:$H96,$B25&amp;" ~*"))*1000+IF(AS97&gt;100,500,0)+6,"")</f>
        <v/>
      </c>
      <c r="BS97">
        <f>IF(AND(AT97&lt;&gt;"",COUNTIF($G$58:$I$58,$B26)+COUNTIF($G$58:$I$58,$B26&amp;" ~*")=0),($R26+COUNTIF($H$86:$H96,$B26)+COUNTIF($H$86:$H96,$B26&amp;" ~*"))*1000+IF(AT97&gt;100,500,0)+7,"")</f>
        <v/>
      </c>
      <c r="BT97">
        <f>IF(AND(AU97&lt;&gt;"",COUNTIF($G$58:$I$58,$B27)+COUNTIF($G$58:$I$58,$B27&amp;" ~*")=0),($R27+COUNTIF($H$86:$H96,$B27)+COUNTIF($H$86:$H96,$B27&amp;" ~*"))*1000+IF(AU97&gt;100,500,0)+8,"")</f>
        <v/>
      </c>
      <c r="BU97">
        <f>IF(AND(AV97&lt;&gt;"",COUNTIF($G$58:$I$58,$B28)+COUNTIF($G$58:$I$58,$B28&amp;" ~*")=0),($R28+COUNTIF($H$86:$H96,$B28)+COUNTIF($H$86:$H96,$B28&amp;" ~*"))*1000+IF(AV97&gt;100,500,0)+9,"")</f>
        <v/>
      </c>
      <c r="BV97">
        <f>IF(AND(AW97&lt;&gt;"",COUNTIF($G$58:$I$58,$B29)+COUNTIF($G$58:$I$58,$B29&amp;" ~*")=0),($R29+COUNTIF($H$86:$H96,$B29)+COUNTIF($H$86:$H96,$B29&amp;" ~*"))*1000+IF(AW97&gt;100,500,0)+10,"")</f>
        <v/>
      </c>
      <c r="BW97">
        <f>IF(AND(AX97&lt;&gt;"",COUNTIF($G$58:$I$58,$B30)+COUNTIF($G$58:$I$58,$B30&amp;" ~*")=0),($R30+COUNTIF($H$86:$H96,$B30)+COUNTIF($H$86:$H96,$B30&amp;" ~*"))*1000+IF(AX97&gt;100,500,0)+11,"")</f>
        <v/>
      </c>
      <c r="BX97">
        <f>IF(AND(AY97&lt;&gt;"",COUNTIF($G$58:$I$58,$B31)+COUNTIF($G$58:$I$58,$B31&amp;" ~*")=0),($R31+COUNTIF($H$86:$H96,$B31)+COUNTIF($H$86:$H96,$B31&amp;" ~*"))*1000+IF(AY97&gt;100,500,0)+12,"")</f>
        <v/>
      </c>
      <c r="BY97">
        <f>IF(AND(AZ97&lt;&gt;"",COUNTIF($G$58:$I$58,$B32)+COUNTIF($G$58:$I$58,$B32&amp;" ~*")=0),($R32+COUNTIF($H$86:$H96,$B32)+COUNTIF($H$86:$H96,$B32&amp;" ~*"))*1000+IF(AZ97&gt;100,500,0)+13,"")</f>
        <v/>
      </c>
      <c r="BZ97">
        <f>IF(AND(BA97&lt;&gt;"",COUNTIF($G$58:$I$58,$B33)+COUNTIF($G$58:$I$58,$B33&amp;" ~*")=0),($R33+COUNTIF($H$86:$H96,$B33)+COUNTIF($H$86:$H96,$B33&amp;" ~*"))*1000+IF(BA97&gt;100,500,0)+14,"")</f>
        <v/>
      </c>
      <c r="CA97">
        <f>IF(AND(BB97&lt;&gt;"",COUNTIF($G$58:$I$58,$B34)+COUNTIF($G$58:$I$58,$B34&amp;" ~*")=0),($R34+COUNTIF($H$86:$H96,$B34)+COUNTIF($H$86:$H96,$B34&amp;" ~*"))*1000+IF(BB97&gt;100,500,0)+15,"")</f>
        <v/>
      </c>
      <c r="CB97">
        <f>IF(AND(BC97&lt;&gt;"",COUNTIF($G$58:$I$58,$B35)+COUNTIF($G$58:$I$58,$B35&amp;" ~*")=0),($R35+COUNTIF($H$86:$H96,$B35)+COUNTIF($H$86:$H96,$B35&amp;" ~*"))*1000+IF(BC97&gt;100,500,0)+16,"")</f>
        <v/>
      </c>
      <c r="CC97">
        <f>IF(AND(BD97&lt;&gt;"",COUNTIF($G$58:$I$58,$B36)+COUNTIF($G$58:$I$58,$B36&amp;" ~*")=0),($R36+COUNTIF($H$86:$H96,$B36)+COUNTIF($H$86:$H96,$B36&amp;" ~*"))*1000+IF(BD97&gt;100,500,0)+17,"")</f>
        <v/>
      </c>
      <c r="CD97">
        <f>IF(AND(BE97&lt;&gt;"",COUNTIF($G$58:$I$58,$B37)+COUNTIF($G$58:$I$58,$B37&amp;" ~*")=0),($R37+COUNTIF($H$86:$H96,$B37)+COUNTIF($H$86:$H96,$B37&amp;" ~*"))*1000+IF(BE97&gt;100,500,0)+18,"")</f>
        <v/>
      </c>
      <c r="CE97">
        <f>IF(AND(BF97&lt;&gt;"",COUNTIF($G$58:$I$58,$B38)+COUNTIF($G$58:$I$58,$B38&amp;" ~*")=0),($R38+COUNTIF($H$86:$H96,$B38)+COUNTIF($H$86:$H96,$B38&amp;" ~*"))*1000+IF(BF97&gt;100,500,0)+19,"")</f>
        <v/>
      </c>
      <c r="CF97">
        <f>IF(AND(BG97&lt;&gt;"",COUNTIF($G$58:$I$58,$B39)+COUNTIF($G$58:$I$58,$B39&amp;" ~*")=0),($R39+COUNTIF($H$86:$H96,$B39)+COUNTIF($H$86:$H96,$B39&amp;" ~*"))*1000+IF(BG97&gt;100,500,0)+20,"")</f>
        <v/>
      </c>
      <c r="CG97">
        <f>IF(AND(BH97&lt;&gt;"",COUNTIF($G$58:$I$58,$B40)+COUNTIF($G$58:$I$58,$B40&amp;" ~*")=0),($R40+COUNTIF($H$86:$H96,$B40)+COUNTIF($H$86:$H96,$B40&amp;" ~*"))*1000+IF(BH97&gt;100,500,0)+21,"")</f>
        <v/>
      </c>
      <c r="CH97">
        <f>IF(AND(BI97&lt;&gt;"",COUNTIF($G$58:$I$58,$B41)+COUNTIF($G$58:$I$58,$B41&amp;" ~*")=0),($R41+COUNTIF($H$86:$H96,$B41)+COUNTIF($H$86:$H96,$B41&amp;" ~*"))*1000+IF(BI97&gt;100,500,0)+22,"")</f>
        <v/>
      </c>
      <c r="CI97">
        <f>IF(AND(BJ97&lt;&gt;"",COUNTIF($G$58:$I$58,$B42)+COUNTIF($G$58:$I$58,$B42&amp;" ~*")=0),($R42+COUNTIF($H$86:$H96,$B42)+COUNTIF($H$86:$H96,$B42&amp;" ~*"))*1000+IF(BJ97&gt;100,500,0)+23,"")</f>
        <v/>
      </c>
      <c r="CJ97">
        <f>IF(AND(BK97&lt;&gt;"",COUNTIF($G$58:$I$58,$B43)+COUNTIF($G$58:$I$58,$B43&amp;" ~*")=0),($R43+COUNTIF($H$86:$H96,$B43)+COUNTIF($H$86:$H96,$B43&amp;" ~*"))*1000+IF(BK97&gt;100,500,0)+24,"")</f>
        <v/>
      </c>
    </row>
    <row r="98">
      <c r="A98" t="n">
        <v>2</v>
      </c>
      <c r="B98" t="n">
        <v>13</v>
      </c>
      <c r="C98">
        <f>$B$59</f>
        <v/>
      </c>
      <c r="D98" t="inlineStr">
        <is>
          <t>Tue</t>
        </is>
      </c>
      <c r="E98">
        <f>IF(C98="","",N($AB$59))</f>
        <v/>
      </c>
      <c r="F98">
        <f>IF(C98="","",COUNTIF($G$59:$I$59,"?*"))</f>
        <v/>
      </c>
      <c r="G98">
        <f>IF(C98="","",MAX(0,E98-F98))</f>
        <v/>
      </c>
      <c r="H98">
        <f>IF(N(G98)=0,"",IF(COUNT(BM98:CJ98)=0,"no-one eligible",INDEX(Engine!$B$20:$B$43,MOD(MIN(BM98:CJ98),500))&amp;IF(MOD(MIN(BM98:CJ98),1000)&gt;=500," *","")))</f>
        <v/>
      </c>
      <c r="I98">
        <f>IF(N(G98)&gt;0,COUNTIF($G$68:G98,"&gt;0"),"")</f>
        <v/>
      </c>
      <c r="J98">
        <f>IF(C98="","",IF($G$59="",0,IF(IFERROR(INDEX(Setup!$O$6:$AL$23,13,MATCH(SUBSTITUTE($G$59," *",""),Setup!$B$6:$B$29,0)),"")="",1,0))+IF($H$59="",0,IF(IFERROR(INDEX(Setup!$O$6:$AL$23,13,MATCH(SUBSTITUTE($H$59," *",""),Setup!$B$6:$B$29,0)),"")="",1,0))+IF($I$59="",0,IF(IFERROR(INDEX(Setup!$O$6:$AL$23,13,MATCH(SUBSTITUTE($I$59," *",""),Setup!$B$6:$B$29,0)),"")="",1,0)))</f>
        <v/>
      </c>
      <c r="K98">
        <f>IF($B$12+1=TODAY(),1,0)</f>
        <v/>
      </c>
      <c r="N98">
        <f>COUNT($AN98:$BK98)</f>
        <v/>
      </c>
      <c r="O98">
        <f>IF(1&gt;$N98,"",INDEX(Engine!$B$20:$B$43,MOD(SMALL($AN98:$BK98,1),100))&amp;IF(SMALL($AN98:$BK98,1)&gt;100," *",""))</f>
        <v/>
      </c>
      <c r="P98">
        <f>IF(2&gt;$N98,"",INDEX(Engine!$B$20:$B$43,MOD(SMALL($AN98:$BK98,2),100))&amp;IF(SMALL($AN98:$BK98,2)&gt;100," *",""))</f>
        <v/>
      </c>
      <c r="Q98">
        <f>IF(3&gt;$N98,"",INDEX(Engine!$B$20:$B$43,MOD(SMALL($AN98:$BK98,3),100))&amp;IF(SMALL($AN98:$BK98,3)&gt;100," *",""))</f>
        <v/>
      </c>
      <c r="R98">
        <f>IF(4&gt;$N98,"",INDEX(Engine!$B$20:$B$43,MOD(SMALL($AN98:$BK98,4),100))&amp;IF(SMALL($AN98:$BK98,4)&gt;100," *",""))</f>
        <v/>
      </c>
      <c r="S98">
        <f>IF(5&gt;$N98,"",INDEX(Engine!$B$20:$B$43,MOD(SMALL($AN98:$BK98,5),100))&amp;IF(SMALL($AN98:$BK98,5)&gt;100," *",""))</f>
        <v/>
      </c>
      <c r="T98">
        <f>IF(6&gt;$N98,"",INDEX(Engine!$B$20:$B$43,MOD(SMALL($AN98:$BK98,6),100))&amp;IF(SMALL($AN98:$BK98,6)&gt;100," *",""))</f>
        <v/>
      </c>
      <c r="U98">
        <f>IF(7&gt;$N98,"",INDEX(Engine!$B$20:$B$43,MOD(SMALL($AN98:$BK98,7),100))&amp;IF(SMALL($AN98:$BK98,7)&gt;100," *",""))</f>
        <v/>
      </c>
      <c r="V98">
        <f>IF(8&gt;$N98,"",INDEX(Engine!$B$20:$B$43,MOD(SMALL($AN98:$BK98,8),100))&amp;IF(SMALL($AN98:$BK98,8)&gt;100," *",""))</f>
        <v/>
      </c>
      <c r="W98">
        <f>IF(9&gt;$N98,"",INDEX(Engine!$B$20:$B$43,MOD(SMALL($AN98:$BK98,9),100))&amp;IF(SMALL($AN98:$BK98,9)&gt;100," *",""))</f>
        <v/>
      </c>
      <c r="X98">
        <f>IF(10&gt;$N98,"",INDEX(Engine!$B$20:$B$43,MOD(SMALL($AN98:$BK98,10),100))&amp;IF(SMALL($AN98:$BK98,10)&gt;100," *",""))</f>
        <v/>
      </c>
      <c r="Y98">
        <f>IF(11&gt;$N98,"",INDEX(Engine!$B$20:$B$43,MOD(SMALL($AN98:$BK98,11),100))&amp;IF(SMALL($AN98:$BK98,11)&gt;100," *",""))</f>
        <v/>
      </c>
      <c r="Z98">
        <f>IF(12&gt;$N98,"",INDEX(Engine!$B$20:$B$43,MOD(SMALL($AN98:$BK98,12),100))&amp;IF(SMALL($AN98:$BK98,12)&gt;100," *",""))</f>
        <v/>
      </c>
      <c r="AA98">
        <f>IF(13&gt;$N98,"",INDEX(Engine!$B$20:$B$43,MOD(SMALL($AN98:$BK98,13),100))&amp;IF(SMALL($AN98:$BK98,13)&gt;100," *",""))</f>
        <v/>
      </c>
      <c r="AB98">
        <f>IF(14&gt;$N98,"",INDEX(Engine!$B$20:$B$43,MOD(SMALL($AN98:$BK98,14),100))&amp;IF(SMALL($AN98:$BK98,14)&gt;100," *",""))</f>
        <v/>
      </c>
      <c r="AC98">
        <f>IF(15&gt;$N98,"",INDEX(Engine!$B$20:$B$43,MOD(SMALL($AN98:$BK98,15),100))&amp;IF(SMALL($AN98:$BK98,15)&gt;100," *",""))</f>
        <v/>
      </c>
      <c r="AD98">
        <f>IF(16&gt;$N98,"",INDEX(Engine!$B$20:$B$43,MOD(SMALL($AN98:$BK98,16),100))&amp;IF(SMALL($AN98:$BK98,16)&gt;100," *",""))</f>
        <v/>
      </c>
      <c r="AE98">
        <f>IF(17&gt;$N98,"",INDEX(Engine!$B$20:$B$43,MOD(SMALL($AN98:$BK98,17),100))&amp;IF(SMALL($AN98:$BK98,17)&gt;100," *",""))</f>
        <v/>
      </c>
      <c r="AF98">
        <f>IF(18&gt;$N98,"",INDEX(Engine!$B$20:$B$43,MOD(SMALL($AN98:$BK98,18),100))&amp;IF(SMALL($AN98:$BK98,18)&gt;100," *",""))</f>
        <v/>
      </c>
      <c r="AG98">
        <f>IF(19&gt;$N98,"",INDEX(Engine!$B$20:$B$43,MOD(SMALL($AN98:$BK98,19),100))&amp;IF(SMALL($AN98:$BK98,19)&gt;100," *",""))</f>
        <v/>
      </c>
      <c r="AH98">
        <f>IF(20&gt;$N98,"",INDEX(Engine!$B$20:$B$43,MOD(SMALL($AN98:$BK98,20),100))&amp;IF(SMALL($AN98:$BK98,20)&gt;100," *",""))</f>
        <v/>
      </c>
      <c r="AI98">
        <f>IF(21&gt;$N98,"",INDEX(Engine!$B$20:$B$43,MOD(SMALL($AN98:$BK98,21),100))&amp;IF(SMALL($AN98:$BK98,21)&gt;100," *",""))</f>
        <v/>
      </c>
      <c r="AJ98">
        <f>IF(22&gt;$N98,"",INDEX(Engine!$B$20:$B$43,MOD(SMALL($AN98:$BK98,22),100))&amp;IF(SMALL($AN98:$BK98,22)&gt;100," *",""))</f>
        <v/>
      </c>
      <c r="AK98">
        <f>IF(23&gt;$N98,"",INDEX(Engine!$B$20:$B$43,MOD(SMALL($AN98:$BK98,23),100))&amp;IF(SMALL($AN98:$BK98,23)&gt;100," *",""))</f>
        <v/>
      </c>
      <c r="AL98">
        <f>IF(24&gt;$N98,"",INDEX(Engine!$B$20:$B$43,MOD(SMALL($AN98:$BK98,24),100))&amp;IF(SMALL($AN98:$BK98,24)&gt;100," *",""))</f>
        <v/>
      </c>
      <c r="AN98">
        <f>IF(AND($C20=1,INDEX(Setup!$O$6:$AL$23,13,1)&lt;&gt;"",L20=0),1+IF(INDEX(Setup!$O$6:$AL$23,13,1)="T",100,0),"")</f>
        <v/>
      </c>
      <c r="AO98">
        <f>IF(AND($C21=1,INDEX(Setup!$O$6:$AL$23,13,2)&lt;&gt;"",L21=0),2+IF(INDEX(Setup!$O$6:$AL$23,13,2)="T",100,0),"")</f>
        <v/>
      </c>
      <c r="AP98">
        <f>IF(AND($C22=1,INDEX(Setup!$O$6:$AL$23,13,3)&lt;&gt;"",L22=0),3+IF(INDEX(Setup!$O$6:$AL$23,13,3)="T",100,0),"")</f>
        <v/>
      </c>
      <c r="AQ98">
        <f>IF(AND($C23=1,INDEX(Setup!$O$6:$AL$23,13,4)&lt;&gt;"",L23=0),4+IF(INDEX(Setup!$O$6:$AL$23,13,4)="T",100,0),"")</f>
        <v/>
      </c>
      <c r="AR98">
        <f>IF(AND($C24=1,INDEX(Setup!$O$6:$AL$23,13,5)&lt;&gt;"",L24=0),5+IF(INDEX(Setup!$O$6:$AL$23,13,5)="T",100,0),"")</f>
        <v/>
      </c>
      <c r="AS98">
        <f>IF(AND($C25=1,INDEX(Setup!$O$6:$AL$23,13,6)&lt;&gt;"",L25=0),6+IF(INDEX(Setup!$O$6:$AL$23,13,6)="T",100,0),"")</f>
        <v/>
      </c>
      <c r="AT98">
        <f>IF(AND($C26=1,INDEX(Setup!$O$6:$AL$23,13,7)&lt;&gt;"",L26=0),7+IF(INDEX(Setup!$O$6:$AL$23,13,7)="T",100,0),"")</f>
        <v/>
      </c>
      <c r="AU98">
        <f>IF(AND($C27=1,INDEX(Setup!$O$6:$AL$23,13,8)&lt;&gt;"",L27=0),8+IF(INDEX(Setup!$O$6:$AL$23,13,8)="T",100,0),"")</f>
        <v/>
      </c>
      <c r="AV98">
        <f>IF(AND($C28=1,INDEX(Setup!$O$6:$AL$23,13,9)&lt;&gt;"",L28=0),9+IF(INDEX(Setup!$O$6:$AL$23,13,9)="T",100,0),"")</f>
        <v/>
      </c>
      <c r="AW98">
        <f>IF(AND($C29=1,INDEX(Setup!$O$6:$AL$23,13,10)&lt;&gt;"",L29=0),10+IF(INDEX(Setup!$O$6:$AL$23,13,10)="T",100,0),"")</f>
        <v/>
      </c>
      <c r="AX98">
        <f>IF(AND($C30=1,INDEX(Setup!$O$6:$AL$23,13,11)&lt;&gt;"",L30=0),11+IF(INDEX(Setup!$O$6:$AL$23,13,11)="T",100,0),"")</f>
        <v/>
      </c>
      <c r="AY98">
        <f>IF(AND($C31=1,INDEX(Setup!$O$6:$AL$23,13,12)&lt;&gt;"",L31=0),12+IF(INDEX(Setup!$O$6:$AL$23,13,12)="T",100,0),"")</f>
        <v/>
      </c>
      <c r="AZ98">
        <f>IF(AND($C32=1,INDEX(Setup!$O$6:$AL$23,13,13)&lt;&gt;"",L32=0),13+IF(INDEX(Setup!$O$6:$AL$23,13,13)="T",100,0),"")</f>
        <v/>
      </c>
      <c r="BA98">
        <f>IF(AND($C33=1,INDEX(Setup!$O$6:$AL$23,13,14)&lt;&gt;"",L33=0),14+IF(INDEX(Setup!$O$6:$AL$23,13,14)="T",100,0),"")</f>
        <v/>
      </c>
      <c r="BB98">
        <f>IF(AND($C34=1,INDEX(Setup!$O$6:$AL$23,13,15)&lt;&gt;"",L34=0),15+IF(INDEX(Setup!$O$6:$AL$23,13,15)="T",100,0),"")</f>
        <v/>
      </c>
      <c r="BC98">
        <f>IF(AND($C35=1,INDEX(Setup!$O$6:$AL$23,13,16)&lt;&gt;"",L35=0),16+IF(INDEX(Setup!$O$6:$AL$23,13,16)="T",100,0),"")</f>
        <v/>
      </c>
      <c r="BD98">
        <f>IF(AND($C36=1,INDEX(Setup!$O$6:$AL$23,13,17)&lt;&gt;"",L36=0),17+IF(INDEX(Setup!$O$6:$AL$23,13,17)="T",100,0),"")</f>
        <v/>
      </c>
      <c r="BE98">
        <f>IF(AND($C37=1,INDEX(Setup!$O$6:$AL$23,13,18)&lt;&gt;"",L37=0),18+IF(INDEX(Setup!$O$6:$AL$23,13,18)="T",100,0),"")</f>
        <v/>
      </c>
      <c r="BF98">
        <f>IF(AND($C38=1,INDEX(Setup!$O$6:$AL$23,13,19)&lt;&gt;"",L38=0),19+IF(INDEX(Setup!$O$6:$AL$23,13,19)="T",100,0),"")</f>
        <v/>
      </c>
      <c r="BG98">
        <f>IF(AND($C39=1,INDEX(Setup!$O$6:$AL$23,13,20)&lt;&gt;"",L39=0),20+IF(INDEX(Setup!$O$6:$AL$23,13,20)="T",100,0),"")</f>
        <v/>
      </c>
      <c r="BH98">
        <f>IF(AND($C40=1,INDEX(Setup!$O$6:$AL$23,13,21)&lt;&gt;"",L40=0),21+IF(INDEX(Setup!$O$6:$AL$23,13,21)="T",100,0),"")</f>
        <v/>
      </c>
      <c r="BI98">
        <f>IF(AND($C41=1,INDEX(Setup!$O$6:$AL$23,13,22)&lt;&gt;"",L41=0),22+IF(INDEX(Setup!$O$6:$AL$23,13,22)="T",100,0),"")</f>
        <v/>
      </c>
      <c r="BJ98">
        <f>IF(AND($C42=1,INDEX(Setup!$O$6:$AL$23,13,23)&lt;&gt;"",L42=0),23+IF(INDEX(Setup!$O$6:$AL$23,13,23)="T",100,0),"")</f>
        <v/>
      </c>
      <c r="BK98">
        <f>IF(AND($C43=1,INDEX(Setup!$O$6:$AL$23,13,24)&lt;&gt;"",L43=0),24+IF(INDEX(Setup!$O$6:$AL$23,13,24)="T",100,0),"")</f>
        <v/>
      </c>
      <c r="BM98">
        <f>IF(AND(AN98&lt;&gt;"",COUNTIF($G$59:$I$59,$B20)+COUNTIF($G$59:$I$59,$B20&amp;" ~*")=0),($R20+COUNTIF($H$86:$H97,$B20)+COUNTIF($H$86:$H97,$B20&amp;" ~*"))*1000+IF(AN98&gt;100,500,0)+1,"")</f>
        <v/>
      </c>
      <c r="BN98">
        <f>IF(AND(AO98&lt;&gt;"",COUNTIF($G$59:$I$59,$B21)+COUNTIF($G$59:$I$59,$B21&amp;" ~*")=0),($R21+COUNTIF($H$86:$H97,$B21)+COUNTIF($H$86:$H97,$B21&amp;" ~*"))*1000+IF(AO98&gt;100,500,0)+2,"")</f>
        <v/>
      </c>
      <c r="BO98">
        <f>IF(AND(AP98&lt;&gt;"",COUNTIF($G$59:$I$59,$B22)+COUNTIF($G$59:$I$59,$B22&amp;" ~*")=0),($R22+COUNTIF($H$86:$H97,$B22)+COUNTIF($H$86:$H97,$B22&amp;" ~*"))*1000+IF(AP98&gt;100,500,0)+3,"")</f>
        <v/>
      </c>
      <c r="BP98">
        <f>IF(AND(AQ98&lt;&gt;"",COUNTIF($G$59:$I$59,$B23)+COUNTIF($G$59:$I$59,$B23&amp;" ~*")=0),($R23+COUNTIF($H$86:$H97,$B23)+COUNTIF($H$86:$H97,$B23&amp;" ~*"))*1000+IF(AQ98&gt;100,500,0)+4,"")</f>
        <v/>
      </c>
      <c r="BQ98">
        <f>IF(AND(AR98&lt;&gt;"",COUNTIF($G$59:$I$59,$B24)+COUNTIF($G$59:$I$59,$B24&amp;" ~*")=0),($R24+COUNTIF($H$86:$H97,$B24)+COUNTIF($H$86:$H97,$B24&amp;" ~*"))*1000+IF(AR98&gt;100,500,0)+5,"")</f>
        <v/>
      </c>
      <c r="BR98">
        <f>IF(AND(AS98&lt;&gt;"",COUNTIF($G$59:$I$59,$B25)+COUNTIF($G$59:$I$59,$B25&amp;" ~*")=0),($R25+COUNTIF($H$86:$H97,$B25)+COUNTIF($H$86:$H97,$B25&amp;" ~*"))*1000+IF(AS98&gt;100,500,0)+6,"")</f>
        <v/>
      </c>
      <c r="BS98">
        <f>IF(AND(AT98&lt;&gt;"",COUNTIF($G$59:$I$59,$B26)+COUNTIF($G$59:$I$59,$B26&amp;" ~*")=0),($R26+COUNTIF($H$86:$H97,$B26)+COUNTIF($H$86:$H97,$B26&amp;" ~*"))*1000+IF(AT98&gt;100,500,0)+7,"")</f>
        <v/>
      </c>
      <c r="BT98">
        <f>IF(AND(AU98&lt;&gt;"",COUNTIF($G$59:$I$59,$B27)+COUNTIF($G$59:$I$59,$B27&amp;" ~*")=0),($R27+COUNTIF($H$86:$H97,$B27)+COUNTIF($H$86:$H97,$B27&amp;" ~*"))*1000+IF(AU98&gt;100,500,0)+8,"")</f>
        <v/>
      </c>
      <c r="BU98">
        <f>IF(AND(AV98&lt;&gt;"",COUNTIF($G$59:$I$59,$B28)+COUNTIF($G$59:$I$59,$B28&amp;" ~*")=0),($R28+COUNTIF($H$86:$H97,$B28)+COUNTIF($H$86:$H97,$B28&amp;" ~*"))*1000+IF(AV98&gt;100,500,0)+9,"")</f>
        <v/>
      </c>
      <c r="BV98">
        <f>IF(AND(AW98&lt;&gt;"",COUNTIF($G$59:$I$59,$B29)+COUNTIF($G$59:$I$59,$B29&amp;" ~*")=0),($R29+COUNTIF($H$86:$H97,$B29)+COUNTIF($H$86:$H97,$B29&amp;" ~*"))*1000+IF(AW98&gt;100,500,0)+10,"")</f>
        <v/>
      </c>
      <c r="BW98">
        <f>IF(AND(AX98&lt;&gt;"",COUNTIF($G$59:$I$59,$B30)+COUNTIF($G$59:$I$59,$B30&amp;" ~*")=0),($R30+COUNTIF($H$86:$H97,$B30)+COUNTIF($H$86:$H97,$B30&amp;" ~*"))*1000+IF(AX98&gt;100,500,0)+11,"")</f>
        <v/>
      </c>
      <c r="BX98">
        <f>IF(AND(AY98&lt;&gt;"",COUNTIF($G$59:$I$59,$B31)+COUNTIF($G$59:$I$59,$B31&amp;" ~*")=0),($R31+COUNTIF($H$86:$H97,$B31)+COUNTIF($H$86:$H97,$B31&amp;" ~*"))*1000+IF(AY98&gt;100,500,0)+12,"")</f>
        <v/>
      </c>
      <c r="BY98">
        <f>IF(AND(AZ98&lt;&gt;"",COUNTIF($G$59:$I$59,$B32)+COUNTIF($G$59:$I$59,$B32&amp;" ~*")=0),($R32+COUNTIF($H$86:$H97,$B32)+COUNTIF($H$86:$H97,$B32&amp;" ~*"))*1000+IF(AZ98&gt;100,500,0)+13,"")</f>
        <v/>
      </c>
      <c r="BZ98">
        <f>IF(AND(BA98&lt;&gt;"",COUNTIF($G$59:$I$59,$B33)+COUNTIF($G$59:$I$59,$B33&amp;" ~*")=0),($R33+COUNTIF($H$86:$H97,$B33)+COUNTIF($H$86:$H97,$B33&amp;" ~*"))*1000+IF(BA98&gt;100,500,0)+14,"")</f>
        <v/>
      </c>
      <c r="CA98">
        <f>IF(AND(BB98&lt;&gt;"",COUNTIF($G$59:$I$59,$B34)+COUNTIF($G$59:$I$59,$B34&amp;" ~*")=0),($R34+COUNTIF($H$86:$H97,$B34)+COUNTIF($H$86:$H97,$B34&amp;" ~*"))*1000+IF(BB98&gt;100,500,0)+15,"")</f>
        <v/>
      </c>
      <c r="CB98">
        <f>IF(AND(BC98&lt;&gt;"",COUNTIF($G$59:$I$59,$B35)+COUNTIF($G$59:$I$59,$B35&amp;" ~*")=0),($R35+COUNTIF($H$86:$H97,$B35)+COUNTIF($H$86:$H97,$B35&amp;" ~*"))*1000+IF(BC98&gt;100,500,0)+16,"")</f>
        <v/>
      </c>
      <c r="CC98">
        <f>IF(AND(BD98&lt;&gt;"",COUNTIF($G$59:$I$59,$B36)+COUNTIF($G$59:$I$59,$B36&amp;" ~*")=0),($R36+COUNTIF($H$86:$H97,$B36)+COUNTIF($H$86:$H97,$B36&amp;" ~*"))*1000+IF(BD98&gt;100,500,0)+17,"")</f>
        <v/>
      </c>
      <c r="CD98">
        <f>IF(AND(BE98&lt;&gt;"",COUNTIF($G$59:$I$59,$B37)+COUNTIF($G$59:$I$59,$B37&amp;" ~*")=0),($R37+COUNTIF($H$86:$H97,$B37)+COUNTIF($H$86:$H97,$B37&amp;" ~*"))*1000+IF(BE98&gt;100,500,0)+18,"")</f>
        <v/>
      </c>
      <c r="CE98">
        <f>IF(AND(BF98&lt;&gt;"",COUNTIF($G$59:$I$59,$B38)+COUNTIF($G$59:$I$59,$B38&amp;" ~*")=0),($R38+COUNTIF($H$86:$H97,$B38)+COUNTIF($H$86:$H97,$B38&amp;" ~*"))*1000+IF(BF98&gt;100,500,0)+19,"")</f>
        <v/>
      </c>
      <c r="CF98">
        <f>IF(AND(BG98&lt;&gt;"",COUNTIF($G$59:$I$59,$B39)+COUNTIF($G$59:$I$59,$B39&amp;" ~*")=0),($R39+COUNTIF($H$86:$H97,$B39)+COUNTIF($H$86:$H97,$B39&amp;" ~*"))*1000+IF(BG98&gt;100,500,0)+20,"")</f>
        <v/>
      </c>
      <c r="CG98">
        <f>IF(AND(BH98&lt;&gt;"",COUNTIF($G$59:$I$59,$B40)+COUNTIF($G$59:$I$59,$B40&amp;" ~*")=0),($R40+COUNTIF($H$86:$H97,$B40)+COUNTIF($H$86:$H97,$B40&amp;" ~*"))*1000+IF(BH98&gt;100,500,0)+21,"")</f>
        <v/>
      </c>
      <c r="CH98">
        <f>IF(AND(BI98&lt;&gt;"",COUNTIF($G$59:$I$59,$B41)+COUNTIF($G$59:$I$59,$B41&amp;" ~*")=0),($R41+COUNTIF($H$86:$H97,$B41)+COUNTIF($H$86:$H97,$B41&amp;" ~*"))*1000+IF(BI98&gt;100,500,0)+22,"")</f>
        <v/>
      </c>
      <c r="CI98">
        <f>IF(AND(BJ98&lt;&gt;"",COUNTIF($G$59:$I$59,$B42)+COUNTIF($G$59:$I$59,$B42&amp;" ~*")=0),($R42+COUNTIF($H$86:$H97,$B42)+COUNTIF($H$86:$H97,$B42&amp;" ~*"))*1000+IF(BJ98&gt;100,500,0)+23,"")</f>
        <v/>
      </c>
      <c r="CJ98">
        <f>IF(AND(BK98&lt;&gt;"",COUNTIF($G$59:$I$59,$B43)+COUNTIF($G$59:$I$59,$B43&amp;" ~*")=0),($R43+COUNTIF($H$86:$H97,$B43)+COUNTIF($H$86:$H97,$B43&amp;" ~*"))*1000+IF(BK98&gt;100,500,0)+24,"")</f>
        <v/>
      </c>
    </row>
    <row r="99">
      <c r="A99" t="n">
        <v>2</v>
      </c>
      <c r="B99" t="n">
        <v>14</v>
      </c>
      <c r="C99">
        <f>$B$60</f>
        <v/>
      </c>
      <c r="D99" t="inlineStr">
        <is>
          <t>Tue</t>
        </is>
      </c>
      <c r="E99">
        <f>IF(C99="","",N($AB$60))</f>
        <v/>
      </c>
      <c r="F99">
        <f>IF(C99="","",COUNTIF($G$60:$I$60,"?*"))</f>
        <v/>
      </c>
      <c r="G99">
        <f>IF(C99="","",MAX(0,E99-F99))</f>
        <v/>
      </c>
      <c r="H99">
        <f>IF(N(G99)=0,"",IF(COUNT(BM99:CJ99)=0,"no-one eligible",INDEX(Engine!$B$20:$B$43,MOD(MIN(BM99:CJ99),500))&amp;IF(MOD(MIN(BM99:CJ99),1000)&gt;=500," *","")))</f>
        <v/>
      </c>
      <c r="I99">
        <f>IF(N(G99)&gt;0,COUNTIF($G$68:G99,"&gt;0"),"")</f>
        <v/>
      </c>
      <c r="J99">
        <f>IF(C99="","",IF($G$60="",0,IF(IFERROR(INDEX(Setup!$O$6:$AL$23,14,MATCH(SUBSTITUTE($G$60," *",""),Setup!$B$6:$B$29,0)),"")="",1,0))+IF($H$60="",0,IF(IFERROR(INDEX(Setup!$O$6:$AL$23,14,MATCH(SUBSTITUTE($H$60," *",""),Setup!$B$6:$B$29,0)),"")="",1,0))+IF($I$60="",0,IF(IFERROR(INDEX(Setup!$O$6:$AL$23,14,MATCH(SUBSTITUTE($I$60," *",""),Setup!$B$6:$B$29,0)),"")="",1,0)))</f>
        <v/>
      </c>
      <c r="K99">
        <f>IF($B$12+1=TODAY(),1,0)</f>
        <v/>
      </c>
      <c r="N99">
        <f>COUNT($AN99:$BK99)</f>
        <v/>
      </c>
      <c r="O99">
        <f>IF(1&gt;$N99,"",INDEX(Engine!$B$20:$B$43,MOD(SMALL($AN99:$BK99,1),100))&amp;IF(SMALL($AN99:$BK99,1)&gt;100," *",""))</f>
        <v/>
      </c>
      <c r="P99">
        <f>IF(2&gt;$N99,"",INDEX(Engine!$B$20:$B$43,MOD(SMALL($AN99:$BK99,2),100))&amp;IF(SMALL($AN99:$BK99,2)&gt;100," *",""))</f>
        <v/>
      </c>
      <c r="Q99">
        <f>IF(3&gt;$N99,"",INDEX(Engine!$B$20:$B$43,MOD(SMALL($AN99:$BK99,3),100))&amp;IF(SMALL($AN99:$BK99,3)&gt;100," *",""))</f>
        <v/>
      </c>
      <c r="R99">
        <f>IF(4&gt;$N99,"",INDEX(Engine!$B$20:$B$43,MOD(SMALL($AN99:$BK99,4),100))&amp;IF(SMALL($AN99:$BK99,4)&gt;100," *",""))</f>
        <v/>
      </c>
      <c r="S99">
        <f>IF(5&gt;$N99,"",INDEX(Engine!$B$20:$B$43,MOD(SMALL($AN99:$BK99,5),100))&amp;IF(SMALL($AN99:$BK99,5)&gt;100," *",""))</f>
        <v/>
      </c>
      <c r="T99">
        <f>IF(6&gt;$N99,"",INDEX(Engine!$B$20:$B$43,MOD(SMALL($AN99:$BK99,6),100))&amp;IF(SMALL($AN99:$BK99,6)&gt;100," *",""))</f>
        <v/>
      </c>
      <c r="U99">
        <f>IF(7&gt;$N99,"",INDEX(Engine!$B$20:$B$43,MOD(SMALL($AN99:$BK99,7),100))&amp;IF(SMALL($AN99:$BK99,7)&gt;100," *",""))</f>
        <v/>
      </c>
      <c r="V99">
        <f>IF(8&gt;$N99,"",INDEX(Engine!$B$20:$B$43,MOD(SMALL($AN99:$BK99,8),100))&amp;IF(SMALL($AN99:$BK99,8)&gt;100," *",""))</f>
        <v/>
      </c>
      <c r="W99">
        <f>IF(9&gt;$N99,"",INDEX(Engine!$B$20:$B$43,MOD(SMALL($AN99:$BK99,9),100))&amp;IF(SMALL($AN99:$BK99,9)&gt;100," *",""))</f>
        <v/>
      </c>
      <c r="X99">
        <f>IF(10&gt;$N99,"",INDEX(Engine!$B$20:$B$43,MOD(SMALL($AN99:$BK99,10),100))&amp;IF(SMALL($AN99:$BK99,10)&gt;100," *",""))</f>
        <v/>
      </c>
      <c r="Y99">
        <f>IF(11&gt;$N99,"",INDEX(Engine!$B$20:$B$43,MOD(SMALL($AN99:$BK99,11),100))&amp;IF(SMALL($AN99:$BK99,11)&gt;100," *",""))</f>
        <v/>
      </c>
      <c r="Z99">
        <f>IF(12&gt;$N99,"",INDEX(Engine!$B$20:$B$43,MOD(SMALL($AN99:$BK99,12),100))&amp;IF(SMALL($AN99:$BK99,12)&gt;100," *",""))</f>
        <v/>
      </c>
      <c r="AA99">
        <f>IF(13&gt;$N99,"",INDEX(Engine!$B$20:$B$43,MOD(SMALL($AN99:$BK99,13),100))&amp;IF(SMALL($AN99:$BK99,13)&gt;100," *",""))</f>
        <v/>
      </c>
      <c r="AB99">
        <f>IF(14&gt;$N99,"",INDEX(Engine!$B$20:$B$43,MOD(SMALL($AN99:$BK99,14),100))&amp;IF(SMALL($AN99:$BK99,14)&gt;100," *",""))</f>
        <v/>
      </c>
      <c r="AC99">
        <f>IF(15&gt;$N99,"",INDEX(Engine!$B$20:$B$43,MOD(SMALL($AN99:$BK99,15),100))&amp;IF(SMALL($AN99:$BK99,15)&gt;100," *",""))</f>
        <v/>
      </c>
      <c r="AD99">
        <f>IF(16&gt;$N99,"",INDEX(Engine!$B$20:$B$43,MOD(SMALL($AN99:$BK99,16),100))&amp;IF(SMALL($AN99:$BK99,16)&gt;100," *",""))</f>
        <v/>
      </c>
      <c r="AE99">
        <f>IF(17&gt;$N99,"",INDEX(Engine!$B$20:$B$43,MOD(SMALL($AN99:$BK99,17),100))&amp;IF(SMALL($AN99:$BK99,17)&gt;100," *",""))</f>
        <v/>
      </c>
      <c r="AF99">
        <f>IF(18&gt;$N99,"",INDEX(Engine!$B$20:$B$43,MOD(SMALL($AN99:$BK99,18),100))&amp;IF(SMALL($AN99:$BK99,18)&gt;100," *",""))</f>
        <v/>
      </c>
      <c r="AG99">
        <f>IF(19&gt;$N99,"",INDEX(Engine!$B$20:$B$43,MOD(SMALL($AN99:$BK99,19),100))&amp;IF(SMALL($AN99:$BK99,19)&gt;100," *",""))</f>
        <v/>
      </c>
      <c r="AH99">
        <f>IF(20&gt;$N99,"",INDEX(Engine!$B$20:$B$43,MOD(SMALL($AN99:$BK99,20),100))&amp;IF(SMALL($AN99:$BK99,20)&gt;100," *",""))</f>
        <v/>
      </c>
      <c r="AI99">
        <f>IF(21&gt;$N99,"",INDEX(Engine!$B$20:$B$43,MOD(SMALL($AN99:$BK99,21),100))&amp;IF(SMALL($AN99:$BK99,21)&gt;100," *",""))</f>
        <v/>
      </c>
      <c r="AJ99">
        <f>IF(22&gt;$N99,"",INDEX(Engine!$B$20:$B$43,MOD(SMALL($AN99:$BK99,22),100))&amp;IF(SMALL($AN99:$BK99,22)&gt;100," *",""))</f>
        <v/>
      </c>
      <c r="AK99">
        <f>IF(23&gt;$N99,"",INDEX(Engine!$B$20:$B$43,MOD(SMALL($AN99:$BK99,23),100))&amp;IF(SMALL($AN99:$BK99,23)&gt;100," *",""))</f>
        <v/>
      </c>
      <c r="AL99">
        <f>IF(24&gt;$N99,"",INDEX(Engine!$B$20:$B$43,MOD(SMALL($AN99:$BK99,24),100))&amp;IF(SMALL($AN99:$BK99,24)&gt;100," *",""))</f>
        <v/>
      </c>
      <c r="AN99">
        <f>IF(AND($C20=1,INDEX(Setup!$O$6:$AL$23,14,1)&lt;&gt;"",L20=0),1+IF(INDEX(Setup!$O$6:$AL$23,14,1)="T",100,0),"")</f>
        <v/>
      </c>
      <c r="AO99">
        <f>IF(AND($C21=1,INDEX(Setup!$O$6:$AL$23,14,2)&lt;&gt;"",L21=0),2+IF(INDEX(Setup!$O$6:$AL$23,14,2)="T",100,0),"")</f>
        <v/>
      </c>
      <c r="AP99">
        <f>IF(AND($C22=1,INDEX(Setup!$O$6:$AL$23,14,3)&lt;&gt;"",L22=0),3+IF(INDEX(Setup!$O$6:$AL$23,14,3)="T",100,0),"")</f>
        <v/>
      </c>
      <c r="AQ99">
        <f>IF(AND($C23=1,INDEX(Setup!$O$6:$AL$23,14,4)&lt;&gt;"",L23=0),4+IF(INDEX(Setup!$O$6:$AL$23,14,4)="T",100,0),"")</f>
        <v/>
      </c>
      <c r="AR99">
        <f>IF(AND($C24=1,INDEX(Setup!$O$6:$AL$23,14,5)&lt;&gt;"",L24=0),5+IF(INDEX(Setup!$O$6:$AL$23,14,5)="T",100,0),"")</f>
        <v/>
      </c>
      <c r="AS99">
        <f>IF(AND($C25=1,INDEX(Setup!$O$6:$AL$23,14,6)&lt;&gt;"",L25=0),6+IF(INDEX(Setup!$O$6:$AL$23,14,6)="T",100,0),"")</f>
        <v/>
      </c>
      <c r="AT99">
        <f>IF(AND($C26=1,INDEX(Setup!$O$6:$AL$23,14,7)&lt;&gt;"",L26=0),7+IF(INDEX(Setup!$O$6:$AL$23,14,7)="T",100,0),"")</f>
        <v/>
      </c>
      <c r="AU99">
        <f>IF(AND($C27=1,INDEX(Setup!$O$6:$AL$23,14,8)&lt;&gt;"",L27=0),8+IF(INDEX(Setup!$O$6:$AL$23,14,8)="T",100,0),"")</f>
        <v/>
      </c>
      <c r="AV99">
        <f>IF(AND($C28=1,INDEX(Setup!$O$6:$AL$23,14,9)&lt;&gt;"",L28=0),9+IF(INDEX(Setup!$O$6:$AL$23,14,9)="T",100,0),"")</f>
        <v/>
      </c>
      <c r="AW99">
        <f>IF(AND($C29=1,INDEX(Setup!$O$6:$AL$23,14,10)&lt;&gt;"",L29=0),10+IF(INDEX(Setup!$O$6:$AL$23,14,10)="T",100,0),"")</f>
        <v/>
      </c>
      <c r="AX99">
        <f>IF(AND($C30=1,INDEX(Setup!$O$6:$AL$23,14,11)&lt;&gt;"",L30=0),11+IF(INDEX(Setup!$O$6:$AL$23,14,11)="T",100,0),"")</f>
        <v/>
      </c>
      <c r="AY99">
        <f>IF(AND($C31=1,INDEX(Setup!$O$6:$AL$23,14,12)&lt;&gt;"",L31=0),12+IF(INDEX(Setup!$O$6:$AL$23,14,12)="T",100,0),"")</f>
        <v/>
      </c>
      <c r="AZ99">
        <f>IF(AND($C32=1,INDEX(Setup!$O$6:$AL$23,14,13)&lt;&gt;"",L32=0),13+IF(INDEX(Setup!$O$6:$AL$23,14,13)="T",100,0),"")</f>
        <v/>
      </c>
      <c r="BA99">
        <f>IF(AND($C33=1,INDEX(Setup!$O$6:$AL$23,14,14)&lt;&gt;"",L33=0),14+IF(INDEX(Setup!$O$6:$AL$23,14,14)="T",100,0),"")</f>
        <v/>
      </c>
      <c r="BB99">
        <f>IF(AND($C34=1,INDEX(Setup!$O$6:$AL$23,14,15)&lt;&gt;"",L34=0),15+IF(INDEX(Setup!$O$6:$AL$23,14,15)="T",100,0),"")</f>
        <v/>
      </c>
      <c r="BC99">
        <f>IF(AND($C35=1,INDEX(Setup!$O$6:$AL$23,14,16)&lt;&gt;"",L35=0),16+IF(INDEX(Setup!$O$6:$AL$23,14,16)="T",100,0),"")</f>
        <v/>
      </c>
      <c r="BD99">
        <f>IF(AND($C36=1,INDEX(Setup!$O$6:$AL$23,14,17)&lt;&gt;"",L36=0),17+IF(INDEX(Setup!$O$6:$AL$23,14,17)="T",100,0),"")</f>
        <v/>
      </c>
      <c r="BE99">
        <f>IF(AND($C37=1,INDEX(Setup!$O$6:$AL$23,14,18)&lt;&gt;"",L37=0),18+IF(INDEX(Setup!$O$6:$AL$23,14,18)="T",100,0),"")</f>
        <v/>
      </c>
      <c r="BF99">
        <f>IF(AND($C38=1,INDEX(Setup!$O$6:$AL$23,14,19)&lt;&gt;"",L38=0),19+IF(INDEX(Setup!$O$6:$AL$23,14,19)="T",100,0),"")</f>
        <v/>
      </c>
      <c r="BG99">
        <f>IF(AND($C39=1,INDEX(Setup!$O$6:$AL$23,14,20)&lt;&gt;"",L39=0),20+IF(INDEX(Setup!$O$6:$AL$23,14,20)="T",100,0),"")</f>
        <v/>
      </c>
      <c r="BH99">
        <f>IF(AND($C40=1,INDEX(Setup!$O$6:$AL$23,14,21)&lt;&gt;"",L40=0),21+IF(INDEX(Setup!$O$6:$AL$23,14,21)="T",100,0),"")</f>
        <v/>
      </c>
      <c r="BI99">
        <f>IF(AND($C41=1,INDEX(Setup!$O$6:$AL$23,14,22)&lt;&gt;"",L41=0),22+IF(INDEX(Setup!$O$6:$AL$23,14,22)="T",100,0),"")</f>
        <v/>
      </c>
      <c r="BJ99">
        <f>IF(AND($C42=1,INDEX(Setup!$O$6:$AL$23,14,23)&lt;&gt;"",L42=0),23+IF(INDEX(Setup!$O$6:$AL$23,14,23)="T",100,0),"")</f>
        <v/>
      </c>
      <c r="BK99">
        <f>IF(AND($C43=1,INDEX(Setup!$O$6:$AL$23,14,24)&lt;&gt;"",L43=0),24+IF(INDEX(Setup!$O$6:$AL$23,14,24)="T",100,0),"")</f>
        <v/>
      </c>
      <c r="BM99">
        <f>IF(AND(AN99&lt;&gt;"",COUNTIF($G$60:$I$60,$B20)+COUNTIF($G$60:$I$60,$B20&amp;" ~*")=0),($R20+COUNTIF($H$86:$H98,$B20)+COUNTIF($H$86:$H98,$B20&amp;" ~*"))*1000+IF(AN99&gt;100,500,0)+1,"")</f>
        <v/>
      </c>
      <c r="BN99">
        <f>IF(AND(AO99&lt;&gt;"",COUNTIF($G$60:$I$60,$B21)+COUNTIF($G$60:$I$60,$B21&amp;" ~*")=0),($R21+COUNTIF($H$86:$H98,$B21)+COUNTIF($H$86:$H98,$B21&amp;" ~*"))*1000+IF(AO99&gt;100,500,0)+2,"")</f>
        <v/>
      </c>
      <c r="BO99">
        <f>IF(AND(AP99&lt;&gt;"",COUNTIF($G$60:$I$60,$B22)+COUNTIF($G$60:$I$60,$B22&amp;" ~*")=0),($R22+COUNTIF($H$86:$H98,$B22)+COUNTIF($H$86:$H98,$B22&amp;" ~*"))*1000+IF(AP99&gt;100,500,0)+3,"")</f>
        <v/>
      </c>
      <c r="BP99">
        <f>IF(AND(AQ99&lt;&gt;"",COUNTIF($G$60:$I$60,$B23)+COUNTIF($G$60:$I$60,$B23&amp;" ~*")=0),($R23+COUNTIF($H$86:$H98,$B23)+COUNTIF($H$86:$H98,$B23&amp;" ~*"))*1000+IF(AQ99&gt;100,500,0)+4,"")</f>
        <v/>
      </c>
      <c r="BQ99">
        <f>IF(AND(AR99&lt;&gt;"",COUNTIF($G$60:$I$60,$B24)+COUNTIF($G$60:$I$60,$B24&amp;" ~*")=0),($R24+COUNTIF($H$86:$H98,$B24)+COUNTIF($H$86:$H98,$B24&amp;" ~*"))*1000+IF(AR99&gt;100,500,0)+5,"")</f>
        <v/>
      </c>
      <c r="BR99">
        <f>IF(AND(AS99&lt;&gt;"",COUNTIF($G$60:$I$60,$B25)+COUNTIF($G$60:$I$60,$B25&amp;" ~*")=0),($R25+COUNTIF($H$86:$H98,$B25)+COUNTIF($H$86:$H98,$B25&amp;" ~*"))*1000+IF(AS99&gt;100,500,0)+6,"")</f>
        <v/>
      </c>
      <c r="BS99">
        <f>IF(AND(AT99&lt;&gt;"",COUNTIF($G$60:$I$60,$B26)+COUNTIF($G$60:$I$60,$B26&amp;" ~*")=0),($R26+COUNTIF($H$86:$H98,$B26)+COUNTIF($H$86:$H98,$B26&amp;" ~*"))*1000+IF(AT99&gt;100,500,0)+7,"")</f>
        <v/>
      </c>
      <c r="BT99">
        <f>IF(AND(AU99&lt;&gt;"",COUNTIF($G$60:$I$60,$B27)+COUNTIF($G$60:$I$60,$B27&amp;" ~*")=0),($R27+COUNTIF($H$86:$H98,$B27)+COUNTIF($H$86:$H98,$B27&amp;" ~*"))*1000+IF(AU99&gt;100,500,0)+8,"")</f>
        <v/>
      </c>
      <c r="BU99">
        <f>IF(AND(AV99&lt;&gt;"",COUNTIF($G$60:$I$60,$B28)+COUNTIF($G$60:$I$60,$B28&amp;" ~*")=0),($R28+COUNTIF($H$86:$H98,$B28)+COUNTIF($H$86:$H98,$B28&amp;" ~*"))*1000+IF(AV99&gt;100,500,0)+9,"")</f>
        <v/>
      </c>
      <c r="BV99">
        <f>IF(AND(AW99&lt;&gt;"",COUNTIF($G$60:$I$60,$B29)+COUNTIF($G$60:$I$60,$B29&amp;" ~*")=0),($R29+COUNTIF($H$86:$H98,$B29)+COUNTIF($H$86:$H98,$B29&amp;" ~*"))*1000+IF(AW99&gt;100,500,0)+10,"")</f>
        <v/>
      </c>
      <c r="BW99">
        <f>IF(AND(AX99&lt;&gt;"",COUNTIF($G$60:$I$60,$B30)+COUNTIF($G$60:$I$60,$B30&amp;" ~*")=0),($R30+COUNTIF($H$86:$H98,$B30)+COUNTIF($H$86:$H98,$B30&amp;" ~*"))*1000+IF(AX99&gt;100,500,0)+11,"")</f>
        <v/>
      </c>
      <c r="BX99">
        <f>IF(AND(AY99&lt;&gt;"",COUNTIF($G$60:$I$60,$B31)+COUNTIF($G$60:$I$60,$B31&amp;" ~*")=0),($R31+COUNTIF($H$86:$H98,$B31)+COUNTIF($H$86:$H98,$B31&amp;" ~*"))*1000+IF(AY99&gt;100,500,0)+12,"")</f>
        <v/>
      </c>
      <c r="BY99">
        <f>IF(AND(AZ99&lt;&gt;"",COUNTIF($G$60:$I$60,$B32)+COUNTIF($G$60:$I$60,$B32&amp;" ~*")=0),($R32+COUNTIF($H$86:$H98,$B32)+COUNTIF($H$86:$H98,$B32&amp;" ~*"))*1000+IF(AZ99&gt;100,500,0)+13,"")</f>
        <v/>
      </c>
      <c r="BZ99">
        <f>IF(AND(BA99&lt;&gt;"",COUNTIF($G$60:$I$60,$B33)+COUNTIF($G$60:$I$60,$B33&amp;" ~*")=0),($R33+COUNTIF($H$86:$H98,$B33)+COUNTIF($H$86:$H98,$B33&amp;" ~*"))*1000+IF(BA99&gt;100,500,0)+14,"")</f>
        <v/>
      </c>
      <c r="CA99">
        <f>IF(AND(BB99&lt;&gt;"",COUNTIF($G$60:$I$60,$B34)+COUNTIF($G$60:$I$60,$B34&amp;" ~*")=0),($R34+COUNTIF($H$86:$H98,$B34)+COUNTIF($H$86:$H98,$B34&amp;" ~*"))*1000+IF(BB99&gt;100,500,0)+15,"")</f>
        <v/>
      </c>
      <c r="CB99">
        <f>IF(AND(BC99&lt;&gt;"",COUNTIF($G$60:$I$60,$B35)+COUNTIF($G$60:$I$60,$B35&amp;" ~*")=0),($R35+COUNTIF($H$86:$H98,$B35)+COUNTIF($H$86:$H98,$B35&amp;" ~*"))*1000+IF(BC99&gt;100,500,0)+16,"")</f>
        <v/>
      </c>
      <c r="CC99">
        <f>IF(AND(BD99&lt;&gt;"",COUNTIF($G$60:$I$60,$B36)+COUNTIF($G$60:$I$60,$B36&amp;" ~*")=0),($R36+COUNTIF($H$86:$H98,$B36)+COUNTIF($H$86:$H98,$B36&amp;" ~*"))*1000+IF(BD99&gt;100,500,0)+17,"")</f>
        <v/>
      </c>
      <c r="CD99">
        <f>IF(AND(BE99&lt;&gt;"",COUNTIF($G$60:$I$60,$B37)+COUNTIF($G$60:$I$60,$B37&amp;" ~*")=0),($R37+COUNTIF($H$86:$H98,$B37)+COUNTIF($H$86:$H98,$B37&amp;" ~*"))*1000+IF(BE99&gt;100,500,0)+18,"")</f>
        <v/>
      </c>
      <c r="CE99">
        <f>IF(AND(BF99&lt;&gt;"",COUNTIF($G$60:$I$60,$B38)+COUNTIF($G$60:$I$60,$B38&amp;" ~*")=0),($R38+COUNTIF($H$86:$H98,$B38)+COUNTIF($H$86:$H98,$B38&amp;" ~*"))*1000+IF(BF99&gt;100,500,0)+19,"")</f>
        <v/>
      </c>
      <c r="CF99">
        <f>IF(AND(BG99&lt;&gt;"",COUNTIF($G$60:$I$60,$B39)+COUNTIF($G$60:$I$60,$B39&amp;" ~*")=0),($R39+COUNTIF($H$86:$H98,$B39)+COUNTIF($H$86:$H98,$B39&amp;" ~*"))*1000+IF(BG99&gt;100,500,0)+20,"")</f>
        <v/>
      </c>
      <c r="CG99">
        <f>IF(AND(BH99&lt;&gt;"",COUNTIF($G$60:$I$60,$B40)+COUNTIF($G$60:$I$60,$B40&amp;" ~*")=0),($R40+COUNTIF($H$86:$H98,$B40)+COUNTIF($H$86:$H98,$B40&amp;" ~*"))*1000+IF(BH99&gt;100,500,0)+21,"")</f>
        <v/>
      </c>
      <c r="CH99">
        <f>IF(AND(BI99&lt;&gt;"",COUNTIF($G$60:$I$60,$B41)+COUNTIF($G$60:$I$60,$B41&amp;" ~*")=0),($R41+COUNTIF($H$86:$H98,$B41)+COUNTIF($H$86:$H98,$B41&amp;" ~*"))*1000+IF(BI99&gt;100,500,0)+22,"")</f>
        <v/>
      </c>
      <c r="CI99">
        <f>IF(AND(BJ99&lt;&gt;"",COUNTIF($G$60:$I$60,$B42)+COUNTIF($G$60:$I$60,$B42&amp;" ~*")=0),($R42+COUNTIF($H$86:$H98,$B42)+COUNTIF($H$86:$H98,$B42&amp;" ~*"))*1000+IF(BJ99&gt;100,500,0)+23,"")</f>
        <v/>
      </c>
      <c r="CJ99">
        <f>IF(AND(BK99&lt;&gt;"",COUNTIF($G$60:$I$60,$B43)+COUNTIF($G$60:$I$60,$B43&amp;" ~*")=0),($R43+COUNTIF($H$86:$H98,$B43)+COUNTIF($H$86:$H98,$B43&amp;" ~*"))*1000+IF(BK99&gt;100,500,0)+24,"")</f>
        <v/>
      </c>
    </row>
    <row r="100">
      <c r="A100" t="n">
        <v>2</v>
      </c>
      <c r="B100" t="n">
        <v>15</v>
      </c>
      <c r="C100">
        <f>$B$61</f>
        <v/>
      </c>
      <c r="D100" t="inlineStr">
        <is>
          <t>Tue</t>
        </is>
      </c>
      <c r="E100">
        <f>IF(C100="","",N($AB$61))</f>
        <v/>
      </c>
      <c r="F100">
        <f>IF(C100="","",COUNTIF($G$61:$I$61,"?*"))</f>
        <v/>
      </c>
      <c r="G100">
        <f>IF(C100="","",MAX(0,E100-F100))</f>
        <v/>
      </c>
      <c r="H100">
        <f>IF(N(G100)=0,"",IF(COUNT(BM100:CJ100)=0,"no-one eligible",INDEX(Engine!$B$20:$B$43,MOD(MIN(BM100:CJ100),500))&amp;IF(MOD(MIN(BM100:CJ100),1000)&gt;=500," *","")))</f>
        <v/>
      </c>
      <c r="I100">
        <f>IF(N(G100)&gt;0,COUNTIF($G$68:G100,"&gt;0"),"")</f>
        <v/>
      </c>
      <c r="J100">
        <f>IF(C100="","",IF($G$61="",0,IF(IFERROR(INDEX(Setup!$O$6:$AL$23,15,MATCH(SUBSTITUTE($G$61," *",""),Setup!$B$6:$B$29,0)),"")="",1,0))+IF($H$61="",0,IF(IFERROR(INDEX(Setup!$O$6:$AL$23,15,MATCH(SUBSTITUTE($H$61," *",""),Setup!$B$6:$B$29,0)),"")="",1,0))+IF($I$61="",0,IF(IFERROR(INDEX(Setup!$O$6:$AL$23,15,MATCH(SUBSTITUTE($I$61," *",""),Setup!$B$6:$B$29,0)),"")="",1,0)))</f>
        <v/>
      </c>
      <c r="K100">
        <f>IF($B$12+1=TODAY(),1,0)</f>
        <v/>
      </c>
      <c r="N100">
        <f>COUNT($AN100:$BK100)</f>
        <v/>
      </c>
      <c r="O100">
        <f>IF(1&gt;$N100,"",INDEX(Engine!$B$20:$B$43,MOD(SMALL($AN100:$BK100,1),100))&amp;IF(SMALL($AN100:$BK100,1)&gt;100," *",""))</f>
        <v/>
      </c>
      <c r="P100">
        <f>IF(2&gt;$N100,"",INDEX(Engine!$B$20:$B$43,MOD(SMALL($AN100:$BK100,2),100))&amp;IF(SMALL($AN100:$BK100,2)&gt;100," *",""))</f>
        <v/>
      </c>
      <c r="Q100">
        <f>IF(3&gt;$N100,"",INDEX(Engine!$B$20:$B$43,MOD(SMALL($AN100:$BK100,3),100))&amp;IF(SMALL($AN100:$BK100,3)&gt;100," *",""))</f>
        <v/>
      </c>
      <c r="R100">
        <f>IF(4&gt;$N100,"",INDEX(Engine!$B$20:$B$43,MOD(SMALL($AN100:$BK100,4),100))&amp;IF(SMALL($AN100:$BK100,4)&gt;100," *",""))</f>
        <v/>
      </c>
      <c r="S100">
        <f>IF(5&gt;$N100,"",INDEX(Engine!$B$20:$B$43,MOD(SMALL($AN100:$BK100,5),100))&amp;IF(SMALL($AN100:$BK100,5)&gt;100," *",""))</f>
        <v/>
      </c>
      <c r="T100">
        <f>IF(6&gt;$N100,"",INDEX(Engine!$B$20:$B$43,MOD(SMALL($AN100:$BK100,6),100))&amp;IF(SMALL($AN100:$BK100,6)&gt;100," *",""))</f>
        <v/>
      </c>
      <c r="U100">
        <f>IF(7&gt;$N100,"",INDEX(Engine!$B$20:$B$43,MOD(SMALL($AN100:$BK100,7),100))&amp;IF(SMALL($AN100:$BK100,7)&gt;100," *",""))</f>
        <v/>
      </c>
      <c r="V100">
        <f>IF(8&gt;$N100,"",INDEX(Engine!$B$20:$B$43,MOD(SMALL($AN100:$BK100,8),100))&amp;IF(SMALL($AN100:$BK100,8)&gt;100," *",""))</f>
        <v/>
      </c>
      <c r="W100">
        <f>IF(9&gt;$N100,"",INDEX(Engine!$B$20:$B$43,MOD(SMALL($AN100:$BK100,9),100))&amp;IF(SMALL($AN100:$BK100,9)&gt;100," *",""))</f>
        <v/>
      </c>
      <c r="X100">
        <f>IF(10&gt;$N100,"",INDEX(Engine!$B$20:$B$43,MOD(SMALL($AN100:$BK100,10),100))&amp;IF(SMALL($AN100:$BK100,10)&gt;100," *",""))</f>
        <v/>
      </c>
      <c r="Y100">
        <f>IF(11&gt;$N100,"",INDEX(Engine!$B$20:$B$43,MOD(SMALL($AN100:$BK100,11),100))&amp;IF(SMALL($AN100:$BK100,11)&gt;100," *",""))</f>
        <v/>
      </c>
      <c r="Z100">
        <f>IF(12&gt;$N100,"",INDEX(Engine!$B$20:$B$43,MOD(SMALL($AN100:$BK100,12),100))&amp;IF(SMALL($AN100:$BK100,12)&gt;100," *",""))</f>
        <v/>
      </c>
      <c r="AA100">
        <f>IF(13&gt;$N100,"",INDEX(Engine!$B$20:$B$43,MOD(SMALL($AN100:$BK100,13),100))&amp;IF(SMALL($AN100:$BK100,13)&gt;100," *",""))</f>
        <v/>
      </c>
      <c r="AB100">
        <f>IF(14&gt;$N100,"",INDEX(Engine!$B$20:$B$43,MOD(SMALL($AN100:$BK100,14),100))&amp;IF(SMALL($AN100:$BK100,14)&gt;100," *",""))</f>
        <v/>
      </c>
      <c r="AC100">
        <f>IF(15&gt;$N100,"",INDEX(Engine!$B$20:$B$43,MOD(SMALL($AN100:$BK100,15),100))&amp;IF(SMALL($AN100:$BK100,15)&gt;100," *",""))</f>
        <v/>
      </c>
      <c r="AD100">
        <f>IF(16&gt;$N100,"",INDEX(Engine!$B$20:$B$43,MOD(SMALL($AN100:$BK100,16),100))&amp;IF(SMALL($AN100:$BK100,16)&gt;100," *",""))</f>
        <v/>
      </c>
      <c r="AE100">
        <f>IF(17&gt;$N100,"",INDEX(Engine!$B$20:$B$43,MOD(SMALL($AN100:$BK100,17),100))&amp;IF(SMALL($AN100:$BK100,17)&gt;100," *",""))</f>
        <v/>
      </c>
      <c r="AF100">
        <f>IF(18&gt;$N100,"",INDEX(Engine!$B$20:$B$43,MOD(SMALL($AN100:$BK100,18),100))&amp;IF(SMALL($AN100:$BK100,18)&gt;100," *",""))</f>
        <v/>
      </c>
      <c r="AG100">
        <f>IF(19&gt;$N100,"",INDEX(Engine!$B$20:$B$43,MOD(SMALL($AN100:$BK100,19),100))&amp;IF(SMALL($AN100:$BK100,19)&gt;100," *",""))</f>
        <v/>
      </c>
      <c r="AH100">
        <f>IF(20&gt;$N100,"",INDEX(Engine!$B$20:$B$43,MOD(SMALL($AN100:$BK100,20),100))&amp;IF(SMALL($AN100:$BK100,20)&gt;100," *",""))</f>
        <v/>
      </c>
      <c r="AI100">
        <f>IF(21&gt;$N100,"",INDEX(Engine!$B$20:$B$43,MOD(SMALL($AN100:$BK100,21),100))&amp;IF(SMALL($AN100:$BK100,21)&gt;100," *",""))</f>
        <v/>
      </c>
      <c r="AJ100">
        <f>IF(22&gt;$N100,"",INDEX(Engine!$B$20:$B$43,MOD(SMALL($AN100:$BK100,22),100))&amp;IF(SMALL($AN100:$BK100,22)&gt;100," *",""))</f>
        <v/>
      </c>
      <c r="AK100">
        <f>IF(23&gt;$N100,"",INDEX(Engine!$B$20:$B$43,MOD(SMALL($AN100:$BK100,23),100))&amp;IF(SMALL($AN100:$BK100,23)&gt;100," *",""))</f>
        <v/>
      </c>
      <c r="AL100">
        <f>IF(24&gt;$N100,"",INDEX(Engine!$B$20:$B$43,MOD(SMALL($AN100:$BK100,24),100))&amp;IF(SMALL($AN100:$BK100,24)&gt;100," *",""))</f>
        <v/>
      </c>
      <c r="AN100">
        <f>IF(AND($C20=1,INDEX(Setup!$O$6:$AL$23,15,1)&lt;&gt;"",L20=0),1+IF(INDEX(Setup!$O$6:$AL$23,15,1)="T",100,0),"")</f>
        <v/>
      </c>
      <c r="AO100">
        <f>IF(AND($C21=1,INDEX(Setup!$O$6:$AL$23,15,2)&lt;&gt;"",L21=0),2+IF(INDEX(Setup!$O$6:$AL$23,15,2)="T",100,0),"")</f>
        <v/>
      </c>
      <c r="AP100">
        <f>IF(AND($C22=1,INDEX(Setup!$O$6:$AL$23,15,3)&lt;&gt;"",L22=0),3+IF(INDEX(Setup!$O$6:$AL$23,15,3)="T",100,0),"")</f>
        <v/>
      </c>
      <c r="AQ100">
        <f>IF(AND($C23=1,INDEX(Setup!$O$6:$AL$23,15,4)&lt;&gt;"",L23=0),4+IF(INDEX(Setup!$O$6:$AL$23,15,4)="T",100,0),"")</f>
        <v/>
      </c>
      <c r="AR100">
        <f>IF(AND($C24=1,INDEX(Setup!$O$6:$AL$23,15,5)&lt;&gt;"",L24=0),5+IF(INDEX(Setup!$O$6:$AL$23,15,5)="T",100,0),"")</f>
        <v/>
      </c>
      <c r="AS100">
        <f>IF(AND($C25=1,INDEX(Setup!$O$6:$AL$23,15,6)&lt;&gt;"",L25=0),6+IF(INDEX(Setup!$O$6:$AL$23,15,6)="T",100,0),"")</f>
        <v/>
      </c>
      <c r="AT100">
        <f>IF(AND($C26=1,INDEX(Setup!$O$6:$AL$23,15,7)&lt;&gt;"",L26=0),7+IF(INDEX(Setup!$O$6:$AL$23,15,7)="T",100,0),"")</f>
        <v/>
      </c>
      <c r="AU100">
        <f>IF(AND($C27=1,INDEX(Setup!$O$6:$AL$23,15,8)&lt;&gt;"",L27=0),8+IF(INDEX(Setup!$O$6:$AL$23,15,8)="T",100,0),"")</f>
        <v/>
      </c>
      <c r="AV100">
        <f>IF(AND($C28=1,INDEX(Setup!$O$6:$AL$23,15,9)&lt;&gt;"",L28=0),9+IF(INDEX(Setup!$O$6:$AL$23,15,9)="T",100,0),"")</f>
        <v/>
      </c>
      <c r="AW100">
        <f>IF(AND($C29=1,INDEX(Setup!$O$6:$AL$23,15,10)&lt;&gt;"",L29=0),10+IF(INDEX(Setup!$O$6:$AL$23,15,10)="T",100,0),"")</f>
        <v/>
      </c>
      <c r="AX100">
        <f>IF(AND($C30=1,INDEX(Setup!$O$6:$AL$23,15,11)&lt;&gt;"",L30=0),11+IF(INDEX(Setup!$O$6:$AL$23,15,11)="T",100,0),"")</f>
        <v/>
      </c>
      <c r="AY100">
        <f>IF(AND($C31=1,INDEX(Setup!$O$6:$AL$23,15,12)&lt;&gt;"",L31=0),12+IF(INDEX(Setup!$O$6:$AL$23,15,12)="T",100,0),"")</f>
        <v/>
      </c>
      <c r="AZ100">
        <f>IF(AND($C32=1,INDEX(Setup!$O$6:$AL$23,15,13)&lt;&gt;"",L32=0),13+IF(INDEX(Setup!$O$6:$AL$23,15,13)="T",100,0),"")</f>
        <v/>
      </c>
      <c r="BA100">
        <f>IF(AND($C33=1,INDEX(Setup!$O$6:$AL$23,15,14)&lt;&gt;"",L33=0),14+IF(INDEX(Setup!$O$6:$AL$23,15,14)="T",100,0),"")</f>
        <v/>
      </c>
      <c r="BB100">
        <f>IF(AND($C34=1,INDEX(Setup!$O$6:$AL$23,15,15)&lt;&gt;"",L34=0),15+IF(INDEX(Setup!$O$6:$AL$23,15,15)="T",100,0),"")</f>
        <v/>
      </c>
      <c r="BC100">
        <f>IF(AND($C35=1,INDEX(Setup!$O$6:$AL$23,15,16)&lt;&gt;"",L35=0),16+IF(INDEX(Setup!$O$6:$AL$23,15,16)="T",100,0),"")</f>
        <v/>
      </c>
      <c r="BD100">
        <f>IF(AND($C36=1,INDEX(Setup!$O$6:$AL$23,15,17)&lt;&gt;"",L36=0),17+IF(INDEX(Setup!$O$6:$AL$23,15,17)="T",100,0),"")</f>
        <v/>
      </c>
      <c r="BE100">
        <f>IF(AND($C37=1,INDEX(Setup!$O$6:$AL$23,15,18)&lt;&gt;"",L37=0),18+IF(INDEX(Setup!$O$6:$AL$23,15,18)="T",100,0),"")</f>
        <v/>
      </c>
      <c r="BF100">
        <f>IF(AND($C38=1,INDEX(Setup!$O$6:$AL$23,15,19)&lt;&gt;"",L38=0),19+IF(INDEX(Setup!$O$6:$AL$23,15,19)="T",100,0),"")</f>
        <v/>
      </c>
      <c r="BG100">
        <f>IF(AND($C39=1,INDEX(Setup!$O$6:$AL$23,15,20)&lt;&gt;"",L39=0),20+IF(INDEX(Setup!$O$6:$AL$23,15,20)="T",100,0),"")</f>
        <v/>
      </c>
      <c r="BH100">
        <f>IF(AND($C40=1,INDEX(Setup!$O$6:$AL$23,15,21)&lt;&gt;"",L40=0),21+IF(INDEX(Setup!$O$6:$AL$23,15,21)="T",100,0),"")</f>
        <v/>
      </c>
      <c r="BI100">
        <f>IF(AND($C41=1,INDEX(Setup!$O$6:$AL$23,15,22)&lt;&gt;"",L41=0),22+IF(INDEX(Setup!$O$6:$AL$23,15,22)="T",100,0),"")</f>
        <v/>
      </c>
      <c r="BJ100">
        <f>IF(AND($C42=1,INDEX(Setup!$O$6:$AL$23,15,23)&lt;&gt;"",L42=0),23+IF(INDEX(Setup!$O$6:$AL$23,15,23)="T",100,0),"")</f>
        <v/>
      </c>
      <c r="BK100">
        <f>IF(AND($C43=1,INDEX(Setup!$O$6:$AL$23,15,24)&lt;&gt;"",L43=0),24+IF(INDEX(Setup!$O$6:$AL$23,15,24)="T",100,0),"")</f>
        <v/>
      </c>
      <c r="BM100">
        <f>IF(AND(AN100&lt;&gt;"",COUNTIF($G$61:$I$61,$B20)+COUNTIF($G$61:$I$61,$B20&amp;" ~*")=0),($R20+COUNTIF($H$86:$H99,$B20)+COUNTIF($H$86:$H99,$B20&amp;" ~*"))*1000+IF(AN100&gt;100,500,0)+1,"")</f>
        <v/>
      </c>
      <c r="BN100">
        <f>IF(AND(AO100&lt;&gt;"",COUNTIF($G$61:$I$61,$B21)+COUNTIF($G$61:$I$61,$B21&amp;" ~*")=0),($R21+COUNTIF($H$86:$H99,$B21)+COUNTIF($H$86:$H99,$B21&amp;" ~*"))*1000+IF(AO100&gt;100,500,0)+2,"")</f>
        <v/>
      </c>
      <c r="BO100">
        <f>IF(AND(AP100&lt;&gt;"",COUNTIF($G$61:$I$61,$B22)+COUNTIF($G$61:$I$61,$B22&amp;" ~*")=0),($R22+COUNTIF($H$86:$H99,$B22)+COUNTIF($H$86:$H99,$B22&amp;" ~*"))*1000+IF(AP100&gt;100,500,0)+3,"")</f>
        <v/>
      </c>
      <c r="BP100">
        <f>IF(AND(AQ100&lt;&gt;"",COUNTIF($G$61:$I$61,$B23)+COUNTIF($G$61:$I$61,$B23&amp;" ~*")=0),($R23+COUNTIF($H$86:$H99,$B23)+COUNTIF($H$86:$H99,$B23&amp;" ~*"))*1000+IF(AQ100&gt;100,500,0)+4,"")</f>
        <v/>
      </c>
      <c r="BQ100">
        <f>IF(AND(AR100&lt;&gt;"",COUNTIF($G$61:$I$61,$B24)+COUNTIF($G$61:$I$61,$B24&amp;" ~*")=0),($R24+COUNTIF($H$86:$H99,$B24)+COUNTIF($H$86:$H99,$B24&amp;" ~*"))*1000+IF(AR100&gt;100,500,0)+5,"")</f>
        <v/>
      </c>
      <c r="BR100">
        <f>IF(AND(AS100&lt;&gt;"",COUNTIF($G$61:$I$61,$B25)+COUNTIF($G$61:$I$61,$B25&amp;" ~*")=0),($R25+COUNTIF($H$86:$H99,$B25)+COUNTIF($H$86:$H99,$B25&amp;" ~*"))*1000+IF(AS100&gt;100,500,0)+6,"")</f>
        <v/>
      </c>
      <c r="BS100">
        <f>IF(AND(AT100&lt;&gt;"",COUNTIF($G$61:$I$61,$B26)+COUNTIF($G$61:$I$61,$B26&amp;" ~*")=0),($R26+COUNTIF($H$86:$H99,$B26)+COUNTIF($H$86:$H99,$B26&amp;" ~*"))*1000+IF(AT100&gt;100,500,0)+7,"")</f>
        <v/>
      </c>
      <c r="BT100">
        <f>IF(AND(AU100&lt;&gt;"",COUNTIF($G$61:$I$61,$B27)+COUNTIF($G$61:$I$61,$B27&amp;" ~*")=0),($R27+COUNTIF($H$86:$H99,$B27)+COUNTIF($H$86:$H99,$B27&amp;" ~*"))*1000+IF(AU100&gt;100,500,0)+8,"")</f>
        <v/>
      </c>
      <c r="BU100">
        <f>IF(AND(AV100&lt;&gt;"",COUNTIF($G$61:$I$61,$B28)+COUNTIF($G$61:$I$61,$B28&amp;" ~*")=0),($R28+COUNTIF($H$86:$H99,$B28)+COUNTIF($H$86:$H99,$B28&amp;" ~*"))*1000+IF(AV100&gt;100,500,0)+9,"")</f>
        <v/>
      </c>
      <c r="BV100">
        <f>IF(AND(AW100&lt;&gt;"",COUNTIF($G$61:$I$61,$B29)+COUNTIF($G$61:$I$61,$B29&amp;" ~*")=0),($R29+COUNTIF($H$86:$H99,$B29)+COUNTIF($H$86:$H99,$B29&amp;" ~*"))*1000+IF(AW100&gt;100,500,0)+10,"")</f>
        <v/>
      </c>
      <c r="BW100">
        <f>IF(AND(AX100&lt;&gt;"",COUNTIF($G$61:$I$61,$B30)+COUNTIF($G$61:$I$61,$B30&amp;" ~*")=0),($R30+COUNTIF($H$86:$H99,$B30)+COUNTIF($H$86:$H99,$B30&amp;" ~*"))*1000+IF(AX100&gt;100,500,0)+11,"")</f>
        <v/>
      </c>
      <c r="BX100">
        <f>IF(AND(AY100&lt;&gt;"",COUNTIF($G$61:$I$61,$B31)+COUNTIF($G$61:$I$61,$B31&amp;" ~*")=0),($R31+COUNTIF($H$86:$H99,$B31)+COUNTIF($H$86:$H99,$B31&amp;" ~*"))*1000+IF(AY100&gt;100,500,0)+12,"")</f>
        <v/>
      </c>
      <c r="BY100">
        <f>IF(AND(AZ100&lt;&gt;"",COUNTIF($G$61:$I$61,$B32)+COUNTIF($G$61:$I$61,$B32&amp;" ~*")=0),($R32+COUNTIF($H$86:$H99,$B32)+COUNTIF($H$86:$H99,$B32&amp;" ~*"))*1000+IF(AZ100&gt;100,500,0)+13,"")</f>
        <v/>
      </c>
      <c r="BZ100">
        <f>IF(AND(BA100&lt;&gt;"",COUNTIF($G$61:$I$61,$B33)+COUNTIF($G$61:$I$61,$B33&amp;" ~*")=0),($R33+COUNTIF($H$86:$H99,$B33)+COUNTIF($H$86:$H99,$B33&amp;" ~*"))*1000+IF(BA100&gt;100,500,0)+14,"")</f>
        <v/>
      </c>
      <c r="CA100">
        <f>IF(AND(BB100&lt;&gt;"",COUNTIF($G$61:$I$61,$B34)+COUNTIF($G$61:$I$61,$B34&amp;" ~*")=0),($R34+COUNTIF($H$86:$H99,$B34)+COUNTIF($H$86:$H99,$B34&amp;" ~*"))*1000+IF(BB100&gt;100,500,0)+15,"")</f>
        <v/>
      </c>
      <c r="CB100">
        <f>IF(AND(BC100&lt;&gt;"",COUNTIF($G$61:$I$61,$B35)+COUNTIF($G$61:$I$61,$B35&amp;" ~*")=0),($R35+COUNTIF($H$86:$H99,$B35)+COUNTIF($H$86:$H99,$B35&amp;" ~*"))*1000+IF(BC100&gt;100,500,0)+16,"")</f>
        <v/>
      </c>
      <c r="CC100">
        <f>IF(AND(BD100&lt;&gt;"",COUNTIF($G$61:$I$61,$B36)+COUNTIF($G$61:$I$61,$B36&amp;" ~*")=0),($R36+COUNTIF($H$86:$H99,$B36)+COUNTIF($H$86:$H99,$B36&amp;" ~*"))*1000+IF(BD100&gt;100,500,0)+17,"")</f>
        <v/>
      </c>
      <c r="CD100">
        <f>IF(AND(BE100&lt;&gt;"",COUNTIF($G$61:$I$61,$B37)+COUNTIF($G$61:$I$61,$B37&amp;" ~*")=0),($R37+COUNTIF($H$86:$H99,$B37)+COUNTIF($H$86:$H99,$B37&amp;" ~*"))*1000+IF(BE100&gt;100,500,0)+18,"")</f>
        <v/>
      </c>
      <c r="CE100">
        <f>IF(AND(BF100&lt;&gt;"",COUNTIF($G$61:$I$61,$B38)+COUNTIF($G$61:$I$61,$B38&amp;" ~*")=0),($R38+COUNTIF($H$86:$H99,$B38)+COUNTIF($H$86:$H99,$B38&amp;" ~*"))*1000+IF(BF100&gt;100,500,0)+19,"")</f>
        <v/>
      </c>
      <c r="CF100">
        <f>IF(AND(BG100&lt;&gt;"",COUNTIF($G$61:$I$61,$B39)+COUNTIF($G$61:$I$61,$B39&amp;" ~*")=0),($R39+COUNTIF($H$86:$H99,$B39)+COUNTIF($H$86:$H99,$B39&amp;" ~*"))*1000+IF(BG100&gt;100,500,0)+20,"")</f>
        <v/>
      </c>
      <c r="CG100">
        <f>IF(AND(BH100&lt;&gt;"",COUNTIF($G$61:$I$61,$B40)+COUNTIF($G$61:$I$61,$B40&amp;" ~*")=0),($R40+COUNTIF($H$86:$H99,$B40)+COUNTIF($H$86:$H99,$B40&amp;" ~*"))*1000+IF(BH100&gt;100,500,0)+21,"")</f>
        <v/>
      </c>
      <c r="CH100">
        <f>IF(AND(BI100&lt;&gt;"",COUNTIF($G$61:$I$61,$B41)+COUNTIF($G$61:$I$61,$B41&amp;" ~*")=0),($R41+COUNTIF($H$86:$H99,$B41)+COUNTIF($H$86:$H99,$B41&amp;" ~*"))*1000+IF(BI100&gt;100,500,0)+22,"")</f>
        <v/>
      </c>
      <c r="CI100">
        <f>IF(AND(BJ100&lt;&gt;"",COUNTIF($G$61:$I$61,$B42)+COUNTIF($G$61:$I$61,$B42&amp;" ~*")=0),($R42+COUNTIF($H$86:$H99,$B42)+COUNTIF($H$86:$H99,$B42&amp;" ~*"))*1000+IF(BJ100&gt;100,500,0)+23,"")</f>
        <v/>
      </c>
      <c r="CJ100">
        <f>IF(AND(BK100&lt;&gt;"",COUNTIF($G$61:$I$61,$B43)+COUNTIF($G$61:$I$61,$B43&amp;" ~*")=0),($R43+COUNTIF($H$86:$H99,$B43)+COUNTIF($H$86:$H99,$B43&amp;" ~*"))*1000+IF(BK100&gt;100,500,0)+24,"")</f>
        <v/>
      </c>
    </row>
    <row r="101">
      <c r="A101" t="n">
        <v>2</v>
      </c>
      <c r="B101" t="n">
        <v>16</v>
      </c>
      <c r="C101">
        <f>$B$62</f>
        <v/>
      </c>
      <c r="D101" t="inlineStr">
        <is>
          <t>Tue</t>
        </is>
      </c>
      <c r="E101">
        <f>IF(C101="","",N($AB$62))</f>
        <v/>
      </c>
      <c r="F101">
        <f>IF(C101="","",COUNTIF($G$62:$I$62,"?*"))</f>
        <v/>
      </c>
      <c r="G101">
        <f>IF(C101="","",MAX(0,E101-F101))</f>
        <v/>
      </c>
      <c r="H101">
        <f>IF(N(G101)=0,"",IF(COUNT(BM101:CJ101)=0,"no-one eligible",INDEX(Engine!$B$20:$B$43,MOD(MIN(BM101:CJ101),500))&amp;IF(MOD(MIN(BM101:CJ101),1000)&gt;=500," *","")))</f>
        <v/>
      </c>
      <c r="I101">
        <f>IF(N(G101)&gt;0,COUNTIF($G$68:G101,"&gt;0"),"")</f>
        <v/>
      </c>
      <c r="J101">
        <f>IF(C101="","",IF($G$62="",0,IF(IFERROR(INDEX(Setup!$O$6:$AL$23,16,MATCH(SUBSTITUTE($G$62," *",""),Setup!$B$6:$B$29,0)),"")="",1,0))+IF($H$62="",0,IF(IFERROR(INDEX(Setup!$O$6:$AL$23,16,MATCH(SUBSTITUTE($H$62," *",""),Setup!$B$6:$B$29,0)),"")="",1,0))+IF($I$62="",0,IF(IFERROR(INDEX(Setup!$O$6:$AL$23,16,MATCH(SUBSTITUTE($I$62," *",""),Setup!$B$6:$B$29,0)),"")="",1,0)))</f>
        <v/>
      </c>
      <c r="K101">
        <f>IF($B$12+1=TODAY(),1,0)</f>
        <v/>
      </c>
      <c r="N101">
        <f>COUNT($AN101:$BK101)</f>
        <v/>
      </c>
      <c r="O101">
        <f>IF(1&gt;$N101,"",INDEX(Engine!$B$20:$B$43,MOD(SMALL($AN101:$BK101,1),100))&amp;IF(SMALL($AN101:$BK101,1)&gt;100," *",""))</f>
        <v/>
      </c>
      <c r="P101">
        <f>IF(2&gt;$N101,"",INDEX(Engine!$B$20:$B$43,MOD(SMALL($AN101:$BK101,2),100))&amp;IF(SMALL($AN101:$BK101,2)&gt;100," *",""))</f>
        <v/>
      </c>
      <c r="Q101">
        <f>IF(3&gt;$N101,"",INDEX(Engine!$B$20:$B$43,MOD(SMALL($AN101:$BK101,3),100))&amp;IF(SMALL($AN101:$BK101,3)&gt;100," *",""))</f>
        <v/>
      </c>
      <c r="R101">
        <f>IF(4&gt;$N101,"",INDEX(Engine!$B$20:$B$43,MOD(SMALL($AN101:$BK101,4),100))&amp;IF(SMALL($AN101:$BK101,4)&gt;100," *",""))</f>
        <v/>
      </c>
      <c r="S101">
        <f>IF(5&gt;$N101,"",INDEX(Engine!$B$20:$B$43,MOD(SMALL($AN101:$BK101,5),100))&amp;IF(SMALL($AN101:$BK101,5)&gt;100," *",""))</f>
        <v/>
      </c>
      <c r="T101">
        <f>IF(6&gt;$N101,"",INDEX(Engine!$B$20:$B$43,MOD(SMALL($AN101:$BK101,6),100))&amp;IF(SMALL($AN101:$BK101,6)&gt;100," *",""))</f>
        <v/>
      </c>
      <c r="U101">
        <f>IF(7&gt;$N101,"",INDEX(Engine!$B$20:$B$43,MOD(SMALL($AN101:$BK101,7),100))&amp;IF(SMALL($AN101:$BK101,7)&gt;100," *",""))</f>
        <v/>
      </c>
      <c r="V101">
        <f>IF(8&gt;$N101,"",INDEX(Engine!$B$20:$B$43,MOD(SMALL($AN101:$BK101,8),100))&amp;IF(SMALL($AN101:$BK101,8)&gt;100," *",""))</f>
        <v/>
      </c>
      <c r="W101">
        <f>IF(9&gt;$N101,"",INDEX(Engine!$B$20:$B$43,MOD(SMALL($AN101:$BK101,9),100))&amp;IF(SMALL($AN101:$BK101,9)&gt;100," *",""))</f>
        <v/>
      </c>
      <c r="X101">
        <f>IF(10&gt;$N101,"",INDEX(Engine!$B$20:$B$43,MOD(SMALL($AN101:$BK101,10),100))&amp;IF(SMALL($AN101:$BK101,10)&gt;100," *",""))</f>
        <v/>
      </c>
      <c r="Y101">
        <f>IF(11&gt;$N101,"",INDEX(Engine!$B$20:$B$43,MOD(SMALL($AN101:$BK101,11),100))&amp;IF(SMALL($AN101:$BK101,11)&gt;100," *",""))</f>
        <v/>
      </c>
      <c r="Z101">
        <f>IF(12&gt;$N101,"",INDEX(Engine!$B$20:$B$43,MOD(SMALL($AN101:$BK101,12),100))&amp;IF(SMALL($AN101:$BK101,12)&gt;100," *",""))</f>
        <v/>
      </c>
      <c r="AA101">
        <f>IF(13&gt;$N101,"",INDEX(Engine!$B$20:$B$43,MOD(SMALL($AN101:$BK101,13),100))&amp;IF(SMALL($AN101:$BK101,13)&gt;100," *",""))</f>
        <v/>
      </c>
      <c r="AB101">
        <f>IF(14&gt;$N101,"",INDEX(Engine!$B$20:$B$43,MOD(SMALL($AN101:$BK101,14),100))&amp;IF(SMALL($AN101:$BK101,14)&gt;100," *",""))</f>
        <v/>
      </c>
      <c r="AC101">
        <f>IF(15&gt;$N101,"",INDEX(Engine!$B$20:$B$43,MOD(SMALL($AN101:$BK101,15),100))&amp;IF(SMALL($AN101:$BK101,15)&gt;100," *",""))</f>
        <v/>
      </c>
      <c r="AD101">
        <f>IF(16&gt;$N101,"",INDEX(Engine!$B$20:$B$43,MOD(SMALL($AN101:$BK101,16),100))&amp;IF(SMALL($AN101:$BK101,16)&gt;100," *",""))</f>
        <v/>
      </c>
      <c r="AE101">
        <f>IF(17&gt;$N101,"",INDEX(Engine!$B$20:$B$43,MOD(SMALL($AN101:$BK101,17),100))&amp;IF(SMALL($AN101:$BK101,17)&gt;100," *",""))</f>
        <v/>
      </c>
      <c r="AF101">
        <f>IF(18&gt;$N101,"",INDEX(Engine!$B$20:$B$43,MOD(SMALL($AN101:$BK101,18),100))&amp;IF(SMALL($AN101:$BK101,18)&gt;100," *",""))</f>
        <v/>
      </c>
      <c r="AG101">
        <f>IF(19&gt;$N101,"",INDEX(Engine!$B$20:$B$43,MOD(SMALL($AN101:$BK101,19),100))&amp;IF(SMALL($AN101:$BK101,19)&gt;100," *",""))</f>
        <v/>
      </c>
      <c r="AH101">
        <f>IF(20&gt;$N101,"",INDEX(Engine!$B$20:$B$43,MOD(SMALL($AN101:$BK101,20),100))&amp;IF(SMALL($AN101:$BK101,20)&gt;100," *",""))</f>
        <v/>
      </c>
      <c r="AI101">
        <f>IF(21&gt;$N101,"",INDEX(Engine!$B$20:$B$43,MOD(SMALL($AN101:$BK101,21),100))&amp;IF(SMALL($AN101:$BK101,21)&gt;100," *",""))</f>
        <v/>
      </c>
      <c r="AJ101">
        <f>IF(22&gt;$N101,"",INDEX(Engine!$B$20:$B$43,MOD(SMALL($AN101:$BK101,22),100))&amp;IF(SMALL($AN101:$BK101,22)&gt;100," *",""))</f>
        <v/>
      </c>
      <c r="AK101">
        <f>IF(23&gt;$N101,"",INDEX(Engine!$B$20:$B$43,MOD(SMALL($AN101:$BK101,23),100))&amp;IF(SMALL($AN101:$BK101,23)&gt;100," *",""))</f>
        <v/>
      </c>
      <c r="AL101">
        <f>IF(24&gt;$N101,"",INDEX(Engine!$B$20:$B$43,MOD(SMALL($AN101:$BK101,24),100))&amp;IF(SMALL($AN101:$BK101,24)&gt;100," *",""))</f>
        <v/>
      </c>
      <c r="AN101">
        <f>IF(AND($C20=1,INDEX(Setup!$O$6:$AL$23,16,1)&lt;&gt;"",L20=0),1+IF(INDEX(Setup!$O$6:$AL$23,16,1)="T",100,0),"")</f>
        <v/>
      </c>
      <c r="AO101">
        <f>IF(AND($C21=1,INDEX(Setup!$O$6:$AL$23,16,2)&lt;&gt;"",L21=0),2+IF(INDEX(Setup!$O$6:$AL$23,16,2)="T",100,0),"")</f>
        <v/>
      </c>
      <c r="AP101">
        <f>IF(AND($C22=1,INDEX(Setup!$O$6:$AL$23,16,3)&lt;&gt;"",L22=0),3+IF(INDEX(Setup!$O$6:$AL$23,16,3)="T",100,0),"")</f>
        <v/>
      </c>
      <c r="AQ101">
        <f>IF(AND($C23=1,INDEX(Setup!$O$6:$AL$23,16,4)&lt;&gt;"",L23=0),4+IF(INDEX(Setup!$O$6:$AL$23,16,4)="T",100,0),"")</f>
        <v/>
      </c>
      <c r="AR101">
        <f>IF(AND($C24=1,INDEX(Setup!$O$6:$AL$23,16,5)&lt;&gt;"",L24=0),5+IF(INDEX(Setup!$O$6:$AL$23,16,5)="T",100,0),"")</f>
        <v/>
      </c>
      <c r="AS101">
        <f>IF(AND($C25=1,INDEX(Setup!$O$6:$AL$23,16,6)&lt;&gt;"",L25=0),6+IF(INDEX(Setup!$O$6:$AL$23,16,6)="T",100,0),"")</f>
        <v/>
      </c>
      <c r="AT101">
        <f>IF(AND($C26=1,INDEX(Setup!$O$6:$AL$23,16,7)&lt;&gt;"",L26=0),7+IF(INDEX(Setup!$O$6:$AL$23,16,7)="T",100,0),"")</f>
        <v/>
      </c>
      <c r="AU101">
        <f>IF(AND($C27=1,INDEX(Setup!$O$6:$AL$23,16,8)&lt;&gt;"",L27=0),8+IF(INDEX(Setup!$O$6:$AL$23,16,8)="T",100,0),"")</f>
        <v/>
      </c>
      <c r="AV101">
        <f>IF(AND($C28=1,INDEX(Setup!$O$6:$AL$23,16,9)&lt;&gt;"",L28=0),9+IF(INDEX(Setup!$O$6:$AL$23,16,9)="T",100,0),"")</f>
        <v/>
      </c>
      <c r="AW101">
        <f>IF(AND($C29=1,INDEX(Setup!$O$6:$AL$23,16,10)&lt;&gt;"",L29=0),10+IF(INDEX(Setup!$O$6:$AL$23,16,10)="T",100,0),"")</f>
        <v/>
      </c>
      <c r="AX101">
        <f>IF(AND($C30=1,INDEX(Setup!$O$6:$AL$23,16,11)&lt;&gt;"",L30=0),11+IF(INDEX(Setup!$O$6:$AL$23,16,11)="T",100,0),"")</f>
        <v/>
      </c>
      <c r="AY101">
        <f>IF(AND($C31=1,INDEX(Setup!$O$6:$AL$23,16,12)&lt;&gt;"",L31=0),12+IF(INDEX(Setup!$O$6:$AL$23,16,12)="T",100,0),"")</f>
        <v/>
      </c>
      <c r="AZ101">
        <f>IF(AND($C32=1,INDEX(Setup!$O$6:$AL$23,16,13)&lt;&gt;"",L32=0),13+IF(INDEX(Setup!$O$6:$AL$23,16,13)="T",100,0),"")</f>
        <v/>
      </c>
      <c r="BA101">
        <f>IF(AND($C33=1,INDEX(Setup!$O$6:$AL$23,16,14)&lt;&gt;"",L33=0),14+IF(INDEX(Setup!$O$6:$AL$23,16,14)="T",100,0),"")</f>
        <v/>
      </c>
      <c r="BB101">
        <f>IF(AND($C34=1,INDEX(Setup!$O$6:$AL$23,16,15)&lt;&gt;"",L34=0),15+IF(INDEX(Setup!$O$6:$AL$23,16,15)="T",100,0),"")</f>
        <v/>
      </c>
      <c r="BC101">
        <f>IF(AND($C35=1,INDEX(Setup!$O$6:$AL$23,16,16)&lt;&gt;"",L35=0),16+IF(INDEX(Setup!$O$6:$AL$23,16,16)="T",100,0),"")</f>
        <v/>
      </c>
      <c r="BD101">
        <f>IF(AND($C36=1,INDEX(Setup!$O$6:$AL$23,16,17)&lt;&gt;"",L36=0),17+IF(INDEX(Setup!$O$6:$AL$23,16,17)="T",100,0),"")</f>
        <v/>
      </c>
      <c r="BE101">
        <f>IF(AND($C37=1,INDEX(Setup!$O$6:$AL$23,16,18)&lt;&gt;"",L37=0),18+IF(INDEX(Setup!$O$6:$AL$23,16,18)="T",100,0),"")</f>
        <v/>
      </c>
      <c r="BF101">
        <f>IF(AND($C38=1,INDEX(Setup!$O$6:$AL$23,16,19)&lt;&gt;"",L38=0),19+IF(INDEX(Setup!$O$6:$AL$23,16,19)="T",100,0),"")</f>
        <v/>
      </c>
      <c r="BG101">
        <f>IF(AND($C39=1,INDEX(Setup!$O$6:$AL$23,16,20)&lt;&gt;"",L39=0),20+IF(INDEX(Setup!$O$6:$AL$23,16,20)="T",100,0),"")</f>
        <v/>
      </c>
      <c r="BH101">
        <f>IF(AND($C40=1,INDEX(Setup!$O$6:$AL$23,16,21)&lt;&gt;"",L40=0),21+IF(INDEX(Setup!$O$6:$AL$23,16,21)="T",100,0),"")</f>
        <v/>
      </c>
      <c r="BI101">
        <f>IF(AND($C41=1,INDEX(Setup!$O$6:$AL$23,16,22)&lt;&gt;"",L41=0),22+IF(INDEX(Setup!$O$6:$AL$23,16,22)="T",100,0),"")</f>
        <v/>
      </c>
      <c r="BJ101">
        <f>IF(AND($C42=1,INDEX(Setup!$O$6:$AL$23,16,23)&lt;&gt;"",L42=0),23+IF(INDEX(Setup!$O$6:$AL$23,16,23)="T",100,0),"")</f>
        <v/>
      </c>
      <c r="BK101">
        <f>IF(AND($C43=1,INDEX(Setup!$O$6:$AL$23,16,24)&lt;&gt;"",L43=0),24+IF(INDEX(Setup!$O$6:$AL$23,16,24)="T",100,0),"")</f>
        <v/>
      </c>
      <c r="BM101">
        <f>IF(AND(AN101&lt;&gt;"",COUNTIF($G$62:$I$62,$B20)+COUNTIF($G$62:$I$62,$B20&amp;" ~*")=0),($R20+COUNTIF($H$86:$H100,$B20)+COUNTIF($H$86:$H100,$B20&amp;" ~*"))*1000+IF(AN101&gt;100,500,0)+1,"")</f>
        <v/>
      </c>
      <c r="BN101">
        <f>IF(AND(AO101&lt;&gt;"",COUNTIF($G$62:$I$62,$B21)+COUNTIF($G$62:$I$62,$B21&amp;" ~*")=0),($R21+COUNTIF($H$86:$H100,$B21)+COUNTIF($H$86:$H100,$B21&amp;" ~*"))*1000+IF(AO101&gt;100,500,0)+2,"")</f>
        <v/>
      </c>
      <c r="BO101">
        <f>IF(AND(AP101&lt;&gt;"",COUNTIF($G$62:$I$62,$B22)+COUNTIF($G$62:$I$62,$B22&amp;" ~*")=0),($R22+COUNTIF($H$86:$H100,$B22)+COUNTIF($H$86:$H100,$B22&amp;" ~*"))*1000+IF(AP101&gt;100,500,0)+3,"")</f>
        <v/>
      </c>
      <c r="BP101">
        <f>IF(AND(AQ101&lt;&gt;"",COUNTIF($G$62:$I$62,$B23)+COUNTIF($G$62:$I$62,$B23&amp;" ~*")=0),($R23+COUNTIF($H$86:$H100,$B23)+COUNTIF($H$86:$H100,$B23&amp;" ~*"))*1000+IF(AQ101&gt;100,500,0)+4,"")</f>
        <v/>
      </c>
      <c r="BQ101">
        <f>IF(AND(AR101&lt;&gt;"",COUNTIF($G$62:$I$62,$B24)+COUNTIF($G$62:$I$62,$B24&amp;" ~*")=0),($R24+COUNTIF($H$86:$H100,$B24)+COUNTIF($H$86:$H100,$B24&amp;" ~*"))*1000+IF(AR101&gt;100,500,0)+5,"")</f>
        <v/>
      </c>
      <c r="BR101">
        <f>IF(AND(AS101&lt;&gt;"",COUNTIF($G$62:$I$62,$B25)+COUNTIF($G$62:$I$62,$B25&amp;" ~*")=0),($R25+COUNTIF($H$86:$H100,$B25)+COUNTIF($H$86:$H100,$B25&amp;" ~*"))*1000+IF(AS101&gt;100,500,0)+6,"")</f>
        <v/>
      </c>
      <c r="BS101">
        <f>IF(AND(AT101&lt;&gt;"",COUNTIF($G$62:$I$62,$B26)+COUNTIF($G$62:$I$62,$B26&amp;" ~*")=0),($R26+COUNTIF($H$86:$H100,$B26)+COUNTIF($H$86:$H100,$B26&amp;" ~*"))*1000+IF(AT101&gt;100,500,0)+7,"")</f>
        <v/>
      </c>
      <c r="BT101">
        <f>IF(AND(AU101&lt;&gt;"",COUNTIF($G$62:$I$62,$B27)+COUNTIF($G$62:$I$62,$B27&amp;" ~*")=0),($R27+COUNTIF($H$86:$H100,$B27)+COUNTIF($H$86:$H100,$B27&amp;" ~*"))*1000+IF(AU101&gt;100,500,0)+8,"")</f>
        <v/>
      </c>
      <c r="BU101">
        <f>IF(AND(AV101&lt;&gt;"",COUNTIF($G$62:$I$62,$B28)+COUNTIF($G$62:$I$62,$B28&amp;" ~*")=0),($R28+COUNTIF($H$86:$H100,$B28)+COUNTIF($H$86:$H100,$B28&amp;" ~*"))*1000+IF(AV101&gt;100,500,0)+9,"")</f>
        <v/>
      </c>
      <c r="BV101">
        <f>IF(AND(AW101&lt;&gt;"",COUNTIF($G$62:$I$62,$B29)+COUNTIF($G$62:$I$62,$B29&amp;" ~*")=0),($R29+COUNTIF($H$86:$H100,$B29)+COUNTIF($H$86:$H100,$B29&amp;" ~*"))*1000+IF(AW101&gt;100,500,0)+10,"")</f>
        <v/>
      </c>
      <c r="BW101">
        <f>IF(AND(AX101&lt;&gt;"",COUNTIF($G$62:$I$62,$B30)+COUNTIF($G$62:$I$62,$B30&amp;" ~*")=0),($R30+COUNTIF($H$86:$H100,$B30)+COUNTIF($H$86:$H100,$B30&amp;" ~*"))*1000+IF(AX101&gt;100,500,0)+11,"")</f>
        <v/>
      </c>
      <c r="BX101">
        <f>IF(AND(AY101&lt;&gt;"",COUNTIF($G$62:$I$62,$B31)+COUNTIF($G$62:$I$62,$B31&amp;" ~*")=0),($R31+COUNTIF($H$86:$H100,$B31)+COUNTIF($H$86:$H100,$B31&amp;" ~*"))*1000+IF(AY101&gt;100,500,0)+12,"")</f>
        <v/>
      </c>
      <c r="BY101">
        <f>IF(AND(AZ101&lt;&gt;"",COUNTIF($G$62:$I$62,$B32)+COUNTIF($G$62:$I$62,$B32&amp;" ~*")=0),($R32+COUNTIF($H$86:$H100,$B32)+COUNTIF($H$86:$H100,$B32&amp;" ~*"))*1000+IF(AZ101&gt;100,500,0)+13,"")</f>
        <v/>
      </c>
      <c r="BZ101">
        <f>IF(AND(BA101&lt;&gt;"",COUNTIF($G$62:$I$62,$B33)+COUNTIF($G$62:$I$62,$B33&amp;" ~*")=0),($R33+COUNTIF($H$86:$H100,$B33)+COUNTIF($H$86:$H100,$B33&amp;" ~*"))*1000+IF(BA101&gt;100,500,0)+14,"")</f>
        <v/>
      </c>
      <c r="CA101">
        <f>IF(AND(BB101&lt;&gt;"",COUNTIF($G$62:$I$62,$B34)+COUNTIF($G$62:$I$62,$B34&amp;" ~*")=0),($R34+COUNTIF($H$86:$H100,$B34)+COUNTIF($H$86:$H100,$B34&amp;" ~*"))*1000+IF(BB101&gt;100,500,0)+15,"")</f>
        <v/>
      </c>
      <c r="CB101">
        <f>IF(AND(BC101&lt;&gt;"",COUNTIF($G$62:$I$62,$B35)+COUNTIF($G$62:$I$62,$B35&amp;" ~*")=0),($R35+COUNTIF($H$86:$H100,$B35)+COUNTIF($H$86:$H100,$B35&amp;" ~*"))*1000+IF(BC101&gt;100,500,0)+16,"")</f>
        <v/>
      </c>
      <c r="CC101">
        <f>IF(AND(BD101&lt;&gt;"",COUNTIF($G$62:$I$62,$B36)+COUNTIF($G$62:$I$62,$B36&amp;" ~*")=0),($R36+COUNTIF($H$86:$H100,$B36)+COUNTIF($H$86:$H100,$B36&amp;" ~*"))*1000+IF(BD101&gt;100,500,0)+17,"")</f>
        <v/>
      </c>
      <c r="CD101">
        <f>IF(AND(BE101&lt;&gt;"",COUNTIF($G$62:$I$62,$B37)+COUNTIF($G$62:$I$62,$B37&amp;" ~*")=0),($R37+COUNTIF($H$86:$H100,$B37)+COUNTIF($H$86:$H100,$B37&amp;" ~*"))*1000+IF(BE101&gt;100,500,0)+18,"")</f>
        <v/>
      </c>
      <c r="CE101">
        <f>IF(AND(BF101&lt;&gt;"",COUNTIF($G$62:$I$62,$B38)+COUNTIF($G$62:$I$62,$B38&amp;" ~*")=0),($R38+COUNTIF($H$86:$H100,$B38)+COUNTIF($H$86:$H100,$B38&amp;" ~*"))*1000+IF(BF101&gt;100,500,0)+19,"")</f>
        <v/>
      </c>
      <c r="CF101">
        <f>IF(AND(BG101&lt;&gt;"",COUNTIF($G$62:$I$62,$B39)+COUNTIF($G$62:$I$62,$B39&amp;" ~*")=0),($R39+COUNTIF($H$86:$H100,$B39)+COUNTIF($H$86:$H100,$B39&amp;" ~*"))*1000+IF(BG101&gt;100,500,0)+20,"")</f>
        <v/>
      </c>
      <c r="CG101">
        <f>IF(AND(BH101&lt;&gt;"",COUNTIF($G$62:$I$62,$B40)+COUNTIF($G$62:$I$62,$B40&amp;" ~*")=0),($R40+COUNTIF($H$86:$H100,$B40)+COUNTIF($H$86:$H100,$B40&amp;" ~*"))*1000+IF(BH101&gt;100,500,0)+21,"")</f>
        <v/>
      </c>
      <c r="CH101">
        <f>IF(AND(BI101&lt;&gt;"",COUNTIF($G$62:$I$62,$B41)+COUNTIF($G$62:$I$62,$B41&amp;" ~*")=0),($R41+COUNTIF($H$86:$H100,$B41)+COUNTIF($H$86:$H100,$B41&amp;" ~*"))*1000+IF(BI101&gt;100,500,0)+22,"")</f>
        <v/>
      </c>
      <c r="CI101">
        <f>IF(AND(BJ101&lt;&gt;"",COUNTIF($G$62:$I$62,$B42)+COUNTIF($G$62:$I$62,$B42&amp;" ~*")=0),($R42+COUNTIF($H$86:$H100,$B42)+COUNTIF($H$86:$H100,$B42&amp;" ~*"))*1000+IF(BJ101&gt;100,500,0)+23,"")</f>
        <v/>
      </c>
      <c r="CJ101">
        <f>IF(AND(BK101&lt;&gt;"",COUNTIF($G$62:$I$62,$B43)+COUNTIF($G$62:$I$62,$B43&amp;" ~*")=0),($R43+COUNTIF($H$86:$H100,$B43)+COUNTIF($H$86:$H100,$B43&amp;" ~*"))*1000+IF(BK101&gt;100,500,0)+24,"")</f>
        <v/>
      </c>
    </row>
    <row r="102">
      <c r="A102" t="n">
        <v>2</v>
      </c>
      <c r="B102" t="n">
        <v>17</v>
      </c>
      <c r="C102">
        <f>$B$63</f>
        <v/>
      </c>
      <c r="D102" t="inlineStr">
        <is>
          <t>Tue</t>
        </is>
      </c>
      <c r="E102">
        <f>IF(C102="","",N($AB$63))</f>
        <v/>
      </c>
      <c r="F102">
        <f>IF(C102="","",COUNTIF($G$63:$I$63,"?*"))</f>
        <v/>
      </c>
      <c r="G102">
        <f>IF(C102="","",MAX(0,E102-F102))</f>
        <v/>
      </c>
      <c r="H102">
        <f>IF(N(G102)=0,"",IF(COUNT(BM102:CJ102)=0,"no-one eligible",INDEX(Engine!$B$20:$B$43,MOD(MIN(BM102:CJ102),500))&amp;IF(MOD(MIN(BM102:CJ102),1000)&gt;=500," *","")))</f>
        <v/>
      </c>
      <c r="I102">
        <f>IF(N(G102)&gt;0,COUNTIF($G$68:G102,"&gt;0"),"")</f>
        <v/>
      </c>
      <c r="J102">
        <f>IF(C102="","",IF($G$63="",0,IF(IFERROR(INDEX(Setup!$O$6:$AL$23,17,MATCH(SUBSTITUTE($G$63," *",""),Setup!$B$6:$B$29,0)),"")="",1,0))+IF($H$63="",0,IF(IFERROR(INDEX(Setup!$O$6:$AL$23,17,MATCH(SUBSTITUTE($H$63," *",""),Setup!$B$6:$B$29,0)),"")="",1,0))+IF($I$63="",0,IF(IFERROR(INDEX(Setup!$O$6:$AL$23,17,MATCH(SUBSTITUTE($I$63," *",""),Setup!$B$6:$B$29,0)),"")="",1,0)))</f>
        <v/>
      </c>
      <c r="K102">
        <f>IF($B$12+1=TODAY(),1,0)</f>
        <v/>
      </c>
      <c r="N102">
        <f>COUNT($AN102:$BK102)</f>
        <v/>
      </c>
      <c r="O102">
        <f>IF(1&gt;$N102,"",INDEX(Engine!$B$20:$B$43,MOD(SMALL($AN102:$BK102,1),100))&amp;IF(SMALL($AN102:$BK102,1)&gt;100," *",""))</f>
        <v/>
      </c>
      <c r="P102">
        <f>IF(2&gt;$N102,"",INDEX(Engine!$B$20:$B$43,MOD(SMALL($AN102:$BK102,2),100))&amp;IF(SMALL($AN102:$BK102,2)&gt;100," *",""))</f>
        <v/>
      </c>
      <c r="Q102">
        <f>IF(3&gt;$N102,"",INDEX(Engine!$B$20:$B$43,MOD(SMALL($AN102:$BK102,3),100))&amp;IF(SMALL($AN102:$BK102,3)&gt;100," *",""))</f>
        <v/>
      </c>
      <c r="R102">
        <f>IF(4&gt;$N102,"",INDEX(Engine!$B$20:$B$43,MOD(SMALL($AN102:$BK102,4),100))&amp;IF(SMALL($AN102:$BK102,4)&gt;100," *",""))</f>
        <v/>
      </c>
      <c r="S102">
        <f>IF(5&gt;$N102,"",INDEX(Engine!$B$20:$B$43,MOD(SMALL($AN102:$BK102,5),100))&amp;IF(SMALL($AN102:$BK102,5)&gt;100," *",""))</f>
        <v/>
      </c>
      <c r="T102">
        <f>IF(6&gt;$N102,"",INDEX(Engine!$B$20:$B$43,MOD(SMALL($AN102:$BK102,6),100))&amp;IF(SMALL($AN102:$BK102,6)&gt;100," *",""))</f>
        <v/>
      </c>
      <c r="U102">
        <f>IF(7&gt;$N102,"",INDEX(Engine!$B$20:$B$43,MOD(SMALL($AN102:$BK102,7),100))&amp;IF(SMALL($AN102:$BK102,7)&gt;100," *",""))</f>
        <v/>
      </c>
      <c r="V102">
        <f>IF(8&gt;$N102,"",INDEX(Engine!$B$20:$B$43,MOD(SMALL($AN102:$BK102,8),100))&amp;IF(SMALL($AN102:$BK102,8)&gt;100," *",""))</f>
        <v/>
      </c>
      <c r="W102">
        <f>IF(9&gt;$N102,"",INDEX(Engine!$B$20:$B$43,MOD(SMALL($AN102:$BK102,9),100))&amp;IF(SMALL($AN102:$BK102,9)&gt;100," *",""))</f>
        <v/>
      </c>
      <c r="X102">
        <f>IF(10&gt;$N102,"",INDEX(Engine!$B$20:$B$43,MOD(SMALL($AN102:$BK102,10),100))&amp;IF(SMALL($AN102:$BK102,10)&gt;100," *",""))</f>
        <v/>
      </c>
      <c r="Y102">
        <f>IF(11&gt;$N102,"",INDEX(Engine!$B$20:$B$43,MOD(SMALL($AN102:$BK102,11),100))&amp;IF(SMALL($AN102:$BK102,11)&gt;100," *",""))</f>
        <v/>
      </c>
      <c r="Z102">
        <f>IF(12&gt;$N102,"",INDEX(Engine!$B$20:$B$43,MOD(SMALL($AN102:$BK102,12),100))&amp;IF(SMALL($AN102:$BK102,12)&gt;100," *",""))</f>
        <v/>
      </c>
      <c r="AA102">
        <f>IF(13&gt;$N102,"",INDEX(Engine!$B$20:$B$43,MOD(SMALL($AN102:$BK102,13),100))&amp;IF(SMALL($AN102:$BK102,13)&gt;100," *",""))</f>
        <v/>
      </c>
      <c r="AB102">
        <f>IF(14&gt;$N102,"",INDEX(Engine!$B$20:$B$43,MOD(SMALL($AN102:$BK102,14),100))&amp;IF(SMALL($AN102:$BK102,14)&gt;100," *",""))</f>
        <v/>
      </c>
      <c r="AC102">
        <f>IF(15&gt;$N102,"",INDEX(Engine!$B$20:$B$43,MOD(SMALL($AN102:$BK102,15),100))&amp;IF(SMALL($AN102:$BK102,15)&gt;100," *",""))</f>
        <v/>
      </c>
      <c r="AD102">
        <f>IF(16&gt;$N102,"",INDEX(Engine!$B$20:$B$43,MOD(SMALL($AN102:$BK102,16),100))&amp;IF(SMALL($AN102:$BK102,16)&gt;100," *",""))</f>
        <v/>
      </c>
      <c r="AE102">
        <f>IF(17&gt;$N102,"",INDEX(Engine!$B$20:$B$43,MOD(SMALL($AN102:$BK102,17),100))&amp;IF(SMALL($AN102:$BK102,17)&gt;100," *",""))</f>
        <v/>
      </c>
      <c r="AF102">
        <f>IF(18&gt;$N102,"",INDEX(Engine!$B$20:$B$43,MOD(SMALL($AN102:$BK102,18),100))&amp;IF(SMALL($AN102:$BK102,18)&gt;100," *",""))</f>
        <v/>
      </c>
      <c r="AG102">
        <f>IF(19&gt;$N102,"",INDEX(Engine!$B$20:$B$43,MOD(SMALL($AN102:$BK102,19),100))&amp;IF(SMALL($AN102:$BK102,19)&gt;100," *",""))</f>
        <v/>
      </c>
      <c r="AH102">
        <f>IF(20&gt;$N102,"",INDEX(Engine!$B$20:$B$43,MOD(SMALL($AN102:$BK102,20),100))&amp;IF(SMALL($AN102:$BK102,20)&gt;100," *",""))</f>
        <v/>
      </c>
      <c r="AI102">
        <f>IF(21&gt;$N102,"",INDEX(Engine!$B$20:$B$43,MOD(SMALL($AN102:$BK102,21),100))&amp;IF(SMALL($AN102:$BK102,21)&gt;100," *",""))</f>
        <v/>
      </c>
      <c r="AJ102">
        <f>IF(22&gt;$N102,"",INDEX(Engine!$B$20:$B$43,MOD(SMALL($AN102:$BK102,22),100))&amp;IF(SMALL($AN102:$BK102,22)&gt;100," *",""))</f>
        <v/>
      </c>
      <c r="AK102">
        <f>IF(23&gt;$N102,"",INDEX(Engine!$B$20:$B$43,MOD(SMALL($AN102:$BK102,23),100))&amp;IF(SMALL($AN102:$BK102,23)&gt;100," *",""))</f>
        <v/>
      </c>
      <c r="AL102">
        <f>IF(24&gt;$N102,"",INDEX(Engine!$B$20:$B$43,MOD(SMALL($AN102:$BK102,24),100))&amp;IF(SMALL($AN102:$BK102,24)&gt;100," *",""))</f>
        <v/>
      </c>
      <c r="AN102">
        <f>IF(AND($C20=1,INDEX(Setup!$O$6:$AL$23,17,1)&lt;&gt;"",L20=0),1+IF(INDEX(Setup!$O$6:$AL$23,17,1)="T",100,0),"")</f>
        <v/>
      </c>
      <c r="AO102">
        <f>IF(AND($C21=1,INDEX(Setup!$O$6:$AL$23,17,2)&lt;&gt;"",L21=0),2+IF(INDEX(Setup!$O$6:$AL$23,17,2)="T",100,0),"")</f>
        <v/>
      </c>
      <c r="AP102">
        <f>IF(AND($C22=1,INDEX(Setup!$O$6:$AL$23,17,3)&lt;&gt;"",L22=0),3+IF(INDEX(Setup!$O$6:$AL$23,17,3)="T",100,0),"")</f>
        <v/>
      </c>
      <c r="AQ102">
        <f>IF(AND($C23=1,INDEX(Setup!$O$6:$AL$23,17,4)&lt;&gt;"",L23=0),4+IF(INDEX(Setup!$O$6:$AL$23,17,4)="T",100,0),"")</f>
        <v/>
      </c>
      <c r="AR102">
        <f>IF(AND($C24=1,INDEX(Setup!$O$6:$AL$23,17,5)&lt;&gt;"",L24=0),5+IF(INDEX(Setup!$O$6:$AL$23,17,5)="T",100,0),"")</f>
        <v/>
      </c>
      <c r="AS102">
        <f>IF(AND($C25=1,INDEX(Setup!$O$6:$AL$23,17,6)&lt;&gt;"",L25=0),6+IF(INDEX(Setup!$O$6:$AL$23,17,6)="T",100,0),"")</f>
        <v/>
      </c>
      <c r="AT102">
        <f>IF(AND($C26=1,INDEX(Setup!$O$6:$AL$23,17,7)&lt;&gt;"",L26=0),7+IF(INDEX(Setup!$O$6:$AL$23,17,7)="T",100,0),"")</f>
        <v/>
      </c>
      <c r="AU102">
        <f>IF(AND($C27=1,INDEX(Setup!$O$6:$AL$23,17,8)&lt;&gt;"",L27=0),8+IF(INDEX(Setup!$O$6:$AL$23,17,8)="T",100,0),"")</f>
        <v/>
      </c>
      <c r="AV102">
        <f>IF(AND($C28=1,INDEX(Setup!$O$6:$AL$23,17,9)&lt;&gt;"",L28=0),9+IF(INDEX(Setup!$O$6:$AL$23,17,9)="T",100,0),"")</f>
        <v/>
      </c>
      <c r="AW102">
        <f>IF(AND($C29=1,INDEX(Setup!$O$6:$AL$23,17,10)&lt;&gt;"",L29=0),10+IF(INDEX(Setup!$O$6:$AL$23,17,10)="T",100,0),"")</f>
        <v/>
      </c>
      <c r="AX102">
        <f>IF(AND($C30=1,INDEX(Setup!$O$6:$AL$23,17,11)&lt;&gt;"",L30=0),11+IF(INDEX(Setup!$O$6:$AL$23,17,11)="T",100,0),"")</f>
        <v/>
      </c>
      <c r="AY102">
        <f>IF(AND($C31=1,INDEX(Setup!$O$6:$AL$23,17,12)&lt;&gt;"",L31=0),12+IF(INDEX(Setup!$O$6:$AL$23,17,12)="T",100,0),"")</f>
        <v/>
      </c>
      <c r="AZ102">
        <f>IF(AND($C32=1,INDEX(Setup!$O$6:$AL$23,17,13)&lt;&gt;"",L32=0),13+IF(INDEX(Setup!$O$6:$AL$23,17,13)="T",100,0),"")</f>
        <v/>
      </c>
      <c r="BA102">
        <f>IF(AND($C33=1,INDEX(Setup!$O$6:$AL$23,17,14)&lt;&gt;"",L33=0),14+IF(INDEX(Setup!$O$6:$AL$23,17,14)="T",100,0),"")</f>
        <v/>
      </c>
      <c r="BB102">
        <f>IF(AND($C34=1,INDEX(Setup!$O$6:$AL$23,17,15)&lt;&gt;"",L34=0),15+IF(INDEX(Setup!$O$6:$AL$23,17,15)="T",100,0),"")</f>
        <v/>
      </c>
      <c r="BC102">
        <f>IF(AND($C35=1,INDEX(Setup!$O$6:$AL$23,17,16)&lt;&gt;"",L35=0),16+IF(INDEX(Setup!$O$6:$AL$23,17,16)="T",100,0),"")</f>
        <v/>
      </c>
      <c r="BD102">
        <f>IF(AND($C36=1,INDEX(Setup!$O$6:$AL$23,17,17)&lt;&gt;"",L36=0),17+IF(INDEX(Setup!$O$6:$AL$23,17,17)="T",100,0),"")</f>
        <v/>
      </c>
      <c r="BE102">
        <f>IF(AND($C37=1,INDEX(Setup!$O$6:$AL$23,17,18)&lt;&gt;"",L37=0),18+IF(INDEX(Setup!$O$6:$AL$23,17,18)="T",100,0),"")</f>
        <v/>
      </c>
      <c r="BF102">
        <f>IF(AND($C38=1,INDEX(Setup!$O$6:$AL$23,17,19)&lt;&gt;"",L38=0),19+IF(INDEX(Setup!$O$6:$AL$23,17,19)="T",100,0),"")</f>
        <v/>
      </c>
      <c r="BG102">
        <f>IF(AND($C39=1,INDEX(Setup!$O$6:$AL$23,17,20)&lt;&gt;"",L39=0),20+IF(INDEX(Setup!$O$6:$AL$23,17,20)="T",100,0),"")</f>
        <v/>
      </c>
      <c r="BH102">
        <f>IF(AND($C40=1,INDEX(Setup!$O$6:$AL$23,17,21)&lt;&gt;"",L40=0),21+IF(INDEX(Setup!$O$6:$AL$23,17,21)="T",100,0),"")</f>
        <v/>
      </c>
      <c r="BI102">
        <f>IF(AND($C41=1,INDEX(Setup!$O$6:$AL$23,17,22)&lt;&gt;"",L41=0),22+IF(INDEX(Setup!$O$6:$AL$23,17,22)="T",100,0),"")</f>
        <v/>
      </c>
      <c r="BJ102">
        <f>IF(AND($C42=1,INDEX(Setup!$O$6:$AL$23,17,23)&lt;&gt;"",L42=0),23+IF(INDEX(Setup!$O$6:$AL$23,17,23)="T",100,0),"")</f>
        <v/>
      </c>
      <c r="BK102">
        <f>IF(AND($C43=1,INDEX(Setup!$O$6:$AL$23,17,24)&lt;&gt;"",L43=0),24+IF(INDEX(Setup!$O$6:$AL$23,17,24)="T",100,0),"")</f>
        <v/>
      </c>
      <c r="BM102">
        <f>IF(AND(AN102&lt;&gt;"",COUNTIF($G$63:$I$63,$B20)+COUNTIF($G$63:$I$63,$B20&amp;" ~*")=0),($R20+COUNTIF($H$86:$H101,$B20)+COUNTIF($H$86:$H101,$B20&amp;" ~*"))*1000+IF(AN102&gt;100,500,0)+1,"")</f>
        <v/>
      </c>
      <c r="BN102">
        <f>IF(AND(AO102&lt;&gt;"",COUNTIF($G$63:$I$63,$B21)+COUNTIF($G$63:$I$63,$B21&amp;" ~*")=0),($R21+COUNTIF($H$86:$H101,$B21)+COUNTIF($H$86:$H101,$B21&amp;" ~*"))*1000+IF(AO102&gt;100,500,0)+2,"")</f>
        <v/>
      </c>
      <c r="BO102">
        <f>IF(AND(AP102&lt;&gt;"",COUNTIF($G$63:$I$63,$B22)+COUNTIF($G$63:$I$63,$B22&amp;" ~*")=0),($R22+COUNTIF($H$86:$H101,$B22)+COUNTIF($H$86:$H101,$B22&amp;" ~*"))*1000+IF(AP102&gt;100,500,0)+3,"")</f>
        <v/>
      </c>
      <c r="BP102">
        <f>IF(AND(AQ102&lt;&gt;"",COUNTIF($G$63:$I$63,$B23)+COUNTIF($G$63:$I$63,$B23&amp;" ~*")=0),($R23+COUNTIF($H$86:$H101,$B23)+COUNTIF($H$86:$H101,$B23&amp;" ~*"))*1000+IF(AQ102&gt;100,500,0)+4,"")</f>
        <v/>
      </c>
      <c r="BQ102">
        <f>IF(AND(AR102&lt;&gt;"",COUNTIF($G$63:$I$63,$B24)+COUNTIF($G$63:$I$63,$B24&amp;" ~*")=0),($R24+COUNTIF($H$86:$H101,$B24)+COUNTIF($H$86:$H101,$B24&amp;" ~*"))*1000+IF(AR102&gt;100,500,0)+5,"")</f>
        <v/>
      </c>
      <c r="BR102">
        <f>IF(AND(AS102&lt;&gt;"",COUNTIF($G$63:$I$63,$B25)+COUNTIF($G$63:$I$63,$B25&amp;" ~*")=0),($R25+COUNTIF($H$86:$H101,$B25)+COUNTIF($H$86:$H101,$B25&amp;" ~*"))*1000+IF(AS102&gt;100,500,0)+6,"")</f>
        <v/>
      </c>
      <c r="BS102">
        <f>IF(AND(AT102&lt;&gt;"",COUNTIF($G$63:$I$63,$B26)+COUNTIF($G$63:$I$63,$B26&amp;" ~*")=0),($R26+COUNTIF($H$86:$H101,$B26)+COUNTIF($H$86:$H101,$B26&amp;" ~*"))*1000+IF(AT102&gt;100,500,0)+7,"")</f>
        <v/>
      </c>
      <c r="BT102">
        <f>IF(AND(AU102&lt;&gt;"",COUNTIF($G$63:$I$63,$B27)+COUNTIF($G$63:$I$63,$B27&amp;" ~*")=0),($R27+COUNTIF($H$86:$H101,$B27)+COUNTIF($H$86:$H101,$B27&amp;" ~*"))*1000+IF(AU102&gt;100,500,0)+8,"")</f>
        <v/>
      </c>
      <c r="BU102">
        <f>IF(AND(AV102&lt;&gt;"",COUNTIF($G$63:$I$63,$B28)+COUNTIF($G$63:$I$63,$B28&amp;" ~*")=0),($R28+COUNTIF($H$86:$H101,$B28)+COUNTIF($H$86:$H101,$B28&amp;" ~*"))*1000+IF(AV102&gt;100,500,0)+9,"")</f>
        <v/>
      </c>
      <c r="BV102">
        <f>IF(AND(AW102&lt;&gt;"",COUNTIF($G$63:$I$63,$B29)+COUNTIF($G$63:$I$63,$B29&amp;" ~*")=0),($R29+COUNTIF($H$86:$H101,$B29)+COUNTIF($H$86:$H101,$B29&amp;" ~*"))*1000+IF(AW102&gt;100,500,0)+10,"")</f>
        <v/>
      </c>
      <c r="BW102">
        <f>IF(AND(AX102&lt;&gt;"",COUNTIF($G$63:$I$63,$B30)+COUNTIF($G$63:$I$63,$B30&amp;" ~*")=0),($R30+COUNTIF($H$86:$H101,$B30)+COUNTIF($H$86:$H101,$B30&amp;" ~*"))*1000+IF(AX102&gt;100,500,0)+11,"")</f>
        <v/>
      </c>
      <c r="BX102">
        <f>IF(AND(AY102&lt;&gt;"",COUNTIF($G$63:$I$63,$B31)+COUNTIF($G$63:$I$63,$B31&amp;" ~*")=0),($R31+COUNTIF($H$86:$H101,$B31)+COUNTIF($H$86:$H101,$B31&amp;" ~*"))*1000+IF(AY102&gt;100,500,0)+12,"")</f>
        <v/>
      </c>
      <c r="BY102">
        <f>IF(AND(AZ102&lt;&gt;"",COUNTIF($G$63:$I$63,$B32)+COUNTIF($G$63:$I$63,$B32&amp;" ~*")=0),($R32+COUNTIF($H$86:$H101,$B32)+COUNTIF($H$86:$H101,$B32&amp;" ~*"))*1000+IF(AZ102&gt;100,500,0)+13,"")</f>
        <v/>
      </c>
      <c r="BZ102">
        <f>IF(AND(BA102&lt;&gt;"",COUNTIF($G$63:$I$63,$B33)+COUNTIF($G$63:$I$63,$B33&amp;" ~*")=0),($R33+COUNTIF($H$86:$H101,$B33)+COUNTIF($H$86:$H101,$B33&amp;" ~*"))*1000+IF(BA102&gt;100,500,0)+14,"")</f>
        <v/>
      </c>
      <c r="CA102">
        <f>IF(AND(BB102&lt;&gt;"",COUNTIF($G$63:$I$63,$B34)+COUNTIF($G$63:$I$63,$B34&amp;" ~*")=0),($R34+COUNTIF($H$86:$H101,$B34)+COUNTIF($H$86:$H101,$B34&amp;" ~*"))*1000+IF(BB102&gt;100,500,0)+15,"")</f>
        <v/>
      </c>
      <c r="CB102">
        <f>IF(AND(BC102&lt;&gt;"",COUNTIF($G$63:$I$63,$B35)+COUNTIF($G$63:$I$63,$B35&amp;" ~*")=0),($R35+COUNTIF($H$86:$H101,$B35)+COUNTIF($H$86:$H101,$B35&amp;" ~*"))*1000+IF(BC102&gt;100,500,0)+16,"")</f>
        <v/>
      </c>
      <c r="CC102">
        <f>IF(AND(BD102&lt;&gt;"",COUNTIF($G$63:$I$63,$B36)+COUNTIF($G$63:$I$63,$B36&amp;" ~*")=0),($R36+COUNTIF($H$86:$H101,$B36)+COUNTIF($H$86:$H101,$B36&amp;" ~*"))*1000+IF(BD102&gt;100,500,0)+17,"")</f>
        <v/>
      </c>
      <c r="CD102">
        <f>IF(AND(BE102&lt;&gt;"",COUNTIF($G$63:$I$63,$B37)+COUNTIF($G$63:$I$63,$B37&amp;" ~*")=0),($R37+COUNTIF($H$86:$H101,$B37)+COUNTIF($H$86:$H101,$B37&amp;" ~*"))*1000+IF(BE102&gt;100,500,0)+18,"")</f>
        <v/>
      </c>
      <c r="CE102">
        <f>IF(AND(BF102&lt;&gt;"",COUNTIF($G$63:$I$63,$B38)+COUNTIF($G$63:$I$63,$B38&amp;" ~*")=0),($R38+COUNTIF($H$86:$H101,$B38)+COUNTIF($H$86:$H101,$B38&amp;" ~*"))*1000+IF(BF102&gt;100,500,0)+19,"")</f>
        <v/>
      </c>
      <c r="CF102">
        <f>IF(AND(BG102&lt;&gt;"",COUNTIF($G$63:$I$63,$B39)+COUNTIF($G$63:$I$63,$B39&amp;" ~*")=0),($R39+COUNTIF($H$86:$H101,$B39)+COUNTIF($H$86:$H101,$B39&amp;" ~*"))*1000+IF(BG102&gt;100,500,0)+20,"")</f>
        <v/>
      </c>
      <c r="CG102">
        <f>IF(AND(BH102&lt;&gt;"",COUNTIF($G$63:$I$63,$B40)+COUNTIF($G$63:$I$63,$B40&amp;" ~*")=0),($R40+COUNTIF($H$86:$H101,$B40)+COUNTIF($H$86:$H101,$B40&amp;" ~*"))*1000+IF(BH102&gt;100,500,0)+21,"")</f>
        <v/>
      </c>
      <c r="CH102">
        <f>IF(AND(BI102&lt;&gt;"",COUNTIF($G$63:$I$63,$B41)+COUNTIF($G$63:$I$63,$B41&amp;" ~*")=0),($R41+COUNTIF($H$86:$H101,$B41)+COUNTIF($H$86:$H101,$B41&amp;" ~*"))*1000+IF(BI102&gt;100,500,0)+22,"")</f>
        <v/>
      </c>
      <c r="CI102">
        <f>IF(AND(BJ102&lt;&gt;"",COUNTIF($G$63:$I$63,$B42)+COUNTIF($G$63:$I$63,$B42&amp;" ~*")=0),($R42+COUNTIF($H$86:$H101,$B42)+COUNTIF($H$86:$H101,$B42&amp;" ~*"))*1000+IF(BJ102&gt;100,500,0)+23,"")</f>
        <v/>
      </c>
      <c r="CJ102">
        <f>IF(AND(BK102&lt;&gt;"",COUNTIF($G$63:$I$63,$B43)+COUNTIF($G$63:$I$63,$B43&amp;" ~*")=0),($R43+COUNTIF($H$86:$H101,$B43)+COUNTIF($H$86:$H101,$B43&amp;" ~*"))*1000+IF(BK102&gt;100,500,0)+24,"")</f>
        <v/>
      </c>
    </row>
    <row r="103">
      <c r="A103" t="n">
        <v>2</v>
      </c>
      <c r="B103" t="n">
        <v>18</v>
      </c>
      <c r="C103">
        <f>$B$64</f>
        <v/>
      </c>
      <c r="D103" t="inlineStr">
        <is>
          <t>Tue</t>
        </is>
      </c>
      <c r="E103">
        <f>IF(C103="","",N($AB$64))</f>
        <v/>
      </c>
      <c r="F103">
        <f>IF(C103="","",COUNTIF($G$64:$I$64,"?*"))</f>
        <v/>
      </c>
      <c r="G103">
        <f>IF(C103="","",MAX(0,E103-F103))</f>
        <v/>
      </c>
      <c r="H103">
        <f>IF(N(G103)=0,"",IF(COUNT(BM103:CJ103)=0,"no-one eligible",INDEX(Engine!$B$20:$B$43,MOD(MIN(BM103:CJ103),500))&amp;IF(MOD(MIN(BM103:CJ103),1000)&gt;=500," *","")))</f>
        <v/>
      </c>
      <c r="I103">
        <f>IF(N(G103)&gt;0,COUNTIF($G$68:G103,"&gt;0"),"")</f>
        <v/>
      </c>
      <c r="J103">
        <f>IF(C103="","",IF($G$64="",0,IF(IFERROR(INDEX(Setup!$O$6:$AL$23,18,MATCH(SUBSTITUTE($G$64," *",""),Setup!$B$6:$B$29,0)),"")="",1,0))+IF($H$64="",0,IF(IFERROR(INDEX(Setup!$O$6:$AL$23,18,MATCH(SUBSTITUTE($H$64," *",""),Setup!$B$6:$B$29,0)),"")="",1,0))+IF($I$64="",0,IF(IFERROR(INDEX(Setup!$O$6:$AL$23,18,MATCH(SUBSTITUTE($I$64," *",""),Setup!$B$6:$B$29,0)),"")="",1,0)))</f>
        <v/>
      </c>
      <c r="K103">
        <f>IF($B$12+1=TODAY(),1,0)</f>
        <v/>
      </c>
      <c r="N103">
        <f>COUNT($AN103:$BK103)</f>
        <v/>
      </c>
      <c r="O103">
        <f>IF(1&gt;$N103,"",INDEX(Engine!$B$20:$B$43,MOD(SMALL($AN103:$BK103,1),100))&amp;IF(SMALL($AN103:$BK103,1)&gt;100," *",""))</f>
        <v/>
      </c>
      <c r="P103">
        <f>IF(2&gt;$N103,"",INDEX(Engine!$B$20:$B$43,MOD(SMALL($AN103:$BK103,2),100))&amp;IF(SMALL($AN103:$BK103,2)&gt;100," *",""))</f>
        <v/>
      </c>
      <c r="Q103">
        <f>IF(3&gt;$N103,"",INDEX(Engine!$B$20:$B$43,MOD(SMALL($AN103:$BK103,3),100))&amp;IF(SMALL($AN103:$BK103,3)&gt;100," *",""))</f>
        <v/>
      </c>
      <c r="R103">
        <f>IF(4&gt;$N103,"",INDEX(Engine!$B$20:$B$43,MOD(SMALL($AN103:$BK103,4),100))&amp;IF(SMALL($AN103:$BK103,4)&gt;100," *",""))</f>
        <v/>
      </c>
      <c r="S103">
        <f>IF(5&gt;$N103,"",INDEX(Engine!$B$20:$B$43,MOD(SMALL($AN103:$BK103,5),100))&amp;IF(SMALL($AN103:$BK103,5)&gt;100," *",""))</f>
        <v/>
      </c>
      <c r="T103">
        <f>IF(6&gt;$N103,"",INDEX(Engine!$B$20:$B$43,MOD(SMALL($AN103:$BK103,6),100))&amp;IF(SMALL($AN103:$BK103,6)&gt;100," *",""))</f>
        <v/>
      </c>
      <c r="U103">
        <f>IF(7&gt;$N103,"",INDEX(Engine!$B$20:$B$43,MOD(SMALL($AN103:$BK103,7),100))&amp;IF(SMALL($AN103:$BK103,7)&gt;100," *",""))</f>
        <v/>
      </c>
      <c r="V103">
        <f>IF(8&gt;$N103,"",INDEX(Engine!$B$20:$B$43,MOD(SMALL($AN103:$BK103,8),100))&amp;IF(SMALL($AN103:$BK103,8)&gt;100," *",""))</f>
        <v/>
      </c>
      <c r="W103">
        <f>IF(9&gt;$N103,"",INDEX(Engine!$B$20:$B$43,MOD(SMALL($AN103:$BK103,9),100))&amp;IF(SMALL($AN103:$BK103,9)&gt;100," *",""))</f>
        <v/>
      </c>
      <c r="X103">
        <f>IF(10&gt;$N103,"",INDEX(Engine!$B$20:$B$43,MOD(SMALL($AN103:$BK103,10),100))&amp;IF(SMALL($AN103:$BK103,10)&gt;100," *",""))</f>
        <v/>
      </c>
      <c r="Y103">
        <f>IF(11&gt;$N103,"",INDEX(Engine!$B$20:$B$43,MOD(SMALL($AN103:$BK103,11),100))&amp;IF(SMALL($AN103:$BK103,11)&gt;100," *",""))</f>
        <v/>
      </c>
      <c r="Z103">
        <f>IF(12&gt;$N103,"",INDEX(Engine!$B$20:$B$43,MOD(SMALL($AN103:$BK103,12),100))&amp;IF(SMALL($AN103:$BK103,12)&gt;100," *",""))</f>
        <v/>
      </c>
      <c r="AA103">
        <f>IF(13&gt;$N103,"",INDEX(Engine!$B$20:$B$43,MOD(SMALL($AN103:$BK103,13),100))&amp;IF(SMALL($AN103:$BK103,13)&gt;100," *",""))</f>
        <v/>
      </c>
      <c r="AB103">
        <f>IF(14&gt;$N103,"",INDEX(Engine!$B$20:$B$43,MOD(SMALL($AN103:$BK103,14),100))&amp;IF(SMALL($AN103:$BK103,14)&gt;100," *",""))</f>
        <v/>
      </c>
      <c r="AC103">
        <f>IF(15&gt;$N103,"",INDEX(Engine!$B$20:$B$43,MOD(SMALL($AN103:$BK103,15),100))&amp;IF(SMALL($AN103:$BK103,15)&gt;100," *",""))</f>
        <v/>
      </c>
      <c r="AD103">
        <f>IF(16&gt;$N103,"",INDEX(Engine!$B$20:$B$43,MOD(SMALL($AN103:$BK103,16),100))&amp;IF(SMALL($AN103:$BK103,16)&gt;100," *",""))</f>
        <v/>
      </c>
      <c r="AE103">
        <f>IF(17&gt;$N103,"",INDEX(Engine!$B$20:$B$43,MOD(SMALL($AN103:$BK103,17),100))&amp;IF(SMALL($AN103:$BK103,17)&gt;100," *",""))</f>
        <v/>
      </c>
      <c r="AF103">
        <f>IF(18&gt;$N103,"",INDEX(Engine!$B$20:$B$43,MOD(SMALL($AN103:$BK103,18),100))&amp;IF(SMALL($AN103:$BK103,18)&gt;100," *",""))</f>
        <v/>
      </c>
      <c r="AG103">
        <f>IF(19&gt;$N103,"",INDEX(Engine!$B$20:$B$43,MOD(SMALL($AN103:$BK103,19),100))&amp;IF(SMALL($AN103:$BK103,19)&gt;100," *",""))</f>
        <v/>
      </c>
      <c r="AH103">
        <f>IF(20&gt;$N103,"",INDEX(Engine!$B$20:$B$43,MOD(SMALL($AN103:$BK103,20),100))&amp;IF(SMALL($AN103:$BK103,20)&gt;100," *",""))</f>
        <v/>
      </c>
      <c r="AI103">
        <f>IF(21&gt;$N103,"",INDEX(Engine!$B$20:$B$43,MOD(SMALL($AN103:$BK103,21),100))&amp;IF(SMALL($AN103:$BK103,21)&gt;100," *",""))</f>
        <v/>
      </c>
      <c r="AJ103">
        <f>IF(22&gt;$N103,"",INDEX(Engine!$B$20:$B$43,MOD(SMALL($AN103:$BK103,22),100))&amp;IF(SMALL($AN103:$BK103,22)&gt;100," *",""))</f>
        <v/>
      </c>
      <c r="AK103">
        <f>IF(23&gt;$N103,"",INDEX(Engine!$B$20:$B$43,MOD(SMALL($AN103:$BK103,23),100))&amp;IF(SMALL($AN103:$BK103,23)&gt;100," *",""))</f>
        <v/>
      </c>
      <c r="AL103">
        <f>IF(24&gt;$N103,"",INDEX(Engine!$B$20:$B$43,MOD(SMALL($AN103:$BK103,24),100))&amp;IF(SMALL($AN103:$BK103,24)&gt;100," *",""))</f>
        <v/>
      </c>
      <c r="AN103">
        <f>IF(AND($C20=1,INDEX(Setup!$O$6:$AL$23,18,1)&lt;&gt;"",L20=0),1+IF(INDEX(Setup!$O$6:$AL$23,18,1)="T",100,0),"")</f>
        <v/>
      </c>
      <c r="AO103">
        <f>IF(AND($C21=1,INDEX(Setup!$O$6:$AL$23,18,2)&lt;&gt;"",L21=0),2+IF(INDEX(Setup!$O$6:$AL$23,18,2)="T",100,0),"")</f>
        <v/>
      </c>
      <c r="AP103">
        <f>IF(AND($C22=1,INDEX(Setup!$O$6:$AL$23,18,3)&lt;&gt;"",L22=0),3+IF(INDEX(Setup!$O$6:$AL$23,18,3)="T",100,0),"")</f>
        <v/>
      </c>
      <c r="AQ103">
        <f>IF(AND($C23=1,INDEX(Setup!$O$6:$AL$23,18,4)&lt;&gt;"",L23=0),4+IF(INDEX(Setup!$O$6:$AL$23,18,4)="T",100,0),"")</f>
        <v/>
      </c>
      <c r="AR103">
        <f>IF(AND($C24=1,INDEX(Setup!$O$6:$AL$23,18,5)&lt;&gt;"",L24=0),5+IF(INDEX(Setup!$O$6:$AL$23,18,5)="T",100,0),"")</f>
        <v/>
      </c>
      <c r="AS103">
        <f>IF(AND($C25=1,INDEX(Setup!$O$6:$AL$23,18,6)&lt;&gt;"",L25=0),6+IF(INDEX(Setup!$O$6:$AL$23,18,6)="T",100,0),"")</f>
        <v/>
      </c>
      <c r="AT103">
        <f>IF(AND($C26=1,INDEX(Setup!$O$6:$AL$23,18,7)&lt;&gt;"",L26=0),7+IF(INDEX(Setup!$O$6:$AL$23,18,7)="T",100,0),"")</f>
        <v/>
      </c>
      <c r="AU103">
        <f>IF(AND($C27=1,INDEX(Setup!$O$6:$AL$23,18,8)&lt;&gt;"",L27=0),8+IF(INDEX(Setup!$O$6:$AL$23,18,8)="T",100,0),"")</f>
        <v/>
      </c>
      <c r="AV103">
        <f>IF(AND($C28=1,INDEX(Setup!$O$6:$AL$23,18,9)&lt;&gt;"",L28=0),9+IF(INDEX(Setup!$O$6:$AL$23,18,9)="T",100,0),"")</f>
        <v/>
      </c>
      <c r="AW103">
        <f>IF(AND($C29=1,INDEX(Setup!$O$6:$AL$23,18,10)&lt;&gt;"",L29=0),10+IF(INDEX(Setup!$O$6:$AL$23,18,10)="T",100,0),"")</f>
        <v/>
      </c>
      <c r="AX103">
        <f>IF(AND($C30=1,INDEX(Setup!$O$6:$AL$23,18,11)&lt;&gt;"",L30=0),11+IF(INDEX(Setup!$O$6:$AL$23,18,11)="T",100,0),"")</f>
        <v/>
      </c>
      <c r="AY103">
        <f>IF(AND($C31=1,INDEX(Setup!$O$6:$AL$23,18,12)&lt;&gt;"",L31=0),12+IF(INDEX(Setup!$O$6:$AL$23,18,12)="T",100,0),"")</f>
        <v/>
      </c>
      <c r="AZ103">
        <f>IF(AND($C32=1,INDEX(Setup!$O$6:$AL$23,18,13)&lt;&gt;"",L32=0),13+IF(INDEX(Setup!$O$6:$AL$23,18,13)="T",100,0),"")</f>
        <v/>
      </c>
      <c r="BA103">
        <f>IF(AND($C33=1,INDEX(Setup!$O$6:$AL$23,18,14)&lt;&gt;"",L33=0),14+IF(INDEX(Setup!$O$6:$AL$23,18,14)="T",100,0),"")</f>
        <v/>
      </c>
      <c r="BB103">
        <f>IF(AND($C34=1,INDEX(Setup!$O$6:$AL$23,18,15)&lt;&gt;"",L34=0),15+IF(INDEX(Setup!$O$6:$AL$23,18,15)="T",100,0),"")</f>
        <v/>
      </c>
      <c r="BC103">
        <f>IF(AND($C35=1,INDEX(Setup!$O$6:$AL$23,18,16)&lt;&gt;"",L35=0),16+IF(INDEX(Setup!$O$6:$AL$23,18,16)="T",100,0),"")</f>
        <v/>
      </c>
      <c r="BD103">
        <f>IF(AND($C36=1,INDEX(Setup!$O$6:$AL$23,18,17)&lt;&gt;"",L36=0),17+IF(INDEX(Setup!$O$6:$AL$23,18,17)="T",100,0),"")</f>
        <v/>
      </c>
      <c r="BE103">
        <f>IF(AND($C37=1,INDEX(Setup!$O$6:$AL$23,18,18)&lt;&gt;"",L37=0),18+IF(INDEX(Setup!$O$6:$AL$23,18,18)="T",100,0),"")</f>
        <v/>
      </c>
      <c r="BF103">
        <f>IF(AND($C38=1,INDEX(Setup!$O$6:$AL$23,18,19)&lt;&gt;"",L38=0),19+IF(INDEX(Setup!$O$6:$AL$23,18,19)="T",100,0),"")</f>
        <v/>
      </c>
      <c r="BG103">
        <f>IF(AND($C39=1,INDEX(Setup!$O$6:$AL$23,18,20)&lt;&gt;"",L39=0),20+IF(INDEX(Setup!$O$6:$AL$23,18,20)="T",100,0),"")</f>
        <v/>
      </c>
      <c r="BH103">
        <f>IF(AND($C40=1,INDEX(Setup!$O$6:$AL$23,18,21)&lt;&gt;"",L40=0),21+IF(INDEX(Setup!$O$6:$AL$23,18,21)="T",100,0),"")</f>
        <v/>
      </c>
      <c r="BI103">
        <f>IF(AND($C41=1,INDEX(Setup!$O$6:$AL$23,18,22)&lt;&gt;"",L41=0),22+IF(INDEX(Setup!$O$6:$AL$23,18,22)="T",100,0),"")</f>
        <v/>
      </c>
      <c r="BJ103">
        <f>IF(AND($C42=1,INDEX(Setup!$O$6:$AL$23,18,23)&lt;&gt;"",L42=0),23+IF(INDEX(Setup!$O$6:$AL$23,18,23)="T",100,0),"")</f>
        <v/>
      </c>
      <c r="BK103">
        <f>IF(AND($C43=1,INDEX(Setup!$O$6:$AL$23,18,24)&lt;&gt;"",L43=0),24+IF(INDEX(Setup!$O$6:$AL$23,18,24)="T",100,0),"")</f>
        <v/>
      </c>
      <c r="BM103">
        <f>IF(AND(AN103&lt;&gt;"",COUNTIF($G$64:$I$64,$B20)+COUNTIF($G$64:$I$64,$B20&amp;" ~*")=0),($R20+COUNTIF($H$86:$H102,$B20)+COUNTIF($H$86:$H102,$B20&amp;" ~*"))*1000+IF(AN103&gt;100,500,0)+1,"")</f>
        <v/>
      </c>
      <c r="BN103">
        <f>IF(AND(AO103&lt;&gt;"",COUNTIF($G$64:$I$64,$B21)+COUNTIF($G$64:$I$64,$B21&amp;" ~*")=0),($R21+COUNTIF($H$86:$H102,$B21)+COUNTIF($H$86:$H102,$B21&amp;" ~*"))*1000+IF(AO103&gt;100,500,0)+2,"")</f>
        <v/>
      </c>
      <c r="BO103">
        <f>IF(AND(AP103&lt;&gt;"",COUNTIF($G$64:$I$64,$B22)+COUNTIF($G$64:$I$64,$B22&amp;" ~*")=0),($R22+COUNTIF($H$86:$H102,$B22)+COUNTIF($H$86:$H102,$B22&amp;" ~*"))*1000+IF(AP103&gt;100,500,0)+3,"")</f>
        <v/>
      </c>
      <c r="BP103">
        <f>IF(AND(AQ103&lt;&gt;"",COUNTIF($G$64:$I$64,$B23)+COUNTIF($G$64:$I$64,$B23&amp;" ~*")=0),($R23+COUNTIF($H$86:$H102,$B23)+COUNTIF($H$86:$H102,$B23&amp;" ~*"))*1000+IF(AQ103&gt;100,500,0)+4,"")</f>
        <v/>
      </c>
      <c r="BQ103">
        <f>IF(AND(AR103&lt;&gt;"",COUNTIF($G$64:$I$64,$B24)+COUNTIF($G$64:$I$64,$B24&amp;" ~*")=0),($R24+COUNTIF($H$86:$H102,$B24)+COUNTIF($H$86:$H102,$B24&amp;" ~*"))*1000+IF(AR103&gt;100,500,0)+5,"")</f>
        <v/>
      </c>
      <c r="BR103">
        <f>IF(AND(AS103&lt;&gt;"",COUNTIF($G$64:$I$64,$B25)+COUNTIF($G$64:$I$64,$B25&amp;" ~*")=0),($R25+COUNTIF($H$86:$H102,$B25)+COUNTIF($H$86:$H102,$B25&amp;" ~*"))*1000+IF(AS103&gt;100,500,0)+6,"")</f>
        <v/>
      </c>
      <c r="BS103">
        <f>IF(AND(AT103&lt;&gt;"",COUNTIF($G$64:$I$64,$B26)+COUNTIF($G$64:$I$64,$B26&amp;" ~*")=0),($R26+COUNTIF($H$86:$H102,$B26)+COUNTIF($H$86:$H102,$B26&amp;" ~*"))*1000+IF(AT103&gt;100,500,0)+7,"")</f>
        <v/>
      </c>
      <c r="BT103">
        <f>IF(AND(AU103&lt;&gt;"",COUNTIF($G$64:$I$64,$B27)+COUNTIF($G$64:$I$64,$B27&amp;" ~*")=0),($R27+COUNTIF($H$86:$H102,$B27)+COUNTIF($H$86:$H102,$B27&amp;" ~*"))*1000+IF(AU103&gt;100,500,0)+8,"")</f>
        <v/>
      </c>
      <c r="BU103">
        <f>IF(AND(AV103&lt;&gt;"",COUNTIF($G$64:$I$64,$B28)+COUNTIF($G$64:$I$64,$B28&amp;" ~*")=0),($R28+COUNTIF($H$86:$H102,$B28)+COUNTIF($H$86:$H102,$B28&amp;" ~*"))*1000+IF(AV103&gt;100,500,0)+9,"")</f>
        <v/>
      </c>
      <c r="BV103">
        <f>IF(AND(AW103&lt;&gt;"",COUNTIF($G$64:$I$64,$B29)+COUNTIF($G$64:$I$64,$B29&amp;" ~*")=0),($R29+COUNTIF($H$86:$H102,$B29)+COUNTIF($H$86:$H102,$B29&amp;" ~*"))*1000+IF(AW103&gt;100,500,0)+10,"")</f>
        <v/>
      </c>
      <c r="BW103">
        <f>IF(AND(AX103&lt;&gt;"",COUNTIF($G$64:$I$64,$B30)+COUNTIF($G$64:$I$64,$B30&amp;" ~*")=0),($R30+COUNTIF($H$86:$H102,$B30)+COUNTIF($H$86:$H102,$B30&amp;" ~*"))*1000+IF(AX103&gt;100,500,0)+11,"")</f>
        <v/>
      </c>
      <c r="BX103">
        <f>IF(AND(AY103&lt;&gt;"",COUNTIF($G$64:$I$64,$B31)+COUNTIF($G$64:$I$64,$B31&amp;" ~*")=0),($R31+COUNTIF($H$86:$H102,$B31)+COUNTIF($H$86:$H102,$B31&amp;" ~*"))*1000+IF(AY103&gt;100,500,0)+12,"")</f>
        <v/>
      </c>
      <c r="BY103">
        <f>IF(AND(AZ103&lt;&gt;"",COUNTIF($G$64:$I$64,$B32)+COUNTIF($G$64:$I$64,$B32&amp;" ~*")=0),($R32+COUNTIF($H$86:$H102,$B32)+COUNTIF($H$86:$H102,$B32&amp;" ~*"))*1000+IF(AZ103&gt;100,500,0)+13,"")</f>
        <v/>
      </c>
      <c r="BZ103">
        <f>IF(AND(BA103&lt;&gt;"",COUNTIF($G$64:$I$64,$B33)+COUNTIF($G$64:$I$64,$B33&amp;" ~*")=0),($R33+COUNTIF($H$86:$H102,$B33)+COUNTIF($H$86:$H102,$B33&amp;" ~*"))*1000+IF(BA103&gt;100,500,0)+14,"")</f>
        <v/>
      </c>
      <c r="CA103">
        <f>IF(AND(BB103&lt;&gt;"",COUNTIF($G$64:$I$64,$B34)+COUNTIF($G$64:$I$64,$B34&amp;" ~*")=0),($R34+COUNTIF($H$86:$H102,$B34)+COUNTIF($H$86:$H102,$B34&amp;" ~*"))*1000+IF(BB103&gt;100,500,0)+15,"")</f>
        <v/>
      </c>
      <c r="CB103">
        <f>IF(AND(BC103&lt;&gt;"",COUNTIF($G$64:$I$64,$B35)+COUNTIF($G$64:$I$64,$B35&amp;" ~*")=0),($R35+COUNTIF($H$86:$H102,$B35)+COUNTIF($H$86:$H102,$B35&amp;" ~*"))*1000+IF(BC103&gt;100,500,0)+16,"")</f>
        <v/>
      </c>
      <c r="CC103">
        <f>IF(AND(BD103&lt;&gt;"",COUNTIF($G$64:$I$64,$B36)+COUNTIF($G$64:$I$64,$B36&amp;" ~*")=0),($R36+COUNTIF($H$86:$H102,$B36)+COUNTIF($H$86:$H102,$B36&amp;" ~*"))*1000+IF(BD103&gt;100,500,0)+17,"")</f>
        <v/>
      </c>
      <c r="CD103">
        <f>IF(AND(BE103&lt;&gt;"",COUNTIF($G$64:$I$64,$B37)+COUNTIF($G$64:$I$64,$B37&amp;" ~*")=0),($R37+COUNTIF($H$86:$H102,$B37)+COUNTIF($H$86:$H102,$B37&amp;" ~*"))*1000+IF(BE103&gt;100,500,0)+18,"")</f>
        <v/>
      </c>
      <c r="CE103">
        <f>IF(AND(BF103&lt;&gt;"",COUNTIF($G$64:$I$64,$B38)+COUNTIF($G$64:$I$64,$B38&amp;" ~*")=0),($R38+COUNTIF($H$86:$H102,$B38)+COUNTIF($H$86:$H102,$B38&amp;" ~*"))*1000+IF(BF103&gt;100,500,0)+19,"")</f>
        <v/>
      </c>
      <c r="CF103">
        <f>IF(AND(BG103&lt;&gt;"",COUNTIF($G$64:$I$64,$B39)+COUNTIF($G$64:$I$64,$B39&amp;" ~*")=0),($R39+COUNTIF($H$86:$H102,$B39)+COUNTIF($H$86:$H102,$B39&amp;" ~*"))*1000+IF(BG103&gt;100,500,0)+20,"")</f>
        <v/>
      </c>
      <c r="CG103">
        <f>IF(AND(BH103&lt;&gt;"",COUNTIF($G$64:$I$64,$B40)+COUNTIF($G$64:$I$64,$B40&amp;" ~*")=0),($R40+COUNTIF($H$86:$H102,$B40)+COUNTIF($H$86:$H102,$B40&amp;" ~*"))*1000+IF(BH103&gt;100,500,0)+21,"")</f>
        <v/>
      </c>
      <c r="CH103">
        <f>IF(AND(BI103&lt;&gt;"",COUNTIF($G$64:$I$64,$B41)+COUNTIF($G$64:$I$64,$B41&amp;" ~*")=0),($R41+COUNTIF($H$86:$H102,$B41)+COUNTIF($H$86:$H102,$B41&amp;" ~*"))*1000+IF(BI103&gt;100,500,0)+22,"")</f>
        <v/>
      </c>
      <c r="CI103">
        <f>IF(AND(BJ103&lt;&gt;"",COUNTIF($G$64:$I$64,$B42)+COUNTIF($G$64:$I$64,$B42&amp;" ~*")=0),($R42+COUNTIF($H$86:$H102,$B42)+COUNTIF($H$86:$H102,$B42&amp;" ~*"))*1000+IF(BJ103&gt;100,500,0)+23,"")</f>
        <v/>
      </c>
      <c r="CJ103">
        <f>IF(AND(BK103&lt;&gt;"",COUNTIF($G$64:$I$64,$B43)+COUNTIF($G$64:$I$64,$B43&amp;" ~*")=0),($R43+COUNTIF($H$86:$H102,$B43)+COUNTIF($H$86:$H102,$B43&amp;" ~*"))*1000+IF(BK103&gt;100,500,0)+24,"")</f>
        <v/>
      </c>
    </row>
    <row r="104">
      <c r="A104" t="n">
        <v>3</v>
      </c>
      <c r="B104" t="n">
        <v>1</v>
      </c>
      <c r="C104">
        <f>$B$47</f>
        <v/>
      </c>
      <c r="D104" t="inlineStr">
        <is>
          <t>Wed</t>
        </is>
      </c>
      <c r="E104">
        <f>IF(C104="","",N($AB$47))</f>
        <v/>
      </c>
      <c r="F104">
        <f>IF(C104="","",COUNTIF($K$47:$M$47,"?*"))</f>
        <v/>
      </c>
      <c r="G104">
        <f>IF(C104="","",MAX(0,E104-F104))</f>
        <v/>
      </c>
      <c r="H104">
        <f>IF(N(G104)=0,"",IF(COUNT(BM104:CJ104)=0,"no-one eligible",INDEX(Engine!$B$20:$B$43,MOD(MIN(BM104:CJ104),500))&amp;IF(MOD(MIN(BM104:CJ104),1000)&gt;=500," *","")))</f>
        <v/>
      </c>
      <c r="I104">
        <f>IF(N(G104)&gt;0,COUNTIF($G$68:G104,"&gt;0"),"")</f>
        <v/>
      </c>
      <c r="J104">
        <f>IF(C104="","",IF($K$47="",0,IF(IFERROR(INDEX(Setup!$O$6:$AL$23,1,MATCH(SUBSTITUTE($K$47," *",""),Setup!$B$6:$B$29,0)),"")="",1,0))+IF($L$47="",0,IF(IFERROR(INDEX(Setup!$O$6:$AL$23,1,MATCH(SUBSTITUTE($L$47," *",""),Setup!$B$6:$B$29,0)),"")="",1,0))+IF($M$47="",0,IF(IFERROR(INDEX(Setup!$O$6:$AL$23,1,MATCH(SUBSTITUTE($M$47," *",""),Setup!$B$6:$B$29,0)),"")="",1,0)))</f>
        <v/>
      </c>
      <c r="K104">
        <f>IF($B$12+2=TODAY(),1,0)</f>
        <v/>
      </c>
      <c r="N104">
        <f>COUNT($AN104:$BK104)</f>
        <v/>
      </c>
      <c r="O104">
        <f>IF(1&gt;$N104,"",INDEX(Engine!$B$20:$B$43,MOD(SMALL($AN104:$BK104,1),100))&amp;IF(SMALL($AN104:$BK104,1)&gt;100," *",""))</f>
        <v/>
      </c>
      <c r="P104">
        <f>IF(2&gt;$N104,"",INDEX(Engine!$B$20:$B$43,MOD(SMALL($AN104:$BK104,2),100))&amp;IF(SMALL($AN104:$BK104,2)&gt;100," *",""))</f>
        <v/>
      </c>
      <c r="Q104">
        <f>IF(3&gt;$N104,"",INDEX(Engine!$B$20:$B$43,MOD(SMALL($AN104:$BK104,3),100))&amp;IF(SMALL($AN104:$BK104,3)&gt;100," *",""))</f>
        <v/>
      </c>
      <c r="R104">
        <f>IF(4&gt;$N104,"",INDEX(Engine!$B$20:$B$43,MOD(SMALL($AN104:$BK104,4),100))&amp;IF(SMALL($AN104:$BK104,4)&gt;100," *",""))</f>
        <v/>
      </c>
      <c r="S104">
        <f>IF(5&gt;$N104,"",INDEX(Engine!$B$20:$B$43,MOD(SMALL($AN104:$BK104,5),100))&amp;IF(SMALL($AN104:$BK104,5)&gt;100," *",""))</f>
        <v/>
      </c>
      <c r="T104">
        <f>IF(6&gt;$N104,"",INDEX(Engine!$B$20:$B$43,MOD(SMALL($AN104:$BK104,6),100))&amp;IF(SMALL($AN104:$BK104,6)&gt;100," *",""))</f>
        <v/>
      </c>
      <c r="U104">
        <f>IF(7&gt;$N104,"",INDEX(Engine!$B$20:$B$43,MOD(SMALL($AN104:$BK104,7),100))&amp;IF(SMALL($AN104:$BK104,7)&gt;100," *",""))</f>
        <v/>
      </c>
      <c r="V104">
        <f>IF(8&gt;$N104,"",INDEX(Engine!$B$20:$B$43,MOD(SMALL($AN104:$BK104,8),100))&amp;IF(SMALL($AN104:$BK104,8)&gt;100," *",""))</f>
        <v/>
      </c>
      <c r="W104">
        <f>IF(9&gt;$N104,"",INDEX(Engine!$B$20:$B$43,MOD(SMALL($AN104:$BK104,9),100))&amp;IF(SMALL($AN104:$BK104,9)&gt;100," *",""))</f>
        <v/>
      </c>
      <c r="X104">
        <f>IF(10&gt;$N104,"",INDEX(Engine!$B$20:$B$43,MOD(SMALL($AN104:$BK104,10),100))&amp;IF(SMALL($AN104:$BK104,10)&gt;100," *",""))</f>
        <v/>
      </c>
      <c r="Y104">
        <f>IF(11&gt;$N104,"",INDEX(Engine!$B$20:$B$43,MOD(SMALL($AN104:$BK104,11),100))&amp;IF(SMALL($AN104:$BK104,11)&gt;100," *",""))</f>
        <v/>
      </c>
      <c r="Z104">
        <f>IF(12&gt;$N104,"",INDEX(Engine!$B$20:$B$43,MOD(SMALL($AN104:$BK104,12),100))&amp;IF(SMALL($AN104:$BK104,12)&gt;100," *",""))</f>
        <v/>
      </c>
      <c r="AA104">
        <f>IF(13&gt;$N104,"",INDEX(Engine!$B$20:$B$43,MOD(SMALL($AN104:$BK104,13),100))&amp;IF(SMALL($AN104:$BK104,13)&gt;100," *",""))</f>
        <v/>
      </c>
      <c r="AB104">
        <f>IF(14&gt;$N104,"",INDEX(Engine!$B$20:$B$43,MOD(SMALL($AN104:$BK104,14),100))&amp;IF(SMALL($AN104:$BK104,14)&gt;100," *",""))</f>
        <v/>
      </c>
      <c r="AC104">
        <f>IF(15&gt;$N104,"",INDEX(Engine!$B$20:$B$43,MOD(SMALL($AN104:$BK104,15),100))&amp;IF(SMALL($AN104:$BK104,15)&gt;100," *",""))</f>
        <v/>
      </c>
      <c r="AD104">
        <f>IF(16&gt;$N104,"",INDEX(Engine!$B$20:$B$43,MOD(SMALL($AN104:$BK104,16),100))&amp;IF(SMALL($AN104:$BK104,16)&gt;100," *",""))</f>
        <v/>
      </c>
      <c r="AE104">
        <f>IF(17&gt;$N104,"",INDEX(Engine!$B$20:$B$43,MOD(SMALL($AN104:$BK104,17),100))&amp;IF(SMALL($AN104:$BK104,17)&gt;100," *",""))</f>
        <v/>
      </c>
      <c r="AF104">
        <f>IF(18&gt;$N104,"",INDEX(Engine!$B$20:$B$43,MOD(SMALL($AN104:$BK104,18),100))&amp;IF(SMALL($AN104:$BK104,18)&gt;100," *",""))</f>
        <v/>
      </c>
      <c r="AG104">
        <f>IF(19&gt;$N104,"",INDEX(Engine!$B$20:$B$43,MOD(SMALL($AN104:$BK104,19),100))&amp;IF(SMALL($AN104:$BK104,19)&gt;100," *",""))</f>
        <v/>
      </c>
      <c r="AH104">
        <f>IF(20&gt;$N104,"",INDEX(Engine!$B$20:$B$43,MOD(SMALL($AN104:$BK104,20),100))&amp;IF(SMALL($AN104:$BK104,20)&gt;100," *",""))</f>
        <v/>
      </c>
      <c r="AI104">
        <f>IF(21&gt;$N104,"",INDEX(Engine!$B$20:$B$43,MOD(SMALL($AN104:$BK104,21),100))&amp;IF(SMALL($AN104:$BK104,21)&gt;100," *",""))</f>
        <v/>
      </c>
      <c r="AJ104">
        <f>IF(22&gt;$N104,"",INDEX(Engine!$B$20:$B$43,MOD(SMALL($AN104:$BK104,22),100))&amp;IF(SMALL($AN104:$BK104,22)&gt;100," *",""))</f>
        <v/>
      </c>
      <c r="AK104">
        <f>IF(23&gt;$N104,"",INDEX(Engine!$B$20:$B$43,MOD(SMALL($AN104:$BK104,23),100))&amp;IF(SMALL($AN104:$BK104,23)&gt;100," *",""))</f>
        <v/>
      </c>
      <c r="AL104">
        <f>IF(24&gt;$N104,"",INDEX(Engine!$B$20:$B$43,MOD(SMALL($AN104:$BK104,24),100))&amp;IF(SMALL($AN104:$BK104,24)&gt;100," *",""))</f>
        <v/>
      </c>
      <c r="AN104">
        <f>IF(AND($C20=1,INDEX(Setup!$O$6:$AL$23,1,1)&lt;&gt;"",M20=0),1+IF(INDEX(Setup!$O$6:$AL$23,1,1)="T",100,0),"")</f>
        <v/>
      </c>
      <c r="AO104">
        <f>IF(AND($C21=1,INDEX(Setup!$O$6:$AL$23,1,2)&lt;&gt;"",M21=0),2+IF(INDEX(Setup!$O$6:$AL$23,1,2)="T",100,0),"")</f>
        <v/>
      </c>
      <c r="AP104">
        <f>IF(AND($C22=1,INDEX(Setup!$O$6:$AL$23,1,3)&lt;&gt;"",M22=0),3+IF(INDEX(Setup!$O$6:$AL$23,1,3)="T",100,0),"")</f>
        <v/>
      </c>
      <c r="AQ104">
        <f>IF(AND($C23=1,INDEX(Setup!$O$6:$AL$23,1,4)&lt;&gt;"",M23=0),4+IF(INDEX(Setup!$O$6:$AL$23,1,4)="T",100,0),"")</f>
        <v/>
      </c>
      <c r="AR104">
        <f>IF(AND($C24=1,INDEX(Setup!$O$6:$AL$23,1,5)&lt;&gt;"",M24=0),5+IF(INDEX(Setup!$O$6:$AL$23,1,5)="T",100,0),"")</f>
        <v/>
      </c>
      <c r="AS104">
        <f>IF(AND($C25=1,INDEX(Setup!$O$6:$AL$23,1,6)&lt;&gt;"",M25=0),6+IF(INDEX(Setup!$O$6:$AL$23,1,6)="T",100,0),"")</f>
        <v/>
      </c>
      <c r="AT104">
        <f>IF(AND($C26=1,INDEX(Setup!$O$6:$AL$23,1,7)&lt;&gt;"",M26=0),7+IF(INDEX(Setup!$O$6:$AL$23,1,7)="T",100,0),"")</f>
        <v/>
      </c>
      <c r="AU104">
        <f>IF(AND($C27=1,INDEX(Setup!$O$6:$AL$23,1,8)&lt;&gt;"",M27=0),8+IF(INDEX(Setup!$O$6:$AL$23,1,8)="T",100,0),"")</f>
        <v/>
      </c>
      <c r="AV104">
        <f>IF(AND($C28=1,INDEX(Setup!$O$6:$AL$23,1,9)&lt;&gt;"",M28=0),9+IF(INDEX(Setup!$O$6:$AL$23,1,9)="T",100,0),"")</f>
        <v/>
      </c>
      <c r="AW104">
        <f>IF(AND($C29=1,INDEX(Setup!$O$6:$AL$23,1,10)&lt;&gt;"",M29=0),10+IF(INDEX(Setup!$O$6:$AL$23,1,10)="T",100,0),"")</f>
        <v/>
      </c>
      <c r="AX104">
        <f>IF(AND($C30=1,INDEX(Setup!$O$6:$AL$23,1,11)&lt;&gt;"",M30=0),11+IF(INDEX(Setup!$O$6:$AL$23,1,11)="T",100,0),"")</f>
        <v/>
      </c>
      <c r="AY104">
        <f>IF(AND($C31=1,INDEX(Setup!$O$6:$AL$23,1,12)&lt;&gt;"",M31=0),12+IF(INDEX(Setup!$O$6:$AL$23,1,12)="T",100,0),"")</f>
        <v/>
      </c>
      <c r="AZ104">
        <f>IF(AND($C32=1,INDEX(Setup!$O$6:$AL$23,1,13)&lt;&gt;"",M32=0),13+IF(INDEX(Setup!$O$6:$AL$23,1,13)="T",100,0),"")</f>
        <v/>
      </c>
      <c r="BA104">
        <f>IF(AND($C33=1,INDEX(Setup!$O$6:$AL$23,1,14)&lt;&gt;"",M33=0),14+IF(INDEX(Setup!$O$6:$AL$23,1,14)="T",100,0),"")</f>
        <v/>
      </c>
      <c r="BB104">
        <f>IF(AND($C34=1,INDEX(Setup!$O$6:$AL$23,1,15)&lt;&gt;"",M34=0),15+IF(INDEX(Setup!$O$6:$AL$23,1,15)="T",100,0),"")</f>
        <v/>
      </c>
      <c r="BC104">
        <f>IF(AND($C35=1,INDEX(Setup!$O$6:$AL$23,1,16)&lt;&gt;"",M35=0),16+IF(INDEX(Setup!$O$6:$AL$23,1,16)="T",100,0),"")</f>
        <v/>
      </c>
      <c r="BD104">
        <f>IF(AND($C36=1,INDEX(Setup!$O$6:$AL$23,1,17)&lt;&gt;"",M36=0),17+IF(INDEX(Setup!$O$6:$AL$23,1,17)="T",100,0),"")</f>
        <v/>
      </c>
      <c r="BE104">
        <f>IF(AND($C37=1,INDEX(Setup!$O$6:$AL$23,1,18)&lt;&gt;"",M37=0),18+IF(INDEX(Setup!$O$6:$AL$23,1,18)="T",100,0),"")</f>
        <v/>
      </c>
      <c r="BF104">
        <f>IF(AND($C38=1,INDEX(Setup!$O$6:$AL$23,1,19)&lt;&gt;"",M38=0),19+IF(INDEX(Setup!$O$6:$AL$23,1,19)="T",100,0),"")</f>
        <v/>
      </c>
      <c r="BG104">
        <f>IF(AND($C39=1,INDEX(Setup!$O$6:$AL$23,1,20)&lt;&gt;"",M39=0),20+IF(INDEX(Setup!$O$6:$AL$23,1,20)="T",100,0),"")</f>
        <v/>
      </c>
      <c r="BH104">
        <f>IF(AND($C40=1,INDEX(Setup!$O$6:$AL$23,1,21)&lt;&gt;"",M40=0),21+IF(INDEX(Setup!$O$6:$AL$23,1,21)="T",100,0),"")</f>
        <v/>
      </c>
      <c r="BI104">
        <f>IF(AND($C41=1,INDEX(Setup!$O$6:$AL$23,1,22)&lt;&gt;"",M41=0),22+IF(INDEX(Setup!$O$6:$AL$23,1,22)="T",100,0),"")</f>
        <v/>
      </c>
      <c r="BJ104">
        <f>IF(AND($C42=1,INDEX(Setup!$O$6:$AL$23,1,23)&lt;&gt;"",M42=0),23+IF(INDEX(Setup!$O$6:$AL$23,1,23)="T",100,0),"")</f>
        <v/>
      </c>
      <c r="BK104">
        <f>IF(AND($C43=1,INDEX(Setup!$O$6:$AL$23,1,24)&lt;&gt;"",M43=0),24+IF(INDEX(Setup!$O$6:$AL$23,1,24)="T",100,0),"")</f>
        <v/>
      </c>
      <c r="BM104">
        <f>IF(AND(AN104&lt;&gt;"",COUNTIF($K$47:$M$47,$B20)+COUNTIF($K$47:$M$47,$B20&amp;" ~*")=0),($R20+0)*1000+IF(AN104&gt;100,500,0)+1,"")</f>
        <v/>
      </c>
      <c r="BN104">
        <f>IF(AND(AO104&lt;&gt;"",COUNTIF($K$47:$M$47,$B21)+COUNTIF($K$47:$M$47,$B21&amp;" ~*")=0),($R21+0)*1000+IF(AO104&gt;100,500,0)+2,"")</f>
        <v/>
      </c>
      <c r="BO104">
        <f>IF(AND(AP104&lt;&gt;"",COUNTIF($K$47:$M$47,$B22)+COUNTIF($K$47:$M$47,$B22&amp;" ~*")=0),($R22+0)*1000+IF(AP104&gt;100,500,0)+3,"")</f>
        <v/>
      </c>
      <c r="BP104">
        <f>IF(AND(AQ104&lt;&gt;"",COUNTIF($K$47:$M$47,$B23)+COUNTIF($K$47:$M$47,$B23&amp;" ~*")=0),($R23+0)*1000+IF(AQ104&gt;100,500,0)+4,"")</f>
        <v/>
      </c>
      <c r="BQ104">
        <f>IF(AND(AR104&lt;&gt;"",COUNTIF($K$47:$M$47,$B24)+COUNTIF($K$47:$M$47,$B24&amp;" ~*")=0),($R24+0)*1000+IF(AR104&gt;100,500,0)+5,"")</f>
        <v/>
      </c>
      <c r="BR104">
        <f>IF(AND(AS104&lt;&gt;"",COUNTIF($K$47:$M$47,$B25)+COUNTIF($K$47:$M$47,$B25&amp;" ~*")=0),($R25+0)*1000+IF(AS104&gt;100,500,0)+6,"")</f>
        <v/>
      </c>
      <c r="BS104">
        <f>IF(AND(AT104&lt;&gt;"",COUNTIF($K$47:$M$47,$B26)+COUNTIF($K$47:$M$47,$B26&amp;" ~*")=0),($R26+0)*1000+IF(AT104&gt;100,500,0)+7,"")</f>
        <v/>
      </c>
      <c r="BT104">
        <f>IF(AND(AU104&lt;&gt;"",COUNTIF($K$47:$M$47,$B27)+COUNTIF($K$47:$M$47,$B27&amp;" ~*")=0),($R27+0)*1000+IF(AU104&gt;100,500,0)+8,"")</f>
        <v/>
      </c>
      <c r="BU104">
        <f>IF(AND(AV104&lt;&gt;"",COUNTIF($K$47:$M$47,$B28)+COUNTIF($K$47:$M$47,$B28&amp;" ~*")=0),($R28+0)*1000+IF(AV104&gt;100,500,0)+9,"")</f>
        <v/>
      </c>
      <c r="BV104">
        <f>IF(AND(AW104&lt;&gt;"",COUNTIF($K$47:$M$47,$B29)+COUNTIF($K$47:$M$47,$B29&amp;" ~*")=0),($R29+0)*1000+IF(AW104&gt;100,500,0)+10,"")</f>
        <v/>
      </c>
      <c r="BW104">
        <f>IF(AND(AX104&lt;&gt;"",COUNTIF($K$47:$M$47,$B30)+COUNTIF($K$47:$M$47,$B30&amp;" ~*")=0),($R30+0)*1000+IF(AX104&gt;100,500,0)+11,"")</f>
        <v/>
      </c>
      <c r="BX104">
        <f>IF(AND(AY104&lt;&gt;"",COUNTIF($K$47:$M$47,$B31)+COUNTIF($K$47:$M$47,$B31&amp;" ~*")=0),($R31+0)*1000+IF(AY104&gt;100,500,0)+12,"")</f>
        <v/>
      </c>
      <c r="BY104">
        <f>IF(AND(AZ104&lt;&gt;"",COUNTIF($K$47:$M$47,$B32)+COUNTIF($K$47:$M$47,$B32&amp;" ~*")=0),($R32+0)*1000+IF(AZ104&gt;100,500,0)+13,"")</f>
        <v/>
      </c>
      <c r="BZ104">
        <f>IF(AND(BA104&lt;&gt;"",COUNTIF($K$47:$M$47,$B33)+COUNTIF($K$47:$M$47,$B33&amp;" ~*")=0),($R33+0)*1000+IF(BA104&gt;100,500,0)+14,"")</f>
        <v/>
      </c>
      <c r="CA104">
        <f>IF(AND(BB104&lt;&gt;"",COUNTIF($K$47:$M$47,$B34)+COUNTIF($K$47:$M$47,$B34&amp;" ~*")=0),($R34+0)*1000+IF(BB104&gt;100,500,0)+15,"")</f>
        <v/>
      </c>
      <c r="CB104">
        <f>IF(AND(BC104&lt;&gt;"",COUNTIF($K$47:$M$47,$B35)+COUNTIF($K$47:$M$47,$B35&amp;" ~*")=0),($R35+0)*1000+IF(BC104&gt;100,500,0)+16,"")</f>
        <v/>
      </c>
      <c r="CC104">
        <f>IF(AND(BD104&lt;&gt;"",COUNTIF($K$47:$M$47,$B36)+COUNTIF($K$47:$M$47,$B36&amp;" ~*")=0),($R36+0)*1000+IF(BD104&gt;100,500,0)+17,"")</f>
        <v/>
      </c>
      <c r="CD104">
        <f>IF(AND(BE104&lt;&gt;"",COUNTIF($K$47:$M$47,$B37)+COUNTIF($K$47:$M$47,$B37&amp;" ~*")=0),($R37+0)*1000+IF(BE104&gt;100,500,0)+18,"")</f>
        <v/>
      </c>
      <c r="CE104">
        <f>IF(AND(BF104&lt;&gt;"",COUNTIF($K$47:$M$47,$B38)+COUNTIF($K$47:$M$47,$B38&amp;" ~*")=0),($R38+0)*1000+IF(BF104&gt;100,500,0)+19,"")</f>
        <v/>
      </c>
      <c r="CF104">
        <f>IF(AND(BG104&lt;&gt;"",COUNTIF($K$47:$M$47,$B39)+COUNTIF($K$47:$M$47,$B39&amp;" ~*")=0),($R39+0)*1000+IF(BG104&gt;100,500,0)+20,"")</f>
        <v/>
      </c>
      <c r="CG104">
        <f>IF(AND(BH104&lt;&gt;"",COUNTIF($K$47:$M$47,$B40)+COUNTIF($K$47:$M$47,$B40&amp;" ~*")=0),($R40+0)*1000+IF(BH104&gt;100,500,0)+21,"")</f>
        <v/>
      </c>
      <c r="CH104">
        <f>IF(AND(BI104&lt;&gt;"",COUNTIF($K$47:$M$47,$B41)+COUNTIF($K$47:$M$47,$B41&amp;" ~*")=0),($R41+0)*1000+IF(BI104&gt;100,500,0)+22,"")</f>
        <v/>
      </c>
      <c r="CI104">
        <f>IF(AND(BJ104&lt;&gt;"",COUNTIF($K$47:$M$47,$B42)+COUNTIF($K$47:$M$47,$B42&amp;" ~*")=0),($R42+0)*1000+IF(BJ104&gt;100,500,0)+23,"")</f>
        <v/>
      </c>
      <c r="CJ104">
        <f>IF(AND(BK104&lt;&gt;"",COUNTIF($K$47:$M$47,$B43)+COUNTIF($K$47:$M$47,$B43&amp;" ~*")=0),($R43+0)*1000+IF(BK104&gt;100,500,0)+24,"")</f>
        <v/>
      </c>
    </row>
    <row r="105">
      <c r="A105" t="n">
        <v>3</v>
      </c>
      <c r="B105" t="n">
        <v>2</v>
      </c>
      <c r="C105">
        <f>$B$48</f>
        <v/>
      </c>
      <c r="D105" t="inlineStr">
        <is>
          <t>Wed</t>
        </is>
      </c>
      <c r="E105">
        <f>IF(C105="","",N($AB$48))</f>
        <v/>
      </c>
      <c r="F105">
        <f>IF(C105="","",COUNTIF($K$48:$M$48,"?*"))</f>
        <v/>
      </c>
      <c r="G105">
        <f>IF(C105="","",MAX(0,E105-F105))</f>
        <v/>
      </c>
      <c r="H105">
        <f>IF(N(G105)=0,"",IF(COUNT(BM105:CJ105)=0,"no-one eligible",INDEX(Engine!$B$20:$B$43,MOD(MIN(BM105:CJ105),500))&amp;IF(MOD(MIN(BM105:CJ105),1000)&gt;=500," *","")))</f>
        <v/>
      </c>
      <c r="I105">
        <f>IF(N(G105)&gt;0,COUNTIF($G$68:G105,"&gt;0"),"")</f>
        <v/>
      </c>
      <c r="J105">
        <f>IF(C105="","",IF($K$48="",0,IF(IFERROR(INDEX(Setup!$O$6:$AL$23,2,MATCH(SUBSTITUTE($K$48," *",""),Setup!$B$6:$B$29,0)),"")="",1,0))+IF($L$48="",0,IF(IFERROR(INDEX(Setup!$O$6:$AL$23,2,MATCH(SUBSTITUTE($L$48," *",""),Setup!$B$6:$B$29,0)),"")="",1,0))+IF($M$48="",0,IF(IFERROR(INDEX(Setup!$O$6:$AL$23,2,MATCH(SUBSTITUTE($M$48," *",""),Setup!$B$6:$B$29,0)),"")="",1,0)))</f>
        <v/>
      </c>
      <c r="K105">
        <f>IF($B$12+2=TODAY(),1,0)</f>
        <v/>
      </c>
      <c r="N105">
        <f>COUNT($AN105:$BK105)</f>
        <v/>
      </c>
      <c r="O105">
        <f>IF(1&gt;$N105,"",INDEX(Engine!$B$20:$B$43,MOD(SMALL($AN105:$BK105,1),100))&amp;IF(SMALL($AN105:$BK105,1)&gt;100," *",""))</f>
        <v/>
      </c>
      <c r="P105">
        <f>IF(2&gt;$N105,"",INDEX(Engine!$B$20:$B$43,MOD(SMALL($AN105:$BK105,2),100))&amp;IF(SMALL($AN105:$BK105,2)&gt;100," *",""))</f>
        <v/>
      </c>
      <c r="Q105">
        <f>IF(3&gt;$N105,"",INDEX(Engine!$B$20:$B$43,MOD(SMALL($AN105:$BK105,3),100))&amp;IF(SMALL($AN105:$BK105,3)&gt;100," *",""))</f>
        <v/>
      </c>
      <c r="R105">
        <f>IF(4&gt;$N105,"",INDEX(Engine!$B$20:$B$43,MOD(SMALL($AN105:$BK105,4),100))&amp;IF(SMALL($AN105:$BK105,4)&gt;100," *",""))</f>
        <v/>
      </c>
      <c r="S105">
        <f>IF(5&gt;$N105,"",INDEX(Engine!$B$20:$B$43,MOD(SMALL($AN105:$BK105,5),100))&amp;IF(SMALL($AN105:$BK105,5)&gt;100," *",""))</f>
        <v/>
      </c>
      <c r="T105">
        <f>IF(6&gt;$N105,"",INDEX(Engine!$B$20:$B$43,MOD(SMALL($AN105:$BK105,6),100))&amp;IF(SMALL($AN105:$BK105,6)&gt;100," *",""))</f>
        <v/>
      </c>
      <c r="U105">
        <f>IF(7&gt;$N105,"",INDEX(Engine!$B$20:$B$43,MOD(SMALL($AN105:$BK105,7),100))&amp;IF(SMALL($AN105:$BK105,7)&gt;100," *",""))</f>
        <v/>
      </c>
      <c r="V105">
        <f>IF(8&gt;$N105,"",INDEX(Engine!$B$20:$B$43,MOD(SMALL($AN105:$BK105,8),100))&amp;IF(SMALL($AN105:$BK105,8)&gt;100," *",""))</f>
        <v/>
      </c>
      <c r="W105">
        <f>IF(9&gt;$N105,"",INDEX(Engine!$B$20:$B$43,MOD(SMALL($AN105:$BK105,9),100))&amp;IF(SMALL($AN105:$BK105,9)&gt;100," *",""))</f>
        <v/>
      </c>
      <c r="X105">
        <f>IF(10&gt;$N105,"",INDEX(Engine!$B$20:$B$43,MOD(SMALL($AN105:$BK105,10),100))&amp;IF(SMALL($AN105:$BK105,10)&gt;100," *",""))</f>
        <v/>
      </c>
      <c r="Y105">
        <f>IF(11&gt;$N105,"",INDEX(Engine!$B$20:$B$43,MOD(SMALL($AN105:$BK105,11),100))&amp;IF(SMALL($AN105:$BK105,11)&gt;100," *",""))</f>
        <v/>
      </c>
      <c r="Z105">
        <f>IF(12&gt;$N105,"",INDEX(Engine!$B$20:$B$43,MOD(SMALL($AN105:$BK105,12),100))&amp;IF(SMALL($AN105:$BK105,12)&gt;100," *",""))</f>
        <v/>
      </c>
      <c r="AA105">
        <f>IF(13&gt;$N105,"",INDEX(Engine!$B$20:$B$43,MOD(SMALL($AN105:$BK105,13),100))&amp;IF(SMALL($AN105:$BK105,13)&gt;100," *",""))</f>
        <v/>
      </c>
      <c r="AB105">
        <f>IF(14&gt;$N105,"",INDEX(Engine!$B$20:$B$43,MOD(SMALL($AN105:$BK105,14),100))&amp;IF(SMALL($AN105:$BK105,14)&gt;100," *",""))</f>
        <v/>
      </c>
      <c r="AC105">
        <f>IF(15&gt;$N105,"",INDEX(Engine!$B$20:$B$43,MOD(SMALL($AN105:$BK105,15),100))&amp;IF(SMALL($AN105:$BK105,15)&gt;100," *",""))</f>
        <v/>
      </c>
      <c r="AD105">
        <f>IF(16&gt;$N105,"",INDEX(Engine!$B$20:$B$43,MOD(SMALL($AN105:$BK105,16),100))&amp;IF(SMALL($AN105:$BK105,16)&gt;100," *",""))</f>
        <v/>
      </c>
      <c r="AE105">
        <f>IF(17&gt;$N105,"",INDEX(Engine!$B$20:$B$43,MOD(SMALL($AN105:$BK105,17),100))&amp;IF(SMALL($AN105:$BK105,17)&gt;100," *",""))</f>
        <v/>
      </c>
      <c r="AF105">
        <f>IF(18&gt;$N105,"",INDEX(Engine!$B$20:$B$43,MOD(SMALL($AN105:$BK105,18),100))&amp;IF(SMALL($AN105:$BK105,18)&gt;100," *",""))</f>
        <v/>
      </c>
      <c r="AG105">
        <f>IF(19&gt;$N105,"",INDEX(Engine!$B$20:$B$43,MOD(SMALL($AN105:$BK105,19),100))&amp;IF(SMALL($AN105:$BK105,19)&gt;100," *",""))</f>
        <v/>
      </c>
      <c r="AH105">
        <f>IF(20&gt;$N105,"",INDEX(Engine!$B$20:$B$43,MOD(SMALL($AN105:$BK105,20),100))&amp;IF(SMALL($AN105:$BK105,20)&gt;100," *",""))</f>
        <v/>
      </c>
      <c r="AI105">
        <f>IF(21&gt;$N105,"",INDEX(Engine!$B$20:$B$43,MOD(SMALL($AN105:$BK105,21),100))&amp;IF(SMALL($AN105:$BK105,21)&gt;100," *",""))</f>
        <v/>
      </c>
      <c r="AJ105">
        <f>IF(22&gt;$N105,"",INDEX(Engine!$B$20:$B$43,MOD(SMALL($AN105:$BK105,22),100))&amp;IF(SMALL($AN105:$BK105,22)&gt;100," *",""))</f>
        <v/>
      </c>
      <c r="AK105">
        <f>IF(23&gt;$N105,"",INDEX(Engine!$B$20:$B$43,MOD(SMALL($AN105:$BK105,23),100))&amp;IF(SMALL($AN105:$BK105,23)&gt;100," *",""))</f>
        <v/>
      </c>
      <c r="AL105">
        <f>IF(24&gt;$N105,"",INDEX(Engine!$B$20:$B$43,MOD(SMALL($AN105:$BK105,24),100))&amp;IF(SMALL($AN105:$BK105,24)&gt;100," *",""))</f>
        <v/>
      </c>
      <c r="AN105">
        <f>IF(AND($C20=1,INDEX(Setup!$O$6:$AL$23,2,1)&lt;&gt;"",M20=0),1+IF(INDEX(Setup!$O$6:$AL$23,2,1)="T",100,0),"")</f>
        <v/>
      </c>
      <c r="AO105">
        <f>IF(AND($C21=1,INDEX(Setup!$O$6:$AL$23,2,2)&lt;&gt;"",M21=0),2+IF(INDEX(Setup!$O$6:$AL$23,2,2)="T",100,0),"")</f>
        <v/>
      </c>
      <c r="AP105">
        <f>IF(AND($C22=1,INDEX(Setup!$O$6:$AL$23,2,3)&lt;&gt;"",M22=0),3+IF(INDEX(Setup!$O$6:$AL$23,2,3)="T",100,0),"")</f>
        <v/>
      </c>
      <c r="AQ105">
        <f>IF(AND($C23=1,INDEX(Setup!$O$6:$AL$23,2,4)&lt;&gt;"",M23=0),4+IF(INDEX(Setup!$O$6:$AL$23,2,4)="T",100,0),"")</f>
        <v/>
      </c>
      <c r="AR105">
        <f>IF(AND($C24=1,INDEX(Setup!$O$6:$AL$23,2,5)&lt;&gt;"",M24=0),5+IF(INDEX(Setup!$O$6:$AL$23,2,5)="T",100,0),"")</f>
        <v/>
      </c>
      <c r="AS105">
        <f>IF(AND($C25=1,INDEX(Setup!$O$6:$AL$23,2,6)&lt;&gt;"",M25=0),6+IF(INDEX(Setup!$O$6:$AL$23,2,6)="T",100,0),"")</f>
        <v/>
      </c>
      <c r="AT105">
        <f>IF(AND($C26=1,INDEX(Setup!$O$6:$AL$23,2,7)&lt;&gt;"",M26=0),7+IF(INDEX(Setup!$O$6:$AL$23,2,7)="T",100,0),"")</f>
        <v/>
      </c>
      <c r="AU105">
        <f>IF(AND($C27=1,INDEX(Setup!$O$6:$AL$23,2,8)&lt;&gt;"",M27=0),8+IF(INDEX(Setup!$O$6:$AL$23,2,8)="T",100,0),"")</f>
        <v/>
      </c>
      <c r="AV105">
        <f>IF(AND($C28=1,INDEX(Setup!$O$6:$AL$23,2,9)&lt;&gt;"",M28=0),9+IF(INDEX(Setup!$O$6:$AL$23,2,9)="T",100,0),"")</f>
        <v/>
      </c>
      <c r="AW105">
        <f>IF(AND($C29=1,INDEX(Setup!$O$6:$AL$23,2,10)&lt;&gt;"",M29=0),10+IF(INDEX(Setup!$O$6:$AL$23,2,10)="T",100,0),"")</f>
        <v/>
      </c>
      <c r="AX105">
        <f>IF(AND($C30=1,INDEX(Setup!$O$6:$AL$23,2,11)&lt;&gt;"",M30=0),11+IF(INDEX(Setup!$O$6:$AL$23,2,11)="T",100,0),"")</f>
        <v/>
      </c>
      <c r="AY105">
        <f>IF(AND($C31=1,INDEX(Setup!$O$6:$AL$23,2,12)&lt;&gt;"",M31=0),12+IF(INDEX(Setup!$O$6:$AL$23,2,12)="T",100,0),"")</f>
        <v/>
      </c>
      <c r="AZ105">
        <f>IF(AND($C32=1,INDEX(Setup!$O$6:$AL$23,2,13)&lt;&gt;"",M32=0),13+IF(INDEX(Setup!$O$6:$AL$23,2,13)="T",100,0),"")</f>
        <v/>
      </c>
      <c r="BA105">
        <f>IF(AND($C33=1,INDEX(Setup!$O$6:$AL$23,2,14)&lt;&gt;"",M33=0),14+IF(INDEX(Setup!$O$6:$AL$23,2,14)="T",100,0),"")</f>
        <v/>
      </c>
      <c r="BB105">
        <f>IF(AND($C34=1,INDEX(Setup!$O$6:$AL$23,2,15)&lt;&gt;"",M34=0),15+IF(INDEX(Setup!$O$6:$AL$23,2,15)="T",100,0),"")</f>
        <v/>
      </c>
      <c r="BC105">
        <f>IF(AND($C35=1,INDEX(Setup!$O$6:$AL$23,2,16)&lt;&gt;"",M35=0),16+IF(INDEX(Setup!$O$6:$AL$23,2,16)="T",100,0),"")</f>
        <v/>
      </c>
      <c r="BD105">
        <f>IF(AND($C36=1,INDEX(Setup!$O$6:$AL$23,2,17)&lt;&gt;"",M36=0),17+IF(INDEX(Setup!$O$6:$AL$23,2,17)="T",100,0),"")</f>
        <v/>
      </c>
      <c r="BE105">
        <f>IF(AND($C37=1,INDEX(Setup!$O$6:$AL$23,2,18)&lt;&gt;"",M37=0),18+IF(INDEX(Setup!$O$6:$AL$23,2,18)="T",100,0),"")</f>
        <v/>
      </c>
      <c r="BF105">
        <f>IF(AND($C38=1,INDEX(Setup!$O$6:$AL$23,2,19)&lt;&gt;"",M38=0),19+IF(INDEX(Setup!$O$6:$AL$23,2,19)="T",100,0),"")</f>
        <v/>
      </c>
      <c r="BG105">
        <f>IF(AND($C39=1,INDEX(Setup!$O$6:$AL$23,2,20)&lt;&gt;"",M39=0),20+IF(INDEX(Setup!$O$6:$AL$23,2,20)="T",100,0),"")</f>
        <v/>
      </c>
      <c r="BH105">
        <f>IF(AND($C40=1,INDEX(Setup!$O$6:$AL$23,2,21)&lt;&gt;"",M40=0),21+IF(INDEX(Setup!$O$6:$AL$23,2,21)="T",100,0),"")</f>
        <v/>
      </c>
      <c r="BI105">
        <f>IF(AND($C41=1,INDEX(Setup!$O$6:$AL$23,2,22)&lt;&gt;"",M41=0),22+IF(INDEX(Setup!$O$6:$AL$23,2,22)="T",100,0),"")</f>
        <v/>
      </c>
      <c r="BJ105">
        <f>IF(AND($C42=1,INDEX(Setup!$O$6:$AL$23,2,23)&lt;&gt;"",M42=0),23+IF(INDEX(Setup!$O$6:$AL$23,2,23)="T",100,0),"")</f>
        <v/>
      </c>
      <c r="BK105">
        <f>IF(AND($C43=1,INDEX(Setup!$O$6:$AL$23,2,24)&lt;&gt;"",M43=0),24+IF(INDEX(Setup!$O$6:$AL$23,2,24)="T",100,0),"")</f>
        <v/>
      </c>
      <c r="BM105">
        <f>IF(AND(AN105&lt;&gt;"",COUNTIF($K$48:$M$48,$B20)+COUNTIF($K$48:$M$48,$B20&amp;" ~*")=0),($R20+COUNTIF($H$104:$H104,$B20)+COUNTIF($H$104:$H104,$B20&amp;" ~*"))*1000+IF(AN105&gt;100,500,0)+1,"")</f>
        <v/>
      </c>
      <c r="BN105">
        <f>IF(AND(AO105&lt;&gt;"",COUNTIF($K$48:$M$48,$B21)+COUNTIF($K$48:$M$48,$B21&amp;" ~*")=0),($R21+COUNTIF($H$104:$H104,$B21)+COUNTIF($H$104:$H104,$B21&amp;" ~*"))*1000+IF(AO105&gt;100,500,0)+2,"")</f>
        <v/>
      </c>
      <c r="BO105">
        <f>IF(AND(AP105&lt;&gt;"",COUNTIF($K$48:$M$48,$B22)+COUNTIF($K$48:$M$48,$B22&amp;" ~*")=0),($R22+COUNTIF($H$104:$H104,$B22)+COUNTIF($H$104:$H104,$B22&amp;" ~*"))*1000+IF(AP105&gt;100,500,0)+3,"")</f>
        <v/>
      </c>
      <c r="BP105">
        <f>IF(AND(AQ105&lt;&gt;"",COUNTIF($K$48:$M$48,$B23)+COUNTIF($K$48:$M$48,$B23&amp;" ~*")=0),($R23+COUNTIF($H$104:$H104,$B23)+COUNTIF($H$104:$H104,$B23&amp;" ~*"))*1000+IF(AQ105&gt;100,500,0)+4,"")</f>
        <v/>
      </c>
      <c r="BQ105">
        <f>IF(AND(AR105&lt;&gt;"",COUNTIF($K$48:$M$48,$B24)+COUNTIF($K$48:$M$48,$B24&amp;" ~*")=0),($R24+COUNTIF($H$104:$H104,$B24)+COUNTIF($H$104:$H104,$B24&amp;" ~*"))*1000+IF(AR105&gt;100,500,0)+5,"")</f>
        <v/>
      </c>
      <c r="BR105">
        <f>IF(AND(AS105&lt;&gt;"",COUNTIF($K$48:$M$48,$B25)+COUNTIF($K$48:$M$48,$B25&amp;" ~*")=0),($R25+COUNTIF($H$104:$H104,$B25)+COUNTIF($H$104:$H104,$B25&amp;" ~*"))*1000+IF(AS105&gt;100,500,0)+6,"")</f>
        <v/>
      </c>
      <c r="BS105">
        <f>IF(AND(AT105&lt;&gt;"",COUNTIF($K$48:$M$48,$B26)+COUNTIF($K$48:$M$48,$B26&amp;" ~*")=0),($R26+COUNTIF($H$104:$H104,$B26)+COUNTIF($H$104:$H104,$B26&amp;" ~*"))*1000+IF(AT105&gt;100,500,0)+7,"")</f>
        <v/>
      </c>
      <c r="BT105">
        <f>IF(AND(AU105&lt;&gt;"",COUNTIF($K$48:$M$48,$B27)+COUNTIF($K$48:$M$48,$B27&amp;" ~*")=0),($R27+COUNTIF($H$104:$H104,$B27)+COUNTIF($H$104:$H104,$B27&amp;" ~*"))*1000+IF(AU105&gt;100,500,0)+8,"")</f>
        <v/>
      </c>
      <c r="BU105">
        <f>IF(AND(AV105&lt;&gt;"",COUNTIF($K$48:$M$48,$B28)+COUNTIF($K$48:$M$48,$B28&amp;" ~*")=0),($R28+COUNTIF($H$104:$H104,$B28)+COUNTIF($H$104:$H104,$B28&amp;" ~*"))*1000+IF(AV105&gt;100,500,0)+9,"")</f>
        <v/>
      </c>
      <c r="BV105">
        <f>IF(AND(AW105&lt;&gt;"",COUNTIF($K$48:$M$48,$B29)+COUNTIF($K$48:$M$48,$B29&amp;" ~*")=0),($R29+COUNTIF($H$104:$H104,$B29)+COUNTIF($H$104:$H104,$B29&amp;" ~*"))*1000+IF(AW105&gt;100,500,0)+10,"")</f>
        <v/>
      </c>
      <c r="BW105">
        <f>IF(AND(AX105&lt;&gt;"",COUNTIF($K$48:$M$48,$B30)+COUNTIF($K$48:$M$48,$B30&amp;" ~*")=0),($R30+COUNTIF($H$104:$H104,$B30)+COUNTIF($H$104:$H104,$B30&amp;" ~*"))*1000+IF(AX105&gt;100,500,0)+11,"")</f>
        <v/>
      </c>
      <c r="BX105">
        <f>IF(AND(AY105&lt;&gt;"",COUNTIF($K$48:$M$48,$B31)+COUNTIF($K$48:$M$48,$B31&amp;" ~*")=0),($R31+COUNTIF($H$104:$H104,$B31)+COUNTIF($H$104:$H104,$B31&amp;" ~*"))*1000+IF(AY105&gt;100,500,0)+12,"")</f>
        <v/>
      </c>
      <c r="BY105">
        <f>IF(AND(AZ105&lt;&gt;"",COUNTIF($K$48:$M$48,$B32)+COUNTIF($K$48:$M$48,$B32&amp;" ~*")=0),($R32+COUNTIF($H$104:$H104,$B32)+COUNTIF($H$104:$H104,$B32&amp;" ~*"))*1000+IF(AZ105&gt;100,500,0)+13,"")</f>
        <v/>
      </c>
      <c r="BZ105">
        <f>IF(AND(BA105&lt;&gt;"",COUNTIF($K$48:$M$48,$B33)+COUNTIF($K$48:$M$48,$B33&amp;" ~*")=0),($R33+COUNTIF($H$104:$H104,$B33)+COUNTIF($H$104:$H104,$B33&amp;" ~*"))*1000+IF(BA105&gt;100,500,0)+14,"")</f>
        <v/>
      </c>
      <c r="CA105">
        <f>IF(AND(BB105&lt;&gt;"",COUNTIF($K$48:$M$48,$B34)+COUNTIF($K$48:$M$48,$B34&amp;" ~*")=0),($R34+COUNTIF($H$104:$H104,$B34)+COUNTIF($H$104:$H104,$B34&amp;" ~*"))*1000+IF(BB105&gt;100,500,0)+15,"")</f>
        <v/>
      </c>
      <c r="CB105">
        <f>IF(AND(BC105&lt;&gt;"",COUNTIF($K$48:$M$48,$B35)+COUNTIF($K$48:$M$48,$B35&amp;" ~*")=0),($R35+COUNTIF($H$104:$H104,$B35)+COUNTIF($H$104:$H104,$B35&amp;" ~*"))*1000+IF(BC105&gt;100,500,0)+16,"")</f>
        <v/>
      </c>
      <c r="CC105">
        <f>IF(AND(BD105&lt;&gt;"",COUNTIF($K$48:$M$48,$B36)+COUNTIF($K$48:$M$48,$B36&amp;" ~*")=0),($R36+COUNTIF($H$104:$H104,$B36)+COUNTIF($H$104:$H104,$B36&amp;" ~*"))*1000+IF(BD105&gt;100,500,0)+17,"")</f>
        <v/>
      </c>
      <c r="CD105">
        <f>IF(AND(BE105&lt;&gt;"",COUNTIF($K$48:$M$48,$B37)+COUNTIF($K$48:$M$48,$B37&amp;" ~*")=0),($R37+COUNTIF($H$104:$H104,$B37)+COUNTIF($H$104:$H104,$B37&amp;" ~*"))*1000+IF(BE105&gt;100,500,0)+18,"")</f>
        <v/>
      </c>
      <c r="CE105">
        <f>IF(AND(BF105&lt;&gt;"",COUNTIF($K$48:$M$48,$B38)+COUNTIF($K$48:$M$48,$B38&amp;" ~*")=0),($R38+COUNTIF($H$104:$H104,$B38)+COUNTIF($H$104:$H104,$B38&amp;" ~*"))*1000+IF(BF105&gt;100,500,0)+19,"")</f>
        <v/>
      </c>
      <c r="CF105">
        <f>IF(AND(BG105&lt;&gt;"",COUNTIF($K$48:$M$48,$B39)+COUNTIF($K$48:$M$48,$B39&amp;" ~*")=0),($R39+COUNTIF($H$104:$H104,$B39)+COUNTIF($H$104:$H104,$B39&amp;" ~*"))*1000+IF(BG105&gt;100,500,0)+20,"")</f>
        <v/>
      </c>
      <c r="CG105">
        <f>IF(AND(BH105&lt;&gt;"",COUNTIF($K$48:$M$48,$B40)+COUNTIF($K$48:$M$48,$B40&amp;" ~*")=0),($R40+COUNTIF($H$104:$H104,$B40)+COUNTIF($H$104:$H104,$B40&amp;" ~*"))*1000+IF(BH105&gt;100,500,0)+21,"")</f>
        <v/>
      </c>
      <c r="CH105">
        <f>IF(AND(BI105&lt;&gt;"",COUNTIF($K$48:$M$48,$B41)+COUNTIF($K$48:$M$48,$B41&amp;" ~*")=0),($R41+COUNTIF($H$104:$H104,$B41)+COUNTIF($H$104:$H104,$B41&amp;" ~*"))*1000+IF(BI105&gt;100,500,0)+22,"")</f>
        <v/>
      </c>
      <c r="CI105">
        <f>IF(AND(BJ105&lt;&gt;"",COUNTIF($K$48:$M$48,$B42)+COUNTIF($K$48:$M$48,$B42&amp;" ~*")=0),($R42+COUNTIF($H$104:$H104,$B42)+COUNTIF($H$104:$H104,$B42&amp;" ~*"))*1000+IF(BJ105&gt;100,500,0)+23,"")</f>
        <v/>
      </c>
      <c r="CJ105">
        <f>IF(AND(BK105&lt;&gt;"",COUNTIF($K$48:$M$48,$B43)+COUNTIF($K$48:$M$48,$B43&amp;" ~*")=0),($R43+COUNTIF($H$104:$H104,$B43)+COUNTIF($H$104:$H104,$B43&amp;" ~*"))*1000+IF(BK105&gt;100,500,0)+24,"")</f>
        <v/>
      </c>
    </row>
    <row r="106">
      <c r="A106" t="n">
        <v>3</v>
      </c>
      <c r="B106" t="n">
        <v>3</v>
      </c>
      <c r="C106">
        <f>$B$49</f>
        <v/>
      </c>
      <c r="D106" t="inlineStr">
        <is>
          <t>Wed</t>
        </is>
      </c>
      <c r="E106">
        <f>IF(C106="","",N($AB$49))</f>
        <v/>
      </c>
      <c r="F106">
        <f>IF(C106="","",COUNTIF($K$49:$M$49,"?*"))</f>
        <v/>
      </c>
      <c r="G106">
        <f>IF(C106="","",MAX(0,E106-F106))</f>
        <v/>
      </c>
      <c r="H106">
        <f>IF(N(G106)=0,"",IF(COUNT(BM106:CJ106)=0,"no-one eligible",INDEX(Engine!$B$20:$B$43,MOD(MIN(BM106:CJ106),500))&amp;IF(MOD(MIN(BM106:CJ106),1000)&gt;=500," *","")))</f>
        <v/>
      </c>
      <c r="I106">
        <f>IF(N(G106)&gt;0,COUNTIF($G$68:G106,"&gt;0"),"")</f>
        <v/>
      </c>
      <c r="J106">
        <f>IF(C106="","",IF($K$49="",0,IF(IFERROR(INDEX(Setup!$O$6:$AL$23,3,MATCH(SUBSTITUTE($K$49," *",""),Setup!$B$6:$B$29,0)),"")="",1,0))+IF($L$49="",0,IF(IFERROR(INDEX(Setup!$O$6:$AL$23,3,MATCH(SUBSTITUTE($L$49," *",""),Setup!$B$6:$B$29,0)),"")="",1,0))+IF($M$49="",0,IF(IFERROR(INDEX(Setup!$O$6:$AL$23,3,MATCH(SUBSTITUTE($M$49," *",""),Setup!$B$6:$B$29,0)),"")="",1,0)))</f>
        <v/>
      </c>
      <c r="K106">
        <f>IF($B$12+2=TODAY(),1,0)</f>
        <v/>
      </c>
      <c r="N106">
        <f>COUNT($AN106:$BK106)</f>
        <v/>
      </c>
      <c r="O106">
        <f>IF(1&gt;$N106,"",INDEX(Engine!$B$20:$B$43,MOD(SMALL($AN106:$BK106,1),100))&amp;IF(SMALL($AN106:$BK106,1)&gt;100," *",""))</f>
        <v/>
      </c>
      <c r="P106">
        <f>IF(2&gt;$N106,"",INDEX(Engine!$B$20:$B$43,MOD(SMALL($AN106:$BK106,2),100))&amp;IF(SMALL($AN106:$BK106,2)&gt;100," *",""))</f>
        <v/>
      </c>
      <c r="Q106">
        <f>IF(3&gt;$N106,"",INDEX(Engine!$B$20:$B$43,MOD(SMALL($AN106:$BK106,3),100))&amp;IF(SMALL($AN106:$BK106,3)&gt;100," *",""))</f>
        <v/>
      </c>
      <c r="R106">
        <f>IF(4&gt;$N106,"",INDEX(Engine!$B$20:$B$43,MOD(SMALL($AN106:$BK106,4),100))&amp;IF(SMALL($AN106:$BK106,4)&gt;100," *",""))</f>
        <v/>
      </c>
      <c r="S106">
        <f>IF(5&gt;$N106,"",INDEX(Engine!$B$20:$B$43,MOD(SMALL($AN106:$BK106,5),100))&amp;IF(SMALL($AN106:$BK106,5)&gt;100," *",""))</f>
        <v/>
      </c>
      <c r="T106">
        <f>IF(6&gt;$N106,"",INDEX(Engine!$B$20:$B$43,MOD(SMALL($AN106:$BK106,6),100))&amp;IF(SMALL($AN106:$BK106,6)&gt;100," *",""))</f>
        <v/>
      </c>
      <c r="U106">
        <f>IF(7&gt;$N106,"",INDEX(Engine!$B$20:$B$43,MOD(SMALL($AN106:$BK106,7),100))&amp;IF(SMALL($AN106:$BK106,7)&gt;100," *",""))</f>
        <v/>
      </c>
      <c r="V106">
        <f>IF(8&gt;$N106,"",INDEX(Engine!$B$20:$B$43,MOD(SMALL($AN106:$BK106,8),100))&amp;IF(SMALL($AN106:$BK106,8)&gt;100," *",""))</f>
        <v/>
      </c>
      <c r="W106">
        <f>IF(9&gt;$N106,"",INDEX(Engine!$B$20:$B$43,MOD(SMALL($AN106:$BK106,9),100))&amp;IF(SMALL($AN106:$BK106,9)&gt;100," *",""))</f>
        <v/>
      </c>
      <c r="X106">
        <f>IF(10&gt;$N106,"",INDEX(Engine!$B$20:$B$43,MOD(SMALL($AN106:$BK106,10),100))&amp;IF(SMALL($AN106:$BK106,10)&gt;100," *",""))</f>
        <v/>
      </c>
      <c r="Y106">
        <f>IF(11&gt;$N106,"",INDEX(Engine!$B$20:$B$43,MOD(SMALL($AN106:$BK106,11),100))&amp;IF(SMALL($AN106:$BK106,11)&gt;100," *",""))</f>
        <v/>
      </c>
      <c r="Z106">
        <f>IF(12&gt;$N106,"",INDEX(Engine!$B$20:$B$43,MOD(SMALL($AN106:$BK106,12),100))&amp;IF(SMALL($AN106:$BK106,12)&gt;100," *",""))</f>
        <v/>
      </c>
      <c r="AA106">
        <f>IF(13&gt;$N106,"",INDEX(Engine!$B$20:$B$43,MOD(SMALL($AN106:$BK106,13),100))&amp;IF(SMALL($AN106:$BK106,13)&gt;100," *",""))</f>
        <v/>
      </c>
      <c r="AB106">
        <f>IF(14&gt;$N106,"",INDEX(Engine!$B$20:$B$43,MOD(SMALL($AN106:$BK106,14),100))&amp;IF(SMALL($AN106:$BK106,14)&gt;100," *",""))</f>
        <v/>
      </c>
      <c r="AC106">
        <f>IF(15&gt;$N106,"",INDEX(Engine!$B$20:$B$43,MOD(SMALL($AN106:$BK106,15),100))&amp;IF(SMALL($AN106:$BK106,15)&gt;100," *",""))</f>
        <v/>
      </c>
      <c r="AD106">
        <f>IF(16&gt;$N106,"",INDEX(Engine!$B$20:$B$43,MOD(SMALL($AN106:$BK106,16),100))&amp;IF(SMALL($AN106:$BK106,16)&gt;100," *",""))</f>
        <v/>
      </c>
      <c r="AE106">
        <f>IF(17&gt;$N106,"",INDEX(Engine!$B$20:$B$43,MOD(SMALL($AN106:$BK106,17),100))&amp;IF(SMALL($AN106:$BK106,17)&gt;100," *",""))</f>
        <v/>
      </c>
      <c r="AF106">
        <f>IF(18&gt;$N106,"",INDEX(Engine!$B$20:$B$43,MOD(SMALL($AN106:$BK106,18),100))&amp;IF(SMALL($AN106:$BK106,18)&gt;100," *",""))</f>
        <v/>
      </c>
      <c r="AG106">
        <f>IF(19&gt;$N106,"",INDEX(Engine!$B$20:$B$43,MOD(SMALL($AN106:$BK106,19),100))&amp;IF(SMALL($AN106:$BK106,19)&gt;100," *",""))</f>
        <v/>
      </c>
      <c r="AH106">
        <f>IF(20&gt;$N106,"",INDEX(Engine!$B$20:$B$43,MOD(SMALL($AN106:$BK106,20),100))&amp;IF(SMALL($AN106:$BK106,20)&gt;100," *",""))</f>
        <v/>
      </c>
      <c r="AI106">
        <f>IF(21&gt;$N106,"",INDEX(Engine!$B$20:$B$43,MOD(SMALL($AN106:$BK106,21),100))&amp;IF(SMALL($AN106:$BK106,21)&gt;100," *",""))</f>
        <v/>
      </c>
      <c r="AJ106">
        <f>IF(22&gt;$N106,"",INDEX(Engine!$B$20:$B$43,MOD(SMALL($AN106:$BK106,22),100))&amp;IF(SMALL($AN106:$BK106,22)&gt;100," *",""))</f>
        <v/>
      </c>
      <c r="AK106">
        <f>IF(23&gt;$N106,"",INDEX(Engine!$B$20:$B$43,MOD(SMALL($AN106:$BK106,23),100))&amp;IF(SMALL($AN106:$BK106,23)&gt;100," *",""))</f>
        <v/>
      </c>
      <c r="AL106">
        <f>IF(24&gt;$N106,"",INDEX(Engine!$B$20:$B$43,MOD(SMALL($AN106:$BK106,24),100))&amp;IF(SMALL($AN106:$BK106,24)&gt;100," *",""))</f>
        <v/>
      </c>
      <c r="AN106">
        <f>IF(AND($C20=1,INDEX(Setup!$O$6:$AL$23,3,1)&lt;&gt;"",M20=0),1+IF(INDEX(Setup!$O$6:$AL$23,3,1)="T",100,0),"")</f>
        <v/>
      </c>
      <c r="AO106">
        <f>IF(AND($C21=1,INDEX(Setup!$O$6:$AL$23,3,2)&lt;&gt;"",M21=0),2+IF(INDEX(Setup!$O$6:$AL$23,3,2)="T",100,0),"")</f>
        <v/>
      </c>
      <c r="AP106">
        <f>IF(AND($C22=1,INDEX(Setup!$O$6:$AL$23,3,3)&lt;&gt;"",M22=0),3+IF(INDEX(Setup!$O$6:$AL$23,3,3)="T",100,0),"")</f>
        <v/>
      </c>
      <c r="AQ106">
        <f>IF(AND($C23=1,INDEX(Setup!$O$6:$AL$23,3,4)&lt;&gt;"",M23=0),4+IF(INDEX(Setup!$O$6:$AL$23,3,4)="T",100,0),"")</f>
        <v/>
      </c>
      <c r="AR106">
        <f>IF(AND($C24=1,INDEX(Setup!$O$6:$AL$23,3,5)&lt;&gt;"",M24=0),5+IF(INDEX(Setup!$O$6:$AL$23,3,5)="T",100,0),"")</f>
        <v/>
      </c>
      <c r="AS106">
        <f>IF(AND($C25=1,INDEX(Setup!$O$6:$AL$23,3,6)&lt;&gt;"",M25=0),6+IF(INDEX(Setup!$O$6:$AL$23,3,6)="T",100,0),"")</f>
        <v/>
      </c>
      <c r="AT106">
        <f>IF(AND($C26=1,INDEX(Setup!$O$6:$AL$23,3,7)&lt;&gt;"",M26=0),7+IF(INDEX(Setup!$O$6:$AL$23,3,7)="T",100,0),"")</f>
        <v/>
      </c>
      <c r="AU106">
        <f>IF(AND($C27=1,INDEX(Setup!$O$6:$AL$23,3,8)&lt;&gt;"",M27=0),8+IF(INDEX(Setup!$O$6:$AL$23,3,8)="T",100,0),"")</f>
        <v/>
      </c>
      <c r="AV106">
        <f>IF(AND($C28=1,INDEX(Setup!$O$6:$AL$23,3,9)&lt;&gt;"",M28=0),9+IF(INDEX(Setup!$O$6:$AL$23,3,9)="T",100,0),"")</f>
        <v/>
      </c>
      <c r="AW106">
        <f>IF(AND($C29=1,INDEX(Setup!$O$6:$AL$23,3,10)&lt;&gt;"",M29=0),10+IF(INDEX(Setup!$O$6:$AL$23,3,10)="T",100,0),"")</f>
        <v/>
      </c>
      <c r="AX106">
        <f>IF(AND($C30=1,INDEX(Setup!$O$6:$AL$23,3,11)&lt;&gt;"",M30=0),11+IF(INDEX(Setup!$O$6:$AL$23,3,11)="T",100,0),"")</f>
        <v/>
      </c>
      <c r="AY106">
        <f>IF(AND($C31=1,INDEX(Setup!$O$6:$AL$23,3,12)&lt;&gt;"",M31=0),12+IF(INDEX(Setup!$O$6:$AL$23,3,12)="T",100,0),"")</f>
        <v/>
      </c>
      <c r="AZ106">
        <f>IF(AND($C32=1,INDEX(Setup!$O$6:$AL$23,3,13)&lt;&gt;"",M32=0),13+IF(INDEX(Setup!$O$6:$AL$23,3,13)="T",100,0),"")</f>
        <v/>
      </c>
      <c r="BA106">
        <f>IF(AND($C33=1,INDEX(Setup!$O$6:$AL$23,3,14)&lt;&gt;"",M33=0),14+IF(INDEX(Setup!$O$6:$AL$23,3,14)="T",100,0),"")</f>
        <v/>
      </c>
      <c r="BB106">
        <f>IF(AND($C34=1,INDEX(Setup!$O$6:$AL$23,3,15)&lt;&gt;"",M34=0),15+IF(INDEX(Setup!$O$6:$AL$23,3,15)="T",100,0),"")</f>
        <v/>
      </c>
      <c r="BC106">
        <f>IF(AND($C35=1,INDEX(Setup!$O$6:$AL$23,3,16)&lt;&gt;"",M35=0),16+IF(INDEX(Setup!$O$6:$AL$23,3,16)="T",100,0),"")</f>
        <v/>
      </c>
      <c r="BD106">
        <f>IF(AND($C36=1,INDEX(Setup!$O$6:$AL$23,3,17)&lt;&gt;"",M36=0),17+IF(INDEX(Setup!$O$6:$AL$23,3,17)="T",100,0),"")</f>
        <v/>
      </c>
      <c r="BE106">
        <f>IF(AND($C37=1,INDEX(Setup!$O$6:$AL$23,3,18)&lt;&gt;"",M37=0),18+IF(INDEX(Setup!$O$6:$AL$23,3,18)="T",100,0),"")</f>
        <v/>
      </c>
      <c r="BF106">
        <f>IF(AND($C38=1,INDEX(Setup!$O$6:$AL$23,3,19)&lt;&gt;"",M38=0),19+IF(INDEX(Setup!$O$6:$AL$23,3,19)="T",100,0),"")</f>
        <v/>
      </c>
      <c r="BG106">
        <f>IF(AND($C39=1,INDEX(Setup!$O$6:$AL$23,3,20)&lt;&gt;"",M39=0),20+IF(INDEX(Setup!$O$6:$AL$23,3,20)="T",100,0),"")</f>
        <v/>
      </c>
      <c r="BH106">
        <f>IF(AND($C40=1,INDEX(Setup!$O$6:$AL$23,3,21)&lt;&gt;"",M40=0),21+IF(INDEX(Setup!$O$6:$AL$23,3,21)="T",100,0),"")</f>
        <v/>
      </c>
      <c r="BI106">
        <f>IF(AND($C41=1,INDEX(Setup!$O$6:$AL$23,3,22)&lt;&gt;"",M41=0),22+IF(INDEX(Setup!$O$6:$AL$23,3,22)="T",100,0),"")</f>
        <v/>
      </c>
      <c r="BJ106">
        <f>IF(AND($C42=1,INDEX(Setup!$O$6:$AL$23,3,23)&lt;&gt;"",M42=0),23+IF(INDEX(Setup!$O$6:$AL$23,3,23)="T",100,0),"")</f>
        <v/>
      </c>
      <c r="BK106">
        <f>IF(AND($C43=1,INDEX(Setup!$O$6:$AL$23,3,24)&lt;&gt;"",M43=0),24+IF(INDEX(Setup!$O$6:$AL$23,3,24)="T",100,0),"")</f>
        <v/>
      </c>
      <c r="BM106">
        <f>IF(AND(AN106&lt;&gt;"",COUNTIF($K$49:$M$49,$B20)+COUNTIF($K$49:$M$49,$B20&amp;" ~*")=0),($R20+COUNTIF($H$104:$H105,$B20)+COUNTIF($H$104:$H105,$B20&amp;" ~*"))*1000+IF(AN106&gt;100,500,0)+1,"")</f>
        <v/>
      </c>
      <c r="BN106">
        <f>IF(AND(AO106&lt;&gt;"",COUNTIF($K$49:$M$49,$B21)+COUNTIF($K$49:$M$49,$B21&amp;" ~*")=0),($R21+COUNTIF($H$104:$H105,$B21)+COUNTIF($H$104:$H105,$B21&amp;" ~*"))*1000+IF(AO106&gt;100,500,0)+2,"")</f>
        <v/>
      </c>
      <c r="BO106">
        <f>IF(AND(AP106&lt;&gt;"",COUNTIF($K$49:$M$49,$B22)+COUNTIF($K$49:$M$49,$B22&amp;" ~*")=0),($R22+COUNTIF($H$104:$H105,$B22)+COUNTIF($H$104:$H105,$B22&amp;" ~*"))*1000+IF(AP106&gt;100,500,0)+3,"")</f>
        <v/>
      </c>
      <c r="BP106">
        <f>IF(AND(AQ106&lt;&gt;"",COUNTIF($K$49:$M$49,$B23)+COUNTIF($K$49:$M$49,$B23&amp;" ~*")=0),($R23+COUNTIF($H$104:$H105,$B23)+COUNTIF($H$104:$H105,$B23&amp;" ~*"))*1000+IF(AQ106&gt;100,500,0)+4,"")</f>
        <v/>
      </c>
      <c r="BQ106">
        <f>IF(AND(AR106&lt;&gt;"",COUNTIF($K$49:$M$49,$B24)+COUNTIF($K$49:$M$49,$B24&amp;" ~*")=0),($R24+COUNTIF($H$104:$H105,$B24)+COUNTIF($H$104:$H105,$B24&amp;" ~*"))*1000+IF(AR106&gt;100,500,0)+5,"")</f>
        <v/>
      </c>
      <c r="BR106">
        <f>IF(AND(AS106&lt;&gt;"",COUNTIF($K$49:$M$49,$B25)+COUNTIF($K$49:$M$49,$B25&amp;" ~*")=0),($R25+COUNTIF($H$104:$H105,$B25)+COUNTIF($H$104:$H105,$B25&amp;" ~*"))*1000+IF(AS106&gt;100,500,0)+6,"")</f>
        <v/>
      </c>
      <c r="BS106">
        <f>IF(AND(AT106&lt;&gt;"",COUNTIF($K$49:$M$49,$B26)+COUNTIF($K$49:$M$49,$B26&amp;" ~*")=0),($R26+COUNTIF($H$104:$H105,$B26)+COUNTIF($H$104:$H105,$B26&amp;" ~*"))*1000+IF(AT106&gt;100,500,0)+7,"")</f>
        <v/>
      </c>
      <c r="BT106">
        <f>IF(AND(AU106&lt;&gt;"",COUNTIF($K$49:$M$49,$B27)+COUNTIF($K$49:$M$49,$B27&amp;" ~*")=0),($R27+COUNTIF($H$104:$H105,$B27)+COUNTIF($H$104:$H105,$B27&amp;" ~*"))*1000+IF(AU106&gt;100,500,0)+8,"")</f>
        <v/>
      </c>
      <c r="BU106">
        <f>IF(AND(AV106&lt;&gt;"",COUNTIF($K$49:$M$49,$B28)+COUNTIF($K$49:$M$49,$B28&amp;" ~*")=0),($R28+COUNTIF($H$104:$H105,$B28)+COUNTIF($H$104:$H105,$B28&amp;" ~*"))*1000+IF(AV106&gt;100,500,0)+9,"")</f>
        <v/>
      </c>
      <c r="BV106">
        <f>IF(AND(AW106&lt;&gt;"",COUNTIF($K$49:$M$49,$B29)+COUNTIF($K$49:$M$49,$B29&amp;" ~*")=0),($R29+COUNTIF($H$104:$H105,$B29)+COUNTIF($H$104:$H105,$B29&amp;" ~*"))*1000+IF(AW106&gt;100,500,0)+10,"")</f>
        <v/>
      </c>
      <c r="BW106">
        <f>IF(AND(AX106&lt;&gt;"",COUNTIF($K$49:$M$49,$B30)+COUNTIF($K$49:$M$49,$B30&amp;" ~*")=0),($R30+COUNTIF($H$104:$H105,$B30)+COUNTIF($H$104:$H105,$B30&amp;" ~*"))*1000+IF(AX106&gt;100,500,0)+11,"")</f>
        <v/>
      </c>
      <c r="BX106">
        <f>IF(AND(AY106&lt;&gt;"",COUNTIF($K$49:$M$49,$B31)+COUNTIF($K$49:$M$49,$B31&amp;" ~*")=0),($R31+COUNTIF($H$104:$H105,$B31)+COUNTIF($H$104:$H105,$B31&amp;" ~*"))*1000+IF(AY106&gt;100,500,0)+12,"")</f>
        <v/>
      </c>
      <c r="BY106">
        <f>IF(AND(AZ106&lt;&gt;"",COUNTIF($K$49:$M$49,$B32)+COUNTIF($K$49:$M$49,$B32&amp;" ~*")=0),($R32+COUNTIF($H$104:$H105,$B32)+COUNTIF($H$104:$H105,$B32&amp;" ~*"))*1000+IF(AZ106&gt;100,500,0)+13,"")</f>
        <v/>
      </c>
      <c r="BZ106">
        <f>IF(AND(BA106&lt;&gt;"",COUNTIF($K$49:$M$49,$B33)+COUNTIF($K$49:$M$49,$B33&amp;" ~*")=0),($R33+COUNTIF($H$104:$H105,$B33)+COUNTIF($H$104:$H105,$B33&amp;" ~*"))*1000+IF(BA106&gt;100,500,0)+14,"")</f>
        <v/>
      </c>
      <c r="CA106">
        <f>IF(AND(BB106&lt;&gt;"",COUNTIF($K$49:$M$49,$B34)+COUNTIF($K$49:$M$49,$B34&amp;" ~*")=0),($R34+COUNTIF($H$104:$H105,$B34)+COUNTIF($H$104:$H105,$B34&amp;" ~*"))*1000+IF(BB106&gt;100,500,0)+15,"")</f>
        <v/>
      </c>
      <c r="CB106">
        <f>IF(AND(BC106&lt;&gt;"",COUNTIF($K$49:$M$49,$B35)+COUNTIF($K$49:$M$49,$B35&amp;" ~*")=0),($R35+COUNTIF($H$104:$H105,$B35)+COUNTIF($H$104:$H105,$B35&amp;" ~*"))*1000+IF(BC106&gt;100,500,0)+16,"")</f>
        <v/>
      </c>
      <c r="CC106">
        <f>IF(AND(BD106&lt;&gt;"",COUNTIF($K$49:$M$49,$B36)+COUNTIF($K$49:$M$49,$B36&amp;" ~*")=0),($R36+COUNTIF($H$104:$H105,$B36)+COUNTIF($H$104:$H105,$B36&amp;" ~*"))*1000+IF(BD106&gt;100,500,0)+17,"")</f>
        <v/>
      </c>
      <c r="CD106">
        <f>IF(AND(BE106&lt;&gt;"",COUNTIF($K$49:$M$49,$B37)+COUNTIF($K$49:$M$49,$B37&amp;" ~*")=0),($R37+COUNTIF($H$104:$H105,$B37)+COUNTIF($H$104:$H105,$B37&amp;" ~*"))*1000+IF(BE106&gt;100,500,0)+18,"")</f>
        <v/>
      </c>
      <c r="CE106">
        <f>IF(AND(BF106&lt;&gt;"",COUNTIF($K$49:$M$49,$B38)+COUNTIF($K$49:$M$49,$B38&amp;" ~*")=0),($R38+COUNTIF($H$104:$H105,$B38)+COUNTIF($H$104:$H105,$B38&amp;" ~*"))*1000+IF(BF106&gt;100,500,0)+19,"")</f>
        <v/>
      </c>
      <c r="CF106">
        <f>IF(AND(BG106&lt;&gt;"",COUNTIF($K$49:$M$49,$B39)+COUNTIF($K$49:$M$49,$B39&amp;" ~*")=0),($R39+COUNTIF($H$104:$H105,$B39)+COUNTIF($H$104:$H105,$B39&amp;" ~*"))*1000+IF(BG106&gt;100,500,0)+20,"")</f>
        <v/>
      </c>
      <c r="CG106">
        <f>IF(AND(BH106&lt;&gt;"",COUNTIF($K$49:$M$49,$B40)+COUNTIF($K$49:$M$49,$B40&amp;" ~*")=0),($R40+COUNTIF($H$104:$H105,$B40)+COUNTIF($H$104:$H105,$B40&amp;" ~*"))*1000+IF(BH106&gt;100,500,0)+21,"")</f>
        <v/>
      </c>
      <c r="CH106">
        <f>IF(AND(BI106&lt;&gt;"",COUNTIF($K$49:$M$49,$B41)+COUNTIF($K$49:$M$49,$B41&amp;" ~*")=0),($R41+COUNTIF($H$104:$H105,$B41)+COUNTIF($H$104:$H105,$B41&amp;" ~*"))*1000+IF(BI106&gt;100,500,0)+22,"")</f>
        <v/>
      </c>
      <c r="CI106">
        <f>IF(AND(BJ106&lt;&gt;"",COUNTIF($K$49:$M$49,$B42)+COUNTIF($K$49:$M$49,$B42&amp;" ~*")=0),($R42+COUNTIF($H$104:$H105,$B42)+COUNTIF($H$104:$H105,$B42&amp;" ~*"))*1000+IF(BJ106&gt;100,500,0)+23,"")</f>
        <v/>
      </c>
      <c r="CJ106">
        <f>IF(AND(BK106&lt;&gt;"",COUNTIF($K$49:$M$49,$B43)+COUNTIF($K$49:$M$49,$B43&amp;" ~*")=0),($R43+COUNTIF($H$104:$H105,$B43)+COUNTIF($H$104:$H105,$B43&amp;" ~*"))*1000+IF(BK106&gt;100,500,0)+24,"")</f>
        <v/>
      </c>
    </row>
    <row r="107">
      <c r="A107" t="n">
        <v>3</v>
      </c>
      <c r="B107" t="n">
        <v>4</v>
      </c>
      <c r="C107">
        <f>$B$50</f>
        <v/>
      </c>
      <c r="D107" t="inlineStr">
        <is>
          <t>Wed</t>
        </is>
      </c>
      <c r="E107">
        <f>IF(C107="","",N($AB$50))</f>
        <v/>
      </c>
      <c r="F107">
        <f>IF(C107="","",COUNTIF($K$50:$M$50,"?*"))</f>
        <v/>
      </c>
      <c r="G107">
        <f>IF(C107="","",MAX(0,E107-F107))</f>
        <v/>
      </c>
      <c r="H107">
        <f>IF(N(G107)=0,"",IF(COUNT(BM107:CJ107)=0,"no-one eligible",INDEX(Engine!$B$20:$B$43,MOD(MIN(BM107:CJ107),500))&amp;IF(MOD(MIN(BM107:CJ107),1000)&gt;=500," *","")))</f>
        <v/>
      </c>
      <c r="I107">
        <f>IF(N(G107)&gt;0,COUNTIF($G$68:G107,"&gt;0"),"")</f>
        <v/>
      </c>
      <c r="J107">
        <f>IF(C107="","",IF($K$50="",0,IF(IFERROR(INDEX(Setup!$O$6:$AL$23,4,MATCH(SUBSTITUTE($K$50," *",""),Setup!$B$6:$B$29,0)),"")="",1,0))+IF($L$50="",0,IF(IFERROR(INDEX(Setup!$O$6:$AL$23,4,MATCH(SUBSTITUTE($L$50," *",""),Setup!$B$6:$B$29,0)),"")="",1,0))+IF($M$50="",0,IF(IFERROR(INDEX(Setup!$O$6:$AL$23,4,MATCH(SUBSTITUTE($M$50," *",""),Setup!$B$6:$B$29,0)),"")="",1,0)))</f>
        <v/>
      </c>
      <c r="K107">
        <f>IF($B$12+2=TODAY(),1,0)</f>
        <v/>
      </c>
      <c r="N107">
        <f>COUNT($AN107:$BK107)</f>
        <v/>
      </c>
      <c r="O107">
        <f>IF(1&gt;$N107,"",INDEX(Engine!$B$20:$B$43,MOD(SMALL($AN107:$BK107,1),100))&amp;IF(SMALL($AN107:$BK107,1)&gt;100," *",""))</f>
        <v/>
      </c>
      <c r="P107">
        <f>IF(2&gt;$N107,"",INDEX(Engine!$B$20:$B$43,MOD(SMALL($AN107:$BK107,2),100))&amp;IF(SMALL($AN107:$BK107,2)&gt;100," *",""))</f>
        <v/>
      </c>
      <c r="Q107">
        <f>IF(3&gt;$N107,"",INDEX(Engine!$B$20:$B$43,MOD(SMALL($AN107:$BK107,3),100))&amp;IF(SMALL($AN107:$BK107,3)&gt;100," *",""))</f>
        <v/>
      </c>
      <c r="R107">
        <f>IF(4&gt;$N107,"",INDEX(Engine!$B$20:$B$43,MOD(SMALL($AN107:$BK107,4),100))&amp;IF(SMALL($AN107:$BK107,4)&gt;100," *",""))</f>
        <v/>
      </c>
      <c r="S107">
        <f>IF(5&gt;$N107,"",INDEX(Engine!$B$20:$B$43,MOD(SMALL($AN107:$BK107,5),100))&amp;IF(SMALL($AN107:$BK107,5)&gt;100," *",""))</f>
        <v/>
      </c>
      <c r="T107">
        <f>IF(6&gt;$N107,"",INDEX(Engine!$B$20:$B$43,MOD(SMALL($AN107:$BK107,6),100))&amp;IF(SMALL($AN107:$BK107,6)&gt;100," *",""))</f>
        <v/>
      </c>
      <c r="U107">
        <f>IF(7&gt;$N107,"",INDEX(Engine!$B$20:$B$43,MOD(SMALL($AN107:$BK107,7),100))&amp;IF(SMALL($AN107:$BK107,7)&gt;100," *",""))</f>
        <v/>
      </c>
      <c r="V107">
        <f>IF(8&gt;$N107,"",INDEX(Engine!$B$20:$B$43,MOD(SMALL($AN107:$BK107,8),100))&amp;IF(SMALL($AN107:$BK107,8)&gt;100," *",""))</f>
        <v/>
      </c>
      <c r="W107">
        <f>IF(9&gt;$N107,"",INDEX(Engine!$B$20:$B$43,MOD(SMALL($AN107:$BK107,9),100))&amp;IF(SMALL($AN107:$BK107,9)&gt;100," *",""))</f>
        <v/>
      </c>
      <c r="X107">
        <f>IF(10&gt;$N107,"",INDEX(Engine!$B$20:$B$43,MOD(SMALL($AN107:$BK107,10),100))&amp;IF(SMALL($AN107:$BK107,10)&gt;100," *",""))</f>
        <v/>
      </c>
      <c r="Y107">
        <f>IF(11&gt;$N107,"",INDEX(Engine!$B$20:$B$43,MOD(SMALL($AN107:$BK107,11),100))&amp;IF(SMALL($AN107:$BK107,11)&gt;100," *",""))</f>
        <v/>
      </c>
      <c r="Z107">
        <f>IF(12&gt;$N107,"",INDEX(Engine!$B$20:$B$43,MOD(SMALL($AN107:$BK107,12),100))&amp;IF(SMALL($AN107:$BK107,12)&gt;100," *",""))</f>
        <v/>
      </c>
      <c r="AA107">
        <f>IF(13&gt;$N107,"",INDEX(Engine!$B$20:$B$43,MOD(SMALL($AN107:$BK107,13),100))&amp;IF(SMALL($AN107:$BK107,13)&gt;100," *",""))</f>
        <v/>
      </c>
      <c r="AB107">
        <f>IF(14&gt;$N107,"",INDEX(Engine!$B$20:$B$43,MOD(SMALL($AN107:$BK107,14),100))&amp;IF(SMALL($AN107:$BK107,14)&gt;100," *",""))</f>
        <v/>
      </c>
      <c r="AC107">
        <f>IF(15&gt;$N107,"",INDEX(Engine!$B$20:$B$43,MOD(SMALL($AN107:$BK107,15),100))&amp;IF(SMALL($AN107:$BK107,15)&gt;100," *",""))</f>
        <v/>
      </c>
      <c r="AD107">
        <f>IF(16&gt;$N107,"",INDEX(Engine!$B$20:$B$43,MOD(SMALL($AN107:$BK107,16),100))&amp;IF(SMALL($AN107:$BK107,16)&gt;100," *",""))</f>
        <v/>
      </c>
      <c r="AE107">
        <f>IF(17&gt;$N107,"",INDEX(Engine!$B$20:$B$43,MOD(SMALL($AN107:$BK107,17),100))&amp;IF(SMALL($AN107:$BK107,17)&gt;100," *",""))</f>
        <v/>
      </c>
      <c r="AF107">
        <f>IF(18&gt;$N107,"",INDEX(Engine!$B$20:$B$43,MOD(SMALL($AN107:$BK107,18),100))&amp;IF(SMALL($AN107:$BK107,18)&gt;100," *",""))</f>
        <v/>
      </c>
      <c r="AG107">
        <f>IF(19&gt;$N107,"",INDEX(Engine!$B$20:$B$43,MOD(SMALL($AN107:$BK107,19),100))&amp;IF(SMALL($AN107:$BK107,19)&gt;100," *",""))</f>
        <v/>
      </c>
      <c r="AH107">
        <f>IF(20&gt;$N107,"",INDEX(Engine!$B$20:$B$43,MOD(SMALL($AN107:$BK107,20),100))&amp;IF(SMALL($AN107:$BK107,20)&gt;100," *",""))</f>
        <v/>
      </c>
      <c r="AI107">
        <f>IF(21&gt;$N107,"",INDEX(Engine!$B$20:$B$43,MOD(SMALL($AN107:$BK107,21),100))&amp;IF(SMALL($AN107:$BK107,21)&gt;100," *",""))</f>
        <v/>
      </c>
      <c r="AJ107">
        <f>IF(22&gt;$N107,"",INDEX(Engine!$B$20:$B$43,MOD(SMALL($AN107:$BK107,22),100))&amp;IF(SMALL($AN107:$BK107,22)&gt;100," *",""))</f>
        <v/>
      </c>
      <c r="AK107">
        <f>IF(23&gt;$N107,"",INDEX(Engine!$B$20:$B$43,MOD(SMALL($AN107:$BK107,23),100))&amp;IF(SMALL($AN107:$BK107,23)&gt;100," *",""))</f>
        <v/>
      </c>
      <c r="AL107">
        <f>IF(24&gt;$N107,"",INDEX(Engine!$B$20:$B$43,MOD(SMALL($AN107:$BK107,24),100))&amp;IF(SMALL($AN107:$BK107,24)&gt;100," *",""))</f>
        <v/>
      </c>
      <c r="AN107">
        <f>IF(AND($C20=1,INDEX(Setup!$O$6:$AL$23,4,1)&lt;&gt;"",M20=0),1+IF(INDEX(Setup!$O$6:$AL$23,4,1)="T",100,0),"")</f>
        <v/>
      </c>
      <c r="AO107">
        <f>IF(AND($C21=1,INDEX(Setup!$O$6:$AL$23,4,2)&lt;&gt;"",M21=0),2+IF(INDEX(Setup!$O$6:$AL$23,4,2)="T",100,0),"")</f>
        <v/>
      </c>
      <c r="AP107">
        <f>IF(AND($C22=1,INDEX(Setup!$O$6:$AL$23,4,3)&lt;&gt;"",M22=0),3+IF(INDEX(Setup!$O$6:$AL$23,4,3)="T",100,0),"")</f>
        <v/>
      </c>
      <c r="AQ107">
        <f>IF(AND($C23=1,INDEX(Setup!$O$6:$AL$23,4,4)&lt;&gt;"",M23=0),4+IF(INDEX(Setup!$O$6:$AL$23,4,4)="T",100,0),"")</f>
        <v/>
      </c>
      <c r="AR107">
        <f>IF(AND($C24=1,INDEX(Setup!$O$6:$AL$23,4,5)&lt;&gt;"",M24=0),5+IF(INDEX(Setup!$O$6:$AL$23,4,5)="T",100,0),"")</f>
        <v/>
      </c>
      <c r="AS107">
        <f>IF(AND($C25=1,INDEX(Setup!$O$6:$AL$23,4,6)&lt;&gt;"",M25=0),6+IF(INDEX(Setup!$O$6:$AL$23,4,6)="T",100,0),"")</f>
        <v/>
      </c>
      <c r="AT107">
        <f>IF(AND($C26=1,INDEX(Setup!$O$6:$AL$23,4,7)&lt;&gt;"",M26=0),7+IF(INDEX(Setup!$O$6:$AL$23,4,7)="T",100,0),"")</f>
        <v/>
      </c>
      <c r="AU107">
        <f>IF(AND($C27=1,INDEX(Setup!$O$6:$AL$23,4,8)&lt;&gt;"",M27=0),8+IF(INDEX(Setup!$O$6:$AL$23,4,8)="T",100,0),"")</f>
        <v/>
      </c>
      <c r="AV107">
        <f>IF(AND($C28=1,INDEX(Setup!$O$6:$AL$23,4,9)&lt;&gt;"",M28=0),9+IF(INDEX(Setup!$O$6:$AL$23,4,9)="T",100,0),"")</f>
        <v/>
      </c>
      <c r="AW107">
        <f>IF(AND($C29=1,INDEX(Setup!$O$6:$AL$23,4,10)&lt;&gt;"",M29=0),10+IF(INDEX(Setup!$O$6:$AL$23,4,10)="T",100,0),"")</f>
        <v/>
      </c>
      <c r="AX107">
        <f>IF(AND($C30=1,INDEX(Setup!$O$6:$AL$23,4,11)&lt;&gt;"",M30=0),11+IF(INDEX(Setup!$O$6:$AL$23,4,11)="T",100,0),"")</f>
        <v/>
      </c>
      <c r="AY107">
        <f>IF(AND($C31=1,INDEX(Setup!$O$6:$AL$23,4,12)&lt;&gt;"",M31=0),12+IF(INDEX(Setup!$O$6:$AL$23,4,12)="T",100,0),"")</f>
        <v/>
      </c>
      <c r="AZ107">
        <f>IF(AND($C32=1,INDEX(Setup!$O$6:$AL$23,4,13)&lt;&gt;"",M32=0),13+IF(INDEX(Setup!$O$6:$AL$23,4,13)="T",100,0),"")</f>
        <v/>
      </c>
      <c r="BA107">
        <f>IF(AND($C33=1,INDEX(Setup!$O$6:$AL$23,4,14)&lt;&gt;"",M33=0),14+IF(INDEX(Setup!$O$6:$AL$23,4,14)="T",100,0),"")</f>
        <v/>
      </c>
      <c r="BB107">
        <f>IF(AND($C34=1,INDEX(Setup!$O$6:$AL$23,4,15)&lt;&gt;"",M34=0),15+IF(INDEX(Setup!$O$6:$AL$23,4,15)="T",100,0),"")</f>
        <v/>
      </c>
      <c r="BC107">
        <f>IF(AND($C35=1,INDEX(Setup!$O$6:$AL$23,4,16)&lt;&gt;"",M35=0),16+IF(INDEX(Setup!$O$6:$AL$23,4,16)="T",100,0),"")</f>
        <v/>
      </c>
      <c r="BD107">
        <f>IF(AND($C36=1,INDEX(Setup!$O$6:$AL$23,4,17)&lt;&gt;"",M36=0),17+IF(INDEX(Setup!$O$6:$AL$23,4,17)="T",100,0),"")</f>
        <v/>
      </c>
      <c r="BE107">
        <f>IF(AND($C37=1,INDEX(Setup!$O$6:$AL$23,4,18)&lt;&gt;"",M37=0),18+IF(INDEX(Setup!$O$6:$AL$23,4,18)="T",100,0),"")</f>
        <v/>
      </c>
      <c r="BF107">
        <f>IF(AND($C38=1,INDEX(Setup!$O$6:$AL$23,4,19)&lt;&gt;"",M38=0),19+IF(INDEX(Setup!$O$6:$AL$23,4,19)="T",100,0),"")</f>
        <v/>
      </c>
      <c r="BG107">
        <f>IF(AND($C39=1,INDEX(Setup!$O$6:$AL$23,4,20)&lt;&gt;"",M39=0),20+IF(INDEX(Setup!$O$6:$AL$23,4,20)="T",100,0),"")</f>
        <v/>
      </c>
      <c r="BH107">
        <f>IF(AND($C40=1,INDEX(Setup!$O$6:$AL$23,4,21)&lt;&gt;"",M40=0),21+IF(INDEX(Setup!$O$6:$AL$23,4,21)="T",100,0),"")</f>
        <v/>
      </c>
      <c r="BI107">
        <f>IF(AND($C41=1,INDEX(Setup!$O$6:$AL$23,4,22)&lt;&gt;"",M41=0),22+IF(INDEX(Setup!$O$6:$AL$23,4,22)="T",100,0),"")</f>
        <v/>
      </c>
      <c r="BJ107">
        <f>IF(AND($C42=1,INDEX(Setup!$O$6:$AL$23,4,23)&lt;&gt;"",M42=0),23+IF(INDEX(Setup!$O$6:$AL$23,4,23)="T",100,0),"")</f>
        <v/>
      </c>
      <c r="BK107">
        <f>IF(AND($C43=1,INDEX(Setup!$O$6:$AL$23,4,24)&lt;&gt;"",M43=0),24+IF(INDEX(Setup!$O$6:$AL$23,4,24)="T",100,0),"")</f>
        <v/>
      </c>
      <c r="BM107">
        <f>IF(AND(AN107&lt;&gt;"",COUNTIF($K$50:$M$50,$B20)+COUNTIF($K$50:$M$50,$B20&amp;" ~*")=0),($R20+COUNTIF($H$104:$H106,$B20)+COUNTIF($H$104:$H106,$B20&amp;" ~*"))*1000+IF(AN107&gt;100,500,0)+1,"")</f>
        <v/>
      </c>
      <c r="BN107">
        <f>IF(AND(AO107&lt;&gt;"",COUNTIF($K$50:$M$50,$B21)+COUNTIF($K$50:$M$50,$B21&amp;" ~*")=0),($R21+COUNTIF($H$104:$H106,$B21)+COUNTIF($H$104:$H106,$B21&amp;" ~*"))*1000+IF(AO107&gt;100,500,0)+2,"")</f>
        <v/>
      </c>
      <c r="BO107">
        <f>IF(AND(AP107&lt;&gt;"",COUNTIF($K$50:$M$50,$B22)+COUNTIF($K$50:$M$50,$B22&amp;" ~*")=0),($R22+COUNTIF($H$104:$H106,$B22)+COUNTIF($H$104:$H106,$B22&amp;" ~*"))*1000+IF(AP107&gt;100,500,0)+3,"")</f>
        <v/>
      </c>
      <c r="BP107">
        <f>IF(AND(AQ107&lt;&gt;"",COUNTIF($K$50:$M$50,$B23)+COUNTIF($K$50:$M$50,$B23&amp;" ~*")=0),($R23+COUNTIF($H$104:$H106,$B23)+COUNTIF($H$104:$H106,$B23&amp;" ~*"))*1000+IF(AQ107&gt;100,500,0)+4,"")</f>
        <v/>
      </c>
      <c r="BQ107">
        <f>IF(AND(AR107&lt;&gt;"",COUNTIF($K$50:$M$50,$B24)+COUNTIF($K$50:$M$50,$B24&amp;" ~*")=0),($R24+COUNTIF($H$104:$H106,$B24)+COUNTIF($H$104:$H106,$B24&amp;" ~*"))*1000+IF(AR107&gt;100,500,0)+5,"")</f>
        <v/>
      </c>
      <c r="BR107">
        <f>IF(AND(AS107&lt;&gt;"",COUNTIF($K$50:$M$50,$B25)+COUNTIF($K$50:$M$50,$B25&amp;" ~*")=0),($R25+COUNTIF($H$104:$H106,$B25)+COUNTIF($H$104:$H106,$B25&amp;" ~*"))*1000+IF(AS107&gt;100,500,0)+6,"")</f>
        <v/>
      </c>
      <c r="BS107">
        <f>IF(AND(AT107&lt;&gt;"",COUNTIF($K$50:$M$50,$B26)+COUNTIF($K$50:$M$50,$B26&amp;" ~*")=0),($R26+COUNTIF($H$104:$H106,$B26)+COUNTIF($H$104:$H106,$B26&amp;" ~*"))*1000+IF(AT107&gt;100,500,0)+7,"")</f>
        <v/>
      </c>
      <c r="BT107">
        <f>IF(AND(AU107&lt;&gt;"",COUNTIF($K$50:$M$50,$B27)+COUNTIF($K$50:$M$50,$B27&amp;" ~*")=0),($R27+COUNTIF($H$104:$H106,$B27)+COUNTIF($H$104:$H106,$B27&amp;" ~*"))*1000+IF(AU107&gt;100,500,0)+8,"")</f>
        <v/>
      </c>
      <c r="BU107">
        <f>IF(AND(AV107&lt;&gt;"",COUNTIF($K$50:$M$50,$B28)+COUNTIF($K$50:$M$50,$B28&amp;" ~*")=0),($R28+COUNTIF($H$104:$H106,$B28)+COUNTIF($H$104:$H106,$B28&amp;" ~*"))*1000+IF(AV107&gt;100,500,0)+9,"")</f>
        <v/>
      </c>
      <c r="BV107">
        <f>IF(AND(AW107&lt;&gt;"",COUNTIF($K$50:$M$50,$B29)+COUNTIF($K$50:$M$50,$B29&amp;" ~*")=0),($R29+COUNTIF($H$104:$H106,$B29)+COUNTIF($H$104:$H106,$B29&amp;" ~*"))*1000+IF(AW107&gt;100,500,0)+10,"")</f>
        <v/>
      </c>
      <c r="BW107">
        <f>IF(AND(AX107&lt;&gt;"",COUNTIF($K$50:$M$50,$B30)+COUNTIF($K$50:$M$50,$B30&amp;" ~*")=0),($R30+COUNTIF($H$104:$H106,$B30)+COUNTIF($H$104:$H106,$B30&amp;" ~*"))*1000+IF(AX107&gt;100,500,0)+11,"")</f>
        <v/>
      </c>
      <c r="BX107">
        <f>IF(AND(AY107&lt;&gt;"",COUNTIF($K$50:$M$50,$B31)+COUNTIF($K$50:$M$50,$B31&amp;" ~*")=0),($R31+COUNTIF($H$104:$H106,$B31)+COUNTIF($H$104:$H106,$B31&amp;" ~*"))*1000+IF(AY107&gt;100,500,0)+12,"")</f>
        <v/>
      </c>
      <c r="BY107">
        <f>IF(AND(AZ107&lt;&gt;"",COUNTIF($K$50:$M$50,$B32)+COUNTIF($K$50:$M$50,$B32&amp;" ~*")=0),($R32+COUNTIF($H$104:$H106,$B32)+COUNTIF($H$104:$H106,$B32&amp;" ~*"))*1000+IF(AZ107&gt;100,500,0)+13,"")</f>
        <v/>
      </c>
      <c r="BZ107">
        <f>IF(AND(BA107&lt;&gt;"",COUNTIF($K$50:$M$50,$B33)+COUNTIF($K$50:$M$50,$B33&amp;" ~*")=0),($R33+COUNTIF($H$104:$H106,$B33)+COUNTIF($H$104:$H106,$B33&amp;" ~*"))*1000+IF(BA107&gt;100,500,0)+14,"")</f>
        <v/>
      </c>
      <c r="CA107">
        <f>IF(AND(BB107&lt;&gt;"",COUNTIF($K$50:$M$50,$B34)+COUNTIF($K$50:$M$50,$B34&amp;" ~*")=0),($R34+COUNTIF($H$104:$H106,$B34)+COUNTIF($H$104:$H106,$B34&amp;" ~*"))*1000+IF(BB107&gt;100,500,0)+15,"")</f>
        <v/>
      </c>
      <c r="CB107">
        <f>IF(AND(BC107&lt;&gt;"",COUNTIF($K$50:$M$50,$B35)+COUNTIF($K$50:$M$50,$B35&amp;" ~*")=0),($R35+COUNTIF($H$104:$H106,$B35)+COUNTIF($H$104:$H106,$B35&amp;" ~*"))*1000+IF(BC107&gt;100,500,0)+16,"")</f>
        <v/>
      </c>
      <c r="CC107">
        <f>IF(AND(BD107&lt;&gt;"",COUNTIF($K$50:$M$50,$B36)+COUNTIF($K$50:$M$50,$B36&amp;" ~*")=0),($R36+COUNTIF($H$104:$H106,$B36)+COUNTIF($H$104:$H106,$B36&amp;" ~*"))*1000+IF(BD107&gt;100,500,0)+17,"")</f>
        <v/>
      </c>
      <c r="CD107">
        <f>IF(AND(BE107&lt;&gt;"",COUNTIF($K$50:$M$50,$B37)+COUNTIF($K$50:$M$50,$B37&amp;" ~*")=0),($R37+COUNTIF($H$104:$H106,$B37)+COUNTIF($H$104:$H106,$B37&amp;" ~*"))*1000+IF(BE107&gt;100,500,0)+18,"")</f>
        <v/>
      </c>
      <c r="CE107">
        <f>IF(AND(BF107&lt;&gt;"",COUNTIF($K$50:$M$50,$B38)+COUNTIF($K$50:$M$50,$B38&amp;" ~*")=0),($R38+COUNTIF($H$104:$H106,$B38)+COUNTIF($H$104:$H106,$B38&amp;" ~*"))*1000+IF(BF107&gt;100,500,0)+19,"")</f>
        <v/>
      </c>
      <c r="CF107">
        <f>IF(AND(BG107&lt;&gt;"",COUNTIF($K$50:$M$50,$B39)+COUNTIF($K$50:$M$50,$B39&amp;" ~*")=0),($R39+COUNTIF($H$104:$H106,$B39)+COUNTIF($H$104:$H106,$B39&amp;" ~*"))*1000+IF(BG107&gt;100,500,0)+20,"")</f>
        <v/>
      </c>
      <c r="CG107">
        <f>IF(AND(BH107&lt;&gt;"",COUNTIF($K$50:$M$50,$B40)+COUNTIF($K$50:$M$50,$B40&amp;" ~*")=0),($R40+COUNTIF($H$104:$H106,$B40)+COUNTIF($H$104:$H106,$B40&amp;" ~*"))*1000+IF(BH107&gt;100,500,0)+21,"")</f>
        <v/>
      </c>
      <c r="CH107">
        <f>IF(AND(BI107&lt;&gt;"",COUNTIF($K$50:$M$50,$B41)+COUNTIF($K$50:$M$50,$B41&amp;" ~*")=0),($R41+COUNTIF($H$104:$H106,$B41)+COUNTIF($H$104:$H106,$B41&amp;" ~*"))*1000+IF(BI107&gt;100,500,0)+22,"")</f>
        <v/>
      </c>
      <c r="CI107">
        <f>IF(AND(BJ107&lt;&gt;"",COUNTIF($K$50:$M$50,$B42)+COUNTIF($K$50:$M$50,$B42&amp;" ~*")=0),($R42+COUNTIF($H$104:$H106,$B42)+COUNTIF($H$104:$H106,$B42&amp;" ~*"))*1000+IF(BJ107&gt;100,500,0)+23,"")</f>
        <v/>
      </c>
      <c r="CJ107">
        <f>IF(AND(BK107&lt;&gt;"",COUNTIF($K$50:$M$50,$B43)+COUNTIF($K$50:$M$50,$B43&amp;" ~*")=0),($R43+COUNTIF($H$104:$H106,$B43)+COUNTIF($H$104:$H106,$B43&amp;" ~*"))*1000+IF(BK107&gt;100,500,0)+24,"")</f>
        <v/>
      </c>
    </row>
    <row r="108">
      <c r="A108" t="n">
        <v>3</v>
      </c>
      <c r="B108" t="n">
        <v>5</v>
      </c>
      <c r="C108">
        <f>$B$51</f>
        <v/>
      </c>
      <c r="D108" t="inlineStr">
        <is>
          <t>Wed</t>
        </is>
      </c>
      <c r="E108">
        <f>IF(C108="","",N($AB$51))</f>
        <v/>
      </c>
      <c r="F108">
        <f>IF(C108="","",COUNTIF($K$51:$M$51,"?*"))</f>
        <v/>
      </c>
      <c r="G108">
        <f>IF(C108="","",MAX(0,E108-F108))</f>
        <v/>
      </c>
      <c r="H108">
        <f>IF(N(G108)=0,"",IF(COUNT(BM108:CJ108)=0,"no-one eligible",INDEX(Engine!$B$20:$B$43,MOD(MIN(BM108:CJ108),500))&amp;IF(MOD(MIN(BM108:CJ108),1000)&gt;=500," *","")))</f>
        <v/>
      </c>
      <c r="I108">
        <f>IF(N(G108)&gt;0,COUNTIF($G$68:G108,"&gt;0"),"")</f>
        <v/>
      </c>
      <c r="J108">
        <f>IF(C108="","",IF($K$51="",0,IF(IFERROR(INDEX(Setup!$O$6:$AL$23,5,MATCH(SUBSTITUTE($K$51," *",""),Setup!$B$6:$B$29,0)),"")="",1,0))+IF($L$51="",0,IF(IFERROR(INDEX(Setup!$O$6:$AL$23,5,MATCH(SUBSTITUTE($L$51," *",""),Setup!$B$6:$B$29,0)),"")="",1,0))+IF($M$51="",0,IF(IFERROR(INDEX(Setup!$O$6:$AL$23,5,MATCH(SUBSTITUTE($M$51," *",""),Setup!$B$6:$B$29,0)),"")="",1,0)))</f>
        <v/>
      </c>
      <c r="K108">
        <f>IF($B$12+2=TODAY(),1,0)</f>
        <v/>
      </c>
      <c r="N108">
        <f>COUNT($AN108:$BK108)</f>
        <v/>
      </c>
      <c r="O108">
        <f>IF(1&gt;$N108,"",INDEX(Engine!$B$20:$B$43,MOD(SMALL($AN108:$BK108,1),100))&amp;IF(SMALL($AN108:$BK108,1)&gt;100," *",""))</f>
        <v/>
      </c>
      <c r="P108">
        <f>IF(2&gt;$N108,"",INDEX(Engine!$B$20:$B$43,MOD(SMALL($AN108:$BK108,2),100))&amp;IF(SMALL($AN108:$BK108,2)&gt;100," *",""))</f>
        <v/>
      </c>
      <c r="Q108">
        <f>IF(3&gt;$N108,"",INDEX(Engine!$B$20:$B$43,MOD(SMALL($AN108:$BK108,3),100))&amp;IF(SMALL($AN108:$BK108,3)&gt;100," *",""))</f>
        <v/>
      </c>
      <c r="R108">
        <f>IF(4&gt;$N108,"",INDEX(Engine!$B$20:$B$43,MOD(SMALL($AN108:$BK108,4),100))&amp;IF(SMALL($AN108:$BK108,4)&gt;100," *",""))</f>
        <v/>
      </c>
      <c r="S108">
        <f>IF(5&gt;$N108,"",INDEX(Engine!$B$20:$B$43,MOD(SMALL($AN108:$BK108,5),100))&amp;IF(SMALL($AN108:$BK108,5)&gt;100," *",""))</f>
        <v/>
      </c>
      <c r="T108">
        <f>IF(6&gt;$N108,"",INDEX(Engine!$B$20:$B$43,MOD(SMALL($AN108:$BK108,6),100))&amp;IF(SMALL($AN108:$BK108,6)&gt;100," *",""))</f>
        <v/>
      </c>
      <c r="U108">
        <f>IF(7&gt;$N108,"",INDEX(Engine!$B$20:$B$43,MOD(SMALL($AN108:$BK108,7),100))&amp;IF(SMALL($AN108:$BK108,7)&gt;100," *",""))</f>
        <v/>
      </c>
      <c r="V108">
        <f>IF(8&gt;$N108,"",INDEX(Engine!$B$20:$B$43,MOD(SMALL($AN108:$BK108,8),100))&amp;IF(SMALL($AN108:$BK108,8)&gt;100," *",""))</f>
        <v/>
      </c>
      <c r="W108">
        <f>IF(9&gt;$N108,"",INDEX(Engine!$B$20:$B$43,MOD(SMALL($AN108:$BK108,9),100))&amp;IF(SMALL($AN108:$BK108,9)&gt;100," *",""))</f>
        <v/>
      </c>
      <c r="X108">
        <f>IF(10&gt;$N108,"",INDEX(Engine!$B$20:$B$43,MOD(SMALL($AN108:$BK108,10),100))&amp;IF(SMALL($AN108:$BK108,10)&gt;100," *",""))</f>
        <v/>
      </c>
      <c r="Y108">
        <f>IF(11&gt;$N108,"",INDEX(Engine!$B$20:$B$43,MOD(SMALL($AN108:$BK108,11),100))&amp;IF(SMALL($AN108:$BK108,11)&gt;100," *",""))</f>
        <v/>
      </c>
      <c r="Z108">
        <f>IF(12&gt;$N108,"",INDEX(Engine!$B$20:$B$43,MOD(SMALL($AN108:$BK108,12),100))&amp;IF(SMALL($AN108:$BK108,12)&gt;100," *",""))</f>
        <v/>
      </c>
      <c r="AA108">
        <f>IF(13&gt;$N108,"",INDEX(Engine!$B$20:$B$43,MOD(SMALL($AN108:$BK108,13),100))&amp;IF(SMALL($AN108:$BK108,13)&gt;100," *",""))</f>
        <v/>
      </c>
      <c r="AB108">
        <f>IF(14&gt;$N108,"",INDEX(Engine!$B$20:$B$43,MOD(SMALL($AN108:$BK108,14),100))&amp;IF(SMALL($AN108:$BK108,14)&gt;100," *",""))</f>
        <v/>
      </c>
      <c r="AC108">
        <f>IF(15&gt;$N108,"",INDEX(Engine!$B$20:$B$43,MOD(SMALL($AN108:$BK108,15),100))&amp;IF(SMALL($AN108:$BK108,15)&gt;100," *",""))</f>
        <v/>
      </c>
      <c r="AD108">
        <f>IF(16&gt;$N108,"",INDEX(Engine!$B$20:$B$43,MOD(SMALL($AN108:$BK108,16),100))&amp;IF(SMALL($AN108:$BK108,16)&gt;100," *",""))</f>
        <v/>
      </c>
      <c r="AE108">
        <f>IF(17&gt;$N108,"",INDEX(Engine!$B$20:$B$43,MOD(SMALL($AN108:$BK108,17),100))&amp;IF(SMALL($AN108:$BK108,17)&gt;100," *",""))</f>
        <v/>
      </c>
      <c r="AF108">
        <f>IF(18&gt;$N108,"",INDEX(Engine!$B$20:$B$43,MOD(SMALL($AN108:$BK108,18),100))&amp;IF(SMALL($AN108:$BK108,18)&gt;100," *",""))</f>
        <v/>
      </c>
      <c r="AG108">
        <f>IF(19&gt;$N108,"",INDEX(Engine!$B$20:$B$43,MOD(SMALL($AN108:$BK108,19),100))&amp;IF(SMALL($AN108:$BK108,19)&gt;100," *",""))</f>
        <v/>
      </c>
      <c r="AH108">
        <f>IF(20&gt;$N108,"",INDEX(Engine!$B$20:$B$43,MOD(SMALL($AN108:$BK108,20),100))&amp;IF(SMALL($AN108:$BK108,20)&gt;100," *",""))</f>
        <v/>
      </c>
      <c r="AI108">
        <f>IF(21&gt;$N108,"",INDEX(Engine!$B$20:$B$43,MOD(SMALL($AN108:$BK108,21),100))&amp;IF(SMALL($AN108:$BK108,21)&gt;100," *",""))</f>
        <v/>
      </c>
      <c r="AJ108">
        <f>IF(22&gt;$N108,"",INDEX(Engine!$B$20:$B$43,MOD(SMALL($AN108:$BK108,22),100))&amp;IF(SMALL($AN108:$BK108,22)&gt;100," *",""))</f>
        <v/>
      </c>
      <c r="AK108">
        <f>IF(23&gt;$N108,"",INDEX(Engine!$B$20:$B$43,MOD(SMALL($AN108:$BK108,23),100))&amp;IF(SMALL($AN108:$BK108,23)&gt;100," *",""))</f>
        <v/>
      </c>
      <c r="AL108">
        <f>IF(24&gt;$N108,"",INDEX(Engine!$B$20:$B$43,MOD(SMALL($AN108:$BK108,24),100))&amp;IF(SMALL($AN108:$BK108,24)&gt;100," *",""))</f>
        <v/>
      </c>
      <c r="AN108">
        <f>IF(AND($C20=1,INDEX(Setup!$O$6:$AL$23,5,1)&lt;&gt;"",M20=0),1+IF(INDEX(Setup!$O$6:$AL$23,5,1)="T",100,0),"")</f>
        <v/>
      </c>
      <c r="AO108">
        <f>IF(AND($C21=1,INDEX(Setup!$O$6:$AL$23,5,2)&lt;&gt;"",M21=0),2+IF(INDEX(Setup!$O$6:$AL$23,5,2)="T",100,0),"")</f>
        <v/>
      </c>
      <c r="AP108">
        <f>IF(AND($C22=1,INDEX(Setup!$O$6:$AL$23,5,3)&lt;&gt;"",M22=0),3+IF(INDEX(Setup!$O$6:$AL$23,5,3)="T",100,0),"")</f>
        <v/>
      </c>
      <c r="AQ108">
        <f>IF(AND($C23=1,INDEX(Setup!$O$6:$AL$23,5,4)&lt;&gt;"",M23=0),4+IF(INDEX(Setup!$O$6:$AL$23,5,4)="T",100,0),"")</f>
        <v/>
      </c>
      <c r="AR108">
        <f>IF(AND($C24=1,INDEX(Setup!$O$6:$AL$23,5,5)&lt;&gt;"",M24=0),5+IF(INDEX(Setup!$O$6:$AL$23,5,5)="T",100,0),"")</f>
        <v/>
      </c>
      <c r="AS108">
        <f>IF(AND($C25=1,INDEX(Setup!$O$6:$AL$23,5,6)&lt;&gt;"",M25=0),6+IF(INDEX(Setup!$O$6:$AL$23,5,6)="T",100,0),"")</f>
        <v/>
      </c>
      <c r="AT108">
        <f>IF(AND($C26=1,INDEX(Setup!$O$6:$AL$23,5,7)&lt;&gt;"",M26=0),7+IF(INDEX(Setup!$O$6:$AL$23,5,7)="T",100,0),"")</f>
        <v/>
      </c>
      <c r="AU108">
        <f>IF(AND($C27=1,INDEX(Setup!$O$6:$AL$23,5,8)&lt;&gt;"",M27=0),8+IF(INDEX(Setup!$O$6:$AL$23,5,8)="T",100,0),"")</f>
        <v/>
      </c>
      <c r="AV108">
        <f>IF(AND($C28=1,INDEX(Setup!$O$6:$AL$23,5,9)&lt;&gt;"",M28=0),9+IF(INDEX(Setup!$O$6:$AL$23,5,9)="T",100,0),"")</f>
        <v/>
      </c>
      <c r="AW108">
        <f>IF(AND($C29=1,INDEX(Setup!$O$6:$AL$23,5,10)&lt;&gt;"",M29=0),10+IF(INDEX(Setup!$O$6:$AL$23,5,10)="T",100,0),"")</f>
        <v/>
      </c>
      <c r="AX108">
        <f>IF(AND($C30=1,INDEX(Setup!$O$6:$AL$23,5,11)&lt;&gt;"",M30=0),11+IF(INDEX(Setup!$O$6:$AL$23,5,11)="T",100,0),"")</f>
        <v/>
      </c>
      <c r="AY108">
        <f>IF(AND($C31=1,INDEX(Setup!$O$6:$AL$23,5,12)&lt;&gt;"",M31=0),12+IF(INDEX(Setup!$O$6:$AL$23,5,12)="T",100,0),"")</f>
        <v/>
      </c>
      <c r="AZ108">
        <f>IF(AND($C32=1,INDEX(Setup!$O$6:$AL$23,5,13)&lt;&gt;"",M32=0),13+IF(INDEX(Setup!$O$6:$AL$23,5,13)="T",100,0),"")</f>
        <v/>
      </c>
      <c r="BA108">
        <f>IF(AND($C33=1,INDEX(Setup!$O$6:$AL$23,5,14)&lt;&gt;"",M33=0),14+IF(INDEX(Setup!$O$6:$AL$23,5,14)="T",100,0),"")</f>
        <v/>
      </c>
      <c r="BB108">
        <f>IF(AND($C34=1,INDEX(Setup!$O$6:$AL$23,5,15)&lt;&gt;"",M34=0),15+IF(INDEX(Setup!$O$6:$AL$23,5,15)="T",100,0),"")</f>
        <v/>
      </c>
      <c r="BC108">
        <f>IF(AND($C35=1,INDEX(Setup!$O$6:$AL$23,5,16)&lt;&gt;"",M35=0),16+IF(INDEX(Setup!$O$6:$AL$23,5,16)="T",100,0),"")</f>
        <v/>
      </c>
      <c r="BD108">
        <f>IF(AND($C36=1,INDEX(Setup!$O$6:$AL$23,5,17)&lt;&gt;"",M36=0),17+IF(INDEX(Setup!$O$6:$AL$23,5,17)="T",100,0),"")</f>
        <v/>
      </c>
      <c r="BE108">
        <f>IF(AND($C37=1,INDEX(Setup!$O$6:$AL$23,5,18)&lt;&gt;"",M37=0),18+IF(INDEX(Setup!$O$6:$AL$23,5,18)="T",100,0),"")</f>
        <v/>
      </c>
      <c r="BF108">
        <f>IF(AND($C38=1,INDEX(Setup!$O$6:$AL$23,5,19)&lt;&gt;"",M38=0),19+IF(INDEX(Setup!$O$6:$AL$23,5,19)="T",100,0),"")</f>
        <v/>
      </c>
      <c r="BG108">
        <f>IF(AND($C39=1,INDEX(Setup!$O$6:$AL$23,5,20)&lt;&gt;"",M39=0),20+IF(INDEX(Setup!$O$6:$AL$23,5,20)="T",100,0),"")</f>
        <v/>
      </c>
      <c r="BH108">
        <f>IF(AND($C40=1,INDEX(Setup!$O$6:$AL$23,5,21)&lt;&gt;"",M40=0),21+IF(INDEX(Setup!$O$6:$AL$23,5,21)="T",100,0),"")</f>
        <v/>
      </c>
      <c r="BI108">
        <f>IF(AND($C41=1,INDEX(Setup!$O$6:$AL$23,5,22)&lt;&gt;"",M41=0),22+IF(INDEX(Setup!$O$6:$AL$23,5,22)="T",100,0),"")</f>
        <v/>
      </c>
      <c r="BJ108">
        <f>IF(AND($C42=1,INDEX(Setup!$O$6:$AL$23,5,23)&lt;&gt;"",M42=0),23+IF(INDEX(Setup!$O$6:$AL$23,5,23)="T",100,0),"")</f>
        <v/>
      </c>
      <c r="BK108">
        <f>IF(AND($C43=1,INDEX(Setup!$O$6:$AL$23,5,24)&lt;&gt;"",M43=0),24+IF(INDEX(Setup!$O$6:$AL$23,5,24)="T",100,0),"")</f>
        <v/>
      </c>
      <c r="BM108">
        <f>IF(AND(AN108&lt;&gt;"",COUNTIF($K$51:$M$51,$B20)+COUNTIF($K$51:$M$51,$B20&amp;" ~*")=0),($R20+COUNTIF($H$104:$H107,$B20)+COUNTIF($H$104:$H107,$B20&amp;" ~*"))*1000+IF(AN108&gt;100,500,0)+1,"")</f>
        <v/>
      </c>
      <c r="BN108">
        <f>IF(AND(AO108&lt;&gt;"",COUNTIF($K$51:$M$51,$B21)+COUNTIF($K$51:$M$51,$B21&amp;" ~*")=0),($R21+COUNTIF($H$104:$H107,$B21)+COUNTIF($H$104:$H107,$B21&amp;" ~*"))*1000+IF(AO108&gt;100,500,0)+2,"")</f>
        <v/>
      </c>
      <c r="BO108">
        <f>IF(AND(AP108&lt;&gt;"",COUNTIF($K$51:$M$51,$B22)+COUNTIF($K$51:$M$51,$B22&amp;" ~*")=0),($R22+COUNTIF($H$104:$H107,$B22)+COUNTIF($H$104:$H107,$B22&amp;" ~*"))*1000+IF(AP108&gt;100,500,0)+3,"")</f>
        <v/>
      </c>
      <c r="BP108">
        <f>IF(AND(AQ108&lt;&gt;"",COUNTIF($K$51:$M$51,$B23)+COUNTIF($K$51:$M$51,$B23&amp;" ~*")=0),($R23+COUNTIF($H$104:$H107,$B23)+COUNTIF($H$104:$H107,$B23&amp;" ~*"))*1000+IF(AQ108&gt;100,500,0)+4,"")</f>
        <v/>
      </c>
      <c r="BQ108">
        <f>IF(AND(AR108&lt;&gt;"",COUNTIF($K$51:$M$51,$B24)+COUNTIF($K$51:$M$51,$B24&amp;" ~*")=0),($R24+COUNTIF($H$104:$H107,$B24)+COUNTIF($H$104:$H107,$B24&amp;" ~*"))*1000+IF(AR108&gt;100,500,0)+5,"")</f>
        <v/>
      </c>
      <c r="BR108">
        <f>IF(AND(AS108&lt;&gt;"",COUNTIF($K$51:$M$51,$B25)+COUNTIF($K$51:$M$51,$B25&amp;" ~*")=0),($R25+COUNTIF($H$104:$H107,$B25)+COUNTIF($H$104:$H107,$B25&amp;" ~*"))*1000+IF(AS108&gt;100,500,0)+6,"")</f>
        <v/>
      </c>
      <c r="BS108">
        <f>IF(AND(AT108&lt;&gt;"",COUNTIF($K$51:$M$51,$B26)+COUNTIF($K$51:$M$51,$B26&amp;" ~*")=0),($R26+COUNTIF($H$104:$H107,$B26)+COUNTIF($H$104:$H107,$B26&amp;" ~*"))*1000+IF(AT108&gt;100,500,0)+7,"")</f>
        <v/>
      </c>
      <c r="BT108">
        <f>IF(AND(AU108&lt;&gt;"",COUNTIF($K$51:$M$51,$B27)+COUNTIF($K$51:$M$51,$B27&amp;" ~*")=0),($R27+COUNTIF($H$104:$H107,$B27)+COUNTIF($H$104:$H107,$B27&amp;" ~*"))*1000+IF(AU108&gt;100,500,0)+8,"")</f>
        <v/>
      </c>
      <c r="BU108">
        <f>IF(AND(AV108&lt;&gt;"",COUNTIF($K$51:$M$51,$B28)+COUNTIF($K$51:$M$51,$B28&amp;" ~*")=0),($R28+COUNTIF($H$104:$H107,$B28)+COUNTIF($H$104:$H107,$B28&amp;" ~*"))*1000+IF(AV108&gt;100,500,0)+9,"")</f>
        <v/>
      </c>
      <c r="BV108">
        <f>IF(AND(AW108&lt;&gt;"",COUNTIF($K$51:$M$51,$B29)+COUNTIF($K$51:$M$51,$B29&amp;" ~*")=0),($R29+COUNTIF($H$104:$H107,$B29)+COUNTIF($H$104:$H107,$B29&amp;" ~*"))*1000+IF(AW108&gt;100,500,0)+10,"")</f>
        <v/>
      </c>
      <c r="BW108">
        <f>IF(AND(AX108&lt;&gt;"",COUNTIF($K$51:$M$51,$B30)+COUNTIF($K$51:$M$51,$B30&amp;" ~*")=0),($R30+COUNTIF($H$104:$H107,$B30)+COUNTIF($H$104:$H107,$B30&amp;" ~*"))*1000+IF(AX108&gt;100,500,0)+11,"")</f>
        <v/>
      </c>
      <c r="BX108">
        <f>IF(AND(AY108&lt;&gt;"",COUNTIF($K$51:$M$51,$B31)+COUNTIF($K$51:$M$51,$B31&amp;" ~*")=0),($R31+COUNTIF($H$104:$H107,$B31)+COUNTIF($H$104:$H107,$B31&amp;" ~*"))*1000+IF(AY108&gt;100,500,0)+12,"")</f>
        <v/>
      </c>
      <c r="BY108">
        <f>IF(AND(AZ108&lt;&gt;"",COUNTIF($K$51:$M$51,$B32)+COUNTIF($K$51:$M$51,$B32&amp;" ~*")=0),($R32+COUNTIF($H$104:$H107,$B32)+COUNTIF($H$104:$H107,$B32&amp;" ~*"))*1000+IF(AZ108&gt;100,500,0)+13,"")</f>
        <v/>
      </c>
      <c r="BZ108">
        <f>IF(AND(BA108&lt;&gt;"",COUNTIF($K$51:$M$51,$B33)+COUNTIF($K$51:$M$51,$B33&amp;" ~*")=0),($R33+COUNTIF($H$104:$H107,$B33)+COUNTIF($H$104:$H107,$B33&amp;" ~*"))*1000+IF(BA108&gt;100,500,0)+14,"")</f>
        <v/>
      </c>
      <c r="CA108">
        <f>IF(AND(BB108&lt;&gt;"",COUNTIF($K$51:$M$51,$B34)+COUNTIF($K$51:$M$51,$B34&amp;" ~*")=0),($R34+COUNTIF($H$104:$H107,$B34)+COUNTIF($H$104:$H107,$B34&amp;" ~*"))*1000+IF(BB108&gt;100,500,0)+15,"")</f>
        <v/>
      </c>
      <c r="CB108">
        <f>IF(AND(BC108&lt;&gt;"",COUNTIF($K$51:$M$51,$B35)+COUNTIF($K$51:$M$51,$B35&amp;" ~*")=0),($R35+COUNTIF($H$104:$H107,$B35)+COUNTIF($H$104:$H107,$B35&amp;" ~*"))*1000+IF(BC108&gt;100,500,0)+16,"")</f>
        <v/>
      </c>
      <c r="CC108">
        <f>IF(AND(BD108&lt;&gt;"",COUNTIF($K$51:$M$51,$B36)+COUNTIF($K$51:$M$51,$B36&amp;" ~*")=0),($R36+COUNTIF($H$104:$H107,$B36)+COUNTIF($H$104:$H107,$B36&amp;" ~*"))*1000+IF(BD108&gt;100,500,0)+17,"")</f>
        <v/>
      </c>
      <c r="CD108">
        <f>IF(AND(BE108&lt;&gt;"",COUNTIF($K$51:$M$51,$B37)+COUNTIF($K$51:$M$51,$B37&amp;" ~*")=0),($R37+COUNTIF($H$104:$H107,$B37)+COUNTIF($H$104:$H107,$B37&amp;" ~*"))*1000+IF(BE108&gt;100,500,0)+18,"")</f>
        <v/>
      </c>
      <c r="CE108">
        <f>IF(AND(BF108&lt;&gt;"",COUNTIF($K$51:$M$51,$B38)+COUNTIF($K$51:$M$51,$B38&amp;" ~*")=0),($R38+COUNTIF($H$104:$H107,$B38)+COUNTIF($H$104:$H107,$B38&amp;" ~*"))*1000+IF(BF108&gt;100,500,0)+19,"")</f>
        <v/>
      </c>
      <c r="CF108">
        <f>IF(AND(BG108&lt;&gt;"",COUNTIF($K$51:$M$51,$B39)+COUNTIF($K$51:$M$51,$B39&amp;" ~*")=0),($R39+COUNTIF($H$104:$H107,$B39)+COUNTIF($H$104:$H107,$B39&amp;" ~*"))*1000+IF(BG108&gt;100,500,0)+20,"")</f>
        <v/>
      </c>
      <c r="CG108">
        <f>IF(AND(BH108&lt;&gt;"",COUNTIF($K$51:$M$51,$B40)+COUNTIF($K$51:$M$51,$B40&amp;" ~*")=0),($R40+COUNTIF($H$104:$H107,$B40)+COUNTIF($H$104:$H107,$B40&amp;" ~*"))*1000+IF(BH108&gt;100,500,0)+21,"")</f>
        <v/>
      </c>
      <c r="CH108">
        <f>IF(AND(BI108&lt;&gt;"",COUNTIF($K$51:$M$51,$B41)+COUNTIF($K$51:$M$51,$B41&amp;" ~*")=0),($R41+COUNTIF($H$104:$H107,$B41)+COUNTIF($H$104:$H107,$B41&amp;" ~*"))*1000+IF(BI108&gt;100,500,0)+22,"")</f>
        <v/>
      </c>
      <c r="CI108">
        <f>IF(AND(BJ108&lt;&gt;"",COUNTIF($K$51:$M$51,$B42)+COUNTIF($K$51:$M$51,$B42&amp;" ~*")=0),($R42+COUNTIF($H$104:$H107,$B42)+COUNTIF($H$104:$H107,$B42&amp;" ~*"))*1000+IF(BJ108&gt;100,500,0)+23,"")</f>
        <v/>
      </c>
      <c r="CJ108">
        <f>IF(AND(BK108&lt;&gt;"",COUNTIF($K$51:$M$51,$B43)+COUNTIF($K$51:$M$51,$B43&amp;" ~*")=0),($R43+COUNTIF($H$104:$H107,$B43)+COUNTIF($H$104:$H107,$B43&amp;" ~*"))*1000+IF(BK108&gt;100,500,0)+24,"")</f>
        <v/>
      </c>
    </row>
    <row r="109">
      <c r="A109" t="n">
        <v>3</v>
      </c>
      <c r="B109" t="n">
        <v>6</v>
      </c>
      <c r="C109">
        <f>$B$52</f>
        <v/>
      </c>
      <c r="D109" t="inlineStr">
        <is>
          <t>Wed</t>
        </is>
      </c>
      <c r="E109">
        <f>IF(C109="","",N($AB$52))</f>
        <v/>
      </c>
      <c r="F109">
        <f>IF(C109="","",COUNTIF($K$52:$M$52,"?*"))</f>
        <v/>
      </c>
      <c r="G109">
        <f>IF(C109="","",MAX(0,E109-F109))</f>
        <v/>
      </c>
      <c r="H109">
        <f>IF(N(G109)=0,"",IF(COUNT(BM109:CJ109)=0,"no-one eligible",INDEX(Engine!$B$20:$B$43,MOD(MIN(BM109:CJ109),500))&amp;IF(MOD(MIN(BM109:CJ109),1000)&gt;=500," *","")))</f>
        <v/>
      </c>
      <c r="I109">
        <f>IF(N(G109)&gt;0,COUNTIF($G$68:G109,"&gt;0"),"")</f>
        <v/>
      </c>
      <c r="J109">
        <f>IF(C109="","",IF($K$52="",0,IF(IFERROR(INDEX(Setup!$O$6:$AL$23,6,MATCH(SUBSTITUTE($K$52," *",""),Setup!$B$6:$B$29,0)),"")="",1,0))+IF($L$52="",0,IF(IFERROR(INDEX(Setup!$O$6:$AL$23,6,MATCH(SUBSTITUTE($L$52," *",""),Setup!$B$6:$B$29,0)),"")="",1,0))+IF($M$52="",0,IF(IFERROR(INDEX(Setup!$O$6:$AL$23,6,MATCH(SUBSTITUTE($M$52," *",""),Setup!$B$6:$B$29,0)),"")="",1,0)))</f>
        <v/>
      </c>
      <c r="K109">
        <f>IF($B$12+2=TODAY(),1,0)</f>
        <v/>
      </c>
      <c r="N109">
        <f>COUNT($AN109:$BK109)</f>
        <v/>
      </c>
      <c r="O109">
        <f>IF(1&gt;$N109,"",INDEX(Engine!$B$20:$B$43,MOD(SMALL($AN109:$BK109,1),100))&amp;IF(SMALL($AN109:$BK109,1)&gt;100," *",""))</f>
        <v/>
      </c>
      <c r="P109">
        <f>IF(2&gt;$N109,"",INDEX(Engine!$B$20:$B$43,MOD(SMALL($AN109:$BK109,2),100))&amp;IF(SMALL($AN109:$BK109,2)&gt;100," *",""))</f>
        <v/>
      </c>
      <c r="Q109">
        <f>IF(3&gt;$N109,"",INDEX(Engine!$B$20:$B$43,MOD(SMALL($AN109:$BK109,3),100))&amp;IF(SMALL($AN109:$BK109,3)&gt;100," *",""))</f>
        <v/>
      </c>
      <c r="R109">
        <f>IF(4&gt;$N109,"",INDEX(Engine!$B$20:$B$43,MOD(SMALL($AN109:$BK109,4),100))&amp;IF(SMALL($AN109:$BK109,4)&gt;100," *",""))</f>
        <v/>
      </c>
      <c r="S109">
        <f>IF(5&gt;$N109,"",INDEX(Engine!$B$20:$B$43,MOD(SMALL($AN109:$BK109,5),100))&amp;IF(SMALL($AN109:$BK109,5)&gt;100," *",""))</f>
        <v/>
      </c>
      <c r="T109">
        <f>IF(6&gt;$N109,"",INDEX(Engine!$B$20:$B$43,MOD(SMALL($AN109:$BK109,6),100))&amp;IF(SMALL($AN109:$BK109,6)&gt;100," *",""))</f>
        <v/>
      </c>
      <c r="U109">
        <f>IF(7&gt;$N109,"",INDEX(Engine!$B$20:$B$43,MOD(SMALL($AN109:$BK109,7),100))&amp;IF(SMALL($AN109:$BK109,7)&gt;100," *",""))</f>
        <v/>
      </c>
      <c r="V109">
        <f>IF(8&gt;$N109,"",INDEX(Engine!$B$20:$B$43,MOD(SMALL($AN109:$BK109,8),100))&amp;IF(SMALL($AN109:$BK109,8)&gt;100," *",""))</f>
        <v/>
      </c>
      <c r="W109">
        <f>IF(9&gt;$N109,"",INDEX(Engine!$B$20:$B$43,MOD(SMALL($AN109:$BK109,9),100))&amp;IF(SMALL($AN109:$BK109,9)&gt;100," *",""))</f>
        <v/>
      </c>
      <c r="X109">
        <f>IF(10&gt;$N109,"",INDEX(Engine!$B$20:$B$43,MOD(SMALL($AN109:$BK109,10),100))&amp;IF(SMALL($AN109:$BK109,10)&gt;100," *",""))</f>
        <v/>
      </c>
      <c r="Y109">
        <f>IF(11&gt;$N109,"",INDEX(Engine!$B$20:$B$43,MOD(SMALL($AN109:$BK109,11),100))&amp;IF(SMALL($AN109:$BK109,11)&gt;100," *",""))</f>
        <v/>
      </c>
      <c r="Z109">
        <f>IF(12&gt;$N109,"",INDEX(Engine!$B$20:$B$43,MOD(SMALL($AN109:$BK109,12),100))&amp;IF(SMALL($AN109:$BK109,12)&gt;100," *",""))</f>
        <v/>
      </c>
      <c r="AA109">
        <f>IF(13&gt;$N109,"",INDEX(Engine!$B$20:$B$43,MOD(SMALL($AN109:$BK109,13),100))&amp;IF(SMALL($AN109:$BK109,13)&gt;100," *",""))</f>
        <v/>
      </c>
      <c r="AB109">
        <f>IF(14&gt;$N109,"",INDEX(Engine!$B$20:$B$43,MOD(SMALL($AN109:$BK109,14),100))&amp;IF(SMALL($AN109:$BK109,14)&gt;100," *",""))</f>
        <v/>
      </c>
      <c r="AC109">
        <f>IF(15&gt;$N109,"",INDEX(Engine!$B$20:$B$43,MOD(SMALL($AN109:$BK109,15),100))&amp;IF(SMALL($AN109:$BK109,15)&gt;100," *",""))</f>
        <v/>
      </c>
      <c r="AD109">
        <f>IF(16&gt;$N109,"",INDEX(Engine!$B$20:$B$43,MOD(SMALL($AN109:$BK109,16),100))&amp;IF(SMALL($AN109:$BK109,16)&gt;100," *",""))</f>
        <v/>
      </c>
      <c r="AE109">
        <f>IF(17&gt;$N109,"",INDEX(Engine!$B$20:$B$43,MOD(SMALL($AN109:$BK109,17),100))&amp;IF(SMALL($AN109:$BK109,17)&gt;100," *",""))</f>
        <v/>
      </c>
      <c r="AF109">
        <f>IF(18&gt;$N109,"",INDEX(Engine!$B$20:$B$43,MOD(SMALL($AN109:$BK109,18),100))&amp;IF(SMALL($AN109:$BK109,18)&gt;100," *",""))</f>
        <v/>
      </c>
      <c r="AG109">
        <f>IF(19&gt;$N109,"",INDEX(Engine!$B$20:$B$43,MOD(SMALL($AN109:$BK109,19),100))&amp;IF(SMALL($AN109:$BK109,19)&gt;100," *",""))</f>
        <v/>
      </c>
      <c r="AH109">
        <f>IF(20&gt;$N109,"",INDEX(Engine!$B$20:$B$43,MOD(SMALL($AN109:$BK109,20),100))&amp;IF(SMALL($AN109:$BK109,20)&gt;100," *",""))</f>
        <v/>
      </c>
      <c r="AI109">
        <f>IF(21&gt;$N109,"",INDEX(Engine!$B$20:$B$43,MOD(SMALL($AN109:$BK109,21),100))&amp;IF(SMALL($AN109:$BK109,21)&gt;100," *",""))</f>
        <v/>
      </c>
      <c r="AJ109">
        <f>IF(22&gt;$N109,"",INDEX(Engine!$B$20:$B$43,MOD(SMALL($AN109:$BK109,22),100))&amp;IF(SMALL($AN109:$BK109,22)&gt;100," *",""))</f>
        <v/>
      </c>
      <c r="AK109">
        <f>IF(23&gt;$N109,"",INDEX(Engine!$B$20:$B$43,MOD(SMALL($AN109:$BK109,23),100))&amp;IF(SMALL($AN109:$BK109,23)&gt;100," *",""))</f>
        <v/>
      </c>
      <c r="AL109">
        <f>IF(24&gt;$N109,"",INDEX(Engine!$B$20:$B$43,MOD(SMALL($AN109:$BK109,24),100))&amp;IF(SMALL($AN109:$BK109,24)&gt;100," *",""))</f>
        <v/>
      </c>
      <c r="AN109">
        <f>IF(AND($C20=1,INDEX(Setup!$O$6:$AL$23,6,1)&lt;&gt;"",M20=0),1+IF(INDEX(Setup!$O$6:$AL$23,6,1)="T",100,0),"")</f>
        <v/>
      </c>
      <c r="AO109">
        <f>IF(AND($C21=1,INDEX(Setup!$O$6:$AL$23,6,2)&lt;&gt;"",M21=0),2+IF(INDEX(Setup!$O$6:$AL$23,6,2)="T",100,0),"")</f>
        <v/>
      </c>
      <c r="AP109">
        <f>IF(AND($C22=1,INDEX(Setup!$O$6:$AL$23,6,3)&lt;&gt;"",M22=0),3+IF(INDEX(Setup!$O$6:$AL$23,6,3)="T",100,0),"")</f>
        <v/>
      </c>
      <c r="AQ109">
        <f>IF(AND($C23=1,INDEX(Setup!$O$6:$AL$23,6,4)&lt;&gt;"",M23=0),4+IF(INDEX(Setup!$O$6:$AL$23,6,4)="T",100,0),"")</f>
        <v/>
      </c>
      <c r="AR109">
        <f>IF(AND($C24=1,INDEX(Setup!$O$6:$AL$23,6,5)&lt;&gt;"",M24=0),5+IF(INDEX(Setup!$O$6:$AL$23,6,5)="T",100,0),"")</f>
        <v/>
      </c>
      <c r="AS109">
        <f>IF(AND($C25=1,INDEX(Setup!$O$6:$AL$23,6,6)&lt;&gt;"",M25=0),6+IF(INDEX(Setup!$O$6:$AL$23,6,6)="T",100,0),"")</f>
        <v/>
      </c>
      <c r="AT109">
        <f>IF(AND($C26=1,INDEX(Setup!$O$6:$AL$23,6,7)&lt;&gt;"",M26=0),7+IF(INDEX(Setup!$O$6:$AL$23,6,7)="T",100,0),"")</f>
        <v/>
      </c>
      <c r="AU109">
        <f>IF(AND($C27=1,INDEX(Setup!$O$6:$AL$23,6,8)&lt;&gt;"",M27=0),8+IF(INDEX(Setup!$O$6:$AL$23,6,8)="T",100,0),"")</f>
        <v/>
      </c>
      <c r="AV109">
        <f>IF(AND($C28=1,INDEX(Setup!$O$6:$AL$23,6,9)&lt;&gt;"",M28=0),9+IF(INDEX(Setup!$O$6:$AL$23,6,9)="T",100,0),"")</f>
        <v/>
      </c>
      <c r="AW109">
        <f>IF(AND($C29=1,INDEX(Setup!$O$6:$AL$23,6,10)&lt;&gt;"",M29=0),10+IF(INDEX(Setup!$O$6:$AL$23,6,10)="T",100,0),"")</f>
        <v/>
      </c>
      <c r="AX109">
        <f>IF(AND($C30=1,INDEX(Setup!$O$6:$AL$23,6,11)&lt;&gt;"",M30=0),11+IF(INDEX(Setup!$O$6:$AL$23,6,11)="T",100,0),"")</f>
        <v/>
      </c>
      <c r="AY109">
        <f>IF(AND($C31=1,INDEX(Setup!$O$6:$AL$23,6,12)&lt;&gt;"",M31=0),12+IF(INDEX(Setup!$O$6:$AL$23,6,12)="T",100,0),"")</f>
        <v/>
      </c>
      <c r="AZ109">
        <f>IF(AND($C32=1,INDEX(Setup!$O$6:$AL$23,6,13)&lt;&gt;"",M32=0),13+IF(INDEX(Setup!$O$6:$AL$23,6,13)="T",100,0),"")</f>
        <v/>
      </c>
      <c r="BA109">
        <f>IF(AND($C33=1,INDEX(Setup!$O$6:$AL$23,6,14)&lt;&gt;"",M33=0),14+IF(INDEX(Setup!$O$6:$AL$23,6,14)="T",100,0),"")</f>
        <v/>
      </c>
      <c r="BB109">
        <f>IF(AND($C34=1,INDEX(Setup!$O$6:$AL$23,6,15)&lt;&gt;"",M34=0),15+IF(INDEX(Setup!$O$6:$AL$23,6,15)="T",100,0),"")</f>
        <v/>
      </c>
      <c r="BC109">
        <f>IF(AND($C35=1,INDEX(Setup!$O$6:$AL$23,6,16)&lt;&gt;"",M35=0),16+IF(INDEX(Setup!$O$6:$AL$23,6,16)="T",100,0),"")</f>
        <v/>
      </c>
      <c r="BD109">
        <f>IF(AND($C36=1,INDEX(Setup!$O$6:$AL$23,6,17)&lt;&gt;"",M36=0),17+IF(INDEX(Setup!$O$6:$AL$23,6,17)="T",100,0),"")</f>
        <v/>
      </c>
      <c r="BE109">
        <f>IF(AND($C37=1,INDEX(Setup!$O$6:$AL$23,6,18)&lt;&gt;"",M37=0),18+IF(INDEX(Setup!$O$6:$AL$23,6,18)="T",100,0),"")</f>
        <v/>
      </c>
      <c r="BF109">
        <f>IF(AND($C38=1,INDEX(Setup!$O$6:$AL$23,6,19)&lt;&gt;"",M38=0),19+IF(INDEX(Setup!$O$6:$AL$23,6,19)="T",100,0),"")</f>
        <v/>
      </c>
      <c r="BG109">
        <f>IF(AND($C39=1,INDEX(Setup!$O$6:$AL$23,6,20)&lt;&gt;"",M39=0),20+IF(INDEX(Setup!$O$6:$AL$23,6,20)="T",100,0),"")</f>
        <v/>
      </c>
      <c r="BH109">
        <f>IF(AND($C40=1,INDEX(Setup!$O$6:$AL$23,6,21)&lt;&gt;"",M40=0),21+IF(INDEX(Setup!$O$6:$AL$23,6,21)="T",100,0),"")</f>
        <v/>
      </c>
      <c r="BI109">
        <f>IF(AND($C41=1,INDEX(Setup!$O$6:$AL$23,6,22)&lt;&gt;"",M41=0),22+IF(INDEX(Setup!$O$6:$AL$23,6,22)="T",100,0),"")</f>
        <v/>
      </c>
      <c r="BJ109">
        <f>IF(AND($C42=1,INDEX(Setup!$O$6:$AL$23,6,23)&lt;&gt;"",M42=0),23+IF(INDEX(Setup!$O$6:$AL$23,6,23)="T",100,0),"")</f>
        <v/>
      </c>
      <c r="BK109">
        <f>IF(AND($C43=1,INDEX(Setup!$O$6:$AL$23,6,24)&lt;&gt;"",M43=0),24+IF(INDEX(Setup!$O$6:$AL$23,6,24)="T",100,0),"")</f>
        <v/>
      </c>
      <c r="BM109">
        <f>IF(AND(AN109&lt;&gt;"",COUNTIF($K$52:$M$52,$B20)+COUNTIF($K$52:$M$52,$B20&amp;" ~*")=0),($R20+COUNTIF($H$104:$H108,$B20)+COUNTIF($H$104:$H108,$B20&amp;" ~*"))*1000+IF(AN109&gt;100,500,0)+1,"")</f>
        <v/>
      </c>
      <c r="BN109">
        <f>IF(AND(AO109&lt;&gt;"",COUNTIF($K$52:$M$52,$B21)+COUNTIF($K$52:$M$52,$B21&amp;" ~*")=0),($R21+COUNTIF($H$104:$H108,$B21)+COUNTIF($H$104:$H108,$B21&amp;" ~*"))*1000+IF(AO109&gt;100,500,0)+2,"")</f>
        <v/>
      </c>
      <c r="BO109">
        <f>IF(AND(AP109&lt;&gt;"",COUNTIF($K$52:$M$52,$B22)+COUNTIF($K$52:$M$52,$B22&amp;" ~*")=0),($R22+COUNTIF($H$104:$H108,$B22)+COUNTIF($H$104:$H108,$B22&amp;" ~*"))*1000+IF(AP109&gt;100,500,0)+3,"")</f>
        <v/>
      </c>
      <c r="BP109">
        <f>IF(AND(AQ109&lt;&gt;"",COUNTIF($K$52:$M$52,$B23)+COUNTIF($K$52:$M$52,$B23&amp;" ~*")=0),($R23+COUNTIF($H$104:$H108,$B23)+COUNTIF($H$104:$H108,$B23&amp;" ~*"))*1000+IF(AQ109&gt;100,500,0)+4,"")</f>
        <v/>
      </c>
      <c r="BQ109">
        <f>IF(AND(AR109&lt;&gt;"",COUNTIF($K$52:$M$52,$B24)+COUNTIF($K$52:$M$52,$B24&amp;" ~*")=0),($R24+COUNTIF($H$104:$H108,$B24)+COUNTIF($H$104:$H108,$B24&amp;" ~*"))*1000+IF(AR109&gt;100,500,0)+5,"")</f>
        <v/>
      </c>
      <c r="BR109">
        <f>IF(AND(AS109&lt;&gt;"",COUNTIF($K$52:$M$52,$B25)+COUNTIF($K$52:$M$52,$B25&amp;" ~*")=0),($R25+COUNTIF($H$104:$H108,$B25)+COUNTIF($H$104:$H108,$B25&amp;" ~*"))*1000+IF(AS109&gt;100,500,0)+6,"")</f>
        <v/>
      </c>
      <c r="BS109">
        <f>IF(AND(AT109&lt;&gt;"",COUNTIF($K$52:$M$52,$B26)+COUNTIF($K$52:$M$52,$B26&amp;" ~*")=0),($R26+COUNTIF($H$104:$H108,$B26)+COUNTIF($H$104:$H108,$B26&amp;" ~*"))*1000+IF(AT109&gt;100,500,0)+7,"")</f>
        <v/>
      </c>
      <c r="BT109">
        <f>IF(AND(AU109&lt;&gt;"",COUNTIF($K$52:$M$52,$B27)+COUNTIF($K$52:$M$52,$B27&amp;" ~*")=0),($R27+COUNTIF($H$104:$H108,$B27)+COUNTIF($H$104:$H108,$B27&amp;" ~*"))*1000+IF(AU109&gt;100,500,0)+8,"")</f>
        <v/>
      </c>
      <c r="BU109">
        <f>IF(AND(AV109&lt;&gt;"",COUNTIF($K$52:$M$52,$B28)+COUNTIF($K$52:$M$52,$B28&amp;" ~*")=0),($R28+COUNTIF($H$104:$H108,$B28)+COUNTIF($H$104:$H108,$B28&amp;" ~*"))*1000+IF(AV109&gt;100,500,0)+9,"")</f>
        <v/>
      </c>
      <c r="BV109">
        <f>IF(AND(AW109&lt;&gt;"",COUNTIF($K$52:$M$52,$B29)+COUNTIF($K$52:$M$52,$B29&amp;" ~*")=0),($R29+COUNTIF($H$104:$H108,$B29)+COUNTIF($H$104:$H108,$B29&amp;" ~*"))*1000+IF(AW109&gt;100,500,0)+10,"")</f>
        <v/>
      </c>
      <c r="BW109">
        <f>IF(AND(AX109&lt;&gt;"",COUNTIF($K$52:$M$52,$B30)+COUNTIF($K$52:$M$52,$B30&amp;" ~*")=0),($R30+COUNTIF($H$104:$H108,$B30)+COUNTIF($H$104:$H108,$B30&amp;" ~*"))*1000+IF(AX109&gt;100,500,0)+11,"")</f>
        <v/>
      </c>
      <c r="BX109">
        <f>IF(AND(AY109&lt;&gt;"",COUNTIF($K$52:$M$52,$B31)+COUNTIF($K$52:$M$52,$B31&amp;" ~*")=0),($R31+COUNTIF($H$104:$H108,$B31)+COUNTIF($H$104:$H108,$B31&amp;" ~*"))*1000+IF(AY109&gt;100,500,0)+12,"")</f>
        <v/>
      </c>
      <c r="BY109">
        <f>IF(AND(AZ109&lt;&gt;"",COUNTIF($K$52:$M$52,$B32)+COUNTIF($K$52:$M$52,$B32&amp;" ~*")=0),($R32+COUNTIF($H$104:$H108,$B32)+COUNTIF($H$104:$H108,$B32&amp;" ~*"))*1000+IF(AZ109&gt;100,500,0)+13,"")</f>
        <v/>
      </c>
      <c r="BZ109">
        <f>IF(AND(BA109&lt;&gt;"",COUNTIF($K$52:$M$52,$B33)+COUNTIF($K$52:$M$52,$B33&amp;" ~*")=0),($R33+COUNTIF($H$104:$H108,$B33)+COUNTIF($H$104:$H108,$B33&amp;" ~*"))*1000+IF(BA109&gt;100,500,0)+14,"")</f>
        <v/>
      </c>
      <c r="CA109">
        <f>IF(AND(BB109&lt;&gt;"",COUNTIF($K$52:$M$52,$B34)+COUNTIF($K$52:$M$52,$B34&amp;" ~*")=0),($R34+COUNTIF($H$104:$H108,$B34)+COUNTIF($H$104:$H108,$B34&amp;" ~*"))*1000+IF(BB109&gt;100,500,0)+15,"")</f>
        <v/>
      </c>
      <c r="CB109">
        <f>IF(AND(BC109&lt;&gt;"",COUNTIF($K$52:$M$52,$B35)+COUNTIF($K$52:$M$52,$B35&amp;" ~*")=0),($R35+COUNTIF($H$104:$H108,$B35)+COUNTIF($H$104:$H108,$B35&amp;" ~*"))*1000+IF(BC109&gt;100,500,0)+16,"")</f>
        <v/>
      </c>
      <c r="CC109">
        <f>IF(AND(BD109&lt;&gt;"",COUNTIF($K$52:$M$52,$B36)+COUNTIF($K$52:$M$52,$B36&amp;" ~*")=0),($R36+COUNTIF($H$104:$H108,$B36)+COUNTIF($H$104:$H108,$B36&amp;" ~*"))*1000+IF(BD109&gt;100,500,0)+17,"")</f>
        <v/>
      </c>
      <c r="CD109">
        <f>IF(AND(BE109&lt;&gt;"",COUNTIF($K$52:$M$52,$B37)+COUNTIF($K$52:$M$52,$B37&amp;" ~*")=0),($R37+COUNTIF($H$104:$H108,$B37)+COUNTIF($H$104:$H108,$B37&amp;" ~*"))*1000+IF(BE109&gt;100,500,0)+18,"")</f>
        <v/>
      </c>
      <c r="CE109">
        <f>IF(AND(BF109&lt;&gt;"",COUNTIF($K$52:$M$52,$B38)+COUNTIF($K$52:$M$52,$B38&amp;" ~*")=0),($R38+COUNTIF($H$104:$H108,$B38)+COUNTIF($H$104:$H108,$B38&amp;" ~*"))*1000+IF(BF109&gt;100,500,0)+19,"")</f>
        <v/>
      </c>
      <c r="CF109">
        <f>IF(AND(BG109&lt;&gt;"",COUNTIF($K$52:$M$52,$B39)+COUNTIF($K$52:$M$52,$B39&amp;" ~*")=0),($R39+COUNTIF($H$104:$H108,$B39)+COUNTIF($H$104:$H108,$B39&amp;" ~*"))*1000+IF(BG109&gt;100,500,0)+20,"")</f>
        <v/>
      </c>
      <c r="CG109">
        <f>IF(AND(BH109&lt;&gt;"",COUNTIF($K$52:$M$52,$B40)+COUNTIF($K$52:$M$52,$B40&amp;" ~*")=0),($R40+COUNTIF($H$104:$H108,$B40)+COUNTIF($H$104:$H108,$B40&amp;" ~*"))*1000+IF(BH109&gt;100,500,0)+21,"")</f>
        <v/>
      </c>
      <c r="CH109">
        <f>IF(AND(BI109&lt;&gt;"",COUNTIF($K$52:$M$52,$B41)+COUNTIF($K$52:$M$52,$B41&amp;" ~*")=0),($R41+COUNTIF($H$104:$H108,$B41)+COUNTIF($H$104:$H108,$B41&amp;" ~*"))*1000+IF(BI109&gt;100,500,0)+22,"")</f>
        <v/>
      </c>
      <c r="CI109">
        <f>IF(AND(BJ109&lt;&gt;"",COUNTIF($K$52:$M$52,$B42)+COUNTIF($K$52:$M$52,$B42&amp;" ~*")=0),($R42+COUNTIF($H$104:$H108,$B42)+COUNTIF($H$104:$H108,$B42&amp;" ~*"))*1000+IF(BJ109&gt;100,500,0)+23,"")</f>
        <v/>
      </c>
      <c r="CJ109">
        <f>IF(AND(BK109&lt;&gt;"",COUNTIF($K$52:$M$52,$B43)+COUNTIF($K$52:$M$52,$B43&amp;" ~*")=0),($R43+COUNTIF($H$104:$H108,$B43)+COUNTIF($H$104:$H108,$B43&amp;" ~*"))*1000+IF(BK109&gt;100,500,0)+24,"")</f>
        <v/>
      </c>
    </row>
    <row r="110">
      <c r="A110" t="n">
        <v>3</v>
      </c>
      <c r="B110" t="n">
        <v>7</v>
      </c>
      <c r="C110">
        <f>$B$53</f>
        <v/>
      </c>
      <c r="D110" t="inlineStr">
        <is>
          <t>Wed</t>
        </is>
      </c>
      <c r="E110">
        <f>IF(C110="","",N($AB$53))</f>
        <v/>
      </c>
      <c r="F110">
        <f>IF(C110="","",COUNTIF($K$53:$M$53,"?*"))</f>
        <v/>
      </c>
      <c r="G110">
        <f>IF(C110="","",MAX(0,E110-F110))</f>
        <v/>
      </c>
      <c r="H110">
        <f>IF(N(G110)=0,"",IF(COUNT(BM110:CJ110)=0,"no-one eligible",INDEX(Engine!$B$20:$B$43,MOD(MIN(BM110:CJ110),500))&amp;IF(MOD(MIN(BM110:CJ110),1000)&gt;=500," *","")))</f>
        <v/>
      </c>
      <c r="I110">
        <f>IF(N(G110)&gt;0,COUNTIF($G$68:G110,"&gt;0"),"")</f>
        <v/>
      </c>
      <c r="J110">
        <f>IF(C110="","",IF($K$53="",0,IF(IFERROR(INDEX(Setup!$O$6:$AL$23,7,MATCH(SUBSTITUTE($K$53," *",""),Setup!$B$6:$B$29,0)),"")="",1,0))+IF($L$53="",0,IF(IFERROR(INDEX(Setup!$O$6:$AL$23,7,MATCH(SUBSTITUTE($L$53," *",""),Setup!$B$6:$B$29,0)),"")="",1,0))+IF($M$53="",0,IF(IFERROR(INDEX(Setup!$O$6:$AL$23,7,MATCH(SUBSTITUTE($M$53," *",""),Setup!$B$6:$B$29,0)),"")="",1,0)))</f>
        <v/>
      </c>
      <c r="K110">
        <f>IF($B$12+2=TODAY(),1,0)</f>
        <v/>
      </c>
      <c r="N110">
        <f>COUNT($AN110:$BK110)</f>
        <v/>
      </c>
      <c r="O110">
        <f>IF(1&gt;$N110,"",INDEX(Engine!$B$20:$B$43,MOD(SMALL($AN110:$BK110,1),100))&amp;IF(SMALL($AN110:$BK110,1)&gt;100," *",""))</f>
        <v/>
      </c>
      <c r="P110">
        <f>IF(2&gt;$N110,"",INDEX(Engine!$B$20:$B$43,MOD(SMALL($AN110:$BK110,2),100))&amp;IF(SMALL($AN110:$BK110,2)&gt;100," *",""))</f>
        <v/>
      </c>
      <c r="Q110">
        <f>IF(3&gt;$N110,"",INDEX(Engine!$B$20:$B$43,MOD(SMALL($AN110:$BK110,3),100))&amp;IF(SMALL($AN110:$BK110,3)&gt;100," *",""))</f>
        <v/>
      </c>
      <c r="R110">
        <f>IF(4&gt;$N110,"",INDEX(Engine!$B$20:$B$43,MOD(SMALL($AN110:$BK110,4),100))&amp;IF(SMALL($AN110:$BK110,4)&gt;100," *",""))</f>
        <v/>
      </c>
      <c r="S110">
        <f>IF(5&gt;$N110,"",INDEX(Engine!$B$20:$B$43,MOD(SMALL($AN110:$BK110,5),100))&amp;IF(SMALL($AN110:$BK110,5)&gt;100," *",""))</f>
        <v/>
      </c>
      <c r="T110">
        <f>IF(6&gt;$N110,"",INDEX(Engine!$B$20:$B$43,MOD(SMALL($AN110:$BK110,6),100))&amp;IF(SMALL($AN110:$BK110,6)&gt;100," *",""))</f>
        <v/>
      </c>
      <c r="U110">
        <f>IF(7&gt;$N110,"",INDEX(Engine!$B$20:$B$43,MOD(SMALL($AN110:$BK110,7),100))&amp;IF(SMALL($AN110:$BK110,7)&gt;100," *",""))</f>
        <v/>
      </c>
      <c r="V110">
        <f>IF(8&gt;$N110,"",INDEX(Engine!$B$20:$B$43,MOD(SMALL($AN110:$BK110,8),100))&amp;IF(SMALL($AN110:$BK110,8)&gt;100," *",""))</f>
        <v/>
      </c>
      <c r="W110">
        <f>IF(9&gt;$N110,"",INDEX(Engine!$B$20:$B$43,MOD(SMALL($AN110:$BK110,9),100))&amp;IF(SMALL($AN110:$BK110,9)&gt;100," *",""))</f>
        <v/>
      </c>
      <c r="X110">
        <f>IF(10&gt;$N110,"",INDEX(Engine!$B$20:$B$43,MOD(SMALL($AN110:$BK110,10),100))&amp;IF(SMALL($AN110:$BK110,10)&gt;100," *",""))</f>
        <v/>
      </c>
      <c r="Y110">
        <f>IF(11&gt;$N110,"",INDEX(Engine!$B$20:$B$43,MOD(SMALL($AN110:$BK110,11),100))&amp;IF(SMALL($AN110:$BK110,11)&gt;100," *",""))</f>
        <v/>
      </c>
      <c r="Z110">
        <f>IF(12&gt;$N110,"",INDEX(Engine!$B$20:$B$43,MOD(SMALL($AN110:$BK110,12),100))&amp;IF(SMALL($AN110:$BK110,12)&gt;100," *",""))</f>
        <v/>
      </c>
      <c r="AA110">
        <f>IF(13&gt;$N110,"",INDEX(Engine!$B$20:$B$43,MOD(SMALL($AN110:$BK110,13),100))&amp;IF(SMALL($AN110:$BK110,13)&gt;100," *",""))</f>
        <v/>
      </c>
      <c r="AB110">
        <f>IF(14&gt;$N110,"",INDEX(Engine!$B$20:$B$43,MOD(SMALL($AN110:$BK110,14),100))&amp;IF(SMALL($AN110:$BK110,14)&gt;100," *",""))</f>
        <v/>
      </c>
      <c r="AC110">
        <f>IF(15&gt;$N110,"",INDEX(Engine!$B$20:$B$43,MOD(SMALL($AN110:$BK110,15),100))&amp;IF(SMALL($AN110:$BK110,15)&gt;100," *",""))</f>
        <v/>
      </c>
      <c r="AD110">
        <f>IF(16&gt;$N110,"",INDEX(Engine!$B$20:$B$43,MOD(SMALL($AN110:$BK110,16),100))&amp;IF(SMALL($AN110:$BK110,16)&gt;100," *",""))</f>
        <v/>
      </c>
      <c r="AE110">
        <f>IF(17&gt;$N110,"",INDEX(Engine!$B$20:$B$43,MOD(SMALL($AN110:$BK110,17),100))&amp;IF(SMALL($AN110:$BK110,17)&gt;100," *",""))</f>
        <v/>
      </c>
      <c r="AF110">
        <f>IF(18&gt;$N110,"",INDEX(Engine!$B$20:$B$43,MOD(SMALL($AN110:$BK110,18),100))&amp;IF(SMALL($AN110:$BK110,18)&gt;100," *",""))</f>
        <v/>
      </c>
      <c r="AG110">
        <f>IF(19&gt;$N110,"",INDEX(Engine!$B$20:$B$43,MOD(SMALL($AN110:$BK110,19),100))&amp;IF(SMALL($AN110:$BK110,19)&gt;100," *",""))</f>
        <v/>
      </c>
      <c r="AH110">
        <f>IF(20&gt;$N110,"",INDEX(Engine!$B$20:$B$43,MOD(SMALL($AN110:$BK110,20),100))&amp;IF(SMALL($AN110:$BK110,20)&gt;100," *",""))</f>
        <v/>
      </c>
      <c r="AI110">
        <f>IF(21&gt;$N110,"",INDEX(Engine!$B$20:$B$43,MOD(SMALL($AN110:$BK110,21),100))&amp;IF(SMALL($AN110:$BK110,21)&gt;100," *",""))</f>
        <v/>
      </c>
      <c r="AJ110">
        <f>IF(22&gt;$N110,"",INDEX(Engine!$B$20:$B$43,MOD(SMALL($AN110:$BK110,22),100))&amp;IF(SMALL($AN110:$BK110,22)&gt;100," *",""))</f>
        <v/>
      </c>
      <c r="AK110">
        <f>IF(23&gt;$N110,"",INDEX(Engine!$B$20:$B$43,MOD(SMALL($AN110:$BK110,23),100))&amp;IF(SMALL($AN110:$BK110,23)&gt;100," *",""))</f>
        <v/>
      </c>
      <c r="AL110">
        <f>IF(24&gt;$N110,"",INDEX(Engine!$B$20:$B$43,MOD(SMALL($AN110:$BK110,24),100))&amp;IF(SMALL($AN110:$BK110,24)&gt;100," *",""))</f>
        <v/>
      </c>
      <c r="AN110">
        <f>IF(AND($C20=1,INDEX(Setup!$O$6:$AL$23,7,1)&lt;&gt;"",M20=0),1+IF(INDEX(Setup!$O$6:$AL$23,7,1)="T",100,0),"")</f>
        <v/>
      </c>
      <c r="AO110">
        <f>IF(AND($C21=1,INDEX(Setup!$O$6:$AL$23,7,2)&lt;&gt;"",M21=0),2+IF(INDEX(Setup!$O$6:$AL$23,7,2)="T",100,0),"")</f>
        <v/>
      </c>
      <c r="AP110">
        <f>IF(AND($C22=1,INDEX(Setup!$O$6:$AL$23,7,3)&lt;&gt;"",M22=0),3+IF(INDEX(Setup!$O$6:$AL$23,7,3)="T",100,0),"")</f>
        <v/>
      </c>
      <c r="AQ110">
        <f>IF(AND($C23=1,INDEX(Setup!$O$6:$AL$23,7,4)&lt;&gt;"",M23=0),4+IF(INDEX(Setup!$O$6:$AL$23,7,4)="T",100,0),"")</f>
        <v/>
      </c>
      <c r="AR110">
        <f>IF(AND($C24=1,INDEX(Setup!$O$6:$AL$23,7,5)&lt;&gt;"",M24=0),5+IF(INDEX(Setup!$O$6:$AL$23,7,5)="T",100,0),"")</f>
        <v/>
      </c>
      <c r="AS110">
        <f>IF(AND($C25=1,INDEX(Setup!$O$6:$AL$23,7,6)&lt;&gt;"",M25=0),6+IF(INDEX(Setup!$O$6:$AL$23,7,6)="T",100,0),"")</f>
        <v/>
      </c>
      <c r="AT110">
        <f>IF(AND($C26=1,INDEX(Setup!$O$6:$AL$23,7,7)&lt;&gt;"",M26=0),7+IF(INDEX(Setup!$O$6:$AL$23,7,7)="T",100,0),"")</f>
        <v/>
      </c>
      <c r="AU110">
        <f>IF(AND($C27=1,INDEX(Setup!$O$6:$AL$23,7,8)&lt;&gt;"",M27=0),8+IF(INDEX(Setup!$O$6:$AL$23,7,8)="T",100,0),"")</f>
        <v/>
      </c>
      <c r="AV110">
        <f>IF(AND($C28=1,INDEX(Setup!$O$6:$AL$23,7,9)&lt;&gt;"",M28=0),9+IF(INDEX(Setup!$O$6:$AL$23,7,9)="T",100,0),"")</f>
        <v/>
      </c>
      <c r="AW110">
        <f>IF(AND($C29=1,INDEX(Setup!$O$6:$AL$23,7,10)&lt;&gt;"",M29=0),10+IF(INDEX(Setup!$O$6:$AL$23,7,10)="T",100,0),"")</f>
        <v/>
      </c>
      <c r="AX110">
        <f>IF(AND($C30=1,INDEX(Setup!$O$6:$AL$23,7,11)&lt;&gt;"",M30=0),11+IF(INDEX(Setup!$O$6:$AL$23,7,11)="T",100,0),"")</f>
        <v/>
      </c>
      <c r="AY110">
        <f>IF(AND($C31=1,INDEX(Setup!$O$6:$AL$23,7,12)&lt;&gt;"",M31=0),12+IF(INDEX(Setup!$O$6:$AL$23,7,12)="T",100,0),"")</f>
        <v/>
      </c>
      <c r="AZ110">
        <f>IF(AND($C32=1,INDEX(Setup!$O$6:$AL$23,7,13)&lt;&gt;"",M32=0),13+IF(INDEX(Setup!$O$6:$AL$23,7,13)="T",100,0),"")</f>
        <v/>
      </c>
      <c r="BA110">
        <f>IF(AND($C33=1,INDEX(Setup!$O$6:$AL$23,7,14)&lt;&gt;"",M33=0),14+IF(INDEX(Setup!$O$6:$AL$23,7,14)="T",100,0),"")</f>
        <v/>
      </c>
      <c r="BB110">
        <f>IF(AND($C34=1,INDEX(Setup!$O$6:$AL$23,7,15)&lt;&gt;"",M34=0),15+IF(INDEX(Setup!$O$6:$AL$23,7,15)="T",100,0),"")</f>
        <v/>
      </c>
      <c r="BC110">
        <f>IF(AND($C35=1,INDEX(Setup!$O$6:$AL$23,7,16)&lt;&gt;"",M35=0),16+IF(INDEX(Setup!$O$6:$AL$23,7,16)="T",100,0),"")</f>
        <v/>
      </c>
      <c r="BD110">
        <f>IF(AND($C36=1,INDEX(Setup!$O$6:$AL$23,7,17)&lt;&gt;"",M36=0),17+IF(INDEX(Setup!$O$6:$AL$23,7,17)="T",100,0),"")</f>
        <v/>
      </c>
      <c r="BE110">
        <f>IF(AND($C37=1,INDEX(Setup!$O$6:$AL$23,7,18)&lt;&gt;"",M37=0),18+IF(INDEX(Setup!$O$6:$AL$23,7,18)="T",100,0),"")</f>
        <v/>
      </c>
      <c r="BF110">
        <f>IF(AND($C38=1,INDEX(Setup!$O$6:$AL$23,7,19)&lt;&gt;"",M38=0),19+IF(INDEX(Setup!$O$6:$AL$23,7,19)="T",100,0),"")</f>
        <v/>
      </c>
      <c r="BG110">
        <f>IF(AND($C39=1,INDEX(Setup!$O$6:$AL$23,7,20)&lt;&gt;"",M39=0),20+IF(INDEX(Setup!$O$6:$AL$23,7,20)="T",100,0),"")</f>
        <v/>
      </c>
      <c r="BH110">
        <f>IF(AND($C40=1,INDEX(Setup!$O$6:$AL$23,7,21)&lt;&gt;"",M40=0),21+IF(INDEX(Setup!$O$6:$AL$23,7,21)="T",100,0),"")</f>
        <v/>
      </c>
      <c r="BI110">
        <f>IF(AND($C41=1,INDEX(Setup!$O$6:$AL$23,7,22)&lt;&gt;"",M41=0),22+IF(INDEX(Setup!$O$6:$AL$23,7,22)="T",100,0),"")</f>
        <v/>
      </c>
      <c r="BJ110">
        <f>IF(AND($C42=1,INDEX(Setup!$O$6:$AL$23,7,23)&lt;&gt;"",M42=0),23+IF(INDEX(Setup!$O$6:$AL$23,7,23)="T",100,0),"")</f>
        <v/>
      </c>
      <c r="BK110">
        <f>IF(AND($C43=1,INDEX(Setup!$O$6:$AL$23,7,24)&lt;&gt;"",M43=0),24+IF(INDEX(Setup!$O$6:$AL$23,7,24)="T",100,0),"")</f>
        <v/>
      </c>
      <c r="BM110">
        <f>IF(AND(AN110&lt;&gt;"",COUNTIF($K$53:$M$53,$B20)+COUNTIF($K$53:$M$53,$B20&amp;" ~*")=0),($R20+COUNTIF($H$104:$H109,$B20)+COUNTIF($H$104:$H109,$B20&amp;" ~*"))*1000+IF(AN110&gt;100,500,0)+1,"")</f>
        <v/>
      </c>
      <c r="BN110">
        <f>IF(AND(AO110&lt;&gt;"",COUNTIF($K$53:$M$53,$B21)+COUNTIF($K$53:$M$53,$B21&amp;" ~*")=0),($R21+COUNTIF($H$104:$H109,$B21)+COUNTIF($H$104:$H109,$B21&amp;" ~*"))*1000+IF(AO110&gt;100,500,0)+2,"")</f>
        <v/>
      </c>
      <c r="BO110">
        <f>IF(AND(AP110&lt;&gt;"",COUNTIF($K$53:$M$53,$B22)+COUNTIF($K$53:$M$53,$B22&amp;" ~*")=0),($R22+COUNTIF($H$104:$H109,$B22)+COUNTIF($H$104:$H109,$B22&amp;" ~*"))*1000+IF(AP110&gt;100,500,0)+3,"")</f>
        <v/>
      </c>
      <c r="BP110">
        <f>IF(AND(AQ110&lt;&gt;"",COUNTIF($K$53:$M$53,$B23)+COUNTIF($K$53:$M$53,$B23&amp;" ~*")=0),($R23+COUNTIF($H$104:$H109,$B23)+COUNTIF($H$104:$H109,$B23&amp;" ~*"))*1000+IF(AQ110&gt;100,500,0)+4,"")</f>
        <v/>
      </c>
      <c r="BQ110">
        <f>IF(AND(AR110&lt;&gt;"",COUNTIF($K$53:$M$53,$B24)+COUNTIF($K$53:$M$53,$B24&amp;" ~*")=0),($R24+COUNTIF($H$104:$H109,$B24)+COUNTIF($H$104:$H109,$B24&amp;" ~*"))*1000+IF(AR110&gt;100,500,0)+5,"")</f>
        <v/>
      </c>
      <c r="BR110">
        <f>IF(AND(AS110&lt;&gt;"",COUNTIF($K$53:$M$53,$B25)+COUNTIF($K$53:$M$53,$B25&amp;" ~*")=0),($R25+COUNTIF($H$104:$H109,$B25)+COUNTIF($H$104:$H109,$B25&amp;" ~*"))*1000+IF(AS110&gt;100,500,0)+6,"")</f>
        <v/>
      </c>
      <c r="BS110">
        <f>IF(AND(AT110&lt;&gt;"",COUNTIF($K$53:$M$53,$B26)+COUNTIF($K$53:$M$53,$B26&amp;" ~*")=0),($R26+COUNTIF($H$104:$H109,$B26)+COUNTIF($H$104:$H109,$B26&amp;" ~*"))*1000+IF(AT110&gt;100,500,0)+7,"")</f>
        <v/>
      </c>
      <c r="BT110">
        <f>IF(AND(AU110&lt;&gt;"",COUNTIF($K$53:$M$53,$B27)+COUNTIF($K$53:$M$53,$B27&amp;" ~*")=0),($R27+COUNTIF($H$104:$H109,$B27)+COUNTIF($H$104:$H109,$B27&amp;" ~*"))*1000+IF(AU110&gt;100,500,0)+8,"")</f>
        <v/>
      </c>
      <c r="BU110">
        <f>IF(AND(AV110&lt;&gt;"",COUNTIF($K$53:$M$53,$B28)+COUNTIF($K$53:$M$53,$B28&amp;" ~*")=0),($R28+COUNTIF($H$104:$H109,$B28)+COUNTIF($H$104:$H109,$B28&amp;" ~*"))*1000+IF(AV110&gt;100,500,0)+9,"")</f>
        <v/>
      </c>
      <c r="BV110">
        <f>IF(AND(AW110&lt;&gt;"",COUNTIF($K$53:$M$53,$B29)+COUNTIF($K$53:$M$53,$B29&amp;" ~*")=0),($R29+COUNTIF($H$104:$H109,$B29)+COUNTIF($H$104:$H109,$B29&amp;" ~*"))*1000+IF(AW110&gt;100,500,0)+10,"")</f>
        <v/>
      </c>
      <c r="BW110">
        <f>IF(AND(AX110&lt;&gt;"",COUNTIF($K$53:$M$53,$B30)+COUNTIF($K$53:$M$53,$B30&amp;" ~*")=0),($R30+COUNTIF($H$104:$H109,$B30)+COUNTIF($H$104:$H109,$B30&amp;" ~*"))*1000+IF(AX110&gt;100,500,0)+11,"")</f>
        <v/>
      </c>
      <c r="BX110">
        <f>IF(AND(AY110&lt;&gt;"",COUNTIF($K$53:$M$53,$B31)+COUNTIF($K$53:$M$53,$B31&amp;" ~*")=0),($R31+COUNTIF($H$104:$H109,$B31)+COUNTIF($H$104:$H109,$B31&amp;" ~*"))*1000+IF(AY110&gt;100,500,0)+12,"")</f>
        <v/>
      </c>
      <c r="BY110">
        <f>IF(AND(AZ110&lt;&gt;"",COUNTIF($K$53:$M$53,$B32)+COUNTIF($K$53:$M$53,$B32&amp;" ~*")=0),($R32+COUNTIF($H$104:$H109,$B32)+COUNTIF($H$104:$H109,$B32&amp;" ~*"))*1000+IF(AZ110&gt;100,500,0)+13,"")</f>
        <v/>
      </c>
      <c r="BZ110">
        <f>IF(AND(BA110&lt;&gt;"",COUNTIF($K$53:$M$53,$B33)+COUNTIF($K$53:$M$53,$B33&amp;" ~*")=0),($R33+COUNTIF($H$104:$H109,$B33)+COUNTIF($H$104:$H109,$B33&amp;" ~*"))*1000+IF(BA110&gt;100,500,0)+14,"")</f>
        <v/>
      </c>
      <c r="CA110">
        <f>IF(AND(BB110&lt;&gt;"",COUNTIF($K$53:$M$53,$B34)+COUNTIF($K$53:$M$53,$B34&amp;" ~*")=0),($R34+COUNTIF($H$104:$H109,$B34)+COUNTIF($H$104:$H109,$B34&amp;" ~*"))*1000+IF(BB110&gt;100,500,0)+15,"")</f>
        <v/>
      </c>
      <c r="CB110">
        <f>IF(AND(BC110&lt;&gt;"",COUNTIF($K$53:$M$53,$B35)+COUNTIF($K$53:$M$53,$B35&amp;" ~*")=0),($R35+COUNTIF($H$104:$H109,$B35)+COUNTIF($H$104:$H109,$B35&amp;" ~*"))*1000+IF(BC110&gt;100,500,0)+16,"")</f>
        <v/>
      </c>
      <c r="CC110">
        <f>IF(AND(BD110&lt;&gt;"",COUNTIF($K$53:$M$53,$B36)+COUNTIF($K$53:$M$53,$B36&amp;" ~*")=0),($R36+COUNTIF($H$104:$H109,$B36)+COUNTIF($H$104:$H109,$B36&amp;" ~*"))*1000+IF(BD110&gt;100,500,0)+17,"")</f>
        <v/>
      </c>
      <c r="CD110">
        <f>IF(AND(BE110&lt;&gt;"",COUNTIF($K$53:$M$53,$B37)+COUNTIF($K$53:$M$53,$B37&amp;" ~*")=0),($R37+COUNTIF($H$104:$H109,$B37)+COUNTIF($H$104:$H109,$B37&amp;" ~*"))*1000+IF(BE110&gt;100,500,0)+18,"")</f>
        <v/>
      </c>
      <c r="CE110">
        <f>IF(AND(BF110&lt;&gt;"",COUNTIF($K$53:$M$53,$B38)+COUNTIF($K$53:$M$53,$B38&amp;" ~*")=0),($R38+COUNTIF($H$104:$H109,$B38)+COUNTIF($H$104:$H109,$B38&amp;" ~*"))*1000+IF(BF110&gt;100,500,0)+19,"")</f>
        <v/>
      </c>
      <c r="CF110">
        <f>IF(AND(BG110&lt;&gt;"",COUNTIF($K$53:$M$53,$B39)+COUNTIF($K$53:$M$53,$B39&amp;" ~*")=0),($R39+COUNTIF($H$104:$H109,$B39)+COUNTIF($H$104:$H109,$B39&amp;" ~*"))*1000+IF(BG110&gt;100,500,0)+20,"")</f>
        <v/>
      </c>
      <c r="CG110">
        <f>IF(AND(BH110&lt;&gt;"",COUNTIF($K$53:$M$53,$B40)+COUNTIF($K$53:$M$53,$B40&amp;" ~*")=0),($R40+COUNTIF($H$104:$H109,$B40)+COUNTIF($H$104:$H109,$B40&amp;" ~*"))*1000+IF(BH110&gt;100,500,0)+21,"")</f>
        <v/>
      </c>
      <c r="CH110">
        <f>IF(AND(BI110&lt;&gt;"",COUNTIF($K$53:$M$53,$B41)+COUNTIF($K$53:$M$53,$B41&amp;" ~*")=0),($R41+COUNTIF($H$104:$H109,$B41)+COUNTIF($H$104:$H109,$B41&amp;" ~*"))*1000+IF(BI110&gt;100,500,0)+22,"")</f>
        <v/>
      </c>
      <c r="CI110">
        <f>IF(AND(BJ110&lt;&gt;"",COUNTIF($K$53:$M$53,$B42)+COUNTIF($K$53:$M$53,$B42&amp;" ~*")=0),($R42+COUNTIF($H$104:$H109,$B42)+COUNTIF($H$104:$H109,$B42&amp;" ~*"))*1000+IF(BJ110&gt;100,500,0)+23,"")</f>
        <v/>
      </c>
      <c r="CJ110">
        <f>IF(AND(BK110&lt;&gt;"",COUNTIF($K$53:$M$53,$B43)+COUNTIF($K$53:$M$53,$B43&amp;" ~*")=0),($R43+COUNTIF($H$104:$H109,$B43)+COUNTIF($H$104:$H109,$B43&amp;" ~*"))*1000+IF(BK110&gt;100,500,0)+24,"")</f>
        <v/>
      </c>
    </row>
    <row r="111">
      <c r="A111" t="n">
        <v>3</v>
      </c>
      <c r="B111" t="n">
        <v>8</v>
      </c>
      <c r="C111">
        <f>$B$54</f>
        <v/>
      </c>
      <c r="D111" t="inlineStr">
        <is>
          <t>Wed</t>
        </is>
      </c>
      <c r="E111">
        <f>IF(C111="","",N($AB$54))</f>
        <v/>
      </c>
      <c r="F111">
        <f>IF(C111="","",COUNTIF($K$54:$M$54,"?*"))</f>
        <v/>
      </c>
      <c r="G111">
        <f>IF(C111="","",MAX(0,E111-F111))</f>
        <v/>
      </c>
      <c r="H111">
        <f>IF(N(G111)=0,"",IF(COUNT(BM111:CJ111)=0,"no-one eligible",INDEX(Engine!$B$20:$B$43,MOD(MIN(BM111:CJ111),500))&amp;IF(MOD(MIN(BM111:CJ111),1000)&gt;=500," *","")))</f>
        <v/>
      </c>
      <c r="I111">
        <f>IF(N(G111)&gt;0,COUNTIF($G$68:G111,"&gt;0"),"")</f>
        <v/>
      </c>
      <c r="J111">
        <f>IF(C111="","",IF($K$54="",0,IF(IFERROR(INDEX(Setup!$O$6:$AL$23,8,MATCH(SUBSTITUTE($K$54," *",""),Setup!$B$6:$B$29,0)),"")="",1,0))+IF($L$54="",0,IF(IFERROR(INDEX(Setup!$O$6:$AL$23,8,MATCH(SUBSTITUTE($L$54," *",""),Setup!$B$6:$B$29,0)),"")="",1,0))+IF($M$54="",0,IF(IFERROR(INDEX(Setup!$O$6:$AL$23,8,MATCH(SUBSTITUTE($M$54," *",""),Setup!$B$6:$B$29,0)),"")="",1,0)))</f>
        <v/>
      </c>
      <c r="K111">
        <f>IF($B$12+2=TODAY(),1,0)</f>
        <v/>
      </c>
      <c r="N111">
        <f>COUNT($AN111:$BK111)</f>
        <v/>
      </c>
      <c r="O111">
        <f>IF(1&gt;$N111,"",INDEX(Engine!$B$20:$B$43,MOD(SMALL($AN111:$BK111,1),100))&amp;IF(SMALL($AN111:$BK111,1)&gt;100," *",""))</f>
        <v/>
      </c>
      <c r="P111">
        <f>IF(2&gt;$N111,"",INDEX(Engine!$B$20:$B$43,MOD(SMALL($AN111:$BK111,2),100))&amp;IF(SMALL($AN111:$BK111,2)&gt;100," *",""))</f>
        <v/>
      </c>
      <c r="Q111">
        <f>IF(3&gt;$N111,"",INDEX(Engine!$B$20:$B$43,MOD(SMALL($AN111:$BK111,3),100))&amp;IF(SMALL($AN111:$BK111,3)&gt;100," *",""))</f>
        <v/>
      </c>
      <c r="R111">
        <f>IF(4&gt;$N111,"",INDEX(Engine!$B$20:$B$43,MOD(SMALL($AN111:$BK111,4),100))&amp;IF(SMALL($AN111:$BK111,4)&gt;100," *",""))</f>
        <v/>
      </c>
      <c r="S111">
        <f>IF(5&gt;$N111,"",INDEX(Engine!$B$20:$B$43,MOD(SMALL($AN111:$BK111,5),100))&amp;IF(SMALL($AN111:$BK111,5)&gt;100," *",""))</f>
        <v/>
      </c>
      <c r="T111">
        <f>IF(6&gt;$N111,"",INDEX(Engine!$B$20:$B$43,MOD(SMALL($AN111:$BK111,6),100))&amp;IF(SMALL($AN111:$BK111,6)&gt;100," *",""))</f>
        <v/>
      </c>
      <c r="U111">
        <f>IF(7&gt;$N111,"",INDEX(Engine!$B$20:$B$43,MOD(SMALL($AN111:$BK111,7),100))&amp;IF(SMALL($AN111:$BK111,7)&gt;100," *",""))</f>
        <v/>
      </c>
      <c r="V111">
        <f>IF(8&gt;$N111,"",INDEX(Engine!$B$20:$B$43,MOD(SMALL($AN111:$BK111,8),100))&amp;IF(SMALL($AN111:$BK111,8)&gt;100," *",""))</f>
        <v/>
      </c>
      <c r="W111">
        <f>IF(9&gt;$N111,"",INDEX(Engine!$B$20:$B$43,MOD(SMALL($AN111:$BK111,9),100))&amp;IF(SMALL($AN111:$BK111,9)&gt;100," *",""))</f>
        <v/>
      </c>
      <c r="X111">
        <f>IF(10&gt;$N111,"",INDEX(Engine!$B$20:$B$43,MOD(SMALL($AN111:$BK111,10),100))&amp;IF(SMALL($AN111:$BK111,10)&gt;100," *",""))</f>
        <v/>
      </c>
      <c r="Y111">
        <f>IF(11&gt;$N111,"",INDEX(Engine!$B$20:$B$43,MOD(SMALL($AN111:$BK111,11),100))&amp;IF(SMALL($AN111:$BK111,11)&gt;100," *",""))</f>
        <v/>
      </c>
      <c r="Z111">
        <f>IF(12&gt;$N111,"",INDEX(Engine!$B$20:$B$43,MOD(SMALL($AN111:$BK111,12),100))&amp;IF(SMALL($AN111:$BK111,12)&gt;100," *",""))</f>
        <v/>
      </c>
      <c r="AA111">
        <f>IF(13&gt;$N111,"",INDEX(Engine!$B$20:$B$43,MOD(SMALL($AN111:$BK111,13),100))&amp;IF(SMALL($AN111:$BK111,13)&gt;100," *",""))</f>
        <v/>
      </c>
      <c r="AB111">
        <f>IF(14&gt;$N111,"",INDEX(Engine!$B$20:$B$43,MOD(SMALL($AN111:$BK111,14),100))&amp;IF(SMALL($AN111:$BK111,14)&gt;100," *",""))</f>
        <v/>
      </c>
      <c r="AC111">
        <f>IF(15&gt;$N111,"",INDEX(Engine!$B$20:$B$43,MOD(SMALL($AN111:$BK111,15),100))&amp;IF(SMALL($AN111:$BK111,15)&gt;100," *",""))</f>
        <v/>
      </c>
      <c r="AD111">
        <f>IF(16&gt;$N111,"",INDEX(Engine!$B$20:$B$43,MOD(SMALL($AN111:$BK111,16),100))&amp;IF(SMALL($AN111:$BK111,16)&gt;100," *",""))</f>
        <v/>
      </c>
      <c r="AE111">
        <f>IF(17&gt;$N111,"",INDEX(Engine!$B$20:$B$43,MOD(SMALL($AN111:$BK111,17),100))&amp;IF(SMALL($AN111:$BK111,17)&gt;100," *",""))</f>
        <v/>
      </c>
      <c r="AF111">
        <f>IF(18&gt;$N111,"",INDEX(Engine!$B$20:$B$43,MOD(SMALL($AN111:$BK111,18),100))&amp;IF(SMALL($AN111:$BK111,18)&gt;100," *",""))</f>
        <v/>
      </c>
      <c r="AG111">
        <f>IF(19&gt;$N111,"",INDEX(Engine!$B$20:$B$43,MOD(SMALL($AN111:$BK111,19),100))&amp;IF(SMALL($AN111:$BK111,19)&gt;100," *",""))</f>
        <v/>
      </c>
      <c r="AH111">
        <f>IF(20&gt;$N111,"",INDEX(Engine!$B$20:$B$43,MOD(SMALL($AN111:$BK111,20),100))&amp;IF(SMALL($AN111:$BK111,20)&gt;100," *",""))</f>
        <v/>
      </c>
      <c r="AI111">
        <f>IF(21&gt;$N111,"",INDEX(Engine!$B$20:$B$43,MOD(SMALL($AN111:$BK111,21),100))&amp;IF(SMALL($AN111:$BK111,21)&gt;100," *",""))</f>
        <v/>
      </c>
      <c r="AJ111">
        <f>IF(22&gt;$N111,"",INDEX(Engine!$B$20:$B$43,MOD(SMALL($AN111:$BK111,22),100))&amp;IF(SMALL($AN111:$BK111,22)&gt;100," *",""))</f>
        <v/>
      </c>
      <c r="AK111">
        <f>IF(23&gt;$N111,"",INDEX(Engine!$B$20:$B$43,MOD(SMALL($AN111:$BK111,23),100))&amp;IF(SMALL($AN111:$BK111,23)&gt;100," *",""))</f>
        <v/>
      </c>
      <c r="AL111">
        <f>IF(24&gt;$N111,"",INDEX(Engine!$B$20:$B$43,MOD(SMALL($AN111:$BK111,24),100))&amp;IF(SMALL($AN111:$BK111,24)&gt;100," *",""))</f>
        <v/>
      </c>
      <c r="AN111">
        <f>IF(AND($C20=1,INDEX(Setup!$O$6:$AL$23,8,1)&lt;&gt;"",M20=0),1+IF(INDEX(Setup!$O$6:$AL$23,8,1)="T",100,0),"")</f>
        <v/>
      </c>
      <c r="AO111">
        <f>IF(AND($C21=1,INDEX(Setup!$O$6:$AL$23,8,2)&lt;&gt;"",M21=0),2+IF(INDEX(Setup!$O$6:$AL$23,8,2)="T",100,0),"")</f>
        <v/>
      </c>
      <c r="AP111">
        <f>IF(AND($C22=1,INDEX(Setup!$O$6:$AL$23,8,3)&lt;&gt;"",M22=0),3+IF(INDEX(Setup!$O$6:$AL$23,8,3)="T",100,0),"")</f>
        <v/>
      </c>
      <c r="AQ111">
        <f>IF(AND($C23=1,INDEX(Setup!$O$6:$AL$23,8,4)&lt;&gt;"",M23=0),4+IF(INDEX(Setup!$O$6:$AL$23,8,4)="T",100,0),"")</f>
        <v/>
      </c>
      <c r="AR111">
        <f>IF(AND($C24=1,INDEX(Setup!$O$6:$AL$23,8,5)&lt;&gt;"",M24=0),5+IF(INDEX(Setup!$O$6:$AL$23,8,5)="T",100,0),"")</f>
        <v/>
      </c>
      <c r="AS111">
        <f>IF(AND($C25=1,INDEX(Setup!$O$6:$AL$23,8,6)&lt;&gt;"",M25=0),6+IF(INDEX(Setup!$O$6:$AL$23,8,6)="T",100,0),"")</f>
        <v/>
      </c>
      <c r="AT111">
        <f>IF(AND($C26=1,INDEX(Setup!$O$6:$AL$23,8,7)&lt;&gt;"",M26=0),7+IF(INDEX(Setup!$O$6:$AL$23,8,7)="T",100,0),"")</f>
        <v/>
      </c>
      <c r="AU111">
        <f>IF(AND($C27=1,INDEX(Setup!$O$6:$AL$23,8,8)&lt;&gt;"",M27=0),8+IF(INDEX(Setup!$O$6:$AL$23,8,8)="T",100,0),"")</f>
        <v/>
      </c>
      <c r="AV111">
        <f>IF(AND($C28=1,INDEX(Setup!$O$6:$AL$23,8,9)&lt;&gt;"",M28=0),9+IF(INDEX(Setup!$O$6:$AL$23,8,9)="T",100,0),"")</f>
        <v/>
      </c>
      <c r="AW111">
        <f>IF(AND($C29=1,INDEX(Setup!$O$6:$AL$23,8,10)&lt;&gt;"",M29=0),10+IF(INDEX(Setup!$O$6:$AL$23,8,10)="T",100,0),"")</f>
        <v/>
      </c>
      <c r="AX111">
        <f>IF(AND($C30=1,INDEX(Setup!$O$6:$AL$23,8,11)&lt;&gt;"",M30=0),11+IF(INDEX(Setup!$O$6:$AL$23,8,11)="T",100,0),"")</f>
        <v/>
      </c>
      <c r="AY111">
        <f>IF(AND($C31=1,INDEX(Setup!$O$6:$AL$23,8,12)&lt;&gt;"",M31=0),12+IF(INDEX(Setup!$O$6:$AL$23,8,12)="T",100,0),"")</f>
        <v/>
      </c>
      <c r="AZ111">
        <f>IF(AND($C32=1,INDEX(Setup!$O$6:$AL$23,8,13)&lt;&gt;"",M32=0),13+IF(INDEX(Setup!$O$6:$AL$23,8,13)="T",100,0),"")</f>
        <v/>
      </c>
      <c r="BA111">
        <f>IF(AND($C33=1,INDEX(Setup!$O$6:$AL$23,8,14)&lt;&gt;"",M33=0),14+IF(INDEX(Setup!$O$6:$AL$23,8,14)="T",100,0),"")</f>
        <v/>
      </c>
      <c r="BB111">
        <f>IF(AND($C34=1,INDEX(Setup!$O$6:$AL$23,8,15)&lt;&gt;"",M34=0),15+IF(INDEX(Setup!$O$6:$AL$23,8,15)="T",100,0),"")</f>
        <v/>
      </c>
      <c r="BC111">
        <f>IF(AND($C35=1,INDEX(Setup!$O$6:$AL$23,8,16)&lt;&gt;"",M35=0),16+IF(INDEX(Setup!$O$6:$AL$23,8,16)="T",100,0),"")</f>
        <v/>
      </c>
      <c r="BD111">
        <f>IF(AND($C36=1,INDEX(Setup!$O$6:$AL$23,8,17)&lt;&gt;"",M36=0),17+IF(INDEX(Setup!$O$6:$AL$23,8,17)="T",100,0),"")</f>
        <v/>
      </c>
      <c r="BE111">
        <f>IF(AND($C37=1,INDEX(Setup!$O$6:$AL$23,8,18)&lt;&gt;"",M37=0),18+IF(INDEX(Setup!$O$6:$AL$23,8,18)="T",100,0),"")</f>
        <v/>
      </c>
      <c r="BF111">
        <f>IF(AND($C38=1,INDEX(Setup!$O$6:$AL$23,8,19)&lt;&gt;"",M38=0),19+IF(INDEX(Setup!$O$6:$AL$23,8,19)="T",100,0),"")</f>
        <v/>
      </c>
      <c r="BG111">
        <f>IF(AND($C39=1,INDEX(Setup!$O$6:$AL$23,8,20)&lt;&gt;"",M39=0),20+IF(INDEX(Setup!$O$6:$AL$23,8,20)="T",100,0),"")</f>
        <v/>
      </c>
      <c r="BH111">
        <f>IF(AND($C40=1,INDEX(Setup!$O$6:$AL$23,8,21)&lt;&gt;"",M40=0),21+IF(INDEX(Setup!$O$6:$AL$23,8,21)="T",100,0),"")</f>
        <v/>
      </c>
      <c r="BI111">
        <f>IF(AND($C41=1,INDEX(Setup!$O$6:$AL$23,8,22)&lt;&gt;"",M41=0),22+IF(INDEX(Setup!$O$6:$AL$23,8,22)="T",100,0),"")</f>
        <v/>
      </c>
      <c r="BJ111">
        <f>IF(AND($C42=1,INDEX(Setup!$O$6:$AL$23,8,23)&lt;&gt;"",M42=0),23+IF(INDEX(Setup!$O$6:$AL$23,8,23)="T",100,0),"")</f>
        <v/>
      </c>
      <c r="BK111">
        <f>IF(AND($C43=1,INDEX(Setup!$O$6:$AL$23,8,24)&lt;&gt;"",M43=0),24+IF(INDEX(Setup!$O$6:$AL$23,8,24)="T",100,0),"")</f>
        <v/>
      </c>
      <c r="BM111">
        <f>IF(AND(AN111&lt;&gt;"",COUNTIF($K$54:$M$54,$B20)+COUNTIF($K$54:$M$54,$B20&amp;" ~*")=0),($R20+COUNTIF($H$104:$H110,$B20)+COUNTIF($H$104:$H110,$B20&amp;" ~*"))*1000+IF(AN111&gt;100,500,0)+1,"")</f>
        <v/>
      </c>
      <c r="BN111">
        <f>IF(AND(AO111&lt;&gt;"",COUNTIF($K$54:$M$54,$B21)+COUNTIF($K$54:$M$54,$B21&amp;" ~*")=0),($R21+COUNTIF($H$104:$H110,$B21)+COUNTIF($H$104:$H110,$B21&amp;" ~*"))*1000+IF(AO111&gt;100,500,0)+2,"")</f>
        <v/>
      </c>
      <c r="BO111">
        <f>IF(AND(AP111&lt;&gt;"",COUNTIF($K$54:$M$54,$B22)+COUNTIF($K$54:$M$54,$B22&amp;" ~*")=0),($R22+COUNTIF($H$104:$H110,$B22)+COUNTIF($H$104:$H110,$B22&amp;" ~*"))*1000+IF(AP111&gt;100,500,0)+3,"")</f>
        <v/>
      </c>
      <c r="BP111">
        <f>IF(AND(AQ111&lt;&gt;"",COUNTIF($K$54:$M$54,$B23)+COUNTIF($K$54:$M$54,$B23&amp;" ~*")=0),($R23+COUNTIF($H$104:$H110,$B23)+COUNTIF($H$104:$H110,$B23&amp;" ~*"))*1000+IF(AQ111&gt;100,500,0)+4,"")</f>
        <v/>
      </c>
      <c r="BQ111">
        <f>IF(AND(AR111&lt;&gt;"",COUNTIF($K$54:$M$54,$B24)+COUNTIF($K$54:$M$54,$B24&amp;" ~*")=0),($R24+COUNTIF($H$104:$H110,$B24)+COUNTIF($H$104:$H110,$B24&amp;" ~*"))*1000+IF(AR111&gt;100,500,0)+5,"")</f>
        <v/>
      </c>
      <c r="BR111">
        <f>IF(AND(AS111&lt;&gt;"",COUNTIF($K$54:$M$54,$B25)+COUNTIF($K$54:$M$54,$B25&amp;" ~*")=0),($R25+COUNTIF($H$104:$H110,$B25)+COUNTIF($H$104:$H110,$B25&amp;" ~*"))*1000+IF(AS111&gt;100,500,0)+6,"")</f>
        <v/>
      </c>
      <c r="BS111">
        <f>IF(AND(AT111&lt;&gt;"",COUNTIF($K$54:$M$54,$B26)+COUNTIF($K$54:$M$54,$B26&amp;" ~*")=0),($R26+COUNTIF($H$104:$H110,$B26)+COUNTIF($H$104:$H110,$B26&amp;" ~*"))*1000+IF(AT111&gt;100,500,0)+7,"")</f>
        <v/>
      </c>
      <c r="BT111">
        <f>IF(AND(AU111&lt;&gt;"",COUNTIF($K$54:$M$54,$B27)+COUNTIF($K$54:$M$54,$B27&amp;" ~*")=0),($R27+COUNTIF($H$104:$H110,$B27)+COUNTIF($H$104:$H110,$B27&amp;" ~*"))*1000+IF(AU111&gt;100,500,0)+8,"")</f>
        <v/>
      </c>
      <c r="BU111">
        <f>IF(AND(AV111&lt;&gt;"",COUNTIF($K$54:$M$54,$B28)+COUNTIF($K$54:$M$54,$B28&amp;" ~*")=0),($R28+COUNTIF($H$104:$H110,$B28)+COUNTIF($H$104:$H110,$B28&amp;" ~*"))*1000+IF(AV111&gt;100,500,0)+9,"")</f>
        <v/>
      </c>
      <c r="BV111">
        <f>IF(AND(AW111&lt;&gt;"",COUNTIF($K$54:$M$54,$B29)+COUNTIF($K$54:$M$54,$B29&amp;" ~*")=0),($R29+COUNTIF($H$104:$H110,$B29)+COUNTIF($H$104:$H110,$B29&amp;" ~*"))*1000+IF(AW111&gt;100,500,0)+10,"")</f>
        <v/>
      </c>
      <c r="BW111">
        <f>IF(AND(AX111&lt;&gt;"",COUNTIF($K$54:$M$54,$B30)+COUNTIF($K$54:$M$54,$B30&amp;" ~*")=0),($R30+COUNTIF($H$104:$H110,$B30)+COUNTIF($H$104:$H110,$B30&amp;" ~*"))*1000+IF(AX111&gt;100,500,0)+11,"")</f>
        <v/>
      </c>
      <c r="BX111">
        <f>IF(AND(AY111&lt;&gt;"",COUNTIF($K$54:$M$54,$B31)+COUNTIF($K$54:$M$54,$B31&amp;" ~*")=0),($R31+COUNTIF($H$104:$H110,$B31)+COUNTIF($H$104:$H110,$B31&amp;" ~*"))*1000+IF(AY111&gt;100,500,0)+12,"")</f>
        <v/>
      </c>
      <c r="BY111">
        <f>IF(AND(AZ111&lt;&gt;"",COUNTIF($K$54:$M$54,$B32)+COUNTIF($K$54:$M$54,$B32&amp;" ~*")=0),($R32+COUNTIF($H$104:$H110,$B32)+COUNTIF($H$104:$H110,$B32&amp;" ~*"))*1000+IF(AZ111&gt;100,500,0)+13,"")</f>
        <v/>
      </c>
      <c r="BZ111">
        <f>IF(AND(BA111&lt;&gt;"",COUNTIF($K$54:$M$54,$B33)+COUNTIF($K$54:$M$54,$B33&amp;" ~*")=0),($R33+COUNTIF($H$104:$H110,$B33)+COUNTIF($H$104:$H110,$B33&amp;" ~*"))*1000+IF(BA111&gt;100,500,0)+14,"")</f>
        <v/>
      </c>
      <c r="CA111">
        <f>IF(AND(BB111&lt;&gt;"",COUNTIF($K$54:$M$54,$B34)+COUNTIF($K$54:$M$54,$B34&amp;" ~*")=0),($R34+COUNTIF($H$104:$H110,$B34)+COUNTIF($H$104:$H110,$B34&amp;" ~*"))*1000+IF(BB111&gt;100,500,0)+15,"")</f>
        <v/>
      </c>
      <c r="CB111">
        <f>IF(AND(BC111&lt;&gt;"",COUNTIF($K$54:$M$54,$B35)+COUNTIF($K$54:$M$54,$B35&amp;" ~*")=0),($R35+COUNTIF($H$104:$H110,$B35)+COUNTIF($H$104:$H110,$B35&amp;" ~*"))*1000+IF(BC111&gt;100,500,0)+16,"")</f>
        <v/>
      </c>
      <c r="CC111">
        <f>IF(AND(BD111&lt;&gt;"",COUNTIF($K$54:$M$54,$B36)+COUNTIF($K$54:$M$54,$B36&amp;" ~*")=0),($R36+COUNTIF($H$104:$H110,$B36)+COUNTIF($H$104:$H110,$B36&amp;" ~*"))*1000+IF(BD111&gt;100,500,0)+17,"")</f>
        <v/>
      </c>
      <c r="CD111">
        <f>IF(AND(BE111&lt;&gt;"",COUNTIF($K$54:$M$54,$B37)+COUNTIF($K$54:$M$54,$B37&amp;" ~*")=0),($R37+COUNTIF($H$104:$H110,$B37)+COUNTIF($H$104:$H110,$B37&amp;" ~*"))*1000+IF(BE111&gt;100,500,0)+18,"")</f>
        <v/>
      </c>
      <c r="CE111">
        <f>IF(AND(BF111&lt;&gt;"",COUNTIF($K$54:$M$54,$B38)+COUNTIF($K$54:$M$54,$B38&amp;" ~*")=0),($R38+COUNTIF($H$104:$H110,$B38)+COUNTIF($H$104:$H110,$B38&amp;" ~*"))*1000+IF(BF111&gt;100,500,0)+19,"")</f>
        <v/>
      </c>
      <c r="CF111">
        <f>IF(AND(BG111&lt;&gt;"",COUNTIF($K$54:$M$54,$B39)+COUNTIF($K$54:$M$54,$B39&amp;" ~*")=0),($R39+COUNTIF($H$104:$H110,$B39)+COUNTIF($H$104:$H110,$B39&amp;" ~*"))*1000+IF(BG111&gt;100,500,0)+20,"")</f>
        <v/>
      </c>
      <c r="CG111">
        <f>IF(AND(BH111&lt;&gt;"",COUNTIF($K$54:$M$54,$B40)+COUNTIF($K$54:$M$54,$B40&amp;" ~*")=0),($R40+COUNTIF($H$104:$H110,$B40)+COUNTIF($H$104:$H110,$B40&amp;" ~*"))*1000+IF(BH111&gt;100,500,0)+21,"")</f>
        <v/>
      </c>
      <c r="CH111">
        <f>IF(AND(BI111&lt;&gt;"",COUNTIF($K$54:$M$54,$B41)+COUNTIF($K$54:$M$54,$B41&amp;" ~*")=0),($R41+COUNTIF($H$104:$H110,$B41)+COUNTIF($H$104:$H110,$B41&amp;" ~*"))*1000+IF(BI111&gt;100,500,0)+22,"")</f>
        <v/>
      </c>
      <c r="CI111">
        <f>IF(AND(BJ111&lt;&gt;"",COUNTIF($K$54:$M$54,$B42)+COUNTIF($K$54:$M$54,$B42&amp;" ~*")=0),($R42+COUNTIF($H$104:$H110,$B42)+COUNTIF($H$104:$H110,$B42&amp;" ~*"))*1000+IF(BJ111&gt;100,500,0)+23,"")</f>
        <v/>
      </c>
      <c r="CJ111">
        <f>IF(AND(BK111&lt;&gt;"",COUNTIF($K$54:$M$54,$B43)+COUNTIF($K$54:$M$54,$B43&amp;" ~*")=0),($R43+COUNTIF($H$104:$H110,$B43)+COUNTIF($H$104:$H110,$B43&amp;" ~*"))*1000+IF(BK111&gt;100,500,0)+24,"")</f>
        <v/>
      </c>
    </row>
    <row r="112">
      <c r="A112" t="n">
        <v>3</v>
      </c>
      <c r="B112" t="n">
        <v>9</v>
      </c>
      <c r="C112">
        <f>$B$55</f>
        <v/>
      </c>
      <c r="D112" t="inlineStr">
        <is>
          <t>Wed</t>
        </is>
      </c>
      <c r="E112">
        <f>IF(C112="","",N($AB$55))</f>
        <v/>
      </c>
      <c r="F112">
        <f>IF(C112="","",COUNTIF($K$55:$M$55,"?*"))</f>
        <v/>
      </c>
      <c r="G112">
        <f>IF(C112="","",MAX(0,E112-F112))</f>
        <v/>
      </c>
      <c r="H112">
        <f>IF(N(G112)=0,"",IF(COUNT(BM112:CJ112)=0,"no-one eligible",INDEX(Engine!$B$20:$B$43,MOD(MIN(BM112:CJ112),500))&amp;IF(MOD(MIN(BM112:CJ112),1000)&gt;=500," *","")))</f>
        <v/>
      </c>
      <c r="I112">
        <f>IF(N(G112)&gt;0,COUNTIF($G$68:G112,"&gt;0"),"")</f>
        <v/>
      </c>
      <c r="J112">
        <f>IF(C112="","",IF($K$55="",0,IF(IFERROR(INDEX(Setup!$O$6:$AL$23,9,MATCH(SUBSTITUTE($K$55," *",""),Setup!$B$6:$B$29,0)),"")="",1,0))+IF($L$55="",0,IF(IFERROR(INDEX(Setup!$O$6:$AL$23,9,MATCH(SUBSTITUTE($L$55," *",""),Setup!$B$6:$B$29,0)),"")="",1,0))+IF($M$55="",0,IF(IFERROR(INDEX(Setup!$O$6:$AL$23,9,MATCH(SUBSTITUTE($M$55," *",""),Setup!$B$6:$B$29,0)),"")="",1,0)))</f>
        <v/>
      </c>
      <c r="K112">
        <f>IF($B$12+2=TODAY(),1,0)</f>
        <v/>
      </c>
      <c r="N112">
        <f>COUNT($AN112:$BK112)</f>
        <v/>
      </c>
      <c r="O112">
        <f>IF(1&gt;$N112,"",INDEX(Engine!$B$20:$B$43,MOD(SMALL($AN112:$BK112,1),100))&amp;IF(SMALL($AN112:$BK112,1)&gt;100," *",""))</f>
        <v/>
      </c>
      <c r="P112">
        <f>IF(2&gt;$N112,"",INDEX(Engine!$B$20:$B$43,MOD(SMALL($AN112:$BK112,2),100))&amp;IF(SMALL($AN112:$BK112,2)&gt;100," *",""))</f>
        <v/>
      </c>
      <c r="Q112">
        <f>IF(3&gt;$N112,"",INDEX(Engine!$B$20:$B$43,MOD(SMALL($AN112:$BK112,3),100))&amp;IF(SMALL($AN112:$BK112,3)&gt;100," *",""))</f>
        <v/>
      </c>
      <c r="R112">
        <f>IF(4&gt;$N112,"",INDEX(Engine!$B$20:$B$43,MOD(SMALL($AN112:$BK112,4),100))&amp;IF(SMALL($AN112:$BK112,4)&gt;100," *",""))</f>
        <v/>
      </c>
      <c r="S112">
        <f>IF(5&gt;$N112,"",INDEX(Engine!$B$20:$B$43,MOD(SMALL($AN112:$BK112,5),100))&amp;IF(SMALL($AN112:$BK112,5)&gt;100," *",""))</f>
        <v/>
      </c>
      <c r="T112">
        <f>IF(6&gt;$N112,"",INDEX(Engine!$B$20:$B$43,MOD(SMALL($AN112:$BK112,6),100))&amp;IF(SMALL($AN112:$BK112,6)&gt;100," *",""))</f>
        <v/>
      </c>
      <c r="U112">
        <f>IF(7&gt;$N112,"",INDEX(Engine!$B$20:$B$43,MOD(SMALL($AN112:$BK112,7),100))&amp;IF(SMALL($AN112:$BK112,7)&gt;100," *",""))</f>
        <v/>
      </c>
      <c r="V112">
        <f>IF(8&gt;$N112,"",INDEX(Engine!$B$20:$B$43,MOD(SMALL($AN112:$BK112,8),100))&amp;IF(SMALL($AN112:$BK112,8)&gt;100," *",""))</f>
        <v/>
      </c>
      <c r="W112">
        <f>IF(9&gt;$N112,"",INDEX(Engine!$B$20:$B$43,MOD(SMALL($AN112:$BK112,9),100))&amp;IF(SMALL($AN112:$BK112,9)&gt;100," *",""))</f>
        <v/>
      </c>
      <c r="X112">
        <f>IF(10&gt;$N112,"",INDEX(Engine!$B$20:$B$43,MOD(SMALL($AN112:$BK112,10),100))&amp;IF(SMALL($AN112:$BK112,10)&gt;100," *",""))</f>
        <v/>
      </c>
      <c r="Y112">
        <f>IF(11&gt;$N112,"",INDEX(Engine!$B$20:$B$43,MOD(SMALL($AN112:$BK112,11),100))&amp;IF(SMALL($AN112:$BK112,11)&gt;100," *",""))</f>
        <v/>
      </c>
      <c r="Z112">
        <f>IF(12&gt;$N112,"",INDEX(Engine!$B$20:$B$43,MOD(SMALL($AN112:$BK112,12),100))&amp;IF(SMALL($AN112:$BK112,12)&gt;100," *",""))</f>
        <v/>
      </c>
      <c r="AA112">
        <f>IF(13&gt;$N112,"",INDEX(Engine!$B$20:$B$43,MOD(SMALL($AN112:$BK112,13),100))&amp;IF(SMALL($AN112:$BK112,13)&gt;100," *",""))</f>
        <v/>
      </c>
      <c r="AB112">
        <f>IF(14&gt;$N112,"",INDEX(Engine!$B$20:$B$43,MOD(SMALL($AN112:$BK112,14),100))&amp;IF(SMALL($AN112:$BK112,14)&gt;100," *",""))</f>
        <v/>
      </c>
      <c r="AC112">
        <f>IF(15&gt;$N112,"",INDEX(Engine!$B$20:$B$43,MOD(SMALL($AN112:$BK112,15),100))&amp;IF(SMALL($AN112:$BK112,15)&gt;100," *",""))</f>
        <v/>
      </c>
      <c r="AD112">
        <f>IF(16&gt;$N112,"",INDEX(Engine!$B$20:$B$43,MOD(SMALL($AN112:$BK112,16),100))&amp;IF(SMALL($AN112:$BK112,16)&gt;100," *",""))</f>
        <v/>
      </c>
      <c r="AE112">
        <f>IF(17&gt;$N112,"",INDEX(Engine!$B$20:$B$43,MOD(SMALL($AN112:$BK112,17),100))&amp;IF(SMALL($AN112:$BK112,17)&gt;100," *",""))</f>
        <v/>
      </c>
      <c r="AF112">
        <f>IF(18&gt;$N112,"",INDEX(Engine!$B$20:$B$43,MOD(SMALL($AN112:$BK112,18),100))&amp;IF(SMALL($AN112:$BK112,18)&gt;100," *",""))</f>
        <v/>
      </c>
      <c r="AG112">
        <f>IF(19&gt;$N112,"",INDEX(Engine!$B$20:$B$43,MOD(SMALL($AN112:$BK112,19),100))&amp;IF(SMALL($AN112:$BK112,19)&gt;100," *",""))</f>
        <v/>
      </c>
      <c r="AH112">
        <f>IF(20&gt;$N112,"",INDEX(Engine!$B$20:$B$43,MOD(SMALL($AN112:$BK112,20),100))&amp;IF(SMALL($AN112:$BK112,20)&gt;100," *",""))</f>
        <v/>
      </c>
      <c r="AI112">
        <f>IF(21&gt;$N112,"",INDEX(Engine!$B$20:$B$43,MOD(SMALL($AN112:$BK112,21),100))&amp;IF(SMALL($AN112:$BK112,21)&gt;100," *",""))</f>
        <v/>
      </c>
      <c r="AJ112">
        <f>IF(22&gt;$N112,"",INDEX(Engine!$B$20:$B$43,MOD(SMALL($AN112:$BK112,22),100))&amp;IF(SMALL($AN112:$BK112,22)&gt;100," *",""))</f>
        <v/>
      </c>
      <c r="AK112">
        <f>IF(23&gt;$N112,"",INDEX(Engine!$B$20:$B$43,MOD(SMALL($AN112:$BK112,23),100))&amp;IF(SMALL($AN112:$BK112,23)&gt;100," *",""))</f>
        <v/>
      </c>
      <c r="AL112">
        <f>IF(24&gt;$N112,"",INDEX(Engine!$B$20:$B$43,MOD(SMALL($AN112:$BK112,24),100))&amp;IF(SMALL($AN112:$BK112,24)&gt;100," *",""))</f>
        <v/>
      </c>
      <c r="AN112">
        <f>IF(AND($C20=1,INDEX(Setup!$O$6:$AL$23,9,1)&lt;&gt;"",M20=0),1+IF(INDEX(Setup!$O$6:$AL$23,9,1)="T",100,0),"")</f>
        <v/>
      </c>
      <c r="AO112">
        <f>IF(AND($C21=1,INDEX(Setup!$O$6:$AL$23,9,2)&lt;&gt;"",M21=0),2+IF(INDEX(Setup!$O$6:$AL$23,9,2)="T",100,0),"")</f>
        <v/>
      </c>
      <c r="AP112">
        <f>IF(AND($C22=1,INDEX(Setup!$O$6:$AL$23,9,3)&lt;&gt;"",M22=0),3+IF(INDEX(Setup!$O$6:$AL$23,9,3)="T",100,0),"")</f>
        <v/>
      </c>
      <c r="AQ112">
        <f>IF(AND($C23=1,INDEX(Setup!$O$6:$AL$23,9,4)&lt;&gt;"",M23=0),4+IF(INDEX(Setup!$O$6:$AL$23,9,4)="T",100,0),"")</f>
        <v/>
      </c>
      <c r="AR112">
        <f>IF(AND($C24=1,INDEX(Setup!$O$6:$AL$23,9,5)&lt;&gt;"",M24=0),5+IF(INDEX(Setup!$O$6:$AL$23,9,5)="T",100,0),"")</f>
        <v/>
      </c>
      <c r="AS112">
        <f>IF(AND($C25=1,INDEX(Setup!$O$6:$AL$23,9,6)&lt;&gt;"",M25=0),6+IF(INDEX(Setup!$O$6:$AL$23,9,6)="T",100,0),"")</f>
        <v/>
      </c>
      <c r="AT112">
        <f>IF(AND($C26=1,INDEX(Setup!$O$6:$AL$23,9,7)&lt;&gt;"",M26=0),7+IF(INDEX(Setup!$O$6:$AL$23,9,7)="T",100,0),"")</f>
        <v/>
      </c>
      <c r="AU112">
        <f>IF(AND($C27=1,INDEX(Setup!$O$6:$AL$23,9,8)&lt;&gt;"",M27=0),8+IF(INDEX(Setup!$O$6:$AL$23,9,8)="T",100,0),"")</f>
        <v/>
      </c>
      <c r="AV112">
        <f>IF(AND($C28=1,INDEX(Setup!$O$6:$AL$23,9,9)&lt;&gt;"",M28=0),9+IF(INDEX(Setup!$O$6:$AL$23,9,9)="T",100,0),"")</f>
        <v/>
      </c>
      <c r="AW112">
        <f>IF(AND($C29=1,INDEX(Setup!$O$6:$AL$23,9,10)&lt;&gt;"",M29=0),10+IF(INDEX(Setup!$O$6:$AL$23,9,10)="T",100,0),"")</f>
        <v/>
      </c>
      <c r="AX112">
        <f>IF(AND($C30=1,INDEX(Setup!$O$6:$AL$23,9,11)&lt;&gt;"",M30=0),11+IF(INDEX(Setup!$O$6:$AL$23,9,11)="T",100,0),"")</f>
        <v/>
      </c>
      <c r="AY112">
        <f>IF(AND($C31=1,INDEX(Setup!$O$6:$AL$23,9,12)&lt;&gt;"",M31=0),12+IF(INDEX(Setup!$O$6:$AL$23,9,12)="T",100,0),"")</f>
        <v/>
      </c>
      <c r="AZ112">
        <f>IF(AND($C32=1,INDEX(Setup!$O$6:$AL$23,9,13)&lt;&gt;"",M32=0),13+IF(INDEX(Setup!$O$6:$AL$23,9,13)="T",100,0),"")</f>
        <v/>
      </c>
      <c r="BA112">
        <f>IF(AND($C33=1,INDEX(Setup!$O$6:$AL$23,9,14)&lt;&gt;"",M33=0),14+IF(INDEX(Setup!$O$6:$AL$23,9,14)="T",100,0),"")</f>
        <v/>
      </c>
      <c r="BB112">
        <f>IF(AND($C34=1,INDEX(Setup!$O$6:$AL$23,9,15)&lt;&gt;"",M34=0),15+IF(INDEX(Setup!$O$6:$AL$23,9,15)="T",100,0),"")</f>
        <v/>
      </c>
      <c r="BC112">
        <f>IF(AND($C35=1,INDEX(Setup!$O$6:$AL$23,9,16)&lt;&gt;"",M35=0),16+IF(INDEX(Setup!$O$6:$AL$23,9,16)="T",100,0),"")</f>
        <v/>
      </c>
      <c r="BD112">
        <f>IF(AND($C36=1,INDEX(Setup!$O$6:$AL$23,9,17)&lt;&gt;"",M36=0),17+IF(INDEX(Setup!$O$6:$AL$23,9,17)="T",100,0),"")</f>
        <v/>
      </c>
      <c r="BE112">
        <f>IF(AND($C37=1,INDEX(Setup!$O$6:$AL$23,9,18)&lt;&gt;"",M37=0),18+IF(INDEX(Setup!$O$6:$AL$23,9,18)="T",100,0),"")</f>
        <v/>
      </c>
      <c r="BF112">
        <f>IF(AND($C38=1,INDEX(Setup!$O$6:$AL$23,9,19)&lt;&gt;"",M38=0),19+IF(INDEX(Setup!$O$6:$AL$23,9,19)="T",100,0),"")</f>
        <v/>
      </c>
      <c r="BG112">
        <f>IF(AND($C39=1,INDEX(Setup!$O$6:$AL$23,9,20)&lt;&gt;"",M39=0),20+IF(INDEX(Setup!$O$6:$AL$23,9,20)="T",100,0),"")</f>
        <v/>
      </c>
      <c r="BH112">
        <f>IF(AND($C40=1,INDEX(Setup!$O$6:$AL$23,9,21)&lt;&gt;"",M40=0),21+IF(INDEX(Setup!$O$6:$AL$23,9,21)="T",100,0),"")</f>
        <v/>
      </c>
      <c r="BI112">
        <f>IF(AND($C41=1,INDEX(Setup!$O$6:$AL$23,9,22)&lt;&gt;"",M41=0),22+IF(INDEX(Setup!$O$6:$AL$23,9,22)="T",100,0),"")</f>
        <v/>
      </c>
      <c r="BJ112">
        <f>IF(AND($C42=1,INDEX(Setup!$O$6:$AL$23,9,23)&lt;&gt;"",M42=0),23+IF(INDEX(Setup!$O$6:$AL$23,9,23)="T",100,0),"")</f>
        <v/>
      </c>
      <c r="BK112">
        <f>IF(AND($C43=1,INDEX(Setup!$O$6:$AL$23,9,24)&lt;&gt;"",M43=0),24+IF(INDEX(Setup!$O$6:$AL$23,9,24)="T",100,0),"")</f>
        <v/>
      </c>
      <c r="BM112">
        <f>IF(AND(AN112&lt;&gt;"",COUNTIF($K$55:$M$55,$B20)+COUNTIF($K$55:$M$55,$B20&amp;" ~*")=0),($R20+COUNTIF($H$104:$H111,$B20)+COUNTIF($H$104:$H111,$B20&amp;" ~*"))*1000+IF(AN112&gt;100,500,0)+1,"")</f>
        <v/>
      </c>
      <c r="BN112">
        <f>IF(AND(AO112&lt;&gt;"",COUNTIF($K$55:$M$55,$B21)+COUNTIF($K$55:$M$55,$B21&amp;" ~*")=0),($R21+COUNTIF($H$104:$H111,$B21)+COUNTIF($H$104:$H111,$B21&amp;" ~*"))*1000+IF(AO112&gt;100,500,0)+2,"")</f>
        <v/>
      </c>
      <c r="BO112">
        <f>IF(AND(AP112&lt;&gt;"",COUNTIF($K$55:$M$55,$B22)+COUNTIF($K$55:$M$55,$B22&amp;" ~*")=0),($R22+COUNTIF($H$104:$H111,$B22)+COUNTIF($H$104:$H111,$B22&amp;" ~*"))*1000+IF(AP112&gt;100,500,0)+3,"")</f>
        <v/>
      </c>
      <c r="BP112">
        <f>IF(AND(AQ112&lt;&gt;"",COUNTIF($K$55:$M$55,$B23)+COUNTIF($K$55:$M$55,$B23&amp;" ~*")=0),($R23+COUNTIF($H$104:$H111,$B23)+COUNTIF($H$104:$H111,$B23&amp;" ~*"))*1000+IF(AQ112&gt;100,500,0)+4,"")</f>
        <v/>
      </c>
      <c r="BQ112">
        <f>IF(AND(AR112&lt;&gt;"",COUNTIF($K$55:$M$55,$B24)+COUNTIF($K$55:$M$55,$B24&amp;" ~*")=0),($R24+COUNTIF($H$104:$H111,$B24)+COUNTIF($H$104:$H111,$B24&amp;" ~*"))*1000+IF(AR112&gt;100,500,0)+5,"")</f>
        <v/>
      </c>
      <c r="BR112">
        <f>IF(AND(AS112&lt;&gt;"",COUNTIF($K$55:$M$55,$B25)+COUNTIF($K$55:$M$55,$B25&amp;" ~*")=0),($R25+COUNTIF($H$104:$H111,$B25)+COUNTIF($H$104:$H111,$B25&amp;" ~*"))*1000+IF(AS112&gt;100,500,0)+6,"")</f>
        <v/>
      </c>
      <c r="BS112">
        <f>IF(AND(AT112&lt;&gt;"",COUNTIF($K$55:$M$55,$B26)+COUNTIF($K$55:$M$55,$B26&amp;" ~*")=0),($R26+COUNTIF($H$104:$H111,$B26)+COUNTIF($H$104:$H111,$B26&amp;" ~*"))*1000+IF(AT112&gt;100,500,0)+7,"")</f>
        <v/>
      </c>
      <c r="BT112">
        <f>IF(AND(AU112&lt;&gt;"",COUNTIF($K$55:$M$55,$B27)+COUNTIF($K$55:$M$55,$B27&amp;" ~*")=0),($R27+COUNTIF($H$104:$H111,$B27)+COUNTIF($H$104:$H111,$B27&amp;" ~*"))*1000+IF(AU112&gt;100,500,0)+8,"")</f>
        <v/>
      </c>
      <c r="BU112">
        <f>IF(AND(AV112&lt;&gt;"",COUNTIF($K$55:$M$55,$B28)+COUNTIF($K$55:$M$55,$B28&amp;" ~*")=0),($R28+COUNTIF($H$104:$H111,$B28)+COUNTIF($H$104:$H111,$B28&amp;" ~*"))*1000+IF(AV112&gt;100,500,0)+9,"")</f>
        <v/>
      </c>
      <c r="BV112">
        <f>IF(AND(AW112&lt;&gt;"",COUNTIF($K$55:$M$55,$B29)+COUNTIF($K$55:$M$55,$B29&amp;" ~*")=0),($R29+COUNTIF($H$104:$H111,$B29)+COUNTIF($H$104:$H111,$B29&amp;" ~*"))*1000+IF(AW112&gt;100,500,0)+10,"")</f>
        <v/>
      </c>
      <c r="BW112">
        <f>IF(AND(AX112&lt;&gt;"",COUNTIF($K$55:$M$55,$B30)+COUNTIF($K$55:$M$55,$B30&amp;" ~*")=0),($R30+COUNTIF($H$104:$H111,$B30)+COUNTIF($H$104:$H111,$B30&amp;" ~*"))*1000+IF(AX112&gt;100,500,0)+11,"")</f>
        <v/>
      </c>
      <c r="BX112">
        <f>IF(AND(AY112&lt;&gt;"",COUNTIF($K$55:$M$55,$B31)+COUNTIF($K$55:$M$55,$B31&amp;" ~*")=0),($R31+COUNTIF($H$104:$H111,$B31)+COUNTIF($H$104:$H111,$B31&amp;" ~*"))*1000+IF(AY112&gt;100,500,0)+12,"")</f>
        <v/>
      </c>
      <c r="BY112">
        <f>IF(AND(AZ112&lt;&gt;"",COUNTIF($K$55:$M$55,$B32)+COUNTIF($K$55:$M$55,$B32&amp;" ~*")=0),($R32+COUNTIF($H$104:$H111,$B32)+COUNTIF($H$104:$H111,$B32&amp;" ~*"))*1000+IF(AZ112&gt;100,500,0)+13,"")</f>
        <v/>
      </c>
      <c r="BZ112">
        <f>IF(AND(BA112&lt;&gt;"",COUNTIF($K$55:$M$55,$B33)+COUNTIF($K$55:$M$55,$B33&amp;" ~*")=0),($R33+COUNTIF($H$104:$H111,$B33)+COUNTIF($H$104:$H111,$B33&amp;" ~*"))*1000+IF(BA112&gt;100,500,0)+14,"")</f>
        <v/>
      </c>
      <c r="CA112">
        <f>IF(AND(BB112&lt;&gt;"",COUNTIF($K$55:$M$55,$B34)+COUNTIF($K$55:$M$55,$B34&amp;" ~*")=0),($R34+COUNTIF($H$104:$H111,$B34)+COUNTIF($H$104:$H111,$B34&amp;" ~*"))*1000+IF(BB112&gt;100,500,0)+15,"")</f>
        <v/>
      </c>
      <c r="CB112">
        <f>IF(AND(BC112&lt;&gt;"",COUNTIF($K$55:$M$55,$B35)+COUNTIF($K$55:$M$55,$B35&amp;" ~*")=0),($R35+COUNTIF($H$104:$H111,$B35)+COUNTIF($H$104:$H111,$B35&amp;" ~*"))*1000+IF(BC112&gt;100,500,0)+16,"")</f>
        <v/>
      </c>
      <c r="CC112">
        <f>IF(AND(BD112&lt;&gt;"",COUNTIF($K$55:$M$55,$B36)+COUNTIF($K$55:$M$55,$B36&amp;" ~*")=0),($R36+COUNTIF($H$104:$H111,$B36)+COUNTIF($H$104:$H111,$B36&amp;" ~*"))*1000+IF(BD112&gt;100,500,0)+17,"")</f>
        <v/>
      </c>
      <c r="CD112">
        <f>IF(AND(BE112&lt;&gt;"",COUNTIF($K$55:$M$55,$B37)+COUNTIF($K$55:$M$55,$B37&amp;" ~*")=0),($R37+COUNTIF($H$104:$H111,$B37)+COUNTIF($H$104:$H111,$B37&amp;" ~*"))*1000+IF(BE112&gt;100,500,0)+18,"")</f>
        <v/>
      </c>
      <c r="CE112">
        <f>IF(AND(BF112&lt;&gt;"",COUNTIF($K$55:$M$55,$B38)+COUNTIF($K$55:$M$55,$B38&amp;" ~*")=0),($R38+COUNTIF($H$104:$H111,$B38)+COUNTIF($H$104:$H111,$B38&amp;" ~*"))*1000+IF(BF112&gt;100,500,0)+19,"")</f>
        <v/>
      </c>
      <c r="CF112">
        <f>IF(AND(BG112&lt;&gt;"",COUNTIF($K$55:$M$55,$B39)+COUNTIF($K$55:$M$55,$B39&amp;" ~*")=0),($R39+COUNTIF($H$104:$H111,$B39)+COUNTIF($H$104:$H111,$B39&amp;" ~*"))*1000+IF(BG112&gt;100,500,0)+20,"")</f>
        <v/>
      </c>
      <c r="CG112">
        <f>IF(AND(BH112&lt;&gt;"",COUNTIF($K$55:$M$55,$B40)+COUNTIF($K$55:$M$55,$B40&amp;" ~*")=0),($R40+COUNTIF($H$104:$H111,$B40)+COUNTIF($H$104:$H111,$B40&amp;" ~*"))*1000+IF(BH112&gt;100,500,0)+21,"")</f>
        <v/>
      </c>
      <c r="CH112">
        <f>IF(AND(BI112&lt;&gt;"",COUNTIF($K$55:$M$55,$B41)+COUNTIF($K$55:$M$55,$B41&amp;" ~*")=0),($R41+COUNTIF($H$104:$H111,$B41)+COUNTIF($H$104:$H111,$B41&amp;" ~*"))*1000+IF(BI112&gt;100,500,0)+22,"")</f>
        <v/>
      </c>
      <c r="CI112">
        <f>IF(AND(BJ112&lt;&gt;"",COUNTIF($K$55:$M$55,$B42)+COUNTIF($K$55:$M$55,$B42&amp;" ~*")=0),($R42+COUNTIF($H$104:$H111,$B42)+COUNTIF($H$104:$H111,$B42&amp;" ~*"))*1000+IF(BJ112&gt;100,500,0)+23,"")</f>
        <v/>
      </c>
      <c r="CJ112">
        <f>IF(AND(BK112&lt;&gt;"",COUNTIF($K$55:$M$55,$B43)+COUNTIF($K$55:$M$55,$B43&amp;" ~*")=0),($R43+COUNTIF($H$104:$H111,$B43)+COUNTIF($H$104:$H111,$B43&amp;" ~*"))*1000+IF(BK112&gt;100,500,0)+24,"")</f>
        <v/>
      </c>
    </row>
    <row r="113">
      <c r="A113" t="n">
        <v>3</v>
      </c>
      <c r="B113" t="n">
        <v>10</v>
      </c>
      <c r="C113">
        <f>$B$56</f>
        <v/>
      </c>
      <c r="D113" t="inlineStr">
        <is>
          <t>Wed</t>
        </is>
      </c>
      <c r="E113">
        <f>IF(C113="","",N($AB$56))</f>
        <v/>
      </c>
      <c r="F113">
        <f>IF(C113="","",COUNTIF($K$56:$M$56,"?*"))</f>
        <v/>
      </c>
      <c r="G113">
        <f>IF(C113="","",MAX(0,E113-F113))</f>
        <v/>
      </c>
      <c r="H113">
        <f>IF(N(G113)=0,"",IF(COUNT(BM113:CJ113)=0,"no-one eligible",INDEX(Engine!$B$20:$B$43,MOD(MIN(BM113:CJ113),500))&amp;IF(MOD(MIN(BM113:CJ113),1000)&gt;=500," *","")))</f>
        <v/>
      </c>
      <c r="I113">
        <f>IF(N(G113)&gt;0,COUNTIF($G$68:G113,"&gt;0"),"")</f>
        <v/>
      </c>
      <c r="J113">
        <f>IF(C113="","",IF($K$56="",0,IF(IFERROR(INDEX(Setup!$O$6:$AL$23,10,MATCH(SUBSTITUTE($K$56," *",""),Setup!$B$6:$B$29,0)),"")="",1,0))+IF($L$56="",0,IF(IFERROR(INDEX(Setup!$O$6:$AL$23,10,MATCH(SUBSTITUTE($L$56," *",""),Setup!$B$6:$B$29,0)),"")="",1,0))+IF($M$56="",0,IF(IFERROR(INDEX(Setup!$O$6:$AL$23,10,MATCH(SUBSTITUTE($M$56," *",""),Setup!$B$6:$B$29,0)),"")="",1,0)))</f>
        <v/>
      </c>
      <c r="K113">
        <f>IF($B$12+2=TODAY(),1,0)</f>
        <v/>
      </c>
      <c r="N113">
        <f>COUNT($AN113:$BK113)</f>
        <v/>
      </c>
      <c r="O113">
        <f>IF(1&gt;$N113,"",INDEX(Engine!$B$20:$B$43,MOD(SMALL($AN113:$BK113,1),100))&amp;IF(SMALL($AN113:$BK113,1)&gt;100," *",""))</f>
        <v/>
      </c>
      <c r="P113">
        <f>IF(2&gt;$N113,"",INDEX(Engine!$B$20:$B$43,MOD(SMALL($AN113:$BK113,2),100))&amp;IF(SMALL($AN113:$BK113,2)&gt;100," *",""))</f>
        <v/>
      </c>
      <c r="Q113">
        <f>IF(3&gt;$N113,"",INDEX(Engine!$B$20:$B$43,MOD(SMALL($AN113:$BK113,3),100))&amp;IF(SMALL($AN113:$BK113,3)&gt;100," *",""))</f>
        <v/>
      </c>
      <c r="R113">
        <f>IF(4&gt;$N113,"",INDEX(Engine!$B$20:$B$43,MOD(SMALL($AN113:$BK113,4),100))&amp;IF(SMALL($AN113:$BK113,4)&gt;100," *",""))</f>
        <v/>
      </c>
      <c r="S113">
        <f>IF(5&gt;$N113,"",INDEX(Engine!$B$20:$B$43,MOD(SMALL($AN113:$BK113,5),100))&amp;IF(SMALL($AN113:$BK113,5)&gt;100," *",""))</f>
        <v/>
      </c>
      <c r="T113">
        <f>IF(6&gt;$N113,"",INDEX(Engine!$B$20:$B$43,MOD(SMALL($AN113:$BK113,6),100))&amp;IF(SMALL($AN113:$BK113,6)&gt;100," *",""))</f>
        <v/>
      </c>
      <c r="U113">
        <f>IF(7&gt;$N113,"",INDEX(Engine!$B$20:$B$43,MOD(SMALL($AN113:$BK113,7),100))&amp;IF(SMALL($AN113:$BK113,7)&gt;100," *",""))</f>
        <v/>
      </c>
      <c r="V113">
        <f>IF(8&gt;$N113,"",INDEX(Engine!$B$20:$B$43,MOD(SMALL($AN113:$BK113,8),100))&amp;IF(SMALL($AN113:$BK113,8)&gt;100," *",""))</f>
        <v/>
      </c>
      <c r="W113">
        <f>IF(9&gt;$N113,"",INDEX(Engine!$B$20:$B$43,MOD(SMALL($AN113:$BK113,9),100))&amp;IF(SMALL($AN113:$BK113,9)&gt;100," *",""))</f>
        <v/>
      </c>
      <c r="X113">
        <f>IF(10&gt;$N113,"",INDEX(Engine!$B$20:$B$43,MOD(SMALL($AN113:$BK113,10),100))&amp;IF(SMALL($AN113:$BK113,10)&gt;100," *",""))</f>
        <v/>
      </c>
      <c r="Y113">
        <f>IF(11&gt;$N113,"",INDEX(Engine!$B$20:$B$43,MOD(SMALL($AN113:$BK113,11),100))&amp;IF(SMALL($AN113:$BK113,11)&gt;100," *",""))</f>
        <v/>
      </c>
      <c r="Z113">
        <f>IF(12&gt;$N113,"",INDEX(Engine!$B$20:$B$43,MOD(SMALL($AN113:$BK113,12),100))&amp;IF(SMALL($AN113:$BK113,12)&gt;100," *",""))</f>
        <v/>
      </c>
      <c r="AA113">
        <f>IF(13&gt;$N113,"",INDEX(Engine!$B$20:$B$43,MOD(SMALL($AN113:$BK113,13),100))&amp;IF(SMALL($AN113:$BK113,13)&gt;100," *",""))</f>
        <v/>
      </c>
      <c r="AB113">
        <f>IF(14&gt;$N113,"",INDEX(Engine!$B$20:$B$43,MOD(SMALL($AN113:$BK113,14),100))&amp;IF(SMALL($AN113:$BK113,14)&gt;100," *",""))</f>
        <v/>
      </c>
      <c r="AC113">
        <f>IF(15&gt;$N113,"",INDEX(Engine!$B$20:$B$43,MOD(SMALL($AN113:$BK113,15),100))&amp;IF(SMALL($AN113:$BK113,15)&gt;100," *",""))</f>
        <v/>
      </c>
      <c r="AD113">
        <f>IF(16&gt;$N113,"",INDEX(Engine!$B$20:$B$43,MOD(SMALL($AN113:$BK113,16),100))&amp;IF(SMALL($AN113:$BK113,16)&gt;100," *",""))</f>
        <v/>
      </c>
      <c r="AE113">
        <f>IF(17&gt;$N113,"",INDEX(Engine!$B$20:$B$43,MOD(SMALL($AN113:$BK113,17),100))&amp;IF(SMALL($AN113:$BK113,17)&gt;100," *",""))</f>
        <v/>
      </c>
      <c r="AF113">
        <f>IF(18&gt;$N113,"",INDEX(Engine!$B$20:$B$43,MOD(SMALL($AN113:$BK113,18),100))&amp;IF(SMALL($AN113:$BK113,18)&gt;100," *",""))</f>
        <v/>
      </c>
      <c r="AG113">
        <f>IF(19&gt;$N113,"",INDEX(Engine!$B$20:$B$43,MOD(SMALL($AN113:$BK113,19),100))&amp;IF(SMALL($AN113:$BK113,19)&gt;100," *",""))</f>
        <v/>
      </c>
      <c r="AH113">
        <f>IF(20&gt;$N113,"",INDEX(Engine!$B$20:$B$43,MOD(SMALL($AN113:$BK113,20),100))&amp;IF(SMALL($AN113:$BK113,20)&gt;100," *",""))</f>
        <v/>
      </c>
      <c r="AI113">
        <f>IF(21&gt;$N113,"",INDEX(Engine!$B$20:$B$43,MOD(SMALL($AN113:$BK113,21),100))&amp;IF(SMALL($AN113:$BK113,21)&gt;100," *",""))</f>
        <v/>
      </c>
      <c r="AJ113">
        <f>IF(22&gt;$N113,"",INDEX(Engine!$B$20:$B$43,MOD(SMALL($AN113:$BK113,22),100))&amp;IF(SMALL($AN113:$BK113,22)&gt;100," *",""))</f>
        <v/>
      </c>
      <c r="AK113">
        <f>IF(23&gt;$N113,"",INDEX(Engine!$B$20:$B$43,MOD(SMALL($AN113:$BK113,23),100))&amp;IF(SMALL($AN113:$BK113,23)&gt;100," *",""))</f>
        <v/>
      </c>
      <c r="AL113">
        <f>IF(24&gt;$N113,"",INDEX(Engine!$B$20:$B$43,MOD(SMALL($AN113:$BK113,24),100))&amp;IF(SMALL($AN113:$BK113,24)&gt;100," *",""))</f>
        <v/>
      </c>
      <c r="AN113">
        <f>IF(AND($C20=1,INDEX(Setup!$O$6:$AL$23,10,1)&lt;&gt;"",M20=0),1+IF(INDEX(Setup!$O$6:$AL$23,10,1)="T",100,0),"")</f>
        <v/>
      </c>
      <c r="AO113">
        <f>IF(AND($C21=1,INDEX(Setup!$O$6:$AL$23,10,2)&lt;&gt;"",M21=0),2+IF(INDEX(Setup!$O$6:$AL$23,10,2)="T",100,0),"")</f>
        <v/>
      </c>
      <c r="AP113">
        <f>IF(AND($C22=1,INDEX(Setup!$O$6:$AL$23,10,3)&lt;&gt;"",M22=0),3+IF(INDEX(Setup!$O$6:$AL$23,10,3)="T",100,0),"")</f>
        <v/>
      </c>
      <c r="AQ113">
        <f>IF(AND($C23=1,INDEX(Setup!$O$6:$AL$23,10,4)&lt;&gt;"",M23=0),4+IF(INDEX(Setup!$O$6:$AL$23,10,4)="T",100,0),"")</f>
        <v/>
      </c>
      <c r="AR113">
        <f>IF(AND($C24=1,INDEX(Setup!$O$6:$AL$23,10,5)&lt;&gt;"",M24=0),5+IF(INDEX(Setup!$O$6:$AL$23,10,5)="T",100,0),"")</f>
        <v/>
      </c>
      <c r="AS113">
        <f>IF(AND($C25=1,INDEX(Setup!$O$6:$AL$23,10,6)&lt;&gt;"",M25=0),6+IF(INDEX(Setup!$O$6:$AL$23,10,6)="T",100,0),"")</f>
        <v/>
      </c>
      <c r="AT113">
        <f>IF(AND($C26=1,INDEX(Setup!$O$6:$AL$23,10,7)&lt;&gt;"",M26=0),7+IF(INDEX(Setup!$O$6:$AL$23,10,7)="T",100,0),"")</f>
        <v/>
      </c>
      <c r="AU113">
        <f>IF(AND($C27=1,INDEX(Setup!$O$6:$AL$23,10,8)&lt;&gt;"",M27=0),8+IF(INDEX(Setup!$O$6:$AL$23,10,8)="T",100,0),"")</f>
        <v/>
      </c>
      <c r="AV113">
        <f>IF(AND($C28=1,INDEX(Setup!$O$6:$AL$23,10,9)&lt;&gt;"",M28=0),9+IF(INDEX(Setup!$O$6:$AL$23,10,9)="T",100,0),"")</f>
        <v/>
      </c>
      <c r="AW113">
        <f>IF(AND($C29=1,INDEX(Setup!$O$6:$AL$23,10,10)&lt;&gt;"",M29=0),10+IF(INDEX(Setup!$O$6:$AL$23,10,10)="T",100,0),"")</f>
        <v/>
      </c>
      <c r="AX113">
        <f>IF(AND($C30=1,INDEX(Setup!$O$6:$AL$23,10,11)&lt;&gt;"",M30=0),11+IF(INDEX(Setup!$O$6:$AL$23,10,11)="T",100,0),"")</f>
        <v/>
      </c>
      <c r="AY113">
        <f>IF(AND($C31=1,INDEX(Setup!$O$6:$AL$23,10,12)&lt;&gt;"",M31=0),12+IF(INDEX(Setup!$O$6:$AL$23,10,12)="T",100,0),"")</f>
        <v/>
      </c>
      <c r="AZ113">
        <f>IF(AND($C32=1,INDEX(Setup!$O$6:$AL$23,10,13)&lt;&gt;"",M32=0),13+IF(INDEX(Setup!$O$6:$AL$23,10,13)="T",100,0),"")</f>
        <v/>
      </c>
      <c r="BA113">
        <f>IF(AND($C33=1,INDEX(Setup!$O$6:$AL$23,10,14)&lt;&gt;"",M33=0),14+IF(INDEX(Setup!$O$6:$AL$23,10,14)="T",100,0),"")</f>
        <v/>
      </c>
      <c r="BB113">
        <f>IF(AND($C34=1,INDEX(Setup!$O$6:$AL$23,10,15)&lt;&gt;"",M34=0),15+IF(INDEX(Setup!$O$6:$AL$23,10,15)="T",100,0),"")</f>
        <v/>
      </c>
      <c r="BC113">
        <f>IF(AND($C35=1,INDEX(Setup!$O$6:$AL$23,10,16)&lt;&gt;"",M35=0),16+IF(INDEX(Setup!$O$6:$AL$23,10,16)="T",100,0),"")</f>
        <v/>
      </c>
      <c r="BD113">
        <f>IF(AND($C36=1,INDEX(Setup!$O$6:$AL$23,10,17)&lt;&gt;"",M36=0),17+IF(INDEX(Setup!$O$6:$AL$23,10,17)="T",100,0),"")</f>
        <v/>
      </c>
      <c r="BE113">
        <f>IF(AND($C37=1,INDEX(Setup!$O$6:$AL$23,10,18)&lt;&gt;"",M37=0),18+IF(INDEX(Setup!$O$6:$AL$23,10,18)="T",100,0),"")</f>
        <v/>
      </c>
      <c r="BF113">
        <f>IF(AND($C38=1,INDEX(Setup!$O$6:$AL$23,10,19)&lt;&gt;"",M38=0),19+IF(INDEX(Setup!$O$6:$AL$23,10,19)="T",100,0),"")</f>
        <v/>
      </c>
      <c r="BG113">
        <f>IF(AND($C39=1,INDEX(Setup!$O$6:$AL$23,10,20)&lt;&gt;"",M39=0),20+IF(INDEX(Setup!$O$6:$AL$23,10,20)="T",100,0),"")</f>
        <v/>
      </c>
      <c r="BH113">
        <f>IF(AND($C40=1,INDEX(Setup!$O$6:$AL$23,10,21)&lt;&gt;"",M40=0),21+IF(INDEX(Setup!$O$6:$AL$23,10,21)="T",100,0),"")</f>
        <v/>
      </c>
      <c r="BI113">
        <f>IF(AND($C41=1,INDEX(Setup!$O$6:$AL$23,10,22)&lt;&gt;"",M41=0),22+IF(INDEX(Setup!$O$6:$AL$23,10,22)="T",100,0),"")</f>
        <v/>
      </c>
      <c r="BJ113">
        <f>IF(AND($C42=1,INDEX(Setup!$O$6:$AL$23,10,23)&lt;&gt;"",M42=0),23+IF(INDEX(Setup!$O$6:$AL$23,10,23)="T",100,0),"")</f>
        <v/>
      </c>
      <c r="BK113">
        <f>IF(AND($C43=1,INDEX(Setup!$O$6:$AL$23,10,24)&lt;&gt;"",M43=0),24+IF(INDEX(Setup!$O$6:$AL$23,10,24)="T",100,0),"")</f>
        <v/>
      </c>
      <c r="BM113">
        <f>IF(AND(AN113&lt;&gt;"",COUNTIF($K$56:$M$56,$B20)+COUNTIF($K$56:$M$56,$B20&amp;" ~*")=0),($R20+COUNTIF($H$104:$H112,$B20)+COUNTIF($H$104:$H112,$B20&amp;" ~*"))*1000+IF(AN113&gt;100,500,0)+1,"")</f>
        <v/>
      </c>
      <c r="BN113">
        <f>IF(AND(AO113&lt;&gt;"",COUNTIF($K$56:$M$56,$B21)+COUNTIF($K$56:$M$56,$B21&amp;" ~*")=0),($R21+COUNTIF($H$104:$H112,$B21)+COUNTIF($H$104:$H112,$B21&amp;" ~*"))*1000+IF(AO113&gt;100,500,0)+2,"")</f>
        <v/>
      </c>
      <c r="BO113">
        <f>IF(AND(AP113&lt;&gt;"",COUNTIF($K$56:$M$56,$B22)+COUNTIF($K$56:$M$56,$B22&amp;" ~*")=0),($R22+COUNTIF($H$104:$H112,$B22)+COUNTIF($H$104:$H112,$B22&amp;" ~*"))*1000+IF(AP113&gt;100,500,0)+3,"")</f>
        <v/>
      </c>
      <c r="BP113">
        <f>IF(AND(AQ113&lt;&gt;"",COUNTIF($K$56:$M$56,$B23)+COUNTIF($K$56:$M$56,$B23&amp;" ~*")=0),($R23+COUNTIF($H$104:$H112,$B23)+COUNTIF($H$104:$H112,$B23&amp;" ~*"))*1000+IF(AQ113&gt;100,500,0)+4,"")</f>
        <v/>
      </c>
      <c r="BQ113">
        <f>IF(AND(AR113&lt;&gt;"",COUNTIF($K$56:$M$56,$B24)+COUNTIF($K$56:$M$56,$B24&amp;" ~*")=0),($R24+COUNTIF($H$104:$H112,$B24)+COUNTIF($H$104:$H112,$B24&amp;" ~*"))*1000+IF(AR113&gt;100,500,0)+5,"")</f>
        <v/>
      </c>
      <c r="BR113">
        <f>IF(AND(AS113&lt;&gt;"",COUNTIF($K$56:$M$56,$B25)+COUNTIF($K$56:$M$56,$B25&amp;" ~*")=0),($R25+COUNTIF($H$104:$H112,$B25)+COUNTIF($H$104:$H112,$B25&amp;" ~*"))*1000+IF(AS113&gt;100,500,0)+6,"")</f>
        <v/>
      </c>
      <c r="BS113">
        <f>IF(AND(AT113&lt;&gt;"",COUNTIF($K$56:$M$56,$B26)+COUNTIF($K$56:$M$56,$B26&amp;" ~*")=0),($R26+COUNTIF($H$104:$H112,$B26)+COUNTIF($H$104:$H112,$B26&amp;" ~*"))*1000+IF(AT113&gt;100,500,0)+7,"")</f>
        <v/>
      </c>
      <c r="BT113">
        <f>IF(AND(AU113&lt;&gt;"",COUNTIF($K$56:$M$56,$B27)+COUNTIF($K$56:$M$56,$B27&amp;" ~*")=0),($R27+COUNTIF($H$104:$H112,$B27)+COUNTIF($H$104:$H112,$B27&amp;" ~*"))*1000+IF(AU113&gt;100,500,0)+8,"")</f>
        <v/>
      </c>
      <c r="BU113">
        <f>IF(AND(AV113&lt;&gt;"",COUNTIF($K$56:$M$56,$B28)+COUNTIF($K$56:$M$56,$B28&amp;" ~*")=0),($R28+COUNTIF($H$104:$H112,$B28)+COUNTIF($H$104:$H112,$B28&amp;" ~*"))*1000+IF(AV113&gt;100,500,0)+9,"")</f>
        <v/>
      </c>
      <c r="BV113">
        <f>IF(AND(AW113&lt;&gt;"",COUNTIF($K$56:$M$56,$B29)+COUNTIF($K$56:$M$56,$B29&amp;" ~*")=0),($R29+COUNTIF($H$104:$H112,$B29)+COUNTIF($H$104:$H112,$B29&amp;" ~*"))*1000+IF(AW113&gt;100,500,0)+10,"")</f>
        <v/>
      </c>
      <c r="BW113">
        <f>IF(AND(AX113&lt;&gt;"",COUNTIF($K$56:$M$56,$B30)+COUNTIF($K$56:$M$56,$B30&amp;" ~*")=0),($R30+COUNTIF($H$104:$H112,$B30)+COUNTIF($H$104:$H112,$B30&amp;" ~*"))*1000+IF(AX113&gt;100,500,0)+11,"")</f>
        <v/>
      </c>
      <c r="BX113">
        <f>IF(AND(AY113&lt;&gt;"",COUNTIF($K$56:$M$56,$B31)+COUNTIF($K$56:$M$56,$B31&amp;" ~*")=0),($R31+COUNTIF($H$104:$H112,$B31)+COUNTIF($H$104:$H112,$B31&amp;" ~*"))*1000+IF(AY113&gt;100,500,0)+12,"")</f>
        <v/>
      </c>
      <c r="BY113">
        <f>IF(AND(AZ113&lt;&gt;"",COUNTIF($K$56:$M$56,$B32)+COUNTIF($K$56:$M$56,$B32&amp;" ~*")=0),($R32+COUNTIF($H$104:$H112,$B32)+COUNTIF($H$104:$H112,$B32&amp;" ~*"))*1000+IF(AZ113&gt;100,500,0)+13,"")</f>
        <v/>
      </c>
      <c r="BZ113">
        <f>IF(AND(BA113&lt;&gt;"",COUNTIF($K$56:$M$56,$B33)+COUNTIF($K$56:$M$56,$B33&amp;" ~*")=0),($R33+COUNTIF($H$104:$H112,$B33)+COUNTIF($H$104:$H112,$B33&amp;" ~*"))*1000+IF(BA113&gt;100,500,0)+14,"")</f>
        <v/>
      </c>
      <c r="CA113">
        <f>IF(AND(BB113&lt;&gt;"",COUNTIF($K$56:$M$56,$B34)+COUNTIF($K$56:$M$56,$B34&amp;" ~*")=0),($R34+COUNTIF($H$104:$H112,$B34)+COUNTIF($H$104:$H112,$B34&amp;" ~*"))*1000+IF(BB113&gt;100,500,0)+15,"")</f>
        <v/>
      </c>
      <c r="CB113">
        <f>IF(AND(BC113&lt;&gt;"",COUNTIF($K$56:$M$56,$B35)+COUNTIF($K$56:$M$56,$B35&amp;" ~*")=0),($R35+COUNTIF($H$104:$H112,$B35)+COUNTIF($H$104:$H112,$B35&amp;" ~*"))*1000+IF(BC113&gt;100,500,0)+16,"")</f>
        <v/>
      </c>
      <c r="CC113">
        <f>IF(AND(BD113&lt;&gt;"",COUNTIF($K$56:$M$56,$B36)+COUNTIF($K$56:$M$56,$B36&amp;" ~*")=0),($R36+COUNTIF($H$104:$H112,$B36)+COUNTIF($H$104:$H112,$B36&amp;" ~*"))*1000+IF(BD113&gt;100,500,0)+17,"")</f>
        <v/>
      </c>
      <c r="CD113">
        <f>IF(AND(BE113&lt;&gt;"",COUNTIF($K$56:$M$56,$B37)+COUNTIF($K$56:$M$56,$B37&amp;" ~*")=0),($R37+COUNTIF($H$104:$H112,$B37)+COUNTIF($H$104:$H112,$B37&amp;" ~*"))*1000+IF(BE113&gt;100,500,0)+18,"")</f>
        <v/>
      </c>
      <c r="CE113">
        <f>IF(AND(BF113&lt;&gt;"",COUNTIF($K$56:$M$56,$B38)+COUNTIF($K$56:$M$56,$B38&amp;" ~*")=0),($R38+COUNTIF($H$104:$H112,$B38)+COUNTIF($H$104:$H112,$B38&amp;" ~*"))*1000+IF(BF113&gt;100,500,0)+19,"")</f>
        <v/>
      </c>
      <c r="CF113">
        <f>IF(AND(BG113&lt;&gt;"",COUNTIF($K$56:$M$56,$B39)+COUNTIF($K$56:$M$56,$B39&amp;" ~*")=0),($R39+COUNTIF($H$104:$H112,$B39)+COUNTIF($H$104:$H112,$B39&amp;" ~*"))*1000+IF(BG113&gt;100,500,0)+20,"")</f>
        <v/>
      </c>
      <c r="CG113">
        <f>IF(AND(BH113&lt;&gt;"",COUNTIF($K$56:$M$56,$B40)+COUNTIF($K$56:$M$56,$B40&amp;" ~*")=0),($R40+COUNTIF($H$104:$H112,$B40)+COUNTIF($H$104:$H112,$B40&amp;" ~*"))*1000+IF(BH113&gt;100,500,0)+21,"")</f>
        <v/>
      </c>
      <c r="CH113">
        <f>IF(AND(BI113&lt;&gt;"",COUNTIF($K$56:$M$56,$B41)+COUNTIF($K$56:$M$56,$B41&amp;" ~*")=0),($R41+COUNTIF($H$104:$H112,$B41)+COUNTIF($H$104:$H112,$B41&amp;" ~*"))*1000+IF(BI113&gt;100,500,0)+22,"")</f>
        <v/>
      </c>
      <c r="CI113">
        <f>IF(AND(BJ113&lt;&gt;"",COUNTIF($K$56:$M$56,$B42)+COUNTIF($K$56:$M$56,$B42&amp;" ~*")=0),($R42+COUNTIF($H$104:$H112,$B42)+COUNTIF($H$104:$H112,$B42&amp;" ~*"))*1000+IF(BJ113&gt;100,500,0)+23,"")</f>
        <v/>
      </c>
      <c r="CJ113">
        <f>IF(AND(BK113&lt;&gt;"",COUNTIF($K$56:$M$56,$B43)+COUNTIF($K$56:$M$56,$B43&amp;" ~*")=0),($R43+COUNTIF($H$104:$H112,$B43)+COUNTIF($H$104:$H112,$B43&amp;" ~*"))*1000+IF(BK113&gt;100,500,0)+24,"")</f>
        <v/>
      </c>
    </row>
    <row r="114">
      <c r="A114" t="n">
        <v>3</v>
      </c>
      <c r="B114" t="n">
        <v>11</v>
      </c>
      <c r="C114">
        <f>$B$57</f>
        <v/>
      </c>
      <c r="D114" t="inlineStr">
        <is>
          <t>Wed</t>
        </is>
      </c>
      <c r="E114">
        <f>IF(C114="","",N($AB$57))</f>
        <v/>
      </c>
      <c r="F114">
        <f>IF(C114="","",COUNTIF($K$57:$M$57,"?*"))</f>
        <v/>
      </c>
      <c r="G114">
        <f>IF(C114="","",MAX(0,E114-F114))</f>
        <v/>
      </c>
      <c r="H114">
        <f>IF(N(G114)=0,"",IF(COUNT(BM114:CJ114)=0,"no-one eligible",INDEX(Engine!$B$20:$B$43,MOD(MIN(BM114:CJ114),500))&amp;IF(MOD(MIN(BM114:CJ114),1000)&gt;=500," *","")))</f>
        <v/>
      </c>
      <c r="I114">
        <f>IF(N(G114)&gt;0,COUNTIF($G$68:G114,"&gt;0"),"")</f>
        <v/>
      </c>
      <c r="J114">
        <f>IF(C114="","",IF($K$57="",0,IF(IFERROR(INDEX(Setup!$O$6:$AL$23,11,MATCH(SUBSTITUTE($K$57," *",""),Setup!$B$6:$B$29,0)),"")="",1,0))+IF($L$57="",0,IF(IFERROR(INDEX(Setup!$O$6:$AL$23,11,MATCH(SUBSTITUTE($L$57," *",""),Setup!$B$6:$B$29,0)),"")="",1,0))+IF($M$57="",0,IF(IFERROR(INDEX(Setup!$O$6:$AL$23,11,MATCH(SUBSTITUTE($M$57," *",""),Setup!$B$6:$B$29,0)),"")="",1,0)))</f>
        <v/>
      </c>
      <c r="K114">
        <f>IF($B$12+2=TODAY(),1,0)</f>
        <v/>
      </c>
      <c r="N114">
        <f>COUNT($AN114:$BK114)</f>
        <v/>
      </c>
      <c r="O114">
        <f>IF(1&gt;$N114,"",INDEX(Engine!$B$20:$B$43,MOD(SMALL($AN114:$BK114,1),100))&amp;IF(SMALL($AN114:$BK114,1)&gt;100," *",""))</f>
        <v/>
      </c>
      <c r="P114">
        <f>IF(2&gt;$N114,"",INDEX(Engine!$B$20:$B$43,MOD(SMALL($AN114:$BK114,2),100))&amp;IF(SMALL($AN114:$BK114,2)&gt;100," *",""))</f>
        <v/>
      </c>
      <c r="Q114">
        <f>IF(3&gt;$N114,"",INDEX(Engine!$B$20:$B$43,MOD(SMALL($AN114:$BK114,3),100))&amp;IF(SMALL($AN114:$BK114,3)&gt;100," *",""))</f>
        <v/>
      </c>
      <c r="R114">
        <f>IF(4&gt;$N114,"",INDEX(Engine!$B$20:$B$43,MOD(SMALL($AN114:$BK114,4),100))&amp;IF(SMALL($AN114:$BK114,4)&gt;100," *",""))</f>
        <v/>
      </c>
      <c r="S114">
        <f>IF(5&gt;$N114,"",INDEX(Engine!$B$20:$B$43,MOD(SMALL($AN114:$BK114,5),100))&amp;IF(SMALL($AN114:$BK114,5)&gt;100," *",""))</f>
        <v/>
      </c>
      <c r="T114">
        <f>IF(6&gt;$N114,"",INDEX(Engine!$B$20:$B$43,MOD(SMALL($AN114:$BK114,6),100))&amp;IF(SMALL($AN114:$BK114,6)&gt;100," *",""))</f>
        <v/>
      </c>
      <c r="U114">
        <f>IF(7&gt;$N114,"",INDEX(Engine!$B$20:$B$43,MOD(SMALL($AN114:$BK114,7),100))&amp;IF(SMALL($AN114:$BK114,7)&gt;100," *",""))</f>
        <v/>
      </c>
      <c r="V114">
        <f>IF(8&gt;$N114,"",INDEX(Engine!$B$20:$B$43,MOD(SMALL($AN114:$BK114,8),100))&amp;IF(SMALL($AN114:$BK114,8)&gt;100," *",""))</f>
        <v/>
      </c>
      <c r="W114">
        <f>IF(9&gt;$N114,"",INDEX(Engine!$B$20:$B$43,MOD(SMALL($AN114:$BK114,9),100))&amp;IF(SMALL($AN114:$BK114,9)&gt;100," *",""))</f>
        <v/>
      </c>
      <c r="X114">
        <f>IF(10&gt;$N114,"",INDEX(Engine!$B$20:$B$43,MOD(SMALL($AN114:$BK114,10),100))&amp;IF(SMALL($AN114:$BK114,10)&gt;100," *",""))</f>
        <v/>
      </c>
      <c r="Y114">
        <f>IF(11&gt;$N114,"",INDEX(Engine!$B$20:$B$43,MOD(SMALL($AN114:$BK114,11),100))&amp;IF(SMALL($AN114:$BK114,11)&gt;100," *",""))</f>
        <v/>
      </c>
      <c r="Z114">
        <f>IF(12&gt;$N114,"",INDEX(Engine!$B$20:$B$43,MOD(SMALL($AN114:$BK114,12),100))&amp;IF(SMALL($AN114:$BK114,12)&gt;100," *",""))</f>
        <v/>
      </c>
      <c r="AA114">
        <f>IF(13&gt;$N114,"",INDEX(Engine!$B$20:$B$43,MOD(SMALL($AN114:$BK114,13),100))&amp;IF(SMALL($AN114:$BK114,13)&gt;100," *",""))</f>
        <v/>
      </c>
      <c r="AB114">
        <f>IF(14&gt;$N114,"",INDEX(Engine!$B$20:$B$43,MOD(SMALL($AN114:$BK114,14),100))&amp;IF(SMALL($AN114:$BK114,14)&gt;100," *",""))</f>
        <v/>
      </c>
      <c r="AC114">
        <f>IF(15&gt;$N114,"",INDEX(Engine!$B$20:$B$43,MOD(SMALL($AN114:$BK114,15),100))&amp;IF(SMALL($AN114:$BK114,15)&gt;100," *",""))</f>
        <v/>
      </c>
      <c r="AD114">
        <f>IF(16&gt;$N114,"",INDEX(Engine!$B$20:$B$43,MOD(SMALL($AN114:$BK114,16),100))&amp;IF(SMALL($AN114:$BK114,16)&gt;100," *",""))</f>
        <v/>
      </c>
      <c r="AE114">
        <f>IF(17&gt;$N114,"",INDEX(Engine!$B$20:$B$43,MOD(SMALL($AN114:$BK114,17),100))&amp;IF(SMALL($AN114:$BK114,17)&gt;100," *",""))</f>
        <v/>
      </c>
      <c r="AF114">
        <f>IF(18&gt;$N114,"",INDEX(Engine!$B$20:$B$43,MOD(SMALL($AN114:$BK114,18),100))&amp;IF(SMALL($AN114:$BK114,18)&gt;100," *",""))</f>
        <v/>
      </c>
      <c r="AG114">
        <f>IF(19&gt;$N114,"",INDEX(Engine!$B$20:$B$43,MOD(SMALL($AN114:$BK114,19),100))&amp;IF(SMALL($AN114:$BK114,19)&gt;100," *",""))</f>
        <v/>
      </c>
      <c r="AH114">
        <f>IF(20&gt;$N114,"",INDEX(Engine!$B$20:$B$43,MOD(SMALL($AN114:$BK114,20),100))&amp;IF(SMALL($AN114:$BK114,20)&gt;100," *",""))</f>
        <v/>
      </c>
      <c r="AI114">
        <f>IF(21&gt;$N114,"",INDEX(Engine!$B$20:$B$43,MOD(SMALL($AN114:$BK114,21),100))&amp;IF(SMALL($AN114:$BK114,21)&gt;100," *",""))</f>
        <v/>
      </c>
      <c r="AJ114">
        <f>IF(22&gt;$N114,"",INDEX(Engine!$B$20:$B$43,MOD(SMALL($AN114:$BK114,22),100))&amp;IF(SMALL($AN114:$BK114,22)&gt;100," *",""))</f>
        <v/>
      </c>
      <c r="AK114">
        <f>IF(23&gt;$N114,"",INDEX(Engine!$B$20:$B$43,MOD(SMALL($AN114:$BK114,23),100))&amp;IF(SMALL($AN114:$BK114,23)&gt;100," *",""))</f>
        <v/>
      </c>
      <c r="AL114">
        <f>IF(24&gt;$N114,"",INDEX(Engine!$B$20:$B$43,MOD(SMALL($AN114:$BK114,24),100))&amp;IF(SMALL($AN114:$BK114,24)&gt;100," *",""))</f>
        <v/>
      </c>
      <c r="AN114">
        <f>IF(AND($C20=1,INDEX(Setup!$O$6:$AL$23,11,1)&lt;&gt;"",M20=0),1+IF(INDEX(Setup!$O$6:$AL$23,11,1)="T",100,0),"")</f>
        <v/>
      </c>
      <c r="AO114">
        <f>IF(AND($C21=1,INDEX(Setup!$O$6:$AL$23,11,2)&lt;&gt;"",M21=0),2+IF(INDEX(Setup!$O$6:$AL$23,11,2)="T",100,0),"")</f>
        <v/>
      </c>
      <c r="AP114">
        <f>IF(AND($C22=1,INDEX(Setup!$O$6:$AL$23,11,3)&lt;&gt;"",M22=0),3+IF(INDEX(Setup!$O$6:$AL$23,11,3)="T",100,0),"")</f>
        <v/>
      </c>
      <c r="AQ114">
        <f>IF(AND($C23=1,INDEX(Setup!$O$6:$AL$23,11,4)&lt;&gt;"",M23=0),4+IF(INDEX(Setup!$O$6:$AL$23,11,4)="T",100,0),"")</f>
        <v/>
      </c>
      <c r="AR114">
        <f>IF(AND($C24=1,INDEX(Setup!$O$6:$AL$23,11,5)&lt;&gt;"",M24=0),5+IF(INDEX(Setup!$O$6:$AL$23,11,5)="T",100,0),"")</f>
        <v/>
      </c>
      <c r="AS114">
        <f>IF(AND($C25=1,INDEX(Setup!$O$6:$AL$23,11,6)&lt;&gt;"",M25=0),6+IF(INDEX(Setup!$O$6:$AL$23,11,6)="T",100,0),"")</f>
        <v/>
      </c>
      <c r="AT114">
        <f>IF(AND($C26=1,INDEX(Setup!$O$6:$AL$23,11,7)&lt;&gt;"",M26=0),7+IF(INDEX(Setup!$O$6:$AL$23,11,7)="T",100,0),"")</f>
        <v/>
      </c>
      <c r="AU114">
        <f>IF(AND($C27=1,INDEX(Setup!$O$6:$AL$23,11,8)&lt;&gt;"",M27=0),8+IF(INDEX(Setup!$O$6:$AL$23,11,8)="T",100,0),"")</f>
        <v/>
      </c>
      <c r="AV114">
        <f>IF(AND($C28=1,INDEX(Setup!$O$6:$AL$23,11,9)&lt;&gt;"",M28=0),9+IF(INDEX(Setup!$O$6:$AL$23,11,9)="T",100,0),"")</f>
        <v/>
      </c>
      <c r="AW114">
        <f>IF(AND($C29=1,INDEX(Setup!$O$6:$AL$23,11,10)&lt;&gt;"",M29=0),10+IF(INDEX(Setup!$O$6:$AL$23,11,10)="T",100,0),"")</f>
        <v/>
      </c>
      <c r="AX114">
        <f>IF(AND($C30=1,INDEX(Setup!$O$6:$AL$23,11,11)&lt;&gt;"",M30=0),11+IF(INDEX(Setup!$O$6:$AL$23,11,11)="T",100,0),"")</f>
        <v/>
      </c>
      <c r="AY114">
        <f>IF(AND($C31=1,INDEX(Setup!$O$6:$AL$23,11,12)&lt;&gt;"",M31=0),12+IF(INDEX(Setup!$O$6:$AL$23,11,12)="T",100,0),"")</f>
        <v/>
      </c>
      <c r="AZ114">
        <f>IF(AND($C32=1,INDEX(Setup!$O$6:$AL$23,11,13)&lt;&gt;"",M32=0),13+IF(INDEX(Setup!$O$6:$AL$23,11,13)="T",100,0),"")</f>
        <v/>
      </c>
      <c r="BA114">
        <f>IF(AND($C33=1,INDEX(Setup!$O$6:$AL$23,11,14)&lt;&gt;"",M33=0),14+IF(INDEX(Setup!$O$6:$AL$23,11,14)="T",100,0),"")</f>
        <v/>
      </c>
      <c r="BB114">
        <f>IF(AND($C34=1,INDEX(Setup!$O$6:$AL$23,11,15)&lt;&gt;"",M34=0),15+IF(INDEX(Setup!$O$6:$AL$23,11,15)="T",100,0),"")</f>
        <v/>
      </c>
      <c r="BC114">
        <f>IF(AND($C35=1,INDEX(Setup!$O$6:$AL$23,11,16)&lt;&gt;"",M35=0),16+IF(INDEX(Setup!$O$6:$AL$23,11,16)="T",100,0),"")</f>
        <v/>
      </c>
      <c r="BD114">
        <f>IF(AND($C36=1,INDEX(Setup!$O$6:$AL$23,11,17)&lt;&gt;"",M36=0),17+IF(INDEX(Setup!$O$6:$AL$23,11,17)="T",100,0),"")</f>
        <v/>
      </c>
      <c r="BE114">
        <f>IF(AND($C37=1,INDEX(Setup!$O$6:$AL$23,11,18)&lt;&gt;"",M37=0),18+IF(INDEX(Setup!$O$6:$AL$23,11,18)="T",100,0),"")</f>
        <v/>
      </c>
      <c r="BF114">
        <f>IF(AND($C38=1,INDEX(Setup!$O$6:$AL$23,11,19)&lt;&gt;"",M38=0),19+IF(INDEX(Setup!$O$6:$AL$23,11,19)="T",100,0),"")</f>
        <v/>
      </c>
      <c r="BG114">
        <f>IF(AND($C39=1,INDEX(Setup!$O$6:$AL$23,11,20)&lt;&gt;"",M39=0),20+IF(INDEX(Setup!$O$6:$AL$23,11,20)="T",100,0),"")</f>
        <v/>
      </c>
      <c r="BH114">
        <f>IF(AND($C40=1,INDEX(Setup!$O$6:$AL$23,11,21)&lt;&gt;"",M40=0),21+IF(INDEX(Setup!$O$6:$AL$23,11,21)="T",100,0),"")</f>
        <v/>
      </c>
      <c r="BI114">
        <f>IF(AND($C41=1,INDEX(Setup!$O$6:$AL$23,11,22)&lt;&gt;"",M41=0),22+IF(INDEX(Setup!$O$6:$AL$23,11,22)="T",100,0),"")</f>
        <v/>
      </c>
      <c r="BJ114">
        <f>IF(AND($C42=1,INDEX(Setup!$O$6:$AL$23,11,23)&lt;&gt;"",M42=0),23+IF(INDEX(Setup!$O$6:$AL$23,11,23)="T",100,0),"")</f>
        <v/>
      </c>
      <c r="BK114">
        <f>IF(AND($C43=1,INDEX(Setup!$O$6:$AL$23,11,24)&lt;&gt;"",M43=0),24+IF(INDEX(Setup!$O$6:$AL$23,11,24)="T",100,0),"")</f>
        <v/>
      </c>
      <c r="BM114">
        <f>IF(AND(AN114&lt;&gt;"",COUNTIF($K$57:$M$57,$B20)+COUNTIF($K$57:$M$57,$B20&amp;" ~*")=0),($R20+COUNTIF($H$104:$H113,$B20)+COUNTIF($H$104:$H113,$B20&amp;" ~*"))*1000+IF(AN114&gt;100,500,0)+1,"")</f>
        <v/>
      </c>
      <c r="BN114">
        <f>IF(AND(AO114&lt;&gt;"",COUNTIF($K$57:$M$57,$B21)+COUNTIF($K$57:$M$57,$B21&amp;" ~*")=0),($R21+COUNTIF($H$104:$H113,$B21)+COUNTIF($H$104:$H113,$B21&amp;" ~*"))*1000+IF(AO114&gt;100,500,0)+2,"")</f>
        <v/>
      </c>
      <c r="BO114">
        <f>IF(AND(AP114&lt;&gt;"",COUNTIF($K$57:$M$57,$B22)+COUNTIF($K$57:$M$57,$B22&amp;" ~*")=0),($R22+COUNTIF($H$104:$H113,$B22)+COUNTIF($H$104:$H113,$B22&amp;" ~*"))*1000+IF(AP114&gt;100,500,0)+3,"")</f>
        <v/>
      </c>
      <c r="BP114">
        <f>IF(AND(AQ114&lt;&gt;"",COUNTIF($K$57:$M$57,$B23)+COUNTIF($K$57:$M$57,$B23&amp;" ~*")=0),($R23+COUNTIF($H$104:$H113,$B23)+COUNTIF($H$104:$H113,$B23&amp;" ~*"))*1000+IF(AQ114&gt;100,500,0)+4,"")</f>
        <v/>
      </c>
      <c r="BQ114">
        <f>IF(AND(AR114&lt;&gt;"",COUNTIF($K$57:$M$57,$B24)+COUNTIF($K$57:$M$57,$B24&amp;" ~*")=0),($R24+COUNTIF($H$104:$H113,$B24)+COUNTIF($H$104:$H113,$B24&amp;" ~*"))*1000+IF(AR114&gt;100,500,0)+5,"")</f>
        <v/>
      </c>
      <c r="BR114">
        <f>IF(AND(AS114&lt;&gt;"",COUNTIF($K$57:$M$57,$B25)+COUNTIF($K$57:$M$57,$B25&amp;" ~*")=0),($R25+COUNTIF($H$104:$H113,$B25)+COUNTIF($H$104:$H113,$B25&amp;" ~*"))*1000+IF(AS114&gt;100,500,0)+6,"")</f>
        <v/>
      </c>
      <c r="BS114">
        <f>IF(AND(AT114&lt;&gt;"",COUNTIF($K$57:$M$57,$B26)+COUNTIF($K$57:$M$57,$B26&amp;" ~*")=0),($R26+COUNTIF($H$104:$H113,$B26)+COUNTIF($H$104:$H113,$B26&amp;" ~*"))*1000+IF(AT114&gt;100,500,0)+7,"")</f>
        <v/>
      </c>
      <c r="BT114">
        <f>IF(AND(AU114&lt;&gt;"",COUNTIF($K$57:$M$57,$B27)+COUNTIF($K$57:$M$57,$B27&amp;" ~*")=0),($R27+COUNTIF($H$104:$H113,$B27)+COUNTIF($H$104:$H113,$B27&amp;" ~*"))*1000+IF(AU114&gt;100,500,0)+8,"")</f>
        <v/>
      </c>
      <c r="BU114">
        <f>IF(AND(AV114&lt;&gt;"",COUNTIF($K$57:$M$57,$B28)+COUNTIF($K$57:$M$57,$B28&amp;" ~*")=0),($R28+COUNTIF($H$104:$H113,$B28)+COUNTIF($H$104:$H113,$B28&amp;" ~*"))*1000+IF(AV114&gt;100,500,0)+9,"")</f>
        <v/>
      </c>
      <c r="BV114">
        <f>IF(AND(AW114&lt;&gt;"",COUNTIF($K$57:$M$57,$B29)+COUNTIF($K$57:$M$57,$B29&amp;" ~*")=0),($R29+COUNTIF($H$104:$H113,$B29)+COUNTIF($H$104:$H113,$B29&amp;" ~*"))*1000+IF(AW114&gt;100,500,0)+10,"")</f>
        <v/>
      </c>
      <c r="BW114">
        <f>IF(AND(AX114&lt;&gt;"",COUNTIF($K$57:$M$57,$B30)+COUNTIF($K$57:$M$57,$B30&amp;" ~*")=0),($R30+COUNTIF($H$104:$H113,$B30)+COUNTIF($H$104:$H113,$B30&amp;" ~*"))*1000+IF(AX114&gt;100,500,0)+11,"")</f>
        <v/>
      </c>
      <c r="BX114">
        <f>IF(AND(AY114&lt;&gt;"",COUNTIF($K$57:$M$57,$B31)+COUNTIF($K$57:$M$57,$B31&amp;" ~*")=0),($R31+COUNTIF($H$104:$H113,$B31)+COUNTIF($H$104:$H113,$B31&amp;" ~*"))*1000+IF(AY114&gt;100,500,0)+12,"")</f>
        <v/>
      </c>
      <c r="BY114">
        <f>IF(AND(AZ114&lt;&gt;"",COUNTIF($K$57:$M$57,$B32)+COUNTIF($K$57:$M$57,$B32&amp;" ~*")=0),($R32+COUNTIF($H$104:$H113,$B32)+COUNTIF($H$104:$H113,$B32&amp;" ~*"))*1000+IF(AZ114&gt;100,500,0)+13,"")</f>
        <v/>
      </c>
      <c r="BZ114">
        <f>IF(AND(BA114&lt;&gt;"",COUNTIF($K$57:$M$57,$B33)+COUNTIF($K$57:$M$57,$B33&amp;" ~*")=0),($R33+COUNTIF($H$104:$H113,$B33)+COUNTIF($H$104:$H113,$B33&amp;" ~*"))*1000+IF(BA114&gt;100,500,0)+14,"")</f>
        <v/>
      </c>
      <c r="CA114">
        <f>IF(AND(BB114&lt;&gt;"",COUNTIF($K$57:$M$57,$B34)+COUNTIF($K$57:$M$57,$B34&amp;" ~*")=0),($R34+COUNTIF($H$104:$H113,$B34)+COUNTIF($H$104:$H113,$B34&amp;" ~*"))*1000+IF(BB114&gt;100,500,0)+15,"")</f>
        <v/>
      </c>
      <c r="CB114">
        <f>IF(AND(BC114&lt;&gt;"",COUNTIF($K$57:$M$57,$B35)+COUNTIF($K$57:$M$57,$B35&amp;" ~*")=0),($R35+COUNTIF($H$104:$H113,$B35)+COUNTIF($H$104:$H113,$B35&amp;" ~*"))*1000+IF(BC114&gt;100,500,0)+16,"")</f>
        <v/>
      </c>
      <c r="CC114">
        <f>IF(AND(BD114&lt;&gt;"",COUNTIF($K$57:$M$57,$B36)+COUNTIF($K$57:$M$57,$B36&amp;" ~*")=0),($R36+COUNTIF($H$104:$H113,$B36)+COUNTIF($H$104:$H113,$B36&amp;" ~*"))*1000+IF(BD114&gt;100,500,0)+17,"")</f>
        <v/>
      </c>
      <c r="CD114">
        <f>IF(AND(BE114&lt;&gt;"",COUNTIF($K$57:$M$57,$B37)+COUNTIF($K$57:$M$57,$B37&amp;" ~*")=0),($R37+COUNTIF($H$104:$H113,$B37)+COUNTIF($H$104:$H113,$B37&amp;" ~*"))*1000+IF(BE114&gt;100,500,0)+18,"")</f>
        <v/>
      </c>
      <c r="CE114">
        <f>IF(AND(BF114&lt;&gt;"",COUNTIF($K$57:$M$57,$B38)+COUNTIF($K$57:$M$57,$B38&amp;" ~*")=0),($R38+COUNTIF($H$104:$H113,$B38)+COUNTIF($H$104:$H113,$B38&amp;" ~*"))*1000+IF(BF114&gt;100,500,0)+19,"")</f>
        <v/>
      </c>
      <c r="CF114">
        <f>IF(AND(BG114&lt;&gt;"",COUNTIF($K$57:$M$57,$B39)+COUNTIF($K$57:$M$57,$B39&amp;" ~*")=0),($R39+COUNTIF($H$104:$H113,$B39)+COUNTIF($H$104:$H113,$B39&amp;" ~*"))*1000+IF(BG114&gt;100,500,0)+20,"")</f>
        <v/>
      </c>
      <c r="CG114">
        <f>IF(AND(BH114&lt;&gt;"",COUNTIF($K$57:$M$57,$B40)+COUNTIF($K$57:$M$57,$B40&amp;" ~*")=0),($R40+COUNTIF($H$104:$H113,$B40)+COUNTIF($H$104:$H113,$B40&amp;" ~*"))*1000+IF(BH114&gt;100,500,0)+21,"")</f>
        <v/>
      </c>
      <c r="CH114">
        <f>IF(AND(BI114&lt;&gt;"",COUNTIF($K$57:$M$57,$B41)+COUNTIF($K$57:$M$57,$B41&amp;" ~*")=0),($R41+COUNTIF($H$104:$H113,$B41)+COUNTIF($H$104:$H113,$B41&amp;" ~*"))*1000+IF(BI114&gt;100,500,0)+22,"")</f>
        <v/>
      </c>
      <c r="CI114">
        <f>IF(AND(BJ114&lt;&gt;"",COUNTIF($K$57:$M$57,$B42)+COUNTIF($K$57:$M$57,$B42&amp;" ~*")=0),($R42+COUNTIF($H$104:$H113,$B42)+COUNTIF($H$104:$H113,$B42&amp;" ~*"))*1000+IF(BJ114&gt;100,500,0)+23,"")</f>
        <v/>
      </c>
      <c r="CJ114">
        <f>IF(AND(BK114&lt;&gt;"",COUNTIF($K$57:$M$57,$B43)+COUNTIF($K$57:$M$57,$B43&amp;" ~*")=0),($R43+COUNTIF($H$104:$H113,$B43)+COUNTIF($H$104:$H113,$B43&amp;" ~*"))*1000+IF(BK114&gt;100,500,0)+24,"")</f>
        <v/>
      </c>
    </row>
    <row r="115">
      <c r="A115" t="n">
        <v>3</v>
      </c>
      <c r="B115" t="n">
        <v>12</v>
      </c>
      <c r="C115">
        <f>$B$58</f>
        <v/>
      </c>
      <c r="D115" t="inlineStr">
        <is>
          <t>Wed</t>
        </is>
      </c>
      <c r="E115">
        <f>IF(C115="","",N($AB$58))</f>
        <v/>
      </c>
      <c r="F115">
        <f>IF(C115="","",COUNTIF($K$58:$M$58,"?*"))</f>
        <v/>
      </c>
      <c r="G115">
        <f>IF(C115="","",MAX(0,E115-F115))</f>
        <v/>
      </c>
      <c r="H115">
        <f>IF(N(G115)=0,"",IF(COUNT(BM115:CJ115)=0,"no-one eligible",INDEX(Engine!$B$20:$B$43,MOD(MIN(BM115:CJ115),500))&amp;IF(MOD(MIN(BM115:CJ115),1000)&gt;=500," *","")))</f>
        <v/>
      </c>
      <c r="I115">
        <f>IF(N(G115)&gt;0,COUNTIF($G$68:G115,"&gt;0"),"")</f>
        <v/>
      </c>
      <c r="J115">
        <f>IF(C115="","",IF($K$58="",0,IF(IFERROR(INDEX(Setup!$O$6:$AL$23,12,MATCH(SUBSTITUTE($K$58," *",""),Setup!$B$6:$B$29,0)),"")="",1,0))+IF($L$58="",0,IF(IFERROR(INDEX(Setup!$O$6:$AL$23,12,MATCH(SUBSTITUTE($L$58," *",""),Setup!$B$6:$B$29,0)),"")="",1,0))+IF($M$58="",0,IF(IFERROR(INDEX(Setup!$O$6:$AL$23,12,MATCH(SUBSTITUTE($M$58," *",""),Setup!$B$6:$B$29,0)),"")="",1,0)))</f>
        <v/>
      </c>
      <c r="K115">
        <f>IF($B$12+2=TODAY(),1,0)</f>
        <v/>
      </c>
      <c r="N115">
        <f>COUNT($AN115:$BK115)</f>
        <v/>
      </c>
      <c r="O115">
        <f>IF(1&gt;$N115,"",INDEX(Engine!$B$20:$B$43,MOD(SMALL($AN115:$BK115,1),100))&amp;IF(SMALL($AN115:$BK115,1)&gt;100," *",""))</f>
        <v/>
      </c>
      <c r="P115">
        <f>IF(2&gt;$N115,"",INDEX(Engine!$B$20:$B$43,MOD(SMALL($AN115:$BK115,2),100))&amp;IF(SMALL($AN115:$BK115,2)&gt;100," *",""))</f>
        <v/>
      </c>
      <c r="Q115">
        <f>IF(3&gt;$N115,"",INDEX(Engine!$B$20:$B$43,MOD(SMALL($AN115:$BK115,3),100))&amp;IF(SMALL($AN115:$BK115,3)&gt;100," *",""))</f>
        <v/>
      </c>
      <c r="R115">
        <f>IF(4&gt;$N115,"",INDEX(Engine!$B$20:$B$43,MOD(SMALL($AN115:$BK115,4),100))&amp;IF(SMALL($AN115:$BK115,4)&gt;100," *",""))</f>
        <v/>
      </c>
      <c r="S115">
        <f>IF(5&gt;$N115,"",INDEX(Engine!$B$20:$B$43,MOD(SMALL($AN115:$BK115,5),100))&amp;IF(SMALL($AN115:$BK115,5)&gt;100," *",""))</f>
        <v/>
      </c>
      <c r="T115">
        <f>IF(6&gt;$N115,"",INDEX(Engine!$B$20:$B$43,MOD(SMALL($AN115:$BK115,6),100))&amp;IF(SMALL($AN115:$BK115,6)&gt;100," *",""))</f>
        <v/>
      </c>
      <c r="U115">
        <f>IF(7&gt;$N115,"",INDEX(Engine!$B$20:$B$43,MOD(SMALL($AN115:$BK115,7),100))&amp;IF(SMALL($AN115:$BK115,7)&gt;100," *",""))</f>
        <v/>
      </c>
      <c r="V115">
        <f>IF(8&gt;$N115,"",INDEX(Engine!$B$20:$B$43,MOD(SMALL($AN115:$BK115,8),100))&amp;IF(SMALL($AN115:$BK115,8)&gt;100," *",""))</f>
        <v/>
      </c>
      <c r="W115">
        <f>IF(9&gt;$N115,"",INDEX(Engine!$B$20:$B$43,MOD(SMALL($AN115:$BK115,9),100))&amp;IF(SMALL($AN115:$BK115,9)&gt;100," *",""))</f>
        <v/>
      </c>
      <c r="X115">
        <f>IF(10&gt;$N115,"",INDEX(Engine!$B$20:$B$43,MOD(SMALL($AN115:$BK115,10),100))&amp;IF(SMALL($AN115:$BK115,10)&gt;100," *",""))</f>
        <v/>
      </c>
      <c r="Y115">
        <f>IF(11&gt;$N115,"",INDEX(Engine!$B$20:$B$43,MOD(SMALL($AN115:$BK115,11),100))&amp;IF(SMALL($AN115:$BK115,11)&gt;100," *",""))</f>
        <v/>
      </c>
      <c r="Z115">
        <f>IF(12&gt;$N115,"",INDEX(Engine!$B$20:$B$43,MOD(SMALL($AN115:$BK115,12),100))&amp;IF(SMALL($AN115:$BK115,12)&gt;100," *",""))</f>
        <v/>
      </c>
      <c r="AA115">
        <f>IF(13&gt;$N115,"",INDEX(Engine!$B$20:$B$43,MOD(SMALL($AN115:$BK115,13),100))&amp;IF(SMALL($AN115:$BK115,13)&gt;100," *",""))</f>
        <v/>
      </c>
      <c r="AB115">
        <f>IF(14&gt;$N115,"",INDEX(Engine!$B$20:$B$43,MOD(SMALL($AN115:$BK115,14),100))&amp;IF(SMALL($AN115:$BK115,14)&gt;100," *",""))</f>
        <v/>
      </c>
      <c r="AC115">
        <f>IF(15&gt;$N115,"",INDEX(Engine!$B$20:$B$43,MOD(SMALL($AN115:$BK115,15),100))&amp;IF(SMALL($AN115:$BK115,15)&gt;100," *",""))</f>
        <v/>
      </c>
      <c r="AD115">
        <f>IF(16&gt;$N115,"",INDEX(Engine!$B$20:$B$43,MOD(SMALL($AN115:$BK115,16),100))&amp;IF(SMALL($AN115:$BK115,16)&gt;100," *",""))</f>
        <v/>
      </c>
      <c r="AE115">
        <f>IF(17&gt;$N115,"",INDEX(Engine!$B$20:$B$43,MOD(SMALL($AN115:$BK115,17),100))&amp;IF(SMALL($AN115:$BK115,17)&gt;100," *",""))</f>
        <v/>
      </c>
      <c r="AF115">
        <f>IF(18&gt;$N115,"",INDEX(Engine!$B$20:$B$43,MOD(SMALL($AN115:$BK115,18),100))&amp;IF(SMALL($AN115:$BK115,18)&gt;100," *",""))</f>
        <v/>
      </c>
      <c r="AG115">
        <f>IF(19&gt;$N115,"",INDEX(Engine!$B$20:$B$43,MOD(SMALL($AN115:$BK115,19),100))&amp;IF(SMALL($AN115:$BK115,19)&gt;100," *",""))</f>
        <v/>
      </c>
      <c r="AH115">
        <f>IF(20&gt;$N115,"",INDEX(Engine!$B$20:$B$43,MOD(SMALL($AN115:$BK115,20),100))&amp;IF(SMALL($AN115:$BK115,20)&gt;100," *",""))</f>
        <v/>
      </c>
      <c r="AI115">
        <f>IF(21&gt;$N115,"",INDEX(Engine!$B$20:$B$43,MOD(SMALL($AN115:$BK115,21),100))&amp;IF(SMALL($AN115:$BK115,21)&gt;100," *",""))</f>
        <v/>
      </c>
      <c r="AJ115">
        <f>IF(22&gt;$N115,"",INDEX(Engine!$B$20:$B$43,MOD(SMALL($AN115:$BK115,22),100))&amp;IF(SMALL($AN115:$BK115,22)&gt;100," *",""))</f>
        <v/>
      </c>
      <c r="AK115">
        <f>IF(23&gt;$N115,"",INDEX(Engine!$B$20:$B$43,MOD(SMALL($AN115:$BK115,23),100))&amp;IF(SMALL($AN115:$BK115,23)&gt;100," *",""))</f>
        <v/>
      </c>
      <c r="AL115">
        <f>IF(24&gt;$N115,"",INDEX(Engine!$B$20:$B$43,MOD(SMALL($AN115:$BK115,24),100))&amp;IF(SMALL($AN115:$BK115,24)&gt;100," *",""))</f>
        <v/>
      </c>
      <c r="AN115">
        <f>IF(AND($C20=1,INDEX(Setup!$O$6:$AL$23,12,1)&lt;&gt;"",M20=0),1+IF(INDEX(Setup!$O$6:$AL$23,12,1)="T",100,0),"")</f>
        <v/>
      </c>
      <c r="AO115">
        <f>IF(AND($C21=1,INDEX(Setup!$O$6:$AL$23,12,2)&lt;&gt;"",M21=0),2+IF(INDEX(Setup!$O$6:$AL$23,12,2)="T",100,0),"")</f>
        <v/>
      </c>
      <c r="AP115">
        <f>IF(AND($C22=1,INDEX(Setup!$O$6:$AL$23,12,3)&lt;&gt;"",M22=0),3+IF(INDEX(Setup!$O$6:$AL$23,12,3)="T",100,0),"")</f>
        <v/>
      </c>
      <c r="AQ115">
        <f>IF(AND($C23=1,INDEX(Setup!$O$6:$AL$23,12,4)&lt;&gt;"",M23=0),4+IF(INDEX(Setup!$O$6:$AL$23,12,4)="T",100,0),"")</f>
        <v/>
      </c>
      <c r="AR115">
        <f>IF(AND($C24=1,INDEX(Setup!$O$6:$AL$23,12,5)&lt;&gt;"",M24=0),5+IF(INDEX(Setup!$O$6:$AL$23,12,5)="T",100,0),"")</f>
        <v/>
      </c>
      <c r="AS115">
        <f>IF(AND($C25=1,INDEX(Setup!$O$6:$AL$23,12,6)&lt;&gt;"",M25=0),6+IF(INDEX(Setup!$O$6:$AL$23,12,6)="T",100,0),"")</f>
        <v/>
      </c>
      <c r="AT115">
        <f>IF(AND($C26=1,INDEX(Setup!$O$6:$AL$23,12,7)&lt;&gt;"",M26=0),7+IF(INDEX(Setup!$O$6:$AL$23,12,7)="T",100,0),"")</f>
        <v/>
      </c>
      <c r="AU115">
        <f>IF(AND($C27=1,INDEX(Setup!$O$6:$AL$23,12,8)&lt;&gt;"",M27=0),8+IF(INDEX(Setup!$O$6:$AL$23,12,8)="T",100,0),"")</f>
        <v/>
      </c>
      <c r="AV115">
        <f>IF(AND($C28=1,INDEX(Setup!$O$6:$AL$23,12,9)&lt;&gt;"",M28=0),9+IF(INDEX(Setup!$O$6:$AL$23,12,9)="T",100,0),"")</f>
        <v/>
      </c>
      <c r="AW115">
        <f>IF(AND($C29=1,INDEX(Setup!$O$6:$AL$23,12,10)&lt;&gt;"",M29=0),10+IF(INDEX(Setup!$O$6:$AL$23,12,10)="T",100,0),"")</f>
        <v/>
      </c>
      <c r="AX115">
        <f>IF(AND($C30=1,INDEX(Setup!$O$6:$AL$23,12,11)&lt;&gt;"",M30=0),11+IF(INDEX(Setup!$O$6:$AL$23,12,11)="T",100,0),"")</f>
        <v/>
      </c>
      <c r="AY115">
        <f>IF(AND($C31=1,INDEX(Setup!$O$6:$AL$23,12,12)&lt;&gt;"",M31=0),12+IF(INDEX(Setup!$O$6:$AL$23,12,12)="T",100,0),"")</f>
        <v/>
      </c>
      <c r="AZ115">
        <f>IF(AND($C32=1,INDEX(Setup!$O$6:$AL$23,12,13)&lt;&gt;"",M32=0),13+IF(INDEX(Setup!$O$6:$AL$23,12,13)="T",100,0),"")</f>
        <v/>
      </c>
      <c r="BA115">
        <f>IF(AND($C33=1,INDEX(Setup!$O$6:$AL$23,12,14)&lt;&gt;"",M33=0),14+IF(INDEX(Setup!$O$6:$AL$23,12,14)="T",100,0),"")</f>
        <v/>
      </c>
      <c r="BB115">
        <f>IF(AND($C34=1,INDEX(Setup!$O$6:$AL$23,12,15)&lt;&gt;"",M34=0),15+IF(INDEX(Setup!$O$6:$AL$23,12,15)="T",100,0),"")</f>
        <v/>
      </c>
      <c r="BC115">
        <f>IF(AND($C35=1,INDEX(Setup!$O$6:$AL$23,12,16)&lt;&gt;"",M35=0),16+IF(INDEX(Setup!$O$6:$AL$23,12,16)="T",100,0),"")</f>
        <v/>
      </c>
      <c r="BD115">
        <f>IF(AND($C36=1,INDEX(Setup!$O$6:$AL$23,12,17)&lt;&gt;"",M36=0),17+IF(INDEX(Setup!$O$6:$AL$23,12,17)="T",100,0),"")</f>
        <v/>
      </c>
      <c r="BE115">
        <f>IF(AND($C37=1,INDEX(Setup!$O$6:$AL$23,12,18)&lt;&gt;"",M37=0),18+IF(INDEX(Setup!$O$6:$AL$23,12,18)="T",100,0),"")</f>
        <v/>
      </c>
      <c r="BF115">
        <f>IF(AND($C38=1,INDEX(Setup!$O$6:$AL$23,12,19)&lt;&gt;"",M38=0),19+IF(INDEX(Setup!$O$6:$AL$23,12,19)="T",100,0),"")</f>
        <v/>
      </c>
      <c r="BG115">
        <f>IF(AND($C39=1,INDEX(Setup!$O$6:$AL$23,12,20)&lt;&gt;"",M39=0),20+IF(INDEX(Setup!$O$6:$AL$23,12,20)="T",100,0),"")</f>
        <v/>
      </c>
      <c r="BH115">
        <f>IF(AND($C40=1,INDEX(Setup!$O$6:$AL$23,12,21)&lt;&gt;"",M40=0),21+IF(INDEX(Setup!$O$6:$AL$23,12,21)="T",100,0),"")</f>
        <v/>
      </c>
      <c r="BI115">
        <f>IF(AND($C41=1,INDEX(Setup!$O$6:$AL$23,12,22)&lt;&gt;"",M41=0),22+IF(INDEX(Setup!$O$6:$AL$23,12,22)="T",100,0),"")</f>
        <v/>
      </c>
      <c r="BJ115">
        <f>IF(AND($C42=1,INDEX(Setup!$O$6:$AL$23,12,23)&lt;&gt;"",M42=0),23+IF(INDEX(Setup!$O$6:$AL$23,12,23)="T",100,0),"")</f>
        <v/>
      </c>
      <c r="BK115">
        <f>IF(AND($C43=1,INDEX(Setup!$O$6:$AL$23,12,24)&lt;&gt;"",M43=0),24+IF(INDEX(Setup!$O$6:$AL$23,12,24)="T",100,0),"")</f>
        <v/>
      </c>
      <c r="BM115">
        <f>IF(AND(AN115&lt;&gt;"",COUNTIF($K$58:$M$58,$B20)+COUNTIF($K$58:$M$58,$B20&amp;" ~*")=0),($R20+COUNTIF($H$104:$H114,$B20)+COUNTIF($H$104:$H114,$B20&amp;" ~*"))*1000+IF(AN115&gt;100,500,0)+1,"")</f>
        <v/>
      </c>
      <c r="BN115">
        <f>IF(AND(AO115&lt;&gt;"",COUNTIF($K$58:$M$58,$B21)+COUNTIF($K$58:$M$58,$B21&amp;" ~*")=0),($R21+COUNTIF($H$104:$H114,$B21)+COUNTIF($H$104:$H114,$B21&amp;" ~*"))*1000+IF(AO115&gt;100,500,0)+2,"")</f>
        <v/>
      </c>
      <c r="BO115">
        <f>IF(AND(AP115&lt;&gt;"",COUNTIF($K$58:$M$58,$B22)+COUNTIF($K$58:$M$58,$B22&amp;" ~*")=0),($R22+COUNTIF($H$104:$H114,$B22)+COUNTIF($H$104:$H114,$B22&amp;" ~*"))*1000+IF(AP115&gt;100,500,0)+3,"")</f>
        <v/>
      </c>
      <c r="BP115">
        <f>IF(AND(AQ115&lt;&gt;"",COUNTIF($K$58:$M$58,$B23)+COUNTIF($K$58:$M$58,$B23&amp;" ~*")=0),($R23+COUNTIF($H$104:$H114,$B23)+COUNTIF($H$104:$H114,$B23&amp;" ~*"))*1000+IF(AQ115&gt;100,500,0)+4,"")</f>
        <v/>
      </c>
      <c r="BQ115">
        <f>IF(AND(AR115&lt;&gt;"",COUNTIF($K$58:$M$58,$B24)+COUNTIF($K$58:$M$58,$B24&amp;" ~*")=0),($R24+COUNTIF($H$104:$H114,$B24)+COUNTIF($H$104:$H114,$B24&amp;" ~*"))*1000+IF(AR115&gt;100,500,0)+5,"")</f>
        <v/>
      </c>
      <c r="BR115">
        <f>IF(AND(AS115&lt;&gt;"",COUNTIF($K$58:$M$58,$B25)+COUNTIF($K$58:$M$58,$B25&amp;" ~*")=0),($R25+COUNTIF($H$104:$H114,$B25)+COUNTIF($H$104:$H114,$B25&amp;" ~*"))*1000+IF(AS115&gt;100,500,0)+6,"")</f>
        <v/>
      </c>
      <c r="BS115">
        <f>IF(AND(AT115&lt;&gt;"",COUNTIF($K$58:$M$58,$B26)+COUNTIF($K$58:$M$58,$B26&amp;" ~*")=0),($R26+COUNTIF($H$104:$H114,$B26)+COUNTIF($H$104:$H114,$B26&amp;" ~*"))*1000+IF(AT115&gt;100,500,0)+7,"")</f>
        <v/>
      </c>
      <c r="BT115">
        <f>IF(AND(AU115&lt;&gt;"",COUNTIF($K$58:$M$58,$B27)+COUNTIF($K$58:$M$58,$B27&amp;" ~*")=0),($R27+COUNTIF($H$104:$H114,$B27)+COUNTIF($H$104:$H114,$B27&amp;" ~*"))*1000+IF(AU115&gt;100,500,0)+8,"")</f>
        <v/>
      </c>
      <c r="BU115">
        <f>IF(AND(AV115&lt;&gt;"",COUNTIF($K$58:$M$58,$B28)+COUNTIF($K$58:$M$58,$B28&amp;" ~*")=0),($R28+COUNTIF($H$104:$H114,$B28)+COUNTIF($H$104:$H114,$B28&amp;" ~*"))*1000+IF(AV115&gt;100,500,0)+9,"")</f>
        <v/>
      </c>
      <c r="BV115">
        <f>IF(AND(AW115&lt;&gt;"",COUNTIF($K$58:$M$58,$B29)+COUNTIF($K$58:$M$58,$B29&amp;" ~*")=0),($R29+COUNTIF($H$104:$H114,$B29)+COUNTIF($H$104:$H114,$B29&amp;" ~*"))*1000+IF(AW115&gt;100,500,0)+10,"")</f>
        <v/>
      </c>
      <c r="BW115">
        <f>IF(AND(AX115&lt;&gt;"",COUNTIF($K$58:$M$58,$B30)+COUNTIF($K$58:$M$58,$B30&amp;" ~*")=0),($R30+COUNTIF($H$104:$H114,$B30)+COUNTIF($H$104:$H114,$B30&amp;" ~*"))*1000+IF(AX115&gt;100,500,0)+11,"")</f>
        <v/>
      </c>
      <c r="BX115">
        <f>IF(AND(AY115&lt;&gt;"",COUNTIF($K$58:$M$58,$B31)+COUNTIF($K$58:$M$58,$B31&amp;" ~*")=0),($R31+COUNTIF($H$104:$H114,$B31)+COUNTIF($H$104:$H114,$B31&amp;" ~*"))*1000+IF(AY115&gt;100,500,0)+12,"")</f>
        <v/>
      </c>
      <c r="BY115">
        <f>IF(AND(AZ115&lt;&gt;"",COUNTIF($K$58:$M$58,$B32)+COUNTIF($K$58:$M$58,$B32&amp;" ~*")=0),($R32+COUNTIF($H$104:$H114,$B32)+COUNTIF($H$104:$H114,$B32&amp;" ~*"))*1000+IF(AZ115&gt;100,500,0)+13,"")</f>
        <v/>
      </c>
      <c r="BZ115">
        <f>IF(AND(BA115&lt;&gt;"",COUNTIF($K$58:$M$58,$B33)+COUNTIF($K$58:$M$58,$B33&amp;" ~*")=0),($R33+COUNTIF($H$104:$H114,$B33)+COUNTIF($H$104:$H114,$B33&amp;" ~*"))*1000+IF(BA115&gt;100,500,0)+14,"")</f>
        <v/>
      </c>
      <c r="CA115">
        <f>IF(AND(BB115&lt;&gt;"",COUNTIF($K$58:$M$58,$B34)+COUNTIF($K$58:$M$58,$B34&amp;" ~*")=0),($R34+COUNTIF($H$104:$H114,$B34)+COUNTIF($H$104:$H114,$B34&amp;" ~*"))*1000+IF(BB115&gt;100,500,0)+15,"")</f>
        <v/>
      </c>
      <c r="CB115">
        <f>IF(AND(BC115&lt;&gt;"",COUNTIF($K$58:$M$58,$B35)+COUNTIF($K$58:$M$58,$B35&amp;" ~*")=0),($R35+COUNTIF($H$104:$H114,$B35)+COUNTIF($H$104:$H114,$B35&amp;" ~*"))*1000+IF(BC115&gt;100,500,0)+16,"")</f>
        <v/>
      </c>
      <c r="CC115">
        <f>IF(AND(BD115&lt;&gt;"",COUNTIF($K$58:$M$58,$B36)+COUNTIF($K$58:$M$58,$B36&amp;" ~*")=0),($R36+COUNTIF($H$104:$H114,$B36)+COUNTIF($H$104:$H114,$B36&amp;" ~*"))*1000+IF(BD115&gt;100,500,0)+17,"")</f>
        <v/>
      </c>
      <c r="CD115">
        <f>IF(AND(BE115&lt;&gt;"",COUNTIF($K$58:$M$58,$B37)+COUNTIF($K$58:$M$58,$B37&amp;" ~*")=0),($R37+COUNTIF($H$104:$H114,$B37)+COUNTIF($H$104:$H114,$B37&amp;" ~*"))*1000+IF(BE115&gt;100,500,0)+18,"")</f>
        <v/>
      </c>
      <c r="CE115">
        <f>IF(AND(BF115&lt;&gt;"",COUNTIF($K$58:$M$58,$B38)+COUNTIF($K$58:$M$58,$B38&amp;" ~*")=0),($R38+COUNTIF($H$104:$H114,$B38)+COUNTIF($H$104:$H114,$B38&amp;" ~*"))*1000+IF(BF115&gt;100,500,0)+19,"")</f>
        <v/>
      </c>
      <c r="CF115">
        <f>IF(AND(BG115&lt;&gt;"",COUNTIF($K$58:$M$58,$B39)+COUNTIF($K$58:$M$58,$B39&amp;" ~*")=0),($R39+COUNTIF($H$104:$H114,$B39)+COUNTIF($H$104:$H114,$B39&amp;" ~*"))*1000+IF(BG115&gt;100,500,0)+20,"")</f>
        <v/>
      </c>
      <c r="CG115">
        <f>IF(AND(BH115&lt;&gt;"",COUNTIF($K$58:$M$58,$B40)+COUNTIF($K$58:$M$58,$B40&amp;" ~*")=0),($R40+COUNTIF($H$104:$H114,$B40)+COUNTIF($H$104:$H114,$B40&amp;" ~*"))*1000+IF(BH115&gt;100,500,0)+21,"")</f>
        <v/>
      </c>
      <c r="CH115">
        <f>IF(AND(BI115&lt;&gt;"",COUNTIF($K$58:$M$58,$B41)+COUNTIF($K$58:$M$58,$B41&amp;" ~*")=0),($R41+COUNTIF($H$104:$H114,$B41)+COUNTIF($H$104:$H114,$B41&amp;" ~*"))*1000+IF(BI115&gt;100,500,0)+22,"")</f>
        <v/>
      </c>
      <c r="CI115">
        <f>IF(AND(BJ115&lt;&gt;"",COUNTIF($K$58:$M$58,$B42)+COUNTIF($K$58:$M$58,$B42&amp;" ~*")=0),($R42+COUNTIF($H$104:$H114,$B42)+COUNTIF($H$104:$H114,$B42&amp;" ~*"))*1000+IF(BJ115&gt;100,500,0)+23,"")</f>
        <v/>
      </c>
      <c r="CJ115">
        <f>IF(AND(BK115&lt;&gt;"",COUNTIF($K$58:$M$58,$B43)+COUNTIF($K$58:$M$58,$B43&amp;" ~*")=0),($R43+COUNTIF($H$104:$H114,$B43)+COUNTIF($H$104:$H114,$B43&amp;" ~*"))*1000+IF(BK115&gt;100,500,0)+24,"")</f>
        <v/>
      </c>
    </row>
    <row r="116">
      <c r="A116" t="n">
        <v>3</v>
      </c>
      <c r="B116" t="n">
        <v>13</v>
      </c>
      <c r="C116">
        <f>$B$59</f>
        <v/>
      </c>
      <c r="D116" t="inlineStr">
        <is>
          <t>Wed</t>
        </is>
      </c>
      <c r="E116">
        <f>IF(C116="","",N($AB$59))</f>
        <v/>
      </c>
      <c r="F116">
        <f>IF(C116="","",COUNTIF($K$59:$M$59,"?*"))</f>
        <v/>
      </c>
      <c r="G116">
        <f>IF(C116="","",MAX(0,E116-F116))</f>
        <v/>
      </c>
      <c r="H116">
        <f>IF(N(G116)=0,"",IF(COUNT(BM116:CJ116)=0,"no-one eligible",INDEX(Engine!$B$20:$B$43,MOD(MIN(BM116:CJ116),500))&amp;IF(MOD(MIN(BM116:CJ116),1000)&gt;=500," *","")))</f>
        <v/>
      </c>
      <c r="I116">
        <f>IF(N(G116)&gt;0,COUNTIF($G$68:G116,"&gt;0"),"")</f>
        <v/>
      </c>
      <c r="J116">
        <f>IF(C116="","",IF($K$59="",0,IF(IFERROR(INDEX(Setup!$O$6:$AL$23,13,MATCH(SUBSTITUTE($K$59," *",""),Setup!$B$6:$B$29,0)),"")="",1,0))+IF($L$59="",0,IF(IFERROR(INDEX(Setup!$O$6:$AL$23,13,MATCH(SUBSTITUTE($L$59," *",""),Setup!$B$6:$B$29,0)),"")="",1,0))+IF($M$59="",0,IF(IFERROR(INDEX(Setup!$O$6:$AL$23,13,MATCH(SUBSTITUTE($M$59," *",""),Setup!$B$6:$B$29,0)),"")="",1,0)))</f>
        <v/>
      </c>
      <c r="K116">
        <f>IF($B$12+2=TODAY(),1,0)</f>
        <v/>
      </c>
      <c r="N116">
        <f>COUNT($AN116:$BK116)</f>
        <v/>
      </c>
      <c r="O116">
        <f>IF(1&gt;$N116,"",INDEX(Engine!$B$20:$B$43,MOD(SMALL($AN116:$BK116,1),100))&amp;IF(SMALL($AN116:$BK116,1)&gt;100," *",""))</f>
        <v/>
      </c>
      <c r="P116">
        <f>IF(2&gt;$N116,"",INDEX(Engine!$B$20:$B$43,MOD(SMALL($AN116:$BK116,2),100))&amp;IF(SMALL($AN116:$BK116,2)&gt;100," *",""))</f>
        <v/>
      </c>
      <c r="Q116">
        <f>IF(3&gt;$N116,"",INDEX(Engine!$B$20:$B$43,MOD(SMALL($AN116:$BK116,3),100))&amp;IF(SMALL($AN116:$BK116,3)&gt;100," *",""))</f>
        <v/>
      </c>
      <c r="R116">
        <f>IF(4&gt;$N116,"",INDEX(Engine!$B$20:$B$43,MOD(SMALL($AN116:$BK116,4),100))&amp;IF(SMALL($AN116:$BK116,4)&gt;100," *",""))</f>
        <v/>
      </c>
      <c r="S116">
        <f>IF(5&gt;$N116,"",INDEX(Engine!$B$20:$B$43,MOD(SMALL($AN116:$BK116,5),100))&amp;IF(SMALL($AN116:$BK116,5)&gt;100," *",""))</f>
        <v/>
      </c>
      <c r="T116">
        <f>IF(6&gt;$N116,"",INDEX(Engine!$B$20:$B$43,MOD(SMALL($AN116:$BK116,6),100))&amp;IF(SMALL($AN116:$BK116,6)&gt;100," *",""))</f>
        <v/>
      </c>
      <c r="U116">
        <f>IF(7&gt;$N116,"",INDEX(Engine!$B$20:$B$43,MOD(SMALL($AN116:$BK116,7),100))&amp;IF(SMALL($AN116:$BK116,7)&gt;100," *",""))</f>
        <v/>
      </c>
      <c r="V116">
        <f>IF(8&gt;$N116,"",INDEX(Engine!$B$20:$B$43,MOD(SMALL($AN116:$BK116,8),100))&amp;IF(SMALL($AN116:$BK116,8)&gt;100," *",""))</f>
        <v/>
      </c>
      <c r="W116">
        <f>IF(9&gt;$N116,"",INDEX(Engine!$B$20:$B$43,MOD(SMALL($AN116:$BK116,9),100))&amp;IF(SMALL($AN116:$BK116,9)&gt;100," *",""))</f>
        <v/>
      </c>
      <c r="X116">
        <f>IF(10&gt;$N116,"",INDEX(Engine!$B$20:$B$43,MOD(SMALL($AN116:$BK116,10),100))&amp;IF(SMALL($AN116:$BK116,10)&gt;100," *",""))</f>
        <v/>
      </c>
      <c r="Y116">
        <f>IF(11&gt;$N116,"",INDEX(Engine!$B$20:$B$43,MOD(SMALL($AN116:$BK116,11),100))&amp;IF(SMALL($AN116:$BK116,11)&gt;100," *",""))</f>
        <v/>
      </c>
      <c r="Z116">
        <f>IF(12&gt;$N116,"",INDEX(Engine!$B$20:$B$43,MOD(SMALL($AN116:$BK116,12),100))&amp;IF(SMALL($AN116:$BK116,12)&gt;100," *",""))</f>
        <v/>
      </c>
      <c r="AA116">
        <f>IF(13&gt;$N116,"",INDEX(Engine!$B$20:$B$43,MOD(SMALL($AN116:$BK116,13),100))&amp;IF(SMALL($AN116:$BK116,13)&gt;100," *",""))</f>
        <v/>
      </c>
      <c r="AB116">
        <f>IF(14&gt;$N116,"",INDEX(Engine!$B$20:$B$43,MOD(SMALL($AN116:$BK116,14),100))&amp;IF(SMALL($AN116:$BK116,14)&gt;100," *",""))</f>
        <v/>
      </c>
      <c r="AC116">
        <f>IF(15&gt;$N116,"",INDEX(Engine!$B$20:$B$43,MOD(SMALL($AN116:$BK116,15),100))&amp;IF(SMALL($AN116:$BK116,15)&gt;100," *",""))</f>
        <v/>
      </c>
      <c r="AD116">
        <f>IF(16&gt;$N116,"",INDEX(Engine!$B$20:$B$43,MOD(SMALL($AN116:$BK116,16),100))&amp;IF(SMALL($AN116:$BK116,16)&gt;100," *",""))</f>
        <v/>
      </c>
      <c r="AE116">
        <f>IF(17&gt;$N116,"",INDEX(Engine!$B$20:$B$43,MOD(SMALL($AN116:$BK116,17),100))&amp;IF(SMALL($AN116:$BK116,17)&gt;100," *",""))</f>
        <v/>
      </c>
      <c r="AF116">
        <f>IF(18&gt;$N116,"",INDEX(Engine!$B$20:$B$43,MOD(SMALL($AN116:$BK116,18),100))&amp;IF(SMALL($AN116:$BK116,18)&gt;100," *",""))</f>
        <v/>
      </c>
      <c r="AG116">
        <f>IF(19&gt;$N116,"",INDEX(Engine!$B$20:$B$43,MOD(SMALL($AN116:$BK116,19),100))&amp;IF(SMALL($AN116:$BK116,19)&gt;100," *",""))</f>
        <v/>
      </c>
      <c r="AH116">
        <f>IF(20&gt;$N116,"",INDEX(Engine!$B$20:$B$43,MOD(SMALL($AN116:$BK116,20),100))&amp;IF(SMALL($AN116:$BK116,20)&gt;100," *",""))</f>
        <v/>
      </c>
      <c r="AI116">
        <f>IF(21&gt;$N116,"",INDEX(Engine!$B$20:$B$43,MOD(SMALL($AN116:$BK116,21),100))&amp;IF(SMALL($AN116:$BK116,21)&gt;100," *",""))</f>
        <v/>
      </c>
      <c r="AJ116">
        <f>IF(22&gt;$N116,"",INDEX(Engine!$B$20:$B$43,MOD(SMALL($AN116:$BK116,22),100))&amp;IF(SMALL($AN116:$BK116,22)&gt;100," *",""))</f>
        <v/>
      </c>
      <c r="AK116">
        <f>IF(23&gt;$N116,"",INDEX(Engine!$B$20:$B$43,MOD(SMALL($AN116:$BK116,23),100))&amp;IF(SMALL($AN116:$BK116,23)&gt;100," *",""))</f>
        <v/>
      </c>
      <c r="AL116">
        <f>IF(24&gt;$N116,"",INDEX(Engine!$B$20:$B$43,MOD(SMALL($AN116:$BK116,24),100))&amp;IF(SMALL($AN116:$BK116,24)&gt;100," *",""))</f>
        <v/>
      </c>
      <c r="AN116">
        <f>IF(AND($C20=1,INDEX(Setup!$O$6:$AL$23,13,1)&lt;&gt;"",M20=0),1+IF(INDEX(Setup!$O$6:$AL$23,13,1)="T",100,0),"")</f>
        <v/>
      </c>
      <c r="AO116">
        <f>IF(AND($C21=1,INDEX(Setup!$O$6:$AL$23,13,2)&lt;&gt;"",M21=0),2+IF(INDEX(Setup!$O$6:$AL$23,13,2)="T",100,0),"")</f>
        <v/>
      </c>
      <c r="AP116">
        <f>IF(AND($C22=1,INDEX(Setup!$O$6:$AL$23,13,3)&lt;&gt;"",M22=0),3+IF(INDEX(Setup!$O$6:$AL$23,13,3)="T",100,0),"")</f>
        <v/>
      </c>
      <c r="AQ116">
        <f>IF(AND($C23=1,INDEX(Setup!$O$6:$AL$23,13,4)&lt;&gt;"",M23=0),4+IF(INDEX(Setup!$O$6:$AL$23,13,4)="T",100,0),"")</f>
        <v/>
      </c>
      <c r="AR116">
        <f>IF(AND($C24=1,INDEX(Setup!$O$6:$AL$23,13,5)&lt;&gt;"",M24=0),5+IF(INDEX(Setup!$O$6:$AL$23,13,5)="T",100,0),"")</f>
        <v/>
      </c>
      <c r="AS116">
        <f>IF(AND($C25=1,INDEX(Setup!$O$6:$AL$23,13,6)&lt;&gt;"",M25=0),6+IF(INDEX(Setup!$O$6:$AL$23,13,6)="T",100,0),"")</f>
        <v/>
      </c>
      <c r="AT116">
        <f>IF(AND($C26=1,INDEX(Setup!$O$6:$AL$23,13,7)&lt;&gt;"",M26=0),7+IF(INDEX(Setup!$O$6:$AL$23,13,7)="T",100,0),"")</f>
        <v/>
      </c>
      <c r="AU116">
        <f>IF(AND($C27=1,INDEX(Setup!$O$6:$AL$23,13,8)&lt;&gt;"",M27=0),8+IF(INDEX(Setup!$O$6:$AL$23,13,8)="T",100,0),"")</f>
        <v/>
      </c>
      <c r="AV116">
        <f>IF(AND($C28=1,INDEX(Setup!$O$6:$AL$23,13,9)&lt;&gt;"",M28=0),9+IF(INDEX(Setup!$O$6:$AL$23,13,9)="T",100,0),"")</f>
        <v/>
      </c>
      <c r="AW116">
        <f>IF(AND($C29=1,INDEX(Setup!$O$6:$AL$23,13,10)&lt;&gt;"",M29=0),10+IF(INDEX(Setup!$O$6:$AL$23,13,10)="T",100,0),"")</f>
        <v/>
      </c>
      <c r="AX116">
        <f>IF(AND($C30=1,INDEX(Setup!$O$6:$AL$23,13,11)&lt;&gt;"",M30=0),11+IF(INDEX(Setup!$O$6:$AL$23,13,11)="T",100,0),"")</f>
        <v/>
      </c>
      <c r="AY116">
        <f>IF(AND($C31=1,INDEX(Setup!$O$6:$AL$23,13,12)&lt;&gt;"",M31=0),12+IF(INDEX(Setup!$O$6:$AL$23,13,12)="T",100,0),"")</f>
        <v/>
      </c>
      <c r="AZ116">
        <f>IF(AND($C32=1,INDEX(Setup!$O$6:$AL$23,13,13)&lt;&gt;"",M32=0),13+IF(INDEX(Setup!$O$6:$AL$23,13,13)="T",100,0),"")</f>
        <v/>
      </c>
      <c r="BA116">
        <f>IF(AND($C33=1,INDEX(Setup!$O$6:$AL$23,13,14)&lt;&gt;"",M33=0),14+IF(INDEX(Setup!$O$6:$AL$23,13,14)="T",100,0),"")</f>
        <v/>
      </c>
      <c r="BB116">
        <f>IF(AND($C34=1,INDEX(Setup!$O$6:$AL$23,13,15)&lt;&gt;"",M34=0),15+IF(INDEX(Setup!$O$6:$AL$23,13,15)="T",100,0),"")</f>
        <v/>
      </c>
      <c r="BC116">
        <f>IF(AND($C35=1,INDEX(Setup!$O$6:$AL$23,13,16)&lt;&gt;"",M35=0),16+IF(INDEX(Setup!$O$6:$AL$23,13,16)="T",100,0),"")</f>
        <v/>
      </c>
      <c r="BD116">
        <f>IF(AND($C36=1,INDEX(Setup!$O$6:$AL$23,13,17)&lt;&gt;"",M36=0),17+IF(INDEX(Setup!$O$6:$AL$23,13,17)="T",100,0),"")</f>
        <v/>
      </c>
      <c r="BE116">
        <f>IF(AND($C37=1,INDEX(Setup!$O$6:$AL$23,13,18)&lt;&gt;"",M37=0),18+IF(INDEX(Setup!$O$6:$AL$23,13,18)="T",100,0),"")</f>
        <v/>
      </c>
      <c r="BF116">
        <f>IF(AND($C38=1,INDEX(Setup!$O$6:$AL$23,13,19)&lt;&gt;"",M38=0),19+IF(INDEX(Setup!$O$6:$AL$23,13,19)="T",100,0),"")</f>
        <v/>
      </c>
      <c r="BG116">
        <f>IF(AND($C39=1,INDEX(Setup!$O$6:$AL$23,13,20)&lt;&gt;"",M39=0),20+IF(INDEX(Setup!$O$6:$AL$23,13,20)="T",100,0),"")</f>
        <v/>
      </c>
      <c r="BH116">
        <f>IF(AND($C40=1,INDEX(Setup!$O$6:$AL$23,13,21)&lt;&gt;"",M40=0),21+IF(INDEX(Setup!$O$6:$AL$23,13,21)="T",100,0),"")</f>
        <v/>
      </c>
      <c r="BI116">
        <f>IF(AND($C41=1,INDEX(Setup!$O$6:$AL$23,13,22)&lt;&gt;"",M41=0),22+IF(INDEX(Setup!$O$6:$AL$23,13,22)="T",100,0),"")</f>
        <v/>
      </c>
      <c r="BJ116">
        <f>IF(AND($C42=1,INDEX(Setup!$O$6:$AL$23,13,23)&lt;&gt;"",M42=0),23+IF(INDEX(Setup!$O$6:$AL$23,13,23)="T",100,0),"")</f>
        <v/>
      </c>
      <c r="BK116">
        <f>IF(AND($C43=1,INDEX(Setup!$O$6:$AL$23,13,24)&lt;&gt;"",M43=0),24+IF(INDEX(Setup!$O$6:$AL$23,13,24)="T",100,0),"")</f>
        <v/>
      </c>
      <c r="BM116">
        <f>IF(AND(AN116&lt;&gt;"",COUNTIF($K$59:$M$59,$B20)+COUNTIF($K$59:$M$59,$B20&amp;" ~*")=0),($R20+COUNTIF($H$104:$H115,$B20)+COUNTIF($H$104:$H115,$B20&amp;" ~*"))*1000+IF(AN116&gt;100,500,0)+1,"")</f>
        <v/>
      </c>
      <c r="BN116">
        <f>IF(AND(AO116&lt;&gt;"",COUNTIF($K$59:$M$59,$B21)+COUNTIF($K$59:$M$59,$B21&amp;" ~*")=0),($R21+COUNTIF($H$104:$H115,$B21)+COUNTIF($H$104:$H115,$B21&amp;" ~*"))*1000+IF(AO116&gt;100,500,0)+2,"")</f>
        <v/>
      </c>
      <c r="BO116">
        <f>IF(AND(AP116&lt;&gt;"",COUNTIF($K$59:$M$59,$B22)+COUNTIF($K$59:$M$59,$B22&amp;" ~*")=0),($R22+COUNTIF($H$104:$H115,$B22)+COUNTIF($H$104:$H115,$B22&amp;" ~*"))*1000+IF(AP116&gt;100,500,0)+3,"")</f>
        <v/>
      </c>
      <c r="BP116">
        <f>IF(AND(AQ116&lt;&gt;"",COUNTIF($K$59:$M$59,$B23)+COUNTIF($K$59:$M$59,$B23&amp;" ~*")=0),($R23+COUNTIF($H$104:$H115,$B23)+COUNTIF($H$104:$H115,$B23&amp;" ~*"))*1000+IF(AQ116&gt;100,500,0)+4,"")</f>
        <v/>
      </c>
      <c r="BQ116">
        <f>IF(AND(AR116&lt;&gt;"",COUNTIF($K$59:$M$59,$B24)+COUNTIF($K$59:$M$59,$B24&amp;" ~*")=0),($R24+COUNTIF($H$104:$H115,$B24)+COUNTIF($H$104:$H115,$B24&amp;" ~*"))*1000+IF(AR116&gt;100,500,0)+5,"")</f>
        <v/>
      </c>
      <c r="BR116">
        <f>IF(AND(AS116&lt;&gt;"",COUNTIF($K$59:$M$59,$B25)+COUNTIF($K$59:$M$59,$B25&amp;" ~*")=0),($R25+COUNTIF($H$104:$H115,$B25)+COUNTIF($H$104:$H115,$B25&amp;" ~*"))*1000+IF(AS116&gt;100,500,0)+6,"")</f>
        <v/>
      </c>
      <c r="BS116">
        <f>IF(AND(AT116&lt;&gt;"",COUNTIF($K$59:$M$59,$B26)+COUNTIF($K$59:$M$59,$B26&amp;" ~*")=0),($R26+COUNTIF($H$104:$H115,$B26)+COUNTIF($H$104:$H115,$B26&amp;" ~*"))*1000+IF(AT116&gt;100,500,0)+7,"")</f>
        <v/>
      </c>
      <c r="BT116">
        <f>IF(AND(AU116&lt;&gt;"",COUNTIF($K$59:$M$59,$B27)+COUNTIF($K$59:$M$59,$B27&amp;" ~*")=0),($R27+COUNTIF($H$104:$H115,$B27)+COUNTIF($H$104:$H115,$B27&amp;" ~*"))*1000+IF(AU116&gt;100,500,0)+8,"")</f>
        <v/>
      </c>
      <c r="BU116">
        <f>IF(AND(AV116&lt;&gt;"",COUNTIF($K$59:$M$59,$B28)+COUNTIF($K$59:$M$59,$B28&amp;" ~*")=0),($R28+COUNTIF($H$104:$H115,$B28)+COUNTIF($H$104:$H115,$B28&amp;" ~*"))*1000+IF(AV116&gt;100,500,0)+9,"")</f>
        <v/>
      </c>
      <c r="BV116">
        <f>IF(AND(AW116&lt;&gt;"",COUNTIF($K$59:$M$59,$B29)+COUNTIF($K$59:$M$59,$B29&amp;" ~*")=0),($R29+COUNTIF($H$104:$H115,$B29)+COUNTIF($H$104:$H115,$B29&amp;" ~*"))*1000+IF(AW116&gt;100,500,0)+10,"")</f>
        <v/>
      </c>
      <c r="BW116">
        <f>IF(AND(AX116&lt;&gt;"",COUNTIF($K$59:$M$59,$B30)+COUNTIF($K$59:$M$59,$B30&amp;" ~*")=0),($R30+COUNTIF($H$104:$H115,$B30)+COUNTIF($H$104:$H115,$B30&amp;" ~*"))*1000+IF(AX116&gt;100,500,0)+11,"")</f>
        <v/>
      </c>
      <c r="BX116">
        <f>IF(AND(AY116&lt;&gt;"",COUNTIF($K$59:$M$59,$B31)+COUNTIF($K$59:$M$59,$B31&amp;" ~*")=0),($R31+COUNTIF($H$104:$H115,$B31)+COUNTIF($H$104:$H115,$B31&amp;" ~*"))*1000+IF(AY116&gt;100,500,0)+12,"")</f>
        <v/>
      </c>
      <c r="BY116">
        <f>IF(AND(AZ116&lt;&gt;"",COUNTIF($K$59:$M$59,$B32)+COUNTIF($K$59:$M$59,$B32&amp;" ~*")=0),($R32+COUNTIF($H$104:$H115,$B32)+COUNTIF($H$104:$H115,$B32&amp;" ~*"))*1000+IF(AZ116&gt;100,500,0)+13,"")</f>
        <v/>
      </c>
      <c r="BZ116">
        <f>IF(AND(BA116&lt;&gt;"",COUNTIF($K$59:$M$59,$B33)+COUNTIF($K$59:$M$59,$B33&amp;" ~*")=0),($R33+COUNTIF($H$104:$H115,$B33)+COUNTIF($H$104:$H115,$B33&amp;" ~*"))*1000+IF(BA116&gt;100,500,0)+14,"")</f>
        <v/>
      </c>
      <c r="CA116">
        <f>IF(AND(BB116&lt;&gt;"",COUNTIF($K$59:$M$59,$B34)+COUNTIF($K$59:$M$59,$B34&amp;" ~*")=0),($R34+COUNTIF($H$104:$H115,$B34)+COUNTIF($H$104:$H115,$B34&amp;" ~*"))*1000+IF(BB116&gt;100,500,0)+15,"")</f>
        <v/>
      </c>
      <c r="CB116">
        <f>IF(AND(BC116&lt;&gt;"",COUNTIF($K$59:$M$59,$B35)+COUNTIF($K$59:$M$59,$B35&amp;" ~*")=0),($R35+COUNTIF($H$104:$H115,$B35)+COUNTIF($H$104:$H115,$B35&amp;" ~*"))*1000+IF(BC116&gt;100,500,0)+16,"")</f>
        <v/>
      </c>
      <c r="CC116">
        <f>IF(AND(BD116&lt;&gt;"",COUNTIF($K$59:$M$59,$B36)+COUNTIF($K$59:$M$59,$B36&amp;" ~*")=0),($R36+COUNTIF($H$104:$H115,$B36)+COUNTIF($H$104:$H115,$B36&amp;" ~*"))*1000+IF(BD116&gt;100,500,0)+17,"")</f>
        <v/>
      </c>
      <c r="CD116">
        <f>IF(AND(BE116&lt;&gt;"",COUNTIF($K$59:$M$59,$B37)+COUNTIF($K$59:$M$59,$B37&amp;" ~*")=0),($R37+COUNTIF($H$104:$H115,$B37)+COUNTIF($H$104:$H115,$B37&amp;" ~*"))*1000+IF(BE116&gt;100,500,0)+18,"")</f>
        <v/>
      </c>
      <c r="CE116">
        <f>IF(AND(BF116&lt;&gt;"",COUNTIF($K$59:$M$59,$B38)+COUNTIF($K$59:$M$59,$B38&amp;" ~*")=0),($R38+COUNTIF($H$104:$H115,$B38)+COUNTIF($H$104:$H115,$B38&amp;" ~*"))*1000+IF(BF116&gt;100,500,0)+19,"")</f>
        <v/>
      </c>
      <c r="CF116">
        <f>IF(AND(BG116&lt;&gt;"",COUNTIF($K$59:$M$59,$B39)+COUNTIF($K$59:$M$59,$B39&amp;" ~*")=0),($R39+COUNTIF($H$104:$H115,$B39)+COUNTIF($H$104:$H115,$B39&amp;" ~*"))*1000+IF(BG116&gt;100,500,0)+20,"")</f>
        <v/>
      </c>
      <c r="CG116">
        <f>IF(AND(BH116&lt;&gt;"",COUNTIF($K$59:$M$59,$B40)+COUNTIF($K$59:$M$59,$B40&amp;" ~*")=0),($R40+COUNTIF($H$104:$H115,$B40)+COUNTIF($H$104:$H115,$B40&amp;" ~*"))*1000+IF(BH116&gt;100,500,0)+21,"")</f>
        <v/>
      </c>
      <c r="CH116">
        <f>IF(AND(BI116&lt;&gt;"",COUNTIF($K$59:$M$59,$B41)+COUNTIF($K$59:$M$59,$B41&amp;" ~*")=0),($R41+COUNTIF($H$104:$H115,$B41)+COUNTIF($H$104:$H115,$B41&amp;" ~*"))*1000+IF(BI116&gt;100,500,0)+22,"")</f>
        <v/>
      </c>
      <c r="CI116">
        <f>IF(AND(BJ116&lt;&gt;"",COUNTIF($K$59:$M$59,$B42)+COUNTIF($K$59:$M$59,$B42&amp;" ~*")=0),($R42+COUNTIF($H$104:$H115,$B42)+COUNTIF($H$104:$H115,$B42&amp;" ~*"))*1000+IF(BJ116&gt;100,500,0)+23,"")</f>
        <v/>
      </c>
      <c r="CJ116">
        <f>IF(AND(BK116&lt;&gt;"",COUNTIF($K$59:$M$59,$B43)+COUNTIF($K$59:$M$59,$B43&amp;" ~*")=0),($R43+COUNTIF($H$104:$H115,$B43)+COUNTIF($H$104:$H115,$B43&amp;" ~*"))*1000+IF(BK116&gt;100,500,0)+24,"")</f>
        <v/>
      </c>
    </row>
    <row r="117">
      <c r="A117" t="n">
        <v>3</v>
      </c>
      <c r="B117" t="n">
        <v>14</v>
      </c>
      <c r="C117">
        <f>$B$60</f>
        <v/>
      </c>
      <c r="D117" t="inlineStr">
        <is>
          <t>Wed</t>
        </is>
      </c>
      <c r="E117">
        <f>IF(C117="","",N($AB$60))</f>
        <v/>
      </c>
      <c r="F117">
        <f>IF(C117="","",COUNTIF($K$60:$M$60,"?*"))</f>
        <v/>
      </c>
      <c r="G117">
        <f>IF(C117="","",MAX(0,E117-F117))</f>
        <v/>
      </c>
      <c r="H117">
        <f>IF(N(G117)=0,"",IF(COUNT(BM117:CJ117)=0,"no-one eligible",INDEX(Engine!$B$20:$B$43,MOD(MIN(BM117:CJ117),500))&amp;IF(MOD(MIN(BM117:CJ117),1000)&gt;=500," *","")))</f>
        <v/>
      </c>
      <c r="I117">
        <f>IF(N(G117)&gt;0,COUNTIF($G$68:G117,"&gt;0"),"")</f>
        <v/>
      </c>
      <c r="J117">
        <f>IF(C117="","",IF($K$60="",0,IF(IFERROR(INDEX(Setup!$O$6:$AL$23,14,MATCH(SUBSTITUTE($K$60," *",""),Setup!$B$6:$B$29,0)),"")="",1,0))+IF($L$60="",0,IF(IFERROR(INDEX(Setup!$O$6:$AL$23,14,MATCH(SUBSTITUTE($L$60," *",""),Setup!$B$6:$B$29,0)),"")="",1,0))+IF($M$60="",0,IF(IFERROR(INDEX(Setup!$O$6:$AL$23,14,MATCH(SUBSTITUTE($M$60," *",""),Setup!$B$6:$B$29,0)),"")="",1,0)))</f>
        <v/>
      </c>
      <c r="K117">
        <f>IF($B$12+2=TODAY(),1,0)</f>
        <v/>
      </c>
      <c r="N117">
        <f>COUNT($AN117:$BK117)</f>
        <v/>
      </c>
      <c r="O117">
        <f>IF(1&gt;$N117,"",INDEX(Engine!$B$20:$B$43,MOD(SMALL($AN117:$BK117,1),100))&amp;IF(SMALL($AN117:$BK117,1)&gt;100," *",""))</f>
        <v/>
      </c>
      <c r="P117">
        <f>IF(2&gt;$N117,"",INDEX(Engine!$B$20:$B$43,MOD(SMALL($AN117:$BK117,2),100))&amp;IF(SMALL($AN117:$BK117,2)&gt;100," *",""))</f>
        <v/>
      </c>
      <c r="Q117">
        <f>IF(3&gt;$N117,"",INDEX(Engine!$B$20:$B$43,MOD(SMALL($AN117:$BK117,3),100))&amp;IF(SMALL($AN117:$BK117,3)&gt;100," *",""))</f>
        <v/>
      </c>
      <c r="R117">
        <f>IF(4&gt;$N117,"",INDEX(Engine!$B$20:$B$43,MOD(SMALL($AN117:$BK117,4),100))&amp;IF(SMALL($AN117:$BK117,4)&gt;100," *",""))</f>
        <v/>
      </c>
      <c r="S117">
        <f>IF(5&gt;$N117,"",INDEX(Engine!$B$20:$B$43,MOD(SMALL($AN117:$BK117,5),100))&amp;IF(SMALL($AN117:$BK117,5)&gt;100," *",""))</f>
        <v/>
      </c>
      <c r="T117">
        <f>IF(6&gt;$N117,"",INDEX(Engine!$B$20:$B$43,MOD(SMALL($AN117:$BK117,6),100))&amp;IF(SMALL($AN117:$BK117,6)&gt;100," *",""))</f>
        <v/>
      </c>
      <c r="U117">
        <f>IF(7&gt;$N117,"",INDEX(Engine!$B$20:$B$43,MOD(SMALL($AN117:$BK117,7),100))&amp;IF(SMALL($AN117:$BK117,7)&gt;100," *",""))</f>
        <v/>
      </c>
      <c r="V117">
        <f>IF(8&gt;$N117,"",INDEX(Engine!$B$20:$B$43,MOD(SMALL($AN117:$BK117,8),100))&amp;IF(SMALL($AN117:$BK117,8)&gt;100," *",""))</f>
        <v/>
      </c>
      <c r="W117">
        <f>IF(9&gt;$N117,"",INDEX(Engine!$B$20:$B$43,MOD(SMALL($AN117:$BK117,9),100))&amp;IF(SMALL($AN117:$BK117,9)&gt;100," *",""))</f>
        <v/>
      </c>
      <c r="X117">
        <f>IF(10&gt;$N117,"",INDEX(Engine!$B$20:$B$43,MOD(SMALL($AN117:$BK117,10),100))&amp;IF(SMALL($AN117:$BK117,10)&gt;100," *",""))</f>
        <v/>
      </c>
      <c r="Y117">
        <f>IF(11&gt;$N117,"",INDEX(Engine!$B$20:$B$43,MOD(SMALL($AN117:$BK117,11),100))&amp;IF(SMALL($AN117:$BK117,11)&gt;100," *",""))</f>
        <v/>
      </c>
      <c r="Z117">
        <f>IF(12&gt;$N117,"",INDEX(Engine!$B$20:$B$43,MOD(SMALL($AN117:$BK117,12),100))&amp;IF(SMALL($AN117:$BK117,12)&gt;100," *",""))</f>
        <v/>
      </c>
      <c r="AA117">
        <f>IF(13&gt;$N117,"",INDEX(Engine!$B$20:$B$43,MOD(SMALL($AN117:$BK117,13),100))&amp;IF(SMALL($AN117:$BK117,13)&gt;100," *",""))</f>
        <v/>
      </c>
      <c r="AB117">
        <f>IF(14&gt;$N117,"",INDEX(Engine!$B$20:$B$43,MOD(SMALL($AN117:$BK117,14),100))&amp;IF(SMALL($AN117:$BK117,14)&gt;100," *",""))</f>
        <v/>
      </c>
      <c r="AC117">
        <f>IF(15&gt;$N117,"",INDEX(Engine!$B$20:$B$43,MOD(SMALL($AN117:$BK117,15),100))&amp;IF(SMALL($AN117:$BK117,15)&gt;100," *",""))</f>
        <v/>
      </c>
      <c r="AD117">
        <f>IF(16&gt;$N117,"",INDEX(Engine!$B$20:$B$43,MOD(SMALL($AN117:$BK117,16),100))&amp;IF(SMALL($AN117:$BK117,16)&gt;100," *",""))</f>
        <v/>
      </c>
      <c r="AE117">
        <f>IF(17&gt;$N117,"",INDEX(Engine!$B$20:$B$43,MOD(SMALL($AN117:$BK117,17),100))&amp;IF(SMALL($AN117:$BK117,17)&gt;100," *",""))</f>
        <v/>
      </c>
      <c r="AF117">
        <f>IF(18&gt;$N117,"",INDEX(Engine!$B$20:$B$43,MOD(SMALL($AN117:$BK117,18),100))&amp;IF(SMALL($AN117:$BK117,18)&gt;100," *",""))</f>
        <v/>
      </c>
      <c r="AG117">
        <f>IF(19&gt;$N117,"",INDEX(Engine!$B$20:$B$43,MOD(SMALL($AN117:$BK117,19),100))&amp;IF(SMALL($AN117:$BK117,19)&gt;100," *",""))</f>
        <v/>
      </c>
      <c r="AH117">
        <f>IF(20&gt;$N117,"",INDEX(Engine!$B$20:$B$43,MOD(SMALL($AN117:$BK117,20),100))&amp;IF(SMALL($AN117:$BK117,20)&gt;100," *",""))</f>
        <v/>
      </c>
      <c r="AI117">
        <f>IF(21&gt;$N117,"",INDEX(Engine!$B$20:$B$43,MOD(SMALL($AN117:$BK117,21),100))&amp;IF(SMALL($AN117:$BK117,21)&gt;100," *",""))</f>
        <v/>
      </c>
      <c r="AJ117">
        <f>IF(22&gt;$N117,"",INDEX(Engine!$B$20:$B$43,MOD(SMALL($AN117:$BK117,22),100))&amp;IF(SMALL($AN117:$BK117,22)&gt;100," *",""))</f>
        <v/>
      </c>
      <c r="AK117">
        <f>IF(23&gt;$N117,"",INDEX(Engine!$B$20:$B$43,MOD(SMALL($AN117:$BK117,23),100))&amp;IF(SMALL($AN117:$BK117,23)&gt;100," *",""))</f>
        <v/>
      </c>
      <c r="AL117">
        <f>IF(24&gt;$N117,"",INDEX(Engine!$B$20:$B$43,MOD(SMALL($AN117:$BK117,24),100))&amp;IF(SMALL($AN117:$BK117,24)&gt;100," *",""))</f>
        <v/>
      </c>
      <c r="AN117">
        <f>IF(AND($C20=1,INDEX(Setup!$O$6:$AL$23,14,1)&lt;&gt;"",M20=0),1+IF(INDEX(Setup!$O$6:$AL$23,14,1)="T",100,0),"")</f>
        <v/>
      </c>
      <c r="AO117">
        <f>IF(AND($C21=1,INDEX(Setup!$O$6:$AL$23,14,2)&lt;&gt;"",M21=0),2+IF(INDEX(Setup!$O$6:$AL$23,14,2)="T",100,0),"")</f>
        <v/>
      </c>
      <c r="AP117">
        <f>IF(AND($C22=1,INDEX(Setup!$O$6:$AL$23,14,3)&lt;&gt;"",M22=0),3+IF(INDEX(Setup!$O$6:$AL$23,14,3)="T",100,0),"")</f>
        <v/>
      </c>
      <c r="AQ117">
        <f>IF(AND($C23=1,INDEX(Setup!$O$6:$AL$23,14,4)&lt;&gt;"",M23=0),4+IF(INDEX(Setup!$O$6:$AL$23,14,4)="T",100,0),"")</f>
        <v/>
      </c>
      <c r="AR117">
        <f>IF(AND($C24=1,INDEX(Setup!$O$6:$AL$23,14,5)&lt;&gt;"",M24=0),5+IF(INDEX(Setup!$O$6:$AL$23,14,5)="T",100,0),"")</f>
        <v/>
      </c>
      <c r="AS117">
        <f>IF(AND($C25=1,INDEX(Setup!$O$6:$AL$23,14,6)&lt;&gt;"",M25=0),6+IF(INDEX(Setup!$O$6:$AL$23,14,6)="T",100,0),"")</f>
        <v/>
      </c>
      <c r="AT117">
        <f>IF(AND($C26=1,INDEX(Setup!$O$6:$AL$23,14,7)&lt;&gt;"",M26=0),7+IF(INDEX(Setup!$O$6:$AL$23,14,7)="T",100,0),"")</f>
        <v/>
      </c>
      <c r="AU117">
        <f>IF(AND($C27=1,INDEX(Setup!$O$6:$AL$23,14,8)&lt;&gt;"",M27=0),8+IF(INDEX(Setup!$O$6:$AL$23,14,8)="T",100,0),"")</f>
        <v/>
      </c>
      <c r="AV117">
        <f>IF(AND($C28=1,INDEX(Setup!$O$6:$AL$23,14,9)&lt;&gt;"",M28=0),9+IF(INDEX(Setup!$O$6:$AL$23,14,9)="T",100,0),"")</f>
        <v/>
      </c>
      <c r="AW117">
        <f>IF(AND($C29=1,INDEX(Setup!$O$6:$AL$23,14,10)&lt;&gt;"",M29=0),10+IF(INDEX(Setup!$O$6:$AL$23,14,10)="T",100,0),"")</f>
        <v/>
      </c>
      <c r="AX117">
        <f>IF(AND($C30=1,INDEX(Setup!$O$6:$AL$23,14,11)&lt;&gt;"",M30=0),11+IF(INDEX(Setup!$O$6:$AL$23,14,11)="T",100,0),"")</f>
        <v/>
      </c>
      <c r="AY117">
        <f>IF(AND($C31=1,INDEX(Setup!$O$6:$AL$23,14,12)&lt;&gt;"",M31=0),12+IF(INDEX(Setup!$O$6:$AL$23,14,12)="T",100,0),"")</f>
        <v/>
      </c>
      <c r="AZ117">
        <f>IF(AND($C32=1,INDEX(Setup!$O$6:$AL$23,14,13)&lt;&gt;"",M32=0),13+IF(INDEX(Setup!$O$6:$AL$23,14,13)="T",100,0),"")</f>
        <v/>
      </c>
      <c r="BA117">
        <f>IF(AND($C33=1,INDEX(Setup!$O$6:$AL$23,14,14)&lt;&gt;"",M33=0),14+IF(INDEX(Setup!$O$6:$AL$23,14,14)="T",100,0),"")</f>
        <v/>
      </c>
      <c r="BB117">
        <f>IF(AND($C34=1,INDEX(Setup!$O$6:$AL$23,14,15)&lt;&gt;"",M34=0),15+IF(INDEX(Setup!$O$6:$AL$23,14,15)="T",100,0),"")</f>
        <v/>
      </c>
      <c r="BC117">
        <f>IF(AND($C35=1,INDEX(Setup!$O$6:$AL$23,14,16)&lt;&gt;"",M35=0),16+IF(INDEX(Setup!$O$6:$AL$23,14,16)="T",100,0),"")</f>
        <v/>
      </c>
      <c r="BD117">
        <f>IF(AND($C36=1,INDEX(Setup!$O$6:$AL$23,14,17)&lt;&gt;"",M36=0),17+IF(INDEX(Setup!$O$6:$AL$23,14,17)="T",100,0),"")</f>
        <v/>
      </c>
      <c r="BE117">
        <f>IF(AND($C37=1,INDEX(Setup!$O$6:$AL$23,14,18)&lt;&gt;"",M37=0),18+IF(INDEX(Setup!$O$6:$AL$23,14,18)="T",100,0),"")</f>
        <v/>
      </c>
      <c r="BF117">
        <f>IF(AND($C38=1,INDEX(Setup!$O$6:$AL$23,14,19)&lt;&gt;"",M38=0),19+IF(INDEX(Setup!$O$6:$AL$23,14,19)="T",100,0),"")</f>
        <v/>
      </c>
      <c r="BG117">
        <f>IF(AND($C39=1,INDEX(Setup!$O$6:$AL$23,14,20)&lt;&gt;"",M39=0),20+IF(INDEX(Setup!$O$6:$AL$23,14,20)="T",100,0),"")</f>
        <v/>
      </c>
      <c r="BH117">
        <f>IF(AND($C40=1,INDEX(Setup!$O$6:$AL$23,14,21)&lt;&gt;"",M40=0),21+IF(INDEX(Setup!$O$6:$AL$23,14,21)="T",100,0),"")</f>
        <v/>
      </c>
      <c r="BI117">
        <f>IF(AND($C41=1,INDEX(Setup!$O$6:$AL$23,14,22)&lt;&gt;"",M41=0),22+IF(INDEX(Setup!$O$6:$AL$23,14,22)="T",100,0),"")</f>
        <v/>
      </c>
      <c r="BJ117">
        <f>IF(AND($C42=1,INDEX(Setup!$O$6:$AL$23,14,23)&lt;&gt;"",M42=0),23+IF(INDEX(Setup!$O$6:$AL$23,14,23)="T",100,0),"")</f>
        <v/>
      </c>
      <c r="BK117">
        <f>IF(AND($C43=1,INDEX(Setup!$O$6:$AL$23,14,24)&lt;&gt;"",M43=0),24+IF(INDEX(Setup!$O$6:$AL$23,14,24)="T",100,0),"")</f>
        <v/>
      </c>
      <c r="BM117">
        <f>IF(AND(AN117&lt;&gt;"",COUNTIF($K$60:$M$60,$B20)+COUNTIF($K$60:$M$60,$B20&amp;" ~*")=0),($R20+COUNTIF($H$104:$H116,$B20)+COUNTIF($H$104:$H116,$B20&amp;" ~*"))*1000+IF(AN117&gt;100,500,0)+1,"")</f>
        <v/>
      </c>
      <c r="BN117">
        <f>IF(AND(AO117&lt;&gt;"",COUNTIF($K$60:$M$60,$B21)+COUNTIF($K$60:$M$60,$B21&amp;" ~*")=0),($R21+COUNTIF($H$104:$H116,$B21)+COUNTIF($H$104:$H116,$B21&amp;" ~*"))*1000+IF(AO117&gt;100,500,0)+2,"")</f>
        <v/>
      </c>
      <c r="BO117">
        <f>IF(AND(AP117&lt;&gt;"",COUNTIF($K$60:$M$60,$B22)+COUNTIF($K$60:$M$60,$B22&amp;" ~*")=0),($R22+COUNTIF($H$104:$H116,$B22)+COUNTIF($H$104:$H116,$B22&amp;" ~*"))*1000+IF(AP117&gt;100,500,0)+3,"")</f>
        <v/>
      </c>
      <c r="BP117">
        <f>IF(AND(AQ117&lt;&gt;"",COUNTIF($K$60:$M$60,$B23)+COUNTIF($K$60:$M$60,$B23&amp;" ~*")=0),($R23+COUNTIF($H$104:$H116,$B23)+COUNTIF($H$104:$H116,$B23&amp;" ~*"))*1000+IF(AQ117&gt;100,500,0)+4,"")</f>
        <v/>
      </c>
      <c r="BQ117">
        <f>IF(AND(AR117&lt;&gt;"",COUNTIF($K$60:$M$60,$B24)+COUNTIF($K$60:$M$60,$B24&amp;" ~*")=0),($R24+COUNTIF($H$104:$H116,$B24)+COUNTIF($H$104:$H116,$B24&amp;" ~*"))*1000+IF(AR117&gt;100,500,0)+5,"")</f>
        <v/>
      </c>
      <c r="BR117">
        <f>IF(AND(AS117&lt;&gt;"",COUNTIF($K$60:$M$60,$B25)+COUNTIF($K$60:$M$60,$B25&amp;" ~*")=0),($R25+COUNTIF($H$104:$H116,$B25)+COUNTIF($H$104:$H116,$B25&amp;" ~*"))*1000+IF(AS117&gt;100,500,0)+6,"")</f>
        <v/>
      </c>
      <c r="BS117">
        <f>IF(AND(AT117&lt;&gt;"",COUNTIF($K$60:$M$60,$B26)+COUNTIF($K$60:$M$60,$B26&amp;" ~*")=0),($R26+COUNTIF($H$104:$H116,$B26)+COUNTIF($H$104:$H116,$B26&amp;" ~*"))*1000+IF(AT117&gt;100,500,0)+7,"")</f>
        <v/>
      </c>
      <c r="BT117">
        <f>IF(AND(AU117&lt;&gt;"",COUNTIF($K$60:$M$60,$B27)+COUNTIF($K$60:$M$60,$B27&amp;" ~*")=0),($R27+COUNTIF($H$104:$H116,$B27)+COUNTIF($H$104:$H116,$B27&amp;" ~*"))*1000+IF(AU117&gt;100,500,0)+8,"")</f>
        <v/>
      </c>
      <c r="BU117">
        <f>IF(AND(AV117&lt;&gt;"",COUNTIF($K$60:$M$60,$B28)+COUNTIF($K$60:$M$60,$B28&amp;" ~*")=0),($R28+COUNTIF($H$104:$H116,$B28)+COUNTIF($H$104:$H116,$B28&amp;" ~*"))*1000+IF(AV117&gt;100,500,0)+9,"")</f>
        <v/>
      </c>
      <c r="BV117">
        <f>IF(AND(AW117&lt;&gt;"",COUNTIF($K$60:$M$60,$B29)+COUNTIF($K$60:$M$60,$B29&amp;" ~*")=0),($R29+COUNTIF($H$104:$H116,$B29)+COUNTIF($H$104:$H116,$B29&amp;" ~*"))*1000+IF(AW117&gt;100,500,0)+10,"")</f>
        <v/>
      </c>
      <c r="BW117">
        <f>IF(AND(AX117&lt;&gt;"",COUNTIF($K$60:$M$60,$B30)+COUNTIF($K$60:$M$60,$B30&amp;" ~*")=0),($R30+COUNTIF($H$104:$H116,$B30)+COUNTIF($H$104:$H116,$B30&amp;" ~*"))*1000+IF(AX117&gt;100,500,0)+11,"")</f>
        <v/>
      </c>
      <c r="BX117">
        <f>IF(AND(AY117&lt;&gt;"",COUNTIF($K$60:$M$60,$B31)+COUNTIF($K$60:$M$60,$B31&amp;" ~*")=0),($R31+COUNTIF($H$104:$H116,$B31)+COUNTIF($H$104:$H116,$B31&amp;" ~*"))*1000+IF(AY117&gt;100,500,0)+12,"")</f>
        <v/>
      </c>
      <c r="BY117">
        <f>IF(AND(AZ117&lt;&gt;"",COUNTIF($K$60:$M$60,$B32)+COUNTIF($K$60:$M$60,$B32&amp;" ~*")=0),($R32+COUNTIF($H$104:$H116,$B32)+COUNTIF($H$104:$H116,$B32&amp;" ~*"))*1000+IF(AZ117&gt;100,500,0)+13,"")</f>
        <v/>
      </c>
      <c r="BZ117">
        <f>IF(AND(BA117&lt;&gt;"",COUNTIF($K$60:$M$60,$B33)+COUNTIF($K$60:$M$60,$B33&amp;" ~*")=0),($R33+COUNTIF($H$104:$H116,$B33)+COUNTIF($H$104:$H116,$B33&amp;" ~*"))*1000+IF(BA117&gt;100,500,0)+14,"")</f>
        <v/>
      </c>
      <c r="CA117">
        <f>IF(AND(BB117&lt;&gt;"",COUNTIF($K$60:$M$60,$B34)+COUNTIF($K$60:$M$60,$B34&amp;" ~*")=0),($R34+COUNTIF($H$104:$H116,$B34)+COUNTIF($H$104:$H116,$B34&amp;" ~*"))*1000+IF(BB117&gt;100,500,0)+15,"")</f>
        <v/>
      </c>
      <c r="CB117">
        <f>IF(AND(BC117&lt;&gt;"",COUNTIF($K$60:$M$60,$B35)+COUNTIF($K$60:$M$60,$B35&amp;" ~*")=0),($R35+COUNTIF($H$104:$H116,$B35)+COUNTIF($H$104:$H116,$B35&amp;" ~*"))*1000+IF(BC117&gt;100,500,0)+16,"")</f>
        <v/>
      </c>
      <c r="CC117">
        <f>IF(AND(BD117&lt;&gt;"",COUNTIF($K$60:$M$60,$B36)+COUNTIF($K$60:$M$60,$B36&amp;" ~*")=0),($R36+COUNTIF($H$104:$H116,$B36)+COUNTIF($H$104:$H116,$B36&amp;" ~*"))*1000+IF(BD117&gt;100,500,0)+17,"")</f>
        <v/>
      </c>
      <c r="CD117">
        <f>IF(AND(BE117&lt;&gt;"",COUNTIF($K$60:$M$60,$B37)+COUNTIF($K$60:$M$60,$B37&amp;" ~*")=0),($R37+COUNTIF($H$104:$H116,$B37)+COUNTIF($H$104:$H116,$B37&amp;" ~*"))*1000+IF(BE117&gt;100,500,0)+18,"")</f>
        <v/>
      </c>
      <c r="CE117">
        <f>IF(AND(BF117&lt;&gt;"",COUNTIF($K$60:$M$60,$B38)+COUNTIF($K$60:$M$60,$B38&amp;" ~*")=0),($R38+COUNTIF($H$104:$H116,$B38)+COUNTIF($H$104:$H116,$B38&amp;" ~*"))*1000+IF(BF117&gt;100,500,0)+19,"")</f>
        <v/>
      </c>
      <c r="CF117">
        <f>IF(AND(BG117&lt;&gt;"",COUNTIF($K$60:$M$60,$B39)+COUNTIF($K$60:$M$60,$B39&amp;" ~*")=0),($R39+COUNTIF($H$104:$H116,$B39)+COUNTIF($H$104:$H116,$B39&amp;" ~*"))*1000+IF(BG117&gt;100,500,0)+20,"")</f>
        <v/>
      </c>
      <c r="CG117">
        <f>IF(AND(BH117&lt;&gt;"",COUNTIF($K$60:$M$60,$B40)+COUNTIF($K$60:$M$60,$B40&amp;" ~*")=0),($R40+COUNTIF($H$104:$H116,$B40)+COUNTIF($H$104:$H116,$B40&amp;" ~*"))*1000+IF(BH117&gt;100,500,0)+21,"")</f>
        <v/>
      </c>
      <c r="CH117">
        <f>IF(AND(BI117&lt;&gt;"",COUNTIF($K$60:$M$60,$B41)+COUNTIF($K$60:$M$60,$B41&amp;" ~*")=0),($R41+COUNTIF($H$104:$H116,$B41)+COUNTIF($H$104:$H116,$B41&amp;" ~*"))*1000+IF(BI117&gt;100,500,0)+22,"")</f>
        <v/>
      </c>
      <c r="CI117">
        <f>IF(AND(BJ117&lt;&gt;"",COUNTIF($K$60:$M$60,$B42)+COUNTIF($K$60:$M$60,$B42&amp;" ~*")=0),($R42+COUNTIF($H$104:$H116,$B42)+COUNTIF($H$104:$H116,$B42&amp;" ~*"))*1000+IF(BJ117&gt;100,500,0)+23,"")</f>
        <v/>
      </c>
      <c r="CJ117">
        <f>IF(AND(BK117&lt;&gt;"",COUNTIF($K$60:$M$60,$B43)+COUNTIF($K$60:$M$60,$B43&amp;" ~*")=0),($R43+COUNTIF($H$104:$H116,$B43)+COUNTIF($H$104:$H116,$B43&amp;" ~*"))*1000+IF(BK117&gt;100,500,0)+24,"")</f>
        <v/>
      </c>
    </row>
    <row r="118">
      <c r="A118" t="n">
        <v>3</v>
      </c>
      <c r="B118" t="n">
        <v>15</v>
      </c>
      <c r="C118">
        <f>$B$61</f>
        <v/>
      </c>
      <c r="D118" t="inlineStr">
        <is>
          <t>Wed</t>
        </is>
      </c>
      <c r="E118">
        <f>IF(C118="","",N($AB$61))</f>
        <v/>
      </c>
      <c r="F118">
        <f>IF(C118="","",COUNTIF($K$61:$M$61,"?*"))</f>
        <v/>
      </c>
      <c r="G118">
        <f>IF(C118="","",MAX(0,E118-F118))</f>
        <v/>
      </c>
      <c r="H118">
        <f>IF(N(G118)=0,"",IF(COUNT(BM118:CJ118)=0,"no-one eligible",INDEX(Engine!$B$20:$B$43,MOD(MIN(BM118:CJ118),500))&amp;IF(MOD(MIN(BM118:CJ118),1000)&gt;=500," *","")))</f>
        <v/>
      </c>
      <c r="I118">
        <f>IF(N(G118)&gt;0,COUNTIF($G$68:G118,"&gt;0"),"")</f>
        <v/>
      </c>
      <c r="J118">
        <f>IF(C118="","",IF($K$61="",0,IF(IFERROR(INDEX(Setup!$O$6:$AL$23,15,MATCH(SUBSTITUTE($K$61," *",""),Setup!$B$6:$B$29,0)),"")="",1,0))+IF($L$61="",0,IF(IFERROR(INDEX(Setup!$O$6:$AL$23,15,MATCH(SUBSTITUTE($L$61," *",""),Setup!$B$6:$B$29,0)),"")="",1,0))+IF($M$61="",0,IF(IFERROR(INDEX(Setup!$O$6:$AL$23,15,MATCH(SUBSTITUTE($M$61," *",""),Setup!$B$6:$B$29,0)),"")="",1,0)))</f>
        <v/>
      </c>
      <c r="K118">
        <f>IF($B$12+2=TODAY(),1,0)</f>
        <v/>
      </c>
      <c r="N118">
        <f>COUNT($AN118:$BK118)</f>
        <v/>
      </c>
      <c r="O118">
        <f>IF(1&gt;$N118,"",INDEX(Engine!$B$20:$B$43,MOD(SMALL($AN118:$BK118,1),100))&amp;IF(SMALL($AN118:$BK118,1)&gt;100," *",""))</f>
        <v/>
      </c>
      <c r="P118">
        <f>IF(2&gt;$N118,"",INDEX(Engine!$B$20:$B$43,MOD(SMALL($AN118:$BK118,2),100))&amp;IF(SMALL($AN118:$BK118,2)&gt;100," *",""))</f>
        <v/>
      </c>
      <c r="Q118">
        <f>IF(3&gt;$N118,"",INDEX(Engine!$B$20:$B$43,MOD(SMALL($AN118:$BK118,3),100))&amp;IF(SMALL($AN118:$BK118,3)&gt;100," *",""))</f>
        <v/>
      </c>
      <c r="R118">
        <f>IF(4&gt;$N118,"",INDEX(Engine!$B$20:$B$43,MOD(SMALL($AN118:$BK118,4),100))&amp;IF(SMALL($AN118:$BK118,4)&gt;100," *",""))</f>
        <v/>
      </c>
      <c r="S118">
        <f>IF(5&gt;$N118,"",INDEX(Engine!$B$20:$B$43,MOD(SMALL($AN118:$BK118,5),100))&amp;IF(SMALL($AN118:$BK118,5)&gt;100," *",""))</f>
        <v/>
      </c>
      <c r="T118">
        <f>IF(6&gt;$N118,"",INDEX(Engine!$B$20:$B$43,MOD(SMALL($AN118:$BK118,6),100))&amp;IF(SMALL($AN118:$BK118,6)&gt;100," *",""))</f>
        <v/>
      </c>
      <c r="U118">
        <f>IF(7&gt;$N118,"",INDEX(Engine!$B$20:$B$43,MOD(SMALL($AN118:$BK118,7),100))&amp;IF(SMALL($AN118:$BK118,7)&gt;100," *",""))</f>
        <v/>
      </c>
      <c r="V118">
        <f>IF(8&gt;$N118,"",INDEX(Engine!$B$20:$B$43,MOD(SMALL($AN118:$BK118,8),100))&amp;IF(SMALL($AN118:$BK118,8)&gt;100," *",""))</f>
        <v/>
      </c>
      <c r="W118">
        <f>IF(9&gt;$N118,"",INDEX(Engine!$B$20:$B$43,MOD(SMALL($AN118:$BK118,9),100))&amp;IF(SMALL($AN118:$BK118,9)&gt;100," *",""))</f>
        <v/>
      </c>
      <c r="X118">
        <f>IF(10&gt;$N118,"",INDEX(Engine!$B$20:$B$43,MOD(SMALL($AN118:$BK118,10),100))&amp;IF(SMALL($AN118:$BK118,10)&gt;100," *",""))</f>
        <v/>
      </c>
      <c r="Y118">
        <f>IF(11&gt;$N118,"",INDEX(Engine!$B$20:$B$43,MOD(SMALL($AN118:$BK118,11),100))&amp;IF(SMALL($AN118:$BK118,11)&gt;100," *",""))</f>
        <v/>
      </c>
      <c r="Z118">
        <f>IF(12&gt;$N118,"",INDEX(Engine!$B$20:$B$43,MOD(SMALL($AN118:$BK118,12),100))&amp;IF(SMALL($AN118:$BK118,12)&gt;100," *",""))</f>
        <v/>
      </c>
      <c r="AA118">
        <f>IF(13&gt;$N118,"",INDEX(Engine!$B$20:$B$43,MOD(SMALL($AN118:$BK118,13),100))&amp;IF(SMALL($AN118:$BK118,13)&gt;100," *",""))</f>
        <v/>
      </c>
      <c r="AB118">
        <f>IF(14&gt;$N118,"",INDEX(Engine!$B$20:$B$43,MOD(SMALL($AN118:$BK118,14),100))&amp;IF(SMALL($AN118:$BK118,14)&gt;100," *",""))</f>
        <v/>
      </c>
      <c r="AC118">
        <f>IF(15&gt;$N118,"",INDEX(Engine!$B$20:$B$43,MOD(SMALL($AN118:$BK118,15),100))&amp;IF(SMALL($AN118:$BK118,15)&gt;100," *",""))</f>
        <v/>
      </c>
      <c r="AD118">
        <f>IF(16&gt;$N118,"",INDEX(Engine!$B$20:$B$43,MOD(SMALL($AN118:$BK118,16),100))&amp;IF(SMALL($AN118:$BK118,16)&gt;100," *",""))</f>
        <v/>
      </c>
      <c r="AE118">
        <f>IF(17&gt;$N118,"",INDEX(Engine!$B$20:$B$43,MOD(SMALL($AN118:$BK118,17),100))&amp;IF(SMALL($AN118:$BK118,17)&gt;100," *",""))</f>
        <v/>
      </c>
      <c r="AF118">
        <f>IF(18&gt;$N118,"",INDEX(Engine!$B$20:$B$43,MOD(SMALL($AN118:$BK118,18),100))&amp;IF(SMALL($AN118:$BK118,18)&gt;100," *",""))</f>
        <v/>
      </c>
      <c r="AG118">
        <f>IF(19&gt;$N118,"",INDEX(Engine!$B$20:$B$43,MOD(SMALL($AN118:$BK118,19),100))&amp;IF(SMALL($AN118:$BK118,19)&gt;100," *",""))</f>
        <v/>
      </c>
      <c r="AH118">
        <f>IF(20&gt;$N118,"",INDEX(Engine!$B$20:$B$43,MOD(SMALL($AN118:$BK118,20),100))&amp;IF(SMALL($AN118:$BK118,20)&gt;100," *",""))</f>
        <v/>
      </c>
      <c r="AI118">
        <f>IF(21&gt;$N118,"",INDEX(Engine!$B$20:$B$43,MOD(SMALL($AN118:$BK118,21),100))&amp;IF(SMALL($AN118:$BK118,21)&gt;100," *",""))</f>
        <v/>
      </c>
      <c r="AJ118">
        <f>IF(22&gt;$N118,"",INDEX(Engine!$B$20:$B$43,MOD(SMALL($AN118:$BK118,22),100))&amp;IF(SMALL($AN118:$BK118,22)&gt;100," *",""))</f>
        <v/>
      </c>
      <c r="AK118">
        <f>IF(23&gt;$N118,"",INDEX(Engine!$B$20:$B$43,MOD(SMALL($AN118:$BK118,23),100))&amp;IF(SMALL($AN118:$BK118,23)&gt;100," *",""))</f>
        <v/>
      </c>
      <c r="AL118">
        <f>IF(24&gt;$N118,"",INDEX(Engine!$B$20:$B$43,MOD(SMALL($AN118:$BK118,24),100))&amp;IF(SMALL($AN118:$BK118,24)&gt;100," *",""))</f>
        <v/>
      </c>
      <c r="AN118">
        <f>IF(AND($C20=1,INDEX(Setup!$O$6:$AL$23,15,1)&lt;&gt;"",M20=0),1+IF(INDEX(Setup!$O$6:$AL$23,15,1)="T",100,0),"")</f>
        <v/>
      </c>
      <c r="AO118">
        <f>IF(AND($C21=1,INDEX(Setup!$O$6:$AL$23,15,2)&lt;&gt;"",M21=0),2+IF(INDEX(Setup!$O$6:$AL$23,15,2)="T",100,0),"")</f>
        <v/>
      </c>
      <c r="AP118">
        <f>IF(AND($C22=1,INDEX(Setup!$O$6:$AL$23,15,3)&lt;&gt;"",M22=0),3+IF(INDEX(Setup!$O$6:$AL$23,15,3)="T",100,0),"")</f>
        <v/>
      </c>
      <c r="AQ118">
        <f>IF(AND($C23=1,INDEX(Setup!$O$6:$AL$23,15,4)&lt;&gt;"",M23=0),4+IF(INDEX(Setup!$O$6:$AL$23,15,4)="T",100,0),"")</f>
        <v/>
      </c>
      <c r="AR118">
        <f>IF(AND($C24=1,INDEX(Setup!$O$6:$AL$23,15,5)&lt;&gt;"",M24=0),5+IF(INDEX(Setup!$O$6:$AL$23,15,5)="T",100,0),"")</f>
        <v/>
      </c>
      <c r="AS118">
        <f>IF(AND($C25=1,INDEX(Setup!$O$6:$AL$23,15,6)&lt;&gt;"",M25=0),6+IF(INDEX(Setup!$O$6:$AL$23,15,6)="T",100,0),"")</f>
        <v/>
      </c>
      <c r="AT118">
        <f>IF(AND($C26=1,INDEX(Setup!$O$6:$AL$23,15,7)&lt;&gt;"",M26=0),7+IF(INDEX(Setup!$O$6:$AL$23,15,7)="T",100,0),"")</f>
        <v/>
      </c>
      <c r="AU118">
        <f>IF(AND($C27=1,INDEX(Setup!$O$6:$AL$23,15,8)&lt;&gt;"",M27=0),8+IF(INDEX(Setup!$O$6:$AL$23,15,8)="T",100,0),"")</f>
        <v/>
      </c>
      <c r="AV118">
        <f>IF(AND($C28=1,INDEX(Setup!$O$6:$AL$23,15,9)&lt;&gt;"",M28=0),9+IF(INDEX(Setup!$O$6:$AL$23,15,9)="T",100,0),"")</f>
        <v/>
      </c>
      <c r="AW118">
        <f>IF(AND($C29=1,INDEX(Setup!$O$6:$AL$23,15,10)&lt;&gt;"",M29=0),10+IF(INDEX(Setup!$O$6:$AL$23,15,10)="T",100,0),"")</f>
        <v/>
      </c>
      <c r="AX118">
        <f>IF(AND($C30=1,INDEX(Setup!$O$6:$AL$23,15,11)&lt;&gt;"",M30=0),11+IF(INDEX(Setup!$O$6:$AL$23,15,11)="T",100,0),"")</f>
        <v/>
      </c>
      <c r="AY118">
        <f>IF(AND($C31=1,INDEX(Setup!$O$6:$AL$23,15,12)&lt;&gt;"",M31=0),12+IF(INDEX(Setup!$O$6:$AL$23,15,12)="T",100,0),"")</f>
        <v/>
      </c>
      <c r="AZ118">
        <f>IF(AND($C32=1,INDEX(Setup!$O$6:$AL$23,15,13)&lt;&gt;"",M32=0),13+IF(INDEX(Setup!$O$6:$AL$23,15,13)="T",100,0),"")</f>
        <v/>
      </c>
      <c r="BA118">
        <f>IF(AND($C33=1,INDEX(Setup!$O$6:$AL$23,15,14)&lt;&gt;"",M33=0),14+IF(INDEX(Setup!$O$6:$AL$23,15,14)="T",100,0),"")</f>
        <v/>
      </c>
      <c r="BB118">
        <f>IF(AND($C34=1,INDEX(Setup!$O$6:$AL$23,15,15)&lt;&gt;"",M34=0),15+IF(INDEX(Setup!$O$6:$AL$23,15,15)="T",100,0),"")</f>
        <v/>
      </c>
      <c r="BC118">
        <f>IF(AND($C35=1,INDEX(Setup!$O$6:$AL$23,15,16)&lt;&gt;"",M35=0),16+IF(INDEX(Setup!$O$6:$AL$23,15,16)="T",100,0),"")</f>
        <v/>
      </c>
      <c r="BD118">
        <f>IF(AND($C36=1,INDEX(Setup!$O$6:$AL$23,15,17)&lt;&gt;"",M36=0),17+IF(INDEX(Setup!$O$6:$AL$23,15,17)="T",100,0),"")</f>
        <v/>
      </c>
      <c r="BE118">
        <f>IF(AND($C37=1,INDEX(Setup!$O$6:$AL$23,15,18)&lt;&gt;"",M37=0),18+IF(INDEX(Setup!$O$6:$AL$23,15,18)="T",100,0),"")</f>
        <v/>
      </c>
      <c r="BF118">
        <f>IF(AND($C38=1,INDEX(Setup!$O$6:$AL$23,15,19)&lt;&gt;"",M38=0),19+IF(INDEX(Setup!$O$6:$AL$23,15,19)="T",100,0),"")</f>
        <v/>
      </c>
      <c r="BG118">
        <f>IF(AND($C39=1,INDEX(Setup!$O$6:$AL$23,15,20)&lt;&gt;"",M39=0),20+IF(INDEX(Setup!$O$6:$AL$23,15,20)="T",100,0),"")</f>
        <v/>
      </c>
      <c r="BH118">
        <f>IF(AND($C40=1,INDEX(Setup!$O$6:$AL$23,15,21)&lt;&gt;"",M40=0),21+IF(INDEX(Setup!$O$6:$AL$23,15,21)="T",100,0),"")</f>
        <v/>
      </c>
      <c r="BI118">
        <f>IF(AND($C41=1,INDEX(Setup!$O$6:$AL$23,15,22)&lt;&gt;"",M41=0),22+IF(INDEX(Setup!$O$6:$AL$23,15,22)="T",100,0),"")</f>
        <v/>
      </c>
      <c r="BJ118">
        <f>IF(AND($C42=1,INDEX(Setup!$O$6:$AL$23,15,23)&lt;&gt;"",M42=0),23+IF(INDEX(Setup!$O$6:$AL$23,15,23)="T",100,0),"")</f>
        <v/>
      </c>
      <c r="BK118">
        <f>IF(AND($C43=1,INDEX(Setup!$O$6:$AL$23,15,24)&lt;&gt;"",M43=0),24+IF(INDEX(Setup!$O$6:$AL$23,15,24)="T",100,0),"")</f>
        <v/>
      </c>
      <c r="BM118">
        <f>IF(AND(AN118&lt;&gt;"",COUNTIF($K$61:$M$61,$B20)+COUNTIF($K$61:$M$61,$B20&amp;" ~*")=0),($R20+COUNTIF($H$104:$H117,$B20)+COUNTIF($H$104:$H117,$B20&amp;" ~*"))*1000+IF(AN118&gt;100,500,0)+1,"")</f>
        <v/>
      </c>
      <c r="BN118">
        <f>IF(AND(AO118&lt;&gt;"",COUNTIF($K$61:$M$61,$B21)+COUNTIF($K$61:$M$61,$B21&amp;" ~*")=0),($R21+COUNTIF($H$104:$H117,$B21)+COUNTIF($H$104:$H117,$B21&amp;" ~*"))*1000+IF(AO118&gt;100,500,0)+2,"")</f>
        <v/>
      </c>
      <c r="BO118">
        <f>IF(AND(AP118&lt;&gt;"",COUNTIF($K$61:$M$61,$B22)+COUNTIF($K$61:$M$61,$B22&amp;" ~*")=0),($R22+COUNTIF($H$104:$H117,$B22)+COUNTIF($H$104:$H117,$B22&amp;" ~*"))*1000+IF(AP118&gt;100,500,0)+3,"")</f>
        <v/>
      </c>
      <c r="BP118">
        <f>IF(AND(AQ118&lt;&gt;"",COUNTIF($K$61:$M$61,$B23)+COUNTIF($K$61:$M$61,$B23&amp;" ~*")=0),($R23+COUNTIF($H$104:$H117,$B23)+COUNTIF($H$104:$H117,$B23&amp;" ~*"))*1000+IF(AQ118&gt;100,500,0)+4,"")</f>
        <v/>
      </c>
      <c r="BQ118">
        <f>IF(AND(AR118&lt;&gt;"",COUNTIF($K$61:$M$61,$B24)+COUNTIF($K$61:$M$61,$B24&amp;" ~*")=0),($R24+COUNTIF($H$104:$H117,$B24)+COUNTIF($H$104:$H117,$B24&amp;" ~*"))*1000+IF(AR118&gt;100,500,0)+5,"")</f>
        <v/>
      </c>
      <c r="BR118">
        <f>IF(AND(AS118&lt;&gt;"",COUNTIF($K$61:$M$61,$B25)+COUNTIF($K$61:$M$61,$B25&amp;" ~*")=0),($R25+COUNTIF($H$104:$H117,$B25)+COUNTIF($H$104:$H117,$B25&amp;" ~*"))*1000+IF(AS118&gt;100,500,0)+6,"")</f>
        <v/>
      </c>
      <c r="BS118">
        <f>IF(AND(AT118&lt;&gt;"",COUNTIF($K$61:$M$61,$B26)+COUNTIF($K$61:$M$61,$B26&amp;" ~*")=0),($R26+COUNTIF($H$104:$H117,$B26)+COUNTIF($H$104:$H117,$B26&amp;" ~*"))*1000+IF(AT118&gt;100,500,0)+7,"")</f>
        <v/>
      </c>
      <c r="BT118">
        <f>IF(AND(AU118&lt;&gt;"",COUNTIF($K$61:$M$61,$B27)+COUNTIF($K$61:$M$61,$B27&amp;" ~*")=0),($R27+COUNTIF($H$104:$H117,$B27)+COUNTIF($H$104:$H117,$B27&amp;" ~*"))*1000+IF(AU118&gt;100,500,0)+8,"")</f>
        <v/>
      </c>
      <c r="BU118">
        <f>IF(AND(AV118&lt;&gt;"",COUNTIF($K$61:$M$61,$B28)+COUNTIF($K$61:$M$61,$B28&amp;" ~*")=0),($R28+COUNTIF($H$104:$H117,$B28)+COUNTIF($H$104:$H117,$B28&amp;" ~*"))*1000+IF(AV118&gt;100,500,0)+9,"")</f>
        <v/>
      </c>
      <c r="BV118">
        <f>IF(AND(AW118&lt;&gt;"",COUNTIF($K$61:$M$61,$B29)+COUNTIF($K$61:$M$61,$B29&amp;" ~*")=0),($R29+COUNTIF($H$104:$H117,$B29)+COUNTIF($H$104:$H117,$B29&amp;" ~*"))*1000+IF(AW118&gt;100,500,0)+10,"")</f>
        <v/>
      </c>
      <c r="BW118">
        <f>IF(AND(AX118&lt;&gt;"",COUNTIF($K$61:$M$61,$B30)+COUNTIF($K$61:$M$61,$B30&amp;" ~*")=0),($R30+COUNTIF($H$104:$H117,$B30)+COUNTIF($H$104:$H117,$B30&amp;" ~*"))*1000+IF(AX118&gt;100,500,0)+11,"")</f>
        <v/>
      </c>
      <c r="BX118">
        <f>IF(AND(AY118&lt;&gt;"",COUNTIF($K$61:$M$61,$B31)+COUNTIF($K$61:$M$61,$B31&amp;" ~*")=0),($R31+COUNTIF($H$104:$H117,$B31)+COUNTIF($H$104:$H117,$B31&amp;" ~*"))*1000+IF(AY118&gt;100,500,0)+12,"")</f>
        <v/>
      </c>
      <c r="BY118">
        <f>IF(AND(AZ118&lt;&gt;"",COUNTIF($K$61:$M$61,$B32)+COUNTIF($K$61:$M$61,$B32&amp;" ~*")=0),($R32+COUNTIF($H$104:$H117,$B32)+COUNTIF($H$104:$H117,$B32&amp;" ~*"))*1000+IF(AZ118&gt;100,500,0)+13,"")</f>
        <v/>
      </c>
      <c r="BZ118">
        <f>IF(AND(BA118&lt;&gt;"",COUNTIF($K$61:$M$61,$B33)+COUNTIF($K$61:$M$61,$B33&amp;" ~*")=0),($R33+COUNTIF($H$104:$H117,$B33)+COUNTIF($H$104:$H117,$B33&amp;" ~*"))*1000+IF(BA118&gt;100,500,0)+14,"")</f>
        <v/>
      </c>
      <c r="CA118">
        <f>IF(AND(BB118&lt;&gt;"",COUNTIF($K$61:$M$61,$B34)+COUNTIF($K$61:$M$61,$B34&amp;" ~*")=0),($R34+COUNTIF($H$104:$H117,$B34)+COUNTIF($H$104:$H117,$B34&amp;" ~*"))*1000+IF(BB118&gt;100,500,0)+15,"")</f>
        <v/>
      </c>
      <c r="CB118">
        <f>IF(AND(BC118&lt;&gt;"",COUNTIF($K$61:$M$61,$B35)+COUNTIF($K$61:$M$61,$B35&amp;" ~*")=0),($R35+COUNTIF($H$104:$H117,$B35)+COUNTIF($H$104:$H117,$B35&amp;" ~*"))*1000+IF(BC118&gt;100,500,0)+16,"")</f>
        <v/>
      </c>
      <c r="CC118">
        <f>IF(AND(BD118&lt;&gt;"",COUNTIF($K$61:$M$61,$B36)+COUNTIF($K$61:$M$61,$B36&amp;" ~*")=0),($R36+COUNTIF($H$104:$H117,$B36)+COUNTIF($H$104:$H117,$B36&amp;" ~*"))*1000+IF(BD118&gt;100,500,0)+17,"")</f>
        <v/>
      </c>
      <c r="CD118">
        <f>IF(AND(BE118&lt;&gt;"",COUNTIF($K$61:$M$61,$B37)+COUNTIF($K$61:$M$61,$B37&amp;" ~*")=0),($R37+COUNTIF($H$104:$H117,$B37)+COUNTIF($H$104:$H117,$B37&amp;" ~*"))*1000+IF(BE118&gt;100,500,0)+18,"")</f>
        <v/>
      </c>
      <c r="CE118">
        <f>IF(AND(BF118&lt;&gt;"",COUNTIF($K$61:$M$61,$B38)+COUNTIF($K$61:$M$61,$B38&amp;" ~*")=0),($R38+COUNTIF($H$104:$H117,$B38)+COUNTIF($H$104:$H117,$B38&amp;" ~*"))*1000+IF(BF118&gt;100,500,0)+19,"")</f>
        <v/>
      </c>
      <c r="CF118">
        <f>IF(AND(BG118&lt;&gt;"",COUNTIF($K$61:$M$61,$B39)+COUNTIF($K$61:$M$61,$B39&amp;" ~*")=0),($R39+COUNTIF($H$104:$H117,$B39)+COUNTIF($H$104:$H117,$B39&amp;" ~*"))*1000+IF(BG118&gt;100,500,0)+20,"")</f>
        <v/>
      </c>
      <c r="CG118">
        <f>IF(AND(BH118&lt;&gt;"",COUNTIF($K$61:$M$61,$B40)+COUNTIF($K$61:$M$61,$B40&amp;" ~*")=0),($R40+COUNTIF($H$104:$H117,$B40)+COUNTIF($H$104:$H117,$B40&amp;" ~*"))*1000+IF(BH118&gt;100,500,0)+21,"")</f>
        <v/>
      </c>
      <c r="CH118">
        <f>IF(AND(BI118&lt;&gt;"",COUNTIF($K$61:$M$61,$B41)+COUNTIF($K$61:$M$61,$B41&amp;" ~*")=0),($R41+COUNTIF($H$104:$H117,$B41)+COUNTIF($H$104:$H117,$B41&amp;" ~*"))*1000+IF(BI118&gt;100,500,0)+22,"")</f>
        <v/>
      </c>
      <c r="CI118">
        <f>IF(AND(BJ118&lt;&gt;"",COUNTIF($K$61:$M$61,$B42)+COUNTIF($K$61:$M$61,$B42&amp;" ~*")=0),($R42+COUNTIF($H$104:$H117,$B42)+COUNTIF($H$104:$H117,$B42&amp;" ~*"))*1000+IF(BJ118&gt;100,500,0)+23,"")</f>
        <v/>
      </c>
      <c r="CJ118">
        <f>IF(AND(BK118&lt;&gt;"",COUNTIF($K$61:$M$61,$B43)+COUNTIF($K$61:$M$61,$B43&amp;" ~*")=0),($R43+COUNTIF($H$104:$H117,$B43)+COUNTIF($H$104:$H117,$B43&amp;" ~*"))*1000+IF(BK118&gt;100,500,0)+24,"")</f>
        <v/>
      </c>
    </row>
    <row r="119">
      <c r="A119" t="n">
        <v>3</v>
      </c>
      <c r="B119" t="n">
        <v>16</v>
      </c>
      <c r="C119">
        <f>$B$62</f>
        <v/>
      </c>
      <c r="D119" t="inlineStr">
        <is>
          <t>Wed</t>
        </is>
      </c>
      <c r="E119">
        <f>IF(C119="","",N($AB$62))</f>
        <v/>
      </c>
      <c r="F119">
        <f>IF(C119="","",COUNTIF($K$62:$M$62,"?*"))</f>
        <v/>
      </c>
      <c r="G119">
        <f>IF(C119="","",MAX(0,E119-F119))</f>
        <v/>
      </c>
      <c r="H119">
        <f>IF(N(G119)=0,"",IF(COUNT(BM119:CJ119)=0,"no-one eligible",INDEX(Engine!$B$20:$B$43,MOD(MIN(BM119:CJ119),500))&amp;IF(MOD(MIN(BM119:CJ119),1000)&gt;=500," *","")))</f>
        <v/>
      </c>
      <c r="I119">
        <f>IF(N(G119)&gt;0,COUNTIF($G$68:G119,"&gt;0"),"")</f>
        <v/>
      </c>
      <c r="J119">
        <f>IF(C119="","",IF($K$62="",0,IF(IFERROR(INDEX(Setup!$O$6:$AL$23,16,MATCH(SUBSTITUTE($K$62," *",""),Setup!$B$6:$B$29,0)),"")="",1,0))+IF($L$62="",0,IF(IFERROR(INDEX(Setup!$O$6:$AL$23,16,MATCH(SUBSTITUTE($L$62," *",""),Setup!$B$6:$B$29,0)),"")="",1,0))+IF($M$62="",0,IF(IFERROR(INDEX(Setup!$O$6:$AL$23,16,MATCH(SUBSTITUTE($M$62," *",""),Setup!$B$6:$B$29,0)),"")="",1,0)))</f>
        <v/>
      </c>
      <c r="K119">
        <f>IF($B$12+2=TODAY(),1,0)</f>
        <v/>
      </c>
      <c r="N119">
        <f>COUNT($AN119:$BK119)</f>
        <v/>
      </c>
      <c r="O119">
        <f>IF(1&gt;$N119,"",INDEX(Engine!$B$20:$B$43,MOD(SMALL($AN119:$BK119,1),100))&amp;IF(SMALL($AN119:$BK119,1)&gt;100," *",""))</f>
        <v/>
      </c>
      <c r="P119">
        <f>IF(2&gt;$N119,"",INDEX(Engine!$B$20:$B$43,MOD(SMALL($AN119:$BK119,2),100))&amp;IF(SMALL($AN119:$BK119,2)&gt;100," *",""))</f>
        <v/>
      </c>
      <c r="Q119">
        <f>IF(3&gt;$N119,"",INDEX(Engine!$B$20:$B$43,MOD(SMALL($AN119:$BK119,3),100))&amp;IF(SMALL($AN119:$BK119,3)&gt;100," *",""))</f>
        <v/>
      </c>
      <c r="R119">
        <f>IF(4&gt;$N119,"",INDEX(Engine!$B$20:$B$43,MOD(SMALL($AN119:$BK119,4),100))&amp;IF(SMALL($AN119:$BK119,4)&gt;100," *",""))</f>
        <v/>
      </c>
      <c r="S119">
        <f>IF(5&gt;$N119,"",INDEX(Engine!$B$20:$B$43,MOD(SMALL($AN119:$BK119,5),100))&amp;IF(SMALL($AN119:$BK119,5)&gt;100," *",""))</f>
        <v/>
      </c>
      <c r="T119">
        <f>IF(6&gt;$N119,"",INDEX(Engine!$B$20:$B$43,MOD(SMALL($AN119:$BK119,6),100))&amp;IF(SMALL($AN119:$BK119,6)&gt;100," *",""))</f>
        <v/>
      </c>
      <c r="U119">
        <f>IF(7&gt;$N119,"",INDEX(Engine!$B$20:$B$43,MOD(SMALL($AN119:$BK119,7),100))&amp;IF(SMALL($AN119:$BK119,7)&gt;100," *",""))</f>
        <v/>
      </c>
      <c r="V119">
        <f>IF(8&gt;$N119,"",INDEX(Engine!$B$20:$B$43,MOD(SMALL($AN119:$BK119,8),100))&amp;IF(SMALL($AN119:$BK119,8)&gt;100," *",""))</f>
        <v/>
      </c>
      <c r="W119">
        <f>IF(9&gt;$N119,"",INDEX(Engine!$B$20:$B$43,MOD(SMALL($AN119:$BK119,9),100))&amp;IF(SMALL($AN119:$BK119,9)&gt;100," *",""))</f>
        <v/>
      </c>
      <c r="X119">
        <f>IF(10&gt;$N119,"",INDEX(Engine!$B$20:$B$43,MOD(SMALL($AN119:$BK119,10),100))&amp;IF(SMALL($AN119:$BK119,10)&gt;100," *",""))</f>
        <v/>
      </c>
      <c r="Y119">
        <f>IF(11&gt;$N119,"",INDEX(Engine!$B$20:$B$43,MOD(SMALL($AN119:$BK119,11),100))&amp;IF(SMALL($AN119:$BK119,11)&gt;100," *",""))</f>
        <v/>
      </c>
      <c r="Z119">
        <f>IF(12&gt;$N119,"",INDEX(Engine!$B$20:$B$43,MOD(SMALL($AN119:$BK119,12),100))&amp;IF(SMALL($AN119:$BK119,12)&gt;100," *",""))</f>
        <v/>
      </c>
      <c r="AA119">
        <f>IF(13&gt;$N119,"",INDEX(Engine!$B$20:$B$43,MOD(SMALL($AN119:$BK119,13),100))&amp;IF(SMALL($AN119:$BK119,13)&gt;100," *",""))</f>
        <v/>
      </c>
      <c r="AB119">
        <f>IF(14&gt;$N119,"",INDEX(Engine!$B$20:$B$43,MOD(SMALL($AN119:$BK119,14),100))&amp;IF(SMALL($AN119:$BK119,14)&gt;100," *",""))</f>
        <v/>
      </c>
      <c r="AC119">
        <f>IF(15&gt;$N119,"",INDEX(Engine!$B$20:$B$43,MOD(SMALL($AN119:$BK119,15),100))&amp;IF(SMALL($AN119:$BK119,15)&gt;100," *",""))</f>
        <v/>
      </c>
      <c r="AD119">
        <f>IF(16&gt;$N119,"",INDEX(Engine!$B$20:$B$43,MOD(SMALL($AN119:$BK119,16),100))&amp;IF(SMALL($AN119:$BK119,16)&gt;100," *",""))</f>
        <v/>
      </c>
      <c r="AE119">
        <f>IF(17&gt;$N119,"",INDEX(Engine!$B$20:$B$43,MOD(SMALL($AN119:$BK119,17),100))&amp;IF(SMALL($AN119:$BK119,17)&gt;100," *",""))</f>
        <v/>
      </c>
      <c r="AF119">
        <f>IF(18&gt;$N119,"",INDEX(Engine!$B$20:$B$43,MOD(SMALL($AN119:$BK119,18),100))&amp;IF(SMALL($AN119:$BK119,18)&gt;100," *",""))</f>
        <v/>
      </c>
      <c r="AG119">
        <f>IF(19&gt;$N119,"",INDEX(Engine!$B$20:$B$43,MOD(SMALL($AN119:$BK119,19),100))&amp;IF(SMALL($AN119:$BK119,19)&gt;100," *",""))</f>
        <v/>
      </c>
      <c r="AH119">
        <f>IF(20&gt;$N119,"",INDEX(Engine!$B$20:$B$43,MOD(SMALL($AN119:$BK119,20),100))&amp;IF(SMALL($AN119:$BK119,20)&gt;100," *",""))</f>
        <v/>
      </c>
      <c r="AI119">
        <f>IF(21&gt;$N119,"",INDEX(Engine!$B$20:$B$43,MOD(SMALL($AN119:$BK119,21),100))&amp;IF(SMALL($AN119:$BK119,21)&gt;100," *",""))</f>
        <v/>
      </c>
      <c r="AJ119">
        <f>IF(22&gt;$N119,"",INDEX(Engine!$B$20:$B$43,MOD(SMALL($AN119:$BK119,22),100))&amp;IF(SMALL($AN119:$BK119,22)&gt;100," *",""))</f>
        <v/>
      </c>
      <c r="AK119">
        <f>IF(23&gt;$N119,"",INDEX(Engine!$B$20:$B$43,MOD(SMALL($AN119:$BK119,23),100))&amp;IF(SMALL($AN119:$BK119,23)&gt;100," *",""))</f>
        <v/>
      </c>
      <c r="AL119">
        <f>IF(24&gt;$N119,"",INDEX(Engine!$B$20:$B$43,MOD(SMALL($AN119:$BK119,24),100))&amp;IF(SMALL($AN119:$BK119,24)&gt;100," *",""))</f>
        <v/>
      </c>
      <c r="AN119">
        <f>IF(AND($C20=1,INDEX(Setup!$O$6:$AL$23,16,1)&lt;&gt;"",M20=0),1+IF(INDEX(Setup!$O$6:$AL$23,16,1)="T",100,0),"")</f>
        <v/>
      </c>
      <c r="AO119">
        <f>IF(AND($C21=1,INDEX(Setup!$O$6:$AL$23,16,2)&lt;&gt;"",M21=0),2+IF(INDEX(Setup!$O$6:$AL$23,16,2)="T",100,0),"")</f>
        <v/>
      </c>
      <c r="AP119">
        <f>IF(AND($C22=1,INDEX(Setup!$O$6:$AL$23,16,3)&lt;&gt;"",M22=0),3+IF(INDEX(Setup!$O$6:$AL$23,16,3)="T",100,0),"")</f>
        <v/>
      </c>
      <c r="AQ119">
        <f>IF(AND($C23=1,INDEX(Setup!$O$6:$AL$23,16,4)&lt;&gt;"",M23=0),4+IF(INDEX(Setup!$O$6:$AL$23,16,4)="T",100,0),"")</f>
        <v/>
      </c>
      <c r="AR119">
        <f>IF(AND($C24=1,INDEX(Setup!$O$6:$AL$23,16,5)&lt;&gt;"",M24=0),5+IF(INDEX(Setup!$O$6:$AL$23,16,5)="T",100,0),"")</f>
        <v/>
      </c>
      <c r="AS119">
        <f>IF(AND($C25=1,INDEX(Setup!$O$6:$AL$23,16,6)&lt;&gt;"",M25=0),6+IF(INDEX(Setup!$O$6:$AL$23,16,6)="T",100,0),"")</f>
        <v/>
      </c>
      <c r="AT119">
        <f>IF(AND($C26=1,INDEX(Setup!$O$6:$AL$23,16,7)&lt;&gt;"",M26=0),7+IF(INDEX(Setup!$O$6:$AL$23,16,7)="T",100,0),"")</f>
        <v/>
      </c>
      <c r="AU119">
        <f>IF(AND($C27=1,INDEX(Setup!$O$6:$AL$23,16,8)&lt;&gt;"",M27=0),8+IF(INDEX(Setup!$O$6:$AL$23,16,8)="T",100,0),"")</f>
        <v/>
      </c>
      <c r="AV119">
        <f>IF(AND($C28=1,INDEX(Setup!$O$6:$AL$23,16,9)&lt;&gt;"",M28=0),9+IF(INDEX(Setup!$O$6:$AL$23,16,9)="T",100,0),"")</f>
        <v/>
      </c>
      <c r="AW119">
        <f>IF(AND($C29=1,INDEX(Setup!$O$6:$AL$23,16,10)&lt;&gt;"",M29=0),10+IF(INDEX(Setup!$O$6:$AL$23,16,10)="T",100,0),"")</f>
        <v/>
      </c>
      <c r="AX119">
        <f>IF(AND($C30=1,INDEX(Setup!$O$6:$AL$23,16,11)&lt;&gt;"",M30=0),11+IF(INDEX(Setup!$O$6:$AL$23,16,11)="T",100,0),"")</f>
        <v/>
      </c>
      <c r="AY119">
        <f>IF(AND($C31=1,INDEX(Setup!$O$6:$AL$23,16,12)&lt;&gt;"",M31=0),12+IF(INDEX(Setup!$O$6:$AL$23,16,12)="T",100,0),"")</f>
        <v/>
      </c>
      <c r="AZ119">
        <f>IF(AND($C32=1,INDEX(Setup!$O$6:$AL$23,16,13)&lt;&gt;"",M32=0),13+IF(INDEX(Setup!$O$6:$AL$23,16,13)="T",100,0),"")</f>
        <v/>
      </c>
      <c r="BA119">
        <f>IF(AND($C33=1,INDEX(Setup!$O$6:$AL$23,16,14)&lt;&gt;"",M33=0),14+IF(INDEX(Setup!$O$6:$AL$23,16,14)="T",100,0),"")</f>
        <v/>
      </c>
      <c r="BB119">
        <f>IF(AND($C34=1,INDEX(Setup!$O$6:$AL$23,16,15)&lt;&gt;"",M34=0),15+IF(INDEX(Setup!$O$6:$AL$23,16,15)="T",100,0),"")</f>
        <v/>
      </c>
      <c r="BC119">
        <f>IF(AND($C35=1,INDEX(Setup!$O$6:$AL$23,16,16)&lt;&gt;"",M35=0),16+IF(INDEX(Setup!$O$6:$AL$23,16,16)="T",100,0),"")</f>
        <v/>
      </c>
      <c r="BD119">
        <f>IF(AND($C36=1,INDEX(Setup!$O$6:$AL$23,16,17)&lt;&gt;"",M36=0),17+IF(INDEX(Setup!$O$6:$AL$23,16,17)="T",100,0),"")</f>
        <v/>
      </c>
      <c r="BE119">
        <f>IF(AND($C37=1,INDEX(Setup!$O$6:$AL$23,16,18)&lt;&gt;"",M37=0),18+IF(INDEX(Setup!$O$6:$AL$23,16,18)="T",100,0),"")</f>
        <v/>
      </c>
      <c r="BF119">
        <f>IF(AND($C38=1,INDEX(Setup!$O$6:$AL$23,16,19)&lt;&gt;"",M38=0),19+IF(INDEX(Setup!$O$6:$AL$23,16,19)="T",100,0),"")</f>
        <v/>
      </c>
      <c r="BG119">
        <f>IF(AND($C39=1,INDEX(Setup!$O$6:$AL$23,16,20)&lt;&gt;"",M39=0),20+IF(INDEX(Setup!$O$6:$AL$23,16,20)="T",100,0),"")</f>
        <v/>
      </c>
      <c r="BH119">
        <f>IF(AND($C40=1,INDEX(Setup!$O$6:$AL$23,16,21)&lt;&gt;"",M40=0),21+IF(INDEX(Setup!$O$6:$AL$23,16,21)="T",100,0),"")</f>
        <v/>
      </c>
      <c r="BI119">
        <f>IF(AND($C41=1,INDEX(Setup!$O$6:$AL$23,16,22)&lt;&gt;"",M41=0),22+IF(INDEX(Setup!$O$6:$AL$23,16,22)="T",100,0),"")</f>
        <v/>
      </c>
      <c r="BJ119">
        <f>IF(AND($C42=1,INDEX(Setup!$O$6:$AL$23,16,23)&lt;&gt;"",M42=0),23+IF(INDEX(Setup!$O$6:$AL$23,16,23)="T",100,0),"")</f>
        <v/>
      </c>
      <c r="BK119">
        <f>IF(AND($C43=1,INDEX(Setup!$O$6:$AL$23,16,24)&lt;&gt;"",M43=0),24+IF(INDEX(Setup!$O$6:$AL$23,16,24)="T",100,0),"")</f>
        <v/>
      </c>
      <c r="BM119">
        <f>IF(AND(AN119&lt;&gt;"",COUNTIF($K$62:$M$62,$B20)+COUNTIF($K$62:$M$62,$B20&amp;" ~*")=0),($R20+COUNTIF($H$104:$H118,$B20)+COUNTIF($H$104:$H118,$B20&amp;" ~*"))*1000+IF(AN119&gt;100,500,0)+1,"")</f>
        <v/>
      </c>
      <c r="BN119">
        <f>IF(AND(AO119&lt;&gt;"",COUNTIF($K$62:$M$62,$B21)+COUNTIF($K$62:$M$62,$B21&amp;" ~*")=0),($R21+COUNTIF($H$104:$H118,$B21)+COUNTIF($H$104:$H118,$B21&amp;" ~*"))*1000+IF(AO119&gt;100,500,0)+2,"")</f>
        <v/>
      </c>
      <c r="BO119">
        <f>IF(AND(AP119&lt;&gt;"",COUNTIF($K$62:$M$62,$B22)+COUNTIF($K$62:$M$62,$B22&amp;" ~*")=0),($R22+COUNTIF($H$104:$H118,$B22)+COUNTIF($H$104:$H118,$B22&amp;" ~*"))*1000+IF(AP119&gt;100,500,0)+3,"")</f>
        <v/>
      </c>
      <c r="BP119">
        <f>IF(AND(AQ119&lt;&gt;"",COUNTIF($K$62:$M$62,$B23)+COUNTIF($K$62:$M$62,$B23&amp;" ~*")=0),($R23+COUNTIF($H$104:$H118,$B23)+COUNTIF($H$104:$H118,$B23&amp;" ~*"))*1000+IF(AQ119&gt;100,500,0)+4,"")</f>
        <v/>
      </c>
      <c r="BQ119">
        <f>IF(AND(AR119&lt;&gt;"",COUNTIF($K$62:$M$62,$B24)+COUNTIF($K$62:$M$62,$B24&amp;" ~*")=0),($R24+COUNTIF($H$104:$H118,$B24)+COUNTIF($H$104:$H118,$B24&amp;" ~*"))*1000+IF(AR119&gt;100,500,0)+5,"")</f>
        <v/>
      </c>
      <c r="BR119">
        <f>IF(AND(AS119&lt;&gt;"",COUNTIF($K$62:$M$62,$B25)+COUNTIF($K$62:$M$62,$B25&amp;" ~*")=0),($R25+COUNTIF($H$104:$H118,$B25)+COUNTIF($H$104:$H118,$B25&amp;" ~*"))*1000+IF(AS119&gt;100,500,0)+6,"")</f>
        <v/>
      </c>
      <c r="BS119">
        <f>IF(AND(AT119&lt;&gt;"",COUNTIF($K$62:$M$62,$B26)+COUNTIF($K$62:$M$62,$B26&amp;" ~*")=0),($R26+COUNTIF($H$104:$H118,$B26)+COUNTIF($H$104:$H118,$B26&amp;" ~*"))*1000+IF(AT119&gt;100,500,0)+7,"")</f>
        <v/>
      </c>
      <c r="BT119">
        <f>IF(AND(AU119&lt;&gt;"",COUNTIF($K$62:$M$62,$B27)+COUNTIF($K$62:$M$62,$B27&amp;" ~*")=0),($R27+COUNTIF($H$104:$H118,$B27)+COUNTIF($H$104:$H118,$B27&amp;" ~*"))*1000+IF(AU119&gt;100,500,0)+8,"")</f>
        <v/>
      </c>
      <c r="BU119">
        <f>IF(AND(AV119&lt;&gt;"",COUNTIF($K$62:$M$62,$B28)+COUNTIF($K$62:$M$62,$B28&amp;" ~*")=0),($R28+COUNTIF($H$104:$H118,$B28)+COUNTIF($H$104:$H118,$B28&amp;" ~*"))*1000+IF(AV119&gt;100,500,0)+9,"")</f>
        <v/>
      </c>
      <c r="BV119">
        <f>IF(AND(AW119&lt;&gt;"",COUNTIF($K$62:$M$62,$B29)+COUNTIF($K$62:$M$62,$B29&amp;" ~*")=0),($R29+COUNTIF($H$104:$H118,$B29)+COUNTIF($H$104:$H118,$B29&amp;" ~*"))*1000+IF(AW119&gt;100,500,0)+10,"")</f>
        <v/>
      </c>
      <c r="BW119">
        <f>IF(AND(AX119&lt;&gt;"",COUNTIF($K$62:$M$62,$B30)+COUNTIF($K$62:$M$62,$B30&amp;" ~*")=0),($R30+COUNTIF($H$104:$H118,$B30)+COUNTIF($H$104:$H118,$B30&amp;" ~*"))*1000+IF(AX119&gt;100,500,0)+11,"")</f>
        <v/>
      </c>
      <c r="BX119">
        <f>IF(AND(AY119&lt;&gt;"",COUNTIF($K$62:$M$62,$B31)+COUNTIF($K$62:$M$62,$B31&amp;" ~*")=0),($R31+COUNTIF($H$104:$H118,$B31)+COUNTIF($H$104:$H118,$B31&amp;" ~*"))*1000+IF(AY119&gt;100,500,0)+12,"")</f>
        <v/>
      </c>
      <c r="BY119">
        <f>IF(AND(AZ119&lt;&gt;"",COUNTIF($K$62:$M$62,$B32)+COUNTIF($K$62:$M$62,$B32&amp;" ~*")=0),($R32+COUNTIF($H$104:$H118,$B32)+COUNTIF($H$104:$H118,$B32&amp;" ~*"))*1000+IF(AZ119&gt;100,500,0)+13,"")</f>
        <v/>
      </c>
      <c r="BZ119">
        <f>IF(AND(BA119&lt;&gt;"",COUNTIF($K$62:$M$62,$B33)+COUNTIF($K$62:$M$62,$B33&amp;" ~*")=0),($R33+COUNTIF($H$104:$H118,$B33)+COUNTIF($H$104:$H118,$B33&amp;" ~*"))*1000+IF(BA119&gt;100,500,0)+14,"")</f>
        <v/>
      </c>
      <c r="CA119">
        <f>IF(AND(BB119&lt;&gt;"",COUNTIF($K$62:$M$62,$B34)+COUNTIF($K$62:$M$62,$B34&amp;" ~*")=0),($R34+COUNTIF($H$104:$H118,$B34)+COUNTIF($H$104:$H118,$B34&amp;" ~*"))*1000+IF(BB119&gt;100,500,0)+15,"")</f>
        <v/>
      </c>
      <c r="CB119">
        <f>IF(AND(BC119&lt;&gt;"",COUNTIF($K$62:$M$62,$B35)+COUNTIF($K$62:$M$62,$B35&amp;" ~*")=0),($R35+COUNTIF($H$104:$H118,$B35)+COUNTIF($H$104:$H118,$B35&amp;" ~*"))*1000+IF(BC119&gt;100,500,0)+16,"")</f>
        <v/>
      </c>
      <c r="CC119">
        <f>IF(AND(BD119&lt;&gt;"",COUNTIF($K$62:$M$62,$B36)+COUNTIF($K$62:$M$62,$B36&amp;" ~*")=0),($R36+COUNTIF($H$104:$H118,$B36)+COUNTIF($H$104:$H118,$B36&amp;" ~*"))*1000+IF(BD119&gt;100,500,0)+17,"")</f>
        <v/>
      </c>
      <c r="CD119">
        <f>IF(AND(BE119&lt;&gt;"",COUNTIF($K$62:$M$62,$B37)+COUNTIF($K$62:$M$62,$B37&amp;" ~*")=0),($R37+COUNTIF($H$104:$H118,$B37)+COUNTIF($H$104:$H118,$B37&amp;" ~*"))*1000+IF(BE119&gt;100,500,0)+18,"")</f>
        <v/>
      </c>
      <c r="CE119">
        <f>IF(AND(BF119&lt;&gt;"",COUNTIF($K$62:$M$62,$B38)+COUNTIF($K$62:$M$62,$B38&amp;" ~*")=0),($R38+COUNTIF($H$104:$H118,$B38)+COUNTIF($H$104:$H118,$B38&amp;" ~*"))*1000+IF(BF119&gt;100,500,0)+19,"")</f>
        <v/>
      </c>
      <c r="CF119">
        <f>IF(AND(BG119&lt;&gt;"",COUNTIF($K$62:$M$62,$B39)+COUNTIF($K$62:$M$62,$B39&amp;" ~*")=0),($R39+COUNTIF($H$104:$H118,$B39)+COUNTIF($H$104:$H118,$B39&amp;" ~*"))*1000+IF(BG119&gt;100,500,0)+20,"")</f>
        <v/>
      </c>
      <c r="CG119">
        <f>IF(AND(BH119&lt;&gt;"",COUNTIF($K$62:$M$62,$B40)+COUNTIF($K$62:$M$62,$B40&amp;" ~*")=0),($R40+COUNTIF($H$104:$H118,$B40)+COUNTIF($H$104:$H118,$B40&amp;" ~*"))*1000+IF(BH119&gt;100,500,0)+21,"")</f>
        <v/>
      </c>
      <c r="CH119">
        <f>IF(AND(BI119&lt;&gt;"",COUNTIF($K$62:$M$62,$B41)+COUNTIF($K$62:$M$62,$B41&amp;" ~*")=0),($R41+COUNTIF($H$104:$H118,$B41)+COUNTIF($H$104:$H118,$B41&amp;" ~*"))*1000+IF(BI119&gt;100,500,0)+22,"")</f>
        <v/>
      </c>
      <c r="CI119">
        <f>IF(AND(BJ119&lt;&gt;"",COUNTIF($K$62:$M$62,$B42)+COUNTIF($K$62:$M$62,$B42&amp;" ~*")=0),($R42+COUNTIF($H$104:$H118,$B42)+COUNTIF($H$104:$H118,$B42&amp;" ~*"))*1000+IF(BJ119&gt;100,500,0)+23,"")</f>
        <v/>
      </c>
      <c r="CJ119">
        <f>IF(AND(BK119&lt;&gt;"",COUNTIF($K$62:$M$62,$B43)+COUNTIF($K$62:$M$62,$B43&amp;" ~*")=0),($R43+COUNTIF($H$104:$H118,$B43)+COUNTIF($H$104:$H118,$B43&amp;" ~*"))*1000+IF(BK119&gt;100,500,0)+24,"")</f>
        <v/>
      </c>
    </row>
    <row r="120">
      <c r="A120" t="n">
        <v>3</v>
      </c>
      <c r="B120" t="n">
        <v>17</v>
      </c>
      <c r="C120">
        <f>$B$63</f>
        <v/>
      </c>
      <c r="D120" t="inlineStr">
        <is>
          <t>Wed</t>
        </is>
      </c>
      <c r="E120">
        <f>IF(C120="","",N($AB$63))</f>
        <v/>
      </c>
      <c r="F120">
        <f>IF(C120="","",COUNTIF($K$63:$M$63,"?*"))</f>
        <v/>
      </c>
      <c r="G120">
        <f>IF(C120="","",MAX(0,E120-F120))</f>
        <v/>
      </c>
      <c r="H120">
        <f>IF(N(G120)=0,"",IF(COUNT(BM120:CJ120)=0,"no-one eligible",INDEX(Engine!$B$20:$B$43,MOD(MIN(BM120:CJ120),500))&amp;IF(MOD(MIN(BM120:CJ120),1000)&gt;=500," *","")))</f>
        <v/>
      </c>
      <c r="I120">
        <f>IF(N(G120)&gt;0,COUNTIF($G$68:G120,"&gt;0"),"")</f>
        <v/>
      </c>
      <c r="J120">
        <f>IF(C120="","",IF($K$63="",0,IF(IFERROR(INDEX(Setup!$O$6:$AL$23,17,MATCH(SUBSTITUTE($K$63," *",""),Setup!$B$6:$B$29,0)),"")="",1,0))+IF($L$63="",0,IF(IFERROR(INDEX(Setup!$O$6:$AL$23,17,MATCH(SUBSTITUTE($L$63," *",""),Setup!$B$6:$B$29,0)),"")="",1,0))+IF($M$63="",0,IF(IFERROR(INDEX(Setup!$O$6:$AL$23,17,MATCH(SUBSTITUTE($M$63," *",""),Setup!$B$6:$B$29,0)),"")="",1,0)))</f>
        <v/>
      </c>
      <c r="K120">
        <f>IF($B$12+2=TODAY(),1,0)</f>
        <v/>
      </c>
      <c r="N120">
        <f>COUNT($AN120:$BK120)</f>
        <v/>
      </c>
      <c r="O120">
        <f>IF(1&gt;$N120,"",INDEX(Engine!$B$20:$B$43,MOD(SMALL($AN120:$BK120,1),100))&amp;IF(SMALL($AN120:$BK120,1)&gt;100," *",""))</f>
        <v/>
      </c>
      <c r="P120">
        <f>IF(2&gt;$N120,"",INDEX(Engine!$B$20:$B$43,MOD(SMALL($AN120:$BK120,2),100))&amp;IF(SMALL($AN120:$BK120,2)&gt;100," *",""))</f>
        <v/>
      </c>
      <c r="Q120">
        <f>IF(3&gt;$N120,"",INDEX(Engine!$B$20:$B$43,MOD(SMALL($AN120:$BK120,3),100))&amp;IF(SMALL($AN120:$BK120,3)&gt;100," *",""))</f>
        <v/>
      </c>
      <c r="R120">
        <f>IF(4&gt;$N120,"",INDEX(Engine!$B$20:$B$43,MOD(SMALL($AN120:$BK120,4),100))&amp;IF(SMALL($AN120:$BK120,4)&gt;100," *",""))</f>
        <v/>
      </c>
      <c r="S120">
        <f>IF(5&gt;$N120,"",INDEX(Engine!$B$20:$B$43,MOD(SMALL($AN120:$BK120,5),100))&amp;IF(SMALL($AN120:$BK120,5)&gt;100," *",""))</f>
        <v/>
      </c>
      <c r="T120">
        <f>IF(6&gt;$N120,"",INDEX(Engine!$B$20:$B$43,MOD(SMALL($AN120:$BK120,6),100))&amp;IF(SMALL($AN120:$BK120,6)&gt;100," *",""))</f>
        <v/>
      </c>
      <c r="U120">
        <f>IF(7&gt;$N120,"",INDEX(Engine!$B$20:$B$43,MOD(SMALL($AN120:$BK120,7),100))&amp;IF(SMALL($AN120:$BK120,7)&gt;100," *",""))</f>
        <v/>
      </c>
      <c r="V120">
        <f>IF(8&gt;$N120,"",INDEX(Engine!$B$20:$B$43,MOD(SMALL($AN120:$BK120,8),100))&amp;IF(SMALL($AN120:$BK120,8)&gt;100," *",""))</f>
        <v/>
      </c>
      <c r="W120">
        <f>IF(9&gt;$N120,"",INDEX(Engine!$B$20:$B$43,MOD(SMALL($AN120:$BK120,9),100))&amp;IF(SMALL($AN120:$BK120,9)&gt;100," *",""))</f>
        <v/>
      </c>
      <c r="X120">
        <f>IF(10&gt;$N120,"",INDEX(Engine!$B$20:$B$43,MOD(SMALL($AN120:$BK120,10),100))&amp;IF(SMALL($AN120:$BK120,10)&gt;100," *",""))</f>
        <v/>
      </c>
      <c r="Y120">
        <f>IF(11&gt;$N120,"",INDEX(Engine!$B$20:$B$43,MOD(SMALL($AN120:$BK120,11),100))&amp;IF(SMALL($AN120:$BK120,11)&gt;100," *",""))</f>
        <v/>
      </c>
      <c r="Z120">
        <f>IF(12&gt;$N120,"",INDEX(Engine!$B$20:$B$43,MOD(SMALL($AN120:$BK120,12),100))&amp;IF(SMALL($AN120:$BK120,12)&gt;100," *",""))</f>
        <v/>
      </c>
      <c r="AA120">
        <f>IF(13&gt;$N120,"",INDEX(Engine!$B$20:$B$43,MOD(SMALL($AN120:$BK120,13),100))&amp;IF(SMALL($AN120:$BK120,13)&gt;100," *",""))</f>
        <v/>
      </c>
      <c r="AB120">
        <f>IF(14&gt;$N120,"",INDEX(Engine!$B$20:$B$43,MOD(SMALL($AN120:$BK120,14),100))&amp;IF(SMALL($AN120:$BK120,14)&gt;100," *",""))</f>
        <v/>
      </c>
      <c r="AC120">
        <f>IF(15&gt;$N120,"",INDEX(Engine!$B$20:$B$43,MOD(SMALL($AN120:$BK120,15),100))&amp;IF(SMALL($AN120:$BK120,15)&gt;100," *",""))</f>
        <v/>
      </c>
      <c r="AD120">
        <f>IF(16&gt;$N120,"",INDEX(Engine!$B$20:$B$43,MOD(SMALL($AN120:$BK120,16),100))&amp;IF(SMALL($AN120:$BK120,16)&gt;100," *",""))</f>
        <v/>
      </c>
      <c r="AE120">
        <f>IF(17&gt;$N120,"",INDEX(Engine!$B$20:$B$43,MOD(SMALL($AN120:$BK120,17),100))&amp;IF(SMALL($AN120:$BK120,17)&gt;100," *",""))</f>
        <v/>
      </c>
      <c r="AF120">
        <f>IF(18&gt;$N120,"",INDEX(Engine!$B$20:$B$43,MOD(SMALL($AN120:$BK120,18),100))&amp;IF(SMALL($AN120:$BK120,18)&gt;100," *",""))</f>
        <v/>
      </c>
      <c r="AG120">
        <f>IF(19&gt;$N120,"",INDEX(Engine!$B$20:$B$43,MOD(SMALL($AN120:$BK120,19),100))&amp;IF(SMALL($AN120:$BK120,19)&gt;100," *",""))</f>
        <v/>
      </c>
      <c r="AH120">
        <f>IF(20&gt;$N120,"",INDEX(Engine!$B$20:$B$43,MOD(SMALL($AN120:$BK120,20),100))&amp;IF(SMALL($AN120:$BK120,20)&gt;100," *",""))</f>
        <v/>
      </c>
      <c r="AI120">
        <f>IF(21&gt;$N120,"",INDEX(Engine!$B$20:$B$43,MOD(SMALL($AN120:$BK120,21),100))&amp;IF(SMALL($AN120:$BK120,21)&gt;100," *",""))</f>
        <v/>
      </c>
      <c r="AJ120">
        <f>IF(22&gt;$N120,"",INDEX(Engine!$B$20:$B$43,MOD(SMALL($AN120:$BK120,22),100))&amp;IF(SMALL($AN120:$BK120,22)&gt;100," *",""))</f>
        <v/>
      </c>
      <c r="AK120">
        <f>IF(23&gt;$N120,"",INDEX(Engine!$B$20:$B$43,MOD(SMALL($AN120:$BK120,23),100))&amp;IF(SMALL($AN120:$BK120,23)&gt;100," *",""))</f>
        <v/>
      </c>
      <c r="AL120">
        <f>IF(24&gt;$N120,"",INDEX(Engine!$B$20:$B$43,MOD(SMALL($AN120:$BK120,24),100))&amp;IF(SMALL($AN120:$BK120,24)&gt;100," *",""))</f>
        <v/>
      </c>
      <c r="AN120">
        <f>IF(AND($C20=1,INDEX(Setup!$O$6:$AL$23,17,1)&lt;&gt;"",M20=0),1+IF(INDEX(Setup!$O$6:$AL$23,17,1)="T",100,0),"")</f>
        <v/>
      </c>
      <c r="AO120">
        <f>IF(AND($C21=1,INDEX(Setup!$O$6:$AL$23,17,2)&lt;&gt;"",M21=0),2+IF(INDEX(Setup!$O$6:$AL$23,17,2)="T",100,0),"")</f>
        <v/>
      </c>
      <c r="AP120">
        <f>IF(AND($C22=1,INDEX(Setup!$O$6:$AL$23,17,3)&lt;&gt;"",M22=0),3+IF(INDEX(Setup!$O$6:$AL$23,17,3)="T",100,0),"")</f>
        <v/>
      </c>
      <c r="AQ120">
        <f>IF(AND($C23=1,INDEX(Setup!$O$6:$AL$23,17,4)&lt;&gt;"",M23=0),4+IF(INDEX(Setup!$O$6:$AL$23,17,4)="T",100,0),"")</f>
        <v/>
      </c>
      <c r="AR120">
        <f>IF(AND($C24=1,INDEX(Setup!$O$6:$AL$23,17,5)&lt;&gt;"",M24=0),5+IF(INDEX(Setup!$O$6:$AL$23,17,5)="T",100,0),"")</f>
        <v/>
      </c>
      <c r="AS120">
        <f>IF(AND($C25=1,INDEX(Setup!$O$6:$AL$23,17,6)&lt;&gt;"",M25=0),6+IF(INDEX(Setup!$O$6:$AL$23,17,6)="T",100,0),"")</f>
        <v/>
      </c>
      <c r="AT120">
        <f>IF(AND($C26=1,INDEX(Setup!$O$6:$AL$23,17,7)&lt;&gt;"",M26=0),7+IF(INDEX(Setup!$O$6:$AL$23,17,7)="T",100,0),"")</f>
        <v/>
      </c>
      <c r="AU120">
        <f>IF(AND($C27=1,INDEX(Setup!$O$6:$AL$23,17,8)&lt;&gt;"",M27=0),8+IF(INDEX(Setup!$O$6:$AL$23,17,8)="T",100,0),"")</f>
        <v/>
      </c>
      <c r="AV120">
        <f>IF(AND($C28=1,INDEX(Setup!$O$6:$AL$23,17,9)&lt;&gt;"",M28=0),9+IF(INDEX(Setup!$O$6:$AL$23,17,9)="T",100,0),"")</f>
        <v/>
      </c>
      <c r="AW120">
        <f>IF(AND($C29=1,INDEX(Setup!$O$6:$AL$23,17,10)&lt;&gt;"",M29=0),10+IF(INDEX(Setup!$O$6:$AL$23,17,10)="T",100,0),"")</f>
        <v/>
      </c>
      <c r="AX120">
        <f>IF(AND($C30=1,INDEX(Setup!$O$6:$AL$23,17,11)&lt;&gt;"",M30=0),11+IF(INDEX(Setup!$O$6:$AL$23,17,11)="T",100,0),"")</f>
        <v/>
      </c>
      <c r="AY120">
        <f>IF(AND($C31=1,INDEX(Setup!$O$6:$AL$23,17,12)&lt;&gt;"",M31=0),12+IF(INDEX(Setup!$O$6:$AL$23,17,12)="T",100,0),"")</f>
        <v/>
      </c>
      <c r="AZ120">
        <f>IF(AND($C32=1,INDEX(Setup!$O$6:$AL$23,17,13)&lt;&gt;"",M32=0),13+IF(INDEX(Setup!$O$6:$AL$23,17,13)="T",100,0),"")</f>
        <v/>
      </c>
      <c r="BA120">
        <f>IF(AND($C33=1,INDEX(Setup!$O$6:$AL$23,17,14)&lt;&gt;"",M33=0),14+IF(INDEX(Setup!$O$6:$AL$23,17,14)="T",100,0),"")</f>
        <v/>
      </c>
      <c r="BB120">
        <f>IF(AND($C34=1,INDEX(Setup!$O$6:$AL$23,17,15)&lt;&gt;"",M34=0),15+IF(INDEX(Setup!$O$6:$AL$23,17,15)="T",100,0),"")</f>
        <v/>
      </c>
      <c r="BC120">
        <f>IF(AND($C35=1,INDEX(Setup!$O$6:$AL$23,17,16)&lt;&gt;"",M35=0),16+IF(INDEX(Setup!$O$6:$AL$23,17,16)="T",100,0),"")</f>
        <v/>
      </c>
      <c r="BD120">
        <f>IF(AND($C36=1,INDEX(Setup!$O$6:$AL$23,17,17)&lt;&gt;"",M36=0),17+IF(INDEX(Setup!$O$6:$AL$23,17,17)="T",100,0),"")</f>
        <v/>
      </c>
      <c r="BE120">
        <f>IF(AND($C37=1,INDEX(Setup!$O$6:$AL$23,17,18)&lt;&gt;"",M37=0),18+IF(INDEX(Setup!$O$6:$AL$23,17,18)="T",100,0),"")</f>
        <v/>
      </c>
      <c r="BF120">
        <f>IF(AND($C38=1,INDEX(Setup!$O$6:$AL$23,17,19)&lt;&gt;"",M38=0),19+IF(INDEX(Setup!$O$6:$AL$23,17,19)="T",100,0),"")</f>
        <v/>
      </c>
      <c r="BG120">
        <f>IF(AND($C39=1,INDEX(Setup!$O$6:$AL$23,17,20)&lt;&gt;"",M39=0),20+IF(INDEX(Setup!$O$6:$AL$23,17,20)="T",100,0),"")</f>
        <v/>
      </c>
      <c r="BH120">
        <f>IF(AND($C40=1,INDEX(Setup!$O$6:$AL$23,17,21)&lt;&gt;"",M40=0),21+IF(INDEX(Setup!$O$6:$AL$23,17,21)="T",100,0),"")</f>
        <v/>
      </c>
      <c r="BI120">
        <f>IF(AND($C41=1,INDEX(Setup!$O$6:$AL$23,17,22)&lt;&gt;"",M41=0),22+IF(INDEX(Setup!$O$6:$AL$23,17,22)="T",100,0),"")</f>
        <v/>
      </c>
      <c r="BJ120">
        <f>IF(AND($C42=1,INDEX(Setup!$O$6:$AL$23,17,23)&lt;&gt;"",M42=0),23+IF(INDEX(Setup!$O$6:$AL$23,17,23)="T",100,0),"")</f>
        <v/>
      </c>
      <c r="BK120">
        <f>IF(AND($C43=1,INDEX(Setup!$O$6:$AL$23,17,24)&lt;&gt;"",M43=0),24+IF(INDEX(Setup!$O$6:$AL$23,17,24)="T",100,0),"")</f>
        <v/>
      </c>
      <c r="BM120">
        <f>IF(AND(AN120&lt;&gt;"",COUNTIF($K$63:$M$63,$B20)+COUNTIF($K$63:$M$63,$B20&amp;" ~*")=0),($R20+COUNTIF($H$104:$H119,$B20)+COUNTIF($H$104:$H119,$B20&amp;" ~*"))*1000+IF(AN120&gt;100,500,0)+1,"")</f>
        <v/>
      </c>
      <c r="BN120">
        <f>IF(AND(AO120&lt;&gt;"",COUNTIF($K$63:$M$63,$B21)+COUNTIF($K$63:$M$63,$B21&amp;" ~*")=0),($R21+COUNTIF($H$104:$H119,$B21)+COUNTIF($H$104:$H119,$B21&amp;" ~*"))*1000+IF(AO120&gt;100,500,0)+2,"")</f>
        <v/>
      </c>
      <c r="BO120">
        <f>IF(AND(AP120&lt;&gt;"",COUNTIF($K$63:$M$63,$B22)+COUNTIF($K$63:$M$63,$B22&amp;" ~*")=0),($R22+COUNTIF($H$104:$H119,$B22)+COUNTIF($H$104:$H119,$B22&amp;" ~*"))*1000+IF(AP120&gt;100,500,0)+3,"")</f>
        <v/>
      </c>
      <c r="BP120">
        <f>IF(AND(AQ120&lt;&gt;"",COUNTIF($K$63:$M$63,$B23)+COUNTIF($K$63:$M$63,$B23&amp;" ~*")=0),($R23+COUNTIF($H$104:$H119,$B23)+COUNTIF($H$104:$H119,$B23&amp;" ~*"))*1000+IF(AQ120&gt;100,500,0)+4,"")</f>
        <v/>
      </c>
      <c r="BQ120">
        <f>IF(AND(AR120&lt;&gt;"",COUNTIF($K$63:$M$63,$B24)+COUNTIF($K$63:$M$63,$B24&amp;" ~*")=0),($R24+COUNTIF($H$104:$H119,$B24)+COUNTIF($H$104:$H119,$B24&amp;" ~*"))*1000+IF(AR120&gt;100,500,0)+5,"")</f>
        <v/>
      </c>
      <c r="BR120">
        <f>IF(AND(AS120&lt;&gt;"",COUNTIF($K$63:$M$63,$B25)+COUNTIF($K$63:$M$63,$B25&amp;" ~*")=0),($R25+COUNTIF($H$104:$H119,$B25)+COUNTIF($H$104:$H119,$B25&amp;" ~*"))*1000+IF(AS120&gt;100,500,0)+6,"")</f>
        <v/>
      </c>
      <c r="BS120">
        <f>IF(AND(AT120&lt;&gt;"",COUNTIF($K$63:$M$63,$B26)+COUNTIF($K$63:$M$63,$B26&amp;" ~*")=0),($R26+COUNTIF($H$104:$H119,$B26)+COUNTIF($H$104:$H119,$B26&amp;" ~*"))*1000+IF(AT120&gt;100,500,0)+7,"")</f>
        <v/>
      </c>
      <c r="BT120">
        <f>IF(AND(AU120&lt;&gt;"",COUNTIF($K$63:$M$63,$B27)+COUNTIF($K$63:$M$63,$B27&amp;" ~*")=0),($R27+COUNTIF($H$104:$H119,$B27)+COUNTIF($H$104:$H119,$B27&amp;" ~*"))*1000+IF(AU120&gt;100,500,0)+8,"")</f>
        <v/>
      </c>
      <c r="BU120">
        <f>IF(AND(AV120&lt;&gt;"",COUNTIF($K$63:$M$63,$B28)+COUNTIF($K$63:$M$63,$B28&amp;" ~*")=0),($R28+COUNTIF($H$104:$H119,$B28)+COUNTIF($H$104:$H119,$B28&amp;" ~*"))*1000+IF(AV120&gt;100,500,0)+9,"")</f>
        <v/>
      </c>
      <c r="BV120">
        <f>IF(AND(AW120&lt;&gt;"",COUNTIF($K$63:$M$63,$B29)+COUNTIF($K$63:$M$63,$B29&amp;" ~*")=0),($R29+COUNTIF($H$104:$H119,$B29)+COUNTIF($H$104:$H119,$B29&amp;" ~*"))*1000+IF(AW120&gt;100,500,0)+10,"")</f>
        <v/>
      </c>
      <c r="BW120">
        <f>IF(AND(AX120&lt;&gt;"",COUNTIF($K$63:$M$63,$B30)+COUNTIF($K$63:$M$63,$B30&amp;" ~*")=0),($R30+COUNTIF($H$104:$H119,$B30)+COUNTIF($H$104:$H119,$B30&amp;" ~*"))*1000+IF(AX120&gt;100,500,0)+11,"")</f>
        <v/>
      </c>
      <c r="BX120">
        <f>IF(AND(AY120&lt;&gt;"",COUNTIF($K$63:$M$63,$B31)+COUNTIF($K$63:$M$63,$B31&amp;" ~*")=0),($R31+COUNTIF($H$104:$H119,$B31)+COUNTIF($H$104:$H119,$B31&amp;" ~*"))*1000+IF(AY120&gt;100,500,0)+12,"")</f>
        <v/>
      </c>
      <c r="BY120">
        <f>IF(AND(AZ120&lt;&gt;"",COUNTIF($K$63:$M$63,$B32)+COUNTIF($K$63:$M$63,$B32&amp;" ~*")=0),($R32+COUNTIF($H$104:$H119,$B32)+COUNTIF($H$104:$H119,$B32&amp;" ~*"))*1000+IF(AZ120&gt;100,500,0)+13,"")</f>
        <v/>
      </c>
      <c r="BZ120">
        <f>IF(AND(BA120&lt;&gt;"",COUNTIF($K$63:$M$63,$B33)+COUNTIF($K$63:$M$63,$B33&amp;" ~*")=0),($R33+COUNTIF($H$104:$H119,$B33)+COUNTIF($H$104:$H119,$B33&amp;" ~*"))*1000+IF(BA120&gt;100,500,0)+14,"")</f>
        <v/>
      </c>
      <c r="CA120">
        <f>IF(AND(BB120&lt;&gt;"",COUNTIF($K$63:$M$63,$B34)+COUNTIF($K$63:$M$63,$B34&amp;" ~*")=0),($R34+COUNTIF($H$104:$H119,$B34)+COUNTIF($H$104:$H119,$B34&amp;" ~*"))*1000+IF(BB120&gt;100,500,0)+15,"")</f>
        <v/>
      </c>
      <c r="CB120">
        <f>IF(AND(BC120&lt;&gt;"",COUNTIF($K$63:$M$63,$B35)+COUNTIF($K$63:$M$63,$B35&amp;" ~*")=0),($R35+COUNTIF($H$104:$H119,$B35)+COUNTIF($H$104:$H119,$B35&amp;" ~*"))*1000+IF(BC120&gt;100,500,0)+16,"")</f>
        <v/>
      </c>
      <c r="CC120">
        <f>IF(AND(BD120&lt;&gt;"",COUNTIF($K$63:$M$63,$B36)+COUNTIF($K$63:$M$63,$B36&amp;" ~*")=0),($R36+COUNTIF($H$104:$H119,$B36)+COUNTIF($H$104:$H119,$B36&amp;" ~*"))*1000+IF(BD120&gt;100,500,0)+17,"")</f>
        <v/>
      </c>
      <c r="CD120">
        <f>IF(AND(BE120&lt;&gt;"",COUNTIF($K$63:$M$63,$B37)+COUNTIF($K$63:$M$63,$B37&amp;" ~*")=0),($R37+COUNTIF($H$104:$H119,$B37)+COUNTIF($H$104:$H119,$B37&amp;" ~*"))*1000+IF(BE120&gt;100,500,0)+18,"")</f>
        <v/>
      </c>
      <c r="CE120">
        <f>IF(AND(BF120&lt;&gt;"",COUNTIF($K$63:$M$63,$B38)+COUNTIF($K$63:$M$63,$B38&amp;" ~*")=0),($R38+COUNTIF($H$104:$H119,$B38)+COUNTIF($H$104:$H119,$B38&amp;" ~*"))*1000+IF(BF120&gt;100,500,0)+19,"")</f>
        <v/>
      </c>
      <c r="CF120">
        <f>IF(AND(BG120&lt;&gt;"",COUNTIF($K$63:$M$63,$B39)+COUNTIF($K$63:$M$63,$B39&amp;" ~*")=0),($R39+COUNTIF($H$104:$H119,$B39)+COUNTIF($H$104:$H119,$B39&amp;" ~*"))*1000+IF(BG120&gt;100,500,0)+20,"")</f>
        <v/>
      </c>
      <c r="CG120">
        <f>IF(AND(BH120&lt;&gt;"",COUNTIF($K$63:$M$63,$B40)+COUNTIF($K$63:$M$63,$B40&amp;" ~*")=0),($R40+COUNTIF($H$104:$H119,$B40)+COUNTIF($H$104:$H119,$B40&amp;" ~*"))*1000+IF(BH120&gt;100,500,0)+21,"")</f>
        <v/>
      </c>
      <c r="CH120">
        <f>IF(AND(BI120&lt;&gt;"",COUNTIF($K$63:$M$63,$B41)+COUNTIF($K$63:$M$63,$B41&amp;" ~*")=0),($R41+COUNTIF($H$104:$H119,$B41)+COUNTIF($H$104:$H119,$B41&amp;" ~*"))*1000+IF(BI120&gt;100,500,0)+22,"")</f>
        <v/>
      </c>
      <c r="CI120">
        <f>IF(AND(BJ120&lt;&gt;"",COUNTIF($K$63:$M$63,$B42)+COUNTIF($K$63:$M$63,$B42&amp;" ~*")=0),($R42+COUNTIF($H$104:$H119,$B42)+COUNTIF($H$104:$H119,$B42&amp;" ~*"))*1000+IF(BJ120&gt;100,500,0)+23,"")</f>
        <v/>
      </c>
      <c r="CJ120">
        <f>IF(AND(BK120&lt;&gt;"",COUNTIF($K$63:$M$63,$B43)+COUNTIF($K$63:$M$63,$B43&amp;" ~*")=0),($R43+COUNTIF($H$104:$H119,$B43)+COUNTIF($H$104:$H119,$B43&amp;" ~*"))*1000+IF(BK120&gt;100,500,0)+24,"")</f>
        <v/>
      </c>
    </row>
    <row r="121">
      <c r="A121" t="n">
        <v>3</v>
      </c>
      <c r="B121" t="n">
        <v>18</v>
      </c>
      <c r="C121">
        <f>$B$64</f>
        <v/>
      </c>
      <c r="D121" t="inlineStr">
        <is>
          <t>Wed</t>
        </is>
      </c>
      <c r="E121">
        <f>IF(C121="","",N($AB$64))</f>
        <v/>
      </c>
      <c r="F121">
        <f>IF(C121="","",COUNTIF($K$64:$M$64,"?*"))</f>
        <v/>
      </c>
      <c r="G121">
        <f>IF(C121="","",MAX(0,E121-F121))</f>
        <v/>
      </c>
      <c r="H121">
        <f>IF(N(G121)=0,"",IF(COUNT(BM121:CJ121)=0,"no-one eligible",INDEX(Engine!$B$20:$B$43,MOD(MIN(BM121:CJ121),500))&amp;IF(MOD(MIN(BM121:CJ121),1000)&gt;=500," *","")))</f>
        <v/>
      </c>
      <c r="I121">
        <f>IF(N(G121)&gt;0,COUNTIF($G$68:G121,"&gt;0"),"")</f>
        <v/>
      </c>
      <c r="J121">
        <f>IF(C121="","",IF($K$64="",0,IF(IFERROR(INDEX(Setup!$O$6:$AL$23,18,MATCH(SUBSTITUTE($K$64," *",""),Setup!$B$6:$B$29,0)),"")="",1,0))+IF($L$64="",0,IF(IFERROR(INDEX(Setup!$O$6:$AL$23,18,MATCH(SUBSTITUTE($L$64," *",""),Setup!$B$6:$B$29,0)),"")="",1,0))+IF($M$64="",0,IF(IFERROR(INDEX(Setup!$O$6:$AL$23,18,MATCH(SUBSTITUTE($M$64," *",""),Setup!$B$6:$B$29,0)),"")="",1,0)))</f>
        <v/>
      </c>
      <c r="K121">
        <f>IF($B$12+2=TODAY(),1,0)</f>
        <v/>
      </c>
      <c r="N121">
        <f>COUNT($AN121:$BK121)</f>
        <v/>
      </c>
      <c r="O121">
        <f>IF(1&gt;$N121,"",INDEX(Engine!$B$20:$B$43,MOD(SMALL($AN121:$BK121,1),100))&amp;IF(SMALL($AN121:$BK121,1)&gt;100," *",""))</f>
        <v/>
      </c>
      <c r="P121">
        <f>IF(2&gt;$N121,"",INDEX(Engine!$B$20:$B$43,MOD(SMALL($AN121:$BK121,2),100))&amp;IF(SMALL($AN121:$BK121,2)&gt;100," *",""))</f>
        <v/>
      </c>
      <c r="Q121">
        <f>IF(3&gt;$N121,"",INDEX(Engine!$B$20:$B$43,MOD(SMALL($AN121:$BK121,3),100))&amp;IF(SMALL($AN121:$BK121,3)&gt;100," *",""))</f>
        <v/>
      </c>
      <c r="R121">
        <f>IF(4&gt;$N121,"",INDEX(Engine!$B$20:$B$43,MOD(SMALL($AN121:$BK121,4),100))&amp;IF(SMALL($AN121:$BK121,4)&gt;100," *",""))</f>
        <v/>
      </c>
      <c r="S121">
        <f>IF(5&gt;$N121,"",INDEX(Engine!$B$20:$B$43,MOD(SMALL($AN121:$BK121,5),100))&amp;IF(SMALL($AN121:$BK121,5)&gt;100," *",""))</f>
        <v/>
      </c>
      <c r="T121">
        <f>IF(6&gt;$N121,"",INDEX(Engine!$B$20:$B$43,MOD(SMALL($AN121:$BK121,6),100))&amp;IF(SMALL($AN121:$BK121,6)&gt;100," *",""))</f>
        <v/>
      </c>
      <c r="U121">
        <f>IF(7&gt;$N121,"",INDEX(Engine!$B$20:$B$43,MOD(SMALL($AN121:$BK121,7),100))&amp;IF(SMALL($AN121:$BK121,7)&gt;100," *",""))</f>
        <v/>
      </c>
      <c r="V121">
        <f>IF(8&gt;$N121,"",INDEX(Engine!$B$20:$B$43,MOD(SMALL($AN121:$BK121,8),100))&amp;IF(SMALL($AN121:$BK121,8)&gt;100," *",""))</f>
        <v/>
      </c>
      <c r="W121">
        <f>IF(9&gt;$N121,"",INDEX(Engine!$B$20:$B$43,MOD(SMALL($AN121:$BK121,9),100))&amp;IF(SMALL($AN121:$BK121,9)&gt;100," *",""))</f>
        <v/>
      </c>
      <c r="X121">
        <f>IF(10&gt;$N121,"",INDEX(Engine!$B$20:$B$43,MOD(SMALL($AN121:$BK121,10),100))&amp;IF(SMALL($AN121:$BK121,10)&gt;100," *",""))</f>
        <v/>
      </c>
      <c r="Y121">
        <f>IF(11&gt;$N121,"",INDEX(Engine!$B$20:$B$43,MOD(SMALL($AN121:$BK121,11),100))&amp;IF(SMALL($AN121:$BK121,11)&gt;100," *",""))</f>
        <v/>
      </c>
      <c r="Z121">
        <f>IF(12&gt;$N121,"",INDEX(Engine!$B$20:$B$43,MOD(SMALL($AN121:$BK121,12),100))&amp;IF(SMALL($AN121:$BK121,12)&gt;100," *",""))</f>
        <v/>
      </c>
      <c r="AA121">
        <f>IF(13&gt;$N121,"",INDEX(Engine!$B$20:$B$43,MOD(SMALL($AN121:$BK121,13),100))&amp;IF(SMALL($AN121:$BK121,13)&gt;100," *",""))</f>
        <v/>
      </c>
      <c r="AB121">
        <f>IF(14&gt;$N121,"",INDEX(Engine!$B$20:$B$43,MOD(SMALL($AN121:$BK121,14),100))&amp;IF(SMALL($AN121:$BK121,14)&gt;100," *",""))</f>
        <v/>
      </c>
      <c r="AC121">
        <f>IF(15&gt;$N121,"",INDEX(Engine!$B$20:$B$43,MOD(SMALL($AN121:$BK121,15),100))&amp;IF(SMALL($AN121:$BK121,15)&gt;100," *",""))</f>
        <v/>
      </c>
      <c r="AD121">
        <f>IF(16&gt;$N121,"",INDEX(Engine!$B$20:$B$43,MOD(SMALL($AN121:$BK121,16),100))&amp;IF(SMALL($AN121:$BK121,16)&gt;100," *",""))</f>
        <v/>
      </c>
      <c r="AE121">
        <f>IF(17&gt;$N121,"",INDEX(Engine!$B$20:$B$43,MOD(SMALL($AN121:$BK121,17),100))&amp;IF(SMALL($AN121:$BK121,17)&gt;100," *",""))</f>
        <v/>
      </c>
      <c r="AF121">
        <f>IF(18&gt;$N121,"",INDEX(Engine!$B$20:$B$43,MOD(SMALL($AN121:$BK121,18),100))&amp;IF(SMALL($AN121:$BK121,18)&gt;100," *",""))</f>
        <v/>
      </c>
      <c r="AG121">
        <f>IF(19&gt;$N121,"",INDEX(Engine!$B$20:$B$43,MOD(SMALL($AN121:$BK121,19),100))&amp;IF(SMALL($AN121:$BK121,19)&gt;100," *",""))</f>
        <v/>
      </c>
      <c r="AH121">
        <f>IF(20&gt;$N121,"",INDEX(Engine!$B$20:$B$43,MOD(SMALL($AN121:$BK121,20),100))&amp;IF(SMALL($AN121:$BK121,20)&gt;100," *",""))</f>
        <v/>
      </c>
      <c r="AI121">
        <f>IF(21&gt;$N121,"",INDEX(Engine!$B$20:$B$43,MOD(SMALL($AN121:$BK121,21),100))&amp;IF(SMALL($AN121:$BK121,21)&gt;100," *",""))</f>
        <v/>
      </c>
      <c r="AJ121">
        <f>IF(22&gt;$N121,"",INDEX(Engine!$B$20:$B$43,MOD(SMALL($AN121:$BK121,22),100))&amp;IF(SMALL($AN121:$BK121,22)&gt;100," *",""))</f>
        <v/>
      </c>
      <c r="AK121">
        <f>IF(23&gt;$N121,"",INDEX(Engine!$B$20:$B$43,MOD(SMALL($AN121:$BK121,23),100))&amp;IF(SMALL($AN121:$BK121,23)&gt;100," *",""))</f>
        <v/>
      </c>
      <c r="AL121">
        <f>IF(24&gt;$N121,"",INDEX(Engine!$B$20:$B$43,MOD(SMALL($AN121:$BK121,24),100))&amp;IF(SMALL($AN121:$BK121,24)&gt;100," *",""))</f>
        <v/>
      </c>
      <c r="AN121">
        <f>IF(AND($C20=1,INDEX(Setup!$O$6:$AL$23,18,1)&lt;&gt;"",M20=0),1+IF(INDEX(Setup!$O$6:$AL$23,18,1)="T",100,0),"")</f>
        <v/>
      </c>
      <c r="AO121">
        <f>IF(AND($C21=1,INDEX(Setup!$O$6:$AL$23,18,2)&lt;&gt;"",M21=0),2+IF(INDEX(Setup!$O$6:$AL$23,18,2)="T",100,0),"")</f>
        <v/>
      </c>
      <c r="AP121">
        <f>IF(AND($C22=1,INDEX(Setup!$O$6:$AL$23,18,3)&lt;&gt;"",M22=0),3+IF(INDEX(Setup!$O$6:$AL$23,18,3)="T",100,0),"")</f>
        <v/>
      </c>
      <c r="AQ121">
        <f>IF(AND($C23=1,INDEX(Setup!$O$6:$AL$23,18,4)&lt;&gt;"",M23=0),4+IF(INDEX(Setup!$O$6:$AL$23,18,4)="T",100,0),"")</f>
        <v/>
      </c>
      <c r="AR121">
        <f>IF(AND($C24=1,INDEX(Setup!$O$6:$AL$23,18,5)&lt;&gt;"",M24=0),5+IF(INDEX(Setup!$O$6:$AL$23,18,5)="T",100,0),"")</f>
        <v/>
      </c>
      <c r="AS121">
        <f>IF(AND($C25=1,INDEX(Setup!$O$6:$AL$23,18,6)&lt;&gt;"",M25=0),6+IF(INDEX(Setup!$O$6:$AL$23,18,6)="T",100,0),"")</f>
        <v/>
      </c>
      <c r="AT121">
        <f>IF(AND($C26=1,INDEX(Setup!$O$6:$AL$23,18,7)&lt;&gt;"",M26=0),7+IF(INDEX(Setup!$O$6:$AL$23,18,7)="T",100,0),"")</f>
        <v/>
      </c>
      <c r="AU121">
        <f>IF(AND($C27=1,INDEX(Setup!$O$6:$AL$23,18,8)&lt;&gt;"",M27=0),8+IF(INDEX(Setup!$O$6:$AL$23,18,8)="T",100,0),"")</f>
        <v/>
      </c>
      <c r="AV121">
        <f>IF(AND($C28=1,INDEX(Setup!$O$6:$AL$23,18,9)&lt;&gt;"",M28=0),9+IF(INDEX(Setup!$O$6:$AL$23,18,9)="T",100,0),"")</f>
        <v/>
      </c>
      <c r="AW121">
        <f>IF(AND($C29=1,INDEX(Setup!$O$6:$AL$23,18,10)&lt;&gt;"",M29=0),10+IF(INDEX(Setup!$O$6:$AL$23,18,10)="T",100,0),"")</f>
        <v/>
      </c>
      <c r="AX121">
        <f>IF(AND($C30=1,INDEX(Setup!$O$6:$AL$23,18,11)&lt;&gt;"",M30=0),11+IF(INDEX(Setup!$O$6:$AL$23,18,11)="T",100,0),"")</f>
        <v/>
      </c>
      <c r="AY121">
        <f>IF(AND($C31=1,INDEX(Setup!$O$6:$AL$23,18,12)&lt;&gt;"",M31=0),12+IF(INDEX(Setup!$O$6:$AL$23,18,12)="T",100,0),"")</f>
        <v/>
      </c>
      <c r="AZ121">
        <f>IF(AND($C32=1,INDEX(Setup!$O$6:$AL$23,18,13)&lt;&gt;"",M32=0),13+IF(INDEX(Setup!$O$6:$AL$23,18,13)="T",100,0),"")</f>
        <v/>
      </c>
      <c r="BA121">
        <f>IF(AND($C33=1,INDEX(Setup!$O$6:$AL$23,18,14)&lt;&gt;"",M33=0),14+IF(INDEX(Setup!$O$6:$AL$23,18,14)="T",100,0),"")</f>
        <v/>
      </c>
      <c r="BB121">
        <f>IF(AND($C34=1,INDEX(Setup!$O$6:$AL$23,18,15)&lt;&gt;"",M34=0),15+IF(INDEX(Setup!$O$6:$AL$23,18,15)="T",100,0),"")</f>
        <v/>
      </c>
      <c r="BC121">
        <f>IF(AND($C35=1,INDEX(Setup!$O$6:$AL$23,18,16)&lt;&gt;"",M35=0),16+IF(INDEX(Setup!$O$6:$AL$23,18,16)="T",100,0),"")</f>
        <v/>
      </c>
      <c r="BD121">
        <f>IF(AND($C36=1,INDEX(Setup!$O$6:$AL$23,18,17)&lt;&gt;"",M36=0),17+IF(INDEX(Setup!$O$6:$AL$23,18,17)="T",100,0),"")</f>
        <v/>
      </c>
      <c r="BE121">
        <f>IF(AND($C37=1,INDEX(Setup!$O$6:$AL$23,18,18)&lt;&gt;"",M37=0),18+IF(INDEX(Setup!$O$6:$AL$23,18,18)="T",100,0),"")</f>
        <v/>
      </c>
      <c r="BF121">
        <f>IF(AND($C38=1,INDEX(Setup!$O$6:$AL$23,18,19)&lt;&gt;"",M38=0),19+IF(INDEX(Setup!$O$6:$AL$23,18,19)="T",100,0),"")</f>
        <v/>
      </c>
      <c r="BG121">
        <f>IF(AND($C39=1,INDEX(Setup!$O$6:$AL$23,18,20)&lt;&gt;"",M39=0),20+IF(INDEX(Setup!$O$6:$AL$23,18,20)="T",100,0),"")</f>
        <v/>
      </c>
      <c r="BH121">
        <f>IF(AND($C40=1,INDEX(Setup!$O$6:$AL$23,18,21)&lt;&gt;"",M40=0),21+IF(INDEX(Setup!$O$6:$AL$23,18,21)="T",100,0),"")</f>
        <v/>
      </c>
      <c r="BI121">
        <f>IF(AND($C41=1,INDEX(Setup!$O$6:$AL$23,18,22)&lt;&gt;"",M41=0),22+IF(INDEX(Setup!$O$6:$AL$23,18,22)="T",100,0),"")</f>
        <v/>
      </c>
      <c r="BJ121">
        <f>IF(AND($C42=1,INDEX(Setup!$O$6:$AL$23,18,23)&lt;&gt;"",M42=0),23+IF(INDEX(Setup!$O$6:$AL$23,18,23)="T",100,0),"")</f>
        <v/>
      </c>
      <c r="BK121">
        <f>IF(AND($C43=1,INDEX(Setup!$O$6:$AL$23,18,24)&lt;&gt;"",M43=0),24+IF(INDEX(Setup!$O$6:$AL$23,18,24)="T",100,0),"")</f>
        <v/>
      </c>
      <c r="BM121">
        <f>IF(AND(AN121&lt;&gt;"",COUNTIF($K$64:$M$64,$B20)+COUNTIF($K$64:$M$64,$B20&amp;" ~*")=0),($R20+COUNTIF($H$104:$H120,$B20)+COUNTIF($H$104:$H120,$B20&amp;" ~*"))*1000+IF(AN121&gt;100,500,0)+1,"")</f>
        <v/>
      </c>
      <c r="BN121">
        <f>IF(AND(AO121&lt;&gt;"",COUNTIF($K$64:$M$64,$B21)+COUNTIF($K$64:$M$64,$B21&amp;" ~*")=0),($R21+COUNTIF($H$104:$H120,$B21)+COUNTIF($H$104:$H120,$B21&amp;" ~*"))*1000+IF(AO121&gt;100,500,0)+2,"")</f>
        <v/>
      </c>
      <c r="BO121">
        <f>IF(AND(AP121&lt;&gt;"",COUNTIF($K$64:$M$64,$B22)+COUNTIF($K$64:$M$64,$B22&amp;" ~*")=0),($R22+COUNTIF($H$104:$H120,$B22)+COUNTIF($H$104:$H120,$B22&amp;" ~*"))*1000+IF(AP121&gt;100,500,0)+3,"")</f>
        <v/>
      </c>
      <c r="BP121">
        <f>IF(AND(AQ121&lt;&gt;"",COUNTIF($K$64:$M$64,$B23)+COUNTIF($K$64:$M$64,$B23&amp;" ~*")=0),($R23+COUNTIF($H$104:$H120,$B23)+COUNTIF($H$104:$H120,$B23&amp;" ~*"))*1000+IF(AQ121&gt;100,500,0)+4,"")</f>
        <v/>
      </c>
      <c r="BQ121">
        <f>IF(AND(AR121&lt;&gt;"",COUNTIF($K$64:$M$64,$B24)+COUNTIF($K$64:$M$64,$B24&amp;" ~*")=0),($R24+COUNTIF($H$104:$H120,$B24)+COUNTIF($H$104:$H120,$B24&amp;" ~*"))*1000+IF(AR121&gt;100,500,0)+5,"")</f>
        <v/>
      </c>
      <c r="BR121">
        <f>IF(AND(AS121&lt;&gt;"",COUNTIF($K$64:$M$64,$B25)+COUNTIF($K$64:$M$64,$B25&amp;" ~*")=0),($R25+COUNTIF($H$104:$H120,$B25)+COUNTIF($H$104:$H120,$B25&amp;" ~*"))*1000+IF(AS121&gt;100,500,0)+6,"")</f>
        <v/>
      </c>
      <c r="BS121">
        <f>IF(AND(AT121&lt;&gt;"",COUNTIF($K$64:$M$64,$B26)+COUNTIF($K$64:$M$64,$B26&amp;" ~*")=0),($R26+COUNTIF($H$104:$H120,$B26)+COUNTIF($H$104:$H120,$B26&amp;" ~*"))*1000+IF(AT121&gt;100,500,0)+7,"")</f>
        <v/>
      </c>
      <c r="BT121">
        <f>IF(AND(AU121&lt;&gt;"",COUNTIF($K$64:$M$64,$B27)+COUNTIF($K$64:$M$64,$B27&amp;" ~*")=0),($R27+COUNTIF($H$104:$H120,$B27)+COUNTIF($H$104:$H120,$B27&amp;" ~*"))*1000+IF(AU121&gt;100,500,0)+8,"")</f>
        <v/>
      </c>
      <c r="BU121">
        <f>IF(AND(AV121&lt;&gt;"",COUNTIF($K$64:$M$64,$B28)+COUNTIF($K$64:$M$64,$B28&amp;" ~*")=0),($R28+COUNTIF($H$104:$H120,$B28)+COUNTIF($H$104:$H120,$B28&amp;" ~*"))*1000+IF(AV121&gt;100,500,0)+9,"")</f>
        <v/>
      </c>
      <c r="BV121">
        <f>IF(AND(AW121&lt;&gt;"",COUNTIF($K$64:$M$64,$B29)+COUNTIF($K$64:$M$64,$B29&amp;" ~*")=0),($R29+COUNTIF($H$104:$H120,$B29)+COUNTIF($H$104:$H120,$B29&amp;" ~*"))*1000+IF(AW121&gt;100,500,0)+10,"")</f>
        <v/>
      </c>
      <c r="BW121">
        <f>IF(AND(AX121&lt;&gt;"",COUNTIF($K$64:$M$64,$B30)+COUNTIF($K$64:$M$64,$B30&amp;" ~*")=0),($R30+COUNTIF($H$104:$H120,$B30)+COUNTIF($H$104:$H120,$B30&amp;" ~*"))*1000+IF(AX121&gt;100,500,0)+11,"")</f>
        <v/>
      </c>
      <c r="BX121">
        <f>IF(AND(AY121&lt;&gt;"",COUNTIF($K$64:$M$64,$B31)+COUNTIF($K$64:$M$64,$B31&amp;" ~*")=0),($R31+COUNTIF($H$104:$H120,$B31)+COUNTIF($H$104:$H120,$B31&amp;" ~*"))*1000+IF(AY121&gt;100,500,0)+12,"")</f>
        <v/>
      </c>
      <c r="BY121">
        <f>IF(AND(AZ121&lt;&gt;"",COUNTIF($K$64:$M$64,$B32)+COUNTIF($K$64:$M$64,$B32&amp;" ~*")=0),($R32+COUNTIF($H$104:$H120,$B32)+COUNTIF($H$104:$H120,$B32&amp;" ~*"))*1000+IF(AZ121&gt;100,500,0)+13,"")</f>
        <v/>
      </c>
      <c r="BZ121">
        <f>IF(AND(BA121&lt;&gt;"",COUNTIF($K$64:$M$64,$B33)+COUNTIF($K$64:$M$64,$B33&amp;" ~*")=0),($R33+COUNTIF($H$104:$H120,$B33)+COUNTIF($H$104:$H120,$B33&amp;" ~*"))*1000+IF(BA121&gt;100,500,0)+14,"")</f>
        <v/>
      </c>
      <c r="CA121">
        <f>IF(AND(BB121&lt;&gt;"",COUNTIF($K$64:$M$64,$B34)+COUNTIF($K$64:$M$64,$B34&amp;" ~*")=0),($R34+COUNTIF($H$104:$H120,$B34)+COUNTIF($H$104:$H120,$B34&amp;" ~*"))*1000+IF(BB121&gt;100,500,0)+15,"")</f>
        <v/>
      </c>
      <c r="CB121">
        <f>IF(AND(BC121&lt;&gt;"",COUNTIF($K$64:$M$64,$B35)+COUNTIF($K$64:$M$64,$B35&amp;" ~*")=0),($R35+COUNTIF($H$104:$H120,$B35)+COUNTIF($H$104:$H120,$B35&amp;" ~*"))*1000+IF(BC121&gt;100,500,0)+16,"")</f>
        <v/>
      </c>
      <c r="CC121">
        <f>IF(AND(BD121&lt;&gt;"",COUNTIF($K$64:$M$64,$B36)+COUNTIF($K$64:$M$64,$B36&amp;" ~*")=0),($R36+COUNTIF($H$104:$H120,$B36)+COUNTIF($H$104:$H120,$B36&amp;" ~*"))*1000+IF(BD121&gt;100,500,0)+17,"")</f>
        <v/>
      </c>
      <c r="CD121">
        <f>IF(AND(BE121&lt;&gt;"",COUNTIF($K$64:$M$64,$B37)+COUNTIF($K$64:$M$64,$B37&amp;" ~*")=0),($R37+COUNTIF($H$104:$H120,$B37)+COUNTIF($H$104:$H120,$B37&amp;" ~*"))*1000+IF(BE121&gt;100,500,0)+18,"")</f>
        <v/>
      </c>
      <c r="CE121">
        <f>IF(AND(BF121&lt;&gt;"",COUNTIF($K$64:$M$64,$B38)+COUNTIF($K$64:$M$64,$B38&amp;" ~*")=0),($R38+COUNTIF($H$104:$H120,$B38)+COUNTIF($H$104:$H120,$B38&amp;" ~*"))*1000+IF(BF121&gt;100,500,0)+19,"")</f>
        <v/>
      </c>
      <c r="CF121">
        <f>IF(AND(BG121&lt;&gt;"",COUNTIF($K$64:$M$64,$B39)+COUNTIF($K$64:$M$64,$B39&amp;" ~*")=0),($R39+COUNTIF($H$104:$H120,$B39)+COUNTIF($H$104:$H120,$B39&amp;" ~*"))*1000+IF(BG121&gt;100,500,0)+20,"")</f>
        <v/>
      </c>
      <c r="CG121">
        <f>IF(AND(BH121&lt;&gt;"",COUNTIF($K$64:$M$64,$B40)+COUNTIF($K$64:$M$64,$B40&amp;" ~*")=0),($R40+COUNTIF($H$104:$H120,$B40)+COUNTIF($H$104:$H120,$B40&amp;" ~*"))*1000+IF(BH121&gt;100,500,0)+21,"")</f>
        <v/>
      </c>
      <c r="CH121">
        <f>IF(AND(BI121&lt;&gt;"",COUNTIF($K$64:$M$64,$B41)+COUNTIF($K$64:$M$64,$B41&amp;" ~*")=0),($R41+COUNTIF($H$104:$H120,$B41)+COUNTIF($H$104:$H120,$B41&amp;" ~*"))*1000+IF(BI121&gt;100,500,0)+22,"")</f>
        <v/>
      </c>
      <c r="CI121">
        <f>IF(AND(BJ121&lt;&gt;"",COUNTIF($K$64:$M$64,$B42)+COUNTIF($K$64:$M$64,$B42&amp;" ~*")=0),($R42+COUNTIF($H$104:$H120,$B42)+COUNTIF($H$104:$H120,$B42&amp;" ~*"))*1000+IF(BJ121&gt;100,500,0)+23,"")</f>
        <v/>
      </c>
      <c r="CJ121">
        <f>IF(AND(BK121&lt;&gt;"",COUNTIF($K$64:$M$64,$B43)+COUNTIF($K$64:$M$64,$B43&amp;" ~*")=0),($R43+COUNTIF($H$104:$H120,$B43)+COUNTIF($H$104:$H120,$B43&amp;" ~*"))*1000+IF(BK121&gt;100,500,0)+24,"")</f>
        <v/>
      </c>
    </row>
    <row r="122">
      <c r="A122" t="n">
        <v>4</v>
      </c>
      <c r="B122" t="n">
        <v>1</v>
      </c>
      <c r="C122">
        <f>$B$47</f>
        <v/>
      </c>
      <c r="D122" t="inlineStr">
        <is>
          <t>Thu</t>
        </is>
      </c>
      <c r="E122">
        <f>IF(C122="","",N($AB$47))</f>
        <v/>
      </c>
      <c r="F122">
        <f>IF(C122="","",COUNTIF($O$47:$Q$47,"?*"))</f>
        <v/>
      </c>
      <c r="G122">
        <f>IF(C122="","",MAX(0,E122-F122))</f>
        <v/>
      </c>
      <c r="H122">
        <f>IF(N(G122)=0,"",IF(COUNT(BM122:CJ122)=0,"no-one eligible",INDEX(Engine!$B$20:$B$43,MOD(MIN(BM122:CJ122),500))&amp;IF(MOD(MIN(BM122:CJ122),1000)&gt;=500," *","")))</f>
        <v/>
      </c>
      <c r="I122">
        <f>IF(N(G122)&gt;0,COUNTIF($G$68:G122,"&gt;0"),"")</f>
        <v/>
      </c>
      <c r="J122">
        <f>IF(C122="","",IF($O$47="",0,IF(IFERROR(INDEX(Setup!$O$6:$AL$23,1,MATCH(SUBSTITUTE($O$47," *",""),Setup!$B$6:$B$29,0)),"")="",1,0))+IF($P$47="",0,IF(IFERROR(INDEX(Setup!$O$6:$AL$23,1,MATCH(SUBSTITUTE($P$47," *",""),Setup!$B$6:$B$29,0)),"")="",1,0))+IF($Q$47="",0,IF(IFERROR(INDEX(Setup!$O$6:$AL$23,1,MATCH(SUBSTITUTE($Q$47," *",""),Setup!$B$6:$B$29,0)),"")="",1,0)))</f>
        <v/>
      </c>
      <c r="K122">
        <f>IF($B$12+3=TODAY(),1,0)</f>
        <v/>
      </c>
      <c r="N122">
        <f>COUNT($AN122:$BK122)</f>
        <v/>
      </c>
      <c r="O122">
        <f>IF(1&gt;$N122,"",INDEX(Engine!$B$20:$B$43,MOD(SMALL($AN122:$BK122,1),100))&amp;IF(SMALL($AN122:$BK122,1)&gt;100," *",""))</f>
        <v/>
      </c>
      <c r="P122">
        <f>IF(2&gt;$N122,"",INDEX(Engine!$B$20:$B$43,MOD(SMALL($AN122:$BK122,2),100))&amp;IF(SMALL($AN122:$BK122,2)&gt;100," *",""))</f>
        <v/>
      </c>
      <c r="Q122">
        <f>IF(3&gt;$N122,"",INDEX(Engine!$B$20:$B$43,MOD(SMALL($AN122:$BK122,3),100))&amp;IF(SMALL($AN122:$BK122,3)&gt;100," *",""))</f>
        <v/>
      </c>
      <c r="R122">
        <f>IF(4&gt;$N122,"",INDEX(Engine!$B$20:$B$43,MOD(SMALL($AN122:$BK122,4),100))&amp;IF(SMALL($AN122:$BK122,4)&gt;100," *",""))</f>
        <v/>
      </c>
      <c r="S122">
        <f>IF(5&gt;$N122,"",INDEX(Engine!$B$20:$B$43,MOD(SMALL($AN122:$BK122,5),100))&amp;IF(SMALL($AN122:$BK122,5)&gt;100," *",""))</f>
        <v/>
      </c>
      <c r="T122">
        <f>IF(6&gt;$N122,"",INDEX(Engine!$B$20:$B$43,MOD(SMALL($AN122:$BK122,6),100))&amp;IF(SMALL($AN122:$BK122,6)&gt;100," *",""))</f>
        <v/>
      </c>
      <c r="U122">
        <f>IF(7&gt;$N122,"",INDEX(Engine!$B$20:$B$43,MOD(SMALL($AN122:$BK122,7),100))&amp;IF(SMALL($AN122:$BK122,7)&gt;100," *",""))</f>
        <v/>
      </c>
      <c r="V122">
        <f>IF(8&gt;$N122,"",INDEX(Engine!$B$20:$B$43,MOD(SMALL($AN122:$BK122,8),100))&amp;IF(SMALL($AN122:$BK122,8)&gt;100," *",""))</f>
        <v/>
      </c>
      <c r="W122">
        <f>IF(9&gt;$N122,"",INDEX(Engine!$B$20:$B$43,MOD(SMALL($AN122:$BK122,9),100))&amp;IF(SMALL($AN122:$BK122,9)&gt;100," *",""))</f>
        <v/>
      </c>
      <c r="X122">
        <f>IF(10&gt;$N122,"",INDEX(Engine!$B$20:$B$43,MOD(SMALL($AN122:$BK122,10),100))&amp;IF(SMALL($AN122:$BK122,10)&gt;100," *",""))</f>
        <v/>
      </c>
      <c r="Y122">
        <f>IF(11&gt;$N122,"",INDEX(Engine!$B$20:$B$43,MOD(SMALL($AN122:$BK122,11),100))&amp;IF(SMALL($AN122:$BK122,11)&gt;100," *",""))</f>
        <v/>
      </c>
      <c r="Z122">
        <f>IF(12&gt;$N122,"",INDEX(Engine!$B$20:$B$43,MOD(SMALL($AN122:$BK122,12),100))&amp;IF(SMALL($AN122:$BK122,12)&gt;100," *",""))</f>
        <v/>
      </c>
      <c r="AA122">
        <f>IF(13&gt;$N122,"",INDEX(Engine!$B$20:$B$43,MOD(SMALL($AN122:$BK122,13),100))&amp;IF(SMALL($AN122:$BK122,13)&gt;100," *",""))</f>
        <v/>
      </c>
      <c r="AB122">
        <f>IF(14&gt;$N122,"",INDEX(Engine!$B$20:$B$43,MOD(SMALL($AN122:$BK122,14),100))&amp;IF(SMALL($AN122:$BK122,14)&gt;100," *",""))</f>
        <v/>
      </c>
      <c r="AC122">
        <f>IF(15&gt;$N122,"",INDEX(Engine!$B$20:$B$43,MOD(SMALL($AN122:$BK122,15),100))&amp;IF(SMALL($AN122:$BK122,15)&gt;100," *",""))</f>
        <v/>
      </c>
      <c r="AD122">
        <f>IF(16&gt;$N122,"",INDEX(Engine!$B$20:$B$43,MOD(SMALL($AN122:$BK122,16),100))&amp;IF(SMALL($AN122:$BK122,16)&gt;100," *",""))</f>
        <v/>
      </c>
      <c r="AE122">
        <f>IF(17&gt;$N122,"",INDEX(Engine!$B$20:$B$43,MOD(SMALL($AN122:$BK122,17),100))&amp;IF(SMALL($AN122:$BK122,17)&gt;100," *",""))</f>
        <v/>
      </c>
      <c r="AF122">
        <f>IF(18&gt;$N122,"",INDEX(Engine!$B$20:$B$43,MOD(SMALL($AN122:$BK122,18),100))&amp;IF(SMALL($AN122:$BK122,18)&gt;100," *",""))</f>
        <v/>
      </c>
      <c r="AG122">
        <f>IF(19&gt;$N122,"",INDEX(Engine!$B$20:$B$43,MOD(SMALL($AN122:$BK122,19),100))&amp;IF(SMALL($AN122:$BK122,19)&gt;100," *",""))</f>
        <v/>
      </c>
      <c r="AH122">
        <f>IF(20&gt;$N122,"",INDEX(Engine!$B$20:$B$43,MOD(SMALL($AN122:$BK122,20),100))&amp;IF(SMALL($AN122:$BK122,20)&gt;100," *",""))</f>
        <v/>
      </c>
      <c r="AI122">
        <f>IF(21&gt;$N122,"",INDEX(Engine!$B$20:$B$43,MOD(SMALL($AN122:$BK122,21),100))&amp;IF(SMALL($AN122:$BK122,21)&gt;100," *",""))</f>
        <v/>
      </c>
      <c r="AJ122">
        <f>IF(22&gt;$N122,"",INDEX(Engine!$B$20:$B$43,MOD(SMALL($AN122:$BK122,22),100))&amp;IF(SMALL($AN122:$BK122,22)&gt;100," *",""))</f>
        <v/>
      </c>
      <c r="AK122">
        <f>IF(23&gt;$N122,"",INDEX(Engine!$B$20:$B$43,MOD(SMALL($AN122:$BK122,23),100))&amp;IF(SMALL($AN122:$BK122,23)&gt;100," *",""))</f>
        <v/>
      </c>
      <c r="AL122">
        <f>IF(24&gt;$N122,"",INDEX(Engine!$B$20:$B$43,MOD(SMALL($AN122:$BK122,24),100))&amp;IF(SMALL($AN122:$BK122,24)&gt;100," *",""))</f>
        <v/>
      </c>
      <c r="AN122">
        <f>IF(AND($C20=1,INDEX(Setup!$O$6:$AL$23,1,1)&lt;&gt;"",N20=0),1+IF(INDEX(Setup!$O$6:$AL$23,1,1)="T",100,0),"")</f>
        <v/>
      </c>
      <c r="AO122">
        <f>IF(AND($C21=1,INDEX(Setup!$O$6:$AL$23,1,2)&lt;&gt;"",N21=0),2+IF(INDEX(Setup!$O$6:$AL$23,1,2)="T",100,0),"")</f>
        <v/>
      </c>
      <c r="AP122">
        <f>IF(AND($C22=1,INDEX(Setup!$O$6:$AL$23,1,3)&lt;&gt;"",N22=0),3+IF(INDEX(Setup!$O$6:$AL$23,1,3)="T",100,0),"")</f>
        <v/>
      </c>
      <c r="AQ122">
        <f>IF(AND($C23=1,INDEX(Setup!$O$6:$AL$23,1,4)&lt;&gt;"",N23=0),4+IF(INDEX(Setup!$O$6:$AL$23,1,4)="T",100,0),"")</f>
        <v/>
      </c>
      <c r="AR122">
        <f>IF(AND($C24=1,INDEX(Setup!$O$6:$AL$23,1,5)&lt;&gt;"",N24=0),5+IF(INDEX(Setup!$O$6:$AL$23,1,5)="T",100,0),"")</f>
        <v/>
      </c>
      <c r="AS122">
        <f>IF(AND($C25=1,INDEX(Setup!$O$6:$AL$23,1,6)&lt;&gt;"",N25=0),6+IF(INDEX(Setup!$O$6:$AL$23,1,6)="T",100,0),"")</f>
        <v/>
      </c>
      <c r="AT122">
        <f>IF(AND($C26=1,INDEX(Setup!$O$6:$AL$23,1,7)&lt;&gt;"",N26=0),7+IF(INDEX(Setup!$O$6:$AL$23,1,7)="T",100,0),"")</f>
        <v/>
      </c>
      <c r="AU122">
        <f>IF(AND($C27=1,INDEX(Setup!$O$6:$AL$23,1,8)&lt;&gt;"",N27=0),8+IF(INDEX(Setup!$O$6:$AL$23,1,8)="T",100,0),"")</f>
        <v/>
      </c>
      <c r="AV122">
        <f>IF(AND($C28=1,INDEX(Setup!$O$6:$AL$23,1,9)&lt;&gt;"",N28=0),9+IF(INDEX(Setup!$O$6:$AL$23,1,9)="T",100,0),"")</f>
        <v/>
      </c>
      <c r="AW122">
        <f>IF(AND($C29=1,INDEX(Setup!$O$6:$AL$23,1,10)&lt;&gt;"",N29=0),10+IF(INDEX(Setup!$O$6:$AL$23,1,10)="T",100,0),"")</f>
        <v/>
      </c>
      <c r="AX122">
        <f>IF(AND($C30=1,INDEX(Setup!$O$6:$AL$23,1,11)&lt;&gt;"",N30=0),11+IF(INDEX(Setup!$O$6:$AL$23,1,11)="T",100,0),"")</f>
        <v/>
      </c>
      <c r="AY122">
        <f>IF(AND($C31=1,INDEX(Setup!$O$6:$AL$23,1,12)&lt;&gt;"",N31=0),12+IF(INDEX(Setup!$O$6:$AL$23,1,12)="T",100,0),"")</f>
        <v/>
      </c>
      <c r="AZ122">
        <f>IF(AND($C32=1,INDEX(Setup!$O$6:$AL$23,1,13)&lt;&gt;"",N32=0),13+IF(INDEX(Setup!$O$6:$AL$23,1,13)="T",100,0),"")</f>
        <v/>
      </c>
      <c r="BA122">
        <f>IF(AND($C33=1,INDEX(Setup!$O$6:$AL$23,1,14)&lt;&gt;"",N33=0),14+IF(INDEX(Setup!$O$6:$AL$23,1,14)="T",100,0),"")</f>
        <v/>
      </c>
      <c r="BB122">
        <f>IF(AND($C34=1,INDEX(Setup!$O$6:$AL$23,1,15)&lt;&gt;"",N34=0),15+IF(INDEX(Setup!$O$6:$AL$23,1,15)="T",100,0),"")</f>
        <v/>
      </c>
      <c r="BC122">
        <f>IF(AND($C35=1,INDEX(Setup!$O$6:$AL$23,1,16)&lt;&gt;"",N35=0),16+IF(INDEX(Setup!$O$6:$AL$23,1,16)="T",100,0),"")</f>
        <v/>
      </c>
      <c r="BD122">
        <f>IF(AND($C36=1,INDEX(Setup!$O$6:$AL$23,1,17)&lt;&gt;"",N36=0),17+IF(INDEX(Setup!$O$6:$AL$23,1,17)="T",100,0),"")</f>
        <v/>
      </c>
      <c r="BE122">
        <f>IF(AND($C37=1,INDEX(Setup!$O$6:$AL$23,1,18)&lt;&gt;"",N37=0),18+IF(INDEX(Setup!$O$6:$AL$23,1,18)="T",100,0),"")</f>
        <v/>
      </c>
      <c r="BF122">
        <f>IF(AND($C38=1,INDEX(Setup!$O$6:$AL$23,1,19)&lt;&gt;"",N38=0),19+IF(INDEX(Setup!$O$6:$AL$23,1,19)="T",100,0),"")</f>
        <v/>
      </c>
      <c r="BG122">
        <f>IF(AND($C39=1,INDEX(Setup!$O$6:$AL$23,1,20)&lt;&gt;"",N39=0),20+IF(INDEX(Setup!$O$6:$AL$23,1,20)="T",100,0),"")</f>
        <v/>
      </c>
      <c r="BH122">
        <f>IF(AND($C40=1,INDEX(Setup!$O$6:$AL$23,1,21)&lt;&gt;"",N40=0),21+IF(INDEX(Setup!$O$6:$AL$23,1,21)="T",100,0),"")</f>
        <v/>
      </c>
      <c r="BI122">
        <f>IF(AND($C41=1,INDEX(Setup!$O$6:$AL$23,1,22)&lt;&gt;"",N41=0),22+IF(INDEX(Setup!$O$6:$AL$23,1,22)="T",100,0),"")</f>
        <v/>
      </c>
      <c r="BJ122">
        <f>IF(AND($C42=1,INDEX(Setup!$O$6:$AL$23,1,23)&lt;&gt;"",N42=0),23+IF(INDEX(Setup!$O$6:$AL$23,1,23)="T",100,0),"")</f>
        <v/>
      </c>
      <c r="BK122">
        <f>IF(AND($C43=1,INDEX(Setup!$O$6:$AL$23,1,24)&lt;&gt;"",N43=0),24+IF(INDEX(Setup!$O$6:$AL$23,1,24)="T",100,0),"")</f>
        <v/>
      </c>
      <c r="BM122">
        <f>IF(AND(AN122&lt;&gt;"",COUNTIF($O$47:$Q$47,$B20)+COUNTIF($O$47:$Q$47,$B20&amp;" ~*")=0),($R20+0)*1000+IF(AN122&gt;100,500,0)+1,"")</f>
        <v/>
      </c>
      <c r="BN122">
        <f>IF(AND(AO122&lt;&gt;"",COUNTIF($O$47:$Q$47,$B21)+COUNTIF($O$47:$Q$47,$B21&amp;" ~*")=0),($R21+0)*1000+IF(AO122&gt;100,500,0)+2,"")</f>
        <v/>
      </c>
      <c r="BO122">
        <f>IF(AND(AP122&lt;&gt;"",COUNTIF($O$47:$Q$47,$B22)+COUNTIF($O$47:$Q$47,$B22&amp;" ~*")=0),($R22+0)*1000+IF(AP122&gt;100,500,0)+3,"")</f>
        <v/>
      </c>
      <c r="BP122">
        <f>IF(AND(AQ122&lt;&gt;"",COUNTIF($O$47:$Q$47,$B23)+COUNTIF($O$47:$Q$47,$B23&amp;" ~*")=0),($R23+0)*1000+IF(AQ122&gt;100,500,0)+4,"")</f>
        <v/>
      </c>
      <c r="BQ122">
        <f>IF(AND(AR122&lt;&gt;"",COUNTIF($O$47:$Q$47,$B24)+COUNTIF($O$47:$Q$47,$B24&amp;" ~*")=0),($R24+0)*1000+IF(AR122&gt;100,500,0)+5,"")</f>
        <v/>
      </c>
      <c r="BR122">
        <f>IF(AND(AS122&lt;&gt;"",COUNTIF($O$47:$Q$47,$B25)+COUNTIF($O$47:$Q$47,$B25&amp;" ~*")=0),($R25+0)*1000+IF(AS122&gt;100,500,0)+6,"")</f>
        <v/>
      </c>
      <c r="BS122">
        <f>IF(AND(AT122&lt;&gt;"",COUNTIF($O$47:$Q$47,$B26)+COUNTIF($O$47:$Q$47,$B26&amp;" ~*")=0),($R26+0)*1000+IF(AT122&gt;100,500,0)+7,"")</f>
        <v/>
      </c>
      <c r="BT122">
        <f>IF(AND(AU122&lt;&gt;"",COUNTIF($O$47:$Q$47,$B27)+COUNTIF($O$47:$Q$47,$B27&amp;" ~*")=0),($R27+0)*1000+IF(AU122&gt;100,500,0)+8,"")</f>
        <v/>
      </c>
      <c r="BU122">
        <f>IF(AND(AV122&lt;&gt;"",COUNTIF($O$47:$Q$47,$B28)+COUNTIF($O$47:$Q$47,$B28&amp;" ~*")=0),($R28+0)*1000+IF(AV122&gt;100,500,0)+9,"")</f>
        <v/>
      </c>
      <c r="BV122">
        <f>IF(AND(AW122&lt;&gt;"",COUNTIF($O$47:$Q$47,$B29)+COUNTIF($O$47:$Q$47,$B29&amp;" ~*")=0),($R29+0)*1000+IF(AW122&gt;100,500,0)+10,"")</f>
        <v/>
      </c>
      <c r="BW122">
        <f>IF(AND(AX122&lt;&gt;"",COUNTIF($O$47:$Q$47,$B30)+COUNTIF($O$47:$Q$47,$B30&amp;" ~*")=0),($R30+0)*1000+IF(AX122&gt;100,500,0)+11,"")</f>
        <v/>
      </c>
      <c r="BX122">
        <f>IF(AND(AY122&lt;&gt;"",COUNTIF($O$47:$Q$47,$B31)+COUNTIF($O$47:$Q$47,$B31&amp;" ~*")=0),($R31+0)*1000+IF(AY122&gt;100,500,0)+12,"")</f>
        <v/>
      </c>
      <c r="BY122">
        <f>IF(AND(AZ122&lt;&gt;"",COUNTIF($O$47:$Q$47,$B32)+COUNTIF($O$47:$Q$47,$B32&amp;" ~*")=0),($R32+0)*1000+IF(AZ122&gt;100,500,0)+13,"")</f>
        <v/>
      </c>
      <c r="BZ122">
        <f>IF(AND(BA122&lt;&gt;"",COUNTIF($O$47:$Q$47,$B33)+COUNTIF($O$47:$Q$47,$B33&amp;" ~*")=0),($R33+0)*1000+IF(BA122&gt;100,500,0)+14,"")</f>
        <v/>
      </c>
      <c r="CA122">
        <f>IF(AND(BB122&lt;&gt;"",COUNTIF($O$47:$Q$47,$B34)+COUNTIF($O$47:$Q$47,$B34&amp;" ~*")=0),($R34+0)*1000+IF(BB122&gt;100,500,0)+15,"")</f>
        <v/>
      </c>
      <c r="CB122">
        <f>IF(AND(BC122&lt;&gt;"",COUNTIF($O$47:$Q$47,$B35)+COUNTIF($O$47:$Q$47,$B35&amp;" ~*")=0),($R35+0)*1000+IF(BC122&gt;100,500,0)+16,"")</f>
        <v/>
      </c>
      <c r="CC122">
        <f>IF(AND(BD122&lt;&gt;"",COUNTIF($O$47:$Q$47,$B36)+COUNTIF($O$47:$Q$47,$B36&amp;" ~*")=0),($R36+0)*1000+IF(BD122&gt;100,500,0)+17,"")</f>
        <v/>
      </c>
      <c r="CD122">
        <f>IF(AND(BE122&lt;&gt;"",COUNTIF($O$47:$Q$47,$B37)+COUNTIF($O$47:$Q$47,$B37&amp;" ~*")=0),($R37+0)*1000+IF(BE122&gt;100,500,0)+18,"")</f>
        <v/>
      </c>
      <c r="CE122">
        <f>IF(AND(BF122&lt;&gt;"",COUNTIF($O$47:$Q$47,$B38)+COUNTIF($O$47:$Q$47,$B38&amp;" ~*")=0),($R38+0)*1000+IF(BF122&gt;100,500,0)+19,"")</f>
        <v/>
      </c>
      <c r="CF122">
        <f>IF(AND(BG122&lt;&gt;"",COUNTIF($O$47:$Q$47,$B39)+COUNTIF($O$47:$Q$47,$B39&amp;" ~*")=0),($R39+0)*1000+IF(BG122&gt;100,500,0)+20,"")</f>
        <v/>
      </c>
      <c r="CG122">
        <f>IF(AND(BH122&lt;&gt;"",COUNTIF($O$47:$Q$47,$B40)+COUNTIF($O$47:$Q$47,$B40&amp;" ~*")=0),($R40+0)*1000+IF(BH122&gt;100,500,0)+21,"")</f>
        <v/>
      </c>
      <c r="CH122">
        <f>IF(AND(BI122&lt;&gt;"",COUNTIF($O$47:$Q$47,$B41)+COUNTIF($O$47:$Q$47,$B41&amp;" ~*")=0),($R41+0)*1000+IF(BI122&gt;100,500,0)+22,"")</f>
        <v/>
      </c>
      <c r="CI122">
        <f>IF(AND(BJ122&lt;&gt;"",COUNTIF($O$47:$Q$47,$B42)+COUNTIF($O$47:$Q$47,$B42&amp;" ~*")=0),($R42+0)*1000+IF(BJ122&gt;100,500,0)+23,"")</f>
        <v/>
      </c>
      <c r="CJ122">
        <f>IF(AND(BK122&lt;&gt;"",COUNTIF($O$47:$Q$47,$B43)+COUNTIF($O$47:$Q$47,$B43&amp;" ~*")=0),($R43+0)*1000+IF(BK122&gt;100,500,0)+24,"")</f>
        <v/>
      </c>
    </row>
    <row r="123">
      <c r="A123" t="n">
        <v>4</v>
      </c>
      <c r="B123" t="n">
        <v>2</v>
      </c>
      <c r="C123">
        <f>$B$48</f>
        <v/>
      </c>
      <c r="D123" t="inlineStr">
        <is>
          <t>Thu</t>
        </is>
      </c>
      <c r="E123">
        <f>IF(C123="","",N($AB$48))</f>
        <v/>
      </c>
      <c r="F123">
        <f>IF(C123="","",COUNTIF($O$48:$Q$48,"?*"))</f>
        <v/>
      </c>
      <c r="G123">
        <f>IF(C123="","",MAX(0,E123-F123))</f>
        <v/>
      </c>
      <c r="H123">
        <f>IF(N(G123)=0,"",IF(COUNT(BM123:CJ123)=0,"no-one eligible",INDEX(Engine!$B$20:$B$43,MOD(MIN(BM123:CJ123),500))&amp;IF(MOD(MIN(BM123:CJ123),1000)&gt;=500," *","")))</f>
        <v/>
      </c>
      <c r="I123">
        <f>IF(N(G123)&gt;0,COUNTIF($G$68:G123,"&gt;0"),"")</f>
        <v/>
      </c>
      <c r="J123">
        <f>IF(C123="","",IF($O$48="",0,IF(IFERROR(INDEX(Setup!$O$6:$AL$23,2,MATCH(SUBSTITUTE($O$48," *",""),Setup!$B$6:$B$29,0)),"")="",1,0))+IF($P$48="",0,IF(IFERROR(INDEX(Setup!$O$6:$AL$23,2,MATCH(SUBSTITUTE($P$48," *",""),Setup!$B$6:$B$29,0)),"")="",1,0))+IF($Q$48="",0,IF(IFERROR(INDEX(Setup!$O$6:$AL$23,2,MATCH(SUBSTITUTE($Q$48," *",""),Setup!$B$6:$B$29,0)),"")="",1,0)))</f>
        <v/>
      </c>
      <c r="K123">
        <f>IF($B$12+3=TODAY(),1,0)</f>
        <v/>
      </c>
      <c r="N123">
        <f>COUNT($AN123:$BK123)</f>
        <v/>
      </c>
      <c r="O123">
        <f>IF(1&gt;$N123,"",INDEX(Engine!$B$20:$B$43,MOD(SMALL($AN123:$BK123,1),100))&amp;IF(SMALL($AN123:$BK123,1)&gt;100," *",""))</f>
        <v/>
      </c>
      <c r="P123">
        <f>IF(2&gt;$N123,"",INDEX(Engine!$B$20:$B$43,MOD(SMALL($AN123:$BK123,2),100))&amp;IF(SMALL($AN123:$BK123,2)&gt;100," *",""))</f>
        <v/>
      </c>
      <c r="Q123">
        <f>IF(3&gt;$N123,"",INDEX(Engine!$B$20:$B$43,MOD(SMALL($AN123:$BK123,3),100))&amp;IF(SMALL($AN123:$BK123,3)&gt;100," *",""))</f>
        <v/>
      </c>
      <c r="R123">
        <f>IF(4&gt;$N123,"",INDEX(Engine!$B$20:$B$43,MOD(SMALL($AN123:$BK123,4),100))&amp;IF(SMALL($AN123:$BK123,4)&gt;100," *",""))</f>
        <v/>
      </c>
      <c r="S123">
        <f>IF(5&gt;$N123,"",INDEX(Engine!$B$20:$B$43,MOD(SMALL($AN123:$BK123,5),100))&amp;IF(SMALL($AN123:$BK123,5)&gt;100," *",""))</f>
        <v/>
      </c>
      <c r="T123">
        <f>IF(6&gt;$N123,"",INDEX(Engine!$B$20:$B$43,MOD(SMALL($AN123:$BK123,6),100))&amp;IF(SMALL($AN123:$BK123,6)&gt;100," *",""))</f>
        <v/>
      </c>
      <c r="U123">
        <f>IF(7&gt;$N123,"",INDEX(Engine!$B$20:$B$43,MOD(SMALL($AN123:$BK123,7),100))&amp;IF(SMALL($AN123:$BK123,7)&gt;100," *",""))</f>
        <v/>
      </c>
      <c r="V123">
        <f>IF(8&gt;$N123,"",INDEX(Engine!$B$20:$B$43,MOD(SMALL($AN123:$BK123,8),100))&amp;IF(SMALL($AN123:$BK123,8)&gt;100," *",""))</f>
        <v/>
      </c>
      <c r="W123">
        <f>IF(9&gt;$N123,"",INDEX(Engine!$B$20:$B$43,MOD(SMALL($AN123:$BK123,9),100))&amp;IF(SMALL($AN123:$BK123,9)&gt;100," *",""))</f>
        <v/>
      </c>
      <c r="X123">
        <f>IF(10&gt;$N123,"",INDEX(Engine!$B$20:$B$43,MOD(SMALL($AN123:$BK123,10),100))&amp;IF(SMALL($AN123:$BK123,10)&gt;100," *",""))</f>
        <v/>
      </c>
      <c r="Y123">
        <f>IF(11&gt;$N123,"",INDEX(Engine!$B$20:$B$43,MOD(SMALL($AN123:$BK123,11),100))&amp;IF(SMALL($AN123:$BK123,11)&gt;100," *",""))</f>
        <v/>
      </c>
      <c r="Z123">
        <f>IF(12&gt;$N123,"",INDEX(Engine!$B$20:$B$43,MOD(SMALL($AN123:$BK123,12),100))&amp;IF(SMALL($AN123:$BK123,12)&gt;100," *",""))</f>
        <v/>
      </c>
      <c r="AA123">
        <f>IF(13&gt;$N123,"",INDEX(Engine!$B$20:$B$43,MOD(SMALL($AN123:$BK123,13),100))&amp;IF(SMALL($AN123:$BK123,13)&gt;100," *",""))</f>
        <v/>
      </c>
      <c r="AB123">
        <f>IF(14&gt;$N123,"",INDEX(Engine!$B$20:$B$43,MOD(SMALL($AN123:$BK123,14),100))&amp;IF(SMALL($AN123:$BK123,14)&gt;100," *",""))</f>
        <v/>
      </c>
      <c r="AC123">
        <f>IF(15&gt;$N123,"",INDEX(Engine!$B$20:$B$43,MOD(SMALL($AN123:$BK123,15),100))&amp;IF(SMALL($AN123:$BK123,15)&gt;100," *",""))</f>
        <v/>
      </c>
      <c r="AD123">
        <f>IF(16&gt;$N123,"",INDEX(Engine!$B$20:$B$43,MOD(SMALL($AN123:$BK123,16),100))&amp;IF(SMALL($AN123:$BK123,16)&gt;100," *",""))</f>
        <v/>
      </c>
      <c r="AE123">
        <f>IF(17&gt;$N123,"",INDEX(Engine!$B$20:$B$43,MOD(SMALL($AN123:$BK123,17),100))&amp;IF(SMALL($AN123:$BK123,17)&gt;100," *",""))</f>
        <v/>
      </c>
      <c r="AF123">
        <f>IF(18&gt;$N123,"",INDEX(Engine!$B$20:$B$43,MOD(SMALL($AN123:$BK123,18),100))&amp;IF(SMALL($AN123:$BK123,18)&gt;100," *",""))</f>
        <v/>
      </c>
      <c r="AG123">
        <f>IF(19&gt;$N123,"",INDEX(Engine!$B$20:$B$43,MOD(SMALL($AN123:$BK123,19),100))&amp;IF(SMALL($AN123:$BK123,19)&gt;100," *",""))</f>
        <v/>
      </c>
      <c r="AH123">
        <f>IF(20&gt;$N123,"",INDEX(Engine!$B$20:$B$43,MOD(SMALL($AN123:$BK123,20),100))&amp;IF(SMALL($AN123:$BK123,20)&gt;100," *",""))</f>
        <v/>
      </c>
      <c r="AI123">
        <f>IF(21&gt;$N123,"",INDEX(Engine!$B$20:$B$43,MOD(SMALL($AN123:$BK123,21),100))&amp;IF(SMALL($AN123:$BK123,21)&gt;100," *",""))</f>
        <v/>
      </c>
      <c r="AJ123">
        <f>IF(22&gt;$N123,"",INDEX(Engine!$B$20:$B$43,MOD(SMALL($AN123:$BK123,22),100))&amp;IF(SMALL($AN123:$BK123,22)&gt;100," *",""))</f>
        <v/>
      </c>
      <c r="AK123">
        <f>IF(23&gt;$N123,"",INDEX(Engine!$B$20:$B$43,MOD(SMALL($AN123:$BK123,23),100))&amp;IF(SMALL($AN123:$BK123,23)&gt;100," *",""))</f>
        <v/>
      </c>
      <c r="AL123">
        <f>IF(24&gt;$N123,"",INDEX(Engine!$B$20:$B$43,MOD(SMALL($AN123:$BK123,24),100))&amp;IF(SMALL($AN123:$BK123,24)&gt;100," *",""))</f>
        <v/>
      </c>
      <c r="AN123">
        <f>IF(AND($C20=1,INDEX(Setup!$O$6:$AL$23,2,1)&lt;&gt;"",N20=0),1+IF(INDEX(Setup!$O$6:$AL$23,2,1)="T",100,0),"")</f>
        <v/>
      </c>
      <c r="AO123">
        <f>IF(AND($C21=1,INDEX(Setup!$O$6:$AL$23,2,2)&lt;&gt;"",N21=0),2+IF(INDEX(Setup!$O$6:$AL$23,2,2)="T",100,0),"")</f>
        <v/>
      </c>
      <c r="AP123">
        <f>IF(AND($C22=1,INDEX(Setup!$O$6:$AL$23,2,3)&lt;&gt;"",N22=0),3+IF(INDEX(Setup!$O$6:$AL$23,2,3)="T",100,0),"")</f>
        <v/>
      </c>
      <c r="AQ123">
        <f>IF(AND($C23=1,INDEX(Setup!$O$6:$AL$23,2,4)&lt;&gt;"",N23=0),4+IF(INDEX(Setup!$O$6:$AL$23,2,4)="T",100,0),"")</f>
        <v/>
      </c>
      <c r="AR123">
        <f>IF(AND($C24=1,INDEX(Setup!$O$6:$AL$23,2,5)&lt;&gt;"",N24=0),5+IF(INDEX(Setup!$O$6:$AL$23,2,5)="T",100,0),"")</f>
        <v/>
      </c>
      <c r="AS123">
        <f>IF(AND($C25=1,INDEX(Setup!$O$6:$AL$23,2,6)&lt;&gt;"",N25=0),6+IF(INDEX(Setup!$O$6:$AL$23,2,6)="T",100,0),"")</f>
        <v/>
      </c>
      <c r="AT123">
        <f>IF(AND($C26=1,INDEX(Setup!$O$6:$AL$23,2,7)&lt;&gt;"",N26=0),7+IF(INDEX(Setup!$O$6:$AL$23,2,7)="T",100,0),"")</f>
        <v/>
      </c>
      <c r="AU123">
        <f>IF(AND($C27=1,INDEX(Setup!$O$6:$AL$23,2,8)&lt;&gt;"",N27=0),8+IF(INDEX(Setup!$O$6:$AL$23,2,8)="T",100,0),"")</f>
        <v/>
      </c>
      <c r="AV123">
        <f>IF(AND($C28=1,INDEX(Setup!$O$6:$AL$23,2,9)&lt;&gt;"",N28=0),9+IF(INDEX(Setup!$O$6:$AL$23,2,9)="T",100,0),"")</f>
        <v/>
      </c>
      <c r="AW123">
        <f>IF(AND($C29=1,INDEX(Setup!$O$6:$AL$23,2,10)&lt;&gt;"",N29=0),10+IF(INDEX(Setup!$O$6:$AL$23,2,10)="T",100,0),"")</f>
        <v/>
      </c>
      <c r="AX123">
        <f>IF(AND($C30=1,INDEX(Setup!$O$6:$AL$23,2,11)&lt;&gt;"",N30=0),11+IF(INDEX(Setup!$O$6:$AL$23,2,11)="T",100,0),"")</f>
        <v/>
      </c>
      <c r="AY123">
        <f>IF(AND($C31=1,INDEX(Setup!$O$6:$AL$23,2,12)&lt;&gt;"",N31=0),12+IF(INDEX(Setup!$O$6:$AL$23,2,12)="T",100,0),"")</f>
        <v/>
      </c>
      <c r="AZ123">
        <f>IF(AND($C32=1,INDEX(Setup!$O$6:$AL$23,2,13)&lt;&gt;"",N32=0),13+IF(INDEX(Setup!$O$6:$AL$23,2,13)="T",100,0),"")</f>
        <v/>
      </c>
      <c r="BA123">
        <f>IF(AND($C33=1,INDEX(Setup!$O$6:$AL$23,2,14)&lt;&gt;"",N33=0),14+IF(INDEX(Setup!$O$6:$AL$23,2,14)="T",100,0),"")</f>
        <v/>
      </c>
      <c r="BB123">
        <f>IF(AND($C34=1,INDEX(Setup!$O$6:$AL$23,2,15)&lt;&gt;"",N34=0),15+IF(INDEX(Setup!$O$6:$AL$23,2,15)="T",100,0),"")</f>
        <v/>
      </c>
      <c r="BC123">
        <f>IF(AND($C35=1,INDEX(Setup!$O$6:$AL$23,2,16)&lt;&gt;"",N35=0),16+IF(INDEX(Setup!$O$6:$AL$23,2,16)="T",100,0),"")</f>
        <v/>
      </c>
      <c r="BD123">
        <f>IF(AND($C36=1,INDEX(Setup!$O$6:$AL$23,2,17)&lt;&gt;"",N36=0),17+IF(INDEX(Setup!$O$6:$AL$23,2,17)="T",100,0),"")</f>
        <v/>
      </c>
      <c r="BE123">
        <f>IF(AND($C37=1,INDEX(Setup!$O$6:$AL$23,2,18)&lt;&gt;"",N37=0),18+IF(INDEX(Setup!$O$6:$AL$23,2,18)="T",100,0),"")</f>
        <v/>
      </c>
      <c r="BF123">
        <f>IF(AND($C38=1,INDEX(Setup!$O$6:$AL$23,2,19)&lt;&gt;"",N38=0),19+IF(INDEX(Setup!$O$6:$AL$23,2,19)="T",100,0),"")</f>
        <v/>
      </c>
      <c r="BG123">
        <f>IF(AND($C39=1,INDEX(Setup!$O$6:$AL$23,2,20)&lt;&gt;"",N39=0),20+IF(INDEX(Setup!$O$6:$AL$23,2,20)="T",100,0),"")</f>
        <v/>
      </c>
      <c r="BH123">
        <f>IF(AND($C40=1,INDEX(Setup!$O$6:$AL$23,2,21)&lt;&gt;"",N40=0),21+IF(INDEX(Setup!$O$6:$AL$23,2,21)="T",100,0),"")</f>
        <v/>
      </c>
      <c r="BI123">
        <f>IF(AND($C41=1,INDEX(Setup!$O$6:$AL$23,2,22)&lt;&gt;"",N41=0),22+IF(INDEX(Setup!$O$6:$AL$23,2,22)="T",100,0),"")</f>
        <v/>
      </c>
      <c r="BJ123">
        <f>IF(AND($C42=1,INDEX(Setup!$O$6:$AL$23,2,23)&lt;&gt;"",N42=0),23+IF(INDEX(Setup!$O$6:$AL$23,2,23)="T",100,0),"")</f>
        <v/>
      </c>
      <c r="BK123">
        <f>IF(AND($C43=1,INDEX(Setup!$O$6:$AL$23,2,24)&lt;&gt;"",N43=0),24+IF(INDEX(Setup!$O$6:$AL$23,2,24)="T",100,0),"")</f>
        <v/>
      </c>
      <c r="BM123">
        <f>IF(AND(AN123&lt;&gt;"",COUNTIF($O$48:$Q$48,$B20)+COUNTIF($O$48:$Q$48,$B20&amp;" ~*")=0),($R20+COUNTIF($H$122:$H122,$B20)+COUNTIF($H$122:$H122,$B20&amp;" ~*"))*1000+IF(AN123&gt;100,500,0)+1,"")</f>
        <v/>
      </c>
      <c r="BN123">
        <f>IF(AND(AO123&lt;&gt;"",COUNTIF($O$48:$Q$48,$B21)+COUNTIF($O$48:$Q$48,$B21&amp;" ~*")=0),($R21+COUNTIF($H$122:$H122,$B21)+COUNTIF($H$122:$H122,$B21&amp;" ~*"))*1000+IF(AO123&gt;100,500,0)+2,"")</f>
        <v/>
      </c>
      <c r="BO123">
        <f>IF(AND(AP123&lt;&gt;"",COUNTIF($O$48:$Q$48,$B22)+COUNTIF($O$48:$Q$48,$B22&amp;" ~*")=0),($R22+COUNTIF($H$122:$H122,$B22)+COUNTIF($H$122:$H122,$B22&amp;" ~*"))*1000+IF(AP123&gt;100,500,0)+3,"")</f>
        <v/>
      </c>
      <c r="BP123">
        <f>IF(AND(AQ123&lt;&gt;"",COUNTIF($O$48:$Q$48,$B23)+COUNTIF($O$48:$Q$48,$B23&amp;" ~*")=0),($R23+COUNTIF($H$122:$H122,$B23)+COUNTIF($H$122:$H122,$B23&amp;" ~*"))*1000+IF(AQ123&gt;100,500,0)+4,"")</f>
        <v/>
      </c>
      <c r="BQ123">
        <f>IF(AND(AR123&lt;&gt;"",COUNTIF($O$48:$Q$48,$B24)+COUNTIF($O$48:$Q$48,$B24&amp;" ~*")=0),($R24+COUNTIF($H$122:$H122,$B24)+COUNTIF($H$122:$H122,$B24&amp;" ~*"))*1000+IF(AR123&gt;100,500,0)+5,"")</f>
        <v/>
      </c>
      <c r="BR123">
        <f>IF(AND(AS123&lt;&gt;"",COUNTIF($O$48:$Q$48,$B25)+COUNTIF($O$48:$Q$48,$B25&amp;" ~*")=0),($R25+COUNTIF($H$122:$H122,$B25)+COUNTIF($H$122:$H122,$B25&amp;" ~*"))*1000+IF(AS123&gt;100,500,0)+6,"")</f>
        <v/>
      </c>
      <c r="BS123">
        <f>IF(AND(AT123&lt;&gt;"",COUNTIF($O$48:$Q$48,$B26)+COUNTIF($O$48:$Q$48,$B26&amp;" ~*")=0),($R26+COUNTIF($H$122:$H122,$B26)+COUNTIF($H$122:$H122,$B26&amp;" ~*"))*1000+IF(AT123&gt;100,500,0)+7,"")</f>
        <v/>
      </c>
      <c r="BT123">
        <f>IF(AND(AU123&lt;&gt;"",COUNTIF($O$48:$Q$48,$B27)+COUNTIF($O$48:$Q$48,$B27&amp;" ~*")=0),($R27+COUNTIF($H$122:$H122,$B27)+COUNTIF($H$122:$H122,$B27&amp;" ~*"))*1000+IF(AU123&gt;100,500,0)+8,"")</f>
        <v/>
      </c>
      <c r="BU123">
        <f>IF(AND(AV123&lt;&gt;"",COUNTIF($O$48:$Q$48,$B28)+COUNTIF($O$48:$Q$48,$B28&amp;" ~*")=0),($R28+COUNTIF($H$122:$H122,$B28)+COUNTIF($H$122:$H122,$B28&amp;" ~*"))*1000+IF(AV123&gt;100,500,0)+9,"")</f>
        <v/>
      </c>
      <c r="BV123">
        <f>IF(AND(AW123&lt;&gt;"",COUNTIF($O$48:$Q$48,$B29)+COUNTIF($O$48:$Q$48,$B29&amp;" ~*")=0),($R29+COUNTIF($H$122:$H122,$B29)+COUNTIF($H$122:$H122,$B29&amp;" ~*"))*1000+IF(AW123&gt;100,500,0)+10,"")</f>
        <v/>
      </c>
      <c r="BW123">
        <f>IF(AND(AX123&lt;&gt;"",COUNTIF($O$48:$Q$48,$B30)+COUNTIF($O$48:$Q$48,$B30&amp;" ~*")=0),($R30+COUNTIF($H$122:$H122,$B30)+COUNTIF($H$122:$H122,$B30&amp;" ~*"))*1000+IF(AX123&gt;100,500,0)+11,"")</f>
        <v/>
      </c>
      <c r="BX123">
        <f>IF(AND(AY123&lt;&gt;"",COUNTIF($O$48:$Q$48,$B31)+COUNTIF($O$48:$Q$48,$B31&amp;" ~*")=0),($R31+COUNTIF($H$122:$H122,$B31)+COUNTIF($H$122:$H122,$B31&amp;" ~*"))*1000+IF(AY123&gt;100,500,0)+12,"")</f>
        <v/>
      </c>
      <c r="BY123">
        <f>IF(AND(AZ123&lt;&gt;"",COUNTIF($O$48:$Q$48,$B32)+COUNTIF($O$48:$Q$48,$B32&amp;" ~*")=0),($R32+COUNTIF($H$122:$H122,$B32)+COUNTIF($H$122:$H122,$B32&amp;" ~*"))*1000+IF(AZ123&gt;100,500,0)+13,"")</f>
        <v/>
      </c>
      <c r="BZ123">
        <f>IF(AND(BA123&lt;&gt;"",COUNTIF($O$48:$Q$48,$B33)+COUNTIF($O$48:$Q$48,$B33&amp;" ~*")=0),($R33+COUNTIF($H$122:$H122,$B33)+COUNTIF($H$122:$H122,$B33&amp;" ~*"))*1000+IF(BA123&gt;100,500,0)+14,"")</f>
        <v/>
      </c>
      <c r="CA123">
        <f>IF(AND(BB123&lt;&gt;"",COUNTIF($O$48:$Q$48,$B34)+COUNTIF($O$48:$Q$48,$B34&amp;" ~*")=0),($R34+COUNTIF($H$122:$H122,$B34)+COUNTIF($H$122:$H122,$B34&amp;" ~*"))*1000+IF(BB123&gt;100,500,0)+15,"")</f>
        <v/>
      </c>
      <c r="CB123">
        <f>IF(AND(BC123&lt;&gt;"",COUNTIF($O$48:$Q$48,$B35)+COUNTIF($O$48:$Q$48,$B35&amp;" ~*")=0),($R35+COUNTIF($H$122:$H122,$B35)+COUNTIF($H$122:$H122,$B35&amp;" ~*"))*1000+IF(BC123&gt;100,500,0)+16,"")</f>
        <v/>
      </c>
      <c r="CC123">
        <f>IF(AND(BD123&lt;&gt;"",COUNTIF($O$48:$Q$48,$B36)+COUNTIF($O$48:$Q$48,$B36&amp;" ~*")=0),($R36+COUNTIF($H$122:$H122,$B36)+COUNTIF($H$122:$H122,$B36&amp;" ~*"))*1000+IF(BD123&gt;100,500,0)+17,"")</f>
        <v/>
      </c>
      <c r="CD123">
        <f>IF(AND(BE123&lt;&gt;"",COUNTIF($O$48:$Q$48,$B37)+COUNTIF($O$48:$Q$48,$B37&amp;" ~*")=0),($R37+COUNTIF($H$122:$H122,$B37)+COUNTIF($H$122:$H122,$B37&amp;" ~*"))*1000+IF(BE123&gt;100,500,0)+18,"")</f>
        <v/>
      </c>
      <c r="CE123">
        <f>IF(AND(BF123&lt;&gt;"",COUNTIF($O$48:$Q$48,$B38)+COUNTIF($O$48:$Q$48,$B38&amp;" ~*")=0),($R38+COUNTIF($H$122:$H122,$B38)+COUNTIF($H$122:$H122,$B38&amp;" ~*"))*1000+IF(BF123&gt;100,500,0)+19,"")</f>
        <v/>
      </c>
      <c r="CF123">
        <f>IF(AND(BG123&lt;&gt;"",COUNTIF($O$48:$Q$48,$B39)+COUNTIF($O$48:$Q$48,$B39&amp;" ~*")=0),($R39+COUNTIF($H$122:$H122,$B39)+COUNTIF($H$122:$H122,$B39&amp;" ~*"))*1000+IF(BG123&gt;100,500,0)+20,"")</f>
        <v/>
      </c>
      <c r="CG123">
        <f>IF(AND(BH123&lt;&gt;"",COUNTIF($O$48:$Q$48,$B40)+COUNTIF($O$48:$Q$48,$B40&amp;" ~*")=0),($R40+COUNTIF($H$122:$H122,$B40)+COUNTIF($H$122:$H122,$B40&amp;" ~*"))*1000+IF(BH123&gt;100,500,0)+21,"")</f>
        <v/>
      </c>
      <c r="CH123">
        <f>IF(AND(BI123&lt;&gt;"",COUNTIF($O$48:$Q$48,$B41)+COUNTIF($O$48:$Q$48,$B41&amp;" ~*")=0),($R41+COUNTIF($H$122:$H122,$B41)+COUNTIF($H$122:$H122,$B41&amp;" ~*"))*1000+IF(BI123&gt;100,500,0)+22,"")</f>
        <v/>
      </c>
      <c r="CI123">
        <f>IF(AND(BJ123&lt;&gt;"",COUNTIF($O$48:$Q$48,$B42)+COUNTIF($O$48:$Q$48,$B42&amp;" ~*")=0),($R42+COUNTIF($H$122:$H122,$B42)+COUNTIF($H$122:$H122,$B42&amp;" ~*"))*1000+IF(BJ123&gt;100,500,0)+23,"")</f>
        <v/>
      </c>
      <c r="CJ123">
        <f>IF(AND(BK123&lt;&gt;"",COUNTIF($O$48:$Q$48,$B43)+COUNTIF($O$48:$Q$48,$B43&amp;" ~*")=0),($R43+COUNTIF($H$122:$H122,$B43)+COUNTIF($H$122:$H122,$B43&amp;" ~*"))*1000+IF(BK123&gt;100,500,0)+24,"")</f>
        <v/>
      </c>
    </row>
    <row r="124">
      <c r="A124" t="n">
        <v>4</v>
      </c>
      <c r="B124" t="n">
        <v>3</v>
      </c>
      <c r="C124">
        <f>$B$49</f>
        <v/>
      </c>
      <c r="D124" t="inlineStr">
        <is>
          <t>Thu</t>
        </is>
      </c>
      <c r="E124">
        <f>IF(C124="","",N($AB$49))</f>
        <v/>
      </c>
      <c r="F124">
        <f>IF(C124="","",COUNTIF($O$49:$Q$49,"?*"))</f>
        <v/>
      </c>
      <c r="G124">
        <f>IF(C124="","",MAX(0,E124-F124))</f>
        <v/>
      </c>
      <c r="H124">
        <f>IF(N(G124)=0,"",IF(COUNT(BM124:CJ124)=0,"no-one eligible",INDEX(Engine!$B$20:$B$43,MOD(MIN(BM124:CJ124),500))&amp;IF(MOD(MIN(BM124:CJ124),1000)&gt;=500," *","")))</f>
        <v/>
      </c>
      <c r="I124">
        <f>IF(N(G124)&gt;0,COUNTIF($G$68:G124,"&gt;0"),"")</f>
        <v/>
      </c>
      <c r="J124">
        <f>IF(C124="","",IF($O$49="",0,IF(IFERROR(INDEX(Setup!$O$6:$AL$23,3,MATCH(SUBSTITUTE($O$49," *",""),Setup!$B$6:$B$29,0)),"")="",1,0))+IF($P$49="",0,IF(IFERROR(INDEX(Setup!$O$6:$AL$23,3,MATCH(SUBSTITUTE($P$49," *",""),Setup!$B$6:$B$29,0)),"")="",1,0))+IF($Q$49="",0,IF(IFERROR(INDEX(Setup!$O$6:$AL$23,3,MATCH(SUBSTITUTE($Q$49," *",""),Setup!$B$6:$B$29,0)),"")="",1,0)))</f>
        <v/>
      </c>
      <c r="K124">
        <f>IF($B$12+3=TODAY(),1,0)</f>
        <v/>
      </c>
      <c r="N124">
        <f>COUNT($AN124:$BK124)</f>
        <v/>
      </c>
      <c r="O124">
        <f>IF(1&gt;$N124,"",INDEX(Engine!$B$20:$B$43,MOD(SMALL($AN124:$BK124,1),100))&amp;IF(SMALL($AN124:$BK124,1)&gt;100," *",""))</f>
        <v/>
      </c>
      <c r="P124">
        <f>IF(2&gt;$N124,"",INDEX(Engine!$B$20:$B$43,MOD(SMALL($AN124:$BK124,2),100))&amp;IF(SMALL($AN124:$BK124,2)&gt;100," *",""))</f>
        <v/>
      </c>
      <c r="Q124">
        <f>IF(3&gt;$N124,"",INDEX(Engine!$B$20:$B$43,MOD(SMALL($AN124:$BK124,3),100))&amp;IF(SMALL($AN124:$BK124,3)&gt;100," *",""))</f>
        <v/>
      </c>
      <c r="R124">
        <f>IF(4&gt;$N124,"",INDEX(Engine!$B$20:$B$43,MOD(SMALL($AN124:$BK124,4),100))&amp;IF(SMALL($AN124:$BK124,4)&gt;100," *",""))</f>
        <v/>
      </c>
      <c r="S124">
        <f>IF(5&gt;$N124,"",INDEX(Engine!$B$20:$B$43,MOD(SMALL($AN124:$BK124,5),100))&amp;IF(SMALL($AN124:$BK124,5)&gt;100," *",""))</f>
        <v/>
      </c>
      <c r="T124">
        <f>IF(6&gt;$N124,"",INDEX(Engine!$B$20:$B$43,MOD(SMALL($AN124:$BK124,6),100))&amp;IF(SMALL($AN124:$BK124,6)&gt;100," *",""))</f>
        <v/>
      </c>
      <c r="U124">
        <f>IF(7&gt;$N124,"",INDEX(Engine!$B$20:$B$43,MOD(SMALL($AN124:$BK124,7),100))&amp;IF(SMALL($AN124:$BK124,7)&gt;100," *",""))</f>
        <v/>
      </c>
      <c r="V124">
        <f>IF(8&gt;$N124,"",INDEX(Engine!$B$20:$B$43,MOD(SMALL($AN124:$BK124,8),100))&amp;IF(SMALL($AN124:$BK124,8)&gt;100," *",""))</f>
        <v/>
      </c>
      <c r="W124">
        <f>IF(9&gt;$N124,"",INDEX(Engine!$B$20:$B$43,MOD(SMALL($AN124:$BK124,9),100))&amp;IF(SMALL($AN124:$BK124,9)&gt;100," *",""))</f>
        <v/>
      </c>
      <c r="X124">
        <f>IF(10&gt;$N124,"",INDEX(Engine!$B$20:$B$43,MOD(SMALL($AN124:$BK124,10),100))&amp;IF(SMALL($AN124:$BK124,10)&gt;100," *",""))</f>
        <v/>
      </c>
      <c r="Y124">
        <f>IF(11&gt;$N124,"",INDEX(Engine!$B$20:$B$43,MOD(SMALL($AN124:$BK124,11),100))&amp;IF(SMALL($AN124:$BK124,11)&gt;100," *",""))</f>
        <v/>
      </c>
      <c r="Z124">
        <f>IF(12&gt;$N124,"",INDEX(Engine!$B$20:$B$43,MOD(SMALL($AN124:$BK124,12),100))&amp;IF(SMALL($AN124:$BK124,12)&gt;100," *",""))</f>
        <v/>
      </c>
      <c r="AA124">
        <f>IF(13&gt;$N124,"",INDEX(Engine!$B$20:$B$43,MOD(SMALL($AN124:$BK124,13),100))&amp;IF(SMALL($AN124:$BK124,13)&gt;100," *",""))</f>
        <v/>
      </c>
      <c r="AB124">
        <f>IF(14&gt;$N124,"",INDEX(Engine!$B$20:$B$43,MOD(SMALL($AN124:$BK124,14),100))&amp;IF(SMALL($AN124:$BK124,14)&gt;100," *",""))</f>
        <v/>
      </c>
      <c r="AC124">
        <f>IF(15&gt;$N124,"",INDEX(Engine!$B$20:$B$43,MOD(SMALL($AN124:$BK124,15),100))&amp;IF(SMALL($AN124:$BK124,15)&gt;100," *",""))</f>
        <v/>
      </c>
      <c r="AD124">
        <f>IF(16&gt;$N124,"",INDEX(Engine!$B$20:$B$43,MOD(SMALL($AN124:$BK124,16),100))&amp;IF(SMALL($AN124:$BK124,16)&gt;100," *",""))</f>
        <v/>
      </c>
      <c r="AE124">
        <f>IF(17&gt;$N124,"",INDEX(Engine!$B$20:$B$43,MOD(SMALL($AN124:$BK124,17),100))&amp;IF(SMALL($AN124:$BK124,17)&gt;100," *",""))</f>
        <v/>
      </c>
      <c r="AF124">
        <f>IF(18&gt;$N124,"",INDEX(Engine!$B$20:$B$43,MOD(SMALL($AN124:$BK124,18),100))&amp;IF(SMALL($AN124:$BK124,18)&gt;100," *",""))</f>
        <v/>
      </c>
      <c r="AG124">
        <f>IF(19&gt;$N124,"",INDEX(Engine!$B$20:$B$43,MOD(SMALL($AN124:$BK124,19),100))&amp;IF(SMALL($AN124:$BK124,19)&gt;100," *",""))</f>
        <v/>
      </c>
      <c r="AH124">
        <f>IF(20&gt;$N124,"",INDEX(Engine!$B$20:$B$43,MOD(SMALL($AN124:$BK124,20),100))&amp;IF(SMALL($AN124:$BK124,20)&gt;100," *",""))</f>
        <v/>
      </c>
      <c r="AI124">
        <f>IF(21&gt;$N124,"",INDEX(Engine!$B$20:$B$43,MOD(SMALL($AN124:$BK124,21),100))&amp;IF(SMALL($AN124:$BK124,21)&gt;100," *",""))</f>
        <v/>
      </c>
      <c r="AJ124">
        <f>IF(22&gt;$N124,"",INDEX(Engine!$B$20:$B$43,MOD(SMALL($AN124:$BK124,22),100))&amp;IF(SMALL($AN124:$BK124,22)&gt;100," *",""))</f>
        <v/>
      </c>
      <c r="AK124">
        <f>IF(23&gt;$N124,"",INDEX(Engine!$B$20:$B$43,MOD(SMALL($AN124:$BK124,23),100))&amp;IF(SMALL($AN124:$BK124,23)&gt;100," *",""))</f>
        <v/>
      </c>
      <c r="AL124">
        <f>IF(24&gt;$N124,"",INDEX(Engine!$B$20:$B$43,MOD(SMALL($AN124:$BK124,24),100))&amp;IF(SMALL($AN124:$BK124,24)&gt;100," *",""))</f>
        <v/>
      </c>
      <c r="AN124">
        <f>IF(AND($C20=1,INDEX(Setup!$O$6:$AL$23,3,1)&lt;&gt;"",N20=0),1+IF(INDEX(Setup!$O$6:$AL$23,3,1)="T",100,0),"")</f>
        <v/>
      </c>
      <c r="AO124">
        <f>IF(AND($C21=1,INDEX(Setup!$O$6:$AL$23,3,2)&lt;&gt;"",N21=0),2+IF(INDEX(Setup!$O$6:$AL$23,3,2)="T",100,0),"")</f>
        <v/>
      </c>
      <c r="AP124">
        <f>IF(AND($C22=1,INDEX(Setup!$O$6:$AL$23,3,3)&lt;&gt;"",N22=0),3+IF(INDEX(Setup!$O$6:$AL$23,3,3)="T",100,0),"")</f>
        <v/>
      </c>
      <c r="AQ124">
        <f>IF(AND($C23=1,INDEX(Setup!$O$6:$AL$23,3,4)&lt;&gt;"",N23=0),4+IF(INDEX(Setup!$O$6:$AL$23,3,4)="T",100,0),"")</f>
        <v/>
      </c>
      <c r="AR124">
        <f>IF(AND($C24=1,INDEX(Setup!$O$6:$AL$23,3,5)&lt;&gt;"",N24=0),5+IF(INDEX(Setup!$O$6:$AL$23,3,5)="T",100,0),"")</f>
        <v/>
      </c>
      <c r="AS124">
        <f>IF(AND($C25=1,INDEX(Setup!$O$6:$AL$23,3,6)&lt;&gt;"",N25=0),6+IF(INDEX(Setup!$O$6:$AL$23,3,6)="T",100,0),"")</f>
        <v/>
      </c>
      <c r="AT124">
        <f>IF(AND($C26=1,INDEX(Setup!$O$6:$AL$23,3,7)&lt;&gt;"",N26=0),7+IF(INDEX(Setup!$O$6:$AL$23,3,7)="T",100,0),"")</f>
        <v/>
      </c>
      <c r="AU124">
        <f>IF(AND($C27=1,INDEX(Setup!$O$6:$AL$23,3,8)&lt;&gt;"",N27=0),8+IF(INDEX(Setup!$O$6:$AL$23,3,8)="T",100,0),"")</f>
        <v/>
      </c>
      <c r="AV124">
        <f>IF(AND($C28=1,INDEX(Setup!$O$6:$AL$23,3,9)&lt;&gt;"",N28=0),9+IF(INDEX(Setup!$O$6:$AL$23,3,9)="T",100,0),"")</f>
        <v/>
      </c>
      <c r="AW124">
        <f>IF(AND($C29=1,INDEX(Setup!$O$6:$AL$23,3,10)&lt;&gt;"",N29=0),10+IF(INDEX(Setup!$O$6:$AL$23,3,10)="T",100,0),"")</f>
        <v/>
      </c>
      <c r="AX124">
        <f>IF(AND($C30=1,INDEX(Setup!$O$6:$AL$23,3,11)&lt;&gt;"",N30=0),11+IF(INDEX(Setup!$O$6:$AL$23,3,11)="T",100,0),"")</f>
        <v/>
      </c>
      <c r="AY124">
        <f>IF(AND($C31=1,INDEX(Setup!$O$6:$AL$23,3,12)&lt;&gt;"",N31=0),12+IF(INDEX(Setup!$O$6:$AL$23,3,12)="T",100,0),"")</f>
        <v/>
      </c>
      <c r="AZ124">
        <f>IF(AND($C32=1,INDEX(Setup!$O$6:$AL$23,3,13)&lt;&gt;"",N32=0),13+IF(INDEX(Setup!$O$6:$AL$23,3,13)="T",100,0),"")</f>
        <v/>
      </c>
      <c r="BA124">
        <f>IF(AND($C33=1,INDEX(Setup!$O$6:$AL$23,3,14)&lt;&gt;"",N33=0),14+IF(INDEX(Setup!$O$6:$AL$23,3,14)="T",100,0),"")</f>
        <v/>
      </c>
      <c r="BB124">
        <f>IF(AND($C34=1,INDEX(Setup!$O$6:$AL$23,3,15)&lt;&gt;"",N34=0),15+IF(INDEX(Setup!$O$6:$AL$23,3,15)="T",100,0),"")</f>
        <v/>
      </c>
      <c r="BC124">
        <f>IF(AND($C35=1,INDEX(Setup!$O$6:$AL$23,3,16)&lt;&gt;"",N35=0),16+IF(INDEX(Setup!$O$6:$AL$23,3,16)="T",100,0),"")</f>
        <v/>
      </c>
      <c r="BD124">
        <f>IF(AND($C36=1,INDEX(Setup!$O$6:$AL$23,3,17)&lt;&gt;"",N36=0),17+IF(INDEX(Setup!$O$6:$AL$23,3,17)="T",100,0),"")</f>
        <v/>
      </c>
      <c r="BE124">
        <f>IF(AND($C37=1,INDEX(Setup!$O$6:$AL$23,3,18)&lt;&gt;"",N37=0),18+IF(INDEX(Setup!$O$6:$AL$23,3,18)="T",100,0),"")</f>
        <v/>
      </c>
      <c r="BF124">
        <f>IF(AND($C38=1,INDEX(Setup!$O$6:$AL$23,3,19)&lt;&gt;"",N38=0),19+IF(INDEX(Setup!$O$6:$AL$23,3,19)="T",100,0),"")</f>
        <v/>
      </c>
      <c r="BG124">
        <f>IF(AND($C39=1,INDEX(Setup!$O$6:$AL$23,3,20)&lt;&gt;"",N39=0),20+IF(INDEX(Setup!$O$6:$AL$23,3,20)="T",100,0),"")</f>
        <v/>
      </c>
      <c r="BH124">
        <f>IF(AND($C40=1,INDEX(Setup!$O$6:$AL$23,3,21)&lt;&gt;"",N40=0),21+IF(INDEX(Setup!$O$6:$AL$23,3,21)="T",100,0),"")</f>
        <v/>
      </c>
      <c r="BI124">
        <f>IF(AND($C41=1,INDEX(Setup!$O$6:$AL$23,3,22)&lt;&gt;"",N41=0),22+IF(INDEX(Setup!$O$6:$AL$23,3,22)="T",100,0),"")</f>
        <v/>
      </c>
      <c r="BJ124">
        <f>IF(AND($C42=1,INDEX(Setup!$O$6:$AL$23,3,23)&lt;&gt;"",N42=0),23+IF(INDEX(Setup!$O$6:$AL$23,3,23)="T",100,0),"")</f>
        <v/>
      </c>
      <c r="BK124">
        <f>IF(AND($C43=1,INDEX(Setup!$O$6:$AL$23,3,24)&lt;&gt;"",N43=0),24+IF(INDEX(Setup!$O$6:$AL$23,3,24)="T",100,0),"")</f>
        <v/>
      </c>
      <c r="BM124">
        <f>IF(AND(AN124&lt;&gt;"",COUNTIF($O$49:$Q$49,$B20)+COUNTIF($O$49:$Q$49,$B20&amp;" ~*")=0),($R20+COUNTIF($H$122:$H123,$B20)+COUNTIF($H$122:$H123,$B20&amp;" ~*"))*1000+IF(AN124&gt;100,500,0)+1,"")</f>
        <v/>
      </c>
      <c r="BN124">
        <f>IF(AND(AO124&lt;&gt;"",COUNTIF($O$49:$Q$49,$B21)+COUNTIF($O$49:$Q$49,$B21&amp;" ~*")=0),($R21+COUNTIF($H$122:$H123,$B21)+COUNTIF($H$122:$H123,$B21&amp;" ~*"))*1000+IF(AO124&gt;100,500,0)+2,"")</f>
        <v/>
      </c>
      <c r="BO124">
        <f>IF(AND(AP124&lt;&gt;"",COUNTIF($O$49:$Q$49,$B22)+COUNTIF($O$49:$Q$49,$B22&amp;" ~*")=0),($R22+COUNTIF($H$122:$H123,$B22)+COUNTIF($H$122:$H123,$B22&amp;" ~*"))*1000+IF(AP124&gt;100,500,0)+3,"")</f>
        <v/>
      </c>
      <c r="BP124">
        <f>IF(AND(AQ124&lt;&gt;"",COUNTIF($O$49:$Q$49,$B23)+COUNTIF($O$49:$Q$49,$B23&amp;" ~*")=0),($R23+COUNTIF($H$122:$H123,$B23)+COUNTIF($H$122:$H123,$B23&amp;" ~*"))*1000+IF(AQ124&gt;100,500,0)+4,"")</f>
        <v/>
      </c>
      <c r="BQ124">
        <f>IF(AND(AR124&lt;&gt;"",COUNTIF($O$49:$Q$49,$B24)+COUNTIF($O$49:$Q$49,$B24&amp;" ~*")=0),($R24+COUNTIF($H$122:$H123,$B24)+COUNTIF($H$122:$H123,$B24&amp;" ~*"))*1000+IF(AR124&gt;100,500,0)+5,"")</f>
        <v/>
      </c>
      <c r="BR124">
        <f>IF(AND(AS124&lt;&gt;"",COUNTIF($O$49:$Q$49,$B25)+COUNTIF($O$49:$Q$49,$B25&amp;" ~*")=0),($R25+COUNTIF($H$122:$H123,$B25)+COUNTIF($H$122:$H123,$B25&amp;" ~*"))*1000+IF(AS124&gt;100,500,0)+6,"")</f>
        <v/>
      </c>
      <c r="BS124">
        <f>IF(AND(AT124&lt;&gt;"",COUNTIF($O$49:$Q$49,$B26)+COUNTIF($O$49:$Q$49,$B26&amp;" ~*")=0),($R26+COUNTIF($H$122:$H123,$B26)+COUNTIF($H$122:$H123,$B26&amp;" ~*"))*1000+IF(AT124&gt;100,500,0)+7,"")</f>
        <v/>
      </c>
      <c r="BT124">
        <f>IF(AND(AU124&lt;&gt;"",COUNTIF($O$49:$Q$49,$B27)+COUNTIF($O$49:$Q$49,$B27&amp;" ~*")=0),($R27+COUNTIF($H$122:$H123,$B27)+COUNTIF($H$122:$H123,$B27&amp;" ~*"))*1000+IF(AU124&gt;100,500,0)+8,"")</f>
        <v/>
      </c>
      <c r="BU124">
        <f>IF(AND(AV124&lt;&gt;"",COUNTIF($O$49:$Q$49,$B28)+COUNTIF($O$49:$Q$49,$B28&amp;" ~*")=0),($R28+COUNTIF($H$122:$H123,$B28)+COUNTIF($H$122:$H123,$B28&amp;" ~*"))*1000+IF(AV124&gt;100,500,0)+9,"")</f>
        <v/>
      </c>
      <c r="BV124">
        <f>IF(AND(AW124&lt;&gt;"",COUNTIF($O$49:$Q$49,$B29)+COUNTIF($O$49:$Q$49,$B29&amp;" ~*")=0),($R29+COUNTIF($H$122:$H123,$B29)+COUNTIF($H$122:$H123,$B29&amp;" ~*"))*1000+IF(AW124&gt;100,500,0)+10,"")</f>
        <v/>
      </c>
      <c r="BW124">
        <f>IF(AND(AX124&lt;&gt;"",COUNTIF($O$49:$Q$49,$B30)+COUNTIF($O$49:$Q$49,$B30&amp;" ~*")=0),($R30+COUNTIF($H$122:$H123,$B30)+COUNTIF($H$122:$H123,$B30&amp;" ~*"))*1000+IF(AX124&gt;100,500,0)+11,"")</f>
        <v/>
      </c>
      <c r="BX124">
        <f>IF(AND(AY124&lt;&gt;"",COUNTIF($O$49:$Q$49,$B31)+COUNTIF($O$49:$Q$49,$B31&amp;" ~*")=0),($R31+COUNTIF($H$122:$H123,$B31)+COUNTIF($H$122:$H123,$B31&amp;" ~*"))*1000+IF(AY124&gt;100,500,0)+12,"")</f>
        <v/>
      </c>
      <c r="BY124">
        <f>IF(AND(AZ124&lt;&gt;"",COUNTIF($O$49:$Q$49,$B32)+COUNTIF($O$49:$Q$49,$B32&amp;" ~*")=0),($R32+COUNTIF($H$122:$H123,$B32)+COUNTIF($H$122:$H123,$B32&amp;" ~*"))*1000+IF(AZ124&gt;100,500,0)+13,"")</f>
        <v/>
      </c>
      <c r="BZ124">
        <f>IF(AND(BA124&lt;&gt;"",COUNTIF($O$49:$Q$49,$B33)+COUNTIF($O$49:$Q$49,$B33&amp;" ~*")=0),($R33+COUNTIF($H$122:$H123,$B33)+COUNTIF($H$122:$H123,$B33&amp;" ~*"))*1000+IF(BA124&gt;100,500,0)+14,"")</f>
        <v/>
      </c>
      <c r="CA124">
        <f>IF(AND(BB124&lt;&gt;"",COUNTIF($O$49:$Q$49,$B34)+COUNTIF($O$49:$Q$49,$B34&amp;" ~*")=0),($R34+COUNTIF($H$122:$H123,$B34)+COUNTIF($H$122:$H123,$B34&amp;" ~*"))*1000+IF(BB124&gt;100,500,0)+15,"")</f>
        <v/>
      </c>
      <c r="CB124">
        <f>IF(AND(BC124&lt;&gt;"",COUNTIF($O$49:$Q$49,$B35)+COUNTIF($O$49:$Q$49,$B35&amp;" ~*")=0),($R35+COUNTIF($H$122:$H123,$B35)+COUNTIF($H$122:$H123,$B35&amp;" ~*"))*1000+IF(BC124&gt;100,500,0)+16,"")</f>
        <v/>
      </c>
      <c r="CC124">
        <f>IF(AND(BD124&lt;&gt;"",COUNTIF($O$49:$Q$49,$B36)+COUNTIF($O$49:$Q$49,$B36&amp;" ~*")=0),($R36+COUNTIF($H$122:$H123,$B36)+COUNTIF($H$122:$H123,$B36&amp;" ~*"))*1000+IF(BD124&gt;100,500,0)+17,"")</f>
        <v/>
      </c>
      <c r="CD124">
        <f>IF(AND(BE124&lt;&gt;"",COUNTIF($O$49:$Q$49,$B37)+COUNTIF($O$49:$Q$49,$B37&amp;" ~*")=0),($R37+COUNTIF($H$122:$H123,$B37)+COUNTIF($H$122:$H123,$B37&amp;" ~*"))*1000+IF(BE124&gt;100,500,0)+18,"")</f>
        <v/>
      </c>
      <c r="CE124">
        <f>IF(AND(BF124&lt;&gt;"",COUNTIF($O$49:$Q$49,$B38)+COUNTIF($O$49:$Q$49,$B38&amp;" ~*")=0),($R38+COUNTIF($H$122:$H123,$B38)+COUNTIF($H$122:$H123,$B38&amp;" ~*"))*1000+IF(BF124&gt;100,500,0)+19,"")</f>
        <v/>
      </c>
      <c r="CF124">
        <f>IF(AND(BG124&lt;&gt;"",COUNTIF($O$49:$Q$49,$B39)+COUNTIF($O$49:$Q$49,$B39&amp;" ~*")=0),($R39+COUNTIF($H$122:$H123,$B39)+COUNTIF($H$122:$H123,$B39&amp;" ~*"))*1000+IF(BG124&gt;100,500,0)+20,"")</f>
        <v/>
      </c>
      <c r="CG124">
        <f>IF(AND(BH124&lt;&gt;"",COUNTIF($O$49:$Q$49,$B40)+COUNTIF($O$49:$Q$49,$B40&amp;" ~*")=0),($R40+COUNTIF($H$122:$H123,$B40)+COUNTIF($H$122:$H123,$B40&amp;" ~*"))*1000+IF(BH124&gt;100,500,0)+21,"")</f>
        <v/>
      </c>
      <c r="CH124">
        <f>IF(AND(BI124&lt;&gt;"",COUNTIF($O$49:$Q$49,$B41)+COUNTIF($O$49:$Q$49,$B41&amp;" ~*")=0),($R41+COUNTIF($H$122:$H123,$B41)+COUNTIF($H$122:$H123,$B41&amp;" ~*"))*1000+IF(BI124&gt;100,500,0)+22,"")</f>
        <v/>
      </c>
      <c r="CI124">
        <f>IF(AND(BJ124&lt;&gt;"",COUNTIF($O$49:$Q$49,$B42)+COUNTIF($O$49:$Q$49,$B42&amp;" ~*")=0),($R42+COUNTIF($H$122:$H123,$B42)+COUNTIF($H$122:$H123,$B42&amp;" ~*"))*1000+IF(BJ124&gt;100,500,0)+23,"")</f>
        <v/>
      </c>
      <c r="CJ124">
        <f>IF(AND(BK124&lt;&gt;"",COUNTIF($O$49:$Q$49,$B43)+COUNTIF($O$49:$Q$49,$B43&amp;" ~*")=0),($R43+COUNTIF($H$122:$H123,$B43)+COUNTIF($H$122:$H123,$B43&amp;" ~*"))*1000+IF(BK124&gt;100,500,0)+24,"")</f>
        <v/>
      </c>
    </row>
    <row r="125">
      <c r="A125" t="n">
        <v>4</v>
      </c>
      <c r="B125" t="n">
        <v>4</v>
      </c>
      <c r="C125">
        <f>$B$50</f>
        <v/>
      </c>
      <c r="D125" t="inlineStr">
        <is>
          <t>Thu</t>
        </is>
      </c>
      <c r="E125">
        <f>IF(C125="","",N($AB$50))</f>
        <v/>
      </c>
      <c r="F125">
        <f>IF(C125="","",COUNTIF($O$50:$Q$50,"?*"))</f>
        <v/>
      </c>
      <c r="G125">
        <f>IF(C125="","",MAX(0,E125-F125))</f>
        <v/>
      </c>
      <c r="H125">
        <f>IF(N(G125)=0,"",IF(COUNT(BM125:CJ125)=0,"no-one eligible",INDEX(Engine!$B$20:$B$43,MOD(MIN(BM125:CJ125),500))&amp;IF(MOD(MIN(BM125:CJ125),1000)&gt;=500," *","")))</f>
        <v/>
      </c>
      <c r="I125">
        <f>IF(N(G125)&gt;0,COUNTIF($G$68:G125,"&gt;0"),"")</f>
        <v/>
      </c>
      <c r="J125">
        <f>IF(C125="","",IF($O$50="",0,IF(IFERROR(INDEX(Setup!$O$6:$AL$23,4,MATCH(SUBSTITUTE($O$50," *",""),Setup!$B$6:$B$29,0)),"")="",1,0))+IF($P$50="",0,IF(IFERROR(INDEX(Setup!$O$6:$AL$23,4,MATCH(SUBSTITUTE($P$50," *",""),Setup!$B$6:$B$29,0)),"")="",1,0))+IF($Q$50="",0,IF(IFERROR(INDEX(Setup!$O$6:$AL$23,4,MATCH(SUBSTITUTE($Q$50," *",""),Setup!$B$6:$B$29,0)),"")="",1,0)))</f>
        <v/>
      </c>
      <c r="K125">
        <f>IF($B$12+3=TODAY(),1,0)</f>
        <v/>
      </c>
      <c r="N125">
        <f>COUNT($AN125:$BK125)</f>
        <v/>
      </c>
      <c r="O125">
        <f>IF(1&gt;$N125,"",INDEX(Engine!$B$20:$B$43,MOD(SMALL($AN125:$BK125,1),100))&amp;IF(SMALL($AN125:$BK125,1)&gt;100," *",""))</f>
        <v/>
      </c>
      <c r="P125">
        <f>IF(2&gt;$N125,"",INDEX(Engine!$B$20:$B$43,MOD(SMALL($AN125:$BK125,2),100))&amp;IF(SMALL($AN125:$BK125,2)&gt;100," *",""))</f>
        <v/>
      </c>
      <c r="Q125">
        <f>IF(3&gt;$N125,"",INDEX(Engine!$B$20:$B$43,MOD(SMALL($AN125:$BK125,3),100))&amp;IF(SMALL($AN125:$BK125,3)&gt;100," *",""))</f>
        <v/>
      </c>
      <c r="R125">
        <f>IF(4&gt;$N125,"",INDEX(Engine!$B$20:$B$43,MOD(SMALL($AN125:$BK125,4),100))&amp;IF(SMALL($AN125:$BK125,4)&gt;100," *",""))</f>
        <v/>
      </c>
      <c r="S125">
        <f>IF(5&gt;$N125,"",INDEX(Engine!$B$20:$B$43,MOD(SMALL($AN125:$BK125,5),100))&amp;IF(SMALL($AN125:$BK125,5)&gt;100," *",""))</f>
        <v/>
      </c>
      <c r="T125">
        <f>IF(6&gt;$N125,"",INDEX(Engine!$B$20:$B$43,MOD(SMALL($AN125:$BK125,6),100))&amp;IF(SMALL($AN125:$BK125,6)&gt;100," *",""))</f>
        <v/>
      </c>
      <c r="U125">
        <f>IF(7&gt;$N125,"",INDEX(Engine!$B$20:$B$43,MOD(SMALL($AN125:$BK125,7),100))&amp;IF(SMALL($AN125:$BK125,7)&gt;100," *",""))</f>
        <v/>
      </c>
      <c r="V125">
        <f>IF(8&gt;$N125,"",INDEX(Engine!$B$20:$B$43,MOD(SMALL($AN125:$BK125,8),100))&amp;IF(SMALL($AN125:$BK125,8)&gt;100," *",""))</f>
        <v/>
      </c>
      <c r="W125">
        <f>IF(9&gt;$N125,"",INDEX(Engine!$B$20:$B$43,MOD(SMALL($AN125:$BK125,9),100))&amp;IF(SMALL($AN125:$BK125,9)&gt;100," *",""))</f>
        <v/>
      </c>
      <c r="X125">
        <f>IF(10&gt;$N125,"",INDEX(Engine!$B$20:$B$43,MOD(SMALL($AN125:$BK125,10),100))&amp;IF(SMALL($AN125:$BK125,10)&gt;100," *",""))</f>
        <v/>
      </c>
      <c r="Y125">
        <f>IF(11&gt;$N125,"",INDEX(Engine!$B$20:$B$43,MOD(SMALL($AN125:$BK125,11),100))&amp;IF(SMALL($AN125:$BK125,11)&gt;100," *",""))</f>
        <v/>
      </c>
      <c r="Z125">
        <f>IF(12&gt;$N125,"",INDEX(Engine!$B$20:$B$43,MOD(SMALL($AN125:$BK125,12),100))&amp;IF(SMALL($AN125:$BK125,12)&gt;100," *",""))</f>
        <v/>
      </c>
      <c r="AA125">
        <f>IF(13&gt;$N125,"",INDEX(Engine!$B$20:$B$43,MOD(SMALL($AN125:$BK125,13),100))&amp;IF(SMALL($AN125:$BK125,13)&gt;100," *",""))</f>
        <v/>
      </c>
      <c r="AB125">
        <f>IF(14&gt;$N125,"",INDEX(Engine!$B$20:$B$43,MOD(SMALL($AN125:$BK125,14),100))&amp;IF(SMALL($AN125:$BK125,14)&gt;100," *",""))</f>
        <v/>
      </c>
      <c r="AC125">
        <f>IF(15&gt;$N125,"",INDEX(Engine!$B$20:$B$43,MOD(SMALL($AN125:$BK125,15),100))&amp;IF(SMALL($AN125:$BK125,15)&gt;100," *",""))</f>
        <v/>
      </c>
      <c r="AD125">
        <f>IF(16&gt;$N125,"",INDEX(Engine!$B$20:$B$43,MOD(SMALL($AN125:$BK125,16),100))&amp;IF(SMALL($AN125:$BK125,16)&gt;100," *",""))</f>
        <v/>
      </c>
      <c r="AE125">
        <f>IF(17&gt;$N125,"",INDEX(Engine!$B$20:$B$43,MOD(SMALL($AN125:$BK125,17),100))&amp;IF(SMALL($AN125:$BK125,17)&gt;100," *",""))</f>
        <v/>
      </c>
      <c r="AF125">
        <f>IF(18&gt;$N125,"",INDEX(Engine!$B$20:$B$43,MOD(SMALL($AN125:$BK125,18),100))&amp;IF(SMALL($AN125:$BK125,18)&gt;100," *",""))</f>
        <v/>
      </c>
      <c r="AG125">
        <f>IF(19&gt;$N125,"",INDEX(Engine!$B$20:$B$43,MOD(SMALL($AN125:$BK125,19),100))&amp;IF(SMALL($AN125:$BK125,19)&gt;100," *",""))</f>
        <v/>
      </c>
      <c r="AH125">
        <f>IF(20&gt;$N125,"",INDEX(Engine!$B$20:$B$43,MOD(SMALL($AN125:$BK125,20),100))&amp;IF(SMALL($AN125:$BK125,20)&gt;100," *",""))</f>
        <v/>
      </c>
      <c r="AI125">
        <f>IF(21&gt;$N125,"",INDEX(Engine!$B$20:$B$43,MOD(SMALL($AN125:$BK125,21),100))&amp;IF(SMALL($AN125:$BK125,21)&gt;100," *",""))</f>
        <v/>
      </c>
      <c r="AJ125">
        <f>IF(22&gt;$N125,"",INDEX(Engine!$B$20:$B$43,MOD(SMALL($AN125:$BK125,22),100))&amp;IF(SMALL($AN125:$BK125,22)&gt;100," *",""))</f>
        <v/>
      </c>
      <c r="AK125">
        <f>IF(23&gt;$N125,"",INDEX(Engine!$B$20:$B$43,MOD(SMALL($AN125:$BK125,23),100))&amp;IF(SMALL($AN125:$BK125,23)&gt;100," *",""))</f>
        <v/>
      </c>
      <c r="AL125">
        <f>IF(24&gt;$N125,"",INDEX(Engine!$B$20:$B$43,MOD(SMALL($AN125:$BK125,24),100))&amp;IF(SMALL($AN125:$BK125,24)&gt;100," *",""))</f>
        <v/>
      </c>
      <c r="AN125">
        <f>IF(AND($C20=1,INDEX(Setup!$O$6:$AL$23,4,1)&lt;&gt;"",N20=0),1+IF(INDEX(Setup!$O$6:$AL$23,4,1)="T",100,0),"")</f>
        <v/>
      </c>
      <c r="AO125">
        <f>IF(AND($C21=1,INDEX(Setup!$O$6:$AL$23,4,2)&lt;&gt;"",N21=0),2+IF(INDEX(Setup!$O$6:$AL$23,4,2)="T",100,0),"")</f>
        <v/>
      </c>
      <c r="AP125">
        <f>IF(AND($C22=1,INDEX(Setup!$O$6:$AL$23,4,3)&lt;&gt;"",N22=0),3+IF(INDEX(Setup!$O$6:$AL$23,4,3)="T",100,0),"")</f>
        <v/>
      </c>
      <c r="AQ125">
        <f>IF(AND($C23=1,INDEX(Setup!$O$6:$AL$23,4,4)&lt;&gt;"",N23=0),4+IF(INDEX(Setup!$O$6:$AL$23,4,4)="T",100,0),"")</f>
        <v/>
      </c>
      <c r="AR125">
        <f>IF(AND($C24=1,INDEX(Setup!$O$6:$AL$23,4,5)&lt;&gt;"",N24=0),5+IF(INDEX(Setup!$O$6:$AL$23,4,5)="T",100,0),"")</f>
        <v/>
      </c>
      <c r="AS125">
        <f>IF(AND($C25=1,INDEX(Setup!$O$6:$AL$23,4,6)&lt;&gt;"",N25=0),6+IF(INDEX(Setup!$O$6:$AL$23,4,6)="T",100,0),"")</f>
        <v/>
      </c>
      <c r="AT125">
        <f>IF(AND($C26=1,INDEX(Setup!$O$6:$AL$23,4,7)&lt;&gt;"",N26=0),7+IF(INDEX(Setup!$O$6:$AL$23,4,7)="T",100,0),"")</f>
        <v/>
      </c>
      <c r="AU125">
        <f>IF(AND($C27=1,INDEX(Setup!$O$6:$AL$23,4,8)&lt;&gt;"",N27=0),8+IF(INDEX(Setup!$O$6:$AL$23,4,8)="T",100,0),"")</f>
        <v/>
      </c>
      <c r="AV125">
        <f>IF(AND($C28=1,INDEX(Setup!$O$6:$AL$23,4,9)&lt;&gt;"",N28=0),9+IF(INDEX(Setup!$O$6:$AL$23,4,9)="T",100,0),"")</f>
        <v/>
      </c>
      <c r="AW125">
        <f>IF(AND($C29=1,INDEX(Setup!$O$6:$AL$23,4,10)&lt;&gt;"",N29=0),10+IF(INDEX(Setup!$O$6:$AL$23,4,10)="T",100,0),"")</f>
        <v/>
      </c>
      <c r="AX125">
        <f>IF(AND($C30=1,INDEX(Setup!$O$6:$AL$23,4,11)&lt;&gt;"",N30=0),11+IF(INDEX(Setup!$O$6:$AL$23,4,11)="T",100,0),"")</f>
        <v/>
      </c>
      <c r="AY125">
        <f>IF(AND($C31=1,INDEX(Setup!$O$6:$AL$23,4,12)&lt;&gt;"",N31=0),12+IF(INDEX(Setup!$O$6:$AL$23,4,12)="T",100,0),"")</f>
        <v/>
      </c>
      <c r="AZ125">
        <f>IF(AND($C32=1,INDEX(Setup!$O$6:$AL$23,4,13)&lt;&gt;"",N32=0),13+IF(INDEX(Setup!$O$6:$AL$23,4,13)="T",100,0),"")</f>
        <v/>
      </c>
      <c r="BA125">
        <f>IF(AND($C33=1,INDEX(Setup!$O$6:$AL$23,4,14)&lt;&gt;"",N33=0),14+IF(INDEX(Setup!$O$6:$AL$23,4,14)="T",100,0),"")</f>
        <v/>
      </c>
      <c r="BB125">
        <f>IF(AND($C34=1,INDEX(Setup!$O$6:$AL$23,4,15)&lt;&gt;"",N34=0),15+IF(INDEX(Setup!$O$6:$AL$23,4,15)="T",100,0),"")</f>
        <v/>
      </c>
      <c r="BC125">
        <f>IF(AND($C35=1,INDEX(Setup!$O$6:$AL$23,4,16)&lt;&gt;"",N35=0),16+IF(INDEX(Setup!$O$6:$AL$23,4,16)="T",100,0),"")</f>
        <v/>
      </c>
      <c r="BD125">
        <f>IF(AND($C36=1,INDEX(Setup!$O$6:$AL$23,4,17)&lt;&gt;"",N36=0),17+IF(INDEX(Setup!$O$6:$AL$23,4,17)="T",100,0),"")</f>
        <v/>
      </c>
      <c r="BE125">
        <f>IF(AND($C37=1,INDEX(Setup!$O$6:$AL$23,4,18)&lt;&gt;"",N37=0),18+IF(INDEX(Setup!$O$6:$AL$23,4,18)="T",100,0),"")</f>
        <v/>
      </c>
      <c r="BF125">
        <f>IF(AND($C38=1,INDEX(Setup!$O$6:$AL$23,4,19)&lt;&gt;"",N38=0),19+IF(INDEX(Setup!$O$6:$AL$23,4,19)="T",100,0),"")</f>
        <v/>
      </c>
      <c r="BG125">
        <f>IF(AND($C39=1,INDEX(Setup!$O$6:$AL$23,4,20)&lt;&gt;"",N39=0),20+IF(INDEX(Setup!$O$6:$AL$23,4,20)="T",100,0),"")</f>
        <v/>
      </c>
      <c r="BH125">
        <f>IF(AND($C40=1,INDEX(Setup!$O$6:$AL$23,4,21)&lt;&gt;"",N40=0),21+IF(INDEX(Setup!$O$6:$AL$23,4,21)="T",100,0),"")</f>
        <v/>
      </c>
      <c r="BI125">
        <f>IF(AND($C41=1,INDEX(Setup!$O$6:$AL$23,4,22)&lt;&gt;"",N41=0),22+IF(INDEX(Setup!$O$6:$AL$23,4,22)="T",100,0),"")</f>
        <v/>
      </c>
      <c r="BJ125">
        <f>IF(AND($C42=1,INDEX(Setup!$O$6:$AL$23,4,23)&lt;&gt;"",N42=0),23+IF(INDEX(Setup!$O$6:$AL$23,4,23)="T",100,0),"")</f>
        <v/>
      </c>
      <c r="BK125">
        <f>IF(AND($C43=1,INDEX(Setup!$O$6:$AL$23,4,24)&lt;&gt;"",N43=0),24+IF(INDEX(Setup!$O$6:$AL$23,4,24)="T",100,0),"")</f>
        <v/>
      </c>
      <c r="BM125">
        <f>IF(AND(AN125&lt;&gt;"",COUNTIF($O$50:$Q$50,$B20)+COUNTIF($O$50:$Q$50,$B20&amp;" ~*")=0),($R20+COUNTIF($H$122:$H124,$B20)+COUNTIF($H$122:$H124,$B20&amp;" ~*"))*1000+IF(AN125&gt;100,500,0)+1,"")</f>
        <v/>
      </c>
      <c r="BN125">
        <f>IF(AND(AO125&lt;&gt;"",COUNTIF($O$50:$Q$50,$B21)+COUNTIF($O$50:$Q$50,$B21&amp;" ~*")=0),($R21+COUNTIF($H$122:$H124,$B21)+COUNTIF($H$122:$H124,$B21&amp;" ~*"))*1000+IF(AO125&gt;100,500,0)+2,"")</f>
        <v/>
      </c>
      <c r="BO125">
        <f>IF(AND(AP125&lt;&gt;"",COUNTIF($O$50:$Q$50,$B22)+COUNTIF($O$50:$Q$50,$B22&amp;" ~*")=0),($R22+COUNTIF($H$122:$H124,$B22)+COUNTIF($H$122:$H124,$B22&amp;" ~*"))*1000+IF(AP125&gt;100,500,0)+3,"")</f>
        <v/>
      </c>
      <c r="BP125">
        <f>IF(AND(AQ125&lt;&gt;"",COUNTIF($O$50:$Q$50,$B23)+COUNTIF($O$50:$Q$50,$B23&amp;" ~*")=0),($R23+COUNTIF($H$122:$H124,$B23)+COUNTIF($H$122:$H124,$B23&amp;" ~*"))*1000+IF(AQ125&gt;100,500,0)+4,"")</f>
        <v/>
      </c>
      <c r="BQ125">
        <f>IF(AND(AR125&lt;&gt;"",COUNTIF($O$50:$Q$50,$B24)+COUNTIF($O$50:$Q$50,$B24&amp;" ~*")=0),($R24+COUNTIF($H$122:$H124,$B24)+COUNTIF($H$122:$H124,$B24&amp;" ~*"))*1000+IF(AR125&gt;100,500,0)+5,"")</f>
        <v/>
      </c>
      <c r="BR125">
        <f>IF(AND(AS125&lt;&gt;"",COUNTIF($O$50:$Q$50,$B25)+COUNTIF($O$50:$Q$50,$B25&amp;" ~*")=0),($R25+COUNTIF($H$122:$H124,$B25)+COUNTIF($H$122:$H124,$B25&amp;" ~*"))*1000+IF(AS125&gt;100,500,0)+6,"")</f>
        <v/>
      </c>
      <c r="BS125">
        <f>IF(AND(AT125&lt;&gt;"",COUNTIF($O$50:$Q$50,$B26)+COUNTIF($O$50:$Q$50,$B26&amp;" ~*")=0),($R26+COUNTIF($H$122:$H124,$B26)+COUNTIF($H$122:$H124,$B26&amp;" ~*"))*1000+IF(AT125&gt;100,500,0)+7,"")</f>
        <v/>
      </c>
      <c r="BT125">
        <f>IF(AND(AU125&lt;&gt;"",COUNTIF($O$50:$Q$50,$B27)+COUNTIF($O$50:$Q$50,$B27&amp;" ~*")=0),($R27+COUNTIF($H$122:$H124,$B27)+COUNTIF($H$122:$H124,$B27&amp;" ~*"))*1000+IF(AU125&gt;100,500,0)+8,"")</f>
        <v/>
      </c>
      <c r="BU125">
        <f>IF(AND(AV125&lt;&gt;"",COUNTIF($O$50:$Q$50,$B28)+COUNTIF($O$50:$Q$50,$B28&amp;" ~*")=0),($R28+COUNTIF($H$122:$H124,$B28)+COUNTIF($H$122:$H124,$B28&amp;" ~*"))*1000+IF(AV125&gt;100,500,0)+9,"")</f>
        <v/>
      </c>
      <c r="BV125">
        <f>IF(AND(AW125&lt;&gt;"",COUNTIF($O$50:$Q$50,$B29)+COUNTIF($O$50:$Q$50,$B29&amp;" ~*")=0),($R29+COUNTIF($H$122:$H124,$B29)+COUNTIF($H$122:$H124,$B29&amp;" ~*"))*1000+IF(AW125&gt;100,500,0)+10,"")</f>
        <v/>
      </c>
      <c r="BW125">
        <f>IF(AND(AX125&lt;&gt;"",COUNTIF($O$50:$Q$50,$B30)+COUNTIF($O$50:$Q$50,$B30&amp;" ~*")=0),($R30+COUNTIF($H$122:$H124,$B30)+COUNTIF($H$122:$H124,$B30&amp;" ~*"))*1000+IF(AX125&gt;100,500,0)+11,"")</f>
        <v/>
      </c>
      <c r="BX125">
        <f>IF(AND(AY125&lt;&gt;"",COUNTIF($O$50:$Q$50,$B31)+COUNTIF($O$50:$Q$50,$B31&amp;" ~*")=0),($R31+COUNTIF($H$122:$H124,$B31)+COUNTIF($H$122:$H124,$B31&amp;" ~*"))*1000+IF(AY125&gt;100,500,0)+12,"")</f>
        <v/>
      </c>
      <c r="BY125">
        <f>IF(AND(AZ125&lt;&gt;"",COUNTIF($O$50:$Q$50,$B32)+COUNTIF($O$50:$Q$50,$B32&amp;" ~*")=0),($R32+COUNTIF($H$122:$H124,$B32)+COUNTIF($H$122:$H124,$B32&amp;" ~*"))*1000+IF(AZ125&gt;100,500,0)+13,"")</f>
        <v/>
      </c>
      <c r="BZ125">
        <f>IF(AND(BA125&lt;&gt;"",COUNTIF($O$50:$Q$50,$B33)+COUNTIF($O$50:$Q$50,$B33&amp;" ~*")=0),($R33+COUNTIF($H$122:$H124,$B33)+COUNTIF($H$122:$H124,$B33&amp;" ~*"))*1000+IF(BA125&gt;100,500,0)+14,"")</f>
        <v/>
      </c>
      <c r="CA125">
        <f>IF(AND(BB125&lt;&gt;"",COUNTIF($O$50:$Q$50,$B34)+COUNTIF($O$50:$Q$50,$B34&amp;" ~*")=0),($R34+COUNTIF($H$122:$H124,$B34)+COUNTIF($H$122:$H124,$B34&amp;" ~*"))*1000+IF(BB125&gt;100,500,0)+15,"")</f>
        <v/>
      </c>
      <c r="CB125">
        <f>IF(AND(BC125&lt;&gt;"",COUNTIF($O$50:$Q$50,$B35)+COUNTIF($O$50:$Q$50,$B35&amp;" ~*")=0),($R35+COUNTIF($H$122:$H124,$B35)+COUNTIF($H$122:$H124,$B35&amp;" ~*"))*1000+IF(BC125&gt;100,500,0)+16,"")</f>
        <v/>
      </c>
      <c r="CC125">
        <f>IF(AND(BD125&lt;&gt;"",COUNTIF($O$50:$Q$50,$B36)+COUNTIF($O$50:$Q$50,$B36&amp;" ~*")=0),($R36+COUNTIF($H$122:$H124,$B36)+COUNTIF($H$122:$H124,$B36&amp;" ~*"))*1000+IF(BD125&gt;100,500,0)+17,"")</f>
        <v/>
      </c>
      <c r="CD125">
        <f>IF(AND(BE125&lt;&gt;"",COUNTIF($O$50:$Q$50,$B37)+COUNTIF($O$50:$Q$50,$B37&amp;" ~*")=0),($R37+COUNTIF($H$122:$H124,$B37)+COUNTIF($H$122:$H124,$B37&amp;" ~*"))*1000+IF(BE125&gt;100,500,0)+18,"")</f>
        <v/>
      </c>
      <c r="CE125">
        <f>IF(AND(BF125&lt;&gt;"",COUNTIF($O$50:$Q$50,$B38)+COUNTIF($O$50:$Q$50,$B38&amp;" ~*")=0),($R38+COUNTIF($H$122:$H124,$B38)+COUNTIF($H$122:$H124,$B38&amp;" ~*"))*1000+IF(BF125&gt;100,500,0)+19,"")</f>
        <v/>
      </c>
      <c r="CF125">
        <f>IF(AND(BG125&lt;&gt;"",COUNTIF($O$50:$Q$50,$B39)+COUNTIF($O$50:$Q$50,$B39&amp;" ~*")=0),($R39+COUNTIF($H$122:$H124,$B39)+COUNTIF($H$122:$H124,$B39&amp;" ~*"))*1000+IF(BG125&gt;100,500,0)+20,"")</f>
        <v/>
      </c>
      <c r="CG125">
        <f>IF(AND(BH125&lt;&gt;"",COUNTIF($O$50:$Q$50,$B40)+COUNTIF($O$50:$Q$50,$B40&amp;" ~*")=0),($R40+COUNTIF($H$122:$H124,$B40)+COUNTIF($H$122:$H124,$B40&amp;" ~*"))*1000+IF(BH125&gt;100,500,0)+21,"")</f>
        <v/>
      </c>
      <c r="CH125">
        <f>IF(AND(BI125&lt;&gt;"",COUNTIF($O$50:$Q$50,$B41)+COUNTIF($O$50:$Q$50,$B41&amp;" ~*")=0),($R41+COUNTIF($H$122:$H124,$B41)+COUNTIF($H$122:$H124,$B41&amp;" ~*"))*1000+IF(BI125&gt;100,500,0)+22,"")</f>
        <v/>
      </c>
      <c r="CI125">
        <f>IF(AND(BJ125&lt;&gt;"",COUNTIF($O$50:$Q$50,$B42)+COUNTIF($O$50:$Q$50,$B42&amp;" ~*")=0),($R42+COUNTIF($H$122:$H124,$B42)+COUNTIF($H$122:$H124,$B42&amp;" ~*"))*1000+IF(BJ125&gt;100,500,0)+23,"")</f>
        <v/>
      </c>
      <c r="CJ125">
        <f>IF(AND(BK125&lt;&gt;"",COUNTIF($O$50:$Q$50,$B43)+COUNTIF($O$50:$Q$50,$B43&amp;" ~*")=0),($R43+COUNTIF($H$122:$H124,$B43)+COUNTIF($H$122:$H124,$B43&amp;" ~*"))*1000+IF(BK125&gt;100,500,0)+24,"")</f>
        <v/>
      </c>
    </row>
    <row r="126">
      <c r="A126" t="n">
        <v>4</v>
      </c>
      <c r="B126" t="n">
        <v>5</v>
      </c>
      <c r="C126">
        <f>$B$51</f>
        <v/>
      </c>
      <c r="D126" t="inlineStr">
        <is>
          <t>Thu</t>
        </is>
      </c>
      <c r="E126">
        <f>IF(C126="","",N($AB$51))</f>
        <v/>
      </c>
      <c r="F126">
        <f>IF(C126="","",COUNTIF($O$51:$Q$51,"?*"))</f>
        <v/>
      </c>
      <c r="G126">
        <f>IF(C126="","",MAX(0,E126-F126))</f>
        <v/>
      </c>
      <c r="H126">
        <f>IF(N(G126)=0,"",IF(COUNT(BM126:CJ126)=0,"no-one eligible",INDEX(Engine!$B$20:$B$43,MOD(MIN(BM126:CJ126),500))&amp;IF(MOD(MIN(BM126:CJ126),1000)&gt;=500," *","")))</f>
        <v/>
      </c>
      <c r="I126">
        <f>IF(N(G126)&gt;0,COUNTIF($G$68:G126,"&gt;0"),"")</f>
        <v/>
      </c>
      <c r="J126">
        <f>IF(C126="","",IF($O$51="",0,IF(IFERROR(INDEX(Setup!$O$6:$AL$23,5,MATCH(SUBSTITUTE($O$51," *",""),Setup!$B$6:$B$29,0)),"")="",1,0))+IF($P$51="",0,IF(IFERROR(INDEX(Setup!$O$6:$AL$23,5,MATCH(SUBSTITUTE($P$51," *",""),Setup!$B$6:$B$29,0)),"")="",1,0))+IF($Q$51="",0,IF(IFERROR(INDEX(Setup!$O$6:$AL$23,5,MATCH(SUBSTITUTE($Q$51," *",""),Setup!$B$6:$B$29,0)),"")="",1,0)))</f>
        <v/>
      </c>
      <c r="K126">
        <f>IF($B$12+3=TODAY(),1,0)</f>
        <v/>
      </c>
      <c r="N126">
        <f>COUNT($AN126:$BK126)</f>
        <v/>
      </c>
      <c r="O126">
        <f>IF(1&gt;$N126,"",INDEX(Engine!$B$20:$B$43,MOD(SMALL($AN126:$BK126,1),100))&amp;IF(SMALL($AN126:$BK126,1)&gt;100," *",""))</f>
        <v/>
      </c>
      <c r="P126">
        <f>IF(2&gt;$N126,"",INDEX(Engine!$B$20:$B$43,MOD(SMALL($AN126:$BK126,2),100))&amp;IF(SMALL($AN126:$BK126,2)&gt;100," *",""))</f>
        <v/>
      </c>
      <c r="Q126">
        <f>IF(3&gt;$N126,"",INDEX(Engine!$B$20:$B$43,MOD(SMALL($AN126:$BK126,3),100))&amp;IF(SMALL($AN126:$BK126,3)&gt;100," *",""))</f>
        <v/>
      </c>
      <c r="R126">
        <f>IF(4&gt;$N126,"",INDEX(Engine!$B$20:$B$43,MOD(SMALL($AN126:$BK126,4),100))&amp;IF(SMALL($AN126:$BK126,4)&gt;100," *",""))</f>
        <v/>
      </c>
      <c r="S126">
        <f>IF(5&gt;$N126,"",INDEX(Engine!$B$20:$B$43,MOD(SMALL($AN126:$BK126,5),100))&amp;IF(SMALL($AN126:$BK126,5)&gt;100," *",""))</f>
        <v/>
      </c>
      <c r="T126">
        <f>IF(6&gt;$N126,"",INDEX(Engine!$B$20:$B$43,MOD(SMALL($AN126:$BK126,6),100))&amp;IF(SMALL($AN126:$BK126,6)&gt;100," *",""))</f>
        <v/>
      </c>
      <c r="U126">
        <f>IF(7&gt;$N126,"",INDEX(Engine!$B$20:$B$43,MOD(SMALL($AN126:$BK126,7),100))&amp;IF(SMALL($AN126:$BK126,7)&gt;100," *",""))</f>
        <v/>
      </c>
      <c r="V126">
        <f>IF(8&gt;$N126,"",INDEX(Engine!$B$20:$B$43,MOD(SMALL($AN126:$BK126,8),100))&amp;IF(SMALL($AN126:$BK126,8)&gt;100," *",""))</f>
        <v/>
      </c>
      <c r="W126">
        <f>IF(9&gt;$N126,"",INDEX(Engine!$B$20:$B$43,MOD(SMALL($AN126:$BK126,9),100))&amp;IF(SMALL($AN126:$BK126,9)&gt;100," *",""))</f>
        <v/>
      </c>
      <c r="X126">
        <f>IF(10&gt;$N126,"",INDEX(Engine!$B$20:$B$43,MOD(SMALL($AN126:$BK126,10),100))&amp;IF(SMALL($AN126:$BK126,10)&gt;100," *",""))</f>
        <v/>
      </c>
      <c r="Y126">
        <f>IF(11&gt;$N126,"",INDEX(Engine!$B$20:$B$43,MOD(SMALL($AN126:$BK126,11),100))&amp;IF(SMALL($AN126:$BK126,11)&gt;100," *",""))</f>
        <v/>
      </c>
      <c r="Z126">
        <f>IF(12&gt;$N126,"",INDEX(Engine!$B$20:$B$43,MOD(SMALL($AN126:$BK126,12),100))&amp;IF(SMALL($AN126:$BK126,12)&gt;100," *",""))</f>
        <v/>
      </c>
      <c r="AA126">
        <f>IF(13&gt;$N126,"",INDEX(Engine!$B$20:$B$43,MOD(SMALL($AN126:$BK126,13),100))&amp;IF(SMALL($AN126:$BK126,13)&gt;100," *",""))</f>
        <v/>
      </c>
      <c r="AB126">
        <f>IF(14&gt;$N126,"",INDEX(Engine!$B$20:$B$43,MOD(SMALL($AN126:$BK126,14),100))&amp;IF(SMALL($AN126:$BK126,14)&gt;100," *",""))</f>
        <v/>
      </c>
      <c r="AC126">
        <f>IF(15&gt;$N126,"",INDEX(Engine!$B$20:$B$43,MOD(SMALL($AN126:$BK126,15),100))&amp;IF(SMALL($AN126:$BK126,15)&gt;100," *",""))</f>
        <v/>
      </c>
      <c r="AD126">
        <f>IF(16&gt;$N126,"",INDEX(Engine!$B$20:$B$43,MOD(SMALL($AN126:$BK126,16),100))&amp;IF(SMALL($AN126:$BK126,16)&gt;100," *",""))</f>
        <v/>
      </c>
      <c r="AE126">
        <f>IF(17&gt;$N126,"",INDEX(Engine!$B$20:$B$43,MOD(SMALL($AN126:$BK126,17),100))&amp;IF(SMALL($AN126:$BK126,17)&gt;100," *",""))</f>
        <v/>
      </c>
      <c r="AF126">
        <f>IF(18&gt;$N126,"",INDEX(Engine!$B$20:$B$43,MOD(SMALL($AN126:$BK126,18),100))&amp;IF(SMALL($AN126:$BK126,18)&gt;100," *",""))</f>
        <v/>
      </c>
      <c r="AG126">
        <f>IF(19&gt;$N126,"",INDEX(Engine!$B$20:$B$43,MOD(SMALL($AN126:$BK126,19),100))&amp;IF(SMALL($AN126:$BK126,19)&gt;100," *",""))</f>
        <v/>
      </c>
      <c r="AH126">
        <f>IF(20&gt;$N126,"",INDEX(Engine!$B$20:$B$43,MOD(SMALL($AN126:$BK126,20),100))&amp;IF(SMALL($AN126:$BK126,20)&gt;100," *",""))</f>
        <v/>
      </c>
      <c r="AI126">
        <f>IF(21&gt;$N126,"",INDEX(Engine!$B$20:$B$43,MOD(SMALL($AN126:$BK126,21),100))&amp;IF(SMALL($AN126:$BK126,21)&gt;100," *",""))</f>
        <v/>
      </c>
      <c r="AJ126">
        <f>IF(22&gt;$N126,"",INDEX(Engine!$B$20:$B$43,MOD(SMALL($AN126:$BK126,22),100))&amp;IF(SMALL($AN126:$BK126,22)&gt;100," *",""))</f>
        <v/>
      </c>
      <c r="AK126">
        <f>IF(23&gt;$N126,"",INDEX(Engine!$B$20:$B$43,MOD(SMALL($AN126:$BK126,23),100))&amp;IF(SMALL($AN126:$BK126,23)&gt;100," *",""))</f>
        <v/>
      </c>
      <c r="AL126">
        <f>IF(24&gt;$N126,"",INDEX(Engine!$B$20:$B$43,MOD(SMALL($AN126:$BK126,24),100))&amp;IF(SMALL($AN126:$BK126,24)&gt;100," *",""))</f>
        <v/>
      </c>
      <c r="AN126">
        <f>IF(AND($C20=1,INDEX(Setup!$O$6:$AL$23,5,1)&lt;&gt;"",N20=0),1+IF(INDEX(Setup!$O$6:$AL$23,5,1)="T",100,0),"")</f>
        <v/>
      </c>
      <c r="AO126">
        <f>IF(AND($C21=1,INDEX(Setup!$O$6:$AL$23,5,2)&lt;&gt;"",N21=0),2+IF(INDEX(Setup!$O$6:$AL$23,5,2)="T",100,0),"")</f>
        <v/>
      </c>
      <c r="AP126">
        <f>IF(AND($C22=1,INDEX(Setup!$O$6:$AL$23,5,3)&lt;&gt;"",N22=0),3+IF(INDEX(Setup!$O$6:$AL$23,5,3)="T",100,0),"")</f>
        <v/>
      </c>
      <c r="AQ126">
        <f>IF(AND($C23=1,INDEX(Setup!$O$6:$AL$23,5,4)&lt;&gt;"",N23=0),4+IF(INDEX(Setup!$O$6:$AL$23,5,4)="T",100,0),"")</f>
        <v/>
      </c>
      <c r="AR126">
        <f>IF(AND($C24=1,INDEX(Setup!$O$6:$AL$23,5,5)&lt;&gt;"",N24=0),5+IF(INDEX(Setup!$O$6:$AL$23,5,5)="T",100,0),"")</f>
        <v/>
      </c>
      <c r="AS126">
        <f>IF(AND($C25=1,INDEX(Setup!$O$6:$AL$23,5,6)&lt;&gt;"",N25=0),6+IF(INDEX(Setup!$O$6:$AL$23,5,6)="T",100,0),"")</f>
        <v/>
      </c>
      <c r="AT126">
        <f>IF(AND($C26=1,INDEX(Setup!$O$6:$AL$23,5,7)&lt;&gt;"",N26=0),7+IF(INDEX(Setup!$O$6:$AL$23,5,7)="T",100,0),"")</f>
        <v/>
      </c>
      <c r="AU126">
        <f>IF(AND($C27=1,INDEX(Setup!$O$6:$AL$23,5,8)&lt;&gt;"",N27=0),8+IF(INDEX(Setup!$O$6:$AL$23,5,8)="T",100,0),"")</f>
        <v/>
      </c>
      <c r="AV126">
        <f>IF(AND($C28=1,INDEX(Setup!$O$6:$AL$23,5,9)&lt;&gt;"",N28=0),9+IF(INDEX(Setup!$O$6:$AL$23,5,9)="T",100,0),"")</f>
        <v/>
      </c>
      <c r="AW126">
        <f>IF(AND($C29=1,INDEX(Setup!$O$6:$AL$23,5,10)&lt;&gt;"",N29=0),10+IF(INDEX(Setup!$O$6:$AL$23,5,10)="T",100,0),"")</f>
        <v/>
      </c>
      <c r="AX126">
        <f>IF(AND($C30=1,INDEX(Setup!$O$6:$AL$23,5,11)&lt;&gt;"",N30=0),11+IF(INDEX(Setup!$O$6:$AL$23,5,11)="T",100,0),"")</f>
        <v/>
      </c>
      <c r="AY126">
        <f>IF(AND($C31=1,INDEX(Setup!$O$6:$AL$23,5,12)&lt;&gt;"",N31=0),12+IF(INDEX(Setup!$O$6:$AL$23,5,12)="T",100,0),"")</f>
        <v/>
      </c>
      <c r="AZ126">
        <f>IF(AND($C32=1,INDEX(Setup!$O$6:$AL$23,5,13)&lt;&gt;"",N32=0),13+IF(INDEX(Setup!$O$6:$AL$23,5,13)="T",100,0),"")</f>
        <v/>
      </c>
      <c r="BA126">
        <f>IF(AND($C33=1,INDEX(Setup!$O$6:$AL$23,5,14)&lt;&gt;"",N33=0),14+IF(INDEX(Setup!$O$6:$AL$23,5,14)="T",100,0),"")</f>
        <v/>
      </c>
      <c r="BB126">
        <f>IF(AND($C34=1,INDEX(Setup!$O$6:$AL$23,5,15)&lt;&gt;"",N34=0),15+IF(INDEX(Setup!$O$6:$AL$23,5,15)="T",100,0),"")</f>
        <v/>
      </c>
      <c r="BC126">
        <f>IF(AND($C35=1,INDEX(Setup!$O$6:$AL$23,5,16)&lt;&gt;"",N35=0),16+IF(INDEX(Setup!$O$6:$AL$23,5,16)="T",100,0),"")</f>
        <v/>
      </c>
      <c r="BD126">
        <f>IF(AND($C36=1,INDEX(Setup!$O$6:$AL$23,5,17)&lt;&gt;"",N36=0),17+IF(INDEX(Setup!$O$6:$AL$23,5,17)="T",100,0),"")</f>
        <v/>
      </c>
      <c r="BE126">
        <f>IF(AND($C37=1,INDEX(Setup!$O$6:$AL$23,5,18)&lt;&gt;"",N37=0),18+IF(INDEX(Setup!$O$6:$AL$23,5,18)="T",100,0),"")</f>
        <v/>
      </c>
      <c r="BF126">
        <f>IF(AND($C38=1,INDEX(Setup!$O$6:$AL$23,5,19)&lt;&gt;"",N38=0),19+IF(INDEX(Setup!$O$6:$AL$23,5,19)="T",100,0),"")</f>
        <v/>
      </c>
      <c r="BG126">
        <f>IF(AND($C39=1,INDEX(Setup!$O$6:$AL$23,5,20)&lt;&gt;"",N39=0),20+IF(INDEX(Setup!$O$6:$AL$23,5,20)="T",100,0),"")</f>
        <v/>
      </c>
      <c r="BH126">
        <f>IF(AND($C40=1,INDEX(Setup!$O$6:$AL$23,5,21)&lt;&gt;"",N40=0),21+IF(INDEX(Setup!$O$6:$AL$23,5,21)="T",100,0),"")</f>
        <v/>
      </c>
      <c r="BI126">
        <f>IF(AND($C41=1,INDEX(Setup!$O$6:$AL$23,5,22)&lt;&gt;"",N41=0),22+IF(INDEX(Setup!$O$6:$AL$23,5,22)="T",100,0),"")</f>
        <v/>
      </c>
      <c r="BJ126">
        <f>IF(AND($C42=1,INDEX(Setup!$O$6:$AL$23,5,23)&lt;&gt;"",N42=0),23+IF(INDEX(Setup!$O$6:$AL$23,5,23)="T",100,0),"")</f>
        <v/>
      </c>
      <c r="BK126">
        <f>IF(AND($C43=1,INDEX(Setup!$O$6:$AL$23,5,24)&lt;&gt;"",N43=0),24+IF(INDEX(Setup!$O$6:$AL$23,5,24)="T",100,0),"")</f>
        <v/>
      </c>
      <c r="BM126">
        <f>IF(AND(AN126&lt;&gt;"",COUNTIF($O$51:$Q$51,$B20)+COUNTIF($O$51:$Q$51,$B20&amp;" ~*")=0),($R20+COUNTIF($H$122:$H125,$B20)+COUNTIF($H$122:$H125,$B20&amp;" ~*"))*1000+IF(AN126&gt;100,500,0)+1,"")</f>
        <v/>
      </c>
      <c r="BN126">
        <f>IF(AND(AO126&lt;&gt;"",COUNTIF($O$51:$Q$51,$B21)+COUNTIF($O$51:$Q$51,$B21&amp;" ~*")=0),($R21+COUNTIF($H$122:$H125,$B21)+COUNTIF($H$122:$H125,$B21&amp;" ~*"))*1000+IF(AO126&gt;100,500,0)+2,"")</f>
        <v/>
      </c>
      <c r="BO126">
        <f>IF(AND(AP126&lt;&gt;"",COUNTIF($O$51:$Q$51,$B22)+COUNTIF($O$51:$Q$51,$B22&amp;" ~*")=0),($R22+COUNTIF($H$122:$H125,$B22)+COUNTIF($H$122:$H125,$B22&amp;" ~*"))*1000+IF(AP126&gt;100,500,0)+3,"")</f>
        <v/>
      </c>
      <c r="BP126">
        <f>IF(AND(AQ126&lt;&gt;"",COUNTIF($O$51:$Q$51,$B23)+COUNTIF($O$51:$Q$51,$B23&amp;" ~*")=0),($R23+COUNTIF($H$122:$H125,$B23)+COUNTIF($H$122:$H125,$B23&amp;" ~*"))*1000+IF(AQ126&gt;100,500,0)+4,"")</f>
        <v/>
      </c>
      <c r="BQ126">
        <f>IF(AND(AR126&lt;&gt;"",COUNTIF($O$51:$Q$51,$B24)+COUNTIF($O$51:$Q$51,$B24&amp;" ~*")=0),($R24+COUNTIF($H$122:$H125,$B24)+COUNTIF($H$122:$H125,$B24&amp;" ~*"))*1000+IF(AR126&gt;100,500,0)+5,"")</f>
        <v/>
      </c>
      <c r="BR126">
        <f>IF(AND(AS126&lt;&gt;"",COUNTIF($O$51:$Q$51,$B25)+COUNTIF($O$51:$Q$51,$B25&amp;" ~*")=0),($R25+COUNTIF($H$122:$H125,$B25)+COUNTIF($H$122:$H125,$B25&amp;" ~*"))*1000+IF(AS126&gt;100,500,0)+6,"")</f>
        <v/>
      </c>
      <c r="BS126">
        <f>IF(AND(AT126&lt;&gt;"",COUNTIF($O$51:$Q$51,$B26)+COUNTIF($O$51:$Q$51,$B26&amp;" ~*")=0),($R26+COUNTIF($H$122:$H125,$B26)+COUNTIF($H$122:$H125,$B26&amp;" ~*"))*1000+IF(AT126&gt;100,500,0)+7,"")</f>
        <v/>
      </c>
      <c r="BT126">
        <f>IF(AND(AU126&lt;&gt;"",COUNTIF($O$51:$Q$51,$B27)+COUNTIF($O$51:$Q$51,$B27&amp;" ~*")=0),($R27+COUNTIF($H$122:$H125,$B27)+COUNTIF($H$122:$H125,$B27&amp;" ~*"))*1000+IF(AU126&gt;100,500,0)+8,"")</f>
        <v/>
      </c>
      <c r="BU126">
        <f>IF(AND(AV126&lt;&gt;"",COUNTIF($O$51:$Q$51,$B28)+COUNTIF($O$51:$Q$51,$B28&amp;" ~*")=0),($R28+COUNTIF($H$122:$H125,$B28)+COUNTIF($H$122:$H125,$B28&amp;" ~*"))*1000+IF(AV126&gt;100,500,0)+9,"")</f>
        <v/>
      </c>
      <c r="BV126">
        <f>IF(AND(AW126&lt;&gt;"",COUNTIF($O$51:$Q$51,$B29)+COUNTIF($O$51:$Q$51,$B29&amp;" ~*")=0),($R29+COUNTIF($H$122:$H125,$B29)+COUNTIF($H$122:$H125,$B29&amp;" ~*"))*1000+IF(AW126&gt;100,500,0)+10,"")</f>
        <v/>
      </c>
      <c r="BW126">
        <f>IF(AND(AX126&lt;&gt;"",COUNTIF($O$51:$Q$51,$B30)+COUNTIF($O$51:$Q$51,$B30&amp;" ~*")=0),($R30+COUNTIF($H$122:$H125,$B30)+COUNTIF($H$122:$H125,$B30&amp;" ~*"))*1000+IF(AX126&gt;100,500,0)+11,"")</f>
        <v/>
      </c>
      <c r="BX126">
        <f>IF(AND(AY126&lt;&gt;"",COUNTIF($O$51:$Q$51,$B31)+COUNTIF($O$51:$Q$51,$B31&amp;" ~*")=0),($R31+COUNTIF($H$122:$H125,$B31)+COUNTIF($H$122:$H125,$B31&amp;" ~*"))*1000+IF(AY126&gt;100,500,0)+12,"")</f>
        <v/>
      </c>
      <c r="BY126">
        <f>IF(AND(AZ126&lt;&gt;"",COUNTIF($O$51:$Q$51,$B32)+COUNTIF($O$51:$Q$51,$B32&amp;" ~*")=0),($R32+COUNTIF($H$122:$H125,$B32)+COUNTIF($H$122:$H125,$B32&amp;" ~*"))*1000+IF(AZ126&gt;100,500,0)+13,"")</f>
        <v/>
      </c>
      <c r="BZ126">
        <f>IF(AND(BA126&lt;&gt;"",COUNTIF($O$51:$Q$51,$B33)+COUNTIF($O$51:$Q$51,$B33&amp;" ~*")=0),($R33+COUNTIF($H$122:$H125,$B33)+COUNTIF($H$122:$H125,$B33&amp;" ~*"))*1000+IF(BA126&gt;100,500,0)+14,"")</f>
        <v/>
      </c>
      <c r="CA126">
        <f>IF(AND(BB126&lt;&gt;"",COUNTIF($O$51:$Q$51,$B34)+COUNTIF($O$51:$Q$51,$B34&amp;" ~*")=0),($R34+COUNTIF($H$122:$H125,$B34)+COUNTIF($H$122:$H125,$B34&amp;" ~*"))*1000+IF(BB126&gt;100,500,0)+15,"")</f>
        <v/>
      </c>
      <c r="CB126">
        <f>IF(AND(BC126&lt;&gt;"",COUNTIF($O$51:$Q$51,$B35)+COUNTIF($O$51:$Q$51,$B35&amp;" ~*")=0),($R35+COUNTIF($H$122:$H125,$B35)+COUNTIF($H$122:$H125,$B35&amp;" ~*"))*1000+IF(BC126&gt;100,500,0)+16,"")</f>
        <v/>
      </c>
      <c r="CC126">
        <f>IF(AND(BD126&lt;&gt;"",COUNTIF($O$51:$Q$51,$B36)+COUNTIF($O$51:$Q$51,$B36&amp;" ~*")=0),($R36+COUNTIF($H$122:$H125,$B36)+COUNTIF($H$122:$H125,$B36&amp;" ~*"))*1000+IF(BD126&gt;100,500,0)+17,"")</f>
        <v/>
      </c>
      <c r="CD126">
        <f>IF(AND(BE126&lt;&gt;"",COUNTIF($O$51:$Q$51,$B37)+COUNTIF($O$51:$Q$51,$B37&amp;" ~*")=0),($R37+COUNTIF($H$122:$H125,$B37)+COUNTIF($H$122:$H125,$B37&amp;" ~*"))*1000+IF(BE126&gt;100,500,0)+18,"")</f>
        <v/>
      </c>
      <c r="CE126">
        <f>IF(AND(BF126&lt;&gt;"",COUNTIF($O$51:$Q$51,$B38)+COUNTIF($O$51:$Q$51,$B38&amp;" ~*")=0),($R38+COUNTIF($H$122:$H125,$B38)+COUNTIF($H$122:$H125,$B38&amp;" ~*"))*1000+IF(BF126&gt;100,500,0)+19,"")</f>
        <v/>
      </c>
      <c r="CF126">
        <f>IF(AND(BG126&lt;&gt;"",COUNTIF($O$51:$Q$51,$B39)+COUNTIF($O$51:$Q$51,$B39&amp;" ~*")=0),($R39+COUNTIF($H$122:$H125,$B39)+COUNTIF($H$122:$H125,$B39&amp;" ~*"))*1000+IF(BG126&gt;100,500,0)+20,"")</f>
        <v/>
      </c>
      <c r="CG126">
        <f>IF(AND(BH126&lt;&gt;"",COUNTIF($O$51:$Q$51,$B40)+COUNTIF($O$51:$Q$51,$B40&amp;" ~*")=0),($R40+COUNTIF($H$122:$H125,$B40)+COUNTIF($H$122:$H125,$B40&amp;" ~*"))*1000+IF(BH126&gt;100,500,0)+21,"")</f>
        <v/>
      </c>
      <c r="CH126">
        <f>IF(AND(BI126&lt;&gt;"",COUNTIF($O$51:$Q$51,$B41)+COUNTIF($O$51:$Q$51,$B41&amp;" ~*")=0),($R41+COUNTIF($H$122:$H125,$B41)+COUNTIF($H$122:$H125,$B41&amp;" ~*"))*1000+IF(BI126&gt;100,500,0)+22,"")</f>
        <v/>
      </c>
      <c r="CI126">
        <f>IF(AND(BJ126&lt;&gt;"",COUNTIF($O$51:$Q$51,$B42)+COUNTIF($O$51:$Q$51,$B42&amp;" ~*")=0),($R42+COUNTIF($H$122:$H125,$B42)+COUNTIF($H$122:$H125,$B42&amp;" ~*"))*1000+IF(BJ126&gt;100,500,0)+23,"")</f>
        <v/>
      </c>
      <c r="CJ126">
        <f>IF(AND(BK126&lt;&gt;"",COUNTIF($O$51:$Q$51,$B43)+COUNTIF($O$51:$Q$51,$B43&amp;" ~*")=0),($R43+COUNTIF($H$122:$H125,$B43)+COUNTIF($H$122:$H125,$B43&amp;" ~*"))*1000+IF(BK126&gt;100,500,0)+24,"")</f>
        <v/>
      </c>
    </row>
    <row r="127">
      <c r="A127" t="n">
        <v>4</v>
      </c>
      <c r="B127" t="n">
        <v>6</v>
      </c>
      <c r="C127">
        <f>$B$52</f>
        <v/>
      </c>
      <c r="D127" t="inlineStr">
        <is>
          <t>Thu</t>
        </is>
      </c>
      <c r="E127">
        <f>IF(C127="","",N($AB$52))</f>
        <v/>
      </c>
      <c r="F127">
        <f>IF(C127="","",COUNTIF($O$52:$Q$52,"?*"))</f>
        <v/>
      </c>
      <c r="G127">
        <f>IF(C127="","",MAX(0,E127-F127))</f>
        <v/>
      </c>
      <c r="H127">
        <f>IF(N(G127)=0,"",IF(COUNT(BM127:CJ127)=0,"no-one eligible",INDEX(Engine!$B$20:$B$43,MOD(MIN(BM127:CJ127),500))&amp;IF(MOD(MIN(BM127:CJ127),1000)&gt;=500," *","")))</f>
        <v/>
      </c>
      <c r="I127">
        <f>IF(N(G127)&gt;0,COUNTIF($G$68:G127,"&gt;0"),"")</f>
        <v/>
      </c>
      <c r="J127">
        <f>IF(C127="","",IF($O$52="",0,IF(IFERROR(INDEX(Setup!$O$6:$AL$23,6,MATCH(SUBSTITUTE($O$52," *",""),Setup!$B$6:$B$29,0)),"")="",1,0))+IF($P$52="",0,IF(IFERROR(INDEX(Setup!$O$6:$AL$23,6,MATCH(SUBSTITUTE($P$52," *",""),Setup!$B$6:$B$29,0)),"")="",1,0))+IF($Q$52="",0,IF(IFERROR(INDEX(Setup!$O$6:$AL$23,6,MATCH(SUBSTITUTE($Q$52," *",""),Setup!$B$6:$B$29,0)),"")="",1,0)))</f>
        <v/>
      </c>
      <c r="K127">
        <f>IF($B$12+3=TODAY(),1,0)</f>
        <v/>
      </c>
      <c r="N127">
        <f>COUNT($AN127:$BK127)</f>
        <v/>
      </c>
      <c r="O127">
        <f>IF(1&gt;$N127,"",INDEX(Engine!$B$20:$B$43,MOD(SMALL($AN127:$BK127,1),100))&amp;IF(SMALL($AN127:$BK127,1)&gt;100," *",""))</f>
        <v/>
      </c>
      <c r="P127">
        <f>IF(2&gt;$N127,"",INDEX(Engine!$B$20:$B$43,MOD(SMALL($AN127:$BK127,2),100))&amp;IF(SMALL($AN127:$BK127,2)&gt;100," *",""))</f>
        <v/>
      </c>
      <c r="Q127">
        <f>IF(3&gt;$N127,"",INDEX(Engine!$B$20:$B$43,MOD(SMALL($AN127:$BK127,3),100))&amp;IF(SMALL($AN127:$BK127,3)&gt;100," *",""))</f>
        <v/>
      </c>
      <c r="R127">
        <f>IF(4&gt;$N127,"",INDEX(Engine!$B$20:$B$43,MOD(SMALL($AN127:$BK127,4),100))&amp;IF(SMALL($AN127:$BK127,4)&gt;100," *",""))</f>
        <v/>
      </c>
      <c r="S127">
        <f>IF(5&gt;$N127,"",INDEX(Engine!$B$20:$B$43,MOD(SMALL($AN127:$BK127,5),100))&amp;IF(SMALL($AN127:$BK127,5)&gt;100," *",""))</f>
        <v/>
      </c>
      <c r="T127">
        <f>IF(6&gt;$N127,"",INDEX(Engine!$B$20:$B$43,MOD(SMALL($AN127:$BK127,6),100))&amp;IF(SMALL($AN127:$BK127,6)&gt;100," *",""))</f>
        <v/>
      </c>
      <c r="U127">
        <f>IF(7&gt;$N127,"",INDEX(Engine!$B$20:$B$43,MOD(SMALL($AN127:$BK127,7),100))&amp;IF(SMALL($AN127:$BK127,7)&gt;100," *",""))</f>
        <v/>
      </c>
      <c r="V127">
        <f>IF(8&gt;$N127,"",INDEX(Engine!$B$20:$B$43,MOD(SMALL($AN127:$BK127,8),100))&amp;IF(SMALL($AN127:$BK127,8)&gt;100," *",""))</f>
        <v/>
      </c>
      <c r="W127">
        <f>IF(9&gt;$N127,"",INDEX(Engine!$B$20:$B$43,MOD(SMALL($AN127:$BK127,9),100))&amp;IF(SMALL($AN127:$BK127,9)&gt;100," *",""))</f>
        <v/>
      </c>
      <c r="X127">
        <f>IF(10&gt;$N127,"",INDEX(Engine!$B$20:$B$43,MOD(SMALL($AN127:$BK127,10),100))&amp;IF(SMALL($AN127:$BK127,10)&gt;100," *",""))</f>
        <v/>
      </c>
      <c r="Y127">
        <f>IF(11&gt;$N127,"",INDEX(Engine!$B$20:$B$43,MOD(SMALL($AN127:$BK127,11),100))&amp;IF(SMALL($AN127:$BK127,11)&gt;100," *",""))</f>
        <v/>
      </c>
      <c r="Z127">
        <f>IF(12&gt;$N127,"",INDEX(Engine!$B$20:$B$43,MOD(SMALL($AN127:$BK127,12),100))&amp;IF(SMALL($AN127:$BK127,12)&gt;100," *",""))</f>
        <v/>
      </c>
      <c r="AA127">
        <f>IF(13&gt;$N127,"",INDEX(Engine!$B$20:$B$43,MOD(SMALL($AN127:$BK127,13),100))&amp;IF(SMALL($AN127:$BK127,13)&gt;100," *",""))</f>
        <v/>
      </c>
      <c r="AB127">
        <f>IF(14&gt;$N127,"",INDEX(Engine!$B$20:$B$43,MOD(SMALL($AN127:$BK127,14),100))&amp;IF(SMALL($AN127:$BK127,14)&gt;100," *",""))</f>
        <v/>
      </c>
      <c r="AC127">
        <f>IF(15&gt;$N127,"",INDEX(Engine!$B$20:$B$43,MOD(SMALL($AN127:$BK127,15),100))&amp;IF(SMALL($AN127:$BK127,15)&gt;100," *",""))</f>
        <v/>
      </c>
      <c r="AD127">
        <f>IF(16&gt;$N127,"",INDEX(Engine!$B$20:$B$43,MOD(SMALL($AN127:$BK127,16),100))&amp;IF(SMALL($AN127:$BK127,16)&gt;100," *",""))</f>
        <v/>
      </c>
      <c r="AE127">
        <f>IF(17&gt;$N127,"",INDEX(Engine!$B$20:$B$43,MOD(SMALL($AN127:$BK127,17),100))&amp;IF(SMALL($AN127:$BK127,17)&gt;100," *",""))</f>
        <v/>
      </c>
      <c r="AF127">
        <f>IF(18&gt;$N127,"",INDEX(Engine!$B$20:$B$43,MOD(SMALL($AN127:$BK127,18),100))&amp;IF(SMALL($AN127:$BK127,18)&gt;100," *",""))</f>
        <v/>
      </c>
      <c r="AG127">
        <f>IF(19&gt;$N127,"",INDEX(Engine!$B$20:$B$43,MOD(SMALL($AN127:$BK127,19),100))&amp;IF(SMALL($AN127:$BK127,19)&gt;100," *",""))</f>
        <v/>
      </c>
      <c r="AH127">
        <f>IF(20&gt;$N127,"",INDEX(Engine!$B$20:$B$43,MOD(SMALL($AN127:$BK127,20),100))&amp;IF(SMALL($AN127:$BK127,20)&gt;100," *",""))</f>
        <v/>
      </c>
      <c r="AI127">
        <f>IF(21&gt;$N127,"",INDEX(Engine!$B$20:$B$43,MOD(SMALL($AN127:$BK127,21),100))&amp;IF(SMALL($AN127:$BK127,21)&gt;100," *",""))</f>
        <v/>
      </c>
      <c r="AJ127">
        <f>IF(22&gt;$N127,"",INDEX(Engine!$B$20:$B$43,MOD(SMALL($AN127:$BK127,22),100))&amp;IF(SMALL($AN127:$BK127,22)&gt;100," *",""))</f>
        <v/>
      </c>
      <c r="AK127">
        <f>IF(23&gt;$N127,"",INDEX(Engine!$B$20:$B$43,MOD(SMALL($AN127:$BK127,23),100))&amp;IF(SMALL($AN127:$BK127,23)&gt;100," *",""))</f>
        <v/>
      </c>
      <c r="AL127">
        <f>IF(24&gt;$N127,"",INDEX(Engine!$B$20:$B$43,MOD(SMALL($AN127:$BK127,24),100))&amp;IF(SMALL($AN127:$BK127,24)&gt;100," *",""))</f>
        <v/>
      </c>
      <c r="AN127">
        <f>IF(AND($C20=1,INDEX(Setup!$O$6:$AL$23,6,1)&lt;&gt;"",N20=0),1+IF(INDEX(Setup!$O$6:$AL$23,6,1)="T",100,0),"")</f>
        <v/>
      </c>
      <c r="AO127">
        <f>IF(AND($C21=1,INDEX(Setup!$O$6:$AL$23,6,2)&lt;&gt;"",N21=0),2+IF(INDEX(Setup!$O$6:$AL$23,6,2)="T",100,0),"")</f>
        <v/>
      </c>
      <c r="AP127">
        <f>IF(AND($C22=1,INDEX(Setup!$O$6:$AL$23,6,3)&lt;&gt;"",N22=0),3+IF(INDEX(Setup!$O$6:$AL$23,6,3)="T",100,0),"")</f>
        <v/>
      </c>
      <c r="AQ127">
        <f>IF(AND($C23=1,INDEX(Setup!$O$6:$AL$23,6,4)&lt;&gt;"",N23=0),4+IF(INDEX(Setup!$O$6:$AL$23,6,4)="T",100,0),"")</f>
        <v/>
      </c>
      <c r="AR127">
        <f>IF(AND($C24=1,INDEX(Setup!$O$6:$AL$23,6,5)&lt;&gt;"",N24=0),5+IF(INDEX(Setup!$O$6:$AL$23,6,5)="T",100,0),"")</f>
        <v/>
      </c>
      <c r="AS127">
        <f>IF(AND($C25=1,INDEX(Setup!$O$6:$AL$23,6,6)&lt;&gt;"",N25=0),6+IF(INDEX(Setup!$O$6:$AL$23,6,6)="T",100,0),"")</f>
        <v/>
      </c>
      <c r="AT127">
        <f>IF(AND($C26=1,INDEX(Setup!$O$6:$AL$23,6,7)&lt;&gt;"",N26=0),7+IF(INDEX(Setup!$O$6:$AL$23,6,7)="T",100,0),"")</f>
        <v/>
      </c>
      <c r="AU127">
        <f>IF(AND($C27=1,INDEX(Setup!$O$6:$AL$23,6,8)&lt;&gt;"",N27=0),8+IF(INDEX(Setup!$O$6:$AL$23,6,8)="T",100,0),"")</f>
        <v/>
      </c>
      <c r="AV127">
        <f>IF(AND($C28=1,INDEX(Setup!$O$6:$AL$23,6,9)&lt;&gt;"",N28=0),9+IF(INDEX(Setup!$O$6:$AL$23,6,9)="T",100,0),"")</f>
        <v/>
      </c>
      <c r="AW127">
        <f>IF(AND($C29=1,INDEX(Setup!$O$6:$AL$23,6,10)&lt;&gt;"",N29=0),10+IF(INDEX(Setup!$O$6:$AL$23,6,10)="T",100,0),"")</f>
        <v/>
      </c>
      <c r="AX127">
        <f>IF(AND($C30=1,INDEX(Setup!$O$6:$AL$23,6,11)&lt;&gt;"",N30=0),11+IF(INDEX(Setup!$O$6:$AL$23,6,11)="T",100,0),"")</f>
        <v/>
      </c>
      <c r="AY127">
        <f>IF(AND($C31=1,INDEX(Setup!$O$6:$AL$23,6,12)&lt;&gt;"",N31=0),12+IF(INDEX(Setup!$O$6:$AL$23,6,12)="T",100,0),"")</f>
        <v/>
      </c>
      <c r="AZ127">
        <f>IF(AND($C32=1,INDEX(Setup!$O$6:$AL$23,6,13)&lt;&gt;"",N32=0),13+IF(INDEX(Setup!$O$6:$AL$23,6,13)="T",100,0),"")</f>
        <v/>
      </c>
      <c r="BA127">
        <f>IF(AND($C33=1,INDEX(Setup!$O$6:$AL$23,6,14)&lt;&gt;"",N33=0),14+IF(INDEX(Setup!$O$6:$AL$23,6,14)="T",100,0),"")</f>
        <v/>
      </c>
      <c r="BB127">
        <f>IF(AND($C34=1,INDEX(Setup!$O$6:$AL$23,6,15)&lt;&gt;"",N34=0),15+IF(INDEX(Setup!$O$6:$AL$23,6,15)="T",100,0),"")</f>
        <v/>
      </c>
      <c r="BC127">
        <f>IF(AND($C35=1,INDEX(Setup!$O$6:$AL$23,6,16)&lt;&gt;"",N35=0),16+IF(INDEX(Setup!$O$6:$AL$23,6,16)="T",100,0),"")</f>
        <v/>
      </c>
      <c r="BD127">
        <f>IF(AND($C36=1,INDEX(Setup!$O$6:$AL$23,6,17)&lt;&gt;"",N36=0),17+IF(INDEX(Setup!$O$6:$AL$23,6,17)="T",100,0),"")</f>
        <v/>
      </c>
      <c r="BE127">
        <f>IF(AND($C37=1,INDEX(Setup!$O$6:$AL$23,6,18)&lt;&gt;"",N37=0),18+IF(INDEX(Setup!$O$6:$AL$23,6,18)="T",100,0),"")</f>
        <v/>
      </c>
      <c r="BF127">
        <f>IF(AND($C38=1,INDEX(Setup!$O$6:$AL$23,6,19)&lt;&gt;"",N38=0),19+IF(INDEX(Setup!$O$6:$AL$23,6,19)="T",100,0),"")</f>
        <v/>
      </c>
      <c r="BG127">
        <f>IF(AND($C39=1,INDEX(Setup!$O$6:$AL$23,6,20)&lt;&gt;"",N39=0),20+IF(INDEX(Setup!$O$6:$AL$23,6,20)="T",100,0),"")</f>
        <v/>
      </c>
      <c r="BH127">
        <f>IF(AND($C40=1,INDEX(Setup!$O$6:$AL$23,6,21)&lt;&gt;"",N40=0),21+IF(INDEX(Setup!$O$6:$AL$23,6,21)="T",100,0),"")</f>
        <v/>
      </c>
      <c r="BI127">
        <f>IF(AND($C41=1,INDEX(Setup!$O$6:$AL$23,6,22)&lt;&gt;"",N41=0),22+IF(INDEX(Setup!$O$6:$AL$23,6,22)="T",100,0),"")</f>
        <v/>
      </c>
      <c r="BJ127">
        <f>IF(AND($C42=1,INDEX(Setup!$O$6:$AL$23,6,23)&lt;&gt;"",N42=0),23+IF(INDEX(Setup!$O$6:$AL$23,6,23)="T",100,0),"")</f>
        <v/>
      </c>
      <c r="BK127">
        <f>IF(AND($C43=1,INDEX(Setup!$O$6:$AL$23,6,24)&lt;&gt;"",N43=0),24+IF(INDEX(Setup!$O$6:$AL$23,6,24)="T",100,0),"")</f>
        <v/>
      </c>
      <c r="BM127">
        <f>IF(AND(AN127&lt;&gt;"",COUNTIF($O$52:$Q$52,$B20)+COUNTIF($O$52:$Q$52,$B20&amp;" ~*")=0),($R20+COUNTIF($H$122:$H126,$B20)+COUNTIF($H$122:$H126,$B20&amp;" ~*"))*1000+IF(AN127&gt;100,500,0)+1,"")</f>
        <v/>
      </c>
      <c r="BN127">
        <f>IF(AND(AO127&lt;&gt;"",COUNTIF($O$52:$Q$52,$B21)+COUNTIF($O$52:$Q$52,$B21&amp;" ~*")=0),($R21+COUNTIF($H$122:$H126,$B21)+COUNTIF($H$122:$H126,$B21&amp;" ~*"))*1000+IF(AO127&gt;100,500,0)+2,"")</f>
        <v/>
      </c>
      <c r="BO127">
        <f>IF(AND(AP127&lt;&gt;"",COUNTIF($O$52:$Q$52,$B22)+COUNTIF($O$52:$Q$52,$B22&amp;" ~*")=0),($R22+COUNTIF($H$122:$H126,$B22)+COUNTIF($H$122:$H126,$B22&amp;" ~*"))*1000+IF(AP127&gt;100,500,0)+3,"")</f>
        <v/>
      </c>
      <c r="BP127">
        <f>IF(AND(AQ127&lt;&gt;"",COUNTIF($O$52:$Q$52,$B23)+COUNTIF($O$52:$Q$52,$B23&amp;" ~*")=0),($R23+COUNTIF($H$122:$H126,$B23)+COUNTIF($H$122:$H126,$B23&amp;" ~*"))*1000+IF(AQ127&gt;100,500,0)+4,"")</f>
        <v/>
      </c>
      <c r="BQ127">
        <f>IF(AND(AR127&lt;&gt;"",COUNTIF($O$52:$Q$52,$B24)+COUNTIF($O$52:$Q$52,$B24&amp;" ~*")=0),($R24+COUNTIF($H$122:$H126,$B24)+COUNTIF($H$122:$H126,$B24&amp;" ~*"))*1000+IF(AR127&gt;100,500,0)+5,"")</f>
        <v/>
      </c>
      <c r="BR127">
        <f>IF(AND(AS127&lt;&gt;"",COUNTIF($O$52:$Q$52,$B25)+COUNTIF($O$52:$Q$52,$B25&amp;" ~*")=0),($R25+COUNTIF($H$122:$H126,$B25)+COUNTIF($H$122:$H126,$B25&amp;" ~*"))*1000+IF(AS127&gt;100,500,0)+6,"")</f>
        <v/>
      </c>
      <c r="BS127">
        <f>IF(AND(AT127&lt;&gt;"",COUNTIF($O$52:$Q$52,$B26)+COUNTIF($O$52:$Q$52,$B26&amp;" ~*")=0),($R26+COUNTIF($H$122:$H126,$B26)+COUNTIF($H$122:$H126,$B26&amp;" ~*"))*1000+IF(AT127&gt;100,500,0)+7,"")</f>
        <v/>
      </c>
      <c r="BT127">
        <f>IF(AND(AU127&lt;&gt;"",COUNTIF($O$52:$Q$52,$B27)+COUNTIF($O$52:$Q$52,$B27&amp;" ~*")=0),($R27+COUNTIF($H$122:$H126,$B27)+COUNTIF($H$122:$H126,$B27&amp;" ~*"))*1000+IF(AU127&gt;100,500,0)+8,"")</f>
        <v/>
      </c>
      <c r="BU127">
        <f>IF(AND(AV127&lt;&gt;"",COUNTIF($O$52:$Q$52,$B28)+COUNTIF($O$52:$Q$52,$B28&amp;" ~*")=0),($R28+COUNTIF($H$122:$H126,$B28)+COUNTIF($H$122:$H126,$B28&amp;" ~*"))*1000+IF(AV127&gt;100,500,0)+9,"")</f>
        <v/>
      </c>
      <c r="BV127">
        <f>IF(AND(AW127&lt;&gt;"",COUNTIF($O$52:$Q$52,$B29)+COUNTIF($O$52:$Q$52,$B29&amp;" ~*")=0),($R29+COUNTIF($H$122:$H126,$B29)+COUNTIF($H$122:$H126,$B29&amp;" ~*"))*1000+IF(AW127&gt;100,500,0)+10,"")</f>
        <v/>
      </c>
      <c r="BW127">
        <f>IF(AND(AX127&lt;&gt;"",COUNTIF($O$52:$Q$52,$B30)+COUNTIF($O$52:$Q$52,$B30&amp;" ~*")=0),($R30+COUNTIF($H$122:$H126,$B30)+COUNTIF($H$122:$H126,$B30&amp;" ~*"))*1000+IF(AX127&gt;100,500,0)+11,"")</f>
        <v/>
      </c>
      <c r="BX127">
        <f>IF(AND(AY127&lt;&gt;"",COUNTIF($O$52:$Q$52,$B31)+COUNTIF($O$52:$Q$52,$B31&amp;" ~*")=0),($R31+COUNTIF($H$122:$H126,$B31)+COUNTIF($H$122:$H126,$B31&amp;" ~*"))*1000+IF(AY127&gt;100,500,0)+12,"")</f>
        <v/>
      </c>
      <c r="BY127">
        <f>IF(AND(AZ127&lt;&gt;"",COUNTIF($O$52:$Q$52,$B32)+COUNTIF($O$52:$Q$52,$B32&amp;" ~*")=0),($R32+COUNTIF($H$122:$H126,$B32)+COUNTIF($H$122:$H126,$B32&amp;" ~*"))*1000+IF(AZ127&gt;100,500,0)+13,"")</f>
        <v/>
      </c>
      <c r="BZ127">
        <f>IF(AND(BA127&lt;&gt;"",COUNTIF($O$52:$Q$52,$B33)+COUNTIF($O$52:$Q$52,$B33&amp;" ~*")=0),($R33+COUNTIF($H$122:$H126,$B33)+COUNTIF($H$122:$H126,$B33&amp;" ~*"))*1000+IF(BA127&gt;100,500,0)+14,"")</f>
        <v/>
      </c>
      <c r="CA127">
        <f>IF(AND(BB127&lt;&gt;"",COUNTIF($O$52:$Q$52,$B34)+COUNTIF($O$52:$Q$52,$B34&amp;" ~*")=0),($R34+COUNTIF($H$122:$H126,$B34)+COUNTIF($H$122:$H126,$B34&amp;" ~*"))*1000+IF(BB127&gt;100,500,0)+15,"")</f>
        <v/>
      </c>
      <c r="CB127">
        <f>IF(AND(BC127&lt;&gt;"",COUNTIF($O$52:$Q$52,$B35)+COUNTIF($O$52:$Q$52,$B35&amp;" ~*")=0),($R35+COUNTIF($H$122:$H126,$B35)+COUNTIF($H$122:$H126,$B35&amp;" ~*"))*1000+IF(BC127&gt;100,500,0)+16,"")</f>
        <v/>
      </c>
      <c r="CC127">
        <f>IF(AND(BD127&lt;&gt;"",COUNTIF($O$52:$Q$52,$B36)+COUNTIF($O$52:$Q$52,$B36&amp;" ~*")=0),($R36+COUNTIF($H$122:$H126,$B36)+COUNTIF($H$122:$H126,$B36&amp;" ~*"))*1000+IF(BD127&gt;100,500,0)+17,"")</f>
        <v/>
      </c>
      <c r="CD127">
        <f>IF(AND(BE127&lt;&gt;"",COUNTIF($O$52:$Q$52,$B37)+COUNTIF($O$52:$Q$52,$B37&amp;" ~*")=0),($R37+COUNTIF($H$122:$H126,$B37)+COUNTIF($H$122:$H126,$B37&amp;" ~*"))*1000+IF(BE127&gt;100,500,0)+18,"")</f>
        <v/>
      </c>
      <c r="CE127">
        <f>IF(AND(BF127&lt;&gt;"",COUNTIF($O$52:$Q$52,$B38)+COUNTIF($O$52:$Q$52,$B38&amp;" ~*")=0),($R38+COUNTIF($H$122:$H126,$B38)+COUNTIF($H$122:$H126,$B38&amp;" ~*"))*1000+IF(BF127&gt;100,500,0)+19,"")</f>
        <v/>
      </c>
      <c r="CF127">
        <f>IF(AND(BG127&lt;&gt;"",COUNTIF($O$52:$Q$52,$B39)+COUNTIF($O$52:$Q$52,$B39&amp;" ~*")=0),($R39+COUNTIF($H$122:$H126,$B39)+COUNTIF($H$122:$H126,$B39&amp;" ~*"))*1000+IF(BG127&gt;100,500,0)+20,"")</f>
        <v/>
      </c>
      <c r="CG127">
        <f>IF(AND(BH127&lt;&gt;"",COUNTIF($O$52:$Q$52,$B40)+COUNTIF($O$52:$Q$52,$B40&amp;" ~*")=0),($R40+COUNTIF($H$122:$H126,$B40)+COUNTIF($H$122:$H126,$B40&amp;" ~*"))*1000+IF(BH127&gt;100,500,0)+21,"")</f>
        <v/>
      </c>
      <c r="CH127">
        <f>IF(AND(BI127&lt;&gt;"",COUNTIF($O$52:$Q$52,$B41)+COUNTIF($O$52:$Q$52,$B41&amp;" ~*")=0),($R41+COUNTIF($H$122:$H126,$B41)+COUNTIF($H$122:$H126,$B41&amp;" ~*"))*1000+IF(BI127&gt;100,500,0)+22,"")</f>
        <v/>
      </c>
      <c r="CI127">
        <f>IF(AND(BJ127&lt;&gt;"",COUNTIF($O$52:$Q$52,$B42)+COUNTIF($O$52:$Q$52,$B42&amp;" ~*")=0),($R42+COUNTIF($H$122:$H126,$B42)+COUNTIF($H$122:$H126,$B42&amp;" ~*"))*1000+IF(BJ127&gt;100,500,0)+23,"")</f>
        <v/>
      </c>
      <c r="CJ127">
        <f>IF(AND(BK127&lt;&gt;"",COUNTIF($O$52:$Q$52,$B43)+COUNTIF($O$52:$Q$52,$B43&amp;" ~*")=0),($R43+COUNTIF($H$122:$H126,$B43)+COUNTIF($H$122:$H126,$B43&amp;" ~*"))*1000+IF(BK127&gt;100,500,0)+24,"")</f>
        <v/>
      </c>
    </row>
    <row r="128">
      <c r="A128" t="n">
        <v>4</v>
      </c>
      <c r="B128" t="n">
        <v>7</v>
      </c>
      <c r="C128">
        <f>$B$53</f>
        <v/>
      </c>
      <c r="D128" t="inlineStr">
        <is>
          <t>Thu</t>
        </is>
      </c>
      <c r="E128">
        <f>IF(C128="","",N($AB$53))</f>
        <v/>
      </c>
      <c r="F128">
        <f>IF(C128="","",COUNTIF($O$53:$Q$53,"?*"))</f>
        <v/>
      </c>
      <c r="G128">
        <f>IF(C128="","",MAX(0,E128-F128))</f>
        <v/>
      </c>
      <c r="H128">
        <f>IF(N(G128)=0,"",IF(COUNT(BM128:CJ128)=0,"no-one eligible",INDEX(Engine!$B$20:$B$43,MOD(MIN(BM128:CJ128),500))&amp;IF(MOD(MIN(BM128:CJ128),1000)&gt;=500," *","")))</f>
        <v/>
      </c>
      <c r="I128">
        <f>IF(N(G128)&gt;0,COUNTIF($G$68:G128,"&gt;0"),"")</f>
        <v/>
      </c>
      <c r="J128">
        <f>IF(C128="","",IF($O$53="",0,IF(IFERROR(INDEX(Setup!$O$6:$AL$23,7,MATCH(SUBSTITUTE($O$53," *",""),Setup!$B$6:$B$29,0)),"")="",1,0))+IF($P$53="",0,IF(IFERROR(INDEX(Setup!$O$6:$AL$23,7,MATCH(SUBSTITUTE($P$53," *",""),Setup!$B$6:$B$29,0)),"")="",1,0))+IF($Q$53="",0,IF(IFERROR(INDEX(Setup!$O$6:$AL$23,7,MATCH(SUBSTITUTE($Q$53," *",""),Setup!$B$6:$B$29,0)),"")="",1,0)))</f>
        <v/>
      </c>
      <c r="K128">
        <f>IF($B$12+3=TODAY(),1,0)</f>
        <v/>
      </c>
      <c r="N128">
        <f>COUNT($AN128:$BK128)</f>
        <v/>
      </c>
      <c r="O128">
        <f>IF(1&gt;$N128,"",INDEX(Engine!$B$20:$B$43,MOD(SMALL($AN128:$BK128,1),100))&amp;IF(SMALL($AN128:$BK128,1)&gt;100," *",""))</f>
        <v/>
      </c>
      <c r="P128">
        <f>IF(2&gt;$N128,"",INDEX(Engine!$B$20:$B$43,MOD(SMALL($AN128:$BK128,2),100))&amp;IF(SMALL($AN128:$BK128,2)&gt;100," *",""))</f>
        <v/>
      </c>
      <c r="Q128">
        <f>IF(3&gt;$N128,"",INDEX(Engine!$B$20:$B$43,MOD(SMALL($AN128:$BK128,3),100))&amp;IF(SMALL($AN128:$BK128,3)&gt;100," *",""))</f>
        <v/>
      </c>
      <c r="R128">
        <f>IF(4&gt;$N128,"",INDEX(Engine!$B$20:$B$43,MOD(SMALL($AN128:$BK128,4),100))&amp;IF(SMALL($AN128:$BK128,4)&gt;100," *",""))</f>
        <v/>
      </c>
      <c r="S128">
        <f>IF(5&gt;$N128,"",INDEX(Engine!$B$20:$B$43,MOD(SMALL($AN128:$BK128,5),100))&amp;IF(SMALL($AN128:$BK128,5)&gt;100," *",""))</f>
        <v/>
      </c>
      <c r="T128">
        <f>IF(6&gt;$N128,"",INDEX(Engine!$B$20:$B$43,MOD(SMALL($AN128:$BK128,6),100))&amp;IF(SMALL($AN128:$BK128,6)&gt;100," *",""))</f>
        <v/>
      </c>
      <c r="U128">
        <f>IF(7&gt;$N128,"",INDEX(Engine!$B$20:$B$43,MOD(SMALL($AN128:$BK128,7),100))&amp;IF(SMALL($AN128:$BK128,7)&gt;100," *",""))</f>
        <v/>
      </c>
      <c r="V128">
        <f>IF(8&gt;$N128,"",INDEX(Engine!$B$20:$B$43,MOD(SMALL($AN128:$BK128,8),100))&amp;IF(SMALL($AN128:$BK128,8)&gt;100," *",""))</f>
        <v/>
      </c>
      <c r="W128">
        <f>IF(9&gt;$N128,"",INDEX(Engine!$B$20:$B$43,MOD(SMALL($AN128:$BK128,9),100))&amp;IF(SMALL($AN128:$BK128,9)&gt;100," *",""))</f>
        <v/>
      </c>
      <c r="X128">
        <f>IF(10&gt;$N128,"",INDEX(Engine!$B$20:$B$43,MOD(SMALL($AN128:$BK128,10),100))&amp;IF(SMALL($AN128:$BK128,10)&gt;100," *",""))</f>
        <v/>
      </c>
      <c r="Y128">
        <f>IF(11&gt;$N128,"",INDEX(Engine!$B$20:$B$43,MOD(SMALL($AN128:$BK128,11),100))&amp;IF(SMALL($AN128:$BK128,11)&gt;100," *",""))</f>
        <v/>
      </c>
      <c r="Z128">
        <f>IF(12&gt;$N128,"",INDEX(Engine!$B$20:$B$43,MOD(SMALL($AN128:$BK128,12),100))&amp;IF(SMALL($AN128:$BK128,12)&gt;100," *",""))</f>
        <v/>
      </c>
      <c r="AA128">
        <f>IF(13&gt;$N128,"",INDEX(Engine!$B$20:$B$43,MOD(SMALL($AN128:$BK128,13),100))&amp;IF(SMALL($AN128:$BK128,13)&gt;100," *",""))</f>
        <v/>
      </c>
      <c r="AB128">
        <f>IF(14&gt;$N128,"",INDEX(Engine!$B$20:$B$43,MOD(SMALL($AN128:$BK128,14),100))&amp;IF(SMALL($AN128:$BK128,14)&gt;100," *",""))</f>
        <v/>
      </c>
      <c r="AC128">
        <f>IF(15&gt;$N128,"",INDEX(Engine!$B$20:$B$43,MOD(SMALL($AN128:$BK128,15),100))&amp;IF(SMALL($AN128:$BK128,15)&gt;100," *",""))</f>
        <v/>
      </c>
      <c r="AD128">
        <f>IF(16&gt;$N128,"",INDEX(Engine!$B$20:$B$43,MOD(SMALL($AN128:$BK128,16),100))&amp;IF(SMALL($AN128:$BK128,16)&gt;100," *",""))</f>
        <v/>
      </c>
      <c r="AE128">
        <f>IF(17&gt;$N128,"",INDEX(Engine!$B$20:$B$43,MOD(SMALL($AN128:$BK128,17),100))&amp;IF(SMALL($AN128:$BK128,17)&gt;100," *",""))</f>
        <v/>
      </c>
      <c r="AF128">
        <f>IF(18&gt;$N128,"",INDEX(Engine!$B$20:$B$43,MOD(SMALL($AN128:$BK128,18),100))&amp;IF(SMALL($AN128:$BK128,18)&gt;100," *",""))</f>
        <v/>
      </c>
      <c r="AG128">
        <f>IF(19&gt;$N128,"",INDEX(Engine!$B$20:$B$43,MOD(SMALL($AN128:$BK128,19),100))&amp;IF(SMALL($AN128:$BK128,19)&gt;100," *",""))</f>
        <v/>
      </c>
      <c r="AH128">
        <f>IF(20&gt;$N128,"",INDEX(Engine!$B$20:$B$43,MOD(SMALL($AN128:$BK128,20),100))&amp;IF(SMALL($AN128:$BK128,20)&gt;100," *",""))</f>
        <v/>
      </c>
      <c r="AI128">
        <f>IF(21&gt;$N128,"",INDEX(Engine!$B$20:$B$43,MOD(SMALL($AN128:$BK128,21),100))&amp;IF(SMALL($AN128:$BK128,21)&gt;100," *",""))</f>
        <v/>
      </c>
      <c r="AJ128">
        <f>IF(22&gt;$N128,"",INDEX(Engine!$B$20:$B$43,MOD(SMALL($AN128:$BK128,22),100))&amp;IF(SMALL($AN128:$BK128,22)&gt;100," *",""))</f>
        <v/>
      </c>
      <c r="AK128">
        <f>IF(23&gt;$N128,"",INDEX(Engine!$B$20:$B$43,MOD(SMALL($AN128:$BK128,23),100))&amp;IF(SMALL($AN128:$BK128,23)&gt;100," *",""))</f>
        <v/>
      </c>
      <c r="AL128">
        <f>IF(24&gt;$N128,"",INDEX(Engine!$B$20:$B$43,MOD(SMALL($AN128:$BK128,24),100))&amp;IF(SMALL($AN128:$BK128,24)&gt;100," *",""))</f>
        <v/>
      </c>
      <c r="AN128">
        <f>IF(AND($C20=1,INDEX(Setup!$O$6:$AL$23,7,1)&lt;&gt;"",N20=0),1+IF(INDEX(Setup!$O$6:$AL$23,7,1)="T",100,0),"")</f>
        <v/>
      </c>
      <c r="AO128">
        <f>IF(AND($C21=1,INDEX(Setup!$O$6:$AL$23,7,2)&lt;&gt;"",N21=0),2+IF(INDEX(Setup!$O$6:$AL$23,7,2)="T",100,0),"")</f>
        <v/>
      </c>
      <c r="AP128">
        <f>IF(AND($C22=1,INDEX(Setup!$O$6:$AL$23,7,3)&lt;&gt;"",N22=0),3+IF(INDEX(Setup!$O$6:$AL$23,7,3)="T",100,0),"")</f>
        <v/>
      </c>
      <c r="AQ128">
        <f>IF(AND($C23=1,INDEX(Setup!$O$6:$AL$23,7,4)&lt;&gt;"",N23=0),4+IF(INDEX(Setup!$O$6:$AL$23,7,4)="T",100,0),"")</f>
        <v/>
      </c>
      <c r="AR128">
        <f>IF(AND($C24=1,INDEX(Setup!$O$6:$AL$23,7,5)&lt;&gt;"",N24=0),5+IF(INDEX(Setup!$O$6:$AL$23,7,5)="T",100,0),"")</f>
        <v/>
      </c>
      <c r="AS128">
        <f>IF(AND($C25=1,INDEX(Setup!$O$6:$AL$23,7,6)&lt;&gt;"",N25=0),6+IF(INDEX(Setup!$O$6:$AL$23,7,6)="T",100,0),"")</f>
        <v/>
      </c>
      <c r="AT128">
        <f>IF(AND($C26=1,INDEX(Setup!$O$6:$AL$23,7,7)&lt;&gt;"",N26=0),7+IF(INDEX(Setup!$O$6:$AL$23,7,7)="T",100,0),"")</f>
        <v/>
      </c>
      <c r="AU128">
        <f>IF(AND($C27=1,INDEX(Setup!$O$6:$AL$23,7,8)&lt;&gt;"",N27=0),8+IF(INDEX(Setup!$O$6:$AL$23,7,8)="T",100,0),"")</f>
        <v/>
      </c>
      <c r="AV128">
        <f>IF(AND($C28=1,INDEX(Setup!$O$6:$AL$23,7,9)&lt;&gt;"",N28=0),9+IF(INDEX(Setup!$O$6:$AL$23,7,9)="T",100,0),"")</f>
        <v/>
      </c>
      <c r="AW128">
        <f>IF(AND($C29=1,INDEX(Setup!$O$6:$AL$23,7,10)&lt;&gt;"",N29=0),10+IF(INDEX(Setup!$O$6:$AL$23,7,10)="T",100,0),"")</f>
        <v/>
      </c>
      <c r="AX128">
        <f>IF(AND($C30=1,INDEX(Setup!$O$6:$AL$23,7,11)&lt;&gt;"",N30=0),11+IF(INDEX(Setup!$O$6:$AL$23,7,11)="T",100,0),"")</f>
        <v/>
      </c>
      <c r="AY128">
        <f>IF(AND($C31=1,INDEX(Setup!$O$6:$AL$23,7,12)&lt;&gt;"",N31=0),12+IF(INDEX(Setup!$O$6:$AL$23,7,12)="T",100,0),"")</f>
        <v/>
      </c>
      <c r="AZ128">
        <f>IF(AND($C32=1,INDEX(Setup!$O$6:$AL$23,7,13)&lt;&gt;"",N32=0),13+IF(INDEX(Setup!$O$6:$AL$23,7,13)="T",100,0),"")</f>
        <v/>
      </c>
      <c r="BA128">
        <f>IF(AND($C33=1,INDEX(Setup!$O$6:$AL$23,7,14)&lt;&gt;"",N33=0),14+IF(INDEX(Setup!$O$6:$AL$23,7,14)="T",100,0),"")</f>
        <v/>
      </c>
      <c r="BB128">
        <f>IF(AND($C34=1,INDEX(Setup!$O$6:$AL$23,7,15)&lt;&gt;"",N34=0),15+IF(INDEX(Setup!$O$6:$AL$23,7,15)="T",100,0),"")</f>
        <v/>
      </c>
      <c r="BC128">
        <f>IF(AND($C35=1,INDEX(Setup!$O$6:$AL$23,7,16)&lt;&gt;"",N35=0),16+IF(INDEX(Setup!$O$6:$AL$23,7,16)="T",100,0),"")</f>
        <v/>
      </c>
      <c r="BD128">
        <f>IF(AND($C36=1,INDEX(Setup!$O$6:$AL$23,7,17)&lt;&gt;"",N36=0),17+IF(INDEX(Setup!$O$6:$AL$23,7,17)="T",100,0),"")</f>
        <v/>
      </c>
      <c r="BE128">
        <f>IF(AND($C37=1,INDEX(Setup!$O$6:$AL$23,7,18)&lt;&gt;"",N37=0),18+IF(INDEX(Setup!$O$6:$AL$23,7,18)="T",100,0),"")</f>
        <v/>
      </c>
      <c r="BF128">
        <f>IF(AND($C38=1,INDEX(Setup!$O$6:$AL$23,7,19)&lt;&gt;"",N38=0),19+IF(INDEX(Setup!$O$6:$AL$23,7,19)="T",100,0),"")</f>
        <v/>
      </c>
      <c r="BG128">
        <f>IF(AND($C39=1,INDEX(Setup!$O$6:$AL$23,7,20)&lt;&gt;"",N39=0),20+IF(INDEX(Setup!$O$6:$AL$23,7,20)="T",100,0),"")</f>
        <v/>
      </c>
      <c r="BH128">
        <f>IF(AND($C40=1,INDEX(Setup!$O$6:$AL$23,7,21)&lt;&gt;"",N40=0),21+IF(INDEX(Setup!$O$6:$AL$23,7,21)="T",100,0),"")</f>
        <v/>
      </c>
      <c r="BI128">
        <f>IF(AND($C41=1,INDEX(Setup!$O$6:$AL$23,7,22)&lt;&gt;"",N41=0),22+IF(INDEX(Setup!$O$6:$AL$23,7,22)="T",100,0),"")</f>
        <v/>
      </c>
      <c r="BJ128">
        <f>IF(AND($C42=1,INDEX(Setup!$O$6:$AL$23,7,23)&lt;&gt;"",N42=0),23+IF(INDEX(Setup!$O$6:$AL$23,7,23)="T",100,0),"")</f>
        <v/>
      </c>
      <c r="BK128">
        <f>IF(AND($C43=1,INDEX(Setup!$O$6:$AL$23,7,24)&lt;&gt;"",N43=0),24+IF(INDEX(Setup!$O$6:$AL$23,7,24)="T",100,0),"")</f>
        <v/>
      </c>
      <c r="BM128">
        <f>IF(AND(AN128&lt;&gt;"",COUNTIF($O$53:$Q$53,$B20)+COUNTIF($O$53:$Q$53,$B20&amp;" ~*")=0),($R20+COUNTIF($H$122:$H127,$B20)+COUNTIF($H$122:$H127,$B20&amp;" ~*"))*1000+IF(AN128&gt;100,500,0)+1,"")</f>
        <v/>
      </c>
      <c r="BN128">
        <f>IF(AND(AO128&lt;&gt;"",COUNTIF($O$53:$Q$53,$B21)+COUNTIF($O$53:$Q$53,$B21&amp;" ~*")=0),($R21+COUNTIF($H$122:$H127,$B21)+COUNTIF($H$122:$H127,$B21&amp;" ~*"))*1000+IF(AO128&gt;100,500,0)+2,"")</f>
        <v/>
      </c>
      <c r="BO128">
        <f>IF(AND(AP128&lt;&gt;"",COUNTIF($O$53:$Q$53,$B22)+COUNTIF($O$53:$Q$53,$B22&amp;" ~*")=0),($R22+COUNTIF($H$122:$H127,$B22)+COUNTIF($H$122:$H127,$B22&amp;" ~*"))*1000+IF(AP128&gt;100,500,0)+3,"")</f>
        <v/>
      </c>
      <c r="BP128">
        <f>IF(AND(AQ128&lt;&gt;"",COUNTIF($O$53:$Q$53,$B23)+COUNTIF($O$53:$Q$53,$B23&amp;" ~*")=0),($R23+COUNTIF($H$122:$H127,$B23)+COUNTIF($H$122:$H127,$B23&amp;" ~*"))*1000+IF(AQ128&gt;100,500,0)+4,"")</f>
        <v/>
      </c>
      <c r="BQ128">
        <f>IF(AND(AR128&lt;&gt;"",COUNTIF($O$53:$Q$53,$B24)+COUNTIF($O$53:$Q$53,$B24&amp;" ~*")=0),($R24+COUNTIF($H$122:$H127,$B24)+COUNTIF($H$122:$H127,$B24&amp;" ~*"))*1000+IF(AR128&gt;100,500,0)+5,"")</f>
        <v/>
      </c>
      <c r="BR128">
        <f>IF(AND(AS128&lt;&gt;"",COUNTIF($O$53:$Q$53,$B25)+COUNTIF($O$53:$Q$53,$B25&amp;" ~*")=0),($R25+COUNTIF($H$122:$H127,$B25)+COUNTIF($H$122:$H127,$B25&amp;" ~*"))*1000+IF(AS128&gt;100,500,0)+6,"")</f>
        <v/>
      </c>
      <c r="BS128">
        <f>IF(AND(AT128&lt;&gt;"",COUNTIF($O$53:$Q$53,$B26)+COUNTIF($O$53:$Q$53,$B26&amp;" ~*")=0),($R26+COUNTIF($H$122:$H127,$B26)+COUNTIF($H$122:$H127,$B26&amp;" ~*"))*1000+IF(AT128&gt;100,500,0)+7,"")</f>
        <v/>
      </c>
      <c r="BT128">
        <f>IF(AND(AU128&lt;&gt;"",COUNTIF($O$53:$Q$53,$B27)+COUNTIF($O$53:$Q$53,$B27&amp;" ~*")=0),($R27+COUNTIF($H$122:$H127,$B27)+COUNTIF($H$122:$H127,$B27&amp;" ~*"))*1000+IF(AU128&gt;100,500,0)+8,"")</f>
        <v/>
      </c>
      <c r="BU128">
        <f>IF(AND(AV128&lt;&gt;"",COUNTIF($O$53:$Q$53,$B28)+COUNTIF($O$53:$Q$53,$B28&amp;" ~*")=0),($R28+COUNTIF($H$122:$H127,$B28)+COUNTIF($H$122:$H127,$B28&amp;" ~*"))*1000+IF(AV128&gt;100,500,0)+9,"")</f>
        <v/>
      </c>
      <c r="BV128">
        <f>IF(AND(AW128&lt;&gt;"",COUNTIF($O$53:$Q$53,$B29)+COUNTIF($O$53:$Q$53,$B29&amp;" ~*")=0),($R29+COUNTIF($H$122:$H127,$B29)+COUNTIF($H$122:$H127,$B29&amp;" ~*"))*1000+IF(AW128&gt;100,500,0)+10,"")</f>
        <v/>
      </c>
      <c r="BW128">
        <f>IF(AND(AX128&lt;&gt;"",COUNTIF($O$53:$Q$53,$B30)+COUNTIF($O$53:$Q$53,$B30&amp;" ~*")=0),($R30+COUNTIF($H$122:$H127,$B30)+COUNTIF($H$122:$H127,$B30&amp;" ~*"))*1000+IF(AX128&gt;100,500,0)+11,"")</f>
        <v/>
      </c>
      <c r="BX128">
        <f>IF(AND(AY128&lt;&gt;"",COUNTIF($O$53:$Q$53,$B31)+COUNTIF($O$53:$Q$53,$B31&amp;" ~*")=0),($R31+COUNTIF($H$122:$H127,$B31)+COUNTIF($H$122:$H127,$B31&amp;" ~*"))*1000+IF(AY128&gt;100,500,0)+12,"")</f>
        <v/>
      </c>
      <c r="BY128">
        <f>IF(AND(AZ128&lt;&gt;"",COUNTIF($O$53:$Q$53,$B32)+COUNTIF($O$53:$Q$53,$B32&amp;" ~*")=0),($R32+COUNTIF($H$122:$H127,$B32)+COUNTIF($H$122:$H127,$B32&amp;" ~*"))*1000+IF(AZ128&gt;100,500,0)+13,"")</f>
        <v/>
      </c>
      <c r="BZ128">
        <f>IF(AND(BA128&lt;&gt;"",COUNTIF($O$53:$Q$53,$B33)+COUNTIF($O$53:$Q$53,$B33&amp;" ~*")=0),($R33+COUNTIF($H$122:$H127,$B33)+COUNTIF($H$122:$H127,$B33&amp;" ~*"))*1000+IF(BA128&gt;100,500,0)+14,"")</f>
        <v/>
      </c>
      <c r="CA128">
        <f>IF(AND(BB128&lt;&gt;"",COUNTIF($O$53:$Q$53,$B34)+COUNTIF($O$53:$Q$53,$B34&amp;" ~*")=0),($R34+COUNTIF($H$122:$H127,$B34)+COUNTIF($H$122:$H127,$B34&amp;" ~*"))*1000+IF(BB128&gt;100,500,0)+15,"")</f>
        <v/>
      </c>
      <c r="CB128">
        <f>IF(AND(BC128&lt;&gt;"",COUNTIF($O$53:$Q$53,$B35)+COUNTIF($O$53:$Q$53,$B35&amp;" ~*")=0),($R35+COUNTIF($H$122:$H127,$B35)+COUNTIF($H$122:$H127,$B35&amp;" ~*"))*1000+IF(BC128&gt;100,500,0)+16,"")</f>
        <v/>
      </c>
      <c r="CC128">
        <f>IF(AND(BD128&lt;&gt;"",COUNTIF($O$53:$Q$53,$B36)+COUNTIF($O$53:$Q$53,$B36&amp;" ~*")=0),($R36+COUNTIF($H$122:$H127,$B36)+COUNTIF($H$122:$H127,$B36&amp;" ~*"))*1000+IF(BD128&gt;100,500,0)+17,"")</f>
        <v/>
      </c>
      <c r="CD128">
        <f>IF(AND(BE128&lt;&gt;"",COUNTIF($O$53:$Q$53,$B37)+COUNTIF($O$53:$Q$53,$B37&amp;" ~*")=0),($R37+COUNTIF($H$122:$H127,$B37)+COUNTIF($H$122:$H127,$B37&amp;" ~*"))*1000+IF(BE128&gt;100,500,0)+18,"")</f>
        <v/>
      </c>
      <c r="CE128">
        <f>IF(AND(BF128&lt;&gt;"",COUNTIF($O$53:$Q$53,$B38)+COUNTIF($O$53:$Q$53,$B38&amp;" ~*")=0),($R38+COUNTIF($H$122:$H127,$B38)+COUNTIF($H$122:$H127,$B38&amp;" ~*"))*1000+IF(BF128&gt;100,500,0)+19,"")</f>
        <v/>
      </c>
      <c r="CF128">
        <f>IF(AND(BG128&lt;&gt;"",COUNTIF($O$53:$Q$53,$B39)+COUNTIF($O$53:$Q$53,$B39&amp;" ~*")=0),($R39+COUNTIF($H$122:$H127,$B39)+COUNTIF($H$122:$H127,$B39&amp;" ~*"))*1000+IF(BG128&gt;100,500,0)+20,"")</f>
        <v/>
      </c>
      <c r="CG128">
        <f>IF(AND(BH128&lt;&gt;"",COUNTIF($O$53:$Q$53,$B40)+COUNTIF($O$53:$Q$53,$B40&amp;" ~*")=0),($R40+COUNTIF($H$122:$H127,$B40)+COUNTIF($H$122:$H127,$B40&amp;" ~*"))*1000+IF(BH128&gt;100,500,0)+21,"")</f>
        <v/>
      </c>
      <c r="CH128">
        <f>IF(AND(BI128&lt;&gt;"",COUNTIF($O$53:$Q$53,$B41)+COUNTIF($O$53:$Q$53,$B41&amp;" ~*")=0),($R41+COUNTIF($H$122:$H127,$B41)+COUNTIF($H$122:$H127,$B41&amp;" ~*"))*1000+IF(BI128&gt;100,500,0)+22,"")</f>
        <v/>
      </c>
      <c r="CI128">
        <f>IF(AND(BJ128&lt;&gt;"",COUNTIF($O$53:$Q$53,$B42)+COUNTIF($O$53:$Q$53,$B42&amp;" ~*")=0),($R42+COUNTIF($H$122:$H127,$B42)+COUNTIF($H$122:$H127,$B42&amp;" ~*"))*1000+IF(BJ128&gt;100,500,0)+23,"")</f>
        <v/>
      </c>
      <c r="CJ128">
        <f>IF(AND(BK128&lt;&gt;"",COUNTIF($O$53:$Q$53,$B43)+COUNTIF($O$53:$Q$53,$B43&amp;" ~*")=0),($R43+COUNTIF($H$122:$H127,$B43)+COUNTIF($H$122:$H127,$B43&amp;" ~*"))*1000+IF(BK128&gt;100,500,0)+24,"")</f>
        <v/>
      </c>
    </row>
    <row r="129">
      <c r="A129" t="n">
        <v>4</v>
      </c>
      <c r="B129" t="n">
        <v>8</v>
      </c>
      <c r="C129">
        <f>$B$54</f>
        <v/>
      </c>
      <c r="D129" t="inlineStr">
        <is>
          <t>Thu</t>
        </is>
      </c>
      <c r="E129">
        <f>IF(C129="","",N($AB$54))</f>
        <v/>
      </c>
      <c r="F129">
        <f>IF(C129="","",COUNTIF($O$54:$Q$54,"?*"))</f>
        <v/>
      </c>
      <c r="G129">
        <f>IF(C129="","",MAX(0,E129-F129))</f>
        <v/>
      </c>
      <c r="H129">
        <f>IF(N(G129)=0,"",IF(COUNT(BM129:CJ129)=0,"no-one eligible",INDEX(Engine!$B$20:$B$43,MOD(MIN(BM129:CJ129),500))&amp;IF(MOD(MIN(BM129:CJ129),1000)&gt;=500," *","")))</f>
        <v/>
      </c>
      <c r="I129">
        <f>IF(N(G129)&gt;0,COUNTIF($G$68:G129,"&gt;0"),"")</f>
        <v/>
      </c>
      <c r="J129">
        <f>IF(C129="","",IF($O$54="",0,IF(IFERROR(INDEX(Setup!$O$6:$AL$23,8,MATCH(SUBSTITUTE($O$54," *",""),Setup!$B$6:$B$29,0)),"")="",1,0))+IF($P$54="",0,IF(IFERROR(INDEX(Setup!$O$6:$AL$23,8,MATCH(SUBSTITUTE($P$54," *",""),Setup!$B$6:$B$29,0)),"")="",1,0))+IF($Q$54="",0,IF(IFERROR(INDEX(Setup!$O$6:$AL$23,8,MATCH(SUBSTITUTE($Q$54," *",""),Setup!$B$6:$B$29,0)),"")="",1,0)))</f>
        <v/>
      </c>
      <c r="K129">
        <f>IF($B$12+3=TODAY(),1,0)</f>
        <v/>
      </c>
      <c r="N129">
        <f>COUNT($AN129:$BK129)</f>
        <v/>
      </c>
      <c r="O129">
        <f>IF(1&gt;$N129,"",INDEX(Engine!$B$20:$B$43,MOD(SMALL($AN129:$BK129,1),100))&amp;IF(SMALL($AN129:$BK129,1)&gt;100," *",""))</f>
        <v/>
      </c>
      <c r="P129">
        <f>IF(2&gt;$N129,"",INDEX(Engine!$B$20:$B$43,MOD(SMALL($AN129:$BK129,2),100))&amp;IF(SMALL($AN129:$BK129,2)&gt;100," *",""))</f>
        <v/>
      </c>
      <c r="Q129">
        <f>IF(3&gt;$N129,"",INDEX(Engine!$B$20:$B$43,MOD(SMALL($AN129:$BK129,3),100))&amp;IF(SMALL($AN129:$BK129,3)&gt;100," *",""))</f>
        <v/>
      </c>
      <c r="R129">
        <f>IF(4&gt;$N129,"",INDEX(Engine!$B$20:$B$43,MOD(SMALL($AN129:$BK129,4),100))&amp;IF(SMALL($AN129:$BK129,4)&gt;100," *",""))</f>
        <v/>
      </c>
      <c r="S129">
        <f>IF(5&gt;$N129,"",INDEX(Engine!$B$20:$B$43,MOD(SMALL($AN129:$BK129,5),100))&amp;IF(SMALL($AN129:$BK129,5)&gt;100," *",""))</f>
        <v/>
      </c>
      <c r="T129">
        <f>IF(6&gt;$N129,"",INDEX(Engine!$B$20:$B$43,MOD(SMALL($AN129:$BK129,6),100))&amp;IF(SMALL($AN129:$BK129,6)&gt;100," *",""))</f>
        <v/>
      </c>
      <c r="U129">
        <f>IF(7&gt;$N129,"",INDEX(Engine!$B$20:$B$43,MOD(SMALL($AN129:$BK129,7),100))&amp;IF(SMALL($AN129:$BK129,7)&gt;100," *",""))</f>
        <v/>
      </c>
      <c r="V129">
        <f>IF(8&gt;$N129,"",INDEX(Engine!$B$20:$B$43,MOD(SMALL($AN129:$BK129,8),100))&amp;IF(SMALL($AN129:$BK129,8)&gt;100," *",""))</f>
        <v/>
      </c>
      <c r="W129">
        <f>IF(9&gt;$N129,"",INDEX(Engine!$B$20:$B$43,MOD(SMALL($AN129:$BK129,9),100))&amp;IF(SMALL($AN129:$BK129,9)&gt;100," *",""))</f>
        <v/>
      </c>
      <c r="X129">
        <f>IF(10&gt;$N129,"",INDEX(Engine!$B$20:$B$43,MOD(SMALL($AN129:$BK129,10),100))&amp;IF(SMALL($AN129:$BK129,10)&gt;100," *",""))</f>
        <v/>
      </c>
      <c r="Y129">
        <f>IF(11&gt;$N129,"",INDEX(Engine!$B$20:$B$43,MOD(SMALL($AN129:$BK129,11),100))&amp;IF(SMALL($AN129:$BK129,11)&gt;100," *",""))</f>
        <v/>
      </c>
      <c r="Z129">
        <f>IF(12&gt;$N129,"",INDEX(Engine!$B$20:$B$43,MOD(SMALL($AN129:$BK129,12),100))&amp;IF(SMALL($AN129:$BK129,12)&gt;100," *",""))</f>
        <v/>
      </c>
      <c r="AA129">
        <f>IF(13&gt;$N129,"",INDEX(Engine!$B$20:$B$43,MOD(SMALL($AN129:$BK129,13),100))&amp;IF(SMALL($AN129:$BK129,13)&gt;100," *",""))</f>
        <v/>
      </c>
      <c r="AB129">
        <f>IF(14&gt;$N129,"",INDEX(Engine!$B$20:$B$43,MOD(SMALL($AN129:$BK129,14),100))&amp;IF(SMALL($AN129:$BK129,14)&gt;100," *",""))</f>
        <v/>
      </c>
      <c r="AC129">
        <f>IF(15&gt;$N129,"",INDEX(Engine!$B$20:$B$43,MOD(SMALL($AN129:$BK129,15),100))&amp;IF(SMALL($AN129:$BK129,15)&gt;100," *",""))</f>
        <v/>
      </c>
      <c r="AD129">
        <f>IF(16&gt;$N129,"",INDEX(Engine!$B$20:$B$43,MOD(SMALL($AN129:$BK129,16),100))&amp;IF(SMALL($AN129:$BK129,16)&gt;100," *",""))</f>
        <v/>
      </c>
      <c r="AE129">
        <f>IF(17&gt;$N129,"",INDEX(Engine!$B$20:$B$43,MOD(SMALL($AN129:$BK129,17),100))&amp;IF(SMALL($AN129:$BK129,17)&gt;100," *",""))</f>
        <v/>
      </c>
      <c r="AF129">
        <f>IF(18&gt;$N129,"",INDEX(Engine!$B$20:$B$43,MOD(SMALL($AN129:$BK129,18),100))&amp;IF(SMALL($AN129:$BK129,18)&gt;100," *",""))</f>
        <v/>
      </c>
      <c r="AG129">
        <f>IF(19&gt;$N129,"",INDEX(Engine!$B$20:$B$43,MOD(SMALL($AN129:$BK129,19),100))&amp;IF(SMALL($AN129:$BK129,19)&gt;100," *",""))</f>
        <v/>
      </c>
      <c r="AH129">
        <f>IF(20&gt;$N129,"",INDEX(Engine!$B$20:$B$43,MOD(SMALL($AN129:$BK129,20),100))&amp;IF(SMALL($AN129:$BK129,20)&gt;100," *",""))</f>
        <v/>
      </c>
      <c r="AI129">
        <f>IF(21&gt;$N129,"",INDEX(Engine!$B$20:$B$43,MOD(SMALL($AN129:$BK129,21),100))&amp;IF(SMALL($AN129:$BK129,21)&gt;100," *",""))</f>
        <v/>
      </c>
      <c r="AJ129">
        <f>IF(22&gt;$N129,"",INDEX(Engine!$B$20:$B$43,MOD(SMALL($AN129:$BK129,22),100))&amp;IF(SMALL($AN129:$BK129,22)&gt;100," *",""))</f>
        <v/>
      </c>
      <c r="AK129">
        <f>IF(23&gt;$N129,"",INDEX(Engine!$B$20:$B$43,MOD(SMALL($AN129:$BK129,23),100))&amp;IF(SMALL($AN129:$BK129,23)&gt;100," *",""))</f>
        <v/>
      </c>
      <c r="AL129">
        <f>IF(24&gt;$N129,"",INDEX(Engine!$B$20:$B$43,MOD(SMALL($AN129:$BK129,24),100))&amp;IF(SMALL($AN129:$BK129,24)&gt;100," *",""))</f>
        <v/>
      </c>
      <c r="AN129">
        <f>IF(AND($C20=1,INDEX(Setup!$O$6:$AL$23,8,1)&lt;&gt;"",N20=0),1+IF(INDEX(Setup!$O$6:$AL$23,8,1)="T",100,0),"")</f>
        <v/>
      </c>
      <c r="AO129">
        <f>IF(AND($C21=1,INDEX(Setup!$O$6:$AL$23,8,2)&lt;&gt;"",N21=0),2+IF(INDEX(Setup!$O$6:$AL$23,8,2)="T",100,0),"")</f>
        <v/>
      </c>
      <c r="AP129">
        <f>IF(AND($C22=1,INDEX(Setup!$O$6:$AL$23,8,3)&lt;&gt;"",N22=0),3+IF(INDEX(Setup!$O$6:$AL$23,8,3)="T",100,0),"")</f>
        <v/>
      </c>
      <c r="AQ129">
        <f>IF(AND($C23=1,INDEX(Setup!$O$6:$AL$23,8,4)&lt;&gt;"",N23=0),4+IF(INDEX(Setup!$O$6:$AL$23,8,4)="T",100,0),"")</f>
        <v/>
      </c>
      <c r="AR129">
        <f>IF(AND($C24=1,INDEX(Setup!$O$6:$AL$23,8,5)&lt;&gt;"",N24=0),5+IF(INDEX(Setup!$O$6:$AL$23,8,5)="T",100,0),"")</f>
        <v/>
      </c>
      <c r="AS129">
        <f>IF(AND($C25=1,INDEX(Setup!$O$6:$AL$23,8,6)&lt;&gt;"",N25=0),6+IF(INDEX(Setup!$O$6:$AL$23,8,6)="T",100,0),"")</f>
        <v/>
      </c>
      <c r="AT129">
        <f>IF(AND($C26=1,INDEX(Setup!$O$6:$AL$23,8,7)&lt;&gt;"",N26=0),7+IF(INDEX(Setup!$O$6:$AL$23,8,7)="T",100,0),"")</f>
        <v/>
      </c>
      <c r="AU129">
        <f>IF(AND($C27=1,INDEX(Setup!$O$6:$AL$23,8,8)&lt;&gt;"",N27=0),8+IF(INDEX(Setup!$O$6:$AL$23,8,8)="T",100,0),"")</f>
        <v/>
      </c>
      <c r="AV129">
        <f>IF(AND($C28=1,INDEX(Setup!$O$6:$AL$23,8,9)&lt;&gt;"",N28=0),9+IF(INDEX(Setup!$O$6:$AL$23,8,9)="T",100,0),"")</f>
        <v/>
      </c>
      <c r="AW129">
        <f>IF(AND($C29=1,INDEX(Setup!$O$6:$AL$23,8,10)&lt;&gt;"",N29=0),10+IF(INDEX(Setup!$O$6:$AL$23,8,10)="T",100,0),"")</f>
        <v/>
      </c>
      <c r="AX129">
        <f>IF(AND($C30=1,INDEX(Setup!$O$6:$AL$23,8,11)&lt;&gt;"",N30=0),11+IF(INDEX(Setup!$O$6:$AL$23,8,11)="T",100,0),"")</f>
        <v/>
      </c>
      <c r="AY129">
        <f>IF(AND($C31=1,INDEX(Setup!$O$6:$AL$23,8,12)&lt;&gt;"",N31=0),12+IF(INDEX(Setup!$O$6:$AL$23,8,12)="T",100,0),"")</f>
        <v/>
      </c>
      <c r="AZ129">
        <f>IF(AND($C32=1,INDEX(Setup!$O$6:$AL$23,8,13)&lt;&gt;"",N32=0),13+IF(INDEX(Setup!$O$6:$AL$23,8,13)="T",100,0),"")</f>
        <v/>
      </c>
      <c r="BA129">
        <f>IF(AND($C33=1,INDEX(Setup!$O$6:$AL$23,8,14)&lt;&gt;"",N33=0),14+IF(INDEX(Setup!$O$6:$AL$23,8,14)="T",100,0),"")</f>
        <v/>
      </c>
      <c r="BB129">
        <f>IF(AND($C34=1,INDEX(Setup!$O$6:$AL$23,8,15)&lt;&gt;"",N34=0),15+IF(INDEX(Setup!$O$6:$AL$23,8,15)="T",100,0),"")</f>
        <v/>
      </c>
      <c r="BC129">
        <f>IF(AND($C35=1,INDEX(Setup!$O$6:$AL$23,8,16)&lt;&gt;"",N35=0),16+IF(INDEX(Setup!$O$6:$AL$23,8,16)="T",100,0),"")</f>
        <v/>
      </c>
      <c r="BD129">
        <f>IF(AND($C36=1,INDEX(Setup!$O$6:$AL$23,8,17)&lt;&gt;"",N36=0),17+IF(INDEX(Setup!$O$6:$AL$23,8,17)="T",100,0),"")</f>
        <v/>
      </c>
      <c r="BE129">
        <f>IF(AND($C37=1,INDEX(Setup!$O$6:$AL$23,8,18)&lt;&gt;"",N37=0),18+IF(INDEX(Setup!$O$6:$AL$23,8,18)="T",100,0),"")</f>
        <v/>
      </c>
      <c r="BF129">
        <f>IF(AND($C38=1,INDEX(Setup!$O$6:$AL$23,8,19)&lt;&gt;"",N38=0),19+IF(INDEX(Setup!$O$6:$AL$23,8,19)="T",100,0),"")</f>
        <v/>
      </c>
      <c r="BG129">
        <f>IF(AND($C39=1,INDEX(Setup!$O$6:$AL$23,8,20)&lt;&gt;"",N39=0),20+IF(INDEX(Setup!$O$6:$AL$23,8,20)="T",100,0),"")</f>
        <v/>
      </c>
      <c r="BH129">
        <f>IF(AND($C40=1,INDEX(Setup!$O$6:$AL$23,8,21)&lt;&gt;"",N40=0),21+IF(INDEX(Setup!$O$6:$AL$23,8,21)="T",100,0),"")</f>
        <v/>
      </c>
      <c r="BI129">
        <f>IF(AND($C41=1,INDEX(Setup!$O$6:$AL$23,8,22)&lt;&gt;"",N41=0),22+IF(INDEX(Setup!$O$6:$AL$23,8,22)="T",100,0),"")</f>
        <v/>
      </c>
      <c r="BJ129">
        <f>IF(AND($C42=1,INDEX(Setup!$O$6:$AL$23,8,23)&lt;&gt;"",N42=0),23+IF(INDEX(Setup!$O$6:$AL$23,8,23)="T",100,0),"")</f>
        <v/>
      </c>
      <c r="BK129">
        <f>IF(AND($C43=1,INDEX(Setup!$O$6:$AL$23,8,24)&lt;&gt;"",N43=0),24+IF(INDEX(Setup!$O$6:$AL$23,8,24)="T",100,0),"")</f>
        <v/>
      </c>
      <c r="BM129">
        <f>IF(AND(AN129&lt;&gt;"",COUNTIF($O$54:$Q$54,$B20)+COUNTIF($O$54:$Q$54,$B20&amp;" ~*")=0),($R20+COUNTIF($H$122:$H128,$B20)+COUNTIF($H$122:$H128,$B20&amp;" ~*"))*1000+IF(AN129&gt;100,500,0)+1,"")</f>
        <v/>
      </c>
      <c r="BN129">
        <f>IF(AND(AO129&lt;&gt;"",COUNTIF($O$54:$Q$54,$B21)+COUNTIF($O$54:$Q$54,$B21&amp;" ~*")=0),($R21+COUNTIF($H$122:$H128,$B21)+COUNTIF($H$122:$H128,$B21&amp;" ~*"))*1000+IF(AO129&gt;100,500,0)+2,"")</f>
        <v/>
      </c>
      <c r="BO129">
        <f>IF(AND(AP129&lt;&gt;"",COUNTIF($O$54:$Q$54,$B22)+COUNTIF($O$54:$Q$54,$B22&amp;" ~*")=0),($R22+COUNTIF($H$122:$H128,$B22)+COUNTIF($H$122:$H128,$B22&amp;" ~*"))*1000+IF(AP129&gt;100,500,0)+3,"")</f>
        <v/>
      </c>
      <c r="BP129">
        <f>IF(AND(AQ129&lt;&gt;"",COUNTIF($O$54:$Q$54,$B23)+COUNTIF($O$54:$Q$54,$B23&amp;" ~*")=0),($R23+COUNTIF($H$122:$H128,$B23)+COUNTIF($H$122:$H128,$B23&amp;" ~*"))*1000+IF(AQ129&gt;100,500,0)+4,"")</f>
        <v/>
      </c>
      <c r="BQ129">
        <f>IF(AND(AR129&lt;&gt;"",COUNTIF($O$54:$Q$54,$B24)+COUNTIF($O$54:$Q$54,$B24&amp;" ~*")=0),($R24+COUNTIF($H$122:$H128,$B24)+COUNTIF($H$122:$H128,$B24&amp;" ~*"))*1000+IF(AR129&gt;100,500,0)+5,"")</f>
        <v/>
      </c>
      <c r="BR129">
        <f>IF(AND(AS129&lt;&gt;"",COUNTIF($O$54:$Q$54,$B25)+COUNTIF($O$54:$Q$54,$B25&amp;" ~*")=0),($R25+COUNTIF($H$122:$H128,$B25)+COUNTIF($H$122:$H128,$B25&amp;" ~*"))*1000+IF(AS129&gt;100,500,0)+6,"")</f>
        <v/>
      </c>
      <c r="BS129">
        <f>IF(AND(AT129&lt;&gt;"",COUNTIF($O$54:$Q$54,$B26)+COUNTIF($O$54:$Q$54,$B26&amp;" ~*")=0),($R26+COUNTIF($H$122:$H128,$B26)+COUNTIF($H$122:$H128,$B26&amp;" ~*"))*1000+IF(AT129&gt;100,500,0)+7,"")</f>
        <v/>
      </c>
      <c r="BT129">
        <f>IF(AND(AU129&lt;&gt;"",COUNTIF($O$54:$Q$54,$B27)+COUNTIF($O$54:$Q$54,$B27&amp;" ~*")=0),($R27+COUNTIF($H$122:$H128,$B27)+COUNTIF($H$122:$H128,$B27&amp;" ~*"))*1000+IF(AU129&gt;100,500,0)+8,"")</f>
        <v/>
      </c>
      <c r="BU129">
        <f>IF(AND(AV129&lt;&gt;"",COUNTIF($O$54:$Q$54,$B28)+COUNTIF($O$54:$Q$54,$B28&amp;" ~*")=0),($R28+COUNTIF($H$122:$H128,$B28)+COUNTIF($H$122:$H128,$B28&amp;" ~*"))*1000+IF(AV129&gt;100,500,0)+9,"")</f>
        <v/>
      </c>
      <c r="BV129">
        <f>IF(AND(AW129&lt;&gt;"",COUNTIF($O$54:$Q$54,$B29)+COUNTIF($O$54:$Q$54,$B29&amp;" ~*")=0),($R29+COUNTIF($H$122:$H128,$B29)+COUNTIF($H$122:$H128,$B29&amp;" ~*"))*1000+IF(AW129&gt;100,500,0)+10,"")</f>
        <v/>
      </c>
      <c r="BW129">
        <f>IF(AND(AX129&lt;&gt;"",COUNTIF($O$54:$Q$54,$B30)+COUNTIF($O$54:$Q$54,$B30&amp;" ~*")=0),($R30+COUNTIF($H$122:$H128,$B30)+COUNTIF($H$122:$H128,$B30&amp;" ~*"))*1000+IF(AX129&gt;100,500,0)+11,"")</f>
        <v/>
      </c>
      <c r="BX129">
        <f>IF(AND(AY129&lt;&gt;"",COUNTIF($O$54:$Q$54,$B31)+COUNTIF($O$54:$Q$54,$B31&amp;" ~*")=0),($R31+COUNTIF($H$122:$H128,$B31)+COUNTIF($H$122:$H128,$B31&amp;" ~*"))*1000+IF(AY129&gt;100,500,0)+12,"")</f>
        <v/>
      </c>
      <c r="BY129">
        <f>IF(AND(AZ129&lt;&gt;"",COUNTIF($O$54:$Q$54,$B32)+COUNTIF($O$54:$Q$54,$B32&amp;" ~*")=0),($R32+COUNTIF($H$122:$H128,$B32)+COUNTIF($H$122:$H128,$B32&amp;" ~*"))*1000+IF(AZ129&gt;100,500,0)+13,"")</f>
        <v/>
      </c>
      <c r="BZ129">
        <f>IF(AND(BA129&lt;&gt;"",COUNTIF($O$54:$Q$54,$B33)+COUNTIF($O$54:$Q$54,$B33&amp;" ~*")=0),($R33+COUNTIF($H$122:$H128,$B33)+COUNTIF($H$122:$H128,$B33&amp;" ~*"))*1000+IF(BA129&gt;100,500,0)+14,"")</f>
        <v/>
      </c>
      <c r="CA129">
        <f>IF(AND(BB129&lt;&gt;"",COUNTIF($O$54:$Q$54,$B34)+COUNTIF($O$54:$Q$54,$B34&amp;" ~*")=0),($R34+COUNTIF($H$122:$H128,$B34)+COUNTIF($H$122:$H128,$B34&amp;" ~*"))*1000+IF(BB129&gt;100,500,0)+15,"")</f>
        <v/>
      </c>
      <c r="CB129">
        <f>IF(AND(BC129&lt;&gt;"",COUNTIF($O$54:$Q$54,$B35)+COUNTIF($O$54:$Q$54,$B35&amp;" ~*")=0),($R35+COUNTIF($H$122:$H128,$B35)+COUNTIF($H$122:$H128,$B35&amp;" ~*"))*1000+IF(BC129&gt;100,500,0)+16,"")</f>
        <v/>
      </c>
      <c r="CC129">
        <f>IF(AND(BD129&lt;&gt;"",COUNTIF($O$54:$Q$54,$B36)+COUNTIF($O$54:$Q$54,$B36&amp;" ~*")=0),($R36+COUNTIF($H$122:$H128,$B36)+COUNTIF($H$122:$H128,$B36&amp;" ~*"))*1000+IF(BD129&gt;100,500,0)+17,"")</f>
        <v/>
      </c>
      <c r="CD129">
        <f>IF(AND(BE129&lt;&gt;"",COUNTIF($O$54:$Q$54,$B37)+COUNTIF($O$54:$Q$54,$B37&amp;" ~*")=0),($R37+COUNTIF($H$122:$H128,$B37)+COUNTIF($H$122:$H128,$B37&amp;" ~*"))*1000+IF(BE129&gt;100,500,0)+18,"")</f>
        <v/>
      </c>
      <c r="CE129">
        <f>IF(AND(BF129&lt;&gt;"",COUNTIF($O$54:$Q$54,$B38)+COUNTIF($O$54:$Q$54,$B38&amp;" ~*")=0),($R38+COUNTIF($H$122:$H128,$B38)+COUNTIF($H$122:$H128,$B38&amp;" ~*"))*1000+IF(BF129&gt;100,500,0)+19,"")</f>
        <v/>
      </c>
      <c r="CF129">
        <f>IF(AND(BG129&lt;&gt;"",COUNTIF($O$54:$Q$54,$B39)+COUNTIF($O$54:$Q$54,$B39&amp;" ~*")=0),($R39+COUNTIF($H$122:$H128,$B39)+COUNTIF($H$122:$H128,$B39&amp;" ~*"))*1000+IF(BG129&gt;100,500,0)+20,"")</f>
        <v/>
      </c>
      <c r="CG129">
        <f>IF(AND(BH129&lt;&gt;"",COUNTIF($O$54:$Q$54,$B40)+COUNTIF($O$54:$Q$54,$B40&amp;" ~*")=0),($R40+COUNTIF($H$122:$H128,$B40)+COUNTIF($H$122:$H128,$B40&amp;" ~*"))*1000+IF(BH129&gt;100,500,0)+21,"")</f>
        <v/>
      </c>
      <c r="CH129">
        <f>IF(AND(BI129&lt;&gt;"",COUNTIF($O$54:$Q$54,$B41)+COUNTIF($O$54:$Q$54,$B41&amp;" ~*")=0),($R41+COUNTIF($H$122:$H128,$B41)+COUNTIF($H$122:$H128,$B41&amp;" ~*"))*1000+IF(BI129&gt;100,500,0)+22,"")</f>
        <v/>
      </c>
      <c r="CI129">
        <f>IF(AND(BJ129&lt;&gt;"",COUNTIF($O$54:$Q$54,$B42)+COUNTIF($O$54:$Q$54,$B42&amp;" ~*")=0),($R42+COUNTIF($H$122:$H128,$B42)+COUNTIF($H$122:$H128,$B42&amp;" ~*"))*1000+IF(BJ129&gt;100,500,0)+23,"")</f>
        <v/>
      </c>
      <c r="CJ129">
        <f>IF(AND(BK129&lt;&gt;"",COUNTIF($O$54:$Q$54,$B43)+COUNTIF($O$54:$Q$54,$B43&amp;" ~*")=0),($R43+COUNTIF($H$122:$H128,$B43)+COUNTIF($H$122:$H128,$B43&amp;" ~*"))*1000+IF(BK129&gt;100,500,0)+24,"")</f>
        <v/>
      </c>
    </row>
    <row r="130">
      <c r="A130" t="n">
        <v>4</v>
      </c>
      <c r="B130" t="n">
        <v>9</v>
      </c>
      <c r="C130">
        <f>$B$55</f>
        <v/>
      </c>
      <c r="D130" t="inlineStr">
        <is>
          <t>Thu</t>
        </is>
      </c>
      <c r="E130">
        <f>IF(C130="","",N($AB$55))</f>
        <v/>
      </c>
      <c r="F130">
        <f>IF(C130="","",COUNTIF($O$55:$Q$55,"?*"))</f>
        <v/>
      </c>
      <c r="G130">
        <f>IF(C130="","",MAX(0,E130-F130))</f>
        <v/>
      </c>
      <c r="H130">
        <f>IF(N(G130)=0,"",IF(COUNT(BM130:CJ130)=0,"no-one eligible",INDEX(Engine!$B$20:$B$43,MOD(MIN(BM130:CJ130),500))&amp;IF(MOD(MIN(BM130:CJ130),1000)&gt;=500," *","")))</f>
        <v/>
      </c>
      <c r="I130">
        <f>IF(N(G130)&gt;0,COUNTIF($G$68:G130,"&gt;0"),"")</f>
        <v/>
      </c>
      <c r="J130">
        <f>IF(C130="","",IF($O$55="",0,IF(IFERROR(INDEX(Setup!$O$6:$AL$23,9,MATCH(SUBSTITUTE($O$55," *",""),Setup!$B$6:$B$29,0)),"")="",1,0))+IF($P$55="",0,IF(IFERROR(INDEX(Setup!$O$6:$AL$23,9,MATCH(SUBSTITUTE($P$55," *",""),Setup!$B$6:$B$29,0)),"")="",1,0))+IF($Q$55="",0,IF(IFERROR(INDEX(Setup!$O$6:$AL$23,9,MATCH(SUBSTITUTE($Q$55," *",""),Setup!$B$6:$B$29,0)),"")="",1,0)))</f>
        <v/>
      </c>
      <c r="K130">
        <f>IF($B$12+3=TODAY(),1,0)</f>
        <v/>
      </c>
      <c r="N130">
        <f>COUNT($AN130:$BK130)</f>
        <v/>
      </c>
      <c r="O130">
        <f>IF(1&gt;$N130,"",INDEX(Engine!$B$20:$B$43,MOD(SMALL($AN130:$BK130,1),100))&amp;IF(SMALL($AN130:$BK130,1)&gt;100," *",""))</f>
        <v/>
      </c>
      <c r="P130">
        <f>IF(2&gt;$N130,"",INDEX(Engine!$B$20:$B$43,MOD(SMALL($AN130:$BK130,2),100))&amp;IF(SMALL($AN130:$BK130,2)&gt;100," *",""))</f>
        <v/>
      </c>
      <c r="Q130">
        <f>IF(3&gt;$N130,"",INDEX(Engine!$B$20:$B$43,MOD(SMALL($AN130:$BK130,3),100))&amp;IF(SMALL($AN130:$BK130,3)&gt;100," *",""))</f>
        <v/>
      </c>
      <c r="R130">
        <f>IF(4&gt;$N130,"",INDEX(Engine!$B$20:$B$43,MOD(SMALL($AN130:$BK130,4),100))&amp;IF(SMALL($AN130:$BK130,4)&gt;100," *",""))</f>
        <v/>
      </c>
      <c r="S130">
        <f>IF(5&gt;$N130,"",INDEX(Engine!$B$20:$B$43,MOD(SMALL($AN130:$BK130,5),100))&amp;IF(SMALL($AN130:$BK130,5)&gt;100," *",""))</f>
        <v/>
      </c>
      <c r="T130">
        <f>IF(6&gt;$N130,"",INDEX(Engine!$B$20:$B$43,MOD(SMALL($AN130:$BK130,6),100))&amp;IF(SMALL($AN130:$BK130,6)&gt;100," *",""))</f>
        <v/>
      </c>
      <c r="U130">
        <f>IF(7&gt;$N130,"",INDEX(Engine!$B$20:$B$43,MOD(SMALL($AN130:$BK130,7),100))&amp;IF(SMALL($AN130:$BK130,7)&gt;100," *",""))</f>
        <v/>
      </c>
      <c r="V130">
        <f>IF(8&gt;$N130,"",INDEX(Engine!$B$20:$B$43,MOD(SMALL($AN130:$BK130,8),100))&amp;IF(SMALL($AN130:$BK130,8)&gt;100," *",""))</f>
        <v/>
      </c>
      <c r="W130">
        <f>IF(9&gt;$N130,"",INDEX(Engine!$B$20:$B$43,MOD(SMALL($AN130:$BK130,9),100))&amp;IF(SMALL($AN130:$BK130,9)&gt;100," *",""))</f>
        <v/>
      </c>
      <c r="X130">
        <f>IF(10&gt;$N130,"",INDEX(Engine!$B$20:$B$43,MOD(SMALL($AN130:$BK130,10),100))&amp;IF(SMALL($AN130:$BK130,10)&gt;100," *",""))</f>
        <v/>
      </c>
      <c r="Y130">
        <f>IF(11&gt;$N130,"",INDEX(Engine!$B$20:$B$43,MOD(SMALL($AN130:$BK130,11),100))&amp;IF(SMALL($AN130:$BK130,11)&gt;100," *",""))</f>
        <v/>
      </c>
      <c r="Z130">
        <f>IF(12&gt;$N130,"",INDEX(Engine!$B$20:$B$43,MOD(SMALL($AN130:$BK130,12),100))&amp;IF(SMALL($AN130:$BK130,12)&gt;100," *",""))</f>
        <v/>
      </c>
      <c r="AA130">
        <f>IF(13&gt;$N130,"",INDEX(Engine!$B$20:$B$43,MOD(SMALL($AN130:$BK130,13),100))&amp;IF(SMALL($AN130:$BK130,13)&gt;100," *",""))</f>
        <v/>
      </c>
      <c r="AB130">
        <f>IF(14&gt;$N130,"",INDEX(Engine!$B$20:$B$43,MOD(SMALL($AN130:$BK130,14),100))&amp;IF(SMALL($AN130:$BK130,14)&gt;100," *",""))</f>
        <v/>
      </c>
      <c r="AC130">
        <f>IF(15&gt;$N130,"",INDEX(Engine!$B$20:$B$43,MOD(SMALL($AN130:$BK130,15),100))&amp;IF(SMALL($AN130:$BK130,15)&gt;100," *",""))</f>
        <v/>
      </c>
      <c r="AD130">
        <f>IF(16&gt;$N130,"",INDEX(Engine!$B$20:$B$43,MOD(SMALL($AN130:$BK130,16),100))&amp;IF(SMALL($AN130:$BK130,16)&gt;100," *",""))</f>
        <v/>
      </c>
      <c r="AE130">
        <f>IF(17&gt;$N130,"",INDEX(Engine!$B$20:$B$43,MOD(SMALL($AN130:$BK130,17),100))&amp;IF(SMALL($AN130:$BK130,17)&gt;100," *",""))</f>
        <v/>
      </c>
      <c r="AF130">
        <f>IF(18&gt;$N130,"",INDEX(Engine!$B$20:$B$43,MOD(SMALL($AN130:$BK130,18),100))&amp;IF(SMALL($AN130:$BK130,18)&gt;100," *",""))</f>
        <v/>
      </c>
      <c r="AG130">
        <f>IF(19&gt;$N130,"",INDEX(Engine!$B$20:$B$43,MOD(SMALL($AN130:$BK130,19),100))&amp;IF(SMALL($AN130:$BK130,19)&gt;100," *",""))</f>
        <v/>
      </c>
      <c r="AH130">
        <f>IF(20&gt;$N130,"",INDEX(Engine!$B$20:$B$43,MOD(SMALL($AN130:$BK130,20),100))&amp;IF(SMALL($AN130:$BK130,20)&gt;100," *",""))</f>
        <v/>
      </c>
      <c r="AI130">
        <f>IF(21&gt;$N130,"",INDEX(Engine!$B$20:$B$43,MOD(SMALL($AN130:$BK130,21),100))&amp;IF(SMALL($AN130:$BK130,21)&gt;100," *",""))</f>
        <v/>
      </c>
      <c r="AJ130">
        <f>IF(22&gt;$N130,"",INDEX(Engine!$B$20:$B$43,MOD(SMALL($AN130:$BK130,22),100))&amp;IF(SMALL($AN130:$BK130,22)&gt;100," *",""))</f>
        <v/>
      </c>
      <c r="AK130">
        <f>IF(23&gt;$N130,"",INDEX(Engine!$B$20:$B$43,MOD(SMALL($AN130:$BK130,23),100))&amp;IF(SMALL($AN130:$BK130,23)&gt;100," *",""))</f>
        <v/>
      </c>
      <c r="AL130">
        <f>IF(24&gt;$N130,"",INDEX(Engine!$B$20:$B$43,MOD(SMALL($AN130:$BK130,24),100))&amp;IF(SMALL($AN130:$BK130,24)&gt;100," *",""))</f>
        <v/>
      </c>
      <c r="AN130">
        <f>IF(AND($C20=1,INDEX(Setup!$O$6:$AL$23,9,1)&lt;&gt;"",N20=0),1+IF(INDEX(Setup!$O$6:$AL$23,9,1)="T",100,0),"")</f>
        <v/>
      </c>
      <c r="AO130">
        <f>IF(AND($C21=1,INDEX(Setup!$O$6:$AL$23,9,2)&lt;&gt;"",N21=0),2+IF(INDEX(Setup!$O$6:$AL$23,9,2)="T",100,0),"")</f>
        <v/>
      </c>
      <c r="AP130">
        <f>IF(AND($C22=1,INDEX(Setup!$O$6:$AL$23,9,3)&lt;&gt;"",N22=0),3+IF(INDEX(Setup!$O$6:$AL$23,9,3)="T",100,0),"")</f>
        <v/>
      </c>
      <c r="AQ130">
        <f>IF(AND($C23=1,INDEX(Setup!$O$6:$AL$23,9,4)&lt;&gt;"",N23=0),4+IF(INDEX(Setup!$O$6:$AL$23,9,4)="T",100,0),"")</f>
        <v/>
      </c>
      <c r="AR130">
        <f>IF(AND($C24=1,INDEX(Setup!$O$6:$AL$23,9,5)&lt;&gt;"",N24=0),5+IF(INDEX(Setup!$O$6:$AL$23,9,5)="T",100,0),"")</f>
        <v/>
      </c>
      <c r="AS130">
        <f>IF(AND($C25=1,INDEX(Setup!$O$6:$AL$23,9,6)&lt;&gt;"",N25=0),6+IF(INDEX(Setup!$O$6:$AL$23,9,6)="T",100,0),"")</f>
        <v/>
      </c>
      <c r="AT130">
        <f>IF(AND($C26=1,INDEX(Setup!$O$6:$AL$23,9,7)&lt;&gt;"",N26=0),7+IF(INDEX(Setup!$O$6:$AL$23,9,7)="T",100,0),"")</f>
        <v/>
      </c>
      <c r="AU130">
        <f>IF(AND($C27=1,INDEX(Setup!$O$6:$AL$23,9,8)&lt;&gt;"",N27=0),8+IF(INDEX(Setup!$O$6:$AL$23,9,8)="T",100,0),"")</f>
        <v/>
      </c>
      <c r="AV130">
        <f>IF(AND($C28=1,INDEX(Setup!$O$6:$AL$23,9,9)&lt;&gt;"",N28=0),9+IF(INDEX(Setup!$O$6:$AL$23,9,9)="T",100,0),"")</f>
        <v/>
      </c>
      <c r="AW130">
        <f>IF(AND($C29=1,INDEX(Setup!$O$6:$AL$23,9,10)&lt;&gt;"",N29=0),10+IF(INDEX(Setup!$O$6:$AL$23,9,10)="T",100,0),"")</f>
        <v/>
      </c>
      <c r="AX130">
        <f>IF(AND($C30=1,INDEX(Setup!$O$6:$AL$23,9,11)&lt;&gt;"",N30=0),11+IF(INDEX(Setup!$O$6:$AL$23,9,11)="T",100,0),"")</f>
        <v/>
      </c>
      <c r="AY130">
        <f>IF(AND($C31=1,INDEX(Setup!$O$6:$AL$23,9,12)&lt;&gt;"",N31=0),12+IF(INDEX(Setup!$O$6:$AL$23,9,12)="T",100,0),"")</f>
        <v/>
      </c>
      <c r="AZ130">
        <f>IF(AND($C32=1,INDEX(Setup!$O$6:$AL$23,9,13)&lt;&gt;"",N32=0),13+IF(INDEX(Setup!$O$6:$AL$23,9,13)="T",100,0),"")</f>
        <v/>
      </c>
      <c r="BA130">
        <f>IF(AND($C33=1,INDEX(Setup!$O$6:$AL$23,9,14)&lt;&gt;"",N33=0),14+IF(INDEX(Setup!$O$6:$AL$23,9,14)="T",100,0),"")</f>
        <v/>
      </c>
      <c r="BB130">
        <f>IF(AND($C34=1,INDEX(Setup!$O$6:$AL$23,9,15)&lt;&gt;"",N34=0),15+IF(INDEX(Setup!$O$6:$AL$23,9,15)="T",100,0),"")</f>
        <v/>
      </c>
      <c r="BC130">
        <f>IF(AND($C35=1,INDEX(Setup!$O$6:$AL$23,9,16)&lt;&gt;"",N35=0),16+IF(INDEX(Setup!$O$6:$AL$23,9,16)="T",100,0),"")</f>
        <v/>
      </c>
      <c r="BD130">
        <f>IF(AND($C36=1,INDEX(Setup!$O$6:$AL$23,9,17)&lt;&gt;"",N36=0),17+IF(INDEX(Setup!$O$6:$AL$23,9,17)="T",100,0),"")</f>
        <v/>
      </c>
      <c r="BE130">
        <f>IF(AND($C37=1,INDEX(Setup!$O$6:$AL$23,9,18)&lt;&gt;"",N37=0),18+IF(INDEX(Setup!$O$6:$AL$23,9,18)="T",100,0),"")</f>
        <v/>
      </c>
      <c r="BF130">
        <f>IF(AND($C38=1,INDEX(Setup!$O$6:$AL$23,9,19)&lt;&gt;"",N38=0),19+IF(INDEX(Setup!$O$6:$AL$23,9,19)="T",100,0),"")</f>
        <v/>
      </c>
      <c r="BG130">
        <f>IF(AND($C39=1,INDEX(Setup!$O$6:$AL$23,9,20)&lt;&gt;"",N39=0),20+IF(INDEX(Setup!$O$6:$AL$23,9,20)="T",100,0),"")</f>
        <v/>
      </c>
      <c r="BH130">
        <f>IF(AND($C40=1,INDEX(Setup!$O$6:$AL$23,9,21)&lt;&gt;"",N40=0),21+IF(INDEX(Setup!$O$6:$AL$23,9,21)="T",100,0),"")</f>
        <v/>
      </c>
      <c r="BI130">
        <f>IF(AND($C41=1,INDEX(Setup!$O$6:$AL$23,9,22)&lt;&gt;"",N41=0),22+IF(INDEX(Setup!$O$6:$AL$23,9,22)="T",100,0),"")</f>
        <v/>
      </c>
      <c r="BJ130">
        <f>IF(AND($C42=1,INDEX(Setup!$O$6:$AL$23,9,23)&lt;&gt;"",N42=0),23+IF(INDEX(Setup!$O$6:$AL$23,9,23)="T",100,0),"")</f>
        <v/>
      </c>
      <c r="BK130">
        <f>IF(AND($C43=1,INDEX(Setup!$O$6:$AL$23,9,24)&lt;&gt;"",N43=0),24+IF(INDEX(Setup!$O$6:$AL$23,9,24)="T",100,0),"")</f>
        <v/>
      </c>
      <c r="BM130">
        <f>IF(AND(AN130&lt;&gt;"",COUNTIF($O$55:$Q$55,$B20)+COUNTIF($O$55:$Q$55,$B20&amp;" ~*")=0),($R20+COUNTIF($H$122:$H129,$B20)+COUNTIF($H$122:$H129,$B20&amp;" ~*"))*1000+IF(AN130&gt;100,500,0)+1,"")</f>
        <v/>
      </c>
      <c r="BN130">
        <f>IF(AND(AO130&lt;&gt;"",COUNTIF($O$55:$Q$55,$B21)+COUNTIF($O$55:$Q$55,$B21&amp;" ~*")=0),($R21+COUNTIF($H$122:$H129,$B21)+COUNTIF($H$122:$H129,$B21&amp;" ~*"))*1000+IF(AO130&gt;100,500,0)+2,"")</f>
        <v/>
      </c>
      <c r="BO130">
        <f>IF(AND(AP130&lt;&gt;"",COUNTIF($O$55:$Q$55,$B22)+COUNTIF($O$55:$Q$55,$B22&amp;" ~*")=0),($R22+COUNTIF($H$122:$H129,$B22)+COUNTIF($H$122:$H129,$B22&amp;" ~*"))*1000+IF(AP130&gt;100,500,0)+3,"")</f>
        <v/>
      </c>
      <c r="BP130">
        <f>IF(AND(AQ130&lt;&gt;"",COUNTIF($O$55:$Q$55,$B23)+COUNTIF($O$55:$Q$55,$B23&amp;" ~*")=0),($R23+COUNTIF($H$122:$H129,$B23)+COUNTIF($H$122:$H129,$B23&amp;" ~*"))*1000+IF(AQ130&gt;100,500,0)+4,"")</f>
        <v/>
      </c>
      <c r="BQ130">
        <f>IF(AND(AR130&lt;&gt;"",COUNTIF($O$55:$Q$55,$B24)+COUNTIF($O$55:$Q$55,$B24&amp;" ~*")=0),($R24+COUNTIF($H$122:$H129,$B24)+COUNTIF($H$122:$H129,$B24&amp;" ~*"))*1000+IF(AR130&gt;100,500,0)+5,"")</f>
        <v/>
      </c>
      <c r="BR130">
        <f>IF(AND(AS130&lt;&gt;"",COUNTIF($O$55:$Q$55,$B25)+COUNTIF($O$55:$Q$55,$B25&amp;" ~*")=0),($R25+COUNTIF($H$122:$H129,$B25)+COUNTIF($H$122:$H129,$B25&amp;" ~*"))*1000+IF(AS130&gt;100,500,0)+6,"")</f>
        <v/>
      </c>
      <c r="BS130">
        <f>IF(AND(AT130&lt;&gt;"",COUNTIF($O$55:$Q$55,$B26)+COUNTIF($O$55:$Q$55,$B26&amp;" ~*")=0),($R26+COUNTIF($H$122:$H129,$B26)+COUNTIF($H$122:$H129,$B26&amp;" ~*"))*1000+IF(AT130&gt;100,500,0)+7,"")</f>
        <v/>
      </c>
      <c r="BT130">
        <f>IF(AND(AU130&lt;&gt;"",COUNTIF($O$55:$Q$55,$B27)+COUNTIF($O$55:$Q$55,$B27&amp;" ~*")=0),($R27+COUNTIF($H$122:$H129,$B27)+COUNTIF($H$122:$H129,$B27&amp;" ~*"))*1000+IF(AU130&gt;100,500,0)+8,"")</f>
        <v/>
      </c>
      <c r="BU130">
        <f>IF(AND(AV130&lt;&gt;"",COUNTIF($O$55:$Q$55,$B28)+COUNTIF($O$55:$Q$55,$B28&amp;" ~*")=0),($R28+COUNTIF($H$122:$H129,$B28)+COUNTIF($H$122:$H129,$B28&amp;" ~*"))*1000+IF(AV130&gt;100,500,0)+9,"")</f>
        <v/>
      </c>
      <c r="BV130">
        <f>IF(AND(AW130&lt;&gt;"",COUNTIF($O$55:$Q$55,$B29)+COUNTIF($O$55:$Q$55,$B29&amp;" ~*")=0),($R29+COUNTIF($H$122:$H129,$B29)+COUNTIF($H$122:$H129,$B29&amp;" ~*"))*1000+IF(AW130&gt;100,500,0)+10,"")</f>
        <v/>
      </c>
      <c r="BW130">
        <f>IF(AND(AX130&lt;&gt;"",COUNTIF($O$55:$Q$55,$B30)+COUNTIF($O$55:$Q$55,$B30&amp;" ~*")=0),($R30+COUNTIF($H$122:$H129,$B30)+COUNTIF($H$122:$H129,$B30&amp;" ~*"))*1000+IF(AX130&gt;100,500,0)+11,"")</f>
        <v/>
      </c>
      <c r="BX130">
        <f>IF(AND(AY130&lt;&gt;"",COUNTIF($O$55:$Q$55,$B31)+COUNTIF($O$55:$Q$55,$B31&amp;" ~*")=0),($R31+COUNTIF($H$122:$H129,$B31)+COUNTIF($H$122:$H129,$B31&amp;" ~*"))*1000+IF(AY130&gt;100,500,0)+12,"")</f>
        <v/>
      </c>
      <c r="BY130">
        <f>IF(AND(AZ130&lt;&gt;"",COUNTIF($O$55:$Q$55,$B32)+COUNTIF($O$55:$Q$55,$B32&amp;" ~*")=0),($R32+COUNTIF($H$122:$H129,$B32)+COUNTIF($H$122:$H129,$B32&amp;" ~*"))*1000+IF(AZ130&gt;100,500,0)+13,"")</f>
        <v/>
      </c>
      <c r="BZ130">
        <f>IF(AND(BA130&lt;&gt;"",COUNTIF($O$55:$Q$55,$B33)+COUNTIF($O$55:$Q$55,$B33&amp;" ~*")=0),($R33+COUNTIF($H$122:$H129,$B33)+COUNTIF($H$122:$H129,$B33&amp;" ~*"))*1000+IF(BA130&gt;100,500,0)+14,"")</f>
        <v/>
      </c>
      <c r="CA130">
        <f>IF(AND(BB130&lt;&gt;"",COUNTIF($O$55:$Q$55,$B34)+COUNTIF($O$55:$Q$55,$B34&amp;" ~*")=0),($R34+COUNTIF($H$122:$H129,$B34)+COUNTIF($H$122:$H129,$B34&amp;" ~*"))*1000+IF(BB130&gt;100,500,0)+15,"")</f>
        <v/>
      </c>
      <c r="CB130">
        <f>IF(AND(BC130&lt;&gt;"",COUNTIF($O$55:$Q$55,$B35)+COUNTIF($O$55:$Q$55,$B35&amp;" ~*")=0),($R35+COUNTIF($H$122:$H129,$B35)+COUNTIF($H$122:$H129,$B35&amp;" ~*"))*1000+IF(BC130&gt;100,500,0)+16,"")</f>
        <v/>
      </c>
      <c r="CC130">
        <f>IF(AND(BD130&lt;&gt;"",COUNTIF($O$55:$Q$55,$B36)+COUNTIF($O$55:$Q$55,$B36&amp;" ~*")=0),($R36+COUNTIF($H$122:$H129,$B36)+COUNTIF($H$122:$H129,$B36&amp;" ~*"))*1000+IF(BD130&gt;100,500,0)+17,"")</f>
        <v/>
      </c>
      <c r="CD130">
        <f>IF(AND(BE130&lt;&gt;"",COUNTIF($O$55:$Q$55,$B37)+COUNTIF($O$55:$Q$55,$B37&amp;" ~*")=0),($R37+COUNTIF($H$122:$H129,$B37)+COUNTIF($H$122:$H129,$B37&amp;" ~*"))*1000+IF(BE130&gt;100,500,0)+18,"")</f>
        <v/>
      </c>
      <c r="CE130">
        <f>IF(AND(BF130&lt;&gt;"",COUNTIF($O$55:$Q$55,$B38)+COUNTIF($O$55:$Q$55,$B38&amp;" ~*")=0),($R38+COUNTIF($H$122:$H129,$B38)+COUNTIF($H$122:$H129,$B38&amp;" ~*"))*1000+IF(BF130&gt;100,500,0)+19,"")</f>
        <v/>
      </c>
      <c r="CF130">
        <f>IF(AND(BG130&lt;&gt;"",COUNTIF($O$55:$Q$55,$B39)+COUNTIF($O$55:$Q$55,$B39&amp;" ~*")=0),($R39+COUNTIF($H$122:$H129,$B39)+COUNTIF($H$122:$H129,$B39&amp;" ~*"))*1000+IF(BG130&gt;100,500,0)+20,"")</f>
        <v/>
      </c>
      <c r="CG130">
        <f>IF(AND(BH130&lt;&gt;"",COUNTIF($O$55:$Q$55,$B40)+COUNTIF($O$55:$Q$55,$B40&amp;" ~*")=0),($R40+COUNTIF($H$122:$H129,$B40)+COUNTIF($H$122:$H129,$B40&amp;" ~*"))*1000+IF(BH130&gt;100,500,0)+21,"")</f>
        <v/>
      </c>
      <c r="CH130">
        <f>IF(AND(BI130&lt;&gt;"",COUNTIF($O$55:$Q$55,$B41)+COUNTIF($O$55:$Q$55,$B41&amp;" ~*")=0),($R41+COUNTIF($H$122:$H129,$B41)+COUNTIF($H$122:$H129,$B41&amp;" ~*"))*1000+IF(BI130&gt;100,500,0)+22,"")</f>
        <v/>
      </c>
      <c r="CI130">
        <f>IF(AND(BJ130&lt;&gt;"",COUNTIF($O$55:$Q$55,$B42)+COUNTIF($O$55:$Q$55,$B42&amp;" ~*")=0),($R42+COUNTIF($H$122:$H129,$B42)+COUNTIF($H$122:$H129,$B42&amp;" ~*"))*1000+IF(BJ130&gt;100,500,0)+23,"")</f>
        <v/>
      </c>
      <c r="CJ130">
        <f>IF(AND(BK130&lt;&gt;"",COUNTIF($O$55:$Q$55,$B43)+COUNTIF($O$55:$Q$55,$B43&amp;" ~*")=0),($R43+COUNTIF($H$122:$H129,$B43)+COUNTIF($H$122:$H129,$B43&amp;" ~*"))*1000+IF(BK130&gt;100,500,0)+24,"")</f>
        <v/>
      </c>
    </row>
    <row r="131">
      <c r="A131" t="n">
        <v>4</v>
      </c>
      <c r="B131" t="n">
        <v>10</v>
      </c>
      <c r="C131">
        <f>$B$56</f>
        <v/>
      </c>
      <c r="D131" t="inlineStr">
        <is>
          <t>Thu</t>
        </is>
      </c>
      <c r="E131">
        <f>IF(C131="","",N($AB$56))</f>
        <v/>
      </c>
      <c r="F131">
        <f>IF(C131="","",COUNTIF($O$56:$Q$56,"?*"))</f>
        <v/>
      </c>
      <c r="G131">
        <f>IF(C131="","",MAX(0,E131-F131))</f>
        <v/>
      </c>
      <c r="H131">
        <f>IF(N(G131)=0,"",IF(COUNT(BM131:CJ131)=0,"no-one eligible",INDEX(Engine!$B$20:$B$43,MOD(MIN(BM131:CJ131),500))&amp;IF(MOD(MIN(BM131:CJ131),1000)&gt;=500," *","")))</f>
        <v/>
      </c>
      <c r="I131">
        <f>IF(N(G131)&gt;0,COUNTIF($G$68:G131,"&gt;0"),"")</f>
        <v/>
      </c>
      <c r="J131">
        <f>IF(C131="","",IF($O$56="",0,IF(IFERROR(INDEX(Setup!$O$6:$AL$23,10,MATCH(SUBSTITUTE($O$56," *",""),Setup!$B$6:$B$29,0)),"")="",1,0))+IF($P$56="",0,IF(IFERROR(INDEX(Setup!$O$6:$AL$23,10,MATCH(SUBSTITUTE($P$56," *",""),Setup!$B$6:$B$29,0)),"")="",1,0))+IF($Q$56="",0,IF(IFERROR(INDEX(Setup!$O$6:$AL$23,10,MATCH(SUBSTITUTE($Q$56," *",""),Setup!$B$6:$B$29,0)),"")="",1,0)))</f>
        <v/>
      </c>
      <c r="K131">
        <f>IF($B$12+3=TODAY(),1,0)</f>
        <v/>
      </c>
      <c r="N131">
        <f>COUNT($AN131:$BK131)</f>
        <v/>
      </c>
      <c r="O131">
        <f>IF(1&gt;$N131,"",INDEX(Engine!$B$20:$B$43,MOD(SMALL($AN131:$BK131,1),100))&amp;IF(SMALL($AN131:$BK131,1)&gt;100," *",""))</f>
        <v/>
      </c>
      <c r="P131">
        <f>IF(2&gt;$N131,"",INDEX(Engine!$B$20:$B$43,MOD(SMALL($AN131:$BK131,2),100))&amp;IF(SMALL($AN131:$BK131,2)&gt;100," *",""))</f>
        <v/>
      </c>
      <c r="Q131">
        <f>IF(3&gt;$N131,"",INDEX(Engine!$B$20:$B$43,MOD(SMALL($AN131:$BK131,3),100))&amp;IF(SMALL($AN131:$BK131,3)&gt;100," *",""))</f>
        <v/>
      </c>
      <c r="R131">
        <f>IF(4&gt;$N131,"",INDEX(Engine!$B$20:$B$43,MOD(SMALL($AN131:$BK131,4),100))&amp;IF(SMALL($AN131:$BK131,4)&gt;100," *",""))</f>
        <v/>
      </c>
      <c r="S131">
        <f>IF(5&gt;$N131,"",INDEX(Engine!$B$20:$B$43,MOD(SMALL($AN131:$BK131,5),100))&amp;IF(SMALL($AN131:$BK131,5)&gt;100," *",""))</f>
        <v/>
      </c>
      <c r="T131">
        <f>IF(6&gt;$N131,"",INDEX(Engine!$B$20:$B$43,MOD(SMALL($AN131:$BK131,6),100))&amp;IF(SMALL($AN131:$BK131,6)&gt;100," *",""))</f>
        <v/>
      </c>
      <c r="U131">
        <f>IF(7&gt;$N131,"",INDEX(Engine!$B$20:$B$43,MOD(SMALL($AN131:$BK131,7),100))&amp;IF(SMALL($AN131:$BK131,7)&gt;100," *",""))</f>
        <v/>
      </c>
      <c r="V131">
        <f>IF(8&gt;$N131,"",INDEX(Engine!$B$20:$B$43,MOD(SMALL($AN131:$BK131,8),100))&amp;IF(SMALL($AN131:$BK131,8)&gt;100," *",""))</f>
        <v/>
      </c>
      <c r="W131">
        <f>IF(9&gt;$N131,"",INDEX(Engine!$B$20:$B$43,MOD(SMALL($AN131:$BK131,9),100))&amp;IF(SMALL($AN131:$BK131,9)&gt;100," *",""))</f>
        <v/>
      </c>
      <c r="X131">
        <f>IF(10&gt;$N131,"",INDEX(Engine!$B$20:$B$43,MOD(SMALL($AN131:$BK131,10),100))&amp;IF(SMALL($AN131:$BK131,10)&gt;100," *",""))</f>
        <v/>
      </c>
      <c r="Y131">
        <f>IF(11&gt;$N131,"",INDEX(Engine!$B$20:$B$43,MOD(SMALL($AN131:$BK131,11),100))&amp;IF(SMALL($AN131:$BK131,11)&gt;100," *",""))</f>
        <v/>
      </c>
      <c r="Z131">
        <f>IF(12&gt;$N131,"",INDEX(Engine!$B$20:$B$43,MOD(SMALL($AN131:$BK131,12),100))&amp;IF(SMALL($AN131:$BK131,12)&gt;100," *",""))</f>
        <v/>
      </c>
      <c r="AA131">
        <f>IF(13&gt;$N131,"",INDEX(Engine!$B$20:$B$43,MOD(SMALL($AN131:$BK131,13),100))&amp;IF(SMALL($AN131:$BK131,13)&gt;100," *",""))</f>
        <v/>
      </c>
      <c r="AB131">
        <f>IF(14&gt;$N131,"",INDEX(Engine!$B$20:$B$43,MOD(SMALL($AN131:$BK131,14),100))&amp;IF(SMALL($AN131:$BK131,14)&gt;100," *",""))</f>
        <v/>
      </c>
      <c r="AC131">
        <f>IF(15&gt;$N131,"",INDEX(Engine!$B$20:$B$43,MOD(SMALL($AN131:$BK131,15),100))&amp;IF(SMALL($AN131:$BK131,15)&gt;100," *",""))</f>
        <v/>
      </c>
      <c r="AD131">
        <f>IF(16&gt;$N131,"",INDEX(Engine!$B$20:$B$43,MOD(SMALL($AN131:$BK131,16),100))&amp;IF(SMALL($AN131:$BK131,16)&gt;100," *",""))</f>
        <v/>
      </c>
      <c r="AE131">
        <f>IF(17&gt;$N131,"",INDEX(Engine!$B$20:$B$43,MOD(SMALL($AN131:$BK131,17),100))&amp;IF(SMALL($AN131:$BK131,17)&gt;100," *",""))</f>
        <v/>
      </c>
      <c r="AF131">
        <f>IF(18&gt;$N131,"",INDEX(Engine!$B$20:$B$43,MOD(SMALL($AN131:$BK131,18),100))&amp;IF(SMALL($AN131:$BK131,18)&gt;100," *",""))</f>
        <v/>
      </c>
      <c r="AG131">
        <f>IF(19&gt;$N131,"",INDEX(Engine!$B$20:$B$43,MOD(SMALL($AN131:$BK131,19),100))&amp;IF(SMALL($AN131:$BK131,19)&gt;100," *",""))</f>
        <v/>
      </c>
      <c r="AH131">
        <f>IF(20&gt;$N131,"",INDEX(Engine!$B$20:$B$43,MOD(SMALL($AN131:$BK131,20),100))&amp;IF(SMALL($AN131:$BK131,20)&gt;100," *",""))</f>
        <v/>
      </c>
      <c r="AI131">
        <f>IF(21&gt;$N131,"",INDEX(Engine!$B$20:$B$43,MOD(SMALL($AN131:$BK131,21),100))&amp;IF(SMALL($AN131:$BK131,21)&gt;100," *",""))</f>
        <v/>
      </c>
      <c r="AJ131">
        <f>IF(22&gt;$N131,"",INDEX(Engine!$B$20:$B$43,MOD(SMALL($AN131:$BK131,22),100))&amp;IF(SMALL($AN131:$BK131,22)&gt;100," *",""))</f>
        <v/>
      </c>
      <c r="AK131">
        <f>IF(23&gt;$N131,"",INDEX(Engine!$B$20:$B$43,MOD(SMALL($AN131:$BK131,23),100))&amp;IF(SMALL($AN131:$BK131,23)&gt;100," *",""))</f>
        <v/>
      </c>
      <c r="AL131">
        <f>IF(24&gt;$N131,"",INDEX(Engine!$B$20:$B$43,MOD(SMALL($AN131:$BK131,24),100))&amp;IF(SMALL($AN131:$BK131,24)&gt;100," *",""))</f>
        <v/>
      </c>
      <c r="AN131">
        <f>IF(AND($C20=1,INDEX(Setup!$O$6:$AL$23,10,1)&lt;&gt;"",N20=0),1+IF(INDEX(Setup!$O$6:$AL$23,10,1)="T",100,0),"")</f>
        <v/>
      </c>
      <c r="AO131">
        <f>IF(AND($C21=1,INDEX(Setup!$O$6:$AL$23,10,2)&lt;&gt;"",N21=0),2+IF(INDEX(Setup!$O$6:$AL$23,10,2)="T",100,0),"")</f>
        <v/>
      </c>
      <c r="AP131">
        <f>IF(AND($C22=1,INDEX(Setup!$O$6:$AL$23,10,3)&lt;&gt;"",N22=0),3+IF(INDEX(Setup!$O$6:$AL$23,10,3)="T",100,0),"")</f>
        <v/>
      </c>
      <c r="AQ131">
        <f>IF(AND($C23=1,INDEX(Setup!$O$6:$AL$23,10,4)&lt;&gt;"",N23=0),4+IF(INDEX(Setup!$O$6:$AL$23,10,4)="T",100,0),"")</f>
        <v/>
      </c>
      <c r="AR131">
        <f>IF(AND($C24=1,INDEX(Setup!$O$6:$AL$23,10,5)&lt;&gt;"",N24=0),5+IF(INDEX(Setup!$O$6:$AL$23,10,5)="T",100,0),"")</f>
        <v/>
      </c>
      <c r="AS131">
        <f>IF(AND($C25=1,INDEX(Setup!$O$6:$AL$23,10,6)&lt;&gt;"",N25=0),6+IF(INDEX(Setup!$O$6:$AL$23,10,6)="T",100,0),"")</f>
        <v/>
      </c>
      <c r="AT131">
        <f>IF(AND($C26=1,INDEX(Setup!$O$6:$AL$23,10,7)&lt;&gt;"",N26=0),7+IF(INDEX(Setup!$O$6:$AL$23,10,7)="T",100,0),"")</f>
        <v/>
      </c>
      <c r="AU131">
        <f>IF(AND($C27=1,INDEX(Setup!$O$6:$AL$23,10,8)&lt;&gt;"",N27=0),8+IF(INDEX(Setup!$O$6:$AL$23,10,8)="T",100,0),"")</f>
        <v/>
      </c>
      <c r="AV131">
        <f>IF(AND($C28=1,INDEX(Setup!$O$6:$AL$23,10,9)&lt;&gt;"",N28=0),9+IF(INDEX(Setup!$O$6:$AL$23,10,9)="T",100,0),"")</f>
        <v/>
      </c>
      <c r="AW131">
        <f>IF(AND($C29=1,INDEX(Setup!$O$6:$AL$23,10,10)&lt;&gt;"",N29=0),10+IF(INDEX(Setup!$O$6:$AL$23,10,10)="T",100,0),"")</f>
        <v/>
      </c>
      <c r="AX131">
        <f>IF(AND($C30=1,INDEX(Setup!$O$6:$AL$23,10,11)&lt;&gt;"",N30=0),11+IF(INDEX(Setup!$O$6:$AL$23,10,11)="T",100,0),"")</f>
        <v/>
      </c>
      <c r="AY131">
        <f>IF(AND($C31=1,INDEX(Setup!$O$6:$AL$23,10,12)&lt;&gt;"",N31=0),12+IF(INDEX(Setup!$O$6:$AL$23,10,12)="T",100,0),"")</f>
        <v/>
      </c>
      <c r="AZ131">
        <f>IF(AND($C32=1,INDEX(Setup!$O$6:$AL$23,10,13)&lt;&gt;"",N32=0),13+IF(INDEX(Setup!$O$6:$AL$23,10,13)="T",100,0),"")</f>
        <v/>
      </c>
      <c r="BA131">
        <f>IF(AND($C33=1,INDEX(Setup!$O$6:$AL$23,10,14)&lt;&gt;"",N33=0),14+IF(INDEX(Setup!$O$6:$AL$23,10,14)="T",100,0),"")</f>
        <v/>
      </c>
      <c r="BB131">
        <f>IF(AND($C34=1,INDEX(Setup!$O$6:$AL$23,10,15)&lt;&gt;"",N34=0),15+IF(INDEX(Setup!$O$6:$AL$23,10,15)="T",100,0),"")</f>
        <v/>
      </c>
      <c r="BC131">
        <f>IF(AND($C35=1,INDEX(Setup!$O$6:$AL$23,10,16)&lt;&gt;"",N35=0),16+IF(INDEX(Setup!$O$6:$AL$23,10,16)="T",100,0),"")</f>
        <v/>
      </c>
      <c r="BD131">
        <f>IF(AND($C36=1,INDEX(Setup!$O$6:$AL$23,10,17)&lt;&gt;"",N36=0),17+IF(INDEX(Setup!$O$6:$AL$23,10,17)="T",100,0),"")</f>
        <v/>
      </c>
      <c r="BE131">
        <f>IF(AND($C37=1,INDEX(Setup!$O$6:$AL$23,10,18)&lt;&gt;"",N37=0),18+IF(INDEX(Setup!$O$6:$AL$23,10,18)="T",100,0),"")</f>
        <v/>
      </c>
      <c r="BF131">
        <f>IF(AND($C38=1,INDEX(Setup!$O$6:$AL$23,10,19)&lt;&gt;"",N38=0),19+IF(INDEX(Setup!$O$6:$AL$23,10,19)="T",100,0),"")</f>
        <v/>
      </c>
      <c r="BG131">
        <f>IF(AND($C39=1,INDEX(Setup!$O$6:$AL$23,10,20)&lt;&gt;"",N39=0),20+IF(INDEX(Setup!$O$6:$AL$23,10,20)="T",100,0),"")</f>
        <v/>
      </c>
      <c r="BH131">
        <f>IF(AND($C40=1,INDEX(Setup!$O$6:$AL$23,10,21)&lt;&gt;"",N40=0),21+IF(INDEX(Setup!$O$6:$AL$23,10,21)="T",100,0),"")</f>
        <v/>
      </c>
      <c r="BI131">
        <f>IF(AND($C41=1,INDEX(Setup!$O$6:$AL$23,10,22)&lt;&gt;"",N41=0),22+IF(INDEX(Setup!$O$6:$AL$23,10,22)="T",100,0),"")</f>
        <v/>
      </c>
      <c r="BJ131">
        <f>IF(AND($C42=1,INDEX(Setup!$O$6:$AL$23,10,23)&lt;&gt;"",N42=0),23+IF(INDEX(Setup!$O$6:$AL$23,10,23)="T",100,0),"")</f>
        <v/>
      </c>
      <c r="BK131">
        <f>IF(AND($C43=1,INDEX(Setup!$O$6:$AL$23,10,24)&lt;&gt;"",N43=0),24+IF(INDEX(Setup!$O$6:$AL$23,10,24)="T",100,0),"")</f>
        <v/>
      </c>
      <c r="BM131">
        <f>IF(AND(AN131&lt;&gt;"",COUNTIF($O$56:$Q$56,$B20)+COUNTIF($O$56:$Q$56,$B20&amp;" ~*")=0),($R20+COUNTIF($H$122:$H130,$B20)+COUNTIF($H$122:$H130,$B20&amp;" ~*"))*1000+IF(AN131&gt;100,500,0)+1,"")</f>
        <v/>
      </c>
      <c r="BN131">
        <f>IF(AND(AO131&lt;&gt;"",COUNTIF($O$56:$Q$56,$B21)+COUNTIF($O$56:$Q$56,$B21&amp;" ~*")=0),($R21+COUNTIF($H$122:$H130,$B21)+COUNTIF($H$122:$H130,$B21&amp;" ~*"))*1000+IF(AO131&gt;100,500,0)+2,"")</f>
        <v/>
      </c>
      <c r="BO131">
        <f>IF(AND(AP131&lt;&gt;"",COUNTIF($O$56:$Q$56,$B22)+COUNTIF($O$56:$Q$56,$B22&amp;" ~*")=0),($R22+COUNTIF($H$122:$H130,$B22)+COUNTIF($H$122:$H130,$B22&amp;" ~*"))*1000+IF(AP131&gt;100,500,0)+3,"")</f>
        <v/>
      </c>
      <c r="BP131">
        <f>IF(AND(AQ131&lt;&gt;"",COUNTIF($O$56:$Q$56,$B23)+COUNTIF($O$56:$Q$56,$B23&amp;" ~*")=0),($R23+COUNTIF($H$122:$H130,$B23)+COUNTIF($H$122:$H130,$B23&amp;" ~*"))*1000+IF(AQ131&gt;100,500,0)+4,"")</f>
        <v/>
      </c>
      <c r="BQ131">
        <f>IF(AND(AR131&lt;&gt;"",COUNTIF($O$56:$Q$56,$B24)+COUNTIF($O$56:$Q$56,$B24&amp;" ~*")=0),($R24+COUNTIF($H$122:$H130,$B24)+COUNTIF($H$122:$H130,$B24&amp;" ~*"))*1000+IF(AR131&gt;100,500,0)+5,"")</f>
        <v/>
      </c>
      <c r="BR131">
        <f>IF(AND(AS131&lt;&gt;"",COUNTIF($O$56:$Q$56,$B25)+COUNTIF($O$56:$Q$56,$B25&amp;" ~*")=0),($R25+COUNTIF($H$122:$H130,$B25)+COUNTIF($H$122:$H130,$B25&amp;" ~*"))*1000+IF(AS131&gt;100,500,0)+6,"")</f>
        <v/>
      </c>
      <c r="BS131">
        <f>IF(AND(AT131&lt;&gt;"",COUNTIF($O$56:$Q$56,$B26)+COUNTIF($O$56:$Q$56,$B26&amp;" ~*")=0),($R26+COUNTIF($H$122:$H130,$B26)+COUNTIF($H$122:$H130,$B26&amp;" ~*"))*1000+IF(AT131&gt;100,500,0)+7,"")</f>
        <v/>
      </c>
      <c r="BT131">
        <f>IF(AND(AU131&lt;&gt;"",COUNTIF($O$56:$Q$56,$B27)+COUNTIF($O$56:$Q$56,$B27&amp;" ~*")=0),($R27+COUNTIF($H$122:$H130,$B27)+COUNTIF($H$122:$H130,$B27&amp;" ~*"))*1000+IF(AU131&gt;100,500,0)+8,"")</f>
        <v/>
      </c>
      <c r="BU131">
        <f>IF(AND(AV131&lt;&gt;"",COUNTIF($O$56:$Q$56,$B28)+COUNTIF($O$56:$Q$56,$B28&amp;" ~*")=0),($R28+COUNTIF($H$122:$H130,$B28)+COUNTIF($H$122:$H130,$B28&amp;" ~*"))*1000+IF(AV131&gt;100,500,0)+9,"")</f>
        <v/>
      </c>
      <c r="BV131">
        <f>IF(AND(AW131&lt;&gt;"",COUNTIF($O$56:$Q$56,$B29)+COUNTIF($O$56:$Q$56,$B29&amp;" ~*")=0),($R29+COUNTIF($H$122:$H130,$B29)+COUNTIF($H$122:$H130,$B29&amp;" ~*"))*1000+IF(AW131&gt;100,500,0)+10,"")</f>
        <v/>
      </c>
      <c r="BW131">
        <f>IF(AND(AX131&lt;&gt;"",COUNTIF($O$56:$Q$56,$B30)+COUNTIF($O$56:$Q$56,$B30&amp;" ~*")=0),($R30+COUNTIF($H$122:$H130,$B30)+COUNTIF($H$122:$H130,$B30&amp;" ~*"))*1000+IF(AX131&gt;100,500,0)+11,"")</f>
        <v/>
      </c>
      <c r="BX131">
        <f>IF(AND(AY131&lt;&gt;"",COUNTIF($O$56:$Q$56,$B31)+COUNTIF($O$56:$Q$56,$B31&amp;" ~*")=0),($R31+COUNTIF($H$122:$H130,$B31)+COUNTIF($H$122:$H130,$B31&amp;" ~*"))*1000+IF(AY131&gt;100,500,0)+12,"")</f>
        <v/>
      </c>
      <c r="BY131">
        <f>IF(AND(AZ131&lt;&gt;"",COUNTIF($O$56:$Q$56,$B32)+COUNTIF($O$56:$Q$56,$B32&amp;" ~*")=0),($R32+COUNTIF($H$122:$H130,$B32)+COUNTIF($H$122:$H130,$B32&amp;" ~*"))*1000+IF(AZ131&gt;100,500,0)+13,"")</f>
        <v/>
      </c>
      <c r="BZ131">
        <f>IF(AND(BA131&lt;&gt;"",COUNTIF($O$56:$Q$56,$B33)+COUNTIF($O$56:$Q$56,$B33&amp;" ~*")=0),($R33+COUNTIF($H$122:$H130,$B33)+COUNTIF($H$122:$H130,$B33&amp;" ~*"))*1000+IF(BA131&gt;100,500,0)+14,"")</f>
        <v/>
      </c>
      <c r="CA131">
        <f>IF(AND(BB131&lt;&gt;"",COUNTIF($O$56:$Q$56,$B34)+COUNTIF($O$56:$Q$56,$B34&amp;" ~*")=0),($R34+COUNTIF($H$122:$H130,$B34)+COUNTIF($H$122:$H130,$B34&amp;" ~*"))*1000+IF(BB131&gt;100,500,0)+15,"")</f>
        <v/>
      </c>
      <c r="CB131">
        <f>IF(AND(BC131&lt;&gt;"",COUNTIF($O$56:$Q$56,$B35)+COUNTIF($O$56:$Q$56,$B35&amp;" ~*")=0),($R35+COUNTIF($H$122:$H130,$B35)+COUNTIF($H$122:$H130,$B35&amp;" ~*"))*1000+IF(BC131&gt;100,500,0)+16,"")</f>
        <v/>
      </c>
      <c r="CC131">
        <f>IF(AND(BD131&lt;&gt;"",COUNTIF($O$56:$Q$56,$B36)+COUNTIF($O$56:$Q$56,$B36&amp;" ~*")=0),($R36+COUNTIF($H$122:$H130,$B36)+COUNTIF($H$122:$H130,$B36&amp;" ~*"))*1000+IF(BD131&gt;100,500,0)+17,"")</f>
        <v/>
      </c>
      <c r="CD131">
        <f>IF(AND(BE131&lt;&gt;"",COUNTIF($O$56:$Q$56,$B37)+COUNTIF($O$56:$Q$56,$B37&amp;" ~*")=0),($R37+COUNTIF($H$122:$H130,$B37)+COUNTIF($H$122:$H130,$B37&amp;" ~*"))*1000+IF(BE131&gt;100,500,0)+18,"")</f>
        <v/>
      </c>
      <c r="CE131">
        <f>IF(AND(BF131&lt;&gt;"",COUNTIF($O$56:$Q$56,$B38)+COUNTIF($O$56:$Q$56,$B38&amp;" ~*")=0),($R38+COUNTIF($H$122:$H130,$B38)+COUNTIF($H$122:$H130,$B38&amp;" ~*"))*1000+IF(BF131&gt;100,500,0)+19,"")</f>
        <v/>
      </c>
      <c r="CF131">
        <f>IF(AND(BG131&lt;&gt;"",COUNTIF($O$56:$Q$56,$B39)+COUNTIF($O$56:$Q$56,$B39&amp;" ~*")=0),($R39+COUNTIF($H$122:$H130,$B39)+COUNTIF($H$122:$H130,$B39&amp;" ~*"))*1000+IF(BG131&gt;100,500,0)+20,"")</f>
        <v/>
      </c>
      <c r="CG131">
        <f>IF(AND(BH131&lt;&gt;"",COUNTIF($O$56:$Q$56,$B40)+COUNTIF($O$56:$Q$56,$B40&amp;" ~*")=0),($R40+COUNTIF($H$122:$H130,$B40)+COUNTIF($H$122:$H130,$B40&amp;" ~*"))*1000+IF(BH131&gt;100,500,0)+21,"")</f>
        <v/>
      </c>
      <c r="CH131">
        <f>IF(AND(BI131&lt;&gt;"",COUNTIF($O$56:$Q$56,$B41)+COUNTIF($O$56:$Q$56,$B41&amp;" ~*")=0),($R41+COUNTIF($H$122:$H130,$B41)+COUNTIF($H$122:$H130,$B41&amp;" ~*"))*1000+IF(BI131&gt;100,500,0)+22,"")</f>
        <v/>
      </c>
      <c r="CI131">
        <f>IF(AND(BJ131&lt;&gt;"",COUNTIF($O$56:$Q$56,$B42)+COUNTIF($O$56:$Q$56,$B42&amp;" ~*")=0),($R42+COUNTIF($H$122:$H130,$B42)+COUNTIF($H$122:$H130,$B42&amp;" ~*"))*1000+IF(BJ131&gt;100,500,0)+23,"")</f>
        <v/>
      </c>
      <c r="CJ131">
        <f>IF(AND(BK131&lt;&gt;"",COUNTIF($O$56:$Q$56,$B43)+COUNTIF($O$56:$Q$56,$B43&amp;" ~*")=0),($R43+COUNTIF($H$122:$H130,$B43)+COUNTIF($H$122:$H130,$B43&amp;" ~*"))*1000+IF(BK131&gt;100,500,0)+24,"")</f>
        <v/>
      </c>
    </row>
    <row r="132">
      <c r="A132" t="n">
        <v>4</v>
      </c>
      <c r="B132" t="n">
        <v>11</v>
      </c>
      <c r="C132">
        <f>$B$57</f>
        <v/>
      </c>
      <c r="D132" t="inlineStr">
        <is>
          <t>Thu</t>
        </is>
      </c>
      <c r="E132">
        <f>IF(C132="","",N($AB$57))</f>
        <v/>
      </c>
      <c r="F132">
        <f>IF(C132="","",COUNTIF($O$57:$Q$57,"?*"))</f>
        <v/>
      </c>
      <c r="G132">
        <f>IF(C132="","",MAX(0,E132-F132))</f>
        <v/>
      </c>
      <c r="H132">
        <f>IF(N(G132)=0,"",IF(COUNT(BM132:CJ132)=0,"no-one eligible",INDEX(Engine!$B$20:$B$43,MOD(MIN(BM132:CJ132),500))&amp;IF(MOD(MIN(BM132:CJ132),1000)&gt;=500," *","")))</f>
        <v/>
      </c>
      <c r="I132">
        <f>IF(N(G132)&gt;0,COUNTIF($G$68:G132,"&gt;0"),"")</f>
        <v/>
      </c>
      <c r="J132">
        <f>IF(C132="","",IF($O$57="",0,IF(IFERROR(INDEX(Setup!$O$6:$AL$23,11,MATCH(SUBSTITUTE($O$57," *",""),Setup!$B$6:$B$29,0)),"")="",1,0))+IF($P$57="",0,IF(IFERROR(INDEX(Setup!$O$6:$AL$23,11,MATCH(SUBSTITUTE($P$57," *",""),Setup!$B$6:$B$29,0)),"")="",1,0))+IF($Q$57="",0,IF(IFERROR(INDEX(Setup!$O$6:$AL$23,11,MATCH(SUBSTITUTE($Q$57," *",""),Setup!$B$6:$B$29,0)),"")="",1,0)))</f>
        <v/>
      </c>
      <c r="K132">
        <f>IF($B$12+3=TODAY(),1,0)</f>
        <v/>
      </c>
      <c r="N132">
        <f>COUNT($AN132:$BK132)</f>
        <v/>
      </c>
      <c r="O132">
        <f>IF(1&gt;$N132,"",INDEX(Engine!$B$20:$B$43,MOD(SMALL($AN132:$BK132,1),100))&amp;IF(SMALL($AN132:$BK132,1)&gt;100," *",""))</f>
        <v/>
      </c>
      <c r="P132">
        <f>IF(2&gt;$N132,"",INDEX(Engine!$B$20:$B$43,MOD(SMALL($AN132:$BK132,2),100))&amp;IF(SMALL($AN132:$BK132,2)&gt;100," *",""))</f>
        <v/>
      </c>
      <c r="Q132">
        <f>IF(3&gt;$N132,"",INDEX(Engine!$B$20:$B$43,MOD(SMALL($AN132:$BK132,3),100))&amp;IF(SMALL($AN132:$BK132,3)&gt;100," *",""))</f>
        <v/>
      </c>
      <c r="R132">
        <f>IF(4&gt;$N132,"",INDEX(Engine!$B$20:$B$43,MOD(SMALL($AN132:$BK132,4),100))&amp;IF(SMALL($AN132:$BK132,4)&gt;100," *",""))</f>
        <v/>
      </c>
      <c r="S132">
        <f>IF(5&gt;$N132,"",INDEX(Engine!$B$20:$B$43,MOD(SMALL($AN132:$BK132,5),100))&amp;IF(SMALL($AN132:$BK132,5)&gt;100," *",""))</f>
        <v/>
      </c>
      <c r="T132">
        <f>IF(6&gt;$N132,"",INDEX(Engine!$B$20:$B$43,MOD(SMALL($AN132:$BK132,6),100))&amp;IF(SMALL($AN132:$BK132,6)&gt;100," *",""))</f>
        <v/>
      </c>
      <c r="U132">
        <f>IF(7&gt;$N132,"",INDEX(Engine!$B$20:$B$43,MOD(SMALL($AN132:$BK132,7),100))&amp;IF(SMALL($AN132:$BK132,7)&gt;100," *",""))</f>
        <v/>
      </c>
      <c r="V132">
        <f>IF(8&gt;$N132,"",INDEX(Engine!$B$20:$B$43,MOD(SMALL($AN132:$BK132,8),100))&amp;IF(SMALL($AN132:$BK132,8)&gt;100," *",""))</f>
        <v/>
      </c>
      <c r="W132">
        <f>IF(9&gt;$N132,"",INDEX(Engine!$B$20:$B$43,MOD(SMALL($AN132:$BK132,9),100))&amp;IF(SMALL($AN132:$BK132,9)&gt;100," *",""))</f>
        <v/>
      </c>
      <c r="X132">
        <f>IF(10&gt;$N132,"",INDEX(Engine!$B$20:$B$43,MOD(SMALL($AN132:$BK132,10),100))&amp;IF(SMALL($AN132:$BK132,10)&gt;100," *",""))</f>
        <v/>
      </c>
      <c r="Y132">
        <f>IF(11&gt;$N132,"",INDEX(Engine!$B$20:$B$43,MOD(SMALL($AN132:$BK132,11),100))&amp;IF(SMALL($AN132:$BK132,11)&gt;100," *",""))</f>
        <v/>
      </c>
      <c r="Z132">
        <f>IF(12&gt;$N132,"",INDEX(Engine!$B$20:$B$43,MOD(SMALL($AN132:$BK132,12),100))&amp;IF(SMALL($AN132:$BK132,12)&gt;100," *",""))</f>
        <v/>
      </c>
      <c r="AA132">
        <f>IF(13&gt;$N132,"",INDEX(Engine!$B$20:$B$43,MOD(SMALL($AN132:$BK132,13),100))&amp;IF(SMALL($AN132:$BK132,13)&gt;100," *",""))</f>
        <v/>
      </c>
      <c r="AB132">
        <f>IF(14&gt;$N132,"",INDEX(Engine!$B$20:$B$43,MOD(SMALL($AN132:$BK132,14),100))&amp;IF(SMALL($AN132:$BK132,14)&gt;100," *",""))</f>
        <v/>
      </c>
      <c r="AC132">
        <f>IF(15&gt;$N132,"",INDEX(Engine!$B$20:$B$43,MOD(SMALL($AN132:$BK132,15),100))&amp;IF(SMALL($AN132:$BK132,15)&gt;100," *",""))</f>
        <v/>
      </c>
      <c r="AD132">
        <f>IF(16&gt;$N132,"",INDEX(Engine!$B$20:$B$43,MOD(SMALL($AN132:$BK132,16),100))&amp;IF(SMALL($AN132:$BK132,16)&gt;100," *",""))</f>
        <v/>
      </c>
      <c r="AE132">
        <f>IF(17&gt;$N132,"",INDEX(Engine!$B$20:$B$43,MOD(SMALL($AN132:$BK132,17),100))&amp;IF(SMALL($AN132:$BK132,17)&gt;100," *",""))</f>
        <v/>
      </c>
      <c r="AF132">
        <f>IF(18&gt;$N132,"",INDEX(Engine!$B$20:$B$43,MOD(SMALL($AN132:$BK132,18),100))&amp;IF(SMALL($AN132:$BK132,18)&gt;100," *",""))</f>
        <v/>
      </c>
      <c r="AG132">
        <f>IF(19&gt;$N132,"",INDEX(Engine!$B$20:$B$43,MOD(SMALL($AN132:$BK132,19),100))&amp;IF(SMALL($AN132:$BK132,19)&gt;100," *",""))</f>
        <v/>
      </c>
      <c r="AH132">
        <f>IF(20&gt;$N132,"",INDEX(Engine!$B$20:$B$43,MOD(SMALL($AN132:$BK132,20),100))&amp;IF(SMALL($AN132:$BK132,20)&gt;100," *",""))</f>
        <v/>
      </c>
      <c r="AI132">
        <f>IF(21&gt;$N132,"",INDEX(Engine!$B$20:$B$43,MOD(SMALL($AN132:$BK132,21),100))&amp;IF(SMALL($AN132:$BK132,21)&gt;100," *",""))</f>
        <v/>
      </c>
      <c r="AJ132">
        <f>IF(22&gt;$N132,"",INDEX(Engine!$B$20:$B$43,MOD(SMALL($AN132:$BK132,22),100))&amp;IF(SMALL($AN132:$BK132,22)&gt;100," *",""))</f>
        <v/>
      </c>
      <c r="AK132">
        <f>IF(23&gt;$N132,"",INDEX(Engine!$B$20:$B$43,MOD(SMALL($AN132:$BK132,23),100))&amp;IF(SMALL($AN132:$BK132,23)&gt;100," *",""))</f>
        <v/>
      </c>
      <c r="AL132">
        <f>IF(24&gt;$N132,"",INDEX(Engine!$B$20:$B$43,MOD(SMALL($AN132:$BK132,24),100))&amp;IF(SMALL($AN132:$BK132,24)&gt;100," *",""))</f>
        <v/>
      </c>
      <c r="AN132">
        <f>IF(AND($C20=1,INDEX(Setup!$O$6:$AL$23,11,1)&lt;&gt;"",N20=0),1+IF(INDEX(Setup!$O$6:$AL$23,11,1)="T",100,0),"")</f>
        <v/>
      </c>
      <c r="AO132">
        <f>IF(AND($C21=1,INDEX(Setup!$O$6:$AL$23,11,2)&lt;&gt;"",N21=0),2+IF(INDEX(Setup!$O$6:$AL$23,11,2)="T",100,0),"")</f>
        <v/>
      </c>
      <c r="AP132">
        <f>IF(AND($C22=1,INDEX(Setup!$O$6:$AL$23,11,3)&lt;&gt;"",N22=0),3+IF(INDEX(Setup!$O$6:$AL$23,11,3)="T",100,0),"")</f>
        <v/>
      </c>
      <c r="AQ132">
        <f>IF(AND($C23=1,INDEX(Setup!$O$6:$AL$23,11,4)&lt;&gt;"",N23=0),4+IF(INDEX(Setup!$O$6:$AL$23,11,4)="T",100,0),"")</f>
        <v/>
      </c>
      <c r="AR132">
        <f>IF(AND($C24=1,INDEX(Setup!$O$6:$AL$23,11,5)&lt;&gt;"",N24=0),5+IF(INDEX(Setup!$O$6:$AL$23,11,5)="T",100,0),"")</f>
        <v/>
      </c>
      <c r="AS132">
        <f>IF(AND($C25=1,INDEX(Setup!$O$6:$AL$23,11,6)&lt;&gt;"",N25=0),6+IF(INDEX(Setup!$O$6:$AL$23,11,6)="T",100,0),"")</f>
        <v/>
      </c>
      <c r="AT132">
        <f>IF(AND($C26=1,INDEX(Setup!$O$6:$AL$23,11,7)&lt;&gt;"",N26=0),7+IF(INDEX(Setup!$O$6:$AL$23,11,7)="T",100,0),"")</f>
        <v/>
      </c>
      <c r="AU132">
        <f>IF(AND($C27=1,INDEX(Setup!$O$6:$AL$23,11,8)&lt;&gt;"",N27=0),8+IF(INDEX(Setup!$O$6:$AL$23,11,8)="T",100,0),"")</f>
        <v/>
      </c>
      <c r="AV132">
        <f>IF(AND($C28=1,INDEX(Setup!$O$6:$AL$23,11,9)&lt;&gt;"",N28=0),9+IF(INDEX(Setup!$O$6:$AL$23,11,9)="T",100,0),"")</f>
        <v/>
      </c>
      <c r="AW132">
        <f>IF(AND($C29=1,INDEX(Setup!$O$6:$AL$23,11,10)&lt;&gt;"",N29=0),10+IF(INDEX(Setup!$O$6:$AL$23,11,10)="T",100,0),"")</f>
        <v/>
      </c>
      <c r="AX132">
        <f>IF(AND($C30=1,INDEX(Setup!$O$6:$AL$23,11,11)&lt;&gt;"",N30=0),11+IF(INDEX(Setup!$O$6:$AL$23,11,11)="T",100,0),"")</f>
        <v/>
      </c>
      <c r="AY132">
        <f>IF(AND($C31=1,INDEX(Setup!$O$6:$AL$23,11,12)&lt;&gt;"",N31=0),12+IF(INDEX(Setup!$O$6:$AL$23,11,12)="T",100,0),"")</f>
        <v/>
      </c>
      <c r="AZ132">
        <f>IF(AND($C32=1,INDEX(Setup!$O$6:$AL$23,11,13)&lt;&gt;"",N32=0),13+IF(INDEX(Setup!$O$6:$AL$23,11,13)="T",100,0),"")</f>
        <v/>
      </c>
      <c r="BA132">
        <f>IF(AND($C33=1,INDEX(Setup!$O$6:$AL$23,11,14)&lt;&gt;"",N33=0),14+IF(INDEX(Setup!$O$6:$AL$23,11,14)="T",100,0),"")</f>
        <v/>
      </c>
      <c r="BB132">
        <f>IF(AND($C34=1,INDEX(Setup!$O$6:$AL$23,11,15)&lt;&gt;"",N34=0),15+IF(INDEX(Setup!$O$6:$AL$23,11,15)="T",100,0),"")</f>
        <v/>
      </c>
      <c r="BC132">
        <f>IF(AND($C35=1,INDEX(Setup!$O$6:$AL$23,11,16)&lt;&gt;"",N35=0),16+IF(INDEX(Setup!$O$6:$AL$23,11,16)="T",100,0),"")</f>
        <v/>
      </c>
      <c r="BD132">
        <f>IF(AND($C36=1,INDEX(Setup!$O$6:$AL$23,11,17)&lt;&gt;"",N36=0),17+IF(INDEX(Setup!$O$6:$AL$23,11,17)="T",100,0),"")</f>
        <v/>
      </c>
      <c r="BE132">
        <f>IF(AND($C37=1,INDEX(Setup!$O$6:$AL$23,11,18)&lt;&gt;"",N37=0),18+IF(INDEX(Setup!$O$6:$AL$23,11,18)="T",100,0),"")</f>
        <v/>
      </c>
      <c r="BF132">
        <f>IF(AND($C38=1,INDEX(Setup!$O$6:$AL$23,11,19)&lt;&gt;"",N38=0),19+IF(INDEX(Setup!$O$6:$AL$23,11,19)="T",100,0),"")</f>
        <v/>
      </c>
      <c r="BG132">
        <f>IF(AND($C39=1,INDEX(Setup!$O$6:$AL$23,11,20)&lt;&gt;"",N39=0),20+IF(INDEX(Setup!$O$6:$AL$23,11,20)="T",100,0),"")</f>
        <v/>
      </c>
      <c r="BH132">
        <f>IF(AND($C40=1,INDEX(Setup!$O$6:$AL$23,11,21)&lt;&gt;"",N40=0),21+IF(INDEX(Setup!$O$6:$AL$23,11,21)="T",100,0),"")</f>
        <v/>
      </c>
      <c r="BI132">
        <f>IF(AND($C41=1,INDEX(Setup!$O$6:$AL$23,11,22)&lt;&gt;"",N41=0),22+IF(INDEX(Setup!$O$6:$AL$23,11,22)="T",100,0),"")</f>
        <v/>
      </c>
      <c r="BJ132">
        <f>IF(AND($C42=1,INDEX(Setup!$O$6:$AL$23,11,23)&lt;&gt;"",N42=0),23+IF(INDEX(Setup!$O$6:$AL$23,11,23)="T",100,0),"")</f>
        <v/>
      </c>
      <c r="BK132">
        <f>IF(AND($C43=1,INDEX(Setup!$O$6:$AL$23,11,24)&lt;&gt;"",N43=0),24+IF(INDEX(Setup!$O$6:$AL$23,11,24)="T",100,0),"")</f>
        <v/>
      </c>
      <c r="BM132">
        <f>IF(AND(AN132&lt;&gt;"",COUNTIF($O$57:$Q$57,$B20)+COUNTIF($O$57:$Q$57,$B20&amp;" ~*")=0),($R20+COUNTIF($H$122:$H131,$B20)+COUNTIF($H$122:$H131,$B20&amp;" ~*"))*1000+IF(AN132&gt;100,500,0)+1,"")</f>
        <v/>
      </c>
      <c r="BN132">
        <f>IF(AND(AO132&lt;&gt;"",COUNTIF($O$57:$Q$57,$B21)+COUNTIF($O$57:$Q$57,$B21&amp;" ~*")=0),($R21+COUNTIF($H$122:$H131,$B21)+COUNTIF($H$122:$H131,$B21&amp;" ~*"))*1000+IF(AO132&gt;100,500,0)+2,"")</f>
        <v/>
      </c>
      <c r="BO132">
        <f>IF(AND(AP132&lt;&gt;"",COUNTIF($O$57:$Q$57,$B22)+COUNTIF($O$57:$Q$57,$B22&amp;" ~*")=0),($R22+COUNTIF($H$122:$H131,$B22)+COUNTIF($H$122:$H131,$B22&amp;" ~*"))*1000+IF(AP132&gt;100,500,0)+3,"")</f>
        <v/>
      </c>
      <c r="BP132">
        <f>IF(AND(AQ132&lt;&gt;"",COUNTIF($O$57:$Q$57,$B23)+COUNTIF($O$57:$Q$57,$B23&amp;" ~*")=0),($R23+COUNTIF($H$122:$H131,$B23)+COUNTIF($H$122:$H131,$B23&amp;" ~*"))*1000+IF(AQ132&gt;100,500,0)+4,"")</f>
        <v/>
      </c>
      <c r="BQ132">
        <f>IF(AND(AR132&lt;&gt;"",COUNTIF($O$57:$Q$57,$B24)+COUNTIF($O$57:$Q$57,$B24&amp;" ~*")=0),($R24+COUNTIF($H$122:$H131,$B24)+COUNTIF($H$122:$H131,$B24&amp;" ~*"))*1000+IF(AR132&gt;100,500,0)+5,"")</f>
        <v/>
      </c>
      <c r="BR132">
        <f>IF(AND(AS132&lt;&gt;"",COUNTIF($O$57:$Q$57,$B25)+COUNTIF($O$57:$Q$57,$B25&amp;" ~*")=0),($R25+COUNTIF($H$122:$H131,$B25)+COUNTIF($H$122:$H131,$B25&amp;" ~*"))*1000+IF(AS132&gt;100,500,0)+6,"")</f>
        <v/>
      </c>
      <c r="BS132">
        <f>IF(AND(AT132&lt;&gt;"",COUNTIF($O$57:$Q$57,$B26)+COUNTIF($O$57:$Q$57,$B26&amp;" ~*")=0),($R26+COUNTIF($H$122:$H131,$B26)+COUNTIF($H$122:$H131,$B26&amp;" ~*"))*1000+IF(AT132&gt;100,500,0)+7,"")</f>
        <v/>
      </c>
      <c r="BT132">
        <f>IF(AND(AU132&lt;&gt;"",COUNTIF($O$57:$Q$57,$B27)+COUNTIF($O$57:$Q$57,$B27&amp;" ~*")=0),($R27+COUNTIF($H$122:$H131,$B27)+COUNTIF($H$122:$H131,$B27&amp;" ~*"))*1000+IF(AU132&gt;100,500,0)+8,"")</f>
        <v/>
      </c>
      <c r="BU132">
        <f>IF(AND(AV132&lt;&gt;"",COUNTIF($O$57:$Q$57,$B28)+COUNTIF($O$57:$Q$57,$B28&amp;" ~*")=0),($R28+COUNTIF($H$122:$H131,$B28)+COUNTIF($H$122:$H131,$B28&amp;" ~*"))*1000+IF(AV132&gt;100,500,0)+9,"")</f>
        <v/>
      </c>
      <c r="BV132">
        <f>IF(AND(AW132&lt;&gt;"",COUNTIF($O$57:$Q$57,$B29)+COUNTIF($O$57:$Q$57,$B29&amp;" ~*")=0),($R29+COUNTIF($H$122:$H131,$B29)+COUNTIF($H$122:$H131,$B29&amp;" ~*"))*1000+IF(AW132&gt;100,500,0)+10,"")</f>
        <v/>
      </c>
      <c r="BW132">
        <f>IF(AND(AX132&lt;&gt;"",COUNTIF($O$57:$Q$57,$B30)+COUNTIF($O$57:$Q$57,$B30&amp;" ~*")=0),($R30+COUNTIF($H$122:$H131,$B30)+COUNTIF($H$122:$H131,$B30&amp;" ~*"))*1000+IF(AX132&gt;100,500,0)+11,"")</f>
        <v/>
      </c>
      <c r="BX132">
        <f>IF(AND(AY132&lt;&gt;"",COUNTIF($O$57:$Q$57,$B31)+COUNTIF($O$57:$Q$57,$B31&amp;" ~*")=0),($R31+COUNTIF($H$122:$H131,$B31)+COUNTIF($H$122:$H131,$B31&amp;" ~*"))*1000+IF(AY132&gt;100,500,0)+12,"")</f>
        <v/>
      </c>
      <c r="BY132">
        <f>IF(AND(AZ132&lt;&gt;"",COUNTIF($O$57:$Q$57,$B32)+COUNTIF($O$57:$Q$57,$B32&amp;" ~*")=0),($R32+COUNTIF($H$122:$H131,$B32)+COUNTIF($H$122:$H131,$B32&amp;" ~*"))*1000+IF(AZ132&gt;100,500,0)+13,"")</f>
        <v/>
      </c>
      <c r="BZ132">
        <f>IF(AND(BA132&lt;&gt;"",COUNTIF($O$57:$Q$57,$B33)+COUNTIF($O$57:$Q$57,$B33&amp;" ~*")=0),($R33+COUNTIF($H$122:$H131,$B33)+COUNTIF($H$122:$H131,$B33&amp;" ~*"))*1000+IF(BA132&gt;100,500,0)+14,"")</f>
        <v/>
      </c>
      <c r="CA132">
        <f>IF(AND(BB132&lt;&gt;"",COUNTIF($O$57:$Q$57,$B34)+COUNTIF($O$57:$Q$57,$B34&amp;" ~*")=0),($R34+COUNTIF($H$122:$H131,$B34)+COUNTIF($H$122:$H131,$B34&amp;" ~*"))*1000+IF(BB132&gt;100,500,0)+15,"")</f>
        <v/>
      </c>
      <c r="CB132">
        <f>IF(AND(BC132&lt;&gt;"",COUNTIF($O$57:$Q$57,$B35)+COUNTIF($O$57:$Q$57,$B35&amp;" ~*")=0),($R35+COUNTIF($H$122:$H131,$B35)+COUNTIF($H$122:$H131,$B35&amp;" ~*"))*1000+IF(BC132&gt;100,500,0)+16,"")</f>
        <v/>
      </c>
      <c r="CC132">
        <f>IF(AND(BD132&lt;&gt;"",COUNTIF($O$57:$Q$57,$B36)+COUNTIF($O$57:$Q$57,$B36&amp;" ~*")=0),($R36+COUNTIF($H$122:$H131,$B36)+COUNTIF($H$122:$H131,$B36&amp;" ~*"))*1000+IF(BD132&gt;100,500,0)+17,"")</f>
        <v/>
      </c>
      <c r="CD132">
        <f>IF(AND(BE132&lt;&gt;"",COUNTIF($O$57:$Q$57,$B37)+COUNTIF($O$57:$Q$57,$B37&amp;" ~*")=0),($R37+COUNTIF($H$122:$H131,$B37)+COUNTIF($H$122:$H131,$B37&amp;" ~*"))*1000+IF(BE132&gt;100,500,0)+18,"")</f>
        <v/>
      </c>
      <c r="CE132">
        <f>IF(AND(BF132&lt;&gt;"",COUNTIF($O$57:$Q$57,$B38)+COUNTIF($O$57:$Q$57,$B38&amp;" ~*")=0),($R38+COUNTIF($H$122:$H131,$B38)+COUNTIF($H$122:$H131,$B38&amp;" ~*"))*1000+IF(BF132&gt;100,500,0)+19,"")</f>
        <v/>
      </c>
      <c r="CF132">
        <f>IF(AND(BG132&lt;&gt;"",COUNTIF($O$57:$Q$57,$B39)+COUNTIF($O$57:$Q$57,$B39&amp;" ~*")=0),($R39+COUNTIF($H$122:$H131,$B39)+COUNTIF($H$122:$H131,$B39&amp;" ~*"))*1000+IF(BG132&gt;100,500,0)+20,"")</f>
        <v/>
      </c>
      <c r="CG132">
        <f>IF(AND(BH132&lt;&gt;"",COUNTIF($O$57:$Q$57,$B40)+COUNTIF($O$57:$Q$57,$B40&amp;" ~*")=0),($R40+COUNTIF($H$122:$H131,$B40)+COUNTIF($H$122:$H131,$B40&amp;" ~*"))*1000+IF(BH132&gt;100,500,0)+21,"")</f>
        <v/>
      </c>
      <c r="CH132">
        <f>IF(AND(BI132&lt;&gt;"",COUNTIF($O$57:$Q$57,$B41)+COUNTIF($O$57:$Q$57,$B41&amp;" ~*")=0),($R41+COUNTIF($H$122:$H131,$B41)+COUNTIF($H$122:$H131,$B41&amp;" ~*"))*1000+IF(BI132&gt;100,500,0)+22,"")</f>
        <v/>
      </c>
      <c r="CI132">
        <f>IF(AND(BJ132&lt;&gt;"",COUNTIF($O$57:$Q$57,$B42)+COUNTIF($O$57:$Q$57,$B42&amp;" ~*")=0),($R42+COUNTIF($H$122:$H131,$B42)+COUNTIF($H$122:$H131,$B42&amp;" ~*"))*1000+IF(BJ132&gt;100,500,0)+23,"")</f>
        <v/>
      </c>
      <c r="CJ132">
        <f>IF(AND(BK132&lt;&gt;"",COUNTIF($O$57:$Q$57,$B43)+COUNTIF($O$57:$Q$57,$B43&amp;" ~*")=0),($R43+COUNTIF($H$122:$H131,$B43)+COUNTIF($H$122:$H131,$B43&amp;" ~*"))*1000+IF(BK132&gt;100,500,0)+24,"")</f>
        <v/>
      </c>
    </row>
    <row r="133">
      <c r="A133" t="n">
        <v>4</v>
      </c>
      <c r="B133" t="n">
        <v>12</v>
      </c>
      <c r="C133">
        <f>$B$58</f>
        <v/>
      </c>
      <c r="D133" t="inlineStr">
        <is>
          <t>Thu</t>
        </is>
      </c>
      <c r="E133">
        <f>IF(C133="","",N($AB$58))</f>
        <v/>
      </c>
      <c r="F133">
        <f>IF(C133="","",COUNTIF($O$58:$Q$58,"?*"))</f>
        <v/>
      </c>
      <c r="G133">
        <f>IF(C133="","",MAX(0,E133-F133))</f>
        <v/>
      </c>
      <c r="H133">
        <f>IF(N(G133)=0,"",IF(COUNT(BM133:CJ133)=0,"no-one eligible",INDEX(Engine!$B$20:$B$43,MOD(MIN(BM133:CJ133),500))&amp;IF(MOD(MIN(BM133:CJ133),1000)&gt;=500," *","")))</f>
        <v/>
      </c>
      <c r="I133">
        <f>IF(N(G133)&gt;0,COUNTIF($G$68:G133,"&gt;0"),"")</f>
        <v/>
      </c>
      <c r="J133">
        <f>IF(C133="","",IF($O$58="",0,IF(IFERROR(INDEX(Setup!$O$6:$AL$23,12,MATCH(SUBSTITUTE($O$58," *",""),Setup!$B$6:$B$29,0)),"")="",1,0))+IF($P$58="",0,IF(IFERROR(INDEX(Setup!$O$6:$AL$23,12,MATCH(SUBSTITUTE($P$58," *",""),Setup!$B$6:$B$29,0)),"")="",1,0))+IF($Q$58="",0,IF(IFERROR(INDEX(Setup!$O$6:$AL$23,12,MATCH(SUBSTITUTE($Q$58," *",""),Setup!$B$6:$B$29,0)),"")="",1,0)))</f>
        <v/>
      </c>
      <c r="K133">
        <f>IF($B$12+3=TODAY(),1,0)</f>
        <v/>
      </c>
      <c r="N133">
        <f>COUNT($AN133:$BK133)</f>
        <v/>
      </c>
      <c r="O133">
        <f>IF(1&gt;$N133,"",INDEX(Engine!$B$20:$B$43,MOD(SMALL($AN133:$BK133,1),100))&amp;IF(SMALL($AN133:$BK133,1)&gt;100," *",""))</f>
        <v/>
      </c>
      <c r="P133">
        <f>IF(2&gt;$N133,"",INDEX(Engine!$B$20:$B$43,MOD(SMALL($AN133:$BK133,2),100))&amp;IF(SMALL($AN133:$BK133,2)&gt;100," *",""))</f>
        <v/>
      </c>
      <c r="Q133">
        <f>IF(3&gt;$N133,"",INDEX(Engine!$B$20:$B$43,MOD(SMALL($AN133:$BK133,3),100))&amp;IF(SMALL($AN133:$BK133,3)&gt;100," *",""))</f>
        <v/>
      </c>
      <c r="R133">
        <f>IF(4&gt;$N133,"",INDEX(Engine!$B$20:$B$43,MOD(SMALL($AN133:$BK133,4),100))&amp;IF(SMALL($AN133:$BK133,4)&gt;100," *",""))</f>
        <v/>
      </c>
      <c r="S133">
        <f>IF(5&gt;$N133,"",INDEX(Engine!$B$20:$B$43,MOD(SMALL($AN133:$BK133,5),100))&amp;IF(SMALL($AN133:$BK133,5)&gt;100," *",""))</f>
        <v/>
      </c>
      <c r="T133">
        <f>IF(6&gt;$N133,"",INDEX(Engine!$B$20:$B$43,MOD(SMALL($AN133:$BK133,6),100))&amp;IF(SMALL($AN133:$BK133,6)&gt;100," *",""))</f>
        <v/>
      </c>
      <c r="U133">
        <f>IF(7&gt;$N133,"",INDEX(Engine!$B$20:$B$43,MOD(SMALL($AN133:$BK133,7),100))&amp;IF(SMALL($AN133:$BK133,7)&gt;100," *",""))</f>
        <v/>
      </c>
      <c r="V133">
        <f>IF(8&gt;$N133,"",INDEX(Engine!$B$20:$B$43,MOD(SMALL($AN133:$BK133,8),100))&amp;IF(SMALL($AN133:$BK133,8)&gt;100," *",""))</f>
        <v/>
      </c>
      <c r="W133">
        <f>IF(9&gt;$N133,"",INDEX(Engine!$B$20:$B$43,MOD(SMALL($AN133:$BK133,9),100))&amp;IF(SMALL($AN133:$BK133,9)&gt;100," *",""))</f>
        <v/>
      </c>
      <c r="X133">
        <f>IF(10&gt;$N133,"",INDEX(Engine!$B$20:$B$43,MOD(SMALL($AN133:$BK133,10),100))&amp;IF(SMALL($AN133:$BK133,10)&gt;100," *",""))</f>
        <v/>
      </c>
      <c r="Y133">
        <f>IF(11&gt;$N133,"",INDEX(Engine!$B$20:$B$43,MOD(SMALL($AN133:$BK133,11),100))&amp;IF(SMALL($AN133:$BK133,11)&gt;100," *",""))</f>
        <v/>
      </c>
      <c r="Z133">
        <f>IF(12&gt;$N133,"",INDEX(Engine!$B$20:$B$43,MOD(SMALL($AN133:$BK133,12),100))&amp;IF(SMALL($AN133:$BK133,12)&gt;100," *",""))</f>
        <v/>
      </c>
      <c r="AA133">
        <f>IF(13&gt;$N133,"",INDEX(Engine!$B$20:$B$43,MOD(SMALL($AN133:$BK133,13),100))&amp;IF(SMALL($AN133:$BK133,13)&gt;100," *",""))</f>
        <v/>
      </c>
      <c r="AB133">
        <f>IF(14&gt;$N133,"",INDEX(Engine!$B$20:$B$43,MOD(SMALL($AN133:$BK133,14),100))&amp;IF(SMALL($AN133:$BK133,14)&gt;100," *",""))</f>
        <v/>
      </c>
      <c r="AC133">
        <f>IF(15&gt;$N133,"",INDEX(Engine!$B$20:$B$43,MOD(SMALL($AN133:$BK133,15),100))&amp;IF(SMALL($AN133:$BK133,15)&gt;100," *",""))</f>
        <v/>
      </c>
      <c r="AD133">
        <f>IF(16&gt;$N133,"",INDEX(Engine!$B$20:$B$43,MOD(SMALL($AN133:$BK133,16),100))&amp;IF(SMALL($AN133:$BK133,16)&gt;100," *",""))</f>
        <v/>
      </c>
      <c r="AE133">
        <f>IF(17&gt;$N133,"",INDEX(Engine!$B$20:$B$43,MOD(SMALL($AN133:$BK133,17),100))&amp;IF(SMALL($AN133:$BK133,17)&gt;100," *",""))</f>
        <v/>
      </c>
      <c r="AF133">
        <f>IF(18&gt;$N133,"",INDEX(Engine!$B$20:$B$43,MOD(SMALL($AN133:$BK133,18),100))&amp;IF(SMALL($AN133:$BK133,18)&gt;100," *",""))</f>
        <v/>
      </c>
      <c r="AG133">
        <f>IF(19&gt;$N133,"",INDEX(Engine!$B$20:$B$43,MOD(SMALL($AN133:$BK133,19),100))&amp;IF(SMALL($AN133:$BK133,19)&gt;100," *",""))</f>
        <v/>
      </c>
      <c r="AH133">
        <f>IF(20&gt;$N133,"",INDEX(Engine!$B$20:$B$43,MOD(SMALL($AN133:$BK133,20),100))&amp;IF(SMALL($AN133:$BK133,20)&gt;100," *",""))</f>
        <v/>
      </c>
      <c r="AI133">
        <f>IF(21&gt;$N133,"",INDEX(Engine!$B$20:$B$43,MOD(SMALL($AN133:$BK133,21),100))&amp;IF(SMALL($AN133:$BK133,21)&gt;100," *",""))</f>
        <v/>
      </c>
      <c r="AJ133">
        <f>IF(22&gt;$N133,"",INDEX(Engine!$B$20:$B$43,MOD(SMALL($AN133:$BK133,22),100))&amp;IF(SMALL($AN133:$BK133,22)&gt;100," *",""))</f>
        <v/>
      </c>
      <c r="AK133">
        <f>IF(23&gt;$N133,"",INDEX(Engine!$B$20:$B$43,MOD(SMALL($AN133:$BK133,23),100))&amp;IF(SMALL($AN133:$BK133,23)&gt;100," *",""))</f>
        <v/>
      </c>
      <c r="AL133">
        <f>IF(24&gt;$N133,"",INDEX(Engine!$B$20:$B$43,MOD(SMALL($AN133:$BK133,24),100))&amp;IF(SMALL($AN133:$BK133,24)&gt;100," *",""))</f>
        <v/>
      </c>
      <c r="AN133">
        <f>IF(AND($C20=1,INDEX(Setup!$O$6:$AL$23,12,1)&lt;&gt;"",N20=0),1+IF(INDEX(Setup!$O$6:$AL$23,12,1)="T",100,0),"")</f>
        <v/>
      </c>
      <c r="AO133">
        <f>IF(AND($C21=1,INDEX(Setup!$O$6:$AL$23,12,2)&lt;&gt;"",N21=0),2+IF(INDEX(Setup!$O$6:$AL$23,12,2)="T",100,0),"")</f>
        <v/>
      </c>
      <c r="AP133">
        <f>IF(AND($C22=1,INDEX(Setup!$O$6:$AL$23,12,3)&lt;&gt;"",N22=0),3+IF(INDEX(Setup!$O$6:$AL$23,12,3)="T",100,0),"")</f>
        <v/>
      </c>
      <c r="AQ133">
        <f>IF(AND($C23=1,INDEX(Setup!$O$6:$AL$23,12,4)&lt;&gt;"",N23=0),4+IF(INDEX(Setup!$O$6:$AL$23,12,4)="T",100,0),"")</f>
        <v/>
      </c>
      <c r="AR133">
        <f>IF(AND($C24=1,INDEX(Setup!$O$6:$AL$23,12,5)&lt;&gt;"",N24=0),5+IF(INDEX(Setup!$O$6:$AL$23,12,5)="T",100,0),"")</f>
        <v/>
      </c>
      <c r="AS133">
        <f>IF(AND($C25=1,INDEX(Setup!$O$6:$AL$23,12,6)&lt;&gt;"",N25=0),6+IF(INDEX(Setup!$O$6:$AL$23,12,6)="T",100,0),"")</f>
        <v/>
      </c>
      <c r="AT133">
        <f>IF(AND($C26=1,INDEX(Setup!$O$6:$AL$23,12,7)&lt;&gt;"",N26=0),7+IF(INDEX(Setup!$O$6:$AL$23,12,7)="T",100,0),"")</f>
        <v/>
      </c>
      <c r="AU133">
        <f>IF(AND($C27=1,INDEX(Setup!$O$6:$AL$23,12,8)&lt;&gt;"",N27=0),8+IF(INDEX(Setup!$O$6:$AL$23,12,8)="T",100,0),"")</f>
        <v/>
      </c>
      <c r="AV133">
        <f>IF(AND($C28=1,INDEX(Setup!$O$6:$AL$23,12,9)&lt;&gt;"",N28=0),9+IF(INDEX(Setup!$O$6:$AL$23,12,9)="T",100,0),"")</f>
        <v/>
      </c>
      <c r="AW133">
        <f>IF(AND($C29=1,INDEX(Setup!$O$6:$AL$23,12,10)&lt;&gt;"",N29=0),10+IF(INDEX(Setup!$O$6:$AL$23,12,10)="T",100,0),"")</f>
        <v/>
      </c>
      <c r="AX133">
        <f>IF(AND($C30=1,INDEX(Setup!$O$6:$AL$23,12,11)&lt;&gt;"",N30=0),11+IF(INDEX(Setup!$O$6:$AL$23,12,11)="T",100,0),"")</f>
        <v/>
      </c>
      <c r="AY133">
        <f>IF(AND($C31=1,INDEX(Setup!$O$6:$AL$23,12,12)&lt;&gt;"",N31=0),12+IF(INDEX(Setup!$O$6:$AL$23,12,12)="T",100,0),"")</f>
        <v/>
      </c>
      <c r="AZ133">
        <f>IF(AND($C32=1,INDEX(Setup!$O$6:$AL$23,12,13)&lt;&gt;"",N32=0),13+IF(INDEX(Setup!$O$6:$AL$23,12,13)="T",100,0),"")</f>
        <v/>
      </c>
      <c r="BA133">
        <f>IF(AND($C33=1,INDEX(Setup!$O$6:$AL$23,12,14)&lt;&gt;"",N33=0),14+IF(INDEX(Setup!$O$6:$AL$23,12,14)="T",100,0),"")</f>
        <v/>
      </c>
      <c r="BB133">
        <f>IF(AND($C34=1,INDEX(Setup!$O$6:$AL$23,12,15)&lt;&gt;"",N34=0),15+IF(INDEX(Setup!$O$6:$AL$23,12,15)="T",100,0),"")</f>
        <v/>
      </c>
      <c r="BC133">
        <f>IF(AND($C35=1,INDEX(Setup!$O$6:$AL$23,12,16)&lt;&gt;"",N35=0),16+IF(INDEX(Setup!$O$6:$AL$23,12,16)="T",100,0),"")</f>
        <v/>
      </c>
      <c r="BD133">
        <f>IF(AND($C36=1,INDEX(Setup!$O$6:$AL$23,12,17)&lt;&gt;"",N36=0),17+IF(INDEX(Setup!$O$6:$AL$23,12,17)="T",100,0),"")</f>
        <v/>
      </c>
      <c r="BE133">
        <f>IF(AND($C37=1,INDEX(Setup!$O$6:$AL$23,12,18)&lt;&gt;"",N37=0),18+IF(INDEX(Setup!$O$6:$AL$23,12,18)="T",100,0),"")</f>
        <v/>
      </c>
      <c r="BF133">
        <f>IF(AND($C38=1,INDEX(Setup!$O$6:$AL$23,12,19)&lt;&gt;"",N38=0),19+IF(INDEX(Setup!$O$6:$AL$23,12,19)="T",100,0),"")</f>
        <v/>
      </c>
      <c r="BG133">
        <f>IF(AND($C39=1,INDEX(Setup!$O$6:$AL$23,12,20)&lt;&gt;"",N39=0),20+IF(INDEX(Setup!$O$6:$AL$23,12,20)="T",100,0),"")</f>
        <v/>
      </c>
      <c r="BH133">
        <f>IF(AND($C40=1,INDEX(Setup!$O$6:$AL$23,12,21)&lt;&gt;"",N40=0),21+IF(INDEX(Setup!$O$6:$AL$23,12,21)="T",100,0),"")</f>
        <v/>
      </c>
      <c r="BI133">
        <f>IF(AND($C41=1,INDEX(Setup!$O$6:$AL$23,12,22)&lt;&gt;"",N41=0),22+IF(INDEX(Setup!$O$6:$AL$23,12,22)="T",100,0),"")</f>
        <v/>
      </c>
      <c r="BJ133">
        <f>IF(AND($C42=1,INDEX(Setup!$O$6:$AL$23,12,23)&lt;&gt;"",N42=0),23+IF(INDEX(Setup!$O$6:$AL$23,12,23)="T",100,0),"")</f>
        <v/>
      </c>
      <c r="BK133">
        <f>IF(AND($C43=1,INDEX(Setup!$O$6:$AL$23,12,24)&lt;&gt;"",N43=0),24+IF(INDEX(Setup!$O$6:$AL$23,12,24)="T",100,0),"")</f>
        <v/>
      </c>
      <c r="BM133">
        <f>IF(AND(AN133&lt;&gt;"",COUNTIF($O$58:$Q$58,$B20)+COUNTIF($O$58:$Q$58,$B20&amp;" ~*")=0),($R20+COUNTIF($H$122:$H132,$B20)+COUNTIF($H$122:$H132,$B20&amp;" ~*"))*1000+IF(AN133&gt;100,500,0)+1,"")</f>
        <v/>
      </c>
      <c r="BN133">
        <f>IF(AND(AO133&lt;&gt;"",COUNTIF($O$58:$Q$58,$B21)+COUNTIF($O$58:$Q$58,$B21&amp;" ~*")=0),($R21+COUNTIF($H$122:$H132,$B21)+COUNTIF($H$122:$H132,$B21&amp;" ~*"))*1000+IF(AO133&gt;100,500,0)+2,"")</f>
        <v/>
      </c>
      <c r="BO133">
        <f>IF(AND(AP133&lt;&gt;"",COUNTIF($O$58:$Q$58,$B22)+COUNTIF($O$58:$Q$58,$B22&amp;" ~*")=0),($R22+COUNTIF($H$122:$H132,$B22)+COUNTIF($H$122:$H132,$B22&amp;" ~*"))*1000+IF(AP133&gt;100,500,0)+3,"")</f>
        <v/>
      </c>
      <c r="BP133">
        <f>IF(AND(AQ133&lt;&gt;"",COUNTIF($O$58:$Q$58,$B23)+COUNTIF($O$58:$Q$58,$B23&amp;" ~*")=0),($R23+COUNTIF($H$122:$H132,$B23)+COUNTIF($H$122:$H132,$B23&amp;" ~*"))*1000+IF(AQ133&gt;100,500,0)+4,"")</f>
        <v/>
      </c>
      <c r="BQ133">
        <f>IF(AND(AR133&lt;&gt;"",COUNTIF($O$58:$Q$58,$B24)+COUNTIF($O$58:$Q$58,$B24&amp;" ~*")=0),($R24+COUNTIF($H$122:$H132,$B24)+COUNTIF($H$122:$H132,$B24&amp;" ~*"))*1000+IF(AR133&gt;100,500,0)+5,"")</f>
        <v/>
      </c>
      <c r="BR133">
        <f>IF(AND(AS133&lt;&gt;"",COUNTIF($O$58:$Q$58,$B25)+COUNTIF($O$58:$Q$58,$B25&amp;" ~*")=0),($R25+COUNTIF($H$122:$H132,$B25)+COUNTIF($H$122:$H132,$B25&amp;" ~*"))*1000+IF(AS133&gt;100,500,0)+6,"")</f>
        <v/>
      </c>
      <c r="BS133">
        <f>IF(AND(AT133&lt;&gt;"",COUNTIF($O$58:$Q$58,$B26)+COUNTIF($O$58:$Q$58,$B26&amp;" ~*")=0),($R26+COUNTIF($H$122:$H132,$B26)+COUNTIF($H$122:$H132,$B26&amp;" ~*"))*1000+IF(AT133&gt;100,500,0)+7,"")</f>
        <v/>
      </c>
      <c r="BT133">
        <f>IF(AND(AU133&lt;&gt;"",COUNTIF($O$58:$Q$58,$B27)+COUNTIF($O$58:$Q$58,$B27&amp;" ~*")=0),($R27+COUNTIF($H$122:$H132,$B27)+COUNTIF($H$122:$H132,$B27&amp;" ~*"))*1000+IF(AU133&gt;100,500,0)+8,"")</f>
        <v/>
      </c>
      <c r="BU133">
        <f>IF(AND(AV133&lt;&gt;"",COUNTIF($O$58:$Q$58,$B28)+COUNTIF($O$58:$Q$58,$B28&amp;" ~*")=0),($R28+COUNTIF($H$122:$H132,$B28)+COUNTIF($H$122:$H132,$B28&amp;" ~*"))*1000+IF(AV133&gt;100,500,0)+9,"")</f>
        <v/>
      </c>
      <c r="BV133">
        <f>IF(AND(AW133&lt;&gt;"",COUNTIF($O$58:$Q$58,$B29)+COUNTIF($O$58:$Q$58,$B29&amp;" ~*")=0),($R29+COUNTIF($H$122:$H132,$B29)+COUNTIF($H$122:$H132,$B29&amp;" ~*"))*1000+IF(AW133&gt;100,500,0)+10,"")</f>
        <v/>
      </c>
      <c r="BW133">
        <f>IF(AND(AX133&lt;&gt;"",COUNTIF($O$58:$Q$58,$B30)+COUNTIF($O$58:$Q$58,$B30&amp;" ~*")=0),($R30+COUNTIF($H$122:$H132,$B30)+COUNTIF($H$122:$H132,$B30&amp;" ~*"))*1000+IF(AX133&gt;100,500,0)+11,"")</f>
        <v/>
      </c>
      <c r="BX133">
        <f>IF(AND(AY133&lt;&gt;"",COUNTIF($O$58:$Q$58,$B31)+COUNTIF($O$58:$Q$58,$B31&amp;" ~*")=0),($R31+COUNTIF($H$122:$H132,$B31)+COUNTIF($H$122:$H132,$B31&amp;" ~*"))*1000+IF(AY133&gt;100,500,0)+12,"")</f>
        <v/>
      </c>
      <c r="BY133">
        <f>IF(AND(AZ133&lt;&gt;"",COUNTIF($O$58:$Q$58,$B32)+COUNTIF($O$58:$Q$58,$B32&amp;" ~*")=0),($R32+COUNTIF($H$122:$H132,$B32)+COUNTIF($H$122:$H132,$B32&amp;" ~*"))*1000+IF(AZ133&gt;100,500,0)+13,"")</f>
        <v/>
      </c>
      <c r="BZ133">
        <f>IF(AND(BA133&lt;&gt;"",COUNTIF($O$58:$Q$58,$B33)+COUNTIF($O$58:$Q$58,$B33&amp;" ~*")=0),($R33+COUNTIF($H$122:$H132,$B33)+COUNTIF($H$122:$H132,$B33&amp;" ~*"))*1000+IF(BA133&gt;100,500,0)+14,"")</f>
        <v/>
      </c>
      <c r="CA133">
        <f>IF(AND(BB133&lt;&gt;"",COUNTIF($O$58:$Q$58,$B34)+COUNTIF($O$58:$Q$58,$B34&amp;" ~*")=0),($R34+COUNTIF($H$122:$H132,$B34)+COUNTIF($H$122:$H132,$B34&amp;" ~*"))*1000+IF(BB133&gt;100,500,0)+15,"")</f>
        <v/>
      </c>
      <c r="CB133">
        <f>IF(AND(BC133&lt;&gt;"",COUNTIF($O$58:$Q$58,$B35)+COUNTIF($O$58:$Q$58,$B35&amp;" ~*")=0),($R35+COUNTIF($H$122:$H132,$B35)+COUNTIF($H$122:$H132,$B35&amp;" ~*"))*1000+IF(BC133&gt;100,500,0)+16,"")</f>
        <v/>
      </c>
      <c r="CC133">
        <f>IF(AND(BD133&lt;&gt;"",COUNTIF($O$58:$Q$58,$B36)+COUNTIF($O$58:$Q$58,$B36&amp;" ~*")=0),($R36+COUNTIF($H$122:$H132,$B36)+COUNTIF($H$122:$H132,$B36&amp;" ~*"))*1000+IF(BD133&gt;100,500,0)+17,"")</f>
        <v/>
      </c>
      <c r="CD133">
        <f>IF(AND(BE133&lt;&gt;"",COUNTIF($O$58:$Q$58,$B37)+COUNTIF($O$58:$Q$58,$B37&amp;" ~*")=0),($R37+COUNTIF($H$122:$H132,$B37)+COUNTIF($H$122:$H132,$B37&amp;" ~*"))*1000+IF(BE133&gt;100,500,0)+18,"")</f>
        <v/>
      </c>
      <c r="CE133">
        <f>IF(AND(BF133&lt;&gt;"",COUNTIF($O$58:$Q$58,$B38)+COUNTIF($O$58:$Q$58,$B38&amp;" ~*")=0),($R38+COUNTIF($H$122:$H132,$B38)+COUNTIF($H$122:$H132,$B38&amp;" ~*"))*1000+IF(BF133&gt;100,500,0)+19,"")</f>
        <v/>
      </c>
      <c r="CF133">
        <f>IF(AND(BG133&lt;&gt;"",COUNTIF($O$58:$Q$58,$B39)+COUNTIF($O$58:$Q$58,$B39&amp;" ~*")=0),($R39+COUNTIF($H$122:$H132,$B39)+COUNTIF($H$122:$H132,$B39&amp;" ~*"))*1000+IF(BG133&gt;100,500,0)+20,"")</f>
        <v/>
      </c>
      <c r="CG133">
        <f>IF(AND(BH133&lt;&gt;"",COUNTIF($O$58:$Q$58,$B40)+COUNTIF($O$58:$Q$58,$B40&amp;" ~*")=0),($R40+COUNTIF($H$122:$H132,$B40)+COUNTIF($H$122:$H132,$B40&amp;" ~*"))*1000+IF(BH133&gt;100,500,0)+21,"")</f>
        <v/>
      </c>
      <c r="CH133">
        <f>IF(AND(BI133&lt;&gt;"",COUNTIF($O$58:$Q$58,$B41)+COUNTIF($O$58:$Q$58,$B41&amp;" ~*")=0),($R41+COUNTIF($H$122:$H132,$B41)+COUNTIF($H$122:$H132,$B41&amp;" ~*"))*1000+IF(BI133&gt;100,500,0)+22,"")</f>
        <v/>
      </c>
      <c r="CI133">
        <f>IF(AND(BJ133&lt;&gt;"",COUNTIF($O$58:$Q$58,$B42)+COUNTIF($O$58:$Q$58,$B42&amp;" ~*")=0),($R42+COUNTIF($H$122:$H132,$B42)+COUNTIF($H$122:$H132,$B42&amp;" ~*"))*1000+IF(BJ133&gt;100,500,0)+23,"")</f>
        <v/>
      </c>
      <c r="CJ133">
        <f>IF(AND(BK133&lt;&gt;"",COUNTIF($O$58:$Q$58,$B43)+COUNTIF($O$58:$Q$58,$B43&amp;" ~*")=0),($R43+COUNTIF($H$122:$H132,$B43)+COUNTIF($H$122:$H132,$B43&amp;" ~*"))*1000+IF(BK133&gt;100,500,0)+24,"")</f>
        <v/>
      </c>
    </row>
    <row r="134">
      <c r="A134" t="n">
        <v>4</v>
      </c>
      <c r="B134" t="n">
        <v>13</v>
      </c>
      <c r="C134">
        <f>$B$59</f>
        <v/>
      </c>
      <c r="D134" t="inlineStr">
        <is>
          <t>Thu</t>
        </is>
      </c>
      <c r="E134">
        <f>IF(C134="","",N($AB$59))</f>
        <v/>
      </c>
      <c r="F134">
        <f>IF(C134="","",COUNTIF($O$59:$Q$59,"?*"))</f>
        <v/>
      </c>
      <c r="G134">
        <f>IF(C134="","",MAX(0,E134-F134))</f>
        <v/>
      </c>
      <c r="H134">
        <f>IF(N(G134)=0,"",IF(COUNT(BM134:CJ134)=0,"no-one eligible",INDEX(Engine!$B$20:$B$43,MOD(MIN(BM134:CJ134),500))&amp;IF(MOD(MIN(BM134:CJ134),1000)&gt;=500," *","")))</f>
        <v/>
      </c>
      <c r="I134">
        <f>IF(N(G134)&gt;0,COUNTIF($G$68:G134,"&gt;0"),"")</f>
        <v/>
      </c>
      <c r="J134">
        <f>IF(C134="","",IF($O$59="",0,IF(IFERROR(INDEX(Setup!$O$6:$AL$23,13,MATCH(SUBSTITUTE($O$59," *",""),Setup!$B$6:$B$29,0)),"")="",1,0))+IF($P$59="",0,IF(IFERROR(INDEX(Setup!$O$6:$AL$23,13,MATCH(SUBSTITUTE($P$59," *",""),Setup!$B$6:$B$29,0)),"")="",1,0))+IF($Q$59="",0,IF(IFERROR(INDEX(Setup!$O$6:$AL$23,13,MATCH(SUBSTITUTE($Q$59," *",""),Setup!$B$6:$B$29,0)),"")="",1,0)))</f>
        <v/>
      </c>
      <c r="K134">
        <f>IF($B$12+3=TODAY(),1,0)</f>
        <v/>
      </c>
      <c r="N134">
        <f>COUNT($AN134:$BK134)</f>
        <v/>
      </c>
      <c r="O134">
        <f>IF(1&gt;$N134,"",INDEX(Engine!$B$20:$B$43,MOD(SMALL($AN134:$BK134,1),100))&amp;IF(SMALL($AN134:$BK134,1)&gt;100," *",""))</f>
        <v/>
      </c>
      <c r="P134">
        <f>IF(2&gt;$N134,"",INDEX(Engine!$B$20:$B$43,MOD(SMALL($AN134:$BK134,2),100))&amp;IF(SMALL($AN134:$BK134,2)&gt;100," *",""))</f>
        <v/>
      </c>
      <c r="Q134">
        <f>IF(3&gt;$N134,"",INDEX(Engine!$B$20:$B$43,MOD(SMALL($AN134:$BK134,3),100))&amp;IF(SMALL($AN134:$BK134,3)&gt;100," *",""))</f>
        <v/>
      </c>
      <c r="R134">
        <f>IF(4&gt;$N134,"",INDEX(Engine!$B$20:$B$43,MOD(SMALL($AN134:$BK134,4),100))&amp;IF(SMALL($AN134:$BK134,4)&gt;100," *",""))</f>
        <v/>
      </c>
      <c r="S134">
        <f>IF(5&gt;$N134,"",INDEX(Engine!$B$20:$B$43,MOD(SMALL($AN134:$BK134,5),100))&amp;IF(SMALL($AN134:$BK134,5)&gt;100," *",""))</f>
        <v/>
      </c>
      <c r="T134">
        <f>IF(6&gt;$N134,"",INDEX(Engine!$B$20:$B$43,MOD(SMALL($AN134:$BK134,6),100))&amp;IF(SMALL($AN134:$BK134,6)&gt;100," *",""))</f>
        <v/>
      </c>
      <c r="U134">
        <f>IF(7&gt;$N134,"",INDEX(Engine!$B$20:$B$43,MOD(SMALL($AN134:$BK134,7),100))&amp;IF(SMALL($AN134:$BK134,7)&gt;100," *",""))</f>
        <v/>
      </c>
      <c r="V134">
        <f>IF(8&gt;$N134,"",INDEX(Engine!$B$20:$B$43,MOD(SMALL($AN134:$BK134,8),100))&amp;IF(SMALL($AN134:$BK134,8)&gt;100," *",""))</f>
        <v/>
      </c>
      <c r="W134">
        <f>IF(9&gt;$N134,"",INDEX(Engine!$B$20:$B$43,MOD(SMALL($AN134:$BK134,9),100))&amp;IF(SMALL($AN134:$BK134,9)&gt;100," *",""))</f>
        <v/>
      </c>
      <c r="X134">
        <f>IF(10&gt;$N134,"",INDEX(Engine!$B$20:$B$43,MOD(SMALL($AN134:$BK134,10),100))&amp;IF(SMALL($AN134:$BK134,10)&gt;100," *",""))</f>
        <v/>
      </c>
      <c r="Y134">
        <f>IF(11&gt;$N134,"",INDEX(Engine!$B$20:$B$43,MOD(SMALL($AN134:$BK134,11),100))&amp;IF(SMALL($AN134:$BK134,11)&gt;100," *",""))</f>
        <v/>
      </c>
      <c r="Z134">
        <f>IF(12&gt;$N134,"",INDEX(Engine!$B$20:$B$43,MOD(SMALL($AN134:$BK134,12),100))&amp;IF(SMALL($AN134:$BK134,12)&gt;100," *",""))</f>
        <v/>
      </c>
      <c r="AA134">
        <f>IF(13&gt;$N134,"",INDEX(Engine!$B$20:$B$43,MOD(SMALL($AN134:$BK134,13),100))&amp;IF(SMALL($AN134:$BK134,13)&gt;100," *",""))</f>
        <v/>
      </c>
      <c r="AB134">
        <f>IF(14&gt;$N134,"",INDEX(Engine!$B$20:$B$43,MOD(SMALL($AN134:$BK134,14),100))&amp;IF(SMALL($AN134:$BK134,14)&gt;100," *",""))</f>
        <v/>
      </c>
      <c r="AC134">
        <f>IF(15&gt;$N134,"",INDEX(Engine!$B$20:$B$43,MOD(SMALL($AN134:$BK134,15),100))&amp;IF(SMALL($AN134:$BK134,15)&gt;100," *",""))</f>
        <v/>
      </c>
      <c r="AD134">
        <f>IF(16&gt;$N134,"",INDEX(Engine!$B$20:$B$43,MOD(SMALL($AN134:$BK134,16),100))&amp;IF(SMALL($AN134:$BK134,16)&gt;100," *",""))</f>
        <v/>
      </c>
      <c r="AE134">
        <f>IF(17&gt;$N134,"",INDEX(Engine!$B$20:$B$43,MOD(SMALL($AN134:$BK134,17),100))&amp;IF(SMALL($AN134:$BK134,17)&gt;100," *",""))</f>
        <v/>
      </c>
      <c r="AF134">
        <f>IF(18&gt;$N134,"",INDEX(Engine!$B$20:$B$43,MOD(SMALL($AN134:$BK134,18),100))&amp;IF(SMALL($AN134:$BK134,18)&gt;100," *",""))</f>
        <v/>
      </c>
      <c r="AG134">
        <f>IF(19&gt;$N134,"",INDEX(Engine!$B$20:$B$43,MOD(SMALL($AN134:$BK134,19),100))&amp;IF(SMALL($AN134:$BK134,19)&gt;100," *",""))</f>
        <v/>
      </c>
      <c r="AH134">
        <f>IF(20&gt;$N134,"",INDEX(Engine!$B$20:$B$43,MOD(SMALL($AN134:$BK134,20),100))&amp;IF(SMALL($AN134:$BK134,20)&gt;100," *",""))</f>
        <v/>
      </c>
      <c r="AI134">
        <f>IF(21&gt;$N134,"",INDEX(Engine!$B$20:$B$43,MOD(SMALL($AN134:$BK134,21),100))&amp;IF(SMALL($AN134:$BK134,21)&gt;100," *",""))</f>
        <v/>
      </c>
      <c r="AJ134">
        <f>IF(22&gt;$N134,"",INDEX(Engine!$B$20:$B$43,MOD(SMALL($AN134:$BK134,22),100))&amp;IF(SMALL($AN134:$BK134,22)&gt;100," *",""))</f>
        <v/>
      </c>
      <c r="AK134">
        <f>IF(23&gt;$N134,"",INDEX(Engine!$B$20:$B$43,MOD(SMALL($AN134:$BK134,23),100))&amp;IF(SMALL($AN134:$BK134,23)&gt;100," *",""))</f>
        <v/>
      </c>
      <c r="AL134">
        <f>IF(24&gt;$N134,"",INDEX(Engine!$B$20:$B$43,MOD(SMALL($AN134:$BK134,24),100))&amp;IF(SMALL($AN134:$BK134,24)&gt;100," *",""))</f>
        <v/>
      </c>
      <c r="AN134">
        <f>IF(AND($C20=1,INDEX(Setup!$O$6:$AL$23,13,1)&lt;&gt;"",N20=0),1+IF(INDEX(Setup!$O$6:$AL$23,13,1)="T",100,0),"")</f>
        <v/>
      </c>
      <c r="AO134">
        <f>IF(AND($C21=1,INDEX(Setup!$O$6:$AL$23,13,2)&lt;&gt;"",N21=0),2+IF(INDEX(Setup!$O$6:$AL$23,13,2)="T",100,0),"")</f>
        <v/>
      </c>
      <c r="AP134">
        <f>IF(AND($C22=1,INDEX(Setup!$O$6:$AL$23,13,3)&lt;&gt;"",N22=0),3+IF(INDEX(Setup!$O$6:$AL$23,13,3)="T",100,0),"")</f>
        <v/>
      </c>
      <c r="AQ134">
        <f>IF(AND($C23=1,INDEX(Setup!$O$6:$AL$23,13,4)&lt;&gt;"",N23=0),4+IF(INDEX(Setup!$O$6:$AL$23,13,4)="T",100,0),"")</f>
        <v/>
      </c>
      <c r="AR134">
        <f>IF(AND($C24=1,INDEX(Setup!$O$6:$AL$23,13,5)&lt;&gt;"",N24=0),5+IF(INDEX(Setup!$O$6:$AL$23,13,5)="T",100,0),"")</f>
        <v/>
      </c>
      <c r="AS134">
        <f>IF(AND($C25=1,INDEX(Setup!$O$6:$AL$23,13,6)&lt;&gt;"",N25=0),6+IF(INDEX(Setup!$O$6:$AL$23,13,6)="T",100,0),"")</f>
        <v/>
      </c>
      <c r="AT134">
        <f>IF(AND($C26=1,INDEX(Setup!$O$6:$AL$23,13,7)&lt;&gt;"",N26=0),7+IF(INDEX(Setup!$O$6:$AL$23,13,7)="T",100,0),"")</f>
        <v/>
      </c>
      <c r="AU134">
        <f>IF(AND($C27=1,INDEX(Setup!$O$6:$AL$23,13,8)&lt;&gt;"",N27=0),8+IF(INDEX(Setup!$O$6:$AL$23,13,8)="T",100,0),"")</f>
        <v/>
      </c>
      <c r="AV134">
        <f>IF(AND($C28=1,INDEX(Setup!$O$6:$AL$23,13,9)&lt;&gt;"",N28=0),9+IF(INDEX(Setup!$O$6:$AL$23,13,9)="T",100,0),"")</f>
        <v/>
      </c>
      <c r="AW134">
        <f>IF(AND($C29=1,INDEX(Setup!$O$6:$AL$23,13,10)&lt;&gt;"",N29=0),10+IF(INDEX(Setup!$O$6:$AL$23,13,10)="T",100,0),"")</f>
        <v/>
      </c>
      <c r="AX134">
        <f>IF(AND($C30=1,INDEX(Setup!$O$6:$AL$23,13,11)&lt;&gt;"",N30=0),11+IF(INDEX(Setup!$O$6:$AL$23,13,11)="T",100,0),"")</f>
        <v/>
      </c>
      <c r="AY134">
        <f>IF(AND($C31=1,INDEX(Setup!$O$6:$AL$23,13,12)&lt;&gt;"",N31=0),12+IF(INDEX(Setup!$O$6:$AL$23,13,12)="T",100,0),"")</f>
        <v/>
      </c>
      <c r="AZ134">
        <f>IF(AND($C32=1,INDEX(Setup!$O$6:$AL$23,13,13)&lt;&gt;"",N32=0),13+IF(INDEX(Setup!$O$6:$AL$23,13,13)="T",100,0),"")</f>
        <v/>
      </c>
      <c r="BA134">
        <f>IF(AND($C33=1,INDEX(Setup!$O$6:$AL$23,13,14)&lt;&gt;"",N33=0),14+IF(INDEX(Setup!$O$6:$AL$23,13,14)="T",100,0),"")</f>
        <v/>
      </c>
      <c r="BB134">
        <f>IF(AND($C34=1,INDEX(Setup!$O$6:$AL$23,13,15)&lt;&gt;"",N34=0),15+IF(INDEX(Setup!$O$6:$AL$23,13,15)="T",100,0),"")</f>
        <v/>
      </c>
      <c r="BC134">
        <f>IF(AND($C35=1,INDEX(Setup!$O$6:$AL$23,13,16)&lt;&gt;"",N35=0),16+IF(INDEX(Setup!$O$6:$AL$23,13,16)="T",100,0),"")</f>
        <v/>
      </c>
      <c r="BD134">
        <f>IF(AND($C36=1,INDEX(Setup!$O$6:$AL$23,13,17)&lt;&gt;"",N36=0),17+IF(INDEX(Setup!$O$6:$AL$23,13,17)="T",100,0),"")</f>
        <v/>
      </c>
      <c r="BE134">
        <f>IF(AND($C37=1,INDEX(Setup!$O$6:$AL$23,13,18)&lt;&gt;"",N37=0),18+IF(INDEX(Setup!$O$6:$AL$23,13,18)="T",100,0),"")</f>
        <v/>
      </c>
      <c r="BF134">
        <f>IF(AND($C38=1,INDEX(Setup!$O$6:$AL$23,13,19)&lt;&gt;"",N38=0),19+IF(INDEX(Setup!$O$6:$AL$23,13,19)="T",100,0),"")</f>
        <v/>
      </c>
      <c r="BG134">
        <f>IF(AND($C39=1,INDEX(Setup!$O$6:$AL$23,13,20)&lt;&gt;"",N39=0),20+IF(INDEX(Setup!$O$6:$AL$23,13,20)="T",100,0),"")</f>
        <v/>
      </c>
      <c r="BH134">
        <f>IF(AND($C40=1,INDEX(Setup!$O$6:$AL$23,13,21)&lt;&gt;"",N40=0),21+IF(INDEX(Setup!$O$6:$AL$23,13,21)="T",100,0),"")</f>
        <v/>
      </c>
      <c r="BI134">
        <f>IF(AND($C41=1,INDEX(Setup!$O$6:$AL$23,13,22)&lt;&gt;"",N41=0),22+IF(INDEX(Setup!$O$6:$AL$23,13,22)="T",100,0),"")</f>
        <v/>
      </c>
      <c r="BJ134">
        <f>IF(AND($C42=1,INDEX(Setup!$O$6:$AL$23,13,23)&lt;&gt;"",N42=0),23+IF(INDEX(Setup!$O$6:$AL$23,13,23)="T",100,0),"")</f>
        <v/>
      </c>
      <c r="BK134">
        <f>IF(AND($C43=1,INDEX(Setup!$O$6:$AL$23,13,24)&lt;&gt;"",N43=0),24+IF(INDEX(Setup!$O$6:$AL$23,13,24)="T",100,0),"")</f>
        <v/>
      </c>
      <c r="BM134">
        <f>IF(AND(AN134&lt;&gt;"",COUNTIF($O$59:$Q$59,$B20)+COUNTIF($O$59:$Q$59,$B20&amp;" ~*")=0),($R20+COUNTIF($H$122:$H133,$B20)+COUNTIF($H$122:$H133,$B20&amp;" ~*"))*1000+IF(AN134&gt;100,500,0)+1,"")</f>
        <v/>
      </c>
      <c r="BN134">
        <f>IF(AND(AO134&lt;&gt;"",COUNTIF($O$59:$Q$59,$B21)+COUNTIF($O$59:$Q$59,$B21&amp;" ~*")=0),($R21+COUNTIF($H$122:$H133,$B21)+COUNTIF($H$122:$H133,$B21&amp;" ~*"))*1000+IF(AO134&gt;100,500,0)+2,"")</f>
        <v/>
      </c>
      <c r="BO134">
        <f>IF(AND(AP134&lt;&gt;"",COUNTIF($O$59:$Q$59,$B22)+COUNTIF($O$59:$Q$59,$B22&amp;" ~*")=0),($R22+COUNTIF($H$122:$H133,$B22)+COUNTIF($H$122:$H133,$B22&amp;" ~*"))*1000+IF(AP134&gt;100,500,0)+3,"")</f>
        <v/>
      </c>
      <c r="BP134">
        <f>IF(AND(AQ134&lt;&gt;"",COUNTIF($O$59:$Q$59,$B23)+COUNTIF($O$59:$Q$59,$B23&amp;" ~*")=0),($R23+COUNTIF($H$122:$H133,$B23)+COUNTIF($H$122:$H133,$B23&amp;" ~*"))*1000+IF(AQ134&gt;100,500,0)+4,"")</f>
        <v/>
      </c>
      <c r="BQ134">
        <f>IF(AND(AR134&lt;&gt;"",COUNTIF($O$59:$Q$59,$B24)+COUNTIF($O$59:$Q$59,$B24&amp;" ~*")=0),($R24+COUNTIF($H$122:$H133,$B24)+COUNTIF($H$122:$H133,$B24&amp;" ~*"))*1000+IF(AR134&gt;100,500,0)+5,"")</f>
        <v/>
      </c>
      <c r="BR134">
        <f>IF(AND(AS134&lt;&gt;"",COUNTIF($O$59:$Q$59,$B25)+COUNTIF($O$59:$Q$59,$B25&amp;" ~*")=0),($R25+COUNTIF($H$122:$H133,$B25)+COUNTIF($H$122:$H133,$B25&amp;" ~*"))*1000+IF(AS134&gt;100,500,0)+6,"")</f>
        <v/>
      </c>
      <c r="BS134">
        <f>IF(AND(AT134&lt;&gt;"",COUNTIF($O$59:$Q$59,$B26)+COUNTIF($O$59:$Q$59,$B26&amp;" ~*")=0),($R26+COUNTIF($H$122:$H133,$B26)+COUNTIF($H$122:$H133,$B26&amp;" ~*"))*1000+IF(AT134&gt;100,500,0)+7,"")</f>
        <v/>
      </c>
      <c r="BT134">
        <f>IF(AND(AU134&lt;&gt;"",COUNTIF($O$59:$Q$59,$B27)+COUNTIF($O$59:$Q$59,$B27&amp;" ~*")=0),($R27+COUNTIF($H$122:$H133,$B27)+COUNTIF($H$122:$H133,$B27&amp;" ~*"))*1000+IF(AU134&gt;100,500,0)+8,"")</f>
        <v/>
      </c>
      <c r="BU134">
        <f>IF(AND(AV134&lt;&gt;"",COUNTIF($O$59:$Q$59,$B28)+COUNTIF($O$59:$Q$59,$B28&amp;" ~*")=0),($R28+COUNTIF($H$122:$H133,$B28)+COUNTIF($H$122:$H133,$B28&amp;" ~*"))*1000+IF(AV134&gt;100,500,0)+9,"")</f>
        <v/>
      </c>
      <c r="BV134">
        <f>IF(AND(AW134&lt;&gt;"",COUNTIF($O$59:$Q$59,$B29)+COUNTIF($O$59:$Q$59,$B29&amp;" ~*")=0),($R29+COUNTIF($H$122:$H133,$B29)+COUNTIF($H$122:$H133,$B29&amp;" ~*"))*1000+IF(AW134&gt;100,500,0)+10,"")</f>
        <v/>
      </c>
      <c r="BW134">
        <f>IF(AND(AX134&lt;&gt;"",COUNTIF($O$59:$Q$59,$B30)+COUNTIF($O$59:$Q$59,$B30&amp;" ~*")=0),($R30+COUNTIF($H$122:$H133,$B30)+COUNTIF($H$122:$H133,$B30&amp;" ~*"))*1000+IF(AX134&gt;100,500,0)+11,"")</f>
        <v/>
      </c>
      <c r="BX134">
        <f>IF(AND(AY134&lt;&gt;"",COUNTIF($O$59:$Q$59,$B31)+COUNTIF($O$59:$Q$59,$B31&amp;" ~*")=0),($R31+COUNTIF($H$122:$H133,$B31)+COUNTIF($H$122:$H133,$B31&amp;" ~*"))*1000+IF(AY134&gt;100,500,0)+12,"")</f>
        <v/>
      </c>
      <c r="BY134">
        <f>IF(AND(AZ134&lt;&gt;"",COUNTIF($O$59:$Q$59,$B32)+COUNTIF($O$59:$Q$59,$B32&amp;" ~*")=0),($R32+COUNTIF($H$122:$H133,$B32)+COUNTIF($H$122:$H133,$B32&amp;" ~*"))*1000+IF(AZ134&gt;100,500,0)+13,"")</f>
        <v/>
      </c>
      <c r="BZ134">
        <f>IF(AND(BA134&lt;&gt;"",COUNTIF($O$59:$Q$59,$B33)+COUNTIF($O$59:$Q$59,$B33&amp;" ~*")=0),($R33+COUNTIF($H$122:$H133,$B33)+COUNTIF($H$122:$H133,$B33&amp;" ~*"))*1000+IF(BA134&gt;100,500,0)+14,"")</f>
        <v/>
      </c>
      <c r="CA134">
        <f>IF(AND(BB134&lt;&gt;"",COUNTIF($O$59:$Q$59,$B34)+COUNTIF($O$59:$Q$59,$B34&amp;" ~*")=0),($R34+COUNTIF($H$122:$H133,$B34)+COUNTIF($H$122:$H133,$B34&amp;" ~*"))*1000+IF(BB134&gt;100,500,0)+15,"")</f>
        <v/>
      </c>
      <c r="CB134">
        <f>IF(AND(BC134&lt;&gt;"",COUNTIF($O$59:$Q$59,$B35)+COUNTIF($O$59:$Q$59,$B35&amp;" ~*")=0),($R35+COUNTIF($H$122:$H133,$B35)+COUNTIF($H$122:$H133,$B35&amp;" ~*"))*1000+IF(BC134&gt;100,500,0)+16,"")</f>
        <v/>
      </c>
      <c r="CC134">
        <f>IF(AND(BD134&lt;&gt;"",COUNTIF($O$59:$Q$59,$B36)+COUNTIF($O$59:$Q$59,$B36&amp;" ~*")=0),($R36+COUNTIF($H$122:$H133,$B36)+COUNTIF($H$122:$H133,$B36&amp;" ~*"))*1000+IF(BD134&gt;100,500,0)+17,"")</f>
        <v/>
      </c>
      <c r="CD134">
        <f>IF(AND(BE134&lt;&gt;"",COUNTIF($O$59:$Q$59,$B37)+COUNTIF($O$59:$Q$59,$B37&amp;" ~*")=0),($R37+COUNTIF($H$122:$H133,$B37)+COUNTIF($H$122:$H133,$B37&amp;" ~*"))*1000+IF(BE134&gt;100,500,0)+18,"")</f>
        <v/>
      </c>
      <c r="CE134">
        <f>IF(AND(BF134&lt;&gt;"",COUNTIF($O$59:$Q$59,$B38)+COUNTIF($O$59:$Q$59,$B38&amp;" ~*")=0),($R38+COUNTIF($H$122:$H133,$B38)+COUNTIF($H$122:$H133,$B38&amp;" ~*"))*1000+IF(BF134&gt;100,500,0)+19,"")</f>
        <v/>
      </c>
      <c r="CF134">
        <f>IF(AND(BG134&lt;&gt;"",COUNTIF($O$59:$Q$59,$B39)+COUNTIF($O$59:$Q$59,$B39&amp;" ~*")=0),($R39+COUNTIF($H$122:$H133,$B39)+COUNTIF($H$122:$H133,$B39&amp;" ~*"))*1000+IF(BG134&gt;100,500,0)+20,"")</f>
        <v/>
      </c>
      <c r="CG134">
        <f>IF(AND(BH134&lt;&gt;"",COUNTIF($O$59:$Q$59,$B40)+COUNTIF($O$59:$Q$59,$B40&amp;" ~*")=0),($R40+COUNTIF($H$122:$H133,$B40)+COUNTIF($H$122:$H133,$B40&amp;" ~*"))*1000+IF(BH134&gt;100,500,0)+21,"")</f>
        <v/>
      </c>
      <c r="CH134">
        <f>IF(AND(BI134&lt;&gt;"",COUNTIF($O$59:$Q$59,$B41)+COUNTIF($O$59:$Q$59,$B41&amp;" ~*")=0),($R41+COUNTIF($H$122:$H133,$B41)+COUNTIF($H$122:$H133,$B41&amp;" ~*"))*1000+IF(BI134&gt;100,500,0)+22,"")</f>
        <v/>
      </c>
      <c r="CI134">
        <f>IF(AND(BJ134&lt;&gt;"",COUNTIF($O$59:$Q$59,$B42)+COUNTIF($O$59:$Q$59,$B42&amp;" ~*")=0),($R42+COUNTIF($H$122:$H133,$B42)+COUNTIF($H$122:$H133,$B42&amp;" ~*"))*1000+IF(BJ134&gt;100,500,0)+23,"")</f>
        <v/>
      </c>
      <c r="CJ134">
        <f>IF(AND(BK134&lt;&gt;"",COUNTIF($O$59:$Q$59,$B43)+COUNTIF($O$59:$Q$59,$B43&amp;" ~*")=0),($R43+COUNTIF($H$122:$H133,$B43)+COUNTIF($H$122:$H133,$B43&amp;" ~*"))*1000+IF(BK134&gt;100,500,0)+24,"")</f>
        <v/>
      </c>
    </row>
    <row r="135">
      <c r="A135" t="n">
        <v>4</v>
      </c>
      <c r="B135" t="n">
        <v>14</v>
      </c>
      <c r="C135">
        <f>$B$60</f>
        <v/>
      </c>
      <c r="D135" t="inlineStr">
        <is>
          <t>Thu</t>
        </is>
      </c>
      <c r="E135">
        <f>IF(C135="","",N($AB$60))</f>
        <v/>
      </c>
      <c r="F135">
        <f>IF(C135="","",COUNTIF($O$60:$Q$60,"?*"))</f>
        <v/>
      </c>
      <c r="G135">
        <f>IF(C135="","",MAX(0,E135-F135))</f>
        <v/>
      </c>
      <c r="H135">
        <f>IF(N(G135)=0,"",IF(COUNT(BM135:CJ135)=0,"no-one eligible",INDEX(Engine!$B$20:$B$43,MOD(MIN(BM135:CJ135),500))&amp;IF(MOD(MIN(BM135:CJ135),1000)&gt;=500," *","")))</f>
        <v/>
      </c>
      <c r="I135">
        <f>IF(N(G135)&gt;0,COUNTIF($G$68:G135,"&gt;0"),"")</f>
        <v/>
      </c>
      <c r="J135">
        <f>IF(C135="","",IF($O$60="",0,IF(IFERROR(INDEX(Setup!$O$6:$AL$23,14,MATCH(SUBSTITUTE($O$60," *",""),Setup!$B$6:$B$29,0)),"")="",1,0))+IF($P$60="",0,IF(IFERROR(INDEX(Setup!$O$6:$AL$23,14,MATCH(SUBSTITUTE($P$60," *",""),Setup!$B$6:$B$29,0)),"")="",1,0))+IF($Q$60="",0,IF(IFERROR(INDEX(Setup!$O$6:$AL$23,14,MATCH(SUBSTITUTE($Q$60," *",""),Setup!$B$6:$B$29,0)),"")="",1,0)))</f>
        <v/>
      </c>
      <c r="K135">
        <f>IF($B$12+3=TODAY(),1,0)</f>
        <v/>
      </c>
      <c r="N135">
        <f>COUNT($AN135:$BK135)</f>
        <v/>
      </c>
      <c r="O135">
        <f>IF(1&gt;$N135,"",INDEX(Engine!$B$20:$B$43,MOD(SMALL($AN135:$BK135,1),100))&amp;IF(SMALL($AN135:$BK135,1)&gt;100," *",""))</f>
        <v/>
      </c>
      <c r="P135">
        <f>IF(2&gt;$N135,"",INDEX(Engine!$B$20:$B$43,MOD(SMALL($AN135:$BK135,2),100))&amp;IF(SMALL($AN135:$BK135,2)&gt;100," *",""))</f>
        <v/>
      </c>
      <c r="Q135">
        <f>IF(3&gt;$N135,"",INDEX(Engine!$B$20:$B$43,MOD(SMALL($AN135:$BK135,3),100))&amp;IF(SMALL($AN135:$BK135,3)&gt;100," *",""))</f>
        <v/>
      </c>
      <c r="R135">
        <f>IF(4&gt;$N135,"",INDEX(Engine!$B$20:$B$43,MOD(SMALL($AN135:$BK135,4),100))&amp;IF(SMALL($AN135:$BK135,4)&gt;100," *",""))</f>
        <v/>
      </c>
      <c r="S135">
        <f>IF(5&gt;$N135,"",INDEX(Engine!$B$20:$B$43,MOD(SMALL($AN135:$BK135,5),100))&amp;IF(SMALL($AN135:$BK135,5)&gt;100," *",""))</f>
        <v/>
      </c>
      <c r="T135">
        <f>IF(6&gt;$N135,"",INDEX(Engine!$B$20:$B$43,MOD(SMALL($AN135:$BK135,6),100))&amp;IF(SMALL($AN135:$BK135,6)&gt;100," *",""))</f>
        <v/>
      </c>
      <c r="U135">
        <f>IF(7&gt;$N135,"",INDEX(Engine!$B$20:$B$43,MOD(SMALL($AN135:$BK135,7),100))&amp;IF(SMALL($AN135:$BK135,7)&gt;100," *",""))</f>
        <v/>
      </c>
      <c r="V135">
        <f>IF(8&gt;$N135,"",INDEX(Engine!$B$20:$B$43,MOD(SMALL($AN135:$BK135,8),100))&amp;IF(SMALL($AN135:$BK135,8)&gt;100," *",""))</f>
        <v/>
      </c>
      <c r="W135">
        <f>IF(9&gt;$N135,"",INDEX(Engine!$B$20:$B$43,MOD(SMALL($AN135:$BK135,9),100))&amp;IF(SMALL($AN135:$BK135,9)&gt;100," *",""))</f>
        <v/>
      </c>
      <c r="X135">
        <f>IF(10&gt;$N135,"",INDEX(Engine!$B$20:$B$43,MOD(SMALL($AN135:$BK135,10),100))&amp;IF(SMALL($AN135:$BK135,10)&gt;100," *",""))</f>
        <v/>
      </c>
      <c r="Y135">
        <f>IF(11&gt;$N135,"",INDEX(Engine!$B$20:$B$43,MOD(SMALL($AN135:$BK135,11),100))&amp;IF(SMALL($AN135:$BK135,11)&gt;100," *",""))</f>
        <v/>
      </c>
      <c r="Z135">
        <f>IF(12&gt;$N135,"",INDEX(Engine!$B$20:$B$43,MOD(SMALL($AN135:$BK135,12),100))&amp;IF(SMALL($AN135:$BK135,12)&gt;100," *",""))</f>
        <v/>
      </c>
      <c r="AA135">
        <f>IF(13&gt;$N135,"",INDEX(Engine!$B$20:$B$43,MOD(SMALL($AN135:$BK135,13),100))&amp;IF(SMALL($AN135:$BK135,13)&gt;100," *",""))</f>
        <v/>
      </c>
      <c r="AB135">
        <f>IF(14&gt;$N135,"",INDEX(Engine!$B$20:$B$43,MOD(SMALL($AN135:$BK135,14),100))&amp;IF(SMALL($AN135:$BK135,14)&gt;100," *",""))</f>
        <v/>
      </c>
      <c r="AC135">
        <f>IF(15&gt;$N135,"",INDEX(Engine!$B$20:$B$43,MOD(SMALL($AN135:$BK135,15),100))&amp;IF(SMALL($AN135:$BK135,15)&gt;100," *",""))</f>
        <v/>
      </c>
      <c r="AD135">
        <f>IF(16&gt;$N135,"",INDEX(Engine!$B$20:$B$43,MOD(SMALL($AN135:$BK135,16),100))&amp;IF(SMALL($AN135:$BK135,16)&gt;100," *",""))</f>
        <v/>
      </c>
      <c r="AE135">
        <f>IF(17&gt;$N135,"",INDEX(Engine!$B$20:$B$43,MOD(SMALL($AN135:$BK135,17),100))&amp;IF(SMALL($AN135:$BK135,17)&gt;100," *",""))</f>
        <v/>
      </c>
      <c r="AF135">
        <f>IF(18&gt;$N135,"",INDEX(Engine!$B$20:$B$43,MOD(SMALL($AN135:$BK135,18),100))&amp;IF(SMALL($AN135:$BK135,18)&gt;100," *",""))</f>
        <v/>
      </c>
      <c r="AG135">
        <f>IF(19&gt;$N135,"",INDEX(Engine!$B$20:$B$43,MOD(SMALL($AN135:$BK135,19),100))&amp;IF(SMALL($AN135:$BK135,19)&gt;100," *",""))</f>
        <v/>
      </c>
      <c r="AH135">
        <f>IF(20&gt;$N135,"",INDEX(Engine!$B$20:$B$43,MOD(SMALL($AN135:$BK135,20),100))&amp;IF(SMALL($AN135:$BK135,20)&gt;100," *",""))</f>
        <v/>
      </c>
      <c r="AI135">
        <f>IF(21&gt;$N135,"",INDEX(Engine!$B$20:$B$43,MOD(SMALL($AN135:$BK135,21),100))&amp;IF(SMALL($AN135:$BK135,21)&gt;100," *",""))</f>
        <v/>
      </c>
      <c r="AJ135">
        <f>IF(22&gt;$N135,"",INDEX(Engine!$B$20:$B$43,MOD(SMALL($AN135:$BK135,22),100))&amp;IF(SMALL($AN135:$BK135,22)&gt;100," *",""))</f>
        <v/>
      </c>
      <c r="AK135">
        <f>IF(23&gt;$N135,"",INDEX(Engine!$B$20:$B$43,MOD(SMALL($AN135:$BK135,23),100))&amp;IF(SMALL($AN135:$BK135,23)&gt;100," *",""))</f>
        <v/>
      </c>
      <c r="AL135">
        <f>IF(24&gt;$N135,"",INDEX(Engine!$B$20:$B$43,MOD(SMALL($AN135:$BK135,24),100))&amp;IF(SMALL($AN135:$BK135,24)&gt;100," *",""))</f>
        <v/>
      </c>
      <c r="AN135">
        <f>IF(AND($C20=1,INDEX(Setup!$O$6:$AL$23,14,1)&lt;&gt;"",N20=0),1+IF(INDEX(Setup!$O$6:$AL$23,14,1)="T",100,0),"")</f>
        <v/>
      </c>
      <c r="AO135">
        <f>IF(AND($C21=1,INDEX(Setup!$O$6:$AL$23,14,2)&lt;&gt;"",N21=0),2+IF(INDEX(Setup!$O$6:$AL$23,14,2)="T",100,0),"")</f>
        <v/>
      </c>
      <c r="AP135">
        <f>IF(AND($C22=1,INDEX(Setup!$O$6:$AL$23,14,3)&lt;&gt;"",N22=0),3+IF(INDEX(Setup!$O$6:$AL$23,14,3)="T",100,0),"")</f>
        <v/>
      </c>
      <c r="AQ135">
        <f>IF(AND($C23=1,INDEX(Setup!$O$6:$AL$23,14,4)&lt;&gt;"",N23=0),4+IF(INDEX(Setup!$O$6:$AL$23,14,4)="T",100,0),"")</f>
        <v/>
      </c>
      <c r="AR135">
        <f>IF(AND($C24=1,INDEX(Setup!$O$6:$AL$23,14,5)&lt;&gt;"",N24=0),5+IF(INDEX(Setup!$O$6:$AL$23,14,5)="T",100,0),"")</f>
        <v/>
      </c>
      <c r="AS135">
        <f>IF(AND($C25=1,INDEX(Setup!$O$6:$AL$23,14,6)&lt;&gt;"",N25=0),6+IF(INDEX(Setup!$O$6:$AL$23,14,6)="T",100,0),"")</f>
        <v/>
      </c>
      <c r="AT135">
        <f>IF(AND($C26=1,INDEX(Setup!$O$6:$AL$23,14,7)&lt;&gt;"",N26=0),7+IF(INDEX(Setup!$O$6:$AL$23,14,7)="T",100,0),"")</f>
        <v/>
      </c>
      <c r="AU135">
        <f>IF(AND($C27=1,INDEX(Setup!$O$6:$AL$23,14,8)&lt;&gt;"",N27=0),8+IF(INDEX(Setup!$O$6:$AL$23,14,8)="T",100,0),"")</f>
        <v/>
      </c>
      <c r="AV135">
        <f>IF(AND($C28=1,INDEX(Setup!$O$6:$AL$23,14,9)&lt;&gt;"",N28=0),9+IF(INDEX(Setup!$O$6:$AL$23,14,9)="T",100,0),"")</f>
        <v/>
      </c>
      <c r="AW135">
        <f>IF(AND($C29=1,INDEX(Setup!$O$6:$AL$23,14,10)&lt;&gt;"",N29=0),10+IF(INDEX(Setup!$O$6:$AL$23,14,10)="T",100,0),"")</f>
        <v/>
      </c>
      <c r="AX135">
        <f>IF(AND($C30=1,INDEX(Setup!$O$6:$AL$23,14,11)&lt;&gt;"",N30=0),11+IF(INDEX(Setup!$O$6:$AL$23,14,11)="T",100,0),"")</f>
        <v/>
      </c>
      <c r="AY135">
        <f>IF(AND($C31=1,INDEX(Setup!$O$6:$AL$23,14,12)&lt;&gt;"",N31=0),12+IF(INDEX(Setup!$O$6:$AL$23,14,12)="T",100,0),"")</f>
        <v/>
      </c>
      <c r="AZ135">
        <f>IF(AND($C32=1,INDEX(Setup!$O$6:$AL$23,14,13)&lt;&gt;"",N32=0),13+IF(INDEX(Setup!$O$6:$AL$23,14,13)="T",100,0),"")</f>
        <v/>
      </c>
      <c r="BA135">
        <f>IF(AND($C33=1,INDEX(Setup!$O$6:$AL$23,14,14)&lt;&gt;"",N33=0),14+IF(INDEX(Setup!$O$6:$AL$23,14,14)="T",100,0),"")</f>
        <v/>
      </c>
      <c r="BB135">
        <f>IF(AND($C34=1,INDEX(Setup!$O$6:$AL$23,14,15)&lt;&gt;"",N34=0),15+IF(INDEX(Setup!$O$6:$AL$23,14,15)="T",100,0),"")</f>
        <v/>
      </c>
      <c r="BC135">
        <f>IF(AND($C35=1,INDEX(Setup!$O$6:$AL$23,14,16)&lt;&gt;"",N35=0),16+IF(INDEX(Setup!$O$6:$AL$23,14,16)="T",100,0),"")</f>
        <v/>
      </c>
      <c r="BD135">
        <f>IF(AND($C36=1,INDEX(Setup!$O$6:$AL$23,14,17)&lt;&gt;"",N36=0),17+IF(INDEX(Setup!$O$6:$AL$23,14,17)="T",100,0),"")</f>
        <v/>
      </c>
      <c r="BE135">
        <f>IF(AND($C37=1,INDEX(Setup!$O$6:$AL$23,14,18)&lt;&gt;"",N37=0),18+IF(INDEX(Setup!$O$6:$AL$23,14,18)="T",100,0),"")</f>
        <v/>
      </c>
      <c r="BF135">
        <f>IF(AND($C38=1,INDEX(Setup!$O$6:$AL$23,14,19)&lt;&gt;"",N38=0),19+IF(INDEX(Setup!$O$6:$AL$23,14,19)="T",100,0),"")</f>
        <v/>
      </c>
      <c r="BG135">
        <f>IF(AND($C39=1,INDEX(Setup!$O$6:$AL$23,14,20)&lt;&gt;"",N39=0),20+IF(INDEX(Setup!$O$6:$AL$23,14,20)="T",100,0),"")</f>
        <v/>
      </c>
      <c r="BH135">
        <f>IF(AND($C40=1,INDEX(Setup!$O$6:$AL$23,14,21)&lt;&gt;"",N40=0),21+IF(INDEX(Setup!$O$6:$AL$23,14,21)="T",100,0),"")</f>
        <v/>
      </c>
      <c r="BI135">
        <f>IF(AND($C41=1,INDEX(Setup!$O$6:$AL$23,14,22)&lt;&gt;"",N41=0),22+IF(INDEX(Setup!$O$6:$AL$23,14,22)="T",100,0),"")</f>
        <v/>
      </c>
      <c r="BJ135">
        <f>IF(AND($C42=1,INDEX(Setup!$O$6:$AL$23,14,23)&lt;&gt;"",N42=0),23+IF(INDEX(Setup!$O$6:$AL$23,14,23)="T",100,0),"")</f>
        <v/>
      </c>
      <c r="BK135">
        <f>IF(AND($C43=1,INDEX(Setup!$O$6:$AL$23,14,24)&lt;&gt;"",N43=0),24+IF(INDEX(Setup!$O$6:$AL$23,14,24)="T",100,0),"")</f>
        <v/>
      </c>
      <c r="BM135">
        <f>IF(AND(AN135&lt;&gt;"",COUNTIF($O$60:$Q$60,$B20)+COUNTIF($O$60:$Q$60,$B20&amp;" ~*")=0),($R20+COUNTIF($H$122:$H134,$B20)+COUNTIF($H$122:$H134,$B20&amp;" ~*"))*1000+IF(AN135&gt;100,500,0)+1,"")</f>
        <v/>
      </c>
      <c r="BN135">
        <f>IF(AND(AO135&lt;&gt;"",COUNTIF($O$60:$Q$60,$B21)+COUNTIF($O$60:$Q$60,$B21&amp;" ~*")=0),($R21+COUNTIF($H$122:$H134,$B21)+COUNTIF($H$122:$H134,$B21&amp;" ~*"))*1000+IF(AO135&gt;100,500,0)+2,"")</f>
        <v/>
      </c>
      <c r="BO135">
        <f>IF(AND(AP135&lt;&gt;"",COUNTIF($O$60:$Q$60,$B22)+COUNTIF($O$60:$Q$60,$B22&amp;" ~*")=0),($R22+COUNTIF($H$122:$H134,$B22)+COUNTIF($H$122:$H134,$B22&amp;" ~*"))*1000+IF(AP135&gt;100,500,0)+3,"")</f>
        <v/>
      </c>
      <c r="BP135">
        <f>IF(AND(AQ135&lt;&gt;"",COUNTIF($O$60:$Q$60,$B23)+COUNTIF($O$60:$Q$60,$B23&amp;" ~*")=0),($R23+COUNTIF($H$122:$H134,$B23)+COUNTIF($H$122:$H134,$B23&amp;" ~*"))*1000+IF(AQ135&gt;100,500,0)+4,"")</f>
        <v/>
      </c>
      <c r="BQ135">
        <f>IF(AND(AR135&lt;&gt;"",COUNTIF($O$60:$Q$60,$B24)+COUNTIF($O$60:$Q$60,$B24&amp;" ~*")=0),($R24+COUNTIF($H$122:$H134,$B24)+COUNTIF($H$122:$H134,$B24&amp;" ~*"))*1000+IF(AR135&gt;100,500,0)+5,"")</f>
        <v/>
      </c>
      <c r="BR135">
        <f>IF(AND(AS135&lt;&gt;"",COUNTIF($O$60:$Q$60,$B25)+COUNTIF($O$60:$Q$60,$B25&amp;" ~*")=0),($R25+COUNTIF($H$122:$H134,$B25)+COUNTIF($H$122:$H134,$B25&amp;" ~*"))*1000+IF(AS135&gt;100,500,0)+6,"")</f>
        <v/>
      </c>
      <c r="BS135">
        <f>IF(AND(AT135&lt;&gt;"",COUNTIF($O$60:$Q$60,$B26)+COUNTIF($O$60:$Q$60,$B26&amp;" ~*")=0),($R26+COUNTIF($H$122:$H134,$B26)+COUNTIF($H$122:$H134,$B26&amp;" ~*"))*1000+IF(AT135&gt;100,500,0)+7,"")</f>
        <v/>
      </c>
      <c r="BT135">
        <f>IF(AND(AU135&lt;&gt;"",COUNTIF($O$60:$Q$60,$B27)+COUNTIF($O$60:$Q$60,$B27&amp;" ~*")=0),($R27+COUNTIF($H$122:$H134,$B27)+COUNTIF($H$122:$H134,$B27&amp;" ~*"))*1000+IF(AU135&gt;100,500,0)+8,"")</f>
        <v/>
      </c>
      <c r="BU135">
        <f>IF(AND(AV135&lt;&gt;"",COUNTIF($O$60:$Q$60,$B28)+COUNTIF($O$60:$Q$60,$B28&amp;" ~*")=0),($R28+COUNTIF($H$122:$H134,$B28)+COUNTIF($H$122:$H134,$B28&amp;" ~*"))*1000+IF(AV135&gt;100,500,0)+9,"")</f>
        <v/>
      </c>
      <c r="BV135">
        <f>IF(AND(AW135&lt;&gt;"",COUNTIF($O$60:$Q$60,$B29)+COUNTIF($O$60:$Q$60,$B29&amp;" ~*")=0),($R29+COUNTIF($H$122:$H134,$B29)+COUNTIF($H$122:$H134,$B29&amp;" ~*"))*1000+IF(AW135&gt;100,500,0)+10,"")</f>
        <v/>
      </c>
      <c r="BW135">
        <f>IF(AND(AX135&lt;&gt;"",COUNTIF($O$60:$Q$60,$B30)+COUNTIF($O$60:$Q$60,$B30&amp;" ~*")=0),($R30+COUNTIF($H$122:$H134,$B30)+COUNTIF($H$122:$H134,$B30&amp;" ~*"))*1000+IF(AX135&gt;100,500,0)+11,"")</f>
        <v/>
      </c>
      <c r="BX135">
        <f>IF(AND(AY135&lt;&gt;"",COUNTIF($O$60:$Q$60,$B31)+COUNTIF($O$60:$Q$60,$B31&amp;" ~*")=0),($R31+COUNTIF($H$122:$H134,$B31)+COUNTIF($H$122:$H134,$B31&amp;" ~*"))*1000+IF(AY135&gt;100,500,0)+12,"")</f>
        <v/>
      </c>
      <c r="BY135">
        <f>IF(AND(AZ135&lt;&gt;"",COUNTIF($O$60:$Q$60,$B32)+COUNTIF($O$60:$Q$60,$B32&amp;" ~*")=0),($R32+COUNTIF($H$122:$H134,$B32)+COUNTIF($H$122:$H134,$B32&amp;" ~*"))*1000+IF(AZ135&gt;100,500,0)+13,"")</f>
        <v/>
      </c>
      <c r="BZ135">
        <f>IF(AND(BA135&lt;&gt;"",COUNTIF($O$60:$Q$60,$B33)+COUNTIF($O$60:$Q$60,$B33&amp;" ~*")=0),($R33+COUNTIF($H$122:$H134,$B33)+COUNTIF($H$122:$H134,$B33&amp;" ~*"))*1000+IF(BA135&gt;100,500,0)+14,"")</f>
        <v/>
      </c>
      <c r="CA135">
        <f>IF(AND(BB135&lt;&gt;"",COUNTIF($O$60:$Q$60,$B34)+COUNTIF($O$60:$Q$60,$B34&amp;" ~*")=0),($R34+COUNTIF($H$122:$H134,$B34)+COUNTIF($H$122:$H134,$B34&amp;" ~*"))*1000+IF(BB135&gt;100,500,0)+15,"")</f>
        <v/>
      </c>
      <c r="CB135">
        <f>IF(AND(BC135&lt;&gt;"",COUNTIF($O$60:$Q$60,$B35)+COUNTIF($O$60:$Q$60,$B35&amp;" ~*")=0),($R35+COUNTIF($H$122:$H134,$B35)+COUNTIF($H$122:$H134,$B35&amp;" ~*"))*1000+IF(BC135&gt;100,500,0)+16,"")</f>
        <v/>
      </c>
      <c r="CC135">
        <f>IF(AND(BD135&lt;&gt;"",COUNTIF($O$60:$Q$60,$B36)+COUNTIF($O$60:$Q$60,$B36&amp;" ~*")=0),($R36+COUNTIF($H$122:$H134,$B36)+COUNTIF($H$122:$H134,$B36&amp;" ~*"))*1000+IF(BD135&gt;100,500,0)+17,"")</f>
        <v/>
      </c>
      <c r="CD135">
        <f>IF(AND(BE135&lt;&gt;"",COUNTIF($O$60:$Q$60,$B37)+COUNTIF($O$60:$Q$60,$B37&amp;" ~*")=0),($R37+COUNTIF($H$122:$H134,$B37)+COUNTIF($H$122:$H134,$B37&amp;" ~*"))*1000+IF(BE135&gt;100,500,0)+18,"")</f>
        <v/>
      </c>
      <c r="CE135">
        <f>IF(AND(BF135&lt;&gt;"",COUNTIF($O$60:$Q$60,$B38)+COUNTIF($O$60:$Q$60,$B38&amp;" ~*")=0),($R38+COUNTIF($H$122:$H134,$B38)+COUNTIF($H$122:$H134,$B38&amp;" ~*"))*1000+IF(BF135&gt;100,500,0)+19,"")</f>
        <v/>
      </c>
      <c r="CF135">
        <f>IF(AND(BG135&lt;&gt;"",COUNTIF($O$60:$Q$60,$B39)+COUNTIF($O$60:$Q$60,$B39&amp;" ~*")=0),($R39+COUNTIF($H$122:$H134,$B39)+COUNTIF($H$122:$H134,$B39&amp;" ~*"))*1000+IF(BG135&gt;100,500,0)+20,"")</f>
        <v/>
      </c>
      <c r="CG135">
        <f>IF(AND(BH135&lt;&gt;"",COUNTIF($O$60:$Q$60,$B40)+COUNTIF($O$60:$Q$60,$B40&amp;" ~*")=0),($R40+COUNTIF($H$122:$H134,$B40)+COUNTIF($H$122:$H134,$B40&amp;" ~*"))*1000+IF(BH135&gt;100,500,0)+21,"")</f>
        <v/>
      </c>
      <c r="CH135">
        <f>IF(AND(BI135&lt;&gt;"",COUNTIF($O$60:$Q$60,$B41)+COUNTIF($O$60:$Q$60,$B41&amp;" ~*")=0),($R41+COUNTIF($H$122:$H134,$B41)+COUNTIF($H$122:$H134,$B41&amp;" ~*"))*1000+IF(BI135&gt;100,500,0)+22,"")</f>
        <v/>
      </c>
      <c r="CI135">
        <f>IF(AND(BJ135&lt;&gt;"",COUNTIF($O$60:$Q$60,$B42)+COUNTIF($O$60:$Q$60,$B42&amp;" ~*")=0),($R42+COUNTIF($H$122:$H134,$B42)+COUNTIF($H$122:$H134,$B42&amp;" ~*"))*1000+IF(BJ135&gt;100,500,0)+23,"")</f>
        <v/>
      </c>
      <c r="CJ135">
        <f>IF(AND(BK135&lt;&gt;"",COUNTIF($O$60:$Q$60,$B43)+COUNTIF($O$60:$Q$60,$B43&amp;" ~*")=0),($R43+COUNTIF($H$122:$H134,$B43)+COUNTIF($H$122:$H134,$B43&amp;" ~*"))*1000+IF(BK135&gt;100,500,0)+24,"")</f>
        <v/>
      </c>
    </row>
    <row r="136">
      <c r="A136" t="n">
        <v>4</v>
      </c>
      <c r="B136" t="n">
        <v>15</v>
      </c>
      <c r="C136">
        <f>$B$61</f>
        <v/>
      </c>
      <c r="D136" t="inlineStr">
        <is>
          <t>Thu</t>
        </is>
      </c>
      <c r="E136">
        <f>IF(C136="","",N($AB$61))</f>
        <v/>
      </c>
      <c r="F136">
        <f>IF(C136="","",COUNTIF($O$61:$Q$61,"?*"))</f>
        <v/>
      </c>
      <c r="G136">
        <f>IF(C136="","",MAX(0,E136-F136))</f>
        <v/>
      </c>
      <c r="H136">
        <f>IF(N(G136)=0,"",IF(COUNT(BM136:CJ136)=0,"no-one eligible",INDEX(Engine!$B$20:$B$43,MOD(MIN(BM136:CJ136),500))&amp;IF(MOD(MIN(BM136:CJ136),1000)&gt;=500," *","")))</f>
        <v/>
      </c>
      <c r="I136">
        <f>IF(N(G136)&gt;0,COUNTIF($G$68:G136,"&gt;0"),"")</f>
        <v/>
      </c>
      <c r="J136">
        <f>IF(C136="","",IF($O$61="",0,IF(IFERROR(INDEX(Setup!$O$6:$AL$23,15,MATCH(SUBSTITUTE($O$61," *",""),Setup!$B$6:$B$29,0)),"")="",1,0))+IF($P$61="",0,IF(IFERROR(INDEX(Setup!$O$6:$AL$23,15,MATCH(SUBSTITUTE($P$61," *",""),Setup!$B$6:$B$29,0)),"")="",1,0))+IF($Q$61="",0,IF(IFERROR(INDEX(Setup!$O$6:$AL$23,15,MATCH(SUBSTITUTE($Q$61," *",""),Setup!$B$6:$B$29,0)),"")="",1,0)))</f>
        <v/>
      </c>
      <c r="K136">
        <f>IF($B$12+3=TODAY(),1,0)</f>
        <v/>
      </c>
      <c r="N136">
        <f>COUNT($AN136:$BK136)</f>
        <v/>
      </c>
      <c r="O136">
        <f>IF(1&gt;$N136,"",INDEX(Engine!$B$20:$B$43,MOD(SMALL($AN136:$BK136,1),100))&amp;IF(SMALL($AN136:$BK136,1)&gt;100," *",""))</f>
        <v/>
      </c>
      <c r="P136">
        <f>IF(2&gt;$N136,"",INDEX(Engine!$B$20:$B$43,MOD(SMALL($AN136:$BK136,2),100))&amp;IF(SMALL($AN136:$BK136,2)&gt;100," *",""))</f>
        <v/>
      </c>
      <c r="Q136">
        <f>IF(3&gt;$N136,"",INDEX(Engine!$B$20:$B$43,MOD(SMALL($AN136:$BK136,3),100))&amp;IF(SMALL($AN136:$BK136,3)&gt;100," *",""))</f>
        <v/>
      </c>
      <c r="R136">
        <f>IF(4&gt;$N136,"",INDEX(Engine!$B$20:$B$43,MOD(SMALL($AN136:$BK136,4),100))&amp;IF(SMALL($AN136:$BK136,4)&gt;100," *",""))</f>
        <v/>
      </c>
      <c r="S136">
        <f>IF(5&gt;$N136,"",INDEX(Engine!$B$20:$B$43,MOD(SMALL($AN136:$BK136,5),100))&amp;IF(SMALL($AN136:$BK136,5)&gt;100," *",""))</f>
        <v/>
      </c>
      <c r="T136">
        <f>IF(6&gt;$N136,"",INDEX(Engine!$B$20:$B$43,MOD(SMALL($AN136:$BK136,6),100))&amp;IF(SMALL($AN136:$BK136,6)&gt;100," *",""))</f>
        <v/>
      </c>
      <c r="U136">
        <f>IF(7&gt;$N136,"",INDEX(Engine!$B$20:$B$43,MOD(SMALL($AN136:$BK136,7),100))&amp;IF(SMALL($AN136:$BK136,7)&gt;100," *",""))</f>
        <v/>
      </c>
      <c r="V136">
        <f>IF(8&gt;$N136,"",INDEX(Engine!$B$20:$B$43,MOD(SMALL($AN136:$BK136,8),100))&amp;IF(SMALL($AN136:$BK136,8)&gt;100," *",""))</f>
        <v/>
      </c>
      <c r="W136">
        <f>IF(9&gt;$N136,"",INDEX(Engine!$B$20:$B$43,MOD(SMALL($AN136:$BK136,9),100))&amp;IF(SMALL($AN136:$BK136,9)&gt;100," *",""))</f>
        <v/>
      </c>
      <c r="X136">
        <f>IF(10&gt;$N136,"",INDEX(Engine!$B$20:$B$43,MOD(SMALL($AN136:$BK136,10),100))&amp;IF(SMALL($AN136:$BK136,10)&gt;100," *",""))</f>
        <v/>
      </c>
      <c r="Y136">
        <f>IF(11&gt;$N136,"",INDEX(Engine!$B$20:$B$43,MOD(SMALL($AN136:$BK136,11),100))&amp;IF(SMALL($AN136:$BK136,11)&gt;100," *",""))</f>
        <v/>
      </c>
      <c r="Z136">
        <f>IF(12&gt;$N136,"",INDEX(Engine!$B$20:$B$43,MOD(SMALL($AN136:$BK136,12),100))&amp;IF(SMALL($AN136:$BK136,12)&gt;100," *",""))</f>
        <v/>
      </c>
      <c r="AA136">
        <f>IF(13&gt;$N136,"",INDEX(Engine!$B$20:$B$43,MOD(SMALL($AN136:$BK136,13),100))&amp;IF(SMALL($AN136:$BK136,13)&gt;100," *",""))</f>
        <v/>
      </c>
      <c r="AB136">
        <f>IF(14&gt;$N136,"",INDEX(Engine!$B$20:$B$43,MOD(SMALL($AN136:$BK136,14),100))&amp;IF(SMALL($AN136:$BK136,14)&gt;100," *",""))</f>
        <v/>
      </c>
      <c r="AC136">
        <f>IF(15&gt;$N136,"",INDEX(Engine!$B$20:$B$43,MOD(SMALL($AN136:$BK136,15),100))&amp;IF(SMALL($AN136:$BK136,15)&gt;100," *",""))</f>
        <v/>
      </c>
      <c r="AD136">
        <f>IF(16&gt;$N136,"",INDEX(Engine!$B$20:$B$43,MOD(SMALL($AN136:$BK136,16),100))&amp;IF(SMALL($AN136:$BK136,16)&gt;100," *",""))</f>
        <v/>
      </c>
      <c r="AE136">
        <f>IF(17&gt;$N136,"",INDEX(Engine!$B$20:$B$43,MOD(SMALL($AN136:$BK136,17),100))&amp;IF(SMALL($AN136:$BK136,17)&gt;100," *",""))</f>
        <v/>
      </c>
      <c r="AF136">
        <f>IF(18&gt;$N136,"",INDEX(Engine!$B$20:$B$43,MOD(SMALL($AN136:$BK136,18),100))&amp;IF(SMALL($AN136:$BK136,18)&gt;100," *",""))</f>
        <v/>
      </c>
      <c r="AG136">
        <f>IF(19&gt;$N136,"",INDEX(Engine!$B$20:$B$43,MOD(SMALL($AN136:$BK136,19),100))&amp;IF(SMALL($AN136:$BK136,19)&gt;100," *",""))</f>
        <v/>
      </c>
      <c r="AH136">
        <f>IF(20&gt;$N136,"",INDEX(Engine!$B$20:$B$43,MOD(SMALL($AN136:$BK136,20),100))&amp;IF(SMALL($AN136:$BK136,20)&gt;100," *",""))</f>
        <v/>
      </c>
      <c r="AI136">
        <f>IF(21&gt;$N136,"",INDEX(Engine!$B$20:$B$43,MOD(SMALL($AN136:$BK136,21),100))&amp;IF(SMALL($AN136:$BK136,21)&gt;100," *",""))</f>
        <v/>
      </c>
      <c r="AJ136">
        <f>IF(22&gt;$N136,"",INDEX(Engine!$B$20:$B$43,MOD(SMALL($AN136:$BK136,22),100))&amp;IF(SMALL($AN136:$BK136,22)&gt;100," *",""))</f>
        <v/>
      </c>
      <c r="AK136">
        <f>IF(23&gt;$N136,"",INDEX(Engine!$B$20:$B$43,MOD(SMALL($AN136:$BK136,23),100))&amp;IF(SMALL($AN136:$BK136,23)&gt;100," *",""))</f>
        <v/>
      </c>
      <c r="AL136">
        <f>IF(24&gt;$N136,"",INDEX(Engine!$B$20:$B$43,MOD(SMALL($AN136:$BK136,24),100))&amp;IF(SMALL($AN136:$BK136,24)&gt;100," *",""))</f>
        <v/>
      </c>
      <c r="AN136">
        <f>IF(AND($C20=1,INDEX(Setup!$O$6:$AL$23,15,1)&lt;&gt;"",N20=0),1+IF(INDEX(Setup!$O$6:$AL$23,15,1)="T",100,0),"")</f>
        <v/>
      </c>
      <c r="AO136">
        <f>IF(AND($C21=1,INDEX(Setup!$O$6:$AL$23,15,2)&lt;&gt;"",N21=0),2+IF(INDEX(Setup!$O$6:$AL$23,15,2)="T",100,0),"")</f>
        <v/>
      </c>
      <c r="AP136">
        <f>IF(AND($C22=1,INDEX(Setup!$O$6:$AL$23,15,3)&lt;&gt;"",N22=0),3+IF(INDEX(Setup!$O$6:$AL$23,15,3)="T",100,0),"")</f>
        <v/>
      </c>
      <c r="AQ136">
        <f>IF(AND($C23=1,INDEX(Setup!$O$6:$AL$23,15,4)&lt;&gt;"",N23=0),4+IF(INDEX(Setup!$O$6:$AL$23,15,4)="T",100,0),"")</f>
        <v/>
      </c>
      <c r="AR136">
        <f>IF(AND($C24=1,INDEX(Setup!$O$6:$AL$23,15,5)&lt;&gt;"",N24=0),5+IF(INDEX(Setup!$O$6:$AL$23,15,5)="T",100,0),"")</f>
        <v/>
      </c>
      <c r="AS136">
        <f>IF(AND($C25=1,INDEX(Setup!$O$6:$AL$23,15,6)&lt;&gt;"",N25=0),6+IF(INDEX(Setup!$O$6:$AL$23,15,6)="T",100,0),"")</f>
        <v/>
      </c>
      <c r="AT136">
        <f>IF(AND($C26=1,INDEX(Setup!$O$6:$AL$23,15,7)&lt;&gt;"",N26=0),7+IF(INDEX(Setup!$O$6:$AL$23,15,7)="T",100,0),"")</f>
        <v/>
      </c>
      <c r="AU136">
        <f>IF(AND($C27=1,INDEX(Setup!$O$6:$AL$23,15,8)&lt;&gt;"",N27=0),8+IF(INDEX(Setup!$O$6:$AL$23,15,8)="T",100,0),"")</f>
        <v/>
      </c>
      <c r="AV136">
        <f>IF(AND($C28=1,INDEX(Setup!$O$6:$AL$23,15,9)&lt;&gt;"",N28=0),9+IF(INDEX(Setup!$O$6:$AL$23,15,9)="T",100,0),"")</f>
        <v/>
      </c>
      <c r="AW136">
        <f>IF(AND($C29=1,INDEX(Setup!$O$6:$AL$23,15,10)&lt;&gt;"",N29=0),10+IF(INDEX(Setup!$O$6:$AL$23,15,10)="T",100,0),"")</f>
        <v/>
      </c>
      <c r="AX136">
        <f>IF(AND($C30=1,INDEX(Setup!$O$6:$AL$23,15,11)&lt;&gt;"",N30=0),11+IF(INDEX(Setup!$O$6:$AL$23,15,11)="T",100,0),"")</f>
        <v/>
      </c>
      <c r="AY136">
        <f>IF(AND($C31=1,INDEX(Setup!$O$6:$AL$23,15,12)&lt;&gt;"",N31=0),12+IF(INDEX(Setup!$O$6:$AL$23,15,12)="T",100,0),"")</f>
        <v/>
      </c>
      <c r="AZ136">
        <f>IF(AND($C32=1,INDEX(Setup!$O$6:$AL$23,15,13)&lt;&gt;"",N32=0),13+IF(INDEX(Setup!$O$6:$AL$23,15,13)="T",100,0),"")</f>
        <v/>
      </c>
      <c r="BA136">
        <f>IF(AND($C33=1,INDEX(Setup!$O$6:$AL$23,15,14)&lt;&gt;"",N33=0),14+IF(INDEX(Setup!$O$6:$AL$23,15,14)="T",100,0),"")</f>
        <v/>
      </c>
      <c r="BB136">
        <f>IF(AND($C34=1,INDEX(Setup!$O$6:$AL$23,15,15)&lt;&gt;"",N34=0),15+IF(INDEX(Setup!$O$6:$AL$23,15,15)="T",100,0),"")</f>
        <v/>
      </c>
      <c r="BC136">
        <f>IF(AND($C35=1,INDEX(Setup!$O$6:$AL$23,15,16)&lt;&gt;"",N35=0),16+IF(INDEX(Setup!$O$6:$AL$23,15,16)="T",100,0),"")</f>
        <v/>
      </c>
      <c r="BD136">
        <f>IF(AND($C36=1,INDEX(Setup!$O$6:$AL$23,15,17)&lt;&gt;"",N36=0),17+IF(INDEX(Setup!$O$6:$AL$23,15,17)="T",100,0),"")</f>
        <v/>
      </c>
      <c r="BE136">
        <f>IF(AND($C37=1,INDEX(Setup!$O$6:$AL$23,15,18)&lt;&gt;"",N37=0),18+IF(INDEX(Setup!$O$6:$AL$23,15,18)="T",100,0),"")</f>
        <v/>
      </c>
      <c r="BF136">
        <f>IF(AND($C38=1,INDEX(Setup!$O$6:$AL$23,15,19)&lt;&gt;"",N38=0),19+IF(INDEX(Setup!$O$6:$AL$23,15,19)="T",100,0),"")</f>
        <v/>
      </c>
      <c r="BG136">
        <f>IF(AND($C39=1,INDEX(Setup!$O$6:$AL$23,15,20)&lt;&gt;"",N39=0),20+IF(INDEX(Setup!$O$6:$AL$23,15,20)="T",100,0),"")</f>
        <v/>
      </c>
      <c r="BH136">
        <f>IF(AND($C40=1,INDEX(Setup!$O$6:$AL$23,15,21)&lt;&gt;"",N40=0),21+IF(INDEX(Setup!$O$6:$AL$23,15,21)="T",100,0),"")</f>
        <v/>
      </c>
      <c r="BI136">
        <f>IF(AND($C41=1,INDEX(Setup!$O$6:$AL$23,15,22)&lt;&gt;"",N41=0),22+IF(INDEX(Setup!$O$6:$AL$23,15,22)="T",100,0),"")</f>
        <v/>
      </c>
      <c r="BJ136">
        <f>IF(AND($C42=1,INDEX(Setup!$O$6:$AL$23,15,23)&lt;&gt;"",N42=0),23+IF(INDEX(Setup!$O$6:$AL$23,15,23)="T",100,0),"")</f>
        <v/>
      </c>
      <c r="BK136">
        <f>IF(AND($C43=1,INDEX(Setup!$O$6:$AL$23,15,24)&lt;&gt;"",N43=0),24+IF(INDEX(Setup!$O$6:$AL$23,15,24)="T",100,0),"")</f>
        <v/>
      </c>
      <c r="BM136">
        <f>IF(AND(AN136&lt;&gt;"",COUNTIF($O$61:$Q$61,$B20)+COUNTIF($O$61:$Q$61,$B20&amp;" ~*")=0),($R20+COUNTIF($H$122:$H135,$B20)+COUNTIF($H$122:$H135,$B20&amp;" ~*"))*1000+IF(AN136&gt;100,500,0)+1,"")</f>
        <v/>
      </c>
      <c r="BN136">
        <f>IF(AND(AO136&lt;&gt;"",COUNTIF($O$61:$Q$61,$B21)+COUNTIF($O$61:$Q$61,$B21&amp;" ~*")=0),($R21+COUNTIF($H$122:$H135,$B21)+COUNTIF($H$122:$H135,$B21&amp;" ~*"))*1000+IF(AO136&gt;100,500,0)+2,"")</f>
        <v/>
      </c>
      <c r="BO136">
        <f>IF(AND(AP136&lt;&gt;"",COUNTIF($O$61:$Q$61,$B22)+COUNTIF($O$61:$Q$61,$B22&amp;" ~*")=0),($R22+COUNTIF($H$122:$H135,$B22)+COUNTIF($H$122:$H135,$B22&amp;" ~*"))*1000+IF(AP136&gt;100,500,0)+3,"")</f>
        <v/>
      </c>
      <c r="BP136">
        <f>IF(AND(AQ136&lt;&gt;"",COUNTIF($O$61:$Q$61,$B23)+COUNTIF($O$61:$Q$61,$B23&amp;" ~*")=0),($R23+COUNTIF($H$122:$H135,$B23)+COUNTIF($H$122:$H135,$B23&amp;" ~*"))*1000+IF(AQ136&gt;100,500,0)+4,"")</f>
        <v/>
      </c>
      <c r="BQ136">
        <f>IF(AND(AR136&lt;&gt;"",COUNTIF($O$61:$Q$61,$B24)+COUNTIF($O$61:$Q$61,$B24&amp;" ~*")=0),($R24+COUNTIF($H$122:$H135,$B24)+COUNTIF($H$122:$H135,$B24&amp;" ~*"))*1000+IF(AR136&gt;100,500,0)+5,"")</f>
        <v/>
      </c>
      <c r="BR136">
        <f>IF(AND(AS136&lt;&gt;"",COUNTIF($O$61:$Q$61,$B25)+COUNTIF($O$61:$Q$61,$B25&amp;" ~*")=0),($R25+COUNTIF($H$122:$H135,$B25)+COUNTIF($H$122:$H135,$B25&amp;" ~*"))*1000+IF(AS136&gt;100,500,0)+6,"")</f>
        <v/>
      </c>
      <c r="BS136">
        <f>IF(AND(AT136&lt;&gt;"",COUNTIF($O$61:$Q$61,$B26)+COUNTIF($O$61:$Q$61,$B26&amp;" ~*")=0),($R26+COUNTIF($H$122:$H135,$B26)+COUNTIF($H$122:$H135,$B26&amp;" ~*"))*1000+IF(AT136&gt;100,500,0)+7,"")</f>
        <v/>
      </c>
      <c r="BT136">
        <f>IF(AND(AU136&lt;&gt;"",COUNTIF($O$61:$Q$61,$B27)+COUNTIF($O$61:$Q$61,$B27&amp;" ~*")=0),($R27+COUNTIF($H$122:$H135,$B27)+COUNTIF($H$122:$H135,$B27&amp;" ~*"))*1000+IF(AU136&gt;100,500,0)+8,"")</f>
        <v/>
      </c>
      <c r="BU136">
        <f>IF(AND(AV136&lt;&gt;"",COUNTIF($O$61:$Q$61,$B28)+COUNTIF($O$61:$Q$61,$B28&amp;" ~*")=0),($R28+COUNTIF($H$122:$H135,$B28)+COUNTIF($H$122:$H135,$B28&amp;" ~*"))*1000+IF(AV136&gt;100,500,0)+9,"")</f>
        <v/>
      </c>
      <c r="BV136">
        <f>IF(AND(AW136&lt;&gt;"",COUNTIF($O$61:$Q$61,$B29)+COUNTIF($O$61:$Q$61,$B29&amp;" ~*")=0),($R29+COUNTIF($H$122:$H135,$B29)+COUNTIF($H$122:$H135,$B29&amp;" ~*"))*1000+IF(AW136&gt;100,500,0)+10,"")</f>
        <v/>
      </c>
      <c r="BW136">
        <f>IF(AND(AX136&lt;&gt;"",COUNTIF($O$61:$Q$61,$B30)+COUNTIF($O$61:$Q$61,$B30&amp;" ~*")=0),($R30+COUNTIF($H$122:$H135,$B30)+COUNTIF($H$122:$H135,$B30&amp;" ~*"))*1000+IF(AX136&gt;100,500,0)+11,"")</f>
        <v/>
      </c>
      <c r="BX136">
        <f>IF(AND(AY136&lt;&gt;"",COUNTIF($O$61:$Q$61,$B31)+COUNTIF($O$61:$Q$61,$B31&amp;" ~*")=0),($R31+COUNTIF($H$122:$H135,$B31)+COUNTIF($H$122:$H135,$B31&amp;" ~*"))*1000+IF(AY136&gt;100,500,0)+12,"")</f>
        <v/>
      </c>
      <c r="BY136">
        <f>IF(AND(AZ136&lt;&gt;"",COUNTIF($O$61:$Q$61,$B32)+COUNTIF($O$61:$Q$61,$B32&amp;" ~*")=0),($R32+COUNTIF($H$122:$H135,$B32)+COUNTIF($H$122:$H135,$B32&amp;" ~*"))*1000+IF(AZ136&gt;100,500,0)+13,"")</f>
        <v/>
      </c>
      <c r="BZ136">
        <f>IF(AND(BA136&lt;&gt;"",COUNTIF($O$61:$Q$61,$B33)+COUNTIF($O$61:$Q$61,$B33&amp;" ~*")=0),($R33+COUNTIF($H$122:$H135,$B33)+COUNTIF($H$122:$H135,$B33&amp;" ~*"))*1000+IF(BA136&gt;100,500,0)+14,"")</f>
        <v/>
      </c>
      <c r="CA136">
        <f>IF(AND(BB136&lt;&gt;"",COUNTIF($O$61:$Q$61,$B34)+COUNTIF($O$61:$Q$61,$B34&amp;" ~*")=0),($R34+COUNTIF($H$122:$H135,$B34)+COUNTIF($H$122:$H135,$B34&amp;" ~*"))*1000+IF(BB136&gt;100,500,0)+15,"")</f>
        <v/>
      </c>
      <c r="CB136">
        <f>IF(AND(BC136&lt;&gt;"",COUNTIF($O$61:$Q$61,$B35)+COUNTIF($O$61:$Q$61,$B35&amp;" ~*")=0),($R35+COUNTIF($H$122:$H135,$B35)+COUNTIF($H$122:$H135,$B35&amp;" ~*"))*1000+IF(BC136&gt;100,500,0)+16,"")</f>
        <v/>
      </c>
      <c r="CC136">
        <f>IF(AND(BD136&lt;&gt;"",COUNTIF($O$61:$Q$61,$B36)+COUNTIF($O$61:$Q$61,$B36&amp;" ~*")=0),($R36+COUNTIF($H$122:$H135,$B36)+COUNTIF($H$122:$H135,$B36&amp;" ~*"))*1000+IF(BD136&gt;100,500,0)+17,"")</f>
        <v/>
      </c>
      <c r="CD136">
        <f>IF(AND(BE136&lt;&gt;"",COUNTIF($O$61:$Q$61,$B37)+COUNTIF($O$61:$Q$61,$B37&amp;" ~*")=0),($R37+COUNTIF($H$122:$H135,$B37)+COUNTIF($H$122:$H135,$B37&amp;" ~*"))*1000+IF(BE136&gt;100,500,0)+18,"")</f>
        <v/>
      </c>
      <c r="CE136">
        <f>IF(AND(BF136&lt;&gt;"",COUNTIF($O$61:$Q$61,$B38)+COUNTIF($O$61:$Q$61,$B38&amp;" ~*")=0),($R38+COUNTIF($H$122:$H135,$B38)+COUNTIF($H$122:$H135,$B38&amp;" ~*"))*1000+IF(BF136&gt;100,500,0)+19,"")</f>
        <v/>
      </c>
      <c r="CF136">
        <f>IF(AND(BG136&lt;&gt;"",COUNTIF($O$61:$Q$61,$B39)+COUNTIF($O$61:$Q$61,$B39&amp;" ~*")=0),($R39+COUNTIF($H$122:$H135,$B39)+COUNTIF($H$122:$H135,$B39&amp;" ~*"))*1000+IF(BG136&gt;100,500,0)+20,"")</f>
        <v/>
      </c>
      <c r="CG136">
        <f>IF(AND(BH136&lt;&gt;"",COUNTIF($O$61:$Q$61,$B40)+COUNTIF($O$61:$Q$61,$B40&amp;" ~*")=0),($R40+COUNTIF($H$122:$H135,$B40)+COUNTIF($H$122:$H135,$B40&amp;" ~*"))*1000+IF(BH136&gt;100,500,0)+21,"")</f>
        <v/>
      </c>
      <c r="CH136">
        <f>IF(AND(BI136&lt;&gt;"",COUNTIF($O$61:$Q$61,$B41)+COUNTIF($O$61:$Q$61,$B41&amp;" ~*")=0),($R41+COUNTIF($H$122:$H135,$B41)+COUNTIF($H$122:$H135,$B41&amp;" ~*"))*1000+IF(BI136&gt;100,500,0)+22,"")</f>
        <v/>
      </c>
      <c r="CI136">
        <f>IF(AND(BJ136&lt;&gt;"",COUNTIF($O$61:$Q$61,$B42)+COUNTIF($O$61:$Q$61,$B42&amp;" ~*")=0),($R42+COUNTIF($H$122:$H135,$B42)+COUNTIF($H$122:$H135,$B42&amp;" ~*"))*1000+IF(BJ136&gt;100,500,0)+23,"")</f>
        <v/>
      </c>
      <c r="CJ136">
        <f>IF(AND(BK136&lt;&gt;"",COUNTIF($O$61:$Q$61,$B43)+COUNTIF($O$61:$Q$61,$B43&amp;" ~*")=0),($R43+COUNTIF($H$122:$H135,$B43)+COUNTIF($H$122:$H135,$B43&amp;" ~*"))*1000+IF(BK136&gt;100,500,0)+24,"")</f>
        <v/>
      </c>
    </row>
    <row r="137">
      <c r="A137" t="n">
        <v>4</v>
      </c>
      <c r="B137" t="n">
        <v>16</v>
      </c>
      <c r="C137">
        <f>$B$62</f>
        <v/>
      </c>
      <c r="D137" t="inlineStr">
        <is>
          <t>Thu</t>
        </is>
      </c>
      <c r="E137">
        <f>IF(C137="","",N($AB$62))</f>
        <v/>
      </c>
      <c r="F137">
        <f>IF(C137="","",COUNTIF($O$62:$Q$62,"?*"))</f>
        <v/>
      </c>
      <c r="G137">
        <f>IF(C137="","",MAX(0,E137-F137))</f>
        <v/>
      </c>
      <c r="H137">
        <f>IF(N(G137)=0,"",IF(COUNT(BM137:CJ137)=0,"no-one eligible",INDEX(Engine!$B$20:$B$43,MOD(MIN(BM137:CJ137),500))&amp;IF(MOD(MIN(BM137:CJ137),1000)&gt;=500," *","")))</f>
        <v/>
      </c>
      <c r="I137">
        <f>IF(N(G137)&gt;0,COUNTIF($G$68:G137,"&gt;0"),"")</f>
        <v/>
      </c>
      <c r="J137">
        <f>IF(C137="","",IF($O$62="",0,IF(IFERROR(INDEX(Setup!$O$6:$AL$23,16,MATCH(SUBSTITUTE($O$62," *",""),Setup!$B$6:$B$29,0)),"")="",1,0))+IF($P$62="",0,IF(IFERROR(INDEX(Setup!$O$6:$AL$23,16,MATCH(SUBSTITUTE($P$62," *",""),Setup!$B$6:$B$29,0)),"")="",1,0))+IF($Q$62="",0,IF(IFERROR(INDEX(Setup!$O$6:$AL$23,16,MATCH(SUBSTITUTE($Q$62," *",""),Setup!$B$6:$B$29,0)),"")="",1,0)))</f>
        <v/>
      </c>
      <c r="K137">
        <f>IF($B$12+3=TODAY(),1,0)</f>
        <v/>
      </c>
      <c r="N137">
        <f>COUNT($AN137:$BK137)</f>
        <v/>
      </c>
      <c r="O137">
        <f>IF(1&gt;$N137,"",INDEX(Engine!$B$20:$B$43,MOD(SMALL($AN137:$BK137,1),100))&amp;IF(SMALL($AN137:$BK137,1)&gt;100," *",""))</f>
        <v/>
      </c>
      <c r="P137">
        <f>IF(2&gt;$N137,"",INDEX(Engine!$B$20:$B$43,MOD(SMALL($AN137:$BK137,2),100))&amp;IF(SMALL($AN137:$BK137,2)&gt;100," *",""))</f>
        <v/>
      </c>
      <c r="Q137">
        <f>IF(3&gt;$N137,"",INDEX(Engine!$B$20:$B$43,MOD(SMALL($AN137:$BK137,3),100))&amp;IF(SMALL($AN137:$BK137,3)&gt;100," *",""))</f>
        <v/>
      </c>
      <c r="R137">
        <f>IF(4&gt;$N137,"",INDEX(Engine!$B$20:$B$43,MOD(SMALL($AN137:$BK137,4),100))&amp;IF(SMALL($AN137:$BK137,4)&gt;100," *",""))</f>
        <v/>
      </c>
      <c r="S137">
        <f>IF(5&gt;$N137,"",INDEX(Engine!$B$20:$B$43,MOD(SMALL($AN137:$BK137,5),100))&amp;IF(SMALL($AN137:$BK137,5)&gt;100," *",""))</f>
        <v/>
      </c>
      <c r="T137">
        <f>IF(6&gt;$N137,"",INDEX(Engine!$B$20:$B$43,MOD(SMALL($AN137:$BK137,6),100))&amp;IF(SMALL($AN137:$BK137,6)&gt;100," *",""))</f>
        <v/>
      </c>
      <c r="U137">
        <f>IF(7&gt;$N137,"",INDEX(Engine!$B$20:$B$43,MOD(SMALL($AN137:$BK137,7),100))&amp;IF(SMALL($AN137:$BK137,7)&gt;100," *",""))</f>
        <v/>
      </c>
      <c r="V137">
        <f>IF(8&gt;$N137,"",INDEX(Engine!$B$20:$B$43,MOD(SMALL($AN137:$BK137,8),100))&amp;IF(SMALL($AN137:$BK137,8)&gt;100," *",""))</f>
        <v/>
      </c>
      <c r="W137">
        <f>IF(9&gt;$N137,"",INDEX(Engine!$B$20:$B$43,MOD(SMALL($AN137:$BK137,9),100))&amp;IF(SMALL($AN137:$BK137,9)&gt;100," *",""))</f>
        <v/>
      </c>
      <c r="X137">
        <f>IF(10&gt;$N137,"",INDEX(Engine!$B$20:$B$43,MOD(SMALL($AN137:$BK137,10),100))&amp;IF(SMALL($AN137:$BK137,10)&gt;100," *",""))</f>
        <v/>
      </c>
      <c r="Y137">
        <f>IF(11&gt;$N137,"",INDEX(Engine!$B$20:$B$43,MOD(SMALL($AN137:$BK137,11),100))&amp;IF(SMALL($AN137:$BK137,11)&gt;100," *",""))</f>
        <v/>
      </c>
      <c r="Z137">
        <f>IF(12&gt;$N137,"",INDEX(Engine!$B$20:$B$43,MOD(SMALL($AN137:$BK137,12),100))&amp;IF(SMALL($AN137:$BK137,12)&gt;100," *",""))</f>
        <v/>
      </c>
      <c r="AA137">
        <f>IF(13&gt;$N137,"",INDEX(Engine!$B$20:$B$43,MOD(SMALL($AN137:$BK137,13),100))&amp;IF(SMALL($AN137:$BK137,13)&gt;100," *",""))</f>
        <v/>
      </c>
      <c r="AB137">
        <f>IF(14&gt;$N137,"",INDEX(Engine!$B$20:$B$43,MOD(SMALL($AN137:$BK137,14),100))&amp;IF(SMALL($AN137:$BK137,14)&gt;100," *",""))</f>
        <v/>
      </c>
      <c r="AC137">
        <f>IF(15&gt;$N137,"",INDEX(Engine!$B$20:$B$43,MOD(SMALL($AN137:$BK137,15),100))&amp;IF(SMALL($AN137:$BK137,15)&gt;100," *",""))</f>
        <v/>
      </c>
      <c r="AD137">
        <f>IF(16&gt;$N137,"",INDEX(Engine!$B$20:$B$43,MOD(SMALL($AN137:$BK137,16),100))&amp;IF(SMALL($AN137:$BK137,16)&gt;100," *",""))</f>
        <v/>
      </c>
      <c r="AE137">
        <f>IF(17&gt;$N137,"",INDEX(Engine!$B$20:$B$43,MOD(SMALL($AN137:$BK137,17),100))&amp;IF(SMALL($AN137:$BK137,17)&gt;100," *",""))</f>
        <v/>
      </c>
      <c r="AF137">
        <f>IF(18&gt;$N137,"",INDEX(Engine!$B$20:$B$43,MOD(SMALL($AN137:$BK137,18),100))&amp;IF(SMALL($AN137:$BK137,18)&gt;100," *",""))</f>
        <v/>
      </c>
      <c r="AG137">
        <f>IF(19&gt;$N137,"",INDEX(Engine!$B$20:$B$43,MOD(SMALL($AN137:$BK137,19),100))&amp;IF(SMALL($AN137:$BK137,19)&gt;100," *",""))</f>
        <v/>
      </c>
      <c r="AH137">
        <f>IF(20&gt;$N137,"",INDEX(Engine!$B$20:$B$43,MOD(SMALL($AN137:$BK137,20),100))&amp;IF(SMALL($AN137:$BK137,20)&gt;100," *",""))</f>
        <v/>
      </c>
      <c r="AI137">
        <f>IF(21&gt;$N137,"",INDEX(Engine!$B$20:$B$43,MOD(SMALL($AN137:$BK137,21),100))&amp;IF(SMALL($AN137:$BK137,21)&gt;100," *",""))</f>
        <v/>
      </c>
      <c r="AJ137">
        <f>IF(22&gt;$N137,"",INDEX(Engine!$B$20:$B$43,MOD(SMALL($AN137:$BK137,22),100))&amp;IF(SMALL($AN137:$BK137,22)&gt;100," *",""))</f>
        <v/>
      </c>
      <c r="AK137">
        <f>IF(23&gt;$N137,"",INDEX(Engine!$B$20:$B$43,MOD(SMALL($AN137:$BK137,23),100))&amp;IF(SMALL($AN137:$BK137,23)&gt;100," *",""))</f>
        <v/>
      </c>
      <c r="AL137">
        <f>IF(24&gt;$N137,"",INDEX(Engine!$B$20:$B$43,MOD(SMALL($AN137:$BK137,24),100))&amp;IF(SMALL($AN137:$BK137,24)&gt;100," *",""))</f>
        <v/>
      </c>
      <c r="AN137">
        <f>IF(AND($C20=1,INDEX(Setup!$O$6:$AL$23,16,1)&lt;&gt;"",N20=0),1+IF(INDEX(Setup!$O$6:$AL$23,16,1)="T",100,0),"")</f>
        <v/>
      </c>
      <c r="AO137">
        <f>IF(AND($C21=1,INDEX(Setup!$O$6:$AL$23,16,2)&lt;&gt;"",N21=0),2+IF(INDEX(Setup!$O$6:$AL$23,16,2)="T",100,0),"")</f>
        <v/>
      </c>
      <c r="AP137">
        <f>IF(AND($C22=1,INDEX(Setup!$O$6:$AL$23,16,3)&lt;&gt;"",N22=0),3+IF(INDEX(Setup!$O$6:$AL$23,16,3)="T",100,0),"")</f>
        <v/>
      </c>
      <c r="AQ137">
        <f>IF(AND($C23=1,INDEX(Setup!$O$6:$AL$23,16,4)&lt;&gt;"",N23=0),4+IF(INDEX(Setup!$O$6:$AL$23,16,4)="T",100,0),"")</f>
        <v/>
      </c>
      <c r="AR137">
        <f>IF(AND($C24=1,INDEX(Setup!$O$6:$AL$23,16,5)&lt;&gt;"",N24=0),5+IF(INDEX(Setup!$O$6:$AL$23,16,5)="T",100,0),"")</f>
        <v/>
      </c>
      <c r="AS137">
        <f>IF(AND($C25=1,INDEX(Setup!$O$6:$AL$23,16,6)&lt;&gt;"",N25=0),6+IF(INDEX(Setup!$O$6:$AL$23,16,6)="T",100,0),"")</f>
        <v/>
      </c>
      <c r="AT137">
        <f>IF(AND($C26=1,INDEX(Setup!$O$6:$AL$23,16,7)&lt;&gt;"",N26=0),7+IF(INDEX(Setup!$O$6:$AL$23,16,7)="T",100,0),"")</f>
        <v/>
      </c>
      <c r="AU137">
        <f>IF(AND($C27=1,INDEX(Setup!$O$6:$AL$23,16,8)&lt;&gt;"",N27=0),8+IF(INDEX(Setup!$O$6:$AL$23,16,8)="T",100,0),"")</f>
        <v/>
      </c>
      <c r="AV137">
        <f>IF(AND($C28=1,INDEX(Setup!$O$6:$AL$23,16,9)&lt;&gt;"",N28=0),9+IF(INDEX(Setup!$O$6:$AL$23,16,9)="T",100,0),"")</f>
        <v/>
      </c>
      <c r="AW137">
        <f>IF(AND($C29=1,INDEX(Setup!$O$6:$AL$23,16,10)&lt;&gt;"",N29=0),10+IF(INDEX(Setup!$O$6:$AL$23,16,10)="T",100,0),"")</f>
        <v/>
      </c>
      <c r="AX137">
        <f>IF(AND($C30=1,INDEX(Setup!$O$6:$AL$23,16,11)&lt;&gt;"",N30=0),11+IF(INDEX(Setup!$O$6:$AL$23,16,11)="T",100,0),"")</f>
        <v/>
      </c>
      <c r="AY137">
        <f>IF(AND($C31=1,INDEX(Setup!$O$6:$AL$23,16,12)&lt;&gt;"",N31=0),12+IF(INDEX(Setup!$O$6:$AL$23,16,12)="T",100,0),"")</f>
        <v/>
      </c>
      <c r="AZ137">
        <f>IF(AND($C32=1,INDEX(Setup!$O$6:$AL$23,16,13)&lt;&gt;"",N32=0),13+IF(INDEX(Setup!$O$6:$AL$23,16,13)="T",100,0),"")</f>
        <v/>
      </c>
      <c r="BA137">
        <f>IF(AND($C33=1,INDEX(Setup!$O$6:$AL$23,16,14)&lt;&gt;"",N33=0),14+IF(INDEX(Setup!$O$6:$AL$23,16,14)="T",100,0),"")</f>
        <v/>
      </c>
      <c r="BB137">
        <f>IF(AND($C34=1,INDEX(Setup!$O$6:$AL$23,16,15)&lt;&gt;"",N34=0),15+IF(INDEX(Setup!$O$6:$AL$23,16,15)="T",100,0),"")</f>
        <v/>
      </c>
      <c r="BC137">
        <f>IF(AND($C35=1,INDEX(Setup!$O$6:$AL$23,16,16)&lt;&gt;"",N35=0),16+IF(INDEX(Setup!$O$6:$AL$23,16,16)="T",100,0),"")</f>
        <v/>
      </c>
      <c r="BD137">
        <f>IF(AND($C36=1,INDEX(Setup!$O$6:$AL$23,16,17)&lt;&gt;"",N36=0),17+IF(INDEX(Setup!$O$6:$AL$23,16,17)="T",100,0),"")</f>
        <v/>
      </c>
      <c r="BE137">
        <f>IF(AND($C37=1,INDEX(Setup!$O$6:$AL$23,16,18)&lt;&gt;"",N37=0),18+IF(INDEX(Setup!$O$6:$AL$23,16,18)="T",100,0),"")</f>
        <v/>
      </c>
      <c r="BF137">
        <f>IF(AND($C38=1,INDEX(Setup!$O$6:$AL$23,16,19)&lt;&gt;"",N38=0),19+IF(INDEX(Setup!$O$6:$AL$23,16,19)="T",100,0),"")</f>
        <v/>
      </c>
      <c r="BG137">
        <f>IF(AND($C39=1,INDEX(Setup!$O$6:$AL$23,16,20)&lt;&gt;"",N39=0),20+IF(INDEX(Setup!$O$6:$AL$23,16,20)="T",100,0),"")</f>
        <v/>
      </c>
      <c r="BH137">
        <f>IF(AND($C40=1,INDEX(Setup!$O$6:$AL$23,16,21)&lt;&gt;"",N40=0),21+IF(INDEX(Setup!$O$6:$AL$23,16,21)="T",100,0),"")</f>
        <v/>
      </c>
      <c r="BI137">
        <f>IF(AND($C41=1,INDEX(Setup!$O$6:$AL$23,16,22)&lt;&gt;"",N41=0),22+IF(INDEX(Setup!$O$6:$AL$23,16,22)="T",100,0),"")</f>
        <v/>
      </c>
      <c r="BJ137">
        <f>IF(AND($C42=1,INDEX(Setup!$O$6:$AL$23,16,23)&lt;&gt;"",N42=0),23+IF(INDEX(Setup!$O$6:$AL$23,16,23)="T",100,0),"")</f>
        <v/>
      </c>
      <c r="BK137">
        <f>IF(AND($C43=1,INDEX(Setup!$O$6:$AL$23,16,24)&lt;&gt;"",N43=0),24+IF(INDEX(Setup!$O$6:$AL$23,16,24)="T",100,0),"")</f>
        <v/>
      </c>
      <c r="BM137">
        <f>IF(AND(AN137&lt;&gt;"",COUNTIF($O$62:$Q$62,$B20)+COUNTIF($O$62:$Q$62,$B20&amp;" ~*")=0),($R20+COUNTIF($H$122:$H136,$B20)+COUNTIF($H$122:$H136,$B20&amp;" ~*"))*1000+IF(AN137&gt;100,500,0)+1,"")</f>
        <v/>
      </c>
      <c r="BN137">
        <f>IF(AND(AO137&lt;&gt;"",COUNTIF($O$62:$Q$62,$B21)+COUNTIF($O$62:$Q$62,$B21&amp;" ~*")=0),($R21+COUNTIF($H$122:$H136,$B21)+COUNTIF($H$122:$H136,$B21&amp;" ~*"))*1000+IF(AO137&gt;100,500,0)+2,"")</f>
        <v/>
      </c>
      <c r="BO137">
        <f>IF(AND(AP137&lt;&gt;"",COUNTIF($O$62:$Q$62,$B22)+COUNTIF($O$62:$Q$62,$B22&amp;" ~*")=0),($R22+COUNTIF($H$122:$H136,$B22)+COUNTIF($H$122:$H136,$B22&amp;" ~*"))*1000+IF(AP137&gt;100,500,0)+3,"")</f>
        <v/>
      </c>
      <c r="BP137">
        <f>IF(AND(AQ137&lt;&gt;"",COUNTIF($O$62:$Q$62,$B23)+COUNTIF($O$62:$Q$62,$B23&amp;" ~*")=0),($R23+COUNTIF($H$122:$H136,$B23)+COUNTIF($H$122:$H136,$B23&amp;" ~*"))*1000+IF(AQ137&gt;100,500,0)+4,"")</f>
        <v/>
      </c>
      <c r="BQ137">
        <f>IF(AND(AR137&lt;&gt;"",COUNTIF($O$62:$Q$62,$B24)+COUNTIF($O$62:$Q$62,$B24&amp;" ~*")=0),($R24+COUNTIF($H$122:$H136,$B24)+COUNTIF($H$122:$H136,$B24&amp;" ~*"))*1000+IF(AR137&gt;100,500,0)+5,"")</f>
        <v/>
      </c>
      <c r="BR137">
        <f>IF(AND(AS137&lt;&gt;"",COUNTIF($O$62:$Q$62,$B25)+COUNTIF($O$62:$Q$62,$B25&amp;" ~*")=0),($R25+COUNTIF($H$122:$H136,$B25)+COUNTIF($H$122:$H136,$B25&amp;" ~*"))*1000+IF(AS137&gt;100,500,0)+6,"")</f>
        <v/>
      </c>
      <c r="BS137">
        <f>IF(AND(AT137&lt;&gt;"",COUNTIF($O$62:$Q$62,$B26)+COUNTIF($O$62:$Q$62,$B26&amp;" ~*")=0),($R26+COUNTIF($H$122:$H136,$B26)+COUNTIF($H$122:$H136,$B26&amp;" ~*"))*1000+IF(AT137&gt;100,500,0)+7,"")</f>
        <v/>
      </c>
      <c r="BT137">
        <f>IF(AND(AU137&lt;&gt;"",COUNTIF($O$62:$Q$62,$B27)+COUNTIF($O$62:$Q$62,$B27&amp;" ~*")=0),($R27+COUNTIF($H$122:$H136,$B27)+COUNTIF($H$122:$H136,$B27&amp;" ~*"))*1000+IF(AU137&gt;100,500,0)+8,"")</f>
        <v/>
      </c>
      <c r="BU137">
        <f>IF(AND(AV137&lt;&gt;"",COUNTIF($O$62:$Q$62,$B28)+COUNTIF($O$62:$Q$62,$B28&amp;" ~*")=0),($R28+COUNTIF($H$122:$H136,$B28)+COUNTIF($H$122:$H136,$B28&amp;" ~*"))*1000+IF(AV137&gt;100,500,0)+9,"")</f>
        <v/>
      </c>
      <c r="BV137">
        <f>IF(AND(AW137&lt;&gt;"",COUNTIF($O$62:$Q$62,$B29)+COUNTIF($O$62:$Q$62,$B29&amp;" ~*")=0),($R29+COUNTIF($H$122:$H136,$B29)+COUNTIF($H$122:$H136,$B29&amp;" ~*"))*1000+IF(AW137&gt;100,500,0)+10,"")</f>
        <v/>
      </c>
      <c r="BW137">
        <f>IF(AND(AX137&lt;&gt;"",COUNTIF($O$62:$Q$62,$B30)+COUNTIF($O$62:$Q$62,$B30&amp;" ~*")=0),($R30+COUNTIF($H$122:$H136,$B30)+COUNTIF($H$122:$H136,$B30&amp;" ~*"))*1000+IF(AX137&gt;100,500,0)+11,"")</f>
        <v/>
      </c>
      <c r="BX137">
        <f>IF(AND(AY137&lt;&gt;"",COUNTIF($O$62:$Q$62,$B31)+COUNTIF($O$62:$Q$62,$B31&amp;" ~*")=0),($R31+COUNTIF($H$122:$H136,$B31)+COUNTIF($H$122:$H136,$B31&amp;" ~*"))*1000+IF(AY137&gt;100,500,0)+12,"")</f>
        <v/>
      </c>
      <c r="BY137">
        <f>IF(AND(AZ137&lt;&gt;"",COUNTIF($O$62:$Q$62,$B32)+COUNTIF($O$62:$Q$62,$B32&amp;" ~*")=0),($R32+COUNTIF($H$122:$H136,$B32)+COUNTIF($H$122:$H136,$B32&amp;" ~*"))*1000+IF(AZ137&gt;100,500,0)+13,"")</f>
        <v/>
      </c>
      <c r="BZ137">
        <f>IF(AND(BA137&lt;&gt;"",COUNTIF($O$62:$Q$62,$B33)+COUNTIF($O$62:$Q$62,$B33&amp;" ~*")=0),($R33+COUNTIF($H$122:$H136,$B33)+COUNTIF($H$122:$H136,$B33&amp;" ~*"))*1000+IF(BA137&gt;100,500,0)+14,"")</f>
        <v/>
      </c>
      <c r="CA137">
        <f>IF(AND(BB137&lt;&gt;"",COUNTIF($O$62:$Q$62,$B34)+COUNTIF($O$62:$Q$62,$B34&amp;" ~*")=0),($R34+COUNTIF($H$122:$H136,$B34)+COUNTIF($H$122:$H136,$B34&amp;" ~*"))*1000+IF(BB137&gt;100,500,0)+15,"")</f>
        <v/>
      </c>
      <c r="CB137">
        <f>IF(AND(BC137&lt;&gt;"",COUNTIF($O$62:$Q$62,$B35)+COUNTIF($O$62:$Q$62,$B35&amp;" ~*")=0),($R35+COUNTIF($H$122:$H136,$B35)+COUNTIF($H$122:$H136,$B35&amp;" ~*"))*1000+IF(BC137&gt;100,500,0)+16,"")</f>
        <v/>
      </c>
      <c r="CC137">
        <f>IF(AND(BD137&lt;&gt;"",COUNTIF($O$62:$Q$62,$B36)+COUNTIF($O$62:$Q$62,$B36&amp;" ~*")=0),($R36+COUNTIF($H$122:$H136,$B36)+COUNTIF($H$122:$H136,$B36&amp;" ~*"))*1000+IF(BD137&gt;100,500,0)+17,"")</f>
        <v/>
      </c>
      <c r="CD137">
        <f>IF(AND(BE137&lt;&gt;"",COUNTIF($O$62:$Q$62,$B37)+COUNTIF($O$62:$Q$62,$B37&amp;" ~*")=0),($R37+COUNTIF($H$122:$H136,$B37)+COUNTIF($H$122:$H136,$B37&amp;" ~*"))*1000+IF(BE137&gt;100,500,0)+18,"")</f>
        <v/>
      </c>
      <c r="CE137">
        <f>IF(AND(BF137&lt;&gt;"",COUNTIF($O$62:$Q$62,$B38)+COUNTIF($O$62:$Q$62,$B38&amp;" ~*")=0),($R38+COUNTIF($H$122:$H136,$B38)+COUNTIF($H$122:$H136,$B38&amp;" ~*"))*1000+IF(BF137&gt;100,500,0)+19,"")</f>
        <v/>
      </c>
      <c r="CF137">
        <f>IF(AND(BG137&lt;&gt;"",COUNTIF($O$62:$Q$62,$B39)+COUNTIF($O$62:$Q$62,$B39&amp;" ~*")=0),($R39+COUNTIF($H$122:$H136,$B39)+COUNTIF($H$122:$H136,$B39&amp;" ~*"))*1000+IF(BG137&gt;100,500,0)+20,"")</f>
        <v/>
      </c>
      <c r="CG137">
        <f>IF(AND(BH137&lt;&gt;"",COUNTIF($O$62:$Q$62,$B40)+COUNTIF($O$62:$Q$62,$B40&amp;" ~*")=0),($R40+COUNTIF($H$122:$H136,$B40)+COUNTIF($H$122:$H136,$B40&amp;" ~*"))*1000+IF(BH137&gt;100,500,0)+21,"")</f>
        <v/>
      </c>
      <c r="CH137">
        <f>IF(AND(BI137&lt;&gt;"",COUNTIF($O$62:$Q$62,$B41)+COUNTIF($O$62:$Q$62,$B41&amp;" ~*")=0),($R41+COUNTIF($H$122:$H136,$B41)+COUNTIF($H$122:$H136,$B41&amp;" ~*"))*1000+IF(BI137&gt;100,500,0)+22,"")</f>
        <v/>
      </c>
      <c r="CI137">
        <f>IF(AND(BJ137&lt;&gt;"",COUNTIF($O$62:$Q$62,$B42)+COUNTIF($O$62:$Q$62,$B42&amp;" ~*")=0),($R42+COUNTIF($H$122:$H136,$B42)+COUNTIF($H$122:$H136,$B42&amp;" ~*"))*1000+IF(BJ137&gt;100,500,0)+23,"")</f>
        <v/>
      </c>
      <c r="CJ137">
        <f>IF(AND(BK137&lt;&gt;"",COUNTIF($O$62:$Q$62,$B43)+COUNTIF($O$62:$Q$62,$B43&amp;" ~*")=0),($R43+COUNTIF($H$122:$H136,$B43)+COUNTIF($H$122:$H136,$B43&amp;" ~*"))*1000+IF(BK137&gt;100,500,0)+24,"")</f>
        <v/>
      </c>
    </row>
    <row r="138">
      <c r="A138" t="n">
        <v>4</v>
      </c>
      <c r="B138" t="n">
        <v>17</v>
      </c>
      <c r="C138">
        <f>$B$63</f>
        <v/>
      </c>
      <c r="D138" t="inlineStr">
        <is>
          <t>Thu</t>
        </is>
      </c>
      <c r="E138">
        <f>IF(C138="","",N($AB$63))</f>
        <v/>
      </c>
      <c r="F138">
        <f>IF(C138="","",COUNTIF($O$63:$Q$63,"?*"))</f>
        <v/>
      </c>
      <c r="G138">
        <f>IF(C138="","",MAX(0,E138-F138))</f>
        <v/>
      </c>
      <c r="H138">
        <f>IF(N(G138)=0,"",IF(COUNT(BM138:CJ138)=0,"no-one eligible",INDEX(Engine!$B$20:$B$43,MOD(MIN(BM138:CJ138),500))&amp;IF(MOD(MIN(BM138:CJ138),1000)&gt;=500," *","")))</f>
        <v/>
      </c>
      <c r="I138">
        <f>IF(N(G138)&gt;0,COUNTIF($G$68:G138,"&gt;0"),"")</f>
        <v/>
      </c>
      <c r="J138">
        <f>IF(C138="","",IF($O$63="",0,IF(IFERROR(INDEX(Setup!$O$6:$AL$23,17,MATCH(SUBSTITUTE($O$63," *",""),Setup!$B$6:$B$29,0)),"")="",1,0))+IF($P$63="",0,IF(IFERROR(INDEX(Setup!$O$6:$AL$23,17,MATCH(SUBSTITUTE($P$63," *",""),Setup!$B$6:$B$29,0)),"")="",1,0))+IF($Q$63="",0,IF(IFERROR(INDEX(Setup!$O$6:$AL$23,17,MATCH(SUBSTITUTE($Q$63," *",""),Setup!$B$6:$B$29,0)),"")="",1,0)))</f>
        <v/>
      </c>
      <c r="K138">
        <f>IF($B$12+3=TODAY(),1,0)</f>
        <v/>
      </c>
      <c r="N138">
        <f>COUNT($AN138:$BK138)</f>
        <v/>
      </c>
      <c r="O138">
        <f>IF(1&gt;$N138,"",INDEX(Engine!$B$20:$B$43,MOD(SMALL($AN138:$BK138,1),100))&amp;IF(SMALL($AN138:$BK138,1)&gt;100," *",""))</f>
        <v/>
      </c>
      <c r="P138">
        <f>IF(2&gt;$N138,"",INDEX(Engine!$B$20:$B$43,MOD(SMALL($AN138:$BK138,2),100))&amp;IF(SMALL($AN138:$BK138,2)&gt;100," *",""))</f>
        <v/>
      </c>
      <c r="Q138">
        <f>IF(3&gt;$N138,"",INDEX(Engine!$B$20:$B$43,MOD(SMALL($AN138:$BK138,3),100))&amp;IF(SMALL($AN138:$BK138,3)&gt;100," *",""))</f>
        <v/>
      </c>
      <c r="R138">
        <f>IF(4&gt;$N138,"",INDEX(Engine!$B$20:$B$43,MOD(SMALL($AN138:$BK138,4),100))&amp;IF(SMALL($AN138:$BK138,4)&gt;100," *",""))</f>
        <v/>
      </c>
      <c r="S138">
        <f>IF(5&gt;$N138,"",INDEX(Engine!$B$20:$B$43,MOD(SMALL($AN138:$BK138,5),100))&amp;IF(SMALL($AN138:$BK138,5)&gt;100," *",""))</f>
        <v/>
      </c>
      <c r="T138">
        <f>IF(6&gt;$N138,"",INDEX(Engine!$B$20:$B$43,MOD(SMALL($AN138:$BK138,6),100))&amp;IF(SMALL($AN138:$BK138,6)&gt;100," *",""))</f>
        <v/>
      </c>
      <c r="U138">
        <f>IF(7&gt;$N138,"",INDEX(Engine!$B$20:$B$43,MOD(SMALL($AN138:$BK138,7),100))&amp;IF(SMALL($AN138:$BK138,7)&gt;100," *",""))</f>
        <v/>
      </c>
      <c r="V138">
        <f>IF(8&gt;$N138,"",INDEX(Engine!$B$20:$B$43,MOD(SMALL($AN138:$BK138,8),100))&amp;IF(SMALL($AN138:$BK138,8)&gt;100," *",""))</f>
        <v/>
      </c>
      <c r="W138">
        <f>IF(9&gt;$N138,"",INDEX(Engine!$B$20:$B$43,MOD(SMALL($AN138:$BK138,9),100))&amp;IF(SMALL($AN138:$BK138,9)&gt;100," *",""))</f>
        <v/>
      </c>
      <c r="X138">
        <f>IF(10&gt;$N138,"",INDEX(Engine!$B$20:$B$43,MOD(SMALL($AN138:$BK138,10),100))&amp;IF(SMALL($AN138:$BK138,10)&gt;100," *",""))</f>
        <v/>
      </c>
      <c r="Y138">
        <f>IF(11&gt;$N138,"",INDEX(Engine!$B$20:$B$43,MOD(SMALL($AN138:$BK138,11),100))&amp;IF(SMALL($AN138:$BK138,11)&gt;100," *",""))</f>
        <v/>
      </c>
      <c r="Z138">
        <f>IF(12&gt;$N138,"",INDEX(Engine!$B$20:$B$43,MOD(SMALL($AN138:$BK138,12),100))&amp;IF(SMALL($AN138:$BK138,12)&gt;100," *",""))</f>
        <v/>
      </c>
      <c r="AA138">
        <f>IF(13&gt;$N138,"",INDEX(Engine!$B$20:$B$43,MOD(SMALL($AN138:$BK138,13),100))&amp;IF(SMALL($AN138:$BK138,13)&gt;100," *",""))</f>
        <v/>
      </c>
      <c r="AB138">
        <f>IF(14&gt;$N138,"",INDEX(Engine!$B$20:$B$43,MOD(SMALL($AN138:$BK138,14),100))&amp;IF(SMALL($AN138:$BK138,14)&gt;100," *",""))</f>
        <v/>
      </c>
      <c r="AC138">
        <f>IF(15&gt;$N138,"",INDEX(Engine!$B$20:$B$43,MOD(SMALL($AN138:$BK138,15),100))&amp;IF(SMALL($AN138:$BK138,15)&gt;100," *",""))</f>
        <v/>
      </c>
      <c r="AD138">
        <f>IF(16&gt;$N138,"",INDEX(Engine!$B$20:$B$43,MOD(SMALL($AN138:$BK138,16),100))&amp;IF(SMALL($AN138:$BK138,16)&gt;100," *",""))</f>
        <v/>
      </c>
      <c r="AE138">
        <f>IF(17&gt;$N138,"",INDEX(Engine!$B$20:$B$43,MOD(SMALL($AN138:$BK138,17),100))&amp;IF(SMALL($AN138:$BK138,17)&gt;100," *",""))</f>
        <v/>
      </c>
      <c r="AF138">
        <f>IF(18&gt;$N138,"",INDEX(Engine!$B$20:$B$43,MOD(SMALL($AN138:$BK138,18),100))&amp;IF(SMALL($AN138:$BK138,18)&gt;100," *",""))</f>
        <v/>
      </c>
      <c r="AG138">
        <f>IF(19&gt;$N138,"",INDEX(Engine!$B$20:$B$43,MOD(SMALL($AN138:$BK138,19),100))&amp;IF(SMALL($AN138:$BK138,19)&gt;100," *",""))</f>
        <v/>
      </c>
      <c r="AH138">
        <f>IF(20&gt;$N138,"",INDEX(Engine!$B$20:$B$43,MOD(SMALL($AN138:$BK138,20),100))&amp;IF(SMALL($AN138:$BK138,20)&gt;100," *",""))</f>
        <v/>
      </c>
      <c r="AI138">
        <f>IF(21&gt;$N138,"",INDEX(Engine!$B$20:$B$43,MOD(SMALL($AN138:$BK138,21),100))&amp;IF(SMALL($AN138:$BK138,21)&gt;100," *",""))</f>
        <v/>
      </c>
      <c r="AJ138">
        <f>IF(22&gt;$N138,"",INDEX(Engine!$B$20:$B$43,MOD(SMALL($AN138:$BK138,22),100))&amp;IF(SMALL($AN138:$BK138,22)&gt;100," *",""))</f>
        <v/>
      </c>
      <c r="AK138">
        <f>IF(23&gt;$N138,"",INDEX(Engine!$B$20:$B$43,MOD(SMALL($AN138:$BK138,23),100))&amp;IF(SMALL($AN138:$BK138,23)&gt;100," *",""))</f>
        <v/>
      </c>
      <c r="AL138">
        <f>IF(24&gt;$N138,"",INDEX(Engine!$B$20:$B$43,MOD(SMALL($AN138:$BK138,24),100))&amp;IF(SMALL($AN138:$BK138,24)&gt;100," *",""))</f>
        <v/>
      </c>
      <c r="AN138">
        <f>IF(AND($C20=1,INDEX(Setup!$O$6:$AL$23,17,1)&lt;&gt;"",N20=0),1+IF(INDEX(Setup!$O$6:$AL$23,17,1)="T",100,0),"")</f>
        <v/>
      </c>
      <c r="AO138">
        <f>IF(AND($C21=1,INDEX(Setup!$O$6:$AL$23,17,2)&lt;&gt;"",N21=0),2+IF(INDEX(Setup!$O$6:$AL$23,17,2)="T",100,0),"")</f>
        <v/>
      </c>
      <c r="AP138">
        <f>IF(AND($C22=1,INDEX(Setup!$O$6:$AL$23,17,3)&lt;&gt;"",N22=0),3+IF(INDEX(Setup!$O$6:$AL$23,17,3)="T",100,0),"")</f>
        <v/>
      </c>
      <c r="AQ138">
        <f>IF(AND($C23=1,INDEX(Setup!$O$6:$AL$23,17,4)&lt;&gt;"",N23=0),4+IF(INDEX(Setup!$O$6:$AL$23,17,4)="T",100,0),"")</f>
        <v/>
      </c>
      <c r="AR138">
        <f>IF(AND($C24=1,INDEX(Setup!$O$6:$AL$23,17,5)&lt;&gt;"",N24=0),5+IF(INDEX(Setup!$O$6:$AL$23,17,5)="T",100,0),"")</f>
        <v/>
      </c>
      <c r="AS138">
        <f>IF(AND($C25=1,INDEX(Setup!$O$6:$AL$23,17,6)&lt;&gt;"",N25=0),6+IF(INDEX(Setup!$O$6:$AL$23,17,6)="T",100,0),"")</f>
        <v/>
      </c>
      <c r="AT138">
        <f>IF(AND($C26=1,INDEX(Setup!$O$6:$AL$23,17,7)&lt;&gt;"",N26=0),7+IF(INDEX(Setup!$O$6:$AL$23,17,7)="T",100,0),"")</f>
        <v/>
      </c>
      <c r="AU138">
        <f>IF(AND($C27=1,INDEX(Setup!$O$6:$AL$23,17,8)&lt;&gt;"",N27=0),8+IF(INDEX(Setup!$O$6:$AL$23,17,8)="T",100,0),"")</f>
        <v/>
      </c>
      <c r="AV138">
        <f>IF(AND($C28=1,INDEX(Setup!$O$6:$AL$23,17,9)&lt;&gt;"",N28=0),9+IF(INDEX(Setup!$O$6:$AL$23,17,9)="T",100,0),"")</f>
        <v/>
      </c>
      <c r="AW138">
        <f>IF(AND($C29=1,INDEX(Setup!$O$6:$AL$23,17,10)&lt;&gt;"",N29=0),10+IF(INDEX(Setup!$O$6:$AL$23,17,10)="T",100,0),"")</f>
        <v/>
      </c>
      <c r="AX138">
        <f>IF(AND($C30=1,INDEX(Setup!$O$6:$AL$23,17,11)&lt;&gt;"",N30=0),11+IF(INDEX(Setup!$O$6:$AL$23,17,11)="T",100,0),"")</f>
        <v/>
      </c>
      <c r="AY138">
        <f>IF(AND($C31=1,INDEX(Setup!$O$6:$AL$23,17,12)&lt;&gt;"",N31=0),12+IF(INDEX(Setup!$O$6:$AL$23,17,12)="T",100,0),"")</f>
        <v/>
      </c>
      <c r="AZ138">
        <f>IF(AND($C32=1,INDEX(Setup!$O$6:$AL$23,17,13)&lt;&gt;"",N32=0),13+IF(INDEX(Setup!$O$6:$AL$23,17,13)="T",100,0),"")</f>
        <v/>
      </c>
      <c r="BA138">
        <f>IF(AND($C33=1,INDEX(Setup!$O$6:$AL$23,17,14)&lt;&gt;"",N33=0),14+IF(INDEX(Setup!$O$6:$AL$23,17,14)="T",100,0),"")</f>
        <v/>
      </c>
      <c r="BB138">
        <f>IF(AND($C34=1,INDEX(Setup!$O$6:$AL$23,17,15)&lt;&gt;"",N34=0),15+IF(INDEX(Setup!$O$6:$AL$23,17,15)="T",100,0),"")</f>
        <v/>
      </c>
      <c r="BC138">
        <f>IF(AND($C35=1,INDEX(Setup!$O$6:$AL$23,17,16)&lt;&gt;"",N35=0),16+IF(INDEX(Setup!$O$6:$AL$23,17,16)="T",100,0),"")</f>
        <v/>
      </c>
      <c r="BD138">
        <f>IF(AND($C36=1,INDEX(Setup!$O$6:$AL$23,17,17)&lt;&gt;"",N36=0),17+IF(INDEX(Setup!$O$6:$AL$23,17,17)="T",100,0),"")</f>
        <v/>
      </c>
      <c r="BE138">
        <f>IF(AND($C37=1,INDEX(Setup!$O$6:$AL$23,17,18)&lt;&gt;"",N37=0),18+IF(INDEX(Setup!$O$6:$AL$23,17,18)="T",100,0),"")</f>
        <v/>
      </c>
      <c r="BF138">
        <f>IF(AND($C38=1,INDEX(Setup!$O$6:$AL$23,17,19)&lt;&gt;"",N38=0),19+IF(INDEX(Setup!$O$6:$AL$23,17,19)="T",100,0),"")</f>
        <v/>
      </c>
      <c r="BG138">
        <f>IF(AND($C39=1,INDEX(Setup!$O$6:$AL$23,17,20)&lt;&gt;"",N39=0),20+IF(INDEX(Setup!$O$6:$AL$23,17,20)="T",100,0),"")</f>
        <v/>
      </c>
      <c r="BH138">
        <f>IF(AND($C40=1,INDEX(Setup!$O$6:$AL$23,17,21)&lt;&gt;"",N40=0),21+IF(INDEX(Setup!$O$6:$AL$23,17,21)="T",100,0),"")</f>
        <v/>
      </c>
      <c r="BI138">
        <f>IF(AND($C41=1,INDEX(Setup!$O$6:$AL$23,17,22)&lt;&gt;"",N41=0),22+IF(INDEX(Setup!$O$6:$AL$23,17,22)="T",100,0),"")</f>
        <v/>
      </c>
      <c r="BJ138">
        <f>IF(AND($C42=1,INDEX(Setup!$O$6:$AL$23,17,23)&lt;&gt;"",N42=0),23+IF(INDEX(Setup!$O$6:$AL$23,17,23)="T",100,0),"")</f>
        <v/>
      </c>
      <c r="BK138">
        <f>IF(AND($C43=1,INDEX(Setup!$O$6:$AL$23,17,24)&lt;&gt;"",N43=0),24+IF(INDEX(Setup!$O$6:$AL$23,17,24)="T",100,0),"")</f>
        <v/>
      </c>
      <c r="BM138">
        <f>IF(AND(AN138&lt;&gt;"",COUNTIF($O$63:$Q$63,$B20)+COUNTIF($O$63:$Q$63,$B20&amp;" ~*")=0),($R20+COUNTIF($H$122:$H137,$B20)+COUNTIF($H$122:$H137,$B20&amp;" ~*"))*1000+IF(AN138&gt;100,500,0)+1,"")</f>
        <v/>
      </c>
      <c r="BN138">
        <f>IF(AND(AO138&lt;&gt;"",COUNTIF($O$63:$Q$63,$B21)+COUNTIF($O$63:$Q$63,$B21&amp;" ~*")=0),($R21+COUNTIF($H$122:$H137,$B21)+COUNTIF($H$122:$H137,$B21&amp;" ~*"))*1000+IF(AO138&gt;100,500,0)+2,"")</f>
        <v/>
      </c>
      <c r="BO138">
        <f>IF(AND(AP138&lt;&gt;"",COUNTIF($O$63:$Q$63,$B22)+COUNTIF($O$63:$Q$63,$B22&amp;" ~*")=0),($R22+COUNTIF($H$122:$H137,$B22)+COUNTIF($H$122:$H137,$B22&amp;" ~*"))*1000+IF(AP138&gt;100,500,0)+3,"")</f>
        <v/>
      </c>
      <c r="BP138">
        <f>IF(AND(AQ138&lt;&gt;"",COUNTIF($O$63:$Q$63,$B23)+COUNTIF($O$63:$Q$63,$B23&amp;" ~*")=0),($R23+COUNTIF($H$122:$H137,$B23)+COUNTIF($H$122:$H137,$B23&amp;" ~*"))*1000+IF(AQ138&gt;100,500,0)+4,"")</f>
        <v/>
      </c>
      <c r="BQ138">
        <f>IF(AND(AR138&lt;&gt;"",COUNTIF($O$63:$Q$63,$B24)+COUNTIF($O$63:$Q$63,$B24&amp;" ~*")=0),($R24+COUNTIF($H$122:$H137,$B24)+COUNTIF($H$122:$H137,$B24&amp;" ~*"))*1000+IF(AR138&gt;100,500,0)+5,"")</f>
        <v/>
      </c>
      <c r="BR138">
        <f>IF(AND(AS138&lt;&gt;"",COUNTIF($O$63:$Q$63,$B25)+COUNTIF($O$63:$Q$63,$B25&amp;" ~*")=0),($R25+COUNTIF($H$122:$H137,$B25)+COUNTIF($H$122:$H137,$B25&amp;" ~*"))*1000+IF(AS138&gt;100,500,0)+6,"")</f>
        <v/>
      </c>
      <c r="BS138">
        <f>IF(AND(AT138&lt;&gt;"",COUNTIF($O$63:$Q$63,$B26)+COUNTIF($O$63:$Q$63,$B26&amp;" ~*")=0),($R26+COUNTIF($H$122:$H137,$B26)+COUNTIF($H$122:$H137,$B26&amp;" ~*"))*1000+IF(AT138&gt;100,500,0)+7,"")</f>
        <v/>
      </c>
      <c r="BT138">
        <f>IF(AND(AU138&lt;&gt;"",COUNTIF($O$63:$Q$63,$B27)+COUNTIF($O$63:$Q$63,$B27&amp;" ~*")=0),($R27+COUNTIF($H$122:$H137,$B27)+COUNTIF($H$122:$H137,$B27&amp;" ~*"))*1000+IF(AU138&gt;100,500,0)+8,"")</f>
        <v/>
      </c>
      <c r="BU138">
        <f>IF(AND(AV138&lt;&gt;"",COUNTIF($O$63:$Q$63,$B28)+COUNTIF($O$63:$Q$63,$B28&amp;" ~*")=0),($R28+COUNTIF($H$122:$H137,$B28)+COUNTIF($H$122:$H137,$B28&amp;" ~*"))*1000+IF(AV138&gt;100,500,0)+9,"")</f>
        <v/>
      </c>
      <c r="BV138">
        <f>IF(AND(AW138&lt;&gt;"",COUNTIF($O$63:$Q$63,$B29)+COUNTIF($O$63:$Q$63,$B29&amp;" ~*")=0),($R29+COUNTIF($H$122:$H137,$B29)+COUNTIF($H$122:$H137,$B29&amp;" ~*"))*1000+IF(AW138&gt;100,500,0)+10,"")</f>
        <v/>
      </c>
      <c r="BW138">
        <f>IF(AND(AX138&lt;&gt;"",COUNTIF($O$63:$Q$63,$B30)+COUNTIF($O$63:$Q$63,$B30&amp;" ~*")=0),($R30+COUNTIF($H$122:$H137,$B30)+COUNTIF($H$122:$H137,$B30&amp;" ~*"))*1000+IF(AX138&gt;100,500,0)+11,"")</f>
        <v/>
      </c>
      <c r="BX138">
        <f>IF(AND(AY138&lt;&gt;"",COUNTIF($O$63:$Q$63,$B31)+COUNTIF($O$63:$Q$63,$B31&amp;" ~*")=0),($R31+COUNTIF($H$122:$H137,$B31)+COUNTIF($H$122:$H137,$B31&amp;" ~*"))*1000+IF(AY138&gt;100,500,0)+12,"")</f>
        <v/>
      </c>
      <c r="BY138">
        <f>IF(AND(AZ138&lt;&gt;"",COUNTIF($O$63:$Q$63,$B32)+COUNTIF($O$63:$Q$63,$B32&amp;" ~*")=0),($R32+COUNTIF($H$122:$H137,$B32)+COUNTIF($H$122:$H137,$B32&amp;" ~*"))*1000+IF(AZ138&gt;100,500,0)+13,"")</f>
        <v/>
      </c>
      <c r="BZ138">
        <f>IF(AND(BA138&lt;&gt;"",COUNTIF($O$63:$Q$63,$B33)+COUNTIF($O$63:$Q$63,$B33&amp;" ~*")=0),($R33+COUNTIF($H$122:$H137,$B33)+COUNTIF($H$122:$H137,$B33&amp;" ~*"))*1000+IF(BA138&gt;100,500,0)+14,"")</f>
        <v/>
      </c>
      <c r="CA138">
        <f>IF(AND(BB138&lt;&gt;"",COUNTIF($O$63:$Q$63,$B34)+COUNTIF($O$63:$Q$63,$B34&amp;" ~*")=0),($R34+COUNTIF($H$122:$H137,$B34)+COUNTIF($H$122:$H137,$B34&amp;" ~*"))*1000+IF(BB138&gt;100,500,0)+15,"")</f>
        <v/>
      </c>
      <c r="CB138">
        <f>IF(AND(BC138&lt;&gt;"",COUNTIF($O$63:$Q$63,$B35)+COUNTIF($O$63:$Q$63,$B35&amp;" ~*")=0),($R35+COUNTIF($H$122:$H137,$B35)+COUNTIF($H$122:$H137,$B35&amp;" ~*"))*1000+IF(BC138&gt;100,500,0)+16,"")</f>
        <v/>
      </c>
      <c r="CC138">
        <f>IF(AND(BD138&lt;&gt;"",COUNTIF($O$63:$Q$63,$B36)+COUNTIF($O$63:$Q$63,$B36&amp;" ~*")=0),($R36+COUNTIF($H$122:$H137,$B36)+COUNTIF($H$122:$H137,$B36&amp;" ~*"))*1000+IF(BD138&gt;100,500,0)+17,"")</f>
        <v/>
      </c>
      <c r="CD138">
        <f>IF(AND(BE138&lt;&gt;"",COUNTIF($O$63:$Q$63,$B37)+COUNTIF($O$63:$Q$63,$B37&amp;" ~*")=0),($R37+COUNTIF($H$122:$H137,$B37)+COUNTIF($H$122:$H137,$B37&amp;" ~*"))*1000+IF(BE138&gt;100,500,0)+18,"")</f>
        <v/>
      </c>
      <c r="CE138">
        <f>IF(AND(BF138&lt;&gt;"",COUNTIF($O$63:$Q$63,$B38)+COUNTIF($O$63:$Q$63,$B38&amp;" ~*")=0),($R38+COUNTIF($H$122:$H137,$B38)+COUNTIF($H$122:$H137,$B38&amp;" ~*"))*1000+IF(BF138&gt;100,500,0)+19,"")</f>
        <v/>
      </c>
      <c r="CF138">
        <f>IF(AND(BG138&lt;&gt;"",COUNTIF($O$63:$Q$63,$B39)+COUNTIF($O$63:$Q$63,$B39&amp;" ~*")=0),($R39+COUNTIF($H$122:$H137,$B39)+COUNTIF($H$122:$H137,$B39&amp;" ~*"))*1000+IF(BG138&gt;100,500,0)+20,"")</f>
        <v/>
      </c>
      <c r="CG138">
        <f>IF(AND(BH138&lt;&gt;"",COUNTIF($O$63:$Q$63,$B40)+COUNTIF($O$63:$Q$63,$B40&amp;" ~*")=0),($R40+COUNTIF($H$122:$H137,$B40)+COUNTIF($H$122:$H137,$B40&amp;" ~*"))*1000+IF(BH138&gt;100,500,0)+21,"")</f>
        <v/>
      </c>
      <c r="CH138">
        <f>IF(AND(BI138&lt;&gt;"",COUNTIF($O$63:$Q$63,$B41)+COUNTIF($O$63:$Q$63,$B41&amp;" ~*")=0),($R41+COUNTIF($H$122:$H137,$B41)+COUNTIF($H$122:$H137,$B41&amp;" ~*"))*1000+IF(BI138&gt;100,500,0)+22,"")</f>
        <v/>
      </c>
      <c r="CI138">
        <f>IF(AND(BJ138&lt;&gt;"",COUNTIF($O$63:$Q$63,$B42)+COUNTIF($O$63:$Q$63,$B42&amp;" ~*")=0),($R42+COUNTIF($H$122:$H137,$B42)+COUNTIF($H$122:$H137,$B42&amp;" ~*"))*1000+IF(BJ138&gt;100,500,0)+23,"")</f>
        <v/>
      </c>
      <c r="CJ138">
        <f>IF(AND(BK138&lt;&gt;"",COUNTIF($O$63:$Q$63,$B43)+COUNTIF($O$63:$Q$63,$B43&amp;" ~*")=0),($R43+COUNTIF($H$122:$H137,$B43)+COUNTIF($H$122:$H137,$B43&amp;" ~*"))*1000+IF(BK138&gt;100,500,0)+24,"")</f>
        <v/>
      </c>
    </row>
    <row r="139">
      <c r="A139" t="n">
        <v>4</v>
      </c>
      <c r="B139" t="n">
        <v>18</v>
      </c>
      <c r="C139">
        <f>$B$64</f>
        <v/>
      </c>
      <c r="D139" t="inlineStr">
        <is>
          <t>Thu</t>
        </is>
      </c>
      <c r="E139">
        <f>IF(C139="","",N($AB$64))</f>
        <v/>
      </c>
      <c r="F139">
        <f>IF(C139="","",COUNTIF($O$64:$Q$64,"?*"))</f>
        <v/>
      </c>
      <c r="G139">
        <f>IF(C139="","",MAX(0,E139-F139))</f>
        <v/>
      </c>
      <c r="H139">
        <f>IF(N(G139)=0,"",IF(COUNT(BM139:CJ139)=0,"no-one eligible",INDEX(Engine!$B$20:$B$43,MOD(MIN(BM139:CJ139),500))&amp;IF(MOD(MIN(BM139:CJ139),1000)&gt;=500," *","")))</f>
        <v/>
      </c>
      <c r="I139">
        <f>IF(N(G139)&gt;0,COUNTIF($G$68:G139,"&gt;0"),"")</f>
        <v/>
      </c>
      <c r="J139">
        <f>IF(C139="","",IF($O$64="",0,IF(IFERROR(INDEX(Setup!$O$6:$AL$23,18,MATCH(SUBSTITUTE($O$64," *",""),Setup!$B$6:$B$29,0)),"")="",1,0))+IF($P$64="",0,IF(IFERROR(INDEX(Setup!$O$6:$AL$23,18,MATCH(SUBSTITUTE($P$64," *",""),Setup!$B$6:$B$29,0)),"")="",1,0))+IF($Q$64="",0,IF(IFERROR(INDEX(Setup!$O$6:$AL$23,18,MATCH(SUBSTITUTE($Q$64," *",""),Setup!$B$6:$B$29,0)),"")="",1,0)))</f>
        <v/>
      </c>
      <c r="K139">
        <f>IF($B$12+3=TODAY(),1,0)</f>
        <v/>
      </c>
      <c r="N139">
        <f>COUNT($AN139:$BK139)</f>
        <v/>
      </c>
      <c r="O139">
        <f>IF(1&gt;$N139,"",INDEX(Engine!$B$20:$B$43,MOD(SMALL($AN139:$BK139,1),100))&amp;IF(SMALL($AN139:$BK139,1)&gt;100," *",""))</f>
        <v/>
      </c>
      <c r="P139">
        <f>IF(2&gt;$N139,"",INDEX(Engine!$B$20:$B$43,MOD(SMALL($AN139:$BK139,2),100))&amp;IF(SMALL($AN139:$BK139,2)&gt;100," *",""))</f>
        <v/>
      </c>
      <c r="Q139">
        <f>IF(3&gt;$N139,"",INDEX(Engine!$B$20:$B$43,MOD(SMALL($AN139:$BK139,3),100))&amp;IF(SMALL($AN139:$BK139,3)&gt;100," *",""))</f>
        <v/>
      </c>
      <c r="R139">
        <f>IF(4&gt;$N139,"",INDEX(Engine!$B$20:$B$43,MOD(SMALL($AN139:$BK139,4),100))&amp;IF(SMALL($AN139:$BK139,4)&gt;100," *",""))</f>
        <v/>
      </c>
      <c r="S139">
        <f>IF(5&gt;$N139,"",INDEX(Engine!$B$20:$B$43,MOD(SMALL($AN139:$BK139,5),100))&amp;IF(SMALL($AN139:$BK139,5)&gt;100," *",""))</f>
        <v/>
      </c>
      <c r="T139">
        <f>IF(6&gt;$N139,"",INDEX(Engine!$B$20:$B$43,MOD(SMALL($AN139:$BK139,6),100))&amp;IF(SMALL($AN139:$BK139,6)&gt;100," *",""))</f>
        <v/>
      </c>
      <c r="U139">
        <f>IF(7&gt;$N139,"",INDEX(Engine!$B$20:$B$43,MOD(SMALL($AN139:$BK139,7),100))&amp;IF(SMALL($AN139:$BK139,7)&gt;100," *",""))</f>
        <v/>
      </c>
      <c r="V139">
        <f>IF(8&gt;$N139,"",INDEX(Engine!$B$20:$B$43,MOD(SMALL($AN139:$BK139,8),100))&amp;IF(SMALL($AN139:$BK139,8)&gt;100," *",""))</f>
        <v/>
      </c>
      <c r="W139">
        <f>IF(9&gt;$N139,"",INDEX(Engine!$B$20:$B$43,MOD(SMALL($AN139:$BK139,9),100))&amp;IF(SMALL($AN139:$BK139,9)&gt;100," *",""))</f>
        <v/>
      </c>
      <c r="X139">
        <f>IF(10&gt;$N139,"",INDEX(Engine!$B$20:$B$43,MOD(SMALL($AN139:$BK139,10),100))&amp;IF(SMALL($AN139:$BK139,10)&gt;100," *",""))</f>
        <v/>
      </c>
      <c r="Y139">
        <f>IF(11&gt;$N139,"",INDEX(Engine!$B$20:$B$43,MOD(SMALL($AN139:$BK139,11),100))&amp;IF(SMALL($AN139:$BK139,11)&gt;100," *",""))</f>
        <v/>
      </c>
      <c r="Z139">
        <f>IF(12&gt;$N139,"",INDEX(Engine!$B$20:$B$43,MOD(SMALL($AN139:$BK139,12),100))&amp;IF(SMALL($AN139:$BK139,12)&gt;100," *",""))</f>
        <v/>
      </c>
      <c r="AA139">
        <f>IF(13&gt;$N139,"",INDEX(Engine!$B$20:$B$43,MOD(SMALL($AN139:$BK139,13),100))&amp;IF(SMALL($AN139:$BK139,13)&gt;100," *",""))</f>
        <v/>
      </c>
      <c r="AB139">
        <f>IF(14&gt;$N139,"",INDEX(Engine!$B$20:$B$43,MOD(SMALL($AN139:$BK139,14),100))&amp;IF(SMALL($AN139:$BK139,14)&gt;100," *",""))</f>
        <v/>
      </c>
      <c r="AC139">
        <f>IF(15&gt;$N139,"",INDEX(Engine!$B$20:$B$43,MOD(SMALL($AN139:$BK139,15),100))&amp;IF(SMALL($AN139:$BK139,15)&gt;100," *",""))</f>
        <v/>
      </c>
      <c r="AD139">
        <f>IF(16&gt;$N139,"",INDEX(Engine!$B$20:$B$43,MOD(SMALL($AN139:$BK139,16),100))&amp;IF(SMALL($AN139:$BK139,16)&gt;100," *",""))</f>
        <v/>
      </c>
      <c r="AE139">
        <f>IF(17&gt;$N139,"",INDEX(Engine!$B$20:$B$43,MOD(SMALL($AN139:$BK139,17),100))&amp;IF(SMALL($AN139:$BK139,17)&gt;100," *",""))</f>
        <v/>
      </c>
      <c r="AF139">
        <f>IF(18&gt;$N139,"",INDEX(Engine!$B$20:$B$43,MOD(SMALL($AN139:$BK139,18),100))&amp;IF(SMALL($AN139:$BK139,18)&gt;100," *",""))</f>
        <v/>
      </c>
      <c r="AG139">
        <f>IF(19&gt;$N139,"",INDEX(Engine!$B$20:$B$43,MOD(SMALL($AN139:$BK139,19),100))&amp;IF(SMALL($AN139:$BK139,19)&gt;100," *",""))</f>
        <v/>
      </c>
      <c r="AH139">
        <f>IF(20&gt;$N139,"",INDEX(Engine!$B$20:$B$43,MOD(SMALL($AN139:$BK139,20),100))&amp;IF(SMALL($AN139:$BK139,20)&gt;100," *",""))</f>
        <v/>
      </c>
      <c r="AI139">
        <f>IF(21&gt;$N139,"",INDEX(Engine!$B$20:$B$43,MOD(SMALL($AN139:$BK139,21),100))&amp;IF(SMALL($AN139:$BK139,21)&gt;100," *",""))</f>
        <v/>
      </c>
      <c r="AJ139">
        <f>IF(22&gt;$N139,"",INDEX(Engine!$B$20:$B$43,MOD(SMALL($AN139:$BK139,22),100))&amp;IF(SMALL($AN139:$BK139,22)&gt;100," *",""))</f>
        <v/>
      </c>
      <c r="AK139">
        <f>IF(23&gt;$N139,"",INDEX(Engine!$B$20:$B$43,MOD(SMALL($AN139:$BK139,23),100))&amp;IF(SMALL($AN139:$BK139,23)&gt;100," *",""))</f>
        <v/>
      </c>
      <c r="AL139">
        <f>IF(24&gt;$N139,"",INDEX(Engine!$B$20:$B$43,MOD(SMALL($AN139:$BK139,24),100))&amp;IF(SMALL($AN139:$BK139,24)&gt;100," *",""))</f>
        <v/>
      </c>
      <c r="AN139">
        <f>IF(AND($C20=1,INDEX(Setup!$O$6:$AL$23,18,1)&lt;&gt;"",N20=0),1+IF(INDEX(Setup!$O$6:$AL$23,18,1)="T",100,0),"")</f>
        <v/>
      </c>
      <c r="AO139">
        <f>IF(AND($C21=1,INDEX(Setup!$O$6:$AL$23,18,2)&lt;&gt;"",N21=0),2+IF(INDEX(Setup!$O$6:$AL$23,18,2)="T",100,0),"")</f>
        <v/>
      </c>
      <c r="AP139">
        <f>IF(AND($C22=1,INDEX(Setup!$O$6:$AL$23,18,3)&lt;&gt;"",N22=0),3+IF(INDEX(Setup!$O$6:$AL$23,18,3)="T",100,0),"")</f>
        <v/>
      </c>
      <c r="AQ139">
        <f>IF(AND($C23=1,INDEX(Setup!$O$6:$AL$23,18,4)&lt;&gt;"",N23=0),4+IF(INDEX(Setup!$O$6:$AL$23,18,4)="T",100,0),"")</f>
        <v/>
      </c>
      <c r="AR139">
        <f>IF(AND($C24=1,INDEX(Setup!$O$6:$AL$23,18,5)&lt;&gt;"",N24=0),5+IF(INDEX(Setup!$O$6:$AL$23,18,5)="T",100,0),"")</f>
        <v/>
      </c>
      <c r="AS139">
        <f>IF(AND($C25=1,INDEX(Setup!$O$6:$AL$23,18,6)&lt;&gt;"",N25=0),6+IF(INDEX(Setup!$O$6:$AL$23,18,6)="T",100,0),"")</f>
        <v/>
      </c>
      <c r="AT139">
        <f>IF(AND($C26=1,INDEX(Setup!$O$6:$AL$23,18,7)&lt;&gt;"",N26=0),7+IF(INDEX(Setup!$O$6:$AL$23,18,7)="T",100,0),"")</f>
        <v/>
      </c>
      <c r="AU139">
        <f>IF(AND($C27=1,INDEX(Setup!$O$6:$AL$23,18,8)&lt;&gt;"",N27=0),8+IF(INDEX(Setup!$O$6:$AL$23,18,8)="T",100,0),"")</f>
        <v/>
      </c>
      <c r="AV139">
        <f>IF(AND($C28=1,INDEX(Setup!$O$6:$AL$23,18,9)&lt;&gt;"",N28=0),9+IF(INDEX(Setup!$O$6:$AL$23,18,9)="T",100,0),"")</f>
        <v/>
      </c>
      <c r="AW139">
        <f>IF(AND($C29=1,INDEX(Setup!$O$6:$AL$23,18,10)&lt;&gt;"",N29=0),10+IF(INDEX(Setup!$O$6:$AL$23,18,10)="T",100,0),"")</f>
        <v/>
      </c>
      <c r="AX139">
        <f>IF(AND($C30=1,INDEX(Setup!$O$6:$AL$23,18,11)&lt;&gt;"",N30=0),11+IF(INDEX(Setup!$O$6:$AL$23,18,11)="T",100,0),"")</f>
        <v/>
      </c>
      <c r="AY139">
        <f>IF(AND($C31=1,INDEX(Setup!$O$6:$AL$23,18,12)&lt;&gt;"",N31=0),12+IF(INDEX(Setup!$O$6:$AL$23,18,12)="T",100,0),"")</f>
        <v/>
      </c>
      <c r="AZ139">
        <f>IF(AND($C32=1,INDEX(Setup!$O$6:$AL$23,18,13)&lt;&gt;"",N32=0),13+IF(INDEX(Setup!$O$6:$AL$23,18,13)="T",100,0),"")</f>
        <v/>
      </c>
      <c r="BA139">
        <f>IF(AND($C33=1,INDEX(Setup!$O$6:$AL$23,18,14)&lt;&gt;"",N33=0),14+IF(INDEX(Setup!$O$6:$AL$23,18,14)="T",100,0),"")</f>
        <v/>
      </c>
      <c r="BB139">
        <f>IF(AND($C34=1,INDEX(Setup!$O$6:$AL$23,18,15)&lt;&gt;"",N34=0),15+IF(INDEX(Setup!$O$6:$AL$23,18,15)="T",100,0),"")</f>
        <v/>
      </c>
      <c r="BC139">
        <f>IF(AND($C35=1,INDEX(Setup!$O$6:$AL$23,18,16)&lt;&gt;"",N35=0),16+IF(INDEX(Setup!$O$6:$AL$23,18,16)="T",100,0),"")</f>
        <v/>
      </c>
      <c r="BD139">
        <f>IF(AND($C36=1,INDEX(Setup!$O$6:$AL$23,18,17)&lt;&gt;"",N36=0),17+IF(INDEX(Setup!$O$6:$AL$23,18,17)="T",100,0),"")</f>
        <v/>
      </c>
      <c r="BE139">
        <f>IF(AND($C37=1,INDEX(Setup!$O$6:$AL$23,18,18)&lt;&gt;"",N37=0),18+IF(INDEX(Setup!$O$6:$AL$23,18,18)="T",100,0),"")</f>
        <v/>
      </c>
      <c r="BF139">
        <f>IF(AND($C38=1,INDEX(Setup!$O$6:$AL$23,18,19)&lt;&gt;"",N38=0),19+IF(INDEX(Setup!$O$6:$AL$23,18,19)="T",100,0),"")</f>
        <v/>
      </c>
      <c r="BG139">
        <f>IF(AND($C39=1,INDEX(Setup!$O$6:$AL$23,18,20)&lt;&gt;"",N39=0),20+IF(INDEX(Setup!$O$6:$AL$23,18,20)="T",100,0),"")</f>
        <v/>
      </c>
      <c r="BH139">
        <f>IF(AND($C40=1,INDEX(Setup!$O$6:$AL$23,18,21)&lt;&gt;"",N40=0),21+IF(INDEX(Setup!$O$6:$AL$23,18,21)="T",100,0),"")</f>
        <v/>
      </c>
      <c r="BI139">
        <f>IF(AND($C41=1,INDEX(Setup!$O$6:$AL$23,18,22)&lt;&gt;"",N41=0),22+IF(INDEX(Setup!$O$6:$AL$23,18,22)="T",100,0),"")</f>
        <v/>
      </c>
      <c r="BJ139">
        <f>IF(AND($C42=1,INDEX(Setup!$O$6:$AL$23,18,23)&lt;&gt;"",N42=0),23+IF(INDEX(Setup!$O$6:$AL$23,18,23)="T",100,0),"")</f>
        <v/>
      </c>
      <c r="BK139">
        <f>IF(AND($C43=1,INDEX(Setup!$O$6:$AL$23,18,24)&lt;&gt;"",N43=0),24+IF(INDEX(Setup!$O$6:$AL$23,18,24)="T",100,0),"")</f>
        <v/>
      </c>
      <c r="BM139">
        <f>IF(AND(AN139&lt;&gt;"",COUNTIF($O$64:$Q$64,$B20)+COUNTIF($O$64:$Q$64,$B20&amp;" ~*")=0),($R20+COUNTIF($H$122:$H138,$B20)+COUNTIF($H$122:$H138,$B20&amp;" ~*"))*1000+IF(AN139&gt;100,500,0)+1,"")</f>
        <v/>
      </c>
      <c r="BN139">
        <f>IF(AND(AO139&lt;&gt;"",COUNTIF($O$64:$Q$64,$B21)+COUNTIF($O$64:$Q$64,$B21&amp;" ~*")=0),($R21+COUNTIF($H$122:$H138,$B21)+COUNTIF($H$122:$H138,$B21&amp;" ~*"))*1000+IF(AO139&gt;100,500,0)+2,"")</f>
        <v/>
      </c>
      <c r="BO139">
        <f>IF(AND(AP139&lt;&gt;"",COUNTIF($O$64:$Q$64,$B22)+COUNTIF($O$64:$Q$64,$B22&amp;" ~*")=0),($R22+COUNTIF($H$122:$H138,$B22)+COUNTIF($H$122:$H138,$B22&amp;" ~*"))*1000+IF(AP139&gt;100,500,0)+3,"")</f>
        <v/>
      </c>
      <c r="BP139">
        <f>IF(AND(AQ139&lt;&gt;"",COUNTIF($O$64:$Q$64,$B23)+COUNTIF($O$64:$Q$64,$B23&amp;" ~*")=0),($R23+COUNTIF($H$122:$H138,$B23)+COUNTIF($H$122:$H138,$B23&amp;" ~*"))*1000+IF(AQ139&gt;100,500,0)+4,"")</f>
        <v/>
      </c>
      <c r="BQ139">
        <f>IF(AND(AR139&lt;&gt;"",COUNTIF($O$64:$Q$64,$B24)+COUNTIF($O$64:$Q$64,$B24&amp;" ~*")=0),($R24+COUNTIF($H$122:$H138,$B24)+COUNTIF($H$122:$H138,$B24&amp;" ~*"))*1000+IF(AR139&gt;100,500,0)+5,"")</f>
        <v/>
      </c>
      <c r="BR139">
        <f>IF(AND(AS139&lt;&gt;"",COUNTIF($O$64:$Q$64,$B25)+COUNTIF($O$64:$Q$64,$B25&amp;" ~*")=0),($R25+COUNTIF($H$122:$H138,$B25)+COUNTIF($H$122:$H138,$B25&amp;" ~*"))*1000+IF(AS139&gt;100,500,0)+6,"")</f>
        <v/>
      </c>
      <c r="BS139">
        <f>IF(AND(AT139&lt;&gt;"",COUNTIF($O$64:$Q$64,$B26)+COUNTIF($O$64:$Q$64,$B26&amp;" ~*")=0),($R26+COUNTIF($H$122:$H138,$B26)+COUNTIF($H$122:$H138,$B26&amp;" ~*"))*1000+IF(AT139&gt;100,500,0)+7,"")</f>
        <v/>
      </c>
      <c r="BT139">
        <f>IF(AND(AU139&lt;&gt;"",COUNTIF($O$64:$Q$64,$B27)+COUNTIF($O$64:$Q$64,$B27&amp;" ~*")=0),($R27+COUNTIF($H$122:$H138,$B27)+COUNTIF($H$122:$H138,$B27&amp;" ~*"))*1000+IF(AU139&gt;100,500,0)+8,"")</f>
        <v/>
      </c>
      <c r="BU139">
        <f>IF(AND(AV139&lt;&gt;"",COUNTIF($O$64:$Q$64,$B28)+COUNTIF($O$64:$Q$64,$B28&amp;" ~*")=0),($R28+COUNTIF($H$122:$H138,$B28)+COUNTIF($H$122:$H138,$B28&amp;" ~*"))*1000+IF(AV139&gt;100,500,0)+9,"")</f>
        <v/>
      </c>
      <c r="BV139">
        <f>IF(AND(AW139&lt;&gt;"",COUNTIF($O$64:$Q$64,$B29)+COUNTIF($O$64:$Q$64,$B29&amp;" ~*")=0),($R29+COUNTIF($H$122:$H138,$B29)+COUNTIF($H$122:$H138,$B29&amp;" ~*"))*1000+IF(AW139&gt;100,500,0)+10,"")</f>
        <v/>
      </c>
      <c r="BW139">
        <f>IF(AND(AX139&lt;&gt;"",COUNTIF($O$64:$Q$64,$B30)+COUNTIF($O$64:$Q$64,$B30&amp;" ~*")=0),($R30+COUNTIF($H$122:$H138,$B30)+COUNTIF($H$122:$H138,$B30&amp;" ~*"))*1000+IF(AX139&gt;100,500,0)+11,"")</f>
        <v/>
      </c>
      <c r="BX139">
        <f>IF(AND(AY139&lt;&gt;"",COUNTIF($O$64:$Q$64,$B31)+COUNTIF($O$64:$Q$64,$B31&amp;" ~*")=0),($R31+COUNTIF($H$122:$H138,$B31)+COUNTIF($H$122:$H138,$B31&amp;" ~*"))*1000+IF(AY139&gt;100,500,0)+12,"")</f>
        <v/>
      </c>
      <c r="BY139">
        <f>IF(AND(AZ139&lt;&gt;"",COUNTIF($O$64:$Q$64,$B32)+COUNTIF($O$64:$Q$64,$B32&amp;" ~*")=0),($R32+COUNTIF($H$122:$H138,$B32)+COUNTIF($H$122:$H138,$B32&amp;" ~*"))*1000+IF(AZ139&gt;100,500,0)+13,"")</f>
        <v/>
      </c>
      <c r="BZ139">
        <f>IF(AND(BA139&lt;&gt;"",COUNTIF($O$64:$Q$64,$B33)+COUNTIF($O$64:$Q$64,$B33&amp;" ~*")=0),($R33+COUNTIF($H$122:$H138,$B33)+COUNTIF($H$122:$H138,$B33&amp;" ~*"))*1000+IF(BA139&gt;100,500,0)+14,"")</f>
        <v/>
      </c>
      <c r="CA139">
        <f>IF(AND(BB139&lt;&gt;"",COUNTIF($O$64:$Q$64,$B34)+COUNTIF($O$64:$Q$64,$B34&amp;" ~*")=0),($R34+COUNTIF($H$122:$H138,$B34)+COUNTIF($H$122:$H138,$B34&amp;" ~*"))*1000+IF(BB139&gt;100,500,0)+15,"")</f>
        <v/>
      </c>
      <c r="CB139">
        <f>IF(AND(BC139&lt;&gt;"",COUNTIF($O$64:$Q$64,$B35)+COUNTIF($O$64:$Q$64,$B35&amp;" ~*")=0),($R35+COUNTIF($H$122:$H138,$B35)+COUNTIF($H$122:$H138,$B35&amp;" ~*"))*1000+IF(BC139&gt;100,500,0)+16,"")</f>
        <v/>
      </c>
      <c r="CC139">
        <f>IF(AND(BD139&lt;&gt;"",COUNTIF($O$64:$Q$64,$B36)+COUNTIF($O$64:$Q$64,$B36&amp;" ~*")=0),($R36+COUNTIF($H$122:$H138,$B36)+COUNTIF($H$122:$H138,$B36&amp;" ~*"))*1000+IF(BD139&gt;100,500,0)+17,"")</f>
        <v/>
      </c>
      <c r="CD139">
        <f>IF(AND(BE139&lt;&gt;"",COUNTIF($O$64:$Q$64,$B37)+COUNTIF($O$64:$Q$64,$B37&amp;" ~*")=0),($R37+COUNTIF($H$122:$H138,$B37)+COUNTIF($H$122:$H138,$B37&amp;" ~*"))*1000+IF(BE139&gt;100,500,0)+18,"")</f>
        <v/>
      </c>
      <c r="CE139">
        <f>IF(AND(BF139&lt;&gt;"",COUNTIF($O$64:$Q$64,$B38)+COUNTIF($O$64:$Q$64,$B38&amp;" ~*")=0),($R38+COUNTIF($H$122:$H138,$B38)+COUNTIF($H$122:$H138,$B38&amp;" ~*"))*1000+IF(BF139&gt;100,500,0)+19,"")</f>
        <v/>
      </c>
      <c r="CF139">
        <f>IF(AND(BG139&lt;&gt;"",COUNTIF($O$64:$Q$64,$B39)+COUNTIF($O$64:$Q$64,$B39&amp;" ~*")=0),($R39+COUNTIF($H$122:$H138,$B39)+COUNTIF($H$122:$H138,$B39&amp;" ~*"))*1000+IF(BG139&gt;100,500,0)+20,"")</f>
        <v/>
      </c>
      <c r="CG139">
        <f>IF(AND(BH139&lt;&gt;"",COUNTIF($O$64:$Q$64,$B40)+COUNTIF($O$64:$Q$64,$B40&amp;" ~*")=0),($R40+COUNTIF($H$122:$H138,$B40)+COUNTIF($H$122:$H138,$B40&amp;" ~*"))*1000+IF(BH139&gt;100,500,0)+21,"")</f>
        <v/>
      </c>
      <c r="CH139">
        <f>IF(AND(BI139&lt;&gt;"",COUNTIF($O$64:$Q$64,$B41)+COUNTIF($O$64:$Q$64,$B41&amp;" ~*")=0),($R41+COUNTIF($H$122:$H138,$B41)+COUNTIF($H$122:$H138,$B41&amp;" ~*"))*1000+IF(BI139&gt;100,500,0)+22,"")</f>
        <v/>
      </c>
      <c r="CI139">
        <f>IF(AND(BJ139&lt;&gt;"",COUNTIF($O$64:$Q$64,$B42)+COUNTIF($O$64:$Q$64,$B42&amp;" ~*")=0),($R42+COUNTIF($H$122:$H138,$B42)+COUNTIF($H$122:$H138,$B42&amp;" ~*"))*1000+IF(BJ139&gt;100,500,0)+23,"")</f>
        <v/>
      </c>
      <c r="CJ139">
        <f>IF(AND(BK139&lt;&gt;"",COUNTIF($O$64:$Q$64,$B43)+COUNTIF($O$64:$Q$64,$B43&amp;" ~*")=0),($R43+COUNTIF($H$122:$H138,$B43)+COUNTIF($H$122:$H138,$B43&amp;" ~*"))*1000+IF(BK139&gt;100,500,0)+24,"")</f>
        <v/>
      </c>
    </row>
    <row r="140">
      <c r="A140" t="n">
        <v>5</v>
      </c>
      <c r="B140" t="n">
        <v>1</v>
      </c>
      <c r="C140">
        <f>$B$47</f>
        <v/>
      </c>
      <c r="D140" t="inlineStr">
        <is>
          <t>Fri</t>
        </is>
      </c>
      <c r="E140">
        <f>IF(C140="","",N($AB$47))</f>
        <v/>
      </c>
      <c r="F140">
        <f>IF(C140="","",COUNTIF($S$47:$U$47,"?*"))</f>
        <v/>
      </c>
      <c r="G140">
        <f>IF(C140="","",MAX(0,E140-F140))</f>
        <v/>
      </c>
      <c r="H140">
        <f>IF(N(G140)=0,"",IF(COUNT(BM140:CJ140)=0,"no-one eligible",INDEX(Engine!$B$20:$B$43,MOD(MIN(BM140:CJ140),500))&amp;IF(MOD(MIN(BM140:CJ140),1000)&gt;=500," *","")))</f>
        <v/>
      </c>
      <c r="I140">
        <f>IF(N(G140)&gt;0,COUNTIF($G$68:G140,"&gt;0"),"")</f>
        <v/>
      </c>
      <c r="J140">
        <f>IF(C140="","",IF($S$47="",0,IF(IFERROR(INDEX(Setup!$O$6:$AL$23,1,MATCH(SUBSTITUTE($S$47," *",""),Setup!$B$6:$B$29,0)),"")="",1,0))+IF($T$47="",0,IF(IFERROR(INDEX(Setup!$O$6:$AL$23,1,MATCH(SUBSTITUTE($T$47," *",""),Setup!$B$6:$B$29,0)),"")="",1,0))+IF($U$47="",0,IF(IFERROR(INDEX(Setup!$O$6:$AL$23,1,MATCH(SUBSTITUTE($U$47," *",""),Setup!$B$6:$B$29,0)),"")="",1,0)))</f>
        <v/>
      </c>
      <c r="K140">
        <f>IF($B$12+4=TODAY(),1,0)</f>
        <v/>
      </c>
      <c r="N140">
        <f>COUNT($AN140:$BK140)</f>
        <v/>
      </c>
      <c r="O140">
        <f>IF(1&gt;$N140,"",INDEX(Engine!$B$20:$B$43,MOD(SMALL($AN140:$BK140,1),100))&amp;IF(SMALL($AN140:$BK140,1)&gt;100," *",""))</f>
        <v/>
      </c>
      <c r="P140">
        <f>IF(2&gt;$N140,"",INDEX(Engine!$B$20:$B$43,MOD(SMALL($AN140:$BK140,2),100))&amp;IF(SMALL($AN140:$BK140,2)&gt;100," *",""))</f>
        <v/>
      </c>
      <c r="Q140">
        <f>IF(3&gt;$N140,"",INDEX(Engine!$B$20:$B$43,MOD(SMALL($AN140:$BK140,3),100))&amp;IF(SMALL($AN140:$BK140,3)&gt;100," *",""))</f>
        <v/>
      </c>
      <c r="R140">
        <f>IF(4&gt;$N140,"",INDEX(Engine!$B$20:$B$43,MOD(SMALL($AN140:$BK140,4),100))&amp;IF(SMALL($AN140:$BK140,4)&gt;100," *",""))</f>
        <v/>
      </c>
      <c r="S140">
        <f>IF(5&gt;$N140,"",INDEX(Engine!$B$20:$B$43,MOD(SMALL($AN140:$BK140,5),100))&amp;IF(SMALL($AN140:$BK140,5)&gt;100," *",""))</f>
        <v/>
      </c>
      <c r="T140">
        <f>IF(6&gt;$N140,"",INDEX(Engine!$B$20:$B$43,MOD(SMALL($AN140:$BK140,6),100))&amp;IF(SMALL($AN140:$BK140,6)&gt;100," *",""))</f>
        <v/>
      </c>
      <c r="U140">
        <f>IF(7&gt;$N140,"",INDEX(Engine!$B$20:$B$43,MOD(SMALL($AN140:$BK140,7),100))&amp;IF(SMALL($AN140:$BK140,7)&gt;100," *",""))</f>
        <v/>
      </c>
      <c r="V140">
        <f>IF(8&gt;$N140,"",INDEX(Engine!$B$20:$B$43,MOD(SMALL($AN140:$BK140,8),100))&amp;IF(SMALL($AN140:$BK140,8)&gt;100," *",""))</f>
        <v/>
      </c>
      <c r="W140">
        <f>IF(9&gt;$N140,"",INDEX(Engine!$B$20:$B$43,MOD(SMALL($AN140:$BK140,9),100))&amp;IF(SMALL($AN140:$BK140,9)&gt;100," *",""))</f>
        <v/>
      </c>
      <c r="X140">
        <f>IF(10&gt;$N140,"",INDEX(Engine!$B$20:$B$43,MOD(SMALL($AN140:$BK140,10),100))&amp;IF(SMALL($AN140:$BK140,10)&gt;100," *",""))</f>
        <v/>
      </c>
      <c r="Y140">
        <f>IF(11&gt;$N140,"",INDEX(Engine!$B$20:$B$43,MOD(SMALL($AN140:$BK140,11),100))&amp;IF(SMALL($AN140:$BK140,11)&gt;100," *",""))</f>
        <v/>
      </c>
      <c r="Z140">
        <f>IF(12&gt;$N140,"",INDEX(Engine!$B$20:$B$43,MOD(SMALL($AN140:$BK140,12),100))&amp;IF(SMALL($AN140:$BK140,12)&gt;100," *",""))</f>
        <v/>
      </c>
      <c r="AA140">
        <f>IF(13&gt;$N140,"",INDEX(Engine!$B$20:$B$43,MOD(SMALL($AN140:$BK140,13),100))&amp;IF(SMALL($AN140:$BK140,13)&gt;100," *",""))</f>
        <v/>
      </c>
      <c r="AB140">
        <f>IF(14&gt;$N140,"",INDEX(Engine!$B$20:$B$43,MOD(SMALL($AN140:$BK140,14),100))&amp;IF(SMALL($AN140:$BK140,14)&gt;100," *",""))</f>
        <v/>
      </c>
      <c r="AC140">
        <f>IF(15&gt;$N140,"",INDEX(Engine!$B$20:$B$43,MOD(SMALL($AN140:$BK140,15),100))&amp;IF(SMALL($AN140:$BK140,15)&gt;100," *",""))</f>
        <v/>
      </c>
      <c r="AD140">
        <f>IF(16&gt;$N140,"",INDEX(Engine!$B$20:$B$43,MOD(SMALL($AN140:$BK140,16),100))&amp;IF(SMALL($AN140:$BK140,16)&gt;100," *",""))</f>
        <v/>
      </c>
      <c r="AE140">
        <f>IF(17&gt;$N140,"",INDEX(Engine!$B$20:$B$43,MOD(SMALL($AN140:$BK140,17),100))&amp;IF(SMALL($AN140:$BK140,17)&gt;100," *",""))</f>
        <v/>
      </c>
      <c r="AF140">
        <f>IF(18&gt;$N140,"",INDEX(Engine!$B$20:$B$43,MOD(SMALL($AN140:$BK140,18),100))&amp;IF(SMALL($AN140:$BK140,18)&gt;100," *",""))</f>
        <v/>
      </c>
      <c r="AG140">
        <f>IF(19&gt;$N140,"",INDEX(Engine!$B$20:$B$43,MOD(SMALL($AN140:$BK140,19),100))&amp;IF(SMALL($AN140:$BK140,19)&gt;100," *",""))</f>
        <v/>
      </c>
      <c r="AH140">
        <f>IF(20&gt;$N140,"",INDEX(Engine!$B$20:$B$43,MOD(SMALL($AN140:$BK140,20),100))&amp;IF(SMALL($AN140:$BK140,20)&gt;100," *",""))</f>
        <v/>
      </c>
      <c r="AI140">
        <f>IF(21&gt;$N140,"",INDEX(Engine!$B$20:$B$43,MOD(SMALL($AN140:$BK140,21),100))&amp;IF(SMALL($AN140:$BK140,21)&gt;100," *",""))</f>
        <v/>
      </c>
      <c r="AJ140">
        <f>IF(22&gt;$N140,"",INDEX(Engine!$B$20:$B$43,MOD(SMALL($AN140:$BK140,22),100))&amp;IF(SMALL($AN140:$BK140,22)&gt;100," *",""))</f>
        <v/>
      </c>
      <c r="AK140">
        <f>IF(23&gt;$N140,"",INDEX(Engine!$B$20:$B$43,MOD(SMALL($AN140:$BK140,23),100))&amp;IF(SMALL($AN140:$BK140,23)&gt;100," *",""))</f>
        <v/>
      </c>
      <c r="AL140">
        <f>IF(24&gt;$N140,"",INDEX(Engine!$B$20:$B$43,MOD(SMALL($AN140:$BK140,24),100))&amp;IF(SMALL($AN140:$BK140,24)&gt;100," *",""))</f>
        <v/>
      </c>
      <c r="AN140">
        <f>IF(AND($C20=1,INDEX(Setup!$O$6:$AL$23,1,1)&lt;&gt;"",O20=0),1+IF(INDEX(Setup!$O$6:$AL$23,1,1)="T",100,0),"")</f>
        <v/>
      </c>
      <c r="AO140">
        <f>IF(AND($C21=1,INDEX(Setup!$O$6:$AL$23,1,2)&lt;&gt;"",O21=0),2+IF(INDEX(Setup!$O$6:$AL$23,1,2)="T",100,0),"")</f>
        <v/>
      </c>
      <c r="AP140">
        <f>IF(AND($C22=1,INDEX(Setup!$O$6:$AL$23,1,3)&lt;&gt;"",O22=0),3+IF(INDEX(Setup!$O$6:$AL$23,1,3)="T",100,0),"")</f>
        <v/>
      </c>
      <c r="AQ140">
        <f>IF(AND($C23=1,INDEX(Setup!$O$6:$AL$23,1,4)&lt;&gt;"",O23=0),4+IF(INDEX(Setup!$O$6:$AL$23,1,4)="T",100,0),"")</f>
        <v/>
      </c>
      <c r="AR140">
        <f>IF(AND($C24=1,INDEX(Setup!$O$6:$AL$23,1,5)&lt;&gt;"",O24=0),5+IF(INDEX(Setup!$O$6:$AL$23,1,5)="T",100,0),"")</f>
        <v/>
      </c>
      <c r="AS140">
        <f>IF(AND($C25=1,INDEX(Setup!$O$6:$AL$23,1,6)&lt;&gt;"",O25=0),6+IF(INDEX(Setup!$O$6:$AL$23,1,6)="T",100,0),"")</f>
        <v/>
      </c>
      <c r="AT140">
        <f>IF(AND($C26=1,INDEX(Setup!$O$6:$AL$23,1,7)&lt;&gt;"",O26=0),7+IF(INDEX(Setup!$O$6:$AL$23,1,7)="T",100,0),"")</f>
        <v/>
      </c>
      <c r="AU140">
        <f>IF(AND($C27=1,INDEX(Setup!$O$6:$AL$23,1,8)&lt;&gt;"",O27=0),8+IF(INDEX(Setup!$O$6:$AL$23,1,8)="T",100,0),"")</f>
        <v/>
      </c>
      <c r="AV140">
        <f>IF(AND($C28=1,INDEX(Setup!$O$6:$AL$23,1,9)&lt;&gt;"",O28=0),9+IF(INDEX(Setup!$O$6:$AL$23,1,9)="T",100,0),"")</f>
        <v/>
      </c>
      <c r="AW140">
        <f>IF(AND($C29=1,INDEX(Setup!$O$6:$AL$23,1,10)&lt;&gt;"",O29=0),10+IF(INDEX(Setup!$O$6:$AL$23,1,10)="T",100,0),"")</f>
        <v/>
      </c>
      <c r="AX140">
        <f>IF(AND($C30=1,INDEX(Setup!$O$6:$AL$23,1,11)&lt;&gt;"",O30=0),11+IF(INDEX(Setup!$O$6:$AL$23,1,11)="T",100,0),"")</f>
        <v/>
      </c>
      <c r="AY140">
        <f>IF(AND($C31=1,INDEX(Setup!$O$6:$AL$23,1,12)&lt;&gt;"",O31=0),12+IF(INDEX(Setup!$O$6:$AL$23,1,12)="T",100,0),"")</f>
        <v/>
      </c>
      <c r="AZ140">
        <f>IF(AND($C32=1,INDEX(Setup!$O$6:$AL$23,1,13)&lt;&gt;"",O32=0),13+IF(INDEX(Setup!$O$6:$AL$23,1,13)="T",100,0),"")</f>
        <v/>
      </c>
      <c r="BA140">
        <f>IF(AND($C33=1,INDEX(Setup!$O$6:$AL$23,1,14)&lt;&gt;"",O33=0),14+IF(INDEX(Setup!$O$6:$AL$23,1,14)="T",100,0),"")</f>
        <v/>
      </c>
      <c r="BB140">
        <f>IF(AND($C34=1,INDEX(Setup!$O$6:$AL$23,1,15)&lt;&gt;"",O34=0),15+IF(INDEX(Setup!$O$6:$AL$23,1,15)="T",100,0),"")</f>
        <v/>
      </c>
      <c r="BC140">
        <f>IF(AND($C35=1,INDEX(Setup!$O$6:$AL$23,1,16)&lt;&gt;"",O35=0),16+IF(INDEX(Setup!$O$6:$AL$23,1,16)="T",100,0),"")</f>
        <v/>
      </c>
      <c r="BD140">
        <f>IF(AND($C36=1,INDEX(Setup!$O$6:$AL$23,1,17)&lt;&gt;"",O36=0),17+IF(INDEX(Setup!$O$6:$AL$23,1,17)="T",100,0),"")</f>
        <v/>
      </c>
      <c r="BE140">
        <f>IF(AND($C37=1,INDEX(Setup!$O$6:$AL$23,1,18)&lt;&gt;"",O37=0),18+IF(INDEX(Setup!$O$6:$AL$23,1,18)="T",100,0),"")</f>
        <v/>
      </c>
      <c r="BF140">
        <f>IF(AND($C38=1,INDEX(Setup!$O$6:$AL$23,1,19)&lt;&gt;"",O38=0),19+IF(INDEX(Setup!$O$6:$AL$23,1,19)="T",100,0),"")</f>
        <v/>
      </c>
      <c r="BG140">
        <f>IF(AND($C39=1,INDEX(Setup!$O$6:$AL$23,1,20)&lt;&gt;"",O39=0),20+IF(INDEX(Setup!$O$6:$AL$23,1,20)="T",100,0),"")</f>
        <v/>
      </c>
      <c r="BH140">
        <f>IF(AND($C40=1,INDEX(Setup!$O$6:$AL$23,1,21)&lt;&gt;"",O40=0),21+IF(INDEX(Setup!$O$6:$AL$23,1,21)="T",100,0),"")</f>
        <v/>
      </c>
      <c r="BI140">
        <f>IF(AND($C41=1,INDEX(Setup!$O$6:$AL$23,1,22)&lt;&gt;"",O41=0),22+IF(INDEX(Setup!$O$6:$AL$23,1,22)="T",100,0),"")</f>
        <v/>
      </c>
      <c r="BJ140">
        <f>IF(AND($C42=1,INDEX(Setup!$O$6:$AL$23,1,23)&lt;&gt;"",O42=0),23+IF(INDEX(Setup!$O$6:$AL$23,1,23)="T",100,0),"")</f>
        <v/>
      </c>
      <c r="BK140">
        <f>IF(AND($C43=1,INDEX(Setup!$O$6:$AL$23,1,24)&lt;&gt;"",O43=0),24+IF(INDEX(Setup!$O$6:$AL$23,1,24)="T",100,0),"")</f>
        <v/>
      </c>
      <c r="BM140">
        <f>IF(AND(AN140&lt;&gt;"",COUNTIF($S$47:$U$47,$B20)+COUNTIF($S$47:$U$47,$B20&amp;" ~*")=0),($R20+0)*1000+IF(AN140&gt;100,500,0)+1,"")</f>
        <v/>
      </c>
      <c r="BN140">
        <f>IF(AND(AO140&lt;&gt;"",COUNTIF($S$47:$U$47,$B21)+COUNTIF($S$47:$U$47,$B21&amp;" ~*")=0),($R21+0)*1000+IF(AO140&gt;100,500,0)+2,"")</f>
        <v/>
      </c>
      <c r="BO140">
        <f>IF(AND(AP140&lt;&gt;"",COUNTIF($S$47:$U$47,$B22)+COUNTIF($S$47:$U$47,$B22&amp;" ~*")=0),($R22+0)*1000+IF(AP140&gt;100,500,0)+3,"")</f>
        <v/>
      </c>
      <c r="BP140">
        <f>IF(AND(AQ140&lt;&gt;"",COUNTIF($S$47:$U$47,$B23)+COUNTIF($S$47:$U$47,$B23&amp;" ~*")=0),($R23+0)*1000+IF(AQ140&gt;100,500,0)+4,"")</f>
        <v/>
      </c>
      <c r="BQ140">
        <f>IF(AND(AR140&lt;&gt;"",COUNTIF($S$47:$U$47,$B24)+COUNTIF($S$47:$U$47,$B24&amp;" ~*")=0),($R24+0)*1000+IF(AR140&gt;100,500,0)+5,"")</f>
        <v/>
      </c>
      <c r="BR140">
        <f>IF(AND(AS140&lt;&gt;"",COUNTIF($S$47:$U$47,$B25)+COUNTIF($S$47:$U$47,$B25&amp;" ~*")=0),($R25+0)*1000+IF(AS140&gt;100,500,0)+6,"")</f>
        <v/>
      </c>
      <c r="BS140">
        <f>IF(AND(AT140&lt;&gt;"",COUNTIF($S$47:$U$47,$B26)+COUNTIF($S$47:$U$47,$B26&amp;" ~*")=0),($R26+0)*1000+IF(AT140&gt;100,500,0)+7,"")</f>
        <v/>
      </c>
      <c r="BT140">
        <f>IF(AND(AU140&lt;&gt;"",COUNTIF($S$47:$U$47,$B27)+COUNTIF($S$47:$U$47,$B27&amp;" ~*")=0),($R27+0)*1000+IF(AU140&gt;100,500,0)+8,"")</f>
        <v/>
      </c>
      <c r="BU140">
        <f>IF(AND(AV140&lt;&gt;"",COUNTIF($S$47:$U$47,$B28)+COUNTIF($S$47:$U$47,$B28&amp;" ~*")=0),($R28+0)*1000+IF(AV140&gt;100,500,0)+9,"")</f>
        <v/>
      </c>
      <c r="BV140">
        <f>IF(AND(AW140&lt;&gt;"",COUNTIF($S$47:$U$47,$B29)+COUNTIF($S$47:$U$47,$B29&amp;" ~*")=0),($R29+0)*1000+IF(AW140&gt;100,500,0)+10,"")</f>
        <v/>
      </c>
      <c r="BW140">
        <f>IF(AND(AX140&lt;&gt;"",COUNTIF($S$47:$U$47,$B30)+COUNTIF($S$47:$U$47,$B30&amp;" ~*")=0),($R30+0)*1000+IF(AX140&gt;100,500,0)+11,"")</f>
        <v/>
      </c>
      <c r="BX140">
        <f>IF(AND(AY140&lt;&gt;"",COUNTIF($S$47:$U$47,$B31)+COUNTIF($S$47:$U$47,$B31&amp;" ~*")=0),($R31+0)*1000+IF(AY140&gt;100,500,0)+12,"")</f>
        <v/>
      </c>
      <c r="BY140">
        <f>IF(AND(AZ140&lt;&gt;"",COUNTIF($S$47:$U$47,$B32)+COUNTIF($S$47:$U$47,$B32&amp;" ~*")=0),($R32+0)*1000+IF(AZ140&gt;100,500,0)+13,"")</f>
        <v/>
      </c>
      <c r="BZ140">
        <f>IF(AND(BA140&lt;&gt;"",COUNTIF($S$47:$U$47,$B33)+COUNTIF($S$47:$U$47,$B33&amp;" ~*")=0),($R33+0)*1000+IF(BA140&gt;100,500,0)+14,"")</f>
        <v/>
      </c>
      <c r="CA140">
        <f>IF(AND(BB140&lt;&gt;"",COUNTIF($S$47:$U$47,$B34)+COUNTIF($S$47:$U$47,$B34&amp;" ~*")=0),($R34+0)*1000+IF(BB140&gt;100,500,0)+15,"")</f>
        <v/>
      </c>
      <c r="CB140">
        <f>IF(AND(BC140&lt;&gt;"",COUNTIF($S$47:$U$47,$B35)+COUNTIF($S$47:$U$47,$B35&amp;" ~*")=0),($R35+0)*1000+IF(BC140&gt;100,500,0)+16,"")</f>
        <v/>
      </c>
      <c r="CC140">
        <f>IF(AND(BD140&lt;&gt;"",COUNTIF($S$47:$U$47,$B36)+COUNTIF($S$47:$U$47,$B36&amp;" ~*")=0),($R36+0)*1000+IF(BD140&gt;100,500,0)+17,"")</f>
        <v/>
      </c>
      <c r="CD140">
        <f>IF(AND(BE140&lt;&gt;"",COUNTIF($S$47:$U$47,$B37)+COUNTIF($S$47:$U$47,$B37&amp;" ~*")=0),($R37+0)*1000+IF(BE140&gt;100,500,0)+18,"")</f>
        <v/>
      </c>
      <c r="CE140">
        <f>IF(AND(BF140&lt;&gt;"",COUNTIF($S$47:$U$47,$B38)+COUNTIF($S$47:$U$47,$B38&amp;" ~*")=0),($R38+0)*1000+IF(BF140&gt;100,500,0)+19,"")</f>
        <v/>
      </c>
      <c r="CF140">
        <f>IF(AND(BG140&lt;&gt;"",COUNTIF($S$47:$U$47,$B39)+COUNTIF($S$47:$U$47,$B39&amp;" ~*")=0),($R39+0)*1000+IF(BG140&gt;100,500,0)+20,"")</f>
        <v/>
      </c>
      <c r="CG140">
        <f>IF(AND(BH140&lt;&gt;"",COUNTIF($S$47:$U$47,$B40)+COUNTIF($S$47:$U$47,$B40&amp;" ~*")=0),($R40+0)*1000+IF(BH140&gt;100,500,0)+21,"")</f>
        <v/>
      </c>
      <c r="CH140">
        <f>IF(AND(BI140&lt;&gt;"",COUNTIF($S$47:$U$47,$B41)+COUNTIF($S$47:$U$47,$B41&amp;" ~*")=0),($R41+0)*1000+IF(BI140&gt;100,500,0)+22,"")</f>
        <v/>
      </c>
      <c r="CI140">
        <f>IF(AND(BJ140&lt;&gt;"",COUNTIF($S$47:$U$47,$B42)+COUNTIF($S$47:$U$47,$B42&amp;" ~*")=0),($R42+0)*1000+IF(BJ140&gt;100,500,0)+23,"")</f>
        <v/>
      </c>
      <c r="CJ140">
        <f>IF(AND(BK140&lt;&gt;"",COUNTIF($S$47:$U$47,$B43)+COUNTIF($S$47:$U$47,$B43&amp;" ~*")=0),($R43+0)*1000+IF(BK140&gt;100,500,0)+24,"")</f>
        <v/>
      </c>
    </row>
    <row r="141">
      <c r="A141" t="n">
        <v>5</v>
      </c>
      <c r="B141" t="n">
        <v>2</v>
      </c>
      <c r="C141">
        <f>$B$48</f>
        <v/>
      </c>
      <c r="D141" t="inlineStr">
        <is>
          <t>Fri</t>
        </is>
      </c>
      <c r="E141">
        <f>IF(C141="","",N($AB$48))</f>
        <v/>
      </c>
      <c r="F141">
        <f>IF(C141="","",COUNTIF($S$48:$U$48,"?*"))</f>
        <v/>
      </c>
      <c r="G141">
        <f>IF(C141="","",MAX(0,E141-F141))</f>
        <v/>
      </c>
      <c r="H141">
        <f>IF(N(G141)=0,"",IF(COUNT(BM141:CJ141)=0,"no-one eligible",INDEX(Engine!$B$20:$B$43,MOD(MIN(BM141:CJ141),500))&amp;IF(MOD(MIN(BM141:CJ141),1000)&gt;=500," *","")))</f>
        <v/>
      </c>
      <c r="I141">
        <f>IF(N(G141)&gt;0,COUNTIF($G$68:G141,"&gt;0"),"")</f>
        <v/>
      </c>
      <c r="J141">
        <f>IF(C141="","",IF($S$48="",0,IF(IFERROR(INDEX(Setup!$O$6:$AL$23,2,MATCH(SUBSTITUTE($S$48," *",""),Setup!$B$6:$B$29,0)),"")="",1,0))+IF($T$48="",0,IF(IFERROR(INDEX(Setup!$O$6:$AL$23,2,MATCH(SUBSTITUTE($T$48," *",""),Setup!$B$6:$B$29,0)),"")="",1,0))+IF($U$48="",0,IF(IFERROR(INDEX(Setup!$O$6:$AL$23,2,MATCH(SUBSTITUTE($U$48," *",""),Setup!$B$6:$B$29,0)),"")="",1,0)))</f>
        <v/>
      </c>
      <c r="K141">
        <f>IF($B$12+4=TODAY(),1,0)</f>
        <v/>
      </c>
      <c r="N141">
        <f>COUNT($AN141:$BK141)</f>
        <v/>
      </c>
      <c r="O141">
        <f>IF(1&gt;$N141,"",INDEX(Engine!$B$20:$B$43,MOD(SMALL($AN141:$BK141,1),100))&amp;IF(SMALL($AN141:$BK141,1)&gt;100," *",""))</f>
        <v/>
      </c>
      <c r="P141">
        <f>IF(2&gt;$N141,"",INDEX(Engine!$B$20:$B$43,MOD(SMALL($AN141:$BK141,2),100))&amp;IF(SMALL($AN141:$BK141,2)&gt;100," *",""))</f>
        <v/>
      </c>
      <c r="Q141">
        <f>IF(3&gt;$N141,"",INDEX(Engine!$B$20:$B$43,MOD(SMALL($AN141:$BK141,3),100))&amp;IF(SMALL($AN141:$BK141,3)&gt;100," *",""))</f>
        <v/>
      </c>
      <c r="R141">
        <f>IF(4&gt;$N141,"",INDEX(Engine!$B$20:$B$43,MOD(SMALL($AN141:$BK141,4),100))&amp;IF(SMALL($AN141:$BK141,4)&gt;100," *",""))</f>
        <v/>
      </c>
      <c r="S141">
        <f>IF(5&gt;$N141,"",INDEX(Engine!$B$20:$B$43,MOD(SMALL($AN141:$BK141,5),100))&amp;IF(SMALL($AN141:$BK141,5)&gt;100," *",""))</f>
        <v/>
      </c>
      <c r="T141">
        <f>IF(6&gt;$N141,"",INDEX(Engine!$B$20:$B$43,MOD(SMALL($AN141:$BK141,6),100))&amp;IF(SMALL($AN141:$BK141,6)&gt;100," *",""))</f>
        <v/>
      </c>
      <c r="U141">
        <f>IF(7&gt;$N141,"",INDEX(Engine!$B$20:$B$43,MOD(SMALL($AN141:$BK141,7),100))&amp;IF(SMALL($AN141:$BK141,7)&gt;100," *",""))</f>
        <v/>
      </c>
      <c r="V141">
        <f>IF(8&gt;$N141,"",INDEX(Engine!$B$20:$B$43,MOD(SMALL($AN141:$BK141,8),100))&amp;IF(SMALL($AN141:$BK141,8)&gt;100," *",""))</f>
        <v/>
      </c>
      <c r="W141">
        <f>IF(9&gt;$N141,"",INDEX(Engine!$B$20:$B$43,MOD(SMALL($AN141:$BK141,9),100))&amp;IF(SMALL($AN141:$BK141,9)&gt;100," *",""))</f>
        <v/>
      </c>
      <c r="X141">
        <f>IF(10&gt;$N141,"",INDEX(Engine!$B$20:$B$43,MOD(SMALL($AN141:$BK141,10),100))&amp;IF(SMALL($AN141:$BK141,10)&gt;100," *",""))</f>
        <v/>
      </c>
      <c r="Y141">
        <f>IF(11&gt;$N141,"",INDEX(Engine!$B$20:$B$43,MOD(SMALL($AN141:$BK141,11),100))&amp;IF(SMALL($AN141:$BK141,11)&gt;100," *",""))</f>
        <v/>
      </c>
      <c r="Z141">
        <f>IF(12&gt;$N141,"",INDEX(Engine!$B$20:$B$43,MOD(SMALL($AN141:$BK141,12),100))&amp;IF(SMALL($AN141:$BK141,12)&gt;100," *",""))</f>
        <v/>
      </c>
      <c r="AA141">
        <f>IF(13&gt;$N141,"",INDEX(Engine!$B$20:$B$43,MOD(SMALL($AN141:$BK141,13),100))&amp;IF(SMALL($AN141:$BK141,13)&gt;100," *",""))</f>
        <v/>
      </c>
      <c r="AB141">
        <f>IF(14&gt;$N141,"",INDEX(Engine!$B$20:$B$43,MOD(SMALL($AN141:$BK141,14),100))&amp;IF(SMALL($AN141:$BK141,14)&gt;100," *",""))</f>
        <v/>
      </c>
      <c r="AC141">
        <f>IF(15&gt;$N141,"",INDEX(Engine!$B$20:$B$43,MOD(SMALL($AN141:$BK141,15),100))&amp;IF(SMALL($AN141:$BK141,15)&gt;100," *",""))</f>
        <v/>
      </c>
      <c r="AD141">
        <f>IF(16&gt;$N141,"",INDEX(Engine!$B$20:$B$43,MOD(SMALL($AN141:$BK141,16),100))&amp;IF(SMALL($AN141:$BK141,16)&gt;100," *",""))</f>
        <v/>
      </c>
      <c r="AE141">
        <f>IF(17&gt;$N141,"",INDEX(Engine!$B$20:$B$43,MOD(SMALL($AN141:$BK141,17),100))&amp;IF(SMALL($AN141:$BK141,17)&gt;100," *",""))</f>
        <v/>
      </c>
      <c r="AF141">
        <f>IF(18&gt;$N141,"",INDEX(Engine!$B$20:$B$43,MOD(SMALL($AN141:$BK141,18),100))&amp;IF(SMALL($AN141:$BK141,18)&gt;100," *",""))</f>
        <v/>
      </c>
      <c r="AG141">
        <f>IF(19&gt;$N141,"",INDEX(Engine!$B$20:$B$43,MOD(SMALL($AN141:$BK141,19),100))&amp;IF(SMALL($AN141:$BK141,19)&gt;100," *",""))</f>
        <v/>
      </c>
      <c r="AH141">
        <f>IF(20&gt;$N141,"",INDEX(Engine!$B$20:$B$43,MOD(SMALL($AN141:$BK141,20),100))&amp;IF(SMALL($AN141:$BK141,20)&gt;100," *",""))</f>
        <v/>
      </c>
      <c r="AI141">
        <f>IF(21&gt;$N141,"",INDEX(Engine!$B$20:$B$43,MOD(SMALL($AN141:$BK141,21),100))&amp;IF(SMALL($AN141:$BK141,21)&gt;100," *",""))</f>
        <v/>
      </c>
      <c r="AJ141">
        <f>IF(22&gt;$N141,"",INDEX(Engine!$B$20:$B$43,MOD(SMALL($AN141:$BK141,22),100))&amp;IF(SMALL($AN141:$BK141,22)&gt;100," *",""))</f>
        <v/>
      </c>
      <c r="AK141">
        <f>IF(23&gt;$N141,"",INDEX(Engine!$B$20:$B$43,MOD(SMALL($AN141:$BK141,23),100))&amp;IF(SMALL($AN141:$BK141,23)&gt;100," *",""))</f>
        <v/>
      </c>
      <c r="AL141">
        <f>IF(24&gt;$N141,"",INDEX(Engine!$B$20:$B$43,MOD(SMALL($AN141:$BK141,24),100))&amp;IF(SMALL($AN141:$BK141,24)&gt;100," *",""))</f>
        <v/>
      </c>
      <c r="AN141">
        <f>IF(AND($C20=1,INDEX(Setup!$O$6:$AL$23,2,1)&lt;&gt;"",O20=0),1+IF(INDEX(Setup!$O$6:$AL$23,2,1)="T",100,0),"")</f>
        <v/>
      </c>
      <c r="AO141">
        <f>IF(AND($C21=1,INDEX(Setup!$O$6:$AL$23,2,2)&lt;&gt;"",O21=0),2+IF(INDEX(Setup!$O$6:$AL$23,2,2)="T",100,0),"")</f>
        <v/>
      </c>
      <c r="AP141">
        <f>IF(AND($C22=1,INDEX(Setup!$O$6:$AL$23,2,3)&lt;&gt;"",O22=0),3+IF(INDEX(Setup!$O$6:$AL$23,2,3)="T",100,0),"")</f>
        <v/>
      </c>
      <c r="AQ141">
        <f>IF(AND($C23=1,INDEX(Setup!$O$6:$AL$23,2,4)&lt;&gt;"",O23=0),4+IF(INDEX(Setup!$O$6:$AL$23,2,4)="T",100,0),"")</f>
        <v/>
      </c>
      <c r="AR141">
        <f>IF(AND($C24=1,INDEX(Setup!$O$6:$AL$23,2,5)&lt;&gt;"",O24=0),5+IF(INDEX(Setup!$O$6:$AL$23,2,5)="T",100,0),"")</f>
        <v/>
      </c>
      <c r="AS141">
        <f>IF(AND($C25=1,INDEX(Setup!$O$6:$AL$23,2,6)&lt;&gt;"",O25=0),6+IF(INDEX(Setup!$O$6:$AL$23,2,6)="T",100,0),"")</f>
        <v/>
      </c>
      <c r="AT141">
        <f>IF(AND($C26=1,INDEX(Setup!$O$6:$AL$23,2,7)&lt;&gt;"",O26=0),7+IF(INDEX(Setup!$O$6:$AL$23,2,7)="T",100,0),"")</f>
        <v/>
      </c>
      <c r="AU141">
        <f>IF(AND($C27=1,INDEX(Setup!$O$6:$AL$23,2,8)&lt;&gt;"",O27=0),8+IF(INDEX(Setup!$O$6:$AL$23,2,8)="T",100,0),"")</f>
        <v/>
      </c>
      <c r="AV141">
        <f>IF(AND($C28=1,INDEX(Setup!$O$6:$AL$23,2,9)&lt;&gt;"",O28=0),9+IF(INDEX(Setup!$O$6:$AL$23,2,9)="T",100,0),"")</f>
        <v/>
      </c>
      <c r="AW141">
        <f>IF(AND($C29=1,INDEX(Setup!$O$6:$AL$23,2,10)&lt;&gt;"",O29=0),10+IF(INDEX(Setup!$O$6:$AL$23,2,10)="T",100,0),"")</f>
        <v/>
      </c>
      <c r="AX141">
        <f>IF(AND($C30=1,INDEX(Setup!$O$6:$AL$23,2,11)&lt;&gt;"",O30=0),11+IF(INDEX(Setup!$O$6:$AL$23,2,11)="T",100,0),"")</f>
        <v/>
      </c>
      <c r="AY141">
        <f>IF(AND($C31=1,INDEX(Setup!$O$6:$AL$23,2,12)&lt;&gt;"",O31=0),12+IF(INDEX(Setup!$O$6:$AL$23,2,12)="T",100,0),"")</f>
        <v/>
      </c>
      <c r="AZ141">
        <f>IF(AND($C32=1,INDEX(Setup!$O$6:$AL$23,2,13)&lt;&gt;"",O32=0),13+IF(INDEX(Setup!$O$6:$AL$23,2,13)="T",100,0),"")</f>
        <v/>
      </c>
      <c r="BA141">
        <f>IF(AND($C33=1,INDEX(Setup!$O$6:$AL$23,2,14)&lt;&gt;"",O33=0),14+IF(INDEX(Setup!$O$6:$AL$23,2,14)="T",100,0),"")</f>
        <v/>
      </c>
      <c r="BB141">
        <f>IF(AND($C34=1,INDEX(Setup!$O$6:$AL$23,2,15)&lt;&gt;"",O34=0),15+IF(INDEX(Setup!$O$6:$AL$23,2,15)="T",100,0),"")</f>
        <v/>
      </c>
      <c r="BC141">
        <f>IF(AND($C35=1,INDEX(Setup!$O$6:$AL$23,2,16)&lt;&gt;"",O35=0),16+IF(INDEX(Setup!$O$6:$AL$23,2,16)="T",100,0),"")</f>
        <v/>
      </c>
      <c r="BD141">
        <f>IF(AND($C36=1,INDEX(Setup!$O$6:$AL$23,2,17)&lt;&gt;"",O36=0),17+IF(INDEX(Setup!$O$6:$AL$23,2,17)="T",100,0),"")</f>
        <v/>
      </c>
      <c r="BE141">
        <f>IF(AND($C37=1,INDEX(Setup!$O$6:$AL$23,2,18)&lt;&gt;"",O37=0),18+IF(INDEX(Setup!$O$6:$AL$23,2,18)="T",100,0),"")</f>
        <v/>
      </c>
      <c r="BF141">
        <f>IF(AND($C38=1,INDEX(Setup!$O$6:$AL$23,2,19)&lt;&gt;"",O38=0),19+IF(INDEX(Setup!$O$6:$AL$23,2,19)="T",100,0),"")</f>
        <v/>
      </c>
      <c r="BG141">
        <f>IF(AND($C39=1,INDEX(Setup!$O$6:$AL$23,2,20)&lt;&gt;"",O39=0),20+IF(INDEX(Setup!$O$6:$AL$23,2,20)="T",100,0),"")</f>
        <v/>
      </c>
      <c r="BH141">
        <f>IF(AND($C40=1,INDEX(Setup!$O$6:$AL$23,2,21)&lt;&gt;"",O40=0),21+IF(INDEX(Setup!$O$6:$AL$23,2,21)="T",100,0),"")</f>
        <v/>
      </c>
      <c r="BI141">
        <f>IF(AND($C41=1,INDEX(Setup!$O$6:$AL$23,2,22)&lt;&gt;"",O41=0),22+IF(INDEX(Setup!$O$6:$AL$23,2,22)="T",100,0),"")</f>
        <v/>
      </c>
      <c r="BJ141">
        <f>IF(AND($C42=1,INDEX(Setup!$O$6:$AL$23,2,23)&lt;&gt;"",O42=0),23+IF(INDEX(Setup!$O$6:$AL$23,2,23)="T",100,0),"")</f>
        <v/>
      </c>
      <c r="BK141">
        <f>IF(AND($C43=1,INDEX(Setup!$O$6:$AL$23,2,24)&lt;&gt;"",O43=0),24+IF(INDEX(Setup!$O$6:$AL$23,2,24)="T",100,0),"")</f>
        <v/>
      </c>
      <c r="BM141">
        <f>IF(AND(AN141&lt;&gt;"",COUNTIF($S$48:$U$48,$B20)+COUNTIF($S$48:$U$48,$B20&amp;" ~*")=0),($R20+COUNTIF($H$140:$H140,$B20)+COUNTIF($H$140:$H140,$B20&amp;" ~*"))*1000+IF(AN141&gt;100,500,0)+1,"")</f>
        <v/>
      </c>
      <c r="BN141">
        <f>IF(AND(AO141&lt;&gt;"",COUNTIF($S$48:$U$48,$B21)+COUNTIF($S$48:$U$48,$B21&amp;" ~*")=0),($R21+COUNTIF($H$140:$H140,$B21)+COUNTIF($H$140:$H140,$B21&amp;" ~*"))*1000+IF(AO141&gt;100,500,0)+2,"")</f>
        <v/>
      </c>
      <c r="BO141">
        <f>IF(AND(AP141&lt;&gt;"",COUNTIF($S$48:$U$48,$B22)+COUNTIF($S$48:$U$48,$B22&amp;" ~*")=0),($R22+COUNTIF($H$140:$H140,$B22)+COUNTIF($H$140:$H140,$B22&amp;" ~*"))*1000+IF(AP141&gt;100,500,0)+3,"")</f>
        <v/>
      </c>
      <c r="BP141">
        <f>IF(AND(AQ141&lt;&gt;"",COUNTIF($S$48:$U$48,$B23)+COUNTIF($S$48:$U$48,$B23&amp;" ~*")=0),($R23+COUNTIF($H$140:$H140,$B23)+COUNTIF($H$140:$H140,$B23&amp;" ~*"))*1000+IF(AQ141&gt;100,500,0)+4,"")</f>
        <v/>
      </c>
      <c r="BQ141">
        <f>IF(AND(AR141&lt;&gt;"",COUNTIF($S$48:$U$48,$B24)+COUNTIF($S$48:$U$48,$B24&amp;" ~*")=0),($R24+COUNTIF($H$140:$H140,$B24)+COUNTIF($H$140:$H140,$B24&amp;" ~*"))*1000+IF(AR141&gt;100,500,0)+5,"")</f>
        <v/>
      </c>
      <c r="BR141">
        <f>IF(AND(AS141&lt;&gt;"",COUNTIF($S$48:$U$48,$B25)+COUNTIF($S$48:$U$48,$B25&amp;" ~*")=0),($R25+COUNTIF($H$140:$H140,$B25)+COUNTIF($H$140:$H140,$B25&amp;" ~*"))*1000+IF(AS141&gt;100,500,0)+6,"")</f>
        <v/>
      </c>
      <c r="BS141">
        <f>IF(AND(AT141&lt;&gt;"",COUNTIF($S$48:$U$48,$B26)+COUNTIF($S$48:$U$48,$B26&amp;" ~*")=0),($R26+COUNTIF($H$140:$H140,$B26)+COUNTIF($H$140:$H140,$B26&amp;" ~*"))*1000+IF(AT141&gt;100,500,0)+7,"")</f>
        <v/>
      </c>
      <c r="BT141">
        <f>IF(AND(AU141&lt;&gt;"",COUNTIF($S$48:$U$48,$B27)+COUNTIF($S$48:$U$48,$B27&amp;" ~*")=0),($R27+COUNTIF($H$140:$H140,$B27)+COUNTIF($H$140:$H140,$B27&amp;" ~*"))*1000+IF(AU141&gt;100,500,0)+8,"")</f>
        <v/>
      </c>
      <c r="BU141">
        <f>IF(AND(AV141&lt;&gt;"",COUNTIF($S$48:$U$48,$B28)+COUNTIF($S$48:$U$48,$B28&amp;" ~*")=0),($R28+COUNTIF($H$140:$H140,$B28)+COUNTIF($H$140:$H140,$B28&amp;" ~*"))*1000+IF(AV141&gt;100,500,0)+9,"")</f>
        <v/>
      </c>
      <c r="BV141">
        <f>IF(AND(AW141&lt;&gt;"",COUNTIF($S$48:$U$48,$B29)+COUNTIF($S$48:$U$48,$B29&amp;" ~*")=0),($R29+COUNTIF($H$140:$H140,$B29)+COUNTIF($H$140:$H140,$B29&amp;" ~*"))*1000+IF(AW141&gt;100,500,0)+10,"")</f>
        <v/>
      </c>
      <c r="BW141">
        <f>IF(AND(AX141&lt;&gt;"",COUNTIF($S$48:$U$48,$B30)+COUNTIF($S$48:$U$48,$B30&amp;" ~*")=0),($R30+COUNTIF($H$140:$H140,$B30)+COUNTIF($H$140:$H140,$B30&amp;" ~*"))*1000+IF(AX141&gt;100,500,0)+11,"")</f>
        <v/>
      </c>
      <c r="BX141">
        <f>IF(AND(AY141&lt;&gt;"",COUNTIF($S$48:$U$48,$B31)+COUNTIF($S$48:$U$48,$B31&amp;" ~*")=0),($R31+COUNTIF($H$140:$H140,$B31)+COUNTIF($H$140:$H140,$B31&amp;" ~*"))*1000+IF(AY141&gt;100,500,0)+12,"")</f>
        <v/>
      </c>
      <c r="BY141">
        <f>IF(AND(AZ141&lt;&gt;"",COUNTIF($S$48:$U$48,$B32)+COUNTIF($S$48:$U$48,$B32&amp;" ~*")=0),($R32+COUNTIF($H$140:$H140,$B32)+COUNTIF($H$140:$H140,$B32&amp;" ~*"))*1000+IF(AZ141&gt;100,500,0)+13,"")</f>
        <v/>
      </c>
      <c r="BZ141">
        <f>IF(AND(BA141&lt;&gt;"",COUNTIF($S$48:$U$48,$B33)+COUNTIF($S$48:$U$48,$B33&amp;" ~*")=0),($R33+COUNTIF($H$140:$H140,$B33)+COUNTIF($H$140:$H140,$B33&amp;" ~*"))*1000+IF(BA141&gt;100,500,0)+14,"")</f>
        <v/>
      </c>
      <c r="CA141">
        <f>IF(AND(BB141&lt;&gt;"",COUNTIF($S$48:$U$48,$B34)+COUNTIF($S$48:$U$48,$B34&amp;" ~*")=0),($R34+COUNTIF($H$140:$H140,$B34)+COUNTIF($H$140:$H140,$B34&amp;" ~*"))*1000+IF(BB141&gt;100,500,0)+15,"")</f>
        <v/>
      </c>
      <c r="CB141">
        <f>IF(AND(BC141&lt;&gt;"",COUNTIF($S$48:$U$48,$B35)+COUNTIF($S$48:$U$48,$B35&amp;" ~*")=0),($R35+COUNTIF($H$140:$H140,$B35)+COUNTIF($H$140:$H140,$B35&amp;" ~*"))*1000+IF(BC141&gt;100,500,0)+16,"")</f>
        <v/>
      </c>
      <c r="CC141">
        <f>IF(AND(BD141&lt;&gt;"",COUNTIF($S$48:$U$48,$B36)+COUNTIF($S$48:$U$48,$B36&amp;" ~*")=0),($R36+COUNTIF($H$140:$H140,$B36)+COUNTIF($H$140:$H140,$B36&amp;" ~*"))*1000+IF(BD141&gt;100,500,0)+17,"")</f>
        <v/>
      </c>
      <c r="CD141">
        <f>IF(AND(BE141&lt;&gt;"",COUNTIF($S$48:$U$48,$B37)+COUNTIF($S$48:$U$48,$B37&amp;" ~*")=0),($R37+COUNTIF($H$140:$H140,$B37)+COUNTIF($H$140:$H140,$B37&amp;" ~*"))*1000+IF(BE141&gt;100,500,0)+18,"")</f>
        <v/>
      </c>
      <c r="CE141">
        <f>IF(AND(BF141&lt;&gt;"",COUNTIF($S$48:$U$48,$B38)+COUNTIF($S$48:$U$48,$B38&amp;" ~*")=0),($R38+COUNTIF($H$140:$H140,$B38)+COUNTIF($H$140:$H140,$B38&amp;" ~*"))*1000+IF(BF141&gt;100,500,0)+19,"")</f>
        <v/>
      </c>
      <c r="CF141">
        <f>IF(AND(BG141&lt;&gt;"",COUNTIF($S$48:$U$48,$B39)+COUNTIF($S$48:$U$48,$B39&amp;" ~*")=0),($R39+COUNTIF($H$140:$H140,$B39)+COUNTIF($H$140:$H140,$B39&amp;" ~*"))*1000+IF(BG141&gt;100,500,0)+20,"")</f>
        <v/>
      </c>
      <c r="CG141">
        <f>IF(AND(BH141&lt;&gt;"",COUNTIF($S$48:$U$48,$B40)+COUNTIF($S$48:$U$48,$B40&amp;" ~*")=0),($R40+COUNTIF($H$140:$H140,$B40)+COUNTIF($H$140:$H140,$B40&amp;" ~*"))*1000+IF(BH141&gt;100,500,0)+21,"")</f>
        <v/>
      </c>
      <c r="CH141">
        <f>IF(AND(BI141&lt;&gt;"",COUNTIF($S$48:$U$48,$B41)+COUNTIF($S$48:$U$48,$B41&amp;" ~*")=0),($R41+COUNTIF($H$140:$H140,$B41)+COUNTIF($H$140:$H140,$B41&amp;" ~*"))*1000+IF(BI141&gt;100,500,0)+22,"")</f>
        <v/>
      </c>
      <c r="CI141">
        <f>IF(AND(BJ141&lt;&gt;"",COUNTIF($S$48:$U$48,$B42)+COUNTIF($S$48:$U$48,$B42&amp;" ~*")=0),($R42+COUNTIF($H$140:$H140,$B42)+COUNTIF($H$140:$H140,$B42&amp;" ~*"))*1000+IF(BJ141&gt;100,500,0)+23,"")</f>
        <v/>
      </c>
      <c r="CJ141">
        <f>IF(AND(BK141&lt;&gt;"",COUNTIF($S$48:$U$48,$B43)+COUNTIF($S$48:$U$48,$B43&amp;" ~*")=0),($R43+COUNTIF($H$140:$H140,$B43)+COUNTIF($H$140:$H140,$B43&amp;" ~*"))*1000+IF(BK141&gt;100,500,0)+24,"")</f>
        <v/>
      </c>
    </row>
    <row r="142">
      <c r="A142" t="n">
        <v>5</v>
      </c>
      <c r="B142" t="n">
        <v>3</v>
      </c>
      <c r="C142">
        <f>$B$49</f>
        <v/>
      </c>
      <c r="D142" t="inlineStr">
        <is>
          <t>Fri</t>
        </is>
      </c>
      <c r="E142">
        <f>IF(C142="","",N($AB$49))</f>
        <v/>
      </c>
      <c r="F142">
        <f>IF(C142="","",COUNTIF($S$49:$U$49,"?*"))</f>
        <v/>
      </c>
      <c r="G142">
        <f>IF(C142="","",MAX(0,E142-F142))</f>
        <v/>
      </c>
      <c r="H142">
        <f>IF(N(G142)=0,"",IF(COUNT(BM142:CJ142)=0,"no-one eligible",INDEX(Engine!$B$20:$B$43,MOD(MIN(BM142:CJ142),500))&amp;IF(MOD(MIN(BM142:CJ142),1000)&gt;=500," *","")))</f>
        <v/>
      </c>
      <c r="I142">
        <f>IF(N(G142)&gt;0,COUNTIF($G$68:G142,"&gt;0"),"")</f>
        <v/>
      </c>
      <c r="J142">
        <f>IF(C142="","",IF($S$49="",0,IF(IFERROR(INDEX(Setup!$O$6:$AL$23,3,MATCH(SUBSTITUTE($S$49," *",""),Setup!$B$6:$B$29,0)),"")="",1,0))+IF($T$49="",0,IF(IFERROR(INDEX(Setup!$O$6:$AL$23,3,MATCH(SUBSTITUTE($T$49," *",""),Setup!$B$6:$B$29,0)),"")="",1,0))+IF($U$49="",0,IF(IFERROR(INDEX(Setup!$O$6:$AL$23,3,MATCH(SUBSTITUTE($U$49," *",""),Setup!$B$6:$B$29,0)),"")="",1,0)))</f>
        <v/>
      </c>
      <c r="K142">
        <f>IF($B$12+4=TODAY(),1,0)</f>
        <v/>
      </c>
      <c r="N142">
        <f>COUNT($AN142:$BK142)</f>
        <v/>
      </c>
      <c r="O142">
        <f>IF(1&gt;$N142,"",INDEX(Engine!$B$20:$B$43,MOD(SMALL($AN142:$BK142,1),100))&amp;IF(SMALL($AN142:$BK142,1)&gt;100," *",""))</f>
        <v/>
      </c>
      <c r="P142">
        <f>IF(2&gt;$N142,"",INDEX(Engine!$B$20:$B$43,MOD(SMALL($AN142:$BK142,2),100))&amp;IF(SMALL($AN142:$BK142,2)&gt;100," *",""))</f>
        <v/>
      </c>
      <c r="Q142">
        <f>IF(3&gt;$N142,"",INDEX(Engine!$B$20:$B$43,MOD(SMALL($AN142:$BK142,3),100))&amp;IF(SMALL($AN142:$BK142,3)&gt;100," *",""))</f>
        <v/>
      </c>
      <c r="R142">
        <f>IF(4&gt;$N142,"",INDEX(Engine!$B$20:$B$43,MOD(SMALL($AN142:$BK142,4),100))&amp;IF(SMALL($AN142:$BK142,4)&gt;100," *",""))</f>
        <v/>
      </c>
      <c r="S142">
        <f>IF(5&gt;$N142,"",INDEX(Engine!$B$20:$B$43,MOD(SMALL($AN142:$BK142,5),100))&amp;IF(SMALL($AN142:$BK142,5)&gt;100," *",""))</f>
        <v/>
      </c>
      <c r="T142">
        <f>IF(6&gt;$N142,"",INDEX(Engine!$B$20:$B$43,MOD(SMALL($AN142:$BK142,6),100))&amp;IF(SMALL($AN142:$BK142,6)&gt;100," *",""))</f>
        <v/>
      </c>
      <c r="U142">
        <f>IF(7&gt;$N142,"",INDEX(Engine!$B$20:$B$43,MOD(SMALL($AN142:$BK142,7),100))&amp;IF(SMALL($AN142:$BK142,7)&gt;100," *",""))</f>
        <v/>
      </c>
      <c r="V142">
        <f>IF(8&gt;$N142,"",INDEX(Engine!$B$20:$B$43,MOD(SMALL($AN142:$BK142,8),100))&amp;IF(SMALL($AN142:$BK142,8)&gt;100," *",""))</f>
        <v/>
      </c>
      <c r="W142">
        <f>IF(9&gt;$N142,"",INDEX(Engine!$B$20:$B$43,MOD(SMALL($AN142:$BK142,9),100))&amp;IF(SMALL($AN142:$BK142,9)&gt;100," *",""))</f>
        <v/>
      </c>
      <c r="X142">
        <f>IF(10&gt;$N142,"",INDEX(Engine!$B$20:$B$43,MOD(SMALL($AN142:$BK142,10),100))&amp;IF(SMALL($AN142:$BK142,10)&gt;100," *",""))</f>
        <v/>
      </c>
      <c r="Y142">
        <f>IF(11&gt;$N142,"",INDEX(Engine!$B$20:$B$43,MOD(SMALL($AN142:$BK142,11),100))&amp;IF(SMALL($AN142:$BK142,11)&gt;100," *",""))</f>
        <v/>
      </c>
      <c r="Z142">
        <f>IF(12&gt;$N142,"",INDEX(Engine!$B$20:$B$43,MOD(SMALL($AN142:$BK142,12),100))&amp;IF(SMALL($AN142:$BK142,12)&gt;100," *",""))</f>
        <v/>
      </c>
      <c r="AA142">
        <f>IF(13&gt;$N142,"",INDEX(Engine!$B$20:$B$43,MOD(SMALL($AN142:$BK142,13),100))&amp;IF(SMALL($AN142:$BK142,13)&gt;100," *",""))</f>
        <v/>
      </c>
      <c r="AB142">
        <f>IF(14&gt;$N142,"",INDEX(Engine!$B$20:$B$43,MOD(SMALL($AN142:$BK142,14),100))&amp;IF(SMALL($AN142:$BK142,14)&gt;100," *",""))</f>
        <v/>
      </c>
      <c r="AC142">
        <f>IF(15&gt;$N142,"",INDEX(Engine!$B$20:$B$43,MOD(SMALL($AN142:$BK142,15),100))&amp;IF(SMALL($AN142:$BK142,15)&gt;100," *",""))</f>
        <v/>
      </c>
      <c r="AD142">
        <f>IF(16&gt;$N142,"",INDEX(Engine!$B$20:$B$43,MOD(SMALL($AN142:$BK142,16),100))&amp;IF(SMALL($AN142:$BK142,16)&gt;100," *",""))</f>
        <v/>
      </c>
      <c r="AE142">
        <f>IF(17&gt;$N142,"",INDEX(Engine!$B$20:$B$43,MOD(SMALL($AN142:$BK142,17),100))&amp;IF(SMALL($AN142:$BK142,17)&gt;100," *",""))</f>
        <v/>
      </c>
      <c r="AF142">
        <f>IF(18&gt;$N142,"",INDEX(Engine!$B$20:$B$43,MOD(SMALL($AN142:$BK142,18),100))&amp;IF(SMALL($AN142:$BK142,18)&gt;100," *",""))</f>
        <v/>
      </c>
      <c r="AG142">
        <f>IF(19&gt;$N142,"",INDEX(Engine!$B$20:$B$43,MOD(SMALL($AN142:$BK142,19),100))&amp;IF(SMALL($AN142:$BK142,19)&gt;100," *",""))</f>
        <v/>
      </c>
      <c r="AH142">
        <f>IF(20&gt;$N142,"",INDEX(Engine!$B$20:$B$43,MOD(SMALL($AN142:$BK142,20),100))&amp;IF(SMALL($AN142:$BK142,20)&gt;100," *",""))</f>
        <v/>
      </c>
      <c r="AI142">
        <f>IF(21&gt;$N142,"",INDEX(Engine!$B$20:$B$43,MOD(SMALL($AN142:$BK142,21),100))&amp;IF(SMALL($AN142:$BK142,21)&gt;100," *",""))</f>
        <v/>
      </c>
      <c r="AJ142">
        <f>IF(22&gt;$N142,"",INDEX(Engine!$B$20:$B$43,MOD(SMALL($AN142:$BK142,22),100))&amp;IF(SMALL($AN142:$BK142,22)&gt;100," *",""))</f>
        <v/>
      </c>
      <c r="AK142">
        <f>IF(23&gt;$N142,"",INDEX(Engine!$B$20:$B$43,MOD(SMALL($AN142:$BK142,23),100))&amp;IF(SMALL($AN142:$BK142,23)&gt;100," *",""))</f>
        <v/>
      </c>
      <c r="AL142">
        <f>IF(24&gt;$N142,"",INDEX(Engine!$B$20:$B$43,MOD(SMALL($AN142:$BK142,24),100))&amp;IF(SMALL($AN142:$BK142,24)&gt;100," *",""))</f>
        <v/>
      </c>
      <c r="AN142">
        <f>IF(AND($C20=1,INDEX(Setup!$O$6:$AL$23,3,1)&lt;&gt;"",O20=0),1+IF(INDEX(Setup!$O$6:$AL$23,3,1)="T",100,0),"")</f>
        <v/>
      </c>
      <c r="AO142">
        <f>IF(AND($C21=1,INDEX(Setup!$O$6:$AL$23,3,2)&lt;&gt;"",O21=0),2+IF(INDEX(Setup!$O$6:$AL$23,3,2)="T",100,0),"")</f>
        <v/>
      </c>
      <c r="AP142">
        <f>IF(AND($C22=1,INDEX(Setup!$O$6:$AL$23,3,3)&lt;&gt;"",O22=0),3+IF(INDEX(Setup!$O$6:$AL$23,3,3)="T",100,0),"")</f>
        <v/>
      </c>
      <c r="AQ142">
        <f>IF(AND($C23=1,INDEX(Setup!$O$6:$AL$23,3,4)&lt;&gt;"",O23=0),4+IF(INDEX(Setup!$O$6:$AL$23,3,4)="T",100,0),"")</f>
        <v/>
      </c>
      <c r="AR142">
        <f>IF(AND($C24=1,INDEX(Setup!$O$6:$AL$23,3,5)&lt;&gt;"",O24=0),5+IF(INDEX(Setup!$O$6:$AL$23,3,5)="T",100,0),"")</f>
        <v/>
      </c>
      <c r="AS142">
        <f>IF(AND($C25=1,INDEX(Setup!$O$6:$AL$23,3,6)&lt;&gt;"",O25=0),6+IF(INDEX(Setup!$O$6:$AL$23,3,6)="T",100,0),"")</f>
        <v/>
      </c>
      <c r="AT142">
        <f>IF(AND($C26=1,INDEX(Setup!$O$6:$AL$23,3,7)&lt;&gt;"",O26=0),7+IF(INDEX(Setup!$O$6:$AL$23,3,7)="T",100,0),"")</f>
        <v/>
      </c>
      <c r="AU142">
        <f>IF(AND($C27=1,INDEX(Setup!$O$6:$AL$23,3,8)&lt;&gt;"",O27=0),8+IF(INDEX(Setup!$O$6:$AL$23,3,8)="T",100,0),"")</f>
        <v/>
      </c>
      <c r="AV142">
        <f>IF(AND($C28=1,INDEX(Setup!$O$6:$AL$23,3,9)&lt;&gt;"",O28=0),9+IF(INDEX(Setup!$O$6:$AL$23,3,9)="T",100,0),"")</f>
        <v/>
      </c>
      <c r="AW142">
        <f>IF(AND($C29=1,INDEX(Setup!$O$6:$AL$23,3,10)&lt;&gt;"",O29=0),10+IF(INDEX(Setup!$O$6:$AL$23,3,10)="T",100,0),"")</f>
        <v/>
      </c>
      <c r="AX142">
        <f>IF(AND($C30=1,INDEX(Setup!$O$6:$AL$23,3,11)&lt;&gt;"",O30=0),11+IF(INDEX(Setup!$O$6:$AL$23,3,11)="T",100,0),"")</f>
        <v/>
      </c>
      <c r="AY142">
        <f>IF(AND($C31=1,INDEX(Setup!$O$6:$AL$23,3,12)&lt;&gt;"",O31=0),12+IF(INDEX(Setup!$O$6:$AL$23,3,12)="T",100,0),"")</f>
        <v/>
      </c>
      <c r="AZ142">
        <f>IF(AND($C32=1,INDEX(Setup!$O$6:$AL$23,3,13)&lt;&gt;"",O32=0),13+IF(INDEX(Setup!$O$6:$AL$23,3,13)="T",100,0),"")</f>
        <v/>
      </c>
      <c r="BA142">
        <f>IF(AND($C33=1,INDEX(Setup!$O$6:$AL$23,3,14)&lt;&gt;"",O33=0),14+IF(INDEX(Setup!$O$6:$AL$23,3,14)="T",100,0),"")</f>
        <v/>
      </c>
      <c r="BB142">
        <f>IF(AND($C34=1,INDEX(Setup!$O$6:$AL$23,3,15)&lt;&gt;"",O34=0),15+IF(INDEX(Setup!$O$6:$AL$23,3,15)="T",100,0),"")</f>
        <v/>
      </c>
      <c r="BC142">
        <f>IF(AND($C35=1,INDEX(Setup!$O$6:$AL$23,3,16)&lt;&gt;"",O35=0),16+IF(INDEX(Setup!$O$6:$AL$23,3,16)="T",100,0),"")</f>
        <v/>
      </c>
      <c r="BD142">
        <f>IF(AND($C36=1,INDEX(Setup!$O$6:$AL$23,3,17)&lt;&gt;"",O36=0),17+IF(INDEX(Setup!$O$6:$AL$23,3,17)="T",100,0),"")</f>
        <v/>
      </c>
      <c r="BE142">
        <f>IF(AND($C37=1,INDEX(Setup!$O$6:$AL$23,3,18)&lt;&gt;"",O37=0),18+IF(INDEX(Setup!$O$6:$AL$23,3,18)="T",100,0),"")</f>
        <v/>
      </c>
      <c r="BF142">
        <f>IF(AND($C38=1,INDEX(Setup!$O$6:$AL$23,3,19)&lt;&gt;"",O38=0),19+IF(INDEX(Setup!$O$6:$AL$23,3,19)="T",100,0),"")</f>
        <v/>
      </c>
      <c r="BG142">
        <f>IF(AND($C39=1,INDEX(Setup!$O$6:$AL$23,3,20)&lt;&gt;"",O39=0),20+IF(INDEX(Setup!$O$6:$AL$23,3,20)="T",100,0),"")</f>
        <v/>
      </c>
      <c r="BH142">
        <f>IF(AND($C40=1,INDEX(Setup!$O$6:$AL$23,3,21)&lt;&gt;"",O40=0),21+IF(INDEX(Setup!$O$6:$AL$23,3,21)="T",100,0),"")</f>
        <v/>
      </c>
      <c r="BI142">
        <f>IF(AND($C41=1,INDEX(Setup!$O$6:$AL$23,3,22)&lt;&gt;"",O41=0),22+IF(INDEX(Setup!$O$6:$AL$23,3,22)="T",100,0),"")</f>
        <v/>
      </c>
      <c r="BJ142">
        <f>IF(AND($C42=1,INDEX(Setup!$O$6:$AL$23,3,23)&lt;&gt;"",O42=0),23+IF(INDEX(Setup!$O$6:$AL$23,3,23)="T",100,0),"")</f>
        <v/>
      </c>
      <c r="BK142">
        <f>IF(AND($C43=1,INDEX(Setup!$O$6:$AL$23,3,24)&lt;&gt;"",O43=0),24+IF(INDEX(Setup!$O$6:$AL$23,3,24)="T",100,0),"")</f>
        <v/>
      </c>
      <c r="BM142">
        <f>IF(AND(AN142&lt;&gt;"",COUNTIF($S$49:$U$49,$B20)+COUNTIF($S$49:$U$49,$B20&amp;" ~*")=0),($R20+COUNTIF($H$140:$H141,$B20)+COUNTIF($H$140:$H141,$B20&amp;" ~*"))*1000+IF(AN142&gt;100,500,0)+1,"")</f>
        <v/>
      </c>
      <c r="BN142">
        <f>IF(AND(AO142&lt;&gt;"",COUNTIF($S$49:$U$49,$B21)+COUNTIF($S$49:$U$49,$B21&amp;" ~*")=0),($R21+COUNTIF($H$140:$H141,$B21)+COUNTIF($H$140:$H141,$B21&amp;" ~*"))*1000+IF(AO142&gt;100,500,0)+2,"")</f>
        <v/>
      </c>
      <c r="BO142">
        <f>IF(AND(AP142&lt;&gt;"",COUNTIF($S$49:$U$49,$B22)+COUNTIF($S$49:$U$49,$B22&amp;" ~*")=0),($R22+COUNTIF($H$140:$H141,$B22)+COUNTIF($H$140:$H141,$B22&amp;" ~*"))*1000+IF(AP142&gt;100,500,0)+3,"")</f>
        <v/>
      </c>
      <c r="BP142">
        <f>IF(AND(AQ142&lt;&gt;"",COUNTIF($S$49:$U$49,$B23)+COUNTIF($S$49:$U$49,$B23&amp;" ~*")=0),($R23+COUNTIF($H$140:$H141,$B23)+COUNTIF($H$140:$H141,$B23&amp;" ~*"))*1000+IF(AQ142&gt;100,500,0)+4,"")</f>
        <v/>
      </c>
      <c r="BQ142">
        <f>IF(AND(AR142&lt;&gt;"",COUNTIF($S$49:$U$49,$B24)+COUNTIF($S$49:$U$49,$B24&amp;" ~*")=0),($R24+COUNTIF($H$140:$H141,$B24)+COUNTIF($H$140:$H141,$B24&amp;" ~*"))*1000+IF(AR142&gt;100,500,0)+5,"")</f>
        <v/>
      </c>
      <c r="BR142">
        <f>IF(AND(AS142&lt;&gt;"",COUNTIF($S$49:$U$49,$B25)+COUNTIF($S$49:$U$49,$B25&amp;" ~*")=0),($R25+COUNTIF($H$140:$H141,$B25)+COUNTIF($H$140:$H141,$B25&amp;" ~*"))*1000+IF(AS142&gt;100,500,0)+6,"")</f>
        <v/>
      </c>
      <c r="BS142">
        <f>IF(AND(AT142&lt;&gt;"",COUNTIF($S$49:$U$49,$B26)+COUNTIF($S$49:$U$49,$B26&amp;" ~*")=0),($R26+COUNTIF($H$140:$H141,$B26)+COUNTIF($H$140:$H141,$B26&amp;" ~*"))*1000+IF(AT142&gt;100,500,0)+7,"")</f>
        <v/>
      </c>
      <c r="BT142">
        <f>IF(AND(AU142&lt;&gt;"",COUNTIF($S$49:$U$49,$B27)+COUNTIF($S$49:$U$49,$B27&amp;" ~*")=0),($R27+COUNTIF($H$140:$H141,$B27)+COUNTIF($H$140:$H141,$B27&amp;" ~*"))*1000+IF(AU142&gt;100,500,0)+8,"")</f>
        <v/>
      </c>
      <c r="BU142">
        <f>IF(AND(AV142&lt;&gt;"",COUNTIF($S$49:$U$49,$B28)+COUNTIF($S$49:$U$49,$B28&amp;" ~*")=0),($R28+COUNTIF($H$140:$H141,$B28)+COUNTIF($H$140:$H141,$B28&amp;" ~*"))*1000+IF(AV142&gt;100,500,0)+9,"")</f>
        <v/>
      </c>
      <c r="BV142">
        <f>IF(AND(AW142&lt;&gt;"",COUNTIF($S$49:$U$49,$B29)+COUNTIF($S$49:$U$49,$B29&amp;" ~*")=0),($R29+COUNTIF($H$140:$H141,$B29)+COUNTIF($H$140:$H141,$B29&amp;" ~*"))*1000+IF(AW142&gt;100,500,0)+10,"")</f>
        <v/>
      </c>
      <c r="BW142">
        <f>IF(AND(AX142&lt;&gt;"",COUNTIF($S$49:$U$49,$B30)+COUNTIF($S$49:$U$49,$B30&amp;" ~*")=0),($R30+COUNTIF($H$140:$H141,$B30)+COUNTIF($H$140:$H141,$B30&amp;" ~*"))*1000+IF(AX142&gt;100,500,0)+11,"")</f>
        <v/>
      </c>
      <c r="BX142">
        <f>IF(AND(AY142&lt;&gt;"",COUNTIF($S$49:$U$49,$B31)+COUNTIF($S$49:$U$49,$B31&amp;" ~*")=0),($R31+COUNTIF($H$140:$H141,$B31)+COUNTIF($H$140:$H141,$B31&amp;" ~*"))*1000+IF(AY142&gt;100,500,0)+12,"")</f>
        <v/>
      </c>
      <c r="BY142">
        <f>IF(AND(AZ142&lt;&gt;"",COUNTIF($S$49:$U$49,$B32)+COUNTIF($S$49:$U$49,$B32&amp;" ~*")=0),($R32+COUNTIF($H$140:$H141,$B32)+COUNTIF($H$140:$H141,$B32&amp;" ~*"))*1000+IF(AZ142&gt;100,500,0)+13,"")</f>
        <v/>
      </c>
      <c r="BZ142">
        <f>IF(AND(BA142&lt;&gt;"",COUNTIF($S$49:$U$49,$B33)+COUNTIF($S$49:$U$49,$B33&amp;" ~*")=0),($R33+COUNTIF($H$140:$H141,$B33)+COUNTIF($H$140:$H141,$B33&amp;" ~*"))*1000+IF(BA142&gt;100,500,0)+14,"")</f>
        <v/>
      </c>
      <c r="CA142">
        <f>IF(AND(BB142&lt;&gt;"",COUNTIF($S$49:$U$49,$B34)+COUNTIF($S$49:$U$49,$B34&amp;" ~*")=0),($R34+COUNTIF($H$140:$H141,$B34)+COUNTIF($H$140:$H141,$B34&amp;" ~*"))*1000+IF(BB142&gt;100,500,0)+15,"")</f>
        <v/>
      </c>
      <c r="CB142">
        <f>IF(AND(BC142&lt;&gt;"",COUNTIF($S$49:$U$49,$B35)+COUNTIF($S$49:$U$49,$B35&amp;" ~*")=0),($R35+COUNTIF($H$140:$H141,$B35)+COUNTIF($H$140:$H141,$B35&amp;" ~*"))*1000+IF(BC142&gt;100,500,0)+16,"")</f>
        <v/>
      </c>
      <c r="CC142">
        <f>IF(AND(BD142&lt;&gt;"",COUNTIF($S$49:$U$49,$B36)+COUNTIF($S$49:$U$49,$B36&amp;" ~*")=0),($R36+COUNTIF($H$140:$H141,$B36)+COUNTIF($H$140:$H141,$B36&amp;" ~*"))*1000+IF(BD142&gt;100,500,0)+17,"")</f>
        <v/>
      </c>
      <c r="CD142">
        <f>IF(AND(BE142&lt;&gt;"",COUNTIF($S$49:$U$49,$B37)+COUNTIF($S$49:$U$49,$B37&amp;" ~*")=0),($R37+COUNTIF($H$140:$H141,$B37)+COUNTIF($H$140:$H141,$B37&amp;" ~*"))*1000+IF(BE142&gt;100,500,0)+18,"")</f>
        <v/>
      </c>
      <c r="CE142">
        <f>IF(AND(BF142&lt;&gt;"",COUNTIF($S$49:$U$49,$B38)+COUNTIF($S$49:$U$49,$B38&amp;" ~*")=0),($R38+COUNTIF($H$140:$H141,$B38)+COUNTIF($H$140:$H141,$B38&amp;" ~*"))*1000+IF(BF142&gt;100,500,0)+19,"")</f>
        <v/>
      </c>
      <c r="CF142">
        <f>IF(AND(BG142&lt;&gt;"",COUNTIF($S$49:$U$49,$B39)+COUNTIF($S$49:$U$49,$B39&amp;" ~*")=0),($R39+COUNTIF($H$140:$H141,$B39)+COUNTIF($H$140:$H141,$B39&amp;" ~*"))*1000+IF(BG142&gt;100,500,0)+20,"")</f>
        <v/>
      </c>
      <c r="CG142">
        <f>IF(AND(BH142&lt;&gt;"",COUNTIF($S$49:$U$49,$B40)+COUNTIF($S$49:$U$49,$B40&amp;" ~*")=0),($R40+COUNTIF($H$140:$H141,$B40)+COUNTIF($H$140:$H141,$B40&amp;" ~*"))*1000+IF(BH142&gt;100,500,0)+21,"")</f>
        <v/>
      </c>
      <c r="CH142">
        <f>IF(AND(BI142&lt;&gt;"",COUNTIF($S$49:$U$49,$B41)+COUNTIF($S$49:$U$49,$B41&amp;" ~*")=0),($R41+COUNTIF($H$140:$H141,$B41)+COUNTIF($H$140:$H141,$B41&amp;" ~*"))*1000+IF(BI142&gt;100,500,0)+22,"")</f>
        <v/>
      </c>
      <c r="CI142">
        <f>IF(AND(BJ142&lt;&gt;"",COUNTIF($S$49:$U$49,$B42)+COUNTIF($S$49:$U$49,$B42&amp;" ~*")=0),($R42+COUNTIF($H$140:$H141,$B42)+COUNTIF($H$140:$H141,$B42&amp;" ~*"))*1000+IF(BJ142&gt;100,500,0)+23,"")</f>
        <v/>
      </c>
      <c r="CJ142">
        <f>IF(AND(BK142&lt;&gt;"",COUNTIF($S$49:$U$49,$B43)+COUNTIF($S$49:$U$49,$B43&amp;" ~*")=0),($R43+COUNTIF($H$140:$H141,$B43)+COUNTIF($H$140:$H141,$B43&amp;" ~*"))*1000+IF(BK142&gt;100,500,0)+24,"")</f>
        <v/>
      </c>
    </row>
    <row r="143">
      <c r="A143" t="n">
        <v>5</v>
      </c>
      <c r="B143" t="n">
        <v>4</v>
      </c>
      <c r="C143">
        <f>$B$50</f>
        <v/>
      </c>
      <c r="D143" t="inlineStr">
        <is>
          <t>Fri</t>
        </is>
      </c>
      <c r="E143">
        <f>IF(C143="","",N($AB$50))</f>
        <v/>
      </c>
      <c r="F143">
        <f>IF(C143="","",COUNTIF($S$50:$U$50,"?*"))</f>
        <v/>
      </c>
      <c r="G143">
        <f>IF(C143="","",MAX(0,E143-F143))</f>
        <v/>
      </c>
      <c r="H143">
        <f>IF(N(G143)=0,"",IF(COUNT(BM143:CJ143)=0,"no-one eligible",INDEX(Engine!$B$20:$B$43,MOD(MIN(BM143:CJ143),500))&amp;IF(MOD(MIN(BM143:CJ143),1000)&gt;=500," *","")))</f>
        <v/>
      </c>
      <c r="I143">
        <f>IF(N(G143)&gt;0,COUNTIF($G$68:G143,"&gt;0"),"")</f>
        <v/>
      </c>
      <c r="J143">
        <f>IF(C143="","",IF($S$50="",0,IF(IFERROR(INDEX(Setup!$O$6:$AL$23,4,MATCH(SUBSTITUTE($S$50," *",""),Setup!$B$6:$B$29,0)),"")="",1,0))+IF($T$50="",0,IF(IFERROR(INDEX(Setup!$O$6:$AL$23,4,MATCH(SUBSTITUTE($T$50," *",""),Setup!$B$6:$B$29,0)),"")="",1,0))+IF($U$50="",0,IF(IFERROR(INDEX(Setup!$O$6:$AL$23,4,MATCH(SUBSTITUTE($U$50," *",""),Setup!$B$6:$B$29,0)),"")="",1,0)))</f>
        <v/>
      </c>
      <c r="K143">
        <f>IF($B$12+4=TODAY(),1,0)</f>
        <v/>
      </c>
      <c r="N143">
        <f>COUNT($AN143:$BK143)</f>
        <v/>
      </c>
      <c r="O143">
        <f>IF(1&gt;$N143,"",INDEX(Engine!$B$20:$B$43,MOD(SMALL($AN143:$BK143,1),100))&amp;IF(SMALL($AN143:$BK143,1)&gt;100," *",""))</f>
        <v/>
      </c>
      <c r="P143">
        <f>IF(2&gt;$N143,"",INDEX(Engine!$B$20:$B$43,MOD(SMALL($AN143:$BK143,2),100))&amp;IF(SMALL($AN143:$BK143,2)&gt;100," *",""))</f>
        <v/>
      </c>
      <c r="Q143">
        <f>IF(3&gt;$N143,"",INDEX(Engine!$B$20:$B$43,MOD(SMALL($AN143:$BK143,3),100))&amp;IF(SMALL($AN143:$BK143,3)&gt;100," *",""))</f>
        <v/>
      </c>
      <c r="R143">
        <f>IF(4&gt;$N143,"",INDEX(Engine!$B$20:$B$43,MOD(SMALL($AN143:$BK143,4),100))&amp;IF(SMALL($AN143:$BK143,4)&gt;100," *",""))</f>
        <v/>
      </c>
      <c r="S143">
        <f>IF(5&gt;$N143,"",INDEX(Engine!$B$20:$B$43,MOD(SMALL($AN143:$BK143,5),100))&amp;IF(SMALL($AN143:$BK143,5)&gt;100," *",""))</f>
        <v/>
      </c>
      <c r="T143">
        <f>IF(6&gt;$N143,"",INDEX(Engine!$B$20:$B$43,MOD(SMALL($AN143:$BK143,6),100))&amp;IF(SMALL($AN143:$BK143,6)&gt;100," *",""))</f>
        <v/>
      </c>
      <c r="U143">
        <f>IF(7&gt;$N143,"",INDEX(Engine!$B$20:$B$43,MOD(SMALL($AN143:$BK143,7),100))&amp;IF(SMALL($AN143:$BK143,7)&gt;100," *",""))</f>
        <v/>
      </c>
      <c r="V143">
        <f>IF(8&gt;$N143,"",INDEX(Engine!$B$20:$B$43,MOD(SMALL($AN143:$BK143,8),100))&amp;IF(SMALL($AN143:$BK143,8)&gt;100," *",""))</f>
        <v/>
      </c>
      <c r="W143">
        <f>IF(9&gt;$N143,"",INDEX(Engine!$B$20:$B$43,MOD(SMALL($AN143:$BK143,9),100))&amp;IF(SMALL($AN143:$BK143,9)&gt;100," *",""))</f>
        <v/>
      </c>
      <c r="X143">
        <f>IF(10&gt;$N143,"",INDEX(Engine!$B$20:$B$43,MOD(SMALL($AN143:$BK143,10),100))&amp;IF(SMALL($AN143:$BK143,10)&gt;100," *",""))</f>
        <v/>
      </c>
      <c r="Y143">
        <f>IF(11&gt;$N143,"",INDEX(Engine!$B$20:$B$43,MOD(SMALL($AN143:$BK143,11),100))&amp;IF(SMALL($AN143:$BK143,11)&gt;100," *",""))</f>
        <v/>
      </c>
      <c r="Z143">
        <f>IF(12&gt;$N143,"",INDEX(Engine!$B$20:$B$43,MOD(SMALL($AN143:$BK143,12),100))&amp;IF(SMALL($AN143:$BK143,12)&gt;100," *",""))</f>
        <v/>
      </c>
      <c r="AA143">
        <f>IF(13&gt;$N143,"",INDEX(Engine!$B$20:$B$43,MOD(SMALL($AN143:$BK143,13),100))&amp;IF(SMALL($AN143:$BK143,13)&gt;100," *",""))</f>
        <v/>
      </c>
      <c r="AB143">
        <f>IF(14&gt;$N143,"",INDEX(Engine!$B$20:$B$43,MOD(SMALL($AN143:$BK143,14),100))&amp;IF(SMALL($AN143:$BK143,14)&gt;100," *",""))</f>
        <v/>
      </c>
      <c r="AC143">
        <f>IF(15&gt;$N143,"",INDEX(Engine!$B$20:$B$43,MOD(SMALL($AN143:$BK143,15),100))&amp;IF(SMALL($AN143:$BK143,15)&gt;100," *",""))</f>
        <v/>
      </c>
      <c r="AD143">
        <f>IF(16&gt;$N143,"",INDEX(Engine!$B$20:$B$43,MOD(SMALL($AN143:$BK143,16),100))&amp;IF(SMALL($AN143:$BK143,16)&gt;100," *",""))</f>
        <v/>
      </c>
      <c r="AE143">
        <f>IF(17&gt;$N143,"",INDEX(Engine!$B$20:$B$43,MOD(SMALL($AN143:$BK143,17),100))&amp;IF(SMALL($AN143:$BK143,17)&gt;100," *",""))</f>
        <v/>
      </c>
      <c r="AF143">
        <f>IF(18&gt;$N143,"",INDEX(Engine!$B$20:$B$43,MOD(SMALL($AN143:$BK143,18),100))&amp;IF(SMALL($AN143:$BK143,18)&gt;100," *",""))</f>
        <v/>
      </c>
      <c r="AG143">
        <f>IF(19&gt;$N143,"",INDEX(Engine!$B$20:$B$43,MOD(SMALL($AN143:$BK143,19),100))&amp;IF(SMALL($AN143:$BK143,19)&gt;100," *",""))</f>
        <v/>
      </c>
      <c r="AH143">
        <f>IF(20&gt;$N143,"",INDEX(Engine!$B$20:$B$43,MOD(SMALL($AN143:$BK143,20),100))&amp;IF(SMALL($AN143:$BK143,20)&gt;100," *",""))</f>
        <v/>
      </c>
      <c r="AI143">
        <f>IF(21&gt;$N143,"",INDEX(Engine!$B$20:$B$43,MOD(SMALL($AN143:$BK143,21),100))&amp;IF(SMALL($AN143:$BK143,21)&gt;100," *",""))</f>
        <v/>
      </c>
      <c r="AJ143">
        <f>IF(22&gt;$N143,"",INDEX(Engine!$B$20:$B$43,MOD(SMALL($AN143:$BK143,22),100))&amp;IF(SMALL($AN143:$BK143,22)&gt;100," *",""))</f>
        <v/>
      </c>
      <c r="AK143">
        <f>IF(23&gt;$N143,"",INDEX(Engine!$B$20:$B$43,MOD(SMALL($AN143:$BK143,23),100))&amp;IF(SMALL($AN143:$BK143,23)&gt;100," *",""))</f>
        <v/>
      </c>
      <c r="AL143">
        <f>IF(24&gt;$N143,"",INDEX(Engine!$B$20:$B$43,MOD(SMALL($AN143:$BK143,24),100))&amp;IF(SMALL($AN143:$BK143,24)&gt;100," *",""))</f>
        <v/>
      </c>
      <c r="AN143">
        <f>IF(AND($C20=1,INDEX(Setup!$O$6:$AL$23,4,1)&lt;&gt;"",O20=0),1+IF(INDEX(Setup!$O$6:$AL$23,4,1)="T",100,0),"")</f>
        <v/>
      </c>
      <c r="AO143">
        <f>IF(AND($C21=1,INDEX(Setup!$O$6:$AL$23,4,2)&lt;&gt;"",O21=0),2+IF(INDEX(Setup!$O$6:$AL$23,4,2)="T",100,0),"")</f>
        <v/>
      </c>
      <c r="AP143">
        <f>IF(AND($C22=1,INDEX(Setup!$O$6:$AL$23,4,3)&lt;&gt;"",O22=0),3+IF(INDEX(Setup!$O$6:$AL$23,4,3)="T",100,0),"")</f>
        <v/>
      </c>
      <c r="AQ143">
        <f>IF(AND($C23=1,INDEX(Setup!$O$6:$AL$23,4,4)&lt;&gt;"",O23=0),4+IF(INDEX(Setup!$O$6:$AL$23,4,4)="T",100,0),"")</f>
        <v/>
      </c>
      <c r="AR143">
        <f>IF(AND($C24=1,INDEX(Setup!$O$6:$AL$23,4,5)&lt;&gt;"",O24=0),5+IF(INDEX(Setup!$O$6:$AL$23,4,5)="T",100,0),"")</f>
        <v/>
      </c>
      <c r="AS143">
        <f>IF(AND($C25=1,INDEX(Setup!$O$6:$AL$23,4,6)&lt;&gt;"",O25=0),6+IF(INDEX(Setup!$O$6:$AL$23,4,6)="T",100,0),"")</f>
        <v/>
      </c>
      <c r="AT143">
        <f>IF(AND($C26=1,INDEX(Setup!$O$6:$AL$23,4,7)&lt;&gt;"",O26=0),7+IF(INDEX(Setup!$O$6:$AL$23,4,7)="T",100,0),"")</f>
        <v/>
      </c>
      <c r="AU143">
        <f>IF(AND($C27=1,INDEX(Setup!$O$6:$AL$23,4,8)&lt;&gt;"",O27=0),8+IF(INDEX(Setup!$O$6:$AL$23,4,8)="T",100,0),"")</f>
        <v/>
      </c>
      <c r="AV143">
        <f>IF(AND($C28=1,INDEX(Setup!$O$6:$AL$23,4,9)&lt;&gt;"",O28=0),9+IF(INDEX(Setup!$O$6:$AL$23,4,9)="T",100,0),"")</f>
        <v/>
      </c>
      <c r="AW143">
        <f>IF(AND($C29=1,INDEX(Setup!$O$6:$AL$23,4,10)&lt;&gt;"",O29=0),10+IF(INDEX(Setup!$O$6:$AL$23,4,10)="T",100,0),"")</f>
        <v/>
      </c>
      <c r="AX143">
        <f>IF(AND($C30=1,INDEX(Setup!$O$6:$AL$23,4,11)&lt;&gt;"",O30=0),11+IF(INDEX(Setup!$O$6:$AL$23,4,11)="T",100,0),"")</f>
        <v/>
      </c>
      <c r="AY143">
        <f>IF(AND($C31=1,INDEX(Setup!$O$6:$AL$23,4,12)&lt;&gt;"",O31=0),12+IF(INDEX(Setup!$O$6:$AL$23,4,12)="T",100,0),"")</f>
        <v/>
      </c>
      <c r="AZ143">
        <f>IF(AND($C32=1,INDEX(Setup!$O$6:$AL$23,4,13)&lt;&gt;"",O32=0),13+IF(INDEX(Setup!$O$6:$AL$23,4,13)="T",100,0),"")</f>
        <v/>
      </c>
      <c r="BA143">
        <f>IF(AND($C33=1,INDEX(Setup!$O$6:$AL$23,4,14)&lt;&gt;"",O33=0),14+IF(INDEX(Setup!$O$6:$AL$23,4,14)="T",100,0),"")</f>
        <v/>
      </c>
      <c r="BB143">
        <f>IF(AND($C34=1,INDEX(Setup!$O$6:$AL$23,4,15)&lt;&gt;"",O34=0),15+IF(INDEX(Setup!$O$6:$AL$23,4,15)="T",100,0),"")</f>
        <v/>
      </c>
      <c r="BC143">
        <f>IF(AND($C35=1,INDEX(Setup!$O$6:$AL$23,4,16)&lt;&gt;"",O35=0),16+IF(INDEX(Setup!$O$6:$AL$23,4,16)="T",100,0),"")</f>
        <v/>
      </c>
      <c r="BD143">
        <f>IF(AND($C36=1,INDEX(Setup!$O$6:$AL$23,4,17)&lt;&gt;"",O36=0),17+IF(INDEX(Setup!$O$6:$AL$23,4,17)="T",100,0),"")</f>
        <v/>
      </c>
      <c r="BE143">
        <f>IF(AND($C37=1,INDEX(Setup!$O$6:$AL$23,4,18)&lt;&gt;"",O37=0),18+IF(INDEX(Setup!$O$6:$AL$23,4,18)="T",100,0),"")</f>
        <v/>
      </c>
      <c r="BF143">
        <f>IF(AND($C38=1,INDEX(Setup!$O$6:$AL$23,4,19)&lt;&gt;"",O38=0),19+IF(INDEX(Setup!$O$6:$AL$23,4,19)="T",100,0),"")</f>
        <v/>
      </c>
      <c r="BG143">
        <f>IF(AND($C39=1,INDEX(Setup!$O$6:$AL$23,4,20)&lt;&gt;"",O39=0),20+IF(INDEX(Setup!$O$6:$AL$23,4,20)="T",100,0),"")</f>
        <v/>
      </c>
      <c r="BH143">
        <f>IF(AND($C40=1,INDEX(Setup!$O$6:$AL$23,4,21)&lt;&gt;"",O40=0),21+IF(INDEX(Setup!$O$6:$AL$23,4,21)="T",100,0),"")</f>
        <v/>
      </c>
      <c r="BI143">
        <f>IF(AND($C41=1,INDEX(Setup!$O$6:$AL$23,4,22)&lt;&gt;"",O41=0),22+IF(INDEX(Setup!$O$6:$AL$23,4,22)="T",100,0),"")</f>
        <v/>
      </c>
      <c r="BJ143">
        <f>IF(AND($C42=1,INDEX(Setup!$O$6:$AL$23,4,23)&lt;&gt;"",O42=0),23+IF(INDEX(Setup!$O$6:$AL$23,4,23)="T",100,0),"")</f>
        <v/>
      </c>
      <c r="BK143">
        <f>IF(AND($C43=1,INDEX(Setup!$O$6:$AL$23,4,24)&lt;&gt;"",O43=0),24+IF(INDEX(Setup!$O$6:$AL$23,4,24)="T",100,0),"")</f>
        <v/>
      </c>
      <c r="BM143">
        <f>IF(AND(AN143&lt;&gt;"",COUNTIF($S$50:$U$50,$B20)+COUNTIF($S$50:$U$50,$B20&amp;" ~*")=0),($R20+COUNTIF($H$140:$H142,$B20)+COUNTIF($H$140:$H142,$B20&amp;" ~*"))*1000+IF(AN143&gt;100,500,0)+1,"")</f>
        <v/>
      </c>
      <c r="BN143">
        <f>IF(AND(AO143&lt;&gt;"",COUNTIF($S$50:$U$50,$B21)+COUNTIF($S$50:$U$50,$B21&amp;" ~*")=0),($R21+COUNTIF($H$140:$H142,$B21)+COUNTIF($H$140:$H142,$B21&amp;" ~*"))*1000+IF(AO143&gt;100,500,0)+2,"")</f>
        <v/>
      </c>
      <c r="BO143">
        <f>IF(AND(AP143&lt;&gt;"",COUNTIF($S$50:$U$50,$B22)+COUNTIF($S$50:$U$50,$B22&amp;" ~*")=0),($R22+COUNTIF($H$140:$H142,$B22)+COUNTIF($H$140:$H142,$B22&amp;" ~*"))*1000+IF(AP143&gt;100,500,0)+3,"")</f>
        <v/>
      </c>
      <c r="BP143">
        <f>IF(AND(AQ143&lt;&gt;"",COUNTIF($S$50:$U$50,$B23)+COUNTIF($S$50:$U$50,$B23&amp;" ~*")=0),($R23+COUNTIF($H$140:$H142,$B23)+COUNTIF($H$140:$H142,$B23&amp;" ~*"))*1000+IF(AQ143&gt;100,500,0)+4,"")</f>
        <v/>
      </c>
      <c r="BQ143">
        <f>IF(AND(AR143&lt;&gt;"",COUNTIF($S$50:$U$50,$B24)+COUNTIF($S$50:$U$50,$B24&amp;" ~*")=0),($R24+COUNTIF($H$140:$H142,$B24)+COUNTIF($H$140:$H142,$B24&amp;" ~*"))*1000+IF(AR143&gt;100,500,0)+5,"")</f>
        <v/>
      </c>
      <c r="BR143">
        <f>IF(AND(AS143&lt;&gt;"",COUNTIF($S$50:$U$50,$B25)+COUNTIF($S$50:$U$50,$B25&amp;" ~*")=0),($R25+COUNTIF($H$140:$H142,$B25)+COUNTIF($H$140:$H142,$B25&amp;" ~*"))*1000+IF(AS143&gt;100,500,0)+6,"")</f>
        <v/>
      </c>
      <c r="BS143">
        <f>IF(AND(AT143&lt;&gt;"",COUNTIF($S$50:$U$50,$B26)+COUNTIF($S$50:$U$50,$B26&amp;" ~*")=0),($R26+COUNTIF($H$140:$H142,$B26)+COUNTIF($H$140:$H142,$B26&amp;" ~*"))*1000+IF(AT143&gt;100,500,0)+7,"")</f>
        <v/>
      </c>
      <c r="BT143">
        <f>IF(AND(AU143&lt;&gt;"",COUNTIF($S$50:$U$50,$B27)+COUNTIF($S$50:$U$50,$B27&amp;" ~*")=0),($R27+COUNTIF($H$140:$H142,$B27)+COUNTIF($H$140:$H142,$B27&amp;" ~*"))*1000+IF(AU143&gt;100,500,0)+8,"")</f>
        <v/>
      </c>
      <c r="BU143">
        <f>IF(AND(AV143&lt;&gt;"",COUNTIF($S$50:$U$50,$B28)+COUNTIF($S$50:$U$50,$B28&amp;" ~*")=0),($R28+COUNTIF($H$140:$H142,$B28)+COUNTIF($H$140:$H142,$B28&amp;" ~*"))*1000+IF(AV143&gt;100,500,0)+9,"")</f>
        <v/>
      </c>
      <c r="BV143">
        <f>IF(AND(AW143&lt;&gt;"",COUNTIF($S$50:$U$50,$B29)+COUNTIF($S$50:$U$50,$B29&amp;" ~*")=0),($R29+COUNTIF($H$140:$H142,$B29)+COUNTIF($H$140:$H142,$B29&amp;" ~*"))*1000+IF(AW143&gt;100,500,0)+10,"")</f>
        <v/>
      </c>
      <c r="BW143">
        <f>IF(AND(AX143&lt;&gt;"",COUNTIF($S$50:$U$50,$B30)+COUNTIF($S$50:$U$50,$B30&amp;" ~*")=0),($R30+COUNTIF($H$140:$H142,$B30)+COUNTIF($H$140:$H142,$B30&amp;" ~*"))*1000+IF(AX143&gt;100,500,0)+11,"")</f>
        <v/>
      </c>
      <c r="BX143">
        <f>IF(AND(AY143&lt;&gt;"",COUNTIF($S$50:$U$50,$B31)+COUNTIF($S$50:$U$50,$B31&amp;" ~*")=0),($R31+COUNTIF($H$140:$H142,$B31)+COUNTIF($H$140:$H142,$B31&amp;" ~*"))*1000+IF(AY143&gt;100,500,0)+12,"")</f>
        <v/>
      </c>
      <c r="BY143">
        <f>IF(AND(AZ143&lt;&gt;"",COUNTIF($S$50:$U$50,$B32)+COUNTIF($S$50:$U$50,$B32&amp;" ~*")=0),($R32+COUNTIF($H$140:$H142,$B32)+COUNTIF($H$140:$H142,$B32&amp;" ~*"))*1000+IF(AZ143&gt;100,500,0)+13,"")</f>
        <v/>
      </c>
      <c r="BZ143">
        <f>IF(AND(BA143&lt;&gt;"",COUNTIF($S$50:$U$50,$B33)+COUNTIF($S$50:$U$50,$B33&amp;" ~*")=0),($R33+COUNTIF($H$140:$H142,$B33)+COUNTIF($H$140:$H142,$B33&amp;" ~*"))*1000+IF(BA143&gt;100,500,0)+14,"")</f>
        <v/>
      </c>
      <c r="CA143">
        <f>IF(AND(BB143&lt;&gt;"",COUNTIF($S$50:$U$50,$B34)+COUNTIF($S$50:$U$50,$B34&amp;" ~*")=0),($R34+COUNTIF($H$140:$H142,$B34)+COUNTIF($H$140:$H142,$B34&amp;" ~*"))*1000+IF(BB143&gt;100,500,0)+15,"")</f>
        <v/>
      </c>
      <c r="CB143">
        <f>IF(AND(BC143&lt;&gt;"",COUNTIF($S$50:$U$50,$B35)+COUNTIF($S$50:$U$50,$B35&amp;" ~*")=0),($R35+COUNTIF($H$140:$H142,$B35)+COUNTIF($H$140:$H142,$B35&amp;" ~*"))*1000+IF(BC143&gt;100,500,0)+16,"")</f>
        <v/>
      </c>
      <c r="CC143">
        <f>IF(AND(BD143&lt;&gt;"",COUNTIF($S$50:$U$50,$B36)+COUNTIF($S$50:$U$50,$B36&amp;" ~*")=0),($R36+COUNTIF($H$140:$H142,$B36)+COUNTIF($H$140:$H142,$B36&amp;" ~*"))*1000+IF(BD143&gt;100,500,0)+17,"")</f>
        <v/>
      </c>
      <c r="CD143">
        <f>IF(AND(BE143&lt;&gt;"",COUNTIF($S$50:$U$50,$B37)+COUNTIF($S$50:$U$50,$B37&amp;" ~*")=0),($R37+COUNTIF($H$140:$H142,$B37)+COUNTIF($H$140:$H142,$B37&amp;" ~*"))*1000+IF(BE143&gt;100,500,0)+18,"")</f>
        <v/>
      </c>
      <c r="CE143">
        <f>IF(AND(BF143&lt;&gt;"",COUNTIF($S$50:$U$50,$B38)+COUNTIF($S$50:$U$50,$B38&amp;" ~*")=0),($R38+COUNTIF($H$140:$H142,$B38)+COUNTIF($H$140:$H142,$B38&amp;" ~*"))*1000+IF(BF143&gt;100,500,0)+19,"")</f>
        <v/>
      </c>
      <c r="CF143">
        <f>IF(AND(BG143&lt;&gt;"",COUNTIF($S$50:$U$50,$B39)+COUNTIF($S$50:$U$50,$B39&amp;" ~*")=0),($R39+COUNTIF($H$140:$H142,$B39)+COUNTIF($H$140:$H142,$B39&amp;" ~*"))*1000+IF(BG143&gt;100,500,0)+20,"")</f>
        <v/>
      </c>
      <c r="CG143">
        <f>IF(AND(BH143&lt;&gt;"",COUNTIF($S$50:$U$50,$B40)+COUNTIF($S$50:$U$50,$B40&amp;" ~*")=0),($R40+COUNTIF($H$140:$H142,$B40)+COUNTIF($H$140:$H142,$B40&amp;" ~*"))*1000+IF(BH143&gt;100,500,0)+21,"")</f>
        <v/>
      </c>
      <c r="CH143">
        <f>IF(AND(BI143&lt;&gt;"",COUNTIF($S$50:$U$50,$B41)+COUNTIF($S$50:$U$50,$B41&amp;" ~*")=0),($R41+COUNTIF($H$140:$H142,$B41)+COUNTIF($H$140:$H142,$B41&amp;" ~*"))*1000+IF(BI143&gt;100,500,0)+22,"")</f>
        <v/>
      </c>
      <c r="CI143">
        <f>IF(AND(BJ143&lt;&gt;"",COUNTIF($S$50:$U$50,$B42)+COUNTIF($S$50:$U$50,$B42&amp;" ~*")=0),($R42+COUNTIF($H$140:$H142,$B42)+COUNTIF($H$140:$H142,$B42&amp;" ~*"))*1000+IF(BJ143&gt;100,500,0)+23,"")</f>
        <v/>
      </c>
      <c r="CJ143">
        <f>IF(AND(BK143&lt;&gt;"",COUNTIF($S$50:$U$50,$B43)+COUNTIF($S$50:$U$50,$B43&amp;" ~*")=0),($R43+COUNTIF($H$140:$H142,$B43)+COUNTIF($H$140:$H142,$B43&amp;" ~*"))*1000+IF(BK143&gt;100,500,0)+24,"")</f>
        <v/>
      </c>
    </row>
    <row r="144">
      <c r="A144" t="n">
        <v>5</v>
      </c>
      <c r="B144" t="n">
        <v>5</v>
      </c>
      <c r="C144">
        <f>$B$51</f>
        <v/>
      </c>
      <c r="D144" t="inlineStr">
        <is>
          <t>Fri</t>
        </is>
      </c>
      <c r="E144">
        <f>IF(C144="","",N($AB$51))</f>
        <v/>
      </c>
      <c r="F144">
        <f>IF(C144="","",COUNTIF($S$51:$U$51,"?*"))</f>
        <v/>
      </c>
      <c r="G144">
        <f>IF(C144="","",MAX(0,E144-F144))</f>
        <v/>
      </c>
      <c r="H144">
        <f>IF(N(G144)=0,"",IF(COUNT(BM144:CJ144)=0,"no-one eligible",INDEX(Engine!$B$20:$B$43,MOD(MIN(BM144:CJ144),500))&amp;IF(MOD(MIN(BM144:CJ144),1000)&gt;=500," *","")))</f>
        <v/>
      </c>
      <c r="I144">
        <f>IF(N(G144)&gt;0,COUNTIF($G$68:G144,"&gt;0"),"")</f>
        <v/>
      </c>
      <c r="J144">
        <f>IF(C144="","",IF($S$51="",0,IF(IFERROR(INDEX(Setup!$O$6:$AL$23,5,MATCH(SUBSTITUTE($S$51," *",""),Setup!$B$6:$B$29,0)),"")="",1,0))+IF($T$51="",0,IF(IFERROR(INDEX(Setup!$O$6:$AL$23,5,MATCH(SUBSTITUTE($T$51," *",""),Setup!$B$6:$B$29,0)),"")="",1,0))+IF($U$51="",0,IF(IFERROR(INDEX(Setup!$O$6:$AL$23,5,MATCH(SUBSTITUTE($U$51," *",""),Setup!$B$6:$B$29,0)),"")="",1,0)))</f>
        <v/>
      </c>
      <c r="K144">
        <f>IF($B$12+4=TODAY(),1,0)</f>
        <v/>
      </c>
      <c r="N144">
        <f>COUNT($AN144:$BK144)</f>
        <v/>
      </c>
      <c r="O144">
        <f>IF(1&gt;$N144,"",INDEX(Engine!$B$20:$B$43,MOD(SMALL($AN144:$BK144,1),100))&amp;IF(SMALL($AN144:$BK144,1)&gt;100," *",""))</f>
        <v/>
      </c>
      <c r="P144">
        <f>IF(2&gt;$N144,"",INDEX(Engine!$B$20:$B$43,MOD(SMALL($AN144:$BK144,2),100))&amp;IF(SMALL($AN144:$BK144,2)&gt;100," *",""))</f>
        <v/>
      </c>
      <c r="Q144">
        <f>IF(3&gt;$N144,"",INDEX(Engine!$B$20:$B$43,MOD(SMALL($AN144:$BK144,3),100))&amp;IF(SMALL($AN144:$BK144,3)&gt;100," *",""))</f>
        <v/>
      </c>
      <c r="R144">
        <f>IF(4&gt;$N144,"",INDEX(Engine!$B$20:$B$43,MOD(SMALL($AN144:$BK144,4),100))&amp;IF(SMALL($AN144:$BK144,4)&gt;100," *",""))</f>
        <v/>
      </c>
      <c r="S144">
        <f>IF(5&gt;$N144,"",INDEX(Engine!$B$20:$B$43,MOD(SMALL($AN144:$BK144,5),100))&amp;IF(SMALL($AN144:$BK144,5)&gt;100," *",""))</f>
        <v/>
      </c>
      <c r="T144">
        <f>IF(6&gt;$N144,"",INDEX(Engine!$B$20:$B$43,MOD(SMALL($AN144:$BK144,6),100))&amp;IF(SMALL($AN144:$BK144,6)&gt;100," *",""))</f>
        <v/>
      </c>
      <c r="U144">
        <f>IF(7&gt;$N144,"",INDEX(Engine!$B$20:$B$43,MOD(SMALL($AN144:$BK144,7),100))&amp;IF(SMALL($AN144:$BK144,7)&gt;100," *",""))</f>
        <v/>
      </c>
      <c r="V144">
        <f>IF(8&gt;$N144,"",INDEX(Engine!$B$20:$B$43,MOD(SMALL($AN144:$BK144,8),100))&amp;IF(SMALL($AN144:$BK144,8)&gt;100," *",""))</f>
        <v/>
      </c>
      <c r="W144">
        <f>IF(9&gt;$N144,"",INDEX(Engine!$B$20:$B$43,MOD(SMALL($AN144:$BK144,9),100))&amp;IF(SMALL($AN144:$BK144,9)&gt;100," *",""))</f>
        <v/>
      </c>
      <c r="X144">
        <f>IF(10&gt;$N144,"",INDEX(Engine!$B$20:$B$43,MOD(SMALL($AN144:$BK144,10),100))&amp;IF(SMALL($AN144:$BK144,10)&gt;100," *",""))</f>
        <v/>
      </c>
      <c r="Y144">
        <f>IF(11&gt;$N144,"",INDEX(Engine!$B$20:$B$43,MOD(SMALL($AN144:$BK144,11),100))&amp;IF(SMALL($AN144:$BK144,11)&gt;100," *",""))</f>
        <v/>
      </c>
      <c r="Z144">
        <f>IF(12&gt;$N144,"",INDEX(Engine!$B$20:$B$43,MOD(SMALL($AN144:$BK144,12),100))&amp;IF(SMALL($AN144:$BK144,12)&gt;100," *",""))</f>
        <v/>
      </c>
      <c r="AA144">
        <f>IF(13&gt;$N144,"",INDEX(Engine!$B$20:$B$43,MOD(SMALL($AN144:$BK144,13),100))&amp;IF(SMALL($AN144:$BK144,13)&gt;100," *",""))</f>
        <v/>
      </c>
      <c r="AB144">
        <f>IF(14&gt;$N144,"",INDEX(Engine!$B$20:$B$43,MOD(SMALL($AN144:$BK144,14),100))&amp;IF(SMALL($AN144:$BK144,14)&gt;100," *",""))</f>
        <v/>
      </c>
      <c r="AC144">
        <f>IF(15&gt;$N144,"",INDEX(Engine!$B$20:$B$43,MOD(SMALL($AN144:$BK144,15),100))&amp;IF(SMALL($AN144:$BK144,15)&gt;100," *",""))</f>
        <v/>
      </c>
      <c r="AD144">
        <f>IF(16&gt;$N144,"",INDEX(Engine!$B$20:$B$43,MOD(SMALL($AN144:$BK144,16),100))&amp;IF(SMALL($AN144:$BK144,16)&gt;100," *",""))</f>
        <v/>
      </c>
      <c r="AE144">
        <f>IF(17&gt;$N144,"",INDEX(Engine!$B$20:$B$43,MOD(SMALL($AN144:$BK144,17),100))&amp;IF(SMALL($AN144:$BK144,17)&gt;100," *",""))</f>
        <v/>
      </c>
      <c r="AF144">
        <f>IF(18&gt;$N144,"",INDEX(Engine!$B$20:$B$43,MOD(SMALL($AN144:$BK144,18),100))&amp;IF(SMALL($AN144:$BK144,18)&gt;100," *",""))</f>
        <v/>
      </c>
      <c r="AG144">
        <f>IF(19&gt;$N144,"",INDEX(Engine!$B$20:$B$43,MOD(SMALL($AN144:$BK144,19),100))&amp;IF(SMALL($AN144:$BK144,19)&gt;100," *",""))</f>
        <v/>
      </c>
      <c r="AH144">
        <f>IF(20&gt;$N144,"",INDEX(Engine!$B$20:$B$43,MOD(SMALL($AN144:$BK144,20),100))&amp;IF(SMALL($AN144:$BK144,20)&gt;100," *",""))</f>
        <v/>
      </c>
      <c r="AI144">
        <f>IF(21&gt;$N144,"",INDEX(Engine!$B$20:$B$43,MOD(SMALL($AN144:$BK144,21),100))&amp;IF(SMALL($AN144:$BK144,21)&gt;100," *",""))</f>
        <v/>
      </c>
      <c r="AJ144">
        <f>IF(22&gt;$N144,"",INDEX(Engine!$B$20:$B$43,MOD(SMALL($AN144:$BK144,22),100))&amp;IF(SMALL($AN144:$BK144,22)&gt;100," *",""))</f>
        <v/>
      </c>
      <c r="AK144">
        <f>IF(23&gt;$N144,"",INDEX(Engine!$B$20:$B$43,MOD(SMALL($AN144:$BK144,23),100))&amp;IF(SMALL($AN144:$BK144,23)&gt;100," *",""))</f>
        <v/>
      </c>
      <c r="AL144">
        <f>IF(24&gt;$N144,"",INDEX(Engine!$B$20:$B$43,MOD(SMALL($AN144:$BK144,24),100))&amp;IF(SMALL($AN144:$BK144,24)&gt;100," *",""))</f>
        <v/>
      </c>
      <c r="AN144">
        <f>IF(AND($C20=1,INDEX(Setup!$O$6:$AL$23,5,1)&lt;&gt;"",O20=0),1+IF(INDEX(Setup!$O$6:$AL$23,5,1)="T",100,0),"")</f>
        <v/>
      </c>
      <c r="AO144">
        <f>IF(AND($C21=1,INDEX(Setup!$O$6:$AL$23,5,2)&lt;&gt;"",O21=0),2+IF(INDEX(Setup!$O$6:$AL$23,5,2)="T",100,0),"")</f>
        <v/>
      </c>
      <c r="AP144">
        <f>IF(AND($C22=1,INDEX(Setup!$O$6:$AL$23,5,3)&lt;&gt;"",O22=0),3+IF(INDEX(Setup!$O$6:$AL$23,5,3)="T",100,0),"")</f>
        <v/>
      </c>
      <c r="AQ144">
        <f>IF(AND($C23=1,INDEX(Setup!$O$6:$AL$23,5,4)&lt;&gt;"",O23=0),4+IF(INDEX(Setup!$O$6:$AL$23,5,4)="T",100,0),"")</f>
        <v/>
      </c>
      <c r="AR144">
        <f>IF(AND($C24=1,INDEX(Setup!$O$6:$AL$23,5,5)&lt;&gt;"",O24=0),5+IF(INDEX(Setup!$O$6:$AL$23,5,5)="T",100,0),"")</f>
        <v/>
      </c>
      <c r="AS144">
        <f>IF(AND($C25=1,INDEX(Setup!$O$6:$AL$23,5,6)&lt;&gt;"",O25=0),6+IF(INDEX(Setup!$O$6:$AL$23,5,6)="T",100,0),"")</f>
        <v/>
      </c>
      <c r="AT144">
        <f>IF(AND($C26=1,INDEX(Setup!$O$6:$AL$23,5,7)&lt;&gt;"",O26=0),7+IF(INDEX(Setup!$O$6:$AL$23,5,7)="T",100,0),"")</f>
        <v/>
      </c>
      <c r="AU144">
        <f>IF(AND($C27=1,INDEX(Setup!$O$6:$AL$23,5,8)&lt;&gt;"",O27=0),8+IF(INDEX(Setup!$O$6:$AL$23,5,8)="T",100,0),"")</f>
        <v/>
      </c>
      <c r="AV144">
        <f>IF(AND($C28=1,INDEX(Setup!$O$6:$AL$23,5,9)&lt;&gt;"",O28=0),9+IF(INDEX(Setup!$O$6:$AL$23,5,9)="T",100,0),"")</f>
        <v/>
      </c>
      <c r="AW144">
        <f>IF(AND($C29=1,INDEX(Setup!$O$6:$AL$23,5,10)&lt;&gt;"",O29=0),10+IF(INDEX(Setup!$O$6:$AL$23,5,10)="T",100,0),"")</f>
        <v/>
      </c>
      <c r="AX144">
        <f>IF(AND($C30=1,INDEX(Setup!$O$6:$AL$23,5,11)&lt;&gt;"",O30=0),11+IF(INDEX(Setup!$O$6:$AL$23,5,11)="T",100,0),"")</f>
        <v/>
      </c>
      <c r="AY144">
        <f>IF(AND($C31=1,INDEX(Setup!$O$6:$AL$23,5,12)&lt;&gt;"",O31=0),12+IF(INDEX(Setup!$O$6:$AL$23,5,12)="T",100,0),"")</f>
        <v/>
      </c>
      <c r="AZ144">
        <f>IF(AND($C32=1,INDEX(Setup!$O$6:$AL$23,5,13)&lt;&gt;"",O32=0),13+IF(INDEX(Setup!$O$6:$AL$23,5,13)="T",100,0),"")</f>
        <v/>
      </c>
      <c r="BA144">
        <f>IF(AND($C33=1,INDEX(Setup!$O$6:$AL$23,5,14)&lt;&gt;"",O33=0),14+IF(INDEX(Setup!$O$6:$AL$23,5,14)="T",100,0),"")</f>
        <v/>
      </c>
      <c r="BB144">
        <f>IF(AND($C34=1,INDEX(Setup!$O$6:$AL$23,5,15)&lt;&gt;"",O34=0),15+IF(INDEX(Setup!$O$6:$AL$23,5,15)="T",100,0),"")</f>
        <v/>
      </c>
      <c r="BC144">
        <f>IF(AND($C35=1,INDEX(Setup!$O$6:$AL$23,5,16)&lt;&gt;"",O35=0),16+IF(INDEX(Setup!$O$6:$AL$23,5,16)="T",100,0),"")</f>
        <v/>
      </c>
      <c r="BD144">
        <f>IF(AND($C36=1,INDEX(Setup!$O$6:$AL$23,5,17)&lt;&gt;"",O36=0),17+IF(INDEX(Setup!$O$6:$AL$23,5,17)="T",100,0),"")</f>
        <v/>
      </c>
      <c r="BE144">
        <f>IF(AND($C37=1,INDEX(Setup!$O$6:$AL$23,5,18)&lt;&gt;"",O37=0),18+IF(INDEX(Setup!$O$6:$AL$23,5,18)="T",100,0),"")</f>
        <v/>
      </c>
      <c r="BF144">
        <f>IF(AND($C38=1,INDEX(Setup!$O$6:$AL$23,5,19)&lt;&gt;"",O38=0),19+IF(INDEX(Setup!$O$6:$AL$23,5,19)="T",100,0),"")</f>
        <v/>
      </c>
      <c r="BG144">
        <f>IF(AND($C39=1,INDEX(Setup!$O$6:$AL$23,5,20)&lt;&gt;"",O39=0),20+IF(INDEX(Setup!$O$6:$AL$23,5,20)="T",100,0),"")</f>
        <v/>
      </c>
      <c r="BH144">
        <f>IF(AND($C40=1,INDEX(Setup!$O$6:$AL$23,5,21)&lt;&gt;"",O40=0),21+IF(INDEX(Setup!$O$6:$AL$23,5,21)="T",100,0),"")</f>
        <v/>
      </c>
      <c r="BI144">
        <f>IF(AND($C41=1,INDEX(Setup!$O$6:$AL$23,5,22)&lt;&gt;"",O41=0),22+IF(INDEX(Setup!$O$6:$AL$23,5,22)="T",100,0),"")</f>
        <v/>
      </c>
      <c r="BJ144">
        <f>IF(AND($C42=1,INDEX(Setup!$O$6:$AL$23,5,23)&lt;&gt;"",O42=0),23+IF(INDEX(Setup!$O$6:$AL$23,5,23)="T",100,0),"")</f>
        <v/>
      </c>
      <c r="BK144">
        <f>IF(AND($C43=1,INDEX(Setup!$O$6:$AL$23,5,24)&lt;&gt;"",O43=0),24+IF(INDEX(Setup!$O$6:$AL$23,5,24)="T",100,0),"")</f>
        <v/>
      </c>
      <c r="BM144">
        <f>IF(AND(AN144&lt;&gt;"",COUNTIF($S$51:$U$51,$B20)+COUNTIF($S$51:$U$51,$B20&amp;" ~*")=0),($R20+COUNTIF($H$140:$H143,$B20)+COUNTIF($H$140:$H143,$B20&amp;" ~*"))*1000+IF(AN144&gt;100,500,0)+1,"")</f>
        <v/>
      </c>
      <c r="BN144">
        <f>IF(AND(AO144&lt;&gt;"",COUNTIF($S$51:$U$51,$B21)+COUNTIF($S$51:$U$51,$B21&amp;" ~*")=0),($R21+COUNTIF($H$140:$H143,$B21)+COUNTIF($H$140:$H143,$B21&amp;" ~*"))*1000+IF(AO144&gt;100,500,0)+2,"")</f>
        <v/>
      </c>
      <c r="BO144">
        <f>IF(AND(AP144&lt;&gt;"",COUNTIF($S$51:$U$51,$B22)+COUNTIF($S$51:$U$51,$B22&amp;" ~*")=0),($R22+COUNTIF($H$140:$H143,$B22)+COUNTIF($H$140:$H143,$B22&amp;" ~*"))*1000+IF(AP144&gt;100,500,0)+3,"")</f>
        <v/>
      </c>
      <c r="BP144">
        <f>IF(AND(AQ144&lt;&gt;"",COUNTIF($S$51:$U$51,$B23)+COUNTIF($S$51:$U$51,$B23&amp;" ~*")=0),($R23+COUNTIF($H$140:$H143,$B23)+COUNTIF($H$140:$H143,$B23&amp;" ~*"))*1000+IF(AQ144&gt;100,500,0)+4,"")</f>
        <v/>
      </c>
      <c r="BQ144">
        <f>IF(AND(AR144&lt;&gt;"",COUNTIF($S$51:$U$51,$B24)+COUNTIF($S$51:$U$51,$B24&amp;" ~*")=0),($R24+COUNTIF($H$140:$H143,$B24)+COUNTIF($H$140:$H143,$B24&amp;" ~*"))*1000+IF(AR144&gt;100,500,0)+5,"")</f>
        <v/>
      </c>
      <c r="BR144">
        <f>IF(AND(AS144&lt;&gt;"",COUNTIF($S$51:$U$51,$B25)+COUNTIF($S$51:$U$51,$B25&amp;" ~*")=0),($R25+COUNTIF($H$140:$H143,$B25)+COUNTIF($H$140:$H143,$B25&amp;" ~*"))*1000+IF(AS144&gt;100,500,0)+6,"")</f>
        <v/>
      </c>
      <c r="BS144">
        <f>IF(AND(AT144&lt;&gt;"",COUNTIF($S$51:$U$51,$B26)+COUNTIF($S$51:$U$51,$B26&amp;" ~*")=0),($R26+COUNTIF($H$140:$H143,$B26)+COUNTIF($H$140:$H143,$B26&amp;" ~*"))*1000+IF(AT144&gt;100,500,0)+7,"")</f>
        <v/>
      </c>
      <c r="BT144">
        <f>IF(AND(AU144&lt;&gt;"",COUNTIF($S$51:$U$51,$B27)+COUNTIF($S$51:$U$51,$B27&amp;" ~*")=0),($R27+COUNTIF($H$140:$H143,$B27)+COUNTIF($H$140:$H143,$B27&amp;" ~*"))*1000+IF(AU144&gt;100,500,0)+8,"")</f>
        <v/>
      </c>
      <c r="BU144">
        <f>IF(AND(AV144&lt;&gt;"",COUNTIF($S$51:$U$51,$B28)+COUNTIF($S$51:$U$51,$B28&amp;" ~*")=0),($R28+COUNTIF($H$140:$H143,$B28)+COUNTIF($H$140:$H143,$B28&amp;" ~*"))*1000+IF(AV144&gt;100,500,0)+9,"")</f>
        <v/>
      </c>
      <c r="BV144">
        <f>IF(AND(AW144&lt;&gt;"",COUNTIF($S$51:$U$51,$B29)+COUNTIF($S$51:$U$51,$B29&amp;" ~*")=0),($R29+COUNTIF($H$140:$H143,$B29)+COUNTIF($H$140:$H143,$B29&amp;" ~*"))*1000+IF(AW144&gt;100,500,0)+10,"")</f>
        <v/>
      </c>
      <c r="BW144">
        <f>IF(AND(AX144&lt;&gt;"",COUNTIF($S$51:$U$51,$B30)+COUNTIF($S$51:$U$51,$B30&amp;" ~*")=0),($R30+COUNTIF($H$140:$H143,$B30)+COUNTIF($H$140:$H143,$B30&amp;" ~*"))*1000+IF(AX144&gt;100,500,0)+11,"")</f>
        <v/>
      </c>
      <c r="BX144">
        <f>IF(AND(AY144&lt;&gt;"",COUNTIF($S$51:$U$51,$B31)+COUNTIF($S$51:$U$51,$B31&amp;" ~*")=0),($R31+COUNTIF($H$140:$H143,$B31)+COUNTIF($H$140:$H143,$B31&amp;" ~*"))*1000+IF(AY144&gt;100,500,0)+12,"")</f>
        <v/>
      </c>
      <c r="BY144">
        <f>IF(AND(AZ144&lt;&gt;"",COUNTIF($S$51:$U$51,$B32)+COUNTIF($S$51:$U$51,$B32&amp;" ~*")=0),($R32+COUNTIF($H$140:$H143,$B32)+COUNTIF($H$140:$H143,$B32&amp;" ~*"))*1000+IF(AZ144&gt;100,500,0)+13,"")</f>
        <v/>
      </c>
      <c r="BZ144">
        <f>IF(AND(BA144&lt;&gt;"",COUNTIF($S$51:$U$51,$B33)+COUNTIF($S$51:$U$51,$B33&amp;" ~*")=0),($R33+COUNTIF($H$140:$H143,$B33)+COUNTIF($H$140:$H143,$B33&amp;" ~*"))*1000+IF(BA144&gt;100,500,0)+14,"")</f>
        <v/>
      </c>
      <c r="CA144">
        <f>IF(AND(BB144&lt;&gt;"",COUNTIF($S$51:$U$51,$B34)+COUNTIF($S$51:$U$51,$B34&amp;" ~*")=0),($R34+COUNTIF($H$140:$H143,$B34)+COUNTIF($H$140:$H143,$B34&amp;" ~*"))*1000+IF(BB144&gt;100,500,0)+15,"")</f>
        <v/>
      </c>
      <c r="CB144">
        <f>IF(AND(BC144&lt;&gt;"",COUNTIF($S$51:$U$51,$B35)+COUNTIF($S$51:$U$51,$B35&amp;" ~*")=0),($R35+COUNTIF($H$140:$H143,$B35)+COUNTIF($H$140:$H143,$B35&amp;" ~*"))*1000+IF(BC144&gt;100,500,0)+16,"")</f>
        <v/>
      </c>
      <c r="CC144">
        <f>IF(AND(BD144&lt;&gt;"",COUNTIF($S$51:$U$51,$B36)+COUNTIF($S$51:$U$51,$B36&amp;" ~*")=0),($R36+COUNTIF($H$140:$H143,$B36)+COUNTIF($H$140:$H143,$B36&amp;" ~*"))*1000+IF(BD144&gt;100,500,0)+17,"")</f>
        <v/>
      </c>
      <c r="CD144">
        <f>IF(AND(BE144&lt;&gt;"",COUNTIF($S$51:$U$51,$B37)+COUNTIF($S$51:$U$51,$B37&amp;" ~*")=0),($R37+COUNTIF($H$140:$H143,$B37)+COUNTIF($H$140:$H143,$B37&amp;" ~*"))*1000+IF(BE144&gt;100,500,0)+18,"")</f>
        <v/>
      </c>
      <c r="CE144">
        <f>IF(AND(BF144&lt;&gt;"",COUNTIF($S$51:$U$51,$B38)+COUNTIF($S$51:$U$51,$B38&amp;" ~*")=0),($R38+COUNTIF($H$140:$H143,$B38)+COUNTIF($H$140:$H143,$B38&amp;" ~*"))*1000+IF(BF144&gt;100,500,0)+19,"")</f>
        <v/>
      </c>
      <c r="CF144">
        <f>IF(AND(BG144&lt;&gt;"",COUNTIF($S$51:$U$51,$B39)+COUNTIF($S$51:$U$51,$B39&amp;" ~*")=0),($R39+COUNTIF($H$140:$H143,$B39)+COUNTIF($H$140:$H143,$B39&amp;" ~*"))*1000+IF(BG144&gt;100,500,0)+20,"")</f>
        <v/>
      </c>
      <c r="CG144">
        <f>IF(AND(BH144&lt;&gt;"",COUNTIF($S$51:$U$51,$B40)+COUNTIF($S$51:$U$51,$B40&amp;" ~*")=0),($R40+COUNTIF($H$140:$H143,$B40)+COUNTIF($H$140:$H143,$B40&amp;" ~*"))*1000+IF(BH144&gt;100,500,0)+21,"")</f>
        <v/>
      </c>
      <c r="CH144">
        <f>IF(AND(BI144&lt;&gt;"",COUNTIF($S$51:$U$51,$B41)+COUNTIF($S$51:$U$51,$B41&amp;" ~*")=0),($R41+COUNTIF($H$140:$H143,$B41)+COUNTIF($H$140:$H143,$B41&amp;" ~*"))*1000+IF(BI144&gt;100,500,0)+22,"")</f>
        <v/>
      </c>
      <c r="CI144">
        <f>IF(AND(BJ144&lt;&gt;"",COUNTIF($S$51:$U$51,$B42)+COUNTIF($S$51:$U$51,$B42&amp;" ~*")=0),($R42+COUNTIF($H$140:$H143,$B42)+COUNTIF($H$140:$H143,$B42&amp;" ~*"))*1000+IF(BJ144&gt;100,500,0)+23,"")</f>
        <v/>
      </c>
      <c r="CJ144">
        <f>IF(AND(BK144&lt;&gt;"",COUNTIF($S$51:$U$51,$B43)+COUNTIF($S$51:$U$51,$B43&amp;" ~*")=0),($R43+COUNTIF($H$140:$H143,$B43)+COUNTIF($H$140:$H143,$B43&amp;" ~*"))*1000+IF(BK144&gt;100,500,0)+24,"")</f>
        <v/>
      </c>
    </row>
    <row r="145">
      <c r="A145" t="n">
        <v>5</v>
      </c>
      <c r="B145" t="n">
        <v>6</v>
      </c>
      <c r="C145">
        <f>$B$52</f>
        <v/>
      </c>
      <c r="D145" t="inlineStr">
        <is>
          <t>Fri</t>
        </is>
      </c>
      <c r="E145">
        <f>IF(C145="","",N($AB$52))</f>
        <v/>
      </c>
      <c r="F145">
        <f>IF(C145="","",COUNTIF($S$52:$U$52,"?*"))</f>
        <v/>
      </c>
      <c r="G145">
        <f>IF(C145="","",MAX(0,E145-F145))</f>
        <v/>
      </c>
      <c r="H145">
        <f>IF(N(G145)=0,"",IF(COUNT(BM145:CJ145)=0,"no-one eligible",INDEX(Engine!$B$20:$B$43,MOD(MIN(BM145:CJ145),500))&amp;IF(MOD(MIN(BM145:CJ145),1000)&gt;=500," *","")))</f>
        <v/>
      </c>
      <c r="I145">
        <f>IF(N(G145)&gt;0,COUNTIF($G$68:G145,"&gt;0"),"")</f>
        <v/>
      </c>
      <c r="J145">
        <f>IF(C145="","",IF($S$52="",0,IF(IFERROR(INDEX(Setup!$O$6:$AL$23,6,MATCH(SUBSTITUTE($S$52," *",""),Setup!$B$6:$B$29,0)),"")="",1,0))+IF($T$52="",0,IF(IFERROR(INDEX(Setup!$O$6:$AL$23,6,MATCH(SUBSTITUTE($T$52," *",""),Setup!$B$6:$B$29,0)),"")="",1,0))+IF($U$52="",0,IF(IFERROR(INDEX(Setup!$O$6:$AL$23,6,MATCH(SUBSTITUTE($U$52," *",""),Setup!$B$6:$B$29,0)),"")="",1,0)))</f>
        <v/>
      </c>
      <c r="K145">
        <f>IF($B$12+4=TODAY(),1,0)</f>
        <v/>
      </c>
      <c r="N145">
        <f>COUNT($AN145:$BK145)</f>
        <v/>
      </c>
      <c r="O145">
        <f>IF(1&gt;$N145,"",INDEX(Engine!$B$20:$B$43,MOD(SMALL($AN145:$BK145,1),100))&amp;IF(SMALL($AN145:$BK145,1)&gt;100," *",""))</f>
        <v/>
      </c>
      <c r="P145">
        <f>IF(2&gt;$N145,"",INDEX(Engine!$B$20:$B$43,MOD(SMALL($AN145:$BK145,2),100))&amp;IF(SMALL($AN145:$BK145,2)&gt;100," *",""))</f>
        <v/>
      </c>
      <c r="Q145">
        <f>IF(3&gt;$N145,"",INDEX(Engine!$B$20:$B$43,MOD(SMALL($AN145:$BK145,3),100))&amp;IF(SMALL($AN145:$BK145,3)&gt;100," *",""))</f>
        <v/>
      </c>
      <c r="R145">
        <f>IF(4&gt;$N145,"",INDEX(Engine!$B$20:$B$43,MOD(SMALL($AN145:$BK145,4),100))&amp;IF(SMALL($AN145:$BK145,4)&gt;100," *",""))</f>
        <v/>
      </c>
      <c r="S145">
        <f>IF(5&gt;$N145,"",INDEX(Engine!$B$20:$B$43,MOD(SMALL($AN145:$BK145,5),100))&amp;IF(SMALL($AN145:$BK145,5)&gt;100," *",""))</f>
        <v/>
      </c>
      <c r="T145">
        <f>IF(6&gt;$N145,"",INDEX(Engine!$B$20:$B$43,MOD(SMALL($AN145:$BK145,6),100))&amp;IF(SMALL($AN145:$BK145,6)&gt;100," *",""))</f>
        <v/>
      </c>
      <c r="U145">
        <f>IF(7&gt;$N145,"",INDEX(Engine!$B$20:$B$43,MOD(SMALL($AN145:$BK145,7),100))&amp;IF(SMALL($AN145:$BK145,7)&gt;100," *",""))</f>
        <v/>
      </c>
      <c r="V145">
        <f>IF(8&gt;$N145,"",INDEX(Engine!$B$20:$B$43,MOD(SMALL($AN145:$BK145,8),100))&amp;IF(SMALL($AN145:$BK145,8)&gt;100," *",""))</f>
        <v/>
      </c>
      <c r="W145">
        <f>IF(9&gt;$N145,"",INDEX(Engine!$B$20:$B$43,MOD(SMALL($AN145:$BK145,9),100))&amp;IF(SMALL($AN145:$BK145,9)&gt;100," *",""))</f>
        <v/>
      </c>
      <c r="X145">
        <f>IF(10&gt;$N145,"",INDEX(Engine!$B$20:$B$43,MOD(SMALL($AN145:$BK145,10),100))&amp;IF(SMALL($AN145:$BK145,10)&gt;100," *",""))</f>
        <v/>
      </c>
      <c r="Y145">
        <f>IF(11&gt;$N145,"",INDEX(Engine!$B$20:$B$43,MOD(SMALL($AN145:$BK145,11),100))&amp;IF(SMALL($AN145:$BK145,11)&gt;100," *",""))</f>
        <v/>
      </c>
      <c r="Z145">
        <f>IF(12&gt;$N145,"",INDEX(Engine!$B$20:$B$43,MOD(SMALL($AN145:$BK145,12),100))&amp;IF(SMALL($AN145:$BK145,12)&gt;100," *",""))</f>
        <v/>
      </c>
      <c r="AA145">
        <f>IF(13&gt;$N145,"",INDEX(Engine!$B$20:$B$43,MOD(SMALL($AN145:$BK145,13),100))&amp;IF(SMALL($AN145:$BK145,13)&gt;100," *",""))</f>
        <v/>
      </c>
      <c r="AB145">
        <f>IF(14&gt;$N145,"",INDEX(Engine!$B$20:$B$43,MOD(SMALL($AN145:$BK145,14),100))&amp;IF(SMALL($AN145:$BK145,14)&gt;100," *",""))</f>
        <v/>
      </c>
      <c r="AC145">
        <f>IF(15&gt;$N145,"",INDEX(Engine!$B$20:$B$43,MOD(SMALL($AN145:$BK145,15),100))&amp;IF(SMALL($AN145:$BK145,15)&gt;100," *",""))</f>
        <v/>
      </c>
      <c r="AD145">
        <f>IF(16&gt;$N145,"",INDEX(Engine!$B$20:$B$43,MOD(SMALL($AN145:$BK145,16),100))&amp;IF(SMALL($AN145:$BK145,16)&gt;100," *",""))</f>
        <v/>
      </c>
      <c r="AE145">
        <f>IF(17&gt;$N145,"",INDEX(Engine!$B$20:$B$43,MOD(SMALL($AN145:$BK145,17),100))&amp;IF(SMALL($AN145:$BK145,17)&gt;100," *",""))</f>
        <v/>
      </c>
      <c r="AF145">
        <f>IF(18&gt;$N145,"",INDEX(Engine!$B$20:$B$43,MOD(SMALL($AN145:$BK145,18),100))&amp;IF(SMALL($AN145:$BK145,18)&gt;100," *",""))</f>
        <v/>
      </c>
      <c r="AG145">
        <f>IF(19&gt;$N145,"",INDEX(Engine!$B$20:$B$43,MOD(SMALL($AN145:$BK145,19),100))&amp;IF(SMALL($AN145:$BK145,19)&gt;100," *",""))</f>
        <v/>
      </c>
      <c r="AH145">
        <f>IF(20&gt;$N145,"",INDEX(Engine!$B$20:$B$43,MOD(SMALL($AN145:$BK145,20),100))&amp;IF(SMALL($AN145:$BK145,20)&gt;100," *",""))</f>
        <v/>
      </c>
      <c r="AI145">
        <f>IF(21&gt;$N145,"",INDEX(Engine!$B$20:$B$43,MOD(SMALL($AN145:$BK145,21),100))&amp;IF(SMALL($AN145:$BK145,21)&gt;100," *",""))</f>
        <v/>
      </c>
      <c r="AJ145">
        <f>IF(22&gt;$N145,"",INDEX(Engine!$B$20:$B$43,MOD(SMALL($AN145:$BK145,22),100))&amp;IF(SMALL($AN145:$BK145,22)&gt;100," *",""))</f>
        <v/>
      </c>
      <c r="AK145">
        <f>IF(23&gt;$N145,"",INDEX(Engine!$B$20:$B$43,MOD(SMALL($AN145:$BK145,23),100))&amp;IF(SMALL($AN145:$BK145,23)&gt;100," *",""))</f>
        <v/>
      </c>
      <c r="AL145">
        <f>IF(24&gt;$N145,"",INDEX(Engine!$B$20:$B$43,MOD(SMALL($AN145:$BK145,24),100))&amp;IF(SMALL($AN145:$BK145,24)&gt;100," *",""))</f>
        <v/>
      </c>
      <c r="AN145">
        <f>IF(AND($C20=1,INDEX(Setup!$O$6:$AL$23,6,1)&lt;&gt;"",O20=0),1+IF(INDEX(Setup!$O$6:$AL$23,6,1)="T",100,0),"")</f>
        <v/>
      </c>
      <c r="AO145">
        <f>IF(AND($C21=1,INDEX(Setup!$O$6:$AL$23,6,2)&lt;&gt;"",O21=0),2+IF(INDEX(Setup!$O$6:$AL$23,6,2)="T",100,0),"")</f>
        <v/>
      </c>
      <c r="AP145">
        <f>IF(AND($C22=1,INDEX(Setup!$O$6:$AL$23,6,3)&lt;&gt;"",O22=0),3+IF(INDEX(Setup!$O$6:$AL$23,6,3)="T",100,0),"")</f>
        <v/>
      </c>
      <c r="AQ145">
        <f>IF(AND($C23=1,INDEX(Setup!$O$6:$AL$23,6,4)&lt;&gt;"",O23=0),4+IF(INDEX(Setup!$O$6:$AL$23,6,4)="T",100,0),"")</f>
        <v/>
      </c>
      <c r="AR145">
        <f>IF(AND($C24=1,INDEX(Setup!$O$6:$AL$23,6,5)&lt;&gt;"",O24=0),5+IF(INDEX(Setup!$O$6:$AL$23,6,5)="T",100,0),"")</f>
        <v/>
      </c>
      <c r="AS145">
        <f>IF(AND($C25=1,INDEX(Setup!$O$6:$AL$23,6,6)&lt;&gt;"",O25=0),6+IF(INDEX(Setup!$O$6:$AL$23,6,6)="T",100,0),"")</f>
        <v/>
      </c>
      <c r="AT145">
        <f>IF(AND($C26=1,INDEX(Setup!$O$6:$AL$23,6,7)&lt;&gt;"",O26=0),7+IF(INDEX(Setup!$O$6:$AL$23,6,7)="T",100,0),"")</f>
        <v/>
      </c>
      <c r="AU145">
        <f>IF(AND($C27=1,INDEX(Setup!$O$6:$AL$23,6,8)&lt;&gt;"",O27=0),8+IF(INDEX(Setup!$O$6:$AL$23,6,8)="T",100,0),"")</f>
        <v/>
      </c>
      <c r="AV145">
        <f>IF(AND($C28=1,INDEX(Setup!$O$6:$AL$23,6,9)&lt;&gt;"",O28=0),9+IF(INDEX(Setup!$O$6:$AL$23,6,9)="T",100,0),"")</f>
        <v/>
      </c>
      <c r="AW145">
        <f>IF(AND($C29=1,INDEX(Setup!$O$6:$AL$23,6,10)&lt;&gt;"",O29=0),10+IF(INDEX(Setup!$O$6:$AL$23,6,10)="T",100,0),"")</f>
        <v/>
      </c>
      <c r="AX145">
        <f>IF(AND($C30=1,INDEX(Setup!$O$6:$AL$23,6,11)&lt;&gt;"",O30=0),11+IF(INDEX(Setup!$O$6:$AL$23,6,11)="T",100,0),"")</f>
        <v/>
      </c>
      <c r="AY145">
        <f>IF(AND($C31=1,INDEX(Setup!$O$6:$AL$23,6,12)&lt;&gt;"",O31=0),12+IF(INDEX(Setup!$O$6:$AL$23,6,12)="T",100,0),"")</f>
        <v/>
      </c>
      <c r="AZ145">
        <f>IF(AND($C32=1,INDEX(Setup!$O$6:$AL$23,6,13)&lt;&gt;"",O32=0),13+IF(INDEX(Setup!$O$6:$AL$23,6,13)="T",100,0),"")</f>
        <v/>
      </c>
      <c r="BA145">
        <f>IF(AND($C33=1,INDEX(Setup!$O$6:$AL$23,6,14)&lt;&gt;"",O33=0),14+IF(INDEX(Setup!$O$6:$AL$23,6,14)="T",100,0),"")</f>
        <v/>
      </c>
      <c r="BB145">
        <f>IF(AND($C34=1,INDEX(Setup!$O$6:$AL$23,6,15)&lt;&gt;"",O34=0),15+IF(INDEX(Setup!$O$6:$AL$23,6,15)="T",100,0),"")</f>
        <v/>
      </c>
      <c r="BC145">
        <f>IF(AND($C35=1,INDEX(Setup!$O$6:$AL$23,6,16)&lt;&gt;"",O35=0),16+IF(INDEX(Setup!$O$6:$AL$23,6,16)="T",100,0),"")</f>
        <v/>
      </c>
      <c r="BD145">
        <f>IF(AND($C36=1,INDEX(Setup!$O$6:$AL$23,6,17)&lt;&gt;"",O36=0),17+IF(INDEX(Setup!$O$6:$AL$23,6,17)="T",100,0),"")</f>
        <v/>
      </c>
      <c r="BE145">
        <f>IF(AND($C37=1,INDEX(Setup!$O$6:$AL$23,6,18)&lt;&gt;"",O37=0),18+IF(INDEX(Setup!$O$6:$AL$23,6,18)="T",100,0),"")</f>
        <v/>
      </c>
      <c r="BF145">
        <f>IF(AND($C38=1,INDEX(Setup!$O$6:$AL$23,6,19)&lt;&gt;"",O38=0),19+IF(INDEX(Setup!$O$6:$AL$23,6,19)="T",100,0),"")</f>
        <v/>
      </c>
      <c r="BG145">
        <f>IF(AND($C39=1,INDEX(Setup!$O$6:$AL$23,6,20)&lt;&gt;"",O39=0),20+IF(INDEX(Setup!$O$6:$AL$23,6,20)="T",100,0),"")</f>
        <v/>
      </c>
      <c r="BH145">
        <f>IF(AND($C40=1,INDEX(Setup!$O$6:$AL$23,6,21)&lt;&gt;"",O40=0),21+IF(INDEX(Setup!$O$6:$AL$23,6,21)="T",100,0),"")</f>
        <v/>
      </c>
      <c r="BI145">
        <f>IF(AND($C41=1,INDEX(Setup!$O$6:$AL$23,6,22)&lt;&gt;"",O41=0),22+IF(INDEX(Setup!$O$6:$AL$23,6,22)="T",100,0),"")</f>
        <v/>
      </c>
      <c r="BJ145">
        <f>IF(AND($C42=1,INDEX(Setup!$O$6:$AL$23,6,23)&lt;&gt;"",O42=0),23+IF(INDEX(Setup!$O$6:$AL$23,6,23)="T",100,0),"")</f>
        <v/>
      </c>
      <c r="BK145">
        <f>IF(AND($C43=1,INDEX(Setup!$O$6:$AL$23,6,24)&lt;&gt;"",O43=0),24+IF(INDEX(Setup!$O$6:$AL$23,6,24)="T",100,0),"")</f>
        <v/>
      </c>
      <c r="BM145">
        <f>IF(AND(AN145&lt;&gt;"",COUNTIF($S$52:$U$52,$B20)+COUNTIF($S$52:$U$52,$B20&amp;" ~*")=0),($R20+COUNTIF($H$140:$H144,$B20)+COUNTIF($H$140:$H144,$B20&amp;" ~*"))*1000+IF(AN145&gt;100,500,0)+1,"")</f>
        <v/>
      </c>
      <c r="BN145">
        <f>IF(AND(AO145&lt;&gt;"",COUNTIF($S$52:$U$52,$B21)+COUNTIF($S$52:$U$52,$B21&amp;" ~*")=0),($R21+COUNTIF($H$140:$H144,$B21)+COUNTIF($H$140:$H144,$B21&amp;" ~*"))*1000+IF(AO145&gt;100,500,0)+2,"")</f>
        <v/>
      </c>
      <c r="BO145">
        <f>IF(AND(AP145&lt;&gt;"",COUNTIF($S$52:$U$52,$B22)+COUNTIF($S$52:$U$52,$B22&amp;" ~*")=0),($R22+COUNTIF($H$140:$H144,$B22)+COUNTIF($H$140:$H144,$B22&amp;" ~*"))*1000+IF(AP145&gt;100,500,0)+3,"")</f>
        <v/>
      </c>
      <c r="BP145">
        <f>IF(AND(AQ145&lt;&gt;"",COUNTIF($S$52:$U$52,$B23)+COUNTIF($S$52:$U$52,$B23&amp;" ~*")=0),($R23+COUNTIF($H$140:$H144,$B23)+COUNTIF($H$140:$H144,$B23&amp;" ~*"))*1000+IF(AQ145&gt;100,500,0)+4,"")</f>
        <v/>
      </c>
      <c r="BQ145">
        <f>IF(AND(AR145&lt;&gt;"",COUNTIF($S$52:$U$52,$B24)+COUNTIF($S$52:$U$52,$B24&amp;" ~*")=0),($R24+COUNTIF($H$140:$H144,$B24)+COUNTIF($H$140:$H144,$B24&amp;" ~*"))*1000+IF(AR145&gt;100,500,0)+5,"")</f>
        <v/>
      </c>
      <c r="BR145">
        <f>IF(AND(AS145&lt;&gt;"",COUNTIF($S$52:$U$52,$B25)+COUNTIF($S$52:$U$52,$B25&amp;" ~*")=0),($R25+COUNTIF($H$140:$H144,$B25)+COUNTIF($H$140:$H144,$B25&amp;" ~*"))*1000+IF(AS145&gt;100,500,0)+6,"")</f>
        <v/>
      </c>
      <c r="BS145">
        <f>IF(AND(AT145&lt;&gt;"",COUNTIF($S$52:$U$52,$B26)+COUNTIF($S$52:$U$52,$B26&amp;" ~*")=0),($R26+COUNTIF($H$140:$H144,$B26)+COUNTIF($H$140:$H144,$B26&amp;" ~*"))*1000+IF(AT145&gt;100,500,0)+7,"")</f>
        <v/>
      </c>
      <c r="BT145">
        <f>IF(AND(AU145&lt;&gt;"",COUNTIF($S$52:$U$52,$B27)+COUNTIF($S$52:$U$52,$B27&amp;" ~*")=0),($R27+COUNTIF($H$140:$H144,$B27)+COUNTIF($H$140:$H144,$B27&amp;" ~*"))*1000+IF(AU145&gt;100,500,0)+8,"")</f>
        <v/>
      </c>
      <c r="BU145">
        <f>IF(AND(AV145&lt;&gt;"",COUNTIF($S$52:$U$52,$B28)+COUNTIF($S$52:$U$52,$B28&amp;" ~*")=0),($R28+COUNTIF($H$140:$H144,$B28)+COUNTIF($H$140:$H144,$B28&amp;" ~*"))*1000+IF(AV145&gt;100,500,0)+9,"")</f>
        <v/>
      </c>
      <c r="BV145">
        <f>IF(AND(AW145&lt;&gt;"",COUNTIF($S$52:$U$52,$B29)+COUNTIF($S$52:$U$52,$B29&amp;" ~*")=0),($R29+COUNTIF($H$140:$H144,$B29)+COUNTIF($H$140:$H144,$B29&amp;" ~*"))*1000+IF(AW145&gt;100,500,0)+10,"")</f>
        <v/>
      </c>
      <c r="BW145">
        <f>IF(AND(AX145&lt;&gt;"",COUNTIF($S$52:$U$52,$B30)+COUNTIF($S$52:$U$52,$B30&amp;" ~*")=0),($R30+COUNTIF($H$140:$H144,$B30)+COUNTIF($H$140:$H144,$B30&amp;" ~*"))*1000+IF(AX145&gt;100,500,0)+11,"")</f>
        <v/>
      </c>
      <c r="BX145">
        <f>IF(AND(AY145&lt;&gt;"",COUNTIF($S$52:$U$52,$B31)+COUNTIF($S$52:$U$52,$B31&amp;" ~*")=0),($R31+COUNTIF($H$140:$H144,$B31)+COUNTIF($H$140:$H144,$B31&amp;" ~*"))*1000+IF(AY145&gt;100,500,0)+12,"")</f>
        <v/>
      </c>
      <c r="BY145">
        <f>IF(AND(AZ145&lt;&gt;"",COUNTIF($S$52:$U$52,$B32)+COUNTIF($S$52:$U$52,$B32&amp;" ~*")=0),($R32+COUNTIF($H$140:$H144,$B32)+COUNTIF($H$140:$H144,$B32&amp;" ~*"))*1000+IF(AZ145&gt;100,500,0)+13,"")</f>
        <v/>
      </c>
      <c r="BZ145">
        <f>IF(AND(BA145&lt;&gt;"",COUNTIF($S$52:$U$52,$B33)+COUNTIF($S$52:$U$52,$B33&amp;" ~*")=0),($R33+COUNTIF($H$140:$H144,$B33)+COUNTIF($H$140:$H144,$B33&amp;" ~*"))*1000+IF(BA145&gt;100,500,0)+14,"")</f>
        <v/>
      </c>
      <c r="CA145">
        <f>IF(AND(BB145&lt;&gt;"",COUNTIF($S$52:$U$52,$B34)+COUNTIF($S$52:$U$52,$B34&amp;" ~*")=0),($R34+COUNTIF($H$140:$H144,$B34)+COUNTIF($H$140:$H144,$B34&amp;" ~*"))*1000+IF(BB145&gt;100,500,0)+15,"")</f>
        <v/>
      </c>
      <c r="CB145">
        <f>IF(AND(BC145&lt;&gt;"",COUNTIF($S$52:$U$52,$B35)+COUNTIF($S$52:$U$52,$B35&amp;" ~*")=0),($R35+COUNTIF($H$140:$H144,$B35)+COUNTIF($H$140:$H144,$B35&amp;" ~*"))*1000+IF(BC145&gt;100,500,0)+16,"")</f>
        <v/>
      </c>
      <c r="CC145">
        <f>IF(AND(BD145&lt;&gt;"",COUNTIF($S$52:$U$52,$B36)+COUNTIF($S$52:$U$52,$B36&amp;" ~*")=0),($R36+COUNTIF($H$140:$H144,$B36)+COUNTIF($H$140:$H144,$B36&amp;" ~*"))*1000+IF(BD145&gt;100,500,0)+17,"")</f>
        <v/>
      </c>
      <c r="CD145">
        <f>IF(AND(BE145&lt;&gt;"",COUNTIF($S$52:$U$52,$B37)+COUNTIF($S$52:$U$52,$B37&amp;" ~*")=0),($R37+COUNTIF($H$140:$H144,$B37)+COUNTIF($H$140:$H144,$B37&amp;" ~*"))*1000+IF(BE145&gt;100,500,0)+18,"")</f>
        <v/>
      </c>
      <c r="CE145">
        <f>IF(AND(BF145&lt;&gt;"",COUNTIF($S$52:$U$52,$B38)+COUNTIF($S$52:$U$52,$B38&amp;" ~*")=0),($R38+COUNTIF($H$140:$H144,$B38)+COUNTIF($H$140:$H144,$B38&amp;" ~*"))*1000+IF(BF145&gt;100,500,0)+19,"")</f>
        <v/>
      </c>
      <c r="CF145">
        <f>IF(AND(BG145&lt;&gt;"",COUNTIF($S$52:$U$52,$B39)+COUNTIF($S$52:$U$52,$B39&amp;" ~*")=0),($R39+COUNTIF($H$140:$H144,$B39)+COUNTIF($H$140:$H144,$B39&amp;" ~*"))*1000+IF(BG145&gt;100,500,0)+20,"")</f>
        <v/>
      </c>
      <c r="CG145">
        <f>IF(AND(BH145&lt;&gt;"",COUNTIF($S$52:$U$52,$B40)+COUNTIF($S$52:$U$52,$B40&amp;" ~*")=0),($R40+COUNTIF($H$140:$H144,$B40)+COUNTIF($H$140:$H144,$B40&amp;" ~*"))*1000+IF(BH145&gt;100,500,0)+21,"")</f>
        <v/>
      </c>
      <c r="CH145">
        <f>IF(AND(BI145&lt;&gt;"",COUNTIF($S$52:$U$52,$B41)+COUNTIF($S$52:$U$52,$B41&amp;" ~*")=0),($R41+COUNTIF($H$140:$H144,$B41)+COUNTIF($H$140:$H144,$B41&amp;" ~*"))*1000+IF(BI145&gt;100,500,0)+22,"")</f>
        <v/>
      </c>
      <c r="CI145">
        <f>IF(AND(BJ145&lt;&gt;"",COUNTIF($S$52:$U$52,$B42)+COUNTIF($S$52:$U$52,$B42&amp;" ~*")=0),($R42+COUNTIF($H$140:$H144,$B42)+COUNTIF($H$140:$H144,$B42&amp;" ~*"))*1000+IF(BJ145&gt;100,500,0)+23,"")</f>
        <v/>
      </c>
      <c r="CJ145">
        <f>IF(AND(BK145&lt;&gt;"",COUNTIF($S$52:$U$52,$B43)+COUNTIF($S$52:$U$52,$B43&amp;" ~*")=0),($R43+COUNTIF($H$140:$H144,$B43)+COUNTIF($H$140:$H144,$B43&amp;" ~*"))*1000+IF(BK145&gt;100,500,0)+24,"")</f>
        <v/>
      </c>
    </row>
    <row r="146">
      <c r="A146" t="n">
        <v>5</v>
      </c>
      <c r="B146" t="n">
        <v>7</v>
      </c>
      <c r="C146">
        <f>$B$53</f>
        <v/>
      </c>
      <c r="D146" t="inlineStr">
        <is>
          <t>Fri</t>
        </is>
      </c>
      <c r="E146">
        <f>IF(C146="","",N($AB$53))</f>
        <v/>
      </c>
      <c r="F146">
        <f>IF(C146="","",COUNTIF($S$53:$U$53,"?*"))</f>
        <v/>
      </c>
      <c r="G146">
        <f>IF(C146="","",MAX(0,E146-F146))</f>
        <v/>
      </c>
      <c r="H146">
        <f>IF(N(G146)=0,"",IF(COUNT(BM146:CJ146)=0,"no-one eligible",INDEX(Engine!$B$20:$B$43,MOD(MIN(BM146:CJ146),500))&amp;IF(MOD(MIN(BM146:CJ146),1000)&gt;=500," *","")))</f>
        <v/>
      </c>
      <c r="I146">
        <f>IF(N(G146)&gt;0,COUNTIF($G$68:G146,"&gt;0"),"")</f>
        <v/>
      </c>
      <c r="J146">
        <f>IF(C146="","",IF($S$53="",0,IF(IFERROR(INDEX(Setup!$O$6:$AL$23,7,MATCH(SUBSTITUTE($S$53," *",""),Setup!$B$6:$B$29,0)),"")="",1,0))+IF($T$53="",0,IF(IFERROR(INDEX(Setup!$O$6:$AL$23,7,MATCH(SUBSTITUTE($T$53," *",""),Setup!$B$6:$B$29,0)),"")="",1,0))+IF($U$53="",0,IF(IFERROR(INDEX(Setup!$O$6:$AL$23,7,MATCH(SUBSTITUTE($U$53," *",""),Setup!$B$6:$B$29,0)),"")="",1,0)))</f>
        <v/>
      </c>
      <c r="K146">
        <f>IF($B$12+4=TODAY(),1,0)</f>
        <v/>
      </c>
      <c r="N146">
        <f>COUNT($AN146:$BK146)</f>
        <v/>
      </c>
      <c r="O146">
        <f>IF(1&gt;$N146,"",INDEX(Engine!$B$20:$B$43,MOD(SMALL($AN146:$BK146,1),100))&amp;IF(SMALL($AN146:$BK146,1)&gt;100," *",""))</f>
        <v/>
      </c>
      <c r="P146">
        <f>IF(2&gt;$N146,"",INDEX(Engine!$B$20:$B$43,MOD(SMALL($AN146:$BK146,2),100))&amp;IF(SMALL($AN146:$BK146,2)&gt;100," *",""))</f>
        <v/>
      </c>
      <c r="Q146">
        <f>IF(3&gt;$N146,"",INDEX(Engine!$B$20:$B$43,MOD(SMALL($AN146:$BK146,3),100))&amp;IF(SMALL($AN146:$BK146,3)&gt;100," *",""))</f>
        <v/>
      </c>
      <c r="R146">
        <f>IF(4&gt;$N146,"",INDEX(Engine!$B$20:$B$43,MOD(SMALL($AN146:$BK146,4),100))&amp;IF(SMALL($AN146:$BK146,4)&gt;100," *",""))</f>
        <v/>
      </c>
      <c r="S146">
        <f>IF(5&gt;$N146,"",INDEX(Engine!$B$20:$B$43,MOD(SMALL($AN146:$BK146,5),100))&amp;IF(SMALL($AN146:$BK146,5)&gt;100," *",""))</f>
        <v/>
      </c>
      <c r="T146">
        <f>IF(6&gt;$N146,"",INDEX(Engine!$B$20:$B$43,MOD(SMALL($AN146:$BK146,6),100))&amp;IF(SMALL($AN146:$BK146,6)&gt;100," *",""))</f>
        <v/>
      </c>
      <c r="U146">
        <f>IF(7&gt;$N146,"",INDEX(Engine!$B$20:$B$43,MOD(SMALL($AN146:$BK146,7),100))&amp;IF(SMALL($AN146:$BK146,7)&gt;100," *",""))</f>
        <v/>
      </c>
      <c r="V146">
        <f>IF(8&gt;$N146,"",INDEX(Engine!$B$20:$B$43,MOD(SMALL($AN146:$BK146,8),100))&amp;IF(SMALL($AN146:$BK146,8)&gt;100," *",""))</f>
        <v/>
      </c>
      <c r="W146">
        <f>IF(9&gt;$N146,"",INDEX(Engine!$B$20:$B$43,MOD(SMALL($AN146:$BK146,9),100))&amp;IF(SMALL($AN146:$BK146,9)&gt;100," *",""))</f>
        <v/>
      </c>
      <c r="X146">
        <f>IF(10&gt;$N146,"",INDEX(Engine!$B$20:$B$43,MOD(SMALL($AN146:$BK146,10),100))&amp;IF(SMALL($AN146:$BK146,10)&gt;100," *",""))</f>
        <v/>
      </c>
      <c r="Y146">
        <f>IF(11&gt;$N146,"",INDEX(Engine!$B$20:$B$43,MOD(SMALL($AN146:$BK146,11),100))&amp;IF(SMALL($AN146:$BK146,11)&gt;100," *",""))</f>
        <v/>
      </c>
      <c r="Z146">
        <f>IF(12&gt;$N146,"",INDEX(Engine!$B$20:$B$43,MOD(SMALL($AN146:$BK146,12),100))&amp;IF(SMALL($AN146:$BK146,12)&gt;100," *",""))</f>
        <v/>
      </c>
      <c r="AA146">
        <f>IF(13&gt;$N146,"",INDEX(Engine!$B$20:$B$43,MOD(SMALL($AN146:$BK146,13),100))&amp;IF(SMALL($AN146:$BK146,13)&gt;100," *",""))</f>
        <v/>
      </c>
      <c r="AB146">
        <f>IF(14&gt;$N146,"",INDEX(Engine!$B$20:$B$43,MOD(SMALL($AN146:$BK146,14),100))&amp;IF(SMALL($AN146:$BK146,14)&gt;100," *",""))</f>
        <v/>
      </c>
      <c r="AC146">
        <f>IF(15&gt;$N146,"",INDEX(Engine!$B$20:$B$43,MOD(SMALL($AN146:$BK146,15),100))&amp;IF(SMALL($AN146:$BK146,15)&gt;100," *",""))</f>
        <v/>
      </c>
      <c r="AD146">
        <f>IF(16&gt;$N146,"",INDEX(Engine!$B$20:$B$43,MOD(SMALL($AN146:$BK146,16),100))&amp;IF(SMALL($AN146:$BK146,16)&gt;100," *",""))</f>
        <v/>
      </c>
      <c r="AE146">
        <f>IF(17&gt;$N146,"",INDEX(Engine!$B$20:$B$43,MOD(SMALL($AN146:$BK146,17),100))&amp;IF(SMALL($AN146:$BK146,17)&gt;100," *",""))</f>
        <v/>
      </c>
      <c r="AF146">
        <f>IF(18&gt;$N146,"",INDEX(Engine!$B$20:$B$43,MOD(SMALL($AN146:$BK146,18),100))&amp;IF(SMALL($AN146:$BK146,18)&gt;100," *",""))</f>
        <v/>
      </c>
      <c r="AG146">
        <f>IF(19&gt;$N146,"",INDEX(Engine!$B$20:$B$43,MOD(SMALL($AN146:$BK146,19),100))&amp;IF(SMALL($AN146:$BK146,19)&gt;100," *",""))</f>
        <v/>
      </c>
      <c r="AH146">
        <f>IF(20&gt;$N146,"",INDEX(Engine!$B$20:$B$43,MOD(SMALL($AN146:$BK146,20),100))&amp;IF(SMALL($AN146:$BK146,20)&gt;100," *",""))</f>
        <v/>
      </c>
      <c r="AI146">
        <f>IF(21&gt;$N146,"",INDEX(Engine!$B$20:$B$43,MOD(SMALL($AN146:$BK146,21),100))&amp;IF(SMALL($AN146:$BK146,21)&gt;100," *",""))</f>
        <v/>
      </c>
      <c r="AJ146">
        <f>IF(22&gt;$N146,"",INDEX(Engine!$B$20:$B$43,MOD(SMALL($AN146:$BK146,22),100))&amp;IF(SMALL($AN146:$BK146,22)&gt;100," *",""))</f>
        <v/>
      </c>
      <c r="AK146">
        <f>IF(23&gt;$N146,"",INDEX(Engine!$B$20:$B$43,MOD(SMALL($AN146:$BK146,23),100))&amp;IF(SMALL($AN146:$BK146,23)&gt;100," *",""))</f>
        <v/>
      </c>
      <c r="AL146">
        <f>IF(24&gt;$N146,"",INDEX(Engine!$B$20:$B$43,MOD(SMALL($AN146:$BK146,24),100))&amp;IF(SMALL($AN146:$BK146,24)&gt;100," *",""))</f>
        <v/>
      </c>
      <c r="AN146">
        <f>IF(AND($C20=1,INDEX(Setup!$O$6:$AL$23,7,1)&lt;&gt;"",O20=0),1+IF(INDEX(Setup!$O$6:$AL$23,7,1)="T",100,0),"")</f>
        <v/>
      </c>
      <c r="AO146">
        <f>IF(AND($C21=1,INDEX(Setup!$O$6:$AL$23,7,2)&lt;&gt;"",O21=0),2+IF(INDEX(Setup!$O$6:$AL$23,7,2)="T",100,0),"")</f>
        <v/>
      </c>
      <c r="AP146">
        <f>IF(AND($C22=1,INDEX(Setup!$O$6:$AL$23,7,3)&lt;&gt;"",O22=0),3+IF(INDEX(Setup!$O$6:$AL$23,7,3)="T",100,0),"")</f>
        <v/>
      </c>
      <c r="AQ146">
        <f>IF(AND($C23=1,INDEX(Setup!$O$6:$AL$23,7,4)&lt;&gt;"",O23=0),4+IF(INDEX(Setup!$O$6:$AL$23,7,4)="T",100,0),"")</f>
        <v/>
      </c>
      <c r="AR146">
        <f>IF(AND($C24=1,INDEX(Setup!$O$6:$AL$23,7,5)&lt;&gt;"",O24=0),5+IF(INDEX(Setup!$O$6:$AL$23,7,5)="T",100,0),"")</f>
        <v/>
      </c>
      <c r="AS146">
        <f>IF(AND($C25=1,INDEX(Setup!$O$6:$AL$23,7,6)&lt;&gt;"",O25=0),6+IF(INDEX(Setup!$O$6:$AL$23,7,6)="T",100,0),"")</f>
        <v/>
      </c>
      <c r="AT146">
        <f>IF(AND($C26=1,INDEX(Setup!$O$6:$AL$23,7,7)&lt;&gt;"",O26=0),7+IF(INDEX(Setup!$O$6:$AL$23,7,7)="T",100,0),"")</f>
        <v/>
      </c>
      <c r="AU146">
        <f>IF(AND($C27=1,INDEX(Setup!$O$6:$AL$23,7,8)&lt;&gt;"",O27=0),8+IF(INDEX(Setup!$O$6:$AL$23,7,8)="T",100,0),"")</f>
        <v/>
      </c>
      <c r="AV146">
        <f>IF(AND($C28=1,INDEX(Setup!$O$6:$AL$23,7,9)&lt;&gt;"",O28=0),9+IF(INDEX(Setup!$O$6:$AL$23,7,9)="T",100,0),"")</f>
        <v/>
      </c>
      <c r="AW146">
        <f>IF(AND($C29=1,INDEX(Setup!$O$6:$AL$23,7,10)&lt;&gt;"",O29=0),10+IF(INDEX(Setup!$O$6:$AL$23,7,10)="T",100,0),"")</f>
        <v/>
      </c>
      <c r="AX146">
        <f>IF(AND($C30=1,INDEX(Setup!$O$6:$AL$23,7,11)&lt;&gt;"",O30=0),11+IF(INDEX(Setup!$O$6:$AL$23,7,11)="T",100,0),"")</f>
        <v/>
      </c>
      <c r="AY146">
        <f>IF(AND($C31=1,INDEX(Setup!$O$6:$AL$23,7,12)&lt;&gt;"",O31=0),12+IF(INDEX(Setup!$O$6:$AL$23,7,12)="T",100,0),"")</f>
        <v/>
      </c>
      <c r="AZ146">
        <f>IF(AND($C32=1,INDEX(Setup!$O$6:$AL$23,7,13)&lt;&gt;"",O32=0),13+IF(INDEX(Setup!$O$6:$AL$23,7,13)="T",100,0),"")</f>
        <v/>
      </c>
      <c r="BA146">
        <f>IF(AND($C33=1,INDEX(Setup!$O$6:$AL$23,7,14)&lt;&gt;"",O33=0),14+IF(INDEX(Setup!$O$6:$AL$23,7,14)="T",100,0),"")</f>
        <v/>
      </c>
      <c r="BB146">
        <f>IF(AND($C34=1,INDEX(Setup!$O$6:$AL$23,7,15)&lt;&gt;"",O34=0),15+IF(INDEX(Setup!$O$6:$AL$23,7,15)="T",100,0),"")</f>
        <v/>
      </c>
      <c r="BC146">
        <f>IF(AND($C35=1,INDEX(Setup!$O$6:$AL$23,7,16)&lt;&gt;"",O35=0),16+IF(INDEX(Setup!$O$6:$AL$23,7,16)="T",100,0),"")</f>
        <v/>
      </c>
      <c r="BD146">
        <f>IF(AND($C36=1,INDEX(Setup!$O$6:$AL$23,7,17)&lt;&gt;"",O36=0),17+IF(INDEX(Setup!$O$6:$AL$23,7,17)="T",100,0),"")</f>
        <v/>
      </c>
      <c r="BE146">
        <f>IF(AND($C37=1,INDEX(Setup!$O$6:$AL$23,7,18)&lt;&gt;"",O37=0),18+IF(INDEX(Setup!$O$6:$AL$23,7,18)="T",100,0),"")</f>
        <v/>
      </c>
      <c r="BF146">
        <f>IF(AND($C38=1,INDEX(Setup!$O$6:$AL$23,7,19)&lt;&gt;"",O38=0),19+IF(INDEX(Setup!$O$6:$AL$23,7,19)="T",100,0),"")</f>
        <v/>
      </c>
      <c r="BG146">
        <f>IF(AND($C39=1,INDEX(Setup!$O$6:$AL$23,7,20)&lt;&gt;"",O39=0),20+IF(INDEX(Setup!$O$6:$AL$23,7,20)="T",100,0),"")</f>
        <v/>
      </c>
      <c r="BH146">
        <f>IF(AND($C40=1,INDEX(Setup!$O$6:$AL$23,7,21)&lt;&gt;"",O40=0),21+IF(INDEX(Setup!$O$6:$AL$23,7,21)="T",100,0),"")</f>
        <v/>
      </c>
      <c r="BI146">
        <f>IF(AND($C41=1,INDEX(Setup!$O$6:$AL$23,7,22)&lt;&gt;"",O41=0),22+IF(INDEX(Setup!$O$6:$AL$23,7,22)="T",100,0),"")</f>
        <v/>
      </c>
      <c r="BJ146">
        <f>IF(AND($C42=1,INDEX(Setup!$O$6:$AL$23,7,23)&lt;&gt;"",O42=0),23+IF(INDEX(Setup!$O$6:$AL$23,7,23)="T",100,0),"")</f>
        <v/>
      </c>
      <c r="BK146">
        <f>IF(AND($C43=1,INDEX(Setup!$O$6:$AL$23,7,24)&lt;&gt;"",O43=0),24+IF(INDEX(Setup!$O$6:$AL$23,7,24)="T",100,0),"")</f>
        <v/>
      </c>
      <c r="BM146">
        <f>IF(AND(AN146&lt;&gt;"",COUNTIF($S$53:$U$53,$B20)+COUNTIF($S$53:$U$53,$B20&amp;" ~*")=0),($R20+COUNTIF($H$140:$H145,$B20)+COUNTIF($H$140:$H145,$B20&amp;" ~*"))*1000+IF(AN146&gt;100,500,0)+1,"")</f>
        <v/>
      </c>
      <c r="BN146">
        <f>IF(AND(AO146&lt;&gt;"",COUNTIF($S$53:$U$53,$B21)+COUNTIF($S$53:$U$53,$B21&amp;" ~*")=0),($R21+COUNTIF($H$140:$H145,$B21)+COUNTIF($H$140:$H145,$B21&amp;" ~*"))*1000+IF(AO146&gt;100,500,0)+2,"")</f>
        <v/>
      </c>
      <c r="BO146">
        <f>IF(AND(AP146&lt;&gt;"",COUNTIF($S$53:$U$53,$B22)+COUNTIF($S$53:$U$53,$B22&amp;" ~*")=0),($R22+COUNTIF($H$140:$H145,$B22)+COUNTIF($H$140:$H145,$B22&amp;" ~*"))*1000+IF(AP146&gt;100,500,0)+3,"")</f>
        <v/>
      </c>
      <c r="BP146">
        <f>IF(AND(AQ146&lt;&gt;"",COUNTIF($S$53:$U$53,$B23)+COUNTIF($S$53:$U$53,$B23&amp;" ~*")=0),($R23+COUNTIF($H$140:$H145,$B23)+COUNTIF($H$140:$H145,$B23&amp;" ~*"))*1000+IF(AQ146&gt;100,500,0)+4,"")</f>
        <v/>
      </c>
      <c r="BQ146">
        <f>IF(AND(AR146&lt;&gt;"",COUNTIF($S$53:$U$53,$B24)+COUNTIF($S$53:$U$53,$B24&amp;" ~*")=0),($R24+COUNTIF($H$140:$H145,$B24)+COUNTIF($H$140:$H145,$B24&amp;" ~*"))*1000+IF(AR146&gt;100,500,0)+5,"")</f>
        <v/>
      </c>
      <c r="BR146">
        <f>IF(AND(AS146&lt;&gt;"",COUNTIF($S$53:$U$53,$B25)+COUNTIF($S$53:$U$53,$B25&amp;" ~*")=0),($R25+COUNTIF($H$140:$H145,$B25)+COUNTIF($H$140:$H145,$B25&amp;" ~*"))*1000+IF(AS146&gt;100,500,0)+6,"")</f>
        <v/>
      </c>
      <c r="BS146">
        <f>IF(AND(AT146&lt;&gt;"",COUNTIF($S$53:$U$53,$B26)+COUNTIF($S$53:$U$53,$B26&amp;" ~*")=0),($R26+COUNTIF($H$140:$H145,$B26)+COUNTIF($H$140:$H145,$B26&amp;" ~*"))*1000+IF(AT146&gt;100,500,0)+7,"")</f>
        <v/>
      </c>
      <c r="BT146">
        <f>IF(AND(AU146&lt;&gt;"",COUNTIF($S$53:$U$53,$B27)+COUNTIF($S$53:$U$53,$B27&amp;" ~*")=0),($R27+COUNTIF($H$140:$H145,$B27)+COUNTIF($H$140:$H145,$B27&amp;" ~*"))*1000+IF(AU146&gt;100,500,0)+8,"")</f>
        <v/>
      </c>
      <c r="BU146">
        <f>IF(AND(AV146&lt;&gt;"",COUNTIF($S$53:$U$53,$B28)+COUNTIF($S$53:$U$53,$B28&amp;" ~*")=0),($R28+COUNTIF($H$140:$H145,$B28)+COUNTIF($H$140:$H145,$B28&amp;" ~*"))*1000+IF(AV146&gt;100,500,0)+9,"")</f>
        <v/>
      </c>
      <c r="BV146">
        <f>IF(AND(AW146&lt;&gt;"",COUNTIF($S$53:$U$53,$B29)+COUNTIF($S$53:$U$53,$B29&amp;" ~*")=0),($R29+COUNTIF($H$140:$H145,$B29)+COUNTIF($H$140:$H145,$B29&amp;" ~*"))*1000+IF(AW146&gt;100,500,0)+10,"")</f>
        <v/>
      </c>
      <c r="BW146">
        <f>IF(AND(AX146&lt;&gt;"",COUNTIF($S$53:$U$53,$B30)+COUNTIF($S$53:$U$53,$B30&amp;" ~*")=0),($R30+COUNTIF($H$140:$H145,$B30)+COUNTIF($H$140:$H145,$B30&amp;" ~*"))*1000+IF(AX146&gt;100,500,0)+11,"")</f>
        <v/>
      </c>
      <c r="BX146">
        <f>IF(AND(AY146&lt;&gt;"",COUNTIF($S$53:$U$53,$B31)+COUNTIF($S$53:$U$53,$B31&amp;" ~*")=0),($R31+COUNTIF($H$140:$H145,$B31)+COUNTIF($H$140:$H145,$B31&amp;" ~*"))*1000+IF(AY146&gt;100,500,0)+12,"")</f>
        <v/>
      </c>
      <c r="BY146">
        <f>IF(AND(AZ146&lt;&gt;"",COUNTIF($S$53:$U$53,$B32)+COUNTIF($S$53:$U$53,$B32&amp;" ~*")=0),($R32+COUNTIF($H$140:$H145,$B32)+COUNTIF($H$140:$H145,$B32&amp;" ~*"))*1000+IF(AZ146&gt;100,500,0)+13,"")</f>
        <v/>
      </c>
      <c r="BZ146">
        <f>IF(AND(BA146&lt;&gt;"",COUNTIF($S$53:$U$53,$B33)+COUNTIF($S$53:$U$53,$B33&amp;" ~*")=0),($R33+COUNTIF($H$140:$H145,$B33)+COUNTIF($H$140:$H145,$B33&amp;" ~*"))*1000+IF(BA146&gt;100,500,0)+14,"")</f>
        <v/>
      </c>
      <c r="CA146">
        <f>IF(AND(BB146&lt;&gt;"",COUNTIF($S$53:$U$53,$B34)+COUNTIF($S$53:$U$53,$B34&amp;" ~*")=0),($R34+COUNTIF($H$140:$H145,$B34)+COUNTIF($H$140:$H145,$B34&amp;" ~*"))*1000+IF(BB146&gt;100,500,0)+15,"")</f>
        <v/>
      </c>
      <c r="CB146">
        <f>IF(AND(BC146&lt;&gt;"",COUNTIF($S$53:$U$53,$B35)+COUNTIF($S$53:$U$53,$B35&amp;" ~*")=0),($R35+COUNTIF($H$140:$H145,$B35)+COUNTIF($H$140:$H145,$B35&amp;" ~*"))*1000+IF(BC146&gt;100,500,0)+16,"")</f>
        <v/>
      </c>
      <c r="CC146">
        <f>IF(AND(BD146&lt;&gt;"",COUNTIF($S$53:$U$53,$B36)+COUNTIF($S$53:$U$53,$B36&amp;" ~*")=0),($R36+COUNTIF($H$140:$H145,$B36)+COUNTIF($H$140:$H145,$B36&amp;" ~*"))*1000+IF(BD146&gt;100,500,0)+17,"")</f>
        <v/>
      </c>
      <c r="CD146">
        <f>IF(AND(BE146&lt;&gt;"",COUNTIF($S$53:$U$53,$B37)+COUNTIF($S$53:$U$53,$B37&amp;" ~*")=0),($R37+COUNTIF($H$140:$H145,$B37)+COUNTIF($H$140:$H145,$B37&amp;" ~*"))*1000+IF(BE146&gt;100,500,0)+18,"")</f>
        <v/>
      </c>
      <c r="CE146">
        <f>IF(AND(BF146&lt;&gt;"",COUNTIF($S$53:$U$53,$B38)+COUNTIF($S$53:$U$53,$B38&amp;" ~*")=0),($R38+COUNTIF($H$140:$H145,$B38)+COUNTIF($H$140:$H145,$B38&amp;" ~*"))*1000+IF(BF146&gt;100,500,0)+19,"")</f>
        <v/>
      </c>
      <c r="CF146">
        <f>IF(AND(BG146&lt;&gt;"",COUNTIF($S$53:$U$53,$B39)+COUNTIF($S$53:$U$53,$B39&amp;" ~*")=0),($R39+COUNTIF($H$140:$H145,$B39)+COUNTIF($H$140:$H145,$B39&amp;" ~*"))*1000+IF(BG146&gt;100,500,0)+20,"")</f>
        <v/>
      </c>
      <c r="CG146">
        <f>IF(AND(BH146&lt;&gt;"",COUNTIF($S$53:$U$53,$B40)+COUNTIF($S$53:$U$53,$B40&amp;" ~*")=0),($R40+COUNTIF($H$140:$H145,$B40)+COUNTIF($H$140:$H145,$B40&amp;" ~*"))*1000+IF(BH146&gt;100,500,0)+21,"")</f>
        <v/>
      </c>
      <c r="CH146">
        <f>IF(AND(BI146&lt;&gt;"",COUNTIF($S$53:$U$53,$B41)+COUNTIF($S$53:$U$53,$B41&amp;" ~*")=0),($R41+COUNTIF($H$140:$H145,$B41)+COUNTIF($H$140:$H145,$B41&amp;" ~*"))*1000+IF(BI146&gt;100,500,0)+22,"")</f>
        <v/>
      </c>
      <c r="CI146">
        <f>IF(AND(BJ146&lt;&gt;"",COUNTIF($S$53:$U$53,$B42)+COUNTIF($S$53:$U$53,$B42&amp;" ~*")=0),($R42+COUNTIF($H$140:$H145,$B42)+COUNTIF($H$140:$H145,$B42&amp;" ~*"))*1000+IF(BJ146&gt;100,500,0)+23,"")</f>
        <v/>
      </c>
      <c r="CJ146">
        <f>IF(AND(BK146&lt;&gt;"",COUNTIF($S$53:$U$53,$B43)+COUNTIF($S$53:$U$53,$B43&amp;" ~*")=0),($R43+COUNTIF($H$140:$H145,$B43)+COUNTIF($H$140:$H145,$B43&amp;" ~*"))*1000+IF(BK146&gt;100,500,0)+24,"")</f>
        <v/>
      </c>
    </row>
    <row r="147">
      <c r="A147" t="n">
        <v>5</v>
      </c>
      <c r="B147" t="n">
        <v>8</v>
      </c>
      <c r="C147">
        <f>$B$54</f>
        <v/>
      </c>
      <c r="D147" t="inlineStr">
        <is>
          <t>Fri</t>
        </is>
      </c>
      <c r="E147">
        <f>IF(C147="","",N($AB$54))</f>
        <v/>
      </c>
      <c r="F147">
        <f>IF(C147="","",COUNTIF($S$54:$U$54,"?*"))</f>
        <v/>
      </c>
      <c r="G147">
        <f>IF(C147="","",MAX(0,E147-F147))</f>
        <v/>
      </c>
      <c r="H147">
        <f>IF(N(G147)=0,"",IF(COUNT(BM147:CJ147)=0,"no-one eligible",INDEX(Engine!$B$20:$B$43,MOD(MIN(BM147:CJ147),500))&amp;IF(MOD(MIN(BM147:CJ147),1000)&gt;=500," *","")))</f>
        <v/>
      </c>
      <c r="I147">
        <f>IF(N(G147)&gt;0,COUNTIF($G$68:G147,"&gt;0"),"")</f>
        <v/>
      </c>
      <c r="J147">
        <f>IF(C147="","",IF($S$54="",0,IF(IFERROR(INDEX(Setup!$O$6:$AL$23,8,MATCH(SUBSTITUTE($S$54," *",""),Setup!$B$6:$B$29,0)),"")="",1,0))+IF($T$54="",0,IF(IFERROR(INDEX(Setup!$O$6:$AL$23,8,MATCH(SUBSTITUTE($T$54," *",""),Setup!$B$6:$B$29,0)),"")="",1,0))+IF($U$54="",0,IF(IFERROR(INDEX(Setup!$O$6:$AL$23,8,MATCH(SUBSTITUTE($U$54," *",""),Setup!$B$6:$B$29,0)),"")="",1,0)))</f>
        <v/>
      </c>
      <c r="K147">
        <f>IF($B$12+4=TODAY(),1,0)</f>
        <v/>
      </c>
      <c r="N147">
        <f>COUNT($AN147:$BK147)</f>
        <v/>
      </c>
      <c r="O147">
        <f>IF(1&gt;$N147,"",INDEX(Engine!$B$20:$B$43,MOD(SMALL($AN147:$BK147,1),100))&amp;IF(SMALL($AN147:$BK147,1)&gt;100," *",""))</f>
        <v/>
      </c>
      <c r="P147">
        <f>IF(2&gt;$N147,"",INDEX(Engine!$B$20:$B$43,MOD(SMALL($AN147:$BK147,2),100))&amp;IF(SMALL($AN147:$BK147,2)&gt;100," *",""))</f>
        <v/>
      </c>
      <c r="Q147">
        <f>IF(3&gt;$N147,"",INDEX(Engine!$B$20:$B$43,MOD(SMALL($AN147:$BK147,3),100))&amp;IF(SMALL($AN147:$BK147,3)&gt;100," *",""))</f>
        <v/>
      </c>
      <c r="R147">
        <f>IF(4&gt;$N147,"",INDEX(Engine!$B$20:$B$43,MOD(SMALL($AN147:$BK147,4),100))&amp;IF(SMALL($AN147:$BK147,4)&gt;100," *",""))</f>
        <v/>
      </c>
      <c r="S147">
        <f>IF(5&gt;$N147,"",INDEX(Engine!$B$20:$B$43,MOD(SMALL($AN147:$BK147,5),100))&amp;IF(SMALL($AN147:$BK147,5)&gt;100," *",""))</f>
        <v/>
      </c>
      <c r="T147">
        <f>IF(6&gt;$N147,"",INDEX(Engine!$B$20:$B$43,MOD(SMALL($AN147:$BK147,6),100))&amp;IF(SMALL($AN147:$BK147,6)&gt;100," *",""))</f>
        <v/>
      </c>
      <c r="U147">
        <f>IF(7&gt;$N147,"",INDEX(Engine!$B$20:$B$43,MOD(SMALL($AN147:$BK147,7),100))&amp;IF(SMALL($AN147:$BK147,7)&gt;100," *",""))</f>
        <v/>
      </c>
      <c r="V147">
        <f>IF(8&gt;$N147,"",INDEX(Engine!$B$20:$B$43,MOD(SMALL($AN147:$BK147,8),100))&amp;IF(SMALL($AN147:$BK147,8)&gt;100," *",""))</f>
        <v/>
      </c>
      <c r="W147">
        <f>IF(9&gt;$N147,"",INDEX(Engine!$B$20:$B$43,MOD(SMALL($AN147:$BK147,9),100))&amp;IF(SMALL($AN147:$BK147,9)&gt;100," *",""))</f>
        <v/>
      </c>
      <c r="X147">
        <f>IF(10&gt;$N147,"",INDEX(Engine!$B$20:$B$43,MOD(SMALL($AN147:$BK147,10),100))&amp;IF(SMALL($AN147:$BK147,10)&gt;100," *",""))</f>
        <v/>
      </c>
      <c r="Y147">
        <f>IF(11&gt;$N147,"",INDEX(Engine!$B$20:$B$43,MOD(SMALL($AN147:$BK147,11),100))&amp;IF(SMALL($AN147:$BK147,11)&gt;100," *",""))</f>
        <v/>
      </c>
      <c r="Z147">
        <f>IF(12&gt;$N147,"",INDEX(Engine!$B$20:$B$43,MOD(SMALL($AN147:$BK147,12),100))&amp;IF(SMALL($AN147:$BK147,12)&gt;100," *",""))</f>
        <v/>
      </c>
      <c r="AA147">
        <f>IF(13&gt;$N147,"",INDEX(Engine!$B$20:$B$43,MOD(SMALL($AN147:$BK147,13),100))&amp;IF(SMALL($AN147:$BK147,13)&gt;100," *",""))</f>
        <v/>
      </c>
      <c r="AB147">
        <f>IF(14&gt;$N147,"",INDEX(Engine!$B$20:$B$43,MOD(SMALL($AN147:$BK147,14),100))&amp;IF(SMALL($AN147:$BK147,14)&gt;100," *",""))</f>
        <v/>
      </c>
      <c r="AC147">
        <f>IF(15&gt;$N147,"",INDEX(Engine!$B$20:$B$43,MOD(SMALL($AN147:$BK147,15),100))&amp;IF(SMALL($AN147:$BK147,15)&gt;100," *",""))</f>
        <v/>
      </c>
      <c r="AD147">
        <f>IF(16&gt;$N147,"",INDEX(Engine!$B$20:$B$43,MOD(SMALL($AN147:$BK147,16),100))&amp;IF(SMALL($AN147:$BK147,16)&gt;100," *",""))</f>
        <v/>
      </c>
      <c r="AE147">
        <f>IF(17&gt;$N147,"",INDEX(Engine!$B$20:$B$43,MOD(SMALL($AN147:$BK147,17),100))&amp;IF(SMALL($AN147:$BK147,17)&gt;100," *",""))</f>
        <v/>
      </c>
      <c r="AF147">
        <f>IF(18&gt;$N147,"",INDEX(Engine!$B$20:$B$43,MOD(SMALL($AN147:$BK147,18),100))&amp;IF(SMALL($AN147:$BK147,18)&gt;100," *",""))</f>
        <v/>
      </c>
      <c r="AG147">
        <f>IF(19&gt;$N147,"",INDEX(Engine!$B$20:$B$43,MOD(SMALL($AN147:$BK147,19),100))&amp;IF(SMALL($AN147:$BK147,19)&gt;100," *",""))</f>
        <v/>
      </c>
      <c r="AH147">
        <f>IF(20&gt;$N147,"",INDEX(Engine!$B$20:$B$43,MOD(SMALL($AN147:$BK147,20),100))&amp;IF(SMALL($AN147:$BK147,20)&gt;100," *",""))</f>
        <v/>
      </c>
      <c r="AI147">
        <f>IF(21&gt;$N147,"",INDEX(Engine!$B$20:$B$43,MOD(SMALL($AN147:$BK147,21),100))&amp;IF(SMALL($AN147:$BK147,21)&gt;100," *",""))</f>
        <v/>
      </c>
      <c r="AJ147">
        <f>IF(22&gt;$N147,"",INDEX(Engine!$B$20:$B$43,MOD(SMALL($AN147:$BK147,22),100))&amp;IF(SMALL($AN147:$BK147,22)&gt;100," *",""))</f>
        <v/>
      </c>
      <c r="AK147">
        <f>IF(23&gt;$N147,"",INDEX(Engine!$B$20:$B$43,MOD(SMALL($AN147:$BK147,23),100))&amp;IF(SMALL($AN147:$BK147,23)&gt;100," *",""))</f>
        <v/>
      </c>
      <c r="AL147">
        <f>IF(24&gt;$N147,"",INDEX(Engine!$B$20:$B$43,MOD(SMALL($AN147:$BK147,24),100))&amp;IF(SMALL($AN147:$BK147,24)&gt;100," *",""))</f>
        <v/>
      </c>
      <c r="AN147">
        <f>IF(AND($C20=1,INDEX(Setup!$O$6:$AL$23,8,1)&lt;&gt;"",O20=0),1+IF(INDEX(Setup!$O$6:$AL$23,8,1)="T",100,0),"")</f>
        <v/>
      </c>
      <c r="AO147">
        <f>IF(AND($C21=1,INDEX(Setup!$O$6:$AL$23,8,2)&lt;&gt;"",O21=0),2+IF(INDEX(Setup!$O$6:$AL$23,8,2)="T",100,0),"")</f>
        <v/>
      </c>
      <c r="AP147">
        <f>IF(AND($C22=1,INDEX(Setup!$O$6:$AL$23,8,3)&lt;&gt;"",O22=0),3+IF(INDEX(Setup!$O$6:$AL$23,8,3)="T",100,0),"")</f>
        <v/>
      </c>
      <c r="AQ147">
        <f>IF(AND($C23=1,INDEX(Setup!$O$6:$AL$23,8,4)&lt;&gt;"",O23=0),4+IF(INDEX(Setup!$O$6:$AL$23,8,4)="T",100,0),"")</f>
        <v/>
      </c>
      <c r="AR147">
        <f>IF(AND($C24=1,INDEX(Setup!$O$6:$AL$23,8,5)&lt;&gt;"",O24=0),5+IF(INDEX(Setup!$O$6:$AL$23,8,5)="T",100,0),"")</f>
        <v/>
      </c>
      <c r="AS147">
        <f>IF(AND($C25=1,INDEX(Setup!$O$6:$AL$23,8,6)&lt;&gt;"",O25=0),6+IF(INDEX(Setup!$O$6:$AL$23,8,6)="T",100,0),"")</f>
        <v/>
      </c>
      <c r="AT147">
        <f>IF(AND($C26=1,INDEX(Setup!$O$6:$AL$23,8,7)&lt;&gt;"",O26=0),7+IF(INDEX(Setup!$O$6:$AL$23,8,7)="T",100,0),"")</f>
        <v/>
      </c>
      <c r="AU147">
        <f>IF(AND($C27=1,INDEX(Setup!$O$6:$AL$23,8,8)&lt;&gt;"",O27=0),8+IF(INDEX(Setup!$O$6:$AL$23,8,8)="T",100,0),"")</f>
        <v/>
      </c>
      <c r="AV147">
        <f>IF(AND($C28=1,INDEX(Setup!$O$6:$AL$23,8,9)&lt;&gt;"",O28=0),9+IF(INDEX(Setup!$O$6:$AL$23,8,9)="T",100,0),"")</f>
        <v/>
      </c>
      <c r="AW147">
        <f>IF(AND($C29=1,INDEX(Setup!$O$6:$AL$23,8,10)&lt;&gt;"",O29=0),10+IF(INDEX(Setup!$O$6:$AL$23,8,10)="T",100,0),"")</f>
        <v/>
      </c>
      <c r="AX147">
        <f>IF(AND($C30=1,INDEX(Setup!$O$6:$AL$23,8,11)&lt;&gt;"",O30=0),11+IF(INDEX(Setup!$O$6:$AL$23,8,11)="T",100,0),"")</f>
        <v/>
      </c>
      <c r="AY147">
        <f>IF(AND($C31=1,INDEX(Setup!$O$6:$AL$23,8,12)&lt;&gt;"",O31=0),12+IF(INDEX(Setup!$O$6:$AL$23,8,12)="T",100,0),"")</f>
        <v/>
      </c>
      <c r="AZ147">
        <f>IF(AND($C32=1,INDEX(Setup!$O$6:$AL$23,8,13)&lt;&gt;"",O32=0),13+IF(INDEX(Setup!$O$6:$AL$23,8,13)="T",100,0),"")</f>
        <v/>
      </c>
      <c r="BA147">
        <f>IF(AND($C33=1,INDEX(Setup!$O$6:$AL$23,8,14)&lt;&gt;"",O33=0),14+IF(INDEX(Setup!$O$6:$AL$23,8,14)="T",100,0),"")</f>
        <v/>
      </c>
      <c r="BB147">
        <f>IF(AND($C34=1,INDEX(Setup!$O$6:$AL$23,8,15)&lt;&gt;"",O34=0),15+IF(INDEX(Setup!$O$6:$AL$23,8,15)="T",100,0),"")</f>
        <v/>
      </c>
      <c r="BC147">
        <f>IF(AND($C35=1,INDEX(Setup!$O$6:$AL$23,8,16)&lt;&gt;"",O35=0),16+IF(INDEX(Setup!$O$6:$AL$23,8,16)="T",100,0),"")</f>
        <v/>
      </c>
      <c r="BD147">
        <f>IF(AND($C36=1,INDEX(Setup!$O$6:$AL$23,8,17)&lt;&gt;"",O36=0),17+IF(INDEX(Setup!$O$6:$AL$23,8,17)="T",100,0),"")</f>
        <v/>
      </c>
      <c r="BE147">
        <f>IF(AND($C37=1,INDEX(Setup!$O$6:$AL$23,8,18)&lt;&gt;"",O37=0),18+IF(INDEX(Setup!$O$6:$AL$23,8,18)="T",100,0),"")</f>
        <v/>
      </c>
      <c r="BF147">
        <f>IF(AND($C38=1,INDEX(Setup!$O$6:$AL$23,8,19)&lt;&gt;"",O38=0),19+IF(INDEX(Setup!$O$6:$AL$23,8,19)="T",100,0),"")</f>
        <v/>
      </c>
      <c r="BG147">
        <f>IF(AND($C39=1,INDEX(Setup!$O$6:$AL$23,8,20)&lt;&gt;"",O39=0),20+IF(INDEX(Setup!$O$6:$AL$23,8,20)="T",100,0),"")</f>
        <v/>
      </c>
      <c r="BH147">
        <f>IF(AND($C40=1,INDEX(Setup!$O$6:$AL$23,8,21)&lt;&gt;"",O40=0),21+IF(INDEX(Setup!$O$6:$AL$23,8,21)="T",100,0),"")</f>
        <v/>
      </c>
      <c r="BI147">
        <f>IF(AND($C41=1,INDEX(Setup!$O$6:$AL$23,8,22)&lt;&gt;"",O41=0),22+IF(INDEX(Setup!$O$6:$AL$23,8,22)="T",100,0),"")</f>
        <v/>
      </c>
      <c r="BJ147">
        <f>IF(AND($C42=1,INDEX(Setup!$O$6:$AL$23,8,23)&lt;&gt;"",O42=0),23+IF(INDEX(Setup!$O$6:$AL$23,8,23)="T",100,0),"")</f>
        <v/>
      </c>
      <c r="BK147">
        <f>IF(AND($C43=1,INDEX(Setup!$O$6:$AL$23,8,24)&lt;&gt;"",O43=0),24+IF(INDEX(Setup!$O$6:$AL$23,8,24)="T",100,0),"")</f>
        <v/>
      </c>
      <c r="BM147">
        <f>IF(AND(AN147&lt;&gt;"",COUNTIF($S$54:$U$54,$B20)+COUNTIF($S$54:$U$54,$B20&amp;" ~*")=0),($R20+COUNTIF($H$140:$H146,$B20)+COUNTIF($H$140:$H146,$B20&amp;" ~*"))*1000+IF(AN147&gt;100,500,0)+1,"")</f>
        <v/>
      </c>
      <c r="BN147">
        <f>IF(AND(AO147&lt;&gt;"",COUNTIF($S$54:$U$54,$B21)+COUNTIF($S$54:$U$54,$B21&amp;" ~*")=0),($R21+COUNTIF($H$140:$H146,$B21)+COUNTIF($H$140:$H146,$B21&amp;" ~*"))*1000+IF(AO147&gt;100,500,0)+2,"")</f>
        <v/>
      </c>
      <c r="BO147">
        <f>IF(AND(AP147&lt;&gt;"",COUNTIF($S$54:$U$54,$B22)+COUNTIF($S$54:$U$54,$B22&amp;" ~*")=0),($R22+COUNTIF($H$140:$H146,$B22)+COUNTIF($H$140:$H146,$B22&amp;" ~*"))*1000+IF(AP147&gt;100,500,0)+3,"")</f>
        <v/>
      </c>
      <c r="BP147">
        <f>IF(AND(AQ147&lt;&gt;"",COUNTIF($S$54:$U$54,$B23)+COUNTIF($S$54:$U$54,$B23&amp;" ~*")=0),($R23+COUNTIF($H$140:$H146,$B23)+COUNTIF($H$140:$H146,$B23&amp;" ~*"))*1000+IF(AQ147&gt;100,500,0)+4,"")</f>
        <v/>
      </c>
      <c r="BQ147">
        <f>IF(AND(AR147&lt;&gt;"",COUNTIF($S$54:$U$54,$B24)+COUNTIF($S$54:$U$54,$B24&amp;" ~*")=0),($R24+COUNTIF($H$140:$H146,$B24)+COUNTIF($H$140:$H146,$B24&amp;" ~*"))*1000+IF(AR147&gt;100,500,0)+5,"")</f>
        <v/>
      </c>
      <c r="BR147">
        <f>IF(AND(AS147&lt;&gt;"",COUNTIF($S$54:$U$54,$B25)+COUNTIF($S$54:$U$54,$B25&amp;" ~*")=0),($R25+COUNTIF($H$140:$H146,$B25)+COUNTIF($H$140:$H146,$B25&amp;" ~*"))*1000+IF(AS147&gt;100,500,0)+6,"")</f>
        <v/>
      </c>
      <c r="BS147">
        <f>IF(AND(AT147&lt;&gt;"",COUNTIF($S$54:$U$54,$B26)+COUNTIF($S$54:$U$54,$B26&amp;" ~*")=0),($R26+COUNTIF($H$140:$H146,$B26)+COUNTIF($H$140:$H146,$B26&amp;" ~*"))*1000+IF(AT147&gt;100,500,0)+7,"")</f>
        <v/>
      </c>
      <c r="BT147">
        <f>IF(AND(AU147&lt;&gt;"",COUNTIF($S$54:$U$54,$B27)+COUNTIF($S$54:$U$54,$B27&amp;" ~*")=0),($R27+COUNTIF($H$140:$H146,$B27)+COUNTIF($H$140:$H146,$B27&amp;" ~*"))*1000+IF(AU147&gt;100,500,0)+8,"")</f>
        <v/>
      </c>
      <c r="BU147">
        <f>IF(AND(AV147&lt;&gt;"",COUNTIF($S$54:$U$54,$B28)+COUNTIF($S$54:$U$54,$B28&amp;" ~*")=0),($R28+COUNTIF($H$140:$H146,$B28)+COUNTIF($H$140:$H146,$B28&amp;" ~*"))*1000+IF(AV147&gt;100,500,0)+9,"")</f>
        <v/>
      </c>
      <c r="BV147">
        <f>IF(AND(AW147&lt;&gt;"",COUNTIF($S$54:$U$54,$B29)+COUNTIF($S$54:$U$54,$B29&amp;" ~*")=0),($R29+COUNTIF($H$140:$H146,$B29)+COUNTIF($H$140:$H146,$B29&amp;" ~*"))*1000+IF(AW147&gt;100,500,0)+10,"")</f>
        <v/>
      </c>
      <c r="BW147">
        <f>IF(AND(AX147&lt;&gt;"",COUNTIF($S$54:$U$54,$B30)+COUNTIF($S$54:$U$54,$B30&amp;" ~*")=0),($R30+COUNTIF($H$140:$H146,$B30)+COUNTIF($H$140:$H146,$B30&amp;" ~*"))*1000+IF(AX147&gt;100,500,0)+11,"")</f>
        <v/>
      </c>
      <c r="BX147">
        <f>IF(AND(AY147&lt;&gt;"",COUNTIF($S$54:$U$54,$B31)+COUNTIF($S$54:$U$54,$B31&amp;" ~*")=0),($R31+COUNTIF($H$140:$H146,$B31)+COUNTIF($H$140:$H146,$B31&amp;" ~*"))*1000+IF(AY147&gt;100,500,0)+12,"")</f>
        <v/>
      </c>
      <c r="BY147">
        <f>IF(AND(AZ147&lt;&gt;"",COUNTIF($S$54:$U$54,$B32)+COUNTIF($S$54:$U$54,$B32&amp;" ~*")=0),($R32+COUNTIF($H$140:$H146,$B32)+COUNTIF($H$140:$H146,$B32&amp;" ~*"))*1000+IF(AZ147&gt;100,500,0)+13,"")</f>
        <v/>
      </c>
      <c r="BZ147">
        <f>IF(AND(BA147&lt;&gt;"",COUNTIF($S$54:$U$54,$B33)+COUNTIF($S$54:$U$54,$B33&amp;" ~*")=0),($R33+COUNTIF($H$140:$H146,$B33)+COUNTIF($H$140:$H146,$B33&amp;" ~*"))*1000+IF(BA147&gt;100,500,0)+14,"")</f>
        <v/>
      </c>
      <c r="CA147">
        <f>IF(AND(BB147&lt;&gt;"",COUNTIF($S$54:$U$54,$B34)+COUNTIF($S$54:$U$54,$B34&amp;" ~*")=0),($R34+COUNTIF($H$140:$H146,$B34)+COUNTIF($H$140:$H146,$B34&amp;" ~*"))*1000+IF(BB147&gt;100,500,0)+15,"")</f>
        <v/>
      </c>
      <c r="CB147">
        <f>IF(AND(BC147&lt;&gt;"",COUNTIF($S$54:$U$54,$B35)+COUNTIF($S$54:$U$54,$B35&amp;" ~*")=0),($R35+COUNTIF($H$140:$H146,$B35)+COUNTIF($H$140:$H146,$B35&amp;" ~*"))*1000+IF(BC147&gt;100,500,0)+16,"")</f>
        <v/>
      </c>
      <c r="CC147">
        <f>IF(AND(BD147&lt;&gt;"",COUNTIF($S$54:$U$54,$B36)+COUNTIF($S$54:$U$54,$B36&amp;" ~*")=0),($R36+COUNTIF($H$140:$H146,$B36)+COUNTIF($H$140:$H146,$B36&amp;" ~*"))*1000+IF(BD147&gt;100,500,0)+17,"")</f>
        <v/>
      </c>
      <c r="CD147">
        <f>IF(AND(BE147&lt;&gt;"",COUNTIF($S$54:$U$54,$B37)+COUNTIF($S$54:$U$54,$B37&amp;" ~*")=0),($R37+COUNTIF($H$140:$H146,$B37)+COUNTIF($H$140:$H146,$B37&amp;" ~*"))*1000+IF(BE147&gt;100,500,0)+18,"")</f>
        <v/>
      </c>
      <c r="CE147">
        <f>IF(AND(BF147&lt;&gt;"",COUNTIF($S$54:$U$54,$B38)+COUNTIF($S$54:$U$54,$B38&amp;" ~*")=0),($R38+COUNTIF($H$140:$H146,$B38)+COUNTIF($H$140:$H146,$B38&amp;" ~*"))*1000+IF(BF147&gt;100,500,0)+19,"")</f>
        <v/>
      </c>
      <c r="CF147">
        <f>IF(AND(BG147&lt;&gt;"",COUNTIF($S$54:$U$54,$B39)+COUNTIF($S$54:$U$54,$B39&amp;" ~*")=0),($R39+COUNTIF($H$140:$H146,$B39)+COUNTIF($H$140:$H146,$B39&amp;" ~*"))*1000+IF(BG147&gt;100,500,0)+20,"")</f>
        <v/>
      </c>
      <c r="CG147">
        <f>IF(AND(BH147&lt;&gt;"",COUNTIF($S$54:$U$54,$B40)+COUNTIF($S$54:$U$54,$B40&amp;" ~*")=0),($R40+COUNTIF($H$140:$H146,$B40)+COUNTIF($H$140:$H146,$B40&amp;" ~*"))*1000+IF(BH147&gt;100,500,0)+21,"")</f>
        <v/>
      </c>
      <c r="CH147">
        <f>IF(AND(BI147&lt;&gt;"",COUNTIF($S$54:$U$54,$B41)+COUNTIF($S$54:$U$54,$B41&amp;" ~*")=0),($R41+COUNTIF($H$140:$H146,$B41)+COUNTIF($H$140:$H146,$B41&amp;" ~*"))*1000+IF(BI147&gt;100,500,0)+22,"")</f>
        <v/>
      </c>
      <c r="CI147">
        <f>IF(AND(BJ147&lt;&gt;"",COUNTIF($S$54:$U$54,$B42)+COUNTIF($S$54:$U$54,$B42&amp;" ~*")=0),($R42+COUNTIF($H$140:$H146,$B42)+COUNTIF($H$140:$H146,$B42&amp;" ~*"))*1000+IF(BJ147&gt;100,500,0)+23,"")</f>
        <v/>
      </c>
      <c r="CJ147">
        <f>IF(AND(BK147&lt;&gt;"",COUNTIF($S$54:$U$54,$B43)+COUNTIF($S$54:$U$54,$B43&amp;" ~*")=0),($R43+COUNTIF($H$140:$H146,$B43)+COUNTIF($H$140:$H146,$B43&amp;" ~*"))*1000+IF(BK147&gt;100,500,0)+24,"")</f>
        <v/>
      </c>
    </row>
    <row r="148">
      <c r="A148" t="n">
        <v>5</v>
      </c>
      <c r="B148" t="n">
        <v>9</v>
      </c>
      <c r="C148">
        <f>$B$55</f>
        <v/>
      </c>
      <c r="D148" t="inlineStr">
        <is>
          <t>Fri</t>
        </is>
      </c>
      <c r="E148">
        <f>IF(C148="","",N($AB$55))</f>
        <v/>
      </c>
      <c r="F148">
        <f>IF(C148="","",COUNTIF($S$55:$U$55,"?*"))</f>
        <v/>
      </c>
      <c r="G148">
        <f>IF(C148="","",MAX(0,E148-F148))</f>
        <v/>
      </c>
      <c r="H148">
        <f>IF(N(G148)=0,"",IF(COUNT(BM148:CJ148)=0,"no-one eligible",INDEX(Engine!$B$20:$B$43,MOD(MIN(BM148:CJ148),500))&amp;IF(MOD(MIN(BM148:CJ148),1000)&gt;=500," *","")))</f>
        <v/>
      </c>
      <c r="I148">
        <f>IF(N(G148)&gt;0,COUNTIF($G$68:G148,"&gt;0"),"")</f>
        <v/>
      </c>
      <c r="J148">
        <f>IF(C148="","",IF($S$55="",0,IF(IFERROR(INDEX(Setup!$O$6:$AL$23,9,MATCH(SUBSTITUTE($S$55," *",""),Setup!$B$6:$B$29,0)),"")="",1,0))+IF($T$55="",0,IF(IFERROR(INDEX(Setup!$O$6:$AL$23,9,MATCH(SUBSTITUTE($T$55," *",""),Setup!$B$6:$B$29,0)),"")="",1,0))+IF($U$55="",0,IF(IFERROR(INDEX(Setup!$O$6:$AL$23,9,MATCH(SUBSTITUTE($U$55," *",""),Setup!$B$6:$B$29,0)),"")="",1,0)))</f>
        <v/>
      </c>
      <c r="K148">
        <f>IF($B$12+4=TODAY(),1,0)</f>
        <v/>
      </c>
      <c r="N148">
        <f>COUNT($AN148:$BK148)</f>
        <v/>
      </c>
      <c r="O148">
        <f>IF(1&gt;$N148,"",INDEX(Engine!$B$20:$B$43,MOD(SMALL($AN148:$BK148,1),100))&amp;IF(SMALL($AN148:$BK148,1)&gt;100," *",""))</f>
        <v/>
      </c>
      <c r="P148">
        <f>IF(2&gt;$N148,"",INDEX(Engine!$B$20:$B$43,MOD(SMALL($AN148:$BK148,2),100))&amp;IF(SMALL($AN148:$BK148,2)&gt;100," *",""))</f>
        <v/>
      </c>
      <c r="Q148">
        <f>IF(3&gt;$N148,"",INDEX(Engine!$B$20:$B$43,MOD(SMALL($AN148:$BK148,3),100))&amp;IF(SMALL($AN148:$BK148,3)&gt;100," *",""))</f>
        <v/>
      </c>
      <c r="R148">
        <f>IF(4&gt;$N148,"",INDEX(Engine!$B$20:$B$43,MOD(SMALL($AN148:$BK148,4),100))&amp;IF(SMALL($AN148:$BK148,4)&gt;100," *",""))</f>
        <v/>
      </c>
      <c r="S148">
        <f>IF(5&gt;$N148,"",INDEX(Engine!$B$20:$B$43,MOD(SMALL($AN148:$BK148,5),100))&amp;IF(SMALL($AN148:$BK148,5)&gt;100," *",""))</f>
        <v/>
      </c>
      <c r="T148">
        <f>IF(6&gt;$N148,"",INDEX(Engine!$B$20:$B$43,MOD(SMALL($AN148:$BK148,6),100))&amp;IF(SMALL($AN148:$BK148,6)&gt;100," *",""))</f>
        <v/>
      </c>
      <c r="U148">
        <f>IF(7&gt;$N148,"",INDEX(Engine!$B$20:$B$43,MOD(SMALL($AN148:$BK148,7),100))&amp;IF(SMALL($AN148:$BK148,7)&gt;100," *",""))</f>
        <v/>
      </c>
      <c r="V148">
        <f>IF(8&gt;$N148,"",INDEX(Engine!$B$20:$B$43,MOD(SMALL($AN148:$BK148,8),100))&amp;IF(SMALL($AN148:$BK148,8)&gt;100," *",""))</f>
        <v/>
      </c>
      <c r="W148">
        <f>IF(9&gt;$N148,"",INDEX(Engine!$B$20:$B$43,MOD(SMALL($AN148:$BK148,9),100))&amp;IF(SMALL($AN148:$BK148,9)&gt;100," *",""))</f>
        <v/>
      </c>
      <c r="X148">
        <f>IF(10&gt;$N148,"",INDEX(Engine!$B$20:$B$43,MOD(SMALL($AN148:$BK148,10),100))&amp;IF(SMALL($AN148:$BK148,10)&gt;100," *",""))</f>
        <v/>
      </c>
      <c r="Y148">
        <f>IF(11&gt;$N148,"",INDEX(Engine!$B$20:$B$43,MOD(SMALL($AN148:$BK148,11),100))&amp;IF(SMALL($AN148:$BK148,11)&gt;100," *",""))</f>
        <v/>
      </c>
      <c r="Z148">
        <f>IF(12&gt;$N148,"",INDEX(Engine!$B$20:$B$43,MOD(SMALL($AN148:$BK148,12),100))&amp;IF(SMALL($AN148:$BK148,12)&gt;100," *",""))</f>
        <v/>
      </c>
      <c r="AA148">
        <f>IF(13&gt;$N148,"",INDEX(Engine!$B$20:$B$43,MOD(SMALL($AN148:$BK148,13),100))&amp;IF(SMALL($AN148:$BK148,13)&gt;100," *",""))</f>
        <v/>
      </c>
      <c r="AB148">
        <f>IF(14&gt;$N148,"",INDEX(Engine!$B$20:$B$43,MOD(SMALL($AN148:$BK148,14),100))&amp;IF(SMALL($AN148:$BK148,14)&gt;100," *",""))</f>
        <v/>
      </c>
      <c r="AC148">
        <f>IF(15&gt;$N148,"",INDEX(Engine!$B$20:$B$43,MOD(SMALL($AN148:$BK148,15),100))&amp;IF(SMALL($AN148:$BK148,15)&gt;100," *",""))</f>
        <v/>
      </c>
      <c r="AD148">
        <f>IF(16&gt;$N148,"",INDEX(Engine!$B$20:$B$43,MOD(SMALL($AN148:$BK148,16),100))&amp;IF(SMALL($AN148:$BK148,16)&gt;100," *",""))</f>
        <v/>
      </c>
      <c r="AE148">
        <f>IF(17&gt;$N148,"",INDEX(Engine!$B$20:$B$43,MOD(SMALL($AN148:$BK148,17),100))&amp;IF(SMALL($AN148:$BK148,17)&gt;100," *",""))</f>
        <v/>
      </c>
      <c r="AF148">
        <f>IF(18&gt;$N148,"",INDEX(Engine!$B$20:$B$43,MOD(SMALL($AN148:$BK148,18),100))&amp;IF(SMALL($AN148:$BK148,18)&gt;100," *",""))</f>
        <v/>
      </c>
      <c r="AG148">
        <f>IF(19&gt;$N148,"",INDEX(Engine!$B$20:$B$43,MOD(SMALL($AN148:$BK148,19),100))&amp;IF(SMALL($AN148:$BK148,19)&gt;100," *",""))</f>
        <v/>
      </c>
      <c r="AH148">
        <f>IF(20&gt;$N148,"",INDEX(Engine!$B$20:$B$43,MOD(SMALL($AN148:$BK148,20),100))&amp;IF(SMALL($AN148:$BK148,20)&gt;100," *",""))</f>
        <v/>
      </c>
      <c r="AI148">
        <f>IF(21&gt;$N148,"",INDEX(Engine!$B$20:$B$43,MOD(SMALL($AN148:$BK148,21),100))&amp;IF(SMALL($AN148:$BK148,21)&gt;100," *",""))</f>
        <v/>
      </c>
      <c r="AJ148">
        <f>IF(22&gt;$N148,"",INDEX(Engine!$B$20:$B$43,MOD(SMALL($AN148:$BK148,22),100))&amp;IF(SMALL($AN148:$BK148,22)&gt;100," *",""))</f>
        <v/>
      </c>
      <c r="AK148">
        <f>IF(23&gt;$N148,"",INDEX(Engine!$B$20:$B$43,MOD(SMALL($AN148:$BK148,23),100))&amp;IF(SMALL($AN148:$BK148,23)&gt;100," *",""))</f>
        <v/>
      </c>
      <c r="AL148">
        <f>IF(24&gt;$N148,"",INDEX(Engine!$B$20:$B$43,MOD(SMALL($AN148:$BK148,24),100))&amp;IF(SMALL($AN148:$BK148,24)&gt;100," *",""))</f>
        <v/>
      </c>
      <c r="AN148">
        <f>IF(AND($C20=1,INDEX(Setup!$O$6:$AL$23,9,1)&lt;&gt;"",O20=0),1+IF(INDEX(Setup!$O$6:$AL$23,9,1)="T",100,0),"")</f>
        <v/>
      </c>
      <c r="AO148">
        <f>IF(AND($C21=1,INDEX(Setup!$O$6:$AL$23,9,2)&lt;&gt;"",O21=0),2+IF(INDEX(Setup!$O$6:$AL$23,9,2)="T",100,0),"")</f>
        <v/>
      </c>
      <c r="AP148">
        <f>IF(AND($C22=1,INDEX(Setup!$O$6:$AL$23,9,3)&lt;&gt;"",O22=0),3+IF(INDEX(Setup!$O$6:$AL$23,9,3)="T",100,0),"")</f>
        <v/>
      </c>
      <c r="AQ148">
        <f>IF(AND($C23=1,INDEX(Setup!$O$6:$AL$23,9,4)&lt;&gt;"",O23=0),4+IF(INDEX(Setup!$O$6:$AL$23,9,4)="T",100,0),"")</f>
        <v/>
      </c>
      <c r="AR148">
        <f>IF(AND($C24=1,INDEX(Setup!$O$6:$AL$23,9,5)&lt;&gt;"",O24=0),5+IF(INDEX(Setup!$O$6:$AL$23,9,5)="T",100,0),"")</f>
        <v/>
      </c>
      <c r="AS148">
        <f>IF(AND($C25=1,INDEX(Setup!$O$6:$AL$23,9,6)&lt;&gt;"",O25=0),6+IF(INDEX(Setup!$O$6:$AL$23,9,6)="T",100,0),"")</f>
        <v/>
      </c>
      <c r="AT148">
        <f>IF(AND($C26=1,INDEX(Setup!$O$6:$AL$23,9,7)&lt;&gt;"",O26=0),7+IF(INDEX(Setup!$O$6:$AL$23,9,7)="T",100,0),"")</f>
        <v/>
      </c>
      <c r="AU148">
        <f>IF(AND($C27=1,INDEX(Setup!$O$6:$AL$23,9,8)&lt;&gt;"",O27=0),8+IF(INDEX(Setup!$O$6:$AL$23,9,8)="T",100,0),"")</f>
        <v/>
      </c>
      <c r="AV148">
        <f>IF(AND($C28=1,INDEX(Setup!$O$6:$AL$23,9,9)&lt;&gt;"",O28=0),9+IF(INDEX(Setup!$O$6:$AL$23,9,9)="T",100,0),"")</f>
        <v/>
      </c>
      <c r="AW148">
        <f>IF(AND($C29=1,INDEX(Setup!$O$6:$AL$23,9,10)&lt;&gt;"",O29=0),10+IF(INDEX(Setup!$O$6:$AL$23,9,10)="T",100,0),"")</f>
        <v/>
      </c>
      <c r="AX148">
        <f>IF(AND($C30=1,INDEX(Setup!$O$6:$AL$23,9,11)&lt;&gt;"",O30=0),11+IF(INDEX(Setup!$O$6:$AL$23,9,11)="T",100,0),"")</f>
        <v/>
      </c>
      <c r="AY148">
        <f>IF(AND($C31=1,INDEX(Setup!$O$6:$AL$23,9,12)&lt;&gt;"",O31=0),12+IF(INDEX(Setup!$O$6:$AL$23,9,12)="T",100,0),"")</f>
        <v/>
      </c>
      <c r="AZ148">
        <f>IF(AND($C32=1,INDEX(Setup!$O$6:$AL$23,9,13)&lt;&gt;"",O32=0),13+IF(INDEX(Setup!$O$6:$AL$23,9,13)="T",100,0),"")</f>
        <v/>
      </c>
      <c r="BA148">
        <f>IF(AND($C33=1,INDEX(Setup!$O$6:$AL$23,9,14)&lt;&gt;"",O33=0),14+IF(INDEX(Setup!$O$6:$AL$23,9,14)="T",100,0),"")</f>
        <v/>
      </c>
      <c r="BB148">
        <f>IF(AND($C34=1,INDEX(Setup!$O$6:$AL$23,9,15)&lt;&gt;"",O34=0),15+IF(INDEX(Setup!$O$6:$AL$23,9,15)="T",100,0),"")</f>
        <v/>
      </c>
      <c r="BC148">
        <f>IF(AND($C35=1,INDEX(Setup!$O$6:$AL$23,9,16)&lt;&gt;"",O35=0),16+IF(INDEX(Setup!$O$6:$AL$23,9,16)="T",100,0),"")</f>
        <v/>
      </c>
      <c r="BD148">
        <f>IF(AND($C36=1,INDEX(Setup!$O$6:$AL$23,9,17)&lt;&gt;"",O36=0),17+IF(INDEX(Setup!$O$6:$AL$23,9,17)="T",100,0),"")</f>
        <v/>
      </c>
      <c r="BE148">
        <f>IF(AND($C37=1,INDEX(Setup!$O$6:$AL$23,9,18)&lt;&gt;"",O37=0),18+IF(INDEX(Setup!$O$6:$AL$23,9,18)="T",100,0),"")</f>
        <v/>
      </c>
      <c r="BF148">
        <f>IF(AND($C38=1,INDEX(Setup!$O$6:$AL$23,9,19)&lt;&gt;"",O38=0),19+IF(INDEX(Setup!$O$6:$AL$23,9,19)="T",100,0),"")</f>
        <v/>
      </c>
      <c r="BG148">
        <f>IF(AND($C39=1,INDEX(Setup!$O$6:$AL$23,9,20)&lt;&gt;"",O39=0),20+IF(INDEX(Setup!$O$6:$AL$23,9,20)="T",100,0),"")</f>
        <v/>
      </c>
      <c r="BH148">
        <f>IF(AND($C40=1,INDEX(Setup!$O$6:$AL$23,9,21)&lt;&gt;"",O40=0),21+IF(INDEX(Setup!$O$6:$AL$23,9,21)="T",100,0),"")</f>
        <v/>
      </c>
      <c r="BI148">
        <f>IF(AND($C41=1,INDEX(Setup!$O$6:$AL$23,9,22)&lt;&gt;"",O41=0),22+IF(INDEX(Setup!$O$6:$AL$23,9,22)="T",100,0),"")</f>
        <v/>
      </c>
      <c r="BJ148">
        <f>IF(AND($C42=1,INDEX(Setup!$O$6:$AL$23,9,23)&lt;&gt;"",O42=0),23+IF(INDEX(Setup!$O$6:$AL$23,9,23)="T",100,0),"")</f>
        <v/>
      </c>
      <c r="BK148">
        <f>IF(AND($C43=1,INDEX(Setup!$O$6:$AL$23,9,24)&lt;&gt;"",O43=0),24+IF(INDEX(Setup!$O$6:$AL$23,9,24)="T",100,0),"")</f>
        <v/>
      </c>
      <c r="BM148">
        <f>IF(AND(AN148&lt;&gt;"",COUNTIF($S$55:$U$55,$B20)+COUNTIF($S$55:$U$55,$B20&amp;" ~*")=0),($R20+COUNTIF($H$140:$H147,$B20)+COUNTIF($H$140:$H147,$B20&amp;" ~*"))*1000+IF(AN148&gt;100,500,0)+1,"")</f>
        <v/>
      </c>
      <c r="BN148">
        <f>IF(AND(AO148&lt;&gt;"",COUNTIF($S$55:$U$55,$B21)+COUNTIF($S$55:$U$55,$B21&amp;" ~*")=0),($R21+COUNTIF($H$140:$H147,$B21)+COUNTIF($H$140:$H147,$B21&amp;" ~*"))*1000+IF(AO148&gt;100,500,0)+2,"")</f>
        <v/>
      </c>
      <c r="BO148">
        <f>IF(AND(AP148&lt;&gt;"",COUNTIF($S$55:$U$55,$B22)+COUNTIF($S$55:$U$55,$B22&amp;" ~*")=0),($R22+COUNTIF($H$140:$H147,$B22)+COUNTIF($H$140:$H147,$B22&amp;" ~*"))*1000+IF(AP148&gt;100,500,0)+3,"")</f>
        <v/>
      </c>
      <c r="BP148">
        <f>IF(AND(AQ148&lt;&gt;"",COUNTIF($S$55:$U$55,$B23)+COUNTIF($S$55:$U$55,$B23&amp;" ~*")=0),($R23+COUNTIF($H$140:$H147,$B23)+COUNTIF($H$140:$H147,$B23&amp;" ~*"))*1000+IF(AQ148&gt;100,500,0)+4,"")</f>
        <v/>
      </c>
      <c r="BQ148">
        <f>IF(AND(AR148&lt;&gt;"",COUNTIF($S$55:$U$55,$B24)+COUNTIF($S$55:$U$55,$B24&amp;" ~*")=0),($R24+COUNTIF($H$140:$H147,$B24)+COUNTIF($H$140:$H147,$B24&amp;" ~*"))*1000+IF(AR148&gt;100,500,0)+5,"")</f>
        <v/>
      </c>
      <c r="BR148">
        <f>IF(AND(AS148&lt;&gt;"",COUNTIF($S$55:$U$55,$B25)+COUNTIF($S$55:$U$55,$B25&amp;" ~*")=0),($R25+COUNTIF($H$140:$H147,$B25)+COUNTIF($H$140:$H147,$B25&amp;" ~*"))*1000+IF(AS148&gt;100,500,0)+6,"")</f>
        <v/>
      </c>
      <c r="BS148">
        <f>IF(AND(AT148&lt;&gt;"",COUNTIF($S$55:$U$55,$B26)+COUNTIF($S$55:$U$55,$B26&amp;" ~*")=0),($R26+COUNTIF($H$140:$H147,$B26)+COUNTIF($H$140:$H147,$B26&amp;" ~*"))*1000+IF(AT148&gt;100,500,0)+7,"")</f>
        <v/>
      </c>
      <c r="BT148">
        <f>IF(AND(AU148&lt;&gt;"",COUNTIF($S$55:$U$55,$B27)+COUNTIF($S$55:$U$55,$B27&amp;" ~*")=0),($R27+COUNTIF($H$140:$H147,$B27)+COUNTIF($H$140:$H147,$B27&amp;" ~*"))*1000+IF(AU148&gt;100,500,0)+8,"")</f>
        <v/>
      </c>
      <c r="BU148">
        <f>IF(AND(AV148&lt;&gt;"",COUNTIF($S$55:$U$55,$B28)+COUNTIF($S$55:$U$55,$B28&amp;" ~*")=0),($R28+COUNTIF($H$140:$H147,$B28)+COUNTIF($H$140:$H147,$B28&amp;" ~*"))*1000+IF(AV148&gt;100,500,0)+9,"")</f>
        <v/>
      </c>
      <c r="BV148">
        <f>IF(AND(AW148&lt;&gt;"",COUNTIF($S$55:$U$55,$B29)+COUNTIF($S$55:$U$55,$B29&amp;" ~*")=0),($R29+COUNTIF($H$140:$H147,$B29)+COUNTIF($H$140:$H147,$B29&amp;" ~*"))*1000+IF(AW148&gt;100,500,0)+10,"")</f>
        <v/>
      </c>
      <c r="BW148">
        <f>IF(AND(AX148&lt;&gt;"",COUNTIF($S$55:$U$55,$B30)+COUNTIF($S$55:$U$55,$B30&amp;" ~*")=0),($R30+COUNTIF($H$140:$H147,$B30)+COUNTIF($H$140:$H147,$B30&amp;" ~*"))*1000+IF(AX148&gt;100,500,0)+11,"")</f>
        <v/>
      </c>
      <c r="BX148">
        <f>IF(AND(AY148&lt;&gt;"",COUNTIF($S$55:$U$55,$B31)+COUNTIF($S$55:$U$55,$B31&amp;" ~*")=0),($R31+COUNTIF($H$140:$H147,$B31)+COUNTIF($H$140:$H147,$B31&amp;" ~*"))*1000+IF(AY148&gt;100,500,0)+12,"")</f>
        <v/>
      </c>
      <c r="BY148">
        <f>IF(AND(AZ148&lt;&gt;"",COUNTIF($S$55:$U$55,$B32)+COUNTIF($S$55:$U$55,$B32&amp;" ~*")=0),($R32+COUNTIF($H$140:$H147,$B32)+COUNTIF($H$140:$H147,$B32&amp;" ~*"))*1000+IF(AZ148&gt;100,500,0)+13,"")</f>
        <v/>
      </c>
      <c r="BZ148">
        <f>IF(AND(BA148&lt;&gt;"",COUNTIF($S$55:$U$55,$B33)+COUNTIF($S$55:$U$55,$B33&amp;" ~*")=0),($R33+COUNTIF($H$140:$H147,$B33)+COUNTIF($H$140:$H147,$B33&amp;" ~*"))*1000+IF(BA148&gt;100,500,0)+14,"")</f>
        <v/>
      </c>
      <c r="CA148">
        <f>IF(AND(BB148&lt;&gt;"",COUNTIF($S$55:$U$55,$B34)+COUNTIF($S$55:$U$55,$B34&amp;" ~*")=0),($R34+COUNTIF($H$140:$H147,$B34)+COUNTIF($H$140:$H147,$B34&amp;" ~*"))*1000+IF(BB148&gt;100,500,0)+15,"")</f>
        <v/>
      </c>
      <c r="CB148">
        <f>IF(AND(BC148&lt;&gt;"",COUNTIF($S$55:$U$55,$B35)+COUNTIF($S$55:$U$55,$B35&amp;" ~*")=0),($R35+COUNTIF($H$140:$H147,$B35)+COUNTIF($H$140:$H147,$B35&amp;" ~*"))*1000+IF(BC148&gt;100,500,0)+16,"")</f>
        <v/>
      </c>
      <c r="CC148">
        <f>IF(AND(BD148&lt;&gt;"",COUNTIF($S$55:$U$55,$B36)+COUNTIF($S$55:$U$55,$B36&amp;" ~*")=0),($R36+COUNTIF($H$140:$H147,$B36)+COUNTIF($H$140:$H147,$B36&amp;" ~*"))*1000+IF(BD148&gt;100,500,0)+17,"")</f>
        <v/>
      </c>
      <c r="CD148">
        <f>IF(AND(BE148&lt;&gt;"",COUNTIF($S$55:$U$55,$B37)+COUNTIF($S$55:$U$55,$B37&amp;" ~*")=0),($R37+COUNTIF($H$140:$H147,$B37)+COUNTIF($H$140:$H147,$B37&amp;" ~*"))*1000+IF(BE148&gt;100,500,0)+18,"")</f>
        <v/>
      </c>
      <c r="CE148">
        <f>IF(AND(BF148&lt;&gt;"",COUNTIF($S$55:$U$55,$B38)+COUNTIF($S$55:$U$55,$B38&amp;" ~*")=0),($R38+COUNTIF($H$140:$H147,$B38)+COUNTIF($H$140:$H147,$B38&amp;" ~*"))*1000+IF(BF148&gt;100,500,0)+19,"")</f>
        <v/>
      </c>
      <c r="CF148">
        <f>IF(AND(BG148&lt;&gt;"",COUNTIF($S$55:$U$55,$B39)+COUNTIF($S$55:$U$55,$B39&amp;" ~*")=0),($R39+COUNTIF($H$140:$H147,$B39)+COUNTIF($H$140:$H147,$B39&amp;" ~*"))*1000+IF(BG148&gt;100,500,0)+20,"")</f>
        <v/>
      </c>
      <c r="CG148">
        <f>IF(AND(BH148&lt;&gt;"",COUNTIF($S$55:$U$55,$B40)+COUNTIF($S$55:$U$55,$B40&amp;" ~*")=0),($R40+COUNTIF($H$140:$H147,$B40)+COUNTIF($H$140:$H147,$B40&amp;" ~*"))*1000+IF(BH148&gt;100,500,0)+21,"")</f>
        <v/>
      </c>
      <c r="CH148">
        <f>IF(AND(BI148&lt;&gt;"",COUNTIF($S$55:$U$55,$B41)+COUNTIF($S$55:$U$55,$B41&amp;" ~*")=0),($R41+COUNTIF($H$140:$H147,$B41)+COUNTIF($H$140:$H147,$B41&amp;" ~*"))*1000+IF(BI148&gt;100,500,0)+22,"")</f>
        <v/>
      </c>
      <c r="CI148">
        <f>IF(AND(BJ148&lt;&gt;"",COUNTIF($S$55:$U$55,$B42)+COUNTIF($S$55:$U$55,$B42&amp;" ~*")=0),($R42+COUNTIF($H$140:$H147,$B42)+COUNTIF($H$140:$H147,$B42&amp;" ~*"))*1000+IF(BJ148&gt;100,500,0)+23,"")</f>
        <v/>
      </c>
      <c r="CJ148">
        <f>IF(AND(BK148&lt;&gt;"",COUNTIF($S$55:$U$55,$B43)+COUNTIF($S$55:$U$55,$B43&amp;" ~*")=0),($R43+COUNTIF($H$140:$H147,$B43)+COUNTIF($H$140:$H147,$B43&amp;" ~*"))*1000+IF(BK148&gt;100,500,0)+24,"")</f>
        <v/>
      </c>
    </row>
    <row r="149">
      <c r="A149" t="n">
        <v>5</v>
      </c>
      <c r="B149" t="n">
        <v>10</v>
      </c>
      <c r="C149">
        <f>$B$56</f>
        <v/>
      </c>
      <c r="D149" t="inlineStr">
        <is>
          <t>Fri</t>
        </is>
      </c>
      <c r="E149">
        <f>IF(C149="","",N($AB$56))</f>
        <v/>
      </c>
      <c r="F149">
        <f>IF(C149="","",COUNTIF($S$56:$U$56,"?*"))</f>
        <v/>
      </c>
      <c r="G149">
        <f>IF(C149="","",MAX(0,E149-F149))</f>
        <v/>
      </c>
      <c r="H149">
        <f>IF(N(G149)=0,"",IF(COUNT(BM149:CJ149)=0,"no-one eligible",INDEX(Engine!$B$20:$B$43,MOD(MIN(BM149:CJ149),500))&amp;IF(MOD(MIN(BM149:CJ149),1000)&gt;=500," *","")))</f>
        <v/>
      </c>
      <c r="I149">
        <f>IF(N(G149)&gt;0,COUNTIF($G$68:G149,"&gt;0"),"")</f>
        <v/>
      </c>
      <c r="J149">
        <f>IF(C149="","",IF($S$56="",0,IF(IFERROR(INDEX(Setup!$O$6:$AL$23,10,MATCH(SUBSTITUTE($S$56," *",""),Setup!$B$6:$B$29,0)),"")="",1,0))+IF($T$56="",0,IF(IFERROR(INDEX(Setup!$O$6:$AL$23,10,MATCH(SUBSTITUTE($T$56," *",""),Setup!$B$6:$B$29,0)),"")="",1,0))+IF($U$56="",0,IF(IFERROR(INDEX(Setup!$O$6:$AL$23,10,MATCH(SUBSTITUTE($U$56," *",""),Setup!$B$6:$B$29,0)),"")="",1,0)))</f>
        <v/>
      </c>
      <c r="K149">
        <f>IF($B$12+4=TODAY(),1,0)</f>
        <v/>
      </c>
      <c r="N149">
        <f>COUNT($AN149:$BK149)</f>
        <v/>
      </c>
      <c r="O149">
        <f>IF(1&gt;$N149,"",INDEX(Engine!$B$20:$B$43,MOD(SMALL($AN149:$BK149,1),100))&amp;IF(SMALL($AN149:$BK149,1)&gt;100," *",""))</f>
        <v/>
      </c>
      <c r="P149">
        <f>IF(2&gt;$N149,"",INDEX(Engine!$B$20:$B$43,MOD(SMALL($AN149:$BK149,2),100))&amp;IF(SMALL($AN149:$BK149,2)&gt;100," *",""))</f>
        <v/>
      </c>
      <c r="Q149">
        <f>IF(3&gt;$N149,"",INDEX(Engine!$B$20:$B$43,MOD(SMALL($AN149:$BK149,3),100))&amp;IF(SMALL($AN149:$BK149,3)&gt;100," *",""))</f>
        <v/>
      </c>
      <c r="R149">
        <f>IF(4&gt;$N149,"",INDEX(Engine!$B$20:$B$43,MOD(SMALL($AN149:$BK149,4),100))&amp;IF(SMALL($AN149:$BK149,4)&gt;100," *",""))</f>
        <v/>
      </c>
      <c r="S149">
        <f>IF(5&gt;$N149,"",INDEX(Engine!$B$20:$B$43,MOD(SMALL($AN149:$BK149,5),100))&amp;IF(SMALL($AN149:$BK149,5)&gt;100," *",""))</f>
        <v/>
      </c>
      <c r="T149">
        <f>IF(6&gt;$N149,"",INDEX(Engine!$B$20:$B$43,MOD(SMALL($AN149:$BK149,6),100))&amp;IF(SMALL($AN149:$BK149,6)&gt;100," *",""))</f>
        <v/>
      </c>
      <c r="U149">
        <f>IF(7&gt;$N149,"",INDEX(Engine!$B$20:$B$43,MOD(SMALL($AN149:$BK149,7),100))&amp;IF(SMALL($AN149:$BK149,7)&gt;100," *",""))</f>
        <v/>
      </c>
      <c r="V149">
        <f>IF(8&gt;$N149,"",INDEX(Engine!$B$20:$B$43,MOD(SMALL($AN149:$BK149,8),100))&amp;IF(SMALL($AN149:$BK149,8)&gt;100," *",""))</f>
        <v/>
      </c>
      <c r="W149">
        <f>IF(9&gt;$N149,"",INDEX(Engine!$B$20:$B$43,MOD(SMALL($AN149:$BK149,9),100))&amp;IF(SMALL($AN149:$BK149,9)&gt;100," *",""))</f>
        <v/>
      </c>
      <c r="X149">
        <f>IF(10&gt;$N149,"",INDEX(Engine!$B$20:$B$43,MOD(SMALL($AN149:$BK149,10),100))&amp;IF(SMALL($AN149:$BK149,10)&gt;100," *",""))</f>
        <v/>
      </c>
      <c r="Y149">
        <f>IF(11&gt;$N149,"",INDEX(Engine!$B$20:$B$43,MOD(SMALL($AN149:$BK149,11),100))&amp;IF(SMALL($AN149:$BK149,11)&gt;100," *",""))</f>
        <v/>
      </c>
      <c r="Z149">
        <f>IF(12&gt;$N149,"",INDEX(Engine!$B$20:$B$43,MOD(SMALL($AN149:$BK149,12),100))&amp;IF(SMALL($AN149:$BK149,12)&gt;100," *",""))</f>
        <v/>
      </c>
      <c r="AA149">
        <f>IF(13&gt;$N149,"",INDEX(Engine!$B$20:$B$43,MOD(SMALL($AN149:$BK149,13),100))&amp;IF(SMALL($AN149:$BK149,13)&gt;100," *",""))</f>
        <v/>
      </c>
      <c r="AB149">
        <f>IF(14&gt;$N149,"",INDEX(Engine!$B$20:$B$43,MOD(SMALL($AN149:$BK149,14),100))&amp;IF(SMALL($AN149:$BK149,14)&gt;100," *",""))</f>
        <v/>
      </c>
      <c r="AC149">
        <f>IF(15&gt;$N149,"",INDEX(Engine!$B$20:$B$43,MOD(SMALL($AN149:$BK149,15),100))&amp;IF(SMALL($AN149:$BK149,15)&gt;100," *",""))</f>
        <v/>
      </c>
      <c r="AD149">
        <f>IF(16&gt;$N149,"",INDEX(Engine!$B$20:$B$43,MOD(SMALL($AN149:$BK149,16),100))&amp;IF(SMALL($AN149:$BK149,16)&gt;100," *",""))</f>
        <v/>
      </c>
      <c r="AE149">
        <f>IF(17&gt;$N149,"",INDEX(Engine!$B$20:$B$43,MOD(SMALL($AN149:$BK149,17),100))&amp;IF(SMALL($AN149:$BK149,17)&gt;100," *",""))</f>
        <v/>
      </c>
      <c r="AF149">
        <f>IF(18&gt;$N149,"",INDEX(Engine!$B$20:$B$43,MOD(SMALL($AN149:$BK149,18),100))&amp;IF(SMALL($AN149:$BK149,18)&gt;100," *",""))</f>
        <v/>
      </c>
      <c r="AG149">
        <f>IF(19&gt;$N149,"",INDEX(Engine!$B$20:$B$43,MOD(SMALL($AN149:$BK149,19),100))&amp;IF(SMALL($AN149:$BK149,19)&gt;100," *",""))</f>
        <v/>
      </c>
      <c r="AH149">
        <f>IF(20&gt;$N149,"",INDEX(Engine!$B$20:$B$43,MOD(SMALL($AN149:$BK149,20),100))&amp;IF(SMALL($AN149:$BK149,20)&gt;100," *",""))</f>
        <v/>
      </c>
      <c r="AI149">
        <f>IF(21&gt;$N149,"",INDEX(Engine!$B$20:$B$43,MOD(SMALL($AN149:$BK149,21),100))&amp;IF(SMALL($AN149:$BK149,21)&gt;100," *",""))</f>
        <v/>
      </c>
      <c r="AJ149">
        <f>IF(22&gt;$N149,"",INDEX(Engine!$B$20:$B$43,MOD(SMALL($AN149:$BK149,22),100))&amp;IF(SMALL($AN149:$BK149,22)&gt;100," *",""))</f>
        <v/>
      </c>
      <c r="AK149">
        <f>IF(23&gt;$N149,"",INDEX(Engine!$B$20:$B$43,MOD(SMALL($AN149:$BK149,23),100))&amp;IF(SMALL($AN149:$BK149,23)&gt;100," *",""))</f>
        <v/>
      </c>
      <c r="AL149">
        <f>IF(24&gt;$N149,"",INDEX(Engine!$B$20:$B$43,MOD(SMALL($AN149:$BK149,24),100))&amp;IF(SMALL($AN149:$BK149,24)&gt;100," *",""))</f>
        <v/>
      </c>
      <c r="AN149">
        <f>IF(AND($C20=1,INDEX(Setup!$O$6:$AL$23,10,1)&lt;&gt;"",O20=0),1+IF(INDEX(Setup!$O$6:$AL$23,10,1)="T",100,0),"")</f>
        <v/>
      </c>
      <c r="AO149">
        <f>IF(AND($C21=1,INDEX(Setup!$O$6:$AL$23,10,2)&lt;&gt;"",O21=0),2+IF(INDEX(Setup!$O$6:$AL$23,10,2)="T",100,0),"")</f>
        <v/>
      </c>
      <c r="AP149">
        <f>IF(AND($C22=1,INDEX(Setup!$O$6:$AL$23,10,3)&lt;&gt;"",O22=0),3+IF(INDEX(Setup!$O$6:$AL$23,10,3)="T",100,0),"")</f>
        <v/>
      </c>
      <c r="AQ149">
        <f>IF(AND($C23=1,INDEX(Setup!$O$6:$AL$23,10,4)&lt;&gt;"",O23=0),4+IF(INDEX(Setup!$O$6:$AL$23,10,4)="T",100,0),"")</f>
        <v/>
      </c>
      <c r="AR149">
        <f>IF(AND($C24=1,INDEX(Setup!$O$6:$AL$23,10,5)&lt;&gt;"",O24=0),5+IF(INDEX(Setup!$O$6:$AL$23,10,5)="T",100,0),"")</f>
        <v/>
      </c>
      <c r="AS149">
        <f>IF(AND($C25=1,INDEX(Setup!$O$6:$AL$23,10,6)&lt;&gt;"",O25=0),6+IF(INDEX(Setup!$O$6:$AL$23,10,6)="T",100,0),"")</f>
        <v/>
      </c>
      <c r="AT149">
        <f>IF(AND($C26=1,INDEX(Setup!$O$6:$AL$23,10,7)&lt;&gt;"",O26=0),7+IF(INDEX(Setup!$O$6:$AL$23,10,7)="T",100,0),"")</f>
        <v/>
      </c>
      <c r="AU149">
        <f>IF(AND($C27=1,INDEX(Setup!$O$6:$AL$23,10,8)&lt;&gt;"",O27=0),8+IF(INDEX(Setup!$O$6:$AL$23,10,8)="T",100,0),"")</f>
        <v/>
      </c>
      <c r="AV149">
        <f>IF(AND($C28=1,INDEX(Setup!$O$6:$AL$23,10,9)&lt;&gt;"",O28=0),9+IF(INDEX(Setup!$O$6:$AL$23,10,9)="T",100,0),"")</f>
        <v/>
      </c>
      <c r="AW149">
        <f>IF(AND($C29=1,INDEX(Setup!$O$6:$AL$23,10,10)&lt;&gt;"",O29=0),10+IF(INDEX(Setup!$O$6:$AL$23,10,10)="T",100,0),"")</f>
        <v/>
      </c>
      <c r="AX149">
        <f>IF(AND($C30=1,INDEX(Setup!$O$6:$AL$23,10,11)&lt;&gt;"",O30=0),11+IF(INDEX(Setup!$O$6:$AL$23,10,11)="T",100,0),"")</f>
        <v/>
      </c>
      <c r="AY149">
        <f>IF(AND($C31=1,INDEX(Setup!$O$6:$AL$23,10,12)&lt;&gt;"",O31=0),12+IF(INDEX(Setup!$O$6:$AL$23,10,12)="T",100,0),"")</f>
        <v/>
      </c>
      <c r="AZ149">
        <f>IF(AND($C32=1,INDEX(Setup!$O$6:$AL$23,10,13)&lt;&gt;"",O32=0),13+IF(INDEX(Setup!$O$6:$AL$23,10,13)="T",100,0),"")</f>
        <v/>
      </c>
      <c r="BA149">
        <f>IF(AND($C33=1,INDEX(Setup!$O$6:$AL$23,10,14)&lt;&gt;"",O33=0),14+IF(INDEX(Setup!$O$6:$AL$23,10,14)="T",100,0),"")</f>
        <v/>
      </c>
      <c r="BB149">
        <f>IF(AND($C34=1,INDEX(Setup!$O$6:$AL$23,10,15)&lt;&gt;"",O34=0),15+IF(INDEX(Setup!$O$6:$AL$23,10,15)="T",100,0),"")</f>
        <v/>
      </c>
      <c r="BC149">
        <f>IF(AND($C35=1,INDEX(Setup!$O$6:$AL$23,10,16)&lt;&gt;"",O35=0),16+IF(INDEX(Setup!$O$6:$AL$23,10,16)="T",100,0),"")</f>
        <v/>
      </c>
      <c r="BD149">
        <f>IF(AND($C36=1,INDEX(Setup!$O$6:$AL$23,10,17)&lt;&gt;"",O36=0),17+IF(INDEX(Setup!$O$6:$AL$23,10,17)="T",100,0),"")</f>
        <v/>
      </c>
      <c r="BE149">
        <f>IF(AND($C37=1,INDEX(Setup!$O$6:$AL$23,10,18)&lt;&gt;"",O37=0),18+IF(INDEX(Setup!$O$6:$AL$23,10,18)="T",100,0),"")</f>
        <v/>
      </c>
      <c r="BF149">
        <f>IF(AND($C38=1,INDEX(Setup!$O$6:$AL$23,10,19)&lt;&gt;"",O38=0),19+IF(INDEX(Setup!$O$6:$AL$23,10,19)="T",100,0),"")</f>
        <v/>
      </c>
      <c r="BG149">
        <f>IF(AND($C39=1,INDEX(Setup!$O$6:$AL$23,10,20)&lt;&gt;"",O39=0),20+IF(INDEX(Setup!$O$6:$AL$23,10,20)="T",100,0),"")</f>
        <v/>
      </c>
      <c r="BH149">
        <f>IF(AND($C40=1,INDEX(Setup!$O$6:$AL$23,10,21)&lt;&gt;"",O40=0),21+IF(INDEX(Setup!$O$6:$AL$23,10,21)="T",100,0),"")</f>
        <v/>
      </c>
      <c r="BI149">
        <f>IF(AND($C41=1,INDEX(Setup!$O$6:$AL$23,10,22)&lt;&gt;"",O41=0),22+IF(INDEX(Setup!$O$6:$AL$23,10,22)="T",100,0),"")</f>
        <v/>
      </c>
      <c r="BJ149">
        <f>IF(AND($C42=1,INDEX(Setup!$O$6:$AL$23,10,23)&lt;&gt;"",O42=0),23+IF(INDEX(Setup!$O$6:$AL$23,10,23)="T",100,0),"")</f>
        <v/>
      </c>
      <c r="BK149">
        <f>IF(AND($C43=1,INDEX(Setup!$O$6:$AL$23,10,24)&lt;&gt;"",O43=0),24+IF(INDEX(Setup!$O$6:$AL$23,10,24)="T",100,0),"")</f>
        <v/>
      </c>
      <c r="BM149">
        <f>IF(AND(AN149&lt;&gt;"",COUNTIF($S$56:$U$56,$B20)+COUNTIF($S$56:$U$56,$B20&amp;" ~*")=0),($R20+COUNTIF($H$140:$H148,$B20)+COUNTIF($H$140:$H148,$B20&amp;" ~*"))*1000+IF(AN149&gt;100,500,0)+1,"")</f>
        <v/>
      </c>
      <c r="BN149">
        <f>IF(AND(AO149&lt;&gt;"",COUNTIF($S$56:$U$56,$B21)+COUNTIF($S$56:$U$56,$B21&amp;" ~*")=0),($R21+COUNTIF($H$140:$H148,$B21)+COUNTIF($H$140:$H148,$B21&amp;" ~*"))*1000+IF(AO149&gt;100,500,0)+2,"")</f>
        <v/>
      </c>
      <c r="BO149">
        <f>IF(AND(AP149&lt;&gt;"",COUNTIF($S$56:$U$56,$B22)+COUNTIF($S$56:$U$56,$B22&amp;" ~*")=0),($R22+COUNTIF($H$140:$H148,$B22)+COUNTIF($H$140:$H148,$B22&amp;" ~*"))*1000+IF(AP149&gt;100,500,0)+3,"")</f>
        <v/>
      </c>
      <c r="BP149">
        <f>IF(AND(AQ149&lt;&gt;"",COUNTIF($S$56:$U$56,$B23)+COUNTIF($S$56:$U$56,$B23&amp;" ~*")=0),($R23+COUNTIF($H$140:$H148,$B23)+COUNTIF($H$140:$H148,$B23&amp;" ~*"))*1000+IF(AQ149&gt;100,500,0)+4,"")</f>
        <v/>
      </c>
      <c r="BQ149">
        <f>IF(AND(AR149&lt;&gt;"",COUNTIF($S$56:$U$56,$B24)+COUNTIF($S$56:$U$56,$B24&amp;" ~*")=0),($R24+COUNTIF($H$140:$H148,$B24)+COUNTIF($H$140:$H148,$B24&amp;" ~*"))*1000+IF(AR149&gt;100,500,0)+5,"")</f>
        <v/>
      </c>
      <c r="BR149">
        <f>IF(AND(AS149&lt;&gt;"",COUNTIF($S$56:$U$56,$B25)+COUNTIF($S$56:$U$56,$B25&amp;" ~*")=0),($R25+COUNTIF($H$140:$H148,$B25)+COUNTIF($H$140:$H148,$B25&amp;" ~*"))*1000+IF(AS149&gt;100,500,0)+6,"")</f>
        <v/>
      </c>
      <c r="BS149">
        <f>IF(AND(AT149&lt;&gt;"",COUNTIF($S$56:$U$56,$B26)+COUNTIF($S$56:$U$56,$B26&amp;" ~*")=0),($R26+COUNTIF($H$140:$H148,$B26)+COUNTIF($H$140:$H148,$B26&amp;" ~*"))*1000+IF(AT149&gt;100,500,0)+7,"")</f>
        <v/>
      </c>
      <c r="BT149">
        <f>IF(AND(AU149&lt;&gt;"",COUNTIF($S$56:$U$56,$B27)+COUNTIF($S$56:$U$56,$B27&amp;" ~*")=0),($R27+COUNTIF($H$140:$H148,$B27)+COUNTIF($H$140:$H148,$B27&amp;" ~*"))*1000+IF(AU149&gt;100,500,0)+8,"")</f>
        <v/>
      </c>
      <c r="BU149">
        <f>IF(AND(AV149&lt;&gt;"",COUNTIF($S$56:$U$56,$B28)+COUNTIF($S$56:$U$56,$B28&amp;" ~*")=0),($R28+COUNTIF($H$140:$H148,$B28)+COUNTIF($H$140:$H148,$B28&amp;" ~*"))*1000+IF(AV149&gt;100,500,0)+9,"")</f>
        <v/>
      </c>
      <c r="BV149">
        <f>IF(AND(AW149&lt;&gt;"",COUNTIF($S$56:$U$56,$B29)+COUNTIF($S$56:$U$56,$B29&amp;" ~*")=0),($R29+COUNTIF($H$140:$H148,$B29)+COUNTIF($H$140:$H148,$B29&amp;" ~*"))*1000+IF(AW149&gt;100,500,0)+10,"")</f>
        <v/>
      </c>
      <c r="BW149">
        <f>IF(AND(AX149&lt;&gt;"",COUNTIF($S$56:$U$56,$B30)+COUNTIF($S$56:$U$56,$B30&amp;" ~*")=0),($R30+COUNTIF($H$140:$H148,$B30)+COUNTIF($H$140:$H148,$B30&amp;" ~*"))*1000+IF(AX149&gt;100,500,0)+11,"")</f>
        <v/>
      </c>
      <c r="BX149">
        <f>IF(AND(AY149&lt;&gt;"",COUNTIF($S$56:$U$56,$B31)+COUNTIF($S$56:$U$56,$B31&amp;" ~*")=0),($R31+COUNTIF($H$140:$H148,$B31)+COUNTIF($H$140:$H148,$B31&amp;" ~*"))*1000+IF(AY149&gt;100,500,0)+12,"")</f>
        <v/>
      </c>
      <c r="BY149">
        <f>IF(AND(AZ149&lt;&gt;"",COUNTIF($S$56:$U$56,$B32)+COUNTIF($S$56:$U$56,$B32&amp;" ~*")=0),($R32+COUNTIF($H$140:$H148,$B32)+COUNTIF($H$140:$H148,$B32&amp;" ~*"))*1000+IF(AZ149&gt;100,500,0)+13,"")</f>
        <v/>
      </c>
      <c r="BZ149">
        <f>IF(AND(BA149&lt;&gt;"",COUNTIF($S$56:$U$56,$B33)+COUNTIF($S$56:$U$56,$B33&amp;" ~*")=0),($R33+COUNTIF($H$140:$H148,$B33)+COUNTIF($H$140:$H148,$B33&amp;" ~*"))*1000+IF(BA149&gt;100,500,0)+14,"")</f>
        <v/>
      </c>
      <c r="CA149">
        <f>IF(AND(BB149&lt;&gt;"",COUNTIF($S$56:$U$56,$B34)+COUNTIF($S$56:$U$56,$B34&amp;" ~*")=0),($R34+COUNTIF($H$140:$H148,$B34)+COUNTIF($H$140:$H148,$B34&amp;" ~*"))*1000+IF(BB149&gt;100,500,0)+15,"")</f>
        <v/>
      </c>
      <c r="CB149">
        <f>IF(AND(BC149&lt;&gt;"",COUNTIF($S$56:$U$56,$B35)+COUNTIF($S$56:$U$56,$B35&amp;" ~*")=0),($R35+COUNTIF($H$140:$H148,$B35)+COUNTIF($H$140:$H148,$B35&amp;" ~*"))*1000+IF(BC149&gt;100,500,0)+16,"")</f>
        <v/>
      </c>
      <c r="CC149">
        <f>IF(AND(BD149&lt;&gt;"",COUNTIF($S$56:$U$56,$B36)+COUNTIF($S$56:$U$56,$B36&amp;" ~*")=0),($R36+COUNTIF($H$140:$H148,$B36)+COUNTIF($H$140:$H148,$B36&amp;" ~*"))*1000+IF(BD149&gt;100,500,0)+17,"")</f>
        <v/>
      </c>
      <c r="CD149">
        <f>IF(AND(BE149&lt;&gt;"",COUNTIF($S$56:$U$56,$B37)+COUNTIF($S$56:$U$56,$B37&amp;" ~*")=0),($R37+COUNTIF($H$140:$H148,$B37)+COUNTIF($H$140:$H148,$B37&amp;" ~*"))*1000+IF(BE149&gt;100,500,0)+18,"")</f>
        <v/>
      </c>
      <c r="CE149">
        <f>IF(AND(BF149&lt;&gt;"",COUNTIF($S$56:$U$56,$B38)+COUNTIF($S$56:$U$56,$B38&amp;" ~*")=0),($R38+COUNTIF($H$140:$H148,$B38)+COUNTIF($H$140:$H148,$B38&amp;" ~*"))*1000+IF(BF149&gt;100,500,0)+19,"")</f>
        <v/>
      </c>
      <c r="CF149">
        <f>IF(AND(BG149&lt;&gt;"",COUNTIF($S$56:$U$56,$B39)+COUNTIF($S$56:$U$56,$B39&amp;" ~*")=0),($R39+COUNTIF($H$140:$H148,$B39)+COUNTIF($H$140:$H148,$B39&amp;" ~*"))*1000+IF(BG149&gt;100,500,0)+20,"")</f>
        <v/>
      </c>
      <c r="CG149">
        <f>IF(AND(BH149&lt;&gt;"",COUNTIF($S$56:$U$56,$B40)+COUNTIF($S$56:$U$56,$B40&amp;" ~*")=0),($R40+COUNTIF($H$140:$H148,$B40)+COUNTIF($H$140:$H148,$B40&amp;" ~*"))*1000+IF(BH149&gt;100,500,0)+21,"")</f>
        <v/>
      </c>
      <c r="CH149">
        <f>IF(AND(BI149&lt;&gt;"",COUNTIF($S$56:$U$56,$B41)+COUNTIF($S$56:$U$56,$B41&amp;" ~*")=0),($R41+COUNTIF($H$140:$H148,$B41)+COUNTIF($H$140:$H148,$B41&amp;" ~*"))*1000+IF(BI149&gt;100,500,0)+22,"")</f>
        <v/>
      </c>
      <c r="CI149">
        <f>IF(AND(BJ149&lt;&gt;"",COUNTIF($S$56:$U$56,$B42)+COUNTIF($S$56:$U$56,$B42&amp;" ~*")=0),($R42+COUNTIF($H$140:$H148,$B42)+COUNTIF($H$140:$H148,$B42&amp;" ~*"))*1000+IF(BJ149&gt;100,500,0)+23,"")</f>
        <v/>
      </c>
      <c r="CJ149">
        <f>IF(AND(BK149&lt;&gt;"",COUNTIF($S$56:$U$56,$B43)+COUNTIF($S$56:$U$56,$B43&amp;" ~*")=0),($R43+COUNTIF($H$140:$H148,$B43)+COUNTIF($H$140:$H148,$B43&amp;" ~*"))*1000+IF(BK149&gt;100,500,0)+24,"")</f>
        <v/>
      </c>
    </row>
    <row r="150">
      <c r="A150" t="n">
        <v>5</v>
      </c>
      <c r="B150" t="n">
        <v>11</v>
      </c>
      <c r="C150">
        <f>$B$57</f>
        <v/>
      </c>
      <c r="D150" t="inlineStr">
        <is>
          <t>Fri</t>
        </is>
      </c>
      <c r="E150">
        <f>IF(C150="","",N($AB$57))</f>
        <v/>
      </c>
      <c r="F150">
        <f>IF(C150="","",COUNTIF($S$57:$U$57,"?*"))</f>
        <v/>
      </c>
      <c r="G150">
        <f>IF(C150="","",MAX(0,E150-F150))</f>
        <v/>
      </c>
      <c r="H150">
        <f>IF(N(G150)=0,"",IF(COUNT(BM150:CJ150)=0,"no-one eligible",INDEX(Engine!$B$20:$B$43,MOD(MIN(BM150:CJ150),500))&amp;IF(MOD(MIN(BM150:CJ150),1000)&gt;=500," *","")))</f>
        <v/>
      </c>
      <c r="I150">
        <f>IF(N(G150)&gt;0,COUNTIF($G$68:G150,"&gt;0"),"")</f>
        <v/>
      </c>
      <c r="J150">
        <f>IF(C150="","",IF($S$57="",0,IF(IFERROR(INDEX(Setup!$O$6:$AL$23,11,MATCH(SUBSTITUTE($S$57," *",""),Setup!$B$6:$B$29,0)),"")="",1,0))+IF($T$57="",0,IF(IFERROR(INDEX(Setup!$O$6:$AL$23,11,MATCH(SUBSTITUTE($T$57," *",""),Setup!$B$6:$B$29,0)),"")="",1,0))+IF($U$57="",0,IF(IFERROR(INDEX(Setup!$O$6:$AL$23,11,MATCH(SUBSTITUTE($U$57," *",""),Setup!$B$6:$B$29,0)),"")="",1,0)))</f>
        <v/>
      </c>
      <c r="K150">
        <f>IF($B$12+4=TODAY(),1,0)</f>
        <v/>
      </c>
      <c r="N150">
        <f>COUNT($AN150:$BK150)</f>
        <v/>
      </c>
      <c r="O150">
        <f>IF(1&gt;$N150,"",INDEX(Engine!$B$20:$B$43,MOD(SMALL($AN150:$BK150,1),100))&amp;IF(SMALL($AN150:$BK150,1)&gt;100," *",""))</f>
        <v/>
      </c>
      <c r="P150">
        <f>IF(2&gt;$N150,"",INDEX(Engine!$B$20:$B$43,MOD(SMALL($AN150:$BK150,2),100))&amp;IF(SMALL($AN150:$BK150,2)&gt;100," *",""))</f>
        <v/>
      </c>
      <c r="Q150">
        <f>IF(3&gt;$N150,"",INDEX(Engine!$B$20:$B$43,MOD(SMALL($AN150:$BK150,3),100))&amp;IF(SMALL($AN150:$BK150,3)&gt;100," *",""))</f>
        <v/>
      </c>
      <c r="R150">
        <f>IF(4&gt;$N150,"",INDEX(Engine!$B$20:$B$43,MOD(SMALL($AN150:$BK150,4),100))&amp;IF(SMALL($AN150:$BK150,4)&gt;100," *",""))</f>
        <v/>
      </c>
      <c r="S150">
        <f>IF(5&gt;$N150,"",INDEX(Engine!$B$20:$B$43,MOD(SMALL($AN150:$BK150,5),100))&amp;IF(SMALL($AN150:$BK150,5)&gt;100," *",""))</f>
        <v/>
      </c>
      <c r="T150">
        <f>IF(6&gt;$N150,"",INDEX(Engine!$B$20:$B$43,MOD(SMALL($AN150:$BK150,6),100))&amp;IF(SMALL($AN150:$BK150,6)&gt;100," *",""))</f>
        <v/>
      </c>
      <c r="U150">
        <f>IF(7&gt;$N150,"",INDEX(Engine!$B$20:$B$43,MOD(SMALL($AN150:$BK150,7),100))&amp;IF(SMALL($AN150:$BK150,7)&gt;100," *",""))</f>
        <v/>
      </c>
      <c r="V150">
        <f>IF(8&gt;$N150,"",INDEX(Engine!$B$20:$B$43,MOD(SMALL($AN150:$BK150,8),100))&amp;IF(SMALL($AN150:$BK150,8)&gt;100," *",""))</f>
        <v/>
      </c>
      <c r="W150">
        <f>IF(9&gt;$N150,"",INDEX(Engine!$B$20:$B$43,MOD(SMALL($AN150:$BK150,9),100))&amp;IF(SMALL($AN150:$BK150,9)&gt;100," *",""))</f>
        <v/>
      </c>
      <c r="X150">
        <f>IF(10&gt;$N150,"",INDEX(Engine!$B$20:$B$43,MOD(SMALL($AN150:$BK150,10),100))&amp;IF(SMALL($AN150:$BK150,10)&gt;100," *",""))</f>
        <v/>
      </c>
      <c r="Y150">
        <f>IF(11&gt;$N150,"",INDEX(Engine!$B$20:$B$43,MOD(SMALL($AN150:$BK150,11),100))&amp;IF(SMALL($AN150:$BK150,11)&gt;100," *",""))</f>
        <v/>
      </c>
      <c r="Z150">
        <f>IF(12&gt;$N150,"",INDEX(Engine!$B$20:$B$43,MOD(SMALL($AN150:$BK150,12),100))&amp;IF(SMALL($AN150:$BK150,12)&gt;100," *",""))</f>
        <v/>
      </c>
      <c r="AA150">
        <f>IF(13&gt;$N150,"",INDEX(Engine!$B$20:$B$43,MOD(SMALL($AN150:$BK150,13),100))&amp;IF(SMALL($AN150:$BK150,13)&gt;100," *",""))</f>
        <v/>
      </c>
      <c r="AB150">
        <f>IF(14&gt;$N150,"",INDEX(Engine!$B$20:$B$43,MOD(SMALL($AN150:$BK150,14),100))&amp;IF(SMALL($AN150:$BK150,14)&gt;100," *",""))</f>
        <v/>
      </c>
      <c r="AC150">
        <f>IF(15&gt;$N150,"",INDEX(Engine!$B$20:$B$43,MOD(SMALL($AN150:$BK150,15),100))&amp;IF(SMALL($AN150:$BK150,15)&gt;100," *",""))</f>
        <v/>
      </c>
      <c r="AD150">
        <f>IF(16&gt;$N150,"",INDEX(Engine!$B$20:$B$43,MOD(SMALL($AN150:$BK150,16),100))&amp;IF(SMALL($AN150:$BK150,16)&gt;100," *",""))</f>
        <v/>
      </c>
      <c r="AE150">
        <f>IF(17&gt;$N150,"",INDEX(Engine!$B$20:$B$43,MOD(SMALL($AN150:$BK150,17),100))&amp;IF(SMALL($AN150:$BK150,17)&gt;100," *",""))</f>
        <v/>
      </c>
      <c r="AF150">
        <f>IF(18&gt;$N150,"",INDEX(Engine!$B$20:$B$43,MOD(SMALL($AN150:$BK150,18),100))&amp;IF(SMALL($AN150:$BK150,18)&gt;100," *",""))</f>
        <v/>
      </c>
      <c r="AG150">
        <f>IF(19&gt;$N150,"",INDEX(Engine!$B$20:$B$43,MOD(SMALL($AN150:$BK150,19),100))&amp;IF(SMALL($AN150:$BK150,19)&gt;100," *",""))</f>
        <v/>
      </c>
      <c r="AH150">
        <f>IF(20&gt;$N150,"",INDEX(Engine!$B$20:$B$43,MOD(SMALL($AN150:$BK150,20),100))&amp;IF(SMALL($AN150:$BK150,20)&gt;100," *",""))</f>
        <v/>
      </c>
      <c r="AI150">
        <f>IF(21&gt;$N150,"",INDEX(Engine!$B$20:$B$43,MOD(SMALL($AN150:$BK150,21),100))&amp;IF(SMALL($AN150:$BK150,21)&gt;100," *",""))</f>
        <v/>
      </c>
      <c r="AJ150">
        <f>IF(22&gt;$N150,"",INDEX(Engine!$B$20:$B$43,MOD(SMALL($AN150:$BK150,22),100))&amp;IF(SMALL($AN150:$BK150,22)&gt;100," *",""))</f>
        <v/>
      </c>
      <c r="AK150">
        <f>IF(23&gt;$N150,"",INDEX(Engine!$B$20:$B$43,MOD(SMALL($AN150:$BK150,23),100))&amp;IF(SMALL($AN150:$BK150,23)&gt;100," *",""))</f>
        <v/>
      </c>
      <c r="AL150">
        <f>IF(24&gt;$N150,"",INDEX(Engine!$B$20:$B$43,MOD(SMALL($AN150:$BK150,24),100))&amp;IF(SMALL($AN150:$BK150,24)&gt;100," *",""))</f>
        <v/>
      </c>
      <c r="AN150">
        <f>IF(AND($C20=1,INDEX(Setup!$O$6:$AL$23,11,1)&lt;&gt;"",O20=0),1+IF(INDEX(Setup!$O$6:$AL$23,11,1)="T",100,0),"")</f>
        <v/>
      </c>
      <c r="AO150">
        <f>IF(AND($C21=1,INDEX(Setup!$O$6:$AL$23,11,2)&lt;&gt;"",O21=0),2+IF(INDEX(Setup!$O$6:$AL$23,11,2)="T",100,0),"")</f>
        <v/>
      </c>
      <c r="AP150">
        <f>IF(AND($C22=1,INDEX(Setup!$O$6:$AL$23,11,3)&lt;&gt;"",O22=0),3+IF(INDEX(Setup!$O$6:$AL$23,11,3)="T",100,0),"")</f>
        <v/>
      </c>
      <c r="AQ150">
        <f>IF(AND($C23=1,INDEX(Setup!$O$6:$AL$23,11,4)&lt;&gt;"",O23=0),4+IF(INDEX(Setup!$O$6:$AL$23,11,4)="T",100,0),"")</f>
        <v/>
      </c>
      <c r="AR150">
        <f>IF(AND($C24=1,INDEX(Setup!$O$6:$AL$23,11,5)&lt;&gt;"",O24=0),5+IF(INDEX(Setup!$O$6:$AL$23,11,5)="T",100,0),"")</f>
        <v/>
      </c>
      <c r="AS150">
        <f>IF(AND($C25=1,INDEX(Setup!$O$6:$AL$23,11,6)&lt;&gt;"",O25=0),6+IF(INDEX(Setup!$O$6:$AL$23,11,6)="T",100,0),"")</f>
        <v/>
      </c>
      <c r="AT150">
        <f>IF(AND($C26=1,INDEX(Setup!$O$6:$AL$23,11,7)&lt;&gt;"",O26=0),7+IF(INDEX(Setup!$O$6:$AL$23,11,7)="T",100,0),"")</f>
        <v/>
      </c>
      <c r="AU150">
        <f>IF(AND($C27=1,INDEX(Setup!$O$6:$AL$23,11,8)&lt;&gt;"",O27=0),8+IF(INDEX(Setup!$O$6:$AL$23,11,8)="T",100,0),"")</f>
        <v/>
      </c>
      <c r="AV150">
        <f>IF(AND($C28=1,INDEX(Setup!$O$6:$AL$23,11,9)&lt;&gt;"",O28=0),9+IF(INDEX(Setup!$O$6:$AL$23,11,9)="T",100,0),"")</f>
        <v/>
      </c>
      <c r="AW150">
        <f>IF(AND($C29=1,INDEX(Setup!$O$6:$AL$23,11,10)&lt;&gt;"",O29=0),10+IF(INDEX(Setup!$O$6:$AL$23,11,10)="T",100,0),"")</f>
        <v/>
      </c>
      <c r="AX150">
        <f>IF(AND($C30=1,INDEX(Setup!$O$6:$AL$23,11,11)&lt;&gt;"",O30=0),11+IF(INDEX(Setup!$O$6:$AL$23,11,11)="T",100,0),"")</f>
        <v/>
      </c>
      <c r="AY150">
        <f>IF(AND($C31=1,INDEX(Setup!$O$6:$AL$23,11,12)&lt;&gt;"",O31=0),12+IF(INDEX(Setup!$O$6:$AL$23,11,12)="T",100,0),"")</f>
        <v/>
      </c>
      <c r="AZ150">
        <f>IF(AND($C32=1,INDEX(Setup!$O$6:$AL$23,11,13)&lt;&gt;"",O32=0),13+IF(INDEX(Setup!$O$6:$AL$23,11,13)="T",100,0),"")</f>
        <v/>
      </c>
      <c r="BA150">
        <f>IF(AND($C33=1,INDEX(Setup!$O$6:$AL$23,11,14)&lt;&gt;"",O33=0),14+IF(INDEX(Setup!$O$6:$AL$23,11,14)="T",100,0),"")</f>
        <v/>
      </c>
      <c r="BB150">
        <f>IF(AND($C34=1,INDEX(Setup!$O$6:$AL$23,11,15)&lt;&gt;"",O34=0),15+IF(INDEX(Setup!$O$6:$AL$23,11,15)="T",100,0),"")</f>
        <v/>
      </c>
      <c r="BC150">
        <f>IF(AND($C35=1,INDEX(Setup!$O$6:$AL$23,11,16)&lt;&gt;"",O35=0),16+IF(INDEX(Setup!$O$6:$AL$23,11,16)="T",100,0),"")</f>
        <v/>
      </c>
      <c r="BD150">
        <f>IF(AND($C36=1,INDEX(Setup!$O$6:$AL$23,11,17)&lt;&gt;"",O36=0),17+IF(INDEX(Setup!$O$6:$AL$23,11,17)="T",100,0),"")</f>
        <v/>
      </c>
      <c r="BE150">
        <f>IF(AND($C37=1,INDEX(Setup!$O$6:$AL$23,11,18)&lt;&gt;"",O37=0),18+IF(INDEX(Setup!$O$6:$AL$23,11,18)="T",100,0),"")</f>
        <v/>
      </c>
      <c r="BF150">
        <f>IF(AND($C38=1,INDEX(Setup!$O$6:$AL$23,11,19)&lt;&gt;"",O38=0),19+IF(INDEX(Setup!$O$6:$AL$23,11,19)="T",100,0),"")</f>
        <v/>
      </c>
      <c r="BG150">
        <f>IF(AND($C39=1,INDEX(Setup!$O$6:$AL$23,11,20)&lt;&gt;"",O39=0),20+IF(INDEX(Setup!$O$6:$AL$23,11,20)="T",100,0),"")</f>
        <v/>
      </c>
      <c r="BH150">
        <f>IF(AND($C40=1,INDEX(Setup!$O$6:$AL$23,11,21)&lt;&gt;"",O40=0),21+IF(INDEX(Setup!$O$6:$AL$23,11,21)="T",100,0),"")</f>
        <v/>
      </c>
      <c r="BI150">
        <f>IF(AND($C41=1,INDEX(Setup!$O$6:$AL$23,11,22)&lt;&gt;"",O41=0),22+IF(INDEX(Setup!$O$6:$AL$23,11,22)="T",100,0),"")</f>
        <v/>
      </c>
      <c r="BJ150">
        <f>IF(AND($C42=1,INDEX(Setup!$O$6:$AL$23,11,23)&lt;&gt;"",O42=0),23+IF(INDEX(Setup!$O$6:$AL$23,11,23)="T",100,0),"")</f>
        <v/>
      </c>
      <c r="BK150">
        <f>IF(AND($C43=1,INDEX(Setup!$O$6:$AL$23,11,24)&lt;&gt;"",O43=0),24+IF(INDEX(Setup!$O$6:$AL$23,11,24)="T",100,0),"")</f>
        <v/>
      </c>
      <c r="BM150">
        <f>IF(AND(AN150&lt;&gt;"",COUNTIF($S$57:$U$57,$B20)+COUNTIF($S$57:$U$57,$B20&amp;" ~*")=0),($R20+COUNTIF($H$140:$H149,$B20)+COUNTIF($H$140:$H149,$B20&amp;" ~*"))*1000+IF(AN150&gt;100,500,0)+1,"")</f>
        <v/>
      </c>
      <c r="BN150">
        <f>IF(AND(AO150&lt;&gt;"",COUNTIF($S$57:$U$57,$B21)+COUNTIF($S$57:$U$57,$B21&amp;" ~*")=0),($R21+COUNTIF($H$140:$H149,$B21)+COUNTIF($H$140:$H149,$B21&amp;" ~*"))*1000+IF(AO150&gt;100,500,0)+2,"")</f>
        <v/>
      </c>
      <c r="BO150">
        <f>IF(AND(AP150&lt;&gt;"",COUNTIF($S$57:$U$57,$B22)+COUNTIF($S$57:$U$57,$B22&amp;" ~*")=0),($R22+COUNTIF($H$140:$H149,$B22)+COUNTIF($H$140:$H149,$B22&amp;" ~*"))*1000+IF(AP150&gt;100,500,0)+3,"")</f>
        <v/>
      </c>
      <c r="BP150">
        <f>IF(AND(AQ150&lt;&gt;"",COUNTIF($S$57:$U$57,$B23)+COUNTIF($S$57:$U$57,$B23&amp;" ~*")=0),($R23+COUNTIF($H$140:$H149,$B23)+COUNTIF($H$140:$H149,$B23&amp;" ~*"))*1000+IF(AQ150&gt;100,500,0)+4,"")</f>
        <v/>
      </c>
      <c r="BQ150">
        <f>IF(AND(AR150&lt;&gt;"",COUNTIF($S$57:$U$57,$B24)+COUNTIF($S$57:$U$57,$B24&amp;" ~*")=0),($R24+COUNTIF($H$140:$H149,$B24)+COUNTIF($H$140:$H149,$B24&amp;" ~*"))*1000+IF(AR150&gt;100,500,0)+5,"")</f>
        <v/>
      </c>
      <c r="BR150">
        <f>IF(AND(AS150&lt;&gt;"",COUNTIF($S$57:$U$57,$B25)+COUNTIF($S$57:$U$57,$B25&amp;" ~*")=0),($R25+COUNTIF($H$140:$H149,$B25)+COUNTIF($H$140:$H149,$B25&amp;" ~*"))*1000+IF(AS150&gt;100,500,0)+6,"")</f>
        <v/>
      </c>
      <c r="BS150">
        <f>IF(AND(AT150&lt;&gt;"",COUNTIF($S$57:$U$57,$B26)+COUNTIF($S$57:$U$57,$B26&amp;" ~*")=0),($R26+COUNTIF($H$140:$H149,$B26)+COUNTIF($H$140:$H149,$B26&amp;" ~*"))*1000+IF(AT150&gt;100,500,0)+7,"")</f>
        <v/>
      </c>
      <c r="BT150">
        <f>IF(AND(AU150&lt;&gt;"",COUNTIF($S$57:$U$57,$B27)+COUNTIF($S$57:$U$57,$B27&amp;" ~*")=0),($R27+COUNTIF($H$140:$H149,$B27)+COUNTIF($H$140:$H149,$B27&amp;" ~*"))*1000+IF(AU150&gt;100,500,0)+8,"")</f>
        <v/>
      </c>
      <c r="BU150">
        <f>IF(AND(AV150&lt;&gt;"",COUNTIF($S$57:$U$57,$B28)+COUNTIF($S$57:$U$57,$B28&amp;" ~*")=0),($R28+COUNTIF($H$140:$H149,$B28)+COUNTIF($H$140:$H149,$B28&amp;" ~*"))*1000+IF(AV150&gt;100,500,0)+9,"")</f>
        <v/>
      </c>
      <c r="BV150">
        <f>IF(AND(AW150&lt;&gt;"",COUNTIF($S$57:$U$57,$B29)+COUNTIF($S$57:$U$57,$B29&amp;" ~*")=0),($R29+COUNTIF($H$140:$H149,$B29)+COUNTIF($H$140:$H149,$B29&amp;" ~*"))*1000+IF(AW150&gt;100,500,0)+10,"")</f>
        <v/>
      </c>
      <c r="BW150">
        <f>IF(AND(AX150&lt;&gt;"",COUNTIF($S$57:$U$57,$B30)+COUNTIF($S$57:$U$57,$B30&amp;" ~*")=0),($R30+COUNTIF($H$140:$H149,$B30)+COUNTIF($H$140:$H149,$B30&amp;" ~*"))*1000+IF(AX150&gt;100,500,0)+11,"")</f>
        <v/>
      </c>
      <c r="BX150">
        <f>IF(AND(AY150&lt;&gt;"",COUNTIF($S$57:$U$57,$B31)+COUNTIF($S$57:$U$57,$B31&amp;" ~*")=0),($R31+COUNTIF($H$140:$H149,$B31)+COUNTIF($H$140:$H149,$B31&amp;" ~*"))*1000+IF(AY150&gt;100,500,0)+12,"")</f>
        <v/>
      </c>
      <c r="BY150">
        <f>IF(AND(AZ150&lt;&gt;"",COUNTIF($S$57:$U$57,$B32)+COUNTIF($S$57:$U$57,$B32&amp;" ~*")=0),($R32+COUNTIF($H$140:$H149,$B32)+COUNTIF($H$140:$H149,$B32&amp;" ~*"))*1000+IF(AZ150&gt;100,500,0)+13,"")</f>
        <v/>
      </c>
      <c r="BZ150">
        <f>IF(AND(BA150&lt;&gt;"",COUNTIF($S$57:$U$57,$B33)+COUNTIF($S$57:$U$57,$B33&amp;" ~*")=0),($R33+COUNTIF($H$140:$H149,$B33)+COUNTIF($H$140:$H149,$B33&amp;" ~*"))*1000+IF(BA150&gt;100,500,0)+14,"")</f>
        <v/>
      </c>
      <c r="CA150">
        <f>IF(AND(BB150&lt;&gt;"",COUNTIF($S$57:$U$57,$B34)+COUNTIF($S$57:$U$57,$B34&amp;" ~*")=0),($R34+COUNTIF($H$140:$H149,$B34)+COUNTIF($H$140:$H149,$B34&amp;" ~*"))*1000+IF(BB150&gt;100,500,0)+15,"")</f>
        <v/>
      </c>
      <c r="CB150">
        <f>IF(AND(BC150&lt;&gt;"",COUNTIF($S$57:$U$57,$B35)+COUNTIF($S$57:$U$57,$B35&amp;" ~*")=0),($R35+COUNTIF($H$140:$H149,$B35)+COUNTIF($H$140:$H149,$B35&amp;" ~*"))*1000+IF(BC150&gt;100,500,0)+16,"")</f>
        <v/>
      </c>
      <c r="CC150">
        <f>IF(AND(BD150&lt;&gt;"",COUNTIF($S$57:$U$57,$B36)+COUNTIF($S$57:$U$57,$B36&amp;" ~*")=0),($R36+COUNTIF($H$140:$H149,$B36)+COUNTIF($H$140:$H149,$B36&amp;" ~*"))*1000+IF(BD150&gt;100,500,0)+17,"")</f>
        <v/>
      </c>
      <c r="CD150">
        <f>IF(AND(BE150&lt;&gt;"",COUNTIF($S$57:$U$57,$B37)+COUNTIF($S$57:$U$57,$B37&amp;" ~*")=0),($R37+COUNTIF($H$140:$H149,$B37)+COUNTIF($H$140:$H149,$B37&amp;" ~*"))*1000+IF(BE150&gt;100,500,0)+18,"")</f>
        <v/>
      </c>
      <c r="CE150">
        <f>IF(AND(BF150&lt;&gt;"",COUNTIF($S$57:$U$57,$B38)+COUNTIF($S$57:$U$57,$B38&amp;" ~*")=0),($R38+COUNTIF($H$140:$H149,$B38)+COUNTIF($H$140:$H149,$B38&amp;" ~*"))*1000+IF(BF150&gt;100,500,0)+19,"")</f>
        <v/>
      </c>
      <c r="CF150">
        <f>IF(AND(BG150&lt;&gt;"",COUNTIF($S$57:$U$57,$B39)+COUNTIF($S$57:$U$57,$B39&amp;" ~*")=0),($R39+COUNTIF($H$140:$H149,$B39)+COUNTIF($H$140:$H149,$B39&amp;" ~*"))*1000+IF(BG150&gt;100,500,0)+20,"")</f>
        <v/>
      </c>
      <c r="CG150">
        <f>IF(AND(BH150&lt;&gt;"",COUNTIF($S$57:$U$57,$B40)+COUNTIF($S$57:$U$57,$B40&amp;" ~*")=0),($R40+COUNTIF($H$140:$H149,$B40)+COUNTIF($H$140:$H149,$B40&amp;" ~*"))*1000+IF(BH150&gt;100,500,0)+21,"")</f>
        <v/>
      </c>
      <c r="CH150">
        <f>IF(AND(BI150&lt;&gt;"",COUNTIF($S$57:$U$57,$B41)+COUNTIF($S$57:$U$57,$B41&amp;" ~*")=0),($R41+COUNTIF($H$140:$H149,$B41)+COUNTIF($H$140:$H149,$B41&amp;" ~*"))*1000+IF(BI150&gt;100,500,0)+22,"")</f>
        <v/>
      </c>
      <c r="CI150">
        <f>IF(AND(BJ150&lt;&gt;"",COUNTIF($S$57:$U$57,$B42)+COUNTIF($S$57:$U$57,$B42&amp;" ~*")=0),($R42+COUNTIF($H$140:$H149,$B42)+COUNTIF($H$140:$H149,$B42&amp;" ~*"))*1000+IF(BJ150&gt;100,500,0)+23,"")</f>
        <v/>
      </c>
      <c r="CJ150">
        <f>IF(AND(BK150&lt;&gt;"",COUNTIF($S$57:$U$57,$B43)+COUNTIF($S$57:$U$57,$B43&amp;" ~*")=0),($R43+COUNTIF($H$140:$H149,$B43)+COUNTIF($H$140:$H149,$B43&amp;" ~*"))*1000+IF(BK150&gt;100,500,0)+24,"")</f>
        <v/>
      </c>
    </row>
    <row r="151">
      <c r="A151" t="n">
        <v>5</v>
      </c>
      <c r="B151" t="n">
        <v>12</v>
      </c>
      <c r="C151">
        <f>$B$58</f>
        <v/>
      </c>
      <c r="D151" t="inlineStr">
        <is>
          <t>Fri</t>
        </is>
      </c>
      <c r="E151">
        <f>IF(C151="","",N($AB$58))</f>
        <v/>
      </c>
      <c r="F151">
        <f>IF(C151="","",COUNTIF($S$58:$U$58,"?*"))</f>
        <v/>
      </c>
      <c r="G151">
        <f>IF(C151="","",MAX(0,E151-F151))</f>
        <v/>
      </c>
      <c r="H151">
        <f>IF(N(G151)=0,"",IF(COUNT(BM151:CJ151)=0,"no-one eligible",INDEX(Engine!$B$20:$B$43,MOD(MIN(BM151:CJ151),500))&amp;IF(MOD(MIN(BM151:CJ151),1000)&gt;=500," *","")))</f>
        <v/>
      </c>
      <c r="I151">
        <f>IF(N(G151)&gt;0,COUNTIF($G$68:G151,"&gt;0"),"")</f>
        <v/>
      </c>
      <c r="J151">
        <f>IF(C151="","",IF($S$58="",0,IF(IFERROR(INDEX(Setup!$O$6:$AL$23,12,MATCH(SUBSTITUTE($S$58," *",""),Setup!$B$6:$B$29,0)),"")="",1,0))+IF($T$58="",0,IF(IFERROR(INDEX(Setup!$O$6:$AL$23,12,MATCH(SUBSTITUTE($T$58," *",""),Setup!$B$6:$B$29,0)),"")="",1,0))+IF($U$58="",0,IF(IFERROR(INDEX(Setup!$O$6:$AL$23,12,MATCH(SUBSTITUTE($U$58," *",""),Setup!$B$6:$B$29,0)),"")="",1,0)))</f>
        <v/>
      </c>
      <c r="K151">
        <f>IF($B$12+4=TODAY(),1,0)</f>
        <v/>
      </c>
      <c r="N151">
        <f>COUNT($AN151:$BK151)</f>
        <v/>
      </c>
      <c r="O151">
        <f>IF(1&gt;$N151,"",INDEX(Engine!$B$20:$B$43,MOD(SMALL($AN151:$BK151,1),100))&amp;IF(SMALL($AN151:$BK151,1)&gt;100," *",""))</f>
        <v/>
      </c>
      <c r="P151">
        <f>IF(2&gt;$N151,"",INDEX(Engine!$B$20:$B$43,MOD(SMALL($AN151:$BK151,2),100))&amp;IF(SMALL($AN151:$BK151,2)&gt;100," *",""))</f>
        <v/>
      </c>
      <c r="Q151">
        <f>IF(3&gt;$N151,"",INDEX(Engine!$B$20:$B$43,MOD(SMALL($AN151:$BK151,3),100))&amp;IF(SMALL($AN151:$BK151,3)&gt;100," *",""))</f>
        <v/>
      </c>
      <c r="R151">
        <f>IF(4&gt;$N151,"",INDEX(Engine!$B$20:$B$43,MOD(SMALL($AN151:$BK151,4),100))&amp;IF(SMALL($AN151:$BK151,4)&gt;100," *",""))</f>
        <v/>
      </c>
      <c r="S151">
        <f>IF(5&gt;$N151,"",INDEX(Engine!$B$20:$B$43,MOD(SMALL($AN151:$BK151,5),100))&amp;IF(SMALL($AN151:$BK151,5)&gt;100," *",""))</f>
        <v/>
      </c>
      <c r="T151">
        <f>IF(6&gt;$N151,"",INDEX(Engine!$B$20:$B$43,MOD(SMALL($AN151:$BK151,6),100))&amp;IF(SMALL($AN151:$BK151,6)&gt;100," *",""))</f>
        <v/>
      </c>
      <c r="U151">
        <f>IF(7&gt;$N151,"",INDEX(Engine!$B$20:$B$43,MOD(SMALL($AN151:$BK151,7),100))&amp;IF(SMALL($AN151:$BK151,7)&gt;100," *",""))</f>
        <v/>
      </c>
      <c r="V151">
        <f>IF(8&gt;$N151,"",INDEX(Engine!$B$20:$B$43,MOD(SMALL($AN151:$BK151,8),100))&amp;IF(SMALL($AN151:$BK151,8)&gt;100," *",""))</f>
        <v/>
      </c>
      <c r="W151">
        <f>IF(9&gt;$N151,"",INDEX(Engine!$B$20:$B$43,MOD(SMALL($AN151:$BK151,9),100))&amp;IF(SMALL($AN151:$BK151,9)&gt;100," *",""))</f>
        <v/>
      </c>
      <c r="X151">
        <f>IF(10&gt;$N151,"",INDEX(Engine!$B$20:$B$43,MOD(SMALL($AN151:$BK151,10),100))&amp;IF(SMALL($AN151:$BK151,10)&gt;100," *",""))</f>
        <v/>
      </c>
      <c r="Y151">
        <f>IF(11&gt;$N151,"",INDEX(Engine!$B$20:$B$43,MOD(SMALL($AN151:$BK151,11),100))&amp;IF(SMALL($AN151:$BK151,11)&gt;100," *",""))</f>
        <v/>
      </c>
      <c r="Z151">
        <f>IF(12&gt;$N151,"",INDEX(Engine!$B$20:$B$43,MOD(SMALL($AN151:$BK151,12),100))&amp;IF(SMALL($AN151:$BK151,12)&gt;100," *",""))</f>
        <v/>
      </c>
      <c r="AA151">
        <f>IF(13&gt;$N151,"",INDEX(Engine!$B$20:$B$43,MOD(SMALL($AN151:$BK151,13),100))&amp;IF(SMALL($AN151:$BK151,13)&gt;100," *",""))</f>
        <v/>
      </c>
      <c r="AB151">
        <f>IF(14&gt;$N151,"",INDEX(Engine!$B$20:$B$43,MOD(SMALL($AN151:$BK151,14),100))&amp;IF(SMALL($AN151:$BK151,14)&gt;100," *",""))</f>
        <v/>
      </c>
      <c r="AC151">
        <f>IF(15&gt;$N151,"",INDEX(Engine!$B$20:$B$43,MOD(SMALL($AN151:$BK151,15),100))&amp;IF(SMALL($AN151:$BK151,15)&gt;100," *",""))</f>
        <v/>
      </c>
      <c r="AD151">
        <f>IF(16&gt;$N151,"",INDEX(Engine!$B$20:$B$43,MOD(SMALL($AN151:$BK151,16),100))&amp;IF(SMALL($AN151:$BK151,16)&gt;100," *",""))</f>
        <v/>
      </c>
      <c r="AE151">
        <f>IF(17&gt;$N151,"",INDEX(Engine!$B$20:$B$43,MOD(SMALL($AN151:$BK151,17),100))&amp;IF(SMALL($AN151:$BK151,17)&gt;100," *",""))</f>
        <v/>
      </c>
      <c r="AF151">
        <f>IF(18&gt;$N151,"",INDEX(Engine!$B$20:$B$43,MOD(SMALL($AN151:$BK151,18),100))&amp;IF(SMALL($AN151:$BK151,18)&gt;100," *",""))</f>
        <v/>
      </c>
      <c r="AG151">
        <f>IF(19&gt;$N151,"",INDEX(Engine!$B$20:$B$43,MOD(SMALL($AN151:$BK151,19),100))&amp;IF(SMALL($AN151:$BK151,19)&gt;100," *",""))</f>
        <v/>
      </c>
      <c r="AH151">
        <f>IF(20&gt;$N151,"",INDEX(Engine!$B$20:$B$43,MOD(SMALL($AN151:$BK151,20),100))&amp;IF(SMALL($AN151:$BK151,20)&gt;100," *",""))</f>
        <v/>
      </c>
      <c r="AI151">
        <f>IF(21&gt;$N151,"",INDEX(Engine!$B$20:$B$43,MOD(SMALL($AN151:$BK151,21),100))&amp;IF(SMALL($AN151:$BK151,21)&gt;100," *",""))</f>
        <v/>
      </c>
      <c r="AJ151">
        <f>IF(22&gt;$N151,"",INDEX(Engine!$B$20:$B$43,MOD(SMALL($AN151:$BK151,22),100))&amp;IF(SMALL($AN151:$BK151,22)&gt;100," *",""))</f>
        <v/>
      </c>
      <c r="AK151">
        <f>IF(23&gt;$N151,"",INDEX(Engine!$B$20:$B$43,MOD(SMALL($AN151:$BK151,23),100))&amp;IF(SMALL($AN151:$BK151,23)&gt;100," *",""))</f>
        <v/>
      </c>
      <c r="AL151">
        <f>IF(24&gt;$N151,"",INDEX(Engine!$B$20:$B$43,MOD(SMALL($AN151:$BK151,24),100))&amp;IF(SMALL($AN151:$BK151,24)&gt;100," *",""))</f>
        <v/>
      </c>
      <c r="AN151">
        <f>IF(AND($C20=1,INDEX(Setup!$O$6:$AL$23,12,1)&lt;&gt;"",O20=0),1+IF(INDEX(Setup!$O$6:$AL$23,12,1)="T",100,0),"")</f>
        <v/>
      </c>
      <c r="AO151">
        <f>IF(AND($C21=1,INDEX(Setup!$O$6:$AL$23,12,2)&lt;&gt;"",O21=0),2+IF(INDEX(Setup!$O$6:$AL$23,12,2)="T",100,0),"")</f>
        <v/>
      </c>
      <c r="AP151">
        <f>IF(AND($C22=1,INDEX(Setup!$O$6:$AL$23,12,3)&lt;&gt;"",O22=0),3+IF(INDEX(Setup!$O$6:$AL$23,12,3)="T",100,0),"")</f>
        <v/>
      </c>
      <c r="AQ151">
        <f>IF(AND($C23=1,INDEX(Setup!$O$6:$AL$23,12,4)&lt;&gt;"",O23=0),4+IF(INDEX(Setup!$O$6:$AL$23,12,4)="T",100,0),"")</f>
        <v/>
      </c>
      <c r="AR151">
        <f>IF(AND($C24=1,INDEX(Setup!$O$6:$AL$23,12,5)&lt;&gt;"",O24=0),5+IF(INDEX(Setup!$O$6:$AL$23,12,5)="T",100,0),"")</f>
        <v/>
      </c>
      <c r="AS151">
        <f>IF(AND($C25=1,INDEX(Setup!$O$6:$AL$23,12,6)&lt;&gt;"",O25=0),6+IF(INDEX(Setup!$O$6:$AL$23,12,6)="T",100,0),"")</f>
        <v/>
      </c>
      <c r="AT151">
        <f>IF(AND($C26=1,INDEX(Setup!$O$6:$AL$23,12,7)&lt;&gt;"",O26=0),7+IF(INDEX(Setup!$O$6:$AL$23,12,7)="T",100,0),"")</f>
        <v/>
      </c>
      <c r="AU151">
        <f>IF(AND($C27=1,INDEX(Setup!$O$6:$AL$23,12,8)&lt;&gt;"",O27=0),8+IF(INDEX(Setup!$O$6:$AL$23,12,8)="T",100,0),"")</f>
        <v/>
      </c>
      <c r="AV151">
        <f>IF(AND($C28=1,INDEX(Setup!$O$6:$AL$23,12,9)&lt;&gt;"",O28=0),9+IF(INDEX(Setup!$O$6:$AL$23,12,9)="T",100,0),"")</f>
        <v/>
      </c>
      <c r="AW151">
        <f>IF(AND($C29=1,INDEX(Setup!$O$6:$AL$23,12,10)&lt;&gt;"",O29=0),10+IF(INDEX(Setup!$O$6:$AL$23,12,10)="T",100,0),"")</f>
        <v/>
      </c>
      <c r="AX151">
        <f>IF(AND($C30=1,INDEX(Setup!$O$6:$AL$23,12,11)&lt;&gt;"",O30=0),11+IF(INDEX(Setup!$O$6:$AL$23,12,11)="T",100,0),"")</f>
        <v/>
      </c>
      <c r="AY151">
        <f>IF(AND($C31=1,INDEX(Setup!$O$6:$AL$23,12,12)&lt;&gt;"",O31=0),12+IF(INDEX(Setup!$O$6:$AL$23,12,12)="T",100,0),"")</f>
        <v/>
      </c>
      <c r="AZ151">
        <f>IF(AND($C32=1,INDEX(Setup!$O$6:$AL$23,12,13)&lt;&gt;"",O32=0),13+IF(INDEX(Setup!$O$6:$AL$23,12,13)="T",100,0),"")</f>
        <v/>
      </c>
      <c r="BA151">
        <f>IF(AND($C33=1,INDEX(Setup!$O$6:$AL$23,12,14)&lt;&gt;"",O33=0),14+IF(INDEX(Setup!$O$6:$AL$23,12,14)="T",100,0),"")</f>
        <v/>
      </c>
      <c r="BB151">
        <f>IF(AND($C34=1,INDEX(Setup!$O$6:$AL$23,12,15)&lt;&gt;"",O34=0),15+IF(INDEX(Setup!$O$6:$AL$23,12,15)="T",100,0),"")</f>
        <v/>
      </c>
      <c r="BC151">
        <f>IF(AND($C35=1,INDEX(Setup!$O$6:$AL$23,12,16)&lt;&gt;"",O35=0),16+IF(INDEX(Setup!$O$6:$AL$23,12,16)="T",100,0),"")</f>
        <v/>
      </c>
      <c r="BD151">
        <f>IF(AND($C36=1,INDEX(Setup!$O$6:$AL$23,12,17)&lt;&gt;"",O36=0),17+IF(INDEX(Setup!$O$6:$AL$23,12,17)="T",100,0),"")</f>
        <v/>
      </c>
      <c r="BE151">
        <f>IF(AND($C37=1,INDEX(Setup!$O$6:$AL$23,12,18)&lt;&gt;"",O37=0),18+IF(INDEX(Setup!$O$6:$AL$23,12,18)="T",100,0),"")</f>
        <v/>
      </c>
      <c r="BF151">
        <f>IF(AND($C38=1,INDEX(Setup!$O$6:$AL$23,12,19)&lt;&gt;"",O38=0),19+IF(INDEX(Setup!$O$6:$AL$23,12,19)="T",100,0),"")</f>
        <v/>
      </c>
      <c r="BG151">
        <f>IF(AND($C39=1,INDEX(Setup!$O$6:$AL$23,12,20)&lt;&gt;"",O39=0),20+IF(INDEX(Setup!$O$6:$AL$23,12,20)="T",100,0),"")</f>
        <v/>
      </c>
      <c r="BH151">
        <f>IF(AND($C40=1,INDEX(Setup!$O$6:$AL$23,12,21)&lt;&gt;"",O40=0),21+IF(INDEX(Setup!$O$6:$AL$23,12,21)="T",100,0),"")</f>
        <v/>
      </c>
      <c r="BI151">
        <f>IF(AND($C41=1,INDEX(Setup!$O$6:$AL$23,12,22)&lt;&gt;"",O41=0),22+IF(INDEX(Setup!$O$6:$AL$23,12,22)="T",100,0),"")</f>
        <v/>
      </c>
      <c r="BJ151">
        <f>IF(AND($C42=1,INDEX(Setup!$O$6:$AL$23,12,23)&lt;&gt;"",O42=0),23+IF(INDEX(Setup!$O$6:$AL$23,12,23)="T",100,0),"")</f>
        <v/>
      </c>
      <c r="BK151">
        <f>IF(AND($C43=1,INDEX(Setup!$O$6:$AL$23,12,24)&lt;&gt;"",O43=0),24+IF(INDEX(Setup!$O$6:$AL$23,12,24)="T",100,0),"")</f>
        <v/>
      </c>
      <c r="BM151">
        <f>IF(AND(AN151&lt;&gt;"",COUNTIF($S$58:$U$58,$B20)+COUNTIF($S$58:$U$58,$B20&amp;" ~*")=0),($R20+COUNTIF($H$140:$H150,$B20)+COUNTIF($H$140:$H150,$B20&amp;" ~*"))*1000+IF(AN151&gt;100,500,0)+1,"")</f>
        <v/>
      </c>
      <c r="BN151">
        <f>IF(AND(AO151&lt;&gt;"",COUNTIF($S$58:$U$58,$B21)+COUNTIF($S$58:$U$58,$B21&amp;" ~*")=0),($R21+COUNTIF($H$140:$H150,$B21)+COUNTIF($H$140:$H150,$B21&amp;" ~*"))*1000+IF(AO151&gt;100,500,0)+2,"")</f>
        <v/>
      </c>
      <c r="BO151">
        <f>IF(AND(AP151&lt;&gt;"",COUNTIF($S$58:$U$58,$B22)+COUNTIF($S$58:$U$58,$B22&amp;" ~*")=0),($R22+COUNTIF($H$140:$H150,$B22)+COUNTIF($H$140:$H150,$B22&amp;" ~*"))*1000+IF(AP151&gt;100,500,0)+3,"")</f>
        <v/>
      </c>
      <c r="BP151">
        <f>IF(AND(AQ151&lt;&gt;"",COUNTIF($S$58:$U$58,$B23)+COUNTIF($S$58:$U$58,$B23&amp;" ~*")=0),($R23+COUNTIF($H$140:$H150,$B23)+COUNTIF($H$140:$H150,$B23&amp;" ~*"))*1000+IF(AQ151&gt;100,500,0)+4,"")</f>
        <v/>
      </c>
      <c r="BQ151">
        <f>IF(AND(AR151&lt;&gt;"",COUNTIF($S$58:$U$58,$B24)+COUNTIF($S$58:$U$58,$B24&amp;" ~*")=0),($R24+COUNTIF($H$140:$H150,$B24)+COUNTIF($H$140:$H150,$B24&amp;" ~*"))*1000+IF(AR151&gt;100,500,0)+5,"")</f>
        <v/>
      </c>
      <c r="BR151">
        <f>IF(AND(AS151&lt;&gt;"",COUNTIF($S$58:$U$58,$B25)+COUNTIF($S$58:$U$58,$B25&amp;" ~*")=0),($R25+COUNTIF($H$140:$H150,$B25)+COUNTIF($H$140:$H150,$B25&amp;" ~*"))*1000+IF(AS151&gt;100,500,0)+6,"")</f>
        <v/>
      </c>
      <c r="BS151">
        <f>IF(AND(AT151&lt;&gt;"",COUNTIF($S$58:$U$58,$B26)+COUNTIF($S$58:$U$58,$B26&amp;" ~*")=0),($R26+COUNTIF($H$140:$H150,$B26)+COUNTIF($H$140:$H150,$B26&amp;" ~*"))*1000+IF(AT151&gt;100,500,0)+7,"")</f>
        <v/>
      </c>
      <c r="BT151">
        <f>IF(AND(AU151&lt;&gt;"",COUNTIF($S$58:$U$58,$B27)+COUNTIF($S$58:$U$58,$B27&amp;" ~*")=0),($R27+COUNTIF($H$140:$H150,$B27)+COUNTIF($H$140:$H150,$B27&amp;" ~*"))*1000+IF(AU151&gt;100,500,0)+8,"")</f>
        <v/>
      </c>
      <c r="BU151">
        <f>IF(AND(AV151&lt;&gt;"",COUNTIF($S$58:$U$58,$B28)+COUNTIF($S$58:$U$58,$B28&amp;" ~*")=0),($R28+COUNTIF($H$140:$H150,$B28)+COUNTIF($H$140:$H150,$B28&amp;" ~*"))*1000+IF(AV151&gt;100,500,0)+9,"")</f>
        <v/>
      </c>
      <c r="BV151">
        <f>IF(AND(AW151&lt;&gt;"",COUNTIF($S$58:$U$58,$B29)+COUNTIF($S$58:$U$58,$B29&amp;" ~*")=0),($R29+COUNTIF($H$140:$H150,$B29)+COUNTIF($H$140:$H150,$B29&amp;" ~*"))*1000+IF(AW151&gt;100,500,0)+10,"")</f>
        <v/>
      </c>
      <c r="BW151">
        <f>IF(AND(AX151&lt;&gt;"",COUNTIF($S$58:$U$58,$B30)+COUNTIF($S$58:$U$58,$B30&amp;" ~*")=0),($R30+COUNTIF($H$140:$H150,$B30)+COUNTIF($H$140:$H150,$B30&amp;" ~*"))*1000+IF(AX151&gt;100,500,0)+11,"")</f>
        <v/>
      </c>
      <c r="BX151">
        <f>IF(AND(AY151&lt;&gt;"",COUNTIF($S$58:$U$58,$B31)+COUNTIF($S$58:$U$58,$B31&amp;" ~*")=0),($R31+COUNTIF($H$140:$H150,$B31)+COUNTIF($H$140:$H150,$B31&amp;" ~*"))*1000+IF(AY151&gt;100,500,0)+12,"")</f>
        <v/>
      </c>
      <c r="BY151">
        <f>IF(AND(AZ151&lt;&gt;"",COUNTIF($S$58:$U$58,$B32)+COUNTIF($S$58:$U$58,$B32&amp;" ~*")=0),($R32+COUNTIF($H$140:$H150,$B32)+COUNTIF($H$140:$H150,$B32&amp;" ~*"))*1000+IF(AZ151&gt;100,500,0)+13,"")</f>
        <v/>
      </c>
      <c r="BZ151">
        <f>IF(AND(BA151&lt;&gt;"",COUNTIF($S$58:$U$58,$B33)+COUNTIF($S$58:$U$58,$B33&amp;" ~*")=0),($R33+COUNTIF($H$140:$H150,$B33)+COUNTIF($H$140:$H150,$B33&amp;" ~*"))*1000+IF(BA151&gt;100,500,0)+14,"")</f>
        <v/>
      </c>
      <c r="CA151">
        <f>IF(AND(BB151&lt;&gt;"",COUNTIF($S$58:$U$58,$B34)+COUNTIF($S$58:$U$58,$B34&amp;" ~*")=0),($R34+COUNTIF($H$140:$H150,$B34)+COUNTIF($H$140:$H150,$B34&amp;" ~*"))*1000+IF(BB151&gt;100,500,0)+15,"")</f>
        <v/>
      </c>
      <c r="CB151">
        <f>IF(AND(BC151&lt;&gt;"",COUNTIF($S$58:$U$58,$B35)+COUNTIF($S$58:$U$58,$B35&amp;" ~*")=0),($R35+COUNTIF($H$140:$H150,$B35)+COUNTIF($H$140:$H150,$B35&amp;" ~*"))*1000+IF(BC151&gt;100,500,0)+16,"")</f>
        <v/>
      </c>
      <c r="CC151">
        <f>IF(AND(BD151&lt;&gt;"",COUNTIF($S$58:$U$58,$B36)+COUNTIF($S$58:$U$58,$B36&amp;" ~*")=0),($R36+COUNTIF($H$140:$H150,$B36)+COUNTIF($H$140:$H150,$B36&amp;" ~*"))*1000+IF(BD151&gt;100,500,0)+17,"")</f>
        <v/>
      </c>
      <c r="CD151">
        <f>IF(AND(BE151&lt;&gt;"",COUNTIF($S$58:$U$58,$B37)+COUNTIF($S$58:$U$58,$B37&amp;" ~*")=0),($R37+COUNTIF($H$140:$H150,$B37)+COUNTIF($H$140:$H150,$B37&amp;" ~*"))*1000+IF(BE151&gt;100,500,0)+18,"")</f>
        <v/>
      </c>
      <c r="CE151">
        <f>IF(AND(BF151&lt;&gt;"",COUNTIF($S$58:$U$58,$B38)+COUNTIF($S$58:$U$58,$B38&amp;" ~*")=0),($R38+COUNTIF($H$140:$H150,$B38)+COUNTIF($H$140:$H150,$B38&amp;" ~*"))*1000+IF(BF151&gt;100,500,0)+19,"")</f>
        <v/>
      </c>
      <c r="CF151">
        <f>IF(AND(BG151&lt;&gt;"",COUNTIF($S$58:$U$58,$B39)+COUNTIF($S$58:$U$58,$B39&amp;" ~*")=0),($R39+COUNTIF($H$140:$H150,$B39)+COUNTIF($H$140:$H150,$B39&amp;" ~*"))*1000+IF(BG151&gt;100,500,0)+20,"")</f>
        <v/>
      </c>
      <c r="CG151">
        <f>IF(AND(BH151&lt;&gt;"",COUNTIF($S$58:$U$58,$B40)+COUNTIF($S$58:$U$58,$B40&amp;" ~*")=0),($R40+COUNTIF($H$140:$H150,$B40)+COUNTIF($H$140:$H150,$B40&amp;" ~*"))*1000+IF(BH151&gt;100,500,0)+21,"")</f>
        <v/>
      </c>
      <c r="CH151">
        <f>IF(AND(BI151&lt;&gt;"",COUNTIF($S$58:$U$58,$B41)+COUNTIF($S$58:$U$58,$B41&amp;" ~*")=0),($R41+COUNTIF($H$140:$H150,$B41)+COUNTIF($H$140:$H150,$B41&amp;" ~*"))*1000+IF(BI151&gt;100,500,0)+22,"")</f>
        <v/>
      </c>
      <c r="CI151">
        <f>IF(AND(BJ151&lt;&gt;"",COUNTIF($S$58:$U$58,$B42)+COUNTIF($S$58:$U$58,$B42&amp;" ~*")=0),($R42+COUNTIF($H$140:$H150,$B42)+COUNTIF($H$140:$H150,$B42&amp;" ~*"))*1000+IF(BJ151&gt;100,500,0)+23,"")</f>
        <v/>
      </c>
      <c r="CJ151">
        <f>IF(AND(BK151&lt;&gt;"",COUNTIF($S$58:$U$58,$B43)+COUNTIF($S$58:$U$58,$B43&amp;" ~*")=0),($R43+COUNTIF($H$140:$H150,$B43)+COUNTIF($H$140:$H150,$B43&amp;" ~*"))*1000+IF(BK151&gt;100,500,0)+24,"")</f>
        <v/>
      </c>
    </row>
    <row r="152">
      <c r="A152" t="n">
        <v>5</v>
      </c>
      <c r="B152" t="n">
        <v>13</v>
      </c>
      <c r="C152">
        <f>$B$59</f>
        <v/>
      </c>
      <c r="D152" t="inlineStr">
        <is>
          <t>Fri</t>
        </is>
      </c>
      <c r="E152">
        <f>IF(C152="","",N($AB$59))</f>
        <v/>
      </c>
      <c r="F152">
        <f>IF(C152="","",COUNTIF($S$59:$U$59,"?*"))</f>
        <v/>
      </c>
      <c r="G152">
        <f>IF(C152="","",MAX(0,E152-F152))</f>
        <v/>
      </c>
      <c r="H152">
        <f>IF(N(G152)=0,"",IF(COUNT(BM152:CJ152)=0,"no-one eligible",INDEX(Engine!$B$20:$B$43,MOD(MIN(BM152:CJ152),500))&amp;IF(MOD(MIN(BM152:CJ152),1000)&gt;=500," *","")))</f>
        <v/>
      </c>
      <c r="I152">
        <f>IF(N(G152)&gt;0,COUNTIF($G$68:G152,"&gt;0"),"")</f>
        <v/>
      </c>
      <c r="J152">
        <f>IF(C152="","",IF($S$59="",0,IF(IFERROR(INDEX(Setup!$O$6:$AL$23,13,MATCH(SUBSTITUTE($S$59," *",""),Setup!$B$6:$B$29,0)),"")="",1,0))+IF($T$59="",0,IF(IFERROR(INDEX(Setup!$O$6:$AL$23,13,MATCH(SUBSTITUTE($T$59," *",""),Setup!$B$6:$B$29,0)),"")="",1,0))+IF($U$59="",0,IF(IFERROR(INDEX(Setup!$O$6:$AL$23,13,MATCH(SUBSTITUTE($U$59," *",""),Setup!$B$6:$B$29,0)),"")="",1,0)))</f>
        <v/>
      </c>
      <c r="K152">
        <f>IF($B$12+4=TODAY(),1,0)</f>
        <v/>
      </c>
      <c r="N152">
        <f>COUNT($AN152:$BK152)</f>
        <v/>
      </c>
      <c r="O152">
        <f>IF(1&gt;$N152,"",INDEX(Engine!$B$20:$B$43,MOD(SMALL($AN152:$BK152,1),100))&amp;IF(SMALL($AN152:$BK152,1)&gt;100," *",""))</f>
        <v/>
      </c>
      <c r="P152">
        <f>IF(2&gt;$N152,"",INDEX(Engine!$B$20:$B$43,MOD(SMALL($AN152:$BK152,2),100))&amp;IF(SMALL($AN152:$BK152,2)&gt;100," *",""))</f>
        <v/>
      </c>
      <c r="Q152">
        <f>IF(3&gt;$N152,"",INDEX(Engine!$B$20:$B$43,MOD(SMALL($AN152:$BK152,3),100))&amp;IF(SMALL($AN152:$BK152,3)&gt;100," *",""))</f>
        <v/>
      </c>
      <c r="R152">
        <f>IF(4&gt;$N152,"",INDEX(Engine!$B$20:$B$43,MOD(SMALL($AN152:$BK152,4),100))&amp;IF(SMALL($AN152:$BK152,4)&gt;100," *",""))</f>
        <v/>
      </c>
      <c r="S152">
        <f>IF(5&gt;$N152,"",INDEX(Engine!$B$20:$B$43,MOD(SMALL($AN152:$BK152,5),100))&amp;IF(SMALL($AN152:$BK152,5)&gt;100," *",""))</f>
        <v/>
      </c>
      <c r="T152">
        <f>IF(6&gt;$N152,"",INDEX(Engine!$B$20:$B$43,MOD(SMALL($AN152:$BK152,6),100))&amp;IF(SMALL($AN152:$BK152,6)&gt;100," *",""))</f>
        <v/>
      </c>
      <c r="U152">
        <f>IF(7&gt;$N152,"",INDEX(Engine!$B$20:$B$43,MOD(SMALL($AN152:$BK152,7),100))&amp;IF(SMALL($AN152:$BK152,7)&gt;100," *",""))</f>
        <v/>
      </c>
      <c r="V152">
        <f>IF(8&gt;$N152,"",INDEX(Engine!$B$20:$B$43,MOD(SMALL($AN152:$BK152,8),100))&amp;IF(SMALL($AN152:$BK152,8)&gt;100," *",""))</f>
        <v/>
      </c>
      <c r="W152">
        <f>IF(9&gt;$N152,"",INDEX(Engine!$B$20:$B$43,MOD(SMALL($AN152:$BK152,9),100))&amp;IF(SMALL($AN152:$BK152,9)&gt;100," *",""))</f>
        <v/>
      </c>
      <c r="X152">
        <f>IF(10&gt;$N152,"",INDEX(Engine!$B$20:$B$43,MOD(SMALL($AN152:$BK152,10),100))&amp;IF(SMALL($AN152:$BK152,10)&gt;100," *",""))</f>
        <v/>
      </c>
      <c r="Y152">
        <f>IF(11&gt;$N152,"",INDEX(Engine!$B$20:$B$43,MOD(SMALL($AN152:$BK152,11),100))&amp;IF(SMALL($AN152:$BK152,11)&gt;100," *",""))</f>
        <v/>
      </c>
      <c r="Z152">
        <f>IF(12&gt;$N152,"",INDEX(Engine!$B$20:$B$43,MOD(SMALL($AN152:$BK152,12),100))&amp;IF(SMALL($AN152:$BK152,12)&gt;100," *",""))</f>
        <v/>
      </c>
      <c r="AA152">
        <f>IF(13&gt;$N152,"",INDEX(Engine!$B$20:$B$43,MOD(SMALL($AN152:$BK152,13),100))&amp;IF(SMALL($AN152:$BK152,13)&gt;100," *",""))</f>
        <v/>
      </c>
      <c r="AB152">
        <f>IF(14&gt;$N152,"",INDEX(Engine!$B$20:$B$43,MOD(SMALL($AN152:$BK152,14),100))&amp;IF(SMALL($AN152:$BK152,14)&gt;100," *",""))</f>
        <v/>
      </c>
      <c r="AC152">
        <f>IF(15&gt;$N152,"",INDEX(Engine!$B$20:$B$43,MOD(SMALL($AN152:$BK152,15),100))&amp;IF(SMALL($AN152:$BK152,15)&gt;100," *",""))</f>
        <v/>
      </c>
      <c r="AD152">
        <f>IF(16&gt;$N152,"",INDEX(Engine!$B$20:$B$43,MOD(SMALL($AN152:$BK152,16),100))&amp;IF(SMALL($AN152:$BK152,16)&gt;100," *",""))</f>
        <v/>
      </c>
      <c r="AE152">
        <f>IF(17&gt;$N152,"",INDEX(Engine!$B$20:$B$43,MOD(SMALL($AN152:$BK152,17),100))&amp;IF(SMALL($AN152:$BK152,17)&gt;100," *",""))</f>
        <v/>
      </c>
      <c r="AF152">
        <f>IF(18&gt;$N152,"",INDEX(Engine!$B$20:$B$43,MOD(SMALL($AN152:$BK152,18),100))&amp;IF(SMALL($AN152:$BK152,18)&gt;100," *",""))</f>
        <v/>
      </c>
      <c r="AG152">
        <f>IF(19&gt;$N152,"",INDEX(Engine!$B$20:$B$43,MOD(SMALL($AN152:$BK152,19),100))&amp;IF(SMALL($AN152:$BK152,19)&gt;100," *",""))</f>
        <v/>
      </c>
      <c r="AH152">
        <f>IF(20&gt;$N152,"",INDEX(Engine!$B$20:$B$43,MOD(SMALL($AN152:$BK152,20),100))&amp;IF(SMALL($AN152:$BK152,20)&gt;100," *",""))</f>
        <v/>
      </c>
      <c r="AI152">
        <f>IF(21&gt;$N152,"",INDEX(Engine!$B$20:$B$43,MOD(SMALL($AN152:$BK152,21),100))&amp;IF(SMALL($AN152:$BK152,21)&gt;100," *",""))</f>
        <v/>
      </c>
      <c r="AJ152">
        <f>IF(22&gt;$N152,"",INDEX(Engine!$B$20:$B$43,MOD(SMALL($AN152:$BK152,22),100))&amp;IF(SMALL($AN152:$BK152,22)&gt;100," *",""))</f>
        <v/>
      </c>
      <c r="AK152">
        <f>IF(23&gt;$N152,"",INDEX(Engine!$B$20:$B$43,MOD(SMALL($AN152:$BK152,23),100))&amp;IF(SMALL($AN152:$BK152,23)&gt;100," *",""))</f>
        <v/>
      </c>
      <c r="AL152">
        <f>IF(24&gt;$N152,"",INDEX(Engine!$B$20:$B$43,MOD(SMALL($AN152:$BK152,24),100))&amp;IF(SMALL($AN152:$BK152,24)&gt;100," *",""))</f>
        <v/>
      </c>
      <c r="AN152">
        <f>IF(AND($C20=1,INDEX(Setup!$O$6:$AL$23,13,1)&lt;&gt;"",O20=0),1+IF(INDEX(Setup!$O$6:$AL$23,13,1)="T",100,0),"")</f>
        <v/>
      </c>
      <c r="AO152">
        <f>IF(AND($C21=1,INDEX(Setup!$O$6:$AL$23,13,2)&lt;&gt;"",O21=0),2+IF(INDEX(Setup!$O$6:$AL$23,13,2)="T",100,0),"")</f>
        <v/>
      </c>
      <c r="AP152">
        <f>IF(AND($C22=1,INDEX(Setup!$O$6:$AL$23,13,3)&lt;&gt;"",O22=0),3+IF(INDEX(Setup!$O$6:$AL$23,13,3)="T",100,0),"")</f>
        <v/>
      </c>
      <c r="AQ152">
        <f>IF(AND($C23=1,INDEX(Setup!$O$6:$AL$23,13,4)&lt;&gt;"",O23=0),4+IF(INDEX(Setup!$O$6:$AL$23,13,4)="T",100,0),"")</f>
        <v/>
      </c>
      <c r="AR152">
        <f>IF(AND($C24=1,INDEX(Setup!$O$6:$AL$23,13,5)&lt;&gt;"",O24=0),5+IF(INDEX(Setup!$O$6:$AL$23,13,5)="T",100,0),"")</f>
        <v/>
      </c>
      <c r="AS152">
        <f>IF(AND($C25=1,INDEX(Setup!$O$6:$AL$23,13,6)&lt;&gt;"",O25=0),6+IF(INDEX(Setup!$O$6:$AL$23,13,6)="T",100,0),"")</f>
        <v/>
      </c>
      <c r="AT152">
        <f>IF(AND($C26=1,INDEX(Setup!$O$6:$AL$23,13,7)&lt;&gt;"",O26=0),7+IF(INDEX(Setup!$O$6:$AL$23,13,7)="T",100,0),"")</f>
        <v/>
      </c>
      <c r="AU152">
        <f>IF(AND($C27=1,INDEX(Setup!$O$6:$AL$23,13,8)&lt;&gt;"",O27=0),8+IF(INDEX(Setup!$O$6:$AL$23,13,8)="T",100,0),"")</f>
        <v/>
      </c>
      <c r="AV152">
        <f>IF(AND($C28=1,INDEX(Setup!$O$6:$AL$23,13,9)&lt;&gt;"",O28=0),9+IF(INDEX(Setup!$O$6:$AL$23,13,9)="T",100,0),"")</f>
        <v/>
      </c>
      <c r="AW152">
        <f>IF(AND($C29=1,INDEX(Setup!$O$6:$AL$23,13,10)&lt;&gt;"",O29=0),10+IF(INDEX(Setup!$O$6:$AL$23,13,10)="T",100,0),"")</f>
        <v/>
      </c>
      <c r="AX152">
        <f>IF(AND($C30=1,INDEX(Setup!$O$6:$AL$23,13,11)&lt;&gt;"",O30=0),11+IF(INDEX(Setup!$O$6:$AL$23,13,11)="T",100,0),"")</f>
        <v/>
      </c>
      <c r="AY152">
        <f>IF(AND($C31=1,INDEX(Setup!$O$6:$AL$23,13,12)&lt;&gt;"",O31=0),12+IF(INDEX(Setup!$O$6:$AL$23,13,12)="T",100,0),"")</f>
        <v/>
      </c>
      <c r="AZ152">
        <f>IF(AND($C32=1,INDEX(Setup!$O$6:$AL$23,13,13)&lt;&gt;"",O32=0),13+IF(INDEX(Setup!$O$6:$AL$23,13,13)="T",100,0),"")</f>
        <v/>
      </c>
      <c r="BA152">
        <f>IF(AND($C33=1,INDEX(Setup!$O$6:$AL$23,13,14)&lt;&gt;"",O33=0),14+IF(INDEX(Setup!$O$6:$AL$23,13,14)="T",100,0),"")</f>
        <v/>
      </c>
      <c r="BB152">
        <f>IF(AND($C34=1,INDEX(Setup!$O$6:$AL$23,13,15)&lt;&gt;"",O34=0),15+IF(INDEX(Setup!$O$6:$AL$23,13,15)="T",100,0),"")</f>
        <v/>
      </c>
      <c r="BC152">
        <f>IF(AND($C35=1,INDEX(Setup!$O$6:$AL$23,13,16)&lt;&gt;"",O35=0),16+IF(INDEX(Setup!$O$6:$AL$23,13,16)="T",100,0),"")</f>
        <v/>
      </c>
      <c r="BD152">
        <f>IF(AND($C36=1,INDEX(Setup!$O$6:$AL$23,13,17)&lt;&gt;"",O36=0),17+IF(INDEX(Setup!$O$6:$AL$23,13,17)="T",100,0),"")</f>
        <v/>
      </c>
      <c r="BE152">
        <f>IF(AND($C37=1,INDEX(Setup!$O$6:$AL$23,13,18)&lt;&gt;"",O37=0),18+IF(INDEX(Setup!$O$6:$AL$23,13,18)="T",100,0),"")</f>
        <v/>
      </c>
      <c r="BF152">
        <f>IF(AND($C38=1,INDEX(Setup!$O$6:$AL$23,13,19)&lt;&gt;"",O38=0),19+IF(INDEX(Setup!$O$6:$AL$23,13,19)="T",100,0),"")</f>
        <v/>
      </c>
      <c r="BG152">
        <f>IF(AND($C39=1,INDEX(Setup!$O$6:$AL$23,13,20)&lt;&gt;"",O39=0),20+IF(INDEX(Setup!$O$6:$AL$23,13,20)="T",100,0),"")</f>
        <v/>
      </c>
      <c r="BH152">
        <f>IF(AND($C40=1,INDEX(Setup!$O$6:$AL$23,13,21)&lt;&gt;"",O40=0),21+IF(INDEX(Setup!$O$6:$AL$23,13,21)="T",100,0),"")</f>
        <v/>
      </c>
      <c r="BI152">
        <f>IF(AND($C41=1,INDEX(Setup!$O$6:$AL$23,13,22)&lt;&gt;"",O41=0),22+IF(INDEX(Setup!$O$6:$AL$23,13,22)="T",100,0),"")</f>
        <v/>
      </c>
      <c r="BJ152">
        <f>IF(AND($C42=1,INDEX(Setup!$O$6:$AL$23,13,23)&lt;&gt;"",O42=0),23+IF(INDEX(Setup!$O$6:$AL$23,13,23)="T",100,0),"")</f>
        <v/>
      </c>
      <c r="BK152">
        <f>IF(AND($C43=1,INDEX(Setup!$O$6:$AL$23,13,24)&lt;&gt;"",O43=0),24+IF(INDEX(Setup!$O$6:$AL$23,13,24)="T",100,0),"")</f>
        <v/>
      </c>
      <c r="BM152">
        <f>IF(AND(AN152&lt;&gt;"",COUNTIF($S$59:$U$59,$B20)+COUNTIF($S$59:$U$59,$B20&amp;" ~*")=0),($R20+COUNTIF($H$140:$H151,$B20)+COUNTIF($H$140:$H151,$B20&amp;" ~*"))*1000+IF(AN152&gt;100,500,0)+1,"")</f>
        <v/>
      </c>
      <c r="BN152">
        <f>IF(AND(AO152&lt;&gt;"",COUNTIF($S$59:$U$59,$B21)+COUNTIF($S$59:$U$59,$B21&amp;" ~*")=0),($R21+COUNTIF($H$140:$H151,$B21)+COUNTIF($H$140:$H151,$B21&amp;" ~*"))*1000+IF(AO152&gt;100,500,0)+2,"")</f>
        <v/>
      </c>
      <c r="BO152">
        <f>IF(AND(AP152&lt;&gt;"",COUNTIF($S$59:$U$59,$B22)+COUNTIF($S$59:$U$59,$B22&amp;" ~*")=0),($R22+COUNTIF($H$140:$H151,$B22)+COUNTIF($H$140:$H151,$B22&amp;" ~*"))*1000+IF(AP152&gt;100,500,0)+3,"")</f>
        <v/>
      </c>
      <c r="BP152">
        <f>IF(AND(AQ152&lt;&gt;"",COUNTIF($S$59:$U$59,$B23)+COUNTIF($S$59:$U$59,$B23&amp;" ~*")=0),($R23+COUNTIF($H$140:$H151,$B23)+COUNTIF($H$140:$H151,$B23&amp;" ~*"))*1000+IF(AQ152&gt;100,500,0)+4,"")</f>
        <v/>
      </c>
      <c r="BQ152">
        <f>IF(AND(AR152&lt;&gt;"",COUNTIF($S$59:$U$59,$B24)+COUNTIF($S$59:$U$59,$B24&amp;" ~*")=0),($R24+COUNTIF($H$140:$H151,$B24)+COUNTIF($H$140:$H151,$B24&amp;" ~*"))*1000+IF(AR152&gt;100,500,0)+5,"")</f>
        <v/>
      </c>
      <c r="BR152">
        <f>IF(AND(AS152&lt;&gt;"",COUNTIF($S$59:$U$59,$B25)+COUNTIF($S$59:$U$59,$B25&amp;" ~*")=0),($R25+COUNTIF($H$140:$H151,$B25)+COUNTIF($H$140:$H151,$B25&amp;" ~*"))*1000+IF(AS152&gt;100,500,0)+6,"")</f>
        <v/>
      </c>
      <c r="BS152">
        <f>IF(AND(AT152&lt;&gt;"",COUNTIF($S$59:$U$59,$B26)+COUNTIF($S$59:$U$59,$B26&amp;" ~*")=0),($R26+COUNTIF($H$140:$H151,$B26)+COUNTIF($H$140:$H151,$B26&amp;" ~*"))*1000+IF(AT152&gt;100,500,0)+7,"")</f>
        <v/>
      </c>
      <c r="BT152">
        <f>IF(AND(AU152&lt;&gt;"",COUNTIF($S$59:$U$59,$B27)+COUNTIF($S$59:$U$59,$B27&amp;" ~*")=0),($R27+COUNTIF($H$140:$H151,$B27)+COUNTIF($H$140:$H151,$B27&amp;" ~*"))*1000+IF(AU152&gt;100,500,0)+8,"")</f>
        <v/>
      </c>
      <c r="BU152">
        <f>IF(AND(AV152&lt;&gt;"",COUNTIF($S$59:$U$59,$B28)+COUNTIF($S$59:$U$59,$B28&amp;" ~*")=0),($R28+COUNTIF($H$140:$H151,$B28)+COUNTIF($H$140:$H151,$B28&amp;" ~*"))*1000+IF(AV152&gt;100,500,0)+9,"")</f>
        <v/>
      </c>
      <c r="BV152">
        <f>IF(AND(AW152&lt;&gt;"",COUNTIF($S$59:$U$59,$B29)+COUNTIF($S$59:$U$59,$B29&amp;" ~*")=0),($R29+COUNTIF($H$140:$H151,$B29)+COUNTIF($H$140:$H151,$B29&amp;" ~*"))*1000+IF(AW152&gt;100,500,0)+10,"")</f>
        <v/>
      </c>
      <c r="BW152">
        <f>IF(AND(AX152&lt;&gt;"",COUNTIF($S$59:$U$59,$B30)+COUNTIF($S$59:$U$59,$B30&amp;" ~*")=0),($R30+COUNTIF($H$140:$H151,$B30)+COUNTIF($H$140:$H151,$B30&amp;" ~*"))*1000+IF(AX152&gt;100,500,0)+11,"")</f>
        <v/>
      </c>
      <c r="BX152">
        <f>IF(AND(AY152&lt;&gt;"",COUNTIF($S$59:$U$59,$B31)+COUNTIF($S$59:$U$59,$B31&amp;" ~*")=0),($R31+COUNTIF($H$140:$H151,$B31)+COUNTIF($H$140:$H151,$B31&amp;" ~*"))*1000+IF(AY152&gt;100,500,0)+12,"")</f>
        <v/>
      </c>
      <c r="BY152">
        <f>IF(AND(AZ152&lt;&gt;"",COUNTIF($S$59:$U$59,$B32)+COUNTIF($S$59:$U$59,$B32&amp;" ~*")=0),($R32+COUNTIF($H$140:$H151,$B32)+COUNTIF($H$140:$H151,$B32&amp;" ~*"))*1000+IF(AZ152&gt;100,500,0)+13,"")</f>
        <v/>
      </c>
      <c r="BZ152">
        <f>IF(AND(BA152&lt;&gt;"",COUNTIF($S$59:$U$59,$B33)+COUNTIF($S$59:$U$59,$B33&amp;" ~*")=0),($R33+COUNTIF($H$140:$H151,$B33)+COUNTIF($H$140:$H151,$B33&amp;" ~*"))*1000+IF(BA152&gt;100,500,0)+14,"")</f>
        <v/>
      </c>
      <c r="CA152">
        <f>IF(AND(BB152&lt;&gt;"",COUNTIF($S$59:$U$59,$B34)+COUNTIF($S$59:$U$59,$B34&amp;" ~*")=0),($R34+COUNTIF($H$140:$H151,$B34)+COUNTIF($H$140:$H151,$B34&amp;" ~*"))*1000+IF(BB152&gt;100,500,0)+15,"")</f>
        <v/>
      </c>
      <c r="CB152">
        <f>IF(AND(BC152&lt;&gt;"",COUNTIF($S$59:$U$59,$B35)+COUNTIF($S$59:$U$59,$B35&amp;" ~*")=0),($R35+COUNTIF($H$140:$H151,$B35)+COUNTIF($H$140:$H151,$B35&amp;" ~*"))*1000+IF(BC152&gt;100,500,0)+16,"")</f>
        <v/>
      </c>
      <c r="CC152">
        <f>IF(AND(BD152&lt;&gt;"",COUNTIF($S$59:$U$59,$B36)+COUNTIF($S$59:$U$59,$B36&amp;" ~*")=0),($R36+COUNTIF($H$140:$H151,$B36)+COUNTIF($H$140:$H151,$B36&amp;" ~*"))*1000+IF(BD152&gt;100,500,0)+17,"")</f>
        <v/>
      </c>
      <c r="CD152">
        <f>IF(AND(BE152&lt;&gt;"",COUNTIF($S$59:$U$59,$B37)+COUNTIF($S$59:$U$59,$B37&amp;" ~*")=0),($R37+COUNTIF($H$140:$H151,$B37)+COUNTIF($H$140:$H151,$B37&amp;" ~*"))*1000+IF(BE152&gt;100,500,0)+18,"")</f>
        <v/>
      </c>
      <c r="CE152">
        <f>IF(AND(BF152&lt;&gt;"",COUNTIF($S$59:$U$59,$B38)+COUNTIF($S$59:$U$59,$B38&amp;" ~*")=0),($R38+COUNTIF($H$140:$H151,$B38)+COUNTIF($H$140:$H151,$B38&amp;" ~*"))*1000+IF(BF152&gt;100,500,0)+19,"")</f>
        <v/>
      </c>
      <c r="CF152">
        <f>IF(AND(BG152&lt;&gt;"",COUNTIF($S$59:$U$59,$B39)+COUNTIF($S$59:$U$59,$B39&amp;" ~*")=0),($R39+COUNTIF($H$140:$H151,$B39)+COUNTIF($H$140:$H151,$B39&amp;" ~*"))*1000+IF(BG152&gt;100,500,0)+20,"")</f>
        <v/>
      </c>
      <c r="CG152">
        <f>IF(AND(BH152&lt;&gt;"",COUNTIF($S$59:$U$59,$B40)+COUNTIF($S$59:$U$59,$B40&amp;" ~*")=0),($R40+COUNTIF($H$140:$H151,$B40)+COUNTIF($H$140:$H151,$B40&amp;" ~*"))*1000+IF(BH152&gt;100,500,0)+21,"")</f>
        <v/>
      </c>
      <c r="CH152">
        <f>IF(AND(BI152&lt;&gt;"",COUNTIF($S$59:$U$59,$B41)+COUNTIF($S$59:$U$59,$B41&amp;" ~*")=0),($R41+COUNTIF($H$140:$H151,$B41)+COUNTIF($H$140:$H151,$B41&amp;" ~*"))*1000+IF(BI152&gt;100,500,0)+22,"")</f>
        <v/>
      </c>
      <c r="CI152">
        <f>IF(AND(BJ152&lt;&gt;"",COUNTIF($S$59:$U$59,$B42)+COUNTIF($S$59:$U$59,$B42&amp;" ~*")=0),($R42+COUNTIF($H$140:$H151,$B42)+COUNTIF($H$140:$H151,$B42&amp;" ~*"))*1000+IF(BJ152&gt;100,500,0)+23,"")</f>
        <v/>
      </c>
      <c r="CJ152">
        <f>IF(AND(BK152&lt;&gt;"",COUNTIF($S$59:$U$59,$B43)+COUNTIF($S$59:$U$59,$B43&amp;" ~*")=0),($R43+COUNTIF($H$140:$H151,$B43)+COUNTIF($H$140:$H151,$B43&amp;" ~*"))*1000+IF(BK152&gt;100,500,0)+24,"")</f>
        <v/>
      </c>
    </row>
    <row r="153">
      <c r="A153" t="n">
        <v>5</v>
      </c>
      <c r="B153" t="n">
        <v>14</v>
      </c>
      <c r="C153">
        <f>$B$60</f>
        <v/>
      </c>
      <c r="D153" t="inlineStr">
        <is>
          <t>Fri</t>
        </is>
      </c>
      <c r="E153">
        <f>IF(C153="","",N($AB$60))</f>
        <v/>
      </c>
      <c r="F153">
        <f>IF(C153="","",COUNTIF($S$60:$U$60,"?*"))</f>
        <v/>
      </c>
      <c r="G153">
        <f>IF(C153="","",MAX(0,E153-F153))</f>
        <v/>
      </c>
      <c r="H153">
        <f>IF(N(G153)=0,"",IF(COUNT(BM153:CJ153)=0,"no-one eligible",INDEX(Engine!$B$20:$B$43,MOD(MIN(BM153:CJ153),500))&amp;IF(MOD(MIN(BM153:CJ153),1000)&gt;=500," *","")))</f>
        <v/>
      </c>
      <c r="I153">
        <f>IF(N(G153)&gt;0,COUNTIF($G$68:G153,"&gt;0"),"")</f>
        <v/>
      </c>
      <c r="J153">
        <f>IF(C153="","",IF($S$60="",0,IF(IFERROR(INDEX(Setup!$O$6:$AL$23,14,MATCH(SUBSTITUTE($S$60," *",""),Setup!$B$6:$B$29,0)),"")="",1,0))+IF($T$60="",0,IF(IFERROR(INDEX(Setup!$O$6:$AL$23,14,MATCH(SUBSTITUTE($T$60," *",""),Setup!$B$6:$B$29,0)),"")="",1,0))+IF($U$60="",0,IF(IFERROR(INDEX(Setup!$O$6:$AL$23,14,MATCH(SUBSTITUTE($U$60," *",""),Setup!$B$6:$B$29,0)),"")="",1,0)))</f>
        <v/>
      </c>
      <c r="K153">
        <f>IF($B$12+4=TODAY(),1,0)</f>
        <v/>
      </c>
      <c r="N153">
        <f>COUNT($AN153:$BK153)</f>
        <v/>
      </c>
      <c r="O153">
        <f>IF(1&gt;$N153,"",INDEX(Engine!$B$20:$B$43,MOD(SMALL($AN153:$BK153,1),100))&amp;IF(SMALL($AN153:$BK153,1)&gt;100," *",""))</f>
        <v/>
      </c>
      <c r="P153">
        <f>IF(2&gt;$N153,"",INDEX(Engine!$B$20:$B$43,MOD(SMALL($AN153:$BK153,2),100))&amp;IF(SMALL($AN153:$BK153,2)&gt;100," *",""))</f>
        <v/>
      </c>
      <c r="Q153">
        <f>IF(3&gt;$N153,"",INDEX(Engine!$B$20:$B$43,MOD(SMALL($AN153:$BK153,3),100))&amp;IF(SMALL($AN153:$BK153,3)&gt;100," *",""))</f>
        <v/>
      </c>
      <c r="R153">
        <f>IF(4&gt;$N153,"",INDEX(Engine!$B$20:$B$43,MOD(SMALL($AN153:$BK153,4),100))&amp;IF(SMALL($AN153:$BK153,4)&gt;100," *",""))</f>
        <v/>
      </c>
      <c r="S153">
        <f>IF(5&gt;$N153,"",INDEX(Engine!$B$20:$B$43,MOD(SMALL($AN153:$BK153,5),100))&amp;IF(SMALL($AN153:$BK153,5)&gt;100," *",""))</f>
        <v/>
      </c>
      <c r="T153">
        <f>IF(6&gt;$N153,"",INDEX(Engine!$B$20:$B$43,MOD(SMALL($AN153:$BK153,6),100))&amp;IF(SMALL($AN153:$BK153,6)&gt;100," *",""))</f>
        <v/>
      </c>
      <c r="U153">
        <f>IF(7&gt;$N153,"",INDEX(Engine!$B$20:$B$43,MOD(SMALL($AN153:$BK153,7),100))&amp;IF(SMALL($AN153:$BK153,7)&gt;100," *",""))</f>
        <v/>
      </c>
      <c r="V153">
        <f>IF(8&gt;$N153,"",INDEX(Engine!$B$20:$B$43,MOD(SMALL($AN153:$BK153,8),100))&amp;IF(SMALL($AN153:$BK153,8)&gt;100," *",""))</f>
        <v/>
      </c>
      <c r="W153">
        <f>IF(9&gt;$N153,"",INDEX(Engine!$B$20:$B$43,MOD(SMALL($AN153:$BK153,9),100))&amp;IF(SMALL($AN153:$BK153,9)&gt;100," *",""))</f>
        <v/>
      </c>
      <c r="X153">
        <f>IF(10&gt;$N153,"",INDEX(Engine!$B$20:$B$43,MOD(SMALL($AN153:$BK153,10),100))&amp;IF(SMALL($AN153:$BK153,10)&gt;100," *",""))</f>
        <v/>
      </c>
      <c r="Y153">
        <f>IF(11&gt;$N153,"",INDEX(Engine!$B$20:$B$43,MOD(SMALL($AN153:$BK153,11),100))&amp;IF(SMALL($AN153:$BK153,11)&gt;100," *",""))</f>
        <v/>
      </c>
      <c r="Z153">
        <f>IF(12&gt;$N153,"",INDEX(Engine!$B$20:$B$43,MOD(SMALL($AN153:$BK153,12),100))&amp;IF(SMALL($AN153:$BK153,12)&gt;100," *",""))</f>
        <v/>
      </c>
      <c r="AA153">
        <f>IF(13&gt;$N153,"",INDEX(Engine!$B$20:$B$43,MOD(SMALL($AN153:$BK153,13),100))&amp;IF(SMALL($AN153:$BK153,13)&gt;100," *",""))</f>
        <v/>
      </c>
      <c r="AB153">
        <f>IF(14&gt;$N153,"",INDEX(Engine!$B$20:$B$43,MOD(SMALL($AN153:$BK153,14),100))&amp;IF(SMALL($AN153:$BK153,14)&gt;100," *",""))</f>
        <v/>
      </c>
      <c r="AC153">
        <f>IF(15&gt;$N153,"",INDEX(Engine!$B$20:$B$43,MOD(SMALL($AN153:$BK153,15),100))&amp;IF(SMALL($AN153:$BK153,15)&gt;100," *",""))</f>
        <v/>
      </c>
      <c r="AD153">
        <f>IF(16&gt;$N153,"",INDEX(Engine!$B$20:$B$43,MOD(SMALL($AN153:$BK153,16),100))&amp;IF(SMALL($AN153:$BK153,16)&gt;100," *",""))</f>
        <v/>
      </c>
      <c r="AE153">
        <f>IF(17&gt;$N153,"",INDEX(Engine!$B$20:$B$43,MOD(SMALL($AN153:$BK153,17),100))&amp;IF(SMALL($AN153:$BK153,17)&gt;100," *",""))</f>
        <v/>
      </c>
      <c r="AF153">
        <f>IF(18&gt;$N153,"",INDEX(Engine!$B$20:$B$43,MOD(SMALL($AN153:$BK153,18),100))&amp;IF(SMALL($AN153:$BK153,18)&gt;100," *",""))</f>
        <v/>
      </c>
      <c r="AG153">
        <f>IF(19&gt;$N153,"",INDEX(Engine!$B$20:$B$43,MOD(SMALL($AN153:$BK153,19),100))&amp;IF(SMALL($AN153:$BK153,19)&gt;100," *",""))</f>
        <v/>
      </c>
      <c r="AH153">
        <f>IF(20&gt;$N153,"",INDEX(Engine!$B$20:$B$43,MOD(SMALL($AN153:$BK153,20),100))&amp;IF(SMALL($AN153:$BK153,20)&gt;100," *",""))</f>
        <v/>
      </c>
      <c r="AI153">
        <f>IF(21&gt;$N153,"",INDEX(Engine!$B$20:$B$43,MOD(SMALL($AN153:$BK153,21),100))&amp;IF(SMALL($AN153:$BK153,21)&gt;100," *",""))</f>
        <v/>
      </c>
      <c r="AJ153">
        <f>IF(22&gt;$N153,"",INDEX(Engine!$B$20:$B$43,MOD(SMALL($AN153:$BK153,22),100))&amp;IF(SMALL($AN153:$BK153,22)&gt;100," *",""))</f>
        <v/>
      </c>
      <c r="AK153">
        <f>IF(23&gt;$N153,"",INDEX(Engine!$B$20:$B$43,MOD(SMALL($AN153:$BK153,23),100))&amp;IF(SMALL($AN153:$BK153,23)&gt;100," *",""))</f>
        <v/>
      </c>
      <c r="AL153">
        <f>IF(24&gt;$N153,"",INDEX(Engine!$B$20:$B$43,MOD(SMALL($AN153:$BK153,24),100))&amp;IF(SMALL($AN153:$BK153,24)&gt;100," *",""))</f>
        <v/>
      </c>
      <c r="AN153">
        <f>IF(AND($C20=1,INDEX(Setup!$O$6:$AL$23,14,1)&lt;&gt;"",O20=0),1+IF(INDEX(Setup!$O$6:$AL$23,14,1)="T",100,0),"")</f>
        <v/>
      </c>
      <c r="AO153">
        <f>IF(AND($C21=1,INDEX(Setup!$O$6:$AL$23,14,2)&lt;&gt;"",O21=0),2+IF(INDEX(Setup!$O$6:$AL$23,14,2)="T",100,0),"")</f>
        <v/>
      </c>
      <c r="AP153">
        <f>IF(AND($C22=1,INDEX(Setup!$O$6:$AL$23,14,3)&lt;&gt;"",O22=0),3+IF(INDEX(Setup!$O$6:$AL$23,14,3)="T",100,0),"")</f>
        <v/>
      </c>
      <c r="AQ153">
        <f>IF(AND($C23=1,INDEX(Setup!$O$6:$AL$23,14,4)&lt;&gt;"",O23=0),4+IF(INDEX(Setup!$O$6:$AL$23,14,4)="T",100,0),"")</f>
        <v/>
      </c>
      <c r="AR153">
        <f>IF(AND($C24=1,INDEX(Setup!$O$6:$AL$23,14,5)&lt;&gt;"",O24=0),5+IF(INDEX(Setup!$O$6:$AL$23,14,5)="T",100,0),"")</f>
        <v/>
      </c>
      <c r="AS153">
        <f>IF(AND($C25=1,INDEX(Setup!$O$6:$AL$23,14,6)&lt;&gt;"",O25=0),6+IF(INDEX(Setup!$O$6:$AL$23,14,6)="T",100,0),"")</f>
        <v/>
      </c>
      <c r="AT153">
        <f>IF(AND($C26=1,INDEX(Setup!$O$6:$AL$23,14,7)&lt;&gt;"",O26=0),7+IF(INDEX(Setup!$O$6:$AL$23,14,7)="T",100,0),"")</f>
        <v/>
      </c>
      <c r="AU153">
        <f>IF(AND($C27=1,INDEX(Setup!$O$6:$AL$23,14,8)&lt;&gt;"",O27=0),8+IF(INDEX(Setup!$O$6:$AL$23,14,8)="T",100,0),"")</f>
        <v/>
      </c>
      <c r="AV153">
        <f>IF(AND($C28=1,INDEX(Setup!$O$6:$AL$23,14,9)&lt;&gt;"",O28=0),9+IF(INDEX(Setup!$O$6:$AL$23,14,9)="T",100,0),"")</f>
        <v/>
      </c>
      <c r="AW153">
        <f>IF(AND($C29=1,INDEX(Setup!$O$6:$AL$23,14,10)&lt;&gt;"",O29=0),10+IF(INDEX(Setup!$O$6:$AL$23,14,10)="T",100,0),"")</f>
        <v/>
      </c>
      <c r="AX153">
        <f>IF(AND($C30=1,INDEX(Setup!$O$6:$AL$23,14,11)&lt;&gt;"",O30=0),11+IF(INDEX(Setup!$O$6:$AL$23,14,11)="T",100,0),"")</f>
        <v/>
      </c>
      <c r="AY153">
        <f>IF(AND($C31=1,INDEX(Setup!$O$6:$AL$23,14,12)&lt;&gt;"",O31=0),12+IF(INDEX(Setup!$O$6:$AL$23,14,12)="T",100,0),"")</f>
        <v/>
      </c>
      <c r="AZ153">
        <f>IF(AND($C32=1,INDEX(Setup!$O$6:$AL$23,14,13)&lt;&gt;"",O32=0),13+IF(INDEX(Setup!$O$6:$AL$23,14,13)="T",100,0),"")</f>
        <v/>
      </c>
      <c r="BA153">
        <f>IF(AND($C33=1,INDEX(Setup!$O$6:$AL$23,14,14)&lt;&gt;"",O33=0),14+IF(INDEX(Setup!$O$6:$AL$23,14,14)="T",100,0),"")</f>
        <v/>
      </c>
      <c r="BB153">
        <f>IF(AND($C34=1,INDEX(Setup!$O$6:$AL$23,14,15)&lt;&gt;"",O34=0),15+IF(INDEX(Setup!$O$6:$AL$23,14,15)="T",100,0),"")</f>
        <v/>
      </c>
      <c r="BC153">
        <f>IF(AND($C35=1,INDEX(Setup!$O$6:$AL$23,14,16)&lt;&gt;"",O35=0),16+IF(INDEX(Setup!$O$6:$AL$23,14,16)="T",100,0),"")</f>
        <v/>
      </c>
      <c r="BD153">
        <f>IF(AND($C36=1,INDEX(Setup!$O$6:$AL$23,14,17)&lt;&gt;"",O36=0),17+IF(INDEX(Setup!$O$6:$AL$23,14,17)="T",100,0),"")</f>
        <v/>
      </c>
      <c r="BE153">
        <f>IF(AND($C37=1,INDEX(Setup!$O$6:$AL$23,14,18)&lt;&gt;"",O37=0),18+IF(INDEX(Setup!$O$6:$AL$23,14,18)="T",100,0),"")</f>
        <v/>
      </c>
      <c r="BF153">
        <f>IF(AND($C38=1,INDEX(Setup!$O$6:$AL$23,14,19)&lt;&gt;"",O38=0),19+IF(INDEX(Setup!$O$6:$AL$23,14,19)="T",100,0),"")</f>
        <v/>
      </c>
      <c r="BG153">
        <f>IF(AND($C39=1,INDEX(Setup!$O$6:$AL$23,14,20)&lt;&gt;"",O39=0),20+IF(INDEX(Setup!$O$6:$AL$23,14,20)="T",100,0),"")</f>
        <v/>
      </c>
      <c r="BH153">
        <f>IF(AND($C40=1,INDEX(Setup!$O$6:$AL$23,14,21)&lt;&gt;"",O40=0),21+IF(INDEX(Setup!$O$6:$AL$23,14,21)="T",100,0),"")</f>
        <v/>
      </c>
      <c r="BI153">
        <f>IF(AND($C41=1,INDEX(Setup!$O$6:$AL$23,14,22)&lt;&gt;"",O41=0),22+IF(INDEX(Setup!$O$6:$AL$23,14,22)="T",100,0),"")</f>
        <v/>
      </c>
      <c r="BJ153">
        <f>IF(AND($C42=1,INDEX(Setup!$O$6:$AL$23,14,23)&lt;&gt;"",O42=0),23+IF(INDEX(Setup!$O$6:$AL$23,14,23)="T",100,0),"")</f>
        <v/>
      </c>
      <c r="BK153">
        <f>IF(AND($C43=1,INDEX(Setup!$O$6:$AL$23,14,24)&lt;&gt;"",O43=0),24+IF(INDEX(Setup!$O$6:$AL$23,14,24)="T",100,0),"")</f>
        <v/>
      </c>
      <c r="BM153">
        <f>IF(AND(AN153&lt;&gt;"",COUNTIF($S$60:$U$60,$B20)+COUNTIF($S$60:$U$60,$B20&amp;" ~*")=0),($R20+COUNTIF($H$140:$H152,$B20)+COUNTIF($H$140:$H152,$B20&amp;" ~*"))*1000+IF(AN153&gt;100,500,0)+1,"")</f>
        <v/>
      </c>
      <c r="BN153">
        <f>IF(AND(AO153&lt;&gt;"",COUNTIF($S$60:$U$60,$B21)+COUNTIF($S$60:$U$60,$B21&amp;" ~*")=0),($R21+COUNTIF($H$140:$H152,$B21)+COUNTIF($H$140:$H152,$B21&amp;" ~*"))*1000+IF(AO153&gt;100,500,0)+2,"")</f>
        <v/>
      </c>
      <c r="BO153">
        <f>IF(AND(AP153&lt;&gt;"",COUNTIF($S$60:$U$60,$B22)+COUNTIF($S$60:$U$60,$B22&amp;" ~*")=0),($R22+COUNTIF($H$140:$H152,$B22)+COUNTIF($H$140:$H152,$B22&amp;" ~*"))*1000+IF(AP153&gt;100,500,0)+3,"")</f>
        <v/>
      </c>
      <c r="BP153">
        <f>IF(AND(AQ153&lt;&gt;"",COUNTIF($S$60:$U$60,$B23)+COUNTIF($S$60:$U$60,$B23&amp;" ~*")=0),($R23+COUNTIF($H$140:$H152,$B23)+COUNTIF($H$140:$H152,$B23&amp;" ~*"))*1000+IF(AQ153&gt;100,500,0)+4,"")</f>
        <v/>
      </c>
      <c r="BQ153">
        <f>IF(AND(AR153&lt;&gt;"",COUNTIF($S$60:$U$60,$B24)+COUNTIF($S$60:$U$60,$B24&amp;" ~*")=0),($R24+COUNTIF($H$140:$H152,$B24)+COUNTIF($H$140:$H152,$B24&amp;" ~*"))*1000+IF(AR153&gt;100,500,0)+5,"")</f>
        <v/>
      </c>
      <c r="BR153">
        <f>IF(AND(AS153&lt;&gt;"",COUNTIF($S$60:$U$60,$B25)+COUNTIF($S$60:$U$60,$B25&amp;" ~*")=0),($R25+COUNTIF($H$140:$H152,$B25)+COUNTIF($H$140:$H152,$B25&amp;" ~*"))*1000+IF(AS153&gt;100,500,0)+6,"")</f>
        <v/>
      </c>
      <c r="BS153">
        <f>IF(AND(AT153&lt;&gt;"",COUNTIF($S$60:$U$60,$B26)+COUNTIF($S$60:$U$60,$B26&amp;" ~*")=0),($R26+COUNTIF($H$140:$H152,$B26)+COUNTIF($H$140:$H152,$B26&amp;" ~*"))*1000+IF(AT153&gt;100,500,0)+7,"")</f>
        <v/>
      </c>
      <c r="BT153">
        <f>IF(AND(AU153&lt;&gt;"",COUNTIF($S$60:$U$60,$B27)+COUNTIF($S$60:$U$60,$B27&amp;" ~*")=0),($R27+COUNTIF($H$140:$H152,$B27)+COUNTIF($H$140:$H152,$B27&amp;" ~*"))*1000+IF(AU153&gt;100,500,0)+8,"")</f>
        <v/>
      </c>
      <c r="BU153">
        <f>IF(AND(AV153&lt;&gt;"",COUNTIF($S$60:$U$60,$B28)+COUNTIF($S$60:$U$60,$B28&amp;" ~*")=0),($R28+COUNTIF($H$140:$H152,$B28)+COUNTIF($H$140:$H152,$B28&amp;" ~*"))*1000+IF(AV153&gt;100,500,0)+9,"")</f>
        <v/>
      </c>
      <c r="BV153">
        <f>IF(AND(AW153&lt;&gt;"",COUNTIF($S$60:$U$60,$B29)+COUNTIF($S$60:$U$60,$B29&amp;" ~*")=0),($R29+COUNTIF($H$140:$H152,$B29)+COUNTIF($H$140:$H152,$B29&amp;" ~*"))*1000+IF(AW153&gt;100,500,0)+10,"")</f>
        <v/>
      </c>
      <c r="BW153">
        <f>IF(AND(AX153&lt;&gt;"",COUNTIF($S$60:$U$60,$B30)+COUNTIF($S$60:$U$60,$B30&amp;" ~*")=0),($R30+COUNTIF($H$140:$H152,$B30)+COUNTIF($H$140:$H152,$B30&amp;" ~*"))*1000+IF(AX153&gt;100,500,0)+11,"")</f>
        <v/>
      </c>
      <c r="BX153">
        <f>IF(AND(AY153&lt;&gt;"",COUNTIF($S$60:$U$60,$B31)+COUNTIF($S$60:$U$60,$B31&amp;" ~*")=0),($R31+COUNTIF($H$140:$H152,$B31)+COUNTIF($H$140:$H152,$B31&amp;" ~*"))*1000+IF(AY153&gt;100,500,0)+12,"")</f>
        <v/>
      </c>
      <c r="BY153">
        <f>IF(AND(AZ153&lt;&gt;"",COUNTIF($S$60:$U$60,$B32)+COUNTIF($S$60:$U$60,$B32&amp;" ~*")=0),($R32+COUNTIF($H$140:$H152,$B32)+COUNTIF($H$140:$H152,$B32&amp;" ~*"))*1000+IF(AZ153&gt;100,500,0)+13,"")</f>
        <v/>
      </c>
      <c r="BZ153">
        <f>IF(AND(BA153&lt;&gt;"",COUNTIF($S$60:$U$60,$B33)+COUNTIF($S$60:$U$60,$B33&amp;" ~*")=0),($R33+COUNTIF($H$140:$H152,$B33)+COUNTIF($H$140:$H152,$B33&amp;" ~*"))*1000+IF(BA153&gt;100,500,0)+14,"")</f>
        <v/>
      </c>
      <c r="CA153">
        <f>IF(AND(BB153&lt;&gt;"",COUNTIF($S$60:$U$60,$B34)+COUNTIF($S$60:$U$60,$B34&amp;" ~*")=0),($R34+COUNTIF($H$140:$H152,$B34)+COUNTIF($H$140:$H152,$B34&amp;" ~*"))*1000+IF(BB153&gt;100,500,0)+15,"")</f>
        <v/>
      </c>
      <c r="CB153">
        <f>IF(AND(BC153&lt;&gt;"",COUNTIF($S$60:$U$60,$B35)+COUNTIF($S$60:$U$60,$B35&amp;" ~*")=0),($R35+COUNTIF($H$140:$H152,$B35)+COUNTIF($H$140:$H152,$B35&amp;" ~*"))*1000+IF(BC153&gt;100,500,0)+16,"")</f>
        <v/>
      </c>
      <c r="CC153">
        <f>IF(AND(BD153&lt;&gt;"",COUNTIF($S$60:$U$60,$B36)+COUNTIF($S$60:$U$60,$B36&amp;" ~*")=0),($R36+COUNTIF($H$140:$H152,$B36)+COUNTIF($H$140:$H152,$B36&amp;" ~*"))*1000+IF(BD153&gt;100,500,0)+17,"")</f>
        <v/>
      </c>
      <c r="CD153">
        <f>IF(AND(BE153&lt;&gt;"",COUNTIF($S$60:$U$60,$B37)+COUNTIF($S$60:$U$60,$B37&amp;" ~*")=0),($R37+COUNTIF($H$140:$H152,$B37)+COUNTIF($H$140:$H152,$B37&amp;" ~*"))*1000+IF(BE153&gt;100,500,0)+18,"")</f>
        <v/>
      </c>
      <c r="CE153">
        <f>IF(AND(BF153&lt;&gt;"",COUNTIF($S$60:$U$60,$B38)+COUNTIF($S$60:$U$60,$B38&amp;" ~*")=0),($R38+COUNTIF($H$140:$H152,$B38)+COUNTIF($H$140:$H152,$B38&amp;" ~*"))*1000+IF(BF153&gt;100,500,0)+19,"")</f>
        <v/>
      </c>
      <c r="CF153">
        <f>IF(AND(BG153&lt;&gt;"",COUNTIF($S$60:$U$60,$B39)+COUNTIF($S$60:$U$60,$B39&amp;" ~*")=0),($R39+COUNTIF($H$140:$H152,$B39)+COUNTIF($H$140:$H152,$B39&amp;" ~*"))*1000+IF(BG153&gt;100,500,0)+20,"")</f>
        <v/>
      </c>
      <c r="CG153">
        <f>IF(AND(BH153&lt;&gt;"",COUNTIF($S$60:$U$60,$B40)+COUNTIF($S$60:$U$60,$B40&amp;" ~*")=0),($R40+COUNTIF($H$140:$H152,$B40)+COUNTIF($H$140:$H152,$B40&amp;" ~*"))*1000+IF(BH153&gt;100,500,0)+21,"")</f>
        <v/>
      </c>
      <c r="CH153">
        <f>IF(AND(BI153&lt;&gt;"",COUNTIF($S$60:$U$60,$B41)+COUNTIF($S$60:$U$60,$B41&amp;" ~*")=0),($R41+COUNTIF($H$140:$H152,$B41)+COUNTIF($H$140:$H152,$B41&amp;" ~*"))*1000+IF(BI153&gt;100,500,0)+22,"")</f>
        <v/>
      </c>
      <c r="CI153">
        <f>IF(AND(BJ153&lt;&gt;"",COUNTIF($S$60:$U$60,$B42)+COUNTIF($S$60:$U$60,$B42&amp;" ~*")=0),($R42+COUNTIF($H$140:$H152,$B42)+COUNTIF($H$140:$H152,$B42&amp;" ~*"))*1000+IF(BJ153&gt;100,500,0)+23,"")</f>
        <v/>
      </c>
      <c r="CJ153">
        <f>IF(AND(BK153&lt;&gt;"",COUNTIF($S$60:$U$60,$B43)+COUNTIF($S$60:$U$60,$B43&amp;" ~*")=0),($R43+COUNTIF($H$140:$H152,$B43)+COUNTIF($H$140:$H152,$B43&amp;" ~*"))*1000+IF(BK153&gt;100,500,0)+24,"")</f>
        <v/>
      </c>
    </row>
    <row r="154">
      <c r="A154" t="n">
        <v>5</v>
      </c>
      <c r="B154" t="n">
        <v>15</v>
      </c>
      <c r="C154">
        <f>$B$61</f>
        <v/>
      </c>
      <c r="D154" t="inlineStr">
        <is>
          <t>Fri</t>
        </is>
      </c>
      <c r="E154">
        <f>IF(C154="","",N($AB$61))</f>
        <v/>
      </c>
      <c r="F154">
        <f>IF(C154="","",COUNTIF($S$61:$U$61,"?*"))</f>
        <v/>
      </c>
      <c r="G154">
        <f>IF(C154="","",MAX(0,E154-F154))</f>
        <v/>
      </c>
      <c r="H154">
        <f>IF(N(G154)=0,"",IF(COUNT(BM154:CJ154)=0,"no-one eligible",INDEX(Engine!$B$20:$B$43,MOD(MIN(BM154:CJ154),500))&amp;IF(MOD(MIN(BM154:CJ154),1000)&gt;=500," *","")))</f>
        <v/>
      </c>
      <c r="I154">
        <f>IF(N(G154)&gt;0,COUNTIF($G$68:G154,"&gt;0"),"")</f>
        <v/>
      </c>
      <c r="J154">
        <f>IF(C154="","",IF($S$61="",0,IF(IFERROR(INDEX(Setup!$O$6:$AL$23,15,MATCH(SUBSTITUTE($S$61," *",""),Setup!$B$6:$B$29,0)),"")="",1,0))+IF($T$61="",0,IF(IFERROR(INDEX(Setup!$O$6:$AL$23,15,MATCH(SUBSTITUTE($T$61," *",""),Setup!$B$6:$B$29,0)),"")="",1,0))+IF($U$61="",0,IF(IFERROR(INDEX(Setup!$O$6:$AL$23,15,MATCH(SUBSTITUTE($U$61," *",""),Setup!$B$6:$B$29,0)),"")="",1,0)))</f>
        <v/>
      </c>
      <c r="K154">
        <f>IF($B$12+4=TODAY(),1,0)</f>
        <v/>
      </c>
      <c r="N154">
        <f>COUNT($AN154:$BK154)</f>
        <v/>
      </c>
      <c r="O154">
        <f>IF(1&gt;$N154,"",INDEX(Engine!$B$20:$B$43,MOD(SMALL($AN154:$BK154,1),100))&amp;IF(SMALL($AN154:$BK154,1)&gt;100," *",""))</f>
        <v/>
      </c>
      <c r="P154">
        <f>IF(2&gt;$N154,"",INDEX(Engine!$B$20:$B$43,MOD(SMALL($AN154:$BK154,2),100))&amp;IF(SMALL($AN154:$BK154,2)&gt;100," *",""))</f>
        <v/>
      </c>
      <c r="Q154">
        <f>IF(3&gt;$N154,"",INDEX(Engine!$B$20:$B$43,MOD(SMALL($AN154:$BK154,3),100))&amp;IF(SMALL($AN154:$BK154,3)&gt;100," *",""))</f>
        <v/>
      </c>
      <c r="R154">
        <f>IF(4&gt;$N154,"",INDEX(Engine!$B$20:$B$43,MOD(SMALL($AN154:$BK154,4),100))&amp;IF(SMALL($AN154:$BK154,4)&gt;100," *",""))</f>
        <v/>
      </c>
      <c r="S154">
        <f>IF(5&gt;$N154,"",INDEX(Engine!$B$20:$B$43,MOD(SMALL($AN154:$BK154,5),100))&amp;IF(SMALL($AN154:$BK154,5)&gt;100," *",""))</f>
        <v/>
      </c>
      <c r="T154">
        <f>IF(6&gt;$N154,"",INDEX(Engine!$B$20:$B$43,MOD(SMALL($AN154:$BK154,6),100))&amp;IF(SMALL($AN154:$BK154,6)&gt;100," *",""))</f>
        <v/>
      </c>
      <c r="U154">
        <f>IF(7&gt;$N154,"",INDEX(Engine!$B$20:$B$43,MOD(SMALL($AN154:$BK154,7),100))&amp;IF(SMALL($AN154:$BK154,7)&gt;100," *",""))</f>
        <v/>
      </c>
      <c r="V154">
        <f>IF(8&gt;$N154,"",INDEX(Engine!$B$20:$B$43,MOD(SMALL($AN154:$BK154,8),100))&amp;IF(SMALL($AN154:$BK154,8)&gt;100," *",""))</f>
        <v/>
      </c>
      <c r="W154">
        <f>IF(9&gt;$N154,"",INDEX(Engine!$B$20:$B$43,MOD(SMALL($AN154:$BK154,9),100))&amp;IF(SMALL($AN154:$BK154,9)&gt;100," *",""))</f>
        <v/>
      </c>
      <c r="X154">
        <f>IF(10&gt;$N154,"",INDEX(Engine!$B$20:$B$43,MOD(SMALL($AN154:$BK154,10),100))&amp;IF(SMALL($AN154:$BK154,10)&gt;100," *",""))</f>
        <v/>
      </c>
      <c r="Y154">
        <f>IF(11&gt;$N154,"",INDEX(Engine!$B$20:$B$43,MOD(SMALL($AN154:$BK154,11),100))&amp;IF(SMALL($AN154:$BK154,11)&gt;100," *",""))</f>
        <v/>
      </c>
      <c r="Z154">
        <f>IF(12&gt;$N154,"",INDEX(Engine!$B$20:$B$43,MOD(SMALL($AN154:$BK154,12),100))&amp;IF(SMALL($AN154:$BK154,12)&gt;100," *",""))</f>
        <v/>
      </c>
      <c r="AA154">
        <f>IF(13&gt;$N154,"",INDEX(Engine!$B$20:$B$43,MOD(SMALL($AN154:$BK154,13),100))&amp;IF(SMALL($AN154:$BK154,13)&gt;100," *",""))</f>
        <v/>
      </c>
      <c r="AB154">
        <f>IF(14&gt;$N154,"",INDEX(Engine!$B$20:$B$43,MOD(SMALL($AN154:$BK154,14),100))&amp;IF(SMALL($AN154:$BK154,14)&gt;100," *",""))</f>
        <v/>
      </c>
      <c r="AC154">
        <f>IF(15&gt;$N154,"",INDEX(Engine!$B$20:$B$43,MOD(SMALL($AN154:$BK154,15),100))&amp;IF(SMALL($AN154:$BK154,15)&gt;100," *",""))</f>
        <v/>
      </c>
      <c r="AD154">
        <f>IF(16&gt;$N154,"",INDEX(Engine!$B$20:$B$43,MOD(SMALL($AN154:$BK154,16),100))&amp;IF(SMALL($AN154:$BK154,16)&gt;100," *",""))</f>
        <v/>
      </c>
      <c r="AE154">
        <f>IF(17&gt;$N154,"",INDEX(Engine!$B$20:$B$43,MOD(SMALL($AN154:$BK154,17),100))&amp;IF(SMALL($AN154:$BK154,17)&gt;100," *",""))</f>
        <v/>
      </c>
      <c r="AF154">
        <f>IF(18&gt;$N154,"",INDEX(Engine!$B$20:$B$43,MOD(SMALL($AN154:$BK154,18),100))&amp;IF(SMALL($AN154:$BK154,18)&gt;100," *",""))</f>
        <v/>
      </c>
      <c r="AG154">
        <f>IF(19&gt;$N154,"",INDEX(Engine!$B$20:$B$43,MOD(SMALL($AN154:$BK154,19),100))&amp;IF(SMALL($AN154:$BK154,19)&gt;100," *",""))</f>
        <v/>
      </c>
      <c r="AH154">
        <f>IF(20&gt;$N154,"",INDEX(Engine!$B$20:$B$43,MOD(SMALL($AN154:$BK154,20),100))&amp;IF(SMALL($AN154:$BK154,20)&gt;100," *",""))</f>
        <v/>
      </c>
      <c r="AI154">
        <f>IF(21&gt;$N154,"",INDEX(Engine!$B$20:$B$43,MOD(SMALL($AN154:$BK154,21),100))&amp;IF(SMALL($AN154:$BK154,21)&gt;100," *",""))</f>
        <v/>
      </c>
      <c r="AJ154">
        <f>IF(22&gt;$N154,"",INDEX(Engine!$B$20:$B$43,MOD(SMALL($AN154:$BK154,22),100))&amp;IF(SMALL($AN154:$BK154,22)&gt;100," *",""))</f>
        <v/>
      </c>
      <c r="AK154">
        <f>IF(23&gt;$N154,"",INDEX(Engine!$B$20:$B$43,MOD(SMALL($AN154:$BK154,23),100))&amp;IF(SMALL($AN154:$BK154,23)&gt;100," *",""))</f>
        <v/>
      </c>
      <c r="AL154">
        <f>IF(24&gt;$N154,"",INDEX(Engine!$B$20:$B$43,MOD(SMALL($AN154:$BK154,24),100))&amp;IF(SMALL($AN154:$BK154,24)&gt;100," *",""))</f>
        <v/>
      </c>
      <c r="AN154">
        <f>IF(AND($C20=1,INDEX(Setup!$O$6:$AL$23,15,1)&lt;&gt;"",O20=0),1+IF(INDEX(Setup!$O$6:$AL$23,15,1)="T",100,0),"")</f>
        <v/>
      </c>
      <c r="AO154">
        <f>IF(AND($C21=1,INDEX(Setup!$O$6:$AL$23,15,2)&lt;&gt;"",O21=0),2+IF(INDEX(Setup!$O$6:$AL$23,15,2)="T",100,0),"")</f>
        <v/>
      </c>
      <c r="AP154">
        <f>IF(AND($C22=1,INDEX(Setup!$O$6:$AL$23,15,3)&lt;&gt;"",O22=0),3+IF(INDEX(Setup!$O$6:$AL$23,15,3)="T",100,0),"")</f>
        <v/>
      </c>
      <c r="AQ154">
        <f>IF(AND($C23=1,INDEX(Setup!$O$6:$AL$23,15,4)&lt;&gt;"",O23=0),4+IF(INDEX(Setup!$O$6:$AL$23,15,4)="T",100,0),"")</f>
        <v/>
      </c>
      <c r="AR154">
        <f>IF(AND($C24=1,INDEX(Setup!$O$6:$AL$23,15,5)&lt;&gt;"",O24=0),5+IF(INDEX(Setup!$O$6:$AL$23,15,5)="T",100,0),"")</f>
        <v/>
      </c>
      <c r="AS154">
        <f>IF(AND($C25=1,INDEX(Setup!$O$6:$AL$23,15,6)&lt;&gt;"",O25=0),6+IF(INDEX(Setup!$O$6:$AL$23,15,6)="T",100,0),"")</f>
        <v/>
      </c>
      <c r="AT154">
        <f>IF(AND($C26=1,INDEX(Setup!$O$6:$AL$23,15,7)&lt;&gt;"",O26=0),7+IF(INDEX(Setup!$O$6:$AL$23,15,7)="T",100,0),"")</f>
        <v/>
      </c>
      <c r="AU154">
        <f>IF(AND($C27=1,INDEX(Setup!$O$6:$AL$23,15,8)&lt;&gt;"",O27=0),8+IF(INDEX(Setup!$O$6:$AL$23,15,8)="T",100,0),"")</f>
        <v/>
      </c>
      <c r="AV154">
        <f>IF(AND($C28=1,INDEX(Setup!$O$6:$AL$23,15,9)&lt;&gt;"",O28=0),9+IF(INDEX(Setup!$O$6:$AL$23,15,9)="T",100,0),"")</f>
        <v/>
      </c>
      <c r="AW154">
        <f>IF(AND($C29=1,INDEX(Setup!$O$6:$AL$23,15,10)&lt;&gt;"",O29=0),10+IF(INDEX(Setup!$O$6:$AL$23,15,10)="T",100,0),"")</f>
        <v/>
      </c>
      <c r="AX154">
        <f>IF(AND($C30=1,INDEX(Setup!$O$6:$AL$23,15,11)&lt;&gt;"",O30=0),11+IF(INDEX(Setup!$O$6:$AL$23,15,11)="T",100,0),"")</f>
        <v/>
      </c>
      <c r="AY154">
        <f>IF(AND($C31=1,INDEX(Setup!$O$6:$AL$23,15,12)&lt;&gt;"",O31=0),12+IF(INDEX(Setup!$O$6:$AL$23,15,12)="T",100,0),"")</f>
        <v/>
      </c>
      <c r="AZ154">
        <f>IF(AND($C32=1,INDEX(Setup!$O$6:$AL$23,15,13)&lt;&gt;"",O32=0),13+IF(INDEX(Setup!$O$6:$AL$23,15,13)="T",100,0),"")</f>
        <v/>
      </c>
      <c r="BA154">
        <f>IF(AND($C33=1,INDEX(Setup!$O$6:$AL$23,15,14)&lt;&gt;"",O33=0),14+IF(INDEX(Setup!$O$6:$AL$23,15,14)="T",100,0),"")</f>
        <v/>
      </c>
      <c r="BB154">
        <f>IF(AND($C34=1,INDEX(Setup!$O$6:$AL$23,15,15)&lt;&gt;"",O34=0),15+IF(INDEX(Setup!$O$6:$AL$23,15,15)="T",100,0),"")</f>
        <v/>
      </c>
      <c r="BC154">
        <f>IF(AND($C35=1,INDEX(Setup!$O$6:$AL$23,15,16)&lt;&gt;"",O35=0),16+IF(INDEX(Setup!$O$6:$AL$23,15,16)="T",100,0),"")</f>
        <v/>
      </c>
      <c r="BD154">
        <f>IF(AND($C36=1,INDEX(Setup!$O$6:$AL$23,15,17)&lt;&gt;"",O36=0),17+IF(INDEX(Setup!$O$6:$AL$23,15,17)="T",100,0),"")</f>
        <v/>
      </c>
      <c r="BE154">
        <f>IF(AND($C37=1,INDEX(Setup!$O$6:$AL$23,15,18)&lt;&gt;"",O37=0),18+IF(INDEX(Setup!$O$6:$AL$23,15,18)="T",100,0),"")</f>
        <v/>
      </c>
      <c r="BF154">
        <f>IF(AND($C38=1,INDEX(Setup!$O$6:$AL$23,15,19)&lt;&gt;"",O38=0),19+IF(INDEX(Setup!$O$6:$AL$23,15,19)="T",100,0),"")</f>
        <v/>
      </c>
      <c r="BG154">
        <f>IF(AND($C39=1,INDEX(Setup!$O$6:$AL$23,15,20)&lt;&gt;"",O39=0),20+IF(INDEX(Setup!$O$6:$AL$23,15,20)="T",100,0),"")</f>
        <v/>
      </c>
      <c r="BH154">
        <f>IF(AND($C40=1,INDEX(Setup!$O$6:$AL$23,15,21)&lt;&gt;"",O40=0),21+IF(INDEX(Setup!$O$6:$AL$23,15,21)="T",100,0),"")</f>
        <v/>
      </c>
      <c r="BI154">
        <f>IF(AND($C41=1,INDEX(Setup!$O$6:$AL$23,15,22)&lt;&gt;"",O41=0),22+IF(INDEX(Setup!$O$6:$AL$23,15,22)="T",100,0),"")</f>
        <v/>
      </c>
      <c r="BJ154">
        <f>IF(AND($C42=1,INDEX(Setup!$O$6:$AL$23,15,23)&lt;&gt;"",O42=0),23+IF(INDEX(Setup!$O$6:$AL$23,15,23)="T",100,0),"")</f>
        <v/>
      </c>
      <c r="BK154">
        <f>IF(AND($C43=1,INDEX(Setup!$O$6:$AL$23,15,24)&lt;&gt;"",O43=0),24+IF(INDEX(Setup!$O$6:$AL$23,15,24)="T",100,0),"")</f>
        <v/>
      </c>
      <c r="BM154">
        <f>IF(AND(AN154&lt;&gt;"",COUNTIF($S$61:$U$61,$B20)+COUNTIF($S$61:$U$61,$B20&amp;" ~*")=0),($R20+COUNTIF($H$140:$H153,$B20)+COUNTIF($H$140:$H153,$B20&amp;" ~*"))*1000+IF(AN154&gt;100,500,0)+1,"")</f>
        <v/>
      </c>
      <c r="BN154">
        <f>IF(AND(AO154&lt;&gt;"",COUNTIF($S$61:$U$61,$B21)+COUNTIF($S$61:$U$61,$B21&amp;" ~*")=0),($R21+COUNTIF($H$140:$H153,$B21)+COUNTIF($H$140:$H153,$B21&amp;" ~*"))*1000+IF(AO154&gt;100,500,0)+2,"")</f>
        <v/>
      </c>
      <c r="BO154">
        <f>IF(AND(AP154&lt;&gt;"",COUNTIF($S$61:$U$61,$B22)+COUNTIF($S$61:$U$61,$B22&amp;" ~*")=0),($R22+COUNTIF($H$140:$H153,$B22)+COUNTIF($H$140:$H153,$B22&amp;" ~*"))*1000+IF(AP154&gt;100,500,0)+3,"")</f>
        <v/>
      </c>
      <c r="BP154">
        <f>IF(AND(AQ154&lt;&gt;"",COUNTIF($S$61:$U$61,$B23)+COUNTIF($S$61:$U$61,$B23&amp;" ~*")=0),($R23+COUNTIF($H$140:$H153,$B23)+COUNTIF($H$140:$H153,$B23&amp;" ~*"))*1000+IF(AQ154&gt;100,500,0)+4,"")</f>
        <v/>
      </c>
      <c r="BQ154">
        <f>IF(AND(AR154&lt;&gt;"",COUNTIF($S$61:$U$61,$B24)+COUNTIF($S$61:$U$61,$B24&amp;" ~*")=0),($R24+COUNTIF($H$140:$H153,$B24)+COUNTIF($H$140:$H153,$B24&amp;" ~*"))*1000+IF(AR154&gt;100,500,0)+5,"")</f>
        <v/>
      </c>
      <c r="BR154">
        <f>IF(AND(AS154&lt;&gt;"",COUNTIF($S$61:$U$61,$B25)+COUNTIF($S$61:$U$61,$B25&amp;" ~*")=0),($R25+COUNTIF($H$140:$H153,$B25)+COUNTIF($H$140:$H153,$B25&amp;" ~*"))*1000+IF(AS154&gt;100,500,0)+6,"")</f>
        <v/>
      </c>
      <c r="BS154">
        <f>IF(AND(AT154&lt;&gt;"",COUNTIF($S$61:$U$61,$B26)+COUNTIF($S$61:$U$61,$B26&amp;" ~*")=0),($R26+COUNTIF($H$140:$H153,$B26)+COUNTIF($H$140:$H153,$B26&amp;" ~*"))*1000+IF(AT154&gt;100,500,0)+7,"")</f>
        <v/>
      </c>
      <c r="BT154">
        <f>IF(AND(AU154&lt;&gt;"",COUNTIF($S$61:$U$61,$B27)+COUNTIF($S$61:$U$61,$B27&amp;" ~*")=0),($R27+COUNTIF($H$140:$H153,$B27)+COUNTIF($H$140:$H153,$B27&amp;" ~*"))*1000+IF(AU154&gt;100,500,0)+8,"")</f>
        <v/>
      </c>
      <c r="BU154">
        <f>IF(AND(AV154&lt;&gt;"",COUNTIF($S$61:$U$61,$B28)+COUNTIF($S$61:$U$61,$B28&amp;" ~*")=0),($R28+COUNTIF($H$140:$H153,$B28)+COUNTIF($H$140:$H153,$B28&amp;" ~*"))*1000+IF(AV154&gt;100,500,0)+9,"")</f>
        <v/>
      </c>
      <c r="BV154">
        <f>IF(AND(AW154&lt;&gt;"",COUNTIF($S$61:$U$61,$B29)+COUNTIF($S$61:$U$61,$B29&amp;" ~*")=0),($R29+COUNTIF($H$140:$H153,$B29)+COUNTIF($H$140:$H153,$B29&amp;" ~*"))*1000+IF(AW154&gt;100,500,0)+10,"")</f>
        <v/>
      </c>
      <c r="BW154">
        <f>IF(AND(AX154&lt;&gt;"",COUNTIF($S$61:$U$61,$B30)+COUNTIF($S$61:$U$61,$B30&amp;" ~*")=0),($R30+COUNTIF($H$140:$H153,$B30)+COUNTIF($H$140:$H153,$B30&amp;" ~*"))*1000+IF(AX154&gt;100,500,0)+11,"")</f>
        <v/>
      </c>
      <c r="BX154">
        <f>IF(AND(AY154&lt;&gt;"",COUNTIF($S$61:$U$61,$B31)+COUNTIF($S$61:$U$61,$B31&amp;" ~*")=0),($R31+COUNTIF($H$140:$H153,$B31)+COUNTIF($H$140:$H153,$B31&amp;" ~*"))*1000+IF(AY154&gt;100,500,0)+12,"")</f>
        <v/>
      </c>
      <c r="BY154">
        <f>IF(AND(AZ154&lt;&gt;"",COUNTIF($S$61:$U$61,$B32)+COUNTIF($S$61:$U$61,$B32&amp;" ~*")=0),($R32+COUNTIF($H$140:$H153,$B32)+COUNTIF($H$140:$H153,$B32&amp;" ~*"))*1000+IF(AZ154&gt;100,500,0)+13,"")</f>
        <v/>
      </c>
      <c r="BZ154">
        <f>IF(AND(BA154&lt;&gt;"",COUNTIF($S$61:$U$61,$B33)+COUNTIF($S$61:$U$61,$B33&amp;" ~*")=0),($R33+COUNTIF($H$140:$H153,$B33)+COUNTIF($H$140:$H153,$B33&amp;" ~*"))*1000+IF(BA154&gt;100,500,0)+14,"")</f>
        <v/>
      </c>
      <c r="CA154">
        <f>IF(AND(BB154&lt;&gt;"",COUNTIF($S$61:$U$61,$B34)+COUNTIF($S$61:$U$61,$B34&amp;" ~*")=0),($R34+COUNTIF($H$140:$H153,$B34)+COUNTIF($H$140:$H153,$B34&amp;" ~*"))*1000+IF(BB154&gt;100,500,0)+15,"")</f>
        <v/>
      </c>
      <c r="CB154">
        <f>IF(AND(BC154&lt;&gt;"",COUNTIF($S$61:$U$61,$B35)+COUNTIF($S$61:$U$61,$B35&amp;" ~*")=0),($R35+COUNTIF($H$140:$H153,$B35)+COUNTIF($H$140:$H153,$B35&amp;" ~*"))*1000+IF(BC154&gt;100,500,0)+16,"")</f>
        <v/>
      </c>
      <c r="CC154">
        <f>IF(AND(BD154&lt;&gt;"",COUNTIF($S$61:$U$61,$B36)+COUNTIF($S$61:$U$61,$B36&amp;" ~*")=0),($R36+COUNTIF($H$140:$H153,$B36)+COUNTIF($H$140:$H153,$B36&amp;" ~*"))*1000+IF(BD154&gt;100,500,0)+17,"")</f>
        <v/>
      </c>
      <c r="CD154">
        <f>IF(AND(BE154&lt;&gt;"",COUNTIF($S$61:$U$61,$B37)+COUNTIF($S$61:$U$61,$B37&amp;" ~*")=0),($R37+COUNTIF($H$140:$H153,$B37)+COUNTIF($H$140:$H153,$B37&amp;" ~*"))*1000+IF(BE154&gt;100,500,0)+18,"")</f>
        <v/>
      </c>
      <c r="CE154">
        <f>IF(AND(BF154&lt;&gt;"",COUNTIF($S$61:$U$61,$B38)+COUNTIF($S$61:$U$61,$B38&amp;" ~*")=0),($R38+COUNTIF($H$140:$H153,$B38)+COUNTIF($H$140:$H153,$B38&amp;" ~*"))*1000+IF(BF154&gt;100,500,0)+19,"")</f>
        <v/>
      </c>
      <c r="CF154">
        <f>IF(AND(BG154&lt;&gt;"",COUNTIF($S$61:$U$61,$B39)+COUNTIF($S$61:$U$61,$B39&amp;" ~*")=0),($R39+COUNTIF($H$140:$H153,$B39)+COUNTIF($H$140:$H153,$B39&amp;" ~*"))*1000+IF(BG154&gt;100,500,0)+20,"")</f>
        <v/>
      </c>
      <c r="CG154">
        <f>IF(AND(BH154&lt;&gt;"",COUNTIF($S$61:$U$61,$B40)+COUNTIF($S$61:$U$61,$B40&amp;" ~*")=0),($R40+COUNTIF($H$140:$H153,$B40)+COUNTIF($H$140:$H153,$B40&amp;" ~*"))*1000+IF(BH154&gt;100,500,0)+21,"")</f>
        <v/>
      </c>
      <c r="CH154">
        <f>IF(AND(BI154&lt;&gt;"",COUNTIF($S$61:$U$61,$B41)+COUNTIF($S$61:$U$61,$B41&amp;" ~*")=0),($R41+COUNTIF($H$140:$H153,$B41)+COUNTIF($H$140:$H153,$B41&amp;" ~*"))*1000+IF(BI154&gt;100,500,0)+22,"")</f>
        <v/>
      </c>
      <c r="CI154">
        <f>IF(AND(BJ154&lt;&gt;"",COUNTIF($S$61:$U$61,$B42)+COUNTIF($S$61:$U$61,$B42&amp;" ~*")=0),($R42+COUNTIF($H$140:$H153,$B42)+COUNTIF($H$140:$H153,$B42&amp;" ~*"))*1000+IF(BJ154&gt;100,500,0)+23,"")</f>
        <v/>
      </c>
      <c r="CJ154">
        <f>IF(AND(BK154&lt;&gt;"",COUNTIF($S$61:$U$61,$B43)+COUNTIF($S$61:$U$61,$B43&amp;" ~*")=0),($R43+COUNTIF($H$140:$H153,$B43)+COUNTIF($H$140:$H153,$B43&amp;" ~*"))*1000+IF(BK154&gt;100,500,0)+24,"")</f>
        <v/>
      </c>
    </row>
    <row r="155">
      <c r="A155" t="n">
        <v>5</v>
      </c>
      <c r="B155" t="n">
        <v>16</v>
      </c>
      <c r="C155">
        <f>$B$62</f>
        <v/>
      </c>
      <c r="D155" t="inlineStr">
        <is>
          <t>Fri</t>
        </is>
      </c>
      <c r="E155">
        <f>IF(C155="","",N($AB$62))</f>
        <v/>
      </c>
      <c r="F155">
        <f>IF(C155="","",COUNTIF($S$62:$U$62,"?*"))</f>
        <v/>
      </c>
      <c r="G155">
        <f>IF(C155="","",MAX(0,E155-F155))</f>
        <v/>
      </c>
      <c r="H155">
        <f>IF(N(G155)=0,"",IF(COUNT(BM155:CJ155)=0,"no-one eligible",INDEX(Engine!$B$20:$B$43,MOD(MIN(BM155:CJ155),500))&amp;IF(MOD(MIN(BM155:CJ155),1000)&gt;=500," *","")))</f>
        <v/>
      </c>
      <c r="I155">
        <f>IF(N(G155)&gt;0,COUNTIF($G$68:G155,"&gt;0"),"")</f>
        <v/>
      </c>
      <c r="J155">
        <f>IF(C155="","",IF($S$62="",0,IF(IFERROR(INDEX(Setup!$O$6:$AL$23,16,MATCH(SUBSTITUTE($S$62," *",""),Setup!$B$6:$B$29,0)),"")="",1,0))+IF($T$62="",0,IF(IFERROR(INDEX(Setup!$O$6:$AL$23,16,MATCH(SUBSTITUTE($T$62," *",""),Setup!$B$6:$B$29,0)),"")="",1,0))+IF($U$62="",0,IF(IFERROR(INDEX(Setup!$O$6:$AL$23,16,MATCH(SUBSTITUTE($U$62," *",""),Setup!$B$6:$B$29,0)),"")="",1,0)))</f>
        <v/>
      </c>
      <c r="K155">
        <f>IF($B$12+4=TODAY(),1,0)</f>
        <v/>
      </c>
      <c r="N155">
        <f>COUNT($AN155:$BK155)</f>
        <v/>
      </c>
      <c r="O155">
        <f>IF(1&gt;$N155,"",INDEX(Engine!$B$20:$B$43,MOD(SMALL($AN155:$BK155,1),100))&amp;IF(SMALL($AN155:$BK155,1)&gt;100," *",""))</f>
        <v/>
      </c>
      <c r="P155">
        <f>IF(2&gt;$N155,"",INDEX(Engine!$B$20:$B$43,MOD(SMALL($AN155:$BK155,2),100))&amp;IF(SMALL($AN155:$BK155,2)&gt;100," *",""))</f>
        <v/>
      </c>
      <c r="Q155">
        <f>IF(3&gt;$N155,"",INDEX(Engine!$B$20:$B$43,MOD(SMALL($AN155:$BK155,3),100))&amp;IF(SMALL($AN155:$BK155,3)&gt;100," *",""))</f>
        <v/>
      </c>
      <c r="R155">
        <f>IF(4&gt;$N155,"",INDEX(Engine!$B$20:$B$43,MOD(SMALL($AN155:$BK155,4),100))&amp;IF(SMALL($AN155:$BK155,4)&gt;100," *",""))</f>
        <v/>
      </c>
      <c r="S155">
        <f>IF(5&gt;$N155,"",INDEX(Engine!$B$20:$B$43,MOD(SMALL($AN155:$BK155,5),100))&amp;IF(SMALL($AN155:$BK155,5)&gt;100," *",""))</f>
        <v/>
      </c>
      <c r="T155">
        <f>IF(6&gt;$N155,"",INDEX(Engine!$B$20:$B$43,MOD(SMALL($AN155:$BK155,6),100))&amp;IF(SMALL($AN155:$BK155,6)&gt;100," *",""))</f>
        <v/>
      </c>
      <c r="U155">
        <f>IF(7&gt;$N155,"",INDEX(Engine!$B$20:$B$43,MOD(SMALL($AN155:$BK155,7),100))&amp;IF(SMALL($AN155:$BK155,7)&gt;100," *",""))</f>
        <v/>
      </c>
      <c r="V155">
        <f>IF(8&gt;$N155,"",INDEX(Engine!$B$20:$B$43,MOD(SMALL($AN155:$BK155,8),100))&amp;IF(SMALL($AN155:$BK155,8)&gt;100," *",""))</f>
        <v/>
      </c>
      <c r="W155">
        <f>IF(9&gt;$N155,"",INDEX(Engine!$B$20:$B$43,MOD(SMALL($AN155:$BK155,9),100))&amp;IF(SMALL($AN155:$BK155,9)&gt;100," *",""))</f>
        <v/>
      </c>
      <c r="X155">
        <f>IF(10&gt;$N155,"",INDEX(Engine!$B$20:$B$43,MOD(SMALL($AN155:$BK155,10),100))&amp;IF(SMALL($AN155:$BK155,10)&gt;100," *",""))</f>
        <v/>
      </c>
      <c r="Y155">
        <f>IF(11&gt;$N155,"",INDEX(Engine!$B$20:$B$43,MOD(SMALL($AN155:$BK155,11),100))&amp;IF(SMALL($AN155:$BK155,11)&gt;100," *",""))</f>
        <v/>
      </c>
      <c r="Z155">
        <f>IF(12&gt;$N155,"",INDEX(Engine!$B$20:$B$43,MOD(SMALL($AN155:$BK155,12),100))&amp;IF(SMALL($AN155:$BK155,12)&gt;100," *",""))</f>
        <v/>
      </c>
      <c r="AA155">
        <f>IF(13&gt;$N155,"",INDEX(Engine!$B$20:$B$43,MOD(SMALL($AN155:$BK155,13),100))&amp;IF(SMALL($AN155:$BK155,13)&gt;100," *",""))</f>
        <v/>
      </c>
      <c r="AB155">
        <f>IF(14&gt;$N155,"",INDEX(Engine!$B$20:$B$43,MOD(SMALL($AN155:$BK155,14),100))&amp;IF(SMALL($AN155:$BK155,14)&gt;100," *",""))</f>
        <v/>
      </c>
      <c r="AC155">
        <f>IF(15&gt;$N155,"",INDEX(Engine!$B$20:$B$43,MOD(SMALL($AN155:$BK155,15),100))&amp;IF(SMALL($AN155:$BK155,15)&gt;100," *",""))</f>
        <v/>
      </c>
      <c r="AD155">
        <f>IF(16&gt;$N155,"",INDEX(Engine!$B$20:$B$43,MOD(SMALL($AN155:$BK155,16),100))&amp;IF(SMALL($AN155:$BK155,16)&gt;100," *",""))</f>
        <v/>
      </c>
      <c r="AE155">
        <f>IF(17&gt;$N155,"",INDEX(Engine!$B$20:$B$43,MOD(SMALL($AN155:$BK155,17),100))&amp;IF(SMALL($AN155:$BK155,17)&gt;100," *",""))</f>
        <v/>
      </c>
      <c r="AF155">
        <f>IF(18&gt;$N155,"",INDEX(Engine!$B$20:$B$43,MOD(SMALL($AN155:$BK155,18),100))&amp;IF(SMALL($AN155:$BK155,18)&gt;100," *",""))</f>
        <v/>
      </c>
      <c r="AG155">
        <f>IF(19&gt;$N155,"",INDEX(Engine!$B$20:$B$43,MOD(SMALL($AN155:$BK155,19),100))&amp;IF(SMALL($AN155:$BK155,19)&gt;100," *",""))</f>
        <v/>
      </c>
      <c r="AH155">
        <f>IF(20&gt;$N155,"",INDEX(Engine!$B$20:$B$43,MOD(SMALL($AN155:$BK155,20),100))&amp;IF(SMALL($AN155:$BK155,20)&gt;100," *",""))</f>
        <v/>
      </c>
      <c r="AI155">
        <f>IF(21&gt;$N155,"",INDEX(Engine!$B$20:$B$43,MOD(SMALL($AN155:$BK155,21),100))&amp;IF(SMALL($AN155:$BK155,21)&gt;100," *",""))</f>
        <v/>
      </c>
      <c r="AJ155">
        <f>IF(22&gt;$N155,"",INDEX(Engine!$B$20:$B$43,MOD(SMALL($AN155:$BK155,22),100))&amp;IF(SMALL($AN155:$BK155,22)&gt;100," *",""))</f>
        <v/>
      </c>
      <c r="AK155">
        <f>IF(23&gt;$N155,"",INDEX(Engine!$B$20:$B$43,MOD(SMALL($AN155:$BK155,23),100))&amp;IF(SMALL($AN155:$BK155,23)&gt;100," *",""))</f>
        <v/>
      </c>
      <c r="AL155">
        <f>IF(24&gt;$N155,"",INDEX(Engine!$B$20:$B$43,MOD(SMALL($AN155:$BK155,24),100))&amp;IF(SMALL($AN155:$BK155,24)&gt;100," *",""))</f>
        <v/>
      </c>
      <c r="AN155">
        <f>IF(AND($C20=1,INDEX(Setup!$O$6:$AL$23,16,1)&lt;&gt;"",O20=0),1+IF(INDEX(Setup!$O$6:$AL$23,16,1)="T",100,0),"")</f>
        <v/>
      </c>
      <c r="AO155">
        <f>IF(AND($C21=1,INDEX(Setup!$O$6:$AL$23,16,2)&lt;&gt;"",O21=0),2+IF(INDEX(Setup!$O$6:$AL$23,16,2)="T",100,0),"")</f>
        <v/>
      </c>
      <c r="AP155">
        <f>IF(AND($C22=1,INDEX(Setup!$O$6:$AL$23,16,3)&lt;&gt;"",O22=0),3+IF(INDEX(Setup!$O$6:$AL$23,16,3)="T",100,0),"")</f>
        <v/>
      </c>
      <c r="AQ155">
        <f>IF(AND($C23=1,INDEX(Setup!$O$6:$AL$23,16,4)&lt;&gt;"",O23=0),4+IF(INDEX(Setup!$O$6:$AL$23,16,4)="T",100,0),"")</f>
        <v/>
      </c>
      <c r="AR155">
        <f>IF(AND($C24=1,INDEX(Setup!$O$6:$AL$23,16,5)&lt;&gt;"",O24=0),5+IF(INDEX(Setup!$O$6:$AL$23,16,5)="T",100,0),"")</f>
        <v/>
      </c>
      <c r="AS155">
        <f>IF(AND($C25=1,INDEX(Setup!$O$6:$AL$23,16,6)&lt;&gt;"",O25=0),6+IF(INDEX(Setup!$O$6:$AL$23,16,6)="T",100,0),"")</f>
        <v/>
      </c>
      <c r="AT155">
        <f>IF(AND($C26=1,INDEX(Setup!$O$6:$AL$23,16,7)&lt;&gt;"",O26=0),7+IF(INDEX(Setup!$O$6:$AL$23,16,7)="T",100,0),"")</f>
        <v/>
      </c>
      <c r="AU155">
        <f>IF(AND($C27=1,INDEX(Setup!$O$6:$AL$23,16,8)&lt;&gt;"",O27=0),8+IF(INDEX(Setup!$O$6:$AL$23,16,8)="T",100,0),"")</f>
        <v/>
      </c>
      <c r="AV155">
        <f>IF(AND($C28=1,INDEX(Setup!$O$6:$AL$23,16,9)&lt;&gt;"",O28=0),9+IF(INDEX(Setup!$O$6:$AL$23,16,9)="T",100,0),"")</f>
        <v/>
      </c>
      <c r="AW155">
        <f>IF(AND($C29=1,INDEX(Setup!$O$6:$AL$23,16,10)&lt;&gt;"",O29=0),10+IF(INDEX(Setup!$O$6:$AL$23,16,10)="T",100,0),"")</f>
        <v/>
      </c>
      <c r="AX155">
        <f>IF(AND($C30=1,INDEX(Setup!$O$6:$AL$23,16,11)&lt;&gt;"",O30=0),11+IF(INDEX(Setup!$O$6:$AL$23,16,11)="T",100,0),"")</f>
        <v/>
      </c>
      <c r="AY155">
        <f>IF(AND($C31=1,INDEX(Setup!$O$6:$AL$23,16,12)&lt;&gt;"",O31=0),12+IF(INDEX(Setup!$O$6:$AL$23,16,12)="T",100,0),"")</f>
        <v/>
      </c>
      <c r="AZ155">
        <f>IF(AND($C32=1,INDEX(Setup!$O$6:$AL$23,16,13)&lt;&gt;"",O32=0),13+IF(INDEX(Setup!$O$6:$AL$23,16,13)="T",100,0),"")</f>
        <v/>
      </c>
      <c r="BA155">
        <f>IF(AND($C33=1,INDEX(Setup!$O$6:$AL$23,16,14)&lt;&gt;"",O33=0),14+IF(INDEX(Setup!$O$6:$AL$23,16,14)="T",100,0),"")</f>
        <v/>
      </c>
      <c r="BB155">
        <f>IF(AND($C34=1,INDEX(Setup!$O$6:$AL$23,16,15)&lt;&gt;"",O34=0),15+IF(INDEX(Setup!$O$6:$AL$23,16,15)="T",100,0),"")</f>
        <v/>
      </c>
      <c r="BC155">
        <f>IF(AND($C35=1,INDEX(Setup!$O$6:$AL$23,16,16)&lt;&gt;"",O35=0),16+IF(INDEX(Setup!$O$6:$AL$23,16,16)="T",100,0),"")</f>
        <v/>
      </c>
      <c r="BD155">
        <f>IF(AND($C36=1,INDEX(Setup!$O$6:$AL$23,16,17)&lt;&gt;"",O36=0),17+IF(INDEX(Setup!$O$6:$AL$23,16,17)="T",100,0),"")</f>
        <v/>
      </c>
      <c r="BE155">
        <f>IF(AND($C37=1,INDEX(Setup!$O$6:$AL$23,16,18)&lt;&gt;"",O37=0),18+IF(INDEX(Setup!$O$6:$AL$23,16,18)="T",100,0),"")</f>
        <v/>
      </c>
      <c r="BF155">
        <f>IF(AND($C38=1,INDEX(Setup!$O$6:$AL$23,16,19)&lt;&gt;"",O38=0),19+IF(INDEX(Setup!$O$6:$AL$23,16,19)="T",100,0),"")</f>
        <v/>
      </c>
      <c r="BG155">
        <f>IF(AND($C39=1,INDEX(Setup!$O$6:$AL$23,16,20)&lt;&gt;"",O39=0),20+IF(INDEX(Setup!$O$6:$AL$23,16,20)="T",100,0),"")</f>
        <v/>
      </c>
      <c r="BH155">
        <f>IF(AND($C40=1,INDEX(Setup!$O$6:$AL$23,16,21)&lt;&gt;"",O40=0),21+IF(INDEX(Setup!$O$6:$AL$23,16,21)="T",100,0),"")</f>
        <v/>
      </c>
      <c r="BI155">
        <f>IF(AND($C41=1,INDEX(Setup!$O$6:$AL$23,16,22)&lt;&gt;"",O41=0),22+IF(INDEX(Setup!$O$6:$AL$23,16,22)="T",100,0),"")</f>
        <v/>
      </c>
      <c r="BJ155">
        <f>IF(AND($C42=1,INDEX(Setup!$O$6:$AL$23,16,23)&lt;&gt;"",O42=0),23+IF(INDEX(Setup!$O$6:$AL$23,16,23)="T",100,0),"")</f>
        <v/>
      </c>
      <c r="BK155">
        <f>IF(AND($C43=1,INDEX(Setup!$O$6:$AL$23,16,24)&lt;&gt;"",O43=0),24+IF(INDEX(Setup!$O$6:$AL$23,16,24)="T",100,0),"")</f>
        <v/>
      </c>
      <c r="BM155">
        <f>IF(AND(AN155&lt;&gt;"",COUNTIF($S$62:$U$62,$B20)+COUNTIF($S$62:$U$62,$B20&amp;" ~*")=0),($R20+COUNTIF($H$140:$H154,$B20)+COUNTIF($H$140:$H154,$B20&amp;" ~*"))*1000+IF(AN155&gt;100,500,0)+1,"")</f>
        <v/>
      </c>
      <c r="BN155">
        <f>IF(AND(AO155&lt;&gt;"",COUNTIF($S$62:$U$62,$B21)+COUNTIF($S$62:$U$62,$B21&amp;" ~*")=0),($R21+COUNTIF($H$140:$H154,$B21)+COUNTIF($H$140:$H154,$B21&amp;" ~*"))*1000+IF(AO155&gt;100,500,0)+2,"")</f>
        <v/>
      </c>
      <c r="BO155">
        <f>IF(AND(AP155&lt;&gt;"",COUNTIF($S$62:$U$62,$B22)+COUNTIF($S$62:$U$62,$B22&amp;" ~*")=0),($R22+COUNTIF($H$140:$H154,$B22)+COUNTIF($H$140:$H154,$B22&amp;" ~*"))*1000+IF(AP155&gt;100,500,0)+3,"")</f>
        <v/>
      </c>
      <c r="BP155">
        <f>IF(AND(AQ155&lt;&gt;"",COUNTIF($S$62:$U$62,$B23)+COUNTIF($S$62:$U$62,$B23&amp;" ~*")=0),($R23+COUNTIF($H$140:$H154,$B23)+COUNTIF($H$140:$H154,$B23&amp;" ~*"))*1000+IF(AQ155&gt;100,500,0)+4,"")</f>
        <v/>
      </c>
      <c r="BQ155">
        <f>IF(AND(AR155&lt;&gt;"",COUNTIF($S$62:$U$62,$B24)+COUNTIF($S$62:$U$62,$B24&amp;" ~*")=0),($R24+COUNTIF($H$140:$H154,$B24)+COUNTIF($H$140:$H154,$B24&amp;" ~*"))*1000+IF(AR155&gt;100,500,0)+5,"")</f>
        <v/>
      </c>
      <c r="BR155">
        <f>IF(AND(AS155&lt;&gt;"",COUNTIF($S$62:$U$62,$B25)+COUNTIF($S$62:$U$62,$B25&amp;" ~*")=0),($R25+COUNTIF($H$140:$H154,$B25)+COUNTIF($H$140:$H154,$B25&amp;" ~*"))*1000+IF(AS155&gt;100,500,0)+6,"")</f>
        <v/>
      </c>
      <c r="BS155">
        <f>IF(AND(AT155&lt;&gt;"",COUNTIF($S$62:$U$62,$B26)+COUNTIF($S$62:$U$62,$B26&amp;" ~*")=0),($R26+COUNTIF($H$140:$H154,$B26)+COUNTIF($H$140:$H154,$B26&amp;" ~*"))*1000+IF(AT155&gt;100,500,0)+7,"")</f>
        <v/>
      </c>
      <c r="BT155">
        <f>IF(AND(AU155&lt;&gt;"",COUNTIF($S$62:$U$62,$B27)+COUNTIF($S$62:$U$62,$B27&amp;" ~*")=0),($R27+COUNTIF($H$140:$H154,$B27)+COUNTIF($H$140:$H154,$B27&amp;" ~*"))*1000+IF(AU155&gt;100,500,0)+8,"")</f>
        <v/>
      </c>
      <c r="BU155">
        <f>IF(AND(AV155&lt;&gt;"",COUNTIF($S$62:$U$62,$B28)+COUNTIF($S$62:$U$62,$B28&amp;" ~*")=0),($R28+COUNTIF($H$140:$H154,$B28)+COUNTIF($H$140:$H154,$B28&amp;" ~*"))*1000+IF(AV155&gt;100,500,0)+9,"")</f>
        <v/>
      </c>
      <c r="BV155">
        <f>IF(AND(AW155&lt;&gt;"",COUNTIF($S$62:$U$62,$B29)+COUNTIF($S$62:$U$62,$B29&amp;" ~*")=0),($R29+COUNTIF($H$140:$H154,$B29)+COUNTIF($H$140:$H154,$B29&amp;" ~*"))*1000+IF(AW155&gt;100,500,0)+10,"")</f>
        <v/>
      </c>
      <c r="BW155">
        <f>IF(AND(AX155&lt;&gt;"",COUNTIF($S$62:$U$62,$B30)+COUNTIF($S$62:$U$62,$B30&amp;" ~*")=0),($R30+COUNTIF($H$140:$H154,$B30)+COUNTIF($H$140:$H154,$B30&amp;" ~*"))*1000+IF(AX155&gt;100,500,0)+11,"")</f>
        <v/>
      </c>
      <c r="BX155">
        <f>IF(AND(AY155&lt;&gt;"",COUNTIF($S$62:$U$62,$B31)+COUNTIF($S$62:$U$62,$B31&amp;" ~*")=0),($R31+COUNTIF($H$140:$H154,$B31)+COUNTIF($H$140:$H154,$B31&amp;" ~*"))*1000+IF(AY155&gt;100,500,0)+12,"")</f>
        <v/>
      </c>
      <c r="BY155">
        <f>IF(AND(AZ155&lt;&gt;"",COUNTIF($S$62:$U$62,$B32)+COUNTIF($S$62:$U$62,$B32&amp;" ~*")=0),($R32+COUNTIF($H$140:$H154,$B32)+COUNTIF($H$140:$H154,$B32&amp;" ~*"))*1000+IF(AZ155&gt;100,500,0)+13,"")</f>
        <v/>
      </c>
      <c r="BZ155">
        <f>IF(AND(BA155&lt;&gt;"",COUNTIF($S$62:$U$62,$B33)+COUNTIF($S$62:$U$62,$B33&amp;" ~*")=0),($R33+COUNTIF($H$140:$H154,$B33)+COUNTIF($H$140:$H154,$B33&amp;" ~*"))*1000+IF(BA155&gt;100,500,0)+14,"")</f>
        <v/>
      </c>
      <c r="CA155">
        <f>IF(AND(BB155&lt;&gt;"",COUNTIF($S$62:$U$62,$B34)+COUNTIF($S$62:$U$62,$B34&amp;" ~*")=0),($R34+COUNTIF($H$140:$H154,$B34)+COUNTIF($H$140:$H154,$B34&amp;" ~*"))*1000+IF(BB155&gt;100,500,0)+15,"")</f>
        <v/>
      </c>
      <c r="CB155">
        <f>IF(AND(BC155&lt;&gt;"",COUNTIF($S$62:$U$62,$B35)+COUNTIF($S$62:$U$62,$B35&amp;" ~*")=0),($R35+COUNTIF($H$140:$H154,$B35)+COUNTIF($H$140:$H154,$B35&amp;" ~*"))*1000+IF(BC155&gt;100,500,0)+16,"")</f>
        <v/>
      </c>
      <c r="CC155">
        <f>IF(AND(BD155&lt;&gt;"",COUNTIF($S$62:$U$62,$B36)+COUNTIF($S$62:$U$62,$B36&amp;" ~*")=0),($R36+COUNTIF($H$140:$H154,$B36)+COUNTIF($H$140:$H154,$B36&amp;" ~*"))*1000+IF(BD155&gt;100,500,0)+17,"")</f>
        <v/>
      </c>
      <c r="CD155">
        <f>IF(AND(BE155&lt;&gt;"",COUNTIF($S$62:$U$62,$B37)+COUNTIF($S$62:$U$62,$B37&amp;" ~*")=0),($R37+COUNTIF($H$140:$H154,$B37)+COUNTIF($H$140:$H154,$B37&amp;" ~*"))*1000+IF(BE155&gt;100,500,0)+18,"")</f>
        <v/>
      </c>
      <c r="CE155">
        <f>IF(AND(BF155&lt;&gt;"",COUNTIF($S$62:$U$62,$B38)+COUNTIF($S$62:$U$62,$B38&amp;" ~*")=0),($R38+COUNTIF($H$140:$H154,$B38)+COUNTIF($H$140:$H154,$B38&amp;" ~*"))*1000+IF(BF155&gt;100,500,0)+19,"")</f>
        <v/>
      </c>
      <c r="CF155">
        <f>IF(AND(BG155&lt;&gt;"",COUNTIF($S$62:$U$62,$B39)+COUNTIF($S$62:$U$62,$B39&amp;" ~*")=0),($R39+COUNTIF($H$140:$H154,$B39)+COUNTIF($H$140:$H154,$B39&amp;" ~*"))*1000+IF(BG155&gt;100,500,0)+20,"")</f>
        <v/>
      </c>
      <c r="CG155">
        <f>IF(AND(BH155&lt;&gt;"",COUNTIF($S$62:$U$62,$B40)+COUNTIF($S$62:$U$62,$B40&amp;" ~*")=0),($R40+COUNTIF($H$140:$H154,$B40)+COUNTIF($H$140:$H154,$B40&amp;" ~*"))*1000+IF(BH155&gt;100,500,0)+21,"")</f>
        <v/>
      </c>
      <c r="CH155">
        <f>IF(AND(BI155&lt;&gt;"",COUNTIF($S$62:$U$62,$B41)+COUNTIF($S$62:$U$62,$B41&amp;" ~*")=0),($R41+COUNTIF($H$140:$H154,$B41)+COUNTIF($H$140:$H154,$B41&amp;" ~*"))*1000+IF(BI155&gt;100,500,0)+22,"")</f>
        <v/>
      </c>
      <c r="CI155">
        <f>IF(AND(BJ155&lt;&gt;"",COUNTIF($S$62:$U$62,$B42)+COUNTIF($S$62:$U$62,$B42&amp;" ~*")=0),($R42+COUNTIF($H$140:$H154,$B42)+COUNTIF($H$140:$H154,$B42&amp;" ~*"))*1000+IF(BJ155&gt;100,500,0)+23,"")</f>
        <v/>
      </c>
      <c r="CJ155">
        <f>IF(AND(BK155&lt;&gt;"",COUNTIF($S$62:$U$62,$B43)+COUNTIF($S$62:$U$62,$B43&amp;" ~*")=0),($R43+COUNTIF($H$140:$H154,$B43)+COUNTIF($H$140:$H154,$B43&amp;" ~*"))*1000+IF(BK155&gt;100,500,0)+24,"")</f>
        <v/>
      </c>
    </row>
    <row r="156">
      <c r="A156" t="n">
        <v>5</v>
      </c>
      <c r="B156" t="n">
        <v>17</v>
      </c>
      <c r="C156">
        <f>$B$63</f>
        <v/>
      </c>
      <c r="D156" t="inlineStr">
        <is>
          <t>Fri</t>
        </is>
      </c>
      <c r="E156">
        <f>IF(C156="","",N($AB$63))</f>
        <v/>
      </c>
      <c r="F156">
        <f>IF(C156="","",COUNTIF($S$63:$U$63,"?*"))</f>
        <v/>
      </c>
      <c r="G156">
        <f>IF(C156="","",MAX(0,E156-F156))</f>
        <v/>
      </c>
      <c r="H156">
        <f>IF(N(G156)=0,"",IF(COUNT(BM156:CJ156)=0,"no-one eligible",INDEX(Engine!$B$20:$B$43,MOD(MIN(BM156:CJ156),500))&amp;IF(MOD(MIN(BM156:CJ156),1000)&gt;=500," *","")))</f>
        <v/>
      </c>
      <c r="I156">
        <f>IF(N(G156)&gt;0,COUNTIF($G$68:G156,"&gt;0"),"")</f>
        <v/>
      </c>
      <c r="J156">
        <f>IF(C156="","",IF($S$63="",0,IF(IFERROR(INDEX(Setup!$O$6:$AL$23,17,MATCH(SUBSTITUTE($S$63," *",""),Setup!$B$6:$B$29,0)),"")="",1,0))+IF($T$63="",0,IF(IFERROR(INDEX(Setup!$O$6:$AL$23,17,MATCH(SUBSTITUTE($T$63," *",""),Setup!$B$6:$B$29,0)),"")="",1,0))+IF($U$63="",0,IF(IFERROR(INDEX(Setup!$O$6:$AL$23,17,MATCH(SUBSTITUTE($U$63," *",""),Setup!$B$6:$B$29,0)),"")="",1,0)))</f>
        <v/>
      </c>
      <c r="K156">
        <f>IF($B$12+4=TODAY(),1,0)</f>
        <v/>
      </c>
      <c r="N156">
        <f>COUNT($AN156:$BK156)</f>
        <v/>
      </c>
      <c r="O156">
        <f>IF(1&gt;$N156,"",INDEX(Engine!$B$20:$B$43,MOD(SMALL($AN156:$BK156,1),100))&amp;IF(SMALL($AN156:$BK156,1)&gt;100," *",""))</f>
        <v/>
      </c>
      <c r="P156">
        <f>IF(2&gt;$N156,"",INDEX(Engine!$B$20:$B$43,MOD(SMALL($AN156:$BK156,2),100))&amp;IF(SMALL($AN156:$BK156,2)&gt;100," *",""))</f>
        <v/>
      </c>
      <c r="Q156">
        <f>IF(3&gt;$N156,"",INDEX(Engine!$B$20:$B$43,MOD(SMALL($AN156:$BK156,3),100))&amp;IF(SMALL($AN156:$BK156,3)&gt;100," *",""))</f>
        <v/>
      </c>
      <c r="R156">
        <f>IF(4&gt;$N156,"",INDEX(Engine!$B$20:$B$43,MOD(SMALL($AN156:$BK156,4),100))&amp;IF(SMALL($AN156:$BK156,4)&gt;100," *",""))</f>
        <v/>
      </c>
      <c r="S156">
        <f>IF(5&gt;$N156,"",INDEX(Engine!$B$20:$B$43,MOD(SMALL($AN156:$BK156,5),100))&amp;IF(SMALL($AN156:$BK156,5)&gt;100," *",""))</f>
        <v/>
      </c>
      <c r="T156">
        <f>IF(6&gt;$N156,"",INDEX(Engine!$B$20:$B$43,MOD(SMALL($AN156:$BK156,6),100))&amp;IF(SMALL($AN156:$BK156,6)&gt;100," *",""))</f>
        <v/>
      </c>
      <c r="U156">
        <f>IF(7&gt;$N156,"",INDEX(Engine!$B$20:$B$43,MOD(SMALL($AN156:$BK156,7),100))&amp;IF(SMALL($AN156:$BK156,7)&gt;100," *",""))</f>
        <v/>
      </c>
      <c r="V156">
        <f>IF(8&gt;$N156,"",INDEX(Engine!$B$20:$B$43,MOD(SMALL($AN156:$BK156,8),100))&amp;IF(SMALL($AN156:$BK156,8)&gt;100," *",""))</f>
        <v/>
      </c>
      <c r="W156">
        <f>IF(9&gt;$N156,"",INDEX(Engine!$B$20:$B$43,MOD(SMALL($AN156:$BK156,9),100))&amp;IF(SMALL($AN156:$BK156,9)&gt;100," *",""))</f>
        <v/>
      </c>
      <c r="X156">
        <f>IF(10&gt;$N156,"",INDEX(Engine!$B$20:$B$43,MOD(SMALL($AN156:$BK156,10),100))&amp;IF(SMALL($AN156:$BK156,10)&gt;100," *",""))</f>
        <v/>
      </c>
      <c r="Y156">
        <f>IF(11&gt;$N156,"",INDEX(Engine!$B$20:$B$43,MOD(SMALL($AN156:$BK156,11),100))&amp;IF(SMALL($AN156:$BK156,11)&gt;100," *",""))</f>
        <v/>
      </c>
      <c r="Z156">
        <f>IF(12&gt;$N156,"",INDEX(Engine!$B$20:$B$43,MOD(SMALL($AN156:$BK156,12),100))&amp;IF(SMALL($AN156:$BK156,12)&gt;100," *",""))</f>
        <v/>
      </c>
      <c r="AA156">
        <f>IF(13&gt;$N156,"",INDEX(Engine!$B$20:$B$43,MOD(SMALL($AN156:$BK156,13),100))&amp;IF(SMALL($AN156:$BK156,13)&gt;100," *",""))</f>
        <v/>
      </c>
      <c r="AB156">
        <f>IF(14&gt;$N156,"",INDEX(Engine!$B$20:$B$43,MOD(SMALL($AN156:$BK156,14),100))&amp;IF(SMALL($AN156:$BK156,14)&gt;100," *",""))</f>
        <v/>
      </c>
      <c r="AC156">
        <f>IF(15&gt;$N156,"",INDEX(Engine!$B$20:$B$43,MOD(SMALL($AN156:$BK156,15),100))&amp;IF(SMALL($AN156:$BK156,15)&gt;100," *",""))</f>
        <v/>
      </c>
      <c r="AD156">
        <f>IF(16&gt;$N156,"",INDEX(Engine!$B$20:$B$43,MOD(SMALL($AN156:$BK156,16),100))&amp;IF(SMALL($AN156:$BK156,16)&gt;100," *",""))</f>
        <v/>
      </c>
      <c r="AE156">
        <f>IF(17&gt;$N156,"",INDEX(Engine!$B$20:$B$43,MOD(SMALL($AN156:$BK156,17),100))&amp;IF(SMALL($AN156:$BK156,17)&gt;100," *",""))</f>
        <v/>
      </c>
      <c r="AF156">
        <f>IF(18&gt;$N156,"",INDEX(Engine!$B$20:$B$43,MOD(SMALL($AN156:$BK156,18),100))&amp;IF(SMALL($AN156:$BK156,18)&gt;100," *",""))</f>
        <v/>
      </c>
      <c r="AG156">
        <f>IF(19&gt;$N156,"",INDEX(Engine!$B$20:$B$43,MOD(SMALL($AN156:$BK156,19),100))&amp;IF(SMALL($AN156:$BK156,19)&gt;100," *",""))</f>
        <v/>
      </c>
      <c r="AH156">
        <f>IF(20&gt;$N156,"",INDEX(Engine!$B$20:$B$43,MOD(SMALL($AN156:$BK156,20),100))&amp;IF(SMALL($AN156:$BK156,20)&gt;100," *",""))</f>
        <v/>
      </c>
      <c r="AI156">
        <f>IF(21&gt;$N156,"",INDEX(Engine!$B$20:$B$43,MOD(SMALL($AN156:$BK156,21),100))&amp;IF(SMALL($AN156:$BK156,21)&gt;100," *",""))</f>
        <v/>
      </c>
      <c r="AJ156">
        <f>IF(22&gt;$N156,"",INDEX(Engine!$B$20:$B$43,MOD(SMALL($AN156:$BK156,22),100))&amp;IF(SMALL($AN156:$BK156,22)&gt;100," *",""))</f>
        <v/>
      </c>
      <c r="AK156">
        <f>IF(23&gt;$N156,"",INDEX(Engine!$B$20:$B$43,MOD(SMALL($AN156:$BK156,23),100))&amp;IF(SMALL($AN156:$BK156,23)&gt;100," *",""))</f>
        <v/>
      </c>
      <c r="AL156">
        <f>IF(24&gt;$N156,"",INDEX(Engine!$B$20:$B$43,MOD(SMALL($AN156:$BK156,24),100))&amp;IF(SMALL($AN156:$BK156,24)&gt;100," *",""))</f>
        <v/>
      </c>
      <c r="AN156">
        <f>IF(AND($C20=1,INDEX(Setup!$O$6:$AL$23,17,1)&lt;&gt;"",O20=0),1+IF(INDEX(Setup!$O$6:$AL$23,17,1)="T",100,0),"")</f>
        <v/>
      </c>
      <c r="AO156">
        <f>IF(AND($C21=1,INDEX(Setup!$O$6:$AL$23,17,2)&lt;&gt;"",O21=0),2+IF(INDEX(Setup!$O$6:$AL$23,17,2)="T",100,0),"")</f>
        <v/>
      </c>
      <c r="AP156">
        <f>IF(AND($C22=1,INDEX(Setup!$O$6:$AL$23,17,3)&lt;&gt;"",O22=0),3+IF(INDEX(Setup!$O$6:$AL$23,17,3)="T",100,0),"")</f>
        <v/>
      </c>
      <c r="AQ156">
        <f>IF(AND($C23=1,INDEX(Setup!$O$6:$AL$23,17,4)&lt;&gt;"",O23=0),4+IF(INDEX(Setup!$O$6:$AL$23,17,4)="T",100,0),"")</f>
        <v/>
      </c>
      <c r="AR156">
        <f>IF(AND($C24=1,INDEX(Setup!$O$6:$AL$23,17,5)&lt;&gt;"",O24=0),5+IF(INDEX(Setup!$O$6:$AL$23,17,5)="T",100,0),"")</f>
        <v/>
      </c>
      <c r="AS156">
        <f>IF(AND($C25=1,INDEX(Setup!$O$6:$AL$23,17,6)&lt;&gt;"",O25=0),6+IF(INDEX(Setup!$O$6:$AL$23,17,6)="T",100,0),"")</f>
        <v/>
      </c>
      <c r="AT156">
        <f>IF(AND($C26=1,INDEX(Setup!$O$6:$AL$23,17,7)&lt;&gt;"",O26=0),7+IF(INDEX(Setup!$O$6:$AL$23,17,7)="T",100,0),"")</f>
        <v/>
      </c>
      <c r="AU156">
        <f>IF(AND($C27=1,INDEX(Setup!$O$6:$AL$23,17,8)&lt;&gt;"",O27=0),8+IF(INDEX(Setup!$O$6:$AL$23,17,8)="T",100,0),"")</f>
        <v/>
      </c>
      <c r="AV156">
        <f>IF(AND($C28=1,INDEX(Setup!$O$6:$AL$23,17,9)&lt;&gt;"",O28=0),9+IF(INDEX(Setup!$O$6:$AL$23,17,9)="T",100,0),"")</f>
        <v/>
      </c>
      <c r="AW156">
        <f>IF(AND($C29=1,INDEX(Setup!$O$6:$AL$23,17,10)&lt;&gt;"",O29=0),10+IF(INDEX(Setup!$O$6:$AL$23,17,10)="T",100,0),"")</f>
        <v/>
      </c>
      <c r="AX156">
        <f>IF(AND($C30=1,INDEX(Setup!$O$6:$AL$23,17,11)&lt;&gt;"",O30=0),11+IF(INDEX(Setup!$O$6:$AL$23,17,11)="T",100,0),"")</f>
        <v/>
      </c>
      <c r="AY156">
        <f>IF(AND($C31=1,INDEX(Setup!$O$6:$AL$23,17,12)&lt;&gt;"",O31=0),12+IF(INDEX(Setup!$O$6:$AL$23,17,12)="T",100,0),"")</f>
        <v/>
      </c>
      <c r="AZ156">
        <f>IF(AND($C32=1,INDEX(Setup!$O$6:$AL$23,17,13)&lt;&gt;"",O32=0),13+IF(INDEX(Setup!$O$6:$AL$23,17,13)="T",100,0),"")</f>
        <v/>
      </c>
      <c r="BA156">
        <f>IF(AND($C33=1,INDEX(Setup!$O$6:$AL$23,17,14)&lt;&gt;"",O33=0),14+IF(INDEX(Setup!$O$6:$AL$23,17,14)="T",100,0),"")</f>
        <v/>
      </c>
      <c r="BB156">
        <f>IF(AND($C34=1,INDEX(Setup!$O$6:$AL$23,17,15)&lt;&gt;"",O34=0),15+IF(INDEX(Setup!$O$6:$AL$23,17,15)="T",100,0),"")</f>
        <v/>
      </c>
      <c r="BC156">
        <f>IF(AND($C35=1,INDEX(Setup!$O$6:$AL$23,17,16)&lt;&gt;"",O35=0),16+IF(INDEX(Setup!$O$6:$AL$23,17,16)="T",100,0),"")</f>
        <v/>
      </c>
      <c r="BD156">
        <f>IF(AND($C36=1,INDEX(Setup!$O$6:$AL$23,17,17)&lt;&gt;"",O36=0),17+IF(INDEX(Setup!$O$6:$AL$23,17,17)="T",100,0),"")</f>
        <v/>
      </c>
      <c r="BE156">
        <f>IF(AND($C37=1,INDEX(Setup!$O$6:$AL$23,17,18)&lt;&gt;"",O37=0),18+IF(INDEX(Setup!$O$6:$AL$23,17,18)="T",100,0),"")</f>
        <v/>
      </c>
      <c r="BF156">
        <f>IF(AND($C38=1,INDEX(Setup!$O$6:$AL$23,17,19)&lt;&gt;"",O38=0),19+IF(INDEX(Setup!$O$6:$AL$23,17,19)="T",100,0),"")</f>
        <v/>
      </c>
      <c r="BG156">
        <f>IF(AND($C39=1,INDEX(Setup!$O$6:$AL$23,17,20)&lt;&gt;"",O39=0),20+IF(INDEX(Setup!$O$6:$AL$23,17,20)="T",100,0),"")</f>
        <v/>
      </c>
      <c r="BH156">
        <f>IF(AND($C40=1,INDEX(Setup!$O$6:$AL$23,17,21)&lt;&gt;"",O40=0),21+IF(INDEX(Setup!$O$6:$AL$23,17,21)="T",100,0),"")</f>
        <v/>
      </c>
      <c r="BI156">
        <f>IF(AND($C41=1,INDEX(Setup!$O$6:$AL$23,17,22)&lt;&gt;"",O41=0),22+IF(INDEX(Setup!$O$6:$AL$23,17,22)="T",100,0),"")</f>
        <v/>
      </c>
      <c r="BJ156">
        <f>IF(AND($C42=1,INDEX(Setup!$O$6:$AL$23,17,23)&lt;&gt;"",O42=0),23+IF(INDEX(Setup!$O$6:$AL$23,17,23)="T",100,0),"")</f>
        <v/>
      </c>
      <c r="BK156">
        <f>IF(AND($C43=1,INDEX(Setup!$O$6:$AL$23,17,24)&lt;&gt;"",O43=0),24+IF(INDEX(Setup!$O$6:$AL$23,17,24)="T",100,0),"")</f>
        <v/>
      </c>
      <c r="BM156">
        <f>IF(AND(AN156&lt;&gt;"",COUNTIF($S$63:$U$63,$B20)+COUNTIF($S$63:$U$63,$B20&amp;" ~*")=0),($R20+COUNTIF($H$140:$H155,$B20)+COUNTIF($H$140:$H155,$B20&amp;" ~*"))*1000+IF(AN156&gt;100,500,0)+1,"")</f>
        <v/>
      </c>
      <c r="BN156">
        <f>IF(AND(AO156&lt;&gt;"",COUNTIF($S$63:$U$63,$B21)+COUNTIF($S$63:$U$63,$B21&amp;" ~*")=0),($R21+COUNTIF($H$140:$H155,$B21)+COUNTIF($H$140:$H155,$B21&amp;" ~*"))*1000+IF(AO156&gt;100,500,0)+2,"")</f>
        <v/>
      </c>
      <c r="BO156">
        <f>IF(AND(AP156&lt;&gt;"",COUNTIF($S$63:$U$63,$B22)+COUNTIF($S$63:$U$63,$B22&amp;" ~*")=0),($R22+COUNTIF($H$140:$H155,$B22)+COUNTIF($H$140:$H155,$B22&amp;" ~*"))*1000+IF(AP156&gt;100,500,0)+3,"")</f>
        <v/>
      </c>
      <c r="BP156">
        <f>IF(AND(AQ156&lt;&gt;"",COUNTIF($S$63:$U$63,$B23)+COUNTIF($S$63:$U$63,$B23&amp;" ~*")=0),($R23+COUNTIF($H$140:$H155,$B23)+COUNTIF($H$140:$H155,$B23&amp;" ~*"))*1000+IF(AQ156&gt;100,500,0)+4,"")</f>
        <v/>
      </c>
      <c r="BQ156">
        <f>IF(AND(AR156&lt;&gt;"",COUNTIF($S$63:$U$63,$B24)+COUNTIF($S$63:$U$63,$B24&amp;" ~*")=0),($R24+COUNTIF($H$140:$H155,$B24)+COUNTIF($H$140:$H155,$B24&amp;" ~*"))*1000+IF(AR156&gt;100,500,0)+5,"")</f>
        <v/>
      </c>
      <c r="BR156">
        <f>IF(AND(AS156&lt;&gt;"",COUNTIF($S$63:$U$63,$B25)+COUNTIF($S$63:$U$63,$B25&amp;" ~*")=0),($R25+COUNTIF($H$140:$H155,$B25)+COUNTIF($H$140:$H155,$B25&amp;" ~*"))*1000+IF(AS156&gt;100,500,0)+6,"")</f>
        <v/>
      </c>
      <c r="BS156">
        <f>IF(AND(AT156&lt;&gt;"",COUNTIF($S$63:$U$63,$B26)+COUNTIF($S$63:$U$63,$B26&amp;" ~*")=0),($R26+COUNTIF($H$140:$H155,$B26)+COUNTIF($H$140:$H155,$B26&amp;" ~*"))*1000+IF(AT156&gt;100,500,0)+7,"")</f>
        <v/>
      </c>
      <c r="BT156">
        <f>IF(AND(AU156&lt;&gt;"",COUNTIF($S$63:$U$63,$B27)+COUNTIF($S$63:$U$63,$B27&amp;" ~*")=0),($R27+COUNTIF($H$140:$H155,$B27)+COUNTIF($H$140:$H155,$B27&amp;" ~*"))*1000+IF(AU156&gt;100,500,0)+8,"")</f>
        <v/>
      </c>
      <c r="BU156">
        <f>IF(AND(AV156&lt;&gt;"",COUNTIF($S$63:$U$63,$B28)+COUNTIF($S$63:$U$63,$B28&amp;" ~*")=0),($R28+COUNTIF($H$140:$H155,$B28)+COUNTIF($H$140:$H155,$B28&amp;" ~*"))*1000+IF(AV156&gt;100,500,0)+9,"")</f>
        <v/>
      </c>
      <c r="BV156">
        <f>IF(AND(AW156&lt;&gt;"",COUNTIF($S$63:$U$63,$B29)+COUNTIF($S$63:$U$63,$B29&amp;" ~*")=0),($R29+COUNTIF($H$140:$H155,$B29)+COUNTIF($H$140:$H155,$B29&amp;" ~*"))*1000+IF(AW156&gt;100,500,0)+10,"")</f>
        <v/>
      </c>
      <c r="BW156">
        <f>IF(AND(AX156&lt;&gt;"",COUNTIF($S$63:$U$63,$B30)+COUNTIF($S$63:$U$63,$B30&amp;" ~*")=0),($R30+COUNTIF($H$140:$H155,$B30)+COUNTIF($H$140:$H155,$B30&amp;" ~*"))*1000+IF(AX156&gt;100,500,0)+11,"")</f>
        <v/>
      </c>
      <c r="BX156">
        <f>IF(AND(AY156&lt;&gt;"",COUNTIF($S$63:$U$63,$B31)+COUNTIF($S$63:$U$63,$B31&amp;" ~*")=0),($R31+COUNTIF($H$140:$H155,$B31)+COUNTIF($H$140:$H155,$B31&amp;" ~*"))*1000+IF(AY156&gt;100,500,0)+12,"")</f>
        <v/>
      </c>
      <c r="BY156">
        <f>IF(AND(AZ156&lt;&gt;"",COUNTIF($S$63:$U$63,$B32)+COUNTIF($S$63:$U$63,$B32&amp;" ~*")=0),($R32+COUNTIF($H$140:$H155,$B32)+COUNTIF($H$140:$H155,$B32&amp;" ~*"))*1000+IF(AZ156&gt;100,500,0)+13,"")</f>
        <v/>
      </c>
      <c r="BZ156">
        <f>IF(AND(BA156&lt;&gt;"",COUNTIF($S$63:$U$63,$B33)+COUNTIF($S$63:$U$63,$B33&amp;" ~*")=0),($R33+COUNTIF($H$140:$H155,$B33)+COUNTIF($H$140:$H155,$B33&amp;" ~*"))*1000+IF(BA156&gt;100,500,0)+14,"")</f>
        <v/>
      </c>
      <c r="CA156">
        <f>IF(AND(BB156&lt;&gt;"",COUNTIF($S$63:$U$63,$B34)+COUNTIF($S$63:$U$63,$B34&amp;" ~*")=0),($R34+COUNTIF($H$140:$H155,$B34)+COUNTIF($H$140:$H155,$B34&amp;" ~*"))*1000+IF(BB156&gt;100,500,0)+15,"")</f>
        <v/>
      </c>
      <c r="CB156">
        <f>IF(AND(BC156&lt;&gt;"",COUNTIF($S$63:$U$63,$B35)+COUNTIF($S$63:$U$63,$B35&amp;" ~*")=0),($R35+COUNTIF($H$140:$H155,$B35)+COUNTIF($H$140:$H155,$B35&amp;" ~*"))*1000+IF(BC156&gt;100,500,0)+16,"")</f>
        <v/>
      </c>
      <c r="CC156">
        <f>IF(AND(BD156&lt;&gt;"",COUNTIF($S$63:$U$63,$B36)+COUNTIF($S$63:$U$63,$B36&amp;" ~*")=0),($R36+COUNTIF($H$140:$H155,$B36)+COUNTIF($H$140:$H155,$B36&amp;" ~*"))*1000+IF(BD156&gt;100,500,0)+17,"")</f>
        <v/>
      </c>
      <c r="CD156">
        <f>IF(AND(BE156&lt;&gt;"",COUNTIF($S$63:$U$63,$B37)+COUNTIF($S$63:$U$63,$B37&amp;" ~*")=0),($R37+COUNTIF($H$140:$H155,$B37)+COUNTIF($H$140:$H155,$B37&amp;" ~*"))*1000+IF(BE156&gt;100,500,0)+18,"")</f>
        <v/>
      </c>
      <c r="CE156">
        <f>IF(AND(BF156&lt;&gt;"",COUNTIF($S$63:$U$63,$B38)+COUNTIF($S$63:$U$63,$B38&amp;" ~*")=0),($R38+COUNTIF($H$140:$H155,$B38)+COUNTIF($H$140:$H155,$B38&amp;" ~*"))*1000+IF(BF156&gt;100,500,0)+19,"")</f>
        <v/>
      </c>
      <c r="CF156">
        <f>IF(AND(BG156&lt;&gt;"",COUNTIF($S$63:$U$63,$B39)+COUNTIF($S$63:$U$63,$B39&amp;" ~*")=0),($R39+COUNTIF($H$140:$H155,$B39)+COUNTIF($H$140:$H155,$B39&amp;" ~*"))*1000+IF(BG156&gt;100,500,0)+20,"")</f>
        <v/>
      </c>
      <c r="CG156">
        <f>IF(AND(BH156&lt;&gt;"",COUNTIF($S$63:$U$63,$B40)+COUNTIF($S$63:$U$63,$B40&amp;" ~*")=0),($R40+COUNTIF($H$140:$H155,$B40)+COUNTIF($H$140:$H155,$B40&amp;" ~*"))*1000+IF(BH156&gt;100,500,0)+21,"")</f>
        <v/>
      </c>
      <c r="CH156">
        <f>IF(AND(BI156&lt;&gt;"",COUNTIF($S$63:$U$63,$B41)+COUNTIF($S$63:$U$63,$B41&amp;" ~*")=0),($R41+COUNTIF($H$140:$H155,$B41)+COUNTIF($H$140:$H155,$B41&amp;" ~*"))*1000+IF(BI156&gt;100,500,0)+22,"")</f>
        <v/>
      </c>
      <c r="CI156">
        <f>IF(AND(BJ156&lt;&gt;"",COUNTIF($S$63:$U$63,$B42)+COUNTIF($S$63:$U$63,$B42&amp;" ~*")=0),($R42+COUNTIF($H$140:$H155,$B42)+COUNTIF($H$140:$H155,$B42&amp;" ~*"))*1000+IF(BJ156&gt;100,500,0)+23,"")</f>
        <v/>
      </c>
      <c r="CJ156">
        <f>IF(AND(BK156&lt;&gt;"",COUNTIF($S$63:$U$63,$B43)+COUNTIF($S$63:$U$63,$B43&amp;" ~*")=0),($R43+COUNTIF($H$140:$H155,$B43)+COUNTIF($H$140:$H155,$B43&amp;" ~*"))*1000+IF(BK156&gt;100,500,0)+24,"")</f>
        <v/>
      </c>
    </row>
    <row r="157">
      <c r="A157" t="n">
        <v>5</v>
      </c>
      <c r="B157" t="n">
        <v>18</v>
      </c>
      <c r="C157">
        <f>$B$64</f>
        <v/>
      </c>
      <c r="D157" t="inlineStr">
        <is>
          <t>Fri</t>
        </is>
      </c>
      <c r="E157">
        <f>IF(C157="","",N($AB$64))</f>
        <v/>
      </c>
      <c r="F157">
        <f>IF(C157="","",COUNTIF($S$64:$U$64,"?*"))</f>
        <v/>
      </c>
      <c r="G157">
        <f>IF(C157="","",MAX(0,E157-F157))</f>
        <v/>
      </c>
      <c r="H157">
        <f>IF(N(G157)=0,"",IF(COUNT(BM157:CJ157)=0,"no-one eligible",INDEX(Engine!$B$20:$B$43,MOD(MIN(BM157:CJ157),500))&amp;IF(MOD(MIN(BM157:CJ157),1000)&gt;=500," *","")))</f>
        <v/>
      </c>
      <c r="I157">
        <f>IF(N(G157)&gt;0,COUNTIF($G$68:G157,"&gt;0"),"")</f>
        <v/>
      </c>
      <c r="J157">
        <f>IF(C157="","",IF($S$64="",0,IF(IFERROR(INDEX(Setup!$O$6:$AL$23,18,MATCH(SUBSTITUTE($S$64," *",""),Setup!$B$6:$B$29,0)),"")="",1,0))+IF($T$64="",0,IF(IFERROR(INDEX(Setup!$O$6:$AL$23,18,MATCH(SUBSTITUTE($T$64," *",""),Setup!$B$6:$B$29,0)),"")="",1,0))+IF($U$64="",0,IF(IFERROR(INDEX(Setup!$O$6:$AL$23,18,MATCH(SUBSTITUTE($U$64," *",""),Setup!$B$6:$B$29,0)),"")="",1,0)))</f>
        <v/>
      </c>
      <c r="K157">
        <f>IF($B$12+4=TODAY(),1,0)</f>
        <v/>
      </c>
      <c r="N157">
        <f>COUNT($AN157:$BK157)</f>
        <v/>
      </c>
      <c r="O157">
        <f>IF(1&gt;$N157,"",INDEX(Engine!$B$20:$B$43,MOD(SMALL($AN157:$BK157,1),100))&amp;IF(SMALL($AN157:$BK157,1)&gt;100," *",""))</f>
        <v/>
      </c>
      <c r="P157">
        <f>IF(2&gt;$N157,"",INDEX(Engine!$B$20:$B$43,MOD(SMALL($AN157:$BK157,2),100))&amp;IF(SMALL($AN157:$BK157,2)&gt;100," *",""))</f>
        <v/>
      </c>
      <c r="Q157">
        <f>IF(3&gt;$N157,"",INDEX(Engine!$B$20:$B$43,MOD(SMALL($AN157:$BK157,3),100))&amp;IF(SMALL($AN157:$BK157,3)&gt;100," *",""))</f>
        <v/>
      </c>
      <c r="R157">
        <f>IF(4&gt;$N157,"",INDEX(Engine!$B$20:$B$43,MOD(SMALL($AN157:$BK157,4),100))&amp;IF(SMALL($AN157:$BK157,4)&gt;100," *",""))</f>
        <v/>
      </c>
      <c r="S157">
        <f>IF(5&gt;$N157,"",INDEX(Engine!$B$20:$B$43,MOD(SMALL($AN157:$BK157,5),100))&amp;IF(SMALL($AN157:$BK157,5)&gt;100," *",""))</f>
        <v/>
      </c>
      <c r="T157">
        <f>IF(6&gt;$N157,"",INDEX(Engine!$B$20:$B$43,MOD(SMALL($AN157:$BK157,6),100))&amp;IF(SMALL($AN157:$BK157,6)&gt;100," *",""))</f>
        <v/>
      </c>
      <c r="U157">
        <f>IF(7&gt;$N157,"",INDEX(Engine!$B$20:$B$43,MOD(SMALL($AN157:$BK157,7),100))&amp;IF(SMALL($AN157:$BK157,7)&gt;100," *",""))</f>
        <v/>
      </c>
      <c r="V157">
        <f>IF(8&gt;$N157,"",INDEX(Engine!$B$20:$B$43,MOD(SMALL($AN157:$BK157,8),100))&amp;IF(SMALL($AN157:$BK157,8)&gt;100," *",""))</f>
        <v/>
      </c>
      <c r="W157">
        <f>IF(9&gt;$N157,"",INDEX(Engine!$B$20:$B$43,MOD(SMALL($AN157:$BK157,9),100))&amp;IF(SMALL($AN157:$BK157,9)&gt;100," *",""))</f>
        <v/>
      </c>
      <c r="X157">
        <f>IF(10&gt;$N157,"",INDEX(Engine!$B$20:$B$43,MOD(SMALL($AN157:$BK157,10),100))&amp;IF(SMALL($AN157:$BK157,10)&gt;100," *",""))</f>
        <v/>
      </c>
      <c r="Y157">
        <f>IF(11&gt;$N157,"",INDEX(Engine!$B$20:$B$43,MOD(SMALL($AN157:$BK157,11),100))&amp;IF(SMALL($AN157:$BK157,11)&gt;100," *",""))</f>
        <v/>
      </c>
      <c r="Z157">
        <f>IF(12&gt;$N157,"",INDEX(Engine!$B$20:$B$43,MOD(SMALL($AN157:$BK157,12),100))&amp;IF(SMALL($AN157:$BK157,12)&gt;100," *",""))</f>
        <v/>
      </c>
      <c r="AA157">
        <f>IF(13&gt;$N157,"",INDEX(Engine!$B$20:$B$43,MOD(SMALL($AN157:$BK157,13),100))&amp;IF(SMALL($AN157:$BK157,13)&gt;100," *",""))</f>
        <v/>
      </c>
      <c r="AB157">
        <f>IF(14&gt;$N157,"",INDEX(Engine!$B$20:$B$43,MOD(SMALL($AN157:$BK157,14),100))&amp;IF(SMALL($AN157:$BK157,14)&gt;100," *",""))</f>
        <v/>
      </c>
      <c r="AC157">
        <f>IF(15&gt;$N157,"",INDEX(Engine!$B$20:$B$43,MOD(SMALL($AN157:$BK157,15),100))&amp;IF(SMALL($AN157:$BK157,15)&gt;100," *",""))</f>
        <v/>
      </c>
      <c r="AD157">
        <f>IF(16&gt;$N157,"",INDEX(Engine!$B$20:$B$43,MOD(SMALL($AN157:$BK157,16),100))&amp;IF(SMALL($AN157:$BK157,16)&gt;100," *",""))</f>
        <v/>
      </c>
      <c r="AE157">
        <f>IF(17&gt;$N157,"",INDEX(Engine!$B$20:$B$43,MOD(SMALL($AN157:$BK157,17),100))&amp;IF(SMALL($AN157:$BK157,17)&gt;100," *",""))</f>
        <v/>
      </c>
      <c r="AF157">
        <f>IF(18&gt;$N157,"",INDEX(Engine!$B$20:$B$43,MOD(SMALL($AN157:$BK157,18),100))&amp;IF(SMALL($AN157:$BK157,18)&gt;100," *",""))</f>
        <v/>
      </c>
      <c r="AG157">
        <f>IF(19&gt;$N157,"",INDEX(Engine!$B$20:$B$43,MOD(SMALL($AN157:$BK157,19),100))&amp;IF(SMALL($AN157:$BK157,19)&gt;100," *",""))</f>
        <v/>
      </c>
      <c r="AH157">
        <f>IF(20&gt;$N157,"",INDEX(Engine!$B$20:$B$43,MOD(SMALL($AN157:$BK157,20),100))&amp;IF(SMALL($AN157:$BK157,20)&gt;100," *",""))</f>
        <v/>
      </c>
      <c r="AI157">
        <f>IF(21&gt;$N157,"",INDEX(Engine!$B$20:$B$43,MOD(SMALL($AN157:$BK157,21),100))&amp;IF(SMALL($AN157:$BK157,21)&gt;100," *",""))</f>
        <v/>
      </c>
      <c r="AJ157">
        <f>IF(22&gt;$N157,"",INDEX(Engine!$B$20:$B$43,MOD(SMALL($AN157:$BK157,22),100))&amp;IF(SMALL($AN157:$BK157,22)&gt;100," *",""))</f>
        <v/>
      </c>
      <c r="AK157">
        <f>IF(23&gt;$N157,"",INDEX(Engine!$B$20:$B$43,MOD(SMALL($AN157:$BK157,23),100))&amp;IF(SMALL($AN157:$BK157,23)&gt;100," *",""))</f>
        <v/>
      </c>
      <c r="AL157">
        <f>IF(24&gt;$N157,"",INDEX(Engine!$B$20:$B$43,MOD(SMALL($AN157:$BK157,24),100))&amp;IF(SMALL($AN157:$BK157,24)&gt;100," *",""))</f>
        <v/>
      </c>
      <c r="AN157">
        <f>IF(AND($C20=1,INDEX(Setup!$O$6:$AL$23,18,1)&lt;&gt;"",O20=0),1+IF(INDEX(Setup!$O$6:$AL$23,18,1)="T",100,0),"")</f>
        <v/>
      </c>
      <c r="AO157">
        <f>IF(AND($C21=1,INDEX(Setup!$O$6:$AL$23,18,2)&lt;&gt;"",O21=0),2+IF(INDEX(Setup!$O$6:$AL$23,18,2)="T",100,0),"")</f>
        <v/>
      </c>
      <c r="AP157">
        <f>IF(AND($C22=1,INDEX(Setup!$O$6:$AL$23,18,3)&lt;&gt;"",O22=0),3+IF(INDEX(Setup!$O$6:$AL$23,18,3)="T",100,0),"")</f>
        <v/>
      </c>
      <c r="AQ157">
        <f>IF(AND($C23=1,INDEX(Setup!$O$6:$AL$23,18,4)&lt;&gt;"",O23=0),4+IF(INDEX(Setup!$O$6:$AL$23,18,4)="T",100,0),"")</f>
        <v/>
      </c>
      <c r="AR157">
        <f>IF(AND($C24=1,INDEX(Setup!$O$6:$AL$23,18,5)&lt;&gt;"",O24=0),5+IF(INDEX(Setup!$O$6:$AL$23,18,5)="T",100,0),"")</f>
        <v/>
      </c>
      <c r="AS157">
        <f>IF(AND($C25=1,INDEX(Setup!$O$6:$AL$23,18,6)&lt;&gt;"",O25=0),6+IF(INDEX(Setup!$O$6:$AL$23,18,6)="T",100,0),"")</f>
        <v/>
      </c>
      <c r="AT157">
        <f>IF(AND($C26=1,INDEX(Setup!$O$6:$AL$23,18,7)&lt;&gt;"",O26=0),7+IF(INDEX(Setup!$O$6:$AL$23,18,7)="T",100,0),"")</f>
        <v/>
      </c>
      <c r="AU157">
        <f>IF(AND($C27=1,INDEX(Setup!$O$6:$AL$23,18,8)&lt;&gt;"",O27=0),8+IF(INDEX(Setup!$O$6:$AL$23,18,8)="T",100,0),"")</f>
        <v/>
      </c>
      <c r="AV157">
        <f>IF(AND($C28=1,INDEX(Setup!$O$6:$AL$23,18,9)&lt;&gt;"",O28=0),9+IF(INDEX(Setup!$O$6:$AL$23,18,9)="T",100,0),"")</f>
        <v/>
      </c>
      <c r="AW157">
        <f>IF(AND($C29=1,INDEX(Setup!$O$6:$AL$23,18,10)&lt;&gt;"",O29=0),10+IF(INDEX(Setup!$O$6:$AL$23,18,10)="T",100,0),"")</f>
        <v/>
      </c>
      <c r="AX157">
        <f>IF(AND($C30=1,INDEX(Setup!$O$6:$AL$23,18,11)&lt;&gt;"",O30=0),11+IF(INDEX(Setup!$O$6:$AL$23,18,11)="T",100,0),"")</f>
        <v/>
      </c>
      <c r="AY157">
        <f>IF(AND($C31=1,INDEX(Setup!$O$6:$AL$23,18,12)&lt;&gt;"",O31=0),12+IF(INDEX(Setup!$O$6:$AL$23,18,12)="T",100,0),"")</f>
        <v/>
      </c>
      <c r="AZ157">
        <f>IF(AND($C32=1,INDEX(Setup!$O$6:$AL$23,18,13)&lt;&gt;"",O32=0),13+IF(INDEX(Setup!$O$6:$AL$23,18,13)="T",100,0),"")</f>
        <v/>
      </c>
      <c r="BA157">
        <f>IF(AND($C33=1,INDEX(Setup!$O$6:$AL$23,18,14)&lt;&gt;"",O33=0),14+IF(INDEX(Setup!$O$6:$AL$23,18,14)="T",100,0),"")</f>
        <v/>
      </c>
      <c r="BB157">
        <f>IF(AND($C34=1,INDEX(Setup!$O$6:$AL$23,18,15)&lt;&gt;"",O34=0),15+IF(INDEX(Setup!$O$6:$AL$23,18,15)="T",100,0),"")</f>
        <v/>
      </c>
      <c r="BC157">
        <f>IF(AND($C35=1,INDEX(Setup!$O$6:$AL$23,18,16)&lt;&gt;"",O35=0),16+IF(INDEX(Setup!$O$6:$AL$23,18,16)="T",100,0),"")</f>
        <v/>
      </c>
      <c r="BD157">
        <f>IF(AND($C36=1,INDEX(Setup!$O$6:$AL$23,18,17)&lt;&gt;"",O36=0),17+IF(INDEX(Setup!$O$6:$AL$23,18,17)="T",100,0),"")</f>
        <v/>
      </c>
      <c r="BE157">
        <f>IF(AND($C37=1,INDEX(Setup!$O$6:$AL$23,18,18)&lt;&gt;"",O37=0),18+IF(INDEX(Setup!$O$6:$AL$23,18,18)="T",100,0),"")</f>
        <v/>
      </c>
      <c r="BF157">
        <f>IF(AND($C38=1,INDEX(Setup!$O$6:$AL$23,18,19)&lt;&gt;"",O38=0),19+IF(INDEX(Setup!$O$6:$AL$23,18,19)="T",100,0),"")</f>
        <v/>
      </c>
      <c r="BG157">
        <f>IF(AND($C39=1,INDEX(Setup!$O$6:$AL$23,18,20)&lt;&gt;"",O39=0),20+IF(INDEX(Setup!$O$6:$AL$23,18,20)="T",100,0),"")</f>
        <v/>
      </c>
      <c r="BH157">
        <f>IF(AND($C40=1,INDEX(Setup!$O$6:$AL$23,18,21)&lt;&gt;"",O40=0),21+IF(INDEX(Setup!$O$6:$AL$23,18,21)="T",100,0),"")</f>
        <v/>
      </c>
      <c r="BI157">
        <f>IF(AND($C41=1,INDEX(Setup!$O$6:$AL$23,18,22)&lt;&gt;"",O41=0),22+IF(INDEX(Setup!$O$6:$AL$23,18,22)="T",100,0),"")</f>
        <v/>
      </c>
      <c r="BJ157">
        <f>IF(AND($C42=1,INDEX(Setup!$O$6:$AL$23,18,23)&lt;&gt;"",O42=0),23+IF(INDEX(Setup!$O$6:$AL$23,18,23)="T",100,0),"")</f>
        <v/>
      </c>
      <c r="BK157">
        <f>IF(AND($C43=1,INDEX(Setup!$O$6:$AL$23,18,24)&lt;&gt;"",O43=0),24+IF(INDEX(Setup!$O$6:$AL$23,18,24)="T",100,0),"")</f>
        <v/>
      </c>
      <c r="BM157">
        <f>IF(AND(AN157&lt;&gt;"",COUNTIF($S$64:$U$64,$B20)+COUNTIF($S$64:$U$64,$B20&amp;" ~*")=0),($R20+COUNTIF($H$140:$H156,$B20)+COUNTIF($H$140:$H156,$B20&amp;" ~*"))*1000+IF(AN157&gt;100,500,0)+1,"")</f>
        <v/>
      </c>
      <c r="BN157">
        <f>IF(AND(AO157&lt;&gt;"",COUNTIF($S$64:$U$64,$B21)+COUNTIF($S$64:$U$64,$B21&amp;" ~*")=0),($R21+COUNTIF($H$140:$H156,$B21)+COUNTIF($H$140:$H156,$B21&amp;" ~*"))*1000+IF(AO157&gt;100,500,0)+2,"")</f>
        <v/>
      </c>
      <c r="BO157">
        <f>IF(AND(AP157&lt;&gt;"",COUNTIF($S$64:$U$64,$B22)+COUNTIF($S$64:$U$64,$B22&amp;" ~*")=0),($R22+COUNTIF($H$140:$H156,$B22)+COUNTIF($H$140:$H156,$B22&amp;" ~*"))*1000+IF(AP157&gt;100,500,0)+3,"")</f>
        <v/>
      </c>
      <c r="BP157">
        <f>IF(AND(AQ157&lt;&gt;"",COUNTIF($S$64:$U$64,$B23)+COUNTIF($S$64:$U$64,$B23&amp;" ~*")=0),($R23+COUNTIF($H$140:$H156,$B23)+COUNTIF($H$140:$H156,$B23&amp;" ~*"))*1000+IF(AQ157&gt;100,500,0)+4,"")</f>
        <v/>
      </c>
      <c r="BQ157">
        <f>IF(AND(AR157&lt;&gt;"",COUNTIF($S$64:$U$64,$B24)+COUNTIF($S$64:$U$64,$B24&amp;" ~*")=0),($R24+COUNTIF($H$140:$H156,$B24)+COUNTIF($H$140:$H156,$B24&amp;" ~*"))*1000+IF(AR157&gt;100,500,0)+5,"")</f>
        <v/>
      </c>
      <c r="BR157">
        <f>IF(AND(AS157&lt;&gt;"",COUNTIF($S$64:$U$64,$B25)+COUNTIF($S$64:$U$64,$B25&amp;" ~*")=0),($R25+COUNTIF($H$140:$H156,$B25)+COUNTIF($H$140:$H156,$B25&amp;" ~*"))*1000+IF(AS157&gt;100,500,0)+6,"")</f>
        <v/>
      </c>
      <c r="BS157">
        <f>IF(AND(AT157&lt;&gt;"",COUNTIF($S$64:$U$64,$B26)+COUNTIF($S$64:$U$64,$B26&amp;" ~*")=0),($R26+COUNTIF($H$140:$H156,$B26)+COUNTIF($H$140:$H156,$B26&amp;" ~*"))*1000+IF(AT157&gt;100,500,0)+7,"")</f>
        <v/>
      </c>
      <c r="BT157">
        <f>IF(AND(AU157&lt;&gt;"",COUNTIF($S$64:$U$64,$B27)+COUNTIF($S$64:$U$64,$B27&amp;" ~*")=0),($R27+COUNTIF($H$140:$H156,$B27)+COUNTIF($H$140:$H156,$B27&amp;" ~*"))*1000+IF(AU157&gt;100,500,0)+8,"")</f>
        <v/>
      </c>
      <c r="BU157">
        <f>IF(AND(AV157&lt;&gt;"",COUNTIF($S$64:$U$64,$B28)+COUNTIF($S$64:$U$64,$B28&amp;" ~*")=0),($R28+COUNTIF($H$140:$H156,$B28)+COUNTIF($H$140:$H156,$B28&amp;" ~*"))*1000+IF(AV157&gt;100,500,0)+9,"")</f>
        <v/>
      </c>
      <c r="BV157">
        <f>IF(AND(AW157&lt;&gt;"",COUNTIF($S$64:$U$64,$B29)+COUNTIF($S$64:$U$64,$B29&amp;" ~*")=0),($R29+COUNTIF($H$140:$H156,$B29)+COUNTIF($H$140:$H156,$B29&amp;" ~*"))*1000+IF(AW157&gt;100,500,0)+10,"")</f>
        <v/>
      </c>
      <c r="BW157">
        <f>IF(AND(AX157&lt;&gt;"",COUNTIF($S$64:$U$64,$B30)+COUNTIF($S$64:$U$64,$B30&amp;" ~*")=0),($R30+COUNTIF($H$140:$H156,$B30)+COUNTIF($H$140:$H156,$B30&amp;" ~*"))*1000+IF(AX157&gt;100,500,0)+11,"")</f>
        <v/>
      </c>
      <c r="BX157">
        <f>IF(AND(AY157&lt;&gt;"",COUNTIF($S$64:$U$64,$B31)+COUNTIF($S$64:$U$64,$B31&amp;" ~*")=0),($R31+COUNTIF($H$140:$H156,$B31)+COUNTIF($H$140:$H156,$B31&amp;" ~*"))*1000+IF(AY157&gt;100,500,0)+12,"")</f>
        <v/>
      </c>
      <c r="BY157">
        <f>IF(AND(AZ157&lt;&gt;"",COUNTIF($S$64:$U$64,$B32)+COUNTIF($S$64:$U$64,$B32&amp;" ~*")=0),($R32+COUNTIF($H$140:$H156,$B32)+COUNTIF($H$140:$H156,$B32&amp;" ~*"))*1000+IF(AZ157&gt;100,500,0)+13,"")</f>
        <v/>
      </c>
      <c r="BZ157">
        <f>IF(AND(BA157&lt;&gt;"",COUNTIF($S$64:$U$64,$B33)+COUNTIF($S$64:$U$64,$B33&amp;" ~*")=0),($R33+COUNTIF($H$140:$H156,$B33)+COUNTIF($H$140:$H156,$B33&amp;" ~*"))*1000+IF(BA157&gt;100,500,0)+14,"")</f>
        <v/>
      </c>
      <c r="CA157">
        <f>IF(AND(BB157&lt;&gt;"",COUNTIF($S$64:$U$64,$B34)+COUNTIF($S$64:$U$64,$B34&amp;" ~*")=0),($R34+COUNTIF($H$140:$H156,$B34)+COUNTIF($H$140:$H156,$B34&amp;" ~*"))*1000+IF(BB157&gt;100,500,0)+15,"")</f>
        <v/>
      </c>
      <c r="CB157">
        <f>IF(AND(BC157&lt;&gt;"",COUNTIF($S$64:$U$64,$B35)+COUNTIF($S$64:$U$64,$B35&amp;" ~*")=0),($R35+COUNTIF($H$140:$H156,$B35)+COUNTIF($H$140:$H156,$B35&amp;" ~*"))*1000+IF(BC157&gt;100,500,0)+16,"")</f>
        <v/>
      </c>
      <c r="CC157">
        <f>IF(AND(BD157&lt;&gt;"",COUNTIF($S$64:$U$64,$B36)+COUNTIF($S$64:$U$64,$B36&amp;" ~*")=0),($R36+COUNTIF($H$140:$H156,$B36)+COUNTIF($H$140:$H156,$B36&amp;" ~*"))*1000+IF(BD157&gt;100,500,0)+17,"")</f>
        <v/>
      </c>
      <c r="CD157">
        <f>IF(AND(BE157&lt;&gt;"",COUNTIF($S$64:$U$64,$B37)+COUNTIF($S$64:$U$64,$B37&amp;" ~*")=0),($R37+COUNTIF($H$140:$H156,$B37)+COUNTIF($H$140:$H156,$B37&amp;" ~*"))*1000+IF(BE157&gt;100,500,0)+18,"")</f>
        <v/>
      </c>
      <c r="CE157">
        <f>IF(AND(BF157&lt;&gt;"",COUNTIF($S$64:$U$64,$B38)+COUNTIF($S$64:$U$64,$B38&amp;" ~*")=0),($R38+COUNTIF($H$140:$H156,$B38)+COUNTIF($H$140:$H156,$B38&amp;" ~*"))*1000+IF(BF157&gt;100,500,0)+19,"")</f>
        <v/>
      </c>
      <c r="CF157">
        <f>IF(AND(BG157&lt;&gt;"",COUNTIF($S$64:$U$64,$B39)+COUNTIF($S$64:$U$64,$B39&amp;" ~*")=0),($R39+COUNTIF($H$140:$H156,$B39)+COUNTIF($H$140:$H156,$B39&amp;" ~*"))*1000+IF(BG157&gt;100,500,0)+20,"")</f>
        <v/>
      </c>
      <c r="CG157">
        <f>IF(AND(BH157&lt;&gt;"",COUNTIF($S$64:$U$64,$B40)+COUNTIF($S$64:$U$64,$B40&amp;" ~*")=0),($R40+COUNTIF($H$140:$H156,$B40)+COUNTIF($H$140:$H156,$B40&amp;" ~*"))*1000+IF(BH157&gt;100,500,0)+21,"")</f>
        <v/>
      </c>
      <c r="CH157">
        <f>IF(AND(BI157&lt;&gt;"",COUNTIF($S$64:$U$64,$B41)+COUNTIF($S$64:$U$64,$B41&amp;" ~*")=0),($R41+COUNTIF($H$140:$H156,$B41)+COUNTIF($H$140:$H156,$B41&amp;" ~*"))*1000+IF(BI157&gt;100,500,0)+22,"")</f>
        <v/>
      </c>
      <c r="CI157">
        <f>IF(AND(BJ157&lt;&gt;"",COUNTIF($S$64:$U$64,$B42)+COUNTIF($S$64:$U$64,$B42&amp;" ~*")=0),($R42+COUNTIF($H$140:$H156,$B42)+COUNTIF($H$140:$H156,$B42&amp;" ~*"))*1000+IF(BJ157&gt;100,500,0)+23,"")</f>
        <v/>
      </c>
      <c r="CJ157">
        <f>IF(AND(BK157&lt;&gt;"",COUNTIF($S$64:$U$64,$B43)+COUNTIF($S$64:$U$64,$B43&amp;" ~*")=0),($R43+COUNTIF($H$140:$H156,$B43)+COUNTIF($H$140:$H156,$B43&amp;" ~*"))*1000+IF(BK157&gt;100,500,0)+24,"")</f>
        <v/>
      </c>
    </row>
    <row r="158">
      <c r="A158" t="n">
        <v>6</v>
      </c>
      <c r="B158" t="n">
        <v>1</v>
      </c>
      <c r="C158">
        <f>$B$47</f>
        <v/>
      </c>
      <c r="D158" t="inlineStr">
        <is>
          <t>Sat</t>
        </is>
      </c>
      <c r="E158">
        <f>IF(C158="","",N($AC$47))</f>
        <v/>
      </c>
      <c r="F158">
        <f>IF(C158="","",COUNTIF($W$47:$W$47,"?*"))</f>
        <v/>
      </c>
      <c r="G158">
        <f>IF(C158="","",MAX(0,E158-F158))</f>
        <v/>
      </c>
      <c r="H158">
        <f>IF(N(G158)=0,"",IF(COUNT(BM158:CJ158)=0,"no-one eligible",INDEX(Engine!$B$20:$B$43,MOD(MIN(BM158:CJ158),500))&amp;IF(MOD(MIN(BM158:CJ158),1000)&gt;=500," *","")))</f>
        <v/>
      </c>
      <c r="I158">
        <f>IF(N(G158)&gt;0,COUNTIF($G$68:G158,"&gt;0"),"")</f>
        <v/>
      </c>
      <c r="J158">
        <f>IF(C158="","",IF($W$47="",0,IF(IFERROR(INDEX(Setup!$O$6:$AL$23,1,MATCH(SUBSTITUTE($W$47," *",""),Setup!$B$6:$B$29,0)),"")="",1,0)))</f>
        <v/>
      </c>
      <c r="K158">
        <f>IF($B$12+5=TODAY(),1,0)</f>
        <v/>
      </c>
      <c r="N158">
        <f>COUNT($AN158:$BK158)</f>
        <v/>
      </c>
      <c r="O158">
        <f>IF(1&gt;$N158,"",INDEX(Engine!$B$20:$B$43,MOD(SMALL($AN158:$BK158,1),100))&amp;IF(SMALL($AN158:$BK158,1)&gt;100," *",""))</f>
        <v/>
      </c>
      <c r="P158">
        <f>IF(2&gt;$N158,"",INDEX(Engine!$B$20:$B$43,MOD(SMALL($AN158:$BK158,2),100))&amp;IF(SMALL($AN158:$BK158,2)&gt;100," *",""))</f>
        <v/>
      </c>
      <c r="Q158">
        <f>IF(3&gt;$N158,"",INDEX(Engine!$B$20:$B$43,MOD(SMALL($AN158:$BK158,3),100))&amp;IF(SMALL($AN158:$BK158,3)&gt;100," *",""))</f>
        <v/>
      </c>
      <c r="R158">
        <f>IF(4&gt;$N158,"",INDEX(Engine!$B$20:$B$43,MOD(SMALL($AN158:$BK158,4),100))&amp;IF(SMALL($AN158:$BK158,4)&gt;100," *",""))</f>
        <v/>
      </c>
      <c r="S158">
        <f>IF(5&gt;$N158,"",INDEX(Engine!$B$20:$B$43,MOD(SMALL($AN158:$BK158,5),100))&amp;IF(SMALL($AN158:$BK158,5)&gt;100," *",""))</f>
        <v/>
      </c>
      <c r="T158">
        <f>IF(6&gt;$N158,"",INDEX(Engine!$B$20:$B$43,MOD(SMALL($AN158:$BK158,6),100))&amp;IF(SMALL($AN158:$BK158,6)&gt;100," *",""))</f>
        <v/>
      </c>
      <c r="U158">
        <f>IF(7&gt;$N158,"",INDEX(Engine!$B$20:$B$43,MOD(SMALL($AN158:$BK158,7),100))&amp;IF(SMALL($AN158:$BK158,7)&gt;100," *",""))</f>
        <v/>
      </c>
      <c r="V158">
        <f>IF(8&gt;$N158,"",INDEX(Engine!$B$20:$B$43,MOD(SMALL($AN158:$BK158,8),100))&amp;IF(SMALL($AN158:$BK158,8)&gt;100," *",""))</f>
        <v/>
      </c>
      <c r="W158">
        <f>IF(9&gt;$N158,"",INDEX(Engine!$B$20:$B$43,MOD(SMALL($AN158:$BK158,9),100))&amp;IF(SMALL($AN158:$BK158,9)&gt;100," *",""))</f>
        <v/>
      </c>
      <c r="X158">
        <f>IF(10&gt;$N158,"",INDEX(Engine!$B$20:$B$43,MOD(SMALL($AN158:$BK158,10),100))&amp;IF(SMALL($AN158:$BK158,10)&gt;100," *",""))</f>
        <v/>
      </c>
      <c r="Y158">
        <f>IF(11&gt;$N158,"",INDEX(Engine!$B$20:$B$43,MOD(SMALL($AN158:$BK158,11),100))&amp;IF(SMALL($AN158:$BK158,11)&gt;100," *",""))</f>
        <v/>
      </c>
      <c r="Z158">
        <f>IF(12&gt;$N158,"",INDEX(Engine!$B$20:$B$43,MOD(SMALL($AN158:$BK158,12),100))&amp;IF(SMALL($AN158:$BK158,12)&gt;100," *",""))</f>
        <v/>
      </c>
      <c r="AA158">
        <f>IF(13&gt;$N158,"",INDEX(Engine!$B$20:$B$43,MOD(SMALL($AN158:$BK158,13),100))&amp;IF(SMALL($AN158:$BK158,13)&gt;100," *",""))</f>
        <v/>
      </c>
      <c r="AB158">
        <f>IF(14&gt;$N158,"",INDEX(Engine!$B$20:$B$43,MOD(SMALL($AN158:$BK158,14),100))&amp;IF(SMALL($AN158:$BK158,14)&gt;100," *",""))</f>
        <v/>
      </c>
      <c r="AC158">
        <f>IF(15&gt;$N158,"",INDEX(Engine!$B$20:$B$43,MOD(SMALL($AN158:$BK158,15),100))&amp;IF(SMALL($AN158:$BK158,15)&gt;100," *",""))</f>
        <v/>
      </c>
      <c r="AD158">
        <f>IF(16&gt;$N158,"",INDEX(Engine!$B$20:$B$43,MOD(SMALL($AN158:$BK158,16),100))&amp;IF(SMALL($AN158:$BK158,16)&gt;100," *",""))</f>
        <v/>
      </c>
      <c r="AE158">
        <f>IF(17&gt;$N158,"",INDEX(Engine!$B$20:$B$43,MOD(SMALL($AN158:$BK158,17),100))&amp;IF(SMALL($AN158:$BK158,17)&gt;100," *",""))</f>
        <v/>
      </c>
      <c r="AF158">
        <f>IF(18&gt;$N158,"",INDEX(Engine!$B$20:$B$43,MOD(SMALL($AN158:$BK158,18),100))&amp;IF(SMALL($AN158:$BK158,18)&gt;100," *",""))</f>
        <v/>
      </c>
      <c r="AG158">
        <f>IF(19&gt;$N158,"",INDEX(Engine!$B$20:$B$43,MOD(SMALL($AN158:$BK158,19),100))&amp;IF(SMALL($AN158:$BK158,19)&gt;100," *",""))</f>
        <v/>
      </c>
      <c r="AH158">
        <f>IF(20&gt;$N158,"",INDEX(Engine!$B$20:$B$43,MOD(SMALL($AN158:$BK158,20),100))&amp;IF(SMALL($AN158:$BK158,20)&gt;100," *",""))</f>
        <v/>
      </c>
      <c r="AI158">
        <f>IF(21&gt;$N158,"",INDEX(Engine!$B$20:$B$43,MOD(SMALL($AN158:$BK158,21),100))&amp;IF(SMALL($AN158:$BK158,21)&gt;100," *",""))</f>
        <v/>
      </c>
      <c r="AJ158">
        <f>IF(22&gt;$N158,"",INDEX(Engine!$B$20:$B$43,MOD(SMALL($AN158:$BK158,22),100))&amp;IF(SMALL($AN158:$BK158,22)&gt;100," *",""))</f>
        <v/>
      </c>
      <c r="AK158">
        <f>IF(23&gt;$N158,"",INDEX(Engine!$B$20:$B$43,MOD(SMALL($AN158:$BK158,23),100))&amp;IF(SMALL($AN158:$BK158,23)&gt;100," *",""))</f>
        <v/>
      </c>
      <c r="AL158">
        <f>IF(24&gt;$N158,"",INDEX(Engine!$B$20:$B$43,MOD(SMALL($AN158:$BK158,24),100))&amp;IF(SMALL($AN158:$BK158,24)&gt;100," *",""))</f>
        <v/>
      </c>
      <c r="AN158">
        <f>IF(AND($C20=1,INDEX(Setup!$O$6:$AL$23,1,1)&lt;&gt;"",P20=0),1+IF(INDEX(Setup!$O$6:$AL$23,1,1)="T",100,0),"")</f>
        <v/>
      </c>
      <c r="AO158">
        <f>IF(AND($C21=1,INDEX(Setup!$O$6:$AL$23,1,2)&lt;&gt;"",P21=0),2+IF(INDEX(Setup!$O$6:$AL$23,1,2)="T",100,0),"")</f>
        <v/>
      </c>
      <c r="AP158">
        <f>IF(AND($C22=1,INDEX(Setup!$O$6:$AL$23,1,3)&lt;&gt;"",P22=0),3+IF(INDEX(Setup!$O$6:$AL$23,1,3)="T",100,0),"")</f>
        <v/>
      </c>
      <c r="AQ158">
        <f>IF(AND($C23=1,INDEX(Setup!$O$6:$AL$23,1,4)&lt;&gt;"",P23=0),4+IF(INDEX(Setup!$O$6:$AL$23,1,4)="T",100,0),"")</f>
        <v/>
      </c>
      <c r="AR158">
        <f>IF(AND($C24=1,INDEX(Setup!$O$6:$AL$23,1,5)&lt;&gt;"",P24=0),5+IF(INDEX(Setup!$O$6:$AL$23,1,5)="T",100,0),"")</f>
        <v/>
      </c>
      <c r="AS158">
        <f>IF(AND($C25=1,INDEX(Setup!$O$6:$AL$23,1,6)&lt;&gt;"",P25=0),6+IF(INDEX(Setup!$O$6:$AL$23,1,6)="T",100,0),"")</f>
        <v/>
      </c>
      <c r="AT158">
        <f>IF(AND($C26=1,INDEX(Setup!$O$6:$AL$23,1,7)&lt;&gt;"",P26=0),7+IF(INDEX(Setup!$O$6:$AL$23,1,7)="T",100,0),"")</f>
        <v/>
      </c>
      <c r="AU158">
        <f>IF(AND($C27=1,INDEX(Setup!$O$6:$AL$23,1,8)&lt;&gt;"",P27=0),8+IF(INDEX(Setup!$O$6:$AL$23,1,8)="T",100,0),"")</f>
        <v/>
      </c>
      <c r="AV158">
        <f>IF(AND($C28=1,INDEX(Setup!$O$6:$AL$23,1,9)&lt;&gt;"",P28=0),9+IF(INDEX(Setup!$O$6:$AL$23,1,9)="T",100,0),"")</f>
        <v/>
      </c>
      <c r="AW158">
        <f>IF(AND($C29=1,INDEX(Setup!$O$6:$AL$23,1,10)&lt;&gt;"",P29=0),10+IF(INDEX(Setup!$O$6:$AL$23,1,10)="T",100,0),"")</f>
        <v/>
      </c>
      <c r="AX158">
        <f>IF(AND($C30=1,INDEX(Setup!$O$6:$AL$23,1,11)&lt;&gt;"",P30=0),11+IF(INDEX(Setup!$O$6:$AL$23,1,11)="T",100,0),"")</f>
        <v/>
      </c>
      <c r="AY158">
        <f>IF(AND($C31=1,INDEX(Setup!$O$6:$AL$23,1,12)&lt;&gt;"",P31=0),12+IF(INDEX(Setup!$O$6:$AL$23,1,12)="T",100,0),"")</f>
        <v/>
      </c>
      <c r="AZ158">
        <f>IF(AND($C32=1,INDEX(Setup!$O$6:$AL$23,1,13)&lt;&gt;"",P32=0),13+IF(INDEX(Setup!$O$6:$AL$23,1,13)="T",100,0),"")</f>
        <v/>
      </c>
      <c r="BA158">
        <f>IF(AND($C33=1,INDEX(Setup!$O$6:$AL$23,1,14)&lt;&gt;"",P33=0),14+IF(INDEX(Setup!$O$6:$AL$23,1,14)="T",100,0),"")</f>
        <v/>
      </c>
      <c r="BB158">
        <f>IF(AND($C34=1,INDEX(Setup!$O$6:$AL$23,1,15)&lt;&gt;"",P34=0),15+IF(INDEX(Setup!$O$6:$AL$23,1,15)="T",100,0),"")</f>
        <v/>
      </c>
      <c r="BC158">
        <f>IF(AND($C35=1,INDEX(Setup!$O$6:$AL$23,1,16)&lt;&gt;"",P35=0),16+IF(INDEX(Setup!$O$6:$AL$23,1,16)="T",100,0),"")</f>
        <v/>
      </c>
      <c r="BD158">
        <f>IF(AND($C36=1,INDEX(Setup!$O$6:$AL$23,1,17)&lt;&gt;"",P36=0),17+IF(INDEX(Setup!$O$6:$AL$23,1,17)="T",100,0),"")</f>
        <v/>
      </c>
      <c r="BE158">
        <f>IF(AND($C37=1,INDEX(Setup!$O$6:$AL$23,1,18)&lt;&gt;"",P37=0),18+IF(INDEX(Setup!$O$6:$AL$23,1,18)="T",100,0),"")</f>
        <v/>
      </c>
      <c r="BF158">
        <f>IF(AND($C38=1,INDEX(Setup!$O$6:$AL$23,1,19)&lt;&gt;"",P38=0),19+IF(INDEX(Setup!$O$6:$AL$23,1,19)="T",100,0),"")</f>
        <v/>
      </c>
      <c r="BG158">
        <f>IF(AND($C39=1,INDEX(Setup!$O$6:$AL$23,1,20)&lt;&gt;"",P39=0),20+IF(INDEX(Setup!$O$6:$AL$23,1,20)="T",100,0),"")</f>
        <v/>
      </c>
      <c r="BH158">
        <f>IF(AND($C40=1,INDEX(Setup!$O$6:$AL$23,1,21)&lt;&gt;"",P40=0),21+IF(INDEX(Setup!$O$6:$AL$23,1,21)="T",100,0),"")</f>
        <v/>
      </c>
      <c r="BI158">
        <f>IF(AND($C41=1,INDEX(Setup!$O$6:$AL$23,1,22)&lt;&gt;"",P41=0),22+IF(INDEX(Setup!$O$6:$AL$23,1,22)="T",100,0),"")</f>
        <v/>
      </c>
      <c r="BJ158">
        <f>IF(AND($C42=1,INDEX(Setup!$O$6:$AL$23,1,23)&lt;&gt;"",P42=0),23+IF(INDEX(Setup!$O$6:$AL$23,1,23)="T",100,0),"")</f>
        <v/>
      </c>
      <c r="BK158">
        <f>IF(AND($C43=1,INDEX(Setup!$O$6:$AL$23,1,24)&lt;&gt;"",P43=0),24+IF(INDEX(Setup!$O$6:$AL$23,1,24)="T",100,0),"")</f>
        <v/>
      </c>
      <c r="BM158">
        <f>IF(AND(AN158&lt;&gt;"",COUNTIF($W$47:$W$47,$B20)+COUNTIF($W$47:$W$47,$B20&amp;" ~*")=0),($R20+0)*1000+IF(AN158&gt;100,500,0)+1,"")</f>
        <v/>
      </c>
      <c r="BN158">
        <f>IF(AND(AO158&lt;&gt;"",COUNTIF($W$47:$W$47,$B21)+COUNTIF($W$47:$W$47,$B21&amp;" ~*")=0),($R21+0)*1000+IF(AO158&gt;100,500,0)+2,"")</f>
        <v/>
      </c>
      <c r="BO158">
        <f>IF(AND(AP158&lt;&gt;"",COUNTIF($W$47:$W$47,$B22)+COUNTIF($W$47:$W$47,$B22&amp;" ~*")=0),($R22+0)*1000+IF(AP158&gt;100,500,0)+3,"")</f>
        <v/>
      </c>
      <c r="BP158">
        <f>IF(AND(AQ158&lt;&gt;"",COUNTIF($W$47:$W$47,$B23)+COUNTIF($W$47:$W$47,$B23&amp;" ~*")=0),($R23+0)*1000+IF(AQ158&gt;100,500,0)+4,"")</f>
        <v/>
      </c>
      <c r="BQ158">
        <f>IF(AND(AR158&lt;&gt;"",COUNTIF($W$47:$W$47,$B24)+COUNTIF($W$47:$W$47,$B24&amp;" ~*")=0),($R24+0)*1000+IF(AR158&gt;100,500,0)+5,"")</f>
        <v/>
      </c>
      <c r="BR158">
        <f>IF(AND(AS158&lt;&gt;"",COUNTIF($W$47:$W$47,$B25)+COUNTIF($W$47:$W$47,$B25&amp;" ~*")=0),($R25+0)*1000+IF(AS158&gt;100,500,0)+6,"")</f>
        <v/>
      </c>
      <c r="BS158">
        <f>IF(AND(AT158&lt;&gt;"",COUNTIF($W$47:$W$47,$B26)+COUNTIF($W$47:$W$47,$B26&amp;" ~*")=0),($R26+0)*1000+IF(AT158&gt;100,500,0)+7,"")</f>
        <v/>
      </c>
      <c r="BT158">
        <f>IF(AND(AU158&lt;&gt;"",COUNTIF($W$47:$W$47,$B27)+COUNTIF($W$47:$W$47,$B27&amp;" ~*")=0),($R27+0)*1000+IF(AU158&gt;100,500,0)+8,"")</f>
        <v/>
      </c>
      <c r="BU158">
        <f>IF(AND(AV158&lt;&gt;"",COUNTIF($W$47:$W$47,$B28)+COUNTIF($W$47:$W$47,$B28&amp;" ~*")=0),($R28+0)*1000+IF(AV158&gt;100,500,0)+9,"")</f>
        <v/>
      </c>
      <c r="BV158">
        <f>IF(AND(AW158&lt;&gt;"",COUNTIF($W$47:$W$47,$B29)+COUNTIF($W$47:$W$47,$B29&amp;" ~*")=0),($R29+0)*1000+IF(AW158&gt;100,500,0)+10,"")</f>
        <v/>
      </c>
      <c r="BW158">
        <f>IF(AND(AX158&lt;&gt;"",COUNTIF($W$47:$W$47,$B30)+COUNTIF($W$47:$W$47,$B30&amp;" ~*")=0),($R30+0)*1000+IF(AX158&gt;100,500,0)+11,"")</f>
        <v/>
      </c>
      <c r="BX158">
        <f>IF(AND(AY158&lt;&gt;"",COUNTIF($W$47:$W$47,$B31)+COUNTIF($W$47:$W$47,$B31&amp;" ~*")=0),($R31+0)*1000+IF(AY158&gt;100,500,0)+12,"")</f>
        <v/>
      </c>
      <c r="BY158">
        <f>IF(AND(AZ158&lt;&gt;"",COUNTIF($W$47:$W$47,$B32)+COUNTIF($W$47:$W$47,$B32&amp;" ~*")=0),($R32+0)*1000+IF(AZ158&gt;100,500,0)+13,"")</f>
        <v/>
      </c>
      <c r="BZ158">
        <f>IF(AND(BA158&lt;&gt;"",COUNTIF($W$47:$W$47,$B33)+COUNTIF($W$47:$W$47,$B33&amp;" ~*")=0),($R33+0)*1000+IF(BA158&gt;100,500,0)+14,"")</f>
        <v/>
      </c>
      <c r="CA158">
        <f>IF(AND(BB158&lt;&gt;"",COUNTIF($W$47:$W$47,$B34)+COUNTIF($W$47:$W$47,$B34&amp;" ~*")=0),($R34+0)*1000+IF(BB158&gt;100,500,0)+15,"")</f>
        <v/>
      </c>
      <c r="CB158">
        <f>IF(AND(BC158&lt;&gt;"",COUNTIF($W$47:$W$47,$B35)+COUNTIF($W$47:$W$47,$B35&amp;" ~*")=0),($R35+0)*1000+IF(BC158&gt;100,500,0)+16,"")</f>
        <v/>
      </c>
      <c r="CC158">
        <f>IF(AND(BD158&lt;&gt;"",COUNTIF($W$47:$W$47,$B36)+COUNTIF($W$47:$W$47,$B36&amp;" ~*")=0),($R36+0)*1000+IF(BD158&gt;100,500,0)+17,"")</f>
        <v/>
      </c>
      <c r="CD158">
        <f>IF(AND(BE158&lt;&gt;"",COUNTIF($W$47:$W$47,$B37)+COUNTIF($W$47:$W$47,$B37&amp;" ~*")=0),($R37+0)*1000+IF(BE158&gt;100,500,0)+18,"")</f>
        <v/>
      </c>
      <c r="CE158">
        <f>IF(AND(BF158&lt;&gt;"",COUNTIF($W$47:$W$47,$B38)+COUNTIF($W$47:$W$47,$B38&amp;" ~*")=0),($R38+0)*1000+IF(BF158&gt;100,500,0)+19,"")</f>
        <v/>
      </c>
      <c r="CF158">
        <f>IF(AND(BG158&lt;&gt;"",COUNTIF($W$47:$W$47,$B39)+COUNTIF($W$47:$W$47,$B39&amp;" ~*")=0),($R39+0)*1000+IF(BG158&gt;100,500,0)+20,"")</f>
        <v/>
      </c>
      <c r="CG158">
        <f>IF(AND(BH158&lt;&gt;"",COUNTIF($W$47:$W$47,$B40)+COUNTIF($W$47:$W$47,$B40&amp;" ~*")=0),($R40+0)*1000+IF(BH158&gt;100,500,0)+21,"")</f>
        <v/>
      </c>
      <c r="CH158">
        <f>IF(AND(BI158&lt;&gt;"",COUNTIF($W$47:$W$47,$B41)+COUNTIF($W$47:$W$47,$B41&amp;" ~*")=0),($R41+0)*1000+IF(BI158&gt;100,500,0)+22,"")</f>
        <v/>
      </c>
      <c r="CI158">
        <f>IF(AND(BJ158&lt;&gt;"",COUNTIF($W$47:$W$47,$B42)+COUNTIF($W$47:$W$47,$B42&amp;" ~*")=0),($R42+0)*1000+IF(BJ158&gt;100,500,0)+23,"")</f>
        <v/>
      </c>
      <c r="CJ158">
        <f>IF(AND(BK158&lt;&gt;"",COUNTIF($W$47:$W$47,$B43)+COUNTIF($W$47:$W$47,$B43&amp;" ~*")=0),($R43+0)*1000+IF(BK158&gt;100,500,0)+24,"")</f>
        <v/>
      </c>
    </row>
    <row r="159">
      <c r="A159" t="n">
        <v>6</v>
      </c>
      <c r="B159" t="n">
        <v>2</v>
      </c>
      <c r="C159">
        <f>$B$48</f>
        <v/>
      </c>
      <c r="D159" t="inlineStr">
        <is>
          <t>Sat</t>
        </is>
      </c>
      <c r="E159">
        <f>IF(C159="","",N($AC$48))</f>
        <v/>
      </c>
      <c r="F159">
        <f>IF(C159="","",COUNTIF($W$48:$W$48,"?*"))</f>
        <v/>
      </c>
      <c r="G159">
        <f>IF(C159="","",MAX(0,E159-F159))</f>
        <v/>
      </c>
      <c r="H159">
        <f>IF(N(G159)=0,"",IF(COUNT(BM159:CJ159)=0,"no-one eligible",INDEX(Engine!$B$20:$B$43,MOD(MIN(BM159:CJ159),500))&amp;IF(MOD(MIN(BM159:CJ159),1000)&gt;=500," *","")))</f>
        <v/>
      </c>
      <c r="I159">
        <f>IF(N(G159)&gt;0,COUNTIF($G$68:G159,"&gt;0"),"")</f>
        <v/>
      </c>
      <c r="J159">
        <f>IF(C159="","",IF($W$48="",0,IF(IFERROR(INDEX(Setup!$O$6:$AL$23,2,MATCH(SUBSTITUTE($W$48," *",""),Setup!$B$6:$B$29,0)),"")="",1,0)))</f>
        <v/>
      </c>
      <c r="K159">
        <f>IF($B$12+5=TODAY(),1,0)</f>
        <v/>
      </c>
      <c r="N159">
        <f>COUNT($AN159:$BK159)</f>
        <v/>
      </c>
      <c r="O159">
        <f>IF(1&gt;$N159,"",INDEX(Engine!$B$20:$B$43,MOD(SMALL($AN159:$BK159,1),100))&amp;IF(SMALL($AN159:$BK159,1)&gt;100," *",""))</f>
        <v/>
      </c>
      <c r="P159">
        <f>IF(2&gt;$N159,"",INDEX(Engine!$B$20:$B$43,MOD(SMALL($AN159:$BK159,2),100))&amp;IF(SMALL($AN159:$BK159,2)&gt;100," *",""))</f>
        <v/>
      </c>
      <c r="Q159">
        <f>IF(3&gt;$N159,"",INDEX(Engine!$B$20:$B$43,MOD(SMALL($AN159:$BK159,3),100))&amp;IF(SMALL($AN159:$BK159,3)&gt;100," *",""))</f>
        <v/>
      </c>
      <c r="R159">
        <f>IF(4&gt;$N159,"",INDEX(Engine!$B$20:$B$43,MOD(SMALL($AN159:$BK159,4),100))&amp;IF(SMALL($AN159:$BK159,4)&gt;100," *",""))</f>
        <v/>
      </c>
      <c r="S159">
        <f>IF(5&gt;$N159,"",INDEX(Engine!$B$20:$B$43,MOD(SMALL($AN159:$BK159,5),100))&amp;IF(SMALL($AN159:$BK159,5)&gt;100," *",""))</f>
        <v/>
      </c>
      <c r="T159">
        <f>IF(6&gt;$N159,"",INDEX(Engine!$B$20:$B$43,MOD(SMALL($AN159:$BK159,6),100))&amp;IF(SMALL($AN159:$BK159,6)&gt;100," *",""))</f>
        <v/>
      </c>
      <c r="U159">
        <f>IF(7&gt;$N159,"",INDEX(Engine!$B$20:$B$43,MOD(SMALL($AN159:$BK159,7),100))&amp;IF(SMALL($AN159:$BK159,7)&gt;100," *",""))</f>
        <v/>
      </c>
      <c r="V159">
        <f>IF(8&gt;$N159,"",INDEX(Engine!$B$20:$B$43,MOD(SMALL($AN159:$BK159,8),100))&amp;IF(SMALL($AN159:$BK159,8)&gt;100," *",""))</f>
        <v/>
      </c>
      <c r="W159">
        <f>IF(9&gt;$N159,"",INDEX(Engine!$B$20:$B$43,MOD(SMALL($AN159:$BK159,9),100))&amp;IF(SMALL($AN159:$BK159,9)&gt;100," *",""))</f>
        <v/>
      </c>
      <c r="X159">
        <f>IF(10&gt;$N159,"",INDEX(Engine!$B$20:$B$43,MOD(SMALL($AN159:$BK159,10),100))&amp;IF(SMALL($AN159:$BK159,10)&gt;100," *",""))</f>
        <v/>
      </c>
      <c r="Y159">
        <f>IF(11&gt;$N159,"",INDEX(Engine!$B$20:$B$43,MOD(SMALL($AN159:$BK159,11),100))&amp;IF(SMALL($AN159:$BK159,11)&gt;100," *",""))</f>
        <v/>
      </c>
      <c r="Z159">
        <f>IF(12&gt;$N159,"",INDEX(Engine!$B$20:$B$43,MOD(SMALL($AN159:$BK159,12),100))&amp;IF(SMALL($AN159:$BK159,12)&gt;100," *",""))</f>
        <v/>
      </c>
      <c r="AA159">
        <f>IF(13&gt;$N159,"",INDEX(Engine!$B$20:$B$43,MOD(SMALL($AN159:$BK159,13),100))&amp;IF(SMALL($AN159:$BK159,13)&gt;100," *",""))</f>
        <v/>
      </c>
      <c r="AB159">
        <f>IF(14&gt;$N159,"",INDEX(Engine!$B$20:$B$43,MOD(SMALL($AN159:$BK159,14),100))&amp;IF(SMALL($AN159:$BK159,14)&gt;100," *",""))</f>
        <v/>
      </c>
      <c r="AC159">
        <f>IF(15&gt;$N159,"",INDEX(Engine!$B$20:$B$43,MOD(SMALL($AN159:$BK159,15),100))&amp;IF(SMALL($AN159:$BK159,15)&gt;100," *",""))</f>
        <v/>
      </c>
      <c r="AD159">
        <f>IF(16&gt;$N159,"",INDEX(Engine!$B$20:$B$43,MOD(SMALL($AN159:$BK159,16),100))&amp;IF(SMALL($AN159:$BK159,16)&gt;100," *",""))</f>
        <v/>
      </c>
      <c r="AE159">
        <f>IF(17&gt;$N159,"",INDEX(Engine!$B$20:$B$43,MOD(SMALL($AN159:$BK159,17),100))&amp;IF(SMALL($AN159:$BK159,17)&gt;100," *",""))</f>
        <v/>
      </c>
      <c r="AF159">
        <f>IF(18&gt;$N159,"",INDEX(Engine!$B$20:$B$43,MOD(SMALL($AN159:$BK159,18),100))&amp;IF(SMALL($AN159:$BK159,18)&gt;100," *",""))</f>
        <v/>
      </c>
      <c r="AG159">
        <f>IF(19&gt;$N159,"",INDEX(Engine!$B$20:$B$43,MOD(SMALL($AN159:$BK159,19),100))&amp;IF(SMALL($AN159:$BK159,19)&gt;100," *",""))</f>
        <v/>
      </c>
      <c r="AH159">
        <f>IF(20&gt;$N159,"",INDEX(Engine!$B$20:$B$43,MOD(SMALL($AN159:$BK159,20),100))&amp;IF(SMALL($AN159:$BK159,20)&gt;100," *",""))</f>
        <v/>
      </c>
      <c r="AI159">
        <f>IF(21&gt;$N159,"",INDEX(Engine!$B$20:$B$43,MOD(SMALL($AN159:$BK159,21),100))&amp;IF(SMALL($AN159:$BK159,21)&gt;100," *",""))</f>
        <v/>
      </c>
      <c r="AJ159">
        <f>IF(22&gt;$N159,"",INDEX(Engine!$B$20:$B$43,MOD(SMALL($AN159:$BK159,22),100))&amp;IF(SMALL($AN159:$BK159,22)&gt;100," *",""))</f>
        <v/>
      </c>
      <c r="AK159">
        <f>IF(23&gt;$N159,"",INDEX(Engine!$B$20:$B$43,MOD(SMALL($AN159:$BK159,23),100))&amp;IF(SMALL($AN159:$BK159,23)&gt;100," *",""))</f>
        <v/>
      </c>
      <c r="AL159">
        <f>IF(24&gt;$N159,"",INDEX(Engine!$B$20:$B$43,MOD(SMALL($AN159:$BK159,24),100))&amp;IF(SMALL($AN159:$BK159,24)&gt;100," *",""))</f>
        <v/>
      </c>
      <c r="AN159">
        <f>IF(AND($C20=1,INDEX(Setup!$O$6:$AL$23,2,1)&lt;&gt;"",P20=0),1+IF(INDEX(Setup!$O$6:$AL$23,2,1)="T",100,0),"")</f>
        <v/>
      </c>
      <c r="AO159">
        <f>IF(AND($C21=1,INDEX(Setup!$O$6:$AL$23,2,2)&lt;&gt;"",P21=0),2+IF(INDEX(Setup!$O$6:$AL$23,2,2)="T",100,0),"")</f>
        <v/>
      </c>
      <c r="AP159">
        <f>IF(AND($C22=1,INDEX(Setup!$O$6:$AL$23,2,3)&lt;&gt;"",P22=0),3+IF(INDEX(Setup!$O$6:$AL$23,2,3)="T",100,0),"")</f>
        <v/>
      </c>
      <c r="AQ159">
        <f>IF(AND($C23=1,INDEX(Setup!$O$6:$AL$23,2,4)&lt;&gt;"",P23=0),4+IF(INDEX(Setup!$O$6:$AL$23,2,4)="T",100,0),"")</f>
        <v/>
      </c>
      <c r="AR159">
        <f>IF(AND($C24=1,INDEX(Setup!$O$6:$AL$23,2,5)&lt;&gt;"",P24=0),5+IF(INDEX(Setup!$O$6:$AL$23,2,5)="T",100,0),"")</f>
        <v/>
      </c>
      <c r="AS159">
        <f>IF(AND($C25=1,INDEX(Setup!$O$6:$AL$23,2,6)&lt;&gt;"",P25=0),6+IF(INDEX(Setup!$O$6:$AL$23,2,6)="T",100,0),"")</f>
        <v/>
      </c>
      <c r="AT159">
        <f>IF(AND($C26=1,INDEX(Setup!$O$6:$AL$23,2,7)&lt;&gt;"",P26=0),7+IF(INDEX(Setup!$O$6:$AL$23,2,7)="T",100,0),"")</f>
        <v/>
      </c>
      <c r="AU159">
        <f>IF(AND($C27=1,INDEX(Setup!$O$6:$AL$23,2,8)&lt;&gt;"",P27=0),8+IF(INDEX(Setup!$O$6:$AL$23,2,8)="T",100,0),"")</f>
        <v/>
      </c>
      <c r="AV159">
        <f>IF(AND($C28=1,INDEX(Setup!$O$6:$AL$23,2,9)&lt;&gt;"",P28=0),9+IF(INDEX(Setup!$O$6:$AL$23,2,9)="T",100,0),"")</f>
        <v/>
      </c>
      <c r="AW159">
        <f>IF(AND($C29=1,INDEX(Setup!$O$6:$AL$23,2,10)&lt;&gt;"",P29=0),10+IF(INDEX(Setup!$O$6:$AL$23,2,10)="T",100,0),"")</f>
        <v/>
      </c>
      <c r="AX159">
        <f>IF(AND($C30=1,INDEX(Setup!$O$6:$AL$23,2,11)&lt;&gt;"",P30=0),11+IF(INDEX(Setup!$O$6:$AL$23,2,11)="T",100,0),"")</f>
        <v/>
      </c>
      <c r="AY159">
        <f>IF(AND($C31=1,INDEX(Setup!$O$6:$AL$23,2,12)&lt;&gt;"",P31=0),12+IF(INDEX(Setup!$O$6:$AL$23,2,12)="T",100,0),"")</f>
        <v/>
      </c>
      <c r="AZ159">
        <f>IF(AND($C32=1,INDEX(Setup!$O$6:$AL$23,2,13)&lt;&gt;"",P32=0),13+IF(INDEX(Setup!$O$6:$AL$23,2,13)="T",100,0),"")</f>
        <v/>
      </c>
      <c r="BA159">
        <f>IF(AND($C33=1,INDEX(Setup!$O$6:$AL$23,2,14)&lt;&gt;"",P33=0),14+IF(INDEX(Setup!$O$6:$AL$23,2,14)="T",100,0),"")</f>
        <v/>
      </c>
      <c r="BB159">
        <f>IF(AND($C34=1,INDEX(Setup!$O$6:$AL$23,2,15)&lt;&gt;"",P34=0),15+IF(INDEX(Setup!$O$6:$AL$23,2,15)="T",100,0),"")</f>
        <v/>
      </c>
      <c r="BC159">
        <f>IF(AND($C35=1,INDEX(Setup!$O$6:$AL$23,2,16)&lt;&gt;"",P35=0),16+IF(INDEX(Setup!$O$6:$AL$23,2,16)="T",100,0),"")</f>
        <v/>
      </c>
      <c r="BD159">
        <f>IF(AND($C36=1,INDEX(Setup!$O$6:$AL$23,2,17)&lt;&gt;"",P36=0),17+IF(INDEX(Setup!$O$6:$AL$23,2,17)="T",100,0),"")</f>
        <v/>
      </c>
      <c r="BE159">
        <f>IF(AND($C37=1,INDEX(Setup!$O$6:$AL$23,2,18)&lt;&gt;"",P37=0),18+IF(INDEX(Setup!$O$6:$AL$23,2,18)="T",100,0),"")</f>
        <v/>
      </c>
      <c r="BF159">
        <f>IF(AND($C38=1,INDEX(Setup!$O$6:$AL$23,2,19)&lt;&gt;"",P38=0),19+IF(INDEX(Setup!$O$6:$AL$23,2,19)="T",100,0),"")</f>
        <v/>
      </c>
      <c r="BG159">
        <f>IF(AND($C39=1,INDEX(Setup!$O$6:$AL$23,2,20)&lt;&gt;"",P39=0),20+IF(INDEX(Setup!$O$6:$AL$23,2,20)="T",100,0),"")</f>
        <v/>
      </c>
      <c r="BH159">
        <f>IF(AND($C40=1,INDEX(Setup!$O$6:$AL$23,2,21)&lt;&gt;"",P40=0),21+IF(INDEX(Setup!$O$6:$AL$23,2,21)="T",100,0),"")</f>
        <v/>
      </c>
      <c r="BI159">
        <f>IF(AND($C41=1,INDEX(Setup!$O$6:$AL$23,2,22)&lt;&gt;"",P41=0),22+IF(INDEX(Setup!$O$6:$AL$23,2,22)="T",100,0),"")</f>
        <v/>
      </c>
      <c r="BJ159">
        <f>IF(AND($C42=1,INDEX(Setup!$O$6:$AL$23,2,23)&lt;&gt;"",P42=0),23+IF(INDEX(Setup!$O$6:$AL$23,2,23)="T",100,0),"")</f>
        <v/>
      </c>
      <c r="BK159">
        <f>IF(AND($C43=1,INDEX(Setup!$O$6:$AL$23,2,24)&lt;&gt;"",P43=0),24+IF(INDEX(Setup!$O$6:$AL$23,2,24)="T",100,0),"")</f>
        <v/>
      </c>
      <c r="BM159">
        <f>IF(AND(AN159&lt;&gt;"",COUNTIF($W$48:$W$48,$B20)+COUNTIF($W$48:$W$48,$B20&amp;" ~*")=0),($R20+COUNTIF($H$158:$H158,$B20)+COUNTIF($H$158:$H158,$B20&amp;" ~*"))*1000+IF(AN159&gt;100,500,0)+1,"")</f>
        <v/>
      </c>
      <c r="BN159">
        <f>IF(AND(AO159&lt;&gt;"",COUNTIF($W$48:$W$48,$B21)+COUNTIF($W$48:$W$48,$B21&amp;" ~*")=0),($R21+COUNTIF($H$158:$H158,$B21)+COUNTIF($H$158:$H158,$B21&amp;" ~*"))*1000+IF(AO159&gt;100,500,0)+2,"")</f>
        <v/>
      </c>
      <c r="BO159">
        <f>IF(AND(AP159&lt;&gt;"",COUNTIF($W$48:$W$48,$B22)+COUNTIF($W$48:$W$48,$B22&amp;" ~*")=0),($R22+COUNTIF($H$158:$H158,$B22)+COUNTIF($H$158:$H158,$B22&amp;" ~*"))*1000+IF(AP159&gt;100,500,0)+3,"")</f>
        <v/>
      </c>
      <c r="BP159">
        <f>IF(AND(AQ159&lt;&gt;"",COUNTIF($W$48:$W$48,$B23)+COUNTIF($W$48:$W$48,$B23&amp;" ~*")=0),($R23+COUNTIF($H$158:$H158,$B23)+COUNTIF($H$158:$H158,$B23&amp;" ~*"))*1000+IF(AQ159&gt;100,500,0)+4,"")</f>
        <v/>
      </c>
      <c r="BQ159">
        <f>IF(AND(AR159&lt;&gt;"",COUNTIF($W$48:$W$48,$B24)+COUNTIF($W$48:$W$48,$B24&amp;" ~*")=0),($R24+COUNTIF($H$158:$H158,$B24)+COUNTIF($H$158:$H158,$B24&amp;" ~*"))*1000+IF(AR159&gt;100,500,0)+5,"")</f>
        <v/>
      </c>
      <c r="BR159">
        <f>IF(AND(AS159&lt;&gt;"",COUNTIF($W$48:$W$48,$B25)+COUNTIF($W$48:$W$48,$B25&amp;" ~*")=0),($R25+COUNTIF($H$158:$H158,$B25)+COUNTIF($H$158:$H158,$B25&amp;" ~*"))*1000+IF(AS159&gt;100,500,0)+6,"")</f>
        <v/>
      </c>
      <c r="BS159">
        <f>IF(AND(AT159&lt;&gt;"",COUNTIF($W$48:$W$48,$B26)+COUNTIF($W$48:$W$48,$B26&amp;" ~*")=0),($R26+COUNTIF($H$158:$H158,$B26)+COUNTIF($H$158:$H158,$B26&amp;" ~*"))*1000+IF(AT159&gt;100,500,0)+7,"")</f>
        <v/>
      </c>
      <c r="BT159">
        <f>IF(AND(AU159&lt;&gt;"",COUNTIF($W$48:$W$48,$B27)+COUNTIF($W$48:$W$48,$B27&amp;" ~*")=0),($R27+COUNTIF($H$158:$H158,$B27)+COUNTIF($H$158:$H158,$B27&amp;" ~*"))*1000+IF(AU159&gt;100,500,0)+8,"")</f>
        <v/>
      </c>
      <c r="BU159">
        <f>IF(AND(AV159&lt;&gt;"",COUNTIF($W$48:$W$48,$B28)+COUNTIF($W$48:$W$48,$B28&amp;" ~*")=0),($R28+COUNTIF($H$158:$H158,$B28)+COUNTIF($H$158:$H158,$B28&amp;" ~*"))*1000+IF(AV159&gt;100,500,0)+9,"")</f>
        <v/>
      </c>
      <c r="BV159">
        <f>IF(AND(AW159&lt;&gt;"",COUNTIF($W$48:$W$48,$B29)+COUNTIF($W$48:$W$48,$B29&amp;" ~*")=0),($R29+COUNTIF($H$158:$H158,$B29)+COUNTIF($H$158:$H158,$B29&amp;" ~*"))*1000+IF(AW159&gt;100,500,0)+10,"")</f>
        <v/>
      </c>
      <c r="BW159">
        <f>IF(AND(AX159&lt;&gt;"",COUNTIF($W$48:$W$48,$B30)+COUNTIF($W$48:$W$48,$B30&amp;" ~*")=0),($R30+COUNTIF($H$158:$H158,$B30)+COUNTIF($H$158:$H158,$B30&amp;" ~*"))*1000+IF(AX159&gt;100,500,0)+11,"")</f>
        <v/>
      </c>
      <c r="BX159">
        <f>IF(AND(AY159&lt;&gt;"",COUNTIF($W$48:$W$48,$B31)+COUNTIF($W$48:$W$48,$B31&amp;" ~*")=0),($R31+COUNTIF($H$158:$H158,$B31)+COUNTIF($H$158:$H158,$B31&amp;" ~*"))*1000+IF(AY159&gt;100,500,0)+12,"")</f>
        <v/>
      </c>
      <c r="BY159">
        <f>IF(AND(AZ159&lt;&gt;"",COUNTIF($W$48:$W$48,$B32)+COUNTIF($W$48:$W$48,$B32&amp;" ~*")=0),($R32+COUNTIF($H$158:$H158,$B32)+COUNTIF($H$158:$H158,$B32&amp;" ~*"))*1000+IF(AZ159&gt;100,500,0)+13,"")</f>
        <v/>
      </c>
      <c r="BZ159">
        <f>IF(AND(BA159&lt;&gt;"",COUNTIF($W$48:$W$48,$B33)+COUNTIF($W$48:$W$48,$B33&amp;" ~*")=0),($R33+COUNTIF($H$158:$H158,$B33)+COUNTIF($H$158:$H158,$B33&amp;" ~*"))*1000+IF(BA159&gt;100,500,0)+14,"")</f>
        <v/>
      </c>
      <c r="CA159">
        <f>IF(AND(BB159&lt;&gt;"",COUNTIF($W$48:$W$48,$B34)+COUNTIF($W$48:$W$48,$B34&amp;" ~*")=0),($R34+COUNTIF($H$158:$H158,$B34)+COUNTIF($H$158:$H158,$B34&amp;" ~*"))*1000+IF(BB159&gt;100,500,0)+15,"")</f>
        <v/>
      </c>
      <c r="CB159">
        <f>IF(AND(BC159&lt;&gt;"",COUNTIF($W$48:$W$48,$B35)+COUNTIF($W$48:$W$48,$B35&amp;" ~*")=0),($R35+COUNTIF($H$158:$H158,$B35)+COUNTIF($H$158:$H158,$B35&amp;" ~*"))*1000+IF(BC159&gt;100,500,0)+16,"")</f>
        <v/>
      </c>
      <c r="CC159">
        <f>IF(AND(BD159&lt;&gt;"",COUNTIF($W$48:$W$48,$B36)+COUNTIF($W$48:$W$48,$B36&amp;" ~*")=0),($R36+COUNTIF($H$158:$H158,$B36)+COUNTIF($H$158:$H158,$B36&amp;" ~*"))*1000+IF(BD159&gt;100,500,0)+17,"")</f>
        <v/>
      </c>
      <c r="CD159">
        <f>IF(AND(BE159&lt;&gt;"",COUNTIF($W$48:$W$48,$B37)+COUNTIF($W$48:$W$48,$B37&amp;" ~*")=0),($R37+COUNTIF($H$158:$H158,$B37)+COUNTIF($H$158:$H158,$B37&amp;" ~*"))*1000+IF(BE159&gt;100,500,0)+18,"")</f>
        <v/>
      </c>
      <c r="CE159">
        <f>IF(AND(BF159&lt;&gt;"",COUNTIF($W$48:$W$48,$B38)+COUNTIF($W$48:$W$48,$B38&amp;" ~*")=0),($R38+COUNTIF($H$158:$H158,$B38)+COUNTIF($H$158:$H158,$B38&amp;" ~*"))*1000+IF(BF159&gt;100,500,0)+19,"")</f>
        <v/>
      </c>
      <c r="CF159">
        <f>IF(AND(BG159&lt;&gt;"",COUNTIF($W$48:$W$48,$B39)+COUNTIF($W$48:$W$48,$B39&amp;" ~*")=0),($R39+COUNTIF($H$158:$H158,$B39)+COUNTIF($H$158:$H158,$B39&amp;" ~*"))*1000+IF(BG159&gt;100,500,0)+20,"")</f>
        <v/>
      </c>
      <c r="CG159">
        <f>IF(AND(BH159&lt;&gt;"",COUNTIF($W$48:$W$48,$B40)+COUNTIF($W$48:$W$48,$B40&amp;" ~*")=0),($R40+COUNTIF($H$158:$H158,$B40)+COUNTIF($H$158:$H158,$B40&amp;" ~*"))*1000+IF(BH159&gt;100,500,0)+21,"")</f>
        <v/>
      </c>
      <c r="CH159">
        <f>IF(AND(BI159&lt;&gt;"",COUNTIF($W$48:$W$48,$B41)+COUNTIF($W$48:$W$48,$B41&amp;" ~*")=0),($R41+COUNTIF($H$158:$H158,$B41)+COUNTIF($H$158:$H158,$B41&amp;" ~*"))*1000+IF(BI159&gt;100,500,0)+22,"")</f>
        <v/>
      </c>
      <c r="CI159">
        <f>IF(AND(BJ159&lt;&gt;"",COUNTIF($W$48:$W$48,$B42)+COUNTIF($W$48:$W$48,$B42&amp;" ~*")=0),($R42+COUNTIF($H$158:$H158,$B42)+COUNTIF($H$158:$H158,$B42&amp;" ~*"))*1000+IF(BJ159&gt;100,500,0)+23,"")</f>
        <v/>
      </c>
      <c r="CJ159">
        <f>IF(AND(BK159&lt;&gt;"",COUNTIF($W$48:$W$48,$B43)+COUNTIF($W$48:$W$48,$B43&amp;" ~*")=0),($R43+COUNTIF($H$158:$H158,$B43)+COUNTIF($H$158:$H158,$B43&amp;" ~*"))*1000+IF(BK159&gt;100,500,0)+24,"")</f>
        <v/>
      </c>
    </row>
    <row r="160">
      <c r="A160" t="n">
        <v>6</v>
      </c>
      <c r="B160" t="n">
        <v>3</v>
      </c>
      <c r="C160">
        <f>$B$49</f>
        <v/>
      </c>
      <c r="D160" t="inlineStr">
        <is>
          <t>Sat</t>
        </is>
      </c>
      <c r="E160">
        <f>IF(C160="","",N($AC$49))</f>
        <v/>
      </c>
      <c r="F160">
        <f>IF(C160="","",COUNTIF($W$49:$W$49,"?*"))</f>
        <v/>
      </c>
      <c r="G160">
        <f>IF(C160="","",MAX(0,E160-F160))</f>
        <v/>
      </c>
      <c r="H160">
        <f>IF(N(G160)=0,"",IF(COUNT(BM160:CJ160)=0,"no-one eligible",INDEX(Engine!$B$20:$B$43,MOD(MIN(BM160:CJ160),500))&amp;IF(MOD(MIN(BM160:CJ160),1000)&gt;=500," *","")))</f>
        <v/>
      </c>
      <c r="I160">
        <f>IF(N(G160)&gt;0,COUNTIF($G$68:G160,"&gt;0"),"")</f>
        <v/>
      </c>
      <c r="J160">
        <f>IF(C160="","",IF($W$49="",0,IF(IFERROR(INDEX(Setup!$O$6:$AL$23,3,MATCH(SUBSTITUTE($W$49," *",""),Setup!$B$6:$B$29,0)),"")="",1,0)))</f>
        <v/>
      </c>
      <c r="K160">
        <f>IF($B$12+5=TODAY(),1,0)</f>
        <v/>
      </c>
      <c r="N160">
        <f>COUNT($AN160:$BK160)</f>
        <v/>
      </c>
      <c r="O160">
        <f>IF(1&gt;$N160,"",INDEX(Engine!$B$20:$B$43,MOD(SMALL($AN160:$BK160,1),100))&amp;IF(SMALL($AN160:$BK160,1)&gt;100," *",""))</f>
        <v/>
      </c>
      <c r="P160">
        <f>IF(2&gt;$N160,"",INDEX(Engine!$B$20:$B$43,MOD(SMALL($AN160:$BK160,2),100))&amp;IF(SMALL($AN160:$BK160,2)&gt;100," *",""))</f>
        <v/>
      </c>
      <c r="Q160">
        <f>IF(3&gt;$N160,"",INDEX(Engine!$B$20:$B$43,MOD(SMALL($AN160:$BK160,3),100))&amp;IF(SMALL($AN160:$BK160,3)&gt;100," *",""))</f>
        <v/>
      </c>
      <c r="R160">
        <f>IF(4&gt;$N160,"",INDEX(Engine!$B$20:$B$43,MOD(SMALL($AN160:$BK160,4),100))&amp;IF(SMALL($AN160:$BK160,4)&gt;100," *",""))</f>
        <v/>
      </c>
      <c r="S160">
        <f>IF(5&gt;$N160,"",INDEX(Engine!$B$20:$B$43,MOD(SMALL($AN160:$BK160,5),100))&amp;IF(SMALL($AN160:$BK160,5)&gt;100," *",""))</f>
        <v/>
      </c>
      <c r="T160">
        <f>IF(6&gt;$N160,"",INDEX(Engine!$B$20:$B$43,MOD(SMALL($AN160:$BK160,6),100))&amp;IF(SMALL($AN160:$BK160,6)&gt;100," *",""))</f>
        <v/>
      </c>
      <c r="U160">
        <f>IF(7&gt;$N160,"",INDEX(Engine!$B$20:$B$43,MOD(SMALL($AN160:$BK160,7),100))&amp;IF(SMALL($AN160:$BK160,7)&gt;100," *",""))</f>
        <v/>
      </c>
      <c r="V160">
        <f>IF(8&gt;$N160,"",INDEX(Engine!$B$20:$B$43,MOD(SMALL($AN160:$BK160,8),100))&amp;IF(SMALL($AN160:$BK160,8)&gt;100," *",""))</f>
        <v/>
      </c>
      <c r="W160">
        <f>IF(9&gt;$N160,"",INDEX(Engine!$B$20:$B$43,MOD(SMALL($AN160:$BK160,9),100))&amp;IF(SMALL($AN160:$BK160,9)&gt;100," *",""))</f>
        <v/>
      </c>
      <c r="X160">
        <f>IF(10&gt;$N160,"",INDEX(Engine!$B$20:$B$43,MOD(SMALL($AN160:$BK160,10),100))&amp;IF(SMALL($AN160:$BK160,10)&gt;100," *",""))</f>
        <v/>
      </c>
      <c r="Y160">
        <f>IF(11&gt;$N160,"",INDEX(Engine!$B$20:$B$43,MOD(SMALL($AN160:$BK160,11),100))&amp;IF(SMALL($AN160:$BK160,11)&gt;100," *",""))</f>
        <v/>
      </c>
      <c r="Z160">
        <f>IF(12&gt;$N160,"",INDEX(Engine!$B$20:$B$43,MOD(SMALL($AN160:$BK160,12),100))&amp;IF(SMALL($AN160:$BK160,12)&gt;100," *",""))</f>
        <v/>
      </c>
      <c r="AA160">
        <f>IF(13&gt;$N160,"",INDEX(Engine!$B$20:$B$43,MOD(SMALL($AN160:$BK160,13),100))&amp;IF(SMALL($AN160:$BK160,13)&gt;100," *",""))</f>
        <v/>
      </c>
      <c r="AB160">
        <f>IF(14&gt;$N160,"",INDEX(Engine!$B$20:$B$43,MOD(SMALL($AN160:$BK160,14),100))&amp;IF(SMALL($AN160:$BK160,14)&gt;100," *",""))</f>
        <v/>
      </c>
      <c r="AC160">
        <f>IF(15&gt;$N160,"",INDEX(Engine!$B$20:$B$43,MOD(SMALL($AN160:$BK160,15),100))&amp;IF(SMALL($AN160:$BK160,15)&gt;100," *",""))</f>
        <v/>
      </c>
      <c r="AD160">
        <f>IF(16&gt;$N160,"",INDEX(Engine!$B$20:$B$43,MOD(SMALL($AN160:$BK160,16),100))&amp;IF(SMALL($AN160:$BK160,16)&gt;100," *",""))</f>
        <v/>
      </c>
      <c r="AE160">
        <f>IF(17&gt;$N160,"",INDEX(Engine!$B$20:$B$43,MOD(SMALL($AN160:$BK160,17),100))&amp;IF(SMALL($AN160:$BK160,17)&gt;100," *",""))</f>
        <v/>
      </c>
      <c r="AF160">
        <f>IF(18&gt;$N160,"",INDEX(Engine!$B$20:$B$43,MOD(SMALL($AN160:$BK160,18),100))&amp;IF(SMALL($AN160:$BK160,18)&gt;100," *",""))</f>
        <v/>
      </c>
      <c r="AG160">
        <f>IF(19&gt;$N160,"",INDEX(Engine!$B$20:$B$43,MOD(SMALL($AN160:$BK160,19),100))&amp;IF(SMALL($AN160:$BK160,19)&gt;100," *",""))</f>
        <v/>
      </c>
      <c r="AH160">
        <f>IF(20&gt;$N160,"",INDEX(Engine!$B$20:$B$43,MOD(SMALL($AN160:$BK160,20),100))&amp;IF(SMALL($AN160:$BK160,20)&gt;100," *",""))</f>
        <v/>
      </c>
      <c r="AI160">
        <f>IF(21&gt;$N160,"",INDEX(Engine!$B$20:$B$43,MOD(SMALL($AN160:$BK160,21),100))&amp;IF(SMALL($AN160:$BK160,21)&gt;100," *",""))</f>
        <v/>
      </c>
      <c r="AJ160">
        <f>IF(22&gt;$N160,"",INDEX(Engine!$B$20:$B$43,MOD(SMALL($AN160:$BK160,22),100))&amp;IF(SMALL($AN160:$BK160,22)&gt;100," *",""))</f>
        <v/>
      </c>
      <c r="AK160">
        <f>IF(23&gt;$N160,"",INDEX(Engine!$B$20:$B$43,MOD(SMALL($AN160:$BK160,23),100))&amp;IF(SMALL($AN160:$BK160,23)&gt;100," *",""))</f>
        <v/>
      </c>
      <c r="AL160">
        <f>IF(24&gt;$N160,"",INDEX(Engine!$B$20:$B$43,MOD(SMALL($AN160:$BK160,24),100))&amp;IF(SMALL($AN160:$BK160,24)&gt;100," *",""))</f>
        <v/>
      </c>
      <c r="AN160">
        <f>IF(AND($C20=1,INDEX(Setup!$O$6:$AL$23,3,1)&lt;&gt;"",P20=0),1+IF(INDEX(Setup!$O$6:$AL$23,3,1)="T",100,0),"")</f>
        <v/>
      </c>
      <c r="AO160">
        <f>IF(AND($C21=1,INDEX(Setup!$O$6:$AL$23,3,2)&lt;&gt;"",P21=0),2+IF(INDEX(Setup!$O$6:$AL$23,3,2)="T",100,0),"")</f>
        <v/>
      </c>
      <c r="AP160">
        <f>IF(AND($C22=1,INDEX(Setup!$O$6:$AL$23,3,3)&lt;&gt;"",P22=0),3+IF(INDEX(Setup!$O$6:$AL$23,3,3)="T",100,0),"")</f>
        <v/>
      </c>
      <c r="AQ160">
        <f>IF(AND($C23=1,INDEX(Setup!$O$6:$AL$23,3,4)&lt;&gt;"",P23=0),4+IF(INDEX(Setup!$O$6:$AL$23,3,4)="T",100,0),"")</f>
        <v/>
      </c>
      <c r="AR160">
        <f>IF(AND($C24=1,INDEX(Setup!$O$6:$AL$23,3,5)&lt;&gt;"",P24=0),5+IF(INDEX(Setup!$O$6:$AL$23,3,5)="T",100,0),"")</f>
        <v/>
      </c>
      <c r="AS160">
        <f>IF(AND($C25=1,INDEX(Setup!$O$6:$AL$23,3,6)&lt;&gt;"",P25=0),6+IF(INDEX(Setup!$O$6:$AL$23,3,6)="T",100,0),"")</f>
        <v/>
      </c>
      <c r="AT160">
        <f>IF(AND($C26=1,INDEX(Setup!$O$6:$AL$23,3,7)&lt;&gt;"",P26=0),7+IF(INDEX(Setup!$O$6:$AL$23,3,7)="T",100,0),"")</f>
        <v/>
      </c>
      <c r="AU160">
        <f>IF(AND($C27=1,INDEX(Setup!$O$6:$AL$23,3,8)&lt;&gt;"",P27=0),8+IF(INDEX(Setup!$O$6:$AL$23,3,8)="T",100,0),"")</f>
        <v/>
      </c>
      <c r="AV160">
        <f>IF(AND($C28=1,INDEX(Setup!$O$6:$AL$23,3,9)&lt;&gt;"",P28=0),9+IF(INDEX(Setup!$O$6:$AL$23,3,9)="T",100,0),"")</f>
        <v/>
      </c>
      <c r="AW160">
        <f>IF(AND($C29=1,INDEX(Setup!$O$6:$AL$23,3,10)&lt;&gt;"",P29=0),10+IF(INDEX(Setup!$O$6:$AL$23,3,10)="T",100,0),"")</f>
        <v/>
      </c>
      <c r="AX160">
        <f>IF(AND($C30=1,INDEX(Setup!$O$6:$AL$23,3,11)&lt;&gt;"",P30=0),11+IF(INDEX(Setup!$O$6:$AL$23,3,11)="T",100,0),"")</f>
        <v/>
      </c>
      <c r="AY160">
        <f>IF(AND($C31=1,INDEX(Setup!$O$6:$AL$23,3,12)&lt;&gt;"",P31=0),12+IF(INDEX(Setup!$O$6:$AL$23,3,12)="T",100,0),"")</f>
        <v/>
      </c>
      <c r="AZ160">
        <f>IF(AND($C32=1,INDEX(Setup!$O$6:$AL$23,3,13)&lt;&gt;"",P32=0),13+IF(INDEX(Setup!$O$6:$AL$23,3,13)="T",100,0),"")</f>
        <v/>
      </c>
      <c r="BA160">
        <f>IF(AND($C33=1,INDEX(Setup!$O$6:$AL$23,3,14)&lt;&gt;"",P33=0),14+IF(INDEX(Setup!$O$6:$AL$23,3,14)="T",100,0),"")</f>
        <v/>
      </c>
      <c r="BB160">
        <f>IF(AND($C34=1,INDEX(Setup!$O$6:$AL$23,3,15)&lt;&gt;"",P34=0),15+IF(INDEX(Setup!$O$6:$AL$23,3,15)="T",100,0),"")</f>
        <v/>
      </c>
      <c r="BC160">
        <f>IF(AND($C35=1,INDEX(Setup!$O$6:$AL$23,3,16)&lt;&gt;"",P35=0),16+IF(INDEX(Setup!$O$6:$AL$23,3,16)="T",100,0),"")</f>
        <v/>
      </c>
      <c r="BD160">
        <f>IF(AND($C36=1,INDEX(Setup!$O$6:$AL$23,3,17)&lt;&gt;"",P36=0),17+IF(INDEX(Setup!$O$6:$AL$23,3,17)="T",100,0),"")</f>
        <v/>
      </c>
      <c r="BE160">
        <f>IF(AND($C37=1,INDEX(Setup!$O$6:$AL$23,3,18)&lt;&gt;"",P37=0),18+IF(INDEX(Setup!$O$6:$AL$23,3,18)="T",100,0),"")</f>
        <v/>
      </c>
      <c r="BF160">
        <f>IF(AND($C38=1,INDEX(Setup!$O$6:$AL$23,3,19)&lt;&gt;"",P38=0),19+IF(INDEX(Setup!$O$6:$AL$23,3,19)="T",100,0),"")</f>
        <v/>
      </c>
      <c r="BG160">
        <f>IF(AND($C39=1,INDEX(Setup!$O$6:$AL$23,3,20)&lt;&gt;"",P39=0),20+IF(INDEX(Setup!$O$6:$AL$23,3,20)="T",100,0),"")</f>
        <v/>
      </c>
      <c r="BH160">
        <f>IF(AND($C40=1,INDEX(Setup!$O$6:$AL$23,3,21)&lt;&gt;"",P40=0),21+IF(INDEX(Setup!$O$6:$AL$23,3,21)="T",100,0),"")</f>
        <v/>
      </c>
      <c r="BI160">
        <f>IF(AND($C41=1,INDEX(Setup!$O$6:$AL$23,3,22)&lt;&gt;"",P41=0),22+IF(INDEX(Setup!$O$6:$AL$23,3,22)="T",100,0),"")</f>
        <v/>
      </c>
      <c r="BJ160">
        <f>IF(AND($C42=1,INDEX(Setup!$O$6:$AL$23,3,23)&lt;&gt;"",P42=0),23+IF(INDEX(Setup!$O$6:$AL$23,3,23)="T",100,0),"")</f>
        <v/>
      </c>
      <c r="BK160">
        <f>IF(AND($C43=1,INDEX(Setup!$O$6:$AL$23,3,24)&lt;&gt;"",P43=0),24+IF(INDEX(Setup!$O$6:$AL$23,3,24)="T",100,0),"")</f>
        <v/>
      </c>
      <c r="BM160">
        <f>IF(AND(AN160&lt;&gt;"",COUNTIF($W$49:$W$49,$B20)+COUNTIF($W$49:$W$49,$B20&amp;" ~*")=0),($R20+COUNTIF($H$158:$H159,$B20)+COUNTIF($H$158:$H159,$B20&amp;" ~*"))*1000+IF(AN160&gt;100,500,0)+1,"")</f>
        <v/>
      </c>
      <c r="BN160">
        <f>IF(AND(AO160&lt;&gt;"",COUNTIF($W$49:$W$49,$B21)+COUNTIF($W$49:$W$49,$B21&amp;" ~*")=0),($R21+COUNTIF($H$158:$H159,$B21)+COUNTIF($H$158:$H159,$B21&amp;" ~*"))*1000+IF(AO160&gt;100,500,0)+2,"")</f>
        <v/>
      </c>
      <c r="BO160">
        <f>IF(AND(AP160&lt;&gt;"",COUNTIF($W$49:$W$49,$B22)+COUNTIF($W$49:$W$49,$B22&amp;" ~*")=0),($R22+COUNTIF($H$158:$H159,$B22)+COUNTIF($H$158:$H159,$B22&amp;" ~*"))*1000+IF(AP160&gt;100,500,0)+3,"")</f>
        <v/>
      </c>
      <c r="BP160">
        <f>IF(AND(AQ160&lt;&gt;"",COUNTIF($W$49:$W$49,$B23)+COUNTIF($W$49:$W$49,$B23&amp;" ~*")=0),($R23+COUNTIF($H$158:$H159,$B23)+COUNTIF($H$158:$H159,$B23&amp;" ~*"))*1000+IF(AQ160&gt;100,500,0)+4,"")</f>
        <v/>
      </c>
      <c r="BQ160">
        <f>IF(AND(AR160&lt;&gt;"",COUNTIF($W$49:$W$49,$B24)+COUNTIF($W$49:$W$49,$B24&amp;" ~*")=0),($R24+COUNTIF($H$158:$H159,$B24)+COUNTIF($H$158:$H159,$B24&amp;" ~*"))*1000+IF(AR160&gt;100,500,0)+5,"")</f>
        <v/>
      </c>
      <c r="BR160">
        <f>IF(AND(AS160&lt;&gt;"",COUNTIF($W$49:$W$49,$B25)+COUNTIF($W$49:$W$49,$B25&amp;" ~*")=0),($R25+COUNTIF($H$158:$H159,$B25)+COUNTIF($H$158:$H159,$B25&amp;" ~*"))*1000+IF(AS160&gt;100,500,0)+6,"")</f>
        <v/>
      </c>
      <c r="BS160">
        <f>IF(AND(AT160&lt;&gt;"",COUNTIF($W$49:$W$49,$B26)+COUNTIF($W$49:$W$49,$B26&amp;" ~*")=0),($R26+COUNTIF($H$158:$H159,$B26)+COUNTIF($H$158:$H159,$B26&amp;" ~*"))*1000+IF(AT160&gt;100,500,0)+7,"")</f>
        <v/>
      </c>
      <c r="BT160">
        <f>IF(AND(AU160&lt;&gt;"",COUNTIF($W$49:$W$49,$B27)+COUNTIF($W$49:$W$49,$B27&amp;" ~*")=0),($R27+COUNTIF($H$158:$H159,$B27)+COUNTIF($H$158:$H159,$B27&amp;" ~*"))*1000+IF(AU160&gt;100,500,0)+8,"")</f>
        <v/>
      </c>
      <c r="BU160">
        <f>IF(AND(AV160&lt;&gt;"",COUNTIF($W$49:$W$49,$B28)+COUNTIF($W$49:$W$49,$B28&amp;" ~*")=0),($R28+COUNTIF($H$158:$H159,$B28)+COUNTIF($H$158:$H159,$B28&amp;" ~*"))*1000+IF(AV160&gt;100,500,0)+9,"")</f>
        <v/>
      </c>
      <c r="BV160">
        <f>IF(AND(AW160&lt;&gt;"",COUNTIF($W$49:$W$49,$B29)+COUNTIF($W$49:$W$49,$B29&amp;" ~*")=0),($R29+COUNTIF($H$158:$H159,$B29)+COUNTIF($H$158:$H159,$B29&amp;" ~*"))*1000+IF(AW160&gt;100,500,0)+10,"")</f>
        <v/>
      </c>
      <c r="BW160">
        <f>IF(AND(AX160&lt;&gt;"",COUNTIF($W$49:$W$49,$B30)+COUNTIF($W$49:$W$49,$B30&amp;" ~*")=0),($R30+COUNTIF($H$158:$H159,$B30)+COUNTIF($H$158:$H159,$B30&amp;" ~*"))*1000+IF(AX160&gt;100,500,0)+11,"")</f>
        <v/>
      </c>
      <c r="BX160">
        <f>IF(AND(AY160&lt;&gt;"",COUNTIF($W$49:$W$49,$B31)+COUNTIF($W$49:$W$49,$B31&amp;" ~*")=0),($R31+COUNTIF($H$158:$H159,$B31)+COUNTIF($H$158:$H159,$B31&amp;" ~*"))*1000+IF(AY160&gt;100,500,0)+12,"")</f>
        <v/>
      </c>
      <c r="BY160">
        <f>IF(AND(AZ160&lt;&gt;"",COUNTIF($W$49:$W$49,$B32)+COUNTIF($W$49:$W$49,$B32&amp;" ~*")=0),($R32+COUNTIF($H$158:$H159,$B32)+COUNTIF($H$158:$H159,$B32&amp;" ~*"))*1000+IF(AZ160&gt;100,500,0)+13,"")</f>
        <v/>
      </c>
      <c r="BZ160">
        <f>IF(AND(BA160&lt;&gt;"",COUNTIF($W$49:$W$49,$B33)+COUNTIF($W$49:$W$49,$B33&amp;" ~*")=0),($R33+COUNTIF($H$158:$H159,$B33)+COUNTIF($H$158:$H159,$B33&amp;" ~*"))*1000+IF(BA160&gt;100,500,0)+14,"")</f>
        <v/>
      </c>
      <c r="CA160">
        <f>IF(AND(BB160&lt;&gt;"",COUNTIF($W$49:$W$49,$B34)+COUNTIF($W$49:$W$49,$B34&amp;" ~*")=0),($R34+COUNTIF($H$158:$H159,$B34)+COUNTIF($H$158:$H159,$B34&amp;" ~*"))*1000+IF(BB160&gt;100,500,0)+15,"")</f>
        <v/>
      </c>
      <c r="CB160">
        <f>IF(AND(BC160&lt;&gt;"",COUNTIF($W$49:$W$49,$B35)+COUNTIF($W$49:$W$49,$B35&amp;" ~*")=0),($R35+COUNTIF($H$158:$H159,$B35)+COUNTIF($H$158:$H159,$B35&amp;" ~*"))*1000+IF(BC160&gt;100,500,0)+16,"")</f>
        <v/>
      </c>
      <c r="CC160">
        <f>IF(AND(BD160&lt;&gt;"",COUNTIF($W$49:$W$49,$B36)+COUNTIF($W$49:$W$49,$B36&amp;" ~*")=0),($R36+COUNTIF($H$158:$H159,$B36)+COUNTIF($H$158:$H159,$B36&amp;" ~*"))*1000+IF(BD160&gt;100,500,0)+17,"")</f>
        <v/>
      </c>
      <c r="CD160">
        <f>IF(AND(BE160&lt;&gt;"",COUNTIF($W$49:$W$49,$B37)+COUNTIF($W$49:$W$49,$B37&amp;" ~*")=0),($R37+COUNTIF($H$158:$H159,$B37)+COUNTIF($H$158:$H159,$B37&amp;" ~*"))*1000+IF(BE160&gt;100,500,0)+18,"")</f>
        <v/>
      </c>
      <c r="CE160">
        <f>IF(AND(BF160&lt;&gt;"",COUNTIF($W$49:$W$49,$B38)+COUNTIF($W$49:$W$49,$B38&amp;" ~*")=0),($R38+COUNTIF($H$158:$H159,$B38)+COUNTIF($H$158:$H159,$B38&amp;" ~*"))*1000+IF(BF160&gt;100,500,0)+19,"")</f>
        <v/>
      </c>
      <c r="CF160">
        <f>IF(AND(BG160&lt;&gt;"",COUNTIF($W$49:$W$49,$B39)+COUNTIF($W$49:$W$49,$B39&amp;" ~*")=0),($R39+COUNTIF($H$158:$H159,$B39)+COUNTIF($H$158:$H159,$B39&amp;" ~*"))*1000+IF(BG160&gt;100,500,0)+20,"")</f>
        <v/>
      </c>
      <c r="CG160">
        <f>IF(AND(BH160&lt;&gt;"",COUNTIF($W$49:$W$49,$B40)+COUNTIF($W$49:$W$49,$B40&amp;" ~*")=0),($R40+COUNTIF($H$158:$H159,$B40)+COUNTIF($H$158:$H159,$B40&amp;" ~*"))*1000+IF(BH160&gt;100,500,0)+21,"")</f>
        <v/>
      </c>
      <c r="CH160">
        <f>IF(AND(BI160&lt;&gt;"",COUNTIF($W$49:$W$49,$B41)+COUNTIF($W$49:$W$49,$B41&amp;" ~*")=0),($R41+COUNTIF($H$158:$H159,$B41)+COUNTIF($H$158:$H159,$B41&amp;" ~*"))*1000+IF(BI160&gt;100,500,0)+22,"")</f>
        <v/>
      </c>
      <c r="CI160">
        <f>IF(AND(BJ160&lt;&gt;"",COUNTIF($W$49:$W$49,$B42)+COUNTIF($W$49:$W$49,$B42&amp;" ~*")=0),($R42+COUNTIF($H$158:$H159,$B42)+COUNTIF($H$158:$H159,$B42&amp;" ~*"))*1000+IF(BJ160&gt;100,500,0)+23,"")</f>
        <v/>
      </c>
      <c r="CJ160">
        <f>IF(AND(BK160&lt;&gt;"",COUNTIF($W$49:$W$49,$B43)+COUNTIF($W$49:$W$49,$B43&amp;" ~*")=0),($R43+COUNTIF($H$158:$H159,$B43)+COUNTIF($H$158:$H159,$B43&amp;" ~*"))*1000+IF(BK160&gt;100,500,0)+24,"")</f>
        <v/>
      </c>
    </row>
    <row r="161">
      <c r="A161" t="n">
        <v>6</v>
      </c>
      <c r="B161" t="n">
        <v>4</v>
      </c>
      <c r="C161">
        <f>$B$50</f>
        <v/>
      </c>
      <c r="D161" t="inlineStr">
        <is>
          <t>Sat</t>
        </is>
      </c>
      <c r="E161">
        <f>IF(C161="","",N($AC$50))</f>
        <v/>
      </c>
      <c r="F161">
        <f>IF(C161="","",COUNTIF($W$50:$W$50,"?*"))</f>
        <v/>
      </c>
      <c r="G161">
        <f>IF(C161="","",MAX(0,E161-F161))</f>
        <v/>
      </c>
      <c r="H161">
        <f>IF(N(G161)=0,"",IF(COUNT(BM161:CJ161)=0,"no-one eligible",INDEX(Engine!$B$20:$B$43,MOD(MIN(BM161:CJ161),500))&amp;IF(MOD(MIN(BM161:CJ161),1000)&gt;=500," *","")))</f>
        <v/>
      </c>
      <c r="I161">
        <f>IF(N(G161)&gt;0,COUNTIF($G$68:G161,"&gt;0"),"")</f>
        <v/>
      </c>
      <c r="J161">
        <f>IF(C161="","",IF($W$50="",0,IF(IFERROR(INDEX(Setup!$O$6:$AL$23,4,MATCH(SUBSTITUTE($W$50," *",""),Setup!$B$6:$B$29,0)),"")="",1,0)))</f>
        <v/>
      </c>
      <c r="K161">
        <f>IF($B$12+5=TODAY(),1,0)</f>
        <v/>
      </c>
      <c r="N161">
        <f>COUNT($AN161:$BK161)</f>
        <v/>
      </c>
      <c r="O161">
        <f>IF(1&gt;$N161,"",INDEX(Engine!$B$20:$B$43,MOD(SMALL($AN161:$BK161,1),100))&amp;IF(SMALL($AN161:$BK161,1)&gt;100," *",""))</f>
        <v/>
      </c>
      <c r="P161">
        <f>IF(2&gt;$N161,"",INDEX(Engine!$B$20:$B$43,MOD(SMALL($AN161:$BK161,2),100))&amp;IF(SMALL($AN161:$BK161,2)&gt;100," *",""))</f>
        <v/>
      </c>
      <c r="Q161">
        <f>IF(3&gt;$N161,"",INDEX(Engine!$B$20:$B$43,MOD(SMALL($AN161:$BK161,3),100))&amp;IF(SMALL($AN161:$BK161,3)&gt;100," *",""))</f>
        <v/>
      </c>
      <c r="R161">
        <f>IF(4&gt;$N161,"",INDEX(Engine!$B$20:$B$43,MOD(SMALL($AN161:$BK161,4),100))&amp;IF(SMALL($AN161:$BK161,4)&gt;100," *",""))</f>
        <v/>
      </c>
      <c r="S161">
        <f>IF(5&gt;$N161,"",INDEX(Engine!$B$20:$B$43,MOD(SMALL($AN161:$BK161,5),100))&amp;IF(SMALL($AN161:$BK161,5)&gt;100," *",""))</f>
        <v/>
      </c>
      <c r="T161">
        <f>IF(6&gt;$N161,"",INDEX(Engine!$B$20:$B$43,MOD(SMALL($AN161:$BK161,6),100))&amp;IF(SMALL($AN161:$BK161,6)&gt;100," *",""))</f>
        <v/>
      </c>
      <c r="U161">
        <f>IF(7&gt;$N161,"",INDEX(Engine!$B$20:$B$43,MOD(SMALL($AN161:$BK161,7),100))&amp;IF(SMALL($AN161:$BK161,7)&gt;100," *",""))</f>
        <v/>
      </c>
      <c r="V161">
        <f>IF(8&gt;$N161,"",INDEX(Engine!$B$20:$B$43,MOD(SMALL($AN161:$BK161,8),100))&amp;IF(SMALL($AN161:$BK161,8)&gt;100," *",""))</f>
        <v/>
      </c>
      <c r="W161">
        <f>IF(9&gt;$N161,"",INDEX(Engine!$B$20:$B$43,MOD(SMALL($AN161:$BK161,9),100))&amp;IF(SMALL($AN161:$BK161,9)&gt;100," *",""))</f>
        <v/>
      </c>
      <c r="X161">
        <f>IF(10&gt;$N161,"",INDEX(Engine!$B$20:$B$43,MOD(SMALL($AN161:$BK161,10),100))&amp;IF(SMALL($AN161:$BK161,10)&gt;100," *",""))</f>
        <v/>
      </c>
      <c r="Y161">
        <f>IF(11&gt;$N161,"",INDEX(Engine!$B$20:$B$43,MOD(SMALL($AN161:$BK161,11),100))&amp;IF(SMALL($AN161:$BK161,11)&gt;100," *",""))</f>
        <v/>
      </c>
      <c r="Z161">
        <f>IF(12&gt;$N161,"",INDEX(Engine!$B$20:$B$43,MOD(SMALL($AN161:$BK161,12),100))&amp;IF(SMALL($AN161:$BK161,12)&gt;100," *",""))</f>
        <v/>
      </c>
      <c r="AA161">
        <f>IF(13&gt;$N161,"",INDEX(Engine!$B$20:$B$43,MOD(SMALL($AN161:$BK161,13),100))&amp;IF(SMALL($AN161:$BK161,13)&gt;100," *",""))</f>
        <v/>
      </c>
      <c r="AB161">
        <f>IF(14&gt;$N161,"",INDEX(Engine!$B$20:$B$43,MOD(SMALL($AN161:$BK161,14),100))&amp;IF(SMALL($AN161:$BK161,14)&gt;100," *",""))</f>
        <v/>
      </c>
      <c r="AC161">
        <f>IF(15&gt;$N161,"",INDEX(Engine!$B$20:$B$43,MOD(SMALL($AN161:$BK161,15),100))&amp;IF(SMALL($AN161:$BK161,15)&gt;100," *",""))</f>
        <v/>
      </c>
      <c r="AD161">
        <f>IF(16&gt;$N161,"",INDEX(Engine!$B$20:$B$43,MOD(SMALL($AN161:$BK161,16),100))&amp;IF(SMALL($AN161:$BK161,16)&gt;100," *",""))</f>
        <v/>
      </c>
      <c r="AE161">
        <f>IF(17&gt;$N161,"",INDEX(Engine!$B$20:$B$43,MOD(SMALL($AN161:$BK161,17),100))&amp;IF(SMALL($AN161:$BK161,17)&gt;100," *",""))</f>
        <v/>
      </c>
      <c r="AF161">
        <f>IF(18&gt;$N161,"",INDEX(Engine!$B$20:$B$43,MOD(SMALL($AN161:$BK161,18),100))&amp;IF(SMALL($AN161:$BK161,18)&gt;100," *",""))</f>
        <v/>
      </c>
      <c r="AG161">
        <f>IF(19&gt;$N161,"",INDEX(Engine!$B$20:$B$43,MOD(SMALL($AN161:$BK161,19),100))&amp;IF(SMALL($AN161:$BK161,19)&gt;100," *",""))</f>
        <v/>
      </c>
      <c r="AH161">
        <f>IF(20&gt;$N161,"",INDEX(Engine!$B$20:$B$43,MOD(SMALL($AN161:$BK161,20),100))&amp;IF(SMALL($AN161:$BK161,20)&gt;100," *",""))</f>
        <v/>
      </c>
      <c r="AI161">
        <f>IF(21&gt;$N161,"",INDEX(Engine!$B$20:$B$43,MOD(SMALL($AN161:$BK161,21),100))&amp;IF(SMALL($AN161:$BK161,21)&gt;100," *",""))</f>
        <v/>
      </c>
      <c r="AJ161">
        <f>IF(22&gt;$N161,"",INDEX(Engine!$B$20:$B$43,MOD(SMALL($AN161:$BK161,22),100))&amp;IF(SMALL($AN161:$BK161,22)&gt;100," *",""))</f>
        <v/>
      </c>
      <c r="AK161">
        <f>IF(23&gt;$N161,"",INDEX(Engine!$B$20:$B$43,MOD(SMALL($AN161:$BK161,23),100))&amp;IF(SMALL($AN161:$BK161,23)&gt;100," *",""))</f>
        <v/>
      </c>
      <c r="AL161">
        <f>IF(24&gt;$N161,"",INDEX(Engine!$B$20:$B$43,MOD(SMALL($AN161:$BK161,24),100))&amp;IF(SMALL($AN161:$BK161,24)&gt;100," *",""))</f>
        <v/>
      </c>
      <c r="AN161">
        <f>IF(AND($C20=1,INDEX(Setup!$O$6:$AL$23,4,1)&lt;&gt;"",P20=0),1+IF(INDEX(Setup!$O$6:$AL$23,4,1)="T",100,0),"")</f>
        <v/>
      </c>
      <c r="AO161">
        <f>IF(AND($C21=1,INDEX(Setup!$O$6:$AL$23,4,2)&lt;&gt;"",P21=0),2+IF(INDEX(Setup!$O$6:$AL$23,4,2)="T",100,0),"")</f>
        <v/>
      </c>
      <c r="AP161">
        <f>IF(AND($C22=1,INDEX(Setup!$O$6:$AL$23,4,3)&lt;&gt;"",P22=0),3+IF(INDEX(Setup!$O$6:$AL$23,4,3)="T",100,0),"")</f>
        <v/>
      </c>
      <c r="AQ161">
        <f>IF(AND($C23=1,INDEX(Setup!$O$6:$AL$23,4,4)&lt;&gt;"",P23=0),4+IF(INDEX(Setup!$O$6:$AL$23,4,4)="T",100,0),"")</f>
        <v/>
      </c>
      <c r="AR161">
        <f>IF(AND($C24=1,INDEX(Setup!$O$6:$AL$23,4,5)&lt;&gt;"",P24=0),5+IF(INDEX(Setup!$O$6:$AL$23,4,5)="T",100,0),"")</f>
        <v/>
      </c>
      <c r="AS161">
        <f>IF(AND($C25=1,INDEX(Setup!$O$6:$AL$23,4,6)&lt;&gt;"",P25=0),6+IF(INDEX(Setup!$O$6:$AL$23,4,6)="T",100,0),"")</f>
        <v/>
      </c>
      <c r="AT161">
        <f>IF(AND($C26=1,INDEX(Setup!$O$6:$AL$23,4,7)&lt;&gt;"",P26=0),7+IF(INDEX(Setup!$O$6:$AL$23,4,7)="T",100,0),"")</f>
        <v/>
      </c>
      <c r="AU161">
        <f>IF(AND($C27=1,INDEX(Setup!$O$6:$AL$23,4,8)&lt;&gt;"",P27=0),8+IF(INDEX(Setup!$O$6:$AL$23,4,8)="T",100,0),"")</f>
        <v/>
      </c>
      <c r="AV161">
        <f>IF(AND($C28=1,INDEX(Setup!$O$6:$AL$23,4,9)&lt;&gt;"",P28=0),9+IF(INDEX(Setup!$O$6:$AL$23,4,9)="T",100,0),"")</f>
        <v/>
      </c>
      <c r="AW161">
        <f>IF(AND($C29=1,INDEX(Setup!$O$6:$AL$23,4,10)&lt;&gt;"",P29=0),10+IF(INDEX(Setup!$O$6:$AL$23,4,10)="T",100,0),"")</f>
        <v/>
      </c>
      <c r="AX161">
        <f>IF(AND($C30=1,INDEX(Setup!$O$6:$AL$23,4,11)&lt;&gt;"",P30=0),11+IF(INDEX(Setup!$O$6:$AL$23,4,11)="T",100,0),"")</f>
        <v/>
      </c>
      <c r="AY161">
        <f>IF(AND($C31=1,INDEX(Setup!$O$6:$AL$23,4,12)&lt;&gt;"",P31=0),12+IF(INDEX(Setup!$O$6:$AL$23,4,12)="T",100,0),"")</f>
        <v/>
      </c>
      <c r="AZ161">
        <f>IF(AND($C32=1,INDEX(Setup!$O$6:$AL$23,4,13)&lt;&gt;"",P32=0),13+IF(INDEX(Setup!$O$6:$AL$23,4,13)="T",100,0),"")</f>
        <v/>
      </c>
      <c r="BA161">
        <f>IF(AND($C33=1,INDEX(Setup!$O$6:$AL$23,4,14)&lt;&gt;"",P33=0),14+IF(INDEX(Setup!$O$6:$AL$23,4,14)="T",100,0),"")</f>
        <v/>
      </c>
      <c r="BB161">
        <f>IF(AND($C34=1,INDEX(Setup!$O$6:$AL$23,4,15)&lt;&gt;"",P34=0),15+IF(INDEX(Setup!$O$6:$AL$23,4,15)="T",100,0),"")</f>
        <v/>
      </c>
      <c r="BC161">
        <f>IF(AND($C35=1,INDEX(Setup!$O$6:$AL$23,4,16)&lt;&gt;"",P35=0),16+IF(INDEX(Setup!$O$6:$AL$23,4,16)="T",100,0),"")</f>
        <v/>
      </c>
      <c r="BD161">
        <f>IF(AND($C36=1,INDEX(Setup!$O$6:$AL$23,4,17)&lt;&gt;"",P36=0),17+IF(INDEX(Setup!$O$6:$AL$23,4,17)="T",100,0),"")</f>
        <v/>
      </c>
      <c r="BE161">
        <f>IF(AND($C37=1,INDEX(Setup!$O$6:$AL$23,4,18)&lt;&gt;"",P37=0),18+IF(INDEX(Setup!$O$6:$AL$23,4,18)="T",100,0),"")</f>
        <v/>
      </c>
      <c r="BF161">
        <f>IF(AND($C38=1,INDEX(Setup!$O$6:$AL$23,4,19)&lt;&gt;"",P38=0),19+IF(INDEX(Setup!$O$6:$AL$23,4,19)="T",100,0),"")</f>
        <v/>
      </c>
      <c r="BG161">
        <f>IF(AND($C39=1,INDEX(Setup!$O$6:$AL$23,4,20)&lt;&gt;"",P39=0),20+IF(INDEX(Setup!$O$6:$AL$23,4,20)="T",100,0),"")</f>
        <v/>
      </c>
      <c r="BH161">
        <f>IF(AND($C40=1,INDEX(Setup!$O$6:$AL$23,4,21)&lt;&gt;"",P40=0),21+IF(INDEX(Setup!$O$6:$AL$23,4,21)="T",100,0),"")</f>
        <v/>
      </c>
      <c r="BI161">
        <f>IF(AND($C41=1,INDEX(Setup!$O$6:$AL$23,4,22)&lt;&gt;"",P41=0),22+IF(INDEX(Setup!$O$6:$AL$23,4,22)="T",100,0),"")</f>
        <v/>
      </c>
      <c r="BJ161">
        <f>IF(AND($C42=1,INDEX(Setup!$O$6:$AL$23,4,23)&lt;&gt;"",P42=0),23+IF(INDEX(Setup!$O$6:$AL$23,4,23)="T",100,0),"")</f>
        <v/>
      </c>
      <c r="BK161">
        <f>IF(AND($C43=1,INDEX(Setup!$O$6:$AL$23,4,24)&lt;&gt;"",P43=0),24+IF(INDEX(Setup!$O$6:$AL$23,4,24)="T",100,0),"")</f>
        <v/>
      </c>
      <c r="BM161">
        <f>IF(AND(AN161&lt;&gt;"",COUNTIF($W$50:$W$50,$B20)+COUNTIF($W$50:$W$50,$B20&amp;" ~*")=0),($R20+COUNTIF($H$158:$H160,$B20)+COUNTIF($H$158:$H160,$B20&amp;" ~*"))*1000+IF(AN161&gt;100,500,0)+1,"")</f>
        <v/>
      </c>
      <c r="BN161">
        <f>IF(AND(AO161&lt;&gt;"",COUNTIF($W$50:$W$50,$B21)+COUNTIF($W$50:$W$50,$B21&amp;" ~*")=0),($R21+COUNTIF($H$158:$H160,$B21)+COUNTIF($H$158:$H160,$B21&amp;" ~*"))*1000+IF(AO161&gt;100,500,0)+2,"")</f>
        <v/>
      </c>
      <c r="BO161">
        <f>IF(AND(AP161&lt;&gt;"",COUNTIF($W$50:$W$50,$B22)+COUNTIF($W$50:$W$50,$B22&amp;" ~*")=0),($R22+COUNTIF($H$158:$H160,$B22)+COUNTIF($H$158:$H160,$B22&amp;" ~*"))*1000+IF(AP161&gt;100,500,0)+3,"")</f>
        <v/>
      </c>
      <c r="BP161">
        <f>IF(AND(AQ161&lt;&gt;"",COUNTIF($W$50:$W$50,$B23)+COUNTIF($W$50:$W$50,$B23&amp;" ~*")=0),($R23+COUNTIF($H$158:$H160,$B23)+COUNTIF($H$158:$H160,$B23&amp;" ~*"))*1000+IF(AQ161&gt;100,500,0)+4,"")</f>
        <v/>
      </c>
      <c r="BQ161">
        <f>IF(AND(AR161&lt;&gt;"",COUNTIF($W$50:$W$50,$B24)+COUNTIF($W$50:$W$50,$B24&amp;" ~*")=0),($R24+COUNTIF($H$158:$H160,$B24)+COUNTIF($H$158:$H160,$B24&amp;" ~*"))*1000+IF(AR161&gt;100,500,0)+5,"")</f>
        <v/>
      </c>
      <c r="BR161">
        <f>IF(AND(AS161&lt;&gt;"",COUNTIF($W$50:$W$50,$B25)+COUNTIF($W$50:$W$50,$B25&amp;" ~*")=0),($R25+COUNTIF($H$158:$H160,$B25)+COUNTIF($H$158:$H160,$B25&amp;" ~*"))*1000+IF(AS161&gt;100,500,0)+6,"")</f>
        <v/>
      </c>
      <c r="BS161">
        <f>IF(AND(AT161&lt;&gt;"",COUNTIF($W$50:$W$50,$B26)+COUNTIF($W$50:$W$50,$B26&amp;" ~*")=0),($R26+COUNTIF($H$158:$H160,$B26)+COUNTIF($H$158:$H160,$B26&amp;" ~*"))*1000+IF(AT161&gt;100,500,0)+7,"")</f>
        <v/>
      </c>
      <c r="BT161">
        <f>IF(AND(AU161&lt;&gt;"",COUNTIF($W$50:$W$50,$B27)+COUNTIF($W$50:$W$50,$B27&amp;" ~*")=0),($R27+COUNTIF($H$158:$H160,$B27)+COUNTIF($H$158:$H160,$B27&amp;" ~*"))*1000+IF(AU161&gt;100,500,0)+8,"")</f>
        <v/>
      </c>
      <c r="BU161">
        <f>IF(AND(AV161&lt;&gt;"",COUNTIF($W$50:$W$50,$B28)+COUNTIF($W$50:$W$50,$B28&amp;" ~*")=0),($R28+COUNTIF($H$158:$H160,$B28)+COUNTIF($H$158:$H160,$B28&amp;" ~*"))*1000+IF(AV161&gt;100,500,0)+9,"")</f>
        <v/>
      </c>
      <c r="BV161">
        <f>IF(AND(AW161&lt;&gt;"",COUNTIF($W$50:$W$50,$B29)+COUNTIF($W$50:$W$50,$B29&amp;" ~*")=0),($R29+COUNTIF($H$158:$H160,$B29)+COUNTIF($H$158:$H160,$B29&amp;" ~*"))*1000+IF(AW161&gt;100,500,0)+10,"")</f>
        <v/>
      </c>
      <c r="BW161">
        <f>IF(AND(AX161&lt;&gt;"",COUNTIF($W$50:$W$50,$B30)+COUNTIF($W$50:$W$50,$B30&amp;" ~*")=0),($R30+COUNTIF($H$158:$H160,$B30)+COUNTIF($H$158:$H160,$B30&amp;" ~*"))*1000+IF(AX161&gt;100,500,0)+11,"")</f>
        <v/>
      </c>
      <c r="BX161">
        <f>IF(AND(AY161&lt;&gt;"",COUNTIF($W$50:$W$50,$B31)+COUNTIF($W$50:$W$50,$B31&amp;" ~*")=0),($R31+COUNTIF($H$158:$H160,$B31)+COUNTIF($H$158:$H160,$B31&amp;" ~*"))*1000+IF(AY161&gt;100,500,0)+12,"")</f>
        <v/>
      </c>
      <c r="BY161">
        <f>IF(AND(AZ161&lt;&gt;"",COUNTIF($W$50:$W$50,$B32)+COUNTIF($W$50:$W$50,$B32&amp;" ~*")=0),($R32+COUNTIF($H$158:$H160,$B32)+COUNTIF($H$158:$H160,$B32&amp;" ~*"))*1000+IF(AZ161&gt;100,500,0)+13,"")</f>
        <v/>
      </c>
      <c r="BZ161">
        <f>IF(AND(BA161&lt;&gt;"",COUNTIF($W$50:$W$50,$B33)+COUNTIF($W$50:$W$50,$B33&amp;" ~*")=0),($R33+COUNTIF($H$158:$H160,$B33)+COUNTIF($H$158:$H160,$B33&amp;" ~*"))*1000+IF(BA161&gt;100,500,0)+14,"")</f>
        <v/>
      </c>
      <c r="CA161">
        <f>IF(AND(BB161&lt;&gt;"",COUNTIF($W$50:$W$50,$B34)+COUNTIF($W$50:$W$50,$B34&amp;" ~*")=0),($R34+COUNTIF($H$158:$H160,$B34)+COUNTIF($H$158:$H160,$B34&amp;" ~*"))*1000+IF(BB161&gt;100,500,0)+15,"")</f>
        <v/>
      </c>
      <c r="CB161">
        <f>IF(AND(BC161&lt;&gt;"",COUNTIF($W$50:$W$50,$B35)+COUNTIF($W$50:$W$50,$B35&amp;" ~*")=0),($R35+COUNTIF($H$158:$H160,$B35)+COUNTIF($H$158:$H160,$B35&amp;" ~*"))*1000+IF(BC161&gt;100,500,0)+16,"")</f>
        <v/>
      </c>
      <c r="CC161">
        <f>IF(AND(BD161&lt;&gt;"",COUNTIF($W$50:$W$50,$B36)+COUNTIF($W$50:$W$50,$B36&amp;" ~*")=0),($R36+COUNTIF($H$158:$H160,$B36)+COUNTIF($H$158:$H160,$B36&amp;" ~*"))*1000+IF(BD161&gt;100,500,0)+17,"")</f>
        <v/>
      </c>
      <c r="CD161">
        <f>IF(AND(BE161&lt;&gt;"",COUNTIF($W$50:$W$50,$B37)+COUNTIF($W$50:$W$50,$B37&amp;" ~*")=0),($R37+COUNTIF($H$158:$H160,$B37)+COUNTIF($H$158:$H160,$B37&amp;" ~*"))*1000+IF(BE161&gt;100,500,0)+18,"")</f>
        <v/>
      </c>
      <c r="CE161">
        <f>IF(AND(BF161&lt;&gt;"",COUNTIF($W$50:$W$50,$B38)+COUNTIF($W$50:$W$50,$B38&amp;" ~*")=0),($R38+COUNTIF($H$158:$H160,$B38)+COUNTIF($H$158:$H160,$B38&amp;" ~*"))*1000+IF(BF161&gt;100,500,0)+19,"")</f>
        <v/>
      </c>
      <c r="CF161">
        <f>IF(AND(BG161&lt;&gt;"",COUNTIF($W$50:$W$50,$B39)+COUNTIF($W$50:$W$50,$B39&amp;" ~*")=0),($R39+COUNTIF($H$158:$H160,$B39)+COUNTIF($H$158:$H160,$B39&amp;" ~*"))*1000+IF(BG161&gt;100,500,0)+20,"")</f>
        <v/>
      </c>
      <c r="CG161">
        <f>IF(AND(BH161&lt;&gt;"",COUNTIF($W$50:$W$50,$B40)+COUNTIF($W$50:$W$50,$B40&amp;" ~*")=0),($R40+COUNTIF($H$158:$H160,$B40)+COUNTIF($H$158:$H160,$B40&amp;" ~*"))*1000+IF(BH161&gt;100,500,0)+21,"")</f>
        <v/>
      </c>
      <c r="CH161">
        <f>IF(AND(BI161&lt;&gt;"",COUNTIF($W$50:$W$50,$B41)+COUNTIF($W$50:$W$50,$B41&amp;" ~*")=0),($R41+COUNTIF($H$158:$H160,$B41)+COUNTIF($H$158:$H160,$B41&amp;" ~*"))*1000+IF(BI161&gt;100,500,0)+22,"")</f>
        <v/>
      </c>
      <c r="CI161">
        <f>IF(AND(BJ161&lt;&gt;"",COUNTIF($W$50:$W$50,$B42)+COUNTIF($W$50:$W$50,$B42&amp;" ~*")=0),($R42+COUNTIF($H$158:$H160,$B42)+COUNTIF($H$158:$H160,$B42&amp;" ~*"))*1000+IF(BJ161&gt;100,500,0)+23,"")</f>
        <v/>
      </c>
      <c r="CJ161">
        <f>IF(AND(BK161&lt;&gt;"",COUNTIF($W$50:$W$50,$B43)+COUNTIF($W$50:$W$50,$B43&amp;" ~*")=0),($R43+COUNTIF($H$158:$H160,$B43)+COUNTIF($H$158:$H160,$B43&amp;" ~*"))*1000+IF(BK161&gt;100,500,0)+24,"")</f>
        <v/>
      </c>
    </row>
    <row r="162">
      <c r="A162" t="n">
        <v>6</v>
      </c>
      <c r="B162" t="n">
        <v>5</v>
      </c>
      <c r="C162">
        <f>$B$51</f>
        <v/>
      </c>
      <c r="D162" t="inlineStr">
        <is>
          <t>Sat</t>
        </is>
      </c>
      <c r="E162">
        <f>IF(C162="","",N($AC$51))</f>
        <v/>
      </c>
      <c r="F162">
        <f>IF(C162="","",COUNTIF($W$51:$W$51,"?*"))</f>
        <v/>
      </c>
      <c r="G162">
        <f>IF(C162="","",MAX(0,E162-F162))</f>
        <v/>
      </c>
      <c r="H162">
        <f>IF(N(G162)=0,"",IF(COUNT(BM162:CJ162)=0,"no-one eligible",INDEX(Engine!$B$20:$B$43,MOD(MIN(BM162:CJ162),500))&amp;IF(MOD(MIN(BM162:CJ162),1000)&gt;=500," *","")))</f>
        <v/>
      </c>
      <c r="I162">
        <f>IF(N(G162)&gt;0,COUNTIF($G$68:G162,"&gt;0"),"")</f>
        <v/>
      </c>
      <c r="J162">
        <f>IF(C162="","",IF($W$51="",0,IF(IFERROR(INDEX(Setup!$O$6:$AL$23,5,MATCH(SUBSTITUTE($W$51," *",""),Setup!$B$6:$B$29,0)),"")="",1,0)))</f>
        <v/>
      </c>
      <c r="K162">
        <f>IF($B$12+5=TODAY(),1,0)</f>
        <v/>
      </c>
      <c r="N162">
        <f>COUNT($AN162:$BK162)</f>
        <v/>
      </c>
      <c r="O162">
        <f>IF(1&gt;$N162,"",INDEX(Engine!$B$20:$B$43,MOD(SMALL($AN162:$BK162,1),100))&amp;IF(SMALL($AN162:$BK162,1)&gt;100," *",""))</f>
        <v/>
      </c>
      <c r="P162">
        <f>IF(2&gt;$N162,"",INDEX(Engine!$B$20:$B$43,MOD(SMALL($AN162:$BK162,2),100))&amp;IF(SMALL($AN162:$BK162,2)&gt;100," *",""))</f>
        <v/>
      </c>
      <c r="Q162">
        <f>IF(3&gt;$N162,"",INDEX(Engine!$B$20:$B$43,MOD(SMALL($AN162:$BK162,3),100))&amp;IF(SMALL($AN162:$BK162,3)&gt;100," *",""))</f>
        <v/>
      </c>
      <c r="R162">
        <f>IF(4&gt;$N162,"",INDEX(Engine!$B$20:$B$43,MOD(SMALL($AN162:$BK162,4),100))&amp;IF(SMALL($AN162:$BK162,4)&gt;100," *",""))</f>
        <v/>
      </c>
      <c r="S162">
        <f>IF(5&gt;$N162,"",INDEX(Engine!$B$20:$B$43,MOD(SMALL($AN162:$BK162,5),100))&amp;IF(SMALL($AN162:$BK162,5)&gt;100," *",""))</f>
        <v/>
      </c>
      <c r="T162">
        <f>IF(6&gt;$N162,"",INDEX(Engine!$B$20:$B$43,MOD(SMALL($AN162:$BK162,6),100))&amp;IF(SMALL($AN162:$BK162,6)&gt;100," *",""))</f>
        <v/>
      </c>
      <c r="U162">
        <f>IF(7&gt;$N162,"",INDEX(Engine!$B$20:$B$43,MOD(SMALL($AN162:$BK162,7),100))&amp;IF(SMALL($AN162:$BK162,7)&gt;100," *",""))</f>
        <v/>
      </c>
      <c r="V162">
        <f>IF(8&gt;$N162,"",INDEX(Engine!$B$20:$B$43,MOD(SMALL($AN162:$BK162,8),100))&amp;IF(SMALL($AN162:$BK162,8)&gt;100," *",""))</f>
        <v/>
      </c>
      <c r="W162">
        <f>IF(9&gt;$N162,"",INDEX(Engine!$B$20:$B$43,MOD(SMALL($AN162:$BK162,9),100))&amp;IF(SMALL($AN162:$BK162,9)&gt;100," *",""))</f>
        <v/>
      </c>
      <c r="X162">
        <f>IF(10&gt;$N162,"",INDEX(Engine!$B$20:$B$43,MOD(SMALL($AN162:$BK162,10),100))&amp;IF(SMALL($AN162:$BK162,10)&gt;100," *",""))</f>
        <v/>
      </c>
      <c r="Y162">
        <f>IF(11&gt;$N162,"",INDEX(Engine!$B$20:$B$43,MOD(SMALL($AN162:$BK162,11),100))&amp;IF(SMALL($AN162:$BK162,11)&gt;100," *",""))</f>
        <v/>
      </c>
      <c r="Z162">
        <f>IF(12&gt;$N162,"",INDEX(Engine!$B$20:$B$43,MOD(SMALL($AN162:$BK162,12),100))&amp;IF(SMALL($AN162:$BK162,12)&gt;100," *",""))</f>
        <v/>
      </c>
      <c r="AA162">
        <f>IF(13&gt;$N162,"",INDEX(Engine!$B$20:$B$43,MOD(SMALL($AN162:$BK162,13),100))&amp;IF(SMALL($AN162:$BK162,13)&gt;100," *",""))</f>
        <v/>
      </c>
      <c r="AB162">
        <f>IF(14&gt;$N162,"",INDEX(Engine!$B$20:$B$43,MOD(SMALL($AN162:$BK162,14),100))&amp;IF(SMALL($AN162:$BK162,14)&gt;100," *",""))</f>
        <v/>
      </c>
      <c r="AC162">
        <f>IF(15&gt;$N162,"",INDEX(Engine!$B$20:$B$43,MOD(SMALL($AN162:$BK162,15),100))&amp;IF(SMALL($AN162:$BK162,15)&gt;100," *",""))</f>
        <v/>
      </c>
      <c r="AD162">
        <f>IF(16&gt;$N162,"",INDEX(Engine!$B$20:$B$43,MOD(SMALL($AN162:$BK162,16),100))&amp;IF(SMALL($AN162:$BK162,16)&gt;100," *",""))</f>
        <v/>
      </c>
      <c r="AE162">
        <f>IF(17&gt;$N162,"",INDEX(Engine!$B$20:$B$43,MOD(SMALL($AN162:$BK162,17),100))&amp;IF(SMALL($AN162:$BK162,17)&gt;100," *",""))</f>
        <v/>
      </c>
      <c r="AF162">
        <f>IF(18&gt;$N162,"",INDEX(Engine!$B$20:$B$43,MOD(SMALL($AN162:$BK162,18),100))&amp;IF(SMALL($AN162:$BK162,18)&gt;100," *",""))</f>
        <v/>
      </c>
      <c r="AG162">
        <f>IF(19&gt;$N162,"",INDEX(Engine!$B$20:$B$43,MOD(SMALL($AN162:$BK162,19),100))&amp;IF(SMALL($AN162:$BK162,19)&gt;100," *",""))</f>
        <v/>
      </c>
      <c r="AH162">
        <f>IF(20&gt;$N162,"",INDEX(Engine!$B$20:$B$43,MOD(SMALL($AN162:$BK162,20),100))&amp;IF(SMALL($AN162:$BK162,20)&gt;100," *",""))</f>
        <v/>
      </c>
      <c r="AI162">
        <f>IF(21&gt;$N162,"",INDEX(Engine!$B$20:$B$43,MOD(SMALL($AN162:$BK162,21),100))&amp;IF(SMALL($AN162:$BK162,21)&gt;100," *",""))</f>
        <v/>
      </c>
      <c r="AJ162">
        <f>IF(22&gt;$N162,"",INDEX(Engine!$B$20:$B$43,MOD(SMALL($AN162:$BK162,22),100))&amp;IF(SMALL($AN162:$BK162,22)&gt;100," *",""))</f>
        <v/>
      </c>
      <c r="AK162">
        <f>IF(23&gt;$N162,"",INDEX(Engine!$B$20:$B$43,MOD(SMALL($AN162:$BK162,23),100))&amp;IF(SMALL($AN162:$BK162,23)&gt;100," *",""))</f>
        <v/>
      </c>
      <c r="AL162">
        <f>IF(24&gt;$N162,"",INDEX(Engine!$B$20:$B$43,MOD(SMALL($AN162:$BK162,24),100))&amp;IF(SMALL($AN162:$BK162,24)&gt;100," *",""))</f>
        <v/>
      </c>
      <c r="AN162">
        <f>IF(AND($C20=1,INDEX(Setup!$O$6:$AL$23,5,1)&lt;&gt;"",P20=0),1+IF(INDEX(Setup!$O$6:$AL$23,5,1)="T",100,0),"")</f>
        <v/>
      </c>
      <c r="AO162">
        <f>IF(AND($C21=1,INDEX(Setup!$O$6:$AL$23,5,2)&lt;&gt;"",P21=0),2+IF(INDEX(Setup!$O$6:$AL$23,5,2)="T",100,0),"")</f>
        <v/>
      </c>
      <c r="AP162">
        <f>IF(AND($C22=1,INDEX(Setup!$O$6:$AL$23,5,3)&lt;&gt;"",P22=0),3+IF(INDEX(Setup!$O$6:$AL$23,5,3)="T",100,0),"")</f>
        <v/>
      </c>
      <c r="AQ162">
        <f>IF(AND($C23=1,INDEX(Setup!$O$6:$AL$23,5,4)&lt;&gt;"",P23=0),4+IF(INDEX(Setup!$O$6:$AL$23,5,4)="T",100,0),"")</f>
        <v/>
      </c>
      <c r="AR162">
        <f>IF(AND($C24=1,INDEX(Setup!$O$6:$AL$23,5,5)&lt;&gt;"",P24=0),5+IF(INDEX(Setup!$O$6:$AL$23,5,5)="T",100,0),"")</f>
        <v/>
      </c>
      <c r="AS162">
        <f>IF(AND($C25=1,INDEX(Setup!$O$6:$AL$23,5,6)&lt;&gt;"",P25=0),6+IF(INDEX(Setup!$O$6:$AL$23,5,6)="T",100,0),"")</f>
        <v/>
      </c>
      <c r="AT162">
        <f>IF(AND($C26=1,INDEX(Setup!$O$6:$AL$23,5,7)&lt;&gt;"",P26=0),7+IF(INDEX(Setup!$O$6:$AL$23,5,7)="T",100,0),"")</f>
        <v/>
      </c>
      <c r="AU162">
        <f>IF(AND($C27=1,INDEX(Setup!$O$6:$AL$23,5,8)&lt;&gt;"",P27=0),8+IF(INDEX(Setup!$O$6:$AL$23,5,8)="T",100,0),"")</f>
        <v/>
      </c>
      <c r="AV162">
        <f>IF(AND($C28=1,INDEX(Setup!$O$6:$AL$23,5,9)&lt;&gt;"",P28=0),9+IF(INDEX(Setup!$O$6:$AL$23,5,9)="T",100,0),"")</f>
        <v/>
      </c>
      <c r="AW162">
        <f>IF(AND($C29=1,INDEX(Setup!$O$6:$AL$23,5,10)&lt;&gt;"",P29=0),10+IF(INDEX(Setup!$O$6:$AL$23,5,10)="T",100,0),"")</f>
        <v/>
      </c>
      <c r="AX162">
        <f>IF(AND($C30=1,INDEX(Setup!$O$6:$AL$23,5,11)&lt;&gt;"",P30=0),11+IF(INDEX(Setup!$O$6:$AL$23,5,11)="T",100,0),"")</f>
        <v/>
      </c>
      <c r="AY162">
        <f>IF(AND($C31=1,INDEX(Setup!$O$6:$AL$23,5,12)&lt;&gt;"",P31=0),12+IF(INDEX(Setup!$O$6:$AL$23,5,12)="T",100,0),"")</f>
        <v/>
      </c>
      <c r="AZ162">
        <f>IF(AND($C32=1,INDEX(Setup!$O$6:$AL$23,5,13)&lt;&gt;"",P32=0),13+IF(INDEX(Setup!$O$6:$AL$23,5,13)="T",100,0),"")</f>
        <v/>
      </c>
      <c r="BA162">
        <f>IF(AND($C33=1,INDEX(Setup!$O$6:$AL$23,5,14)&lt;&gt;"",P33=0),14+IF(INDEX(Setup!$O$6:$AL$23,5,14)="T",100,0),"")</f>
        <v/>
      </c>
      <c r="BB162">
        <f>IF(AND($C34=1,INDEX(Setup!$O$6:$AL$23,5,15)&lt;&gt;"",P34=0),15+IF(INDEX(Setup!$O$6:$AL$23,5,15)="T",100,0),"")</f>
        <v/>
      </c>
      <c r="BC162">
        <f>IF(AND($C35=1,INDEX(Setup!$O$6:$AL$23,5,16)&lt;&gt;"",P35=0),16+IF(INDEX(Setup!$O$6:$AL$23,5,16)="T",100,0),"")</f>
        <v/>
      </c>
      <c r="BD162">
        <f>IF(AND($C36=1,INDEX(Setup!$O$6:$AL$23,5,17)&lt;&gt;"",P36=0),17+IF(INDEX(Setup!$O$6:$AL$23,5,17)="T",100,0),"")</f>
        <v/>
      </c>
      <c r="BE162">
        <f>IF(AND($C37=1,INDEX(Setup!$O$6:$AL$23,5,18)&lt;&gt;"",P37=0),18+IF(INDEX(Setup!$O$6:$AL$23,5,18)="T",100,0),"")</f>
        <v/>
      </c>
      <c r="BF162">
        <f>IF(AND($C38=1,INDEX(Setup!$O$6:$AL$23,5,19)&lt;&gt;"",P38=0),19+IF(INDEX(Setup!$O$6:$AL$23,5,19)="T",100,0),"")</f>
        <v/>
      </c>
      <c r="BG162">
        <f>IF(AND($C39=1,INDEX(Setup!$O$6:$AL$23,5,20)&lt;&gt;"",P39=0),20+IF(INDEX(Setup!$O$6:$AL$23,5,20)="T",100,0),"")</f>
        <v/>
      </c>
      <c r="BH162">
        <f>IF(AND($C40=1,INDEX(Setup!$O$6:$AL$23,5,21)&lt;&gt;"",P40=0),21+IF(INDEX(Setup!$O$6:$AL$23,5,21)="T",100,0),"")</f>
        <v/>
      </c>
      <c r="BI162">
        <f>IF(AND($C41=1,INDEX(Setup!$O$6:$AL$23,5,22)&lt;&gt;"",P41=0),22+IF(INDEX(Setup!$O$6:$AL$23,5,22)="T",100,0),"")</f>
        <v/>
      </c>
      <c r="BJ162">
        <f>IF(AND($C42=1,INDEX(Setup!$O$6:$AL$23,5,23)&lt;&gt;"",P42=0),23+IF(INDEX(Setup!$O$6:$AL$23,5,23)="T",100,0),"")</f>
        <v/>
      </c>
      <c r="BK162">
        <f>IF(AND($C43=1,INDEX(Setup!$O$6:$AL$23,5,24)&lt;&gt;"",P43=0),24+IF(INDEX(Setup!$O$6:$AL$23,5,24)="T",100,0),"")</f>
        <v/>
      </c>
      <c r="BM162">
        <f>IF(AND(AN162&lt;&gt;"",COUNTIF($W$51:$W$51,$B20)+COUNTIF($W$51:$W$51,$B20&amp;" ~*")=0),($R20+COUNTIF($H$158:$H161,$B20)+COUNTIF($H$158:$H161,$B20&amp;" ~*"))*1000+IF(AN162&gt;100,500,0)+1,"")</f>
        <v/>
      </c>
      <c r="BN162">
        <f>IF(AND(AO162&lt;&gt;"",COUNTIF($W$51:$W$51,$B21)+COUNTIF($W$51:$W$51,$B21&amp;" ~*")=0),($R21+COUNTIF($H$158:$H161,$B21)+COUNTIF($H$158:$H161,$B21&amp;" ~*"))*1000+IF(AO162&gt;100,500,0)+2,"")</f>
        <v/>
      </c>
      <c r="BO162">
        <f>IF(AND(AP162&lt;&gt;"",COUNTIF($W$51:$W$51,$B22)+COUNTIF($W$51:$W$51,$B22&amp;" ~*")=0),($R22+COUNTIF($H$158:$H161,$B22)+COUNTIF($H$158:$H161,$B22&amp;" ~*"))*1000+IF(AP162&gt;100,500,0)+3,"")</f>
        <v/>
      </c>
      <c r="BP162">
        <f>IF(AND(AQ162&lt;&gt;"",COUNTIF($W$51:$W$51,$B23)+COUNTIF($W$51:$W$51,$B23&amp;" ~*")=0),($R23+COUNTIF($H$158:$H161,$B23)+COUNTIF($H$158:$H161,$B23&amp;" ~*"))*1000+IF(AQ162&gt;100,500,0)+4,"")</f>
        <v/>
      </c>
      <c r="BQ162">
        <f>IF(AND(AR162&lt;&gt;"",COUNTIF($W$51:$W$51,$B24)+COUNTIF($W$51:$W$51,$B24&amp;" ~*")=0),($R24+COUNTIF($H$158:$H161,$B24)+COUNTIF($H$158:$H161,$B24&amp;" ~*"))*1000+IF(AR162&gt;100,500,0)+5,"")</f>
        <v/>
      </c>
      <c r="BR162">
        <f>IF(AND(AS162&lt;&gt;"",COUNTIF($W$51:$W$51,$B25)+COUNTIF($W$51:$W$51,$B25&amp;" ~*")=0),($R25+COUNTIF($H$158:$H161,$B25)+COUNTIF($H$158:$H161,$B25&amp;" ~*"))*1000+IF(AS162&gt;100,500,0)+6,"")</f>
        <v/>
      </c>
      <c r="BS162">
        <f>IF(AND(AT162&lt;&gt;"",COUNTIF($W$51:$W$51,$B26)+COUNTIF($W$51:$W$51,$B26&amp;" ~*")=0),($R26+COUNTIF($H$158:$H161,$B26)+COUNTIF($H$158:$H161,$B26&amp;" ~*"))*1000+IF(AT162&gt;100,500,0)+7,"")</f>
        <v/>
      </c>
      <c r="BT162">
        <f>IF(AND(AU162&lt;&gt;"",COUNTIF($W$51:$W$51,$B27)+COUNTIF($W$51:$W$51,$B27&amp;" ~*")=0),($R27+COUNTIF($H$158:$H161,$B27)+COUNTIF($H$158:$H161,$B27&amp;" ~*"))*1000+IF(AU162&gt;100,500,0)+8,"")</f>
        <v/>
      </c>
      <c r="BU162">
        <f>IF(AND(AV162&lt;&gt;"",COUNTIF($W$51:$W$51,$B28)+COUNTIF($W$51:$W$51,$B28&amp;" ~*")=0),($R28+COUNTIF($H$158:$H161,$B28)+COUNTIF($H$158:$H161,$B28&amp;" ~*"))*1000+IF(AV162&gt;100,500,0)+9,"")</f>
        <v/>
      </c>
      <c r="BV162">
        <f>IF(AND(AW162&lt;&gt;"",COUNTIF($W$51:$W$51,$B29)+COUNTIF($W$51:$W$51,$B29&amp;" ~*")=0),($R29+COUNTIF($H$158:$H161,$B29)+COUNTIF($H$158:$H161,$B29&amp;" ~*"))*1000+IF(AW162&gt;100,500,0)+10,"")</f>
        <v/>
      </c>
      <c r="BW162">
        <f>IF(AND(AX162&lt;&gt;"",COUNTIF($W$51:$W$51,$B30)+COUNTIF($W$51:$W$51,$B30&amp;" ~*")=0),($R30+COUNTIF($H$158:$H161,$B30)+COUNTIF($H$158:$H161,$B30&amp;" ~*"))*1000+IF(AX162&gt;100,500,0)+11,"")</f>
        <v/>
      </c>
      <c r="BX162">
        <f>IF(AND(AY162&lt;&gt;"",COUNTIF($W$51:$W$51,$B31)+COUNTIF($W$51:$W$51,$B31&amp;" ~*")=0),($R31+COUNTIF($H$158:$H161,$B31)+COUNTIF($H$158:$H161,$B31&amp;" ~*"))*1000+IF(AY162&gt;100,500,0)+12,"")</f>
        <v/>
      </c>
      <c r="BY162">
        <f>IF(AND(AZ162&lt;&gt;"",COUNTIF($W$51:$W$51,$B32)+COUNTIF($W$51:$W$51,$B32&amp;" ~*")=0),($R32+COUNTIF($H$158:$H161,$B32)+COUNTIF($H$158:$H161,$B32&amp;" ~*"))*1000+IF(AZ162&gt;100,500,0)+13,"")</f>
        <v/>
      </c>
      <c r="BZ162">
        <f>IF(AND(BA162&lt;&gt;"",COUNTIF($W$51:$W$51,$B33)+COUNTIF($W$51:$W$51,$B33&amp;" ~*")=0),($R33+COUNTIF($H$158:$H161,$B33)+COUNTIF($H$158:$H161,$B33&amp;" ~*"))*1000+IF(BA162&gt;100,500,0)+14,"")</f>
        <v/>
      </c>
      <c r="CA162">
        <f>IF(AND(BB162&lt;&gt;"",COUNTIF($W$51:$W$51,$B34)+COUNTIF($W$51:$W$51,$B34&amp;" ~*")=0),($R34+COUNTIF($H$158:$H161,$B34)+COUNTIF($H$158:$H161,$B34&amp;" ~*"))*1000+IF(BB162&gt;100,500,0)+15,"")</f>
        <v/>
      </c>
      <c r="CB162">
        <f>IF(AND(BC162&lt;&gt;"",COUNTIF($W$51:$W$51,$B35)+COUNTIF($W$51:$W$51,$B35&amp;" ~*")=0),($R35+COUNTIF($H$158:$H161,$B35)+COUNTIF($H$158:$H161,$B35&amp;" ~*"))*1000+IF(BC162&gt;100,500,0)+16,"")</f>
        <v/>
      </c>
      <c r="CC162">
        <f>IF(AND(BD162&lt;&gt;"",COUNTIF($W$51:$W$51,$B36)+COUNTIF($W$51:$W$51,$B36&amp;" ~*")=0),($R36+COUNTIF($H$158:$H161,$B36)+COUNTIF($H$158:$H161,$B36&amp;" ~*"))*1000+IF(BD162&gt;100,500,0)+17,"")</f>
        <v/>
      </c>
      <c r="CD162">
        <f>IF(AND(BE162&lt;&gt;"",COUNTIF($W$51:$W$51,$B37)+COUNTIF($W$51:$W$51,$B37&amp;" ~*")=0),($R37+COUNTIF($H$158:$H161,$B37)+COUNTIF($H$158:$H161,$B37&amp;" ~*"))*1000+IF(BE162&gt;100,500,0)+18,"")</f>
        <v/>
      </c>
      <c r="CE162">
        <f>IF(AND(BF162&lt;&gt;"",COUNTIF($W$51:$W$51,$B38)+COUNTIF($W$51:$W$51,$B38&amp;" ~*")=0),($R38+COUNTIF($H$158:$H161,$B38)+COUNTIF($H$158:$H161,$B38&amp;" ~*"))*1000+IF(BF162&gt;100,500,0)+19,"")</f>
        <v/>
      </c>
      <c r="CF162">
        <f>IF(AND(BG162&lt;&gt;"",COUNTIF($W$51:$W$51,$B39)+COUNTIF($W$51:$W$51,$B39&amp;" ~*")=0),($R39+COUNTIF($H$158:$H161,$B39)+COUNTIF($H$158:$H161,$B39&amp;" ~*"))*1000+IF(BG162&gt;100,500,0)+20,"")</f>
        <v/>
      </c>
      <c r="CG162">
        <f>IF(AND(BH162&lt;&gt;"",COUNTIF($W$51:$W$51,$B40)+COUNTIF($W$51:$W$51,$B40&amp;" ~*")=0),($R40+COUNTIF($H$158:$H161,$B40)+COUNTIF($H$158:$H161,$B40&amp;" ~*"))*1000+IF(BH162&gt;100,500,0)+21,"")</f>
        <v/>
      </c>
      <c r="CH162">
        <f>IF(AND(BI162&lt;&gt;"",COUNTIF($W$51:$W$51,$B41)+COUNTIF($W$51:$W$51,$B41&amp;" ~*")=0),($R41+COUNTIF($H$158:$H161,$B41)+COUNTIF($H$158:$H161,$B41&amp;" ~*"))*1000+IF(BI162&gt;100,500,0)+22,"")</f>
        <v/>
      </c>
      <c r="CI162">
        <f>IF(AND(BJ162&lt;&gt;"",COUNTIF($W$51:$W$51,$B42)+COUNTIF($W$51:$W$51,$B42&amp;" ~*")=0),($R42+COUNTIF($H$158:$H161,$B42)+COUNTIF($H$158:$H161,$B42&amp;" ~*"))*1000+IF(BJ162&gt;100,500,0)+23,"")</f>
        <v/>
      </c>
      <c r="CJ162">
        <f>IF(AND(BK162&lt;&gt;"",COUNTIF($W$51:$W$51,$B43)+COUNTIF($W$51:$W$51,$B43&amp;" ~*")=0),($R43+COUNTIF($H$158:$H161,$B43)+COUNTIF($H$158:$H161,$B43&amp;" ~*"))*1000+IF(BK162&gt;100,500,0)+24,"")</f>
        <v/>
      </c>
    </row>
    <row r="163">
      <c r="A163" t="n">
        <v>6</v>
      </c>
      <c r="B163" t="n">
        <v>6</v>
      </c>
      <c r="C163">
        <f>$B$52</f>
        <v/>
      </c>
      <c r="D163" t="inlineStr">
        <is>
          <t>Sat</t>
        </is>
      </c>
      <c r="E163">
        <f>IF(C163="","",N($AC$52))</f>
        <v/>
      </c>
      <c r="F163">
        <f>IF(C163="","",COUNTIF($W$52:$W$52,"?*"))</f>
        <v/>
      </c>
      <c r="G163">
        <f>IF(C163="","",MAX(0,E163-F163))</f>
        <v/>
      </c>
      <c r="H163">
        <f>IF(N(G163)=0,"",IF(COUNT(BM163:CJ163)=0,"no-one eligible",INDEX(Engine!$B$20:$B$43,MOD(MIN(BM163:CJ163),500))&amp;IF(MOD(MIN(BM163:CJ163),1000)&gt;=500," *","")))</f>
        <v/>
      </c>
      <c r="I163">
        <f>IF(N(G163)&gt;0,COUNTIF($G$68:G163,"&gt;0"),"")</f>
        <v/>
      </c>
      <c r="J163">
        <f>IF(C163="","",IF($W$52="",0,IF(IFERROR(INDEX(Setup!$O$6:$AL$23,6,MATCH(SUBSTITUTE($W$52," *",""),Setup!$B$6:$B$29,0)),"")="",1,0)))</f>
        <v/>
      </c>
      <c r="K163">
        <f>IF($B$12+5=TODAY(),1,0)</f>
        <v/>
      </c>
      <c r="N163">
        <f>COUNT($AN163:$BK163)</f>
        <v/>
      </c>
      <c r="O163">
        <f>IF(1&gt;$N163,"",INDEX(Engine!$B$20:$B$43,MOD(SMALL($AN163:$BK163,1),100))&amp;IF(SMALL($AN163:$BK163,1)&gt;100," *",""))</f>
        <v/>
      </c>
      <c r="P163">
        <f>IF(2&gt;$N163,"",INDEX(Engine!$B$20:$B$43,MOD(SMALL($AN163:$BK163,2),100))&amp;IF(SMALL($AN163:$BK163,2)&gt;100," *",""))</f>
        <v/>
      </c>
      <c r="Q163">
        <f>IF(3&gt;$N163,"",INDEX(Engine!$B$20:$B$43,MOD(SMALL($AN163:$BK163,3),100))&amp;IF(SMALL($AN163:$BK163,3)&gt;100," *",""))</f>
        <v/>
      </c>
      <c r="R163">
        <f>IF(4&gt;$N163,"",INDEX(Engine!$B$20:$B$43,MOD(SMALL($AN163:$BK163,4),100))&amp;IF(SMALL($AN163:$BK163,4)&gt;100," *",""))</f>
        <v/>
      </c>
      <c r="S163">
        <f>IF(5&gt;$N163,"",INDEX(Engine!$B$20:$B$43,MOD(SMALL($AN163:$BK163,5),100))&amp;IF(SMALL($AN163:$BK163,5)&gt;100," *",""))</f>
        <v/>
      </c>
      <c r="T163">
        <f>IF(6&gt;$N163,"",INDEX(Engine!$B$20:$B$43,MOD(SMALL($AN163:$BK163,6),100))&amp;IF(SMALL($AN163:$BK163,6)&gt;100," *",""))</f>
        <v/>
      </c>
      <c r="U163">
        <f>IF(7&gt;$N163,"",INDEX(Engine!$B$20:$B$43,MOD(SMALL($AN163:$BK163,7),100))&amp;IF(SMALL($AN163:$BK163,7)&gt;100," *",""))</f>
        <v/>
      </c>
      <c r="V163">
        <f>IF(8&gt;$N163,"",INDEX(Engine!$B$20:$B$43,MOD(SMALL($AN163:$BK163,8),100))&amp;IF(SMALL($AN163:$BK163,8)&gt;100," *",""))</f>
        <v/>
      </c>
      <c r="W163">
        <f>IF(9&gt;$N163,"",INDEX(Engine!$B$20:$B$43,MOD(SMALL($AN163:$BK163,9),100))&amp;IF(SMALL($AN163:$BK163,9)&gt;100," *",""))</f>
        <v/>
      </c>
      <c r="X163">
        <f>IF(10&gt;$N163,"",INDEX(Engine!$B$20:$B$43,MOD(SMALL($AN163:$BK163,10),100))&amp;IF(SMALL($AN163:$BK163,10)&gt;100," *",""))</f>
        <v/>
      </c>
      <c r="Y163">
        <f>IF(11&gt;$N163,"",INDEX(Engine!$B$20:$B$43,MOD(SMALL($AN163:$BK163,11),100))&amp;IF(SMALL($AN163:$BK163,11)&gt;100," *",""))</f>
        <v/>
      </c>
      <c r="Z163">
        <f>IF(12&gt;$N163,"",INDEX(Engine!$B$20:$B$43,MOD(SMALL($AN163:$BK163,12),100))&amp;IF(SMALL($AN163:$BK163,12)&gt;100," *",""))</f>
        <v/>
      </c>
      <c r="AA163">
        <f>IF(13&gt;$N163,"",INDEX(Engine!$B$20:$B$43,MOD(SMALL($AN163:$BK163,13),100))&amp;IF(SMALL($AN163:$BK163,13)&gt;100," *",""))</f>
        <v/>
      </c>
      <c r="AB163">
        <f>IF(14&gt;$N163,"",INDEX(Engine!$B$20:$B$43,MOD(SMALL($AN163:$BK163,14),100))&amp;IF(SMALL($AN163:$BK163,14)&gt;100," *",""))</f>
        <v/>
      </c>
      <c r="AC163">
        <f>IF(15&gt;$N163,"",INDEX(Engine!$B$20:$B$43,MOD(SMALL($AN163:$BK163,15),100))&amp;IF(SMALL($AN163:$BK163,15)&gt;100," *",""))</f>
        <v/>
      </c>
      <c r="AD163">
        <f>IF(16&gt;$N163,"",INDEX(Engine!$B$20:$B$43,MOD(SMALL($AN163:$BK163,16),100))&amp;IF(SMALL($AN163:$BK163,16)&gt;100," *",""))</f>
        <v/>
      </c>
      <c r="AE163">
        <f>IF(17&gt;$N163,"",INDEX(Engine!$B$20:$B$43,MOD(SMALL($AN163:$BK163,17),100))&amp;IF(SMALL($AN163:$BK163,17)&gt;100," *",""))</f>
        <v/>
      </c>
      <c r="AF163">
        <f>IF(18&gt;$N163,"",INDEX(Engine!$B$20:$B$43,MOD(SMALL($AN163:$BK163,18),100))&amp;IF(SMALL($AN163:$BK163,18)&gt;100," *",""))</f>
        <v/>
      </c>
      <c r="AG163">
        <f>IF(19&gt;$N163,"",INDEX(Engine!$B$20:$B$43,MOD(SMALL($AN163:$BK163,19),100))&amp;IF(SMALL($AN163:$BK163,19)&gt;100," *",""))</f>
        <v/>
      </c>
      <c r="AH163">
        <f>IF(20&gt;$N163,"",INDEX(Engine!$B$20:$B$43,MOD(SMALL($AN163:$BK163,20),100))&amp;IF(SMALL($AN163:$BK163,20)&gt;100," *",""))</f>
        <v/>
      </c>
      <c r="AI163">
        <f>IF(21&gt;$N163,"",INDEX(Engine!$B$20:$B$43,MOD(SMALL($AN163:$BK163,21),100))&amp;IF(SMALL($AN163:$BK163,21)&gt;100," *",""))</f>
        <v/>
      </c>
      <c r="AJ163">
        <f>IF(22&gt;$N163,"",INDEX(Engine!$B$20:$B$43,MOD(SMALL($AN163:$BK163,22),100))&amp;IF(SMALL($AN163:$BK163,22)&gt;100," *",""))</f>
        <v/>
      </c>
      <c r="AK163">
        <f>IF(23&gt;$N163,"",INDEX(Engine!$B$20:$B$43,MOD(SMALL($AN163:$BK163,23),100))&amp;IF(SMALL($AN163:$BK163,23)&gt;100," *",""))</f>
        <v/>
      </c>
      <c r="AL163">
        <f>IF(24&gt;$N163,"",INDEX(Engine!$B$20:$B$43,MOD(SMALL($AN163:$BK163,24),100))&amp;IF(SMALL($AN163:$BK163,24)&gt;100," *",""))</f>
        <v/>
      </c>
      <c r="AN163">
        <f>IF(AND($C20=1,INDEX(Setup!$O$6:$AL$23,6,1)&lt;&gt;"",P20=0),1+IF(INDEX(Setup!$O$6:$AL$23,6,1)="T",100,0),"")</f>
        <v/>
      </c>
      <c r="AO163">
        <f>IF(AND($C21=1,INDEX(Setup!$O$6:$AL$23,6,2)&lt;&gt;"",P21=0),2+IF(INDEX(Setup!$O$6:$AL$23,6,2)="T",100,0),"")</f>
        <v/>
      </c>
      <c r="AP163">
        <f>IF(AND($C22=1,INDEX(Setup!$O$6:$AL$23,6,3)&lt;&gt;"",P22=0),3+IF(INDEX(Setup!$O$6:$AL$23,6,3)="T",100,0),"")</f>
        <v/>
      </c>
      <c r="AQ163">
        <f>IF(AND($C23=1,INDEX(Setup!$O$6:$AL$23,6,4)&lt;&gt;"",P23=0),4+IF(INDEX(Setup!$O$6:$AL$23,6,4)="T",100,0),"")</f>
        <v/>
      </c>
      <c r="AR163">
        <f>IF(AND($C24=1,INDEX(Setup!$O$6:$AL$23,6,5)&lt;&gt;"",P24=0),5+IF(INDEX(Setup!$O$6:$AL$23,6,5)="T",100,0),"")</f>
        <v/>
      </c>
      <c r="AS163">
        <f>IF(AND($C25=1,INDEX(Setup!$O$6:$AL$23,6,6)&lt;&gt;"",P25=0),6+IF(INDEX(Setup!$O$6:$AL$23,6,6)="T",100,0),"")</f>
        <v/>
      </c>
      <c r="AT163">
        <f>IF(AND($C26=1,INDEX(Setup!$O$6:$AL$23,6,7)&lt;&gt;"",P26=0),7+IF(INDEX(Setup!$O$6:$AL$23,6,7)="T",100,0),"")</f>
        <v/>
      </c>
      <c r="AU163">
        <f>IF(AND($C27=1,INDEX(Setup!$O$6:$AL$23,6,8)&lt;&gt;"",P27=0),8+IF(INDEX(Setup!$O$6:$AL$23,6,8)="T",100,0),"")</f>
        <v/>
      </c>
      <c r="AV163">
        <f>IF(AND($C28=1,INDEX(Setup!$O$6:$AL$23,6,9)&lt;&gt;"",P28=0),9+IF(INDEX(Setup!$O$6:$AL$23,6,9)="T",100,0),"")</f>
        <v/>
      </c>
      <c r="AW163">
        <f>IF(AND($C29=1,INDEX(Setup!$O$6:$AL$23,6,10)&lt;&gt;"",P29=0),10+IF(INDEX(Setup!$O$6:$AL$23,6,10)="T",100,0),"")</f>
        <v/>
      </c>
      <c r="AX163">
        <f>IF(AND($C30=1,INDEX(Setup!$O$6:$AL$23,6,11)&lt;&gt;"",P30=0),11+IF(INDEX(Setup!$O$6:$AL$23,6,11)="T",100,0),"")</f>
        <v/>
      </c>
      <c r="AY163">
        <f>IF(AND($C31=1,INDEX(Setup!$O$6:$AL$23,6,12)&lt;&gt;"",P31=0),12+IF(INDEX(Setup!$O$6:$AL$23,6,12)="T",100,0),"")</f>
        <v/>
      </c>
      <c r="AZ163">
        <f>IF(AND($C32=1,INDEX(Setup!$O$6:$AL$23,6,13)&lt;&gt;"",P32=0),13+IF(INDEX(Setup!$O$6:$AL$23,6,13)="T",100,0),"")</f>
        <v/>
      </c>
      <c r="BA163">
        <f>IF(AND($C33=1,INDEX(Setup!$O$6:$AL$23,6,14)&lt;&gt;"",P33=0),14+IF(INDEX(Setup!$O$6:$AL$23,6,14)="T",100,0),"")</f>
        <v/>
      </c>
      <c r="BB163">
        <f>IF(AND($C34=1,INDEX(Setup!$O$6:$AL$23,6,15)&lt;&gt;"",P34=0),15+IF(INDEX(Setup!$O$6:$AL$23,6,15)="T",100,0),"")</f>
        <v/>
      </c>
      <c r="BC163">
        <f>IF(AND($C35=1,INDEX(Setup!$O$6:$AL$23,6,16)&lt;&gt;"",P35=0),16+IF(INDEX(Setup!$O$6:$AL$23,6,16)="T",100,0),"")</f>
        <v/>
      </c>
      <c r="BD163">
        <f>IF(AND($C36=1,INDEX(Setup!$O$6:$AL$23,6,17)&lt;&gt;"",P36=0),17+IF(INDEX(Setup!$O$6:$AL$23,6,17)="T",100,0),"")</f>
        <v/>
      </c>
      <c r="BE163">
        <f>IF(AND($C37=1,INDEX(Setup!$O$6:$AL$23,6,18)&lt;&gt;"",P37=0),18+IF(INDEX(Setup!$O$6:$AL$23,6,18)="T",100,0),"")</f>
        <v/>
      </c>
      <c r="BF163">
        <f>IF(AND($C38=1,INDEX(Setup!$O$6:$AL$23,6,19)&lt;&gt;"",P38=0),19+IF(INDEX(Setup!$O$6:$AL$23,6,19)="T",100,0),"")</f>
        <v/>
      </c>
      <c r="BG163">
        <f>IF(AND($C39=1,INDEX(Setup!$O$6:$AL$23,6,20)&lt;&gt;"",P39=0),20+IF(INDEX(Setup!$O$6:$AL$23,6,20)="T",100,0),"")</f>
        <v/>
      </c>
      <c r="BH163">
        <f>IF(AND($C40=1,INDEX(Setup!$O$6:$AL$23,6,21)&lt;&gt;"",P40=0),21+IF(INDEX(Setup!$O$6:$AL$23,6,21)="T",100,0),"")</f>
        <v/>
      </c>
      <c r="BI163">
        <f>IF(AND($C41=1,INDEX(Setup!$O$6:$AL$23,6,22)&lt;&gt;"",P41=0),22+IF(INDEX(Setup!$O$6:$AL$23,6,22)="T",100,0),"")</f>
        <v/>
      </c>
      <c r="BJ163">
        <f>IF(AND($C42=1,INDEX(Setup!$O$6:$AL$23,6,23)&lt;&gt;"",P42=0),23+IF(INDEX(Setup!$O$6:$AL$23,6,23)="T",100,0),"")</f>
        <v/>
      </c>
      <c r="BK163">
        <f>IF(AND($C43=1,INDEX(Setup!$O$6:$AL$23,6,24)&lt;&gt;"",P43=0),24+IF(INDEX(Setup!$O$6:$AL$23,6,24)="T",100,0),"")</f>
        <v/>
      </c>
      <c r="BM163">
        <f>IF(AND(AN163&lt;&gt;"",COUNTIF($W$52:$W$52,$B20)+COUNTIF($W$52:$W$52,$B20&amp;" ~*")=0),($R20+COUNTIF($H$158:$H162,$B20)+COUNTIF($H$158:$H162,$B20&amp;" ~*"))*1000+IF(AN163&gt;100,500,0)+1,"")</f>
        <v/>
      </c>
      <c r="BN163">
        <f>IF(AND(AO163&lt;&gt;"",COUNTIF($W$52:$W$52,$B21)+COUNTIF($W$52:$W$52,$B21&amp;" ~*")=0),($R21+COUNTIF($H$158:$H162,$B21)+COUNTIF($H$158:$H162,$B21&amp;" ~*"))*1000+IF(AO163&gt;100,500,0)+2,"")</f>
        <v/>
      </c>
      <c r="BO163">
        <f>IF(AND(AP163&lt;&gt;"",COUNTIF($W$52:$W$52,$B22)+COUNTIF($W$52:$W$52,$B22&amp;" ~*")=0),($R22+COUNTIF($H$158:$H162,$B22)+COUNTIF($H$158:$H162,$B22&amp;" ~*"))*1000+IF(AP163&gt;100,500,0)+3,"")</f>
        <v/>
      </c>
      <c r="BP163">
        <f>IF(AND(AQ163&lt;&gt;"",COUNTIF($W$52:$W$52,$B23)+COUNTIF($W$52:$W$52,$B23&amp;" ~*")=0),($R23+COUNTIF($H$158:$H162,$B23)+COUNTIF($H$158:$H162,$B23&amp;" ~*"))*1000+IF(AQ163&gt;100,500,0)+4,"")</f>
        <v/>
      </c>
      <c r="BQ163">
        <f>IF(AND(AR163&lt;&gt;"",COUNTIF($W$52:$W$52,$B24)+COUNTIF($W$52:$W$52,$B24&amp;" ~*")=0),($R24+COUNTIF($H$158:$H162,$B24)+COUNTIF($H$158:$H162,$B24&amp;" ~*"))*1000+IF(AR163&gt;100,500,0)+5,"")</f>
        <v/>
      </c>
      <c r="BR163">
        <f>IF(AND(AS163&lt;&gt;"",COUNTIF($W$52:$W$52,$B25)+COUNTIF($W$52:$W$52,$B25&amp;" ~*")=0),($R25+COUNTIF($H$158:$H162,$B25)+COUNTIF($H$158:$H162,$B25&amp;" ~*"))*1000+IF(AS163&gt;100,500,0)+6,"")</f>
        <v/>
      </c>
      <c r="BS163">
        <f>IF(AND(AT163&lt;&gt;"",COUNTIF($W$52:$W$52,$B26)+COUNTIF($W$52:$W$52,$B26&amp;" ~*")=0),($R26+COUNTIF($H$158:$H162,$B26)+COUNTIF($H$158:$H162,$B26&amp;" ~*"))*1000+IF(AT163&gt;100,500,0)+7,"")</f>
        <v/>
      </c>
      <c r="BT163">
        <f>IF(AND(AU163&lt;&gt;"",COUNTIF($W$52:$W$52,$B27)+COUNTIF($W$52:$W$52,$B27&amp;" ~*")=0),($R27+COUNTIF($H$158:$H162,$B27)+COUNTIF($H$158:$H162,$B27&amp;" ~*"))*1000+IF(AU163&gt;100,500,0)+8,"")</f>
        <v/>
      </c>
      <c r="BU163">
        <f>IF(AND(AV163&lt;&gt;"",COUNTIF($W$52:$W$52,$B28)+COUNTIF($W$52:$W$52,$B28&amp;" ~*")=0),($R28+COUNTIF($H$158:$H162,$B28)+COUNTIF($H$158:$H162,$B28&amp;" ~*"))*1000+IF(AV163&gt;100,500,0)+9,"")</f>
        <v/>
      </c>
      <c r="BV163">
        <f>IF(AND(AW163&lt;&gt;"",COUNTIF($W$52:$W$52,$B29)+COUNTIF($W$52:$W$52,$B29&amp;" ~*")=0),($R29+COUNTIF($H$158:$H162,$B29)+COUNTIF($H$158:$H162,$B29&amp;" ~*"))*1000+IF(AW163&gt;100,500,0)+10,"")</f>
        <v/>
      </c>
      <c r="BW163">
        <f>IF(AND(AX163&lt;&gt;"",COUNTIF($W$52:$W$52,$B30)+COUNTIF($W$52:$W$52,$B30&amp;" ~*")=0),($R30+COUNTIF($H$158:$H162,$B30)+COUNTIF($H$158:$H162,$B30&amp;" ~*"))*1000+IF(AX163&gt;100,500,0)+11,"")</f>
        <v/>
      </c>
      <c r="BX163">
        <f>IF(AND(AY163&lt;&gt;"",COUNTIF($W$52:$W$52,$B31)+COUNTIF($W$52:$W$52,$B31&amp;" ~*")=0),($R31+COUNTIF($H$158:$H162,$B31)+COUNTIF($H$158:$H162,$B31&amp;" ~*"))*1000+IF(AY163&gt;100,500,0)+12,"")</f>
        <v/>
      </c>
      <c r="BY163">
        <f>IF(AND(AZ163&lt;&gt;"",COUNTIF($W$52:$W$52,$B32)+COUNTIF($W$52:$W$52,$B32&amp;" ~*")=0),($R32+COUNTIF($H$158:$H162,$B32)+COUNTIF($H$158:$H162,$B32&amp;" ~*"))*1000+IF(AZ163&gt;100,500,0)+13,"")</f>
        <v/>
      </c>
      <c r="BZ163">
        <f>IF(AND(BA163&lt;&gt;"",COUNTIF($W$52:$W$52,$B33)+COUNTIF($W$52:$W$52,$B33&amp;" ~*")=0),($R33+COUNTIF($H$158:$H162,$B33)+COUNTIF($H$158:$H162,$B33&amp;" ~*"))*1000+IF(BA163&gt;100,500,0)+14,"")</f>
        <v/>
      </c>
      <c r="CA163">
        <f>IF(AND(BB163&lt;&gt;"",COUNTIF($W$52:$W$52,$B34)+COUNTIF($W$52:$W$52,$B34&amp;" ~*")=0),($R34+COUNTIF($H$158:$H162,$B34)+COUNTIF($H$158:$H162,$B34&amp;" ~*"))*1000+IF(BB163&gt;100,500,0)+15,"")</f>
        <v/>
      </c>
      <c r="CB163">
        <f>IF(AND(BC163&lt;&gt;"",COUNTIF($W$52:$W$52,$B35)+COUNTIF($W$52:$W$52,$B35&amp;" ~*")=0),($R35+COUNTIF($H$158:$H162,$B35)+COUNTIF($H$158:$H162,$B35&amp;" ~*"))*1000+IF(BC163&gt;100,500,0)+16,"")</f>
        <v/>
      </c>
      <c r="CC163">
        <f>IF(AND(BD163&lt;&gt;"",COUNTIF($W$52:$W$52,$B36)+COUNTIF($W$52:$W$52,$B36&amp;" ~*")=0),($R36+COUNTIF($H$158:$H162,$B36)+COUNTIF($H$158:$H162,$B36&amp;" ~*"))*1000+IF(BD163&gt;100,500,0)+17,"")</f>
        <v/>
      </c>
      <c r="CD163">
        <f>IF(AND(BE163&lt;&gt;"",COUNTIF($W$52:$W$52,$B37)+COUNTIF($W$52:$W$52,$B37&amp;" ~*")=0),($R37+COUNTIF($H$158:$H162,$B37)+COUNTIF($H$158:$H162,$B37&amp;" ~*"))*1000+IF(BE163&gt;100,500,0)+18,"")</f>
        <v/>
      </c>
      <c r="CE163">
        <f>IF(AND(BF163&lt;&gt;"",COUNTIF($W$52:$W$52,$B38)+COUNTIF($W$52:$W$52,$B38&amp;" ~*")=0),($R38+COUNTIF($H$158:$H162,$B38)+COUNTIF($H$158:$H162,$B38&amp;" ~*"))*1000+IF(BF163&gt;100,500,0)+19,"")</f>
        <v/>
      </c>
      <c r="CF163">
        <f>IF(AND(BG163&lt;&gt;"",COUNTIF($W$52:$W$52,$B39)+COUNTIF($W$52:$W$52,$B39&amp;" ~*")=0),($R39+COUNTIF($H$158:$H162,$B39)+COUNTIF($H$158:$H162,$B39&amp;" ~*"))*1000+IF(BG163&gt;100,500,0)+20,"")</f>
        <v/>
      </c>
      <c r="CG163">
        <f>IF(AND(BH163&lt;&gt;"",COUNTIF($W$52:$W$52,$B40)+COUNTIF($W$52:$W$52,$B40&amp;" ~*")=0),($R40+COUNTIF($H$158:$H162,$B40)+COUNTIF($H$158:$H162,$B40&amp;" ~*"))*1000+IF(BH163&gt;100,500,0)+21,"")</f>
        <v/>
      </c>
      <c r="CH163">
        <f>IF(AND(BI163&lt;&gt;"",COUNTIF($W$52:$W$52,$B41)+COUNTIF($W$52:$W$52,$B41&amp;" ~*")=0),($R41+COUNTIF($H$158:$H162,$B41)+COUNTIF($H$158:$H162,$B41&amp;" ~*"))*1000+IF(BI163&gt;100,500,0)+22,"")</f>
        <v/>
      </c>
      <c r="CI163">
        <f>IF(AND(BJ163&lt;&gt;"",COUNTIF($W$52:$W$52,$B42)+COUNTIF($W$52:$W$52,$B42&amp;" ~*")=0),($R42+COUNTIF($H$158:$H162,$B42)+COUNTIF($H$158:$H162,$B42&amp;" ~*"))*1000+IF(BJ163&gt;100,500,0)+23,"")</f>
        <v/>
      </c>
      <c r="CJ163">
        <f>IF(AND(BK163&lt;&gt;"",COUNTIF($W$52:$W$52,$B43)+COUNTIF($W$52:$W$52,$B43&amp;" ~*")=0),($R43+COUNTIF($H$158:$H162,$B43)+COUNTIF($H$158:$H162,$B43&amp;" ~*"))*1000+IF(BK163&gt;100,500,0)+24,"")</f>
        <v/>
      </c>
    </row>
    <row r="164">
      <c r="A164" t="n">
        <v>6</v>
      </c>
      <c r="B164" t="n">
        <v>7</v>
      </c>
      <c r="C164">
        <f>$B$53</f>
        <v/>
      </c>
      <c r="D164" t="inlineStr">
        <is>
          <t>Sat</t>
        </is>
      </c>
      <c r="E164">
        <f>IF(C164="","",N($AC$53))</f>
        <v/>
      </c>
      <c r="F164">
        <f>IF(C164="","",COUNTIF($W$53:$W$53,"?*"))</f>
        <v/>
      </c>
      <c r="G164">
        <f>IF(C164="","",MAX(0,E164-F164))</f>
        <v/>
      </c>
      <c r="H164">
        <f>IF(N(G164)=0,"",IF(COUNT(BM164:CJ164)=0,"no-one eligible",INDEX(Engine!$B$20:$B$43,MOD(MIN(BM164:CJ164),500))&amp;IF(MOD(MIN(BM164:CJ164),1000)&gt;=500," *","")))</f>
        <v/>
      </c>
      <c r="I164">
        <f>IF(N(G164)&gt;0,COUNTIF($G$68:G164,"&gt;0"),"")</f>
        <v/>
      </c>
      <c r="J164">
        <f>IF(C164="","",IF($W$53="",0,IF(IFERROR(INDEX(Setup!$O$6:$AL$23,7,MATCH(SUBSTITUTE($W$53," *",""),Setup!$B$6:$B$29,0)),"")="",1,0)))</f>
        <v/>
      </c>
      <c r="K164">
        <f>IF($B$12+5=TODAY(),1,0)</f>
        <v/>
      </c>
      <c r="N164">
        <f>COUNT($AN164:$BK164)</f>
        <v/>
      </c>
      <c r="O164">
        <f>IF(1&gt;$N164,"",INDEX(Engine!$B$20:$B$43,MOD(SMALL($AN164:$BK164,1),100))&amp;IF(SMALL($AN164:$BK164,1)&gt;100," *",""))</f>
        <v/>
      </c>
      <c r="P164">
        <f>IF(2&gt;$N164,"",INDEX(Engine!$B$20:$B$43,MOD(SMALL($AN164:$BK164,2),100))&amp;IF(SMALL($AN164:$BK164,2)&gt;100," *",""))</f>
        <v/>
      </c>
      <c r="Q164">
        <f>IF(3&gt;$N164,"",INDEX(Engine!$B$20:$B$43,MOD(SMALL($AN164:$BK164,3),100))&amp;IF(SMALL($AN164:$BK164,3)&gt;100," *",""))</f>
        <v/>
      </c>
      <c r="R164">
        <f>IF(4&gt;$N164,"",INDEX(Engine!$B$20:$B$43,MOD(SMALL($AN164:$BK164,4),100))&amp;IF(SMALL($AN164:$BK164,4)&gt;100," *",""))</f>
        <v/>
      </c>
      <c r="S164">
        <f>IF(5&gt;$N164,"",INDEX(Engine!$B$20:$B$43,MOD(SMALL($AN164:$BK164,5),100))&amp;IF(SMALL($AN164:$BK164,5)&gt;100," *",""))</f>
        <v/>
      </c>
      <c r="T164">
        <f>IF(6&gt;$N164,"",INDEX(Engine!$B$20:$B$43,MOD(SMALL($AN164:$BK164,6),100))&amp;IF(SMALL($AN164:$BK164,6)&gt;100," *",""))</f>
        <v/>
      </c>
      <c r="U164">
        <f>IF(7&gt;$N164,"",INDEX(Engine!$B$20:$B$43,MOD(SMALL($AN164:$BK164,7),100))&amp;IF(SMALL($AN164:$BK164,7)&gt;100," *",""))</f>
        <v/>
      </c>
      <c r="V164">
        <f>IF(8&gt;$N164,"",INDEX(Engine!$B$20:$B$43,MOD(SMALL($AN164:$BK164,8),100))&amp;IF(SMALL($AN164:$BK164,8)&gt;100," *",""))</f>
        <v/>
      </c>
      <c r="W164">
        <f>IF(9&gt;$N164,"",INDEX(Engine!$B$20:$B$43,MOD(SMALL($AN164:$BK164,9),100))&amp;IF(SMALL($AN164:$BK164,9)&gt;100," *",""))</f>
        <v/>
      </c>
      <c r="X164">
        <f>IF(10&gt;$N164,"",INDEX(Engine!$B$20:$B$43,MOD(SMALL($AN164:$BK164,10),100))&amp;IF(SMALL($AN164:$BK164,10)&gt;100," *",""))</f>
        <v/>
      </c>
      <c r="Y164">
        <f>IF(11&gt;$N164,"",INDEX(Engine!$B$20:$B$43,MOD(SMALL($AN164:$BK164,11),100))&amp;IF(SMALL($AN164:$BK164,11)&gt;100," *",""))</f>
        <v/>
      </c>
      <c r="Z164">
        <f>IF(12&gt;$N164,"",INDEX(Engine!$B$20:$B$43,MOD(SMALL($AN164:$BK164,12),100))&amp;IF(SMALL($AN164:$BK164,12)&gt;100," *",""))</f>
        <v/>
      </c>
      <c r="AA164">
        <f>IF(13&gt;$N164,"",INDEX(Engine!$B$20:$B$43,MOD(SMALL($AN164:$BK164,13),100))&amp;IF(SMALL($AN164:$BK164,13)&gt;100," *",""))</f>
        <v/>
      </c>
      <c r="AB164">
        <f>IF(14&gt;$N164,"",INDEX(Engine!$B$20:$B$43,MOD(SMALL($AN164:$BK164,14),100))&amp;IF(SMALL($AN164:$BK164,14)&gt;100," *",""))</f>
        <v/>
      </c>
      <c r="AC164">
        <f>IF(15&gt;$N164,"",INDEX(Engine!$B$20:$B$43,MOD(SMALL($AN164:$BK164,15),100))&amp;IF(SMALL($AN164:$BK164,15)&gt;100," *",""))</f>
        <v/>
      </c>
      <c r="AD164">
        <f>IF(16&gt;$N164,"",INDEX(Engine!$B$20:$B$43,MOD(SMALL($AN164:$BK164,16),100))&amp;IF(SMALL($AN164:$BK164,16)&gt;100," *",""))</f>
        <v/>
      </c>
      <c r="AE164">
        <f>IF(17&gt;$N164,"",INDEX(Engine!$B$20:$B$43,MOD(SMALL($AN164:$BK164,17),100))&amp;IF(SMALL($AN164:$BK164,17)&gt;100," *",""))</f>
        <v/>
      </c>
      <c r="AF164">
        <f>IF(18&gt;$N164,"",INDEX(Engine!$B$20:$B$43,MOD(SMALL($AN164:$BK164,18),100))&amp;IF(SMALL($AN164:$BK164,18)&gt;100," *",""))</f>
        <v/>
      </c>
      <c r="AG164">
        <f>IF(19&gt;$N164,"",INDEX(Engine!$B$20:$B$43,MOD(SMALL($AN164:$BK164,19),100))&amp;IF(SMALL($AN164:$BK164,19)&gt;100," *",""))</f>
        <v/>
      </c>
      <c r="AH164">
        <f>IF(20&gt;$N164,"",INDEX(Engine!$B$20:$B$43,MOD(SMALL($AN164:$BK164,20),100))&amp;IF(SMALL($AN164:$BK164,20)&gt;100," *",""))</f>
        <v/>
      </c>
      <c r="AI164">
        <f>IF(21&gt;$N164,"",INDEX(Engine!$B$20:$B$43,MOD(SMALL($AN164:$BK164,21),100))&amp;IF(SMALL($AN164:$BK164,21)&gt;100," *",""))</f>
        <v/>
      </c>
      <c r="AJ164">
        <f>IF(22&gt;$N164,"",INDEX(Engine!$B$20:$B$43,MOD(SMALL($AN164:$BK164,22),100))&amp;IF(SMALL($AN164:$BK164,22)&gt;100," *",""))</f>
        <v/>
      </c>
      <c r="AK164">
        <f>IF(23&gt;$N164,"",INDEX(Engine!$B$20:$B$43,MOD(SMALL($AN164:$BK164,23),100))&amp;IF(SMALL($AN164:$BK164,23)&gt;100," *",""))</f>
        <v/>
      </c>
      <c r="AL164">
        <f>IF(24&gt;$N164,"",INDEX(Engine!$B$20:$B$43,MOD(SMALL($AN164:$BK164,24),100))&amp;IF(SMALL($AN164:$BK164,24)&gt;100," *",""))</f>
        <v/>
      </c>
      <c r="AN164">
        <f>IF(AND($C20=1,INDEX(Setup!$O$6:$AL$23,7,1)&lt;&gt;"",P20=0),1+IF(INDEX(Setup!$O$6:$AL$23,7,1)="T",100,0),"")</f>
        <v/>
      </c>
      <c r="AO164">
        <f>IF(AND($C21=1,INDEX(Setup!$O$6:$AL$23,7,2)&lt;&gt;"",P21=0),2+IF(INDEX(Setup!$O$6:$AL$23,7,2)="T",100,0),"")</f>
        <v/>
      </c>
      <c r="AP164">
        <f>IF(AND($C22=1,INDEX(Setup!$O$6:$AL$23,7,3)&lt;&gt;"",P22=0),3+IF(INDEX(Setup!$O$6:$AL$23,7,3)="T",100,0),"")</f>
        <v/>
      </c>
      <c r="AQ164">
        <f>IF(AND($C23=1,INDEX(Setup!$O$6:$AL$23,7,4)&lt;&gt;"",P23=0),4+IF(INDEX(Setup!$O$6:$AL$23,7,4)="T",100,0),"")</f>
        <v/>
      </c>
      <c r="AR164">
        <f>IF(AND($C24=1,INDEX(Setup!$O$6:$AL$23,7,5)&lt;&gt;"",P24=0),5+IF(INDEX(Setup!$O$6:$AL$23,7,5)="T",100,0),"")</f>
        <v/>
      </c>
      <c r="AS164">
        <f>IF(AND($C25=1,INDEX(Setup!$O$6:$AL$23,7,6)&lt;&gt;"",P25=0),6+IF(INDEX(Setup!$O$6:$AL$23,7,6)="T",100,0),"")</f>
        <v/>
      </c>
      <c r="AT164">
        <f>IF(AND($C26=1,INDEX(Setup!$O$6:$AL$23,7,7)&lt;&gt;"",P26=0),7+IF(INDEX(Setup!$O$6:$AL$23,7,7)="T",100,0),"")</f>
        <v/>
      </c>
      <c r="AU164">
        <f>IF(AND($C27=1,INDEX(Setup!$O$6:$AL$23,7,8)&lt;&gt;"",P27=0),8+IF(INDEX(Setup!$O$6:$AL$23,7,8)="T",100,0),"")</f>
        <v/>
      </c>
      <c r="AV164">
        <f>IF(AND($C28=1,INDEX(Setup!$O$6:$AL$23,7,9)&lt;&gt;"",P28=0),9+IF(INDEX(Setup!$O$6:$AL$23,7,9)="T",100,0),"")</f>
        <v/>
      </c>
      <c r="AW164">
        <f>IF(AND($C29=1,INDEX(Setup!$O$6:$AL$23,7,10)&lt;&gt;"",P29=0),10+IF(INDEX(Setup!$O$6:$AL$23,7,10)="T",100,0),"")</f>
        <v/>
      </c>
      <c r="AX164">
        <f>IF(AND($C30=1,INDEX(Setup!$O$6:$AL$23,7,11)&lt;&gt;"",P30=0),11+IF(INDEX(Setup!$O$6:$AL$23,7,11)="T",100,0),"")</f>
        <v/>
      </c>
      <c r="AY164">
        <f>IF(AND($C31=1,INDEX(Setup!$O$6:$AL$23,7,12)&lt;&gt;"",P31=0),12+IF(INDEX(Setup!$O$6:$AL$23,7,12)="T",100,0),"")</f>
        <v/>
      </c>
      <c r="AZ164">
        <f>IF(AND($C32=1,INDEX(Setup!$O$6:$AL$23,7,13)&lt;&gt;"",P32=0),13+IF(INDEX(Setup!$O$6:$AL$23,7,13)="T",100,0),"")</f>
        <v/>
      </c>
      <c r="BA164">
        <f>IF(AND($C33=1,INDEX(Setup!$O$6:$AL$23,7,14)&lt;&gt;"",P33=0),14+IF(INDEX(Setup!$O$6:$AL$23,7,14)="T",100,0),"")</f>
        <v/>
      </c>
      <c r="BB164">
        <f>IF(AND($C34=1,INDEX(Setup!$O$6:$AL$23,7,15)&lt;&gt;"",P34=0),15+IF(INDEX(Setup!$O$6:$AL$23,7,15)="T",100,0),"")</f>
        <v/>
      </c>
      <c r="BC164">
        <f>IF(AND($C35=1,INDEX(Setup!$O$6:$AL$23,7,16)&lt;&gt;"",P35=0),16+IF(INDEX(Setup!$O$6:$AL$23,7,16)="T",100,0),"")</f>
        <v/>
      </c>
      <c r="BD164">
        <f>IF(AND($C36=1,INDEX(Setup!$O$6:$AL$23,7,17)&lt;&gt;"",P36=0),17+IF(INDEX(Setup!$O$6:$AL$23,7,17)="T",100,0),"")</f>
        <v/>
      </c>
      <c r="BE164">
        <f>IF(AND($C37=1,INDEX(Setup!$O$6:$AL$23,7,18)&lt;&gt;"",P37=0),18+IF(INDEX(Setup!$O$6:$AL$23,7,18)="T",100,0),"")</f>
        <v/>
      </c>
      <c r="BF164">
        <f>IF(AND($C38=1,INDEX(Setup!$O$6:$AL$23,7,19)&lt;&gt;"",P38=0),19+IF(INDEX(Setup!$O$6:$AL$23,7,19)="T",100,0),"")</f>
        <v/>
      </c>
      <c r="BG164">
        <f>IF(AND($C39=1,INDEX(Setup!$O$6:$AL$23,7,20)&lt;&gt;"",P39=0),20+IF(INDEX(Setup!$O$6:$AL$23,7,20)="T",100,0),"")</f>
        <v/>
      </c>
      <c r="BH164">
        <f>IF(AND($C40=1,INDEX(Setup!$O$6:$AL$23,7,21)&lt;&gt;"",P40=0),21+IF(INDEX(Setup!$O$6:$AL$23,7,21)="T",100,0),"")</f>
        <v/>
      </c>
      <c r="BI164">
        <f>IF(AND($C41=1,INDEX(Setup!$O$6:$AL$23,7,22)&lt;&gt;"",P41=0),22+IF(INDEX(Setup!$O$6:$AL$23,7,22)="T",100,0),"")</f>
        <v/>
      </c>
      <c r="BJ164">
        <f>IF(AND($C42=1,INDEX(Setup!$O$6:$AL$23,7,23)&lt;&gt;"",P42=0),23+IF(INDEX(Setup!$O$6:$AL$23,7,23)="T",100,0),"")</f>
        <v/>
      </c>
      <c r="BK164">
        <f>IF(AND($C43=1,INDEX(Setup!$O$6:$AL$23,7,24)&lt;&gt;"",P43=0),24+IF(INDEX(Setup!$O$6:$AL$23,7,24)="T",100,0),"")</f>
        <v/>
      </c>
      <c r="BM164">
        <f>IF(AND(AN164&lt;&gt;"",COUNTIF($W$53:$W$53,$B20)+COUNTIF($W$53:$W$53,$B20&amp;" ~*")=0),($R20+COUNTIF($H$158:$H163,$B20)+COUNTIF($H$158:$H163,$B20&amp;" ~*"))*1000+IF(AN164&gt;100,500,0)+1,"")</f>
        <v/>
      </c>
      <c r="BN164">
        <f>IF(AND(AO164&lt;&gt;"",COUNTIF($W$53:$W$53,$B21)+COUNTIF($W$53:$W$53,$B21&amp;" ~*")=0),($R21+COUNTIF($H$158:$H163,$B21)+COUNTIF($H$158:$H163,$B21&amp;" ~*"))*1000+IF(AO164&gt;100,500,0)+2,"")</f>
        <v/>
      </c>
      <c r="BO164">
        <f>IF(AND(AP164&lt;&gt;"",COUNTIF($W$53:$W$53,$B22)+COUNTIF($W$53:$W$53,$B22&amp;" ~*")=0),($R22+COUNTIF($H$158:$H163,$B22)+COUNTIF($H$158:$H163,$B22&amp;" ~*"))*1000+IF(AP164&gt;100,500,0)+3,"")</f>
        <v/>
      </c>
      <c r="BP164">
        <f>IF(AND(AQ164&lt;&gt;"",COUNTIF($W$53:$W$53,$B23)+COUNTIF($W$53:$W$53,$B23&amp;" ~*")=0),($R23+COUNTIF($H$158:$H163,$B23)+COUNTIF($H$158:$H163,$B23&amp;" ~*"))*1000+IF(AQ164&gt;100,500,0)+4,"")</f>
        <v/>
      </c>
      <c r="BQ164">
        <f>IF(AND(AR164&lt;&gt;"",COUNTIF($W$53:$W$53,$B24)+COUNTIF($W$53:$W$53,$B24&amp;" ~*")=0),($R24+COUNTIF($H$158:$H163,$B24)+COUNTIF($H$158:$H163,$B24&amp;" ~*"))*1000+IF(AR164&gt;100,500,0)+5,"")</f>
        <v/>
      </c>
      <c r="BR164">
        <f>IF(AND(AS164&lt;&gt;"",COUNTIF($W$53:$W$53,$B25)+COUNTIF($W$53:$W$53,$B25&amp;" ~*")=0),($R25+COUNTIF($H$158:$H163,$B25)+COUNTIF($H$158:$H163,$B25&amp;" ~*"))*1000+IF(AS164&gt;100,500,0)+6,"")</f>
        <v/>
      </c>
      <c r="BS164">
        <f>IF(AND(AT164&lt;&gt;"",COUNTIF($W$53:$W$53,$B26)+COUNTIF($W$53:$W$53,$B26&amp;" ~*")=0),($R26+COUNTIF($H$158:$H163,$B26)+COUNTIF($H$158:$H163,$B26&amp;" ~*"))*1000+IF(AT164&gt;100,500,0)+7,"")</f>
        <v/>
      </c>
      <c r="BT164">
        <f>IF(AND(AU164&lt;&gt;"",COUNTIF($W$53:$W$53,$B27)+COUNTIF($W$53:$W$53,$B27&amp;" ~*")=0),($R27+COUNTIF($H$158:$H163,$B27)+COUNTIF($H$158:$H163,$B27&amp;" ~*"))*1000+IF(AU164&gt;100,500,0)+8,"")</f>
        <v/>
      </c>
      <c r="BU164">
        <f>IF(AND(AV164&lt;&gt;"",COUNTIF($W$53:$W$53,$B28)+COUNTIF($W$53:$W$53,$B28&amp;" ~*")=0),($R28+COUNTIF($H$158:$H163,$B28)+COUNTIF($H$158:$H163,$B28&amp;" ~*"))*1000+IF(AV164&gt;100,500,0)+9,"")</f>
        <v/>
      </c>
      <c r="BV164">
        <f>IF(AND(AW164&lt;&gt;"",COUNTIF($W$53:$W$53,$B29)+COUNTIF($W$53:$W$53,$B29&amp;" ~*")=0),($R29+COUNTIF($H$158:$H163,$B29)+COUNTIF($H$158:$H163,$B29&amp;" ~*"))*1000+IF(AW164&gt;100,500,0)+10,"")</f>
        <v/>
      </c>
      <c r="BW164">
        <f>IF(AND(AX164&lt;&gt;"",COUNTIF($W$53:$W$53,$B30)+COUNTIF($W$53:$W$53,$B30&amp;" ~*")=0),($R30+COUNTIF($H$158:$H163,$B30)+COUNTIF($H$158:$H163,$B30&amp;" ~*"))*1000+IF(AX164&gt;100,500,0)+11,"")</f>
        <v/>
      </c>
      <c r="BX164">
        <f>IF(AND(AY164&lt;&gt;"",COUNTIF($W$53:$W$53,$B31)+COUNTIF($W$53:$W$53,$B31&amp;" ~*")=0),($R31+COUNTIF($H$158:$H163,$B31)+COUNTIF($H$158:$H163,$B31&amp;" ~*"))*1000+IF(AY164&gt;100,500,0)+12,"")</f>
        <v/>
      </c>
      <c r="BY164">
        <f>IF(AND(AZ164&lt;&gt;"",COUNTIF($W$53:$W$53,$B32)+COUNTIF($W$53:$W$53,$B32&amp;" ~*")=0),($R32+COUNTIF($H$158:$H163,$B32)+COUNTIF($H$158:$H163,$B32&amp;" ~*"))*1000+IF(AZ164&gt;100,500,0)+13,"")</f>
        <v/>
      </c>
      <c r="BZ164">
        <f>IF(AND(BA164&lt;&gt;"",COUNTIF($W$53:$W$53,$B33)+COUNTIF($W$53:$W$53,$B33&amp;" ~*")=0),($R33+COUNTIF($H$158:$H163,$B33)+COUNTIF($H$158:$H163,$B33&amp;" ~*"))*1000+IF(BA164&gt;100,500,0)+14,"")</f>
        <v/>
      </c>
      <c r="CA164">
        <f>IF(AND(BB164&lt;&gt;"",COUNTIF($W$53:$W$53,$B34)+COUNTIF($W$53:$W$53,$B34&amp;" ~*")=0),($R34+COUNTIF($H$158:$H163,$B34)+COUNTIF($H$158:$H163,$B34&amp;" ~*"))*1000+IF(BB164&gt;100,500,0)+15,"")</f>
        <v/>
      </c>
      <c r="CB164">
        <f>IF(AND(BC164&lt;&gt;"",COUNTIF($W$53:$W$53,$B35)+COUNTIF($W$53:$W$53,$B35&amp;" ~*")=0),($R35+COUNTIF($H$158:$H163,$B35)+COUNTIF($H$158:$H163,$B35&amp;" ~*"))*1000+IF(BC164&gt;100,500,0)+16,"")</f>
        <v/>
      </c>
      <c r="CC164">
        <f>IF(AND(BD164&lt;&gt;"",COUNTIF($W$53:$W$53,$B36)+COUNTIF($W$53:$W$53,$B36&amp;" ~*")=0),($R36+COUNTIF($H$158:$H163,$B36)+COUNTIF($H$158:$H163,$B36&amp;" ~*"))*1000+IF(BD164&gt;100,500,0)+17,"")</f>
        <v/>
      </c>
      <c r="CD164">
        <f>IF(AND(BE164&lt;&gt;"",COUNTIF($W$53:$W$53,$B37)+COUNTIF($W$53:$W$53,$B37&amp;" ~*")=0),($R37+COUNTIF($H$158:$H163,$B37)+COUNTIF($H$158:$H163,$B37&amp;" ~*"))*1000+IF(BE164&gt;100,500,0)+18,"")</f>
        <v/>
      </c>
      <c r="CE164">
        <f>IF(AND(BF164&lt;&gt;"",COUNTIF($W$53:$W$53,$B38)+COUNTIF($W$53:$W$53,$B38&amp;" ~*")=0),($R38+COUNTIF($H$158:$H163,$B38)+COUNTIF($H$158:$H163,$B38&amp;" ~*"))*1000+IF(BF164&gt;100,500,0)+19,"")</f>
        <v/>
      </c>
      <c r="CF164">
        <f>IF(AND(BG164&lt;&gt;"",COUNTIF($W$53:$W$53,$B39)+COUNTIF($W$53:$W$53,$B39&amp;" ~*")=0),($R39+COUNTIF($H$158:$H163,$B39)+COUNTIF($H$158:$H163,$B39&amp;" ~*"))*1000+IF(BG164&gt;100,500,0)+20,"")</f>
        <v/>
      </c>
      <c r="CG164">
        <f>IF(AND(BH164&lt;&gt;"",COUNTIF($W$53:$W$53,$B40)+COUNTIF($W$53:$W$53,$B40&amp;" ~*")=0),($R40+COUNTIF($H$158:$H163,$B40)+COUNTIF($H$158:$H163,$B40&amp;" ~*"))*1000+IF(BH164&gt;100,500,0)+21,"")</f>
        <v/>
      </c>
      <c r="CH164">
        <f>IF(AND(BI164&lt;&gt;"",COUNTIF($W$53:$W$53,$B41)+COUNTIF($W$53:$W$53,$B41&amp;" ~*")=0),($R41+COUNTIF($H$158:$H163,$B41)+COUNTIF($H$158:$H163,$B41&amp;" ~*"))*1000+IF(BI164&gt;100,500,0)+22,"")</f>
        <v/>
      </c>
      <c r="CI164">
        <f>IF(AND(BJ164&lt;&gt;"",COUNTIF($W$53:$W$53,$B42)+COUNTIF($W$53:$W$53,$B42&amp;" ~*")=0),($R42+COUNTIF($H$158:$H163,$B42)+COUNTIF($H$158:$H163,$B42&amp;" ~*"))*1000+IF(BJ164&gt;100,500,0)+23,"")</f>
        <v/>
      </c>
      <c r="CJ164">
        <f>IF(AND(BK164&lt;&gt;"",COUNTIF($W$53:$W$53,$B43)+COUNTIF($W$53:$W$53,$B43&amp;" ~*")=0),($R43+COUNTIF($H$158:$H163,$B43)+COUNTIF($H$158:$H163,$B43&amp;" ~*"))*1000+IF(BK164&gt;100,500,0)+24,"")</f>
        <v/>
      </c>
    </row>
    <row r="165">
      <c r="A165" t="n">
        <v>6</v>
      </c>
      <c r="B165" t="n">
        <v>8</v>
      </c>
      <c r="C165">
        <f>$B$54</f>
        <v/>
      </c>
      <c r="D165" t="inlineStr">
        <is>
          <t>Sat</t>
        </is>
      </c>
      <c r="E165">
        <f>IF(C165="","",N($AC$54))</f>
        <v/>
      </c>
      <c r="F165">
        <f>IF(C165="","",COUNTIF($W$54:$W$54,"?*"))</f>
        <v/>
      </c>
      <c r="G165">
        <f>IF(C165="","",MAX(0,E165-F165))</f>
        <v/>
      </c>
      <c r="H165">
        <f>IF(N(G165)=0,"",IF(COUNT(BM165:CJ165)=0,"no-one eligible",INDEX(Engine!$B$20:$B$43,MOD(MIN(BM165:CJ165),500))&amp;IF(MOD(MIN(BM165:CJ165),1000)&gt;=500," *","")))</f>
        <v/>
      </c>
      <c r="I165">
        <f>IF(N(G165)&gt;0,COUNTIF($G$68:G165,"&gt;0"),"")</f>
        <v/>
      </c>
      <c r="J165">
        <f>IF(C165="","",IF($W$54="",0,IF(IFERROR(INDEX(Setup!$O$6:$AL$23,8,MATCH(SUBSTITUTE($W$54," *",""),Setup!$B$6:$B$29,0)),"")="",1,0)))</f>
        <v/>
      </c>
      <c r="K165">
        <f>IF($B$12+5=TODAY(),1,0)</f>
        <v/>
      </c>
      <c r="N165">
        <f>COUNT($AN165:$BK165)</f>
        <v/>
      </c>
      <c r="O165">
        <f>IF(1&gt;$N165,"",INDEX(Engine!$B$20:$B$43,MOD(SMALL($AN165:$BK165,1),100))&amp;IF(SMALL($AN165:$BK165,1)&gt;100," *",""))</f>
        <v/>
      </c>
      <c r="P165">
        <f>IF(2&gt;$N165,"",INDEX(Engine!$B$20:$B$43,MOD(SMALL($AN165:$BK165,2),100))&amp;IF(SMALL($AN165:$BK165,2)&gt;100," *",""))</f>
        <v/>
      </c>
      <c r="Q165">
        <f>IF(3&gt;$N165,"",INDEX(Engine!$B$20:$B$43,MOD(SMALL($AN165:$BK165,3),100))&amp;IF(SMALL($AN165:$BK165,3)&gt;100," *",""))</f>
        <v/>
      </c>
      <c r="R165">
        <f>IF(4&gt;$N165,"",INDEX(Engine!$B$20:$B$43,MOD(SMALL($AN165:$BK165,4),100))&amp;IF(SMALL($AN165:$BK165,4)&gt;100," *",""))</f>
        <v/>
      </c>
      <c r="S165">
        <f>IF(5&gt;$N165,"",INDEX(Engine!$B$20:$B$43,MOD(SMALL($AN165:$BK165,5),100))&amp;IF(SMALL($AN165:$BK165,5)&gt;100," *",""))</f>
        <v/>
      </c>
      <c r="T165">
        <f>IF(6&gt;$N165,"",INDEX(Engine!$B$20:$B$43,MOD(SMALL($AN165:$BK165,6),100))&amp;IF(SMALL($AN165:$BK165,6)&gt;100," *",""))</f>
        <v/>
      </c>
      <c r="U165">
        <f>IF(7&gt;$N165,"",INDEX(Engine!$B$20:$B$43,MOD(SMALL($AN165:$BK165,7),100))&amp;IF(SMALL($AN165:$BK165,7)&gt;100," *",""))</f>
        <v/>
      </c>
      <c r="V165">
        <f>IF(8&gt;$N165,"",INDEX(Engine!$B$20:$B$43,MOD(SMALL($AN165:$BK165,8),100))&amp;IF(SMALL($AN165:$BK165,8)&gt;100," *",""))</f>
        <v/>
      </c>
      <c r="W165">
        <f>IF(9&gt;$N165,"",INDEX(Engine!$B$20:$B$43,MOD(SMALL($AN165:$BK165,9),100))&amp;IF(SMALL($AN165:$BK165,9)&gt;100," *",""))</f>
        <v/>
      </c>
      <c r="X165">
        <f>IF(10&gt;$N165,"",INDEX(Engine!$B$20:$B$43,MOD(SMALL($AN165:$BK165,10),100))&amp;IF(SMALL($AN165:$BK165,10)&gt;100," *",""))</f>
        <v/>
      </c>
      <c r="Y165">
        <f>IF(11&gt;$N165,"",INDEX(Engine!$B$20:$B$43,MOD(SMALL($AN165:$BK165,11),100))&amp;IF(SMALL($AN165:$BK165,11)&gt;100," *",""))</f>
        <v/>
      </c>
      <c r="Z165">
        <f>IF(12&gt;$N165,"",INDEX(Engine!$B$20:$B$43,MOD(SMALL($AN165:$BK165,12),100))&amp;IF(SMALL($AN165:$BK165,12)&gt;100," *",""))</f>
        <v/>
      </c>
      <c r="AA165">
        <f>IF(13&gt;$N165,"",INDEX(Engine!$B$20:$B$43,MOD(SMALL($AN165:$BK165,13),100))&amp;IF(SMALL($AN165:$BK165,13)&gt;100," *",""))</f>
        <v/>
      </c>
      <c r="AB165">
        <f>IF(14&gt;$N165,"",INDEX(Engine!$B$20:$B$43,MOD(SMALL($AN165:$BK165,14),100))&amp;IF(SMALL($AN165:$BK165,14)&gt;100," *",""))</f>
        <v/>
      </c>
      <c r="AC165">
        <f>IF(15&gt;$N165,"",INDEX(Engine!$B$20:$B$43,MOD(SMALL($AN165:$BK165,15),100))&amp;IF(SMALL($AN165:$BK165,15)&gt;100," *",""))</f>
        <v/>
      </c>
      <c r="AD165">
        <f>IF(16&gt;$N165,"",INDEX(Engine!$B$20:$B$43,MOD(SMALL($AN165:$BK165,16),100))&amp;IF(SMALL($AN165:$BK165,16)&gt;100," *",""))</f>
        <v/>
      </c>
      <c r="AE165">
        <f>IF(17&gt;$N165,"",INDEX(Engine!$B$20:$B$43,MOD(SMALL($AN165:$BK165,17),100))&amp;IF(SMALL($AN165:$BK165,17)&gt;100," *",""))</f>
        <v/>
      </c>
      <c r="AF165">
        <f>IF(18&gt;$N165,"",INDEX(Engine!$B$20:$B$43,MOD(SMALL($AN165:$BK165,18),100))&amp;IF(SMALL($AN165:$BK165,18)&gt;100," *",""))</f>
        <v/>
      </c>
      <c r="AG165">
        <f>IF(19&gt;$N165,"",INDEX(Engine!$B$20:$B$43,MOD(SMALL($AN165:$BK165,19),100))&amp;IF(SMALL($AN165:$BK165,19)&gt;100," *",""))</f>
        <v/>
      </c>
      <c r="AH165">
        <f>IF(20&gt;$N165,"",INDEX(Engine!$B$20:$B$43,MOD(SMALL($AN165:$BK165,20),100))&amp;IF(SMALL($AN165:$BK165,20)&gt;100," *",""))</f>
        <v/>
      </c>
      <c r="AI165">
        <f>IF(21&gt;$N165,"",INDEX(Engine!$B$20:$B$43,MOD(SMALL($AN165:$BK165,21),100))&amp;IF(SMALL($AN165:$BK165,21)&gt;100," *",""))</f>
        <v/>
      </c>
      <c r="AJ165">
        <f>IF(22&gt;$N165,"",INDEX(Engine!$B$20:$B$43,MOD(SMALL($AN165:$BK165,22),100))&amp;IF(SMALL($AN165:$BK165,22)&gt;100," *",""))</f>
        <v/>
      </c>
      <c r="AK165">
        <f>IF(23&gt;$N165,"",INDEX(Engine!$B$20:$B$43,MOD(SMALL($AN165:$BK165,23),100))&amp;IF(SMALL($AN165:$BK165,23)&gt;100," *",""))</f>
        <v/>
      </c>
      <c r="AL165">
        <f>IF(24&gt;$N165,"",INDEX(Engine!$B$20:$B$43,MOD(SMALL($AN165:$BK165,24),100))&amp;IF(SMALL($AN165:$BK165,24)&gt;100," *",""))</f>
        <v/>
      </c>
      <c r="AN165">
        <f>IF(AND($C20=1,INDEX(Setup!$O$6:$AL$23,8,1)&lt;&gt;"",P20=0),1+IF(INDEX(Setup!$O$6:$AL$23,8,1)="T",100,0),"")</f>
        <v/>
      </c>
      <c r="AO165">
        <f>IF(AND($C21=1,INDEX(Setup!$O$6:$AL$23,8,2)&lt;&gt;"",P21=0),2+IF(INDEX(Setup!$O$6:$AL$23,8,2)="T",100,0),"")</f>
        <v/>
      </c>
      <c r="AP165">
        <f>IF(AND($C22=1,INDEX(Setup!$O$6:$AL$23,8,3)&lt;&gt;"",P22=0),3+IF(INDEX(Setup!$O$6:$AL$23,8,3)="T",100,0),"")</f>
        <v/>
      </c>
      <c r="AQ165">
        <f>IF(AND($C23=1,INDEX(Setup!$O$6:$AL$23,8,4)&lt;&gt;"",P23=0),4+IF(INDEX(Setup!$O$6:$AL$23,8,4)="T",100,0),"")</f>
        <v/>
      </c>
      <c r="AR165">
        <f>IF(AND($C24=1,INDEX(Setup!$O$6:$AL$23,8,5)&lt;&gt;"",P24=0),5+IF(INDEX(Setup!$O$6:$AL$23,8,5)="T",100,0),"")</f>
        <v/>
      </c>
      <c r="AS165">
        <f>IF(AND($C25=1,INDEX(Setup!$O$6:$AL$23,8,6)&lt;&gt;"",P25=0),6+IF(INDEX(Setup!$O$6:$AL$23,8,6)="T",100,0),"")</f>
        <v/>
      </c>
      <c r="AT165">
        <f>IF(AND($C26=1,INDEX(Setup!$O$6:$AL$23,8,7)&lt;&gt;"",P26=0),7+IF(INDEX(Setup!$O$6:$AL$23,8,7)="T",100,0),"")</f>
        <v/>
      </c>
      <c r="AU165">
        <f>IF(AND($C27=1,INDEX(Setup!$O$6:$AL$23,8,8)&lt;&gt;"",P27=0),8+IF(INDEX(Setup!$O$6:$AL$23,8,8)="T",100,0),"")</f>
        <v/>
      </c>
      <c r="AV165">
        <f>IF(AND($C28=1,INDEX(Setup!$O$6:$AL$23,8,9)&lt;&gt;"",P28=0),9+IF(INDEX(Setup!$O$6:$AL$23,8,9)="T",100,0),"")</f>
        <v/>
      </c>
      <c r="AW165">
        <f>IF(AND($C29=1,INDEX(Setup!$O$6:$AL$23,8,10)&lt;&gt;"",P29=0),10+IF(INDEX(Setup!$O$6:$AL$23,8,10)="T",100,0),"")</f>
        <v/>
      </c>
      <c r="AX165">
        <f>IF(AND($C30=1,INDEX(Setup!$O$6:$AL$23,8,11)&lt;&gt;"",P30=0),11+IF(INDEX(Setup!$O$6:$AL$23,8,11)="T",100,0),"")</f>
        <v/>
      </c>
      <c r="AY165">
        <f>IF(AND($C31=1,INDEX(Setup!$O$6:$AL$23,8,12)&lt;&gt;"",P31=0),12+IF(INDEX(Setup!$O$6:$AL$23,8,12)="T",100,0),"")</f>
        <v/>
      </c>
      <c r="AZ165">
        <f>IF(AND($C32=1,INDEX(Setup!$O$6:$AL$23,8,13)&lt;&gt;"",P32=0),13+IF(INDEX(Setup!$O$6:$AL$23,8,13)="T",100,0),"")</f>
        <v/>
      </c>
      <c r="BA165">
        <f>IF(AND($C33=1,INDEX(Setup!$O$6:$AL$23,8,14)&lt;&gt;"",P33=0),14+IF(INDEX(Setup!$O$6:$AL$23,8,14)="T",100,0),"")</f>
        <v/>
      </c>
      <c r="BB165">
        <f>IF(AND($C34=1,INDEX(Setup!$O$6:$AL$23,8,15)&lt;&gt;"",P34=0),15+IF(INDEX(Setup!$O$6:$AL$23,8,15)="T",100,0),"")</f>
        <v/>
      </c>
      <c r="BC165">
        <f>IF(AND($C35=1,INDEX(Setup!$O$6:$AL$23,8,16)&lt;&gt;"",P35=0),16+IF(INDEX(Setup!$O$6:$AL$23,8,16)="T",100,0),"")</f>
        <v/>
      </c>
      <c r="BD165">
        <f>IF(AND($C36=1,INDEX(Setup!$O$6:$AL$23,8,17)&lt;&gt;"",P36=0),17+IF(INDEX(Setup!$O$6:$AL$23,8,17)="T",100,0),"")</f>
        <v/>
      </c>
      <c r="BE165">
        <f>IF(AND($C37=1,INDEX(Setup!$O$6:$AL$23,8,18)&lt;&gt;"",P37=0),18+IF(INDEX(Setup!$O$6:$AL$23,8,18)="T",100,0),"")</f>
        <v/>
      </c>
      <c r="BF165">
        <f>IF(AND($C38=1,INDEX(Setup!$O$6:$AL$23,8,19)&lt;&gt;"",P38=0),19+IF(INDEX(Setup!$O$6:$AL$23,8,19)="T",100,0),"")</f>
        <v/>
      </c>
      <c r="BG165">
        <f>IF(AND($C39=1,INDEX(Setup!$O$6:$AL$23,8,20)&lt;&gt;"",P39=0),20+IF(INDEX(Setup!$O$6:$AL$23,8,20)="T",100,0),"")</f>
        <v/>
      </c>
      <c r="BH165">
        <f>IF(AND($C40=1,INDEX(Setup!$O$6:$AL$23,8,21)&lt;&gt;"",P40=0),21+IF(INDEX(Setup!$O$6:$AL$23,8,21)="T",100,0),"")</f>
        <v/>
      </c>
      <c r="BI165">
        <f>IF(AND($C41=1,INDEX(Setup!$O$6:$AL$23,8,22)&lt;&gt;"",P41=0),22+IF(INDEX(Setup!$O$6:$AL$23,8,22)="T",100,0),"")</f>
        <v/>
      </c>
      <c r="BJ165">
        <f>IF(AND($C42=1,INDEX(Setup!$O$6:$AL$23,8,23)&lt;&gt;"",P42=0),23+IF(INDEX(Setup!$O$6:$AL$23,8,23)="T",100,0),"")</f>
        <v/>
      </c>
      <c r="BK165">
        <f>IF(AND($C43=1,INDEX(Setup!$O$6:$AL$23,8,24)&lt;&gt;"",P43=0),24+IF(INDEX(Setup!$O$6:$AL$23,8,24)="T",100,0),"")</f>
        <v/>
      </c>
      <c r="BM165">
        <f>IF(AND(AN165&lt;&gt;"",COUNTIF($W$54:$W$54,$B20)+COUNTIF($W$54:$W$54,$B20&amp;" ~*")=0),($R20+COUNTIF($H$158:$H164,$B20)+COUNTIF($H$158:$H164,$B20&amp;" ~*"))*1000+IF(AN165&gt;100,500,0)+1,"")</f>
        <v/>
      </c>
      <c r="BN165">
        <f>IF(AND(AO165&lt;&gt;"",COUNTIF($W$54:$W$54,$B21)+COUNTIF($W$54:$W$54,$B21&amp;" ~*")=0),($R21+COUNTIF($H$158:$H164,$B21)+COUNTIF($H$158:$H164,$B21&amp;" ~*"))*1000+IF(AO165&gt;100,500,0)+2,"")</f>
        <v/>
      </c>
      <c r="BO165">
        <f>IF(AND(AP165&lt;&gt;"",COUNTIF($W$54:$W$54,$B22)+COUNTIF($W$54:$W$54,$B22&amp;" ~*")=0),($R22+COUNTIF($H$158:$H164,$B22)+COUNTIF($H$158:$H164,$B22&amp;" ~*"))*1000+IF(AP165&gt;100,500,0)+3,"")</f>
        <v/>
      </c>
      <c r="BP165">
        <f>IF(AND(AQ165&lt;&gt;"",COUNTIF($W$54:$W$54,$B23)+COUNTIF($W$54:$W$54,$B23&amp;" ~*")=0),($R23+COUNTIF($H$158:$H164,$B23)+COUNTIF($H$158:$H164,$B23&amp;" ~*"))*1000+IF(AQ165&gt;100,500,0)+4,"")</f>
        <v/>
      </c>
      <c r="BQ165">
        <f>IF(AND(AR165&lt;&gt;"",COUNTIF($W$54:$W$54,$B24)+COUNTIF($W$54:$W$54,$B24&amp;" ~*")=0),($R24+COUNTIF($H$158:$H164,$B24)+COUNTIF($H$158:$H164,$B24&amp;" ~*"))*1000+IF(AR165&gt;100,500,0)+5,"")</f>
        <v/>
      </c>
      <c r="BR165">
        <f>IF(AND(AS165&lt;&gt;"",COUNTIF($W$54:$W$54,$B25)+COUNTIF($W$54:$W$54,$B25&amp;" ~*")=0),($R25+COUNTIF($H$158:$H164,$B25)+COUNTIF($H$158:$H164,$B25&amp;" ~*"))*1000+IF(AS165&gt;100,500,0)+6,"")</f>
        <v/>
      </c>
      <c r="BS165">
        <f>IF(AND(AT165&lt;&gt;"",COUNTIF($W$54:$W$54,$B26)+COUNTIF($W$54:$W$54,$B26&amp;" ~*")=0),($R26+COUNTIF($H$158:$H164,$B26)+COUNTIF($H$158:$H164,$B26&amp;" ~*"))*1000+IF(AT165&gt;100,500,0)+7,"")</f>
        <v/>
      </c>
      <c r="BT165">
        <f>IF(AND(AU165&lt;&gt;"",COUNTIF($W$54:$W$54,$B27)+COUNTIF($W$54:$W$54,$B27&amp;" ~*")=0),($R27+COUNTIF($H$158:$H164,$B27)+COUNTIF($H$158:$H164,$B27&amp;" ~*"))*1000+IF(AU165&gt;100,500,0)+8,"")</f>
        <v/>
      </c>
      <c r="BU165">
        <f>IF(AND(AV165&lt;&gt;"",COUNTIF($W$54:$W$54,$B28)+COUNTIF($W$54:$W$54,$B28&amp;" ~*")=0),($R28+COUNTIF($H$158:$H164,$B28)+COUNTIF($H$158:$H164,$B28&amp;" ~*"))*1000+IF(AV165&gt;100,500,0)+9,"")</f>
        <v/>
      </c>
      <c r="BV165">
        <f>IF(AND(AW165&lt;&gt;"",COUNTIF($W$54:$W$54,$B29)+COUNTIF($W$54:$W$54,$B29&amp;" ~*")=0),($R29+COUNTIF($H$158:$H164,$B29)+COUNTIF($H$158:$H164,$B29&amp;" ~*"))*1000+IF(AW165&gt;100,500,0)+10,"")</f>
        <v/>
      </c>
      <c r="BW165">
        <f>IF(AND(AX165&lt;&gt;"",COUNTIF($W$54:$W$54,$B30)+COUNTIF($W$54:$W$54,$B30&amp;" ~*")=0),($R30+COUNTIF($H$158:$H164,$B30)+COUNTIF($H$158:$H164,$B30&amp;" ~*"))*1000+IF(AX165&gt;100,500,0)+11,"")</f>
        <v/>
      </c>
      <c r="BX165">
        <f>IF(AND(AY165&lt;&gt;"",COUNTIF($W$54:$W$54,$B31)+COUNTIF($W$54:$W$54,$B31&amp;" ~*")=0),($R31+COUNTIF($H$158:$H164,$B31)+COUNTIF($H$158:$H164,$B31&amp;" ~*"))*1000+IF(AY165&gt;100,500,0)+12,"")</f>
        <v/>
      </c>
      <c r="BY165">
        <f>IF(AND(AZ165&lt;&gt;"",COUNTIF($W$54:$W$54,$B32)+COUNTIF($W$54:$W$54,$B32&amp;" ~*")=0),($R32+COUNTIF($H$158:$H164,$B32)+COUNTIF($H$158:$H164,$B32&amp;" ~*"))*1000+IF(AZ165&gt;100,500,0)+13,"")</f>
        <v/>
      </c>
      <c r="BZ165">
        <f>IF(AND(BA165&lt;&gt;"",COUNTIF($W$54:$W$54,$B33)+COUNTIF($W$54:$W$54,$B33&amp;" ~*")=0),($R33+COUNTIF($H$158:$H164,$B33)+COUNTIF($H$158:$H164,$B33&amp;" ~*"))*1000+IF(BA165&gt;100,500,0)+14,"")</f>
        <v/>
      </c>
      <c r="CA165">
        <f>IF(AND(BB165&lt;&gt;"",COUNTIF($W$54:$W$54,$B34)+COUNTIF($W$54:$W$54,$B34&amp;" ~*")=0),($R34+COUNTIF($H$158:$H164,$B34)+COUNTIF($H$158:$H164,$B34&amp;" ~*"))*1000+IF(BB165&gt;100,500,0)+15,"")</f>
        <v/>
      </c>
      <c r="CB165">
        <f>IF(AND(BC165&lt;&gt;"",COUNTIF($W$54:$W$54,$B35)+COUNTIF($W$54:$W$54,$B35&amp;" ~*")=0),($R35+COUNTIF($H$158:$H164,$B35)+COUNTIF($H$158:$H164,$B35&amp;" ~*"))*1000+IF(BC165&gt;100,500,0)+16,"")</f>
        <v/>
      </c>
      <c r="CC165">
        <f>IF(AND(BD165&lt;&gt;"",COUNTIF($W$54:$W$54,$B36)+COUNTIF($W$54:$W$54,$B36&amp;" ~*")=0),($R36+COUNTIF($H$158:$H164,$B36)+COUNTIF($H$158:$H164,$B36&amp;" ~*"))*1000+IF(BD165&gt;100,500,0)+17,"")</f>
        <v/>
      </c>
      <c r="CD165">
        <f>IF(AND(BE165&lt;&gt;"",COUNTIF($W$54:$W$54,$B37)+COUNTIF($W$54:$W$54,$B37&amp;" ~*")=0),($R37+COUNTIF($H$158:$H164,$B37)+COUNTIF($H$158:$H164,$B37&amp;" ~*"))*1000+IF(BE165&gt;100,500,0)+18,"")</f>
        <v/>
      </c>
      <c r="CE165">
        <f>IF(AND(BF165&lt;&gt;"",COUNTIF($W$54:$W$54,$B38)+COUNTIF($W$54:$W$54,$B38&amp;" ~*")=0),($R38+COUNTIF($H$158:$H164,$B38)+COUNTIF($H$158:$H164,$B38&amp;" ~*"))*1000+IF(BF165&gt;100,500,0)+19,"")</f>
        <v/>
      </c>
      <c r="CF165">
        <f>IF(AND(BG165&lt;&gt;"",COUNTIF($W$54:$W$54,$B39)+COUNTIF($W$54:$W$54,$B39&amp;" ~*")=0),($R39+COUNTIF($H$158:$H164,$B39)+COUNTIF($H$158:$H164,$B39&amp;" ~*"))*1000+IF(BG165&gt;100,500,0)+20,"")</f>
        <v/>
      </c>
      <c r="CG165">
        <f>IF(AND(BH165&lt;&gt;"",COUNTIF($W$54:$W$54,$B40)+COUNTIF($W$54:$W$54,$B40&amp;" ~*")=0),($R40+COUNTIF($H$158:$H164,$B40)+COUNTIF($H$158:$H164,$B40&amp;" ~*"))*1000+IF(BH165&gt;100,500,0)+21,"")</f>
        <v/>
      </c>
      <c r="CH165">
        <f>IF(AND(BI165&lt;&gt;"",COUNTIF($W$54:$W$54,$B41)+COUNTIF($W$54:$W$54,$B41&amp;" ~*")=0),($R41+COUNTIF($H$158:$H164,$B41)+COUNTIF($H$158:$H164,$B41&amp;" ~*"))*1000+IF(BI165&gt;100,500,0)+22,"")</f>
        <v/>
      </c>
      <c r="CI165">
        <f>IF(AND(BJ165&lt;&gt;"",COUNTIF($W$54:$W$54,$B42)+COUNTIF($W$54:$W$54,$B42&amp;" ~*")=0),($R42+COUNTIF($H$158:$H164,$B42)+COUNTIF($H$158:$H164,$B42&amp;" ~*"))*1000+IF(BJ165&gt;100,500,0)+23,"")</f>
        <v/>
      </c>
      <c r="CJ165">
        <f>IF(AND(BK165&lt;&gt;"",COUNTIF($W$54:$W$54,$B43)+COUNTIF($W$54:$W$54,$B43&amp;" ~*")=0),($R43+COUNTIF($H$158:$H164,$B43)+COUNTIF($H$158:$H164,$B43&amp;" ~*"))*1000+IF(BK165&gt;100,500,0)+24,"")</f>
        <v/>
      </c>
    </row>
    <row r="166">
      <c r="A166" t="n">
        <v>6</v>
      </c>
      <c r="B166" t="n">
        <v>9</v>
      </c>
      <c r="C166">
        <f>$B$55</f>
        <v/>
      </c>
      <c r="D166" t="inlineStr">
        <is>
          <t>Sat</t>
        </is>
      </c>
      <c r="E166">
        <f>IF(C166="","",N($AC$55))</f>
        <v/>
      </c>
      <c r="F166">
        <f>IF(C166="","",COUNTIF($W$55:$W$55,"?*"))</f>
        <v/>
      </c>
      <c r="G166">
        <f>IF(C166="","",MAX(0,E166-F166))</f>
        <v/>
      </c>
      <c r="H166">
        <f>IF(N(G166)=0,"",IF(COUNT(BM166:CJ166)=0,"no-one eligible",INDEX(Engine!$B$20:$B$43,MOD(MIN(BM166:CJ166),500))&amp;IF(MOD(MIN(BM166:CJ166),1000)&gt;=500," *","")))</f>
        <v/>
      </c>
      <c r="I166">
        <f>IF(N(G166)&gt;0,COUNTIF($G$68:G166,"&gt;0"),"")</f>
        <v/>
      </c>
      <c r="J166">
        <f>IF(C166="","",IF($W$55="",0,IF(IFERROR(INDEX(Setup!$O$6:$AL$23,9,MATCH(SUBSTITUTE($W$55," *",""),Setup!$B$6:$B$29,0)),"")="",1,0)))</f>
        <v/>
      </c>
      <c r="K166">
        <f>IF($B$12+5=TODAY(),1,0)</f>
        <v/>
      </c>
      <c r="N166">
        <f>COUNT($AN166:$BK166)</f>
        <v/>
      </c>
      <c r="O166">
        <f>IF(1&gt;$N166,"",INDEX(Engine!$B$20:$B$43,MOD(SMALL($AN166:$BK166,1),100))&amp;IF(SMALL($AN166:$BK166,1)&gt;100," *",""))</f>
        <v/>
      </c>
      <c r="P166">
        <f>IF(2&gt;$N166,"",INDEX(Engine!$B$20:$B$43,MOD(SMALL($AN166:$BK166,2),100))&amp;IF(SMALL($AN166:$BK166,2)&gt;100," *",""))</f>
        <v/>
      </c>
      <c r="Q166">
        <f>IF(3&gt;$N166,"",INDEX(Engine!$B$20:$B$43,MOD(SMALL($AN166:$BK166,3),100))&amp;IF(SMALL($AN166:$BK166,3)&gt;100," *",""))</f>
        <v/>
      </c>
      <c r="R166">
        <f>IF(4&gt;$N166,"",INDEX(Engine!$B$20:$B$43,MOD(SMALL($AN166:$BK166,4),100))&amp;IF(SMALL($AN166:$BK166,4)&gt;100," *",""))</f>
        <v/>
      </c>
      <c r="S166">
        <f>IF(5&gt;$N166,"",INDEX(Engine!$B$20:$B$43,MOD(SMALL($AN166:$BK166,5),100))&amp;IF(SMALL($AN166:$BK166,5)&gt;100," *",""))</f>
        <v/>
      </c>
      <c r="T166">
        <f>IF(6&gt;$N166,"",INDEX(Engine!$B$20:$B$43,MOD(SMALL($AN166:$BK166,6),100))&amp;IF(SMALL($AN166:$BK166,6)&gt;100," *",""))</f>
        <v/>
      </c>
      <c r="U166">
        <f>IF(7&gt;$N166,"",INDEX(Engine!$B$20:$B$43,MOD(SMALL($AN166:$BK166,7),100))&amp;IF(SMALL($AN166:$BK166,7)&gt;100," *",""))</f>
        <v/>
      </c>
      <c r="V166">
        <f>IF(8&gt;$N166,"",INDEX(Engine!$B$20:$B$43,MOD(SMALL($AN166:$BK166,8),100))&amp;IF(SMALL($AN166:$BK166,8)&gt;100," *",""))</f>
        <v/>
      </c>
      <c r="W166">
        <f>IF(9&gt;$N166,"",INDEX(Engine!$B$20:$B$43,MOD(SMALL($AN166:$BK166,9),100))&amp;IF(SMALL($AN166:$BK166,9)&gt;100," *",""))</f>
        <v/>
      </c>
      <c r="X166">
        <f>IF(10&gt;$N166,"",INDEX(Engine!$B$20:$B$43,MOD(SMALL($AN166:$BK166,10),100))&amp;IF(SMALL($AN166:$BK166,10)&gt;100," *",""))</f>
        <v/>
      </c>
      <c r="Y166">
        <f>IF(11&gt;$N166,"",INDEX(Engine!$B$20:$B$43,MOD(SMALL($AN166:$BK166,11),100))&amp;IF(SMALL($AN166:$BK166,11)&gt;100," *",""))</f>
        <v/>
      </c>
      <c r="Z166">
        <f>IF(12&gt;$N166,"",INDEX(Engine!$B$20:$B$43,MOD(SMALL($AN166:$BK166,12),100))&amp;IF(SMALL($AN166:$BK166,12)&gt;100," *",""))</f>
        <v/>
      </c>
      <c r="AA166">
        <f>IF(13&gt;$N166,"",INDEX(Engine!$B$20:$B$43,MOD(SMALL($AN166:$BK166,13),100))&amp;IF(SMALL($AN166:$BK166,13)&gt;100," *",""))</f>
        <v/>
      </c>
      <c r="AB166">
        <f>IF(14&gt;$N166,"",INDEX(Engine!$B$20:$B$43,MOD(SMALL($AN166:$BK166,14),100))&amp;IF(SMALL($AN166:$BK166,14)&gt;100," *",""))</f>
        <v/>
      </c>
      <c r="AC166">
        <f>IF(15&gt;$N166,"",INDEX(Engine!$B$20:$B$43,MOD(SMALL($AN166:$BK166,15),100))&amp;IF(SMALL($AN166:$BK166,15)&gt;100," *",""))</f>
        <v/>
      </c>
      <c r="AD166">
        <f>IF(16&gt;$N166,"",INDEX(Engine!$B$20:$B$43,MOD(SMALL($AN166:$BK166,16),100))&amp;IF(SMALL($AN166:$BK166,16)&gt;100," *",""))</f>
        <v/>
      </c>
      <c r="AE166">
        <f>IF(17&gt;$N166,"",INDEX(Engine!$B$20:$B$43,MOD(SMALL($AN166:$BK166,17),100))&amp;IF(SMALL($AN166:$BK166,17)&gt;100," *",""))</f>
        <v/>
      </c>
      <c r="AF166">
        <f>IF(18&gt;$N166,"",INDEX(Engine!$B$20:$B$43,MOD(SMALL($AN166:$BK166,18),100))&amp;IF(SMALL($AN166:$BK166,18)&gt;100," *",""))</f>
        <v/>
      </c>
      <c r="AG166">
        <f>IF(19&gt;$N166,"",INDEX(Engine!$B$20:$B$43,MOD(SMALL($AN166:$BK166,19),100))&amp;IF(SMALL($AN166:$BK166,19)&gt;100," *",""))</f>
        <v/>
      </c>
      <c r="AH166">
        <f>IF(20&gt;$N166,"",INDEX(Engine!$B$20:$B$43,MOD(SMALL($AN166:$BK166,20),100))&amp;IF(SMALL($AN166:$BK166,20)&gt;100," *",""))</f>
        <v/>
      </c>
      <c r="AI166">
        <f>IF(21&gt;$N166,"",INDEX(Engine!$B$20:$B$43,MOD(SMALL($AN166:$BK166,21),100))&amp;IF(SMALL($AN166:$BK166,21)&gt;100," *",""))</f>
        <v/>
      </c>
      <c r="AJ166">
        <f>IF(22&gt;$N166,"",INDEX(Engine!$B$20:$B$43,MOD(SMALL($AN166:$BK166,22),100))&amp;IF(SMALL($AN166:$BK166,22)&gt;100," *",""))</f>
        <v/>
      </c>
      <c r="AK166">
        <f>IF(23&gt;$N166,"",INDEX(Engine!$B$20:$B$43,MOD(SMALL($AN166:$BK166,23),100))&amp;IF(SMALL($AN166:$BK166,23)&gt;100," *",""))</f>
        <v/>
      </c>
      <c r="AL166">
        <f>IF(24&gt;$N166,"",INDEX(Engine!$B$20:$B$43,MOD(SMALL($AN166:$BK166,24),100))&amp;IF(SMALL($AN166:$BK166,24)&gt;100," *",""))</f>
        <v/>
      </c>
      <c r="AN166">
        <f>IF(AND($C20=1,INDEX(Setup!$O$6:$AL$23,9,1)&lt;&gt;"",P20=0),1+IF(INDEX(Setup!$O$6:$AL$23,9,1)="T",100,0),"")</f>
        <v/>
      </c>
      <c r="AO166">
        <f>IF(AND($C21=1,INDEX(Setup!$O$6:$AL$23,9,2)&lt;&gt;"",P21=0),2+IF(INDEX(Setup!$O$6:$AL$23,9,2)="T",100,0),"")</f>
        <v/>
      </c>
      <c r="AP166">
        <f>IF(AND($C22=1,INDEX(Setup!$O$6:$AL$23,9,3)&lt;&gt;"",P22=0),3+IF(INDEX(Setup!$O$6:$AL$23,9,3)="T",100,0),"")</f>
        <v/>
      </c>
      <c r="AQ166">
        <f>IF(AND($C23=1,INDEX(Setup!$O$6:$AL$23,9,4)&lt;&gt;"",P23=0),4+IF(INDEX(Setup!$O$6:$AL$23,9,4)="T",100,0),"")</f>
        <v/>
      </c>
      <c r="AR166">
        <f>IF(AND($C24=1,INDEX(Setup!$O$6:$AL$23,9,5)&lt;&gt;"",P24=0),5+IF(INDEX(Setup!$O$6:$AL$23,9,5)="T",100,0),"")</f>
        <v/>
      </c>
      <c r="AS166">
        <f>IF(AND($C25=1,INDEX(Setup!$O$6:$AL$23,9,6)&lt;&gt;"",P25=0),6+IF(INDEX(Setup!$O$6:$AL$23,9,6)="T",100,0),"")</f>
        <v/>
      </c>
      <c r="AT166">
        <f>IF(AND($C26=1,INDEX(Setup!$O$6:$AL$23,9,7)&lt;&gt;"",P26=0),7+IF(INDEX(Setup!$O$6:$AL$23,9,7)="T",100,0),"")</f>
        <v/>
      </c>
      <c r="AU166">
        <f>IF(AND($C27=1,INDEX(Setup!$O$6:$AL$23,9,8)&lt;&gt;"",P27=0),8+IF(INDEX(Setup!$O$6:$AL$23,9,8)="T",100,0),"")</f>
        <v/>
      </c>
      <c r="AV166">
        <f>IF(AND($C28=1,INDEX(Setup!$O$6:$AL$23,9,9)&lt;&gt;"",P28=0),9+IF(INDEX(Setup!$O$6:$AL$23,9,9)="T",100,0),"")</f>
        <v/>
      </c>
      <c r="AW166">
        <f>IF(AND($C29=1,INDEX(Setup!$O$6:$AL$23,9,10)&lt;&gt;"",P29=0),10+IF(INDEX(Setup!$O$6:$AL$23,9,10)="T",100,0),"")</f>
        <v/>
      </c>
      <c r="AX166">
        <f>IF(AND($C30=1,INDEX(Setup!$O$6:$AL$23,9,11)&lt;&gt;"",P30=0),11+IF(INDEX(Setup!$O$6:$AL$23,9,11)="T",100,0),"")</f>
        <v/>
      </c>
      <c r="AY166">
        <f>IF(AND($C31=1,INDEX(Setup!$O$6:$AL$23,9,12)&lt;&gt;"",P31=0),12+IF(INDEX(Setup!$O$6:$AL$23,9,12)="T",100,0),"")</f>
        <v/>
      </c>
      <c r="AZ166">
        <f>IF(AND($C32=1,INDEX(Setup!$O$6:$AL$23,9,13)&lt;&gt;"",P32=0),13+IF(INDEX(Setup!$O$6:$AL$23,9,13)="T",100,0),"")</f>
        <v/>
      </c>
      <c r="BA166">
        <f>IF(AND($C33=1,INDEX(Setup!$O$6:$AL$23,9,14)&lt;&gt;"",P33=0),14+IF(INDEX(Setup!$O$6:$AL$23,9,14)="T",100,0),"")</f>
        <v/>
      </c>
      <c r="BB166">
        <f>IF(AND($C34=1,INDEX(Setup!$O$6:$AL$23,9,15)&lt;&gt;"",P34=0),15+IF(INDEX(Setup!$O$6:$AL$23,9,15)="T",100,0),"")</f>
        <v/>
      </c>
      <c r="BC166">
        <f>IF(AND($C35=1,INDEX(Setup!$O$6:$AL$23,9,16)&lt;&gt;"",P35=0),16+IF(INDEX(Setup!$O$6:$AL$23,9,16)="T",100,0),"")</f>
        <v/>
      </c>
      <c r="BD166">
        <f>IF(AND($C36=1,INDEX(Setup!$O$6:$AL$23,9,17)&lt;&gt;"",P36=0),17+IF(INDEX(Setup!$O$6:$AL$23,9,17)="T",100,0),"")</f>
        <v/>
      </c>
      <c r="BE166">
        <f>IF(AND($C37=1,INDEX(Setup!$O$6:$AL$23,9,18)&lt;&gt;"",P37=0),18+IF(INDEX(Setup!$O$6:$AL$23,9,18)="T",100,0),"")</f>
        <v/>
      </c>
      <c r="BF166">
        <f>IF(AND($C38=1,INDEX(Setup!$O$6:$AL$23,9,19)&lt;&gt;"",P38=0),19+IF(INDEX(Setup!$O$6:$AL$23,9,19)="T",100,0),"")</f>
        <v/>
      </c>
      <c r="BG166">
        <f>IF(AND($C39=1,INDEX(Setup!$O$6:$AL$23,9,20)&lt;&gt;"",P39=0),20+IF(INDEX(Setup!$O$6:$AL$23,9,20)="T",100,0),"")</f>
        <v/>
      </c>
      <c r="BH166">
        <f>IF(AND($C40=1,INDEX(Setup!$O$6:$AL$23,9,21)&lt;&gt;"",P40=0),21+IF(INDEX(Setup!$O$6:$AL$23,9,21)="T",100,0),"")</f>
        <v/>
      </c>
      <c r="BI166">
        <f>IF(AND($C41=1,INDEX(Setup!$O$6:$AL$23,9,22)&lt;&gt;"",P41=0),22+IF(INDEX(Setup!$O$6:$AL$23,9,22)="T",100,0),"")</f>
        <v/>
      </c>
      <c r="BJ166">
        <f>IF(AND($C42=1,INDEX(Setup!$O$6:$AL$23,9,23)&lt;&gt;"",P42=0),23+IF(INDEX(Setup!$O$6:$AL$23,9,23)="T",100,0),"")</f>
        <v/>
      </c>
      <c r="BK166">
        <f>IF(AND($C43=1,INDEX(Setup!$O$6:$AL$23,9,24)&lt;&gt;"",P43=0),24+IF(INDEX(Setup!$O$6:$AL$23,9,24)="T",100,0),"")</f>
        <v/>
      </c>
      <c r="BM166">
        <f>IF(AND(AN166&lt;&gt;"",COUNTIF($W$55:$W$55,$B20)+COUNTIF($W$55:$W$55,$B20&amp;" ~*")=0),($R20+COUNTIF($H$158:$H165,$B20)+COUNTIF($H$158:$H165,$B20&amp;" ~*"))*1000+IF(AN166&gt;100,500,0)+1,"")</f>
        <v/>
      </c>
      <c r="BN166">
        <f>IF(AND(AO166&lt;&gt;"",COUNTIF($W$55:$W$55,$B21)+COUNTIF($W$55:$W$55,$B21&amp;" ~*")=0),($R21+COUNTIF($H$158:$H165,$B21)+COUNTIF($H$158:$H165,$B21&amp;" ~*"))*1000+IF(AO166&gt;100,500,0)+2,"")</f>
        <v/>
      </c>
      <c r="BO166">
        <f>IF(AND(AP166&lt;&gt;"",COUNTIF($W$55:$W$55,$B22)+COUNTIF($W$55:$W$55,$B22&amp;" ~*")=0),($R22+COUNTIF($H$158:$H165,$B22)+COUNTIF($H$158:$H165,$B22&amp;" ~*"))*1000+IF(AP166&gt;100,500,0)+3,"")</f>
        <v/>
      </c>
      <c r="BP166">
        <f>IF(AND(AQ166&lt;&gt;"",COUNTIF($W$55:$W$55,$B23)+COUNTIF($W$55:$W$55,$B23&amp;" ~*")=0),($R23+COUNTIF($H$158:$H165,$B23)+COUNTIF($H$158:$H165,$B23&amp;" ~*"))*1000+IF(AQ166&gt;100,500,0)+4,"")</f>
        <v/>
      </c>
      <c r="BQ166">
        <f>IF(AND(AR166&lt;&gt;"",COUNTIF($W$55:$W$55,$B24)+COUNTIF($W$55:$W$55,$B24&amp;" ~*")=0),($R24+COUNTIF($H$158:$H165,$B24)+COUNTIF($H$158:$H165,$B24&amp;" ~*"))*1000+IF(AR166&gt;100,500,0)+5,"")</f>
        <v/>
      </c>
      <c r="BR166">
        <f>IF(AND(AS166&lt;&gt;"",COUNTIF($W$55:$W$55,$B25)+COUNTIF($W$55:$W$55,$B25&amp;" ~*")=0),($R25+COUNTIF($H$158:$H165,$B25)+COUNTIF($H$158:$H165,$B25&amp;" ~*"))*1000+IF(AS166&gt;100,500,0)+6,"")</f>
        <v/>
      </c>
      <c r="BS166">
        <f>IF(AND(AT166&lt;&gt;"",COUNTIF($W$55:$W$55,$B26)+COUNTIF($W$55:$W$55,$B26&amp;" ~*")=0),($R26+COUNTIF($H$158:$H165,$B26)+COUNTIF($H$158:$H165,$B26&amp;" ~*"))*1000+IF(AT166&gt;100,500,0)+7,"")</f>
        <v/>
      </c>
      <c r="BT166">
        <f>IF(AND(AU166&lt;&gt;"",COUNTIF($W$55:$W$55,$B27)+COUNTIF($W$55:$W$55,$B27&amp;" ~*")=0),($R27+COUNTIF($H$158:$H165,$B27)+COUNTIF($H$158:$H165,$B27&amp;" ~*"))*1000+IF(AU166&gt;100,500,0)+8,"")</f>
        <v/>
      </c>
      <c r="BU166">
        <f>IF(AND(AV166&lt;&gt;"",COUNTIF($W$55:$W$55,$B28)+COUNTIF($W$55:$W$55,$B28&amp;" ~*")=0),($R28+COUNTIF($H$158:$H165,$B28)+COUNTIF($H$158:$H165,$B28&amp;" ~*"))*1000+IF(AV166&gt;100,500,0)+9,"")</f>
        <v/>
      </c>
      <c r="BV166">
        <f>IF(AND(AW166&lt;&gt;"",COUNTIF($W$55:$W$55,$B29)+COUNTIF($W$55:$W$55,$B29&amp;" ~*")=0),($R29+COUNTIF($H$158:$H165,$B29)+COUNTIF($H$158:$H165,$B29&amp;" ~*"))*1000+IF(AW166&gt;100,500,0)+10,"")</f>
        <v/>
      </c>
      <c r="BW166">
        <f>IF(AND(AX166&lt;&gt;"",COUNTIF($W$55:$W$55,$B30)+COUNTIF($W$55:$W$55,$B30&amp;" ~*")=0),($R30+COUNTIF($H$158:$H165,$B30)+COUNTIF($H$158:$H165,$B30&amp;" ~*"))*1000+IF(AX166&gt;100,500,0)+11,"")</f>
        <v/>
      </c>
      <c r="BX166">
        <f>IF(AND(AY166&lt;&gt;"",COUNTIF($W$55:$W$55,$B31)+COUNTIF($W$55:$W$55,$B31&amp;" ~*")=0),($R31+COUNTIF($H$158:$H165,$B31)+COUNTIF($H$158:$H165,$B31&amp;" ~*"))*1000+IF(AY166&gt;100,500,0)+12,"")</f>
        <v/>
      </c>
      <c r="BY166">
        <f>IF(AND(AZ166&lt;&gt;"",COUNTIF($W$55:$W$55,$B32)+COUNTIF($W$55:$W$55,$B32&amp;" ~*")=0),($R32+COUNTIF($H$158:$H165,$B32)+COUNTIF($H$158:$H165,$B32&amp;" ~*"))*1000+IF(AZ166&gt;100,500,0)+13,"")</f>
        <v/>
      </c>
      <c r="BZ166">
        <f>IF(AND(BA166&lt;&gt;"",COUNTIF($W$55:$W$55,$B33)+COUNTIF($W$55:$W$55,$B33&amp;" ~*")=0),($R33+COUNTIF($H$158:$H165,$B33)+COUNTIF($H$158:$H165,$B33&amp;" ~*"))*1000+IF(BA166&gt;100,500,0)+14,"")</f>
        <v/>
      </c>
      <c r="CA166">
        <f>IF(AND(BB166&lt;&gt;"",COUNTIF($W$55:$W$55,$B34)+COUNTIF($W$55:$W$55,$B34&amp;" ~*")=0),($R34+COUNTIF($H$158:$H165,$B34)+COUNTIF($H$158:$H165,$B34&amp;" ~*"))*1000+IF(BB166&gt;100,500,0)+15,"")</f>
        <v/>
      </c>
      <c r="CB166">
        <f>IF(AND(BC166&lt;&gt;"",COUNTIF($W$55:$W$55,$B35)+COUNTIF($W$55:$W$55,$B35&amp;" ~*")=0),($R35+COUNTIF($H$158:$H165,$B35)+COUNTIF($H$158:$H165,$B35&amp;" ~*"))*1000+IF(BC166&gt;100,500,0)+16,"")</f>
        <v/>
      </c>
      <c r="CC166">
        <f>IF(AND(BD166&lt;&gt;"",COUNTIF($W$55:$W$55,$B36)+COUNTIF($W$55:$W$55,$B36&amp;" ~*")=0),($R36+COUNTIF($H$158:$H165,$B36)+COUNTIF($H$158:$H165,$B36&amp;" ~*"))*1000+IF(BD166&gt;100,500,0)+17,"")</f>
        <v/>
      </c>
      <c r="CD166">
        <f>IF(AND(BE166&lt;&gt;"",COUNTIF($W$55:$W$55,$B37)+COUNTIF($W$55:$W$55,$B37&amp;" ~*")=0),($R37+COUNTIF($H$158:$H165,$B37)+COUNTIF($H$158:$H165,$B37&amp;" ~*"))*1000+IF(BE166&gt;100,500,0)+18,"")</f>
        <v/>
      </c>
      <c r="CE166">
        <f>IF(AND(BF166&lt;&gt;"",COUNTIF($W$55:$W$55,$B38)+COUNTIF($W$55:$W$55,$B38&amp;" ~*")=0),($R38+COUNTIF($H$158:$H165,$B38)+COUNTIF($H$158:$H165,$B38&amp;" ~*"))*1000+IF(BF166&gt;100,500,0)+19,"")</f>
        <v/>
      </c>
      <c r="CF166">
        <f>IF(AND(BG166&lt;&gt;"",COUNTIF($W$55:$W$55,$B39)+COUNTIF($W$55:$W$55,$B39&amp;" ~*")=0),($R39+COUNTIF($H$158:$H165,$B39)+COUNTIF($H$158:$H165,$B39&amp;" ~*"))*1000+IF(BG166&gt;100,500,0)+20,"")</f>
        <v/>
      </c>
      <c r="CG166">
        <f>IF(AND(BH166&lt;&gt;"",COUNTIF($W$55:$W$55,$B40)+COUNTIF($W$55:$W$55,$B40&amp;" ~*")=0),($R40+COUNTIF($H$158:$H165,$B40)+COUNTIF($H$158:$H165,$B40&amp;" ~*"))*1000+IF(BH166&gt;100,500,0)+21,"")</f>
        <v/>
      </c>
      <c r="CH166">
        <f>IF(AND(BI166&lt;&gt;"",COUNTIF($W$55:$W$55,$B41)+COUNTIF($W$55:$W$55,$B41&amp;" ~*")=0),($R41+COUNTIF($H$158:$H165,$B41)+COUNTIF($H$158:$H165,$B41&amp;" ~*"))*1000+IF(BI166&gt;100,500,0)+22,"")</f>
        <v/>
      </c>
      <c r="CI166">
        <f>IF(AND(BJ166&lt;&gt;"",COUNTIF($W$55:$W$55,$B42)+COUNTIF($W$55:$W$55,$B42&amp;" ~*")=0),($R42+COUNTIF($H$158:$H165,$B42)+COUNTIF($H$158:$H165,$B42&amp;" ~*"))*1000+IF(BJ166&gt;100,500,0)+23,"")</f>
        <v/>
      </c>
      <c r="CJ166">
        <f>IF(AND(BK166&lt;&gt;"",COUNTIF($W$55:$W$55,$B43)+COUNTIF($W$55:$W$55,$B43&amp;" ~*")=0),($R43+COUNTIF($H$158:$H165,$B43)+COUNTIF($H$158:$H165,$B43&amp;" ~*"))*1000+IF(BK166&gt;100,500,0)+24,"")</f>
        <v/>
      </c>
    </row>
    <row r="167">
      <c r="A167" t="n">
        <v>6</v>
      </c>
      <c r="B167" t="n">
        <v>10</v>
      </c>
      <c r="C167">
        <f>$B$56</f>
        <v/>
      </c>
      <c r="D167" t="inlineStr">
        <is>
          <t>Sat</t>
        </is>
      </c>
      <c r="E167">
        <f>IF(C167="","",N($AC$56))</f>
        <v/>
      </c>
      <c r="F167">
        <f>IF(C167="","",COUNTIF($W$56:$W$56,"?*"))</f>
        <v/>
      </c>
      <c r="G167">
        <f>IF(C167="","",MAX(0,E167-F167))</f>
        <v/>
      </c>
      <c r="H167">
        <f>IF(N(G167)=0,"",IF(COUNT(BM167:CJ167)=0,"no-one eligible",INDEX(Engine!$B$20:$B$43,MOD(MIN(BM167:CJ167),500))&amp;IF(MOD(MIN(BM167:CJ167),1000)&gt;=500," *","")))</f>
        <v/>
      </c>
      <c r="I167">
        <f>IF(N(G167)&gt;0,COUNTIF($G$68:G167,"&gt;0"),"")</f>
        <v/>
      </c>
      <c r="J167">
        <f>IF(C167="","",IF($W$56="",0,IF(IFERROR(INDEX(Setup!$O$6:$AL$23,10,MATCH(SUBSTITUTE($W$56," *",""),Setup!$B$6:$B$29,0)),"")="",1,0)))</f>
        <v/>
      </c>
      <c r="K167">
        <f>IF($B$12+5=TODAY(),1,0)</f>
        <v/>
      </c>
      <c r="N167">
        <f>COUNT($AN167:$BK167)</f>
        <v/>
      </c>
      <c r="O167">
        <f>IF(1&gt;$N167,"",INDEX(Engine!$B$20:$B$43,MOD(SMALL($AN167:$BK167,1),100))&amp;IF(SMALL($AN167:$BK167,1)&gt;100," *",""))</f>
        <v/>
      </c>
      <c r="P167">
        <f>IF(2&gt;$N167,"",INDEX(Engine!$B$20:$B$43,MOD(SMALL($AN167:$BK167,2),100))&amp;IF(SMALL($AN167:$BK167,2)&gt;100," *",""))</f>
        <v/>
      </c>
      <c r="Q167">
        <f>IF(3&gt;$N167,"",INDEX(Engine!$B$20:$B$43,MOD(SMALL($AN167:$BK167,3),100))&amp;IF(SMALL($AN167:$BK167,3)&gt;100," *",""))</f>
        <v/>
      </c>
      <c r="R167">
        <f>IF(4&gt;$N167,"",INDEX(Engine!$B$20:$B$43,MOD(SMALL($AN167:$BK167,4),100))&amp;IF(SMALL($AN167:$BK167,4)&gt;100," *",""))</f>
        <v/>
      </c>
      <c r="S167">
        <f>IF(5&gt;$N167,"",INDEX(Engine!$B$20:$B$43,MOD(SMALL($AN167:$BK167,5),100))&amp;IF(SMALL($AN167:$BK167,5)&gt;100," *",""))</f>
        <v/>
      </c>
      <c r="T167">
        <f>IF(6&gt;$N167,"",INDEX(Engine!$B$20:$B$43,MOD(SMALL($AN167:$BK167,6),100))&amp;IF(SMALL($AN167:$BK167,6)&gt;100," *",""))</f>
        <v/>
      </c>
      <c r="U167">
        <f>IF(7&gt;$N167,"",INDEX(Engine!$B$20:$B$43,MOD(SMALL($AN167:$BK167,7),100))&amp;IF(SMALL($AN167:$BK167,7)&gt;100," *",""))</f>
        <v/>
      </c>
      <c r="V167">
        <f>IF(8&gt;$N167,"",INDEX(Engine!$B$20:$B$43,MOD(SMALL($AN167:$BK167,8),100))&amp;IF(SMALL($AN167:$BK167,8)&gt;100," *",""))</f>
        <v/>
      </c>
      <c r="W167">
        <f>IF(9&gt;$N167,"",INDEX(Engine!$B$20:$B$43,MOD(SMALL($AN167:$BK167,9),100))&amp;IF(SMALL($AN167:$BK167,9)&gt;100," *",""))</f>
        <v/>
      </c>
      <c r="X167">
        <f>IF(10&gt;$N167,"",INDEX(Engine!$B$20:$B$43,MOD(SMALL($AN167:$BK167,10),100))&amp;IF(SMALL($AN167:$BK167,10)&gt;100," *",""))</f>
        <v/>
      </c>
      <c r="Y167">
        <f>IF(11&gt;$N167,"",INDEX(Engine!$B$20:$B$43,MOD(SMALL($AN167:$BK167,11),100))&amp;IF(SMALL($AN167:$BK167,11)&gt;100," *",""))</f>
        <v/>
      </c>
      <c r="Z167">
        <f>IF(12&gt;$N167,"",INDEX(Engine!$B$20:$B$43,MOD(SMALL($AN167:$BK167,12),100))&amp;IF(SMALL($AN167:$BK167,12)&gt;100," *",""))</f>
        <v/>
      </c>
      <c r="AA167">
        <f>IF(13&gt;$N167,"",INDEX(Engine!$B$20:$B$43,MOD(SMALL($AN167:$BK167,13),100))&amp;IF(SMALL($AN167:$BK167,13)&gt;100," *",""))</f>
        <v/>
      </c>
      <c r="AB167">
        <f>IF(14&gt;$N167,"",INDEX(Engine!$B$20:$B$43,MOD(SMALL($AN167:$BK167,14),100))&amp;IF(SMALL($AN167:$BK167,14)&gt;100," *",""))</f>
        <v/>
      </c>
      <c r="AC167">
        <f>IF(15&gt;$N167,"",INDEX(Engine!$B$20:$B$43,MOD(SMALL($AN167:$BK167,15),100))&amp;IF(SMALL($AN167:$BK167,15)&gt;100," *",""))</f>
        <v/>
      </c>
      <c r="AD167">
        <f>IF(16&gt;$N167,"",INDEX(Engine!$B$20:$B$43,MOD(SMALL($AN167:$BK167,16),100))&amp;IF(SMALL($AN167:$BK167,16)&gt;100," *",""))</f>
        <v/>
      </c>
      <c r="AE167">
        <f>IF(17&gt;$N167,"",INDEX(Engine!$B$20:$B$43,MOD(SMALL($AN167:$BK167,17),100))&amp;IF(SMALL($AN167:$BK167,17)&gt;100," *",""))</f>
        <v/>
      </c>
      <c r="AF167">
        <f>IF(18&gt;$N167,"",INDEX(Engine!$B$20:$B$43,MOD(SMALL($AN167:$BK167,18),100))&amp;IF(SMALL($AN167:$BK167,18)&gt;100," *",""))</f>
        <v/>
      </c>
      <c r="AG167">
        <f>IF(19&gt;$N167,"",INDEX(Engine!$B$20:$B$43,MOD(SMALL($AN167:$BK167,19),100))&amp;IF(SMALL($AN167:$BK167,19)&gt;100," *",""))</f>
        <v/>
      </c>
      <c r="AH167">
        <f>IF(20&gt;$N167,"",INDEX(Engine!$B$20:$B$43,MOD(SMALL($AN167:$BK167,20),100))&amp;IF(SMALL($AN167:$BK167,20)&gt;100," *",""))</f>
        <v/>
      </c>
      <c r="AI167">
        <f>IF(21&gt;$N167,"",INDEX(Engine!$B$20:$B$43,MOD(SMALL($AN167:$BK167,21),100))&amp;IF(SMALL($AN167:$BK167,21)&gt;100," *",""))</f>
        <v/>
      </c>
      <c r="AJ167">
        <f>IF(22&gt;$N167,"",INDEX(Engine!$B$20:$B$43,MOD(SMALL($AN167:$BK167,22),100))&amp;IF(SMALL($AN167:$BK167,22)&gt;100," *",""))</f>
        <v/>
      </c>
      <c r="AK167">
        <f>IF(23&gt;$N167,"",INDEX(Engine!$B$20:$B$43,MOD(SMALL($AN167:$BK167,23),100))&amp;IF(SMALL($AN167:$BK167,23)&gt;100," *",""))</f>
        <v/>
      </c>
      <c r="AL167">
        <f>IF(24&gt;$N167,"",INDEX(Engine!$B$20:$B$43,MOD(SMALL($AN167:$BK167,24),100))&amp;IF(SMALL($AN167:$BK167,24)&gt;100," *",""))</f>
        <v/>
      </c>
      <c r="AN167">
        <f>IF(AND($C20=1,INDEX(Setup!$O$6:$AL$23,10,1)&lt;&gt;"",P20=0),1+IF(INDEX(Setup!$O$6:$AL$23,10,1)="T",100,0),"")</f>
        <v/>
      </c>
      <c r="AO167">
        <f>IF(AND($C21=1,INDEX(Setup!$O$6:$AL$23,10,2)&lt;&gt;"",P21=0),2+IF(INDEX(Setup!$O$6:$AL$23,10,2)="T",100,0),"")</f>
        <v/>
      </c>
      <c r="AP167">
        <f>IF(AND($C22=1,INDEX(Setup!$O$6:$AL$23,10,3)&lt;&gt;"",P22=0),3+IF(INDEX(Setup!$O$6:$AL$23,10,3)="T",100,0),"")</f>
        <v/>
      </c>
      <c r="AQ167">
        <f>IF(AND($C23=1,INDEX(Setup!$O$6:$AL$23,10,4)&lt;&gt;"",P23=0),4+IF(INDEX(Setup!$O$6:$AL$23,10,4)="T",100,0),"")</f>
        <v/>
      </c>
      <c r="AR167">
        <f>IF(AND($C24=1,INDEX(Setup!$O$6:$AL$23,10,5)&lt;&gt;"",P24=0),5+IF(INDEX(Setup!$O$6:$AL$23,10,5)="T",100,0),"")</f>
        <v/>
      </c>
      <c r="AS167">
        <f>IF(AND($C25=1,INDEX(Setup!$O$6:$AL$23,10,6)&lt;&gt;"",P25=0),6+IF(INDEX(Setup!$O$6:$AL$23,10,6)="T",100,0),"")</f>
        <v/>
      </c>
      <c r="AT167">
        <f>IF(AND($C26=1,INDEX(Setup!$O$6:$AL$23,10,7)&lt;&gt;"",P26=0),7+IF(INDEX(Setup!$O$6:$AL$23,10,7)="T",100,0),"")</f>
        <v/>
      </c>
      <c r="AU167">
        <f>IF(AND($C27=1,INDEX(Setup!$O$6:$AL$23,10,8)&lt;&gt;"",P27=0),8+IF(INDEX(Setup!$O$6:$AL$23,10,8)="T",100,0),"")</f>
        <v/>
      </c>
      <c r="AV167">
        <f>IF(AND($C28=1,INDEX(Setup!$O$6:$AL$23,10,9)&lt;&gt;"",P28=0),9+IF(INDEX(Setup!$O$6:$AL$23,10,9)="T",100,0),"")</f>
        <v/>
      </c>
      <c r="AW167">
        <f>IF(AND($C29=1,INDEX(Setup!$O$6:$AL$23,10,10)&lt;&gt;"",P29=0),10+IF(INDEX(Setup!$O$6:$AL$23,10,10)="T",100,0),"")</f>
        <v/>
      </c>
      <c r="AX167">
        <f>IF(AND($C30=1,INDEX(Setup!$O$6:$AL$23,10,11)&lt;&gt;"",P30=0),11+IF(INDEX(Setup!$O$6:$AL$23,10,11)="T",100,0),"")</f>
        <v/>
      </c>
      <c r="AY167">
        <f>IF(AND($C31=1,INDEX(Setup!$O$6:$AL$23,10,12)&lt;&gt;"",P31=0),12+IF(INDEX(Setup!$O$6:$AL$23,10,12)="T",100,0),"")</f>
        <v/>
      </c>
      <c r="AZ167">
        <f>IF(AND($C32=1,INDEX(Setup!$O$6:$AL$23,10,13)&lt;&gt;"",P32=0),13+IF(INDEX(Setup!$O$6:$AL$23,10,13)="T",100,0),"")</f>
        <v/>
      </c>
      <c r="BA167">
        <f>IF(AND($C33=1,INDEX(Setup!$O$6:$AL$23,10,14)&lt;&gt;"",P33=0),14+IF(INDEX(Setup!$O$6:$AL$23,10,14)="T",100,0),"")</f>
        <v/>
      </c>
      <c r="BB167">
        <f>IF(AND($C34=1,INDEX(Setup!$O$6:$AL$23,10,15)&lt;&gt;"",P34=0),15+IF(INDEX(Setup!$O$6:$AL$23,10,15)="T",100,0),"")</f>
        <v/>
      </c>
      <c r="BC167">
        <f>IF(AND($C35=1,INDEX(Setup!$O$6:$AL$23,10,16)&lt;&gt;"",P35=0),16+IF(INDEX(Setup!$O$6:$AL$23,10,16)="T",100,0),"")</f>
        <v/>
      </c>
      <c r="BD167">
        <f>IF(AND($C36=1,INDEX(Setup!$O$6:$AL$23,10,17)&lt;&gt;"",P36=0),17+IF(INDEX(Setup!$O$6:$AL$23,10,17)="T",100,0),"")</f>
        <v/>
      </c>
      <c r="BE167">
        <f>IF(AND($C37=1,INDEX(Setup!$O$6:$AL$23,10,18)&lt;&gt;"",P37=0),18+IF(INDEX(Setup!$O$6:$AL$23,10,18)="T",100,0),"")</f>
        <v/>
      </c>
      <c r="BF167">
        <f>IF(AND($C38=1,INDEX(Setup!$O$6:$AL$23,10,19)&lt;&gt;"",P38=0),19+IF(INDEX(Setup!$O$6:$AL$23,10,19)="T",100,0),"")</f>
        <v/>
      </c>
      <c r="BG167">
        <f>IF(AND($C39=1,INDEX(Setup!$O$6:$AL$23,10,20)&lt;&gt;"",P39=0),20+IF(INDEX(Setup!$O$6:$AL$23,10,20)="T",100,0),"")</f>
        <v/>
      </c>
      <c r="BH167">
        <f>IF(AND($C40=1,INDEX(Setup!$O$6:$AL$23,10,21)&lt;&gt;"",P40=0),21+IF(INDEX(Setup!$O$6:$AL$23,10,21)="T",100,0),"")</f>
        <v/>
      </c>
      <c r="BI167">
        <f>IF(AND($C41=1,INDEX(Setup!$O$6:$AL$23,10,22)&lt;&gt;"",P41=0),22+IF(INDEX(Setup!$O$6:$AL$23,10,22)="T",100,0),"")</f>
        <v/>
      </c>
      <c r="BJ167">
        <f>IF(AND($C42=1,INDEX(Setup!$O$6:$AL$23,10,23)&lt;&gt;"",P42=0),23+IF(INDEX(Setup!$O$6:$AL$23,10,23)="T",100,0),"")</f>
        <v/>
      </c>
      <c r="BK167">
        <f>IF(AND($C43=1,INDEX(Setup!$O$6:$AL$23,10,24)&lt;&gt;"",P43=0),24+IF(INDEX(Setup!$O$6:$AL$23,10,24)="T",100,0),"")</f>
        <v/>
      </c>
      <c r="BM167">
        <f>IF(AND(AN167&lt;&gt;"",COUNTIF($W$56:$W$56,$B20)+COUNTIF($W$56:$W$56,$B20&amp;" ~*")=0),($R20+COUNTIF($H$158:$H166,$B20)+COUNTIF($H$158:$H166,$B20&amp;" ~*"))*1000+IF(AN167&gt;100,500,0)+1,"")</f>
        <v/>
      </c>
      <c r="BN167">
        <f>IF(AND(AO167&lt;&gt;"",COUNTIF($W$56:$W$56,$B21)+COUNTIF($W$56:$W$56,$B21&amp;" ~*")=0),($R21+COUNTIF($H$158:$H166,$B21)+COUNTIF($H$158:$H166,$B21&amp;" ~*"))*1000+IF(AO167&gt;100,500,0)+2,"")</f>
        <v/>
      </c>
      <c r="BO167">
        <f>IF(AND(AP167&lt;&gt;"",COUNTIF($W$56:$W$56,$B22)+COUNTIF($W$56:$W$56,$B22&amp;" ~*")=0),($R22+COUNTIF($H$158:$H166,$B22)+COUNTIF($H$158:$H166,$B22&amp;" ~*"))*1000+IF(AP167&gt;100,500,0)+3,"")</f>
        <v/>
      </c>
      <c r="BP167">
        <f>IF(AND(AQ167&lt;&gt;"",COUNTIF($W$56:$W$56,$B23)+COUNTIF($W$56:$W$56,$B23&amp;" ~*")=0),($R23+COUNTIF($H$158:$H166,$B23)+COUNTIF($H$158:$H166,$B23&amp;" ~*"))*1000+IF(AQ167&gt;100,500,0)+4,"")</f>
        <v/>
      </c>
      <c r="BQ167">
        <f>IF(AND(AR167&lt;&gt;"",COUNTIF($W$56:$W$56,$B24)+COUNTIF($W$56:$W$56,$B24&amp;" ~*")=0),($R24+COUNTIF($H$158:$H166,$B24)+COUNTIF($H$158:$H166,$B24&amp;" ~*"))*1000+IF(AR167&gt;100,500,0)+5,"")</f>
        <v/>
      </c>
      <c r="BR167">
        <f>IF(AND(AS167&lt;&gt;"",COUNTIF($W$56:$W$56,$B25)+COUNTIF($W$56:$W$56,$B25&amp;" ~*")=0),($R25+COUNTIF($H$158:$H166,$B25)+COUNTIF($H$158:$H166,$B25&amp;" ~*"))*1000+IF(AS167&gt;100,500,0)+6,"")</f>
        <v/>
      </c>
      <c r="BS167">
        <f>IF(AND(AT167&lt;&gt;"",COUNTIF($W$56:$W$56,$B26)+COUNTIF($W$56:$W$56,$B26&amp;" ~*")=0),($R26+COUNTIF($H$158:$H166,$B26)+COUNTIF($H$158:$H166,$B26&amp;" ~*"))*1000+IF(AT167&gt;100,500,0)+7,"")</f>
        <v/>
      </c>
      <c r="BT167">
        <f>IF(AND(AU167&lt;&gt;"",COUNTIF($W$56:$W$56,$B27)+COUNTIF($W$56:$W$56,$B27&amp;" ~*")=0),($R27+COUNTIF($H$158:$H166,$B27)+COUNTIF($H$158:$H166,$B27&amp;" ~*"))*1000+IF(AU167&gt;100,500,0)+8,"")</f>
        <v/>
      </c>
      <c r="BU167">
        <f>IF(AND(AV167&lt;&gt;"",COUNTIF($W$56:$W$56,$B28)+COUNTIF($W$56:$W$56,$B28&amp;" ~*")=0),($R28+COUNTIF($H$158:$H166,$B28)+COUNTIF($H$158:$H166,$B28&amp;" ~*"))*1000+IF(AV167&gt;100,500,0)+9,"")</f>
        <v/>
      </c>
      <c r="BV167">
        <f>IF(AND(AW167&lt;&gt;"",COUNTIF($W$56:$W$56,$B29)+COUNTIF($W$56:$W$56,$B29&amp;" ~*")=0),($R29+COUNTIF($H$158:$H166,$B29)+COUNTIF($H$158:$H166,$B29&amp;" ~*"))*1000+IF(AW167&gt;100,500,0)+10,"")</f>
        <v/>
      </c>
      <c r="BW167">
        <f>IF(AND(AX167&lt;&gt;"",COUNTIF($W$56:$W$56,$B30)+COUNTIF($W$56:$W$56,$B30&amp;" ~*")=0),($R30+COUNTIF($H$158:$H166,$B30)+COUNTIF($H$158:$H166,$B30&amp;" ~*"))*1000+IF(AX167&gt;100,500,0)+11,"")</f>
        <v/>
      </c>
      <c r="BX167">
        <f>IF(AND(AY167&lt;&gt;"",COUNTIF($W$56:$W$56,$B31)+COUNTIF($W$56:$W$56,$B31&amp;" ~*")=0),($R31+COUNTIF($H$158:$H166,$B31)+COUNTIF($H$158:$H166,$B31&amp;" ~*"))*1000+IF(AY167&gt;100,500,0)+12,"")</f>
        <v/>
      </c>
      <c r="BY167">
        <f>IF(AND(AZ167&lt;&gt;"",COUNTIF($W$56:$W$56,$B32)+COUNTIF($W$56:$W$56,$B32&amp;" ~*")=0),($R32+COUNTIF($H$158:$H166,$B32)+COUNTIF($H$158:$H166,$B32&amp;" ~*"))*1000+IF(AZ167&gt;100,500,0)+13,"")</f>
        <v/>
      </c>
      <c r="BZ167">
        <f>IF(AND(BA167&lt;&gt;"",COUNTIF($W$56:$W$56,$B33)+COUNTIF($W$56:$W$56,$B33&amp;" ~*")=0),($R33+COUNTIF($H$158:$H166,$B33)+COUNTIF($H$158:$H166,$B33&amp;" ~*"))*1000+IF(BA167&gt;100,500,0)+14,"")</f>
        <v/>
      </c>
      <c r="CA167">
        <f>IF(AND(BB167&lt;&gt;"",COUNTIF($W$56:$W$56,$B34)+COUNTIF($W$56:$W$56,$B34&amp;" ~*")=0),($R34+COUNTIF($H$158:$H166,$B34)+COUNTIF($H$158:$H166,$B34&amp;" ~*"))*1000+IF(BB167&gt;100,500,0)+15,"")</f>
        <v/>
      </c>
      <c r="CB167">
        <f>IF(AND(BC167&lt;&gt;"",COUNTIF($W$56:$W$56,$B35)+COUNTIF($W$56:$W$56,$B35&amp;" ~*")=0),($R35+COUNTIF($H$158:$H166,$B35)+COUNTIF($H$158:$H166,$B35&amp;" ~*"))*1000+IF(BC167&gt;100,500,0)+16,"")</f>
        <v/>
      </c>
      <c r="CC167">
        <f>IF(AND(BD167&lt;&gt;"",COUNTIF($W$56:$W$56,$B36)+COUNTIF($W$56:$W$56,$B36&amp;" ~*")=0),($R36+COUNTIF($H$158:$H166,$B36)+COUNTIF($H$158:$H166,$B36&amp;" ~*"))*1000+IF(BD167&gt;100,500,0)+17,"")</f>
        <v/>
      </c>
      <c r="CD167">
        <f>IF(AND(BE167&lt;&gt;"",COUNTIF($W$56:$W$56,$B37)+COUNTIF($W$56:$W$56,$B37&amp;" ~*")=0),($R37+COUNTIF($H$158:$H166,$B37)+COUNTIF($H$158:$H166,$B37&amp;" ~*"))*1000+IF(BE167&gt;100,500,0)+18,"")</f>
        <v/>
      </c>
      <c r="CE167">
        <f>IF(AND(BF167&lt;&gt;"",COUNTIF($W$56:$W$56,$B38)+COUNTIF($W$56:$W$56,$B38&amp;" ~*")=0),($R38+COUNTIF($H$158:$H166,$B38)+COUNTIF($H$158:$H166,$B38&amp;" ~*"))*1000+IF(BF167&gt;100,500,0)+19,"")</f>
        <v/>
      </c>
      <c r="CF167">
        <f>IF(AND(BG167&lt;&gt;"",COUNTIF($W$56:$W$56,$B39)+COUNTIF($W$56:$W$56,$B39&amp;" ~*")=0),($R39+COUNTIF($H$158:$H166,$B39)+COUNTIF($H$158:$H166,$B39&amp;" ~*"))*1000+IF(BG167&gt;100,500,0)+20,"")</f>
        <v/>
      </c>
      <c r="CG167">
        <f>IF(AND(BH167&lt;&gt;"",COUNTIF($W$56:$W$56,$B40)+COUNTIF($W$56:$W$56,$B40&amp;" ~*")=0),($R40+COUNTIF($H$158:$H166,$B40)+COUNTIF($H$158:$H166,$B40&amp;" ~*"))*1000+IF(BH167&gt;100,500,0)+21,"")</f>
        <v/>
      </c>
      <c r="CH167">
        <f>IF(AND(BI167&lt;&gt;"",COUNTIF($W$56:$W$56,$B41)+COUNTIF($W$56:$W$56,$B41&amp;" ~*")=0),($R41+COUNTIF($H$158:$H166,$B41)+COUNTIF($H$158:$H166,$B41&amp;" ~*"))*1000+IF(BI167&gt;100,500,0)+22,"")</f>
        <v/>
      </c>
      <c r="CI167">
        <f>IF(AND(BJ167&lt;&gt;"",COUNTIF($W$56:$W$56,$B42)+COUNTIF($W$56:$W$56,$B42&amp;" ~*")=0),($R42+COUNTIF($H$158:$H166,$B42)+COUNTIF($H$158:$H166,$B42&amp;" ~*"))*1000+IF(BJ167&gt;100,500,0)+23,"")</f>
        <v/>
      </c>
      <c r="CJ167">
        <f>IF(AND(BK167&lt;&gt;"",COUNTIF($W$56:$W$56,$B43)+COUNTIF($W$56:$W$56,$B43&amp;" ~*")=0),($R43+COUNTIF($H$158:$H166,$B43)+COUNTIF($H$158:$H166,$B43&amp;" ~*"))*1000+IF(BK167&gt;100,500,0)+24,"")</f>
        <v/>
      </c>
    </row>
    <row r="168">
      <c r="A168" t="n">
        <v>6</v>
      </c>
      <c r="B168" t="n">
        <v>11</v>
      </c>
      <c r="C168">
        <f>$B$57</f>
        <v/>
      </c>
      <c r="D168" t="inlineStr">
        <is>
          <t>Sat</t>
        </is>
      </c>
      <c r="E168">
        <f>IF(C168="","",N($AC$57))</f>
        <v/>
      </c>
      <c r="F168">
        <f>IF(C168="","",COUNTIF($W$57:$W$57,"?*"))</f>
        <v/>
      </c>
      <c r="G168">
        <f>IF(C168="","",MAX(0,E168-F168))</f>
        <v/>
      </c>
      <c r="H168">
        <f>IF(N(G168)=0,"",IF(COUNT(BM168:CJ168)=0,"no-one eligible",INDEX(Engine!$B$20:$B$43,MOD(MIN(BM168:CJ168),500))&amp;IF(MOD(MIN(BM168:CJ168),1000)&gt;=500," *","")))</f>
        <v/>
      </c>
      <c r="I168">
        <f>IF(N(G168)&gt;0,COUNTIF($G$68:G168,"&gt;0"),"")</f>
        <v/>
      </c>
      <c r="J168">
        <f>IF(C168="","",IF($W$57="",0,IF(IFERROR(INDEX(Setup!$O$6:$AL$23,11,MATCH(SUBSTITUTE($W$57," *",""),Setup!$B$6:$B$29,0)),"")="",1,0)))</f>
        <v/>
      </c>
      <c r="K168">
        <f>IF($B$12+5=TODAY(),1,0)</f>
        <v/>
      </c>
      <c r="N168">
        <f>COUNT($AN168:$BK168)</f>
        <v/>
      </c>
      <c r="O168">
        <f>IF(1&gt;$N168,"",INDEX(Engine!$B$20:$B$43,MOD(SMALL($AN168:$BK168,1),100))&amp;IF(SMALL($AN168:$BK168,1)&gt;100," *",""))</f>
        <v/>
      </c>
      <c r="P168">
        <f>IF(2&gt;$N168,"",INDEX(Engine!$B$20:$B$43,MOD(SMALL($AN168:$BK168,2),100))&amp;IF(SMALL($AN168:$BK168,2)&gt;100," *",""))</f>
        <v/>
      </c>
      <c r="Q168">
        <f>IF(3&gt;$N168,"",INDEX(Engine!$B$20:$B$43,MOD(SMALL($AN168:$BK168,3),100))&amp;IF(SMALL($AN168:$BK168,3)&gt;100," *",""))</f>
        <v/>
      </c>
      <c r="R168">
        <f>IF(4&gt;$N168,"",INDEX(Engine!$B$20:$B$43,MOD(SMALL($AN168:$BK168,4),100))&amp;IF(SMALL($AN168:$BK168,4)&gt;100," *",""))</f>
        <v/>
      </c>
      <c r="S168">
        <f>IF(5&gt;$N168,"",INDEX(Engine!$B$20:$B$43,MOD(SMALL($AN168:$BK168,5),100))&amp;IF(SMALL($AN168:$BK168,5)&gt;100," *",""))</f>
        <v/>
      </c>
      <c r="T168">
        <f>IF(6&gt;$N168,"",INDEX(Engine!$B$20:$B$43,MOD(SMALL($AN168:$BK168,6),100))&amp;IF(SMALL($AN168:$BK168,6)&gt;100," *",""))</f>
        <v/>
      </c>
      <c r="U168">
        <f>IF(7&gt;$N168,"",INDEX(Engine!$B$20:$B$43,MOD(SMALL($AN168:$BK168,7),100))&amp;IF(SMALL($AN168:$BK168,7)&gt;100," *",""))</f>
        <v/>
      </c>
      <c r="V168">
        <f>IF(8&gt;$N168,"",INDEX(Engine!$B$20:$B$43,MOD(SMALL($AN168:$BK168,8),100))&amp;IF(SMALL($AN168:$BK168,8)&gt;100," *",""))</f>
        <v/>
      </c>
      <c r="W168">
        <f>IF(9&gt;$N168,"",INDEX(Engine!$B$20:$B$43,MOD(SMALL($AN168:$BK168,9),100))&amp;IF(SMALL($AN168:$BK168,9)&gt;100," *",""))</f>
        <v/>
      </c>
      <c r="X168">
        <f>IF(10&gt;$N168,"",INDEX(Engine!$B$20:$B$43,MOD(SMALL($AN168:$BK168,10),100))&amp;IF(SMALL($AN168:$BK168,10)&gt;100," *",""))</f>
        <v/>
      </c>
      <c r="Y168">
        <f>IF(11&gt;$N168,"",INDEX(Engine!$B$20:$B$43,MOD(SMALL($AN168:$BK168,11),100))&amp;IF(SMALL($AN168:$BK168,11)&gt;100," *",""))</f>
        <v/>
      </c>
      <c r="Z168">
        <f>IF(12&gt;$N168,"",INDEX(Engine!$B$20:$B$43,MOD(SMALL($AN168:$BK168,12),100))&amp;IF(SMALL($AN168:$BK168,12)&gt;100," *",""))</f>
        <v/>
      </c>
      <c r="AA168">
        <f>IF(13&gt;$N168,"",INDEX(Engine!$B$20:$B$43,MOD(SMALL($AN168:$BK168,13),100))&amp;IF(SMALL($AN168:$BK168,13)&gt;100," *",""))</f>
        <v/>
      </c>
      <c r="AB168">
        <f>IF(14&gt;$N168,"",INDEX(Engine!$B$20:$B$43,MOD(SMALL($AN168:$BK168,14),100))&amp;IF(SMALL($AN168:$BK168,14)&gt;100," *",""))</f>
        <v/>
      </c>
      <c r="AC168">
        <f>IF(15&gt;$N168,"",INDEX(Engine!$B$20:$B$43,MOD(SMALL($AN168:$BK168,15),100))&amp;IF(SMALL($AN168:$BK168,15)&gt;100," *",""))</f>
        <v/>
      </c>
      <c r="AD168">
        <f>IF(16&gt;$N168,"",INDEX(Engine!$B$20:$B$43,MOD(SMALL($AN168:$BK168,16),100))&amp;IF(SMALL($AN168:$BK168,16)&gt;100," *",""))</f>
        <v/>
      </c>
      <c r="AE168">
        <f>IF(17&gt;$N168,"",INDEX(Engine!$B$20:$B$43,MOD(SMALL($AN168:$BK168,17),100))&amp;IF(SMALL($AN168:$BK168,17)&gt;100," *",""))</f>
        <v/>
      </c>
      <c r="AF168">
        <f>IF(18&gt;$N168,"",INDEX(Engine!$B$20:$B$43,MOD(SMALL($AN168:$BK168,18),100))&amp;IF(SMALL($AN168:$BK168,18)&gt;100," *",""))</f>
        <v/>
      </c>
      <c r="AG168">
        <f>IF(19&gt;$N168,"",INDEX(Engine!$B$20:$B$43,MOD(SMALL($AN168:$BK168,19),100))&amp;IF(SMALL($AN168:$BK168,19)&gt;100," *",""))</f>
        <v/>
      </c>
      <c r="AH168">
        <f>IF(20&gt;$N168,"",INDEX(Engine!$B$20:$B$43,MOD(SMALL($AN168:$BK168,20),100))&amp;IF(SMALL($AN168:$BK168,20)&gt;100," *",""))</f>
        <v/>
      </c>
      <c r="AI168">
        <f>IF(21&gt;$N168,"",INDEX(Engine!$B$20:$B$43,MOD(SMALL($AN168:$BK168,21),100))&amp;IF(SMALL($AN168:$BK168,21)&gt;100," *",""))</f>
        <v/>
      </c>
      <c r="AJ168">
        <f>IF(22&gt;$N168,"",INDEX(Engine!$B$20:$B$43,MOD(SMALL($AN168:$BK168,22),100))&amp;IF(SMALL($AN168:$BK168,22)&gt;100," *",""))</f>
        <v/>
      </c>
      <c r="AK168">
        <f>IF(23&gt;$N168,"",INDEX(Engine!$B$20:$B$43,MOD(SMALL($AN168:$BK168,23),100))&amp;IF(SMALL($AN168:$BK168,23)&gt;100," *",""))</f>
        <v/>
      </c>
      <c r="AL168">
        <f>IF(24&gt;$N168,"",INDEX(Engine!$B$20:$B$43,MOD(SMALL($AN168:$BK168,24),100))&amp;IF(SMALL($AN168:$BK168,24)&gt;100," *",""))</f>
        <v/>
      </c>
      <c r="AN168">
        <f>IF(AND($C20=1,INDEX(Setup!$O$6:$AL$23,11,1)&lt;&gt;"",P20=0),1+IF(INDEX(Setup!$O$6:$AL$23,11,1)="T",100,0),"")</f>
        <v/>
      </c>
      <c r="AO168">
        <f>IF(AND($C21=1,INDEX(Setup!$O$6:$AL$23,11,2)&lt;&gt;"",P21=0),2+IF(INDEX(Setup!$O$6:$AL$23,11,2)="T",100,0),"")</f>
        <v/>
      </c>
      <c r="AP168">
        <f>IF(AND($C22=1,INDEX(Setup!$O$6:$AL$23,11,3)&lt;&gt;"",P22=0),3+IF(INDEX(Setup!$O$6:$AL$23,11,3)="T",100,0),"")</f>
        <v/>
      </c>
      <c r="AQ168">
        <f>IF(AND($C23=1,INDEX(Setup!$O$6:$AL$23,11,4)&lt;&gt;"",P23=0),4+IF(INDEX(Setup!$O$6:$AL$23,11,4)="T",100,0),"")</f>
        <v/>
      </c>
      <c r="AR168">
        <f>IF(AND($C24=1,INDEX(Setup!$O$6:$AL$23,11,5)&lt;&gt;"",P24=0),5+IF(INDEX(Setup!$O$6:$AL$23,11,5)="T",100,0),"")</f>
        <v/>
      </c>
      <c r="AS168">
        <f>IF(AND($C25=1,INDEX(Setup!$O$6:$AL$23,11,6)&lt;&gt;"",P25=0),6+IF(INDEX(Setup!$O$6:$AL$23,11,6)="T",100,0),"")</f>
        <v/>
      </c>
      <c r="AT168">
        <f>IF(AND($C26=1,INDEX(Setup!$O$6:$AL$23,11,7)&lt;&gt;"",P26=0),7+IF(INDEX(Setup!$O$6:$AL$23,11,7)="T",100,0),"")</f>
        <v/>
      </c>
      <c r="AU168">
        <f>IF(AND($C27=1,INDEX(Setup!$O$6:$AL$23,11,8)&lt;&gt;"",P27=0),8+IF(INDEX(Setup!$O$6:$AL$23,11,8)="T",100,0),"")</f>
        <v/>
      </c>
      <c r="AV168">
        <f>IF(AND($C28=1,INDEX(Setup!$O$6:$AL$23,11,9)&lt;&gt;"",P28=0),9+IF(INDEX(Setup!$O$6:$AL$23,11,9)="T",100,0),"")</f>
        <v/>
      </c>
      <c r="AW168">
        <f>IF(AND($C29=1,INDEX(Setup!$O$6:$AL$23,11,10)&lt;&gt;"",P29=0),10+IF(INDEX(Setup!$O$6:$AL$23,11,10)="T",100,0),"")</f>
        <v/>
      </c>
      <c r="AX168">
        <f>IF(AND($C30=1,INDEX(Setup!$O$6:$AL$23,11,11)&lt;&gt;"",P30=0),11+IF(INDEX(Setup!$O$6:$AL$23,11,11)="T",100,0),"")</f>
        <v/>
      </c>
      <c r="AY168">
        <f>IF(AND($C31=1,INDEX(Setup!$O$6:$AL$23,11,12)&lt;&gt;"",P31=0),12+IF(INDEX(Setup!$O$6:$AL$23,11,12)="T",100,0),"")</f>
        <v/>
      </c>
      <c r="AZ168">
        <f>IF(AND($C32=1,INDEX(Setup!$O$6:$AL$23,11,13)&lt;&gt;"",P32=0),13+IF(INDEX(Setup!$O$6:$AL$23,11,13)="T",100,0),"")</f>
        <v/>
      </c>
      <c r="BA168">
        <f>IF(AND($C33=1,INDEX(Setup!$O$6:$AL$23,11,14)&lt;&gt;"",P33=0),14+IF(INDEX(Setup!$O$6:$AL$23,11,14)="T",100,0),"")</f>
        <v/>
      </c>
      <c r="BB168">
        <f>IF(AND($C34=1,INDEX(Setup!$O$6:$AL$23,11,15)&lt;&gt;"",P34=0),15+IF(INDEX(Setup!$O$6:$AL$23,11,15)="T",100,0),"")</f>
        <v/>
      </c>
      <c r="BC168">
        <f>IF(AND($C35=1,INDEX(Setup!$O$6:$AL$23,11,16)&lt;&gt;"",P35=0),16+IF(INDEX(Setup!$O$6:$AL$23,11,16)="T",100,0),"")</f>
        <v/>
      </c>
      <c r="BD168">
        <f>IF(AND($C36=1,INDEX(Setup!$O$6:$AL$23,11,17)&lt;&gt;"",P36=0),17+IF(INDEX(Setup!$O$6:$AL$23,11,17)="T",100,0),"")</f>
        <v/>
      </c>
      <c r="BE168">
        <f>IF(AND($C37=1,INDEX(Setup!$O$6:$AL$23,11,18)&lt;&gt;"",P37=0),18+IF(INDEX(Setup!$O$6:$AL$23,11,18)="T",100,0),"")</f>
        <v/>
      </c>
      <c r="BF168">
        <f>IF(AND($C38=1,INDEX(Setup!$O$6:$AL$23,11,19)&lt;&gt;"",P38=0),19+IF(INDEX(Setup!$O$6:$AL$23,11,19)="T",100,0),"")</f>
        <v/>
      </c>
      <c r="BG168">
        <f>IF(AND($C39=1,INDEX(Setup!$O$6:$AL$23,11,20)&lt;&gt;"",P39=0),20+IF(INDEX(Setup!$O$6:$AL$23,11,20)="T",100,0),"")</f>
        <v/>
      </c>
      <c r="BH168">
        <f>IF(AND($C40=1,INDEX(Setup!$O$6:$AL$23,11,21)&lt;&gt;"",P40=0),21+IF(INDEX(Setup!$O$6:$AL$23,11,21)="T",100,0),"")</f>
        <v/>
      </c>
      <c r="BI168">
        <f>IF(AND($C41=1,INDEX(Setup!$O$6:$AL$23,11,22)&lt;&gt;"",P41=0),22+IF(INDEX(Setup!$O$6:$AL$23,11,22)="T",100,0),"")</f>
        <v/>
      </c>
      <c r="BJ168">
        <f>IF(AND($C42=1,INDEX(Setup!$O$6:$AL$23,11,23)&lt;&gt;"",P42=0),23+IF(INDEX(Setup!$O$6:$AL$23,11,23)="T",100,0),"")</f>
        <v/>
      </c>
      <c r="BK168">
        <f>IF(AND($C43=1,INDEX(Setup!$O$6:$AL$23,11,24)&lt;&gt;"",P43=0),24+IF(INDEX(Setup!$O$6:$AL$23,11,24)="T",100,0),"")</f>
        <v/>
      </c>
      <c r="BM168">
        <f>IF(AND(AN168&lt;&gt;"",COUNTIF($W$57:$W$57,$B20)+COUNTIF($W$57:$W$57,$B20&amp;" ~*")=0),($R20+COUNTIF($H$158:$H167,$B20)+COUNTIF($H$158:$H167,$B20&amp;" ~*"))*1000+IF(AN168&gt;100,500,0)+1,"")</f>
        <v/>
      </c>
      <c r="BN168">
        <f>IF(AND(AO168&lt;&gt;"",COUNTIF($W$57:$W$57,$B21)+COUNTIF($W$57:$W$57,$B21&amp;" ~*")=0),($R21+COUNTIF($H$158:$H167,$B21)+COUNTIF($H$158:$H167,$B21&amp;" ~*"))*1000+IF(AO168&gt;100,500,0)+2,"")</f>
        <v/>
      </c>
      <c r="BO168">
        <f>IF(AND(AP168&lt;&gt;"",COUNTIF($W$57:$W$57,$B22)+COUNTIF($W$57:$W$57,$B22&amp;" ~*")=0),($R22+COUNTIF($H$158:$H167,$B22)+COUNTIF($H$158:$H167,$B22&amp;" ~*"))*1000+IF(AP168&gt;100,500,0)+3,"")</f>
        <v/>
      </c>
      <c r="BP168">
        <f>IF(AND(AQ168&lt;&gt;"",COUNTIF($W$57:$W$57,$B23)+COUNTIF($W$57:$W$57,$B23&amp;" ~*")=0),($R23+COUNTIF($H$158:$H167,$B23)+COUNTIF($H$158:$H167,$B23&amp;" ~*"))*1000+IF(AQ168&gt;100,500,0)+4,"")</f>
        <v/>
      </c>
      <c r="BQ168">
        <f>IF(AND(AR168&lt;&gt;"",COUNTIF($W$57:$W$57,$B24)+COUNTIF($W$57:$W$57,$B24&amp;" ~*")=0),($R24+COUNTIF($H$158:$H167,$B24)+COUNTIF($H$158:$H167,$B24&amp;" ~*"))*1000+IF(AR168&gt;100,500,0)+5,"")</f>
        <v/>
      </c>
      <c r="BR168">
        <f>IF(AND(AS168&lt;&gt;"",COUNTIF($W$57:$W$57,$B25)+COUNTIF($W$57:$W$57,$B25&amp;" ~*")=0),($R25+COUNTIF($H$158:$H167,$B25)+COUNTIF($H$158:$H167,$B25&amp;" ~*"))*1000+IF(AS168&gt;100,500,0)+6,"")</f>
        <v/>
      </c>
      <c r="BS168">
        <f>IF(AND(AT168&lt;&gt;"",COUNTIF($W$57:$W$57,$B26)+COUNTIF($W$57:$W$57,$B26&amp;" ~*")=0),($R26+COUNTIF($H$158:$H167,$B26)+COUNTIF($H$158:$H167,$B26&amp;" ~*"))*1000+IF(AT168&gt;100,500,0)+7,"")</f>
        <v/>
      </c>
      <c r="BT168">
        <f>IF(AND(AU168&lt;&gt;"",COUNTIF($W$57:$W$57,$B27)+COUNTIF($W$57:$W$57,$B27&amp;" ~*")=0),($R27+COUNTIF($H$158:$H167,$B27)+COUNTIF($H$158:$H167,$B27&amp;" ~*"))*1000+IF(AU168&gt;100,500,0)+8,"")</f>
        <v/>
      </c>
      <c r="BU168">
        <f>IF(AND(AV168&lt;&gt;"",COUNTIF($W$57:$W$57,$B28)+COUNTIF($W$57:$W$57,$B28&amp;" ~*")=0),($R28+COUNTIF($H$158:$H167,$B28)+COUNTIF($H$158:$H167,$B28&amp;" ~*"))*1000+IF(AV168&gt;100,500,0)+9,"")</f>
        <v/>
      </c>
      <c r="BV168">
        <f>IF(AND(AW168&lt;&gt;"",COUNTIF($W$57:$W$57,$B29)+COUNTIF($W$57:$W$57,$B29&amp;" ~*")=0),($R29+COUNTIF($H$158:$H167,$B29)+COUNTIF($H$158:$H167,$B29&amp;" ~*"))*1000+IF(AW168&gt;100,500,0)+10,"")</f>
        <v/>
      </c>
      <c r="BW168">
        <f>IF(AND(AX168&lt;&gt;"",COUNTIF($W$57:$W$57,$B30)+COUNTIF($W$57:$W$57,$B30&amp;" ~*")=0),($R30+COUNTIF($H$158:$H167,$B30)+COUNTIF($H$158:$H167,$B30&amp;" ~*"))*1000+IF(AX168&gt;100,500,0)+11,"")</f>
        <v/>
      </c>
      <c r="BX168">
        <f>IF(AND(AY168&lt;&gt;"",COUNTIF($W$57:$W$57,$B31)+COUNTIF($W$57:$W$57,$B31&amp;" ~*")=0),($R31+COUNTIF($H$158:$H167,$B31)+COUNTIF($H$158:$H167,$B31&amp;" ~*"))*1000+IF(AY168&gt;100,500,0)+12,"")</f>
        <v/>
      </c>
      <c r="BY168">
        <f>IF(AND(AZ168&lt;&gt;"",COUNTIF($W$57:$W$57,$B32)+COUNTIF($W$57:$W$57,$B32&amp;" ~*")=0),($R32+COUNTIF($H$158:$H167,$B32)+COUNTIF($H$158:$H167,$B32&amp;" ~*"))*1000+IF(AZ168&gt;100,500,0)+13,"")</f>
        <v/>
      </c>
      <c r="BZ168">
        <f>IF(AND(BA168&lt;&gt;"",COUNTIF($W$57:$W$57,$B33)+COUNTIF($W$57:$W$57,$B33&amp;" ~*")=0),($R33+COUNTIF($H$158:$H167,$B33)+COUNTIF($H$158:$H167,$B33&amp;" ~*"))*1000+IF(BA168&gt;100,500,0)+14,"")</f>
        <v/>
      </c>
      <c r="CA168">
        <f>IF(AND(BB168&lt;&gt;"",COUNTIF($W$57:$W$57,$B34)+COUNTIF($W$57:$W$57,$B34&amp;" ~*")=0),($R34+COUNTIF($H$158:$H167,$B34)+COUNTIF($H$158:$H167,$B34&amp;" ~*"))*1000+IF(BB168&gt;100,500,0)+15,"")</f>
        <v/>
      </c>
      <c r="CB168">
        <f>IF(AND(BC168&lt;&gt;"",COUNTIF($W$57:$W$57,$B35)+COUNTIF($W$57:$W$57,$B35&amp;" ~*")=0),($R35+COUNTIF($H$158:$H167,$B35)+COUNTIF($H$158:$H167,$B35&amp;" ~*"))*1000+IF(BC168&gt;100,500,0)+16,"")</f>
        <v/>
      </c>
      <c r="CC168">
        <f>IF(AND(BD168&lt;&gt;"",COUNTIF($W$57:$W$57,$B36)+COUNTIF($W$57:$W$57,$B36&amp;" ~*")=0),($R36+COUNTIF($H$158:$H167,$B36)+COUNTIF($H$158:$H167,$B36&amp;" ~*"))*1000+IF(BD168&gt;100,500,0)+17,"")</f>
        <v/>
      </c>
      <c r="CD168">
        <f>IF(AND(BE168&lt;&gt;"",COUNTIF($W$57:$W$57,$B37)+COUNTIF($W$57:$W$57,$B37&amp;" ~*")=0),($R37+COUNTIF($H$158:$H167,$B37)+COUNTIF($H$158:$H167,$B37&amp;" ~*"))*1000+IF(BE168&gt;100,500,0)+18,"")</f>
        <v/>
      </c>
      <c r="CE168">
        <f>IF(AND(BF168&lt;&gt;"",COUNTIF($W$57:$W$57,$B38)+COUNTIF($W$57:$W$57,$B38&amp;" ~*")=0),($R38+COUNTIF($H$158:$H167,$B38)+COUNTIF($H$158:$H167,$B38&amp;" ~*"))*1000+IF(BF168&gt;100,500,0)+19,"")</f>
        <v/>
      </c>
      <c r="CF168">
        <f>IF(AND(BG168&lt;&gt;"",COUNTIF($W$57:$W$57,$B39)+COUNTIF($W$57:$W$57,$B39&amp;" ~*")=0),($R39+COUNTIF($H$158:$H167,$B39)+COUNTIF($H$158:$H167,$B39&amp;" ~*"))*1000+IF(BG168&gt;100,500,0)+20,"")</f>
        <v/>
      </c>
      <c r="CG168">
        <f>IF(AND(BH168&lt;&gt;"",COUNTIF($W$57:$W$57,$B40)+COUNTIF($W$57:$W$57,$B40&amp;" ~*")=0),($R40+COUNTIF($H$158:$H167,$B40)+COUNTIF($H$158:$H167,$B40&amp;" ~*"))*1000+IF(BH168&gt;100,500,0)+21,"")</f>
        <v/>
      </c>
      <c r="CH168">
        <f>IF(AND(BI168&lt;&gt;"",COUNTIF($W$57:$W$57,$B41)+COUNTIF($W$57:$W$57,$B41&amp;" ~*")=0),($R41+COUNTIF($H$158:$H167,$B41)+COUNTIF($H$158:$H167,$B41&amp;" ~*"))*1000+IF(BI168&gt;100,500,0)+22,"")</f>
        <v/>
      </c>
      <c r="CI168">
        <f>IF(AND(BJ168&lt;&gt;"",COUNTIF($W$57:$W$57,$B42)+COUNTIF($W$57:$W$57,$B42&amp;" ~*")=0),($R42+COUNTIF($H$158:$H167,$B42)+COUNTIF($H$158:$H167,$B42&amp;" ~*"))*1000+IF(BJ168&gt;100,500,0)+23,"")</f>
        <v/>
      </c>
      <c r="CJ168">
        <f>IF(AND(BK168&lt;&gt;"",COUNTIF($W$57:$W$57,$B43)+COUNTIF($W$57:$W$57,$B43&amp;" ~*")=0),($R43+COUNTIF($H$158:$H167,$B43)+COUNTIF($H$158:$H167,$B43&amp;" ~*"))*1000+IF(BK168&gt;100,500,0)+24,"")</f>
        <v/>
      </c>
    </row>
    <row r="169">
      <c r="A169" t="n">
        <v>6</v>
      </c>
      <c r="B169" t="n">
        <v>12</v>
      </c>
      <c r="C169">
        <f>$B$58</f>
        <v/>
      </c>
      <c r="D169" t="inlineStr">
        <is>
          <t>Sat</t>
        </is>
      </c>
      <c r="E169">
        <f>IF(C169="","",N($AC$58))</f>
        <v/>
      </c>
      <c r="F169">
        <f>IF(C169="","",COUNTIF($W$58:$W$58,"?*"))</f>
        <v/>
      </c>
      <c r="G169">
        <f>IF(C169="","",MAX(0,E169-F169))</f>
        <v/>
      </c>
      <c r="H169">
        <f>IF(N(G169)=0,"",IF(COUNT(BM169:CJ169)=0,"no-one eligible",INDEX(Engine!$B$20:$B$43,MOD(MIN(BM169:CJ169),500))&amp;IF(MOD(MIN(BM169:CJ169),1000)&gt;=500," *","")))</f>
        <v/>
      </c>
      <c r="I169">
        <f>IF(N(G169)&gt;0,COUNTIF($G$68:G169,"&gt;0"),"")</f>
        <v/>
      </c>
      <c r="J169">
        <f>IF(C169="","",IF($W$58="",0,IF(IFERROR(INDEX(Setup!$O$6:$AL$23,12,MATCH(SUBSTITUTE($W$58," *",""),Setup!$B$6:$B$29,0)),"")="",1,0)))</f>
        <v/>
      </c>
      <c r="K169">
        <f>IF($B$12+5=TODAY(),1,0)</f>
        <v/>
      </c>
      <c r="N169">
        <f>COUNT($AN169:$BK169)</f>
        <v/>
      </c>
      <c r="O169">
        <f>IF(1&gt;$N169,"",INDEX(Engine!$B$20:$B$43,MOD(SMALL($AN169:$BK169,1),100))&amp;IF(SMALL($AN169:$BK169,1)&gt;100," *",""))</f>
        <v/>
      </c>
      <c r="P169">
        <f>IF(2&gt;$N169,"",INDEX(Engine!$B$20:$B$43,MOD(SMALL($AN169:$BK169,2),100))&amp;IF(SMALL($AN169:$BK169,2)&gt;100," *",""))</f>
        <v/>
      </c>
      <c r="Q169">
        <f>IF(3&gt;$N169,"",INDEX(Engine!$B$20:$B$43,MOD(SMALL($AN169:$BK169,3),100))&amp;IF(SMALL($AN169:$BK169,3)&gt;100," *",""))</f>
        <v/>
      </c>
      <c r="R169">
        <f>IF(4&gt;$N169,"",INDEX(Engine!$B$20:$B$43,MOD(SMALL($AN169:$BK169,4),100))&amp;IF(SMALL($AN169:$BK169,4)&gt;100," *",""))</f>
        <v/>
      </c>
      <c r="S169">
        <f>IF(5&gt;$N169,"",INDEX(Engine!$B$20:$B$43,MOD(SMALL($AN169:$BK169,5),100))&amp;IF(SMALL($AN169:$BK169,5)&gt;100," *",""))</f>
        <v/>
      </c>
      <c r="T169">
        <f>IF(6&gt;$N169,"",INDEX(Engine!$B$20:$B$43,MOD(SMALL($AN169:$BK169,6),100))&amp;IF(SMALL($AN169:$BK169,6)&gt;100," *",""))</f>
        <v/>
      </c>
      <c r="U169">
        <f>IF(7&gt;$N169,"",INDEX(Engine!$B$20:$B$43,MOD(SMALL($AN169:$BK169,7),100))&amp;IF(SMALL($AN169:$BK169,7)&gt;100," *",""))</f>
        <v/>
      </c>
      <c r="V169">
        <f>IF(8&gt;$N169,"",INDEX(Engine!$B$20:$B$43,MOD(SMALL($AN169:$BK169,8),100))&amp;IF(SMALL($AN169:$BK169,8)&gt;100," *",""))</f>
        <v/>
      </c>
      <c r="W169">
        <f>IF(9&gt;$N169,"",INDEX(Engine!$B$20:$B$43,MOD(SMALL($AN169:$BK169,9),100))&amp;IF(SMALL($AN169:$BK169,9)&gt;100," *",""))</f>
        <v/>
      </c>
      <c r="X169">
        <f>IF(10&gt;$N169,"",INDEX(Engine!$B$20:$B$43,MOD(SMALL($AN169:$BK169,10),100))&amp;IF(SMALL($AN169:$BK169,10)&gt;100," *",""))</f>
        <v/>
      </c>
      <c r="Y169">
        <f>IF(11&gt;$N169,"",INDEX(Engine!$B$20:$B$43,MOD(SMALL($AN169:$BK169,11),100))&amp;IF(SMALL($AN169:$BK169,11)&gt;100," *",""))</f>
        <v/>
      </c>
      <c r="Z169">
        <f>IF(12&gt;$N169,"",INDEX(Engine!$B$20:$B$43,MOD(SMALL($AN169:$BK169,12),100))&amp;IF(SMALL($AN169:$BK169,12)&gt;100," *",""))</f>
        <v/>
      </c>
      <c r="AA169">
        <f>IF(13&gt;$N169,"",INDEX(Engine!$B$20:$B$43,MOD(SMALL($AN169:$BK169,13),100))&amp;IF(SMALL($AN169:$BK169,13)&gt;100," *",""))</f>
        <v/>
      </c>
      <c r="AB169">
        <f>IF(14&gt;$N169,"",INDEX(Engine!$B$20:$B$43,MOD(SMALL($AN169:$BK169,14),100))&amp;IF(SMALL($AN169:$BK169,14)&gt;100," *",""))</f>
        <v/>
      </c>
      <c r="AC169">
        <f>IF(15&gt;$N169,"",INDEX(Engine!$B$20:$B$43,MOD(SMALL($AN169:$BK169,15),100))&amp;IF(SMALL($AN169:$BK169,15)&gt;100," *",""))</f>
        <v/>
      </c>
      <c r="AD169">
        <f>IF(16&gt;$N169,"",INDEX(Engine!$B$20:$B$43,MOD(SMALL($AN169:$BK169,16),100))&amp;IF(SMALL($AN169:$BK169,16)&gt;100," *",""))</f>
        <v/>
      </c>
      <c r="AE169">
        <f>IF(17&gt;$N169,"",INDEX(Engine!$B$20:$B$43,MOD(SMALL($AN169:$BK169,17),100))&amp;IF(SMALL($AN169:$BK169,17)&gt;100," *",""))</f>
        <v/>
      </c>
      <c r="AF169">
        <f>IF(18&gt;$N169,"",INDEX(Engine!$B$20:$B$43,MOD(SMALL($AN169:$BK169,18),100))&amp;IF(SMALL($AN169:$BK169,18)&gt;100," *",""))</f>
        <v/>
      </c>
      <c r="AG169">
        <f>IF(19&gt;$N169,"",INDEX(Engine!$B$20:$B$43,MOD(SMALL($AN169:$BK169,19),100))&amp;IF(SMALL($AN169:$BK169,19)&gt;100," *",""))</f>
        <v/>
      </c>
      <c r="AH169">
        <f>IF(20&gt;$N169,"",INDEX(Engine!$B$20:$B$43,MOD(SMALL($AN169:$BK169,20),100))&amp;IF(SMALL($AN169:$BK169,20)&gt;100," *",""))</f>
        <v/>
      </c>
      <c r="AI169">
        <f>IF(21&gt;$N169,"",INDEX(Engine!$B$20:$B$43,MOD(SMALL($AN169:$BK169,21),100))&amp;IF(SMALL($AN169:$BK169,21)&gt;100," *",""))</f>
        <v/>
      </c>
      <c r="AJ169">
        <f>IF(22&gt;$N169,"",INDEX(Engine!$B$20:$B$43,MOD(SMALL($AN169:$BK169,22),100))&amp;IF(SMALL($AN169:$BK169,22)&gt;100," *",""))</f>
        <v/>
      </c>
      <c r="AK169">
        <f>IF(23&gt;$N169,"",INDEX(Engine!$B$20:$B$43,MOD(SMALL($AN169:$BK169,23),100))&amp;IF(SMALL($AN169:$BK169,23)&gt;100," *",""))</f>
        <v/>
      </c>
      <c r="AL169">
        <f>IF(24&gt;$N169,"",INDEX(Engine!$B$20:$B$43,MOD(SMALL($AN169:$BK169,24),100))&amp;IF(SMALL($AN169:$BK169,24)&gt;100," *",""))</f>
        <v/>
      </c>
      <c r="AN169">
        <f>IF(AND($C20=1,INDEX(Setup!$O$6:$AL$23,12,1)&lt;&gt;"",P20=0),1+IF(INDEX(Setup!$O$6:$AL$23,12,1)="T",100,0),"")</f>
        <v/>
      </c>
      <c r="AO169">
        <f>IF(AND($C21=1,INDEX(Setup!$O$6:$AL$23,12,2)&lt;&gt;"",P21=0),2+IF(INDEX(Setup!$O$6:$AL$23,12,2)="T",100,0),"")</f>
        <v/>
      </c>
      <c r="AP169">
        <f>IF(AND($C22=1,INDEX(Setup!$O$6:$AL$23,12,3)&lt;&gt;"",P22=0),3+IF(INDEX(Setup!$O$6:$AL$23,12,3)="T",100,0),"")</f>
        <v/>
      </c>
      <c r="AQ169">
        <f>IF(AND($C23=1,INDEX(Setup!$O$6:$AL$23,12,4)&lt;&gt;"",P23=0),4+IF(INDEX(Setup!$O$6:$AL$23,12,4)="T",100,0),"")</f>
        <v/>
      </c>
      <c r="AR169">
        <f>IF(AND($C24=1,INDEX(Setup!$O$6:$AL$23,12,5)&lt;&gt;"",P24=0),5+IF(INDEX(Setup!$O$6:$AL$23,12,5)="T",100,0),"")</f>
        <v/>
      </c>
      <c r="AS169">
        <f>IF(AND($C25=1,INDEX(Setup!$O$6:$AL$23,12,6)&lt;&gt;"",P25=0),6+IF(INDEX(Setup!$O$6:$AL$23,12,6)="T",100,0),"")</f>
        <v/>
      </c>
      <c r="AT169">
        <f>IF(AND($C26=1,INDEX(Setup!$O$6:$AL$23,12,7)&lt;&gt;"",P26=0),7+IF(INDEX(Setup!$O$6:$AL$23,12,7)="T",100,0),"")</f>
        <v/>
      </c>
      <c r="AU169">
        <f>IF(AND($C27=1,INDEX(Setup!$O$6:$AL$23,12,8)&lt;&gt;"",P27=0),8+IF(INDEX(Setup!$O$6:$AL$23,12,8)="T",100,0),"")</f>
        <v/>
      </c>
      <c r="AV169">
        <f>IF(AND($C28=1,INDEX(Setup!$O$6:$AL$23,12,9)&lt;&gt;"",P28=0),9+IF(INDEX(Setup!$O$6:$AL$23,12,9)="T",100,0),"")</f>
        <v/>
      </c>
      <c r="AW169">
        <f>IF(AND($C29=1,INDEX(Setup!$O$6:$AL$23,12,10)&lt;&gt;"",P29=0),10+IF(INDEX(Setup!$O$6:$AL$23,12,10)="T",100,0),"")</f>
        <v/>
      </c>
      <c r="AX169">
        <f>IF(AND($C30=1,INDEX(Setup!$O$6:$AL$23,12,11)&lt;&gt;"",P30=0),11+IF(INDEX(Setup!$O$6:$AL$23,12,11)="T",100,0),"")</f>
        <v/>
      </c>
      <c r="AY169">
        <f>IF(AND($C31=1,INDEX(Setup!$O$6:$AL$23,12,12)&lt;&gt;"",P31=0),12+IF(INDEX(Setup!$O$6:$AL$23,12,12)="T",100,0),"")</f>
        <v/>
      </c>
      <c r="AZ169">
        <f>IF(AND($C32=1,INDEX(Setup!$O$6:$AL$23,12,13)&lt;&gt;"",P32=0),13+IF(INDEX(Setup!$O$6:$AL$23,12,13)="T",100,0),"")</f>
        <v/>
      </c>
      <c r="BA169">
        <f>IF(AND($C33=1,INDEX(Setup!$O$6:$AL$23,12,14)&lt;&gt;"",P33=0),14+IF(INDEX(Setup!$O$6:$AL$23,12,14)="T",100,0),"")</f>
        <v/>
      </c>
      <c r="BB169">
        <f>IF(AND($C34=1,INDEX(Setup!$O$6:$AL$23,12,15)&lt;&gt;"",P34=0),15+IF(INDEX(Setup!$O$6:$AL$23,12,15)="T",100,0),"")</f>
        <v/>
      </c>
      <c r="BC169">
        <f>IF(AND($C35=1,INDEX(Setup!$O$6:$AL$23,12,16)&lt;&gt;"",P35=0),16+IF(INDEX(Setup!$O$6:$AL$23,12,16)="T",100,0),"")</f>
        <v/>
      </c>
      <c r="BD169">
        <f>IF(AND($C36=1,INDEX(Setup!$O$6:$AL$23,12,17)&lt;&gt;"",P36=0),17+IF(INDEX(Setup!$O$6:$AL$23,12,17)="T",100,0),"")</f>
        <v/>
      </c>
      <c r="BE169">
        <f>IF(AND($C37=1,INDEX(Setup!$O$6:$AL$23,12,18)&lt;&gt;"",P37=0),18+IF(INDEX(Setup!$O$6:$AL$23,12,18)="T",100,0),"")</f>
        <v/>
      </c>
      <c r="BF169">
        <f>IF(AND($C38=1,INDEX(Setup!$O$6:$AL$23,12,19)&lt;&gt;"",P38=0),19+IF(INDEX(Setup!$O$6:$AL$23,12,19)="T",100,0),"")</f>
        <v/>
      </c>
      <c r="BG169">
        <f>IF(AND($C39=1,INDEX(Setup!$O$6:$AL$23,12,20)&lt;&gt;"",P39=0),20+IF(INDEX(Setup!$O$6:$AL$23,12,20)="T",100,0),"")</f>
        <v/>
      </c>
      <c r="BH169">
        <f>IF(AND($C40=1,INDEX(Setup!$O$6:$AL$23,12,21)&lt;&gt;"",P40=0),21+IF(INDEX(Setup!$O$6:$AL$23,12,21)="T",100,0),"")</f>
        <v/>
      </c>
      <c r="BI169">
        <f>IF(AND($C41=1,INDEX(Setup!$O$6:$AL$23,12,22)&lt;&gt;"",P41=0),22+IF(INDEX(Setup!$O$6:$AL$23,12,22)="T",100,0),"")</f>
        <v/>
      </c>
      <c r="BJ169">
        <f>IF(AND($C42=1,INDEX(Setup!$O$6:$AL$23,12,23)&lt;&gt;"",P42=0),23+IF(INDEX(Setup!$O$6:$AL$23,12,23)="T",100,0),"")</f>
        <v/>
      </c>
      <c r="BK169">
        <f>IF(AND($C43=1,INDEX(Setup!$O$6:$AL$23,12,24)&lt;&gt;"",P43=0),24+IF(INDEX(Setup!$O$6:$AL$23,12,24)="T",100,0),"")</f>
        <v/>
      </c>
      <c r="BM169">
        <f>IF(AND(AN169&lt;&gt;"",COUNTIF($W$58:$W$58,$B20)+COUNTIF($W$58:$W$58,$B20&amp;" ~*")=0),($R20+COUNTIF($H$158:$H168,$B20)+COUNTIF($H$158:$H168,$B20&amp;" ~*"))*1000+IF(AN169&gt;100,500,0)+1,"")</f>
        <v/>
      </c>
      <c r="BN169">
        <f>IF(AND(AO169&lt;&gt;"",COUNTIF($W$58:$W$58,$B21)+COUNTIF($W$58:$W$58,$B21&amp;" ~*")=0),($R21+COUNTIF($H$158:$H168,$B21)+COUNTIF($H$158:$H168,$B21&amp;" ~*"))*1000+IF(AO169&gt;100,500,0)+2,"")</f>
        <v/>
      </c>
      <c r="BO169">
        <f>IF(AND(AP169&lt;&gt;"",COUNTIF($W$58:$W$58,$B22)+COUNTIF($W$58:$W$58,$B22&amp;" ~*")=0),($R22+COUNTIF($H$158:$H168,$B22)+COUNTIF($H$158:$H168,$B22&amp;" ~*"))*1000+IF(AP169&gt;100,500,0)+3,"")</f>
        <v/>
      </c>
      <c r="BP169">
        <f>IF(AND(AQ169&lt;&gt;"",COUNTIF($W$58:$W$58,$B23)+COUNTIF($W$58:$W$58,$B23&amp;" ~*")=0),($R23+COUNTIF($H$158:$H168,$B23)+COUNTIF($H$158:$H168,$B23&amp;" ~*"))*1000+IF(AQ169&gt;100,500,0)+4,"")</f>
        <v/>
      </c>
      <c r="BQ169">
        <f>IF(AND(AR169&lt;&gt;"",COUNTIF($W$58:$W$58,$B24)+COUNTIF($W$58:$W$58,$B24&amp;" ~*")=0),($R24+COUNTIF($H$158:$H168,$B24)+COUNTIF($H$158:$H168,$B24&amp;" ~*"))*1000+IF(AR169&gt;100,500,0)+5,"")</f>
        <v/>
      </c>
      <c r="BR169">
        <f>IF(AND(AS169&lt;&gt;"",COUNTIF($W$58:$W$58,$B25)+COUNTIF($W$58:$W$58,$B25&amp;" ~*")=0),($R25+COUNTIF($H$158:$H168,$B25)+COUNTIF($H$158:$H168,$B25&amp;" ~*"))*1000+IF(AS169&gt;100,500,0)+6,"")</f>
        <v/>
      </c>
      <c r="BS169">
        <f>IF(AND(AT169&lt;&gt;"",COUNTIF($W$58:$W$58,$B26)+COUNTIF($W$58:$W$58,$B26&amp;" ~*")=0),($R26+COUNTIF($H$158:$H168,$B26)+COUNTIF($H$158:$H168,$B26&amp;" ~*"))*1000+IF(AT169&gt;100,500,0)+7,"")</f>
        <v/>
      </c>
      <c r="BT169">
        <f>IF(AND(AU169&lt;&gt;"",COUNTIF($W$58:$W$58,$B27)+COUNTIF($W$58:$W$58,$B27&amp;" ~*")=0),($R27+COUNTIF($H$158:$H168,$B27)+COUNTIF($H$158:$H168,$B27&amp;" ~*"))*1000+IF(AU169&gt;100,500,0)+8,"")</f>
        <v/>
      </c>
      <c r="BU169">
        <f>IF(AND(AV169&lt;&gt;"",COUNTIF($W$58:$W$58,$B28)+COUNTIF($W$58:$W$58,$B28&amp;" ~*")=0),($R28+COUNTIF($H$158:$H168,$B28)+COUNTIF($H$158:$H168,$B28&amp;" ~*"))*1000+IF(AV169&gt;100,500,0)+9,"")</f>
        <v/>
      </c>
      <c r="BV169">
        <f>IF(AND(AW169&lt;&gt;"",COUNTIF($W$58:$W$58,$B29)+COUNTIF($W$58:$W$58,$B29&amp;" ~*")=0),($R29+COUNTIF($H$158:$H168,$B29)+COUNTIF($H$158:$H168,$B29&amp;" ~*"))*1000+IF(AW169&gt;100,500,0)+10,"")</f>
        <v/>
      </c>
      <c r="BW169">
        <f>IF(AND(AX169&lt;&gt;"",COUNTIF($W$58:$W$58,$B30)+COUNTIF($W$58:$W$58,$B30&amp;" ~*")=0),($R30+COUNTIF($H$158:$H168,$B30)+COUNTIF($H$158:$H168,$B30&amp;" ~*"))*1000+IF(AX169&gt;100,500,0)+11,"")</f>
        <v/>
      </c>
      <c r="BX169">
        <f>IF(AND(AY169&lt;&gt;"",COUNTIF($W$58:$W$58,$B31)+COUNTIF($W$58:$W$58,$B31&amp;" ~*")=0),($R31+COUNTIF($H$158:$H168,$B31)+COUNTIF($H$158:$H168,$B31&amp;" ~*"))*1000+IF(AY169&gt;100,500,0)+12,"")</f>
        <v/>
      </c>
      <c r="BY169">
        <f>IF(AND(AZ169&lt;&gt;"",COUNTIF($W$58:$W$58,$B32)+COUNTIF($W$58:$W$58,$B32&amp;" ~*")=0),($R32+COUNTIF($H$158:$H168,$B32)+COUNTIF($H$158:$H168,$B32&amp;" ~*"))*1000+IF(AZ169&gt;100,500,0)+13,"")</f>
        <v/>
      </c>
      <c r="BZ169">
        <f>IF(AND(BA169&lt;&gt;"",COUNTIF($W$58:$W$58,$B33)+COUNTIF($W$58:$W$58,$B33&amp;" ~*")=0),($R33+COUNTIF($H$158:$H168,$B33)+COUNTIF($H$158:$H168,$B33&amp;" ~*"))*1000+IF(BA169&gt;100,500,0)+14,"")</f>
        <v/>
      </c>
      <c r="CA169">
        <f>IF(AND(BB169&lt;&gt;"",COUNTIF($W$58:$W$58,$B34)+COUNTIF($W$58:$W$58,$B34&amp;" ~*")=0),($R34+COUNTIF($H$158:$H168,$B34)+COUNTIF($H$158:$H168,$B34&amp;" ~*"))*1000+IF(BB169&gt;100,500,0)+15,"")</f>
        <v/>
      </c>
      <c r="CB169">
        <f>IF(AND(BC169&lt;&gt;"",COUNTIF($W$58:$W$58,$B35)+COUNTIF($W$58:$W$58,$B35&amp;" ~*")=0),($R35+COUNTIF($H$158:$H168,$B35)+COUNTIF($H$158:$H168,$B35&amp;" ~*"))*1000+IF(BC169&gt;100,500,0)+16,"")</f>
        <v/>
      </c>
      <c r="CC169">
        <f>IF(AND(BD169&lt;&gt;"",COUNTIF($W$58:$W$58,$B36)+COUNTIF($W$58:$W$58,$B36&amp;" ~*")=0),($R36+COUNTIF($H$158:$H168,$B36)+COUNTIF($H$158:$H168,$B36&amp;" ~*"))*1000+IF(BD169&gt;100,500,0)+17,"")</f>
        <v/>
      </c>
      <c r="CD169">
        <f>IF(AND(BE169&lt;&gt;"",COUNTIF($W$58:$W$58,$B37)+COUNTIF($W$58:$W$58,$B37&amp;" ~*")=0),($R37+COUNTIF($H$158:$H168,$B37)+COUNTIF($H$158:$H168,$B37&amp;" ~*"))*1000+IF(BE169&gt;100,500,0)+18,"")</f>
        <v/>
      </c>
      <c r="CE169">
        <f>IF(AND(BF169&lt;&gt;"",COUNTIF($W$58:$W$58,$B38)+COUNTIF($W$58:$W$58,$B38&amp;" ~*")=0),($R38+COUNTIF($H$158:$H168,$B38)+COUNTIF($H$158:$H168,$B38&amp;" ~*"))*1000+IF(BF169&gt;100,500,0)+19,"")</f>
        <v/>
      </c>
      <c r="CF169">
        <f>IF(AND(BG169&lt;&gt;"",COUNTIF($W$58:$W$58,$B39)+COUNTIF($W$58:$W$58,$B39&amp;" ~*")=0),($R39+COUNTIF($H$158:$H168,$B39)+COUNTIF($H$158:$H168,$B39&amp;" ~*"))*1000+IF(BG169&gt;100,500,0)+20,"")</f>
        <v/>
      </c>
      <c r="CG169">
        <f>IF(AND(BH169&lt;&gt;"",COUNTIF($W$58:$W$58,$B40)+COUNTIF($W$58:$W$58,$B40&amp;" ~*")=0),($R40+COUNTIF($H$158:$H168,$B40)+COUNTIF($H$158:$H168,$B40&amp;" ~*"))*1000+IF(BH169&gt;100,500,0)+21,"")</f>
        <v/>
      </c>
      <c r="CH169">
        <f>IF(AND(BI169&lt;&gt;"",COUNTIF($W$58:$W$58,$B41)+COUNTIF($W$58:$W$58,$B41&amp;" ~*")=0),($R41+COUNTIF($H$158:$H168,$B41)+COUNTIF($H$158:$H168,$B41&amp;" ~*"))*1000+IF(BI169&gt;100,500,0)+22,"")</f>
        <v/>
      </c>
      <c r="CI169">
        <f>IF(AND(BJ169&lt;&gt;"",COUNTIF($W$58:$W$58,$B42)+COUNTIF($W$58:$W$58,$B42&amp;" ~*")=0),($R42+COUNTIF($H$158:$H168,$B42)+COUNTIF($H$158:$H168,$B42&amp;" ~*"))*1000+IF(BJ169&gt;100,500,0)+23,"")</f>
        <v/>
      </c>
      <c r="CJ169">
        <f>IF(AND(BK169&lt;&gt;"",COUNTIF($W$58:$W$58,$B43)+COUNTIF($W$58:$W$58,$B43&amp;" ~*")=0),($R43+COUNTIF($H$158:$H168,$B43)+COUNTIF($H$158:$H168,$B43&amp;" ~*"))*1000+IF(BK169&gt;100,500,0)+24,"")</f>
        <v/>
      </c>
    </row>
    <row r="170">
      <c r="A170" t="n">
        <v>6</v>
      </c>
      <c r="B170" t="n">
        <v>13</v>
      </c>
      <c r="C170">
        <f>$B$59</f>
        <v/>
      </c>
      <c r="D170" t="inlineStr">
        <is>
          <t>Sat</t>
        </is>
      </c>
      <c r="E170">
        <f>IF(C170="","",N($AC$59))</f>
        <v/>
      </c>
      <c r="F170">
        <f>IF(C170="","",COUNTIF($W$59:$W$59,"?*"))</f>
        <v/>
      </c>
      <c r="G170">
        <f>IF(C170="","",MAX(0,E170-F170))</f>
        <v/>
      </c>
      <c r="H170">
        <f>IF(N(G170)=0,"",IF(COUNT(BM170:CJ170)=0,"no-one eligible",INDEX(Engine!$B$20:$B$43,MOD(MIN(BM170:CJ170),500))&amp;IF(MOD(MIN(BM170:CJ170),1000)&gt;=500," *","")))</f>
        <v/>
      </c>
      <c r="I170">
        <f>IF(N(G170)&gt;0,COUNTIF($G$68:G170,"&gt;0"),"")</f>
        <v/>
      </c>
      <c r="J170">
        <f>IF(C170="","",IF($W$59="",0,IF(IFERROR(INDEX(Setup!$O$6:$AL$23,13,MATCH(SUBSTITUTE($W$59," *",""),Setup!$B$6:$B$29,0)),"")="",1,0)))</f>
        <v/>
      </c>
      <c r="K170">
        <f>IF($B$12+5=TODAY(),1,0)</f>
        <v/>
      </c>
      <c r="N170">
        <f>COUNT($AN170:$BK170)</f>
        <v/>
      </c>
      <c r="O170">
        <f>IF(1&gt;$N170,"",INDEX(Engine!$B$20:$B$43,MOD(SMALL($AN170:$BK170,1),100))&amp;IF(SMALL($AN170:$BK170,1)&gt;100," *",""))</f>
        <v/>
      </c>
      <c r="P170">
        <f>IF(2&gt;$N170,"",INDEX(Engine!$B$20:$B$43,MOD(SMALL($AN170:$BK170,2),100))&amp;IF(SMALL($AN170:$BK170,2)&gt;100," *",""))</f>
        <v/>
      </c>
      <c r="Q170">
        <f>IF(3&gt;$N170,"",INDEX(Engine!$B$20:$B$43,MOD(SMALL($AN170:$BK170,3),100))&amp;IF(SMALL($AN170:$BK170,3)&gt;100," *",""))</f>
        <v/>
      </c>
      <c r="R170">
        <f>IF(4&gt;$N170,"",INDEX(Engine!$B$20:$B$43,MOD(SMALL($AN170:$BK170,4),100))&amp;IF(SMALL($AN170:$BK170,4)&gt;100," *",""))</f>
        <v/>
      </c>
      <c r="S170">
        <f>IF(5&gt;$N170,"",INDEX(Engine!$B$20:$B$43,MOD(SMALL($AN170:$BK170,5),100))&amp;IF(SMALL($AN170:$BK170,5)&gt;100," *",""))</f>
        <v/>
      </c>
      <c r="T170">
        <f>IF(6&gt;$N170,"",INDEX(Engine!$B$20:$B$43,MOD(SMALL($AN170:$BK170,6),100))&amp;IF(SMALL($AN170:$BK170,6)&gt;100," *",""))</f>
        <v/>
      </c>
      <c r="U170">
        <f>IF(7&gt;$N170,"",INDEX(Engine!$B$20:$B$43,MOD(SMALL($AN170:$BK170,7),100))&amp;IF(SMALL($AN170:$BK170,7)&gt;100," *",""))</f>
        <v/>
      </c>
      <c r="V170">
        <f>IF(8&gt;$N170,"",INDEX(Engine!$B$20:$B$43,MOD(SMALL($AN170:$BK170,8),100))&amp;IF(SMALL($AN170:$BK170,8)&gt;100," *",""))</f>
        <v/>
      </c>
      <c r="W170">
        <f>IF(9&gt;$N170,"",INDEX(Engine!$B$20:$B$43,MOD(SMALL($AN170:$BK170,9),100))&amp;IF(SMALL($AN170:$BK170,9)&gt;100," *",""))</f>
        <v/>
      </c>
      <c r="X170">
        <f>IF(10&gt;$N170,"",INDEX(Engine!$B$20:$B$43,MOD(SMALL($AN170:$BK170,10),100))&amp;IF(SMALL($AN170:$BK170,10)&gt;100," *",""))</f>
        <v/>
      </c>
      <c r="Y170">
        <f>IF(11&gt;$N170,"",INDEX(Engine!$B$20:$B$43,MOD(SMALL($AN170:$BK170,11),100))&amp;IF(SMALL($AN170:$BK170,11)&gt;100," *",""))</f>
        <v/>
      </c>
      <c r="Z170">
        <f>IF(12&gt;$N170,"",INDEX(Engine!$B$20:$B$43,MOD(SMALL($AN170:$BK170,12),100))&amp;IF(SMALL($AN170:$BK170,12)&gt;100," *",""))</f>
        <v/>
      </c>
      <c r="AA170">
        <f>IF(13&gt;$N170,"",INDEX(Engine!$B$20:$B$43,MOD(SMALL($AN170:$BK170,13),100))&amp;IF(SMALL($AN170:$BK170,13)&gt;100," *",""))</f>
        <v/>
      </c>
      <c r="AB170">
        <f>IF(14&gt;$N170,"",INDEX(Engine!$B$20:$B$43,MOD(SMALL($AN170:$BK170,14),100))&amp;IF(SMALL($AN170:$BK170,14)&gt;100," *",""))</f>
        <v/>
      </c>
      <c r="AC170">
        <f>IF(15&gt;$N170,"",INDEX(Engine!$B$20:$B$43,MOD(SMALL($AN170:$BK170,15),100))&amp;IF(SMALL($AN170:$BK170,15)&gt;100," *",""))</f>
        <v/>
      </c>
      <c r="AD170">
        <f>IF(16&gt;$N170,"",INDEX(Engine!$B$20:$B$43,MOD(SMALL($AN170:$BK170,16),100))&amp;IF(SMALL($AN170:$BK170,16)&gt;100," *",""))</f>
        <v/>
      </c>
      <c r="AE170">
        <f>IF(17&gt;$N170,"",INDEX(Engine!$B$20:$B$43,MOD(SMALL($AN170:$BK170,17),100))&amp;IF(SMALL($AN170:$BK170,17)&gt;100," *",""))</f>
        <v/>
      </c>
      <c r="AF170">
        <f>IF(18&gt;$N170,"",INDEX(Engine!$B$20:$B$43,MOD(SMALL($AN170:$BK170,18),100))&amp;IF(SMALL($AN170:$BK170,18)&gt;100," *",""))</f>
        <v/>
      </c>
      <c r="AG170">
        <f>IF(19&gt;$N170,"",INDEX(Engine!$B$20:$B$43,MOD(SMALL($AN170:$BK170,19),100))&amp;IF(SMALL($AN170:$BK170,19)&gt;100," *",""))</f>
        <v/>
      </c>
      <c r="AH170">
        <f>IF(20&gt;$N170,"",INDEX(Engine!$B$20:$B$43,MOD(SMALL($AN170:$BK170,20),100))&amp;IF(SMALL($AN170:$BK170,20)&gt;100," *",""))</f>
        <v/>
      </c>
      <c r="AI170">
        <f>IF(21&gt;$N170,"",INDEX(Engine!$B$20:$B$43,MOD(SMALL($AN170:$BK170,21),100))&amp;IF(SMALL($AN170:$BK170,21)&gt;100," *",""))</f>
        <v/>
      </c>
      <c r="AJ170">
        <f>IF(22&gt;$N170,"",INDEX(Engine!$B$20:$B$43,MOD(SMALL($AN170:$BK170,22),100))&amp;IF(SMALL($AN170:$BK170,22)&gt;100," *",""))</f>
        <v/>
      </c>
      <c r="AK170">
        <f>IF(23&gt;$N170,"",INDEX(Engine!$B$20:$B$43,MOD(SMALL($AN170:$BK170,23),100))&amp;IF(SMALL($AN170:$BK170,23)&gt;100," *",""))</f>
        <v/>
      </c>
      <c r="AL170">
        <f>IF(24&gt;$N170,"",INDEX(Engine!$B$20:$B$43,MOD(SMALL($AN170:$BK170,24),100))&amp;IF(SMALL($AN170:$BK170,24)&gt;100," *",""))</f>
        <v/>
      </c>
      <c r="AN170">
        <f>IF(AND($C20=1,INDEX(Setup!$O$6:$AL$23,13,1)&lt;&gt;"",P20=0),1+IF(INDEX(Setup!$O$6:$AL$23,13,1)="T",100,0),"")</f>
        <v/>
      </c>
      <c r="AO170">
        <f>IF(AND($C21=1,INDEX(Setup!$O$6:$AL$23,13,2)&lt;&gt;"",P21=0),2+IF(INDEX(Setup!$O$6:$AL$23,13,2)="T",100,0),"")</f>
        <v/>
      </c>
      <c r="AP170">
        <f>IF(AND($C22=1,INDEX(Setup!$O$6:$AL$23,13,3)&lt;&gt;"",P22=0),3+IF(INDEX(Setup!$O$6:$AL$23,13,3)="T",100,0),"")</f>
        <v/>
      </c>
      <c r="AQ170">
        <f>IF(AND($C23=1,INDEX(Setup!$O$6:$AL$23,13,4)&lt;&gt;"",P23=0),4+IF(INDEX(Setup!$O$6:$AL$23,13,4)="T",100,0),"")</f>
        <v/>
      </c>
      <c r="AR170">
        <f>IF(AND($C24=1,INDEX(Setup!$O$6:$AL$23,13,5)&lt;&gt;"",P24=0),5+IF(INDEX(Setup!$O$6:$AL$23,13,5)="T",100,0),"")</f>
        <v/>
      </c>
      <c r="AS170">
        <f>IF(AND($C25=1,INDEX(Setup!$O$6:$AL$23,13,6)&lt;&gt;"",P25=0),6+IF(INDEX(Setup!$O$6:$AL$23,13,6)="T",100,0),"")</f>
        <v/>
      </c>
      <c r="AT170">
        <f>IF(AND($C26=1,INDEX(Setup!$O$6:$AL$23,13,7)&lt;&gt;"",P26=0),7+IF(INDEX(Setup!$O$6:$AL$23,13,7)="T",100,0),"")</f>
        <v/>
      </c>
      <c r="AU170">
        <f>IF(AND($C27=1,INDEX(Setup!$O$6:$AL$23,13,8)&lt;&gt;"",P27=0),8+IF(INDEX(Setup!$O$6:$AL$23,13,8)="T",100,0),"")</f>
        <v/>
      </c>
      <c r="AV170">
        <f>IF(AND($C28=1,INDEX(Setup!$O$6:$AL$23,13,9)&lt;&gt;"",P28=0),9+IF(INDEX(Setup!$O$6:$AL$23,13,9)="T",100,0),"")</f>
        <v/>
      </c>
      <c r="AW170">
        <f>IF(AND($C29=1,INDEX(Setup!$O$6:$AL$23,13,10)&lt;&gt;"",P29=0),10+IF(INDEX(Setup!$O$6:$AL$23,13,10)="T",100,0),"")</f>
        <v/>
      </c>
      <c r="AX170">
        <f>IF(AND($C30=1,INDEX(Setup!$O$6:$AL$23,13,11)&lt;&gt;"",P30=0),11+IF(INDEX(Setup!$O$6:$AL$23,13,11)="T",100,0),"")</f>
        <v/>
      </c>
      <c r="AY170">
        <f>IF(AND($C31=1,INDEX(Setup!$O$6:$AL$23,13,12)&lt;&gt;"",P31=0),12+IF(INDEX(Setup!$O$6:$AL$23,13,12)="T",100,0),"")</f>
        <v/>
      </c>
      <c r="AZ170">
        <f>IF(AND($C32=1,INDEX(Setup!$O$6:$AL$23,13,13)&lt;&gt;"",P32=0),13+IF(INDEX(Setup!$O$6:$AL$23,13,13)="T",100,0),"")</f>
        <v/>
      </c>
      <c r="BA170">
        <f>IF(AND($C33=1,INDEX(Setup!$O$6:$AL$23,13,14)&lt;&gt;"",P33=0),14+IF(INDEX(Setup!$O$6:$AL$23,13,14)="T",100,0),"")</f>
        <v/>
      </c>
      <c r="BB170">
        <f>IF(AND($C34=1,INDEX(Setup!$O$6:$AL$23,13,15)&lt;&gt;"",P34=0),15+IF(INDEX(Setup!$O$6:$AL$23,13,15)="T",100,0),"")</f>
        <v/>
      </c>
      <c r="BC170">
        <f>IF(AND($C35=1,INDEX(Setup!$O$6:$AL$23,13,16)&lt;&gt;"",P35=0),16+IF(INDEX(Setup!$O$6:$AL$23,13,16)="T",100,0),"")</f>
        <v/>
      </c>
      <c r="BD170">
        <f>IF(AND($C36=1,INDEX(Setup!$O$6:$AL$23,13,17)&lt;&gt;"",P36=0),17+IF(INDEX(Setup!$O$6:$AL$23,13,17)="T",100,0),"")</f>
        <v/>
      </c>
      <c r="BE170">
        <f>IF(AND($C37=1,INDEX(Setup!$O$6:$AL$23,13,18)&lt;&gt;"",P37=0),18+IF(INDEX(Setup!$O$6:$AL$23,13,18)="T",100,0),"")</f>
        <v/>
      </c>
      <c r="BF170">
        <f>IF(AND($C38=1,INDEX(Setup!$O$6:$AL$23,13,19)&lt;&gt;"",P38=0),19+IF(INDEX(Setup!$O$6:$AL$23,13,19)="T",100,0),"")</f>
        <v/>
      </c>
      <c r="BG170">
        <f>IF(AND($C39=1,INDEX(Setup!$O$6:$AL$23,13,20)&lt;&gt;"",P39=0),20+IF(INDEX(Setup!$O$6:$AL$23,13,20)="T",100,0),"")</f>
        <v/>
      </c>
      <c r="BH170">
        <f>IF(AND($C40=1,INDEX(Setup!$O$6:$AL$23,13,21)&lt;&gt;"",P40=0),21+IF(INDEX(Setup!$O$6:$AL$23,13,21)="T",100,0),"")</f>
        <v/>
      </c>
      <c r="BI170">
        <f>IF(AND($C41=1,INDEX(Setup!$O$6:$AL$23,13,22)&lt;&gt;"",P41=0),22+IF(INDEX(Setup!$O$6:$AL$23,13,22)="T",100,0),"")</f>
        <v/>
      </c>
      <c r="BJ170">
        <f>IF(AND($C42=1,INDEX(Setup!$O$6:$AL$23,13,23)&lt;&gt;"",P42=0),23+IF(INDEX(Setup!$O$6:$AL$23,13,23)="T",100,0),"")</f>
        <v/>
      </c>
      <c r="BK170">
        <f>IF(AND($C43=1,INDEX(Setup!$O$6:$AL$23,13,24)&lt;&gt;"",P43=0),24+IF(INDEX(Setup!$O$6:$AL$23,13,24)="T",100,0),"")</f>
        <v/>
      </c>
      <c r="BM170">
        <f>IF(AND(AN170&lt;&gt;"",COUNTIF($W$59:$W$59,$B20)+COUNTIF($W$59:$W$59,$B20&amp;" ~*")=0),($R20+COUNTIF($H$158:$H169,$B20)+COUNTIF($H$158:$H169,$B20&amp;" ~*"))*1000+IF(AN170&gt;100,500,0)+1,"")</f>
        <v/>
      </c>
      <c r="BN170">
        <f>IF(AND(AO170&lt;&gt;"",COUNTIF($W$59:$W$59,$B21)+COUNTIF($W$59:$W$59,$B21&amp;" ~*")=0),($R21+COUNTIF($H$158:$H169,$B21)+COUNTIF($H$158:$H169,$B21&amp;" ~*"))*1000+IF(AO170&gt;100,500,0)+2,"")</f>
        <v/>
      </c>
      <c r="BO170">
        <f>IF(AND(AP170&lt;&gt;"",COUNTIF($W$59:$W$59,$B22)+COUNTIF($W$59:$W$59,$B22&amp;" ~*")=0),($R22+COUNTIF($H$158:$H169,$B22)+COUNTIF($H$158:$H169,$B22&amp;" ~*"))*1000+IF(AP170&gt;100,500,0)+3,"")</f>
        <v/>
      </c>
      <c r="BP170">
        <f>IF(AND(AQ170&lt;&gt;"",COUNTIF($W$59:$W$59,$B23)+COUNTIF($W$59:$W$59,$B23&amp;" ~*")=0),($R23+COUNTIF($H$158:$H169,$B23)+COUNTIF($H$158:$H169,$B23&amp;" ~*"))*1000+IF(AQ170&gt;100,500,0)+4,"")</f>
        <v/>
      </c>
      <c r="BQ170">
        <f>IF(AND(AR170&lt;&gt;"",COUNTIF($W$59:$W$59,$B24)+COUNTIF($W$59:$W$59,$B24&amp;" ~*")=0),($R24+COUNTIF($H$158:$H169,$B24)+COUNTIF($H$158:$H169,$B24&amp;" ~*"))*1000+IF(AR170&gt;100,500,0)+5,"")</f>
        <v/>
      </c>
      <c r="BR170">
        <f>IF(AND(AS170&lt;&gt;"",COUNTIF($W$59:$W$59,$B25)+COUNTIF($W$59:$W$59,$B25&amp;" ~*")=0),($R25+COUNTIF($H$158:$H169,$B25)+COUNTIF($H$158:$H169,$B25&amp;" ~*"))*1000+IF(AS170&gt;100,500,0)+6,"")</f>
        <v/>
      </c>
      <c r="BS170">
        <f>IF(AND(AT170&lt;&gt;"",COUNTIF($W$59:$W$59,$B26)+COUNTIF($W$59:$W$59,$B26&amp;" ~*")=0),($R26+COUNTIF($H$158:$H169,$B26)+COUNTIF($H$158:$H169,$B26&amp;" ~*"))*1000+IF(AT170&gt;100,500,0)+7,"")</f>
        <v/>
      </c>
      <c r="BT170">
        <f>IF(AND(AU170&lt;&gt;"",COUNTIF($W$59:$W$59,$B27)+COUNTIF($W$59:$W$59,$B27&amp;" ~*")=0),($R27+COUNTIF($H$158:$H169,$B27)+COUNTIF($H$158:$H169,$B27&amp;" ~*"))*1000+IF(AU170&gt;100,500,0)+8,"")</f>
        <v/>
      </c>
      <c r="BU170">
        <f>IF(AND(AV170&lt;&gt;"",COUNTIF($W$59:$W$59,$B28)+COUNTIF($W$59:$W$59,$B28&amp;" ~*")=0),($R28+COUNTIF($H$158:$H169,$B28)+COUNTIF($H$158:$H169,$B28&amp;" ~*"))*1000+IF(AV170&gt;100,500,0)+9,"")</f>
        <v/>
      </c>
      <c r="BV170">
        <f>IF(AND(AW170&lt;&gt;"",COUNTIF($W$59:$W$59,$B29)+COUNTIF($W$59:$W$59,$B29&amp;" ~*")=0),($R29+COUNTIF($H$158:$H169,$B29)+COUNTIF($H$158:$H169,$B29&amp;" ~*"))*1000+IF(AW170&gt;100,500,0)+10,"")</f>
        <v/>
      </c>
      <c r="BW170">
        <f>IF(AND(AX170&lt;&gt;"",COUNTIF($W$59:$W$59,$B30)+COUNTIF($W$59:$W$59,$B30&amp;" ~*")=0),($R30+COUNTIF($H$158:$H169,$B30)+COUNTIF($H$158:$H169,$B30&amp;" ~*"))*1000+IF(AX170&gt;100,500,0)+11,"")</f>
        <v/>
      </c>
      <c r="BX170">
        <f>IF(AND(AY170&lt;&gt;"",COUNTIF($W$59:$W$59,$B31)+COUNTIF($W$59:$W$59,$B31&amp;" ~*")=0),($R31+COUNTIF($H$158:$H169,$B31)+COUNTIF($H$158:$H169,$B31&amp;" ~*"))*1000+IF(AY170&gt;100,500,0)+12,"")</f>
        <v/>
      </c>
      <c r="BY170">
        <f>IF(AND(AZ170&lt;&gt;"",COUNTIF($W$59:$W$59,$B32)+COUNTIF($W$59:$W$59,$B32&amp;" ~*")=0),($R32+COUNTIF($H$158:$H169,$B32)+COUNTIF($H$158:$H169,$B32&amp;" ~*"))*1000+IF(AZ170&gt;100,500,0)+13,"")</f>
        <v/>
      </c>
      <c r="BZ170">
        <f>IF(AND(BA170&lt;&gt;"",COUNTIF($W$59:$W$59,$B33)+COUNTIF($W$59:$W$59,$B33&amp;" ~*")=0),($R33+COUNTIF($H$158:$H169,$B33)+COUNTIF($H$158:$H169,$B33&amp;" ~*"))*1000+IF(BA170&gt;100,500,0)+14,"")</f>
        <v/>
      </c>
      <c r="CA170">
        <f>IF(AND(BB170&lt;&gt;"",COUNTIF($W$59:$W$59,$B34)+COUNTIF($W$59:$W$59,$B34&amp;" ~*")=0),($R34+COUNTIF($H$158:$H169,$B34)+COUNTIF($H$158:$H169,$B34&amp;" ~*"))*1000+IF(BB170&gt;100,500,0)+15,"")</f>
        <v/>
      </c>
      <c r="CB170">
        <f>IF(AND(BC170&lt;&gt;"",COUNTIF($W$59:$W$59,$B35)+COUNTIF($W$59:$W$59,$B35&amp;" ~*")=0),($R35+COUNTIF($H$158:$H169,$B35)+COUNTIF($H$158:$H169,$B35&amp;" ~*"))*1000+IF(BC170&gt;100,500,0)+16,"")</f>
        <v/>
      </c>
      <c r="CC170">
        <f>IF(AND(BD170&lt;&gt;"",COUNTIF($W$59:$W$59,$B36)+COUNTIF($W$59:$W$59,$B36&amp;" ~*")=0),($R36+COUNTIF($H$158:$H169,$B36)+COUNTIF($H$158:$H169,$B36&amp;" ~*"))*1000+IF(BD170&gt;100,500,0)+17,"")</f>
        <v/>
      </c>
      <c r="CD170">
        <f>IF(AND(BE170&lt;&gt;"",COUNTIF($W$59:$W$59,$B37)+COUNTIF($W$59:$W$59,$B37&amp;" ~*")=0),($R37+COUNTIF($H$158:$H169,$B37)+COUNTIF($H$158:$H169,$B37&amp;" ~*"))*1000+IF(BE170&gt;100,500,0)+18,"")</f>
        <v/>
      </c>
      <c r="CE170">
        <f>IF(AND(BF170&lt;&gt;"",COUNTIF($W$59:$W$59,$B38)+COUNTIF($W$59:$W$59,$B38&amp;" ~*")=0),($R38+COUNTIF($H$158:$H169,$B38)+COUNTIF($H$158:$H169,$B38&amp;" ~*"))*1000+IF(BF170&gt;100,500,0)+19,"")</f>
        <v/>
      </c>
      <c r="CF170">
        <f>IF(AND(BG170&lt;&gt;"",COUNTIF($W$59:$W$59,$B39)+COUNTIF($W$59:$W$59,$B39&amp;" ~*")=0),($R39+COUNTIF($H$158:$H169,$B39)+COUNTIF($H$158:$H169,$B39&amp;" ~*"))*1000+IF(BG170&gt;100,500,0)+20,"")</f>
        <v/>
      </c>
      <c r="CG170">
        <f>IF(AND(BH170&lt;&gt;"",COUNTIF($W$59:$W$59,$B40)+COUNTIF($W$59:$W$59,$B40&amp;" ~*")=0),($R40+COUNTIF($H$158:$H169,$B40)+COUNTIF($H$158:$H169,$B40&amp;" ~*"))*1000+IF(BH170&gt;100,500,0)+21,"")</f>
        <v/>
      </c>
      <c r="CH170">
        <f>IF(AND(BI170&lt;&gt;"",COUNTIF($W$59:$W$59,$B41)+COUNTIF($W$59:$W$59,$B41&amp;" ~*")=0),($R41+COUNTIF($H$158:$H169,$B41)+COUNTIF($H$158:$H169,$B41&amp;" ~*"))*1000+IF(BI170&gt;100,500,0)+22,"")</f>
        <v/>
      </c>
      <c r="CI170">
        <f>IF(AND(BJ170&lt;&gt;"",COUNTIF($W$59:$W$59,$B42)+COUNTIF($W$59:$W$59,$B42&amp;" ~*")=0),($R42+COUNTIF($H$158:$H169,$B42)+COUNTIF($H$158:$H169,$B42&amp;" ~*"))*1000+IF(BJ170&gt;100,500,0)+23,"")</f>
        <v/>
      </c>
      <c r="CJ170">
        <f>IF(AND(BK170&lt;&gt;"",COUNTIF($W$59:$W$59,$B43)+COUNTIF($W$59:$W$59,$B43&amp;" ~*")=0),($R43+COUNTIF($H$158:$H169,$B43)+COUNTIF($H$158:$H169,$B43&amp;" ~*"))*1000+IF(BK170&gt;100,500,0)+24,"")</f>
        <v/>
      </c>
    </row>
    <row r="171">
      <c r="A171" t="n">
        <v>6</v>
      </c>
      <c r="B171" t="n">
        <v>14</v>
      </c>
      <c r="C171">
        <f>$B$60</f>
        <v/>
      </c>
      <c r="D171" t="inlineStr">
        <is>
          <t>Sat</t>
        </is>
      </c>
      <c r="E171">
        <f>IF(C171="","",N($AC$60))</f>
        <v/>
      </c>
      <c r="F171">
        <f>IF(C171="","",COUNTIF($W$60:$W$60,"?*"))</f>
        <v/>
      </c>
      <c r="G171">
        <f>IF(C171="","",MAX(0,E171-F171))</f>
        <v/>
      </c>
      <c r="H171">
        <f>IF(N(G171)=0,"",IF(COUNT(BM171:CJ171)=0,"no-one eligible",INDEX(Engine!$B$20:$B$43,MOD(MIN(BM171:CJ171),500))&amp;IF(MOD(MIN(BM171:CJ171),1000)&gt;=500," *","")))</f>
        <v/>
      </c>
      <c r="I171">
        <f>IF(N(G171)&gt;0,COUNTIF($G$68:G171,"&gt;0"),"")</f>
        <v/>
      </c>
      <c r="J171">
        <f>IF(C171="","",IF($W$60="",0,IF(IFERROR(INDEX(Setup!$O$6:$AL$23,14,MATCH(SUBSTITUTE($W$60," *",""),Setup!$B$6:$B$29,0)),"")="",1,0)))</f>
        <v/>
      </c>
      <c r="K171">
        <f>IF($B$12+5=TODAY(),1,0)</f>
        <v/>
      </c>
      <c r="N171">
        <f>COUNT($AN171:$BK171)</f>
        <v/>
      </c>
      <c r="O171">
        <f>IF(1&gt;$N171,"",INDEX(Engine!$B$20:$B$43,MOD(SMALL($AN171:$BK171,1),100))&amp;IF(SMALL($AN171:$BK171,1)&gt;100," *",""))</f>
        <v/>
      </c>
      <c r="P171">
        <f>IF(2&gt;$N171,"",INDEX(Engine!$B$20:$B$43,MOD(SMALL($AN171:$BK171,2),100))&amp;IF(SMALL($AN171:$BK171,2)&gt;100," *",""))</f>
        <v/>
      </c>
      <c r="Q171">
        <f>IF(3&gt;$N171,"",INDEX(Engine!$B$20:$B$43,MOD(SMALL($AN171:$BK171,3),100))&amp;IF(SMALL($AN171:$BK171,3)&gt;100," *",""))</f>
        <v/>
      </c>
      <c r="R171">
        <f>IF(4&gt;$N171,"",INDEX(Engine!$B$20:$B$43,MOD(SMALL($AN171:$BK171,4),100))&amp;IF(SMALL($AN171:$BK171,4)&gt;100," *",""))</f>
        <v/>
      </c>
      <c r="S171">
        <f>IF(5&gt;$N171,"",INDEX(Engine!$B$20:$B$43,MOD(SMALL($AN171:$BK171,5),100))&amp;IF(SMALL($AN171:$BK171,5)&gt;100," *",""))</f>
        <v/>
      </c>
      <c r="T171">
        <f>IF(6&gt;$N171,"",INDEX(Engine!$B$20:$B$43,MOD(SMALL($AN171:$BK171,6),100))&amp;IF(SMALL($AN171:$BK171,6)&gt;100," *",""))</f>
        <v/>
      </c>
      <c r="U171">
        <f>IF(7&gt;$N171,"",INDEX(Engine!$B$20:$B$43,MOD(SMALL($AN171:$BK171,7),100))&amp;IF(SMALL($AN171:$BK171,7)&gt;100," *",""))</f>
        <v/>
      </c>
      <c r="V171">
        <f>IF(8&gt;$N171,"",INDEX(Engine!$B$20:$B$43,MOD(SMALL($AN171:$BK171,8),100))&amp;IF(SMALL($AN171:$BK171,8)&gt;100," *",""))</f>
        <v/>
      </c>
      <c r="W171">
        <f>IF(9&gt;$N171,"",INDEX(Engine!$B$20:$B$43,MOD(SMALL($AN171:$BK171,9),100))&amp;IF(SMALL($AN171:$BK171,9)&gt;100," *",""))</f>
        <v/>
      </c>
      <c r="X171">
        <f>IF(10&gt;$N171,"",INDEX(Engine!$B$20:$B$43,MOD(SMALL($AN171:$BK171,10),100))&amp;IF(SMALL($AN171:$BK171,10)&gt;100," *",""))</f>
        <v/>
      </c>
      <c r="Y171">
        <f>IF(11&gt;$N171,"",INDEX(Engine!$B$20:$B$43,MOD(SMALL($AN171:$BK171,11),100))&amp;IF(SMALL($AN171:$BK171,11)&gt;100," *",""))</f>
        <v/>
      </c>
      <c r="Z171">
        <f>IF(12&gt;$N171,"",INDEX(Engine!$B$20:$B$43,MOD(SMALL($AN171:$BK171,12),100))&amp;IF(SMALL($AN171:$BK171,12)&gt;100," *",""))</f>
        <v/>
      </c>
      <c r="AA171">
        <f>IF(13&gt;$N171,"",INDEX(Engine!$B$20:$B$43,MOD(SMALL($AN171:$BK171,13),100))&amp;IF(SMALL($AN171:$BK171,13)&gt;100," *",""))</f>
        <v/>
      </c>
      <c r="AB171">
        <f>IF(14&gt;$N171,"",INDEX(Engine!$B$20:$B$43,MOD(SMALL($AN171:$BK171,14),100))&amp;IF(SMALL($AN171:$BK171,14)&gt;100," *",""))</f>
        <v/>
      </c>
      <c r="AC171">
        <f>IF(15&gt;$N171,"",INDEX(Engine!$B$20:$B$43,MOD(SMALL($AN171:$BK171,15),100))&amp;IF(SMALL($AN171:$BK171,15)&gt;100," *",""))</f>
        <v/>
      </c>
      <c r="AD171">
        <f>IF(16&gt;$N171,"",INDEX(Engine!$B$20:$B$43,MOD(SMALL($AN171:$BK171,16),100))&amp;IF(SMALL($AN171:$BK171,16)&gt;100," *",""))</f>
        <v/>
      </c>
      <c r="AE171">
        <f>IF(17&gt;$N171,"",INDEX(Engine!$B$20:$B$43,MOD(SMALL($AN171:$BK171,17),100))&amp;IF(SMALL($AN171:$BK171,17)&gt;100," *",""))</f>
        <v/>
      </c>
      <c r="AF171">
        <f>IF(18&gt;$N171,"",INDEX(Engine!$B$20:$B$43,MOD(SMALL($AN171:$BK171,18),100))&amp;IF(SMALL($AN171:$BK171,18)&gt;100," *",""))</f>
        <v/>
      </c>
      <c r="AG171">
        <f>IF(19&gt;$N171,"",INDEX(Engine!$B$20:$B$43,MOD(SMALL($AN171:$BK171,19),100))&amp;IF(SMALL($AN171:$BK171,19)&gt;100," *",""))</f>
        <v/>
      </c>
      <c r="AH171">
        <f>IF(20&gt;$N171,"",INDEX(Engine!$B$20:$B$43,MOD(SMALL($AN171:$BK171,20),100))&amp;IF(SMALL($AN171:$BK171,20)&gt;100," *",""))</f>
        <v/>
      </c>
      <c r="AI171">
        <f>IF(21&gt;$N171,"",INDEX(Engine!$B$20:$B$43,MOD(SMALL($AN171:$BK171,21),100))&amp;IF(SMALL($AN171:$BK171,21)&gt;100," *",""))</f>
        <v/>
      </c>
      <c r="AJ171">
        <f>IF(22&gt;$N171,"",INDEX(Engine!$B$20:$B$43,MOD(SMALL($AN171:$BK171,22),100))&amp;IF(SMALL($AN171:$BK171,22)&gt;100," *",""))</f>
        <v/>
      </c>
      <c r="AK171">
        <f>IF(23&gt;$N171,"",INDEX(Engine!$B$20:$B$43,MOD(SMALL($AN171:$BK171,23),100))&amp;IF(SMALL($AN171:$BK171,23)&gt;100," *",""))</f>
        <v/>
      </c>
      <c r="AL171">
        <f>IF(24&gt;$N171,"",INDEX(Engine!$B$20:$B$43,MOD(SMALL($AN171:$BK171,24),100))&amp;IF(SMALL($AN171:$BK171,24)&gt;100," *",""))</f>
        <v/>
      </c>
      <c r="AN171">
        <f>IF(AND($C20=1,INDEX(Setup!$O$6:$AL$23,14,1)&lt;&gt;"",P20=0),1+IF(INDEX(Setup!$O$6:$AL$23,14,1)="T",100,0),"")</f>
        <v/>
      </c>
      <c r="AO171">
        <f>IF(AND($C21=1,INDEX(Setup!$O$6:$AL$23,14,2)&lt;&gt;"",P21=0),2+IF(INDEX(Setup!$O$6:$AL$23,14,2)="T",100,0),"")</f>
        <v/>
      </c>
      <c r="AP171">
        <f>IF(AND($C22=1,INDEX(Setup!$O$6:$AL$23,14,3)&lt;&gt;"",P22=0),3+IF(INDEX(Setup!$O$6:$AL$23,14,3)="T",100,0),"")</f>
        <v/>
      </c>
      <c r="AQ171">
        <f>IF(AND($C23=1,INDEX(Setup!$O$6:$AL$23,14,4)&lt;&gt;"",P23=0),4+IF(INDEX(Setup!$O$6:$AL$23,14,4)="T",100,0),"")</f>
        <v/>
      </c>
      <c r="AR171">
        <f>IF(AND($C24=1,INDEX(Setup!$O$6:$AL$23,14,5)&lt;&gt;"",P24=0),5+IF(INDEX(Setup!$O$6:$AL$23,14,5)="T",100,0),"")</f>
        <v/>
      </c>
      <c r="AS171">
        <f>IF(AND($C25=1,INDEX(Setup!$O$6:$AL$23,14,6)&lt;&gt;"",P25=0),6+IF(INDEX(Setup!$O$6:$AL$23,14,6)="T",100,0),"")</f>
        <v/>
      </c>
      <c r="AT171">
        <f>IF(AND($C26=1,INDEX(Setup!$O$6:$AL$23,14,7)&lt;&gt;"",P26=0),7+IF(INDEX(Setup!$O$6:$AL$23,14,7)="T",100,0),"")</f>
        <v/>
      </c>
      <c r="AU171">
        <f>IF(AND($C27=1,INDEX(Setup!$O$6:$AL$23,14,8)&lt;&gt;"",P27=0),8+IF(INDEX(Setup!$O$6:$AL$23,14,8)="T",100,0),"")</f>
        <v/>
      </c>
      <c r="AV171">
        <f>IF(AND($C28=1,INDEX(Setup!$O$6:$AL$23,14,9)&lt;&gt;"",P28=0),9+IF(INDEX(Setup!$O$6:$AL$23,14,9)="T",100,0),"")</f>
        <v/>
      </c>
      <c r="AW171">
        <f>IF(AND($C29=1,INDEX(Setup!$O$6:$AL$23,14,10)&lt;&gt;"",P29=0),10+IF(INDEX(Setup!$O$6:$AL$23,14,10)="T",100,0),"")</f>
        <v/>
      </c>
      <c r="AX171">
        <f>IF(AND($C30=1,INDEX(Setup!$O$6:$AL$23,14,11)&lt;&gt;"",P30=0),11+IF(INDEX(Setup!$O$6:$AL$23,14,11)="T",100,0),"")</f>
        <v/>
      </c>
      <c r="AY171">
        <f>IF(AND($C31=1,INDEX(Setup!$O$6:$AL$23,14,12)&lt;&gt;"",P31=0),12+IF(INDEX(Setup!$O$6:$AL$23,14,12)="T",100,0),"")</f>
        <v/>
      </c>
      <c r="AZ171">
        <f>IF(AND($C32=1,INDEX(Setup!$O$6:$AL$23,14,13)&lt;&gt;"",P32=0),13+IF(INDEX(Setup!$O$6:$AL$23,14,13)="T",100,0),"")</f>
        <v/>
      </c>
      <c r="BA171">
        <f>IF(AND($C33=1,INDEX(Setup!$O$6:$AL$23,14,14)&lt;&gt;"",P33=0),14+IF(INDEX(Setup!$O$6:$AL$23,14,14)="T",100,0),"")</f>
        <v/>
      </c>
      <c r="BB171">
        <f>IF(AND($C34=1,INDEX(Setup!$O$6:$AL$23,14,15)&lt;&gt;"",P34=0),15+IF(INDEX(Setup!$O$6:$AL$23,14,15)="T",100,0),"")</f>
        <v/>
      </c>
      <c r="BC171">
        <f>IF(AND($C35=1,INDEX(Setup!$O$6:$AL$23,14,16)&lt;&gt;"",P35=0),16+IF(INDEX(Setup!$O$6:$AL$23,14,16)="T",100,0),"")</f>
        <v/>
      </c>
      <c r="BD171">
        <f>IF(AND($C36=1,INDEX(Setup!$O$6:$AL$23,14,17)&lt;&gt;"",P36=0),17+IF(INDEX(Setup!$O$6:$AL$23,14,17)="T",100,0),"")</f>
        <v/>
      </c>
      <c r="BE171">
        <f>IF(AND($C37=1,INDEX(Setup!$O$6:$AL$23,14,18)&lt;&gt;"",P37=0),18+IF(INDEX(Setup!$O$6:$AL$23,14,18)="T",100,0),"")</f>
        <v/>
      </c>
      <c r="BF171">
        <f>IF(AND($C38=1,INDEX(Setup!$O$6:$AL$23,14,19)&lt;&gt;"",P38=0),19+IF(INDEX(Setup!$O$6:$AL$23,14,19)="T",100,0),"")</f>
        <v/>
      </c>
      <c r="BG171">
        <f>IF(AND($C39=1,INDEX(Setup!$O$6:$AL$23,14,20)&lt;&gt;"",P39=0),20+IF(INDEX(Setup!$O$6:$AL$23,14,20)="T",100,0),"")</f>
        <v/>
      </c>
      <c r="BH171">
        <f>IF(AND($C40=1,INDEX(Setup!$O$6:$AL$23,14,21)&lt;&gt;"",P40=0),21+IF(INDEX(Setup!$O$6:$AL$23,14,21)="T",100,0),"")</f>
        <v/>
      </c>
      <c r="BI171">
        <f>IF(AND($C41=1,INDEX(Setup!$O$6:$AL$23,14,22)&lt;&gt;"",P41=0),22+IF(INDEX(Setup!$O$6:$AL$23,14,22)="T",100,0),"")</f>
        <v/>
      </c>
      <c r="BJ171">
        <f>IF(AND($C42=1,INDEX(Setup!$O$6:$AL$23,14,23)&lt;&gt;"",P42=0),23+IF(INDEX(Setup!$O$6:$AL$23,14,23)="T",100,0),"")</f>
        <v/>
      </c>
      <c r="BK171">
        <f>IF(AND($C43=1,INDEX(Setup!$O$6:$AL$23,14,24)&lt;&gt;"",P43=0),24+IF(INDEX(Setup!$O$6:$AL$23,14,24)="T",100,0),"")</f>
        <v/>
      </c>
      <c r="BM171">
        <f>IF(AND(AN171&lt;&gt;"",COUNTIF($W$60:$W$60,$B20)+COUNTIF($W$60:$W$60,$B20&amp;" ~*")=0),($R20+COUNTIF($H$158:$H170,$B20)+COUNTIF($H$158:$H170,$B20&amp;" ~*"))*1000+IF(AN171&gt;100,500,0)+1,"")</f>
        <v/>
      </c>
      <c r="BN171">
        <f>IF(AND(AO171&lt;&gt;"",COUNTIF($W$60:$W$60,$B21)+COUNTIF($W$60:$W$60,$B21&amp;" ~*")=0),($R21+COUNTIF($H$158:$H170,$B21)+COUNTIF($H$158:$H170,$B21&amp;" ~*"))*1000+IF(AO171&gt;100,500,0)+2,"")</f>
        <v/>
      </c>
      <c r="BO171">
        <f>IF(AND(AP171&lt;&gt;"",COUNTIF($W$60:$W$60,$B22)+COUNTIF($W$60:$W$60,$B22&amp;" ~*")=0),($R22+COUNTIF($H$158:$H170,$B22)+COUNTIF($H$158:$H170,$B22&amp;" ~*"))*1000+IF(AP171&gt;100,500,0)+3,"")</f>
        <v/>
      </c>
      <c r="BP171">
        <f>IF(AND(AQ171&lt;&gt;"",COUNTIF($W$60:$W$60,$B23)+COUNTIF($W$60:$W$60,$B23&amp;" ~*")=0),($R23+COUNTIF($H$158:$H170,$B23)+COUNTIF($H$158:$H170,$B23&amp;" ~*"))*1000+IF(AQ171&gt;100,500,0)+4,"")</f>
        <v/>
      </c>
      <c r="BQ171">
        <f>IF(AND(AR171&lt;&gt;"",COUNTIF($W$60:$W$60,$B24)+COUNTIF($W$60:$W$60,$B24&amp;" ~*")=0),($R24+COUNTIF($H$158:$H170,$B24)+COUNTIF($H$158:$H170,$B24&amp;" ~*"))*1000+IF(AR171&gt;100,500,0)+5,"")</f>
        <v/>
      </c>
      <c r="BR171">
        <f>IF(AND(AS171&lt;&gt;"",COUNTIF($W$60:$W$60,$B25)+COUNTIF($W$60:$W$60,$B25&amp;" ~*")=0),($R25+COUNTIF($H$158:$H170,$B25)+COUNTIF($H$158:$H170,$B25&amp;" ~*"))*1000+IF(AS171&gt;100,500,0)+6,"")</f>
        <v/>
      </c>
      <c r="BS171">
        <f>IF(AND(AT171&lt;&gt;"",COUNTIF($W$60:$W$60,$B26)+COUNTIF($W$60:$W$60,$B26&amp;" ~*")=0),($R26+COUNTIF($H$158:$H170,$B26)+COUNTIF($H$158:$H170,$B26&amp;" ~*"))*1000+IF(AT171&gt;100,500,0)+7,"")</f>
        <v/>
      </c>
      <c r="BT171">
        <f>IF(AND(AU171&lt;&gt;"",COUNTIF($W$60:$W$60,$B27)+COUNTIF($W$60:$W$60,$B27&amp;" ~*")=0),($R27+COUNTIF($H$158:$H170,$B27)+COUNTIF($H$158:$H170,$B27&amp;" ~*"))*1000+IF(AU171&gt;100,500,0)+8,"")</f>
        <v/>
      </c>
      <c r="BU171">
        <f>IF(AND(AV171&lt;&gt;"",COUNTIF($W$60:$W$60,$B28)+COUNTIF($W$60:$W$60,$B28&amp;" ~*")=0),($R28+COUNTIF($H$158:$H170,$B28)+COUNTIF($H$158:$H170,$B28&amp;" ~*"))*1000+IF(AV171&gt;100,500,0)+9,"")</f>
        <v/>
      </c>
      <c r="BV171">
        <f>IF(AND(AW171&lt;&gt;"",COUNTIF($W$60:$W$60,$B29)+COUNTIF($W$60:$W$60,$B29&amp;" ~*")=0),($R29+COUNTIF($H$158:$H170,$B29)+COUNTIF($H$158:$H170,$B29&amp;" ~*"))*1000+IF(AW171&gt;100,500,0)+10,"")</f>
        <v/>
      </c>
      <c r="BW171">
        <f>IF(AND(AX171&lt;&gt;"",COUNTIF($W$60:$W$60,$B30)+COUNTIF($W$60:$W$60,$B30&amp;" ~*")=0),($R30+COUNTIF($H$158:$H170,$B30)+COUNTIF($H$158:$H170,$B30&amp;" ~*"))*1000+IF(AX171&gt;100,500,0)+11,"")</f>
        <v/>
      </c>
      <c r="BX171">
        <f>IF(AND(AY171&lt;&gt;"",COUNTIF($W$60:$W$60,$B31)+COUNTIF($W$60:$W$60,$B31&amp;" ~*")=0),($R31+COUNTIF($H$158:$H170,$B31)+COUNTIF($H$158:$H170,$B31&amp;" ~*"))*1000+IF(AY171&gt;100,500,0)+12,"")</f>
        <v/>
      </c>
      <c r="BY171">
        <f>IF(AND(AZ171&lt;&gt;"",COUNTIF($W$60:$W$60,$B32)+COUNTIF($W$60:$W$60,$B32&amp;" ~*")=0),($R32+COUNTIF($H$158:$H170,$B32)+COUNTIF($H$158:$H170,$B32&amp;" ~*"))*1000+IF(AZ171&gt;100,500,0)+13,"")</f>
        <v/>
      </c>
      <c r="BZ171">
        <f>IF(AND(BA171&lt;&gt;"",COUNTIF($W$60:$W$60,$B33)+COUNTIF($W$60:$W$60,$B33&amp;" ~*")=0),($R33+COUNTIF($H$158:$H170,$B33)+COUNTIF($H$158:$H170,$B33&amp;" ~*"))*1000+IF(BA171&gt;100,500,0)+14,"")</f>
        <v/>
      </c>
      <c r="CA171">
        <f>IF(AND(BB171&lt;&gt;"",COUNTIF($W$60:$W$60,$B34)+COUNTIF($W$60:$W$60,$B34&amp;" ~*")=0),($R34+COUNTIF($H$158:$H170,$B34)+COUNTIF($H$158:$H170,$B34&amp;" ~*"))*1000+IF(BB171&gt;100,500,0)+15,"")</f>
        <v/>
      </c>
      <c r="CB171">
        <f>IF(AND(BC171&lt;&gt;"",COUNTIF($W$60:$W$60,$B35)+COUNTIF($W$60:$W$60,$B35&amp;" ~*")=0),($R35+COUNTIF($H$158:$H170,$B35)+COUNTIF($H$158:$H170,$B35&amp;" ~*"))*1000+IF(BC171&gt;100,500,0)+16,"")</f>
        <v/>
      </c>
      <c r="CC171">
        <f>IF(AND(BD171&lt;&gt;"",COUNTIF($W$60:$W$60,$B36)+COUNTIF($W$60:$W$60,$B36&amp;" ~*")=0),($R36+COUNTIF($H$158:$H170,$B36)+COUNTIF($H$158:$H170,$B36&amp;" ~*"))*1000+IF(BD171&gt;100,500,0)+17,"")</f>
        <v/>
      </c>
      <c r="CD171">
        <f>IF(AND(BE171&lt;&gt;"",COUNTIF($W$60:$W$60,$B37)+COUNTIF($W$60:$W$60,$B37&amp;" ~*")=0),($R37+COUNTIF($H$158:$H170,$B37)+COUNTIF($H$158:$H170,$B37&amp;" ~*"))*1000+IF(BE171&gt;100,500,0)+18,"")</f>
        <v/>
      </c>
      <c r="CE171">
        <f>IF(AND(BF171&lt;&gt;"",COUNTIF($W$60:$W$60,$B38)+COUNTIF($W$60:$W$60,$B38&amp;" ~*")=0),($R38+COUNTIF($H$158:$H170,$B38)+COUNTIF($H$158:$H170,$B38&amp;" ~*"))*1000+IF(BF171&gt;100,500,0)+19,"")</f>
        <v/>
      </c>
      <c r="CF171">
        <f>IF(AND(BG171&lt;&gt;"",COUNTIF($W$60:$W$60,$B39)+COUNTIF($W$60:$W$60,$B39&amp;" ~*")=0),($R39+COUNTIF($H$158:$H170,$B39)+COUNTIF($H$158:$H170,$B39&amp;" ~*"))*1000+IF(BG171&gt;100,500,0)+20,"")</f>
        <v/>
      </c>
      <c r="CG171">
        <f>IF(AND(BH171&lt;&gt;"",COUNTIF($W$60:$W$60,$B40)+COUNTIF($W$60:$W$60,$B40&amp;" ~*")=0),($R40+COUNTIF($H$158:$H170,$B40)+COUNTIF($H$158:$H170,$B40&amp;" ~*"))*1000+IF(BH171&gt;100,500,0)+21,"")</f>
        <v/>
      </c>
      <c r="CH171">
        <f>IF(AND(BI171&lt;&gt;"",COUNTIF($W$60:$W$60,$B41)+COUNTIF($W$60:$W$60,$B41&amp;" ~*")=0),($R41+COUNTIF($H$158:$H170,$B41)+COUNTIF($H$158:$H170,$B41&amp;" ~*"))*1000+IF(BI171&gt;100,500,0)+22,"")</f>
        <v/>
      </c>
      <c r="CI171">
        <f>IF(AND(BJ171&lt;&gt;"",COUNTIF($W$60:$W$60,$B42)+COUNTIF($W$60:$W$60,$B42&amp;" ~*")=0),($R42+COUNTIF($H$158:$H170,$B42)+COUNTIF($H$158:$H170,$B42&amp;" ~*"))*1000+IF(BJ171&gt;100,500,0)+23,"")</f>
        <v/>
      </c>
      <c r="CJ171">
        <f>IF(AND(BK171&lt;&gt;"",COUNTIF($W$60:$W$60,$B43)+COUNTIF($W$60:$W$60,$B43&amp;" ~*")=0),($R43+COUNTIF($H$158:$H170,$B43)+COUNTIF($H$158:$H170,$B43&amp;" ~*"))*1000+IF(BK171&gt;100,500,0)+24,"")</f>
        <v/>
      </c>
    </row>
    <row r="172">
      <c r="A172" t="n">
        <v>6</v>
      </c>
      <c r="B172" t="n">
        <v>15</v>
      </c>
      <c r="C172">
        <f>$B$61</f>
        <v/>
      </c>
      <c r="D172" t="inlineStr">
        <is>
          <t>Sat</t>
        </is>
      </c>
      <c r="E172">
        <f>IF(C172="","",N($AC$61))</f>
        <v/>
      </c>
      <c r="F172">
        <f>IF(C172="","",COUNTIF($W$61:$W$61,"?*"))</f>
        <v/>
      </c>
      <c r="G172">
        <f>IF(C172="","",MAX(0,E172-F172))</f>
        <v/>
      </c>
      <c r="H172">
        <f>IF(N(G172)=0,"",IF(COUNT(BM172:CJ172)=0,"no-one eligible",INDEX(Engine!$B$20:$B$43,MOD(MIN(BM172:CJ172),500))&amp;IF(MOD(MIN(BM172:CJ172),1000)&gt;=500," *","")))</f>
        <v/>
      </c>
      <c r="I172">
        <f>IF(N(G172)&gt;0,COUNTIF($G$68:G172,"&gt;0"),"")</f>
        <v/>
      </c>
      <c r="J172">
        <f>IF(C172="","",IF($W$61="",0,IF(IFERROR(INDEX(Setup!$O$6:$AL$23,15,MATCH(SUBSTITUTE($W$61," *",""),Setup!$B$6:$B$29,0)),"")="",1,0)))</f>
        <v/>
      </c>
      <c r="K172">
        <f>IF($B$12+5=TODAY(),1,0)</f>
        <v/>
      </c>
      <c r="N172">
        <f>COUNT($AN172:$BK172)</f>
        <v/>
      </c>
      <c r="O172">
        <f>IF(1&gt;$N172,"",INDEX(Engine!$B$20:$B$43,MOD(SMALL($AN172:$BK172,1),100))&amp;IF(SMALL($AN172:$BK172,1)&gt;100," *",""))</f>
        <v/>
      </c>
      <c r="P172">
        <f>IF(2&gt;$N172,"",INDEX(Engine!$B$20:$B$43,MOD(SMALL($AN172:$BK172,2),100))&amp;IF(SMALL($AN172:$BK172,2)&gt;100," *",""))</f>
        <v/>
      </c>
      <c r="Q172">
        <f>IF(3&gt;$N172,"",INDEX(Engine!$B$20:$B$43,MOD(SMALL($AN172:$BK172,3),100))&amp;IF(SMALL($AN172:$BK172,3)&gt;100," *",""))</f>
        <v/>
      </c>
      <c r="R172">
        <f>IF(4&gt;$N172,"",INDEX(Engine!$B$20:$B$43,MOD(SMALL($AN172:$BK172,4),100))&amp;IF(SMALL($AN172:$BK172,4)&gt;100," *",""))</f>
        <v/>
      </c>
      <c r="S172">
        <f>IF(5&gt;$N172,"",INDEX(Engine!$B$20:$B$43,MOD(SMALL($AN172:$BK172,5),100))&amp;IF(SMALL($AN172:$BK172,5)&gt;100," *",""))</f>
        <v/>
      </c>
      <c r="T172">
        <f>IF(6&gt;$N172,"",INDEX(Engine!$B$20:$B$43,MOD(SMALL($AN172:$BK172,6),100))&amp;IF(SMALL($AN172:$BK172,6)&gt;100," *",""))</f>
        <v/>
      </c>
      <c r="U172">
        <f>IF(7&gt;$N172,"",INDEX(Engine!$B$20:$B$43,MOD(SMALL($AN172:$BK172,7),100))&amp;IF(SMALL($AN172:$BK172,7)&gt;100," *",""))</f>
        <v/>
      </c>
      <c r="V172">
        <f>IF(8&gt;$N172,"",INDEX(Engine!$B$20:$B$43,MOD(SMALL($AN172:$BK172,8),100))&amp;IF(SMALL($AN172:$BK172,8)&gt;100," *",""))</f>
        <v/>
      </c>
      <c r="W172">
        <f>IF(9&gt;$N172,"",INDEX(Engine!$B$20:$B$43,MOD(SMALL($AN172:$BK172,9),100))&amp;IF(SMALL($AN172:$BK172,9)&gt;100," *",""))</f>
        <v/>
      </c>
      <c r="X172">
        <f>IF(10&gt;$N172,"",INDEX(Engine!$B$20:$B$43,MOD(SMALL($AN172:$BK172,10),100))&amp;IF(SMALL($AN172:$BK172,10)&gt;100," *",""))</f>
        <v/>
      </c>
      <c r="Y172">
        <f>IF(11&gt;$N172,"",INDEX(Engine!$B$20:$B$43,MOD(SMALL($AN172:$BK172,11),100))&amp;IF(SMALL($AN172:$BK172,11)&gt;100," *",""))</f>
        <v/>
      </c>
      <c r="Z172">
        <f>IF(12&gt;$N172,"",INDEX(Engine!$B$20:$B$43,MOD(SMALL($AN172:$BK172,12),100))&amp;IF(SMALL($AN172:$BK172,12)&gt;100," *",""))</f>
        <v/>
      </c>
      <c r="AA172">
        <f>IF(13&gt;$N172,"",INDEX(Engine!$B$20:$B$43,MOD(SMALL($AN172:$BK172,13),100))&amp;IF(SMALL($AN172:$BK172,13)&gt;100," *",""))</f>
        <v/>
      </c>
      <c r="AB172">
        <f>IF(14&gt;$N172,"",INDEX(Engine!$B$20:$B$43,MOD(SMALL($AN172:$BK172,14),100))&amp;IF(SMALL($AN172:$BK172,14)&gt;100," *",""))</f>
        <v/>
      </c>
      <c r="AC172">
        <f>IF(15&gt;$N172,"",INDEX(Engine!$B$20:$B$43,MOD(SMALL($AN172:$BK172,15),100))&amp;IF(SMALL($AN172:$BK172,15)&gt;100," *",""))</f>
        <v/>
      </c>
      <c r="AD172">
        <f>IF(16&gt;$N172,"",INDEX(Engine!$B$20:$B$43,MOD(SMALL($AN172:$BK172,16),100))&amp;IF(SMALL($AN172:$BK172,16)&gt;100," *",""))</f>
        <v/>
      </c>
      <c r="AE172">
        <f>IF(17&gt;$N172,"",INDEX(Engine!$B$20:$B$43,MOD(SMALL($AN172:$BK172,17),100))&amp;IF(SMALL($AN172:$BK172,17)&gt;100," *",""))</f>
        <v/>
      </c>
      <c r="AF172">
        <f>IF(18&gt;$N172,"",INDEX(Engine!$B$20:$B$43,MOD(SMALL($AN172:$BK172,18),100))&amp;IF(SMALL($AN172:$BK172,18)&gt;100," *",""))</f>
        <v/>
      </c>
      <c r="AG172">
        <f>IF(19&gt;$N172,"",INDEX(Engine!$B$20:$B$43,MOD(SMALL($AN172:$BK172,19),100))&amp;IF(SMALL($AN172:$BK172,19)&gt;100," *",""))</f>
        <v/>
      </c>
      <c r="AH172">
        <f>IF(20&gt;$N172,"",INDEX(Engine!$B$20:$B$43,MOD(SMALL($AN172:$BK172,20),100))&amp;IF(SMALL($AN172:$BK172,20)&gt;100," *",""))</f>
        <v/>
      </c>
      <c r="AI172">
        <f>IF(21&gt;$N172,"",INDEX(Engine!$B$20:$B$43,MOD(SMALL($AN172:$BK172,21),100))&amp;IF(SMALL($AN172:$BK172,21)&gt;100," *",""))</f>
        <v/>
      </c>
      <c r="AJ172">
        <f>IF(22&gt;$N172,"",INDEX(Engine!$B$20:$B$43,MOD(SMALL($AN172:$BK172,22),100))&amp;IF(SMALL($AN172:$BK172,22)&gt;100," *",""))</f>
        <v/>
      </c>
      <c r="AK172">
        <f>IF(23&gt;$N172,"",INDEX(Engine!$B$20:$B$43,MOD(SMALL($AN172:$BK172,23),100))&amp;IF(SMALL($AN172:$BK172,23)&gt;100," *",""))</f>
        <v/>
      </c>
      <c r="AL172">
        <f>IF(24&gt;$N172,"",INDEX(Engine!$B$20:$B$43,MOD(SMALL($AN172:$BK172,24),100))&amp;IF(SMALL($AN172:$BK172,24)&gt;100," *",""))</f>
        <v/>
      </c>
      <c r="AN172">
        <f>IF(AND($C20=1,INDEX(Setup!$O$6:$AL$23,15,1)&lt;&gt;"",P20=0),1+IF(INDEX(Setup!$O$6:$AL$23,15,1)="T",100,0),"")</f>
        <v/>
      </c>
      <c r="AO172">
        <f>IF(AND($C21=1,INDEX(Setup!$O$6:$AL$23,15,2)&lt;&gt;"",P21=0),2+IF(INDEX(Setup!$O$6:$AL$23,15,2)="T",100,0),"")</f>
        <v/>
      </c>
      <c r="AP172">
        <f>IF(AND($C22=1,INDEX(Setup!$O$6:$AL$23,15,3)&lt;&gt;"",P22=0),3+IF(INDEX(Setup!$O$6:$AL$23,15,3)="T",100,0),"")</f>
        <v/>
      </c>
      <c r="AQ172">
        <f>IF(AND($C23=1,INDEX(Setup!$O$6:$AL$23,15,4)&lt;&gt;"",P23=0),4+IF(INDEX(Setup!$O$6:$AL$23,15,4)="T",100,0),"")</f>
        <v/>
      </c>
      <c r="AR172">
        <f>IF(AND($C24=1,INDEX(Setup!$O$6:$AL$23,15,5)&lt;&gt;"",P24=0),5+IF(INDEX(Setup!$O$6:$AL$23,15,5)="T",100,0),"")</f>
        <v/>
      </c>
      <c r="AS172">
        <f>IF(AND($C25=1,INDEX(Setup!$O$6:$AL$23,15,6)&lt;&gt;"",P25=0),6+IF(INDEX(Setup!$O$6:$AL$23,15,6)="T",100,0),"")</f>
        <v/>
      </c>
      <c r="AT172">
        <f>IF(AND($C26=1,INDEX(Setup!$O$6:$AL$23,15,7)&lt;&gt;"",P26=0),7+IF(INDEX(Setup!$O$6:$AL$23,15,7)="T",100,0),"")</f>
        <v/>
      </c>
      <c r="AU172">
        <f>IF(AND($C27=1,INDEX(Setup!$O$6:$AL$23,15,8)&lt;&gt;"",P27=0),8+IF(INDEX(Setup!$O$6:$AL$23,15,8)="T",100,0),"")</f>
        <v/>
      </c>
      <c r="AV172">
        <f>IF(AND($C28=1,INDEX(Setup!$O$6:$AL$23,15,9)&lt;&gt;"",P28=0),9+IF(INDEX(Setup!$O$6:$AL$23,15,9)="T",100,0),"")</f>
        <v/>
      </c>
      <c r="AW172">
        <f>IF(AND($C29=1,INDEX(Setup!$O$6:$AL$23,15,10)&lt;&gt;"",P29=0),10+IF(INDEX(Setup!$O$6:$AL$23,15,10)="T",100,0),"")</f>
        <v/>
      </c>
      <c r="AX172">
        <f>IF(AND($C30=1,INDEX(Setup!$O$6:$AL$23,15,11)&lt;&gt;"",P30=0),11+IF(INDEX(Setup!$O$6:$AL$23,15,11)="T",100,0),"")</f>
        <v/>
      </c>
      <c r="AY172">
        <f>IF(AND($C31=1,INDEX(Setup!$O$6:$AL$23,15,12)&lt;&gt;"",P31=0),12+IF(INDEX(Setup!$O$6:$AL$23,15,12)="T",100,0),"")</f>
        <v/>
      </c>
      <c r="AZ172">
        <f>IF(AND($C32=1,INDEX(Setup!$O$6:$AL$23,15,13)&lt;&gt;"",P32=0),13+IF(INDEX(Setup!$O$6:$AL$23,15,13)="T",100,0),"")</f>
        <v/>
      </c>
      <c r="BA172">
        <f>IF(AND($C33=1,INDEX(Setup!$O$6:$AL$23,15,14)&lt;&gt;"",P33=0),14+IF(INDEX(Setup!$O$6:$AL$23,15,14)="T",100,0),"")</f>
        <v/>
      </c>
      <c r="BB172">
        <f>IF(AND($C34=1,INDEX(Setup!$O$6:$AL$23,15,15)&lt;&gt;"",P34=0),15+IF(INDEX(Setup!$O$6:$AL$23,15,15)="T",100,0),"")</f>
        <v/>
      </c>
      <c r="BC172">
        <f>IF(AND($C35=1,INDEX(Setup!$O$6:$AL$23,15,16)&lt;&gt;"",P35=0),16+IF(INDEX(Setup!$O$6:$AL$23,15,16)="T",100,0),"")</f>
        <v/>
      </c>
      <c r="BD172">
        <f>IF(AND($C36=1,INDEX(Setup!$O$6:$AL$23,15,17)&lt;&gt;"",P36=0),17+IF(INDEX(Setup!$O$6:$AL$23,15,17)="T",100,0),"")</f>
        <v/>
      </c>
      <c r="BE172">
        <f>IF(AND($C37=1,INDEX(Setup!$O$6:$AL$23,15,18)&lt;&gt;"",P37=0),18+IF(INDEX(Setup!$O$6:$AL$23,15,18)="T",100,0),"")</f>
        <v/>
      </c>
      <c r="BF172">
        <f>IF(AND($C38=1,INDEX(Setup!$O$6:$AL$23,15,19)&lt;&gt;"",P38=0),19+IF(INDEX(Setup!$O$6:$AL$23,15,19)="T",100,0),"")</f>
        <v/>
      </c>
      <c r="BG172">
        <f>IF(AND($C39=1,INDEX(Setup!$O$6:$AL$23,15,20)&lt;&gt;"",P39=0),20+IF(INDEX(Setup!$O$6:$AL$23,15,20)="T",100,0),"")</f>
        <v/>
      </c>
      <c r="BH172">
        <f>IF(AND($C40=1,INDEX(Setup!$O$6:$AL$23,15,21)&lt;&gt;"",P40=0),21+IF(INDEX(Setup!$O$6:$AL$23,15,21)="T",100,0),"")</f>
        <v/>
      </c>
      <c r="BI172">
        <f>IF(AND($C41=1,INDEX(Setup!$O$6:$AL$23,15,22)&lt;&gt;"",P41=0),22+IF(INDEX(Setup!$O$6:$AL$23,15,22)="T",100,0),"")</f>
        <v/>
      </c>
      <c r="BJ172">
        <f>IF(AND($C42=1,INDEX(Setup!$O$6:$AL$23,15,23)&lt;&gt;"",P42=0),23+IF(INDEX(Setup!$O$6:$AL$23,15,23)="T",100,0),"")</f>
        <v/>
      </c>
      <c r="BK172">
        <f>IF(AND($C43=1,INDEX(Setup!$O$6:$AL$23,15,24)&lt;&gt;"",P43=0),24+IF(INDEX(Setup!$O$6:$AL$23,15,24)="T",100,0),"")</f>
        <v/>
      </c>
      <c r="BM172">
        <f>IF(AND(AN172&lt;&gt;"",COUNTIF($W$61:$W$61,$B20)+COUNTIF($W$61:$W$61,$B20&amp;" ~*")=0),($R20+COUNTIF($H$158:$H171,$B20)+COUNTIF($H$158:$H171,$B20&amp;" ~*"))*1000+IF(AN172&gt;100,500,0)+1,"")</f>
        <v/>
      </c>
      <c r="BN172">
        <f>IF(AND(AO172&lt;&gt;"",COUNTIF($W$61:$W$61,$B21)+COUNTIF($W$61:$W$61,$B21&amp;" ~*")=0),($R21+COUNTIF($H$158:$H171,$B21)+COUNTIF($H$158:$H171,$B21&amp;" ~*"))*1000+IF(AO172&gt;100,500,0)+2,"")</f>
        <v/>
      </c>
      <c r="BO172">
        <f>IF(AND(AP172&lt;&gt;"",COUNTIF($W$61:$W$61,$B22)+COUNTIF($W$61:$W$61,$B22&amp;" ~*")=0),($R22+COUNTIF($H$158:$H171,$B22)+COUNTIF($H$158:$H171,$B22&amp;" ~*"))*1000+IF(AP172&gt;100,500,0)+3,"")</f>
        <v/>
      </c>
      <c r="BP172">
        <f>IF(AND(AQ172&lt;&gt;"",COUNTIF($W$61:$W$61,$B23)+COUNTIF($W$61:$W$61,$B23&amp;" ~*")=0),($R23+COUNTIF($H$158:$H171,$B23)+COUNTIF($H$158:$H171,$B23&amp;" ~*"))*1000+IF(AQ172&gt;100,500,0)+4,"")</f>
        <v/>
      </c>
      <c r="BQ172">
        <f>IF(AND(AR172&lt;&gt;"",COUNTIF($W$61:$W$61,$B24)+COUNTIF($W$61:$W$61,$B24&amp;" ~*")=0),($R24+COUNTIF($H$158:$H171,$B24)+COUNTIF($H$158:$H171,$B24&amp;" ~*"))*1000+IF(AR172&gt;100,500,0)+5,"")</f>
        <v/>
      </c>
      <c r="BR172">
        <f>IF(AND(AS172&lt;&gt;"",COUNTIF($W$61:$W$61,$B25)+COUNTIF($W$61:$W$61,$B25&amp;" ~*")=0),($R25+COUNTIF($H$158:$H171,$B25)+COUNTIF($H$158:$H171,$B25&amp;" ~*"))*1000+IF(AS172&gt;100,500,0)+6,"")</f>
        <v/>
      </c>
      <c r="BS172">
        <f>IF(AND(AT172&lt;&gt;"",COUNTIF($W$61:$W$61,$B26)+COUNTIF($W$61:$W$61,$B26&amp;" ~*")=0),($R26+COUNTIF($H$158:$H171,$B26)+COUNTIF($H$158:$H171,$B26&amp;" ~*"))*1000+IF(AT172&gt;100,500,0)+7,"")</f>
        <v/>
      </c>
      <c r="BT172">
        <f>IF(AND(AU172&lt;&gt;"",COUNTIF($W$61:$W$61,$B27)+COUNTIF($W$61:$W$61,$B27&amp;" ~*")=0),($R27+COUNTIF($H$158:$H171,$B27)+COUNTIF($H$158:$H171,$B27&amp;" ~*"))*1000+IF(AU172&gt;100,500,0)+8,"")</f>
        <v/>
      </c>
      <c r="BU172">
        <f>IF(AND(AV172&lt;&gt;"",COUNTIF($W$61:$W$61,$B28)+COUNTIF($W$61:$W$61,$B28&amp;" ~*")=0),($R28+COUNTIF($H$158:$H171,$B28)+COUNTIF($H$158:$H171,$B28&amp;" ~*"))*1000+IF(AV172&gt;100,500,0)+9,"")</f>
        <v/>
      </c>
      <c r="BV172">
        <f>IF(AND(AW172&lt;&gt;"",COUNTIF($W$61:$W$61,$B29)+COUNTIF($W$61:$W$61,$B29&amp;" ~*")=0),($R29+COUNTIF($H$158:$H171,$B29)+COUNTIF($H$158:$H171,$B29&amp;" ~*"))*1000+IF(AW172&gt;100,500,0)+10,"")</f>
        <v/>
      </c>
      <c r="BW172">
        <f>IF(AND(AX172&lt;&gt;"",COUNTIF($W$61:$W$61,$B30)+COUNTIF($W$61:$W$61,$B30&amp;" ~*")=0),($R30+COUNTIF($H$158:$H171,$B30)+COUNTIF($H$158:$H171,$B30&amp;" ~*"))*1000+IF(AX172&gt;100,500,0)+11,"")</f>
        <v/>
      </c>
      <c r="BX172">
        <f>IF(AND(AY172&lt;&gt;"",COUNTIF($W$61:$W$61,$B31)+COUNTIF($W$61:$W$61,$B31&amp;" ~*")=0),($R31+COUNTIF($H$158:$H171,$B31)+COUNTIF($H$158:$H171,$B31&amp;" ~*"))*1000+IF(AY172&gt;100,500,0)+12,"")</f>
        <v/>
      </c>
      <c r="BY172">
        <f>IF(AND(AZ172&lt;&gt;"",COUNTIF($W$61:$W$61,$B32)+COUNTIF($W$61:$W$61,$B32&amp;" ~*")=0),($R32+COUNTIF($H$158:$H171,$B32)+COUNTIF($H$158:$H171,$B32&amp;" ~*"))*1000+IF(AZ172&gt;100,500,0)+13,"")</f>
        <v/>
      </c>
      <c r="BZ172">
        <f>IF(AND(BA172&lt;&gt;"",COUNTIF($W$61:$W$61,$B33)+COUNTIF($W$61:$W$61,$B33&amp;" ~*")=0),($R33+COUNTIF($H$158:$H171,$B33)+COUNTIF($H$158:$H171,$B33&amp;" ~*"))*1000+IF(BA172&gt;100,500,0)+14,"")</f>
        <v/>
      </c>
      <c r="CA172">
        <f>IF(AND(BB172&lt;&gt;"",COUNTIF($W$61:$W$61,$B34)+COUNTIF($W$61:$W$61,$B34&amp;" ~*")=0),($R34+COUNTIF($H$158:$H171,$B34)+COUNTIF($H$158:$H171,$B34&amp;" ~*"))*1000+IF(BB172&gt;100,500,0)+15,"")</f>
        <v/>
      </c>
      <c r="CB172">
        <f>IF(AND(BC172&lt;&gt;"",COUNTIF($W$61:$W$61,$B35)+COUNTIF($W$61:$W$61,$B35&amp;" ~*")=0),($R35+COUNTIF($H$158:$H171,$B35)+COUNTIF($H$158:$H171,$B35&amp;" ~*"))*1000+IF(BC172&gt;100,500,0)+16,"")</f>
        <v/>
      </c>
      <c r="CC172">
        <f>IF(AND(BD172&lt;&gt;"",COUNTIF($W$61:$W$61,$B36)+COUNTIF($W$61:$W$61,$B36&amp;" ~*")=0),($R36+COUNTIF($H$158:$H171,$B36)+COUNTIF($H$158:$H171,$B36&amp;" ~*"))*1000+IF(BD172&gt;100,500,0)+17,"")</f>
        <v/>
      </c>
      <c r="CD172">
        <f>IF(AND(BE172&lt;&gt;"",COUNTIF($W$61:$W$61,$B37)+COUNTIF($W$61:$W$61,$B37&amp;" ~*")=0),($R37+COUNTIF($H$158:$H171,$B37)+COUNTIF($H$158:$H171,$B37&amp;" ~*"))*1000+IF(BE172&gt;100,500,0)+18,"")</f>
        <v/>
      </c>
      <c r="CE172">
        <f>IF(AND(BF172&lt;&gt;"",COUNTIF($W$61:$W$61,$B38)+COUNTIF($W$61:$W$61,$B38&amp;" ~*")=0),($R38+COUNTIF($H$158:$H171,$B38)+COUNTIF($H$158:$H171,$B38&amp;" ~*"))*1000+IF(BF172&gt;100,500,0)+19,"")</f>
        <v/>
      </c>
      <c r="CF172">
        <f>IF(AND(BG172&lt;&gt;"",COUNTIF($W$61:$W$61,$B39)+COUNTIF($W$61:$W$61,$B39&amp;" ~*")=0),($R39+COUNTIF($H$158:$H171,$B39)+COUNTIF($H$158:$H171,$B39&amp;" ~*"))*1000+IF(BG172&gt;100,500,0)+20,"")</f>
        <v/>
      </c>
      <c r="CG172">
        <f>IF(AND(BH172&lt;&gt;"",COUNTIF($W$61:$W$61,$B40)+COUNTIF($W$61:$W$61,$B40&amp;" ~*")=0),($R40+COUNTIF($H$158:$H171,$B40)+COUNTIF($H$158:$H171,$B40&amp;" ~*"))*1000+IF(BH172&gt;100,500,0)+21,"")</f>
        <v/>
      </c>
      <c r="CH172">
        <f>IF(AND(BI172&lt;&gt;"",COUNTIF($W$61:$W$61,$B41)+COUNTIF($W$61:$W$61,$B41&amp;" ~*")=0),($R41+COUNTIF($H$158:$H171,$B41)+COUNTIF($H$158:$H171,$B41&amp;" ~*"))*1000+IF(BI172&gt;100,500,0)+22,"")</f>
        <v/>
      </c>
      <c r="CI172">
        <f>IF(AND(BJ172&lt;&gt;"",COUNTIF($W$61:$W$61,$B42)+COUNTIF($W$61:$W$61,$B42&amp;" ~*")=0),($R42+COUNTIF($H$158:$H171,$B42)+COUNTIF($H$158:$H171,$B42&amp;" ~*"))*1000+IF(BJ172&gt;100,500,0)+23,"")</f>
        <v/>
      </c>
      <c r="CJ172">
        <f>IF(AND(BK172&lt;&gt;"",COUNTIF($W$61:$W$61,$B43)+COUNTIF($W$61:$W$61,$B43&amp;" ~*")=0),($R43+COUNTIF($H$158:$H171,$B43)+COUNTIF($H$158:$H171,$B43&amp;" ~*"))*1000+IF(BK172&gt;100,500,0)+24,"")</f>
        <v/>
      </c>
    </row>
    <row r="173">
      <c r="A173" t="n">
        <v>6</v>
      </c>
      <c r="B173" t="n">
        <v>16</v>
      </c>
      <c r="C173">
        <f>$B$62</f>
        <v/>
      </c>
      <c r="D173" t="inlineStr">
        <is>
          <t>Sat</t>
        </is>
      </c>
      <c r="E173">
        <f>IF(C173="","",N($AC$62))</f>
        <v/>
      </c>
      <c r="F173">
        <f>IF(C173="","",COUNTIF($W$62:$W$62,"?*"))</f>
        <v/>
      </c>
      <c r="G173">
        <f>IF(C173="","",MAX(0,E173-F173))</f>
        <v/>
      </c>
      <c r="H173">
        <f>IF(N(G173)=0,"",IF(COUNT(BM173:CJ173)=0,"no-one eligible",INDEX(Engine!$B$20:$B$43,MOD(MIN(BM173:CJ173),500))&amp;IF(MOD(MIN(BM173:CJ173),1000)&gt;=500," *","")))</f>
        <v/>
      </c>
      <c r="I173">
        <f>IF(N(G173)&gt;0,COUNTIF($G$68:G173,"&gt;0"),"")</f>
        <v/>
      </c>
      <c r="J173">
        <f>IF(C173="","",IF($W$62="",0,IF(IFERROR(INDEX(Setup!$O$6:$AL$23,16,MATCH(SUBSTITUTE($W$62," *",""),Setup!$B$6:$B$29,0)),"")="",1,0)))</f>
        <v/>
      </c>
      <c r="K173">
        <f>IF($B$12+5=TODAY(),1,0)</f>
        <v/>
      </c>
      <c r="N173">
        <f>COUNT($AN173:$BK173)</f>
        <v/>
      </c>
      <c r="O173">
        <f>IF(1&gt;$N173,"",INDEX(Engine!$B$20:$B$43,MOD(SMALL($AN173:$BK173,1),100))&amp;IF(SMALL($AN173:$BK173,1)&gt;100," *",""))</f>
        <v/>
      </c>
      <c r="P173">
        <f>IF(2&gt;$N173,"",INDEX(Engine!$B$20:$B$43,MOD(SMALL($AN173:$BK173,2),100))&amp;IF(SMALL($AN173:$BK173,2)&gt;100," *",""))</f>
        <v/>
      </c>
      <c r="Q173">
        <f>IF(3&gt;$N173,"",INDEX(Engine!$B$20:$B$43,MOD(SMALL($AN173:$BK173,3),100))&amp;IF(SMALL($AN173:$BK173,3)&gt;100," *",""))</f>
        <v/>
      </c>
      <c r="R173">
        <f>IF(4&gt;$N173,"",INDEX(Engine!$B$20:$B$43,MOD(SMALL($AN173:$BK173,4),100))&amp;IF(SMALL($AN173:$BK173,4)&gt;100," *",""))</f>
        <v/>
      </c>
      <c r="S173">
        <f>IF(5&gt;$N173,"",INDEX(Engine!$B$20:$B$43,MOD(SMALL($AN173:$BK173,5),100))&amp;IF(SMALL($AN173:$BK173,5)&gt;100," *",""))</f>
        <v/>
      </c>
      <c r="T173">
        <f>IF(6&gt;$N173,"",INDEX(Engine!$B$20:$B$43,MOD(SMALL($AN173:$BK173,6),100))&amp;IF(SMALL($AN173:$BK173,6)&gt;100," *",""))</f>
        <v/>
      </c>
      <c r="U173">
        <f>IF(7&gt;$N173,"",INDEX(Engine!$B$20:$B$43,MOD(SMALL($AN173:$BK173,7),100))&amp;IF(SMALL($AN173:$BK173,7)&gt;100," *",""))</f>
        <v/>
      </c>
      <c r="V173">
        <f>IF(8&gt;$N173,"",INDEX(Engine!$B$20:$B$43,MOD(SMALL($AN173:$BK173,8),100))&amp;IF(SMALL($AN173:$BK173,8)&gt;100," *",""))</f>
        <v/>
      </c>
      <c r="W173">
        <f>IF(9&gt;$N173,"",INDEX(Engine!$B$20:$B$43,MOD(SMALL($AN173:$BK173,9),100))&amp;IF(SMALL($AN173:$BK173,9)&gt;100," *",""))</f>
        <v/>
      </c>
      <c r="X173">
        <f>IF(10&gt;$N173,"",INDEX(Engine!$B$20:$B$43,MOD(SMALL($AN173:$BK173,10),100))&amp;IF(SMALL($AN173:$BK173,10)&gt;100," *",""))</f>
        <v/>
      </c>
      <c r="Y173">
        <f>IF(11&gt;$N173,"",INDEX(Engine!$B$20:$B$43,MOD(SMALL($AN173:$BK173,11),100))&amp;IF(SMALL($AN173:$BK173,11)&gt;100," *",""))</f>
        <v/>
      </c>
      <c r="Z173">
        <f>IF(12&gt;$N173,"",INDEX(Engine!$B$20:$B$43,MOD(SMALL($AN173:$BK173,12),100))&amp;IF(SMALL($AN173:$BK173,12)&gt;100," *",""))</f>
        <v/>
      </c>
      <c r="AA173">
        <f>IF(13&gt;$N173,"",INDEX(Engine!$B$20:$B$43,MOD(SMALL($AN173:$BK173,13),100))&amp;IF(SMALL($AN173:$BK173,13)&gt;100," *",""))</f>
        <v/>
      </c>
      <c r="AB173">
        <f>IF(14&gt;$N173,"",INDEX(Engine!$B$20:$B$43,MOD(SMALL($AN173:$BK173,14),100))&amp;IF(SMALL($AN173:$BK173,14)&gt;100," *",""))</f>
        <v/>
      </c>
      <c r="AC173">
        <f>IF(15&gt;$N173,"",INDEX(Engine!$B$20:$B$43,MOD(SMALL($AN173:$BK173,15),100))&amp;IF(SMALL($AN173:$BK173,15)&gt;100," *",""))</f>
        <v/>
      </c>
      <c r="AD173">
        <f>IF(16&gt;$N173,"",INDEX(Engine!$B$20:$B$43,MOD(SMALL($AN173:$BK173,16),100))&amp;IF(SMALL($AN173:$BK173,16)&gt;100," *",""))</f>
        <v/>
      </c>
      <c r="AE173">
        <f>IF(17&gt;$N173,"",INDEX(Engine!$B$20:$B$43,MOD(SMALL($AN173:$BK173,17),100))&amp;IF(SMALL($AN173:$BK173,17)&gt;100," *",""))</f>
        <v/>
      </c>
      <c r="AF173">
        <f>IF(18&gt;$N173,"",INDEX(Engine!$B$20:$B$43,MOD(SMALL($AN173:$BK173,18),100))&amp;IF(SMALL($AN173:$BK173,18)&gt;100," *",""))</f>
        <v/>
      </c>
      <c r="AG173">
        <f>IF(19&gt;$N173,"",INDEX(Engine!$B$20:$B$43,MOD(SMALL($AN173:$BK173,19),100))&amp;IF(SMALL($AN173:$BK173,19)&gt;100," *",""))</f>
        <v/>
      </c>
      <c r="AH173">
        <f>IF(20&gt;$N173,"",INDEX(Engine!$B$20:$B$43,MOD(SMALL($AN173:$BK173,20),100))&amp;IF(SMALL($AN173:$BK173,20)&gt;100," *",""))</f>
        <v/>
      </c>
      <c r="AI173">
        <f>IF(21&gt;$N173,"",INDEX(Engine!$B$20:$B$43,MOD(SMALL($AN173:$BK173,21),100))&amp;IF(SMALL($AN173:$BK173,21)&gt;100," *",""))</f>
        <v/>
      </c>
      <c r="AJ173">
        <f>IF(22&gt;$N173,"",INDEX(Engine!$B$20:$B$43,MOD(SMALL($AN173:$BK173,22),100))&amp;IF(SMALL($AN173:$BK173,22)&gt;100," *",""))</f>
        <v/>
      </c>
      <c r="AK173">
        <f>IF(23&gt;$N173,"",INDEX(Engine!$B$20:$B$43,MOD(SMALL($AN173:$BK173,23),100))&amp;IF(SMALL($AN173:$BK173,23)&gt;100," *",""))</f>
        <v/>
      </c>
      <c r="AL173">
        <f>IF(24&gt;$N173,"",INDEX(Engine!$B$20:$B$43,MOD(SMALL($AN173:$BK173,24),100))&amp;IF(SMALL($AN173:$BK173,24)&gt;100," *",""))</f>
        <v/>
      </c>
      <c r="AN173">
        <f>IF(AND($C20=1,INDEX(Setup!$O$6:$AL$23,16,1)&lt;&gt;"",P20=0),1+IF(INDEX(Setup!$O$6:$AL$23,16,1)="T",100,0),"")</f>
        <v/>
      </c>
      <c r="AO173">
        <f>IF(AND($C21=1,INDEX(Setup!$O$6:$AL$23,16,2)&lt;&gt;"",P21=0),2+IF(INDEX(Setup!$O$6:$AL$23,16,2)="T",100,0),"")</f>
        <v/>
      </c>
      <c r="AP173">
        <f>IF(AND($C22=1,INDEX(Setup!$O$6:$AL$23,16,3)&lt;&gt;"",P22=0),3+IF(INDEX(Setup!$O$6:$AL$23,16,3)="T",100,0),"")</f>
        <v/>
      </c>
      <c r="AQ173">
        <f>IF(AND($C23=1,INDEX(Setup!$O$6:$AL$23,16,4)&lt;&gt;"",P23=0),4+IF(INDEX(Setup!$O$6:$AL$23,16,4)="T",100,0),"")</f>
        <v/>
      </c>
      <c r="AR173">
        <f>IF(AND($C24=1,INDEX(Setup!$O$6:$AL$23,16,5)&lt;&gt;"",P24=0),5+IF(INDEX(Setup!$O$6:$AL$23,16,5)="T",100,0),"")</f>
        <v/>
      </c>
      <c r="AS173">
        <f>IF(AND($C25=1,INDEX(Setup!$O$6:$AL$23,16,6)&lt;&gt;"",P25=0),6+IF(INDEX(Setup!$O$6:$AL$23,16,6)="T",100,0),"")</f>
        <v/>
      </c>
      <c r="AT173">
        <f>IF(AND($C26=1,INDEX(Setup!$O$6:$AL$23,16,7)&lt;&gt;"",P26=0),7+IF(INDEX(Setup!$O$6:$AL$23,16,7)="T",100,0),"")</f>
        <v/>
      </c>
      <c r="AU173">
        <f>IF(AND($C27=1,INDEX(Setup!$O$6:$AL$23,16,8)&lt;&gt;"",P27=0),8+IF(INDEX(Setup!$O$6:$AL$23,16,8)="T",100,0),"")</f>
        <v/>
      </c>
      <c r="AV173">
        <f>IF(AND($C28=1,INDEX(Setup!$O$6:$AL$23,16,9)&lt;&gt;"",P28=0),9+IF(INDEX(Setup!$O$6:$AL$23,16,9)="T",100,0),"")</f>
        <v/>
      </c>
      <c r="AW173">
        <f>IF(AND($C29=1,INDEX(Setup!$O$6:$AL$23,16,10)&lt;&gt;"",P29=0),10+IF(INDEX(Setup!$O$6:$AL$23,16,10)="T",100,0),"")</f>
        <v/>
      </c>
      <c r="AX173">
        <f>IF(AND($C30=1,INDEX(Setup!$O$6:$AL$23,16,11)&lt;&gt;"",P30=0),11+IF(INDEX(Setup!$O$6:$AL$23,16,11)="T",100,0),"")</f>
        <v/>
      </c>
      <c r="AY173">
        <f>IF(AND($C31=1,INDEX(Setup!$O$6:$AL$23,16,12)&lt;&gt;"",P31=0),12+IF(INDEX(Setup!$O$6:$AL$23,16,12)="T",100,0),"")</f>
        <v/>
      </c>
      <c r="AZ173">
        <f>IF(AND($C32=1,INDEX(Setup!$O$6:$AL$23,16,13)&lt;&gt;"",P32=0),13+IF(INDEX(Setup!$O$6:$AL$23,16,13)="T",100,0),"")</f>
        <v/>
      </c>
      <c r="BA173">
        <f>IF(AND($C33=1,INDEX(Setup!$O$6:$AL$23,16,14)&lt;&gt;"",P33=0),14+IF(INDEX(Setup!$O$6:$AL$23,16,14)="T",100,0),"")</f>
        <v/>
      </c>
      <c r="BB173">
        <f>IF(AND($C34=1,INDEX(Setup!$O$6:$AL$23,16,15)&lt;&gt;"",P34=0),15+IF(INDEX(Setup!$O$6:$AL$23,16,15)="T",100,0),"")</f>
        <v/>
      </c>
      <c r="BC173">
        <f>IF(AND($C35=1,INDEX(Setup!$O$6:$AL$23,16,16)&lt;&gt;"",P35=0),16+IF(INDEX(Setup!$O$6:$AL$23,16,16)="T",100,0),"")</f>
        <v/>
      </c>
      <c r="BD173">
        <f>IF(AND($C36=1,INDEX(Setup!$O$6:$AL$23,16,17)&lt;&gt;"",P36=0),17+IF(INDEX(Setup!$O$6:$AL$23,16,17)="T",100,0),"")</f>
        <v/>
      </c>
      <c r="BE173">
        <f>IF(AND($C37=1,INDEX(Setup!$O$6:$AL$23,16,18)&lt;&gt;"",P37=0),18+IF(INDEX(Setup!$O$6:$AL$23,16,18)="T",100,0),"")</f>
        <v/>
      </c>
      <c r="BF173">
        <f>IF(AND($C38=1,INDEX(Setup!$O$6:$AL$23,16,19)&lt;&gt;"",P38=0),19+IF(INDEX(Setup!$O$6:$AL$23,16,19)="T",100,0),"")</f>
        <v/>
      </c>
      <c r="BG173">
        <f>IF(AND($C39=1,INDEX(Setup!$O$6:$AL$23,16,20)&lt;&gt;"",P39=0),20+IF(INDEX(Setup!$O$6:$AL$23,16,20)="T",100,0),"")</f>
        <v/>
      </c>
      <c r="BH173">
        <f>IF(AND($C40=1,INDEX(Setup!$O$6:$AL$23,16,21)&lt;&gt;"",P40=0),21+IF(INDEX(Setup!$O$6:$AL$23,16,21)="T",100,0),"")</f>
        <v/>
      </c>
      <c r="BI173">
        <f>IF(AND($C41=1,INDEX(Setup!$O$6:$AL$23,16,22)&lt;&gt;"",P41=0),22+IF(INDEX(Setup!$O$6:$AL$23,16,22)="T",100,0),"")</f>
        <v/>
      </c>
      <c r="BJ173">
        <f>IF(AND($C42=1,INDEX(Setup!$O$6:$AL$23,16,23)&lt;&gt;"",P42=0),23+IF(INDEX(Setup!$O$6:$AL$23,16,23)="T",100,0),"")</f>
        <v/>
      </c>
      <c r="BK173">
        <f>IF(AND($C43=1,INDEX(Setup!$O$6:$AL$23,16,24)&lt;&gt;"",P43=0),24+IF(INDEX(Setup!$O$6:$AL$23,16,24)="T",100,0),"")</f>
        <v/>
      </c>
      <c r="BM173">
        <f>IF(AND(AN173&lt;&gt;"",COUNTIF($W$62:$W$62,$B20)+COUNTIF($W$62:$W$62,$B20&amp;" ~*")=0),($R20+COUNTIF($H$158:$H172,$B20)+COUNTIF($H$158:$H172,$B20&amp;" ~*"))*1000+IF(AN173&gt;100,500,0)+1,"")</f>
        <v/>
      </c>
      <c r="BN173">
        <f>IF(AND(AO173&lt;&gt;"",COUNTIF($W$62:$W$62,$B21)+COUNTIF($W$62:$W$62,$B21&amp;" ~*")=0),($R21+COUNTIF($H$158:$H172,$B21)+COUNTIF($H$158:$H172,$B21&amp;" ~*"))*1000+IF(AO173&gt;100,500,0)+2,"")</f>
        <v/>
      </c>
      <c r="BO173">
        <f>IF(AND(AP173&lt;&gt;"",COUNTIF($W$62:$W$62,$B22)+COUNTIF($W$62:$W$62,$B22&amp;" ~*")=0),($R22+COUNTIF($H$158:$H172,$B22)+COUNTIF($H$158:$H172,$B22&amp;" ~*"))*1000+IF(AP173&gt;100,500,0)+3,"")</f>
        <v/>
      </c>
      <c r="BP173">
        <f>IF(AND(AQ173&lt;&gt;"",COUNTIF($W$62:$W$62,$B23)+COUNTIF($W$62:$W$62,$B23&amp;" ~*")=0),($R23+COUNTIF($H$158:$H172,$B23)+COUNTIF($H$158:$H172,$B23&amp;" ~*"))*1000+IF(AQ173&gt;100,500,0)+4,"")</f>
        <v/>
      </c>
      <c r="BQ173">
        <f>IF(AND(AR173&lt;&gt;"",COUNTIF($W$62:$W$62,$B24)+COUNTIF($W$62:$W$62,$B24&amp;" ~*")=0),($R24+COUNTIF($H$158:$H172,$B24)+COUNTIF($H$158:$H172,$B24&amp;" ~*"))*1000+IF(AR173&gt;100,500,0)+5,"")</f>
        <v/>
      </c>
      <c r="BR173">
        <f>IF(AND(AS173&lt;&gt;"",COUNTIF($W$62:$W$62,$B25)+COUNTIF($W$62:$W$62,$B25&amp;" ~*")=0),($R25+COUNTIF($H$158:$H172,$B25)+COUNTIF($H$158:$H172,$B25&amp;" ~*"))*1000+IF(AS173&gt;100,500,0)+6,"")</f>
        <v/>
      </c>
      <c r="BS173">
        <f>IF(AND(AT173&lt;&gt;"",COUNTIF($W$62:$W$62,$B26)+COUNTIF($W$62:$W$62,$B26&amp;" ~*")=0),($R26+COUNTIF($H$158:$H172,$B26)+COUNTIF($H$158:$H172,$B26&amp;" ~*"))*1000+IF(AT173&gt;100,500,0)+7,"")</f>
        <v/>
      </c>
      <c r="BT173">
        <f>IF(AND(AU173&lt;&gt;"",COUNTIF($W$62:$W$62,$B27)+COUNTIF($W$62:$W$62,$B27&amp;" ~*")=0),($R27+COUNTIF($H$158:$H172,$B27)+COUNTIF($H$158:$H172,$B27&amp;" ~*"))*1000+IF(AU173&gt;100,500,0)+8,"")</f>
        <v/>
      </c>
      <c r="BU173">
        <f>IF(AND(AV173&lt;&gt;"",COUNTIF($W$62:$W$62,$B28)+COUNTIF($W$62:$W$62,$B28&amp;" ~*")=0),($R28+COUNTIF($H$158:$H172,$B28)+COUNTIF($H$158:$H172,$B28&amp;" ~*"))*1000+IF(AV173&gt;100,500,0)+9,"")</f>
        <v/>
      </c>
      <c r="BV173">
        <f>IF(AND(AW173&lt;&gt;"",COUNTIF($W$62:$W$62,$B29)+COUNTIF($W$62:$W$62,$B29&amp;" ~*")=0),($R29+COUNTIF($H$158:$H172,$B29)+COUNTIF($H$158:$H172,$B29&amp;" ~*"))*1000+IF(AW173&gt;100,500,0)+10,"")</f>
        <v/>
      </c>
      <c r="BW173">
        <f>IF(AND(AX173&lt;&gt;"",COUNTIF($W$62:$W$62,$B30)+COUNTIF($W$62:$W$62,$B30&amp;" ~*")=0),($R30+COUNTIF($H$158:$H172,$B30)+COUNTIF($H$158:$H172,$B30&amp;" ~*"))*1000+IF(AX173&gt;100,500,0)+11,"")</f>
        <v/>
      </c>
      <c r="BX173">
        <f>IF(AND(AY173&lt;&gt;"",COUNTIF($W$62:$W$62,$B31)+COUNTIF($W$62:$W$62,$B31&amp;" ~*")=0),($R31+COUNTIF($H$158:$H172,$B31)+COUNTIF($H$158:$H172,$B31&amp;" ~*"))*1000+IF(AY173&gt;100,500,0)+12,"")</f>
        <v/>
      </c>
      <c r="BY173">
        <f>IF(AND(AZ173&lt;&gt;"",COUNTIF($W$62:$W$62,$B32)+COUNTIF($W$62:$W$62,$B32&amp;" ~*")=0),($R32+COUNTIF($H$158:$H172,$B32)+COUNTIF($H$158:$H172,$B32&amp;" ~*"))*1000+IF(AZ173&gt;100,500,0)+13,"")</f>
        <v/>
      </c>
      <c r="BZ173">
        <f>IF(AND(BA173&lt;&gt;"",COUNTIF($W$62:$W$62,$B33)+COUNTIF($W$62:$W$62,$B33&amp;" ~*")=0),($R33+COUNTIF($H$158:$H172,$B33)+COUNTIF($H$158:$H172,$B33&amp;" ~*"))*1000+IF(BA173&gt;100,500,0)+14,"")</f>
        <v/>
      </c>
      <c r="CA173">
        <f>IF(AND(BB173&lt;&gt;"",COUNTIF($W$62:$W$62,$B34)+COUNTIF($W$62:$W$62,$B34&amp;" ~*")=0),($R34+COUNTIF($H$158:$H172,$B34)+COUNTIF($H$158:$H172,$B34&amp;" ~*"))*1000+IF(BB173&gt;100,500,0)+15,"")</f>
        <v/>
      </c>
      <c r="CB173">
        <f>IF(AND(BC173&lt;&gt;"",COUNTIF($W$62:$W$62,$B35)+COUNTIF($W$62:$W$62,$B35&amp;" ~*")=0),($R35+COUNTIF($H$158:$H172,$B35)+COUNTIF($H$158:$H172,$B35&amp;" ~*"))*1000+IF(BC173&gt;100,500,0)+16,"")</f>
        <v/>
      </c>
      <c r="CC173">
        <f>IF(AND(BD173&lt;&gt;"",COUNTIF($W$62:$W$62,$B36)+COUNTIF($W$62:$W$62,$B36&amp;" ~*")=0),($R36+COUNTIF($H$158:$H172,$B36)+COUNTIF($H$158:$H172,$B36&amp;" ~*"))*1000+IF(BD173&gt;100,500,0)+17,"")</f>
        <v/>
      </c>
      <c r="CD173">
        <f>IF(AND(BE173&lt;&gt;"",COUNTIF($W$62:$W$62,$B37)+COUNTIF($W$62:$W$62,$B37&amp;" ~*")=0),($R37+COUNTIF($H$158:$H172,$B37)+COUNTIF($H$158:$H172,$B37&amp;" ~*"))*1000+IF(BE173&gt;100,500,0)+18,"")</f>
        <v/>
      </c>
      <c r="CE173">
        <f>IF(AND(BF173&lt;&gt;"",COUNTIF($W$62:$W$62,$B38)+COUNTIF($W$62:$W$62,$B38&amp;" ~*")=0),($R38+COUNTIF($H$158:$H172,$B38)+COUNTIF($H$158:$H172,$B38&amp;" ~*"))*1000+IF(BF173&gt;100,500,0)+19,"")</f>
        <v/>
      </c>
      <c r="CF173">
        <f>IF(AND(BG173&lt;&gt;"",COUNTIF($W$62:$W$62,$B39)+COUNTIF($W$62:$W$62,$B39&amp;" ~*")=0),($R39+COUNTIF($H$158:$H172,$B39)+COUNTIF($H$158:$H172,$B39&amp;" ~*"))*1000+IF(BG173&gt;100,500,0)+20,"")</f>
        <v/>
      </c>
      <c r="CG173">
        <f>IF(AND(BH173&lt;&gt;"",COUNTIF($W$62:$W$62,$B40)+COUNTIF($W$62:$W$62,$B40&amp;" ~*")=0),($R40+COUNTIF($H$158:$H172,$B40)+COUNTIF($H$158:$H172,$B40&amp;" ~*"))*1000+IF(BH173&gt;100,500,0)+21,"")</f>
        <v/>
      </c>
      <c r="CH173">
        <f>IF(AND(BI173&lt;&gt;"",COUNTIF($W$62:$W$62,$B41)+COUNTIF($W$62:$W$62,$B41&amp;" ~*")=0),($R41+COUNTIF($H$158:$H172,$B41)+COUNTIF($H$158:$H172,$B41&amp;" ~*"))*1000+IF(BI173&gt;100,500,0)+22,"")</f>
        <v/>
      </c>
      <c r="CI173">
        <f>IF(AND(BJ173&lt;&gt;"",COUNTIF($W$62:$W$62,$B42)+COUNTIF($W$62:$W$62,$B42&amp;" ~*")=0),($R42+COUNTIF($H$158:$H172,$B42)+COUNTIF($H$158:$H172,$B42&amp;" ~*"))*1000+IF(BJ173&gt;100,500,0)+23,"")</f>
        <v/>
      </c>
      <c r="CJ173">
        <f>IF(AND(BK173&lt;&gt;"",COUNTIF($W$62:$W$62,$B43)+COUNTIF($W$62:$W$62,$B43&amp;" ~*")=0),($R43+COUNTIF($H$158:$H172,$B43)+COUNTIF($H$158:$H172,$B43&amp;" ~*"))*1000+IF(BK173&gt;100,500,0)+24,"")</f>
        <v/>
      </c>
    </row>
    <row r="174">
      <c r="A174" t="n">
        <v>6</v>
      </c>
      <c r="B174" t="n">
        <v>17</v>
      </c>
      <c r="C174">
        <f>$B$63</f>
        <v/>
      </c>
      <c r="D174" t="inlineStr">
        <is>
          <t>Sat</t>
        </is>
      </c>
      <c r="E174">
        <f>IF(C174="","",N($AC$63))</f>
        <v/>
      </c>
      <c r="F174">
        <f>IF(C174="","",COUNTIF($W$63:$W$63,"?*"))</f>
        <v/>
      </c>
      <c r="G174">
        <f>IF(C174="","",MAX(0,E174-F174))</f>
        <v/>
      </c>
      <c r="H174">
        <f>IF(N(G174)=0,"",IF(COUNT(BM174:CJ174)=0,"no-one eligible",INDEX(Engine!$B$20:$B$43,MOD(MIN(BM174:CJ174),500))&amp;IF(MOD(MIN(BM174:CJ174),1000)&gt;=500," *","")))</f>
        <v/>
      </c>
      <c r="I174">
        <f>IF(N(G174)&gt;0,COUNTIF($G$68:G174,"&gt;0"),"")</f>
        <v/>
      </c>
      <c r="J174">
        <f>IF(C174="","",IF($W$63="",0,IF(IFERROR(INDEX(Setup!$O$6:$AL$23,17,MATCH(SUBSTITUTE($W$63," *",""),Setup!$B$6:$B$29,0)),"")="",1,0)))</f>
        <v/>
      </c>
      <c r="K174">
        <f>IF($B$12+5=TODAY(),1,0)</f>
        <v/>
      </c>
      <c r="N174">
        <f>COUNT($AN174:$BK174)</f>
        <v/>
      </c>
      <c r="O174">
        <f>IF(1&gt;$N174,"",INDEX(Engine!$B$20:$B$43,MOD(SMALL($AN174:$BK174,1),100))&amp;IF(SMALL($AN174:$BK174,1)&gt;100," *",""))</f>
        <v/>
      </c>
      <c r="P174">
        <f>IF(2&gt;$N174,"",INDEX(Engine!$B$20:$B$43,MOD(SMALL($AN174:$BK174,2),100))&amp;IF(SMALL($AN174:$BK174,2)&gt;100," *",""))</f>
        <v/>
      </c>
      <c r="Q174">
        <f>IF(3&gt;$N174,"",INDEX(Engine!$B$20:$B$43,MOD(SMALL($AN174:$BK174,3),100))&amp;IF(SMALL($AN174:$BK174,3)&gt;100," *",""))</f>
        <v/>
      </c>
      <c r="R174">
        <f>IF(4&gt;$N174,"",INDEX(Engine!$B$20:$B$43,MOD(SMALL($AN174:$BK174,4),100))&amp;IF(SMALL($AN174:$BK174,4)&gt;100," *",""))</f>
        <v/>
      </c>
      <c r="S174">
        <f>IF(5&gt;$N174,"",INDEX(Engine!$B$20:$B$43,MOD(SMALL($AN174:$BK174,5),100))&amp;IF(SMALL($AN174:$BK174,5)&gt;100," *",""))</f>
        <v/>
      </c>
      <c r="T174">
        <f>IF(6&gt;$N174,"",INDEX(Engine!$B$20:$B$43,MOD(SMALL($AN174:$BK174,6),100))&amp;IF(SMALL($AN174:$BK174,6)&gt;100," *",""))</f>
        <v/>
      </c>
      <c r="U174">
        <f>IF(7&gt;$N174,"",INDEX(Engine!$B$20:$B$43,MOD(SMALL($AN174:$BK174,7),100))&amp;IF(SMALL($AN174:$BK174,7)&gt;100," *",""))</f>
        <v/>
      </c>
      <c r="V174">
        <f>IF(8&gt;$N174,"",INDEX(Engine!$B$20:$B$43,MOD(SMALL($AN174:$BK174,8),100))&amp;IF(SMALL($AN174:$BK174,8)&gt;100," *",""))</f>
        <v/>
      </c>
      <c r="W174">
        <f>IF(9&gt;$N174,"",INDEX(Engine!$B$20:$B$43,MOD(SMALL($AN174:$BK174,9),100))&amp;IF(SMALL($AN174:$BK174,9)&gt;100," *",""))</f>
        <v/>
      </c>
      <c r="X174">
        <f>IF(10&gt;$N174,"",INDEX(Engine!$B$20:$B$43,MOD(SMALL($AN174:$BK174,10),100))&amp;IF(SMALL($AN174:$BK174,10)&gt;100," *",""))</f>
        <v/>
      </c>
      <c r="Y174">
        <f>IF(11&gt;$N174,"",INDEX(Engine!$B$20:$B$43,MOD(SMALL($AN174:$BK174,11),100))&amp;IF(SMALL($AN174:$BK174,11)&gt;100," *",""))</f>
        <v/>
      </c>
      <c r="Z174">
        <f>IF(12&gt;$N174,"",INDEX(Engine!$B$20:$B$43,MOD(SMALL($AN174:$BK174,12),100))&amp;IF(SMALL($AN174:$BK174,12)&gt;100," *",""))</f>
        <v/>
      </c>
      <c r="AA174">
        <f>IF(13&gt;$N174,"",INDEX(Engine!$B$20:$B$43,MOD(SMALL($AN174:$BK174,13),100))&amp;IF(SMALL($AN174:$BK174,13)&gt;100," *",""))</f>
        <v/>
      </c>
      <c r="AB174">
        <f>IF(14&gt;$N174,"",INDEX(Engine!$B$20:$B$43,MOD(SMALL($AN174:$BK174,14),100))&amp;IF(SMALL($AN174:$BK174,14)&gt;100," *",""))</f>
        <v/>
      </c>
      <c r="AC174">
        <f>IF(15&gt;$N174,"",INDEX(Engine!$B$20:$B$43,MOD(SMALL($AN174:$BK174,15),100))&amp;IF(SMALL($AN174:$BK174,15)&gt;100," *",""))</f>
        <v/>
      </c>
      <c r="AD174">
        <f>IF(16&gt;$N174,"",INDEX(Engine!$B$20:$B$43,MOD(SMALL($AN174:$BK174,16),100))&amp;IF(SMALL($AN174:$BK174,16)&gt;100," *",""))</f>
        <v/>
      </c>
      <c r="AE174">
        <f>IF(17&gt;$N174,"",INDEX(Engine!$B$20:$B$43,MOD(SMALL($AN174:$BK174,17),100))&amp;IF(SMALL($AN174:$BK174,17)&gt;100," *",""))</f>
        <v/>
      </c>
      <c r="AF174">
        <f>IF(18&gt;$N174,"",INDEX(Engine!$B$20:$B$43,MOD(SMALL($AN174:$BK174,18),100))&amp;IF(SMALL($AN174:$BK174,18)&gt;100," *",""))</f>
        <v/>
      </c>
      <c r="AG174">
        <f>IF(19&gt;$N174,"",INDEX(Engine!$B$20:$B$43,MOD(SMALL($AN174:$BK174,19),100))&amp;IF(SMALL($AN174:$BK174,19)&gt;100," *",""))</f>
        <v/>
      </c>
      <c r="AH174">
        <f>IF(20&gt;$N174,"",INDEX(Engine!$B$20:$B$43,MOD(SMALL($AN174:$BK174,20),100))&amp;IF(SMALL($AN174:$BK174,20)&gt;100," *",""))</f>
        <v/>
      </c>
      <c r="AI174">
        <f>IF(21&gt;$N174,"",INDEX(Engine!$B$20:$B$43,MOD(SMALL($AN174:$BK174,21),100))&amp;IF(SMALL($AN174:$BK174,21)&gt;100," *",""))</f>
        <v/>
      </c>
      <c r="AJ174">
        <f>IF(22&gt;$N174,"",INDEX(Engine!$B$20:$B$43,MOD(SMALL($AN174:$BK174,22),100))&amp;IF(SMALL($AN174:$BK174,22)&gt;100," *",""))</f>
        <v/>
      </c>
      <c r="AK174">
        <f>IF(23&gt;$N174,"",INDEX(Engine!$B$20:$B$43,MOD(SMALL($AN174:$BK174,23),100))&amp;IF(SMALL($AN174:$BK174,23)&gt;100," *",""))</f>
        <v/>
      </c>
      <c r="AL174">
        <f>IF(24&gt;$N174,"",INDEX(Engine!$B$20:$B$43,MOD(SMALL($AN174:$BK174,24),100))&amp;IF(SMALL($AN174:$BK174,24)&gt;100," *",""))</f>
        <v/>
      </c>
      <c r="AN174">
        <f>IF(AND($C20=1,INDEX(Setup!$O$6:$AL$23,17,1)&lt;&gt;"",P20=0),1+IF(INDEX(Setup!$O$6:$AL$23,17,1)="T",100,0),"")</f>
        <v/>
      </c>
      <c r="AO174">
        <f>IF(AND($C21=1,INDEX(Setup!$O$6:$AL$23,17,2)&lt;&gt;"",P21=0),2+IF(INDEX(Setup!$O$6:$AL$23,17,2)="T",100,0),"")</f>
        <v/>
      </c>
      <c r="AP174">
        <f>IF(AND($C22=1,INDEX(Setup!$O$6:$AL$23,17,3)&lt;&gt;"",P22=0),3+IF(INDEX(Setup!$O$6:$AL$23,17,3)="T",100,0),"")</f>
        <v/>
      </c>
      <c r="AQ174">
        <f>IF(AND($C23=1,INDEX(Setup!$O$6:$AL$23,17,4)&lt;&gt;"",P23=0),4+IF(INDEX(Setup!$O$6:$AL$23,17,4)="T",100,0),"")</f>
        <v/>
      </c>
      <c r="AR174">
        <f>IF(AND($C24=1,INDEX(Setup!$O$6:$AL$23,17,5)&lt;&gt;"",P24=0),5+IF(INDEX(Setup!$O$6:$AL$23,17,5)="T",100,0),"")</f>
        <v/>
      </c>
      <c r="AS174">
        <f>IF(AND($C25=1,INDEX(Setup!$O$6:$AL$23,17,6)&lt;&gt;"",P25=0),6+IF(INDEX(Setup!$O$6:$AL$23,17,6)="T",100,0),"")</f>
        <v/>
      </c>
      <c r="AT174">
        <f>IF(AND($C26=1,INDEX(Setup!$O$6:$AL$23,17,7)&lt;&gt;"",P26=0),7+IF(INDEX(Setup!$O$6:$AL$23,17,7)="T",100,0),"")</f>
        <v/>
      </c>
      <c r="AU174">
        <f>IF(AND($C27=1,INDEX(Setup!$O$6:$AL$23,17,8)&lt;&gt;"",P27=0),8+IF(INDEX(Setup!$O$6:$AL$23,17,8)="T",100,0),"")</f>
        <v/>
      </c>
      <c r="AV174">
        <f>IF(AND($C28=1,INDEX(Setup!$O$6:$AL$23,17,9)&lt;&gt;"",P28=0),9+IF(INDEX(Setup!$O$6:$AL$23,17,9)="T",100,0),"")</f>
        <v/>
      </c>
      <c r="AW174">
        <f>IF(AND($C29=1,INDEX(Setup!$O$6:$AL$23,17,10)&lt;&gt;"",P29=0),10+IF(INDEX(Setup!$O$6:$AL$23,17,10)="T",100,0),"")</f>
        <v/>
      </c>
      <c r="AX174">
        <f>IF(AND($C30=1,INDEX(Setup!$O$6:$AL$23,17,11)&lt;&gt;"",P30=0),11+IF(INDEX(Setup!$O$6:$AL$23,17,11)="T",100,0),"")</f>
        <v/>
      </c>
      <c r="AY174">
        <f>IF(AND($C31=1,INDEX(Setup!$O$6:$AL$23,17,12)&lt;&gt;"",P31=0),12+IF(INDEX(Setup!$O$6:$AL$23,17,12)="T",100,0),"")</f>
        <v/>
      </c>
      <c r="AZ174">
        <f>IF(AND($C32=1,INDEX(Setup!$O$6:$AL$23,17,13)&lt;&gt;"",P32=0),13+IF(INDEX(Setup!$O$6:$AL$23,17,13)="T",100,0),"")</f>
        <v/>
      </c>
      <c r="BA174">
        <f>IF(AND($C33=1,INDEX(Setup!$O$6:$AL$23,17,14)&lt;&gt;"",P33=0),14+IF(INDEX(Setup!$O$6:$AL$23,17,14)="T",100,0),"")</f>
        <v/>
      </c>
      <c r="BB174">
        <f>IF(AND($C34=1,INDEX(Setup!$O$6:$AL$23,17,15)&lt;&gt;"",P34=0),15+IF(INDEX(Setup!$O$6:$AL$23,17,15)="T",100,0),"")</f>
        <v/>
      </c>
      <c r="BC174">
        <f>IF(AND($C35=1,INDEX(Setup!$O$6:$AL$23,17,16)&lt;&gt;"",P35=0),16+IF(INDEX(Setup!$O$6:$AL$23,17,16)="T",100,0),"")</f>
        <v/>
      </c>
      <c r="BD174">
        <f>IF(AND($C36=1,INDEX(Setup!$O$6:$AL$23,17,17)&lt;&gt;"",P36=0),17+IF(INDEX(Setup!$O$6:$AL$23,17,17)="T",100,0),"")</f>
        <v/>
      </c>
      <c r="BE174">
        <f>IF(AND($C37=1,INDEX(Setup!$O$6:$AL$23,17,18)&lt;&gt;"",P37=0),18+IF(INDEX(Setup!$O$6:$AL$23,17,18)="T",100,0),"")</f>
        <v/>
      </c>
      <c r="BF174">
        <f>IF(AND($C38=1,INDEX(Setup!$O$6:$AL$23,17,19)&lt;&gt;"",P38=0),19+IF(INDEX(Setup!$O$6:$AL$23,17,19)="T",100,0),"")</f>
        <v/>
      </c>
      <c r="BG174">
        <f>IF(AND($C39=1,INDEX(Setup!$O$6:$AL$23,17,20)&lt;&gt;"",P39=0),20+IF(INDEX(Setup!$O$6:$AL$23,17,20)="T",100,0),"")</f>
        <v/>
      </c>
      <c r="BH174">
        <f>IF(AND($C40=1,INDEX(Setup!$O$6:$AL$23,17,21)&lt;&gt;"",P40=0),21+IF(INDEX(Setup!$O$6:$AL$23,17,21)="T",100,0),"")</f>
        <v/>
      </c>
      <c r="BI174">
        <f>IF(AND($C41=1,INDEX(Setup!$O$6:$AL$23,17,22)&lt;&gt;"",P41=0),22+IF(INDEX(Setup!$O$6:$AL$23,17,22)="T",100,0),"")</f>
        <v/>
      </c>
      <c r="BJ174">
        <f>IF(AND($C42=1,INDEX(Setup!$O$6:$AL$23,17,23)&lt;&gt;"",P42=0),23+IF(INDEX(Setup!$O$6:$AL$23,17,23)="T",100,0),"")</f>
        <v/>
      </c>
      <c r="BK174">
        <f>IF(AND($C43=1,INDEX(Setup!$O$6:$AL$23,17,24)&lt;&gt;"",P43=0),24+IF(INDEX(Setup!$O$6:$AL$23,17,24)="T",100,0),"")</f>
        <v/>
      </c>
      <c r="BM174">
        <f>IF(AND(AN174&lt;&gt;"",COUNTIF($W$63:$W$63,$B20)+COUNTIF($W$63:$W$63,$B20&amp;" ~*")=0),($R20+COUNTIF($H$158:$H173,$B20)+COUNTIF($H$158:$H173,$B20&amp;" ~*"))*1000+IF(AN174&gt;100,500,0)+1,"")</f>
        <v/>
      </c>
      <c r="BN174">
        <f>IF(AND(AO174&lt;&gt;"",COUNTIF($W$63:$W$63,$B21)+COUNTIF($W$63:$W$63,$B21&amp;" ~*")=0),($R21+COUNTIF($H$158:$H173,$B21)+COUNTIF($H$158:$H173,$B21&amp;" ~*"))*1000+IF(AO174&gt;100,500,0)+2,"")</f>
        <v/>
      </c>
      <c r="BO174">
        <f>IF(AND(AP174&lt;&gt;"",COUNTIF($W$63:$W$63,$B22)+COUNTIF($W$63:$W$63,$B22&amp;" ~*")=0),($R22+COUNTIF($H$158:$H173,$B22)+COUNTIF($H$158:$H173,$B22&amp;" ~*"))*1000+IF(AP174&gt;100,500,0)+3,"")</f>
        <v/>
      </c>
      <c r="BP174">
        <f>IF(AND(AQ174&lt;&gt;"",COUNTIF($W$63:$W$63,$B23)+COUNTIF($W$63:$W$63,$B23&amp;" ~*")=0),($R23+COUNTIF($H$158:$H173,$B23)+COUNTIF($H$158:$H173,$B23&amp;" ~*"))*1000+IF(AQ174&gt;100,500,0)+4,"")</f>
        <v/>
      </c>
      <c r="BQ174">
        <f>IF(AND(AR174&lt;&gt;"",COUNTIF($W$63:$W$63,$B24)+COUNTIF($W$63:$W$63,$B24&amp;" ~*")=0),($R24+COUNTIF($H$158:$H173,$B24)+COUNTIF($H$158:$H173,$B24&amp;" ~*"))*1000+IF(AR174&gt;100,500,0)+5,"")</f>
        <v/>
      </c>
      <c r="BR174">
        <f>IF(AND(AS174&lt;&gt;"",COUNTIF($W$63:$W$63,$B25)+COUNTIF($W$63:$W$63,$B25&amp;" ~*")=0),($R25+COUNTIF($H$158:$H173,$B25)+COUNTIF($H$158:$H173,$B25&amp;" ~*"))*1000+IF(AS174&gt;100,500,0)+6,"")</f>
        <v/>
      </c>
      <c r="BS174">
        <f>IF(AND(AT174&lt;&gt;"",COUNTIF($W$63:$W$63,$B26)+COUNTIF($W$63:$W$63,$B26&amp;" ~*")=0),($R26+COUNTIF($H$158:$H173,$B26)+COUNTIF($H$158:$H173,$B26&amp;" ~*"))*1000+IF(AT174&gt;100,500,0)+7,"")</f>
        <v/>
      </c>
      <c r="BT174">
        <f>IF(AND(AU174&lt;&gt;"",COUNTIF($W$63:$W$63,$B27)+COUNTIF($W$63:$W$63,$B27&amp;" ~*")=0),($R27+COUNTIF($H$158:$H173,$B27)+COUNTIF($H$158:$H173,$B27&amp;" ~*"))*1000+IF(AU174&gt;100,500,0)+8,"")</f>
        <v/>
      </c>
      <c r="BU174">
        <f>IF(AND(AV174&lt;&gt;"",COUNTIF($W$63:$W$63,$B28)+COUNTIF($W$63:$W$63,$B28&amp;" ~*")=0),($R28+COUNTIF($H$158:$H173,$B28)+COUNTIF($H$158:$H173,$B28&amp;" ~*"))*1000+IF(AV174&gt;100,500,0)+9,"")</f>
        <v/>
      </c>
      <c r="BV174">
        <f>IF(AND(AW174&lt;&gt;"",COUNTIF($W$63:$W$63,$B29)+COUNTIF($W$63:$W$63,$B29&amp;" ~*")=0),($R29+COUNTIF($H$158:$H173,$B29)+COUNTIF($H$158:$H173,$B29&amp;" ~*"))*1000+IF(AW174&gt;100,500,0)+10,"")</f>
        <v/>
      </c>
      <c r="BW174">
        <f>IF(AND(AX174&lt;&gt;"",COUNTIF($W$63:$W$63,$B30)+COUNTIF($W$63:$W$63,$B30&amp;" ~*")=0),($R30+COUNTIF($H$158:$H173,$B30)+COUNTIF($H$158:$H173,$B30&amp;" ~*"))*1000+IF(AX174&gt;100,500,0)+11,"")</f>
        <v/>
      </c>
      <c r="BX174">
        <f>IF(AND(AY174&lt;&gt;"",COUNTIF($W$63:$W$63,$B31)+COUNTIF($W$63:$W$63,$B31&amp;" ~*")=0),($R31+COUNTIF($H$158:$H173,$B31)+COUNTIF($H$158:$H173,$B31&amp;" ~*"))*1000+IF(AY174&gt;100,500,0)+12,"")</f>
        <v/>
      </c>
      <c r="BY174">
        <f>IF(AND(AZ174&lt;&gt;"",COUNTIF($W$63:$W$63,$B32)+COUNTIF($W$63:$W$63,$B32&amp;" ~*")=0),($R32+COUNTIF($H$158:$H173,$B32)+COUNTIF($H$158:$H173,$B32&amp;" ~*"))*1000+IF(AZ174&gt;100,500,0)+13,"")</f>
        <v/>
      </c>
      <c r="BZ174">
        <f>IF(AND(BA174&lt;&gt;"",COUNTIF($W$63:$W$63,$B33)+COUNTIF($W$63:$W$63,$B33&amp;" ~*")=0),($R33+COUNTIF($H$158:$H173,$B33)+COUNTIF($H$158:$H173,$B33&amp;" ~*"))*1000+IF(BA174&gt;100,500,0)+14,"")</f>
        <v/>
      </c>
      <c r="CA174">
        <f>IF(AND(BB174&lt;&gt;"",COUNTIF($W$63:$W$63,$B34)+COUNTIF($W$63:$W$63,$B34&amp;" ~*")=0),($R34+COUNTIF($H$158:$H173,$B34)+COUNTIF($H$158:$H173,$B34&amp;" ~*"))*1000+IF(BB174&gt;100,500,0)+15,"")</f>
        <v/>
      </c>
      <c r="CB174">
        <f>IF(AND(BC174&lt;&gt;"",COUNTIF($W$63:$W$63,$B35)+COUNTIF($W$63:$W$63,$B35&amp;" ~*")=0),($R35+COUNTIF($H$158:$H173,$B35)+COUNTIF($H$158:$H173,$B35&amp;" ~*"))*1000+IF(BC174&gt;100,500,0)+16,"")</f>
        <v/>
      </c>
      <c r="CC174">
        <f>IF(AND(BD174&lt;&gt;"",COUNTIF($W$63:$W$63,$B36)+COUNTIF($W$63:$W$63,$B36&amp;" ~*")=0),($R36+COUNTIF($H$158:$H173,$B36)+COUNTIF($H$158:$H173,$B36&amp;" ~*"))*1000+IF(BD174&gt;100,500,0)+17,"")</f>
        <v/>
      </c>
      <c r="CD174">
        <f>IF(AND(BE174&lt;&gt;"",COUNTIF($W$63:$W$63,$B37)+COUNTIF($W$63:$W$63,$B37&amp;" ~*")=0),($R37+COUNTIF($H$158:$H173,$B37)+COUNTIF($H$158:$H173,$B37&amp;" ~*"))*1000+IF(BE174&gt;100,500,0)+18,"")</f>
        <v/>
      </c>
      <c r="CE174">
        <f>IF(AND(BF174&lt;&gt;"",COUNTIF($W$63:$W$63,$B38)+COUNTIF($W$63:$W$63,$B38&amp;" ~*")=0),($R38+COUNTIF($H$158:$H173,$B38)+COUNTIF($H$158:$H173,$B38&amp;" ~*"))*1000+IF(BF174&gt;100,500,0)+19,"")</f>
        <v/>
      </c>
      <c r="CF174">
        <f>IF(AND(BG174&lt;&gt;"",COUNTIF($W$63:$W$63,$B39)+COUNTIF($W$63:$W$63,$B39&amp;" ~*")=0),($R39+COUNTIF($H$158:$H173,$B39)+COUNTIF($H$158:$H173,$B39&amp;" ~*"))*1000+IF(BG174&gt;100,500,0)+20,"")</f>
        <v/>
      </c>
      <c r="CG174">
        <f>IF(AND(BH174&lt;&gt;"",COUNTIF($W$63:$W$63,$B40)+COUNTIF($W$63:$W$63,$B40&amp;" ~*")=0),($R40+COUNTIF($H$158:$H173,$B40)+COUNTIF($H$158:$H173,$B40&amp;" ~*"))*1000+IF(BH174&gt;100,500,0)+21,"")</f>
        <v/>
      </c>
      <c r="CH174">
        <f>IF(AND(BI174&lt;&gt;"",COUNTIF($W$63:$W$63,$B41)+COUNTIF($W$63:$W$63,$B41&amp;" ~*")=0),($R41+COUNTIF($H$158:$H173,$B41)+COUNTIF($H$158:$H173,$B41&amp;" ~*"))*1000+IF(BI174&gt;100,500,0)+22,"")</f>
        <v/>
      </c>
      <c r="CI174">
        <f>IF(AND(BJ174&lt;&gt;"",COUNTIF($W$63:$W$63,$B42)+COUNTIF($W$63:$W$63,$B42&amp;" ~*")=0),($R42+COUNTIF($H$158:$H173,$B42)+COUNTIF($H$158:$H173,$B42&amp;" ~*"))*1000+IF(BJ174&gt;100,500,0)+23,"")</f>
        <v/>
      </c>
      <c r="CJ174">
        <f>IF(AND(BK174&lt;&gt;"",COUNTIF($W$63:$W$63,$B43)+COUNTIF($W$63:$W$63,$B43&amp;" ~*")=0),($R43+COUNTIF($H$158:$H173,$B43)+COUNTIF($H$158:$H173,$B43&amp;" ~*"))*1000+IF(BK174&gt;100,500,0)+24,"")</f>
        <v/>
      </c>
    </row>
    <row r="175">
      <c r="A175" t="n">
        <v>6</v>
      </c>
      <c r="B175" t="n">
        <v>18</v>
      </c>
      <c r="C175">
        <f>$B$64</f>
        <v/>
      </c>
      <c r="D175" t="inlineStr">
        <is>
          <t>Sat</t>
        </is>
      </c>
      <c r="E175">
        <f>IF(C175="","",N($AC$64))</f>
        <v/>
      </c>
      <c r="F175">
        <f>IF(C175="","",COUNTIF($W$64:$W$64,"?*"))</f>
        <v/>
      </c>
      <c r="G175">
        <f>IF(C175="","",MAX(0,E175-F175))</f>
        <v/>
      </c>
      <c r="H175">
        <f>IF(N(G175)=0,"",IF(COUNT(BM175:CJ175)=0,"no-one eligible",INDEX(Engine!$B$20:$B$43,MOD(MIN(BM175:CJ175),500))&amp;IF(MOD(MIN(BM175:CJ175),1000)&gt;=500," *","")))</f>
        <v/>
      </c>
      <c r="I175">
        <f>IF(N(G175)&gt;0,COUNTIF($G$68:G175,"&gt;0"),"")</f>
        <v/>
      </c>
      <c r="J175">
        <f>IF(C175="","",IF($W$64="",0,IF(IFERROR(INDEX(Setup!$O$6:$AL$23,18,MATCH(SUBSTITUTE($W$64," *",""),Setup!$B$6:$B$29,0)),"")="",1,0)))</f>
        <v/>
      </c>
      <c r="K175">
        <f>IF($B$12+5=TODAY(),1,0)</f>
        <v/>
      </c>
      <c r="N175">
        <f>COUNT($AN175:$BK175)</f>
        <v/>
      </c>
      <c r="O175">
        <f>IF(1&gt;$N175,"",INDEX(Engine!$B$20:$B$43,MOD(SMALL($AN175:$BK175,1),100))&amp;IF(SMALL($AN175:$BK175,1)&gt;100," *",""))</f>
        <v/>
      </c>
      <c r="P175">
        <f>IF(2&gt;$N175,"",INDEX(Engine!$B$20:$B$43,MOD(SMALL($AN175:$BK175,2),100))&amp;IF(SMALL($AN175:$BK175,2)&gt;100," *",""))</f>
        <v/>
      </c>
      <c r="Q175">
        <f>IF(3&gt;$N175,"",INDEX(Engine!$B$20:$B$43,MOD(SMALL($AN175:$BK175,3),100))&amp;IF(SMALL($AN175:$BK175,3)&gt;100," *",""))</f>
        <v/>
      </c>
      <c r="R175">
        <f>IF(4&gt;$N175,"",INDEX(Engine!$B$20:$B$43,MOD(SMALL($AN175:$BK175,4),100))&amp;IF(SMALL($AN175:$BK175,4)&gt;100," *",""))</f>
        <v/>
      </c>
      <c r="S175">
        <f>IF(5&gt;$N175,"",INDEX(Engine!$B$20:$B$43,MOD(SMALL($AN175:$BK175,5),100))&amp;IF(SMALL($AN175:$BK175,5)&gt;100," *",""))</f>
        <v/>
      </c>
      <c r="T175">
        <f>IF(6&gt;$N175,"",INDEX(Engine!$B$20:$B$43,MOD(SMALL($AN175:$BK175,6),100))&amp;IF(SMALL($AN175:$BK175,6)&gt;100," *",""))</f>
        <v/>
      </c>
      <c r="U175">
        <f>IF(7&gt;$N175,"",INDEX(Engine!$B$20:$B$43,MOD(SMALL($AN175:$BK175,7),100))&amp;IF(SMALL($AN175:$BK175,7)&gt;100," *",""))</f>
        <v/>
      </c>
      <c r="V175">
        <f>IF(8&gt;$N175,"",INDEX(Engine!$B$20:$B$43,MOD(SMALL($AN175:$BK175,8),100))&amp;IF(SMALL($AN175:$BK175,8)&gt;100," *",""))</f>
        <v/>
      </c>
      <c r="W175">
        <f>IF(9&gt;$N175,"",INDEX(Engine!$B$20:$B$43,MOD(SMALL($AN175:$BK175,9),100))&amp;IF(SMALL($AN175:$BK175,9)&gt;100," *",""))</f>
        <v/>
      </c>
      <c r="X175">
        <f>IF(10&gt;$N175,"",INDEX(Engine!$B$20:$B$43,MOD(SMALL($AN175:$BK175,10),100))&amp;IF(SMALL($AN175:$BK175,10)&gt;100," *",""))</f>
        <v/>
      </c>
      <c r="Y175">
        <f>IF(11&gt;$N175,"",INDEX(Engine!$B$20:$B$43,MOD(SMALL($AN175:$BK175,11),100))&amp;IF(SMALL($AN175:$BK175,11)&gt;100," *",""))</f>
        <v/>
      </c>
      <c r="Z175">
        <f>IF(12&gt;$N175,"",INDEX(Engine!$B$20:$B$43,MOD(SMALL($AN175:$BK175,12),100))&amp;IF(SMALL($AN175:$BK175,12)&gt;100," *",""))</f>
        <v/>
      </c>
      <c r="AA175">
        <f>IF(13&gt;$N175,"",INDEX(Engine!$B$20:$B$43,MOD(SMALL($AN175:$BK175,13),100))&amp;IF(SMALL($AN175:$BK175,13)&gt;100," *",""))</f>
        <v/>
      </c>
      <c r="AB175">
        <f>IF(14&gt;$N175,"",INDEX(Engine!$B$20:$B$43,MOD(SMALL($AN175:$BK175,14),100))&amp;IF(SMALL($AN175:$BK175,14)&gt;100," *",""))</f>
        <v/>
      </c>
      <c r="AC175">
        <f>IF(15&gt;$N175,"",INDEX(Engine!$B$20:$B$43,MOD(SMALL($AN175:$BK175,15),100))&amp;IF(SMALL($AN175:$BK175,15)&gt;100," *",""))</f>
        <v/>
      </c>
      <c r="AD175">
        <f>IF(16&gt;$N175,"",INDEX(Engine!$B$20:$B$43,MOD(SMALL($AN175:$BK175,16),100))&amp;IF(SMALL($AN175:$BK175,16)&gt;100," *",""))</f>
        <v/>
      </c>
      <c r="AE175">
        <f>IF(17&gt;$N175,"",INDEX(Engine!$B$20:$B$43,MOD(SMALL($AN175:$BK175,17),100))&amp;IF(SMALL($AN175:$BK175,17)&gt;100," *",""))</f>
        <v/>
      </c>
      <c r="AF175">
        <f>IF(18&gt;$N175,"",INDEX(Engine!$B$20:$B$43,MOD(SMALL($AN175:$BK175,18),100))&amp;IF(SMALL($AN175:$BK175,18)&gt;100," *",""))</f>
        <v/>
      </c>
      <c r="AG175">
        <f>IF(19&gt;$N175,"",INDEX(Engine!$B$20:$B$43,MOD(SMALL($AN175:$BK175,19),100))&amp;IF(SMALL($AN175:$BK175,19)&gt;100," *",""))</f>
        <v/>
      </c>
      <c r="AH175">
        <f>IF(20&gt;$N175,"",INDEX(Engine!$B$20:$B$43,MOD(SMALL($AN175:$BK175,20),100))&amp;IF(SMALL($AN175:$BK175,20)&gt;100," *",""))</f>
        <v/>
      </c>
      <c r="AI175">
        <f>IF(21&gt;$N175,"",INDEX(Engine!$B$20:$B$43,MOD(SMALL($AN175:$BK175,21),100))&amp;IF(SMALL($AN175:$BK175,21)&gt;100," *",""))</f>
        <v/>
      </c>
      <c r="AJ175">
        <f>IF(22&gt;$N175,"",INDEX(Engine!$B$20:$B$43,MOD(SMALL($AN175:$BK175,22),100))&amp;IF(SMALL($AN175:$BK175,22)&gt;100," *",""))</f>
        <v/>
      </c>
      <c r="AK175">
        <f>IF(23&gt;$N175,"",INDEX(Engine!$B$20:$B$43,MOD(SMALL($AN175:$BK175,23),100))&amp;IF(SMALL($AN175:$BK175,23)&gt;100," *",""))</f>
        <v/>
      </c>
      <c r="AL175">
        <f>IF(24&gt;$N175,"",INDEX(Engine!$B$20:$B$43,MOD(SMALL($AN175:$BK175,24),100))&amp;IF(SMALL($AN175:$BK175,24)&gt;100," *",""))</f>
        <v/>
      </c>
      <c r="AN175">
        <f>IF(AND($C20=1,INDEX(Setup!$O$6:$AL$23,18,1)&lt;&gt;"",P20=0),1+IF(INDEX(Setup!$O$6:$AL$23,18,1)="T",100,0),"")</f>
        <v/>
      </c>
      <c r="AO175">
        <f>IF(AND($C21=1,INDEX(Setup!$O$6:$AL$23,18,2)&lt;&gt;"",P21=0),2+IF(INDEX(Setup!$O$6:$AL$23,18,2)="T",100,0),"")</f>
        <v/>
      </c>
      <c r="AP175">
        <f>IF(AND($C22=1,INDEX(Setup!$O$6:$AL$23,18,3)&lt;&gt;"",P22=0),3+IF(INDEX(Setup!$O$6:$AL$23,18,3)="T",100,0),"")</f>
        <v/>
      </c>
      <c r="AQ175">
        <f>IF(AND($C23=1,INDEX(Setup!$O$6:$AL$23,18,4)&lt;&gt;"",P23=0),4+IF(INDEX(Setup!$O$6:$AL$23,18,4)="T",100,0),"")</f>
        <v/>
      </c>
      <c r="AR175">
        <f>IF(AND($C24=1,INDEX(Setup!$O$6:$AL$23,18,5)&lt;&gt;"",P24=0),5+IF(INDEX(Setup!$O$6:$AL$23,18,5)="T",100,0),"")</f>
        <v/>
      </c>
      <c r="AS175">
        <f>IF(AND($C25=1,INDEX(Setup!$O$6:$AL$23,18,6)&lt;&gt;"",P25=0),6+IF(INDEX(Setup!$O$6:$AL$23,18,6)="T",100,0),"")</f>
        <v/>
      </c>
      <c r="AT175">
        <f>IF(AND($C26=1,INDEX(Setup!$O$6:$AL$23,18,7)&lt;&gt;"",P26=0),7+IF(INDEX(Setup!$O$6:$AL$23,18,7)="T",100,0),"")</f>
        <v/>
      </c>
      <c r="AU175">
        <f>IF(AND($C27=1,INDEX(Setup!$O$6:$AL$23,18,8)&lt;&gt;"",P27=0),8+IF(INDEX(Setup!$O$6:$AL$23,18,8)="T",100,0),"")</f>
        <v/>
      </c>
      <c r="AV175">
        <f>IF(AND($C28=1,INDEX(Setup!$O$6:$AL$23,18,9)&lt;&gt;"",P28=0),9+IF(INDEX(Setup!$O$6:$AL$23,18,9)="T",100,0),"")</f>
        <v/>
      </c>
      <c r="AW175">
        <f>IF(AND($C29=1,INDEX(Setup!$O$6:$AL$23,18,10)&lt;&gt;"",P29=0),10+IF(INDEX(Setup!$O$6:$AL$23,18,10)="T",100,0),"")</f>
        <v/>
      </c>
      <c r="AX175">
        <f>IF(AND($C30=1,INDEX(Setup!$O$6:$AL$23,18,11)&lt;&gt;"",P30=0),11+IF(INDEX(Setup!$O$6:$AL$23,18,11)="T",100,0),"")</f>
        <v/>
      </c>
      <c r="AY175">
        <f>IF(AND($C31=1,INDEX(Setup!$O$6:$AL$23,18,12)&lt;&gt;"",P31=0),12+IF(INDEX(Setup!$O$6:$AL$23,18,12)="T",100,0),"")</f>
        <v/>
      </c>
      <c r="AZ175">
        <f>IF(AND($C32=1,INDEX(Setup!$O$6:$AL$23,18,13)&lt;&gt;"",P32=0),13+IF(INDEX(Setup!$O$6:$AL$23,18,13)="T",100,0),"")</f>
        <v/>
      </c>
      <c r="BA175">
        <f>IF(AND($C33=1,INDEX(Setup!$O$6:$AL$23,18,14)&lt;&gt;"",P33=0),14+IF(INDEX(Setup!$O$6:$AL$23,18,14)="T",100,0),"")</f>
        <v/>
      </c>
      <c r="BB175">
        <f>IF(AND($C34=1,INDEX(Setup!$O$6:$AL$23,18,15)&lt;&gt;"",P34=0),15+IF(INDEX(Setup!$O$6:$AL$23,18,15)="T",100,0),"")</f>
        <v/>
      </c>
      <c r="BC175">
        <f>IF(AND($C35=1,INDEX(Setup!$O$6:$AL$23,18,16)&lt;&gt;"",P35=0),16+IF(INDEX(Setup!$O$6:$AL$23,18,16)="T",100,0),"")</f>
        <v/>
      </c>
      <c r="BD175">
        <f>IF(AND($C36=1,INDEX(Setup!$O$6:$AL$23,18,17)&lt;&gt;"",P36=0),17+IF(INDEX(Setup!$O$6:$AL$23,18,17)="T",100,0),"")</f>
        <v/>
      </c>
      <c r="BE175">
        <f>IF(AND($C37=1,INDEX(Setup!$O$6:$AL$23,18,18)&lt;&gt;"",P37=0),18+IF(INDEX(Setup!$O$6:$AL$23,18,18)="T",100,0),"")</f>
        <v/>
      </c>
      <c r="BF175">
        <f>IF(AND($C38=1,INDEX(Setup!$O$6:$AL$23,18,19)&lt;&gt;"",P38=0),19+IF(INDEX(Setup!$O$6:$AL$23,18,19)="T",100,0),"")</f>
        <v/>
      </c>
      <c r="BG175">
        <f>IF(AND($C39=1,INDEX(Setup!$O$6:$AL$23,18,20)&lt;&gt;"",P39=0),20+IF(INDEX(Setup!$O$6:$AL$23,18,20)="T",100,0),"")</f>
        <v/>
      </c>
      <c r="BH175">
        <f>IF(AND($C40=1,INDEX(Setup!$O$6:$AL$23,18,21)&lt;&gt;"",P40=0),21+IF(INDEX(Setup!$O$6:$AL$23,18,21)="T",100,0),"")</f>
        <v/>
      </c>
      <c r="BI175">
        <f>IF(AND($C41=1,INDEX(Setup!$O$6:$AL$23,18,22)&lt;&gt;"",P41=0),22+IF(INDEX(Setup!$O$6:$AL$23,18,22)="T",100,0),"")</f>
        <v/>
      </c>
      <c r="BJ175">
        <f>IF(AND($C42=1,INDEX(Setup!$O$6:$AL$23,18,23)&lt;&gt;"",P42=0),23+IF(INDEX(Setup!$O$6:$AL$23,18,23)="T",100,0),"")</f>
        <v/>
      </c>
      <c r="BK175">
        <f>IF(AND($C43=1,INDEX(Setup!$O$6:$AL$23,18,24)&lt;&gt;"",P43=0),24+IF(INDEX(Setup!$O$6:$AL$23,18,24)="T",100,0),"")</f>
        <v/>
      </c>
      <c r="BM175">
        <f>IF(AND(AN175&lt;&gt;"",COUNTIF($W$64:$W$64,$B20)+COUNTIF($W$64:$W$64,$B20&amp;" ~*")=0),($R20+COUNTIF($H$158:$H174,$B20)+COUNTIF($H$158:$H174,$B20&amp;" ~*"))*1000+IF(AN175&gt;100,500,0)+1,"")</f>
        <v/>
      </c>
      <c r="BN175">
        <f>IF(AND(AO175&lt;&gt;"",COUNTIF($W$64:$W$64,$B21)+COUNTIF($W$64:$W$64,$B21&amp;" ~*")=0),($R21+COUNTIF($H$158:$H174,$B21)+COUNTIF($H$158:$H174,$B21&amp;" ~*"))*1000+IF(AO175&gt;100,500,0)+2,"")</f>
        <v/>
      </c>
      <c r="BO175">
        <f>IF(AND(AP175&lt;&gt;"",COUNTIF($W$64:$W$64,$B22)+COUNTIF($W$64:$W$64,$B22&amp;" ~*")=0),($R22+COUNTIF($H$158:$H174,$B22)+COUNTIF($H$158:$H174,$B22&amp;" ~*"))*1000+IF(AP175&gt;100,500,0)+3,"")</f>
        <v/>
      </c>
      <c r="BP175">
        <f>IF(AND(AQ175&lt;&gt;"",COUNTIF($W$64:$W$64,$B23)+COUNTIF($W$64:$W$64,$B23&amp;" ~*")=0),($R23+COUNTIF($H$158:$H174,$B23)+COUNTIF($H$158:$H174,$B23&amp;" ~*"))*1000+IF(AQ175&gt;100,500,0)+4,"")</f>
        <v/>
      </c>
      <c r="BQ175">
        <f>IF(AND(AR175&lt;&gt;"",COUNTIF($W$64:$W$64,$B24)+COUNTIF($W$64:$W$64,$B24&amp;" ~*")=0),($R24+COUNTIF($H$158:$H174,$B24)+COUNTIF($H$158:$H174,$B24&amp;" ~*"))*1000+IF(AR175&gt;100,500,0)+5,"")</f>
        <v/>
      </c>
      <c r="BR175">
        <f>IF(AND(AS175&lt;&gt;"",COUNTIF($W$64:$W$64,$B25)+COUNTIF($W$64:$W$64,$B25&amp;" ~*")=0),($R25+COUNTIF($H$158:$H174,$B25)+COUNTIF($H$158:$H174,$B25&amp;" ~*"))*1000+IF(AS175&gt;100,500,0)+6,"")</f>
        <v/>
      </c>
      <c r="BS175">
        <f>IF(AND(AT175&lt;&gt;"",COUNTIF($W$64:$W$64,$B26)+COUNTIF($W$64:$W$64,$B26&amp;" ~*")=0),($R26+COUNTIF($H$158:$H174,$B26)+COUNTIF($H$158:$H174,$B26&amp;" ~*"))*1000+IF(AT175&gt;100,500,0)+7,"")</f>
        <v/>
      </c>
      <c r="BT175">
        <f>IF(AND(AU175&lt;&gt;"",COUNTIF($W$64:$W$64,$B27)+COUNTIF($W$64:$W$64,$B27&amp;" ~*")=0),($R27+COUNTIF($H$158:$H174,$B27)+COUNTIF($H$158:$H174,$B27&amp;" ~*"))*1000+IF(AU175&gt;100,500,0)+8,"")</f>
        <v/>
      </c>
      <c r="BU175">
        <f>IF(AND(AV175&lt;&gt;"",COUNTIF($W$64:$W$64,$B28)+COUNTIF($W$64:$W$64,$B28&amp;" ~*")=0),($R28+COUNTIF($H$158:$H174,$B28)+COUNTIF($H$158:$H174,$B28&amp;" ~*"))*1000+IF(AV175&gt;100,500,0)+9,"")</f>
        <v/>
      </c>
      <c r="BV175">
        <f>IF(AND(AW175&lt;&gt;"",COUNTIF($W$64:$W$64,$B29)+COUNTIF($W$64:$W$64,$B29&amp;" ~*")=0),($R29+COUNTIF($H$158:$H174,$B29)+COUNTIF($H$158:$H174,$B29&amp;" ~*"))*1000+IF(AW175&gt;100,500,0)+10,"")</f>
        <v/>
      </c>
      <c r="BW175">
        <f>IF(AND(AX175&lt;&gt;"",COUNTIF($W$64:$W$64,$B30)+COUNTIF($W$64:$W$64,$B30&amp;" ~*")=0),($R30+COUNTIF($H$158:$H174,$B30)+COUNTIF($H$158:$H174,$B30&amp;" ~*"))*1000+IF(AX175&gt;100,500,0)+11,"")</f>
        <v/>
      </c>
      <c r="BX175">
        <f>IF(AND(AY175&lt;&gt;"",COUNTIF($W$64:$W$64,$B31)+COUNTIF($W$64:$W$64,$B31&amp;" ~*")=0),($R31+COUNTIF($H$158:$H174,$B31)+COUNTIF($H$158:$H174,$B31&amp;" ~*"))*1000+IF(AY175&gt;100,500,0)+12,"")</f>
        <v/>
      </c>
      <c r="BY175">
        <f>IF(AND(AZ175&lt;&gt;"",COUNTIF($W$64:$W$64,$B32)+COUNTIF($W$64:$W$64,$B32&amp;" ~*")=0),($R32+COUNTIF($H$158:$H174,$B32)+COUNTIF($H$158:$H174,$B32&amp;" ~*"))*1000+IF(AZ175&gt;100,500,0)+13,"")</f>
        <v/>
      </c>
      <c r="BZ175">
        <f>IF(AND(BA175&lt;&gt;"",COUNTIF($W$64:$W$64,$B33)+COUNTIF($W$64:$W$64,$B33&amp;" ~*")=0),($R33+COUNTIF($H$158:$H174,$B33)+COUNTIF($H$158:$H174,$B33&amp;" ~*"))*1000+IF(BA175&gt;100,500,0)+14,"")</f>
        <v/>
      </c>
      <c r="CA175">
        <f>IF(AND(BB175&lt;&gt;"",COUNTIF($W$64:$W$64,$B34)+COUNTIF($W$64:$W$64,$B34&amp;" ~*")=0),($R34+COUNTIF($H$158:$H174,$B34)+COUNTIF($H$158:$H174,$B34&amp;" ~*"))*1000+IF(BB175&gt;100,500,0)+15,"")</f>
        <v/>
      </c>
      <c r="CB175">
        <f>IF(AND(BC175&lt;&gt;"",COUNTIF($W$64:$W$64,$B35)+COUNTIF($W$64:$W$64,$B35&amp;" ~*")=0),($R35+COUNTIF($H$158:$H174,$B35)+COUNTIF($H$158:$H174,$B35&amp;" ~*"))*1000+IF(BC175&gt;100,500,0)+16,"")</f>
        <v/>
      </c>
      <c r="CC175">
        <f>IF(AND(BD175&lt;&gt;"",COUNTIF($W$64:$W$64,$B36)+COUNTIF($W$64:$W$64,$B36&amp;" ~*")=0),($R36+COUNTIF($H$158:$H174,$B36)+COUNTIF($H$158:$H174,$B36&amp;" ~*"))*1000+IF(BD175&gt;100,500,0)+17,"")</f>
        <v/>
      </c>
      <c r="CD175">
        <f>IF(AND(BE175&lt;&gt;"",COUNTIF($W$64:$W$64,$B37)+COUNTIF($W$64:$W$64,$B37&amp;" ~*")=0),($R37+COUNTIF($H$158:$H174,$B37)+COUNTIF($H$158:$H174,$B37&amp;" ~*"))*1000+IF(BE175&gt;100,500,0)+18,"")</f>
        <v/>
      </c>
      <c r="CE175">
        <f>IF(AND(BF175&lt;&gt;"",COUNTIF($W$64:$W$64,$B38)+COUNTIF($W$64:$W$64,$B38&amp;" ~*")=0),($R38+COUNTIF($H$158:$H174,$B38)+COUNTIF($H$158:$H174,$B38&amp;" ~*"))*1000+IF(BF175&gt;100,500,0)+19,"")</f>
        <v/>
      </c>
      <c r="CF175">
        <f>IF(AND(BG175&lt;&gt;"",COUNTIF($W$64:$W$64,$B39)+COUNTIF($W$64:$W$64,$B39&amp;" ~*")=0),($R39+COUNTIF($H$158:$H174,$B39)+COUNTIF($H$158:$H174,$B39&amp;" ~*"))*1000+IF(BG175&gt;100,500,0)+20,"")</f>
        <v/>
      </c>
      <c r="CG175">
        <f>IF(AND(BH175&lt;&gt;"",COUNTIF($W$64:$W$64,$B40)+COUNTIF($W$64:$W$64,$B40&amp;" ~*")=0),($R40+COUNTIF($H$158:$H174,$B40)+COUNTIF($H$158:$H174,$B40&amp;" ~*"))*1000+IF(BH175&gt;100,500,0)+21,"")</f>
        <v/>
      </c>
      <c r="CH175">
        <f>IF(AND(BI175&lt;&gt;"",COUNTIF($W$64:$W$64,$B41)+COUNTIF($W$64:$W$64,$B41&amp;" ~*")=0),($R41+COUNTIF($H$158:$H174,$B41)+COUNTIF($H$158:$H174,$B41&amp;" ~*"))*1000+IF(BI175&gt;100,500,0)+22,"")</f>
        <v/>
      </c>
      <c r="CI175">
        <f>IF(AND(BJ175&lt;&gt;"",COUNTIF($W$64:$W$64,$B42)+COUNTIF($W$64:$W$64,$B42&amp;" ~*")=0),($R42+COUNTIF($H$158:$H174,$B42)+COUNTIF($H$158:$H174,$B42&amp;" ~*"))*1000+IF(BJ175&gt;100,500,0)+23,"")</f>
        <v/>
      </c>
      <c r="CJ175">
        <f>IF(AND(BK175&lt;&gt;"",COUNTIF($W$64:$W$64,$B43)+COUNTIF($W$64:$W$64,$B43&amp;" ~*")=0),($R43+COUNTIF($H$158:$H174,$B43)+COUNTIF($H$158:$H174,$B43&amp;" ~*"))*1000+IF(BK175&gt;100,500,0)+24,"")</f>
        <v/>
      </c>
    </row>
    <row r="176">
      <c r="A176" t="n">
        <v>7</v>
      </c>
      <c r="B176" t="n">
        <v>1</v>
      </c>
      <c r="C176">
        <f>$B$47</f>
        <v/>
      </c>
      <c r="D176" t="inlineStr">
        <is>
          <t>Sun</t>
        </is>
      </c>
      <c r="E176">
        <f>IF(C176="","",N($AC$47))</f>
        <v/>
      </c>
      <c r="F176">
        <f>IF(C176="","",COUNTIF($Y$47:$Y$47,"?*"))</f>
        <v/>
      </c>
      <c r="G176">
        <f>IF(C176="","",MAX(0,E176-F176))</f>
        <v/>
      </c>
      <c r="H176">
        <f>IF(N(G176)=0,"",IF(COUNT(BM176:CJ176)=0,"no-one eligible",INDEX(Engine!$B$20:$B$43,MOD(MIN(BM176:CJ176),500))&amp;IF(MOD(MIN(BM176:CJ176),1000)&gt;=500," *","")))</f>
        <v/>
      </c>
      <c r="I176">
        <f>IF(N(G176)&gt;0,COUNTIF($G$68:G176,"&gt;0"),"")</f>
        <v/>
      </c>
      <c r="J176">
        <f>IF(C176="","",IF($Y$47="",0,IF(IFERROR(INDEX(Setup!$O$6:$AL$23,1,MATCH(SUBSTITUTE($Y$47," *",""),Setup!$B$6:$B$29,0)),"")="",1,0)))</f>
        <v/>
      </c>
      <c r="K176">
        <f>IF($B$12+6=TODAY(),1,0)</f>
        <v/>
      </c>
      <c r="N176">
        <f>COUNT($AN176:$BK176)</f>
        <v/>
      </c>
      <c r="O176">
        <f>IF(1&gt;$N176,"",INDEX(Engine!$B$20:$B$43,MOD(SMALL($AN176:$BK176,1),100))&amp;IF(SMALL($AN176:$BK176,1)&gt;100," *",""))</f>
        <v/>
      </c>
      <c r="P176">
        <f>IF(2&gt;$N176,"",INDEX(Engine!$B$20:$B$43,MOD(SMALL($AN176:$BK176,2),100))&amp;IF(SMALL($AN176:$BK176,2)&gt;100," *",""))</f>
        <v/>
      </c>
      <c r="Q176">
        <f>IF(3&gt;$N176,"",INDEX(Engine!$B$20:$B$43,MOD(SMALL($AN176:$BK176,3),100))&amp;IF(SMALL($AN176:$BK176,3)&gt;100," *",""))</f>
        <v/>
      </c>
      <c r="R176">
        <f>IF(4&gt;$N176,"",INDEX(Engine!$B$20:$B$43,MOD(SMALL($AN176:$BK176,4),100))&amp;IF(SMALL($AN176:$BK176,4)&gt;100," *",""))</f>
        <v/>
      </c>
      <c r="S176">
        <f>IF(5&gt;$N176,"",INDEX(Engine!$B$20:$B$43,MOD(SMALL($AN176:$BK176,5),100))&amp;IF(SMALL($AN176:$BK176,5)&gt;100," *",""))</f>
        <v/>
      </c>
      <c r="T176">
        <f>IF(6&gt;$N176,"",INDEX(Engine!$B$20:$B$43,MOD(SMALL($AN176:$BK176,6),100))&amp;IF(SMALL($AN176:$BK176,6)&gt;100," *",""))</f>
        <v/>
      </c>
      <c r="U176">
        <f>IF(7&gt;$N176,"",INDEX(Engine!$B$20:$B$43,MOD(SMALL($AN176:$BK176,7),100))&amp;IF(SMALL($AN176:$BK176,7)&gt;100," *",""))</f>
        <v/>
      </c>
      <c r="V176">
        <f>IF(8&gt;$N176,"",INDEX(Engine!$B$20:$B$43,MOD(SMALL($AN176:$BK176,8),100))&amp;IF(SMALL($AN176:$BK176,8)&gt;100," *",""))</f>
        <v/>
      </c>
      <c r="W176">
        <f>IF(9&gt;$N176,"",INDEX(Engine!$B$20:$B$43,MOD(SMALL($AN176:$BK176,9),100))&amp;IF(SMALL($AN176:$BK176,9)&gt;100," *",""))</f>
        <v/>
      </c>
      <c r="X176">
        <f>IF(10&gt;$N176,"",INDEX(Engine!$B$20:$B$43,MOD(SMALL($AN176:$BK176,10),100))&amp;IF(SMALL($AN176:$BK176,10)&gt;100," *",""))</f>
        <v/>
      </c>
      <c r="Y176">
        <f>IF(11&gt;$N176,"",INDEX(Engine!$B$20:$B$43,MOD(SMALL($AN176:$BK176,11),100))&amp;IF(SMALL($AN176:$BK176,11)&gt;100," *",""))</f>
        <v/>
      </c>
      <c r="Z176">
        <f>IF(12&gt;$N176,"",INDEX(Engine!$B$20:$B$43,MOD(SMALL($AN176:$BK176,12),100))&amp;IF(SMALL($AN176:$BK176,12)&gt;100," *",""))</f>
        <v/>
      </c>
      <c r="AA176">
        <f>IF(13&gt;$N176,"",INDEX(Engine!$B$20:$B$43,MOD(SMALL($AN176:$BK176,13),100))&amp;IF(SMALL($AN176:$BK176,13)&gt;100," *",""))</f>
        <v/>
      </c>
      <c r="AB176">
        <f>IF(14&gt;$N176,"",INDEX(Engine!$B$20:$B$43,MOD(SMALL($AN176:$BK176,14),100))&amp;IF(SMALL($AN176:$BK176,14)&gt;100," *",""))</f>
        <v/>
      </c>
      <c r="AC176">
        <f>IF(15&gt;$N176,"",INDEX(Engine!$B$20:$B$43,MOD(SMALL($AN176:$BK176,15),100))&amp;IF(SMALL($AN176:$BK176,15)&gt;100," *",""))</f>
        <v/>
      </c>
      <c r="AD176">
        <f>IF(16&gt;$N176,"",INDEX(Engine!$B$20:$B$43,MOD(SMALL($AN176:$BK176,16),100))&amp;IF(SMALL($AN176:$BK176,16)&gt;100," *",""))</f>
        <v/>
      </c>
      <c r="AE176">
        <f>IF(17&gt;$N176,"",INDEX(Engine!$B$20:$B$43,MOD(SMALL($AN176:$BK176,17),100))&amp;IF(SMALL($AN176:$BK176,17)&gt;100," *",""))</f>
        <v/>
      </c>
      <c r="AF176">
        <f>IF(18&gt;$N176,"",INDEX(Engine!$B$20:$B$43,MOD(SMALL($AN176:$BK176,18),100))&amp;IF(SMALL($AN176:$BK176,18)&gt;100," *",""))</f>
        <v/>
      </c>
      <c r="AG176">
        <f>IF(19&gt;$N176,"",INDEX(Engine!$B$20:$B$43,MOD(SMALL($AN176:$BK176,19),100))&amp;IF(SMALL($AN176:$BK176,19)&gt;100," *",""))</f>
        <v/>
      </c>
      <c r="AH176">
        <f>IF(20&gt;$N176,"",INDEX(Engine!$B$20:$B$43,MOD(SMALL($AN176:$BK176,20),100))&amp;IF(SMALL($AN176:$BK176,20)&gt;100," *",""))</f>
        <v/>
      </c>
      <c r="AI176">
        <f>IF(21&gt;$N176,"",INDEX(Engine!$B$20:$B$43,MOD(SMALL($AN176:$BK176,21),100))&amp;IF(SMALL($AN176:$BK176,21)&gt;100," *",""))</f>
        <v/>
      </c>
      <c r="AJ176">
        <f>IF(22&gt;$N176,"",INDEX(Engine!$B$20:$B$43,MOD(SMALL($AN176:$BK176,22),100))&amp;IF(SMALL($AN176:$BK176,22)&gt;100," *",""))</f>
        <v/>
      </c>
      <c r="AK176">
        <f>IF(23&gt;$N176,"",INDEX(Engine!$B$20:$B$43,MOD(SMALL($AN176:$BK176,23),100))&amp;IF(SMALL($AN176:$BK176,23)&gt;100," *",""))</f>
        <v/>
      </c>
      <c r="AL176">
        <f>IF(24&gt;$N176,"",INDEX(Engine!$B$20:$B$43,MOD(SMALL($AN176:$BK176,24),100))&amp;IF(SMALL($AN176:$BK176,24)&gt;100," *",""))</f>
        <v/>
      </c>
      <c r="AN176">
        <f>IF(AND($C20=1,INDEX(Setup!$O$6:$AL$23,1,1)&lt;&gt;"",Q20=0),1+IF(INDEX(Setup!$O$6:$AL$23,1,1)="T",100,0),"")</f>
        <v/>
      </c>
      <c r="AO176">
        <f>IF(AND($C21=1,INDEX(Setup!$O$6:$AL$23,1,2)&lt;&gt;"",Q21=0),2+IF(INDEX(Setup!$O$6:$AL$23,1,2)="T",100,0),"")</f>
        <v/>
      </c>
      <c r="AP176">
        <f>IF(AND($C22=1,INDEX(Setup!$O$6:$AL$23,1,3)&lt;&gt;"",Q22=0),3+IF(INDEX(Setup!$O$6:$AL$23,1,3)="T",100,0),"")</f>
        <v/>
      </c>
      <c r="AQ176">
        <f>IF(AND($C23=1,INDEX(Setup!$O$6:$AL$23,1,4)&lt;&gt;"",Q23=0),4+IF(INDEX(Setup!$O$6:$AL$23,1,4)="T",100,0),"")</f>
        <v/>
      </c>
      <c r="AR176">
        <f>IF(AND($C24=1,INDEX(Setup!$O$6:$AL$23,1,5)&lt;&gt;"",Q24=0),5+IF(INDEX(Setup!$O$6:$AL$23,1,5)="T",100,0),"")</f>
        <v/>
      </c>
      <c r="AS176">
        <f>IF(AND($C25=1,INDEX(Setup!$O$6:$AL$23,1,6)&lt;&gt;"",Q25=0),6+IF(INDEX(Setup!$O$6:$AL$23,1,6)="T",100,0),"")</f>
        <v/>
      </c>
      <c r="AT176">
        <f>IF(AND($C26=1,INDEX(Setup!$O$6:$AL$23,1,7)&lt;&gt;"",Q26=0),7+IF(INDEX(Setup!$O$6:$AL$23,1,7)="T",100,0),"")</f>
        <v/>
      </c>
      <c r="AU176">
        <f>IF(AND($C27=1,INDEX(Setup!$O$6:$AL$23,1,8)&lt;&gt;"",Q27=0),8+IF(INDEX(Setup!$O$6:$AL$23,1,8)="T",100,0),"")</f>
        <v/>
      </c>
      <c r="AV176">
        <f>IF(AND($C28=1,INDEX(Setup!$O$6:$AL$23,1,9)&lt;&gt;"",Q28=0),9+IF(INDEX(Setup!$O$6:$AL$23,1,9)="T",100,0),"")</f>
        <v/>
      </c>
      <c r="AW176">
        <f>IF(AND($C29=1,INDEX(Setup!$O$6:$AL$23,1,10)&lt;&gt;"",Q29=0),10+IF(INDEX(Setup!$O$6:$AL$23,1,10)="T",100,0),"")</f>
        <v/>
      </c>
      <c r="AX176">
        <f>IF(AND($C30=1,INDEX(Setup!$O$6:$AL$23,1,11)&lt;&gt;"",Q30=0),11+IF(INDEX(Setup!$O$6:$AL$23,1,11)="T",100,0),"")</f>
        <v/>
      </c>
      <c r="AY176">
        <f>IF(AND($C31=1,INDEX(Setup!$O$6:$AL$23,1,12)&lt;&gt;"",Q31=0),12+IF(INDEX(Setup!$O$6:$AL$23,1,12)="T",100,0),"")</f>
        <v/>
      </c>
      <c r="AZ176">
        <f>IF(AND($C32=1,INDEX(Setup!$O$6:$AL$23,1,13)&lt;&gt;"",Q32=0),13+IF(INDEX(Setup!$O$6:$AL$23,1,13)="T",100,0),"")</f>
        <v/>
      </c>
      <c r="BA176">
        <f>IF(AND($C33=1,INDEX(Setup!$O$6:$AL$23,1,14)&lt;&gt;"",Q33=0),14+IF(INDEX(Setup!$O$6:$AL$23,1,14)="T",100,0),"")</f>
        <v/>
      </c>
      <c r="BB176">
        <f>IF(AND($C34=1,INDEX(Setup!$O$6:$AL$23,1,15)&lt;&gt;"",Q34=0),15+IF(INDEX(Setup!$O$6:$AL$23,1,15)="T",100,0),"")</f>
        <v/>
      </c>
      <c r="BC176">
        <f>IF(AND($C35=1,INDEX(Setup!$O$6:$AL$23,1,16)&lt;&gt;"",Q35=0),16+IF(INDEX(Setup!$O$6:$AL$23,1,16)="T",100,0),"")</f>
        <v/>
      </c>
      <c r="BD176">
        <f>IF(AND($C36=1,INDEX(Setup!$O$6:$AL$23,1,17)&lt;&gt;"",Q36=0),17+IF(INDEX(Setup!$O$6:$AL$23,1,17)="T",100,0),"")</f>
        <v/>
      </c>
      <c r="BE176">
        <f>IF(AND($C37=1,INDEX(Setup!$O$6:$AL$23,1,18)&lt;&gt;"",Q37=0),18+IF(INDEX(Setup!$O$6:$AL$23,1,18)="T",100,0),"")</f>
        <v/>
      </c>
      <c r="BF176">
        <f>IF(AND($C38=1,INDEX(Setup!$O$6:$AL$23,1,19)&lt;&gt;"",Q38=0),19+IF(INDEX(Setup!$O$6:$AL$23,1,19)="T",100,0),"")</f>
        <v/>
      </c>
      <c r="BG176">
        <f>IF(AND($C39=1,INDEX(Setup!$O$6:$AL$23,1,20)&lt;&gt;"",Q39=0),20+IF(INDEX(Setup!$O$6:$AL$23,1,20)="T",100,0),"")</f>
        <v/>
      </c>
      <c r="BH176">
        <f>IF(AND($C40=1,INDEX(Setup!$O$6:$AL$23,1,21)&lt;&gt;"",Q40=0),21+IF(INDEX(Setup!$O$6:$AL$23,1,21)="T",100,0),"")</f>
        <v/>
      </c>
      <c r="BI176">
        <f>IF(AND($C41=1,INDEX(Setup!$O$6:$AL$23,1,22)&lt;&gt;"",Q41=0),22+IF(INDEX(Setup!$O$6:$AL$23,1,22)="T",100,0),"")</f>
        <v/>
      </c>
      <c r="BJ176">
        <f>IF(AND($C42=1,INDEX(Setup!$O$6:$AL$23,1,23)&lt;&gt;"",Q42=0),23+IF(INDEX(Setup!$O$6:$AL$23,1,23)="T",100,0),"")</f>
        <v/>
      </c>
      <c r="BK176">
        <f>IF(AND($C43=1,INDEX(Setup!$O$6:$AL$23,1,24)&lt;&gt;"",Q43=0),24+IF(INDEX(Setup!$O$6:$AL$23,1,24)="T",100,0),"")</f>
        <v/>
      </c>
      <c r="BM176">
        <f>IF(AND(AN176&lt;&gt;"",COUNTIF($Y$47:$Y$47,$B20)+COUNTIF($Y$47:$Y$47,$B20&amp;" ~*")=0),($R20+0)*1000+IF(AN176&gt;100,500,0)+1,"")</f>
        <v/>
      </c>
      <c r="BN176">
        <f>IF(AND(AO176&lt;&gt;"",COUNTIF($Y$47:$Y$47,$B21)+COUNTIF($Y$47:$Y$47,$B21&amp;" ~*")=0),($R21+0)*1000+IF(AO176&gt;100,500,0)+2,"")</f>
        <v/>
      </c>
      <c r="BO176">
        <f>IF(AND(AP176&lt;&gt;"",COUNTIF($Y$47:$Y$47,$B22)+COUNTIF($Y$47:$Y$47,$B22&amp;" ~*")=0),($R22+0)*1000+IF(AP176&gt;100,500,0)+3,"")</f>
        <v/>
      </c>
      <c r="BP176">
        <f>IF(AND(AQ176&lt;&gt;"",COUNTIF($Y$47:$Y$47,$B23)+COUNTIF($Y$47:$Y$47,$B23&amp;" ~*")=0),($R23+0)*1000+IF(AQ176&gt;100,500,0)+4,"")</f>
        <v/>
      </c>
      <c r="BQ176">
        <f>IF(AND(AR176&lt;&gt;"",COUNTIF($Y$47:$Y$47,$B24)+COUNTIF($Y$47:$Y$47,$B24&amp;" ~*")=0),($R24+0)*1000+IF(AR176&gt;100,500,0)+5,"")</f>
        <v/>
      </c>
      <c r="BR176">
        <f>IF(AND(AS176&lt;&gt;"",COUNTIF($Y$47:$Y$47,$B25)+COUNTIF($Y$47:$Y$47,$B25&amp;" ~*")=0),($R25+0)*1000+IF(AS176&gt;100,500,0)+6,"")</f>
        <v/>
      </c>
      <c r="BS176">
        <f>IF(AND(AT176&lt;&gt;"",COUNTIF($Y$47:$Y$47,$B26)+COUNTIF($Y$47:$Y$47,$B26&amp;" ~*")=0),($R26+0)*1000+IF(AT176&gt;100,500,0)+7,"")</f>
        <v/>
      </c>
      <c r="BT176">
        <f>IF(AND(AU176&lt;&gt;"",COUNTIF($Y$47:$Y$47,$B27)+COUNTIF($Y$47:$Y$47,$B27&amp;" ~*")=0),($R27+0)*1000+IF(AU176&gt;100,500,0)+8,"")</f>
        <v/>
      </c>
      <c r="BU176">
        <f>IF(AND(AV176&lt;&gt;"",COUNTIF($Y$47:$Y$47,$B28)+COUNTIF($Y$47:$Y$47,$B28&amp;" ~*")=0),($R28+0)*1000+IF(AV176&gt;100,500,0)+9,"")</f>
        <v/>
      </c>
      <c r="BV176">
        <f>IF(AND(AW176&lt;&gt;"",COUNTIF($Y$47:$Y$47,$B29)+COUNTIF($Y$47:$Y$47,$B29&amp;" ~*")=0),($R29+0)*1000+IF(AW176&gt;100,500,0)+10,"")</f>
        <v/>
      </c>
      <c r="BW176">
        <f>IF(AND(AX176&lt;&gt;"",COUNTIF($Y$47:$Y$47,$B30)+COUNTIF($Y$47:$Y$47,$B30&amp;" ~*")=0),($R30+0)*1000+IF(AX176&gt;100,500,0)+11,"")</f>
        <v/>
      </c>
      <c r="BX176">
        <f>IF(AND(AY176&lt;&gt;"",COUNTIF($Y$47:$Y$47,$B31)+COUNTIF($Y$47:$Y$47,$B31&amp;" ~*")=0),($R31+0)*1000+IF(AY176&gt;100,500,0)+12,"")</f>
        <v/>
      </c>
      <c r="BY176">
        <f>IF(AND(AZ176&lt;&gt;"",COUNTIF($Y$47:$Y$47,$B32)+COUNTIF($Y$47:$Y$47,$B32&amp;" ~*")=0),($R32+0)*1000+IF(AZ176&gt;100,500,0)+13,"")</f>
        <v/>
      </c>
      <c r="BZ176">
        <f>IF(AND(BA176&lt;&gt;"",COUNTIF($Y$47:$Y$47,$B33)+COUNTIF($Y$47:$Y$47,$B33&amp;" ~*")=0),($R33+0)*1000+IF(BA176&gt;100,500,0)+14,"")</f>
        <v/>
      </c>
      <c r="CA176">
        <f>IF(AND(BB176&lt;&gt;"",COUNTIF($Y$47:$Y$47,$B34)+COUNTIF($Y$47:$Y$47,$B34&amp;" ~*")=0),($R34+0)*1000+IF(BB176&gt;100,500,0)+15,"")</f>
        <v/>
      </c>
      <c r="CB176">
        <f>IF(AND(BC176&lt;&gt;"",COUNTIF($Y$47:$Y$47,$B35)+COUNTIF($Y$47:$Y$47,$B35&amp;" ~*")=0),($R35+0)*1000+IF(BC176&gt;100,500,0)+16,"")</f>
        <v/>
      </c>
      <c r="CC176">
        <f>IF(AND(BD176&lt;&gt;"",COUNTIF($Y$47:$Y$47,$B36)+COUNTIF($Y$47:$Y$47,$B36&amp;" ~*")=0),($R36+0)*1000+IF(BD176&gt;100,500,0)+17,"")</f>
        <v/>
      </c>
      <c r="CD176">
        <f>IF(AND(BE176&lt;&gt;"",COUNTIF($Y$47:$Y$47,$B37)+COUNTIF($Y$47:$Y$47,$B37&amp;" ~*")=0),($R37+0)*1000+IF(BE176&gt;100,500,0)+18,"")</f>
        <v/>
      </c>
      <c r="CE176">
        <f>IF(AND(BF176&lt;&gt;"",COUNTIF($Y$47:$Y$47,$B38)+COUNTIF($Y$47:$Y$47,$B38&amp;" ~*")=0),($R38+0)*1000+IF(BF176&gt;100,500,0)+19,"")</f>
        <v/>
      </c>
      <c r="CF176">
        <f>IF(AND(BG176&lt;&gt;"",COUNTIF($Y$47:$Y$47,$B39)+COUNTIF($Y$47:$Y$47,$B39&amp;" ~*")=0),($R39+0)*1000+IF(BG176&gt;100,500,0)+20,"")</f>
        <v/>
      </c>
      <c r="CG176">
        <f>IF(AND(BH176&lt;&gt;"",COUNTIF($Y$47:$Y$47,$B40)+COUNTIF($Y$47:$Y$47,$B40&amp;" ~*")=0),($R40+0)*1000+IF(BH176&gt;100,500,0)+21,"")</f>
        <v/>
      </c>
      <c r="CH176">
        <f>IF(AND(BI176&lt;&gt;"",COUNTIF($Y$47:$Y$47,$B41)+COUNTIF($Y$47:$Y$47,$B41&amp;" ~*")=0),($R41+0)*1000+IF(BI176&gt;100,500,0)+22,"")</f>
        <v/>
      </c>
      <c r="CI176">
        <f>IF(AND(BJ176&lt;&gt;"",COUNTIF($Y$47:$Y$47,$B42)+COUNTIF($Y$47:$Y$47,$B42&amp;" ~*")=0),($R42+0)*1000+IF(BJ176&gt;100,500,0)+23,"")</f>
        <v/>
      </c>
      <c r="CJ176">
        <f>IF(AND(BK176&lt;&gt;"",COUNTIF($Y$47:$Y$47,$B43)+COUNTIF($Y$47:$Y$47,$B43&amp;" ~*")=0),($R43+0)*1000+IF(BK176&gt;100,500,0)+24,"")</f>
        <v/>
      </c>
    </row>
    <row r="177">
      <c r="A177" t="n">
        <v>7</v>
      </c>
      <c r="B177" t="n">
        <v>2</v>
      </c>
      <c r="C177">
        <f>$B$48</f>
        <v/>
      </c>
      <c r="D177" t="inlineStr">
        <is>
          <t>Sun</t>
        </is>
      </c>
      <c r="E177">
        <f>IF(C177="","",N($AC$48))</f>
        <v/>
      </c>
      <c r="F177">
        <f>IF(C177="","",COUNTIF($Y$48:$Y$48,"?*"))</f>
        <v/>
      </c>
      <c r="G177">
        <f>IF(C177="","",MAX(0,E177-F177))</f>
        <v/>
      </c>
      <c r="H177">
        <f>IF(N(G177)=0,"",IF(COUNT(BM177:CJ177)=0,"no-one eligible",INDEX(Engine!$B$20:$B$43,MOD(MIN(BM177:CJ177),500))&amp;IF(MOD(MIN(BM177:CJ177),1000)&gt;=500," *","")))</f>
        <v/>
      </c>
      <c r="I177">
        <f>IF(N(G177)&gt;0,COUNTIF($G$68:G177,"&gt;0"),"")</f>
        <v/>
      </c>
      <c r="J177">
        <f>IF(C177="","",IF($Y$48="",0,IF(IFERROR(INDEX(Setup!$O$6:$AL$23,2,MATCH(SUBSTITUTE($Y$48," *",""),Setup!$B$6:$B$29,0)),"")="",1,0)))</f>
        <v/>
      </c>
      <c r="K177">
        <f>IF($B$12+6=TODAY(),1,0)</f>
        <v/>
      </c>
      <c r="N177">
        <f>COUNT($AN177:$BK177)</f>
        <v/>
      </c>
      <c r="O177">
        <f>IF(1&gt;$N177,"",INDEX(Engine!$B$20:$B$43,MOD(SMALL($AN177:$BK177,1),100))&amp;IF(SMALL($AN177:$BK177,1)&gt;100," *",""))</f>
        <v/>
      </c>
      <c r="P177">
        <f>IF(2&gt;$N177,"",INDEX(Engine!$B$20:$B$43,MOD(SMALL($AN177:$BK177,2),100))&amp;IF(SMALL($AN177:$BK177,2)&gt;100," *",""))</f>
        <v/>
      </c>
      <c r="Q177">
        <f>IF(3&gt;$N177,"",INDEX(Engine!$B$20:$B$43,MOD(SMALL($AN177:$BK177,3),100))&amp;IF(SMALL($AN177:$BK177,3)&gt;100," *",""))</f>
        <v/>
      </c>
      <c r="R177">
        <f>IF(4&gt;$N177,"",INDEX(Engine!$B$20:$B$43,MOD(SMALL($AN177:$BK177,4),100))&amp;IF(SMALL($AN177:$BK177,4)&gt;100," *",""))</f>
        <v/>
      </c>
      <c r="S177">
        <f>IF(5&gt;$N177,"",INDEX(Engine!$B$20:$B$43,MOD(SMALL($AN177:$BK177,5),100))&amp;IF(SMALL($AN177:$BK177,5)&gt;100," *",""))</f>
        <v/>
      </c>
      <c r="T177">
        <f>IF(6&gt;$N177,"",INDEX(Engine!$B$20:$B$43,MOD(SMALL($AN177:$BK177,6),100))&amp;IF(SMALL($AN177:$BK177,6)&gt;100," *",""))</f>
        <v/>
      </c>
      <c r="U177">
        <f>IF(7&gt;$N177,"",INDEX(Engine!$B$20:$B$43,MOD(SMALL($AN177:$BK177,7),100))&amp;IF(SMALL($AN177:$BK177,7)&gt;100," *",""))</f>
        <v/>
      </c>
      <c r="V177">
        <f>IF(8&gt;$N177,"",INDEX(Engine!$B$20:$B$43,MOD(SMALL($AN177:$BK177,8),100))&amp;IF(SMALL($AN177:$BK177,8)&gt;100," *",""))</f>
        <v/>
      </c>
      <c r="W177">
        <f>IF(9&gt;$N177,"",INDEX(Engine!$B$20:$B$43,MOD(SMALL($AN177:$BK177,9),100))&amp;IF(SMALL($AN177:$BK177,9)&gt;100," *",""))</f>
        <v/>
      </c>
      <c r="X177">
        <f>IF(10&gt;$N177,"",INDEX(Engine!$B$20:$B$43,MOD(SMALL($AN177:$BK177,10),100))&amp;IF(SMALL($AN177:$BK177,10)&gt;100," *",""))</f>
        <v/>
      </c>
      <c r="Y177">
        <f>IF(11&gt;$N177,"",INDEX(Engine!$B$20:$B$43,MOD(SMALL($AN177:$BK177,11),100))&amp;IF(SMALL($AN177:$BK177,11)&gt;100," *",""))</f>
        <v/>
      </c>
      <c r="Z177">
        <f>IF(12&gt;$N177,"",INDEX(Engine!$B$20:$B$43,MOD(SMALL($AN177:$BK177,12),100))&amp;IF(SMALL($AN177:$BK177,12)&gt;100," *",""))</f>
        <v/>
      </c>
      <c r="AA177">
        <f>IF(13&gt;$N177,"",INDEX(Engine!$B$20:$B$43,MOD(SMALL($AN177:$BK177,13),100))&amp;IF(SMALL($AN177:$BK177,13)&gt;100," *",""))</f>
        <v/>
      </c>
      <c r="AB177">
        <f>IF(14&gt;$N177,"",INDEX(Engine!$B$20:$B$43,MOD(SMALL($AN177:$BK177,14),100))&amp;IF(SMALL($AN177:$BK177,14)&gt;100," *",""))</f>
        <v/>
      </c>
      <c r="AC177">
        <f>IF(15&gt;$N177,"",INDEX(Engine!$B$20:$B$43,MOD(SMALL($AN177:$BK177,15),100))&amp;IF(SMALL($AN177:$BK177,15)&gt;100," *",""))</f>
        <v/>
      </c>
      <c r="AD177">
        <f>IF(16&gt;$N177,"",INDEX(Engine!$B$20:$B$43,MOD(SMALL($AN177:$BK177,16),100))&amp;IF(SMALL($AN177:$BK177,16)&gt;100," *",""))</f>
        <v/>
      </c>
      <c r="AE177">
        <f>IF(17&gt;$N177,"",INDEX(Engine!$B$20:$B$43,MOD(SMALL($AN177:$BK177,17),100))&amp;IF(SMALL($AN177:$BK177,17)&gt;100," *",""))</f>
        <v/>
      </c>
      <c r="AF177">
        <f>IF(18&gt;$N177,"",INDEX(Engine!$B$20:$B$43,MOD(SMALL($AN177:$BK177,18),100))&amp;IF(SMALL($AN177:$BK177,18)&gt;100," *",""))</f>
        <v/>
      </c>
      <c r="AG177">
        <f>IF(19&gt;$N177,"",INDEX(Engine!$B$20:$B$43,MOD(SMALL($AN177:$BK177,19),100))&amp;IF(SMALL($AN177:$BK177,19)&gt;100," *",""))</f>
        <v/>
      </c>
      <c r="AH177">
        <f>IF(20&gt;$N177,"",INDEX(Engine!$B$20:$B$43,MOD(SMALL($AN177:$BK177,20),100))&amp;IF(SMALL($AN177:$BK177,20)&gt;100," *",""))</f>
        <v/>
      </c>
      <c r="AI177">
        <f>IF(21&gt;$N177,"",INDEX(Engine!$B$20:$B$43,MOD(SMALL($AN177:$BK177,21),100))&amp;IF(SMALL($AN177:$BK177,21)&gt;100," *",""))</f>
        <v/>
      </c>
      <c r="AJ177">
        <f>IF(22&gt;$N177,"",INDEX(Engine!$B$20:$B$43,MOD(SMALL($AN177:$BK177,22),100))&amp;IF(SMALL($AN177:$BK177,22)&gt;100," *",""))</f>
        <v/>
      </c>
      <c r="AK177">
        <f>IF(23&gt;$N177,"",INDEX(Engine!$B$20:$B$43,MOD(SMALL($AN177:$BK177,23),100))&amp;IF(SMALL($AN177:$BK177,23)&gt;100," *",""))</f>
        <v/>
      </c>
      <c r="AL177">
        <f>IF(24&gt;$N177,"",INDEX(Engine!$B$20:$B$43,MOD(SMALL($AN177:$BK177,24),100))&amp;IF(SMALL($AN177:$BK177,24)&gt;100," *",""))</f>
        <v/>
      </c>
      <c r="AN177">
        <f>IF(AND($C20=1,INDEX(Setup!$O$6:$AL$23,2,1)&lt;&gt;"",Q20=0),1+IF(INDEX(Setup!$O$6:$AL$23,2,1)="T",100,0),"")</f>
        <v/>
      </c>
      <c r="AO177">
        <f>IF(AND($C21=1,INDEX(Setup!$O$6:$AL$23,2,2)&lt;&gt;"",Q21=0),2+IF(INDEX(Setup!$O$6:$AL$23,2,2)="T",100,0),"")</f>
        <v/>
      </c>
      <c r="AP177">
        <f>IF(AND($C22=1,INDEX(Setup!$O$6:$AL$23,2,3)&lt;&gt;"",Q22=0),3+IF(INDEX(Setup!$O$6:$AL$23,2,3)="T",100,0),"")</f>
        <v/>
      </c>
      <c r="AQ177">
        <f>IF(AND($C23=1,INDEX(Setup!$O$6:$AL$23,2,4)&lt;&gt;"",Q23=0),4+IF(INDEX(Setup!$O$6:$AL$23,2,4)="T",100,0),"")</f>
        <v/>
      </c>
      <c r="AR177">
        <f>IF(AND($C24=1,INDEX(Setup!$O$6:$AL$23,2,5)&lt;&gt;"",Q24=0),5+IF(INDEX(Setup!$O$6:$AL$23,2,5)="T",100,0),"")</f>
        <v/>
      </c>
      <c r="AS177">
        <f>IF(AND($C25=1,INDEX(Setup!$O$6:$AL$23,2,6)&lt;&gt;"",Q25=0),6+IF(INDEX(Setup!$O$6:$AL$23,2,6)="T",100,0),"")</f>
        <v/>
      </c>
      <c r="AT177">
        <f>IF(AND($C26=1,INDEX(Setup!$O$6:$AL$23,2,7)&lt;&gt;"",Q26=0),7+IF(INDEX(Setup!$O$6:$AL$23,2,7)="T",100,0),"")</f>
        <v/>
      </c>
      <c r="AU177">
        <f>IF(AND($C27=1,INDEX(Setup!$O$6:$AL$23,2,8)&lt;&gt;"",Q27=0),8+IF(INDEX(Setup!$O$6:$AL$23,2,8)="T",100,0),"")</f>
        <v/>
      </c>
      <c r="AV177">
        <f>IF(AND($C28=1,INDEX(Setup!$O$6:$AL$23,2,9)&lt;&gt;"",Q28=0),9+IF(INDEX(Setup!$O$6:$AL$23,2,9)="T",100,0),"")</f>
        <v/>
      </c>
      <c r="AW177">
        <f>IF(AND($C29=1,INDEX(Setup!$O$6:$AL$23,2,10)&lt;&gt;"",Q29=0),10+IF(INDEX(Setup!$O$6:$AL$23,2,10)="T",100,0),"")</f>
        <v/>
      </c>
      <c r="AX177">
        <f>IF(AND($C30=1,INDEX(Setup!$O$6:$AL$23,2,11)&lt;&gt;"",Q30=0),11+IF(INDEX(Setup!$O$6:$AL$23,2,11)="T",100,0),"")</f>
        <v/>
      </c>
      <c r="AY177">
        <f>IF(AND($C31=1,INDEX(Setup!$O$6:$AL$23,2,12)&lt;&gt;"",Q31=0),12+IF(INDEX(Setup!$O$6:$AL$23,2,12)="T",100,0),"")</f>
        <v/>
      </c>
      <c r="AZ177">
        <f>IF(AND($C32=1,INDEX(Setup!$O$6:$AL$23,2,13)&lt;&gt;"",Q32=0),13+IF(INDEX(Setup!$O$6:$AL$23,2,13)="T",100,0),"")</f>
        <v/>
      </c>
      <c r="BA177">
        <f>IF(AND($C33=1,INDEX(Setup!$O$6:$AL$23,2,14)&lt;&gt;"",Q33=0),14+IF(INDEX(Setup!$O$6:$AL$23,2,14)="T",100,0),"")</f>
        <v/>
      </c>
      <c r="BB177">
        <f>IF(AND($C34=1,INDEX(Setup!$O$6:$AL$23,2,15)&lt;&gt;"",Q34=0),15+IF(INDEX(Setup!$O$6:$AL$23,2,15)="T",100,0),"")</f>
        <v/>
      </c>
      <c r="BC177">
        <f>IF(AND($C35=1,INDEX(Setup!$O$6:$AL$23,2,16)&lt;&gt;"",Q35=0),16+IF(INDEX(Setup!$O$6:$AL$23,2,16)="T",100,0),"")</f>
        <v/>
      </c>
      <c r="BD177">
        <f>IF(AND($C36=1,INDEX(Setup!$O$6:$AL$23,2,17)&lt;&gt;"",Q36=0),17+IF(INDEX(Setup!$O$6:$AL$23,2,17)="T",100,0),"")</f>
        <v/>
      </c>
      <c r="BE177">
        <f>IF(AND($C37=1,INDEX(Setup!$O$6:$AL$23,2,18)&lt;&gt;"",Q37=0),18+IF(INDEX(Setup!$O$6:$AL$23,2,18)="T",100,0),"")</f>
        <v/>
      </c>
      <c r="BF177">
        <f>IF(AND($C38=1,INDEX(Setup!$O$6:$AL$23,2,19)&lt;&gt;"",Q38=0),19+IF(INDEX(Setup!$O$6:$AL$23,2,19)="T",100,0),"")</f>
        <v/>
      </c>
      <c r="BG177">
        <f>IF(AND($C39=1,INDEX(Setup!$O$6:$AL$23,2,20)&lt;&gt;"",Q39=0),20+IF(INDEX(Setup!$O$6:$AL$23,2,20)="T",100,0),"")</f>
        <v/>
      </c>
      <c r="BH177">
        <f>IF(AND($C40=1,INDEX(Setup!$O$6:$AL$23,2,21)&lt;&gt;"",Q40=0),21+IF(INDEX(Setup!$O$6:$AL$23,2,21)="T",100,0),"")</f>
        <v/>
      </c>
      <c r="BI177">
        <f>IF(AND($C41=1,INDEX(Setup!$O$6:$AL$23,2,22)&lt;&gt;"",Q41=0),22+IF(INDEX(Setup!$O$6:$AL$23,2,22)="T",100,0),"")</f>
        <v/>
      </c>
      <c r="BJ177">
        <f>IF(AND($C42=1,INDEX(Setup!$O$6:$AL$23,2,23)&lt;&gt;"",Q42=0),23+IF(INDEX(Setup!$O$6:$AL$23,2,23)="T",100,0),"")</f>
        <v/>
      </c>
      <c r="BK177">
        <f>IF(AND($C43=1,INDEX(Setup!$O$6:$AL$23,2,24)&lt;&gt;"",Q43=0),24+IF(INDEX(Setup!$O$6:$AL$23,2,24)="T",100,0),"")</f>
        <v/>
      </c>
      <c r="BM177">
        <f>IF(AND(AN177&lt;&gt;"",COUNTIF($Y$48:$Y$48,$B20)+COUNTIF($Y$48:$Y$48,$B20&amp;" ~*")=0),($R20+COUNTIF($H$176:$H176,$B20)+COUNTIF($H$176:$H176,$B20&amp;" ~*"))*1000+IF(AN177&gt;100,500,0)+1,"")</f>
        <v/>
      </c>
      <c r="BN177">
        <f>IF(AND(AO177&lt;&gt;"",COUNTIF($Y$48:$Y$48,$B21)+COUNTIF($Y$48:$Y$48,$B21&amp;" ~*")=0),($R21+COUNTIF($H$176:$H176,$B21)+COUNTIF($H$176:$H176,$B21&amp;" ~*"))*1000+IF(AO177&gt;100,500,0)+2,"")</f>
        <v/>
      </c>
      <c r="BO177">
        <f>IF(AND(AP177&lt;&gt;"",COUNTIF($Y$48:$Y$48,$B22)+COUNTIF($Y$48:$Y$48,$B22&amp;" ~*")=0),($R22+COUNTIF($H$176:$H176,$B22)+COUNTIF($H$176:$H176,$B22&amp;" ~*"))*1000+IF(AP177&gt;100,500,0)+3,"")</f>
        <v/>
      </c>
      <c r="BP177">
        <f>IF(AND(AQ177&lt;&gt;"",COUNTIF($Y$48:$Y$48,$B23)+COUNTIF($Y$48:$Y$48,$B23&amp;" ~*")=0),($R23+COUNTIF($H$176:$H176,$B23)+COUNTIF($H$176:$H176,$B23&amp;" ~*"))*1000+IF(AQ177&gt;100,500,0)+4,"")</f>
        <v/>
      </c>
      <c r="BQ177">
        <f>IF(AND(AR177&lt;&gt;"",COUNTIF($Y$48:$Y$48,$B24)+COUNTIF($Y$48:$Y$48,$B24&amp;" ~*")=0),($R24+COUNTIF($H$176:$H176,$B24)+COUNTIF($H$176:$H176,$B24&amp;" ~*"))*1000+IF(AR177&gt;100,500,0)+5,"")</f>
        <v/>
      </c>
      <c r="BR177">
        <f>IF(AND(AS177&lt;&gt;"",COUNTIF($Y$48:$Y$48,$B25)+COUNTIF($Y$48:$Y$48,$B25&amp;" ~*")=0),($R25+COUNTIF($H$176:$H176,$B25)+COUNTIF($H$176:$H176,$B25&amp;" ~*"))*1000+IF(AS177&gt;100,500,0)+6,"")</f>
        <v/>
      </c>
      <c r="BS177">
        <f>IF(AND(AT177&lt;&gt;"",COUNTIF($Y$48:$Y$48,$B26)+COUNTIF($Y$48:$Y$48,$B26&amp;" ~*")=0),($R26+COUNTIF($H$176:$H176,$B26)+COUNTIF($H$176:$H176,$B26&amp;" ~*"))*1000+IF(AT177&gt;100,500,0)+7,"")</f>
        <v/>
      </c>
      <c r="BT177">
        <f>IF(AND(AU177&lt;&gt;"",COUNTIF($Y$48:$Y$48,$B27)+COUNTIF($Y$48:$Y$48,$B27&amp;" ~*")=0),($R27+COUNTIF($H$176:$H176,$B27)+COUNTIF($H$176:$H176,$B27&amp;" ~*"))*1000+IF(AU177&gt;100,500,0)+8,"")</f>
        <v/>
      </c>
      <c r="BU177">
        <f>IF(AND(AV177&lt;&gt;"",COUNTIF($Y$48:$Y$48,$B28)+COUNTIF($Y$48:$Y$48,$B28&amp;" ~*")=0),($R28+COUNTIF($H$176:$H176,$B28)+COUNTIF($H$176:$H176,$B28&amp;" ~*"))*1000+IF(AV177&gt;100,500,0)+9,"")</f>
        <v/>
      </c>
      <c r="BV177">
        <f>IF(AND(AW177&lt;&gt;"",COUNTIF($Y$48:$Y$48,$B29)+COUNTIF($Y$48:$Y$48,$B29&amp;" ~*")=0),($R29+COUNTIF($H$176:$H176,$B29)+COUNTIF($H$176:$H176,$B29&amp;" ~*"))*1000+IF(AW177&gt;100,500,0)+10,"")</f>
        <v/>
      </c>
      <c r="BW177">
        <f>IF(AND(AX177&lt;&gt;"",COUNTIF($Y$48:$Y$48,$B30)+COUNTIF($Y$48:$Y$48,$B30&amp;" ~*")=0),($R30+COUNTIF($H$176:$H176,$B30)+COUNTIF($H$176:$H176,$B30&amp;" ~*"))*1000+IF(AX177&gt;100,500,0)+11,"")</f>
        <v/>
      </c>
      <c r="BX177">
        <f>IF(AND(AY177&lt;&gt;"",COUNTIF($Y$48:$Y$48,$B31)+COUNTIF($Y$48:$Y$48,$B31&amp;" ~*")=0),($R31+COUNTIF($H$176:$H176,$B31)+COUNTIF($H$176:$H176,$B31&amp;" ~*"))*1000+IF(AY177&gt;100,500,0)+12,"")</f>
        <v/>
      </c>
      <c r="BY177">
        <f>IF(AND(AZ177&lt;&gt;"",COUNTIF($Y$48:$Y$48,$B32)+COUNTIF($Y$48:$Y$48,$B32&amp;" ~*")=0),($R32+COUNTIF($H$176:$H176,$B32)+COUNTIF($H$176:$H176,$B32&amp;" ~*"))*1000+IF(AZ177&gt;100,500,0)+13,"")</f>
        <v/>
      </c>
      <c r="BZ177">
        <f>IF(AND(BA177&lt;&gt;"",COUNTIF($Y$48:$Y$48,$B33)+COUNTIF($Y$48:$Y$48,$B33&amp;" ~*")=0),($R33+COUNTIF($H$176:$H176,$B33)+COUNTIF($H$176:$H176,$B33&amp;" ~*"))*1000+IF(BA177&gt;100,500,0)+14,"")</f>
        <v/>
      </c>
      <c r="CA177">
        <f>IF(AND(BB177&lt;&gt;"",COUNTIF($Y$48:$Y$48,$B34)+COUNTIF($Y$48:$Y$48,$B34&amp;" ~*")=0),($R34+COUNTIF($H$176:$H176,$B34)+COUNTIF($H$176:$H176,$B34&amp;" ~*"))*1000+IF(BB177&gt;100,500,0)+15,"")</f>
        <v/>
      </c>
      <c r="CB177">
        <f>IF(AND(BC177&lt;&gt;"",COUNTIF($Y$48:$Y$48,$B35)+COUNTIF($Y$48:$Y$48,$B35&amp;" ~*")=0),($R35+COUNTIF($H$176:$H176,$B35)+COUNTIF($H$176:$H176,$B35&amp;" ~*"))*1000+IF(BC177&gt;100,500,0)+16,"")</f>
        <v/>
      </c>
      <c r="CC177">
        <f>IF(AND(BD177&lt;&gt;"",COUNTIF($Y$48:$Y$48,$B36)+COUNTIF($Y$48:$Y$48,$B36&amp;" ~*")=0),($R36+COUNTIF($H$176:$H176,$B36)+COUNTIF($H$176:$H176,$B36&amp;" ~*"))*1000+IF(BD177&gt;100,500,0)+17,"")</f>
        <v/>
      </c>
      <c r="CD177">
        <f>IF(AND(BE177&lt;&gt;"",COUNTIF($Y$48:$Y$48,$B37)+COUNTIF($Y$48:$Y$48,$B37&amp;" ~*")=0),($R37+COUNTIF($H$176:$H176,$B37)+COUNTIF($H$176:$H176,$B37&amp;" ~*"))*1000+IF(BE177&gt;100,500,0)+18,"")</f>
        <v/>
      </c>
      <c r="CE177">
        <f>IF(AND(BF177&lt;&gt;"",COUNTIF($Y$48:$Y$48,$B38)+COUNTIF($Y$48:$Y$48,$B38&amp;" ~*")=0),($R38+COUNTIF($H$176:$H176,$B38)+COUNTIF($H$176:$H176,$B38&amp;" ~*"))*1000+IF(BF177&gt;100,500,0)+19,"")</f>
        <v/>
      </c>
      <c r="CF177">
        <f>IF(AND(BG177&lt;&gt;"",COUNTIF($Y$48:$Y$48,$B39)+COUNTIF($Y$48:$Y$48,$B39&amp;" ~*")=0),($R39+COUNTIF($H$176:$H176,$B39)+COUNTIF($H$176:$H176,$B39&amp;" ~*"))*1000+IF(BG177&gt;100,500,0)+20,"")</f>
        <v/>
      </c>
      <c r="CG177">
        <f>IF(AND(BH177&lt;&gt;"",COUNTIF($Y$48:$Y$48,$B40)+COUNTIF($Y$48:$Y$48,$B40&amp;" ~*")=0),($R40+COUNTIF($H$176:$H176,$B40)+COUNTIF($H$176:$H176,$B40&amp;" ~*"))*1000+IF(BH177&gt;100,500,0)+21,"")</f>
        <v/>
      </c>
      <c r="CH177">
        <f>IF(AND(BI177&lt;&gt;"",COUNTIF($Y$48:$Y$48,$B41)+COUNTIF($Y$48:$Y$48,$B41&amp;" ~*")=0),($R41+COUNTIF($H$176:$H176,$B41)+COUNTIF($H$176:$H176,$B41&amp;" ~*"))*1000+IF(BI177&gt;100,500,0)+22,"")</f>
        <v/>
      </c>
      <c r="CI177">
        <f>IF(AND(BJ177&lt;&gt;"",COUNTIF($Y$48:$Y$48,$B42)+COUNTIF($Y$48:$Y$48,$B42&amp;" ~*")=0),($R42+COUNTIF($H$176:$H176,$B42)+COUNTIF($H$176:$H176,$B42&amp;" ~*"))*1000+IF(BJ177&gt;100,500,0)+23,"")</f>
        <v/>
      </c>
      <c r="CJ177">
        <f>IF(AND(BK177&lt;&gt;"",COUNTIF($Y$48:$Y$48,$B43)+COUNTIF($Y$48:$Y$48,$B43&amp;" ~*")=0),($R43+COUNTIF($H$176:$H176,$B43)+COUNTIF($H$176:$H176,$B43&amp;" ~*"))*1000+IF(BK177&gt;100,500,0)+24,"")</f>
        <v/>
      </c>
    </row>
    <row r="178">
      <c r="A178" t="n">
        <v>7</v>
      </c>
      <c r="B178" t="n">
        <v>3</v>
      </c>
      <c r="C178">
        <f>$B$49</f>
        <v/>
      </c>
      <c r="D178" t="inlineStr">
        <is>
          <t>Sun</t>
        </is>
      </c>
      <c r="E178">
        <f>IF(C178="","",N($AC$49))</f>
        <v/>
      </c>
      <c r="F178">
        <f>IF(C178="","",COUNTIF($Y$49:$Y$49,"?*"))</f>
        <v/>
      </c>
      <c r="G178">
        <f>IF(C178="","",MAX(0,E178-F178))</f>
        <v/>
      </c>
      <c r="H178">
        <f>IF(N(G178)=0,"",IF(COUNT(BM178:CJ178)=0,"no-one eligible",INDEX(Engine!$B$20:$B$43,MOD(MIN(BM178:CJ178),500))&amp;IF(MOD(MIN(BM178:CJ178),1000)&gt;=500," *","")))</f>
        <v/>
      </c>
      <c r="I178">
        <f>IF(N(G178)&gt;0,COUNTIF($G$68:G178,"&gt;0"),"")</f>
        <v/>
      </c>
      <c r="J178">
        <f>IF(C178="","",IF($Y$49="",0,IF(IFERROR(INDEX(Setup!$O$6:$AL$23,3,MATCH(SUBSTITUTE($Y$49," *",""),Setup!$B$6:$B$29,0)),"")="",1,0)))</f>
        <v/>
      </c>
      <c r="K178">
        <f>IF($B$12+6=TODAY(),1,0)</f>
        <v/>
      </c>
      <c r="N178">
        <f>COUNT($AN178:$BK178)</f>
        <v/>
      </c>
      <c r="O178">
        <f>IF(1&gt;$N178,"",INDEX(Engine!$B$20:$B$43,MOD(SMALL($AN178:$BK178,1),100))&amp;IF(SMALL($AN178:$BK178,1)&gt;100," *",""))</f>
        <v/>
      </c>
      <c r="P178">
        <f>IF(2&gt;$N178,"",INDEX(Engine!$B$20:$B$43,MOD(SMALL($AN178:$BK178,2),100))&amp;IF(SMALL($AN178:$BK178,2)&gt;100," *",""))</f>
        <v/>
      </c>
      <c r="Q178">
        <f>IF(3&gt;$N178,"",INDEX(Engine!$B$20:$B$43,MOD(SMALL($AN178:$BK178,3),100))&amp;IF(SMALL($AN178:$BK178,3)&gt;100," *",""))</f>
        <v/>
      </c>
      <c r="R178">
        <f>IF(4&gt;$N178,"",INDEX(Engine!$B$20:$B$43,MOD(SMALL($AN178:$BK178,4),100))&amp;IF(SMALL($AN178:$BK178,4)&gt;100," *",""))</f>
        <v/>
      </c>
      <c r="S178">
        <f>IF(5&gt;$N178,"",INDEX(Engine!$B$20:$B$43,MOD(SMALL($AN178:$BK178,5),100))&amp;IF(SMALL($AN178:$BK178,5)&gt;100," *",""))</f>
        <v/>
      </c>
      <c r="T178">
        <f>IF(6&gt;$N178,"",INDEX(Engine!$B$20:$B$43,MOD(SMALL($AN178:$BK178,6),100))&amp;IF(SMALL($AN178:$BK178,6)&gt;100," *",""))</f>
        <v/>
      </c>
      <c r="U178">
        <f>IF(7&gt;$N178,"",INDEX(Engine!$B$20:$B$43,MOD(SMALL($AN178:$BK178,7),100))&amp;IF(SMALL($AN178:$BK178,7)&gt;100," *",""))</f>
        <v/>
      </c>
      <c r="V178">
        <f>IF(8&gt;$N178,"",INDEX(Engine!$B$20:$B$43,MOD(SMALL($AN178:$BK178,8),100))&amp;IF(SMALL($AN178:$BK178,8)&gt;100," *",""))</f>
        <v/>
      </c>
      <c r="W178">
        <f>IF(9&gt;$N178,"",INDEX(Engine!$B$20:$B$43,MOD(SMALL($AN178:$BK178,9),100))&amp;IF(SMALL($AN178:$BK178,9)&gt;100," *",""))</f>
        <v/>
      </c>
      <c r="X178">
        <f>IF(10&gt;$N178,"",INDEX(Engine!$B$20:$B$43,MOD(SMALL($AN178:$BK178,10),100))&amp;IF(SMALL($AN178:$BK178,10)&gt;100," *",""))</f>
        <v/>
      </c>
      <c r="Y178">
        <f>IF(11&gt;$N178,"",INDEX(Engine!$B$20:$B$43,MOD(SMALL($AN178:$BK178,11),100))&amp;IF(SMALL($AN178:$BK178,11)&gt;100," *",""))</f>
        <v/>
      </c>
      <c r="Z178">
        <f>IF(12&gt;$N178,"",INDEX(Engine!$B$20:$B$43,MOD(SMALL($AN178:$BK178,12),100))&amp;IF(SMALL($AN178:$BK178,12)&gt;100," *",""))</f>
        <v/>
      </c>
      <c r="AA178">
        <f>IF(13&gt;$N178,"",INDEX(Engine!$B$20:$B$43,MOD(SMALL($AN178:$BK178,13),100))&amp;IF(SMALL($AN178:$BK178,13)&gt;100," *",""))</f>
        <v/>
      </c>
      <c r="AB178">
        <f>IF(14&gt;$N178,"",INDEX(Engine!$B$20:$B$43,MOD(SMALL($AN178:$BK178,14),100))&amp;IF(SMALL($AN178:$BK178,14)&gt;100," *",""))</f>
        <v/>
      </c>
      <c r="AC178">
        <f>IF(15&gt;$N178,"",INDEX(Engine!$B$20:$B$43,MOD(SMALL($AN178:$BK178,15),100))&amp;IF(SMALL($AN178:$BK178,15)&gt;100," *",""))</f>
        <v/>
      </c>
      <c r="AD178">
        <f>IF(16&gt;$N178,"",INDEX(Engine!$B$20:$B$43,MOD(SMALL($AN178:$BK178,16),100))&amp;IF(SMALL($AN178:$BK178,16)&gt;100," *",""))</f>
        <v/>
      </c>
      <c r="AE178">
        <f>IF(17&gt;$N178,"",INDEX(Engine!$B$20:$B$43,MOD(SMALL($AN178:$BK178,17),100))&amp;IF(SMALL($AN178:$BK178,17)&gt;100," *",""))</f>
        <v/>
      </c>
      <c r="AF178">
        <f>IF(18&gt;$N178,"",INDEX(Engine!$B$20:$B$43,MOD(SMALL($AN178:$BK178,18),100))&amp;IF(SMALL($AN178:$BK178,18)&gt;100," *",""))</f>
        <v/>
      </c>
      <c r="AG178">
        <f>IF(19&gt;$N178,"",INDEX(Engine!$B$20:$B$43,MOD(SMALL($AN178:$BK178,19),100))&amp;IF(SMALL($AN178:$BK178,19)&gt;100," *",""))</f>
        <v/>
      </c>
      <c r="AH178">
        <f>IF(20&gt;$N178,"",INDEX(Engine!$B$20:$B$43,MOD(SMALL($AN178:$BK178,20),100))&amp;IF(SMALL($AN178:$BK178,20)&gt;100," *",""))</f>
        <v/>
      </c>
      <c r="AI178">
        <f>IF(21&gt;$N178,"",INDEX(Engine!$B$20:$B$43,MOD(SMALL($AN178:$BK178,21),100))&amp;IF(SMALL($AN178:$BK178,21)&gt;100," *",""))</f>
        <v/>
      </c>
      <c r="AJ178">
        <f>IF(22&gt;$N178,"",INDEX(Engine!$B$20:$B$43,MOD(SMALL($AN178:$BK178,22),100))&amp;IF(SMALL($AN178:$BK178,22)&gt;100," *",""))</f>
        <v/>
      </c>
      <c r="AK178">
        <f>IF(23&gt;$N178,"",INDEX(Engine!$B$20:$B$43,MOD(SMALL($AN178:$BK178,23),100))&amp;IF(SMALL($AN178:$BK178,23)&gt;100," *",""))</f>
        <v/>
      </c>
      <c r="AL178">
        <f>IF(24&gt;$N178,"",INDEX(Engine!$B$20:$B$43,MOD(SMALL($AN178:$BK178,24),100))&amp;IF(SMALL($AN178:$BK178,24)&gt;100," *",""))</f>
        <v/>
      </c>
      <c r="AN178">
        <f>IF(AND($C20=1,INDEX(Setup!$O$6:$AL$23,3,1)&lt;&gt;"",Q20=0),1+IF(INDEX(Setup!$O$6:$AL$23,3,1)="T",100,0),"")</f>
        <v/>
      </c>
      <c r="AO178">
        <f>IF(AND($C21=1,INDEX(Setup!$O$6:$AL$23,3,2)&lt;&gt;"",Q21=0),2+IF(INDEX(Setup!$O$6:$AL$23,3,2)="T",100,0),"")</f>
        <v/>
      </c>
      <c r="AP178">
        <f>IF(AND($C22=1,INDEX(Setup!$O$6:$AL$23,3,3)&lt;&gt;"",Q22=0),3+IF(INDEX(Setup!$O$6:$AL$23,3,3)="T",100,0),"")</f>
        <v/>
      </c>
      <c r="AQ178">
        <f>IF(AND($C23=1,INDEX(Setup!$O$6:$AL$23,3,4)&lt;&gt;"",Q23=0),4+IF(INDEX(Setup!$O$6:$AL$23,3,4)="T",100,0),"")</f>
        <v/>
      </c>
      <c r="AR178">
        <f>IF(AND($C24=1,INDEX(Setup!$O$6:$AL$23,3,5)&lt;&gt;"",Q24=0),5+IF(INDEX(Setup!$O$6:$AL$23,3,5)="T",100,0),"")</f>
        <v/>
      </c>
      <c r="AS178">
        <f>IF(AND($C25=1,INDEX(Setup!$O$6:$AL$23,3,6)&lt;&gt;"",Q25=0),6+IF(INDEX(Setup!$O$6:$AL$23,3,6)="T",100,0),"")</f>
        <v/>
      </c>
      <c r="AT178">
        <f>IF(AND($C26=1,INDEX(Setup!$O$6:$AL$23,3,7)&lt;&gt;"",Q26=0),7+IF(INDEX(Setup!$O$6:$AL$23,3,7)="T",100,0),"")</f>
        <v/>
      </c>
      <c r="AU178">
        <f>IF(AND($C27=1,INDEX(Setup!$O$6:$AL$23,3,8)&lt;&gt;"",Q27=0),8+IF(INDEX(Setup!$O$6:$AL$23,3,8)="T",100,0),"")</f>
        <v/>
      </c>
      <c r="AV178">
        <f>IF(AND($C28=1,INDEX(Setup!$O$6:$AL$23,3,9)&lt;&gt;"",Q28=0),9+IF(INDEX(Setup!$O$6:$AL$23,3,9)="T",100,0),"")</f>
        <v/>
      </c>
      <c r="AW178">
        <f>IF(AND($C29=1,INDEX(Setup!$O$6:$AL$23,3,10)&lt;&gt;"",Q29=0),10+IF(INDEX(Setup!$O$6:$AL$23,3,10)="T",100,0),"")</f>
        <v/>
      </c>
      <c r="AX178">
        <f>IF(AND($C30=1,INDEX(Setup!$O$6:$AL$23,3,11)&lt;&gt;"",Q30=0),11+IF(INDEX(Setup!$O$6:$AL$23,3,11)="T",100,0),"")</f>
        <v/>
      </c>
      <c r="AY178">
        <f>IF(AND($C31=1,INDEX(Setup!$O$6:$AL$23,3,12)&lt;&gt;"",Q31=0),12+IF(INDEX(Setup!$O$6:$AL$23,3,12)="T",100,0),"")</f>
        <v/>
      </c>
      <c r="AZ178">
        <f>IF(AND($C32=1,INDEX(Setup!$O$6:$AL$23,3,13)&lt;&gt;"",Q32=0),13+IF(INDEX(Setup!$O$6:$AL$23,3,13)="T",100,0),"")</f>
        <v/>
      </c>
      <c r="BA178">
        <f>IF(AND($C33=1,INDEX(Setup!$O$6:$AL$23,3,14)&lt;&gt;"",Q33=0),14+IF(INDEX(Setup!$O$6:$AL$23,3,14)="T",100,0),"")</f>
        <v/>
      </c>
      <c r="BB178">
        <f>IF(AND($C34=1,INDEX(Setup!$O$6:$AL$23,3,15)&lt;&gt;"",Q34=0),15+IF(INDEX(Setup!$O$6:$AL$23,3,15)="T",100,0),"")</f>
        <v/>
      </c>
      <c r="BC178">
        <f>IF(AND($C35=1,INDEX(Setup!$O$6:$AL$23,3,16)&lt;&gt;"",Q35=0),16+IF(INDEX(Setup!$O$6:$AL$23,3,16)="T",100,0),"")</f>
        <v/>
      </c>
      <c r="BD178">
        <f>IF(AND($C36=1,INDEX(Setup!$O$6:$AL$23,3,17)&lt;&gt;"",Q36=0),17+IF(INDEX(Setup!$O$6:$AL$23,3,17)="T",100,0),"")</f>
        <v/>
      </c>
      <c r="BE178">
        <f>IF(AND($C37=1,INDEX(Setup!$O$6:$AL$23,3,18)&lt;&gt;"",Q37=0),18+IF(INDEX(Setup!$O$6:$AL$23,3,18)="T",100,0),"")</f>
        <v/>
      </c>
      <c r="BF178">
        <f>IF(AND($C38=1,INDEX(Setup!$O$6:$AL$23,3,19)&lt;&gt;"",Q38=0),19+IF(INDEX(Setup!$O$6:$AL$23,3,19)="T",100,0),"")</f>
        <v/>
      </c>
      <c r="BG178">
        <f>IF(AND($C39=1,INDEX(Setup!$O$6:$AL$23,3,20)&lt;&gt;"",Q39=0),20+IF(INDEX(Setup!$O$6:$AL$23,3,20)="T",100,0),"")</f>
        <v/>
      </c>
      <c r="BH178">
        <f>IF(AND($C40=1,INDEX(Setup!$O$6:$AL$23,3,21)&lt;&gt;"",Q40=0),21+IF(INDEX(Setup!$O$6:$AL$23,3,21)="T",100,0),"")</f>
        <v/>
      </c>
      <c r="BI178">
        <f>IF(AND($C41=1,INDEX(Setup!$O$6:$AL$23,3,22)&lt;&gt;"",Q41=0),22+IF(INDEX(Setup!$O$6:$AL$23,3,22)="T",100,0),"")</f>
        <v/>
      </c>
      <c r="BJ178">
        <f>IF(AND($C42=1,INDEX(Setup!$O$6:$AL$23,3,23)&lt;&gt;"",Q42=0),23+IF(INDEX(Setup!$O$6:$AL$23,3,23)="T",100,0),"")</f>
        <v/>
      </c>
      <c r="BK178">
        <f>IF(AND($C43=1,INDEX(Setup!$O$6:$AL$23,3,24)&lt;&gt;"",Q43=0),24+IF(INDEX(Setup!$O$6:$AL$23,3,24)="T",100,0),"")</f>
        <v/>
      </c>
      <c r="BM178">
        <f>IF(AND(AN178&lt;&gt;"",COUNTIF($Y$49:$Y$49,$B20)+COUNTIF($Y$49:$Y$49,$B20&amp;" ~*")=0),($R20+COUNTIF($H$176:$H177,$B20)+COUNTIF($H$176:$H177,$B20&amp;" ~*"))*1000+IF(AN178&gt;100,500,0)+1,"")</f>
        <v/>
      </c>
      <c r="BN178">
        <f>IF(AND(AO178&lt;&gt;"",COUNTIF($Y$49:$Y$49,$B21)+COUNTIF($Y$49:$Y$49,$B21&amp;" ~*")=0),($R21+COUNTIF($H$176:$H177,$B21)+COUNTIF($H$176:$H177,$B21&amp;" ~*"))*1000+IF(AO178&gt;100,500,0)+2,"")</f>
        <v/>
      </c>
      <c r="BO178">
        <f>IF(AND(AP178&lt;&gt;"",COUNTIF($Y$49:$Y$49,$B22)+COUNTIF($Y$49:$Y$49,$B22&amp;" ~*")=0),($R22+COUNTIF($H$176:$H177,$B22)+COUNTIF($H$176:$H177,$B22&amp;" ~*"))*1000+IF(AP178&gt;100,500,0)+3,"")</f>
        <v/>
      </c>
      <c r="BP178">
        <f>IF(AND(AQ178&lt;&gt;"",COUNTIF($Y$49:$Y$49,$B23)+COUNTIF($Y$49:$Y$49,$B23&amp;" ~*")=0),($R23+COUNTIF($H$176:$H177,$B23)+COUNTIF($H$176:$H177,$B23&amp;" ~*"))*1000+IF(AQ178&gt;100,500,0)+4,"")</f>
        <v/>
      </c>
      <c r="BQ178">
        <f>IF(AND(AR178&lt;&gt;"",COUNTIF($Y$49:$Y$49,$B24)+COUNTIF($Y$49:$Y$49,$B24&amp;" ~*")=0),($R24+COUNTIF($H$176:$H177,$B24)+COUNTIF($H$176:$H177,$B24&amp;" ~*"))*1000+IF(AR178&gt;100,500,0)+5,"")</f>
        <v/>
      </c>
      <c r="BR178">
        <f>IF(AND(AS178&lt;&gt;"",COUNTIF($Y$49:$Y$49,$B25)+COUNTIF($Y$49:$Y$49,$B25&amp;" ~*")=0),($R25+COUNTIF($H$176:$H177,$B25)+COUNTIF($H$176:$H177,$B25&amp;" ~*"))*1000+IF(AS178&gt;100,500,0)+6,"")</f>
        <v/>
      </c>
      <c r="BS178">
        <f>IF(AND(AT178&lt;&gt;"",COUNTIF($Y$49:$Y$49,$B26)+COUNTIF($Y$49:$Y$49,$B26&amp;" ~*")=0),($R26+COUNTIF($H$176:$H177,$B26)+COUNTIF($H$176:$H177,$B26&amp;" ~*"))*1000+IF(AT178&gt;100,500,0)+7,"")</f>
        <v/>
      </c>
      <c r="BT178">
        <f>IF(AND(AU178&lt;&gt;"",COUNTIF($Y$49:$Y$49,$B27)+COUNTIF($Y$49:$Y$49,$B27&amp;" ~*")=0),($R27+COUNTIF($H$176:$H177,$B27)+COUNTIF($H$176:$H177,$B27&amp;" ~*"))*1000+IF(AU178&gt;100,500,0)+8,"")</f>
        <v/>
      </c>
      <c r="BU178">
        <f>IF(AND(AV178&lt;&gt;"",COUNTIF($Y$49:$Y$49,$B28)+COUNTIF($Y$49:$Y$49,$B28&amp;" ~*")=0),($R28+COUNTIF($H$176:$H177,$B28)+COUNTIF($H$176:$H177,$B28&amp;" ~*"))*1000+IF(AV178&gt;100,500,0)+9,"")</f>
        <v/>
      </c>
      <c r="BV178">
        <f>IF(AND(AW178&lt;&gt;"",COUNTIF($Y$49:$Y$49,$B29)+COUNTIF($Y$49:$Y$49,$B29&amp;" ~*")=0),($R29+COUNTIF($H$176:$H177,$B29)+COUNTIF($H$176:$H177,$B29&amp;" ~*"))*1000+IF(AW178&gt;100,500,0)+10,"")</f>
        <v/>
      </c>
      <c r="BW178">
        <f>IF(AND(AX178&lt;&gt;"",COUNTIF($Y$49:$Y$49,$B30)+COUNTIF($Y$49:$Y$49,$B30&amp;" ~*")=0),($R30+COUNTIF($H$176:$H177,$B30)+COUNTIF($H$176:$H177,$B30&amp;" ~*"))*1000+IF(AX178&gt;100,500,0)+11,"")</f>
        <v/>
      </c>
      <c r="BX178">
        <f>IF(AND(AY178&lt;&gt;"",COUNTIF($Y$49:$Y$49,$B31)+COUNTIF($Y$49:$Y$49,$B31&amp;" ~*")=0),($R31+COUNTIF($H$176:$H177,$B31)+COUNTIF($H$176:$H177,$B31&amp;" ~*"))*1000+IF(AY178&gt;100,500,0)+12,"")</f>
        <v/>
      </c>
      <c r="BY178">
        <f>IF(AND(AZ178&lt;&gt;"",COUNTIF($Y$49:$Y$49,$B32)+COUNTIF($Y$49:$Y$49,$B32&amp;" ~*")=0),($R32+COUNTIF($H$176:$H177,$B32)+COUNTIF($H$176:$H177,$B32&amp;" ~*"))*1000+IF(AZ178&gt;100,500,0)+13,"")</f>
        <v/>
      </c>
      <c r="BZ178">
        <f>IF(AND(BA178&lt;&gt;"",COUNTIF($Y$49:$Y$49,$B33)+COUNTIF($Y$49:$Y$49,$B33&amp;" ~*")=0),($R33+COUNTIF($H$176:$H177,$B33)+COUNTIF($H$176:$H177,$B33&amp;" ~*"))*1000+IF(BA178&gt;100,500,0)+14,"")</f>
        <v/>
      </c>
      <c r="CA178">
        <f>IF(AND(BB178&lt;&gt;"",COUNTIF($Y$49:$Y$49,$B34)+COUNTIF($Y$49:$Y$49,$B34&amp;" ~*")=0),($R34+COUNTIF($H$176:$H177,$B34)+COUNTIF($H$176:$H177,$B34&amp;" ~*"))*1000+IF(BB178&gt;100,500,0)+15,"")</f>
        <v/>
      </c>
      <c r="CB178">
        <f>IF(AND(BC178&lt;&gt;"",COUNTIF($Y$49:$Y$49,$B35)+COUNTIF($Y$49:$Y$49,$B35&amp;" ~*")=0),($R35+COUNTIF($H$176:$H177,$B35)+COUNTIF($H$176:$H177,$B35&amp;" ~*"))*1000+IF(BC178&gt;100,500,0)+16,"")</f>
        <v/>
      </c>
      <c r="CC178">
        <f>IF(AND(BD178&lt;&gt;"",COUNTIF($Y$49:$Y$49,$B36)+COUNTIF($Y$49:$Y$49,$B36&amp;" ~*")=0),($R36+COUNTIF($H$176:$H177,$B36)+COUNTIF($H$176:$H177,$B36&amp;" ~*"))*1000+IF(BD178&gt;100,500,0)+17,"")</f>
        <v/>
      </c>
      <c r="CD178">
        <f>IF(AND(BE178&lt;&gt;"",COUNTIF($Y$49:$Y$49,$B37)+COUNTIF($Y$49:$Y$49,$B37&amp;" ~*")=0),($R37+COUNTIF($H$176:$H177,$B37)+COUNTIF($H$176:$H177,$B37&amp;" ~*"))*1000+IF(BE178&gt;100,500,0)+18,"")</f>
        <v/>
      </c>
      <c r="CE178">
        <f>IF(AND(BF178&lt;&gt;"",COUNTIF($Y$49:$Y$49,$B38)+COUNTIF($Y$49:$Y$49,$B38&amp;" ~*")=0),($R38+COUNTIF($H$176:$H177,$B38)+COUNTIF($H$176:$H177,$B38&amp;" ~*"))*1000+IF(BF178&gt;100,500,0)+19,"")</f>
        <v/>
      </c>
      <c r="CF178">
        <f>IF(AND(BG178&lt;&gt;"",COUNTIF($Y$49:$Y$49,$B39)+COUNTIF($Y$49:$Y$49,$B39&amp;" ~*")=0),($R39+COUNTIF($H$176:$H177,$B39)+COUNTIF($H$176:$H177,$B39&amp;" ~*"))*1000+IF(BG178&gt;100,500,0)+20,"")</f>
        <v/>
      </c>
      <c r="CG178">
        <f>IF(AND(BH178&lt;&gt;"",COUNTIF($Y$49:$Y$49,$B40)+COUNTIF($Y$49:$Y$49,$B40&amp;" ~*")=0),($R40+COUNTIF($H$176:$H177,$B40)+COUNTIF($H$176:$H177,$B40&amp;" ~*"))*1000+IF(BH178&gt;100,500,0)+21,"")</f>
        <v/>
      </c>
      <c r="CH178">
        <f>IF(AND(BI178&lt;&gt;"",COUNTIF($Y$49:$Y$49,$B41)+COUNTIF($Y$49:$Y$49,$B41&amp;" ~*")=0),($R41+COUNTIF($H$176:$H177,$B41)+COUNTIF($H$176:$H177,$B41&amp;" ~*"))*1000+IF(BI178&gt;100,500,0)+22,"")</f>
        <v/>
      </c>
      <c r="CI178">
        <f>IF(AND(BJ178&lt;&gt;"",COUNTIF($Y$49:$Y$49,$B42)+COUNTIF($Y$49:$Y$49,$B42&amp;" ~*")=0),($R42+COUNTIF($H$176:$H177,$B42)+COUNTIF($H$176:$H177,$B42&amp;" ~*"))*1000+IF(BJ178&gt;100,500,0)+23,"")</f>
        <v/>
      </c>
      <c r="CJ178">
        <f>IF(AND(BK178&lt;&gt;"",COUNTIF($Y$49:$Y$49,$B43)+COUNTIF($Y$49:$Y$49,$B43&amp;" ~*")=0),($R43+COUNTIF($H$176:$H177,$B43)+COUNTIF($H$176:$H177,$B43&amp;" ~*"))*1000+IF(BK178&gt;100,500,0)+24,"")</f>
        <v/>
      </c>
    </row>
    <row r="179">
      <c r="A179" t="n">
        <v>7</v>
      </c>
      <c r="B179" t="n">
        <v>4</v>
      </c>
      <c r="C179">
        <f>$B$50</f>
        <v/>
      </c>
      <c r="D179" t="inlineStr">
        <is>
          <t>Sun</t>
        </is>
      </c>
      <c r="E179">
        <f>IF(C179="","",N($AC$50))</f>
        <v/>
      </c>
      <c r="F179">
        <f>IF(C179="","",COUNTIF($Y$50:$Y$50,"?*"))</f>
        <v/>
      </c>
      <c r="G179">
        <f>IF(C179="","",MAX(0,E179-F179))</f>
        <v/>
      </c>
      <c r="H179">
        <f>IF(N(G179)=0,"",IF(COUNT(BM179:CJ179)=0,"no-one eligible",INDEX(Engine!$B$20:$B$43,MOD(MIN(BM179:CJ179),500))&amp;IF(MOD(MIN(BM179:CJ179),1000)&gt;=500," *","")))</f>
        <v/>
      </c>
      <c r="I179">
        <f>IF(N(G179)&gt;0,COUNTIF($G$68:G179,"&gt;0"),"")</f>
        <v/>
      </c>
      <c r="J179">
        <f>IF(C179="","",IF($Y$50="",0,IF(IFERROR(INDEX(Setup!$O$6:$AL$23,4,MATCH(SUBSTITUTE($Y$50," *",""),Setup!$B$6:$B$29,0)),"")="",1,0)))</f>
        <v/>
      </c>
      <c r="K179">
        <f>IF($B$12+6=TODAY(),1,0)</f>
        <v/>
      </c>
      <c r="N179">
        <f>COUNT($AN179:$BK179)</f>
        <v/>
      </c>
      <c r="O179">
        <f>IF(1&gt;$N179,"",INDEX(Engine!$B$20:$B$43,MOD(SMALL($AN179:$BK179,1),100))&amp;IF(SMALL($AN179:$BK179,1)&gt;100," *",""))</f>
        <v/>
      </c>
      <c r="P179">
        <f>IF(2&gt;$N179,"",INDEX(Engine!$B$20:$B$43,MOD(SMALL($AN179:$BK179,2),100))&amp;IF(SMALL($AN179:$BK179,2)&gt;100," *",""))</f>
        <v/>
      </c>
      <c r="Q179">
        <f>IF(3&gt;$N179,"",INDEX(Engine!$B$20:$B$43,MOD(SMALL($AN179:$BK179,3),100))&amp;IF(SMALL($AN179:$BK179,3)&gt;100," *",""))</f>
        <v/>
      </c>
      <c r="R179">
        <f>IF(4&gt;$N179,"",INDEX(Engine!$B$20:$B$43,MOD(SMALL($AN179:$BK179,4),100))&amp;IF(SMALL($AN179:$BK179,4)&gt;100," *",""))</f>
        <v/>
      </c>
      <c r="S179">
        <f>IF(5&gt;$N179,"",INDEX(Engine!$B$20:$B$43,MOD(SMALL($AN179:$BK179,5),100))&amp;IF(SMALL($AN179:$BK179,5)&gt;100," *",""))</f>
        <v/>
      </c>
      <c r="T179">
        <f>IF(6&gt;$N179,"",INDEX(Engine!$B$20:$B$43,MOD(SMALL($AN179:$BK179,6),100))&amp;IF(SMALL($AN179:$BK179,6)&gt;100," *",""))</f>
        <v/>
      </c>
      <c r="U179">
        <f>IF(7&gt;$N179,"",INDEX(Engine!$B$20:$B$43,MOD(SMALL($AN179:$BK179,7),100))&amp;IF(SMALL($AN179:$BK179,7)&gt;100," *",""))</f>
        <v/>
      </c>
      <c r="V179">
        <f>IF(8&gt;$N179,"",INDEX(Engine!$B$20:$B$43,MOD(SMALL($AN179:$BK179,8),100))&amp;IF(SMALL($AN179:$BK179,8)&gt;100," *",""))</f>
        <v/>
      </c>
      <c r="W179">
        <f>IF(9&gt;$N179,"",INDEX(Engine!$B$20:$B$43,MOD(SMALL($AN179:$BK179,9),100))&amp;IF(SMALL($AN179:$BK179,9)&gt;100," *",""))</f>
        <v/>
      </c>
      <c r="X179">
        <f>IF(10&gt;$N179,"",INDEX(Engine!$B$20:$B$43,MOD(SMALL($AN179:$BK179,10),100))&amp;IF(SMALL($AN179:$BK179,10)&gt;100," *",""))</f>
        <v/>
      </c>
      <c r="Y179">
        <f>IF(11&gt;$N179,"",INDEX(Engine!$B$20:$B$43,MOD(SMALL($AN179:$BK179,11),100))&amp;IF(SMALL($AN179:$BK179,11)&gt;100," *",""))</f>
        <v/>
      </c>
      <c r="Z179">
        <f>IF(12&gt;$N179,"",INDEX(Engine!$B$20:$B$43,MOD(SMALL($AN179:$BK179,12),100))&amp;IF(SMALL($AN179:$BK179,12)&gt;100," *",""))</f>
        <v/>
      </c>
      <c r="AA179">
        <f>IF(13&gt;$N179,"",INDEX(Engine!$B$20:$B$43,MOD(SMALL($AN179:$BK179,13),100))&amp;IF(SMALL($AN179:$BK179,13)&gt;100," *",""))</f>
        <v/>
      </c>
      <c r="AB179">
        <f>IF(14&gt;$N179,"",INDEX(Engine!$B$20:$B$43,MOD(SMALL($AN179:$BK179,14),100))&amp;IF(SMALL($AN179:$BK179,14)&gt;100," *",""))</f>
        <v/>
      </c>
      <c r="AC179">
        <f>IF(15&gt;$N179,"",INDEX(Engine!$B$20:$B$43,MOD(SMALL($AN179:$BK179,15),100))&amp;IF(SMALL($AN179:$BK179,15)&gt;100," *",""))</f>
        <v/>
      </c>
      <c r="AD179">
        <f>IF(16&gt;$N179,"",INDEX(Engine!$B$20:$B$43,MOD(SMALL($AN179:$BK179,16),100))&amp;IF(SMALL($AN179:$BK179,16)&gt;100," *",""))</f>
        <v/>
      </c>
      <c r="AE179">
        <f>IF(17&gt;$N179,"",INDEX(Engine!$B$20:$B$43,MOD(SMALL($AN179:$BK179,17),100))&amp;IF(SMALL($AN179:$BK179,17)&gt;100," *",""))</f>
        <v/>
      </c>
      <c r="AF179">
        <f>IF(18&gt;$N179,"",INDEX(Engine!$B$20:$B$43,MOD(SMALL($AN179:$BK179,18),100))&amp;IF(SMALL($AN179:$BK179,18)&gt;100," *",""))</f>
        <v/>
      </c>
      <c r="AG179">
        <f>IF(19&gt;$N179,"",INDEX(Engine!$B$20:$B$43,MOD(SMALL($AN179:$BK179,19),100))&amp;IF(SMALL($AN179:$BK179,19)&gt;100," *",""))</f>
        <v/>
      </c>
      <c r="AH179">
        <f>IF(20&gt;$N179,"",INDEX(Engine!$B$20:$B$43,MOD(SMALL($AN179:$BK179,20),100))&amp;IF(SMALL($AN179:$BK179,20)&gt;100," *",""))</f>
        <v/>
      </c>
      <c r="AI179">
        <f>IF(21&gt;$N179,"",INDEX(Engine!$B$20:$B$43,MOD(SMALL($AN179:$BK179,21),100))&amp;IF(SMALL($AN179:$BK179,21)&gt;100," *",""))</f>
        <v/>
      </c>
      <c r="AJ179">
        <f>IF(22&gt;$N179,"",INDEX(Engine!$B$20:$B$43,MOD(SMALL($AN179:$BK179,22),100))&amp;IF(SMALL($AN179:$BK179,22)&gt;100," *",""))</f>
        <v/>
      </c>
      <c r="AK179">
        <f>IF(23&gt;$N179,"",INDEX(Engine!$B$20:$B$43,MOD(SMALL($AN179:$BK179,23),100))&amp;IF(SMALL($AN179:$BK179,23)&gt;100," *",""))</f>
        <v/>
      </c>
      <c r="AL179">
        <f>IF(24&gt;$N179,"",INDEX(Engine!$B$20:$B$43,MOD(SMALL($AN179:$BK179,24),100))&amp;IF(SMALL($AN179:$BK179,24)&gt;100," *",""))</f>
        <v/>
      </c>
      <c r="AN179">
        <f>IF(AND($C20=1,INDEX(Setup!$O$6:$AL$23,4,1)&lt;&gt;"",Q20=0),1+IF(INDEX(Setup!$O$6:$AL$23,4,1)="T",100,0),"")</f>
        <v/>
      </c>
      <c r="AO179">
        <f>IF(AND($C21=1,INDEX(Setup!$O$6:$AL$23,4,2)&lt;&gt;"",Q21=0),2+IF(INDEX(Setup!$O$6:$AL$23,4,2)="T",100,0),"")</f>
        <v/>
      </c>
      <c r="AP179">
        <f>IF(AND($C22=1,INDEX(Setup!$O$6:$AL$23,4,3)&lt;&gt;"",Q22=0),3+IF(INDEX(Setup!$O$6:$AL$23,4,3)="T",100,0),"")</f>
        <v/>
      </c>
      <c r="AQ179">
        <f>IF(AND($C23=1,INDEX(Setup!$O$6:$AL$23,4,4)&lt;&gt;"",Q23=0),4+IF(INDEX(Setup!$O$6:$AL$23,4,4)="T",100,0),"")</f>
        <v/>
      </c>
      <c r="AR179">
        <f>IF(AND($C24=1,INDEX(Setup!$O$6:$AL$23,4,5)&lt;&gt;"",Q24=0),5+IF(INDEX(Setup!$O$6:$AL$23,4,5)="T",100,0),"")</f>
        <v/>
      </c>
      <c r="AS179">
        <f>IF(AND($C25=1,INDEX(Setup!$O$6:$AL$23,4,6)&lt;&gt;"",Q25=0),6+IF(INDEX(Setup!$O$6:$AL$23,4,6)="T",100,0),"")</f>
        <v/>
      </c>
      <c r="AT179">
        <f>IF(AND($C26=1,INDEX(Setup!$O$6:$AL$23,4,7)&lt;&gt;"",Q26=0),7+IF(INDEX(Setup!$O$6:$AL$23,4,7)="T",100,0),"")</f>
        <v/>
      </c>
      <c r="AU179">
        <f>IF(AND($C27=1,INDEX(Setup!$O$6:$AL$23,4,8)&lt;&gt;"",Q27=0),8+IF(INDEX(Setup!$O$6:$AL$23,4,8)="T",100,0),"")</f>
        <v/>
      </c>
      <c r="AV179">
        <f>IF(AND($C28=1,INDEX(Setup!$O$6:$AL$23,4,9)&lt;&gt;"",Q28=0),9+IF(INDEX(Setup!$O$6:$AL$23,4,9)="T",100,0),"")</f>
        <v/>
      </c>
      <c r="AW179">
        <f>IF(AND($C29=1,INDEX(Setup!$O$6:$AL$23,4,10)&lt;&gt;"",Q29=0),10+IF(INDEX(Setup!$O$6:$AL$23,4,10)="T",100,0),"")</f>
        <v/>
      </c>
      <c r="AX179">
        <f>IF(AND($C30=1,INDEX(Setup!$O$6:$AL$23,4,11)&lt;&gt;"",Q30=0),11+IF(INDEX(Setup!$O$6:$AL$23,4,11)="T",100,0),"")</f>
        <v/>
      </c>
      <c r="AY179">
        <f>IF(AND($C31=1,INDEX(Setup!$O$6:$AL$23,4,12)&lt;&gt;"",Q31=0),12+IF(INDEX(Setup!$O$6:$AL$23,4,12)="T",100,0),"")</f>
        <v/>
      </c>
      <c r="AZ179">
        <f>IF(AND($C32=1,INDEX(Setup!$O$6:$AL$23,4,13)&lt;&gt;"",Q32=0),13+IF(INDEX(Setup!$O$6:$AL$23,4,13)="T",100,0),"")</f>
        <v/>
      </c>
      <c r="BA179">
        <f>IF(AND($C33=1,INDEX(Setup!$O$6:$AL$23,4,14)&lt;&gt;"",Q33=0),14+IF(INDEX(Setup!$O$6:$AL$23,4,14)="T",100,0),"")</f>
        <v/>
      </c>
      <c r="BB179">
        <f>IF(AND($C34=1,INDEX(Setup!$O$6:$AL$23,4,15)&lt;&gt;"",Q34=0),15+IF(INDEX(Setup!$O$6:$AL$23,4,15)="T",100,0),"")</f>
        <v/>
      </c>
      <c r="BC179">
        <f>IF(AND($C35=1,INDEX(Setup!$O$6:$AL$23,4,16)&lt;&gt;"",Q35=0),16+IF(INDEX(Setup!$O$6:$AL$23,4,16)="T",100,0),"")</f>
        <v/>
      </c>
      <c r="BD179">
        <f>IF(AND($C36=1,INDEX(Setup!$O$6:$AL$23,4,17)&lt;&gt;"",Q36=0),17+IF(INDEX(Setup!$O$6:$AL$23,4,17)="T",100,0),"")</f>
        <v/>
      </c>
      <c r="BE179">
        <f>IF(AND($C37=1,INDEX(Setup!$O$6:$AL$23,4,18)&lt;&gt;"",Q37=0),18+IF(INDEX(Setup!$O$6:$AL$23,4,18)="T",100,0),"")</f>
        <v/>
      </c>
      <c r="BF179">
        <f>IF(AND($C38=1,INDEX(Setup!$O$6:$AL$23,4,19)&lt;&gt;"",Q38=0),19+IF(INDEX(Setup!$O$6:$AL$23,4,19)="T",100,0),"")</f>
        <v/>
      </c>
      <c r="BG179">
        <f>IF(AND($C39=1,INDEX(Setup!$O$6:$AL$23,4,20)&lt;&gt;"",Q39=0),20+IF(INDEX(Setup!$O$6:$AL$23,4,20)="T",100,0),"")</f>
        <v/>
      </c>
      <c r="BH179">
        <f>IF(AND($C40=1,INDEX(Setup!$O$6:$AL$23,4,21)&lt;&gt;"",Q40=0),21+IF(INDEX(Setup!$O$6:$AL$23,4,21)="T",100,0),"")</f>
        <v/>
      </c>
      <c r="BI179">
        <f>IF(AND($C41=1,INDEX(Setup!$O$6:$AL$23,4,22)&lt;&gt;"",Q41=0),22+IF(INDEX(Setup!$O$6:$AL$23,4,22)="T",100,0),"")</f>
        <v/>
      </c>
      <c r="BJ179">
        <f>IF(AND($C42=1,INDEX(Setup!$O$6:$AL$23,4,23)&lt;&gt;"",Q42=0),23+IF(INDEX(Setup!$O$6:$AL$23,4,23)="T",100,0),"")</f>
        <v/>
      </c>
      <c r="BK179">
        <f>IF(AND($C43=1,INDEX(Setup!$O$6:$AL$23,4,24)&lt;&gt;"",Q43=0),24+IF(INDEX(Setup!$O$6:$AL$23,4,24)="T",100,0),"")</f>
        <v/>
      </c>
      <c r="BM179">
        <f>IF(AND(AN179&lt;&gt;"",COUNTIF($Y$50:$Y$50,$B20)+COUNTIF($Y$50:$Y$50,$B20&amp;" ~*")=0),($R20+COUNTIF($H$176:$H178,$B20)+COUNTIF($H$176:$H178,$B20&amp;" ~*"))*1000+IF(AN179&gt;100,500,0)+1,"")</f>
        <v/>
      </c>
      <c r="BN179">
        <f>IF(AND(AO179&lt;&gt;"",COUNTIF($Y$50:$Y$50,$B21)+COUNTIF($Y$50:$Y$50,$B21&amp;" ~*")=0),($R21+COUNTIF($H$176:$H178,$B21)+COUNTIF($H$176:$H178,$B21&amp;" ~*"))*1000+IF(AO179&gt;100,500,0)+2,"")</f>
        <v/>
      </c>
      <c r="BO179">
        <f>IF(AND(AP179&lt;&gt;"",COUNTIF($Y$50:$Y$50,$B22)+COUNTIF($Y$50:$Y$50,$B22&amp;" ~*")=0),($R22+COUNTIF($H$176:$H178,$B22)+COUNTIF($H$176:$H178,$B22&amp;" ~*"))*1000+IF(AP179&gt;100,500,0)+3,"")</f>
        <v/>
      </c>
      <c r="BP179">
        <f>IF(AND(AQ179&lt;&gt;"",COUNTIF($Y$50:$Y$50,$B23)+COUNTIF($Y$50:$Y$50,$B23&amp;" ~*")=0),($R23+COUNTIF($H$176:$H178,$B23)+COUNTIF($H$176:$H178,$B23&amp;" ~*"))*1000+IF(AQ179&gt;100,500,0)+4,"")</f>
        <v/>
      </c>
      <c r="BQ179">
        <f>IF(AND(AR179&lt;&gt;"",COUNTIF($Y$50:$Y$50,$B24)+COUNTIF($Y$50:$Y$50,$B24&amp;" ~*")=0),($R24+COUNTIF($H$176:$H178,$B24)+COUNTIF($H$176:$H178,$B24&amp;" ~*"))*1000+IF(AR179&gt;100,500,0)+5,"")</f>
        <v/>
      </c>
      <c r="BR179">
        <f>IF(AND(AS179&lt;&gt;"",COUNTIF($Y$50:$Y$50,$B25)+COUNTIF($Y$50:$Y$50,$B25&amp;" ~*")=0),($R25+COUNTIF($H$176:$H178,$B25)+COUNTIF($H$176:$H178,$B25&amp;" ~*"))*1000+IF(AS179&gt;100,500,0)+6,"")</f>
        <v/>
      </c>
      <c r="BS179">
        <f>IF(AND(AT179&lt;&gt;"",COUNTIF($Y$50:$Y$50,$B26)+COUNTIF($Y$50:$Y$50,$B26&amp;" ~*")=0),($R26+COUNTIF($H$176:$H178,$B26)+COUNTIF($H$176:$H178,$B26&amp;" ~*"))*1000+IF(AT179&gt;100,500,0)+7,"")</f>
        <v/>
      </c>
      <c r="BT179">
        <f>IF(AND(AU179&lt;&gt;"",COUNTIF($Y$50:$Y$50,$B27)+COUNTIF($Y$50:$Y$50,$B27&amp;" ~*")=0),($R27+COUNTIF($H$176:$H178,$B27)+COUNTIF($H$176:$H178,$B27&amp;" ~*"))*1000+IF(AU179&gt;100,500,0)+8,"")</f>
        <v/>
      </c>
      <c r="BU179">
        <f>IF(AND(AV179&lt;&gt;"",COUNTIF($Y$50:$Y$50,$B28)+COUNTIF($Y$50:$Y$50,$B28&amp;" ~*")=0),($R28+COUNTIF($H$176:$H178,$B28)+COUNTIF($H$176:$H178,$B28&amp;" ~*"))*1000+IF(AV179&gt;100,500,0)+9,"")</f>
        <v/>
      </c>
      <c r="BV179">
        <f>IF(AND(AW179&lt;&gt;"",COUNTIF($Y$50:$Y$50,$B29)+COUNTIF($Y$50:$Y$50,$B29&amp;" ~*")=0),($R29+COUNTIF($H$176:$H178,$B29)+COUNTIF($H$176:$H178,$B29&amp;" ~*"))*1000+IF(AW179&gt;100,500,0)+10,"")</f>
        <v/>
      </c>
      <c r="BW179">
        <f>IF(AND(AX179&lt;&gt;"",COUNTIF($Y$50:$Y$50,$B30)+COUNTIF($Y$50:$Y$50,$B30&amp;" ~*")=0),($R30+COUNTIF($H$176:$H178,$B30)+COUNTIF($H$176:$H178,$B30&amp;" ~*"))*1000+IF(AX179&gt;100,500,0)+11,"")</f>
        <v/>
      </c>
      <c r="BX179">
        <f>IF(AND(AY179&lt;&gt;"",COUNTIF($Y$50:$Y$50,$B31)+COUNTIF($Y$50:$Y$50,$B31&amp;" ~*")=0),($R31+COUNTIF($H$176:$H178,$B31)+COUNTIF($H$176:$H178,$B31&amp;" ~*"))*1000+IF(AY179&gt;100,500,0)+12,"")</f>
        <v/>
      </c>
      <c r="BY179">
        <f>IF(AND(AZ179&lt;&gt;"",COUNTIF($Y$50:$Y$50,$B32)+COUNTIF($Y$50:$Y$50,$B32&amp;" ~*")=0),($R32+COUNTIF($H$176:$H178,$B32)+COUNTIF($H$176:$H178,$B32&amp;" ~*"))*1000+IF(AZ179&gt;100,500,0)+13,"")</f>
        <v/>
      </c>
      <c r="BZ179">
        <f>IF(AND(BA179&lt;&gt;"",COUNTIF($Y$50:$Y$50,$B33)+COUNTIF($Y$50:$Y$50,$B33&amp;" ~*")=0),($R33+COUNTIF($H$176:$H178,$B33)+COUNTIF($H$176:$H178,$B33&amp;" ~*"))*1000+IF(BA179&gt;100,500,0)+14,"")</f>
        <v/>
      </c>
      <c r="CA179">
        <f>IF(AND(BB179&lt;&gt;"",COUNTIF($Y$50:$Y$50,$B34)+COUNTIF($Y$50:$Y$50,$B34&amp;" ~*")=0),($R34+COUNTIF($H$176:$H178,$B34)+COUNTIF($H$176:$H178,$B34&amp;" ~*"))*1000+IF(BB179&gt;100,500,0)+15,"")</f>
        <v/>
      </c>
      <c r="CB179">
        <f>IF(AND(BC179&lt;&gt;"",COUNTIF($Y$50:$Y$50,$B35)+COUNTIF($Y$50:$Y$50,$B35&amp;" ~*")=0),($R35+COUNTIF($H$176:$H178,$B35)+COUNTIF($H$176:$H178,$B35&amp;" ~*"))*1000+IF(BC179&gt;100,500,0)+16,"")</f>
        <v/>
      </c>
      <c r="CC179">
        <f>IF(AND(BD179&lt;&gt;"",COUNTIF($Y$50:$Y$50,$B36)+COUNTIF($Y$50:$Y$50,$B36&amp;" ~*")=0),($R36+COUNTIF($H$176:$H178,$B36)+COUNTIF($H$176:$H178,$B36&amp;" ~*"))*1000+IF(BD179&gt;100,500,0)+17,"")</f>
        <v/>
      </c>
      <c r="CD179">
        <f>IF(AND(BE179&lt;&gt;"",COUNTIF($Y$50:$Y$50,$B37)+COUNTIF($Y$50:$Y$50,$B37&amp;" ~*")=0),($R37+COUNTIF($H$176:$H178,$B37)+COUNTIF($H$176:$H178,$B37&amp;" ~*"))*1000+IF(BE179&gt;100,500,0)+18,"")</f>
        <v/>
      </c>
      <c r="CE179">
        <f>IF(AND(BF179&lt;&gt;"",COUNTIF($Y$50:$Y$50,$B38)+COUNTIF($Y$50:$Y$50,$B38&amp;" ~*")=0),($R38+COUNTIF($H$176:$H178,$B38)+COUNTIF($H$176:$H178,$B38&amp;" ~*"))*1000+IF(BF179&gt;100,500,0)+19,"")</f>
        <v/>
      </c>
      <c r="CF179">
        <f>IF(AND(BG179&lt;&gt;"",COUNTIF($Y$50:$Y$50,$B39)+COUNTIF($Y$50:$Y$50,$B39&amp;" ~*")=0),($R39+COUNTIF($H$176:$H178,$B39)+COUNTIF($H$176:$H178,$B39&amp;" ~*"))*1000+IF(BG179&gt;100,500,0)+20,"")</f>
        <v/>
      </c>
      <c r="CG179">
        <f>IF(AND(BH179&lt;&gt;"",COUNTIF($Y$50:$Y$50,$B40)+COUNTIF($Y$50:$Y$50,$B40&amp;" ~*")=0),($R40+COUNTIF($H$176:$H178,$B40)+COUNTIF($H$176:$H178,$B40&amp;" ~*"))*1000+IF(BH179&gt;100,500,0)+21,"")</f>
        <v/>
      </c>
      <c r="CH179">
        <f>IF(AND(BI179&lt;&gt;"",COUNTIF($Y$50:$Y$50,$B41)+COUNTIF($Y$50:$Y$50,$B41&amp;" ~*")=0),($R41+COUNTIF($H$176:$H178,$B41)+COUNTIF($H$176:$H178,$B41&amp;" ~*"))*1000+IF(BI179&gt;100,500,0)+22,"")</f>
        <v/>
      </c>
      <c r="CI179">
        <f>IF(AND(BJ179&lt;&gt;"",COUNTIF($Y$50:$Y$50,$B42)+COUNTIF($Y$50:$Y$50,$B42&amp;" ~*")=0),($R42+COUNTIF($H$176:$H178,$B42)+COUNTIF($H$176:$H178,$B42&amp;" ~*"))*1000+IF(BJ179&gt;100,500,0)+23,"")</f>
        <v/>
      </c>
      <c r="CJ179">
        <f>IF(AND(BK179&lt;&gt;"",COUNTIF($Y$50:$Y$50,$B43)+COUNTIF($Y$50:$Y$50,$B43&amp;" ~*")=0),($R43+COUNTIF($H$176:$H178,$B43)+COUNTIF($H$176:$H178,$B43&amp;" ~*"))*1000+IF(BK179&gt;100,500,0)+24,"")</f>
        <v/>
      </c>
    </row>
    <row r="180">
      <c r="A180" t="n">
        <v>7</v>
      </c>
      <c r="B180" t="n">
        <v>5</v>
      </c>
      <c r="C180">
        <f>$B$51</f>
        <v/>
      </c>
      <c r="D180" t="inlineStr">
        <is>
          <t>Sun</t>
        </is>
      </c>
      <c r="E180">
        <f>IF(C180="","",N($AC$51))</f>
        <v/>
      </c>
      <c r="F180">
        <f>IF(C180="","",COUNTIF($Y$51:$Y$51,"?*"))</f>
        <v/>
      </c>
      <c r="G180">
        <f>IF(C180="","",MAX(0,E180-F180))</f>
        <v/>
      </c>
      <c r="H180">
        <f>IF(N(G180)=0,"",IF(COUNT(BM180:CJ180)=0,"no-one eligible",INDEX(Engine!$B$20:$B$43,MOD(MIN(BM180:CJ180),500))&amp;IF(MOD(MIN(BM180:CJ180),1000)&gt;=500," *","")))</f>
        <v/>
      </c>
      <c r="I180">
        <f>IF(N(G180)&gt;0,COUNTIF($G$68:G180,"&gt;0"),"")</f>
        <v/>
      </c>
      <c r="J180">
        <f>IF(C180="","",IF($Y$51="",0,IF(IFERROR(INDEX(Setup!$O$6:$AL$23,5,MATCH(SUBSTITUTE($Y$51," *",""),Setup!$B$6:$B$29,0)),"")="",1,0)))</f>
        <v/>
      </c>
      <c r="K180">
        <f>IF($B$12+6=TODAY(),1,0)</f>
        <v/>
      </c>
      <c r="N180">
        <f>COUNT($AN180:$BK180)</f>
        <v/>
      </c>
      <c r="O180">
        <f>IF(1&gt;$N180,"",INDEX(Engine!$B$20:$B$43,MOD(SMALL($AN180:$BK180,1),100))&amp;IF(SMALL($AN180:$BK180,1)&gt;100," *",""))</f>
        <v/>
      </c>
      <c r="P180">
        <f>IF(2&gt;$N180,"",INDEX(Engine!$B$20:$B$43,MOD(SMALL($AN180:$BK180,2),100))&amp;IF(SMALL($AN180:$BK180,2)&gt;100," *",""))</f>
        <v/>
      </c>
      <c r="Q180">
        <f>IF(3&gt;$N180,"",INDEX(Engine!$B$20:$B$43,MOD(SMALL($AN180:$BK180,3),100))&amp;IF(SMALL($AN180:$BK180,3)&gt;100," *",""))</f>
        <v/>
      </c>
      <c r="R180">
        <f>IF(4&gt;$N180,"",INDEX(Engine!$B$20:$B$43,MOD(SMALL($AN180:$BK180,4),100))&amp;IF(SMALL($AN180:$BK180,4)&gt;100," *",""))</f>
        <v/>
      </c>
      <c r="S180">
        <f>IF(5&gt;$N180,"",INDEX(Engine!$B$20:$B$43,MOD(SMALL($AN180:$BK180,5),100))&amp;IF(SMALL($AN180:$BK180,5)&gt;100," *",""))</f>
        <v/>
      </c>
      <c r="T180">
        <f>IF(6&gt;$N180,"",INDEX(Engine!$B$20:$B$43,MOD(SMALL($AN180:$BK180,6),100))&amp;IF(SMALL($AN180:$BK180,6)&gt;100," *",""))</f>
        <v/>
      </c>
      <c r="U180">
        <f>IF(7&gt;$N180,"",INDEX(Engine!$B$20:$B$43,MOD(SMALL($AN180:$BK180,7),100))&amp;IF(SMALL($AN180:$BK180,7)&gt;100," *",""))</f>
        <v/>
      </c>
      <c r="V180">
        <f>IF(8&gt;$N180,"",INDEX(Engine!$B$20:$B$43,MOD(SMALL($AN180:$BK180,8),100))&amp;IF(SMALL($AN180:$BK180,8)&gt;100," *",""))</f>
        <v/>
      </c>
      <c r="W180">
        <f>IF(9&gt;$N180,"",INDEX(Engine!$B$20:$B$43,MOD(SMALL($AN180:$BK180,9),100))&amp;IF(SMALL($AN180:$BK180,9)&gt;100," *",""))</f>
        <v/>
      </c>
      <c r="X180">
        <f>IF(10&gt;$N180,"",INDEX(Engine!$B$20:$B$43,MOD(SMALL($AN180:$BK180,10),100))&amp;IF(SMALL($AN180:$BK180,10)&gt;100," *",""))</f>
        <v/>
      </c>
      <c r="Y180">
        <f>IF(11&gt;$N180,"",INDEX(Engine!$B$20:$B$43,MOD(SMALL($AN180:$BK180,11),100))&amp;IF(SMALL($AN180:$BK180,11)&gt;100," *",""))</f>
        <v/>
      </c>
      <c r="Z180">
        <f>IF(12&gt;$N180,"",INDEX(Engine!$B$20:$B$43,MOD(SMALL($AN180:$BK180,12),100))&amp;IF(SMALL($AN180:$BK180,12)&gt;100," *",""))</f>
        <v/>
      </c>
      <c r="AA180">
        <f>IF(13&gt;$N180,"",INDEX(Engine!$B$20:$B$43,MOD(SMALL($AN180:$BK180,13),100))&amp;IF(SMALL($AN180:$BK180,13)&gt;100," *",""))</f>
        <v/>
      </c>
      <c r="AB180">
        <f>IF(14&gt;$N180,"",INDEX(Engine!$B$20:$B$43,MOD(SMALL($AN180:$BK180,14),100))&amp;IF(SMALL($AN180:$BK180,14)&gt;100," *",""))</f>
        <v/>
      </c>
      <c r="AC180">
        <f>IF(15&gt;$N180,"",INDEX(Engine!$B$20:$B$43,MOD(SMALL($AN180:$BK180,15),100))&amp;IF(SMALL($AN180:$BK180,15)&gt;100," *",""))</f>
        <v/>
      </c>
      <c r="AD180">
        <f>IF(16&gt;$N180,"",INDEX(Engine!$B$20:$B$43,MOD(SMALL($AN180:$BK180,16),100))&amp;IF(SMALL($AN180:$BK180,16)&gt;100," *",""))</f>
        <v/>
      </c>
      <c r="AE180">
        <f>IF(17&gt;$N180,"",INDEX(Engine!$B$20:$B$43,MOD(SMALL($AN180:$BK180,17),100))&amp;IF(SMALL($AN180:$BK180,17)&gt;100," *",""))</f>
        <v/>
      </c>
      <c r="AF180">
        <f>IF(18&gt;$N180,"",INDEX(Engine!$B$20:$B$43,MOD(SMALL($AN180:$BK180,18),100))&amp;IF(SMALL($AN180:$BK180,18)&gt;100," *",""))</f>
        <v/>
      </c>
      <c r="AG180">
        <f>IF(19&gt;$N180,"",INDEX(Engine!$B$20:$B$43,MOD(SMALL($AN180:$BK180,19),100))&amp;IF(SMALL($AN180:$BK180,19)&gt;100," *",""))</f>
        <v/>
      </c>
      <c r="AH180">
        <f>IF(20&gt;$N180,"",INDEX(Engine!$B$20:$B$43,MOD(SMALL($AN180:$BK180,20),100))&amp;IF(SMALL($AN180:$BK180,20)&gt;100," *",""))</f>
        <v/>
      </c>
      <c r="AI180">
        <f>IF(21&gt;$N180,"",INDEX(Engine!$B$20:$B$43,MOD(SMALL($AN180:$BK180,21),100))&amp;IF(SMALL($AN180:$BK180,21)&gt;100," *",""))</f>
        <v/>
      </c>
      <c r="AJ180">
        <f>IF(22&gt;$N180,"",INDEX(Engine!$B$20:$B$43,MOD(SMALL($AN180:$BK180,22),100))&amp;IF(SMALL($AN180:$BK180,22)&gt;100," *",""))</f>
        <v/>
      </c>
      <c r="AK180">
        <f>IF(23&gt;$N180,"",INDEX(Engine!$B$20:$B$43,MOD(SMALL($AN180:$BK180,23),100))&amp;IF(SMALL($AN180:$BK180,23)&gt;100," *",""))</f>
        <v/>
      </c>
      <c r="AL180">
        <f>IF(24&gt;$N180,"",INDEX(Engine!$B$20:$B$43,MOD(SMALL($AN180:$BK180,24),100))&amp;IF(SMALL($AN180:$BK180,24)&gt;100," *",""))</f>
        <v/>
      </c>
      <c r="AN180">
        <f>IF(AND($C20=1,INDEX(Setup!$O$6:$AL$23,5,1)&lt;&gt;"",Q20=0),1+IF(INDEX(Setup!$O$6:$AL$23,5,1)="T",100,0),"")</f>
        <v/>
      </c>
      <c r="AO180">
        <f>IF(AND($C21=1,INDEX(Setup!$O$6:$AL$23,5,2)&lt;&gt;"",Q21=0),2+IF(INDEX(Setup!$O$6:$AL$23,5,2)="T",100,0),"")</f>
        <v/>
      </c>
      <c r="AP180">
        <f>IF(AND($C22=1,INDEX(Setup!$O$6:$AL$23,5,3)&lt;&gt;"",Q22=0),3+IF(INDEX(Setup!$O$6:$AL$23,5,3)="T",100,0),"")</f>
        <v/>
      </c>
      <c r="AQ180">
        <f>IF(AND($C23=1,INDEX(Setup!$O$6:$AL$23,5,4)&lt;&gt;"",Q23=0),4+IF(INDEX(Setup!$O$6:$AL$23,5,4)="T",100,0),"")</f>
        <v/>
      </c>
      <c r="AR180">
        <f>IF(AND($C24=1,INDEX(Setup!$O$6:$AL$23,5,5)&lt;&gt;"",Q24=0),5+IF(INDEX(Setup!$O$6:$AL$23,5,5)="T",100,0),"")</f>
        <v/>
      </c>
      <c r="AS180">
        <f>IF(AND($C25=1,INDEX(Setup!$O$6:$AL$23,5,6)&lt;&gt;"",Q25=0),6+IF(INDEX(Setup!$O$6:$AL$23,5,6)="T",100,0),"")</f>
        <v/>
      </c>
      <c r="AT180">
        <f>IF(AND($C26=1,INDEX(Setup!$O$6:$AL$23,5,7)&lt;&gt;"",Q26=0),7+IF(INDEX(Setup!$O$6:$AL$23,5,7)="T",100,0),"")</f>
        <v/>
      </c>
      <c r="AU180">
        <f>IF(AND($C27=1,INDEX(Setup!$O$6:$AL$23,5,8)&lt;&gt;"",Q27=0),8+IF(INDEX(Setup!$O$6:$AL$23,5,8)="T",100,0),"")</f>
        <v/>
      </c>
      <c r="AV180">
        <f>IF(AND($C28=1,INDEX(Setup!$O$6:$AL$23,5,9)&lt;&gt;"",Q28=0),9+IF(INDEX(Setup!$O$6:$AL$23,5,9)="T",100,0),"")</f>
        <v/>
      </c>
      <c r="AW180">
        <f>IF(AND($C29=1,INDEX(Setup!$O$6:$AL$23,5,10)&lt;&gt;"",Q29=0),10+IF(INDEX(Setup!$O$6:$AL$23,5,10)="T",100,0),"")</f>
        <v/>
      </c>
      <c r="AX180">
        <f>IF(AND($C30=1,INDEX(Setup!$O$6:$AL$23,5,11)&lt;&gt;"",Q30=0),11+IF(INDEX(Setup!$O$6:$AL$23,5,11)="T",100,0),"")</f>
        <v/>
      </c>
      <c r="AY180">
        <f>IF(AND($C31=1,INDEX(Setup!$O$6:$AL$23,5,12)&lt;&gt;"",Q31=0),12+IF(INDEX(Setup!$O$6:$AL$23,5,12)="T",100,0),"")</f>
        <v/>
      </c>
      <c r="AZ180">
        <f>IF(AND($C32=1,INDEX(Setup!$O$6:$AL$23,5,13)&lt;&gt;"",Q32=0),13+IF(INDEX(Setup!$O$6:$AL$23,5,13)="T",100,0),"")</f>
        <v/>
      </c>
      <c r="BA180">
        <f>IF(AND($C33=1,INDEX(Setup!$O$6:$AL$23,5,14)&lt;&gt;"",Q33=0),14+IF(INDEX(Setup!$O$6:$AL$23,5,14)="T",100,0),"")</f>
        <v/>
      </c>
      <c r="BB180">
        <f>IF(AND($C34=1,INDEX(Setup!$O$6:$AL$23,5,15)&lt;&gt;"",Q34=0),15+IF(INDEX(Setup!$O$6:$AL$23,5,15)="T",100,0),"")</f>
        <v/>
      </c>
      <c r="BC180">
        <f>IF(AND($C35=1,INDEX(Setup!$O$6:$AL$23,5,16)&lt;&gt;"",Q35=0),16+IF(INDEX(Setup!$O$6:$AL$23,5,16)="T",100,0),"")</f>
        <v/>
      </c>
      <c r="BD180">
        <f>IF(AND($C36=1,INDEX(Setup!$O$6:$AL$23,5,17)&lt;&gt;"",Q36=0),17+IF(INDEX(Setup!$O$6:$AL$23,5,17)="T",100,0),"")</f>
        <v/>
      </c>
      <c r="BE180">
        <f>IF(AND($C37=1,INDEX(Setup!$O$6:$AL$23,5,18)&lt;&gt;"",Q37=0),18+IF(INDEX(Setup!$O$6:$AL$23,5,18)="T",100,0),"")</f>
        <v/>
      </c>
      <c r="BF180">
        <f>IF(AND($C38=1,INDEX(Setup!$O$6:$AL$23,5,19)&lt;&gt;"",Q38=0),19+IF(INDEX(Setup!$O$6:$AL$23,5,19)="T",100,0),"")</f>
        <v/>
      </c>
      <c r="BG180">
        <f>IF(AND($C39=1,INDEX(Setup!$O$6:$AL$23,5,20)&lt;&gt;"",Q39=0),20+IF(INDEX(Setup!$O$6:$AL$23,5,20)="T",100,0),"")</f>
        <v/>
      </c>
      <c r="BH180">
        <f>IF(AND($C40=1,INDEX(Setup!$O$6:$AL$23,5,21)&lt;&gt;"",Q40=0),21+IF(INDEX(Setup!$O$6:$AL$23,5,21)="T",100,0),"")</f>
        <v/>
      </c>
      <c r="BI180">
        <f>IF(AND($C41=1,INDEX(Setup!$O$6:$AL$23,5,22)&lt;&gt;"",Q41=0),22+IF(INDEX(Setup!$O$6:$AL$23,5,22)="T",100,0),"")</f>
        <v/>
      </c>
      <c r="BJ180">
        <f>IF(AND($C42=1,INDEX(Setup!$O$6:$AL$23,5,23)&lt;&gt;"",Q42=0),23+IF(INDEX(Setup!$O$6:$AL$23,5,23)="T",100,0),"")</f>
        <v/>
      </c>
      <c r="BK180">
        <f>IF(AND($C43=1,INDEX(Setup!$O$6:$AL$23,5,24)&lt;&gt;"",Q43=0),24+IF(INDEX(Setup!$O$6:$AL$23,5,24)="T",100,0),"")</f>
        <v/>
      </c>
      <c r="BM180">
        <f>IF(AND(AN180&lt;&gt;"",COUNTIF($Y$51:$Y$51,$B20)+COUNTIF($Y$51:$Y$51,$B20&amp;" ~*")=0),($R20+COUNTIF($H$176:$H179,$B20)+COUNTIF($H$176:$H179,$B20&amp;" ~*"))*1000+IF(AN180&gt;100,500,0)+1,"")</f>
        <v/>
      </c>
      <c r="BN180">
        <f>IF(AND(AO180&lt;&gt;"",COUNTIF($Y$51:$Y$51,$B21)+COUNTIF($Y$51:$Y$51,$B21&amp;" ~*")=0),($R21+COUNTIF($H$176:$H179,$B21)+COUNTIF($H$176:$H179,$B21&amp;" ~*"))*1000+IF(AO180&gt;100,500,0)+2,"")</f>
        <v/>
      </c>
      <c r="BO180">
        <f>IF(AND(AP180&lt;&gt;"",COUNTIF($Y$51:$Y$51,$B22)+COUNTIF($Y$51:$Y$51,$B22&amp;" ~*")=0),($R22+COUNTIF($H$176:$H179,$B22)+COUNTIF($H$176:$H179,$B22&amp;" ~*"))*1000+IF(AP180&gt;100,500,0)+3,"")</f>
        <v/>
      </c>
      <c r="BP180">
        <f>IF(AND(AQ180&lt;&gt;"",COUNTIF($Y$51:$Y$51,$B23)+COUNTIF($Y$51:$Y$51,$B23&amp;" ~*")=0),($R23+COUNTIF($H$176:$H179,$B23)+COUNTIF($H$176:$H179,$B23&amp;" ~*"))*1000+IF(AQ180&gt;100,500,0)+4,"")</f>
        <v/>
      </c>
      <c r="BQ180">
        <f>IF(AND(AR180&lt;&gt;"",COUNTIF($Y$51:$Y$51,$B24)+COUNTIF($Y$51:$Y$51,$B24&amp;" ~*")=0),($R24+COUNTIF($H$176:$H179,$B24)+COUNTIF($H$176:$H179,$B24&amp;" ~*"))*1000+IF(AR180&gt;100,500,0)+5,"")</f>
        <v/>
      </c>
      <c r="BR180">
        <f>IF(AND(AS180&lt;&gt;"",COUNTIF($Y$51:$Y$51,$B25)+COUNTIF($Y$51:$Y$51,$B25&amp;" ~*")=0),($R25+COUNTIF($H$176:$H179,$B25)+COUNTIF($H$176:$H179,$B25&amp;" ~*"))*1000+IF(AS180&gt;100,500,0)+6,"")</f>
        <v/>
      </c>
      <c r="BS180">
        <f>IF(AND(AT180&lt;&gt;"",COUNTIF($Y$51:$Y$51,$B26)+COUNTIF($Y$51:$Y$51,$B26&amp;" ~*")=0),($R26+COUNTIF($H$176:$H179,$B26)+COUNTIF($H$176:$H179,$B26&amp;" ~*"))*1000+IF(AT180&gt;100,500,0)+7,"")</f>
        <v/>
      </c>
      <c r="BT180">
        <f>IF(AND(AU180&lt;&gt;"",COUNTIF($Y$51:$Y$51,$B27)+COUNTIF($Y$51:$Y$51,$B27&amp;" ~*")=0),($R27+COUNTIF($H$176:$H179,$B27)+COUNTIF($H$176:$H179,$B27&amp;" ~*"))*1000+IF(AU180&gt;100,500,0)+8,"")</f>
        <v/>
      </c>
      <c r="BU180">
        <f>IF(AND(AV180&lt;&gt;"",COUNTIF($Y$51:$Y$51,$B28)+COUNTIF($Y$51:$Y$51,$B28&amp;" ~*")=0),($R28+COUNTIF($H$176:$H179,$B28)+COUNTIF($H$176:$H179,$B28&amp;" ~*"))*1000+IF(AV180&gt;100,500,0)+9,"")</f>
        <v/>
      </c>
      <c r="BV180">
        <f>IF(AND(AW180&lt;&gt;"",COUNTIF($Y$51:$Y$51,$B29)+COUNTIF($Y$51:$Y$51,$B29&amp;" ~*")=0),($R29+COUNTIF($H$176:$H179,$B29)+COUNTIF($H$176:$H179,$B29&amp;" ~*"))*1000+IF(AW180&gt;100,500,0)+10,"")</f>
        <v/>
      </c>
      <c r="BW180">
        <f>IF(AND(AX180&lt;&gt;"",COUNTIF($Y$51:$Y$51,$B30)+COUNTIF($Y$51:$Y$51,$B30&amp;" ~*")=0),($R30+COUNTIF($H$176:$H179,$B30)+COUNTIF($H$176:$H179,$B30&amp;" ~*"))*1000+IF(AX180&gt;100,500,0)+11,"")</f>
        <v/>
      </c>
      <c r="BX180">
        <f>IF(AND(AY180&lt;&gt;"",COUNTIF($Y$51:$Y$51,$B31)+COUNTIF($Y$51:$Y$51,$B31&amp;" ~*")=0),($R31+COUNTIF($H$176:$H179,$B31)+COUNTIF($H$176:$H179,$B31&amp;" ~*"))*1000+IF(AY180&gt;100,500,0)+12,"")</f>
        <v/>
      </c>
      <c r="BY180">
        <f>IF(AND(AZ180&lt;&gt;"",COUNTIF($Y$51:$Y$51,$B32)+COUNTIF($Y$51:$Y$51,$B32&amp;" ~*")=0),($R32+COUNTIF($H$176:$H179,$B32)+COUNTIF($H$176:$H179,$B32&amp;" ~*"))*1000+IF(AZ180&gt;100,500,0)+13,"")</f>
        <v/>
      </c>
      <c r="BZ180">
        <f>IF(AND(BA180&lt;&gt;"",COUNTIF($Y$51:$Y$51,$B33)+COUNTIF($Y$51:$Y$51,$B33&amp;" ~*")=0),($R33+COUNTIF($H$176:$H179,$B33)+COUNTIF($H$176:$H179,$B33&amp;" ~*"))*1000+IF(BA180&gt;100,500,0)+14,"")</f>
        <v/>
      </c>
      <c r="CA180">
        <f>IF(AND(BB180&lt;&gt;"",COUNTIF($Y$51:$Y$51,$B34)+COUNTIF($Y$51:$Y$51,$B34&amp;" ~*")=0),($R34+COUNTIF($H$176:$H179,$B34)+COUNTIF($H$176:$H179,$B34&amp;" ~*"))*1000+IF(BB180&gt;100,500,0)+15,"")</f>
        <v/>
      </c>
      <c r="CB180">
        <f>IF(AND(BC180&lt;&gt;"",COUNTIF($Y$51:$Y$51,$B35)+COUNTIF($Y$51:$Y$51,$B35&amp;" ~*")=0),($R35+COUNTIF($H$176:$H179,$B35)+COUNTIF($H$176:$H179,$B35&amp;" ~*"))*1000+IF(BC180&gt;100,500,0)+16,"")</f>
        <v/>
      </c>
      <c r="CC180">
        <f>IF(AND(BD180&lt;&gt;"",COUNTIF($Y$51:$Y$51,$B36)+COUNTIF($Y$51:$Y$51,$B36&amp;" ~*")=0),($R36+COUNTIF($H$176:$H179,$B36)+COUNTIF($H$176:$H179,$B36&amp;" ~*"))*1000+IF(BD180&gt;100,500,0)+17,"")</f>
        <v/>
      </c>
      <c r="CD180">
        <f>IF(AND(BE180&lt;&gt;"",COUNTIF($Y$51:$Y$51,$B37)+COUNTIF($Y$51:$Y$51,$B37&amp;" ~*")=0),($R37+COUNTIF($H$176:$H179,$B37)+COUNTIF($H$176:$H179,$B37&amp;" ~*"))*1000+IF(BE180&gt;100,500,0)+18,"")</f>
        <v/>
      </c>
      <c r="CE180">
        <f>IF(AND(BF180&lt;&gt;"",COUNTIF($Y$51:$Y$51,$B38)+COUNTIF($Y$51:$Y$51,$B38&amp;" ~*")=0),($R38+COUNTIF($H$176:$H179,$B38)+COUNTIF($H$176:$H179,$B38&amp;" ~*"))*1000+IF(BF180&gt;100,500,0)+19,"")</f>
        <v/>
      </c>
      <c r="CF180">
        <f>IF(AND(BG180&lt;&gt;"",COUNTIF($Y$51:$Y$51,$B39)+COUNTIF($Y$51:$Y$51,$B39&amp;" ~*")=0),($R39+COUNTIF($H$176:$H179,$B39)+COUNTIF($H$176:$H179,$B39&amp;" ~*"))*1000+IF(BG180&gt;100,500,0)+20,"")</f>
        <v/>
      </c>
      <c r="CG180">
        <f>IF(AND(BH180&lt;&gt;"",COUNTIF($Y$51:$Y$51,$B40)+COUNTIF($Y$51:$Y$51,$B40&amp;" ~*")=0),($R40+COUNTIF($H$176:$H179,$B40)+COUNTIF($H$176:$H179,$B40&amp;" ~*"))*1000+IF(BH180&gt;100,500,0)+21,"")</f>
        <v/>
      </c>
      <c r="CH180">
        <f>IF(AND(BI180&lt;&gt;"",COUNTIF($Y$51:$Y$51,$B41)+COUNTIF($Y$51:$Y$51,$B41&amp;" ~*")=0),($R41+COUNTIF($H$176:$H179,$B41)+COUNTIF($H$176:$H179,$B41&amp;" ~*"))*1000+IF(BI180&gt;100,500,0)+22,"")</f>
        <v/>
      </c>
      <c r="CI180">
        <f>IF(AND(BJ180&lt;&gt;"",COUNTIF($Y$51:$Y$51,$B42)+COUNTIF($Y$51:$Y$51,$B42&amp;" ~*")=0),($R42+COUNTIF($H$176:$H179,$B42)+COUNTIF($H$176:$H179,$B42&amp;" ~*"))*1000+IF(BJ180&gt;100,500,0)+23,"")</f>
        <v/>
      </c>
      <c r="CJ180">
        <f>IF(AND(BK180&lt;&gt;"",COUNTIF($Y$51:$Y$51,$B43)+COUNTIF($Y$51:$Y$51,$B43&amp;" ~*")=0),($R43+COUNTIF($H$176:$H179,$B43)+COUNTIF($H$176:$H179,$B43&amp;" ~*"))*1000+IF(BK180&gt;100,500,0)+24,"")</f>
        <v/>
      </c>
    </row>
    <row r="181">
      <c r="A181" t="n">
        <v>7</v>
      </c>
      <c r="B181" t="n">
        <v>6</v>
      </c>
      <c r="C181">
        <f>$B$52</f>
        <v/>
      </c>
      <c r="D181" t="inlineStr">
        <is>
          <t>Sun</t>
        </is>
      </c>
      <c r="E181">
        <f>IF(C181="","",N($AC$52))</f>
        <v/>
      </c>
      <c r="F181">
        <f>IF(C181="","",COUNTIF($Y$52:$Y$52,"?*"))</f>
        <v/>
      </c>
      <c r="G181">
        <f>IF(C181="","",MAX(0,E181-F181))</f>
        <v/>
      </c>
      <c r="H181">
        <f>IF(N(G181)=0,"",IF(COUNT(BM181:CJ181)=0,"no-one eligible",INDEX(Engine!$B$20:$B$43,MOD(MIN(BM181:CJ181),500))&amp;IF(MOD(MIN(BM181:CJ181),1000)&gt;=500," *","")))</f>
        <v/>
      </c>
      <c r="I181">
        <f>IF(N(G181)&gt;0,COUNTIF($G$68:G181,"&gt;0"),"")</f>
        <v/>
      </c>
      <c r="J181">
        <f>IF(C181="","",IF($Y$52="",0,IF(IFERROR(INDEX(Setup!$O$6:$AL$23,6,MATCH(SUBSTITUTE($Y$52," *",""),Setup!$B$6:$B$29,0)),"")="",1,0)))</f>
        <v/>
      </c>
      <c r="K181">
        <f>IF($B$12+6=TODAY(),1,0)</f>
        <v/>
      </c>
      <c r="N181">
        <f>COUNT($AN181:$BK181)</f>
        <v/>
      </c>
      <c r="O181">
        <f>IF(1&gt;$N181,"",INDEX(Engine!$B$20:$B$43,MOD(SMALL($AN181:$BK181,1),100))&amp;IF(SMALL($AN181:$BK181,1)&gt;100," *",""))</f>
        <v/>
      </c>
      <c r="P181">
        <f>IF(2&gt;$N181,"",INDEX(Engine!$B$20:$B$43,MOD(SMALL($AN181:$BK181,2),100))&amp;IF(SMALL($AN181:$BK181,2)&gt;100," *",""))</f>
        <v/>
      </c>
      <c r="Q181">
        <f>IF(3&gt;$N181,"",INDEX(Engine!$B$20:$B$43,MOD(SMALL($AN181:$BK181,3),100))&amp;IF(SMALL($AN181:$BK181,3)&gt;100," *",""))</f>
        <v/>
      </c>
      <c r="R181">
        <f>IF(4&gt;$N181,"",INDEX(Engine!$B$20:$B$43,MOD(SMALL($AN181:$BK181,4),100))&amp;IF(SMALL($AN181:$BK181,4)&gt;100," *",""))</f>
        <v/>
      </c>
      <c r="S181">
        <f>IF(5&gt;$N181,"",INDEX(Engine!$B$20:$B$43,MOD(SMALL($AN181:$BK181,5),100))&amp;IF(SMALL($AN181:$BK181,5)&gt;100," *",""))</f>
        <v/>
      </c>
      <c r="T181">
        <f>IF(6&gt;$N181,"",INDEX(Engine!$B$20:$B$43,MOD(SMALL($AN181:$BK181,6),100))&amp;IF(SMALL($AN181:$BK181,6)&gt;100," *",""))</f>
        <v/>
      </c>
      <c r="U181">
        <f>IF(7&gt;$N181,"",INDEX(Engine!$B$20:$B$43,MOD(SMALL($AN181:$BK181,7),100))&amp;IF(SMALL($AN181:$BK181,7)&gt;100," *",""))</f>
        <v/>
      </c>
      <c r="V181">
        <f>IF(8&gt;$N181,"",INDEX(Engine!$B$20:$B$43,MOD(SMALL($AN181:$BK181,8),100))&amp;IF(SMALL($AN181:$BK181,8)&gt;100," *",""))</f>
        <v/>
      </c>
      <c r="W181">
        <f>IF(9&gt;$N181,"",INDEX(Engine!$B$20:$B$43,MOD(SMALL($AN181:$BK181,9),100))&amp;IF(SMALL($AN181:$BK181,9)&gt;100," *",""))</f>
        <v/>
      </c>
      <c r="X181">
        <f>IF(10&gt;$N181,"",INDEX(Engine!$B$20:$B$43,MOD(SMALL($AN181:$BK181,10),100))&amp;IF(SMALL($AN181:$BK181,10)&gt;100," *",""))</f>
        <v/>
      </c>
      <c r="Y181">
        <f>IF(11&gt;$N181,"",INDEX(Engine!$B$20:$B$43,MOD(SMALL($AN181:$BK181,11),100))&amp;IF(SMALL($AN181:$BK181,11)&gt;100," *",""))</f>
        <v/>
      </c>
      <c r="Z181">
        <f>IF(12&gt;$N181,"",INDEX(Engine!$B$20:$B$43,MOD(SMALL($AN181:$BK181,12),100))&amp;IF(SMALL($AN181:$BK181,12)&gt;100," *",""))</f>
        <v/>
      </c>
      <c r="AA181">
        <f>IF(13&gt;$N181,"",INDEX(Engine!$B$20:$B$43,MOD(SMALL($AN181:$BK181,13),100))&amp;IF(SMALL($AN181:$BK181,13)&gt;100," *",""))</f>
        <v/>
      </c>
      <c r="AB181">
        <f>IF(14&gt;$N181,"",INDEX(Engine!$B$20:$B$43,MOD(SMALL($AN181:$BK181,14),100))&amp;IF(SMALL($AN181:$BK181,14)&gt;100," *",""))</f>
        <v/>
      </c>
      <c r="AC181">
        <f>IF(15&gt;$N181,"",INDEX(Engine!$B$20:$B$43,MOD(SMALL($AN181:$BK181,15),100))&amp;IF(SMALL($AN181:$BK181,15)&gt;100," *",""))</f>
        <v/>
      </c>
      <c r="AD181">
        <f>IF(16&gt;$N181,"",INDEX(Engine!$B$20:$B$43,MOD(SMALL($AN181:$BK181,16),100))&amp;IF(SMALL($AN181:$BK181,16)&gt;100," *",""))</f>
        <v/>
      </c>
      <c r="AE181">
        <f>IF(17&gt;$N181,"",INDEX(Engine!$B$20:$B$43,MOD(SMALL($AN181:$BK181,17),100))&amp;IF(SMALL($AN181:$BK181,17)&gt;100," *",""))</f>
        <v/>
      </c>
      <c r="AF181">
        <f>IF(18&gt;$N181,"",INDEX(Engine!$B$20:$B$43,MOD(SMALL($AN181:$BK181,18),100))&amp;IF(SMALL($AN181:$BK181,18)&gt;100," *",""))</f>
        <v/>
      </c>
      <c r="AG181">
        <f>IF(19&gt;$N181,"",INDEX(Engine!$B$20:$B$43,MOD(SMALL($AN181:$BK181,19),100))&amp;IF(SMALL($AN181:$BK181,19)&gt;100," *",""))</f>
        <v/>
      </c>
      <c r="AH181">
        <f>IF(20&gt;$N181,"",INDEX(Engine!$B$20:$B$43,MOD(SMALL($AN181:$BK181,20),100))&amp;IF(SMALL($AN181:$BK181,20)&gt;100," *",""))</f>
        <v/>
      </c>
      <c r="AI181">
        <f>IF(21&gt;$N181,"",INDEX(Engine!$B$20:$B$43,MOD(SMALL($AN181:$BK181,21),100))&amp;IF(SMALL($AN181:$BK181,21)&gt;100," *",""))</f>
        <v/>
      </c>
      <c r="AJ181">
        <f>IF(22&gt;$N181,"",INDEX(Engine!$B$20:$B$43,MOD(SMALL($AN181:$BK181,22),100))&amp;IF(SMALL($AN181:$BK181,22)&gt;100," *",""))</f>
        <v/>
      </c>
      <c r="AK181">
        <f>IF(23&gt;$N181,"",INDEX(Engine!$B$20:$B$43,MOD(SMALL($AN181:$BK181,23),100))&amp;IF(SMALL($AN181:$BK181,23)&gt;100," *",""))</f>
        <v/>
      </c>
      <c r="AL181">
        <f>IF(24&gt;$N181,"",INDEX(Engine!$B$20:$B$43,MOD(SMALL($AN181:$BK181,24),100))&amp;IF(SMALL($AN181:$BK181,24)&gt;100," *",""))</f>
        <v/>
      </c>
      <c r="AN181">
        <f>IF(AND($C20=1,INDEX(Setup!$O$6:$AL$23,6,1)&lt;&gt;"",Q20=0),1+IF(INDEX(Setup!$O$6:$AL$23,6,1)="T",100,0),"")</f>
        <v/>
      </c>
      <c r="AO181">
        <f>IF(AND($C21=1,INDEX(Setup!$O$6:$AL$23,6,2)&lt;&gt;"",Q21=0),2+IF(INDEX(Setup!$O$6:$AL$23,6,2)="T",100,0),"")</f>
        <v/>
      </c>
      <c r="AP181">
        <f>IF(AND($C22=1,INDEX(Setup!$O$6:$AL$23,6,3)&lt;&gt;"",Q22=0),3+IF(INDEX(Setup!$O$6:$AL$23,6,3)="T",100,0),"")</f>
        <v/>
      </c>
      <c r="AQ181">
        <f>IF(AND($C23=1,INDEX(Setup!$O$6:$AL$23,6,4)&lt;&gt;"",Q23=0),4+IF(INDEX(Setup!$O$6:$AL$23,6,4)="T",100,0),"")</f>
        <v/>
      </c>
      <c r="AR181">
        <f>IF(AND($C24=1,INDEX(Setup!$O$6:$AL$23,6,5)&lt;&gt;"",Q24=0),5+IF(INDEX(Setup!$O$6:$AL$23,6,5)="T",100,0),"")</f>
        <v/>
      </c>
      <c r="AS181">
        <f>IF(AND($C25=1,INDEX(Setup!$O$6:$AL$23,6,6)&lt;&gt;"",Q25=0),6+IF(INDEX(Setup!$O$6:$AL$23,6,6)="T",100,0),"")</f>
        <v/>
      </c>
      <c r="AT181">
        <f>IF(AND($C26=1,INDEX(Setup!$O$6:$AL$23,6,7)&lt;&gt;"",Q26=0),7+IF(INDEX(Setup!$O$6:$AL$23,6,7)="T",100,0),"")</f>
        <v/>
      </c>
      <c r="AU181">
        <f>IF(AND($C27=1,INDEX(Setup!$O$6:$AL$23,6,8)&lt;&gt;"",Q27=0),8+IF(INDEX(Setup!$O$6:$AL$23,6,8)="T",100,0),"")</f>
        <v/>
      </c>
      <c r="AV181">
        <f>IF(AND($C28=1,INDEX(Setup!$O$6:$AL$23,6,9)&lt;&gt;"",Q28=0),9+IF(INDEX(Setup!$O$6:$AL$23,6,9)="T",100,0),"")</f>
        <v/>
      </c>
      <c r="AW181">
        <f>IF(AND($C29=1,INDEX(Setup!$O$6:$AL$23,6,10)&lt;&gt;"",Q29=0),10+IF(INDEX(Setup!$O$6:$AL$23,6,10)="T",100,0),"")</f>
        <v/>
      </c>
      <c r="AX181">
        <f>IF(AND($C30=1,INDEX(Setup!$O$6:$AL$23,6,11)&lt;&gt;"",Q30=0),11+IF(INDEX(Setup!$O$6:$AL$23,6,11)="T",100,0),"")</f>
        <v/>
      </c>
      <c r="AY181">
        <f>IF(AND($C31=1,INDEX(Setup!$O$6:$AL$23,6,12)&lt;&gt;"",Q31=0),12+IF(INDEX(Setup!$O$6:$AL$23,6,12)="T",100,0),"")</f>
        <v/>
      </c>
      <c r="AZ181">
        <f>IF(AND($C32=1,INDEX(Setup!$O$6:$AL$23,6,13)&lt;&gt;"",Q32=0),13+IF(INDEX(Setup!$O$6:$AL$23,6,13)="T",100,0),"")</f>
        <v/>
      </c>
      <c r="BA181">
        <f>IF(AND($C33=1,INDEX(Setup!$O$6:$AL$23,6,14)&lt;&gt;"",Q33=0),14+IF(INDEX(Setup!$O$6:$AL$23,6,14)="T",100,0),"")</f>
        <v/>
      </c>
      <c r="BB181">
        <f>IF(AND($C34=1,INDEX(Setup!$O$6:$AL$23,6,15)&lt;&gt;"",Q34=0),15+IF(INDEX(Setup!$O$6:$AL$23,6,15)="T",100,0),"")</f>
        <v/>
      </c>
      <c r="BC181">
        <f>IF(AND($C35=1,INDEX(Setup!$O$6:$AL$23,6,16)&lt;&gt;"",Q35=0),16+IF(INDEX(Setup!$O$6:$AL$23,6,16)="T",100,0),"")</f>
        <v/>
      </c>
      <c r="BD181">
        <f>IF(AND($C36=1,INDEX(Setup!$O$6:$AL$23,6,17)&lt;&gt;"",Q36=0),17+IF(INDEX(Setup!$O$6:$AL$23,6,17)="T",100,0),"")</f>
        <v/>
      </c>
      <c r="BE181">
        <f>IF(AND($C37=1,INDEX(Setup!$O$6:$AL$23,6,18)&lt;&gt;"",Q37=0),18+IF(INDEX(Setup!$O$6:$AL$23,6,18)="T",100,0),"")</f>
        <v/>
      </c>
      <c r="BF181">
        <f>IF(AND($C38=1,INDEX(Setup!$O$6:$AL$23,6,19)&lt;&gt;"",Q38=0),19+IF(INDEX(Setup!$O$6:$AL$23,6,19)="T",100,0),"")</f>
        <v/>
      </c>
      <c r="BG181">
        <f>IF(AND($C39=1,INDEX(Setup!$O$6:$AL$23,6,20)&lt;&gt;"",Q39=0),20+IF(INDEX(Setup!$O$6:$AL$23,6,20)="T",100,0),"")</f>
        <v/>
      </c>
      <c r="BH181">
        <f>IF(AND($C40=1,INDEX(Setup!$O$6:$AL$23,6,21)&lt;&gt;"",Q40=0),21+IF(INDEX(Setup!$O$6:$AL$23,6,21)="T",100,0),"")</f>
        <v/>
      </c>
      <c r="BI181">
        <f>IF(AND($C41=1,INDEX(Setup!$O$6:$AL$23,6,22)&lt;&gt;"",Q41=0),22+IF(INDEX(Setup!$O$6:$AL$23,6,22)="T",100,0),"")</f>
        <v/>
      </c>
      <c r="BJ181">
        <f>IF(AND($C42=1,INDEX(Setup!$O$6:$AL$23,6,23)&lt;&gt;"",Q42=0),23+IF(INDEX(Setup!$O$6:$AL$23,6,23)="T",100,0),"")</f>
        <v/>
      </c>
      <c r="BK181">
        <f>IF(AND($C43=1,INDEX(Setup!$O$6:$AL$23,6,24)&lt;&gt;"",Q43=0),24+IF(INDEX(Setup!$O$6:$AL$23,6,24)="T",100,0),"")</f>
        <v/>
      </c>
      <c r="BM181">
        <f>IF(AND(AN181&lt;&gt;"",COUNTIF($Y$52:$Y$52,$B20)+COUNTIF($Y$52:$Y$52,$B20&amp;" ~*")=0),($R20+COUNTIF($H$176:$H180,$B20)+COUNTIF($H$176:$H180,$B20&amp;" ~*"))*1000+IF(AN181&gt;100,500,0)+1,"")</f>
        <v/>
      </c>
      <c r="BN181">
        <f>IF(AND(AO181&lt;&gt;"",COUNTIF($Y$52:$Y$52,$B21)+COUNTIF($Y$52:$Y$52,$B21&amp;" ~*")=0),($R21+COUNTIF($H$176:$H180,$B21)+COUNTIF($H$176:$H180,$B21&amp;" ~*"))*1000+IF(AO181&gt;100,500,0)+2,"")</f>
        <v/>
      </c>
      <c r="BO181">
        <f>IF(AND(AP181&lt;&gt;"",COUNTIF($Y$52:$Y$52,$B22)+COUNTIF($Y$52:$Y$52,$B22&amp;" ~*")=0),($R22+COUNTIF($H$176:$H180,$B22)+COUNTIF($H$176:$H180,$B22&amp;" ~*"))*1000+IF(AP181&gt;100,500,0)+3,"")</f>
        <v/>
      </c>
      <c r="BP181">
        <f>IF(AND(AQ181&lt;&gt;"",COUNTIF($Y$52:$Y$52,$B23)+COUNTIF($Y$52:$Y$52,$B23&amp;" ~*")=0),($R23+COUNTIF($H$176:$H180,$B23)+COUNTIF($H$176:$H180,$B23&amp;" ~*"))*1000+IF(AQ181&gt;100,500,0)+4,"")</f>
        <v/>
      </c>
      <c r="BQ181">
        <f>IF(AND(AR181&lt;&gt;"",COUNTIF($Y$52:$Y$52,$B24)+COUNTIF($Y$52:$Y$52,$B24&amp;" ~*")=0),($R24+COUNTIF($H$176:$H180,$B24)+COUNTIF($H$176:$H180,$B24&amp;" ~*"))*1000+IF(AR181&gt;100,500,0)+5,"")</f>
        <v/>
      </c>
      <c r="BR181">
        <f>IF(AND(AS181&lt;&gt;"",COUNTIF($Y$52:$Y$52,$B25)+COUNTIF($Y$52:$Y$52,$B25&amp;" ~*")=0),($R25+COUNTIF($H$176:$H180,$B25)+COUNTIF($H$176:$H180,$B25&amp;" ~*"))*1000+IF(AS181&gt;100,500,0)+6,"")</f>
        <v/>
      </c>
      <c r="BS181">
        <f>IF(AND(AT181&lt;&gt;"",COUNTIF($Y$52:$Y$52,$B26)+COUNTIF($Y$52:$Y$52,$B26&amp;" ~*")=0),($R26+COUNTIF($H$176:$H180,$B26)+COUNTIF($H$176:$H180,$B26&amp;" ~*"))*1000+IF(AT181&gt;100,500,0)+7,"")</f>
        <v/>
      </c>
      <c r="BT181">
        <f>IF(AND(AU181&lt;&gt;"",COUNTIF($Y$52:$Y$52,$B27)+COUNTIF($Y$52:$Y$52,$B27&amp;" ~*")=0),($R27+COUNTIF($H$176:$H180,$B27)+COUNTIF($H$176:$H180,$B27&amp;" ~*"))*1000+IF(AU181&gt;100,500,0)+8,"")</f>
        <v/>
      </c>
      <c r="BU181">
        <f>IF(AND(AV181&lt;&gt;"",COUNTIF($Y$52:$Y$52,$B28)+COUNTIF($Y$52:$Y$52,$B28&amp;" ~*")=0),($R28+COUNTIF($H$176:$H180,$B28)+COUNTIF($H$176:$H180,$B28&amp;" ~*"))*1000+IF(AV181&gt;100,500,0)+9,"")</f>
        <v/>
      </c>
      <c r="BV181">
        <f>IF(AND(AW181&lt;&gt;"",COUNTIF($Y$52:$Y$52,$B29)+COUNTIF($Y$52:$Y$52,$B29&amp;" ~*")=0),($R29+COUNTIF($H$176:$H180,$B29)+COUNTIF($H$176:$H180,$B29&amp;" ~*"))*1000+IF(AW181&gt;100,500,0)+10,"")</f>
        <v/>
      </c>
      <c r="BW181">
        <f>IF(AND(AX181&lt;&gt;"",COUNTIF($Y$52:$Y$52,$B30)+COUNTIF($Y$52:$Y$52,$B30&amp;" ~*")=0),($R30+COUNTIF($H$176:$H180,$B30)+COUNTIF($H$176:$H180,$B30&amp;" ~*"))*1000+IF(AX181&gt;100,500,0)+11,"")</f>
        <v/>
      </c>
      <c r="BX181">
        <f>IF(AND(AY181&lt;&gt;"",COUNTIF($Y$52:$Y$52,$B31)+COUNTIF($Y$52:$Y$52,$B31&amp;" ~*")=0),($R31+COUNTIF($H$176:$H180,$B31)+COUNTIF($H$176:$H180,$B31&amp;" ~*"))*1000+IF(AY181&gt;100,500,0)+12,"")</f>
        <v/>
      </c>
      <c r="BY181">
        <f>IF(AND(AZ181&lt;&gt;"",COUNTIF($Y$52:$Y$52,$B32)+COUNTIF($Y$52:$Y$52,$B32&amp;" ~*")=0),($R32+COUNTIF($H$176:$H180,$B32)+COUNTIF($H$176:$H180,$B32&amp;" ~*"))*1000+IF(AZ181&gt;100,500,0)+13,"")</f>
        <v/>
      </c>
      <c r="BZ181">
        <f>IF(AND(BA181&lt;&gt;"",COUNTIF($Y$52:$Y$52,$B33)+COUNTIF($Y$52:$Y$52,$B33&amp;" ~*")=0),($R33+COUNTIF($H$176:$H180,$B33)+COUNTIF($H$176:$H180,$B33&amp;" ~*"))*1000+IF(BA181&gt;100,500,0)+14,"")</f>
        <v/>
      </c>
      <c r="CA181">
        <f>IF(AND(BB181&lt;&gt;"",COUNTIF($Y$52:$Y$52,$B34)+COUNTIF($Y$52:$Y$52,$B34&amp;" ~*")=0),($R34+COUNTIF($H$176:$H180,$B34)+COUNTIF($H$176:$H180,$B34&amp;" ~*"))*1000+IF(BB181&gt;100,500,0)+15,"")</f>
        <v/>
      </c>
      <c r="CB181">
        <f>IF(AND(BC181&lt;&gt;"",COUNTIF($Y$52:$Y$52,$B35)+COUNTIF($Y$52:$Y$52,$B35&amp;" ~*")=0),($R35+COUNTIF($H$176:$H180,$B35)+COUNTIF($H$176:$H180,$B35&amp;" ~*"))*1000+IF(BC181&gt;100,500,0)+16,"")</f>
        <v/>
      </c>
      <c r="CC181">
        <f>IF(AND(BD181&lt;&gt;"",COUNTIF($Y$52:$Y$52,$B36)+COUNTIF($Y$52:$Y$52,$B36&amp;" ~*")=0),($R36+COUNTIF($H$176:$H180,$B36)+COUNTIF($H$176:$H180,$B36&amp;" ~*"))*1000+IF(BD181&gt;100,500,0)+17,"")</f>
        <v/>
      </c>
      <c r="CD181">
        <f>IF(AND(BE181&lt;&gt;"",COUNTIF($Y$52:$Y$52,$B37)+COUNTIF($Y$52:$Y$52,$B37&amp;" ~*")=0),($R37+COUNTIF($H$176:$H180,$B37)+COUNTIF($H$176:$H180,$B37&amp;" ~*"))*1000+IF(BE181&gt;100,500,0)+18,"")</f>
        <v/>
      </c>
      <c r="CE181">
        <f>IF(AND(BF181&lt;&gt;"",COUNTIF($Y$52:$Y$52,$B38)+COUNTIF($Y$52:$Y$52,$B38&amp;" ~*")=0),($R38+COUNTIF($H$176:$H180,$B38)+COUNTIF($H$176:$H180,$B38&amp;" ~*"))*1000+IF(BF181&gt;100,500,0)+19,"")</f>
        <v/>
      </c>
      <c r="CF181">
        <f>IF(AND(BG181&lt;&gt;"",COUNTIF($Y$52:$Y$52,$B39)+COUNTIF($Y$52:$Y$52,$B39&amp;" ~*")=0),($R39+COUNTIF($H$176:$H180,$B39)+COUNTIF($H$176:$H180,$B39&amp;" ~*"))*1000+IF(BG181&gt;100,500,0)+20,"")</f>
        <v/>
      </c>
      <c r="CG181">
        <f>IF(AND(BH181&lt;&gt;"",COUNTIF($Y$52:$Y$52,$B40)+COUNTIF($Y$52:$Y$52,$B40&amp;" ~*")=0),($R40+COUNTIF($H$176:$H180,$B40)+COUNTIF($H$176:$H180,$B40&amp;" ~*"))*1000+IF(BH181&gt;100,500,0)+21,"")</f>
        <v/>
      </c>
      <c r="CH181">
        <f>IF(AND(BI181&lt;&gt;"",COUNTIF($Y$52:$Y$52,$B41)+COUNTIF($Y$52:$Y$52,$B41&amp;" ~*")=0),($R41+COUNTIF($H$176:$H180,$B41)+COUNTIF($H$176:$H180,$B41&amp;" ~*"))*1000+IF(BI181&gt;100,500,0)+22,"")</f>
        <v/>
      </c>
      <c r="CI181">
        <f>IF(AND(BJ181&lt;&gt;"",COUNTIF($Y$52:$Y$52,$B42)+COUNTIF($Y$52:$Y$52,$B42&amp;" ~*")=0),($R42+COUNTIF($H$176:$H180,$B42)+COUNTIF($H$176:$H180,$B42&amp;" ~*"))*1000+IF(BJ181&gt;100,500,0)+23,"")</f>
        <v/>
      </c>
      <c r="CJ181">
        <f>IF(AND(BK181&lt;&gt;"",COUNTIF($Y$52:$Y$52,$B43)+COUNTIF($Y$52:$Y$52,$B43&amp;" ~*")=0),($R43+COUNTIF($H$176:$H180,$B43)+COUNTIF($H$176:$H180,$B43&amp;" ~*"))*1000+IF(BK181&gt;100,500,0)+24,"")</f>
        <v/>
      </c>
    </row>
    <row r="182">
      <c r="A182" t="n">
        <v>7</v>
      </c>
      <c r="B182" t="n">
        <v>7</v>
      </c>
      <c r="C182">
        <f>$B$53</f>
        <v/>
      </c>
      <c r="D182" t="inlineStr">
        <is>
          <t>Sun</t>
        </is>
      </c>
      <c r="E182">
        <f>IF(C182="","",N($AC$53))</f>
        <v/>
      </c>
      <c r="F182">
        <f>IF(C182="","",COUNTIF($Y$53:$Y$53,"?*"))</f>
        <v/>
      </c>
      <c r="G182">
        <f>IF(C182="","",MAX(0,E182-F182))</f>
        <v/>
      </c>
      <c r="H182">
        <f>IF(N(G182)=0,"",IF(COUNT(BM182:CJ182)=0,"no-one eligible",INDEX(Engine!$B$20:$B$43,MOD(MIN(BM182:CJ182),500))&amp;IF(MOD(MIN(BM182:CJ182),1000)&gt;=500," *","")))</f>
        <v/>
      </c>
      <c r="I182">
        <f>IF(N(G182)&gt;0,COUNTIF($G$68:G182,"&gt;0"),"")</f>
        <v/>
      </c>
      <c r="J182">
        <f>IF(C182="","",IF($Y$53="",0,IF(IFERROR(INDEX(Setup!$O$6:$AL$23,7,MATCH(SUBSTITUTE($Y$53," *",""),Setup!$B$6:$B$29,0)),"")="",1,0)))</f>
        <v/>
      </c>
      <c r="K182">
        <f>IF($B$12+6=TODAY(),1,0)</f>
        <v/>
      </c>
      <c r="N182">
        <f>COUNT($AN182:$BK182)</f>
        <v/>
      </c>
      <c r="O182">
        <f>IF(1&gt;$N182,"",INDEX(Engine!$B$20:$B$43,MOD(SMALL($AN182:$BK182,1),100))&amp;IF(SMALL($AN182:$BK182,1)&gt;100," *",""))</f>
        <v/>
      </c>
      <c r="P182">
        <f>IF(2&gt;$N182,"",INDEX(Engine!$B$20:$B$43,MOD(SMALL($AN182:$BK182,2),100))&amp;IF(SMALL($AN182:$BK182,2)&gt;100," *",""))</f>
        <v/>
      </c>
      <c r="Q182">
        <f>IF(3&gt;$N182,"",INDEX(Engine!$B$20:$B$43,MOD(SMALL($AN182:$BK182,3),100))&amp;IF(SMALL($AN182:$BK182,3)&gt;100," *",""))</f>
        <v/>
      </c>
      <c r="R182">
        <f>IF(4&gt;$N182,"",INDEX(Engine!$B$20:$B$43,MOD(SMALL($AN182:$BK182,4),100))&amp;IF(SMALL($AN182:$BK182,4)&gt;100," *",""))</f>
        <v/>
      </c>
      <c r="S182">
        <f>IF(5&gt;$N182,"",INDEX(Engine!$B$20:$B$43,MOD(SMALL($AN182:$BK182,5),100))&amp;IF(SMALL($AN182:$BK182,5)&gt;100," *",""))</f>
        <v/>
      </c>
      <c r="T182">
        <f>IF(6&gt;$N182,"",INDEX(Engine!$B$20:$B$43,MOD(SMALL($AN182:$BK182,6),100))&amp;IF(SMALL($AN182:$BK182,6)&gt;100," *",""))</f>
        <v/>
      </c>
      <c r="U182">
        <f>IF(7&gt;$N182,"",INDEX(Engine!$B$20:$B$43,MOD(SMALL($AN182:$BK182,7),100))&amp;IF(SMALL($AN182:$BK182,7)&gt;100," *",""))</f>
        <v/>
      </c>
      <c r="V182">
        <f>IF(8&gt;$N182,"",INDEX(Engine!$B$20:$B$43,MOD(SMALL($AN182:$BK182,8),100))&amp;IF(SMALL($AN182:$BK182,8)&gt;100," *",""))</f>
        <v/>
      </c>
      <c r="W182">
        <f>IF(9&gt;$N182,"",INDEX(Engine!$B$20:$B$43,MOD(SMALL($AN182:$BK182,9),100))&amp;IF(SMALL($AN182:$BK182,9)&gt;100," *",""))</f>
        <v/>
      </c>
      <c r="X182">
        <f>IF(10&gt;$N182,"",INDEX(Engine!$B$20:$B$43,MOD(SMALL($AN182:$BK182,10),100))&amp;IF(SMALL($AN182:$BK182,10)&gt;100," *",""))</f>
        <v/>
      </c>
      <c r="Y182">
        <f>IF(11&gt;$N182,"",INDEX(Engine!$B$20:$B$43,MOD(SMALL($AN182:$BK182,11),100))&amp;IF(SMALL($AN182:$BK182,11)&gt;100," *",""))</f>
        <v/>
      </c>
      <c r="Z182">
        <f>IF(12&gt;$N182,"",INDEX(Engine!$B$20:$B$43,MOD(SMALL($AN182:$BK182,12),100))&amp;IF(SMALL($AN182:$BK182,12)&gt;100," *",""))</f>
        <v/>
      </c>
      <c r="AA182">
        <f>IF(13&gt;$N182,"",INDEX(Engine!$B$20:$B$43,MOD(SMALL($AN182:$BK182,13),100))&amp;IF(SMALL($AN182:$BK182,13)&gt;100," *",""))</f>
        <v/>
      </c>
      <c r="AB182">
        <f>IF(14&gt;$N182,"",INDEX(Engine!$B$20:$B$43,MOD(SMALL($AN182:$BK182,14),100))&amp;IF(SMALL($AN182:$BK182,14)&gt;100," *",""))</f>
        <v/>
      </c>
      <c r="AC182">
        <f>IF(15&gt;$N182,"",INDEX(Engine!$B$20:$B$43,MOD(SMALL($AN182:$BK182,15),100))&amp;IF(SMALL($AN182:$BK182,15)&gt;100," *",""))</f>
        <v/>
      </c>
      <c r="AD182">
        <f>IF(16&gt;$N182,"",INDEX(Engine!$B$20:$B$43,MOD(SMALL($AN182:$BK182,16),100))&amp;IF(SMALL($AN182:$BK182,16)&gt;100," *",""))</f>
        <v/>
      </c>
      <c r="AE182">
        <f>IF(17&gt;$N182,"",INDEX(Engine!$B$20:$B$43,MOD(SMALL($AN182:$BK182,17),100))&amp;IF(SMALL($AN182:$BK182,17)&gt;100," *",""))</f>
        <v/>
      </c>
      <c r="AF182">
        <f>IF(18&gt;$N182,"",INDEX(Engine!$B$20:$B$43,MOD(SMALL($AN182:$BK182,18),100))&amp;IF(SMALL($AN182:$BK182,18)&gt;100," *",""))</f>
        <v/>
      </c>
      <c r="AG182">
        <f>IF(19&gt;$N182,"",INDEX(Engine!$B$20:$B$43,MOD(SMALL($AN182:$BK182,19),100))&amp;IF(SMALL($AN182:$BK182,19)&gt;100," *",""))</f>
        <v/>
      </c>
      <c r="AH182">
        <f>IF(20&gt;$N182,"",INDEX(Engine!$B$20:$B$43,MOD(SMALL($AN182:$BK182,20),100))&amp;IF(SMALL($AN182:$BK182,20)&gt;100," *",""))</f>
        <v/>
      </c>
      <c r="AI182">
        <f>IF(21&gt;$N182,"",INDEX(Engine!$B$20:$B$43,MOD(SMALL($AN182:$BK182,21),100))&amp;IF(SMALL($AN182:$BK182,21)&gt;100," *",""))</f>
        <v/>
      </c>
      <c r="AJ182">
        <f>IF(22&gt;$N182,"",INDEX(Engine!$B$20:$B$43,MOD(SMALL($AN182:$BK182,22),100))&amp;IF(SMALL($AN182:$BK182,22)&gt;100," *",""))</f>
        <v/>
      </c>
      <c r="AK182">
        <f>IF(23&gt;$N182,"",INDEX(Engine!$B$20:$B$43,MOD(SMALL($AN182:$BK182,23),100))&amp;IF(SMALL($AN182:$BK182,23)&gt;100," *",""))</f>
        <v/>
      </c>
      <c r="AL182">
        <f>IF(24&gt;$N182,"",INDEX(Engine!$B$20:$B$43,MOD(SMALL($AN182:$BK182,24),100))&amp;IF(SMALL($AN182:$BK182,24)&gt;100," *",""))</f>
        <v/>
      </c>
      <c r="AN182">
        <f>IF(AND($C20=1,INDEX(Setup!$O$6:$AL$23,7,1)&lt;&gt;"",Q20=0),1+IF(INDEX(Setup!$O$6:$AL$23,7,1)="T",100,0),"")</f>
        <v/>
      </c>
      <c r="AO182">
        <f>IF(AND($C21=1,INDEX(Setup!$O$6:$AL$23,7,2)&lt;&gt;"",Q21=0),2+IF(INDEX(Setup!$O$6:$AL$23,7,2)="T",100,0),"")</f>
        <v/>
      </c>
      <c r="AP182">
        <f>IF(AND($C22=1,INDEX(Setup!$O$6:$AL$23,7,3)&lt;&gt;"",Q22=0),3+IF(INDEX(Setup!$O$6:$AL$23,7,3)="T",100,0),"")</f>
        <v/>
      </c>
      <c r="AQ182">
        <f>IF(AND($C23=1,INDEX(Setup!$O$6:$AL$23,7,4)&lt;&gt;"",Q23=0),4+IF(INDEX(Setup!$O$6:$AL$23,7,4)="T",100,0),"")</f>
        <v/>
      </c>
      <c r="AR182">
        <f>IF(AND($C24=1,INDEX(Setup!$O$6:$AL$23,7,5)&lt;&gt;"",Q24=0),5+IF(INDEX(Setup!$O$6:$AL$23,7,5)="T",100,0),"")</f>
        <v/>
      </c>
      <c r="AS182">
        <f>IF(AND($C25=1,INDEX(Setup!$O$6:$AL$23,7,6)&lt;&gt;"",Q25=0),6+IF(INDEX(Setup!$O$6:$AL$23,7,6)="T",100,0),"")</f>
        <v/>
      </c>
      <c r="AT182">
        <f>IF(AND($C26=1,INDEX(Setup!$O$6:$AL$23,7,7)&lt;&gt;"",Q26=0),7+IF(INDEX(Setup!$O$6:$AL$23,7,7)="T",100,0),"")</f>
        <v/>
      </c>
      <c r="AU182">
        <f>IF(AND($C27=1,INDEX(Setup!$O$6:$AL$23,7,8)&lt;&gt;"",Q27=0),8+IF(INDEX(Setup!$O$6:$AL$23,7,8)="T",100,0),"")</f>
        <v/>
      </c>
      <c r="AV182">
        <f>IF(AND($C28=1,INDEX(Setup!$O$6:$AL$23,7,9)&lt;&gt;"",Q28=0),9+IF(INDEX(Setup!$O$6:$AL$23,7,9)="T",100,0),"")</f>
        <v/>
      </c>
      <c r="AW182">
        <f>IF(AND($C29=1,INDEX(Setup!$O$6:$AL$23,7,10)&lt;&gt;"",Q29=0),10+IF(INDEX(Setup!$O$6:$AL$23,7,10)="T",100,0),"")</f>
        <v/>
      </c>
      <c r="AX182">
        <f>IF(AND($C30=1,INDEX(Setup!$O$6:$AL$23,7,11)&lt;&gt;"",Q30=0),11+IF(INDEX(Setup!$O$6:$AL$23,7,11)="T",100,0),"")</f>
        <v/>
      </c>
      <c r="AY182">
        <f>IF(AND($C31=1,INDEX(Setup!$O$6:$AL$23,7,12)&lt;&gt;"",Q31=0),12+IF(INDEX(Setup!$O$6:$AL$23,7,12)="T",100,0),"")</f>
        <v/>
      </c>
      <c r="AZ182">
        <f>IF(AND($C32=1,INDEX(Setup!$O$6:$AL$23,7,13)&lt;&gt;"",Q32=0),13+IF(INDEX(Setup!$O$6:$AL$23,7,13)="T",100,0),"")</f>
        <v/>
      </c>
      <c r="BA182">
        <f>IF(AND($C33=1,INDEX(Setup!$O$6:$AL$23,7,14)&lt;&gt;"",Q33=0),14+IF(INDEX(Setup!$O$6:$AL$23,7,14)="T",100,0),"")</f>
        <v/>
      </c>
      <c r="BB182">
        <f>IF(AND($C34=1,INDEX(Setup!$O$6:$AL$23,7,15)&lt;&gt;"",Q34=0),15+IF(INDEX(Setup!$O$6:$AL$23,7,15)="T",100,0),"")</f>
        <v/>
      </c>
      <c r="BC182">
        <f>IF(AND($C35=1,INDEX(Setup!$O$6:$AL$23,7,16)&lt;&gt;"",Q35=0),16+IF(INDEX(Setup!$O$6:$AL$23,7,16)="T",100,0),"")</f>
        <v/>
      </c>
      <c r="BD182">
        <f>IF(AND($C36=1,INDEX(Setup!$O$6:$AL$23,7,17)&lt;&gt;"",Q36=0),17+IF(INDEX(Setup!$O$6:$AL$23,7,17)="T",100,0),"")</f>
        <v/>
      </c>
      <c r="BE182">
        <f>IF(AND($C37=1,INDEX(Setup!$O$6:$AL$23,7,18)&lt;&gt;"",Q37=0),18+IF(INDEX(Setup!$O$6:$AL$23,7,18)="T",100,0),"")</f>
        <v/>
      </c>
      <c r="BF182">
        <f>IF(AND($C38=1,INDEX(Setup!$O$6:$AL$23,7,19)&lt;&gt;"",Q38=0),19+IF(INDEX(Setup!$O$6:$AL$23,7,19)="T",100,0),"")</f>
        <v/>
      </c>
      <c r="BG182">
        <f>IF(AND($C39=1,INDEX(Setup!$O$6:$AL$23,7,20)&lt;&gt;"",Q39=0),20+IF(INDEX(Setup!$O$6:$AL$23,7,20)="T",100,0),"")</f>
        <v/>
      </c>
      <c r="BH182">
        <f>IF(AND($C40=1,INDEX(Setup!$O$6:$AL$23,7,21)&lt;&gt;"",Q40=0),21+IF(INDEX(Setup!$O$6:$AL$23,7,21)="T",100,0),"")</f>
        <v/>
      </c>
      <c r="BI182">
        <f>IF(AND($C41=1,INDEX(Setup!$O$6:$AL$23,7,22)&lt;&gt;"",Q41=0),22+IF(INDEX(Setup!$O$6:$AL$23,7,22)="T",100,0),"")</f>
        <v/>
      </c>
      <c r="BJ182">
        <f>IF(AND($C42=1,INDEX(Setup!$O$6:$AL$23,7,23)&lt;&gt;"",Q42=0),23+IF(INDEX(Setup!$O$6:$AL$23,7,23)="T",100,0),"")</f>
        <v/>
      </c>
      <c r="BK182">
        <f>IF(AND($C43=1,INDEX(Setup!$O$6:$AL$23,7,24)&lt;&gt;"",Q43=0),24+IF(INDEX(Setup!$O$6:$AL$23,7,24)="T",100,0),"")</f>
        <v/>
      </c>
      <c r="BM182">
        <f>IF(AND(AN182&lt;&gt;"",COUNTIF($Y$53:$Y$53,$B20)+COUNTIF($Y$53:$Y$53,$B20&amp;" ~*")=0),($R20+COUNTIF($H$176:$H181,$B20)+COUNTIF($H$176:$H181,$B20&amp;" ~*"))*1000+IF(AN182&gt;100,500,0)+1,"")</f>
        <v/>
      </c>
      <c r="BN182">
        <f>IF(AND(AO182&lt;&gt;"",COUNTIF($Y$53:$Y$53,$B21)+COUNTIF($Y$53:$Y$53,$B21&amp;" ~*")=0),($R21+COUNTIF($H$176:$H181,$B21)+COUNTIF($H$176:$H181,$B21&amp;" ~*"))*1000+IF(AO182&gt;100,500,0)+2,"")</f>
        <v/>
      </c>
      <c r="BO182">
        <f>IF(AND(AP182&lt;&gt;"",COUNTIF($Y$53:$Y$53,$B22)+COUNTIF($Y$53:$Y$53,$B22&amp;" ~*")=0),($R22+COUNTIF($H$176:$H181,$B22)+COUNTIF($H$176:$H181,$B22&amp;" ~*"))*1000+IF(AP182&gt;100,500,0)+3,"")</f>
        <v/>
      </c>
      <c r="BP182">
        <f>IF(AND(AQ182&lt;&gt;"",COUNTIF($Y$53:$Y$53,$B23)+COUNTIF($Y$53:$Y$53,$B23&amp;" ~*")=0),($R23+COUNTIF($H$176:$H181,$B23)+COUNTIF($H$176:$H181,$B23&amp;" ~*"))*1000+IF(AQ182&gt;100,500,0)+4,"")</f>
        <v/>
      </c>
      <c r="BQ182">
        <f>IF(AND(AR182&lt;&gt;"",COUNTIF($Y$53:$Y$53,$B24)+COUNTIF($Y$53:$Y$53,$B24&amp;" ~*")=0),($R24+COUNTIF($H$176:$H181,$B24)+COUNTIF($H$176:$H181,$B24&amp;" ~*"))*1000+IF(AR182&gt;100,500,0)+5,"")</f>
        <v/>
      </c>
      <c r="BR182">
        <f>IF(AND(AS182&lt;&gt;"",COUNTIF($Y$53:$Y$53,$B25)+COUNTIF($Y$53:$Y$53,$B25&amp;" ~*")=0),($R25+COUNTIF($H$176:$H181,$B25)+COUNTIF($H$176:$H181,$B25&amp;" ~*"))*1000+IF(AS182&gt;100,500,0)+6,"")</f>
        <v/>
      </c>
      <c r="BS182">
        <f>IF(AND(AT182&lt;&gt;"",COUNTIF($Y$53:$Y$53,$B26)+COUNTIF($Y$53:$Y$53,$B26&amp;" ~*")=0),($R26+COUNTIF($H$176:$H181,$B26)+COUNTIF($H$176:$H181,$B26&amp;" ~*"))*1000+IF(AT182&gt;100,500,0)+7,"")</f>
        <v/>
      </c>
      <c r="BT182">
        <f>IF(AND(AU182&lt;&gt;"",COUNTIF($Y$53:$Y$53,$B27)+COUNTIF($Y$53:$Y$53,$B27&amp;" ~*")=0),($R27+COUNTIF($H$176:$H181,$B27)+COUNTIF($H$176:$H181,$B27&amp;" ~*"))*1000+IF(AU182&gt;100,500,0)+8,"")</f>
        <v/>
      </c>
      <c r="BU182">
        <f>IF(AND(AV182&lt;&gt;"",COUNTIF($Y$53:$Y$53,$B28)+COUNTIF($Y$53:$Y$53,$B28&amp;" ~*")=0),($R28+COUNTIF($H$176:$H181,$B28)+COUNTIF($H$176:$H181,$B28&amp;" ~*"))*1000+IF(AV182&gt;100,500,0)+9,"")</f>
        <v/>
      </c>
      <c r="BV182">
        <f>IF(AND(AW182&lt;&gt;"",COUNTIF($Y$53:$Y$53,$B29)+COUNTIF($Y$53:$Y$53,$B29&amp;" ~*")=0),($R29+COUNTIF($H$176:$H181,$B29)+COUNTIF($H$176:$H181,$B29&amp;" ~*"))*1000+IF(AW182&gt;100,500,0)+10,"")</f>
        <v/>
      </c>
      <c r="BW182">
        <f>IF(AND(AX182&lt;&gt;"",COUNTIF($Y$53:$Y$53,$B30)+COUNTIF($Y$53:$Y$53,$B30&amp;" ~*")=0),($R30+COUNTIF($H$176:$H181,$B30)+COUNTIF($H$176:$H181,$B30&amp;" ~*"))*1000+IF(AX182&gt;100,500,0)+11,"")</f>
        <v/>
      </c>
      <c r="BX182">
        <f>IF(AND(AY182&lt;&gt;"",COUNTIF($Y$53:$Y$53,$B31)+COUNTIF($Y$53:$Y$53,$B31&amp;" ~*")=0),($R31+COUNTIF($H$176:$H181,$B31)+COUNTIF($H$176:$H181,$B31&amp;" ~*"))*1000+IF(AY182&gt;100,500,0)+12,"")</f>
        <v/>
      </c>
      <c r="BY182">
        <f>IF(AND(AZ182&lt;&gt;"",COUNTIF($Y$53:$Y$53,$B32)+COUNTIF($Y$53:$Y$53,$B32&amp;" ~*")=0),($R32+COUNTIF($H$176:$H181,$B32)+COUNTIF($H$176:$H181,$B32&amp;" ~*"))*1000+IF(AZ182&gt;100,500,0)+13,"")</f>
        <v/>
      </c>
      <c r="BZ182">
        <f>IF(AND(BA182&lt;&gt;"",COUNTIF($Y$53:$Y$53,$B33)+COUNTIF($Y$53:$Y$53,$B33&amp;" ~*")=0),($R33+COUNTIF($H$176:$H181,$B33)+COUNTIF($H$176:$H181,$B33&amp;" ~*"))*1000+IF(BA182&gt;100,500,0)+14,"")</f>
        <v/>
      </c>
      <c r="CA182">
        <f>IF(AND(BB182&lt;&gt;"",COUNTIF($Y$53:$Y$53,$B34)+COUNTIF($Y$53:$Y$53,$B34&amp;" ~*")=0),($R34+COUNTIF($H$176:$H181,$B34)+COUNTIF($H$176:$H181,$B34&amp;" ~*"))*1000+IF(BB182&gt;100,500,0)+15,"")</f>
        <v/>
      </c>
      <c r="CB182">
        <f>IF(AND(BC182&lt;&gt;"",COUNTIF($Y$53:$Y$53,$B35)+COUNTIF($Y$53:$Y$53,$B35&amp;" ~*")=0),($R35+COUNTIF($H$176:$H181,$B35)+COUNTIF($H$176:$H181,$B35&amp;" ~*"))*1000+IF(BC182&gt;100,500,0)+16,"")</f>
        <v/>
      </c>
      <c r="CC182">
        <f>IF(AND(BD182&lt;&gt;"",COUNTIF($Y$53:$Y$53,$B36)+COUNTIF($Y$53:$Y$53,$B36&amp;" ~*")=0),($R36+COUNTIF($H$176:$H181,$B36)+COUNTIF($H$176:$H181,$B36&amp;" ~*"))*1000+IF(BD182&gt;100,500,0)+17,"")</f>
        <v/>
      </c>
      <c r="CD182">
        <f>IF(AND(BE182&lt;&gt;"",COUNTIF($Y$53:$Y$53,$B37)+COUNTIF($Y$53:$Y$53,$B37&amp;" ~*")=0),($R37+COUNTIF($H$176:$H181,$B37)+COUNTIF($H$176:$H181,$B37&amp;" ~*"))*1000+IF(BE182&gt;100,500,0)+18,"")</f>
        <v/>
      </c>
      <c r="CE182">
        <f>IF(AND(BF182&lt;&gt;"",COUNTIF($Y$53:$Y$53,$B38)+COUNTIF($Y$53:$Y$53,$B38&amp;" ~*")=0),($R38+COUNTIF($H$176:$H181,$B38)+COUNTIF($H$176:$H181,$B38&amp;" ~*"))*1000+IF(BF182&gt;100,500,0)+19,"")</f>
        <v/>
      </c>
      <c r="CF182">
        <f>IF(AND(BG182&lt;&gt;"",COUNTIF($Y$53:$Y$53,$B39)+COUNTIF($Y$53:$Y$53,$B39&amp;" ~*")=0),($R39+COUNTIF($H$176:$H181,$B39)+COUNTIF($H$176:$H181,$B39&amp;" ~*"))*1000+IF(BG182&gt;100,500,0)+20,"")</f>
        <v/>
      </c>
      <c r="CG182">
        <f>IF(AND(BH182&lt;&gt;"",COUNTIF($Y$53:$Y$53,$B40)+COUNTIF($Y$53:$Y$53,$B40&amp;" ~*")=0),($R40+COUNTIF($H$176:$H181,$B40)+COUNTIF($H$176:$H181,$B40&amp;" ~*"))*1000+IF(BH182&gt;100,500,0)+21,"")</f>
        <v/>
      </c>
      <c r="CH182">
        <f>IF(AND(BI182&lt;&gt;"",COUNTIF($Y$53:$Y$53,$B41)+COUNTIF($Y$53:$Y$53,$B41&amp;" ~*")=0),($R41+COUNTIF($H$176:$H181,$B41)+COUNTIF($H$176:$H181,$B41&amp;" ~*"))*1000+IF(BI182&gt;100,500,0)+22,"")</f>
        <v/>
      </c>
      <c r="CI182">
        <f>IF(AND(BJ182&lt;&gt;"",COUNTIF($Y$53:$Y$53,$B42)+COUNTIF($Y$53:$Y$53,$B42&amp;" ~*")=0),($R42+COUNTIF($H$176:$H181,$B42)+COUNTIF($H$176:$H181,$B42&amp;" ~*"))*1000+IF(BJ182&gt;100,500,0)+23,"")</f>
        <v/>
      </c>
      <c r="CJ182">
        <f>IF(AND(BK182&lt;&gt;"",COUNTIF($Y$53:$Y$53,$B43)+COUNTIF($Y$53:$Y$53,$B43&amp;" ~*")=0),($R43+COUNTIF($H$176:$H181,$B43)+COUNTIF($H$176:$H181,$B43&amp;" ~*"))*1000+IF(BK182&gt;100,500,0)+24,"")</f>
        <v/>
      </c>
    </row>
    <row r="183">
      <c r="A183" t="n">
        <v>7</v>
      </c>
      <c r="B183" t="n">
        <v>8</v>
      </c>
      <c r="C183">
        <f>$B$54</f>
        <v/>
      </c>
      <c r="D183" t="inlineStr">
        <is>
          <t>Sun</t>
        </is>
      </c>
      <c r="E183">
        <f>IF(C183="","",N($AC$54))</f>
        <v/>
      </c>
      <c r="F183">
        <f>IF(C183="","",COUNTIF($Y$54:$Y$54,"?*"))</f>
        <v/>
      </c>
      <c r="G183">
        <f>IF(C183="","",MAX(0,E183-F183))</f>
        <v/>
      </c>
      <c r="H183">
        <f>IF(N(G183)=0,"",IF(COUNT(BM183:CJ183)=0,"no-one eligible",INDEX(Engine!$B$20:$B$43,MOD(MIN(BM183:CJ183),500))&amp;IF(MOD(MIN(BM183:CJ183),1000)&gt;=500," *","")))</f>
        <v/>
      </c>
      <c r="I183">
        <f>IF(N(G183)&gt;0,COUNTIF($G$68:G183,"&gt;0"),"")</f>
        <v/>
      </c>
      <c r="J183">
        <f>IF(C183="","",IF($Y$54="",0,IF(IFERROR(INDEX(Setup!$O$6:$AL$23,8,MATCH(SUBSTITUTE($Y$54," *",""),Setup!$B$6:$B$29,0)),"")="",1,0)))</f>
        <v/>
      </c>
      <c r="K183">
        <f>IF($B$12+6=TODAY(),1,0)</f>
        <v/>
      </c>
      <c r="N183">
        <f>COUNT($AN183:$BK183)</f>
        <v/>
      </c>
      <c r="O183">
        <f>IF(1&gt;$N183,"",INDEX(Engine!$B$20:$B$43,MOD(SMALL($AN183:$BK183,1),100))&amp;IF(SMALL($AN183:$BK183,1)&gt;100," *",""))</f>
        <v/>
      </c>
      <c r="P183">
        <f>IF(2&gt;$N183,"",INDEX(Engine!$B$20:$B$43,MOD(SMALL($AN183:$BK183,2),100))&amp;IF(SMALL($AN183:$BK183,2)&gt;100," *",""))</f>
        <v/>
      </c>
      <c r="Q183">
        <f>IF(3&gt;$N183,"",INDEX(Engine!$B$20:$B$43,MOD(SMALL($AN183:$BK183,3),100))&amp;IF(SMALL($AN183:$BK183,3)&gt;100," *",""))</f>
        <v/>
      </c>
      <c r="R183">
        <f>IF(4&gt;$N183,"",INDEX(Engine!$B$20:$B$43,MOD(SMALL($AN183:$BK183,4),100))&amp;IF(SMALL($AN183:$BK183,4)&gt;100," *",""))</f>
        <v/>
      </c>
      <c r="S183">
        <f>IF(5&gt;$N183,"",INDEX(Engine!$B$20:$B$43,MOD(SMALL($AN183:$BK183,5),100))&amp;IF(SMALL($AN183:$BK183,5)&gt;100," *",""))</f>
        <v/>
      </c>
      <c r="T183">
        <f>IF(6&gt;$N183,"",INDEX(Engine!$B$20:$B$43,MOD(SMALL($AN183:$BK183,6),100))&amp;IF(SMALL($AN183:$BK183,6)&gt;100," *",""))</f>
        <v/>
      </c>
      <c r="U183">
        <f>IF(7&gt;$N183,"",INDEX(Engine!$B$20:$B$43,MOD(SMALL($AN183:$BK183,7),100))&amp;IF(SMALL($AN183:$BK183,7)&gt;100," *",""))</f>
        <v/>
      </c>
      <c r="V183">
        <f>IF(8&gt;$N183,"",INDEX(Engine!$B$20:$B$43,MOD(SMALL($AN183:$BK183,8),100))&amp;IF(SMALL($AN183:$BK183,8)&gt;100," *",""))</f>
        <v/>
      </c>
      <c r="W183">
        <f>IF(9&gt;$N183,"",INDEX(Engine!$B$20:$B$43,MOD(SMALL($AN183:$BK183,9),100))&amp;IF(SMALL($AN183:$BK183,9)&gt;100," *",""))</f>
        <v/>
      </c>
      <c r="X183">
        <f>IF(10&gt;$N183,"",INDEX(Engine!$B$20:$B$43,MOD(SMALL($AN183:$BK183,10),100))&amp;IF(SMALL($AN183:$BK183,10)&gt;100," *",""))</f>
        <v/>
      </c>
      <c r="Y183">
        <f>IF(11&gt;$N183,"",INDEX(Engine!$B$20:$B$43,MOD(SMALL($AN183:$BK183,11),100))&amp;IF(SMALL($AN183:$BK183,11)&gt;100," *",""))</f>
        <v/>
      </c>
      <c r="Z183">
        <f>IF(12&gt;$N183,"",INDEX(Engine!$B$20:$B$43,MOD(SMALL($AN183:$BK183,12),100))&amp;IF(SMALL($AN183:$BK183,12)&gt;100," *",""))</f>
        <v/>
      </c>
      <c r="AA183">
        <f>IF(13&gt;$N183,"",INDEX(Engine!$B$20:$B$43,MOD(SMALL($AN183:$BK183,13),100))&amp;IF(SMALL($AN183:$BK183,13)&gt;100," *",""))</f>
        <v/>
      </c>
      <c r="AB183">
        <f>IF(14&gt;$N183,"",INDEX(Engine!$B$20:$B$43,MOD(SMALL($AN183:$BK183,14),100))&amp;IF(SMALL($AN183:$BK183,14)&gt;100," *",""))</f>
        <v/>
      </c>
      <c r="AC183">
        <f>IF(15&gt;$N183,"",INDEX(Engine!$B$20:$B$43,MOD(SMALL($AN183:$BK183,15),100))&amp;IF(SMALL($AN183:$BK183,15)&gt;100," *",""))</f>
        <v/>
      </c>
      <c r="AD183">
        <f>IF(16&gt;$N183,"",INDEX(Engine!$B$20:$B$43,MOD(SMALL($AN183:$BK183,16),100))&amp;IF(SMALL($AN183:$BK183,16)&gt;100," *",""))</f>
        <v/>
      </c>
      <c r="AE183">
        <f>IF(17&gt;$N183,"",INDEX(Engine!$B$20:$B$43,MOD(SMALL($AN183:$BK183,17),100))&amp;IF(SMALL($AN183:$BK183,17)&gt;100," *",""))</f>
        <v/>
      </c>
      <c r="AF183">
        <f>IF(18&gt;$N183,"",INDEX(Engine!$B$20:$B$43,MOD(SMALL($AN183:$BK183,18),100))&amp;IF(SMALL($AN183:$BK183,18)&gt;100," *",""))</f>
        <v/>
      </c>
      <c r="AG183">
        <f>IF(19&gt;$N183,"",INDEX(Engine!$B$20:$B$43,MOD(SMALL($AN183:$BK183,19),100))&amp;IF(SMALL($AN183:$BK183,19)&gt;100," *",""))</f>
        <v/>
      </c>
      <c r="AH183">
        <f>IF(20&gt;$N183,"",INDEX(Engine!$B$20:$B$43,MOD(SMALL($AN183:$BK183,20),100))&amp;IF(SMALL($AN183:$BK183,20)&gt;100," *",""))</f>
        <v/>
      </c>
      <c r="AI183">
        <f>IF(21&gt;$N183,"",INDEX(Engine!$B$20:$B$43,MOD(SMALL($AN183:$BK183,21),100))&amp;IF(SMALL($AN183:$BK183,21)&gt;100," *",""))</f>
        <v/>
      </c>
      <c r="AJ183">
        <f>IF(22&gt;$N183,"",INDEX(Engine!$B$20:$B$43,MOD(SMALL($AN183:$BK183,22),100))&amp;IF(SMALL($AN183:$BK183,22)&gt;100," *",""))</f>
        <v/>
      </c>
      <c r="AK183">
        <f>IF(23&gt;$N183,"",INDEX(Engine!$B$20:$B$43,MOD(SMALL($AN183:$BK183,23),100))&amp;IF(SMALL($AN183:$BK183,23)&gt;100," *",""))</f>
        <v/>
      </c>
      <c r="AL183">
        <f>IF(24&gt;$N183,"",INDEX(Engine!$B$20:$B$43,MOD(SMALL($AN183:$BK183,24),100))&amp;IF(SMALL($AN183:$BK183,24)&gt;100," *",""))</f>
        <v/>
      </c>
      <c r="AN183">
        <f>IF(AND($C20=1,INDEX(Setup!$O$6:$AL$23,8,1)&lt;&gt;"",Q20=0),1+IF(INDEX(Setup!$O$6:$AL$23,8,1)="T",100,0),"")</f>
        <v/>
      </c>
      <c r="AO183">
        <f>IF(AND($C21=1,INDEX(Setup!$O$6:$AL$23,8,2)&lt;&gt;"",Q21=0),2+IF(INDEX(Setup!$O$6:$AL$23,8,2)="T",100,0),"")</f>
        <v/>
      </c>
      <c r="AP183">
        <f>IF(AND($C22=1,INDEX(Setup!$O$6:$AL$23,8,3)&lt;&gt;"",Q22=0),3+IF(INDEX(Setup!$O$6:$AL$23,8,3)="T",100,0),"")</f>
        <v/>
      </c>
      <c r="AQ183">
        <f>IF(AND($C23=1,INDEX(Setup!$O$6:$AL$23,8,4)&lt;&gt;"",Q23=0),4+IF(INDEX(Setup!$O$6:$AL$23,8,4)="T",100,0),"")</f>
        <v/>
      </c>
      <c r="AR183">
        <f>IF(AND($C24=1,INDEX(Setup!$O$6:$AL$23,8,5)&lt;&gt;"",Q24=0),5+IF(INDEX(Setup!$O$6:$AL$23,8,5)="T",100,0),"")</f>
        <v/>
      </c>
      <c r="AS183">
        <f>IF(AND($C25=1,INDEX(Setup!$O$6:$AL$23,8,6)&lt;&gt;"",Q25=0),6+IF(INDEX(Setup!$O$6:$AL$23,8,6)="T",100,0),"")</f>
        <v/>
      </c>
      <c r="AT183">
        <f>IF(AND($C26=1,INDEX(Setup!$O$6:$AL$23,8,7)&lt;&gt;"",Q26=0),7+IF(INDEX(Setup!$O$6:$AL$23,8,7)="T",100,0),"")</f>
        <v/>
      </c>
      <c r="AU183">
        <f>IF(AND($C27=1,INDEX(Setup!$O$6:$AL$23,8,8)&lt;&gt;"",Q27=0),8+IF(INDEX(Setup!$O$6:$AL$23,8,8)="T",100,0),"")</f>
        <v/>
      </c>
      <c r="AV183">
        <f>IF(AND($C28=1,INDEX(Setup!$O$6:$AL$23,8,9)&lt;&gt;"",Q28=0),9+IF(INDEX(Setup!$O$6:$AL$23,8,9)="T",100,0),"")</f>
        <v/>
      </c>
      <c r="AW183">
        <f>IF(AND($C29=1,INDEX(Setup!$O$6:$AL$23,8,10)&lt;&gt;"",Q29=0),10+IF(INDEX(Setup!$O$6:$AL$23,8,10)="T",100,0),"")</f>
        <v/>
      </c>
      <c r="AX183">
        <f>IF(AND($C30=1,INDEX(Setup!$O$6:$AL$23,8,11)&lt;&gt;"",Q30=0),11+IF(INDEX(Setup!$O$6:$AL$23,8,11)="T",100,0),"")</f>
        <v/>
      </c>
      <c r="AY183">
        <f>IF(AND($C31=1,INDEX(Setup!$O$6:$AL$23,8,12)&lt;&gt;"",Q31=0),12+IF(INDEX(Setup!$O$6:$AL$23,8,12)="T",100,0),"")</f>
        <v/>
      </c>
      <c r="AZ183">
        <f>IF(AND($C32=1,INDEX(Setup!$O$6:$AL$23,8,13)&lt;&gt;"",Q32=0),13+IF(INDEX(Setup!$O$6:$AL$23,8,13)="T",100,0),"")</f>
        <v/>
      </c>
      <c r="BA183">
        <f>IF(AND($C33=1,INDEX(Setup!$O$6:$AL$23,8,14)&lt;&gt;"",Q33=0),14+IF(INDEX(Setup!$O$6:$AL$23,8,14)="T",100,0),"")</f>
        <v/>
      </c>
      <c r="BB183">
        <f>IF(AND($C34=1,INDEX(Setup!$O$6:$AL$23,8,15)&lt;&gt;"",Q34=0),15+IF(INDEX(Setup!$O$6:$AL$23,8,15)="T",100,0),"")</f>
        <v/>
      </c>
      <c r="BC183">
        <f>IF(AND($C35=1,INDEX(Setup!$O$6:$AL$23,8,16)&lt;&gt;"",Q35=0),16+IF(INDEX(Setup!$O$6:$AL$23,8,16)="T",100,0),"")</f>
        <v/>
      </c>
      <c r="BD183">
        <f>IF(AND($C36=1,INDEX(Setup!$O$6:$AL$23,8,17)&lt;&gt;"",Q36=0),17+IF(INDEX(Setup!$O$6:$AL$23,8,17)="T",100,0),"")</f>
        <v/>
      </c>
      <c r="BE183">
        <f>IF(AND($C37=1,INDEX(Setup!$O$6:$AL$23,8,18)&lt;&gt;"",Q37=0),18+IF(INDEX(Setup!$O$6:$AL$23,8,18)="T",100,0),"")</f>
        <v/>
      </c>
      <c r="BF183">
        <f>IF(AND($C38=1,INDEX(Setup!$O$6:$AL$23,8,19)&lt;&gt;"",Q38=0),19+IF(INDEX(Setup!$O$6:$AL$23,8,19)="T",100,0),"")</f>
        <v/>
      </c>
      <c r="BG183">
        <f>IF(AND($C39=1,INDEX(Setup!$O$6:$AL$23,8,20)&lt;&gt;"",Q39=0),20+IF(INDEX(Setup!$O$6:$AL$23,8,20)="T",100,0),"")</f>
        <v/>
      </c>
      <c r="BH183">
        <f>IF(AND($C40=1,INDEX(Setup!$O$6:$AL$23,8,21)&lt;&gt;"",Q40=0),21+IF(INDEX(Setup!$O$6:$AL$23,8,21)="T",100,0),"")</f>
        <v/>
      </c>
      <c r="BI183">
        <f>IF(AND($C41=1,INDEX(Setup!$O$6:$AL$23,8,22)&lt;&gt;"",Q41=0),22+IF(INDEX(Setup!$O$6:$AL$23,8,22)="T",100,0),"")</f>
        <v/>
      </c>
      <c r="BJ183">
        <f>IF(AND($C42=1,INDEX(Setup!$O$6:$AL$23,8,23)&lt;&gt;"",Q42=0),23+IF(INDEX(Setup!$O$6:$AL$23,8,23)="T",100,0),"")</f>
        <v/>
      </c>
      <c r="BK183">
        <f>IF(AND($C43=1,INDEX(Setup!$O$6:$AL$23,8,24)&lt;&gt;"",Q43=0),24+IF(INDEX(Setup!$O$6:$AL$23,8,24)="T",100,0),"")</f>
        <v/>
      </c>
      <c r="BM183">
        <f>IF(AND(AN183&lt;&gt;"",COUNTIF($Y$54:$Y$54,$B20)+COUNTIF($Y$54:$Y$54,$B20&amp;" ~*")=0),($R20+COUNTIF($H$176:$H182,$B20)+COUNTIF($H$176:$H182,$B20&amp;" ~*"))*1000+IF(AN183&gt;100,500,0)+1,"")</f>
        <v/>
      </c>
      <c r="BN183">
        <f>IF(AND(AO183&lt;&gt;"",COUNTIF($Y$54:$Y$54,$B21)+COUNTIF($Y$54:$Y$54,$B21&amp;" ~*")=0),($R21+COUNTIF($H$176:$H182,$B21)+COUNTIF($H$176:$H182,$B21&amp;" ~*"))*1000+IF(AO183&gt;100,500,0)+2,"")</f>
        <v/>
      </c>
      <c r="BO183">
        <f>IF(AND(AP183&lt;&gt;"",COUNTIF($Y$54:$Y$54,$B22)+COUNTIF($Y$54:$Y$54,$B22&amp;" ~*")=0),($R22+COUNTIF($H$176:$H182,$B22)+COUNTIF($H$176:$H182,$B22&amp;" ~*"))*1000+IF(AP183&gt;100,500,0)+3,"")</f>
        <v/>
      </c>
      <c r="BP183">
        <f>IF(AND(AQ183&lt;&gt;"",COUNTIF($Y$54:$Y$54,$B23)+COUNTIF($Y$54:$Y$54,$B23&amp;" ~*")=0),($R23+COUNTIF($H$176:$H182,$B23)+COUNTIF($H$176:$H182,$B23&amp;" ~*"))*1000+IF(AQ183&gt;100,500,0)+4,"")</f>
        <v/>
      </c>
      <c r="BQ183">
        <f>IF(AND(AR183&lt;&gt;"",COUNTIF($Y$54:$Y$54,$B24)+COUNTIF($Y$54:$Y$54,$B24&amp;" ~*")=0),($R24+COUNTIF($H$176:$H182,$B24)+COUNTIF($H$176:$H182,$B24&amp;" ~*"))*1000+IF(AR183&gt;100,500,0)+5,"")</f>
        <v/>
      </c>
      <c r="BR183">
        <f>IF(AND(AS183&lt;&gt;"",COUNTIF($Y$54:$Y$54,$B25)+COUNTIF($Y$54:$Y$54,$B25&amp;" ~*")=0),($R25+COUNTIF($H$176:$H182,$B25)+COUNTIF($H$176:$H182,$B25&amp;" ~*"))*1000+IF(AS183&gt;100,500,0)+6,"")</f>
        <v/>
      </c>
      <c r="BS183">
        <f>IF(AND(AT183&lt;&gt;"",COUNTIF($Y$54:$Y$54,$B26)+COUNTIF($Y$54:$Y$54,$B26&amp;" ~*")=0),($R26+COUNTIF($H$176:$H182,$B26)+COUNTIF($H$176:$H182,$B26&amp;" ~*"))*1000+IF(AT183&gt;100,500,0)+7,"")</f>
        <v/>
      </c>
      <c r="BT183">
        <f>IF(AND(AU183&lt;&gt;"",COUNTIF($Y$54:$Y$54,$B27)+COUNTIF($Y$54:$Y$54,$B27&amp;" ~*")=0),($R27+COUNTIF($H$176:$H182,$B27)+COUNTIF($H$176:$H182,$B27&amp;" ~*"))*1000+IF(AU183&gt;100,500,0)+8,"")</f>
        <v/>
      </c>
      <c r="BU183">
        <f>IF(AND(AV183&lt;&gt;"",COUNTIF($Y$54:$Y$54,$B28)+COUNTIF($Y$54:$Y$54,$B28&amp;" ~*")=0),($R28+COUNTIF($H$176:$H182,$B28)+COUNTIF($H$176:$H182,$B28&amp;" ~*"))*1000+IF(AV183&gt;100,500,0)+9,"")</f>
        <v/>
      </c>
      <c r="BV183">
        <f>IF(AND(AW183&lt;&gt;"",COUNTIF($Y$54:$Y$54,$B29)+COUNTIF($Y$54:$Y$54,$B29&amp;" ~*")=0),($R29+COUNTIF($H$176:$H182,$B29)+COUNTIF($H$176:$H182,$B29&amp;" ~*"))*1000+IF(AW183&gt;100,500,0)+10,"")</f>
        <v/>
      </c>
      <c r="BW183">
        <f>IF(AND(AX183&lt;&gt;"",COUNTIF($Y$54:$Y$54,$B30)+COUNTIF($Y$54:$Y$54,$B30&amp;" ~*")=0),($R30+COUNTIF($H$176:$H182,$B30)+COUNTIF($H$176:$H182,$B30&amp;" ~*"))*1000+IF(AX183&gt;100,500,0)+11,"")</f>
        <v/>
      </c>
      <c r="BX183">
        <f>IF(AND(AY183&lt;&gt;"",COUNTIF($Y$54:$Y$54,$B31)+COUNTIF($Y$54:$Y$54,$B31&amp;" ~*")=0),($R31+COUNTIF($H$176:$H182,$B31)+COUNTIF($H$176:$H182,$B31&amp;" ~*"))*1000+IF(AY183&gt;100,500,0)+12,"")</f>
        <v/>
      </c>
      <c r="BY183">
        <f>IF(AND(AZ183&lt;&gt;"",COUNTIF($Y$54:$Y$54,$B32)+COUNTIF($Y$54:$Y$54,$B32&amp;" ~*")=0),($R32+COUNTIF($H$176:$H182,$B32)+COUNTIF($H$176:$H182,$B32&amp;" ~*"))*1000+IF(AZ183&gt;100,500,0)+13,"")</f>
        <v/>
      </c>
      <c r="BZ183">
        <f>IF(AND(BA183&lt;&gt;"",COUNTIF($Y$54:$Y$54,$B33)+COUNTIF($Y$54:$Y$54,$B33&amp;" ~*")=0),($R33+COUNTIF($H$176:$H182,$B33)+COUNTIF($H$176:$H182,$B33&amp;" ~*"))*1000+IF(BA183&gt;100,500,0)+14,"")</f>
        <v/>
      </c>
      <c r="CA183">
        <f>IF(AND(BB183&lt;&gt;"",COUNTIF($Y$54:$Y$54,$B34)+COUNTIF($Y$54:$Y$54,$B34&amp;" ~*")=0),($R34+COUNTIF($H$176:$H182,$B34)+COUNTIF($H$176:$H182,$B34&amp;" ~*"))*1000+IF(BB183&gt;100,500,0)+15,"")</f>
        <v/>
      </c>
      <c r="CB183">
        <f>IF(AND(BC183&lt;&gt;"",COUNTIF($Y$54:$Y$54,$B35)+COUNTIF($Y$54:$Y$54,$B35&amp;" ~*")=0),($R35+COUNTIF($H$176:$H182,$B35)+COUNTIF($H$176:$H182,$B35&amp;" ~*"))*1000+IF(BC183&gt;100,500,0)+16,"")</f>
        <v/>
      </c>
      <c r="CC183">
        <f>IF(AND(BD183&lt;&gt;"",COUNTIF($Y$54:$Y$54,$B36)+COUNTIF($Y$54:$Y$54,$B36&amp;" ~*")=0),($R36+COUNTIF($H$176:$H182,$B36)+COUNTIF($H$176:$H182,$B36&amp;" ~*"))*1000+IF(BD183&gt;100,500,0)+17,"")</f>
        <v/>
      </c>
      <c r="CD183">
        <f>IF(AND(BE183&lt;&gt;"",COUNTIF($Y$54:$Y$54,$B37)+COUNTIF($Y$54:$Y$54,$B37&amp;" ~*")=0),($R37+COUNTIF($H$176:$H182,$B37)+COUNTIF($H$176:$H182,$B37&amp;" ~*"))*1000+IF(BE183&gt;100,500,0)+18,"")</f>
        <v/>
      </c>
      <c r="CE183">
        <f>IF(AND(BF183&lt;&gt;"",COUNTIF($Y$54:$Y$54,$B38)+COUNTIF($Y$54:$Y$54,$B38&amp;" ~*")=0),($R38+COUNTIF($H$176:$H182,$B38)+COUNTIF($H$176:$H182,$B38&amp;" ~*"))*1000+IF(BF183&gt;100,500,0)+19,"")</f>
        <v/>
      </c>
      <c r="CF183">
        <f>IF(AND(BG183&lt;&gt;"",COUNTIF($Y$54:$Y$54,$B39)+COUNTIF($Y$54:$Y$54,$B39&amp;" ~*")=0),($R39+COUNTIF($H$176:$H182,$B39)+COUNTIF($H$176:$H182,$B39&amp;" ~*"))*1000+IF(BG183&gt;100,500,0)+20,"")</f>
        <v/>
      </c>
      <c r="CG183">
        <f>IF(AND(BH183&lt;&gt;"",COUNTIF($Y$54:$Y$54,$B40)+COUNTIF($Y$54:$Y$54,$B40&amp;" ~*")=0),($R40+COUNTIF($H$176:$H182,$B40)+COUNTIF($H$176:$H182,$B40&amp;" ~*"))*1000+IF(BH183&gt;100,500,0)+21,"")</f>
        <v/>
      </c>
      <c r="CH183">
        <f>IF(AND(BI183&lt;&gt;"",COUNTIF($Y$54:$Y$54,$B41)+COUNTIF($Y$54:$Y$54,$B41&amp;" ~*")=0),($R41+COUNTIF($H$176:$H182,$B41)+COUNTIF($H$176:$H182,$B41&amp;" ~*"))*1000+IF(BI183&gt;100,500,0)+22,"")</f>
        <v/>
      </c>
      <c r="CI183">
        <f>IF(AND(BJ183&lt;&gt;"",COUNTIF($Y$54:$Y$54,$B42)+COUNTIF($Y$54:$Y$54,$B42&amp;" ~*")=0),($R42+COUNTIF($H$176:$H182,$B42)+COUNTIF($H$176:$H182,$B42&amp;" ~*"))*1000+IF(BJ183&gt;100,500,0)+23,"")</f>
        <v/>
      </c>
      <c r="CJ183">
        <f>IF(AND(BK183&lt;&gt;"",COUNTIF($Y$54:$Y$54,$B43)+COUNTIF($Y$54:$Y$54,$B43&amp;" ~*")=0),($R43+COUNTIF($H$176:$H182,$B43)+COUNTIF($H$176:$H182,$B43&amp;" ~*"))*1000+IF(BK183&gt;100,500,0)+24,"")</f>
        <v/>
      </c>
    </row>
    <row r="184">
      <c r="A184" t="n">
        <v>7</v>
      </c>
      <c r="B184" t="n">
        <v>9</v>
      </c>
      <c r="C184">
        <f>$B$55</f>
        <v/>
      </c>
      <c r="D184" t="inlineStr">
        <is>
          <t>Sun</t>
        </is>
      </c>
      <c r="E184">
        <f>IF(C184="","",N($AC$55))</f>
        <v/>
      </c>
      <c r="F184">
        <f>IF(C184="","",COUNTIF($Y$55:$Y$55,"?*"))</f>
        <v/>
      </c>
      <c r="G184">
        <f>IF(C184="","",MAX(0,E184-F184))</f>
        <v/>
      </c>
      <c r="H184">
        <f>IF(N(G184)=0,"",IF(COUNT(BM184:CJ184)=0,"no-one eligible",INDEX(Engine!$B$20:$B$43,MOD(MIN(BM184:CJ184),500))&amp;IF(MOD(MIN(BM184:CJ184),1000)&gt;=500," *","")))</f>
        <v/>
      </c>
      <c r="I184">
        <f>IF(N(G184)&gt;0,COUNTIF($G$68:G184,"&gt;0"),"")</f>
        <v/>
      </c>
      <c r="J184">
        <f>IF(C184="","",IF($Y$55="",0,IF(IFERROR(INDEX(Setup!$O$6:$AL$23,9,MATCH(SUBSTITUTE($Y$55," *",""),Setup!$B$6:$B$29,0)),"")="",1,0)))</f>
        <v/>
      </c>
      <c r="K184">
        <f>IF($B$12+6=TODAY(),1,0)</f>
        <v/>
      </c>
      <c r="N184">
        <f>COUNT($AN184:$BK184)</f>
        <v/>
      </c>
      <c r="O184">
        <f>IF(1&gt;$N184,"",INDEX(Engine!$B$20:$B$43,MOD(SMALL($AN184:$BK184,1),100))&amp;IF(SMALL($AN184:$BK184,1)&gt;100," *",""))</f>
        <v/>
      </c>
      <c r="P184">
        <f>IF(2&gt;$N184,"",INDEX(Engine!$B$20:$B$43,MOD(SMALL($AN184:$BK184,2),100))&amp;IF(SMALL($AN184:$BK184,2)&gt;100," *",""))</f>
        <v/>
      </c>
      <c r="Q184">
        <f>IF(3&gt;$N184,"",INDEX(Engine!$B$20:$B$43,MOD(SMALL($AN184:$BK184,3),100))&amp;IF(SMALL($AN184:$BK184,3)&gt;100," *",""))</f>
        <v/>
      </c>
      <c r="R184">
        <f>IF(4&gt;$N184,"",INDEX(Engine!$B$20:$B$43,MOD(SMALL($AN184:$BK184,4),100))&amp;IF(SMALL($AN184:$BK184,4)&gt;100," *",""))</f>
        <v/>
      </c>
      <c r="S184">
        <f>IF(5&gt;$N184,"",INDEX(Engine!$B$20:$B$43,MOD(SMALL($AN184:$BK184,5),100))&amp;IF(SMALL($AN184:$BK184,5)&gt;100," *",""))</f>
        <v/>
      </c>
      <c r="T184">
        <f>IF(6&gt;$N184,"",INDEX(Engine!$B$20:$B$43,MOD(SMALL($AN184:$BK184,6),100))&amp;IF(SMALL($AN184:$BK184,6)&gt;100," *",""))</f>
        <v/>
      </c>
      <c r="U184">
        <f>IF(7&gt;$N184,"",INDEX(Engine!$B$20:$B$43,MOD(SMALL($AN184:$BK184,7),100))&amp;IF(SMALL($AN184:$BK184,7)&gt;100," *",""))</f>
        <v/>
      </c>
      <c r="V184">
        <f>IF(8&gt;$N184,"",INDEX(Engine!$B$20:$B$43,MOD(SMALL($AN184:$BK184,8),100))&amp;IF(SMALL($AN184:$BK184,8)&gt;100," *",""))</f>
        <v/>
      </c>
      <c r="W184">
        <f>IF(9&gt;$N184,"",INDEX(Engine!$B$20:$B$43,MOD(SMALL($AN184:$BK184,9),100))&amp;IF(SMALL($AN184:$BK184,9)&gt;100," *",""))</f>
        <v/>
      </c>
      <c r="X184">
        <f>IF(10&gt;$N184,"",INDEX(Engine!$B$20:$B$43,MOD(SMALL($AN184:$BK184,10),100))&amp;IF(SMALL($AN184:$BK184,10)&gt;100," *",""))</f>
        <v/>
      </c>
      <c r="Y184">
        <f>IF(11&gt;$N184,"",INDEX(Engine!$B$20:$B$43,MOD(SMALL($AN184:$BK184,11),100))&amp;IF(SMALL($AN184:$BK184,11)&gt;100," *",""))</f>
        <v/>
      </c>
      <c r="Z184">
        <f>IF(12&gt;$N184,"",INDEX(Engine!$B$20:$B$43,MOD(SMALL($AN184:$BK184,12),100))&amp;IF(SMALL($AN184:$BK184,12)&gt;100," *",""))</f>
        <v/>
      </c>
      <c r="AA184">
        <f>IF(13&gt;$N184,"",INDEX(Engine!$B$20:$B$43,MOD(SMALL($AN184:$BK184,13),100))&amp;IF(SMALL($AN184:$BK184,13)&gt;100," *",""))</f>
        <v/>
      </c>
      <c r="AB184">
        <f>IF(14&gt;$N184,"",INDEX(Engine!$B$20:$B$43,MOD(SMALL($AN184:$BK184,14),100))&amp;IF(SMALL($AN184:$BK184,14)&gt;100," *",""))</f>
        <v/>
      </c>
      <c r="AC184">
        <f>IF(15&gt;$N184,"",INDEX(Engine!$B$20:$B$43,MOD(SMALL($AN184:$BK184,15),100))&amp;IF(SMALL($AN184:$BK184,15)&gt;100," *",""))</f>
        <v/>
      </c>
      <c r="AD184">
        <f>IF(16&gt;$N184,"",INDEX(Engine!$B$20:$B$43,MOD(SMALL($AN184:$BK184,16),100))&amp;IF(SMALL($AN184:$BK184,16)&gt;100," *",""))</f>
        <v/>
      </c>
      <c r="AE184">
        <f>IF(17&gt;$N184,"",INDEX(Engine!$B$20:$B$43,MOD(SMALL($AN184:$BK184,17),100))&amp;IF(SMALL($AN184:$BK184,17)&gt;100," *",""))</f>
        <v/>
      </c>
      <c r="AF184">
        <f>IF(18&gt;$N184,"",INDEX(Engine!$B$20:$B$43,MOD(SMALL($AN184:$BK184,18),100))&amp;IF(SMALL($AN184:$BK184,18)&gt;100," *",""))</f>
        <v/>
      </c>
      <c r="AG184">
        <f>IF(19&gt;$N184,"",INDEX(Engine!$B$20:$B$43,MOD(SMALL($AN184:$BK184,19),100))&amp;IF(SMALL($AN184:$BK184,19)&gt;100," *",""))</f>
        <v/>
      </c>
      <c r="AH184">
        <f>IF(20&gt;$N184,"",INDEX(Engine!$B$20:$B$43,MOD(SMALL($AN184:$BK184,20),100))&amp;IF(SMALL($AN184:$BK184,20)&gt;100," *",""))</f>
        <v/>
      </c>
      <c r="AI184">
        <f>IF(21&gt;$N184,"",INDEX(Engine!$B$20:$B$43,MOD(SMALL($AN184:$BK184,21),100))&amp;IF(SMALL($AN184:$BK184,21)&gt;100," *",""))</f>
        <v/>
      </c>
      <c r="AJ184">
        <f>IF(22&gt;$N184,"",INDEX(Engine!$B$20:$B$43,MOD(SMALL($AN184:$BK184,22),100))&amp;IF(SMALL($AN184:$BK184,22)&gt;100," *",""))</f>
        <v/>
      </c>
      <c r="AK184">
        <f>IF(23&gt;$N184,"",INDEX(Engine!$B$20:$B$43,MOD(SMALL($AN184:$BK184,23),100))&amp;IF(SMALL($AN184:$BK184,23)&gt;100," *",""))</f>
        <v/>
      </c>
      <c r="AL184">
        <f>IF(24&gt;$N184,"",INDEX(Engine!$B$20:$B$43,MOD(SMALL($AN184:$BK184,24),100))&amp;IF(SMALL($AN184:$BK184,24)&gt;100," *",""))</f>
        <v/>
      </c>
      <c r="AN184">
        <f>IF(AND($C20=1,INDEX(Setup!$O$6:$AL$23,9,1)&lt;&gt;"",Q20=0),1+IF(INDEX(Setup!$O$6:$AL$23,9,1)="T",100,0),"")</f>
        <v/>
      </c>
      <c r="AO184">
        <f>IF(AND($C21=1,INDEX(Setup!$O$6:$AL$23,9,2)&lt;&gt;"",Q21=0),2+IF(INDEX(Setup!$O$6:$AL$23,9,2)="T",100,0),"")</f>
        <v/>
      </c>
      <c r="AP184">
        <f>IF(AND($C22=1,INDEX(Setup!$O$6:$AL$23,9,3)&lt;&gt;"",Q22=0),3+IF(INDEX(Setup!$O$6:$AL$23,9,3)="T",100,0),"")</f>
        <v/>
      </c>
      <c r="AQ184">
        <f>IF(AND($C23=1,INDEX(Setup!$O$6:$AL$23,9,4)&lt;&gt;"",Q23=0),4+IF(INDEX(Setup!$O$6:$AL$23,9,4)="T",100,0),"")</f>
        <v/>
      </c>
      <c r="AR184">
        <f>IF(AND($C24=1,INDEX(Setup!$O$6:$AL$23,9,5)&lt;&gt;"",Q24=0),5+IF(INDEX(Setup!$O$6:$AL$23,9,5)="T",100,0),"")</f>
        <v/>
      </c>
      <c r="AS184">
        <f>IF(AND($C25=1,INDEX(Setup!$O$6:$AL$23,9,6)&lt;&gt;"",Q25=0),6+IF(INDEX(Setup!$O$6:$AL$23,9,6)="T",100,0),"")</f>
        <v/>
      </c>
      <c r="AT184">
        <f>IF(AND($C26=1,INDEX(Setup!$O$6:$AL$23,9,7)&lt;&gt;"",Q26=0),7+IF(INDEX(Setup!$O$6:$AL$23,9,7)="T",100,0),"")</f>
        <v/>
      </c>
      <c r="AU184">
        <f>IF(AND($C27=1,INDEX(Setup!$O$6:$AL$23,9,8)&lt;&gt;"",Q27=0),8+IF(INDEX(Setup!$O$6:$AL$23,9,8)="T",100,0),"")</f>
        <v/>
      </c>
      <c r="AV184">
        <f>IF(AND($C28=1,INDEX(Setup!$O$6:$AL$23,9,9)&lt;&gt;"",Q28=0),9+IF(INDEX(Setup!$O$6:$AL$23,9,9)="T",100,0),"")</f>
        <v/>
      </c>
      <c r="AW184">
        <f>IF(AND($C29=1,INDEX(Setup!$O$6:$AL$23,9,10)&lt;&gt;"",Q29=0),10+IF(INDEX(Setup!$O$6:$AL$23,9,10)="T",100,0),"")</f>
        <v/>
      </c>
      <c r="AX184">
        <f>IF(AND($C30=1,INDEX(Setup!$O$6:$AL$23,9,11)&lt;&gt;"",Q30=0),11+IF(INDEX(Setup!$O$6:$AL$23,9,11)="T",100,0),"")</f>
        <v/>
      </c>
      <c r="AY184">
        <f>IF(AND($C31=1,INDEX(Setup!$O$6:$AL$23,9,12)&lt;&gt;"",Q31=0),12+IF(INDEX(Setup!$O$6:$AL$23,9,12)="T",100,0),"")</f>
        <v/>
      </c>
      <c r="AZ184">
        <f>IF(AND($C32=1,INDEX(Setup!$O$6:$AL$23,9,13)&lt;&gt;"",Q32=0),13+IF(INDEX(Setup!$O$6:$AL$23,9,13)="T",100,0),"")</f>
        <v/>
      </c>
      <c r="BA184">
        <f>IF(AND($C33=1,INDEX(Setup!$O$6:$AL$23,9,14)&lt;&gt;"",Q33=0),14+IF(INDEX(Setup!$O$6:$AL$23,9,14)="T",100,0),"")</f>
        <v/>
      </c>
      <c r="BB184">
        <f>IF(AND($C34=1,INDEX(Setup!$O$6:$AL$23,9,15)&lt;&gt;"",Q34=0),15+IF(INDEX(Setup!$O$6:$AL$23,9,15)="T",100,0),"")</f>
        <v/>
      </c>
      <c r="BC184">
        <f>IF(AND($C35=1,INDEX(Setup!$O$6:$AL$23,9,16)&lt;&gt;"",Q35=0),16+IF(INDEX(Setup!$O$6:$AL$23,9,16)="T",100,0),"")</f>
        <v/>
      </c>
      <c r="BD184">
        <f>IF(AND($C36=1,INDEX(Setup!$O$6:$AL$23,9,17)&lt;&gt;"",Q36=0),17+IF(INDEX(Setup!$O$6:$AL$23,9,17)="T",100,0),"")</f>
        <v/>
      </c>
      <c r="BE184">
        <f>IF(AND($C37=1,INDEX(Setup!$O$6:$AL$23,9,18)&lt;&gt;"",Q37=0),18+IF(INDEX(Setup!$O$6:$AL$23,9,18)="T",100,0),"")</f>
        <v/>
      </c>
      <c r="BF184">
        <f>IF(AND($C38=1,INDEX(Setup!$O$6:$AL$23,9,19)&lt;&gt;"",Q38=0),19+IF(INDEX(Setup!$O$6:$AL$23,9,19)="T",100,0),"")</f>
        <v/>
      </c>
      <c r="BG184">
        <f>IF(AND($C39=1,INDEX(Setup!$O$6:$AL$23,9,20)&lt;&gt;"",Q39=0),20+IF(INDEX(Setup!$O$6:$AL$23,9,20)="T",100,0),"")</f>
        <v/>
      </c>
      <c r="BH184">
        <f>IF(AND($C40=1,INDEX(Setup!$O$6:$AL$23,9,21)&lt;&gt;"",Q40=0),21+IF(INDEX(Setup!$O$6:$AL$23,9,21)="T",100,0),"")</f>
        <v/>
      </c>
      <c r="BI184">
        <f>IF(AND($C41=1,INDEX(Setup!$O$6:$AL$23,9,22)&lt;&gt;"",Q41=0),22+IF(INDEX(Setup!$O$6:$AL$23,9,22)="T",100,0),"")</f>
        <v/>
      </c>
      <c r="BJ184">
        <f>IF(AND($C42=1,INDEX(Setup!$O$6:$AL$23,9,23)&lt;&gt;"",Q42=0),23+IF(INDEX(Setup!$O$6:$AL$23,9,23)="T",100,0),"")</f>
        <v/>
      </c>
      <c r="BK184">
        <f>IF(AND($C43=1,INDEX(Setup!$O$6:$AL$23,9,24)&lt;&gt;"",Q43=0),24+IF(INDEX(Setup!$O$6:$AL$23,9,24)="T",100,0),"")</f>
        <v/>
      </c>
      <c r="BM184">
        <f>IF(AND(AN184&lt;&gt;"",COUNTIF($Y$55:$Y$55,$B20)+COUNTIF($Y$55:$Y$55,$B20&amp;" ~*")=0),($R20+COUNTIF($H$176:$H183,$B20)+COUNTIF($H$176:$H183,$B20&amp;" ~*"))*1000+IF(AN184&gt;100,500,0)+1,"")</f>
        <v/>
      </c>
      <c r="BN184">
        <f>IF(AND(AO184&lt;&gt;"",COUNTIF($Y$55:$Y$55,$B21)+COUNTIF($Y$55:$Y$55,$B21&amp;" ~*")=0),($R21+COUNTIF($H$176:$H183,$B21)+COUNTIF($H$176:$H183,$B21&amp;" ~*"))*1000+IF(AO184&gt;100,500,0)+2,"")</f>
        <v/>
      </c>
      <c r="BO184">
        <f>IF(AND(AP184&lt;&gt;"",COUNTIF($Y$55:$Y$55,$B22)+COUNTIF($Y$55:$Y$55,$B22&amp;" ~*")=0),($R22+COUNTIF($H$176:$H183,$B22)+COUNTIF($H$176:$H183,$B22&amp;" ~*"))*1000+IF(AP184&gt;100,500,0)+3,"")</f>
        <v/>
      </c>
      <c r="BP184">
        <f>IF(AND(AQ184&lt;&gt;"",COUNTIF($Y$55:$Y$55,$B23)+COUNTIF($Y$55:$Y$55,$B23&amp;" ~*")=0),($R23+COUNTIF($H$176:$H183,$B23)+COUNTIF($H$176:$H183,$B23&amp;" ~*"))*1000+IF(AQ184&gt;100,500,0)+4,"")</f>
        <v/>
      </c>
      <c r="BQ184">
        <f>IF(AND(AR184&lt;&gt;"",COUNTIF($Y$55:$Y$55,$B24)+COUNTIF($Y$55:$Y$55,$B24&amp;" ~*")=0),($R24+COUNTIF($H$176:$H183,$B24)+COUNTIF($H$176:$H183,$B24&amp;" ~*"))*1000+IF(AR184&gt;100,500,0)+5,"")</f>
        <v/>
      </c>
      <c r="BR184">
        <f>IF(AND(AS184&lt;&gt;"",COUNTIF($Y$55:$Y$55,$B25)+COUNTIF($Y$55:$Y$55,$B25&amp;" ~*")=0),($R25+COUNTIF($H$176:$H183,$B25)+COUNTIF($H$176:$H183,$B25&amp;" ~*"))*1000+IF(AS184&gt;100,500,0)+6,"")</f>
        <v/>
      </c>
      <c r="BS184">
        <f>IF(AND(AT184&lt;&gt;"",COUNTIF($Y$55:$Y$55,$B26)+COUNTIF($Y$55:$Y$55,$B26&amp;" ~*")=0),($R26+COUNTIF($H$176:$H183,$B26)+COUNTIF($H$176:$H183,$B26&amp;" ~*"))*1000+IF(AT184&gt;100,500,0)+7,"")</f>
        <v/>
      </c>
      <c r="BT184">
        <f>IF(AND(AU184&lt;&gt;"",COUNTIF($Y$55:$Y$55,$B27)+COUNTIF($Y$55:$Y$55,$B27&amp;" ~*")=0),($R27+COUNTIF($H$176:$H183,$B27)+COUNTIF($H$176:$H183,$B27&amp;" ~*"))*1000+IF(AU184&gt;100,500,0)+8,"")</f>
        <v/>
      </c>
      <c r="BU184">
        <f>IF(AND(AV184&lt;&gt;"",COUNTIF($Y$55:$Y$55,$B28)+COUNTIF($Y$55:$Y$55,$B28&amp;" ~*")=0),($R28+COUNTIF($H$176:$H183,$B28)+COUNTIF($H$176:$H183,$B28&amp;" ~*"))*1000+IF(AV184&gt;100,500,0)+9,"")</f>
        <v/>
      </c>
      <c r="BV184">
        <f>IF(AND(AW184&lt;&gt;"",COUNTIF($Y$55:$Y$55,$B29)+COUNTIF($Y$55:$Y$55,$B29&amp;" ~*")=0),($R29+COUNTIF($H$176:$H183,$B29)+COUNTIF($H$176:$H183,$B29&amp;" ~*"))*1000+IF(AW184&gt;100,500,0)+10,"")</f>
        <v/>
      </c>
      <c r="BW184">
        <f>IF(AND(AX184&lt;&gt;"",COUNTIF($Y$55:$Y$55,$B30)+COUNTIF($Y$55:$Y$55,$B30&amp;" ~*")=0),($R30+COUNTIF($H$176:$H183,$B30)+COUNTIF($H$176:$H183,$B30&amp;" ~*"))*1000+IF(AX184&gt;100,500,0)+11,"")</f>
        <v/>
      </c>
      <c r="BX184">
        <f>IF(AND(AY184&lt;&gt;"",COUNTIF($Y$55:$Y$55,$B31)+COUNTIF($Y$55:$Y$55,$B31&amp;" ~*")=0),($R31+COUNTIF($H$176:$H183,$B31)+COUNTIF($H$176:$H183,$B31&amp;" ~*"))*1000+IF(AY184&gt;100,500,0)+12,"")</f>
        <v/>
      </c>
      <c r="BY184">
        <f>IF(AND(AZ184&lt;&gt;"",COUNTIF($Y$55:$Y$55,$B32)+COUNTIF($Y$55:$Y$55,$B32&amp;" ~*")=0),($R32+COUNTIF($H$176:$H183,$B32)+COUNTIF($H$176:$H183,$B32&amp;" ~*"))*1000+IF(AZ184&gt;100,500,0)+13,"")</f>
        <v/>
      </c>
      <c r="BZ184">
        <f>IF(AND(BA184&lt;&gt;"",COUNTIF($Y$55:$Y$55,$B33)+COUNTIF($Y$55:$Y$55,$B33&amp;" ~*")=0),($R33+COUNTIF($H$176:$H183,$B33)+COUNTIF($H$176:$H183,$B33&amp;" ~*"))*1000+IF(BA184&gt;100,500,0)+14,"")</f>
        <v/>
      </c>
      <c r="CA184">
        <f>IF(AND(BB184&lt;&gt;"",COUNTIF($Y$55:$Y$55,$B34)+COUNTIF($Y$55:$Y$55,$B34&amp;" ~*")=0),($R34+COUNTIF($H$176:$H183,$B34)+COUNTIF($H$176:$H183,$B34&amp;" ~*"))*1000+IF(BB184&gt;100,500,0)+15,"")</f>
        <v/>
      </c>
      <c r="CB184">
        <f>IF(AND(BC184&lt;&gt;"",COUNTIF($Y$55:$Y$55,$B35)+COUNTIF($Y$55:$Y$55,$B35&amp;" ~*")=0),($R35+COUNTIF($H$176:$H183,$B35)+COUNTIF($H$176:$H183,$B35&amp;" ~*"))*1000+IF(BC184&gt;100,500,0)+16,"")</f>
        <v/>
      </c>
      <c r="CC184">
        <f>IF(AND(BD184&lt;&gt;"",COUNTIF($Y$55:$Y$55,$B36)+COUNTIF($Y$55:$Y$55,$B36&amp;" ~*")=0),($R36+COUNTIF($H$176:$H183,$B36)+COUNTIF($H$176:$H183,$B36&amp;" ~*"))*1000+IF(BD184&gt;100,500,0)+17,"")</f>
        <v/>
      </c>
      <c r="CD184">
        <f>IF(AND(BE184&lt;&gt;"",COUNTIF($Y$55:$Y$55,$B37)+COUNTIF($Y$55:$Y$55,$B37&amp;" ~*")=0),($R37+COUNTIF($H$176:$H183,$B37)+COUNTIF($H$176:$H183,$B37&amp;" ~*"))*1000+IF(BE184&gt;100,500,0)+18,"")</f>
        <v/>
      </c>
      <c r="CE184">
        <f>IF(AND(BF184&lt;&gt;"",COUNTIF($Y$55:$Y$55,$B38)+COUNTIF($Y$55:$Y$55,$B38&amp;" ~*")=0),($R38+COUNTIF($H$176:$H183,$B38)+COUNTIF($H$176:$H183,$B38&amp;" ~*"))*1000+IF(BF184&gt;100,500,0)+19,"")</f>
        <v/>
      </c>
      <c r="CF184">
        <f>IF(AND(BG184&lt;&gt;"",COUNTIF($Y$55:$Y$55,$B39)+COUNTIF($Y$55:$Y$55,$B39&amp;" ~*")=0),($R39+COUNTIF($H$176:$H183,$B39)+COUNTIF($H$176:$H183,$B39&amp;" ~*"))*1000+IF(BG184&gt;100,500,0)+20,"")</f>
        <v/>
      </c>
      <c r="CG184">
        <f>IF(AND(BH184&lt;&gt;"",COUNTIF($Y$55:$Y$55,$B40)+COUNTIF($Y$55:$Y$55,$B40&amp;" ~*")=0),($R40+COUNTIF($H$176:$H183,$B40)+COUNTIF($H$176:$H183,$B40&amp;" ~*"))*1000+IF(BH184&gt;100,500,0)+21,"")</f>
        <v/>
      </c>
      <c r="CH184">
        <f>IF(AND(BI184&lt;&gt;"",COUNTIF($Y$55:$Y$55,$B41)+COUNTIF($Y$55:$Y$55,$B41&amp;" ~*")=0),($R41+COUNTIF($H$176:$H183,$B41)+COUNTIF($H$176:$H183,$B41&amp;" ~*"))*1000+IF(BI184&gt;100,500,0)+22,"")</f>
        <v/>
      </c>
      <c r="CI184">
        <f>IF(AND(BJ184&lt;&gt;"",COUNTIF($Y$55:$Y$55,$B42)+COUNTIF($Y$55:$Y$55,$B42&amp;" ~*")=0),($R42+COUNTIF($H$176:$H183,$B42)+COUNTIF($H$176:$H183,$B42&amp;" ~*"))*1000+IF(BJ184&gt;100,500,0)+23,"")</f>
        <v/>
      </c>
      <c r="CJ184">
        <f>IF(AND(BK184&lt;&gt;"",COUNTIF($Y$55:$Y$55,$B43)+COUNTIF($Y$55:$Y$55,$B43&amp;" ~*")=0),($R43+COUNTIF($H$176:$H183,$B43)+COUNTIF($H$176:$H183,$B43&amp;" ~*"))*1000+IF(BK184&gt;100,500,0)+24,"")</f>
        <v/>
      </c>
    </row>
    <row r="185">
      <c r="A185" t="n">
        <v>7</v>
      </c>
      <c r="B185" t="n">
        <v>10</v>
      </c>
      <c r="C185">
        <f>$B$56</f>
        <v/>
      </c>
      <c r="D185" t="inlineStr">
        <is>
          <t>Sun</t>
        </is>
      </c>
      <c r="E185">
        <f>IF(C185="","",N($AC$56))</f>
        <v/>
      </c>
      <c r="F185">
        <f>IF(C185="","",COUNTIF($Y$56:$Y$56,"?*"))</f>
        <v/>
      </c>
      <c r="G185">
        <f>IF(C185="","",MAX(0,E185-F185))</f>
        <v/>
      </c>
      <c r="H185">
        <f>IF(N(G185)=0,"",IF(COUNT(BM185:CJ185)=0,"no-one eligible",INDEX(Engine!$B$20:$B$43,MOD(MIN(BM185:CJ185),500))&amp;IF(MOD(MIN(BM185:CJ185),1000)&gt;=500," *","")))</f>
        <v/>
      </c>
      <c r="I185">
        <f>IF(N(G185)&gt;0,COUNTIF($G$68:G185,"&gt;0"),"")</f>
        <v/>
      </c>
      <c r="J185">
        <f>IF(C185="","",IF($Y$56="",0,IF(IFERROR(INDEX(Setup!$O$6:$AL$23,10,MATCH(SUBSTITUTE($Y$56," *",""),Setup!$B$6:$B$29,0)),"")="",1,0)))</f>
        <v/>
      </c>
      <c r="K185">
        <f>IF($B$12+6=TODAY(),1,0)</f>
        <v/>
      </c>
      <c r="N185">
        <f>COUNT($AN185:$BK185)</f>
        <v/>
      </c>
      <c r="O185">
        <f>IF(1&gt;$N185,"",INDEX(Engine!$B$20:$B$43,MOD(SMALL($AN185:$BK185,1),100))&amp;IF(SMALL($AN185:$BK185,1)&gt;100," *",""))</f>
        <v/>
      </c>
      <c r="P185">
        <f>IF(2&gt;$N185,"",INDEX(Engine!$B$20:$B$43,MOD(SMALL($AN185:$BK185,2),100))&amp;IF(SMALL($AN185:$BK185,2)&gt;100," *",""))</f>
        <v/>
      </c>
      <c r="Q185">
        <f>IF(3&gt;$N185,"",INDEX(Engine!$B$20:$B$43,MOD(SMALL($AN185:$BK185,3),100))&amp;IF(SMALL($AN185:$BK185,3)&gt;100," *",""))</f>
        <v/>
      </c>
      <c r="R185">
        <f>IF(4&gt;$N185,"",INDEX(Engine!$B$20:$B$43,MOD(SMALL($AN185:$BK185,4),100))&amp;IF(SMALL($AN185:$BK185,4)&gt;100," *",""))</f>
        <v/>
      </c>
      <c r="S185">
        <f>IF(5&gt;$N185,"",INDEX(Engine!$B$20:$B$43,MOD(SMALL($AN185:$BK185,5),100))&amp;IF(SMALL($AN185:$BK185,5)&gt;100," *",""))</f>
        <v/>
      </c>
      <c r="T185">
        <f>IF(6&gt;$N185,"",INDEX(Engine!$B$20:$B$43,MOD(SMALL($AN185:$BK185,6),100))&amp;IF(SMALL($AN185:$BK185,6)&gt;100," *",""))</f>
        <v/>
      </c>
      <c r="U185">
        <f>IF(7&gt;$N185,"",INDEX(Engine!$B$20:$B$43,MOD(SMALL($AN185:$BK185,7),100))&amp;IF(SMALL($AN185:$BK185,7)&gt;100," *",""))</f>
        <v/>
      </c>
      <c r="V185">
        <f>IF(8&gt;$N185,"",INDEX(Engine!$B$20:$B$43,MOD(SMALL($AN185:$BK185,8),100))&amp;IF(SMALL($AN185:$BK185,8)&gt;100," *",""))</f>
        <v/>
      </c>
      <c r="W185">
        <f>IF(9&gt;$N185,"",INDEX(Engine!$B$20:$B$43,MOD(SMALL($AN185:$BK185,9),100))&amp;IF(SMALL($AN185:$BK185,9)&gt;100," *",""))</f>
        <v/>
      </c>
      <c r="X185">
        <f>IF(10&gt;$N185,"",INDEX(Engine!$B$20:$B$43,MOD(SMALL($AN185:$BK185,10),100))&amp;IF(SMALL($AN185:$BK185,10)&gt;100," *",""))</f>
        <v/>
      </c>
      <c r="Y185">
        <f>IF(11&gt;$N185,"",INDEX(Engine!$B$20:$B$43,MOD(SMALL($AN185:$BK185,11),100))&amp;IF(SMALL($AN185:$BK185,11)&gt;100," *",""))</f>
        <v/>
      </c>
      <c r="Z185">
        <f>IF(12&gt;$N185,"",INDEX(Engine!$B$20:$B$43,MOD(SMALL($AN185:$BK185,12),100))&amp;IF(SMALL($AN185:$BK185,12)&gt;100," *",""))</f>
        <v/>
      </c>
      <c r="AA185">
        <f>IF(13&gt;$N185,"",INDEX(Engine!$B$20:$B$43,MOD(SMALL($AN185:$BK185,13),100))&amp;IF(SMALL($AN185:$BK185,13)&gt;100," *",""))</f>
        <v/>
      </c>
      <c r="AB185">
        <f>IF(14&gt;$N185,"",INDEX(Engine!$B$20:$B$43,MOD(SMALL($AN185:$BK185,14),100))&amp;IF(SMALL($AN185:$BK185,14)&gt;100," *",""))</f>
        <v/>
      </c>
      <c r="AC185">
        <f>IF(15&gt;$N185,"",INDEX(Engine!$B$20:$B$43,MOD(SMALL($AN185:$BK185,15),100))&amp;IF(SMALL($AN185:$BK185,15)&gt;100," *",""))</f>
        <v/>
      </c>
      <c r="AD185">
        <f>IF(16&gt;$N185,"",INDEX(Engine!$B$20:$B$43,MOD(SMALL($AN185:$BK185,16),100))&amp;IF(SMALL($AN185:$BK185,16)&gt;100," *",""))</f>
        <v/>
      </c>
      <c r="AE185">
        <f>IF(17&gt;$N185,"",INDEX(Engine!$B$20:$B$43,MOD(SMALL($AN185:$BK185,17),100))&amp;IF(SMALL($AN185:$BK185,17)&gt;100," *",""))</f>
        <v/>
      </c>
      <c r="AF185">
        <f>IF(18&gt;$N185,"",INDEX(Engine!$B$20:$B$43,MOD(SMALL($AN185:$BK185,18),100))&amp;IF(SMALL($AN185:$BK185,18)&gt;100," *",""))</f>
        <v/>
      </c>
      <c r="AG185">
        <f>IF(19&gt;$N185,"",INDEX(Engine!$B$20:$B$43,MOD(SMALL($AN185:$BK185,19),100))&amp;IF(SMALL($AN185:$BK185,19)&gt;100," *",""))</f>
        <v/>
      </c>
      <c r="AH185">
        <f>IF(20&gt;$N185,"",INDEX(Engine!$B$20:$B$43,MOD(SMALL($AN185:$BK185,20),100))&amp;IF(SMALL($AN185:$BK185,20)&gt;100," *",""))</f>
        <v/>
      </c>
      <c r="AI185">
        <f>IF(21&gt;$N185,"",INDEX(Engine!$B$20:$B$43,MOD(SMALL($AN185:$BK185,21),100))&amp;IF(SMALL($AN185:$BK185,21)&gt;100," *",""))</f>
        <v/>
      </c>
      <c r="AJ185">
        <f>IF(22&gt;$N185,"",INDEX(Engine!$B$20:$B$43,MOD(SMALL($AN185:$BK185,22),100))&amp;IF(SMALL($AN185:$BK185,22)&gt;100," *",""))</f>
        <v/>
      </c>
      <c r="AK185">
        <f>IF(23&gt;$N185,"",INDEX(Engine!$B$20:$B$43,MOD(SMALL($AN185:$BK185,23),100))&amp;IF(SMALL($AN185:$BK185,23)&gt;100," *",""))</f>
        <v/>
      </c>
      <c r="AL185">
        <f>IF(24&gt;$N185,"",INDEX(Engine!$B$20:$B$43,MOD(SMALL($AN185:$BK185,24),100))&amp;IF(SMALL($AN185:$BK185,24)&gt;100," *",""))</f>
        <v/>
      </c>
      <c r="AN185">
        <f>IF(AND($C20=1,INDEX(Setup!$O$6:$AL$23,10,1)&lt;&gt;"",Q20=0),1+IF(INDEX(Setup!$O$6:$AL$23,10,1)="T",100,0),"")</f>
        <v/>
      </c>
      <c r="AO185">
        <f>IF(AND($C21=1,INDEX(Setup!$O$6:$AL$23,10,2)&lt;&gt;"",Q21=0),2+IF(INDEX(Setup!$O$6:$AL$23,10,2)="T",100,0),"")</f>
        <v/>
      </c>
      <c r="AP185">
        <f>IF(AND($C22=1,INDEX(Setup!$O$6:$AL$23,10,3)&lt;&gt;"",Q22=0),3+IF(INDEX(Setup!$O$6:$AL$23,10,3)="T",100,0),"")</f>
        <v/>
      </c>
      <c r="AQ185">
        <f>IF(AND($C23=1,INDEX(Setup!$O$6:$AL$23,10,4)&lt;&gt;"",Q23=0),4+IF(INDEX(Setup!$O$6:$AL$23,10,4)="T",100,0),"")</f>
        <v/>
      </c>
      <c r="AR185">
        <f>IF(AND($C24=1,INDEX(Setup!$O$6:$AL$23,10,5)&lt;&gt;"",Q24=0),5+IF(INDEX(Setup!$O$6:$AL$23,10,5)="T",100,0),"")</f>
        <v/>
      </c>
      <c r="AS185">
        <f>IF(AND($C25=1,INDEX(Setup!$O$6:$AL$23,10,6)&lt;&gt;"",Q25=0),6+IF(INDEX(Setup!$O$6:$AL$23,10,6)="T",100,0),"")</f>
        <v/>
      </c>
      <c r="AT185">
        <f>IF(AND($C26=1,INDEX(Setup!$O$6:$AL$23,10,7)&lt;&gt;"",Q26=0),7+IF(INDEX(Setup!$O$6:$AL$23,10,7)="T",100,0),"")</f>
        <v/>
      </c>
      <c r="AU185">
        <f>IF(AND($C27=1,INDEX(Setup!$O$6:$AL$23,10,8)&lt;&gt;"",Q27=0),8+IF(INDEX(Setup!$O$6:$AL$23,10,8)="T",100,0),"")</f>
        <v/>
      </c>
      <c r="AV185">
        <f>IF(AND($C28=1,INDEX(Setup!$O$6:$AL$23,10,9)&lt;&gt;"",Q28=0),9+IF(INDEX(Setup!$O$6:$AL$23,10,9)="T",100,0),"")</f>
        <v/>
      </c>
      <c r="AW185">
        <f>IF(AND($C29=1,INDEX(Setup!$O$6:$AL$23,10,10)&lt;&gt;"",Q29=0),10+IF(INDEX(Setup!$O$6:$AL$23,10,10)="T",100,0),"")</f>
        <v/>
      </c>
      <c r="AX185">
        <f>IF(AND($C30=1,INDEX(Setup!$O$6:$AL$23,10,11)&lt;&gt;"",Q30=0),11+IF(INDEX(Setup!$O$6:$AL$23,10,11)="T",100,0),"")</f>
        <v/>
      </c>
      <c r="AY185">
        <f>IF(AND($C31=1,INDEX(Setup!$O$6:$AL$23,10,12)&lt;&gt;"",Q31=0),12+IF(INDEX(Setup!$O$6:$AL$23,10,12)="T",100,0),"")</f>
        <v/>
      </c>
      <c r="AZ185">
        <f>IF(AND($C32=1,INDEX(Setup!$O$6:$AL$23,10,13)&lt;&gt;"",Q32=0),13+IF(INDEX(Setup!$O$6:$AL$23,10,13)="T",100,0),"")</f>
        <v/>
      </c>
      <c r="BA185">
        <f>IF(AND($C33=1,INDEX(Setup!$O$6:$AL$23,10,14)&lt;&gt;"",Q33=0),14+IF(INDEX(Setup!$O$6:$AL$23,10,14)="T",100,0),"")</f>
        <v/>
      </c>
      <c r="BB185">
        <f>IF(AND($C34=1,INDEX(Setup!$O$6:$AL$23,10,15)&lt;&gt;"",Q34=0),15+IF(INDEX(Setup!$O$6:$AL$23,10,15)="T",100,0),"")</f>
        <v/>
      </c>
      <c r="BC185">
        <f>IF(AND($C35=1,INDEX(Setup!$O$6:$AL$23,10,16)&lt;&gt;"",Q35=0),16+IF(INDEX(Setup!$O$6:$AL$23,10,16)="T",100,0),"")</f>
        <v/>
      </c>
      <c r="BD185">
        <f>IF(AND($C36=1,INDEX(Setup!$O$6:$AL$23,10,17)&lt;&gt;"",Q36=0),17+IF(INDEX(Setup!$O$6:$AL$23,10,17)="T",100,0),"")</f>
        <v/>
      </c>
      <c r="BE185">
        <f>IF(AND($C37=1,INDEX(Setup!$O$6:$AL$23,10,18)&lt;&gt;"",Q37=0),18+IF(INDEX(Setup!$O$6:$AL$23,10,18)="T",100,0),"")</f>
        <v/>
      </c>
      <c r="BF185">
        <f>IF(AND($C38=1,INDEX(Setup!$O$6:$AL$23,10,19)&lt;&gt;"",Q38=0),19+IF(INDEX(Setup!$O$6:$AL$23,10,19)="T",100,0),"")</f>
        <v/>
      </c>
      <c r="BG185">
        <f>IF(AND($C39=1,INDEX(Setup!$O$6:$AL$23,10,20)&lt;&gt;"",Q39=0),20+IF(INDEX(Setup!$O$6:$AL$23,10,20)="T",100,0),"")</f>
        <v/>
      </c>
      <c r="BH185">
        <f>IF(AND($C40=1,INDEX(Setup!$O$6:$AL$23,10,21)&lt;&gt;"",Q40=0),21+IF(INDEX(Setup!$O$6:$AL$23,10,21)="T",100,0),"")</f>
        <v/>
      </c>
      <c r="BI185">
        <f>IF(AND($C41=1,INDEX(Setup!$O$6:$AL$23,10,22)&lt;&gt;"",Q41=0),22+IF(INDEX(Setup!$O$6:$AL$23,10,22)="T",100,0),"")</f>
        <v/>
      </c>
      <c r="BJ185">
        <f>IF(AND($C42=1,INDEX(Setup!$O$6:$AL$23,10,23)&lt;&gt;"",Q42=0),23+IF(INDEX(Setup!$O$6:$AL$23,10,23)="T",100,0),"")</f>
        <v/>
      </c>
      <c r="BK185">
        <f>IF(AND($C43=1,INDEX(Setup!$O$6:$AL$23,10,24)&lt;&gt;"",Q43=0),24+IF(INDEX(Setup!$O$6:$AL$23,10,24)="T",100,0),"")</f>
        <v/>
      </c>
      <c r="BM185">
        <f>IF(AND(AN185&lt;&gt;"",COUNTIF($Y$56:$Y$56,$B20)+COUNTIF($Y$56:$Y$56,$B20&amp;" ~*")=0),($R20+COUNTIF($H$176:$H184,$B20)+COUNTIF($H$176:$H184,$B20&amp;" ~*"))*1000+IF(AN185&gt;100,500,0)+1,"")</f>
        <v/>
      </c>
      <c r="BN185">
        <f>IF(AND(AO185&lt;&gt;"",COUNTIF($Y$56:$Y$56,$B21)+COUNTIF($Y$56:$Y$56,$B21&amp;" ~*")=0),($R21+COUNTIF($H$176:$H184,$B21)+COUNTIF($H$176:$H184,$B21&amp;" ~*"))*1000+IF(AO185&gt;100,500,0)+2,"")</f>
        <v/>
      </c>
      <c r="BO185">
        <f>IF(AND(AP185&lt;&gt;"",COUNTIF($Y$56:$Y$56,$B22)+COUNTIF($Y$56:$Y$56,$B22&amp;" ~*")=0),($R22+COUNTIF($H$176:$H184,$B22)+COUNTIF($H$176:$H184,$B22&amp;" ~*"))*1000+IF(AP185&gt;100,500,0)+3,"")</f>
        <v/>
      </c>
      <c r="BP185">
        <f>IF(AND(AQ185&lt;&gt;"",COUNTIF($Y$56:$Y$56,$B23)+COUNTIF($Y$56:$Y$56,$B23&amp;" ~*")=0),($R23+COUNTIF($H$176:$H184,$B23)+COUNTIF($H$176:$H184,$B23&amp;" ~*"))*1000+IF(AQ185&gt;100,500,0)+4,"")</f>
        <v/>
      </c>
      <c r="BQ185">
        <f>IF(AND(AR185&lt;&gt;"",COUNTIF($Y$56:$Y$56,$B24)+COUNTIF($Y$56:$Y$56,$B24&amp;" ~*")=0),($R24+COUNTIF($H$176:$H184,$B24)+COUNTIF($H$176:$H184,$B24&amp;" ~*"))*1000+IF(AR185&gt;100,500,0)+5,"")</f>
        <v/>
      </c>
      <c r="BR185">
        <f>IF(AND(AS185&lt;&gt;"",COUNTIF($Y$56:$Y$56,$B25)+COUNTIF($Y$56:$Y$56,$B25&amp;" ~*")=0),($R25+COUNTIF($H$176:$H184,$B25)+COUNTIF($H$176:$H184,$B25&amp;" ~*"))*1000+IF(AS185&gt;100,500,0)+6,"")</f>
        <v/>
      </c>
      <c r="BS185">
        <f>IF(AND(AT185&lt;&gt;"",COUNTIF($Y$56:$Y$56,$B26)+COUNTIF($Y$56:$Y$56,$B26&amp;" ~*")=0),($R26+COUNTIF($H$176:$H184,$B26)+COUNTIF($H$176:$H184,$B26&amp;" ~*"))*1000+IF(AT185&gt;100,500,0)+7,"")</f>
        <v/>
      </c>
      <c r="BT185">
        <f>IF(AND(AU185&lt;&gt;"",COUNTIF($Y$56:$Y$56,$B27)+COUNTIF($Y$56:$Y$56,$B27&amp;" ~*")=0),($R27+COUNTIF($H$176:$H184,$B27)+COUNTIF($H$176:$H184,$B27&amp;" ~*"))*1000+IF(AU185&gt;100,500,0)+8,"")</f>
        <v/>
      </c>
      <c r="BU185">
        <f>IF(AND(AV185&lt;&gt;"",COUNTIF($Y$56:$Y$56,$B28)+COUNTIF($Y$56:$Y$56,$B28&amp;" ~*")=0),($R28+COUNTIF($H$176:$H184,$B28)+COUNTIF($H$176:$H184,$B28&amp;" ~*"))*1000+IF(AV185&gt;100,500,0)+9,"")</f>
        <v/>
      </c>
      <c r="BV185">
        <f>IF(AND(AW185&lt;&gt;"",COUNTIF($Y$56:$Y$56,$B29)+COUNTIF($Y$56:$Y$56,$B29&amp;" ~*")=0),($R29+COUNTIF($H$176:$H184,$B29)+COUNTIF($H$176:$H184,$B29&amp;" ~*"))*1000+IF(AW185&gt;100,500,0)+10,"")</f>
        <v/>
      </c>
      <c r="BW185">
        <f>IF(AND(AX185&lt;&gt;"",COUNTIF($Y$56:$Y$56,$B30)+COUNTIF($Y$56:$Y$56,$B30&amp;" ~*")=0),($R30+COUNTIF($H$176:$H184,$B30)+COUNTIF($H$176:$H184,$B30&amp;" ~*"))*1000+IF(AX185&gt;100,500,0)+11,"")</f>
        <v/>
      </c>
      <c r="BX185">
        <f>IF(AND(AY185&lt;&gt;"",COUNTIF($Y$56:$Y$56,$B31)+COUNTIF($Y$56:$Y$56,$B31&amp;" ~*")=0),($R31+COUNTIF($H$176:$H184,$B31)+COUNTIF($H$176:$H184,$B31&amp;" ~*"))*1000+IF(AY185&gt;100,500,0)+12,"")</f>
        <v/>
      </c>
      <c r="BY185">
        <f>IF(AND(AZ185&lt;&gt;"",COUNTIF($Y$56:$Y$56,$B32)+COUNTIF($Y$56:$Y$56,$B32&amp;" ~*")=0),($R32+COUNTIF($H$176:$H184,$B32)+COUNTIF($H$176:$H184,$B32&amp;" ~*"))*1000+IF(AZ185&gt;100,500,0)+13,"")</f>
        <v/>
      </c>
      <c r="BZ185">
        <f>IF(AND(BA185&lt;&gt;"",COUNTIF($Y$56:$Y$56,$B33)+COUNTIF($Y$56:$Y$56,$B33&amp;" ~*")=0),($R33+COUNTIF($H$176:$H184,$B33)+COUNTIF($H$176:$H184,$B33&amp;" ~*"))*1000+IF(BA185&gt;100,500,0)+14,"")</f>
        <v/>
      </c>
      <c r="CA185">
        <f>IF(AND(BB185&lt;&gt;"",COUNTIF($Y$56:$Y$56,$B34)+COUNTIF($Y$56:$Y$56,$B34&amp;" ~*")=0),($R34+COUNTIF($H$176:$H184,$B34)+COUNTIF($H$176:$H184,$B34&amp;" ~*"))*1000+IF(BB185&gt;100,500,0)+15,"")</f>
        <v/>
      </c>
      <c r="CB185">
        <f>IF(AND(BC185&lt;&gt;"",COUNTIF($Y$56:$Y$56,$B35)+COUNTIF($Y$56:$Y$56,$B35&amp;" ~*")=0),($R35+COUNTIF($H$176:$H184,$B35)+COUNTIF($H$176:$H184,$B35&amp;" ~*"))*1000+IF(BC185&gt;100,500,0)+16,"")</f>
        <v/>
      </c>
      <c r="CC185">
        <f>IF(AND(BD185&lt;&gt;"",COUNTIF($Y$56:$Y$56,$B36)+COUNTIF($Y$56:$Y$56,$B36&amp;" ~*")=0),($R36+COUNTIF($H$176:$H184,$B36)+COUNTIF($H$176:$H184,$B36&amp;" ~*"))*1000+IF(BD185&gt;100,500,0)+17,"")</f>
        <v/>
      </c>
      <c r="CD185">
        <f>IF(AND(BE185&lt;&gt;"",COUNTIF($Y$56:$Y$56,$B37)+COUNTIF($Y$56:$Y$56,$B37&amp;" ~*")=0),($R37+COUNTIF($H$176:$H184,$B37)+COUNTIF($H$176:$H184,$B37&amp;" ~*"))*1000+IF(BE185&gt;100,500,0)+18,"")</f>
        <v/>
      </c>
      <c r="CE185">
        <f>IF(AND(BF185&lt;&gt;"",COUNTIF($Y$56:$Y$56,$B38)+COUNTIF($Y$56:$Y$56,$B38&amp;" ~*")=0),($R38+COUNTIF($H$176:$H184,$B38)+COUNTIF($H$176:$H184,$B38&amp;" ~*"))*1000+IF(BF185&gt;100,500,0)+19,"")</f>
        <v/>
      </c>
      <c r="CF185">
        <f>IF(AND(BG185&lt;&gt;"",COUNTIF($Y$56:$Y$56,$B39)+COUNTIF($Y$56:$Y$56,$B39&amp;" ~*")=0),($R39+COUNTIF($H$176:$H184,$B39)+COUNTIF($H$176:$H184,$B39&amp;" ~*"))*1000+IF(BG185&gt;100,500,0)+20,"")</f>
        <v/>
      </c>
      <c r="CG185">
        <f>IF(AND(BH185&lt;&gt;"",COUNTIF($Y$56:$Y$56,$B40)+COUNTIF($Y$56:$Y$56,$B40&amp;" ~*")=0),($R40+COUNTIF($H$176:$H184,$B40)+COUNTIF($H$176:$H184,$B40&amp;" ~*"))*1000+IF(BH185&gt;100,500,0)+21,"")</f>
        <v/>
      </c>
      <c r="CH185">
        <f>IF(AND(BI185&lt;&gt;"",COUNTIF($Y$56:$Y$56,$B41)+COUNTIF($Y$56:$Y$56,$B41&amp;" ~*")=0),($R41+COUNTIF($H$176:$H184,$B41)+COUNTIF($H$176:$H184,$B41&amp;" ~*"))*1000+IF(BI185&gt;100,500,0)+22,"")</f>
        <v/>
      </c>
      <c r="CI185">
        <f>IF(AND(BJ185&lt;&gt;"",COUNTIF($Y$56:$Y$56,$B42)+COUNTIF($Y$56:$Y$56,$B42&amp;" ~*")=0),($R42+COUNTIF($H$176:$H184,$B42)+COUNTIF($H$176:$H184,$B42&amp;" ~*"))*1000+IF(BJ185&gt;100,500,0)+23,"")</f>
        <v/>
      </c>
      <c r="CJ185">
        <f>IF(AND(BK185&lt;&gt;"",COUNTIF($Y$56:$Y$56,$B43)+COUNTIF($Y$56:$Y$56,$B43&amp;" ~*")=0),($R43+COUNTIF($H$176:$H184,$B43)+COUNTIF($H$176:$H184,$B43&amp;" ~*"))*1000+IF(BK185&gt;100,500,0)+24,"")</f>
        <v/>
      </c>
    </row>
    <row r="186">
      <c r="A186" t="n">
        <v>7</v>
      </c>
      <c r="B186" t="n">
        <v>11</v>
      </c>
      <c r="C186">
        <f>$B$57</f>
        <v/>
      </c>
      <c r="D186" t="inlineStr">
        <is>
          <t>Sun</t>
        </is>
      </c>
      <c r="E186">
        <f>IF(C186="","",N($AC$57))</f>
        <v/>
      </c>
      <c r="F186">
        <f>IF(C186="","",COUNTIF($Y$57:$Y$57,"?*"))</f>
        <v/>
      </c>
      <c r="G186">
        <f>IF(C186="","",MAX(0,E186-F186))</f>
        <v/>
      </c>
      <c r="H186">
        <f>IF(N(G186)=0,"",IF(COUNT(BM186:CJ186)=0,"no-one eligible",INDEX(Engine!$B$20:$B$43,MOD(MIN(BM186:CJ186),500))&amp;IF(MOD(MIN(BM186:CJ186),1000)&gt;=500," *","")))</f>
        <v/>
      </c>
      <c r="I186">
        <f>IF(N(G186)&gt;0,COUNTIF($G$68:G186,"&gt;0"),"")</f>
        <v/>
      </c>
      <c r="J186">
        <f>IF(C186="","",IF($Y$57="",0,IF(IFERROR(INDEX(Setup!$O$6:$AL$23,11,MATCH(SUBSTITUTE($Y$57," *",""),Setup!$B$6:$B$29,0)),"")="",1,0)))</f>
        <v/>
      </c>
      <c r="K186">
        <f>IF($B$12+6=TODAY(),1,0)</f>
        <v/>
      </c>
      <c r="N186">
        <f>COUNT($AN186:$BK186)</f>
        <v/>
      </c>
      <c r="O186">
        <f>IF(1&gt;$N186,"",INDEX(Engine!$B$20:$B$43,MOD(SMALL($AN186:$BK186,1),100))&amp;IF(SMALL($AN186:$BK186,1)&gt;100," *",""))</f>
        <v/>
      </c>
      <c r="P186">
        <f>IF(2&gt;$N186,"",INDEX(Engine!$B$20:$B$43,MOD(SMALL($AN186:$BK186,2),100))&amp;IF(SMALL($AN186:$BK186,2)&gt;100," *",""))</f>
        <v/>
      </c>
      <c r="Q186">
        <f>IF(3&gt;$N186,"",INDEX(Engine!$B$20:$B$43,MOD(SMALL($AN186:$BK186,3),100))&amp;IF(SMALL($AN186:$BK186,3)&gt;100," *",""))</f>
        <v/>
      </c>
      <c r="R186">
        <f>IF(4&gt;$N186,"",INDEX(Engine!$B$20:$B$43,MOD(SMALL($AN186:$BK186,4),100))&amp;IF(SMALL($AN186:$BK186,4)&gt;100," *",""))</f>
        <v/>
      </c>
      <c r="S186">
        <f>IF(5&gt;$N186,"",INDEX(Engine!$B$20:$B$43,MOD(SMALL($AN186:$BK186,5),100))&amp;IF(SMALL($AN186:$BK186,5)&gt;100," *",""))</f>
        <v/>
      </c>
      <c r="T186">
        <f>IF(6&gt;$N186,"",INDEX(Engine!$B$20:$B$43,MOD(SMALL($AN186:$BK186,6),100))&amp;IF(SMALL($AN186:$BK186,6)&gt;100," *",""))</f>
        <v/>
      </c>
      <c r="U186">
        <f>IF(7&gt;$N186,"",INDEX(Engine!$B$20:$B$43,MOD(SMALL($AN186:$BK186,7),100))&amp;IF(SMALL($AN186:$BK186,7)&gt;100," *",""))</f>
        <v/>
      </c>
      <c r="V186">
        <f>IF(8&gt;$N186,"",INDEX(Engine!$B$20:$B$43,MOD(SMALL($AN186:$BK186,8),100))&amp;IF(SMALL($AN186:$BK186,8)&gt;100," *",""))</f>
        <v/>
      </c>
      <c r="W186">
        <f>IF(9&gt;$N186,"",INDEX(Engine!$B$20:$B$43,MOD(SMALL($AN186:$BK186,9),100))&amp;IF(SMALL($AN186:$BK186,9)&gt;100," *",""))</f>
        <v/>
      </c>
      <c r="X186">
        <f>IF(10&gt;$N186,"",INDEX(Engine!$B$20:$B$43,MOD(SMALL($AN186:$BK186,10),100))&amp;IF(SMALL($AN186:$BK186,10)&gt;100," *",""))</f>
        <v/>
      </c>
      <c r="Y186">
        <f>IF(11&gt;$N186,"",INDEX(Engine!$B$20:$B$43,MOD(SMALL($AN186:$BK186,11),100))&amp;IF(SMALL($AN186:$BK186,11)&gt;100," *",""))</f>
        <v/>
      </c>
      <c r="Z186">
        <f>IF(12&gt;$N186,"",INDEX(Engine!$B$20:$B$43,MOD(SMALL($AN186:$BK186,12),100))&amp;IF(SMALL($AN186:$BK186,12)&gt;100," *",""))</f>
        <v/>
      </c>
      <c r="AA186">
        <f>IF(13&gt;$N186,"",INDEX(Engine!$B$20:$B$43,MOD(SMALL($AN186:$BK186,13),100))&amp;IF(SMALL($AN186:$BK186,13)&gt;100," *",""))</f>
        <v/>
      </c>
      <c r="AB186">
        <f>IF(14&gt;$N186,"",INDEX(Engine!$B$20:$B$43,MOD(SMALL($AN186:$BK186,14),100))&amp;IF(SMALL($AN186:$BK186,14)&gt;100," *",""))</f>
        <v/>
      </c>
      <c r="AC186">
        <f>IF(15&gt;$N186,"",INDEX(Engine!$B$20:$B$43,MOD(SMALL($AN186:$BK186,15),100))&amp;IF(SMALL($AN186:$BK186,15)&gt;100," *",""))</f>
        <v/>
      </c>
      <c r="AD186">
        <f>IF(16&gt;$N186,"",INDEX(Engine!$B$20:$B$43,MOD(SMALL($AN186:$BK186,16),100))&amp;IF(SMALL($AN186:$BK186,16)&gt;100," *",""))</f>
        <v/>
      </c>
      <c r="AE186">
        <f>IF(17&gt;$N186,"",INDEX(Engine!$B$20:$B$43,MOD(SMALL($AN186:$BK186,17),100))&amp;IF(SMALL($AN186:$BK186,17)&gt;100," *",""))</f>
        <v/>
      </c>
      <c r="AF186">
        <f>IF(18&gt;$N186,"",INDEX(Engine!$B$20:$B$43,MOD(SMALL($AN186:$BK186,18),100))&amp;IF(SMALL($AN186:$BK186,18)&gt;100," *",""))</f>
        <v/>
      </c>
      <c r="AG186">
        <f>IF(19&gt;$N186,"",INDEX(Engine!$B$20:$B$43,MOD(SMALL($AN186:$BK186,19),100))&amp;IF(SMALL($AN186:$BK186,19)&gt;100," *",""))</f>
        <v/>
      </c>
      <c r="AH186">
        <f>IF(20&gt;$N186,"",INDEX(Engine!$B$20:$B$43,MOD(SMALL($AN186:$BK186,20),100))&amp;IF(SMALL($AN186:$BK186,20)&gt;100," *",""))</f>
        <v/>
      </c>
      <c r="AI186">
        <f>IF(21&gt;$N186,"",INDEX(Engine!$B$20:$B$43,MOD(SMALL($AN186:$BK186,21),100))&amp;IF(SMALL($AN186:$BK186,21)&gt;100," *",""))</f>
        <v/>
      </c>
      <c r="AJ186">
        <f>IF(22&gt;$N186,"",INDEX(Engine!$B$20:$B$43,MOD(SMALL($AN186:$BK186,22),100))&amp;IF(SMALL($AN186:$BK186,22)&gt;100," *",""))</f>
        <v/>
      </c>
      <c r="AK186">
        <f>IF(23&gt;$N186,"",INDEX(Engine!$B$20:$B$43,MOD(SMALL($AN186:$BK186,23),100))&amp;IF(SMALL($AN186:$BK186,23)&gt;100," *",""))</f>
        <v/>
      </c>
      <c r="AL186">
        <f>IF(24&gt;$N186,"",INDEX(Engine!$B$20:$B$43,MOD(SMALL($AN186:$BK186,24),100))&amp;IF(SMALL($AN186:$BK186,24)&gt;100," *",""))</f>
        <v/>
      </c>
      <c r="AN186">
        <f>IF(AND($C20=1,INDEX(Setup!$O$6:$AL$23,11,1)&lt;&gt;"",Q20=0),1+IF(INDEX(Setup!$O$6:$AL$23,11,1)="T",100,0),"")</f>
        <v/>
      </c>
      <c r="AO186">
        <f>IF(AND($C21=1,INDEX(Setup!$O$6:$AL$23,11,2)&lt;&gt;"",Q21=0),2+IF(INDEX(Setup!$O$6:$AL$23,11,2)="T",100,0),"")</f>
        <v/>
      </c>
      <c r="AP186">
        <f>IF(AND($C22=1,INDEX(Setup!$O$6:$AL$23,11,3)&lt;&gt;"",Q22=0),3+IF(INDEX(Setup!$O$6:$AL$23,11,3)="T",100,0),"")</f>
        <v/>
      </c>
      <c r="AQ186">
        <f>IF(AND($C23=1,INDEX(Setup!$O$6:$AL$23,11,4)&lt;&gt;"",Q23=0),4+IF(INDEX(Setup!$O$6:$AL$23,11,4)="T",100,0),"")</f>
        <v/>
      </c>
      <c r="AR186">
        <f>IF(AND($C24=1,INDEX(Setup!$O$6:$AL$23,11,5)&lt;&gt;"",Q24=0),5+IF(INDEX(Setup!$O$6:$AL$23,11,5)="T",100,0),"")</f>
        <v/>
      </c>
      <c r="AS186">
        <f>IF(AND($C25=1,INDEX(Setup!$O$6:$AL$23,11,6)&lt;&gt;"",Q25=0),6+IF(INDEX(Setup!$O$6:$AL$23,11,6)="T",100,0),"")</f>
        <v/>
      </c>
      <c r="AT186">
        <f>IF(AND($C26=1,INDEX(Setup!$O$6:$AL$23,11,7)&lt;&gt;"",Q26=0),7+IF(INDEX(Setup!$O$6:$AL$23,11,7)="T",100,0),"")</f>
        <v/>
      </c>
      <c r="AU186">
        <f>IF(AND($C27=1,INDEX(Setup!$O$6:$AL$23,11,8)&lt;&gt;"",Q27=0),8+IF(INDEX(Setup!$O$6:$AL$23,11,8)="T",100,0),"")</f>
        <v/>
      </c>
      <c r="AV186">
        <f>IF(AND($C28=1,INDEX(Setup!$O$6:$AL$23,11,9)&lt;&gt;"",Q28=0),9+IF(INDEX(Setup!$O$6:$AL$23,11,9)="T",100,0),"")</f>
        <v/>
      </c>
      <c r="AW186">
        <f>IF(AND($C29=1,INDEX(Setup!$O$6:$AL$23,11,10)&lt;&gt;"",Q29=0),10+IF(INDEX(Setup!$O$6:$AL$23,11,10)="T",100,0),"")</f>
        <v/>
      </c>
      <c r="AX186">
        <f>IF(AND($C30=1,INDEX(Setup!$O$6:$AL$23,11,11)&lt;&gt;"",Q30=0),11+IF(INDEX(Setup!$O$6:$AL$23,11,11)="T",100,0),"")</f>
        <v/>
      </c>
      <c r="AY186">
        <f>IF(AND($C31=1,INDEX(Setup!$O$6:$AL$23,11,12)&lt;&gt;"",Q31=0),12+IF(INDEX(Setup!$O$6:$AL$23,11,12)="T",100,0),"")</f>
        <v/>
      </c>
      <c r="AZ186">
        <f>IF(AND($C32=1,INDEX(Setup!$O$6:$AL$23,11,13)&lt;&gt;"",Q32=0),13+IF(INDEX(Setup!$O$6:$AL$23,11,13)="T",100,0),"")</f>
        <v/>
      </c>
      <c r="BA186">
        <f>IF(AND($C33=1,INDEX(Setup!$O$6:$AL$23,11,14)&lt;&gt;"",Q33=0),14+IF(INDEX(Setup!$O$6:$AL$23,11,14)="T",100,0),"")</f>
        <v/>
      </c>
      <c r="BB186">
        <f>IF(AND($C34=1,INDEX(Setup!$O$6:$AL$23,11,15)&lt;&gt;"",Q34=0),15+IF(INDEX(Setup!$O$6:$AL$23,11,15)="T",100,0),"")</f>
        <v/>
      </c>
      <c r="BC186">
        <f>IF(AND($C35=1,INDEX(Setup!$O$6:$AL$23,11,16)&lt;&gt;"",Q35=0),16+IF(INDEX(Setup!$O$6:$AL$23,11,16)="T",100,0),"")</f>
        <v/>
      </c>
      <c r="BD186">
        <f>IF(AND($C36=1,INDEX(Setup!$O$6:$AL$23,11,17)&lt;&gt;"",Q36=0),17+IF(INDEX(Setup!$O$6:$AL$23,11,17)="T",100,0),"")</f>
        <v/>
      </c>
      <c r="BE186">
        <f>IF(AND($C37=1,INDEX(Setup!$O$6:$AL$23,11,18)&lt;&gt;"",Q37=0),18+IF(INDEX(Setup!$O$6:$AL$23,11,18)="T",100,0),"")</f>
        <v/>
      </c>
      <c r="BF186">
        <f>IF(AND($C38=1,INDEX(Setup!$O$6:$AL$23,11,19)&lt;&gt;"",Q38=0),19+IF(INDEX(Setup!$O$6:$AL$23,11,19)="T",100,0),"")</f>
        <v/>
      </c>
      <c r="BG186">
        <f>IF(AND($C39=1,INDEX(Setup!$O$6:$AL$23,11,20)&lt;&gt;"",Q39=0),20+IF(INDEX(Setup!$O$6:$AL$23,11,20)="T",100,0),"")</f>
        <v/>
      </c>
      <c r="BH186">
        <f>IF(AND($C40=1,INDEX(Setup!$O$6:$AL$23,11,21)&lt;&gt;"",Q40=0),21+IF(INDEX(Setup!$O$6:$AL$23,11,21)="T",100,0),"")</f>
        <v/>
      </c>
      <c r="BI186">
        <f>IF(AND($C41=1,INDEX(Setup!$O$6:$AL$23,11,22)&lt;&gt;"",Q41=0),22+IF(INDEX(Setup!$O$6:$AL$23,11,22)="T",100,0),"")</f>
        <v/>
      </c>
      <c r="BJ186">
        <f>IF(AND($C42=1,INDEX(Setup!$O$6:$AL$23,11,23)&lt;&gt;"",Q42=0),23+IF(INDEX(Setup!$O$6:$AL$23,11,23)="T",100,0),"")</f>
        <v/>
      </c>
      <c r="BK186">
        <f>IF(AND($C43=1,INDEX(Setup!$O$6:$AL$23,11,24)&lt;&gt;"",Q43=0),24+IF(INDEX(Setup!$O$6:$AL$23,11,24)="T",100,0),"")</f>
        <v/>
      </c>
      <c r="BM186">
        <f>IF(AND(AN186&lt;&gt;"",COUNTIF($Y$57:$Y$57,$B20)+COUNTIF($Y$57:$Y$57,$B20&amp;" ~*")=0),($R20+COUNTIF($H$176:$H185,$B20)+COUNTIF($H$176:$H185,$B20&amp;" ~*"))*1000+IF(AN186&gt;100,500,0)+1,"")</f>
        <v/>
      </c>
      <c r="BN186">
        <f>IF(AND(AO186&lt;&gt;"",COUNTIF($Y$57:$Y$57,$B21)+COUNTIF($Y$57:$Y$57,$B21&amp;" ~*")=0),($R21+COUNTIF($H$176:$H185,$B21)+COUNTIF($H$176:$H185,$B21&amp;" ~*"))*1000+IF(AO186&gt;100,500,0)+2,"")</f>
        <v/>
      </c>
      <c r="BO186">
        <f>IF(AND(AP186&lt;&gt;"",COUNTIF($Y$57:$Y$57,$B22)+COUNTIF($Y$57:$Y$57,$B22&amp;" ~*")=0),($R22+COUNTIF($H$176:$H185,$B22)+COUNTIF($H$176:$H185,$B22&amp;" ~*"))*1000+IF(AP186&gt;100,500,0)+3,"")</f>
        <v/>
      </c>
      <c r="BP186">
        <f>IF(AND(AQ186&lt;&gt;"",COUNTIF($Y$57:$Y$57,$B23)+COUNTIF($Y$57:$Y$57,$B23&amp;" ~*")=0),($R23+COUNTIF($H$176:$H185,$B23)+COUNTIF($H$176:$H185,$B23&amp;" ~*"))*1000+IF(AQ186&gt;100,500,0)+4,"")</f>
        <v/>
      </c>
      <c r="BQ186">
        <f>IF(AND(AR186&lt;&gt;"",COUNTIF($Y$57:$Y$57,$B24)+COUNTIF($Y$57:$Y$57,$B24&amp;" ~*")=0),($R24+COUNTIF($H$176:$H185,$B24)+COUNTIF($H$176:$H185,$B24&amp;" ~*"))*1000+IF(AR186&gt;100,500,0)+5,"")</f>
        <v/>
      </c>
      <c r="BR186">
        <f>IF(AND(AS186&lt;&gt;"",COUNTIF($Y$57:$Y$57,$B25)+COUNTIF($Y$57:$Y$57,$B25&amp;" ~*")=0),($R25+COUNTIF($H$176:$H185,$B25)+COUNTIF($H$176:$H185,$B25&amp;" ~*"))*1000+IF(AS186&gt;100,500,0)+6,"")</f>
        <v/>
      </c>
      <c r="BS186">
        <f>IF(AND(AT186&lt;&gt;"",COUNTIF($Y$57:$Y$57,$B26)+COUNTIF($Y$57:$Y$57,$B26&amp;" ~*")=0),($R26+COUNTIF($H$176:$H185,$B26)+COUNTIF($H$176:$H185,$B26&amp;" ~*"))*1000+IF(AT186&gt;100,500,0)+7,"")</f>
        <v/>
      </c>
      <c r="BT186">
        <f>IF(AND(AU186&lt;&gt;"",COUNTIF($Y$57:$Y$57,$B27)+COUNTIF($Y$57:$Y$57,$B27&amp;" ~*")=0),($R27+COUNTIF($H$176:$H185,$B27)+COUNTIF($H$176:$H185,$B27&amp;" ~*"))*1000+IF(AU186&gt;100,500,0)+8,"")</f>
        <v/>
      </c>
      <c r="BU186">
        <f>IF(AND(AV186&lt;&gt;"",COUNTIF($Y$57:$Y$57,$B28)+COUNTIF($Y$57:$Y$57,$B28&amp;" ~*")=0),($R28+COUNTIF($H$176:$H185,$B28)+COUNTIF($H$176:$H185,$B28&amp;" ~*"))*1000+IF(AV186&gt;100,500,0)+9,"")</f>
        <v/>
      </c>
      <c r="BV186">
        <f>IF(AND(AW186&lt;&gt;"",COUNTIF($Y$57:$Y$57,$B29)+COUNTIF($Y$57:$Y$57,$B29&amp;" ~*")=0),($R29+COUNTIF($H$176:$H185,$B29)+COUNTIF($H$176:$H185,$B29&amp;" ~*"))*1000+IF(AW186&gt;100,500,0)+10,"")</f>
        <v/>
      </c>
      <c r="BW186">
        <f>IF(AND(AX186&lt;&gt;"",COUNTIF($Y$57:$Y$57,$B30)+COUNTIF($Y$57:$Y$57,$B30&amp;" ~*")=0),($R30+COUNTIF($H$176:$H185,$B30)+COUNTIF($H$176:$H185,$B30&amp;" ~*"))*1000+IF(AX186&gt;100,500,0)+11,"")</f>
        <v/>
      </c>
      <c r="BX186">
        <f>IF(AND(AY186&lt;&gt;"",COUNTIF($Y$57:$Y$57,$B31)+COUNTIF($Y$57:$Y$57,$B31&amp;" ~*")=0),($R31+COUNTIF($H$176:$H185,$B31)+COUNTIF($H$176:$H185,$B31&amp;" ~*"))*1000+IF(AY186&gt;100,500,0)+12,"")</f>
        <v/>
      </c>
      <c r="BY186">
        <f>IF(AND(AZ186&lt;&gt;"",COUNTIF($Y$57:$Y$57,$B32)+COUNTIF($Y$57:$Y$57,$B32&amp;" ~*")=0),($R32+COUNTIF($H$176:$H185,$B32)+COUNTIF($H$176:$H185,$B32&amp;" ~*"))*1000+IF(AZ186&gt;100,500,0)+13,"")</f>
        <v/>
      </c>
      <c r="BZ186">
        <f>IF(AND(BA186&lt;&gt;"",COUNTIF($Y$57:$Y$57,$B33)+COUNTIF($Y$57:$Y$57,$B33&amp;" ~*")=0),($R33+COUNTIF($H$176:$H185,$B33)+COUNTIF($H$176:$H185,$B33&amp;" ~*"))*1000+IF(BA186&gt;100,500,0)+14,"")</f>
        <v/>
      </c>
      <c r="CA186">
        <f>IF(AND(BB186&lt;&gt;"",COUNTIF($Y$57:$Y$57,$B34)+COUNTIF($Y$57:$Y$57,$B34&amp;" ~*")=0),($R34+COUNTIF($H$176:$H185,$B34)+COUNTIF($H$176:$H185,$B34&amp;" ~*"))*1000+IF(BB186&gt;100,500,0)+15,"")</f>
        <v/>
      </c>
      <c r="CB186">
        <f>IF(AND(BC186&lt;&gt;"",COUNTIF($Y$57:$Y$57,$B35)+COUNTIF($Y$57:$Y$57,$B35&amp;" ~*")=0),($R35+COUNTIF($H$176:$H185,$B35)+COUNTIF($H$176:$H185,$B35&amp;" ~*"))*1000+IF(BC186&gt;100,500,0)+16,"")</f>
        <v/>
      </c>
      <c r="CC186">
        <f>IF(AND(BD186&lt;&gt;"",COUNTIF($Y$57:$Y$57,$B36)+COUNTIF($Y$57:$Y$57,$B36&amp;" ~*")=0),($R36+COUNTIF($H$176:$H185,$B36)+COUNTIF($H$176:$H185,$B36&amp;" ~*"))*1000+IF(BD186&gt;100,500,0)+17,"")</f>
        <v/>
      </c>
      <c r="CD186">
        <f>IF(AND(BE186&lt;&gt;"",COUNTIF($Y$57:$Y$57,$B37)+COUNTIF($Y$57:$Y$57,$B37&amp;" ~*")=0),($R37+COUNTIF($H$176:$H185,$B37)+COUNTIF($H$176:$H185,$B37&amp;" ~*"))*1000+IF(BE186&gt;100,500,0)+18,"")</f>
        <v/>
      </c>
      <c r="CE186">
        <f>IF(AND(BF186&lt;&gt;"",COUNTIF($Y$57:$Y$57,$B38)+COUNTIF($Y$57:$Y$57,$B38&amp;" ~*")=0),($R38+COUNTIF($H$176:$H185,$B38)+COUNTIF($H$176:$H185,$B38&amp;" ~*"))*1000+IF(BF186&gt;100,500,0)+19,"")</f>
        <v/>
      </c>
      <c r="CF186">
        <f>IF(AND(BG186&lt;&gt;"",COUNTIF($Y$57:$Y$57,$B39)+COUNTIF($Y$57:$Y$57,$B39&amp;" ~*")=0),($R39+COUNTIF($H$176:$H185,$B39)+COUNTIF($H$176:$H185,$B39&amp;" ~*"))*1000+IF(BG186&gt;100,500,0)+20,"")</f>
        <v/>
      </c>
      <c r="CG186">
        <f>IF(AND(BH186&lt;&gt;"",COUNTIF($Y$57:$Y$57,$B40)+COUNTIF($Y$57:$Y$57,$B40&amp;" ~*")=0),($R40+COUNTIF($H$176:$H185,$B40)+COUNTIF($H$176:$H185,$B40&amp;" ~*"))*1000+IF(BH186&gt;100,500,0)+21,"")</f>
        <v/>
      </c>
      <c r="CH186">
        <f>IF(AND(BI186&lt;&gt;"",COUNTIF($Y$57:$Y$57,$B41)+COUNTIF($Y$57:$Y$57,$B41&amp;" ~*")=0),($R41+COUNTIF($H$176:$H185,$B41)+COUNTIF($H$176:$H185,$B41&amp;" ~*"))*1000+IF(BI186&gt;100,500,0)+22,"")</f>
        <v/>
      </c>
      <c r="CI186">
        <f>IF(AND(BJ186&lt;&gt;"",COUNTIF($Y$57:$Y$57,$B42)+COUNTIF($Y$57:$Y$57,$B42&amp;" ~*")=0),($R42+COUNTIF($H$176:$H185,$B42)+COUNTIF($H$176:$H185,$B42&amp;" ~*"))*1000+IF(BJ186&gt;100,500,0)+23,"")</f>
        <v/>
      </c>
      <c r="CJ186">
        <f>IF(AND(BK186&lt;&gt;"",COUNTIF($Y$57:$Y$57,$B43)+COUNTIF($Y$57:$Y$57,$B43&amp;" ~*")=0),($R43+COUNTIF($H$176:$H185,$B43)+COUNTIF($H$176:$H185,$B43&amp;" ~*"))*1000+IF(BK186&gt;100,500,0)+24,"")</f>
        <v/>
      </c>
    </row>
    <row r="187">
      <c r="A187" t="n">
        <v>7</v>
      </c>
      <c r="B187" t="n">
        <v>12</v>
      </c>
      <c r="C187">
        <f>$B$58</f>
        <v/>
      </c>
      <c r="D187" t="inlineStr">
        <is>
          <t>Sun</t>
        </is>
      </c>
      <c r="E187">
        <f>IF(C187="","",N($AC$58))</f>
        <v/>
      </c>
      <c r="F187">
        <f>IF(C187="","",COUNTIF($Y$58:$Y$58,"?*"))</f>
        <v/>
      </c>
      <c r="G187">
        <f>IF(C187="","",MAX(0,E187-F187))</f>
        <v/>
      </c>
      <c r="H187">
        <f>IF(N(G187)=0,"",IF(COUNT(BM187:CJ187)=0,"no-one eligible",INDEX(Engine!$B$20:$B$43,MOD(MIN(BM187:CJ187),500))&amp;IF(MOD(MIN(BM187:CJ187),1000)&gt;=500," *","")))</f>
        <v/>
      </c>
      <c r="I187">
        <f>IF(N(G187)&gt;0,COUNTIF($G$68:G187,"&gt;0"),"")</f>
        <v/>
      </c>
      <c r="J187">
        <f>IF(C187="","",IF($Y$58="",0,IF(IFERROR(INDEX(Setup!$O$6:$AL$23,12,MATCH(SUBSTITUTE($Y$58," *",""),Setup!$B$6:$B$29,0)),"")="",1,0)))</f>
        <v/>
      </c>
      <c r="K187">
        <f>IF($B$12+6=TODAY(),1,0)</f>
        <v/>
      </c>
      <c r="N187">
        <f>COUNT($AN187:$BK187)</f>
        <v/>
      </c>
      <c r="O187">
        <f>IF(1&gt;$N187,"",INDEX(Engine!$B$20:$B$43,MOD(SMALL($AN187:$BK187,1),100))&amp;IF(SMALL($AN187:$BK187,1)&gt;100," *",""))</f>
        <v/>
      </c>
      <c r="P187">
        <f>IF(2&gt;$N187,"",INDEX(Engine!$B$20:$B$43,MOD(SMALL($AN187:$BK187,2),100))&amp;IF(SMALL($AN187:$BK187,2)&gt;100," *",""))</f>
        <v/>
      </c>
      <c r="Q187">
        <f>IF(3&gt;$N187,"",INDEX(Engine!$B$20:$B$43,MOD(SMALL($AN187:$BK187,3),100))&amp;IF(SMALL($AN187:$BK187,3)&gt;100," *",""))</f>
        <v/>
      </c>
      <c r="R187">
        <f>IF(4&gt;$N187,"",INDEX(Engine!$B$20:$B$43,MOD(SMALL($AN187:$BK187,4),100))&amp;IF(SMALL($AN187:$BK187,4)&gt;100," *",""))</f>
        <v/>
      </c>
      <c r="S187">
        <f>IF(5&gt;$N187,"",INDEX(Engine!$B$20:$B$43,MOD(SMALL($AN187:$BK187,5),100))&amp;IF(SMALL($AN187:$BK187,5)&gt;100," *",""))</f>
        <v/>
      </c>
      <c r="T187">
        <f>IF(6&gt;$N187,"",INDEX(Engine!$B$20:$B$43,MOD(SMALL($AN187:$BK187,6),100))&amp;IF(SMALL($AN187:$BK187,6)&gt;100," *",""))</f>
        <v/>
      </c>
      <c r="U187">
        <f>IF(7&gt;$N187,"",INDEX(Engine!$B$20:$B$43,MOD(SMALL($AN187:$BK187,7),100))&amp;IF(SMALL($AN187:$BK187,7)&gt;100," *",""))</f>
        <v/>
      </c>
      <c r="V187">
        <f>IF(8&gt;$N187,"",INDEX(Engine!$B$20:$B$43,MOD(SMALL($AN187:$BK187,8),100))&amp;IF(SMALL($AN187:$BK187,8)&gt;100," *",""))</f>
        <v/>
      </c>
      <c r="W187">
        <f>IF(9&gt;$N187,"",INDEX(Engine!$B$20:$B$43,MOD(SMALL($AN187:$BK187,9),100))&amp;IF(SMALL($AN187:$BK187,9)&gt;100," *",""))</f>
        <v/>
      </c>
      <c r="X187">
        <f>IF(10&gt;$N187,"",INDEX(Engine!$B$20:$B$43,MOD(SMALL($AN187:$BK187,10),100))&amp;IF(SMALL($AN187:$BK187,10)&gt;100," *",""))</f>
        <v/>
      </c>
      <c r="Y187">
        <f>IF(11&gt;$N187,"",INDEX(Engine!$B$20:$B$43,MOD(SMALL($AN187:$BK187,11),100))&amp;IF(SMALL($AN187:$BK187,11)&gt;100," *",""))</f>
        <v/>
      </c>
      <c r="Z187">
        <f>IF(12&gt;$N187,"",INDEX(Engine!$B$20:$B$43,MOD(SMALL($AN187:$BK187,12),100))&amp;IF(SMALL($AN187:$BK187,12)&gt;100," *",""))</f>
        <v/>
      </c>
      <c r="AA187">
        <f>IF(13&gt;$N187,"",INDEX(Engine!$B$20:$B$43,MOD(SMALL($AN187:$BK187,13),100))&amp;IF(SMALL($AN187:$BK187,13)&gt;100," *",""))</f>
        <v/>
      </c>
      <c r="AB187">
        <f>IF(14&gt;$N187,"",INDEX(Engine!$B$20:$B$43,MOD(SMALL($AN187:$BK187,14),100))&amp;IF(SMALL($AN187:$BK187,14)&gt;100," *",""))</f>
        <v/>
      </c>
      <c r="AC187">
        <f>IF(15&gt;$N187,"",INDEX(Engine!$B$20:$B$43,MOD(SMALL($AN187:$BK187,15),100))&amp;IF(SMALL($AN187:$BK187,15)&gt;100," *",""))</f>
        <v/>
      </c>
      <c r="AD187">
        <f>IF(16&gt;$N187,"",INDEX(Engine!$B$20:$B$43,MOD(SMALL($AN187:$BK187,16),100))&amp;IF(SMALL($AN187:$BK187,16)&gt;100," *",""))</f>
        <v/>
      </c>
      <c r="AE187">
        <f>IF(17&gt;$N187,"",INDEX(Engine!$B$20:$B$43,MOD(SMALL($AN187:$BK187,17),100))&amp;IF(SMALL($AN187:$BK187,17)&gt;100," *",""))</f>
        <v/>
      </c>
      <c r="AF187">
        <f>IF(18&gt;$N187,"",INDEX(Engine!$B$20:$B$43,MOD(SMALL($AN187:$BK187,18),100))&amp;IF(SMALL($AN187:$BK187,18)&gt;100," *",""))</f>
        <v/>
      </c>
      <c r="AG187">
        <f>IF(19&gt;$N187,"",INDEX(Engine!$B$20:$B$43,MOD(SMALL($AN187:$BK187,19),100))&amp;IF(SMALL($AN187:$BK187,19)&gt;100," *",""))</f>
        <v/>
      </c>
      <c r="AH187">
        <f>IF(20&gt;$N187,"",INDEX(Engine!$B$20:$B$43,MOD(SMALL($AN187:$BK187,20),100))&amp;IF(SMALL($AN187:$BK187,20)&gt;100," *",""))</f>
        <v/>
      </c>
      <c r="AI187">
        <f>IF(21&gt;$N187,"",INDEX(Engine!$B$20:$B$43,MOD(SMALL($AN187:$BK187,21),100))&amp;IF(SMALL($AN187:$BK187,21)&gt;100," *",""))</f>
        <v/>
      </c>
      <c r="AJ187">
        <f>IF(22&gt;$N187,"",INDEX(Engine!$B$20:$B$43,MOD(SMALL($AN187:$BK187,22),100))&amp;IF(SMALL($AN187:$BK187,22)&gt;100," *",""))</f>
        <v/>
      </c>
      <c r="AK187">
        <f>IF(23&gt;$N187,"",INDEX(Engine!$B$20:$B$43,MOD(SMALL($AN187:$BK187,23),100))&amp;IF(SMALL($AN187:$BK187,23)&gt;100," *",""))</f>
        <v/>
      </c>
      <c r="AL187">
        <f>IF(24&gt;$N187,"",INDEX(Engine!$B$20:$B$43,MOD(SMALL($AN187:$BK187,24),100))&amp;IF(SMALL($AN187:$BK187,24)&gt;100," *",""))</f>
        <v/>
      </c>
      <c r="AN187">
        <f>IF(AND($C20=1,INDEX(Setup!$O$6:$AL$23,12,1)&lt;&gt;"",Q20=0),1+IF(INDEX(Setup!$O$6:$AL$23,12,1)="T",100,0),"")</f>
        <v/>
      </c>
      <c r="AO187">
        <f>IF(AND($C21=1,INDEX(Setup!$O$6:$AL$23,12,2)&lt;&gt;"",Q21=0),2+IF(INDEX(Setup!$O$6:$AL$23,12,2)="T",100,0),"")</f>
        <v/>
      </c>
      <c r="AP187">
        <f>IF(AND($C22=1,INDEX(Setup!$O$6:$AL$23,12,3)&lt;&gt;"",Q22=0),3+IF(INDEX(Setup!$O$6:$AL$23,12,3)="T",100,0),"")</f>
        <v/>
      </c>
      <c r="AQ187">
        <f>IF(AND($C23=1,INDEX(Setup!$O$6:$AL$23,12,4)&lt;&gt;"",Q23=0),4+IF(INDEX(Setup!$O$6:$AL$23,12,4)="T",100,0),"")</f>
        <v/>
      </c>
      <c r="AR187">
        <f>IF(AND($C24=1,INDEX(Setup!$O$6:$AL$23,12,5)&lt;&gt;"",Q24=0),5+IF(INDEX(Setup!$O$6:$AL$23,12,5)="T",100,0),"")</f>
        <v/>
      </c>
      <c r="AS187">
        <f>IF(AND($C25=1,INDEX(Setup!$O$6:$AL$23,12,6)&lt;&gt;"",Q25=0),6+IF(INDEX(Setup!$O$6:$AL$23,12,6)="T",100,0),"")</f>
        <v/>
      </c>
      <c r="AT187">
        <f>IF(AND($C26=1,INDEX(Setup!$O$6:$AL$23,12,7)&lt;&gt;"",Q26=0),7+IF(INDEX(Setup!$O$6:$AL$23,12,7)="T",100,0),"")</f>
        <v/>
      </c>
      <c r="AU187">
        <f>IF(AND($C27=1,INDEX(Setup!$O$6:$AL$23,12,8)&lt;&gt;"",Q27=0),8+IF(INDEX(Setup!$O$6:$AL$23,12,8)="T",100,0),"")</f>
        <v/>
      </c>
      <c r="AV187">
        <f>IF(AND($C28=1,INDEX(Setup!$O$6:$AL$23,12,9)&lt;&gt;"",Q28=0),9+IF(INDEX(Setup!$O$6:$AL$23,12,9)="T",100,0),"")</f>
        <v/>
      </c>
      <c r="AW187">
        <f>IF(AND($C29=1,INDEX(Setup!$O$6:$AL$23,12,10)&lt;&gt;"",Q29=0),10+IF(INDEX(Setup!$O$6:$AL$23,12,10)="T",100,0),"")</f>
        <v/>
      </c>
      <c r="AX187">
        <f>IF(AND($C30=1,INDEX(Setup!$O$6:$AL$23,12,11)&lt;&gt;"",Q30=0),11+IF(INDEX(Setup!$O$6:$AL$23,12,11)="T",100,0),"")</f>
        <v/>
      </c>
      <c r="AY187">
        <f>IF(AND($C31=1,INDEX(Setup!$O$6:$AL$23,12,12)&lt;&gt;"",Q31=0),12+IF(INDEX(Setup!$O$6:$AL$23,12,12)="T",100,0),"")</f>
        <v/>
      </c>
      <c r="AZ187">
        <f>IF(AND($C32=1,INDEX(Setup!$O$6:$AL$23,12,13)&lt;&gt;"",Q32=0),13+IF(INDEX(Setup!$O$6:$AL$23,12,13)="T",100,0),"")</f>
        <v/>
      </c>
      <c r="BA187">
        <f>IF(AND($C33=1,INDEX(Setup!$O$6:$AL$23,12,14)&lt;&gt;"",Q33=0),14+IF(INDEX(Setup!$O$6:$AL$23,12,14)="T",100,0),"")</f>
        <v/>
      </c>
      <c r="BB187">
        <f>IF(AND($C34=1,INDEX(Setup!$O$6:$AL$23,12,15)&lt;&gt;"",Q34=0),15+IF(INDEX(Setup!$O$6:$AL$23,12,15)="T",100,0),"")</f>
        <v/>
      </c>
      <c r="BC187">
        <f>IF(AND($C35=1,INDEX(Setup!$O$6:$AL$23,12,16)&lt;&gt;"",Q35=0),16+IF(INDEX(Setup!$O$6:$AL$23,12,16)="T",100,0),"")</f>
        <v/>
      </c>
      <c r="BD187">
        <f>IF(AND($C36=1,INDEX(Setup!$O$6:$AL$23,12,17)&lt;&gt;"",Q36=0),17+IF(INDEX(Setup!$O$6:$AL$23,12,17)="T",100,0),"")</f>
        <v/>
      </c>
      <c r="BE187">
        <f>IF(AND($C37=1,INDEX(Setup!$O$6:$AL$23,12,18)&lt;&gt;"",Q37=0),18+IF(INDEX(Setup!$O$6:$AL$23,12,18)="T",100,0),"")</f>
        <v/>
      </c>
      <c r="BF187">
        <f>IF(AND($C38=1,INDEX(Setup!$O$6:$AL$23,12,19)&lt;&gt;"",Q38=0),19+IF(INDEX(Setup!$O$6:$AL$23,12,19)="T",100,0),"")</f>
        <v/>
      </c>
      <c r="BG187">
        <f>IF(AND($C39=1,INDEX(Setup!$O$6:$AL$23,12,20)&lt;&gt;"",Q39=0),20+IF(INDEX(Setup!$O$6:$AL$23,12,20)="T",100,0),"")</f>
        <v/>
      </c>
      <c r="BH187">
        <f>IF(AND($C40=1,INDEX(Setup!$O$6:$AL$23,12,21)&lt;&gt;"",Q40=0),21+IF(INDEX(Setup!$O$6:$AL$23,12,21)="T",100,0),"")</f>
        <v/>
      </c>
      <c r="BI187">
        <f>IF(AND($C41=1,INDEX(Setup!$O$6:$AL$23,12,22)&lt;&gt;"",Q41=0),22+IF(INDEX(Setup!$O$6:$AL$23,12,22)="T",100,0),"")</f>
        <v/>
      </c>
      <c r="BJ187">
        <f>IF(AND($C42=1,INDEX(Setup!$O$6:$AL$23,12,23)&lt;&gt;"",Q42=0),23+IF(INDEX(Setup!$O$6:$AL$23,12,23)="T",100,0),"")</f>
        <v/>
      </c>
      <c r="BK187">
        <f>IF(AND($C43=1,INDEX(Setup!$O$6:$AL$23,12,24)&lt;&gt;"",Q43=0),24+IF(INDEX(Setup!$O$6:$AL$23,12,24)="T",100,0),"")</f>
        <v/>
      </c>
      <c r="BM187">
        <f>IF(AND(AN187&lt;&gt;"",COUNTIF($Y$58:$Y$58,$B20)+COUNTIF($Y$58:$Y$58,$B20&amp;" ~*")=0),($R20+COUNTIF($H$176:$H186,$B20)+COUNTIF($H$176:$H186,$B20&amp;" ~*"))*1000+IF(AN187&gt;100,500,0)+1,"")</f>
        <v/>
      </c>
      <c r="BN187">
        <f>IF(AND(AO187&lt;&gt;"",COUNTIF($Y$58:$Y$58,$B21)+COUNTIF($Y$58:$Y$58,$B21&amp;" ~*")=0),($R21+COUNTIF($H$176:$H186,$B21)+COUNTIF($H$176:$H186,$B21&amp;" ~*"))*1000+IF(AO187&gt;100,500,0)+2,"")</f>
        <v/>
      </c>
      <c r="BO187">
        <f>IF(AND(AP187&lt;&gt;"",COUNTIF($Y$58:$Y$58,$B22)+COUNTIF($Y$58:$Y$58,$B22&amp;" ~*")=0),($R22+COUNTIF($H$176:$H186,$B22)+COUNTIF($H$176:$H186,$B22&amp;" ~*"))*1000+IF(AP187&gt;100,500,0)+3,"")</f>
        <v/>
      </c>
      <c r="BP187">
        <f>IF(AND(AQ187&lt;&gt;"",COUNTIF($Y$58:$Y$58,$B23)+COUNTIF($Y$58:$Y$58,$B23&amp;" ~*")=0),($R23+COUNTIF($H$176:$H186,$B23)+COUNTIF($H$176:$H186,$B23&amp;" ~*"))*1000+IF(AQ187&gt;100,500,0)+4,"")</f>
        <v/>
      </c>
      <c r="BQ187">
        <f>IF(AND(AR187&lt;&gt;"",COUNTIF($Y$58:$Y$58,$B24)+COUNTIF($Y$58:$Y$58,$B24&amp;" ~*")=0),($R24+COUNTIF($H$176:$H186,$B24)+COUNTIF($H$176:$H186,$B24&amp;" ~*"))*1000+IF(AR187&gt;100,500,0)+5,"")</f>
        <v/>
      </c>
      <c r="BR187">
        <f>IF(AND(AS187&lt;&gt;"",COUNTIF($Y$58:$Y$58,$B25)+COUNTIF($Y$58:$Y$58,$B25&amp;" ~*")=0),($R25+COUNTIF($H$176:$H186,$B25)+COUNTIF($H$176:$H186,$B25&amp;" ~*"))*1000+IF(AS187&gt;100,500,0)+6,"")</f>
        <v/>
      </c>
      <c r="BS187">
        <f>IF(AND(AT187&lt;&gt;"",COUNTIF($Y$58:$Y$58,$B26)+COUNTIF($Y$58:$Y$58,$B26&amp;" ~*")=0),($R26+COUNTIF($H$176:$H186,$B26)+COUNTIF($H$176:$H186,$B26&amp;" ~*"))*1000+IF(AT187&gt;100,500,0)+7,"")</f>
        <v/>
      </c>
      <c r="BT187">
        <f>IF(AND(AU187&lt;&gt;"",COUNTIF($Y$58:$Y$58,$B27)+COUNTIF($Y$58:$Y$58,$B27&amp;" ~*")=0),($R27+COUNTIF($H$176:$H186,$B27)+COUNTIF($H$176:$H186,$B27&amp;" ~*"))*1000+IF(AU187&gt;100,500,0)+8,"")</f>
        <v/>
      </c>
      <c r="BU187">
        <f>IF(AND(AV187&lt;&gt;"",COUNTIF($Y$58:$Y$58,$B28)+COUNTIF($Y$58:$Y$58,$B28&amp;" ~*")=0),($R28+COUNTIF($H$176:$H186,$B28)+COUNTIF($H$176:$H186,$B28&amp;" ~*"))*1000+IF(AV187&gt;100,500,0)+9,"")</f>
        <v/>
      </c>
      <c r="BV187">
        <f>IF(AND(AW187&lt;&gt;"",COUNTIF($Y$58:$Y$58,$B29)+COUNTIF($Y$58:$Y$58,$B29&amp;" ~*")=0),($R29+COUNTIF($H$176:$H186,$B29)+COUNTIF($H$176:$H186,$B29&amp;" ~*"))*1000+IF(AW187&gt;100,500,0)+10,"")</f>
        <v/>
      </c>
      <c r="BW187">
        <f>IF(AND(AX187&lt;&gt;"",COUNTIF($Y$58:$Y$58,$B30)+COUNTIF($Y$58:$Y$58,$B30&amp;" ~*")=0),($R30+COUNTIF($H$176:$H186,$B30)+COUNTIF($H$176:$H186,$B30&amp;" ~*"))*1000+IF(AX187&gt;100,500,0)+11,"")</f>
        <v/>
      </c>
      <c r="BX187">
        <f>IF(AND(AY187&lt;&gt;"",COUNTIF($Y$58:$Y$58,$B31)+COUNTIF($Y$58:$Y$58,$B31&amp;" ~*")=0),($R31+COUNTIF($H$176:$H186,$B31)+COUNTIF($H$176:$H186,$B31&amp;" ~*"))*1000+IF(AY187&gt;100,500,0)+12,"")</f>
        <v/>
      </c>
      <c r="BY187">
        <f>IF(AND(AZ187&lt;&gt;"",COUNTIF($Y$58:$Y$58,$B32)+COUNTIF($Y$58:$Y$58,$B32&amp;" ~*")=0),($R32+COUNTIF($H$176:$H186,$B32)+COUNTIF($H$176:$H186,$B32&amp;" ~*"))*1000+IF(AZ187&gt;100,500,0)+13,"")</f>
        <v/>
      </c>
      <c r="BZ187">
        <f>IF(AND(BA187&lt;&gt;"",COUNTIF($Y$58:$Y$58,$B33)+COUNTIF($Y$58:$Y$58,$B33&amp;" ~*")=0),($R33+COUNTIF($H$176:$H186,$B33)+COUNTIF($H$176:$H186,$B33&amp;" ~*"))*1000+IF(BA187&gt;100,500,0)+14,"")</f>
        <v/>
      </c>
      <c r="CA187">
        <f>IF(AND(BB187&lt;&gt;"",COUNTIF($Y$58:$Y$58,$B34)+COUNTIF($Y$58:$Y$58,$B34&amp;" ~*")=0),($R34+COUNTIF($H$176:$H186,$B34)+COUNTIF($H$176:$H186,$B34&amp;" ~*"))*1000+IF(BB187&gt;100,500,0)+15,"")</f>
        <v/>
      </c>
      <c r="CB187">
        <f>IF(AND(BC187&lt;&gt;"",COUNTIF($Y$58:$Y$58,$B35)+COUNTIF($Y$58:$Y$58,$B35&amp;" ~*")=0),($R35+COUNTIF($H$176:$H186,$B35)+COUNTIF($H$176:$H186,$B35&amp;" ~*"))*1000+IF(BC187&gt;100,500,0)+16,"")</f>
        <v/>
      </c>
      <c r="CC187">
        <f>IF(AND(BD187&lt;&gt;"",COUNTIF($Y$58:$Y$58,$B36)+COUNTIF($Y$58:$Y$58,$B36&amp;" ~*")=0),($R36+COUNTIF($H$176:$H186,$B36)+COUNTIF($H$176:$H186,$B36&amp;" ~*"))*1000+IF(BD187&gt;100,500,0)+17,"")</f>
        <v/>
      </c>
      <c r="CD187">
        <f>IF(AND(BE187&lt;&gt;"",COUNTIF($Y$58:$Y$58,$B37)+COUNTIF($Y$58:$Y$58,$B37&amp;" ~*")=0),($R37+COUNTIF($H$176:$H186,$B37)+COUNTIF($H$176:$H186,$B37&amp;" ~*"))*1000+IF(BE187&gt;100,500,0)+18,"")</f>
        <v/>
      </c>
      <c r="CE187">
        <f>IF(AND(BF187&lt;&gt;"",COUNTIF($Y$58:$Y$58,$B38)+COUNTIF($Y$58:$Y$58,$B38&amp;" ~*")=0),($R38+COUNTIF($H$176:$H186,$B38)+COUNTIF($H$176:$H186,$B38&amp;" ~*"))*1000+IF(BF187&gt;100,500,0)+19,"")</f>
        <v/>
      </c>
      <c r="CF187">
        <f>IF(AND(BG187&lt;&gt;"",COUNTIF($Y$58:$Y$58,$B39)+COUNTIF($Y$58:$Y$58,$B39&amp;" ~*")=0),($R39+COUNTIF($H$176:$H186,$B39)+COUNTIF($H$176:$H186,$B39&amp;" ~*"))*1000+IF(BG187&gt;100,500,0)+20,"")</f>
        <v/>
      </c>
      <c r="CG187">
        <f>IF(AND(BH187&lt;&gt;"",COUNTIF($Y$58:$Y$58,$B40)+COUNTIF($Y$58:$Y$58,$B40&amp;" ~*")=0),($R40+COUNTIF($H$176:$H186,$B40)+COUNTIF($H$176:$H186,$B40&amp;" ~*"))*1000+IF(BH187&gt;100,500,0)+21,"")</f>
        <v/>
      </c>
      <c r="CH187">
        <f>IF(AND(BI187&lt;&gt;"",COUNTIF($Y$58:$Y$58,$B41)+COUNTIF($Y$58:$Y$58,$B41&amp;" ~*")=0),($R41+COUNTIF($H$176:$H186,$B41)+COUNTIF($H$176:$H186,$B41&amp;" ~*"))*1000+IF(BI187&gt;100,500,0)+22,"")</f>
        <v/>
      </c>
      <c r="CI187">
        <f>IF(AND(BJ187&lt;&gt;"",COUNTIF($Y$58:$Y$58,$B42)+COUNTIF($Y$58:$Y$58,$B42&amp;" ~*")=0),($R42+COUNTIF($H$176:$H186,$B42)+COUNTIF($H$176:$H186,$B42&amp;" ~*"))*1000+IF(BJ187&gt;100,500,0)+23,"")</f>
        <v/>
      </c>
      <c r="CJ187">
        <f>IF(AND(BK187&lt;&gt;"",COUNTIF($Y$58:$Y$58,$B43)+COUNTIF($Y$58:$Y$58,$B43&amp;" ~*")=0),($R43+COUNTIF($H$176:$H186,$B43)+COUNTIF($H$176:$H186,$B43&amp;" ~*"))*1000+IF(BK187&gt;100,500,0)+24,"")</f>
        <v/>
      </c>
    </row>
    <row r="188">
      <c r="A188" t="n">
        <v>7</v>
      </c>
      <c r="B188" t="n">
        <v>13</v>
      </c>
      <c r="C188">
        <f>$B$59</f>
        <v/>
      </c>
      <c r="D188" t="inlineStr">
        <is>
          <t>Sun</t>
        </is>
      </c>
      <c r="E188">
        <f>IF(C188="","",N($AC$59))</f>
        <v/>
      </c>
      <c r="F188">
        <f>IF(C188="","",COUNTIF($Y$59:$Y$59,"?*"))</f>
        <v/>
      </c>
      <c r="G188">
        <f>IF(C188="","",MAX(0,E188-F188))</f>
        <v/>
      </c>
      <c r="H188">
        <f>IF(N(G188)=0,"",IF(COUNT(BM188:CJ188)=0,"no-one eligible",INDEX(Engine!$B$20:$B$43,MOD(MIN(BM188:CJ188),500))&amp;IF(MOD(MIN(BM188:CJ188),1000)&gt;=500," *","")))</f>
        <v/>
      </c>
      <c r="I188">
        <f>IF(N(G188)&gt;0,COUNTIF($G$68:G188,"&gt;0"),"")</f>
        <v/>
      </c>
      <c r="J188">
        <f>IF(C188="","",IF($Y$59="",0,IF(IFERROR(INDEX(Setup!$O$6:$AL$23,13,MATCH(SUBSTITUTE($Y$59," *",""),Setup!$B$6:$B$29,0)),"")="",1,0)))</f>
        <v/>
      </c>
      <c r="K188">
        <f>IF($B$12+6=TODAY(),1,0)</f>
        <v/>
      </c>
      <c r="N188">
        <f>COUNT($AN188:$BK188)</f>
        <v/>
      </c>
      <c r="O188">
        <f>IF(1&gt;$N188,"",INDEX(Engine!$B$20:$B$43,MOD(SMALL($AN188:$BK188,1),100))&amp;IF(SMALL($AN188:$BK188,1)&gt;100," *",""))</f>
        <v/>
      </c>
      <c r="P188">
        <f>IF(2&gt;$N188,"",INDEX(Engine!$B$20:$B$43,MOD(SMALL($AN188:$BK188,2),100))&amp;IF(SMALL($AN188:$BK188,2)&gt;100," *",""))</f>
        <v/>
      </c>
      <c r="Q188">
        <f>IF(3&gt;$N188,"",INDEX(Engine!$B$20:$B$43,MOD(SMALL($AN188:$BK188,3),100))&amp;IF(SMALL($AN188:$BK188,3)&gt;100," *",""))</f>
        <v/>
      </c>
      <c r="R188">
        <f>IF(4&gt;$N188,"",INDEX(Engine!$B$20:$B$43,MOD(SMALL($AN188:$BK188,4),100))&amp;IF(SMALL($AN188:$BK188,4)&gt;100," *",""))</f>
        <v/>
      </c>
      <c r="S188">
        <f>IF(5&gt;$N188,"",INDEX(Engine!$B$20:$B$43,MOD(SMALL($AN188:$BK188,5),100))&amp;IF(SMALL($AN188:$BK188,5)&gt;100," *",""))</f>
        <v/>
      </c>
      <c r="T188">
        <f>IF(6&gt;$N188,"",INDEX(Engine!$B$20:$B$43,MOD(SMALL($AN188:$BK188,6),100))&amp;IF(SMALL($AN188:$BK188,6)&gt;100," *",""))</f>
        <v/>
      </c>
      <c r="U188">
        <f>IF(7&gt;$N188,"",INDEX(Engine!$B$20:$B$43,MOD(SMALL($AN188:$BK188,7),100))&amp;IF(SMALL($AN188:$BK188,7)&gt;100," *",""))</f>
        <v/>
      </c>
      <c r="V188">
        <f>IF(8&gt;$N188,"",INDEX(Engine!$B$20:$B$43,MOD(SMALL($AN188:$BK188,8),100))&amp;IF(SMALL($AN188:$BK188,8)&gt;100," *",""))</f>
        <v/>
      </c>
      <c r="W188">
        <f>IF(9&gt;$N188,"",INDEX(Engine!$B$20:$B$43,MOD(SMALL($AN188:$BK188,9),100))&amp;IF(SMALL($AN188:$BK188,9)&gt;100," *",""))</f>
        <v/>
      </c>
      <c r="X188">
        <f>IF(10&gt;$N188,"",INDEX(Engine!$B$20:$B$43,MOD(SMALL($AN188:$BK188,10),100))&amp;IF(SMALL($AN188:$BK188,10)&gt;100," *",""))</f>
        <v/>
      </c>
      <c r="Y188">
        <f>IF(11&gt;$N188,"",INDEX(Engine!$B$20:$B$43,MOD(SMALL($AN188:$BK188,11),100))&amp;IF(SMALL($AN188:$BK188,11)&gt;100," *",""))</f>
        <v/>
      </c>
      <c r="Z188">
        <f>IF(12&gt;$N188,"",INDEX(Engine!$B$20:$B$43,MOD(SMALL($AN188:$BK188,12),100))&amp;IF(SMALL($AN188:$BK188,12)&gt;100," *",""))</f>
        <v/>
      </c>
      <c r="AA188">
        <f>IF(13&gt;$N188,"",INDEX(Engine!$B$20:$B$43,MOD(SMALL($AN188:$BK188,13),100))&amp;IF(SMALL($AN188:$BK188,13)&gt;100," *",""))</f>
        <v/>
      </c>
      <c r="AB188">
        <f>IF(14&gt;$N188,"",INDEX(Engine!$B$20:$B$43,MOD(SMALL($AN188:$BK188,14),100))&amp;IF(SMALL($AN188:$BK188,14)&gt;100," *",""))</f>
        <v/>
      </c>
      <c r="AC188">
        <f>IF(15&gt;$N188,"",INDEX(Engine!$B$20:$B$43,MOD(SMALL($AN188:$BK188,15),100))&amp;IF(SMALL($AN188:$BK188,15)&gt;100," *",""))</f>
        <v/>
      </c>
      <c r="AD188">
        <f>IF(16&gt;$N188,"",INDEX(Engine!$B$20:$B$43,MOD(SMALL($AN188:$BK188,16),100))&amp;IF(SMALL($AN188:$BK188,16)&gt;100," *",""))</f>
        <v/>
      </c>
      <c r="AE188">
        <f>IF(17&gt;$N188,"",INDEX(Engine!$B$20:$B$43,MOD(SMALL($AN188:$BK188,17),100))&amp;IF(SMALL($AN188:$BK188,17)&gt;100," *",""))</f>
        <v/>
      </c>
      <c r="AF188">
        <f>IF(18&gt;$N188,"",INDEX(Engine!$B$20:$B$43,MOD(SMALL($AN188:$BK188,18),100))&amp;IF(SMALL($AN188:$BK188,18)&gt;100," *",""))</f>
        <v/>
      </c>
      <c r="AG188">
        <f>IF(19&gt;$N188,"",INDEX(Engine!$B$20:$B$43,MOD(SMALL($AN188:$BK188,19),100))&amp;IF(SMALL($AN188:$BK188,19)&gt;100," *",""))</f>
        <v/>
      </c>
      <c r="AH188">
        <f>IF(20&gt;$N188,"",INDEX(Engine!$B$20:$B$43,MOD(SMALL($AN188:$BK188,20),100))&amp;IF(SMALL($AN188:$BK188,20)&gt;100," *",""))</f>
        <v/>
      </c>
      <c r="AI188">
        <f>IF(21&gt;$N188,"",INDEX(Engine!$B$20:$B$43,MOD(SMALL($AN188:$BK188,21),100))&amp;IF(SMALL($AN188:$BK188,21)&gt;100," *",""))</f>
        <v/>
      </c>
      <c r="AJ188">
        <f>IF(22&gt;$N188,"",INDEX(Engine!$B$20:$B$43,MOD(SMALL($AN188:$BK188,22),100))&amp;IF(SMALL($AN188:$BK188,22)&gt;100," *",""))</f>
        <v/>
      </c>
      <c r="AK188">
        <f>IF(23&gt;$N188,"",INDEX(Engine!$B$20:$B$43,MOD(SMALL($AN188:$BK188,23),100))&amp;IF(SMALL($AN188:$BK188,23)&gt;100," *",""))</f>
        <v/>
      </c>
      <c r="AL188">
        <f>IF(24&gt;$N188,"",INDEX(Engine!$B$20:$B$43,MOD(SMALL($AN188:$BK188,24),100))&amp;IF(SMALL($AN188:$BK188,24)&gt;100," *",""))</f>
        <v/>
      </c>
      <c r="AN188">
        <f>IF(AND($C20=1,INDEX(Setup!$O$6:$AL$23,13,1)&lt;&gt;"",Q20=0),1+IF(INDEX(Setup!$O$6:$AL$23,13,1)="T",100,0),"")</f>
        <v/>
      </c>
      <c r="AO188">
        <f>IF(AND($C21=1,INDEX(Setup!$O$6:$AL$23,13,2)&lt;&gt;"",Q21=0),2+IF(INDEX(Setup!$O$6:$AL$23,13,2)="T",100,0),"")</f>
        <v/>
      </c>
      <c r="AP188">
        <f>IF(AND($C22=1,INDEX(Setup!$O$6:$AL$23,13,3)&lt;&gt;"",Q22=0),3+IF(INDEX(Setup!$O$6:$AL$23,13,3)="T",100,0),"")</f>
        <v/>
      </c>
      <c r="AQ188">
        <f>IF(AND($C23=1,INDEX(Setup!$O$6:$AL$23,13,4)&lt;&gt;"",Q23=0),4+IF(INDEX(Setup!$O$6:$AL$23,13,4)="T",100,0),"")</f>
        <v/>
      </c>
      <c r="AR188">
        <f>IF(AND($C24=1,INDEX(Setup!$O$6:$AL$23,13,5)&lt;&gt;"",Q24=0),5+IF(INDEX(Setup!$O$6:$AL$23,13,5)="T",100,0),"")</f>
        <v/>
      </c>
      <c r="AS188">
        <f>IF(AND($C25=1,INDEX(Setup!$O$6:$AL$23,13,6)&lt;&gt;"",Q25=0),6+IF(INDEX(Setup!$O$6:$AL$23,13,6)="T",100,0),"")</f>
        <v/>
      </c>
      <c r="AT188">
        <f>IF(AND($C26=1,INDEX(Setup!$O$6:$AL$23,13,7)&lt;&gt;"",Q26=0),7+IF(INDEX(Setup!$O$6:$AL$23,13,7)="T",100,0),"")</f>
        <v/>
      </c>
      <c r="AU188">
        <f>IF(AND($C27=1,INDEX(Setup!$O$6:$AL$23,13,8)&lt;&gt;"",Q27=0),8+IF(INDEX(Setup!$O$6:$AL$23,13,8)="T",100,0),"")</f>
        <v/>
      </c>
      <c r="AV188">
        <f>IF(AND($C28=1,INDEX(Setup!$O$6:$AL$23,13,9)&lt;&gt;"",Q28=0),9+IF(INDEX(Setup!$O$6:$AL$23,13,9)="T",100,0),"")</f>
        <v/>
      </c>
      <c r="AW188">
        <f>IF(AND($C29=1,INDEX(Setup!$O$6:$AL$23,13,10)&lt;&gt;"",Q29=0),10+IF(INDEX(Setup!$O$6:$AL$23,13,10)="T",100,0),"")</f>
        <v/>
      </c>
      <c r="AX188">
        <f>IF(AND($C30=1,INDEX(Setup!$O$6:$AL$23,13,11)&lt;&gt;"",Q30=0),11+IF(INDEX(Setup!$O$6:$AL$23,13,11)="T",100,0),"")</f>
        <v/>
      </c>
      <c r="AY188">
        <f>IF(AND($C31=1,INDEX(Setup!$O$6:$AL$23,13,12)&lt;&gt;"",Q31=0),12+IF(INDEX(Setup!$O$6:$AL$23,13,12)="T",100,0),"")</f>
        <v/>
      </c>
      <c r="AZ188">
        <f>IF(AND($C32=1,INDEX(Setup!$O$6:$AL$23,13,13)&lt;&gt;"",Q32=0),13+IF(INDEX(Setup!$O$6:$AL$23,13,13)="T",100,0),"")</f>
        <v/>
      </c>
      <c r="BA188">
        <f>IF(AND($C33=1,INDEX(Setup!$O$6:$AL$23,13,14)&lt;&gt;"",Q33=0),14+IF(INDEX(Setup!$O$6:$AL$23,13,14)="T",100,0),"")</f>
        <v/>
      </c>
      <c r="BB188">
        <f>IF(AND($C34=1,INDEX(Setup!$O$6:$AL$23,13,15)&lt;&gt;"",Q34=0),15+IF(INDEX(Setup!$O$6:$AL$23,13,15)="T",100,0),"")</f>
        <v/>
      </c>
      <c r="BC188">
        <f>IF(AND($C35=1,INDEX(Setup!$O$6:$AL$23,13,16)&lt;&gt;"",Q35=0),16+IF(INDEX(Setup!$O$6:$AL$23,13,16)="T",100,0),"")</f>
        <v/>
      </c>
      <c r="BD188">
        <f>IF(AND($C36=1,INDEX(Setup!$O$6:$AL$23,13,17)&lt;&gt;"",Q36=0),17+IF(INDEX(Setup!$O$6:$AL$23,13,17)="T",100,0),"")</f>
        <v/>
      </c>
      <c r="BE188">
        <f>IF(AND($C37=1,INDEX(Setup!$O$6:$AL$23,13,18)&lt;&gt;"",Q37=0),18+IF(INDEX(Setup!$O$6:$AL$23,13,18)="T",100,0),"")</f>
        <v/>
      </c>
      <c r="BF188">
        <f>IF(AND($C38=1,INDEX(Setup!$O$6:$AL$23,13,19)&lt;&gt;"",Q38=0),19+IF(INDEX(Setup!$O$6:$AL$23,13,19)="T",100,0),"")</f>
        <v/>
      </c>
      <c r="BG188">
        <f>IF(AND($C39=1,INDEX(Setup!$O$6:$AL$23,13,20)&lt;&gt;"",Q39=0),20+IF(INDEX(Setup!$O$6:$AL$23,13,20)="T",100,0),"")</f>
        <v/>
      </c>
      <c r="BH188">
        <f>IF(AND($C40=1,INDEX(Setup!$O$6:$AL$23,13,21)&lt;&gt;"",Q40=0),21+IF(INDEX(Setup!$O$6:$AL$23,13,21)="T",100,0),"")</f>
        <v/>
      </c>
      <c r="BI188">
        <f>IF(AND($C41=1,INDEX(Setup!$O$6:$AL$23,13,22)&lt;&gt;"",Q41=0),22+IF(INDEX(Setup!$O$6:$AL$23,13,22)="T",100,0),"")</f>
        <v/>
      </c>
      <c r="BJ188">
        <f>IF(AND($C42=1,INDEX(Setup!$O$6:$AL$23,13,23)&lt;&gt;"",Q42=0),23+IF(INDEX(Setup!$O$6:$AL$23,13,23)="T",100,0),"")</f>
        <v/>
      </c>
      <c r="BK188">
        <f>IF(AND($C43=1,INDEX(Setup!$O$6:$AL$23,13,24)&lt;&gt;"",Q43=0),24+IF(INDEX(Setup!$O$6:$AL$23,13,24)="T",100,0),"")</f>
        <v/>
      </c>
      <c r="BM188">
        <f>IF(AND(AN188&lt;&gt;"",COUNTIF($Y$59:$Y$59,$B20)+COUNTIF($Y$59:$Y$59,$B20&amp;" ~*")=0),($R20+COUNTIF($H$176:$H187,$B20)+COUNTIF($H$176:$H187,$B20&amp;" ~*"))*1000+IF(AN188&gt;100,500,0)+1,"")</f>
        <v/>
      </c>
      <c r="BN188">
        <f>IF(AND(AO188&lt;&gt;"",COUNTIF($Y$59:$Y$59,$B21)+COUNTIF($Y$59:$Y$59,$B21&amp;" ~*")=0),($R21+COUNTIF($H$176:$H187,$B21)+COUNTIF($H$176:$H187,$B21&amp;" ~*"))*1000+IF(AO188&gt;100,500,0)+2,"")</f>
        <v/>
      </c>
      <c r="BO188">
        <f>IF(AND(AP188&lt;&gt;"",COUNTIF($Y$59:$Y$59,$B22)+COUNTIF($Y$59:$Y$59,$B22&amp;" ~*")=0),($R22+COUNTIF($H$176:$H187,$B22)+COUNTIF($H$176:$H187,$B22&amp;" ~*"))*1000+IF(AP188&gt;100,500,0)+3,"")</f>
        <v/>
      </c>
      <c r="BP188">
        <f>IF(AND(AQ188&lt;&gt;"",COUNTIF($Y$59:$Y$59,$B23)+COUNTIF($Y$59:$Y$59,$B23&amp;" ~*")=0),($R23+COUNTIF($H$176:$H187,$B23)+COUNTIF($H$176:$H187,$B23&amp;" ~*"))*1000+IF(AQ188&gt;100,500,0)+4,"")</f>
        <v/>
      </c>
      <c r="BQ188">
        <f>IF(AND(AR188&lt;&gt;"",COUNTIF($Y$59:$Y$59,$B24)+COUNTIF($Y$59:$Y$59,$B24&amp;" ~*")=0),($R24+COUNTIF($H$176:$H187,$B24)+COUNTIF($H$176:$H187,$B24&amp;" ~*"))*1000+IF(AR188&gt;100,500,0)+5,"")</f>
        <v/>
      </c>
      <c r="BR188">
        <f>IF(AND(AS188&lt;&gt;"",COUNTIF($Y$59:$Y$59,$B25)+COUNTIF($Y$59:$Y$59,$B25&amp;" ~*")=0),($R25+COUNTIF($H$176:$H187,$B25)+COUNTIF($H$176:$H187,$B25&amp;" ~*"))*1000+IF(AS188&gt;100,500,0)+6,"")</f>
        <v/>
      </c>
      <c r="BS188">
        <f>IF(AND(AT188&lt;&gt;"",COUNTIF($Y$59:$Y$59,$B26)+COUNTIF($Y$59:$Y$59,$B26&amp;" ~*")=0),($R26+COUNTIF($H$176:$H187,$B26)+COUNTIF($H$176:$H187,$B26&amp;" ~*"))*1000+IF(AT188&gt;100,500,0)+7,"")</f>
        <v/>
      </c>
      <c r="BT188">
        <f>IF(AND(AU188&lt;&gt;"",COUNTIF($Y$59:$Y$59,$B27)+COUNTIF($Y$59:$Y$59,$B27&amp;" ~*")=0),($R27+COUNTIF($H$176:$H187,$B27)+COUNTIF($H$176:$H187,$B27&amp;" ~*"))*1000+IF(AU188&gt;100,500,0)+8,"")</f>
        <v/>
      </c>
      <c r="BU188">
        <f>IF(AND(AV188&lt;&gt;"",COUNTIF($Y$59:$Y$59,$B28)+COUNTIF($Y$59:$Y$59,$B28&amp;" ~*")=0),($R28+COUNTIF($H$176:$H187,$B28)+COUNTIF($H$176:$H187,$B28&amp;" ~*"))*1000+IF(AV188&gt;100,500,0)+9,"")</f>
        <v/>
      </c>
      <c r="BV188">
        <f>IF(AND(AW188&lt;&gt;"",COUNTIF($Y$59:$Y$59,$B29)+COUNTIF($Y$59:$Y$59,$B29&amp;" ~*")=0),($R29+COUNTIF($H$176:$H187,$B29)+COUNTIF($H$176:$H187,$B29&amp;" ~*"))*1000+IF(AW188&gt;100,500,0)+10,"")</f>
        <v/>
      </c>
      <c r="BW188">
        <f>IF(AND(AX188&lt;&gt;"",COUNTIF($Y$59:$Y$59,$B30)+COUNTIF($Y$59:$Y$59,$B30&amp;" ~*")=0),($R30+COUNTIF($H$176:$H187,$B30)+COUNTIF($H$176:$H187,$B30&amp;" ~*"))*1000+IF(AX188&gt;100,500,0)+11,"")</f>
        <v/>
      </c>
      <c r="BX188">
        <f>IF(AND(AY188&lt;&gt;"",COUNTIF($Y$59:$Y$59,$B31)+COUNTIF($Y$59:$Y$59,$B31&amp;" ~*")=0),($R31+COUNTIF($H$176:$H187,$B31)+COUNTIF($H$176:$H187,$B31&amp;" ~*"))*1000+IF(AY188&gt;100,500,0)+12,"")</f>
        <v/>
      </c>
      <c r="BY188">
        <f>IF(AND(AZ188&lt;&gt;"",COUNTIF($Y$59:$Y$59,$B32)+COUNTIF($Y$59:$Y$59,$B32&amp;" ~*")=0),($R32+COUNTIF($H$176:$H187,$B32)+COUNTIF($H$176:$H187,$B32&amp;" ~*"))*1000+IF(AZ188&gt;100,500,0)+13,"")</f>
        <v/>
      </c>
      <c r="BZ188">
        <f>IF(AND(BA188&lt;&gt;"",COUNTIF($Y$59:$Y$59,$B33)+COUNTIF($Y$59:$Y$59,$B33&amp;" ~*")=0),($R33+COUNTIF($H$176:$H187,$B33)+COUNTIF($H$176:$H187,$B33&amp;" ~*"))*1000+IF(BA188&gt;100,500,0)+14,"")</f>
        <v/>
      </c>
      <c r="CA188">
        <f>IF(AND(BB188&lt;&gt;"",COUNTIF($Y$59:$Y$59,$B34)+COUNTIF($Y$59:$Y$59,$B34&amp;" ~*")=0),($R34+COUNTIF($H$176:$H187,$B34)+COUNTIF($H$176:$H187,$B34&amp;" ~*"))*1000+IF(BB188&gt;100,500,0)+15,"")</f>
        <v/>
      </c>
      <c r="CB188">
        <f>IF(AND(BC188&lt;&gt;"",COUNTIF($Y$59:$Y$59,$B35)+COUNTIF($Y$59:$Y$59,$B35&amp;" ~*")=0),($R35+COUNTIF($H$176:$H187,$B35)+COUNTIF($H$176:$H187,$B35&amp;" ~*"))*1000+IF(BC188&gt;100,500,0)+16,"")</f>
        <v/>
      </c>
      <c r="CC188">
        <f>IF(AND(BD188&lt;&gt;"",COUNTIF($Y$59:$Y$59,$B36)+COUNTIF($Y$59:$Y$59,$B36&amp;" ~*")=0),($R36+COUNTIF($H$176:$H187,$B36)+COUNTIF($H$176:$H187,$B36&amp;" ~*"))*1000+IF(BD188&gt;100,500,0)+17,"")</f>
        <v/>
      </c>
      <c r="CD188">
        <f>IF(AND(BE188&lt;&gt;"",COUNTIF($Y$59:$Y$59,$B37)+COUNTIF($Y$59:$Y$59,$B37&amp;" ~*")=0),($R37+COUNTIF($H$176:$H187,$B37)+COUNTIF($H$176:$H187,$B37&amp;" ~*"))*1000+IF(BE188&gt;100,500,0)+18,"")</f>
        <v/>
      </c>
      <c r="CE188">
        <f>IF(AND(BF188&lt;&gt;"",COUNTIF($Y$59:$Y$59,$B38)+COUNTIF($Y$59:$Y$59,$B38&amp;" ~*")=0),($R38+COUNTIF($H$176:$H187,$B38)+COUNTIF($H$176:$H187,$B38&amp;" ~*"))*1000+IF(BF188&gt;100,500,0)+19,"")</f>
        <v/>
      </c>
      <c r="CF188">
        <f>IF(AND(BG188&lt;&gt;"",COUNTIF($Y$59:$Y$59,$B39)+COUNTIF($Y$59:$Y$59,$B39&amp;" ~*")=0),($R39+COUNTIF($H$176:$H187,$B39)+COUNTIF($H$176:$H187,$B39&amp;" ~*"))*1000+IF(BG188&gt;100,500,0)+20,"")</f>
        <v/>
      </c>
      <c r="CG188">
        <f>IF(AND(BH188&lt;&gt;"",COUNTIF($Y$59:$Y$59,$B40)+COUNTIF($Y$59:$Y$59,$B40&amp;" ~*")=0),($R40+COUNTIF($H$176:$H187,$B40)+COUNTIF($H$176:$H187,$B40&amp;" ~*"))*1000+IF(BH188&gt;100,500,0)+21,"")</f>
        <v/>
      </c>
      <c r="CH188">
        <f>IF(AND(BI188&lt;&gt;"",COUNTIF($Y$59:$Y$59,$B41)+COUNTIF($Y$59:$Y$59,$B41&amp;" ~*")=0),($R41+COUNTIF($H$176:$H187,$B41)+COUNTIF($H$176:$H187,$B41&amp;" ~*"))*1000+IF(BI188&gt;100,500,0)+22,"")</f>
        <v/>
      </c>
      <c r="CI188">
        <f>IF(AND(BJ188&lt;&gt;"",COUNTIF($Y$59:$Y$59,$B42)+COUNTIF($Y$59:$Y$59,$B42&amp;" ~*")=0),($R42+COUNTIF($H$176:$H187,$B42)+COUNTIF($H$176:$H187,$B42&amp;" ~*"))*1000+IF(BJ188&gt;100,500,0)+23,"")</f>
        <v/>
      </c>
      <c r="CJ188">
        <f>IF(AND(BK188&lt;&gt;"",COUNTIF($Y$59:$Y$59,$B43)+COUNTIF($Y$59:$Y$59,$B43&amp;" ~*")=0),($R43+COUNTIF($H$176:$H187,$B43)+COUNTIF($H$176:$H187,$B43&amp;" ~*"))*1000+IF(BK188&gt;100,500,0)+24,"")</f>
        <v/>
      </c>
    </row>
    <row r="189">
      <c r="A189" t="n">
        <v>7</v>
      </c>
      <c r="B189" t="n">
        <v>14</v>
      </c>
      <c r="C189">
        <f>$B$60</f>
        <v/>
      </c>
      <c r="D189" t="inlineStr">
        <is>
          <t>Sun</t>
        </is>
      </c>
      <c r="E189">
        <f>IF(C189="","",N($AC$60))</f>
        <v/>
      </c>
      <c r="F189">
        <f>IF(C189="","",COUNTIF($Y$60:$Y$60,"?*"))</f>
        <v/>
      </c>
      <c r="G189">
        <f>IF(C189="","",MAX(0,E189-F189))</f>
        <v/>
      </c>
      <c r="H189">
        <f>IF(N(G189)=0,"",IF(COUNT(BM189:CJ189)=0,"no-one eligible",INDEX(Engine!$B$20:$B$43,MOD(MIN(BM189:CJ189),500))&amp;IF(MOD(MIN(BM189:CJ189),1000)&gt;=500," *","")))</f>
        <v/>
      </c>
      <c r="I189">
        <f>IF(N(G189)&gt;0,COUNTIF($G$68:G189,"&gt;0"),"")</f>
        <v/>
      </c>
      <c r="J189">
        <f>IF(C189="","",IF($Y$60="",0,IF(IFERROR(INDEX(Setup!$O$6:$AL$23,14,MATCH(SUBSTITUTE($Y$60," *",""),Setup!$B$6:$B$29,0)),"")="",1,0)))</f>
        <v/>
      </c>
      <c r="K189">
        <f>IF($B$12+6=TODAY(),1,0)</f>
        <v/>
      </c>
      <c r="N189">
        <f>COUNT($AN189:$BK189)</f>
        <v/>
      </c>
      <c r="O189">
        <f>IF(1&gt;$N189,"",INDEX(Engine!$B$20:$B$43,MOD(SMALL($AN189:$BK189,1),100))&amp;IF(SMALL($AN189:$BK189,1)&gt;100," *",""))</f>
        <v/>
      </c>
      <c r="P189">
        <f>IF(2&gt;$N189,"",INDEX(Engine!$B$20:$B$43,MOD(SMALL($AN189:$BK189,2),100))&amp;IF(SMALL($AN189:$BK189,2)&gt;100," *",""))</f>
        <v/>
      </c>
      <c r="Q189">
        <f>IF(3&gt;$N189,"",INDEX(Engine!$B$20:$B$43,MOD(SMALL($AN189:$BK189,3),100))&amp;IF(SMALL($AN189:$BK189,3)&gt;100," *",""))</f>
        <v/>
      </c>
      <c r="R189">
        <f>IF(4&gt;$N189,"",INDEX(Engine!$B$20:$B$43,MOD(SMALL($AN189:$BK189,4),100))&amp;IF(SMALL($AN189:$BK189,4)&gt;100," *",""))</f>
        <v/>
      </c>
      <c r="S189">
        <f>IF(5&gt;$N189,"",INDEX(Engine!$B$20:$B$43,MOD(SMALL($AN189:$BK189,5),100))&amp;IF(SMALL($AN189:$BK189,5)&gt;100," *",""))</f>
        <v/>
      </c>
      <c r="T189">
        <f>IF(6&gt;$N189,"",INDEX(Engine!$B$20:$B$43,MOD(SMALL($AN189:$BK189,6),100))&amp;IF(SMALL($AN189:$BK189,6)&gt;100," *",""))</f>
        <v/>
      </c>
      <c r="U189">
        <f>IF(7&gt;$N189,"",INDEX(Engine!$B$20:$B$43,MOD(SMALL($AN189:$BK189,7),100))&amp;IF(SMALL($AN189:$BK189,7)&gt;100," *",""))</f>
        <v/>
      </c>
      <c r="V189">
        <f>IF(8&gt;$N189,"",INDEX(Engine!$B$20:$B$43,MOD(SMALL($AN189:$BK189,8),100))&amp;IF(SMALL($AN189:$BK189,8)&gt;100," *",""))</f>
        <v/>
      </c>
      <c r="W189">
        <f>IF(9&gt;$N189,"",INDEX(Engine!$B$20:$B$43,MOD(SMALL($AN189:$BK189,9),100))&amp;IF(SMALL($AN189:$BK189,9)&gt;100," *",""))</f>
        <v/>
      </c>
      <c r="X189">
        <f>IF(10&gt;$N189,"",INDEX(Engine!$B$20:$B$43,MOD(SMALL($AN189:$BK189,10),100))&amp;IF(SMALL($AN189:$BK189,10)&gt;100," *",""))</f>
        <v/>
      </c>
      <c r="Y189">
        <f>IF(11&gt;$N189,"",INDEX(Engine!$B$20:$B$43,MOD(SMALL($AN189:$BK189,11),100))&amp;IF(SMALL($AN189:$BK189,11)&gt;100," *",""))</f>
        <v/>
      </c>
      <c r="Z189">
        <f>IF(12&gt;$N189,"",INDEX(Engine!$B$20:$B$43,MOD(SMALL($AN189:$BK189,12),100))&amp;IF(SMALL($AN189:$BK189,12)&gt;100," *",""))</f>
        <v/>
      </c>
      <c r="AA189">
        <f>IF(13&gt;$N189,"",INDEX(Engine!$B$20:$B$43,MOD(SMALL($AN189:$BK189,13),100))&amp;IF(SMALL($AN189:$BK189,13)&gt;100," *",""))</f>
        <v/>
      </c>
      <c r="AB189">
        <f>IF(14&gt;$N189,"",INDEX(Engine!$B$20:$B$43,MOD(SMALL($AN189:$BK189,14),100))&amp;IF(SMALL($AN189:$BK189,14)&gt;100," *",""))</f>
        <v/>
      </c>
      <c r="AC189">
        <f>IF(15&gt;$N189,"",INDEX(Engine!$B$20:$B$43,MOD(SMALL($AN189:$BK189,15),100))&amp;IF(SMALL($AN189:$BK189,15)&gt;100," *",""))</f>
        <v/>
      </c>
      <c r="AD189">
        <f>IF(16&gt;$N189,"",INDEX(Engine!$B$20:$B$43,MOD(SMALL($AN189:$BK189,16),100))&amp;IF(SMALL($AN189:$BK189,16)&gt;100," *",""))</f>
        <v/>
      </c>
      <c r="AE189">
        <f>IF(17&gt;$N189,"",INDEX(Engine!$B$20:$B$43,MOD(SMALL($AN189:$BK189,17),100))&amp;IF(SMALL($AN189:$BK189,17)&gt;100," *",""))</f>
        <v/>
      </c>
      <c r="AF189">
        <f>IF(18&gt;$N189,"",INDEX(Engine!$B$20:$B$43,MOD(SMALL($AN189:$BK189,18),100))&amp;IF(SMALL($AN189:$BK189,18)&gt;100," *",""))</f>
        <v/>
      </c>
      <c r="AG189">
        <f>IF(19&gt;$N189,"",INDEX(Engine!$B$20:$B$43,MOD(SMALL($AN189:$BK189,19),100))&amp;IF(SMALL($AN189:$BK189,19)&gt;100," *",""))</f>
        <v/>
      </c>
      <c r="AH189">
        <f>IF(20&gt;$N189,"",INDEX(Engine!$B$20:$B$43,MOD(SMALL($AN189:$BK189,20),100))&amp;IF(SMALL($AN189:$BK189,20)&gt;100," *",""))</f>
        <v/>
      </c>
      <c r="AI189">
        <f>IF(21&gt;$N189,"",INDEX(Engine!$B$20:$B$43,MOD(SMALL($AN189:$BK189,21),100))&amp;IF(SMALL($AN189:$BK189,21)&gt;100," *",""))</f>
        <v/>
      </c>
      <c r="AJ189">
        <f>IF(22&gt;$N189,"",INDEX(Engine!$B$20:$B$43,MOD(SMALL($AN189:$BK189,22),100))&amp;IF(SMALL($AN189:$BK189,22)&gt;100," *",""))</f>
        <v/>
      </c>
      <c r="AK189">
        <f>IF(23&gt;$N189,"",INDEX(Engine!$B$20:$B$43,MOD(SMALL($AN189:$BK189,23),100))&amp;IF(SMALL($AN189:$BK189,23)&gt;100," *",""))</f>
        <v/>
      </c>
      <c r="AL189">
        <f>IF(24&gt;$N189,"",INDEX(Engine!$B$20:$B$43,MOD(SMALL($AN189:$BK189,24),100))&amp;IF(SMALL($AN189:$BK189,24)&gt;100," *",""))</f>
        <v/>
      </c>
      <c r="AN189">
        <f>IF(AND($C20=1,INDEX(Setup!$O$6:$AL$23,14,1)&lt;&gt;"",Q20=0),1+IF(INDEX(Setup!$O$6:$AL$23,14,1)="T",100,0),"")</f>
        <v/>
      </c>
      <c r="AO189">
        <f>IF(AND($C21=1,INDEX(Setup!$O$6:$AL$23,14,2)&lt;&gt;"",Q21=0),2+IF(INDEX(Setup!$O$6:$AL$23,14,2)="T",100,0),"")</f>
        <v/>
      </c>
      <c r="AP189">
        <f>IF(AND($C22=1,INDEX(Setup!$O$6:$AL$23,14,3)&lt;&gt;"",Q22=0),3+IF(INDEX(Setup!$O$6:$AL$23,14,3)="T",100,0),"")</f>
        <v/>
      </c>
      <c r="AQ189">
        <f>IF(AND($C23=1,INDEX(Setup!$O$6:$AL$23,14,4)&lt;&gt;"",Q23=0),4+IF(INDEX(Setup!$O$6:$AL$23,14,4)="T",100,0),"")</f>
        <v/>
      </c>
      <c r="AR189">
        <f>IF(AND($C24=1,INDEX(Setup!$O$6:$AL$23,14,5)&lt;&gt;"",Q24=0),5+IF(INDEX(Setup!$O$6:$AL$23,14,5)="T",100,0),"")</f>
        <v/>
      </c>
      <c r="AS189">
        <f>IF(AND($C25=1,INDEX(Setup!$O$6:$AL$23,14,6)&lt;&gt;"",Q25=0),6+IF(INDEX(Setup!$O$6:$AL$23,14,6)="T",100,0),"")</f>
        <v/>
      </c>
      <c r="AT189">
        <f>IF(AND($C26=1,INDEX(Setup!$O$6:$AL$23,14,7)&lt;&gt;"",Q26=0),7+IF(INDEX(Setup!$O$6:$AL$23,14,7)="T",100,0),"")</f>
        <v/>
      </c>
      <c r="AU189">
        <f>IF(AND($C27=1,INDEX(Setup!$O$6:$AL$23,14,8)&lt;&gt;"",Q27=0),8+IF(INDEX(Setup!$O$6:$AL$23,14,8)="T",100,0),"")</f>
        <v/>
      </c>
      <c r="AV189">
        <f>IF(AND($C28=1,INDEX(Setup!$O$6:$AL$23,14,9)&lt;&gt;"",Q28=0),9+IF(INDEX(Setup!$O$6:$AL$23,14,9)="T",100,0),"")</f>
        <v/>
      </c>
      <c r="AW189">
        <f>IF(AND($C29=1,INDEX(Setup!$O$6:$AL$23,14,10)&lt;&gt;"",Q29=0),10+IF(INDEX(Setup!$O$6:$AL$23,14,10)="T",100,0),"")</f>
        <v/>
      </c>
      <c r="AX189">
        <f>IF(AND($C30=1,INDEX(Setup!$O$6:$AL$23,14,11)&lt;&gt;"",Q30=0),11+IF(INDEX(Setup!$O$6:$AL$23,14,11)="T",100,0),"")</f>
        <v/>
      </c>
      <c r="AY189">
        <f>IF(AND($C31=1,INDEX(Setup!$O$6:$AL$23,14,12)&lt;&gt;"",Q31=0),12+IF(INDEX(Setup!$O$6:$AL$23,14,12)="T",100,0),"")</f>
        <v/>
      </c>
      <c r="AZ189">
        <f>IF(AND($C32=1,INDEX(Setup!$O$6:$AL$23,14,13)&lt;&gt;"",Q32=0),13+IF(INDEX(Setup!$O$6:$AL$23,14,13)="T",100,0),"")</f>
        <v/>
      </c>
      <c r="BA189">
        <f>IF(AND($C33=1,INDEX(Setup!$O$6:$AL$23,14,14)&lt;&gt;"",Q33=0),14+IF(INDEX(Setup!$O$6:$AL$23,14,14)="T",100,0),"")</f>
        <v/>
      </c>
      <c r="BB189">
        <f>IF(AND($C34=1,INDEX(Setup!$O$6:$AL$23,14,15)&lt;&gt;"",Q34=0),15+IF(INDEX(Setup!$O$6:$AL$23,14,15)="T",100,0),"")</f>
        <v/>
      </c>
      <c r="BC189">
        <f>IF(AND($C35=1,INDEX(Setup!$O$6:$AL$23,14,16)&lt;&gt;"",Q35=0),16+IF(INDEX(Setup!$O$6:$AL$23,14,16)="T",100,0),"")</f>
        <v/>
      </c>
      <c r="BD189">
        <f>IF(AND($C36=1,INDEX(Setup!$O$6:$AL$23,14,17)&lt;&gt;"",Q36=0),17+IF(INDEX(Setup!$O$6:$AL$23,14,17)="T",100,0),"")</f>
        <v/>
      </c>
      <c r="BE189">
        <f>IF(AND($C37=1,INDEX(Setup!$O$6:$AL$23,14,18)&lt;&gt;"",Q37=0),18+IF(INDEX(Setup!$O$6:$AL$23,14,18)="T",100,0),"")</f>
        <v/>
      </c>
      <c r="BF189">
        <f>IF(AND($C38=1,INDEX(Setup!$O$6:$AL$23,14,19)&lt;&gt;"",Q38=0),19+IF(INDEX(Setup!$O$6:$AL$23,14,19)="T",100,0),"")</f>
        <v/>
      </c>
      <c r="BG189">
        <f>IF(AND($C39=1,INDEX(Setup!$O$6:$AL$23,14,20)&lt;&gt;"",Q39=0),20+IF(INDEX(Setup!$O$6:$AL$23,14,20)="T",100,0),"")</f>
        <v/>
      </c>
      <c r="BH189">
        <f>IF(AND($C40=1,INDEX(Setup!$O$6:$AL$23,14,21)&lt;&gt;"",Q40=0),21+IF(INDEX(Setup!$O$6:$AL$23,14,21)="T",100,0),"")</f>
        <v/>
      </c>
      <c r="BI189">
        <f>IF(AND($C41=1,INDEX(Setup!$O$6:$AL$23,14,22)&lt;&gt;"",Q41=0),22+IF(INDEX(Setup!$O$6:$AL$23,14,22)="T",100,0),"")</f>
        <v/>
      </c>
      <c r="BJ189">
        <f>IF(AND($C42=1,INDEX(Setup!$O$6:$AL$23,14,23)&lt;&gt;"",Q42=0),23+IF(INDEX(Setup!$O$6:$AL$23,14,23)="T",100,0),"")</f>
        <v/>
      </c>
      <c r="BK189">
        <f>IF(AND($C43=1,INDEX(Setup!$O$6:$AL$23,14,24)&lt;&gt;"",Q43=0),24+IF(INDEX(Setup!$O$6:$AL$23,14,24)="T",100,0),"")</f>
        <v/>
      </c>
      <c r="BM189">
        <f>IF(AND(AN189&lt;&gt;"",COUNTIF($Y$60:$Y$60,$B20)+COUNTIF($Y$60:$Y$60,$B20&amp;" ~*")=0),($R20+COUNTIF($H$176:$H188,$B20)+COUNTIF($H$176:$H188,$B20&amp;" ~*"))*1000+IF(AN189&gt;100,500,0)+1,"")</f>
        <v/>
      </c>
      <c r="BN189">
        <f>IF(AND(AO189&lt;&gt;"",COUNTIF($Y$60:$Y$60,$B21)+COUNTIF($Y$60:$Y$60,$B21&amp;" ~*")=0),($R21+COUNTIF($H$176:$H188,$B21)+COUNTIF($H$176:$H188,$B21&amp;" ~*"))*1000+IF(AO189&gt;100,500,0)+2,"")</f>
        <v/>
      </c>
      <c r="BO189">
        <f>IF(AND(AP189&lt;&gt;"",COUNTIF($Y$60:$Y$60,$B22)+COUNTIF($Y$60:$Y$60,$B22&amp;" ~*")=0),($R22+COUNTIF($H$176:$H188,$B22)+COUNTIF($H$176:$H188,$B22&amp;" ~*"))*1000+IF(AP189&gt;100,500,0)+3,"")</f>
        <v/>
      </c>
      <c r="BP189">
        <f>IF(AND(AQ189&lt;&gt;"",COUNTIF($Y$60:$Y$60,$B23)+COUNTIF($Y$60:$Y$60,$B23&amp;" ~*")=0),($R23+COUNTIF($H$176:$H188,$B23)+COUNTIF($H$176:$H188,$B23&amp;" ~*"))*1000+IF(AQ189&gt;100,500,0)+4,"")</f>
        <v/>
      </c>
      <c r="BQ189">
        <f>IF(AND(AR189&lt;&gt;"",COUNTIF($Y$60:$Y$60,$B24)+COUNTIF($Y$60:$Y$60,$B24&amp;" ~*")=0),($R24+COUNTIF($H$176:$H188,$B24)+COUNTIF($H$176:$H188,$B24&amp;" ~*"))*1000+IF(AR189&gt;100,500,0)+5,"")</f>
        <v/>
      </c>
      <c r="BR189">
        <f>IF(AND(AS189&lt;&gt;"",COUNTIF($Y$60:$Y$60,$B25)+COUNTIF($Y$60:$Y$60,$B25&amp;" ~*")=0),($R25+COUNTIF($H$176:$H188,$B25)+COUNTIF($H$176:$H188,$B25&amp;" ~*"))*1000+IF(AS189&gt;100,500,0)+6,"")</f>
        <v/>
      </c>
      <c r="BS189">
        <f>IF(AND(AT189&lt;&gt;"",COUNTIF($Y$60:$Y$60,$B26)+COUNTIF($Y$60:$Y$60,$B26&amp;" ~*")=0),($R26+COUNTIF($H$176:$H188,$B26)+COUNTIF($H$176:$H188,$B26&amp;" ~*"))*1000+IF(AT189&gt;100,500,0)+7,"")</f>
        <v/>
      </c>
      <c r="BT189">
        <f>IF(AND(AU189&lt;&gt;"",COUNTIF($Y$60:$Y$60,$B27)+COUNTIF($Y$60:$Y$60,$B27&amp;" ~*")=0),($R27+COUNTIF($H$176:$H188,$B27)+COUNTIF($H$176:$H188,$B27&amp;" ~*"))*1000+IF(AU189&gt;100,500,0)+8,"")</f>
        <v/>
      </c>
      <c r="BU189">
        <f>IF(AND(AV189&lt;&gt;"",COUNTIF($Y$60:$Y$60,$B28)+COUNTIF($Y$60:$Y$60,$B28&amp;" ~*")=0),($R28+COUNTIF($H$176:$H188,$B28)+COUNTIF($H$176:$H188,$B28&amp;" ~*"))*1000+IF(AV189&gt;100,500,0)+9,"")</f>
        <v/>
      </c>
      <c r="BV189">
        <f>IF(AND(AW189&lt;&gt;"",COUNTIF($Y$60:$Y$60,$B29)+COUNTIF($Y$60:$Y$60,$B29&amp;" ~*")=0),($R29+COUNTIF($H$176:$H188,$B29)+COUNTIF($H$176:$H188,$B29&amp;" ~*"))*1000+IF(AW189&gt;100,500,0)+10,"")</f>
        <v/>
      </c>
      <c r="BW189">
        <f>IF(AND(AX189&lt;&gt;"",COUNTIF($Y$60:$Y$60,$B30)+COUNTIF($Y$60:$Y$60,$B30&amp;" ~*")=0),($R30+COUNTIF($H$176:$H188,$B30)+COUNTIF($H$176:$H188,$B30&amp;" ~*"))*1000+IF(AX189&gt;100,500,0)+11,"")</f>
        <v/>
      </c>
      <c r="BX189">
        <f>IF(AND(AY189&lt;&gt;"",COUNTIF($Y$60:$Y$60,$B31)+COUNTIF($Y$60:$Y$60,$B31&amp;" ~*")=0),($R31+COUNTIF($H$176:$H188,$B31)+COUNTIF($H$176:$H188,$B31&amp;" ~*"))*1000+IF(AY189&gt;100,500,0)+12,"")</f>
        <v/>
      </c>
      <c r="BY189">
        <f>IF(AND(AZ189&lt;&gt;"",COUNTIF($Y$60:$Y$60,$B32)+COUNTIF($Y$60:$Y$60,$B32&amp;" ~*")=0),($R32+COUNTIF($H$176:$H188,$B32)+COUNTIF($H$176:$H188,$B32&amp;" ~*"))*1000+IF(AZ189&gt;100,500,0)+13,"")</f>
        <v/>
      </c>
      <c r="BZ189">
        <f>IF(AND(BA189&lt;&gt;"",COUNTIF($Y$60:$Y$60,$B33)+COUNTIF($Y$60:$Y$60,$B33&amp;" ~*")=0),($R33+COUNTIF($H$176:$H188,$B33)+COUNTIF($H$176:$H188,$B33&amp;" ~*"))*1000+IF(BA189&gt;100,500,0)+14,"")</f>
        <v/>
      </c>
      <c r="CA189">
        <f>IF(AND(BB189&lt;&gt;"",COUNTIF($Y$60:$Y$60,$B34)+COUNTIF($Y$60:$Y$60,$B34&amp;" ~*")=0),($R34+COUNTIF($H$176:$H188,$B34)+COUNTIF($H$176:$H188,$B34&amp;" ~*"))*1000+IF(BB189&gt;100,500,0)+15,"")</f>
        <v/>
      </c>
      <c r="CB189">
        <f>IF(AND(BC189&lt;&gt;"",COUNTIF($Y$60:$Y$60,$B35)+COUNTIF($Y$60:$Y$60,$B35&amp;" ~*")=0),($R35+COUNTIF($H$176:$H188,$B35)+COUNTIF($H$176:$H188,$B35&amp;" ~*"))*1000+IF(BC189&gt;100,500,0)+16,"")</f>
        <v/>
      </c>
      <c r="CC189">
        <f>IF(AND(BD189&lt;&gt;"",COUNTIF($Y$60:$Y$60,$B36)+COUNTIF($Y$60:$Y$60,$B36&amp;" ~*")=0),($R36+COUNTIF($H$176:$H188,$B36)+COUNTIF($H$176:$H188,$B36&amp;" ~*"))*1000+IF(BD189&gt;100,500,0)+17,"")</f>
        <v/>
      </c>
      <c r="CD189">
        <f>IF(AND(BE189&lt;&gt;"",COUNTIF($Y$60:$Y$60,$B37)+COUNTIF($Y$60:$Y$60,$B37&amp;" ~*")=0),($R37+COUNTIF($H$176:$H188,$B37)+COUNTIF($H$176:$H188,$B37&amp;" ~*"))*1000+IF(BE189&gt;100,500,0)+18,"")</f>
        <v/>
      </c>
      <c r="CE189">
        <f>IF(AND(BF189&lt;&gt;"",COUNTIF($Y$60:$Y$60,$B38)+COUNTIF($Y$60:$Y$60,$B38&amp;" ~*")=0),($R38+COUNTIF($H$176:$H188,$B38)+COUNTIF($H$176:$H188,$B38&amp;" ~*"))*1000+IF(BF189&gt;100,500,0)+19,"")</f>
        <v/>
      </c>
      <c r="CF189">
        <f>IF(AND(BG189&lt;&gt;"",COUNTIF($Y$60:$Y$60,$B39)+COUNTIF($Y$60:$Y$60,$B39&amp;" ~*")=0),($R39+COUNTIF($H$176:$H188,$B39)+COUNTIF($H$176:$H188,$B39&amp;" ~*"))*1000+IF(BG189&gt;100,500,0)+20,"")</f>
        <v/>
      </c>
      <c r="CG189">
        <f>IF(AND(BH189&lt;&gt;"",COUNTIF($Y$60:$Y$60,$B40)+COUNTIF($Y$60:$Y$60,$B40&amp;" ~*")=0),($R40+COUNTIF($H$176:$H188,$B40)+COUNTIF($H$176:$H188,$B40&amp;" ~*"))*1000+IF(BH189&gt;100,500,0)+21,"")</f>
        <v/>
      </c>
      <c r="CH189">
        <f>IF(AND(BI189&lt;&gt;"",COUNTIF($Y$60:$Y$60,$B41)+COUNTIF($Y$60:$Y$60,$B41&amp;" ~*")=0),($R41+COUNTIF($H$176:$H188,$B41)+COUNTIF($H$176:$H188,$B41&amp;" ~*"))*1000+IF(BI189&gt;100,500,0)+22,"")</f>
        <v/>
      </c>
      <c r="CI189">
        <f>IF(AND(BJ189&lt;&gt;"",COUNTIF($Y$60:$Y$60,$B42)+COUNTIF($Y$60:$Y$60,$B42&amp;" ~*")=0),($R42+COUNTIF($H$176:$H188,$B42)+COUNTIF($H$176:$H188,$B42&amp;" ~*"))*1000+IF(BJ189&gt;100,500,0)+23,"")</f>
        <v/>
      </c>
      <c r="CJ189">
        <f>IF(AND(BK189&lt;&gt;"",COUNTIF($Y$60:$Y$60,$B43)+COUNTIF($Y$60:$Y$60,$B43&amp;" ~*")=0),($R43+COUNTIF($H$176:$H188,$B43)+COUNTIF($H$176:$H188,$B43&amp;" ~*"))*1000+IF(BK189&gt;100,500,0)+24,"")</f>
        <v/>
      </c>
    </row>
    <row r="190">
      <c r="A190" t="n">
        <v>7</v>
      </c>
      <c r="B190" t="n">
        <v>15</v>
      </c>
      <c r="C190">
        <f>$B$61</f>
        <v/>
      </c>
      <c r="D190" t="inlineStr">
        <is>
          <t>Sun</t>
        </is>
      </c>
      <c r="E190">
        <f>IF(C190="","",N($AC$61))</f>
        <v/>
      </c>
      <c r="F190">
        <f>IF(C190="","",COUNTIF($Y$61:$Y$61,"?*"))</f>
        <v/>
      </c>
      <c r="G190">
        <f>IF(C190="","",MAX(0,E190-F190))</f>
        <v/>
      </c>
      <c r="H190">
        <f>IF(N(G190)=0,"",IF(COUNT(BM190:CJ190)=0,"no-one eligible",INDEX(Engine!$B$20:$B$43,MOD(MIN(BM190:CJ190),500))&amp;IF(MOD(MIN(BM190:CJ190),1000)&gt;=500," *","")))</f>
        <v/>
      </c>
      <c r="I190">
        <f>IF(N(G190)&gt;0,COUNTIF($G$68:G190,"&gt;0"),"")</f>
        <v/>
      </c>
      <c r="J190">
        <f>IF(C190="","",IF($Y$61="",0,IF(IFERROR(INDEX(Setup!$O$6:$AL$23,15,MATCH(SUBSTITUTE($Y$61," *",""),Setup!$B$6:$B$29,0)),"")="",1,0)))</f>
        <v/>
      </c>
      <c r="K190">
        <f>IF($B$12+6=TODAY(),1,0)</f>
        <v/>
      </c>
      <c r="N190">
        <f>COUNT($AN190:$BK190)</f>
        <v/>
      </c>
      <c r="O190">
        <f>IF(1&gt;$N190,"",INDEX(Engine!$B$20:$B$43,MOD(SMALL($AN190:$BK190,1),100))&amp;IF(SMALL($AN190:$BK190,1)&gt;100," *",""))</f>
        <v/>
      </c>
      <c r="P190">
        <f>IF(2&gt;$N190,"",INDEX(Engine!$B$20:$B$43,MOD(SMALL($AN190:$BK190,2),100))&amp;IF(SMALL($AN190:$BK190,2)&gt;100," *",""))</f>
        <v/>
      </c>
      <c r="Q190">
        <f>IF(3&gt;$N190,"",INDEX(Engine!$B$20:$B$43,MOD(SMALL($AN190:$BK190,3),100))&amp;IF(SMALL($AN190:$BK190,3)&gt;100," *",""))</f>
        <v/>
      </c>
      <c r="R190">
        <f>IF(4&gt;$N190,"",INDEX(Engine!$B$20:$B$43,MOD(SMALL($AN190:$BK190,4),100))&amp;IF(SMALL($AN190:$BK190,4)&gt;100," *",""))</f>
        <v/>
      </c>
      <c r="S190">
        <f>IF(5&gt;$N190,"",INDEX(Engine!$B$20:$B$43,MOD(SMALL($AN190:$BK190,5),100))&amp;IF(SMALL($AN190:$BK190,5)&gt;100," *",""))</f>
        <v/>
      </c>
      <c r="T190">
        <f>IF(6&gt;$N190,"",INDEX(Engine!$B$20:$B$43,MOD(SMALL($AN190:$BK190,6),100))&amp;IF(SMALL($AN190:$BK190,6)&gt;100," *",""))</f>
        <v/>
      </c>
      <c r="U190">
        <f>IF(7&gt;$N190,"",INDEX(Engine!$B$20:$B$43,MOD(SMALL($AN190:$BK190,7),100))&amp;IF(SMALL($AN190:$BK190,7)&gt;100," *",""))</f>
        <v/>
      </c>
      <c r="V190">
        <f>IF(8&gt;$N190,"",INDEX(Engine!$B$20:$B$43,MOD(SMALL($AN190:$BK190,8),100))&amp;IF(SMALL($AN190:$BK190,8)&gt;100," *",""))</f>
        <v/>
      </c>
      <c r="W190">
        <f>IF(9&gt;$N190,"",INDEX(Engine!$B$20:$B$43,MOD(SMALL($AN190:$BK190,9),100))&amp;IF(SMALL($AN190:$BK190,9)&gt;100," *",""))</f>
        <v/>
      </c>
      <c r="X190">
        <f>IF(10&gt;$N190,"",INDEX(Engine!$B$20:$B$43,MOD(SMALL($AN190:$BK190,10),100))&amp;IF(SMALL($AN190:$BK190,10)&gt;100," *",""))</f>
        <v/>
      </c>
      <c r="Y190">
        <f>IF(11&gt;$N190,"",INDEX(Engine!$B$20:$B$43,MOD(SMALL($AN190:$BK190,11),100))&amp;IF(SMALL($AN190:$BK190,11)&gt;100," *",""))</f>
        <v/>
      </c>
      <c r="Z190">
        <f>IF(12&gt;$N190,"",INDEX(Engine!$B$20:$B$43,MOD(SMALL($AN190:$BK190,12),100))&amp;IF(SMALL($AN190:$BK190,12)&gt;100," *",""))</f>
        <v/>
      </c>
      <c r="AA190">
        <f>IF(13&gt;$N190,"",INDEX(Engine!$B$20:$B$43,MOD(SMALL($AN190:$BK190,13),100))&amp;IF(SMALL($AN190:$BK190,13)&gt;100," *",""))</f>
        <v/>
      </c>
      <c r="AB190">
        <f>IF(14&gt;$N190,"",INDEX(Engine!$B$20:$B$43,MOD(SMALL($AN190:$BK190,14),100))&amp;IF(SMALL($AN190:$BK190,14)&gt;100," *",""))</f>
        <v/>
      </c>
      <c r="AC190">
        <f>IF(15&gt;$N190,"",INDEX(Engine!$B$20:$B$43,MOD(SMALL($AN190:$BK190,15),100))&amp;IF(SMALL($AN190:$BK190,15)&gt;100," *",""))</f>
        <v/>
      </c>
      <c r="AD190">
        <f>IF(16&gt;$N190,"",INDEX(Engine!$B$20:$B$43,MOD(SMALL($AN190:$BK190,16),100))&amp;IF(SMALL($AN190:$BK190,16)&gt;100," *",""))</f>
        <v/>
      </c>
      <c r="AE190">
        <f>IF(17&gt;$N190,"",INDEX(Engine!$B$20:$B$43,MOD(SMALL($AN190:$BK190,17),100))&amp;IF(SMALL($AN190:$BK190,17)&gt;100," *",""))</f>
        <v/>
      </c>
      <c r="AF190">
        <f>IF(18&gt;$N190,"",INDEX(Engine!$B$20:$B$43,MOD(SMALL($AN190:$BK190,18),100))&amp;IF(SMALL($AN190:$BK190,18)&gt;100," *",""))</f>
        <v/>
      </c>
      <c r="AG190">
        <f>IF(19&gt;$N190,"",INDEX(Engine!$B$20:$B$43,MOD(SMALL($AN190:$BK190,19),100))&amp;IF(SMALL($AN190:$BK190,19)&gt;100," *",""))</f>
        <v/>
      </c>
      <c r="AH190">
        <f>IF(20&gt;$N190,"",INDEX(Engine!$B$20:$B$43,MOD(SMALL($AN190:$BK190,20),100))&amp;IF(SMALL($AN190:$BK190,20)&gt;100," *",""))</f>
        <v/>
      </c>
      <c r="AI190">
        <f>IF(21&gt;$N190,"",INDEX(Engine!$B$20:$B$43,MOD(SMALL($AN190:$BK190,21),100))&amp;IF(SMALL($AN190:$BK190,21)&gt;100," *",""))</f>
        <v/>
      </c>
      <c r="AJ190">
        <f>IF(22&gt;$N190,"",INDEX(Engine!$B$20:$B$43,MOD(SMALL($AN190:$BK190,22),100))&amp;IF(SMALL($AN190:$BK190,22)&gt;100," *",""))</f>
        <v/>
      </c>
      <c r="AK190">
        <f>IF(23&gt;$N190,"",INDEX(Engine!$B$20:$B$43,MOD(SMALL($AN190:$BK190,23),100))&amp;IF(SMALL($AN190:$BK190,23)&gt;100," *",""))</f>
        <v/>
      </c>
      <c r="AL190">
        <f>IF(24&gt;$N190,"",INDEX(Engine!$B$20:$B$43,MOD(SMALL($AN190:$BK190,24),100))&amp;IF(SMALL($AN190:$BK190,24)&gt;100," *",""))</f>
        <v/>
      </c>
      <c r="AN190">
        <f>IF(AND($C20=1,INDEX(Setup!$O$6:$AL$23,15,1)&lt;&gt;"",Q20=0),1+IF(INDEX(Setup!$O$6:$AL$23,15,1)="T",100,0),"")</f>
        <v/>
      </c>
      <c r="AO190">
        <f>IF(AND($C21=1,INDEX(Setup!$O$6:$AL$23,15,2)&lt;&gt;"",Q21=0),2+IF(INDEX(Setup!$O$6:$AL$23,15,2)="T",100,0),"")</f>
        <v/>
      </c>
      <c r="AP190">
        <f>IF(AND($C22=1,INDEX(Setup!$O$6:$AL$23,15,3)&lt;&gt;"",Q22=0),3+IF(INDEX(Setup!$O$6:$AL$23,15,3)="T",100,0),"")</f>
        <v/>
      </c>
      <c r="AQ190">
        <f>IF(AND($C23=1,INDEX(Setup!$O$6:$AL$23,15,4)&lt;&gt;"",Q23=0),4+IF(INDEX(Setup!$O$6:$AL$23,15,4)="T",100,0),"")</f>
        <v/>
      </c>
      <c r="AR190">
        <f>IF(AND($C24=1,INDEX(Setup!$O$6:$AL$23,15,5)&lt;&gt;"",Q24=0),5+IF(INDEX(Setup!$O$6:$AL$23,15,5)="T",100,0),"")</f>
        <v/>
      </c>
      <c r="AS190">
        <f>IF(AND($C25=1,INDEX(Setup!$O$6:$AL$23,15,6)&lt;&gt;"",Q25=0),6+IF(INDEX(Setup!$O$6:$AL$23,15,6)="T",100,0),"")</f>
        <v/>
      </c>
      <c r="AT190">
        <f>IF(AND($C26=1,INDEX(Setup!$O$6:$AL$23,15,7)&lt;&gt;"",Q26=0),7+IF(INDEX(Setup!$O$6:$AL$23,15,7)="T",100,0),"")</f>
        <v/>
      </c>
      <c r="AU190">
        <f>IF(AND($C27=1,INDEX(Setup!$O$6:$AL$23,15,8)&lt;&gt;"",Q27=0),8+IF(INDEX(Setup!$O$6:$AL$23,15,8)="T",100,0),"")</f>
        <v/>
      </c>
      <c r="AV190">
        <f>IF(AND($C28=1,INDEX(Setup!$O$6:$AL$23,15,9)&lt;&gt;"",Q28=0),9+IF(INDEX(Setup!$O$6:$AL$23,15,9)="T",100,0),"")</f>
        <v/>
      </c>
      <c r="AW190">
        <f>IF(AND($C29=1,INDEX(Setup!$O$6:$AL$23,15,10)&lt;&gt;"",Q29=0),10+IF(INDEX(Setup!$O$6:$AL$23,15,10)="T",100,0),"")</f>
        <v/>
      </c>
      <c r="AX190">
        <f>IF(AND($C30=1,INDEX(Setup!$O$6:$AL$23,15,11)&lt;&gt;"",Q30=0),11+IF(INDEX(Setup!$O$6:$AL$23,15,11)="T",100,0),"")</f>
        <v/>
      </c>
      <c r="AY190">
        <f>IF(AND($C31=1,INDEX(Setup!$O$6:$AL$23,15,12)&lt;&gt;"",Q31=0),12+IF(INDEX(Setup!$O$6:$AL$23,15,12)="T",100,0),"")</f>
        <v/>
      </c>
      <c r="AZ190">
        <f>IF(AND($C32=1,INDEX(Setup!$O$6:$AL$23,15,13)&lt;&gt;"",Q32=0),13+IF(INDEX(Setup!$O$6:$AL$23,15,13)="T",100,0),"")</f>
        <v/>
      </c>
      <c r="BA190">
        <f>IF(AND($C33=1,INDEX(Setup!$O$6:$AL$23,15,14)&lt;&gt;"",Q33=0),14+IF(INDEX(Setup!$O$6:$AL$23,15,14)="T",100,0),"")</f>
        <v/>
      </c>
      <c r="BB190">
        <f>IF(AND($C34=1,INDEX(Setup!$O$6:$AL$23,15,15)&lt;&gt;"",Q34=0),15+IF(INDEX(Setup!$O$6:$AL$23,15,15)="T",100,0),"")</f>
        <v/>
      </c>
      <c r="BC190">
        <f>IF(AND($C35=1,INDEX(Setup!$O$6:$AL$23,15,16)&lt;&gt;"",Q35=0),16+IF(INDEX(Setup!$O$6:$AL$23,15,16)="T",100,0),"")</f>
        <v/>
      </c>
      <c r="BD190">
        <f>IF(AND($C36=1,INDEX(Setup!$O$6:$AL$23,15,17)&lt;&gt;"",Q36=0),17+IF(INDEX(Setup!$O$6:$AL$23,15,17)="T",100,0),"")</f>
        <v/>
      </c>
      <c r="BE190">
        <f>IF(AND($C37=1,INDEX(Setup!$O$6:$AL$23,15,18)&lt;&gt;"",Q37=0),18+IF(INDEX(Setup!$O$6:$AL$23,15,18)="T",100,0),"")</f>
        <v/>
      </c>
      <c r="BF190">
        <f>IF(AND($C38=1,INDEX(Setup!$O$6:$AL$23,15,19)&lt;&gt;"",Q38=0),19+IF(INDEX(Setup!$O$6:$AL$23,15,19)="T",100,0),"")</f>
        <v/>
      </c>
      <c r="BG190">
        <f>IF(AND($C39=1,INDEX(Setup!$O$6:$AL$23,15,20)&lt;&gt;"",Q39=0),20+IF(INDEX(Setup!$O$6:$AL$23,15,20)="T",100,0),"")</f>
        <v/>
      </c>
      <c r="BH190">
        <f>IF(AND($C40=1,INDEX(Setup!$O$6:$AL$23,15,21)&lt;&gt;"",Q40=0),21+IF(INDEX(Setup!$O$6:$AL$23,15,21)="T",100,0),"")</f>
        <v/>
      </c>
      <c r="BI190">
        <f>IF(AND($C41=1,INDEX(Setup!$O$6:$AL$23,15,22)&lt;&gt;"",Q41=0),22+IF(INDEX(Setup!$O$6:$AL$23,15,22)="T",100,0),"")</f>
        <v/>
      </c>
      <c r="BJ190">
        <f>IF(AND($C42=1,INDEX(Setup!$O$6:$AL$23,15,23)&lt;&gt;"",Q42=0),23+IF(INDEX(Setup!$O$6:$AL$23,15,23)="T",100,0),"")</f>
        <v/>
      </c>
      <c r="BK190">
        <f>IF(AND($C43=1,INDEX(Setup!$O$6:$AL$23,15,24)&lt;&gt;"",Q43=0),24+IF(INDEX(Setup!$O$6:$AL$23,15,24)="T",100,0),"")</f>
        <v/>
      </c>
      <c r="BM190">
        <f>IF(AND(AN190&lt;&gt;"",COUNTIF($Y$61:$Y$61,$B20)+COUNTIF($Y$61:$Y$61,$B20&amp;" ~*")=0),($R20+COUNTIF($H$176:$H189,$B20)+COUNTIF($H$176:$H189,$B20&amp;" ~*"))*1000+IF(AN190&gt;100,500,0)+1,"")</f>
        <v/>
      </c>
      <c r="BN190">
        <f>IF(AND(AO190&lt;&gt;"",COUNTIF($Y$61:$Y$61,$B21)+COUNTIF($Y$61:$Y$61,$B21&amp;" ~*")=0),($R21+COUNTIF($H$176:$H189,$B21)+COUNTIF($H$176:$H189,$B21&amp;" ~*"))*1000+IF(AO190&gt;100,500,0)+2,"")</f>
        <v/>
      </c>
      <c r="BO190">
        <f>IF(AND(AP190&lt;&gt;"",COUNTIF($Y$61:$Y$61,$B22)+COUNTIF($Y$61:$Y$61,$B22&amp;" ~*")=0),($R22+COUNTIF($H$176:$H189,$B22)+COUNTIF($H$176:$H189,$B22&amp;" ~*"))*1000+IF(AP190&gt;100,500,0)+3,"")</f>
        <v/>
      </c>
      <c r="BP190">
        <f>IF(AND(AQ190&lt;&gt;"",COUNTIF($Y$61:$Y$61,$B23)+COUNTIF($Y$61:$Y$61,$B23&amp;" ~*")=0),($R23+COUNTIF($H$176:$H189,$B23)+COUNTIF($H$176:$H189,$B23&amp;" ~*"))*1000+IF(AQ190&gt;100,500,0)+4,"")</f>
        <v/>
      </c>
      <c r="BQ190">
        <f>IF(AND(AR190&lt;&gt;"",COUNTIF($Y$61:$Y$61,$B24)+COUNTIF($Y$61:$Y$61,$B24&amp;" ~*")=0),($R24+COUNTIF($H$176:$H189,$B24)+COUNTIF($H$176:$H189,$B24&amp;" ~*"))*1000+IF(AR190&gt;100,500,0)+5,"")</f>
        <v/>
      </c>
      <c r="BR190">
        <f>IF(AND(AS190&lt;&gt;"",COUNTIF($Y$61:$Y$61,$B25)+COUNTIF($Y$61:$Y$61,$B25&amp;" ~*")=0),($R25+COUNTIF($H$176:$H189,$B25)+COUNTIF($H$176:$H189,$B25&amp;" ~*"))*1000+IF(AS190&gt;100,500,0)+6,"")</f>
        <v/>
      </c>
      <c r="BS190">
        <f>IF(AND(AT190&lt;&gt;"",COUNTIF($Y$61:$Y$61,$B26)+COUNTIF($Y$61:$Y$61,$B26&amp;" ~*")=0),($R26+COUNTIF($H$176:$H189,$B26)+COUNTIF($H$176:$H189,$B26&amp;" ~*"))*1000+IF(AT190&gt;100,500,0)+7,"")</f>
        <v/>
      </c>
      <c r="BT190">
        <f>IF(AND(AU190&lt;&gt;"",COUNTIF($Y$61:$Y$61,$B27)+COUNTIF($Y$61:$Y$61,$B27&amp;" ~*")=0),($R27+COUNTIF($H$176:$H189,$B27)+COUNTIF($H$176:$H189,$B27&amp;" ~*"))*1000+IF(AU190&gt;100,500,0)+8,"")</f>
        <v/>
      </c>
      <c r="BU190">
        <f>IF(AND(AV190&lt;&gt;"",COUNTIF($Y$61:$Y$61,$B28)+COUNTIF($Y$61:$Y$61,$B28&amp;" ~*")=0),($R28+COUNTIF($H$176:$H189,$B28)+COUNTIF($H$176:$H189,$B28&amp;" ~*"))*1000+IF(AV190&gt;100,500,0)+9,"")</f>
        <v/>
      </c>
      <c r="BV190">
        <f>IF(AND(AW190&lt;&gt;"",COUNTIF($Y$61:$Y$61,$B29)+COUNTIF($Y$61:$Y$61,$B29&amp;" ~*")=0),($R29+COUNTIF($H$176:$H189,$B29)+COUNTIF($H$176:$H189,$B29&amp;" ~*"))*1000+IF(AW190&gt;100,500,0)+10,"")</f>
        <v/>
      </c>
      <c r="BW190">
        <f>IF(AND(AX190&lt;&gt;"",COUNTIF($Y$61:$Y$61,$B30)+COUNTIF($Y$61:$Y$61,$B30&amp;" ~*")=0),($R30+COUNTIF($H$176:$H189,$B30)+COUNTIF($H$176:$H189,$B30&amp;" ~*"))*1000+IF(AX190&gt;100,500,0)+11,"")</f>
        <v/>
      </c>
      <c r="BX190">
        <f>IF(AND(AY190&lt;&gt;"",COUNTIF($Y$61:$Y$61,$B31)+COUNTIF($Y$61:$Y$61,$B31&amp;" ~*")=0),($R31+COUNTIF($H$176:$H189,$B31)+COUNTIF($H$176:$H189,$B31&amp;" ~*"))*1000+IF(AY190&gt;100,500,0)+12,"")</f>
        <v/>
      </c>
      <c r="BY190">
        <f>IF(AND(AZ190&lt;&gt;"",COUNTIF($Y$61:$Y$61,$B32)+COUNTIF($Y$61:$Y$61,$B32&amp;" ~*")=0),($R32+COUNTIF($H$176:$H189,$B32)+COUNTIF($H$176:$H189,$B32&amp;" ~*"))*1000+IF(AZ190&gt;100,500,0)+13,"")</f>
        <v/>
      </c>
      <c r="BZ190">
        <f>IF(AND(BA190&lt;&gt;"",COUNTIF($Y$61:$Y$61,$B33)+COUNTIF($Y$61:$Y$61,$B33&amp;" ~*")=0),($R33+COUNTIF($H$176:$H189,$B33)+COUNTIF($H$176:$H189,$B33&amp;" ~*"))*1000+IF(BA190&gt;100,500,0)+14,"")</f>
        <v/>
      </c>
      <c r="CA190">
        <f>IF(AND(BB190&lt;&gt;"",COUNTIF($Y$61:$Y$61,$B34)+COUNTIF($Y$61:$Y$61,$B34&amp;" ~*")=0),($R34+COUNTIF($H$176:$H189,$B34)+COUNTIF($H$176:$H189,$B34&amp;" ~*"))*1000+IF(BB190&gt;100,500,0)+15,"")</f>
        <v/>
      </c>
      <c r="CB190">
        <f>IF(AND(BC190&lt;&gt;"",COUNTIF($Y$61:$Y$61,$B35)+COUNTIF($Y$61:$Y$61,$B35&amp;" ~*")=0),($R35+COUNTIF($H$176:$H189,$B35)+COUNTIF($H$176:$H189,$B35&amp;" ~*"))*1000+IF(BC190&gt;100,500,0)+16,"")</f>
        <v/>
      </c>
      <c r="CC190">
        <f>IF(AND(BD190&lt;&gt;"",COUNTIF($Y$61:$Y$61,$B36)+COUNTIF($Y$61:$Y$61,$B36&amp;" ~*")=0),($R36+COUNTIF($H$176:$H189,$B36)+COUNTIF($H$176:$H189,$B36&amp;" ~*"))*1000+IF(BD190&gt;100,500,0)+17,"")</f>
        <v/>
      </c>
      <c r="CD190">
        <f>IF(AND(BE190&lt;&gt;"",COUNTIF($Y$61:$Y$61,$B37)+COUNTIF($Y$61:$Y$61,$B37&amp;" ~*")=0),($R37+COUNTIF($H$176:$H189,$B37)+COUNTIF($H$176:$H189,$B37&amp;" ~*"))*1000+IF(BE190&gt;100,500,0)+18,"")</f>
        <v/>
      </c>
      <c r="CE190">
        <f>IF(AND(BF190&lt;&gt;"",COUNTIF($Y$61:$Y$61,$B38)+COUNTIF($Y$61:$Y$61,$B38&amp;" ~*")=0),($R38+COUNTIF($H$176:$H189,$B38)+COUNTIF($H$176:$H189,$B38&amp;" ~*"))*1000+IF(BF190&gt;100,500,0)+19,"")</f>
        <v/>
      </c>
      <c r="CF190">
        <f>IF(AND(BG190&lt;&gt;"",COUNTIF($Y$61:$Y$61,$B39)+COUNTIF($Y$61:$Y$61,$B39&amp;" ~*")=0),($R39+COUNTIF($H$176:$H189,$B39)+COUNTIF($H$176:$H189,$B39&amp;" ~*"))*1000+IF(BG190&gt;100,500,0)+20,"")</f>
        <v/>
      </c>
      <c r="CG190">
        <f>IF(AND(BH190&lt;&gt;"",COUNTIF($Y$61:$Y$61,$B40)+COUNTIF($Y$61:$Y$61,$B40&amp;" ~*")=0),($R40+COUNTIF($H$176:$H189,$B40)+COUNTIF($H$176:$H189,$B40&amp;" ~*"))*1000+IF(BH190&gt;100,500,0)+21,"")</f>
        <v/>
      </c>
      <c r="CH190">
        <f>IF(AND(BI190&lt;&gt;"",COUNTIF($Y$61:$Y$61,$B41)+COUNTIF($Y$61:$Y$61,$B41&amp;" ~*")=0),($R41+COUNTIF($H$176:$H189,$B41)+COUNTIF($H$176:$H189,$B41&amp;" ~*"))*1000+IF(BI190&gt;100,500,0)+22,"")</f>
        <v/>
      </c>
      <c r="CI190">
        <f>IF(AND(BJ190&lt;&gt;"",COUNTIF($Y$61:$Y$61,$B42)+COUNTIF($Y$61:$Y$61,$B42&amp;" ~*")=0),($R42+COUNTIF($H$176:$H189,$B42)+COUNTIF($H$176:$H189,$B42&amp;" ~*"))*1000+IF(BJ190&gt;100,500,0)+23,"")</f>
        <v/>
      </c>
      <c r="CJ190">
        <f>IF(AND(BK190&lt;&gt;"",COUNTIF($Y$61:$Y$61,$B43)+COUNTIF($Y$61:$Y$61,$B43&amp;" ~*")=0),($R43+COUNTIF($H$176:$H189,$B43)+COUNTIF($H$176:$H189,$B43&amp;" ~*"))*1000+IF(BK190&gt;100,500,0)+24,"")</f>
        <v/>
      </c>
    </row>
    <row r="191">
      <c r="A191" t="n">
        <v>7</v>
      </c>
      <c r="B191" t="n">
        <v>16</v>
      </c>
      <c r="C191">
        <f>$B$62</f>
        <v/>
      </c>
      <c r="D191" t="inlineStr">
        <is>
          <t>Sun</t>
        </is>
      </c>
      <c r="E191">
        <f>IF(C191="","",N($AC$62))</f>
        <v/>
      </c>
      <c r="F191">
        <f>IF(C191="","",COUNTIF($Y$62:$Y$62,"?*"))</f>
        <v/>
      </c>
      <c r="G191">
        <f>IF(C191="","",MAX(0,E191-F191))</f>
        <v/>
      </c>
      <c r="H191">
        <f>IF(N(G191)=0,"",IF(COUNT(BM191:CJ191)=0,"no-one eligible",INDEX(Engine!$B$20:$B$43,MOD(MIN(BM191:CJ191),500))&amp;IF(MOD(MIN(BM191:CJ191),1000)&gt;=500," *","")))</f>
        <v/>
      </c>
      <c r="I191">
        <f>IF(N(G191)&gt;0,COUNTIF($G$68:G191,"&gt;0"),"")</f>
        <v/>
      </c>
      <c r="J191">
        <f>IF(C191="","",IF($Y$62="",0,IF(IFERROR(INDEX(Setup!$O$6:$AL$23,16,MATCH(SUBSTITUTE($Y$62," *",""),Setup!$B$6:$B$29,0)),"")="",1,0)))</f>
        <v/>
      </c>
      <c r="K191">
        <f>IF($B$12+6=TODAY(),1,0)</f>
        <v/>
      </c>
      <c r="N191">
        <f>COUNT($AN191:$BK191)</f>
        <v/>
      </c>
      <c r="O191">
        <f>IF(1&gt;$N191,"",INDEX(Engine!$B$20:$B$43,MOD(SMALL($AN191:$BK191,1),100))&amp;IF(SMALL($AN191:$BK191,1)&gt;100," *",""))</f>
        <v/>
      </c>
      <c r="P191">
        <f>IF(2&gt;$N191,"",INDEX(Engine!$B$20:$B$43,MOD(SMALL($AN191:$BK191,2),100))&amp;IF(SMALL($AN191:$BK191,2)&gt;100," *",""))</f>
        <v/>
      </c>
      <c r="Q191">
        <f>IF(3&gt;$N191,"",INDEX(Engine!$B$20:$B$43,MOD(SMALL($AN191:$BK191,3),100))&amp;IF(SMALL($AN191:$BK191,3)&gt;100," *",""))</f>
        <v/>
      </c>
      <c r="R191">
        <f>IF(4&gt;$N191,"",INDEX(Engine!$B$20:$B$43,MOD(SMALL($AN191:$BK191,4),100))&amp;IF(SMALL($AN191:$BK191,4)&gt;100," *",""))</f>
        <v/>
      </c>
      <c r="S191">
        <f>IF(5&gt;$N191,"",INDEX(Engine!$B$20:$B$43,MOD(SMALL($AN191:$BK191,5),100))&amp;IF(SMALL($AN191:$BK191,5)&gt;100," *",""))</f>
        <v/>
      </c>
      <c r="T191">
        <f>IF(6&gt;$N191,"",INDEX(Engine!$B$20:$B$43,MOD(SMALL($AN191:$BK191,6),100))&amp;IF(SMALL($AN191:$BK191,6)&gt;100," *",""))</f>
        <v/>
      </c>
      <c r="U191">
        <f>IF(7&gt;$N191,"",INDEX(Engine!$B$20:$B$43,MOD(SMALL($AN191:$BK191,7),100))&amp;IF(SMALL($AN191:$BK191,7)&gt;100," *",""))</f>
        <v/>
      </c>
      <c r="V191">
        <f>IF(8&gt;$N191,"",INDEX(Engine!$B$20:$B$43,MOD(SMALL($AN191:$BK191,8),100))&amp;IF(SMALL($AN191:$BK191,8)&gt;100," *",""))</f>
        <v/>
      </c>
      <c r="W191">
        <f>IF(9&gt;$N191,"",INDEX(Engine!$B$20:$B$43,MOD(SMALL($AN191:$BK191,9),100))&amp;IF(SMALL($AN191:$BK191,9)&gt;100," *",""))</f>
        <v/>
      </c>
      <c r="X191">
        <f>IF(10&gt;$N191,"",INDEX(Engine!$B$20:$B$43,MOD(SMALL($AN191:$BK191,10),100))&amp;IF(SMALL($AN191:$BK191,10)&gt;100," *",""))</f>
        <v/>
      </c>
      <c r="Y191">
        <f>IF(11&gt;$N191,"",INDEX(Engine!$B$20:$B$43,MOD(SMALL($AN191:$BK191,11),100))&amp;IF(SMALL($AN191:$BK191,11)&gt;100," *",""))</f>
        <v/>
      </c>
      <c r="Z191">
        <f>IF(12&gt;$N191,"",INDEX(Engine!$B$20:$B$43,MOD(SMALL($AN191:$BK191,12),100))&amp;IF(SMALL($AN191:$BK191,12)&gt;100," *",""))</f>
        <v/>
      </c>
      <c r="AA191">
        <f>IF(13&gt;$N191,"",INDEX(Engine!$B$20:$B$43,MOD(SMALL($AN191:$BK191,13),100))&amp;IF(SMALL($AN191:$BK191,13)&gt;100," *",""))</f>
        <v/>
      </c>
      <c r="AB191">
        <f>IF(14&gt;$N191,"",INDEX(Engine!$B$20:$B$43,MOD(SMALL($AN191:$BK191,14),100))&amp;IF(SMALL($AN191:$BK191,14)&gt;100," *",""))</f>
        <v/>
      </c>
      <c r="AC191">
        <f>IF(15&gt;$N191,"",INDEX(Engine!$B$20:$B$43,MOD(SMALL($AN191:$BK191,15),100))&amp;IF(SMALL($AN191:$BK191,15)&gt;100," *",""))</f>
        <v/>
      </c>
      <c r="AD191">
        <f>IF(16&gt;$N191,"",INDEX(Engine!$B$20:$B$43,MOD(SMALL($AN191:$BK191,16),100))&amp;IF(SMALL($AN191:$BK191,16)&gt;100," *",""))</f>
        <v/>
      </c>
      <c r="AE191">
        <f>IF(17&gt;$N191,"",INDEX(Engine!$B$20:$B$43,MOD(SMALL($AN191:$BK191,17),100))&amp;IF(SMALL($AN191:$BK191,17)&gt;100," *",""))</f>
        <v/>
      </c>
      <c r="AF191">
        <f>IF(18&gt;$N191,"",INDEX(Engine!$B$20:$B$43,MOD(SMALL($AN191:$BK191,18),100))&amp;IF(SMALL($AN191:$BK191,18)&gt;100," *",""))</f>
        <v/>
      </c>
      <c r="AG191">
        <f>IF(19&gt;$N191,"",INDEX(Engine!$B$20:$B$43,MOD(SMALL($AN191:$BK191,19),100))&amp;IF(SMALL($AN191:$BK191,19)&gt;100," *",""))</f>
        <v/>
      </c>
      <c r="AH191">
        <f>IF(20&gt;$N191,"",INDEX(Engine!$B$20:$B$43,MOD(SMALL($AN191:$BK191,20),100))&amp;IF(SMALL($AN191:$BK191,20)&gt;100," *",""))</f>
        <v/>
      </c>
      <c r="AI191">
        <f>IF(21&gt;$N191,"",INDEX(Engine!$B$20:$B$43,MOD(SMALL($AN191:$BK191,21),100))&amp;IF(SMALL($AN191:$BK191,21)&gt;100," *",""))</f>
        <v/>
      </c>
      <c r="AJ191">
        <f>IF(22&gt;$N191,"",INDEX(Engine!$B$20:$B$43,MOD(SMALL($AN191:$BK191,22),100))&amp;IF(SMALL($AN191:$BK191,22)&gt;100," *",""))</f>
        <v/>
      </c>
      <c r="AK191">
        <f>IF(23&gt;$N191,"",INDEX(Engine!$B$20:$B$43,MOD(SMALL($AN191:$BK191,23),100))&amp;IF(SMALL($AN191:$BK191,23)&gt;100," *",""))</f>
        <v/>
      </c>
      <c r="AL191">
        <f>IF(24&gt;$N191,"",INDEX(Engine!$B$20:$B$43,MOD(SMALL($AN191:$BK191,24),100))&amp;IF(SMALL($AN191:$BK191,24)&gt;100," *",""))</f>
        <v/>
      </c>
      <c r="AN191">
        <f>IF(AND($C20=1,INDEX(Setup!$O$6:$AL$23,16,1)&lt;&gt;"",Q20=0),1+IF(INDEX(Setup!$O$6:$AL$23,16,1)="T",100,0),"")</f>
        <v/>
      </c>
      <c r="AO191">
        <f>IF(AND($C21=1,INDEX(Setup!$O$6:$AL$23,16,2)&lt;&gt;"",Q21=0),2+IF(INDEX(Setup!$O$6:$AL$23,16,2)="T",100,0),"")</f>
        <v/>
      </c>
      <c r="AP191">
        <f>IF(AND($C22=1,INDEX(Setup!$O$6:$AL$23,16,3)&lt;&gt;"",Q22=0),3+IF(INDEX(Setup!$O$6:$AL$23,16,3)="T",100,0),"")</f>
        <v/>
      </c>
      <c r="AQ191">
        <f>IF(AND($C23=1,INDEX(Setup!$O$6:$AL$23,16,4)&lt;&gt;"",Q23=0),4+IF(INDEX(Setup!$O$6:$AL$23,16,4)="T",100,0),"")</f>
        <v/>
      </c>
      <c r="AR191">
        <f>IF(AND($C24=1,INDEX(Setup!$O$6:$AL$23,16,5)&lt;&gt;"",Q24=0),5+IF(INDEX(Setup!$O$6:$AL$23,16,5)="T",100,0),"")</f>
        <v/>
      </c>
      <c r="AS191">
        <f>IF(AND($C25=1,INDEX(Setup!$O$6:$AL$23,16,6)&lt;&gt;"",Q25=0),6+IF(INDEX(Setup!$O$6:$AL$23,16,6)="T",100,0),"")</f>
        <v/>
      </c>
      <c r="AT191">
        <f>IF(AND($C26=1,INDEX(Setup!$O$6:$AL$23,16,7)&lt;&gt;"",Q26=0),7+IF(INDEX(Setup!$O$6:$AL$23,16,7)="T",100,0),"")</f>
        <v/>
      </c>
      <c r="AU191">
        <f>IF(AND($C27=1,INDEX(Setup!$O$6:$AL$23,16,8)&lt;&gt;"",Q27=0),8+IF(INDEX(Setup!$O$6:$AL$23,16,8)="T",100,0),"")</f>
        <v/>
      </c>
      <c r="AV191">
        <f>IF(AND($C28=1,INDEX(Setup!$O$6:$AL$23,16,9)&lt;&gt;"",Q28=0),9+IF(INDEX(Setup!$O$6:$AL$23,16,9)="T",100,0),"")</f>
        <v/>
      </c>
      <c r="AW191">
        <f>IF(AND($C29=1,INDEX(Setup!$O$6:$AL$23,16,10)&lt;&gt;"",Q29=0),10+IF(INDEX(Setup!$O$6:$AL$23,16,10)="T",100,0),"")</f>
        <v/>
      </c>
      <c r="AX191">
        <f>IF(AND($C30=1,INDEX(Setup!$O$6:$AL$23,16,11)&lt;&gt;"",Q30=0),11+IF(INDEX(Setup!$O$6:$AL$23,16,11)="T",100,0),"")</f>
        <v/>
      </c>
      <c r="AY191">
        <f>IF(AND($C31=1,INDEX(Setup!$O$6:$AL$23,16,12)&lt;&gt;"",Q31=0),12+IF(INDEX(Setup!$O$6:$AL$23,16,12)="T",100,0),"")</f>
        <v/>
      </c>
      <c r="AZ191">
        <f>IF(AND($C32=1,INDEX(Setup!$O$6:$AL$23,16,13)&lt;&gt;"",Q32=0),13+IF(INDEX(Setup!$O$6:$AL$23,16,13)="T",100,0),"")</f>
        <v/>
      </c>
      <c r="BA191">
        <f>IF(AND($C33=1,INDEX(Setup!$O$6:$AL$23,16,14)&lt;&gt;"",Q33=0),14+IF(INDEX(Setup!$O$6:$AL$23,16,14)="T",100,0),"")</f>
        <v/>
      </c>
      <c r="BB191">
        <f>IF(AND($C34=1,INDEX(Setup!$O$6:$AL$23,16,15)&lt;&gt;"",Q34=0),15+IF(INDEX(Setup!$O$6:$AL$23,16,15)="T",100,0),"")</f>
        <v/>
      </c>
      <c r="BC191">
        <f>IF(AND($C35=1,INDEX(Setup!$O$6:$AL$23,16,16)&lt;&gt;"",Q35=0),16+IF(INDEX(Setup!$O$6:$AL$23,16,16)="T",100,0),"")</f>
        <v/>
      </c>
      <c r="BD191">
        <f>IF(AND($C36=1,INDEX(Setup!$O$6:$AL$23,16,17)&lt;&gt;"",Q36=0),17+IF(INDEX(Setup!$O$6:$AL$23,16,17)="T",100,0),"")</f>
        <v/>
      </c>
      <c r="BE191">
        <f>IF(AND($C37=1,INDEX(Setup!$O$6:$AL$23,16,18)&lt;&gt;"",Q37=0),18+IF(INDEX(Setup!$O$6:$AL$23,16,18)="T",100,0),"")</f>
        <v/>
      </c>
      <c r="BF191">
        <f>IF(AND($C38=1,INDEX(Setup!$O$6:$AL$23,16,19)&lt;&gt;"",Q38=0),19+IF(INDEX(Setup!$O$6:$AL$23,16,19)="T",100,0),"")</f>
        <v/>
      </c>
      <c r="BG191">
        <f>IF(AND($C39=1,INDEX(Setup!$O$6:$AL$23,16,20)&lt;&gt;"",Q39=0),20+IF(INDEX(Setup!$O$6:$AL$23,16,20)="T",100,0),"")</f>
        <v/>
      </c>
      <c r="BH191">
        <f>IF(AND($C40=1,INDEX(Setup!$O$6:$AL$23,16,21)&lt;&gt;"",Q40=0),21+IF(INDEX(Setup!$O$6:$AL$23,16,21)="T",100,0),"")</f>
        <v/>
      </c>
      <c r="BI191">
        <f>IF(AND($C41=1,INDEX(Setup!$O$6:$AL$23,16,22)&lt;&gt;"",Q41=0),22+IF(INDEX(Setup!$O$6:$AL$23,16,22)="T",100,0),"")</f>
        <v/>
      </c>
      <c r="BJ191">
        <f>IF(AND($C42=1,INDEX(Setup!$O$6:$AL$23,16,23)&lt;&gt;"",Q42=0),23+IF(INDEX(Setup!$O$6:$AL$23,16,23)="T",100,0),"")</f>
        <v/>
      </c>
      <c r="BK191">
        <f>IF(AND($C43=1,INDEX(Setup!$O$6:$AL$23,16,24)&lt;&gt;"",Q43=0),24+IF(INDEX(Setup!$O$6:$AL$23,16,24)="T",100,0),"")</f>
        <v/>
      </c>
      <c r="BM191">
        <f>IF(AND(AN191&lt;&gt;"",COUNTIF($Y$62:$Y$62,$B20)+COUNTIF($Y$62:$Y$62,$B20&amp;" ~*")=0),($R20+COUNTIF($H$176:$H190,$B20)+COUNTIF($H$176:$H190,$B20&amp;" ~*"))*1000+IF(AN191&gt;100,500,0)+1,"")</f>
        <v/>
      </c>
      <c r="BN191">
        <f>IF(AND(AO191&lt;&gt;"",COUNTIF($Y$62:$Y$62,$B21)+COUNTIF($Y$62:$Y$62,$B21&amp;" ~*")=0),($R21+COUNTIF($H$176:$H190,$B21)+COUNTIF($H$176:$H190,$B21&amp;" ~*"))*1000+IF(AO191&gt;100,500,0)+2,"")</f>
        <v/>
      </c>
      <c r="BO191">
        <f>IF(AND(AP191&lt;&gt;"",COUNTIF($Y$62:$Y$62,$B22)+COUNTIF($Y$62:$Y$62,$B22&amp;" ~*")=0),($R22+COUNTIF($H$176:$H190,$B22)+COUNTIF($H$176:$H190,$B22&amp;" ~*"))*1000+IF(AP191&gt;100,500,0)+3,"")</f>
        <v/>
      </c>
      <c r="BP191">
        <f>IF(AND(AQ191&lt;&gt;"",COUNTIF($Y$62:$Y$62,$B23)+COUNTIF($Y$62:$Y$62,$B23&amp;" ~*")=0),($R23+COUNTIF($H$176:$H190,$B23)+COUNTIF($H$176:$H190,$B23&amp;" ~*"))*1000+IF(AQ191&gt;100,500,0)+4,"")</f>
        <v/>
      </c>
      <c r="BQ191">
        <f>IF(AND(AR191&lt;&gt;"",COUNTIF($Y$62:$Y$62,$B24)+COUNTIF($Y$62:$Y$62,$B24&amp;" ~*")=0),($R24+COUNTIF($H$176:$H190,$B24)+COUNTIF($H$176:$H190,$B24&amp;" ~*"))*1000+IF(AR191&gt;100,500,0)+5,"")</f>
        <v/>
      </c>
      <c r="BR191">
        <f>IF(AND(AS191&lt;&gt;"",COUNTIF($Y$62:$Y$62,$B25)+COUNTIF($Y$62:$Y$62,$B25&amp;" ~*")=0),($R25+COUNTIF($H$176:$H190,$B25)+COUNTIF($H$176:$H190,$B25&amp;" ~*"))*1000+IF(AS191&gt;100,500,0)+6,"")</f>
        <v/>
      </c>
      <c r="BS191">
        <f>IF(AND(AT191&lt;&gt;"",COUNTIF($Y$62:$Y$62,$B26)+COUNTIF($Y$62:$Y$62,$B26&amp;" ~*")=0),($R26+COUNTIF($H$176:$H190,$B26)+COUNTIF($H$176:$H190,$B26&amp;" ~*"))*1000+IF(AT191&gt;100,500,0)+7,"")</f>
        <v/>
      </c>
      <c r="BT191">
        <f>IF(AND(AU191&lt;&gt;"",COUNTIF($Y$62:$Y$62,$B27)+COUNTIF($Y$62:$Y$62,$B27&amp;" ~*")=0),($R27+COUNTIF($H$176:$H190,$B27)+COUNTIF($H$176:$H190,$B27&amp;" ~*"))*1000+IF(AU191&gt;100,500,0)+8,"")</f>
        <v/>
      </c>
      <c r="BU191">
        <f>IF(AND(AV191&lt;&gt;"",COUNTIF($Y$62:$Y$62,$B28)+COUNTIF($Y$62:$Y$62,$B28&amp;" ~*")=0),($R28+COUNTIF($H$176:$H190,$B28)+COUNTIF($H$176:$H190,$B28&amp;" ~*"))*1000+IF(AV191&gt;100,500,0)+9,"")</f>
        <v/>
      </c>
      <c r="BV191">
        <f>IF(AND(AW191&lt;&gt;"",COUNTIF($Y$62:$Y$62,$B29)+COUNTIF($Y$62:$Y$62,$B29&amp;" ~*")=0),($R29+COUNTIF($H$176:$H190,$B29)+COUNTIF($H$176:$H190,$B29&amp;" ~*"))*1000+IF(AW191&gt;100,500,0)+10,"")</f>
        <v/>
      </c>
      <c r="BW191">
        <f>IF(AND(AX191&lt;&gt;"",COUNTIF($Y$62:$Y$62,$B30)+COUNTIF($Y$62:$Y$62,$B30&amp;" ~*")=0),($R30+COUNTIF($H$176:$H190,$B30)+COUNTIF($H$176:$H190,$B30&amp;" ~*"))*1000+IF(AX191&gt;100,500,0)+11,"")</f>
        <v/>
      </c>
      <c r="BX191">
        <f>IF(AND(AY191&lt;&gt;"",COUNTIF($Y$62:$Y$62,$B31)+COUNTIF($Y$62:$Y$62,$B31&amp;" ~*")=0),($R31+COUNTIF($H$176:$H190,$B31)+COUNTIF($H$176:$H190,$B31&amp;" ~*"))*1000+IF(AY191&gt;100,500,0)+12,"")</f>
        <v/>
      </c>
      <c r="BY191">
        <f>IF(AND(AZ191&lt;&gt;"",COUNTIF($Y$62:$Y$62,$B32)+COUNTIF($Y$62:$Y$62,$B32&amp;" ~*")=0),($R32+COUNTIF($H$176:$H190,$B32)+COUNTIF($H$176:$H190,$B32&amp;" ~*"))*1000+IF(AZ191&gt;100,500,0)+13,"")</f>
        <v/>
      </c>
      <c r="BZ191">
        <f>IF(AND(BA191&lt;&gt;"",COUNTIF($Y$62:$Y$62,$B33)+COUNTIF($Y$62:$Y$62,$B33&amp;" ~*")=0),($R33+COUNTIF($H$176:$H190,$B33)+COUNTIF($H$176:$H190,$B33&amp;" ~*"))*1000+IF(BA191&gt;100,500,0)+14,"")</f>
        <v/>
      </c>
      <c r="CA191">
        <f>IF(AND(BB191&lt;&gt;"",COUNTIF($Y$62:$Y$62,$B34)+COUNTIF($Y$62:$Y$62,$B34&amp;" ~*")=0),($R34+COUNTIF($H$176:$H190,$B34)+COUNTIF($H$176:$H190,$B34&amp;" ~*"))*1000+IF(BB191&gt;100,500,0)+15,"")</f>
        <v/>
      </c>
      <c r="CB191">
        <f>IF(AND(BC191&lt;&gt;"",COUNTIF($Y$62:$Y$62,$B35)+COUNTIF($Y$62:$Y$62,$B35&amp;" ~*")=0),($R35+COUNTIF($H$176:$H190,$B35)+COUNTIF($H$176:$H190,$B35&amp;" ~*"))*1000+IF(BC191&gt;100,500,0)+16,"")</f>
        <v/>
      </c>
      <c r="CC191">
        <f>IF(AND(BD191&lt;&gt;"",COUNTIF($Y$62:$Y$62,$B36)+COUNTIF($Y$62:$Y$62,$B36&amp;" ~*")=0),($R36+COUNTIF($H$176:$H190,$B36)+COUNTIF($H$176:$H190,$B36&amp;" ~*"))*1000+IF(BD191&gt;100,500,0)+17,"")</f>
        <v/>
      </c>
      <c r="CD191">
        <f>IF(AND(BE191&lt;&gt;"",COUNTIF($Y$62:$Y$62,$B37)+COUNTIF($Y$62:$Y$62,$B37&amp;" ~*")=0),($R37+COUNTIF($H$176:$H190,$B37)+COUNTIF($H$176:$H190,$B37&amp;" ~*"))*1000+IF(BE191&gt;100,500,0)+18,"")</f>
        <v/>
      </c>
      <c r="CE191">
        <f>IF(AND(BF191&lt;&gt;"",COUNTIF($Y$62:$Y$62,$B38)+COUNTIF($Y$62:$Y$62,$B38&amp;" ~*")=0),($R38+COUNTIF($H$176:$H190,$B38)+COUNTIF($H$176:$H190,$B38&amp;" ~*"))*1000+IF(BF191&gt;100,500,0)+19,"")</f>
        <v/>
      </c>
      <c r="CF191">
        <f>IF(AND(BG191&lt;&gt;"",COUNTIF($Y$62:$Y$62,$B39)+COUNTIF($Y$62:$Y$62,$B39&amp;" ~*")=0),($R39+COUNTIF($H$176:$H190,$B39)+COUNTIF($H$176:$H190,$B39&amp;" ~*"))*1000+IF(BG191&gt;100,500,0)+20,"")</f>
        <v/>
      </c>
      <c r="CG191">
        <f>IF(AND(BH191&lt;&gt;"",COUNTIF($Y$62:$Y$62,$B40)+COUNTIF($Y$62:$Y$62,$B40&amp;" ~*")=0),($R40+COUNTIF($H$176:$H190,$B40)+COUNTIF($H$176:$H190,$B40&amp;" ~*"))*1000+IF(BH191&gt;100,500,0)+21,"")</f>
        <v/>
      </c>
      <c r="CH191">
        <f>IF(AND(BI191&lt;&gt;"",COUNTIF($Y$62:$Y$62,$B41)+COUNTIF($Y$62:$Y$62,$B41&amp;" ~*")=0),($R41+COUNTIF($H$176:$H190,$B41)+COUNTIF($H$176:$H190,$B41&amp;" ~*"))*1000+IF(BI191&gt;100,500,0)+22,"")</f>
        <v/>
      </c>
      <c r="CI191">
        <f>IF(AND(BJ191&lt;&gt;"",COUNTIF($Y$62:$Y$62,$B42)+COUNTIF($Y$62:$Y$62,$B42&amp;" ~*")=0),($R42+COUNTIF($H$176:$H190,$B42)+COUNTIF($H$176:$H190,$B42&amp;" ~*"))*1000+IF(BJ191&gt;100,500,0)+23,"")</f>
        <v/>
      </c>
      <c r="CJ191">
        <f>IF(AND(BK191&lt;&gt;"",COUNTIF($Y$62:$Y$62,$B43)+COUNTIF($Y$62:$Y$62,$B43&amp;" ~*")=0),($R43+COUNTIF($H$176:$H190,$B43)+COUNTIF($H$176:$H190,$B43&amp;" ~*"))*1000+IF(BK191&gt;100,500,0)+24,"")</f>
        <v/>
      </c>
    </row>
    <row r="192">
      <c r="A192" t="n">
        <v>7</v>
      </c>
      <c r="B192" t="n">
        <v>17</v>
      </c>
      <c r="C192">
        <f>$B$63</f>
        <v/>
      </c>
      <c r="D192" t="inlineStr">
        <is>
          <t>Sun</t>
        </is>
      </c>
      <c r="E192">
        <f>IF(C192="","",N($AC$63))</f>
        <v/>
      </c>
      <c r="F192">
        <f>IF(C192="","",COUNTIF($Y$63:$Y$63,"?*"))</f>
        <v/>
      </c>
      <c r="G192">
        <f>IF(C192="","",MAX(0,E192-F192))</f>
        <v/>
      </c>
      <c r="H192">
        <f>IF(N(G192)=0,"",IF(COUNT(BM192:CJ192)=0,"no-one eligible",INDEX(Engine!$B$20:$B$43,MOD(MIN(BM192:CJ192),500))&amp;IF(MOD(MIN(BM192:CJ192),1000)&gt;=500," *","")))</f>
        <v/>
      </c>
      <c r="I192">
        <f>IF(N(G192)&gt;0,COUNTIF($G$68:G192,"&gt;0"),"")</f>
        <v/>
      </c>
      <c r="J192">
        <f>IF(C192="","",IF($Y$63="",0,IF(IFERROR(INDEX(Setup!$O$6:$AL$23,17,MATCH(SUBSTITUTE($Y$63," *",""),Setup!$B$6:$B$29,0)),"")="",1,0)))</f>
        <v/>
      </c>
      <c r="K192">
        <f>IF($B$12+6=TODAY(),1,0)</f>
        <v/>
      </c>
      <c r="N192">
        <f>COUNT($AN192:$BK192)</f>
        <v/>
      </c>
      <c r="O192">
        <f>IF(1&gt;$N192,"",INDEX(Engine!$B$20:$B$43,MOD(SMALL($AN192:$BK192,1),100))&amp;IF(SMALL($AN192:$BK192,1)&gt;100," *",""))</f>
        <v/>
      </c>
      <c r="P192">
        <f>IF(2&gt;$N192,"",INDEX(Engine!$B$20:$B$43,MOD(SMALL($AN192:$BK192,2),100))&amp;IF(SMALL($AN192:$BK192,2)&gt;100," *",""))</f>
        <v/>
      </c>
      <c r="Q192">
        <f>IF(3&gt;$N192,"",INDEX(Engine!$B$20:$B$43,MOD(SMALL($AN192:$BK192,3),100))&amp;IF(SMALL($AN192:$BK192,3)&gt;100," *",""))</f>
        <v/>
      </c>
      <c r="R192">
        <f>IF(4&gt;$N192,"",INDEX(Engine!$B$20:$B$43,MOD(SMALL($AN192:$BK192,4),100))&amp;IF(SMALL($AN192:$BK192,4)&gt;100," *",""))</f>
        <v/>
      </c>
      <c r="S192">
        <f>IF(5&gt;$N192,"",INDEX(Engine!$B$20:$B$43,MOD(SMALL($AN192:$BK192,5),100))&amp;IF(SMALL($AN192:$BK192,5)&gt;100," *",""))</f>
        <v/>
      </c>
      <c r="T192">
        <f>IF(6&gt;$N192,"",INDEX(Engine!$B$20:$B$43,MOD(SMALL($AN192:$BK192,6),100))&amp;IF(SMALL($AN192:$BK192,6)&gt;100," *",""))</f>
        <v/>
      </c>
      <c r="U192">
        <f>IF(7&gt;$N192,"",INDEX(Engine!$B$20:$B$43,MOD(SMALL($AN192:$BK192,7),100))&amp;IF(SMALL($AN192:$BK192,7)&gt;100," *",""))</f>
        <v/>
      </c>
      <c r="V192">
        <f>IF(8&gt;$N192,"",INDEX(Engine!$B$20:$B$43,MOD(SMALL($AN192:$BK192,8),100))&amp;IF(SMALL($AN192:$BK192,8)&gt;100," *",""))</f>
        <v/>
      </c>
      <c r="W192">
        <f>IF(9&gt;$N192,"",INDEX(Engine!$B$20:$B$43,MOD(SMALL($AN192:$BK192,9),100))&amp;IF(SMALL($AN192:$BK192,9)&gt;100," *",""))</f>
        <v/>
      </c>
      <c r="X192">
        <f>IF(10&gt;$N192,"",INDEX(Engine!$B$20:$B$43,MOD(SMALL($AN192:$BK192,10),100))&amp;IF(SMALL($AN192:$BK192,10)&gt;100," *",""))</f>
        <v/>
      </c>
      <c r="Y192">
        <f>IF(11&gt;$N192,"",INDEX(Engine!$B$20:$B$43,MOD(SMALL($AN192:$BK192,11),100))&amp;IF(SMALL($AN192:$BK192,11)&gt;100," *",""))</f>
        <v/>
      </c>
      <c r="Z192">
        <f>IF(12&gt;$N192,"",INDEX(Engine!$B$20:$B$43,MOD(SMALL($AN192:$BK192,12),100))&amp;IF(SMALL($AN192:$BK192,12)&gt;100," *",""))</f>
        <v/>
      </c>
      <c r="AA192">
        <f>IF(13&gt;$N192,"",INDEX(Engine!$B$20:$B$43,MOD(SMALL($AN192:$BK192,13),100))&amp;IF(SMALL($AN192:$BK192,13)&gt;100," *",""))</f>
        <v/>
      </c>
      <c r="AB192">
        <f>IF(14&gt;$N192,"",INDEX(Engine!$B$20:$B$43,MOD(SMALL($AN192:$BK192,14),100))&amp;IF(SMALL($AN192:$BK192,14)&gt;100," *",""))</f>
        <v/>
      </c>
      <c r="AC192">
        <f>IF(15&gt;$N192,"",INDEX(Engine!$B$20:$B$43,MOD(SMALL($AN192:$BK192,15),100))&amp;IF(SMALL($AN192:$BK192,15)&gt;100," *",""))</f>
        <v/>
      </c>
      <c r="AD192">
        <f>IF(16&gt;$N192,"",INDEX(Engine!$B$20:$B$43,MOD(SMALL($AN192:$BK192,16),100))&amp;IF(SMALL($AN192:$BK192,16)&gt;100," *",""))</f>
        <v/>
      </c>
      <c r="AE192">
        <f>IF(17&gt;$N192,"",INDEX(Engine!$B$20:$B$43,MOD(SMALL($AN192:$BK192,17),100))&amp;IF(SMALL($AN192:$BK192,17)&gt;100," *",""))</f>
        <v/>
      </c>
      <c r="AF192">
        <f>IF(18&gt;$N192,"",INDEX(Engine!$B$20:$B$43,MOD(SMALL($AN192:$BK192,18),100))&amp;IF(SMALL($AN192:$BK192,18)&gt;100," *",""))</f>
        <v/>
      </c>
      <c r="AG192">
        <f>IF(19&gt;$N192,"",INDEX(Engine!$B$20:$B$43,MOD(SMALL($AN192:$BK192,19),100))&amp;IF(SMALL($AN192:$BK192,19)&gt;100," *",""))</f>
        <v/>
      </c>
      <c r="AH192">
        <f>IF(20&gt;$N192,"",INDEX(Engine!$B$20:$B$43,MOD(SMALL($AN192:$BK192,20),100))&amp;IF(SMALL($AN192:$BK192,20)&gt;100," *",""))</f>
        <v/>
      </c>
      <c r="AI192">
        <f>IF(21&gt;$N192,"",INDEX(Engine!$B$20:$B$43,MOD(SMALL($AN192:$BK192,21),100))&amp;IF(SMALL($AN192:$BK192,21)&gt;100," *",""))</f>
        <v/>
      </c>
      <c r="AJ192">
        <f>IF(22&gt;$N192,"",INDEX(Engine!$B$20:$B$43,MOD(SMALL($AN192:$BK192,22),100))&amp;IF(SMALL($AN192:$BK192,22)&gt;100," *",""))</f>
        <v/>
      </c>
      <c r="AK192">
        <f>IF(23&gt;$N192,"",INDEX(Engine!$B$20:$B$43,MOD(SMALL($AN192:$BK192,23),100))&amp;IF(SMALL($AN192:$BK192,23)&gt;100," *",""))</f>
        <v/>
      </c>
      <c r="AL192">
        <f>IF(24&gt;$N192,"",INDEX(Engine!$B$20:$B$43,MOD(SMALL($AN192:$BK192,24),100))&amp;IF(SMALL($AN192:$BK192,24)&gt;100," *",""))</f>
        <v/>
      </c>
      <c r="AN192">
        <f>IF(AND($C20=1,INDEX(Setup!$O$6:$AL$23,17,1)&lt;&gt;"",Q20=0),1+IF(INDEX(Setup!$O$6:$AL$23,17,1)="T",100,0),"")</f>
        <v/>
      </c>
      <c r="AO192">
        <f>IF(AND($C21=1,INDEX(Setup!$O$6:$AL$23,17,2)&lt;&gt;"",Q21=0),2+IF(INDEX(Setup!$O$6:$AL$23,17,2)="T",100,0),"")</f>
        <v/>
      </c>
      <c r="AP192">
        <f>IF(AND($C22=1,INDEX(Setup!$O$6:$AL$23,17,3)&lt;&gt;"",Q22=0),3+IF(INDEX(Setup!$O$6:$AL$23,17,3)="T",100,0),"")</f>
        <v/>
      </c>
      <c r="AQ192">
        <f>IF(AND($C23=1,INDEX(Setup!$O$6:$AL$23,17,4)&lt;&gt;"",Q23=0),4+IF(INDEX(Setup!$O$6:$AL$23,17,4)="T",100,0),"")</f>
        <v/>
      </c>
      <c r="AR192">
        <f>IF(AND($C24=1,INDEX(Setup!$O$6:$AL$23,17,5)&lt;&gt;"",Q24=0),5+IF(INDEX(Setup!$O$6:$AL$23,17,5)="T",100,0),"")</f>
        <v/>
      </c>
      <c r="AS192">
        <f>IF(AND($C25=1,INDEX(Setup!$O$6:$AL$23,17,6)&lt;&gt;"",Q25=0),6+IF(INDEX(Setup!$O$6:$AL$23,17,6)="T",100,0),"")</f>
        <v/>
      </c>
      <c r="AT192">
        <f>IF(AND($C26=1,INDEX(Setup!$O$6:$AL$23,17,7)&lt;&gt;"",Q26=0),7+IF(INDEX(Setup!$O$6:$AL$23,17,7)="T",100,0),"")</f>
        <v/>
      </c>
      <c r="AU192">
        <f>IF(AND($C27=1,INDEX(Setup!$O$6:$AL$23,17,8)&lt;&gt;"",Q27=0),8+IF(INDEX(Setup!$O$6:$AL$23,17,8)="T",100,0),"")</f>
        <v/>
      </c>
      <c r="AV192">
        <f>IF(AND($C28=1,INDEX(Setup!$O$6:$AL$23,17,9)&lt;&gt;"",Q28=0),9+IF(INDEX(Setup!$O$6:$AL$23,17,9)="T",100,0),"")</f>
        <v/>
      </c>
      <c r="AW192">
        <f>IF(AND($C29=1,INDEX(Setup!$O$6:$AL$23,17,10)&lt;&gt;"",Q29=0),10+IF(INDEX(Setup!$O$6:$AL$23,17,10)="T",100,0),"")</f>
        <v/>
      </c>
      <c r="AX192">
        <f>IF(AND($C30=1,INDEX(Setup!$O$6:$AL$23,17,11)&lt;&gt;"",Q30=0),11+IF(INDEX(Setup!$O$6:$AL$23,17,11)="T",100,0),"")</f>
        <v/>
      </c>
      <c r="AY192">
        <f>IF(AND($C31=1,INDEX(Setup!$O$6:$AL$23,17,12)&lt;&gt;"",Q31=0),12+IF(INDEX(Setup!$O$6:$AL$23,17,12)="T",100,0),"")</f>
        <v/>
      </c>
      <c r="AZ192">
        <f>IF(AND($C32=1,INDEX(Setup!$O$6:$AL$23,17,13)&lt;&gt;"",Q32=0),13+IF(INDEX(Setup!$O$6:$AL$23,17,13)="T",100,0),"")</f>
        <v/>
      </c>
      <c r="BA192">
        <f>IF(AND($C33=1,INDEX(Setup!$O$6:$AL$23,17,14)&lt;&gt;"",Q33=0),14+IF(INDEX(Setup!$O$6:$AL$23,17,14)="T",100,0),"")</f>
        <v/>
      </c>
      <c r="BB192">
        <f>IF(AND($C34=1,INDEX(Setup!$O$6:$AL$23,17,15)&lt;&gt;"",Q34=0),15+IF(INDEX(Setup!$O$6:$AL$23,17,15)="T",100,0),"")</f>
        <v/>
      </c>
      <c r="BC192">
        <f>IF(AND($C35=1,INDEX(Setup!$O$6:$AL$23,17,16)&lt;&gt;"",Q35=0),16+IF(INDEX(Setup!$O$6:$AL$23,17,16)="T",100,0),"")</f>
        <v/>
      </c>
      <c r="BD192">
        <f>IF(AND($C36=1,INDEX(Setup!$O$6:$AL$23,17,17)&lt;&gt;"",Q36=0),17+IF(INDEX(Setup!$O$6:$AL$23,17,17)="T",100,0),"")</f>
        <v/>
      </c>
      <c r="BE192">
        <f>IF(AND($C37=1,INDEX(Setup!$O$6:$AL$23,17,18)&lt;&gt;"",Q37=0),18+IF(INDEX(Setup!$O$6:$AL$23,17,18)="T",100,0),"")</f>
        <v/>
      </c>
      <c r="BF192">
        <f>IF(AND($C38=1,INDEX(Setup!$O$6:$AL$23,17,19)&lt;&gt;"",Q38=0),19+IF(INDEX(Setup!$O$6:$AL$23,17,19)="T",100,0),"")</f>
        <v/>
      </c>
      <c r="BG192">
        <f>IF(AND($C39=1,INDEX(Setup!$O$6:$AL$23,17,20)&lt;&gt;"",Q39=0),20+IF(INDEX(Setup!$O$6:$AL$23,17,20)="T",100,0),"")</f>
        <v/>
      </c>
      <c r="BH192">
        <f>IF(AND($C40=1,INDEX(Setup!$O$6:$AL$23,17,21)&lt;&gt;"",Q40=0),21+IF(INDEX(Setup!$O$6:$AL$23,17,21)="T",100,0),"")</f>
        <v/>
      </c>
      <c r="BI192">
        <f>IF(AND($C41=1,INDEX(Setup!$O$6:$AL$23,17,22)&lt;&gt;"",Q41=0),22+IF(INDEX(Setup!$O$6:$AL$23,17,22)="T",100,0),"")</f>
        <v/>
      </c>
      <c r="BJ192">
        <f>IF(AND($C42=1,INDEX(Setup!$O$6:$AL$23,17,23)&lt;&gt;"",Q42=0),23+IF(INDEX(Setup!$O$6:$AL$23,17,23)="T",100,0),"")</f>
        <v/>
      </c>
      <c r="BK192">
        <f>IF(AND($C43=1,INDEX(Setup!$O$6:$AL$23,17,24)&lt;&gt;"",Q43=0),24+IF(INDEX(Setup!$O$6:$AL$23,17,24)="T",100,0),"")</f>
        <v/>
      </c>
      <c r="BM192">
        <f>IF(AND(AN192&lt;&gt;"",COUNTIF($Y$63:$Y$63,$B20)+COUNTIF($Y$63:$Y$63,$B20&amp;" ~*")=0),($R20+COUNTIF($H$176:$H191,$B20)+COUNTIF($H$176:$H191,$B20&amp;" ~*"))*1000+IF(AN192&gt;100,500,0)+1,"")</f>
        <v/>
      </c>
      <c r="BN192">
        <f>IF(AND(AO192&lt;&gt;"",COUNTIF($Y$63:$Y$63,$B21)+COUNTIF($Y$63:$Y$63,$B21&amp;" ~*")=0),($R21+COUNTIF($H$176:$H191,$B21)+COUNTIF($H$176:$H191,$B21&amp;" ~*"))*1000+IF(AO192&gt;100,500,0)+2,"")</f>
        <v/>
      </c>
      <c r="BO192">
        <f>IF(AND(AP192&lt;&gt;"",COUNTIF($Y$63:$Y$63,$B22)+COUNTIF($Y$63:$Y$63,$B22&amp;" ~*")=0),($R22+COUNTIF($H$176:$H191,$B22)+COUNTIF($H$176:$H191,$B22&amp;" ~*"))*1000+IF(AP192&gt;100,500,0)+3,"")</f>
        <v/>
      </c>
      <c r="BP192">
        <f>IF(AND(AQ192&lt;&gt;"",COUNTIF($Y$63:$Y$63,$B23)+COUNTIF($Y$63:$Y$63,$B23&amp;" ~*")=0),($R23+COUNTIF($H$176:$H191,$B23)+COUNTIF($H$176:$H191,$B23&amp;" ~*"))*1000+IF(AQ192&gt;100,500,0)+4,"")</f>
        <v/>
      </c>
      <c r="BQ192">
        <f>IF(AND(AR192&lt;&gt;"",COUNTIF($Y$63:$Y$63,$B24)+COUNTIF($Y$63:$Y$63,$B24&amp;" ~*")=0),($R24+COUNTIF($H$176:$H191,$B24)+COUNTIF($H$176:$H191,$B24&amp;" ~*"))*1000+IF(AR192&gt;100,500,0)+5,"")</f>
        <v/>
      </c>
      <c r="BR192">
        <f>IF(AND(AS192&lt;&gt;"",COUNTIF($Y$63:$Y$63,$B25)+COUNTIF($Y$63:$Y$63,$B25&amp;" ~*")=0),($R25+COUNTIF($H$176:$H191,$B25)+COUNTIF($H$176:$H191,$B25&amp;" ~*"))*1000+IF(AS192&gt;100,500,0)+6,"")</f>
        <v/>
      </c>
      <c r="BS192">
        <f>IF(AND(AT192&lt;&gt;"",COUNTIF($Y$63:$Y$63,$B26)+COUNTIF($Y$63:$Y$63,$B26&amp;" ~*")=0),($R26+COUNTIF($H$176:$H191,$B26)+COUNTIF($H$176:$H191,$B26&amp;" ~*"))*1000+IF(AT192&gt;100,500,0)+7,"")</f>
        <v/>
      </c>
      <c r="BT192">
        <f>IF(AND(AU192&lt;&gt;"",COUNTIF($Y$63:$Y$63,$B27)+COUNTIF($Y$63:$Y$63,$B27&amp;" ~*")=0),($R27+COUNTIF($H$176:$H191,$B27)+COUNTIF($H$176:$H191,$B27&amp;" ~*"))*1000+IF(AU192&gt;100,500,0)+8,"")</f>
        <v/>
      </c>
      <c r="BU192">
        <f>IF(AND(AV192&lt;&gt;"",COUNTIF($Y$63:$Y$63,$B28)+COUNTIF($Y$63:$Y$63,$B28&amp;" ~*")=0),($R28+COUNTIF($H$176:$H191,$B28)+COUNTIF($H$176:$H191,$B28&amp;" ~*"))*1000+IF(AV192&gt;100,500,0)+9,"")</f>
        <v/>
      </c>
      <c r="BV192">
        <f>IF(AND(AW192&lt;&gt;"",COUNTIF($Y$63:$Y$63,$B29)+COUNTIF($Y$63:$Y$63,$B29&amp;" ~*")=0),($R29+COUNTIF($H$176:$H191,$B29)+COUNTIF($H$176:$H191,$B29&amp;" ~*"))*1000+IF(AW192&gt;100,500,0)+10,"")</f>
        <v/>
      </c>
      <c r="BW192">
        <f>IF(AND(AX192&lt;&gt;"",COUNTIF($Y$63:$Y$63,$B30)+COUNTIF($Y$63:$Y$63,$B30&amp;" ~*")=0),($R30+COUNTIF($H$176:$H191,$B30)+COUNTIF($H$176:$H191,$B30&amp;" ~*"))*1000+IF(AX192&gt;100,500,0)+11,"")</f>
        <v/>
      </c>
      <c r="BX192">
        <f>IF(AND(AY192&lt;&gt;"",COUNTIF($Y$63:$Y$63,$B31)+COUNTIF($Y$63:$Y$63,$B31&amp;" ~*")=0),($R31+COUNTIF($H$176:$H191,$B31)+COUNTIF($H$176:$H191,$B31&amp;" ~*"))*1000+IF(AY192&gt;100,500,0)+12,"")</f>
        <v/>
      </c>
      <c r="BY192">
        <f>IF(AND(AZ192&lt;&gt;"",COUNTIF($Y$63:$Y$63,$B32)+COUNTIF($Y$63:$Y$63,$B32&amp;" ~*")=0),($R32+COUNTIF($H$176:$H191,$B32)+COUNTIF($H$176:$H191,$B32&amp;" ~*"))*1000+IF(AZ192&gt;100,500,0)+13,"")</f>
        <v/>
      </c>
      <c r="BZ192">
        <f>IF(AND(BA192&lt;&gt;"",COUNTIF($Y$63:$Y$63,$B33)+COUNTIF($Y$63:$Y$63,$B33&amp;" ~*")=0),($R33+COUNTIF($H$176:$H191,$B33)+COUNTIF($H$176:$H191,$B33&amp;" ~*"))*1000+IF(BA192&gt;100,500,0)+14,"")</f>
        <v/>
      </c>
      <c r="CA192">
        <f>IF(AND(BB192&lt;&gt;"",COUNTIF($Y$63:$Y$63,$B34)+COUNTIF($Y$63:$Y$63,$B34&amp;" ~*")=0),($R34+COUNTIF($H$176:$H191,$B34)+COUNTIF($H$176:$H191,$B34&amp;" ~*"))*1000+IF(BB192&gt;100,500,0)+15,"")</f>
        <v/>
      </c>
      <c r="CB192">
        <f>IF(AND(BC192&lt;&gt;"",COUNTIF($Y$63:$Y$63,$B35)+COUNTIF($Y$63:$Y$63,$B35&amp;" ~*")=0),($R35+COUNTIF($H$176:$H191,$B35)+COUNTIF($H$176:$H191,$B35&amp;" ~*"))*1000+IF(BC192&gt;100,500,0)+16,"")</f>
        <v/>
      </c>
      <c r="CC192">
        <f>IF(AND(BD192&lt;&gt;"",COUNTIF($Y$63:$Y$63,$B36)+COUNTIF($Y$63:$Y$63,$B36&amp;" ~*")=0),($R36+COUNTIF($H$176:$H191,$B36)+COUNTIF($H$176:$H191,$B36&amp;" ~*"))*1000+IF(BD192&gt;100,500,0)+17,"")</f>
        <v/>
      </c>
      <c r="CD192">
        <f>IF(AND(BE192&lt;&gt;"",COUNTIF($Y$63:$Y$63,$B37)+COUNTIF($Y$63:$Y$63,$B37&amp;" ~*")=0),($R37+COUNTIF($H$176:$H191,$B37)+COUNTIF($H$176:$H191,$B37&amp;" ~*"))*1000+IF(BE192&gt;100,500,0)+18,"")</f>
        <v/>
      </c>
      <c r="CE192">
        <f>IF(AND(BF192&lt;&gt;"",COUNTIF($Y$63:$Y$63,$B38)+COUNTIF($Y$63:$Y$63,$B38&amp;" ~*")=0),($R38+COUNTIF($H$176:$H191,$B38)+COUNTIF($H$176:$H191,$B38&amp;" ~*"))*1000+IF(BF192&gt;100,500,0)+19,"")</f>
        <v/>
      </c>
      <c r="CF192">
        <f>IF(AND(BG192&lt;&gt;"",COUNTIF($Y$63:$Y$63,$B39)+COUNTIF($Y$63:$Y$63,$B39&amp;" ~*")=0),($R39+COUNTIF($H$176:$H191,$B39)+COUNTIF($H$176:$H191,$B39&amp;" ~*"))*1000+IF(BG192&gt;100,500,0)+20,"")</f>
        <v/>
      </c>
      <c r="CG192">
        <f>IF(AND(BH192&lt;&gt;"",COUNTIF($Y$63:$Y$63,$B40)+COUNTIF($Y$63:$Y$63,$B40&amp;" ~*")=0),($R40+COUNTIF($H$176:$H191,$B40)+COUNTIF($H$176:$H191,$B40&amp;" ~*"))*1000+IF(BH192&gt;100,500,0)+21,"")</f>
        <v/>
      </c>
      <c r="CH192">
        <f>IF(AND(BI192&lt;&gt;"",COUNTIF($Y$63:$Y$63,$B41)+COUNTIF($Y$63:$Y$63,$B41&amp;" ~*")=0),($R41+COUNTIF($H$176:$H191,$B41)+COUNTIF($H$176:$H191,$B41&amp;" ~*"))*1000+IF(BI192&gt;100,500,0)+22,"")</f>
        <v/>
      </c>
      <c r="CI192">
        <f>IF(AND(BJ192&lt;&gt;"",COUNTIF($Y$63:$Y$63,$B42)+COUNTIF($Y$63:$Y$63,$B42&amp;" ~*")=0),($R42+COUNTIF($H$176:$H191,$B42)+COUNTIF($H$176:$H191,$B42&amp;" ~*"))*1000+IF(BJ192&gt;100,500,0)+23,"")</f>
        <v/>
      </c>
      <c r="CJ192">
        <f>IF(AND(BK192&lt;&gt;"",COUNTIF($Y$63:$Y$63,$B43)+COUNTIF($Y$63:$Y$63,$B43&amp;" ~*")=0),($R43+COUNTIF($H$176:$H191,$B43)+COUNTIF($H$176:$H191,$B43&amp;" ~*"))*1000+IF(BK192&gt;100,500,0)+24,"")</f>
        <v/>
      </c>
    </row>
    <row r="193">
      <c r="A193" t="n">
        <v>7</v>
      </c>
      <c r="B193" t="n">
        <v>18</v>
      </c>
      <c r="C193">
        <f>$B$64</f>
        <v/>
      </c>
      <c r="D193" t="inlineStr">
        <is>
          <t>Sun</t>
        </is>
      </c>
      <c r="E193">
        <f>IF(C193="","",N($AC$64))</f>
        <v/>
      </c>
      <c r="F193">
        <f>IF(C193="","",COUNTIF($Y$64:$Y$64,"?*"))</f>
        <v/>
      </c>
      <c r="G193">
        <f>IF(C193="","",MAX(0,E193-F193))</f>
        <v/>
      </c>
      <c r="H193">
        <f>IF(N(G193)=0,"",IF(COUNT(BM193:CJ193)=0,"no-one eligible",INDEX(Engine!$B$20:$B$43,MOD(MIN(BM193:CJ193),500))&amp;IF(MOD(MIN(BM193:CJ193),1000)&gt;=500," *","")))</f>
        <v/>
      </c>
      <c r="I193">
        <f>IF(N(G193)&gt;0,COUNTIF($G$68:G193,"&gt;0"),"")</f>
        <v/>
      </c>
      <c r="J193">
        <f>IF(C193="","",IF($Y$64="",0,IF(IFERROR(INDEX(Setup!$O$6:$AL$23,18,MATCH(SUBSTITUTE($Y$64," *",""),Setup!$B$6:$B$29,0)),"")="",1,0)))</f>
        <v/>
      </c>
      <c r="K193">
        <f>IF($B$12+6=TODAY(),1,0)</f>
        <v/>
      </c>
      <c r="N193">
        <f>COUNT($AN193:$BK193)</f>
        <v/>
      </c>
      <c r="O193">
        <f>IF(1&gt;$N193,"",INDEX(Engine!$B$20:$B$43,MOD(SMALL($AN193:$BK193,1),100))&amp;IF(SMALL($AN193:$BK193,1)&gt;100," *",""))</f>
        <v/>
      </c>
      <c r="P193">
        <f>IF(2&gt;$N193,"",INDEX(Engine!$B$20:$B$43,MOD(SMALL($AN193:$BK193,2),100))&amp;IF(SMALL($AN193:$BK193,2)&gt;100," *",""))</f>
        <v/>
      </c>
      <c r="Q193">
        <f>IF(3&gt;$N193,"",INDEX(Engine!$B$20:$B$43,MOD(SMALL($AN193:$BK193,3),100))&amp;IF(SMALL($AN193:$BK193,3)&gt;100," *",""))</f>
        <v/>
      </c>
      <c r="R193">
        <f>IF(4&gt;$N193,"",INDEX(Engine!$B$20:$B$43,MOD(SMALL($AN193:$BK193,4),100))&amp;IF(SMALL($AN193:$BK193,4)&gt;100," *",""))</f>
        <v/>
      </c>
      <c r="S193">
        <f>IF(5&gt;$N193,"",INDEX(Engine!$B$20:$B$43,MOD(SMALL($AN193:$BK193,5),100))&amp;IF(SMALL($AN193:$BK193,5)&gt;100," *",""))</f>
        <v/>
      </c>
      <c r="T193">
        <f>IF(6&gt;$N193,"",INDEX(Engine!$B$20:$B$43,MOD(SMALL($AN193:$BK193,6),100))&amp;IF(SMALL($AN193:$BK193,6)&gt;100," *",""))</f>
        <v/>
      </c>
      <c r="U193">
        <f>IF(7&gt;$N193,"",INDEX(Engine!$B$20:$B$43,MOD(SMALL($AN193:$BK193,7),100))&amp;IF(SMALL($AN193:$BK193,7)&gt;100," *",""))</f>
        <v/>
      </c>
      <c r="V193">
        <f>IF(8&gt;$N193,"",INDEX(Engine!$B$20:$B$43,MOD(SMALL($AN193:$BK193,8),100))&amp;IF(SMALL($AN193:$BK193,8)&gt;100," *",""))</f>
        <v/>
      </c>
      <c r="W193">
        <f>IF(9&gt;$N193,"",INDEX(Engine!$B$20:$B$43,MOD(SMALL($AN193:$BK193,9),100))&amp;IF(SMALL($AN193:$BK193,9)&gt;100," *",""))</f>
        <v/>
      </c>
      <c r="X193">
        <f>IF(10&gt;$N193,"",INDEX(Engine!$B$20:$B$43,MOD(SMALL($AN193:$BK193,10),100))&amp;IF(SMALL($AN193:$BK193,10)&gt;100," *",""))</f>
        <v/>
      </c>
      <c r="Y193">
        <f>IF(11&gt;$N193,"",INDEX(Engine!$B$20:$B$43,MOD(SMALL($AN193:$BK193,11),100))&amp;IF(SMALL($AN193:$BK193,11)&gt;100," *",""))</f>
        <v/>
      </c>
      <c r="Z193">
        <f>IF(12&gt;$N193,"",INDEX(Engine!$B$20:$B$43,MOD(SMALL($AN193:$BK193,12),100))&amp;IF(SMALL($AN193:$BK193,12)&gt;100," *",""))</f>
        <v/>
      </c>
      <c r="AA193">
        <f>IF(13&gt;$N193,"",INDEX(Engine!$B$20:$B$43,MOD(SMALL($AN193:$BK193,13),100))&amp;IF(SMALL($AN193:$BK193,13)&gt;100," *",""))</f>
        <v/>
      </c>
      <c r="AB193">
        <f>IF(14&gt;$N193,"",INDEX(Engine!$B$20:$B$43,MOD(SMALL($AN193:$BK193,14),100))&amp;IF(SMALL($AN193:$BK193,14)&gt;100," *",""))</f>
        <v/>
      </c>
      <c r="AC193">
        <f>IF(15&gt;$N193,"",INDEX(Engine!$B$20:$B$43,MOD(SMALL($AN193:$BK193,15),100))&amp;IF(SMALL($AN193:$BK193,15)&gt;100," *",""))</f>
        <v/>
      </c>
      <c r="AD193">
        <f>IF(16&gt;$N193,"",INDEX(Engine!$B$20:$B$43,MOD(SMALL($AN193:$BK193,16),100))&amp;IF(SMALL($AN193:$BK193,16)&gt;100," *",""))</f>
        <v/>
      </c>
      <c r="AE193">
        <f>IF(17&gt;$N193,"",INDEX(Engine!$B$20:$B$43,MOD(SMALL($AN193:$BK193,17),100))&amp;IF(SMALL($AN193:$BK193,17)&gt;100," *",""))</f>
        <v/>
      </c>
      <c r="AF193">
        <f>IF(18&gt;$N193,"",INDEX(Engine!$B$20:$B$43,MOD(SMALL($AN193:$BK193,18),100))&amp;IF(SMALL($AN193:$BK193,18)&gt;100," *",""))</f>
        <v/>
      </c>
      <c r="AG193">
        <f>IF(19&gt;$N193,"",INDEX(Engine!$B$20:$B$43,MOD(SMALL($AN193:$BK193,19),100))&amp;IF(SMALL($AN193:$BK193,19)&gt;100," *",""))</f>
        <v/>
      </c>
      <c r="AH193">
        <f>IF(20&gt;$N193,"",INDEX(Engine!$B$20:$B$43,MOD(SMALL($AN193:$BK193,20),100))&amp;IF(SMALL($AN193:$BK193,20)&gt;100," *",""))</f>
        <v/>
      </c>
      <c r="AI193">
        <f>IF(21&gt;$N193,"",INDEX(Engine!$B$20:$B$43,MOD(SMALL($AN193:$BK193,21),100))&amp;IF(SMALL($AN193:$BK193,21)&gt;100," *",""))</f>
        <v/>
      </c>
      <c r="AJ193">
        <f>IF(22&gt;$N193,"",INDEX(Engine!$B$20:$B$43,MOD(SMALL($AN193:$BK193,22),100))&amp;IF(SMALL($AN193:$BK193,22)&gt;100," *",""))</f>
        <v/>
      </c>
      <c r="AK193">
        <f>IF(23&gt;$N193,"",INDEX(Engine!$B$20:$B$43,MOD(SMALL($AN193:$BK193,23),100))&amp;IF(SMALL($AN193:$BK193,23)&gt;100," *",""))</f>
        <v/>
      </c>
      <c r="AL193">
        <f>IF(24&gt;$N193,"",INDEX(Engine!$B$20:$B$43,MOD(SMALL($AN193:$BK193,24),100))&amp;IF(SMALL($AN193:$BK193,24)&gt;100," *",""))</f>
        <v/>
      </c>
      <c r="AN193">
        <f>IF(AND($C20=1,INDEX(Setup!$O$6:$AL$23,18,1)&lt;&gt;"",Q20=0),1+IF(INDEX(Setup!$O$6:$AL$23,18,1)="T",100,0),"")</f>
        <v/>
      </c>
      <c r="AO193">
        <f>IF(AND($C21=1,INDEX(Setup!$O$6:$AL$23,18,2)&lt;&gt;"",Q21=0),2+IF(INDEX(Setup!$O$6:$AL$23,18,2)="T",100,0),"")</f>
        <v/>
      </c>
      <c r="AP193">
        <f>IF(AND($C22=1,INDEX(Setup!$O$6:$AL$23,18,3)&lt;&gt;"",Q22=0),3+IF(INDEX(Setup!$O$6:$AL$23,18,3)="T",100,0),"")</f>
        <v/>
      </c>
      <c r="AQ193">
        <f>IF(AND($C23=1,INDEX(Setup!$O$6:$AL$23,18,4)&lt;&gt;"",Q23=0),4+IF(INDEX(Setup!$O$6:$AL$23,18,4)="T",100,0),"")</f>
        <v/>
      </c>
      <c r="AR193">
        <f>IF(AND($C24=1,INDEX(Setup!$O$6:$AL$23,18,5)&lt;&gt;"",Q24=0),5+IF(INDEX(Setup!$O$6:$AL$23,18,5)="T",100,0),"")</f>
        <v/>
      </c>
      <c r="AS193">
        <f>IF(AND($C25=1,INDEX(Setup!$O$6:$AL$23,18,6)&lt;&gt;"",Q25=0),6+IF(INDEX(Setup!$O$6:$AL$23,18,6)="T",100,0),"")</f>
        <v/>
      </c>
      <c r="AT193">
        <f>IF(AND($C26=1,INDEX(Setup!$O$6:$AL$23,18,7)&lt;&gt;"",Q26=0),7+IF(INDEX(Setup!$O$6:$AL$23,18,7)="T",100,0),"")</f>
        <v/>
      </c>
      <c r="AU193">
        <f>IF(AND($C27=1,INDEX(Setup!$O$6:$AL$23,18,8)&lt;&gt;"",Q27=0),8+IF(INDEX(Setup!$O$6:$AL$23,18,8)="T",100,0),"")</f>
        <v/>
      </c>
      <c r="AV193">
        <f>IF(AND($C28=1,INDEX(Setup!$O$6:$AL$23,18,9)&lt;&gt;"",Q28=0),9+IF(INDEX(Setup!$O$6:$AL$23,18,9)="T",100,0),"")</f>
        <v/>
      </c>
      <c r="AW193">
        <f>IF(AND($C29=1,INDEX(Setup!$O$6:$AL$23,18,10)&lt;&gt;"",Q29=0),10+IF(INDEX(Setup!$O$6:$AL$23,18,10)="T",100,0),"")</f>
        <v/>
      </c>
      <c r="AX193">
        <f>IF(AND($C30=1,INDEX(Setup!$O$6:$AL$23,18,11)&lt;&gt;"",Q30=0),11+IF(INDEX(Setup!$O$6:$AL$23,18,11)="T",100,0),"")</f>
        <v/>
      </c>
      <c r="AY193">
        <f>IF(AND($C31=1,INDEX(Setup!$O$6:$AL$23,18,12)&lt;&gt;"",Q31=0),12+IF(INDEX(Setup!$O$6:$AL$23,18,12)="T",100,0),"")</f>
        <v/>
      </c>
      <c r="AZ193">
        <f>IF(AND($C32=1,INDEX(Setup!$O$6:$AL$23,18,13)&lt;&gt;"",Q32=0),13+IF(INDEX(Setup!$O$6:$AL$23,18,13)="T",100,0),"")</f>
        <v/>
      </c>
      <c r="BA193">
        <f>IF(AND($C33=1,INDEX(Setup!$O$6:$AL$23,18,14)&lt;&gt;"",Q33=0),14+IF(INDEX(Setup!$O$6:$AL$23,18,14)="T",100,0),"")</f>
        <v/>
      </c>
      <c r="BB193">
        <f>IF(AND($C34=1,INDEX(Setup!$O$6:$AL$23,18,15)&lt;&gt;"",Q34=0),15+IF(INDEX(Setup!$O$6:$AL$23,18,15)="T",100,0),"")</f>
        <v/>
      </c>
      <c r="BC193">
        <f>IF(AND($C35=1,INDEX(Setup!$O$6:$AL$23,18,16)&lt;&gt;"",Q35=0),16+IF(INDEX(Setup!$O$6:$AL$23,18,16)="T",100,0),"")</f>
        <v/>
      </c>
      <c r="BD193">
        <f>IF(AND($C36=1,INDEX(Setup!$O$6:$AL$23,18,17)&lt;&gt;"",Q36=0),17+IF(INDEX(Setup!$O$6:$AL$23,18,17)="T",100,0),"")</f>
        <v/>
      </c>
      <c r="BE193">
        <f>IF(AND($C37=1,INDEX(Setup!$O$6:$AL$23,18,18)&lt;&gt;"",Q37=0),18+IF(INDEX(Setup!$O$6:$AL$23,18,18)="T",100,0),"")</f>
        <v/>
      </c>
      <c r="BF193">
        <f>IF(AND($C38=1,INDEX(Setup!$O$6:$AL$23,18,19)&lt;&gt;"",Q38=0),19+IF(INDEX(Setup!$O$6:$AL$23,18,19)="T",100,0),"")</f>
        <v/>
      </c>
      <c r="BG193">
        <f>IF(AND($C39=1,INDEX(Setup!$O$6:$AL$23,18,20)&lt;&gt;"",Q39=0),20+IF(INDEX(Setup!$O$6:$AL$23,18,20)="T",100,0),"")</f>
        <v/>
      </c>
      <c r="BH193">
        <f>IF(AND($C40=1,INDEX(Setup!$O$6:$AL$23,18,21)&lt;&gt;"",Q40=0),21+IF(INDEX(Setup!$O$6:$AL$23,18,21)="T",100,0),"")</f>
        <v/>
      </c>
      <c r="BI193">
        <f>IF(AND($C41=1,INDEX(Setup!$O$6:$AL$23,18,22)&lt;&gt;"",Q41=0),22+IF(INDEX(Setup!$O$6:$AL$23,18,22)="T",100,0),"")</f>
        <v/>
      </c>
      <c r="BJ193">
        <f>IF(AND($C42=1,INDEX(Setup!$O$6:$AL$23,18,23)&lt;&gt;"",Q42=0),23+IF(INDEX(Setup!$O$6:$AL$23,18,23)="T",100,0),"")</f>
        <v/>
      </c>
      <c r="BK193">
        <f>IF(AND($C43=1,INDEX(Setup!$O$6:$AL$23,18,24)&lt;&gt;"",Q43=0),24+IF(INDEX(Setup!$O$6:$AL$23,18,24)="T",100,0),"")</f>
        <v/>
      </c>
      <c r="BM193">
        <f>IF(AND(AN193&lt;&gt;"",COUNTIF($Y$64:$Y$64,$B20)+COUNTIF($Y$64:$Y$64,$B20&amp;" ~*")=0),($R20+COUNTIF($H$176:$H192,$B20)+COUNTIF($H$176:$H192,$B20&amp;" ~*"))*1000+IF(AN193&gt;100,500,0)+1,"")</f>
        <v/>
      </c>
      <c r="BN193">
        <f>IF(AND(AO193&lt;&gt;"",COUNTIF($Y$64:$Y$64,$B21)+COUNTIF($Y$64:$Y$64,$B21&amp;" ~*")=0),($R21+COUNTIF($H$176:$H192,$B21)+COUNTIF($H$176:$H192,$B21&amp;" ~*"))*1000+IF(AO193&gt;100,500,0)+2,"")</f>
        <v/>
      </c>
      <c r="BO193">
        <f>IF(AND(AP193&lt;&gt;"",COUNTIF($Y$64:$Y$64,$B22)+COUNTIF($Y$64:$Y$64,$B22&amp;" ~*")=0),($R22+COUNTIF($H$176:$H192,$B22)+COUNTIF($H$176:$H192,$B22&amp;" ~*"))*1000+IF(AP193&gt;100,500,0)+3,"")</f>
        <v/>
      </c>
      <c r="BP193">
        <f>IF(AND(AQ193&lt;&gt;"",COUNTIF($Y$64:$Y$64,$B23)+COUNTIF($Y$64:$Y$64,$B23&amp;" ~*")=0),($R23+COUNTIF($H$176:$H192,$B23)+COUNTIF($H$176:$H192,$B23&amp;" ~*"))*1000+IF(AQ193&gt;100,500,0)+4,"")</f>
        <v/>
      </c>
      <c r="BQ193">
        <f>IF(AND(AR193&lt;&gt;"",COUNTIF($Y$64:$Y$64,$B24)+COUNTIF($Y$64:$Y$64,$B24&amp;" ~*")=0),($R24+COUNTIF($H$176:$H192,$B24)+COUNTIF($H$176:$H192,$B24&amp;" ~*"))*1000+IF(AR193&gt;100,500,0)+5,"")</f>
        <v/>
      </c>
      <c r="BR193">
        <f>IF(AND(AS193&lt;&gt;"",COUNTIF($Y$64:$Y$64,$B25)+COUNTIF($Y$64:$Y$64,$B25&amp;" ~*")=0),($R25+COUNTIF($H$176:$H192,$B25)+COUNTIF($H$176:$H192,$B25&amp;" ~*"))*1000+IF(AS193&gt;100,500,0)+6,"")</f>
        <v/>
      </c>
      <c r="BS193">
        <f>IF(AND(AT193&lt;&gt;"",COUNTIF($Y$64:$Y$64,$B26)+COUNTIF($Y$64:$Y$64,$B26&amp;" ~*")=0),($R26+COUNTIF($H$176:$H192,$B26)+COUNTIF($H$176:$H192,$B26&amp;" ~*"))*1000+IF(AT193&gt;100,500,0)+7,"")</f>
        <v/>
      </c>
      <c r="BT193">
        <f>IF(AND(AU193&lt;&gt;"",COUNTIF($Y$64:$Y$64,$B27)+COUNTIF($Y$64:$Y$64,$B27&amp;" ~*")=0),($R27+COUNTIF($H$176:$H192,$B27)+COUNTIF($H$176:$H192,$B27&amp;" ~*"))*1000+IF(AU193&gt;100,500,0)+8,"")</f>
        <v/>
      </c>
      <c r="BU193">
        <f>IF(AND(AV193&lt;&gt;"",COUNTIF($Y$64:$Y$64,$B28)+COUNTIF($Y$64:$Y$64,$B28&amp;" ~*")=0),($R28+COUNTIF($H$176:$H192,$B28)+COUNTIF($H$176:$H192,$B28&amp;" ~*"))*1000+IF(AV193&gt;100,500,0)+9,"")</f>
        <v/>
      </c>
      <c r="BV193">
        <f>IF(AND(AW193&lt;&gt;"",COUNTIF($Y$64:$Y$64,$B29)+COUNTIF($Y$64:$Y$64,$B29&amp;" ~*")=0),($R29+COUNTIF($H$176:$H192,$B29)+COUNTIF($H$176:$H192,$B29&amp;" ~*"))*1000+IF(AW193&gt;100,500,0)+10,"")</f>
        <v/>
      </c>
      <c r="BW193">
        <f>IF(AND(AX193&lt;&gt;"",COUNTIF($Y$64:$Y$64,$B30)+COUNTIF($Y$64:$Y$64,$B30&amp;" ~*")=0),($R30+COUNTIF($H$176:$H192,$B30)+COUNTIF($H$176:$H192,$B30&amp;" ~*"))*1000+IF(AX193&gt;100,500,0)+11,"")</f>
        <v/>
      </c>
      <c r="BX193">
        <f>IF(AND(AY193&lt;&gt;"",COUNTIF($Y$64:$Y$64,$B31)+COUNTIF($Y$64:$Y$64,$B31&amp;" ~*")=0),($R31+COUNTIF($H$176:$H192,$B31)+COUNTIF($H$176:$H192,$B31&amp;" ~*"))*1000+IF(AY193&gt;100,500,0)+12,"")</f>
        <v/>
      </c>
      <c r="BY193">
        <f>IF(AND(AZ193&lt;&gt;"",COUNTIF($Y$64:$Y$64,$B32)+COUNTIF($Y$64:$Y$64,$B32&amp;" ~*")=0),($R32+COUNTIF($H$176:$H192,$B32)+COUNTIF($H$176:$H192,$B32&amp;" ~*"))*1000+IF(AZ193&gt;100,500,0)+13,"")</f>
        <v/>
      </c>
      <c r="BZ193">
        <f>IF(AND(BA193&lt;&gt;"",COUNTIF($Y$64:$Y$64,$B33)+COUNTIF($Y$64:$Y$64,$B33&amp;" ~*")=0),($R33+COUNTIF($H$176:$H192,$B33)+COUNTIF($H$176:$H192,$B33&amp;" ~*"))*1000+IF(BA193&gt;100,500,0)+14,"")</f>
        <v/>
      </c>
      <c r="CA193">
        <f>IF(AND(BB193&lt;&gt;"",COUNTIF($Y$64:$Y$64,$B34)+COUNTIF($Y$64:$Y$64,$B34&amp;" ~*")=0),($R34+COUNTIF($H$176:$H192,$B34)+COUNTIF($H$176:$H192,$B34&amp;" ~*"))*1000+IF(BB193&gt;100,500,0)+15,"")</f>
        <v/>
      </c>
      <c r="CB193">
        <f>IF(AND(BC193&lt;&gt;"",COUNTIF($Y$64:$Y$64,$B35)+COUNTIF($Y$64:$Y$64,$B35&amp;" ~*")=0),($R35+COUNTIF($H$176:$H192,$B35)+COUNTIF($H$176:$H192,$B35&amp;" ~*"))*1000+IF(BC193&gt;100,500,0)+16,"")</f>
        <v/>
      </c>
      <c r="CC193">
        <f>IF(AND(BD193&lt;&gt;"",COUNTIF($Y$64:$Y$64,$B36)+COUNTIF($Y$64:$Y$64,$B36&amp;" ~*")=0),($R36+COUNTIF($H$176:$H192,$B36)+COUNTIF($H$176:$H192,$B36&amp;" ~*"))*1000+IF(BD193&gt;100,500,0)+17,"")</f>
        <v/>
      </c>
      <c r="CD193">
        <f>IF(AND(BE193&lt;&gt;"",COUNTIF($Y$64:$Y$64,$B37)+COUNTIF($Y$64:$Y$64,$B37&amp;" ~*")=0),($R37+COUNTIF($H$176:$H192,$B37)+COUNTIF($H$176:$H192,$B37&amp;" ~*"))*1000+IF(BE193&gt;100,500,0)+18,"")</f>
        <v/>
      </c>
      <c r="CE193">
        <f>IF(AND(BF193&lt;&gt;"",COUNTIF($Y$64:$Y$64,$B38)+COUNTIF($Y$64:$Y$64,$B38&amp;" ~*")=0),($R38+COUNTIF($H$176:$H192,$B38)+COUNTIF($H$176:$H192,$B38&amp;" ~*"))*1000+IF(BF193&gt;100,500,0)+19,"")</f>
        <v/>
      </c>
      <c r="CF193">
        <f>IF(AND(BG193&lt;&gt;"",COUNTIF($Y$64:$Y$64,$B39)+COUNTIF($Y$64:$Y$64,$B39&amp;" ~*")=0),($R39+COUNTIF($H$176:$H192,$B39)+COUNTIF($H$176:$H192,$B39&amp;" ~*"))*1000+IF(BG193&gt;100,500,0)+20,"")</f>
        <v/>
      </c>
      <c r="CG193">
        <f>IF(AND(BH193&lt;&gt;"",COUNTIF($Y$64:$Y$64,$B40)+COUNTIF($Y$64:$Y$64,$B40&amp;" ~*")=0),($R40+COUNTIF($H$176:$H192,$B40)+COUNTIF($H$176:$H192,$B40&amp;" ~*"))*1000+IF(BH193&gt;100,500,0)+21,"")</f>
        <v/>
      </c>
      <c r="CH193">
        <f>IF(AND(BI193&lt;&gt;"",COUNTIF($Y$64:$Y$64,$B41)+COUNTIF($Y$64:$Y$64,$B41&amp;" ~*")=0),($R41+COUNTIF($H$176:$H192,$B41)+COUNTIF($H$176:$H192,$B41&amp;" ~*"))*1000+IF(BI193&gt;100,500,0)+22,"")</f>
        <v/>
      </c>
      <c r="CI193">
        <f>IF(AND(BJ193&lt;&gt;"",COUNTIF($Y$64:$Y$64,$B42)+COUNTIF($Y$64:$Y$64,$B42&amp;" ~*")=0),($R42+COUNTIF($H$176:$H192,$B42)+COUNTIF($H$176:$H192,$B42&amp;" ~*"))*1000+IF(BJ193&gt;100,500,0)+23,"")</f>
        <v/>
      </c>
      <c r="CJ193">
        <f>IF(AND(BK193&lt;&gt;"",COUNTIF($Y$64:$Y$64,$B43)+COUNTIF($Y$64:$Y$64,$B43&amp;" ~*")=0),($R43+COUNTIF($H$176:$H192,$B43)+COUNTIF($H$176:$H192,$B43&amp;" ~*"))*1000+IF(BK193&gt;100,500,0)+24,"")</f>
        <v/>
      </c>
    </row>
    <row r="199">
      <c r="A199" s="179" t="inlineStr">
        <is>
          <t>w</t>
        </is>
      </c>
      <c r="B199" s="179" t="inlineStr">
        <is>
          <t>My Rota mirror (weeks from 'My Rota'!D6, year 'My Rota'!D5)</t>
        </is>
      </c>
    </row>
    <row r="200">
      <c r="A200" t="n">
        <v>1</v>
      </c>
      <c r="B200">
        <f>$B$47</f>
        <v/>
      </c>
      <c r="C200">
        <f>IF(OR($B200="",(N('My Rota'!$D$6)+0)&gt;53),"",""&amp;CHOOSE(IFERROR(MATCH('My Rota'!$D$5,Setup!$K$33:$K$36,0),1),INDEX('2027'!$A:$Z,(5+50*((N('My Rota'!$D$6)+0)-1))+2+1,3),INDEX('2028'!$A:$Z,(5+50*((N('My Rota'!$D$6)+0)-1))+2+1,3),INDEX('2029'!$A:$Z,(5+50*((N('My Rota'!$D$6)+0)-1))+2+1,3),INDEX('2030'!$A:$Z,(5+50*((N('My Rota'!$D$6)+0)-1))+2+1,3)))</f>
        <v/>
      </c>
      <c r="D200">
        <f>IF(OR($B200="",(N('My Rota'!$D$6)+0)&gt;53),"",""&amp;CHOOSE(IFERROR(MATCH('My Rota'!$D$5,Setup!$K$33:$K$36,0),1),INDEX('2027'!$A:$Z,(5+50*((N('My Rota'!$D$6)+0)-1))+2+1,4),INDEX('2028'!$A:$Z,(5+50*((N('My Rota'!$D$6)+0)-1))+2+1,4),INDEX('2029'!$A:$Z,(5+50*((N('My Rota'!$D$6)+0)-1))+2+1,4),INDEX('2030'!$A:$Z,(5+50*((N('My Rota'!$D$6)+0)-1))+2+1,4)))</f>
        <v/>
      </c>
      <c r="E200">
        <f>IF(OR($B200="",(N('My Rota'!$D$6)+0)&gt;53),"",""&amp;CHOOSE(IFERROR(MATCH('My Rota'!$D$5,Setup!$K$33:$K$36,0),1),INDEX('2027'!$A:$Z,(5+50*((N('My Rota'!$D$6)+0)-1))+2+1,5),INDEX('2028'!$A:$Z,(5+50*((N('My Rota'!$D$6)+0)-1))+2+1,5),INDEX('2029'!$A:$Z,(5+50*((N('My Rota'!$D$6)+0)-1))+2+1,5),INDEX('2030'!$A:$Z,(5+50*((N('My Rota'!$D$6)+0)-1))+2+1,5)))</f>
        <v/>
      </c>
      <c r="F200">
        <f>IF(OR($B200="",(N('My Rota'!$D$6)+0)&gt;53),"",""&amp;CHOOSE(IFERROR(MATCH('My Rota'!$D$5,Setup!$K$33:$K$36,0),1),INDEX('2027'!$A:$Z,(5+50*((N('My Rota'!$D$6)+0)-1))+2+1,6),INDEX('2028'!$A:$Z,(5+50*((N('My Rota'!$D$6)+0)-1))+2+1,6),INDEX('2029'!$A:$Z,(5+50*((N('My Rota'!$D$6)+0)-1))+2+1,6),INDEX('2030'!$A:$Z,(5+50*((N('My Rota'!$D$6)+0)-1))+2+1,6)))</f>
        <v/>
      </c>
      <c r="G200">
        <f>IF(OR($B200="",(N('My Rota'!$D$6)+0)&gt;53),"",""&amp;CHOOSE(IFERROR(MATCH('My Rota'!$D$5,Setup!$K$33:$K$36,0),1),INDEX('2027'!$A:$Z,(5+50*((N('My Rota'!$D$6)+0)-1))+2+1,7),INDEX('2028'!$A:$Z,(5+50*((N('My Rota'!$D$6)+0)-1))+2+1,7),INDEX('2029'!$A:$Z,(5+50*((N('My Rota'!$D$6)+0)-1))+2+1,7),INDEX('2030'!$A:$Z,(5+50*((N('My Rota'!$D$6)+0)-1))+2+1,7)))</f>
        <v/>
      </c>
      <c r="H200">
        <f>IF(OR($B200="",(N('My Rota'!$D$6)+0)&gt;53),"",""&amp;CHOOSE(IFERROR(MATCH('My Rota'!$D$5,Setup!$K$33:$K$36,0),1),INDEX('2027'!$A:$Z,(5+50*((N('My Rota'!$D$6)+0)-1))+2+1,8),INDEX('2028'!$A:$Z,(5+50*((N('My Rota'!$D$6)+0)-1))+2+1,8),INDEX('2029'!$A:$Z,(5+50*((N('My Rota'!$D$6)+0)-1))+2+1,8),INDEX('2030'!$A:$Z,(5+50*((N('My Rota'!$D$6)+0)-1))+2+1,8)))</f>
        <v/>
      </c>
      <c r="I200">
        <f>IF(OR($B200="",(N('My Rota'!$D$6)+0)&gt;53),"",""&amp;CHOOSE(IFERROR(MATCH('My Rota'!$D$5,Setup!$K$33:$K$36,0),1),INDEX('2027'!$A:$Z,(5+50*((N('My Rota'!$D$6)+0)-1))+2+1,9),INDEX('2028'!$A:$Z,(5+50*((N('My Rota'!$D$6)+0)-1))+2+1,9),INDEX('2029'!$A:$Z,(5+50*((N('My Rota'!$D$6)+0)-1))+2+1,9),INDEX('2030'!$A:$Z,(5+50*((N('My Rota'!$D$6)+0)-1))+2+1,9)))</f>
        <v/>
      </c>
      <c r="J200">
        <f>IF(OR($B200="",(N('My Rota'!$D$6)+0)&gt;53),"",""&amp;CHOOSE(IFERROR(MATCH('My Rota'!$D$5,Setup!$K$33:$K$36,0),1),INDEX('2027'!$A:$Z,(5+50*((N('My Rota'!$D$6)+0)-1))+2+1,10),INDEX('2028'!$A:$Z,(5+50*((N('My Rota'!$D$6)+0)-1))+2+1,10),INDEX('2029'!$A:$Z,(5+50*((N('My Rota'!$D$6)+0)-1))+2+1,10),INDEX('2030'!$A:$Z,(5+50*((N('My Rota'!$D$6)+0)-1))+2+1,10)))</f>
        <v/>
      </c>
      <c r="K200">
        <f>IF(OR($B200="",(N('My Rota'!$D$6)+0)&gt;53),"",""&amp;CHOOSE(IFERROR(MATCH('My Rota'!$D$5,Setup!$K$33:$K$36,0),1),INDEX('2027'!$A:$Z,(5+50*((N('My Rota'!$D$6)+0)-1))+2+1,11),INDEX('2028'!$A:$Z,(5+50*((N('My Rota'!$D$6)+0)-1))+2+1,11),INDEX('2029'!$A:$Z,(5+50*((N('My Rota'!$D$6)+0)-1))+2+1,11),INDEX('2030'!$A:$Z,(5+50*((N('My Rota'!$D$6)+0)-1))+2+1,11)))</f>
        <v/>
      </c>
      <c r="L200">
        <f>IF(OR($B200="",(N('My Rota'!$D$6)+0)&gt;53),"",""&amp;CHOOSE(IFERROR(MATCH('My Rota'!$D$5,Setup!$K$33:$K$36,0),1),INDEX('2027'!$A:$Z,(5+50*((N('My Rota'!$D$6)+0)-1))+2+1,12),INDEX('2028'!$A:$Z,(5+50*((N('My Rota'!$D$6)+0)-1))+2+1,12),INDEX('2029'!$A:$Z,(5+50*((N('My Rota'!$D$6)+0)-1))+2+1,12),INDEX('2030'!$A:$Z,(5+50*((N('My Rota'!$D$6)+0)-1))+2+1,12)))</f>
        <v/>
      </c>
      <c r="M200">
        <f>IF(OR($B200="",(N('My Rota'!$D$6)+0)&gt;53),"",""&amp;CHOOSE(IFERROR(MATCH('My Rota'!$D$5,Setup!$K$33:$K$36,0),1),INDEX('2027'!$A:$Z,(5+50*((N('My Rota'!$D$6)+0)-1))+2+1,13),INDEX('2028'!$A:$Z,(5+50*((N('My Rota'!$D$6)+0)-1))+2+1,13),INDEX('2029'!$A:$Z,(5+50*((N('My Rota'!$D$6)+0)-1))+2+1,13),INDEX('2030'!$A:$Z,(5+50*((N('My Rota'!$D$6)+0)-1))+2+1,13)))</f>
        <v/>
      </c>
      <c r="N200">
        <f>IF(OR($B200="",(N('My Rota'!$D$6)+0)&gt;53),"",""&amp;CHOOSE(IFERROR(MATCH('My Rota'!$D$5,Setup!$K$33:$K$36,0),1),INDEX('2027'!$A:$Z,(5+50*((N('My Rota'!$D$6)+0)-1))+2+1,14),INDEX('2028'!$A:$Z,(5+50*((N('My Rota'!$D$6)+0)-1))+2+1,14),INDEX('2029'!$A:$Z,(5+50*((N('My Rota'!$D$6)+0)-1))+2+1,14),INDEX('2030'!$A:$Z,(5+50*((N('My Rota'!$D$6)+0)-1))+2+1,14)))</f>
        <v/>
      </c>
      <c r="O200">
        <f>IF(OR($B200="",(N('My Rota'!$D$6)+0)&gt;53),"",""&amp;CHOOSE(IFERROR(MATCH('My Rota'!$D$5,Setup!$K$33:$K$36,0),1),INDEX('2027'!$A:$Z,(5+50*((N('My Rota'!$D$6)+0)-1))+2+1,15),INDEX('2028'!$A:$Z,(5+50*((N('My Rota'!$D$6)+0)-1))+2+1,15),INDEX('2029'!$A:$Z,(5+50*((N('My Rota'!$D$6)+0)-1))+2+1,15),INDEX('2030'!$A:$Z,(5+50*((N('My Rota'!$D$6)+0)-1))+2+1,15)))</f>
        <v/>
      </c>
      <c r="P200">
        <f>IF(OR($B200="",(N('My Rota'!$D$6)+0)&gt;53),"",""&amp;CHOOSE(IFERROR(MATCH('My Rota'!$D$5,Setup!$K$33:$K$36,0),1),INDEX('2027'!$A:$Z,(5+50*((N('My Rota'!$D$6)+0)-1))+2+1,16),INDEX('2028'!$A:$Z,(5+50*((N('My Rota'!$D$6)+0)-1))+2+1,16),INDEX('2029'!$A:$Z,(5+50*((N('My Rota'!$D$6)+0)-1))+2+1,16),INDEX('2030'!$A:$Z,(5+50*((N('My Rota'!$D$6)+0)-1))+2+1,16)))</f>
        <v/>
      </c>
      <c r="Q200">
        <f>IF(OR($B200="",(N('My Rota'!$D$6)+0)&gt;53),"",""&amp;CHOOSE(IFERROR(MATCH('My Rota'!$D$5,Setup!$K$33:$K$36,0),1),INDEX('2027'!$A:$Z,(5+50*((N('My Rota'!$D$6)+0)-1))+2+1,17),INDEX('2028'!$A:$Z,(5+50*((N('My Rota'!$D$6)+0)-1))+2+1,17),INDEX('2029'!$A:$Z,(5+50*((N('My Rota'!$D$6)+0)-1))+2+1,17),INDEX('2030'!$A:$Z,(5+50*((N('My Rota'!$D$6)+0)-1))+2+1,17)))</f>
        <v/>
      </c>
      <c r="R200">
        <f>IF(OR($B200="",(N('My Rota'!$D$6)+0)&gt;53),"",""&amp;CHOOSE(IFERROR(MATCH('My Rota'!$D$5,Setup!$K$33:$K$36,0),1),INDEX('2027'!$A:$Z,(5+50*((N('My Rota'!$D$6)+0)-1))+2+1,18),INDEX('2028'!$A:$Z,(5+50*((N('My Rota'!$D$6)+0)-1))+2+1,18),INDEX('2029'!$A:$Z,(5+50*((N('My Rota'!$D$6)+0)-1))+2+1,18),INDEX('2030'!$A:$Z,(5+50*((N('My Rota'!$D$6)+0)-1))+2+1,18)))</f>
        <v/>
      </c>
      <c r="S200">
        <f>IF(OR($B200="",(N('My Rota'!$D$6)+0)&gt;53),"",""&amp;CHOOSE(IFERROR(MATCH('My Rota'!$D$5,Setup!$K$33:$K$36,0),1),INDEX('2027'!$A:$Z,(5+50*((N('My Rota'!$D$6)+0)-1))+2+1,19),INDEX('2028'!$A:$Z,(5+50*((N('My Rota'!$D$6)+0)-1))+2+1,19),INDEX('2029'!$A:$Z,(5+50*((N('My Rota'!$D$6)+0)-1))+2+1,19),INDEX('2030'!$A:$Z,(5+50*((N('My Rota'!$D$6)+0)-1))+2+1,19)))</f>
        <v/>
      </c>
      <c r="T200">
        <f>IF(OR($B200="",(N('My Rota'!$D$6)+0)&gt;53),"",""&amp;CHOOSE(IFERROR(MATCH('My Rota'!$D$5,Setup!$K$33:$K$36,0),1),INDEX('2027'!$A:$Z,(5+50*((N('My Rota'!$D$6)+0)-1))+2+1,20),INDEX('2028'!$A:$Z,(5+50*((N('My Rota'!$D$6)+0)-1))+2+1,20),INDEX('2029'!$A:$Z,(5+50*((N('My Rota'!$D$6)+0)-1))+2+1,20),INDEX('2030'!$A:$Z,(5+50*((N('My Rota'!$D$6)+0)-1))+2+1,20)))</f>
        <v/>
      </c>
      <c r="U200">
        <f>IF(OR($B200="",(N('My Rota'!$D$6)+0)&gt;53),"",""&amp;CHOOSE(IFERROR(MATCH('My Rota'!$D$5,Setup!$K$33:$K$36,0),1),INDEX('2027'!$A:$Z,(5+50*((N('My Rota'!$D$6)+0)-1))+2+1,21),INDEX('2028'!$A:$Z,(5+50*((N('My Rota'!$D$6)+0)-1))+2+1,21),INDEX('2029'!$A:$Z,(5+50*((N('My Rota'!$D$6)+0)-1))+2+1,21),INDEX('2030'!$A:$Z,(5+50*((N('My Rota'!$D$6)+0)-1))+2+1,21)))</f>
        <v/>
      </c>
      <c r="V200">
        <f>IF(OR($B200="",(N('My Rota'!$D$6)+0)&gt;53),"",""&amp;CHOOSE(IFERROR(MATCH('My Rota'!$D$5,Setup!$K$33:$K$36,0),1),INDEX('2027'!$A:$Z,(5+50*((N('My Rota'!$D$6)+0)-1))+2+1,22),INDEX('2028'!$A:$Z,(5+50*((N('My Rota'!$D$6)+0)-1))+2+1,22),INDEX('2029'!$A:$Z,(5+50*((N('My Rota'!$D$6)+0)-1))+2+1,22),INDEX('2030'!$A:$Z,(5+50*((N('My Rota'!$D$6)+0)-1))+2+1,22)))</f>
        <v/>
      </c>
      <c r="W200">
        <f>IF(OR($B200="",(N('My Rota'!$D$6)+0)&gt;53),"",""&amp;CHOOSE(IFERROR(MATCH('My Rota'!$D$5,Setup!$K$33:$K$36,0),1),INDEX('2027'!$A:$Z,(5+50*((N('My Rota'!$D$6)+0)-1))+2+1,23),INDEX('2028'!$A:$Z,(5+50*((N('My Rota'!$D$6)+0)-1))+2+1,23),INDEX('2029'!$A:$Z,(5+50*((N('My Rota'!$D$6)+0)-1))+2+1,23),INDEX('2030'!$A:$Z,(5+50*((N('My Rota'!$D$6)+0)-1))+2+1,23)))</f>
        <v/>
      </c>
      <c r="X200">
        <f>IF(OR($B200="",(N('My Rota'!$D$6)+0)&gt;53),"",""&amp;CHOOSE(IFERROR(MATCH('My Rota'!$D$5,Setup!$K$33:$K$36,0),1),INDEX('2027'!$A:$Z,(5+50*((N('My Rota'!$D$6)+0)-1))+2+1,24),INDEX('2028'!$A:$Z,(5+50*((N('My Rota'!$D$6)+0)-1))+2+1,24),INDEX('2029'!$A:$Z,(5+50*((N('My Rota'!$D$6)+0)-1))+2+1,24),INDEX('2030'!$A:$Z,(5+50*((N('My Rota'!$D$6)+0)-1))+2+1,24)))</f>
        <v/>
      </c>
      <c r="Y200">
        <f>IF(OR($B200="",(N('My Rota'!$D$6)+0)&gt;53),"",""&amp;CHOOSE(IFERROR(MATCH('My Rota'!$D$5,Setup!$K$33:$K$36,0),1),INDEX('2027'!$A:$Z,(5+50*((N('My Rota'!$D$6)+0)-1))+2+1,25),INDEX('2028'!$A:$Z,(5+50*((N('My Rota'!$D$6)+0)-1))+2+1,25),INDEX('2029'!$A:$Z,(5+50*((N('My Rota'!$D$6)+0)-1))+2+1,25),INDEX('2030'!$A:$Z,(5+50*((N('My Rota'!$D$6)+0)-1))+2+1,25)))</f>
        <v/>
      </c>
      <c r="Z200">
        <f>IF(OR($B200="",(N('My Rota'!$D$6)+0)&gt;53),"",""&amp;CHOOSE(IFERROR(MATCH('My Rota'!$D$5,Setup!$K$33:$K$36,0),1),INDEX('2027'!$A:$Z,(5+50*((N('My Rota'!$D$6)+0)-1))+2+1,26),INDEX('2028'!$A:$Z,(5+50*((N('My Rota'!$D$6)+0)-1))+2+1,26),INDEX('2029'!$A:$Z,(5+50*((N('My Rota'!$D$6)+0)-1))+2+1,26),INDEX('2030'!$A:$Z,(5+50*((N('My Rota'!$D$6)+0)-1))+2+1,26)))</f>
        <v/>
      </c>
    </row>
    <row r="201">
      <c r="A201" t="n">
        <v>1</v>
      </c>
      <c r="B201">
        <f>$B$48</f>
        <v/>
      </c>
      <c r="C201">
        <f>IF(OR($B201="",(N('My Rota'!$D$6)+0)&gt;53),"",""&amp;CHOOSE(IFERROR(MATCH('My Rota'!$D$5,Setup!$K$33:$K$36,0),1),INDEX('2027'!$A:$Z,(5+50*((N('My Rota'!$D$6)+0)-1))+2+2,3),INDEX('2028'!$A:$Z,(5+50*((N('My Rota'!$D$6)+0)-1))+2+2,3),INDEX('2029'!$A:$Z,(5+50*((N('My Rota'!$D$6)+0)-1))+2+2,3),INDEX('2030'!$A:$Z,(5+50*((N('My Rota'!$D$6)+0)-1))+2+2,3)))</f>
        <v/>
      </c>
      <c r="D201">
        <f>IF(OR($B201="",(N('My Rota'!$D$6)+0)&gt;53),"",""&amp;CHOOSE(IFERROR(MATCH('My Rota'!$D$5,Setup!$K$33:$K$36,0),1),INDEX('2027'!$A:$Z,(5+50*((N('My Rota'!$D$6)+0)-1))+2+2,4),INDEX('2028'!$A:$Z,(5+50*((N('My Rota'!$D$6)+0)-1))+2+2,4),INDEX('2029'!$A:$Z,(5+50*((N('My Rota'!$D$6)+0)-1))+2+2,4),INDEX('2030'!$A:$Z,(5+50*((N('My Rota'!$D$6)+0)-1))+2+2,4)))</f>
        <v/>
      </c>
      <c r="E201">
        <f>IF(OR($B201="",(N('My Rota'!$D$6)+0)&gt;53),"",""&amp;CHOOSE(IFERROR(MATCH('My Rota'!$D$5,Setup!$K$33:$K$36,0),1),INDEX('2027'!$A:$Z,(5+50*((N('My Rota'!$D$6)+0)-1))+2+2,5),INDEX('2028'!$A:$Z,(5+50*((N('My Rota'!$D$6)+0)-1))+2+2,5),INDEX('2029'!$A:$Z,(5+50*((N('My Rota'!$D$6)+0)-1))+2+2,5),INDEX('2030'!$A:$Z,(5+50*((N('My Rota'!$D$6)+0)-1))+2+2,5)))</f>
        <v/>
      </c>
      <c r="F201">
        <f>IF(OR($B201="",(N('My Rota'!$D$6)+0)&gt;53),"",""&amp;CHOOSE(IFERROR(MATCH('My Rota'!$D$5,Setup!$K$33:$K$36,0),1),INDEX('2027'!$A:$Z,(5+50*((N('My Rota'!$D$6)+0)-1))+2+2,6),INDEX('2028'!$A:$Z,(5+50*((N('My Rota'!$D$6)+0)-1))+2+2,6),INDEX('2029'!$A:$Z,(5+50*((N('My Rota'!$D$6)+0)-1))+2+2,6),INDEX('2030'!$A:$Z,(5+50*((N('My Rota'!$D$6)+0)-1))+2+2,6)))</f>
        <v/>
      </c>
      <c r="G201">
        <f>IF(OR($B201="",(N('My Rota'!$D$6)+0)&gt;53),"",""&amp;CHOOSE(IFERROR(MATCH('My Rota'!$D$5,Setup!$K$33:$K$36,0),1),INDEX('2027'!$A:$Z,(5+50*((N('My Rota'!$D$6)+0)-1))+2+2,7),INDEX('2028'!$A:$Z,(5+50*((N('My Rota'!$D$6)+0)-1))+2+2,7),INDEX('2029'!$A:$Z,(5+50*((N('My Rota'!$D$6)+0)-1))+2+2,7),INDEX('2030'!$A:$Z,(5+50*((N('My Rota'!$D$6)+0)-1))+2+2,7)))</f>
        <v/>
      </c>
      <c r="H201">
        <f>IF(OR($B201="",(N('My Rota'!$D$6)+0)&gt;53),"",""&amp;CHOOSE(IFERROR(MATCH('My Rota'!$D$5,Setup!$K$33:$K$36,0),1),INDEX('2027'!$A:$Z,(5+50*((N('My Rota'!$D$6)+0)-1))+2+2,8),INDEX('2028'!$A:$Z,(5+50*((N('My Rota'!$D$6)+0)-1))+2+2,8),INDEX('2029'!$A:$Z,(5+50*((N('My Rota'!$D$6)+0)-1))+2+2,8),INDEX('2030'!$A:$Z,(5+50*((N('My Rota'!$D$6)+0)-1))+2+2,8)))</f>
        <v/>
      </c>
      <c r="I201">
        <f>IF(OR($B201="",(N('My Rota'!$D$6)+0)&gt;53),"",""&amp;CHOOSE(IFERROR(MATCH('My Rota'!$D$5,Setup!$K$33:$K$36,0),1),INDEX('2027'!$A:$Z,(5+50*((N('My Rota'!$D$6)+0)-1))+2+2,9),INDEX('2028'!$A:$Z,(5+50*((N('My Rota'!$D$6)+0)-1))+2+2,9),INDEX('2029'!$A:$Z,(5+50*((N('My Rota'!$D$6)+0)-1))+2+2,9),INDEX('2030'!$A:$Z,(5+50*((N('My Rota'!$D$6)+0)-1))+2+2,9)))</f>
        <v/>
      </c>
      <c r="J201">
        <f>IF(OR($B201="",(N('My Rota'!$D$6)+0)&gt;53),"",""&amp;CHOOSE(IFERROR(MATCH('My Rota'!$D$5,Setup!$K$33:$K$36,0),1),INDEX('2027'!$A:$Z,(5+50*((N('My Rota'!$D$6)+0)-1))+2+2,10),INDEX('2028'!$A:$Z,(5+50*((N('My Rota'!$D$6)+0)-1))+2+2,10),INDEX('2029'!$A:$Z,(5+50*((N('My Rota'!$D$6)+0)-1))+2+2,10),INDEX('2030'!$A:$Z,(5+50*((N('My Rota'!$D$6)+0)-1))+2+2,10)))</f>
        <v/>
      </c>
      <c r="K201">
        <f>IF(OR($B201="",(N('My Rota'!$D$6)+0)&gt;53),"",""&amp;CHOOSE(IFERROR(MATCH('My Rota'!$D$5,Setup!$K$33:$K$36,0),1),INDEX('2027'!$A:$Z,(5+50*((N('My Rota'!$D$6)+0)-1))+2+2,11),INDEX('2028'!$A:$Z,(5+50*((N('My Rota'!$D$6)+0)-1))+2+2,11),INDEX('2029'!$A:$Z,(5+50*((N('My Rota'!$D$6)+0)-1))+2+2,11),INDEX('2030'!$A:$Z,(5+50*((N('My Rota'!$D$6)+0)-1))+2+2,11)))</f>
        <v/>
      </c>
      <c r="L201">
        <f>IF(OR($B201="",(N('My Rota'!$D$6)+0)&gt;53),"",""&amp;CHOOSE(IFERROR(MATCH('My Rota'!$D$5,Setup!$K$33:$K$36,0),1),INDEX('2027'!$A:$Z,(5+50*((N('My Rota'!$D$6)+0)-1))+2+2,12),INDEX('2028'!$A:$Z,(5+50*((N('My Rota'!$D$6)+0)-1))+2+2,12),INDEX('2029'!$A:$Z,(5+50*((N('My Rota'!$D$6)+0)-1))+2+2,12),INDEX('2030'!$A:$Z,(5+50*((N('My Rota'!$D$6)+0)-1))+2+2,12)))</f>
        <v/>
      </c>
      <c r="M201">
        <f>IF(OR($B201="",(N('My Rota'!$D$6)+0)&gt;53),"",""&amp;CHOOSE(IFERROR(MATCH('My Rota'!$D$5,Setup!$K$33:$K$36,0),1),INDEX('2027'!$A:$Z,(5+50*((N('My Rota'!$D$6)+0)-1))+2+2,13),INDEX('2028'!$A:$Z,(5+50*((N('My Rota'!$D$6)+0)-1))+2+2,13),INDEX('2029'!$A:$Z,(5+50*((N('My Rota'!$D$6)+0)-1))+2+2,13),INDEX('2030'!$A:$Z,(5+50*((N('My Rota'!$D$6)+0)-1))+2+2,13)))</f>
        <v/>
      </c>
      <c r="N201">
        <f>IF(OR($B201="",(N('My Rota'!$D$6)+0)&gt;53),"",""&amp;CHOOSE(IFERROR(MATCH('My Rota'!$D$5,Setup!$K$33:$K$36,0),1),INDEX('2027'!$A:$Z,(5+50*((N('My Rota'!$D$6)+0)-1))+2+2,14),INDEX('2028'!$A:$Z,(5+50*((N('My Rota'!$D$6)+0)-1))+2+2,14),INDEX('2029'!$A:$Z,(5+50*((N('My Rota'!$D$6)+0)-1))+2+2,14),INDEX('2030'!$A:$Z,(5+50*((N('My Rota'!$D$6)+0)-1))+2+2,14)))</f>
        <v/>
      </c>
      <c r="O201">
        <f>IF(OR($B201="",(N('My Rota'!$D$6)+0)&gt;53),"",""&amp;CHOOSE(IFERROR(MATCH('My Rota'!$D$5,Setup!$K$33:$K$36,0),1),INDEX('2027'!$A:$Z,(5+50*((N('My Rota'!$D$6)+0)-1))+2+2,15),INDEX('2028'!$A:$Z,(5+50*((N('My Rota'!$D$6)+0)-1))+2+2,15),INDEX('2029'!$A:$Z,(5+50*((N('My Rota'!$D$6)+0)-1))+2+2,15),INDEX('2030'!$A:$Z,(5+50*((N('My Rota'!$D$6)+0)-1))+2+2,15)))</f>
        <v/>
      </c>
      <c r="P201">
        <f>IF(OR($B201="",(N('My Rota'!$D$6)+0)&gt;53),"",""&amp;CHOOSE(IFERROR(MATCH('My Rota'!$D$5,Setup!$K$33:$K$36,0),1),INDEX('2027'!$A:$Z,(5+50*((N('My Rota'!$D$6)+0)-1))+2+2,16),INDEX('2028'!$A:$Z,(5+50*((N('My Rota'!$D$6)+0)-1))+2+2,16),INDEX('2029'!$A:$Z,(5+50*((N('My Rota'!$D$6)+0)-1))+2+2,16),INDEX('2030'!$A:$Z,(5+50*((N('My Rota'!$D$6)+0)-1))+2+2,16)))</f>
        <v/>
      </c>
      <c r="Q201">
        <f>IF(OR($B201="",(N('My Rota'!$D$6)+0)&gt;53),"",""&amp;CHOOSE(IFERROR(MATCH('My Rota'!$D$5,Setup!$K$33:$K$36,0),1),INDEX('2027'!$A:$Z,(5+50*((N('My Rota'!$D$6)+0)-1))+2+2,17),INDEX('2028'!$A:$Z,(5+50*((N('My Rota'!$D$6)+0)-1))+2+2,17),INDEX('2029'!$A:$Z,(5+50*((N('My Rota'!$D$6)+0)-1))+2+2,17),INDEX('2030'!$A:$Z,(5+50*((N('My Rota'!$D$6)+0)-1))+2+2,17)))</f>
        <v/>
      </c>
      <c r="R201">
        <f>IF(OR($B201="",(N('My Rota'!$D$6)+0)&gt;53),"",""&amp;CHOOSE(IFERROR(MATCH('My Rota'!$D$5,Setup!$K$33:$K$36,0),1),INDEX('2027'!$A:$Z,(5+50*((N('My Rota'!$D$6)+0)-1))+2+2,18),INDEX('2028'!$A:$Z,(5+50*((N('My Rota'!$D$6)+0)-1))+2+2,18),INDEX('2029'!$A:$Z,(5+50*((N('My Rota'!$D$6)+0)-1))+2+2,18),INDEX('2030'!$A:$Z,(5+50*((N('My Rota'!$D$6)+0)-1))+2+2,18)))</f>
        <v/>
      </c>
      <c r="S201">
        <f>IF(OR($B201="",(N('My Rota'!$D$6)+0)&gt;53),"",""&amp;CHOOSE(IFERROR(MATCH('My Rota'!$D$5,Setup!$K$33:$K$36,0),1),INDEX('2027'!$A:$Z,(5+50*((N('My Rota'!$D$6)+0)-1))+2+2,19),INDEX('2028'!$A:$Z,(5+50*((N('My Rota'!$D$6)+0)-1))+2+2,19),INDEX('2029'!$A:$Z,(5+50*((N('My Rota'!$D$6)+0)-1))+2+2,19),INDEX('2030'!$A:$Z,(5+50*((N('My Rota'!$D$6)+0)-1))+2+2,19)))</f>
        <v/>
      </c>
      <c r="T201">
        <f>IF(OR($B201="",(N('My Rota'!$D$6)+0)&gt;53),"",""&amp;CHOOSE(IFERROR(MATCH('My Rota'!$D$5,Setup!$K$33:$K$36,0),1),INDEX('2027'!$A:$Z,(5+50*((N('My Rota'!$D$6)+0)-1))+2+2,20),INDEX('2028'!$A:$Z,(5+50*((N('My Rota'!$D$6)+0)-1))+2+2,20),INDEX('2029'!$A:$Z,(5+50*((N('My Rota'!$D$6)+0)-1))+2+2,20),INDEX('2030'!$A:$Z,(5+50*((N('My Rota'!$D$6)+0)-1))+2+2,20)))</f>
        <v/>
      </c>
      <c r="U201">
        <f>IF(OR($B201="",(N('My Rota'!$D$6)+0)&gt;53),"",""&amp;CHOOSE(IFERROR(MATCH('My Rota'!$D$5,Setup!$K$33:$K$36,0),1),INDEX('2027'!$A:$Z,(5+50*((N('My Rota'!$D$6)+0)-1))+2+2,21),INDEX('2028'!$A:$Z,(5+50*((N('My Rota'!$D$6)+0)-1))+2+2,21),INDEX('2029'!$A:$Z,(5+50*((N('My Rota'!$D$6)+0)-1))+2+2,21),INDEX('2030'!$A:$Z,(5+50*((N('My Rota'!$D$6)+0)-1))+2+2,21)))</f>
        <v/>
      </c>
      <c r="V201">
        <f>IF(OR($B201="",(N('My Rota'!$D$6)+0)&gt;53),"",""&amp;CHOOSE(IFERROR(MATCH('My Rota'!$D$5,Setup!$K$33:$K$36,0),1),INDEX('2027'!$A:$Z,(5+50*((N('My Rota'!$D$6)+0)-1))+2+2,22),INDEX('2028'!$A:$Z,(5+50*((N('My Rota'!$D$6)+0)-1))+2+2,22),INDEX('2029'!$A:$Z,(5+50*((N('My Rota'!$D$6)+0)-1))+2+2,22),INDEX('2030'!$A:$Z,(5+50*((N('My Rota'!$D$6)+0)-1))+2+2,22)))</f>
        <v/>
      </c>
      <c r="W201">
        <f>IF(OR($B201="",(N('My Rota'!$D$6)+0)&gt;53),"",""&amp;CHOOSE(IFERROR(MATCH('My Rota'!$D$5,Setup!$K$33:$K$36,0),1),INDEX('2027'!$A:$Z,(5+50*((N('My Rota'!$D$6)+0)-1))+2+2,23),INDEX('2028'!$A:$Z,(5+50*((N('My Rota'!$D$6)+0)-1))+2+2,23),INDEX('2029'!$A:$Z,(5+50*((N('My Rota'!$D$6)+0)-1))+2+2,23),INDEX('2030'!$A:$Z,(5+50*((N('My Rota'!$D$6)+0)-1))+2+2,23)))</f>
        <v/>
      </c>
      <c r="X201">
        <f>IF(OR($B201="",(N('My Rota'!$D$6)+0)&gt;53),"",""&amp;CHOOSE(IFERROR(MATCH('My Rota'!$D$5,Setup!$K$33:$K$36,0),1),INDEX('2027'!$A:$Z,(5+50*((N('My Rota'!$D$6)+0)-1))+2+2,24),INDEX('2028'!$A:$Z,(5+50*((N('My Rota'!$D$6)+0)-1))+2+2,24),INDEX('2029'!$A:$Z,(5+50*((N('My Rota'!$D$6)+0)-1))+2+2,24),INDEX('2030'!$A:$Z,(5+50*((N('My Rota'!$D$6)+0)-1))+2+2,24)))</f>
        <v/>
      </c>
      <c r="Y201">
        <f>IF(OR($B201="",(N('My Rota'!$D$6)+0)&gt;53),"",""&amp;CHOOSE(IFERROR(MATCH('My Rota'!$D$5,Setup!$K$33:$K$36,0),1),INDEX('2027'!$A:$Z,(5+50*((N('My Rota'!$D$6)+0)-1))+2+2,25),INDEX('2028'!$A:$Z,(5+50*((N('My Rota'!$D$6)+0)-1))+2+2,25),INDEX('2029'!$A:$Z,(5+50*((N('My Rota'!$D$6)+0)-1))+2+2,25),INDEX('2030'!$A:$Z,(5+50*((N('My Rota'!$D$6)+0)-1))+2+2,25)))</f>
        <v/>
      </c>
      <c r="Z201">
        <f>IF(OR($B201="",(N('My Rota'!$D$6)+0)&gt;53),"",""&amp;CHOOSE(IFERROR(MATCH('My Rota'!$D$5,Setup!$K$33:$K$36,0),1),INDEX('2027'!$A:$Z,(5+50*((N('My Rota'!$D$6)+0)-1))+2+2,26),INDEX('2028'!$A:$Z,(5+50*((N('My Rota'!$D$6)+0)-1))+2+2,26),INDEX('2029'!$A:$Z,(5+50*((N('My Rota'!$D$6)+0)-1))+2+2,26),INDEX('2030'!$A:$Z,(5+50*((N('My Rota'!$D$6)+0)-1))+2+2,26)))</f>
        <v/>
      </c>
    </row>
    <row r="202">
      <c r="A202" t="n">
        <v>1</v>
      </c>
      <c r="B202">
        <f>$B$49</f>
        <v/>
      </c>
      <c r="C202">
        <f>IF(OR($B202="",(N('My Rota'!$D$6)+0)&gt;53),"",""&amp;CHOOSE(IFERROR(MATCH('My Rota'!$D$5,Setup!$K$33:$K$36,0),1),INDEX('2027'!$A:$Z,(5+50*((N('My Rota'!$D$6)+0)-1))+2+3,3),INDEX('2028'!$A:$Z,(5+50*((N('My Rota'!$D$6)+0)-1))+2+3,3),INDEX('2029'!$A:$Z,(5+50*((N('My Rota'!$D$6)+0)-1))+2+3,3),INDEX('2030'!$A:$Z,(5+50*((N('My Rota'!$D$6)+0)-1))+2+3,3)))</f>
        <v/>
      </c>
      <c r="D202">
        <f>IF(OR($B202="",(N('My Rota'!$D$6)+0)&gt;53),"",""&amp;CHOOSE(IFERROR(MATCH('My Rota'!$D$5,Setup!$K$33:$K$36,0),1),INDEX('2027'!$A:$Z,(5+50*((N('My Rota'!$D$6)+0)-1))+2+3,4),INDEX('2028'!$A:$Z,(5+50*((N('My Rota'!$D$6)+0)-1))+2+3,4),INDEX('2029'!$A:$Z,(5+50*((N('My Rota'!$D$6)+0)-1))+2+3,4),INDEX('2030'!$A:$Z,(5+50*((N('My Rota'!$D$6)+0)-1))+2+3,4)))</f>
        <v/>
      </c>
      <c r="E202">
        <f>IF(OR($B202="",(N('My Rota'!$D$6)+0)&gt;53),"",""&amp;CHOOSE(IFERROR(MATCH('My Rota'!$D$5,Setup!$K$33:$K$36,0),1),INDEX('2027'!$A:$Z,(5+50*((N('My Rota'!$D$6)+0)-1))+2+3,5),INDEX('2028'!$A:$Z,(5+50*((N('My Rota'!$D$6)+0)-1))+2+3,5),INDEX('2029'!$A:$Z,(5+50*((N('My Rota'!$D$6)+0)-1))+2+3,5),INDEX('2030'!$A:$Z,(5+50*((N('My Rota'!$D$6)+0)-1))+2+3,5)))</f>
        <v/>
      </c>
      <c r="F202">
        <f>IF(OR($B202="",(N('My Rota'!$D$6)+0)&gt;53),"",""&amp;CHOOSE(IFERROR(MATCH('My Rota'!$D$5,Setup!$K$33:$K$36,0),1),INDEX('2027'!$A:$Z,(5+50*((N('My Rota'!$D$6)+0)-1))+2+3,6),INDEX('2028'!$A:$Z,(5+50*((N('My Rota'!$D$6)+0)-1))+2+3,6),INDEX('2029'!$A:$Z,(5+50*((N('My Rota'!$D$6)+0)-1))+2+3,6),INDEX('2030'!$A:$Z,(5+50*((N('My Rota'!$D$6)+0)-1))+2+3,6)))</f>
        <v/>
      </c>
      <c r="G202">
        <f>IF(OR($B202="",(N('My Rota'!$D$6)+0)&gt;53),"",""&amp;CHOOSE(IFERROR(MATCH('My Rota'!$D$5,Setup!$K$33:$K$36,0),1),INDEX('2027'!$A:$Z,(5+50*((N('My Rota'!$D$6)+0)-1))+2+3,7),INDEX('2028'!$A:$Z,(5+50*((N('My Rota'!$D$6)+0)-1))+2+3,7),INDEX('2029'!$A:$Z,(5+50*((N('My Rota'!$D$6)+0)-1))+2+3,7),INDEX('2030'!$A:$Z,(5+50*((N('My Rota'!$D$6)+0)-1))+2+3,7)))</f>
        <v/>
      </c>
      <c r="H202">
        <f>IF(OR($B202="",(N('My Rota'!$D$6)+0)&gt;53),"",""&amp;CHOOSE(IFERROR(MATCH('My Rota'!$D$5,Setup!$K$33:$K$36,0),1),INDEX('2027'!$A:$Z,(5+50*((N('My Rota'!$D$6)+0)-1))+2+3,8),INDEX('2028'!$A:$Z,(5+50*((N('My Rota'!$D$6)+0)-1))+2+3,8),INDEX('2029'!$A:$Z,(5+50*((N('My Rota'!$D$6)+0)-1))+2+3,8),INDEX('2030'!$A:$Z,(5+50*((N('My Rota'!$D$6)+0)-1))+2+3,8)))</f>
        <v/>
      </c>
      <c r="I202">
        <f>IF(OR($B202="",(N('My Rota'!$D$6)+0)&gt;53),"",""&amp;CHOOSE(IFERROR(MATCH('My Rota'!$D$5,Setup!$K$33:$K$36,0),1),INDEX('2027'!$A:$Z,(5+50*((N('My Rota'!$D$6)+0)-1))+2+3,9),INDEX('2028'!$A:$Z,(5+50*((N('My Rota'!$D$6)+0)-1))+2+3,9),INDEX('2029'!$A:$Z,(5+50*((N('My Rota'!$D$6)+0)-1))+2+3,9),INDEX('2030'!$A:$Z,(5+50*((N('My Rota'!$D$6)+0)-1))+2+3,9)))</f>
        <v/>
      </c>
      <c r="J202">
        <f>IF(OR($B202="",(N('My Rota'!$D$6)+0)&gt;53),"",""&amp;CHOOSE(IFERROR(MATCH('My Rota'!$D$5,Setup!$K$33:$K$36,0),1),INDEX('2027'!$A:$Z,(5+50*((N('My Rota'!$D$6)+0)-1))+2+3,10),INDEX('2028'!$A:$Z,(5+50*((N('My Rota'!$D$6)+0)-1))+2+3,10),INDEX('2029'!$A:$Z,(5+50*((N('My Rota'!$D$6)+0)-1))+2+3,10),INDEX('2030'!$A:$Z,(5+50*((N('My Rota'!$D$6)+0)-1))+2+3,10)))</f>
        <v/>
      </c>
      <c r="K202">
        <f>IF(OR($B202="",(N('My Rota'!$D$6)+0)&gt;53),"",""&amp;CHOOSE(IFERROR(MATCH('My Rota'!$D$5,Setup!$K$33:$K$36,0),1),INDEX('2027'!$A:$Z,(5+50*((N('My Rota'!$D$6)+0)-1))+2+3,11),INDEX('2028'!$A:$Z,(5+50*((N('My Rota'!$D$6)+0)-1))+2+3,11),INDEX('2029'!$A:$Z,(5+50*((N('My Rota'!$D$6)+0)-1))+2+3,11),INDEX('2030'!$A:$Z,(5+50*((N('My Rota'!$D$6)+0)-1))+2+3,11)))</f>
        <v/>
      </c>
      <c r="L202">
        <f>IF(OR($B202="",(N('My Rota'!$D$6)+0)&gt;53),"",""&amp;CHOOSE(IFERROR(MATCH('My Rota'!$D$5,Setup!$K$33:$K$36,0),1),INDEX('2027'!$A:$Z,(5+50*((N('My Rota'!$D$6)+0)-1))+2+3,12),INDEX('2028'!$A:$Z,(5+50*((N('My Rota'!$D$6)+0)-1))+2+3,12),INDEX('2029'!$A:$Z,(5+50*((N('My Rota'!$D$6)+0)-1))+2+3,12),INDEX('2030'!$A:$Z,(5+50*((N('My Rota'!$D$6)+0)-1))+2+3,12)))</f>
        <v/>
      </c>
      <c r="M202">
        <f>IF(OR($B202="",(N('My Rota'!$D$6)+0)&gt;53),"",""&amp;CHOOSE(IFERROR(MATCH('My Rota'!$D$5,Setup!$K$33:$K$36,0),1),INDEX('2027'!$A:$Z,(5+50*((N('My Rota'!$D$6)+0)-1))+2+3,13),INDEX('2028'!$A:$Z,(5+50*((N('My Rota'!$D$6)+0)-1))+2+3,13),INDEX('2029'!$A:$Z,(5+50*((N('My Rota'!$D$6)+0)-1))+2+3,13),INDEX('2030'!$A:$Z,(5+50*((N('My Rota'!$D$6)+0)-1))+2+3,13)))</f>
        <v/>
      </c>
      <c r="N202">
        <f>IF(OR($B202="",(N('My Rota'!$D$6)+0)&gt;53),"",""&amp;CHOOSE(IFERROR(MATCH('My Rota'!$D$5,Setup!$K$33:$K$36,0),1),INDEX('2027'!$A:$Z,(5+50*((N('My Rota'!$D$6)+0)-1))+2+3,14),INDEX('2028'!$A:$Z,(5+50*((N('My Rota'!$D$6)+0)-1))+2+3,14),INDEX('2029'!$A:$Z,(5+50*((N('My Rota'!$D$6)+0)-1))+2+3,14),INDEX('2030'!$A:$Z,(5+50*((N('My Rota'!$D$6)+0)-1))+2+3,14)))</f>
        <v/>
      </c>
      <c r="O202">
        <f>IF(OR($B202="",(N('My Rota'!$D$6)+0)&gt;53),"",""&amp;CHOOSE(IFERROR(MATCH('My Rota'!$D$5,Setup!$K$33:$K$36,0),1),INDEX('2027'!$A:$Z,(5+50*((N('My Rota'!$D$6)+0)-1))+2+3,15),INDEX('2028'!$A:$Z,(5+50*((N('My Rota'!$D$6)+0)-1))+2+3,15),INDEX('2029'!$A:$Z,(5+50*((N('My Rota'!$D$6)+0)-1))+2+3,15),INDEX('2030'!$A:$Z,(5+50*((N('My Rota'!$D$6)+0)-1))+2+3,15)))</f>
        <v/>
      </c>
      <c r="P202">
        <f>IF(OR($B202="",(N('My Rota'!$D$6)+0)&gt;53),"",""&amp;CHOOSE(IFERROR(MATCH('My Rota'!$D$5,Setup!$K$33:$K$36,0),1),INDEX('2027'!$A:$Z,(5+50*((N('My Rota'!$D$6)+0)-1))+2+3,16),INDEX('2028'!$A:$Z,(5+50*((N('My Rota'!$D$6)+0)-1))+2+3,16),INDEX('2029'!$A:$Z,(5+50*((N('My Rota'!$D$6)+0)-1))+2+3,16),INDEX('2030'!$A:$Z,(5+50*((N('My Rota'!$D$6)+0)-1))+2+3,16)))</f>
        <v/>
      </c>
      <c r="Q202">
        <f>IF(OR($B202="",(N('My Rota'!$D$6)+0)&gt;53),"",""&amp;CHOOSE(IFERROR(MATCH('My Rota'!$D$5,Setup!$K$33:$K$36,0),1),INDEX('2027'!$A:$Z,(5+50*((N('My Rota'!$D$6)+0)-1))+2+3,17),INDEX('2028'!$A:$Z,(5+50*((N('My Rota'!$D$6)+0)-1))+2+3,17),INDEX('2029'!$A:$Z,(5+50*((N('My Rota'!$D$6)+0)-1))+2+3,17),INDEX('2030'!$A:$Z,(5+50*((N('My Rota'!$D$6)+0)-1))+2+3,17)))</f>
        <v/>
      </c>
      <c r="R202">
        <f>IF(OR($B202="",(N('My Rota'!$D$6)+0)&gt;53),"",""&amp;CHOOSE(IFERROR(MATCH('My Rota'!$D$5,Setup!$K$33:$K$36,0),1),INDEX('2027'!$A:$Z,(5+50*((N('My Rota'!$D$6)+0)-1))+2+3,18),INDEX('2028'!$A:$Z,(5+50*((N('My Rota'!$D$6)+0)-1))+2+3,18),INDEX('2029'!$A:$Z,(5+50*((N('My Rota'!$D$6)+0)-1))+2+3,18),INDEX('2030'!$A:$Z,(5+50*((N('My Rota'!$D$6)+0)-1))+2+3,18)))</f>
        <v/>
      </c>
      <c r="S202">
        <f>IF(OR($B202="",(N('My Rota'!$D$6)+0)&gt;53),"",""&amp;CHOOSE(IFERROR(MATCH('My Rota'!$D$5,Setup!$K$33:$K$36,0),1),INDEX('2027'!$A:$Z,(5+50*((N('My Rota'!$D$6)+0)-1))+2+3,19),INDEX('2028'!$A:$Z,(5+50*((N('My Rota'!$D$6)+0)-1))+2+3,19),INDEX('2029'!$A:$Z,(5+50*((N('My Rota'!$D$6)+0)-1))+2+3,19),INDEX('2030'!$A:$Z,(5+50*((N('My Rota'!$D$6)+0)-1))+2+3,19)))</f>
        <v/>
      </c>
      <c r="T202">
        <f>IF(OR($B202="",(N('My Rota'!$D$6)+0)&gt;53),"",""&amp;CHOOSE(IFERROR(MATCH('My Rota'!$D$5,Setup!$K$33:$K$36,0),1),INDEX('2027'!$A:$Z,(5+50*((N('My Rota'!$D$6)+0)-1))+2+3,20),INDEX('2028'!$A:$Z,(5+50*((N('My Rota'!$D$6)+0)-1))+2+3,20),INDEX('2029'!$A:$Z,(5+50*((N('My Rota'!$D$6)+0)-1))+2+3,20),INDEX('2030'!$A:$Z,(5+50*((N('My Rota'!$D$6)+0)-1))+2+3,20)))</f>
        <v/>
      </c>
      <c r="U202">
        <f>IF(OR($B202="",(N('My Rota'!$D$6)+0)&gt;53),"",""&amp;CHOOSE(IFERROR(MATCH('My Rota'!$D$5,Setup!$K$33:$K$36,0),1),INDEX('2027'!$A:$Z,(5+50*((N('My Rota'!$D$6)+0)-1))+2+3,21),INDEX('2028'!$A:$Z,(5+50*((N('My Rota'!$D$6)+0)-1))+2+3,21),INDEX('2029'!$A:$Z,(5+50*((N('My Rota'!$D$6)+0)-1))+2+3,21),INDEX('2030'!$A:$Z,(5+50*((N('My Rota'!$D$6)+0)-1))+2+3,21)))</f>
        <v/>
      </c>
      <c r="V202">
        <f>IF(OR($B202="",(N('My Rota'!$D$6)+0)&gt;53),"",""&amp;CHOOSE(IFERROR(MATCH('My Rota'!$D$5,Setup!$K$33:$K$36,0),1),INDEX('2027'!$A:$Z,(5+50*((N('My Rota'!$D$6)+0)-1))+2+3,22),INDEX('2028'!$A:$Z,(5+50*((N('My Rota'!$D$6)+0)-1))+2+3,22),INDEX('2029'!$A:$Z,(5+50*((N('My Rota'!$D$6)+0)-1))+2+3,22),INDEX('2030'!$A:$Z,(5+50*((N('My Rota'!$D$6)+0)-1))+2+3,22)))</f>
        <v/>
      </c>
      <c r="W202">
        <f>IF(OR($B202="",(N('My Rota'!$D$6)+0)&gt;53),"",""&amp;CHOOSE(IFERROR(MATCH('My Rota'!$D$5,Setup!$K$33:$K$36,0),1),INDEX('2027'!$A:$Z,(5+50*((N('My Rota'!$D$6)+0)-1))+2+3,23),INDEX('2028'!$A:$Z,(5+50*((N('My Rota'!$D$6)+0)-1))+2+3,23),INDEX('2029'!$A:$Z,(5+50*((N('My Rota'!$D$6)+0)-1))+2+3,23),INDEX('2030'!$A:$Z,(5+50*((N('My Rota'!$D$6)+0)-1))+2+3,23)))</f>
        <v/>
      </c>
      <c r="X202">
        <f>IF(OR($B202="",(N('My Rota'!$D$6)+0)&gt;53),"",""&amp;CHOOSE(IFERROR(MATCH('My Rota'!$D$5,Setup!$K$33:$K$36,0),1),INDEX('2027'!$A:$Z,(5+50*((N('My Rota'!$D$6)+0)-1))+2+3,24),INDEX('2028'!$A:$Z,(5+50*((N('My Rota'!$D$6)+0)-1))+2+3,24),INDEX('2029'!$A:$Z,(5+50*((N('My Rota'!$D$6)+0)-1))+2+3,24),INDEX('2030'!$A:$Z,(5+50*((N('My Rota'!$D$6)+0)-1))+2+3,24)))</f>
        <v/>
      </c>
      <c r="Y202">
        <f>IF(OR($B202="",(N('My Rota'!$D$6)+0)&gt;53),"",""&amp;CHOOSE(IFERROR(MATCH('My Rota'!$D$5,Setup!$K$33:$K$36,0),1),INDEX('2027'!$A:$Z,(5+50*((N('My Rota'!$D$6)+0)-1))+2+3,25),INDEX('2028'!$A:$Z,(5+50*((N('My Rota'!$D$6)+0)-1))+2+3,25),INDEX('2029'!$A:$Z,(5+50*((N('My Rota'!$D$6)+0)-1))+2+3,25),INDEX('2030'!$A:$Z,(5+50*((N('My Rota'!$D$6)+0)-1))+2+3,25)))</f>
        <v/>
      </c>
      <c r="Z202">
        <f>IF(OR($B202="",(N('My Rota'!$D$6)+0)&gt;53),"",""&amp;CHOOSE(IFERROR(MATCH('My Rota'!$D$5,Setup!$K$33:$K$36,0),1),INDEX('2027'!$A:$Z,(5+50*((N('My Rota'!$D$6)+0)-1))+2+3,26),INDEX('2028'!$A:$Z,(5+50*((N('My Rota'!$D$6)+0)-1))+2+3,26),INDEX('2029'!$A:$Z,(5+50*((N('My Rota'!$D$6)+0)-1))+2+3,26),INDEX('2030'!$A:$Z,(5+50*((N('My Rota'!$D$6)+0)-1))+2+3,26)))</f>
        <v/>
      </c>
    </row>
    <row r="203">
      <c r="A203" t="n">
        <v>1</v>
      </c>
      <c r="B203">
        <f>$B$50</f>
        <v/>
      </c>
      <c r="C203">
        <f>IF(OR($B203="",(N('My Rota'!$D$6)+0)&gt;53),"",""&amp;CHOOSE(IFERROR(MATCH('My Rota'!$D$5,Setup!$K$33:$K$36,0),1),INDEX('2027'!$A:$Z,(5+50*((N('My Rota'!$D$6)+0)-1))+2+4,3),INDEX('2028'!$A:$Z,(5+50*((N('My Rota'!$D$6)+0)-1))+2+4,3),INDEX('2029'!$A:$Z,(5+50*((N('My Rota'!$D$6)+0)-1))+2+4,3),INDEX('2030'!$A:$Z,(5+50*((N('My Rota'!$D$6)+0)-1))+2+4,3)))</f>
        <v/>
      </c>
      <c r="D203">
        <f>IF(OR($B203="",(N('My Rota'!$D$6)+0)&gt;53),"",""&amp;CHOOSE(IFERROR(MATCH('My Rota'!$D$5,Setup!$K$33:$K$36,0),1),INDEX('2027'!$A:$Z,(5+50*((N('My Rota'!$D$6)+0)-1))+2+4,4),INDEX('2028'!$A:$Z,(5+50*((N('My Rota'!$D$6)+0)-1))+2+4,4),INDEX('2029'!$A:$Z,(5+50*((N('My Rota'!$D$6)+0)-1))+2+4,4),INDEX('2030'!$A:$Z,(5+50*((N('My Rota'!$D$6)+0)-1))+2+4,4)))</f>
        <v/>
      </c>
      <c r="E203">
        <f>IF(OR($B203="",(N('My Rota'!$D$6)+0)&gt;53),"",""&amp;CHOOSE(IFERROR(MATCH('My Rota'!$D$5,Setup!$K$33:$K$36,0),1),INDEX('2027'!$A:$Z,(5+50*((N('My Rota'!$D$6)+0)-1))+2+4,5),INDEX('2028'!$A:$Z,(5+50*((N('My Rota'!$D$6)+0)-1))+2+4,5),INDEX('2029'!$A:$Z,(5+50*((N('My Rota'!$D$6)+0)-1))+2+4,5),INDEX('2030'!$A:$Z,(5+50*((N('My Rota'!$D$6)+0)-1))+2+4,5)))</f>
        <v/>
      </c>
      <c r="F203">
        <f>IF(OR($B203="",(N('My Rota'!$D$6)+0)&gt;53),"",""&amp;CHOOSE(IFERROR(MATCH('My Rota'!$D$5,Setup!$K$33:$K$36,0),1),INDEX('2027'!$A:$Z,(5+50*((N('My Rota'!$D$6)+0)-1))+2+4,6),INDEX('2028'!$A:$Z,(5+50*((N('My Rota'!$D$6)+0)-1))+2+4,6),INDEX('2029'!$A:$Z,(5+50*((N('My Rota'!$D$6)+0)-1))+2+4,6),INDEX('2030'!$A:$Z,(5+50*((N('My Rota'!$D$6)+0)-1))+2+4,6)))</f>
        <v/>
      </c>
      <c r="G203">
        <f>IF(OR($B203="",(N('My Rota'!$D$6)+0)&gt;53),"",""&amp;CHOOSE(IFERROR(MATCH('My Rota'!$D$5,Setup!$K$33:$K$36,0),1),INDEX('2027'!$A:$Z,(5+50*((N('My Rota'!$D$6)+0)-1))+2+4,7),INDEX('2028'!$A:$Z,(5+50*((N('My Rota'!$D$6)+0)-1))+2+4,7),INDEX('2029'!$A:$Z,(5+50*((N('My Rota'!$D$6)+0)-1))+2+4,7),INDEX('2030'!$A:$Z,(5+50*((N('My Rota'!$D$6)+0)-1))+2+4,7)))</f>
        <v/>
      </c>
      <c r="H203">
        <f>IF(OR($B203="",(N('My Rota'!$D$6)+0)&gt;53),"",""&amp;CHOOSE(IFERROR(MATCH('My Rota'!$D$5,Setup!$K$33:$K$36,0),1),INDEX('2027'!$A:$Z,(5+50*((N('My Rota'!$D$6)+0)-1))+2+4,8),INDEX('2028'!$A:$Z,(5+50*((N('My Rota'!$D$6)+0)-1))+2+4,8),INDEX('2029'!$A:$Z,(5+50*((N('My Rota'!$D$6)+0)-1))+2+4,8),INDEX('2030'!$A:$Z,(5+50*((N('My Rota'!$D$6)+0)-1))+2+4,8)))</f>
        <v/>
      </c>
      <c r="I203">
        <f>IF(OR($B203="",(N('My Rota'!$D$6)+0)&gt;53),"",""&amp;CHOOSE(IFERROR(MATCH('My Rota'!$D$5,Setup!$K$33:$K$36,0),1),INDEX('2027'!$A:$Z,(5+50*((N('My Rota'!$D$6)+0)-1))+2+4,9),INDEX('2028'!$A:$Z,(5+50*((N('My Rota'!$D$6)+0)-1))+2+4,9),INDEX('2029'!$A:$Z,(5+50*((N('My Rota'!$D$6)+0)-1))+2+4,9),INDEX('2030'!$A:$Z,(5+50*((N('My Rota'!$D$6)+0)-1))+2+4,9)))</f>
        <v/>
      </c>
      <c r="J203">
        <f>IF(OR($B203="",(N('My Rota'!$D$6)+0)&gt;53),"",""&amp;CHOOSE(IFERROR(MATCH('My Rota'!$D$5,Setup!$K$33:$K$36,0),1),INDEX('2027'!$A:$Z,(5+50*((N('My Rota'!$D$6)+0)-1))+2+4,10),INDEX('2028'!$A:$Z,(5+50*((N('My Rota'!$D$6)+0)-1))+2+4,10),INDEX('2029'!$A:$Z,(5+50*((N('My Rota'!$D$6)+0)-1))+2+4,10),INDEX('2030'!$A:$Z,(5+50*((N('My Rota'!$D$6)+0)-1))+2+4,10)))</f>
        <v/>
      </c>
      <c r="K203">
        <f>IF(OR($B203="",(N('My Rota'!$D$6)+0)&gt;53),"",""&amp;CHOOSE(IFERROR(MATCH('My Rota'!$D$5,Setup!$K$33:$K$36,0),1),INDEX('2027'!$A:$Z,(5+50*((N('My Rota'!$D$6)+0)-1))+2+4,11),INDEX('2028'!$A:$Z,(5+50*((N('My Rota'!$D$6)+0)-1))+2+4,11),INDEX('2029'!$A:$Z,(5+50*((N('My Rota'!$D$6)+0)-1))+2+4,11),INDEX('2030'!$A:$Z,(5+50*((N('My Rota'!$D$6)+0)-1))+2+4,11)))</f>
        <v/>
      </c>
      <c r="L203">
        <f>IF(OR($B203="",(N('My Rota'!$D$6)+0)&gt;53),"",""&amp;CHOOSE(IFERROR(MATCH('My Rota'!$D$5,Setup!$K$33:$K$36,0),1),INDEX('2027'!$A:$Z,(5+50*((N('My Rota'!$D$6)+0)-1))+2+4,12),INDEX('2028'!$A:$Z,(5+50*((N('My Rota'!$D$6)+0)-1))+2+4,12),INDEX('2029'!$A:$Z,(5+50*((N('My Rota'!$D$6)+0)-1))+2+4,12),INDEX('2030'!$A:$Z,(5+50*((N('My Rota'!$D$6)+0)-1))+2+4,12)))</f>
        <v/>
      </c>
      <c r="M203">
        <f>IF(OR($B203="",(N('My Rota'!$D$6)+0)&gt;53),"",""&amp;CHOOSE(IFERROR(MATCH('My Rota'!$D$5,Setup!$K$33:$K$36,0),1),INDEX('2027'!$A:$Z,(5+50*((N('My Rota'!$D$6)+0)-1))+2+4,13),INDEX('2028'!$A:$Z,(5+50*((N('My Rota'!$D$6)+0)-1))+2+4,13),INDEX('2029'!$A:$Z,(5+50*((N('My Rota'!$D$6)+0)-1))+2+4,13),INDEX('2030'!$A:$Z,(5+50*((N('My Rota'!$D$6)+0)-1))+2+4,13)))</f>
        <v/>
      </c>
      <c r="N203">
        <f>IF(OR($B203="",(N('My Rota'!$D$6)+0)&gt;53),"",""&amp;CHOOSE(IFERROR(MATCH('My Rota'!$D$5,Setup!$K$33:$K$36,0),1),INDEX('2027'!$A:$Z,(5+50*((N('My Rota'!$D$6)+0)-1))+2+4,14),INDEX('2028'!$A:$Z,(5+50*((N('My Rota'!$D$6)+0)-1))+2+4,14),INDEX('2029'!$A:$Z,(5+50*((N('My Rota'!$D$6)+0)-1))+2+4,14),INDEX('2030'!$A:$Z,(5+50*((N('My Rota'!$D$6)+0)-1))+2+4,14)))</f>
        <v/>
      </c>
      <c r="O203">
        <f>IF(OR($B203="",(N('My Rota'!$D$6)+0)&gt;53),"",""&amp;CHOOSE(IFERROR(MATCH('My Rota'!$D$5,Setup!$K$33:$K$36,0),1),INDEX('2027'!$A:$Z,(5+50*((N('My Rota'!$D$6)+0)-1))+2+4,15),INDEX('2028'!$A:$Z,(5+50*((N('My Rota'!$D$6)+0)-1))+2+4,15),INDEX('2029'!$A:$Z,(5+50*((N('My Rota'!$D$6)+0)-1))+2+4,15),INDEX('2030'!$A:$Z,(5+50*((N('My Rota'!$D$6)+0)-1))+2+4,15)))</f>
        <v/>
      </c>
      <c r="P203">
        <f>IF(OR($B203="",(N('My Rota'!$D$6)+0)&gt;53),"",""&amp;CHOOSE(IFERROR(MATCH('My Rota'!$D$5,Setup!$K$33:$K$36,0),1),INDEX('2027'!$A:$Z,(5+50*((N('My Rota'!$D$6)+0)-1))+2+4,16),INDEX('2028'!$A:$Z,(5+50*((N('My Rota'!$D$6)+0)-1))+2+4,16),INDEX('2029'!$A:$Z,(5+50*((N('My Rota'!$D$6)+0)-1))+2+4,16),INDEX('2030'!$A:$Z,(5+50*((N('My Rota'!$D$6)+0)-1))+2+4,16)))</f>
        <v/>
      </c>
      <c r="Q203">
        <f>IF(OR($B203="",(N('My Rota'!$D$6)+0)&gt;53),"",""&amp;CHOOSE(IFERROR(MATCH('My Rota'!$D$5,Setup!$K$33:$K$36,0),1),INDEX('2027'!$A:$Z,(5+50*((N('My Rota'!$D$6)+0)-1))+2+4,17),INDEX('2028'!$A:$Z,(5+50*((N('My Rota'!$D$6)+0)-1))+2+4,17),INDEX('2029'!$A:$Z,(5+50*((N('My Rota'!$D$6)+0)-1))+2+4,17),INDEX('2030'!$A:$Z,(5+50*((N('My Rota'!$D$6)+0)-1))+2+4,17)))</f>
        <v/>
      </c>
      <c r="R203">
        <f>IF(OR($B203="",(N('My Rota'!$D$6)+0)&gt;53),"",""&amp;CHOOSE(IFERROR(MATCH('My Rota'!$D$5,Setup!$K$33:$K$36,0),1),INDEX('2027'!$A:$Z,(5+50*((N('My Rota'!$D$6)+0)-1))+2+4,18),INDEX('2028'!$A:$Z,(5+50*((N('My Rota'!$D$6)+0)-1))+2+4,18),INDEX('2029'!$A:$Z,(5+50*((N('My Rota'!$D$6)+0)-1))+2+4,18),INDEX('2030'!$A:$Z,(5+50*((N('My Rota'!$D$6)+0)-1))+2+4,18)))</f>
        <v/>
      </c>
      <c r="S203">
        <f>IF(OR($B203="",(N('My Rota'!$D$6)+0)&gt;53),"",""&amp;CHOOSE(IFERROR(MATCH('My Rota'!$D$5,Setup!$K$33:$K$36,0),1),INDEX('2027'!$A:$Z,(5+50*((N('My Rota'!$D$6)+0)-1))+2+4,19),INDEX('2028'!$A:$Z,(5+50*((N('My Rota'!$D$6)+0)-1))+2+4,19),INDEX('2029'!$A:$Z,(5+50*((N('My Rota'!$D$6)+0)-1))+2+4,19),INDEX('2030'!$A:$Z,(5+50*((N('My Rota'!$D$6)+0)-1))+2+4,19)))</f>
        <v/>
      </c>
      <c r="T203">
        <f>IF(OR($B203="",(N('My Rota'!$D$6)+0)&gt;53),"",""&amp;CHOOSE(IFERROR(MATCH('My Rota'!$D$5,Setup!$K$33:$K$36,0),1),INDEX('2027'!$A:$Z,(5+50*((N('My Rota'!$D$6)+0)-1))+2+4,20),INDEX('2028'!$A:$Z,(5+50*((N('My Rota'!$D$6)+0)-1))+2+4,20),INDEX('2029'!$A:$Z,(5+50*((N('My Rota'!$D$6)+0)-1))+2+4,20),INDEX('2030'!$A:$Z,(5+50*((N('My Rota'!$D$6)+0)-1))+2+4,20)))</f>
        <v/>
      </c>
      <c r="U203">
        <f>IF(OR($B203="",(N('My Rota'!$D$6)+0)&gt;53),"",""&amp;CHOOSE(IFERROR(MATCH('My Rota'!$D$5,Setup!$K$33:$K$36,0),1),INDEX('2027'!$A:$Z,(5+50*((N('My Rota'!$D$6)+0)-1))+2+4,21),INDEX('2028'!$A:$Z,(5+50*((N('My Rota'!$D$6)+0)-1))+2+4,21),INDEX('2029'!$A:$Z,(5+50*((N('My Rota'!$D$6)+0)-1))+2+4,21),INDEX('2030'!$A:$Z,(5+50*((N('My Rota'!$D$6)+0)-1))+2+4,21)))</f>
        <v/>
      </c>
      <c r="V203">
        <f>IF(OR($B203="",(N('My Rota'!$D$6)+0)&gt;53),"",""&amp;CHOOSE(IFERROR(MATCH('My Rota'!$D$5,Setup!$K$33:$K$36,0),1),INDEX('2027'!$A:$Z,(5+50*((N('My Rota'!$D$6)+0)-1))+2+4,22),INDEX('2028'!$A:$Z,(5+50*((N('My Rota'!$D$6)+0)-1))+2+4,22),INDEX('2029'!$A:$Z,(5+50*((N('My Rota'!$D$6)+0)-1))+2+4,22),INDEX('2030'!$A:$Z,(5+50*((N('My Rota'!$D$6)+0)-1))+2+4,22)))</f>
        <v/>
      </c>
      <c r="W203">
        <f>IF(OR($B203="",(N('My Rota'!$D$6)+0)&gt;53),"",""&amp;CHOOSE(IFERROR(MATCH('My Rota'!$D$5,Setup!$K$33:$K$36,0),1),INDEX('2027'!$A:$Z,(5+50*((N('My Rota'!$D$6)+0)-1))+2+4,23),INDEX('2028'!$A:$Z,(5+50*((N('My Rota'!$D$6)+0)-1))+2+4,23),INDEX('2029'!$A:$Z,(5+50*((N('My Rota'!$D$6)+0)-1))+2+4,23),INDEX('2030'!$A:$Z,(5+50*((N('My Rota'!$D$6)+0)-1))+2+4,23)))</f>
        <v/>
      </c>
      <c r="X203">
        <f>IF(OR($B203="",(N('My Rota'!$D$6)+0)&gt;53),"",""&amp;CHOOSE(IFERROR(MATCH('My Rota'!$D$5,Setup!$K$33:$K$36,0),1),INDEX('2027'!$A:$Z,(5+50*((N('My Rota'!$D$6)+0)-1))+2+4,24),INDEX('2028'!$A:$Z,(5+50*((N('My Rota'!$D$6)+0)-1))+2+4,24),INDEX('2029'!$A:$Z,(5+50*((N('My Rota'!$D$6)+0)-1))+2+4,24),INDEX('2030'!$A:$Z,(5+50*((N('My Rota'!$D$6)+0)-1))+2+4,24)))</f>
        <v/>
      </c>
      <c r="Y203">
        <f>IF(OR($B203="",(N('My Rota'!$D$6)+0)&gt;53),"",""&amp;CHOOSE(IFERROR(MATCH('My Rota'!$D$5,Setup!$K$33:$K$36,0),1),INDEX('2027'!$A:$Z,(5+50*((N('My Rota'!$D$6)+0)-1))+2+4,25),INDEX('2028'!$A:$Z,(5+50*((N('My Rota'!$D$6)+0)-1))+2+4,25),INDEX('2029'!$A:$Z,(5+50*((N('My Rota'!$D$6)+0)-1))+2+4,25),INDEX('2030'!$A:$Z,(5+50*((N('My Rota'!$D$6)+0)-1))+2+4,25)))</f>
        <v/>
      </c>
      <c r="Z203">
        <f>IF(OR($B203="",(N('My Rota'!$D$6)+0)&gt;53),"",""&amp;CHOOSE(IFERROR(MATCH('My Rota'!$D$5,Setup!$K$33:$K$36,0),1),INDEX('2027'!$A:$Z,(5+50*((N('My Rota'!$D$6)+0)-1))+2+4,26),INDEX('2028'!$A:$Z,(5+50*((N('My Rota'!$D$6)+0)-1))+2+4,26),INDEX('2029'!$A:$Z,(5+50*((N('My Rota'!$D$6)+0)-1))+2+4,26),INDEX('2030'!$A:$Z,(5+50*((N('My Rota'!$D$6)+0)-1))+2+4,26)))</f>
        <v/>
      </c>
    </row>
    <row r="204">
      <c r="A204" t="n">
        <v>1</v>
      </c>
      <c r="B204">
        <f>$B$51</f>
        <v/>
      </c>
      <c r="C204">
        <f>IF(OR($B204="",(N('My Rota'!$D$6)+0)&gt;53),"",""&amp;CHOOSE(IFERROR(MATCH('My Rota'!$D$5,Setup!$K$33:$K$36,0),1),INDEX('2027'!$A:$Z,(5+50*((N('My Rota'!$D$6)+0)-1))+2+5,3),INDEX('2028'!$A:$Z,(5+50*((N('My Rota'!$D$6)+0)-1))+2+5,3),INDEX('2029'!$A:$Z,(5+50*((N('My Rota'!$D$6)+0)-1))+2+5,3),INDEX('2030'!$A:$Z,(5+50*((N('My Rota'!$D$6)+0)-1))+2+5,3)))</f>
        <v/>
      </c>
      <c r="D204">
        <f>IF(OR($B204="",(N('My Rota'!$D$6)+0)&gt;53),"",""&amp;CHOOSE(IFERROR(MATCH('My Rota'!$D$5,Setup!$K$33:$K$36,0),1),INDEX('2027'!$A:$Z,(5+50*((N('My Rota'!$D$6)+0)-1))+2+5,4),INDEX('2028'!$A:$Z,(5+50*((N('My Rota'!$D$6)+0)-1))+2+5,4),INDEX('2029'!$A:$Z,(5+50*((N('My Rota'!$D$6)+0)-1))+2+5,4),INDEX('2030'!$A:$Z,(5+50*((N('My Rota'!$D$6)+0)-1))+2+5,4)))</f>
        <v/>
      </c>
      <c r="E204">
        <f>IF(OR($B204="",(N('My Rota'!$D$6)+0)&gt;53),"",""&amp;CHOOSE(IFERROR(MATCH('My Rota'!$D$5,Setup!$K$33:$K$36,0),1),INDEX('2027'!$A:$Z,(5+50*((N('My Rota'!$D$6)+0)-1))+2+5,5),INDEX('2028'!$A:$Z,(5+50*((N('My Rota'!$D$6)+0)-1))+2+5,5),INDEX('2029'!$A:$Z,(5+50*((N('My Rota'!$D$6)+0)-1))+2+5,5),INDEX('2030'!$A:$Z,(5+50*((N('My Rota'!$D$6)+0)-1))+2+5,5)))</f>
        <v/>
      </c>
      <c r="F204">
        <f>IF(OR($B204="",(N('My Rota'!$D$6)+0)&gt;53),"",""&amp;CHOOSE(IFERROR(MATCH('My Rota'!$D$5,Setup!$K$33:$K$36,0),1),INDEX('2027'!$A:$Z,(5+50*((N('My Rota'!$D$6)+0)-1))+2+5,6),INDEX('2028'!$A:$Z,(5+50*((N('My Rota'!$D$6)+0)-1))+2+5,6),INDEX('2029'!$A:$Z,(5+50*((N('My Rota'!$D$6)+0)-1))+2+5,6),INDEX('2030'!$A:$Z,(5+50*((N('My Rota'!$D$6)+0)-1))+2+5,6)))</f>
        <v/>
      </c>
      <c r="G204">
        <f>IF(OR($B204="",(N('My Rota'!$D$6)+0)&gt;53),"",""&amp;CHOOSE(IFERROR(MATCH('My Rota'!$D$5,Setup!$K$33:$K$36,0),1),INDEX('2027'!$A:$Z,(5+50*((N('My Rota'!$D$6)+0)-1))+2+5,7),INDEX('2028'!$A:$Z,(5+50*((N('My Rota'!$D$6)+0)-1))+2+5,7),INDEX('2029'!$A:$Z,(5+50*((N('My Rota'!$D$6)+0)-1))+2+5,7),INDEX('2030'!$A:$Z,(5+50*((N('My Rota'!$D$6)+0)-1))+2+5,7)))</f>
        <v/>
      </c>
      <c r="H204">
        <f>IF(OR($B204="",(N('My Rota'!$D$6)+0)&gt;53),"",""&amp;CHOOSE(IFERROR(MATCH('My Rota'!$D$5,Setup!$K$33:$K$36,0),1),INDEX('2027'!$A:$Z,(5+50*((N('My Rota'!$D$6)+0)-1))+2+5,8),INDEX('2028'!$A:$Z,(5+50*((N('My Rota'!$D$6)+0)-1))+2+5,8),INDEX('2029'!$A:$Z,(5+50*((N('My Rota'!$D$6)+0)-1))+2+5,8),INDEX('2030'!$A:$Z,(5+50*((N('My Rota'!$D$6)+0)-1))+2+5,8)))</f>
        <v/>
      </c>
      <c r="I204">
        <f>IF(OR($B204="",(N('My Rota'!$D$6)+0)&gt;53),"",""&amp;CHOOSE(IFERROR(MATCH('My Rota'!$D$5,Setup!$K$33:$K$36,0),1),INDEX('2027'!$A:$Z,(5+50*((N('My Rota'!$D$6)+0)-1))+2+5,9),INDEX('2028'!$A:$Z,(5+50*((N('My Rota'!$D$6)+0)-1))+2+5,9),INDEX('2029'!$A:$Z,(5+50*((N('My Rota'!$D$6)+0)-1))+2+5,9),INDEX('2030'!$A:$Z,(5+50*((N('My Rota'!$D$6)+0)-1))+2+5,9)))</f>
        <v/>
      </c>
      <c r="J204">
        <f>IF(OR($B204="",(N('My Rota'!$D$6)+0)&gt;53),"",""&amp;CHOOSE(IFERROR(MATCH('My Rota'!$D$5,Setup!$K$33:$K$36,0),1),INDEX('2027'!$A:$Z,(5+50*((N('My Rota'!$D$6)+0)-1))+2+5,10),INDEX('2028'!$A:$Z,(5+50*((N('My Rota'!$D$6)+0)-1))+2+5,10),INDEX('2029'!$A:$Z,(5+50*((N('My Rota'!$D$6)+0)-1))+2+5,10),INDEX('2030'!$A:$Z,(5+50*((N('My Rota'!$D$6)+0)-1))+2+5,10)))</f>
        <v/>
      </c>
      <c r="K204">
        <f>IF(OR($B204="",(N('My Rota'!$D$6)+0)&gt;53),"",""&amp;CHOOSE(IFERROR(MATCH('My Rota'!$D$5,Setup!$K$33:$K$36,0),1),INDEX('2027'!$A:$Z,(5+50*((N('My Rota'!$D$6)+0)-1))+2+5,11),INDEX('2028'!$A:$Z,(5+50*((N('My Rota'!$D$6)+0)-1))+2+5,11),INDEX('2029'!$A:$Z,(5+50*((N('My Rota'!$D$6)+0)-1))+2+5,11),INDEX('2030'!$A:$Z,(5+50*((N('My Rota'!$D$6)+0)-1))+2+5,11)))</f>
        <v/>
      </c>
      <c r="L204">
        <f>IF(OR($B204="",(N('My Rota'!$D$6)+0)&gt;53),"",""&amp;CHOOSE(IFERROR(MATCH('My Rota'!$D$5,Setup!$K$33:$K$36,0),1),INDEX('2027'!$A:$Z,(5+50*((N('My Rota'!$D$6)+0)-1))+2+5,12),INDEX('2028'!$A:$Z,(5+50*((N('My Rota'!$D$6)+0)-1))+2+5,12),INDEX('2029'!$A:$Z,(5+50*((N('My Rota'!$D$6)+0)-1))+2+5,12),INDEX('2030'!$A:$Z,(5+50*((N('My Rota'!$D$6)+0)-1))+2+5,12)))</f>
        <v/>
      </c>
      <c r="M204">
        <f>IF(OR($B204="",(N('My Rota'!$D$6)+0)&gt;53),"",""&amp;CHOOSE(IFERROR(MATCH('My Rota'!$D$5,Setup!$K$33:$K$36,0),1),INDEX('2027'!$A:$Z,(5+50*((N('My Rota'!$D$6)+0)-1))+2+5,13),INDEX('2028'!$A:$Z,(5+50*((N('My Rota'!$D$6)+0)-1))+2+5,13),INDEX('2029'!$A:$Z,(5+50*((N('My Rota'!$D$6)+0)-1))+2+5,13),INDEX('2030'!$A:$Z,(5+50*((N('My Rota'!$D$6)+0)-1))+2+5,13)))</f>
        <v/>
      </c>
      <c r="N204">
        <f>IF(OR($B204="",(N('My Rota'!$D$6)+0)&gt;53),"",""&amp;CHOOSE(IFERROR(MATCH('My Rota'!$D$5,Setup!$K$33:$K$36,0),1),INDEX('2027'!$A:$Z,(5+50*((N('My Rota'!$D$6)+0)-1))+2+5,14),INDEX('2028'!$A:$Z,(5+50*((N('My Rota'!$D$6)+0)-1))+2+5,14),INDEX('2029'!$A:$Z,(5+50*((N('My Rota'!$D$6)+0)-1))+2+5,14),INDEX('2030'!$A:$Z,(5+50*((N('My Rota'!$D$6)+0)-1))+2+5,14)))</f>
        <v/>
      </c>
      <c r="O204">
        <f>IF(OR($B204="",(N('My Rota'!$D$6)+0)&gt;53),"",""&amp;CHOOSE(IFERROR(MATCH('My Rota'!$D$5,Setup!$K$33:$K$36,0),1),INDEX('2027'!$A:$Z,(5+50*((N('My Rota'!$D$6)+0)-1))+2+5,15),INDEX('2028'!$A:$Z,(5+50*((N('My Rota'!$D$6)+0)-1))+2+5,15),INDEX('2029'!$A:$Z,(5+50*((N('My Rota'!$D$6)+0)-1))+2+5,15),INDEX('2030'!$A:$Z,(5+50*((N('My Rota'!$D$6)+0)-1))+2+5,15)))</f>
        <v/>
      </c>
      <c r="P204">
        <f>IF(OR($B204="",(N('My Rota'!$D$6)+0)&gt;53),"",""&amp;CHOOSE(IFERROR(MATCH('My Rota'!$D$5,Setup!$K$33:$K$36,0),1),INDEX('2027'!$A:$Z,(5+50*((N('My Rota'!$D$6)+0)-1))+2+5,16),INDEX('2028'!$A:$Z,(5+50*((N('My Rota'!$D$6)+0)-1))+2+5,16),INDEX('2029'!$A:$Z,(5+50*((N('My Rota'!$D$6)+0)-1))+2+5,16),INDEX('2030'!$A:$Z,(5+50*((N('My Rota'!$D$6)+0)-1))+2+5,16)))</f>
        <v/>
      </c>
      <c r="Q204">
        <f>IF(OR($B204="",(N('My Rota'!$D$6)+0)&gt;53),"",""&amp;CHOOSE(IFERROR(MATCH('My Rota'!$D$5,Setup!$K$33:$K$36,0),1),INDEX('2027'!$A:$Z,(5+50*((N('My Rota'!$D$6)+0)-1))+2+5,17),INDEX('2028'!$A:$Z,(5+50*((N('My Rota'!$D$6)+0)-1))+2+5,17),INDEX('2029'!$A:$Z,(5+50*((N('My Rota'!$D$6)+0)-1))+2+5,17),INDEX('2030'!$A:$Z,(5+50*((N('My Rota'!$D$6)+0)-1))+2+5,17)))</f>
        <v/>
      </c>
      <c r="R204">
        <f>IF(OR($B204="",(N('My Rota'!$D$6)+0)&gt;53),"",""&amp;CHOOSE(IFERROR(MATCH('My Rota'!$D$5,Setup!$K$33:$K$36,0),1),INDEX('2027'!$A:$Z,(5+50*((N('My Rota'!$D$6)+0)-1))+2+5,18),INDEX('2028'!$A:$Z,(5+50*((N('My Rota'!$D$6)+0)-1))+2+5,18),INDEX('2029'!$A:$Z,(5+50*((N('My Rota'!$D$6)+0)-1))+2+5,18),INDEX('2030'!$A:$Z,(5+50*((N('My Rota'!$D$6)+0)-1))+2+5,18)))</f>
        <v/>
      </c>
      <c r="S204">
        <f>IF(OR($B204="",(N('My Rota'!$D$6)+0)&gt;53),"",""&amp;CHOOSE(IFERROR(MATCH('My Rota'!$D$5,Setup!$K$33:$K$36,0),1),INDEX('2027'!$A:$Z,(5+50*((N('My Rota'!$D$6)+0)-1))+2+5,19),INDEX('2028'!$A:$Z,(5+50*((N('My Rota'!$D$6)+0)-1))+2+5,19),INDEX('2029'!$A:$Z,(5+50*((N('My Rota'!$D$6)+0)-1))+2+5,19),INDEX('2030'!$A:$Z,(5+50*((N('My Rota'!$D$6)+0)-1))+2+5,19)))</f>
        <v/>
      </c>
      <c r="T204">
        <f>IF(OR($B204="",(N('My Rota'!$D$6)+0)&gt;53),"",""&amp;CHOOSE(IFERROR(MATCH('My Rota'!$D$5,Setup!$K$33:$K$36,0),1),INDEX('2027'!$A:$Z,(5+50*((N('My Rota'!$D$6)+0)-1))+2+5,20),INDEX('2028'!$A:$Z,(5+50*((N('My Rota'!$D$6)+0)-1))+2+5,20),INDEX('2029'!$A:$Z,(5+50*((N('My Rota'!$D$6)+0)-1))+2+5,20),INDEX('2030'!$A:$Z,(5+50*((N('My Rota'!$D$6)+0)-1))+2+5,20)))</f>
        <v/>
      </c>
      <c r="U204">
        <f>IF(OR($B204="",(N('My Rota'!$D$6)+0)&gt;53),"",""&amp;CHOOSE(IFERROR(MATCH('My Rota'!$D$5,Setup!$K$33:$K$36,0),1),INDEX('2027'!$A:$Z,(5+50*((N('My Rota'!$D$6)+0)-1))+2+5,21),INDEX('2028'!$A:$Z,(5+50*((N('My Rota'!$D$6)+0)-1))+2+5,21),INDEX('2029'!$A:$Z,(5+50*((N('My Rota'!$D$6)+0)-1))+2+5,21),INDEX('2030'!$A:$Z,(5+50*((N('My Rota'!$D$6)+0)-1))+2+5,21)))</f>
        <v/>
      </c>
      <c r="V204">
        <f>IF(OR($B204="",(N('My Rota'!$D$6)+0)&gt;53),"",""&amp;CHOOSE(IFERROR(MATCH('My Rota'!$D$5,Setup!$K$33:$K$36,0),1),INDEX('2027'!$A:$Z,(5+50*((N('My Rota'!$D$6)+0)-1))+2+5,22),INDEX('2028'!$A:$Z,(5+50*((N('My Rota'!$D$6)+0)-1))+2+5,22),INDEX('2029'!$A:$Z,(5+50*((N('My Rota'!$D$6)+0)-1))+2+5,22),INDEX('2030'!$A:$Z,(5+50*((N('My Rota'!$D$6)+0)-1))+2+5,22)))</f>
        <v/>
      </c>
      <c r="W204">
        <f>IF(OR($B204="",(N('My Rota'!$D$6)+0)&gt;53),"",""&amp;CHOOSE(IFERROR(MATCH('My Rota'!$D$5,Setup!$K$33:$K$36,0),1),INDEX('2027'!$A:$Z,(5+50*((N('My Rota'!$D$6)+0)-1))+2+5,23),INDEX('2028'!$A:$Z,(5+50*((N('My Rota'!$D$6)+0)-1))+2+5,23),INDEX('2029'!$A:$Z,(5+50*((N('My Rota'!$D$6)+0)-1))+2+5,23),INDEX('2030'!$A:$Z,(5+50*((N('My Rota'!$D$6)+0)-1))+2+5,23)))</f>
        <v/>
      </c>
      <c r="X204">
        <f>IF(OR($B204="",(N('My Rota'!$D$6)+0)&gt;53),"",""&amp;CHOOSE(IFERROR(MATCH('My Rota'!$D$5,Setup!$K$33:$K$36,0),1),INDEX('2027'!$A:$Z,(5+50*((N('My Rota'!$D$6)+0)-1))+2+5,24),INDEX('2028'!$A:$Z,(5+50*((N('My Rota'!$D$6)+0)-1))+2+5,24),INDEX('2029'!$A:$Z,(5+50*((N('My Rota'!$D$6)+0)-1))+2+5,24),INDEX('2030'!$A:$Z,(5+50*((N('My Rota'!$D$6)+0)-1))+2+5,24)))</f>
        <v/>
      </c>
      <c r="Y204">
        <f>IF(OR($B204="",(N('My Rota'!$D$6)+0)&gt;53),"",""&amp;CHOOSE(IFERROR(MATCH('My Rota'!$D$5,Setup!$K$33:$K$36,0),1),INDEX('2027'!$A:$Z,(5+50*((N('My Rota'!$D$6)+0)-1))+2+5,25),INDEX('2028'!$A:$Z,(5+50*((N('My Rota'!$D$6)+0)-1))+2+5,25),INDEX('2029'!$A:$Z,(5+50*((N('My Rota'!$D$6)+0)-1))+2+5,25),INDEX('2030'!$A:$Z,(5+50*((N('My Rota'!$D$6)+0)-1))+2+5,25)))</f>
        <v/>
      </c>
      <c r="Z204">
        <f>IF(OR($B204="",(N('My Rota'!$D$6)+0)&gt;53),"",""&amp;CHOOSE(IFERROR(MATCH('My Rota'!$D$5,Setup!$K$33:$K$36,0),1),INDEX('2027'!$A:$Z,(5+50*((N('My Rota'!$D$6)+0)-1))+2+5,26),INDEX('2028'!$A:$Z,(5+50*((N('My Rota'!$D$6)+0)-1))+2+5,26),INDEX('2029'!$A:$Z,(5+50*((N('My Rota'!$D$6)+0)-1))+2+5,26),INDEX('2030'!$A:$Z,(5+50*((N('My Rota'!$D$6)+0)-1))+2+5,26)))</f>
        <v/>
      </c>
    </row>
    <row r="205">
      <c r="A205" t="n">
        <v>1</v>
      </c>
      <c r="B205">
        <f>$B$52</f>
        <v/>
      </c>
      <c r="C205">
        <f>IF(OR($B205="",(N('My Rota'!$D$6)+0)&gt;53),"",""&amp;CHOOSE(IFERROR(MATCH('My Rota'!$D$5,Setup!$K$33:$K$36,0),1),INDEX('2027'!$A:$Z,(5+50*((N('My Rota'!$D$6)+0)-1))+2+6,3),INDEX('2028'!$A:$Z,(5+50*((N('My Rota'!$D$6)+0)-1))+2+6,3),INDEX('2029'!$A:$Z,(5+50*((N('My Rota'!$D$6)+0)-1))+2+6,3),INDEX('2030'!$A:$Z,(5+50*((N('My Rota'!$D$6)+0)-1))+2+6,3)))</f>
        <v/>
      </c>
      <c r="D205">
        <f>IF(OR($B205="",(N('My Rota'!$D$6)+0)&gt;53),"",""&amp;CHOOSE(IFERROR(MATCH('My Rota'!$D$5,Setup!$K$33:$K$36,0),1),INDEX('2027'!$A:$Z,(5+50*((N('My Rota'!$D$6)+0)-1))+2+6,4),INDEX('2028'!$A:$Z,(5+50*((N('My Rota'!$D$6)+0)-1))+2+6,4),INDEX('2029'!$A:$Z,(5+50*((N('My Rota'!$D$6)+0)-1))+2+6,4),INDEX('2030'!$A:$Z,(5+50*((N('My Rota'!$D$6)+0)-1))+2+6,4)))</f>
        <v/>
      </c>
      <c r="E205">
        <f>IF(OR($B205="",(N('My Rota'!$D$6)+0)&gt;53),"",""&amp;CHOOSE(IFERROR(MATCH('My Rota'!$D$5,Setup!$K$33:$K$36,0),1),INDEX('2027'!$A:$Z,(5+50*((N('My Rota'!$D$6)+0)-1))+2+6,5),INDEX('2028'!$A:$Z,(5+50*((N('My Rota'!$D$6)+0)-1))+2+6,5),INDEX('2029'!$A:$Z,(5+50*((N('My Rota'!$D$6)+0)-1))+2+6,5),INDEX('2030'!$A:$Z,(5+50*((N('My Rota'!$D$6)+0)-1))+2+6,5)))</f>
        <v/>
      </c>
      <c r="F205">
        <f>IF(OR($B205="",(N('My Rota'!$D$6)+0)&gt;53),"",""&amp;CHOOSE(IFERROR(MATCH('My Rota'!$D$5,Setup!$K$33:$K$36,0),1),INDEX('2027'!$A:$Z,(5+50*((N('My Rota'!$D$6)+0)-1))+2+6,6),INDEX('2028'!$A:$Z,(5+50*((N('My Rota'!$D$6)+0)-1))+2+6,6),INDEX('2029'!$A:$Z,(5+50*((N('My Rota'!$D$6)+0)-1))+2+6,6),INDEX('2030'!$A:$Z,(5+50*((N('My Rota'!$D$6)+0)-1))+2+6,6)))</f>
        <v/>
      </c>
      <c r="G205">
        <f>IF(OR($B205="",(N('My Rota'!$D$6)+0)&gt;53),"",""&amp;CHOOSE(IFERROR(MATCH('My Rota'!$D$5,Setup!$K$33:$K$36,0),1),INDEX('2027'!$A:$Z,(5+50*((N('My Rota'!$D$6)+0)-1))+2+6,7),INDEX('2028'!$A:$Z,(5+50*((N('My Rota'!$D$6)+0)-1))+2+6,7),INDEX('2029'!$A:$Z,(5+50*((N('My Rota'!$D$6)+0)-1))+2+6,7),INDEX('2030'!$A:$Z,(5+50*((N('My Rota'!$D$6)+0)-1))+2+6,7)))</f>
        <v/>
      </c>
      <c r="H205">
        <f>IF(OR($B205="",(N('My Rota'!$D$6)+0)&gt;53),"",""&amp;CHOOSE(IFERROR(MATCH('My Rota'!$D$5,Setup!$K$33:$K$36,0),1),INDEX('2027'!$A:$Z,(5+50*((N('My Rota'!$D$6)+0)-1))+2+6,8),INDEX('2028'!$A:$Z,(5+50*((N('My Rota'!$D$6)+0)-1))+2+6,8),INDEX('2029'!$A:$Z,(5+50*((N('My Rota'!$D$6)+0)-1))+2+6,8),INDEX('2030'!$A:$Z,(5+50*((N('My Rota'!$D$6)+0)-1))+2+6,8)))</f>
        <v/>
      </c>
      <c r="I205">
        <f>IF(OR($B205="",(N('My Rota'!$D$6)+0)&gt;53),"",""&amp;CHOOSE(IFERROR(MATCH('My Rota'!$D$5,Setup!$K$33:$K$36,0),1),INDEX('2027'!$A:$Z,(5+50*((N('My Rota'!$D$6)+0)-1))+2+6,9),INDEX('2028'!$A:$Z,(5+50*((N('My Rota'!$D$6)+0)-1))+2+6,9),INDEX('2029'!$A:$Z,(5+50*((N('My Rota'!$D$6)+0)-1))+2+6,9),INDEX('2030'!$A:$Z,(5+50*((N('My Rota'!$D$6)+0)-1))+2+6,9)))</f>
        <v/>
      </c>
      <c r="J205">
        <f>IF(OR($B205="",(N('My Rota'!$D$6)+0)&gt;53),"",""&amp;CHOOSE(IFERROR(MATCH('My Rota'!$D$5,Setup!$K$33:$K$36,0),1),INDEX('2027'!$A:$Z,(5+50*((N('My Rota'!$D$6)+0)-1))+2+6,10),INDEX('2028'!$A:$Z,(5+50*((N('My Rota'!$D$6)+0)-1))+2+6,10),INDEX('2029'!$A:$Z,(5+50*((N('My Rota'!$D$6)+0)-1))+2+6,10),INDEX('2030'!$A:$Z,(5+50*((N('My Rota'!$D$6)+0)-1))+2+6,10)))</f>
        <v/>
      </c>
      <c r="K205">
        <f>IF(OR($B205="",(N('My Rota'!$D$6)+0)&gt;53),"",""&amp;CHOOSE(IFERROR(MATCH('My Rota'!$D$5,Setup!$K$33:$K$36,0),1),INDEX('2027'!$A:$Z,(5+50*((N('My Rota'!$D$6)+0)-1))+2+6,11),INDEX('2028'!$A:$Z,(5+50*((N('My Rota'!$D$6)+0)-1))+2+6,11),INDEX('2029'!$A:$Z,(5+50*((N('My Rota'!$D$6)+0)-1))+2+6,11),INDEX('2030'!$A:$Z,(5+50*((N('My Rota'!$D$6)+0)-1))+2+6,11)))</f>
        <v/>
      </c>
      <c r="L205">
        <f>IF(OR($B205="",(N('My Rota'!$D$6)+0)&gt;53),"",""&amp;CHOOSE(IFERROR(MATCH('My Rota'!$D$5,Setup!$K$33:$K$36,0),1),INDEX('2027'!$A:$Z,(5+50*((N('My Rota'!$D$6)+0)-1))+2+6,12),INDEX('2028'!$A:$Z,(5+50*((N('My Rota'!$D$6)+0)-1))+2+6,12),INDEX('2029'!$A:$Z,(5+50*((N('My Rota'!$D$6)+0)-1))+2+6,12),INDEX('2030'!$A:$Z,(5+50*((N('My Rota'!$D$6)+0)-1))+2+6,12)))</f>
        <v/>
      </c>
      <c r="M205">
        <f>IF(OR($B205="",(N('My Rota'!$D$6)+0)&gt;53),"",""&amp;CHOOSE(IFERROR(MATCH('My Rota'!$D$5,Setup!$K$33:$K$36,0),1),INDEX('2027'!$A:$Z,(5+50*((N('My Rota'!$D$6)+0)-1))+2+6,13),INDEX('2028'!$A:$Z,(5+50*((N('My Rota'!$D$6)+0)-1))+2+6,13),INDEX('2029'!$A:$Z,(5+50*((N('My Rota'!$D$6)+0)-1))+2+6,13),INDEX('2030'!$A:$Z,(5+50*((N('My Rota'!$D$6)+0)-1))+2+6,13)))</f>
        <v/>
      </c>
      <c r="N205">
        <f>IF(OR($B205="",(N('My Rota'!$D$6)+0)&gt;53),"",""&amp;CHOOSE(IFERROR(MATCH('My Rota'!$D$5,Setup!$K$33:$K$36,0),1),INDEX('2027'!$A:$Z,(5+50*((N('My Rota'!$D$6)+0)-1))+2+6,14),INDEX('2028'!$A:$Z,(5+50*((N('My Rota'!$D$6)+0)-1))+2+6,14),INDEX('2029'!$A:$Z,(5+50*((N('My Rota'!$D$6)+0)-1))+2+6,14),INDEX('2030'!$A:$Z,(5+50*((N('My Rota'!$D$6)+0)-1))+2+6,14)))</f>
        <v/>
      </c>
      <c r="O205">
        <f>IF(OR($B205="",(N('My Rota'!$D$6)+0)&gt;53),"",""&amp;CHOOSE(IFERROR(MATCH('My Rota'!$D$5,Setup!$K$33:$K$36,0),1),INDEX('2027'!$A:$Z,(5+50*((N('My Rota'!$D$6)+0)-1))+2+6,15),INDEX('2028'!$A:$Z,(5+50*((N('My Rota'!$D$6)+0)-1))+2+6,15),INDEX('2029'!$A:$Z,(5+50*((N('My Rota'!$D$6)+0)-1))+2+6,15),INDEX('2030'!$A:$Z,(5+50*((N('My Rota'!$D$6)+0)-1))+2+6,15)))</f>
        <v/>
      </c>
      <c r="P205">
        <f>IF(OR($B205="",(N('My Rota'!$D$6)+0)&gt;53),"",""&amp;CHOOSE(IFERROR(MATCH('My Rota'!$D$5,Setup!$K$33:$K$36,0),1),INDEX('2027'!$A:$Z,(5+50*((N('My Rota'!$D$6)+0)-1))+2+6,16),INDEX('2028'!$A:$Z,(5+50*((N('My Rota'!$D$6)+0)-1))+2+6,16),INDEX('2029'!$A:$Z,(5+50*((N('My Rota'!$D$6)+0)-1))+2+6,16),INDEX('2030'!$A:$Z,(5+50*((N('My Rota'!$D$6)+0)-1))+2+6,16)))</f>
        <v/>
      </c>
      <c r="Q205">
        <f>IF(OR($B205="",(N('My Rota'!$D$6)+0)&gt;53),"",""&amp;CHOOSE(IFERROR(MATCH('My Rota'!$D$5,Setup!$K$33:$K$36,0),1),INDEX('2027'!$A:$Z,(5+50*((N('My Rota'!$D$6)+0)-1))+2+6,17),INDEX('2028'!$A:$Z,(5+50*((N('My Rota'!$D$6)+0)-1))+2+6,17),INDEX('2029'!$A:$Z,(5+50*((N('My Rota'!$D$6)+0)-1))+2+6,17),INDEX('2030'!$A:$Z,(5+50*((N('My Rota'!$D$6)+0)-1))+2+6,17)))</f>
        <v/>
      </c>
      <c r="R205">
        <f>IF(OR($B205="",(N('My Rota'!$D$6)+0)&gt;53),"",""&amp;CHOOSE(IFERROR(MATCH('My Rota'!$D$5,Setup!$K$33:$K$36,0),1),INDEX('2027'!$A:$Z,(5+50*((N('My Rota'!$D$6)+0)-1))+2+6,18),INDEX('2028'!$A:$Z,(5+50*((N('My Rota'!$D$6)+0)-1))+2+6,18),INDEX('2029'!$A:$Z,(5+50*((N('My Rota'!$D$6)+0)-1))+2+6,18),INDEX('2030'!$A:$Z,(5+50*((N('My Rota'!$D$6)+0)-1))+2+6,18)))</f>
        <v/>
      </c>
      <c r="S205">
        <f>IF(OR($B205="",(N('My Rota'!$D$6)+0)&gt;53),"",""&amp;CHOOSE(IFERROR(MATCH('My Rota'!$D$5,Setup!$K$33:$K$36,0),1),INDEX('2027'!$A:$Z,(5+50*((N('My Rota'!$D$6)+0)-1))+2+6,19),INDEX('2028'!$A:$Z,(5+50*((N('My Rota'!$D$6)+0)-1))+2+6,19),INDEX('2029'!$A:$Z,(5+50*((N('My Rota'!$D$6)+0)-1))+2+6,19),INDEX('2030'!$A:$Z,(5+50*((N('My Rota'!$D$6)+0)-1))+2+6,19)))</f>
        <v/>
      </c>
      <c r="T205">
        <f>IF(OR($B205="",(N('My Rota'!$D$6)+0)&gt;53),"",""&amp;CHOOSE(IFERROR(MATCH('My Rota'!$D$5,Setup!$K$33:$K$36,0),1),INDEX('2027'!$A:$Z,(5+50*((N('My Rota'!$D$6)+0)-1))+2+6,20),INDEX('2028'!$A:$Z,(5+50*((N('My Rota'!$D$6)+0)-1))+2+6,20),INDEX('2029'!$A:$Z,(5+50*((N('My Rota'!$D$6)+0)-1))+2+6,20),INDEX('2030'!$A:$Z,(5+50*((N('My Rota'!$D$6)+0)-1))+2+6,20)))</f>
        <v/>
      </c>
      <c r="U205">
        <f>IF(OR($B205="",(N('My Rota'!$D$6)+0)&gt;53),"",""&amp;CHOOSE(IFERROR(MATCH('My Rota'!$D$5,Setup!$K$33:$K$36,0),1),INDEX('2027'!$A:$Z,(5+50*((N('My Rota'!$D$6)+0)-1))+2+6,21),INDEX('2028'!$A:$Z,(5+50*((N('My Rota'!$D$6)+0)-1))+2+6,21),INDEX('2029'!$A:$Z,(5+50*((N('My Rota'!$D$6)+0)-1))+2+6,21),INDEX('2030'!$A:$Z,(5+50*((N('My Rota'!$D$6)+0)-1))+2+6,21)))</f>
        <v/>
      </c>
      <c r="V205">
        <f>IF(OR($B205="",(N('My Rota'!$D$6)+0)&gt;53),"",""&amp;CHOOSE(IFERROR(MATCH('My Rota'!$D$5,Setup!$K$33:$K$36,0),1),INDEX('2027'!$A:$Z,(5+50*((N('My Rota'!$D$6)+0)-1))+2+6,22),INDEX('2028'!$A:$Z,(5+50*((N('My Rota'!$D$6)+0)-1))+2+6,22),INDEX('2029'!$A:$Z,(5+50*((N('My Rota'!$D$6)+0)-1))+2+6,22),INDEX('2030'!$A:$Z,(5+50*((N('My Rota'!$D$6)+0)-1))+2+6,22)))</f>
        <v/>
      </c>
      <c r="W205">
        <f>IF(OR($B205="",(N('My Rota'!$D$6)+0)&gt;53),"",""&amp;CHOOSE(IFERROR(MATCH('My Rota'!$D$5,Setup!$K$33:$K$36,0),1),INDEX('2027'!$A:$Z,(5+50*((N('My Rota'!$D$6)+0)-1))+2+6,23),INDEX('2028'!$A:$Z,(5+50*((N('My Rota'!$D$6)+0)-1))+2+6,23),INDEX('2029'!$A:$Z,(5+50*((N('My Rota'!$D$6)+0)-1))+2+6,23),INDEX('2030'!$A:$Z,(5+50*((N('My Rota'!$D$6)+0)-1))+2+6,23)))</f>
        <v/>
      </c>
      <c r="X205">
        <f>IF(OR($B205="",(N('My Rota'!$D$6)+0)&gt;53),"",""&amp;CHOOSE(IFERROR(MATCH('My Rota'!$D$5,Setup!$K$33:$K$36,0),1),INDEX('2027'!$A:$Z,(5+50*((N('My Rota'!$D$6)+0)-1))+2+6,24),INDEX('2028'!$A:$Z,(5+50*((N('My Rota'!$D$6)+0)-1))+2+6,24),INDEX('2029'!$A:$Z,(5+50*((N('My Rota'!$D$6)+0)-1))+2+6,24),INDEX('2030'!$A:$Z,(5+50*((N('My Rota'!$D$6)+0)-1))+2+6,24)))</f>
        <v/>
      </c>
      <c r="Y205">
        <f>IF(OR($B205="",(N('My Rota'!$D$6)+0)&gt;53),"",""&amp;CHOOSE(IFERROR(MATCH('My Rota'!$D$5,Setup!$K$33:$K$36,0),1),INDEX('2027'!$A:$Z,(5+50*((N('My Rota'!$D$6)+0)-1))+2+6,25),INDEX('2028'!$A:$Z,(5+50*((N('My Rota'!$D$6)+0)-1))+2+6,25),INDEX('2029'!$A:$Z,(5+50*((N('My Rota'!$D$6)+0)-1))+2+6,25),INDEX('2030'!$A:$Z,(5+50*((N('My Rota'!$D$6)+0)-1))+2+6,25)))</f>
        <v/>
      </c>
      <c r="Z205">
        <f>IF(OR($B205="",(N('My Rota'!$D$6)+0)&gt;53),"",""&amp;CHOOSE(IFERROR(MATCH('My Rota'!$D$5,Setup!$K$33:$K$36,0),1),INDEX('2027'!$A:$Z,(5+50*((N('My Rota'!$D$6)+0)-1))+2+6,26),INDEX('2028'!$A:$Z,(5+50*((N('My Rota'!$D$6)+0)-1))+2+6,26),INDEX('2029'!$A:$Z,(5+50*((N('My Rota'!$D$6)+0)-1))+2+6,26),INDEX('2030'!$A:$Z,(5+50*((N('My Rota'!$D$6)+0)-1))+2+6,26)))</f>
        <v/>
      </c>
    </row>
    <row r="206">
      <c r="A206" t="n">
        <v>1</v>
      </c>
      <c r="B206">
        <f>$B$53</f>
        <v/>
      </c>
      <c r="C206">
        <f>IF(OR($B206="",(N('My Rota'!$D$6)+0)&gt;53),"",""&amp;CHOOSE(IFERROR(MATCH('My Rota'!$D$5,Setup!$K$33:$K$36,0),1),INDEX('2027'!$A:$Z,(5+50*((N('My Rota'!$D$6)+0)-1))+2+7,3),INDEX('2028'!$A:$Z,(5+50*((N('My Rota'!$D$6)+0)-1))+2+7,3),INDEX('2029'!$A:$Z,(5+50*((N('My Rota'!$D$6)+0)-1))+2+7,3),INDEX('2030'!$A:$Z,(5+50*((N('My Rota'!$D$6)+0)-1))+2+7,3)))</f>
        <v/>
      </c>
      <c r="D206">
        <f>IF(OR($B206="",(N('My Rota'!$D$6)+0)&gt;53),"",""&amp;CHOOSE(IFERROR(MATCH('My Rota'!$D$5,Setup!$K$33:$K$36,0),1),INDEX('2027'!$A:$Z,(5+50*((N('My Rota'!$D$6)+0)-1))+2+7,4),INDEX('2028'!$A:$Z,(5+50*((N('My Rota'!$D$6)+0)-1))+2+7,4),INDEX('2029'!$A:$Z,(5+50*((N('My Rota'!$D$6)+0)-1))+2+7,4),INDEX('2030'!$A:$Z,(5+50*((N('My Rota'!$D$6)+0)-1))+2+7,4)))</f>
        <v/>
      </c>
      <c r="E206">
        <f>IF(OR($B206="",(N('My Rota'!$D$6)+0)&gt;53),"",""&amp;CHOOSE(IFERROR(MATCH('My Rota'!$D$5,Setup!$K$33:$K$36,0),1),INDEX('2027'!$A:$Z,(5+50*((N('My Rota'!$D$6)+0)-1))+2+7,5),INDEX('2028'!$A:$Z,(5+50*((N('My Rota'!$D$6)+0)-1))+2+7,5),INDEX('2029'!$A:$Z,(5+50*((N('My Rota'!$D$6)+0)-1))+2+7,5),INDEX('2030'!$A:$Z,(5+50*((N('My Rota'!$D$6)+0)-1))+2+7,5)))</f>
        <v/>
      </c>
      <c r="F206">
        <f>IF(OR($B206="",(N('My Rota'!$D$6)+0)&gt;53),"",""&amp;CHOOSE(IFERROR(MATCH('My Rota'!$D$5,Setup!$K$33:$K$36,0),1),INDEX('2027'!$A:$Z,(5+50*((N('My Rota'!$D$6)+0)-1))+2+7,6),INDEX('2028'!$A:$Z,(5+50*((N('My Rota'!$D$6)+0)-1))+2+7,6),INDEX('2029'!$A:$Z,(5+50*((N('My Rota'!$D$6)+0)-1))+2+7,6),INDEX('2030'!$A:$Z,(5+50*((N('My Rota'!$D$6)+0)-1))+2+7,6)))</f>
        <v/>
      </c>
      <c r="G206">
        <f>IF(OR($B206="",(N('My Rota'!$D$6)+0)&gt;53),"",""&amp;CHOOSE(IFERROR(MATCH('My Rota'!$D$5,Setup!$K$33:$K$36,0),1),INDEX('2027'!$A:$Z,(5+50*((N('My Rota'!$D$6)+0)-1))+2+7,7),INDEX('2028'!$A:$Z,(5+50*((N('My Rota'!$D$6)+0)-1))+2+7,7),INDEX('2029'!$A:$Z,(5+50*((N('My Rota'!$D$6)+0)-1))+2+7,7),INDEX('2030'!$A:$Z,(5+50*((N('My Rota'!$D$6)+0)-1))+2+7,7)))</f>
        <v/>
      </c>
      <c r="H206">
        <f>IF(OR($B206="",(N('My Rota'!$D$6)+0)&gt;53),"",""&amp;CHOOSE(IFERROR(MATCH('My Rota'!$D$5,Setup!$K$33:$K$36,0),1),INDEX('2027'!$A:$Z,(5+50*((N('My Rota'!$D$6)+0)-1))+2+7,8),INDEX('2028'!$A:$Z,(5+50*((N('My Rota'!$D$6)+0)-1))+2+7,8),INDEX('2029'!$A:$Z,(5+50*((N('My Rota'!$D$6)+0)-1))+2+7,8),INDEX('2030'!$A:$Z,(5+50*((N('My Rota'!$D$6)+0)-1))+2+7,8)))</f>
        <v/>
      </c>
      <c r="I206">
        <f>IF(OR($B206="",(N('My Rota'!$D$6)+0)&gt;53),"",""&amp;CHOOSE(IFERROR(MATCH('My Rota'!$D$5,Setup!$K$33:$K$36,0),1),INDEX('2027'!$A:$Z,(5+50*((N('My Rota'!$D$6)+0)-1))+2+7,9),INDEX('2028'!$A:$Z,(5+50*((N('My Rota'!$D$6)+0)-1))+2+7,9),INDEX('2029'!$A:$Z,(5+50*((N('My Rota'!$D$6)+0)-1))+2+7,9),INDEX('2030'!$A:$Z,(5+50*((N('My Rota'!$D$6)+0)-1))+2+7,9)))</f>
        <v/>
      </c>
      <c r="J206">
        <f>IF(OR($B206="",(N('My Rota'!$D$6)+0)&gt;53),"",""&amp;CHOOSE(IFERROR(MATCH('My Rota'!$D$5,Setup!$K$33:$K$36,0),1),INDEX('2027'!$A:$Z,(5+50*((N('My Rota'!$D$6)+0)-1))+2+7,10),INDEX('2028'!$A:$Z,(5+50*((N('My Rota'!$D$6)+0)-1))+2+7,10),INDEX('2029'!$A:$Z,(5+50*((N('My Rota'!$D$6)+0)-1))+2+7,10),INDEX('2030'!$A:$Z,(5+50*((N('My Rota'!$D$6)+0)-1))+2+7,10)))</f>
        <v/>
      </c>
      <c r="K206">
        <f>IF(OR($B206="",(N('My Rota'!$D$6)+0)&gt;53),"",""&amp;CHOOSE(IFERROR(MATCH('My Rota'!$D$5,Setup!$K$33:$K$36,0),1),INDEX('2027'!$A:$Z,(5+50*((N('My Rota'!$D$6)+0)-1))+2+7,11),INDEX('2028'!$A:$Z,(5+50*((N('My Rota'!$D$6)+0)-1))+2+7,11),INDEX('2029'!$A:$Z,(5+50*((N('My Rota'!$D$6)+0)-1))+2+7,11),INDEX('2030'!$A:$Z,(5+50*((N('My Rota'!$D$6)+0)-1))+2+7,11)))</f>
        <v/>
      </c>
      <c r="L206">
        <f>IF(OR($B206="",(N('My Rota'!$D$6)+0)&gt;53),"",""&amp;CHOOSE(IFERROR(MATCH('My Rota'!$D$5,Setup!$K$33:$K$36,0),1),INDEX('2027'!$A:$Z,(5+50*((N('My Rota'!$D$6)+0)-1))+2+7,12),INDEX('2028'!$A:$Z,(5+50*((N('My Rota'!$D$6)+0)-1))+2+7,12),INDEX('2029'!$A:$Z,(5+50*((N('My Rota'!$D$6)+0)-1))+2+7,12),INDEX('2030'!$A:$Z,(5+50*((N('My Rota'!$D$6)+0)-1))+2+7,12)))</f>
        <v/>
      </c>
      <c r="M206">
        <f>IF(OR($B206="",(N('My Rota'!$D$6)+0)&gt;53),"",""&amp;CHOOSE(IFERROR(MATCH('My Rota'!$D$5,Setup!$K$33:$K$36,0),1),INDEX('2027'!$A:$Z,(5+50*((N('My Rota'!$D$6)+0)-1))+2+7,13),INDEX('2028'!$A:$Z,(5+50*((N('My Rota'!$D$6)+0)-1))+2+7,13),INDEX('2029'!$A:$Z,(5+50*((N('My Rota'!$D$6)+0)-1))+2+7,13),INDEX('2030'!$A:$Z,(5+50*((N('My Rota'!$D$6)+0)-1))+2+7,13)))</f>
        <v/>
      </c>
      <c r="N206">
        <f>IF(OR($B206="",(N('My Rota'!$D$6)+0)&gt;53),"",""&amp;CHOOSE(IFERROR(MATCH('My Rota'!$D$5,Setup!$K$33:$K$36,0),1),INDEX('2027'!$A:$Z,(5+50*((N('My Rota'!$D$6)+0)-1))+2+7,14),INDEX('2028'!$A:$Z,(5+50*((N('My Rota'!$D$6)+0)-1))+2+7,14),INDEX('2029'!$A:$Z,(5+50*((N('My Rota'!$D$6)+0)-1))+2+7,14),INDEX('2030'!$A:$Z,(5+50*((N('My Rota'!$D$6)+0)-1))+2+7,14)))</f>
        <v/>
      </c>
      <c r="O206">
        <f>IF(OR($B206="",(N('My Rota'!$D$6)+0)&gt;53),"",""&amp;CHOOSE(IFERROR(MATCH('My Rota'!$D$5,Setup!$K$33:$K$36,0),1),INDEX('2027'!$A:$Z,(5+50*((N('My Rota'!$D$6)+0)-1))+2+7,15),INDEX('2028'!$A:$Z,(5+50*((N('My Rota'!$D$6)+0)-1))+2+7,15),INDEX('2029'!$A:$Z,(5+50*((N('My Rota'!$D$6)+0)-1))+2+7,15),INDEX('2030'!$A:$Z,(5+50*((N('My Rota'!$D$6)+0)-1))+2+7,15)))</f>
        <v/>
      </c>
      <c r="P206">
        <f>IF(OR($B206="",(N('My Rota'!$D$6)+0)&gt;53),"",""&amp;CHOOSE(IFERROR(MATCH('My Rota'!$D$5,Setup!$K$33:$K$36,0),1),INDEX('2027'!$A:$Z,(5+50*((N('My Rota'!$D$6)+0)-1))+2+7,16),INDEX('2028'!$A:$Z,(5+50*((N('My Rota'!$D$6)+0)-1))+2+7,16),INDEX('2029'!$A:$Z,(5+50*((N('My Rota'!$D$6)+0)-1))+2+7,16),INDEX('2030'!$A:$Z,(5+50*((N('My Rota'!$D$6)+0)-1))+2+7,16)))</f>
        <v/>
      </c>
      <c r="Q206">
        <f>IF(OR($B206="",(N('My Rota'!$D$6)+0)&gt;53),"",""&amp;CHOOSE(IFERROR(MATCH('My Rota'!$D$5,Setup!$K$33:$K$36,0),1),INDEX('2027'!$A:$Z,(5+50*((N('My Rota'!$D$6)+0)-1))+2+7,17),INDEX('2028'!$A:$Z,(5+50*((N('My Rota'!$D$6)+0)-1))+2+7,17),INDEX('2029'!$A:$Z,(5+50*((N('My Rota'!$D$6)+0)-1))+2+7,17),INDEX('2030'!$A:$Z,(5+50*((N('My Rota'!$D$6)+0)-1))+2+7,17)))</f>
        <v/>
      </c>
      <c r="R206">
        <f>IF(OR($B206="",(N('My Rota'!$D$6)+0)&gt;53),"",""&amp;CHOOSE(IFERROR(MATCH('My Rota'!$D$5,Setup!$K$33:$K$36,0),1),INDEX('2027'!$A:$Z,(5+50*((N('My Rota'!$D$6)+0)-1))+2+7,18),INDEX('2028'!$A:$Z,(5+50*((N('My Rota'!$D$6)+0)-1))+2+7,18),INDEX('2029'!$A:$Z,(5+50*((N('My Rota'!$D$6)+0)-1))+2+7,18),INDEX('2030'!$A:$Z,(5+50*((N('My Rota'!$D$6)+0)-1))+2+7,18)))</f>
        <v/>
      </c>
      <c r="S206">
        <f>IF(OR($B206="",(N('My Rota'!$D$6)+0)&gt;53),"",""&amp;CHOOSE(IFERROR(MATCH('My Rota'!$D$5,Setup!$K$33:$K$36,0),1),INDEX('2027'!$A:$Z,(5+50*((N('My Rota'!$D$6)+0)-1))+2+7,19),INDEX('2028'!$A:$Z,(5+50*((N('My Rota'!$D$6)+0)-1))+2+7,19),INDEX('2029'!$A:$Z,(5+50*((N('My Rota'!$D$6)+0)-1))+2+7,19),INDEX('2030'!$A:$Z,(5+50*((N('My Rota'!$D$6)+0)-1))+2+7,19)))</f>
        <v/>
      </c>
      <c r="T206">
        <f>IF(OR($B206="",(N('My Rota'!$D$6)+0)&gt;53),"",""&amp;CHOOSE(IFERROR(MATCH('My Rota'!$D$5,Setup!$K$33:$K$36,0),1),INDEX('2027'!$A:$Z,(5+50*((N('My Rota'!$D$6)+0)-1))+2+7,20),INDEX('2028'!$A:$Z,(5+50*((N('My Rota'!$D$6)+0)-1))+2+7,20),INDEX('2029'!$A:$Z,(5+50*((N('My Rota'!$D$6)+0)-1))+2+7,20),INDEX('2030'!$A:$Z,(5+50*((N('My Rota'!$D$6)+0)-1))+2+7,20)))</f>
        <v/>
      </c>
      <c r="U206">
        <f>IF(OR($B206="",(N('My Rota'!$D$6)+0)&gt;53),"",""&amp;CHOOSE(IFERROR(MATCH('My Rota'!$D$5,Setup!$K$33:$K$36,0),1),INDEX('2027'!$A:$Z,(5+50*((N('My Rota'!$D$6)+0)-1))+2+7,21),INDEX('2028'!$A:$Z,(5+50*((N('My Rota'!$D$6)+0)-1))+2+7,21),INDEX('2029'!$A:$Z,(5+50*((N('My Rota'!$D$6)+0)-1))+2+7,21),INDEX('2030'!$A:$Z,(5+50*((N('My Rota'!$D$6)+0)-1))+2+7,21)))</f>
        <v/>
      </c>
      <c r="V206">
        <f>IF(OR($B206="",(N('My Rota'!$D$6)+0)&gt;53),"",""&amp;CHOOSE(IFERROR(MATCH('My Rota'!$D$5,Setup!$K$33:$K$36,0),1),INDEX('2027'!$A:$Z,(5+50*((N('My Rota'!$D$6)+0)-1))+2+7,22),INDEX('2028'!$A:$Z,(5+50*((N('My Rota'!$D$6)+0)-1))+2+7,22),INDEX('2029'!$A:$Z,(5+50*((N('My Rota'!$D$6)+0)-1))+2+7,22),INDEX('2030'!$A:$Z,(5+50*((N('My Rota'!$D$6)+0)-1))+2+7,22)))</f>
        <v/>
      </c>
      <c r="W206">
        <f>IF(OR($B206="",(N('My Rota'!$D$6)+0)&gt;53),"",""&amp;CHOOSE(IFERROR(MATCH('My Rota'!$D$5,Setup!$K$33:$K$36,0),1),INDEX('2027'!$A:$Z,(5+50*((N('My Rota'!$D$6)+0)-1))+2+7,23),INDEX('2028'!$A:$Z,(5+50*((N('My Rota'!$D$6)+0)-1))+2+7,23),INDEX('2029'!$A:$Z,(5+50*((N('My Rota'!$D$6)+0)-1))+2+7,23),INDEX('2030'!$A:$Z,(5+50*((N('My Rota'!$D$6)+0)-1))+2+7,23)))</f>
        <v/>
      </c>
      <c r="X206">
        <f>IF(OR($B206="",(N('My Rota'!$D$6)+0)&gt;53),"",""&amp;CHOOSE(IFERROR(MATCH('My Rota'!$D$5,Setup!$K$33:$K$36,0),1),INDEX('2027'!$A:$Z,(5+50*((N('My Rota'!$D$6)+0)-1))+2+7,24),INDEX('2028'!$A:$Z,(5+50*((N('My Rota'!$D$6)+0)-1))+2+7,24),INDEX('2029'!$A:$Z,(5+50*((N('My Rota'!$D$6)+0)-1))+2+7,24),INDEX('2030'!$A:$Z,(5+50*((N('My Rota'!$D$6)+0)-1))+2+7,24)))</f>
        <v/>
      </c>
      <c r="Y206">
        <f>IF(OR($B206="",(N('My Rota'!$D$6)+0)&gt;53),"",""&amp;CHOOSE(IFERROR(MATCH('My Rota'!$D$5,Setup!$K$33:$K$36,0),1),INDEX('2027'!$A:$Z,(5+50*((N('My Rota'!$D$6)+0)-1))+2+7,25),INDEX('2028'!$A:$Z,(5+50*((N('My Rota'!$D$6)+0)-1))+2+7,25),INDEX('2029'!$A:$Z,(5+50*((N('My Rota'!$D$6)+0)-1))+2+7,25),INDEX('2030'!$A:$Z,(5+50*((N('My Rota'!$D$6)+0)-1))+2+7,25)))</f>
        <v/>
      </c>
      <c r="Z206">
        <f>IF(OR($B206="",(N('My Rota'!$D$6)+0)&gt;53),"",""&amp;CHOOSE(IFERROR(MATCH('My Rota'!$D$5,Setup!$K$33:$K$36,0),1),INDEX('2027'!$A:$Z,(5+50*((N('My Rota'!$D$6)+0)-1))+2+7,26),INDEX('2028'!$A:$Z,(5+50*((N('My Rota'!$D$6)+0)-1))+2+7,26),INDEX('2029'!$A:$Z,(5+50*((N('My Rota'!$D$6)+0)-1))+2+7,26),INDEX('2030'!$A:$Z,(5+50*((N('My Rota'!$D$6)+0)-1))+2+7,26)))</f>
        <v/>
      </c>
    </row>
    <row r="207">
      <c r="A207" t="n">
        <v>1</v>
      </c>
      <c r="B207">
        <f>$B$54</f>
        <v/>
      </c>
      <c r="C207">
        <f>IF(OR($B207="",(N('My Rota'!$D$6)+0)&gt;53),"",""&amp;CHOOSE(IFERROR(MATCH('My Rota'!$D$5,Setup!$K$33:$K$36,0),1),INDEX('2027'!$A:$Z,(5+50*((N('My Rota'!$D$6)+0)-1))+2+8,3),INDEX('2028'!$A:$Z,(5+50*((N('My Rota'!$D$6)+0)-1))+2+8,3),INDEX('2029'!$A:$Z,(5+50*((N('My Rota'!$D$6)+0)-1))+2+8,3),INDEX('2030'!$A:$Z,(5+50*((N('My Rota'!$D$6)+0)-1))+2+8,3)))</f>
        <v/>
      </c>
      <c r="D207">
        <f>IF(OR($B207="",(N('My Rota'!$D$6)+0)&gt;53),"",""&amp;CHOOSE(IFERROR(MATCH('My Rota'!$D$5,Setup!$K$33:$K$36,0),1),INDEX('2027'!$A:$Z,(5+50*((N('My Rota'!$D$6)+0)-1))+2+8,4),INDEX('2028'!$A:$Z,(5+50*((N('My Rota'!$D$6)+0)-1))+2+8,4),INDEX('2029'!$A:$Z,(5+50*((N('My Rota'!$D$6)+0)-1))+2+8,4),INDEX('2030'!$A:$Z,(5+50*((N('My Rota'!$D$6)+0)-1))+2+8,4)))</f>
        <v/>
      </c>
      <c r="E207">
        <f>IF(OR($B207="",(N('My Rota'!$D$6)+0)&gt;53),"",""&amp;CHOOSE(IFERROR(MATCH('My Rota'!$D$5,Setup!$K$33:$K$36,0),1),INDEX('2027'!$A:$Z,(5+50*((N('My Rota'!$D$6)+0)-1))+2+8,5),INDEX('2028'!$A:$Z,(5+50*((N('My Rota'!$D$6)+0)-1))+2+8,5),INDEX('2029'!$A:$Z,(5+50*((N('My Rota'!$D$6)+0)-1))+2+8,5),INDEX('2030'!$A:$Z,(5+50*((N('My Rota'!$D$6)+0)-1))+2+8,5)))</f>
        <v/>
      </c>
      <c r="F207">
        <f>IF(OR($B207="",(N('My Rota'!$D$6)+0)&gt;53),"",""&amp;CHOOSE(IFERROR(MATCH('My Rota'!$D$5,Setup!$K$33:$K$36,0),1),INDEX('2027'!$A:$Z,(5+50*((N('My Rota'!$D$6)+0)-1))+2+8,6),INDEX('2028'!$A:$Z,(5+50*((N('My Rota'!$D$6)+0)-1))+2+8,6),INDEX('2029'!$A:$Z,(5+50*((N('My Rota'!$D$6)+0)-1))+2+8,6),INDEX('2030'!$A:$Z,(5+50*((N('My Rota'!$D$6)+0)-1))+2+8,6)))</f>
        <v/>
      </c>
      <c r="G207">
        <f>IF(OR($B207="",(N('My Rota'!$D$6)+0)&gt;53),"",""&amp;CHOOSE(IFERROR(MATCH('My Rota'!$D$5,Setup!$K$33:$K$36,0),1),INDEX('2027'!$A:$Z,(5+50*((N('My Rota'!$D$6)+0)-1))+2+8,7),INDEX('2028'!$A:$Z,(5+50*((N('My Rota'!$D$6)+0)-1))+2+8,7),INDEX('2029'!$A:$Z,(5+50*((N('My Rota'!$D$6)+0)-1))+2+8,7),INDEX('2030'!$A:$Z,(5+50*((N('My Rota'!$D$6)+0)-1))+2+8,7)))</f>
        <v/>
      </c>
      <c r="H207">
        <f>IF(OR($B207="",(N('My Rota'!$D$6)+0)&gt;53),"",""&amp;CHOOSE(IFERROR(MATCH('My Rota'!$D$5,Setup!$K$33:$K$36,0),1),INDEX('2027'!$A:$Z,(5+50*((N('My Rota'!$D$6)+0)-1))+2+8,8),INDEX('2028'!$A:$Z,(5+50*((N('My Rota'!$D$6)+0)-1))+2+8,8),INDEX('2029'!$A:$Z,(5+50*((N('My Rota'!$D$6)+0)-1))+2+8,8),INDEX('2030'!$A:$Z,(5+50*((N('My Rota'!$D$6)+0)-1))+2+8,8)))</f>
        <v/>
      </c>
      <c r="I207">
        <f>IF(OR($B207="",(N('My Rota'!$D$6)+0)&gt;53),"",""&amp;CHOOSE(IFERROR(MATCH('My Rota'!$D$5,Setup!$K$33:$K$36,0),1),INDEX('2027'!$A:$Z,(5+50*((N('My Rota'!$D$6)+0)-1))+2+8,9),INDEX('2028'!$A:$Z,(5+50*((N('My Rota'!$D$6)+0)-1))+2+8,9),INDEX('2029'!$A:$Z,(5+50*((N('My Rota'!$D$6)+0)-1))+2+8,9),INDEX('2030'!$A:$Z,(5+50*((N('My Rota'!$D$6)+0)-1))+2+8,9)))</f>
        <v/>
      </c>
      <c r="J207">
        <f>IF(OR($B207="",(N('My Rota'!$D$6)+0)&gt;53),"",""&amp;CHOOSE(IFERROR(MATCH('My Rota'!$D$5,Setup!$K$33:$K$36,0),1),INDEX('2027'!$A:$Z,(5+50*((N('My Rota'!$D$6)+0)-1))+2+8,10),INDEX('2028'!$A:$Z,(5+50*((N('My Rota'!$D$6)+0)-1))+2+8,10),INDEX('2029'!$A:$Z,(5+50*((N('My Rota'!$D$6)+0)-1))+2+8,10),INDEX('2030'!$A:$Z,(5+50*((N('My Rota'!$D$6)+0)-1))+2+8,10)))</f>
        <v/>
      </c>
      <c r="K207">
        <f>IF(OR($B207="",(N('My Rota'!$D$6)+0)&gt;53),"",""&amp;CHOOSE(IFERROR(MATCH('My Rota'!$D$5,Setup!$K$33:$K$36,0),1),INDEX('2027'!$A:$Z,(5+50*((N('My Rota'!$D$6)+0)-1))+2+8,11),INDEX('2028'!$A:$Z,(5+50*((N('My Rota'!$D$6)+0)-1))+2+8,11),INDEX('2029'!$A:$Z,(5+50*((N('My Rota'!$D$6)+0)-1))+2+8,11),INDEX('2030'!$A:$Z,(5+50*((N('My Rota'!$D$6)+0)-1))+2+8,11)))</f>
        <v/>
      </c>
      <c r="L207">
        <f>IF(OR($B207="",(N('My Rota'!$D$6)+0)&gt;53),"",""&amp;CHOOSE(IFERROR(MATCH('My Rota'!$D$5,Setup!$K$33:$K$36,0),1),INDEX('2027'!$A:$Z,(5+50*((N('My Rota'!$D$6)+0)-1))+2+8,12),INDEX('2028'!$A:$Z,(5+50*((N('My Rota'!$D$6)+0)-1))+2+8,12),INDEX('2029'!$A:$Z,(5+50*((N('My Rota'!$D$6)+0)-1))+2+8,12),INDEX('2030'!$A:$Z,(5+50*((N('My Rota'!$D$6)+0)-1))+2+8,12)))</f>
        <v/>
      </c>
      <c r="M207">
        <f>IF(OR($B207="",(N('My Rota'!$D$6)+0)&gt;53),"",""&amp;CHOOSE(IFERROR(MATCH('My Rota'!$D$5,Setup!$K$33:$K$36,0),1),INDEX('2027'!$A:$Z,(5+50*((N('My Rota'!$D$6)+0)-1))+2+8,13),INDEX('2028'!$A:$Z,(5+50*((N('My Rota'!$D$6)+0)-1))+2+8,13),INDEX('2029'!$A:$Z,(5+50*((N('My Rota'!$D$6)+0)-1))+2+8,13),INDEX('2030'!$A:$Z,(5+50*((N('My Rota'!$D$6)+0)-1))+2+8,13)))</f>
        <v/>
      </c>
      <c r="N207">
        <f>IF(OR($B207="",(N('My Rota'!$D$6)+0)&gt;53),"",""&amp;CHOOSE(IFERROR(MATCH('My Rota'!$D$5,Setup!$K$33:$K$36,0),1),INDEX('2027'!$A:$Z,(5+50*((N('My Rota'!$D$6)+0)-1))+2+8,14),INDEX('2028'!$A:$Z,(5+50*((N('My Rota'!$D$6)+0)-1))+2+8,14),INDEX('2029'!$A:$Z,(5+50*((N('My Rota'!$D$6)+0)-1))+2+8,14),INDEX('2030'!$A:$Z,(5+50*((N('My Rota'!$D$6)+0)-1))+2+8,14)))</f>
        <v/>
      </c>
      <c r="O207">
        <f>IF(OR($B207="",(N('My Rota'!$D$6)+0)&gt;53),"",""&amp;CHOOSE(IFERROR(MATCH('My Rota'!$D$5,Setup!$K$33:$K$36,0),1),INDEX('2027'!$A:$Z,(5+50*((N('My Rota'!$D$6)+0)-1))+2+8,15),INDEX('2028'!$A:$Z,(5+50*((N('My Rota'!$D$6)+0)-1))+2+8,15),INDEX('2029'!$A:$Z,(5+50*((N('My Rota'!$D$6)+0)-1))+2+8,15),INDEX('2030'!$A:$Z,(5+50*((N('My Rota'!$D$6)+0)-1))+2+8,15)))</f>
        <v/>
      </c>
      <c r="P207">
        <f>IF(OR($B207="",(N('My Rota'!$D$6)+0)&gt;53),"",""&amp;CHOOSE(IFERROR(MATCH('My Rota'!$D$5,Setup!$K$33:$K$36,0),1),INDEX('2027'!$A:$Z,(5+50*((N('My Rota'!$D$6)+0)-1))+2+8,16),INDEX('2028'!$A:$Z,(5+50*((N('My Rota'!$D$6)+0)-1))+2+8,16),INDEX('2029'!$A:$Z,(5+50*((N('My Rota'!$D$6)+0)-1))+2+8,16),INDEX('2030'!$A:$Z,(5+50*((N('My Rota'!$D$6)+0)-1))+2+8,16)))</f>
        <v/>
      </c>
      <c r="Q207">
        <f>IF(OR($B207="",(N('My Rota'!$D$6)+0)&gt;53),"",""&amp;CHOOSE(IFERROR(MATCH('My Rota'!$D$5,Setup!$K$33:$K$36,0),1),INDEX('2027'!$A:$Z,(5+50*((N('My Rota'!$D$6)+0)-1))+2+8,17),INDEX('2028'!$A:$Z,(5+50*((N('My Rota'!$D$6)+0)-1))+2+8,17),INDEX('2029'!$A:$Z,(5+50*((N('My Rota'!$D$6)+0)-1))+2+8,17),INDEX('2030'!$A:$Z,(5+50*((N('My Rota'!$D$6)+0)-1))+2+8,17)))</f>
        <v/>
      </c>
      <c r="R207">
        <f>IF(OR($B207="",(N('My Rota'!$D$6)+0)&gt;53),"",""&amp;CHOOSE(IFERROR(MATCH('My Rota'!$D$5,Setup!$K$33:$K$36,0),1),INDEX('2027'!$A:$Z,(5+50*((N('My Rota'!$D$6)+0)-1))+2+8,18),INDEX('2028'!$A:$Z,(5+50*((N('My Rota'!$D$6)+0)-1))+2+8,18),INDEX('2029'!$A:$Z,(5+50*((N('My Rota'!$D$6)+0)-1))+2+8,18),INDEX('2030'!$A:$Z,(5+50*((N('My Rota'!$D$6)+0)-1))+2+8,18)))</f>
        <v/>
      </c>
      <c r="S207">
        <f>IF(OR($B207="",(N('My Rota'!$D$6)+0)&gt;53),"",""&amp;CHOOSE(IFERROR(MATCH('My Rota'!$D$5,Setup!$K$33:$K$36,0),1),INDEX('2027'!$A:$Z,(5+50*((N('My Rota'!$D$6)+0)-1))+2+8,19),INDEX('2028'!$A:$Z,(5+50*((N('My Rota'!$D$6)+0)-1))+2+8,19),INDEX('2029'!$A:$Z,(5+50*((N('My Rota'!$D$6)+0)-1))+2+8,19),INDEX('2030'!$A:$Z,(5+50*((N('My Rota'!$D$6)+0)-1))+2+8,19)))</f>
        <v/>
      </c>
      <c r="T207">
        <f>IF(OR($B207="",(N('My Rota'!$D$6)+0)&gt;53),"",""&amp;CHOOSE(IFERROR(MATCH('My Rota'!$D$5,Setup!$K$33:$K$36,0),1),INDEX('2027'!$A:$Z,(5+50*((N('My Rota'!$D$6)+0)-1))+2+8,20),INDEX('2028'!$A:$Z,(5+50*((N('My Rota'!$D$6)+0)-1))+2+8,20),INDEX('2029'!$A:$Z,(5+50*((N('My Rota'!$D$6)+0)-1))+2+8,20),INDEX('2030'!$A:$Z,(5+50*((N('My Rota'!$D$6)+0)-1))+2+8,20)))</f>
        <v/>
      </c>
      <c r="U207">
        <f>IF(OR($B207="",(N('My Rota'!$D$6)+0)&gt;53),"",""&amp;CHOOSE(IFERROR(MATCH('My Rota'!$D$5,Setup!$K$33:$K$36,0),1),INDEX('2027'!$A:$Z,(5+50*((N('My Rota'!$D$6)+0)-1))+2+8,21),INDEX('2028'!$A:$Z,(5+50*((N('My Rota'!$D$6)+0)-1))+2+8,21),INDEX('2029'!$A:$Z,(5+50*((N('My Rota'!$D$6)+0)-1))+2+8,21),INDEX('2030'!$A:$Z,(5+50*((N('My Rota'!$D$6)+0)-1))+2+8,21)))</f>
        <v/>
      </c>
      <c r="V207">
        <f>IF(OR($B207="",(N('My Rota'!$D$6)+0)&gt;53),"",""&amp;CHOOSE(IFERROR(MATCH('My Rota'!$D$5,Setup!$K$33:$K$36,0),1),INDEX('2027'!$A:$Z,(5+50*((N('My Rota'!$D$6)+0)-1))+2+8,22),INDEX('2028'!$A:$Z,(5+50*((N('My Rota'!$D$6)+0)-1))+2+8,22),INDEX('2029'!$A:$Z,(5+50*((N('My Rota'!$D$6)+0)-1))+2+8,22),INDEX('2030'!$A:$Z,(5+50*((N('My Rota'!$D$6)+0)-1))+2+8,22)))</f>
        <v/>
      </c>
      <c r="W207">
        <f>IF(OR($B207="",(N('My Rota'!$D$6)+0)&gt;53),"",""&amp;CHOOSE(IFERROR(MATCH('My Rota'!$D$5,Setup!$K$33:$K$36,0),1),INDEX('2027'!$A:$Z,(5+50*((N('My Rota'!$D$6)+0)-1))+2+8,23),INDEX('2028'!$A:$Z,(5+50*((N('My Rota'!$D$6)+0)-1))+2+8,23),INDEX('2029'!$A:$Z,(5+50*((N('My Rota'!$D$6)+0)-1))+2+8,23),INDEX('2030'!$A:$Z,(5+50*((N('My Rota'!$D$6)+0)-1))+2+8,23)))</f>
        <v/>
      </c>
      <c r="X207">
        <f>IF(OR($B207="",(N('My Rota'!$D$6)+0)&gt;53),"",""&amp;CHOOSE(IFERROR(MATCH('My Rota'!$D$5,Setup!$K$33:$K$36,0),1),INDEX('2027'!$A:$Z,(5+50*((N('My Rota'!$D$6)+0)-1))+2+8,24),INDEX('2028'!$A:$Z,(5+50*((N('My Rota'!$D$6)+0)-1))+2+8,24),INDEX('2029'!$A:$Z,(5+50*((N('My Rota'!$D$6)+0)-1))+2+8,24),INDEX('2030'!$A:$Z,(5+50*((N('My Rota'!$D$6)+0)-1))+2+8,24)))</f>
        <v/>
      </c>
      <c r="Y207">
        <f>IF(OR($B207="",(N('My Rota'!$D$6)+0)&gt;53),"",""&amp;CHOOSE(IFERROR(MATCH('My Rota'!$D$5,Setup!$K$33:$K$36,0),1),INDEX('2027'!$A:$Z,(5+50*((N('My Rota'!$D$6)+0)-1))+2+8,25),INDEX('2028'!$A:$Z,(5+50*((N('My Rota'!$D$6)+0)-1))+2+8,25),INDEX('2029'!$A:$Z,(5+50*((N('My Rota'!$D$6)+0)-1))+2+8,25),INDEX('2030'!$A:$Z,(5+50*((N('My Rota'!$D$6)+0)-1))+2+8,25)))</f>
        <v/>
      </c>
      <c r="Z207">
        <f>IF(OR($B207="",(N('My Rota'!$D$6)+0)&gt;53),"",""&amp;CHOOSE(IFERROR(MATCH('My Rota'!$D$5,Setup!$K$33:$K$36,0),1),INDEX('2027'!$A:$Z,(5+50*((N('My Rota'!$D$6)+0)-1))+2+8,26),INDEX('2028'!$A:$Z,(5+50*((N('My Rota'!$D$6)+0)-1))+2+8,26),INDEX('2029'!$A:$Z,(5+50*((N('My Rota'!$D$6)+0)-1))+2+8,26),INDEX('2030'!$A:$Z,(5+50*((N('My Rota'!$D$6)+0)-1))+2+8,26)))</f>
        <v/>
      </c>
    </row>
    <row r="208">
      <c r="A208" t="n">
        <v>1</v>
      </c>
      <c r="B208">
        <f>$B$55</f>
        <v/>
      </c>
      <c r="C208">
        <f>IF(OR($B208="",(N('My Rota'!$D$6)+0)&gt;53),"",""&amp;CHOOSE(IFERROR(MATCH('My Rota'!$D$5,Setup!$K$33:$K$36,0),1),INDEX('2027'!$A:$Z,(5+50*((N('My Rota'!$D$6)+0)-1))+2+9,3),INDEX('2028'!$A:$Z,(5+50*((N('My Rota'!$D$6)+0)-1))+2+9,3),INDEX('2029'!$A:$Z,(5+50*((N('My Rota'!$D$6)+0)-1))+2+9,3),INDEX('2030'!$A:$Z,(5+50*((N('My Rota'!$D$6)+0)-1))+2+9,3)))</f>
        <v/>
      </c>
      <c r="D208">
        <f>IF(OR($B208="",(N('My Rota'!$D$6)+0)&gt;53),"",""&amp;CHOOSE(IFERROR(MATCH('My Rota'!$D$5,Setup!$K$33:$K$36,0),1),INDEX('2027'!$A:$Z,(5+50*((N('My Rota'!$D$6)+0)-1))+2+9,4),INDEX('2028'!$A:$Z,(5+50*((N('My Rota'!$D$6)+0)-1))+2+9,4),INDEX('2029'!$A:$Z,(5+50*((N('My Rota'!$D$6)+0)-1))+2+9,4),INDEX('2030'!$A:$Z,(5+50*((N('My Rota'!$D$6)+0)-1))+2+9,4)))</f>
        <v/>
      </c>
      <c r="E208">
        <f>IF(OR($B208="",(N('My Rota'!$D$6)+0)&gt;53),"",""&amp;CHOOSE(IFERROR(MATCH('My Rota'!$D$5,Setup!$K$33:$K$36,0),1),INDEX('2027'!$A:$Z,(5+50*((N('My Rota'!$D$6)+0)-1))+2+9,5),INDEX('2028'!$A:$Z,(5+50*((N('My Rota'!$D$6)+0)-1))+2+9,5),INDEX('2029'!$A:$Z,(5+50*((N('My Rota'!$D$6)+0)-1))+2+9,5),INDEX('2030'!$A:$Z,(5+50*((N('My Rota'!$D$6)+0)-1))+2+9,5)))</f>
        <v/>
      </c>
      <c r="F208">
        <f>IF(OR($B208="",(N('My Rota'!$D$6)+0)&gt;53),"",""&amp;CHOOSE(IFERROR(MATCH('My Rota'!$D$5,Setup!$K$33:$K$36,0),1),INDEX('2027'!$A:$Z,(5+50*((N('My Rota'!$D$6)+0)-1))+2+9,6),INDEX('2028'!$A:$Z,(5+50*((N('My Rota'!$D$6)+0)-1))+2+9,6),INDEX('2029'!$A:$Z,(5+50*((N('My Rota'!$D$6)+0)-1))+2+9,6),INDEX('2030'!$A:$Z,(5+50*((N('My Rota'!$D$6)+0)-1))+2+9,6)))</f>
        <v/>
      </c>
      <c r="G208">
        <f>IF(OR($B208="",(N('My Rota'!$D$6)+0)&gt;53),"",""&amp;CHOOSE(IFERROR(MATCH('My Rota'!$D$5,Setup!$K$33:$K$36,0),1),INDEX('2027'!$A:$Z,(5+50*((N('My Rota'!$D$6)+0)-1))+2+9,7),INDEX('2028'!$A:$Z,(5+50*((N('My Rota'!$D$6)+0)-1))+2+9,7),INDEX('2029'!$A:$Z,(5+50*((N('My Rota'!$D$6)+0)-1))+2+9,7),INDEX('2030'!$A:$Z,(5+50*((N('My Rota'!$D$6)+0)-1))+2+9,7)))</f>
        <v/>
      </c>
      <c r="H208">
        <f>IF(OR($B208="",(N('My Rota'!$D$6)+0)&gt;53),"",""&amp;CHOOSE(IFERROR(MATCH('My Rota'!$D$5,Setup!$K$33:$K$36,0),1),INDEX('2027'!$A:$Z,(5+50*((N('My Rota'!$D$6)+0)-1))+2+9,8),INDEX('2028'!$A:$Z,(5+50*((N('My Rota'!$D$6)+0)-1))+2+9,8),INDEX('2029'!$A:$Z,(5+50*((N('My Rota'!$D$6)+0)-1))+2+9,8),INDEX('2030'!$A:$Z,(5+50*((N('My Rota'!$D$6)+0)-1))+2+9,8)))</f>
        <v/>
      </c>
      <c r="I208">
        <f>IF(OR($B208="",(N('My Rota'!$D$6)+0)&gt;53),"",""&amp;CHOOSE(IFERROR(MATCH('My Rota'!$D$5,Setup!$K$33:$K$36,0),1),INDEX('2027'!$A:$Z,(5+50*((N('My Rota'!$D$6)+0)-1))+2+9,9),INDEX('2028'!$A:$Z,(5+50*((N('My Rota'!$D$6)+0)-1))+2+9,9),INDEX('2029'!$A:$Z,(5+50*((N('My Rota'!$D$6)+0)-1))+2+9,9),INDEX('2030'!$A:$Z,(5+50*((N('My Rota'!$D$6)+0)-1))+2+9,9)))</f>
        <v/>
      </c>
      <c r="J208">
        <f>IF(OR($B208="",(N('My Rota'!$D$6)+0)&gt;53),"",""&amp;CHOOSE(IFERROR(MATCH('My Rota'!$D$5,Setup!$K$33:$K$36,0),1),INDEX('2027'!$A:$Z,(5+50*((N('My Rota'!$D$6)+0)-1))+2+9,10),INDEX('2028'!$A:$Z,(5+50*((N('My Rota'!$D$6)+0)-1))+2+9,10),INDEX('2029'!$A:$Z,(5+50*((N('My Rota'!$D$6)+0)-1))+2+9,10),INDEX('2030'!$A:$Z,(5+50*((N('My Rota'!$D$6)+0)-1))+2+9,10)))</f>
        <v/>
      </c>
      <c r="K208">
        <f>IF(OR($B208="",(N('My Rota'!$D$6)+0)&gt;53),"",""&amp;CHOOSE(IFERROR(MATCH('My Rota'!$D$5,Setup!$K$33:$K$36,0),1),INDEX('2027'!$A:$Z,(5+50*((N('My Rota'!$D$6)+0)-1))+2+9,11),INDEX('2028'!$A:$Z,(5+50*((N('My Rota'!$D$6)+0)-1))+2+9,11),INDEX('2029'!$A:$Z,(5+50*((N('My Rota'!$D$6)+0)-1))+2+9,11),INDEX('2030'!$A:$Z,(5+50*((N('My Rota'!$D$6)+0)-1))+2+9,11)))</f>
        <v/>
      </c>
      <c r="L208">
        <f>IF(OR($B208="",(N('My Rota'!$D$6)+0)&gt;53),"",""&amp;CHOOSE(IFERROR(MATCH('My Rota'!$D$5,Setup!$K$33:$K$36,0),1),INDEX('2027'!$A:$Z,(5+50*((N('My Rota'!$D$6)+0)-1))+2+9,12),INDEX('2028'!$A:$Z,(5+50*((N('My Rota'!$D$6)+0)-1))+2+9,12),INDEX('2029'!$A:$Z,(5+50*((N('My Rota'!$D$6)+0)-1))+2+9,12),INDEX('2030'!$A:$Z,(5+50*((N('My Rota'!$D$6)+0)-1))+2+9,12)))</f>
        <v/>
      </c>
      <c r="M208">
        <f>IF(OR($B208="",(N('My Rota'!$D$6)+0)&gt;53),"",""&amp;CHOOSE(IFERROR(MATCH('My Rota'!$D$5,Setup!$K$33:$K$36,0),1),INDEX('2027'!$A:$Z,(5+50*((N('My Rota'!$D$6)+0)-1))+2+9,13),INDEX('2028'!$A:$Z,(5+50*((N('My Rota'!$D$6)+0)-1))+2+9,13),INDEX('2029'!$A:$Z,(5+50*((N('My Rota'!$D$6)+0)-1))+2+9,13),INDEX('2030'!$A:$Z,(5+50*((N('My Rota'!$D$6)+0)-1))+2+9,13)))</f>
        <v/>
      </c>
      <c r="N208">
        <f>IF(OR($B208="",(N('My Rota'!$D$6)+0)&gt;53),"",""&amp;CHOOSE(IFERROR(MATCH('My Rota'!$D$5,Setup!$K$33:$K$36,0),1),INDEX('2027'!$A:$Z,(5+50*((N('My Rota'!$D$6)+0)-1))+2+9,14),INDEX('2028'!$A:$Z,(5+50*((N('My Rota'!$D$6)+0)-1))+2+9,14),INDEX('2029'!$A:$Z,(5+50*((N('My Rota'!$D$6)+0)-1))+2+9,14),INDEX('2030'!$A:$Z,(5+50*((N('My Rota'!$D$6)+0)-1))+2+9,14)))</f>
        <v/>
      </c>
      <c r="O208">
        <f>IF(OR($B208="",(N('My Rota'!$D$6)+0)&gt;53),"",""&amp;CHOOSE(IFERROR(MATCH('My Rota'!$D$5,Setup!$K$33:$K$36,0),1),INDEX('2027'!$A:$Z,(5+50*((N('My Rota'!$D$6)+0)-1))+2+9,15),INDEX('2028'!$A:$Z,(5+50*((N('My Rota'!$D$6)+0)-1))+2+9,15),INDEX('2029'!$A:$Z,(5+50*((N('My Rota'!$D$6)+0)-1))+2+9,15),INDEX('2030'!$A:$Z,(5+50*((N('My Rota'!$D$6)+0)-1))+2+9,15)))</f>
        <v/>
      </c>
      <c r="P208">
        <f>IF(OR($B208="",(N('My Rota'!$D$6)+0)&gt;53),"",""&amp;CHOOSE(IFERROR(MATCH('My Rota'!$D$5,Setup!$K$33:$K$36,0),1),INDEX('2027'!$A:$Z,(5+50*((N('My Rota'!$D$6)+0)-1))+2+9,16),INDEX('2028'!$A:$Z,(5+50*((N('My Rota'!$D$6)+0)-1))+2+9,16),INDEX('2029'!$A:$Z,(5+50*((N('My Rota'!$D$6)+0)-1))+2+9,16),INDEX('2030'!$A:$Z,(5+50*((N('My Rota'!$D$6)+0)-1))+2+9,16)))</f>
        <v/>
      </c>
      <c r="Q208">
        <f>IF(OR($B208="",(N('My Rota'!$D$6)+0)&gt;53),"",""&amp;CHOOSE(IFERROR(MATCH('My Rota'!$D$5,Setup!$K$33:$K$36,0),1),INDEX('2027'!$A:$Z,(5+50*((N('My Rota'!$D$6)+0)-1))+2+9,17),INDEX('2028'!$A:$Z,(5+50*((N('My Rota'!$D$6)+0)-1))+2+9,17),INDEX('2029'!$A:$Z,(5+50*((N('My Rota'!$D$6)+0)-1))+2+9,17),INDEX('2030'!$A:$Z,(5+50*((N('My Rota'!$D$6)+0)-1))+2+9,17)))</f>
        <v/>
      </c>
      <c r="R208">
        <f>IF(OR($B208="",(N('My Rota'!$D$6)+0)&gt;53),"",""&amp;CHOOSE(IFERROR(MATCH('My Rota'!$D$5,Setup!$K$33:$K$36,0),1),INDEX('2027'!$A:$Z,(5+50*((N('My Rota'!$D$6)+0)-1))+2+9,18),INDEX('2028'!$A:$Z,(5+50*((N('My Rota'!$D$6)+0)-1))+2+9,18),INDEX('2029'!$A:$Z,(5+50*((N('My Rota'!$D$6)+0)-1))+2+9,18),INDEX('2030'!$A:$Z,(5+50*((N('My Rota'!$D$6)+0)-1))+2+9,18)))</f>
        <v/>
      </c>
      <c r="S208">
        <f>IF(OR($B208="",(N('My Rota'!$D$6)+0)&gt;53),"",""&amp;CHOOSE(IFERROR(MATCH('My Rota'!$D$5,Setup!$K$33:$K$36,0),1),INDEX('2027'!$A:$Z,(5+50*((N('My Rota'!$D$6)+0)-1))+2+9,19),INDEX('2028'!$A:$Z,(5+50*((N('My Rota'!$D$6)+0)-1))+2+9,19),INDEX('2029'!$A:$Z,(5+50*((N('My Rota'!$D$6)+0)-1))+2+9,19),INDEX('2030'!$A:$Z,(5+50*((N('My Rota'!$D$6)+0)-1))+2+9,19)))</f>
        <v/>
      </c>
      <c r="T208">
        <f>IF(OR($B208="",(N('My Rota'!$D$6)+0)&gt;53),"",""&amp;CHOOSE(IFERROR(MATCH('My Rota'!$D$5,Setup!$K$33:$K$36,0),1),INDEX('2027'!$A:$Z,(5+50*((N('My Rota'!$D$6)+0)-1))+2+9,20),INDEX('2028'!$A:$Z,(5+50*((N('My Rota'!$D$6)+0)-1))+2+9,20),INDEX('2029'!$A:$Z,(5+50*((N('My Rota'!$D$6)+0)-1))+2+9,20),INDEX('2030'!$A:$Z,(5+50*((N('My Rota'!$D$6)+0)-1))+2+9,20)))</f>
        <v/>
      </c>
      <c r="U208">
        <f>IF(OR($B208="",(N('My Rota'!$D$6)+0)&gt;53),"",""&amp;CHOOSE(IFERROR(MATCH('My Rota'!$D$5,Setup!$K$33:$K$36,0),1),INDEX('2027'!$A:$Z,(5+50*((N('My Rota'!$D$6)+0)-1))+2+9,21),INDEX('2028'!$A:$Z,(5+50*((N('My Rota'!$D$6)+0)-1))+2+9,21),INDEX('2029'!$A:$Z,(5+50*((N('My Rota'!$D$6)+0)-1))+2+9,21),INDEX('2030'!$A:$Z,(5+50*((N('My Rota'!$D$6)+0)-1))+2+9,21)))</f>
        <v/>
      </c>
      <c r="V208">
        <f>IF(OR($B208="",(N('My Rota'!$D$6)+0)&gt;53),"",""&amp;CHOOSE(IFERROR(MATCH('My Rota'!$D$5,Setup!$K$33:$K$36,0),1),INDEX('2027'!$A:$Z,(5+50*((N('My Rota'!$D$6)+0)-1))+2+9,22),INDEX('2028'!$A:$Z,(5+50*((N('My Rota'!$D$6)+0)-1))+2+9,22),INDEX('2029'!$A:$Z,(5+50*((N('My Rota'!$D$6)+0)-1))+2+9,22),INDEX('2030'!$A:$Z,(5+50*((N('My Rota'!$D$6)+0)-1))+2+9,22)))</f>
        <v/>
      </c>
      <c r="W208">
        <f>IF(OR($B208="",(N('My Rota'!$D$6)+0)&gt;53),"",""&amp;CHOOSE(IFERROR(MATCH('My Rota'!$D$5,Setup!$K$33:$K$36,0),1),INDEX('2027'!$A:$Z,(5+50*((N('My Rota'!$D$6)+0)-1))+2+9,23),INDEX('2028'!$A:$Z,(5+50*((N('My Rota'!$D$6)+0)-1))+2+9,23),INDEX('2029'!$A:$Z,(5+50*((N('My Rota'!$D$6)+0)-1))+2+9,23),INDEX('2030'!$A:$Z,(5+50*((N('My Rota'!$D$6)+0)-1))+2+9,23)))</f>
        <v/>
      </c>
      <c r="X208">
        <f>IF(OR($B208="",(N('My Rota'!$D$6)+0)&gt;53),"",""&amp;CHOOSE(IFERROR(MATCH('My Rota'!$D$5,Setup!$K$33:$K$36,0),1),INDEX('2027'!$A:$Z,(5+50*((N('My Rota'!$D$6)+0)-1))+2+9,24),INDEX('2028'!$A:$Z,(5+50*((N('My Rota'!$D$6)+0)-1))+2+9,24),INDEX('2029'!$A:$Z,(5+50*((N('My Rota'!$D$6)+0)-1))+2+9,24),INDEX('2030'!$A:$Z,(5+50*((N('My Rota'!$D$6)+0)-1))+2+9,24)))</f>
        <v/>
      </c>
      <c r="Y208">
        <f>IF(OR($B208="",(N('My Rota'!$D$6)+0)&gt;53),"",""&amp;CHOOSE(IFERROR(MATCH('My Rota'!$D$5,Setup!$K$33:$K$36,0),1),INDEX('2027'!$A:$Z,(5+50*((N('My Rota'!$D$6)+0)-1))+2+9,25),INDEX('2028'!$A:$Z,(5+50*((N('My Rota'!$D$6)+0)-1))+2+9,25),INDEX('2029'!$A:$Z,(5+50*((N('My Rota'!$D$6)+0)-1))+2+9,25),INDEX('2030'!$A:$Z,(5+50*((N('My Rota'!$D$6)+0)-1))+2+9,25)))</f>
        <v/>
      </c>
      <c r="Z208">
        <f>IF(OR($B208="",(N('My Rota'!$D$6)+0)&gt;53),"",""&amp;CHOOSE(IFERROR(MATCH('My Rota'!$D$5,Setup!$K$33:$K$36,0),1),INDEX('2027'!$A:$Z,(5+50*((N('My Rota'!$D$6)+0)-1))+2+9,26),INDEX('2028'!$A:$Z,(5+50*((N('My Rota'!$D$6)+0)-1))+2+9,26),INDEX('2029'!$A:$Z,(5+50*((N('My Rota'!$D$6)+0)-1))+2+9,26),INDEX('2030'!$A:$Z,(5+50*((N('My Rota'!$D$6)+0)-1))+2+9,26)))</f>
        <v/>
      </c>
    </row>
    <row r="209">
      <c r="A209" t="n">
        <v>1</v>
      </c>
      <c r="B209">
        <f>$B$56</f>
        <v/>
      </c>
      <c r="C209">
        <f>IF(OR($B209="",(N('My Rota'!$D$6)+0)&gt;53),"",""&amp;CHOOSE(IFERROR(MATCH('My Rota'!$D$5,Setup!$K$33:$K$36,0),1),INDEX('2027'!$A:$Z,(5+50*((N('My Rota'!$D$6)+0)-1))+2+10,3),INDEX('2028'!$A:$Z,(5+50*((N('My Rota'!$D$6)+0)-1))+2+10,3),INDEX('2029'!$A:$Z,(5+50*((N('My Rota'!$D$6)+0)-1))+2+10,3),INDEX('2030'!$A:$Z,(5+50*((N('My Rota'!$D$6)+0)-1))+2+10,3)))</f>
        <v/>
      </c>
      <c r="D209">
        <f>IF(OR($B209="",(N('My Rota'!$D$6)+0)&gt;53),"",""&amp;CHOOSE(IFERROR(MATCH('My Rota'!$D$5,Setup!$K$33:$K$36,0),1),INDEX('2027'!$A:$Z,(5+50*((N('My Rota'!$D$6)+0)-1))+2+10,4),INDEX('2028'!$A:$Z,(5+50*((N('My Rota'!$D$6)+0)-1))+2+10,4),INDEX('2029'!$A:$Z,(5+50*((N('My Rota'!$D$6)+0)-1))+2+10,4),INDEX('2030'!$A:$Z,(5+50*((N('My Rota'!$D$6)+0)-1))+2+10,4)))</f>
        <v/>
      </c>
      <c r="E209">
        <f>IF(OR($B209="",(N('My Rota'!$D$6)+0)&gt;53),"",""&amp;CHOOSE(IFERROR(MATCH('My Rota'!$D$5,Setup!$K$33:$K$36,0),1),INDEX('2027'!$A:$Z,(5+50*((N('My Rota'!$D$6)+0)-1))+2+10,5),INDEX('2028'!$A:$Z,(5+50*((N('My Rota'!$D$6)+0)-1))+2+10,5),INDEX('2029'!$A:$Z,(5+50*((N('My Rota'!$D$6)+0)-1))+2+10,5),INDEX('2030'!$A:$Z,(5+50*((N('My Rota'!$D$6)+0)-1))+2+10,5)))</f>
        <v/>
      </c>
      <c r="F209">
        <f>IF(OR($B209="",(N('My Rota'!$D$6)+0)&gt;53),"",""&amp;CHOOSE(IFERROR(MATCH('My Rota'!$D$5,Setup!$K$33:$K$36,0),1),INDEX('2027'!$A:$Z,(5+50*((N('My Rota'!$D$6)+0)-1))+2+10,6),INDEX('2028'!$A:$Z,(5+50*((N('My Rota'!$D$6)+0)-1))+2+10,6),INDEX('2029'!$A:$Z,(5+50*((N('My Rota'!$D$6)+0)-1))+2+10,6),INDEX('2030'!$A:$Z,(5+50*((N('My Rota'!$D$6)+0)-1))+2+10,6)))</f>
        <v/>
      </c>
      <c r="G209">
        <f>IF(OR($B209="",(N('My Rota'!$D$6)+0)&gt;53),"",""&amp;CHOOSE(IFERROR(MATCH('My Rota'!$D$5,Setup!$K$33:$K$36,0),1),INDEX('2027'!$A:$Z,(5+50*((N('My Rota'!$D$6)+0)-1))+2+10,7),INDEX('2028'!$A:$Z,(5+50*((N('My Rota'!$D$6)+0)-1))+2+10,7),INDEX('2029'!$A:$Z,(5+50*((N('My Rota'!$D$6)+0)-1))+2+10,7),INDEX('2030'!$A:$Z,(5+50*((N('My Rota'!$D$6)+0)-1))+2+10,7)))</f>
        <v/>
      </c>
      <c r="H209">
        <f>IF(OR($B209="",(N('My Rota'!$D$6)+0)&gt;53),"",""&amp;CHOOSE(IFERROR(MATCH('My Rota'!$D$5,Setup!$K$33:$K$36,0),1),INDEX('2027'!$A:$Z,(5+50*((N('My Rota'!$D$6)+0)-1))+2+10,8),INDEX('2028'!$A:$Z,(5+50*((N('My Rota'!$D$6)+0)-1))+2+10,8),INDEX('2029'!$A:$Z,(5+50*((N('My Rota'!$D$6)+0)-1))+2+10,8),INDEX('2030'!$A:$Z,(5+50*((N('My Rota'!$D$6)+0)-1))+2+10,8)))</f>
        <v/>
      </c>
      <c r="I209">
        <f>IF(OR($B209="",(N('My Rota'!$D$6)+0)&gt;53),"",""&amp;CHOOSE(IFERROR(MATCH('My Rota'!$D$5,Setup!$K$33:$K$36,0),1),INDEX('2027'!$A:$Z,(5+50*((N('My Rota'!$D$6)+0)-1))+2+10,9),INDEX('2028'!$A:$Z,(5+50*((N('My Rota'!$D$6)+0)-1))+2+10,9),INDEX('2029'!$A:$Z,(5+50*((N('My Rota'!$D$6)+0)-1))+2+10,9),INDEX('2030'!$A:$Z,(5+50*((N('My Rota'!$D$6)+0)-1))+2+10,9)))</f>
        <v/>
      </c>
      <c r="J209">
        <f>IF(OR($B209="",(N('My Rota'!$D$6)+0)&gt;53),"",""&amp;CHOOSE(IFERROR(MATCH('My Rota'!$D$5,Setup!$K$33:$K$36,0),1),INDEX('2027'!$A:$Z,(5+50*((N('My Rota'!$D$6)+0)-1))+2+10,10),INDEX('2028'!$A:$Z,(5+50*((N('My Rota'!$D$6)+0)-1))+2+10,10),INDEX('2029'!$A:$Z,(5+50*((N('My Rota'!$D$6)+0)-1))+2+10,10),INDEX('2030'!$A:$Z,(5+50*((N('My Rota'!$D$6)+0)-1))+2+10,10)))</f>
        <v/>
      </c>
      <c r="K209">
        <f>IF(OR($B209="",(N('My Rota'!$D$6)+0)&gt;53),"",""&amp;CHOOSE(IFERROR(MATCH('My Rota'!$D$5,Setup!$K$33:$K$36,0),1),INDEX('2027'!$A:$Z,(5+50*((N('My Rota'!$D$6)+0)-1))+2+10,11),INDEX('2028'!$A:$Z,(5+50*((N('My Rota'!$D$6)+0)-1))+2+10,11),INDEX('2029'!$A:$Z,(5+50*((N('My Rota'!$D$6)+0)-1))+2+10,11),INDEX('2030'!$A:$Z,(5+50*((N('My Rota'!$D$6)+0)-1))+2+10,11)))</f>
        <v/>
      </c>
      <c r="L209">
        <f>IF(OR($B209="",(N('My Rota'!$D$6)+0)&gt;53),"",""&amp;CHOOSE(IFERROR(MATCH('My Rota'!$D$5,Setup!$K$33:$K$36,0),1),INDEX('2027'!$A:$Z,(5+50*((N('My Rota'!$D$6)+0)-1))+2+10,12),INDEX('2028'!$A:$Z,(5+50*((N('My Rota'!$D$6)+0)-1))+2+10,12),INDEX('2029'!$A:$Z,(5+50*((N('My Rota'!$D$6)+0)-1))+2+10,12),INDEX('2030'!$A:$Z,(5+50*((N('My Rota'!$D$6)+0)-1))+2+10,12)))</f>
        <v/>
      </c>
      <c r="M209">
        <f>IF(OR($B209="",(N('My Rota'!$D$6)+0)&gt;53),"",""&amp;CHOOSE(IFERROR(MATCH('My Rota'!$D$5,Setup!$K$33:$K$36,0),1),INDEX('2027'!$A:$Z,(5+50*((N('My Rota'!$D$6)+0)-1))+2+10,13),INDEX('2028'!$A:$Z,(5+50*((N('My Rota'!$D$6)+0)-1))+2+10,13),INDEX('2029'!$A:$Z,(5+50*((N('My Rota'!$D$6)+0)-1))+2+10,13),INDEX('2030'!$A:$Z,(5+50*((N('My Rota'!$D$6)+0)-1))+2+10,13)))</f>
        <v/>
      </c>
      <c r="N209">
        <f>IF(OR($B209="",(N('My Rota'!$D$6)+0)&gt;53),"",""&amp;CHOOSE(IFERROR(MATCH('My Rota'!$D$5,Setup!$K$33:$K$36,0),1),INDEX('2027'!$A:$Z,(5+50*((N('My Rota'!$D$6)+0)-1))+2+10,14),INDEX('2028'!$A:$Z,(5+50*((N('My Rota'!$D$6)+0)-1))+2+10,14),INDEX('2029'!$A:$Z,(5+50*((N('My Rota'!$D$6)+0)-1))+2+10,14),INDEX('2030'!$A:$Z,(5+50*((N('My Rota'!$D$6)+0)-1))+2+10,14)))</f>
        <v/>
      </c>
      <c r="O209">
        <f>IF(OR($B209="",(N('My Rota'!$D$6)+0)&gt;53),"",""&amp;CHOOSE(IFERROR(MATCH('My Rota'!$D$5,Setup!$K$33:$K$36,0),1),INDEX('2027'!$A:$Z,(5+50*((N('My Rota'!$D$6)+0)-1))+2+10,15),INDEX('2028'!$A:$Z,(5+50*((N('My Rota'!$D$6)+0)-1))+2+10,15),INDEX('2029'!$A:$Z,(5+50*((N('My Rota'!$D$6)+0)-1))+2+10,15),INDEX('2030'!$A:$Z,(5+50*((N('My Rota'!$D$6)+0)-1))+2+10,15)))</f>
        <v/>
      </c>
      <c r="P209">
        <f>IF(OR($B209="",(N('My Rota'!$D$6)+0)&gt;53),"",""&amp;CHOOSE(IFERROR(MATCH('My Rota'!$D$5,Setup!$K$33:$K$36,0),1),INDEX('2027'!$A:$Z,(5+50*((N('My Rota'!$D$6)+0)-1))+2+10,16),INDEX('2028'!$A:$Z,(5+50*((N('My Rota'!$D$6)+0)-1))+2+10,16),INDEX('2029'!$A:$Z,(5+50*((N('My Rota'!$D$6)+0)-1))+2+10,16),INDEX('2030'!$A:$Z,(5+50*((N('My Rota'!$D$6)+0)-1))+2+10,16)))</f>
        <v/>
      </c>
      <c r="Q209">
        <f>IF(OR($B209="",(N('My Rota'!$D$6)+0)&gt;53),"",""&amp;CHOOSE(IFERROR(MATCH('My Rota'!$D$5,Setup!$K$33:$K$36,0),1),INDEX('2027'!$A:$Z,(5+50*((N('My Rota'!$D$6)+0)-1))+2+10,17),INDEX('2028'!$A:$Z,(5+50*((N('My Rota'!$D$6)+0)-1))+2+10,17),INDEX('2029'!$A:$Z,(5+50*((N('My Rota'!$D$6)+0)-1))+2+10,17),INDEX('2030'!$A:$Z,(5+50*((N('My Rota'!$D$6)+0)-1))+2+10,17)))</f>
        <v/>
      </c>
      <c r="R209">
        <f>IF(OR($B209="",(N('My Rota'!$D$6)+0)&gt;53),"",""&amp;CHOOSE(IFERROR(MATCH('My Rota'!$D$5,Setup!$K$33:$K$36,0),1),INDEX('2027'!$A:$Z,(5+50*((N('My Rota'!$D$6)+0)-1))+2+10,18),INDEX('2028'!$A:$Z,(5+50*((N('My Rota'!$D$6)+0)-1))+2+10,18),INDEX('2029'!$A:$Z,(5+50*((N('My Rota'!$D$6)+0)-1))+2+10,18),INDEX('2030'!$A:$Z,(5+50*((N('My Rota'!$D$6)+0)-1))+2+10,18)))</f>
        <v/>
      </c>
      <c r="S209">
        <f>IF(OR($B209="",(N('My Rota'!$D$6)+0)&gt;53),"",""&amp;CHOOSE(IFERROR(MATCH('My Rota'!$D$5,Setup!$K$33:$K$36,0),1),INDEX('2027'!$A:$Z,(5+50*((N('My Rota'!$D$6)+0)-1))+2+10,19),INDEX('2028'!$A:$Z,(5+50*((N('My Rota'!$D$6)+0)-1))+2+10,19),INDEX('2029'!$A:$Z,(5+50*((N('My Rota'!$D$6)+0)-1))+2+10,19),INDEX('2030'!$A:$Z,(5+50*((N('My Rota'!$D$6)+0)-1))+2+10,19)))</f>
        <v/>
      </c>
      <c r="T209">
        <f>IF(OR($B209="",(N('My Rota'!$D$6)+0)&gt;53),"",""&amp;CHOOSE(IFERROR(MATCH('My Rota'!$D$5,Setup!$K$33:$K$36,0),1),INDEX('2027'!$A:$Z,(5+50*((N('My Rota'!$D$6)+0)-1))+2+10,20),INDEX('2028'!$A:$Z,(5+50*((N('My Rota'!$D$6)+0)-1))+2+10,20),INDEX('2029'!$A:$Z,(5+50*((N('My Rota'!$D$6)+0)-1))+2+10,20),INDEX('2030'!$A:$Z,(5+50*((N('My Rota'!$D$6)+0)-1))+2+10,20)))</f>
        <v/>
      </c>
      <c r="U209">
        <f>IF(OR($B209="",(N('My Rota'!$D$6)+0)&gt;53),"",""&amp;CHOOSE(IFERROR(MATCH('My Rota'!$D$5,Setup!$K$33:$K$36,0),1),INDEX('2027'!$A:$Z,(5+50*((N('My Rota'!$D$6)+0)-1))+2+10,21),INDEX('2028'!$A:$Z,(5+50*((N('My Rota'!$D$6)+0)-1))+2+10,21),INDEX('2029'!$A:$Z,(5+50*((N('My Rota'!$D$6)+0)-1))+2+10,21),INDEX('2030'!$A:$Z,(5+50*((N('My Rota'!$D$6)+0)-1))+2+10,21)))</f>
        <v/>
      </c>
      <c r="V209">
        <f>IF(OR($B209="",(N('My Rota'!$D$6)+0)&gt;53),"",""&amp;CHOOSE(IFERROR(MATCH('My Rota'!$D$5,Setup!$K$33:$K$36,0),1),INDEX('2027'!$A:$Z,(5+50*((N('My Rota'!$D$6)+0)-1))+2+10,22),INDEX('2028'!$A:$Z,(5+50*((N('My Rota'!$D$6)+0)-1))+2+10,22),INDEX('2029'!$A:$Z,(5+50*((N('My Rota'!$D$6)+0)-1))+2+10,22),INDEX('2030'!$A:$Z,(5+50*((N('My Rota'!$D$6)+0)-1))+2+10,22)))</f>
        <v/>
      </c>
      <c r="W209">
        <f>IF(OR($B209="",(N('My Rota'!$D$6)+0)&gt;53),"",""&amp;CHOOSE(IFERROR(MATCH('My Rota'!$D$5,Setup!$K$33:$K$36,0),1),INDEX('2027'!$A:$Z,(5+50*((N('My Rota'!$D$6)+0)-1))+2+10,23),INDEX('2028'!$A:$Z,(5+50*((N('My Rota'!$D$6)+0)-1))+2+10,23),INDEX('2029'!$A:$Z,(5+50*((N('My Rota'!$D$6)+0)-1))+2+10,23),INDEX('2030'!$A:$Z,(5+50*((N('My Rota'!$D$6)+0)-1))+2+10,23)))</f>
        <v/>
      </c>
      <c r="X209">
        <f>IF(OR($B209="",(N('My Rota'!$D$6)+0)&gt;53),"",""&amp;CHOOSE(IFERROR(MATCH('My Rota'!$D$5,Setup!$K$33:$K$36,0),1),INDEX('2027'!$A:$Z,(5+50*((N('My Rota'!$D$6)+0)-1))+2+10,24),INDEX('2028'!$A:$Z,(5+50*((N('My Rota'!$D$6)+0)-1))+2+10,24),INDEX('2029'!$A:$Z,(5+50*((N('My Rota'!$D$6)+0)-1))+2+10,24),INDEX('2030'!$A:$Z,(5+50*((N('My Rota'!$D$6)+0)-1))+2+10,24)))</f>
        <v/>
      </c>
      <c r="Y209">
        <f>IF(OR($B209="",(N('My Rota'!$D$6)+0)&gt;53),"",""&amp;CHOOSE(IFERROR(MATCH('My Rota'!$D$5,Setup!$K$33:$K$36,0),1),INDEX('2027'!$A:$Z,(5+50*((N('My Rota'!$D$6)+0)-1))+2+10,25),INDEX('2028'!$A:$Z,(5+50*((N('My Rota'!$D$6)+0)-1))+2+10,25),INDEX('2029'!$A:$Z,(5+50*((N('My Rota'!$D$6)+0)-1))+2+10,25),INDEX('2030'!$A:$Z,(5+50*((N('My Rota'!$D$6)+0)-1))+2+10,25)))</f>
        <v/>
      </c>
      <c r="Z209">
        <f>IF(OR($B209="",(N('My Rota'!$D$6)+0)&gt;53),"",""&amp;CHOOSE(IFERROR(MATCH('My Rota'!$D$5,Setup!$K$33:$K$36,0),1),INDEX('2027'!$A:$Z,(5+50*((N('My Rota'!$D$6)+0)-1))+2+10,26),INDEX('2028'!$A:$Z,(5+50*((N('My Rota'!$D$6)+0)-1))+2+10,26),INDEX('2029'!$A:$Z,(5+50*((N('My Rota'!$D$6)+0)-1))+2+10,26),INDEX('2030'!$A:$Z,(5+50*((N('My Rota'!$D$6)+0)-1))+2+10,26)))</f>
        <v/>
      </c>
    </row>
    <row r="210">
      <c r="A210" t="n">
        <v>1</v>
      </c>
      <c r="B210">
        <f>$B$57</f>
        <v/>
      </c>
      <c r="C210">
        <f>IF(OR($B210="",(N('My Rota'!$D$6)+0)&gt;53),"",""&amp;CHOOSE(IFERROR(MATCH('My Rota'!$D$5,Setup!$K$33:$K$36,0),1),INDEX('2027'!$A:$Z,(5+50*((N('My Rota'!$D$6)+0)-1))+2+11,3),INDEX('2028'!$A:$Z,(5+50*((N('My Rota'!$D$6)+0)-1))+2+11,3),INDEX('2029'!$A:$Z,(5+50*((N('My Rota'!$D$6)+0)-1))+2+11,3),INDEX('2030'!$A:$Z,(5+50*((N('My Rota'!$D$6)+0)-1))+2+11,3)))</f>
        <v/>
      </c>
      <c r="D210">
        <f>IF(OR($B210="",(N('My Rota'!$D$6)+0)&gt;53),"",""&amp;CHOOSE(IFERROR(MATCH('My Rota'!$D$5,Setup!$K$33:$K$36,0),1),INDEX('2027'!$A:$Z,(5+50*((N('My Rota'!$D$6)+0)-1))+2+11,4),INDEX('2028'!$A:$Z,(5+50*((N('My Rota'!$D$6)+0)-1))+2+11,4),INDEX('2029'!$A:$Z,(5+50*((N('My Rota'!$D$6)+0)-1))+2+11,4),INDEX('2030'!$A:$Z,(5+50*((N('My Rota'!$D$6)+0)-1))+2+11,4)))</f>
        <v/>
      </c>
      <c r="E210">
        <f>IF(OR($B210="",(N('My Rota'!$D$6)+0)&gt;53),"",""&amp;CHOOSE(IFERROR(MATCH('My Rota'!$D$5,Setup!$K$33:$K$36,0),1),INDEX('2027'!$A:$Z,(5+50*((N('My Rota'!$D$6)+0)-1))+2+11,5),INDEX('2028'!$A:$Z,(5+50*((N('My Rota'!$D$6)+0)-1))+2+11,5),INDEX('2029'!$A:$Z,(5+50*((N('My Rota'!$D$6)+0)-1))+2+11,5),INDEX('2030'!$A:$Z,(5+50*((N('My Rota'!$D$6)+0)-1))+2+11,5)))</f>
        <v/>
      </c>
      <c r="F210">
        <f>IF(OR($B210="",(N('My Rota'!$D$6)+0)&gt;53),"",""&amp;CHOOSE(IFERROR(MATCH('My Rota'!$D$5,Setup!$K$33:$K$36,0),1),INDEX('2027'!$A:$Z,(5+50*((N('My Rota'!$D$6)+0)-1))+2+11,6),INDEX('2028'!$A:$Z,(5+50*((N('My Rota'!$D$6)+0)-1))+2+11,6),INDEX('2029'!$A:$Z,(5+50*((N('My Rota'!$D$6)+0)-1))+2+11,6),INDEX('2030'!$A:$Z,(5+50*((N('My Rota'!$D$6)+0)-1))+2+11,6)))</f>
        <v/>
      </c>
      <c r="G210">
        <f>IF(OR($B210="",(N('My Rota'!$D$6)+0)&gt;53),"",""&amp;CHOOSE(IFERROR(MATCH('My Rota'!$D$5,Setup!$K$33:$K$36,0),1),INDEX('2027'!$A:$Z,(5+50*((N('My Rota'!$D$6)+0)-1))+2+11,7),INDEX('2028'!$A:$Z,(5+50*((N('My Rota'!$D$6)+0)-1))+2+11,7),INDEX('2029'!$A:$Z,(5+50*((N('My Rota'!$D$6)+0)-1))+2+11,7),INDEX('2030'!$A:$Z,(5+50*((N('My Rota'!$D$6)+0)-1))+2+11,7)))</f>
        <v/>
      </c>
      <c r="H210">
        <f>IF(OR($B210="",(N('My Rota'!$D$6)+0)&gt;53),"",""&amp;CHOOSE(IFERROR(MATCH('My Rota'!$D$5,Setup!$K$33:$K$36,0),1),INDEX('2027'!$A:$Z,(5+50*((N('My Rota'!$D$6)+0)-1))+2+11,8),INDEX('2028'!$A:$Z,(5+50*((N('My Rota'!$D$6)+0)-1))+2+11,8),INDEX('2029'!$A:$Z,(5+50*((N('My Rota'!$D$6)+0)-1))+2+11,8),INDEX('2030'!$A:$Z,(5+50*((N('My Rota'!$D$6)+0)-1))+2+11,8)))</f>
        <v/>
      </c>
      <c r="I210">
        <f>IF(OR($B210="",(N('My Rota'!$D$6)+0)&gt;53),"",""&amp;CHOOSE(IFERROR(MATCH('My Rota'!$D$5,Setup!$K$33:$K$36,0),1),INDEX('2027'!$A:$Z,(5+50*((N('My Rota'!$D$6)+0)-1))+2+11,9),INDEX('2028'!$A:$Z,(5+50*((N('My Rota'!$D$6)+0)-1))+2+11,9),INDEX('2029'!$A:$Z,(5+50*((N('My Rota'!$D$6)+0)-1))+2+11,9),INDEX('2030'!$A:$Z,(5+50*((N('My Rota'!$D$6)+0)-1))+2+11,9)))</f>
        <v/>
      </c>
      <c r="J210">
        <f>IF(OR($B210="",(N('My Rota'!$D$6)+0)&gt;53),"",""&amp;CHOOSE(IFERROR(MATCH('My Rota'!$D$5,Setup!$K$33:$K$36,0),1),INDEX('2027'!$A:$Z,(5+50*((N('My Rota'!$D$6)+0)-1))+2+11,10),INDEX('2028'!$A:$Z,(5+50*((N('My Rota'!$D$6)+0)-1))+2+11,10),INDEX('2029'!$A:$Z,(5+50*((N('My Rota'!$D$6)+0)-1))+2+11,10),INDEX('2030'!$A:$Z,(5+50*((N('My Rota'!$D$6)+0)-1))+2+11,10)))</f>
        <v/>
      </c>
      <c r="K210">
        <f>IF(OR($B210="",(N('My Rota'!$D$6)+0)&gt;53),"",""&amp;CHOOSE(IFERROR(MATCH('My Rota'!$D$5,Setup!$K$33:$K$36,0),1),INDEX('2027'!$A:$Z,(5+50*((N('My Rota'!$D$6)+0)-1))+2+11,11),INDEX('2028'!$A:$Z,(5+50*((N('My Rota'!$D$6)+0)-1))+2+11,11),INDEX('2029'!$A:$Z,(5+50*((N('My Rota'!$D$6)+0)-1))+2+11,11),INDEX('2030'!$A:$Z,(5+50*((N('My Rota'!$D$6)+0)-1))+2+11,11)))</f>
        <v/>
      </c>
      <c r="L210">
        <f>IF(OR($B210="",(N('My Rota'!$D$6)+0)&gt;53),"",""&amp;CHOOSE(IFERROR(MATCH('My Rota'!$D$5,Setup!$K$33:$K$36,0),1),INDEX('2027'!$A:$Z,(5+50*((N('My Rota'!$D$6)+0)-1))+2+11,12),INDEX('2028'!$A:$Z,(5+50*((N('My Rota'!$D$6)+0)-1))+2+11,12),INDEX('2029'!$A:$Z,(5+50*((N('My Rota'!$D$6)+0)-1))+2+11,12),INDEX('2030'!$A:$Z,(5+50*((N('My Rota'!$D$6)+0)-1))+2+11,12)))</f>
        <v/>
      </c>
      <c r="M210">
        <f>IF(OR($B210="",(N('My Rota'!$D$6)+0)&gt;53),"",""&amp;CHOOSE(IFERROR(MATCH('My Rota'!$D$5,Setup!$K$33:$K$36,0),1),INDEX('2027'!$A:$Z,(5+50*((N('My Rota'!$D$6)+0)-1))+2+11,13),INDEX('2028'!$A:$Z,(5+50*((N('My Rota'!$D$6)+0)-1))+2+11,13),INDEX('2029'!$A:$Z,(5+50*((N('My Rota'!$D$6)+0)-1))+2+11,13),INDEX('2030'!$A:$Z,(5+50*((N('My Rota'!$D$6)+0)-1))+2+11,13)))</f>
        <v/>
      </c>
      <c r="N210">
        <f>IF(OR($B210="",(N('My Rota'!$D$6)+0)&gt;53),"",""&amp;CHOOSE(IFERROR(MATCH('My Rota'!$D$5,Setup!$K$33:$K$36,0),1),INDEX('2027'!$A:$Z,(5+50*((N('My Rota'!$D$6)+0)-1))+2+11,14),INDEX('2028'!$A:$Z,(5+50*((N('My Rota'!$D$6)+0)-1))+2+11,14),INDEX('2029'!$A:$Z,(5+50*((N('My Rota'!$D$6)+0)-1))+2+11,14),INDEX('2030'!$A:$Z,(5+50*((N('My Rota'!$D$6)+0)-1))+2+11,14)))</f>
        <v/>
      </c>
      <c r="O210">
        <f>IF(OR($B210="",(N('My Rota'!$D$6)+0)&gt;53),"",""&amp;CHOOSE(IFERROR(MATCH('My Rota'!$D$5,Setup!$K$33:$K$36,0),1),INDEX('2027'!$A:$Z,(5+50*((N('My Rota'!$D$6)+0)-1))+2+11,15),INDEX('2028'!$A:$Z,(5+50*((N('My Rota'!$D$6)+0)-1))+2+11,15),INDEX('2029'!$A:$Z,(5+50*((N('My Rota'!$D$6)+0)-1))+2+11,15),INDEX('2030'!$A:$Z,(5+50*((N('My Rota'!$D$6)+0)-1))+2+11,15)))</f>
        <v/>
      </c>
      <c r="P210">
        <f>IF(OR($B210="",(N('My Rota'!$D$6)+0)&gt;53),"",""&amp;CHOOSE(IFERROR(MATCH('My Rota'!$D$5,Setup!$K$33:$K$36,0),1),INDEX('2027'!$A:$Z,(5+50*((N('My Rota'!$D$6)+0)-1))+2+11,16),INDEX('2028'!$A:$Z,(5+50*((N('My Rota'!$D$6)+0)-1))+2+11,16),INDEX('2029'!$A:$Z,(5+50*((N('My Rota'!$D$6)+0)-1))+2+11,16),INDEX('2030'!$A:$Z,(5+50*((N('My Rota'!$D$6)+0)-1))+2+11,16)))</f>
        <v/>
      </c>
      <c r="Q210">
        <f>IF(OR($B210="",(N('My Rota'!$D$6)+0)&gt;53),"",""&amp;CHOOSE(IFERROR(MATCH('My Rota'!$D$5,Setup!$K$33:$K$36,0),1),INDEX('2027'!$A:$Z,(5+50*((N('My Rota'!$D$6)+0)-1))+2+11,17),INDEX('2028'!$A:$Z,(5+50*((N('My Rota'!$D$6)+0)-1))+2+11,17),INDEX('2029'!$A:$Z,(5+50*((N('My Rota'!$D$6)+0)-1))+2+11,17),INDEX('2030'!$A:$Z,(5+50*((N('My Rota'!$D$6)+0)-1))+2+11,17)))</f>
        <v/>
      </c>
      <c r="R210">
        <f>IF(OR($B210="",(N('My Rota'!$D$6)+0)&gt;53),"",""&amp;CHOOSE(IFERROR(MATCH('My Rota'!$D$5,Setup!$K$33:$K$36,0),1),INDEX('2027'!$A:$Z,(5+50*((N('My Rota'!$D$6)+0)-1))+2+11,18),INDEX('2028'!$A:$Z,(5+50*((N('My Rota'!$D$6)+0)-1))+2+11,18),INDEX('2029'!$A:$Z,(5+50*((N('My Rota'!$D$6)+0)-1))+2+11,18),INDEX('2030'!$A:$Z,(5+50*((N('My Rota'!$D$6)+0)-1))+2+11,18)))</f>
        <v/>
      </c>
      <c r="S210">
        <f>IF(OR($B210="",(N('My Rota'!$D$6)+0)&gt;53),"",""&amp;CHOOSE(IFERROR(MATCH('My Rota'!$D$5,Setup!$K$33:$K$36,0),1),INDEX('2027'!$A:$Z,(5+50*((N('My Rota'!$D$6)+0)-1))+2+11,19),INDEX('2028'!$A:$Z,(5+50*((N('My Rota'!$D$6)+0)-1))+2+11,19),INDEX('2029'!$A:$Z,(5+50*((N('My Rota'!$D$6)+0)-1))+2+11,19),INDEX('2030'!$A:$Z,(5+50*((N('My Rota'!$D$6)+0)-1))+2+11,19)))</f>
        <v/>
      </c>
      <c r="T210">
        <f>IF(OR($B210="",(N('My Rota'!$D$6)+0)&gt;53),"",""&amp;CHOOSE(IFERROR(MATCH('My Rota'!$D$5,Setup!$K$33:$K$36,0),1),INDEX('2027'!$A:$Z,(5+50*((N('My Rota'!$D$6)+0)-1))+2+11,20),INDEX('2028'!$A:$Z,(5+50*((N('My Rota'!$D$6)+0)-1))+2+11,20),INDEX('2029'!$A:$Z,(5+50*((N('My Rota'!$D$6)+0)-1))+2+11,20),INDEX('2030'!$A:$Z,(5+50*((N('My Rota'!$D$6)+0)-1))+2+11,20)))</f>
        <v/>
      </c>
      <c r="U210">
        <f>IF(OR($B210="",(N('My Rota'!$D$6)+0)&gt;53),"",""&amp;CHOOSE(IFERROR(MATCH('My Rota'!$D$5,Setup!$K$33:$K$36,0),1),INDEX('2027'!$A:$Z,(5+50*((N('My Rota'!$D$6)+0)-1))+2+11,21),INDEX('2028'!$A:$Z,(5+50*((N('My Rota'!$D$6)+0)-1))+2+11,21),INDEX('2029'!$A:$Z,(5+50*((N('My Rota'!$D$6)+0)-1))+2+11,21),INDEX('2030'!$A:$Z,(5+50*((N('My Rota'!$D$6)+0)-1))+2+11,21)))</f>
        <v/>
      </c>
      <c r="V210">
        <f>IF(OR($B210="",(N('My Rota'!$D$6)+0)&gt;53),"",""&amp;CHOOSE(IFERROR(MATCH('My Rota'!$D$5,Setup!$K$33:$K$36,0),1),INDEX('2027'!$A:$Z,(5+50*((N('My Rota'!$D$6)+0)-1))+2+11,22),INDEX('2028'!$A:$Z,(5+50*((N('My Rota'!$D$6)+0)-1))+2+11,22),INDEX('2029'!$A:$Z,(5+50*((N('My Rota'!$D$6)+0)-1))+2+11,22),INDEX('2030'!$A:$Z,(5+50*((N('My Rota'!$D$6)+0)-1))+2+11,22)))</f>
        <v/>
      </c>
      <c r="W210">
        <f>IF(OR($B210="",(N('My Rota'!$D$6)+0)&gt;53),"",""&amp;CHOOSE(IFERROR(MATCH('My Rota'!$D$5,Setup!$K$33:$K$36,0),1),INDEX('2027'!$A:$Z,(5+50*((N('My Rota'!$D$6)+0)-1))+2+11,23),INDEX('2028'!$A:$Z,(5+50*((N('My Rota'!$D$6)+0)-1))+2+11,23),INDEX('2029'!$A:$Z,(5+50*((N('My Rota'!$D$6)+0)-1))+2+11,23),INDEX('2030'!$A:$Z,(5+50*((N('My Rota'!$D$6)+0)-1))+2+11,23)))</f>
        <v/>
      </c>
      <c r="X210">
        <f>IF(OR($B210="",(N('My Rota'!$D$6)+0)&gt;53),"",""&amp;CHOOSE(IFERROR(MATCH('My Rota'!$D$5,Setup!$K$33:$K$36,0),1),INDEX('2027'!$A:$Z,(5+50*((N('My Rota'!$D$6)+0)-1))+2+11,24),INDEX('2028'!$A:$Z,(5+50*((N('My Rota'!$D$6)+0)-1))+2+11,24),INDEX('2029'!$A:$Z,(5+50*((N('My Rota'!$D$6)+0)-1))+2+11,24),INDEX('2030'!$A:$Z,(5+50*((N('My Rota'!$D$6)+0)-1))+2+11,24)))</f>
        <v/>
      </c>
      <c r="Y210">
        <f>IF(OR($B210="",(N('My Rota'!$D$6)+0)&gt;53),"",""&amp;CHOOSE(IFERROR(MATCH('My Rota'!$D$5,Setup!$K$33:$K$36,0),1),INDEX('2027'!$A:$Z,(5+50*((N('My Rota'!$D$6)+0)-1))+2+11,25),INDEX('2028'!$A:$Z,(5+50*((N('My Rota'!$D$6)+0)-1))+2+11,25),INDEX('2029'!$A:$Z,(5+50*((N('My Rota'!$D$6)+0)-1))+2+11,25),INDEX('2030'!$A:$Z,(5+50*((N('My Rota'!$D$6)+0)-1))+2+11,25)))</f>
        <v/>
      </c>
      <c r="Z210">
        <f>IF(OR($B210="",(N('My Rota'!$D$6)+0)&gt;53),"",""&amp;CHOOSE(IFERROR(MATCH('My Rota'!$D$5,Setup!$K$33:$K$36,0),1),INDEX('2027'!$A:$Z,(5+50*((N('My Rota'!$D$6)+0)-1))+2+11,26),INDEX('2028'!$A:$Z,(5+50*((N('My Rota'!$D$6)+0)-1))+2+11,26),INDEX('2029'!$A:$Z,(5+50*((N('My Rota'!$D$6)+0)-1))+2+11,26),INDEX('2030'!$A:$Z,(5+50*((N('My Rota'!$D$6)+0)-1))+2+11,26)))</f>
        <v/>
      </c>
    </row>
    <row r="211">
      <c r="A211" t="n">
        <v>1</v>
      </c>
      <c r="B211">
        <f>$B$58</f>
        <v/>
      </c>
      <c r="C211">
        <f>IF(OR($B211="",(N('My Rota'!$D$6)+0)&gt;53),"",""&amp;CHOOSE(IFERROR(MATCH('My Rota'!$D$5,Setup!$K$33:$K$36,0),1),INDEX('2027'!$A:$Z,(5+50*((N('My Rota'!$D$6)+0)-1))+2+12,3),INDEX('2028'!$A:$Z,(5+50*((N('My Rota'!$D$6)+0)-1))+2+12,3),INDEX('2029'!$A:$Z,(5+50*((N('My Rota'!$D$6)+0)-1))+2+12,3),INDEX('2030'!$A:$Z,(5+50*((N('My Rota'!$D$6)+0)-1))+2+12,3)))</f>
        <v/>
      </c>
      <c r="D211">
        <f>IF(OR($B211="",(N('My Rota'!$D$6)+0)&gt;53),"",""&amp;CHOOSE(IFERROR(MATCH('My Rota'!$D$5,Setup!$K$33:$K$36,0),1),INDEX('2027'!$A:$Z,(5+50*((N('My Rota'!$D$6)+0)-1))+2+12,4),INDEX('2028'!$A:$Z,(5+50*((N('My Rota'!$D$6)+0)-1))+2+12,4),INDEX('2029'!$A:$Z,(5+50*((N('My Rota'!$D$6)+0)-1))+2+12,4),INDEX('2030'!$A:$Z,(5+50*((N('My Rota'!$D$6)+0)-1))+2+12,4)))</f>
        <v/>
      </c>
      <c r="E211">
        <f>IF(OR($B211="",(N('My Rota'!$D$6)+0)&gt;53),"",""&amp;CHOOSE(IFERROR(MATCH('My Rota'!$D$5,Setup!$K$33:$K$36,0),1),INDEX('2027'!$A:$Z,(5+50*((N('My Rota'!$D$6)+0)-1))+2+12,5),INDEX('2028'!$A:$Z,(5+50*((N('My Rota'!$D$6)+0)-1))+2+12,5),INDEX('2029'!$A:$Z,(5+50*((N('My Rota'!$D$6)+0)-1))+2+12,5),INDEX('2030'!$A:$Z,(5+50*((N('My Rota'!$D$6)+0)-1))+2+12,5)))</f>
        <v/>
      </c>
      <c r="F211">
        <f>IF(OR($B211="",(N('My Rota'!$D$6)+0)&gt;53),"",""&amp;CHOOSE(IFERROR(MATCH('My Rota'!$D$5,Setup!$K$33:$K$36,0),1),INDEX('2027'!$A:$Z,(5+50*((N('My Rota'!$D$6)+0)-1))+2+12,6),INDEX('2028'!$A:$Z,(5+50*((N('My Rota'!$D$6)+0)-1))+2+12,6),INDEX('2029'!$A:$Z,(5+50*((N('My Rota'!$D$6)+0)-1))+2+12,6),INDEX('2030'!$A:$Z,(5+50*((N('My Rota'!$D$6)+0)-1))+2+12,6)))</f>
        <v/>
      </c>
      <c r="G211">
        <f>IF(OR($B211="",(N('My Rota'!$D$6)+0)&gt;53),"",""&amp;CHOOSE(IFERROR(MATCH('My Rota'!$D$5,Setup!$K$33:$K$36,0),1),INDEX('2027'!$A:$Z,(5+50*((N('My Rota'!$D$6)+0)-1))+2+12,7),INDEX('2028'!$A:$Z,(5+50*((N('My Rota'!$D$6)+0)-1))+2+12,7),INDEX('2029'!$A:$Z,(5+50*((N('My Rota'!$D$6)+0)-1))+2+12,7),INDEX('2030'!$A:$Z,(5+50*((N('My Rota'!$D$6)+0)-1))+2+12,7)))</f>
        <v/>
      </c>
      <c r="H211">
        <f>IF(OR($B211="",(N('My Rota'!$D$6)+0)&gt;53),"",""&amp;CHOOSE(IFERROR(MATCH('My Rota'!$D$5,Setup!$K$33:$K$36,0),1),INDEX('2027'!$A:$Z,(5+50*((N('My Rota'!$D$6)+0)-1))+2+12,8),INDEX('2028'!$A:$Z,(5+50*((N('My Rota'!$D$6)+0)-1))+2+12,8),INDEX('2029'!$A:$Z,(5+50*((N('My Rota'!$D$6)+0)-1))+2+12,8),INDEX('2030'!$A:$Z,(5+50*((N('My Rota'!$D$6)+0)-1))+2+12,8)))</f>
        <v/>
      </c>
      <c r="I211">
        <f>IF(OR($B211="",(N('My Rota'!$D$6)+0)&gt;53),"",""&amp;CHOOSE(IFERROR(MATCH('My Rota'!$D$5,Setup!$K$33:$K$36,0),1),INDEX('2027'!$A:$Z,(5+50*((N('My Rota'!$D$6)+0)-1))+2+12,9),INDEX('2028'!$A:$Z,(5+50*((N('My Rota'!$D$6)+0)-1))+2+12,9),INDEX('2029'!$A:$Z,(5+50*((N('My Rota'!$D$6)+0)-1))+2+12,9),INDEX('2030'!$A:$Z,(5+50*((N('My Rota'!$D$6)+0)-1))+2+12,9)))</f>
        <v/>
      </c>
      <c r="J211">
        <f>IF(OR($B211="",(N('My Rota'!$D$6)+0)&gt;53),"",""&amp;CHOOSE(IFERROR(MATCH('My Rota'!$D$5,Setup!$K$33:$K$36,0),1),INDEX('2027'!$A:$Z,(5+50*((N('My Rota'!$D$6)+0)-1))+2+12,10),INDEX('2028'!$A:$Z,(5+50*((N('My Rota'!$D$6)+0)-1))+2+12,10),INDEX('2029'!$A:$Z,(5+50*((N('My Rota'!$D$6)+0)-1))+2+12,10),INDEX('2030'!$A:$Z,(5+50*((N('My Rota'!$D$6)+0)-1))+2+12,10)))</f>
        <v/>
      </c>
      <c r="K211">
        <f>IF(OR($B211="",(N('My Rota'!$D$6)+0)&gt;53),"",""&amp;CHOOSE(IFERROR(MATCH('My Rota'!$D$5,Setup!$K$33:$K$36,0),1),INDEX('2027'!$A:$Z,(5+50*((N('My Rota'!$D$6)+0)-1))+2+12,11),INDEX('2028'!$A:$Z,(5+50*((N('My Rota'!$D$6)+0)-1))+2+12,11),INDEX('2029'!$A:$Z,(5+50*((N('My Rota'!$D$6)+0)-1))+2+12,11),INDEX('2030'!$A:$Z,(5+50*((N('My Rota'!$D$6)+0)-1))+2+12,11)))</f>
        <v/>
      </c>
      <c r="L211">
        <f>IF(OR($B211="",(N('My Rota'!$D$6)+0)&gt;53),"",""&amp;CHOOSE(IFERROR(MATCH('My Rota'!$D$5,Setup!$K$33:$K$36,0),1),INDEX('2027'!$A:$Z,(5+50*((N('My Rota'!$D$6)+0)-1))+2+12,12),INDEX('2028'!$A:$Z,(5+50*((N('My Rota'!$D$6)+0)-1))+2+12,12),INDEX('2029'!$A:$Z,(5+50*((N('My Rota'!$D$6)+0)-1))+2+12,12),INDEX('2030'!$A:$Z,(5+50*((N('My Rota'!$D$6)+0)-1))+2+12,12)))</f>
        <v/>
      </c>
      <c r="M211">
        <f>IF(OR($B211="",(N('My Rota'!$D$6)+0)&gt;53),"",""&amp;CHOOSE(IFERROR(MATCH('My Rota'!$D$5,Setup!$K$33:$K$36,0),1),INDEX('2027'!$A:$Z,(5+50*((N('My Rota'!$D$6)+0)-1))+2+12,13),INDEX('2028'!$A:$Z,(5+50*((N('My Rota'!$D$6)+0)-1))+2+12,13),INDEX('2029'!$A:$Z,(5+50*((N('My Rota'!$D$6)+0)-1))+2+12,13),INDEX('2030'!$A:$Z,(5+50*((N('My Rota'!$D$6)+0)-1))+2+12,13)))</f>
        <v/>
      </c>
      <c r="N211">
        <f>IF(OR($B211="",(N('My Rota'!$D$6)+0)&gt;53),"",""&amp;CHOOSE(IFERROR(MATCH('My Rota'!$D$5,Setup!$K$33:$K$36,0),1),INDEX('2027'!$A:$Z,(5+50*((N('My Rota'!$D$6)+0)-1))+2+12,14),INDEX('2028'!$A:$Z,(5+50*((N('My Rota'!$D$6)+0)-1))+2+12,14),INDEX('2029'!$A:$Z,(5+50*((N('My Rota'!$D$6)+0)-1))+2+12,14),INDEX('2030'!$A:$Z,(5+50*((N('My Rota'!$D$6)+0)-1))+2+12,14)))</f>
        <v/>
      </c>
      <c r="O211">
        <f>IF(OR($B211="",(N('My Rota'!$D$6)+0)&gt;53),"",""&amp;CHOOSE(IFERROR(MATCH('My Rota'!$D$5,Setup!$K$33:$K$36,0),1),INDEX('2027'!$A:$Z,(5+50*((N('My Rota'!$D$6)+0)-1))+2+12,15),INDEX('2028'!$A:$Z,(5+50*((N('My Rota'!$D$6)+0)-1))+2+12,15),INDEX('2029'!$A:$Z,(5+50*((N('My Rota'!$D$6)+0)-1))+2+12,15),INDEX('2030'!$A:$Z,(5+50*((N('My Rota'!$D$6)+0)-1))+2+12,15)))</f>
        <v/>
      </c>
      <c r="P211">
        <f>IF(OR($B211="",(N('My Rota'!$D$6)+0)&gt;53),"",""&amp;CHOOSE(IFERROR(MATCH('My Rota'!$D$5,Setup!$K$33:$K$36,0),1),INDEX('2027'!$A:$Z,(5+50*((N('My Rota'!$D$6)+0)-1))+2+12,16),INDEX('2028'!$A:$Z,(5+50*((N('My Rota'!$D$6)+0)-1))+2+12,16),INDEX('2029'!$A:$Z,(5+50*((N('My Rota'!$D$6)+0)-1))+2+12,16),INDEX('2030'!$A:$Z,(5+50*((N('My Rota'!$D$6)+0)-1))+2+12,16)))</f>
        <v/>
      </c>
      <c r="Q211">
        <f>IF(OR($B211="",(N('My Rota'!$D$6)+0)&gt;53),"",""&amp;CHOOSE(IFERROR(MATCH('My Rota'!$D$5,Setup!$K$33:$K$36,0),1),INDEX('2027'!$A:$Z,(5+50*((N('My Rota'!$D$6)+0)-1))+2+12,17),INDEX('2028'!$A:$Z,(5+50*((N('My Rota'!$D$6)+0)-1))+2+12,17),INDEX('2029'!$A:$Z,(5+50*((N('My Rota'!$D$6)+0)-1))+2+12,17),INDEX('2030'!$A:$Z,(5+50*((N('My Rota'!$D$6)+0)-1))+2+12,17)))</f>
        <v/>
      </c>
      <c r="R211">
        <f>IF(OR($B211="",(N('My Rota'!$D$6)+0)&gt;53),"",""&amp;CHOOSE(IFERROR(MATCH('My Rota'!$D$5,Setup!$K$33:$K$36,0),1),INDEX('2027'!$A:$Z,(5+50*((N('My Rota'!$D$6)+0)-1))+2+12,18),INDEX('2028'!$A:$Z,(5+50*((N('My Rota'!$D$6)+0)-1))+2+12,18),INDEX('2029'!$A:$Z,(5+50*((N('My Rota'!$D$6)+0)-1))+2+12,18),INDEX('2030'!$A:$Z,(5+50*((N('My Rota'!$D$6)+0)-1))+2+12,18)))</f>
        <v/>
      </c>
      <c r="S211">
        <f>IF(OR($B211="",(N('My Rota'!$D$6)+0)&gt;53),"",""&amp;CHOOSE(IFERROR(MATCH('My Rota'!$D$5,Setup!$K$33:$K$36,0),1),INDEX('2027'!$A:$Z,(5+50*((N('My Rota'!$D$6)+0)-1))+2+12,19),INDEX('2028'!$A:$Z,(5+50*((N('My Rota'!$D$6)+0)-1))+2+12,19),INDEX('2029'!$A:$Z,(5+50*((N('My Rota'!$D$6)+0)-1))+2+12,19),INDEX('2030'!$A:$Z,(5+50*((N('My Rota'!$D$6)+0)-1))+2+12,19)))</f>
        <v/>
      </c>
      <c r="T211">
        <f>IF(OR($B211="",(N('My Rota'!$D$6)+0)&gt;53),"",""&amp;CHOOSE(IFERROR(MATCH('My Rota'!$D$5,Setup!$K$33:$K$36,0),1),INDEX('2027'!$A:$Z,(5+50*((N('My Rota'!$D$6)+0)-1))+2+12,20),INDEX('2028'!$A:$Z,(5+50*((N('My Rota'!$D$6)+0)-1))+2+12,20),INDEX('2029'!$A:$Z,(5+50*((N('My Rota'!$D$6)+0)-1))+2+12,20),INDEX('2030'!$A:$Z,(5+50*((N('My Rota'!$D$6)+0)-1))+2+12,20)))</f>
        <v/>
      </c>
      <c r="U211">
        <f>IF(OR($B211="",(N('My Rota'!$D$6)+0)&gt;53),"",""&amp;CHOOSE(IFERROR(MATCH('My Rota'!$D$5,Setup!$K$33:$K$36,0),1),INDEX('2027'!$A:$Z,(5+50*((N('My Rota'!$D$6)+0)-1))+2+12,21),INDEX('2028'!$A:$Z,(5+50*((N('My Rota'!$D$6)+0)-1))+2+12,21),INDEX('2029'!$A:$Z,(5+50*((N('My Rota'!$D$6)+0)-1))+2+12,21),INDEX('2030'!$A:$Z,(5+50*((N('My Rota'!$D$6)+0)-1))+2+12,21)))</f>
        <v/>
      </c>
      <c r="V211">
        <f>IF(OR($B211="",(N('My Rota'!$D$6)+0)&gt;53),"",""&amp;CHOOSE(IFERROR(MATCH('My Rota'!$D$5,Setup!$K$33:$K$36,0),1),INDEX('2027'!$A:$Z,(5+50*((N('My Rota'!$D$6)+0)-1))+2+12,22),INDEX('2028'!$A:$Z,(5+50*((N('My Rota'!$D$6)+0)-1))+2+12,22),INDEX('2029'!$A:$Z,(5+50*((N('My Rota'!$D$6)+0)-1))+2+12,22),INDEX('2030'!$A:$Z,(5+50*((N('My Rota'!$D$6)+0)-1))+2+12,22)))</f>
        <v/>
      </c>
      <c r="W211">
        <f>IF(OR($B211="",(N('My Rota'!$D$6)+0)&gt;53),"",""&amp;CHOOSE(IFERROR(MATCH('My Rota'!$D$5,Setup!$K$33:$K$36,0),1),INDEX('2027'!$A:$Z,(5+50*((N('My Rota'!$D$6)+0)-1))+2+12,23),INDEX('2028'!$A:$Z,(5+50*((N('My Rota'!$D$6)+0)-1))+2+12,23),INDEX('2029'!$A:$Z,(5+50*((N('My Rota'!$D$6)+0)-1))+2+12,23),INDEX('2030'!$A:$Z,(5+50*((N('My Rota'!$D$6)+0)-1))+2+12,23)))</f>
        <v/>
      </c>
      <c r="X211">
        <f>IF(OR($B211="",(N('My Rota'!$D$6)+0)&gt;53),"",""&amp;CHOOSE(IFERROR(MATCH('My Rota'!$D$5,Setup!$K$33:$K$36,0),1),INDEX('2027'!$A:$Z,(5+50*((N('My Rota'!$D$6)+0)-1))+2+12,24),INDEX('2028'!$A:$Z,(5+50*((N('My Rota'!$D$6)+0)-1))+2+12,24),INDEX('2029'!$A:$Z,(5+50*((N('My Rota'!$D$6)+0)-1))+2+12,24),INDEX('2030'!$A:$Z,(5+50*((N('My Rota'!$D$6)+0)-1))+2+12,24)))</f>
        <v/>
      </c>
      <c r="Y211">
        <f>IF(OR($B211="",(N('My Rota'!$D$6)+0)&gt;53),"",""&amp;CHOOSE(IFERROR(MATCH('My Rota'!$D$5,Setup!$K$33:$K$36,0),1),INDEX('2027'!$A:$Z,(5+50*((N('My Rota'!$D$6)+0)-1))+2+12,25),INDEX('2028'!$A:$Z,(5+50*((N('My Rota'!$D$6)+0)-1))+2+12,25),INDEX('2029'!$A:$Z,(5+50*((N('My Rota'!$D$6)+0)-1))+2+12,25),INDEX('2030'!$A:$Z,(5+50*((N('My Rota'!$D$6)+0)-1))+2+12,25)))</f>
        <v/>
      </c>
      <c r="Z211">
        <f>IF(OR($B211="",(N('My Rota'!$D$6)+0)&gt;53),"",""&amp;CHOOSE(IFERROR(MATCH('My Rota'!$D$5,Setup!$K$33:$K$36,0),1),INDEX('2027'!$A:$Z,(5+50*((N('My Rota'!$D$6)+0)-1))+2+12,26),INDEX('2028'!$A:$Z,(5+50*((N('My Rota'!$D$6)+0)-1))+2+12,26),INDEX('2029'!$A:$Z,(5+50*((N('My Rota'!$D$6)+0)-1))+2+12,26),INDEX('2030'!$A:$Z,(5+50*((N('My Rota'!$D$6)+0)-1))+2+12,26)))</f>
        <v/>
      </c>
    </row>
    <row r="212">
      <c r="A212" t="n">
        <v>1</v>
      </c>
      <c r="B212">
        <f>$B$59</f>
        <v/>
      </c>
      <c r="C212">
        <f>IF(OR($B212="",(N('My Rota'!$D$6)+0)&gt;53),"",""&amp;CHOOSE(IFERROR(MATCH('My Rota'!$D$5,Setup!$K$33:$K$36,0),1),INDEX('2027'!$A:$Z,(5+50*((N('My Rota'!$D$6)+0)-1))+2+13,3),INDEX('2028'!$A:$Z,(5+50*((N('My Rota'!$D$6)+0)-1))+2+13,3),INDEX('2029'!$A:$Z,(5+50*((N('My Rota'!$D$6)+0)-1))+2+13,3),INDEX('2030'!$A:$Z,(5+50*((N('My Rota'!$D$6)+0)-1))+2+13,3)))</f>
        <v/>
      </c>
      <c r="D212">
        <f>IF(OR($B212="",(N('My Rota'!$D$6)+0)&gt;53),"",""&amp;CHOOSE(IFERROR(MATCH('My Rota'!$D$5,Setup!$K$33:$K$36,0),1),INDEX('2027'!$A:$Z,(5+50*((N('My Rota'!$D$6)+0)-1))+2+13,4),INDEX('2028'!$A:$Z,(5+50*((N('My Rota'!$D$6)+0)-1))+2+13,4),INDEX('2029'!$A:$Z,(5+50*((N('My Rota'!$D$6)+0)-1))+2+13,4),INDEX('2030'!$A:$Z,(5+50*((N('My Rota'!$D$6)+0)-1))+2+13,4)))</f>
        <v/>
      </c>
      <c r="E212">
        <f>IF(OR($B212="",(N('My Rota'!$D$6)+0)&gt;53),"",""&amp;CHOOSE(IFERROR(MATCH('My Rota'!$D$5,Setup!$K$33:$K$36,0),1),INDEX('2027'!$A:$Z,(5+50*((N('My Rota'!$D$6)+0)-1))+2+13,5),INDEX('2028'!$A:$Z,(5+50*((N('My Rota'!$D$6)+0)-1))+2+13,5),INDEX('2029'!$A:$Z,(5+50*((N('My Rota'!$D$6)+0)-1))+2+13,5),INDEX('2030'!$A:$Z,(5+50*((N('My Rota'!$D$6)+0)-1))+2+13,5)))</f>
        <v/>
      </c>
      <c r="F212">
        <f>IF(OR($B212="",(N('My Rota'!$D$6)+0)&gt;53),"",""&amp;CHOOSE(IFERROR(MATCH('My Rota'!$D$5,Setup!$K$33:$K$36,0),1),INDEX('2027'!$A:$Z,(5+50*((N('My Rota'!$D$6)+0)-1))+2+13,6),INDEX('2028'!$A:$Z,(5+50*((N('My Rota'!$D$6)+0)-1))+2+13,6),INDEX('2029'!$A:$Z,(5+50*((N('My Rota'!$D$6)+0)-1))+2+13,6),INDEX('2030'!$A:$Z,(5+50*((N('My Rota'!$D$6)+0)-1))+2+13,6)))</f>
        <v/>
      </c>
      <c r="G212">
        <f>IF(OR($B212="",(N('My Rota'!$D$6)+0)&gt;53),"",""&amp;CHOOSE(IFERROR(MATCH('My Rota'!$D$5,Setup!$K$33:$K$36,0),1),INDEX('2027'!$A:$Z,(5+50*((N('My Rota'!$D$6)+0)-1))+2+13,7),INDEX('2028'!$A:$Z,(5+50*((N('My Rota'!$D$6)+0)-1))+2+13,7),INDEX('2029'!$A:$Z,(5+50*((N('My Rota'!$D$6)+0)-1))+2+13,7),INDEX('2030'!$A:$Z,(5+50*((N('My Rota'!$D$6)+0)-1))+2+13,7)))</f>
        <v/>
      </c>
      <c r="H212">
        <f>IF(OR($B212="",(N('My Rota'!$D$6)+0)&gt;53),"",""&amp;CHOOSE(IFERROR(MATCH('My Rota'!$D$5,Setup!$K$33:$K$36,0),1),INDEX('2027'!$A:$Z,(5+50*((N('My Rota'!$D$6)+0)-1))+2+13,8),INDEX('2028'!$A:$Z,(5+50*((N('My Rota'!$D$6)+0)-1))+2+13,8),INDEX('2029'!$A:$Z,(5+50*((N('My Rota'!$D$6)+0)-1))+2+13,8),INDEX('2030'!$A:$Z,(5+50*((N('My Rota'!$D$6)+0)-1))+2+13,8)))</f>
        <v/>
      </c>
      <c r="I212">
        <f>IF(OR($B212="",(N('My Rota'!$D$6)+0)&gt;53),"",""&amp;CHOOSE(IFERROR(MATCH('My Rota'!$D$5,Setup!$K$33:$K$36,0),1),INDEX('2027'!$A:$Z,(5+50*((N('My Rota'!$D$6)+0)-1))+2+13,9),INDEX('2028'!$A:$Z,(5+50*((N('My Rota'!$D$6)+0)-1))+2+13,9),INDEX('2029'!$A:$Z,(5+50*((N('My Rota'!$D$6)+0)-1))+2+13,9),INDEX('2030'!$A:$Z,(5+50*((N('My Rota'!$D$6)+0)-1))+2+13,9)))</f>
        <v/>
      </c>
      <c r="J212">
        <f>IF(OR($B212="",(N('My Rota'!$D$6)+0)&gt;53),"",""&amp;CHOOSE(IFERROR(MATCH('My Rota'!$D$5,Setup!$K$33:$K$36,0),1),INDEX('2027'!$A:$Z,(5+50*((N('My Rota'!$D$6)+0)-1))+2+13,10),INDEX('2028'!$A:$Z,(5+50*((N('My Rota'!$D$6)+0)-1))+2+13,10),INDEX('2029'!$A:$Z,(5+50*((N('My Rota'!$D$6)+0)-1))+2+13,10),INDEX('2030'!$A:$Z,(5+50*((N('My Rota'!$D$6)+0)-1))+2+13,10)))</f>
        <v/>
      </c>
      <c r="K212">
        <f>IF(OR($B212="",(N('My Rota'!$D$6)+0)&gt;53),"",""&amp;CHOOSE(IFERROR(MATCH('My Rota'!$D$5,Setup!$K$33:$K$36,0),1),INDEX('2027'!$A:$Z,(5+50*((N('My Rota'!$D$6)+0)-1))+2+13,11),INDEX('2028'!$A:$Z,(5+50*((N('My Rota'!$D$6)+0)-1))+2+13,11),INDEX('2029'!$A:$Z,(5+50*((N('My Rota'!$D$6)+0)-1))+2+13,11),INDEX('2030'!$A:$Z,(5+50*((N('My Rota'!$D$6)+0)-1))+2+13,11)))</f>
        <v/>
      </c>
      <c r="L212">
        <f>IF(OR($B212="",(N('My Rota'!$D$6)+0)&gt;53),"",""&amp;CHOOSE(IFERROR(MATCH('My Rota'!$D$5,Setup!$K$33:$K$36,0),1),INDEX('2027'!$A:$Z,(5+50*((N('My Rota'!$D$6)+0)-1))+2+13,12),INDEX('2028'!$A:$Z,(5+50*((N('My Rota'!$D$6)+0)-1))+2+13,12),INDEX('2029'!$A:$Z,(5+50*((N('My Rota'!$D$6)+0)-1))+2+13,12),INDEX('2030'!$A:$Z,(5+50*((N('My Rota'!$D$6)+0)-1))+2+13,12)))</f>
        <v/>
      </c>
      <c r="M212">
        <f>IF(OR($B212="",(N('My Rota'!$D$6)+0)&gt;53),"",""&amp;CHOOSE(IFERROR(MATCH('My Rota'!$D$5,Setup!$K$33:$K$36,0),1),INDEX('2027'!$A:$Z,(5+50*((N('My Rota'!$D$6)+0)-1))+2+13,13),INDEX('2028'!$A:$Z,(5+50*((N('My Rota'!$D$6)+0)-1))+2+13,13),INDEX('2029'!$A:$Z,(5+50*((N('My Rota'!$D$6)+0)-1))+2+13,13),INDEX('2030'!$A:$Z,(5+50*((N('My Rota'!$D$6)+0)-1))+2+13,13)))</f>
        <v/>
      </c>
      <c r="N212">
        <f>IF(OR($B212="",(N('My Rota'!$D$6)+0)&gt;53),"",""&amp;CHOOSE(IFERROR(MATCH('My Rota'!$D$5,Setup!$K$33:$K$36,0),1),INDEX('2027'!$A:$Z,(5+50*((N('My Rota'!$D$6)+0)-1))+2+13,14),INDEX('2028'!$A:$Z,(5+50*((N('My Rota'!$D$6)+0)-1))+2+13,14),INDEX('2029'!$A:$Z,(5+50*((N('My Rota'!$D$6)+0)-1))+2+13,14),INDEX('2030'!$A:$Z,(5+50*((N('My Rota'!$D$6)+0)-1))+2+13,14)))</f>
        <v/>
      </c>
      <c r="O212">
        <f>IF(OR($B212="",(N('My Rota'!$D$6)+0)&gt;53),"",""&amp;CHOOSE(IFERROR(MATCH('My Rota'!$D$5,Setup!$K$33:$K$36,0),1),INDEX('2027'!$A:$Z,(5+50*((N('My Rota'!$D$6)+0)-1))+2+13,15),INDEX('2028'!$A:$Z,(5+50*((N('My Rota'!$D$6)+0)-1))+2+13,15),INDEX('2029'!$A:$Z,(5+50*((N('My Rota'!$D$6)+0)-1))+2+13,15),INDEX('2030'!$A:$Z,(5+50*((N('My Rota'!$D$6)+0)-1))+2+13,15)))</f>
        <v/>
      </c>
      <c r="P212">
        <f>IF(OR($B212="",(N('My Rota'!$D$6)+0)&gt;53),"",""&amp;CHOOSE(IFERROR(MATCH('My Rota'!$D$5,Setup!$K$33:$K$36,0),1),INDEX('2027'!$A:$Z,(5+50*((N('My Rota'!$D$6)+0)-1))+2+13,16),INDEX('2028'!$A:$Z,(5+50*((N('My Rota'!$D$6)+0)-1))+2+13,16),INDEX('2029'!$A:$Z,(5+50*((N('My Rota'!$D$6)+0)-1))+2+13,16),INDEX('2030'!$A:$Z,(5+50*((N('My Rota'!$D$6)+0)-1))+2+13,16)))</f>
        <v/>
      </c>
      <c r="Q212">
        <f>IF(OR($B212="",(N('My Rota'!$D$6)+0)&gt;53),"",""&amp;CHOOSE(IFERROR(MATCH('My Rota'!$D$5,Setup!$K$33:$K$36,0),1),INDEX('2027'!$A:$Z,(5+50*((N('My Rota'!$D$6)+0)-1))+2+13,17),INDEX('2028'!$A:$Z,(5+50*((N('My Rota'!$D$6)+0)-1))+2+13,17),INDEX('2029'!$A:$Z,(5+50*((N('My Rota'!$D$6)+0)-1))+2+13,17),INDEX('2030'!$A:$Z,(5+50*((N('My Rota'!$D$6)+0)-1))+2+13,17)))</f>
        <v/>
      </c>
      <c r="R212">
        <f>IF(OR($B212="",(N('My Rota'!$D$6)+0)&gt;53),"",""&amp;CHOOSE(IFERROR(MATCH('My Rota'!$D$5,Setup!$K$33:$K$36,0),1),INDEX('2027'!$A:$Z,(5+50*((N('My Rota'!$D$6)+0)-1))+2+13,18),INDEX('2028'!$A:$Z,(5+50*((N('My Rota'!$D$6)+0)-1))+2+13,18),INDEX('2029'!$A:$Z,(5+50*((N('My Rota'!$D$6)+0)-1))+2+13,18),INDEX('2030'!$A:$Z,(5+50*((N('My Rota'!$D$6)+0)-1))+2+13,18)))</f>
        <v/>
      </c>
      <c r="S212">
        <f>IF(OR($B212="",(N('My Rota'!$D$6)+0)&gt;53),"",""&amp;CHOOSE(IFERROR(MATCH('My Rota'!$D$5,Setup!$K$33:$K$36,0),1),INDEX('2027'!$A:$Z,(5+50*((N('My Rota'!$D$6)+0)-1))+2+13,19),INDEX('2028'!$A:$Z,(5+50*((N('My Rota'!$D$6)+0)-1))+2+13,19),INDEX('2029'!$A:$Z,(5+50*((N('My Rota'!$D$6)+0)-1))+2+13,19),INDEX('2030'!$A:$Z,(5+50*((N('My Rota'!$D$6)+0)-1))+2+13,19)))</f>
        <v/>
      </c>
      <c r="T212">
        <f>IF(OR($B212="",(N('My Rota'!$D$6)+0)&gt;53),"",""&amp;CHOOSE(IFERROR(MATCH('My Rota'!$D$5,Setup!$K$33:$K$36,0),1),INDEX('2027'!$A:$Z,(5+50*((N('My Rota'!$D$6)+0)-1))+2+13,20),INDEX('2028'!$A:$Z,(5+50*((N('My Rota'!$D$6)+0)-1))+2+13,20),INDEX('2029'!$A:$Z,(5+50*((N('My Rota'!$D$6)+0)-1))+2+13,20),INDEX('2030'!$A:$Z,(5+50*((N('My Rota'!$D$6)+0)-1))+2+13,20)))</f>
        <v/>
      </c>
      <c r="U212">
        <f>IF(OR($B212="",(N('My Rota'!$D$6)+0)&gt;53),"",""&amp;CHOOSE(IFERROR(MATCH('My Rota'!$D$5,Setup!$K$33:$K$36,0),1),INDEX('2027'!$A:$Z,(5+50*((N('My Rota'!$D$6)+0)-1))+2+13,21),INDEX('2028'!$A:$Z,(5+50*((N('My Rota'!$D$6)+0)-1))+2+13,21),INDEX('2029'!$A:$Z,(5+50*((N('My Rota'!$D$6)+0)-1))+2+13,21),INDEX('2030'!$A:$Z,(5+50*((N('My Rota'!$D$6)+0)-1))+2+13,21)))</f>
        <v/>
      </c>
      <c r="V212">
        <f>IF(OR($B212="",(N('My Rota'!$D$6)+0)&gt;53),"",""&amp;CHOOSE(IFERROR(MATCH('My Rota'!$D$5,Setup!$K$33:$K$36,0),1),INDEX('2027'!$A:$Z,(5+50*((N('My Rota'!$D$6)+0)-1))+2+13,22),INDEX('2028'!$A:$Z,(5+50*((N('My Rota'!$D$6)+0)-1))+2+13,22),INDEX('2029'!$A:$Z,(5+50*((N('My Rota'!$D$6)+0)-1))+2+13,22),INDEX('2030'!$A:$Z,(5+50*((N('My Rota'!$D$6)+0)-1))+2+13,22)))</f>
        <v/>
      </c>
      <c r="W212">
        <f>IF(OR($B212="",(N('My Rota'!$D$6)+0)&gt;53),"",""&amp;CHOOSE(IFERROR(MATCH('My Rota'!$D$5,Setup!$K$33:$K$36,0),1),INDEX('2027'!$A:$Z,(5+50*((N('My Rota'!$D$6)+0)-1))+2+13,23),INDEX('2028'!$A:$Z,(5+50*((N('My Rota'!$D$6)+0)-1))+2+13,23),INDEX('2029'!$A:$Z,(5+50*((N('My Rota'!$D$6)+0)-1))+2+13,23),INDEX('2030'!$A:$Z,(5+50*((N('My Rota'!$D$6)+0)-1))+2+13,23)))</f>
        <v/>
      </c>
      <c r="X212">
        <f>IF(OR($B212="",(N('My Rota'!$D$6)+0)&gt;53),"",""&amp;CHOOSE(IFERROR(MATCH('My Rota'!$D$5,Setup!$K$33:$K$36,0),1),INDEX('2027'!$A:$Z,(5+50*((N('My Rota'!$D$6)+0)-1))+2+13,24),INDEX('2028'!$A:$Z,(5+50*((N('My Rota'!$D$6)+0)-1))+2+13,24),INDEX('2029'!$A:$Z,(5+50*((N('My Rota'!$D$6)+0)-1))+2+13,24),INDEX('2030'!$A:$Z,(5+50*((N('My Rota'!$D$6)+0)-1))+2+13,24)))</f>
        <v/>
      </c>
      <c r="Y212">
        <f>IF(OR($B212="",(N('My Rota'!$D$6)+0)&gt;53),"",""&amp;CHOOSE(IFERROR(MATCH('My Rota'!$D$5,Setup!$K$33:$K$36,0),1),INDEX('2027'!$A:$Z,(5+50*((N('My Rota'!$D$6)+0)-1))+2+13,25),INDEX('2028'!$A:$Z,(5+50*((N('My Rota'!$D$6)+0)-1))+2+13,25),INDEX('2029'!$A:$Z,(5+50*((N('My Rota'!$D$6)+0)-1))+2+13,25),INDEX('2030'!$A:$Z,(5+50*((N('My Rota'!$D$6)+0)-1))+2+13,25)))</f>
        <v/>
      </c>
      <c r="Z212">
        <f>IF(OR($B212="",(N('My Rota'!$D$6)+0)&gt;53),"",""&amp;CHOOSE(IFERROR(MATCH('My Rota'!$D$5,Setup!$K$33:$K$36,0),1),INDEX('2027'!$A:$Z,(5+50*((N('My Rota'!$D$6)+0)-1))+2+13,26),INDEX('2028'!$A:$Z,(5+50*((N('My Rota'!$D$6)+0)-1))+2+13,26),INDEX('2029'!$A:$Z,(5+50*((N('My Rota'!$D$6)+0)-1))+2+13,26),INDEX('2030'!$A:$Z,(5+50*((N('My Rota'!$D$6)+0)-1))+2+13,26)))</f>
        <v/>
      </c>
    </row>
    <row r="213">
      <c r="A213" t="n">
        <v>1</v>
      </c>
      <c r="B213">
        <f>$B$60</f>
        <v/>
      </c>
      <c r="C213">
        <f>IF(OR($B213="",(N('My Rota'!$D$6)+0)&gt;53),"",""&amp;CHOOSE(IFERROR(MATCH('My Rota'!$D$5,Setup!$K$33:$K$36,0),1),INDEX('2027'!$A:$Z,(5+50*((N('My Rota'!$D$6)+0)-1))+2+14,3),INDEX('2028'!$A:$Z,(5+50*((N('My Rota'!$D$6)+0)-1))+2+14,3),INDEX('2029'!$A:$Z,(5+50*((N('My Rota'!$D$6)+0)-1))+2+14,3),INDEX('2030'!$A:$Z,(5+50*((N('My Rota'!$D$6)+0)-1))+2+14,3)))</f>
        <v/>
      </c>
      <c r="D213">
        <f>IF(OR($B213="",(N('My Rota'!$D$6)+0)&gt;53),"",""&amp;CHOOSE(IFERROR(MATCH('My Rota'!$D$5,Setup!$K$33:$K$36,0),1),INDEX('2027'!$A:$Z,(5+50*((N('My Rota'!$D$6)+0)-1))+2+14,4),INDEX('2028'!$A:$Z,(5+50*((N('My Rota'!$D$6)+0)-1))+2+14,4),INDEX('2029'!$A:$Z,(5+50*((N('My Rota'!$D$6)+0)-1))+2+14,4),INDEX('2030'!$A:$Z,(5+50*((N('My Rota'!$D$6)+0)-1))+2+14,4)))</f>
        <v/>
      </c>
      <c r="E213">
        <f>IF(OR($B213="",(N('My Rota'!$D$6)+0)&gt;53),"",""&amp;CHOOSE(IFERROR(MATCH('My Rota'!$D$5,Setup!$K$33:$K$36,0),1),INDEX('2027'!$A:$Z,(5+50*((N('My Rota'!$D$6)+0)-1))+2+14,5),INDEX('2028'!$A:$Z,(5+50*((N('My Rota'!$D$6)+0)-1))+2+14,5),INDEX('2029'!$A:$Z,(5+50*((N('My Rota'!$D$6)+0)-1))+2+14,5),INDEX('2030'!$A:$Z,(5+50*((N('My Rota'!$D$6)+0)-1))+2+14,5)))</f>
        <v/>
      </c>
      <c r="F213">
        <f>IF(OR($B213="",(N('My Rota'!$D$6)+0)&gt;53),"",""&amp;CHOOSE(IFERROR(MATCH('My Rota'!$D$5,Setup!$K$33:$K$36,0),1),INDEX('2027'!$A:$Z,(5+50*((N('My Rota'!$D$6)+0)-1))+2+14,6),INDEX('2028'!$A:$Z,(5+50*((N('My Rota'!$D$6)+0)-1))+2+14,6),INDEX('2029'!$A:$Z,(5+50*((N('My Rota'!$D$6)+0)-1))+2+14,6),INDEX('2030'!$A:$Z,(5+50*((N('My Rota'!$D$6)+0)-1))+2+14,6)))</f>
        <v/>
      </c>
      <c r="G213">
        <f>IF(OR($B213="",(N('My Rota'!$D$6)+0)&gt;53),"",""&amp;CHOOSE(IFERROR(MATCH('My Rota'!$D$5,Setup!$K$33:$K$36,0),1),INDEX('2027'!$A:$Z,(5+50*((N('My Rota'!$D$6)+0)-1))+2+14,7),INDEX('2028'!$A:$Z,(5+50*((N('My Rota'!$D$6)+0)-1))+2+14,7),INDEX('2029'!$A:$Z,(5+50*((N('My Rota'!$D$6)+0)-1))+2+14,7),INDEX('2030'!$A:$Z,(5+50*((N('My Rota'!$D$6)+0)-1))+2+14,7)))</f>
        <v/>
      </c>
      <c r="H213">
        <f>IF(OR($B213="",(N('My Rota'!$D$6)+0)&gt;53),"",""&amp;CHOOSE(IFERROR(MATCH('My Rota'!$D$5,Setup!$K$33:$K$36,0),1),INDEX('2027'!$A:$Z,(5+50*((N('My Rota'!$D$6)+0)-1))+2+14,8),INDEX('2028'!$A:$Z,(5+50*((N('My Rota'!$D$6)+0)-1))+2+14,8),INDEX('2029'!$A:$Z,(5+50*((N('My Rota'!$D$6)+0)-1))+2+14,8),INDEX('2030'!$A:$Z,(5+50*((N('My Rota'!$D$6)+0)-1))+2+14,8)))</f>
        <v/>
      </c>
      <c r="I213">
        <f>IF(OR($B213="",(N('My Rota'!$D$6)+0)&gt;53),"",""&amp;CHOOSE(IFERROR(MATCH('My Rota'!$D$5,Setup!$K$33:$K$36,0),1),INDEX('2027'!$A:$Z,(5+50*((N('My Rota'!$D$6)+0)-1))+2+14,9),INDEX('2028'!$A:$Z,(5+50*((N('My Rota'!$D$6)+0)-1))+2+14,9),INDEX('2029'!$A:$Z,(5+50*((N('My Rota'!$D$6)+0)-1))+2+14,9),INDEX('2030'!$A:$Z,(5+50*((N('My Rota'!$D$6)+0)-1))+2+14,9)))</f>
        <v/>
      </c>
      <c r="J213">
        <f>IF(OR($B213="",(N('My Rota'!$D$6)+0)&gt;53),"",""&amp;CHOOSE(IFERROR(MATCH('My Rota'!$D$5,Setup!$K$33:$K$36,0),1),INDEX('2027'!$A:$Z,(5+50*((N('My Rota'!$D$6)+0)-1))+2+14,10),INDEX('2028'!$A:$Z,(5+50*((N('My Rota'!$D$6)+0)-1))+2+14,10),INDEX('2029'!$A:$Z,(5+50*((N('My Rota'!$D$6)+0)-1))+2+14,10),INDEX('2030'!$A:$Z,(5+50*((N('My Rota'!$D$6)+0)-1))+2+14,10)))</f>
        <v/>
      </c>
      <c r="K213">
        <f>IF(OR($B213="",(N('My Rota'!$D$6)+0)&gt;53),"",""&amp;CHOOSE(IFERROR(MATCH('My Rota'!$D$5,Setup!$K$33:$K$36,0),1),INDEX('2027'!$A:$Z,(5+50*((N('My Rota'!$D$6)+0)-1))+2+14,11),INDEX('2028'!$A:$Z,(5+50*((N('My Rota'!$D$6)+0)-1))+2+14,11),INDEX('2029'!$A:$Z,(5+50*((N('My Rota'!$D$6)+0)-1))+2+14,11),INDEX('2030'!$A:$Z,(5+50*((N('My Rota'!$D$6)+0)-1))+2+14,11)))</f>
        <v/>
      </c>
      <c r="L213">
        <f>IF(OR($B213="",(N('My Rota'!$D$6)+0)&gt;53),"",""&amp;CHOOSE(IFERROR(MATCH('My Rota'!$D$5,Setup!$K$33:$K$36,0),1),INDEX('2027'!$A:$Z,(5+50*((N('My Rota'!$D$6)+0)-1))+2+14,12),INDEX('2028'!$A:$Z,(5+50*((N('My Rota'!$D$6)+0)-1))+2+14,12),INDEX('2029'!$A:$Z,(5+50*((N('My Rota'!$D$6)+0)-1))+2+14,12),INDEX('2030'!$A:$Z,(5+50*((N('My Rota'!$D$6)+0)-1))+2+14,12)))</f>
        <v/>
      </c>
      <c r="M213">
        <f>IF(OR($B213="",(N('My Rota'!$D$6)+0)&gt;53),"",""&amp;CHOOSE(IFERROR(MATCH('My Rota'!$D$5,Setup!$K$33:$K$36,0),1),INDEX('2027'!$A:$Z,(5+50*((N('My Rota'!$D$6)+0)-1))+2+14,13),INDEX('2028'!$A:$Z,(5+50*((N('My Rota'!$D$6)+0)-1))+2+14,13),INDEX('2029'!$A:$Z,(5+50*((N('My Rota'!$D$6)+0)-1))+2+14,13),INDEX('2030'!$A:$Z,(5+50*((N('My Rota'!$D$6)+0)-1))+2+14,13)))</f>
        <v/>
      </c>
      <c r="N213">
        <f>IF(OR($B213="",(N('My Rota'!$D$6)+0)&gt;53),"",""&amp;CHOOSE(IFERROR(MATCH('My Rota'!$D$5,Setup!$K$33:$K$36,0),1),INDEX('2027'!$A:$Z,(5+50*((N('My Rota'!$D$6)+0)-1))+2+14,14),INDEX('2028'!$A:$Z,(5+50*((N('My Rota'!$D$6)+0)-1))+2+14,14),INDEX('2029'!$A:$Z,(5+50*((N('My Rota'!$D$6)+0)-1))+2+14,14),INDEX('2030'!$A:$Z,(5+50*((N('My Rota'!$D$6)+0)-1))+2+14,14)))</f>
        <v/>
      </c>
      <c r="O213">
        <f>IF(OR($B213="",(N('My Rota'!$D$6)+0)&gt;53),"",""&amp;CHOOSE(IFERROR(MATCH('My Rota'!$D$5,Setup!$K$33:$K$36,0),1),INDEX('2027'!$A:$Z,(5+50*((N('My Rota'!$D$6)+0)-1))+2+14,15),INDEX('2028'!$A:$Z,(5+50*((N('My Rota'!$D$6)+0)-1))+2+14,15),INDEX('2029'!$A:$Z,(5+50*((N('My Rota'!$D$6)+0)-1))+2+14,15),INDEX('2030'!$A:$Z,(5+50*((N('My Rota'!$D$6)+0)-1))+2+14,15)))</f>
        <v/>
      </c>
      <c r="P213">
        <f>IF(OR($B213="",(N('My Rota'!$D$6)+0)&gt;53),"",""&amp;CHOOSE(IFERROR(MATCH('My Rota'!$D$5,Setup!$K$33:$K$36,0),1),INDEX('2027'!$A:$Z,(5+50*((N('My Rota'!$D$6)+0)-1))+2+14,16),INDEX('2028'!$A:$Z,(5+50*((N('My Rota'!$D$6)+0)-1))+2+14,16),INDEX('2029'!$A:$Z,(5+50*((N('My Rota'!$D$6)+0)-1))+2+14,16),INDEX('2030'!$A:$Z,(5+50*((N('My Rota'!$D$6)+0)-1))+2+14,16)))</f>
        <v/>
      </c>
      <c r="Q213">
        <f>IF(OR($B213="",(N('My Rota'!$D$6)+0)&gt;53),"",""&amp;CHOOSE(IFERROR(MATCH('My Rota'!$D$5,Setup!$K$33:$K$36,0),1),INDEX('2027'!$A:$Z,(5+50*((N('My Rota'!$D$6)+0)-1))+2+14,17),INDEX('2028'!$A:$Z,(5+50*((N('My Rota'!$D$6)+0)-1))+2+14,17),INDEX('2029'!$A:$Z,(5+50*((N('My Rota'!$D$6)+0)-1))+2+14,17),INDEX('2030'!$A:$Z,(5+50*((N('My Rota'!$D$6)+0)-1))+2+14,17)))</f>
        <v/>
      </c>
      <c r="R213">
        <f>IF(OR($B213="",(N('My Rota'!$D$6)+0)&gt;53),"",""&amp;CHOOSE(IFERROR(MATCH('My Rota'!$D$5,Setup!$K$33:$K$36,0),1),INDEX('2027'!$A:$Z,(5+50*((N('My Rota'!$D$6)+0)-1))+2+14,18),INDEX('2028'!$A:$Z,(5+50*((N('My Rota'!$D$6)+0)-1))+2+14,18),INDEX('2029'!$A:$Z,(5+50*((N('My Rota'!$D$6)+0)-1))+2+14,18),INDEX('2030'!$A:$Z,(5+50*((N('My Rota'!$D$6)+0)-1))+2+14,18)))</f>
        <v/>
      </c>
      <c r="S213">
        <f>IF(OR($B213="",(N('My Rota'!$D$6)+0)&gt;53),"",""&amp;CHOOSE(IFERROR(MATCH('My Rota'!$D$5,Setup!$K$33:$K$36,0),1),INDEX('2027'!$A:$Z,(5+50*((N('My Rota'!$D$6)+0)-1))+2+14,19),INDEX('2028'!$A:$Z,(5+50*((N('My Rota'!$D$6)+0)-1))+2+14,19),INDEX('2029'!$A:$Z,(5+50*((N('My Rota'!$D$6)+0)-1))+2+14,19),INDEX('2030'!$A:$Z,(5+50*((N('My Rota'!$D$6)+0)-1))+2+14,19)))</f>
        <v/>
      </c>
      <c r="T213">
        <f>IF(OR($B213="",(N('My Rota'!$D$6)+0)&gt;53),"",""&amp;CHOOSE(IFERROR(MATCH('My Rota'!$D$5,Setup!$K$33:$K$36,0),1),INDEX('2027'!$A:$Z,(5+50*((N('My Rota'!$D$6)+0)-1))+2+14,20),INDEX('2028'!$A:$Z,(5+50*((N('My Rota'!$D$6)+0)-1))+2+14,20),INDEX('2029'!$A:$Z,(5+50*((N('My Rota'!$D$6)+0)-1))+2+14,20),INDEX('2030'!$A:$Z,(5+50*((N('My Rota'!$D$6)+0)-1))+2+14,20)))</f>
        <v/>
      </c>
      <c r="U213">
        <f>IF(OR($B213="",(N('My Rota'!$D$6)+0)&gt;53),"",""&amp;CHOOSE(IFERROR(MATCH('My Rota'!$D$5,Setup!$K$33:$K$36,0),1),INDEX('2027'!$A:$Z,(5+50*((N('My Rota'!$D$6)+0)-1))+2+14,21),INDEX('2028'!$A:$Z,(5+50*((N('My Rota'!$D$6)+0)-1))+2+14,21),INDEX('2029'!$A:$Z,(5+50*((N('My Rota'!$D$6)+0)-1))+2+14,21),INDEX('2030'!$A:$Z,(5+50*((N('My Rota'!$D$6)+0)-1))+2+14,21)))</f>
        <v/>
      </c>
      <c r="V213">
        <f>IF(OR($B213="",(N('My Rota'!$D$6)+0)&gt;53),"",""&amp;CHOOSE(IFERROR(MATCH('My Rota'!$D$5,Setup!$K$33:$K$36,0),1),INDEX('2027'!$A:$Z,(5+50*((N('My Rota'!$D$6)+0)-1))+2+14,22),INDEX('2028'!$A:$Z,(5+50*((N('My Rota'!$D$6)+0)-1))+2+14,22),INDEX('2029'!$A:$Z,(5+50*((N('My Rota'!$D$6)+0)-1))+2+14,22),INDEX('2030'!$A:$Z,(5+50*((N('My Rota'!$D$6)+0)-1))+2+14,22)))</f>
        <v/>
      </c>
      <c r="W213">
        <f>IF(OR($B213="",(N('My Rota'!$D$6)+0)&gt;53),"",""&amp;CHOOSE(IFERROR(MATCH('My Rota'!$D$5,Setup!$K$33:$K$36,0),1),INDEX('2027'!$A:$Z,(5+50*((N('My Rota'!$D$6)+0)-1))+2+14,23),INDEX('2028'!$A:$Z,(5+50*((N('My Rota'!$D$6)+0)-1))+2+14,23),INDEX('2029'!$A:$Z,(5+50*((N('My Rota'!$D$6)+0)-1))+2+14,23),INDEX('2030'!$A:$Z,(5+50*((N('My Rota'!$D$6)+0)-1))+2+14,23)))</f>
        <v/>
      </c>
      <c r="X213">
        <f>IF(OR($B213="",(N('My Rota'!$D$6)+0)&gt;53),"",""&amp;CHOOSE(IFERROR(MATCH('My Rota'!$D$5,Setup!$K$33:$K$36,0),1),INDEX('2027'!$A:$Z,(5+50*((N('My Rota'!$D$6)+0)-1))+2+14,24),INDEX('2028'!$A:$Z,(5+50*((N('My Rota'!$D$6)+0)-1))+2+14,24),INDEX('2029'!$A:$Z,(5+50*((N('My Rota'!$D$6)+0)-1))+2+14,24),INDEX('2030'!$A:$Z,(5+50*((N('My Rota'!$D$6)+0)-1))+2+14,24)))</f>
        <v/>
      </c>
      <c r="Y213">
        <f>IF(OR($B213="",(N('My Rota'!$D$6)+0)&gt;53),"",""&amp;CHOOSE(IFERROR(MATCH('My Rota'!$D$5,Setup!$K$33:$K$36,0),1),INDEX('2027'!$A:$Z,(5+50*((N('My Rota'!$D$6)+0)-1))+2+14,25),INDEX('2028'!$A:$Z,(5+50*((N('My Rota'!$D$6)+0)-1))+2+14,25),INDEX('2029'!$A:$Z,(5+50*((N('My Rota'!$D$6)+0)-1))+2+14,25),INDEX('2030'!$A:$Z,(5+50*((N('My Rota'!$D$6)+0)-1))+2+14,25)))</f>
        <v/>
      </c>
      <c r="Z213">
        <f>IF(OR($B213="",(N('My Rota'!$D$6)+0)&gt;53),"",""&amp;CHOOSE(IFERROR(MATCH('My Rota'!$D$5,Setup!$K$33:$K$36,0),1),INDEX('2027'!$A:$Z,(5+50*((N('My Rota'!$D$6)+0)-1))+2+14,26),INDEX('2028'!$A:$Z,(5+50*((N('My Rota'!$D$6)+0)-1))+2+14,26),INDEX('2029'!$A:$Z,(5+50*((N('My Rota'!$D$6)+0)-1))+2+14,26),INDEX('2030'!$A:$Z,(5+50*((N('My Rota'!$D$6)+0)-1))+2+14,26)))</f>
        <v/>
      </c>
    </row>
    <row r="214">
      <c r="A214" t="n">
        <v>1</v>
      </c>
      <c r="B214">
        <f>$B$61</f>
        <v/>
      </c>
      <c r="C214">
        <f>IF(OR($B214="",(N('My Rota'!$D$6)+0)&gt;53),"",""&amp;CHOOSE(IFERROR(MATCH('My Rota'!$D$5,Setup!$K$33:$K$36,0),1),INDEX('2027'!$A:$Z,(5+50*((N('My Rota'!$D$6)+0)-1))+2+15,3),INDEX('2028'!$A:$Z,(5+50*((N('My Rota'!$D$6)+0)-1))+2+15,3),INDEX('2029'!$A:$Z,(5+50*((N('My Rota'!$D$6)+0)-1))+2+15,3),INDEX('2030'!$A:$Z,(5+50*((N('My Rota'!$D$6)+0)-1))+2+15,3)))</f>
        <v/>
      </c>
      <c r="D214">
        <f>IF(OR($B214="",(N('My Rota'!$D$6)+0)&gt;53),"",""&amp;CHOOSE(IFERROR(MATCH('My Rota'!$D$5,Setup!$K$33:$K$36,0),1),INDEX('2027'!$A:$Z,(5+50*((N('My Rota'!$D$6)+0)-1))+2+15,4),INDEX('2028'!$A:$Z,(5+50*((N('My Rota'!$D$6)+0)-1))+2+15,4),INDEX('2029'!$A:$Z,(5+50*((N('My Rota'!$D$6)+0)-1))+2+15,4),INDEX('2030'!$A:$Z,(5+50*((N('My Rota'!$D$6)+0)-1))+2+15,4)))</f>
        <v/>
      </c>
      <c r="E214">
        <f>IF(OR($B214="",(N('My Rota'!$D$6)+0)&gt;53),"",""&amp;CHOOSE(IFERROR(MATCH('My Rota'!$D$5,Setup!$K$33:$K$36,0),1),INDEX('2027'!$A:$Z,(5+50*((N('My Rota'!$D$6)+0)-1))+2+15,5),INDEX('2028'!$A:$Z,(5+50*((N('My Rota'!$D$6)+0)-1))+2+15,5),INDEX('2029'!$A:$Z,(5+50*((N('My Rota'!$D$6)+0)-1))+2+15,5),INDEX('2030'!$A:$Z,(5+50*((N('My Rota'!$D$6)+0)-1))+2+15,5)))</f>
        <v/>
      </c>
      <c r="F214">
        <f>IF(OR($B214="",(N('My Rota'!$D$6)+0)&gt;53),"",""&amp;CHOOSE(IFERROR(MATCH('My Rota'!$D$5,Setup!$K$33:$K$36,0),1),INDEX('2027'!$A:$Z,(5+50*((N('My Rota'!$D$6)+0)-1))+2+15,6),INDEX('2028'!$A:$Z,(5+50*((N('My Rota'!$D$6)+0)-1))+2+15,6),INDEX('2029'!$A:$Z,(5+50*((N('My Rota'!$D$6)+0)-1))+2+15,6),INDEX('2030'!$A:$Z,(5+50*((N('My Rota'!$D$6)+0)-1))+2+15,6)))</f>
        <v/>
      </c>
      <c r="G214">
        <f>IF(OR($B214="",(N('My Rota'!$D$6)+0)&gt;53),"",""&amp;CHOOSE(IFERROR(MATCH('My Rota'!$D$5,Setup!$K$33:$K$36,0),1),INDEX('2027'!$A:$Z,(5+50*((N('My Rota'!$D$6)+0)-1))+2+15,7),INDEX('2028'!$A:$Z,(5+50*((N('My Rota'!$D$6)+0)-1))+2+15,7),INDEX('2029'!$A:$Z,(5+50*((N('My Rota'!$D$6)+0)-1))+2+15,7),INDEX('2030'!$A:$Z,(5+50*((N('My Rota'!$D$6)+0)-1))+2+15,7)))</f>
        <v/>
      </c>
      <c r="H214">
        <f>IF(OR($B214="",(N('My Rota'!$D$6)+0)&gt;53),"",""&amp;CHOOSE(IFERROR(MATCH('My Rota'!$D$5,Setup!$K$33:$K$36,0),1),INDEX('2027'!$A:$Z,(5+50*((N('My Rota'!$D$6)+0)-1))+2+15,8),INDEX('2028'!$A:$Z,(5+50*((N('My Rota'!$D$6)+0)-1))+2+15,8),INDEX('2029'!$A:$Z,(5+50*((N('My Rota'!$D$6)+0)-1))+2+15,8),INDEX('2030'!$A:$Z,(5+50*((N('My Rota'!$D$6)+0)-1))+2+15,8)))</f>
        <v/>
      </c>
      <c r="I214">
        <f>IF(OR($B214="",(N('My Rota'!$D$6)+0)&gt;53),"",""&amp;CHOOSE(IFERROR(MATCH('My Rota'!$D$5,Setup!$K$33:$K$36,0),1),INDEX('2027'!$A:$Z,(5+50*((N('My Rota'!$D$6)+0)-1))+2+15,9),INDEX('2028'!$A:$Z,(5+50*((N('My Rota'!$D$6)+0)-1))+2+15,9),INDEX('2029'!$A:$Z,(5+50*((N('My Rota'!$D$6)+0)-1))+2+15,9),INDEX('2030'!$A:$Z,(5+50*((N('My Rota'!$D$6)+0)-1))+2+15,9)))</f>
        <v/>
      </c>
      <c r="J214">
        <f>IF(OR($B214="",(N('My Rota'!$D$6)+0)&gt;53),"",""&amp;CHOOSE(IFERROR(MATCH('My Rota'!$D$5,Setup!$K$33:$K$36,0),1),INDEX('2027'!$A:$Z,(5+50*((N('My Rota'!$D$6)+0)-1))+2+15,10),INDEX('2028'!$A:$Z,(5+50*((N('My Rota'!$D$6)+0)-1))+2+15,10),INDEX('2029'!$A:$Z,(5+50*((N('My Rota'!$D$6)+0)-1))+2+15,10),INDEX('2030'!$A:$Z,(5+50*((N('My Rota'!$D$6)+0)-1))+2+15,10)))</f>
        <v/>
      </c>
      <c r="K214">
        <f>IF(OR($B214="",(N('My Rota'!$D$6)+0)&gt;53),"",""&amp;CHOOSE(IFERROR(MATCH('My Rota'!$D$5,Setup!$K$33:$K$36,0),1),INDEX('2027'!$A:$Z,(5+50*((N('My Rota'!$D$6)+0)-1))+2+15,11),INDEX('2028'!$A:$Z,(5+50*((N('My Rota'!$D$6)+0)-1))+2+15,11),INDEX('2029'!$A:$Z,(5+50*((N('My Rota'!$D$6)+0)-1))+2+15,11),INDEX('2030'!$A:$Z,(5+50*((N('My Rota'!$D$6)+0)-1))+2+15,11)))</f>
        <v/>
      </c>
      <c r="L214">
        <f>IF(OR($B214="",(N('My Rota'!$D$6)+0)&gt;53),"",""&amp;CHOOSE(IFERROR(MATCH('My Rota'!$D$5,Setup!$K$33:$K$36,0),1),INDEX('2027'!$A:$Z,(5+50*((N('My Rota'!$D$6)+0)-1))+2+15,12),INDEX('2028'!$A:$Z,(5+50*((N('My Rota'!$D$6)+0)-1))+2+15,12),INDEX('2029'!$A:$Z,(5+50*((N('My Rota'!$D$6)+0)-1))+2+15,12),INDEX('2030'!$A:$Z,(5+50*((N('My Rota'!$D$6)+0)-1))+2+15,12)))</f>
        <v/>
      </c>
      <c r="M214">
        <f>IF(OR($B214="",(N('My Rota'!$D$6)+0)&gt;53),"",""&amp;CHOOSE(IFERROR(MATCH('My Rota'!$D$5,Setup!$K$33:$K$36,0),1),INDEX('2027'!$A:$Z,(5+50*((N('My Rota'!$D$6)+0)-1))+2+15,13),INDEX('2028'!$A:$Z,(5+50*((N('My Rota'!$D$6)+0)-1))+2+15,13),INDEX('2029'!$A:$Z,(5+50*((N('My Rota'!$D$6)+0)-1))+2+15,13),INDEX('2030'!$A:$Z,(5+50*((N('My Rota'!$D$6)+0)-1))+2+15,13)))</f>
        <v/>
      </c>
      <c r="N214">
        <f>IF(OR($B214="",(N('My Rota'!$D$6)+0)&gt;53),"",""&amp;CHOOSE(IFERROR(MATCH('My Rota'!$D$5,Setup!$K$33:$K$36,0),1),INDEX('2027'!$A:$Z,(5+50*((N('My Rota'!$D$6)+0)-1))+2+15,14),INDEX('2028'!$A:$Z,(5+50*((N('My Rota'!$D$6)+0)-1))+2+15,14),INDEX('2029'!$A:$Z,(5+50*((N('My Rota'!$D$6)+0)-1))+2+15,14),INDEX('2030'!$A:$Z,(5+50*((N('My Rota'!$D$6)+0)-1))+2+15,14)))</f>
        <v/>
      </c>
      <c r="O214">
        <f>IF(OR($B214="",(N('My Rota'!$D$6)+0)&gt;53),"",""&amp;CHOOSE(IFERROR(MATCH('My Rota'!$D$5,Setup!$K$33:$K$36,0),1),INDEX('2027'!$A:$Z,(5+50*((N('My Rota'!$D$6)+0)-1))+2+15,15),INDEX('2028'!$A:$Z,(5+50*((N('My Rota'!$D$6)+0)-1))+2+15,15),INDEX('2029'!$A:$Z,(5+50*((N('My Rota'!$D$6)+0)-1))+2+15,15),INDEX('2030'!$A:$Z,(5+50*((N('My Rota'!$D$6)+0)-1))+2+15,15)))</f>
        <v/>
      </c>
      <c r="P214">
        <f>IF(OR($B214="",(N('My Rota'!$D$6)+0)&gt;53),"",""&amp;CHOOSE(IFERROR(MATCH('My Rota'!$D$5,Setup!$K$33:$K$36,0),1),INDEX('2027'!$A:$Z,(5+50*((N('My Rota'!$D$6)+0)-1))+2+15,16),INDEX('2028'!$A:$Z,(5+50*((N('My Rota'!$D$6)+0)-1))+2+15,16),INDEX('2029'!$A:$Z,(5+50*((N('My Rota'!$D$6)+0)-1))+2+15,16),INDEX('2030'!$A:$Z,(5+50*((N('My Rota'!$D$6)+0)-1))+2+15,16)))</f>
        <v/>
      </c>
      <c r="Q214">
        <f>IF(OR($B214="",(N('My Rota'!$D$6)+0)&gt;53),"",""&amp;CHOOSE(IFERROR(MATCH('My Rota'!$D$5,Setup!$K$33:$K$36,0),1),INDEX('2027'!$A:$Z,(5+50*((N('My Rota'!$D$6)+0)-1))+2+15,17),INDEX('2028'!$A:$Z,(5+50*((N('My Rota'!$D$6)+0)-1))+2+15,17),INDEX('2029'!$A:$Z,(5+50*((N('My Rota'!$D$6)+0)-1))+2+15,17),INDEX('2030'!$A:$Z,(5+50*((N('My Rota'!$D$6)+0)-1))+2+15,17)))</f>
        <v/>
      </c>
      <c r="R214">
        <f>IF(OR($B214="",(N('My Rota'!$D$6)+0)&gt;53),"",""&amp;CHOOSE(IFERROR(MATCH('My Rota'!$D$5,Setup!$K$33:$K$36,0),1),INDEX('2027'!$A:$Z,(5+50*((N('My Rota'!$D$6)+0)-1))+2+15,18),INDEX('2028'!$A:$Z,(5+50*((N('My Rota'!$D$6)+0)-1))+2+15,18),INDEX('2029'!$A:$Z,(5+50*((N('My Rota'!$D$6)+0)-1))+2+15,18),INDEX('2030'!$A:$Z,(5+50*((N('My Rota'!$D$6)+0)-1))+2+15,18)))</f>
        <v/>
      </c>
      <c r="S214">
        <f>IF(OR($B214="",(N('My Rota'!$D$6)+0)&gt;53),"",""&amp;CHOOSE(IFERROR(MATCH('My Rota'!$D$5,Setup!$K$33:$K$36,0),1),INDEX('2027'!$A:$Z,(5+50*((N('My Rota'!$D$6)+0)-1))+2+15,19),INDEX('2028'!$A:$Z,(5+50*((N('My Rota'!$D$6)+0)-1))+2+15,19),INDEX('2029'!$A:$Z,(5+50*((N('My Rota'!$D$6)+0)-1))+2+15,19),INDEX('2030'!$A:$Z,(5+50*((N('My Rota'!$D$6)+0)-1))+2+15,19)))</f>
        <v/>
      </c>
      <c r="T214">
        <f>IF(OR($B214="",(N('My Rota'!$D$6)+0)&gt;53),"",""&amp;CHOOSE(IFERROR(MATCH('My Rota'!$D$5,Setup!$K$33:$K$36,0),1),INDEX('2027'!$A:$Z,(5+50*((N('My Rota'!$D$6)+0)-1))+2+15,20),INDEX('2028'!$A:$Z,(5+50*((N('My Rota'!$D$6)+0)-1))+2+15,20),INDEX('2029'!$A:$Z,(5+50*((N('My Rota'!$D$6)+0)-1))+2+15,20),INDEX('2030'!$A:$Z,(5+50*((N('My Rota'!$D$6)+0)-1))+2+15,20)))</f>
        <v/>
      </c>
      <c r="U214">
        <f>IF(OR($B214="",(N('My Rota'!$D$6)+0)&gt;53),"",""&amp;CHOOSE(IFERROR(MATCH('My Rota'!$D$5,Setup!$K$33:$K$36,0),1),INDEX('2027'!$A:$Z,(5+50*((N('My Rota'!$D$6)+0)-1))+2+15,21),INDEX('2028'!$A:$Z,(5+50*((N('My Rota'!$D$6)+0)-1))+2+15,21),INDEX('2029'!$A:$Z,(5+50*((N('My Rota'!$D$6)+0)-1))+2+15,21),INDEX('2030'!$A:$Z,(5+50*((N('My Rota'!$D$6)+0)-1))+2+15,21)))</f>
        <v/>
      </c>
      <c r="V214">
        <f>IF(OR($B214="",(N('My Rota'!$D$6)+0)&gt;53),"",""&amp;CHOOSE(IFERROR(MATCH('My Rota'!$D$5,Setup!$K$33:$K$36,0),1),INDEX('2027'!$A:$Z,(5+50*((N('My Rota'!$D$6)+0)-1))+2+15,22),INDEX('2028'!$A:$Z,(5+50*((N('My Rota'!$D$6)+0)-1))+2+15,22),INDEX('2029'!$A:$Z,(5+50*((N('My Rota'!$D$6)+0)-1))+2+15,22),INDEX('2030'!$A:$Z,(5+50*((N('My Rota'!$D$6)+0)-1))+2+15,22)))</f>
        <v/>
      </c>
      <c r="W214">
        <f>IF(OR($B214="",(N('My Rota'!$D$6)+0)&gt;53),"",""&amp;CHOOSE(IFERROR(MATCH('My Rota'!$D$5,Setup!$K$33:$K$36,0),1),INDEX('2027'!$A:$Z,(5+50*((N('My Rota'!$D$6)+0)-1))+2+15,23),INDEX('2028'!$A:$Z,(5+50*((N('My Rota'!$D$6)+0)-1))+2+15,23),INDEX('2029'!$A:$Z,(5+50*((N('My Rota'!$D$6)+0)-1))+2+15,23),INDEX('2030'!$A:$Z,(5+50*((N('My Rota'!$D$6)+0)-1))+2+15,23)))</f>
        <v/>
      </c>
      <c r="X214">
        <f>IF(OR($B214="",(N('My Rota'!$D$6)+0)&gt;53),"",""&amp;CHOOSE(IFERROR(MATCH('My Rota'!$D$5,Setup!$K$33:$K$36,0),1),INDEX('2027'!$A:$Z,(5+50*((N('My Rota'!$D$6)+0)-1))+2+15,24),INDEX('2028'!$A:$Z,(5+50*((N('My Rota'!$D$6)+0)-1))+2+15,24),INDEX('2029'!$A:$Z,(5+50*((N('My Rota'!$D$6)+0)-1))+2+15,24),INDEX('2030'!$A:$Z,(5+50*((N('My Rota'!$D$6)+0)-1))+2+15,24)))</f>
        <v/>
      </c>
      <c r="Y214">
        <f>IF(OR($B214="",(N('My Rota'!$D$6)+0)&gt;53),"",""&amp;CHOOSE(IFERROR(MATCH('My Rota'!$D$5,Setup!$K$33:$K$36,0),1),INDEX('2027'!$A:$Z,(5+50*((N('My Rota'!$D$6)+0)-1))+2+15,25),INDEX('2028'!$A:$Z,(5+50*((N('My Rota'!$D$6)+0)-1))+2+15,25),INDEX('2029'!$A:$Z,(5+50*((N('My Rota'!$D$6)+0)-1))+2+15,25),INDEX('2030'!$A:$Z,(5+50*((N('My Rota'!$D$6)+0)-1))+2+15,25)))</f>
        <v/>
      </c>
      <c r="Z214">
        <f>IF(OR($B214="",(N('My Rota'!$D$6)+0)&gt;53),"",""&amp;CHOOSE(IFERROR(MATCH('My Rota'!$D$5,Setup!$K$33:$K$36,0),1),INDEX('2027'!$A:$Z,(5+50*((N('My Rota'!$D$6)+0)-1))+2+15,26),INDEX('2028'!$A:$Z,(5+50*((N('My Rota'!$D$6)+0)-1))+2+15,26),INDEX('2029'!$A:$Z,(5+50*((N('My Rota'!$D$6)+0)-1))+2+15,26),INDEX('2030'!$A:$Z,(5+50*((N('My Rota'!$D$6)+0)-1))+2+15,26)))</f>
        <v/>
      </c>
    </row>
    <row r="215">
      <c r="A215" t="n">
        <v>1</v>
      </c>
      <c r="B215">
        <f>$B$62</f>
        <v/>
      </c>
      <c r="C215">
        <f>IF(OR($B215="",(N('My Rota'!$D$6)+0)&gt;53),"",""&amp;CHOOSE(IFERROR(MATCH('My Rota'!$D$5,Setup!$K$33:$K$36,0),1),INDEX('2027'!$A:$Z,(5+50*((N('My Rota'!$D$6)+0)-1))+2+16,3),INDEX('2028'!$A:$Z,(5+50*((N('My Rota'!$D$6)+0)-1))+2+16,3),INDEX('2029'!$A:$Z,(5+50*((N('My Rota'!$D$6)+0)-1))+2+16,3),INDEX('2030'!$A:$Z,(5+50*((N('My Rota'!$D$6)+0)-1))+2+16,3)))</f>
        <v/>
      </c>
      <c r="D215">
        <f>IF(OR($B215="",(N('My Rota'!$D$6)+0)&gt;53),"",""&amp;CHOOSE(IFERROR(MATCH('My Rota'!$D$5,Setup!$K$33:$K$36,0),1),INDEX('2027'!$A:$Z,(5+50*((N('My Rota'!$D$6)+0)-1))+2+16,4),INDEX('2028'!$A:$Z,(5+50*((N('My Rota'!$D$6)+0)-1))+2+16,4),INDEX('2029'!$A:$Z,(5+50*((N('My Rota'!$D$6)+0)-1))+2+16,4),INDEX('2030'!$A:$Z,(5+50*((N('My Rota'!$D$6)+0)-1))+2+16,4)))</f>
        <v/>
      </c>
      <c r="E215">
        <f>IF(OR($B215="",(N('My Rota'!$D$6)+0)&gt;53),"",""&amp;CHOOSE(IFERROR(MATCH('My Rota'!$D$5,Setup!$K$33:$K$36,0),1),INDEX('2027'!$A:$Z,(5+50*((N('My Rota'!$D$6)+0)-1))+2+16,5),INDEX('2028'!$A:$Z,(5+50*((N('My Rota'!$D$6)+0)-1))+2+16,5),INDEX('2029'!$A:$Z,(5+50*((N('My Rota'!$D$6)+0)-1))+2+16,5),INDEX('2030'!$A:$Z,(5+50*((N('My Rota'!$D$6)+0)-1))+2+16,5)))</f>
        <v/>
      </c>
      <c r="F215">
        <f>IF(OR($B215="",(N('My Rota'!$D$6)+0)&gt;53),"",""&amp;CHOOSE(IFERROR(MATCH('My Rota'!$D$5,Setup!$K$33:$K$36,0),1),INDEX('2027'!$A:$Z,(5+50*((N('My Rota'!$D$6)+0)-1))+2+16,6),INDEX('2028'!$A:$Z,(5+50*((N('My Rota'!$D$6)+0)-1))+2+16,6),INDEX('2029'!$A:$Z,(5+50*((N('My Rota'!$D$6)+0)-1))+2+16,6),INDEX('2030'!$A:$Z,(5+50*((N('My Rota'!$D$6)+0)-1))+2+16,6)))</f>
        <v/>
      </c>
      <c r="G215">
        <f>IF(OR($B215="",(N('My Rota'!$D$6)+0)&gt;53),"",""&amp;CHOOSE(IFERROR(MATCH('My Rota'!$D$5,Setup!$K$33:$K$36,0),1),INDEX('2027'!$A:$Z,(5+50*((N('My Rota'!$D$6)+0)-1))+2+16,7),INDEX('2028'!$A:$Z,(5+50*((N('My Rota'!$D$6)+0)-1))+2+16,7),INDEX('2029'!$A:$Z,(5+50*((N('My Rota'!$D$6)+0)-1))+2+16,7),INDEX('2030'!$A:$Z,(5+50*((N('My Rota'!$D$6)+0)-1))+2+16,7)))</f>
        <v/>
      </c>
      <c r="H215">
        <f>IF(OR($B215="",(N('My Rota'!$D$6)+0)&gt;53),"",""&amp;CHOOSE(IFERROR(MATCH('My Rota'!$D$5,Setup!$K$33:$K$36,0),1),INDEX('2027'!$A:$Z,(5+50*((N('My Rota'!$D$6)+0)-1))+2+16,8),INDEX('2028'!$A:$Z,(5+50*((N('My Rota'!$D$6)+0)-1))+2+16,8),INDEX('2029'!$A:$Z,(5+50*((N('My Rota'!$D$6)+0)-1))+2+16,8),INDEX('2030'!$A:$Z,(5+50*((N('My Rota'!$D$6)+0)-1))+2+16,8)))</f>
        <v/>
      </c>
      <c r="I215">
        <f>IF(OR($B215="",(N('My Rota'!$D$6)+0)&gt;53),"",""&amp;CHOOSE(IFERROR(MATCH('My Rota'!$D$5,Setup!$K$33:$K$36,0),1),INDEX('2027'!$A:$Z,(5+50*((N('My Rota'!$D$6)+0)-1))+2+16,9),INDEX('2028'!$A:$Z,(5+50*((N('My Rota'!$D$6)+0)-1))+2+16,9),INDEX('2029'!$A:$Z,(5+50*((N('My Rota'!$D$6)+0)-1))+2+16,9),INDEX('2030'!$A:$Z,(5+50*((N('My Rota'!$D$6)+0)-1))+2+16,9)))</f>
        <v/>
      </c>
      <c r="J215">
        <f>IF(OR($B215="",(N('My Rota'!$D$6)+0)&gt;53),"",""&amp;CHOOSE(IFERROR(MATCH('My Rota'!$D$5,Setup!$K$33:$K$36,0),1),INDEX('2027'!$A:$Z,(5+50*((N('My Rota'!$D$6)+0)-1))+2+16,10),INDEX('2028'!$A:$Z,(5+50*((N('My Rota'!$D$6)+0)-1))+2+16,10),INDEX('2029'!$A:$Z,(5+50*((N('My Rota'!$D$6)+0)-1))+2+16,10),INDEX('2030'!$A:$Z,(5+50*((N('My Rota'!$D$6)+0)-1))+2+16,10)))</f>
        <v/>
      </c>
      <c r="K215">
        <f>IF(OR($B215="",(N('My Rota'!$D$6)+0)&gt;53),"",""&amp;CHOOSE(IFERROR(MATCH('My Rota'!$D$5,Setup!$K$33:$K$36,0),1),INDEX('2027'!$A:$Z,(5+50*((N('My Rota'!$D$6)+0)-1))+2+16,11),INDEX('2028'!$A:$Z,(5+50*((N('My Rota'!$D$6)+0)-1))+2+16,11),INDEX('2029'!$A:$Z,(5+50*((N('My Rota'!$D$6)+0)-1))+2+16,11),INDEX('2030'!$A:$Z,(5+50*((N('My Rota'!$D$6)+0)-1))+2+16,11)))</f>
        <v/>
      </c>
      <c r="L215">
        <f>IF(OR($B215="",(N('My Rota'!$D$6)+0)&gt;53),"",""&amp;CHOOSE(IFERROR(MATCH('My Rota'!$D$5,Setup!$K$33:$K$36,0),1),INDEX('2027'!$A:$Z,(5+50*((N('My Rota'!$D$6)+0)-1))+2+16,12),INDEX('2028'!$A:$Z,(5+50*((N('My Rota'!$D$6)+0)-1))+2+16,12),INDEX('2029'!$A:$Z,(5+50*((N('My Rota'!$D$6)+0)-1))+2+16,12),INDEX('2030'!$A:$Z,(5+50*((N('My Rota'!$D$6)+0)-1))+2+16,12)))</f>
        <v/>
      </c>
      <c r="M215">
        <f>IF(OR($B215="",(N('My Rota'!$D$6)+0)&gt;53),"",""&amp;CHOOSE(IFERROR(MATCH('My Rota'!$D$5,Setup!$K$33:$K$36,0),1),INDEX('2027'!$A:$Z,(5+50*((N('My Rota'!$D$6)+0)-1))+2+16,13),INDEX('2028'!$A:$Z,(5+50*((N('My Rota'!$D$6)+0)-1))+2+16,13),INDEX('2029'!$A:$Z,(5+50*((N('My Rota'!$D$6)+0)-1))+2+16,13),INDEX('2030'!$A:$Z,(5+50*((N('My Rota'!$D$6)+0)-1))+2+16,13)))</f>
        <v/>
      </c>
      <c r="N215">
        <f>IF(OR($B215="",(N('My Rota'!$D$6)+0)&gt;53),"",""&amp;CHOOSE(IFERROR(MATCH('My Rota'!$D$5,Setup!$K$33:$K$36,0),1),INDEX('2027'!$A:$Z,(5+50*((N('My Rota'!$D$6)+0)-1))+2+16,14),INDEX('2028'!$A:$Z,(5+50*((N('My Rota'!$D$6)+0)-1))+2+16,14),INDEX('2029'!$A:$Z,(5+50*((N('My Rota'!$D$6)+0)-1))+2+16,14),INDEX('2030'!$A:$Z,(5+50*((N('My Rota'!$D$6)+0)-1))+2+16,14)))</f>
        <v/>
      </c>
      <c r="O215">
        <f>IF(OR($B215="",(N('My Rota'!$D$6)+0)&gt;53),"",""&amp;CHOOSE(IFERROR(MATCH('My Rota'!$D$5,Setup!$K$33:$K$36,0),1),INDEX('2027'!$A:$Z,(5+50*((N('My Rota'!$D$6)+0)-1))+2+16,15),INDEX('2028'!$A:$Z,(5+50*((N('My Rota'!$D$6)+0)-1))+2+16,15),INDEX('2029'!$A:$Z,(5+50*((N('My Rota'!$D$6)+0)-1))+2+16,15),INDEX('2030'!$A:$Z,(5+50*((N('My Rota'!$D$6)+0)-1))+2+16,15)))</f>
        <v/>
      </c>
      <c r="P215">
        <f>IF(OR($B215="",(N('My Rota'!$D$6)+0)&gt;53),"",""&amp;CHOOSE(IFERROR(MATCH('My Rota'!$D$5,Setup!$K$33:$K$36,0),1),INDEX('2027'!$A:$Z,(5+50*((N('My Rota'!$D$6)+0)-1))+2+16,16),INDEX('2028'!$A:$Z,(5+50*((N('My Rota'!$D$6)+0)-1))+2+16,16),INDEX('2029'!$A:$Z,(5+50*((N('My Rota'!$D$6)+0)-1))+2+16,16),INDEX('2030'!$A:$Z,(5+50*((N('My Rota'!$D$6)+0)-1))+2+16,16)))</f>
        <v/>
      </c>
      <c r="Q215">
        <f>IF(OR($B215="",(N('My Rota'!$D$6)+0)&gt;53),"",""&amp;CHOOSE(IFERROR(MATCH('My Rota'!$D$5,Setup!$K$33:$K$36,0),1),INDEX('2027'!$A:$Z,(5+50*((N('My Rota'!$D$6)+0)-1))+2+16,17),INDEX('2028'!$A:$Z,(5+50*((N('My Rota'!$D$6)+0)-1))+2+16,17),INDEX('2029'!$A:$Z,(5+50*((N('My Rota'!$D$6)+0)-1))+2+16,17),INDEX('2030'!$A:$Z,(5+50*((N('My Rota'!$D$6)+0)-1))+2+16,17)))</f>
        <v/>
      </c>
      <c r="R215">
        <f>IF(OR($B215="",(N('My Rota'!$D$6)+0)&gt;53),"",""&amp;CHOOSE(IFERROR(MATCH('My Rota'!$D$5,Setup!$K$33:$K$36,0),1),INDEX('2027'!$A:$Z,(5+50*((N('My Rota'!$D$6)+0)-1))+2+16,18),INDEX('2028'!$A:$Z,(5+50*((N('My Rota'!$D$6)+0)-1))+2+16,18),INDEX('2029'!$A:$Z,(5+50*((N('My Rota'!$D$6)+0)-1))+2+16,18),INDEX('2030'!$A:$Z,(5+50*((N('My Rota'!$D$6)+0)-1))+2+16,18)))</f>
        <v/>
      </c>
      <c r="S215">
        <f>IF(OR($B215="",(N('My Rota'!$D$6)+0)&gt;53),"",""&amp;CHOOSE(IFERROR(MATCH('My Rota'!$D$5,Setup!$K$33:$K$36,0),1),INDEX('2027'!$A:$Z,(5+50*((N('My Rota'!$D$6)+0)-1))+2+16,19),INDEX('2028'!$A:$Z,(5+50*((N('My Rota'!$D$6)+0)-1))+2+16,19),INDEX('2029'!$A:$Z,(5+50*((N('My Rota'!$D$6)+0)-1))+2+16,19),INDEX('2030'!$A:$Z,(5+50*((N('My Rota'!$D$6)+0)-1))+2+16,19)))</f>
        <v/>
      </c>
      <c r="T215">
        <f>IF(OR($B215="",(N('My Rota'!$D$6)+0)&gt;53),"",""&amp;CHOOSE(IFERROR(MATCH('My Rota'!$D$5,Setup!$K$33:$K$36,0),1),INDEX('2027'!$A:$Z,(5+50*((N('My Rota'!$D$6)+0)-1))+2+16,20),INDEX('2028'!$A:$Z,(5+50*((N('My Rota'!$D$6)+0)-1))+2+16,20),INDEX('2029'!$A:$Z,(5+50*((N('My Rota'!$D$6)+0)-1))+2+16,20),INDEX('2030'!$A:$Z,(5+50*((N('My Rota'!$D$6)+0)-1))+2+16,20)))</f>
        <v/>
      </c>
      <c r="U215">
        <f>IF(OR($B215="",(N('My Rota'!$D$6)+0)&gt;53),"",""&amp;CHOOSE(IFERROR(MATCH('My Rota'!$D$5,Setup!$K$33:$K$36,0),1),INDEX('2027'!$A:$Z,(5+50*((N('My Rota'!$D$6)+0)-1))+2+16,21),INDEX('2028'!$A:$Z,(5+50*((N('My Rota'!$D$6)+0)-1))+2+16,21),INDEX('2029'!$A:$Z,(5+50*((N('My Rota'!$D$6)+0)-1))+2+16,21),INDEX('2030'!$A:$Z,(5+50*((N('My Rota'!$D$6)+0)-1))+2+16,21)))</f>
        <v/>
      </c>
      <c r="V215">
        <f>IF(OR($B215="",(N('My Rota'!$D$6)+0)&gt;53),"",""&amp;CHOOSE(IFERROR(MATCH('My Rota'!$D$5,Setup!$K$33:$K$36,0),1),INDEX('2027'!$A:$Z,(5+50*((N('My Rota'!$D$6)+0)-1))+2+16,22),INDEX('2028'!$A:$Z,(5+50*((N('My Rota'!$D$6)+0)-1))+2+16,22),INDEX('2029'!$A:$Z,(5+50*((N('My Rota'!$D$6)+0)-1))+2+16,22),INDEX('2030'!$A:$Z,(5+50*((N('My Rota'!$D$6)+0)-1))+2+16,22)))</f>
        <v/>
      </c>
      <c r="W215">
        <f>IF(OR($B215="",(N('My Rota'!$D$6)+0)&gt;53),"",""&amp;CHOOSE(IFERROR(MATCH('My Rota'!$D$5,Setup!$K$33:$K$36,0),1),INDEX('2027'!$A:$Z,(5+50*((N('My Rota'!$D$6)+0)-1))+2+16,23),INDEX('2028'!$A:$Z,(5+50*((N('My Rota'!$D$6)+0)-1))+2+16,23),INDEX('2029'!$A:$Z,(5+50*((N('My Rota'!$D$6)+0)-1))+2+16,23),INDEX('2030'!$A:$Z,(5+50*((N('My Rota'!$D$6)+0)-1))+2+16,23)))</f>
        <v/>
      </c>
      <c r="X215">
        <f>IF(OR($B215="",(N('My Rota'!$D$6)+0)&gt;53),"",""&amp;CHOOSE(IFERROR(MATCH('My Rota'!$D$5,Setup!$K$33:$K$36,0),1),INDEX('2027'!$A:$Z,(5+50*((N('My Rota'!$D$6)+0)-1))+2+16,24),INDEX('2028'!$A:$Z,(5+50*((N('My Rota'!$D$6)+0)-1))+2+16,24),INDEX('2029'!$A:$Z,(5+50*((N('My Rota'!$D$6)+0)-1))+2+16,24),INDEX('2030'!$A:$Z,(5+50*((N('My Rota'!$D$6)+0)-1))+2+16,24)))</f>
        <v/>
      </c>
      <c r="Y215">
        <f>IF(OR($B215="",(N('My Rota'!$D$6)+0)&gt;53),"",""&amp;CHOOSE(IFERROR(MATCH('My Rota'!$D$5,Setup!$K$33:$K$36,0),1),INDEX('2027'!$A:$Z,(5+50*((N('My Rota'!$D$6)+0)-1))+2+16,25),INDEX('2028'!$A:$Z,(5+50*((N('My Rota'!$D$6)+0)-1))+2+16,25),INDEX('2029'!$A:$Z,(5+50*((N('My Rota'!$D$6)+0)-1))+2+16,25),INDEX('2030'!$A:$Z,(5+50*((N('My Rota'!$D$6)+0)-1))+2+16,25)))</f>
        <v/>
      </c>
      <c r="Z215">
        <f>IF(OR($B215="",(N('My Rota'!$D$6)+0)&gt;53),"",""&amp;CHOOSE(IFERROR(MATCH('My Rota'!$D$5,Setup!$K$33:$K$36,0),1),INDEX('2027'!$A:$Z,(5+50*((N('My Rota'!$D$6)+0)-1))+2+16,26),INDEX('2028'!$A:$Z,(5+50*((N('My Rota'!$D$6)+0)-1))+2+16,26),INDEX('2029'!$A:$Z,(5+50*((N('My Rota'!$D$6)+0)-1))+2+16,26),INDEX('2030'!$A:$Z,(5+50*((N('My Rota'!$D$6)+0)-1))+2+16,26)))</f>
        <v/>
      </c>
    </row>
    <row r="216">
      <c r="A216" t="n">
        <v>1</v>
      </c>
      <c r="B216">
        <f>$B$63</f>
        <v/>
      </c>
      <c r="C216">
        <f>IF(OR($B216="",(N('My Rota'!$D$6)+0)&gt;53),"",""&amp;CHOOSE(IFERROR(MATCH('My Rota'!$D$5,Setup!$K$33:$K$36,0),1),INDEX('2027'!$A:$Z,(5+50*((N('My Rota'!$D$6)+0)-1))+2+17,3),INDEX('2028'!$A:$Z,(5+50*((N('My Rota'!$D$6)+0)-1))+2+17,3),INDEX('2029'!$A:$Z,(5+50*((N('My Rota'!$D$6)+0)-1))+2+17,3),INDEX('2030'!$A:$Z,(5+50*((N('My Rota'!$D$6)+0)-1))+2+17,3)))</f>
        <v/>
      </c>
      <c r="D216">
        <f>IF(OR($B216="",(N('My Rota'!$D$6)+0)&gt;53),"",""&amp;CHOOSE(IFERROR(MATCH('My Rota'!$D$5,Setup!$K$33:$K$36,0),1),INDEX('2027'!$A:$Z,(5+50*((N('My Rota'!$D$6)+0)-1))+2+17,4),INDEX('2028'!$A:$Z,(5+50*((N('My Rota'!$D$6)+0)-1))+2+17,4),INDEX('2029'!$A:$Z,(5+50*((N('My Rota'!$D$6)+0)-1))+2+17,4),INDEX('2030'!$A:$Z,(5+50*((N('My Rota'!$D$6)+0)-1))+2+17,4)))</f>
        <v/>
      </c>
      <c r="E216">
        <f>IF(OR($B216="",(N('My Rota'!$D$6)+0)&gt;53),"",""&amp;CHOOSE(IFERROR(MATCH('My Rota'!$D$5,Setup!$K$33:$K$36,0),1),INDEX('2027'!$A:$Z,(5+50*((N('My Rota'!$D$6)+0)-1))+2+17,5),INDEX('2028'!$A:$Z,(5+50*((N('My Rota'!$D$6)+0)-1))+2+17,5),INDEX('2029'!$A:$Z,(5+50*((N('My Rota'!$D$6)+0)-1))+2+17,5),INDEX('2030'!$A:$Z,(5+50*((N('My Rota'!$D$6)+0)-1))+2+17,5)))</f>
        <v/>
      </c>
      <c r="F216">
        <f>IF(OR($B216="",(N('My Rota'!$D$6)+0)&gt;53),"",""&amp;CHOOSE(IFERROR(MATCH('My Rota'!$D$5,Setup!$K$33:$K$36,0),1),INDEX('2027'!$A:$Z,(5+50*((N('My Rota'!$D$6)+0)-1))+2+17,6),INDEX('2028'!$A:$Z,(5+50*((N('My Rota'!$D$6)+0)-1))+2+17,6),INDEX('2029'!$A:$Z,(5+50*((N('My Rota'!$D$6)+0)-1))+2+17,6),INDEX('2030'!$A:$Z,(5+50*((N('My Rota'!$D$6)+0)-1))+2+17,6)))</f>
        <v/>
      </c>
      <c r="G216">
        <f>IF(OR($B216="",(N('My Rota'!$D$6)+0)&gt;53),"",""&amp;CHOOSE(IFERROR(MATCH('My Rota'!$D$5,Setup!$K$33:$K$36,0),1),INDEX('2027'!$A:$Z,(5+50*((N('My Rota'!$D$6)+0)-1))+2+17,7),INDEX('2028'!$A:$Z,(5+50*((N('My Rota'!$D$6)+0)-1))+2+17,7),INDEX('2029'!$A:$Z,(5+50*((N('My Rota'!$D$6)+0)-1))+2+17,7),INDEX('2030'!$A:$Z,(5+50*((N('My Rota'!$D$6)+0)-1))+2+17,7)))</f>
        <v/>
      </c>
      <c r="H216">
        <f>IF(OR($B216="",(N('My Rota'!$D$6)+0)&gt;53),"",""&amp;CHOOSE(IFERROR(MATCH('My Rota'!$D$5,Setup!$K$33:$K$36,0),1),INDEX('2027'!$A:$Z,(5+50*((N('My Rota'!$D$6)+0)-1))+2+17,8),INDEX('2028'!$A:$Z,(5+50*((N('My Rota'!$D$6)+0)-1))+2+17,8),INDEX('2029'!$A:$Z,(5+50*((N('My Rota'!$D$6)+0)-1))+2+17,8),INDEX('2030'!$A:$Z,(5+50*((N('My Rota'!$D$6)+0)-1))+2+17,8)))</f>
        <v/>
      </c>
      <c r="I216">
        <f>IF(OR($B216="",(N('My Rota'!$D$6)+0)&gt;53),"",""&amp;CHOOSE(IFERROR(MATCH('My Rota'!$D$5,Setup!$K$33:$K$36,0),1),INDEX('2027'!$A:$Z,(5+50*((N('My Rota'!$D$6)+0)-1))+2+17,9),INDEX('2028'!$A:$Z,(5+50*((N('My Rota'!$D$6)+0)-1))+2+17,9),INDEX('2029'!$A:$Z,(5+50*((N('My Rota'!$D$6)+0)-1))+2+17,9),INDEX('2030'!$A:$Z,(5+50*((N('My Rota'!$D$6)+0)-1))+2+17,9)))</f>
        <v/>
      </c>
      <c r="J216">
        <f>IF(OR($B216="",(N('My Rota'!$D$6)+0)&gt;53),"",""&amp;CHOOSE(IFERROR(MATCH('My Rota'!$D$5,Setup!$K$33:$K$36,0),1),INDEX('2027'!$A:$Z,(5+50*((N('My Rota'!$D$6)+0)-1))+2+17,10),INDEX('2028'!$A:$Z,(5+50*((N('My Rota'!$D$6)+0)-1))+2+17,10),INDEX('2029'!$A:$Z,(5+50*((N('My Rota'!$D$6)+0)-1))+2+17,10),INDEX('2030'!$A:$Z,(5+50*((N('My Rota'!$D$6)+0)-1))+2+17,10)))</f>
        <v/>
      </c>
      <c r="K216">
        <f>IF(OR($B216="",(N('My Rota'!$D$6)+0)&gt;53),"",""&amp;CHOOSE(IFERROR(MATCH('My Rota'!$D$5,Setup!$K$33:$K$36,0),1),INDEX('2027'!$A:$Z,(5+50*((N('My Rota'!$D$6)+0)-1))+2+17,11),INDEX('2028'!$A:$Z,(5+50*((N('My Rota'!$D$6)+0)-1))+2+17,11),INDEX('2029'!$A:$Z,(5+50*((N('My Rota'!$D$6)+0)-1))+2+17,11),INDEX('2030'!$A:$Z,(5+50*((N('My Rota'!$D$6)+0)-1))+2+17,11)))</f>
        <v/>
      </c>
      <c r="L216">
        <f>IF(OR($B216="",(N('My Rota'!$D$6)+0)&gt;53),"",""&amp;CHOOSE(IFERROR(MATCH('My Rota'!$D$5,Setup!$K$33:$K$36,0),1),INDEX('2027'!$A:$Z,(5+50*((N('My Rota'!$D$6)+0)-1))+2+17,12),INDEX('2028'!$A:$Z,(5+50*((N('My Rota'!$D$6)+0)-1))+2+17,12),INDEX('2029'!$A:$Z,(5+50*((N('My Rota'!$D$6)+0)-1))+2+17,12),INDEX('2030'!$A:$Z,(5+50*((N('My Rota'!$D$6)+0)-1))+2+17,12)))</f>
        <v/>
      </c>
      <c r="M216">
        <f>IF(OR($B216="",(N('My Rota'!$D$6)+0)&gt;53),"",""&amp;CHOOSE(IFERROR(MATCH('My Rota'!$D$5,Setup!$K$33:$K$36,0),1),INDEX('2027'!$A:$Z,(5+50*((N('My Rota'!$D$6)+0)-1))+2+17,13),INDEX('2028'!$A:$Z,(5+50*((N('My Rota'!$D$6)+0)-1))+2+17,13),INDEX('2029'!$A:$Z,(5+50*((N('My Rota'!$D$6)+0)-1))+2+17,13),INDEX('2030'!$A:$Z,(5+50*((N('My Rota'!$D$6)+0)-1))+2+17,13)))</f>
        <v/>
      </c>
      <c r="N216">
        <f>IF(OR($B216="",(N('My Rota'!$D$6)+0)&gt;53),"",""&amp;CHOOSE(IFERROR(MATCH('My Rota'!$D$5,Setup!$K$33:$K$36,0),1),INDEX('2027'!$A:$Z,(5+50*((N('My Rota'!$D$6)+0)-1))+2+17,14),INDEX('2028'!$A:$Z,(5+50*((N('My Rota'!$D$6)+0)-1))+2+17,14),INDEX('2029'!$A:$Z,(5+50*((N('My Rota'!$D$6)+0)-1))+2+17,14),INDEX('2030'!$A:$Z,(5+50*((N('My Rota'!$D$6)+0)-1))+2+17,14)))</f>
        <v/>
      </c>
      <c r="O216">
        <f>IF(OR($B216="",(N('My Rota'!$D$6)+0)&gt;53),"",""&amp;CHOOSE(IFERROR(MATCH('My Rota'!$D$5,Setup!$K$33:$K$36,0),1),INDEX('2027'!$A:$Z,(5+50*((N('My Rota'!$D$6)+0)-1))+2+17,15),INDEX('2028'!$A:$Z,(5+50*((N('My Rota'!$D$6)+0)-1))+2+17,15),INDEX('2029'!$A:$Z,(5+50*((N('My Rota'!$D$6)+0)-1))+2+17,15),INDEX('2030'!$A:$Z,(5+50*((N('My Rota'!$D$6)+0)-1))+2+17,15)))</f>
        <v/>
      </c>
      <c r="P216">
        <f>IF(OR($B216="",(N('My Rota'!$D$6)+0)&gt;53),"",""&amp;CHOOSE(IFERROR(MATCH('My Rota'!$D$5,Setup!$K$33:$K$36,0),1),INDEX('2027'!$A:$Z,(5+50*((N('My Rota'!$D$6)+0)-1))+2+17,16),INDEX('2028'!$A:$Z,(5+50*((N('My Rota'!$D$6)+0)-1))+2+17,16),INDEX('2029'!$A:$Z,(5+50*((N('My Rota'!$D$6)+0)-1))+2+17,16),INDEX('2030'!$A:$Z,(5+50*((N('My Rota'!$D$6)+0)-1))+2+17,16)))</f>
        <v/>
      </c>
      <c r="Q216">
        <f>IF(OR($B216="",(N('My Rota'!$D$6)+0)&gt;53),"",""&amp;CHOOSE(IFERROR(MATCH('My Rota'!$D$5,Setup!$K$33:$K$36,0),1),INDEX('2027'!$A:$Z,(5+50*((N('My Rota'!$D$6)+0)-1))+2+17,17),INDEX('2028'!$A:$Z,(5+50*((N('My Rota'!$D$6)+0)-1))+2+17,17),INDEX('2029'!$A:$Z,(5+50*((N('My Rota'!$D$6)+0)-1))+2+17,17),INDEX('2030'!$A:$Z,(5+50*((N('My Rota'!$D$6)+0)-1))+2+17,17)))</f>
        <v/>
      </c>
      <c r="R216">
        <f>IF(OR($B216="",(N('My Rota'!$D$6)+0)&gt;53),"",""&amp;CHOOSE(IFERROR(MATCH('My Rota'!$D$5,Setup!$K$33:$K$36,0),1),INDEX('2027'!$A:$Z,(5+50*((N('My Rota'!$D$6)+0)-1))+2+17,18),INDEX('2028'!$A:$Z,(5+50*((N('My Rota'!$D$6)+0)-1))+2+17,18),INDEX('2029'!$A:$Z,(5+50*((N('My Rota'!$D$6)+0)-1))+2+17,18),INDEX('2030'!$A:$Z,(5+50*((N('My Rota'!$D$6)+0)-1))+2+17,18)))</f>
        <v/>
      </c>
      <c r="S216">
        <f>IF(OR($B216="",(N('My Rota'!$D$6)+0)&gt;53),"",""&amp;CHOOSE(IFERROR(MATCH('My Rota'!$D$5,Setup!$K$33:$K$36,0),1),INDEX('2027'!$A:$Z,(5+50*((N('My Rota'!$D$6)+0)-1))+2+17,19),INDEX('2028'!$A:$Z,(5+50*((N('My Rota'!$D$6)+0)-1))+2+17,19),INDEX('2029'!$A:$Z,(5+50*((N('My Rota'!$D$6)+0)-1))+2+17,19),INDEX('2030'!$A:$Z,(5+50*((N('My Rota'!$D$6)+0)-1))+2+17,19)))</f>
        <v/>
      </c>
      <c r="T216">
        <f>IF(OR($B216="",(N('My Rota'!$D$6)+0)&gt;53),"",""&amp;CHOOSE(IFERROR(MATCH('My Rota'!$D$5,Setup!$K$33:$K$36,0),1),INDEX('2027'!$A:$Z,(5+50*((N('My Rota'!$D$6)+0)-1))+2+17,20),INDEX('2028'!$A:$Z,(5+50*((N('My Rota'!$D$6)+0)-1))+2+17,20),INDEX('2029'!$A:$Z,(5+50*((N('My Rota'!$D$6)+0)-1))+2+17,20),INDEX('2030'!$A:$Z,(5+50*((N('My Rota'!$D$6)+0)-1))+2+17,20)))</f>
        <v/>
      </c>
      <c r="U216">
        <f>IF(OR($B216="",(N('My Rota'!$D$6)+0)&gt;53),"",""&amp;CHOOSE(IFERROR(MATCH('My Rota'!$D$5,Setup!$K$33:$K$36,0),1),INDEX('2027'!$A:$Z,(5+50*((N('My Rota'!$D$6)+0)-1))+2+17,21),INDEX('2028'!$A:$Z,(5+50*((N('My Rota'!$D$6)+0)-1))+2+17,21),INDEX('2029'!$A:$Z,(5+50*((N('My Rota'!$D$6)+0)-1))+2+17,21),INDEX('2030'!$A:$Z,(5+50*((N('My Rota'!$D$6)+0)-1))+2+17,21)))</f>
        <v/>
      </c>
      <c r="V216">
        <f>IF(OR($B216="",(N('My Rota'!$D$6)+0)&gt;53),"",""&amp;CHOOSE(IFERROR(MATCH('My Rota'!$D$5,Setup!$K$33:$K$36,0),1),INDEX('2027'!$A:$Z,(5+50*((N('My Rota'!$D$6)+0)-1))+2+17,22),INDEX('2028'!$A:$Z,(5+50*((N('My Rota'!$D$6)+0)-1))+2+17,22),INDEX('2029'!$A:$Z,(5+50*((N('My Rota'!$D$6)+0)-1))+2+17,22),INDEX('2030'!$A:$Z,(5+50*((N('My Rota'!$D$6)+0)-1))+2+17,22)))</f>
        <v/>
      </c>
      <c r="W216">
        <f>IF(OR($B216="",(N('My Rota'!$D$6)+0)&gt;53),"",""&amp;CHOOSE(IFERROR(MATCH('My Rota'!$D$5,Setup!$K$33:$K$36,0),1),INDEX('2027'!$A:$Z,(5+50*((N('My Rota'!$D$6)+0)-1))+2+17,23),INDEX('2028'!$A:$Z,(5+50*((N('My Rota'!$D$6)+0)-1))+2+17,23),INDEX('2029'!$A:$Z,(5+50*((N('My Rota'!$D$6)+0)-1))+2+17,23),INDEX('2030'!$A:$Z,(5+50*((N('My Rota'!$D$6)+0)-1))+2+17,23)))</f>
        <v/>
      </c>
      <c r="X216">
        <f>IF(OR($B216="",(N('My Rota'!$D$6)+0)&gt;53),"",""&amp;CHOOSE(IFERROR(MATCH('My Rota'!$D$5,Setup!$K$33:$K$36,0),1),INDEX('2027'!$A:$Z,(5+50*((N('My Rota'!$D$6)+0)-1))+2+17,24),INDEX('2028'!$A:$Z,(5+50*((N('My Rota'!$D$6)+0)-1))+2+17,24),INDEX('2029'!$A:$Z,(5+50*((N('My Rota'!$D$6)+0)-1))+2+17,24),INDEX('2030'!$A:$Z,(5+50*((N('My Rota'!$D$6)+0)-1))+2+17,24)))</f>
        <v/>
      </c>
      <c r="Y216">
        <f>IF(OR($B216="",(N('My Rota'!$D$6)+0)&gt;53),"",""&amp;CHOOSE(IFERROR(MATCH('My Rota'!$D$5,Setup!$K$33:$K$36,0),1),INDEX('2027'!$A:$Z,(5+50*((N('My Rota'!$D$6)+0)-1))+2+17,25),INDEX('2028'!$A:$Z,(5+50*((N('My Rota'!$D$6)+0)-1))+2+17,25),INDEX('2029'!$A:$Z,(5+50*((N('My Rota'!$D$6)+0)-1))+2+17,25),INDEX('2030'!$A:$Z,(5+50*((N('My Rota'!$D$6)+0)-1))+2+17,25)))</f>
        <v/>
      </c>
      <c r="Z216">
        <f>IF(OR($B216="",(N('My Rota'!$D$6)+0)&gt;53),"",""&amp;CHOOSE(IFERROR(MATCH('My Rota'!$D$5,Setup!$K$33:$K$36,0),1),INDEX('2027'!$A:$Z,(5+50*((N('My Rota'!$D$6)+0)-1))+2+17,26),INDEX('2028'!$A:$Z,(5+50*((N('My Rota'!$D$6)+0)-1))+2+17,26),INDEX('2029'!$A:$Z,(5+50*((N('My Rota'!$D$6)+0)-1))+2+17,26),INDEX('2030'!$A:$Z,(5+50*((N('My Rota'!$D$6)+0)-1))+2+17,26)))</f>
        <v/>
      </c>
    </row>
    <row r="217">
      <c r="A217" t="n">
        <v>1</v>
      </c>
      <c r="B217">
        <f>$B$64</f>
        <v/>
      </c>
      <c r="C217">
        <f>IF(OR($B217="",(N('My Rota'!$D$6)+0)&gt;53),"",""&amp;CHOOSE(IFERROR(MATCH('My Rota'!$D$5,Setup!$K$33:$K$36,0),1),INDEX('2027'!$A:$Z,(5+50*((N('My Rota'!$D$6)+0)-1))+2+18,3),INDEX('2028'!$A:$Z,(5+50*((N('My Rota'!$D$6)+0)-1))+2+18,3),INDEX('2029'!$A:$Z,(5+50*((N('My Rota'!$D$6)+0)-1))+2+18,3),INDEX('2030'!$A:$Z,(5+50*((N('My Rota'!$D$6)+0)-1))+2+18,3)))</f>
        <v/>
      </c>
      <c r="D217">
        <f>IF(OR($B217="",(N('My Rota'!$D$6)+0)&gt;53),"",""&amp;CHOOSE(IFERROR(MATCH('My Rota'!$D$5,Setup!$K$33:$K$36,0),1),INDEX('2027'!$A:$Z,(5+50*((N('My Rota'!$D$6)+0)-1))+2+18,4),INDEX('2028'!$A:$Z,(5+50*((N('My Rota'!$D$6)+0)-1))+2+18,4),INDEX('2029'!$A:$Z,(5+50*((N('My Rota'!$D$6)+0)-1))+2+18,4),INDEX('2030'!$A:$Z,(5+50*((N('My Rota'!$D$6)+0)-1))+2+18,4)))</f>
        <v/>
      </c>
      <c r="E217">
        <f>IF(OR($B217="",(N('My Rota'!$D$6)+0)&gt;53),"",""&amp;CHOOSE(IFERROR(MATCH('My Rota'!$D$5,Setup!$K$33:$K$36,0),1),INDEX('2027'!$A:$Z,(5+50*((N('My Rota'!$D$6)+0)-1))+2+18,5),INDEX('2028'!$A:$Z,(5+50*((N('My Rota'!$D$6)+0)-1))+2+18,5),INDEX('2029'!$A:$Z,(5+50*((N('My Rota'!$D$6)+0)-1))+2+18,5),INDEX('2030'!$A:$Z,(5+50*((N('My Rota'!$D$6)+0)-1))+2+18,5)))</f>
        <v/>
      </c>
      <c r="F217">
        <f>IF(OR($B217="",(N('My Rota'!$D$6)+0)&gt;53),"",""&amp;CHOOSE(IFERROR(MATCH('My Rota'!$D$5,Setup!$K$33:$K$36,0),1),INDEX('2027'!$A:$Z,(5+50*((N('My Rota'!$D$6)+0)-1))+2+18,6),INDEX('2028'!$A:$Z,(5+50*((N('My Rota'!$D$6)+0)-1))+2+18,6),INDEX('2029'!$A:$Z,(5+50*((N('My Rota'!$D$6)+0)-1))+2+18,6),INDEX('2030'!$A:$Z,(5+50*((N('My Rota'!$D$6)+0)-1))+2+18,6)))</f>
        <v/>
      </c>
      <c r="G217">
        <f>IF(OR($B217="",(N('My Rota'!$D$6)+0)&gt;53),"",""&amp;CHOOSE(IFERROR(MATCH('My Rota'!$D$5,Setup!$K$33:$K$36,0),1),INDEX('2027'!$A:$Z,(5+50*((N('My Rota'!$D$6)+0)-1))+2+18,7),INDEX('2028'!$A:$Z,(5+50*((N('My Rota'!$D$6)+0)-1))+2+18,7),INDEX('2029'!$A:$Z,(5+50*((N('My Rota'!$D$6)+0)-1))+2+18,7),INDEX('2030'!$A:$Z,(5+50*((N('My Rota'!$D$6)+0)-1))+2+18,7)))</f>
        <v/>
      </c>
      <c r="H217">
        <f>IF(OR($B217="",(N('My Rota'!$D$6)+0)&gt;53),"",""&amp;CHOOSE(IFERROR(MATCH('My Rota'!$D$5,Setup!$K$33:$K$36,0),1),INDEX('2027'!$A:$Z,(5+50*((N('My Rota'!$D$6)+0)-1))+2+18,8),INDEX('2028'!$A:$Z,(5+50*((N('My Rota'!$D$6)+0)-1))+2+18,8),INDEX('2029'!$A:$Z,(5+50*((N('My Rota'!$D$6)+0)-1))+2+18,8),INDEX('2030'!$A:$Z,(5+50*((N('My Rota'!$D$6)+0)-1))+2+18,8)))</f>
        <v/>
      </c>
      <c r="I217">
        <f>IF(OR($B217="",(N('My Rota'!$D$6)+0)&gt;53),"",""&amp;CHOOSE(IFERROR(MATCH('My Rota'!$D$5,Setup!$K$33:$K$36,0),1),INDEX('2027'!$A:$Z,(5+50*((N('My Rota'!$D$6)+0)-1))+2+18,9),INDEX('2028'!$A:$Z,(5+50*((N('My Rota'!$D$6)+0)-1))+2+18,9),INDEX('2029'!$A:$Z,(5+50*((N('My Rota'!$D$6)+0)-1))+2+18,9),INDEX('2030'!$A:$Z,(5+50*((N('My Rota'!$D$6)+0)-1))+2+18,9)))</f>
        <v/>
      </c>
      <c r="J217">
        <f>IF(OR($B217="",(N('My Rota'!$D$6)+0)&gt;53),"",""&amp;CHOOSE(IFERROR(MATCH('My Rota'!$D$5,Setup!$K$33:$K$36,0),1),INDEX('2027'!$A:$Z,(5+50*((N('My Rota'!$D$6)+0)-1))+2+18,10),INDEX('2028'!$A:$Z,(5+50*((N('My Rota'!$D$6)+0)-1))+2+18,10),INDEX('2029'!$A:$Z,(5+50*((N('My Rota'!$D$6)+0)-1))+2+18,10),INDEX('2030'!$A:$Z,(5+50*((N('My Rota'!$D$6)+0)-1))+2+18,10)))</f>
        <v/>
      </c>
      <c r="K217">
        <f>IF(OR($B217="",(N('My Rota'!$D$6)+0)&gt;53),"",""&amp;CHOOSE(IFERROR(MATCH('My Rota'!$D$5,Setup!$K$33:$K$36,0),1),INDEX('2027'!$A:$Z,(5+50*((N('My Rota'!$D$6)+0)-1))+2+18,11),INDEX('2028'!$A:$Z,(5+50*((N('My Rota'!$D$6)+0)-1))+2+18,11),INDEX('2029'!$A:$Z,(5+50*((N('My Rota'!$D$6)+0)-1))+2+18,11),INDEX('2030'!$A:$Z,(5+50*((N('My Rota'!$D$6)+0)-1))+2+18,11)))</f>
        <v/>
      </c>
      <c r="L217">
        <f>IF(OR($B217="",(N('My Rota'!$D$6)+0)&gt;53),"",""&amp;CHOOSE(IFERROR(MATCH('My Rota'!$D$5,Setup!$K$33:$K$36,0),1),INDEX('2027'!$A:$Z,(5+50*((N('My Rota'!$D$6)+0)-1))+2+18,12),INDEX('2028'!$A:$Z,(5+50*((N('My Rota'!$D$6)+0)-1))+2+18,12),INDEX('2029'!$A:$Z,(5+50*((N('My Rota'!$D$6)+0)-1))+2+18,12),INDEX('2030'!$A:$Z,(5+50*((N('My Rota'!$D$6)+0)-1))+2+18,12)))</f>
        <v/>
      </c>
      <c r="M217">
        <f>IF(OR($B217="",(N('My Rota'!$D$6)+0)&gt;53),"",""&amp;CHOOSE(IFERROR(MATCH('My Rota'!$D$5,Setup!$K$33:$K$36,0),1),INDEX('2027'!$A:$Z,(5+50*((N('My Rota'!$D$6)+0)-1))+2+18,13),INDEX('2028'!$A:$Z,(5+50*((N('My Rota'!$D$6)+0)-1))+2+18,13),INDEX('2029'!$A:$Z,(5+50*((N('My Rota'!$D$6)+0)-1))+2+18,13),INDEX('2030'!$A:$Z,(5+50*((N('My Rota'!$D$6)+0)-1))+2+18,13)))</f>
        <v/>
      </c>
      <c r="N217">
        <f>IF(OR($B217="",(N('My Rota'!$D$6)+0)&gt;53),"",""&amp;CHOOSE(IFERROR(MATCH('My Rota'!$D$5,Setup!$K$33:$K$36,0),1),INDEX('2027'!$A:$Z,(5+50*((N('My Rota'!$D$6)+0)-1))+2+18,14),INDEX('2028'!$A:$Z,(5+50*((N('My Rota'!$D$6)+0)-1))+2+18,14),INDEX('2029'!$A:$Z,(5+50*((N('My Rota'!$D$6)+0)-1))+2+18,14),INDEX('2030'!$A:$Z,(5+50*((N('My Rota'!$D$6)+0)-1))+2+18,14)))</f>
        <v/>
      </c>
      <c r="O217">
        <f>IF(OR($B217="",(N('My Rota'!$D$6)+0)&gt;53),"",""&amp;CHOOSE(IFERROR(MATCH('My Rota'!$D$5,Setup!$K$33:$K$36,0),1),INDEX('2027'!$A:$Z,(5+50*((N('My Rota'!$D$6)+0)-1))+2+18,15),INDEX('2028'!$A:$Z,(5+50*((N('My Rota'!$D$6)+0)-1))+2+18,15),INDEX('2029'!$A:$Z,(5+50*((N('My Rota'!$D$6)+0)-1))+2+18,15),INDEX('2030'!$A:$Z,(5+50*((N('My Rota'!$D$6)+0)-1))+2+18,15)))</f>
        <v/>
      </c>
      <c r="P217">
        <f>IF(OR($B217="",(N('My Rota'!$D$6)+0)&gt;53),"",""&amp;CHOOSE(IFERROR(MATCH('My Rota'!$D$5,Setup!$K$33:$K$36,0),1),INDEX('2027'!$A:$Z,(5+50*((N('My Rota'!$D$6)+0)-1))+2+18,16),INDEX('2028'!$A:$Z,(5+50*((N('My Rota'!$D$6)+0)-1))+2+18,16),INDEX('2029'!$A:$Z,(5+50*((N('My Rota'!$D$6)+0)-1))+2+18,16),INDEX('2030'!$A:$Z,(5+50*((N('My Rota'!$D$6)+0)-1))+2+18,16)))</f>
        <v/>
      </c>
      <c r="Q217">
        <f>IF(OR($B217="",(N('My Rota'!$D$6)+0)&gt;53),"",""&amp;CHOOSE(IFERROR(MATCH('My Rota'!$D$5,Setup!$K$33:$K$36,0),1),INDEX('2027'!$A:$Z,(5+50*((N('My Rota'!$D$6)+0)-1))+2+18,17),INDEX('2028'!$A:$Z,(5+50*((N('My Rota'!$D$6)+0)-1))+2+18,17),INDEX('2029'!$A:$Z,(5+50*((N('My Rota'!$D$6)+0)-1))+2+18,17),INDEX('2030'!$A:$Z,(5+50*((N('My Rota'!$D$6)+0)-1))+2+18,17)))</f>
        <v/>
      </c>
      <c r="R217">
        <f>IF(OR($B217="",(N('My Rota'!$D$6)+0)&gt;53),"",""&amp;CHOOSE(IFERROR(MATCH('My Rota'!$D$5,Setup!$K$33:$K$36,0),1),INDEX('2027'!$A:$Z,(5+50*((N('My Rota'!$D$6)+0)-1))+2+18,18),INDEX('2028'!$A:$Z,(5+50*((N('My Rota'!$D$6)+0)-1))+2+18,18),INDEX('2029'!$A:$Z,(5+50*((N('My Rota'!$D$6)+0)-1))+2+18,18),INDEX('2030'!$A:$Z,(5+50*((N('My Rota'!$D$6)+0)-1))+2+18,18)))</f>
        <v/>
      </c>
      <c r="S217">
        <f>IF(OR($B217="",(N('My Rota'!$D$6)+0)&gt;53),"",""&amp;CHOOSE(IFERROR(MATCH('My Rota'!$D$5,Setup!$K$33:$K$36,0),1),INDEX('2027'!$A:$Z,(5+50*((N('My Rota'!$D$6)+0)-1))+2+18,19),INDEX('2028'!$A:$Z,(5+50*((N('My Rota'!$D$6)+0)-1))+2+18,19),INDEX('2029'!$A:$Z,(5+50*((N('My Rota'!$D$6)+0)-1))+2+18,19),INDEX('2030'!$A:$Z,(5+50*((N('My Rota'!$D$6)+0)-1))+2+18,19)))</f>
        <v/>
      </c>
      <c r="T217">
        <f>IF(OR($B217="",(N('My Rota'!$D$6)+0)&gt;53),"",""&amp;CHOOSE(IFERROR(MATCH('My Rota'!$D$5,Setup!$K$33:$K$36,0),1),INDEX('2027'!$A:$Z,(5+50*((N('My Rota'!$D$6)+0)-1))+2+18,20),INDEX('2028'!$A:$Z,(5+50*((N('My Rota'!$D$6)+0)-1))+2+18,20),INDEX('2029'!$A:$Z,(5+50*((N('My Rota'!$D$6)+0)-1))+2+18,20),INDEX('2030'!$A:$Z,(5+50*((N('My Rota'!$D$6)+0)-1))+2+18,20)))</f>
        <v/>
      </c>
      <c r="U217">
        <f>IF(OR($B217="",(N('My Rota'!$D$6)+0)&gt;53),"",""&amp;CHOOSE(IFERROR(MATCH('My Rota'!$D$5,Setup!$K$33:$K$36,0),1),INDEX('2027'!$A:$Z,(5+50*((N('My Rota'!$D$6)+0)-1))+2+18,21),INDEX('2028'!$A:$Z,(5+50*((N('My Rota'!$D$6)+0)-1))+2+18,21),INDEX('2029'!$A:$Z,(5+50*((N('My Rota'!$D$6)+0)-1))+2+18,21),INDEX('2030'!$A:$Z,(5+50*((N('My Rota'!$D$6)+0)-1))+2+18,21)))</f>
        <v/>
      </c>
      <c r="V217">
        <f>IF(OR($B217="",(N('My Rota'!$D$6)+0)&gt;53),"",""&amp;CHOOSE(IFERROR(MATCH('My Rota'!$D$5,Setup!$K$33:$K$36,0),1),INDEX('2027'!$A:$Z,(5+50*((N('My Rota'!$D$6)+0)-1))+2+18,22),INDEX('2028'!$A:$Z,(5+50*((N('My Rota'!$D$6)+0)-1))+2+18,22),INDEX('2029'!$A:$Z,(5+50*((N('My Rota'!$D$6)+0)-1))+2+18,22),INDEX('2030'!$A:$Z,(5+50*((N('My Rota'!$D$6)+0)-1))+2+18,22)))</f>
        <v/>
      </c>
      <c r="W217">
        <f>IF(OR($B217="",(N('My Rota'!$D$6)+0)&gt;53),"",""&amp;CHOOSE(IFERROR(MATCH('My Rota'!$D$5,Setup!$K$33:$K$36,0),1),INDEX('2027'!$A:$Z,(5+50*((N('My Rota'!$D$6)+0)-1))+2+18,23),INDEX('2028'!$A:$Z,(5+50*((N('My Rota'!$D$6)+0)-1))+2+18,23),INDEX('2029'!$A:$Z,(5+50*((N('My Rota'!$D$6)+0)-1))+2+18,23),INDEX('2030'!$A:$Z,(5+50*((N('My Rota'!$D$6)+0)-1))+2+18,23)))</f>
        <v/>
      </c>
      <c r="X217">
        <f>IF(OR($B217="",(N('My Rota'!$D$6)+0)&gt;53),"",""&amp;CHOOSE(IFERROR(MATCH('My Rota'!$D$5,Setup!$K$33:$K$36,0),1),INDEX('2027'!$A:$Z,(5+50*((N('My Rota'!$D$6)+0)-1))+2+18,24),INDEX('2028'!$A:$Z,(5+50*((N('My Rota'!$D$6)+0)-1))+2+18,24),INDEX('2029'!$A:$Z,(5+50*((N('My Rota'!$D$6)+0)-1))+2+18,24),INDEX('2030'!$A:$Z,(5+50*((N('My Rota'!$D$6)+0)-1))+2+18,24)))</f>
        <v/>
      </c>
      <c r="Y217">
        <f>IF(OR($B217="",(N('My Rota'!$D$6)+0)&gt;53),"",""&amp;CHOOSE(IFERROR(MATCH('My Rota'!$D$5,Setup!$K$33:$K$36,0),1),INDEX('2027'!$A:$Z,(5+50*((N('My Rota'!$D$6)+0)-1))+2+18,25),INDEX('2028'!$A:$Z,(5+50*((N('My Rota'!$D$6)+0)-1))+2+18,25),INDEX('2029'!$A:$Z,(5+50*((N('My Rota'!$D$6)+0)-1))+2+18,25),INDEX('2030'!$A:$Z,(5+50*((N('My Rota'!$D$6)+0)-1))+2+18,25)))</f>
        <v/>
      </c>
      <c r="Z217">
        <f>IF(OR($B217="",(N('My Rota'!$D$6)+0)&gt;53),"",""&amp;CHOOSE(IFERROR(MATCH('My Rota'!$D$5,Setup!$K$33:$K$36,0),1),INDEX('2027'!$A:$Z,(5+50*((N('My Rota'!$D$6)+0)-1))+2+18,26),INDEX('2028'!$A:$Z,(5+50*((N('My Rota'!$D$6)+0)-1))+2+18,26),INDEX('2029'!$A:$Z,(5+50*((N('My Rota'!$D$6)+0)-1))+2+18,26),INDEX('2030'!$A:$Z,(5+50*((N('My Rota'!$D$6)+0)-1))+2+18,26)))</f>
        <v/>
      </c>
    </row>
    <row r="218">
      <c r="A218" t="n">
        <v>2</v>
      </c>
      <c r="B218">
        <f>$B$47</f>
        <v/>
      </c>
      <c r="C218">
        <f>IF(OR($B218="",(N('My Rota'!$D$6)+1)&gt;53),"",""&amp;CHOOSE(IFERROR(MATCH('My Rota'!$D$5,Setup!$K$33:$K$36,0),1),INDEX('2027'!$A:$Z,(5+50*((N('My Rota'!$D$6)+1)-1))+2+1,3),INDEX('2028'!$A:$Z,(5+50*((N('My Rota'!$D$6)+1)-1))+2+1,3),INDEX('2029'!$A:$Z,(5+50*((N('My Rota'!$D$6)+1)-1))+2+1,3),INDEX('2030'!$A:$Z,(5+50*((N('My Rota'!$D$6)+1)-1))+2+1,3)))</f>
        <v/>
      </c>
      <c r="D218">
        <f>IF(OR($B218="",(N('My Rota'!$D$6)+1)&gt;53),"",""&amp;CHOOSE(IFERROR(MATCH('My Rota'!$D$5,Setup!$K$33:$K$36,0),1),INDEX('2027'!$A:$Z,(5+50*((N('My Rota'!$D$6)+1)-1))+2+1,4),INDEX('2028'!$A:$Z,(5+50*((N('My Rota'!$D$6)+1)-1))+2+1,4),INDEX('2029'!$A:$Z,(5+50*((N('My Rota'!$D$6)+1)-1))+2+1,4),INDEX('2030'!$A:$Z,(5+50*((N('My Rota'!$D$6)+1)-1))+2+1,4)))</f>
        <v/>
      </c>
      <c r="E218">
        <f>IF(OR($B218="",(N('My Rota'!$D$6)+1)&gt;53),"",""&amp;CHOOSE(IFERROR(MATCH('My Rota'!$D$5,Setup!$K$33:$K$36,0),1),INDEX('2027'!$A:$Z,(5+50*((N('My Rota'!$D$6)+1)-1))+2+1,5),INDEX('2028'!$A:$Z,(5+50*((N('My Rota'!$D$6)+1)-1))+2+1,5),INDEX('2029'!$A:$Z,(5+50*((N('My Rota'!$D$6)+1)-1))+2+1,5),INDEX('2030'!$A:$Z,(5+50*((N('My Rota'!$D$6)+1)-1))+2+1,5)))</f>
        <v/>
      </c>
      <c r="F218">
        <f>IF(OR($B218="",(N('My Rota'!$D$6)+1)&gt;53),"",""&amp;CHOOSE(IFERROR(MATCH('My Rota'!$D$5,Setup!$K$33:$K$36,0),1),INDEX('2027'!$A:$Z,(5+50*((N('My Rota'!$D$6)+1)-1))+2+1,6),INDEX('2028'!$A:$Z,(5+50*((N('My Rota'!$D$6)+1)-1))+2+1,6),INDEX('2029'!$A:$Z,(5+50*((N('My Rota'!$D$6)+1)-1))+2+1,6),INDEX('2030'!$A:$Z,(5+50*((N('My Rota'!$D$6)+1)-1))+2+1,6)))</f>
        <v/>
      </c>
      <c r="G218">
        <f>IF(OR($B218="",(N('My Rota'!$D$6)+1)&gt;53),"",""&amp;CHOOSE(IFERROR(MATCH('My Rota'!$D$5,Setup!$K$33:$K$36,0),1),INDEX('2027'!$A:$Z,(5+50*((N('My Rota'!$D$6)+1)-1))+2+1,7),INDEX('2028'!$A:$Z,(5+50*((N('My Rota'!$D$6)+1)-1))+2+1,7),INDEX('2029'!$A:$Z,(5+50*((N('My Rota'!$D$6)+1)-1))+2+1,7),INDEX('2030'!$A:$Z,(5+50*((N('My Rota'!$D$6)+1)-1))+2+1,7)))</f>
        <v/>
      </c>
      <c r="H218">
        <f>IF(OR($B218="",(N('My Rota'!$D$6)+1)&gt;53),"",""&amp;CHOOSE(IFERROR(MATCH('My Rota'!$D$5,Setup!$K$33:$K$36,0),1),INDEX('2027'!$A:$Z,(5+50*((N('My Rota'!$D$6)+1)-1))+2+1,8),INDEX('2028'!$A:$Z,(5+50*((N('My Rota'!$D$6)+1)-1))+2+1,8),INDEX('2029'!$A:$Z,(5+50*((N('My Rota'!$D$6)+1)-1))+2+1,8),INDEX('2030'!$A:$Z,(5+50*((N('My Rota'!$D$6)+1)-1))+2+1,8)))</f>
        <v/>
      </c>
      <c r="I218">
        <f>IF(OR($B218="",(N('My Rota'!$D$6)+1)&gt;53),"",""&amp;CHOOSE(IFERROR(MATCH('My Rota'!$D$5,Setup!$K$33:$K$36,0),1),INDEX('2027'!$A:$Z,(5+50*((N('My Rota'!$D$6)+1)-1))+2+1,9),INDEX('2028'!$A:$Z,(5+50*((N('My Rota'!$D$6)+1)-1))+2+1,9),INDEX('2029'!$A:$Z,(5+50*((N('My Rota'!$D$6)+1)-1))+2+1,9),INDEX('2030'!$A:$Z,(5+50*((N('My Rota'!$D$6)+1)-1))+2+1,9)))</f>
        <v/>
      </c>
      <c r="J218">
        <f>IF(OR($B218="",(N('My Rota'!$D$6)+1)&gt;53),"",""&amp;CHOOSE(IFERROR(MATCH('My Rota'!$D$5,Setup!$K$33:$K$36,0),1),INDEX('2027'!$A:$Z,(5+50*((N('My Rota'!$D$6)+1)-1))+2+1,10),INDEX('2028'!$A:$Z,(5+50*((N('My Rota'!$D$6)+1)-1))+2+1,10),INDEX('2029'!$A:$Z,(5+50*((N('My Rota'!$D$6)+1)-1))+2+1,10),INDEX('2030'!$A:$Z,(5+50*((N('My Rota'!$D$6)+1)-1))+2+1,10)))</f>
        <v/>
      </c>
      <c r="K218">
        <f>IF(OR($B218="",(N('My Rota'!$D$6)+1)&gt;53),"",""&amp;CHOOSE(IFERROR(MATCH('My Rota'!$D$5,Setup!$K$33:$K$36,0),1),INDEX('2027'!$A:$Z,(5+50*((N('My Rota'!$D$6)+1)-1))+2+1,11),INDEX('2028'!$A:$Z,(5+50*((N('My Rota'!$D$6)+1)-1))+2+1,11),INDEX('2029'!$A:$Z,(5+50*((N('My Rota'!$D$6)+1)-1))+2+1,11),INDEX('2030'!$A:$Z,(5+50*((N('My Rota'!$D$6)+1)-1))+2+1,11)))</f>
        <v/>
      </c>
      <c r="L218">
        <f>IF(OR($B218="",(N('My Rota'!$D$6)+1)&gt;53),"",""&amp;CHOOSE(IFERROR(MATCH('My Rota'!$D$5,Setup!$K$33:$K$36,0),1),INDEX('2027'!$A:$Z,(5+50*((N('My Rota'!$D$6)+1)-1))+2+1,12),INDEX('2028'!$A:$Z,(5+50*((N('My Rota'!$D$6)+1)-1))+2+1,12),INDEX('2029'!$A:$Z,(5+50*((N('My Rota'!$D$6)+1)-1))+2+1,12),INDEX('2030'!$A:$Z,(5+50*((N('My Rota'!$D$6)+1)-1))+2+1,12)))</f>
        <v/>
      </c>
      <c r="M218">
        <f>IF(OR($B218="",(N('My Rota'!$D$6)+1)&gt;53),"",""&amp;CHOOSE(IFERROR(MATCH('My Rota'!$D$5,Setup!$K$33:$K$36,0),1),INDEX('2027'!$A:$Z,(5+50*((N('My Rota'!$D$6)+1)-1))+2+1,13),INDEX('2028'!$A:$Z,(5+50*((N('My Rota'!$D$6)+1)-1))+2+1,13),INDEX('2029'!$A:$Z,(5+50*((N('My Rota'!$D$6)+1)-1))+2+1,13),INDEX('2030'!$A:$Z,(5+50*((N('My Rota'!$D$6)+1)-1))+2+1,13)))</f>
        <v/>
      </c>
      <c r="N218">
        <f>IF(OR($B218="",(N('My Rota'!$D$6)+1)&gt;53),"",""&amp;CHOOSE(IFERROR(MATCH('My Rota'!$D$5,Setup!$K$33:$K$36,0),1),INDEX('2027'!$A:$Z,(5+50*((N('My Rota'!$D$6)+1)-1))+2+1,14),INDEX('2028'!$A:$Z,(5+50*((N('My Rota'!$D$6)+1)-1))+2+1,14),INDEX('2029'!$A:$Z,(5+50*((N('My Rota'!$D$6)+1)-1))+2+1,14),INDEX('2030'!$A:$Z,(5+50*((N('My Rota'!$D$6)+1)-1))+2+1,14)))</f>
        <v/>
      </c>
      <c r="O218">
        <f>IF(OR($B218="",(N('My Rota'!$D$6)+1)&gt;53),"",""&amp;CHOOSE(IFERROR(MATCH('My Rota'!$D$5,Setup!$K$33:$K$36,0),1),INDEX('2027'!$A:$Z,(5+50*((N('My Rota'!$D$6)+1)-1))+2+1,15),INDEX('2028'!$A:$Z,(5+50*((N('My Rota'!$D$6)+1)-1))+2+1,15),INDEX('2029'!$A:$Z,(5+50*((N('My Rota'!$D$6)+1)-1))+2+1,15),INDEX('2030'!$A:$Z,(5+50*((N('My Rota'!$D$6)+1)-1))+2+1,15)))</f>
        <v/>
      </c>
      <c r="P218">
        <f>IF(OR($B218="",(N('My Rota'!$D$6)+1)&gt;53),"",""&amp;CHOOSE(IFERROR(MATCH('My Rota'!$D$5,Setup!$K$33:$K$36,0),1),INDEX('2027'!$A:$Z,(5+50*((N('My Rota'!$D$6)+1)-1))+2+1,16),INDEX('2028'!$A:$Z,(5+50*((N('My Rota'!$D$6)+1)-1))+2+1,16),INDEX('2029'!$A:$Z,(5+50*((N('My Rota'!$D$6)+1)-1))+2+1,16),INDEX('2030'!$A:$Z,(5+50*((N('My Rota'!$D$6)+1)-1))+2+1,16)))</f>
        <v/>
      </c>
      <c r="Q218">
        <f>IF(OR($B218="",(N('My Rota'!$D$6)+1)&gt;53),"",""&amp;CHOOSE(IFERROR(MATCH('My Rota'!$D$5,Setup!$K$33:$K$36,0),1),INDEX('2027'!$A:$Z,(5+50*((N('My Rota'!$D$6)+1)-1))+2+1,17),INDEX('2028'!$A:$Z,(5+50*((N('My Rota'!$D$6)+1)-1))+2+1,17),INDEX('2029'!$A:$Z,(5+50*((N('My Rota'!$D$6)+1)-1))+2+1,17),INDEX('2030'!$A:$Z,(5+50*((N('My Rota'!$D$6)+1)-1))+2+1,17)))</f>
        <v/>
      </c>
      <c r="R218">
        <f>IF(OR($B218="",(N('My Rota'!$D$6)+1)&gt;53),"",""&amp;CHOOSE(IFERROR(MATCH('My Rota'!$D$5,Setup!$K$33:$K$36,0),1),INDEX('2027'!$A:$Z,(5+50*((N('My Rota'!$D$6)+1)-1))+2+1,18),INDEX('2028'!$A:$Z,(5+50*((N('My Rota'!$D$6)+1)-1))+2+1,18),INDEX('2029'!$A:$Z,(5+50*((N('My Rota'!$D$6)+1)-1))+2+1,18),INDEX('2030'!$A:$Z,(5+50*((N('My Rota'!$D$6)+1)-1))+2+1,18)))</f>
        <v/>
      </c>
      <c r="S218">
        <f>IF(OR($B218="",(N('My Rota'!$D$6)+1)&gt;53),"",""&amp;CHOOSE(IFERROR(MATCH('My Rota'!$D$5,Setup!$K$33:$K$36,0),1),INDEX('2027'!$A:$Z,(5+50*((N('My Rota'!$D$6)+1)-1))+2+1,19),INDEX('2028'!$A:$Z,(5+50*((N('My Rota'!$D$6)+1)-1))+2+1,19),INDEX('2029'!$A:$Z,(5+50*((N('My Rota'!$D$6)+1)-1))+2+1,19),INDEX('2030'!$A:$Z,(5+50*((N('My Rota'!$D$6)+1)-1))+2+1,19)))</f>
        <v/>
      </c>
      <c r="T218">
        <f>IF(OR($B218="",(N('My Rota'!$D$6)+1)&gt;53),"",""&amp;CHOOSE(IFERROR(MATCH('My Rota'!$D$5,Setup!$K$33:$K$36,0),1),INDEX('2027'!$A:$Z,(5+50*((N('My Rota'!$D$6)+1)-1))+2+1,20),INDEX('2028'!$A:$Z,(5+50*((N('My Rota'!$D$6)+1)-1))+2+1,20),INDEX('2029'!$A:$Z,(5+50*((N('My Rota'!$D$6)+1)-1))+2+1,20),INDEX('2030'!$A:$Z,(5+50*((N('My Rota'!$D$6)+1)-1))+2+1,20)))</f>
        <v/>
      </c>
      <c r="U218">
        <f>IF(OR($B218="",(N('My Rota'!$D$6)+1)&gt;53),"",""&amp;CHOOSE(IFERROR(MATCH('My Rota'!$D$5,Setup!$K$33:$K$36,0),1),INDEX('2027'!$A:$Z,(5+50*((N('My Rota'!$D$6)+1)-1))+2+1,21),INDEX('2028'!$A:$Z,(5+50*((N('My Rota'!$D$6)+1)-1))+2+1,21),INDEX('2029'!$A:$Z,(5+50*((N('My Rota'!$D$6)+1)-1))+2+1,21),INDEX('2030'!$A:$Z,(5+50*((N('My Rota'!$D$6)+1)-1))+2+1,21)))</f>
        <v/>
      </c>
      <c r="V218">
        <f>IF(OR($B218="",(N('My Rota'!$D$6)+1)&gt;53),"",""&amp;CHOOSE(IFERROR(MATCH('My Rota'!$D$5,Setup!$K$33:$K$36,0),1),INDEX('2027'!$A:$Z,(5+50*((N('My Rota'!$D$6)+1)-1))+2+1,22),INDEX('2028'!$A:$Z,(5+50*((N('My Rota'!$D$6)+1)-1))+2+1,22),INDEX('2029'!$A:$Z,(5+50*((N('My Rota'!$D$6)+1)-1))+2+1,22),INDEX('2030'!$A:$Z,(5+50*((N('My Rota'!$D$6)+1)-1))+2+1,22)))</f>
        <v/>
      </c>
      <c r="W218">
        <f>IF(OR($B218="",(N('My Rota'!$D$6)+1)&gt;53),"",""&amp;CHOOSE(IFERROR(MATCH('My Rota'!$D$5,Setup!$K$33:$K$36,0),1),INDEX('2027'!$A:$Z,(5+50*((N('My Rota'!$D$6)+1)-1))+2+1,23),INDEX('2028'!$A:$Z,(5+50*((N('My Rota'!$D$6)+1)-1))+2+1,23),INDEX('2029'!$A:$Z,(5+50*((N('My Rota'!$D$6)+1)-1))+2+1,23),INDEX('2030'!$A:$Z,(5+50*((N('My Rota'!$D$6)+1)-1))+2+1,23)))</f>
        <v/>
      </c>
      <c r="X218">
        <f>IF(OR($B218="",(N('My Rota'!$D$6)+1)&gt;53),"",""&amp;CHOOSE(IFERROR(MATCH('My Rota'!$D$5,Setup!$K$33:$K$36,0),1),INDEX('2027'!$A:$Z,(5+50*((N('My Rota'!$D$6)+1)-1))+2+1,24),INDEX('2028'!$A:$Z,(5+50*((N('My Rota'!$D$6)+1)-1))+2+1,24),INDEX('2029'!$A:$Z,(5+50*((N('My Rota'!$D$6)+1)-1))+2+1,24),INDEX('2030'!$A:$Z,(5+50*((N('My Rota'!$D$6)+1)-1))+2+1,24)))</f>
        <v/>
      </c>
      <c r="Y218">
        <f>IF(OR($B218="",(N('My Rota'!$D$6)+1)&gt;53),"",""&amp;CHOOSE(IFERROR(MATCH('My Rota'!$D$5,Setup!$K$33:$K$36,0),1),INDEX('2027'!$A:$Z,(5+50*((N('My Rota'!$D$6)+1)-1))+2+1,25),INDEX('2028'!$A:$Z,(5+50*((N('My Rota'!$D$6)+1)-1))+2+1,25),INDEX('2029'!$A:$Z,(5+50*((N('My Rota'!$D$6)+1)-1))+2+1,25),INDEX('2030'!$A:$Z,(5+50*((N('My Rota'!$D$6)+1)-1))+2+1,25)))</f>
        <v/>
      </c>
      <c r="Z218">
        <f>IF(OR($B218="",(N('My Rota'!$D$6)+1)&gt;53),"",""&amp;CHOOSE(IFERROR(MATCH('My Rota'!$D$5,Setup!$K$33:$K$36,0),1),INDEX('2027'!$A:$Z,(5+50*((N('My Rota'!$D$6)+1)-1))+2+1,26),INDEX('2028'!$A:$Z,(5+50*((N('My Rota'!$D$6)+1)-1))+2+1,26),INDEX('2029'!$A:$Z,(5+50*((N('My Rota'!$D$6)+1)-1))+2+1,26),INDEX('2030'!$A:$Z,(5+50*((N('My Rota'!$D$6)+1)-1))+2+1,26)))</f>
        <v/>
      </c>
    </row>
    <row r="219">
      <c r="A219" t="n">
        <v>2</v>
      </c>
      <c r="B219">
        <f>$B$48</f>
        <v/>
      </c>
      <c r="C219">
        <f>IF(OR($B219="",(N('My Rota'!$D$6)+1)&gt;53),"",""&amp;CHOOSE(IFERROR(MATCH('My Rota'!$D$5,Setup!$K$33:$K$36,0),1),INDEX('2027'!$A:$Z,(5+50*((N('My Rota'!$D$6)+1)-1))+2+2,3),INDEX('2028'!$A:$Z,(5+50*((N('My Rota'!$D$6)+1)-1))+2+2,3),INDEX('2029'!$A:$Z,(5+50*((N('My Rota'!$D$6)+1)-1))+2+2,3),INDEX('2030'!$A:$Z,(5+50*((N('My Rota'!$D$6)+1)-1))+2+2,3)))</f>
        <v/>
      </c>
      <c r="D219">
        <f>IF(OR($B219="",(N('My Rota'!$D$6)+1)&gt;53),"",""&amp;CHOOSE(IFERROR(MATCH('My Rota'!$D$5,Setup!$K$33:$K$36,0),1),INDEX('2027'!$A:$Z,(5+50*((N('My Rota'!$D$6)+1)-1))+2+2,4),INDEX('2028'!$A:$Z,(5+50*((N('My Rota'!$D$6)+1)-1))+2+2,4),INDEX('2029'!$A:$Z,(5+50*((N('My Rota'!$D$6)+1)-1))+2+2,4),INDEX('2030'!$A:$Z,(5+50*((N('My Rota'!$D$6)+1)-1))+2+2,4)))</f>
        <v/>
      </c>
      <c r="E219">
        <f>IF(OR($B219="",(N('My Rota'!$D$6)+1)&gt;53),"",""&amp;CHOOSE(IFERROR(MATCH('My Rota'!$D$5,Setup!$K$33:$K$36,0),1),INDEX('2027'!$A:$Z,(5+50*((N('My Rota'!$D$6)+1)-1))+2+2,5),INDEX('2028'!$A:$Z,(5+50*((N('My Rota'!$D$6)+1)-1))+2+2,5),INDEX('2029'!$A:$Z,(5+50*((N('My Rota'!$D$6)+1)-1))+2+2,5),INDEX('2030'!$A:$Z,(5+50*((N('My Rota'!$D$6)+1)-1))+2+2,5)))</f>
        <v/>
      </c>
      <c r="F219">
        <f>IF(OR($B219="",(N('My Rota'!$D$6)+1)&gt;53),"",""&amp;CHOOSE(IFERROR(MATCH('My Rota'!$D$5,Setup!$K$33:$K$36,0),1),INDEX('2027'!$A:$Z,(5+50*((N('My Rota'!$D$6)+1)-1))+2+2,6),INDEX('2028'!$A:$Z,(5+50*((N('My Rota'!$D$6)+1)-1))+2+2,6),INDEX('2029'!$A:$Z,(5+50*((N('My Rota'!$D$6)+1)-1))+2+2,6),INDEX('2030'!$A:$Z,(5+50*((N('My Rota'!$D$6)+1)-1))+2+2,6)))</f>
        <v/>
      </c>
      <c r="G219">
        <f>IF(OR($B219="",(N('My Rota'!$D$6)+1)&gt;53),"",""&amp;CHOOSE(IFERROR(MATCH('My Rota'!$D$5,Setup!$K$33:$K$36,0),1),INDEX('2027'!$A:$Z,(5+50*((N('My Rota'!$D$6)+1)-1))+2+2,7),INDEX('2028'!$A:$Z,(5+50*((N('My Rota'!$D$6)+1)-1))+2+2,7),INDEX('2029'!$A:$Z,(5+50*((N('My Rota'!$D$6)+1)-1))+2+2,7),INDEX('2030'!$A:$Z,(5+50*((N('My Rota'!$D$6)+1)-1))+2+2,7)))</f>
        <v/>
      </c>
      <c r="H219">
        <f>IF(OR($B219="",(N('My Rota'!$D$6)+1)&gt;53),"",""&amp;CHOOSE(IFERROR(MATCH('My Rota'!$D$5,Setup!$K$33:$K$36,0),1),INDEX('2027'!$A:$Z,(5+50*((N('My Rota'!$D$6)+1)-1))+2+2,8),INDEX('2028'!$A:$Z,(5+50*((N('My Rota'!$D$6)+1)-1))+2+2,8),INDEX('2029'!$A:$Z,(5+50*((N('My Rota'!$D$6)+1)-1))+2+2,8),INDEX('2030'!$A:$Z,(5+50*((N('My Rota'!$D$6)+1)-1))+2+2,8)))</f>
        <v/>
      </c>
      <c r="I219">
        <f>IF(OR($B219="",(N('My Rota'!$D$6)+1)&gt;53),"",""&amp;CHOOSE(IFERROR(MATCH('My Rota'!$D$5,Setup!$K$33:$K$36,0),1),INDEX('2027'!$A:$Z,(5+50*((N('My Rota'!$D$6)+1)-1))+2+2,9),INDEX('2028'!$A:$Z,(5+50*((N('My Rota'!$D$6)+1)-1))+2+2,9),INDEX('2029'!$A:$Z,(5+50*((N('My Rota'!$D$6)+1)-1))+2+2,9),INDEX('2030'!$A:$Z,(5+50*((N('My Rota'!$D$6)+1)-1))+2+2,9)))</f>
        <v/>
      </c>
      <c r="J219">
        <f>IF(OR($B219="",(N('My Rota'!$D$6)+1)&gt;53),"",""&amp;CHOOSE(IFERROR(MATCH('My Rota'!$D$5,Setup!$K$33:$K$36,0),1),INDEX('2027'!$A:$Z,(5+50*((N('My Rota'!$D$6)+1)-1))+2+2,10),INDEX('2028'!$A:$Z,(5+50*((N('My Rota'!$D$6)+1)-1))+2+2,10),INDEX('2029'!$A:$Z,(5+50*((N('My Rota'!$D$6)+1)-1))+2+2,10),INDEX('2030'!$A:$Z,(5+50*((N('My Rota'!$D$6)+1)-1))+2+2,10)))</f>
        <v/>
      </c>
      <c r="K219">
        <f>IF(OR($B219="",(N('My Rota'!$D$6)+1)&gt;53),"",""&amp;CHOOSE(IFERROR(MATCH('My Rota'!$D$5,Setup!$K$33:$K$36,0),1),INDEX('2027'!$A:$Z,(5+50*((N('My Rota'!$D$6)+1)-1))+2+2,11),INDEX('2028'!$A:$Z,(5+50*((N('My Rota'!$D$6)+1)-1))+2+2,11),INDEX('2029'!$A:$Z,(5+50*((N('My Rota'!$D$6)+1)-1))+2+2,11),INDEX('2030'!$A:$Z,(5+50*((N('My Rota'!$D$6)+1)-1))+2+2,11)))</f>
        <v/>
      </c>
      <c r="L219">
        <f>IF(OR($B219="",(N('My Rota'!$D$6)+1)&gt;53),"",""&amp;CHOOSE(IFERROR(MATCH('My Rota'!$D$5,Setup!$K$33:$K$36,0),1),INDEX('2027'!$A:$Z,(5+50*((N('My Rota'!$D$6)+1)-1))+2+2,12),INDEX('2028'!$A:$Z,(5+50*((N('My Rota'!$D$6)+1)-1))+2+2,12),INDEX('2029'!$A:$Z,(5+50*((N('My Rota'!$D$6)+1)-1))+2+2,12),INDEX('2030'!$A:$Z,(5+50*((N('My Rota'!$D$6)+1)-1))+2+2,12)))</f>
        <v/>
      </c>
      <c r="M219">
        <f>IF(OR($B219="",(N('My Rota'!$D$6)+1)&gt;53),"",""&amp;CHOOSE(IFERROR(MATCH('My Rota'!$D$5,Setup!$K$33:$K$36,0),1),INDEX('2027'!$A:$Z,(5+50*((N('My Rota'!$D$6)+1)-1))+2+2,13),INDEX('2028'!$A:$Z,(5+50*((N('My Rota'!$D$6)+1)-1))+2+2,13),INDEX('2029'!$A:$Z,(5+50*((N('My Rota'!$D$6)+1)-1))+2+2,13),INDEX('2030'!$A:$Z,(5+50*((N('My Rota'!$D$6)+1)-1))+2+2,13)))</f>
        <v/>
      </c>
      <c r="N219">
        <f>IF(OR($B219="",(N('My Rota'!$D$6)+1)&gt;53),"",""&amp;CHOOSE(IFERROR(MATCH('My Rota'!$D$5,Setup!$K$33:$K$36,0),1),INDEX('2027'!$A:$Z,(5+50*((N('My Rota'!$D$6)+1)-1))+2+2,14),INDEX('2028'!$A:$Z,(5+50*((N('My Rota'!$D$6)+1)-1))+2+2,14),INDEX('2029'!$A:$Z,(5+50*((N('My Rota'!$D$6)+1)-1))+2+2,14),INDEX('2030'!$A:$Z,(5+50*((N('My Rota'!$D$6)+1)-1))+2+2,14)))</f>
        <v/>
      </c>
      <c r="O219">
        <f>IF(OR($B219="",(N('My Rota'!$D$6)+1)&gt;53),"",""&amp;CHOOSE(IFERROR(MATCH('My Rota'!$D$5,Setup!$K$33:$K$36,0),1),INDEX('2027'!$A:$Z,(5+50*((N('My Rota'!$D$6)+1)-1))+2+2,15),INDEX('2028'!$A:$Z,(5+50*((N('My Rota'!$D$6)+1)-1))+2+2,15),INDEX('2029'!$A:$Z,(5+50*((N('My Rota'!$D$6)+1)-1))+2+2,15),INDEX('2030'!$A:$Z,(5+50*((N('My Rota'!$D$6)+1)-1))+2+2,15)))</f>
        <v/>
      </c>
      <c r="P219">
        <f>IF(OR($B219="",(N('My Rota'!$D$6)+1)&gt;53),"",""&amp;CHOOSE(IFERROR(MATCH('My Rota'!$D$5,Setup!$K$33:$K$36,0),1),INDEX('2027'!$A:$Z,(5+50*((N('My Rota'!$D$6)+1)-1))+2+2,16),INDEX('2028'!$A:$Z,(5+50*((N('My Rota'!$D$6)+1)-1))+2+2,16),INDEX('2029'!$A:$Z,(5+50*((N('My Rota'!$D$6)+1)-1))+2+2,16),INDEX('2030'!$A:$Z,(5+50*((N('My Rota'!$D$6)+1)-1))+2+2,16)))</f>
        <v/>
      </c>
      <c r="Q219">
        <f>IF(OR($B219="",(N('My Rota'!$D$6)+1)&gt;53),"",""&amp;CHOOSE(IFERROR(MATCH('My Rota'!$D$5,Setup!$K$33:$K$36,0),1),INDEX('2027'!$A:$Z,(5+50*((N('My Rota'!$D$6)+1)-1))+2+2,17),INDEX('2028'!$A:$Z,(5+50*((N('My Rota'!$D$6)+1)-1))+2+2,17),INDEX('2029'!$A:$Z,(5+50*((N('My Rota'!$D$6)+1)-1))+2+2,17),INDEX('2030'!$A:$Z,(5+50*((N('My Rota'!$D$6)+1)-1))+2+2,17)))</f>
        <v/>
      </c>
      <c r="R219">
        <f>IF(OR($B219="",(N('My Rota'!$D$6)+1)&gt;53),"",""&amp;CHOOSE(IFERROR(MATCH('My Rota'!$D$5,Setup!$K$33:$K$36,0),1),INDEX('2027'!$A:$Z,(5+50*((N('My Rota'!$D$6)+1)-1))+2+2,18),INDEX('2028'!$A:$Z,(5+50*((N('My Rota'!$D$6)+1)-1))+2+2,18),INDEX('2029'!$A:$Z,(5+50*((N('My Rota'!$D$6)+1)-1))+2+2,18),INDEX('2030'!$A:$Z,(5+50*((N('My Rota'!$D$6)+1)-1))+2+2,18)))</f>
        <v/>
      </c>
      <c r="S219">
        <f>IF(OR($B219="",(N('My Rota'!$D$6)+1)&gt;53),"",""&amp;CHOOSE(IFERROR(MATCH('My Rota'!$D$5,Setup!$K$33:$K$36,0),1),INDEX('2027'!$A:$Z,(5+50*((N('My Rota'!$D$6)+1)-1))+2+2,19),INDEX('2028'!$A:$Z,(5+50*((N('My Rota'!$D$6)+1)-1))+2+2,19),INDEX('2029'!$A:$Z,(5+50*((N('My Rota'!$D$6)+1)-1))+2+2,19),INDEX('2030'!$A:$Z,(5+50*((N('My Rota'!$D$6)+1)-1))+2+2,19)))</f>
        <v/>
      </c>
      <c r="T219">
        <f>IF(OR($B219="",(N('My Rota'!$D$6)+1)&gt;53),"",""&amp;CHOOSE(IFERROR(MATCH('My Rota'!$D$5,Setup!$K$33:$K$36,0),1),INDEX('2027'!$A:$Z,(5+50*((N('My Rota'!$D$6)+1)-1))+2+2,20),INDEX('2028'!$A:$Z,(5+50*((N('My Rota'!$D$6)+1)-1))+2+2,20),INDEX('2029'!$A:$Z,(5+50*((N('My Rota'!$D$6)+1)-1))+2+2,20),INDEX('2030'!$A:$Z,(5+50*((N('My Rota'!$D$6)+1)-1))+2+2,20)))</f>
        <v/>
      </c>
      <c r="U219">
        <f>IF(OR($B219="",(N('My Rota'!$D$6)+1)&gt;53),"",""&amp;CHOOSE(IFERROR(MATCH('My Rota'!$D$5,Setup!$K$33:$K$36,0),1),INDEX('2027'!$A:$Z,(5+50*((N('My Rota'!$D$6)+1)-1))+2+2,21),INDEX('2028'!$A:$Z,(5+50*((N('My Rota'!$D$6)+1)-1))+2+2,21),INDEX('2029'!$A:$Z,(5+50*((N('My Rota'!$D$6)+1)-1))+2+2,21),INDEX('2030'!$A:$Z,(5+50*((N('My Rota'!$D$6)+1)-1))+2+2,21)))</f>
        <v/>
      </c>
      <c r="V219">
        <f>IF(OR($B219="",(N('My Rota'!$D$6)+1)&gt;53),"",""&amp;CHOOSE(IFERROR(MATCH('My Rota'!$D$5,Setup!$K$33:$K$36,0),1),INDEX('2027'!$A:$Z,(5+50*((N('My Rota'!$D$6)+1)-1))+2+2,22),INDEX('2028'!$A:$Z,(5+50*((N('My Rota'!$D$6)+1)-1))+2+2,22),INDEX('2029'!$A:$Z,(5+50*((N('My Rota'!$D$6)+1)-1))+2+2,22),INDEX('2030'!$A:$Z,(5+50*((N('My Rota'!$D$6)+1)-1))+2+2,22)))</f>
        <v/>
      </c>
      <c r="W219">
        <f>IF(OR($B219="",(N('My Rota'!$D$6)+1)&gt;53),"",""&amp;CHOOSE(IFERROR(MATCH('My Rota'!$D$5,Setup!$K$33:$K$36,0),1),INDEX('2027'!$A:$Z,(5+50*((N('My Rota'!$D$6)+1)-1))+2+2,23),INDEX('2028'!$A:$Z,(5+50*((N('My Rota'!$D$6)+1)-1))+2+2,23),INDEX('2029'!$A:$Z,(5+50*((N('My Rota'!$D$6)+1)-1))+2+2,23),INDEX('2030'!$A:$Z,(5+50*((N('My Rota'!$D$6)+1)-1))+2+2,23)))</f>
        <v/>
      </c>
      <c r="X219">
        <f>IF(OR($B219="",(N('My Rota'!$D$6)+1)&gt;53),"",""&amp;CHOOSE(IFERROR(MATCH('My Rota'!$D$5,Setup!$K$33:$K$36,0),1),INDEX('2027'!$A:$Z,(5+50*((N('My Rota'!$D$6)+1)-1))+2+2,24),INDEX('2028'!$A:$Z,(5+50*((N('My Rota'!$D$6)+1)-1))+2+2,24),INDEX('2029'!$A:$Z,(5+50*((N('My Rota'!$D$6)+1)-1))+2+2,24),INDEX('2030'!$A:$Z,(5+50*((N('My Rota'!$D$6)+1)-1))+2+2,24)))</f>
        <v/>
      </c>
      <c r="Y219">
        <f>IF(OR($B219="",(N('My Rota'!$D$6)+1)&gt;53),"",""&amp;CHOOSE(IFERROR(MATCH('My Rota'!$D$5,Setup!$K$33:$K$36,0),1),INDEX('2027'!$A:$Z,(5+50*((N('My Rota'!$D$6)+1)-1))+2+2,25),INDEX('2028'!$A:$Z,(5+50*((N('My Rota'!$D$6)+1)-1))+2+2,25),INDEX('2029'!$A:$Z,(5+50*((N('My Rota'!$D$6)+1)-1))+2+2,25),INDEX('2030'!$A:$Z,(5+50*((N('My Rota'!$D$6)+1)-1))+2+2,25)))</f>
        <v/>
      </c>
      <c r="Z219">
        <f>IF(OR($B219="",(N('My Rota'!$D$6)+1)&gt;53),"",""&amp;CHOOSE(IFERROR(MATCH('My Rota'!$D$5,Setup!$K$33:$K$36,0),1),INDEX('2027'!$A:$Z,(5+50*((N('My Rota'!$D$6)+1)-1))+2+2,26),INDEX('2028'!$A:$Z,(5+50*((N('My Rota'!$D$6)+1)-1))+2+2,26),INDEX('2029'!$A:$Z,(5+50*((N('My Rota'!$D$6)+1)-1))+2+2,26),INDEX('2030'!$A:$Z,(5+50*((N('My Rota'!$D$6)+1)-1))+2+2,26)))</f>
        <v/>
      </c>
    </row>
    <row r="220">
      <c r="A220" t="n">
        <v>2</v>
      </c>
      <c r="B220">
        <f>$B$49</f>
        <v/>
      </c>
      <c r="C220">
        <f>IF(OR($B220="",(N('My Rota'!$D$6)+1)&gt;53),"",""&amp;CHOOSE(IFERROR(MATCH('My Rota'!$D$5,Setup!$K$33:$K$36,0),1),INDEX('2027'!$A:$Z,(5+50*((N('My Rota'!$D$6)+1)-1))+2+3,3),INDEX('2028'!$A:$Z,(5+50*((N('My Rota'!$D$6)+1)-1))+2+3,3),INDEX('2029'!$A:$Z,(5+50*((N('My Rota'!$D$6)+1)-1))+2+3,3),INDEX('2030'!$A:$Z,(5+50*((N('My Rota'!$D$6)+1)-1))+2+3,3)))</f>
        <v/>
      </c>
      <c r="D220">
        <f>IF(OR($B220="",(N('My Rota'!$D$6)+1)&gt;53),"",""&amp;CHOOSE(IFERROR(MATCH('My Rota'!$D$5,Setup!$K$33:$K$36,0),1),INDEX('2027'!$A:$Z,(5+50*((N('My Rota'!$D$6)+1)-1))+2+3,4),INDEX('2028'!$A:$Z,(5+50*((N('My Rota'!$D$6)+1)-1))+2+3,4),INDEX('2029'!$A:$Z,(5+50*((N('My Rota'!$D$6)+1)-1))+2+3,4),INDEX('2030'!$A:$Z,(5+50*((N('My Rota'!$D$6)+1)-1))+2+3,4)))</f>
        <v/>
      </c>
      <c r="E220">
        <f>IF(OR($B220="",(N('My Rota'!$D$6)+1)&gt;53),"",""&amp;CHOOSE(IFERROR(MATCH('My Rota'!$D$5,Setup!$K$33:$K$36,0),1),INDEX('2027'!$A:$Z,(5+50*((N('My Rota'!$D$6)+1)-1))+2+3,5),INDEX('2028'!$A:$Z,(5+50*((N('My Rota'!$D$6)+1)-1))+2+3,5),INDEX('2029'!$A:$Z,(5+50*((N('My Rota'!$D$6)+1)-1))+2+3,5),INDEX('2030'!$A:$Z,(5+50*((N('My Rota'!$D$6)+1)-1))+2+3,5)))</f>
        <v/>
      </c>
      <c r="F220">
        <f>IF(OR($B220="",(N('My Rota'!$D$6)+1)&gt;53),"",""&amp;CHOOSE(IFERROR(MATCH('My Rota'!$D$5,Setup!$K$33:$K$36,0),1),INDEX('2027'!$A:$Z,(5+50*((N('My Rota'!$D$6)+1)-1))+2+3,6),INDEX('2028'!$A:$Z,(5+50*((N('My Rota'!$D$6)+1)-1))+2+3,6),INDEX('2029'!$A:$Z,(5+50*((N('My Rota'!$D$6)+1)-1))+2+3,6),INDEX('2030'!$A:$Z,(5+50*((N('My Rota'!$D$6)+1)-1))+2+3,6)))</f>
        <v/>
      </c>
      <c r="G220">
        <f>IF(OR($B220="",(N('My Rota'!$D$6)+1)&gt;53),"",""&amp;CHOOSE(IFERROR(MATCH('My Rota'!$D$5,Setup!$K$33:$K$36,0),1),INDEX('2027'!$A:$Z,(5+50*((N('My Rota'!$D$6)+1)-1))+2+3,7),INDEX('2028'!$A:$Z,(5+50*((N('My Rota'!$D$6)+1)-1))+2+3,7),INDEX('2029'!$A:$Z,(5+50*((N('My Rota'!$D$6)+1)-1))+2+3,7),INDEX('2030'!$A:$Z,(5+50*((N('My Rota'!$D$6)+1)-1))+2+3,7)))</f>
        <v/>
      </c>
      <c r="H220">
        <f>IF(OR($B220="",(N('My Rota'!$D$6)+1)&gt;53),"",""&amp;CHOOSE(IFERROR(MATCH('My Rota'!$D$5,Setup!$K$33:$K$36,0),1),INDEX('2027'!$A:$Z,(5+50*((N('My Rota'!$D$6)+1)-1))+2+3,8),INDEX('2028'!$A:$Z,(5+50*((N('My Rota'!$D$6)+1)-1))+2+3,8),INDEX('2029'!$A:$Z,(5+50*((N('My Rota'!$D$6)+1)-1))+2+3,8),INDEX('2030'!$A:$Z,(5+50*((N('My Rota'!$D$6)+1)-1))+2+3,8)))</f>
        <v/>
      </c>
      <c r="I220">
        <f>IF(OR($B220="",(N('My Rota'!$D$6)+1)&gt;53),"",""&amp;CHOOSE(IFERROR(MATCH('My Rota'!$D$5,Setup!$K$33:$K$36,0),1),INDEX('2027'!$A:$Z,(5+50*((N('My Rota'!$D$6)+1)-1))+2+3,9),INDEX('2028'!$A:$Z,(5+50*((N('My Rota'!$D$6)+1)-1))+2+3,9),INDEX('2029'!$A:$Z,(5+50*((N('My Rota'!$D$6)+1)-1))+2+3,9),INDEX('2030'!$A:$Z,(5+50*((N('My Rota'!$D$6)+1)-1))+2+3,9)))</f>
        <v/>
      </c>
      <c r="J220">
        <f>IF(OR($B220="",(N('My Rota'!$D$6)+1)&gt;53),"",""&amp;CHOOSE(IFERROR(MATCH('My Rota'!$D$5,Setup!$K$33:$K$36,0),1),INDEX('2027'!$A:$Z,(5+50*((N('My Rota'!$D$6)+1)-1))+2+3,10),INDEX('2028'!$A:$Z,(5+50*((N('My Rota'!$D$6)+1)-1))+2+3,10),INDEX('2029'!$A:$Z,(5+50*((N('My Rota'!$D$6)+1)-1))+2+3,10),INDEX('2030'!$A:$Z,(5+50*((N('My Rota'!$D$6)+1)-1))+2+3,10)))</f>
        <v/>
      </c>
      <c r="K220">
        <f>IF(OR($B220="",(N('My Rota'!$D$6)+1)&gt;53),"",""&amp;CHOOSE(IFERROR(MATCH('My Rota'!$D$5,Setup!$K$33:$K$36,0),1),INDEX('2027'!$A:$Z,(5+50*((N('My Rota'!$D$6)+1)-1))+2+3,11),INDEX('2028'!$A:$Z,(5+50*((N('My Rota'!$D$6)+1)-1))+2+3,11),INDEX('2029'!$A:$Z,(5+50*((N('My Rota'!$D$6)+1)-1))+2+3,11),INDEX('2030'!$A:$Z,(5+50*((N('My Rota'!$D$6)+1)-1))+2+3,11)))</f>
        <v/>
      </c>
      <c r="L220">
        <f>IF(OR($B220="",(N('My Rota'!$D$6)+1)&gt;53),"",""&amp;CHOOSE(IFERROR(MATCH('My Rota'!$D$5,Setup!$K$33:$K$36,0),1),INDEX('2027'!$A:$Z,(5+50*((N('My Rota'!$D$6)+1)-1))+2+3,12),INDEX('2028'!$A:$Z,(5+50*((N('My Rota'!$D$6)+1)-1))+2+3,12),INDEX('2029'!$A:$Z,(5+50*((N('My Rota'!$D$6)+1)-1))+2+3,12),INDEX('2030'!$A:$Z,(5+50*((N('My Rota'!$D$6)+1)-1))+2+3,12)))</f>
        <v/>
      </c>
      <c r="M220">
        <f>IF(OR($B220="",(N('My Rota'!$D$6)+1)&gt;53),"",""&amp;CHOOSE(IFERROR(MATCH('My Rota'!$D$5,Setup!$K$33:$K$36,0),1),INDEX('2027'!$A:$Z,(5+50*((N('My Rota'!$D$6)+1)-1))+2+3,13),INDEX('2028'!$A:$Z,(5+50*((N('My Rota'!$D$6)+1)-1))+2+3,13),INDEX('2029'!$A:$Z,(5+50*((N('My Rota'!$D$6)+1)-1))+2+3,13),INDEX('2030'!$A:$Z,(5+50*((N('My Rota'!$D$6)+1)-1))+2+3,13)))</f>
        <v/>
      </c>
      <c r="N220">
        <f>IF(OR($B220="",(N('My Rota'!$D$6)+1)&gt;53),"",""&amp;CHOOSE(IFERROR(MATCH('My Rota'!$D$5,Setup!$K$33:$K$36,0),1),INDEX('2027'!$A:$Z,(5+50*((N('My Rota'!$D$6)+1)-1))+2+3,14),INDEX('2028'!$A:$Z,(5+50*((N('My Rota'!$D$6)+1)-1))+2+3,14),INDEX('2029'!$A:$Z,(5+50*((N('My Rota'!$D$6)+1)-1))+2+3,14),INDEX('2030'!$A:$Z,(5+50*((N('My Rota'!$D$6)+1)-1))+2+3,14)))</f>
        <v/>
      </c>
      <c r="O220">
        <f>IF(OR($B220="",(N('My Rota'!$D$6)+1)&gt;53),"",""&amp;CHOOSE(IFERROR(MATCH('My Rota'!$D$5,Setup!$K$33:$K$36,0),1),INDEX('2027'!$A:$Z,(5+50*((N('My Rota'!$D$6)+1)-1))+2+3,15),INDEX('2028'!$A:$Z,(5+50*((N('My Rota'!$D$6)+1)-1))+2+3,15),INDEX('2029'!$A:$Z,(5+50*((N('My Rota'!$D$6)+1)-1))+2+3,15),INDEX('2030'!$A:$Z,(5+50*((N('My Rota'!$D$6)+1)-1))+2+3,15)))</f>
        <v/>
      </c>
      <c r="P220">
        <f>IF(OR($B220="",(N('My Rota'!$D$6)+1)&gt;53),"",""&amp;CHOOSE(IFERROR(MATCH('My Rota'!$D$5,Setup!$K$33:$K$36,0),1),INDEX('2027'!$A:$Z,(5+50*((N('My Rota'!$D$6)+1)-1))+2+3,16),INDEX('2028'!$A:$Z,(5+50*((N('My Rota'!$D$6)+1)-1))+2+3,16),INDEX('2029'!$A:$Z,(5+50*((N('My Rota'!$D$6)+1)-1))+2+3,16),INDEX('2030'!$A:$Z,(5+50*((N('My Rota'!$D$6)+1)-1))+2+3,16)))</f>
        <v/>
      </c>
      <c r="Q220">
        <f>IF(OR($B220="",(N('My Rota'!$D$6)+1)&gt;53),"",""&amp;CHOOSE(IFERROR(MATCH('My Rota'!$D$5,Setup!$K$33:$K$36,0),1),INDEX('2027'!$A:$Z,(5+50*((N('My Rota'!$D$6)+1)-1))+2+3,17),INDEX('2028'!$A:$Z,(5+50*((N('My Rota'!$D$6)+1)-1))+2+3,17),INDEX('2029'!$A:$Z,(5+50*((N('My Rota'!$D$6)+1)-1))+2+3,17),INDEX('2030'!$A:$Z,(5+50*((N('My Rota'!$D$6)+1)-1))+2+3,17)))</f>
        <v/>
      </c>
      <c r="R220">
        <f>IF(OR($B220="",(N('My Rota'!$D$6)+1)&gt;53),"",""&amp;CHOOSE(IFERROR(MATCH('My Rota'!$D$5,Setup!$K$33:$K$36,0),1),INDEX('2027'!$A:$Z,(5+50*((N('My Rota'!$D$6)+1)-1))+2+3,18),INDEX('2028'!$A:$Z,(5+50*((N('My Rota'!$D$6)+1)-1))+2+3,18),INDEX('2029'!$A:$Z,(5+50*((N('My Rota'!$D$6)+1)-1))+2+3,18),INDEX('2030'!$A:$Z,(5+50*((N('My Rota'!$D$6)+1)-1))+2+3,18)))</f>
        <v/>
      </c>
      <c r="S220">
        <f>IF(OR($B220="",(N('My Rota'!$D$6)+1)&gt;53),"",""&amp;CHOOSE(IFERROR(MATCH('My Rota'!$D$5,Setup!$K$33:$K$36,0),1),INDEX('2027'!$A:$Z,(5+50*((N('My Rota'!$D$6)+1)-1))+2+3,19),INDEX('2028'!$A:$Z,(5+50*((N('My Rota'!$D$6)+1)-1))+2+3,19),INDEX('2029'!$A:$Z,(5+50*((N('My Rota'!$D$6)+1)-1))+2+3,19),INDEX('2030'!$A:$Z,(5+50*((N('My Rota'!$D$6)+1)-1))+2+3,19)))</f>
        <v/>
      </c>
      <c r="T220">
        <f>IF(OR($B220="",(N('My Rota'!$D$6)+1)&gt;53),"",""&amp;CHOOSE(IFERROR(MATCH('My Rota'!$D$5,Setup!$K$33:$K$36,0),1),INDEX('2027'!$A:$Z,(5+50*((N('My Rota'!$D$6)+1)-1))+2+3,20),INDEX('2028'!$A:$Z,(5+50*((N('My Rota'!$D$6)+1)-1))+2+3,20),INDEX('2029'!$A:$Z,(5+50*((N('My Rota'!$D$6)+1)-1))+2+3,20),INDEX('2030'!$A:$Z,(5+50*((N('My Rota'!$D$6)+1)-1))+2+3,20)))</f>
        <v/>
      </c>
      <c r="U220">
        <f>IF(OR($B220="",(N('My Rota'!$D$6)+1)&gt;53),"",""&amp;CHOOSE(IFERROR(MATCH('My Rota'!$D$5,Setup!$K$33:$K$36,0),1),INDEX('2027'!$A:$Z,(5+50*((N('My Rota'!$D$6)+1)-1))+2+3,21),INDEX('2028'!$A:$Z,(5+50*((N('My Rota'!$D$6)+1)-1))+2+3,21),INDEX('2029'!$A:$Z,(5+50*((N('My Rota'!$D$6)+1)-1))+2+3,21),INDEX('2030'!$A:$Z,(5+50*((N('My Rota'!$D$6)+1)-1))+2+3,21)))</f>
        <v/>
      </c>
      <c r="V220">
        <f>IF(OR($B220="",(N('My Rota'!$D$6)+1)&gt;53),"",""&amp;CHOOSE(IFERROR(MATCH('My Rota'!$D$5,Setup!$K$33:$K$36,0),1),INDEX('2027'!$A:$Z,(5+50*((N('My Rota'!$D$6)+1)-1))+2+3,22),INDEX('2028'!$A:$Z,(5+50*((N('My Rota'!$D$6)+1)-1))+2+3,22),INDEX('2029'!$A:$Z,(5+50*((N('My Rota'!$D$6)+1)-1))+2+3,22),INDEX('2030'!$A:$Z,(5+50*((N('My Rota'!$D$6)+1)-1))+2+3,22)))</f>
        <v/>
      </c>
      <c r="W220">
        <f>IF(OR($B220="",(N('My Rota'!$D$6)+1)&gt;53),"",""&amp;CHOOSE(IFERROR(MATCH('My Rota'!$D$5,Setup!$K$33:$K$36,0),1),INDEX('2027'!$A:$Z,(5+50*((N('My Rota'!$D$6)+1)-1))+2+3,23),INDEX('2028'!$A:$Z,(5+50*((N('My Rota'!$D$6)+1)-1))+2+3,23),INDEX('2029'!$A:$Z,(5+50*((N('My Rota'!$D$6)+1)-1))+2+3,23),INDEX('2030'!$A:$Z,(5+50*((N('My Rota'!$D$6)+1)-1))+2+3,23)))</f>
        <v/>
      </c>
      <c r="X220">
        <f>IF(OR($B220="",(N('My Rota'!$D$6)+1)&gt;53),"",""&amp;CHOOSE(IFERROR(MATCH('My Rota'!$D$5,Setup!$K$33:$K$36,0),1),INDEX('2027'!$A:$Z,(5+50*((N('My Rota'!$D$6)+1)-1))+2+3,24),INDEX('2028'!$A:$Z,(5+50*((N('My Rota'!$D$6)+1)-1))+2+3,24),INDEX('2029'!$A:$Z,(5+50*((N('My Rota'!$D$6)+1)-1))+2+3,24),INDEX('2030'!$A:$Z,(5+50*((N('My Rota'!$D$6)+1)-1))+2+3,24)))</f>
        <v/>
      </c>
      <c r="Y220">
        <f>IF(OR($B220="",(N('My Rota'!$D$6)+1)&gt;53),"",""&amp;CHOOSE(IFERROR(MATCH('My Rota'!$D$5,Setup!$K$33:$K$36,0),1),INDEX('2027'!$A:$Z,(5+50*((N('My Rota'!$D$6)+1)-1))+2+3,25),INDEX('2028'!$A:$Z,(5+50*((N('My Rota'!$D$6)+1)-1))+2+3,25),INDEX('2029'!$A:$Z,(5+50*((N('My Rota'!$D$6)+1)-1))+2+3,25),INDEX('2030'!$A:$Z,(5+50*((N('My Rota'!$D$6)+1)-1))+2+3,25)))</f>
        <v/>
      </c>
      <c r="Z220">
        <f>IF(OR($B220="",(N('My Rota'!$D$6)+1)&gt;53),"",""&amp;CHOOSE(IFERROR(MATCH('My Rota'!$D$5,Setup!$K$33:$K$36,0),1),INDEX('2027'!$A:$Z,(5+50*((N('My Rota'!$D$6)+1)-1))+2+3,26),INDEX('2028'!$A:$Z,(5+50*((N('My Rota'!$D$6)+1)-1))+2+3,26),INDEX('2029'!$A:$Z,(5+50*((N('My Rota'!$D$6)+1)-1))+2+3,26),INDEX('2030'!$A:$Z,(5+50*((N('My Rota'!$D$6)+1)-1))+2+3,26)))</f>
        <v/>
      </c>
    </row>
    <row r="221">
      <c r="A221" t="n">
        <v>2</v>
      </c>
      <c r="B221">
        <f>$B$50</f>
        <v/>
      </c>
      <c r="C221">
        <f>IF(OR($B221="",(N('My Rota'!$D$6)+1)&gt;53),"",""&amp;CHOOSE(IFERROR(MATCH('My Rota'!$D$5,Setup!$K$33:$K$36,0),1),INDEX('2027'!$A:$Z,(5+50*((N('My Rota'!$D$6)+1)-1))+2+4,3),INDEX('2028'!$A:$Z,(5+50*((N('My Rota'!$D$6)+1)-1))+2+4,3),INDEX('2029'!$A:$Z,(5+50*((N('My Rota'!$D$6)+1)-1))+2+4,3),INDEX('2030'!$A:$Z,(5+50*((N('My Rota'!$D$6)+1)-1))+2+4,3)))</f>
        <v/>
      </c>
      <c r="D221">
        <f>IF(OR($B221="",(N('My Rota'!$D$6)+1)&gt;53),"",""&amp;CHOOSE(IFERROR(MATCH('My Rota'!$D$5,Setup!$K$33:$K$36,0),1),INDEX('2027'!$A:$Z,(5+50*((N('My Rota'!$D$6)+1)-1))+2+4,4),INDEX('2028'!$A:$Z,(5+50*((N('My Rota'!$D$6)+1)-1))+2+4,4),INDEX('2029'!$A:$Z,(5+50*((N('My Rota'!$D$6)+1)-1))+2+4,4),INDEX('2030'!$A:$Z,(5+50*((N('My Rota'!$D$6)+1)-1))+2+4,4)))</f>
        <v/>
      </c>
      <c r="E221">
        <f>IF(OR($B221="",(N('My Rota'!$D$6)+1)&gt;53),"",""&amp;CHOOSE(IFERROR(MATCH('My Rota'!$D$5,Setup!$K$33:$K$36,0),1),INDEX('2027'!$A:$Z,(5+50*((N('My Rota'!$D$6)+1)-1))+2+4,5),INDEX('2028'!$A:$Z,(5+50*((N('My Rota'!$D$6)+1)-1))+2+4,5),INDEX('2029'!$A:$Z,(5+50*((N('My Rota'!$D$6)+1)-1))+2+4,5),INDEX('2030'!$A:$Z,(5+50*((N('My Rota'!$D$6)+1)-1))+2+4,5)))</f>
        <v/>
      </c>
      <c r="F221">
        <f>IF(OR($B221="",(N('My Rota'!$D$6)+1)&gt;53),"",""&amp;CHOOSE(IFERROR(MATCH('My Rota'!$D$5,Setup!$K$33:$K$36,0),1),INDEX('2027'!$A:$Z,(5+50*((N('My Rota'!$D$6)+1)-1))+2+4,6),INDEX('2028'!$A:$Z,(5+50*((N('My Rota'!$D$6)+1)-1))+2+4,6),INDEX('2029'!$A:$Z,(5+50*((N('My Rota'!$D$6)+1)-1))+2+4,6),INDEX('2030'!$A:$Z,(5+50*((N('My Rota'!$D$6)+1)-1))+2+4,6)))</f>
        <v/>
      </c>
      <c r="G221">
        <f>IF(OR($B221="",(N('My Rota'!$D$6)+1)&gt;53),"",""&amp;CHOOSE(IFERROR(MATCH('My Rota'!$D$5,Setup!$K$33:$K$36,0),1),INDEX('2027'!$A:$Z,(5+50*((N('My Rota'!$D$6)+1)-1))+2+4,7),INDEX('2028'!$A:$Z,(5+50*((N('My Rota'!$D$6)+1)-1))+2+4,7),INDEX('2029'!$A:$Z,(5+50*((N('My Rota'!$D$6)+1)-1))+2+4,7),INDEX('2030'!$A:$Z,(5+50*((N('My Rota'!$D$6)+1)-1))+2+4,7)))</f>
        <v/>
      </c>
      <c r="H221">
        <f>IF(OR($B221="",(N('My Rota'!$D$6)+1)&gt;53),"",""&amp;CHOOSE(IFERROR(MATCH('My Rota'!$D$5,Setup!$K$33:$K$36,0),1),INDEX('2027'!$A:$Z,(5+50*((N('My Rota'!$D$6)+1)-1))+2+4,8),INDEX('2028'!$A:$Z,(5+50*((N('My Rota'!$D$6)+1)-1))+2+4,8),INDEX('2029'!$A:$Z,(5+50*((N('My Rota'!$D$6)+1)-1))+2+4,8),INDEX('2030'!$A:$Z,(5+50*((N('My Rota'!$D$6)+1)-1))+2+4,8)))</f>
        <v/>
      </c>
      <c r="I221">
        <f>IF(OR($B221="",(N('My Rota'!$D$6)+1)&gt;53),"",""&amp;CHOOSE(IFERROR(MATCH('My Rota'!$D$5,Setup!$K$33:$K$36,0),1),INDEX('2027'!$A:$Z,(5+50*((N('My Rota'!$D$6)+1)-1))+2+4,9),INDEX('2028'!$A:$Z,(5+50*((N('My Rota'!$D$6)+1)-1))+2+4,9),INDEX('2029'!$A:$Z,(5+50*((N('My Rota'!$D$6)+1)-1))+2+4,9),INDEX('2030'!$A:$Z,(5+50*((N('My Rota'!$D$6)+1)-1))+2+4,9)))</f>
        <v/>
      </c>
      <c r="J221">
        <f>IF(OR($B221="",(N('My Rota'!$D$6)+1)&gt;53),"",""&amp;CHOOSE(IFERROR(MATCH('My Rota'!$D$5,Setup!$K$33:$K$36,0),1),INDEX('2027'!$A:$Z,(5+50*((N('My Rota'!$D$6)+1)-1))+2+4,10),INDEX('2028'!$A:$Z,(5+50*((N('My Rota'!$D$6)+1)-1))+2+4,10),INDEX('2029'!$A:$Z,(5+50*((N('My Rota'!$D$6)+1)-1))+2+4,10),INDEX('2030'!$A:$Z,(5+50*((N('My Rota'!$D$6)+1)-1))+2+4,10)))</f>
        <v/>
      </c>
      <c r="K221">
        <f>IF(OR($B221="",(N('My Rota'!$D$6)+1)&gt;53),"",""&amp;CHOOSE(IFERROR(MATCH('My Rota'!$D$5,Setup!$K$33:$K$36,0),1),INDEX('2027'!$A:$Z,(5+50*((N('My Rota'!$D$6)+1)-1))+2+4,11),INDEX('2028'!$A:$Z,(5+50*((N('My Rota'!$D$6)+1)-1))+2+4,11),INDEX('2029'!$A:$Z,(5+50*((N('My Rota'!$D$6)+1)-1))+2+4,11),INDEX('2030'!$A:$Z,(5+50*((N('My Rota'!$D$6)+1)-1))+2+4,11)))</f>
        <v/>
      </c>
      <c r="L221">
        <f>IF(OR($B221="",(N('My Rota'!$D$6)+1)&gt;53),"",""&amp;CHOOSE(IFERROR(MATCH('My Rota'!$D$5,Setup!$K$33:$K$36,0),1),INDEX('2027'!$A:$Z,(5+50*((N('My Rota'!$D$6)+1)-1))+2+4,12),INDEX('2028'!$A:$Z,(5+50*((N('My Rota'!$D$6)+1)-1))+2+4,12),INDEX('2029'!$A:$Z,(5+50*((N('My Rota'!$D$6)+1)-1))+2+4,12),INDEX('2030'!$A:$Z,(5+50*((N('My Rota'!$D$6)+1)-1))+2+4,12)))</f>
        <v/>
      </c>
      <c r="M221">
        <f>IF(OR($B221="",(N('My Rota'!$D$6)+1)&gt;53),"",""&amp;CHOOSE(IFERROR(MATCH('My Rota'!$D$5,Setup!$K$33:$K$36,0),1),INDEX('2027'!$A:$Z,(5+50*((N('My Rota'!$D$6)+1)-1))+2+4,13),INDEX('2028'!$A:$Z,(5+50*((N('My Rota'!$D$6)+1)-1))+2+4,13),INDEX('2029'!$A:$Z,(5+50*((N('My Rota'!$D$6)+1)-1))+2+4,13),INDEX('2030'!$A:$Z,(5+50*((N('My Rota'!$D$6)+1)-1))+2+4,13)))</f>
        <v/>
      </c>
      <c r="N221">
        <f>IF(OR($B221="",(N('My Rota'!$D$6)+1)&gt;53),"",""&amp;CHOOSE(IFERROR(MATCH('My Rota'!$D$5,Setup!$K$33:$K$36,0),1),INDEX('2027'!$A:$Z,(5+50*((N('My Rota'!$D$6)+1)-1))+2+4,14),INDEX('2028'!$A:$Z,(5+50*((N('My Rota'!$D$6)+1)-1))+2+4,14),INDEX('2029'!$A:$Z,(5+50*((N('My Rota'!$D$6)+1)-1))+2+4,14),INDEX('2030'!$A:$Z,(5+50*((N('My Rota'!$D$6)+1)-1))+2+4,14)))</f>
        <v/>
      </c>
      <c r="O221">
        <f>IF(OR($B221="",(N('My Rota'!$D$6)+1)&gt;53),"",""&amp;CHOOSE(IFERROR(MATCH('My Rota'!$D$5,Setup!$K$33:$K$36,0),1),INDEX('2027'!$A:$Z,(5+50*((N('My Rota'!$D$6)+1)-1))+2+4,15),INDEX('2028'!$A:$Z,(5+50*((N('My Rota'!$D$6)+1)-1))+2+4,15),INDEX('2029'!$A:$Z,(5+50*((N('My Rota'!$D$6)+1)-1))+2+4,15),INDEX('2030'!$A:$Z,(5+50*((N('My Rota'!$D$6)+1)-1))+2+4,15)))</f>
        <v/>
      </c>
      <c r="P221">
        <f>IF(OR($B221="",(N('My Rota'!$D$6)+1)&gt;53),"",""&amp;CHOOSE(IFERROR(MATCH('My Rota'!$D$5,Setup!$K$33:$K$36,0),1),INDEX('2027'!$A:$Z,(5+50*((N('My Rota'!$D$6)+1)-1))+2+4,16),INDEX('2028'!$A:$Z,(5+50*((N('My Rota'!$D$6)+1)-1))+2+4,16),INDEX('2029'!$A:$Z,(5+50*((N('My Rota'!$D$6)+1)-1))+2+4,16),INDEX('2030'!$A:$Z,(5+50*((N('My Rota'!$D$6)+1)-1))+2+4,16)))</f>
        <v/>
      </c>
      <c r="Q221">
        <f>IF(OR($B221="",(N('My Rota'!$D$6)+1)&gt;53),"",""&amp;CHOOSE(IFERROR(MATCH('My Rota'!$D$5,Setup!$K$33:$K$36,0),1),INDEX('2027'!$A:$Z,(5+50*((N('My Rota'!$D$6)+1)-1))+2+4,17),INDEX('2028'!$A:$Z,(5+50*((N('My Rota'!$D$6)+1)-1))+2+4,17),INDEX('2029'!$A:$Z,(5+50*((N('My Rota'!$D$6)+1)-1))+2+4,17),INDEX('2030'!$A:$Z,(5+50*((N('My Rota'!$D$6)+1)-1))+2+4,17)))</f>
        <v/>
      </c>
      <c r="R221">
        <f>IF(OR($B221="",(N('My Rota'!$D$6)+1)&gt;53),"",""&amp;CHOOSE(IFERROR(MATCH('My Rota'!$D$5,Setup!$K$33:$K$36,0),1),INDEX('2027'!$A:$Z,(5+50*((N('My Rota'!$D$6)+1)-1))+2+4,18),INDEX('2028'!$A:$Z,(5+50*((N('My Rota'!$D$6)+1)-1))+2+4,18),INDEX('2029'!$A:$Z,(5+50*((N('My Rota'!$D$6)+1)-1))+2+4,18),INDEX('2030'!$A:$Z,(5+50*((N('My Rota'!$D$6)+1)-1))+2+4,18)))</f>
        <v/>
      </c>
      <c r="S221">
        <f>IF(OR($B221="",(N('My Rota'!$D$6)+1)&gt;53),"",""&amp;CHOOSE(IFERROR(MATCH('My Rota'!$D$5,Setup!$K$33:$K$36,0),1),INDEX('2027'!$A:$Z,(5+50*((N('My Rota'!$D$6)+1)-1))+2+4,19),INDEX('2028'!$A:$Z,(5+50*((N('My Rota'!$D$6)+1)-1))+2+4,19),INDEX('2029'!$A:$Z,(5+50*((N('My Rota'!$D$6)+1)-1))+2+4,19),INDEX('2030'!$A:$Z,(5+50*((N('My Rota'!$D$6)+1)-1))+2+4,19)))</f>
        <v/>
      </c>
      <c r="T221">
        <f>IF(OR($B221="",(N('My Rota'!$D$6)+1)&gt;53),"",""&amp;CHOOSE(IFERROR(MATCH('My Rota'!$D$5,Setup!$K$33:$K$36,0),1),INDEX('2027'!$A:$Z,(5+50*((N('My Rota'!$D$6)+1)-1))+2+4,20),INDEX('2028'!$A:$Z,(5+50*((N('My Rota'!$D$6)+1)-1))+2+4,20),INDEX('2029'!$A:$Z,(5+50*((N('My Rota'!$D$6)+1)-1))+2+4,20),INDEX('2030'!$A:$Z,(5+50*((N('My Rota'!$D$6)+1)-1))+2+4,20)))</f>
        <v/>
      </c>
      <c r="U221">
        <f>IF(OR($B221="",(N('My Rota'!$D$6)+1)&gt;53),"",""&amp;CHOOSE(IFERROR(MATCH('My Rota'!$D$5,Setup!$K$33:$K$36,0),1),INDEX('2027'!$A:$Z,(5+50*((N('My Rota'!$D$6)+1)-1))+2+4,21),INDEX('2028'!$A:$Z,(5+50*((N('My Rota'!$D$6)+1)-1))+2+4,21),INDEX('2029'!$A:$Z,(5+50*((N('My Rota'!$D$6)+1)-1))+2+4,21),INDEX('2030'!$A:$Z,(5+50*((N('My Rota'!$D$6)+1)-1))+2+4,21)))</f>
        <v/>
      </c>
      <c r="V221">
        <f>IF(OR($B221="",(N('My Rota'!$D$6)+1)&gt;53),"",""&amp;CHOOSE(IFERROR(MATCH('My Rota'!$D$5,Setup!$K$33:$K$36,0),1),INDEX('2027'!$A:$Z,(5+50*((N('My Rota'!$D$6)+1)-1))+2+4,22),INDEX('2028'!$A:$Z,(5+50*((N('My Rota'!$D$6)+1)-1))+2+4,22),INDEX('2029'!$A:$Z,(5+50*((N('My Rota'!$D$6)+1)-1))+2+4,22),INDEX('2030'!$A:$Z,(5+50*((N('My Rota'!$D$6)+1)-1))+2+4,22)))</f>
        <v/>
      </c>
      <c r="W221">
        <f>IF(OR($B221="",(N('My Rota'!$D$6)+1)&gt;53),"",""&amp;CHOOSE(IFERROR(MATCH('My Rota'!$D$5,Setup!$K$33:$K$36,0),1),INDEX('2027'!$A:$Z,(5+50*((N('My Rota'!$D$6)+1)-1))+2+4,23),INDEX('2028'!$A:$Z,(5+50*((N('My Rota'!$D$6)+1)-1))+2+4,23),INDEX('2029'!$A:$Z,(5+50*((N('My Rota'!$D$6)+1)-1))+2+4,23),INDEX('2030'!$A:$Z,(5+50*((N('My Rota'!$D$6)+1)-1))+2+4,23)))</f>
        <v/>
      </c>
      <c r="X221">
        <f>IF(OR($B221="",(N('My Rota'!$D$6)+1)&gt;53),"",""&amp;CHOOSE(IFERROR(MATCH('My Rota'!$D$5,Setup!$K$33:$K$36,0),1),INDEX('2027'!$A:$Z,(5+50*((N('My Rota'!$D$6)+1)-1))+2+4,24),INDEX('2028'!$A:$Z,(5+50*((N('My Rota'!$D$6)+1)-1))+2+4,24),INDEX('2029'!$A:$Z,(5+50*((N('My Rota'!$D$6)+1)-1))+2+4,24),INDEX('2030'!$A:$Z,(5+50*((N('My Rota'!$D$6)+1)-1))+2+4,24)))</f>
        <v/>
      </c>
      <c r="Y221">
        <f>IF(OR($B221="",(N('My Rota'!$D$6)+1)&gt;53),"",""&amp;CHOOSE(IFERROR(MATCH('My Rota'!$D$5,Setup!$K$33:$K$36,0),1),INDEX('2027'!$A:$Z,(5+50*((N('My Rota'!$D$6)+1)-1))+2+4,25),INDEX('2028'!$A:$Z,(5+50*((N('My Rota'!$D$6)+1)-1))+2+4,25),INDEX('2029'!$A:$Z,(5+50*((N('My Rota'!$D$6)+1)-1))+2+4,25),INDEX('2030'!$A:$Z,(5+50*((N('My Rota'!$D$6)+1)-1))+2+4,25)))</f>
        <v/>
      </c>
      <c r="Z221">
        <f>IF(OR($B221="",(N('My Rota'!$D$6)+1)&gt;53),"",""&amp;CHOOSE(IFERROR(MATCH('My Rota'!$D$5,Setup!$K$33:$K$36,0),1),INDEX('2027'!$A:$Z,(5+50*((N('My Rota'!$D$6)+1)-1))+2+4,26),INDEX('2028'!$A:$Z,(5+50*((N('My Rota'!$D$6)+1)-1))+2+4,26),INDEX('2029'!$A:$Z,(5+50*((N('My Rota'!$D$6)+1)-1))+2+4,26),INDEX('2030'!$A:$Z,(5+50*((N('My Rota'!$D$6)+1)-1))+2+4,26)))</f>
        <v/>
      </c>
    </row>
    <row r="222">
      <c r="A222" t="n">
        <v>2</v>
      </c>
      <c r="B222">
        <f>$B$51</f>
        <v/>
      </c>
      <c r="C222">
        <f>IF(OR($B222="",(N('My Rota'!$D$6)+1)&gt;53),"",""&amp;CHOOSE(IFERROR(MATCH('My Rota'!$D$5,Setup!$K$33:$K$36,0),1),INDEX('2027'!$A:$Z,(5+50*((N('My Rota'!$D$6)+1)-1))+2+5,3),INDEX('2028'!$A:$Z,(5+50*((N('My Rota'!$D$6)+1)-1))+2+5,3),INDEX('2029'!$A:$Z,(5+50*((N('My Rota'!$D$6)+1)-1))+2+5,3),INDEX('2030'!$A:$Z,(5+50*((N('My Rota'!$D$6)+1)-1))+2+5,3)))</f>
        <v/>
      </c>
      <c r="D222">
        <f>IF(OR($B222="",(N('My Rota'!$D$6)+1)&gt;53),"",""&amp;CHOOSE(IFERROR(MATCH('My Rota'!$D$5,Setup!$K$33:$K$36,0),1),INDEX('2027'!$A:$Z,(5+50*((N('My Rota'!$D$6)+1)-1))+2+5,4),INDEX('2028'!$A:$Z,(5+50*((N('My Rota'!$D$6)+1)-1))+2+5,4),INDEX('2029'!$A:$Z,(5+50*((N('My Rota'!$D$6)+1)-1))+2+5,4),INDEX('2030'!$A:$Z,(5+50*((N('My Rota'!$D$6)+1)-1))+2+5,4)))</f>
        <v/>
      </c>
      <c r="E222">
        <f>IF(OR($B222="",(N('My Rota'!$D$6)+1)&gt;53),"",""&amp;CHOOSE(IFERROR(MATCH('My Rota'!$D$5,Setup!$K$33:$K$36,0),1),INDEX('2027'!$A:$Z,(5+50*((N('My Rota'!$D$6)+1)-1))+2+5,5),INDEX('2028'!$A:$Z,(5+50*((N('My Rota'!$D$6)+1)-1))+2+5,5),INDEX('2029'!$A:$Z,(5+50*((N('My Rota'!$D$6)+1)-1))+2+5,5),INDEX('2030'!$A:$Z,(5+50*((N('My Rota'!$D$6)+1)-1))+2+5,5)))</f>
        <v/>
      </c>
      <c r="F222">
        <f>IF(OR($B222="",(N('My Rota'!$D$6)+1)&gt;53),"",""&amp;CHOOSE(IFERROR(MATCH('My Rota'!$D$5,Setup!$K$33:$K$36,0),1),INDEX('2027'!$A:$Z,(5+50*((N('My Rota'!$D$6)+1)-1))+2+5,6),INDEX('2028'!$A:$Z,(5+50*((N('My Rota'!$D$6)+1)-1))+2+5,6),INDEX('2029'!$A:$Z,(5+50*((N('My Rota'!$D$6)+1)-1))+2+5,6),INDEX('2030'!$A:$Z,(5+50*((N('My Rota'!$D$6)+1)-1))+2+5,6)))</f>
        <v/>
      </c>
      <c r="G222">
        <f>IF(OR($B222="",(N('My Rota'!$D$6)+1)&gt;53),"",""&amp;CHOOSE(IFERROR(MATCH('My Rota'!$D$5,Setup!$K$33:$K$36,0),1),INDEX('2027'!$A:$Z,(5+50*((N('My Rota'!$D$6)+1)-1))+2+5,7),INDEX('2028'!$A:$Z,(5+50*((N('My Rota'!$D$6)+1)-1))+2+5,7),INDEX('2029'!$A:$Z,(5+50*((N('My Rota'!$D$6)+1)-1))+2+5,7),INDEX('2030'!$A:$Z,(5+50*((N('My Rota'!$D$6)+1)-1))+2+5,7)))</f>
        <v/>
      </c>
      <c r="H222">
        <f>IF(OR($B222="",(N('My Rota'!$D$6)+1)&gt;53),"",""&amp;CHOOSE(IFERROR(MATCH('My Rota'!$D$5,Setup!$K$33:$K$36,0),1),INDEX('2027'!$A:$Z,(5+50*((N('My Rota'!$D$6)+1)-1))+2+5,8),INDEX('2028'!$A:$Z,(5+50*((N('My Rota'!$D$6)+1)-1))+2+5,8),INDEX('2029'!$A:$Z,(5+50*((N('My Rota'!$D$6)+1)-1))+2+5,8),INDEX('2030'!$A:$Z,(5+50*((N('My Rota'!$D$6)+1)-1))+2+5,8)))</f>
        <v/>
      </c>
      <c r="I222">
        <f>IF(OR($B222="",(N('My Rota'!$D$6)+1)&gt;53),"",""&amp;CHOOSE(IFERROR(MATCH('My Rota'!$D$5,Setup!$K$33:$K$36,0),1),INDEX('2027'!$A:$Z,(5+50*((N('My Rota'!$D$6)+1)-1))+2+5,9),INDEX('2028'!$A:$Z,(5+50*((N('My Rota'!$D$6)+1)-1))+2+5,9),INDEX('2029'!$A:$Z,(5+50*((N('My Rota'!$D$6)+1)-1))+2+5,9),INDEX('2030'!$A:$Z,(5+50*((N('My Rota'!$D$6)+1)-1))+2+5,9)))</f>
        <v/>
      </c>
      <c r="J222">
        <f>IF(OR($B222="",(N('My Rota'!$D$6)+1)&gt;53),"",""&amp;CHOOSE(IFERROR(MATCH('My Rota'!$D$5,Setup!$K$33:$K$36,0),1),INDEX('2027'!$A:$Z,(5+50*((N('My Rota'!$D$6)+1)-1))+2+5,10),INDEX('2028'!$A:$Z,(5+50*((N('My Rota'!$D$6)+1)-1))+2+5,10),INDEX('2029'!$A:$Z,(5+50*((N('My Rota'!$D$6)+1)-1))+2+5,10),INDEX('2030'!$A:$Z,(5+50*((N('My Rota'!$D$6)+1)-1))+2+5,10)))</f>
        <v/>
      </c>
      <c r="K222">
        <f>IF(OR($B222="",(N('My Rota'!$D$6)+1)&gt;53),"",""&amp;CHOOSE(IFERROR(MATCH('My Rota'!$D$5,Setup!$K$33:$K$36,0),1),INDEX('2027'!$A:$Z,(5+50*((N('My Rota'!$D$6)+1)-1))+2+5,11),INDEX('2028'!$A:$Z,(5+50*((N('My Rota'!$D$6)+1)-1))+2+5,11),INDEX('2029'!$A:$Z,(5+50*((N('My Rota'!$D$6)+1)-1))+2+5,11),INDEX('2030'!$A:$Z,(5+50*((N('My Rota'!$D$6)+1)-1))+2+5,11)))</f>
        <v/>
      </c>
      <c r="L222">
        <f>IF(OR($B222="",(N('My Rota'!$D$6)+1)&gt;53),"",""&amp;CHOOSE(IFERROR(MATCH('My Rota'!$D$5,Setup!$K$33:$K$36,0),1),INDEX('2027'!$A:$Z,(5+50*((N('My Rota'!$D$6)+1)-1))+2+5,12),INDEX('2028'!$A:$Z,(5+50*((N('My Rota'!$D$6)+1)-1))+2+5,12),INDEX('2029'!$A:$Z,(5+50*((N('My Rota'!$D$6)+1)-1))+2+5,12),INDEX('2030'!$A:$Z,(5+50*((N('My Rota'!$D$6)+1)-1))+2+5,12)))</f>
        <v/>
      </c>
      <c r="M222">
        <f>IF(OR($B222="",(N('My Rota'!$D$6)+1)&gt;53),"",""&amp;CHOOSE(IFERROR(MATCH('My Rota'!$D$5,Setup!$K$33:$K$36,0),1),INDEX('2027'!$A:$Z,(5+50*((N('My Rota'!$D$6)+1)-1))+2+5,13),INDEX('2028'!$A:$Z,(5+50*((N('My Rota'!$D$6)+1)-1))+2+5,13),INDEX('2029'!$A:$Z,(5+50*((N('My Rota'!$D$6)+1)-1))+2+5,13),INDEX('2030'!$A:$Z,(5+50*((N('My Rota'!$D$6)+1)-1))+2+5,13)))</f>
        <v/>
      </c>
      <c r="N222">
        <f>IF(OR($B222="",(N('My Rota'!$D$6)+1)&gt;53),"",""&amp;CHOOSE(IFERROR(MATCH('My Rota'!$D$5,Setup!$K$33:$K$36,0),1),INDEX('2027'!$A:$Z,(5+50*((N('My Rota'!$D$6)+1)-1))+2+5,14),INDEX('2028'!$A:$Z,(5+50*((N('My Rota'!$D$6)+1)-1))+2+5,14),INDEX('2029'!$A:$Z,(5+50*((N('My Rota'!$D$6)+1)-1))+2+5,14),INDEX('2030'!$A:$Z,(5+50*((N('My Rota'!$D$6)+1)-1))+2+5,14)))</f>
        <v/>
      </c>
      <c r="O222">
        <f>IF(OR($B222="",(N('My Rota'!$D$6)+1)&gt;53),"",""&amp;CHOOSE(IFERROR(MATCH('My Rota'!$D$5,Setup!$K$33:$K$36,0),1),INDEX('2027'!$A:$Z,(5+50*((N('My Rota'!$D$6)+1)-1))+2+5,15),INDEX('2028'!$A:$Z,(5+50*((N('My Rota'!$D$6)+1)-1))+2+5,15),INDEX('2029'!$A:$Z,(5+50*((N('My Rota'!$D$6)+1)-1))+2+5,15),INDEX('2030'!$A:$Z,(5+50*((N('My Rota'!$D$6)+1)-1))+2+5,15)))</f>
        <v/>
      </c>
      <c r="P222">
        <f>IF(OR($B222="",(N('My Rota'!$D$6)+1)&gt;53),"",""&amp;CHOOSE(IFERROR(MATCH('My Rota'!$D$5,Setup!$K$33:$K$36,0),1),INDEX('2027'!$A:$Z,(5+50*((N('My Rota'!$D$6)+1)-1))+2+5,16),INDEX('2028'!$A:$Z,(5+50*((N('My Rota'!$D$6)+1)-1))+2+5,16),INDEX('2029'!$A:$Z,(5+50*((N('My Rota'!$D$6)+1)-1))+2+5,16),INDEX('2030'!$A:$Z,(5+50*((N('My Rota'!$D$6)+1)-1))+2+5,16)))</f>
        <v/>
      </c>
      <c r="Q222">
        <f>IF(OR($B222="",(N('My Rota'!$D$6)+1)&gt;53),"",""&amp;CHOOSE(IFERROR(MATCH('My Rota'!$D$5,Setup!$K$33:$K$36,0),1),INDEX('2027'!$A:$Z,(5+50*((N('My Rota'!$D$6)+1)-1))+2+5,17),INDEX('2028'!$A:$Z,(5+50*((N('My Rota'!$D$6)+1)-1))+2+5,17),INDEX('2029'!$A:$Z,(5+50*((N('My Rota'!$D$6)+1)-1))+2+5,17),INDEX('2030'!$A:$Z,(5+50*((N('My Rota'!$D$6)+1)-1))+2+5,17)))</f>
        <v/>
      </c>
      <c r="R222">
        <f>IF(OR($B222="",(N('My Rota'!$D$6)+1)&gt;53),"",""&amp;CHOOSE(IFERROR(MATCH('My Rota'!$D$5,Setup!$K$33:$K$36,0),1),INDEX('2027'!$A:$Z,(5+50*((N('My Rota'!$D$6)+1)-1))+2+5,18),INDEX('2028'!$A:$Z,(5+50*((N('My Rota'!$D$6)+1)-1))+2+5,18),INDEX('2029'!$A:$Z,(5+50*((N('My Rota'!$D$6)+1)-1))+2+5,18),INDEX('2030'!$A:$Z,(5+50*((N('My Rota'!$D$6)+1)-1))+2+5,18)))</f>
        <v/>
      </c>
      <c r="S222">
        <f>IF(OR($B222="",(N('My Rota'!$D$6)+1)&gt;53),"",""&amp;CHOOSE(IFERROR(MATCH('My Rota'!$D$5,Setup!$K$33:$K$36,0),1),INDEX('2027'!$A:$Z,(5+50*((N('My Rota'!$D$6)+1)-1))+2+5,19),INDEX('2028'!$A:$Z,(5+50*((N('My Rota'!$D$6)+1)-1))+2+5,19),INDEX('2029'!$A:$Z,(5+50*((N('My Rota'!$D$6)+1)-1))+2+5,19),INDEX('2030'!$A:$Z,(5+50*((N('My Rota'!$D$6)+1)-1))+2+5,19)))</f>
        <v/>
      </c>
      <c r="T222">
        <f>IF(OR($B222="",(N('My Rota'!$D$6)+1)&gt;53),"",""&amp;CHOOSE(IFERROR(MATCH('My Rota'!$D$5,Setup!$K$33:$K$36,0),1),INDEX('2027'!$A:$Z,(5+50*((N('My Rota'!$D$6)+1)-1))+2+5,20),INDEX('2028'!$A:$Z,(5+50*((N('My Rota'!$D$6)+1)-1))+2+5,20),INDEX('2029'!$A:$Z,(5+50*((N('My Rota'!$D$6)+1)-1))+2+5,20),INDEX('2030'!$A:$Z,(5+50*((N('My Rota'!$D$6)+1)-1))+2+5,20)))</f>
        <v/>
      </c>
      <c r="U222">
        <f>IF(OR($B222="",(N('My Rota'!$D$6)+1)&gt;53),"",""&amp;CHOOSE(IFERROR(MATCH('My Rota'!$D$5,Setup!$K$33:$K$36,0),1),INDEX('2027'!$A:$Z,(5+50*((N('My Rota'!$D$6)+1)-1))+2+5,21),INDEX('2028'!$A:$Z,(5+50*((N('My Rota'!$D$6)+1)-1))+2+5,21),INDEX('2029'!$A:$Z,(5+50*((N('My Rota'!$D$6)+1)-1))+2+5,21),INDEX('2030'!$A:$Z,(5+50*((N('My Rota'!$D$6)+1)-1))+2+5,21)))</f>
        <v/>
      </c>
      <c r="V222">
        <f>IF(OR($B222="",(N('My Rota'!$D$6)+1)&gt;53),"",""&amp;CHOOSE(IFERROR(MATCH('My Rota'!$D$5,Setup!$K$33:$K$36,0),1),INDEX('2027'!$A:$Z,(5+50*((N('My Rota'!$D$6)+1)-1))+2+5,22),INDEX('2028'!$A:$Z,(5+50*((N('My Rota'!$D$6)+1)-1))+2+5,22),INDEX('2029'!$A:$Z,(5+50*((N('My Rota'!$D$6)+1)-1))+2+5,22),INDEX('2030'!$A:$Z,(5+50*((N('My Rota'!$D$6)+1)-1))+2+5,22)))</f>
        <v/>
      </c>
      <c r="W222">
        <f>IF(OR($B222="",(N('My Rota'!$D$6)+1)&gt;53),"",""&amp;CHOOSE(IFERROR(MATCH('My Rota'!$D$5,Setup!$K$33:$K$36,0),1),INDEX('2027'!$A:$Z,(5+50*((N('My Rota'!$D$6)+1)-1))+2+5,23),INDEX('2028'!$A:$Z,(5+50*((N('My Rota'!$D$6)+1)-1))+2+5,23),INDEX('2029'!$A:$Z,(5+50*((N('My Rota'!$D$6)+1)-1))+2+5,23),INDEX('2030'!$A:$Z,(5+50*((N('My Rota'!$D$6)+1)-1))+2+5,23)))</f>
        <v/>
      </c>
      <c r="X222">
        <f>IF(OR($B222="",(N('My Rota'!$D$6)+1)&gt;53),"",""&amp;CHOOSE(IFERROR(MATCH('My Rota'!$D$5,Setup!$K$33:$K$36,0),1),INDEX('2027'!$A:$Z,(5+50*((N('My Rota'!$D$6)+1)-1))+2+5,24),INDEX('2028'!$A:$Z,(5+50*((N('My Rota'!$D$6)+1)-1))+2+5,24),INDEX('2029'!$A:$Z,(5+50*((N('My Rota'!$D$6)+1)-1))+2+5,24),INDEX('2030'!$A:$Z,(5+50*((N('My Rota'!$D$6)+1)-1))+2+5,24)))</f>
        <v/>
      </c>
      <c r="Y222">
        <f>IF(OR($B222="",(N('My Rota'!$D$6)+1)&gt;53),"",""&amp;CHOOSE(IFERROR(MATCH('My Rota'!$D$5,Setup!$K$33:$K$36,0),1),INDEX('2027'!$A:$Z,(5+50*((N('My Rota'!$D$6)+1)-1))+2+5,25),INDEX('2028'!$A:$Z,(5+50*((N('My Rota'!$D$6)+1)-1))+2+5,25),INDEX('2029'!$A:$Z,(5+50*((N('My Rota'!$D$6)+1)-1))+2+5,25),INDEX('2030'!$A:$Z,(5+50*((N('My Rota'!$D$6)+1)-1))+2+5,25)))</f>
        <v/>
      </c>
      <c r="Z222">
        <f>IF(OR($B222="",(N('My Rota'!$D$6)+1)&gt;53),"",""&amp;CHOOSE(IFERROR(MATCH('My Rota'!$D$5,Setup!$K$33:$K$36,0),1),INDEX('2027'!$A:$Z,(5+50*((N('My Rota'!$D$6)+1)-1))+2+5,26),INDEX('2028'!$A:$Z,(5+50*((N('My Rota'!$D$6)+1)-1))+2+5,26),INDEX('2029'!$A:$Z,(5+50*((N('My Rota'!$D$6)+1)-1))+2+5,26),INDEX('2030'!$A:$Z,(5+50*((N('My Rota'!$D$6)+1)-1))+2+5,26)))</f>
        <v/>
      </c>
    </row>
    <row r="223">
      <c r="A223" t="n">
        <v>2</v>
      </c>
      <c r="B223">
        <f>$B$52</f>
        <v/>
      </c>
      <c r="C223">
        <f>IF(OR($B223="",(N('My Rota'!$D$6)+1)&gt;53),"",""&amp;CHOOSE(IFERROR(MATCH('My Rota'!$D$5,Setup!$K$33:$K$36,0),1),INDEX('2027'!$A:$Z,(5+50*((N('My Rota'!$D$6)+1)-1))+2+6,3),INDEX('2028'!$A:$Z,(5+50*((N('My Rota'!$D$6)+1)-1))+2+6,3),INDEX('2029'!$A:$Z,(5+50*((N('My Rota'!$D$6)+1)-1))+2+6,3),INDEX('2030'!$A:$Z,(5+50*((N('My Rota'!$D$6)+1)-1))+2+6,3)))</f>
        <v/>
      </c>
      <c r="D223">
        <f>IF(OR($B223="",(N('My Rota'!$D$6)+1)&gt;53),"",""&amp;CHOOSE(IFERROR(MATCH('My Rota'!$D$5,Setup!$K$33:$K$36,0),1),INDEX('2027'!$A:$Z,(5+50*((N('My Rota'!$D$6)+1)-1))+2+6,4),INDEX('2028'!$A:$Z,(5+50*((N('My Rota'!$D$6)+1)-1))+2+6,4),INDEX('2029'!$A:$Z,(5+50*((N('My Rota'!$D$6)+1)-1))+2+6,4),INDEX('2030'!$A:$Z,(5+50*((N('My Rota'!$D$6)+1)-1))+2+6,4)))</f>
        <v/>
      </c>
      <c r="E223">
        <f>IF(OR($B223="",(N('My Rota'!$D$6)+1)&gt;53),"",""&amp;CHOOSE(IFERROR(MATCH('My Rota'!$D$5,Setup!$K$33:$K$36,0),1),INDEX('2027'!$A:$Z,(5+50*((N('My Rota'!$D$6)+1)-1))+2+6,5),INDEX('2028'!$A:$Z,(5+50*((N('My Rota'!$D$6)+1)-1))+2+6,5),INDEX('2029'!$A:$Z,(5+50*((N('My Rota'!$D$6)+1)-1))+2+6,5),INDEX('2030'!$A:$Z,(5+50*((N('My Rota'!$D$6)+1)-1))+2+6,5)))</f>
        <v/>
      </c>
      <c r="F223">
        <f>IF(OR($B223="",(N('My Rota'!$D$6)+1)&gt;53),"",""&amp;CHOOSE(IFERROR(MATCH('My Rota'!$D$5,Setup!$K$33:$K$36,0),1),INDEX('2027'!$A:$Z,(5+50*((N('My Rota'!$D$6)+1)-1))+2+6,6),INDEX('2028'!$A:$Z,(5+50*((N('My Rota'!$D$6)+1)-1))+2+6,6),INDEX('2029'!$A:$Z,(5+50*((N('My Rota'!$D$6)+1)-1))+2+6,6),INDEX('2030'!$A:$Z,(5+50*((N('My Rota'!$D$6)+1)-1))+2+6,6)))</f>
        <v/>
      </c>
      <c r="G223">
        <f>IF(OR($B223="",(N('My Rota'!$D$6)+1)&gt;53),"",""&amp;CHOOSE(IFERROR(MATCH('My Rota'!$D$5,Setup!$K$33:$K$36,0),1),INDEX('2027'!$A:$Z,(5+50*((N('My Rota'!$D$6)+1)-1))+2+6,7),INDEX('2028'!$A:$Z,(5+50*((N('My Rota'!$D$6)+1)-1))+2+6,7),INDEX('2029'!$A:$Z,(5+50*((N('My Rota'!$D$6)+1)-1))+2+6,7),INDEX('2030'!$A:$Z,(5+50*((N('My Rota'!$D$6)+1)-1))+2+6,7)))</f>
        <v/>
      </c>
      <c r="H223">
        <f>IF(OR($B223="",(N('My Rota'!$D$6)+1)&gt;53),"",""&amp;CHOOSE(IFERROR(MATCH('My Rota'!$D$5,Setup!$K$33:$K$36,0),1),INDEX('2027'!$A:$Z,(5+50*((N('My Rota'!$D$6)+1)-1))+2+6,8),INDEX('2028'!$A:$Z,(5+50*((N('My Rota'!$D$6)+1)-1))+2+6,8),INDEX('2029'!$A:$Z,(5+50*((N('My Rota'!$D$6)+1)-1))+2+6,8),INDEX('2030'!$A:$Z,(5+50*((N('My Rota'!$D$6)+1)-1))+2+6,8)))</f>
        <v/>
      </c>
      <c r="I223">
        <f>IF(OR($B223="",(N('My Rota'!$D$6)+1)&gt;53),"",""&amp;CHOOSE(IFERROR(MATCH('My Rota'!$D$5,Setup!$K$33:$K$36,0),1),INDEX('2027'!$A:$Z,(5+50*((N('My Rota'!$D$6)+1)-1))+2+6,9),INDEX('2028'!$A:$Z,(5+50*((N('My Rota'!$D$6)+1)-1))+2+6,9),INDEX('2029'!$A:$Z,(5+50*((N('My Rota'!$D$6)+1)-1))+2+6,9),INDEX('2030'!$A:$Z,(5+50*((N('My Rota'!$D$6)+1)-1))+2+6,9)))</f>
        <v/>
      </c>
      <c r="J223">
        <f>IF(OR($B223="",(N('My Rota'!$D$6)+1)&gt;53),"",""&amp;CHOOSE(IFERROR(MATCH('My Rota'!$D$5,Setup!$K$33:$K$36,0),1),INDEX('2027'!$A:$Z,(5+50*((N('My Rota'!$D$6)+1)-1))+2+6,10),INDEX('2028'!$A:$Z,(5+50*((N('My Rota'!$D$6)+1)-1))+2+6,10),INDEX('2029'!$A:$Z,(5+50*((N('My Rota'!$D$6)+1)-1))+2+6,10),INDEX('2030'!$A:$Z,(5+50*((N('My Rota'!$D$6)+1)-1))+2+6,10)))</f>
        <v/>
      </c>
      <c r="K223">
        <f>IF(OR($B223="",(N('My Rota'!$D$6)+1)&gt;53),"",""&amp;CHOOSE(IFERROR(MATCH('My Rota'!$D$5,Setup!$K$33:$K$36,0),1),INDEX('2027'!$A:$Z,(5+50*((N('My Rota'!$D$6)+1)-1))+2+6,11),INDEX('2028'!$A:$Z,(5+50*((N('My Rota'!$D$6)+1)-1))+2+6,11),INDEX('2029'!$A:$Z,(5+50*((N('My Rota'!$D$6)+1)-1))+2+6,11),INDEX('2030'!$A:$Z,(5+50*((N('My Rota'!$D$6)+1)-1))+2+6,11)))</f>
        <v/>
      </c>
      <c r="L223">
        <f>IF(OR($B223="",(N('My Rota'!$D$6)+1)&gt;53),"",""&amp;CHOOSE(IFERROR(MATCH('My Rota'!$D$5,Setup!$K$33:$K$36,0),1),INDEX('2027'!$A:$Z,(5+50*((N('My Rota'!$D$6)+1)-1))+2+6,12),INDEX('2028'!$A:$Z,(5+50*((N('My Rota'!$D$6)+1)-1))+2+6,12),INDEX('2029'!$A:$Z,(5+50*((N('My Rota'!$D$6)+1)-1))+2+6,12),INDEX('2030'!$A:$Z,(5+50*((N('My Rota'!$D$6)+1)-1))+2+6,12)))</f>
        <v/>
      </c>
      <c r="M223">
        <f>IF(OR($B223="",(N('My Rota'!$D$6)+1)&gt;53),"",""&amp;CHOOSE(IFERROR(MATCH('My Rota'!$D$5,Setup!$K$33:$K$36,0),1),INDEX('2027'!$A:$Z,(5+50*((N('My Rota'!$D$6)+1)-1))+2+6,13),INDEX('2028'!$A:$Z,(5+50*((N('My Rota'!$D$6)+1)-1))+2+6,13),INDEX('2029'!$A:$Z,(5+50*((N('My Rota'!$D$6)+1)-1))+2+6,13),INDEX('2030'!$A:$Z,(5+50*((N('My Rota'!$D$6)+1)-1))+2+6,13)))</f>
        <v/>
      </c>
      <c r="N223">
        <f>IF(OR($B223="",(N('My Rota'!$D$6)+1)&gt;53),"",""&amp;CHOOSE(IFERROR(MATCH('My Rota'!$D$5,Setup!$K$33:$K$36,0),1),INDEX('2027'!$A:$Z,(5+50*((N('My Rota'!$D$6)+1)-1))+2+6,14),INDEX('2028'!$A:$Z,(5+50*((N('My Rota'!$D$6)+1)-1))+2+6,14),INDEX('2029'!$A:$Z,(5+50*((N('My Rota'!$D$6)+1)-1))+2+6,14),INDEX('2030'!$A:$Z,(5+50*((N('My Rota'!$D$6)+1)-1))+2+6,14)))</f>
        <v/>
      </c>
      <c r="O223">
        <f>IF(OR($B223="",(N('My Rota'!$D$6)+1)&gt;53),"",""&amp;CHOOSE(IFERROR(MATCH('My Rota'!$D$5,Setup!$K$33:$K$36,0),1),INDEX('2027'!$A:$Z,(5+50*((N('My Rota'!$D$6)+1)-1))+2+6,15),INDEX('2028'!$A:$Z,(5+50*((N('My Rota'!$D$6)+1)-1))+2+6,15),INDEX('2029'!$A:$Z,(5+50*((N('My Rota'!$D$6)+1)-1))+2+6,15),INDEX('2030'!$A:$Z,(5+50*((N('My Rota'!$D$6)+1)-1))+2+6,15)))</f>
        <v/>
      </c>
      <c r="P223">
        <f>IF(OR($B223="",(N('My Rota'!$D$6)+1)&gt;53),"",""&amp;CHOOSE(IFERROR(MATCH('My Rota'!$D$5,Setup!$K$33:$K$36,0),1),INDEX('2027'!$A:$Z,(5+50*((N('My Rota'!$D$6)+1)-1))+2+6,16),INDEX('2028'!$A:$Z,(5+50*((N('My Rota'!$D$6)+1)-1))+2+6,16),INDEX('2029'!$A:$Z,(5+50*((N('My Rota'!$D$6)+1)-1))+2+6,16),INDEX('2030'!$A:$Z,(5+50*((N('My Rota'!$D$6)+1)-1))+2+6,16)))</f>
        <v/>
      </c>
      <c r="Q223">
        <f>IF(OR($B223="",(N('My Rota'!$D$6)+1)&gt;53),"",""&amp;CHOOSE(IFERROR(MATCH('My Rota'!$D$5,Setup!$K$33:$K$36,0),1),INDEX('2027'!$A:$Z,(5+50*((N('My Rota'!$D$6)+1)-1))+2+6,17),INDEX('2028'!$A:$Z,(5+50*((N('My Rota'!$D$6)+1)-1))+2+6,17),INDEX('2029'!$A:$Z,(5+50*((N('My Rota'!$D$6)+1)-1))+2+6,17),INDEX('2030'!$A:$Z,(5+50*((N('My Rota'!$D$6)+1)-1))+2+6,17)))</f>
        <v/>
      </c>
      <c r="R223">
        <f>IF(OR($B223="",(N('My Rota'!$D$6)+1)&gt;53),"",""&amp;CHOOSE(IFERROR(MATCH('My Rota'!$D$5,Setup!$K$33:$K$36,0),1),INDEX('2027'!$A:$Z,(5+50*((N('My Rota'!$D$6)+1)-1))+2+6,18),INDEX('2028'!$A:$Z,(5+50*((N('My Rota'!$D$6)+1)-1))+2+6,18),INDEX('2029'!$A:$Z,(5+50*((N('My Rota'!$D$6)+1)-1))+2+6,18),INDEX('2030'!$A:$Z,(5+50*((N('My Rota'!$D$6)+1)-1))+2+6,18)))</f>
        <v/>
      </c>
      <c r="S223">
        <f>IF(OR($B223="",(N('My Rota'!$D$6)+1)&gt;53),"",""&amp;CHOOSE(IFERROR(MATCH('My Rota'!$D$5,Setup!$K$33:$K$36,0),1),INDEX('2027'!$A:$Z,(5+50*((N('My Rota'!$D$6)+1)-1))+2+6,19),INDEX('2028'!$A:$Z,(5+50*((N('My Rota'!$D$6)+1)-1))+2+6,19),INDEX('2029'!$A:$Z,(5+50*((N('My Rota'!$D$6)+1)-1))+2+6,19),INDEX('2030'!$A:$Z,(5+50*((N('My Rota'!$D$6)+1)-1))+2+6,19)))</f>
        <v/>
      </c>
      <c r="T223">
        <f>IF(OR($B223="",(N('My Rota'!$D$6)+1)&gt;53),"",""&amp;CHOOSE(IFERROR(MATCH('My Rota'!$D$5,Setup!$K$33:$K$36,0),1),INDEX('2027'!$A:$Z,(5+50*((N('My Rota'!$D$6)+1)-1))+2+6,20),INDEX('2028'!$A:$Z,(5+50*((N('My Rota'!$D$6)+1)-1))+2+6,20),INDEX('2029'!$A:$Z,(5+50*((N('My Rota'!$D$6)+1)-1))+2+6,20),INDEX('2030'!$A:$Z,(5+50*((N('My Rota'!$D$6)+1)-1))+2+6,20)))</f>
        <v/>
      </c>
      <c r="U223">
        <f>IF(OR($B223="",(N('My Rota'!$D$6)+1)&gt;53),"",""&amp;CHOOSE(IFERROR(MATCH('My Rota'!$D$5,Setup!$K$33:$K$36,0),1),INDEX('2027'!$A:$Z,(5+50*((N('My Rota'!$D$6)+1)-1))+2+6,21),INDEX('2028'!$A:$Z,(5+50*((N('My Rota'!$D$6)+1)-1))+2+6,21),INDEX('2029'!$A:$Z,(5+50*((N('My Rota'!$D$6)+1)-1))+2+6,21),INDEX('2030'!$A:$Z,(5+50*((N('My Rota'!$D$6)+1)-1))+2+6,21)))</f>
        <v/>
      </c>
      <c r="V223">
        <f>IF(OR($B223="",(N('My Rota'!$D$6)+1)&gt;53),"",""&amp;CHOOSE(IFERROR(MATCH('My Rota'!$D$5,Setup!$K$33:$K$36,0),1),INDEX('2027'!$A:$Z,(5+50*((N('My Rota'!$D$6)+1)-1))+2+6,22),INDEX('2028'!$A:$Z,(5+50*((N('My Rota'!$D$6)+1)-1))+2+6,22),INDEX('2029'!$A:$Z,(5+50*((N('My Rota'!$D$6)+1)-1))+2+6,22),INDEX('2030'!$A:$Z,(5+50*((N('My Rota'!$D$6)+1)-1))+2+6,22)))</f>
        <v/>
      </c>
      <c r="W223">
        <f>IF(OR($B223="",(N('My Rota'!$D$6)+1)&gt;53),"",""&amp;CHOOSE(IFERROR(MATCH('My Rota'!$D$5,Setup!$K$33:$K$36,0),1),INDEX('2027'!$A:$Z,(5+50*((N('My Rota'!$D$6)+1)-1))+2+6,23),INDEX('2028'!$A:$Z,(5+50*((N('My Rota'!$D$6)+1)-1))+2+6,23),INDEX('2029'!$A:$Z,(5+50*((N('My Rota'!$D$6)+1)-1))+2+6,23),INDEX('2030'!$A:$Z,(5+50*((N('My Rota'!$D$6)+1)-1))+2+6,23)))</f>
        <v/>
      </c>
      <c r="X223">
        <f>IF(OR($B223="",(N('My Rota'!$D$6)+1)&gt;53),"",""&amp;CHOOSE(IFERROR(MATCH('My Rota'!$D$5,Setup!$K$33:$K$36,0),1),INDEX('2027'!$A:$Z,(5+50*((N('My Rota'!$D$6)+1)-1))+2+6,24),INDEX('2028'!$A:$Z,(5+50*((N('My Rota'!$D$6)+1)-1))+2+6,24),INDEX('2029'!$A:$Z,(5+50*((N('My Rota'!$D$6)+1)-1))+2+6,24),INDEX('2030'!$A:$Z,(5+50*((N('My Rota'!$D$6)+1)-1))+2+6,24)))</f>
        <v/>
      </c>
      <c r="Y223">
        <f>IF(OR($B223="",(N('My Rota'!$D$6)+1)&gt;53),"",""&amp;CHOOSE(IFERROR(MATCH('My Rota'!$D$5,Setup!$K$33:$K$36,0),1),INDEX('2027'!$A:$Z,(5+50*((N('My Rota'!$D$6)+1)-1))+2+6,25),INDEX('2028'!$A:$Z,(5+50*((N('My Rota'!$D$6)+1)-1))+2+6,25),INDEX('2029'!$A:$Z,(5+50*((N('My Rota'!$D$6)+1)-1))+2+6,25),INDEX('2030'!$A:$Z,(5+50*((N('My Rota'!$D$6)+1)-1))+2+6,25)))</f>
        <v/>
      </c>
      <c r="Z223">
        <f>IF(OR($B223="",(N('My Rota'!$D$6)+1)&gt;53),"",""&amp;CHOOSE(IFERROR(MATCH('My Rota'!$D$5,Setup!$K$33:$K$36,0),1),INDEX('2027'!$A:$Z,(5+50*((N('My Rota'!$D$6)+1)-1))+2+6,26),INDEX('2028'!$A:$Z,(5+50*((N('My Rota'!$D$6)+1)-1))+2+6,26),INDEX('2029'!$A:$Z,(5+50*((N('My Rota'!$D$6)+1)-1))+2+6,26),INDEX('2030'!$A:$Z,(5+50*((N('My Rota'!$D$6)+1)-1))+2+6,26)))</f>
        <v/>
      </c>
    </row>
    <row r="224">
      <c r="A224" t="n">
        <v>2</v>
      </c>
      <c r="B224">
        <f>$B$53</f>
        <v/>
      </c>
      <c r="C224">
        <f>IF(OR($B224="",(N('My Rota'!$D$6)+1)&gt;53),"",""&amp;CHOOSE(IFERROR(MATCH('My Rota'!$D$5,Setup!$K$33:$K$36,0),1),INDEX('2027'!$A:$Z,(5+50*((N('My Rota'!$D$6)+1)-1))+2+7,3),INDEX('2028'!$A:$Z,(5+50*((N('My Rota'!$D$6)+1)-1))+2+7,3),INDEX('2029'!$A:$Z,(5+50*((N('My Rota'!$D$6)+1)-1))+2+7,3),INDEX('2030'!$A:$Z,(5+50*((N('My Rota'!$D$6)+1)-1))+2+7,3)))</f>
        <v/>
      </c>
      <c r="D224">
        <f>IF(OR($B224="",(N('My Rota'!$D$6)+1)&gt;53),"",""&amp;CHOOSE(IFERROR(MATCH('My Rota'!$D$5,Setup!$K$33:$K$36,0),1),INDEX('2027'!$A:$Z,(5+50*((N('My Rota'!$D$6)+1)-1))+2+7,4),INDEX('2028'!$A:$Z,(5+50*((N('My Rota'!$D$6)+1)-1))+2+7,4),INDEX('2029'!$A:$Z,(5+50*((N('My Rota'!$D$6)+1)-1))+2+7,4),INDEX('2030'!$A:$Z,(5+50*((N('My Rota'!$D$6)+1)-1))+2+7,4)))</f>
        <v/>
      </c>
      <c r="E224">
        <f>IF(OR($B224="",(N('My Rota'!$D$6)+1)&gt;53),"",""&amp;CHOOSE(IFERROR(MATCH('My Rota'!$D$5,Setup!$K$33:$K$36,0),1),INDEX('2027'!$A:$Z,(5+50*((N('My Rota'!$D$6)+1)-1))+2+7,5),INDEX('2028'!$A:$Z,(5+50*((N('My Rota'!$D$6)+1)-1))+2+7,5),INDEX('2029'!$A:$Z,(5+50*((N('My Rota'!$D$6)+1)-1))+2+7,5),INDEX('2030'!$A:$Z,(5+50*((N('My Rota'!$D$6)+1)-1))+2+7,5)))</f>
        <v/>
      </c>
      <c r="F224">
        <f>IF(OR($B224="",(N('My Rota'!$D$6)+1)&gt;53),"",""&amp;CHOOSE(IFERROR(MATCH('My Rota'!$D$5,Setup!$K$33:$K$36,0),1),INDEX('2027'!$A:$Z,(5+50*((N('My Rota'!$D$6)+1)-1))+2+7,6),INDEX('2028'!$A:$Z,(5+50*((N('My Rota'!$D$6)+1)-1))+2+7,6),INDEX('2029'!$A:$Z,(5+50*((N('My Rota'!$D$6)+1)-1))+2+7,6),INDEX('2030'!$A:$Z,(5+50*((N('My Rota'!$D$6)+1)-1))+2+7,6)))</f>
        <v/>
      </c>
      <c r="G224">
        <f>IF(OR($B224="",(N('My Rota'!$D$6)+1)&gt;53),"",""&amp;CHOOSE(IFERROR(MATCH('My Rota'!$D$5,Setup!$K$33:$K$36,0),1),INDEX('2027'!$A:$Z,(5+50*((N('My Rota'!$D$6)+1)-1))+2+7,7),INDEX('2028'!$A:$Z,(5+50*((N('My Rota'!$D$6)+1)-1))+2+7,7),INDEX('2029'!$A:$Z,(5+50*((N('My Rota'!$D$6)+1)-1))+2+7,7),INDEX('2030'!$A:$Z,(5+50*((N('My Rota'!$D$6)+1)-1))+2+7,7)))</f>
        <v/>
      </c>
      <c r="H224">
        <f>IF(OR($B224="",(N('My Rota'!$D$6)+1)&gt;53),"",""&amp;CHOOSE(IFERROR(MATCH('My Rota'!$D$5,Setup!$K$33:$K$36,0),1),INDEX('2027'!$A:$Z,(5+50*((N('My Rota'!$D$6)+1)-1))+2+7,8),INDEX('2028'!$A:$Z,(5+50*((N('My Rota'!$D$6)+1)-1))+2+7,8),INDEX('2029'!$A:$Z,(5+50*((N('My Rota'!$D$6)+1)-1))+2+7,8),INDEX('2030'!$A:$Z,(5+50*((N('My Rota'!$D$6)+1)-1))+2+7,8)))</f>
        <v/>
      </c>
      <c r="I224">
        <f>IF(OR($B224="",(N('My Rota'!$D$6)+1)&gt;53),"",""&amp;CHOOSE(IFERROR(MATCH('My Rota'!$D$5,Setup!$K$33:$K$36,0),1),INDEX('2027'!$A:$Z,(5+50*((N('My Rota'!$D$6)+1)-1))+2+7,9),INDEX('2028'!$A:$Z,(5+50*((N('My Rota'!$D$6)+1)-1))+2+7,9),INDEX('2029'!$A:$Z,(5+50*((N('My Rota'!$D$6)+1)-1))+2+7,9),INDEX('2030'!$A:$Z,(5+50*((N('My Rota'!$D$6)+1)-1))+2+7,9)))</f>
        <v/>
      </c>
      <c r="J224">
        <f>IF(OR($B224="",(N('My Rota'!$D$6)+1)&gt;53),"",""&amp;CHOOSE(IFERROR(MATCH('My Rota'!$D$5,Setup!$K$33:$K$36,0),1),INDEX('2027'!$A:$Z,(5+50*((N('My Rota'!$D$6)+1)-1))+2+7,10),INDEX('2028'!$A:$Z,(5+50*((N('My Rota'!$D$6)+1)-1))+2+7,10),INDEX('2029'!$A:$Z,(5+50*((N('My Rota'!$D$6)+1)-1))+2+7,10),INDEX('2030'!$A:$Z,(5+50*((N('My Rota'!$D$6)+1)-1))+2+7,10)))</f>
        <v/>
      </c>
      <c r="K224">
        <f>IF(OR($B224="",(N('My Rota'!$D$6)+1)&gt;53),"",""&amp;CHOOSE(IFERROR(MATCH('My Rota'!$D$5,Setup!$K$33:$K$36,0),1),INDEX('2027'!$A:$Z,(5+50*((N('My Rota'!$D$6)+1)-1))+2+7,11),INDEX('2028'!$A:$Z,(5+50*((N('My Rota'!$D$6)+1)-1))+2+7,11),INDEX('2029'!$A:$Z,(5+50*((N('My Rota'!$D$6)+1)-1))+2+7,11),INDEX('2030'!$A:$Z,(5+50*((N('My Rota'!$D$6)+1)-1))+2+7,11)))</f>
        <v/>
      </c>
      <c r="L224">
        <f>IF(OR($B224="",(N('My Rota'!$D$6)+1)&gt;53),"",""&amp;CHOOSE(IFERROR(MATCH('My Rota'!$D$5,Setup!$K$33:$K$36,0),1),INDEX('2027'!$A:$Z,(5+50*((N('My Rota'!$D$6)+1)-1))+2+7,12),INDEX('2028'!$A:$Z,(5+50*((N('My Rota'!$D$6)+1)-1))+2+7,12),INDEX('2029'!$A:$Z,(5+50*((N('My Rota'!$D$6)+1)-1))+2+7,12),INDEX('2030'!$A:$Z,(5+50*((N('My Rota'!$D$6)+1)-1))+2+7,12)))</f>
        <v/>
      </c>
      <c r="M224">
        <f>IF(OR($B224="",(N('My Rota'!$D$6)+1)&gt;53),"",""&amp;CHOOSE(IFERROR(MATCH('My Rota'!$D$5,Setup!$K$33:$K$36,0),1),INDEX('2027'!$A:$Z,(5+50*((N('My Rota'!$D$6)+1)-1))+2+7,13),INDEX('2028'!$A:$Z,(5+50*((N('My Rota'!$D$6)+1)-1))+2+7,13),INDEX('2029'!$A:$Z,(5+50*((N('My Rota'!$D$6)+1)-1))+2+7,13),INDEX('2030'!$A:$Z,(5+50*((N('My Rota'!$D$6)+1)-1))+2+7,13)))</f>
        <v/>
      </c>
      <c r="N224">
        <f>IF(OR($B224="",(N('My Rota'!$D$6)+1)&gt;53),"",""&amp;CHOOSE(IFERROR(MATCH('My Rota'!$D$5,Setup!$K$33:$K$36,0),1),INDEX('2027'!$A:$Z,(5+50*((N('My Rota'!$D$6)+1)-1))+2+7,14),INDEX('2028'!$A:$Z,(5+50*((N('My Rota'!$D$6)+1)-1))+2+7,14),INDEX('2029'!$A:$Z,(5+50*((N('My Rota'!$D$6)+1)-1))+2+7,14),INDEX('2030'!$A:$Z,(5+50*((N('My Rota'!$D$6)+1)-1))+2+7,14)))</f>
        <v/>
      </c>
      <c r="O224">
        <f>IF(OR($B224="",(N('My Rota'!$D$6)+1)&gt;53),"",""&amp;CHOOSE(IFERROR(MATCH('My Rota'!$D$5,Setup!$K$33:$K$36,0),1),INDEX('2027'!$A:$Z,(5+50*((N('My Rota'!$D$6)+1)-1))+2+7,15),INDEX('2028'!$A:$Z,(5+50*((N('My Rota'!$D$6)+1)-1))+2+7,15),INDEX('2029'!$A:$Z,(5+50*((N('My Rota'!$D$6)+1)-1))+2+7,15),INDEX('2030'!$A:$Z,(5+50*((N('My Rota'!$D$6)+1)-1))+2+7,15)))</f>
        <v/>
      </c>
      <c r="P224">
        <f>IF(OR($B224="",(N('My Rota'!$D$6)+1)&gt;53),"",""&amp;CHOOSE(IFERROR(MATCH('My Rota'!$D$5,Setup!$K$33:$K$36,0),1),INDEX('2027'!$A:$Z,(5+50*((N('My Rota'!$D$6)+1)-1))+2+7,16),INDEX('2028'!$A:$Z,(5+50*((N('My Rota'!$D$6)+1)-1))+2+7,16),INDEX('2029'!$A:$Z,(5+50*((N('My Rota'!$D$6)+1)-1))+2+7,16),INDEX('2030'!$A:$Z,(5+50*((N('My Rota'!$D$6)+1)-1))+2+7,16)))</f>
        <v/>
      </c>
      <c r="Q224">
        <f>IF(OR($B224="",(N('My Rota'!$D$6)+1)&gt;53),"",""&amp;CHOOSE(IFERROR(MATCH('My Rota'!$D$5,Setup!$K$33:$K$36,0),1),INDEX('2027'!$A:$Z,(5+50*((N('My Rota'!$D$6)+1)-1))+2+7,17),INDEX('2028'!$A:$Z,(5+50*((N('My Rota'!$D$6)+1)-1))+2+7,17),INDEX('2029'!$A:$Z,(5+50*((N('My Rota'!$D$6)+1)-1))+2+7,17),INDEX('2030'!$A:$Z,(5+50*((N('My Rota'!$D$6)+1)-1))+2+7,17)))</f>
        <v/>
      </c>
      <c r="R224">
        <f>IF(OR($B224="",(N('My Rota'!$D$6)+1)&gt;53),"",""&amp;CHOOSE(IFERROR(MATCH('My Rota'!$D$5,Setup!$K$33:$K$36,0),1),INDEX('2027'!$A:$Z,(5+50*((N('My Rota'!$D$6)+1)-1))+2+7,18),INDEX('2028'!$A:$Z,(5+50*((N('My Rota'!$D$6)+1)-1))+2+7,18),INDEX('2029'!$A:$Z,(5+50*((N('My Rota'!$D$6)+1)-1))+2+7,18),INDEX('2030'!$A:$Z,(5+50*((N('My Rota'!$D$6)+1)-1))+2+7,18)))</f>
        <v/>
      </c>
      <c r="S224">
        <f>IF(OR($B224="",(N('My Rota'!$D$6)+1)&gt;53),"",""&amp;CHOOSE(IFERROR(MATCH('My Rota'!$D$5,Setup!$K$33:$K$36,0),1),INDEX('2027'!$A:$Z,(5+50*((N('My Rota'!$D$6)+1)-1))+2+7,19),INDEX('2028'!$A:$Z,(5+50*((N('My Rota'!$D$6)+1)-1))+2+7,19),INDEX('2029'!$A:$Z,(5+50*((N('My Rota'!$D$6)+1)-1))+2+7,19),INDEX('2030'!$A:$Z,(5+50*((N('My Rota'!$D$6)+1)-1))+2+7,19)))</f>
        <v/>
      </c>
      <c r="T224">
        <f>IF(OR($B224="",(N('My Rota'!$D$6)+1)&gt;53),"",""&amp;CHOOSE(IFERROR(MATCH('My Rota'!$D$5,Setup!$K$33:$K$36,0),1),INDEX('2027'!$A:$Z,(5+50*((N('My Rota'!$D$6)+1)-1))+2+7,20),INDEX('2028'!$A:$Z,(5+50*((N('My Rota'!$D$6)+1)-1))+2+7,20),INDEX('2029'!$A:$Z,(5+50*((N('My Rota'!$D$6)+1)-1))+2+7,20),INDEX('2030'!$A:$Z,(5+50*((N('My Rota'!$D$6)+1)-1))+2+7,20)))</f>
        <v/>
      </c>
      <c r="U224">
        <f>IF(OR($B224="",(N('My Rota'!$D$6)+1)&gt;53),"",""&amp;CHOOSE(IFERROR(MATCH('My Rota'!$D$5,Setup!$K$33:$K$36,0),1),INDEX('2027'!$A:$Z,(5+50*((N('My Rota'!$D$6)+1)-1))+2+7,21),INDEX('2028'!$A:$Z,(5+50*((N('My Rota'!$D$6)+1)-1))+2+7,21),INDEX('2029'!$A:$Z,(5+50*((N('My Rota'!$D$6)+1)-1))+2+7,21),INDEX('2030'!$A:$Z,(5+50*((N('My Rota'!$D$6)+1)-1))+2+7,21)))</f>
        <v/>
      </c>
      <c r="V224">
        <f>IF(OR($B224="",(N('My Rota'!$D$6)+1)&gt;53),"",""&amp;CHOOSE(IFERROR(MATCH('My Rota'!$D$5,Setup!$K$33:$K$36,0),1),INDEX('2027'!$A:$Z,(5+50*((N('My Rota'!$D$6)+1)-1))+2+7,22),INDEX('2028'!$A:$Z,(5+50*((N('My Rota'!$D$6)+1)-1))+2+7,22),INDEX('2029'!$A:$Z,(5+50*((N('My Rota'!$D$6)+1)-1))+2+7,22),INDEX('2030'!$A:$Z,(5+50*((N('My Rota'!$D$6)+1)-1))+2+7,22)))</f>
        <v/>
      </c>
      <c r="W224">
        <f>IF(OR($B224="",(N('My Rota'!$D$6)+1)&gt;53),"",""&amp;CHOOSE(IFERROR(MATCH('My Rota'!$D$5,Setup!$K$33:$K$36,0),1),INDEX('2027'!$A:$Z,(5+50*((N('My Rota'!$D$6)+1)-1))+2+7,23),INDEX('2028'!$A:$Z,(5+50*((N('My Rota'!$D$6)+1)-1))+2+7,23),INDEX('2029'!$A:$Z,(5+50*((N('My Rota'!$D$6)+1)-1))+2+7,23),INDEX('2030'!$A:$Z,(5+50*((N('My Rota'!$D$6)+1)-1))+2+7,23)))</f>
        <v/>
      </c>
      <c r="X224">
        <f>IF(OR($B224="",(N('My Rota'!$D$6)+1)&gt;53),"",""&amp;CHOOSE(IFERROR(MATCH('My Rota'!$D$5,Setup!$K$33:$K$36,0),1),INDEX('2027'!$A:$Z,(5+50*((N('My Rota'!$D$6)+1)-1))+2+7,24),INDEX('2028'!$A:$Z,(5+50*((N('My Rota'!$D$6)+1)-1))+2+7,24),INDEX('2029'!$A:$Z,(5+50*((N('My Rota'!$D$6)+1)-1))+2+7,24),INDEX('2030'!$A:$Z,(5+50*((N('My Rota'!$D$6)+1)-1))+2+7,24)))</f>
        <v/>
      </c>
      <c r="Y224">
        <f>IF(OR($B224="",(N('My Rota'!$D$6)+1)&gt;53),"",""&amp;CHOOSE(IFERROR(MATCH('My Rota'!$D$5,Setup!$K$33:$K$36,0),1),INDEX('2027'!$A:$Z,(5+50*((N('My Rota'!$D$6)+1)-1))+2+7,25),INDEX('2028'!$A:$Z,(5+50*((N('My Rota'!$D$6)+1)-1))+2+7,25),INDEX('2029'!$A:$Z,(5+50*((N('My Rota'!$D$6)+1)-1))+2+7,25),INDEX('2030'!$A:$Z,(5+50*((N('My Rota'!$D$6)+1)-1))+2+7,25)))</f>
        <v/>
      </c>
      <c r="Z224">
        <f>IF(OR($B224="",(N('My Rota'!$D$6)+1)&gt;53),"",""&amp;CHOOSE(IFERROR(MATCH('My Rota'!$D$5,Setup!$K$33:$K$36,0),1),INDEX('2027'!$A:$Z,(5+50*((N('My Rota'!$D$6)+1)-1))+2+7,26),INDEX('2028'!$A:$Z,(5+50*((N('My Rota'!$D$6)+1)-1))+2+7,26),INDEX('2029'!$A:$Z,(5+50*((N('My Rota'!$D$6)+1)-1))+2+7,26),INDEX('2030'!$A:$Z,(5+50*((N('My Rota'!$D$6)+1)-1))+2+7,26)))</f>
        <v/>
      </c>
    </row>
    <row r="225">
      <c r="A225" t="n">
        <v>2</v>
      </c>
      <c r="B225">
        <f>$B$54</f>
        <v/>
      </c>
      <c r="C225">
        <f>IF(OR($B225="",(N('My Rota'!$D$6)+1)&gt;53),"",""&amp;CHOOSE(IFERROR(MATCH('My Rota'!$D$5,Setup!$K$33:$K$36,0),1),INDEX('2027'!$A:$Z,(5+50*((N('My Rota'!$D$6)+1)-1))+2+8,3),INDEX('2028'!$A:$Z,(5+50*((N('My Rota'!$D$6)+1)-1))+2+8,3),INDEX('2029'!$A:$Z,(5+50*((N('My Rota'!$D$6)+1)-1))+2+8,3),INDEX('2030'!$A:$Z,(5+50*((N('My Rota'!$D$6)+1)-1))+2+8,3)))</f>
        <v/>
      </c>
      <c r="D225">
        <f>IF(OR($B225="",(N('My Rota'!$D$6)+1)&gt;53),"",""&amp;CHOOSE(IFERROR(MATCH('My Rota'!$D$5,Setup!$K$33:$K$36,0),1),INDEX('2027'!$A:$Z,(5+50*((N('My Rota'!$D$6)+1)-1))+2+8,4),INDEX('2028'!$A:$Z,(5+50*((N('My Rota'!$D$6)+1)-1))+2+8,4),INDEX('2029'!$A:$Z,(5+50*((N('My Rota'!$D$6)+1)-1))+2+8,4),INDEX('2030'!$A:$Z,(5+50*((N('My Rota'!$D$6)+1)-1))+2+8,4)))</f>
        <v/>
      </c>
      <c r="E225">
        <f>IF(OR($B225="",(N('My Rota'!$D$6)+1)&gt;53),"",""&amp;CHOOSE(IFERROR(MATCH('My Rota'!$D$5,Setup!$K$33:$K$36,0),1),INDEX('2027'!$A:$Z,(5+50*((N('My Rota'!$D$6)+1)-1))+2+8,5),INDEX('2028'!$A:$Z,(5+50*((N('My Rota'!$D$6)+1)-1))+2+8,5),INDEX('2029'!$A:$Z,(5+50*((N('My Rota'!$D$6)+1)-1))+2+8,5),INDEX('2030'!$A:$Z,(5+50*((N('My Rota'!$D$6)+1)-1))+2+8,5)))</f>
        <v/>
      </c>
      <c r="F225">
        <f>IF(OR($B225="",(N('My Rota'!$D$6)+1)&gt;53),"",""&amp;CHOOSE(IFERROR(MATCH('My Rota'!$D$5,Setup!$K$33:$K$36,0),1),INDEX('2027'!$A:$Z,(5+50*((N('My Rota'!$D$6)+1)-1))+2+8,6),INDEX('2028'!$A:$Z,(5+50*((N('My Rota'!$D$6)+1)-1))+2+8,6),INDEX('2029'!$A:$Z,(5+50*((N('My Rota'!$D$6)+1)-1))+2+8,6),INDEX('2030'!$A:$Z,(5+50*((N('My Rota'!$D$6)+1)-1))+2+8,6)))</f>
        <v/>
      </c>
      <c r="G225">
        <f>IF(OR($B225="",(N('My Rota'!$D$6)+1)&gt;53),"",""&amp;CHOOSE(IFERROR(MATCH('My Rota'!$D$5,Setup!$K$33:$K$36,0),1),INDEX('2027'!$A:$Z,(5+50*((N('My Rota'!$D$6)+1)-1))+2+8,7),INDEX('2028'!$A:$Z,(5+50*((N('My Rota'!$D$6)+1)-1))+2+8,7),INDEX('2029'!$A:$Z,(5+50*((N('My Rota'!$D$6)+1)-1))+2+8,7),INDEX('2030'!$A:$Z,(5+50*((N('My Rota'!$D$6)+1)-1))+2+8,7)))</f>
        <v/>
      </c>
      <c r="H225">
        <f>IF(OR($B225="",(N('My Rota'!$D$6)+1)&gt;53),"",""&amp;CHOOSE(IFERROR(MATCH('My Rota'!$D$5,Setup!$K$33:$K$36,0),1),INDEX('2027'!$A:$Z,(5+50*((N('My Rota'!$D$6)+1)-1))+2+8,8),INDEX('2028'!$A:$Z,(5+50*((N('My Rota'!$D$6)+1)-1))+2+8,8),INDEX('2029'!$A:$Z,(5+50*((N('My Rota'!$D$6)+1)-1))+2+8,8),INDEX('2030'!$A:$Z,(5+50*((N('My Rota'!$D$6)+1)-1))+2+8,8)))</f>
        <v/>
      </c>
      <c r="I225">
        <f>IF(OR($B225="",(N('My Rota'!$D$6)+1)&gt;53),"",""&amp;CHOOSE(IFERROR(MATCH('My Rota'!$D$5,Setup!$K$33:$K$36,0),1),INDEX('2027'!$A:$Z,(5+50*((N('My Rota'!$D$6)+1)-1))+2+8,9),INDEX('2028'!$A:$Z,(5+50*((N('My Rota'!$D$6)+1)-1))+2+8,9),INDEX('2029'!$A:$Z,(5+50*((N('My Rota'!$D$6)+1)-1))+2+8,9),INDEX('2030'!$A:$Z,(5+50*((N('My Rota'!$D$6)+1)-1))+2+8,9)))</f>
        <v/>
      </c>
      <c r="J225">
        <f>IF(OR($B225="",(N('My Rota'!$D$6)+1)&gt;53),"",""&amp;CHOOSE(IFERROR(MATCH('My Rota'!$D$5,Setup!$K$33:$K$36,0),1),INDEX('2027'!$A:$Z,(5+50*((N('My Rota'!$D$6)+1)-1))+2+8,10),INDEX('2028'!$A:$Z,(5+50*((N('My Rota'!$D$6)+1)-1))+2+8,10),INDEX('2029'!$A:$Z,(5+50*((N('My Rota'!$D$6)+1)-1))+2+8,10),INDEX('2030'!$A:$Z,(5+50*((N('My Rota'!$D$6)+1)-1))+2+8,10)))</f>
        <v/>
      </c>
      <c r="K225">
        <f>IF(OR($B225="",(N('My Rota'!$D$6)+1)&gt;53),"",""&amp;CHOOSE(IFERROR(MATCH('My Rota'!$D$5,Setup!$K$33:$K$36,0),1),INDEX('2027'!$A:$Z,(5+50*((N('My Rota'!$D$6)+1)-1))+2+8,11),INDEX('2028'!$A:$Z,(5+50*((N('My Rota'!$D$6)+1)-1))+2+8,11),INDEX('2029'!$A:$Z,(5+50*((N('My Rota'!$D$6)+1)-1))+2+8,11),INDEX('2030'!$A:$Z,(5+50*((N('My Rota'!$D$6)+1)-1))+2+8,11)))</f>
        <v/>
      </c>
      <c r="L225">
        <f>IF(OR($B225="",(N('My Rota'!$D$6)+1)&gt;53),"",""&amp;CHOOSE(IFERROR(MATCH('My Rota'!$D$5,Setup!$K$33:$K$36,0),1),INDEX('2027'!$A:$Z,(5+50*((N('My Rota'!$D$6)+1)-1))+2+8,12),INDEX('2028'!$A:$Z,(5+50*((N('My Rota'!$D$6)+1)-1))+2+8,12),INDEX('2029'!$A:$Z,(5+50*((N('My Rota'!$D$6)+1)-1))+2+8,12),INDEX('2030'!$A:$Z,(5+50*((N('My Rota'!$D$6)+1)-1))+2+8,12)))</f>
        <v/>
      </c>
      <c r="M225">
        <f>IF(OR($B225="",(N('My Rota'!$D$6)+1)&gt;53),"",""&amp;CHOOSE(IFERROR(MATCH('My Rota'!$D$5,Setup!$K$33:$K$36,0),1),INDEX('2027'!$A:$Z,(5+50*((N('My Rota'!$D$6)+1)-1))+2+8,13),INDEX('2028'!$A:$Z,(5+50*((N('My Rota'!$D$6)+1)-1))+2+8,13),INDEX('2029'!$A:$Z,(5+50*((N('My Rota'!$D$6)+1)-1))+2+8,13),INDEX('2030'!$A:$Z,(5+50*((N('My Rota'!$D$6)+1)-1))+2+8,13)))</f>
        <v/>
      </c>
      <c r="N225">
        <f>IF(OR($B225="",(N('My Rota'!$D$6)+1)&gt;53),"",""&amp;CHOOSE(IFERROR(MATCH('My Rota'!$D$5,Setup!$K$33:$K$36,0),1),INDEX('2027'!$A:$Z,(5+50*((N('My Rota'!$D$6)+1)-1))+2+8,14),INDEX('2028'!$A:$Z,(5+50*((N('My Rota'!$D$6)+1)-1))+2+8,14),INDEX('2029'!$A:$Z,(5+50*((N('My Rota'!$D$6)+1)-1))+2+8,14),INDEX('2030'!$A:$Z,(5+50*((N('My Rota'!$D$6)+1)-1))+2+8,14)))</f>
        <v/>
      </c>
      <c r="O225">
        <f>IF(OR($B225="",(N('My Rota'!$D$6)+1)&gt;53),"",""&amp;CHOOSE(IFERROR(MATCH('My Rota'!$D$5,Setup!$K$33:$K$36,0),1),INDEX('2027'!$A:$Z,(5+50*((N('My Rota'!$D$6)+1)-1))+2+8,15),INDEX('2028'!$A:$Z,(5+50*((N('My Rota'!$D$6)+1)-1))+2+8,15),INDEX('2029'!$A:$Z,(5+50*((N('My Rota'!$D$6)+1)-1))+2+8,15),INDEX('2030'!$A:$Z,(5+50*((N('My Rota'!$D$6)+1)-1))+2+8,15)))</f>
        <v/>
      </c>
      <c r="P225">
        <f>IF(OR($B225="",(N('My Rota'!$D$6)+1)&gt;53),"",""&amp;CHOOSE(IFERROR(MATCH('My Rota'!$D$5,Setup!$K$33:$K$36,0),1),INDEX('2027'!$A:$Z,(5+50*((N('My Rota'!$D$6)+1)-1))+2+8,16),INDEX('2028'!$A:$Z,(5+50*((N('My Rota'!$D$6)+1)-1))+2+8,16),INDEX('2029'!$A:$Z,(5+50*((N('My Rota'!$D$6)+1)-1))+2+8,16),INDEX('2030'!$A:$Z,(5+50*((N('My Rota'!$D$6)+1)-1))+2+8,16)))</f>
        <v/>
      </c>
      <c r="Q225">
        <f>IF(OR($B225="",(N('My Rota'!$D$6)+1)&gt;53),"",""&amp;CHOOSE(IFERROR(MATCH('My Rota'!$D$5,Setup!$K$33:$K$36,0),1),INDEX('2027'!$A:$Z,(5+50*((N('My Rota'!$D$6)+1)-1))+2+8,17),INDEX('2028'!$A:$Z,(5+50*((N('My Rota'!$D$6)+1)-1))+2+8,17),INDEX('2029'!$A:$Z,(5+50*((N('My Rota'!$D$6)+1)-1))+2+8,17),INDEX('2030'!$A:$Z,(5+50*((N('My Rota'!$D$6)+1)-1))+2+8,17)))</f>
        <v/>
      </c>
      <c r="R225">
        <f>IF(OR($B225="",(N('My Rota'!$D$6)+1)&gt;53),"",""&amp;CHOOSE(IFERROR(MATCH('My Rota'!$D$5,Setup!$K$33:$K$36,0),1),INDEX('2027'!$A:$Z,(5+50*((N('My Rota'!$D$6)+1)-1))+2+8,18),INDEX('2028'!$A:$Z,(5+50*((N('My Rota'!$D$6)+1)-1))+2+8,18),INDEX('2029'!$A:$Z,(5+50*((N('My Rota'!$D$6)+1)-1))+2+8,18),INDEX('2030'!$A:$Z,(5+50*((N('My Rota'!$D$6)+1)-1))+2+8,18)))</f>
        <v/>
      </c>
      <c r="S225">
        <f>IF(OR($B225="",(N('My Rota'!$D$6)+1)&gt;53),"",""&amp;CHOOSE(IFERROR(MATCH('My Rota'!$D$5,Setup!$K$33:$K$36,0),1),INDEX('2027'!$A:$Z,(5+50*((N('My Rota'!$D$6)+1)-1))+2+8,19),INDEX('2028'!$A:$Z,(5+50*((N('My Rota'!$D$6)+1)-1))+2+8,19),INDEX('2029'!$A:$Z,(5+50*((N('My Rota'!$D$6)+1)-1))+2+8,19),INDEX('2030'!$A:$Z,(5+50*((N('My Rota'!$D$6)+1)-1))+2+8,19)))</f>
        <v/>
      </c>
      <c r="T225">
        <f>IF(OR($B225="",(N('My Rota'!$D$6)+1)&gt;53),"",""&amp;CHOOSE(IFERROR(MATCH('My Rota'!$D$5,Setup!$K$33:$K$36,0),1),INDEX('2027'!$A:$Z,(5+50*((N('My Rota'!$D$6)+1)-1))+2+8,20),INDEX('2028'!$A:$Z,(5+50*((N('My Rota'!$D$6)+1)-1))+2+8,20),INDEX('2029'!$A:$Z,(5+50*((N('My Rota'!$D$6)+1)-1))+2+8,20),INDEX('2030'!$A:$Z,(5+50*((N('My Rota'!$D$6)+1)-1))+2+8,20)))</f>
        <v/>
      </c>
      <c r="U225">
        <f>IF(OR($B225="",(N('My Rota'!$D$6)+1)&gt;53),"",""&amp;CHOOSE(IFERROR(MATCH('My Rota'!$D$5,Setup!$K$33:$K$36,0),1),INDEX('2027'!$A:$Z,(5+50*((N('My Rota'!$D$6)+1)-1))+2+8,21),INDEX('2028'!$A:$Z,(5+50*((N('My Rota'!$D$6)+1)-1))+2+8,21),INDEX('2029'!$A:$Z,(5+50*((N('My Rota'!$D$6)+1)-1))+2+8,21),INDEX('2030'!$A:$Z,(5+50*((N('My Rota'!$D$6)+1)-1))+2+8,21)))</f>
        <v/>
      </c>
      <c r="V225">
        <f>IF(OR($B225="",(N('My Rota'!$D$6)+1)&gt;53),"",""&amp;CHOOSE(IFERROR(MATCH('My Rota'!$D$5,Setup!$K$33:$K$36,0),1),INDEX('2027'!$A:$Z,(5+50*((N('My Rota'!$D$6)+1)-1))+2+8,22),INDEX('2028'!$A:$Z,(5+50*((N('My Rota'!$D$6)+1)-1))+2+8,22),INDEX('2029'!$A:$Z,(5+50*((N('My Rota'!$D$6)+1)-1))+2+8,22),INDEX('2030'!$A:$Z,(5+50*((N('My Rota'!$D$6)+1)-1))+2+8,22)))</f>
        <v/>
      </c>
      <c r="W225">
        <f>IF(OR($B225="",(N('My Rota'!$D$6)+1)&gt;53),"",""&amp;CHOOSE(IFERROR(MATCH('My Rota'!$D$5,Setup!$K$33:$K$36,0),1),INDEX('2027'!$A:$Z,(5+50*((N('My Rota'!$D$6)+1)-1))+2+8,23),INDEX('2028'!$A:$Z,(5+50*((N('My Rota'!$D$6)+1)-1))+2+8,23),INDEX('2029'!$A:$Z,(5+50*((N('My Rota'!$D$6)+1)-1))+2+8,23),INDEX('2030'!$A:$Z,(5+50*((N('My Rota'!$D$6)+1)-1))+2+8,23)))</f>
        <v/>
      </c>
      <c r="X225">
        <f>IF(OR($B225="",(N('My Rota'!$D$6)+1)&gt;53),"",""&amp;CHOOSE(IFERROR(MATCH('My Rota'!$D$5,Setup!$K$33:$K$36,0),1),INDEX('2027'!$A:$Z,(5+50*((N('My Rota'!$D$6)+1)-1))+2+8,24),INDEX('2028'!$A:$Z,(5+50*((N('My Rota'!$D$6)+1)-1))+2+8,24),INDEX('2029'!$A:$Z,(5+50*((N('My Rota'!$D$6)+1)-1))+2+8,24),INDEX('2030'!$A:$Z,(5+50*((N('My Rota'!$D$6)+1)-1))+2+8,24)))</f>
        <v/>
      </c>
      <c r="Y225">
        <f>IF(OR($B225="",(N('My Rota'!$D$6)+1)&gt;53),"",""&amp;CHOOSE(IFERROR(MATCH('My Rota'!$D$5,Setup!$K$33:$K$36,0),1),INDEX('2027'!$A:$Z,(5+50*((N('My Rota'!$D$6)+1)-1))+2+8,25),INDEX('2028'!$A:$Z,(5+50*((N('My Rota'!$D$6)+1)-1))+2+8,25),INDEX('2029'!$A:$Z,(5+50*((N('My Rota'!$D$6)+1)-1))+2+8,25),INDEX('2030'!$A:$Z,(5+50*((N('My Rota'!$D$6)+1)-1))+2+8,25)))</f>
        <v/>
      </c>
      <c r="Z225">
        <f>IF(OR($B225="",(N('My Rota'!$D$6)+1)&gt;53),"",""&amp;CHOOSE(IFERROR(MATCH('My Rota'!$D$5,Setup!$K$33:$K$36,0),1),INDEX('2027'!$A:$Z,(5+50*((N('My Rota'!$D$6)+1)-1))+2+8,26),INDEX('2028'!$A:$Z,(5+50*((N('My Rota'!$D$6)+1)-1))+2+8,26),INDEX('2029'!$A:$Z,(5+50*((N('My Rota'!$D$6)+1)-1))+2+8,26),INDEX('2030'!$A:$Z,(5+50*((N('My Rota'!$D$6)+1)-1))+2+8,26)))</f>
        <v/>
      </c>
    </row>
    <row r="226">
      <c r="A226" t="n">
        <v>2</v>
      </c>
      <c r="B226">
        <f>$B$55</f>
        <v/>
      </c>
      <c r="C226">
        <f>IF(OR($B226="",(N('My Rota'!$D$6)+1)&gt;53),"",""&amp;CHOOSE(IFERROR(MATCH('My Rota'!$D$5,Setup!$K$33:$K$36,0),1),INDEX('2027'!$A:$Z,(5+50*((N('My Rota'!$D$6)+1)-1))+2+9,3),INDEX('2028'!$A:$Z,(5+50*((N('My Rota'!$D$6)+1)-1))+2+9,3),INDEX('2029'!$A:$Z,(5+50*((N('My Rota'!$D$6)+1)-1))+2+9,3),INDEX('2030'!$A:$Z,(5+50*((N('My Rota'!$D$6)+1)-1))+2+9,3)))</f>
        <v/>
      </c>
      <c r="D226">
        <f>IF(OR($B226="",(N('My Rota'!$D$6)+1)&gt;53),"",""&amp;CHOOSE(IFERROR(MATCH('My Rota'!$D$5,Setup!$K$33:$K$36,0),1),INDEX('2027'!$A:$Z,(5+50*((N('My Rota'!$D$6)+1)-1))+2+9,4),INDEX('2028'!$A:$Z,(5+50*((N('My Rota'!$D$6)+1)-1))+2+9,4),INDEX('2029'!$A:$Z,(5+50*((N('My Rota'!$D$6)+1)-1))+2+9,4),INDEX('2030'!$A:$Z,(5+50*((N('My Rota'!$D$6)+1)-1))+2+9,4)))</f>
        <v/>
      </c>
      <c r="E226">
        <f>IF(OR($B226="",(N('My Rota'!$D$6)+1)&gt;53),"",""&amp;CHOOSE(IFERROR(MATCH('My Rota'!$D$5,Setup!$K$33:$K$36,0),1),INDEX('2027'!$A:$Z,(5+50*((N('My Rota'!$D$6)+1)-1))+2+9,5),INDEX('2028'!$A:$Z,(5+50*((N('My Rota'!$D$6)+1)-1))+2+9,5),INDEX('2029'!$A:$Z,(5+50*((N('My Rota'!$D$6)+1)-1))+2+9,5),INDEX('2030'!$A:$Z,(5+50*((N('My Rota'!$D$6)+1)-1))+2+9,5)))</f>
        <v/>
      </c>
      <c r="F226">
        <f>IF(OR($B226="",(N('My Rota'!$D$6)+1)&gt;53),"",""&amp;CHOOSE(IFERROR(MATCH('My Rota'!$D$5,Setup!$K$33:$K$36,0),1),INDEX('2027'!$A:$Z,(5+50*((N('My Rota'!$D$6)+1)-1))+2+9,6),INDEX('2028'!$A:$Z,(5+50*((N('My Rota'!$D$6)+1)-1))+2+9,6),INDEX('2029'!$A:$Z,(5+50*((N('My Rota'!$D$6)+1)-1))+2+9,6),INDEX('2030'!$A:$Z,(5+50*((N('My Rota'!$D$6)+1)-1))+2+9,6)))</f>
        <v/>
      </c>
      <c r="G226">
        <f>IF(OR($B226="",(N('My Rota'!$D$6)+1)&gt;53),"",""&amp;CHOOSE(IFERROR(MATCH('My Rota'!$D$5,Setup!$K$33:$K$36,0),1),INDEX('2027'!$A:$Z,(5+50*((N('My Rota'!$D$6)+1)-1))+2+9,7),INDEX('2028'!$A:$Z,(5+50*((N('My Rota'!$D$6)+1)-1))+2+9,7),INDEX('2029'!$A:$Z,(5+50*((N('My Rota'!$D$6)+1)-1))+2+9,7),INDEX('2030'!$A:$Z,(5+50*((N('My Rota'!$D$6)+1)-1))+2+9,7)))</f>
        <v/>
      </c>
      <c r="H226">
        <f>IF(OR($B226="",(N('My Rota'!$D$6)+1)&gt;53),"",""&amp;CHOOSE(IFERROR(MATCH('My Rota'!$D$5,Setup!$K$33:$K$36,0),1),INDEX('2027'!$A:$Z,(5+50*((N('My Rota'!$D$6)+1)-1))+2+9,8),INDEX('2028'!$A:$Z,(5+50*((N('My Rota'!$D$6)+1)-1))+2+9,8),INDEX('2029'!$A:$Z,(5+50*((N('My Rota'!$D$6)+1)-1))+2+9,8),INDEX('2030'!$A:$Z,(5+50*((N('My Rota'!$D$6)+1)-1))+2+9,8)))</f>
        <v/>
      </c>
      <c r="I226">
        <f>IF(OR($B226="",(N('My Rota'!$D$6)+1)&gt;53),"",""&amp;CHOOSE(IFERROR(MATCH('My Rota'!$D$5,Setup!$K$33:$K$36,0),1),INDEX('2027'!$A:$Z,(5+50*((N('My Rota'!$D$6)+1)-1))+2+9,9),INDEX('2028'!$A:$Z,(5+50*((N('My Rota'!$D$6)+1)-1))+2+9,9),INDEX('2029'!$A:$Z,(5+50*((N('My Rota'!$D$6)+1)-1))+2+9,9),INDEX('2030'!$A:$Z,(5+50*((N('My Rota'!$D$6)+1)-1))+2+9,9)))</f>
        <v/>
      </c>
      <c r="J226">
        <f>IF(OR($B226="",(N('My Rota'!$D$6)+1)&gt;53),"",""&amp;CHOOSE(IFERROR(MATCH('My Rota'!$D$5,Setup!$K$33:$K$36,0),1),INDEX('2027'!$A:$Z,(5+50*((N('My Rota'!$D$6)+1)-1))+2+9,10),INDEX('2028'!$A:$Z,(5+50*((N('My Rota'!$D$6)+1)-1))+2+9,10),INDEX('2029'!$A:$Z,(5+50*((N('My Rota'!$D$6)+1)-1))+2+9,10),INDEX('2030'!$A:$Z,(5+50*((N('My Rota'!$D$6)+1)-1))+2+9,10)))</f>
        <v/>
      </c>
      <c r="K226">
        <f>IF(OR($B226="",(N('My Rota'!$D$6)+1)&gt;53),"",""&amp;CHOOSE(IFERROR(MATCH('My Rota'!$D$5,Setup!$K$33:$K$36,0),1),INDEX('2027'!$A:$Z,(5+50*((N('My Rota'!$D$6)+1)-1))+2+9,11),INDEX('2028'!$A:$Z,(5+50*((N('My Rota'!$D$6)+1)-1))+2+9,11),INDEX('2029'!$A:$Z,(5+50*((N('My Rota'!$D$6)+1)-1))+2+9,11),INDEX('2030'!$A:$Z,(5+50*((N('My Rota'!$D$6)+1)-1))+2+9,11)))</f>
        <v/>
      </c>
      <c r="L226">
        <f>IF(OR($B226="",(N('My Rota'!$D$6)+1)&gt;53),"",""&amp;CHOOSE(IFERROR(MATCH('My Rota'!$D$5,Setup!$K$33:$K$36,0),1),INDEX('2027'!$A:$Z,(5+50*((N('My Rota'!$D$6)+1)-1))+2+9,12),INDEX('2028'!$A:$Z,(5+50*((N('My Rota'!$D$6)+1)-1))+2+9,12),INDEX('2029'!$A:$Z,(5+50*((N('My Rota'!$D$6)+1)-1))+2+9,12),INDEX('2030'!$A:$Z,(5+50*((N('My Rota'!$D$6)+1)-1))+2+9,12)))</f>
        <v/>
      </c>
      <c r="M226">
        <f>IF(OR($B226="",(N('My Rota'!$D$6)+1)&gt;53),"",""&amp;CHOOSE(IFERROR(MATCH('My Rota'!$D$5,Setup!$K$33:$K$36,0),1),INDEX('2027'!$A:$Z,(5+50*((N('My Rota'!$D$6)+1)-1))+2+9,13),INDEX('2028'!$A:$Z,(5+50*((N('My Rota'!$D$6)+1)-1))+2+9,13),INDEX('2029'!$A:$Z,(5+50*((N('My Rota'!$D$6)+1)-1))+2+9,13),INDEX('2030'!$A:$Z,(5+50*((N('My Rota'!$D$6)+1)-1))+2+9,13)))</f>
        <v/>
      </c>
      <c r="N226">
        <f>IF(OR($B226="",(N('My Rota'!$D$6)+1)&gt;53),"",""&amp;CHOOSE(IFERROR(MATCH('My Rota'!$D$5,Setup!$K$33:$K$36,0),1),INDEX('2027'!$A:$Z,(5+50*((N('My Rota'!$D$6)+1)-1))+2+9,14),INDEX('2028'!$A:$Z,(5+50*((N('My Rota'!$D$6)+1)-1))+2+9,14),INDEX('2029'!$A:$Z,(5+50*((N('My Rota'!$D$6)+1)-1))+2+9,14),INDEX('2030'!$A:$Z,(5+50*((N('My Rota'!$D$6)+1)-1))+2+9,14)))</f>
        <v/>
      </c>
      <c r="O226">
        <f>IF(OR($B226="",(N('My Rota'!$D$6)+1)&gt;53),"",""&amp;CHOOSE(IFERROR(MATCH('My Rota'!$D$5,Setup!$K$33:$K$36,0),1),INDEX('2027'!$A:$Z,(5+50*((N('My Rota'!$D$6)+1)-1))+2+9,15),INDEX('2028'!$A:$Z,(5+50*((N('My Rota'!$D$6)+1)-1))+2+9,15),INDEX('2029'!$A:$Z,(5+50*((N('My Rota'!$D$6)+1)-1))+2+9,15),INDEX('2030'!$A:$Z,(5+50*((N('My Rota'!$D$6)+1)-1))+2+9,15)))</f>
        <v/>
      </c>
      <c r="P226">
        <f>IF(OR($B226="",(N('My Rota'!$D$6)+1)&gt;53),"",""&amp;CHOOSE(IFERROR(MATCH('My Rota'!$D$5,Setup!$K$33:$K$36,0),1),INDEX('2027'!$A:$Z,(5+50*((N('My Rota'!$D$6)+1)-1))+2+9,16),INDEX('2028'!$A:$Z,(5+50*((N('My Rota'!$D$6)+1)-1))+2+9,16),INDEX('2029'!$A:$Z,(5+50*((N('My Rota'!$D$6)+1)-1))+2+9,16),INDEX('2030'!$A:$Z,(5+50*((N('My Rota'!$D$6)+1)-1))+2+9,16)))</f>
        <v/>
      </c>
      <c r="Q226">
        <f>IF(OR($B226="",(N('My Rota'!$D$6)+1)&gt;53),"",""&amp;CHOOSE(IFERROR(MATCH('My Rota'!$D$5,Setup!$K$33:$K$36,0),1),INDEX('2027'!$A:$Z,(5+50*((N('My Rota'!$D$6)+1)-1))+2+9,17),INDEX('2028'!$A:$Z,(5+50*((N('My Rota'!$D$6)+1)-1))+2+9,17),INDEX('2029'!$A:$Z,(5+50*((N('My Rota'!$D$6)+1)-1))+2+9,17),INDEX('2030'!$A:$Z,(5+50*((N('My Rota'!$D$6)+1)-1))+2+9,17)))</f>
        <v/>
      </c>
      <c r="R226">
        <f>IF(OR($B226="",(N('My Rota'!$D$6)+1)&gt;53),"",""&amp;CHOOSE(IFERROR(MATCH('My Rota'!$D$5,Setup!$K$33:$K$36,0),1),INDEX('2027'!$A:$Z,(5+50*((N('My Rota'!$D$6)+1)-1))+2+9,18),INDEX('2028'!$A:$Z,(5+50*((N('My Rota'!$D$6)+1)-1))+2+9,18),INDEX('2029'!$A:$Z,(5+50*((N('My Rota'!$D$6)+1)-1))+2+9,18),INDEX('2030'!$A:$Z,(5+50*((N('My Rota'!$D$6)+1)-1))+2+9,18)))</f>
        <v/>
      </c>
      <c r="S226">
        <f>IF(OR($B226="",(N('My Rota'!$D$6)+1)&gt;53),"",""&amp;CHOOSE(IFERROR(MATCH('My Rota'!$D$5,Setup!$K$33:$K$36,0),1),INDEX('2027'!$A:$Z,(5+50*((N('My Rota'!$D$6)+1)-1))+2+9,19),INDEX('2028'!$A:$Z,(5+50*((N('My Rota'!$D$6)+1)-1))+2+9,19),INDEX('2029'!$A:$Z,(5+50*((N('My Rota'!$D$6)+1)-1))+2+9,19),INDEX('2030'!$A:$Z,(5+50*((N('My Rota'!$D$6)+1)-1))+2+9,19)))</f>
        <v/>
      </c>
      <c r="T226">
        <f>IF(OR($B226="",(N('My Rota'!$D$6)+1)&gt;53),"",""&amp;CHOOSE(IFERROR(MATCH('My Rota'!$D$5,Setup!$K$33:$K$36,0),1),INDEX('2027'!$A:$Z,(5+50*((N('My Rota'!$D$6)+1)-1))+2+9,20),INDEX('2028'!$A:$Z,(5+50*((N('My Rota'!$D$6)+1)-1))+2+9,20),INDEX('2029'!$A:$Z,(5+50*((N('My Rota'!$D$6)+1)-1))+2+9,20),INDEX('2030'!$A:$Z,(5+50*((N('My Rota'!$D$6)+1)-1))+2+9,20)))</f>
        <v/>
      </c>
      <c r="U226">
        <f>IF(OR($B226="",(N('My Rota'!$D$6)+1)&gt;53),"",""&amp;CHOOSE(IFERROR(MATCH('My Rota'!$D$5,Setup!$K$33:$K$36,0),1),INDEX('2027'!$A:$Z,(5+50*((N('My Rota'!$D$6)+1)-1))+2+9,21),INDEX('2028'!$A:$Z,(5+50*((N('My Rota'!$D$6)+1)-1))+2+9,21),INDEX('2029'!$A:$Z,(5+50*((N('My Rota'!$D$6)+1)-1))+2+9,21),INDEX('2030'!$A:$Z,(5+50*((N('My Rota'!$D$6)+1)-1))+2+9,21)))</f>
        <v/>
      </c>
      <c r="V226">
        <f>IF(OR($B226="",(N('My Rota'!$D$6)+1)&gt;53),"",""&amp;CHOOSE(IFERROR(MATCH('My Rota'!$D$5,Setup!$K$33:$K$36,0),1),INDEX('2027'!$A:$Z,(5+50*((N('My Rota'!$D$6)+1)-1))+2+9,22),INDEX('2028'!$A:$Z,(5+50*((N('My Rota'!$D$6)+1)-1))+2+9,22),INDEX('2029'!$A:$Z,(5+50*((N('My Rota'!$D$6)+1)-1))+2+9,22),INDEX('2030'!$A:$Z,(5+50*((N('My Rota'!$D$6)+1)-1))+2+9,22)))</f>
        <v/>
      </c>
      <c r="W226">
        <f>IF(OR($B226="",(N('My Rota'!$D$6)+1)&gt;53),"",""&amp;CHOOSE(IFERROR(MATCH('My Rota'!$D$5,Setup!$K$33:$K$36,0),1),INDEX('2027'!$A:$Z,(5+50*((N('My Rota'!$D$6)+1)-1))+2+9,23),INDEX('2028'!$A:$Z,(5+50*((N('My Rota'!$D$6)+1)-1))+2+9,23),INDEX('2029'!$A:$Z,(5+50*((N('My Rota'!$D$6)+1)-1))+2+9,23),INDEX('2030'!$A:$Z,(5+50*((N('My Rota'!$D$6)+1)-1))+2+9,23)))</f>
        <v/>
      </c>
      <c r="X226">
        <f>IF(OR($B226="",(N('My Rota'!$D$6)+1)&gt;53),"",""&amp;CHOOSE(IFERROR(MATCH('My Rota'!$D$5,Setup!$K$33:$K$36,0),1),INDEX('2027'!$A:$Z,(5+50*((N('My Rota'!$D$6)+1)-1))+2+9,24),INDEX('2028'!$A:$Z,(5+50*((N('My Rota'!$D$6)+1)-1))+2+9,24),INDEX('2029'!$A:$Z,(5+50*((N('My Rota'!$D$6)+1)-1))+2+9,24),INDEX('2030'!$A:$Z,(5+50*((N('My Rota'!$D$6)+1)-1))+2+9,24)))</f>
        <v/>
      </c>
      <c r="Y226">
        <f>IF(OR($B226="",(N('My Rota'!$D$6)+1)&gt;53),"",""&amp;CHOOSE(IFERROR(MATCH('My Rota'!$D$5,Setup!$K$33:$K$36,0),1),INDEX('2027'!$A:$Z,(5+50*((N('My Rota'!$D$6)+1)-1))+2+9,25),INDEX('2028'!$A:$Z,(5+50*((N('My Rota'!$D$6)+1)-1))+2+9,25),INDEX('2029'!$A:$Z,(5+50*((N('My Rota'!$D$6)+1)-1))+2+9,25),INDEX('2030'!$A:$Z,(5+50*((N('My Rota'!$D$6)+1)-1))+2+9,25)))</f>
        <v/>
      </c>
      <c r="Z226">
        <f>IF(OR($B226="",(N('My Rota'!$D$6)+1)&gt;53),"",""&amp;CHOOSE(IFERROR(MATCH('My Rota'!$D$5,Setup!$K$33:$K$36,0),1),INDEX('2027'!$A:$Z,(5+50*((N('My Rota'!$D$6)+1)-1))+2+9,26),INDEX('2028'!$A:$Z,(5+50*((N('My Rota'!$D$6)+1)-1))+2+9,26),INDEX('2029'!$A:$Z,(5+50*((N('My Rota'!$D$6)+1)-1))+2+9,26),INDEX('2030'!$A:$Z,(5+50*((N('My Rota'!$D$6)+1)-1))+2+9,26)))</f>
        <v/>
      </c>
    </row>
    <row r="227">
      <c r="A227" t="n">
        <v>2</v>
      </c>
      <c r="B227">
        <f>$B$56</f>
        <v/>
      </c>
      <c r="C227">
        <f>IF(OR($B227="",(N('My Rota'!$D$6)+1)&gt;53),"",""&amp;CHOOSE(IFERROR(MATCH('My Rota'!$D$5,Setup!$K$33:$K$36,0),1),INDEX('2027'!$A:$Z,(5+50*((N('My Rota'!$D$6)+1)-1))+2+10,3),INDEX('2028'!$A:$Z,(5+50*((N('My Rota'!$D$6)+1)-1))+2+10,3),INDEX('2029'!$A:$Z,(5+50*((N('My Rota'!$D$6)+1)-1))+2+10,3),INDEX('2030'!$A:$Z,(5+50*((N('My Rota'!$D$6)+1)-1))+2+10,3)))</f>
        <v/>
      </c>
      <c r="D227">
        <f>IF(OR($B227="",(N('My Rota'!$D$6)+1)&gt;53),"",""&amp;CHOOSE(IFERROR(MATCH('My Rota'!$D$5,Setup!$K$33:$K$36,0),1),INDEX('2027'!$A:$Z,(5+50*((N('My Rota'!$D$6)+1)-1))+2+10,4),INDEX('2028'!$A:$Z,(5+50*((N('My Rota'!$D$6)+1)-1))+2+10,4),INDEX('2029'!$A:$Z,(5+50*((N('My Rota'!$D$6)+1)-1))+2+10,4),INDEX('2030'!$A:$Z,(5+50*((N('My Rota'!$D$6)+1)-1))+2+10,4)))</f>
        <v/>
      </c>
      <c r="E227">
        <f>IF(OR($B227="",(N('My Rota'!$D$6)+1)&gt;53),"",""&amp;CHOOSE(IFERROR(MATCH('My Rota'!$D$5,Setup!$K$33:$K$36,0),1),INDEX('2027'!$A:$Z,(5+50*((N('My Rota'!$D$6)+1)-1))+2+10,5),INDEX('2028'!$A:$Z,(5+50*((N('My Rota'!$D$6)+1)-1))+2+10,5),INDEX('2029'!$A:$Z,(5+50*((N('My Rota'!$D$6)+1)-1))+2+10,5),INDEX('2030'!$A:$Z,(5+50*((N('My Rota'!$D$6)+1)-1))+2+10,5)))</f>
        <v/>
      </c>
      <c r="F227">
        <f>IF(OR($B227="",(N('My Rota'!$D$6)+1)&gt;53),"",""&amp;CHOOSE(IFERROR(MATCH('My Rota'!$D$5,Setup!$K$33:$K$36,0),1),INDEX('2027'!$A:$Z,(5+50*((N('My Rota'!$D$6)+1)-1))+2+10,6),INDEX('2028'!$A:$Z,(5+50*((N('My Rota'!$D$6)+1)-1))+2+10,6),INDEX('2029'!$A:$Z,(5+50*((N('My Rota'!$D$6)+1)-1))+2+10,6),INDEX('2030'!$A:$Z,(5+50*((N('My Rota'!$D$6)+1)-1))+2+10,6)))</f>
        <v/>
      </c>
      <c r="G227">
        <f>IF(OR($B227="",(N('My Rota'!$D$6)+1)&gt;53),"",""&amp;CHOOSE(IFERROR(MATCH('My Rota'!$D$5,Setup!$K$33:$K$36,0),1),INDEX('2027'!$A:$Z,(5+50*((N('My Rota'!$D$6)+1)-1))+2+10,7),INDEX('2028'!$A:$Z,(5+50*((N('My Rota'!$D$6)+1)-1))+2+10,7),INDEX('2029'!$A:$Z,(5+50*((N('My Rota'!$D$6)+1)-1))+2+10,7),INDEX('2030'!$A:$Z,(5+50*((N('My Rota'!$D$6)+1)-1))+2+10,7)))</f>
        <v/>
      </c>
      <c r="H227">
        <f>IF(OR($B227="",(N('My Rota'!$D$6)+1)&gt;53),"",""&amp;CHOOSE(IFERROR(MATCH('My Rota'!$D$5,Setup!$K$33:$K$36,0),1),INDEX('2027'!$A:$Z,(5+50*((N('My Rota'!$D$6)+1)-1))+2+10,8),INDEX('2028'!$A:$Z,(5+50*((N('My Rota'!$D$6)+1)-1))+2+10,8),INDEX('2029'!$A:$Z,(5+50*((N('My Rota'!$D$6)+1)-1))+2+10,8),INDEX('2030'!$A:$Z,(5+50*((N('My Rota'!$D$6)+1)-1))+2+10,8)))</f>
        <v/>
      </c>
      <c r="I227">
        <f>IF(OR($B227="",(N('My Rota'!$D$6)+1)&gt;53),"",""&amp;CHOOSE(IFERROR(MATCH('My Rota'!$D$5,Setup!$K$33:$K$36,0),1),INDEX('2027'!$A:$Z,(5+50*((N('My Rota'!$D$6)+1)-1))+2+10,9),INDEX('2028'!$A:$Z,(5+50*((N('My Rota'!$D$6)+1)-1))+2+10,9),INDEX('2029'!$A:$Z,(5+50*((N('My Rota'!$D$6)+1)-1))+2+10,9),INDEX('2030'!$A:$Z,(5+50*((N('My Rota'!$D$6)+1)-1))+2+10,9)))</f>
        <v/>
      </c>
      <c r="J227">
        <f>IF(OR($B227="",(N('My Rota'!$D$6)+1)&gt;53),"",""&amp;CHOOSE(IFERROR(MATCH('My Rota'!$D$5,Setup!$K$33:$K$36,0),1),INDEX('2027'!$A:$Z,(5+50*((N('My Rota'!$D$6)+1)-1))+2+10,10),INDEX('2028'!$A:$Z,(5+50*((N('My Rota'!$D$6)+1)-1))+2+10,10),INDEX('2029'!$A:$Z,(5+50*((N('My Rota'!$D$6)+1)-1))+2+10,10),INDEX('2030'!$A:$Z,(5+50*((N('My Rota'!$D$6)+1)-1))+2+10,10)))</f>
        <v/>
      </c>
      <c r="K227">
        <f>IF(OR($B227="",(N('My Rota'!$D$6)+1)&gt;53),"",""&amp;CHOOSE(IFERROR(MATCH('My Rota'!$D$5,Setup!$K$33:$K$36,0),1),INDEX('2027'!$A:$Z,(5+50*((N('My Rota'!$D$6)+1)-1))+2+10,11),INDEX('2028'!$A:$Z,(5+50*((N('My Rota'!$D$6)+1)-1))+2+10,11),INDEX('2029'!$A:$Z,(5+50*((N('My Rota'!$D$6)+1)-1))+2+10,11),INDEX('2030'!$A:$Z,(5+50*((N('My Rota'!$D$6)+1)-1))+2+10,11)))</f>
        <v/>
      </c>
      <c r="L227">
        <f>IF(OR($B227="",(N('My Rota'!$D$6)+1)&gt;53),"",""&amp;CHOOSE(IFERROR(MATCH('My Rota'!$D$5,Setup!$K$33:$K$36,0),1),INDEX('2027'!$A:$Z,(5+50*((N('My Rota'!$D$6)+1)-1))+2+10,12),INDEX('2028'!$A:$Z,(5+50*((N('My Rota'!$D$6)+1)-1))+2+10,12),INDEX('2029'!$A:$Z,(5+50*((N('My Rota'!$D$6)+1)-1))+2+10,12),INDEX('2030'!$A:$Z,(5+50*((N('My Rota'!$D$6)+1)-1))+2+10,12)))</f>
        <v/>
      </c>
      <c r="M227">
        <f>IF(OR($B227="",(N('My Rota'!$D$6)+1)&gt;53),"",""&amp;CHOOSE(IFERROR(MATCH('My Rota'!$D$5,Setup!$K$33:$K$36,0),1),INDEX('2027'!$A:$Z,(5+50*((N('My Rota'!$D$6)+1)-1))+2+10,13),INDEX('2028'!$A:$Z,(5+50*((N('My Rota'!$D$6)+1)-1))+2+10,13),INDEX('2029'!$A:$Z,(5+50*((N('My Rota'!$D$6)+1)-1))+2+10,13),INDEX('2030'!$A:$Z,(5+50*((N('My Rota'!$D$6)+1)-1))+2+10,13)))</f>
        <v/>
      </c>
      <c r="N227">
        <f>IF(OR($B227="",(N('My Rota'!$D$6)+1)&gt;53),"",""&amp;CHOOSE(IFERROR(MATCH('My Rota'!$D$5,Setup!$K$33:$K$36,0),1),INDEX('2027'!$A:$Z,(5+50*((N('My Rota'!$D$6)+1)-1))+2+10,14),INDEX('2028'!$A:$Z,(5+50*((N('My Rota'!$D$6)+1)-1))+2+10,14),INDEX('2029'!$A:$Z,(5+50*((N('My Rota'!$D$6)+1)-1))+2+10,14),INDEX('2030'!$A:$Z,(5+50*((N('My Rota'!$D$6)+1)-1))+2+10,14)))</f>
        <v/>
      </c>
      <c r="O227">
        <f>IF(OR($B227="",(N('My Rota'!$D$6)+1)&gt;53),"",""&amp;CHOOSE(IFERROR(MATCH('My Rota'!$D$5,Setup!$K$33:$K$36,0),1),INDEX('2027'!$A:$Z,(5+50*((N('My Rota'!$D$6)+1)-1))+2+10,15),INDEX('2028'!$A:$Z,(5+50*((N('My Rota'!$D$6)+1)-1))+2+10,15),INDEX('2029'!$A:$Z,(5+50*((N('My Rota'!$D$6)+1)-1))+2+10,15),INDEX('2030'!$A:$Z,(5+50*((N('My Rota'!$D$6)+1)-1))+2+10,15)))</f>
        <v/>
      </c>
      <c r="P227">
        <f>IF(OR($B227="",(N('My Rota'!$D$6)+1)&gt;53),"",""&amp;CHOOSE(IFERROR(MATCH('My Rota'!$D$5,Setup!$K$33:$K$36,0),1),INDEX('2027'!$A:$Z,(5+50*((N('My Rota'!$D$6)+1)-1))+2+10,16),INDEX('2028'!$A:$Z,(5+50*((N('My Rota'!$D$6)+1)-1))+2+10,16),INDEX('2029'!$A:$Z,(5+50*((N('My Rota'!$D$6)+1)-1))+2+10,16),INDEX('2030'!$A:$Z,(5+50*((N('My Rota'!$D$6)+1)-1))+2+10,16)))</f>
        <v/>
      </c>
      <c r="Q227">
        <f>IF(OR($B227="",(N('My Rota'!$D$6)+1)&gt;53),"",""&amp;CHOOSE(IFERROR(MATCH('My Rota'!$D$5,Setup!$K$33:$K$36,0),1),INDEX('2027'!$A:$Z,(5+50*((N('My Rota'!$D$6)+1)-1))+2+10,17),INDEX('2028'!$A:$Z,(5+50*((N('My Rota'!$D$6)+1)-1))+2+10,17),INDEX('2029'!$A:$Z,(5+50*((N('My Rota'!$D$6)+1)-1))+2+10,17),INDEX('2030'!$A:$Z,(5+50*((N('My Rota'!$D$6)+1)-1))+2+10,17)))</f>
        <v/>
      </c>
      <c r="R227">
        <f>IF(OR($B227="",(N('My Rota'!$D$6)+1)&gt;53),"",""&amp;CHOOSE(IFERROR(MATCH('My Rota'!$D$5,Setup!$K$33:$K$36,0),1),INDEX('2027'!$A:$Z,(5+50*((N('My Rota'!$D$6)+1)-1))+2+10,18),INDEX('2028'!$A:$Z,(5+50*((N('My Rota'!$D$6)+1)-1))+2+10,18),INDEX('2029'!$A:$Z,(5+50*((N('My Rota'!$D$6)+1)-1))+2+10,18),INDEX('2030'!$A:$Z,(5+50*((N('My Rota'!$D$6)+1)-1))+2+10,18)))</f>
        <v/>
      </c>
      <c r="S227">
        <f>IF(OR($B227="",(N('My Rota'!$D$6)+1)&gt;53),"",""&amp;CHOOSE(IFERROR(MATCH('My Rota'!$D$5,Setup!$K$33:$K$36,0),1),INDEX('2027'!$A:$Z,(5+50*((N('My Rota'!$D$6)+1)-1))+2+10,19),INDEX('2028'!$A:$Z,(5+50*((N('My Rota'!$D$6)+1)-1))+2+10,19),INDEX('2029'!$A:$Z,(5+50*((N('My Rota'!$D$6)+1)-1))+2+10,19),INDEX('2030'!$A:$Z,(5+50*((N('My Rota'!$D$6)+1)-1))+2+10,19)))</f>
        <v/>
      </c>
      <c r="T227">
        <f>IF(OR($B227="",(N('My Rota'!$D$6)+1)&gt;53),"",""&amp;CHOOSE(IFERROR(MATCH('My Rota'!$D$5,Setup!$K$33:$K$36,0),1),INDEX('2027'!$A:$Z,(5+50*((N('My Rota'!$D$6)+1)-1))+2+10,20),INDEX('2028'!$A:$Z,(5+50*((N('My Rota'!$D$6)+1)-1))+2+10,20),INDEX('2029'!$A:$Z,(5+50*((N('My Rota'!$D$6)+1)-1))+2+10,20),INDEX('2030'!$A:$Z,(5+50*((N('My Rota'!$D$6)+1)-1))+2+10,20)))</f>
        <v/>
      </c>
      <c r="U227">
        <f>IF(OR($B227="",(N('My Rota'!$D$6)+1)&gt;53),"",""&amp;CHOOSE(IFERROR(MATCH('My Rota'!$D$5,Setup!$K$33:$K$36,0),1),INDEX('2027'!$A:$Z,(5+50*((N('My Rota'!$D$6)+1)-1))+2+10,21),INDEX('2028'!$A:$Z,(5+50*((N('My Rota'!$D$6)+1)-1))+2+10,21),INDEX('2029'!$A:$Z,(5+50*((N('My Rota'!$D$6)+1)-1))+2+10,21),INDEX('2030'!$A:$Z,(5+50*((N('My Rota'!$D$6)+1)-1))+2+10,21)))</f>
        <v/>
      </c>
      <c r="V227">
        <f>IF(OR($B227="",(N('My Rota'!$D$6)+1)&gt;53),"",""&amp;CHOOSE(IFERROR(MATCH('My Rota'!$D$5,Setup!$K$33:$K$36,0),1),INDEX('2027'!$A:$Z,(5+50*((N('My Rota'!$D$6)+1)-1))+2+10,22),INDEX('2028'!$A:$Z,(5+50*((N('My Rota'!$D$6)+1)-1))+2+10,22),INDEX('2029'!$A:$Z,(5+50*((N('My Rota'!$D$6)+1)-1))+2+10,22),INDEX('2030'!$A:$Z,(5+50*((N('My Rota'!$D$6)+1)-1))+2+10,22)))</f>
        <v/>
      </c>
      <c r="W227">
        <f>IF(OR($B227="",(N('My Rota'!$D$6)+1)&gt;53),"",""&amp;CHOOSE(IFERROR(MATCH('My Rota'!$D$5,Setup!$K$33:$K$36,0),1),INDEX('2027'!$A:$Z,(5+50*((N('My Rota'!$D$6)+1)-1))+2+10,23),INDEX('2028'!$A:$Z,(5+50*((N('My Rota'!$D$6)+1)-1))+2+10,23),INDEX('2029'!$A:$Z,(5+50*((N('My Rota'!$D$6)+1)-1))+2+10,23),INDEX('2030'!$A:$Z,(5+50*((N('My Rota'!$D$6)+1)-1))+2+10,23)))</f>
        <v/>
      </c>
      <c r="X227">
        <f>IF(OR($B227="",(N('My Rota'!$D$6)+1)&gt;53),"",""&amp;CHOOSE(IFERROR(MATCH('My Rota'!$D$5,Setup!$K$33:$K$36,0),1),INDEX('2027'!$A:$Z,(5+50*((N('My Rota'!$D$6)+1)-1))+2+10,24),INDEX('2028'!$A:$Z,(5+50*((N('My Rota'!$D$6)+1)-1))+2+10,24),INDEX('2029'!$A:$Z,(5+50*((N('My Rota'!$D$6)+1)-1))+2+10,24),INDEX('2030'!$A:$Z,(5+50*((N('My Rota'!$D$6)+1)-1))+2+10,24)))</f>
        <v/>
      </c>
      <c r="Y227">
        <f>IF(OR($B227="",(N('My Rota'!$D$6)+1)&gt;53),"",""&amp;CHOOSE(IFERROR(MATCH('My Rota'!$D$5,Setup!$K$33:$K$36,0),1),INDEX('2027'!$A:$Z,(5+50*((N('My Rota'!$D$6)+1)-1))+2+10,25),INDEX('2028'!$A:$Z,(5+50*((N('My Rota'!$D$6)+1)-1))+2+10,25),INDEX('2029'!$A:$Z,(5+50*((N('My Rota'!$D$6)+1)-1))+2+10,25),INDEX('2030'!$A:$Z,(5+50*((N('My Rota'!$D$6)+1)-1))+2+10,25)))</f>
        <v/>
      </c>
      <c r="Z227">
        <f>IF(OR($B227="",(N('My Rota'!$D$6)+1)&gt;53),"",""&amp;CHOOSE(IFERROR(MATCH('My Rota'!$D$5,Setup!$K$33:$K$36,0),1),INDEX('2027'!$A:$Z,(5+50*((N('My Rota'!$D$6)+1)-1))+2+10,26),INDEX('2028'!$A:$Z,(5+50*((N('My Rota'!$D$6)+1)-1))+2+10,26),INDEX('2029'!$A:$Z,(5+50*((N('My Rota'!$D$6)+1)-1))+2+10,26),INDEX('2030'!$A:$Z,(5+50*((N('My Rota'!$D$6)+1)-1))+2+10,26)))</f>
        <v/>
      </c>
    </row>
    <row r="228">
      <c r="A228" t="n">
        <v>2</v>
      </c>
      <c r="B228">
        <f>$B$57</f>
        <v/>
      </c>
      <c r="C228">
        <f>IF(OR($B228="",(N('My Rota'!$D$6)+1)&gt;53),"",""&amp;CHOOSE(IFERROR(MATCH('My Rota'!$D$5,Setup!$K$33:$K$36,0),1),INDEX('2027'!$A:$Z,(5+50*((N('My Rota'!$D$6)+1)-1))+2+11,3),INDEX('2028'!$A:$Z,(5+50*((N('My Rota'!$D$6)+1)-1))+2+11,3),INDEX('2029'!$A:$Z,(5+50*((N('My Rota'!$D$6)+1)-1))+2+11,3),INDEX('2030'!$A:$Z,(5+50*((N('My Rota'!$D$6)+1)-1))+2+11,3)))</f>
        <v/>
      </c>
      <c r="D228">
        <f>IF(OR($B228="",(N('My Rota'!$D$6)+1)&gt;53),"",""&amp;CHOOSE(IFERROR(MATCH('My Rota'!$D$5,Setup!$K$33:$K$36,0),1),INDEX('2027'!$A:$Z,(5+50*((N('My Rota'!$D$6)+1)-1))+2+11,4),INDEX('2028'!$A:$Z,(5+50*((N('My Rota'!$D$6)+1)-1))+2+11,4),INDEX('2029'!$A:$Z,(5+50*((N('My Rota'!$D$6)+1)-1))+2+11,4),INDEX('2030'!$A:$Z,(5+50*((N('My Rota'!$D$6)+1)-1))+2+11,4)))</f>
        <v/>
      </c>
      <c r="E228">
        <f>IF(OR($B228="",(N('My Rota'!$D$6)+1)&gt;53),"",""&amp;CHOOSE(IFERROR(MATCH('My Rota'!$D$5,Setup!$K$33:$K$36,0),1),INDEX('2027'!$A:$Z,(5+50*((N('My Rota'!$D$6)+1)-1))+2+11,5),INDEX('2028'!$A:$Z,(5+50*((N('My Rota'!$D$6)+1)-1))+2+11,5),INDEX('2029'!$A:$Z,(5+50*((N('My Rota'!$D$6)+1)-1))+2+11,5),INDEX('2030'!$A:$Z,(5+50*((N('My Rota'!$D$6)+1)-1))+2+11,5)))</f>
        <v/>
      </c>
      <c r="F228">
        <f>IF(OR($B228="",(N('My Rota'!$D$6)+1)&gt;53),"",""&amp;CHOOSE(IFERROR(MATCH('My Rota'!$D$5,Setup!$K$33:$K$36,0),1),INDEX('2027'!$A:$Z,(5+50*((N('My Rota'!$D$6)+1)-1))+2+11,6),INDEX('2028'!$A:$Z,(5+50*((N('My Rota'!$D$6)+1)-1))+2+11,6),INDEX('2029'!$A:$Z,(5+50*((N('My Rota'!$D$6)+1)-1))+2+11,6),INDEX('2030'!$A:$Z,(5+50*((N('My Rota'!$D$6)+1)-1))+2+11,6)))</f>
        <v/>
      </c>
      <c r="G228">
        <f>IF(OR($B228="",(N('My Rota'!$D$6)+1)&gt;53),"",""&amp;CHOOSE(IFERROR(MATCH('My Rota'!$D$5,Setup!$K$33:$K$36,0),1),INDEX('2027'!$A:$Z,(5+50*((N('My Rota'!$D$6)+1)-1))+2+11,7),INDEX('2028'!$A:$Z,(5+50*((N('My Rota'!$D$6)+1)-1))+2+11,7),INDEX('2029'!$A:$Z,(5+50*((N('My Rota'!$D$6)+1)-1))+2+11,7),INDEX('2030'!$A:$Z,(5+50*((N('My Rota'!$D$6)+1)-1))+2+11,7)))</f>
        <v/>
      </c>
      <c r="H228">
        <f>IF(OR($B228="",(N('My Rota'!$D$6)+1)&gt;53),"",""&amp;CHOOSE(IFERROR(MATCH('My Rota'!$D$5,Setup!$K$33:$K$36,0),1),INDEX('2027'!$A:$Z,(5+50*((N('My Rota'!$D$6)+1)-1))+2+11,8),INDEX('2028'!$A:$Z,(5+50*((N('My Rota'!$D$6)+1)-1))+2+11,8),INDEX('2029'!$A:$Z,(5+50*((N('My Rota'!$D$6)+1)-1))+2+11,8),INDEX('2030'!$A:$Z,(5+50*((N('My Rota'!$D$6)+1)-1))+2+11,8)))</f>
        <v/>
      </c>
      <c r="I228">
        <f>IF(OR($B228="",(N('My Rota'!$D$6)+1)&gt;53),"",""&amp;CHOOSE(IFERROR(MATCH('My Rota'!$D$5,Setup!$K$33:$K$36,0),1),INDEX('2027'!$A:$Z,(5+50*((N('My Rota'!$D$6)+1)-1))+2+11,9),INDEX('2028'!$A:$Z,(5+50*((N('My Rota'!$D$6)+1)-1))+2+11,9),INDEX('2029'!$A:$Z,(5+50*((N('My Rota'!$D$6)+1)-1))+2+11,9),INDEX('2030'!$A:$Z,(5+50*((N('My Rota'!$D$6)+1)-1))+2+11,9)))</f>
        <v/>
      </c>
      <c r="J228">
        <f>IF(OR($B228="",(N('My Rota'!$D$6)+1)&gt;53),"",""&amp;CHOOSE(IFERROR(MATCH('My Rota'!$D$5,Setup!$K$33:$K$36,0),1),INDEX('2027'!$A:$Z,(5+50*((N('My Rota'!$D$6)+1)-1))+2+11,10),INDEX('2028'!$A:$Z,(5+50*((N('My Rota'!$D$6)+1)-1))+2+11,10),INDEX('2029'!$A:$Z,(5+50*((N('My Rota'!$D$6)+1)-1))+2+11,10),INDEX('2030'!$A:$Z,(5+50*((N('My Rota'!$D$6)+1)-1))+2+11,10)))</f>
        <v/>
      </c>
      <c r="K228">
        <f>IF(OR($B228="",(N('My Rota'!$D$6)+1)&gt;53),"",""&amp;CHOOSE(IFERROR(MATCH('My Rota'!$D$5,Setup!$K$33:$K$36,0),1),INDEX('2027'!$A:$Z,(5+50*((N('My Rota'!$D$6)+1)-1))+2+11,11),INDEX('2028'!$A:$Z,(5+50*((N('My Rota'!$D$6)+1)-1))+2+11,11),INDEX('2029'!$A:$Z,(5+50*((N('My Rota'!$D$6)+1)-1))+2+11,11),INDEX('2030'!$A:$Z,(5+50*((N('My Rota'!$D$6)+1)-1))+2+11,11)))</f>
        <v/>
      </c>
      <c r="L228">
        <f>IF(OR($B228="",(N('My Rota'!$D$6)+1)&gt;53),"",""&amp;CHOOSE(IFERROR(MATCH('My Rota'!$D$5,Setup!$K$33:$K$36,0),1),INDEX('2027'!$A:$Z,(5+50*((N('My Rota'!$D$6)+1)-1))+2+11,12),INDEX('2028'!$A:$Z,(5+50*((N('My Rota'!$D$6)+1)-1))+2+11,12),INDEX('2029'!$A:$Z,(5+50*((N('My Rota'!$D$6)+1)-1))+2+11,12),INDEX('2030'!$A:$Z,(5+50*((N('My Rota'!$D$6)+1)-1))+2+11,12)))</f>
        <v/>
      </c>
      <c r="M228">
        <f>IF(OR($B228="",(N('My Rota'!$D$6)+1)&gt;53),"",""&amp;CHOOSE(IFERROR(MATCH('My Rota'!$D$5,Setup!$K$33:$K$36,0),1),INDEX('2027'!$A:$Z,(5+50*((N('My Rota'!$D$6)+1)-1))+2+11,13),INDEX('2028'!$A:$Z,(5+50*((N('My Rota'!$D$6)+1)-1))+2+11,13),INDEX('2029'!$A:$Z,(5+50*((N('My Rota'!$D$6)+1)-1))+2+11,13),INDEX('2030'!$A:$Z,(5+50*((N('My Rota'!$D$6)+1)-1))+2+11,13)))</f>
        <v/>
      </c>
      <c r="N228">
        <f>IF(OR($B228="",(N('My Rota'!$D$6)+1)&gt;53),"",""&amp;CHOOSE(IFERROR(MATCH('My Rota'!$D$5,Setup!$K$33:$K$36,0),1),INDEX('2027'!$A:$Z,(5+50*((N('My Rota'!$D$6)+1)-1))+2+11,14),INDEX('2028'!$A:$Z,(5+50*((N('My Rota'!$D$6)+1)-1))+2+11,14),INDEX('2029'!$A:$Z,(5+50*((N('My Rota'!$D$6)+1)-1))+2+11,14),INDEX('2030'!$A:$Z,(5+50*((N('My Rota'!$D$6)+1)-1))+2+11,14)))</f>
        <v/>
      </c>
      <c r="O228">
        <f>IF(OR($B228="",(N('My Rota'!$D$6)+1)&gt;53),"",""&amp;CHOOSE(IFERROR(MATCH('My Rota'!$D$5,Setup!$K$33:$K$36,0),1),INDEX('2027'!$A:$Z,(5+50*((N('My Rota'!$D$6)+1)-1))+2+11,15),INDEX('2028'!$A:$Z,(5+50*((N('My Rota'!$D$6)+1)-1))+2+11,15),INDEX('2029'!$A:$Z,(5+50*((N('My Rota'!$D$6)+1)-1))+2+11,15),INDEX('2030'!$A:$Z,(5+50*((N('My Rota'!$D$6)+1)-1))+2+11,15)))</f>
        <v/>
      </c>
      <c r="P228">
        <f>IF(OR($B228="",(N('My Rota'!$D$6)+1)&gt;53),"",""&amp;CHOOSE(IFERROR(MATCH('My Rota'!$D$5,Setup!$K$33:$K$36,0),1),INDEX('2027'!$A:$Z,(5+50*((N('My Rota'!$D$6)+1)-1))+2+11,16),INDEX('2028'!$A:$Z,(5+50*((N('My Rota'!$D$6)+1)-1))+2+11,16),INDEX('2029'!$A:$Z,(5+50*((N('My Rota'!$D$6)+1)-1))+2+11,16),INDEX('2030'!$A:$Z,(5+50*((N('My Rota'!$D$6)+1)-1))+2+11,16)))</f>
        <v/>
      </c>
      <c r="Q228">
        <f>IF(OR($B228="",(N('My Rota'!$D$6)+1)&gt;53),"",""&amp;CHOOSE(IFERROR(MATCH('My Rota'!$D$5,Setup!$K$33:$K$36,0),1),INDEX('2027'!$A:$Z,(5+50*((N('My Rota'!$D$6)+1)-1))+2+11,17),INDEX('2028'!$A:$Z,(5+50*((N('My Rota'!$D$6)+1)-1))+2+11,17),INDEX('2029'!$A:$Z,(5+50*((N('My Rota'!$D$6)+1)-1))+2+11,17),INDEX('2030'!$A:$Z,(5+50*((N('My Rota'!$D$6)+1)-1))+2+11,17)))</f>
        <v/>
      </c>
      <c r="R228">
        <f>IF(OR($B228="",(N('My Rota'!$D$6)+1)&gt;53),"",""&amp;CHOOSE(IFERROR(MATCH('My Rota'!$D$5,Setup!$K$33:$K$36,0),1),INDEX('2027'!$A:$Z,(5+50*((N('My Rota'!$D$6)+1)-1))+2+11,18),INDEX('2028'!$A:$Z,(5+50*((N('My Rota'!$D$6)+1)-1))+2+11,18),INDEX('2029'!$A:$Z,(5+50*((N('My Rota'!$D$6)+1)-1))+2+11,18),INDEX('2030'!$A:$Z,(5+50*((N('My Rota'!$D$6)+1)-1))+2+11,18)))</f>
        <v/>
      </c>
      <c r="S228">
        <f>IF(OR($B228="",(N('My Rota'!$D$6)+1)&gt;53),"",""&amp;CHOOSE(IFERROR(MATCH('My Rota'!$D$5,Setup!$K$33:$K$36,0),1),INDEX('2027'!$A:$Z,(5+50*((N('My Rota'!$D$6)+1)-1))+2+11,19),INDEX('2028'!$A:$Z,(5+50*((N('My Rota'!$D$6)+1)-1))+2+11,19),INDEX('2029'!$A:$Z,(5+50*((N('My Rota'!$D$6)+1)-1))+2+11,19),INDEX('2030'!$A:$Z,(5+50*((N('My Rota'!$D$6)+1)-1))+2+11,19)))</f>
        <v/>
      </c>
      <c r="T228">
        <f>IF(OR($B228="",(N('My Rota'!$D$6)+1)&gt;53),"",""&amp;CHOOSE(IFERROR(MATCH('My Rota'!$D$5,Setup!$K$33:$K$36,0),1),INDEX('2027'!$A:$Z,(5+50*((N('My Rota'!$D$6)+1)-1))+2+11,20),INDEX('2028'!$A:$Z,(5+50*((N('My Rota'!$D$6)+1)-1))+2+11,20),INDEX('2029'!$A:$Z,(5+50*((N('My Rota'!$D$6)+1)-1))+2+11,20),INDEX('2030'!$A:$Z,(5+50*((N('My Rota'!$D$6)+1)-1))+2+11,20)))</f>
        <v/>
      </c>
      <c r="U228">
        <f>IF(OR($B228="",(N('My Rota'!$D$6)+1)&gt;53),"",""&amp;CHOOSE(IFERROR(MATCH('My Rota'!$D$5,Setup!$K$33:$K$36,0),1),INDEX('2027'!$A:$Z,(5+50*((N('My Rota'!$D$6)+1)-1))+2+11,21),INDEX('2028'!$A:$Z,(5+50*((N('My Rota'!$D$6)+1)-1))+2+11,21),INDEX('2029'!$A:$Z,(5+50*((N('My Rota'!$D$6)+1)-1))+2+11,21),INDEX('2030'!$A:$Z,(5+50*((N('My Rota'!$D$6)+1)-1))+2+11,21)))</f>
        <v/>
      </c>
      <c r="V228">
        <f>IF(OR($B228="",(N('My Rota'!$D$6)+1)&gt;53),"",""&amp;CHOOSE(IFERROR(MATCH('My Rota'!$D$5,Setup!$K$33:$K$36,0),1),INDEX('2027'!$A:$Z,(5+50*((N('My Rota'!$D$6)+1)-1))+2+11,22),INDEX('2028'!$A:$Z,(5+50*((N('My Rota'!$D$6)+1)-1))+2+11,22),INDEX('2029'!$A:$Z,(5+50*((N('My Rota'!$D$6)+1)-1))+2+11,22),INDEX('2030'!$A:$Z,(5+50*((N('My Rota'!$D$6)+1)-1))+2+11,22)))</f>
        <v/>
      </c>
      <c r="W228">
        <f>IF(OR($B228="",(N('My Rota'!$D$6)+1)&gt;53),"",""&amp;CHOOSE(IFERROR(MATCH('My Rota'!$D$5,Setup!$K$33:$K$36,0),1),INDEX('2027'!$A:$Z,(5+50*((N('My Rota'!$D$6)+1)-1))+2+11,23),INDEX('2028'!$A:$Z,(5+50*((N('My Rota'!$D$6)+1)-1))+2+11,23),INDEX('2029'!$A:$Z,(5+50*((N('My Rota'!$D$6)+1)-1))+2+11,23),INDEX('2030'!$A:$Z,(5+50*((N('My Rota'!$D$6)+1)-1))+2+11,23)))</f>
        <v/>
      </c>
      <c r="X228">
        <f>IF(OR($B228="",(N('My Rota'!$D$6)+1)&gt;53),"",""&amp;CHOOSE(IFERROR(MATCH('My Rota'!$D$5,Setup!$K$33:$K$36,0),1),INDEX('2027'!$A:$Z,(5+50*((N('My Rota'!$D$6)+1)-1))+2+11,24),INDEX('2028'!$A:$Z,(5+50*((N('My Rota'!$D$6)+1)-1))+2+11,24),INDEX('2029'!$A:$Z,(5+50*((N('My Rota'!$D$6)+1)-1))+2+11,24),INDEX('2030'!$A:$Z,(5+50*((N('My Rota'!$D$6)+1)-1))+2+11,24)))</f>
        <v/>
      </c>
      <c r="Y228">
        <f>IF(OR($B228="",(N('My Rota'!$D$6)+1)&gt;53),"",""&amp;CHOOSE(IFERROR(MATCH('My Rota'!$D$5,Setup!$K$33:$K$36,0),1),INDEX('2027'!$A:$Z,(5+50*((N('My Rota'!$D$6)+1)-1))+2+11,25),INDEX('2028'!$A:$Z,(5+50*((N('My Rota'!$D$6)+1)-1))+2+11,25),INDEX('2029'!$A:$Z,(5+50*((N('My Rota'!$D$6)+1)-1))+2+11,25),INDEX('2030'!$A:$Z,(5+50*((N('My Rota'!$D$6)+1)-1))+2+11,25)))</f>
        <v/>
      </c>
      <c r="Z228">
        <f>IF(OR($B228="",(N('My Rota'!$D$6)+1)&gt;53),"",""&amp;CHOOSE(IFERROR(MATCH('My Rota'!$D$5,Setup!$K$33:$K$36,0),1),INDEX('2027'!$A:$Z,(5+50*((N('My Rota'!$D$6)+1)-1))+2+11,26),INDEX('2028'!$A:$Z,(5+50*((N('My Rota'!$D$6)+1)-1))+2+11,26),INDEX('2029'!$A:$Z,(5+50*((N('My Rota'!$D$6)+1)-1))+2+11,26),INDEX('2030'!$A:$Z,(5+50*((N('My Rota'!$D$6)+1)-1))+2+11,26)))</f>
        <v/>
      </c>
    </row>
    <row r="229">
      <c r="A229" t="n">
        <v>2</v>
      </c>
      <c r="B229">
        <f>$B$58</f>
        <v/>
      </c>
      <c r="C229">
        <f>IF(OR($B229="",(N('My Rota'!$D$6)+1)&gt;53),"",""&amp;CHOOSE(IFERROR(MATCH('My Rota'!$D$5,Setup!$K$33:$K$36,0),1),INDEX('2027'!$A:$Z,(5+50*((N('My Rota'!$D$6)+1)-1))+2+12,3),INDEX('2028'!$A:$Z,(5+50*((N('My Rota'!$D$6)+1)-1))+2+12,3),INDEX('2029'!$A:$Z,(5+50*((N('My Rota'!$D$6)+1)-1))+2+12,3),INDEX('2030'!$A:$Z,(5+50*((N('My Rota'!$D$6)+1)-1))+2+12,3)))</f>
        <v/>
      </c>
      <c r="D229">
        <f>IF(OR($B229="",(N('My Rota'!$D$6)+1)&gt;53),"",""&amp;CHOOSE(IFERROR(MATCH('My Rota'!$D$5,Setup!$K$33:$K$36,0),1),INDEX('2027'!$A:$Z,(5+50*((N('My Rota'!$D$6)+1)-1))+2+12,4),INDEX('2028'!$A:$Z,(5+50*((N('My Rota'!$D$6)+1)-1))+2+12,4),INDEX('2029'!$A:$Z,(5+50*((N('My Rota'!$D$6)+1)-1))+2+12,4),INDEX('2030'!$A:$Z,(5+50*((N('My Rota'!$D$6)+1)-1))+2+12,4)))</f>
        <v/>
      </c>
      <c r="E229">
        <f>IF(OR($B229="",(N('My Rota'!$D$6)+1)&gt;53),"",""&amp;CHOOSE(IFERROR(MATCH('My Rota'!$D$5,Setup!$K$33:$K$36,0),1),INDEX('2027'!$A:$Z,(5+50*((N('My Rota'!$D$6)+1)-1))+2+12,5),INDEX('2028'!$A:$Z,(5+50*((N('My Rota'!$D$6)+1)-1))+2+12,5),INDEX('2029'!$A:$Z,(5+50*((N('My Rota'!$D$6)+1)-1))+2+12,5),INDEX('2030'!$A:$Z,(5+50*((N('My Rota'!$D$6)+1)-1))+2+12,5)))</f>
        <v/>
      </c>
      <c r="F229">
        <f>IF(OR($B229="",(N('My Rota'!$D$6)+1)&gt;53),"",""&amp;CHOOSE(IFERROR(MATCH('My Rota'!$D$5,Setup!$K$33:$K$36,0),1),INDEX('2027'!$A:$Z,(5+50*((N('My Rota'!$D$6)+1)-1))+2+12,6),INDEX('2028'!$A:$Z,(5+50*((N('My Rota'!$D$6)+1)-1))+2+12,6),INDEX('2029'!$A:$Z,(5+50*((N('My Rota'!$D$6)+1)-1))+2+12,6),INDEX('2030'!$A:$Z,(5+50*((N('My Rota'!$D$6)+1)-1))+2+12,6)))</f>
        <v/>
      </c>
      <c r="G229">
        <f>IF(OR($B229="",(N('My Rota'!$D$6)+1)&gt;53),"",""&amp;CHOOSE(IFERROR(MATCH('My Rota'!$D$5,Setup!$K$33:$K$36,0),1),INDEX('2027'!$A:$Z,(5+50*((N('My Rota'!$D$6)+1)-1))+2+12,7),INDEX('2028'!$A:$Z,(5+50*((N('My Rota'!$D$6)+1)-1))+2+12,7),INDEX('2029'!$A:$Z,(5+50*((N('My Rota'!$D$6)+1)-1))+2+12,7),INDEX('2030'!$A:$Z,(5+50*((N('My Rota'!$D$6)+1)-1))+2+12,7)))</f>
        <v/>
      </c>
      <c r="H229">
        <f>IF(OR($B229="",(N('My Rota'!$D$6)+1)&gt;53),"",""&amp;CHOOSE(IFERROR(MATCH('My Rota'!$D$5,Setup!$K$33:$K$36,0),1),INDEX('2027'!$A:$Z,(5+50*((N('My Rota'!$D$6)+1)-1))+2+12,8),INDEX('2028'!$A:$Z,(5+50*((N('My Rota'!$D$6)+1)-1))+2+12,8),INDEX('2029'!$A:$Z,(5+50*((N('My Rota'!$D$6)+1)-1))+2+12,8),INDEX('2030'!$A:$Z,(5+50*((N('My Rota'!$D$6)+1)-1))+2+12,8)))</f>
        <v/>
      </c>
      <c r="I229">
        <f>IF(OR($B229="",(N('My Rota'!$D$6)+1)&gt;53),"",""&amp;CHOOSE(IFERROR(MATCH('My Rota'!$D$5,Setup!$K$33:$K$36,0),1),INDEX('2027'!$A:$Z,(5+50*((N('My Rota'!$D$6)+1)-1))+2+12,9),INDEX('2028'!$A:$Z,(5+50*((N('My Rota'!$D$6)+1)-1))+2+12,9),INDEX('2029'!$A:$Z,(5+50*((N('My Rota'!$D$6)+1)-1))+2+12,9),INDEX('2030'!$A:$Z,(5+50*((N('My Rota'!$D$6)+1)-1))+2+12,9)))</f>
        <v/>
      </c>
      <c r="J229">
        <f>IF(OR($B229="",(N('My Rota'!$D$6)+1)&gt;53),"",""&amp;CHOOSE(IFERROR(MATCH('My Rota'!$D$5,Setup!$K$33:$K$36,0),1),INDEX('2027'!$A:$Z,(5+50*((N('My Rota'!$D$6)+1)-1))+2+12,10),INDEX('2028'!$A:$Z,(5+50*((N('My Rota'!$D$6)+1)-1))+2+12,10),INDEX('2029'!$A:$Z,(5+50*((N('My Rota'!$D$6)+1)-1))+2+12,10),INDEX('2030'!$A:$Z,(5+50*((N('My Rota'!$D$6)+1)-1))+2+12,10)))</f>
        <v/>
      </c>
      <c r="K229">
        <f>IF(OR($B229="",(N('My Rota'!$D$6)+1)&gt;53),"",""&amp;CHOOSE(IFERROR(MATCH('My Rota'!$D$5,Setup!$K$33:$K$36,0),1),INDEX('2027'!$A:$Z,(5+50*((N('My Rota'!$D$6)+1)-1))+2+12,11),INDEX('2028'!$A:$Z,(5+50*((N('My Rota'!$D$6)+1)-1))+2+12,11),INDEX('2029'!$A:$Z,(5+50*((N('My Rota'!$D$6)+1)-1))+2+12,11),INDEX('2030'!$A:$Z,(5+50*((N('My Rota'!$D$6)+1)-1))+2+12,11)))</f>
        <v/>
      </c>
      <c r="L229">
        <f>IF(OR($B229="",(N('My Rota'!$D$6)+1)&gt;53),"",""&amp;CHOOSE(IFERROR(MATCH('My Rota'!$D$5,Setup!$K$33:$K$36,0),1),INDEX('2027'!$A:$Z,(5+50*((N('My Rota'!$D$6)+1)-1))+2+12,12),INDEX('2028'!$A:$Z,(5+50*((N('My Rota'!$D$6)+1)-1))+2+12,12),INDEX('2029'!$A:$Z,(5+50*((N('My Rota'!$D$6)+1)-1))+2+12,12),INDEX('2030'!$A:$Z,(5+50*((N('My Rota'!$D$6)+1)-1))+2+12,12)))</f>
        <v/>
      </c>
      <c r="M229">
        <f>IF(OR($B229="",(N('My Rota'!$D$6)+1)&gt;53),"",""&amp;CHOOSE(IFERROR(MATCH('My Rota'!$D$5,Setup!$K$33:$K$36,0),1),INDEX('2027'!$A:$Z,(5+50*((N('My Rota'!$D$6)+1)-1))+2+12,13),INDEX('2028'!$A:$Z,(5+50*((N('My Rota'!$D$6)+1)-1))+2+12,13),INDEX('2029'!$A:$Z,(5+50*((N('My Rota'!$D$6)+1)-1))+2+12,13),INDEX('2030'!$A:$Z,(5+50*((N('My Rota'!$D$6)+1)-1))+2+12,13)))</f>
        <v/>
      </c>
      <c r="N229">
        <f>IF(OR($B229="",(N('My Rota'!$D$6)+1)&gt;53),"",""&amp;CHOOSE(IFERROR(MATCH('My Rota'!$D$5,Setup!$K$33:$K$36,0),1),INDEX('2027'!$A:$Z,(5+50*((N('My Rota'!$D$6)+1)-1))+2+12,14),INDEX('2028'!$A:$Z,(5+50*((N('My Rota'!$D$6)+1)-1))+2+12,14),INDEX('2029'!$A:$Z,(5+50*((N('My Rota'!$D$6)+1)-1))+2+12,14),INDEX('2030'!$A:$Z,(5+50*((N('My Rota'!$D$6)+1)-1))+2+12,14)))</f>
        <v/>
      </c>
      <c r="O229">
        <f>IF(OR($B229="",(N('My Rota'!$D$6)+1)&gt;53),"",""&amp;CHOOSE(IFERROR(MATCH('My Rota'!$D$5,Setup!$K$33:$K$36,0),1),INDEX('2027'!$A:$Z,(5+50*((N('My Rota'!$D$6)+1)-1))+2+12,15),INDEX('2028'!$A:$Z,(5+50*((N('My Rota'!$D$6)+1)-1))+2+12,15),INDEX('2029'!$A:$Z,(5+50*((N('My Rota'!$D$6)+1)-1))+2+12,15),INDEX('2030'!$A:$Z,(5+50*((N('My Rota'!$D$6)+1)-1))+2+12,15)))</f>
        <v/>
      </c>
      <c r="P229">
        <f>IF(OR($B229="",(N('My Rota'!$D$6)+1)&gt;53),"",""&amp;CHOOSE(IFERROR(MATCH('My Rota'!$D$5,Setup!$K$33:$K$36,0),1),INDEX('2027'!$A:$Z,(5+50*((N('My Rota'!$D$6)+1)-1))+2+12,16),INDEX('2028'!$A:$Z,(5+50*((N('My Rota'!$D$6)+1)-1))+2+12,16),INDEX('2029'!$A:$Z,(5+50*((N('My Rota'!$D$6)+1)-1))+2+12,16),INDEX('2030'!$A:$Z,(5+50*((N('My Rota'!$D$6)+1)-1))+2+12,16)))</f>
        <v/>
      </c>
      <c r="Q229">
        <f>IF(OR($B229="",(N('My Rota'!$D$6)+1)&gt;53),"",""&amp;CHOOSE(IFERROR(MATCH('My Rota'!$D$5,Setup!$K$33:$K$36,0),1),INDEX('2027'!$A:$Z,(5+50*((N('My Rota'!$D$6)+1)-1))+2+12,17),INDEX('2028'!$A:$Z,(5+50*((N('My Rota'!$D$6)+1)-1))+2+12,17),INDEX('2029'!$A:$Z,(5+50*((N('My Rota'!$D$6)+1)-1))+2+12,17),INDEX('2030'!$A:$Z,(5+50*((N('My Rota'!$D$6)+1)-1))+2+12,17)))</f>
        <v/>
      </c>
      <c r="R229">
        <f>IF(OR($B229="",(N('My Rota'!$D$6)+1)&gt;53),"",""&amp;CHOOSE(IFERROR(MATCH('My Rota'!$D$5,Setup!$K$33:$K$36,0),1),INDEX('2027'!$A:$Z,(5+50*((N('My Rota'!$D$6)+1)-1))+2+12,18),INDEX('2028'!$A:$Z,(5+50*((N('My Rota'!$D$6)+1)-1))+2+12,18),INDEX('2029'!$A:$Z,(5+50*((N('My Rota'!$D$6)+1)-1))+2+12,18),INDEX('2030'!$A:$Z,(5+50*((N('My Rota'!$D$6)+1)-1))+2+12,18)))</f>
        <v/>
      </c>
      <c r="S229">
        <f>IF(OR($B229="",(N('My Rota'!$D$6)+1)&gt;53),"",""&amp;CHOOSE(IFERROR(MATCH('My Rota'!$D$5,Setup!$K$33:$K$36,0),1),INDEX('2027'!$A:$Z,(5+50*((N('My Rota'!$D$6)+1)-1))+2+12,19),INDEX('2028'!$A:$Z,(5+50*((N('My Rota'!$D$6)+1)-1))+2+12,19),INDEX('2029'!$A:$Z,(5+50*((N('My Rota'!$D$6)+1)-1))+2+12,19),INDEX('2030'!$A:$Z,(5+50*((N('My Rota'!$D$6)+1)-1))+2+12,19)))</f>
        <v/>
      </c>
      <c r="T229">
        <f>IF(OR($B229="",(N('My Rota'!$D$6)+1)&gt;53),"",""&amp;CHOOSE(IFERROR(MATCH('My Rota'!$D$5,Setup!$K$33:$K$36,0),1),INDEX('2027'!$A:$Z,(5+50*((N('My Rota'!$D$6)+1)-1))+2+12,20),INDEX('2028'!$A:$Z,(5+50*((N('My Rota'!$D$6)+1)-1))+2+12,20),INDEX('2029'!$A:$Z,(5+50*((N('My Rota'!$D$6)+1)-1))+2+12,20),INDEX('2030'!$A:$Z,(5+50*((N('My Rota'!$D$6)+1)-1))+2+12,20)))</f>
        <v/>
      </c>
      <c r="U229">
        <f>IF(OR($B229="",(N('My Rota'!$D$6)+1)&gt;53),"",""&amp;CHOOSE(IFERROR(MATCH('My Rota'!$D$5,Setup!$K$33:$K$36,0),1),INDEX('2027'!$A:$Z,(5+50*((N('My Rota'!$D$6)+1)-1))+2+12,21),INDEX('2028'!$A:$Z,(5+50*((N('My Rota'!$D$6)+1)-1))+2+12,21),INDEX('2029'!$A:$Z,(5+50*((N('My Rota'!$D$6)+1)-1))+2+12,21),INDEX('2030'!$A:$Z,(5+50*((N('My Rota'!$D$6)+1)-1))+2+12,21)))</f>
        <v/>
      </c>
      <c r="V229">
        <f>IF(OR($B229="",(N('My Rota'!$D$6)+1)&gt;53),"",""&amp;CHOOSE(IFERROR(MATCH('My Rota'!$D$5,Setup!$K$33:$K$36,0),1),INDEX('2027'!$A:$Z,(5+50*((N('My Rota'!$D$6)+1)-1))+2+12,22),INDEX('2028'!$A:$Z,(5+50*((N('My Rota'!$D$6)+1)-1))+2+12,22),INDEX('2029'!$A:$Z,(5+50*((N('My Rota'!$D$6)+1)-1))+2+12,22),INDEX('2030'!$A:$Z,(5+50*((N('My Rota'!$D$6)+1)-1))+2+12,22)))</f>
        <v/>
      </c>
      <c r="W229">
        <f>IF(OR($B229="",(N('My Rota'!$D$6)+1)&gt;53),"",""&amp;CHOOSE(IFERROR(MATCH('My Rota'!$D$5,Setup!$K$33:$K$36,0),1),INDEX('2027'!$A:$Z,(5+50*((N('My Rota'!$D$6)+1)-1))+2+12,23),INDEX('2028'!$A:$Z,(5+50*((N('My Rota'!$D$6)+1)-1))+2+12,23),INDEX('2029'!$A:$Z,(5+50*((N('My Rota'!$D$6)+1)-1))+2+12,23),INDEX('2030'!$A:$Z,(5+50*((N('My Rota'!$D$6)+1)-1))+2+12,23)))</f>
        <v/>
      </c>
      <c r="X229">
        <f>IF(OR($B229="",(N('My Rota'!$D$6)+1)&gt;53),"",""&amp;CHOOSE(IFERROR(MATCH('My Rota'!$D$5,Setup!$K$33:$K$36,0),1),INDEX('2027'!$A:$Z,(5+50*((N('My Rota'!$D$6)+1)-1))+2+12,24),INDEX('2028'!$A:$Z,(5+50*((N('My Rota'!$D$6)+1)-1))+2+12,24),INDEX('2029'!$A:$Z,(5+50*((N('My Rota'!$D$6)+1)-1))+2+12,24),INDEX('2030'!$A:$Z,(5+50*((N('My Rota'!$D$6)+1)-1))+2+12,24)))</f>
        <v/>
      </c>
      <c r="Y229">
        <f>IF(OR($B229="",(N('My Rota'!$D$6)+1)&gt;53),"",""&amp;CHOOSE(IFERROR(MATCH('My Rota'!$D$5,Setup!$K$33:$K$36,0),1),INDEX('2027'!$A:$Z,(5+50*((N('My Rota'!$D$6)+1)-1))+2+12,25),INDEX('2028'!$A:$Z,(5+50*((N('My Rota'!$D$6)+1)-1))+2+12,25),INDEX('2029'!$A:$Z,(5+50*((N('My Rota'!$D$6)+1)-1))+2+12,25),INDEX('2030'!$A:$Z,(5+50*((N('My Rota'!$D$6)+1)-1))+2+12,25)))</f>
        <v/>
      </c>
      <c r="Z229">
        <f>IF(OR($B229="",(N('My Rota'!$D$6)+1)&gt;53),"",""&amp;CHOOSE(IFERROR(MATCH('My Rota'!$D$5,Setup!$K$33:$K$36,0),1),INDEX('2027'!$A:$Z,(5+50*((N('My Rota'!$D$6)+1)-1))+2+12,26),INDEX('2028'!$A:$Z,(5+50*((N('My Rota'!$D$6)+1)-1))+2+12,26),INDEX('2029'!$A:$Z,(5+50*((N('My Rota'!$D$6)+1)-1))+2+12,26),INDEX('2030'!$A:$Z,(5+50*((N('My Rota'!$D$6)+1)-1))+2+12,26)))</f>
        <v/>
      </c>
    </row>
    <row r="230">
      <c r="A230" t="n">
        <v>2</v>
      </c>
      <c r="B230">
        <f>$B$59</f>
        <v/>
      </c>
      <c r="C230">
        <f>IF(OR($B230="",(N('My Rota'!$D$6)+1)&gt;53),"",""&amp;CHOOSE(IFERROR(MATCH('My Rota'!$D$5,Setup!$K$33:$K$36,0),1),INDEX('2027'!$A:$Z,(5+50*((N('My Rota'!$D$6)+1)-1))+2+13,3),INDEX('2028'!$A:$Z,(5+50*((N('My Rota'!$D$6)+1)-1))+2+13,3),INDEX('2029'!$A:$Z,(5+50*((N('My Rota'!$D$6)+1)-1))+2+13,3),INDEX('2030'!$A:$Z,(5+50*((N('My Rota'!$D$6)+1)-1))+2+13,3)))</f>
        <v/>
      </c>
      <c r="D230">
        <f>IF(OR($B230="",(N('My Rota'!$D$6)+1)&gt;53),"",""&amp;CHOOSE(IFERROR(MATCH('My Rota'!$D$5,Setup!$K$33:$K$36,0),1),INDEX('2027'!$A:$Z,(5+50*((N('My Rota'!$D$6)+1)-1))+2+13,4),INDEX('2028'!$A:$Z,(5+50*((N('My Rota'!$D$6)+1)-1))+2+13,4),INDEX('2029'!$A:$Z,(5+50*((N('My Rota'!$D$6)+1)-1))+2+13,4),INDEX('2030'!$A:$Z,(5+50*((N('My Rota'!$D$6)+1)-1))+2+13,4)))</f>
        <v/>
      </c>
      <c r="E230">
        <f>IF(OR($B230="",(N('My Rota'!$D$6)+1)&gt;53),"",""&amp;CHOOSE(IFERROR(MATCH('My Rota'!$D$5,Setup!$K$33:$K$36,0),1),INDEX('2027'!$A:$Z,(5+50*((N('My Rota'!$D$6)+1)-1))+2+13,5),INDEX('2028'!$A:$Z,(5+50*((N('My Rota'!$D$6)+1)-1))+2+13,5),INDEX('2029'!$A:$Z,(5+50*((N('My Rota'!$D$6)+1)-1))+2+13,5),INDEX('2030'!$A:$Z,(5+50*((N('My Rota'!$D$6)+1)-1))+2+13,5)))</f>
        <v/>
      </c>
      <c r="F230">
        <f>IF(OR($B230="",(N('My Rota'!$D$6)+1)&gt;53),"",""&amp;CHOOSE(IFERROR(MATCH('My Rota'!$D$5,Setup!$K$33:$K$36,0),1),INDEX('2027'!$A:$Z,(5+50*((N('My Rota'!$D$6)+1)-1))+2+13,6),INDEX('2028'!$A:$Z,(5+50*((N('My Rota'!$D$6)+1)-1))+2+13,6),INDEX('2029'!$A:$Z,(5+50*((N('My Rota'!$D$6)+1)-1))+2+13,6),INDEX('2030'!$A:$Z,(5+50*((N('My Rota'!$D$6)+1)-1))+2+13,6)))</f>
        <v/>
      </c>
      <c r="G230">
        <f>IF(OR($B230="",(N('My Rota'!$D$6)+1)&gt;53),"",""&amp;CHOOSE(IFERROR(MATCH('My Rota'!$D$5,Setup!$K$33:$K$36,0),1),INDEX('2027'!$A:$Z,(5+50*((N('My Rota'!$D$6)+1)-1))+2+13,7),INDEX('2028'!$A:$Z,(5+50*((N('My Rota'!$D$6)+1)-1))+2+13,7),INDEX('2029'!$A:$Z,(5+50*((N('My Rota'!$D$6)+1)-1))+2+13,7),INDEX('2030'!$A:$Z,(5+50*((N('My Rota'!$D$6)+1)-1))+2+13,7)))</f>
        <v/>
      </c>
      <c r="H230">
        <f>IF(OR($B230="",(N('My Rota'!$D$6)+1)&gt;53),"",""&amp;CHOOSE(IFERROR(MATCH('My Rota'!$D$5,Setup!$K$33:$K$36,0),1),INDEX('2027'!$A:$Z,(5+50*((N('My Rota'!$D$6)+1)-1))+2+13,8),INDEX('2028'!$A:$Z,(5+50*((N('My Rota'!$D$6)+1)-1))+2+13,8),INDEX('2029'!$A:$Z,(5+50*((N('My Rota'!$D$6)+1)-1))+2+13,8),INDEX('2030'!$A:$Z,(5+50*((N('My Rota'!$D$6)+1)-1))+2+13,8)))</f>
        <v/>
      </c>
      <c r="I230">
        <f>IF(OR($B230="",(N('My Rota'!$D$6)+1)&gt;53),"",""&amp;CHOOSE(IFERROR(MATCH('My Rota'!$D$5,Setup!$K$33:$K$36,0),1),INDEX('2027'!$A:$Z,(5+50*((N('My Rota'!$D$6)+1)-1))+2+13,9),INDEX('2028'!$A:$Z,(5+50*((N('My Rota'!$D$6)+1)-1))+2+13,9),INDEX('2029'!$A:$Z,(5+50*((N('My Rota'!$D$6)+1)-1))+2+13,9),INDEX('2030'!$A:$Z,(5+50*((N('My Rota'!$D$6)+1)-1))+2+13,9)))</f>
        <v/>
      </c>
      <c r="J230">
        <f>IF(OR($B230="",(N('My Rota'!$D$6)+1)&gt;53),"",""&amp;CHOOSE(IFERROR(MATCH('My Rota'!$D$5,Setup!$K$33:$K$36,0),1),INDEX('2027'!$A:$Z,(5+50*((N('My Rota'!$D$6)+1)-1))+2+13,10),INDEX('2028'!$A:$Z,(5+50*((N('My Rota'!$D$6)+1)-1))+2+13,10),INDEX('2029'!$A:$Z,(5+50*((N('My Rota'!$D$6)+1)-1))+2+13,10),INDEX('2030'!$A:$Z,(5+50*((N('My Rota'!$D$6)+1)-1))+2+13,10)))</f>
        <v/>
      </c>
      <c r="K230">
        <f>IF(OR($B230="",(N('My Rota'!$D$6)+1)&gt;53),"",""&amp;CHOOSE(IFERROR(MATCH('My Rota'!$D$5,Setup!$K$33:$K$36,0),1),INDEX('2027'!$A:$Z,(5+50*((N('My Rota'!$D$6)+1)-1))+2+13,11),INDEX('2028'!$A:$Z,(5+50*((N('My Rota'!$D$6)+1)-1))+2+13,11),INDEX('2029'!$A:$Z,(5+50*((N('My Rota'!$D$6)+1)-1))+2+13,11),INDEX('2030'!$A:$Z,(5+50*((N('My Rota'!$D$6)+1)-1))+2+13,11)))</f>
        <v/>
      </c>
      <c r="L230">
        <f>IF(OR($B230="",(N('My Rota'!$D$6)+1)&gt;53),"",""&amp;CHOOSE(IFERROR(MATCH('My Rota'!$D$5,Setup!$K$33:$K$36,0),1),INDEX('2027'!$A:$Z,(5+50*((N('My Rota'!$D$6)+1)-1))+2+13,12),INDEX('2028'!$A:$Z,(5+50*((N('My Rota'!$D$6)+1)-1))+2+13,12),INDEX('2029'!$A:$Z,(5+50*((N('My Rota'!$D$6)+1)-1))+2+13,12),INDEX('2030'!$A:$Z,(5+50*((N('My Rota'!$D$6)+1)-1))+2+13,12)))</f>
        <v/>
      </c>
      <c r="M230">
        <f>IF(OR($B230="",(N('My Rota'!$D$6)+1)&gt;53),"",""&amp;CHOOSE(IFERROR(MATCH('My Rota'!$D$5,Setup!$K$33:$K$36,0),1),INDEX('2027'!$A:$Z,(5+50*((N('My Rota'!$D$6)+1)-1))+2+13,13),INDEX('2028'!$A:$Z,(5+50*((N('My Rota'!$D$6)+1)-1))+2+13,13),INDEX('2029'!$A:$Z,(5+50*((N('My Rota'!$D$6)+1)-1))+2+13,13),INDEX('2030'!$A:$Z,(5+50*((N('My Rota'!$D$6)+1)-1))+2+13,13)))</f>
        <v/>
      </c>
      <c r="N230">
        <f>IF(OR($B230="",(N('My Rota'!$D$6)+1)&gt;53),"",""&amp;CHOOSE(IFERROR(MATCH('My Rota'!$D$5,Setup!$K$33:$K$36,0),1),INDEX('2027'!$A:$Z,(5+50*((N('My Rota'!$D$6)+1)-1))+2+13,14),INDEX('2028'!$A:$Z,(5+50*((N('My Rota'!$D$6)+1)-1))+2+13,14),INDEX('2029'!$A:$Z,(5+50*((N('My Rota'!$D$6)+1)-1))+2+13,14),INDEX('2030'!$A:$Z,(5+50*((N('My Rota'!$D$6)+1)-1))+2+13,14)))</f>
        <v/>
      </c>
      <c r="O230">
        <f>IF(OR($B230="",(N('My Rota'!$D$6)+1)&gt;53),"",""&amp;CHOOSE(IFERROR(MATCH('My Rota'!$D$5,Setup!$K$33:$K$36,0),1),INDEX('2027'!$A:$Z,(5+50*((N('My Rota'!$D$6)+1)-1))+2+13,15),INDEX('2028'!$A:$Z,(5+50*((N('My Rota'!$D$6)+1)-1))+2+13,15),INDEX('2029'!$A:$Z,(5+50*((N('My Rota'!$D$6)+1)-1))+2+13,15),INDEX('2030'!$A:$Z,(5+50*((N('My Rota'!$D$6)+1)-1))+2+13,15)))</f>
        <v/>
      </c>
      <c r="P230">
        <f>IF(OR($B230="",(N('My Rota'!$D$6)+1)&gt;53),"",""&amp;CHOOSE(IFERROR(MATCH('My Rota'!$D$5,Setup!$K$33:$K$36,0),1),INDEX('2027'!$A:$Z,(5+50*((N('My Rota'!$D$6)+1)-1))+2+13,16),INDEX('2028'!$A:$Z,(5+50*((N('My Rota'!$D$6)+1)-1))+2+13,16),INDEX('2029'!$A:$Z,(5+50*((N('My Rota'!$D$6)+1)-1))+2+13,16),INDEX('2030'!$A:$Z,(5+50*((N('My Rota'!$D$6)+1)-1))+2+13,16)))</f>
        <v/>
      </c>
      <c r="Q230">
        <f>IF(OR($B230="",(N('My Rota'!$D$6)+1)&gt;53),"",""&amp;CHOOSE(IFERROR(MATCH('My Rota'!$D$5,Setup!$K$33:$K$36,0),1),INDEX('2027'!$A:$Z,(5+50*((N('My Rota'!$D$6)+1)-1))+2+13,17),INDEX('2028'!$A:$Z,(5+50*((N('My Rota'!$D$6)+1)-1))+2+13,17),INDEX('2029'!$A:$Z,(5+50*((N('My Rota'!$D$6)+1)-1))+2+13,17),INDEX('2030'!$A:$Z,(5+50*((N('My Rota'!$D$6)+1)-1))+2+13,17)))</f>
        <v/>
      </c>
      <c r="R230">
        <f>IF(OR($B230="",(N('My Rota'!$D$6)+1)&gt;53),"",""&amp;CHOOSE(IFERROR(MATCH('My Rota'!$D$5,Setup!$K$33:$K$36,0),1),INDEX('2027'!$A:$Z,(5+50*((N('My Rota'!$D$6)+1)-1))+2+13,18),INDEX('2028'!$A:$Z,(5+50*((N('My Rota'!$D$6)+1)-1))+2+13,18),INDEX('2029'!$A:$Z,(5+50*((N('My Rota'!$D$6)+1)-1))+2+13,18),INDEX('2030'!$A:$Z,(5+50*((N('My Rota'!$D$6)+1)-1))+2+13,18)))</f>
        <v/>
      </c>
      <c r="S230">
        <f>IF(OR($B230="",(N('My Rota'!$D$6)+1)&gt;53),"",""&amp;CHOOSE(IFERROR(MATCH('My Rota'!$D$5,Setup!$K$33:$K$36,0),1),INDEX('2027'!$A:$Z,(5+50*((N('My Rota'!$D$6)+1)-1))+2+13,19),INDEX('2028'!$A:$Z,(5+50*((N('My Rota'!$D$6)+1)-1))+2+13,19),INDEX('2029'!$A:$Z,(5+50*((N('My Rota'!$D$6)+1)-1))+2+13,19),INDEX('2030'!$A:$Z,(5+50*((N('My Rota'!$D$6)+1)-1))+2+13,19)))</f>
        <v/>
      </c>
      <c r="T230">
        <f>IF(OR($B230="",(N('My Rota'!$D$6)+1)&gt;53),"",""&amp;CHOOSE(IFERROR(MATCH('My Rota'!$D$5,Setup!$K$33:$K$36,0),1),INDEX('2027'!$A:$Z,(5+50*((N('My Rota'!$D$6)+1)-1))+2+13,20),INDEX('2028'!$A:$Z,(5+50*((N('My Rota'!$D$6)+1)-1))+2+13,20),INDEX('2029'!$A:$Z,(5+50*((N('My Rota'!$D$6)+1)-1))+2+13,20),INDEX('2030'!$A:$Z,(5+50*((N('My Rota'!$D$6)+1)-1))+2+13,20)))</f>
        <v/>
      </c>
      <c r="U230">
        <f>IF(OR($B230="",(N('My Rota'!$D$6)+1)&gt;53),"",""&amp;CHOOSE(IFERROR(MATCH('My Rota'!$D$5,Setup!$K$33:$K$36,0),1),INDEX('2027'!$A:$Z,(5+50*((N('My Rota'!$D$6)+1)-1))+2+13,21),INDEX('2028'!$A:$Z,(5+50*((N('My Rota'!$D$6)+1)-1))+2+13,21),INDEX('2029'!$A:$Z,(5+50*((N('My Rota'!$D$6)+1)-1))+2+13,21),INDEX('2030'!$A:$Z,(5+50*((N('My Rota'!$D$6)+1)-1))+2+13,21)))</f>
        <v/>
      </c>
      <c r="V230">
        <f>IF(OR($B230="",(N('My Rota'!$D$6)+1)&gt;53),"",""&amp;CHOOSE(IFERROR(MATCH('My Rota'!$D$5,Setup!$K$33:$K$36,0),1),INDEX('2027'!$A:$Z,(5+50*((N('My Rota'!$D$6)+1)-1))+2+13,22),INDEX('2028'!$A:$Z,(5+50*((N('My Rota'!$D$6)+1)-1))+2+13,22),INDEX('2029'!$A:$Z,(5+50*((N('My Rota'!$D$6)+1)-1))+2+13,22),INDEX('2030'!$A:$Z,(5+50*((N('My Rota'!$D$6)+1)-1))+2+13,22)))</f>
        <v/>
      </c>
      <c r="W230">
        <f>IF(OR($B230="",(N('My Rota'!$D$6)+1)&gt;53),"",""&amp;CHOOSE(IFERROR(MATCH('My Rota'!$D$5,Setup!$K$33:$K$36,0),1),INDEX('2027'!$A:$Z,(5+50*((N('My Rota'!$D$6)+1)-1))+2+13,23),INDEX('2028'!$A:$Z,(5+50*((N('My Rota'!$D$6)+1)-1))+2+13,23),INDEX('2029'!$A:$Z,(5+50*((N('My Rota'!$D$6)+1)-1))+2+13,23),INDEX('2030'!$A:$Z,(5+50*((N('My Rota'!$D$6)+1)-1))+2+13,23)))</f>
        <v/>
      </c>
      <c r="X230">
        <f>IF(OR($B230="",(N('My Rota'!$D$6)+1)&gt;53),"",""&amp;CHOOSE(IFERROR(MATCH('My Rota'!$D$5,Setup!$K$33:$K$36,0),1),INDEX('2027'!$A:$Z,(5+50*((N('My Rota'!$D$6)+1)-1))+2+13,24),INDEX('2028'!$A:$Z,(5+50*((N('My Rota'!$D$6)+1)-1))+2+13,24),INDEX('2029'!$A:$Z,(5+50*((N('My Rota'!$D$6)+1)-1))+2+13,24),INDEX('2030'!$A:$Z,(5+50*((N('My Rota'!$D$6)+1)-1))+2+13,24)))</f>
        <v/>
      </c>
      <c r="Y230">
        <f>IF(OR($B230="",(N('My Rota'!$D$6)+1)&gt;53),"",""&amp;CHOOSE(IFERROR(MATCH('My Rota'!$D$5,Setup!$K$33:$K$36,0),1),INDEX('2027'!$A:$Z,(5+50*((N('My Rota'!$D$6)+1)-1))+2+13,25),INDEX('2028'!$A:$Z,(5+50*((N('My Rota'!$D$6)+1)-1))+2+13,25),INDEX('2029'!$A:$Z,(5+50*((N('My Rota'!$D$6)+1)-1))+2+13,25),INDEX('2030'!$A:$Z,(5+50*((N('My Rota'!$D$6)+1)-1))+2+13,25)))</f>
        <v/>
      </c>
      <c r="Z230">
        <f>IF(OR($B230="",(N('My Rota'!$D$6)+1)&gt;53),"",""&amp;CHOOSE(IFERROR(MATCH('My Rota'!$D$5,Setup!$K$33:$K$36,0),1),INDEX('2027'!$A:$Z,(5+50*((N('My Rota'!$D$6)+1)-1))+2+13,26),INDEX('2028'!$A:$Z,(5+50*((N('My Rota'!$D$6)+1)-1))+2+13,26),INDEX('2029'!$A:$Z,(5+50*((N('My Rota'!$D$6)+1)-1))+2+13,26),INDEX('2030'!$A:$Z,(5+50*((N('My Rota'!$D$6)+1)-1))+2+13,26)))</f>
        <v/>
      </c>
    </row>
    <row r="231">
      <c r="A231" t="n">
        <v>2</v>
      </c>
      <c r="B231">
        <f>$B$60</f>
        <v/>
      </c>
      <c r="C231">
        <f>IF(OR($B231="",(N('My Rota'!$D$6)+1)&gt;53),"",""&amp;CHOOSE(IFERROR(MATCH('My Rota'!$D$5,Setup!$K$33:$K$36,0),1),INDEX('2027'!$A:$Z,(5+50*((N('My Rota'!$D$6)+1)-1))+2+14,3),INDEX('2028'!$A:$Z,(5+50*((N('My Rota'!$D$6)+1)-1))+2+14,3),INDEX('2029'!$A:$Z,(5+50*((N('My Rota'!$D$6)+1)-1))+2+14,3),INDEX('2030'!$A:$Z,(5+50*((N('My Rota'!$D$6)+1)-1))+2+14,3)))</f>
        <v/>
      </c>
      <c r="D231">
        <f>IF(OR($B231="",(N('My Rota'!$D$6)+1)&gt;53),"",""&amp;CHOOSE(IFERROR(MATCH('My Rota'!$D$5,Setup!$K$33:$K$36,0),1),INDEX('2027'!$A:$Z,(5+50*((N('My Rota'!$D$6)+1)-1))+2+14,4),INDEX('2028'!$A:$Z,(5+50*((N('My Rota'!$D$6)+1)-1))+2+14,4),INDEX('2029'!$A:$Z,(5+50*((N('My Rota'!$D$6)+1)-1))+2+14,4),INDEX('2030'!$A:$Z,(5+50*((N('My Rota'!$D$6)+1)-1))+2+14,4)))</f>
        <v/>
      </c>
      <c r="E231">
        <f>IF(OR($B231="",(N('My Rota'!$D$6)+1)&gt;53),"",""&amp;CHOOSE(IFERROR(MATCH('My Rota'!$D$5,Setup!$K$33:$K$36,0),1),INDEX('2027'!$A:$Z,(5+50*((N('My Rota'!$D$6)+1)-1))+2+14,5),INDEX('2028'!$A:$Z,(5+50*((N('My Rota'!$D$6)+1)-1))+2+14,5),INDEX('2029'!$A:$Z,(5+50*((N('My Rota'!$D$6)+1)-1))+2+14,5),INDEX('2030'!$A:$Z,(5+50*((N('My Rota'!$D$6)+1)-1))+2+14,5)))</f>
        <v/>
      </c>
      <c r="F231">
        <f>IF(OR($B231="",(N('My Rota'!$D$6)+1)&gt;53),"",""&amp;CHOOSE(IFERROR(MATCH('My Rota'!$D$5,Setup!$K$33:$K$36,0),1),INDEX('2027'!$A:$Z,(5+50*((N('My Rota'!$D$6)+1)-1))+2+14,6),INDEX('2028'!$A:$Z,(5+50*((N('My Rota'!$D$6)+1)-1))+2+14,6),INDEX('2029'!$A:$Z,(5+50*((N('My Rota'!$D$6)+1)-1))+2+14,6),INDEX('2030'!$A:$Z,(5+50*((N('My Rota'!$D$6)+1)-1))+2+14,6)))</f>
        <v/>
      </c>
      <c r="G231">
        <f>IF(OR($B231="",(N('My Rota'!$D$6)+1)&gt;53),"",""&amp;CHOOSE(IFERROR(MATCH('My Rota'!$D$5,Setup!$K$33:$K$36,0),1),INDEX('2027'!$A:$Z,(5+50*((N('My Rota'!$D$6)+1)-1))+2+14,7),INDEX('2028'!$A:$Z,(5+50*((N('My Rota'!$D$6)+1)-1))+2+14,7),INDEX('2029'!$A:$Z,(5+50*((N('My Rota'!$D$6)+1)-1))+2+14,7),INDEX('2030'!$A:$Z,(5+50*((N('My Rota'!$D$6)+1)-1))+2+14,7)))</f>
        <v/>
      </c>
      <c r="H231">
        <f>IF(OR($B231="",(N('My Rota'!$D$6)+1)&gt;53),"",""&amp;CHOOSE(IFERROR(MATCH('My Rota'!$D$5,Setup!$K$33:$K$36,0),1),INDEX('2027'!$A:$Z,(5+50*((N('My Rota'!$D$6)+1)-1))+2+14,8),INDEX('2028'!$A:$Z,(5+50*((N('My Rota'!$D$6)+1)-1))+2+14,8),INDEX('2029'!$A:$Z,(5+50*((N('My Rota'!$D$6)+1)-1))+2+14,8),INDEX('2030'!$A:$Z,(5+50*((N('My Rota'!$D$6)+1)-1))+2+14,8)))</f>
        <v/>
      </c>
      <c r="I231">
        <f>IF(OR($B231="",(N('My Rota'!$D$6)+1)&gt;53),"",""&amp;CHOOSE(IFERROR(MATCH('My Rota'!$D$5,Setup!$K$33:$K$36,0),1),INDEX('2027'!$A:$Z,(5+50*((N('My Rota'!$D$6)+1)-1))+2+14,9),INDEX('2028'!$A:$Z,(5+50*((N('My Rota'!$D$6)+1)-1))+2+14,9),INDEX('2029'!$A:$Z,(5+50*((N('My Rota'!$D$6)+1)-1))+2+14,9),INDEX('2030'!$A:$Z,(5+50*((N('My Rota'!$D$6)+1)-1))+2+14,9)))</f>
        <v/>
      </c>
      <c r="J231">
        <f>IF(OR($B231="",(N('My Rota'!$D$6)+1)&gt;53),"",""&amp;CHOOSE(IFERROR(MATCH('My Rota'!$D$5,Setup!$K$33:$K$36,0),1),INDEX('2027'!$A:$Z,(5+50*((N('My Rota'!$D$6)+1)-1))+2+14,10),INDEX('2028'!$A:$Z,(5+50*((N('My Rota'!$D$6)+1)-1))+2+14,10),INDEX('2029'!$A:$Z,(5+50*((N('My Rota'!$D$6)+1)-1))+2+14,10),INDEX('2030'!$A:$Z,(5+50*((N('My Rota'!$D$6)+1)-1))+2+14,10)))</f>
        <v/>
      </c>
      <c r="K231">
        <f>IF(OR($B231="",(N('My Rota'!$D$6)+1)&gt;53),"",""&amp;CHOOSE(IFERROR(MATCH('My Rota'!$D$5,Setup!$K$33:$K$36,0),1),INDEX('2027'!$A:$Z,(5+50*((N('My Rota'!$D$6)+1)-1))+2+14,11),INDEX('2028'!$A:$Z,(5+50*((N('My Rota'!$D$6)+1)-1))+2+14,11),INDEX('2029'!$A:$Z,(5+50*((N('My Rota'!$D$6)+1)-1))+2+14,11),INDEX('2030'!$A:$Z,(5+50*((N('My Rota'!$D$6)+1)-1))+2+14,11)))</f>
        <v/>
      </c>
      <c r="L231">
        <f>IF(OR($B231="",(N('My Rota'!$D$6)+1)&gt;53),"",""&amp;CHOOSE(IFERROR(MATCH('My Rota'!$D$5,Setup!$K$33:$K$36,0),1),INDEX('2027'!$A:$Z,(5+50*((N('My Rota'!$D$6)+1)-1))+2+14,12),INDEX('2028'!$A:$Z,(5+50*((N('My Rota'!$D$6)+1)-1))+2+14,12),INDEX('2029'!$A:$Z,(5+50*((N('My Rota'!$D$6)+1)-1))+2+14,12),INDEX('2030'!$A:$Z,(5+50*((N('My Rota'!$D$6)+1)-1))+2+14,12)))</f>
        <v/>
      </c>
      <c r="M231">
        <f>IF(OR($B231="",(N('My Rota'!$D$6)+1)&gt;53),"",""&amp;CHOOSE(IFERROR(MATCH('My Rota'!$D$5,Setup!$K$33:$K$36,0),1),INDEX('2027'!$A:$Z,(5+50*((N('My Rota'!$D$6)+1)-1))+2+14,13),INDEX('2028'!$A:$Z,(5+50*((N('My Rota'!$D$6)+1)-1))+2+14,13),INDEX('2029'!$A:$Z,(5+50*((N('My Rota'!$D$6)+1)-1))+2+14,13),INDEX('2030'!$A:$Z,(5+50*((N('My Rota'!$D$6)+1)-1))+2+14,13)))</f>
        <v/>
      </c>
      <c r="N231">
        <f>IF(OR($B231="",(N('My Rota'!$D$6)+1)&gt;53),"",""&amp;CHOOSE(IFERROR(MATCH('My Rota'!$D$5,Setup!$K$33:$K$36,0),1),INDEX('2027'!$A:$Z,(5+50*((N('My Rota'!$D$6)+1)-1))+2+14,14),INDEX('2028'!$A:$Z,(5+50*((N('My Rota'!$D$6)+1)-1))+2+14,14),INDEX('2029'!$A:$Z,(5+50*((N('My Rota'!$D$6)+1)-1))+2+14,14),INDEX('2030'!$A:$Z,(5+50*((N('My Rota'!$D$6)+1)-1))+2+14,14)))</f>
        <v/>
      </c>
      <c r="O231">
        <f>IF(OR($B231="",(N('My Rota'!$D$6)+1)&gt;53),"",""&amp;CHOOSE(IFERROR(MATCH('My Rota'!$D$5,Setup!$K$33:$K$36,0),1),INDEX('2027'!$A:$Z,(5+50*((N('My Rota'!$D$6)+1)-1))+2+14,15),INDEX('2028'!$A:$Z,(5+50*((N('My Rota'!$D$6)+1)-1))+2+14,15),INDEX('2029'!$A:$Z,(5+50*((N('My Rota'!$D$6)+1)-1))+2+14,15),INDEX('2030'!$A:$Z,(5+50*((N('My Rota'!$D$6)+1)-1))+2+14,15)))</f>
        <v/>
      </c>
      <c r="P231">
        <f>IF(OR($B231="",(N('My Rota'!$D$6)+1)&gt;53),"",""&amp;CHOOSE(IFERROR(MATCH('My Rota'!$D$5,Setup!$K$33:$K$36,0),1),INDEX('2027'!$A:$Z,(5+50*((N('My Rota'!$D$6)+1)-1))+2+14,16),INDEX('2028'!$A:$Z,(5+50*((N('My Rota'!$D$6)+1)-1))+2+14,16),INDEX('2029'!$A:$Z,(5+50*((N('My Rota'!$D$6)+1)-1))+2+14,16),INDEX('2030'!$A:$Z,(5+50*((N('My Rota'!$D$6)+1)-1))+2+14,16)))</f>
        <v/>
      </c>
      <c r="Q231">
        <f>IF(OR($B231="",(N('My Rota'!$D$6)+1)&gt;53),"",""&amp;CHOOSE(IFERROR(MATCH('My Rota'!$D$5,Setup!$K$33:$K$36,0),1),INDEX('2027'!$A:$Z,(5+50*((N('My Rota'!$D$6)+1)-1))+2+14,17),INDEX('2028'!$A:$Z,(5+50*((N('My Rota'!$D$6)+1)-1))+2+14,17),INDEX('2029'!$A:$Z,(5+50*((N('My Rota'!$D$6)+1)-1))+2+14,17),INDEX('2030'!$A:$Z,(5+50*((N('My Rota'!$D$6)+1)-1))+2+14,17)))</f>
        <v/>
      </c>
      <c r="R231">
        <f>IF(OR($B231="",(N('My Rota'!$D$6)+1)&gt;53),"",""&amp;CHOOSE(IFERROR(MATCH('My Rota'!$D$5,Setup!$K$33:$K$36,0),1),INDEX('2027'!$A:$Z,(5+50*((N('My Rota'!$D$6)+1)-1))+2+14,18),INDEX('2028'!$A:$Z,(5+50*((N('My Rota'!$D$6)+1)-1))+2+14,18),INDEX('2029'!$A:$Z,(5+50*((N('My Rota'!$D$6)+1)-1))+2+14,18),INDEX('2030'!$A:$Z,(5+50*((N('My Rota'!$D$6)+1)-1))+2+14,18)))</f>
        <v/>
      </c>
      <c r="S231">
        <f>IF(OR($B231="",(N('My Rota'!$D$6)+1)&gt;53),"",""&amp;CHOOSE(IFERROR(MATCH('My Rota'!$D$5,Setup!$K$33:$K$36,0),1),INDEX('2027'!$A:$Z,(5+50*((N('My Rota'!$D$6)+1)-1))+2+14,19),INDEX('2028'!$A:$Z,(5+50*((N('My Rota'!$D$6)+1)-1))+2+14,19),INDEX('2029'!$A:$Z,(5+50*((N('My Rota'!$D$6)+1)-1))+2+14,19),INDEX('2030'!$A:$Z,(5+50*((N('My Rota'!$D$6)+1)-1))+2+14,19)))</f>
        <v/>
      </c>
      <c r="T231">
        <f>IF(OR($B231="",(N('My Rota'!$D$6)+1)&gt;53),"",""&amp;CHOOSE(IFERROR(MATCH('My Rota'!$D$5,Setup!$K$33:$K$36,0),1),INDEX('2027'!$A:$Z,(5+50*((N('My Rota'!$D$6)+1)-1))+2+14,20),INDEX('2028'!$A:$Z,(5+50*((N('My Rota'!$D$6)+1)-1))+2+14,20),INDEX('2029'!$A:$Z,(5+50*((N('My Rota'!$D$6)+1)-1))+2+14,20),INDEX('2030'!$A:$Z,(5+50*((N('My Rota'!$D$6)+1)-1))+2+14,20)))</f>
        <v/>
      </c>
      <c r="U231">
        <f>IF(OR($B231="",(N('My Rota'!$D$6)+1)&gt;53),"",""&amp;CHOOSE(IFERROR(MATCH('My Rota'!$D$5,Setup!$K$33:$K$36,0),1),INDEX('2027'!$A:$Z,(5+50*((N('My Rota'!$D$6)+1)-1))+2+14,21),INDEX('2028'!$A:$Z,(5+50*((N('My Rota'!$D$6)+1)-1))+2+14,21),INDEX('2029'!$A:$Z,(5+50*((N('My Rota'!$D$6)+1)-1))+2+14,21),INDEX('2030'!$A:$Z,(5+50*((N('My Rota'!$D$6)+1)-1))+2+14,21)))</f>
        <v/>
      </c>
      <c r="V231">
        <f>IF(OR($B231="",(N('My Rota'!$D$6)+1)&gt;53),"",""&amp;CHOOSE(IFERROR(MATCH('My Rota'!$D$5,Setup!$K$33:$K$36,0),1),INDEX('2027'!$A:$Z,(5+50*((N('My Rota'!$D$6)+1)-1))+2+14,22),INDEX('2028'!$A:$Z,(5+50*((N('My Rota'!$D$6)+1)-1))+2+14,22),INDEX('2029'!$A:$Z,(5+50*((N('My Rota'!$D$6)+1)-1))+2+14,22),INDEX('2030'!$A:$Z,(5+50*((N('My Rota'!$D$6)+1)-1))+2+14,22)))</f>
        <v/>
      </c>
      <c r="W231">
        <f>IF(OR($B231="",(N('My Rota'!$D$6)+1)&gt;53),"",""&amp;CHOOSE(IFERROR(MATCH('My Rota'!$D$5,Setup!$K$33:$K$36,0),1),INDEX('2027'!$A:$Z,(5+50*((N('My Rota'!$D$6)+1)-1))+2+14,23),INDEX('2028'!$A:$Z,(5+50*((N('My Rota'!$D$6)+1)-1))+2+14,23),INDEX('2029'!$A:$Z,(5+50*((N('My Rota'!$D$6)+1)-1))+2+14,23),INDEX('2030'!$A:$Z,(5+50*((N('My Rota'!$D$6)+1)-1))+2+14,23)))</f>
        <v/>
      </c>
      <c r="X231">
        <f>IF(OR($B231="",(N('My Rota'!$D$6)+1)&gt;53),"",""&amp;CHOOSE(IFERROR(MATCH('My Rota'!$D$5,Setup!$K$33:$K$36,0),1),INDEX('2027'!$A:$Z,(5+50*((N('My Rota'!$D$6)+1)-1))+2+14,24),INDEX('2028'!$A:$Z,(5+50*((N('My Rota'!$D$6)+1)-1))+2+14,24),INDEX('2029'!$A:$Z,(5+50*((N('My Rota'!$D$6)+1)-1))+2+14,24),INDEX('2030'!$A:$Z,(5+50*((N('My Rota'!$D$6)+1)-1))+2+14,24)))</f>
        <v/>
      </c>
      <c r="Y231">
        <f>IF(OR($B231="",(N('My Rota'!$D$6)+1)&gt;53),"",""&amp;CHOOSE(IFERROR(MATCH('My Rota'!$D$5,Setup!$K$33:$K$36,0),1),INDEX('2027'!$A:$Z,(5+50*((N('My Rota'!$D$6)+1)-1))+2+14,25),INDEX('2028'!$A:$Z,(5+50*((N('My Rota'!$D$6)+1)-1))+2+14,25),INDEX('2029'!$A:$Z,(5+50*((N('My Rota'!$D$6)+1)-1))+2+14,25),INDEX('2030'!$A:$Z,(5+50*((N('My Rota'!$D$6)+1)-1))+2+14,25)))</f>
        <v/>
      </c>
      <c r="Z231">
        <f>IF(OR($B231="",(N('My Rota'!$D$6)+1)&gt;53),"",""&amp;CHOOSE(IFERROR(MATCH('My Rota'!$D$5,Setup!$K$33:$K$36,0),1),INDEX('2027'!$A:$Z,(5+50*((N('My Rota'!$D$6)+1)-1))+2+14,26),INDEX('2028'!$A:$Z,(5+50*((N('My Rota'!$D$6)+1)-1))+2+14,26),INDEX('2029'!$A:$Z,(5+50*((N('My Rota'!$D$6)+1)-1))+2+14,26),INDEX('2030'!$A:$Z,(5+50*((N('My Rota'!$D$6)+1)-1))+2+14,26)))</f>
        <v/>
      </c>
    </row>
    <row r="232">
      <c r="A232" t="n">
        <v>2</v>
      </c>
      <c r="B232">
        <f>$B$61</f>
        <v/>
      </c>
      <c r="C232">
        <f>IF(OR($B232="",(N('My Rota'!$D$6)+1)&gt;53),"",""&amp;CHOOSE(IFERROR(MATCH('My Rota'!$D$5,Setup!$K$33:$K$36,0),1),INDEX('2027'!$A:$Z,(5+50*((N('My Rota'!$D$6)+1)-1))+2+15,3),INDEX('2028'!$A:$Z,(5+50*((N('My Rota'!$D$6)+1)-1))+2+15,3),INDEX('2029'!$A:$Z,(5+50*((N('My Rota'!$D$6)+1)-1))+2+15,3),INDEX('2030'!$A:$Z,(5+50*((N('My Rota'!$D$6)+1)-1))+2+15,3)))</f>
        <v/>
      </c>
      <c r="D232">
        <f>IF(OR($B232="",(N('My Rota'!$D$6)+1)&gt;53),"",""&amp;CHOOSE(IFERROR(MATCH('My Rota'!$D$5,Setup!$K$33:$K$36,0),1),INDEX('2027'!$A:$Z,(5+50*((N('My Rota'!$D$6)+1)-1))+2+15,4),INDEX('2028'!$A:$Z,(5+50*((N('My Rota'!$D$6)+1)-1))+2+15,4),INDEX('2029'!$A:$Z,(5+50*((N('My Rota'!$D$6)+1)-1))+2+15,4),INDEX('2030'!$A:$Z,(5+50*((N('My Rota'!$D$6)+1)-1))+2+15,4)))</f>
        <v/>
      </c>
      <c r="E232">
        <f>IF(OR($B232="",(N('My Rota'!$D$6)+1)&gt;53),"",""&amp;CHOOSE(IFERROR(MATCH('My Rota'!$D$5,Setup!$K$33:$K$36,0),1),INDEX('2027'!$A:$Z,(5+50*((N('My Rota'!$D$6)+1)-1))+2+15,5),INDEX('2028'!$A:$Z,(5+50*((N('My Rota'!$D$6)+1)-1))+2+15,5),INDEX('2029'!$A:$Z,(5+50*((N('My Rota'!$D$6)+1)-1))+2+15,5),INDEX('2030'!$A:$Z,(5+50*((N('My Rota'!$D$6)+1)-1))+2+15,5)))</f>
        <v/>
      </c>
      <c r="F232">
        <f>IF(OR($B232="",(N('My Rota'!$D$6)+1)&gt;53),"",""&amp;CHOOSE(IFERROR(MATCH('My Rota'!$D$5,Setup!$K$33:$K$36,0),1),INDEX('2027'!$A:$Z,(5+50*((N('My Rota'!$D$6)+1)-1))+2+15,6),INDEX('2028'!$A:$Z,(5+50*((N('My Rota'!$D$6)+1)-1))+2+15,6),INDEX('2029'!$A:$Z,(5+50*((N('My Rota'!$D$6)+1)-1))+2+15,6),INDEX('2030'!$A:$Z,(5+50*((N('My Rota'!$D$6)+1)-1))+2+15,6)))</f>
        <v/>
      </c>
      <c r="G232">
        <f>IF(OR($B232="",(N('My Rota'!$D$6)+1)&gt;53),"",""&amp;CHOOSE(IFERROR(MATCH('My Rota'!$D$5,Setup!$K$33:$K$36,0),1),INDEX('2027'!$A:$Z,(5+50*((N('My Rota'!$D$6)+1)-1))+2+15,7),INDEX('2028'!$A:$Z,(5+50*((N('My Rota'!$D$6)+1)-1))+2+15,7),INDEX('2029'!$A:$Z,(5+50*((N('My Rota'!$D$6)+1)-1))+2+15,7),INDEX('2030'!$A:$Z,(5+50*((N('My Rota'!$D$6)+1)-1))+2+15,7)))</f>
        <v/>
      </c>
      <c r="H232">
        <f>IF(OR($B232="",(N('My Rota'!$D$6)+1)&gt;53),"",""&amp;CHOOSE(IFERROR(MATCH('My Rota'!$D$5,Setup!$K$33:$K$36,0),1),INDEX('2027'!$A:$Z,(5+50*((N('My Rota'!$D$6)+1)-1))+2+15,8),INDEX('2028'!$A:$Z,(5+50*((N('My Rota'!$D$6)+1)-1))+2+15,8),INDEX('2029'!$A:$Z,(5+50*((N('My Rota'!$D$6)+1)-1))+2+15,8),INDEX('2030'!$A:$Z,(5+50*((N('My Rota'!$D$6)+1)-1))+2+15,8)))</f>
        <v/>
      </c>
      <c r="I232">
        <f>IF(OR($B232="",(N('My Rota'!$D$6)+1)&gt;53),"",""&amp;CHOOSE(IFERROR(MATCH('My Rota'!$D$5,Setup!$K$33:$K$36,0),1),INDEX('2027'!$A:$Z,(5+50*((N('My Rota'!$D$6)+1)-1))+2+15,9),INDEX('2028'!$A:$Z,(5+50*((N('My Rota'!$D$6)+1)-1))+2+15,9),INDEX('2029'!$A:$Z,(5+50*((N('My Rota'!$D$6)+1)-1))+2+15,9),INDEX('2030'!$A:$Z,(5+50*((N('My Rota'!$D$6)+1)-1))+2+15,9)))</f>
        <v/>
      </c>
      <c r="J232">
        <f>IF(OR($B232="",(N('My Rota'!$D$6)+1)&gt;53),"",""&amp;CHOOSE(IFERROR(MATCH('My Rota'!$D$5,Setup!$K$33:$K$36,0),1),INDEX('2027'!$A:$Z,(5+50*((N('My Rota'!$D$6)+1)-1))+2+15,10),INDEX('2028'!$A:$Z,(5+50*((N('My Rota'!$D$6)+1)-1))+2+15,10),INDEX('2029'!$A:$Z,(5+50*((N('My Rota'!$D$6)+1)-1))+2+15,10),INDEX('2030'!$A:$Z,(5+50*((N('My Rota'!$D$6)+1)-1))+2+15,10)))</f>
        <v/>
      </c>
      <c r="K232">
        <f>IF(OR($B232="",(N('My Rota'!$D$6)+1)&gt;53),"",""&amp;CHOOSE(IFERROR(MATCH('My Rota'!$D$5,Setup!$K$33:$K$36,0),1),INDEX('2027'!$A:$Z,(5+50*((N('My Rota'!$D$6)+1)-1))+2+15,11),INDEX('2028'!$A:$Z,(5+50*((N('My Rota'!$D$6)+1)-1))+2+15,11),INDEX('2029'!$A:$Z,(5+50*((N('My Rota'!$D$6)+1)-1))+2+15,11),INDEX('2030'!$A:$Z,(5+50*((N('My Rota'!$D$6)+1)-1))+2+15,11)))</f>
        <v/>
      </c>
      <c r="L232">
        <f>IF(OR($B232="",(N('My Rota'!$D$6)+1)&gt;53),"",""&amp;CHOOSE(IFERROR(MATCH('My Rota'!$D$5,Setup!$K$33:$K$36,0),1),INDEX('2027'!$A:$Z,(5+50*((N('My Rota'!$D$6)+1)-1))+2+15,12),INDEX('2028'!$A:$Z,(5+50*((N('My Rota'!$D$6)+1)-1))+2+15,12),INDEX('2029'!$A:$Z,(5+50*((N('My Rota'!$D$6)+1)-1))+2+15,12),INDEX('2030'!$A:$Z,(5+50*((N('My Rota'!$D$6)+1)-1))+2+15,12)))</f>
        <v/>
      </c>
      <c r="M232">
        <f>IF(OR($B232="",(N('My Rota'!$D$6)+1)&gt;53),"",""&amp;CHOOSE(IFERROR(MATCH('My Rota'!$D$5,Setup!$K$33:$K$36,0),1),INDEX('2027'!$A:$Z,(5+50*((N('My Rota'!$D$6)+1)-1))+2+15,13),INDEX('2028'!$A:$Z,(5+50*((N('My Rota'!$D$6)+1)-1))+2+15,13),INDEX('2029'!$A:$Z,(5+50*((N('My Rota'!$D$6)+1)-1))+2+15,13),INDEX('2030'!$A:$Z,(5+50*((N('My Rota'!$D$6)+1)-1))+2+15,13)))</f>
        <v/>
      </c>
      <c r="N232">
        <f>IF(OR($B232="",(N('My Rota'!$D$6)+1)&gt;53),"",""&amp;CHOOSE(IFERROR(MATCH('My Rota'!$D$5,Setup!$K$33:$K$36,0),1),INDEX('2027'!$A:$Z,(5+50*((N('My Rota'!$D$6)+1)-1))+2+15,14),INDEX('2028'!$A:$Z,(5+50*((N('My Rota'!$D$6)+1)-1))+2+15,14),INDEX('2029'!$A:$Z,(5+50*((N('My Rota'!$D$6)+1)-1))+2+15,14),INDEX('2030'!$A:$Z,(5+50*((N('My Rota'!$D$6)+1)-1))+2+15,14)))</f>
        <v/>
      </c>
      <c r="O232">
        <f>IF(OR($B232="",(N('My Rota'!$D$6)+1)&gt;53),"",""&amp;CHOOSE(IFERROR(MATCH('My Rota'!$D$5,Setup!$K$33:$K$36,0),1),INDEX('2027'!$A:$Z,(5+50*((N('My Rota'!$D$6)+1)-1))+2+15,15),INDEX('2028'!$A:$Z,(5+50*((N('My Rota'!$D$6)+1)-1))+2+15,15),INDEX('2029'!$A:$Z,(5+50*((N('My Rota'!$D$6)+1)-1))+2+15,15),INDEX('2030'!$A:$Z,(5+50*((N('My Rota'!$D$6)+1)-1))+2+15,15)))</f>
        <v/>
      </c>
      <c r="P232">
        <f>IF(OR($B232="",(N('My Rota'!$D$6)+1)&gt;53),"",""&amp;CHOOSE(IFERROR(MATCH('My Rota'!$D$5,Setup!$K$33:$K$36,0),1),INDEX('2027'!$A:$Z,(5+50*((N('My Rota'!$D$6)+1)-1))+2+15,16),INDEX('2028'!$A:$Z,(5+50*((N('My Rota'!$D$6)+1)-1))+2+15,16),INDEX('2029'!$A:$Z,(5+50*((N('My Rota'!$D$6)+1)-1))+2+15,16),INDEX('2030'!$A:$Z,(5+50*((N('My Rota'!$D$6)+1)-1))+2+15,16)))</f>
        <v/>
      </c>
      <c r="Q232">
        <f>IF(OR($B232="",(N('My Rota'!$D$6)+1)&gt;53),"",""&amp;CHOOSE(IFERROR(MATCH('My Rota'!$D$5,Setup!$K$33:$K$36,0),1),INDEX('2027'!$A:$Z,(5+50*((N('My Rota'!$D$6)+1)-1))+2+15,17),INDEX('2028'!$A:$Z,(5+50*((N('My Rota'!$D$6)+1)-1))+2+15,17),INDEX('2029'!$A:$Z,(5+50*((N('My Rota'!$D$6)+1)-1))+2+15,17),INDEX('2030'!$A:$Z,(5+50*((N('My Rota'!$D$6)+1)-1))+2+15,17)))</f>
        <v/>
      </c>
      <c r="R232">
        <f>IF(OR($B232="",(N('My Rota'!$D$6)+1)&gt;53),"",""&amp;CHOOSE(IFERROR(MATCH('My Rota'!$D$5,Setup!$K$33:$K$36,0),1),INDEX('2027'!$A:$Z,(5+50*((N('My Rota'!$D$6)+1)-1))+2+15,18),INDEX('2028'!$A:$Z,(5+50*((N('My Rota'!$D$6)+1)-1))+2+15,18),INDEX('2029'!$A:$Z,(5+50*((N('My Rota'!$D$6)+1)-1))+2+15,18),INDEX('2030'!$A:$Z,(5+50*((N('My Rota'!$D$6)+1)-1))+2+15,18)))</f>
        <v/>
      </c>
      <c r="S232">
        <f>IF(OR($B232="",(N('My Rota'!$D$6)+1)&gt;53),"",""&amp;CHOOSE(IFERROR(MATCH('My Rota'!$D$5,Setup!$K$33:$K$36,0),1),INDEX('2027'!$A:$Z,(5+50*((N('My Rota'!$D$6)+1)-1))+2+15,19),INDEX('2028'!$A:$Z,(5+50*((N('My Rota'!$D$6)+1)-1))+2+15,19),INDEX('2029'!$A:$Z,(5+50*((N('My Rota'!$D$6)+1)-1))+2+15,19),INDEX('2030'!$A:$Z,(5+50*((N('My Rota'!$D$6)+1)-1))+2+15,19)))</f>
        <v/>
      </c>
      <c r="T232">
        <f>IF(OR($B232="",(N('My Rota'!$D$6)+1)&gt;53),"",""&amp;CHOOSE(IFERROR(MATCH('My Rota'!$D$5,Setup!$K$33:$K$36,0),1),INDEX('2027'!$A:$Z,(5+50*((N('My Rota'!$D$6)+1)-1))+2+15,20),INDEX('2028'!$A:$Z,(5+50*((N('My Rota'!$D$6)+1)-1))+2+15,20),INDEX('2029'!$A:$Z,(5+50*((N('My Rota'!$D$6)+1)-1))+2+15,20),INDEX('2030'!$A:$Z,(5+50*((N('My Rota'!$D$6)+1)-1))+2+15,20)))</f>
        <v/>
      </c>
      <c r="U232">
        <f>IF(OR($B232="",(N('My Rota'!$D$6)+1)&gt;53),"",""&amp;CHOOSE(IFERROR(MATCH('My Rota'!$D$5,Setup!$K$33:$K$36,0),1),INDEX('2027'!$A:$Z,(5+50*((N('My Rota'!$D$6)+1)-1))+2+15,21),INDEX('2028'!$A:$Z,(5+50*((N('My Rota'!$D$6)+1)-1))+2+15,21),INDEX('2029'!$A:$Z,(5+50*((N('My Rota'!$D$6)+1)-1))+2+15,21),INDEX('2030'!$A:$Z,(5+50*((N('My Rota'!$D$6)+1)-1))+2+15,21)))</f>
        <v/>
      </c>
      <c r="V232">
        <f>IF(OR($B232="",(N('My Rota'!$D$6)+1)&gt;53),"",""&amp;CHOOSE(IFERROR(MATCH('My Rota'!$D$5,Setup!$K$33:$K$36,0),1),INDEX('2027'!$A:$Z,(5+50*((N('My Rota'!$D$6)+1)-1))+2+15,22),INDEX('2028'!$A:$Z,(5+50*((N('My Rota'!$D$6)+1)-1))+2+15,22),INDEX('2029'!$A:$Z,(5+50*((N('My Rota'!$D$6)+1)-1))+2+15,22),INDEX('2030'!$A:$Z,(5+50*((N('My Rota'!$D$6)+1)-1))+2+15,22)))</f>
        <v/>
      </c>
      <c r="W232">
        <f>IF(OR($B232="",(N('My Rota'!$D$6)+1)&gt;53),"",""&amp;CHOOSE(IFERROR(MATCH('My Rota'!$D$5,Setup!$K$33:$K$36,0),1),INDEX('2027'!$A:$Z,(5+50*((N('My Rota'!$D$6)+1)-1))+2+15,23),INDEX('2028'!$A:$Z,(5+50*((N('My Rota'!$D$6)+1)-1))+2+15,23),INDEX('2029'!$A:$Z,(5+50*((N('My Rota'!$D$6)+1)-1))+2+15,23),INDEX('2030'!$A:$Z,(5+50*((N('My Rota'!$D$6)+1)-1))+2+15,23)))</f>
        <v/>
      </c>
      <c r="X232">
        <f>IF(OR($B232="",(N('My Rota'!$D$6)+1)&gt;53),"",""&amp;CHOOSE(IFERROR(MATCH('My Rota'!$D$5,Setup!$K$33:$K$36,0),1),INDEX('2027'!$A:$Z,(5+50*((N('My Rota'!$D$6)+1)-1))+2+15,24),INDEX('2028'!$A:$Z,(5+50*((N('My Rota'!$D$6)+1)-1))+2+15,24),INDEX('2029'!$A:$Z,(5+50*((N('My Rota'!$D$6)+1)-1))+2+15,24),INDEX('2030'!$A:$Z,(5+50*((N('My Rota'!$D$6)+1)-1))+2+15,24)))</f>
        <v/>
      </c>
      <c r="Y232">
        <f>IF(OR($B232="",(N('My Rota'!$D$6)+1)&gt;53),"",""&amp;CHOOSE(IFERROR(MATCH('My Rota'!$D$5,Setup!$K$33:$K$36,0),1),INDEX('2027'!$A:$Z,(5+50*((N('My Rota'!$D$6)+1)-1))+2+15,25),INDEX('2028'!$A:$Z,(5+50*((N('My Rota'!$D$6)+1)-1))+2+15,25),INDEX('2029'!$A:$Z,(5+50*((N('My Rota'!$D$6)+1)-1))+2+15,25),INDEX('2030'!$A:$Z,(5+50*((N('My Rota'!$D$6)+1)-1))+2+15,25)))</f>
        <v/>
      </c>
      <c r="Z232">
        <f>IF(OR($B232="",(N('My Rota'!$D$6)+1)&gt;53),"",""&amp;CHOOSE(IFERROR(MATCH('My Rota'!$D$5,Setup!$K$33:$K$36,0),1),INDEX('2027'!$A:$Z,(5+50*((N('My Rota'!$D$6)+1)-1))+2+15,26),INDEX('2028'!$A:$Z,(5+50*((N('My Rota'!$D$6)+1)-1))+2+15,26),INDEX('2029'!$A:$Z,(5+50*((N('My Rota'!$D$6)+1)-1))+2+15,26),INDEX('2030'!$A:$Z,(5+50*((N('My Rota'!$D$6)+1)-1))+2+15,26)))</f>
        <v/>
      </c>
    </row>
    <row r="233">
      <c r="A233" t="n">
        <v>2</v>
      </c>
      <c r="B233">
        <f>$B$62</f>
        <v/>
      </c>
      <c r="C233">
        <f>IF(OR($B233="",(N('My Rota'!$D$6)+1)&gt;53),"",""&amp;CHOOSE(IFERROR(MATCH('My Rota'!$D$5,Setup!$K$33:$K$36,0),1),INDEX('2027'!$A:$Z,(5+50*((N('My Rota'!$D$6)+1)-1))+2+16,3),INDEX('2028'!$A:$Z,(5+50*((N('My Rota'!$D$6)+1)-1))+2+16,3),INDEX('2029'!$A:$Z,(5+50*((N('My Rota'!$D$6)+1)-1))+2+16,3),INDEX('2030'!$A:$Z,(5+50*((N('My Rota'!$D$6)+1)-1))+2+16,3)))</f>
        <v/>
      </c>
      <c r="D233">
        <f>IF(OR($B233="",(N('My Rota'!$D$6)+1)&gt;53),"",""&amp;CHOOSE(IFERROR(MATCH('My Rota'!$D$5,Setup!$K$33:$K$36,0),1),INDEX('2027'!$A:$Z,(5+50*((N('My Rota'!$D$6)+1)-1))+2+16,4),INDEX('2028'!$A:$Z,(5+50*((N('My Rota'!$D$6)+1)-1))+2+16,4),INDEX('2029'!$A:$Z,(5+50*((N('My Rota'!$D$6)+1)-1))+2+16,4),INDEX('2030'!$A:$Z,(5+50*((N('My Rota'!$D$6)+1)-1))+2+16,4)))</f>
        <v/>
      </c>
      <c r="E233">
        <f>IF(OR($B233="",(N('My Rota'!$D$6)+1)&gt;53),"",""&amp;CHOOSE(IFERROR(MATCH('My Rota'!$D$5,Setup!$K$33:$K$36,0),1),INDEX('2027'!$A:$Z,(5+50*((N('My Rota'!$D$6)+1)-1))+2+16,5),INDEX('2028'!$A:$Z,(5+50*((N('My Rota'!$D$6)+1)-1))+2+16,5),INDEX('2029'!$A:$Z,(5+50*((N('My Rota'!$D$6)+1)-1))+2+16,5),INDEX('2030'!$A:$Z,(5+50*((N('My Rota'!$D$6)+1)-1))+2+16,5)))</f>
        <v/>
      </c>
      <c r="F233">
        <f>IF(OR($B233="",(N('My Rota'!$D$6)+1)&gt;53),"",""&amp;CHOOSE(IFERROR(MATCH('My Rota'!$D$5,Setup!$K$33:$K$36,0),1),INDEX('2027'!$A:$Z,(5+50*((N('My Rota'!$D$6)+1)-1))+2+16,6),INDEX('2028'!$A:$Z,(5+50*((N('My Rota'!$D$6)+1)-1))+2+16,6),INDEX('2029'!$A:$Z,(5+50*((N('My Rota'!$D$6)+1)-1))+2+16,6),INDEX('2030'!$A:$Z,(5+50*((N('My Rota'!$D$6)+1)-1))+2+16,6)))</f>
        <v/>
      </c>
      <c r="G233">
        <f>IF(OR($B233="",(N('My Rota'!$D$6)+1)&gt;53),"",""&amp;CHOOSE(IFERROR(MATCH('My Rota'!$D$5,Setup!$K$33:$K$36,0),1),INDEX('2027'!$A:$Z,(5+50*((N('My Rota'!$D$6)+1)-1))+2+16,7),INDEX('2028'!$A:$Z,(5+50*((N('My Rota'!$D$6)+1)-1))+2+16,7),INDEX('2029'!$A:$Z,(5+50*((N('My Rota'!$D$6)+1)-1))+2+16,7),INDEX('2030'!$A:$Z,(5+50*((N('My Rota'!$D$6)+1)-1))+2+16,7)))</f>
        <v/>
      </c>
      <c r="H233">
        <f>IF(OR($B233="",(N('My Rota'!$D$6)+1)&gt;53),"",""&amp;CHOOSE(IFERROR(MATCH('My Rota'!$D$5,Setup!$K$33:$K$36,0),1),INDEX('2027'!$A:$Z,(5+50*((N('My Rota'!$D$6)+1)-1))+2+16,8),INDEX('2028'!$A:$Z,(5+50*((N('My Rota'!$D$6)+1)-1))+2+16,8),INDEX('2029'!$A:$Z,(5+50*((N('My Rota'!$D$6)+1)-1))+2+16,8),INDEX('2030'!$A:$Z,(5+50*((N('My Rota'!$D$6)+1)-1))+2+16,8)))</f>
        <v/>
      </c>
      <c r="I233">
        <f>IF(OR($B233="",(N('My Rota'!$D$6)+1)&gt;53),"",""&amp;CHOOSE(IFERROR(MATCH('My Rota'!$D$5,Setup!$K$33:$K$36,0),1),INDEX('2027'!$A:$Z,(5+50*((N('My Rota'!$D$6)+1)-1))+2+16,9),INDEX('2028'!$A:$Z,(5+50*((N('My Rota'!$D$6)+1)-1))+2+16,9),INDEX('2029'!$A:$Z,(5+50*((N('My Rota'!$D$6)+1)-1))+2+16,9),INDEX('2030'!$A:$Z,(5+50*((N('My Rota'!$D$6)+1)-1))+2+16,9)))</f>
        <v/>
      </c>
      <c r="J233">
        <f>IF(OR($B233="",(N('My Rota'!$D$6)+1)&gt;53),"",""&amp;CHOOSE(IFERROR(MATCH('My Rota'!$D$5,Setup!$K$33:$K$36,0),1),INDEX('2027'!$A:$Z,(5+50*((N('My Rota'!$D$6)+1)-1))+2+16,10),INDEX('2028'!$A:$Z,(5+50*((N('My Rota'!$D$6)+1)-1))+2+16,10),INDEX('2029'!$A:$Z,(5+50*((N('My Rota'!$D$6)+1)-1))+2+16,10),INDEX('2030'!$A:$Z,(5+50*((N('My Rota'!$D$6)+1)-1))+2+16,10)))</f>
        <v/>
      </c>
      <c r="K233">
        <f>IF(OR($B233="",(N('My Rota'!$D$6)+1)&gt;53),"",""&amp;CHOOSE(IFERROR(MATCH('My Rota'!$D$5,Setup!$K$33:$K$36,0),1),INDEX('2027'!$A:$Z,(5+50*((N('My Rota'!$D$6)+1)-1))+2+16,11),INDEX('2028'!$A:$Z,(5+50*((N('My Rota'!$D$6)+1)-1))+2+16,11),INDEX('2029'!$A:$Z,(5+50*((N('My Rota'!$D$6)+1)-1))+2+16,11),INDEX('2030'!$A:$Z,(5+50*((N('My Rota'!$D$6)+1)-1))+2+16,11)))</f>
        <v/>
      </c>
      <c r="L233">
        <f>IF(OR($B233="",(N('My Rota'!$D$6)+1)&gt;53),"",""&amp;CHOOSE(IFERROR(MATCH('My Rota'!$D$5,Setup!$K$33:$K$36,0),1),INDEX('2027'!$A:$Z,(5+50*((N('My Rota'!$D$6)+1)-1))+2+16,12),INDEX('2028'!$A:$Z,(5+50*((N('My Rota'!$D$6)+1)-1))+2+16,12),INDEX('2029'!$A:$Z,(5+50*((N('My Rota'!$D$6)+1)-1))+2+16,12),INDEX('2030'!$A:$Z,(5+50*((N('My Rota'!$D$6)+1)-1))+2+16,12)))</f>
        <v/>
      </c>
      <c r="M233">
        <f>IF(OR($B233="",(N('My Rota'!$D$6)+1)&gt;53),"",""&amp;CHOOSE(IFERROR(MATCH('My Rota'!$D$5,Setup!$K$33:$K$36,0),1),INDEX('2027'!$A:$Z,(5+50*((N('My Rota'!$D$6)+1)-1))+2+16,13),INDEX('2028'!$A:$Z,(5+50*((N('My Rota'!$D$6)+1)-1))+2+16,13),INDEX('2029'!$A:$Z,(5+50*((N('My Rota'!$D$6)+1)-1))+2+16,13),INDEX('2030'!$A:$Z,(5+50*((N('My Rota'!$D$6)+1)-1))+2+16,13)))</f>
        <v/>
      </c>
      <c r="N233">
        <f>IF(OR($B233="",(N('My Rota'!$D$6)+1)&gt;53),"",""&amp;CHOOSE(IFERROR(MATCH('My Rota'!$D$5,Setup!$K$33:$K$36,0),1),INDEX('2027'!$A:$Z,(5+50*((N('My Rota'!$D$6)+1)-1))+2+16,14),INDEX('2028'!$A:$Z,(5+50*((N('My Rota'!$D$6)+1)-1))+2+16,14),INDEX('2029'!$A:$Z,(5+50*((N('My Rota'!$D$6)+1)-1))+2+16,14),INDEX('2030'!$A:$Z,(5+50*((N('My Rota'!$D$6)+1)-1))+2+16,14)))</f>
        <v/>
      </c>
      <c r="O233">
        <f>IF(OR($B233="",(N('My Rota'!$D$6)+1)&gt;53),"",""&amp;CHOOSE(IFERROR(MATCH('My Rota'!$D$5,Setup!$K$33:$K$36,0),1),INDEX('2027'!$A:$Z,(5+50*((N('My Rota'!$D$6)+1)-1))+2+16,15),INDEX('2028'!$A:$Z,(5+50*((N('My Rota'!$D$6)+1)-1))+2+16,15),INDEX('2029'!$A:$Z,(5+50*((N('My Rota'!$D$6)+1)-1))+2+16,15),INDEX('2030'!$A:$Z,(5+50*((N('My Rota'!$D$6)+1)-1))+2+16,15)))</f>
        <v/>
      </c>
      <c r="P233">
        <f>IF(OR($B233="",(N('My Rota'!$D$6)+1)&gt;53),"",""&amp;CHOOSE(IFERROR(MATCH('My Rota'!$D$5,Setup!$K$33:$K$36,0),1),INDEX('2027'!$A:$Z,(5+50*((N('My Rota'!$D$6)+1)-1))+2+16,16),INDEX('2028'!$A:$Z,(5+50*((N('My Rota'!$D$6)+1)-1))+2+16,16),INDEX('2029'!$A:$Z,(5+50*((N('My Rota'!$D$6)+1)-1))+2+16,16),INDEX('2030'!$A:$Z,(5+50*((N('My Rota'!$D$6)+1)-1))+2+16,16)))</f>
        <v/>
      </c>
      <c r="Q233">
        <f>IF(OR($B233="",(N('My Rota'!$D$6)+1)&gt;53),"",""&amp;CHOOSE(IFERROR(MATCH('My Rota'!$D$5,Setup!$K$33:$K$36,0),1),INDEX('2027'!$A:$Z,(5+50*((N('My Rota'!$D$6)+1)-1))+2+16,17),INDEX('2028'!$A:$Z,(5+50*((N('My Rota'!$D$6)+1)-1))+2+16,17),INDEX('2029'!$A:$Z,(5+50*((N('My Rota'!$D$6)+1)-1))+2+16,17),INDEX('2030'!$A:$Z,(5+50*((N('My Rota'!$D$6)+1)-1))+2+16,17)))</f>
        <v/>
      </c>
      <c r="R233">
        <f>IF(OR($B233="",(N('My Rota'!$D$6)+1)&gt;53),"",""&amp;CHOOSE(IFERROR(MATCH('My Rota'!$D$5,Setup!$K$33:$K$36,0),1),INDEX('2027'!$A:$Z,(5+50*((N('My Rota'!$D$6)+1)-1))+2+16,18),INDEX('2028'!$A:$Z,(5+50*((N('My Rota'!$D$6)+1)-1))+2+16,18),INDEX('2029'!$A:$Z,(5+50*((N('My Rota'!$D$6)+1)-1))+2+16,18),INDEX('2030'!$A:$Z,(5+50*((N('My Rota'!$D$6)+1)-1))+2+16,18)))</f>
        <v/>
      </c>
      <c r="S233">
        <f>IF(OR($B233="",(N('My Rota'!$D$6)+1)&gt;53),"",""&amp;CHOOSE(IFERROR(MATCH('My Rota'!$D$5,Setup!$K$33:$K$36,0),1),INDEX('2027'!$A:$Z,(5+50*((N('My Rota'!$D$6)+1)-1))+2+16,19),INDEX('2028'!$A:$Z,(5+50*((N('My Rota'!$D$6)+1)-1))+2+16,19),INDEX('2029'!$A:$Z,(5+50*((N('My Rota'!$D$6)+1)-1))+2+16,19),INDEX('2030'!$A:$Z,(5+50*((N('My Rota'!$D$6)+1)-1))+2+16,19)))</f>
        <v/>
      </c>
      <c r="T233">
        <f>IF(OR($B233="",(N('My Rota'!$D$6)+1)&gt;53),"",""&amp;CHOOSE(IFERROR(MATCH('My Rota'!$D$5,Setup!$K$33:$K$36,0),1),INDEX('2027'!$A:$Z,(5+50*((N('My Rota'!$D$6)+1)-1))+2+16,20),INDEX('2028'!$A:$Z,(5+50*((N('My Rota'!$D$6)+1)-1))+2+16,20),INDEX('2029'!$A:$Z,(5+50*((N('My Rota'!$D$6)+1)-1))+2+16,20),INDEX('2030'!$A:$Z,(5+50*((N('My Rota'!$D$6)+1)-1))+2+16,20)))</f>
        <v/>
      </c>
      <c r="U233">
        <f>IF(OR($B233="",(N('My Rota'!$D$6)+1)&gt;53),"",""&amp;CHOOSE(IFERROR(MATCH('My Rota'!$D$5,Setup!$K$33:$K$36,0),1),INDEX('2027'!$A:$Z,(5+50*((N('My Rota'!$D$6)+1)-1))+2+16,21),INDEX('2028'!$A:$Z,(5+50*((N('My Rota'!$D$6)+1)-1))+2+16,21),INDEX('2029'!$A:$Z,(5+50*((N('My Rota'!$D$6)+1)-1))+2+16,21),INDEX('2030'!$A:$Z,(5+50*((N('My Rota'!$D$6)+1)-1))+2+16,21)))</f>
        <v/>
      </c>
      <c r="V233">
        <f>IF(OR($B233="",(N('My Rota'!$D$6)+1)&gt;53),"",""&amp;CHOOSE(IFERROR(MATCH('My Rota'!$D$5,Setup!$K$33:$K$36,0),1),INDEX('2027'!$A:$Z,(5+50*((N('My Rota'!$D$6)+1)-1))+2+16,22),INDEX('2028'!$A:$Z,(5+50*((N('My Rota'!$D$6)+1)-1))+2+16,22),INDEX('2029'!$A:$Z,(5+50*((N('My Rota'!$D$6)+1)-1))+2+16,22),INDEX('2030'!$A:$Z,(5+50*((N('My Rota'!$D$6)+1)-1))+2+16,22)))</f>
        <v/>
      </c>
      <c r="W233">
        <f>IF(OR($B233="",(N('My Rota'!$D$6)+1)&gt;53),"",""&amp;CHOOSE(IFERROR(MATCH('My Rota'!$D$5,Setup!$K$33:$K$36,0),1),INDEX('2027'!$A:$Z,(5+50*((N('My Rota'!$D$6)+1)-1))+2+16,23),INDEX('2028'!$A:$Z,(5+50*((N('My Rota'!$D$6)+1)-1))+2+16,23),INDEX('2029'!$A:$Z,(5+50*((N('My Rota'!$D$6)+1)-1))+2+16,23),INDEX('2030'!$A:$Z,(5+50*((N('My Rota'!$D$6)+1)-1))+2+16,23)))</f>
        <v/>
      </c>
      <c r="X233">
        <f>IF(OR($B233="",(N('My Rota'!$D$6)+1)&gt;53),"",""&amp;CHOOSE(IFERROR(MATCH('My Rota'!$D$5,Setup!$K$33:$K$36,0),1),INDEX('2027'!$A:$Z,(5+50*((N('My Rota'!$D$6)+1)-1))+2+16,24),INDEX('2028'!$A:$Z,(5+50*((N('My Rota'!$D$6)+1)-1))+2+16,24),INDEX('2029'!$A:$Z,(5+50*((N('My Rota'!$D$6)+1)-1))+2+16,24),INDEX('2030'!$A:$Z,(5+50*((N('My Rota'!$D$6)+1)-1))+2+16,24)))</f>
        <v/>
      </c>
      <c r="Y233">
        <f>IF(OR($B233="",(N('My Rota'!$D$6)+1)&gt;53),"",""&amp;CHOOSE(IFERROR(MATCH('My Rota'!$D$5,Setup!$K$33:$K$36,0),1),INDEX('2027'!$A:$Z,(5+50*((N('My Rota'!$D$6)+1)-1))+2+16,25),INDEX('2028'!$A:$Z,(5+50*((N('My Rota'!$D$6)+1)-1))+2+16,25),INDEX('2029'!$A:$Z,(5+50*((N('My Rota'!$D$6)+1)-1))+2+16,25),INDEX('2030'!$A:$Z,(5+50*((N('My Rota'!$D$6)+1)-1))+2+16,25)))</f>
        <v/>
      </c>
      <c r="Z233">
        <f>IF(OR($B233="",(N('My Rota'!$D$6)+1)&gt;53),"",""&amp;CHOOSE(IFERROR(MATCH('My Rota'!$D$5,Setup!$K$33:$K$36,0),1),INDEX('2027'!$A:$Z,(5+50*((N('My Rota'!$D$6)+1)-1))+2+16,26),INDEX('2028'!$A:$Z,(5+50*((N('My Rota'!$D$6)+1)-1))+2+16,26),INDEX('2029'!$A:$Z,(5+50*((N('My Rota'!$D$6)+1)-1))+2+16,26),INDEX('2030'!$A:$Z,(5+50*((N('My Rota'!$D$6)+1)-1))+2+16,26)))</f>
        <v/>
      </c>
    </row>
    <row r="234">
      <c r="A234" t="n">
        <v>2</v>
      </c>
      <c r="B234">
        <f>$B$63</f>
        <v/>
      </c>
      <c r="C234">
        <f>IF(OR($B234="",(N('My Rota'!$D$6)+1)&gt;53),"",""&amp;CHOOSE(IFERROR(MATCH('My Rota'!$D$5,Setup!$K$33:$K$36,0),1),INDEX('2027'!$A:$Z,(5+50*((N('My Rota'!$D$6)+1)-1))+2+17,3),INDEX('2028'!$A:$Z,(5+50*((N('My Rota'!$D$6)+1)-1))+2+17,3),INDEX('2029'!$A:$Z,(5+50*((N('My Rota'!$D$6)+1)-1))+2+17,3),INDEX('2030'!$A:$Z,(5+50*((N('My Rota'!$D$6)+1)-1))+2+17,3)))</f>
        <v/>
      </c>
      <c r="D234">
        <f>IF(OR($B234="",(N('My Rota'!$D$6)+1)&gt;53),"",""&amp;CHOOSE(IFERROR(MATCH('My Rota'!$D$5,Setup!$K$33:$K$36,0),1),INDEX('2027'!$A:$Z,(5+50*((N('My Rota'!$D$6)+1)-1))+2+17,4),INDEX('2028'!$A:$Z,(5+50*((N('My Rota'!$D$6)+1)-1))+2+17,4),INDEX('2029'!$A:$Z,(5+50*((N('My Rota'!$D$6)+1)-1))+2+17,4),INDEX('2030'!$A:$Z,(5+50*((N('My Rota'!$D$6)+1)-1))+2+17,4)))</f>
        <v/>
      </c>
      <c r="E234">
        <f>IF(OR($B234="",(N('My Rota'!$D$6)+1)&gt;53),"",""&amp;CHOOSE(IFERROR(MATCH('My Rota'!$D$5,Setup!$K$33:$K$36,0),1),INDEX('2027'!$A:$Z,(5+50*((N('My Rota'!$D$6)+1)-1))+2+17,5),INDEX('2028'!$A:$Z,(5+50*((N('My Rota'!$D$6)+1)-1))+2+17,5),INDEX('2029'!$A:$Z,(5+50*((N('My Rota'!$D$6)+1)-1))+2+17,5),INDEX('2030'!$A:$Z,(5+50*((N('My Rota'!$D$6)+1)-1))+2+17,5)))</f>
        <v/>
      </c>
      <c r="F234">
        <f>IF(OR($B234="",(N('My Rota'!$D$6)+1)&gt;53),"",""&amp;CHOOSE(IFERROR(MATCH('My Rota'!$D$5,Setup!$K$33:$K$36,0),1),INDEX('2027'!$A:$Z,(5+50*((N('My Rota'!$D$6)+1)-1))+2+17,6),INDEX('2028'!$A:$Z,(5+50*((N('My Rota'!$D$6)+1)-1))+2+17,6),INDEX('2029'!$A:$Z,(5+50*((N('My Rota'!$D$6)+1)-1))+2+17,6),INDEX('2030'!$A:$Z,(5+50*((N('My Rota'!$D$6)+1)-1))+2+17,6)))</f>
        <v/>
      </c>
      <c r="G234">
        <f>IF(OR($B234="",(N('My Rota'!$D$6)+1)&gt;53),"",""&amp;CHOOSE(IFERROR(MATCH('My Rota'!$D$5,Setup!$K$33:$K$36,0),1),INDEX('2027'!$A:$Z,(5+50*((N('My Rota'!$D$6)+1)-1))+2+17,7),INDEX('2028'!$A:$Z,(5+50*((N('My Rota'!$D$6)+1)-1))+2+17,7),INDEX('2029'!$A:$Z,(5+50*((N('My Rota'!$D$6)+1)-1))+2+17,7),INDEX('2030'!$A:$Z,(5+50*((N('My Rota'!$D$6)+1)-1))+2+17,7)))</f>
        <v/>
      </c>
      <c r="H234">
        <f>IF(OR($B234="",(N('My Rota'!$D$6)+1)&gt;53),"",""&amp;CHOOSE(IFERROR(MATCH('My Rota'!$D$5,Setup!$K$33:$K$36,0),1),INDEX('2027'!$A:$Z,(5+50*((N('My Rota'!$D$6)+1)-1))+2+17,8),INDEX('2028'!$A:$Z,(5+50*((N('My Rota'!$D$6)+1)-1))+2+17,8),INDEX('2029'!$A:$Z,(5+50*((N('My Rota'!$D$6)+1)-1))+2+17,8),INDEX('2030'!$A:$Z,(5+50*((N('My Rota'!$D$6)+1)-1))+2+17,8)))</f>
        <v/>
      </c>
      <c r="I234">
        <f>IF(OR($B234="",(N('My Rota'!$D$6)+1)&gt;53),"",""&amp;CHOOSE(IFERROR(MATCH('My Rota'!$D$5,Setup!$K$33:$K$36,0),1),INDEX('2027'!$A:$Z,(5+50*((N('My Rota'!$D$6)+1)-1))+2+17,9),INDEX('2028'!$A:$Z,(5+50*((N('My Rota'!$D$6)+1)-1))+2+17,9),INDEX('2029'!$A:$Z,(5+50*((N('My Rota'!$D$6)+1)-1))+2+17,9),INDEX('2030'!$A:$Z,(5+50*((N('My Rota'!$D$6)+1)-1))+2+17,9)))</f>
        <v/>
      </c>
      <c r="J234">
        <f>IF(OR($B234="",(N('My Rota'!$D$6)+1)&gt;53),"",""&amp;CHOOSE(IFERROR(MATCH('My Rota'!$D$5,Setup!$K$33:$K$36,0),1),INDEX('2027'!$A:$Z,(5+50*((N('My Rota'!$D$6)+1)-1))+2+17,10),INDEX('2028'!$A:$Z,(5+50*((N('My Rota'!$D$6)+1)-1))+2+17,10),INDEX('2029'!$A:$Z,(5+50*((N('My Rota'!$D$6)+1)-1))+2+17,10),INDEX('2030'!$A:$Z,(5+50*((N('My Rota'!$D$6)+1)-1))+2+17,10)))</f>
        <v/>
      </c>
      <c r="K234">
        <f>IF(OR($B234="",(N('My Rota'!$D$6)+1)&gt;53),"",""&amp;CHOOSE(IFERROR(MATCH('My Rota'!$D$5,Setup!$K$33:$K$36,0),1),INDEX('2027'!$A:$Z,(5+50*((N('My Rota'!$D$6)+1)-1))+2+17,11),INDEX('2028'!$A:$Z,(5+50*((N('My Rota'!$D$6)+1)-1))+2+17,11),INDEX('2029'!$A:$Z,(5+50*((N('My Rota'!$D$6)+1)-1))+2+17,11),INDEX('2030'!$A:$Z,(5+50*((N('My Rota'!$D$6)+1)-1))+2+17,11)))</f>
        <v/>
      </c>
      <c r="L234">
        <f>IF(OR($B234="",(N('My Rota'!$D$6)+1)&gt;53),"",""&amp;CHOOSE(IFERROR(MATCH('My Rota'!$D$5,Setup!$K$33:$K$36,0),1),INDEX('2027'!$A:$Z,(5+50*((N('My Rota'!$D$6)+1)-1))+2+17,12),INDEX('2028'!$A:$Z,(5+50*((N('My Rota'!$D$6)+1)-1))+2+17,12),INDEX('2029'!$A:$Z,(5+50*((N('My Rota'!$D$6)+1)-1))+2+17,12),INDEX('2030'!$A:$Z,(5+50*((N('My Rota'!$D$6)+1)-1))+2+17,12)))</f>
        <v/>
      </c>
      <c r="M234">
        <f>IF(OR($B234="",(N('My Rota'!$D$6)+1)&gt;53),"",""&amp;CHOOSE(IFERROR(MATCH('My Rota'!$D$5,Setup!$K$33:$K$36,0),1),INDEX('2027'!$A:$Z,(5+50*((N('My Rota'!$D$6)+1)-1))+2+17,13),INDEX('2028'!$A:$Z,(5+50*((N('My Rota'!$D$6)+1)-1))+2+17,13),INDEX('2029'!$A:$Z,(5+50*((N('My Rota'!$D$6)+1)-1))+2+17,13),INDEX('2030'!$A:$Z,(5+50*((N('My Rota'!$D$6)+1)-1))+2+17,13)))</f>
        <v/>
      </c>
      <c r="N234">
        <f>IF(OR($B234="",(N('My Rota'!$D$6)+1)&gt;53),"",""&amp;CHOOSE(IFERROR(MATCH('My Rota'!$D$5,Setup!$K$33:$K$36,0),1),INDEX('2027'!$A:$Z,(5+50*((N('My Rota'!$D$6)+1)-1))+2+17,14),INDEX('2028'!$A:$Z,(5+50*((N('My Rota'!$D$6)+1)-1))+2+17,14),INDEX('2029'!$A:$Z,(5+50*((N('My Rota'!$D$6)+1)-1))+2+17,14),INDEX('2030'!$A:$Z,(5+50*((N('My Rota'!$D$6)+1)-1))+2+17,14)))</f>
        <v/>
      </c>
      <c r="O234">
        <f>IF(OR($B234="",(N('My Rota'!$D$6)+1)&gt;53),"",""&amp;CHOOSE(IFERROR(MATCH('My Rota'!$D$5,Setup!$K$33:$K$36,0),1),INDEX('2027'!$A:$Z,(5+50*((N('My Rota'!$D$6)+1)-1))+2+17,15),INDEX('2028'!$A:$Z,(5+50*((N('My Rota'!$D$6)+1)-1))+2+17,15),INDEX('2029'!$A:$Z,(5+50*((N('My Rota'!$D$6)+1)-1))+2+17,15),INDEX('2030'!$A:$Z,(5+50*((N('My Rota'!$D$6)+1)-1))+2+17,15)))</f>
        <v/>
      </c>
      <c r="P234">
        <f>IF(OR($B234="",(N('My Rota'!$D$6)+1)&gt;53),"",""&amp;CHOOSE(IFERROR(MATCH('My Rota'!$D$5,Setup!$K$33:$K$36,0),1),INDEX('2027'!$A:$Z,(5+50*((N('My Rota'!$D$6)+1)-1))+2+17,16),INDEX('2028'!$A:$Z,(5+50*((N('My Rota'!$D$6)+1)-1))+2+17,16),INDEX('2029'!$A:$Z,(5+50*((N('My Rota'!$D$6)+1)-1))+2+17,16),INDEX('2030'!$A:$Z,(5+50*((N('My Rota'!$D$6)+1)-1))+2+17,16)))</f>
        <v/>
      </c>
      <c r="Q234">
        <f>IF(OR($B234="",(N('My Rota'!$D$6)+1)&gt;53),"",""&amp;CHOOSE(IFERROR(MATCH('My Rota'!$D$5,Setup!$K$33:$K$36,0),1),INDEX('2027'!$A:$Z,(5+50*((N('My Rota'!$D$6)+1)-1))+2+17,17),INDEX('2028'!$A:$Z,(5+50*((N('My Rota'!$D$6)+1)-1))+2+17,17),INDEX('2029'!$A:$Z,(5+50*((N('My Rota'!$D$6)+1)-1))+2+17,17),INDEX('2030'!$A:$Z,(5+50*((N('My Rota'!$D$6)+1)-1))+2+17,17)))</f>
        <v/>
      </c>
      <c r="R234">
        <f>IF(OR($B234="",(N('My Rota'!$D$6)+1)&gt;53),"",""&amp;CHOOSE(IFERROR(MATCH('My Rota'!$D$5,Setup!$K$33:$K$36,0),1),INDEX('2027'!$A:$Z,(5+50*((N('My Rota'!$D$6)+1)-1))+2+17,18),INDEX('2028'!$A:$Z,(5+50*((N('My Rota'!$D$6)+1)-1))+2+17,18),INDEX('2029'!$A:$Z,(5+50*((N('My Rota'!$D$6)+1)-1))+2+17,18),INDEX('2030'!$A:$Z,(5+50*((N('My Rota'!$D$6)+1)-1))+2+17,18)))</f>
        <v/>
      </c>
      <c r="S234">
        <f>IF(OR($B234="",(N('My Rota'!$D$6)+1)&gt;53),"",""&amp;CHOOSE(IFERROR(MATCH('My Rota'!$D$5,Setup!$K$33:$K$36,0),1),INDEX('2027'!$A:$Z,(5+50*((N('My Rota'!$D$6)+1)-1))+2+17,19),INDEX('2028'!$A:$Z,(5+50*((N('My Rota'!$D$6)+1)-1))+2+17,19),INDEX('2029'!$A:$Z,(5+50*((N('My Rota'!$D$6)+1)-1))+2+17,19),INDEX('2030'!$A:$Z,(5+50*((N('My Rota'!$D$6)+1)-1))+2+17,19)))</f>
        <v/>
      </c>
      <c r="T234">
        <f>IF(OR($B234="",(N('My Rota'!$D$6)+1)&gt;53),"",""&amp;CHOOSE(IFERROR(MATCH('My Rota'!$D$5,Setup!$K$33:$K$36,0),1),INDEX('2027'!$A:$Z,(5+50*((N('My Rota'!$D$6)+1)-1))+2+17,20),INDEX('2028'!$A:$Z,(5+50*((N('My Rota'!$D$6)+1)-1))+2+17,20),INDEX('2029'!$A:$Z,(5+50*((N('My Rota'!$D$6)+1)-1))+2+17,20),INDEX('2030'!$A:$Z,(5+50*((N('My Rota'!$D$6)+1)-1))+2+17,20)))</f>
        <v/>
      </c>
      <c r="U234">
        <f>IF(OR($B234="",(N('My Rota'!$D$6)+1)&gt;53),"",""&amp;CHOOSE(IFERROR(MATCH('My Rota'!$D$5,Setup!$K$33:$K$36,0),1),INDEX('2027'!$A:$Z,(5+50*((N('My Rota'!$D$6)+1)-1))+2+17,21),INDEX('2028'!$A:$Z,(5+50*((N('My Rota'!$D$6)+1)-1))+2+17,21),INDEX('2029'!$A:$Z,(5+50*((N('My Rota'!$D$6)+1)-1))+2+17,21),INDEX('2030'!$A:$Z,(5+50*((N('My Rota'!$D$6)+1)-1))+2+17,21)))</f>
        <v/>
      </c>
      <c r="V234">
        <f>IF(OR($B234="",(N('My Rota'!$D$6)+1)&gt;53),"",""&amp;CHOOSE(IFERROR(MATCH('My Rota'!$D$5,Setup!$K$33:$K$36,0),1),INDEX('2027'!$A:$Z,(5+50*((N('My Rota'!$D$6)+1)-1))+2+17,22),INDEX('2028'!$A:$Z,(5+50*((N('My Rota'!$D$6)+1)-1))+2+17,22),INDEX('2029'!$A:$Z,(5+50*((N('My Rota'!$D$6)+1)-1))+2+17,22),INDEX('2030'!$A:$Z,(5+50*((N('My Rota'!$D$6)+1)-1))+2+17,22)))</f>
        <v/>
      </c>
      <c r="W234">
        <f>IF(OR($B234="",(N('My Rota'!$D$6)+1)&gt;53),"",""&amp;CHOOSE(IFERROR(MATCH('My Rota'!$D$5,Setup!$K$33:$K$36,0),1),INDEX('2027'!$A:$Z,(5+50*((N('My Rota'!$D$6)+1)-1))+2+17,23),INDEX('2028'!$A:$Z,(5+50*((N('My Rota'!$D$6)+1)-1))+2+17,23),INDEX('2029'!$A:$Z,(5+50*((N('My Rota'!$D$6)+1)-1))+2+17,23),INDEX('2030'!$A:$Z,(5+50*((N('My Rota'!$D$6)+1)-1))+2+17,23)))</f>
        <v/>
      </c>
      <c r="X234">
        <f>IF(OR($B234="",(N('My Rota'!$D$6)+1)&gt;53),"",""&amp;CHOOSE(IFERROR(MATCH('My Rota'!$D$5,Setup!$K$33:$K$36,0),1),INDEX('2027'!$A:$Z,(5+50*((N('My Rota'!$D$6)+1)-1))+2+17,24),INDEX('2028'!$A:$Z,(5+50*((N('My Rota'!$D$6)+1)-1))+2+17,24),INDEX('2029'!$A:$Z,(5+50*((N('My Rota'!$D$6)+1)-1))+2+17,24),INDEX('2030'!$A:$Z,(5+50*((N('My Rota'!$D$6)+1)-1))+2+17,24)))</f>
        <v/>
      </c>
      <c r="Y234">
        <f>IF(OR($B234="",(N('My Rota'!$D$6)+1)&gt;53),"",""&amp;CHOOSE(IFERROR(MATCH('My Rota'!$D$5,Setup!$K$33:$K$36,0),1),INDEX('2027'!$A:$Z,(5+50*((N('My Rota'!$D$6)+1)-1))+2+17,25),INDEX('2028'!$A:$Z,(5+50*((N('My Rota'!$D$6)+1)-1))+2+17,25),INDEX('2029'!$A:$Z,(5+50*((N('My Rota'!$D$6)+1)-1))+2+17,25),INDEX('2030'!$A:$Z,(5+50*((N('My Rota'!$D$6)+1)-1))+2+17,25)))</f>
        <v/>
      </c>
      <c r="Z234">
        <f>IF(OR($B234="",(N('My Rota'!$D$6)+1)&gt;53),"",""&amp;CHOOSE(IFERROR(MATCH('My Rota'!$D$5,Setup!$K$33:$K$36,0),1),INDEX('2027'!$A:$Z,(5+50*((N('My Rota'!$D$6)+1)-1))+2+17,26),INDEX('2028'!$A:$Z,(5+50*((N('My Rota'!$D$6)+1)-1))+2+17,26),INDEX('2029'!$A:$Z,(5+50*((N('My Rota'!$D$6)+1)-1))+2+17,26),INDEX('2030'!$A:$Z,(5+50*((N('My Rota'!$D$6)+1)-1))+2+17,26)))</f>
        <v/>
      </c>
    </row>
    <row r="235">
      <c r="A235" t="n">
        <v>2</v>
      </c>
      <c r="B235">
        <f>$B$64</f>
        <v/>
      </c>
      <c r="C235">
        <f>IF(OR($B235="",(N('My Rota'!$D$6)+1)&gt;53),"",""&amp;CHOOSE(IFERROR(MATCH('My Rota'!$D$5,Setup!$K$33:$K$36,0),1),INDEX('2027'!$A:$Z,(5+50*((N('My Rota'!$D$6)+1)-1))+2+18,3),INDEX('2028'!$A:$Z,(5+50*((N('My Rota'!$D$6)+1)-1))+2+18,3),INDEX('2029'!$A:$Z,(5+50*((N('My Rota'!$D$6)+1)-1))+2+18,3),INDEX('2030'!$A:$Z,(5+50*((N('My Rota'!$D$6)+1)-1))+2+18,3)))</f>
        <v/>
      </c>
      <c r="D235">
        <f>IF(OR($B235="",(N('My Rota'!$D$6)+1)&gt;53),"",""&amp;CHOOSE(IFERROR(MATCH('My Rota'!$D$5,Setup!$K$33:$K$36,0),1),INDEX('2027'!$A:$Z,(5+50*((N('My Rota'!$D$6)+1)-1))+2+18,4),INDEX('2028'!$A:$Z,(5+50*((N('My Rota'!$D$6)+1)-1))+2+18,4),INDEX('2029'!$A:$Z,(5+50*((N('My Rota'!$D$6)+1)-1))+2+18,4),INDEX('2030'!$A:$Z,(5+50*((N('My Rota'!$D$6)+1)-1))+2+18,4)))</f>
        <v/>
      </c>
      <c r="E235">
        <f>IF(OR($B235="",(N('My Rota'!$D$6)+1)&gt;53),"",""&amp;CHOOSE(IFERROR(MATCH('My Rota'!$D$5,Setup!$K$33:$K$36,0),1),INDEX('2027'!$A:$Z,(5+50*((N('My Rota'!$D$6)+1)-1))+2+18,5),INDEX('2028'!$A:$Z,(5+50*((N('My Rota'!$D$6)+1)-1))+2+18,5),INDEX('2029'!$A:$Z,(5+50*((N('My Rota'!$D$6)+1)-1))+2+18,5),INDEX('2030'!$A:$Z,(5+50*((N('My Rota'!$D$6)+1)-1))+2+18,5)))</f>
        <v/>
      </c>
      <c r="F235">
        <f>IF(OR($B235="",(N('My Rota'!$D$6)+1)&gt;53),"",""&amp;CHOOSE(IFERROR(MATCH('My Rota'!$D$5,Setup!$K$33:$K$36,0),1),INDEX('2027'!$A:$Z,(5+50*((N('My Rota'!$D$6)+1)-1))+2+18,6),INDEX('2028'!$A:$Z,(5+50*((N('My Rota'!$D$6)+1)-1))+2+18,6),INDEX('2029'!$A:$Z,(5+50*((N('My Rota'!$D$6)+1)-1))+2+18,6),INDEX('2030'!$A:$Z,(5+50*((N('My Rota'!$D$6)+1)-1))+2+18,6)))</f>
        <v/>
      </c>
      <c r="G235">
        <f>IF(OR($B235="",(N('My Rota'!$D$6)+1)&gt;53),"",""&amp;CHOOSE(IFERROR(MATCH('My Rota'!$D$5,Setup!$K$33:$K$36,0),1),INDEX('2027'!$A:$Z,(5+50*((N('My Rota'!$D$6)+1)-1))+2+18,7),INDEX('2028'!$A:$Z,(5+50*((N('My Rota'!$D$6)+1)-1))+2+18,7),INDEX('2029'!$A:$Z,(5+50*((N('My Rota'!$D$6)+1)-1))+2+18,7),INDEX('2030'!$A:$Z,(5+50*((N('My Rota'!$D$6)+1)-1))+2+18,7)))</f>
        <v/>
      </c>
      <c r="H235">
        <f>IF(OR($B235="",(N('My Rota'!$D$6)+1)&gt;53),"",""&amp;CHOOSE(IFERROR(MATCH('My Rota'!$D$5,Setup!$K$33:$K$36,0),1),INDEX('2027'!$A:$Z,(5+50*((N('My Rota'!$D$6)+1)-1))+2+18,8),INDEX('2028'!$A:$Z,(5+50*((N('My Rota'!$D$6)+1)-1))+2+18,8),INDEX('2029'!$A:$Z,(5+50*((N('My Rota'!$D$6)+1)-1))+2+18,8),INDEX('2030'!$A:$Z,(5+50*((N('My Rota'!$D$6)+1)-1))+2+18,8)))</f>
        <v/>
      </c>
      <c r="I235">
        <f>IF(OR($B235="",(N('My Rota'!$D$6)+1)&gt;53),"",""&amp;CHOOSE(IFERROR(MATCH('My Rota'!$D$5,Setup!$K$33:$K$36,0),1),INDEX('2027'!$A:$Z,(5+50*((N('My Rota'!$D$6)+1)-1))+2+18,9),INDEX('2028'!$A:$Z,(5+50*((N('My Rota'!$D$6)+1)-1))+2+18,9),INDEX('2029'!$A:$Z,(5+50*((N('My Rota'!$D$6)+1)-1))+2+18,9),INDEX('2030'!$A:$Z,(5+50*((N('My Rota'!$D$6)+1)-1))+2+18,9)))</f>
        <v/>
      </c>
      <c r="J235">
        <f>IF(OR($B235="",(N('My Rota'!$D$6)+1)&gt;53),"",""&amp;CHOOSE(IFERROR(MATCH('My Rota'!$D$5,Setup!$K$33:$K$36,0),1),INDEX('2027'!$A:$Z,(5+50*((N('My Rota'!$D$6)+1)-1))+2+18,10),INDEX('2028'!$A:$Z,(5+50*((N('My Rota'!$D$6)+1)-1))+2+18,10),INDEX('2029'!$A:$Z,(5+50*((N('My Rota'!$D$6)+1)-1))+2+18,10),INDEX('2030'!$A:$Z,(5+50*((N('My Rota'!$D$6)+1)-1))+2+18,10)))</f>
        <v/>
      </c>
      <c r="K235">
        <f>IF(OR($B235="",(N('My Rota'!$D$6)+1)&gt;53),"",""&amp;CHOOSE(IFERROR(MATCH('My Rota'!$D$5,Setup!$K$33:$K$36,0),1),INDEX('2027'!$A:$Z,(5+50*((N('My Rota'!$D$6)+1)-1))+2+18,11),INDEX('2028'!$A:$Z,(5+50*((N('My Rota'!$D$6)+1)-1))+2+18,11),INDEX('2029'!$A:$Z,(5+50*((N('My Rota'!$D$6)+1)-1))+2+18,11),INDEX('2030'!$A:$Z,(5+50*((N('My Rota'!$D$6)+1)-1))+2+18,11)))</f>
        <v/>
      </c>
      <c r="L235">
        <f>IF(OR($B235="",(N('My Rota'!$D$6)+1)&gt;53),"",""&amp;CHOOSE(IFERROR(MATCH('My Rota'!$D$5,Setup!$K$33:$K$36,0),1),INDEX('2027'!$A:$Z,(5+50*((N('My Rota'!$D$6)+1)-1))+2+18,12),INDEX('2028'!$A:$Z,(5+50*((N('My Rota'!$D$6)+1)-1))+2+18,12),INDEX('2029'!$A:$Z,(5+50*((N('My Rota'!$D$6)+1)-1))+2+18,12),INDEX('2030'!$A:$Z,(5+50*((N('My Rota'!$D$6)+1)-1))+2+18,12)))</f>
        <v/>
      </c>
      <c r="M235">
        <f>IF(OR($B235="",(N('My Rota'!$D$6)+1)&gt;53),"",""&amp;CHOOSE(IFERROR(MATCH('My Rota'!$D$5,Setup!$K$33:$K$36,0),1),INDEX('2027'!$A:$Z,(5+50*((N('My Rota'!$D$6)+1)-1))+2+18,13),INDEX('2028'!$A:$Z,(5+50*((N('My Rota'!$D$6)+1)-1))+2+18,13),INDEX('2029'!$A:$Z,(5+50*((N('My Rota'!$D$6)+1)-1))+2+18,13),INDEX('2030'!$A:$Z,(5+50*((N('My Rota'!$D$6)+1)-1))+2+18,13)))</f>
        <v/>
      </c>
      <c r="N235">
        <f>IF(OR($B235="",(N('My Rota'!$D$6)+1)&gt;53),"",""&amp;CHOOSE(IFERROR(MATCH('My Rota'!$D$5,Setup!$K$33:$K$36,0),1),INDEX('2027'!$A:$Z,(5+50*((N('My Rota'!$D$6)+1)-1))+2+18,14),INDEX('2028'!$A:$Z,(5+50*((N('My Rota'!$D$6)+1)-1))+2+18,14),INDEX('2029'!$A:$Z,(5+50*((N('My Rota'!$D$6)+1)-1))+2+18,14),INDEX('2030'!$A:$Z,(5+50*((N('My Rota'!$D$6)+1)-1))+2+18,14)))</f>
        <v/>
      </c>
      <c r="O235">
        <f>IF(OR($B235="",(N('My Rota'!$D$6)+1)&gt;53),"",""&amp;CHOOSE(IFERROR(MATCH('My Rota'!$D$5,Setup!$K$33:$K$36,0),1),INDEX('2027'!$A:$Z,(5+50*((N('My Rota'!$D$6)+1)-1))+2+18,15),INDEX('2028'!$A:$Z,(5+50*((N('My Rota'!$D$6)+1)-1))+2+18,15),INDEX('2029'!$A:$Z,(5+50*((N('My Rota'!$D$6)+1)-1))+2+18,15),INDEX('2030'!$A:$Z,(5+50*((N('My Rota'!$D$6)+1)-1))+2+18,15)))</f>
        <v/>
      </c>
      <c r="P235">
        <f>IF(OR($B235="",(N('My Rota'!$D$6)+1)&gt;53),"",""&amp;CHOOSE(IFERROR(MATCH('My Rota'!$D$5,Setup!$K$33:$K$36,0),1),INDEX('2027'!$A:$Z,(5+50*((N('My Rota'!$D$6)+1)-1))+2+18,16),INDEX('2028'!$A:$Z,(5+50*((N('My Rota'!$D$6)+1)-1))+2+18,16),INDEX('2029'!$A:$Z,(5+50*((N('My Rota'!$D$6)+1)-1))+2+18,16),INDEX('2030'!$A:$Z,(5+50*((N('My Rota'!$D$6)+1)-1))+2+18,16)))</f>
        <v/>
      </c>
      <c r="Q235">
        <f>IF(OR($B235="",(N('My Rota'!$D$6)+1)&gt;53),"",""&amp;CHOOSE(IFERROR(MATCH('My Rota'!$D$5,Setup!$K$33:$K$36,0),1),INDEX('2027'!$A:$Z,(5+50*((N('My Rota'!$D$6)+1)-1))+2+18,17),INDEX('2028'!$A:$Z,(5+50*((N('My Rota'!$D$6)+1)-1))+2+18,17),INDEX('2029'!$A:$Z,(5+50*((N('My Rota'!$D$6)+1)-1))+2+18,17),INDEX('2030'!$A:$Z,(5+50*((N('My Rota'!$D$6)+1)-1))+2+18,17)))</f>
        <v/>
      </c>
      <c r="R235">
        <f>IF(OR($B235="",(N('My Rota'!$D$6)+1)&gt;53),"",""&amp;CHOOSE(IFERROR(MATCH('My Rota'!$D$5,Setup!$K$33:$K$36,0),1),INDEX('2027'!$A:$Z,(5+50*((N('My Rota'!$D$6)+1)-1))+2+18,18),INDEX('2028'!$A:$Z,(5+50*((N('My Rota'!$D$6)+1)-1))+2+18,18),INDEX('2029'!$A:$Z,(5+50*((N('My Rota'!$D$6)+1)-1))+2+18,18),INDEX('2030'!$A:$Z,(5+50*((N('My Rota'!$D$6)+1)-1))+2+18,18)))</f>
        <v/>
      </c>
      <c r="S235">
        <f>IF(OR($B235="",(N('My Rota'!$D$6)+1)&gt;53),"",""&amp;CHOOSE(IFERROR(MATCH('My Rota'!$D$5,Setup!$K$33:$K$36,0),1),INDEX('2027'!$A:$Z,(5+50*((N('My Rota'!$D$6)+1)-1))+2+18,19),INDEX('2028'!$A:$Z,(5+50*((N('My Rota'!$D$6)+1)-1))+2+18,19),INDEX('2029'!$A:$Z,(5+50*((N('My Rota'!$D$6)+1)-1))+2+18,19),INDEX('2030'!$A:$Z,(5+50*((N('My Rota'!$D$6)+1)-1))+2+18,19)))</f>
        <v/>
      </c>
      <c r="T235">
        <f>IF(OR($B235="",(N('My Rota'!$D$6)+1)&gt;53),"",""&amp;CHOOSE(IFERROR(MATCH('My Rota'!$D$5,Setup!$K$33:$K$36,0),1),INDEX('2027'!$A:$Z,(5+50*((N('My Rota'!$D$6)+1)-1))+2+18,20),INDEX('2028'!$A:$Z,(5+50*((N('My Rota'!$D$6)+1)-1))+2+18,20),INDEX('2029'!$A:$Z,(5+50*((N('My Rota'!$D$6)+1)-1))+2+18,20),INDEX('2030'!$A:$Z,(5+50*((N('My Rota'!$D$6)+1)-1))+2+18,20)))</f>
        <v/>
      </c>
      <c r="U235">
        <f>IF(OR($B235="",(N('My Rota'!$D$6)+1)&gt;53),"",""&amp;CHOOSE(IFERROR(MATCH('My Rota'!$D$5,Setup!$K$33:$K$36,0),1),INDEX('2027'!$A:$Z,(5+50*((N('My Rota'!$D$6)+1)-1))+2+18,21),INDEX('2028'!$A:$Z,(5+50*((N('My Rota'!$D$6)+1)-1))+2+18,21),INDEX('2029'!$A:$Z,(5+50*((N('My Rota'!$D$6)+1)-1))+2+18,21),INDEX('2030'!$A:$Z,(5+50*((N('My Rota'!$D$6)+1)-1))+2+18,21)))</f>
        <v/>
      </c>
      <c r="V235">
        <f>IF(OR($B235="",(N('My Rota'!$D$6)+1)&gt;53),"",""&amp;CHOOSE(IFERROR(MATCH('My Rota'!$D$5,Setup!$K$33:$K$36,0),1),INDEX('2027'!$A:$Z,(5+50*((N('My Rota'!$D$6)+1)-1))+2+18,22),INDEX('2028'!$A:$Z,(5+50*((N('My Rota'!$D$6)+1)-1))+2+18,22),INDEX('2029'!$A:$Z,(5+50*((N('My Rota'!$D$6)+1)-1))+2+18,22),INDEX('2030'!$A:$Z,(5+50*((N('My Rota'!$D$6)+1)-1))+2+18,22)))</f>
        <v/>
      </c>
      <c r="W235">
        <f>IF(OR($B235="",(N('My Rota'!$D$6)+1)&gt;53),"",""&amp;CHOOSE(IFERROR(MATCH('My Rota'!$D$5,Setup!$K$33:$K$36,0),1),INDEX('2027'!$A:$Z,(5+50*((N('My Rota'!$D$6)+1)-1))+2+18,23),INDEX('2028'!$A:$Z,(5+50*((N('My Rota'!$D$6)+1)-1))+2+18,23),INDEX('2029'!$A:$Z,(5+50*((N('My Rota'!$D$6)+1)-1))+2+18,23),INDEX('2030'!$A:$Z,(5+50*((N('My Rota'!$D$6)+1)-1))+2+18,23)))</f>
        <v/>
      </c>
      <c r="X235">
        <f>IF(OR($B235="",(N('My Rota'!$D$6)+1)&gt;53),"",""&amp;CHOOSE(IFERROR(MATCH('My Rota'!$D$5,Setup!$K$33:$K$36,0),1),INDEX('2027'!$A:$Z,(5+50*((N('My Rota'!$D$6)+1)-1))+2+18,24),INDEX('2028'!$A:$Z,(5+50*((N('My Rota'!$D$6)+1)-1))+2+18,24),INDEX('2029'!$A:$Z,(5+50*((N('My Rota'!$D$6)+1)-1))+2+18,24),INDEX('2030'!$A:$Z,(5+50*((N('My Rota'!$D$6)+1)-1))+2+18,24)))</f>
        <v/>
      </c>
      <c r="Y235">
        <f>IF(OR($B235="",(N('My Rota'!$D$6)+1)&gt;53),"",""&amp;CHOOSE(IFERROR(MATCH('My Rota'!$D$5,Setup!$K$33:$K$36,0),1),INDEX('2027'!$A:$Z,(5+50*((N('My Rota'!$D$6)+1)-1))+2+18,25),INDEX('2028'!$A:$Z,(5+50*((N('My Rota'!$D$6)+1)-1))+2+18,25),INDEX('2029'!$A:$Z,(5+50*((N('My Rota'!$D$6)+1)-1))+2+18,25),INDEX('2030'!$A:$Z,(5+50*((N('My Rota'!$D$6)+1)-1))+2+18,25)))</f>
        <v/>
      </c>
      <c r="Z235">
        <f>IF(OR($B235="",(N('My Rota'!$D$6)+1)&gt;53),"",""&amp;CHOOSE(IFERROR(MATCH('My Rota'!$D$5,Setup!$K$33:$K$36,0),1),INDEX('2027'!$A:$Z,(5+50*((N('My Rota'!$D$6)+1)-1))+2+18,26),INDEX('2028'!$A:$Z,(5+50*((N('My Rota'!$D$6)+1)-1))+2+18,26),INDEX('2029'!$A:$Z,(5+50*((N('My Rota'!$D$6)+1)-1))+2+18,26),INDEX('2030'!$A:$Z,(5+50*((N('My Rota'!$D$6)+1)-1))+2+18,26)))</f>
        <v/>
      </c>
    </row>
    <row r="236">
      <c r="A236" t="n">
        <v>3</v>
      </c>
      <c r="B236">
        <f>$B$47</f>
        <v/>
      </c>
      <c r="C236">
        <f>IF(OR($B236="",(N('My Rota'!$D$6)+2)&gt;53),"",""&amp;CHOOSE(IFERROR(MATCH('My Rota'!$D$5,Setup!$K$33:$K$36,0),1),INDEX('2027'!$A:$Z,(5+50*((N('My Rota'!$D$6)+2)-1))+2+1,3),INDEX('2028'!$A:$Z,(5+50*((N('My Rota'!$D$6)+2)-1))+2+1,3),INDEX('2029'!$A:$Z,(5+50*((N('My Rota'!$D$6)+2)-1))+2+1,3),INDEX('2030'!$A:$Z,(5+50*((N('My Rota'!$D$6)+2)-1))+2+1,3)))</f>
        <v/>
      </c>
      <c r="D236">
        <f>IF(OR($B236="",(N('My Rota'!$D$6)+2)&gt;53),"",""&amp;CHOOSE(IFERROR(MATCH('My Rota'!$D$5,Setup!$K$33:$K$36,0),1),INDEX('2027'!$A:$Z,(5+50*((N('My Rota'!$D$6)+2)-1))+2+1,4),INDEX('2028'!$A:$Z,(5+50*((N('My Rota'!$D$6)+2)-1))+2+1,4),INDEX('2029'!$A:$Z,(5+50*((N('My Rota'!$D$6)+2)-1))+2+1,4),INDEX('2030'!$A:$Z,(5+50*((N('My Rota'!$D$6)+2)-1))+2+1,4)))</f>
        <v/>
      </c>
      <c r="E236">
        <f>IF(OR($B236="",(N('My Rota'!$D$6)+2)&gt;53),"",""&amp;CHOOSE(IFERROR(MATCH('My Rota'!$D$5,Setup!$K$33:$K$36,0),1),INDEX('2027'!$A:$Z,(5+50*((N('My Rota'!$D$6)+2)-1))+2+1,5),INDEX('2028'!$A:$Z,(5+50*((N('My Rota'!$D$6)+2)-1))+2+1,5),INDEX('2029'!$A:$Z,(5+50*((N('My Rota'!$D$6)+2)-1))+2+1,5),INDEX('2030'!$A:$Z,(5+50*((N('My Rota'!$D$6)+2)-1))+2+1,5)))</f>
        <v/>
      </c>
      <c r="F236">
        <f>IF(OR($B236="",(N('My Rota'!$D$6)+2)&gt;53),"",""&amp;CHOOSE(IFERROR(MATCH('My Rota'!$D$5,Setup!$K$33:$K$36,0),1),INDEX('2027'!$A:$Z,(5+50*((N('My Rota'!$D$6)+2)-1))+2+1,6),INDEX('2028'!$A:$Z,(5+50*((N('My Rota'!$D$6)+2)-1))+2+1,6),INDEX('2029'!$A:$Z,(5+50*((N('My Rota'!$D$6)+2)-1))+2+1,6),INDEX('2030'!$A:$Z,(5+50*((N('My Rota'!$D$6)+2)-1))+2+1,6)))</f>
        <v/>
      </c>
      <c r="G236">
        <f>IF(OR($B236="",(N('My Rota'!$D$6)+2)&gt;53),"",""&amp;CHOOSE(IFERROR(MATCH('My Rota'!$D$5,Setup!$K$33:$K$36,0),1),INDEX('2027'!$A:$Z,(5+50*((N('My Rota'!$D$6)+2)-1))+2+1,7),INDEX('2028'!$A:$Z,(5+50*((N('My Rota'!$D$6)+2)-1))+2+1,7),INDEX('2029'!$A:$Z,(5+50*((N('My Rota'!$D$6)+2)-1))+2+1,7),INDEX('2030'!$A:$Z,(5+50*((N('My Rota'!$D$6)+2)-1))+2+1,7)))</f>
        <v/>
      </c>
      <c r="H236">
        <f>IF(OR($B236="",(N('My Rota'!$D$6)+2)&gt;53),"",""&amp;CHOOSE(IFERROR(MATCH('My Rota'!$D$5,Setup!$K$33:$K$36,0),1),INDEX('2027'!$A:$Z,(5+50*((N('My Rota'!$D$6)+2)-1))+2+1,8),INDEX('2028'!$A:$Z,(5+50*((N('My Rota'!$D$6)+2)-1))+2+1,8),INDEX('2029'!$A:$Z,(5+50*((N('My Rota'!$D$6)+2)-1))+2+1,8),INDEX('2030'!$A:$Z,(5+50*((N('My Rota'!$D$6)+2)-1))+2+1,8)))</f>
        <v/>
      </c>
      <c r="I236">
        <f>IF(OR($B236="",(N('My Rota'!$D$6)+2)&gt;53),"",""&amp;CHOOSE(IFERROR(MATCH('My Rota'!$D$5,Setup!$K$33:$K$36,0),1),INDEX('2027'!$A:$Z,(5+50*((N('My Rota'!$D$6)+2)-1))+2+1,9),INDEX('2028'!$A:$Z,(5+50*((N('My Rota'!$D$6)+2)-1))+2+1,9),INDEX('2029'!$A:$Z,(5+50*((N('My Rota'!$D$6)+2)-1))+2+1,9),INDEX('2030'!$A:$Z,(5+50*((N('My Rota'!$D$6)+2)-1))+2+1,9)))</f>
        <v/>
      </c>
      <c r="J236">
        <f>IF(OR($B236="",(N('My Rota'!$D$6)+2)&gt;53),"",""&amp;CHOOSE(IFERROR(MATCH('My Rota'!$D$5,Setup!$K$33:$K$36,0),1),INDEX('2027'!$A:$Z,(5+50*((N('My Rota'!$D$6)+2)-1))+2+1,10),INDEX('2028'!$A:$Z,(5+50*((N('My Rota'!$D$6)+2)-1))+2+1,10),INDEX('2029'!$A:$Z,(5+50*((N('My Rota'!$D$6)+2)-1))+2+1,10),INDEX('2030'!$A:$Z,(5+50*((N('My Rota'!$D$6)+2)-1))+2+1,10)))</f>
        <v/>
      </c>
      <c r="K236">
        <f>IF(OR($B236="",(N('My Rota'!$D$6)+2)&gt;53),"",""&amp;CHOOSE(IFERROR(MATCH('My Rota'!$D$5,Setup!$K$33:$K$36,0),1),INDEX('2027'!$A:$Z,(5+50*((N('My Rota'!$D$6)+2)-1))+2+1,11),INDEX('2028'!$A:$Z,(5+50*((N('My Rota'!$D$6)+2)-1))+2+1,11),INDEX('2029'!$A:$Z,(5+50*((N('My Rota'!$D$6)+2)-1))+2+1,11),INDEX('2030'!$A:$Z,(5+50*((N('My Rota'!$D$6)+2)-1))+2+1,11)))</f>
        <v/>
      </c>
      <c r="L236">
        <f>IF(OR($B236="",(N('My Rota'!$D$6)+2)&gt;53),"",""&amp;CHOOSE(IFERROR(MATCH('My Rota'!$D$5,Setup!$K$33:$K$36,0),1),INDEX('2027'!$A:$Z,(5+50*((N('My Rota'!$D$6)+2)-1))+2+1,12),INDEX('2028'!$A:$Z,(5+50*((N('My Rota'!$D$6)+2)-1))+2+1,12),INDEX('2029'!$A:$Z,(5+50*((N('My Rota'!$D$6)+2)-1))+2+1,12),INDEX('2030'!$A:$Z,(5+50*((N('My Rota'!$D$6)+2)-1))+2+1,12)))</f>
        <v/>
      </c>
      <c r="M236">
        <f>IF(OR($B236="",(N('My Rota'!$D$6)+2)&gt;53),"",""&amp;CHOOSE(IFERROR(MATCH('My Rota'!$D$5,Setup!$K$33:$K$36,0),1),INDEX('2027'!$A:$Z,(5+50*((N('My Rota'!$D$6)+2)-1))+2+1,13),INDEX('2028'!$A:$Z,(5+50*((N('My Rota'!$D$6)+2)-1))+2+1,13),INDEX('2029'!$A:$Z,(5+50*((N('My Rota'!$D$6)+2)-1))+2+1,13),INDEX('2030'!$A:$Z,(5+50*((N('My Rota'!$D$6)+2)-1))+2+1,13)))</f>
        <v/>
      </c>
      <c r="N236">
        <f>IF(OR($B236="",(N('My Rota'!$D$6)+2)&gt;53),"",""&amp;CHOOSE(IFERROR(MATCH('My Rota'!$D$5,Setup!$K$33:$K$36,0),1),INDEX('2027'!$A:$Z,(5+50*((N('My Rota'!$D$6)+2)-1))+2+1,14),INDEX('2028'!$A:$Z,(5+50*((N('My Rota'!$D$6)+2)-1))+2+1,14),INDEX('2029'!$A:$Z,(5+50*((N('My Rota'!$D$6)+2)-1))+2+1,14),INDEX('2030'!$A:$Z,(5+50*((N('My Rota'!$D$6)+2)-1))+2+1,14)))</f>
        <v/>
      </c>
      <c r="O236">
        <f>IF(OR($B236="",(N('My Rota'!$D$6)+2)&gt;53),"",""&amp;CHOOSE(IFERROR(MATCH('My Rota'!$D$5,Setup!$K$33:$K$36,0),1),INDEX('2027'!$A:$Z,(5+50*((N('My Rota'!$D$6)+2)-1))+2+1,15),INDEX('2028'!$A:$Z,(5+50*((N('My Rota'!$D$6)+2)-1))+2+1,15),INDEX('2029'!$A:$Z,(5+50*((N('My Rota'!$D$6)+2)-1))+2+1,15),INDEX('2030'!$A:$Z,(5+50*((N('My Rota'!$D$6)+2)-1))+2+1,15)))</f>
        <v/>
      </c>
      <c r="P236">
        <f>IF(OR($B236="",(N('My Rota'!$D$6)+2)&gt;53),"",""&amp;CHOOSE(IFERROR(MATCH('My Rota'!$D$5,Setup!$K$33:$K$36,0),1),INDEX('2027'!$A:$Z,(5+50*((N('My Rota'!$D$6)+2)-1))+2+1,16),INDEX('2028'!$A:$Z,(5+50*((N('My Rota'!$D$6)+2)-1))+2+1,16),INDEX('2029'!$A:$Z,(5+50*((N('My Rota'!$D$6)+2)-1))+2+1,16),INDEX('2030'!$A:$Z,(5+50*((N('My Rota'!$D$6)+2)-1))+2+1,16)))</f>
        <v/>
      </c>
      <c r="Q236">
        <f>IF(OR($B236="",(N('My Rota'!$D$6)+2)&gt;53),"",""&amp;CHOOSE(IFERROR(MATCH('My Rota'!$D$5,Setup!$K$33:$K$36,0),1),INDEX('2027'!$A:$Z,(5+50*((N('My Rota'!$D$6)+2)-1))+2+1,17),INDEX('2028'!$A:$Z,(5+50*((N('My Rota'!$D$6)+2)-1))+2+1,17),INDEX('2029'!$A:$Z,(5+50*((N('My Rota'!$D$6)+2)-1))+2+1,17),INDEX('2030'!$A:$Z,(5+50*((N('My Rota'!$D$6)+2)-1))+2+1,17)))</f>
        <v/>
      </c>
      <c r="R236">
        <f>IF(OR($B236="",(N('My Rota'!$D$6)+2)&gt;53),"",""&amp;CHOOSE(IFERROR(MATCH('My Rota'!$D$5,Setup!$K$33:$K$36,0),1),INDEX('2027'!$A:$Z,(5+50*((N('My Rota'!$D$6)+2)-1))+2+1,18),INDEX('2028'!$A:$Z,(5+50*((N('My Rota'!$D$6)+2)-1))+2+1,18),INDEX('2029'!$A:$Z,(5+50*((N('My Rota'!$D$6)+2)-1))+2+1,18),INDEX('2030'!$A:$Z,(5+50*((N('My Rota'!$D$6)+2)-1))+2+1,18)))</f>
        <v/>
      </c>
      <c r="S236">
        <f>IF(OR($B236="",(N('My Rota'!$D$6)+2)&gt;53),"",""&amp;CHOOSE(IFERROR(MATCH('My Rota'!$D$5,Setup!$K$33:$K$36,0),1),INDEX('2027'!$A:$Z,(5+50*((N('My Rota'!$D$6)+2)-1))+2+1,19),INDEX('2028'!$A:$Z,(5+50*((N('My Rota'!$D$6)+2)-1))+2+1,19),INDEX('2029'!$A:$Z,(5+50*((N('My Rota'!$D$6)+2)-1))+2+1,19),INDEX('2030'!$A:$Z,(5+50*((N('My Rota'!$D$6)+2)-1))+2+1,19)))</f>
        <v/>
      </c>
      <c r="T236">
        <f>IF(OR($B236="",(N('My Rota'!$D$6)+2)&gt;53),"",""&amp;CHOOSE(IFERROR(MATCH('My Rota'!$D$5,Setup!$K$33:$K$36,0),1),INDEX('2027'!$A:$Z,(5+50*((N('My Rota'!$D$6)+2)-1))+2+1,20),INDEX('2028'!$A:$Z,(5+50*((N('My Rota'!$D$6)+2)-1))+2+1,20),INDEX('2029'!$A:$Z,(5+50*((N('My Rota'!$D$6)+2)-1))+2+1,20),INDEX('2030'!$A:$Z,(5+50*((N('My Rota'!$D$6)+2)-1))+2+1,20)))</f>
        <v/>
      </c>
      <c r="U236">
        <f>IF(OR($B236="",(N('My Rota'!$D$6)+2)&gt;53),"",""&amp;CHOOSE(IFERROR(MATCH('My Rota'!$D$5,Setup!$K$33:$K$36,0),1),INDEX('2027'!$A:$Z,(5+50*((N('My Rota'!$D$6)+2)-1))+2+1,21),INDEX('2028'!$A:$Z,(5+50*((N('My Rota'!$D$6)+2)-1))+2+1,21),INDEX('2029'!$A:$Z,(5+50*((N('My Rota'!$D$6)+2)-1))+2+1,21),INDEX('2030'!$A:$Z,(5+50*((N('My Rota'!$D$6)+2)-1))+2+1,21)))</f>
        <v/>
      </c>
      <c r="V236">
        <f>IF(OR($B236="",(N('My Rota'!$D$6)+2)&gt;53),"",""&amp;CHOOSE(IFERROR(MATCH('My Rota'!$D$5,Setup!$K$33:$K$36,0),1),INDEX('2027'!$A:$Z,(5+50*((N('My Rota'!$D$6)+2)-1))+2+1,22),INDEX('2028'!$A:$Z,(5+50*((N('My Rota'!$D$6)+2)-1))+2+1,22),INDEX('2029'!$A:$Z,(5+50*((N('My Rota'!$D$6)+2)-1))+2+1,22),INDEX('2030'!$A:$Z,(5+50*((N('My Rota'!$D$6)+2)-1))+2+1,22)))</f>
        <v/>
      </c>
      <c r="W236">
        <f>IF(OR($B236="",(N('My Rota'!$D$6)+2)&gt;53),"",""&amp;CHOOSE(IFERROR(MATCH('My Rota'!$D$5,Setup!$K$33:$K$36,0),1),INDEX('2027'!$A:$Z,(5+50*((N('My Rota'!$D$6)+2)-1))+2+1,23),INDEX('2028'!$A:$Z,(5+50*((N('My Rota'!$D$6)+2)-1))+2+1,23),INDEX('2029'!$A:$Z,(5+50*((N('My Rota'!$D$6)+2)-1))+2+1,23),INDEX('2030'!$A:$Z,(5+50*((N('My Rota'!$D$6)+2)-1))+2+1,23)))</f>
        <v/>
      </c>
      <c r="X236">
        <f>IF(OR($B236="",(N('My Rota'!$D$6)+2)&gt;53),"",""&amp;CHOOSE(IFERROR(MATCH('My Rota'!$D$5,Setup!$K$33:$K$36,0),1),INDEX('2027'!$A:$Z,(5+50*((N('My Rota'!$D$6)+2)-1))+2+1,24),INDEX('2028'!$A:$Z,(5+50*((N('My Rota'!$D$6)+2)-1))+2+1,24),INDEX('2029'!$A:$Z,(5+50*((N('My Rota'!$D$6)+2)-1))+2+1,24),INDEX('2030'!$A:$Z,(5+50*((N('My Rota'!$D$6)+2)-1))+2+1,24)))</f>
        <v/>
      </c>
      <c r="Y236">
        <f>IF(OR($B236="",(N('My Rota'!$D$6)+2)&gt;53),"",""&amp;CHOOSE(IFERROR(MATCH('My Rota'!$D$5,Setup!$K$33:$K$36,0),1),INDEX('2027'!$A:$Z,(5+50*((N('My Rota'!$D$6)+2)-1))+2+1,25),INDEX('2028'!$A:$Z,(5+50*((N('My Rota'!$D$6)+2)-1))+2+1,25),INDEX('2029'!$A:$Z,(5+50*((N('My Rota'!$D$6)+2)-1))+2+1,25),INDEX('2030'!$A:$Z,(5+50*((N('My Rota'!$D$6)+2)-1))+2+1,25)))</f>
        <v/>
      </c>
      <c r="Z236">
        <f>IF(OR($B236="",(N('My Rota'!$D$6)+2)&gt;53),"",""&amp;CHOOSE(IFERROR(MATCH('My Rota'!$D$5,Setup!$K$33:$K$36,0),1),INDEX('2027'!$A:$Z,(5+50*((N('My Rota'!$D$6)+2)-1))+2+1,26),INDEX('2028'!$A:$Z,(5+50*((N('My Rota'!$D$6)+2)-1))+2+1,26),INDEX('2029'!$A:$Z,(5+50*((N('My Rota'!$D$6)+2)-1))+2+1,26),INDEX('2030'!$A:$Z,(5+50*((N('My Rota'!$D$6)+2)-1))+2+1,26)))</f>
        <v/>
      </c>
    </row>
    <row r="237">
      <c r="A237" t="n">
        <v>3</v>
      </c>
      <c r="B237">
        <f>$B$48</f>
        <v/>
      </c>
      <c r="C237">
        <f>IF(OR($B237="",(N('My Rota'!$D$6)+2)&gt;53),"",""&amp;CHOOSE(IFERROR(MATCH('My Rota'!$D$5,Setup!$K$33:$K$36,0),1),INDEX('2027'!$A:$Z,(5+50*((N('My Rota'!$D$6)+2)-1))+2+2,3),INDEX('2028'!$A:$Z,(5+50*((N('My Rota'!$D$6)+2)-1))+2+2,3),INDEX('2029'!$A:$Z,(5+50*((N('My Rota'!$D$6)+2)-1))+2+2,3),INDEX('2030'!$A:$Z,(5+50*((N('My Rota'!$D$6)+2)-1))+2+2,3)))</f>
        <v/>
      </c>
      <c r="D237">
        <f>IF(OR($B237="",(N('My Rota'!$D$6)+2)&gt;53),"",""&amp;CHOOSE(IFERROR(MATCH('My Rota'!$D$5,Setup!$K$33:$K$36,0),1),INDEX('2027'!$A:$Z,(5+50*((N('My Rota'!$D$6)+2)-1))+2+2,4),INDEX('2028'!$A:$Z,(5+50*((N('My Rota'!$D$6)+2)-1))+2+2,4),INDEX('2029'!$A:$Z,(5+50*((N('My Rota'!$D$6)+2)-1))+2+2,4),INDEX('2030'!$A:$Z,(5+50*((N('My Rota'!$D$6)+2)-1))+2+2,4)))</f>
        <v/>
      </c>
      <c r="E237">
        <f>IF(OR($B237="",(N('My Rota'!$D$6)+2)&gt;53),"",""&amp;CHOOSE(IFERROR(MATCH('My Rota'!$D$5,Setup!$K$33:$K$36,0),1),INDEX('2027'!$A:$Z,(5+50*((N('My Rota'!$D$6)+2)-1))+2+2,5),INDEX('2028'!$A:$Z,(5+50*((N('My Rota'!$D$6)+2)-1))+2+2,5),INDEX('2029'!$A:$Z,(5+50*((N('My Rota'!$D$6)+2)-1))+2+2,5),INDEX('2030'!$A:$Z,(5+50*((N('My Rota'!$D$6)+2)-1))+2+2,5)))</f>
        <v/>
      </c>
      <c r="F237">
        <f>IF(OR($B237="",(N('My Rota'!$D$6)+2)&gt;53),"",""&amp;CHOOSE(IFERROR(MATCH('My Rota'!$D$5,Setup!$K$33:$K$36,0),1),INDEX('2027'!$A:$Z,(5+50*((N('My Rota'!$D$6)+2)-1))+2+2,6),INDEX('2028'!$A:$Z,(5+50*((N('My Rota'!$D$6)+2)-1))+2+2,6),INDEX('2029'!$A:$Z,(5+50*((N('My Rota'!$D$6)+2)-1))+2+2,6),INDEX('2030'!$A:$Z,(5+50*((N('My Rota'!$D$6)+2)-1))+2+2,6)))</f>
        <v/>
      </c>
      <c r="G237">
        <f>IF(OR($B237="",(N('My Rota'!$D$6)+2)&gt;53),"",""&amp;CHOOSE(IFERROR(MATCH('My Rota'!$D$5,Setup!$K$33:$K$36,0),1),INDEX('2027'!$A:$Z,(5+50*((N('My Rota'!$D$6)+2)-1))+2+2,7),INDEX('2028'!$A:$Z,(5+50*((N('My Rota'!$D$6)+2)-1))+2+2,7),INDEX('2029'!$A:$Z,(5+50*((N('My Rota'!$D$6)+2)-1))+2+2,7),INDEX('2030'!$A:$Z,(5+50*((N('My Rota'!$D$6)+2)-1))+2+2,7)))</f>
        <v/>
      </c>
      <c r="H237">
        <f>IF(OR($B237="",(N('My Rota'!$D$6)+2)&gt;53),"",""&amp;CHOOSE(IFERROR(MATCH('My Rota'!$D$5,Setup!$K$33:$K$36,0),1),INDEX('2027'!$A:$Z,(5+50*((N('My Rota'!$D$6)+2)-1))+2+2,8),INDEX('2028'!$A:$Z,(5+50*((N('My Rota'!$D$6)+2)-1))+2+2,8),INDEX('2029'!$A:$Z,(5+50*((N('My Rota'!$D$6)+2)-1))+2+2,8),INDEX('2030'!$A:$Z,(5+50*((N('My Rota'!$D$6)+2)-1))+2+2,8)))</f>
        <v/>
      </c>
      <c r="I237">
        <f>IF(OR($B237="",(N('My Rota'!$D$6)+2)&gt;53),"",""&amp;CHOOSE(IFERROR(MATCH('My Rota'!$D$5,Setup!$K$33:$K$36,0),1),INDEX('2027'!$A:$Z,(5+50*((N('My Rota'!$D$6)+2)-1))+2+2,9),INDEX('2028'!$A:$Z,(5+50*((N('My Rota'!$D$6)+2)-1))+2+2,9),INDEX('2029'!$A:$Z,(5+50*((N('My Rota'!$D$6)+2)-1))+2+2,9),INDEX('2030'!$A:$Z,(5+50*((N('My Rota'!$D$6)+2)-1))+2+2,9)))</f>
        <v/>
      </c>
      <c r="J237">
        <f>IF(OR($B237="",(N('My Rota'!$D$6)+2)&gt;53),"",""&amp;CHOOSE(IFERROR(MATCH('My Rota'!$D$5,Setup!$K$33:$K$36,0),1),INDEX('2027'!$A:$Z,(5+50*((N('My Rota'!$D$6)+2)-1))+2+2,10),INDEX('2028'!$A:$Z,(5+50*((N('My Rota'!$D$6)+2)-1))+2+2,10),INDEX('2029'!$A:$Z,(5+50*((N('My Rota'!$D$6)+2)-1))+2+2,10),INDEX('2030'!$A:$Z,(5+50*((N('My Rota'!$D$6)+2)-1))+2+2,10)))</f>
        <v/>
      </c>
      <c r="K237">
        <f>IF(OR($B237="",(N('My Rota'!$D$6)+2)&gt;53),"",""&amp;CHOOSE(IFERROR(MATCH('My Rota'!$D$5,Setup!$K$33:$K$36,0),1),INDEX('2027'!$A:$Z,(5+50*((N('My Rota'!$D$6)+2)-1))+2+2,11),INDEX('2028'!$A:$Z,(5+50*((N('My Rota'!$D$6)+2)-1))+2+2,11),INDEX('2029'!$A:$Z,(5+50*((N('My Rota'!$D$6)+2)-1))+2+2,11),INDEX('2030'!$A:$Z,(5+50*((N('My Rota'!$D$6)+2)-1))+2+2,11)))</f>
        <v/>
      </c>
      <c r="L237">
        <f>IF(OR($B237="",(N('My Rota'!$D$6)+2)&gt;53),"",""&amp;CHOOSE(IFERROR(MATCH('My Rota'!$D$5,Setup!$K$33:$K$36,0),1),INDEX('2027'!$A:$Z,(5+50*((N('My Rota'!$D$6)+2)-1))+2+2,12),INDEX('2028'!$A:$Z,(5+50*((N('My Rota'!$D$6)+2)-1))+2+2,12),INDEX('2029'!$A:$Z,(5+50*((N('My Rota'!$D$6)+2)-1))+2+2,12),INDEX('2030'!$A:$Z,(5+50*((N('My Rota'!$D$6)+2)-1))+2+2,12)))</f>
        <v/>
      </c>
      <c r="M237">
        <f>IF(OR($B237="",(N('My Rota'!$D$6)+2)&gt;53),"",""&amp;CHOOSE(IFERROR(MATCH('My Rota'!$D$5,Setup!$K$33:$K$36,0),1),INDEX('2027'!$A:$Z,(5+50*((N('My Rota'!$D$6)+2)-1))+2+2,13),INDEX('2028'!$A:$Z,(5+50*((N('My Rota'!$D$6)+2)-1))+2+2,13),INDEX('2029'!$A:$Z,(5+50*((N('My Rota'!$D$6)+2)-1))+2+2,13),INDEX('2030'!$A:$Z,(5+50*((N('My Rota'!$D$6)+2)-1))+2+2,13)))</f>
        <v/>
      </c>
      <c r="N237">
        <f>IF(OR($B237="",(N('My Rota'!$D$6)+2)&gt;53),"",""&amp;CHOOSE(IFERROR(MATCH('My Rota'!$D$5,Setup!$K$33:$K$36,0),1),INDEX('2027'!$A:$Z,(5+50*((N('My Rota'!$D$6)+2)-1))+2+2,14),INDEX('2028'!$A:$Z,(5+50*((N('My Rota'!$D$6)+2)-1))+2+2,14),INDEX('2029'!$A:$Z,(5+50*((N('My Rota'!$D$6)+2)-1))+2+2,14),INDEX('2030'!$A:$Z,(5+50*((N('My Rota'!$D$6)+2)-1))+2+2,14)))</f>
        <v/>
      </c>
      <c r="O237">
        <f>IF(OR($B237="",(N('My Rota'!$D$6)+2)&gt;53),"",""&amp;CHOOSE(IFERROR(MATCH('My Rota'!$D$5,Setup!$K$33:$K$36,0),1),INDEX('2027'!$A:$Z,(5+50*((N('My Rota'!$D$6)+2)-1))+2+2,15),INDEX('2028'!$A:$Z,(5+50*((N('My Rota'!$D$6)+2)-1))+2+2,15),INDEX('2029'!$A:$Z,(5+50*((N('My Rota'!$D$6)+2)-1))+2+2,15),INDEX('2030'!$A:$Z,(5+50*((N('My Rota'!$D$6)+2)-1))+2+2,15)))</f>
        <v/>
      </c>
      <c r="P237">
        <f>IF(OR($B237="",(N('My Rota'!$D$6)+2)&gt;53),"",""&amp;CHOOSE(IFERROR(MATCH('My Rota'!$D$5,Setup!$K$33:$K$36,0),1),INDEX('2027'!$A:$Z,(5+50*((N('My Rota'!$D$6)+2)-1))+2+2,16),INDEX('2028'!$A:$Z,(5+50*((N('My Rota'!$D$6)+2)-1))+2+2,16),INDEX('2029'!$A:$Z,(5+50*((N('My Rota'!$D$6)+2)-1))+2+2,16),INDEX('2030'!$A:$Z,(5+50*((N('My Rota'!$D$6)+2)-1))+2+2,16)))</f>
        <v/>
      </c>
      <c r="Q237">
        <f>IF(OR($B237="",(N('My Rota'!$D$6)+2)&gt;53),"",""&amp;CHOOSE(IFERROR(MATCH('My Rota'!$D$5,Setup!$K$33:$K$36,0),1),INDEX('2027'!$A:$Z,(5+50*((N('My Rota'!$D$6)+2)-1))+2+2,17),INDEX('2028'!$A:$Z,(5+50*((N('My Rota'!$D$6)+2)-1))+2+2,17),INDEX('2029'!$A:$Z,(5+50*((N('My Rota'!$D$6)+2)-1))+2+2,17),INDEX('2030'!$A:$Z,(5+50*((N('My Rota'!$D$6)+2)-1))+2+2,17)))</f>
        <v/>
      </c>
      <c r="R237">
        <f>IF(OR($B237="",(N('My Rota'!$D$6)+2)&gt;53),"",""&amp;CHOOSE(IFERROR(MATCH('My Rota'!$D$5,Setup!$K$33:$K$36,0),1),INDEX('2027'!$A:$Z,(5+50*((N('My Rota'!$D$6)+2)-1))+2+2,18),INDEX('2028'!$A:$Z,(5+50*((N('My Rota'!$D$6)+2)-1))+2+2,18),INDEX('2029'!$A:$Z,(5+50*((N('My Rota'!$D$6)+2)-1))+2+2,18),INDEX('2030'!$A:$Z,(5+50*((N('My Rota'!$D$6)+2)-1))+2+2,18)))</f>
        <v/>
      </c>
      <c r="S237">
        <f>IF(OR($B237="",(N('My Rota'!$D$6)+2)&gt;53),"",""&amp;CHOOSE(IFERROR(MATCH('My Rota'!$D$5,Setup!$K$33:$K$36,0),1),INDEX('2027'!$A:$Z,(5+50*((N('My Rota'!$D$6)+2)-1))+2+2,19),INDEX('2028'!$A:$Z,(5+50*((N('My Rota'!$D$6)+2)-1))+2+2,19),INDEX('2029'!$A:$Z,(5+50*((N('My Rota'!$D$6)+2)-1))+2+2,19),INDEX('2030'!$A:$Z,(5+50*((N('My Rota'!$D$6)+2)-1))+2+2,19)))</f>
        <v/>
      </c>
      <c r="T237">
        <f>IF(OR($B237="",(N('My Rota'!$D$6)+2)&gt;53),"",""&amp;CHOOSE(IFERROR(MATCH('My Rota'!$D$5,Setup!$K$33:$K$36,0),1),INDEX('2027'!$A:$Z,(5+50*((N('My Rota'!$D$6)+2)-1))+2+2,20),INDEX('2028'!$A:$Z,(5+50*((N('My Rota'!$D$6)+2)-1))+2+2,20),INDEX('2029'!$A:$Z,(5+50*((N('My Rota'!$D$6)+2)-1))+2+2,20),INDEX('2030'!$A:$Z,(5+50*((N('My Rota'!$D$6)+2)-1))+2+2,20)))</f>
        <v/>
      </c>
      <c r="U237">
        <f>IF(OR($B237="",(N('My Rota'!$D$6)+2)&gt;53),"",""&amp;CHOOSE(IFERROR(MATCH('My Rota'!$D$5,Setup!$K$33:$K$36,0),1),INDEX('2027'!$A:$Z,(5+50*((N('My Rota'!$D$6)+2)-1))+2+2,21),INDEX('2028'!$A:$Z,(5+50*((N('My Rota'!$D$6)+2)-1))+2+2,21),INDEX('2029'!$A:$Z,(5+50*((N('My Rota'!$D$6)+2)-1))+2+2,21),INDEX('2030'!$A:$Z,(5+50*((N('My Rota'!$D$6)+2)-1))+2+2,21)))</f>
        <v/>
      </c>
      <c r="V237">
        <f>IF(OR($B237="",(N('My Rota'!$D$6)+2)&gt;53),"",""&amp;CHOOSE(IFERROR(MATCH('My Rota'!$D$5,Setup!$K$33:$K$36,0),1),INDEX('2027'!$A:$Z,(5+50*((N('My Rota'!$D$6)+2)-1))+2+2,22),INDEX('2028'!$A:$Z,(5+50*((N('My Rota'!$D$6)+2)-1))+2+2,22),INDEX('2029'!$A:$Z,(5+50*((N('My Rota'!$D$6)+2)-1))+2+2,22),INDEX('2030'!$A:$Z,(5+50*((N('My Rota'!$D$6)+2)-1))+2+2,22)))</f>
        <v/>
      </c>
      <c r="W237">
        <f>IF(OR($B237="",(N('My Rota'!$D$6)+2)&gt;53),"",""&amp;CHOOSE(IFERROR(MATCH('My Rota'!$D$5,Setup!$K$33:$K$36,0),1),INDEX('2027'!$A:$Z,(5+50*((N('My Rota'!$D$6)+2)-1))+2+2,23),INDEX('2028'!$A:$Z,(5+50*((N('My Rota'!$D$6)+2)-1))+2+2,23),INDEX('2029'!$A:$Z,(5+50*((N('My Rota'!$D$6)+2)-1))+2+2,23),INDEX('2030'!$A:$Z,(5+50*((N('My Rota'!$D$6)+2)-1))+2+2,23)))</f>
        <v/>
      </c>
      <c r="X237">
        <f>IF(OR($B237="",(N('My Rota'!$D$6)+2)&gt;53),"",""&amp;CHOOSE(IFERROR(MATCH('My Rota'!$D$5,Setup!$K$33:$K$36,0),1),INDEX('2027'!$A:$Z,(5+50*((N('My Rota'!$D$6)+2)-1))+2+2,24),INDEX('2028'!$A:$Z,(5+50*((N('My Rota'!$D$6)+2)-1))+2+2,24),INDEX('2029'!$A:$Z,(5+50*((N('My Rota'!$D$6)+2)-1))+2+2,24),INDEX('2030'!$A:$Z,(5+50*((N('My Rota'!$D$6)+2)-1))+2+2,24)))</f>
        <v/>
      </c>
      <c r="Y237">
        <f>IF(OR($B237="",(N('My Rota'!$D$6)+2)&gt;53),"",""&amp;CHOOSE(IFERROR(MATCH('My Rota'!$D$5,Setup!$K$33:$K$36,0),1),INDEX('2027'!$A:$Z,(5+50*((N('My Rota'!$D$6)+2)-1))+2+2,25),INDEX('2028'!$A:$Z,(5+50*((N('My Rota'!$D$6)+2)-1))+2+2,25),INDEX('2029'!$A:$Z,(5+50*((N('My Rota'!$D$6)+2)-1))+2+2,25),INDEX('2030'!$A:$Z,(5+50*((N('My Rota'!$D$6)+2)-1))+2+2,25)))</f>
        <v/>
      </c>
      <c r="Z237">
        <f>IF(OR($B237="",(N('My Rota'!$D$6)+2)&gt;53),"",""&amp;CHOOSE(IFERROR(MATCH('My Rota'!$D$5,Setup!$K$33:$K$36,0),1),INDEX('2027'!$A:$Z,(5+50*((N('My Rota'!$D$6)+2)-1))+2+2,26),INDEX('2028'!$A:$Z,(5+50*((N('My Rota'!$D$6)+2)-1))+2+2,26),INDEX('2029'!$A:$Z,(5+50*((N('My Rota'!$D$6)+2)-1))+2+2,26),INDEX('2030'!$A:$Z,(5+50*((N('My Rota'!$D$6)+2)-1))+2+2,26)))</f>
        <v/>
      </c>
    </row>
    <row r="238">
      <c r="A238" t="n">
        <v>3</v>
      </c>
      <c r="B238">
        <f>$B$49</f>
        <v/>
      </c>
      <c r="C238">
        <f>IF(OR($B238="",(N('My Rota'!$D$6)+2)&gt;53),"",""&amp;CHOOSE(IFERROR(MATCH('My Rota'!$D$5,Setup!$K$33:$K$36,0),1),INDEX('2027'!$A:$Z,(5+50*((N('My Rota'!$D$6)+2)-1))+2+3,3),INDEX('2028'!$A:$Z,(5+50*((N('My Rota'!$D$6)+2)-1))+2+3,3),INDEX('2029'!$A:$Z,(5+50*((N('My Rota'!$D$6)+2)-1))+2+3,3),INDEX('2030'!$A:$Z,(5+50*((N('My Rota'!$D$6)+2)-1))+2+3,3)))</f>
        <v/>
      </c>
      <c r="D238">
        <f>IF(OR($B238="",(N('My Rota'!$D$6)+2)&gt;53),"",""&amp;CHOOSE(IFERROR(MATCH('My Rota'!$D$5,Setup!$K$33:$K$36,0),1),INDEX('2027'!$A:$Z,(5+50*((N('My Rota'!$D$6)+2)-1))+2+3,4),INDEX('2028'!$A:$Z,(5+50*((N('My Rota'!$D$6)+2)-1))+2+3,4),INDEX('2029'!$A:$Z,(5+50*((N('My Rota'!$D$6)+2)-1))+2+3,4),INDEX('2030'!$A:$Z,(5+50*((N('My Rota'!$D$6)+2)-1))+2+3,4)))</f>
        <v/>
      </c>
      <c r="E238">
        <f>IF(OR($B238="",(N('My Rota'!$D$6)+2)&gt;53),"",""&amp;CHOOSE(IFERROR(MATCH('My Rota'!$D$5,Setup!$K$33:$K$36,0),1),INDEX('2027'!$A:$Z,(5+50*((N('My Rota'!$D$6)+2)-1))+2+3,5),INDEX('2028'!$A:$Z,(5+50*((N('My Rota'!$D$6)+2)-1))+2+3,5),INDEX('2029'!$A:$Z,(5+50*((N('My Rota'!$D$6)+2)-1))+2+3,5),INDEX('2030'!$A:$Z,(5+50*((N('My Rota'!$D$6)+2)-1))+2+3,5)))</f>
        <v/>
      </c>
      <c r="F238">
        <f>IF(OR($B238="",(N('My Rota'!$D$6)+2)&gt;53),"",""&amp;CHOOSE(IFERROR(MATCH('My Rota'!$D$5,Setup!$K$33:$K$36,0),1),INDEX('2027'!$A:$Z,(5+50*((N('My Rota'!$D$6)+2)-1))+2+3,6),INDEX('2028'!$A:$Z,(5+50*((N('My Rota'!$D$6)+2)-1))+2+3,6),INDEX('2029'!$A:$Z,(5+50*((N('My Rota'!$D$6)+2)-1))+2+3,6),INDEX('2030'!$A:$Z,(5+50*((N('My Rota'!$D$6)+2)-1))+2+3,6)))</f>
        <v/>
      </c>
      <c r="G238">
        <f>IF(OR($B238="",(N('My Rota'!$D$6)+2)&gt;53),"",""&amp;CHOOSE(IFERROR(MATCH('My Rota'!$D$5,Setup!$K$33:$K$36,0),1),INDEX('2027'!$A:$Z,(5+50*((N('My Rota'!$D$6)+2)-1))+2+3,7),INDEX('2028'!$A:$Z,(5+50*((N('My Rota'!$D$6)+2)-1))+2+3,7),INDEX('2029'!$A:$Z,(5+50*((N('My Rota'!$D$6)+2)-1))+2+3,7),INDEX('2030'!$A:$Z,(5+50*((N('My Rota'!$D$6)+2)-1))+2+3,7)))</f>
        <v/>
      </c>
      <c r="H238">
        <f>IF(OR($B238="",(N('My Rota'!$D$6)+2)&gt;53),"",""&amp;CHOOSE(IFERROR(MATCH('My Rota'!$D$5,Setup!$K$33:$K$36,0),1),INDEX('2027'!$A:$Z,(5+50*((N('My Rota'!$D$6)+2)-1))+2+3,8),INDEX('2028'!$A:$Z,(5+50*((N('My Rota'!$D$6)+2)-1))+2+3,8),INDEX('2029'!$A:$Z,(5+50*((N('My Rota'!$D$6)+2)-1))+2+3,8),INDEX('2030'!$A:$Z,(5+50*((N('My Rota'!$D$6)+2)-1))+2+3,8)))</f>
        <v/>
      </c>
      <c r="I238">
        <f>IF(OR($B238="",(N('My Rota'!$D$6)+2)&gt;53),"",""&amp;CHOOSE(IFERROR(MATCH('My Rota'!$D$5,Setup!$K$33:$K$36,0),1),INDEX('2027'!$A:$Z,(5+50*((N('My Rota'!$D$6)+2)-1))+2+3,9),INDEX('2028'!$A:$Z,(5+50*((N('My Rota'!$D$6)+2)-1))+2+3,9),INDEX('2029'!$A:$Z,(5+50*((N('My Rota'!$D$6)+2)-1))+2+3,9),INDEX('2030'!$A:$Z,(5+50*((N('My Rota'!$D$6)+2)-1))+2+3,9)))</f>
        <v/>
      </c>
      <c r="J238">
        <f>IF(OR($B238="",(N('My Rota'!$D$6)+2)&gt;53),"",""&amp;CHOOSE(IFERROR(MATCH('My Rota'!$D$5,Setup!$K$33:$K$36,0),1),INDEX('2027'!$A:$Z,(5+50*((N('My Rota'!$D$6)+2)-1))+2+3,10),INDEX('2028'!$A:$Z,(5+50*((N('My Rota'!$D$6)+2)-1))+2+3,10),INDEX('2029'!$A:$Z,(5+50*((N('My Rota'!$D$6)+2)-1))+2+3,10),INDEX('2030'!$A:$Z,(5+50*((N('My Rota'!$D$6)+2)-1))+2+3,10)))</f>
        <v/>
      </c>
      <c r="K238">
        <f>IF(OR($B238="",(N('My Rota'!$D$6)+2)&gt;53),"",""&amp;CHOOSE(IFERROR(MATCH('My Rota'!$D$5,Setup!$K$33:$K$36,0),1),INDEX('2027'!$A:$Z,(5+50*((N('My Rota'!$D$6)+2)-1))+2+3,11),INDEX('2028'!$A:$Z,(5+50*((N('My Rota'!$D$6)+2)-1))+2+3,11),INDEX('2029'!$A:$Z,(5+50*((N('My Rota'!$D$6)+2)-1))+2+3,11),INDEX('2030'!$A:$Z,(5+50*((N('My Rota'!$D$6)+2)-1))+2+3,11)))</f>
        <v/>
      </c>
      <c r="L238">
        <f>IF(OR($B238="",(N('My Rota'!$D$6)+2)&gt;53),"",""&amp;CHOOSE(IFERROR(MATCH('My Rota'!$D$5,Setup!$K$33:$K$36,0),1),INDEX('2027'!$A:$Z,(5+50*((N('My Rota'!$D$6)+2)-1))+2+3,12),INDEX('2028'!$A:$Z,(5+50*((N('My Rota'!$D$6)+2)-1))+2+3,12),INDEX('2029'!$A:$Z,(5+50*((N('My Rota'!$D$6)+2)-1))+2+3,12),INDEX('2030'!$A:$Z,(5+50*((N('My Rota'!$D$6)+2)-1))+2+3,12)))</f>
        <v/>
      </c>
      <c r="M238">
        <f>IF(OR($B238="",(N('My Rota'!$D$6)+2)&gt;53),"",""&amp;CHOOSE(IFERROR(MATCH('My Rota'!$D$5,Setup!$K$33:$K$36,0),1),INDEX('2027'!$A:$Z,(5+50*((N('My Rota'!$D$6)+2)-1))+2+3,13),INDEX('2028'!$A:$Z,(5+50*((N('My Rota'!$D$6)+2)-1))+2+3,13),INDEX('2029'!$A:$Z,(5+50*((N('My Rota'!$D$6)+2)-1))+2+3,13),INDEX('2030'!$A:$Z,(5+50*((N('My Rota'!$D$6)+2)-1))+2+3,13)))</f>
        <v/>
      </c>
      <c r="N238">
        <f>IF(OR($B238="",(N('My Rota'!$D$6)+2)&gt;53),"",""&amp;CHOOSE(IFERROR(MATCH('My Rota'!$D$5,Setup!$K$33:$K$36,0),1),INDEX('2027'!$A:$Z,(5+50*((N('My Rota'!$D$6)+2)-1))+2+3,14),INDEX('2028'!$A:$Z,(5+50*((N('My Rota'!$D$6)+2)-1))+2+3,14),INDEX('2029'!$A:$Z,(5+50*((N('My Rota'!$D$6)+2)-1))+2+3,14),INDEX('2030'!$A:$Z,(5+50*((N('My Rota'!$D$6)+2)-1))+2+3,14)))</f>
        <v/>
      </c>
      <c r="O238">
        <f>IF(OR($B238="",(N('My Rota'!$D$6)+2)&gt;53),"",""&amp;CHOOSE(IFERROR(MATCH('My Rota'!$D$5,Setup!$K$33:$K$36,0),1),INDEX('2027'!$A:$Z,(5+50*((N('My Rota'!$D$6)+2)-1))+2+3,15),INDEX('2028'!$A:$Z,(5+50*((N('My Rota'!$D$6)+2)-1))+2+3,15),INDEX('2029'!$A:$Z,(5+50*((N('My Rota'!$D$6)+2)-1))+2+3,15),INDEX('2030'!$A:$Z,(5+50*((N('My Rota'!$D$6)+2)-1))+2+3,15)))</f>
        <v/>
      </c>
      <c r="P238">
        <f>IF(OR($B238="",(N('My Rota'!$D$6)+2)&gt;53),"",""&amp;CHOOSE(IFERROR(MATCH('My Rota'!$D$5,Setup!$K$33:$K$36,0),1),INDEX('2027'!$A:$Z,(5+50*((N('My Rota'!$D$6)+2)-1))+2+3,16),INDEX('2028'!$A:$Z,(5+50*((N('My Rota'!$D$6)+2)-1))+2+3,16),INDEX('2029'!$A:$Z,(5+50*((N('My Rota'!$D$6)+2)-1))+2+3,16),INDEX('2030'!$A:$Z,(5+50*((N('My Rota'!$D$6)+2)-1))+2+3,16)))</f>
        <v/>
      </c>
      <c r="Q238">
        <f>IF(OR($B238="",(N('My Rota'!$D$6)+2)&gt;53),"",""&amp;CHOOSE(IFERROR(MATCH('My Rota'!$D$5,Setup!$K$33:$K$36,0),1),INDEX('2027'!$A:$Z,(5+50*((N('My Rota'!$D$6)+2)-1))+2+3,17),INDEX('2028'!$A:$Z,(5+50*((N('My Rota'!$D$6)+2)-1))+2+3,17),INDEX('2029'!$A:$Z,(5+50*((N('My Rota'!$D$6)+2)-1))+2+3,17),INDEX('2030'!$A:$Z,(5+50*((N('My Rota'!$D$6)+2)-1))+2+3,17)))</f>
        <v/>
      </c>
      <c r="R238">
        <f>IF(OR($B238="",(N('My Rota'!$D$6)+2)&gt;53),"",""&amp;CHOOSE(IFERROR(MATCH('My Rota'!$D$5,Setup!$K$33:$K$36,0),1),INDEX('2027'!$A:$Z,(5+50*((N('My Rota'!$D$6)+2)-1))+2+3,18),INDEX('2028'!$A:$Z,(5+50*((N('My Rota'!$D$6)+2)-1))+2+3,18),INDEX('2029'!$A:$Z,(5+50*((N('My Rota'!$D$6)+2)-1))+2+3,18),INDEX('2030'!$A:$Z,(5+50*((N('My Rota'!$D$6)+2)-1))+2+3,18)))</f>
        <v/>
      </c>
      <c r="S238">
        <f>IF(OR($B238="",(N('My Rota'!$D$6)+2)&gt;53),"",""&amp;CHOOSE(IFERROR(MATCH('My Rota'!$D$5,Setup!$K$33:$K$36,0),1),INDEX('2027'!$A:$Z,(5+50*((N('My Rota'!$D$6)+2)-1))+2+3,19),INDEX('2028'!$A:$Z,(5+50*((N('My Rota'!$D$6)+2)-1))+2+3,19),INDEX('2029'!$A:$Z,(5+50*((N('My Rota'!$D$6)+2)-1))+2+3,19),INDEX('2030'!$A:$Z,(5+50*((N('My Rota'!$D$6)+2)-1))+2+3,19)))</f>
        <v/>
      </c>
      <c r="T238">
        <f>IF(OR($B238="",(N('My Rota'!$D$6)+2)&gt;53),"",""&amp;CHOOSE(IFERROR(MATCH('My Rota'!$D$5,Setup!$K$33:$K$36,0),1),INDEX('2027'!$A:$Z,(5+50*((N('My Rota'!$D$6)+2)-1))+2+3,20),INDEX('2028'!$A:$Z,(5+50*((N('My Rota'!$D$6)+2)-1))+2+3,20),INDEX('2029'!$A:$Z,(5+50*((N('My Rota'!$D$6)+2)-1))+2+3,20),INDEX('2030'!$A:$Z,(5+50*((N('My Rota'!$D$6)+2)-1))+2+3,20)))</f>
        <v/>
      </c>
      <c r="U238">
        <f>IF(OR($B238="",(N('My Rota'!$D$6)+2)&gt;53),"",""&amp;CHOOSE(IFERROR(MATCH('My Rota'!$D$5,Setup!$K$33:$K$36,0),1),INDEX('2027'!$A:$Z,(5+50*((N('My Rota'!$D$6)+2)-1))+2+3,21),INDEX('2028'!$A:$Z,(5+50*((N('My Rota'!$D$6)+2)-1))+2+3,21),INDEX('2029'!$A:$Z,(5+50*((N('My Rota'!$D$6)+2)-1))+2+3,21),INDEX('2030'!$A:$Z,(5+50*((N('My Rota'!$D$6)+2)-1))+2+3,21)))</f>
        <v/>
      </c>
      <c r="V238">
        <f>IF(OR($B238="",(N('My Rota'!$D$6)+2)&gt;53),"",""&amp;CHOOSE(IFERROR(MATCH('My Rota'!$D$5,Setup!$K$33:$K$36,0),1),INDEX('2027'!$A:$Z,(5+50*((N('My Rota'!$D$6)+2)-1))+2+3,22),INDEX('2028'!$A:$Z,(5+50*((N('My Rota'!$D$6)+2)-1))+2+3,22),INDEX('2029'!$A:$Z,(5+50*((N('My Rota'!$D$6)+2)-1))+2+3,22),INDEX('2030'!$A:$Z,(5+50*((N('My Rota'!$D$6)+2)-1))+2+3,22)))</f>
        <v/>
      </c>
      <c r="W238">
        <f>IF(OR($B238="",(N('My Rota'!$D$6)+2)&gt;53),"",""&amp;CHOOSE(IFERROR(MATCH('My Rota'!$D$5,Setup!$K$33:$K$36,0),1),INDEX('2027'!$A:$Z,(5+50*((N('My Rota'!$D$6)+2)-1))+2+3,23),INDEX('2028'!$A:$Z,(5+50*((N('My Rota'!$D$6)+2)-1))+2+3,23),INDEX('2029'!$A:$Z,(5+50*((N('My Rota'!$D$6)+2)-1))+2+3,23),INDEX('2030'!$A:$Z,(5+50*((N('My Rota'!$D$6)+2)-1))+2+3,23)))</f>
        <v/>
      </c>
      <c r="X238">
        <f>IF(OR($B238="",(N('My Rota'!$D$6)+2)&gt;53),"",""&amp;CHOOSE(IFERROR(MATCH('My Rota'!$D$5,Setup!$K$33:$K$36,0),1),INDEX('2027'!$A:$Z,(5+50*((N('My Rota'!$D$6)+2)-1))+2+3,24),INDEX('2028'!$A:$Z,(5+50*((N('My Rota'!$D$6)+2)-1))+2+3,24),INDEX('2029'!$A:$Z,(5+50*((N('My Rota'!$D$6)+2)-1))+2+3,24),INDEX('2030'!$A:$Z,(5+50*((N('My Rota'!$D$6)+2)-1))+2+3,24)))</f>
        <v/>
      </c>
      <c r="Y238">
        <f>IF(OR($B238="",(N('My Rota'!$D$6)+2)&gt;53),"",""&amp;CHOOSE(IFERROR(MATCH('My Rota'!$D$5,Setup!$K$33:$K$36,0),1),INDEX('2027'!$A:$Z,(5+50*((N('My Rota'!$D$6)+2)-1))+2+3,25),INDEX('2028'!$A:$Z,(5+50*((N('My Rota'!$D$6)+2)-1))+2+3,25),INDEX('2029'!$A:$Z,(5+50*((N('My Rota'!$D$6)+2)-1))+2+3,25),INDEX('2030'!$A:$Z,(5+50*((N('My Rota'!$D$6)+2)-1))+2+3,25)))</f>
        <v/>
      </c>
      <c r="Z238">
        <f>IF(OR($B238="",(N('My Rota'!$D$6)+2)&gt;53),"",""&amp;CHOOSE(IFERROR(MATCH('My Rota'!$D$5,Setup!$K$33:$K$36,0),1),INDEX('2027'!$A:$Z,(5+50*((N('My Rota'!$D$6)+2)-1))+2+3,26),INDEX('2028'!$A:$Z,(5+50*((N('My Rota'!$D$6)+2)-1))+2+3,26),INDEX('2029'!$A:$Z,(5+50*((N('My Rota'!$D$6)+2)-1))+2+3,26),INDEX('2030'!$A:$Z,(5+50*((N('My Rota'!$D$6)+2)-1))+2+3,26)))</f>
        <v/>
      </c>
    </row>
    <row r="239">
      <c r="A239" t="n">
        <v>3</v>
      </c>
      <c r="B239">
        <f>$B$50</f>
        <v/>
      </c>
      <c r="C239">
        <f>IF(OR($B239="",(N('My Rota'!$D$6)+2)&gt;53),"",""&amp;CHOOSE(IFERROR(MATCH('My Rota'!$D$5,Setup!$K$33:$K$36,0),1),INDEX('2027'!$A:$Z,(5+50*((N('My Rota'!$D$6)+2)-1))+2+4,3),INDEX('2028'!$A:$Z,(5+50*((N('My Rota'!$D$6)+2)-1))+2+4,3),INDEX('2029'!$A:$Z,(5+50*((N('My Rota'!$D$6)+2)-1))+2+4,3),INDEX('2030'!$A:$Z,(5+50*((N('My Rota'!$D$6)+2)-1))+2+4,3)))</f>
        <v/>
      </c>
      <c r="D239">
        <f>IF(OR($B239="",(N('My Rota'!$D$6)+2)&gt;53),"",""&amp;CHOOSE(IFERROR(MATCH('My Rota'!$D$5,Setup!$K$33:$K$36,0),1),INDEX('2027'!$A:$Z,(5+50*((N('My Rota'!$D$6)+2)-1))+2+4,4),INDEX('2028'!$A:$Z,(5+50*((N('My Rota'!$D$6)+2)-1))+2+4,4),INDEX('2029'!$A:$Z,(5+50*((N('My Rota'!$D$6)+2)-1))+2+4,4),INDEX('2030'!$A:$Z,(5+50*((N('My Rota'!$D$6)+2)-1))+2+4,4)))</f>
        <v/>
      </c>
      <c r="E239">
        <f>IF(OR($B239="",(N('My Rota'!$D$6)+2)&gt;53),"",""&amp;CHOOSE(IFERROR(MATCH('My Rota'!$D$5,Setup!$K$33:$K$36,0),1),INDEX('2027'!$A:$Z,(5+50*((N('My Rota'!$D$6)+2)-1))+2+4,5),INDEX('2028'!$A:$Z,(5+50*((N('My Rota'!$D$6)+2)-1))+2+4,5),INDEX('2029'!$A:$Z,(5+50*((N('My Rota'!$D$6)+2)-1))+2+4,5),INDEX('2030'!$A:$Z,(5+50*((N('My Rota'!$D$6)+2)-1))+2+4,5)))</f>
        <v/>
      </c>
      <c r="F239">
        <f>IF(OR($B239="",(N('My Rota'!$D$6)+2)&gt;53),"",""&amp;CHOOSE(IFERROR(MATCH('My Rota'!$D$5,Setup!$K$33:$K$36,0),1),INDEX('2027'!$A:$Z,(5+50*((N('My Rota'!$D$6)+2)-1))+2+4,6),INDEX('2028'!$A:$Z,(5+50*((N('My Rota'!$D$6)+2)-1))+2+4,6),INDEX('2029'!$A:$Z,(5+50*((N('My Rota'!$D$6)+2)-1))+2+4,6),INDEX('2030'!$A:$Z,(5+50*((N('My Rota'!$D$6)+2)-1))+2+4,6)))</f>
        <v/>
      </c>
      <c r="G239">
        <f>IF(OR($B239="",(N('My Rota'!$D$6)+2)&gt;53),"",""&amp;CHOOSE(IFERROR(MATCH('My Rota'!$D$5,Setup!$K$33:$K$36,0),1),INDEX('2027'!$A:$Z,(5+50*((N('My Rota'!$D$6)+2)-1))+2+4,7),INDEX('2028'!$A:$Z,(5+50*((N('My Rota'!$D$6)+2)-1))+2+4,7),INDEX('2029'!$A:$Z,(5+50*((N('My Rota'!$D$6)+2)-1))+2+4,7),INDEX('2030'!$A:$Z,(5+50*((N('My Rota'!$D$6)+2)-1))+2+4,7)))</f>
        <v/>
      </c>
      <c r="H239">
        <f>IF(OR($B239="",(N('My Rota'!$D$6)+2)&gt;53),"",""&amp;CHOOSE(IFERROR(MATCH('My Rota'!$D$5,Setup!$K$33:$K$36,0),1),INDEX('2027'!$A:$Z,(5+50*((N('My Rota'!$D$6)+2)-1))+2+4,8),INDEX('2028'!$A:$Z,(5+50*((N('My Rota'!$D$6)+2)-1))+2+4,8),INDEX('2029'!$A:$Z,(5+50*((N('My Rota'!$D$6)+2)-1))+2+4,8),INDEX('2030'!$A:$Z,(5+50*((N('My Rota'!$D$6)+2)-1))+2+4,8)))</f>
        <v/>
      </c>
      <c r="I239">
        <f>IF(OR($B239="",(N('My Rota'!$D$6)+2)&gt;53),"",""&amp;CHOOSE(IFERROR(MATCH('My Rota'!$D$5,Setup!$K$33:$K$36,0),1),INDEX('2027'!$A:$Z,(5+50*((N('My Rota'!$D$6)+2)-1))+2+4,9),INDEX('2028'!$A:$Z,(5+50*((N('My Rota'!$D$6)+2)-1))+2+4,9),INDEX('2029'!$A:$Z,(5+50*((N('My Rota'!$D$6)+2)-1))+2+4,9),INDEX('2030'!$A:$Z,(5+50*((N('My Rota'!$D$6)+2)-1))+2+4,9)))</f>
        <v/>
      </c>
      <c r="J239">
        <f>IF(OR($B239="",(N('My Rota'!$D$6)+2)&gt;53),"",""&amp;CHOOSE(IFERROR(MATCH('My Rota'!$D$5,Setup!$K$33:$K$36,0),1),INDEX('2027'!$A:$Z,(5+50*((N('My Rota'!$D$6)+2)-1))+2+4,10),INDEX('2028'!$A:$Z,(5+50*((N('My Rota'!$D$6)+2)-1))+2+4,10),INDEX('2029'!$A:$Z,(5+50*((N('My Rota'!$D$6)+2)-1))+2+4,10),INDEX('2030'!$A:$Z,(5+50*((N('My Rota'!$D$6)+2)-1))+2+4,10)))</f>
        <v/>
      </c>
      <c r="K239">
        <f>IF(OR($B239="",(N('My Rota'!$D$6)+2)&gt;53),"",""&amp;CHOOSE(IFERROR(MATCH('My Rota'!$D$5,Setup!$K$33:$K$36,0),1),INDEX('2027'!$A:$Z,(5+50*((N('My Rota'!$D$6)+2)-1))+2+4,11),INDEX('2028'!$A:$Z,(5+50*((N('My Rota'!$D$6)+2)-1))+2+4,11),INDEX('2029'!$A:$Z,(5+50*((N('My Rota'!$D$6)+2)-1))+2+4,11),INDEX('2030'!$A:$Z,(5+50*((N('My Rota'!$D$6)+2)-1))+2+4,11)))</f>
        <v/>
      </c>
      <c r="L239">
        <f>IF(OR($B239="",(N('My Rota'!$D$6)+2)&gt;53),"",""&amp;CHOOSE(IFERROR(MATCH('My Rota'!$D$5,Setup!$K$33:$K$36,0),1),INDEX('2027'!$A:$Z,(5+50*((N('My Rota'!$D$6)+2)-1))+2+4,12),INDEX('2028'!$A:$Z,(5+50*((N('My Rota'!$D$6)+2)-1))+2+4,12),INDEX('2029'!$A:$Z,(5+50*((N('My Rota'!$D$6)+2)-1))+2+4,12),INDEX('2030'!$A:$Z,(5+50*((N('My Rota'!$D$6)+2)-1))+2+4,12)))</f>
        <v/>
      </c>
      <c r="M239">
        <f>IF(OR($B239="",(N('My Rota'!$D$6)+2)&gt;53),"",""&amp;CHOOSE(IFERROR(MATCH('My Rota'!$D$5,Setup!$K$33:$K$36,0),1),INDEX('2027'!$A:$Z,(5+50*((N('My Rota'!$D$6)+2)-1))+2+4,13),INDEX('2028'!$A:$Z,(5+50*((N('My Rota'!$D$6)+2)-1))+2+4,13),INDEX('2029'!$A:$Z,(5+50*((N('My Rota'!$D$6)+2)-1))+2+4,13),INDEX('2030'!$A:$Z,(5+50*((N('My Rota'!$D$6)+2)-1))+2+4,13)))</f>
        <v/>
      </c>
      <c r="N239">
        <f>IF(OR($B239="",(N('My Rota'!$D$6)+2)&gt;53),"",""&amp;CHOOSE(IFERROR(MATCH('My Rota'!$D$5,Setup!$K$33:$K$36,0),1),INDEX('2027'!$A:$Z,(5+50*((N('My Rota'!$D$6)+2)-1))+2+4,14),INDEX('2028'!$A:$Z,(5+50*((N('My Rota'!$D$6)+2)-1))+2+4,14),INDEX('2029'!$A:$Z,(5+50*((N('My Rota'!$D$6)+2)-1))+2+4,14),INDEX('2030'!$A:$Z,(5+50*((N('My Rota'!$D$6)+2)-1))+2+4,14)))</f>
        <v/>
      </c>
      <c r="O239">
        <f>IF(OR($B239="",(N('My Rota'!$D$6)+2)&gt;53),"",""&amp;CHOOSE(IFERROR(MATCH('My Rota'!$D$5,Setup!$K$33:$K$36,0),1),INDEX('2027'!$A:$Z,(5+50*((N('My Rota'!$D$6)+2)-1))+2+4,15),INDEX('2028'!$A:$Z,(5+50*((N('My Rota'!$D$6)+2)-1))+2+4,15),INDEX('2029'!$A:$Z,(5+50*((N('My Rota'!$D$6)+2)-1))+2+4,15),INDEX('2030'!$A:$Z,(5+50*((N('My Rota'!$D$6)+2)-1))+2+4,15)))</f>
        <v/>
      </c>
      <c r="P239">
        <f>IF(OR($B239="",(N('My Rota'!$D$6)+2)&gt;53),"",""&amp;CHOOSE(IFERROR(MATCH('My Rota'!$D$5,Setup!$K$33:$K$36,0),1),INDEX('2027'!$A:$Z,(5+50*((N('My Rota'!$D$6)+2)-1))+2+4,16),INDEX('2028'!$A:$Z,(5+50*((N('My Rota'!$D$6)+2)-1))+2+4,16),INDEX('2029'!$A:$Z,(5+50*((N('My Rota'!$D$6)+2)-1))+2+4,16),INDEX('2030'!$A:$Z,(5+50*((N('My Rota'!$D$6)+2)-1))+2+4,16)))</f>
        <v/>
      </c>
      <c r="Q239">
        <f>IF(OR($B239="",(N('My Rota'!$D$6)+2)&gt;53),"",""&amp;CHOOSE(IFERROR(MATCH('My Rota'!$D$5,Setup!$K$33:$K$36,0),1),INDEX('2027'!$A:$Z,(5+50*((N('My Rota'!$D$6)+2)-1))+2+4,17),INDEX('2028'!$A:$Z,(5+50*((N('My Rota'!$D$6)+2)-1))+2+4,17),INDEX('2029'!$A:$Z,(5+50*((N('My Rota'!$D$6)+2)-1))+2+4,17),INDEX('2030'!$A:$Z,(5+50*((N('My Rota'!$D$6)+2)-1))+2+4,17)))</f>
        <v/>
      </c>
      <c r="R239">
        <f>IF(OR($B239="",(N('My Rota'!$D$6)+2)&gt;53),"",""&amp;CHOOSE(IFERROR(MATCH('My Rota'!$D$5,Setup!$K$33:$K$36,0),1),INDEX('2027'!$A:$Z,(5+50*((N('My Rota'!$D$6)+2)-1))+2+4,18),INDEX('2028'!$A:$Z,(5+50*((N('My Rota'!$D$6)+2)-1))+2+4,18),INDEX('2029'!$A:$Z,(5+50*((N('My Rota'!$D$6)+2)-1))+2+4,18),INDEX('2030'!$A:$Z,(5+50*((N('My Rota'!$D$6)+2)-1))+2+4,18)))</f>
        <v/>
      </c>
      <c r="S239">
        <f>IF(OR($B239="",(N('My Rota'!$D$6)+2)&gt;53),"",""&amp;CHOOSE(IFERROR(MATCH('My Rota'!$D$5,Setup!$K$33:$K$36,0),1),INDEX('2027'!$A:$Z,(5+50*((N('My Rota'!$D$6)+2)-1))+2+4,19),INDEX('2028'!$A:$Z,(5+50*((N('My Rota'!$D$6)+2)-1))+2+4,19),INDEX('2029'!$A:$Z,(5+50*((N('My Rota'!$D$6)+2)-1))+2+4,19),INDEX('2030'!$A:$Z,(5+50*((N('My Rota'!$D$6)+2)-1))+2+4,19)))</f>
        <v/>
      </c>
      <c r="T239">
        <f>IF(OR($B239="",(N('My Rota'!$D$6)+2)&gt;53),"",""&amp;CHOOSE(IFERROR(MATCH('My Rota'!$D$5,Setup!$K$33:$K$36,0),1),INDEX('2027'!$A:$Z,(5+50*((N('My Rota'!$D$6)+2)-1))+2+4,20),INDEX('2028'!$A:$Z,(5+50*((N('My Rota'!$D$6)+2)-1))+2+4,20),INDEX('2029'!$A:$Z,(5+50*((N('My Rota'!$D$6)+2)-1))+2+4,20),INDEX('2030'!$A:$Z,(5+50*((N('My Rota'!$D$6)+2)-1))+2+4,20)))</f>
        <v/>
      </c>
      <c r="U239">
        <f>IF(OR($B239="",(N('My Rota'!$D$6)+2)&gt;53),"",""&amp;CHOOSE(IFERROR(MATCH('My Rota'!$D$5,Setup!$K$33:$K$36,0),1),INDEX('2027'!$A:$Z,(5+50*((N('My Rota'!$D$6)+2)-1))+2+4,21),INDEX('2028'!$A:$Z,(5+50*((N('My Rota'!$D$6)+2)-1))+2+4,21),INDEX('2029'!$A:$Z,(5+50*((N('My Rota'!$D$6)+2)-1))+2+4,21),INDEX('2030'!$A:$Z,(5+50*((N('My Rota'!$D$6)+2)-1))+2+4,21)))</f>
        <v/>
      </c>
      <c r="V239">
        <f>IF(OR($B239="",(N('My Rota'!$D$6)+2)&gt;53),"",""&amp;CHOOSE(IFERROR(MATCH('My Rota'!$D$5,Setup!$K$33:$K$36,0),1),INDEX('2027'!$A:$Z,(5+50*((N('My Rota'!$D$6)+2)-1))+2+4,22),INDEX('2028'!$A:$Z,(5+50*((N('My Rota'!$D$6)+2)-1))+2+4,22),INDEX('2029'!$A:$Z,(5+50*((N('My Rota'!$D$6)+2)-1))+2+4,22),INDEX('2030'!$A:$Z,(5+50*((N('My Rota'!$D$6)+2)-1))+2+4,22)))</f>
        <v/>
      </c>
      <c r="W239">
        <f>IF(OR($B239="",(N('My Rota'!$D$6)+2)&gt;53),"",""&amp;CHOOSE(IFERROR(MATCH('My Rota'!$D$5,Setup!$K$33:$K$36,0),1),INDEX('2027'!$A:$Z,(5+50*((N('My Rota'!$D$6)+2)-1))+2+4,23),INDEX('2028'!$A:$Z,(5+50*((N('My Rota'!$D$6)+2)-1))+2+4,23),INDEX('2029'!$A:$Z,(5+50*((N('My Rota'!$D$6)+2)-1))+2+4,23),INDEX('2030'!$A:$Z,(5+50*((N('My Rota'!$D$6)+2)-1))+2+4,23)))</f>
        <v/>
      </c>
      <c r="X239">
        <f>IF(OR($B239="",(N('My Rota'!$D$6)+2)&gt;53),"",""&amp;CHOOSE(IFERROR(MATCH('My Rota'!$D$5,Setup!$K$33:$K$36,0),1),INDEX('2027'!$A:$Z,(5+50*((N('My Rota'!$D$6)+2)-1))+2+4,24),INDEX('2028'!$A:$Z,(5+50*((N('My Rota'!$D$6)+2)-1))+2+4,24),INDEX('2029'!$A:$Z,(5+50*((N('My Rota'!$D$6)+2)-1))+2+4,24),INDEX('2030'!$A:$Z,(5+50*((N('My Rota'!$D$6)+2)-1))+2+4,24)))</f>
        <v/>
      </c>
      <c r="Y239">
        <f>IF(OR($B239="",(N('My Rota'!$D$6)+2)&gt;53),"",""&amp;CHOOSE(IFERROR(MATCH('My Rota'!$D$5,Setup!$K$33:$K$36,0),1),INDEX('2027'!$A:$Z,(5+50*((N('My Rota'!$D$6)+2)-1))+2+4,25),INDEX('2028'!$A:$Z,(5+50*((N('My Rota'!$D$6)+2)-1))+2+4,25),INDEX('2029'!$A:$Z,(5+50*((N('My Rota'!$D$6)+2)-1))+2+4,25),INDEX('2030'!$A:$Z,(5+50*((N('My Rota'!$D$6)+2)-1))+2+4,25)))</f>
        <v/>
      </c>
      <c r="Z239">
        <f>IF(OR($B239="",(N('My Rota'!$D$6)+2)&gt;53),"",""&amp;CHOOSE(IFERROR(MATCH('My Rota'!$D$5,Setup!$K$33:$K$36,0),1),INDEX('2027'!$A:$Z,(5+50*((N('My Rota'!$D$6)+2)-1))+2+4,26),INDEX('2028'!$A:$Z,(5+50*((N('My Rota'!$D$6)+2)-1))+2+4,26),INDEX('2029'!$A:$Z,(5+50*((N('My Rota'!$D$6)+2)-1))+2+4,26),INDEX('2030'!$A:$Z,(5+50*((N('My Rota'!$D$6)+2)-1))+2+4,26)))</f>
        <v/>
      </c>
    </row>
    <row r="240">
      <c r="A240" t="n">
        <v>3</v>
      </c>
      <c r="B240">
        <f>$B$51</f>
        <v/>
      </c>
      <c r="C240">
        <f>IF(OR($B240="",(N('My Rota'!$D$6)+2)&gt;53),"",""&amp;CHOOSE(IFERROR(MATCH('My Rota'!$D$5,Setup!$K$33:$K$36,0),1),INDEX('2027'!$A:$Z,(5+50*((N('My Rota'!$D$6)+2)-1))+2+5,3),INDEX('2028'!$A:$Z,(5+50*((N('My Rota'!$D$6)+2)-1))+2+5,3),INDEX('2029'!$A:$Z,(5+50*((N('My Rota'!$D$6)+2)-1))+2+5,3),INDEX('2030'!$A:$Z,(5+50*((N('My Rota'!$D$6)+2)-1))+2+5,3)))</f>
        <v/>
      </c>
      <c r="D240">
        <f>IF(OR($B240="",(N('My Rota'!$D$6)+2)&gt;53),"",""&amp;CHOOSE(IFERROR(MATCH('My Rota'!$D$5,Setup!$K$33:$K$36,0),1),INDEX('2027'!$A:$Z,(5+50*((N('My Rota'!$D$6)+2)-1))+2+5,4),INDEX('2028'!$A:$Z,(5+50*((N('My Rota'!$D$6)+2)-1))+2+5,4),INDEX('2029'!$A:$Z,(5+50*((N('My Rota'!$D$6)+2)-1))+2+5,4),INDEX('2030'!$A:$Z,(5+50*((N('My Rota'!$D$6)+2)-1))+2+5,4)))</f>
        <v/>
      </c>
      <c r="E240">
        <f>IF(OR($B240="",(N('My Rota'!$D$6)+2)&gt;53),"",""&amp;CHOOSE(IFERROR(MATCH('My Rota'!$D$5,Setup!$K$33:$K$36,0),1),INDEX('2027'!$A:$Z,(5+50*((N('My Rota'!$D$6)+2)-1))+2+5,5),INDEX('2028'!$A:$Z,(5+50*((N('My Rota'!$D$6)+2)-1))+2+5,5),INDEX('2029'!$A:$Z,(5+50*((N('My Rota'!$D$6)+2)-1))+2+5,5),INDEX('2030'!$A:$Z,(5+50*((N('My Rota'!$D$6)+2)-1))+2+5,5)))</f>
        <v/>
      </c>
      <c r="F240">
        <f>IF(OR($B240="",(N('My Rota'!$D$6)+2)&gt;53),"",""&amp;CHOOSE(IFERROR(MATCH('My Rota'!$D$5,Setup!$K$33:$K$36,0),1),INDEX('2027'!$A:$Z,(5+50*((N('My Rota'!$D$6)+2)-1))+2+5,6),INDEX('2028'!$A:$Z,(5+50*((N('My Rota'!$D$6)+2)-1))+2+5,6),INDEX('2029'!$A:$Z,(5+50*((N('My Rota'!$D$6)+2)-1))+2+5,6),INDEX('2030'!$A:$Z,(5+50*((N('My Rota'!$D$6)+2)-1))+2+5,6)))</f>
        <v/>
      </c>
      <c r="G240">
        <f>IF(OR($B240="",(N('My Rota'!$D$6)+2)&gt;53),"",""&amp;CHOOSE(IFERROR(MATCH('My Rota'!$D$5,Setup!$K$33:$K$36,0),1),INDEX('2027'!$A:$Z,(5+50*((N('My Rota'!$D$6)+2)-1))+2+5,7),INDEX('2028'!$A:$Z,(5+50*((N('My Rota'!$D$6)+2)-1))+2+5,7),INDEX('2029'!$A:$Z,(5+50*((N('My Rota'!$D$6)+2)-1))+2+5,7),INDEX('2030'!$A:$Z,(5+50*((N('My Rota'!$D$6)+2)-1))+2+5,7)))</f>
        <v/>
      </c>
      <c r="H240">
        <f>IF(OR($B240="",(N('My Rota'!$D$6)+2)&gt;53),"",""&amp;CHOOSE(IFERROR(MATCH('My Rota'!$D$5,Setup!$K$33:$K$36,0),1),INDEX('2027'!$A:$Z,(5+50*((N('My Rota'!$D$6)+2)-1))+2+5,8),INDEX('2028'!$A:$Z,(5+50*((N('My Rota'!$D$6)+2)-1))+2+5,8),INDEX('2029'!$A:$Z,(5+50*((N('My Rota'!$D$6)+2)-1))+2+5,8),INDEX('2030'!$A:$Z,(5+50*((N('My Rota'!$D$6)+2)-1))+2+5,8)))</f>
        <v/>
      </c>
      <c r="I240">
        <f>IF(OR($B240="",(N('My Rota'!$D$6)+2)&gt;53),"",""&amp;CHOOSE(IFERROR(MATCH('My Rota'!$D$5,Setup!$K$33:$K$36,0),1),INDEX('2027'!$A:$Z,(5+50*((N('My Rota'!$D$6)+2)-1))+2+5,9),INDEX('2028'!$A:$Z,(5+50*((N('My Rota'!$D$6)+2)-1))+2+5,9),INDEX('2029'!$A:$Z,(5+50*((N('My Rota'!$D$6)+2)-1))+2+5,9),INDEX('2030'!$A:$Z,(5+50*((N('My Rota'!$D$6)+2)-1))+2+5,9)))</f>
        <v/>
      </c>
      <c r="J240">
        <f>IF(OR($B240="",(N('My Rota'!$D$6)+2)&gt;53),"",""&amp;CHOOSE(IFERROR(MATCH('My Rota'!$D$5,Setup!$K$33:$K$36,0),1),INDEX('2027'!$A:$Z,(5+50*((N('My Rota'!$D$6)+2)-1))+2+5,10),INDEX('2028'!$A:$Z,(5+50*((N('My Rota'!$D$6)+2)-1))+2+5,10),INDEX('2029'!$A:$Z,(5+50*((N('My Rota'!$D$6)+2)-1))+2+5,10),INDEX('2030'!$A:$Z,(5+50*((N('My Rota'!$D$6)+2)-1))+2+5,10)))</f>
        <v/>
      </c>
      <c r="K240">
        <f>IF(OR($B240="",(N('My Rota'!$D$6)+2)&gt;53),"",""&amp;CHOOSE(IFERROR(MATCH('My Rota'!$D$5,Setup!$K$33:$K$36,0),1),INDEX('2027'!$A:$Z,(5+50*((N('My Rota'!$D$6)+2)-1))+2+5,11),INDEX('2028'!$A:$Z,(5+50*((N('My Rota'!$D$6)+2)-1))+2+5,11),INDEX('2029'!$A:$Z,(5+50*((N('My Rota'!$D$6)+2)-1))+2+5,11),INDEX('2030'!$A:$Z,(5+50*((N('My Rota'!$D$6)+2)-1))+2+5,11)))</f>
        <v/>
      </c>
      <c r="L240">
        <f>IF(OR($B240="",(N('My Rota'!$D$6)+2)&gt;53),"",""&amp;CHOOSE(IFERROR(MATCH('My Rota'!$D$5,Setup!$K$33:$K$36,0),1),INDEX('2027'!$A:$Z,(5+50*((N('My Rota'!$D$6)+2)-1))+2+5,12),INDEX('2028'!$A:$Z,(5+50*((N('My Rota'!$D$6)+2)-1))+2+5,12),INDEX('2029'!$A:$Z,(5+50*((N('My Rota'!$D$6)+2)-1))+2+5,12),INDEX('2030'!$A:$Z,(5+50*((N('My Rota'!$D$6)+2)-1))+2+5,12)))</f>
        <v/>
      </c>
      <c r="M240">
        <f>IF(OR($B240="",(N('My Rota'!$D$6)+2)&gt;53),"",""&amp;CHOOSE(IFERROR(MATCH('My Rota'!$D$5,Setup!$K$33:$K$36,0),1),INDEX('2027'!$A:$Z,(5+50*((N('My Rota'!$D$6)+2)-1))+2+5,13),INDEX('2028'!$A:$Z,(5+50*((N('My Rota'!$D$6)+2)-1))+2+5,13),INDEX('2029'!$A:$Z,(5+50*((N('My Rota'!$D$6)+2)-1))+2+5,13),INDEX('2030'!$A:$Z,(5+50*((N('My Rota'!$D$6)+2)-1))+2+5,13)))</f>
        <v/>
      </c>
      <c r="N240">
        <f>IF(OR($B240="",(N('My Rota'!$D$6)+2)&gt;53),"",""&amp;CHOOSE(IFERROR(MATCH('My Rota'!$D$5,Setup!$K$33:$K$36,0),1),INDEX('2027'!$A:$Z,(5+50*((N('My Rota'!$D$6)+2)-1))+2+5,14),INDEX('2028'!$A:$Z,(5+50*((N('My Rota'!$D$6)+2)-1))+2+5,14),INDEX('2029'!$A:$Z,(5+50*((N('My Rota'!$D$6)+2)-1))+2+5,14),INDEX('2030'!$A:$Z,(5+50*((N('My Rota'!$D$6)+2)-1))+2+5,14)))</f>
        <v/>
      </c>
      <c r="O240">
        <f>IF(OR($B240="",(N('My Rota'!$D$6)+2)&gt;53),"",""&amp;CHOOSE(IFERROR(MATCH('My Rota'!$D$5,Setup!$K$33:$K$36,0),1),INDEX('2027'!$A:$Z,(5+50*((N('My Rota'!$D$6)+2)-1))+2+5,15),INDEX('2028'!$A:$Z,(5+50*((N('My Rota'!$D$6)+2)-1))+2+5,15),INDEX('2029'!$A:$Z,(5+50*((N('My Rota'!$D$6)+2)-1))+2+5,15),INDEX('2030'!$A:$Z,(5+50*((N('My Rota'!$D$6)+2)-1))+2+5,15)))</f>
        <v/>
      </c>
      <c r="P240">
        <f>IF(OR($B240="",(N('My Rota'!$D$6)+2)&gt;53),"",""&amp;CHOOSE(IFERROR(MATCH('My Rota'!$D$5,Setup!$K$33:$K$36,0),1),INDEX('2027'!$A:$Z,(5+50*((N('My Rota'!$D$6)+2)-1))+2+5,16),INDEX('2028'!$A:$Z,(5+50*((N('My Rota'!$D$6)+2)-1))+2+5,16),INDEX('2029'!$A:$Z,(5+50*((N('My Rota'!$D$6)+2)-1))+2+5,16),INDEX('2030'!$A:$Z,(5+50*((N('My Rota'!$D$6)+2)-1))+2+5,16)))</f>
        <v/>
      </c>
      <c r="Q240">
        <f>IF(OR($B240="",(N('My Rota'!$D$6)+2)&gt;53),"",""&amp;CHOOSE(IFERROR(MATCH('My Rota'!$D$5,Setup!$K$33:$K$36,0),1),INDEX('2027'!$A:$Z,(5+50*((N('My Rota'!$D$6)+2)-1))+2+5,17),INDEX('2028'!$A:$Z,(5+50*((N('My Rota'!$D$6)+2)-1))+2+5,17),INDEX('2029'!$A:$Z,(5+50*((N('My Rota'!$D$6)+2)-1))+2+5,17),INDEX('2030'!$A:$Z,(5+50*((N('My Rota'!$D$6)+2)-1))+2+5,17)))</f>
        <v/>
      </c>
      <c r="R240">
        <f>IF(OR($B240="",(N('My Rota'!$D$6)+2)&gt;53),"",""&amp;CHOOSE(IFERROR(MATCH('My Rota'!$D$5,Setup!$K$33:$K$36,0),1),INDEX('2027'!$A:$Z,(5+50*((N('My Rota'!$D$6)+2)-1))+2+5,18),INDEX('2028'!$A:$Z,(5+50*((N('My Rota'!$D$6)+2)-1))+2+5,18),INDEX('2029'!$A:$Z,(5+50*((N('My Rota'!$D$6)+2)-1))+2+5,18),INDEX('2030'!$A:$Z,(5+50*((N('My Rota'!$D$6)+2)-1))+2+5,18)))</f>
        <v/>
      </c>
      <c r="S240">
        <f>IF(OR($B240="",(N('My Rota'!$D$6)+2)&gt;53),"",""&amp;CHOOSE(IFERROR(MATCH('My Rota'!$D$5,Setup!$K$33:$K$36,0),1),INDEX('2027'!$A:$Z,(5+50*((N('My Rota'!$D$6)+2)-1))+2+5,19),INDEX('2028'!$A:$Z,(5+50*((N('My Rota'!$D$6)+2)-1))+2+5,19),INDEX('2029'!$A:$Z,(5+50*((N('My Rota'!$D$6)+2)-1))+2+5,19),INDEX('2030'!$A:$Z,(5+50*((N('My Rota'!$D$6)+2)-1))+2+5,19)))</f>
        <v/>
      </c>
      <c r="T240">
        <f>IF(OR($B240="",(N('My Rota'!$D$6)+2)&gt;53),"",""&amp;CHOOSE(IFERROR(MATCH('My Rota'!$D$5,Setup!$K$33:$K$36,0),1),INDEX('2027'!$A:$Z,(5+50*((N('My Rota'!$D$6)+2)-1))+2+5,20),INDEX('2028'!$A:$Z,(5+50*((N('My Rota'!$D$6)+2)-1))+2+5,20),INDEX('2029'!$A:$Z,(5+50*((N('My Rota'!$D$6)+2)-1))+2+5,20),INDEX('2030'!$A:$Z,(5+50*((N('My Rota'!$D$6)+2)-1))+2+5,20)))</f>
        <v/>
      </c>
      <c r="U240">
        <f>IF(OR($B240="",(N('My Rota'!$D$6)+2)&gt;53),"",""&amp;CHOOSE(IFERROR(MATCH('My Rota'!$D$5,Setup!$K$33:$K$36,0),1),INDEX('2027'!$A:$Z,(5+50*((N('My Rota'!$D$6)+2)-1))+2+5,21),INDEX('2028'!$A:$Z,(5+50*((N('My Rota'!$D$6)+2)-1))+2+5,21),INDEX('2029'!$A:$Z,(5+50*((N('My Rota'!$D$6)+2)-1))+2+5,21),INDEX('2030'!$A:$Z,(5+50*((N('My Rota'!$D$6)+2)-1))+2+5,21)))</f>
        <v/>
      </c>
      <c r="V240">
        <f>IF(OR($B240="",(N('My Rota'!$D$6)+2)&gt;53),"",""&amp;CHOOSE(IFERROR(MATCH('My Rota'!$D$5,Setup!$K$33:$K$36,0),1),INDEX('2027'!$A:$Z,(5+50*((N('My Rota'!$D$6)+2)-1))+2+5,22),INDEX('2028'!$A:$Z,(5+50*((N('My Rota'!$D$6)+2)-1))+2+5,22),INDEX('2029'!$A:$Z,(5+50*((N('My Rota'!$D$6)+2)-1))+2+5,22),INDEX('2030'!$A:$Z,(5+50*((N('My Rota'!$D$6)+2)-1))+2+5,22)))</f>
        <v/>
      </c>
      <c r="W240">
        <f>IF(OR($B240="",(N('My Rota'!$D$6)+2)&gt;53),"",""&amp;CHOOSE(IFERROR(MATCH('My Rota'!$D$5,Setup!$K$33:$K$36,0),1),INDEX('2027'!$A:$Z,(5+50*((N('My Rota'!$D$6)+2)-1))+2+5,23),INDEX('2028'!$A:$Z,(5+50*((N('My Rota'!$D$6)+2)-1))+2+5,23),INDEX('2029'!$A:$Z,(5+50*((N('My Rota'!$D$6)+2)-1))+2+5,23),INDEX('2030'!$A:$Z,(5+50*((N('My Rota'!$D$6)+2)-1))+2+5,23)))</f>
        <v/>
      </c>
      <c r="X240">
        <f>IF(OR($B240="",(N('My Rota'!$D$6)+2)&gt;53),"",""&amp;CHOOSE(IFERROR(MATCH('My Rota'!$D$5,Setup!$K$33:$K$36,0),1),INDEX('2027'!$A:$Z,(5+50*((N('My Rota'!$D$6)+2)-1))+2+5,24),INDEX('2028'!$A:$Z,(5+50*((N('My Rota'!$D$6)+2)-1))+2+5,24),INDEX('2029'!$A:$Z,(5+50*((N('My Rota'!$D$6)+2)-1))+2+5,24),INDEX('2030'!$A:$Z,(5+50*((N('My Rota'!$D$6)+2)-1))+2+5,24)))</f>
        <v/>
      </c>
      <c r="Y240">
        <f>IF(OR($B240="",(N('My Rota'!$D$6)+2)&gt;53),"",""&amp;CHOOSE(IFERROR(MATCH('My Rota'!$D$5,Setup!$K$33:$K$36,0),1),INDEX('2027'!$A:$Z,(5+50*((N('My Rota'!$D$6)+2)-1))+2+5,25),INDEX('2028'!$A:$Z,(5+50*((N('My Rota'!$D$6)+2)-1))+2+5,25),INDEX('2029'!$A:$Z,(5+50*((N('My Rota'!$D$6)+2)-1))+2+5,25),INDEX('2030'!$A:$Z,(5+50*((N('My Rota'!$D$6)+2)-1))+2+5,25)))</f>
        <v/>
      </c>
      <c r="Z240">
        <f>IF(OR($B240="",(N('My Rota'!$D$6)+2)&gt;53),"",""&amp;CHOOSE(IFERROR(MATCH('My Rota'!$D$5,Setup!$K$33:$K$36,0),1),INDEX('2027'!$A:$Z,(5+50*((N('My Rota'!$D$6)+2)-1))+2+5,26),INDEX('2028'!$A:$Z,(5+50*((N('My Rota'!$D$6)+2)-1))+2+5,26),INDEX('2029'!$A:$Z,(5+50*((N('My Rota'!$D$6)+2)-1))+2+5,26),INDEX('2030'!$A:$Z,(5+50*((N('My Rota'!$D$6)+2)-1))+2+5,26)))</f>
        <v/>
      </c>
    </row>
    <row r="241">
      <c r="A241" t="n">
        <v>3</v>
      </c>
      <c r="B241">
        <f>$B$52</f>
        <v/>
      </c>
      <c r="C241">
        <f>IF(OR($B241="",(N('My Rota'!$D$6)+2)&gt;53),"",""&amp;CHOOSE(IFERROR(MATCH('My Rota'!$D$5,Setup!$K$33:$K$36,0),1),INDEX('2027'!$A:$Z,(5+50*((N('My Rota'!$D$6)+2)-1))+2+6,3),INDEX('2028'!$A:$Z,(5+50*((N('My Rota'!$D$6)+2)-1))+2+6,3),INDEX('2029'!$A:$Z,(5+50*((N('My Rota'!$D$6)+2)-1))+2+6,3),INDEX('2030'!$A:$Z,(5+50*((N('My Rota'!$D$6)+2)-1))+2+6,3)))</f>
        <v/>
      </c>
      <c r="D241">
        <f>IF(OR($B241="",(N('My Rota'!$D$6)+2)&gt;53),"",""&amp;CHOOSE(IFERROR(MATCH('My Rota'!$D$5,Setup!$K$33:$K$36,0),1),INDEX('2027'!$A:$Z,(5+50*((N('My Rota'!$D$6)+2)-1))+2+6,4),INDEX('2028'!$A:$Z,(5+50*((N('My Rota'!$D$6)+2)-1))+2+6,4),INDEX('2029'!$A:$Z,(5+50*((N('My Rota'!$D$6)+2)-1))+2+6,4),INDEX('2030'!$A:$Z,(5+50*((N('My Rota'!$D$6)+2)-1))+2+6,4)))</f>
        <v/>
      </c>
      <c r="E241">
        <f>IF(OR($B241="",(N('My Rota'!$D$6)+2)&gt;53),"",""&amp;CHOOSE(IFERROR(MATCH('My Rota'!$D$5,Setup!$K$33:$K$36,0),1),INDEX('2027'!$A:$Z,(5+50*((N('My Rota'!$D$6)+2)-1))+2+6,5),INDEX('2028'!$A:$Z,(5+50*((N('My Rota'!$D$6)+2)-1))+2+6,5),INDEX('2029'!$A:$Z,(5+50*((N('My Rota'!$D$6)+2)-1))+2+6,5),INDEX('2030'!$A:$Z,(5+50*((N('My Rota'!$D$6)+2)-1))+2+6,5)))</f>
        <v/>
      </c>
      <c r="F241">
        <f>IF(OR($B241="",(N('My Rota'!$D$6)+2)&gt;53),"",""&amp;CHOOSE(IFERROR(MATCH('My Rota'!$D$5,Setup!$K$33:$K$36,0),1),INDEX('2027'!$A:$Z,(5+50*((N('My Rota'!$D$6)+2)-1))+2+6,6),INDEX('2028'!$A:$Z,(5+50*((N('My Rota'!$D$6)+2)-1))+2+6,6),INDEX('2029'!$A:$Z,(5+50*((N('My Rota'!$D$6)+2)-1))+2+6,6),INDEX('2030'!$A:$Z,(5+50*((N('My Rota'!$D$6)+2)-1))+2+6,6)))</f>
        <v/>
      </c>
      <c r="G241">
        <f>IF(OR($B241="",(N('My Rota'!$D$6)+2)&gt;53),"",""&amp;CHOOSE(IFERROR(MATCH('My Rota'!$D$5,Setup!$K$33:$K$36,0),1),INDEX('2027'!$A:$Z,(5+50*((N('My Rota'!$D$6)+2)-1))+2+6,7),INDEX('2028'!$A:$Z,(5+50*((N('My Rota'!$D$6)+2)-1))+2+6,7),INDEX('2029'!$A:$Z,(5+50*((N('My Rota'!$D$6)+2)-1))+2+6,7),INDEX('2030'!$A:$Z,(5+50*((N('My Rota'!$D$6)+2)-1))+2+6,7)))</f>
        <v/>
      </c>
      <c r="H241">
        <f>IF(OR($B241="",(N('My Rota'!$D$6)+2)&gt;53),"",""&amp;CHOOSE(IFERROR(MATCH('My Rota'!$D$5,Setup!$K$33:$K$36,0),1),INDEX('2027'!$A:$Z,(5+50*((N('My Rota'!$D$6)+2)-1))+2+6,8),INDEX('2028'!$A:$Z,(5+50*((N('My Rota'!$D$6)+2)-1))+2+6,8),INDEX('2029'!$A:$Z,(5+50*((N('My Rota'!$D$6)+2)-1))+2+6,8),INDEX('2030'!$A:$Z,(5+50*((N('My Rota'!$D$6)+2)-1))+2+6,8)))</f>
        <v/>
      </c>
      <c r="I241">
        <f>IF(OR($B241="",(N('My Rota'!$D$6)+2)&gt;53),"",""&amp;CHOOSE(IFERROR(MATCH('My Rota'!$D$5,Setup!$K$33:$K$36,0),1),INDEX('2027'!$A:$Z,(5+50*((N('My Rota'!$D$6)+2)-1))+2+6,9),INDEX('2028'!$A:$Z,(5+50*((N('My Rota'!$D$6)+2)-1))+2+6,9),INDEX('2029'!$A:$Z,(5+50*((N('My Rota'!$D$6)+2)-1))+2+6,9),INDEX('2030'!$A:$Z,(5+50*((N('My Rota'!$D$6)+2)-1))+2+6,9)))</f>
        <v/>
      </c>
      <c r="J241">
        <f>IF(OR($B241="",(N('My Rota'!$D$6)+2)&gt;53),"",""&amp;CHOOSE(IFERROR(MATCH('My Rota'!$D$5,Setup!$K$33:$K$36,0),1),INDEX('2027'!$A:$Z,(5+50*((N('My Rota'!$D$6)+2)-1))+2+6,10),INDEX('2028'!$A:$Z,(5+50*((N('My Rota'!$D$6)+2)-1))+2+6,10),INDEX('2029'!$A:$Z,(5+50*((N('My Rota'!$D$6)+2)-1))+2+6,10),INDEX('2030'!$A:$Z,(5+50*((N('My Rota'!$D$6)+2)-1))+2+6,10)))</f>
        <v/>
      </c>
      <c r="K241">
        <f>IF(OR($B241="",(N('My Rota'!$D$6)+2)&gt;53),"",""&amp;CHOOSE(IFERROR(MATCH('My Rota'!$D$5,Setup!$K$33:$K$36,0),1),INDEX('2027'!$A:$Z,(5+50*((N('My Rota'!$D$6)+2)-1))+2+6,11),INDEX('2028'!$A:$Z,(5+50*((N('My Rota'!$D$6)+2)-1))+2+6,11),INDEX('2029'!$A:$Z,(5+50*((N('My Rota'!$D$6)+2)-1))+2+6,11),INDEX('2030'!$A:$Z,(5+50*((N('My Rota'!$D$6)+2)-1))+2+6,11)))</f>
        <v/>
      </c>
      <c r="L241">
        <f>IF(OR($B241="",(N('My Rota'!$D$6)+2)&gt;53),"",""&amp;CHOOSE(IFERROR(MATCH('My Rota'!$D$5,Setup!$K$33:$K$36,0),1),INDEX('2027'!$A:$Z,(5+50*((N('My Rota'!$D$6)+2)-1))+2+6,12),INDEX('2028'!$A:$Z,(5+50*((N('My Rota'!$D$6)+2)-1))+2+6,12),INDEX('2029'!$A:$Z,(5+50*((N('My Rota'!$D$6)+2)-1))+2+6,12),INDEX('2030'!$A:$Z,(5+50*((N('My Rota'!$D$6)+2)-1))+2+6,12)))</f>
        <v/>
      </c>
      <c r="M241">
        <f>IF(OR($B241="",(N('My Rota'!$D$6)+2)&gt;53),"",""&amp;CHOOSE(IFERROR(MATCH('My Rota'!$D$5,Setup!$K$33:$K$36,0),1),INDEX('2027'!$A:$Z,(5+50*((N('My Rota'!$D$6)+2)-1))+2+6,13),INDEX('2028'!$A:$Z,(5+50*((N('My Rota'!$D$6)+2)-1))+2+6,13),INDEX('2029'!$A:$Z,(5+50*((N('My Rota'!$D$6)+2)-1))+2+6,13),INDEX('2030'!$A:$Z,(5+50*((N('My Rota'!$D$6)+2)-1))+2+6,13)))</f>
        <v/>
      </c>
      <c r="N241">
        <f>IF(OR($B241="",(N('My Rota'!$D$6)+2)&gt;53),"",""&amp;CHOOSE(IFERROR(MATCH('My Rota'!$D$5,Setup!$K$33:$K$36,0),1),INDEX('2027'!$A:$Z,(5+50*((N('My Rota'!$D$6)+2)-1))+2+6,14),INDEX('2028'!$A:$Z,(5+50*((N('My Rota'!$D$6)+2)-1))+2+6,14),INDEX('2029'!$A:$Z,(5+50*((N('My Rota'!$D$6)+2)-1))+2+6,14),INDEX('2030'!$A:$Z,(5+50*((N('My Rota'!$D$6)+2)-1))+2+6,14)))</f>
        <v/>
      </c>
      <c r="O241">
        <f>IF(OR($B241="",(N('My Rota'!$D$6)+2)&gt;53),"",""&amp;CHOOSE(IFERROR(MATCH('My Rota'!$D$5,Setup!$K$33:$K$36,0),1),INDEX('2027'!$A:$Z,(5+50*((N('My Rota'!$D$6)+2)-1))+2+6,15),INDEX('2028'!$A:$Z,(5+50*((N('My Rota'!$D$6)+2)-1))+2+6,15),INDEX('2029'!$A:$Z,(5+50*((N('My Rota'!$D$6)+2)-1))+2+6,15),INDEX('2030'!$A:$Z,(5+50*((N('My Rota'!$D$6)+2)-1))+2+6,15)))</f>
        <v/>
      </c>
      <c r="P241">
        <f>IF(OR($B241="",(N('My Rota'!$D$6)+2)&gt;53),"",""&amp;CHOOSE(IFERROR(MATCH('My Rota'!$D$5,Setup!$K$33:$K$36,0),1),INDEX('2027'!$A:$Z,(5+50*((N('My Rota'!$D$6)+2)-1))+2+6,16),INDEX('2028'!$A:$Z,(5+50*((N('My Rota'!$D$6)+2)-1))+2+6,16),INDEX('2029'!$A:$Z,(5+50*((N('My Rota'!$D$6)+2)-1))+2+6,16),INDEX('2030'!$A:$Z,(5+50*((N('My Rota'!$D$6)+2)-1))+2+6,16)))</f>
        <v/>
      </c>
      <c r="Q241">
        <f>IF(OR($B241="",(N('My Rota'!$D$6)+2)&gt;53),"",""&amp;CHOOSE(IFERROR(MATCH('My Rota'!$D$5,Setup!$K$33:$K$36,0),1),INDEX('2027'!$A:$Z,(5+50*((N('My Rota'!$D$6)+2)-1))+2+6,17),INDEX('2028'!$A:$Z,(5+50*((N('My Rota'!$D$6)+2)-1))+2+6,17),INDEX('2029'!$A:$Z,(5+50*((N('My Rota'!$D$6)+2)-1))+2+6,17),INDEX('2030'!$A:$Z,(5+50*((N('My Rota'!$D$6)+2)-1))+2+6,17)))</f>
        <v/>
      </c>
      <c r="R241">
        <f>IF(OR($B241="",(N('My Rota'!$D$6)+2)&gt;53),"",""&amp;CHOOSE(IFERROR(MATCH('My Rota'!$D$5,Setup!$K$33:$K$36,0),1),INDEX('2027'!$A:$Z,(5+50*((N('My Rota'!$D$6)+2)-1))+2+6,18),INDEX('2028'!$A:$Z,(5+50*((N('My Rota'!$D$6)+2)-1))+2+6,18),INDEX('2029'!$A:$Z,(5+50*((N('My Rota'!$D$6)+2)-1))+2+6,18),INDEX('2030'!$A:$Z,(5+50*((N('My Rota'!$D$6)+2)-1))+2+6,18)))</f>
        <v/>
      </c>
      <c r="S241">
        <f>IF(OR($B241="",(N('My Rota'!$D$6)+2)&gt;53),"",""&amp;CHOOSE(IFERROR(MATCH('My Rota'!$D$5,Setup!$K$33:$K$36,0),1),INDEX('2027'!$A:$Z,(5+50*((N('My Rota'!$D$6)+2)-1))+2+6,19),INDEX('2028'!$A:$Z,(5+50*((N('My Rota'!$D$6)+2)-1))+2+6,19),INDEX('2029'!$A:$Z,(5+50*((N('My Rota'!$D$6)+2)-1))+2+6,19),INDEX('2030'!$A:$Z,(5+50*((N('My Rota'!$D$6)+2)-1))+2+6,19)))</f>
        <v/>
      </c>
      <c r="T241">
        <f>IF(OR($B241="",(N('My Rota'!$D$6)+2)&gt;53),"",""&amp;CHOOSE(IFERROR(MATCH('My Rota'!$D$5,Setup!$K$33:$K$36,0),1),INDEX('2027'!$A:$Z,(5+50*((N('My Rota'!$D$6)+2)-1))+2+6,20),INDEX('2028'!$A:$Z,(5+50*((N('My Rota'!$D$6)+2)-1))+2+6,20),INDEX('2029'!$A:$Z,(5+50*((N('My Rota'!$D$6)+2)-1))+2+6,20),INDEX('2030'!$A:$Z,(5+50*((N('My Rota'!$D$6)+2)-1))+2+6,20)))</f>
        <v/>
      </c>
      <c r="U241">
        <f>IF(OR($B241="",(N('My Rota'!$D$6)+2)&gt;53),"",""&amp;CHOOSE(IFERROR(MATCH('My Rota'!$D$5,Setup!$K$33:$K$36,0),1),INDEX('2027'!$A:$Z,(5+50*((N('My Rota'!$D$6)+2)-1))+2+6,21),INDEX('2028'!$A:$Z,(5+50*((N('My Rota'!$D$6)+2)-1))+2+6,21),INDEX('2029'!$A:$Z,(5+50*((N('My Rota'!$D$6)+2)-1))+2+6,21),INDEX('2030'!$A:$Z,(5+50*((N('My Rota'!$D$6)+2)-1))+2+6,21)))</f>
        <v/>
      </c>
      <c r="V241">
        <f>IF(OR($B241="",(N('My Rota'!$D$6)+2)&gt;53),"",""&amp;CHOOSE(IFERROR(MATCH('My Rota'!$D$5,Setup!$K$33:$K$36,0),1),INDEX('2027'!$A:$Z,(5+50*((N('My Rota'!$D$6)+2)-1))+2+6,22),INDEX('2028'!$A:$Z,(5+50*((N('My Rota'!$D$6)+2)-1))+2+6,22),INDEX('2029'!$A:$Z,(5+50*((N('My Rota'!$D$6)+2)-1))+2+6,22),INDEX('2030'!$A:$Z,(5+50*((N('My Rota'!$D$6)+2)-1))+2+6,22)))</f>
        <v/>
      </c>
      <c r="W241">
        <f>IF(OR($B241="",(N('My Rota'!$D$6)+2)&gt;53),"",""&amp;CHOOSE(IFERROR(MATCH('My Rota'!$D$5,Setup!$K$33:$K$36,0),1),INDEX('2027'!$A:$Z,(5+50*((N('My Rota'!$D$6)+2)-1))+2+6,23),INDEX('2028'!$A:$Z,(5+50*((N('My Rota'!$D$6)+2)-1))+2+6,23),INDEX('2029'!$A:$Z,(5+50*((N('My Rota'!$D$6)+2)-1))+2+6,23),INDEX('2030'!$A:$Z,(5+50*((N('My Rota'!$D$6)+2)-1))+2+6,23)))</f>
        <v/>
      </c>
      <c r="X241">
        <f>IF(OR($B241="",(N('My Rota'!$D$6)+2)&gt;53),"",""&amp;CHOOSE(IFERROR(MATCH('My Rota'!$D$5,Setup!$K$33:$K$36,0),1),INDEX('2027'!$A:$Z,(5+50*((N('My Rota'!$D$6)+2)-1))+2+6,24),INDEX('2028'!$A:$Z,(5+50*((N('My Rota'!$D$6)+2)-1))+2+6,24),INDEX('2029'!$A:$Z,(5+50*((N('My Rota'!$D$6)+2)-1))+2+6,24),INDEX('2030'!$A:$Z,(5+50*((N('My Rota'!$D$6)+2)-1))+2+6,24)))</f>
        <v/>
      </c>
      <c r="Y241">
        <f>IF(OR($B241="",(N('My Rota'!$D$6)+2)&gt;53),"",""&amp;CHOOSE(IFERROR(MATCH('My Rota'!$D$5,Setup!$K$33:$K$36,0),1),INDEX('2027'!$A:$Z,(5+50*((N('My Rota'!$D$6)+2)-1))+2+6,25),INDEX('2028'!$A:$Z,(5+50*((N('My Rota'!$D$6)+2)-1))+2+6,25),INDEX('2029'!$A:$Z,(5+50*((N('My Rota'!$D$6)+2)-1))+2+6,25),INDEX('2030'!$A:$Z,(5+50*((N('My Rota'!$D$6)+2)-1))+2+6,25)))</f>
        <v/>
      </c>
      <c r="Z241">
        <f>IF(OR($B241="",(N('My Rota'!$D$6)+2)&gt;53),"",""&amp;CHOOSE(IFERROR(MATCH('My Rota'!$D$5,Setup!$K$33:$K$36,0),1),INDEX('2027'!$A:$Z,(5+50*((N('My Rota'!$D$6)+2)-1))+2+6,26),INDEX('2028'!$A:$Z,(5+50*((N('My Rota'!$D$6)+2)-1))+2+6,26),INDEX('2029'!$A:$Z,(5+50*((N('My Rota'!$D$6)+2)-1))+2+6,26),INDEX('2030'!$A:$Z,(5+50*((N('My Rota'!$D$6)+2)-1))+2+6,26)))</f>
        <v/>
      </c>
    </row>
    <row r="242">
      <c r="A242" t="n">
        <v>3</v>
      </c>
      <c r="B242">
        <f>$B$53</f>
        <v/>
      </c>
      <c r="C242">
        <f>IF(OR($B242="",(N('My Rota'!$D$6)+2)&gt;53),"",""&amp;CHOOSE(IFERROR(MATCH('My Rota'!$D$5,Setup!$K$33:$K$36,0),1),INDEX('2027'!$A:$Z,(5+50*((N('My Rota'!$D$6)+2)-1))+2+7,3),INDEX('2028'!$A:$Z,(5+50*((N('My Rota'!$D$6)+2)-1))+2+7,3),INDEX('2029'!$A:$Z,(5+50*((N('My Rota'!$D$6)+2)-1))+2+7,3),INDEX('2030'!$A:$Z,(5+50*((N('My Rota'!$D$6)+2)-1))+2+7,3)))</f>
        <v/>
      </c>
      <c r="D242">
        <f>IF(OR($B242="",(N('My Rota'!$D$6)+2)&gt;53),"",""&amp;CHOOSE(IFERROR(MATCH('My Rota'!$D$5,Setup!$K$33:$K$36,0),1),INDEX('2027'!$A:$Z,(5+50*((N('My Rota'!$D$6)+2)-1))+2+7,4),INDEX('2028'!$A:$Z,(5+50*((N('My Rota'!$D$6)+2)-1))+2+7,4),INDEX('2029'!$A:$Z,(5+50*((N('My Rota'!$D$6)+2)-1))+2+7,4),INDEX('2030'!$A:$Z,(5+50*((N('My Rota'!$D$6)+2)-1))+2+7,4)))</f>
        <v/>
      </c>
      <c r="E242">
        <f>IF(OR($B242="",(N('My Rota'!$D$6)+2)&gt;53),"",""&amp;CHOOSE(IFERROR(MATCH('My Rota'!$D$5,Setup!$K$33:$K$36,0),1),INDEX('2027'!$A:$Z,(5+50*((N('My Rota'!$D$6)+2)-1))+2+7,5),INDEX('2028'!$A:$Z,(5+50*((N('My Rota'!$D$6)+2)-1))+2+7,5),INDEX('2029'!$A:$Z,(5+50*((N('My Rota'!$D$6)+2)-1))+2+7,5),INDEX('2030'!$A:$Z,(5+50*((N('My Rota'!$D$6)+2)-1))+2+7,5)))</f>
        <v/>
      </c>
      <c r="F242">
        <f>IF(OR($B242="",(N('My Rota'!$D$6)+2)&gt;53),"",""&amp;CHOOSE(IFERROR(MATCH('My Rota'!$D$5,Setup!$K$33:$K$36,0),1),INDEX('2027'!$A:$Z,(5+50*((N('My Rota'!$D$6)+2)-1))+2+7,6),INDEX('2028'!$A:$Z,(5+50*((N('My Rota'!$D$6)+2)-1))+2+7,6),INDEX('2029'!$A:$Z,(5+50*((N('My Rota'!$D$6)+2)-1))+2+7,6),INDEX('2030'!$A:$Z,(5+50*((N('My Rota'!$D$6)+2)-1))+2+7,6)))</f>
        <v/>
      </c>
      <c r="G242">
        <f>IF(OR($B242="",(N('My Rota'!$D$6)+2)&gt;53),"",""&amp;CHOOSE(IFERROR(MATCH('My Rota'!$D$5,Setup!$K$33:$K$36,0),1),INDEX('2027'!$A:$Z,(5+50*((N('My Rota'!$D$6)+2)-1))+2+7,7),INDEX('2028'!$A:$Z,(5+50*((N('My Rota'!$D$6)+2)-1))+2+7,7),INDEX('2029'!$A:$Z,(5+50*((N('My Rota'!$D$6)+2)-1))+2+7,7),INDEX('2030'!$A:$Z,(5+50*((N('My Rota'!$D$6)+2)-1))+2+7,7)))</f>
        <v/>
      </c>
      <c r="H242">
        <f>IF(OR($B242="",(N('My Rota'!$D$6)+2)&gt;53),"",""&amp;CHOOSE(IFERROR(MATCH('My Rota'!$D$5,Setup!$K$33:$K$36,0),1),INDEX('2027'!$A:$Z,(5+50*((N('My Rota'!$D$6)+2)-1))+2+7,8),INDEX('2028'!$A:$Z,(5+50*((N('My Rota'!$D$6)+2)-1))+2+7,8),INDEX('2029'!$A:$Z,(5+50*((N('My Rota'!$D$6)+2)-1))+2+7,8),INDEX('2030'!$A:$Z,(5+50*((N('My Rota'!$D$6)+2)-1))+2+7,8)))</f>
        <v/>
      </c>
      <c r="I242">
        <f>IF(OR($B242="",(N('My Rota'!$D$6)+2)&gt;53),"",""&amp;CHOOSE(IFERROR(MATCH('My Rota'!$D$5,Setup!$K$33:$K$36,0),1),INDEX('2027'!$A:$Z,(5+50*((N('My Rota'!$D$6)+2)-1))+2+7,9),INDEX('2028'!$A:$Z,(5+50*((N('My Rota'!$D$6)+2)-1))+2+7,9),INDEX('2029'!$A:$Z,(5+50*((N('My Rota'!$D$6)+2)-1))+2+7,9),INDEX('2030'!$A:$Z,(5+50*((N('My Rota'!$D$6)+2)-1))+2+7,9)))</f>
        <v/>
      </c>
      <c r="J242">
        <f>IF(OR($B242="",(N('My Rota'!$D$6)+2)&gt;53),"",""&amp;CHOOSE(IFERROR(MATCH('My Rota'!$D$5,Setup!$K$33:$K$36,0),1),INDEX('2027'!$A:$Z,(5+50*((N('My Rota'!$D$6)+2)-1))+2+7,10),INDEX('2028'!$A:$Z,(5+50*((N('My Rota'!$D$6)+2)-1))+2+7,10),INDEX('2029'!$A:$Z,(5+50*((N('My Rota'!$D$6)+2)-1))+2+7,10),INDEX('2030'!$A:$Z,(5+50*((N('My Rota'!$D$6)+2)-1))+2+7,10)))</f>
        <v/>
      </c>
      <c r="K242">
        <f>IF(OR($B242="",(N('My Rota'!$D$6)+2)&gt;53),"",""&amp;CHOOSE(IFERROR(MATCH('My Rota'!$D$5,Setup!$K$33:$K$36,0),1),INDEX('2027'!$A:$Z,(5+50*((N('My Rota'!$D$6)+2)-1))+2+7,11),INDEX('2028'!$A:$Z,(5+50*((N('My Rota'!$D$6)+2)-1))+2+7,11),INDEX('2029'!$A:$Z,(5+50*((N('My Rota'!$D$6)+2)-1))+2+7,11),INDEX('2030'!$A:$Z,(5+50*((N('My Rota'!$D$6)+2)-1))+2+7,11)))</f>
        <v/>
      </c>
      <c r="L242">
        <f>IF(OR($B242="",(N('My Rota'!$D$6)+2)&gt;53),"",""&amp;CHOOSE(IFERROR(MATCH('My Rota'!$D$5,Setup!$K$33:$K$36,0),1),INDEX('2027'!$A:$Z,(5+50*((N('My Rota'!$D$6)+2)-1))+2+7,12),INDEX('2028'!$A:$Z,(5+50*((N('My Rota'!$D$6)+2)-1))+2+7,12),INDEX('2029'!$A:$Z,(5+50*((N('My Rota'!$D$6)+2)-1))+2+7,12),INDEX('2030'!$A:$Z,(5+50*((N('My Rota'!$D$6)+2)-1))+2+7,12)))</f>
        <v/>
      </c>
      <c r="M242">
        <f>IF(OR($B242="",(N('My Rota'!$D$6)+2)&gt;53),"",""&amp;CHOOSE(IFERROR(MATCH('My Rota'!$D$5,Setup!$K$33:$K$36,0),1),INDEX('2027'!$A:$Z,(5+50*((N('My Rota'!$D$6)+2)-1))+2+7,13),INDEX('2028'!$A:$Z,(5+50*((N('My Rota'!$D$6)+2)-1))+2+7,13),INDEX('2029'!$A:$Z,(5+50*((N('My Rota'!$D$6)+2)-1))+2+7,13),INDEX('2030'!$A:$Z,(5+50*((N('My Rota'!$D$6)+2)-1))+2+7,13)))</f>
        <v/>
      </c>
      <c r="N242">
        <f>IF(OR($B242="",(N('My Rota'!$D$6)+2)&gt;53),"",""&amp;CHOOSE(IFERROR(MATCH('My Rota'!$D$5,Setup!$K$33:$K$36,0),1),INDEX('2027'!$A:$Z,(5+50*((N('My Rota'!$D$6)+2)-1))+2+7,14),INDEX('2028'!$A:$Z,(5+50*((N('My Rota'!$D$6)+2)-1))+2+7,14),INDEX('2029'!$A:$Z,(5+50*((N('My Rota'!$D$6)+2)-1))+2+7,14),INDEX('2030'!$A:$Z,(5+50*((N('My Rota'!$D$6)+2)-1))+2+7,14)))</f>
        <v/>
      </c>
      <c r="O242">
        <f>IF(OR($B242="",(N('My Rota'!$D$6)+2)&gt;53),"",""&amp;CHOOSE(IFERROR(MATCH('My Rota'!$D$5,Setup!$K$33:$K$36,0),1),INDEX('2027'!$A:$Z,(5+50*((N('My Rota'!$D$6)+2)-1))+2+7,15),INDEX('2028'!$A:$Z,(5+50*((N('My Rota'!$D$6)+2)-1))+2+7,15),INDEX('2029'!$A:$Z,(5+50*((N('My Rota'!$D$6)+2)-1))+2+7,15),INDEX('2030'!$A:$Z,(5+50*((N('My Rota'!$D$6)+2)-1))+2+7,15)))</f>
        <v/>
      </c>
      <c r="P242">
        <f>IF(OR($B242="",(N('My Rota'!$D$6)+2)&gt;53),"",""&amp;CHOOSE(IFERROR(MATCH('My Rota'!$D$5,Setup!$K$33:$K$36,0),1),INDEX('2027'!$A:$Z,(5+50*((N('My Rota'!$D$6)+2)-1))+2+7,16),INDEX('2028'!$A:$Z,(5+50*((N('My Rota'!$D$6)+2)-1))+2+7,16),INDEX('2029'!$A:$Z,(5+50*((N('My Rota'!$D$6)+2)-1))+2+7,16),INDEX('2030'!$A:$Z,(5+50*((N('My Rota'!$D$6)+2)-1))+2+7,16)))</f>
        <v/>
      </c>
      <c r="Q242">
        <f>IF(OR($B242="",(N('My Rota'!$D$6)+2)&gt;53),"",""&amp;CHOOSE(IFERROR(MATCH('My Rota'!$D$5,Setup!$K$33:$K$36,0),1),INDEX('2027'!$A:$Z,(5+50*((N('My Rota'!$D$6)+2)-1))+2+7,17),INDEX('2028'!$A:$Z,(5+50*((N('My Rota'!$D$6)+2)-1))+2+7,17),INDEX('2029'!$A:$Z,(5+50*((N('My Rota'!$D$6)+2)-1))+2+7,17),INDEX('2030'!$A:$Z,(5+50*((N('My Rota'!$D$6)+2)-1))+2+7,17)))</f>
        <v/>
      </c>
      <c r="R242">
        <f>IF(OR($B242="",(N('My Rota'!$D$6)+2)&gt;53),"",""&amp;CHOOSE(IFERROR(MATCH('My Rota'!$D$5,Setup!$K$33:$K$36,0),1),INDEX('2027'!$A:$Z,(5+50*((N('My Rota'!$D$6)+2)-1))+2+7,18),INDEX('2028'!$A:$Z,(5+50*((N('My Rota'!$D$6)+2)-1))+2+7,18),INDEX('2029'!$A:$Z,(5+50*((N('My Rota'!$D$6)+2)-1))+2+7,18),INDEX('2030'!$A:$Z,(5+50*((N('My Rota'!$D$6)+2)-1))+2+7,18)))</f>
        <v/>
      </c>
      <c r="S242">
        <f>IF(OR($B242="",(N('My Rota'!$D$6)+2)&gt;53),"",""&amp;CHOOSE(IFERROR(MATCH('My Rota'!$D$5,Setup!$K$33:$K$36,0),1),INDEX('2027'!$A:$Z,(5+50*((N('My Rota'!$D$6)+2)-1))+2+7,19),INDEX('2028'!$A:$Z,(5+50*((N('My Rota'!$D$6)+2)-1))+2+7,19),INDEX('2029'!$A:$Z,(5+50*((N('My Rota'!$D$6)+2)-1))+2+7,19),INDEX('2030'!$A:$Z,(5+50*((N('My Rota'!$D$6)+2)-1))+2+7,19)))</f>
        <v/>
      </c>
      <c r="T242">
        <f>IF(OR($B242="",(N('My Rota'!$D$6)+2)&gt;53),"",""&amp;CHOOSE(IFERROR(MATCH('My Rota'!$D$5,Setup!$K$33:$K$36,0),1),INDEX('2027'!$A:$Z,(5+50*((N('My Rota'!$D$6)+2)-1))+2+7,20),INDEX('2028'!$A:$Z,(5+50*((N('My Rota'!$D$6)+2)-1))+2+7,20),INDEX('2029'!$A:$Z,(5+50*((N('My Rota'!$D$6)+2)-1))+2+7,20),INDEX('2030'!$A:$Z,(5+50*((N('My Rota'!$D$6)+2)-1))+2+7,20)))</f>
        <v/>
      </c>
      <c r="U242">
        <f>IF(OR($B242="",(N('My Rota'!$D$6)+2)&gt;53),"",""&amp;CHOOSE(IFERROR(MATCH('My Rota'!$D$5,Setup!$K$33:$K$36,0),1),INDEX('2027'!$A:$Z,(5+50*((N('My Rota'!$D$6)+2)-1))+2+7,21),INDEX('2028'!$A:$Z,(5+50*((N('My Rota'!$D$6)+2)-1))+2+7,21),INDEX('2029'!$A:$Z,(5+50*((N('My Rota'!$D$6)+2)-1))+2+7,21),INDEX('2030'!$A:$Z,(5+50*((N('My Rota'!$D$6)+2)-1))+2+7,21)))</f>
        <v/>
      </c>
      <c r="V242">
        <f>IF(OR($B242="",(N('My Rota'!$D$6)+2)&gt;53),"",""&amp;CHOOSE(IFERROR(MATCH('My Rota'!$D$5,Setup!$K$33:$K$36,0),1),INDEX('2027'!$A:$Z,(5+50*((N('My Rota'!$D$6)+2)-1))+2+7,22),INDEX('2028'!$A:$Z,(5+50*((N('My Rota'!$D$6)+2)-1))+2+7,22),INDEX('2029'!$A:$Z,(5+50*((N('My Rota'!$D$6)+2)-1))+2+7,22),INDEX('2030'!$A:$Z,(5+50*((N('My Rota'!$D$6)+2)-1))+2+7,22)))</f>
        <v/>
      </c>
      <c r="W242">
        <f>IF(OR($B242="",(N('My Rota'!$D$6)+2)&gt;53),"",""&amp;CHOOSE(IFERROR(MATCH('My Rota'!$D$5,Setup!$K$33:$K$36,0),1),INDEX('2027'!$A:$Z,(5+50*((N('My Rota'!$D$6)+2)-1))+2+7,23),INDEX('2028'!$A:$Z,(5+50*((N('My Rota'!$D$6)+2)-1))+2+7,23),INDEX('2029'!$A:$Z,(5+50*((N('My Rota'!$D$6)+2)-1))+2+7,23),INDEX('2030'!$A:$Z,(5+50*((N('My Rota'!$D$6)+2)-1))+2+7,23)))</f>
        <v/>
      </c>
      <c r="X242">
        <f>IF(OR($B242="",(N('My Rota'!$D$6)+2)&gt;53),"",""&amp;CHOOSE(IFERROR(MATCH('My Rota'!$D$5,Setup!$K$33:$K$36,0),1),INDEX('2027'!$A:$Z,(5+50*((N('My Rota'!$D$6)+2)-1))+2+7,24),INDEX('2028'!$A:$Z,(5+50*((N('My Rota'!$D$6)+2)-1))+2+7,24),INDEX('2029'!$A:$Z,(5+50*((N('My Rota'!$D$6)+2)-1))+2+7,24),INDEX('2030'!$A:$Z,(5+50*((N('My Rota'!$D$6)+2)-1))+2+7,24)))</f>
        <v/>
      </c>
      <c r="Y242">
        <f>IF(OR($B242="",(N('My Rota'!$D$6)+2)&gt;53),"",""&amp;CHOOSE(IFERROR(MATCH('My Rota'!$D$5,Setup!$K$33:$K$36,0),1),INDEX('2027'!$A:$Z,(5+50*((N('My Rota'!$D$6)+2)-1))+2+7,25),INDEX('2028'!$A:$Z,(5+50*((N('My Rota'!$D$6)+2)-1))+2+7,25),INDEX('2029'!$A:$Z,(5+50*((N('My Rota'!$D$6)+2)-1))+2+7,25),INDEX('2030'!$A:$Z,(5+50*((N('My Rota'!$D$6)+2)-1))+2+7,25)))</f>
        <v/>
      </c>
      <c r="Z242">
        <f>IF(OR($B242="",(N('My Rota'!$D$6)+2)&gt;53),"",""&amp;CHOOSE(IFERROR(MATCH('My Rota'!$D$5,Setup!$K$33:$K$36,0),1),INDEX('2027'!$A:$Z,(5+50*((N('My Rota'!$D$6)+2)-1))+2+7,26),INDEX('2028'!$A:$Z,(5+50*((N('My Rota'!$D$6)+2)-1))+2+7,26),INDEX('2029'!$A:$Z,(5+50*((N('My Rota'!$D$6)+2)-1))+2+7,26),INDEX('2030'!$A:$Z,(5+50*((N('My Rota'!$D$6)+2)-1))+2+7,26)))</f>
        <v/>
      </c>
    </row>
    <row r="243">
      <c r="A243" t="n">
        <v>3</v>
      </c>
      <c r="B243">
        <f>$B$54</f>
        <v/>
      </c>
      <c r="C243">
        <f>IF(OR($B243="",(N('My Rota'!$D$6)+2)&gt;53),"",""&amp;CHOOSE(IFERROR(MATCH('My Rota'!$D$5,Setup!$K$33:$K$36,0),1),INDEX('2027'!$A:$Z,(5+50*((N('My Rota'!$D$6)+2)-1))+2+8,3),INDEX('2028'!$A:$Z,(5+50*((N('My Rota'!$D$6)+2)-1))+2+8,3),INDEX('2029'!$A:$Z,(5+50*((N('My Rota'!$D$6)+2)-1))+2+8,3),INDEX('2030'!$A:$Z,(5+50*((N('My Rota'!$D$6)+2)-1))+2+8,3)))</f>
        <v/>
      </c>
      <c r="D243">
        <f>IF(OR($B243="",(N('My Rota'!$D$6)+2)&gt;53),"",""&amp;CHOOSE(IFERROR(MATCH('My Rota'!$D$5,Setup!$K$33:$K$36,0),1),INDEX('2027'!$A:$Z,(5+50*((N('My Rota'!$D$6)+2)-1))+2+8,4),INDEX('2028'!$A:$Z,(5+50*((N('My Rota'!$D$6)+2)-1))+2+8,4),INDEX('2029'!$A:$Z,(5+50*((N('My Rota'!$D$6)+2)-1))+2+8,4),INDEX('2030'!$A:$Z,(5+50*((N('My Rota'!$D$6)+2)-1))+2+8,4)))</f>
        <v/>
      </c>
      <c r="E243">
        <f>IF(OR($B243="",(N('My Rota'!$D$6)+2)&gt;53),"",""&amp;CHOOSE(IFERROR(MATCH('My Rota'!$D$5,Setup!$K$33:$K$36,0),1),INDEX('2027'!$A:$Z,(5+50*((N('My Rota'!$D$6)+2)-1))+2+8,5),INDEX('2028'!$A:$Z,(5+50*((N('My Rota'!$D$6)+2)-1))+2+8,5),INDEX('2029'!$A:$Z,(5+50*((N('My Rota'!$D$6)+2)-1))+2+8,5),INDEX('2030'!$A:$Z,(5+50*((N('My Rota'!$D$6)+2)-1))+2+8,5)))</f>
        <v/>
      </c>
      <c r="F243">
        <f>IF(OR($B243="",(N('My Rota'!$D$6)+2)&gt;53),"",""&amp;CHOOSE(IFERROR(MATCH('My Rota'!$D$5,Setup!$K$33:$K$36,0),1),INDEX('2027'!$A:$Z,(5+50*((N('My Rota'!$D$6)+2)-1))+2+8,6),INDEX('2028'!$A:$Z,(5+50*((N('My Rota'!$D$6)+2)-1))+2+8,6),INDEX('2029'!$A:$Z,(5+50*((N('My Rota'!$D$6)+2)-1))+2+8,6),INDEX('2030'!$A:$Z,(5+50*((N('My Rota'!$D$6)+2)-1))+2+8,6)))</f>
        <v/>
      </c>
      <c r="G243">
        <f>IF(OR($B243="",(N('My Rota'!$D$6)+2)&gt;53),"",""&amp;CHOOSE(IFERROR(MATCH('My Rota'!$D$5,Setup!$K$33:$K$36,0),1),INDEX('2027'!$A:$Z,(5+50*((N('My Rota'!$D$6)+2)-1))+2+8,7),INDEX('2028'!$A:$Z,(5+50*((N('My Rota'!$D$6)+2)-1))+2+8,7),INDEX('2029'!$A:$Z,(5+50*((N('My Rota'!$D$6)+2)-1))+2+8,7),INDEX('2030'!$A:$Z,(5+50*((N('My Rota'!$D$6)+2)-1))+2+8,7)))</f>
        <v/>
      </c>
      <c r="H243">
        <f>IF(OR($B243="",(N('My Rota'!$D$6)+2)&gt;53),"",""&amp;CHOOSE(IFERROR(MATCH('My Rota'!$D$5,Setup!$K$33:$K$36,0),1),INDEX('2027'!$A:$Z,(5+50*((N('My Rota'!$D$6)+2)-1))+2+8,8),INDEX('2028'!$A:$Z,(5+50*((N('My Rota'!$D$6)+2)-1))+2+8,8),INDEX('2029'!$A:$Z,(5+50*((N('My Rota'!$D$6)+2)-1))+2+8,8),INDEX('2030'!$A:$Z,(5+50*((N('My Rota'!$D$6)+2)-1))+2+8,8)))</f>
        <v/>
      </c>
      <c r="I243">
        <f>IF(OR($B243="",(N('My Rota'!$D$6)+2)&gt;53),"",""&amp;CHOOSE(IFERROR(MATCH('My Rota'!$D$5,Setup!$K$33:$K$36,0),1),INDEX('2027'!$A:$Z,(5+50*((N('My Rota'!$D$6)+2)-1))+2+8,9),INDEX('2028'!$A:$Z,(5+50*((N('My Rota'!$D$6)+2)-1))+2+8,9),INDEX('2029'!$A:$Z,(5+50*((N('My Rota'!$D$6)+2)-1))+2+8,9),INDEX('2030'!$A:$Z,(5+50*((N('My Rota'!$D$6)+2)-1))+2+8,9)))</f>
        <v/>
      </c>
      <c r="J243">
        <f>IF(OR($B243="",(N('My Rota'!$D$6)+2)&gt;53),"",""&amp;CHOOSE(IFERROR(MATCH('My Rota'!$D$5,Setup!$K$33:$K$36,0),1),INDEX('2027'!$A:$Z,(5+50*((N('My Rota'!$D$6)+2)-1))+2+8,10),INDEX('2028'!$A:$Z,(5+50*((N('My Rota'!$D$6)+2)-1))+2+8,10),INDEX('2029'!$A:$Z,(5+50*((N('My Rota'!$D$6)+2)-1))+2+8,10),INDEX('2030'!$A:$Z,(5+50*((N('My Rota'!$D$6)+2)-1))+2+8,10)))</f>
        <v/>
      </c>
      <c r="K243">
        <f>IF(OR($B243="",(N('My Rota'!$D$6)+2)&gt;53),"",""&amp;CHOOSE(IFERROR(MATCH('My Rota'!$D$5,Setup!$K$33:$K$36,0),1),INDEX('2027'!$A:$Z,(5+50*((N('My Rota'!$D$6)+2)-1))+2+8,11),INDEX('2028'!$A:$Z,(5+50*((N('My Rota'!$D$6)+2)-1))+2+8,11),INDEX('2029'!$A:$Z,(5+50*((N('My Rota'!$D$6)+2)-1))+2+8,11),INDEX('2030'!$A:$Z,(5+50*((N('My Rota'!$D$6)+2)-1))+2+8,11)))</f>
        <v/>
      </c>
      <c r="L243">
        <f>IF(OR($B243="",(N('My Rota'!$D$6)+2)&gt;53),"",""&amp;CHOOSE(IFERROR(MATCH('My Rota'!$D$5,Setup!$K$33:$K$36,0),1),INDEX('2027'!$A:$Z,(5+50*((N('My Rota'!$D$6)+2)-1))+2+8,12),INDEX('2028'!$A:$Z,(5+50*((N('My Rota'!$D$6)+2)-1))+2+8,12),INDEX('2029'!$A:$Z,(5+50*((N('My Rota'!$D$6)+2)-1))+2+8,12),INDEX('2030'!$A:$Z,(5+50*((N('My Rota'!$D$6)+2)-1))+2+8,12)))</f>
        <v/>
      </c>
      <c r="M243">
        <f>IF(OR($B243="",(N('My Rota'!$D$6)+2)&gt;53),"",""&amp;CHOOSE(IFERROR(MATCH('My Rota'!$D$5,Setup!$K$33:$K$36,0),1),INDEX('2027'!$A:$Z,(5+50*((N('My Rota'!$D$6)+2)-1))+2+8,13),INDEX('2028'!$A:$Z,(5+50*((N('My Rota'!$D$6)+2)-1))+2+8,13),INDEX('2029'!$A:$Z,(5+50*((N('My Rota'!$D$6)+2)-1))+2+8,13),INDEX('2030'!$A:$Z,(5+50*((N('My Rota'!$D$6)+2)-1))+2+8,13)))</f>
        <v/>
      </c>
      <c r="N243">
        <f>IF(OR($B243="",(N('My Rota'!$D$6)+2)&gt;53),"",""&amp;CHOOSE(IFERROR(MATCH('My Rota'!$D$5,Setup!$K$33:$K$36,0),1),INDEX('2027'!$A:$Z,(5+50*((N('My Rota'!$D$6)+2)-1))+2+8,14),INDEX('2028'!$A:$Z,(5+50*((N('My Rota'!$D$6)+2)-1))+2+8,14),INDEX('2029'!$A:$Z,(5+50*((N('My Rota'!$D$6)+2)-1))+2+8,14),INDEX('2030'!$A:$Z,(5+50*((N('My Rota'!$D$6)+2)-1))+2+8,14)))</f>
        <v/>
      </c>
      <c r="O243">
        <f>IF(OR($B243="",(N('My Rota'!$D$6)+2)&gt;53),"",""&amp;CHOOSE(IFERROR(MATCH('My Rota'!$D$5,Setup!$K$33:$K$36,0),1),INDEX('2027'!$A:$Z,(5+50*((N('My Rota'!$D$6)+2)-1))+2+8,15),INDEX('2028'!$A:$Z,(5+50*((N('My Rota'!$D$6)+2)-1))+2+8,15),INDEX('2029'!$A:$Z,(5+50*((N('My Rota'!$D$6)+2)-1))+2+8,15),INDEX('2030'!$A:$Z,(5+50*((N('My Rota'!$D$6)+2)-1))+2+8,15)))</f>
        <v/>
      </c>
      <c r="P243">
        <f>IF(OR($B243="",(N('My Rota'!$D$6)+2)&gt;53),"",""&amp;CHOOSE(IFERROR(MATCH('My Rota'!$D$5,Setup!$K$33:$K$36,0),1),INDEX('2027'!$A:$Z,(5+50*((N('My Rota'!$D$6)+2)-1))+2+8,16),INDEX('2028'!$A:$Z,(5+50*((N('My Rota'!$D$6)+2)-1))+2+8,16),INDEX('2029'!$A:$Z,(5+50*((N('My Rota'!$D$6)+2)-1))+2+8,16),INDEX('2030'!$A:$Z,(5+50*((N('My Rota'!$D$6)+2)-1))+2+8,16)))</f>
        <v/>
      </c>
      <c r="Q243">
        <f>IF(OR($B243="",(N('My Rota'!$D$6)+2)&gt;53),"",""&amp;CHOOSE(IFERROR(MATCH('My Rota'!$D$5,Setup!$K$33:$K$36,0),1),INDEX('2027'!$A:$Z,(5+50*((N('My Rota'!$D$6)+2)-1))+2+8,17),INDEX('2028'!$A:$Z,(5+50*((N('My Rota'!$D$6)+2)-1))+2+8,17),INDEX('2029'!$A:$Z,(5+50*((N('My Rota'!$D$6)+2)-1))+2+8,17),INDEX('2030'!$A:$Z,(5+50*((N('My Rota'!$D$6)+2)-1))+2+8,17)))</f>
        <v/>
      </c>
      <c r="R243">
        <f>IF(OR($B243="",(N('My Rota'!$D$6)+2)&gt;53),"",""&amp;CHOOSE(IFERROR(MATCH('My Rota'!$D$5,Setup!$K$33:$K$36,0),1),INDEX('2027'!$A:$Z,(5+50*((N('My Rota'!$D$6)+2)-1))+2+8,18),INDEX('2028'!$A:$Z,(5+50*((N('My Rota'!$D$6)+2)-1))+2+8,18),INDEX('2029'!$A:$Z,(5+50*((N('My Rota'!$D$6)+2)-1))+2+8,18),INDEX('2030'!$A:$Z,(5+50*((N('My Rota'!$D$6)+2)-1))+2+8,18)))</f>
        <v/>
      </c>
      <c r="S243">
        <f>IF(OR($B243="",(N('My Rota'!$D$6)+2)&gt;53),"",""&amp;CHOOSE(IFERROR(MATCH('My Rota'!$D$5,Setup!$K$33:$K$36,0),1),INDEX('2027'!$A:$Z,(5+50*((N('My Rota'!$D$6)+2)-1))+2+8,19),INDEX('2028'!$A:$Z,(5+50*((N('My Rota'!$D$6)+2)-1))+2+8,19),INDEX('2029'!$A:$Z,(5+50*((N('My Rota'!$D$6)+2)-1))+2+8,19),INDEX('2030'!$A:$Z,(5+50*((N('My Rota'!$D$6)+2)-1))+2+8,19)))</f>
        <v/>
      </c>
      <c r="T243">
        <f>IF(OR($B243="",(N('My Rota'!$D$6)+2)&gt;53),"",""&amp;CHOOSE(IFERROR(MATCH('My Rota'!$D$5,Setup!$K$33:$K$36,0),1),INDEX('2027'!$A:$Z,(5+50*((N('My Rota'!$D$6)+2)-1))+2+8,20),INDEX('2028'!$A:$Z,(5+50*((N('My Rota'!$D$6)+2)-1))+2+8,20),INDEX('2029'!$A:$Z,(5+50*((N('My Rota'!$D$6)+2)-1))+2+8,20),INDEX('2030'!$A:$Z,(5+50*((N('My Rota'!$D$6)+2)-1))+2+8,20)))</f>
        <v/>
      </c>
      <c r="U243">
        <f>IF(OR($B243="",(N('My Rota'!$D$6)+2)&gt;53),"",""&amp;CHOOSE(IFERROR(MATCH('My Rota'!$D$5,Setup!$K$33:$K$36,0),1),INDEX('2027'!$A:$Z,(5+50*((N('My Rota'!$D$6)+2)-1))+2+8,21),INDEX('2028'!$A:$Z,(5+50*((N('My Rota'!$D$6)+2)-1))+2+8,21),INDEX('2029'!$A:$Z,(5+50*((N('My Rota'!$D$6)+2)-1))+2+8,21),INDEX('2030'!$A:$Z,(5+50*((N('My Rota'!$D$6)+2)-1))+2+8,21)))</f>
        <v/>
      </c>
      <c r="V243">
        <f>IF(OR($B243="",(N('My Rota'!$D$6)+2)&gt;53),"",""&amp;CHOOSE(IFERROR(MATCH('My Rota'!$D$5,Setup!$K$33:$K$36,0),1),INDEX('2027'!$A:$Z,(5+50*((N('My Rota'!$D$6)+2)-1))+2+8,22),INDEX('2028'!$A:$Z,(5+50*((N('My Rota'!$D$6)+2)-1))+2+8,22),INDEX('2029'!$A:$Z,(5+50*((N('My Rota'!$D$6)+2)-1))+2+8,22),INDEX('2030'!$A:$Z,(5+50*((N('My Rota'!$D$6)+2)-1))+2+8,22)))</f>
        <v/>
      </c>
      <c r="W243">
        <f>IF(OR($B243="",(N('My Rota'!$D$6)+2)&gt;53),"",""&amp;CHOOSE(IFERROR(MATCH('My Rota'!$D$5,Setup!$K$33:$K$36,0),1),INDEX('2027'!$A:$Z,(5+50*((N('My Rota'!$D$6)+2)-1))+2+8,23),INDEX('2028'!$A:$Z,(5+50*((N('My Rota'!$D$6)+2)-1))+2+8,23),INDEX('2029'!$A:$Z,(5+50*((N('My Rota'!$D$6)+2)-1))+2+8,23),INDEX('2030'!$A:$Z,(5+50*((N('My Rota'!$D$6)+2)-1))+2+8,23)))</f>
        <v/>
      </c>
      <c r="X243">
        <f>IF(OR($B243="",(N('My Rota'!$D$6)+2)&gt;53),"",""&amp;CHOOSE(IFERROR(MATCH('My Rota'!$D$5,Setup!$K$33:$K$36,0),1),INDEX('2027'!$A:$Z,(5+50*((N('My Rota'!$D$6)+2)-1))+2+8,24),INDEX('2028'!$A:$Z,(5+50*((N('My Rota'!$D$6)+2)-1))+2+8,24),INDEX('2029'!$A:$Z,(5+50*((N('My Rota'!$D$6)+2)-1))+2+8,24),INDEX('2030'!$A:$Z,(5+50*((N('My Rota'!$D$6)+2)-1))+2+8,24)))</f>
        <v/>
      </c>
      <c r="Y243">
        <f>IF(OR($B243="",(N('My Rota'!$D$6)+2)&gt;53),"",""&amp;CHOOSE(IFERROR(MATCH('My Rota'!$D$5,Setup!$K$33:$K$36,0),1),INDEX('2027'!$A:$Z,(5+50*((N('My Rota'!$D$6)+2)-1))+2+8,25),INDEX('2028'!$A:$Z,(5+50*((N('My Rota'!$D$6)+2)-1))+2+8,25),INDEX('2029'!$A:$Z,(5+50*((N('My Rota'!$D$6)+2)-1))+2+8,25),INDEX('2030'!$A:$Z,(5+50*((N('My Rota'!$D$6)+2)-1))+2+8,25)))</f>
        <v/>
      </c>
      <c r="Z243">
        <f>IF(OR($B243="",(N('My Rota'!$D$6)+2)&gt;53),"",""&amp;CHOOSE(IFERROR(MATCH('My Rota'!$D$5,Setup!$K$33:$K$36,0),1),INDEX('2027'!$A:$Z,(5+50*((N('My Rota'!$D$6)+2)-1))+2+8,26),INDEX('2028'!$A:$Z,(5+50*((N('My Rota'!$D$6)+2)-1))+2+8,26),INDEX('2029'!$A:$Z,(5+50*((N('My Rota'!$D$6)+2)-1))+2+8,26),INDEX('2030'!$A:$Z,(5+50*((N('My Rota'!$D$6)+2)-1))+2+8,26)))</f>
        <v/>
      </c>
    </row>
    <row r="244">
      <c r="A244" t="n">
        <v>3</v>
      </c>
      <c r="B244">
        <f>$B$55</f>
        <v/>
      </c>
      <c r="C244">
        <f>IF(OR($B244="",(N('My Rota'!$D$6)+2)&gt;53),"",""&amp;CHOOSE(IFERROR(MATCH('My Rota'!$D$5,Setup!$K$33:$K$36,0),1),INDEX('2027'!$A:$Z,(5+50*((N('My Rota'!$D$6)+2)-1))+2+9,3),INDEX('2028'!$A:$Z,(5+50*((N('My Rota'!$D$6)+2)-1))+2+9,3),INDEX('2029'!$A:$Z,(5+50*((N('My Rota'!$D$6)+2)-1))+2+9,3),INDEX('2030'!$A:$Z,(5+50*((N('My Rota'!$D$6)+2)-1))+2+9,3)))</f>
        <v/>
      </c>
      <c r="D244">
        <f>IF(OR($B244="",(N('My Rota'!$D$6)+2)&gt;53),"",""&amp;CHOOSE(IFERROR(MATCH('My Rota'!$D$5,Setup!$K$33:$K$36,0),1),INDEX('2027'!$A:$Z,(5+50*((N('My Rota'!$D$6)+2)-1))+2+9,4),INDEX('2028'!$A:$Z,(5+50*((N('My Rota'!$D$6)+2)-1))+2+9,4),INDEX('2029'!$A:$Z,(5+50*((N('My Rota'!$D$6)+2)-1))+2+9,4),INDEX('2030'!$A:$Z,(5+50*((N('My Rota'!$D$6)+2)-1))+2+9,4)))</f>
        <v/>
      </c>
      <c r="E244">
        <f>IF(OR($B244="",(N('My Rota'!$D$6)+2)&gt;53),"",""&amp;CHOOSE(IFERROR(MATCH('My Rota'!$D$5,Setup!$K$33:$K$36,0),1),INDEX('2027'!$A:$Z,(5+50*((N('My Rota'!$D$6)+2)-1))+2+9,5),INDEX('2028'!$A:$Z,(5+50*((N('My Rota'!$D$6)+2)-1))+2+9,5),INDEX('2029'!$A:$Z,(5+50*((N('My Rota'!$D$6)+2)-1))+2+9,5),INDEX('2030'!$A:$Z,(5+50*((N('My Rota'!$D$6)+2)-1))+2+9,5)))</f>
        <v/>
      </c>
      <c r="F244">
        <f>IF(OR($B244="",(N('My Rota'!$D$6)+2)&gt;53),"",""&amp;CHOOSE(IFERROR(MATCH('My Rota'!$D$5,Setup!$K$33:$K$36,0),1),INDEX('2027'!$A:$Z,(5+50*((N('My Rota'!$D$6)+2)-1))+2+9,6),INDEX('2028'!$A:$Z,(5+50*((N('My Rota'!$D$6)+2)-1))+2+9,6),INDEX('2029'!$A:$Z,(5+50*((N('My Rota'!$D$6)+2)-1))+2+9,6),INDEX('2030'!$A:$Z,(5+50*((N('My Rota'!$D$6)+2)-1))+2+9,6)))</f>
        <v/>
      </c>
      <c r="G244">
        <f>IF(OR($B244="",(N('My Rota'!$D$6)+2)&gt;53),"",""&amp;CHOOSE(IFERROR(MATCH('My Rota'!$D$5,Setup!$K$33:$K$36,0),1),INDEX('2027'!$A:$Z,(5+50*((N('My Rota'!$D$6)+2)-1))+2+9,7),INDEX('2028'!$A:$Z,(5+50*((N('My Rota'!$D$6)+2)-1))+2+9,7),INDEX('2029'!$A:$Z,(5+50*((N('My Rota'!$D$6)+2)-1))+2+9,7),INDEX('2030'!$A:$Z,(5+50*((N('My Rota'!$D$6)+2)-1))+2+9,7)))</f>
        <v/>
      </c>
      <c r="H244">
        <f>IF(OR($B244="",(N('My Rota'!$D$6)+2)&gt;53),"",""&amp;CHOOSE(IFERROR(MATCH('My Rota'!$D$5,Setup!$K$33:$K$36,0),1),INDEX('2027'!$A:$Z,(5+50*((N('My Rota'!$D$6)+2)-1))+2+9,8),INDEX('2028'!$A:$Z,(5+50*((N('My Rota'!$D$6)+2)-1))+2+9,8),INDEX('2029'!$A:$Z,(5+50*((N('My Rota'!$D$6)+2)-1))+2+9,8),INDEX('2030'!$A:$Z,(5+50*((N('My Rota'!$D$6)+2)-1))+2+9,8)))</f>
        <v/>
      </c>
      <c r="I244">
        <f>IF(OR($B244="",(N('My Rota'!$D$6)+2)&gt;53),"",""&amp;CHOOSE(IFERROR(MATCH('My Rota'!$D$5,Setup!$K$33:$K$36,0),1),INDEX('2027'!$A:$Z,(5+50*((N('My Rota'!$D$6)+2)-1))+2+9,9),INDEX('2028'!$A:$Z,(5+50*((N('My Rota'!$D$6)+2)-1))+2+9,9),INDEX('2029'!$A:$Z,(5+50*((N('My Rota'!$D$6)+2)-1))+2+9,9),INDEX('2030'!$A:$Z,(5+50*((N('My Rota'!$D$6)+2)-1))+2+9,9)))</f>
        <v/>
      </c>
      <c r="J244">
        <f>IF(OR($B244="",(N('My Rota'!$D$6)+2)&gt;53),"",""&amp;CHOOSE(IFERROR(MATCH('My Rota'!$D$5,Setup!$K$33:$K$36,0),1),INDEX('2027'!$A:$Z,(5+50*((N('My Rota'!$D$6)+2)-1))+2+9,10),INDEX('2028'!$A:$Z,(5+50*((N('My Rota'!$D$6)+2)-1))+2+9,10),INDEX('2029'!$A:$Z,(5+50*((N('My Rota'!$D$6)+2)-1))+2+9,10),INDEX('2030'!$A:$Z,(5+50*((N('My Rota'!$D$6)+2)-1))+2+9,10)))</f>
        <v/>
      </c>
      <c r="K244">
        <f>IF(OR($B244="",(N('My Rota'!$D$6)+2)&gt;53),"",""&amp;CHOOSE(IFERROR(MATCH('My Rota'!$D$5,Setup!$K$33:$K$36,0),1),INDEX('2027'!$A:$Z,(5+50*((N('My Rota'!$D$6)+2)-1))+2+9,11),INDEX('2028'!$A:$Z,(5+50*((N('My Rota'!$D$6)+2)-1))+2+9,11),INDEX('2029'!$A:$Z,(5+50*((N('My Rota'!$D$6)+2)-1))+2+9,11),INDEX('2030'!$A:$Z,(5+50*((N('My Rota'!$D$6)+2)-1))+2+9,11)))</f>
        <v/>
      </c>
      <c r="L244">
        <f>IF(OR($B244="",(N('My Rota'!$D$6)+2)&gt;53),"",""&amp;CHOOSE(IFERROR(MATCH('My Rota'!$D$5,Setup!$K$33:$K$36,0),1),INDEX('2027'!$A:$Z,(5+50*((N('My Rota'!$D$6)+2)-1))+2+9,12),INDEX('2028'!$A:$Z,(5+50*((N('My Rota'!$D$6)+2)-1))+2+9,12),INDEX('2029'!$A:$Z,(5+50*((N('My Rota'!$D$6)+2)-1))+2+9,12),INDEX('2030'!$A:$Z,(5+50*((N('My Rota'!$D$6)+2)-1))+2+9,12)))</f>
        <v/>
      </c>
      <c r="M244">
        <f>IF(OR($B244="",(N('My Rota'!$D$6)+2)&gt;53),"",""&amp;CHOOSE(IFERROR(MATCH('My Rota'!$D$5,Setup!$K$33:$K$36,0),1),INDEX('2027'!$A:$Z,(5+50*((N('My Rota'!$D$6)+2)-1))+2+9,13),INDEX('2028'!$A:$Z,(5+50*((N('My Rota'!$D$6)+2)-1))+2+9,13),INDEX('2029'!$A:$Z,(5+50*((N('My Rota'!$D$6)+2)-1))+2+9,13),INDEX('2030'!$A:$Z,(5+50*((N('My Rota'!$D$6)+2)-1))+2+9,13)))</f>
        <v/>
      </c>
      <c r="N244">
        <f>IF(OR($B244="",(N('My Rota'!$D$6)+2)&gt;53),"",""&amp;CHOOSE(IFERROR(MATCH('My Rota'!$D$5,Setup!$K$33:$K$36,0),1),INDEX('2027'!$A:$Z,(5+50*((N('My Rota'!$D$6)+2)-1))+2+9,14),INDEX('2028'!$A:$Z,(5+50*((N('My Rota'!$D$6)+2)-1))+2+9,14),INDEX('2029'!$A:$Z,(5+50*((N('My Rota'!$D$6)+2)-1))+2+9,14),INDEX('2030'!$A:$Z,(5+50*((N('My Rota'!$D$6)+2)-1))+2+9,14)))</f>
        <v/>
      </c>
      <c r="O244">
        <f>IF(OR($B244="",(N('My Rota'!$D$6)+2)&gt;53),"",""&amp;CHOOSE(IFERROR(MATCH('My Rota'!$D$5,Setup!$K$33:$K$36,0),1),INDEX('2027'!$A:$Z,(5+50*((N('My Rota'!$D$6)+2)-1))+2+9,15),INDEX('2028'!$A:$Z,(5+50*((N('My Rota'!$D$6)+2)-1))+2+9,15),INDEX('2029'!$A:$Z,(5+50*((N('My Rota'!$D$6)+2)-1))+2+9,15),INDEX('2030'!$A:$Z,(5+50*((N('My Rota'!$D$6)+2)-1))+2+9,15)))</f>
        <v/>
      </c>
      <c r="P244">
        <f>IF(OR($B244="",(N('My Rota'!$D$6)+2)&gt;53),"",""&amp;CHOOSE(IFERROR(MATCH('My Rota'!$D$5,Setup!$K$33:$K$36,0),1),INDEX('2027'!$A:$Z,(5+50*((N('My Rota'!$D$6)+2)-1))+2+9,16),INDEX('2028'!$A:$Z,(5+50*((N('My Rota'!$D$6)+2)-1))+2+9,16),INDEX('2029'!$A:$Z,(5+50*((N('My Rota'!$D$6)+2)-1))+2+9,16),INDEX('2030'!$A:$Z,(5+50*((N('My Rota'!$D$6)+2)-1))+2+9,16)))</f>
        <v/>
      </c>
      <c r="Q244">
        <f>IF(OR($B244="",(N('My Rota'!$D$6)+2)&gt;53),"",""&amp;CHOOSE(IFERROR(MATCH('My Rota'!$D$5,Setup!$K$33:$K$36,0),1),INDEX('2027'!$A:$Z,(5+50*((N('My Rota'!$D$6)+2)-1))+2+9,17),INDEX('2028'!$A:$Z,(5+50*((N('My Rota'!$D$6)+2)-1))+2+9,17),INDEX('2029'!$A:$Z,(5+50*((N('My Rota'!$D$6)+2)-1))+2+9,17),INDEX('2030'!$A:$Z,(5+50*((N('My Rota'!$D$6)+2)-1))+2+9,17)))</f>
        <v/>
      </c>
      <c r="R244">
        <f>IF(OR($B244="",(N('My Rota'!$D$6)+2)&gt;53),"",""&amp;CHOOSE(IFERROR(MATCH('My Rota'!$D$5,Setup!$K$33:$K$36,0),1),INDEX('2027'!$A:$Z,(5+50*((N('My Rota'!$D$6)+2)-1))+2+9,18),INDEX('2028'!$A:$Z,(5+50*((N('My Rota'!$D$6)+2)-1))+2+9,18),INDEX('2029'!$A:$Z,(5+50*((N('My Rota'!$D$6)+2)-1))+2+9,18),INDEX('2030'!$A:$Z,(5+50*((N('My Rota'!$D$6)+2)-1))+2+9,18)))</f>
        <v/>
      </c>
      <c r="S244">
        <f>IF(OR($B244="",(N('My Rota'!$D$6)+2)&gt;53),"",""&amp;CHOOSE(IFERROR(MATCH('My Rota'!$D$5,Setup!$K$33:$K$36,0),1),INDEX('2027'!$A:$Z,(5+50*((N('My Rota'!$D$6)+2)-1))+2+9,19),INDEX('2028'!$A:$Z,(5+50*((N('My Rota'!$D$6)+2)-1))+2+9,19),INDEX('2029'!$A:$Z,(5+50*((N('My Rota'!$D$6)+2)-1))+2+9,19),INDEX('2030'!$A:$Z,(5+50*((N('My Rota'!$D$6)+2)-1))+2+9,19)))</f>
        <v/>
      </c>
      <c r="T244">
        <f>IF(OR($B244="",(N('My Rota'!$D$6)+2)&gt;53),"",""&amp;CHOOSE(IFERROR(MATCH('My Rota'!$D$5,Setup!$K$33:$K$36,0),1),INDEX('2027'!$A:$Z,(5+50*((N('My Rota'!$D$6)+2)-1))+2+9,20),INDEX('2028'!$A:$Z,(5+50*((N('My Rota'!$D$6)+2)-1))+2+9,20),INDEX('2029'!$A:$Z,(5+50*((N('My Rota'!$D$6)+2)-1))+2+9,20),INDEX('2030'!$A:$Z,(5+50*((N('My Rota'!$D$6)+2)-1))+2+9,20)))</f>
        <v/>
      </c>
      <c r="U244">
        <f>IF(OR($B244="",(N('My Rota'!$D$6)+2)&gt;53),"",""&amp;CHOOSE(IFERROR(MATCH('My Rota'!$D$5,Setup!$K$33:$K$36,0),1),INDEX('2027'!$A:$Z,(5+50*((N('My Rota'!$D$6)+2)-1))+2+9,21),INDEX('2028'!$A:$Z,(5+50*((N('My Rota'!$D$6)+2)-1))+2+9,21),INDEX('2029'!$A:$Z,(5+50*((N('My Rota'!$D$6)+2)-1))+2+9,21),INDEX('2030'!$A:$Z,(5+50*((N('My Rota'!$D$6)+2)-1))+2+9,21)))</f>
        <v/>
      </c>
      <c r="V244">
        <f>IF(OR($B244="",(N('My Rota'!$D$6)+2)&gt;53),"",""&amp;CHOOSE(IFERROR(MATCH('My Rota'!$D$5,Setup!$K$33:$K$36,0),1),INDEX('2027'!$A:$Z,(5+50*((N('My Rota'!$D$6)+2)-1))+2+9,22),INDEX('2028'!$A:$Z,(5+50*((N('My Rota'!$D$6)+2)-1))+2+9,22),INDEX('2029'!$A:$Z,(5+50*((N('My Rota'!$D$6)+2)-1))+2+9,22),INDEX('2030'!$A:$Z,(5+50*((N('My Rota'!$D$6)+2)-1))+2+9,22)))</f>
        <v/>
      </c>
      <c r="W244">
        <f>IF(OR($B244="",(N('My Rota'!$D$6)+2)&gt;53),"",""&amp;CHOOSE(IFERROR(MATCH('My Rota'!$D$5,Setup!$K$33:$K$36,0),1),INDEX('2027'!$A:$Z,(5+50*((N('My Rota'!$D$6)+2)-1))+2+9,23),INDEX('2028'!$A:$Z,(5+50*((N('My Rota'!$D$6)+2)-1))+2+9,23),INDEX('2029'!$A:$Z,(5+50*((N('My Rota'!$D$6)+2)-1))+2+9,23),INDEX('2030'!$A:$Z,(5+50*((N('My Rota'!$D$6)+2)-1))+2+9,23)))</f>
        <v/>
      </c>
      <c r="X244">
        <f>IF(OR($B244="",(N('My Rota'!$D$6)+2)&gt;53),"",""&amp;CHOOSE(IFERROR(MATCH('My Rota'!$D$5,Setup!$K$33:$K$36,0),1),INDEX('2027'!$A:$Z,(5+50*((N('My Rota'!$D$6)+2)-1))+2+9,24),INDEX('2028'!$A:$Z,(5+50*((N('My Rota'!$D$6)+2)-1))+2+9,24),INDEX('2029'!$A:$Z,(5+50*((N('My Rota'!$D$6)+2)-1))+2+9,24),INDEX('2030'!$A:$Z,(5+50*((N('My Rota'!$D$6)+2)-1))+2+9,24)))</f>
        <v/>
      </c>
      <c r="Y244">
        <f>IF(OR($B244="",(N('My Rota'!$D$6)+2)&gt;53),"",""&amp;CHOOSE(IFERROR(MATCH('My Rota'!$D$5,Setup!$K$33:$K$36,0),1),INDEX('2027'!$A:$Z,(5+50*((N('My Rota'!$D$6)+2)-1))+2+9,25),INDEX('2028'!$A:$Z,(5+50*((N('My Rota'!$D$6)+2)-1))+2+9,25),INDEX('2029'!$A:$Z,(5+50*((N('My Rota'!$D$6)+2)-1))+2+9,25),INDEX('2030'!$A:$Z,(5+50*((N('My Rota'!$D$6)+2)-1))+2+9,25)))</f>
        <v/>
      </c>
      <c r="Z244">
        <f>IF(OR($B244="",(N('My Rota'!$D$6)+2)&gt;53),"",""&amp;CHOOSE(IFERROR(MATCH('My Rota'!$D$5,Setup!$K$33:$K$36,0),1),INDEX('2027'!$A:$Z,(5+50*((N('My Rota'!$D$6)+2)-1))+2+9,26),INDEX('2028'!$A:$Z,(5+50*((N('My Rota'!$D$6)+2)-1))+2+9,26),INDEX('2029'!$A:$Z,(5+50*((N('My Rota'!$D$6)+2)-1))+2+9,26),INDEX('2030'!$A:$Z,(5+50*((N('My Rota'!$D$6)+2)-1))+2+9,26)))</f>
        <v/>
      </c>
    </row>
    <row r="245">
      <c r="A245" t="n">
        <v>3</v>
      </c>
      <c r="B245">
        <f>$B$56</f>
        <v/>
      </c>
      <c r="C245">
        <f>IF(OR($B245="",(N('My Rota'!$D$6)+2)&gt;53),"",""&amp;CHOOSE(IFERROR(MATCH('My Rota'!$D$5,Setup!$K$33:$K$36,0),1),INDEX('2027'!$A:$Z,(5+50*((N('My Rota'!$D$6)+2)-1))+2+10,3),INDEX('2028'!$A:$Z,(5+50*((N('My Rota'!$D$6)+2)-1))+2+10,3),INDEX('2029'!$A:$Z,(5+50*((N('My Rota'!$D$6)+2)-1))+2+10,3),INDEX('2030'!$A:$Z,(5+50*((N('My Rota'!$D$6)+2)-1))+2+10,3)))</f>
        <v/>
      </c>
      <c r="D245">
        <f>IF(OR($B245="",(N('My Rota'!$D$6)+2)&gt;53),"",""&amp;CHOOSE(IFERROR(MATCH('My Rota'!$D$5,Setup!$K$33:$K$36,0),1),INDEX('2027'!$A:$Z,(5+50*((N('My Rota'!$D$6)+2)-1))+2+10,4),INDEX('2028'!$A:$Z,(5+50*((N('My Rota'!$D$6)+2)-1))+2+10,4),INDEX('2029'!$A:$Z,(5+50*((N('My Rota'!$D$6)+2)-1))+2+10,4),INDEX('2030'!$A:$Z,(5+50*((N('My Rota'!$D$6)+2)-1))+2+10,4)))</f>
        <v/>
      </c>
      <c r="E245">
        <f>IF(OR($B245="",(N('My Rota'!$D$6)+2)&gt;53),"",""&amp;CHOOSE(IFERROR(MATCH('My Rota'!$D$5,Setup!$K$33:$K$36,0),1),INDEX('2027'!$A:$Z,(5+50*((N('My Rota'!$D$6)+2)-1))+2+10,5),INDEX('2028'!$A:$Z,(5+50*((N('My Rota'!$D$6)+2)-1))+2+10,5),INDEX('2029'!$A:$Z,(5+50*((N('My Rota'!$D$6)+2)-1))+2+10,5),INDEX('2030'!$A:$Z,(5+50*((N('My Rota'!$D$6)+2)-1))+2+10,5)))</f>
        <v/>
      </c>
      <c r="F245">
        <f>IF(OR($B245="",(N('My Rota'!$D$6)+2)&gt;53),"",""&amp;CHOOSE(IFERROR(MATCH('My Rota'!$D$5,Setup!$K$33:$K$36,0),1),INDEX('2027'!$A:$Z,(5+50*((N('My Rota'!$D$6)+2)-1))+2+10,6),INDEX('2028'!$A:$Z,(5+50*((N('My Rota'!$D$6)+2)-1))+2+10,6),INDEX('2029'!$A:$Z,(5+50*((N('My Rota'!$D$6)+2)-1))+2+10,6),INDEX('2030'!$A:$Z,(5+50*((N('My Rota'!$D$6)+2)-1))+2+10,6)))</f>
        <v/>
      </c>
      <c r="G245">
        <f>IF(OR($B245="",(N('My Rota'!$D$6)+2)&gt;53),"",""&amp;CHOOSE(IFERROR(MATCH('My Rota'!$D$5,Setup!$K$33:$K$36,0),1),INDEX('2027'!$A:$Z,(5+50*((N('My Rota'!$D$6)+2)-1))+2+10,7),INDEX('2028'!$A:$Z,(5+50*((N('My Rota'!$D$6)+2)-1))+2+10,7),INDEX('2029'!$A:$Z,(5+50*((N('My Rota'!$D$6)+2)-1))+2+10,7),INDEX('2030'!$A:$Z,(5+50*((N('My Rota'!$D$6)+2)-1))+2+10,7)))</f>
        <v/>
      </c>
      <c r="H245">
        <f>IF(OR($B245="",(N('My Rota'!$D$6)+2)&gt;53),"",""&amp;CHOOSE(IFERROR(MATCH('My Rota'!$D$5,Setup!$K$33:$K$36,0),1),INDEX('2027'!$A:$Z,(5+50*((N('My Rota'!$D$6)+2)-1))+2+10,8),INDEX('2028'!$A:$Z,(5+50*((N('My Rota'!$D$6)+2)-1))+2+10,8),INDEX('2029'!$A:$Z,(5+50*((N('My Rota'!$D$6)+2)-1))+2+10,8),INDEX('2030'!$A:$Z,(5+50*((N('My Rota'!$D$6)+2)-1))+2+10,8)))</f>
        <v/>
      </c>
      <c r="I245">
        <f>IF(OR($B245="",(N('My Rota'!$D$6)+2)&gt;53),"",""&amp;CHOOSE(IFERROR(MATCH('My Rota'!$D$5,Setup!$K$33:$K$36,0),1),INDEX('2027'!$A:$Z,(5+50*((N('My Rota'!$D$6)+2)-1))+2+10,9),INDEX('2028'!$A:$Z,(5+50*((N('My Rota'!$D$6)+2)-1))+2+10,9),INDEX('2029'!$A:$Z,(5+50*((N('My Rota'!$D$6)+2)-1))+2+10,9),INDEX('2030'!$A:$Z,(5+50*((N('My Rota'!$D$6)+2)-1))+2+10,9)))</f>
        <v/>
      </c>
      <c r="J245">
        <f>IF(OR($B245="",(N('My Rota'!$D$6)+2)&gt;53),"",""&amp;CHOOSE(IFERROR(MATCH('My Rota'!$D$5,Setup!$K$33:$K$36,0),1),INDEX('2027'!$A:$Z,(5+50*((N('My Rota'!$D$6)+2)-1))+2+10,10),INDEX('2028'!$A:$Z,(5+50*((N('My Rota'!$D$6)+2)-1))+2+10,10),INDEX('2029'!$A:$Z,(5+50*((N('My Rota'!$D$6)+2)-1))+2+10,10),INDEX('2030'!$A:$Z,(5+50*((N('My Rota'!$D$6)+2)-1))+2+10,10)))</f>
        <v/>
      </c>
      <c r="K245">
        <f>IF(OR($B245="",(N('My Rota'!$D$6)+2)&gt;53),"",""&amp;CHOOSE(IFERROR(MATCH('My Rota'!$D$5,Setup!$K$33:$K$36,0),1),INDEX('2027'!$A:$Z,(5+50*((N('My Rota'!$D$6)+2)-1))+2+10,11),INDEX('2028'!$A:$Z,(5+50*((N('My Rota'!$D$6)+2)-1))+2+10,11),INDEX('2029'!$A:$Z,(5+50*((N('My Rota'!$D$6)+2)-1))+2+10,11),INDEX('2030'!$A:$Z,(5+50*((N('My Rota'!$D$6)+2)-1))+2+10,11)))</f>
        <v/>
      </c>
      <c r="L245">
        <f>IF(OR($B245="",(N('My Rota'!$D$6)+2)&gt;53),"",""&amp;CHOOSE(IFERROR(MATCH('My Rota'!$D$5,Setup!$K$33:$K$36,0),1),INDEX('2027'!$A:$Z,(5+50*((N('My Rota'!$D$6)+2)-1))+2+10,12),INDEX('2028'!$A:$Z,(5+50*((N('My Rota'!$D$6)+2)-1))+2+10,12),INDEX('2029'!$A:$Z,(5+50*((N('My Rota'!$D$6)+2)-1))+2+10,12),INDEX('2030'!$A:$Z,(5+50*((N('My Rota'!$D$6)+2)-1))+2+10,12)))</f>
        <v/>
      </c>
      <c r="M245">
        <f>IF(OR($B245="",(N('My Rota'!$D$6)+2)&gt;53),"",""&amp;CHOOSE(IFERROR(MATCH('My Rota'!$D$5,Setup!$K$33:$K$36,0),1),INDEX('2027'!$A:$Z,(5+50*((N('My Rota'!$D$6)+2)-1))+2+10,13),INDEX('2028'!$A:$Z,(5+50*((N('My Rota'!$D$6)+2)-1))+2+10,13),INDEX('2029'!$A:$Z,(5+50*((N('My Rota'!$D$6)+2)-1))+2+10,13),INDEX('2030'!$A:$Z,(5+50*((N('My Rota'!$D$6)+2)-1))+2+10,13)))</f>
        <v/>
      </c>
      <c r="N245">
        <f>IF(OR($B245="",(N('My Rota'!$D$6)+2)&gt;53),"",""&amp;CHOOSE(IFERROR(MATCH('My Rota'!$D$5,Setup!$K$33:$K$36,0),1),INDEX('2027'!$A:$Z,(5+50*((N('My Rota'!$D$6)+2)-1))+2+10,14),INDEX('2028'!$A:$Z,(5+50*((N('My Rota'!$D$6)+2)-1))+2+10,14),INDEX('2029'!$A:$Z,(5+50*((N('My Rota'!$D$6)+2)-1))+2+10,14),INDEX('2030'!$A:$Z,(5+50*((N('My Rota'!$D$6)+2)-1))+2+10,14)))</f>
        <v/>
      </c>
      <c r="O245">
        <f>IF(OR($B245="",(N('My Rota'!$D$6)+2)&gt;53),"",""&amp;CHOOSE(IFERROR(MATCH('My Rota'!$D$5,Setup!$K$33:$K$36,0),1),INDEX('2027'!$A:$Z,(5+50*((N('My Rota'!$D$6)+2)-1))+2+10,15),INDEX('2028'!$A:$Z,(5+50*((N('My Rota'!$D$6)+2)-1))+2+10,15),INDEX('2029'!$A:$Z,(5+50*((N('My Rota'!$D$6)+2)-1))+2+10,15),INDEX('2030'!$A:$Z,(5+50*((N('My Rota'!$D$6)+2)-1))+2+10,15)))</f>
        <v/>
      </c>
      <c r="P245">
        <f>IF(OR($B245="",(N('My Rota'!$D$6)+2)&gt;53),"",""&amp;CHOOSE(IFERROR(MATCH('My Rota'!$D$5,Setup!$K$33:$K$36,0),1),INDEX('2027'!$A:$Z,(5+50*((N('My Rota'!$D$6)+2)-1))+2+10,16),INDEX('2028'!$A:$Z,(5+50*((N('My Rota'!$D$6)+2)-1))+2+10,16),INDEX('2029'!$A:$Z,(5+50*((N('My Rota'!$D$6)+2)-1))+2+10,16),INDEX('2030'!$A:$Z,(5+50*((N('My Rota'!$D$6)+2)-1))+2+10,16)))</f>
        <v/>
      </c>
      <c r="Q245">
        <f>IF(OR($B245="",(N('My Rota'!$D$6)+2)&gt;53),"",""&amp;CHOOSE(IFERROR(MATCH('My Rota'!$D$5,Setup!$K$33:$K$36,0),1),INDEX('2027'!$A:$Z,(5+50*((N('My Rota'!$D$6)+2)-1))+2+10,17),INDEX('2028'!$A:$Z,(5+50*((N('My Rota'!$D$6)+2)-1))+2+10,17),INDEX('2029'!$A:$Z,(5+50*((N('My Rota'!$D$6)+2)-1))+2+10,17),INDEX('2030'!$A:$Z,(5+50*((N('My Rota'!$D$6)+2)-1))+2+10,17)))</f>
        <v/>
      </c>
      <c r="R245">
        <f>IF(OR($B245="",(N('My Rota'!$D$6)+2)&gt;53),"",""&amp;CHOOSE(IFERROR(MATCH('My Rota'!$D$5,Setup!$K$33:$K$36,0),1),INDEX('2027'!$A:$Z,(5+50*((N('My Rota'!$D$6)+2)-1))+2+10,18),INDEX('2028'!$A:$Z,(5+50*((N('My Rota'!$D$6)+2)-1))+2+10,18),INDEX('2029'!$A:$Z,(5+50*((N('My Rota'!$D$6)+2)-1))+2+10,18),INDEX('2030'!$A:$Z,(5+50*((N('My Rota'!$D$6)+2)-1))+2+10,18)))</f>
        <v/>
      </c>
      <c r="S245">
        <f>IF(OR($B245="",(N('My Rota'!$D$6)+2)&gt;53),"",""&amp;CHOOSE(IFERROR(MATCH('My Rota'!$D$5,Setup!$K$33:$K$36,0),1),INDEX('2027'!$A:$Z,(5+50*((N('My Rota'!$D$6)+2)-1))+2+10,19),INDEX('2028'!$A:$Z,(5+50*((N('My Rota'!$D$6)+2)-1))+2+10,19),INDEX('2029'!$A:$Z,(5+50*((N('My Rota'!$D$6)+2)-1))+2+10,19),INDEX('2030'!$A:$Z,(5+50*((N('My Rota'!$D$6)+2)-1))+2+10,19)))</f>
        <v/>
      </c>
      <c r="T245">
        <f>IF(OR($B245="",(N('My Rota'!$D$6)+2)&gt;53),"",""&amp;CHOOSE(IFERROR(MATCH('My Rota'!$D$5,Setup!$K$33:$K$36,0),1),INDEX('2027'!$A:$Z,(5+50*((N('My Rota'!$D$6)+2)-1))+2+10,20),INDEX('2028'!$A:$Z,(5+50*((N('My Rota'!$D$6)+2)-1))+2+10,20),INDEX('2029'!$A:$Z,(5+50*((N('My Rota'!$D$6)+2)-1))+2+10,20),INDEX('2030'!$A:$Z,(5+50*((N('My Rota'!$D$6)+2)-1))+2+10,20)))</f>
        <v/>
      </c>
      <c r="U245">
        <f>IF(OR($B245="",(N('My Rota'!$D$6)+2)&gt;53),"",""&amp;CHOOSE(IFERROR(MATCH('My Rota'!$D$5,Setup!$K$33:$K$36,0),1),INDEX('2027'!$A:$Z,(5+50*((N('My Rota'!$D$6)+2)-1))+2+10,21),INDEX('2028'!$A:$Z,(5+50*((N('My Rota'!$D$6)+2)-1))+2+10,21),INDEX('2029'!$A:$Z,(5+50*((N('My Rota'!$D$6)+2)-1))+2+10,21),INDEX('2030'!$A:$Z,(5+50*((N('My Rota'!$D$6)+2)-1))+2+10,21)))</f>
        <v/>
      </c>
      <c r="V245">
        <f>IF(OR($B245="",(N('My Rota'!$D$6)+2)&gt;53),"",""&amp;CHOOSE(IFERROR(MATCH('My Rota'!$D$5,Setup!$K$33:$K$36,0),1),INDEX('2027'!$A:$Z,(5+50*((N('My Rota'!$D$6)+2)-1))+2+10,22),INDEX('2028'!$A:$Z,(5+50*((N('My Rota'!$D$6)+2)-1))+2+10,22),INDEX('2029'!$A:$Z,(5+50*((N('My Rota'!$D$6)+2)-1))+2+10,22),INDEX('2030'!$A:$Z,(5+50*((N('My Rota'!$D$6)+2)-1))+2+10,22)))</f>
        <v/>
      </c>
      <c r="W245">
        <f>IF(OR($B245="",(N('My Rota'!$D$6)+2)&gt;53),"",""&amp;CHOOSE(IFERROR(MATCH('My Rota'!$D$5,Setup!$K$33:$K$36,0),1),INDEX('2027'!$A:$Z,(5+50*((N('My Rota'!$D$6)+2)-1))+2+10,23),INDEX('2028'!$A:$Z,(5+50*((N('My Rota'!$D$6)+2)-1))+2+10,23),INDEX('2029'!$A:$Z,(5+50*((N('My Rota'!$D$6)+2)-1))+2+10,23),INDEX('2030'!$A:$Z,(5+50*((N('My Rota'!$D$6)+2)-1))+2+10,23)))</f>
        <v/>
      </c>
      <c r="X245">
        <f>IF(OR($B245="",(N('My Rota'!$D$6)+2)&gt;53),"",""&amp;CHOOSE(IFERROR(MATCH('My Rota'!$D$5,Setup!$K$33:$K$36,0),1),INDEX('2027'!$A:$Z,(5+50*((N('My Rota'!$D$6)+2)-1))+2+10,24),INDEX('2028'!$A:$Z,(5+50*((N('My Rota'!$D$6)+2)-1))+2+10,24),INDEX('2029'!$A:$Z,(5+50*((N('My Rota'!$D$6)+2)-1))+2+10,24),INDEX('2030'!$A:$Z,(5+50*((N('My Rota'!$D$6)+2)-1))+2+10,24)))</f>
        <v/>
      </c>
      <c r="Y245">
        <f>IF(OR($B245="",(N('My Rota'!$D$6)+2)&gt;53),"",""&amp;CHOOSE(IFERROR(MATCH('My Rota'!$D$5,Setup!$K$33:$K$36,0),1),INDEX('2027'!$A:$Z,(5+50*((N('My Rota'!$D$6)+2)-1))+2+10,25),INDEX('2028'!$A:$Z,(5+50*((N('My Rota'!$D$6)+2)-1))+2+10,25),INDEX('2029'!$A:$Z,(5+50*((N('My Rota'!$D$6)+2)-1))+2+10,25),INDEX('2030'!$A:$Z,(5+50*((N('My Rota'!$D$6)+2)-1))+2+10,25)))</f>
        <v/>
      </c>
      <c r="Z245">
        <f>IF(OR($B245="",(N('My Rota'!$D$6)+2)&gt;53),"",""&amp;CHOOSE(IFERROR(MATCH('My Rota'!$D$5,Setup!$K$33:$K$36,0),1),INDEX('2027'!$A:$Z,(5+50*((N('My Rota'!$D$6)+2)-1))+2+10,26),INDEX('2028'!$A:$Z,(5+50*((N('My Rota'!$D$6)+2)-1))+2+10,26),INDEX('2029'!$A:$Z,(5+50*((N('My Rota'!$D$6)+2)-1))+2+10,26),INDEX('2030'!$A:$Z,(5+50*((N('My Rota'!$D$6)+2)-1))+2+10,26)))</f>
        <v/>
      </c>
    </row>
    <row r="246">
      <c r="A246" t="n">
        <v>3</v>
      </c>
      <c r="B246">
        <f>$B$57</f>
        <v/>
      </c>
      <c r="C246">
        <f>IF(OR($B246="",(N('My Rota'!$D$6)+2)&gt;53),"",""&amp;CHOOSE(IFERROR(MATCH('My Rota'!$D$5,Setup!$K$33:$K$36,0),1),INDEX('2027'!$A:$Z,(5+50*((N('My Rota'!$D$6)+2)-1))+2+11,3),INDEX('2028'!$A:$Z,(5+50*((N('My Rota'!$D$6)+2)-1))+2+11,3),INDEX('2029'!$A:$Z,(5+50*((N('My Rota'!$D$6)+2)-1))+2+11,3),INDEX('2030'!$A:$Z,(5+50*((N('My Rota'!$D$6)+2)-1))+2+11,3)))</f>
        <v/>
      </c>
      <c r="D246">
        <f>IF(OR($B246="",(N('My Rota'!$D$6)+2)&gt;53),"",""&amp;CHOOSE(IFERROR(MATCH('My Rota'!$D$5,Setup!$K$33:$K$36,0),1),INDEX('2027'!$A:$Z,(5+50*((N('My Rota'!$D$6)+2)-1))+2+11,4),INDEX('2028'!$A:$Z,(5+50*((N('My Rota'!$D$6)+2)-1))+2+11,4),INDEX('2029'!$A:$Z,(5+50*((N('My Rota'!$D$6)+2)-1))+2+11,4),INDEX('2030'!$A:$Z,(5+50*((N('My Rota'!$D$6)+2)-1))+2+11,4)))</f>
        <v/>
      </c>
      <c r="E246">
        <f>IF(OR($B246="",(N('My Rota'!$D$6)+2)&gt;53),"",""&amp;CHOOSE(IFERROR(MATCH('My Rota'!$D$5,Setup!$K$33:$K$36,0),1),INDEX('2027'!$A:$Z,(5+50*((N('My Rota'!$D$6)+2)-1))+2+11,5),INDEX('2028'!$A:$Z,(5+50*((N('My Rota'!$D$6)+2)-1))+2+11,5),INDEX('2029'!$A:$Z,(5+50*((N('My Rota'!$D$6)+2)-1))+2+11,5),INDEX('2030'!$A:$Z,(5+50*((N('My Rota'!$D$6)+2)-1))+2+11,5)))</f>
        <v/>
      </c>
      <c r="F246">
        <f>IF(OR($B246="",(N('My Rota'!$D$6)+2)&gt;53),"",""&amp;CHOOSE(IFERROR(MATCH('My Rota'!$D$5,Setup!$K$33:$K$36,0),1),INDEX('2027'!$A:$Z,(5+50*((N('My Rota'!$D$6)+2)-1))+2+11,6),INDEX('2028'!$A:$Z,(5+50*((N('My Rota'!$D$6)+2)-1))+2+11,6),INDEX('2029'!$A:$Z,(5+50*((N('My Rota'!$D$6)+2)-1))+2+11,6),INDEX('2030'!$A:$Z,(5+50*((N('My Rota'!$D$6)+2)-1))+2+11,6)))</f>
        <v/>
      </c>
      <c r="G246">
        <f>IF(OR($B246="",(N('My Rota'!$D$6)+2)&gt;53),"",""&amp;CHOOSE(IFERROR(MATCH('My Rota'!$D$5,Setup!$K$33:$K$36,0),1),INDEX('2027'!$A:$Z,(5+50*((N('My Rota'!$D$6)+2)-1))+2+11,7),INDEX('2028'!$A:$Z,(5+50*((N('My Rota'!$D$6)+2)-1))+2+11,7),INDEX('2029'!$A:$Z,(5+50*((N('My Rota'!$D$6)+2)-1))+2+11,7),INDEX('2030'!$A:$Z,(5+50*((N('My Rota'!$D$6)+2)-1))+2+11,7)))</f>
        <v/>
      </c>
      <c r="H246">
        <f>IF(OR($B246="",(N('My Rota'!$D$6)+2)&gt;53),"",""&amp;CHOOSE(IFERROR(MATCH('My Rota'!$D$5,Setup!$K$33:$K$36,0),1),INDEX('2027'!$A:$Z,(5+50*((N('My Rota'!$D$6)+2)-1))+2+11,8),INDEX('2028'!$A:$Z,(5+50*((N('My Rota'!$D$6)+2)-1))+2+11,8),INDEX('2029'!$A:$Z,(5+50*((N('My Rota'!$D$6)+2)-1))+2+11,8),INDEX('2030'!$A:$Z,(5+50*((N('My Rota'!$D$6)+2)-1))+2+11,8)))</f>
        <v/>
      </c>
      <c r="I246">
        <f>IF(OR($B246="",(N('My Rota'!$D$6)+2)&gt;53),"",""&amp;CHOOSE(IFERROR(MATCH('My Rota'!$D$5,Setup!$K$33:$K$36,0),1),INDEX('2027'!$A:$Z,(5+50*((N('My Rota'!$D$6)+2)-1))+2+11,9),INDEX('2028'!$A:$Z,(5+50*((N('My Rota'!$D$6)+2)-1))+2+11,9),INDEX('2029'!$A:$Z,(5+50*((N('My Rota'!$D$6)+2)-1))+2+11,9),INDEX('2030'!$A:$Z,(5+50*((N('My Rota'!$D$6)+2)-1))+2+11,9)))</f>
        <v/>
      </c>
      <c r="J246">
        <f>IF(OR($B246="",(N('My Rota'!$D$6)+2)&gt;53),"",""&amp;CHOOSE(IFERROR(MATCH('My Rota'!$D$5,Setup!$K$33:$K$36,0),1),INDEX('2027'!$A:$Z,(5+50*((N('My Rota'!$D$6)+2)-1))+2+11,10),INDEX('2028'!$A:$Z,(5+50*((N('My Rota'!$D$6)+2)-1))+2+11,10),INDEX('2029'!$A:$Z,(5+50*((N('My Rota'!$D$6)+2)-1))+2+11,10),INDEX('2030'!$A:$Z,(5+50*((N('My Rota'!$D$6)+2)-1))+2+11,10)))</f>
        <v/>
      </c>
      <c r="K246">
        <f>IF(OR($B246="",(N('My Rota'!$D$6)+2)&gt;53),"",""&amp;CHOOSE(IFERROR(MATCH('My Rota'!$D$5,Setup!$K$33:$K$36,0),1),INDEX('2027'!$A:$Z,(5+50*((N('My Rota'!$D$6)+2)-1))+2+11,11),INDEX('2028'!$A:$Z,(5+50*((N('My Rota'!$D$6)+2)-1))+2+11,11),INDEX('2029'!$A:$Z,(5+50*((N('My Rota'!$D$6)+2)-1))+2+11,11),INDEX('2030'!$A:$Z,(5+50*((N('My Rota'!$D$6)+2)-1))+2+11,11)))</f>
        <v/>
      </c>
      <c r="L246">
        <f>IF(OR($B246="",(N('My Rota'!$D$6)+2)&gt;53),"",""&amp;CHOOSE(IFERROR(MATCH('My Rota'!$D$5,Setup!$K$33:$K$36,0),1),INDEX('2027'!$A:$Z,(5+50*((N('My Rota'!$D$6)+2)-1))+2+11,12),INDEX('2028'!$A:$Z,(5+50*((N('My Rota'!$D$6)+2)-1))+2+11,12),INDEX('2029'!$A:$Z,(5+50*((N('My Rota'!$D$6)+2)-1))+2+11,12),INDEX('2030'!$A:$Z,(5+50*((N('My Rota'!$D$6)+2)-1))+2+11,12)))</f>
        <v/>
      </c>
      <c r="M246">
        <f>IF(OR($B246="",(N('My Rota'!$D$6)+2)&gt;53),"",""&amp;CHOOSE(IFERROR(MATCH('My Rota'!$D$5,Setup!$K$33:$K$36,0),1),INDEX('2027'!$A:$Z,(5+50*((N('My Rota'!$D$6)+2)-1))+2+11,13),INDEX('2028'!$A:$Z,(5+50*((N('My Rota'!$D$6)+2)-1))+2+11,13),INDEX('2029'!$A:$Z,(5+50*((N('My Rota'!$D$6)+2)-1))+2+11,13),INDEX('2030'!$A:$Z,(5+50*((N('My Rota'!$D$6)+2)-1))+2+11,13)))</f>
        <v/>
      </c>
      <c r="N246">
        <f>IF(OR($B246="",(N('My Rota'!$D$6)+2)&gt;53),"",""&amp;CHOOSE(IFERROR(MATCH('My Rota'!$D$5,Setup!$K$33:$K$36,0),1),INDEX('2027'!$A:$Z,(5+50*((N('My Rota'!$D$6)+2)-1))+2+11,14),INDEX('2028'!$A:$Z,(5+50*((N('My Rota'!$D$6)+2)-1))+2+11,14),INDEX('2029'!$A:$Z,(5+50*((N('My Rota'!$D$6)+2)-1))+2+11,14),INDEX('2030'!$A:$Z,(5+50*((N('My Rota'!$D$6)+2)-1))+2+11,14)))</f>
        <v/>
      </c>
      <c r="O246">
        <f>IF(OR($B246="",(N('My Rota'!$D$6)+2)&gt;53),"",""&amp;CHOOSE(IFERROR(MATCH('My Rota'!$D$5,Setup!$K$33:$K$36,0),1),INDEX('2027'!$A:$Z,(5+50*((N('My Rota'!$D$6)+2)-1))+2+11,15),INDEX('2028'!$A:$Z,(5+50*((N('My Rota'!$D$6)+2)-1))+2+11,15),INDEX('2029'!$A:$Z,(5+50*((N('My Rota'!$D$6)+2)-1))+2+11,15),INDEX('2030'!$A:$Z,(5+50*((N('My Rota'!$D$6)+2)-1))+2+11,15)))</f>
        <v/>
      </c>
      <c r="P246">
        <f>IF(OR($B246="",(N('My Rota'!$D$6)+2)&gt;53),"",""&amp;CHOOSE(IFERROR(MATCH('My Rota'!$D$5,Setup!$K$33:$K$36,0),1),INDEX('2027'!$A:$Z,(5+50*((N('My Rota'!$D$6)+2)-1))+2+11,16),INDEX('2028'!$A:$Z,(5+50*((N('My Rota'!$D$6)+2)-1))+2+11,16),INDEX('2029'!$A:$Z,(5+50*((N('My Rota'!$D$6)+2)-1))+2+11,16),INDEX('2030'!$A:$Z,(5+50*((N('My Rota'!$D$6)+2)-1))+2+11,16)))</f>
        <v/>
      </c>
      <c r="Q246">
        <f>IF(OR($B246="",(N('My Rota'!$D$6)+2)&gt;53),"",""&amp;CHOOSE(IFERROR(MATCH('My Rota'!$D$5,Setup!$K$33:$K$36,0),1),INDEX('2027'!$A:$Z,(5+50*((N('My Rota'!$D$6)+2)-1))+2+11,17),INDEX('2028'!$A:$Z,(5+50*((N('My Rota'!$D$6)+2)-1))+2+11,17),INDEX('2029'!$A:$Z,(5+50*((N('My Rota'!$D$6)+2)-1))+2+11,17),INDEX('2030'!$A:$Z,(5+50*((N('My Rota'!$D$6)+2)-1))+2+11,17)))</f>
        <v/>
      </c>
      <c r="R246">
        <f>IF(OR($B246="",(N('My Rota'!$D$6)+2)&gt;53),"",""&amp;CHOOSE(IFERROR(MATCH('My Rota'!$D$5,Setup!$K$33:$K$36,0),1),INDEX('2027'!$A:$Z,(5+50*((N('My Rota'!$D$6)+2)-1))+2+11,18),INDEX('2028'!$A:$Z,(5+50*((N('My Rota'!$D$6)+2)-1))+2+11,18),INDEX('2029'!$A:$Z,(5+50*((N('My Rota'!$D$6)+2)-1))+2+11,18),INDEX('2030'!$A:$Z,(5+50*((N('My Rota'!$D$6)+2)-1))+2+11,18)))</f>
        <v/>
      </c>
      <c r="S246">
        <f>IF(OR($B246="",(N('My Rota'!$D$6)+2)&gt;53),"",""&amp;CHOOSE(IFERROR(MATCH('My Rota'!$D$5,Setup!$K$33:$K$36,0),1),INDEX('2027'!$A:$Z,(5+50*((N('My Rota'!$D$6)+2)-1))+2+11,19),INDEX('2028'!$A:$Z,(5+50*((N('My Rota'!$D$6)+2)-1))+2+11,19),INDEX('2029'!$A:$Z,(5+50*((N('My Rota'!$D$6)+2)-1))+2+11,19),INDEX('2030'!$A:$Z,(5+50*((N('My Rota'!$D$6)+2)-1))+2+11,19)))</f>
        <v/>
      </c>
      <c r="T246">
        <f>IF(OR($B246="",(N('My Rota'!$D$6)+2)&gt;53),"",""&amp;CHOOSE(IFERROR(MATCH('My Rota'!$D$5,Setup!$K$33:$K$36,0),1),INDEX('2027'!$A:$Z,(5+50*((N('My Rota'!$D$6)+2)-1))+2+11,20),INDEX('2028'!$A:$Z,(5+50*((N('My Rota'!$D$6)+2)-1))+2+11,20),INDEX('2029'!$A:$Z,(5+50*((N('My Rota'!$D$6)+2)-1))+2+11,20),INDEX('2030'!$A:$Z,(5+50*((N('My Rota'!$D$6)+2)-1))+2+11,20)))</f>
        <v/>
      </c>
      <c r="U246">
        <f>IF(OR($B246="",(N('My Rota'!$D$6)+2)&gt;53),"",""&amp;CHOOSE(IFERROR(MATCH('My Rota'!$D$5,Setup!$K$33:$K$36,0),1),INDEX('2027'!$A:$Z,(5+50*((N('My Rota'!$D$6)+2)-1))+2+11,21),INDEX('2028'!$A:$Z,(5+50*((N('My Rota'!$D$6)+2)-1))+2+11,21),INDEX('2029'!$A:$Z,(5+50*((N('My Rota'!$D$6)+2)-1))+2+11,21),INDEX('2030'!$A:$Z,(5+50*((N('My Rota'!$D$6)+2)-1))+2+11,21)))</f>
        <v/>
      </c>
      <c r="V246">
        <f>IF(OR($B246="",(N('My Rota'!$D$6)+2)&gt;53),"",""&amp;CHOOSE(IFERROR(MATCH('My Rota'!$D$5,Setup!$K$33:$K$36,0),1),INDEX('2027'!$A:$Z,(5+50*((N('My Rota'!$D$6)+2)-1))+2+11,22),INDEX('2028'!$A:$Z,(5+50*((N('My Rota'!$D$6)+2)-1))+2+11,22),INDEX('2029'!$A:$Z,(5+50*((N('My Rota'!$D$6)+2)-1))+2+11,22),INDEX('2030'!$A:$Z,(5+50*((N('My Rota'!$D$6)+2)-1))+2+11,22)))</f>
        <v/>
      </c>
      <c r="W246">
        <f>IF(OR($B246="",(N('My Rota'!$D$6)+2)&gt;53),"",""&amp;CHOOSE(IFERROR(MATCH('My Rota'!$D$5,Setup!$K$33:$K$36,0),1),INDEX('2027'!$A:$Z,(5+50*((N('My Rota'!$D$6)+2)-1))+2+11,23),INDEX('2028'!$A:$Z,(5+50*((N('My Rota'!$D$6)+2)-1))+2+11,23),INDEX('2029'!$A:$Z,(5+50*((N('My Rota'!$D$6)+2)-1))+2+11,23),INDEX('2030'!$A:$Z,(5+50*((N('My Rota'!$D$6)+2)-1))+2+11,23)))</f>
        <v/>
      </c>
      <c r="X246">
        <f>IF(OR($B246="",(N('My Rota'!$D$6)+2)&gt;53),"",""&amp;CHOOSE(IFERROR(MATCH('My Rota'!$D$5,Setup!$K$33:$K$36,0),1),INDEX('2027'!$A:$Z,(5+50*((N('My Rota'!$D$6)+2)-1))+2+11,24),INDEX('2028'!$A:$Z,(5+50*((N('My Rota'!$D$6)+2)-1))+2+11,24),INDEX('2029'!$A:$Z,(5+50*((N('My Rota'!$D$6)+2)-1))+2+11,24),INDEX('2030'!$A:$Z,(5+50*((N('My Rota'!$D$6)+2)-1))+2+11,24)))</f>
        <v/>
      </c>
      <c r="Y246">
        <f>IF(OR($B246="",(N('My Rota'!$D$6)+2)&gt;53),"",""&amp;CHOOSE(IFERROR(MATCH('My Rota'!$D$5,Setup!$K$33:$K$36,0),1),INDEX('2027'!$A:$Z,(5+50*((N('My Rota'!$D$6)+2)-1))+2+11,25),INDEX('2028'!$A:$Z,(5+50*((N('My Rota'!$D$6)+2)-1))+2+11,25),INDEX('2029'!$A:$Z,(5+50*((N('My Rota'!$D$6)+2)-1))+2+11,25),INDEX('2030'!$A:$Z,(5+50*((N('My Rota'!$D$6)+2)-1))+2+11,25)))</f>
        <v/>
      </c>
      <c r="Z246">
        <f>IF(OR($B246="",(N('My Rota'!$D$6)+2)&gt;53),"",""&amp;CHOOSE(IFERROR(MATCH('My Rota'!$D$5,Setup!$K$33:$K$36,0),1),INDEX('2027'!$A:$Z,(5+50*((N('My Rota'!$D$6)+2)-1))+2+11,26),INDEX('2028'!$A:$Z,(5+50*((N('My Rota'!$D$6)+2)-1))+2+11,26),INDEX('2029'!$A:$Z,(5+50*((N('My Rota'!$D$6)+2)-1))+2+11,26),INDEX('2030'!$A:$Z,(5+50*((N('My Rota'!$D$6)+2)-1))+2+11,26)))</f>
        <v/>
      </c>
    </row>
    <row r="247">
      <c r="A247" t="n">
        <v>3</v>
      </c>
      <c r="B247">
        <f>$B$58</f>
        <v/>
      </c>
      <c r="C247">
        <f>IF(OR($B247="",(N('My Rota'!$D$6)+2)&gt;53),"",""&amp;CHOOSE(IFERROR(MATCH('My Rota'!$D$5,Setup!$K$33:$K$36,0),1),INDEX('2027'!$A:$Z,(5+50*((N('My Rota'!$D$6)+2)-1))+2+12,3),INDEX('2028'!$A:$Z,(5+50*((N('My Rota'!$D$6)+2)-1))+2+12,3),INDEX('2029'!$A:$Z,(5+50*((N('My Rota'!$D$6)+2)-1))+2+12,3),INDEX('2030'!$A:$Z,(5+50*((N('My Rota'!$D$6)+2)-1))+2+12,3)))</f>
        <v/>
      </c>
      <c r="D247">
        <f>IF(OR($B247="",(N('My Rota'!$D$6)+2)&gt;53),"",""&amp;CHOOSE(IFERROR(MATCH('My Rota'!$D$5,Setup!$K$33:$K$36,0),1),INDEX('2027'!$A:$Z,(5+50*((N('My Rota'!$D$6)+2)-1))+2+12,4),INDEX('2028'!$A:$Z,(5+50*((N('My Rota'!$D$6)+2)-1))+2+12,4),INDEX('2029'!$A:$Z,(5+50*((N('My Rota'!$D$6)+2)-1))+2+12,4),INDEX('2030'!$A:$Z,(5+50*((N('My Rota'!$D$6)+2)-1))+2+12,4)))</f>
        <v/>
      </c>
      <c r="E247">
        <f>IF(OR($B247="",(N('My Rota'!$D$6)+2)&gt;53),"",""&amp;CHOOSE(IFERROR(MATCH('My Rota'!$D$5,Setup!$K$33:$K$36,0),1),INDEX('2027'!$A:$Z,(5+50*((N('My Rota'!$D$6)+2)-1))+2+12,5),INDEX('2028'!$A:$Z,(5+50*((N('My Rota'!$D$6)+2)-1))+2+12,5),INDEX('2029'!$A:$Z,(5+50*((N('My Rota'!$D$6)+2)-1))+2+12,5),INDEX('2030'!$A:$Z,(5+50*((N('My Rota'!$D$6)+2)-1))+2+12,5)))</f>
        <v/>
      </c>
      <c r="F247">
        <f>IF(OR($B247="",(N('My Rota'!$D$6)+2)&gt;53),"",""&amp;CHOOSE(IFERROR(MATCH('My Rota'!$D$5,Setup!$K$33:$K$36,0),1),INDEX('2027'!$A:$Z,(5+50*((N('My Rota'!$D$6)+2)-1))+2+12,6),INDEX('2028'!$A:$Z,(5+50*((N('My Rota'!$D$6)+2)-1))+2+12,6),INDEX('2029'!$A:$Z,(5+50*((N('My Rota'!$D$6)+2)-1))+2+12,6),INDEX('2030'!$A:$Z,(5+50*((N('My Rota'!$D$6)+2)-1))+2+12,6)))</f>
        <v/>
      </c>
      <c r="G247">
        <f>IF(OR($B247="",(N('My Rota'!$D$6)+2)&gt;53),"",""&amp;CHOOSE(IFERROR(MATCH('My Rota'!$D$5,Setup!$K$33:$K$36,0),1),INDEX('2027'!$A:$Z,(5+50*((N('My Rota'!$D$6)+2)-1))+2+12,7),INDEX('2028'!$A:$Z,(5+50*((N('My Rota'!$D$6)+2)-1))+2+12,7),INDEX('2029'!$A:$Z,(5+50*((N('My Rota'!$D$6)+2)-1))+2+12,7),INDEX('2030'!$A:$Z,(5+50*((N('My Rota'!$D$6)+2)-1))+2+12,7)))</f>
        <v/>
      </c>
      <c r="H247">
        <f>IF(OR($B247="",(N('My Rota'!$D$6)+2)&gt;53),"",""&amp;CHOOSE(IFERROR(MATCH('My Rota'!$D$5,Setup!$K$33:$K$36,0),1),INDEX('2027'!$A:$Z,(5+50*((N('My Rota'!$D$6)+2)-1))+2+12,8),INDEX('2028'!$A:$Z,(5+50*((N('My Rota'!$D$6)+2)-1))+2+12,8),INDEX('2029'!$A:$Z,(5+50*((N('My Rota'!$D$6)+2)-1))+2+12,8),INDEX('2030'!$A:$Z,(5+50*((N('My Rota'!$D$6)+2)-1))+2+12,8)))</f>
        <v/>
      </c>
      <c r="I247">
        <f>IF(OR($B247="",(N('My Rota'!$D$6)+2)&gt;53),"",""&amp;CHOOSE(IFERROR(MATCH('My Rota'!$D$5,Setup!$K$33:$K$36,0),1),INDEX('2027'!$A:$Z,(5+50*((N('My Rota'!$D$6)+2)-1))+2+12,9),INDEX('2028'!$A:$Z,(5+50*((N('My Rota'!$D$6)+2)-1))+2+12,9),INDEX('2029'!$A:$Z,(5+50*((N('My Rota'!$D$6)+2)-1))+2+12,9),INDEX('2030'!$A:$Z,(5+50*((N('My Rota'!$D$6)+2)-1))+2+12,9)))</f>
        <v/>
      </c>
      <c r="J247">
        <f>IF(OR($B247="",(N('My Rota'!$D$6)+2)&gt;53),"",""&amp;CHOOSE(IFERROR(MATCH('My Rota'!$D$5,Setup!$K$33:$K$36,0),1),INDEX('2027'!$A:$Z,(5+50*((N('My Rota'!$D$6)+2)-1))+2+12,10),INDEX('2028'!$A:$Z,(5+50*((N('My Rota'!$D$6)+2)-1))+2+12,10),INDEX('2029'!$A:$Z,(5+50*((N('My Rota'!$D$6)+2)-1))+2+12,10),INDEX('2030'!$A:$Z,(5+50*((N('My Rota'!$D$6)+2)-1))+2+12,10)))</f>
        <v/>
      </c>
      <c r="K247">
        <f>IF(OR($B247="",(N('My Rota'!$D$6)+2)&gt;53),"",""&amp;CHOOSE(IFERROR(MATCH('My Rota'!$D$5,Setup!$K$33:$K$36,0),1),INDEX('2027'!$A:$Z,(5+50*((N('My Rota'!$D$6)+2)-1))+2+12,11),INDEX('2028'!$A:$Z,(5+50*((N('My Rota'!$D$6)+2)-1))+2+12,11),INDEX('2029'!$A:$Z,(5+50*((N('My Rota'!$D$6)+2)-1))+2+12,11),INDEX('2030'!$A:$Z,(5+50*((N('My Rota'!$D$6)+2)-1))+2+12,11)))</f>
        <v/>
      </c>
      <c r="L247">
        <f>IF(OR($B247="",(N('My Rota'!$D$6)+2)&gt;53),"",""&amp;CHOOSE(IFERROR(MATCH('My Rota'!$D$5,Setup!$K$33:$K$36,0),1),INDEX('2027'!$A:$Z,(5+50*((N('My Rota'!$D$6)+2)-1))+2+12,12),INDEX('2028'!$A:$Z,(5+50*((N('My Rota'!$D$6)+2)-1))+2+12,12),INDEX('2029'!$A:$Z,(5+50*((N('My Rota'!$D$6)+2)-1))+2+12,12),INDEX('2030'!$A:$Z,(5+50*((N('My Rota'!$D$6)+2)-1))+2+12,12)))</f>
        <v/>
      </c>
      <c r="M247">
        <f>IF(OR($B247="",(N('My Rota'!$D$6)+2)&gt;53),"",""&amp;CHOOSE(IFERROR(MATCH('My Rota'!$D$5,Setup!$K$33:$K$36,0),1),INDEX('2027'!$A:$Z,(5+50*((N('My Rota'!$D$6)+2)-1))+2+12,13),INDEX('2028'!$A:$Z,(5+50*((N('My Rota'!$D$6)+2)-1))+2+12,13),INDEX('2029'!$A:$Z,(5+50*((N('My Rota'!$D$6)+2)-1))+2+12,13),INDEX('2030'!$A:$Z,(5+50*((N('My Rota'!$D$6)+2)-1))+2+12,13)))</f>
        <v/>
      </c>
      <c r="N247">
        <f>IF(OR($B247="",(N('My Rota'!$D$6)+2)&gt;53),"",""&amp;CHOOSE(IFERROR(MATCH('My Rota'!$D$5,Setup!$K$33:$K$36,0),1),INDEX('2027'!$A:$Z,(5+50*((N('My Rota'!$D$6)+2)-1))+2+12,14),INDEX('2028'!$A:$Z,(5+50*((N('My Rota'!$D$6)+2)-1))+2+12,14),INDEX('2029'!$A:$Z,(5+50*((N('My Rota'!$D$6)+2)-1))+2+12,14),INDEX('2030'!$A:$Z,(5+50*((N('My Rota'!$D$6)+2)-1))+2+12,14)))</f>
        <v/>
      </c>
      <c r="O247">
        <f>IF(OR($B247="",(N('My Rota'!$D$6)+2)&gt;53),"",""&amp;CHOOSE(IFERROR(MATCH('My Rota'!$D$5,Setup!$K$33:$K$36,0),1),INDEX('2027'!$A:$Z,(5+50*((N('My Rota'!$D$6)+2)-1))+2+12,15),INDEX('2028'!$A:$Z,(5+50*((N('My Rota'!$D$6)+2)-1))+2+12,15),INDEX('2029'!$A:$Z,(5+50*((N('My Rota'!$D$6)+2)-1))+2+12,15),INDEX('2030'!$A:$Z,(5+50*((N('My Rota'!$D$6)+2)-1))+2+12,15)))</f>
        <v/>
      </c>
      <c r="P247">
        <f>IF(OR($B247="",(N('My Rota'!$D$6)+2)&gt;53),"",""&amp;CHOOSE(IFERROR(MATCH('My Rota'!$D$5,Setup!$K$33:$K$36,0),1),INDEX('2027'!$A:$Z,(5+50*((N('My Rota'!$D$6)+2)-1))+2+12,16),INDEX('2028'!$A:$Z,(5+50*((N('My Rota'!$D$6)+2)-1))+2+12,16),INDEX('2029'!$A:$Z,(5+50*((N('My Rota'!$D$6)+2)-1))+2+12,16),INDEX('2030'!$A:$Z,(5+50*((N('My Rota'!$D$6)+2)-1))+2+12,16)))</f>
        <v/>
      </c>
      <c r="Q247">
        <f>IF(OR($B247="",(N('My Rota'!$D$6)+2)&gt;53),"",""&amp;CHOOSE(IFERROR(MATCH('My Rota'!$D$5,Setup!$K$33:$K$36,0),1),INDEX('2027'!$A:$Z,(5+50*((N('My Rota'!$D$6)+2)-1))+2+12,17),INDEX('2028'!$A:$Z,(5+50*((N('My Rota'!$D$6)+2)-1))+2+12,17),INDEX('2029'!$A:$Z,(5+50*((N('My Rota'!$D$6)+2)-1))+2+12,17),INDEX('2030'!$A:$Z,(5+50*((N('My Rota'!$D$6)+2)-1))+2+12,17)))</f>
        <v/>
      </c>
      <c r="R247">
        <f>IF(OR($B247="",(N('My Rota'!$D$6)+2)&gt;53),"",""&amp;CHOOSE(IFERROR(MATCH('My Rota'!$D$5,Setup!$K$33:$K$36,0),1),INDEX('2027'!$A:$Z,(5+50*((N('My Rota'!$D$6)+2)-1))+2+12,18),INDEX('2028'!$A:$Z,(5+50*((N('My Rota'!$D$6)+2)-1))+2+12,18),INDEX('2029'!$A:$Z,(5+50*((N('My Rota'!$D$6)+2)-1))+2+12,18),INDEX('2030'!$A:$Z,(5+50*((N('My Rota'!$D$6)+2)-1))+2+12,18)))</f>
        <v/>
      </c>
      <c r="S247">
        <f>IF(OR($B247="",(N('My Rota'!$D$6)+2)&gt;53),"",""&amp;CHOOSE(IFERROR(MATCH('My Rota'!$D$5,Setup!$K$33:$K$36,0),1),INDEX('2027'!$A:$Z,(5+50*((N('My Rota'!$D$6)+2)-1))+2+12,19),INDEX('2028'!$A:$Z,(5+50*((N('My Rota'!$D$6)+2)-1))+2+12,19),INDEX('2029'!$A:$Z,(5+50*((N('My Rota'!$D$6)+2)-1))+2+12,19),INDEX('2030'!$A:$Z,(5+50*((N('My Rota'!$D$6)+2)-1))+2+12,19)))</f>
        <v/>
      </c>
      <c r="T247">
        <f>IF(OR($B247="",(N('My Rota'!$D$6)+2)&gt;53),"",""&amp;CHOOSE(IFERROR(MATCH('My Rota'!$D$5,Setup!$K$33:$K$36,0),1),INDEX('2027'!$A:$Z,(5+50*((N('My Rota'!$D$6)+2)-1))+2+12,20),INDEX('2028'!$A:$Z,(5+50*((N('My Rota'!$D$6)+2)-1))+2+12,20),INDEX('2029'!$A:$Z,(5+50*((N('My Rota'!$D$6)+2)-1))+2+12,20),INDEX('2030'!$A:$Z,(5+50*((N('My Rota'!$D$6)+2)-1))+2+12,20)))</f>
        <v/>
      </c>
      <c r="U247">
        <f>IF(OR($B247="",(N('My Rota'!$D$6)+2)&gt;53),"",""&amp;CHOOSE(IFERROR(MATCH('My Rota'!$D$5,Setup!$K$33:$K$36,0),1),INDEX('2027'!$A:$Z,(5+50*((N('My Rota'!$D$6)+2)-1))+2+12,21),INDEX('2028'!$A:$Z,(5+50*((N('My Rota'!$D$6)+2)-1))+2+12,21),INDEX('2029'!$A:$Z,(5+50*((N('My Rota'!$D$6)+2)-1))+2+12,21),INDEX('2030'!$A:$Z,(5+50*((N('My Rota'!$D$6)+2)-1))+2+12,21)))</f>
        <v/>
      </c>
      <c r="V247">
        <f>IF(OR($B247="",(N('My Rota'!$D$6)+2)&gt;53),"",""&amp;CHOOSE(IFERROR(MATCH('My Rota'!$D$5,Setup!$K$33:$K$36,0),1),INDEX('2027'!$A:$Z,(5+50*((N('My Rota'!$D$6)+2)-1))+2+12,22),INDEX('2028'!$A:$Z,(5+50*((N('My Rota'!$D$6)+2)-1))+2+12,22),INDEX('2029'!$A:$Z,(5+50*((N('My Rota'!$D$6)+2)-1))+2+12,22),INDEX('2030'!$A:$Z,(5+50*((N('My Rota'!$D$6)+2)-1))+2+12,22)))</f>
        <v/>
      </c>
      <c r="W247">
        <f>IF(OR($B247="",(N('My Rota'!$D$6)+2)&gt;53),"",""&amp;CHOOSE(IFERROR(MATCH('My Rota'!$D$5,Setup!$K$33:$K$36,0),1),INDEX('2027'!$A:$Z,(5+50*((N('My Rota'!$D$6)+2)-1))+2+12,23),INDEX('2028'!$A:$Z,(5+50*((N('My Rota'!$D$6)+2)-1))+2+12,23),INDEX('2029'!$A:$Z,(5+50*((N('My Rota'!$D$6)+2)-1))+2+12,23),INDEX('2030'!$A:$Z,(5+50*((N('My Rota'!$D$6)+2)-1))+2+12,23)))</f>
        <v/>
      </c>
      <c r="X247">
        <f>IF(OR($B247="",(N('My Rota'!$D$6)+2)&gt;53),"",""&amp;CHOOSE(IFERROR(MATCH('My Rota'!$D$5,Setup!$K$33:$K$36,0),1),INDEX('2027'!$A:$Z,(5+50*((N('My Rota'!$D$6)+2)-1))+2+12,24),INDEX('2028'!$A:$Z,(5+50*((N('My Rota'!$D$6)+2)-1))+2+12,24),INDEX('2029'!$A:$Z,(5+50*((N('My Rota'!$D$6)+2)-1))+2+12,24),INDEX('2030'!$A:$Z,(5+50*((N('My Rota'!$D$6)+2)-1))+2+12,24)))</f>
        <v/>
      </c>
      <c r="Y247">
        <f>IF(OR($B247="",(N('My Rota'!$D$6)+2)&gt;53),"",""&amp;CHOOSE(IFERROR(MATCH('My Rota'!$D$5,Setup!$K$33:$K$36,0),1),INDEX('2027'!$A:$Z,(5+50*((N('My Rota'!$D$6)+2)-1))+2+12,25),INDEX('2028'!$A:$Z,(5+50*((N('My Rota'!$D$6)+2)-1))+2+12,25),INDEX('2029'!$A:$Z,(5+50*((N('My Rota'!$D$6)+2)-1))+2+12,25),INDEX('2030'!$A:$Z,(5+50*((N('My Rota'!$D$6)+2)-1))+2+12,25)))</f>
        <v/>
      </c>
      <c r="Z247">
        <f>IF(OR($B247="",(N('My Rota'!$D$6)+2)&gt;53),"",""&amp;CHOOSE(IFERROR(MATCH('My Rota'!$D$5,Setup!$K$33:$K$36,0),1),INDEX('2027'!$A:$Z,(5+50*((N('My Rota'!$D$6)+2)-1))+2+12,26),INDEX('2028'!$A:$Z,(5+50*((N('My Rota'!$D$6)+2)-1))+2+12,26),INDEX('2029'!$A:$Z,(5+50*((N('My Rota'!$D$6)+2)-1))+2+12,26),INDEX('2030'!$A:$Z,(5+50*((N('My Rota'!$D$6)+2)-1))+2+12,26)))</f>
        <v/>
      </c>
    </row>
    <row r="248">
      <c r="A248" t="n">
        <v>3</v>
      </c>
      <c r="B248">
        <f>$B$59</f>
        <v/>
      </c>
      <c r="C248">
        <f>IF(OR($B248="",(N('My Rota'!$D$6)+2)&gt;53),"",""&amp;CHOOSE(IFERROR(MATCH('My Rota'!$D$5,Setup!$K$33:$K$36,0),1),INDEX('2027'!$A:$Z,(5+50*((N('My Rota'!$D$6)+2)-1))+2+13,3),INDEX('2028'!$A:$Z,(5+50*((N('My Rota'!$D$6)+2)-1))+2+13,3),INDEX('2029'!$A:$Z,(5+50*((N('My Rota'!$D$6)+2)-1))+2+13,3),INDEX('2030'!$A:$Z,(5+50*((N('My Rota'!$D$6)+2)-1))+2+13,3)))</f>
        <v/>
      </c>
      <c r="D248">
        <f>IF(OR($B248="",(N('My Rota'!$D$6)+2)&gt;53),"",""&amp;CHOOSE(IFERROR(MATCH('My Rota'!$D$5,Setup!$K$33:$K$36,0),1),INDEX('2027'!$A:$Z,(5+50*((N('My Rota'!$D$6)+2)-1))+2+13,4),INDEX('2028'!$A:$Z,(5+50*((N('My Rota'!$D$6)+2)-1))+2+13,4),INDEX('2029'!$A:$Z,(5+50*((N('My Rota'!$D$6)+2)-1))+2+13,4),INDEX('2030'!$A:$Z,(5+50*((N('My Rota'!$D$6)+2)-1))+2+13,4)))</f>
        <v/>
      </c>
      <c r="E248">
        <f>IF(OR($B248="",(N('My Rota'!$D$6)+2)&gt;53),"",""&amp;CHOOSE(IFERROR(MATCH('My Rota'!$D$5,Setup!$K$33:$K$36,0),1),INDEX('2027'!$A:$Z,(5+50*((N('My Rota'!$D$6)+2)-1))+2+13,5),INDEX('2028'!$A:$Z,(5+50*((N('My Rota'!$D$6)+2)-1))+2+13,5),INDEX('2029'!$A:$Z,(5+50*((N('My Rota'!$D$6)+2)-1))+2+13,5),INDEX('2030'!$A:$Z,(5+50*((N('My Rota'!$D$6)+2)-1))+2+13,5)))</f>
        <v/>
      </c>
      <c r="F248">
        <f>IF(OR($B248="",(N('My Rota'!$D$6)+2)&gt;53),"",""&amp;CHOOSE(IFERROR(MATCH('My Rota'!$D$5,Setup!$K$33:$K$36,0),1),INDEX('2027'!$A:$Z,(5+50*((N('My Rota'!$D$6)+2)-1))+2+13,6),INDEX('2028'!$A:$Z,(5+50*((N('My Rota'!$D$6)+2)-1))+2+13,6),INDEX('2029'!$A:$Z,(5+50*((N('My Rota'!$D$6)+2)-1))+2+13,6),INDEX('2030'!$A:$Z,(5+50*((N('My Rota'!$D$6)+2)-1))+2+13,6)))</f>
        <v/>
      </c>
      <c r="G248">
        <f>IF(OR($B248="",(N('My Rota'!$D$6)+2)&gt;53),"",""&amp;CHOOSE(IFERROR(MATCH('My Rota'!$D$5,Setup!$K$33:$K$36,0),1),INDEX('2027'!$A:$Z,(5+50*((N('My Rota'!$D$6)+2)-1))+2+13,7),INDEX('2028'!$A:$Z,(5+50*((N('My Rota'!$D$6)+2)-1))+2+13,7),INDEX('2029'!$A:$Z,(5+50*((N('My Rota'!$D$6)+2)-1))+2+13,7),INDEX('2030'!$A:$Z,(5+50*((N('My Rota'!$D$6)+2)-1))+2+13,7)))</f>
        <v/>
      </c>
      <c r="H248">
        <f>IF(OR($B248="",(N('My Rota'!$D$6)+2)&gt;53),"",""&amp;CHOOSE(IFERROR(MATCH('My Rota'!$D$5,Setup!$K$33:$K$36,0),1),INDEX('2027'!$A:$Z,(5+50*((N('My Rota'!$D$6)+2)-1))+2+13,8),INDEX('2028'!$A:$Z,(5+50*((N('My Rota'!$D$6)+2)-1))+2+13,8),INDEX('2029'!$A:$Z,(5+50*((N('My Rota'!$D$6)+2)-1))+2+13,8),INDEX('2030'!$A:$Z,(5+50*((N('My Rota'!$D$6)+2)-1))+2+13,8)))</f>
        <v/>
      </c>
      <c r="I248">
        <f>IF(OR($B248="",(N('My Rota'!$D$6)+2)&gt;53),"",""&amp;CHOOSE(IFERROR(MATCH('My Rota'!$D$5,Setup!$K$33:$K$36,0),1),INDEX('2027'!$A:$Z,(5+50*((N('My Rota'!$D$6)+2)-1))+2+13,9),INDEX('2028'!$A:$Z,(5+50*((N('My Rota'!$D$6)+2)-1))+2+13,9),INDEX('2029'!$A:$Z,(5+50*((N('My Rota'!$D$6)+2)-1))+2+13,9),INDEX('2030'!$A:$Z,(5+50*((N('My Rota'!$D$6)+2)-1))+2+13,9)))</f>
        <v/>
      </c>
      <c r="J248">
        <f>IF(OR($B248="",(N('My Rota'!$D$6)+2)&gt;53),"",""&amp;CHOOSE(IFERROR(MATCH('My Rota'!$D$5,Setup!$K$33:$K$36,0),1),INDEX('2027'!$A:$Z,(5+50*((N('My Rota'!$D$6)+2)-1))+2+13,10),INDEX('2028'!$A:$Z,(5+50*((N('My Rota'!$D$6)+2)-1))+2+13,10),INDEX('2029'!$A:$Z,(5+50*((N('My Rota'!$D$6)+2)-1))+2+13,10),INDEX('2030'!$A:$Z,(5+50*((N('My Rota'!$D$6)+2)-1))+2+13,10)))</f>
        <v/>
      </c>
      <c r="K248">
        <f>IF(OR($B248="",(N('My Rota'!$D$6)+2)&gt;53),"",""&amp;CHOOSE(IFERROR(MATCH('My Rota'!$D$5,Setup!$K$33:$K$36,0),1),INDEX('2027'!$A:$Z,(5+50*((N('My Rota'!$D$6)+2)-1))+2+13,11),INDEX('2028'!$A:$Z,(5+50*((N('My Rota'!$D$6)+2)-1))+2+13,11),INDEX('2029'!$A:$Z,(5+50*((N('My Rota'!$D$6)+2)-1))+2+13,11),INDEX('2030'!$A:$Z,(5+50*((N('My Rota'!$D$6)+2)-1))+2+13,11)))</f>
        <v/>
      </c>
      <c r="L248">
        <f>IF(OR($B248="",(N('My Rota'!$D$6)+2)&gt;53),"",""&amp;CHOOSE(IFERROR(MATCH('My Rota'!$D$5,Setup!$K$33:$K$36,0),1),INDEX('2027'!$A:$Z,(5+50*((N('My Rota'!$D$6)+2)-1))+2+13,12),INDEX('2028'!$A:$Z,(5+50*((N('My Rota'!$D$6)+2)-1))+2+13,12),INDEX('2029'!$A:$Z,(5+50*((N('My Rota'!$D$6)+2)-1))+2+13,12),INDEX('2030'!$A:$Z,(5+50*((N('My Rota'!$D$6)+2)-1))+2+13,12)))</f>
        <v/>
      </c>
      <c r="M248">
        <f>IF(OR($B248="",(N('My Rota'!$D$6)+2)&gt;53),"",""&amp;CHOOSE(IFERROR(MATCH('My Rota'!$D$5,Setup!$K$33:$K$36,0),1),INDEX('2027'!$A:$Z,(5+50*((N('My Rota'!$D$6)+2)-1))+2+13,13),INDEX('2028'!$A:$Z,(5+50*((N('My Rota'!$D$6)+2)-1))+2+13,13),INDEX('2029'!$A:$Z,(5+50*((N('My Rota'!$D$6)+2)-1))+2+13,13),INDEX('2030'!$A:$Z,(5+50*((N('My Rota'!$D$6)+2)-1))+2+13,13)))</f>
        <v/>
      </c>
      <c r="N248">
        <f>IF(OR($B248="",(N('My Rota'!$D$6)+2)&gt;53),"",""&amp;CHOOSE(IFERROR(MATCH('My Rota'!$D$5,Setup!$K$33:$K$36,0),1),INDEX('2027'!$A:$Z,(5+50*((N('My Rota'!$D$6)+2)-1))+2+13,14),INDEX('2028'!$A:$Z,(5+50*((N('My Rota'!$D$6)+2)-1))+2+13,14),INDEX('2029'!$A:$Z,(5+50*((N('My Rota'!$D$6)+2)-1))+2+13,14),INDEX('2030'!$A:$Z,(5+50*((N('My Rota'!$D$6)+2)-1))+2+13,14)))</f>
        <v/>
      </c>
      <c r="O248">
        <f>IF(OR($B248="",(N('My Rota'!$D$6)+2)&gt;53),"",""&amp;CHOOSE(IFERROR(MATCH('My Rota'!$D$5,Setup!$K$33:$K$36,0),1),INDEX('2027'!$A:$Z,(5+50*((N('My Rota'!$D$6)+2)-1))+2+13,15),INDEX('2028'!$A:$Z,(5+50*((N('My Rota'!$D$6)+2)-1))+2+13,15),INDEX('2029'!$A:$Z,(5+50*((N('My Rota'!$D$6)+2)-1))+2+13,15),INDEX('2030'!$A:$Z,(5+50*((N('My Rota'!$D$6)+2)-1))+2+13,15)))</f>
        <v/>
      </c>
      <c r="P248">
        <f>IF(OR($B248="",(N('My Rota'!$D$6)+2)&gt;53),"",""&amp;CHOOSE(IFERROR(MATCH('My Rota'!$D$5,Setup!$K$33:$K$36,0),1),INDEX('2027'!$A:$Z,(5+50*((N('My Rota'!$D$6)+2)-1))+2+13,16),INDEX('2028'!$A:$Z,(5+50*((N('My Rota'!$D$6)+2)-1))+2+13,16),INDEX('2029'!$A:$Z,(5+50*((N('My Rota'!$D$6)+2)-1))+2+13,16),INDEX('2030'!$A:$Z,(5+50*((N('My Rota'!$D$6)+2)-1))+2+13,16)))</f>
        <v/>
      </c>
      <c r="Q248">
        <f>IF(OR($B248="",(N('My Rota'!$D$6)+2)&gt;53),"",""&amp;CHOOSE(IFERROR(MATCH('My Rota'!$D$5,Setup!$K$33:$K$36,0),1),INDEX('2027'!$A:$Z,(5+50*((N('My Rota'!$D$6)+2)-1))+2+13,17),INDEX('2028'!$A:$Z,(5+50*((N('My Rota'!$D$6)+2)-1))+2+13,17),INDEX('2029'!$A:$Z,(5+50*((N('My Rota'!$D$6)+2)-1))+2+13,17),INDEX('2030'!$A:$Z,(5+50*((N('My Rota'!$D$6)+2)-1))+2+13,17)))</f>
        <v/>
      </c>
      <c r="R248">
        <f>IF(OR($B248="",(N('My Rota'!$D$6)+2)&gt;53),"",""&amp;CHOOSE(IFERROR(MATCH('My Rota'!$D$5,Setup!$K$33:$K$36,0),1),INDEX('2027'!$A:$Z,(5+50*((N('My Rota'!$D$6)+2)-1))+2+13,18),INDEX('2028'!$A:$Z,(5+50*((N('My Rota'!$D$6)+2)-1))+2+13,18),INDEX('2029'!$A:$Z,(5+50*((N('My Rota'!$D$6)+2)-1))+2+13,18),INDEX('2030'!$A:$Z,(5+50*((N('My Rota'!$D$6)+2)-1))+2+13,18)))</f>
        <v/>
      </c>
      <c r="S248">
        <f>IF(OR($B248="",(N('My Rota'!$D$6)+2)&gt;53),"",""&amp;CHOOSE(IFERROR(MATCH('My Rota'!$D$5,Setup!$K$33:$K$36,0),1),INDEX('2027'!$A:$Z,(5+50*((N('My Rota'!$D$6)+2)-1))+2+13,19),INDEX('2028'!$A:$Z,(5+50*((N('My Rota'!$D$6)+2)-1))+2+13,19),INDEX('2029'!$A:$Z,(5+50*((N('My Rota'!$D$6)+2)-1))+2+13,19),INDEX('2030'!$A:$Z,(5+50*((N('My Rota'!$D$6)+2)-1))+2+13,19)))</f>
        <v/>
      </c>
      <c r="T248">
        <f>IF(OR($B248="",(N('My Rota'!$D$6)+2)&gt;53),"",""&amp;CHOOSE(IFERROR(MATCH('My Rota'!$D$5,Setup!$K$33:$K$36,0),1),INDEX('2027'!$A:$Z,(5+50*((N('My Rota'!$D$6)+2)-1))+2+13,20),INDEX('2028'!$A:$Z,(5+50*((N('My Rota'!$D$6)+2)-1))+2+13,20),INDEX('2029'!$A:$Z,(5+50*((N('My Rota'!$D$6)+2)-1))+2+13,20),INDEX('2030'!$A:$Z,(5+50*((N('My Rota'!$D$6)+2)-1))+2+13,20)))</f>
        <v/>
      </c>
      <c r="U248">
        <f>IF(OR($B248="",(N('My Rota'!$D$6)+2)&gt;53),"",""&amp;CHOOSE(IFERROR(MATCH('My Rota'!$D$5,Setup!$K$33:$K$36,0),1),INDEX('2027'!$A:$Z,(5+50*((N('My Rota'!$D$6)+2)-1))+2+13,21),INDEX('2028'!$A:$Z,(5+50*((N('My Rota'!$D$6)+2)-1))+2+13,21),INDEX('2029'!$A:$Z,(5+50*((N('My Rota'!$D$6)+2)-1))+2+13,21),INDEX('2030'!$A:$Z,(5+50*((N('My Rota'!$D$6)+2)-1))+2+13,21)))</f>
        <v/>
      </c>
      <c r="V248">
        <f>IF(OR($B248="",(N('My Rota'!$D$6)+2)&gt;53),"",""&amp;CHOOSE(IFERROR(MATCH('My Rota'!$D$5,Setup!$K$33:$K$36,0),1),INDEX('2027'!$A:$Z,(5+50*((N('My Rota'!$D$6)+2)-1))+2+13,22),INDEX('2028'!$A:$Z,(5+50*((N('My Rota'!$D$6)+2)-1))+2+13,22),INDEX('2029'!$A:$Z,(5+50*((N('My Rota'!$D$6)+2)-1))+2+13,22),INDEX('2030'!$A:$Z,(5+50*((N('My Rota'!$D$6)+2)-1))+2+13,22)))</f>
        <v/>
      </c>
      <c r="W248">
        <f>IF(OR($B248="",(N('My Rota'!$D$6)+2)&gt;53),"",""&amp;CHOOSE(IFERROR(MATCH('My Rota'!$D$5,Setup!$K$33:$K$36,0),1),INDEX('2027'!$A:$Z,(5+50*((N('My Rota'!$D$6)+2)-1))+2+13,23),INDEX('2028'!$A:$Z,(5+50*((N('My Rota'!$D$6)+2)-1))+2+13,23),INDEX('2029'!$A:$Z,(5+50*((N('My Rota'!$D$6)+2)-1))+2+13,23),INDEX('2030'!$A:$Z,(5+50*((N('My Rota'!$D$6)+2)-1))+2+13,23)))</f>
        <v/>
      </c>
      <c r="X248">
        <f>IF(OR($B248="",(N('My Rota'!$D$6)+2)&gt;53),"",""&amp;CHOOSE(IFERROR(MATCH('My Rota'!$D$5,Setup!$K$33:$K$36,0),1),INDEX('2027'!$A:$Z,(5+50*((N('My Rota'!$D$6)+2)-1))+2+13,24),INDEX('2028'!$A:$Z,(5+50*((N('My Rota'!$D$6)+2)-1))+2+13,24),INDEX('2029'!$A:$Z,(5+50*((N('My Rota'!$D$6)+2)-1))+2+13,24),INDEX('2030'!$A:$Z,(5+50*((N('My Rota'!$D$6)+2)-1))+2+13,24)))</f>
        <v/>
      </c>
      <c r="Y248">
        <f>IF(OR($B248="",(N('My Rota'!$D$6)+2)&gt;53),"",""&amp;CHOOSE(IFERROR(MATCH('My Rota'!$D$5,Setup!$K$33:$K$36,0),1),INDEX('2027'!$A:$Z,(5+50*((N('My Rota'!$D$6)+2)-1))+2+13,25),INDEX('2028'!$A:$Z,(5+50*((N('My Rota'!$D$6)+2)-1))+2+13,25),INDEX('2029'!$A:$Z,(5+50*((N('My Rota'!$D$6)+2)-1))+2+13,25),INDEX('2030'!$A:$Z,(5+50*((N('My Rota'!$D$6)+2)-1))+2+13,25)))</f>
        <v/>
      </c>
      <c r="Z248">
        <f>IF(OR($B248="",(N('My Rota'!$D$6)+2)&gt;53),"",""&amp;CHOOSE(IFERROR(MATCH('My Rota'!$D$5,Setup!$K$33:$K$36,0),1),INDEX('2027'!$A:$Z,(5+50*((N('My Rota'!$D$6)+2)-1))+2+13,26),INDEX('2028'!$A:$Z,(5+50*((N('My Rota'!$D$6)+2)-1))+2+13,26),INDEX('2029'!$A:$Z,(5+50*((N('My Rota'!$D$6)+2)-1))+2+13,26),INDEX('2030'!$A:$Z,(5+50*((N('My Rota'!$D$6)+2)-1))+2+13,26)))</f>
        <v/>
      </c>
    </row>
    <row r="249">
      <c r="A249" t="n">
        <v>3</v>
      </c>
      <c r="B249">
        <f>$B$60</f>
        <v/>
      </c>
      <c r="C249">
        <f>IF(OR($B249="",(N('My Rota'!$D$6)+2)&gt;53),"",""&amp;CHOOSE(IFERROR(MATCH('My Rota'!$D$5,Setup!$K$33:$K$36,0),1),INDEX('2027'!$A:$Z,(5+50*((N('My Rota'!$D$6)+2)-1))+2+14,3),INDEX('2028'!$A:$Z,(5+50*((N('My Rota'!$D$6)+2)-1))+2+14,3),INDEX('2029'!$A:$Z,(5+50*((N('My Rota'!$D$6)+2)-1))+2+14,3),INDEX('2030'!$A:$Z,(5+50*((N('My Rota'!$D$6)+2)-1))+2+14,3)))</f>
        <v/>
      </c>
      <c r="D249">
        <f>IF(OR($B249="",(N('My Rota'!$D$6)+2)&gt;53),"",""&amp;CHOOSE(IFERROR(MATCH('My Rota'!$D$5,Setup!$K$33:$K$36,0),1),INDEX('2027'!$A:$Z,(5+50*((N('My Rota'!$D$6)+2)-1))+2+14,4),INDEX('2028'!$A:$Z,(5+50*((N('My Rota'!$D$6)+2)-1))+2+14,4),INDEX('2029'!$A:$Z,(5+50*((N('My Rota'!$D$6)+2)-1))+2+14,4),INDEX('2030'!$A:$Z,(5+50*((N('My Rota'!$D$6)+2)-1))+2+14,4)))</f>
        <v/>
      </c>
      <c r="E249">
        <f>IF(OR($B249="",(N('My Rota'!$D$6)+2)&gt;53),"",""&amp;CHOOSE(IFERROR(MATCH('My Rota'!$D$5,Setup!$K$33:$K$36,0),1),INDEX('2027'!$A:$Z,(5+50*((N('My Rota'!$D$6)+2)-1))+2+14,5),INDEX('2028'!$A:$Z,(5+50*((N('My Rota'!$D$6)+2)-1))+2+14,5),INDEX('2029'!$A:$Z,(5+50*((N('My Rota'!$D$6)+2)-1))+2+14,5),INDEX('2030'!$A:$Z,(5+50*((N('My Rota'!$D$6)+2)-1))+2+14,5)))</f>
        <v/>
      </c>
      <c r="F249">
        <f>IF(OR($B249="",(N('My Rota'!$D$6)+2)&gt;53),"",""&amp;CHOOSE(IFERROR(MATCH('My Rota'!$D$5,Setup!$K$33:$K$36,0),1),INDEX('2027'!$A:$Z,(5+50*((N('My Rota'!$D$6)+2)-1))+2+14,6),INDEX('2028'!$A:$Z,(5+50*((N('My Rota'!$D$6)+2)-1))+2+14,6),INDEX('2029'!$A:$Z,(5+50*((N('My Rota'!$D$6)+2)-1))+2+14,6),INDEX('2030'!$A:$Z,(5+50*((N('My Rota'!$D$6)+2)-1))+2+14,6)))</f>
        <v/>
      </c>
      <c r="G249">
        <f>IF(OR($B249="",(N('My Rota'!$D$6)+2)&gt;53),"",""&amp;CHOOSE(IFERROR(MATCH('My Rota'!$D$5,Setup!$K$33:$K$36,0),1),INDEX('2027'!$A:$Z,(5+50*((N('My Rota'!$D$6)+2)-1))+2+14,7),INDEX('2028'!$A:$Z,(5+50*((N('My Rota'!$D$6)+2)-1))+2+14,7),INDEX('2029'!$A:$Z,(5+50*((N('My Rota'!$D$6)+2)-1))+2+14,7),INDEX('2030'!$A:$Z,(5+50*((N('My Rota'!$D$6)+2)-1))+2+14,7)))</f>
        <v/>
      </c>
      <c r="H249">
        <f>IF(OR($B249="",(N('My Rota'!$D$6)+2)&gt;53),"",""&amp;CHOOSE(IFERROR(MATCH('My Rota'!$D$5,Setup!$K$33:$K$36,0),1),INDEX('2027'!$A:$Z,(5+50*((N('My Rota'!$D$6)+2)-1))+2+14,8),INDEX('2028'!$A:$Z,(5+50*((N('My Rota'!$D$6)+2)-1))+2+14,8),INDEX('2029'!$A:$Z,(5+50*((N('My Rota'!$D$6)+2)-1))+2+14,8),INDEX('2030'!$A:$Z,(5+50*((N('My Rota'!$D$6)+2)-1))+2+14,8)))</f>
        <v/>
      </c>
      <c r="I249">
        <f>IF(OR($B249="",(N('My Rota'!$D$6)+2)&gt;53),"",""&amp;CHOOSE(IFERROR(MATCH('My Rota'!$D$5,Setup!$K$33:$K$36,0),1),INDEX('2027'!$A:$Z,(5+50*((N('My Rota'!$D$6)+2)-1))+2+14,9),INDEX('2028'!$A:$Z,(5+50*((N('My Rota'!$D$6)+2)-1))+2+14,9),INDEX('2029'!$A:$Z,(5+50*((N('My Rota'!$D$6)+2)-1))+2+14,9),INDEX('2030'!$A:$Z,(5+50*((N('My Rota'!$D$6)+2)-1))+2+14,9)))</f>
        <v/>
      </c>
      <c r="J249">
        <f>IF(OR($B249="",(N('My Rota'!$D$6)+2)&gt;53),"",""&amp;CHOOSE(IFERROR(MATCH('My Rota'!$D$5,Setup!$K$33:$K$36,0),1),INDEX('2027'!$A:$Z,(5+50*((N('My Rota'!$D$6)+2)-1))+2+14,10),INDEX('2028'!$A:$Z,(5+50*((N('My Rota'!$D$6)+2)-1))+2+14,10),INDEX('2029'!$A:$Z,(5+50*((N('My Rota'!$D$6)+2)-1))+2+14,10),INDEX('2030'!$A:$Z,(5+50*((N('My Rota'!$D$6)+2)-1))+2+14,10)))</f>
        <v/>
      </c>
      <c r="K249">
        <f>IF(OR($B249="",(N('My Rota'!$D$6)+2)&gt;53),"",""&amp;CHOOSE(IFERROR(MATCH('My Rota'!$D$5,Setup!$K$33:$K$36,0),1),INDEX('2027'!$A:$Z,(5+50*((N('My Rota'!$D$6)+2)-1))+2+14,11),INDEX('2028'!$A:$Z,(5+50*((N('My Rota'!$D$6)+2)-1))+2+14,11),INDEX('2029'!$A:$Z,(5+50*((N('My Rota'!$D$6)+2)-1))+2+14,11),INDEX('2030'!$A:$Z,(5+50*((N('My Rota'!$D$6)+2)-1))+2+14,11)))</f>
        <v/>
      </c>
      <c r="L249">
        <f>IF(OR($B249="",(N('My Rota'!$D$6)+2)&gt;53),"",""&amp;CHOOSE(IFERROR(MATCH('My Rota'!$D$5,Setup!$K$33:$K$36,0),1),INDEX('2027'!$A:$Z,(5+50*((N('My Rota'!$D$6)+2)-1))+2+14,12),INDEX('2028'!$A:$Z,(5+50*((N('My Rota'!$D$6)+2)-1))+2+14,12),INDEX('2029'!$A:$Z,(5+50*((N('My Rota'!$D$6)+2)-1))+2+14,12),INDEX('2030'!$A:$Z,(5+50*((N('My Rota'!$D$6)+2)-1))+2+14,12)))</f>
        <v/>
      </c>
      <c r="M249">
        <f>IF(OR($B249="",(N('My Rota'!$D$6)+2)&gt;53),"",""&amp;CHOOSE(IFERROR(MATCH('My Rota'!$D$5,Setup!$K$33:$K$36,0),1),INDEX('2027'!$A:$Z,(5+50*((N('My Rota'!$D$6)+2)-1))+2+14,13),INDEX('2028'!$A:$Z,(5+50*((N('My Rota'!$D$6)+2)-1))+2+14,13),INDEX('2029'!$A:$Z,(5+50*((N('My Rota'!$D$6)+2)-1))+2+14,13),INDEX('2030'!$A:$Z,(5+50*((N('My Rota'!$D$6)+2)-1))+2+14,13)))</f>
        <v/>
      </c>
      <c r="N249">
        <f>IF(OR($B249="",(N('My Rota'!$D$6)+2)&gt;53),"",""&amp;CHOOSE(IFERROR(MATCH('My Rota'!$D$5,Setup!$K$33:$K$36,0),1),INDEX('2027'!$A:$Z,(5+50*((N('My Rota'!$D$6)+2)-1))+2+14,14),INDEX('2028'!$A:$Z,(5+50*((N('My Rota'!$D$6)+2)-1))+2+14,14),INDEX('2029'!$A:$Z,(5+50*((N('My Rota'!$D$6)+2)-1))+2+14,14),INDEX('2030'!$A:$Z,(5+50*((N('My Rota'!$D$6)+2)-1))+2+14,14)))</f>
        <v/>
      </c>
      <c r="O249">
        <f>IF(OR($B249="",(N('My Rota'!$D$6)+2)&gt;53),"",""&amp;CHOOSE(IFERROR(MATCH('My Rota'!$D$5,Setup!$K$33:$K$36,0),1),INDEX('2027'!$A:$Z,(5+50*((N('My Rota'!$D$6)+2)-1))+2+14,15),INDEX('2028'!$A:$Z,(5+50*((N('My Rota'!$D$6)+2)-1))+2+14,15),INDEX('2029'!$A:$Z,(5+50*((N('My Rota'!$D$6)+2)-1))+2+14,15),INDEX('2030'!$A:$Z,(5+50*((N('My Rota'!$D$6)+2)-1))+2+14,15)))</f>
        <v/>
      </c>
      <c r="P249">
        <f>IF(OR($B249="",(N('My Rota'!$D$6)+2)&gt;53),"",""&amp;CHOOSE(IFERROR(MATCH('My Rota'!$D$5,Setup!$K$33:$K$36,0),1),INDEX('2027'!$A:$Z,(5+50*((N('My Rota'!$D$6)+2)-1))+2+14,16),INDEX('2028'!$A:$Z,(5+50*((N('My Rota'!$D$6)+2)-1))+2+14,16),INDEX('2029'!$A:$Z,(5+50*((N('My Rota'!$D$6)+2)-1))+2+14,16),INDEX('2030'!$A:$Z,(5+50*((N('My Rota'!$D$6)+2)-1))+2+14,16)))</f>
        <v/>
      </c>
      <c r="Q249">
        <f>IF(OR($B249="",(N('My Rota'!$D$6)+2)&gt;53),"",""&amp;CHOOSE(IFERROR(MATCH('My Rota'!$D$5,Setup!$K$33:$K$36,0),1),INDEX('2027'!$A:$Z,(5+50*((N('My Rota'!$D$6)+2)-1))+2+14,17),INDEX('2028'!$A:$Z,(5+50*((N('My Rota'!$D$6)+2)-1))+2+14,17),INDEX('2029'!$A:$Z,(5+50*((N('My Rota'!$D$6)+2)-1))+2+14,17),INDEX('2030'!$A:$Z,(5+50*((N('My Rota'!$D$6)+2)-1))+2+14,17)))</f>
        <v/>
      </c>
      <c r="R249">
        <f>IF(OR($B249="",(N('My Rota'!$D$6)+2)&gt;53),"",""&amp;CHOOSE(IFERROR(MATCH('My Rota'!$D$5,Setup!$K$33:$K$36,0),1),INDEX('2027'!$A:$Z,(5+50*((N('My Rota'!$D$6)+2)-1))+2+14,18),INDEX('2028'!$A:$Z,(5+50*((N('My Rota'!$D$6)+2)-1))+2+14,18),INDEX('2029'!$A:$Z,(5+50*((N('My Rota'!$D$6)+2)-1))+2+14,18),INDEX('2030'!$A:$Z,(5+50*((N('My Rota'!$D$6)+2)-1))+2+14,18)))</f>
        <v/>
      </c>
      <c r="S249">
        <f>IF(OR($B249="",(N('My Rota'!$D$6)+2)&gt;53),"",""&amp;CHOOSE(IFERROR(MATCH('My Rota'!$D$5,Setup!$K$33:$K$36,0),1),INDEX('2027'!$A:$Z,(5+50*((N('My Rota'!$D$6)+2)-1))+2+14,19),INDEX('2028'!$A:$Z,(5+50*((N('My Rota'!$D$6)+2)-1))+2+14,19),INDEX('2029'!$A:$Z,(5+50*((N('My Rota'!$D$6)+2)-1))+2+14,19),INDEX('2030'!$A:$Z,(5+50*((N('My Rota'!$D$6)+2)-1))+2+14,19)))</f>
        <v/>
      </c>
      <c r="T249">
        <f>IF(OR($B249="",(N('My Rota'!$D$6)+2)&gt;53),"",""&amp;CHOOSE(IFERROR(MATCH('My Rota'!$D$5,Setup!$K$33:$K$36,0),1),INDEX('2027'!$A:$Z,(5+50*((N('My Rota'!$D$6)+2)-1))+2+14,20),INDEX('2028'!$A:$Z,(5+50*((N('My Rota'!$D$6)+2)-1))+2+14,20),INDEX('2029'!$A:$Z,(5+50*((N('My Rota'!$D$6)+2)-1))+2+14,20),INDEX('2030'!$A:$Z,(5+50*((N('My Rota'!$D$6)+2)-1))+2+14,20)))</f>
        <v/>
      </c>
      <c r="U249">
        <f>IF(OR($B249="",(N('My Rota'!$D$6)+2)&gt;53),"",""&amp;CHOOSE(IFERROR(MATCH('My Rota'!$D$5,Setup!$K$33:$K$36,0),1),INDEX('2027'!$A:$Z,(5+50*((N('My Rota'!$D$6)+2)-1))+2+14,21),INDEX('2028'!$A:$Z,(5+50*((N('My Rota'!$D$6)+2)-1))+2+14,21),INDEX('2029'!$A:$Z,(5+50*((N('My Rota'!$D$6)+2)-1))+2+14,21),INDEX('2030'!$A:$Z,(5+50*((N('My Rota'!$D$6)+2)-1))+2+14,21)))</f>
        <v/>
      </c>
      <c r="V249">
        <f>IF(OR($B249="",(N('My Rota'!$D$6)+2)&gt;53),"",""&amp;CHOOSE(IFERROR(MATCH('My Rota'!$D$5,Setup!$K$33:$K$36,0),1),INDEX('2027'!$A:$Z,(5+50*((N('My Rota'!$D$6)+2)-1))+2+14,22),INDEX('2028'!$A:$Z,(5+50*((N('My Rota'!$D$6)+2)-1))+2+14,22),INDEX('2029'!$A:$Z,(5+50*((N('My Rota'!$D$6)+2)-1))+2+14,22),INDEX('2030'!$A:$Z,(5+50*((N('My Rota'!$D$6)+2)-1))+2+14,22)))</f>
        <v/>
      </c>
      <c r="W249">
        <f>IF(OR($B249="",(N('My Rota'!$D$6)+2)&gt;53),"",""&amp;CHOOSE(IFERROR(MATCH('My Rota'!$D$5,Setup!$K$33:$K$36,0),1),INDEX('2027'!$A:$Z,(5+50*((N('My Rota'!$D$6)+2)-1))+2+14,23),INDEX('2028'!$A:$Z,(5+50*((N('My Rota'!$D$6)+2)-1))+2+14,23),INDEX('2029'!$A:$Z,(5+50*((N('My Rota'!$D$6)+2)-1))+2+14,23),INDEX('2030'!$A:$Z,(5+50*((N('My Rota'!$D$6)+2)-1))+2+14,23)))</f>
        <v/>
      </c>
      <c r="X249">
        <f>IF(OR($B249="",(N('My Rota'!$D$6)+2)&gt;53),"",""&amp;CHOOSE(IFERROR(MATCH('My Rota'!$D$5,Setup!$K$33:$K$36,0),1),INDEX('2027'!$A:$Z,(5+50*((N('My Rota'!$D$6)+2)-1))+2+14,24),INDEX('2028'!$A:$Z,(5+50*((N('My Rota'!$D$6)+2)-1))+2+14,24),INDEX('2029'!$A:$Z,(5+50*((N('My Rota'!$D$6)+2)-1))+2+14,24),INDEX('2030'!$A:$Z,(5+50*((N('My Rota'!$D$6)+2)-1))+2+14,24)))</f>
        <v/>
      </c>
      <c r="Y249">
        <f>IF(OR($B249="",(N('My Rota'!$D$6)+2)&gt;53),"",""&amp;CHOOSE(IFERROR(MATCH('My Rota'!$D$5,Setup!$K$33:$K$36,0),1),INDEX('2027'!$A:$Z,(5+50*((N('My Rota'!$D$6)+2)-1))+2+14,25),INDEX('2028'!$A:$Z,(5+50*((N('My Rota'!$D$6)+2)-1))+2+14,25),INDEX('2029'!$A:$Z,(5+50*((N('My Rota'!$D$6)+2)-1))+2+14,25),INDEX('2030'!$A:$Z,(5+50*((N('My Rota'!$D$6)+2)-1))+2+14,25)))</f>
        <v/>
      </c>
      <c r="Z249">
        <f>IF(OR($B249="",(N('My Rota'!$D$6)+2)&gt;53),"",""&amp;CHOOSE(IFERROR(MATCH('My Rota'!$D$5,Setup!$K$33:$K$36,0),1),INDEX('2027'!$A:$Z,(5+50*((N('My Rota'!$D$6)+2)-1))+2+14,26),INDEX('2028'!$A:$Z,(5+50*((N('My Rota'!$D$6)+2)-1))+2+14,26),INDEX('2029'!$A:$Z,(5+50*((N('My Rota'!$D$6)+2)-1))+2+14,26),INDEX('2030'!$A:$Z,(5+50*((N('My Rota'!$D$6)+2)-1))+2+14,26)))</f>
        <v/>
      </c>
    </row>
    <row r="250">
      <c r="A250" t="n">
        <v>3</v>
      </c>
      <c r="B250">
        <f>$B$61</f>
        <v/>
      </c>
      <c r="C250">
        <f>IF(OR($B250="",(N('My Rota'!$D$6)+2)&gt;53),"",""&amp;CHOOSE(IFERROR(MATCH('My Rota'!$D$5,Setup!$K$33:$K$36,0),1),INDEX('2027'!$A:$Z,(5+50*((N('My Rota'!$D$6)+2)-1))+2+15,3),INDEX('2028'!$A:$Z,(5+50*((N('My Rota'!$D$6)+2)-1))+2+15,3),INDEX('2029'!$A:$Z,(5+50*((N('My Rota'!$D$6)+2)-1))+2+15,3),INDEX('2030'!$A:$Z,(5+50*((N('My Rota'!$D$6)+2)-1))+2+15,3)))</f>
        <v/>
      </c>
      <c r="D250">
        <f>IF(OR($B250="",(N('My Rota'!$D$6)+2)&gt;53),"",""&amp;CHOOSE(IFERROR(MATCH('My Rota'!$D$5,Setup!$K$33:$K$36,0),1),INDEX('2027'!$A:$Z,(5+50*((N('My Rota'!$D$6)+2)-1))+2+15,4),INDEX('2028'!$A:$Z,(5+50*((N('My Rota'!$D$6)+2)-1))+2+15,4),INDEX('2029'!$A:$Z,(5+50*((N('My Rota'!$D$6)+2)-1))+2+15,4),INDEX('2030'!$A:$Z,(5+50*((N('My Rota'!$D$6)+2)-1))+2+15,4)))</f>
        <v/>
      </c>
      <c r="E250">
        <f>IF(OR($B250="",(N('My Rota'!$D$6)+2)&gt;53),"",""&amp;CHOOSE(IFERROR(MATCH('My Rota'!$D$5,Setup!$K$33:$K$36,0),1),INDEX('2027'!$A:$Z,(5+50*((N('My Rota'!$D$6)+2)-1))+2+15,5),INDEX('2028'!$A:$Z,(5+50*((N('My Rota'!$D$6)+2)-1))+2+15,5),INDEX('2029'!$A:$Z,(5+50*((N('My Rota'!$D$6)+2)-1))+2+15,5),INDEX('2030'!$A:$Z,(5+50*((N('My Rota'!$D$6)+2)-1))+2+15,5)))</f>
        <v/>
      </c>
      <c r="F250">
        <f>IF(OR($B250="",(N('My Rota'!$D$6)+2)&gt;53),"",""&amp;CHOOSE(IFERROR(MATCH('My Rota'!$D$5,Setup!$K$33:$K$36,0),1),INDEX('2027'!$A:$Z,(5+50*((N('My Rota'!$D$6)+2)-1))+2+15,6),INDEX('2028'!$A:$Z,(5+50*((N('My Rota'!$D$6)+2)-1))+2+15,6),INDEX('2029'!$A:$Z,(5+50*((N('My Rota'!$D$6)+2)-1))+2+15,6),INDEX('2030'!$A:$Z,(5+50*((N('My Rota'!$D$6)+2)-1))+2+15,6)))</f>
        <v/>
      </c>
      <c r="G250">
        <f>IF(OR($B250="",(N('My Rota'!$D$6)+2)&gt;53),"",""&amp;CHOOSE(IFERROR(MATCH('My Rota'!$D$5,Setup!$K$33:$K$36,0),1),INDEX('2027'!$A:$Z,(5+50*((N('My Rota'!$D$6)+2)-1))+2+15,7),INDEX('2028'!$A:$Z,(5+50*((N('My Rota'!$D$6)+2)-1))+2+15,7),INDEX('2029'!$A:$Z,(5+50*((N('My Rota'!$D$6)+2)-1))+2+15,7),INDEX('2030'!$A:$Z,(5+50*((N('My Rota'!$D$6)+2)-1))+2+15,7)))</f>
        <v/>
      </c>
      <c r="H250">
        <f>IF(OR($B250="",(N('My Rota'!$D$6)+2)&gt;53),"",""&amp;CHOOSE(IFERROR(MATCH('My Rota'!$D$5,Setup!$K$33:$K$36,0),1),INDEX('2027'!$A:$Z,(5+50*((N('My Rota'!$D$6)+2)-1))+2+15,8),INDEX('2028'!$A:$Z,(5+50*((N('My Rota'!$D$6)+2)-1))+2+15,8),INDEX('2029'!$A:$Z,(5+50*((N('My Rota'!$D$6)+2)-1))+2+15,8),INDEX('2030'!$A:$Z,(5+50*((N('My Rota'!$D$6)+2)-1))+2+15,8)))</f>
        <v/>
      </c>
      <c r="I250">
        <f>IF(OR($B250="",(N('My Rota'!$D$6)+2)&gt;53),"",""&amp;CHOOSE(IFERROR(MATCH('My Rota'!$D$5,Setup!$K$33:$K$36,0),1),INDEX('2027'!$A:$Z,(5+50*((N('My Rota'!$D$6)+2)-1))+2+15,9),INDEX('2028'!$A:$Z,(5+50*((N('My Rota'!$D$6)+2)-1))+2+15,9),INDEX('2029'!$A:$Z,(5+50*((N('My Rota'!$D$6)+2)-1))+2+15,9),INDEX('2030'!$A:$Z,(5+50*((N('My Rota'!$D$6)+2)-1))+2+15,9)))</f>
        <v/>
      </c>
      <c r="J250">
        <f>IF(OR($B250="",(N('My Rota'!$D$6)+2)&gt;53),"",""&amp;CHOOSE(IFERROR(MATCH('My Rota'!$D$5,Setup!$K$33:$K$36,0),1),INDEX('2027'!$A:$Z,(5+50*((N('My Rota'!$D$6)+2)-1))+2+15,10),INDEX('2028'!$A:$Z,(5+50*((N('My Rota'!$D$6)+2)-1))+2+15,10),INDEX('2029'!$A:$Z,(5+50*((N('My Rota'!$D$6)+2)-1))+2+15,10),INDEX('2030'!$A:$Z,(5+50*((N('My Rota'!$D$6)+2)-1))+2+15,10)))</f>
        <v/>
      </c>
      <c r="K250">
        <f>IF(OR($B250="",(N('My Rota'!$D$6)+2)&gt;53),"",""&amp;CHOOSE(IFERROR(MATCH('My Rota'!$D$5,Setup!$K$33:$K$36,0),1),INDEX('2027'!$A:$Z,(5+50*((N('My Rota'!$D$6)+2)-1))+2+15,11),INDEX('2028'!$A:$Z,(5+50*((N('My Rota'!$D$6)+2)-1))+2+15,11),INDEX('2029'!$A:$Z,(5+50*((N('My Rota'!$D$6)+2)-1))+2+15,11),INDEX('2030'!$A:$Z,(5+50*((N('My Rota'!$D$6)+2)-1))+2+15,11)))</f>
        <v/>
      </c>
      <c r="L250">
        <f>IF(OR($B250="",(N('My Rota'!$D$6)+2)&gt;53),"",""&amp;CHOOSE(IFERROR(MATCH('My Rota'!$D$5,Setup!$K$33:$K$36,0),1),INDEX('2027'!$A:$Z,(5+50*((N('My Rota'!$D$6)+2)-1))+2+15,12),INDEX('2028'!$A:$Z,(5+50*((N('My Rota'!$D$6)+2)-1))+2+15,12),INDEX('2029'!$A:$Z,(5+50*((N('My Rota'!$D$6)+2)-1))+2+15,12),INDEX('2030'!$A:$Z,(5+50*((N('My Rota'!$D$6)+2)-1))+2+15,12)))</f>
        <v/>
      </c>
      <c r="M250">
        <f>IF(OR($B250="",(N('My Rota'!$D$6)+2)&gt;53),"",""&amp;CHOOSE(IFERROR(MATCH('My Rota'!$D$5,Setup!$K$33:$K$36,0),1),INDEX('2027'!$A:$Z,(5+50*((N('My Rota'!$D$6)+2)-1))+2+15,13),INDEX('2028'!$A:$Z,(5+50*((N('My Rota'!$D$6)+2)-1))+2+15,13),INDEX('2029'!$A:$Z,(5+50*((N('My Rota'!$D$6)+2)-1))+2+15,13),INDEX('2030'!$A:$Z,(5+50*((N('My Rota'!$D$6)+2)-1))+2+15,13)))</f>
        <v/>
      </c>
      <c r="N250">
        <f>IF(OR($B250="",(N('My Rota'!$D$6)+2)&gt;53),"",""&amp;CHOOSE(IFERROR(MATCH('My Rota'!$D$5,Setup!$K$33:$K$36,0),1),INDEX('2027'!$A:$Z,(5+50*((N('My Rota'!$D$6)+2)-1))+2+15,14),INDEX('2028'!$A:$Z,(5+50*((N('My Rota'!$D$6)+2)-1))+2+15,14),INDEX('2029'!$A:$Z,(5+50*((N('My Rota'!$D$6)+2)-1))+2+15,14),INDEX('2030'!$A:$Z,(5+50*((N('My Rota'!$D$6)+2)-1))+2+15,14)))</f>
        <v/>
      </c>
      <c r="O250">
        <f>IF(OR($B250="",(N('My Rota'!$D$6)+2)&gt;53),"",""&amp;CHOOSE(IFERROR(MATCH('My Rota'!$D$5,Setup!$K$33:$K$36,0),1),INDEX('2027'!$A:$Z,(5+50*((N('My Rota'!$D$6)+2)-1))+2+15,15),INDEX('2028'!$A:$Z,(5+50*((N('My Rota'!$D$6)+2)-1))+2+15,15),INDEX('2029'!$A:$Z,(5+50*((N('My Rota'!$D$6)+2)-1))+2+15,15),INDEX('2030'!$A:$Z,(5+50*((N('My Rota'!$D$6)+2)-1))+2+15,15)))</f>
        <v/>
      </c>
      <c r="P250">
        <f>IF(OR($B250="",(N('My Rota'!$D$6)+2)&gt;53),"",""&amp;CHOOSE(IFERROR(MATCH('My Rota'!$D$5,Setup!$K$33:$K$36,0),1),INDEX('2027'!$A:$Z,(5+50*((N('My Rota'!$D$6)+2)-1))+2+15,16),INDEX('2028'!$A:$Z,(5+50*((N('My Rota'!$D$6)+2)-1))+2+15,16),INDEX('2029'!$A:$Z,(5+50*((N('My Rota'!$D$6)+2)-1))+2+15,16),INDEX('2030'!$A:$Z,(5+50*((N('My Rota'!$D$6)+2)-1))+2+15,16)))</f>
        <v/>
      </c>
      <c r="Q250">
        <f>IF(OR($B250="",(N('My Rota'!$D$6)+2)&gt;53),"",""&amp;CHOOSE(IFERROR(MATCH('My Rota'!$D$5,Setup!$K$33:$K$36,0),1),INDEX('2027'!$A:$Z,(5+50*((N('My Rota'!$D$6)+2)-1))+2+15,17),INDEX('2028'!$A:$Z,(5+50*((N('My Rota'!$D$6)+2)-1))+2+15,17),INDEX('2029'!$A:$Z,(5+50*((N('My Rota'!$D$6)+2)-1))+2+15,17),INDEX('2030'!$A:$Z,(5+50*((N('My Rota'!$D$6)+2)-1))+2+15,17)))</f>
        <v/>
      </c>
      <c r="R250">
        <f>IF(OR($B250="",(N('My Rota'!$D$6)+2)&gt;53),"",""&amp;CHOOSE(IFERROR(MATCH('My Rota'!$D$5,Setup!$K$33:$K$36,0),1),INDEX('2027'!$A:$Z,(5+50*((N('My Rota'!$D$6)+2)-1))+2+15,18),INDEX('2028'!$A:$Z,(5+50*((N('My Rota'!$D$6)+2)-1))+2+15,18),INDEX('2029'!$A:$Z,(5+50*((N('My Rota'!$D$6)+2)-1))+2+15,18),INDEX('2030'!$A:$Z,(5+50*((N('My Rota'!$D$6)+2)-1))+2+15,18)))</f>
        <v/>
      </c>
      <c r="S250">
        <f>IF(OR($B250="",(N('My Rota'!$D$6)+2)&gt;53),"",""&amp;CHOOSE(IFERROR(MATCH('My Rota'!$D$5,Setup!$K$33:$K$36,0),1),INDEX('2027'!$A:$Z,(5+50*((N('My Rota'!$D$6)+2)-1))+2+15,19),INDEX('2028'!$A:$Z,(5+50*((N('My Rota'!$D$6)+2)-1))+2+15,19),INDEX('2029'!$A:$Z,(5+50*((N('My Rota'!$D$6)+2)-1))+2+15,19),INDEX('2030'!$A:$Z,(5+50*((N('My Rota'!$D$6)+2)-1))+2+15,19)))</f>
        <v/>
      </c>
      <c r="T250">
        <f>IF(OR($B250="",(N('My Rota'!$D$6)+2)&gt;53),"",""&amp;CHOOSE(IFERROR(MATCH('My Rota'!$D$5,Setup!$K$33:$K$36,0),1),INDEX('2027'!$A:$Z,(5+50*((N('My Rota'!$D$6)+2)-1))+2+15,20),INDEX('2028'!$A:$Z,(5+50*((N('My Rota'!$D$6)+2)-1))+2+15,20),INDEX('2029'!$A:$Z,(5+50*((N('My Rota'!$D$6)+2)-1))+2+15,20),INDEX('2030'!$A:$Z,(5+50*((N('My Rota'!$D$6)+2)-1))+2+15,20)))</f>
        <v/>
      </c>
      <c r="U250">
        <f>IF(OR($B250="",(N('My Rota'!$D$6)+2)&gt;53),"",""&amp;CHOOSE(IFERROR(MATCH('My Rota'!$D$5,Setup!$K$33:$K$36,0),1),INDEX('2027'!$A:$Z,(5+50*((N('My Rota'!$D$6)+2)-1))+2+15,21),INDEX('2028'!$A:$Z,(5+50*((N('My Rota'!$D$6)+2)-1))+2+15,21),INDEX('2029'!$A:$Z,(5+50*((N('My Rota'!$D$6)+2)-1))+2+15,21),INDEX('2030'!$A:$Z,(5+50*((N('My Rota'!$D$6)+2)-1))+2+15,21)))</f>
        <v/>
      </c>
      <c r="V250">
        <f>IF(OR($B250="",(N('My Rota'!$D$6)+2)&gt;53),"",""&amp;CHOOSE(IFERROR(MATCH('My Rota'!$D$5,Setup!$K$33:$K$36,0),1),INDEX('2027'!$A:$Z,(5+50*((N('My Rota'!$D$6)+2)-1))+2+15,22),INDEX('2028'!$A:$Z,(5+50*((N('My Rota'!$D$6)+2)-1))+2+15,22),INDEX('2029'!$A:$Z,(5+50*((N('My Rota'!$D$6)+2)-1))+2+15,22),INDEX('2030'!$A:$Z,(5+50*((N('My Rota'!$D$6)+2)-1))+2+15,22)))</f>
        <v/>
      </c>
      <c r="W250">
        <f>IF(OR($B250="",(N('My Rota'!$D$6)+2)&gt;53),"",""&amp;CHOOSE(IFERROR(MATCH('My Rota'!$D$5,Setup!$K$33:$K$36,0),1),INDEX('2027'!$A:$Z,(5+50*((N('My Rota'!$D$6)+2)-1))+2+15,23),INDEX('2028'!$A:$Z,(5+50*((N('My Rota'!$D$6)+2)-1))+2+15,23),INDEX('2029'!$A:$Z,(5+50*((N('My Rota'!$D$6)+2)-1))+2+15,23),INDEX('2030'!$A:$Z,(5+50*((N('My Rota'!$D$6)+2)-1))+2+15,23)))</f>
        <v/>
      </c>
      <c r="X250">
        <f>IF(OR($B250="",(N('My Rota'!$D$6)+2)&gt;53),"",""&amp;CHOOSE(IFERROR(MATCH('My Rota'!$D$5,Setup!$K$33:$K$36,0),1),INDEX('2027'!$A:$Z,(5+50*((N('My Rota'!$D$6)+2)-1))+2+15,24),INDEX('2028'!$A:$Z,(5+50*((N('My Rota'!$D$6)+2)-1))+2+15,24),INDEX('2029'!$A:$Z,(5+50*((N('My Rota'!$D$6)+2)-1))+2+15,24),INDEX('2030'!$A:$Z,(5+50*((N('My Rota'!$D$6)+2)-1))+2+15,24)))</f>
        <v/>
      </c>
      <c r="Y250">
        <f>IF(OR($B250="",(N('My Rota'!$D$6)+2)&gt;53),"",""&amp;CHOOSE(IFERROR(MATCH('My Rota'!$D$5,Setup!$K$33:$K$36,0),1),INDEX('2027'!$A:$Z,(5+50*((N('My Rota'!$D$6)+2)-1))+2+15,25),INDEX('2028'!$A:$Z,(5+50*((N('My Rota'!$D$6)+2)-1))+2+15,25),INDEX('2029'!$A:$Z,(5+50*((N('My Rota'!$D$6)+2)-1))+2+15,25),INDEX('2030'!$A:$Z,(5+50*((N('My Rota'!$D$6)+2)-1))+2+15,25)))</f>
        <v/>
      </c>
      <c r="Z250">
        <f>IF(OR($B250="",(N('My Rota'!$D$6)+2)&gt;53),"",""&amp;CHOOSE(IFERROR(MATCH('My Rota'!$D$5,Setup!$K$33:$K$36,0),1),INDEX('2027'!$A:$Z,(5+50*((N('My Rota'!$D$6)+2)-1))+2+15,26),INDEX('2028'!$A:$Z,(5+50*((N('My Rota'!$D$6)+2)-1))+2+15,26),INDEX('2029'!$A:$Z,(5+50*((N('My Rota'!$D$6)+2)-1))+2+15,26),INDEX('2030'!$A:$Z,(5+50*((N('My Rota'!$D$6)+2)-1))+2+15,26)))</f>
        <v/>
      </c>
    </row>
    <row r="251">
      <c r="A251" t="n">
        <v>3</v>
      </c>
      <c r="B251">
        <f>$B$62</f>
        <v/>
      </c>
      <c r="C251">
        <f>IF(OR($B251="",(N('My Rota'!$D$6)+2)&gt;53),"",""&amp;CHOOSE(IFERROR(MATCH('My Rota'!$D$5,Setup!$K$33:$K$36,0),1),INDEX('2027'!$A:$Z,(5+50*((N('My Rota'!$D$6)+2)-1))+2+16,3),INDEX('2028'!$A:$Z,(5+50*((N('My Rota'!$D$6)+2)-1))+2+16,3),INDEX('2029'!$A:$Z,(5+50*((N('My Rota'!$D$6)+2)-1))+2+16,3),INDEX('2030'!$A:$Z,(5+50*((N('My Rota'!$D$6)+2)-1))+2+16,3)))</f>
        <v/>
      </c>
      <c r="D251">
        <f>IF(OR($B251="",(N('My Rota'!$D$6)+2)&gt;53),"",""&amp;CHOOSE(IFERROR(MATCH('My Rota'!$D$5,Setup!$K$33:$K$36,0),1),INDEX('2027'!$A:$Z,(5+50*((N('My Rota'!$D$6)+2)-1))+2+16,4),INDEX('2028'!$A:$Z,(5+50*((N('My Rota'!$D$6)+2)-1))+2+16,4),INDEX('2029'!$A:$Z,(5+50*((N('My Rota'!$D$6)+2)-1))+2+16,4),INDEX('2030'!$A:$Z,(5+50*((N('My Rota'!$D$6)+2)-1))+2+16,4)))</f>
        <v/>
      </c>
      <c r="E251">
        <f>IF(OR($B251="",(N('My Rota'!$D$6)+2)&gt;53),"",""&amp;CHOOSE(IFERROR(MATCH('My Rota'!$D$5,Setup!$K$33:$K$36,0),1),INDEX('2027'!$A:$Z,(5+50*((N('My Rota'!$D$6)+2)-1))+2+16,5),INDEX('2028'!$A:$Z,(5+50*((N('My Rota'!$D$6)+2)-1))+2+16,5),INDEX('2029'!$A:$Z,(5+50*((N('My Rota'!$D$6)+2)-1))+2+16,5),INDEX('2030'!$A:$Z,(5+50*((N('My Rota'!$D$6)+2)-1))+2+16,5)))</f>
        <v/>
      </c>
      <c r="F251">
        <f>IF(OR($B251="",(N('My Rota'!$D$6)+2)&gt;53),"",""&amp;CHOOSE(IFERROR(MATCH('My Rota'!$D$5,Setup!$K$33:$K$36,0),1),INDEX('2027'!$A:$Z,(5+50*((N('My Rota'!$D$6)+2)-1))+2+16,6),INDEX('2028'!$A:$Z,(5+50*((N('My Rota'!$D$6)+2)-1))+2+16,6),INDEX('2029'!$A:$Z,(5+50*((N('My Rota'!$D$6)+2)-1))+2+16,6),INDEX('2030'!$A:$Z,(5+50*((N('My Rota'!$D$6)+2)-1))+2+16,6)))</f>
        <v/>
      </c>
      <c r="G251">
        <f>IF(OR($B251="",(N('My Rota'!$D$6)+2)&gt;53),"",""&amp;CHOOSE(IFERROR(MATCH('My Rota'!$D$5,Setup!$K$33:$K$36,0),1),INDEX('2027'!$A:$Z,(5+50*((N('My Rota'!$D$6)+2)-1))+2+16,7),INDEX('2028'!$A:$Z,(5+50*((N('My Rota'!$D$6)+2)-1))+2+16,7),INDEX('2029'!$A:$Z,(5+50*((N('My Rota'!$D$6)+2)-1))+2+16,7),INDEX('2030'!$A:$Z,(5+50*((N('My Rota'!$D$6)+2)-1))+2+16,7)))</f>
        <v/>
      </c>
      <c r="H251">
        <f>IF(OR($B251="",(N('My Rota'!$D$6)+2)&gt;53),"",""&amp;CHOOSE(IFERROR(MATCH('My Rota'!$D$5,Setup!$K$33:$K$36,0),1),INDEX('2027'!$A:$Z,(5+50*((N('My Rota'!$D$6)+2)-1))+2+16,8),INDEX('2028'!$A:$Z,(5+50*((N('My Rota'!$D$6)+2)-1))+2+16,8),INDEX('2029'!$A:$Z,(5+50*((N('My Rota'!$D$6)+2)-1))+2+16,8),INDEX('2030'!$A:$Z,(5+50*((N('My Rota'!$D$6)+2)-1))+2+16,8)))</f>
        <v/>
      </c>
      <c r="I251">
        <f>IF(OR($B251="",(N('My Rota'!$D$6)+2)&gt;53),"",""&amp;CHOOSE(IFERROR(MATCH('My Rota'!$D$5,Setup!$K$33:$K$36,0),1),INDEX('2027'!$A:$Z,(5+50*((N('My Rota'!$D$6)+2)-1))+2+16,9),INDEX('2028'!$A:$Z,(5+50*((N('My Rota'!$D$6)+2)-1))+2+16,9),INDEX('2029'!$A:$Z,(5+50*((N('My Rota'!$D$6)+2)-1))+2+16,9),INDEX('2030'!$A:$Z,(5+50*((N('My Rota'!$D$6)+2)-1))+2+16,9)))</f>
        <v/>
      </c>
      <c r="J251">
        <f>IF(OR($B251="",(N('My Rota'!$D$6)+2)&gt;53),"",""&amp;CHOOSE(IFERROR(MATCH('My Rota'!$D$5,Setup!$K$33:$K$36,0),1),INDEX('2027'!$A:$Z,(5+50*((N('My Rota'!$D$6)+2)-1))+2+16,10),INDEX('2028'!$A:$Z,(5+50*((N('My Rota'!$D$6)+2)-1))+2+16,10),INDEX('2029'!$A:$Z,(5+50*((N('My Rota'!$D$6)+2)-1))+2+16,10),INDEX('2030'!$A:$Z,(5+50*((N('My Rota'!$D$6)+2)-1))+2+16,10)))</f>
        <v/>
      </c>
      <c r="K251">
        <f>IF(OR($B251="",(N('My Rota'!$D$6)+2)&gt;53),"",""&amp;CHOOSE(IFERROR(MATCH('My Rota'!$D$5,Setup!$K$33:$K$36,0),1),INDEX('2027'!$A:$Z,(5+50*((N('My Rota'!$D$6)+2)-1))+2+16,11),INDEX('2028'!$A:$Z,(5+50*((N('My Rota'!$D$6)+2)-1))+2+16,11),INDEX('2029'!$A:$Z,(5+50*((N('My Rota'!$D$6)+2)-1))+2+16,11),INDEX('2030'!$A:$Z,(5+50*((N('My Rota'!$D$6)+2)-1))+2+16,11)))</f>
        <v/>
      </c>
      <c r="L251">
        <f>IF(OR($B251="",(N('My Rota'!$D$6)+2)&gt;53),"",""&amp;CHOOSE(IFERROR(MATCH('My Rota'!$D$5,Setup!$K$33:$K$36,0),1),INDEX('2027'!$A:$Z,(5+50*((N('My Rota'!$D$6)+2)-1))+2+16,12),INDEX('2028'!$A:$Z,(5+50*((N('My Rota'!$D$6)+2)-1))+2+16,12),INDEX('2029'!$A:$Z,(5+50*((N('My Rota'!$D$6)+2)-1))+2+16,12),INDEX('2030'!$A:$Z,(5+50*((N('My Rota'!$D$6)+2)-1))+2+16,12)))</f>
        <v/>
      </c>
      <c r="M251">
        <f>IF(OR($B251="",(N('My Rota'!$D$6)+2)&gt;53),"",""&amp;CHOOSE(IFERROR(MATCH('My Rota'!$D$5,Setup!$K$33:$K$36,0),1),INDEX('2027'!$A:$Z,(5+50*((N('My Rota'!$D$6)+2)-1))+2+16,13),INDEX('2028'!$A:$Z,(5+50*((N('My Rota'!$D$6)+2)-1))+2+16,13),INDEX('2029'!$A:$Z,(5+50*((N('My Rota'!$D$6)+2)-1))+2+16,13),INDEX('2030'!$A:$Z,(5+50*((N('My Rota'!$D$6)+2)-1))+2+16,13)))</f>
        <v/>
      </c>
      <c r="N251">
        <f>IF(OR($B251="",(N('My Rota'!$D$6)+2)&gt;53),"",""&amp;CHOOSE(IFERROR(MATCH('My Rota'!$D$5,Setup!$K$33:$K$36,0),1),INDEX('2027'!$A:$Z,(5+50*((N('My Rota'!$D$6)+2)-1))+2+16,14),INDEX('2028'!$A:$Z,(5+50*((N('My Rota'!$D$6)+2)-1))+2+16,14),INDEX('2029'!$A:$Z,(5+50*((N('My Rota'!$D$6)+2)-1))+2+16,14),INDEX('2030'!$A:$Z,(5+50*((N('My Rota'!$D$6)+2)-1))+2+16,14)))</f>
        <v/>
      </c>
      <c r="O251">
        <f>IF(OR($B251="",(N('My Rota'!$D$6)+2)&gt;53),"",""&amp;CHOOSE(IFERROR(MATCH('My Rota'!$D$5,Setup!$K$33:$K$36,0),1),INDEX('2027'!$A:$Z,(5+50*((N('My Rota'!$D$6)+2)-1))+2+16,15),INDEX('2028'!$A:$Z,(5+50*((N('My Rota'!$D$6)+2)-1))+2+16,15),INDEX('2029'!$A:$Z,(5+50*((N('My Rota'!$D$6)+2)-1))+2+16,15),INDEX('2030'!$A:$Z,(5+50*((N('My Rota'!$D$6)+2)-1))+2+16,15)))</f>
        <v/>
      </c>
      <c r="P251">
        <f>IF(OR($B251="",(N('My Rota'!$D$6)+2)&gt;53),"",""&amp;CHOOSE(IFERROR(MATCH('My Rota'!$D$5,Setup!$K$33:$K$36,0),1),INDEX('2027'!$A:$Z,(5+50*((N('My Rota'!$D$6)+2)-1))+2+16,16),INDEX('2028'!$A:$Z,(5+50*((N('My Rota'!$D$6)+2)-1))+2+16,16),INDEX('2029'!$A:$Z,(5+50*((N('My Rota'!$D$6)+2)-1))+2+16,16),INDEX('2030'!$A:$Z,(5+50*((N('My Rota'!$D$6)+2)-1))+2+16,16)))</f>
        <v/>
      </c>
      <c r="Q251">
        <f>IF(OR($B251="",(N('My Rota'!$D$6)+2)&gt;53),"",""&amp;CHOOSE(IFERROR(MATCH('My Rota'!$D$5,Setup!$K$33:$K$36,0),1),INDEX('2027'!$A:$Z,(5+50*((N('My Rota'!$D$6)+2)-1))+2+16,17),INDEX('2028'!$A:$Z,(5+50*((N('My Rota'!$D$6)+2)-1))+2+16,17),INDEX('2029'!$A:$Z,(5+50*((N('My Rota'!$D$6)+2)-1))+2+16,17),INDEX('2030'!$A:$Z,(5+50*((N('My Rota'!$D$6)+2)-1))+2+16,17)))</f>
        <v/>
      </c>
      <c r="R251">
        <f>IF(OR($B251="",(N('My Rota'!$D$6)+2)&gt;53),"",""&amp;CHOOSE(IFERROR(MATCH('My Rota'!$D$5,Setup!$K$33:$K$36,0),1),INDEX('2027'!$A:$Z,(5+50*((N('My Rota'!$D$6)+2)-1))+2+16,18),INDEX('2028'!$A:$Z,(5+50*((N('My Rota'!$D$6)+2)-1))+2+16,18),INDEX('2029'!$A:$Z,(5+50*((N('My Rota'!$D$6)+2)-1))+2+16,18),INDEX('2030'!$A:$Z,(5+50*((N('My Rota'!$D$6)+2)-1))+2+16,18)))</f>
        <v/>
      </c>
      <c r="S251">
        <f>IF(OR($B251="",(N('My Rota'!$D$6)+2)&gt;53),"",""&amp;CHOOSE(IFERROR(MATCH('My Rota'!$D$5,Setup!$K$33:$K$36,0),1),INDEX('2027'!$A:$Z,(5+50*((N('My Rota'!$D$6)+2)-1))+2+16,19),INDEX('2028'!$A:$Z,(5+50*((N('My Rota'!$D$6)+2)-1))+2+16,19),INDEX('2029'!$A:$Z,(5+50*((N('My Rota'!$D$6)+2)-1))+2+16,19),INDEX('2030'!$A:$Z,(5+50*((N('My Rota'!$D$6)+2)-1))+2+16,19)))</f>
        <v/>
      </c>
      <c r="T251">
        <f>IF(OR($B251="",(N('My Rota'!$D$6)+2)&gt;53),"",""&amp;CHOOSE(IFERROR(MATCH('My Rota'!$D$5,Setup!$K$33:$K$36,0),1),INDEX('2027'!$A:$Z,(5+50*((N('My Rota'!$D$6)+2)-1))+2+16,20),INDEX('2028'!$A:$Z,(5+50*((N('My Rota'!$D$6)+2)-1))+2+16,20),INDEX('2029'!$A:$Z,(5+50*((N('My Rota'!$D$6)+2)-1))+2+16,20),INDEX('2030'!$A:$Z,(5+50*((N('My Rota'!$D$6)+2)-1))+2+16,20)))</f>
        <v/>
      </c>
      <c r="U251">
        <f>IF(OR($B251="",(N('My Rota'!$D$6)+2)&gt;53),"",""&amp;CHOOSE(IFERROR(MATCH('My Rota'!$D$5,Setup!$K$33:$K$36,0),1),INDEX('2027'!$A:$Z,(5+50*((N('My Rota'!$D$6)+2)-1))+2+16,21),INDEX('2028'!$A:$Z,(5+50*((N('My Rota'!$D$6)+2)-1))+2+16,21),INDEX('2029'!$A:$Z,(5+50*((N('My Rota'!$D$6)+2)-1))+2+16,21),INDEX('2030'!$A:$Z,(5+50*((N('My Rota'!$D$6)+2)-1))+2+16,21)))</f>
        <v/>
      </c>
      <c r="V251">
        <f>IF(OR($B251="",(N('My Rota'!$D$6)+2)&gt;53),"",""&amp;CHOOSE(IFERROR(MATCH('My Rota'!$D$5,Setup!$K$33:$K$36,0),1),INDEX('2027'!$A:$Z,(5+50*((N('My Rota'!$D$6)+2)-1))+2+16,22),INDEX('2028'!$A:$Z,(5+50*((N('My Rota'!$D$6)+2)-1))+2+16,22),INDEX('2029'!$A:$Z,(5+50*((N('My Rota'!$D$6)+2)-1))+2+16,22),INDEX('2030'!$A:$Z,(5+50*((N('My Rota'!$D$6)+2)-1))+2+16,22)))</f>
        <v/>
      </c>
      <c r="W251">
        <f>IF(OR($B251="",(N('My Rota'!$D$6)+2)&gt;53),"",""&amp;CHOOSE(IFERROR(MATCH('My Rota'!$D$5,Setup!$K$33:$K$36,0),1),INDEX('2027'!$A:$Z,(5+50*((N('My Rota'!$D$6)+2)-1))+2+16,23),INDEX('2028'!$A:$Z,(5+50*((N('My Rota'!$D$6)+2)-1))+2+16,23),INDEX('2029'!$A:$Z,(5+50*((N('My Rota'!$D$6)+2)-1))+2+16,23),INDEX('2030'!$A:$Z,(5+50*((N('My Rota'!$D$6)+2)-1))+2+16,23)))</f>
        <v/>
      </c>
      <c r="X251">
        <f>IF(OR($B251="",(N('My Rota'!$D$6)+2)&gt;53),"",""&amp;CHOOSE(IFERROR(MATCH('My Rota'!$D$5,Setup!$K$33:$K$36,0),1),INDEX('2027'!$A:$Z,(5+50*((N('My Rota'!$D$6)+2)-1))+2+16,24),INDEX('2028'!$A:$Z,(5+50*((N('My Rota'!$D$6)+2)-1))+2+16,24),INDEX('2029'!$A:$Z,(5+50*((N('My Rota'!$D$6)+2)-1))+2+16,24),INDEX('2030'!$A:$Z,(5+50*((N('My Rota'!$D$6)+2)-1))+2+16,24)))</f>
        <v/>
      </c>
      <c r="Y251">
        <f>IF(OR($B251="",(N('My Rota'!$D$6)+2)&gt;53),"",""&amp;CHOOSE(IFERROR(MATCH('My Rota'!$D$5,Setup!$K$33:$K$36,0),1),INDEX('2027'!$A:$Z,(5+50*((N('My Rota'!$D$6)+2)-1))+2+16,25),INDEX('2028'!$A:$Z,(5+50*((N('My Rota'!$D$6)+2)-1))+2+16,25),INDEX('2029'!$A:$Z,(5+50*((N('My Rota'!$D$6)+2)-1))+2+16,25),INDEX('2030'!$A:$Z,(5+50*((N('My Rota'!$D$6)+2)-1))+2+16,25)))</f>
        <v/>
      </c>
      <c r="Z251">
        <f>IF(OR($B251="",(N('My Rota'!$D$6)+2)&gt;53),"",""&amp;CHOOSE(IFERROR(MATCH('My Rota'!$D$5,Setup!$K$33:$K$36,0),1),INDEX('2027'!$A:$Z,(5+50*((N('My Rota'!$D$6)+2)-1))+2+16,26),INDEX('2028'!$A:$Z,(5+50*((N('My Rota'!$D$6)+2)-1))+2+16,26),INDEX('2029'!$A:$Z,(5+50*((N('My Rota'!$D$6)+2)-1))+2+16,26),INDEX('2030'!$A:$Z,(5+50*((N('My Rota'!$D$6)+2)-1))+2+16,26)))</f>
        <v/>
      </c>
    </row>
    <row r="252">
      <c r="A252" t="n">
        <v>3</v>
      </c>
      <c r="B252">
        <f>$B$63</f>
        <v/>
      </c>
      <c r="C252">
        <f>IF(OR($B252="",(N('My Rota'!$D$6)+2)&gt;53),"",""&amp;CHOOSE(IFERROR(MATCH('My Rota'!$D$5,Setup!$K$33:$K$36,0),1),INDEX('2027'!$A:$Z,(5+50*((N('My Rota'!$D$6)+2)-1))+2+17,3),INDEX('2028'!$A:$Z,(5+50*((N('My Rota'!$D$6)+2)-1))+2+17,3),INDEX('2029'!$A:$Z,(5+50*((N('My Rota'!$D$6)+2)-1))+2+17,3),INDEX('2030'!$A:$Z,(5+50*((N('My Rota'!$D$6)+2)-1))+2+17,3)))</f>
        <v/>
      </c>
      <c r="D252">
        <f>IF(OR($B252="",(N('My Rota'!$D$6)+2)&gt;53),"",""&amp;CHOOSE(IFERROR(MATCH('My Rota'!$D$5,Setup!$K$33:$K$36,0),1),INDEX('2027'!$A:$Z,(5+50*((N('My Rota'!$D$6)+2)-1))+2+17,4),INDEX('2028'!$A:$Z,(5+50*((N('My Rota'!$D$6)+2)-1))+2+17,4),INDEX('2029'!$A:$Z,(5+50*((N('My Rota'!$D$6)+2)-1))+2+17,4),INDEX('2030'!$A:$Z,(5+50*((N('My Rota'!$D$6)+2)-1))+2+17,4)))</f>
        <v/>
      </c>
      <c r="E252">
        <f>IF(OR($B252="",(N('My Rota'!$D$6)+2)&gt;53),"",""&amp;CHOOSE(IFERROR(MATCH('My Rota'!$D$5,Setup!$K$33:$K$36,0),1),INDEX('2027'!$A:$Z,(5+50*((N('My Rota'!$D$6)+2)-1))+2+17,5),INDEX('2028'!$A:$Z,(5+50*((N('My Rota'!$D$6)+2)-1))+2+17,5),INDEX('2029'!$A:$Z,(5+50*((N('My Rota'!$D$6)+2)-1))+2+17,5),INDEX('2030'!$A:$Z,(5+50*((N('My Rota'!$D$6)+2)-1))+2+17,5)))</f>
        <v/>
      </c>
      <c r="F252">
        <f>IF(OR($B252="",(N('My Rota'!$D$6)+2)&gt;53),"",""&amp;CHOOSE(IFERROR(MATCH('My Rota'!$D$5,Setup!$K$33:$K$36,0),1),INDEX('2027'!$A:$Z,(5+50*((N('My Rota'!$D$6)+2)-1))+2+17,6),INDEX('2028'!$A:$Z,(5+50*((N('My Rota'!$D$6)+2)-1))+2+17,6),INDEX('2029'!$A:$Z,(5+50*((N('My Rota'!$D$6)+2)-1))+2+17,6),INDEX('2030'!$A:$Z,(5+50*((N('My Rota'!$D$6)+2)-1))+2+17,6)))</f>
        <v/>
      </c>
      <c r="G252">
        <f>IF(OR($B252="",(N('My Rota'!$D$6)+2)&gt;53),"",""&amp;CHOOSE(IFERROR(MATCH('My Rota'!$D$5,Setup!$K$33:$K$36,0),1),INDEX('2027'!$A:$Z,(5+50*((N('My Rota'!$D$6)+2)-1))+2+17,7),INDEX('2028'!$A:$Z,(5+50*((N('My Rota'!$D$6)+2)-1))+2+17,7),INDEX('2029'!$A:$Z,(5+50*((N('My Rota'!$D$6)+2)-1))+2+17,7),INDEX('2030'!$A:$Z,(5+50*((N('My Rota'!$D$6)+2)-1))+2+17,7)))</f>
        <v/>
      </c>
      <c r="H252">
        <f>IF(OR($B252="",(N('My Rota'!$D$6)+2)&gt;53),"",""&amp;CHOOSE(IFERROR(MATCH('My Rota'!$D$5,Setup!$K$33:$K$36,0),1),INDEX('2027'!$A:$Z,(5+50*((N('My Rota'!$D$6)+2)-1))+2+17,8),INDEX('2028'!$A:$Z,(5+50*((N('My Rota'!$D$6)+2)-1))+2+17,8),INDEX('2029'!$A:$Z,(5+50*((N('My Rota'!$D$6)+2)-1))+2+17,8),INDEX('2030'!$A:$Z,(5+50*((N('My Rota'!$D$6)+2)-1))+2+17,8)))</f>
        <v/>
      </c>
      <c r="I252">
        <f>IF(OR($B252="",(N('My Rota'!$D$6)+2)&gt;53),"",""&amp;CHOOSE(IFERROR(MATCH('My Rota'!$D$5,Setup!$K$33:$K$36,0),1),INDEX('2027'!$A:$Z,(5+50*((N('My Rota'!$D$6)+2)-1))+2+17,9),INDEX('2028'!$A:$Z,(5+50*((N('My Rota'!$D$6)+2)-1))+2+17,9),INDEX('2029'!$A:$Z,(5+50*((N('My Rota'!$D$6)+2)-1))+2+17,9),INDEX('2030'!$A:$Z,(5+50*((N('My Rota'!$D$6)+2)-1))+2+17,9)))</f>
        <v/>
      </c>
      <c r="J252">
        <f>IF(OR($B252="",(N('My Rota'!$D$6)+2)&gt;53),"",""&amp;CHOOSE(IFERROR(MATCH('My Rota'!$D$5,Setup!$K$33:$K$36,0),1),INDEX('2027'!$A:$Z,(5+50*((N('My Rota'!$D$6)+2)-1))+2+17,10),INDEX('2028'!$A:$Z,(5+50*((N('My Rota'!$D$6)+2)-1))+2+17,10),INDEX('2029'!$A:$Z,(5+50*((N('My Rota'!$D$6)+2)-1))+2+17,10),INDEX('2030'!$A:$Z,(5+50*((N('My Rota'!$D$6)+2)-1))+2+17,10)))</f>
        <v/>
      </c>
      <c r="K252">
        <f>IF(OR($B252="",(N('My Rota'!$D$6)+2)&gt;53),"",""&amp;CHOOSE(IFERROR(MATCH('My Rota'!$D$5,Setup!$K$33:$K$36,0),1),INDEX('2027'!$A:$Z,(5+50*((N('My Rota'!$D$6)+2)-1))+2+17,11),INDEX('2028'!$A:$Z,(5+50*((N('My Rota'!$D$6)+2)-1))+2+17,11),INDEX('2029'!$A:$Z,(5+50*((N('My Rota'!$D$6)+2)-1))+2+17,11),INDEX('2030'!$A:$Z,(5+50*((N('My Rota'!$D$6)+2)-1))+2+17,11)))</f>
        <v/>
      </c>
      <c r="L252">
        <f>IF(OR($B252="",(N('My Rota'!$D$6)+2)&gt;53),"",""&amp;CHOOSE(IFERROR(MATCH('My Rota'!$D$5,Setup!$K$33:$K$36,0),1),INDEX('2027'!$A:$Z,(5+50*((N('My Rota'!$D$6)+2)-1))+2+17,12),INDEX('2028'!$A:$Z,(5+50*((N('My Rota'!$D$6)+2)-1))+2+17,12),INDEX('2029'!$A:$Z,(5+50*((N('My Rota'!$D$6)+2)-1))+2+17,12),INDEX('2030'!$A:$Z,(5+50*((N('My Rota'!$D$6)+2)-1))+2+17,12)))</f>
        <v/>
      </c>
      <c r="M252">
        <f>IF(OR($B252="",(N('My Rota'!$D$6)+2)&gt;53),"",""&amp;CHOOSE(IFERROR(MATCH('My Rota'!$D$5,Setup!$K$33:$K$36,0),1),INDEX('2027'!$A:$Z,(5+50*((N('My Rota'!$D$6)+2)-1))+2+17,13),INDEX('2028'!$A:$Z,(5+50*((N('My Rota'!$D$6)+2)-1))+2+17,13),INDEX('2029'!$A:$Z,(5+50*((N('My Rota'!$D$6)+2)-1))+2+17,13),INDEX('2030'!$A:$Z,(5+50*((N('My Rota'!$D$6)+2)-1))+2+17,13)))</f>
        <v/>
      </c>
      <c r="N252">
        <f>IF(OR($B252="",(N('My Rota'!$D$6)+2)&gt;53),"",""&amp;CHOOSE(IFERROR(MATCH('My Rota'!$D$5,Setup!$K$33:$K$36,0),1),INDEX('2027'!$A:$Z,(5+50*((N('My Rota'!$D$6)+2)-1))+2+17,14),INDEX('2028'!$A:$Z,(5+50*((N('My Rota'!$D$6)+2)-1))+2+17,14),INDEX('2029'!$A:$Z,(5+50*((N('My Rota'!$D$6)+2)-1))+2+17,14),INDEX('2030'!$A:$Z,(5+50*((N('My Rota'!$D$6)+2)-1))+2+17,14)))</f>
        <v/>
      </c>
      <c r="O252">
        <f>IF(OR($B252="",(N('My Rota'!$D$6)+2)&gt;53),"",""&amp;CHOOSE(IFERROR(MATCH('My Rota'!$D$5,Setup!$K$33:$K$36,0),1),INDEX('2027'!$A:$Z,(5+50*((N('My Rota'!$D$6)+2)-1))+2+17,15),INDEX('2028'!$A:$Z,(5+50*((N('My Rota'!$D$6)+2)-1))+2+17,15),INDEX('2029'!$A:$Z,(5+50*((N('My Rota'!$D$6)+2)-1))+2+17,15),INDEX('2030'!$A:$Z,(5+50*((N('My Rota'!$D$6)+2)-1))+2+17,15)))</f>
        <v/>
      </c>
      <c r="P252">
        <f>IF(OR($B252="",(N('My Rota'!$D$6)+2)&gt;53),"",""&amp;CHOOSE(IFERROR(MATCH('My Rota'!$D$5,Setup!$K$33:$K$36,0),1),INDEX('2027'!$A:$Z,(5+50*((N('My Rota'!$D$6)+2)-1))+2+17,16),INDEX('2028'!$A:$Z,(5+50*((N('My Rota'!$D$6)+2)-1))+2+17,16),INDEX('2029'!$A:$Z,(5+50*((N('My Rota'!$D$6)+2)-1))+2+17,16),INDEX('2030'!$A:$Z,(5+50*((N('My Rota'!$D$6)+2)-1))+2+17,16)))</f>
        <v/>
      </c>
      <c r="Q252">
        <f>IF(OR($B252="",(N('My Rota'!$D$6)+2)&gt;53),"",""&amp;CHOOSE(IFERROR(MATCH('My Rota'!$D$5,Setup!$K$33:$K$36,0),1),INDEX('2027'!$A:$Z,(5+50*((N('My Rota'!$D$6)+2)-1))+2+17,17),INDEX('2028'!$A:$Z,(5+50*((N('My Rota'!$D$6)+2)-1))+2+17,17),INDEX('2029'!$A:$Z,(5+50*((N('My Rota'!$D$6)+2)-1))+2+17,17),INDEX('2030'!$A:$Z,(5+50*((N('My Rota'!$D$6)+2)-1))+2+17,17)))</f>
        <v/>
      </c>
      <c r="R252">
        <f>IF(OR($B252="",(N('My Rota'!$D$6)+2)&gt;53),"",""&amp;CHOOSE(IFERROR(MATCH('My Rota'!$D$5,Setup!$K$33:$K$36,0),1),INDEX('2027'!$A:$Z,(5+50*((N('My Rota'!$D$6)+2)-1))+2+17,18),INDEX('2028'!$A:$Z,(5+50*((N('My Rota'!$D$6)+2)-1))+2+17,18),INDEX('2029'!$A:$Z,(5+50*((N('My Rota'!$D$6)+2)-1))+2+17,18),INDEX('2030'!$A:$Z,(5+50*((N('My Rota'!$D$6)+2)-1))+2+17,18)))</f>
        <v/>
      </c>
      <c r="S252">
        <f>IF(OR($B252="",(N('My Rota'!$D$6)+2)&gt;53),"",""&amp;CHOOSE(IFERROR(MATCH('My Rota'!$D$5,Setup!$K$33:$K$36,0),1),INDEX('2027'!$A:$Z,(5+50*((N('My Rota'!$D$6)+2)-1))+2+17,19),INDEX('2028'!$A:$Z,(5+50*((N('My Rota'!$D$6)+2)-1))+2+17,19),INDEX('2029'!$A:$Z,(5+50*((N('My Rota'!$D$6)+2)-1))+2+17,19),INDEX('2030'!$A:$Z,(5+50*((N('My Rota'!$D$6)+2)-1))+2+17,19)))</f>
        <v/>
      </c>
      <c r="T252">
        <f>IF(OR($B252="",(N('My Rota'!$D$6)+2)&gt;53),"",""&amp;CHOOSE(IFERROR(MATCH('My Rota'!$D$5,Setup!$K$33:$K$36,0),1),INDEX('2027'!$A:$Z,(5+50*((N('My Rota'!$D$6)+2)-1))+2+17,20),INDEX('2028'!$A:$Z,(5+50*((N('My Rota'!$D$6)+2)-1))+2+17,20),INDEX('2029'!$A:$Z,(5+50*((N('My Rota'!$D$6)+2)-1))+2+17,20),INDEX('2030'!$A:$Z,(5+50*((N('My Rota'!$D$6)+2)-1))+2+17,20)))</f>
        <v/>
      </c>
      <c r="U252">
        <f>IF(OR($B252="",(N('My Rota'!$D$6)+2)&gt;53),"",""&amp;CHOOSE(IFERROR(MATCH('My Rota'!$D$5,Setup!$K$33:$K$36,0),1),INDEX('2027'!$A:$Z,(5+50*((N('My Rota'!$D$6)+2)-1))+2+17,21),INDEX('2028'!$A:$Z,(5+50*((N('My Rota'!$D$6)+2)-1))+2+17,21),INDEX('2029'!$A:$Z,(5+50*((N('My Rota'!$D$6)+2)-1))+2+17,21),INDEX('2030'!$A:$Z,(5+50*((N('My Rota'!$D$6)+2)-1))+2+17,21)))</f>
        <v/>
      </c>
      <c r="V252">
        <f>IF(OR($B252="",(N('My Rota'!$D$6)+2)&gt;53),"",""&amp;CHOOSE(IFERROR(MATCH('My Rota'!$D$5,Setup!$K$33:$K$36,0),1),INDEX('2027'!$A:$Z,(5+50*((N('My Rota'!$D$6)+2)-1))+2+17,22),INDEX('2028'!$A:$Z,(5+50*((N('My Rota'!$D$6)+2)-1))+2+17,22),INDEX('2029'!$A:$Z,(5+50*((N('My Rota'!$D$6)+2)-1))+2+17,22),INDEX('2030'!$A:$Z,(5+50*((N('My Rota'!$D$6)+2)-1))+2+17,22)))</f>
        <v/>
      </c>
      <c r="W252">
        <f>IF(OR($B252="",(N('My Rota'!$D$6)+2)&gt;53),"",""&amp;CHOOSE(IFERROR(MATCH('My Rota'!$D$5,Setup!$K$33:$K$36,0),1),INDEX('2027'!$A:$Z,(5+50*((N('My Rota'!$D$6)+2)-1))+2+17,23),INDEX('2028'!$A:$Z,(5+50*((N('My Rota'!$D$6)+2)-1))+2+17,23),INDEX('2029'!$A:$Z,(5+50*((N('My Rota'!$D$6)+2)-1))+2+17,23),INDEX('2030'!$A:$Z,(5+50*((N('My Rota'!$D$6)+2)-1))+2+17,23)))</f>
        <v/>
      </c>
      <c r="X252">
        <f>IF(OR($B252="",(N('My Rota'!$D$6)+2)&gt;53),"",""&amp;CHOOSE(IFERROR(MATCH('My Rota'!$D$5,Setup!$K$33:$K$36,0),1),INDEX('2027'!$A:$Z,(5+50*((N('My Rota'!$D$6)+2)-1))+2+17,24),INDEX('2028'!$A:$Z,(5+50*((N('My Rota'!$D$6)+2)-1))+2+17,24),INDEX('2029'!$A:$Z,(5+50*((N('My Rota'!$D$6)+2)-1))+2+17,24),INDEX('2030'!$A:$Z,(5+50*((N('My Rota'!$D$6)+2)-1))+2+17,24)))</f>
        <v/>
      </c>
      <c r="Y252">
        <f>IF(OR($B252="",(N('My Rota'!$D$6)+2)&gt;53),"",""&amp;CHOOSE(IFERROR(MATCH('My Rota'!$D$5,Setup!$K$33:$K$36,0),1),INDEX('2027'!$A:$Z,(5+50*((N('My Rota'!$D$6)+2)-1))+2+17,25),INDEX('2028'!$A:$Z,(5+50*((N('My Rota'!$D$6)+2)-1))+2+17,25),INDEX('2029'!$A:$Z,(5+50*((N('My Rota'!$D$6)+2)-1))+2+17,25),INDEX('2030'!$A:$Z,(5+50*((N('My Rota'!$D$6)+2)-1))+2+17,25)))</f>
        <v/>
      </c>
      <c r="Z252">
        <f>IF(OR($B252="",(N('My Rota'!$D$6)+2)&gt;53),"",""&amp;CHOOSE(IFERROR(MATCH('My Rota'!$D$5,Setup!$K$33:$K$36,0),1),INDEX('2027'!$A:$Z,(5+50*((N('My Rota'!$D$6)+2)-1))+2+17,26),INDEX('2028'!$A:$Z,(5+50*((N('My Rota'!$D$6)+2)-1))+2+17,26),INDEX('2029'!$A:$Z,(5+50*((N('My Rota'!$D$6)+2)-1))+2+17,26),INDEX('2030'!$A:$Z,(5+50*((N('My Rota'!$D$6)+2)-1))+2+17,26)))</f>
        <v/>
      </c>
    </row>
    <row r="253">
      <c r="A253" t="n">
        <v>3</v>
      </c>
      <c r="B253">
        <f>$B$64</f>
        <v/>
      </c>
      <c r="C253">
        <f>IF(OR($B253="",(N('My Rota'!$D$6)+2)&gt;53),"",""&amp;CHOOSE(IFERROR(MATCH('My Rota'!$D$5,Setup!$K$33:$K$36,0),1),INDEX('2027'!$A:$Z,(5+50*((N('My Rota'!$D$6)+2)-1))+2+18,3),INDEX('2028'!$A:$Z,(5+50*((N('My Rota'!$D$6)+2)-1))+2+18,3),INDEX('2029'!$A:$Z,(5+50*((N('My Rota'!$D$6)+2)-1))+2+18,3),INDEX('2030'!$A:$Z,(5+50*((N('My Rota'!$D$6)+2)-1))+2+18,3)))</f>
        <v/>
      </c>
      <c r="D253">
        <f>IF(OR($B253="",(N('My Rota'!$D$6)+2)&gt;53),"",""&amp;CHOOSE(IFERROR(MATCH('My Rota'!$D$5,Setup!$K$33:$K$36,0),1),INDEX('2027'!$A:$Z,(5+50*((N('My Rota'!$D$6)+2)-1))+2+18,4),INDEX('2028'!$A:$Z,(5+50*((N('My Rota'!$D$6)+2)-1))+2+18,4),INDEX('2029'!$A:$Z,(5+50*((N('My Rota'!$D$6)+2)-1))+2+18,4),INDEX('2030'!$A:$Z,(5+50*((N('My Rota'!$D$6)+2)-1))+2+18,4)))</f>
        <v/>
      </c>
      <c r="E253">
        <f>IF(OR($B253="",(N('My Rota'!$D$6)+2)&gt;53),"",""&amp;CHOOSE(IFERROR(MATCH('My Rota'!$D$5,Setup!$K$33:$K$36,0),1),INDEX('2027'!$A:$Z,(5+50*((N('My Rota'!$D$6)+2)-1))+2+18,5),INDEX('2028'!$A:$Z,(5+50*((N('My Rota'!$D$6)+2)-1))+2+18,5),INDEX('2029'!$A:$Z,(5+50*((N('My Rota'!$D$6)+2)-1))+2+18,5),INDEX('2030'!$A:$Z,(5+50*((N('My Rota'!$D$6)+2)-1))+2+18,5)))</f>
        <v/>
      </c>
      <c r="F253">
        <f>IF(OR($B253="",(N('My Rota'!$D$6)+2)&gt;53),"",""&amp;CHOOSE(IFERROR(MATCH('My Rota'!$D$5,Setup!$K$33:$K$36,0),1),INDEX('2027'!$A:$Z,(5+50*((N('My Rota'!$D$6)+2)-1))+2+18,6),INDEX('2028'!$A:$Z,(5+50*((N('My Rota'!$D$6)+2)-1))+2+18,6),INDEX('2029'!$A:$Z,(5+50*((N('My Rota'!$D$6)+2)-1))+2+18,6),INDEX('2030'!$A:$Z,(5+50*((N('My Rota'!$D$6)+2)-1))+2+18,6)))</f>
        <v/>
      </c>
      <c r="G253">
        <f>IF(OR($B253="",(N('My Rota'!$D$6)+2)&gt;53),"",""&amp;CHOOSE(IFERROR(MATCH('My Rota'!$D$5,Setup!$K$33:$K$36,0),1),INDEX('2027'!$A:$Z,(5+50*((N('My Rota'!$D$6)+2)-1))+2+18,7),INDEX('2028'!$A:$Z,(5+50*((N('My Rota'!$D$6)+2)-1))+2+18,7),INDEX('2029'!$A:$Z,(5+50*((N('My Rota'!$D$6)+2)-1))+2+18,7),INDEX('2030'!$A:$Z,(5+50*((N('My Rota'!$D$6)+2)-1))+2+18,7)))</f>
        <v/>
      </c>
      <c r="H253">
        <f>IF(OR($B253="",(N('My Rota'!$D$6)+2)&gt;53),"",""&amp;CHOOSE(IFERROR(MATCH('My Rota'!$D$5,Setup!$K$33:$K$36,0),1),INDEX('2027'!$A:$Z,(5+50*((N('My Rota'!$D$6)+2)-1))+2+18,8),INDEX('2028'!$A:$Z,(5+50*((N('My Rota'!$D$6)+2)-1))+2+18,8),INDEX('2029'!$A:$Z,(5+50*((N('My Rota'!$D$6)+2)-1))+2+18,8),INDEX('2030'!$A:$Z,(5+50*((N('My Rota'!$D$6)+2)-1))+2+18,8)))</f>
        <v/>
      </c>
      <c r="I253">
        <f>IF(OR($B253="",(N('My Rota'!$D$6)+2)&gt;53),"",""&amp;CHOOSE(IFERROR(MATCH('My Rota'!$D$5,Setup!$K$33:$K$36,0),1),INDEX('2027'!$A:$Z,(5+50*((N('My Rota'!$D$6)+2)-1))+2+18,9),INDEX('2028'!$A:$Z,(5+50*((N('My Rota'!$D$6)+2)-1))+2+18,9),INDEX('2029'!$A:$Z,(5+50*((N('My Rota'!$D$6)+2)-1))+2+18,9),INDEX('2030'!$A:$Z,(5+50*((N('My Rota'!$D$6)+2)-1))+2+18,9)))</f>
        <v/>
      </c>
      <c r="J253">
        <f>IF(OR($B253="",(N('My Rota'!$D$6)+2)&gt;53),"",""&amp;CHOOSE(IFERROR(MATCH('My Rota'!$D$5,Setup!$K$33:$K$36,0),1),INDEX('2027'!$A:$Z,(5+50*((N('My Rota'!$D$6)+2)-1))+2+18,10),INDEX('2028'!$A:$Z,(5+50*((N('My Rota'!$D$6)+2)-1))+2+18,10),INDEX('2029'!$A:$Z,(5+50*((N('My Rota'!$D$6)+2)-1))+2+18,10),INDEX('2030'!$A:$Z,(5+50*((N('My Rota'!$D$6)+2)-1))+2+18,10)))</f>
        <v/>
      </c>
      <c r="K253">
        <f>IF(OR($B253="",(N('My Rota'!$D$6)+2)&gt;53),"",""&amp;CHOOSE(IFERROR(MATCH('My Rota'!$D$5,Setup!$K$33:$K$36,0),1),INDEX('2027'!$A:$Z,(5+50*((N('My Rota'!$D$6)+2)-1))+2+18,11),INDEX('2028'!$A:$Z,(5+50*((N('My Rota'!$D$6)+2)-1))+2+18,11),INDEX('2029'!$A:$Z,(5+50*((N('My Rota'!$D$6)+2)-1))+2+18,11),INDEX('2030'!$A:$Z,(5+50*((N('My Rota'!$D$6)+2)-1))+2+18,11)))</f>
        <v/>
      </c>
      <c r="L253">
        <f>IF(OR($B253="",(N('My Rota'!$D$6)+2)&gt;53),"",""&amp;CHOOSE(IFERROR(MATCH('My Rota'!$D$5,Setup!$K$33:$K$36,0),1),INDEX('2027'!$A:$Z,(5+50*((N('My Rota'!$D$6)+2)-1))+2+18,12),INDEX('2028'!$A:$Z,(5+50*((N('My Rota'!$D$6)+2)-1))+2+18,12),INDEX('2029'!$A:$Z,(5+50*((N('My Rota'!$D$6)+2)-1))+2+18,12),INDEX('2030'!$A:$Z,(5+50*((N('My Rota'!$D$6)+2)-1))+2+18,12)))</f>
        <v/>
      </c>
      <c r="M253">
        <f>IF(OR($B253="",(N('My Rota'!$D$6)+2)&gt;53),"",""&amp;CHOOSE(IFERROR(MATCH('My Rota'!$D$5,Setup!$K$33:$K$36,0),1),INDEX('2027'!$A:$Z,(5+50*((N('My Rota'!$D$6)+2)-1))+2+18,13),INDEX('2028'!$A:$Z,(5+50*((N('My Rota'!$D$6)+2)-1))+2+18,13),INDEX('2029'!$A:$Z,(5+50*((N('My Rota'!$D$6)+2)-1))+2+18,13),INDEX('2030'!$A:$Z,(5+50*((N('My Rota'!$D$6)+2)-1))+2+18,13)))</f>
        <v/>
      </c>
      <c r="N253">
        <f>IF(OR($B253="",(N('My Rota'!$D$6)+2)&gt;53),"",""&amp;CHOOSE(IFERROR(MATCH('My Rota'!$D$5,Setup!$K$33:$K$36,0),1),INDEX('2027'!$A:$Z,(5+50*((N('My Rota'!$D$6)+2)-1))+2+18,14),INDEX('2028'!$A:$Z,(5+50*((N('My Rota'!$D$6)+2)-1))+2+18,14),INDEX('2029'!$A:$Z,(5+50*((N('My Rota'!$D$6)+2)-1))+2+18,14),INDEX('2030'!$A:$Z,(5+50*((N('My Rota'!$D$6)+2)-1))+2+18,14)))</f>
        <v/>
      </c>
      <c r="O253">
        <f>IF(OR($B253="",(N('My Rota'!$D$6)+2)&gt;53),"",""&amp;CHOOSE(IFERROR(MATCH('My Rota'!$D$5,Setup!$K$33:$K$36,0),1),INDEX('2027'!$A:$Z,(5+50*((N('My Rota'!$D$6)+2)-1))+2+18,15),INDEX('2028'!$A:$Z,(5+50*((N('My Rota'!$D$6)+2)-1))+2+18,15),INDEX('2029'!$A:$Z,(5+50*((N('My Rota'!$D$6)+2)-1))+2+18,15),INDEX('2030'!$A:$Z,(5+50*((N('My Rota'!$D$6)+2)-1))+2+18,15)))</f>
        <v/>
      </c>
      <c r="P253">
        <f>IF(OR($B253="",(N('My Rota'!$D$6)+2)&gt;53),"",""&amp;CHOOSE(IFERROR(MATCH('My Rota'!$D$5,Setup!$K$33:$K$36,0),1),INDEX('2027'!$A:$Z,(5+50*((N('My Rota'!$D$6)+2)-1))+2+18,16),INDEX('2028'!$A:$Z,(5+50*((N('My Rota'!$D$6)+2)-1))+2+18,16),INDEX('2029'!$A:$Z,(5+50*((N('My Rota'!$D$6)+2)-1))+2+18,16),INDEX('2030'!$A:$Z,(5+50*((N('My Rota'!$D$6)+2)-1))+2+18,16)))</f>
        <v/>
      </c>
      <c r="Q253">
        <f>IF(OR($B253="",(N('My Rota'!$D$6)+2)&gt;53),"",""&amp;CHOOSE(IFERROR(MATCH('My Rota'!$D$5,Setup!$K$33:$K$36,0),1),INDEX('2027'!$A:$Z,(5+50*((N('My Rota'!$D$6)+2)-1))+2+18,17),INDEX('2028'!$A:$Z,(5+50*((N('My Rota'!$D$6)+2)-1))+2+18,17),INDEX('2029'!$A:$Z,(5+50*((N('My Rota'!$D$6)+2)-1))+2+18,17),INDEX('2030'!$A:$Z,(5+50*((N('My Rota'!$D$6)+2)-1))+2+18,17)))</f>
        <v/>
      </c>
      <c r="R253">
        <f>IF(OR($B253="",(N('My Rota'!$D$6)+2)&gt;53),"",""&amp;CHOOSE(IFERROR(MATCH('My Rota'!$D$5,Setup!$K$33:$K$36,0),1),INDEX('2027'!$A:$Z,(5+50*((N('My Rota'!$D$6)+2)-1))+2+18,18),INDEX('2028'!$A:$Z,(5+50*((N('My Rota'!$D$6)+2)-1))+2+18,18),INDEX('2029'!$A:$Z,(5+50*((N('My Rota'!$D$6)+2)-1))+2+18,18),INDEX('2030'!$A:$Z,(5+50*((N('My Rota'!$D$6)+2)-1))+2+18,18)))</f>
        <v/>
      </c>
      <c r="S253">
        <f>IF(OR($B253="",(N('My Rota'!$D$6)+2)&gt;53),"",""&amp;CHOOSE(IFERROR(MATCH('My Rota'!$D$5,Setup!$K$33:$K$36,0),1),INDEX('2027'!$A:$Z,(5+50*((N('My Rota'!$D$6)+2)-1))+2+18,19),INDEX('2028'!$A:$Z,(5+50*((N('My Rota'!$D$6)+2)-1))+2+18,19),INDEX('2029'!$A:$Z,(5+50*((N('My Rota'!$D$6)+2)-1))+2+18,19),INDEX('2030'!$A:$Z,(5+50*((N('My Rota'!$D$6)+2)-1))+2+18,19)))</f>
        <v/>
      </c>
      <c r="T253">
        <f>IF(OR($B253="",(N('My Rota'!$D$6)+2)&gt;53),"",""&amp;CHOOSE(IFERROR(MATCH('My Rota'!$D$5,Setup!$K$33:$K$36,0),1),INDEX('2027'!$A:$Z,(5+50*((N('My Rota'!$D$6)+2)-1))+2+18,20),INDEX('2028'!$A:$Z,(5+50*((N('My Rota'!$D$6)+2)-1))+2+18,20),INDEX('2029'!$A:$Z,(5+50*((N('My Rota'!$D$6)+2)-1))+2+18,20),INDEX('2030'!$A:$Z,(5+50*((N('My Rota'!$D$6)+2)-1))+2+18,20)))</f>
        <v/>
      </c>
      <c r="U253">
        <f>IF(OR($B253="",(N('My Rota'!$D$6)+2)&gt;53),"",""&amp;CHOOSE(IFERROR(MATCH('My Rota'!$D$5,Setup!$K$33:$K$36,0),1),INDEX('2027'!$A:$Z,(5+50*((N('My Rota'!$D$6)+2)-1))+2+18,21),INDEX('2028'!$A:$Z,(5+50*((N('My Rota'!$D$6)+2)-1))+2+18,21),INDEX('2029'!$A:$Z,(5+50*((N('My Rota'!$D$6)+2)-1))+2+18,21),INDEX('2030'!$A:$Z,(5+50*((N('My Rota'!$D$6)+2)-1))+2+18,21)))</f>
        <v/>
      </c>
      <c r="V253">
        <f>IF(OR($B253="",(N('My Rota'!$D$6)+2)&gt;53),"",""&amp;CHOOSE(IFERROR(MATCH('My Rota'!$D$5,Setup!$K$33:$K$36,0),1),INDEX('2027'!$A:$Z,(5+50*((N('My Rota'!$D$6)+2)-1))+2+18,22),INDEX('2028'!$A:$Z,(5+50*((N('My Rota'!$D$6)+2)-1))+2+18,22),INDEX('2029'!$A:$Z,(5+50*((N('My Rota'!$D$6)+2)-1))+2+18,22),INDEX('2030'!$A:$Z,(5+50*((N('My Rota'!$D$6)+2)-1))+2+18,22)))</f>
        <v/>
      </c>
      <c r="W253">
        <f>IF(OR($B253="",(N('My Rota'!$D$6)+2)&gt;53),"",""&amp;CHOOSE(IFERROR(MATCH('My Rota'!$D$5,Setup!$K$33:$K$36,0),1),INDEX('2027'!$A:$Z,(5+50*((N('My Rota'!$D$6)+2)-1))+2+18,23),INDEX('2028'!$A:$Z,(5+50*((N('My Rota'!$D$6)+2)-1))+2+18,23),INDEX('2029'!$A:$Z,(5+50*((N('My Rota'!$D$6)+2)-1))+2+18,23),INDEX('2030'!$A:$Z,(5+50*((N('My Rota'!$D$6)+2)-1))+2+18,23)))</f>
        <v/>
      </c>
      <c r="X253">
        <f>IF(OR($B253="",(N('My Rota'!$D$6)+2)&gt;53),"",""&amp;CHOOSE(IFERROR(MATCH('My Rota'!$D$5,Setup!$K$33:$K$36,0),1),INDEX('2027'!$A:$Z,(5+50*((N('My Rota'!$D$6)+2)-1))+2+18,24),INDEX('2028'!$A:$Z,(5+50*((N('My Rota'!$D$6)+2)-1))+2+18,24),INDEX('2029'!$A:$Z,(5+50*((N('My Rota'!$D$6)+2)-1))+2+18,24),INDEX('2030'!$A:$Z,(5+50*((N('My Rota'!$D$6)+2)-1))+2+18,24)))</f>
        <v/>
      </c>
      <c r="Y253">
        <f>IF(OR($B253="",(N('My Rota'!$D$6)+2)&gt;53),"",""&amp;CHOOSE(IFERROR(MATCH('My Rota'!$D$5,Setup!$K$33:$K$36,0),1),INDEX('2027'!$A:$Z,(5+50*((N('My Rota'!$D$6)+2)-1))+2+18,25),INDEX('2028'!$A:$Z,(5+50*((N('My Rota'!$D$6)+2)-1))+2+18,25),INDEX('2029'!$A:$Z,(5+50*((N('My Rota'!$D$6)+2)-1))+2+18,25),INDEX('2030'!$A:$Z,(5+50*((N('My Rota'!$D$6)+2)-1))+2+18,25)))</f>
        <v/>
      </c>
      <c r="Z253">
        <f>IF(OR($B253="",(N('My Rota'!$D$6)+2)&gt;53),"",""&amp;CHOOSE(IFERROR(MATCH('My Rota'!$D$5,Setup!$K$33:$K$36,0),1),INDEX('2027'!$A:$Z,(5+50*((N('My Rota'!$D$6)+2)-1))+2+18,26),INDEX('2028'!$A:$Z,(5+50*((N('My Rota'!$D$6)+2)-1))+2+18,26),INDEX('2029'!$A:$Z,(5+50*((N('My Rota'!$D$6)+2)-1))+2+18,26),INDEX('2030'!$A:$Z,(5+50*((N('My Rota'!$D$6)+2)-1))+2+18,26)))</f>
        <v/>
      </c>
    </row>
    <row r="254">
      <c r="A254" t="n">
        <v>4</v>
      </c>
      <c r="B254">
        <f>$B$47</f>
        <v/>
      </c>
      <c r="C254">
        <f>IF(OR($B254="",(N('My Rota'!$D$6)+3)&gt;53),"",""&amp;CHOOSE(IFERROR(MATCH('My Rota'!$D$5,Setup!$K$33:$K$36,0),1),INDEX('2027'!$A:$Z,(5+50*((N('My Rota'!$D$6)+3)-1))+2+1,3),INDEX('2028'!$A:$Z,(5+50*((N('My Rota'!$D$6)+3)-1))+2+1,3),INDEX('2029'!$A:$Z,(5+50*((N('My Rota'!$D$6)+3)-1))+2+1,3),INDEX('2030'!$A:$Z,(5+50*((N('My Rota'!$D$6)+3)-1))+2+1,3)))</f>
        <v/>
      </c>
      <c r="D254">
        <f>IF(OR($B254="",(N('My Rota'!$D$6)+3)&gt;53),"",""&amp;CHOOSE(IFERROR(MATCH('My Rota'!$D$5,Setup!$K$33:$K$36,0),1),INDEX('2027'!$A:$Z,(5+50*((N('My Rota'!$D$6)+3)-1))+2+1,4),INDEX('2028'!$A:$Z,(5+50*((N('My Rota'!$D$6)+3)-1))+2+1,4),INDEX('2029'!$A:$Z,(5+50*((N('My Rota'!$D$6)+3)-1))+2+1,4),INDEX('2030'!$A:$Z,(5+50*((N('My Rota'!$D$6)+3)-1))+2+1,4)))</f>
        <v/>
      </c>
      <c r="E254">
        <f>IF(OR($B254="",(N('My Rota'!$D$6)+3)&gt;53),"",""&amp;CHOOSE(IFERROR(MATCH('My Rota'!$D$5,Setup!$K$33:$K$36,0),1),INDEX('2027'!$A:$Z,(5+50*((N('My Rota'!$D$6)+3)-1))+2+1,5),INDEX('2028'!$A:$Z,(5+50*((N('My Rota'!$D$6)+3)-1))+2+1,5),INDEX('2029'!$A:$Z,(5+50*((N('My Rota'!$D$6)+3)-1))+2+1,5),INDEX('2030'!$A:$Z,(5+50*((N('My Rota'!$D$6)+3)-1))+2+1,5)))</f>
        <v/>
      </c>
      <c r="F254">
        <f>IF(OR($B254="",(N('My Rota'!$D$6)+3)&gt;53),"",""&amp;CHOOSE(IFERROR(MATCH('My Rota'!$D$5,Setup!$K$33:$K$36,0),1),INDEX('2027'!$A:$Z,(5+50*((N('My Rota'!$D$6)+3)-1))+2+1,6),INDEX('2028'!$A:$Z,(5+50*((N('My Rota'!$D$6)+3)-1))+2+1,6),INDEX('2029'!$A:$Z,(5+50*((N('My Rota'!$D$6)+3)-1))+2+1,6),INDEX('2030'!$A:$Z,(5+50*((N('My Rota'!$D$6)+3)-1))+2+1,6)))</f>
        <v/>
      </c>
      <c r="G254">
        <f>IF(OR($B254="",(N('My Rota'!$D$6)+3)&gt;53),"",""&amp;CHOOSE(IFERROR(MATCH('My Rota'!$D$5,Setup!$K$33:$K$36,0),1),INDEX('2027'!$A:$Z,(5+50*((N('My Rota'!$D$6)+3)-1))+2+1,7),INDEX('2028'!$A:$Z,(5+50*((N('My Rota'!$D$6)+3)-1))+2+1,7),INDEX('2029'!$A:$Z,(5+50*((N('My Rota'!$D$6)+3)-1))+2+1,7),INDEX('2030'!$A:$Z,(5+50*((N('My Rota'!$D$6)+3)-1))+2+1,7)))</f>
        <v/>
      </c>
      <c r="H254">
        <f>IF(OR($B254="",(N('My Rota'!$D$6)+3)&gt;53),"",""&amp;CHOOSE(IFERROR(MATCH('My Rota'!$D$5,Setup!$K$33:$K$36,0),1),INDEX('2027'!$A:$Z,(5+50*((N('My Rota'!$D$6)+3)-1))+2+1,8),INDEX('2028'!$A:$Z,(5+50*((N('My Rota'!$D$6)+3)-1))+2+1,8),INDEX('2029'!$A:$Z,(5+50*((N('My Rota'!$D$6)+3)-1))+2+1,8),INDEX('2030'!$A:$Z,(5+50*((N('My Rota'!$D$6)+3)-1))+2+1,8)))</f>
        <v/>
      </c>
      <c r="I254">
        <f>IF(OR($B254="",(N('My Rota'!$D$6)+3)&gt;53),"",""&amp;CHOOSE(IFERROR(MATCH('My Rota'!$D$5,Setup!$K$33:$K$36,0),1),INDEX('2027'!$A:$Z,(5+50*((N('My Rota'!$D$6)+3)-1))+2+1,9),INDEX('2028'!$A:$Z,(5+50*((N('My Rota'!$D$6)+3)-1))+2+1,9),INDEX('2029'!$A:$Z,(5+50*((N('My Rota'!$D$6)+3)-1))+2+1,9),INDEX('2030'!$A:$Z,(5+50*((N('My Rota'!$D$6)+3)-1))+2+1,9)))</f>
        <v/>
      </c>
      <c r="J254">
        <f>IF(OR($B254="",(N('My Rota'!$D$6)+3)&gt;53),"",""&amp;CHOOSE(IFERROR(MATCH('My Rota'!$D$5,Setup!$K$33:$K$36,0),1),INDEX('2027'!$A:$Z,(5+50*((N('My Rota'!$D$6)+3)-1))+2+1,10),INDEX('2028'!$A:$Z,(5+50*((N('My Rota'!$D$6)+3)-1))+2+1,10),INDEX('2029'!$A:$Z,(5+50*((N('My Rota'!$D$6)+3)-1))+2+1,10),INDEX('2030'!$A:$Z,(5+50*((N('My Rota'!$D$6)+3)-1))+2+1,10)))</f>
        <v/>
      </c>
      <c r="K254">
        <f>IF(OR($B254="",(N('My Rota'!$D$6)+3)&gt;53),"",""&amp;CHOOSE(IFERROR(MATCH('My Rota'!$D$5,Setup!$K$33:$K$36,0),1),INDEX('2027'!$A:$Z,(5+50*((N('My Rota'!$D$6)+3)-1))+2+1,11),INDEX('2028'!$A:$Z,(5+50*((N('My Rota'!$D$6)+3)-1))+2+1,11),INDEX('2029'!$A:$Z,(5+50*((N('My Rota'!$D$6)+3)-1))+2+1,11),INDEX('2030'!$A:$Z,(5+50*((N('My Rota'!$D$6)+3)-1))+2+1,11)))</f>
        <v/>
      </c>
      <c r="L254">
        <f>IF(OR($B254="",(N('My Rota'!$D$6)+3)&gt;53),"",""&amp;CHOOSE(IFERROR(MATCH('My Rota'!$D$5,Setup!$K$33:$K$36,0),1),INDEX('2027'!$A:$Z,(5+50*((N('My Rota'!$D$6)+3)-1))+2+1,12),INDEX('2028'!$A:$Z,(5+50*((N('My Rota'!$D$6)+3)-1))+2+1,12),INDEX('2029'!$A:$Z,(5+50*((N('My Rota'!$D$6)+3)-1))+2+1,12),INDEX('2030'!$A:$Z,(5+50*((N('My Rota'!$D$6)+3)-1))+2+1,12)))</f>
        <v/>
      </c>
      <c r="M254">
        <f>IF(OR($B254="",(N('My Rota'!$D$6)+3)&gt;53),"",""&amp;CHOOSE(IFERROR(MATCH('My Rota'!$D$5,Setup!$K$33:$K$36,0),1),INDEX('2027'!$A:$Z,(5+50*((N('My Rota'!$D$6)+3)-1))+2+1,13),INDEX('2028'!$A:$Z,(5+50*((N('My Rota'!$D$6)+3)-1))+2+1,13),INDEX('2029'!$A:$Z,(5+50*((N('My Rota'!$D$6)+3)-1))+2+1,13),INDEX('2030'!$A:$Z,(5+50*((N('My Rota'!$D$6)+3)-1))+2+1,13)))</f>
        <v/>
      </c>
      <c r="N254">
        <f>IF(OR($B254="",(N('My Rota'!$D$6)+3)&gt;53),"",""&amp;CHOOSE(IFERROR(MATCH('My Rota'!$D$5,Setup!$K$33:$K$36,0),1),INDEX('2027'!$A:$Z,(5+50*((N('My Rota'!$D$6)+3)-1))+2+1,14),INDEX('2028'!$A:$Z,(5+50*((N('My Rota'!$D$6)+3)-1))+2+1,14),INDEX('2029'!$A:$Z,(5+50*((N('My Rota'!$D$6)+3)-1))+2+1,14),INDEX('2030'!$A:$Z,(5+50*((N('My Rota'!$D$6)+3)-1))+2+1,14)))</f>
        <v/>
      </c>
      <c r="O254">
        <f>IF(OR($B254="",(N('My Rota'!$D$6)+3)&gt;53),"",""&amp;CHOOSE(IFERROR(MATCH('My Rota'!$D$5,Setup!$K$33:$K$36,0),1),INDEX('2027'!$A:$Z,(5+50*((N('My Rota'!$D$6)+3)-1))+2+1,15),INDEX('2028'!$A:$Z,(5+50*((N('My Rota'!$D$6)+3)-1))+2+1,15),INDEX('2029'!$A:$Z,(5+50*((N('My Rota'!$D$6)+3)-1))+2+1,15),INDEX('2030'!$A:$Z,(5+50*((N('My Rota'!$D$6)+3)-1))+2+1,15)))</f>
        <v/>
      </c>
      <c r="P254">
        <f>IF(OR($B254="",(N('My Rota'!$D$6)+3)&gt;53),"",""&amp;CHOOSE(IFERROR(MATCH('My Rota'!$D$5,Setup!$K$33:$K$36,0),1),INDEX('2027'!$A:$Z,(5+50*((N('My Rota'!$D$6)+3)-1))+2+1,16),INDEX('2028'!$A:$Z,(5+50*((N('My Rota'!$D$6)+3)-1))+2+1,16),INDEX('2029'!$A:$Z,(5+50*((N('My Rota'!$D$6)+3)-1))+2+1,16),INDEX('2030'!$A:$Z,(5+50*((N('My Rota'!$D$6)+3)-1))+2+1,16)))</f>
        <v/>
      </c>
      <c r="Q254">
        <f>IF(OR($B254="",(N('My Rota'!$D$6)+3)&gt;53),"",""&amp;CHOOSE(IFERROR(MATCH('My Rota'!$D$5,Setup!$K$33:$K$36,0),1),INDEX('2027'!$A:$Z,(5+50*((N('My Rota'!$D$6)+3)-1))+2+1,17),INDEX('2028'!$A:$Z,(5+50*((N('My Rota'!$D$6)+3)-1))+2+1,17),INDEX('2029'!$A:$Z,(5+50*((N('My Rota'!$D$6)+3)-1))+2+1,17),INDEX('2030'!$A:$Z,(5+50*((N('My Rota'!$D$6)+3)-1))+2+1,17)))</f>
        <v/>
      </c>
      <c r="R254">
        <f>IF(OR($B254="",(N('My Rota'!$D$6)+3)&gt;53),"",""&amp;CHOOSE(IFERROR(MATCH('My Rota'!$D$5,Setup!$K$33:$K$36,0),1),INDEX('2027'!$A:$Z,(5+50*((N('My Rota'!$D$6)+3)-1))+2+1,18),INDEX('2028'!$A:$Z,(5+50*((N('My Rota'!$D$6)+3)-1))+2+1,18),INDEX('2029'!$A:$Z,(5+50*((N('My Rota'!$D$6)+3)-1))+2+1,18),INDEX('2030'!$A:$Z,(5+50*((N('My Rota'!$D$6)+3)-1))+2+1,18)))</f>
        <v/>
      </c>
      <c r="S254">
        <f>IF(OR($B254="",(N('My Rota'!$D$6)+3)&gt;53),"",""&amp;CHOOSE(IFERROR(MATCH('My Rota'!$D$5,Setup!$K$33:$K$36,0),1),INDEX('2027'!$A:$Z,(5+50*((N('My Rota'!$D$6)+3)-1))+2+1,19),INDEX('2028'!$A:$Z,(5+50*((N('My Rota'!$D$6)+3)-1))+2+1,19),INDEX('2029'!$A:$Z,(5+50*((N('My Rota'!$D$6)+3)-1))+2+1,19),INDEX('2030'!$A:$Z,(5+50*((N('My Rota'!$D$6)+3)-1))+2+1,19)))</f>
        <v/>
      </c>
      <c r="T254">
        <f>IF(OR($B254="",(N('My Rota'!$D$6)+3)&gt;53),"",""&amp;CHOOSE(IFERROR(MATCH('My Rota'!$D$5,Setup!$K$33:$K$36,0),1),INDEX('2027'!$A:$Z,(5+50*((N('My Rota'!$D$6)+3)-1))+2+1,20),INDEX('2028'!$A:$Z,(5+50*((N('My Rota'!$D$6)+3)-1))+2+1,20),INDEX('2029'!$A:$Z,(5+50*((N('My Rota'!$D$6)+3)-1))+2+1,20),INDEX('2030'!$A:$Z,(5+50*((N('My Rota'!$D$6)+3)-1))+2+1,20)))</f>
        <v/>
      </c>
      <c r="U254">
        <f>IF(OR($B254="",(N('My Rota'!$D$6)+3)&gt;53),"",""&amp;CHOOSE(IFERROR(MATCH('My Rota'!$D$5,Setup!$K$33:$K$36,0),1),INDEX('2027'!$A:$Z,(5+50*((N('My Rota'!$D$6)+3)-1))+2+1,21),INDEX('2028'!$A:$Z,(5+50*((N('My Rota'!$D$6)+3)-1))+2+1,21),INDEX('2029'!$A:$Z,(5+50*((N('My Rota'!$D$6)+3)-1))+2+1,21),INDEX('2030'!$A:$Z,(5+50*((N('My Rota'!$D$6)+3)-1))+2+1,21)))</f>
        <v/>
      </c>
      <c r="V254">
        <f>IF(OR($B254="",(N('My Rota'!$D$6)+3)&gt;53),"",""&amp;CHOOSE(IFERROR(MATCH('My Rota'!$D$5,Setup!$K$33:$K$36,0),1),INDEX('2027'!$A:$Z,(5+50*((N('My Rota'!$D$6)+3)-1))+2+1,22),INDEX('2028'!$A:$Z,(5+50*((N('My Rota'!$D$6)+3)-1))+2+1,22),INDEX('2029'!$A:$Z,(5+50*((N('My Rota'!$D$6)+3)-1))+2+1,22),INDEX('2030'!$A:$Z,(5+50*((N('My Rota'!$D$6)+3)-1))+2+1,22)))</f>
        <v/>
      </c>
      <c r="W254">
        <f>IF(OR($B254="",(N('My Rota'!$D$6)+3)&gt;53),"",""&amp;CHOOSE(IFERROR(MATCH('My Rota'!$D$5,Setup!$K$33:$K$36,0),1),INDEX('2027'!$A:$Z,(5+50*((N('My Rota'!$D$6)+3)-1))+2+1,23),INDEX('2028'!$A:$Z,(5+50*((N('My Rota'!$D$6)+3)-1))+2+1,23),INDEX('2029'!$A:$Z,(5+50*((N('My Rota'!$D$6)+3)-1))+2+1,23),INDEX('2030'!$A:$Z,(5+50*((N('My Rota'!$D$6)+3)-1))+2+1,23)))</f>
        <v/>
      </c>
      <c r="X254">
        <f>IF(OR($B254="",(N('My Rota'!$D$6)+3)&gt;53),"",""&amp;CHOOSE(IFERROR(MATCH('My Rota'!$D$5,Setup!$K$33:$K$36,0),1),INDEX('2027'!$A:$Z,(5+50*((N('My Rota'!$D$6)+3)-1))+2+1,24),INDEX('2028'!$A:$Z,(5+50*((N('My Rota'!$D$6)+3)-1))+2+1,24),INDEX('2029'!$A:$Z,(5+50*((N('My Rota'!$D$6)+3)-1))+2+1,24),INDEX('2030'!$A:$Z,(5+50*((N('My Rota'!$D$6)+3)-1))+2+1,24)))</f>
        <v/>
      </c>
      <c r="Y254">
        <f>IF(OR($B254="",(N('My Rota'!$D$6)+3)&gt;53),"",""&amp;CHOOSE(IFERROR(MATCH('My Rota'!$D$5,Setup!$K$33:$K$36,0),1),INDEX('2027'!$A:$Z,(5+50*((N('My Rota'!$D$6)+3)-1))+2+1,25),INDEX('2028'!$A:$Z,(5+50*((N('My Rota'!$D$6)+3)-1))+2+1,25),INDEX('2029'!$A:$Z,(5+50*((N('My Rota'!$D$6)+3)-1))+2+1,25),INDEX('2030'!$A:$Z,(5+50*((N('My Rota'!$D$6)+3)-1))+2+1,25)))</f>
        <v/>
      </c>
      <c r="Z254">
        <f>IF(OR($B254="",(N('My Rota'!$D$6)+3)&gt;53),"",""&amp;CHOOSE(IFERROR(MATCH('My Rota'!$D$5,Setup!$K$33:$K$36,0),1),INDEX('2027'!$A:$Z,(5+50*((N('My Rota'!$D$6)+3)-1))+2+1,26),INDEX('2028'!$A:$Z,(5+50*((N('My Rota'!$D$6)+3)-1))+2+1,26),INDEX('2029'!$A:$Z,(5+50*((N('My Rota'!$D$6)+3)-1))+2+1,26),INDEX('2030'!$A:$Z,(5+50*((N('My Rota'!$D$6)+3)-1))+2+1,26)))</f>
        <v/>
      </c>
    </row>
    <row r="255">
      <c r="A255" t="n">
        <v>4</v>
      </c>
      <c r="B255">
        <f>$B$48</f>
        <v/>
      </c>
      <c r="C255">
        <f>IF(OR($B255="",(N('My Rota'!$D$6)+3)&gt;53),"",""&amp;CHOOSE(IFERROR(MATCH('My Rota'!$D$5,Setup!$K$33:$K$36,0),1),INDEX('2027'!$A:$Z,(5+50*((N('My Rota'!$D$6)+3)-1))+2+2,3),INDEX('2028'!$A:$Z,(5+50*((N('My Rota'!$D$6)+3)-1))+2+2,3),INDEX('2029'!$A:$Z,(5+50*((N('My Rota'!$D$6)+3)-1))+2+2,3),INDEX('2030'!$A:$Z,(5+50*((N('My Rota'!$D$6)+3)-1))+2+2,3)))</f>
        <v/>
      </c>
      <c r="D255">
        <f>IF(OR($B255="",(N('My Rota'!$D$6)+3)&gt;53),"",""&amp;CHOOSE(IFERROR(MATCH('My Rota'!$D$5,Setup!$K$33:$K$36,0),1),INDEX('2027'!$A:$Z,(5+50*((N('My Rota'!$D$6)+3)-1))+2+2,4),INDEX('2028'!$A:$Z,(5+50*((N('My Rota'!$D$6)+3)-1))+2+2,4),INDEX('2029'!$A:$Z,(5+50*((N('My Rota'!$D$6)+3)-1))+2+2,4),INDEX('2030'!$A:$Z,(5+50*((N('My Rota'!$D$6)+3)-1))+2+2,4)))</f>
        <v/>
      </c>
      <c r="E255">
        <f>IF(OR($B255="",(N('My Rota'!$D$6)+3)&gt;53),"",""&amp;CHOOSE(IFERROR(MATCH('My Rota'!$D$5,Setup!$K$33:$K$36,0),1),INDEX('2027'!$A:$Z,(5+50*((N('My Rota'!$D$6)+3)-1))+2+2,5),INDEX('2028'!$A:$Z,(5+50*((N('My Rota'!$D$6)+3)-1))+2+2,5),INDEX('2029'!$A:$Z,(5+50*((N('My Rota'!$D$6)+3)-1))+2+2,5),INDEX('2030'!$A:$Z,(5+50*((N('My Rota'!$D$6)+3)-1))+2+2,5)))</f>
        <v/>
      </c>
      <c r="F255">
        <f>IF(OR($B255="",(N('My Rota'!$D$6)+3)&gt;53),"",""&amp;CHOOSE(IFERROR(MATCH('My Rota'!$D$5,Setup!$K$33:$K$36,0),1),INDEX('2027'!$A:$Z,(5+50*((N('My Rota'!$D$6)+3)-1))+2+2,6),INDEX('2028'!$A:$Z,(5+50*((N('My Rota'!$D$6)+3)-1))+2+2,6),INDEX('2029'!$A:$Z,(5+50*((N('My Rota'!$D$6)+3)-1))+2+2,6),INDEX('2030'!$A:$Z,(5+50*((N('My Rota'!$D$6)+3)-1))+2+2,6)))</f>
        <v/>
      </c>
      <c r="G255">
        <f>IF(OR($B255="",(N('My Rota'!$D$6)+3)&gt;53),"",""&amp;CHOOSE(IFERROR(MATCH('My Rota'!$D$5,Setup!$K$33:$K$36,0),1),INDEX('2027'!$A:$Z,(5+50*((N('My Rota'!$D$6)+3)-1))+2+2,7),INDEX('2028'!$A:$Z,(5+50*((N('My Rota'!$D$6)+3)-1))+2+2,7),INDEX('2029'!$A:$Z,(5+50*((N('My Rota'!$D$6)+3)-1))+2+2,7),INDEX('2030'!$A:$Z,(5+50*((N('My Rota'!$D$6)+3)-1))+2+2,7)))</f>
        <v/>
      </c>
      <c r="H255">
        <f>IF(OR($B255="",(N('My Rota'!$D$6)+3)&gt;53),"",""&amp;CHOOSE(IFERROR(MATCH('My Rota'!$D$5,Setup!$K$33:$K$36,0),1),INDEX('2027'!$A:$Z,(5+50*((N('My Rota'!$D$6)+3)-1))+2+2,8),INDEX('2028'!$A:$Z,(5+50*((N('My Rota'!$D$6)+3)-1))+2+2,8),INDEX('2029'!$A:$Z,(5+50*((N('My Rota'!$D$6)+3)-1))+2+2,8),INDEX('2030'!$A:$Z,(5+50*((N('My Rota'!$D$6)+3)-1))+2+2,8)))</f>
        <v/>
      </c>
      <c r="I255">
        <f>IF(OR($B255="",(N('My Rota'!$D$6)+3)&gt;53),"",""&amp;CHOOSE(IFERROR(MATCH('My Rota'!$D$5,Setup!$K$33:$K$36,0),1),INDEX('2027'!$A:$Z,(5+50*((N('My Rota'!$D$6)+3)-1))+2+2,9),INDEX('2028'!$A:$Z,(5+50*((N('My Rota'!$D$6)+3)-1))+2+2,9),INDEX('2029'!$A:$Z,(5+50*((N('My Rota'!$D$6)+3)-1))+2+2,9),INDEX('2030'!$A:$Z,(5+50*((N('My Rota'!$D$6)+3)-1))+2+2,9)))</f>
        <v/>
      </c>
      <c r="J255">
        <f>IF(OR($B255="",(N('My Rota'!$D$6)+3)&gt;53),"",""&amp;CHOOSE(IFERROR(MATCH('My Rota'!$D$5,Setup!$K$33:$K$36,0),1),INDEX('2027'!$A:$Z,(5+50*((N('My Rota'!$D$6)+3)-1))+2+2,10),INDEX('2028'!$A:$Z,(5+50*((N('My Rota'!$D$6)+3)-1))+2+2,10),INDEX('2029'!$A:$Z,(5+50*((N('My Rota'!$D$6)+3)-1))+2+2,10),INDEX('2030'!$A:$Z,(5+50*((N('My Rota'!$D$6)+3)-1))+2+2,10)))</f>
        <v/>
      </c>
      <c r="K255">
        <f>IF(OR($B255="",(N('My Rota'!$D$6)+3)&gt;53),"",""&amp;CHOOSE(IFERROR(MATCH('My Rota'!$D$5,Setup!$K$33:$K$36,0),1),INDEX('2027'!$A:$Z,(5+50*((N('My Rota'!$D$6)+3)-1))+2+2,11),INDEX('2028'!$A:$Z,(5+50*((N('My Rota'!$D$6)+3)-1))+2+2,11),INDEX('2029'!$A:$Z,(5+50*((N('My Rota'!$D$6)+3)-1))+2+2,11),INDEX('2030'!$A:$Z,(5+50*((N('My Rota'!$D$6)+3)-1))+2+2,11)))</f>
        <v/>
      </c>
      <c r="L255">
        <f>IF(OR($B255="",(N('My Rota'!$D$6)+3)&gt;53),"",""&amp;CHOOSE(IFERROR(MATCH('My Rota'!$D$5,Setup!$K$33:$K$36,0),1),INDEX('2027'!$A:$Z,(5+50*((N('My Rota'!$D$6)+3)-1))+2+2,12),INDEX('2028'!$A:$Z,(5+50*((N('My Rota'!$D$6)+3)-1))+2+2,12),INDEX('2029'!$A:$Z,(5+50*((N('My Rota'!$D$6)+3)-1))+2+2,12),INDEX('2030'!$A:$Z,(5+50*((N('My Rota'!$D$6)+3)-1))+2+2,12)))</f>
        <v/>
      </c>
      <c r="M255">
        <f>IF(OR($B255="",(N('My Rota'!$D$6)+3)&gt;53),"",""&amp;CHOOSE(IFERROR(MATCH('My Rota'!$D$5,Setup!$K$33:$K$36,0),1),INDEX('2027'!$A:$Z,(5+50*((N('My Rota'!$D$6)+3)-1))+2+2,13),INDEX('2028'!$A:$Z,(5+50*((N('My Rota'!$D$6)+3)-1))+2+2,13),INDEX('2029'!$A:$Z,(5+50*((N('My Rota'!$D$6)+3)-1))+2+2,13),INDEX('2030'!$A:$Z,(5+50*((N('My Rota'!$D$6)+3)-1))+2+2,13)))</f>
        <v/>
      </c>
      <c r="N255">
        <f>IF(OR($B255="",(N('My Rota'!$D$6)+3)&gt;53),"",""&amp;CHOOSE(IFERROR(MATCH('My Rota'!$D$5,Setup!$K$33:$K$36,0),1),INDEX('2027'!$A:$Z,(5+50*((N('My Rota'!$D$6)+3)-1))+2+2,14),INDEX('2028'!$A:$Z,(5+50*((N('My Rota'!$D$6)+3)-1))+2+2,14),INDEX('2029'!$A:$Z,(5+50*((N('My Rota'!$D$6)+3)-1))+2+2,14),INDEX('2030'!$A:$Z,(5+50*((N('My Rota'!$D$6)+3)-1))+2+2,14)))</f>
        <v/>
      </c>
      <c r="O255">
        <f>IF(OR($B255="",(N('My Rota'!$D$6)+3)&gt;53),"",""&amp;CHOOSE(IFERROR(MATCH('My Rota'!$D$5,Setup!$K$33:$K$36,0),1),INDEX('2027'!$A:$Z,(5+50*((N('My Rota'!$D$6)+3)-1))+2+2,15),INDEX('2028'!$A:$Z,(5+50*((N('My Rota'!$D$6)+3)-1))+2+2,15),INDEX('2029'!$A:$Z,(5+50*((N('My Rota'!$D$6)+3)-1))+2+2,15),INDEX('2030'!$A:$Z,(5+50*((N('My Rota'!$D$6)+3)-1))+2+2,15)))</f>
        <v/>
      </c>
      <c r="P255">
        <f>IF(OR($B255="",(N('My Rota'!$D$6)+3)&gt;53),"",""&amp;CHOOSE(IFERROR(MATCH('My Rota'!$D$5,Setup!$K$33:$K$36,0),1),INDEX('2027'!$A:$Z,(5+50*((N('My Rota'!$D$6)+3)-1))+2+2,16),INDEX('2028'!$A:$Z,(5+50*((N('My Rota'!$D$6)+3)-1))+2+2,16),INDEX('2029'!$A:$Z,(5+50*((N('My Rota'!$D$6)+3)-1))+2+2,16),INDEX('2030'!$A:$Z,(5+50*((N('My Rota'!$D$6)+3)-1))+2+2,16)))</f>
        <v/>
      </c>
      <c r="Q255">
        <f>IF(OR($B255="",(N('My Rota'!$D$6)+3)&gt;53),"",""&amp;CHOOSE(IFERROR(MATCH('My Rota'!$D$5,Setup!$K$33:$K$36,0),1),INDEX('2027'!$A:$Z,(5+50*((N('My Rota'!$D$6)+3)-1))+2+2,17),INDEX('2028'!$A:$Z,(5+50*((N('My Rota'!$D$6)+3)-1))+2+2,17),INDEX('2029'!$A:$Z,(5+50*((N('My Rota'!$D$6)+3)-1))+2+2,17),INDEX('2030'!$A:$Z,(5+50*((N('My Rota'!$D$6)+3)-1))+2+2,17)))</f>
        <v/>
      </c>
      <c r="R255">
        <f>IF(OR($B255="",(N('My Rota'!$D$6)+3)&gt;53),"",""&amp;CHOOSE(IFERROR(MATCH('My Rota'!$D$5,Setup!$K$33:$K$36,0),1),INDEX('2027'!$A:$Z,(5+50*((N('My Rota'!$D$6)+3)-1))+2+2,18),INDEX('2028'!$A:$Z,(5+50*((N('My Rota'!$D$6)+3)-1))+2+2,18),INDEX('2029'!$A:$Z,(5+50*((N('My Rota'!$D$6)+3)-1))+2+2,18),INDEX('2030'!$A:$Z,(5+50*((N('My Rota'!$D$6)+3)-1))+2+2,18)))</f>
        <v/>
      </c>
      <c r="S255">
        <f>IF(OR($B255="",(N('My Rota'!$D$6)+3)&gt;53),"",""&amp;CHOOSE(IFERROR(MATCH('My Rota'!$D$5,Setup!$K$33:$K$36,0),1),INDEX('2027'!$A:$Z,(5+50*((N('My Rota'!$D$6)+3)-1))+2+2,19),INDEX('2028'!$A:$Z,(5+50*((N('My Rota'!$D$6)+3)-1))+2+2,19),INDEX('2029'!$A:$Z,(5+50*((N('My Rota'!$D$6)+3)-1))+2+2,19),INDEX('2030'!$A:$Z,(5+50*((N('My Rota'!$D$6)+3)-1))+2+2,19)))</f>
        <v/>
      </c>
      <c r="T255">
        <f>IF(OR($B255="",(N('My Rota'!$D$6)+3)&gt;53),"",""&amp;CHOOSE(IFERROR(MATCH('My Rota'!$D$5,Setup!$K$33:$K$36,0),1),INDEX('2027'!$A:$Z,(5+50*((N('My Rota'!$D$6)+3)-1))+2+2,20),INDEX('2028'!$A:$Z,(5+50*((N('My Rota'!$D$6)+3)-1))+2+2,20),INDEX('2029'!$A:$Z,(5+50*((N('My Rota'!$D$6)+3)-1))+2+2,20),INDEX('2030'!$A:$Z,(5+50*((N('My Rota'!$D$6)+3)-1))+2+2,20)))</f>
        <v/>
      </c>
      <c r="U255">
        <f>IF(OR($B255="",(N('My Rota'!$D$6)+3)&gt;53),"",""&amp;CHOOSE(IFERROR(MATCH('My Rota'!$D$5,Setup!$K$33:$K$36,0),1),INDEX('2027'!$A:$Z,(5+50*((N('My Rota'!$D$6)+3)-1))+2+2,21),INDEX('2028'!$A:$Z,(5+50*((N('My Rota'!$D$6)+3)-1))+2+2,21),INDEX('2029'!$A:$Z,(5+50*((N('My Rota'!$D$6)+3)-1))+2+2,21),INDEX('2030'!$A:$Z,(5+50*((N('My Rota'!$D$6)+3)-1))+2+2,21)))</f>
        <v/>
      </c>
      <c r="V255">
        <f>IF(OR($B255="",(N('My Rota'!$D$6)+3)&gt;53),"",""&amp;CHOOSE(IFERROR(MATCH('My Rota'!$D$5,Setup!$K$33:$K$36,0),1),INDEX('2027'!$A:$Z,(5+50*((N('My Rota'!$D$6)+3)-1))+2+2,22),INDEX('2028'!$A:$Z,(5+50*((N('My Rota'!$D$6)+3)-1))+2+2,22),INDEX('2029'!$A:$Z,(5+50*((N('My Rota'!$D$6)+3)-1))+2+2,22),INDEX('2030'!$A:$Z,(5+50*((N('My Rota'!$D$6)+3)-1))+2+2,22)))</f>
        <v/>
      </c>
      <c r="W255">
        <f>IF(OR($B255="",(N('My Rota'!$D$6)+3)&gt;53),"",""&amp;CHOOSE(IFERROR(MATCH('My Rota'!$D$5,Setup!$K$33:$K$36,0),1),INDEX('2027'!$A:$Z,(5+50*((N('My Rota'!$D$6)+3)-1))+2+2,23),INDEX('2028'!$A:$Z,(5+50*((N('My Rota'!$D$6)+3)-1))+2+2,23),INDEX('2029'!$A:$Z,(5+50*((N('My Rota'!$D$6)+3)-1))+2+2,23),INDEX('2030'!$A:$Z,(5+50*((N('My Rota'!$D$6)+3)-1))+2+2,23)))</f>
        <v/>
      </c>
      <c r="X255">
        <f>IF(OR($B255="",(N('My Rota'!$D$6)+3)&gt;53),"",""&amp;CHOOSE(IFERROR(MATCH('My Rota'!$D$5,Setup!$K$33:$K$36,0),1),INDEX('2027'!$A:$Z,(5+50*((N('My Rota'!$D$6)+3)-1))+2+2,24),INDEX('2028'!$A:$Z,(5+50*((N('My Rota'!$D$6)+3)-1))+2+2,24),INDEX('2029'!$A:$Z,(5+50*((N('My Rota'!$D$6)+3)-1))+2+2,24),INDEX('2030'!$A:$Z,(5+50*((N('My Rota'!$D$6)+3)-1))+2+2,24)))</f>
        <v/>
      </c>
      <c r="Y255">
        <f>IF(OR($B255="",(N('My Rota'!$D$6)+3)&gt;53),"",""&amp;CHOOSE(IFERROR(MATCH('My Rota'!$D$5,Setup!$K$33:$K$36,0),1),INDEX('2027'!$A:$Z,(5+50*((N('My Rota'!$D$6)+3)-1))+2+2,25),INDEX('2028'!$A:$Z,(5+50*((N('My Rota'!$D$6)+3)-1))+2+2,25),INDEX('2029'!$A:$Z,(5+50*((N('My Rota'!$D$6)+3)-1))+2+2,25),INDEX('2030'!$A:$Z,(5+50*((N('My Rota'!$D$6)+3)-1))+2+2,25)))</f>
        <v/>
      </c>
      <c r="Z255">
        <f>IF(OR($B255="",(N('My Rota'!$D$6)+3)&gt;53),"",""&amp;CHOOSE(IFERROR(MATCH('My Rota'!$D$5,Setup!$K$33:$K$36,0),1),INDEX('2027'!$A:$Z,(5+50*((N('My Rota'!$D$6)+3)-1))+2+2,26),INDEX('2028'!$A:$Z,(5+50*((N('My Rota'!$D$6)+3)-1))+2+2,26),INDEX('2029'!$A:$Z,(5+50*((N('My Rota'!$D$6)+3)-1))+2+2,26),INDEX('2030'!$A:$Z,(5+50*((N('My Rota'!$D$6)+3)-1))+2+2,26)))</f>
        <v/>
      </c>
    </row>
    <row r="256">
      <c r="A256" t="n">
        <v>4</v>
      </c>
      <c r="B256">
        <f>$B$49</f>
        <v/>
      </c>
      <c r="C256">
        <f>IF(OR($B256="",(N('My Rota'!$D$6)+3)&gt;53),"",""&amp;CHOOSE(IFERROR(MATCH('My Rota'!$D$5,Setup!$K$33:$K$36,0),1),INDEX('2027'!$A:$Z,(5+50*((N('My Rota'!$D$6)+3)-1))+2+3,3),INDEX('2028'!$A:$Z,(5+50*((N('My Rota'!$D$6)+3)-1))+2+3,3),INDEX('2029'!$A:$Z,(5+50*((N('My Rota'!$D$6)+3)-1))+2+3,3),INDEX('2030'!$A:$Z,(5+50*((N('My Rota'!$D$6)+3)-1))+2+3,3)))</f>
        <v/>
      </c>
      <c r="D256">
        <f>IF(OR($B256="",(N('My Rota'!$D$6)+3)&gt;53),"",""&amp;CHOOSE(IFERROR(MATCH('My Rota'!$D$5,Setup!$K$33:$K$36,0),1),INDEX('2027'!$A:$Z,(5+50*((N('My Rota'!$D$6)+3)-1))+2+3,4),INDEX('2028'!$A:$Z,(5+50*((N('My Rota'!$D$6)+3)-1))+2+3,4),INDEX('2029'!$A:$Z,(5+50*((N('My Rota'!$D$6)+3)-1))+2+3,4),INDEX('2030'!$A:$Z,(5+50*((N('My Rota'!$D$6)+3)-1))+2+3,4)))</f>
        <v/>
      </c>
      <c r="E256">
        <f>IF(OR($B256="",(N('My Rota'!$D$6)+3)&gt;53),"",""&amp;CHOOSE(IFERROR(MATCH('My Rota'!$D$5,Setup!$K$33:$K$36,0),1),INDEX('2027'!$A:$Z,(5+50*((N('My Rota'!$D$6)+3)-1))+2+3,5),INDEX('2028'!$A:$Z,(5+50*((N('My Rota'!$D$6)+3)-1))+2+3,5),INDEX('2029'!$A:$Z,(5+50*((N('My Rota'!$D$6)+3)-1))+2+3,5),INDEX('2030'!$A:$Z,(5+50*((N('My Rota'!$D$6)+3)-1))+2+3,5)))</f>
        <v/>
      </c>
      <c r="F256">
        <f>IF(OR($B256="",(N('My Rota'!$D$6)+3)&gt;53),"",""&amp;CHOOSE(IFERROR(MATCH('My Rota'!$D$5,Setup!$K$33:$K$36,0),1),INDEX('2027'!$A:$Z,(5+50*((N('My Rota'!$D$6)+3)-1))+2+3,6),INDEX('2028'!$A:$Z,(5+50*((N('My Rota'!$D$6)+3)-1))+2+3,6),INDEX('2029'!$A:$Z,(5+50*((N('My Rota'!$D$6)+3)-1))+2+3,6),INDEX('2030'!$A:$Z,(5+50*((N('My Rota'!$D$6)+3)-1))+2+3,6)))</f>
        <v/>
      </c>
      <c r="G256">
        <f>IF(OR($B256="",(N('My Rota'!$D$6)+3)&gt;53),"",""&amp;CHOOSE(IFERROR(MATCH('My Rota'!$D$5,Setup!$K$33:$K$36,0),1),INDEX('2027'!$A:$Z,(5+50*((N('My Rota'!$D$6)+3)-1))+2+3,7),INDEX('2028'!$A:$Z,(5+50*((N('My Rota'!$D$6)+3)-1))+2+3,7),INDEX('2029'!$A:$Z,(5+50*((N('My Rota'!$D$6)+3)-1))+2+3,7),INDEX('2030'!$A:$Z,(5+50*((N('My Rota'!$D$6)+3)-1))+2+3,7)))</f>
        <v/>
      </c>
      <c r="H256">
        <f>IF(OR($B256="",(N('My Rota'!$D$6)+3)&gt;53),"",""&amp;CHOOSE(IFERROR(MATCH('My Rota'!$D$5,Setup!$K$33:$K$36,0),1),INDEX('2027'!$A:$Z,(5+50*((N('My Rota'!$D$6)+3)-1))+2+3,8),INDEX('2028'!$A:$Z,(5+50*((N('My Rota'!$D$6)+3)-1))+2+3,8),INDEX('2029'!$A:$Z,(5+50*((N('My Rota'!$D$6)+3)-1))+2+3,8),INDEX('2030'!$A:$Z,(5+50*((N('My Rota'!$D$6)+3)-1))+2+3,8)))</f>
        <v/>
      </c>
      <c r="I256">
        <f>IF(OR($B256="",(N('My Rota'!$D$6)+3)&gt;53),"",""&amp;CHOOSE(IFERROR(MATCH('My Rota'!$D$5,Setup!$K$33:$K$36,0),1),INDEX('2027'!$A:$Z,(5+50*((N('My Rota'!$D$6)+3)-1))+2+3,9),INDEX('2028'!$A:$Z,(5+50*((N('My Rota'!$D$6)+3)-1))+2+3,9),INDEX('2029'!$A:$Z,(5+50*((N('My Rota'!$D$6)+3)-1))+2+3,9),INDEX('2030'!$A:$Z,(5+50*((N('My Rota'!$D$6)+3)-1))+2+3,9)))</f>
        <v/>
      </c>
      <c r="J256">
        <f>IF(OR($B256="",(N('My Rota'!$D$6)+3)&gt;53),"",""&amp;CHOOSE(IFERROR(MATCH('My Rota'!$D$5,Setup!$K$33:$K$36,0),1),INDEX('2027'!$A:$Z,(5+50*((N('My Rota'!$D$6)+3)-1))+2+3,10),INDEX('2028'!$A:$Z,(5+50*((N('My Rota'!$D$6)+3)-1))+2+3,10),INDEX('2029'!$A:$Z,(5+50*((N('My Rota'!$D$6)+3)-1))+2+3,10),INDEX('2030'!$A:$Z,(5+50*((N('My Rota'!$D$6)+3)-1))+2+3,10)))</f>
        <v/>
      </c>
      <c r="K256">
        <f>IF(OR($B256="",(N('My Rota'!$D$6)+3)&gt;53),"",""&amp;CHOOSE(IFERROR(MATCH('My Rota'!$D$5,Setup!$K$33:$K$36,0),1),INDEX('2027'!$A:$Z,(5+50*((N('My Rota'!$D$6)+3)-1))+2+3,11),INDEX('2028'!$A:$Z,(5+50*((N('My Rota'!$D$6)+3)-1))+2+3,11),INDEX('2029'!$A:$Z,(5+50*((N('My Rota'!$D$6)+3)-1))+2+3,11),INDEX('2030'!$A:$Z,(5+50*((N('My Rota'!$D$6)+3)-1))+2+3,11)))</f>
        <v/>
      </c>
      <c r="L256">
        <f>IF(OR($B256="",(N('My Rota'!$D$6)+3)&gt;53),"",""&amp;CHOOSE(IFERROR(MATCH('My Rota'!$D$5,Setup!$K$33:$K$36,0),1),INDEX('2027'!$A:$Z,(5+50*((N('My Rota'!$D$6)+3)-1))+2+3,12),INDEX('2028'!$A:$Z,(5+50*((N('My Rota'!$D$6)+3)-1))+2+3,12),INDEX('2029'!$A:$Z,(5+50*((N('My Rota'!$D$6)+3)-1))+2+3,12),INDEX('2030'!$A:$Z,(5+50*((N('My Rota'!$D$6)+3)-1))+2+3,12)))</f>
        <v/>
      </c>
      <c r="M256">
        <f>IF(OR($B256="",(N('My Rota'!$D$6)+3)&gt;53),"",""&amp;CHOOSE(IFERROR(MATCH('My Rota'!$D$5,Setup!$K$33:$K$36,0),1),INDEX('2027'!$A:$Z,(5+50*((N('My Rota'!$D$6)+3)-1))+2+3,13),INDEX('2028'!$A:$Z,(5+50*((N('My Rota'!$D$6)+3)-1))+2+3,13),INDEX('2029'!$A:$Z,(5+50*((N('My Rota'!$D$6)+3)-1))+2+3,13),INDEX('2030'!$A:$Z,(5+50*((N('My Rota'!$D$6)+3)-1))+2+3,13)))</f>
        <v/>
      </c>
      <c r="N256">
        <f>IF(OR($B256="",(N('My Rota'!$D$6)+3)&gt;53),"",""&amp;CHOOSE(IFERROR(MATCH('My Rota'!$D$5,Setup!$K$33:$K$36,0),1),INDEX('2027'!$A:$Z,(5+50*((N('My Rota'!$D$6)+3)-1))+2+3,14),INDEX('2028'!$A:$Z,(5+50*((N('My Rota'!$D$6)+3)-1))+2+3,14),INDEX('2029'!$A:$Z,(5+50*((N('My Rota'!$D$6)+3)-1))+2+3,14),INDEX('2030'!$A:$Z,(5+50*((N('My Rota'!$D$6)+3)-1))+2+3,14)))</f>
        <v/>
      </c>
      <c r="O256">
        <f>IF(OR($B256="",(N('My Rota'!$D$6)+3)&gt;53),"",""&amp;CHOOSE(IFERROR(MATCH('My Rota'!$D$5,Setup!$K$33:$K$36,0),1),INDEX('2027'!$A:$Z,(5+50*((N('My Rota'!$D$6)+3)-1))+2+3,15),INDEX('2028'!$A:$Z,(5+50*((N('My Rota'!$D$6)+3)-1))+2+3,15),INDEX('2029'!$A:$Z,(5+50*((N('My Rota'!$D$6)+3)-1))+2+3,15),INDEX('2030'!$A:$Z,(5+50*((N('My Rota'!$D$6)+3)-1))+2+3,15)))</f>
        <v/>
      </c>
      <c r="P256">
        <f>IF(OR($B256="",(N('My Rota'!$D$6)+3)&gt;53),"",""&amp;CHOOSE(IFERROR(MATCH('My Rota'!$D$5,Setup!$K$33:$K$36,0),1),INDEX('2027'!$A:$Z,(5+50*((N('My Rota'!$D$6)+3)-1))+2+3,16),INDEX('2028'!$A:$Z,(5+50*((N('My Rota'!$D$6)+3)-1))+2+3,16),INDEX('2029'!$A:$Z,(5+50*((N('My Rota'!$D$6)+3)-1))+2+3,16),INDEX('2030'!$A:$Z,(5+50*((N('My Rota'!$D$6)+3)-1))+2+3,16)))</f>
        <v/>
      </c>
      <c r="Q256">
        <f>IF(OR($B256="",(N('My Rota'!$D$6)+3)&gt;53),"",""&amp;CHOOSE(IFERROR(MATCH('My Rota'!$D$5,Setup!$K$33:$K$36,0),1),INDEX('2027'!$A:$Z,(5+50*((N('My Rota'!$D$6)+3)-1))+2+3,17),INDEX('2028'!$A:$Z,(5+50*((N('My Rota'!$D$6)+3)-1))+2+3,17),INDEX('2029'!$A:$Z,(5+50*((N('My Rota'!$D$6)+3)-1))+2+3,17),INDEX('2030'!$A:$Z,(5+50*((N('My Rota'!$D$6)+3)-1))+2+3,17)))</f>
        <v/>
      </c>
      <c r="R256">
        <f>IF(OR($B256="",(N('My Rota'!$D$6)+3)&gt;53),"",""&amp;CHOOSE(IFERROR(MATCH('My Rota'!$D$5,Setup!$K$33:$K$36,0),1),INDEX('2027'!$A:$Z,(5+50*((N('My Rota'!$D$6)+3)-1))+2+3,18),INDEX('2028'!$A:$Z,(5+50*((N('My Rota'!$D$6)+3)-1))+2+3,18),INDEX('2029'!$A:$Z,(5+50*((N('My Rota'!$D$6)+3)-1))+2+3,18),INDEX('2030'!$A:$Z,(5+50*((N('My Rota'!$D$6)+3)-1))+2+3,18)))</f>
        <v/>
      </c>
      <c r="S256">
        <f>IF(OR($B256="",(N('My Rota'!$D$6)+3)&gt;53),"",""&amp;CHOOSE(IFERROR(MATCH('My Rota'!$D$5,Setup!$K$33:$K$36,0),1),INDEX('2027'!$A:$Z,(5+50*((N('My Rota'!$D$6)+3)-1))+2+3,19),INDEX('2028'!$A:$Z,(5+50*((N('My Rota'!$D$6)+3)-1))+2+3,19),INDEX('2029'!$A:$Z,(5+50*((N('My Rota'!$D$6)+3)-1))+2+3,19),INDEX('2030'!$A:$Z,(5+50*((N('My Rota'!$D$6)+3)-1))+2+3,19)))</f>
        <v/>
      </c>
      <c r="T256">
        <f>IF(OR($B256="",(N('My Rota'!$D$6)+3)&gt;53),"",""&amp;CHOOSE(IFERROR(MATCH('My Rota'!$D$5,Setup!$K$33:$K$36,0),1),INDEX('2027'!$A:$Z,(5+50*((N('My Rota'!$D$6)+3)-1))+2+3,20),INDEX('2028'!$A:$Z,(5+50*((N('My Rota'!$D$6)+3)-1))+2+3,20),INDEX('2029'!$A:$Z,(5+50*((N('My Rota'!$D$6)+3)-1))+2+3,20),INDEX('2030'!$A:$Z,(5+50*((N('My Rota'!$D$6)+3)-1))+2+3,20)))</f>
        <v/>
      </c>
      <c r="U256">
        <f>IF(OR($B256="",(N('My Rota'!$D$6)+3)&gt;53),"",""&amp;CHOOSE(IFERROR(MATCH('My Rota'!$D$5,Setup!$K$33:$K$36,0),1),INDEX('2027'!$A:$Z,(5+50*((N('My Rota'!$D$6)+3)-1))+2+3,21),INDEX('2028'!$A:$Z,(5+50*((N('My Rota'!$D$6)+3)-1))+2+3,21),INDEX('2029'!$A:$Z,(5+50*((N('My Rota'!$D$6)+3)-1))+2+3,21),INDEX('2030'!$A:$Z,(5+50*((N('My Rota'!$D$6)+3)-1))+2+3,21)))</f>
        <v/>
      </c>
      <c r="V256">
        <f>IF(OR($B256="",(N('My Rota'!$D$6)+3)&gt;53),"",""&amp;CHOOSE(IFERROR(MATCH('My Rota'!$D$5,Setup!$K$33:$K$36,0),1),INDEX('2027'!$A:$Z,(5+50*((N('My Rota'!$D$6)+3)-1))+2+3,22),INDEX('2028'!$A:$Z,(5+50*((N('My Rota'!$D$6)+3)-1))+2+3,22),INDEX('2029'!$A:$Z,(5+50*((N('My Rota'!$D$6)+3)-1))+2+3,22),INDEX('2030'!$A:$Z,(5+50*((N('My Rota'!$D$6)+3)-1))+2+3,22)))</f>
        <v/>
      </c>
      <c r="W256">
        <f>IF(OR($B256="",(N('My Rota'!$D$6)+3)&gt;53),"",""&amp;CHOOSE(IFERROR(MATCH('My Rota'!$D$5,Setup!$K$33:$K$36,0),1),INDEX('2027'!$A:$Z,(5+50*((N('My Rota'!$D$6)+3)-1))+2+3,23),INDEX('2028'!$A:$Z,(5+50*((N('My Rota'!$D$6)+3)-1))+2+3,23),INDEX('2029'!$A:$Z,(5+50*((N('My Rota'!$D$6)+3)-1))+2+3,23),INDEX('2030'!$A:$Z,(5+50*((N('My Rota'!$D$6)+3)-1))+2+3,23)))</f>
        <v/>
      </c>
      <c r="X256">
        <f>IF(OR($B256="",(N('My Rota'!$D$6)+3)&gt;53),"",""&amp;CHOOSE(IFERROR(MATCH('My Rota'!$D$5,Setup!$K$33:$K$36,0),1),INDEX('2027'!$A:$Z,(5+50*((N('My Rota'!$D$6)+3)-1))+2+3,24),INDEX('2028'!$A:$Z,(5+50*((N('My Rota'!$D$6)+3)-1))+2+3,24),INDEX('2029'!$A:$Z,(5+50*((N('My Rota'!$D$6)+3)-1))+2+3,24),INDEX('2030'!$A:$Z,(5+50*((N('My Rota'!$D$6)+3)-1))+2+3,24)))</f>
        <v/>
      </c>
      <c r="Y256">
        <f>IF(OR($B256="",(N('My Rota'!$D$6)+3)&gt;53),"",""&amp;CHOOSE(IFERROR(MATCH('My Rota'!$D$5,Setup!$K$33:$K$36,0),1),INDEX('2027'!$A:$Z,(5+50*((N('My Rota'!$D$6)+3)-1))+2+3,25),INDEX('2028'!$A:$Z,(5+50*((N('My Rota'!$D$6)+3)-1))+2+3,25),INDEX('2029'!$A:$Z,(5+50*((N('My Rota'!$D$6)+3)-1))+2+3,25),INDEX('2030'!$A:$Z,(5+50*((N('My Rota'!$D$6)+3)-1))+2+3,25)))</f>
        <v/>
      </c>
      <c r="Z256">
        <f>IF(OR($B256="",(N('My Rota'!$D$6)+3)&gt;53),"",""&amp;CHOOSE(IFERROR(MATCH('My Rota'!$D$5,Setup!$K$33:$K$36,0),1),INDEX('2027'!$A:$Z,(5+50*((N('My Rota'!$D$6)+3)-1))+2+3,26),INDEX('2028'!$A:$Z,(5+50*((N('My Rota'!$D$6)+3)-1))+2+3,26),INDEX('2029'!$A:$Z,(5+50*((N('My Rota'!$D$6)+3)-1))+2+3,26),INDEX('2030'!$A:$Z,(5+50*((N('My Rota'!$D$6)+3)-1))+2+3,26)))</f>
        <v/>
      </c>
    </row>
    <row r="257">
      <c r="A257" t="n">
        <v>4</v>
      </c>
      <c r="B257">
        <f>$B$50</f>
        <v/>
      </c>
      <c r="C257">
        <f>IF(OR($B257="",(N('My Rota'!$D$6)+3)&gt;53),"",""&amp;CHOOSE(IFERROR(MATCH('My Rota'!$D$5,Setup!$K$33:$K$36,0),1),INDEX('2027'!$A:$Z,(5+50*((N('My Rota'!$D$6)+3)-1))+2+4,3),INDEX('2028'!$A:$Z,(5+50*((N('My Rota'!$D$6)+3)-1))+2+4,3),INDEX('2029'!$A:$Z,(5+50*((N('My Rota'!$D$6)+3)-1))+2+4,3),INDEX('2030'!$A:$Z,(5+50*((N('My Rota'!$D$6)+3)-1))+2+4,3)))</f>
        <v/>
      </c>
      <c r="D257">
        <f>IF(OR($B257="",(N('My Rota'!$D$6)+3)&gt;53),"",""&amp;CHOOSE(IFERROR(MATCH('My Rota'!$D$5,Setup!$K$33:$K$36,0),1),INDEX('2027'!$A:$Z,(5+50*((N('My Rota'!$D$6)+3)-1))+2+4,4),INDEX('2028'!$A:$Z,(5+50*((N('My Rota'!$D$6)+3)-1))+2+4,4),INDEX('2029'!$A:$Z,(5+50*((N('My Rota'!$D$6)+3)-1))+2+4,4),INDEX('2030'!$A:$Z,(5+50*((N('My Rota'!$D$6)+3)-1))+2+4,4)))</f>
        <v/>
      </c>
      <c r="E257">
        <f>IF(OR($B257="",(N('My Rota'!$D$6)+3)&gt;53),"",""&amp;CHOOSE(IFERROR(MATCH('My Rota'!$D$5,Setup!$K$33:$K$36,0),1),INDEX('2027'!$A:$Z,(5+50*((N('My Rota'!$D$6)+3)-1))+2+4,5),INDEX('2028'!$A:$Z,(5+50*((N('My Rota'!$D$6)+3)-1))+2+4,5),INDEX('2029'!$A:$Z,(5+50*((N('My Rota'!$D$6)+3)-1))+2+4,5),INDEX('2030'!$A:$Z,(5+50*((N('My Rota'!$D$6)+3)-1))+2+4,5)))</f>
        <v/>
      </c>
      <c r="F257">
        <f>IF(OR($B257="",(N('My Rota'!$D$6)+3)&gt;53),"",""&amp;CHOOSE(IFERROR(MATCH('My Rota'!$D$5,Setup!$K$33:$K$36,0),1),INDEX('2027'!$A:$Z,(5+50*((N('My Rota'!$D$6)+3)-1))+2+4,6),INDEX('2028'!$A:$Z,(5+50*((N('My Rota'!$D$6)+3)-1))+2+4,6),INDEX('2029'!$A:$Z,(5+50*((N('My Rota'!$D$6)+3)-1))+2+4,6),INDEX('2030'!$A:$Z,(5+50*((N('My Rota'!$D$6)+3)-1))+2+4,6)))</f>
        <v/>
      </c>
      <c r="G257">
        <f>IF(OR($B257="",(N('My Rota'!$D$6)+3)&gt;53),"",""&amp;CHOOSE(IFERROR(MATCH('My Rota'!$D$5,Setup!$K$33:$K$36,0),1),INDEX('2027'!$A:$Z,(5+50*((N('My Rota'!$D$6)+3)-1))+2+4,7),INDEX('2028'!$A:$Z,(5+50*((N('My Rota'!$D$6)+3)-1))+2+4,7),INDEX('2029'!$A:$Z,(5+50*((N('My Rota'!$D$6)+3)-1))+2+4,7),INDEX('2030'!$A:$Z,(5+50*((N('My Rota'!$D$6)+3)-1))+2+4,7)))</f>
        <v/>
      </c>
      <c r="H257">
        <f>IF(OR($B257="",(N('My Rota'!$D$6)+3)&gt;53),"",""&amp;CHOOSE(IFERROR(MATCH('My Rota'!$D$5,Setup!$K$33:$K$36,0),1),INDEX('2027'!$A:$Z,(5+50*((N('My Rota'!$D$6)+3)-1))+2+4,8),INDEX('2028'!$A:$Z,(5+50*((N('My Rota'!$D$6)+3)-1))+2+4,8),INDEX('2029'!$A:$Z,(5+50*((N('My Rota'!$D$6)+3)-1))+2+4,8),INDEX('2030'!$A:$Z,(5+50*((N('My Rota'!$D$6)+3)-1))+2+4,8)))</f>
        <v/>
      </c>
      <c r="I257">
        <f>IF(OR($B257="",(N('My Rota'!$D$6)+3)&gt;53),"",""&amp;CHOOSE(IFERROR(MATCH('My Rota'!$D$5,Setup!$K$33:$K$36,0),1),INDEX('2027'!$A:$Z,(5+50*((N('My Rota'!$D$6)+3)-1))+2+4,9),INDEX('2028'!$A:$Z,(5+50*((N('My Rota'!$D$6)+3)-1))+2+4,9),INDEX('2029'!$A:$Z,(5+50*((N('My Rota'!$D$6)+3)-1))+2+4,9),INDEX('2030'!$A:$Z,(5+50*((N('My Rota'!$D$6)+3)-1))+2+4,9)))</f>
        <v/>
      </c>
      <c r="J257">
        <f>IF(OR($B257="",(N('My Rota'!$D$6)+3)&gt;53),"",""&amp;CHOOSE(IFERROR(MATCH('My Rota'!$D$5,Setup!$K$33:$K$36,0),1),INDEX('2027'!$A:$Z,(5+50*((N('My Rota'!$D$6)+3)-1))+2+4,10),INDEX('2028'!$A:$Z,(5+50*((N('My Rota'!$D$6)+3)-1))+2+4,10),INDEX('2029'!$A:$Z,(5+50*((N('My Rota'!$D$6)+3)-1))+2+4,10),INDEX('2030'!$A:$Z,(5+50*((N('My Rota'!$D$6)+3)-1))+2+4,10)))</f>
        <v/>
      </c>
      <c r="K257">
        <f>IF(OR($B257="",(N('My Rota'!$D$6)+3)&gt;53),"",""&amp;CHOOSE(IFERROR(MATCH('My Rota'!$D$5,Setup!$K$33:$K$36,0),1),INDEX('2027'!$A:$Z,(5+50*((N('My Rota'!$D$6)+3)-1))+2+4,11),INDEX('2028'!$A:$Z,(5+50*((N('My Rota'!$D$6)+3)-1))+2+4,11),INDEX('2029'!$A:$Z,(5+50*((N('My Rota'!$D$6)+3)-1))+2+4,11),INDEX('2030'!$A:$Z,(5+50*((N('My Rota'!$D$6)+3)-1))+2+4,11)))</f>
        <v/>
      </c>
      <c r="L257">
        <f>IF(OR($B257="",(N('My Rota'!$D$6)+3)&gt;53),"",""&amp;CHOOSE(IFERROR(MATCH('My Rota'!$D$5,Setup!$K$33:$K$36,0),1),INDEX('2027'!$A:$Z,(5+50*((N('My Rota'!$D$6)+3)-1))+2+4,12),INDEX('2028'!$A:$Z,(5+50*((N('My Rota'!$D$6)+3)-1))+2+4,12),INDEX('2029'!$A:$Z,(5+50*((N('My Rota'!$D$6)+3)-1))+2+4,12),INDEX('2030'!$A:$Z,(5+50*((N('My Rota'!$D$6)+3)-1))+2+4,12)))</f>
        <v/>
      </c>
      <c r="M257">
        <f>IF(OR($B257="",(N('My Rota'!$D$6)+3)&gt;53),"",""&amp;CHOOSE(IFERROR(MATCH('My Rota'!$D$5,Setup!$K$33:$K$36,0),1),INDEX('2027'!$A:$Z,(5+50*((N('My Rota'!$D$6)+3)-1))+2+4,13),INDEX('2028'!$A:$Z,(5+50*((N('My Rota'!$D$6)+3)-1))+2+4,13),INDEX('2029'!$A:$Z,(5+50*((N('My Rota'!$D$6)+3)-1))+2+4,13),INDEX('2030'!$A:$Z,(5+50*((N('My Rota'!$D$6)+3)-1))+2+4,13)))</f>
        <v/>
      </c>
      <c r="N257">
        <f>IF(OR($B257="",(N('My Rota'!$D$6)+3)&gt;53),"",""&amp;CHOOSE(IFERROR(MATCH('My Rota'!$D$5,Setup!$K$33:$K$36,0),1),INDEX('2027'!$A:$Z,(5+50*((N('My Rota'!$D$6)+3)-1))+2+4,14),INDEX('2028'!$A:$Z,(5+50*((N('My Rota'!$D$6)+3)-1))+2+4,14),INDEX('2029'!$A:$Z,(5+50*((N('My Rota'!$D$6)+3)-1))+2+4,14),INDEX('2030'!$A:$Z,(5+50*((N('My Rota'!$D$6)+3)-1))+2+4,14)))</f>
        <v/>
      </c>
      <c r="O257">
        <f>IF(OR($B257="",(N('My Rota'!$D$6)+3)&gt;53),"",""&amp;CHOOSE(IFERROR(MATCH('My Rota'!$D$5,Setup!$K$33:$K$36,0),1),INDEX('2027'!$A:$Z,(5+50*((N('My Rota'!$D$6)+3)-1))+2+4,15),INDEX('2028'!$A:$Z,(5+50*((N('My Rota'!$D$6)+3)-1))+2+4,15),INDEX('2029'!$A:$Z,(5+50*((N('My Rota'!$D$6)+3)-1))+2+4,15),INDEX('2030'!$A:$Z,(5+50*((N('My Rota'!$D$6)+3)-1))+2+4,15)))</f>
        <v/>
      </c>
      <c r="P257">
        <f>IF(OR($B257="",(N('My Rota'!$D$6)+3)&gt;53),"",""&amp;CHOOSE(IFERROR(MATCH('My Rota'!$D$5,Setup!$K$33:$K$36,0),1),INDEX('2027'!$A:$Z,(5+50*((N('My Rota'!$D$6)+3)-1))+2+4,16),INDEX('2028'!$A:$Z,(5+50*((N('My Rota'!$D$6)+3)-1))+2+4,16),INDEX('2029'!$A:$Z,(5+50*((N('My Rota'!$D$6)+3)-1))+2+4,16),INDEX('2030'!$A:$Z,(5+50*((N('My Rota'!$D$6)+3)-1))+2+4,16)))</f>
        <v/>
      </c>
      <c r="Q257">
        <f>IF(OR($B257="",(N('My Rota'!$D$6)+3)&gt;53),"",""&amp;CHOOSE(IFERROR(MATCH('My Rota'!$D$5,Setup!$K$33:$K$36,0),1),INDEX('2027'!$A:$Z,(5+50*((N('My Rota'!$D$6)+3)-1))+2+4,17),INDEX('2028'!$A:$Z,(5+50*((N('My Rota'!$D$6)+3)-1))+2+4,17),INDEX('2029'!$A:$Z,(5+50*((N('My Rota'!$D$6)+3)-1))+2+4,17),INDEX('2030'!$A:$Z,(5+50*((N('My Rota'!$D$6)+3)-1))+2+4,17)))</f>
        <v/>
      </c>
      <c r="R257">
        <f>IF(OR($B257="",(N('My Rota'!$D$6)+3)&gt;53),"",""&amp;CHOOSE(IFERROR(MATCH('My Rota'!$D$5,Setup!$K$33:$K$36,0),1),INDEX('2027'!$A:$Z,(5+50*((N('My Rota'!$D$6)+3)-1))+2+4,18),INDEX('2028'!$A:$Z,(5+50*((N('My Rota'!$D$6)+3)-1))+2+4,18),INDEX('2029'!$A:$Z,(5+50*((N('My Rota'!$D$6)+3)-1))+2+4,18),INDEX('2030'!$A:$Z,(5+50*((N('My Rota'!$D$6)+3)-1))+2+4,18)))</f>
        <v/>
      </c>
      <c r="S257">
        <f>IF(OR($B257="",(N('My Rota'!$D$6)+3)&gt;53),"",""&amp;CHOOSE(IFERROR(MATCH('My Rota'!$D$5,Setup!$K$33:$K$36,0),1),INDEX('2027'!$A:$Z,(5+50*((N('My Rota'!$D$6)+3)-1))+2+4,19),INDEX('2028'!$A:$Z,(5+50*((N('My Rota'!$D$6)+3)-1))+2+4,19),INDEX('2029'!$A:$Z,(5+50*((N('My Rota'!$D$6)+3)-1))+2+4,19),INDEX('2030'!$A:$Z,(5+50*((N('My Rota'!$D$6)+3)-1))+2+4,19)))</f>
        <v/>
      </c>
      <c r="T257">
        <f>IF(OR($B257="",(N('My Rota'!$D$6)+3)&gt;53),"",""&amp;CHOOSE(IFERROR(MATCH('My Rota'!$D$5,Setup!$K$33:$K$36,0),1),INDEX('2027'!$A:$Z,(5+50*((N('My Rota'!$D$6)+3)-1))+2+4,20),INDEX('2028'!$A:$Z,(5+50*((N('My Rota'!$D$6)+3)-1))+2+4,20),INDEX('2029'!$A:$Z,(5+50*((N('My Rota'!$D$6)+3)-1))+2+4,20),INDEX('2030'!$A:$Z,(5+50*((N('My Rota'!$D$6)+3)-1))+2+4,20)))</f>
        <v/>
      </c>
      <c r="U257">
        <f>IF(OR($B257="",(N('My Rota'!$D$6)+3)&gt;53),"",""&amp;CHOOSE(IFERROR(MATCH('My Rota'!$D$5,Setup!$K$33:$K$36,0),1),INDEX('2027'!$A:$Z,(5+50*((N('My Rota'!$D$6)+3)-1))+2+4,21),INDEX('2028'!$A:$Z,(5+50*((N('My Rota'!$D$6)+3)-1))+2+4,21),INDEX('2029'!$A:$Z,(5+50*((N('My Rota'!$D$6)+3)-1))+2+4,21),INDEX('2030'!$A:$Z,(5+50*((N('My Rota'!$D$6)+3)-1))+2+4,21)))</f>
        <v/>
      </c>
      <c r="V257">
        <f>IF(OR($B257="",(N('My Rota'!$D$6)+3)&gt;53),"",""&amp;CHOOSE(IFERROR(MATCH('My Rota'!$D$5,Setup!$K$33:$K$36,0),1),INDEX('2027'!$A:$Z,(5+50*((N('My Rota'!$D$6)+3)-1))+2+4,22),INDEX('2028'!$A:$Z,(5+50*((N('My Rota'!$D$6)+3)-1))+2+4,22),INDEX('2029'!$A:$Z,(5+50*((N('My Rota'!$D$6)+3)-1))+2+4,22),INDEX('2030'!$A:$Z,(5+50*((N('My Rota'!$D$6)+3)-1))+2+4,22)))</f>
        <v/>
      </c>
      <c r="W257">
        <f>IF(OR($B257="",(N('My Rota'!$D$6)+3)&gt;53),"",""&amp;CHOOSE(IFERROR(MATCH('My Rota'!$D$5,Setup!$K$33:$K$36,0),1),INDEX('2027'!$A:$Z,(5+50*((N('My Rota'!$D$6)+3)-1))+2+4,23),INDEX('2028'!$A:$Z,(5+50*((N('My Rota'!$D$6)+3)-1))+2+4,23),INDEX('2029'!$A:$Z,(5+50*((N('My Rota'!$D$6)+3)-1))+2+4,23),INDEX('2030'!$A:$Z,(5+50*((N('My Rota'!$D$6)+3)-1))+2+4,23)))</f>
        <v/>
      </c>
      <c r="X257">
        <f>IF(OR($B257="",(N('My Rota'!$D$6)+3)&gt;53),"",""&amp;CHOOSE(IFERROR(MATCH('My Rota'!$D$5,Setup!$K$33:$K$36,0),1),INDEX('2027'!$A:$Z,(5+50*((N('My Rota'!$D$6)+3)-1))+2+4,24),INDEX('2028'!$A:$Z,(5+50*((N('My Rota'!$D$6)+3)-1))+2+4,24),INDEX('2029'!$A:$Z,(5+50*((N('My Rota'!$D$6)+3)-1))+2+4,24),INDEX('2030'!$A:$Z,(5+50*((N('My Rota'!$D$6)+3)-1))+2+4,24)))</f>
        <v/>
      </c>
      <c r="Y257">
        <f>IF(OR($B257="",(N('My Rota'!$D$6)+3)&gt;53),"",""&amp;CHOOSE(IFERROR(MATCH('My Rota'!$D$5,Setup!$K$33:$K$36,0),1),INDEX('2027'!$A:$Z,(5+50*((N('My Rota'!$D$6)+3)-1))+2+4,25),INDEX('2028'!$A:$Z,(5+50*((N('My Rota'!$D$6)+3)-1))+2+4,25),INDEX('2029'!$A:$Z,(5+50*((N('My Rota'!$D$6)+3)-1))+2+4,25),INDEX('2030'!$A:$Z,(5+50*((N('My Rota'!$D$6)+3)-1))+2+4,25)))</f>
        <v/>
      </c>
      <c r="Z257">
        <f>IF(OR($B257="",(N('My Rota'!$D$6)+3)&gt;53),"",""&amp;CHOOSE(IFERROR(MATCH('My Rota'!$D$5,Setup!$K$33:$K$36,0),1),INDEX('2027'!$A:$Z,(5+50*((N('My Rota'!$D$6)+3)-1))+2+4,26),INDEX('2028'!$A:$Z,(5+50*((N('My Rota'!$D$6)+3)-1))+2+4,26),INDEX('2029'!$A:$Z,(5+50*((N('My Rota'!$D$6)+3)-1))+2+4,26),INDEX('2030'!$A:$Z,(5+50*((N('My Rota'!$D$6)+3)-1))+2+4,26)))</f>
        <v/>
      </c>
    </row>
    <row r="258">
      <c r="A258" t="n">
        <v>4</v>
      </c>
      <c r="B258">
        <f>$B$51</f>
        <v/>
      </c>
      <c r="C258">
        <f>IF(OR($B258="",(N('My Rota'!$D$6)+3)&gt;53),"",""&amp;CHOOSE(IFERROR(MATCH('My Rota'!$D$5,Setup!$K$33:$K$36,0),1),INDEX('2027'!$A:$Z,(5+50*((N('My Rota'!$D$6)+3)-1))+2+5,3),INDEX('2028'!$A:$Z,(5+50*((N('My Rota'!$D$6)+3)-1))+2+5,3),INDEX('2029'!$A:$Z,(5+50*((N('My Rota'!$D$6)+3)-1))+2+5,3),INDEX('2030'!$A:$Z,(5+50*((N('My Rota'!$D$6)+3)-1))+2+5,3)))</f>
        <v/>
      </c>
      <c r="D258">
        <f>IF(OR($B258="",(N('My Rota'!$D$6)+3)&gt;53),"",""&amp;CHOOSE(IFERROR(MATCH('My Rota'!$D$5,Setup!$K$33:$K$36,0),1),INDEX('2027'!$A:$Z,(5+50*((N('My Rota'!$D$6)+3)-1))+2+5,4),INDEX('2028'!$A:$Z,(5+50*((N('My Rota'!$D$6)+3)-1))+2+5,4),INDEX('2029'!$A:$Z,(5+50*((N('My Rota'!$D$6)+3)-1))+2+5,4),INDEX('2030'!$A:$Z,(5+50*((N('My Rota'!$D$6)+3)-1))+2+5,4)))</f>
        <v/>
      </c>
      <c r="E258">
        <f>IF(OR($B258="",(N('My Rota'!$D$6)+3)&gt;53),"",""&amp;CHOOSE(IFERROR(MATCH('My Rota'!$D$5,Setup!$K$33:$K$36,0),1),INDEX('2027'!$A:$Z,(5+50*((N('My Rota'!$D$6)+3)-1))+2+5,5),INDEX('2028'!$A:$Z,(5+50*((N('My Rota'!$D$6)+3)-1))+2+5,5),INDEX('2029'!$A:$Z,(5+50*((N('My Rota'!$D$6)+3)-1))+2+5,5),INDEX('2030'!$A:$Z,(5+50*((N('My Rota'!$D$6)+3)-1))+2+5,5)))</f>
        <v/>
      </c>
      <c r="F258">
        <f>IF(OR($B258="",(N('My Rota'!$D$6)+3)&gt;53),"",""&amp;CHOOSE(IFERROR(MATCH('My Rota'!$D$5,Setup!$K$33:$K$36,0),1),INDEX('2027'!$A:$Z,(5+50*((N('My Rota'!$D$6)+3)-1))+2+5,6),INDEX('2028'!$A:$Z,(5+50*((N('My Rota'!$D$6)+3)-1))+2+5,6),INDEX('2029'!$A:$Z,(5+50*((N('My Rota'!$D$6)+3)-1))+2+5,6),INDEX('2030'!$A:$Z,(5+50*((N('My Rota'!$D$6)+3)-1))+2+5,6)))</f>
        <v/>
      </c>
      <c r="G258">
        <f>IF(OR($B258="",(N('My Rota'!$D$6)+3)&gt;53),"",""&amp;CHOOSE(IFERROR(MATCH('My Rota'!$D$5,Setup!$K$33:$K$36,0),1),INDEX('2027'!$A:$Z,(5+50*((N('My Rota'!$D$6)+3)-1))+2+5,7),INDEX('2028'!$A:$Z,(5+50*((N('My Rota'!$D$6)+3)-1))+2+5,7),INDEX('2029'!$A:$Z,(5+50*((N('My Rota'!$D$6)+3)-1))+2+5,7),INDEX('2030'!$A:$Z,(5+50*((N('My Rota'!$D$6)+3)-1))+2+5,7)))</f>
        <v/>
      </c>
      <c r="H258">
        <f>IF(OR($B258="",(N('My Rota'!$D$6)+3)&gt;53),"",""&amp;CHOOSE(IFERROR(MATCH('My Rota'!$D$5,Setup!$K$33:$K$36,0),1),INDEX('2027'!$A:$Z,(5+50*((N('My Rota'!$D$6)+3)-1))+2+5,8),INDEX('2028'!$A:$Z,(5+50*((N('My Rota'!$D$6)+3)-1))+2+5,8),INDEX('2029'!$A:$Z,(5+50*((N('My Rota'!$D$6)+3)-1))+2+5,8),INDEX('2030'!$A:$Z,(5+50*((N('My Rota'!$D$6)+3)-1))+2+5,8)))</f>
        <v/>
      </c>
      <c r="I258">
        <f>IF(OR($B258="",(N('My Rota'!$D$6)+3)&gt;53),"",""&amp;CHOOSE(IFERROR(MATCH('My Rota'!$D$5,Setup!$K$33:$K$36,0),1),INDEX('2027'!$A:$Z,(5+50*((N('My Rota'!$D$6)+3)-1))+2+5,9),INDEX('2028'!$A:$Z,(5+50*((N('My Rota'!$D$6)+3)-1))+2+5,9),INDEX('2029'!$A:$Z,(5+50*((N('My Rota'!$D$6)+3)-1))+2+5,9),INDEX('2030'!$A:$Z,(5+50*((N('My Rota'!$D$6)+3)-1))+2+5,9)))</f>
        <v/>
      </c>
      <c r="J258">
        <f>IF(OR($B258="",(N('My Rota'!$D$6)+3)&gt;53),"",""&amp;CHOOSE(IFERROR(MATCH('My Rota'!$D$5,Setup!$K$33:$K$36,0),1),INDEX('2027'!$A:$Z,(5+50*((N('My Rota'!$D$6)+3)-1))+2+5,10),INDEX('2028'!$A:$Z,(5+50*((N('My Rota'!$D$6)+3)-1))+2+5,10),INDEX('2029'!$A:$Z,(5+50*((N('My Rota'!$D$6)+3)-1))+2+5,10),INDEX('2030'!$A:$Z,(5+50*((N('My Rota'!$D$6)+3)-1))+2+5,10)))</f>
        <v/>
      </c>
      <c r="K258">
        <f>IF(OR($B258="",(N('My Rota'!$D$6)+3)&gt;53),"",""&amp;CHOOSE(IFERROR(MATCH('My Rota'!$D$5,Setup!$K$33:$K$36,0),1),INDEX('2027'!$A:$Z,(5+50*((N('My Rota'!$D$6)+3)-1))+2+5,11),INDEX('2028'!$A:$Z,(5+50*((N('My Rota'!$D$6)+3)-1))+2+5,11),INDEX('2029'!$A:$Z,(5+50*((N('My Rota'!$D$6)+3)-1))+2+5,11),INDEX('2030'!$A:$Z,(5+50*((N('My Rota'!$D$6)+3)-1))+2+5,11)))</f>
        <v/>
      </c>
      <c r="L258">
        <f>IF(OR($B258="",(N('My Rota'!$D$6)+3)&gt;53),"",""&amp;CHOOSE(IFERROR(MATCH('My Rota'!$D$5,Setup!$K$33:$K$36,0),1),INDEX('2027'!$A:$Z,(5+50*((N('My Rota'!$D$6)+3)-1))+2+5,12),INDEX('2028'!$A:$Z,(5+50*((N('My Rota'!$D$6)+3)-1))+2+5,12),INDEX('2029'!$A:$Z,(5+50*((N('My Rota'!$D$6)+3)-1))+2+5,12),INDEX('2030'!$A:$Z,(5+50*((N('My Rota'!$D$6)+3)-1))+2+5,12)))</f>
        <v/>
      </c>
      <c r="M258">
        <f>IF(OR($B258="",(N('My Rota'!$D$6)+3)&gt;53),"",""&amp;CHOOSE(IFERROR(MATCH('My Rota'!$D$5,Setup!$K$33:$K$36,0),1),INDEX('2027'!$A:$Z,(5+50*((N('My Rota'!$D$6)+3)-1))+2+5,13),INDEX('2028'!$A:$Z,(5+50*((N('My Rota'!$D$6)+3)-1))+2+5,13),INDEX('2029'!$A:$Z,(5+50*((N('My Rota'!$D$6)+3)-1))+2+5,13),INDEX('2030'!$A:$Z,(5+50*((N('My Rota'!$D$6)+3)-1))+2+5,13)))</f>
        <v/>
      </c>
      <c r="N258">
        <f>IF(OR($B258="",(N('My Rota'!$D$6)+3)&gt;53),"",""&amp;CHOOSE(IFERROR(MATCH('My Rota'!$D$5,Setup!$K$33:$K$36,0),1),INDEX('2027'!$A:$Z,(5+50*((N('My Rota'!$D$6)+3)-1))+2+5,14),INDEX('2028'!$A:$Z,(5+50*((N('My Rota'!$D$6)+3)-1))+2+5,14),INDEX('2029'!$A:$Z,(5+50*((N('My Rota'!$D$6)+3)-1))+2+5,14),INDEX('2030'!$A:$Z,(5+50*((N('My Rota'!$D$6)+3)-1))+2+5,14)))</f>
        <v/>
      </c>
      <c r="O258">
        <f>IF(OR($B258="",(N('My Rota'!$D$6)+3)&gt;53),"",""&amp;CHOOSE(IFERROR(MATCH('My Rota'!$D$5,Setup!$K$33:$K$36,0),1),INDEX('2027'!$A:$Z,(5+50*((N('My Rota'!$D$6)+3)-1))+2+5,15),INDEX('2028'!$A:$Z,(5+50*((N('My Rota'!$D$6)+3)-1))+2+5,15),INDEX('2029'!$A:$Z,(5+50*((N('My Rota'!$D$6)+3)-1))+2+5,15),INDEX('2030'!$A:$Z,(5+50*((N('My Rota'!$D$6)+3)-1))+2+5,15)))</f>
        <v/>
      </c>
      <c r="P258">
        <f>IF(OR($B258="",(N('My Rota'!$D$6)+3)&gt;53),"",""&amp;CHOOSE(IFERROR(MATCH('My Rota'!$D$5,Setup!$K$33:$K$36,0),1),INDEX('2027'!$A:$Z,(5+50*((N('My Rota'!$D$6)+3)-1))+2+5,16),INDEX('2028'!$A:$Z,(5+50*((N('My Rota'!$D$6)+3)-1))+2+5,16),INDEX('2029'!$A:$Z,(5+50*((N('My Rota'!$D$6)+3)-1))+2+5,16),INDEX('2030'!$A:$Z,(5+50*((N('My Rota'!$D$6)+3)-1))+2+5,16)))</f>
        <v/>
      </c>
      <c r="Q258">
        <f>IF(OR($B258="",(N('My Rota'!$D$6)+3)&gt;53),"",""&amp;CHOOSE(IFERROR(MATCH('My Rota'!$D$5,Setup!$K$33:$K$36,0),1),INDEX('2027'!$A:$Z,(5+50*((N('My Rota'!$D$6)+3)-1))+2+5,17),INDEX('2028'!$A:$Z,(5+50*((N('My Rota'!$D$6)+3)-1))+2+5,17),INDEX('2029'!$A:$Z,(5+50*((N('My Rota'!$D$6)+3)-1))+2+5,17),INDEX('2030'!$A:$Z,(5+50*((N('My Rota'!$D$6)+3)-1))+2+5,17)))</f>
        <v/>
      </c>
      <c r="R258">
        <f>IF(OR($B258="",(N('My Rota'!$D$6)+3)&gt;53),"",""&amp;CHOOSE(IFERROR(MATCH('My Rota'!$D$5,Setup!$K$33:$K$36,0),1),INDEX('2027'!$A:$Z,(5+50*((N('My Rota'!$D$6)+3)-1))+2+5,18),INDEX('2028'!$A:$Z,(5+50*((N('My Rota'!$D$6)+3)-1))+2+5,18),INDEX('2029'!$A:$Z,(5+50*((N('My Rota'!$D$6)+3)-1))+2+5,18),INDEX('2030'!$A:$Z,(5+50*((N('My Rota'!$D$6)+3)-1))+2+5,18)))</f>
        <v/>
      </c>
      <c r="S258">
        <f>IF(OR($B258="",(N('My Rota'!$D$6)+3)&gt;53),"",""&amp;CHOOSE(IFERROR(MATCH('My Rota'!$D$5,Setup!$K$33:$K$36,0),1),INDEX('2027'!$A:$Z,(5+50*((N('My Rota'!$D$6)+3)-1))+2+5,19),INDEX('2028'!$A:$Z,(5+50*((N('My Rota'!$D$6)+3)-1))+2+5,19),INDEX('2029'!$A:$Z,(5+50*((N('My Rota'!$D$6)+3)-1))+2+5,19),INDEX('2030'!$A:$Z,(5+50*((N('My Rota'!$D$6)+3)-1))+2+5,19)))</f>
        <v/>
      </c>
      <c r="T258">
        <f>IF(OR($B258="",(N('My Rota'!$D$6)+3)&gt;53),"",""&amp;CHOOSE(IFERROR(MATCH('My Rota'!$D$5,Setup!$K$33:$K$36,0),1),INDEX('2027'!$A:$Z,(5+50*((N('My Rota'!$D$6)+3)-1))+2+5,20),INDEX('2028'!$A:$Z,(5+50*((N('My Rota'!$D$6)+3)-1))+2+5,20),INDEX('2029'!$A:$Z,(5+50*((N('My Rota'!$D$6)+3)-1))+2+5,20),INDEX('2030'!$A:$Z,(5+50*((N('My Rota'!$D$6)+3)-1))+2+5,20)))</f>
        <v/>
      </c>
      <c r="U258">
        <f>IF(OR($B258="",(N('My Rota'!$D$6)+3)&gt;53),"",""&amp;CHOOSE(IFERROR(MATCH('My Rota'!$D$5,Setup!$K$33:$K$36,0),1),INDEX('2027'!$A:$Z,(5+50*((N('My Rota'!$D$6)+3)-1))+2+5,21),INDEX('2028'!$A:$Z,(5+50*((N('My Rota'!$D$6)+3)-1))+2+5,21),INDEX('2029'!$A:$Z,(5+50*((N('My Rota'!$D$6)+3)-1))+2+5,21),INDEX('2030'!$A:$Z,(5+50*((N('My Rota'!$D$6)+3)-1))+2+5,21)))</f>
        <v/>
      </c>
      <c r="V258">
        <f>IF(OR($B258="",(N('My Rota'!$D$6)+3)&gt;53),"",""&amp;CHOOSE(IFERROR(MATCH('My Rota'!$D$5,Setup!$K$33:$K$36,0),1),INDEX('2027'!$A:$Z,(5+50*((N('My Rota'!$D$6)+3)-1))+2+5,22),INDEX('2028'!$A:$Z,(5+50*((N('My Rota'!$D$6)+3)-1))+2+5,22),INDEX('2029'!$A:$Z,(5+50*((N('My Rota'!$D$6)+3)-1))+2+5,22),INDEX('2030'!$A:$Z,(5+50*((N('My Rota'!$D$6)+3)-1))+2+5,22)))</f>
        <v/>
      </c>
      <c r="W258">
        <f>IF(OR($B258="",(N('My Rota'!$D$6)+3)&gt;53),"",""&amp;CHOOSE(IFERROR(MATCH('My Rota'!$D$5,Setup!$K$33:$K$36,0),1),INDEX('2027'!$A:$Z,(5+50*((N('My Rota'!$D$6)+3)-1))+2+5,23),INDEX('2028'!$A:$Z,(5+50*((N('My Rota'!$D$6)+3)-1))+2+5,23),INDEX('2029'!$A:$Z,(5+50*((N('My Rota'!$D$6)+3)-1))+2+5,23),INDEX('2030'!$A:$Z,(5+50*((N('My Rota'!$D$6)+3)-1))+2+5,23)))</f>
        <v/>
      </c>
      <c r="X258">
        <f>IF(OR($B258="",(N('My Rota'!$D$6)+3)&gt;53),"",""&amp;CHOOSE(IFERROR(MATCH('My Rota'!$D$5,Setup!$K$33:$K$36,0),1),INDEX('2027'!$A:$Z,(5+50*((N('My Rota'!$D$6)+3)-1))+2+5,24),INDEX('2028'!$A:$Z,(5+50*((N('My Rota'!$D$6)+3)-1))+2+5,24),INDEX('2029'!$A:$Z,(5+50*((N('My Rota'!$D$6)+3)-1))+2+5,24),INDEX('2030'!$A:$Z,(5+50*((N('My Rota'!$D$6)+3)-1))+2+5,24)))</f>
        <v/>
      </c>
      <c r="Y258">
        <f>IF(OR($B258="",(N('My Rota'!$D$6)+3)&gt;53),"",""&amp;CHOOSE(IFERROR(MATCH('My Rota'!$D$5,Setup!$K$33:$K$36,0),1),INDEX('2027'!$A:$Z,(5+50*((N('My Rota'!$D$6)+3)-1))+2+5,25),INDEX('2028'!$A:$Z,(5+50*((N('My Rota'!$D$6)+3)-1))+2+5,25),INDEX('2029'!$A:$Z,(5+50*((N('My Rota'!$D$6)+3)-1))+2+5,25),INDEX('2030'!$A:$Z,(5+50*((N('My Rota'!$D$6)+3)-1))+2+5,25)))</f>
        <v/>
      </c>
      <c r="Z258">
        <f>IF(OR($B258="",(N('My Rota'!$D$6)+3)&gt;53),"",""&amp;CHOOSE(IFERROR(MATCH('My Rota'!$D$5,Setup!$K$33:$K$36,0),1),INDEX('2027'!$A:$Z,(5+50*((N('My Rota'!$D$6)+3)-1))+2+5,26),INDEX('2028'!$A:$Z,(5+50*((N('My Rota'!$D$6)+3)-1))+2+5,26),INDEX('2029'!$A:$Z,(5+50*((N('My Rota'!$D$6)+3)-1))+2+5,26),INDEX('2030'!$A:$Z,(5+50*((N('My Rota'!$D$6)+3)-1))+2+5,26)))</f>
        <v/>
      </c>
    </row>
    <row r="259">
      <c r="A259" t="n">
        <v>4</v>
      </c>
      <c r="B259">
        <f>$B$52</f>
        <v/>
      </c>
      <c r="C259">
        <f>IF(OR($B259="",(N('My Rota'!$D$6)+3)&gt;53),"",""&amp;CHOOSE(IFERROR(MATCH('My Rota'!$D$5,Setup!$K$33:$K$36,0),1),INDEX('2027'!$A:$Z,(5+50*((N('My Rota'!$D$6)+3)-1))+2+6,3),INDEX('2028'!$A:$Z,(5+50*((N('My Rota'!$D$6)+3)-1))+2+6,3),INDEX('2029'!$A:$Z,(5+50*((N('My Rota'!$D$6)+3)-1))+2+6,3),INDEX('2030'!$A:$Z,(5+50*((N('My Rota'!$D$6)+3)-1))+2+6,3)))</f>
        <v/>
      </c>
      <c r="D259">
        <f>IF(OR($B259="",(N('My Rota'!$D$6)+3)&gt;53),"",""&amp;CHOOSE(IFERROR(MATCH('My Rota'!$D$5,Setup!$K$33:$K$36,0),1),INDEX('2027'!$A:$Z,(5+50*((N('My Rota'!$D$6)+3)-1))+2+6,4),INDEX('2028'!$A:$Z,(5+50*((N('My Rota'!$D$6)+3)-1))+2+6,4),INDEX('2029'!$A:$Z,(5+50*((N('My Rota'!$D$6)+3)-1))+2+6,4),INDEX('2030'!$A:$Z,(5+50*((N('My Rota'!$D$6)+3)-1))+2+6,4)))</f>
        <v/>
      </c>
      <c r="E259">
        <f>IF(OR($B259="",(N('My Rota'!$D$6)+3)&gt;53),"",""&amp;CHOOSE(IFERROR(MATCH('My Rota'!$D$5,Setup!$K$33:$K$36,0),1),INDEX('2027'!$A:$Z,(5+50*((N('My Rota'!$D$6)+3)-1))+2+6,5),INDEX('2028'!$A:$Z,(5+50*((N('My Rota'!$D$6)+3)-1))+2+6,5),INDEX('2029'!$A:$Z,(5+50*((N('My Rota'!$D$6)+3)-1))+2+6,5),INDEX('2030'!$A:$Z,(5+50*((N('My Rota'!$D$6)+3)-1))+2+6,5)))</f>
        <v/>
      </c>
      <c r="F259">
        <f>IF(OR($B259="",(N('My Rota'!$D$6)+3)&gt;53),"",""&amp;CHOOSE(IFERROR(MATCH('My Rota'!$D$5,Setup!$K$33:$K$36,0),1),INDEX('2027'!$A:$Z,(5+50*((N('My Rota'!$D$6)+3)-1))+2+6,6),INDEX('2028'!$A:$Z,(5+50*((N('My Rota'!$D$6)+3)-1))+2+6,6),INDEX('2029'!$A:$Z,(5+50*((N('My Rota'!$D$6)+3)-1))+2+6,6),INDEX('2030'!$A:$Z,(5+50*((N('My Rota'!$D$6)+3)-1))+2+6,6)))</f>
        <v/>
      </c>
      <c r="G259">
        <f>IF(OR($B259="",(N('My Rota'!$D$6)+3)&gt;53),"",""&amp;CHOOSE(IFERROR(MATCH('My Rota'!$D$5,Setup!$K$33:$K$36,0),1),INDEX('2027'!$A:$Z,(5+50*((N('My Rota'!$D$6)+3)-1))+2+6,7),INDEX('2028'!$A:$Z,(5+50*((N('My Rota'!$D$6)+3)-1))+2+6,7),INDEX('2029'!$A:$Z,(5+50*((N('My Rota'!$D$6)+3)-1))+2+6,7),INDEX('2030'!$A:$Z,(5+50*((N('My Rota'!$D$6)+3)-1))+2+6,7)))</f>
        <v/>
      </c>
      <c r="H259">
        <f>IF(OR($B259="",(N('My Rota'!$D$6)+3)&gt;53),"",""&amp;CHOOSE(IFERROR(MATCH('My Rota'!$D$5,Setup!$K$33:$K$36,0),1),INDEX('2027'!$A:$Z,(5+50*((N('My Rota'!$D$6)+3)-1))+2+6,8),INDEX('2028'!$A:$Z,(5+50*((N('My Rota'!$D$6)+3)-1))+2+6,8),INDEX('2029'!$A:$Z,(5+50*((N('My Rota'!$D$6)+3)-1))+2+6,8),INDEX('2030'!$A:$Z,(5+50*((N('My Rota'!$D$6)+3)-1))+2+6,8)))</f>
        <v/>
      </c>
      <c r="I259">
        <f>IF(OR($B259="",(N('My Rota'!$D$6)+3)&gt;53),"",""&amp;CHOOSE(IFERROR(MATCH('My Rota'!$D$5,Setup!$K$33:$K$36,0),1),INDEX('2027'!$A:$Z,(5+50*((N('My Rota'!$D$6)+3)-1))+2+6,9),INDEX('2028'!$A:$Z,(5+50*((N('My Rota'!$D$6)+3)-1))+2+6,9),INDEX('2029'!$A:$Z,(5+50*((N('My Rota'!$D$6)+3)-1))+2+6,9),INDEX('2030'!$A:$Z,(5+50*((N('My Rota'!$D$6)+3)-1))+2+6,9)))</f>
        <v/>
      </c>
      <c r="J259">
        <f>IF(OR($B259="",(N('My Rota'!$D$6)+3)&gt;53),"",""&amp;CHOOSE(IFERROR(MATCH('My Rota'!$D$5,Setup!$K$33:$K$36,0),1),INDEX('2027'!$A:$Z,(5+50*((N('My Rota'!$D$6)+3)-1))+2+6,10),INDEX('2028'!$A:$Z,(5+50*((N('My Rota'!$D$6)+3)-1))+2+6,10),INDEX('2029'!$A:$Z,(5+50*((N('My Rota'!$D$6)+3)-1))+2+6,10),INDEX('2030'!$A:$Z,(5+50*((N('My Rota'!$D$6)+3)-1))+2+6,10)))</f>
        <v/>
      </c>
      <c r="K259">
        <f>IF(OR($B259="",(N('My Rota'!$D$6)+3)&gt;53),"",""&amp;CHOOSE(IFERROR(MATCH('My Rota'!$D$5,Setup!$K$33:$K$36,0),1),INDEX('2027'!$A:$Z,(5+50*((N('My Rota'!$D$6)+3)-1))+2+6,11),INDEX('2028'!$A:$Z,(5+50*((N('My Rota'!$D$6)+3)-1))+2+6,11),INDEX('2029'!$A:$Z,(5+50*((N('My Rota'!$D$6)+3)-1))+2+6,11),INDEX('2030'!$A:$Z,(5+50*((N('My Rota'!$D$6)+3)-1))+2+6,11)))</f>
        <v/>
      </c>
      <c r="L259">
        <f>IF(OR($B259="",(N('My Rota'!$D$6)+3)&gt;53),"",""&amp;CHOOSE(IFERROR(MATCH('My Rota'!$D$5,Setup!$K$33:$K$36,0),1),INDEX('2027'!$A:$Z,(5+50*((N('My Rota'!$D$6)+3)-1))+2+6,12),INDEX('2028'!$A:$Z,(5+50*((N('My Rota'!$D$6)+3)-1))+2+6,12),INDEX('2029'!$A:$Z,(5+50*((N('My Rota'!$D$6)+3)-1))+2+6,12),INDEX('2030'!$A:$Z,(5+50*((N('My Rota'!$D$6)+3)-1))+2+6,12)))</f>
        <v/>
      </c>
      <c r="M259">
        <f>IF(OR($B259="",(N('My Rota'!$D$6)+3)&gt;53),"",""&amp;CHOOSE(IFERROR(MATCH('My Rota'!$D$5,Setup!$K$33:$K$36,0),1),INDEX('2027'!$A:$Z,(5+50*((N('My Rota'!$D$6)+3)-1))+2+6,13),INDEX('2028'!$A:$Z,(5+50*((N('My Rota'!$D$6)+3)-1))+2+6,13),INDEX('2029'!$A:$Z,(5+50*((N('My Rota'!$D$6)+3)-1))+2+6,13),INDEX('2030'!$A:$Z,(5+50*((N('My Rota'!$D$6)+3)-1))+2+6,13)))</f>
        <v/>
      </c>
      <c r="N259">
        <f>IF(OR($B259="",(N('My Rota'!$D$6)+3)&gt;53),"",""&amp;CHOOSE(IFERROR(MATCH('My Rota'!$D$5,Setup!$K$33:$K$36,0),1),INDEX('2027'!$A:$Z,(5+50*((N('My Rota'!$D$6)+3)-1))+2+6,14),INDEX('2028'!$A:$Z,(5+50*((N('My Rota'!$D$6)+3)-1))+2+6,14),INDEX('2029'!$A:$Z,(5+50*((N('My Rota'!$D$6)+3)-1))+2+6,14),INDEX('2030'!$A:$Z,(5+50*((N('My Rota'!$D$6)+3)-1))+2+6,14)))</f>
        <v/>
      </c>
      <c r="O259">
        <f>IF(OR($B259="",(N('My Rota'!$D$6)+3)&gt;53),"",""&amp;CHOOSE(IFERROR(MATCH('My Rota'!$D$5,Setup!$K$33:$K$36,0),1),INDEX('2027'!$A:$Z,(5+50*((N('My Rota'!$D$6)+3)-1))+2+6,15),INDEX('2028'!$A:$Z,(5+50*((N('My Rota'!$D$6)+3)-1))+2+6,15),INDEX('2029'!$A:$Z,(5+50*((N('My Rota'!$D$6)+3)-1))+2+6,15),INDEX('2030'!$A:$Z,(5+50*((N('My Rota'!$D$6)+3)-1))+2+6,15)))</f>
        <v/>
      </c>
      <c r="P259">
        <f>IF(OR($B259="",(N('My Rota'!$D$6)+3)&gt;53),"",""&amp;CHOOSE(IFERROR(MATCH('My Rota'!$D$5,Setup!$K$33:$K$36,0),1),INDEX('2027'!$A:$Z,(5+50*((N('My Rota'!$D$6)+3)-1))+2+6,16),INDEX('2028'!$A:$Z,(5+50*((N('My Rota'!$D$6)+3)-1))+2+6,16),INDEX('2029'!$A:$Z,(5+50*((N('My Rota'!$D$6)+3)-1))+2+6,16),INDEX('2030'!$A:$Z,(5+50*((N('My Rota'!$D$6)+3)-1))+2+6,16)))</f>
        <v/>
      </c>
      <c r="Q259">
        <f>IF(OR($B259="",(N('My Rota'!$D$6)+3)&gt;53),"",""&amp;CHOOSE(IFERROR(MATCH('My Rota'!$D$5,Setup!$K$33:$K$36,0),1),INDEX('2027'!$A:$Z,(5+50*((N('My Rota'!$D$6)+3)-1))+2+6,17),INDEX('2028'!$A:$Z,(5+50*((N('My Rota'!$D$6)+3)-1))+2+6,17),INDEX('2029'!$A:$Z,(5+50*((N('My Rota'!$D$6)+3)-1))+2+6,17),INDEX('2030'!$A:$Z,(5+50*((N('My Rota'!$D$6)+3)-1))+2+6,17)))</f>
        <v/>
      </c>
      <c r="R259">
        <f>IF(OR($B259="",(N('My Rota'!$D$6)+3)&gt;53),"",""&amp;CHOOSE(IFERROR(MATCH('My Rota'!$D$5,Setup!$K$33:$K$36,0),1),INDEX('2027'!$A:$Z,(5+50*((N('My Rota'!$D$6)+3)-1))+2+6,18),INDEX('2028'!$A:$Z,(5+50*((N('My Rota'!$D$6)+3)-1))+2+6,18),INDEX('2029'!$A:$Z,(5+50*((N('My Rota'!$D$6)+3)-1))+2+6,18),INDEX('2030'!$A:$Z,(5+50*((N('My Rota'!$D$6)+3)-1))+2+6,18)))</f>
        <v/>
      </c>
      <c r="S259">
        <f>IF(OR($B259="",(N('My Rota'!$D$6)+3)&gt;53),"",""&amp;CHOOSE(IFERROR(MATCH('My Rota'!$D$5,Setup!$K$33:$K$36,0),1),INDEX('2027'!$A:$Z,(5+50*((N('My Rota'!$D$6)+3)-1))+2+6,19),INDEX('2028'!$A:$Z,(5+50*((N('My Rota'!$D$6)+3)-1))+2+6,19),INDEX('2029'!$A:$Z,(5+50*((N('My Rota'!$D$6)+3)-1))+2+6,19),INDEX('2030'!$A:$Z,(5+50*((N('My Rota'!$D$6)+3)-1))+2+6,19)))</f>
        <v/>
      </c>
      <c r="T259">
        <f>IF(OR($B259="",(N('My Rota'!$D$6)+3)&gt;53),"",""&amp;CHOOSE(IFERROR(MATCH('My Rota'!$D$5,Setup!$K$33:$K$36,0),1),INDEX('2027'!$A:$Z,(5+50*((N('My Rota'!$D$6)+3)-1))+2+6,20),INDEX('2028'!$A:$Z,(5+50*((N('My Rota'!$D$6)+3)-1))+2+6,20),INDEX('2029'!$A:$Z,(5+50*((N('My Rota'!$D$6)+3)-1))+2+6,20),INDEX('2030'!$A:$Z,(5+50*((N('My Rota'!$D$6)+3)-1))+2+6,20)))</f>
        <v/>
      </c>
      <c r="U259">
        <f>IF(OR($B259="",(N('My Rota'!$D$6)+3)&gt;53),"",""&amp;CHOOSE(IFERROR(MATCH('My Rota'!$D$5,Setup!$K$33:$K$36,0),1),INDEX('2027'!$A:$Z,(5+50*((N('My Rota'!$D$6)+3)-1))+2+6,21),INDEX('2028'!$A:$Z,(5+50*((N('My Rota'!$D$6)+3)-1))+2+6,21),INDEX('2029'!$A:$Z,(5+50*((N('My Rota'!$D$6)+3)-1))+2+6,21),INDEX('2030'!$A:$Z,(5+50*((N('My Rota'!$D$6)+3)-1))+2+6,21)))</f>
        <v/>
      </c>
      <c r="V259">
        <f>IF(OR($B259="",(N('My Rota'!$D$6)+3)&gt;53),"",""&amp;CHOOSE(IFERROR(MATCH('My Rota'!$D$5,Setup!$K$33:$K$36,0),1),INDEX('2027'!$A:$Z,(5+50*((N('My Rota'!$D$6)+3)-1))+2+6,22),INDEX('2028'!$A:$Z,(5+50*((N('My Rota'!$D$6)+3)-1))+2+6,22),INDEX('2029'!$A:$Z,(5+50*((N('My Rota'!$D$6)+3)-1))+2+6,22),INDEX('2030'!$A:$Z,(5+50*((N('My Rota'!$D$6)+3)-1))+2+6,22)))</f>
        <v/>
      </c>
      <c r="W259">
        <f>IF(OR($B259="",(N('My Rota'!$D$6)+3)&gt;53),"",""&amp;CHOOSE(IFERROR(MATCH('My Rota'!$D$5,Setup!$K$33:$K$36,0),1),INDEX('2027'!$A:$Z,(5+50*((N('My Rota'!$D$6)+3)-1))+2+6,23),INDEX('2028'!$A:$Z,(5+50*((N('My Rota'!$D$6)+3)-1))+2+6,23),INDEX('2029'!$A:$Z,(5+50*((N('My Rota'!$D$6)+3)-1))+2+6,23),INDEX('2030'!$A:$Z,(5+50*((N('My Rota'!$D$6)+3)-1))+2+6,23)))</f>
        <v/>
      </c>
      <c r="X259">
        <f>IF(OR($B259="",(N('My Rota'!$D$6)+3)&gt;53),"",""&amp;CHOOSE(IFERROR(MATCH('My Rota'!$D$5,Setup!$K$33:$K$36,0),1),INDEX('2027'!$A:$Z,(5+50*((N('My Rota'!$D$6)+3)-1))+2+6,24),INDEX('2028'!$A:$Z,(5+50*((N('My Rota'!$D$6)+3)-1))+2+6,24),INDEX('2029'!$A:$Z,(5+50*((N('My Rota'!$D$6)+3)-1))+2+6,24),INDEX('2030'!$A:$Z,(5+50*((N('My Rota'!$D$6)+3)-1))+2+6,24)))</f>
        <v/>
      </c>
      <c r="Y259">
        <f>IF(OR($B259="",(N('My Rota'!$D$6)+3)&gt;53),"",""&amp;CHOOSE(IFERROR(MATCH('My Rota'!$D$5,Setup!$K$33:$K$36,0),1),INDEX('2027'!$A:$Z,(5+50*((N('My Rota'!$D$6)+3)-1))+2+6,25),INDEX('2028'!$A:$Z,(5+50*((N('My Rota'!$D$6)+3)-1))+2+6,25),INDEX('2029'!$A:$Z,(5+50*((N('My Rota'!$D$6)+3)-1))+2+6,25),INDEX('2030'!$A:$Z,(5+50*((N('My Rota'!$D$6)+3)-1))+2+6,25)))</f>
        <v/>
      </c>
      <c r="Z259">
        <f>IF(OR($B259="",(N('My Rota'!$D$6)+3)&gt;53),"",""&amp;CHOOSE(IFERROR(MATCH('My Rota'!$D$5,Setup!$K$33:$K$36,0),1),INDEX('2027'!$A:$Z,(5+50*((N('My Rota'!$D$6)+3)-1))+2+6,26),INDEX('2028'!$A:$Z,(5+50*((N('My Rota'!$D$6)+3)-1))+2+6,26),INDEX('2029'!$A:$Z,(5+50*((N('My Rota'!$D$6)+3)-1))+2+6,26),INDEX('2030'!$A:$Z,(5+50*((N('My Rota'!$D$6)+3)-1))+2+6,26)))</f>
        <v/>
      </c>
    </row>
    <row r="260">
      <c r="A260" t="n">
        <v>4</v>
      </c>
      <c r="B260">
        <f>$B$53</f>
        <v/>
      </c>
      <c r="C260">
        <f>IF(OR($B260="",(N('My Rota'!$D$6)+3)&gt;53),"",""&amp;CHOOSE(IFERROR(MATCH('My Rota'!$D$5,Setup!$K$33:$K$36,0),1),INDEX('2027'!$A:$Z,(5+50*((N('My Rota'!$D$6)+3)-1))+2+7,3),INDEX('2028'!$A:$Z,(5+50*((N('My Rota'!$D$6)+3)-1))+2+7,3),INDEX('2029'!$A:$Z,(5+50*((N('My Rota'!$D$6)+3)-1))+2+7,3),INDEX('2030'!$A:$Z,(5+50*((N('My Rota'!$D$6)+3)-1))+2+7,3)))</f>
        <v/>
      </c>
      <c r="D260">
        <f>IF(OR($B260="",(N('My Rota'!$D$6)+3)&gt;53),"",""&amp;CHOOSE(IFERROR(MATCH('My Rota'!$D$5,Setup!$K$33:$K$36,0),1),INDEX('2027'!$A:$Z,(5+50*((N('My Rota'!$D$6)+3)-1))+2+7,4),INDEX('2028'!$A:$Z,(5+50*((N('My Rota'!$D$6)+3)-1))+2+7,4),INDEX('2029'!$A:$Z,(5+50*((N('My Rota'!$D$6)+3)-1))+2+7,4),INDEX('2030'!$A:$Z,(5+50*((N('My Rota'!$D$6)+3)-1))+2+7,4)))</f>
        <v/>
      </c>
      <c r="E260">
        <f>IF(OR($B260="",(N('My Rota'!$D$6)+3)&gt;53),"",""&amp;CHOOSE(IFERROR(MATCH('My Rota'!$D$5,Setup!$K$33:$K$36,0),1),INDEX('2027'!$A:$Z,(5+50*((N('My Rota'!$D$6)+3)-1))+2+7,5),INDEX('2028'!$A:$Z,(5+50*((N('My Rota'!$D$6)+3)-1))+2+7,5),INDEX('2029'!$A:$Z,(5+50*((N('My Rota'!$D$6)+3)-1))+2+7,5),INDEX('2030'!$A:$Z,(5+50*((N('My Rota'!$D$6)+3)-1))+2+7,5)))</f>
        <v/>
      </c>
      <c r="F260">
        <f>IF(OR($B260="",(N('My Rota'!$D$6)+3)&gt;53),"",""&amp;CHOOSE(IFERROR(MATCH('My Rota'!$D$5,Setup!$K$33:$K$36,0),1),INDEX('2027'!$A:$Z,(5+50*((N('My Rota'!$D$6)+3)-1))+2+7,6),INDEX('2028'!$A:$Z,(5+50*((N('My Rota'!$D$6)+3)-1))+2+7,6),INDEX('2029'!$A:$Z,(5+50*((N('My Rota'!$D$6)+3)-1))+2+7,6),INDEX('2030'!$A:$Z,(5+50*((N('My Rota'!$D$6)+3)-1))+2+7,6)))</f>
        <v/>
      </c>
      <c r="G260">
        <f>IF(OR($B260="",(N('My Rota'!$D$6)+3)&gt;53),"",""&amp;CHOOSE(IFERROR(MATCH('My Rota'!$D$5,Setup!$K$33:$K$36,0),1),INDEX('2027'!$A:$Z,(5+50*((N('My Rota'!$D$6)+3)-1))+2+7,7),INDEX('2028'!$A:$Z,(5+50*((N('My Rota'!$D$6)+3)-1))+2+7,7),INDEX('2029'!$A:$Z,(5+50*((N('My Rota'!$D$6)+3)-1))+2+7,7),INDEX('2030'!$A:$Z,(5+50*((N('My Rota'!$D$6)+3)-1))+2+7,7)))</f>
        <v/>
      </c>
      <c r="H260">
        <f>IF(OR($B260="",(N('My Rota'!$D$6)+3)&gt;53),"",""&amp;CHOOSE(IFERROR(MATCH('My Rota'!$D$5,Setup!$K$33:$K$36,0),1),INDEX('2027'!$A:$Z,(5+50*((N('My Rota'!$D$6)+3)-1))+2+7,8),INDEX('2028'!$A:$Z,(5+50*((N('My Rota'!$D$6)+3)-1))+2+7,8),INDEX('2029'!$A:$Z,(5+50*((N('My Rota'!$D$6)+3)-1))+2+7,8),INDEX('2030'!$A:$Z,(5+50*((N('My Rota'!$D$6)+3)-1))+2+7,8)))</f>
        <v/>
      </c>
      <c r="I260">
        <f>IF(OR($B260="",(N('My Rota'!$D$6)+3)&gt;53),"",""&amp;CHOOSE(IFERROR(MATCH('My Rota'!$D$5,Setup!$K$33:$K$36,0),1),INDEX('2027'!$A:$Z,(5+50*((N('My Rota'!$D$6)+3)-1))+2+7,9),INDEX('2028'!$A:$Z,(5+50*((N('My Rota'!$D$6)+3)-1))+2+7,9),INDEX('2029'!$A:$Z,(5+50*((N('My Rota'!$D$6)+3)-1))+2+7,9),INDEX('2030'!$A:$Z,(5+50*((N('My Rota'!$D$6)+3)-1))+2+7,9)))</f>
        <v/>
      </c>
      <c r="J260">
        <f>IF(OR($B260="",(N('My Rota'!$D$6)+3)&gt;53),"",""&amp;CHOOSE(IFERROR(MATCH('My Rota'!$D$5,Setup!$K$33:$K$36,0),1),INDEX('2027'!$A:$Z,(5+50*((N('My Rota'!$D$6)+3)-1))+2+7,10),INDEX('2028'!$A:$Z,(5+50*((N('My Rota'!$D$6)+3)-1))+2+7,10),INDEX('2029'!$A:$Z,(5+50*((N('My Rota'!$D$6)+3)-1))+2+7,10),INDEX('2030'!$A:$Z,(5+50*((N('My Rota'!$D$6)+3)-1))+2+7,10)))</f>
        <v/>
      </c>
      <c r="K260">
        <f>IF(OR($B260="",(N('My Rota'!$D$6)+3)&gt;53),"",""&amp;CHOOSE(IFERROR(MATCH('My Rota'!$D$5,Setup!$K$33:$K$36,0),1),INDEX('2027'!$A:$Z,(5+50*((N('My Rota'!$D$6)+3)-1))+2+7,11),INDEX('2028'!$A:$Z,(5+50*((N('My Rota'!$D$6)+3)-1))+2+7,11),INDEX('2029'!$A:$Z,(5+50*((N('My Rota'!$D$6)+3)-1))+2+7,11),INDEX('2030'!$A:$Z,(5+50*((N('My Rota'!$D$6)+3)-1))+2+7,11)))</f>
        <v/>
      </c>
      <c r="L260">
        <f>IF(OR($B260="",(N('My Rota'!$D$6)+3)&gt;53),"",""&amp;CHOOSE(IFERROR(MATCH('My Rota'!$D$5,Setup!$K$33:$K$36,0),1),INDEX('2027'!$A:$Z,(5+50*((N('My Rota'!$D$6)+3)-1))+2+7,12),INDEX('2028'!$A:$Z,(5+50*((N('My Rota'!$D$6)+3)-1))+2+7,12),INDEX('2029'!$A:$Z,(5+50*((N('My Rota'!$D$6)+3)-1))+2+7,12),INDEX('2030'!$A:$Z,(5+50*((N('My Rota'!$D$6)+3)-1))+2+7,12)))</f>
        <v/>
      </c>
      <c r="M260">
        <f>IF(OR($B260="",(N('My Rota'!$D$6)+3)&gt;53),"",""&amp;CHOOSE(IFERROR(MATCH('My Rota'!$D$5,Setup!$K$33:$K$36,0),1),INDEX('2027'!$A:$Z,(5+50*((N('My Rota'!$D$6)+3)-1))+2+7,13),INDEX('2028'!$A:$Z,(5+50*((N('My Rota'!$D$6)+3)-1))+2+7,13),INDEX('2029'!$A:$Z,(5+50*((N('My Rota'!$D$6)+3)-1))+2+7,13),INDEX('2030'!$A:$Z,(5+50*((N('My Rota'!$D$6)+3)-1))+2+7,13)))</f>
        <v/>
      </c>
      <c r="N260">
        <f>IF(OR($B260="",(N('My Rota'!$D$6)+3)&gt;53),"",""&amp;CHOOSE(IFERROR(MATCH('My Rota'!$D$5,Setup!$K$33:$K$36,0),1),INDEX('2027'!$A:$Z,(5+50*((N('My Rota'!$D$6)+3)-1))+2+7,14),INDEX('2028'!$A:$Z,(5+50*((N('My Rota'!$D$6)+3)-1))+2+7,14),INDEX('2029'!$A:$Z,(5+50*((N('My Rota'!$D$6)+3)-1))+2+7,14),INDEX('2030'!$A:$Z,(5+50*((N('My Rota'!$D$6)+3)-1))+2+7,14)))</f>
        <v/>
      </c>
      <c r="O260">
        <f>IF(OR($B260="",(N('My Rota'!$D$6)+3)&gt;53),"",""&amp;CHOOSE(IFERROR(MATCH('My Rota'!$D$5,Setup!$K$33:$K$36,0),1),INDEX('2027'!$A:$Z,(5+50*((N('My Rota'!$D$6)+3)-1))+2+7,15),INDEX('2028'!$A:$Z,(5+50*((N('My Rota'!$D$6)+3)-1))+2+7,15),INDEX('2029'!$A:$Z,(5+50*((N('My Rota'!$D$6)+3)-1))+2+7,15),INDEX('2030'!$A:$Z,(5+50*((N('My Rota'!$D$6)+3)-1))+2+7,15)))</f>
        <v/>
      </c>
      <c r="P260">
        <f>IF(OR($B260="",(N('My Rota'!$D$6)+3)&gt;53),"",""&amp;CHOOSE(IFERROR(MATCH('My Rota'!$D$5,Setup!$K$33:$K$36,0),1),INDEX('2027'!$A:$Z,(5+50*((N('My Rota'!$D$6)+3)-1))+2+7,16),INDEX('2028'!$A:$Z,(5+50*((N('My Rota'!$D$6)+3)-1))+2+7,16),INDEX('2029'!$A:$Z,(5+50*((N('My Rota'!$D$6)+3)-1))+2+7,16),INDEX('2030'!$A:$Z,(5+50*((N('My Rota'!$D$6)+3)-1))+2+7,16)))</f>
        <v/>
      </c>
      <c r="Q260">
        <f>IF(OR($B260="",(N('My Rota'!$D$6)+3)&gt;53),"",""&amp;CHOOSE(IFERROR(MATCH('My Rota'!$D$5,Setup!$K$33:$K$36,0),1),INDEX('2027'!$A:$Z,(5+50*((N('My Rota'!$D$6)+3)-1))+2+7,17),INDEX('2028'!$A:$Z,(5+50*((N('My Rota'!$D$6)+3)-1))+2+7,17),INDEX('2029'!$A:$Z,(5+50*((N('My Rota'!$D$6)+3)-1))+2+7,17),INDEX('2030'!$A:$Z,(5+50*((N('My Rota'!$D$6)+3)-1))+2+7,17)))</f>
        <v/>
      </c>
      <c r="R260">
        <f>IF(OR($B260="",(N('My Rota'!$D$6)+3)&gt;53),"",""&amp;CHOOSE(IFERROR(MATCH('My Rota'!$D$5,Setup!$K$33:$K$36,0),1),INDEX('2027'!$A:$Z,(5+50*((N('My Rota'!$D$6)+3)-1))+2+7,18),INDEX('2028'!$A:$Z,(5+50*((N('My Rota'!$D$6)+3)-1))+2+7,18),INDEX('2029'!$A:$Z,(5+50*((N('My Rota'!$D$6)+3)-1))+2+7,18),INDEX('2030'!$A:$Z,(5+50*((N('My Rota'!$D$6)+3)-1))+2+7,18)))</f>
        <v/>
      </c>
      <c r="S260">
        <f>IF(OR($B260="",(N('My Rota'!$D$6)+3)&gt;53),"",""&amp;CHOOSE(IFERROR(MATCH('My Rota'!$D$5,Setup!$K$33:$K$36,0),1),INDEX('2027'!$A:$Z,(5+50*((N('My Rota'!$D$6)+3)-1))+2+7,19),INDEX('2028'!$A:$Z,(5+50*((N('My Rota'!$D$6)+3)-1))+2+7,19),INDEX('2029'!$A:$Z,(5+50*((N('My Rota'!$D$6)+3)-1))+2+7,19),INDEX('2030'!$A:$Z,(5+50*((N('My Rota'!$D$6)+3)-1))+2+7,19)))</f>
        <v/>
      </c>
      <c r="T260">
        <f>IF(OR($B260="",(N('My Rota'!$D$6)+3)&gt;53),"",""&amp;CHOOSE(IFERROR(MATCH('My Rota'!$D$5,Setup!$K$33:$K$36,0),1),INDEX('2027'!$A:$Z,(5+50*((N('My Rota'!$D$6)+3)-1))+2+7,20),INDEX('2028'!$A:$Z,(5+50*((N('My Rota'!$D$6)+3)-1))+2+7,20),INDEX('2029'!$A:$Z,(5+50*((N('My Rota'!$D$6)+3)-1))+2+7,20),INDEX('2030'!$A:$Z,(5+50*((N('My Rota'!$D$6)+3)-1))+2+7,20)))</f>
        <v/>
      </c>
      <c r="U260">
        <f>IF(OR($B260="",(N('My Rota'!$D$6)+3)&gt;53),"",""&amp;CHOOSE(IFERROR(MATCH('My Rota'!$D$5,Setup!$K$33:$K$36,0),1),INDEX('2027'!$A:$Z,(5+50*((N('My Rota'!$D$6)+3)-1))+2+7,21),INDEX('2028'!$A:$Z,(5+50*((N('My Rota'!$D$6)+3)-1))+2+7,21),INDEX('2029'!$A:$Z,(5+50*((N('My Rota'!$D$6)+3)-1))+2+7,21),INDEX('2030'!$A:$Z,(5+50*((N('My Rota'!$D$6)+3)-1))+2+7,21)))</f>
        <v/>
      </c>
      <c r="V260">
        <f>IF(OR($B260="",(N('My Rota'!$D$6)+3)&gt;53),"",""&amp;CHOOSE(IFERROR(MATCH('My Rota'!$D$5,Setup!$K$33:$K$36,0),1),INDEX('2027'!$A:$Z,(5+50*((N('My Rota'!$D$6)+3)-1))+2+7,22),INDEX('2028'!$A:$Z,(5+50*((N('My Rota'!$D$6)+3)-1))+2+7,22),INDEX('2029'!$A:$Z,(5+50*((N('My Rota'!$D$6)+3)-1))+2+7,22),INDEX('2030'!$A:$Z,(5+50*((N('My Rota'!$D$6)+3)-1))+2+7,22)))</f>
        <v/>
      </c>
      <c r="W260">
        <f>IF(OR($B260="",(N('My Rota'!$D$6)+3)&gt;53),"",""&amp;CHOOSE(IFERROR(MATCH('My Rota'!$D$5,Setup!$K$33:$K$36,0),1),INDEX('2027'!$A:$Z,(5+50*((N('My Rota'!$D$6)+3)-1))+2+7,23),INDEX('2028'!$A:$Z,(5+50*((N('My Rota'!$D$6)+3)-1))+2+7,23),INDEX('2029'!$A:$Z,(5+50*((N('My Rota'!$D$6)+3)-1))+2+7,23),INDEX('2030'!$A:$Z,(5+50*((N('My Rota'!$D$6)+3)-1))+2+7,23)))</f>
        <v/>
      </c>
      <c r="X260">
        <f>IF(OR($B260="",(N('My Rota'!$D$6)+3)&gt;53),"",""&amp;CHOOSE(IFERROR(MATCH('My Rota'!$D$5,Setup!$K$33:$K$36,0),1),INDEX('2027'!$A:$Z,(5+50*((N('My Rota'!$D$6)+3)-1))+2+7,24),INDEX('2028'!$A:$Z,(5+50*((N('My Rota'!$D$6)+3)-1))+2+7,24),INDEX('2029'!$A:$Z,(5+50*((N('My Rota'!$D$6)+3)-1))+2+7,24),INDEX('2030'!$A:$Z,(5+50*((N('My Rota'!$D$6)+3)-1))+2+7,24)))</f>
        <v/>
      </c>
      <c r="Y260">
        <f>IF(OR($B260="",(N('My Rota'!$D$6)+3)&gt;53),"",""&amp;CHOOSE(IFERROR(MATCH('My Rota'!$D$5,Setup!$K$33:$K$36,0),1),INDEX('2027'!$A:$Z,(5+50*((N('My Rota'!$D$6)+3)-1))+2+7,25),INDEX('2028'!$A:$Z,(5+50*((N('My Rota'!$D$6)+3)-1))+2+7,25),INDEX('2029'!$A:$Z,(5+50*((N('My Rota'!$D$6)+3)-1))+2+7,25),INDEX('2030'!$A:$Z,(5+50*((N('My Rota'!$D$6)+3)-1))+2+7,25)))</f>
        <v/>
      </c>
      <c r="Z260">
        <f>IF(OR($B260="",(N('My Rota'!$D$6)+3)&gt;53),"",""&amp;CHOOSE(IFERROR(MATCH('My Rota'!$D$5,Setup!$K$33:$K$36,0),1),INDEX('2027'!$A:$Z,(5+50*((N('My Rota'!$D$6)+3)-1))+2+7,26),INDEX('2028'!$A:$Z,(5+50*((N('My Rota'!$D$6)+3)-1))+2+7,26),INDEX('2029'!$A:$Z,(5+50*((N('My Rota'!$D$6)+3)-1))+2+7,26),INDEX('2030'!$A:$Z,(5+50*((N('My Rota'!$D$6)+3)-1))+2+7,26)))</f>
        <v/>
      </c>
    </row>
    <row r="261">
      <c r="A261" t="n">
        <v>4</v>
      </c>
      <c r="B261">
        <f>$B$54</f>
        <v/>
      </c>
      <c r="C261">
        <f>IF(OR($B261="",(N('My Rota'!$D$6)+3)&gt;53),"",""&amp;CHOOSE(IFERROR(MATCH('My Rota'!$D$5,Setup!$K$33:$K$36,0),1),INDEX('2027'!$A:$Z,(5+50*((N('My Rota'!$D$6)+3)-1))+2+8,3),INDEX('2028'!$A:$Z,(5+50*((N('My Rota'!$D$6)+3)-1))+2+8,3),INDEX('2029'!$A:$Z,(5+50*((N('My Rota'!$D$6)+3)-1))+2+8,3),INDEX('2030'!$A:$Z,(5+50*((N('My Rota'!$D$6)+3)-1))+2+8,3)))</f>
        <v/>
      </c>
      <c r="D261">
        <f>IF(OR($B261="",(N('My Rota'!$D$6)+3)&gt;53),"",""&amp;CHOOSE(IFERROR(MATCH('My Rota'!$D$5,Setup!$K$33:$K$36,0),1),INDEX('2027'!$A:$Z,(5+50*((N('My Rota'!$D$6)+3)-1))+2+8,4),INDEX('2028'!$A:$Z,(5+50*((N('My Rota'!$D$6)+3)-1))+2+8,4),INDEX('2029'!$A:$Z,(5+50*((N('My Rota'!$D$6)+3)-1))+2+8,4),INDEX('2030'!$A:$Z,(5+50*((N('My Rota'!$D$6)+3)-1))+2+8,4)))</f>
        <v/>
      </c>
      <c r="E261">
        <f>IF(OR($B261="",(N('My Rota'!$D$6)+3)&gt;53),"",""&amp;CHOOSE(IFERROR(MATCH('My Rota'!$D$5,Setup!$K$33:$K$36,0),1),INDEX('2027'!$A:$Z,(5+50*((N('My Rota'!$D$6)+3)-1))+2+8,5),INDEX('2028'!$A:$Z,(5+50*((N('My Rota'!$D$6)+3)-1))+2+8,5),INDEX('2029'!$A:$Z,(5+50*((N('My Rota'!$D$6)+3)-1))+2+8,5),INDEX('2030'!$A:$Z,(5+50*((N('My Rota'!$D$6)+3)-1))+2+8,5)))</f>
        <v/>
      </c>
      <c r="F261">
        <f>IF(OR($B261="",(N('My Rota'!$D$6)+3)&gt;53),"",""&amp;CHOOSE(IFERROR(MATCH('My Rota'!$D$5,Setup!$K$33:$K$36,0),1),INDEX('2027'!$A:$Z,(5+50*((N('My Rota'!$D$6)+3)-1))+2+8,6),INDEX('2028'!$A:$Z,(5+50*((N('My Rota'!$D$6)+3)-1))+2+8,6),INDEX('2029'!$A:$Z,(5+50*((N('My Rota'!$D$6)+3)-1))+2+8,6),INDEX('2030'!$A:$Z,(5+50*((N('My Rota'!$D$6)+3)-1))+2+8,6)))</f>
        <v/>
      </c>
      <c r="G261">
        <f>IF(OR($B261="",(N('My Rota'!$D$6)+3)&gt;53),"",""&amp;CHOOSE(IFERROR(MATCH('My Rota'!$D$5,Setup!$K$33:$K$36,0),1),INDEX('2027'!$A:$Z,(5+50*((N('My Rota'!$D$6)+3)-1))+2+8,7),INDEX('2028'!$A:$Z,(5+50*((N('My Rota'!$D$6)+3)-1))+2+8,7),INDEX('2029'!$A:$Z,(5+50*((N('My Rota'!$D$6)+3)-1))+2+8,7),INDEX('2030'!$A:$Z,(5+50*((N('My Rota'!$D$6)+3)-1))+2+8,7)))</f>
        <v/>
      </c>
      <c r="H261">
        <f>IF(OR($B261="",(N('My Rota'!$D$6)+3)&gt;53),"",""&amp;CHOOSE(IFERROR(MATCH('My Rota'!$D$5,Setup!$K$33:$K$36,0),1),INDEX('2027'!$A:$Z,(5+50*((N('My Rota'!$D$6)+3)-1))+2+8,8),INDEX('2028'!$A:$Z,(5+50*((N('My Rota'!$D$6)+3)-1))+2+8,8),INDEX('2029'!$A:$Z,(5+50*((N('My Rota'!$D$6)+3)-1))+2+8,8),INDEX('2030'!$A:$Z,(5+50*((N('My Rota'!$D$6)+3)-1))+2+8,8)))</f>
        <v/>
      </c>
      <c r="I261">
        <f>IF(OR($B261="",(N('My Rota'!$D$6)+3)&gt;53),"",""&amp;CHOOSE(IFERROR(MATCH('My Rota'!$D$5,Setup!$K$33:$K$36,0),1),INDEX('2027'!$A:$Z,(5+50*((N('My Rota'!$D$6)+3)-1))+2+8,9),INDEX('2028'!$A:$Z,(5+50*((N('My Rota'!$D$6)+3)-1))+2+8,9),INDEX('2029'!$A:$Z,(5+50*((N('My Rota'!$D$6)+3)-1))+2+8,9),INDEX('2030'!$A:$Z,(5+50*((N('My Rota'!$D$6)+3)-1))+2+8,9)))</f>
        <v/>
      </c>
      <c r="J261">
        <f>IF(OR($B261="",(N('My Rota'!$D$6)+3)&gt;53),"",""&amp;CHOOSE(IFERROR(MATCH('My Rota'!$D$5,Setup!$K$33:$K$36,0),1),INDEX('2027'!$A:$Z,(5+50*((N('My Rota'!$D$6)+3)-1))+2+8,10),INDEX('2028'!$A:$Z,(5+50*((N('My Rota'!$D$6)+3)-1))+2+8,10),INDEX('2029'!$A:$Z,(5+50*((N('My Rota'!$D$6)+3)-1))+2+8,10),INDEX('2030'!$A:$Z,(5+50*((N('My Rota'!$D$6)+3)-1))+2+8,10)))</f>
        <v/>
      </c>
      <c r="K261">
        <f>IF(OR($B261="",(N('My Rota'!$D$6)+3)&gt;53),"",""&amp;CHOOSE(IFERROR(MATCH('My Rota'!$D$5,Setup!$K$33:$K$36,0),1),INDEX('2027'!$A:$Z,(5+50*((N('My Rota'!$D$6)+3)-1))+2+8,11),INDEX('2028'!$A:$Z,(5+50*((N('My Rota'!$D$6)+3)-1))+2+8,11),INDEX('2029'!$A:$Z,(5+50*((N('My Rota'!$D$6)+3)-1))+2+8,11),INDEX('2030'!$A:$Z,(5+50*((N('My Rota'!$D$6)+3)-1))+2+8,11)))</f>
        <v/>
      </c>
      <c r="L261">
        <f>IF(OR($B261="",(N('My Rota'!$D$6)+3)&gt;53),"",""&amp;CHOOSE(IFERROR(MATCH('My Rota'!$D$5,Setup!$K$33:$K$36,0),1),INDEX('2027'!$A:$Z,(5+50*((N('My Rota'!$D$6)+3)-1))+2+8,12),INDEX('2028'!$A:$Z,(5+50*((N('My Rota'!$D$6)+3)-1))+2+8,12),INDEX('2029'!$A:$Z,(5+50*((N('My Rota'!$D$6)+3)-1))+2+8,12),INDEX('2030'!$A:$Z,(5+50*((N('My Rota'!$D$6)+3)-1))+2+8,12)))</f>
        <v/>
      </c>
      <c r="M261">
        <f>IF(OR($B261="",(N('My Rota'!$D$6)+3)&gt;53),"",""&amp;CHOOSE(IFERROR(MATCH('My Rota'!$D$5,Setup!$K$33:$K$36,0),1),INDEX('2027'!$A:$Z,(5+50*((N('My Rota'!$D$6)+3)-1))+2+8,13),INDEX('2028'!$A:$Z,(5+50*((N('My Rota'!$D$6)+3)-1))+2+8,13),INDEX('2029'!$A:$Z,(5+50*((N('My Rota'!$D$6)+3)-1))+2+8,13),INDEX('2030'!$A:$Z,(5+50*((N('My Rota'!$D$6)+3)-1))+2+8,13)))</f>
        <v/>
      </c>
      <c r="N261">
        <f>IF(OR($B261="",(N('My Rota'!$D$6)+3)&gt;53),"",""&amp;CHOOSE(IFERROR(MATCH('My Rota'!$D$5,Setup!$K$33:$K$36,0),1),INDEX('2027'!$A:$Z,(5+50*((N('My Rota'!$D$6)+3)-1))+2+8,14),INDEX('2028'!$A:$Z,(5+50*((N('My Rota'!$D$6)+3)-1))+2+8,14),INDEX('2029'!$A:$Z,(5+50*((N('My Rota'!$D$6)+3)-1))+2+8,14),INDEX('2030'!$A:$Z,(5+50*((N('My Rota'!$D$6)+3)-1))+2+8,14)))</f>
        <v/>
      </c>
      <c r="O261">
        <f>IF(OR($B261="",(N('My Rota'!$D$6)+3)&gt;53),"",""&amp;CHOOSE(IFERROR(MATCH('My Rota'!$D$5,Setup!$K$33:$K$36,0),1),INDEX('2027'!$A:$Z,(5+50*((N('My Rota'!$D$6)+3)-1))+2+8,15),INDEX('2028'!$A:$Z,(5+50*((N('My Rota'!$D$6)+3)-1))+2+8,15),INDEX('2029'!$A:$Z,(5+50*((N('My Rota'!$D$6)+3)-1))+2+8,15),INDEX('2030'!$A:$Z,(5+50*((N('My Rota'!$D$6)+3)-1))+2+8,15)))</f>
        <v/>
      </c>
      <c r="P261">
        <f>IF(OR($B261="",(N('My Rota'!$D$6)+3)&gt;53),"",""&amp;CHOOSE(IFERROR(MATCH('My Rota'!$D$5,Setup!$K$33:$K$36,0),1),INDEX('2027'!$A:$Z,(5+50*((N('My Rota'!$D$6)+3)-1))+2+8,16),INDEX('2028'!$A:$Z,(5+50*((N('My Rota'!$D$6)+3)-1))+2+8,16),INDEX('2029'!$A:$Z,(5+50*((N('My Rota'!$D$6)+3)-1))+2+8,16),INDEX('2030'!$A:$Z,(5+50*((N('My Rota'!$D$6)+3)-1))+2+8,16)))</f>
        <v/>
      </c>
      <c r="Q261">
        <f>IF(OR($B261="",(N('My Rota'!$D$6)+3)&gt;53),"",""&amp;CHOOSE(IFERROR(MATCH('My Rota'!$D$5,Setup!$K$33:$K$36,0),1),INDEX('2027'!$A:$Z,(5+50*((N('My Rota'!$D$6)+3)-1))+2+8,17),INDEX('2028'!$A:$Z,(5+50*((N('My Rota'!$D$6)+3)-1))+2+8,17),INDEX('2029'!$A:$Z,(5+50*((N('My Rota'!$D$6)+3)-1))+2+8,17),INDEX('2030'!$A:$Z,(5+50*((N('My Rota'!$D$6)+3)-1))+2+8,17)))</f>
        <v/>
      </c>
      <c r="R261">
        <f>IF(OR($B261="",(N('My Rota'!$D$6)+3)&gt;53),"",""&amp;CHOOSE(IFERROR(MATCH('My Rota'!$D$5,Setup!$K$33:$K$36,0),1),INDEX('2027'!$A:$Z,(5+50*((N('My Rota'!$D$6)+3)-1))+2+8,18),INDEX('2028'!$A:$Z,(5+50*((N('My Rota'!$D$6)+3)-1))+2+8,18),INDEX('2029'!$A:$Z,(5+50*((N('My Rota'!$D$6)+3)-1))+2+8,18),INDEX('2030'!$A:$Z,(5+50*((N('My Rota'!$D$6)+3)-1))+2+8,18)))</f>
        <v/>
      </c>
      <c r="S261">
        <f>IF(OR($B261="",(N('My Rota'!$D$6)+3)&gt;53),"",""&amp;CHOOSE(IFERROR(MATCH('My Rota'!$D$5,Setup!$K$33:$K$36,0),1),INDEX('2027'!$A:$Z,(5+50*((N('My Rota'!$D$6)+3)-1))+2+8,19),INDEX('2028'!$A:$Z,(5+50*((N('My Rota'!$D$6)+3)-1))+2+8,19),INDEX('2029'!$A:$Z,(5+50*((N('My Rota'!$D$6)+3)-1))+2+8,19),INDEX('2030'!$A:$Z,(5+50*((N('My Rota'!$D$6)+3)-1))+2+8,19)))</f>
        <v/>
      </c>
      <c r="T261">
        <f>IF(OR($B261="",(N('My Rota'!$D$6)+3)&gt;53),"",""&amp;CHOOSE(IFERROR(MATCH('My Rota'!$D$5,Setup!$K$33:$K$36,0),1),INDEX('2027'!$A:$Z,(5+50*((N('My Rota'!$D$6)+3)-1))+2+8,20),INDEX('2028'!$A:$Z,(5+50*((N('My Rota'!$D$6)+3)-1))+2+8,20),INDEX('2029'!$A:$Z,(5+50*((N('My Rota'!$D$6)+3)-1))+2+8,20),INDEX('2030'!$A:$Z,(5+50*((N('My Rota'!$D$6)+3)-1))+2+8,20)))</f>
        <v/>
      </c>
      <c r="U261">
        <f>IF(OR($B261="",(N('My Rota'!$D$6)+3)&gt;53),"",""&amp;CHOOSE(IFERROR(MATCH('My Rota'!$D$5,Setup!$K$33:$K$36,0),1),INDEX('2027'!$A:$Z,(5+50*((N('My Rota'!$D$6)+3)-1))+2+8,21),INDEX('2028'!$A:$Z,(5+50*((N('My Rota'!$D$6)+3)-1))+2+8,21),INDEX('2029'!$A:$Z,(5+50*((N('My Rota'!$D$6)+3)-1))+2+8,21),INDEX('2030'!$A:$Z,(5+50*((N('My Rota'!$D$6)+3)-1))+2+8,21)))</f>
        <v/>
      </c>
      <c r="V261">
        <f>IF(OR($B261="",(N('My Rota'!$D$6)+3)&gt;53),"",""&amp;CHOOSE(IFERROR(MATCH('My Rota'!$D$5,Setup!$K$33:$K$36,0),1),INDEX('2027'!$A:$Z,(5+50*((N('My Rota'!$D$6)+3)-1))+2+8,22),INDEX('2028'!$A:$Z,(5+50*((N('My Rota'!$D$6)+3)-1))+2+8,22),INDEX('2029'!$A:$Z,(5+50*((N('My Rota'!$D$6)+3)-1))+2+8,22),INDEX('2030'!$A:$Z,(5+50*((N('My Rota'!$D$6)+3)-1))+2+8,22)))</f>
        <v/>
      </c>
      <c r="W261">
        <f>IF(OR($B261="",(N('My Rota'!$D$6)+3)&gt;53),"",""&amp;CHOOSE(IFERROR(MATCH('My Rota'!$D$5,Setup!$K$33:$K$36,0),1),INDEX('2027'!$A:$Z,(5+50*((N('My Rota'!$D$6)+3)-1))+2+8,23),INDEX('2028'!$A:$Z,(5+50*((N('My Rota'!$D$6)+3)-1))+2+8,23),INDEX('2029'!$A:$Z,(5+50*((N('My Rota'!$D$6)+3)-1))+2+8,23),INDEX('2030'!$A:$Z,(5+50*((N('My Rota'!$D$6)+3)-1))+2+8,23)))</f>
        <v/>
      </c>
      <c r="X261">
        <f>IF(OR($B261="",(N('My Rota'!$D$6)+3)&gt;53),"",""&amp;CHOOSE(IFERROR(MATCH('My Rota'!$D$5,Setup!$K$33:$K$36,0),1),INDEX('2027'!$A:$Z,(5+50*((N('My Rota'!$D$6)+3)-1))+2+8,24),INDEX('2028'!$A:$Z,(5+50*((N('My Rota'!$D$6)+3)-1))+2+8,24),INDEX('2029'!$A:$Z,(5+50*((N('My Rota'!$D$6)+3)-1))+2+8,24),INDEX('2030'!$A:$Z,(5+50*((N('My Rota'!$D$6)+3)-1))+2+8,24)))</f>
        <v/>
      </c>
      <c r="Y261">
        <f>IF(OR($B261="",(N('My Rota'!$D$6)+3)&gt;53),"",""&amp;CHOOSE(IFERROR(MATCH('My Rota'!$D$5,Setup!$K$33:$K$36,0),1),INDEX('2027'!$A:$Z,(5+50*((N('My Rota'!$D$6)+3)-1))+2+8,25),INDEX('2028'!$A:$Z,(5+50*((N('My Rota'!$D$6)+3)-1))+2+8,25),INDEX('2029'!$A:$Z,(5+50*((N('My Rota'!$D$6)+3)-1))+2+8,25),INDEX('2030'!$A:$Z,(5+50*((N('My Rota'!$D$6)+3)-1))+2+8,25)))</f>
        <v/>
      </c>
      <c r="Z261">
        <f>IF(OR($B261="",(N('My Rota'!$D$6)+3)&gt;53),"",""&amp;CHOOSE(IFERROR(MATCH('My Rota'!$D$5,Setup!$K$33:$K$36,0),1),INDEX('2027'!$A:$Z,(5+50*((N('My Rota'!$D$6)+3)-1))+2+8,26),INDEX('2028'!$A:$Z,(5+50*((N('My Rota'!$D$6)+3)-1))+2+8,26),INDEX('2029'!$A:$Z,(5+50*((N('My Rota'!$D$6)+3)-1))+2+8,26),INDEX('2030'!$A:$Z,(5+50*((N('My Rota'!$D$6)+3)-1))+2+8,26)))</f>
        <v/>
      </c>
    </row>
    <row r="262">
      <c r="A262" t="n">
        <v>4</v>
      </c>
      <c r="B262">
        <f>$B$55</f>
        <v/>
      </c>
      <c r="C262">
        <f>IF(OR($B262="",(N('My Rota'!$D$6)+3)&gt;53),"",""&amp;CHOOSE(IFERROR(MATCH('My Rota'!$D$5,Setup!$K$33:$K$36,0),1),INDEX('2027'!$A:$Z,(5+50*((N('My Rota'!$D$6)+3)-1))+2+9,3),INDEX('2028'!$A:$Z,(5+50*((N('My Rota'!$D$6)+3)-1))+2+9,3),INDEX('2029'!$A:$Z,(5+50*((N('My Rota'!$D$6)+3)-1))+2+9,3),INDEX('2030'!$A:$Z,(5+50*((N('My Rota'!$D$6)+3)-1))+2+9,3)))</f>
        <v/>
      </c>
      <c r="D262">
        <f>IF(OR($B262="",(N('My Rota'!$D$6)+3)&gt;53),"",""&amp;CHOOSE(IFERROR(MATCH('My Rota'!$D$5,Setup!$K$33:$K$36,0),1),INDEX('2027'!$A:$Z,(5+50*((N('My Rota'!$D$6)+3)-1))+2+9,4),INDEX('2028'!$A:$Z,(5+50*((N('My Rota'!$D$6)+3)-1))+2+9,4),INDEX('2029'!$A:$Z,(5+50*((N('My Rota'!$D$6)+3)-1))+2+9,4),INDEX('2030'!$A:$Z,(5+50*((N('My Rota'!$D$6)+3)-1))+2+9,4)))</f>
        <v/>
      </c>
      <c r="E262">
        <f>IF(OR($B262="",(N('My Rota'!$D$6)+3)&gt;53),"",""&amp;CHOOSE(IFERROR(MATCH('My Rota'!$D$5,Setup!$K$33:$K$36,0),1),INDEX('2027'!$A:$Z,(5+50*((N('My Rota'!$D$6)+3)-1))+2+9,5),INDEX('2028'!$A:$Z,(5+50*((N('My Rota'!$D$6)+3)-1))+2+9,5),INDEX('2029'!$A:$Z,(5+50*((N('My Rota'!$D$6)+3)-1))+2+9,5),INDEX('2030'!$A:$Z,(5+50*((N('My Rota'!$D$6)+3)-1))+2+9,5)))</f>
        <v/>
      </c>
      <c r="F262">
        <f>IF(OR($B262="",(N('My Rota'!$D$6)+3)&gt;53),"",""&amp;CHOOSE(IFERROR(MATCH('My Rota'!$D$5,Setup!$K$33:$K$36,0),1),INDEX('2027'!$A:$Z,(5+50*((N('My Rota'!$D$6)+3)-1))+2+9,6),INDEX('2028'!$A:$Z,(5+50*((N('My Rota'!$D$6)+3)-1))+2+9,6),INDEX('2029'!$A:$Z,(5+50*((N('My Rota'!$D$6)+3)-1))+2+9,6),INDEX('2030'!$A:$Z,(5+50*((N('My Rota'!$D$6)+3)-1))+2+9,6)))</f>
        <v/>
      </c>
      <c r="G262">
        <f>IF(OR($B262="",(N('My Rota'!$D$6)+3)&gt;53),"",""&amp;CHOOSE(IFERROR(MATCH('My Rota'!$D$5,Setup!$K$33:$K$36,0),1),INDEX('2027'!$A:$Z,(5+50*((N('My Rota'!$D$6)+3)-1))+2+9,7),INDEX('2028'!$A:$Z,(5+50*((N('My Rota'!$D$6)+3)-1))+2+9,7),INDEX('2029'!$A:$Z,(5+50*((N('My Rota'!$D$6)+3)-1))+2+9,7),INDEX('2030'!$A:$Z,(5+50*((N('My Rota'!$D$6)+3)-1))+2+9,7)))</f>
        <v/>
      </c>
      <c r="H262">
        <f>IF(OR($B262="",(N('My Rota'!$D$6)+3)&gt;53),"",""&amp;CHOOSE(IFERROR(MATCH('My Rota'!$D$5,Setup!$K$33:$K$36,0),1),INDEX('2027'!$A:$Z,(5+50*((N('My Rota'!$D$6)+3)-1))+2+9,8),INDEX('2028'!$A:$Z,(5+50*((N('My Rota'!$D$6)+3)-1))+2+9,8),INDEX('2029'!$A:$Z,(5+50*((N('My Rota'!$D$6)+3)-1))+2+9,8),INDEX('2030'!$A:$Z,(5+50*((N('My Rota'!$D$6)+3)-1))+2+9,8)))</f>
        <v/>
      </c>
      <c r="I262">
        <f>IF(OR($B262="",(N('My Rota'!$D$6)+3)&gt;53),"",""&amp;CHOOSE(IFERROR(MATCH('My Rota'!$D$5,Setup!$K$33:$K$36,0),1),INDEX('2027'!$A:$Z,(5+50*((N('My Rota'!$D$6)+3)-1))+2+9,9),INDEX('2028'!$A:$Z,(5+50*((N('My Rota'!$D$6)+3)-1))+2+9,9),INDEX('2029'!$A:$Z,(5+50*((N('My Rota'!$D$6)+3)-1))+2+9,9),INDEX('2030'!$A:$Z,(5+50*((N('My Rota'!$D$6)+3)-1))+2+9,9)))</f>
        <v/>
      </c>
      <c r="J262">
        <f>IF(OR($B262="",(N('My Rota'!$D$6)+3)&gt;53),"",""&amp;CHOOSE(IFERROR(MATCH('My Rota'!$D$5,Setup!$K$33:$K$36,0),1),INDEX('2027'!$A:$Z,(5+50*((N('My Rota'!$D$6)+3)-1))+2+9,10),INDEX('2028'!$A:$Z,(5+50*((N('My Rota'!$D$6)+3)-1))+2+9,10),INDEX('2029'!$A:$Z,(5+50*((N('My Rota'!$D$6)+3)-1))+2+9,10),INDEX('2030'!$A:$Z,(5+50*((N('My Rota'!$D$6)+3)-1))+2+9,10)))</f>
        <v/>
      </c>
      <c r="K262">
        <f>IF(OR($B262="",(N('My Rota'!$D$6)+3)&gt;53),"",""&amp;CHOOSE(IFERROR(MATCH('My Rota'!$D$5,Setup!$K$33:$K$36,0),1),INDEX('2027'!$A:$Z,(5+50*((N('My Rota'!$D$6)+3)-1))+2+9,11),INDEX('2028'!$A:$Z,(5+50*((N('My Rota'!$D$6)+3)-1))+2+9,11),INDEX('2029'!$A:$Z,(5+50*((N('My Rota'!$D$6)+3)-1))+2+9,11),INDEX('2030'!$A:$Z,(5+50*((N('My Rota'!$D$6)+3)-1))+2+9,11)))</f>
        <v/>
      </c>
      <c r="L262">
        <f>IF(OR($B262="",(N('My Rota'!$D$6)+3)&gt;53),"",""&amp;CHOOSE(IFERROR(MATCH('My Rota'!$D$5,Setup!$K$33:$K$36,0),1),INDEX('2027'!$A:$Z,(5+50*((N('My Rota'!$D$6)+3)-1))+2+9,12),INDEX('2028'!$A:$Z,(5+50*((N('My Rota'!$D$6)+3)-1))+2+9,12),INDEX('2029'!$A:$Z,(5+50*((N('My Rota'!$D$6)+3)-1))+2+9,12),INDEX('2030'!$A:$Z,(5+50*((N('My Rota'!$D$6)+3)-1))+2+9,12)))</f>
        <v/>
      </c>
      <c r="M262">
        <f>IF(OR($B262="",(N('My Rota'!$D$6)+3)&gt;53),"",""&amp;CHOOSE(IFERROR(MATCH('My Rota'!$D$5,Setup!$K$33:$K$36,0),1),INDEX('2027'!$A:$Z,(5+50*((N('My Rota'!$D$6)+3)-1))+2+9,13),INDEX('2028'!$A:$Z,(5+50*((N('My Rota'!$D$6)+3)-1))+2+9,13),INDEX('2029'!$A:$Z,(5+50*((N('My Rota'!$D$6)+3)-1))+2+9,13),INDEX('2030'!$A:$Z,(5+50*((N('My Rota'!$D$6)+3)-1))+2+9,13)))</f>
        <v/>
      </c>
      <c r="N262">
        <f>IF(OR($B262="",(N('My Rota'!$D$6)+3)&gt;53),"",""&amp;CHOOSE(IFERROR(MATCH('My Rota'!$D$5,Setup!$K$33:$K$36,0),1),INDEX('2027'!$A:$Z,(5+50*((N('My Rota'!$D$6)+3)-1))+2+9,14),INDEX('2028'!$A:$Z,(5+50*((N('My Rota'!$D$6)+3)-1))+2+9,14),INDEX('2029'!$A:$Z,(5+50*((N('My Rota'!$D$6)+3)-1))+2+9,14),INDEX('2030'!$A:$Z,(5+50*((N('My Rota'!$D$6)+3)-1))+2+9,14)))</f>
        <v/>
      </c>
      <c r="O262">
        <f>IF(OR($B262="",(N('My Rota'!$D$6)+3)&gt;53),"",""&amp;CHOOSE(IFERROR(MATCH('My Rota'!$D$5,Setup!$K$33:$K$36,0),1),INDEX('2027'!$A:$Z,(5+50*((N('My Rota'!$D$6)+3)-1))+2+9,15),INDEX('2028'!$A:$Z,(5+50*((N('My Rota'!$D$6)+3)-1))+2+9,15),INDEX('2029'!$A:$Z,(5+50*((N('My Rota'!$D$6)+3)-1))+2+9,15),INDEX('2030'!$A:$Z,(5+50*((N('My Rota'!$D$6)+3)-1))+2+9,15)))</f>
        <v/>
      </c>
      <c r="P262">
        <f>IF(OR($B262="",(N('My Rota'!$D$6)+3)&gt;53),"",""&amp;CHOOSE(IFERROR(MATCH('My Rota'!$D$5,Setup!$K$33:$K$36,0),1),INDEX('2027'!$A:$Z,(5+50*((N('My Rota'!$D$6)+3)-1))+2+9,16),INDEX('2028'!$A:$Z,(5+50*((N('My Rota'!$D$6)+3)-1))+2+9,16),INDEX('2029'!$A:$Z,(5+50*((N('My Rota'!$D$6)+3)-1))+2+9,16),INDEX('2030'!$A:$Z,(5+50*((N('My Rota'!$D$6)+3)-1))+2+9,16)))</f>
        <v/>
      </c>
      <c r="Q262">
        <f>IF(OR($B262="",(N('My Rota'!$D$6)+3)&gt;53),"",""&amp;CHOOSE(IFERROR(MATCH('My Rota'!$D$5,Setup!$K$33:$K$36,0),1),INDEX('2027'!$A:$Z,(5+50*((N('My Rota'!$D$6)+3)-1))+2+9,17),INDEX('2028'!$A:$Z,(5+50*((N('My Rota'!$D$6)+3)-1))+2+9,17),INDEX('2029'!$A:$Z,(5+50*((N('My Rota'!$D$6)+3)-1))+2+9,17),INDEX('2030'!$A:$Z,(5+50*((N('My Rota'!$D$6)+3)-1))+2+9,17)))</f>
        <v/>
      </c>
      <c r="R262">
        <f>IF(OR($B262="",(N('My Rota'!$D$6)+3)&gt;53),"",""&amp;CHOOSE(IFERROR(MATCH('My Rota'!$D$5,Setup!$K$33:$K$36,0),1),INDEX('2027'!$A:$Z,(5+50*((N('My Rota'!$D$6)+3)-1))+2+9,18),INDEX('2028'!$A:$Z,(5+50*((N('My Rota'!$D$6)+3)-1))+2+9,18),INDEX('2029'!$A:$Z,(5+50*((N('My Rota'!$D$6)+3)-1))+2+9,18),INDEX('2030'!$A:$Z,(5+50*((N('My Rota'!$D$6)+3)-1))+2+9,18)))</f>
        <v/>
      </c>
      <c r="S262">
        <f>IF(OR($B262="",(N('My Rota'!$D$6)+3)&gt;53),"",""&amp;CHOOSE(IFERROR(MATCH('My Rota'!$D$5,Setup!$K$33:$K$36,0),1),INDEX('2027'!$A:$Z,(5+50*((N('My Rota'!$D$6)+3)-1))+2+9,19),INDEX('2028'!$A:$Z,(5+50*((N('My Rota'!$D$6)+3)-1))+2+9,19),INDEX('2029'!$A:$Z,(5+50*((N('My Rota'!$D$6)+3)-1))+2+9,19),INDEX('2030'!$A:$Z,(5+50*((N('My Rota'!$D$6)+3)-1))+2+9,19)))</f>
        <v/>
      </c>
      <c r="T262">
        <f>IF(OR($B262="",(N('My Rota'!$D$6)+3)&gt;53),"",""&amp;CHOOSE(IFERROR(MATCH('My Rota'!$D$5,Setup!$K$33:$K$36,0),1),INDEX('2027'!$A:$Z,(5+50*((N('My Rota'!$D$6)+3)-1))+2+9,20),INDEX('2028'!$A:$Z,(5+50*((N('My Rota'!$D$6)+3)-1))+2+9,20),INDEX('2029'!$A:$Z,(5+50*((N('My Rota'!$D$6)+3)-1))+2+9,20),INDEX('2030'!$A:$Z,(5+50*((N('My Rota'!$D$6)+3)-1))+2+9,20)))</f>
        <v/>
      </c>
      <c r="U262">
        <f>IF(OR($B262="",(N('My Rota'!$D$6)+3)&gt;53),"",""&amp;CHOOSE(IFERROR(MATCH('My Rota'!$D$5,Setup!$K$33:$K$36,0),1),INDEX('2027'!$A:$Z,(5+50*((N('My Rota'!$D$6)+3)-1))+2+9,21),INDEX('2028'!$A:$Z,(5+50*((N('My Rota'!$D$6)+3)-1))+2+9,21),INDEX('2029'!$A:$Z,(5+50*((N('My Rota'!$D$6)+3)-1))+2+9,21),INDEX('2030'!$A:$Z,(5+50*((N('My Rota'!$D$6)+3)-1))+2+9,21)))</f>
        <v/>
      </c>
      <c r="V262">
        <f>IF(OR($B262="",(N('My Rota'!$D$6)+3)&gt;53),"",""&amp;CHOOSE(IFERROR(MATCH('My Rota'!$D$5,Setup!$K$33:$K$36,0),1),INDEX('2027'!$A:$Z,(5+50*((N('My Rota'!$D$6)+3)-1))+2+9,22),INDEX('2028'!$A:$Z,(5+50*((N('My Rota'!$D$6)+3)-1))+2+9,22),INDEX('2029'!$A:$Z,(5+50*((N('My Rota'!$D$6)+3)-1))+2+9,22),INDEX('2030'!$A:$Z,(5+50*((N('My Rota'!$D$6)+3)-1))+2+9,22)))</f>
        <v/>
      </c>
      <c r="W262">
        <f>IF(OR($B262="",(N('My Rota'!$D$6)+3)&gt;53),"",""&amp;CHOOSE(IFERROR(MATCH('My Rota'!$D$5,Setup!$K$33:$K$36,0),1),INDEX('2027'!$A:$Z,(5+50*((N('My Rota'!$D$6)+3)-1))+2+9,23),INDEX('2028'!$A:$Z,(5+50*((N('My Rota'!$D$6)+3)-1))+2+9,23),INDEX('2029'!$A:$Z,(5+50*((N('My Rota'!$D$6)+3)-1))+2+9,23),INDEX('2030'!$A:$Z,(5+50*((N('My Rota'!$D$6)+3)-1))+2+9,23)))</f>
        <v/>
      </c>
      <c r="X262">
        <f>IF(OR($B262="",(N('My Rota'!$D$6)+3)&gt;53),"",""&amp;CHOOSE(IFERROR(MATCH('My Rota'!$D$5,Setup!$K$33:$K$36,0),1),INDEX('2027'!$A:$Z,(5+50*((N('My Rota'!$D$6)+3)-1))+2+9,24),INDEX('2028'!$A:$Z,(5+50*((N('My Rota'!$D$6)+3)-1))+2+9,24),INDEX('2029'!$A:$Z,(5+50*((N('My Rota'!$D$6)+3)-1))+2+9,24),INDEX('2030'!$A:$Z,(5+50*((N('My Rota'!$D$6)+3)-1))+2+9,24)))</f>
        <v/>
      </c>
      <c r="Y262">
        <f>IF(OR($B262="",(N('My Rota'!$D$6)+3)&gt;53),"",""&amp;CHOOSE(IFERROR(MATCH('My Rota'!$D$5,Setup!$K$33:$K$36,0),1),INDEX('2027'!$A:$Z,(5+50*((N('My Rota'!$D$6)+3)-1))+2+9,25),INDEX('2028'!$A:$Z,(5+50*((N('My Rota'!$D$6)+3)-1))+2+9,25),INDEX('2029'!$A:$Z,(5+50*((N('My Rota'!$D$6)+3)-1))+2+9,25),INDEX('2030'!$A:$Z,(5+50*((N('My Rota'!$D$6)+3)-1))+2+9,25)))</f>
        <v/>
      </c>
      <c r="Z262">
        <f>IF(OR($B262="",(N('My Rota'!$D$6)+3)&gt;53),"",""&amp;CHOOSE(IFERROR(MATCH('My Rota'!$D$5,Setup!$K$33:$K$36,0),1),INDEX('2027'!$A:$Z,(5+50*((N('My Rota'!$D$6)+3)-1))+2+9,26),INDEX('2028'!$A:$Z,(5+50*((N('My Rota'!$D$6)+3)-1))+2+9,26),INDEX('2029'!$A:$Z,(5+50*((N('My Rota'!$D$6)+3)-1))+2+9,26),INDEX('2030'!$A:$Z,(5+50*((N('My Rota'!$D$6)+3)-1))+2+9,26)))</f>
        <v/>
      </c>
    </row>
    <row r="263">
      <c r="A263" t="n">
        <v>4</v>
      </c>
      <c r="B263">
        <f>$B$56</f>
        <v/>
      </c>
      <c r="C263">
        <f>IF(OR($B263="",(N('My Rota'!$D$6)+3)&gt;53),"",""&amp;CHOOSE(IFERROR(MATCH('My Rota'!$D$5,Setup!$K$33:$K$36,0),1),INDEX('2027'!$A:$Z,(5+50*((N('My Rota'!$D$6)+3)-1))+2+10,3),INDEX('2028'!$A:$Z,(5+50*((N('My Rota'!$D$6)+3)-1))+2+10,3),INDEX('2029'!$A:$Z,(5+50*((N('My Rota'!$D$6)+3)-1))+2+10,3),INDEX('2030'!$A:$Z,(5+50*((N('My Rota'!$D$6)+3)-1))+2+10,3)))</f>
        <v/>
      </c>
      <c r="D263">
        <f>IF(OR($B263="",(N('My Rota'!$D$6)+3)&gt;53),"",""&amp;CHOOSE(IFERROR(MATCH('My Rota'!$D$5,Setup!$K$33:$K$36,0),1),INDEX('2027'!$A:$Z,(5+50*((N('My Rota'!$D$6)+3)-1))+2+10,4),INDEX('2028'!$A:$Z,(5+50*((N('My Rota'!$D$6)+3)-1))+2+10,4),INDEX('2029'!$A:$Z,(5+50*((N('My Rota'!$D$6)+3)-1))+2+10,4),INDEX('2030'!$A:$Z,(5+50*((N('My Rota'!$D$6)+3)-1))+2+10,4)))</f>
        <v/>
      </c>
      <c r="E263">
        <f>IF(OR($B263="",(N('My Rota'!$D$6)+3)&gt;53),"",""&amp;CHOOSE(IFERROR(MATCH('My Rota'!$D$5,Setup!$K$33:$K$36,0),1),INDEX('2027'!$A:$Z,(5+50*((N('My Rota'!$D$6)+3)-1))+2+10,5),INDEX('2028'!$A:$Z,(5+50*((N('My Rota'!$D$6)+3)-1))+2+10,5),INDEX('2029'!$A:$Z,(5+50*((N('My Rota'!$D$6)+3)-1))+2+10,5),INDEX('2030'!$A:$Z,(5+50*((N('My Rota'!$D$6)+3)-1))+2+10,5)))</f>
        <v/>
      </c>
      <c r="F263">
        <f>IF(OR($B263="",(N('My Rota'!$D$6)+3)&gt;53),"",""&amp;CHOOSE(IFERROR(MATCH('My Rota'!$D$5,Setup!$K$33:$K$36,0),1),INDEX('2027'!$A:$Z,(5+50*((N('My Rota'!$D$6)+3)-1))+2+10,6),INDEX('2028'!$A:$Z,(5+50*((N('My Rota'!$D$6)+3)-1))+2+10,6),INDEX('2029'!$A:$Z,(5+50*((N('My Rota'!$D$6)+3)-1))+2+10,6),INDEX('2030'!$A:$Z,(5+50*((N('My Rota'!$D$6)+3)-1))+2+10,6)))</f>
        <v/>
      </c>
      <c r="G263">
        <f>IF(OR($B263="",(N('My Rota'!$D$6)+3)&gt;53),"",""&amp;CHOOSE(IFERROR(MATCH('My Rota'!$D$5,Setup!$K$33:$K$36,0),1),INDEX('2027'!$A:$Z,(5+50*((N('My Rota'!$D$6)+3)-1))+2+10,7),INDEX('2028'!$A:$Z,(5+50*((N('My Rota'!$D$6)+3)-1))+2+10,7),INDEX('2029'!$A:$Z,(5+50*((N('My Rota'!$D$6)+3)-1))+2+10,7),INDEX('2030'!$A:$Z,(5+50*((N('My Rota'!$D$6)+3)-1))+2+10,7)))</f>
        <v/>
      </c>
      <c r="H263">
        <f>IF(OR($B263="",(N('My Rota'!$D$6)+3)&gt;53),"",""&amp;CHOOSE(IFERROR(MATCH('My Rota'!$D$5,Setup!$K$33:$K$36,0),1),INDEX('2027'!$A:$Z,(5+50*((N('My Rota'!$D$6)+3)-1))+2+10,8),INDEX('2028'!$A:$Z,(5+50*((N('My Rota'!$D$6)+3)-1))+2+10,8),INDEX('2029'!$A:$Z,(5+50*((N('My Rota'!$D$6)+3)-1))+2+10,8),INDEX('2030'!$A:$Z,(5+50*((N('My Rota'!$D$6)+3)-1))+2+10,8)))</f>
        <v/>
      </c>
      <c r="I263">
        <f>IF(OR($B263="",(N('My Rota'!$D$6)+3)&gt;53),"",""&amp;CHOOSE(IFERROR(MATCH('My Rota'!$D$5,Setup!$K$33:$K$36,0),1),INDEX('2027'!$A:$Z,(5+50*((N('My Rota'!$D$6)+3)-1))+2+10,9),INDEX('2028'!$A:$Z,(5+50*((N('My Rota'!$D$6)+3)-1))+2+10,9),INDEX('2029'!$A:$Z,(5+50*((N('My Rota'!$D$6)+3)-1))+2+10,9),INDEX('2030'!$A:$Z,(5+50*((N('My Rota'!$D$6)+3)-1))+2+10,9)))</f>
        <v/>
      </c>
      <c r="J263">
        <f>IF(OR($B263="",(N('My Rota'!$D$6)+3)&gt;53),"",""&amp;CHOOSE(IFERROR(MATCH('My Rota'!$D$5,Setup!$K$33:$K$36,0),1),INDEX('2027'!$A:$Z,(5+50*((N('My Rota'!$D$6)+3)-1))+2+10,10),INDEX('2028'!$A:$Z,(5+50*((N('My Rota'!$D$6)+3)-1))+2+10,10),INDEX('2029'!$A:$Z,(5+50*((N('My Rota'!$D$6)+3)-1))+2+10,10),INDEX('2030'!$A:$Z,(5+50*((N('My Rota'!$D$6)+3)-1))+2+10,10)))</f>
        <v/>
      </c>
      <c r="K263">
        <f>IF(OR($B263="",(N('My Rota'!$D$6)+3)&gt;53),"",""&amp;CHOOSE(IFERROR(MATCH('My Rota'!$D$5,Setup!$K$33:$K$36,0),1),INDEX('2027'!$A:$Z,(5+50*((N('My Rota'!$D$6)+3)-1))+2+10,11),INDEX('2028'!$A:$Z,(5+50*((N('My Rota'!$D$6)+3)-1))+2+10,11),INDEX('2029'!$A:$Z,(5+50*((N('My Rota'!$D$6)+3)-1))+2+10,11),INDEX('2030'!$A:$Z,(5+50*((N('My Rota'!$D$6)+3)-1))+2+10,11)))</f>
        <v/>
      </c>
      <c r="L263">
        <f>IF(OR($B263="",(N('My Rota'!$D$6)+3)&gt;53),"",""&amp;CHOOSE(IFERROR(MATCH('My Rota'!$D$5,Setup!$K$33:$K$36,0),1),INDEX('2027'!$A:$Z,(5+50*((N('My Rota'!$D$6)+3)-1))+2+10,12),INDEX('2028'!$A:$Z,(5+50*((N('My Rota'!$D$6)+3)-1))+2+10,12),INDEX('2029'!$A:$Z,(5+50*((N('My Rota'!$D$6)+3)-1))+2+10,12),INDEX('2030'!$A:$Z,(5+50*((N('My Rota'!$D$6)+3)-1))+2+10,12)))</f>
        <v/>
      </c>
      <c r="M263">
        <f>IF(OR($B263="",(N('My Rota'!$D$6)+3)&gt;53),"",""&amp;CHOOSE(IFERROR(MATCH('My Rota'!$D$5,Setup!$K$33:$K$36,0),1),INDEX('2027'!$A:$Z,(5+50*((N('My Rota'!$D$6)+3)-1))+2+10,13),INDEX('2028'!$A:$Z,(5+50*((N('My Rota'!$D$6)+3)-1))+2+10,13),INDEX('2029'!$A:$Z,(5+50*((N('My Rota'!$D$6)+3)-1))+2+10,13),INDEX('2030'!$A:$Z,(5+50*((N('My Rota'!$D$6)+3)-1))+2+10,13)))</f>
        <v/>
      </c>
      <c r="N263">
        <f>IF(OR($B263="",(N('My Rota'!$D$6)+3)&gt;53),"",""&amp;CHOOSE(IFERROR(MATCH('My Rota'!$D$5,Setup!$K$33:$K$36,0),1),INDEX('2027'!$A:$Z,(5+50*((N('My Rota'!$D$6)+3)-1))+2+10,14),INDEX('2028'!$A:$Z,(5+50*((N('My Rota'!$D$6)+3)-1))+2+10,14),INDEX('2029'!$A:$Z,(5+50*((N('My Rota'!$D$6)+3)-1))+2+10,14),INDEX('2030'!$A:$Z,(5+50*((N('My Rota'!$D$6)+3)-1))+2+10,14)))</f>
        <v/>
      </c>
      <c r="O263">
        <f>IF(OR($B263="",(N('My Rota'!$D$6)+3)&gt;53),"",""&amp;CHOOSE(IFERROR(MATCH('My Rota'!$D$5,Setup!$K$33:$K$36,0),1),INDEX('2027'!$A:$Z,(5+50*((N('My Rota'!$D$6)+3)-1))+2+10,15),INDEX('2028'!$A:$Z,(5+50*((N('My Rota'!$D$6)+3)-1))+2+10,15),INDEX('2029'!$A:$Z,(5+50*((N('My Rota'!$D$6)+3)-1))+2+10,15),INDEX('2030'!$A:$Z,(5+50*((N('My Rota'!$D$6)+3)-1))+2+10,15)))</f>
        <v/>
      </c>
      <c r="P263">
        <f>IF(OR($B263="",(N('My Rota'!$D$6)+3)&gt;53),"",""&amp;CHOOSE(IFERROR(MATCH('My Rota'!$D$5,Setup!$K$33:$K$36,0),1),INDEX('2027'!$A:$Z,(5+50*((N('My Rota'!$D$6)+3)-1))+2+10,16),INDEX('2028'!$A:$Z,(5+50*((N('My Rota'!$D$6)+3)-1))+2+10,16),INDEX('2029'!$A:$Z,(5+50*((N('My Rota'!$D$6)+3)-1))+2+10,16),INDEX('2030'!$A:$Z,(5+50*((N('My Rota'!$D$6)+3)-1))+2+10,16)))</f>
        <v/>
      </c>
      <c r="Q263">
        <f>IF(OR($B263="",(N('My Rota'!$D$6)+3)&gt;53),"",""&amp;CHOOSE(IFERROR(MATCH('My Rota'!$D$5,Setup!$K$33:$K$36,0),1),INDEX('2027'!$A:$Z,(5+50*((N('My Rota'!$D$6)+3)-1))+2+10,17),INDEX('2028'!$A:$Z,(5+50*((N('My Rota'!$D$6)+3)-1))+2+10,17),INDEX('2029'!$A:$Z,(5+50*((N('My Rota'!$D$6)+3)-1))+2+10,17),INDEX('2030'!$A:$Z,(5+50*((N('My Rota'!$D$6)+3)-1))+2+10,17)))</f>
        <v/>
      </c>
      <c r="R263">
        <f>IF(OR($B263="",(N('My Rota'!$D$6)+3)&gt;53),"",""&amp;CHOOSE(IFERROR(MATCH('My Rota'!$D$5,Setup!$K$33:$K$36,0),1),INDEX('2027'!$A:$Z,(5+50*((N('My Rota'!$D$6)+3)-1))+2+10,18),INDEX('2028'!$A:$Z,(5+50*((N('My Rota'!$D$6)+3)-1))+2+10,18),INDEX('2029'!$A:$Z,(5+50*((N('My Rota'!$D$6)+3)-1))+2+10,18),INDEX('2030'!$A:$Z,(5+50*((N('My Rota'!$D$6)+3)-1))+2+10,18)))</f>
        <v/>
      </c>
      <c r="S263">
        <f>IF(OR($B263="",(N('My Rota'!$D$6)+3)&gt;53),"",""&amp;CHOOSE(IFERROR(MATCH('My Rota'!$D$5,Setup!$K$33:$K$36,0),1),INDEX('2027'!$A:$Z,(5+50*((N('My Rota'!$D$6)+3)-1))+2+10,19),INDEX('2028'!$A:$Z,(5+50*((N('My Rota'!$D$6)+3)-1))+2+10,19),INDEX('2029'!$A:$Z,(5+50*((N('My Rota'!$D$6)+3)-1))+2+10,19),INDEX('2030'!$A:$Z,(5+50*((N('My Rota'!$D$6)+3)-1))+2+10,19)))</f>
        <v/>
      </c>
      <c r="T263">
        <f>IF(OR($B263="",(N('My Rota'!$D$6)+3)&gt;53),"",""&amp;CHOOSE(IFERROR(MATCH('My Rota'!$D$5,Setup!$K$33:$K$36,0),1),INDEX('2027'!$A:$Z,(5+50*((N('My Rota'!$D$6)+3)-1))+2+10,20),INDEX('2028'!$A:$Z,(5+50*((N('My Rota'!$D$6)+3)-1))+2+10,20),INDEX('2029'!$A:$Z,(5+50*((N('My Rota'!$D$6)+3)-1))+2+10,20),INDEX('2030'!$A:$Z,(5+50*((N('My Rota'!$D$6)+3)-1))+2+10,20)))</f>
        <v/>
      </c>
      <c r="U263">
        <f>IF(OR($B263="",(N('My Rota'!$D$6)+3)&gt;53),"",""&amp;CHOOSE(IFERROR(MATCH('My Rota'!$D$5,Setup!$K$33:$K$36,0),1),INDEX('2027'!$A:$Z,(5+50*((N('My Rota'!$D$6)+3)-1))+2+10,21),INDEX('2028'!$A:$Z,(5+50*((N('My Rota'!$D$6)+3)-1))+2+10,21),INDEX('2029'!$A:$Z,(5+50*((N('My Rota'!$D$6)+3)-1))+2+10,21),INDEX('2030'!$A:$Z,(5+50*((N('My Rota'!$D$6)+3)-1))+2+10,21)))</f>
        <v/>
      </c>
      <c r="V263">
        <f>IF(OR($B263="",(N('My Rota'!$D$6)+3)&gt;53),"",""&amp;CHOOSE(IFERROR(MATCH('My Rota'!$D$5,Setup!$K$33:$K$36,0),1),INDEX('2027'!$A:$Z,(5+50*((N('My Rota'!$D$6)+3)-1))+2+10,22),INDEX('2028'!$A:$Z,(5+50*((N('My Rota'!$D$6)+3)-1))+2+10,22),INDEX('2029'!$A:$Z,(5+50*((N('My Rota'!$D$6)+3)-1))+2+10,22),INDEX('2030'!$A:$Z,(5+50*((N('My Rota'!$D$6)+3)-1))+2+10,22)))</f>
        <v/>
      </c>
      <c r="W263">
        <f>IF(OR($B263="",(N('My Rota'!$D$6)+3)&gt;53),"",""&amp;CHOOSE(IFERROR(MATCH('My Rota'!$D$5,Setup!$K$33:$K$36,0),1),INDEX('2027'!$A:$Z,(5+50*((N('My Rota'!$D$6)+3)-1))+2+10,23),INDEX('2028'!$A:$Z,(5+50*((N('My Rota'!$D$6)+3)-1))+2+10,23),INDEX('2029'!$A:$Z,(5+50*((N('My Rota'!$D$6)+3)-1))+2+10,23),INDEX('2030'!$A:$Z,(5+50*((N('My Rota'!$D$6)+3)-1))+2+10,23)))</f>
        <v/>
      </c>
      <c r="X263">
        <f>IF(OR($B263="",(N('My Rota'!$D$6)+3)&gt;53),"",""&amp;CHOOSE(IFERROR(MATCH('My Rota'!$D$5,Setup!$K$33:$K$36,0),1),INDEX('2027'!$A:$Z,(5+50*((N('My Rota'!$D$6)+3)-1))+2+10,24),INDEX('2028'!$A:$Z,(5+50*((N('My Rota'!$D$6)+3)-1))+2+10,24),INDEX('2029'!$A:$Z,(5+50*((N('My Rota'!$D$6)+3)-1))+2+10,24),INDEX('2030'!$A:$Z,(5+50*((N('My Rota'!$D$6)+3)-1))+2+10,24)))</f>
        <v/>
      </c>
      <c r="Y263">
        <f>IF(OR($B263="",(N('My Rota'!$D$6)+3)&gt;53),"",""&amp;CHOOSE(IFERROR(MATCH('My Rota'!$D$5,Setup!$K$33:$K$36,0),1),INDEX('2027'!$A:$Z,(5+50*((N('My Rota'!$D$6)+3)-1))+2+10,25),INDEX('2028'!$A:$Z,(5+50*((N('My Rota'!$D$6)+3)-1))+2+10,25),INDEX('2029'!$A:$Z,(5+50*((N('My Rota'!$D$6)+3)-1))+2+10,25),INDEX('2030'!$A:$Z,(5+50*((N('My Rota'!$D$6)+3)-1))+2+10,25)))</f>
        <v/>
      </c>
      <c r="Z263">
        <f>IF(OR($B263="",(N('My Rota'!$D$6)+3)&gt;53),"",""&amp;CHOOSE(IFERROR(MATCH('My Rota'!$D$5,Setup!$K$33:$K$36,0),1),INDEX('2027'!$A:$Z,(5+50*((N('My Rota'!$D$6)+3)-1))+2+10,26),INDEX('2028'!$A:$Z,(5+50*((N('My Rota'!$D$6)+3)-1))+2+10,26),INDEX('2029'!$A:$Z,(5+50*((N('My Rota'!$D$6)+3)-1))+2+10,26),INDEX('2030'!$A:$Z,(5+50*((N('My Rota'!$D$6)+3)-1))+2+10,26)))</f>
        <v/>
      </c>
    </row>
    <row r="264">
      <c r="A264" t="n">
        <v>4</v>
      </c>
      <c r="B264">
        <f>$B$57</f>
        <v/>
      </c>
      <c r="C264">
        <f>IF(OR($B264="",(N('My Rota'!$D$6)+3)&gt;53),"",""&amp;CHOOSE(IFERROR(MATCH('My Rota'!$D$5,Setup!$K$33:$K$36,0),1),INDEX('2027'!$A:$Z,(5+50*((N('My Rota'!$D$6)+3)-1))+2+11,3),INDEX('2028'!$A:$Z,(5+50*((N('My Rota'!$D$6)+3)-1))+2+11,3),INDEX('2029'!$A:$Z,(5+50*((N('My Rota'!$D$6)+3)-1))+2+11,3),INDEX('2030'!$A:$Z,(5+50*((N('My Rota'!$D$6)+3)-1))+2+11,3)))</f>
        <v/>
      </c>
      <c r="D264">
        <f>IF(OR($B264="",(N('My Rota'!$D$6)+3)&gt;53),"",""&amp;CHOOSE(IFERROR(MATCH('My Rota'!$D$5,Setup!$K$33:$K$36,0),1),INDEX('2027'!$A:$Z,(5+50*((N('My Rota'!$D$6)+3)-1))+2+11,4),INDEX('2028'!$A:$Z,(5+50*((N('My Rota'!$D$6)+3)-1))+2+11,4),INDEX('2029'!$A:$Z,(5+50*((N('My Rota'!$D$6)+3)-1))+2+11,4),INDEX('2030'!$A:$Z,(5+50*((N('My Rota'!$D$6)+3)-1))+2+11,4)))</f>
        <v/>
      </c>
      <c r="E264">
        <f>IF(OR($B264="",(N('My Rota'!$D$6)+3)&gt;53),"",""&amp;CHOOSE(IFERROR(MATCH('My Rota'!$D$5,Setup!$K$33:$K$36,0),1),INDEX('2027'!$A:$Z,(5+50*((N('My Rota'!$D$6)+3)-1))+2+11,5),INDEX('2028'!$A:$Z,(5+50*((N('My Rota'!$D$6)+3)-1))+2+11,5),INDEX('2029'!$A:$Z,(5+50*((N('My Rota'!$D$6)+3)-1))+2+11,5),INDEX('2030'!$A:$Z,(5+50*((N('My Rota'!$D$6)+3)-1))+2+11,5)))</f>
        <v/>
      </c>
      <c r="F264">
        <f>IF(OR($B264="",(N('My Rota'!$D$6)+3)&gt;53),"",""&amp;CHOOSE(IFERROR(MATCH('My Rota'!$D$5,Setup!$K$33:$K$36,0),1),INDEX('2027'!$A:$Z,(5+50*((N('My Rota'!$D$6)+3)-1))+2+11,6),INDEX('2028'!$A:$Z,(5+50*((N('My Rota'!$D$6)+3)-1))+2+11,6),INDEX('2029'!$A:$Z,(5+50*((N('My Rota'!$D$6)+3)-1))+2+11,6),INDEX('2030'!$A:$Z,(5+50*((N('My Rota'!$D$6)+3)-1))+2+11,6)))</f>
        <v/>
      </c>
      <c r="G264">
        <f>IF(OR($B264="",(N('My Rota'!$D$6)+3)&gt;53),"",""&amp;CHOOSE(IFERROR(MATCH('My Rota'!$D$5,Setup!$K$33:$K$36,0),1),INDEX('2027'!$A:$Z,(5+50*((N('My Rota'!$D$6)+3)-1))+2+11,7),INDEX('2028'!$A:$Z,(5+50*((N('My Rota'!$D$6)+3)-1))+2+11,7),INDEX('2029'!$A:$Z,(5+50*((N('My Rota'!$D$6)+3)-1))+2+11,7),INDEX('2030'!$A:$Z,(5+50*((N('My Rota'!$D$6)+3)-1))+2+11,7)))</f>
        <v/>
      </c>
      <c r="H264">
        <f>IF(OR($B264="",(N('My Rota'!$D$6)+3)&gt;53),"",""&amp;CHOOSE(IFERROR(MATCH('My Rota'!$D$5,Setup!$K$33:$K$36,0),1),INDEX('2027'!$A:$Z,(5+50*((N('My Rota'!$D$6)+3)-1))+2+11,8),INDEX('2028'!$A:$Z,(5+50*((N('My Rota'!$D$6)+3)-1))+2+11,8),INDEX('2029'!$A:$Z,(5+50*((N('My Rota'!$D$6)+3)-1))+2+11,8),INDEX('2030'!$A:$Z,(5+50*((N('My Rota'!$D$6)+3)-1))+2+11,8)))</f>
        <v/>
      </c>
      <c r="I264">
        <f>IF(OR($B264="",(N('My Rota'!$D$6)+3)&gt;53),"",""&amp;CHOOSE(IFERROR(MATCH('My Rota'!$D$5,Setup!$K$33:$K$36,0),1),INDEX('2027'!$A:$Z,(5+50*((N('My Rota'!$D$6)+3)-1))+2+11,9),INDEX('2028'!$A:$Z,(5+50*((N('My Rota'!$D$6)+3)-1))+2+11,9),INDEX('2029'!$A:$Z,(5+50*((N('My Rota'!$D$6)+3)-1))+2+11,9),INDEX('2030'!$A:$Z,(5+50*((N('My Rota'!$D$6)+3)-1))+2+11,9)))</f>
        <v/>
      </c>
      <c r="J264">
        <f>IF(OR($B264="",(N('My Rota'!$D$6)+3)&gt;53),"",""&amp;CHOOSE(IFERROR(MATCH('My Rota'!$D$5,Setup!$K$33:$K$36,0),1),INDEX('2027'!$A:$Z,(5+50*((N('My Rota'!$D$6)+3)-1))+2+11,10),INDEX('2028'!$A:$Z,(5+50*((N('My Rota'!$D$6)+3)-1))+2+11,10),INDEX('2029'!$A:$Z,(5+50*((N('My Rota'!$D$6)+3)-1))+2+11,10),INDEX('2030'!$A:$Z,(5+50*((N('My Rota'!$D$6)+3)-1))+2+11,10)))</f>
        <v/>
      </c>
      <c r="K264">
        <f>IF(OR($B264="",(N('My Rota'!$D$6)+3)&gt;53),"",""&amp;CHOOSE(IFERROR(MATCH('My Rota'!$D$5,Setup!$K$33:$K$36,0),1),INDEX('2027'!$A:$Z,(5+50*((N('My Rota'!$D$6)+3)-1))+2+11,11),INDEX('2028'!$A:$Z,(5+50*((N('My Rota'!$D$6)+3)-1))+2+11,11),INDEX('2029'!$A:$Z,(5+50*((N('My Rota'!$D$6)+3)-1))+2+11,11),INDEX('2030'!$A:$Z,(5+50*((N('My Rota'!$D$6)+3)-1))+2+11,11)))</f>
        <v/>
      </c>
      <c r="L264">
        <f>IF(OR($B264="",(N('My Rota'!$D$6)+3)&gt;53),"",""&amp;CHOOSE(IFERROR(MATCH('My Rota'!$D$5,Setup!$K$33:$K$36,0),1),INDEX('2027'!$A:$Z,(5+50*((N('My Rota'!$D$6)+3)-1))+2+11,12),INDEX('2028'!$A:$Z,(5+50*((N('My Rota'!$D$6)+3)-1))+2+11,12),INDEX('2029'!$A:$Z,(5+50*((N('My Rota'!$D$6)+3)-1))+2+11,12),INDEX('2030'!$A:$Z,(5+50*((N('My Rota'!$D$6)+3)-1))+2+11,12)))</f>
        <v/>
      </c>
      <c r="M264">
        <f>IF(OR($B264="",(N('My Rota'!$D$6)+3)&gt;53),"",""&amp;CHOOSE(IFERROR(MATCH('My Rota'!$D$5,Setup!$K$33:$K$36,0),1),INDEX('2027'!$A:$Z,(5+50*((N('My Rota'!$D$6)+3)-1))+2+11,13),INDEX('2028'!$A:$Z,(5+50*((N('My Rota'!$D$6)+3)-1))+2+11,13),INDEX('2029'!$A:$Z,(5+50*((N('My Rota'!$D$6)+3)-1))+2+11,13),INDEX('2030'!$A:$Z,(5+50*((N('My Rota'!$D$6)+3)-1))+2+11,13)))</f>
        <v/>
      </c>
      <c r="N264">
        <f>IF(OR($B264="",(N('My Rota'!$D$6)+3)&gt;53),"",""&amp;CHOOSE(IFERROR(MATCH('My Rota'!$D$5,Setup!$K$33:$K$36,0),1),INDEX('2027'!$A:$Z,(5+50*((N('My Rota'!$D$6)+3)-1))+2+11,14),INDEX('2028'!$A:$Z,(5+50*((N('My Rota'!$D$6)+3)-1))+2+11,14),INDEX('2029'!$A:$Z,(5+50*((N('My Rota'!$D$6)+3)-1))+2+11,14),INDEX('2030'!$A:$Z,(5+50*((N('My Rota'!$D$6)+3)-1))+2+11,14)))</f>
        <v/>
      </c>
      <c r="O264">
        <f>IF(OR($B264="",(N('My Rota'!$D$6)+3)&gt;53),"",""&amp;CHOOSE(IFERROR(MATCH('My Rota'!$D$5,Setup!$K$33:$K$36,0),1),INDEX('2027'!$A:$Z,(5+50*((N('My Rota'!$D$6)+3)-1))+2+11,15),INDEX('2028'!$A:$Z,(5+50*((N('My Rota'!$D$6)+3)-1))+2+11,15),INDEX('2029'!$A:$Z,(5+50*((N('My Rota'!$D$6)+3)-1))+2+11,15),INDEX('2030'!$A:$Z,(5+50*((N('My Rota'!$D$6)+3)-1))+2+11,15)))</f>
        <v/>
      </c>
      <c r="P264">
        <f>IF(OR($B264="",(N('My Rota'!$D$6)+3)&gt;53),"",""&amp;CHOOSE(IFERROR(MATCH('My Rota'!$D$5,Setup!$K$33:$K$36,0),1),INDEX('2027'!$A:$Z,(5+50*((N('My Rota'!$D$6)+3)-1))+2+11,16),INDEX('2028'!$A:$Z,(5+50*((N('My Rota'!$D$6)+3)-1))+2+11,16),INDEX('2029'!$A:$Z,(5+50*((N('My Rota'!$D$6)+3)-1))+2+11,16),INDEX('2030'!$A:$Z,(5+50*((N('My Rota'!$D$6)+3)-1))+2+11,16)))</f>
        <v/>
      </c>
      <c r="Q264">
        <f>IF(OR($B264="",(N('My Rota'!$D$6)+3)&gt;53),"",""&amp;CHOOSE(IFERROR(MATCH('My Rota'!$D$5,Setup!$K$33:$K$36,0),1),INDEX('2027'!$A:$Z,(5+50*((N('My Rota'!$D$6)+3)-1))+2+11,17),INDEX('2028'!$A:$Z,(5+50*((N('My Rota'!$D$6)+3)-1))+2+11,17),INDEX('2029'!$A:$Z,(5+50*((N('My Rota'!$D$6)+3)-1))+2+11,17),INDEX('2030'!$A:$Z,(5+50*((N('My Rota'!$D$6)+3)-1))+2+11,17)))</f>
        <v/>
      </c>
      <c r="R264">
        <f>IF(OR($B264="",(N('My Rota'!$D$6)+3)&gt;53),"",""&amp;CHOOSE(IFERROR(MATCH('My Rota'!$D$5,Setup!$K$33:$K$36,0),1),INDEX('2027'!$A:$Z,(5+50*((N('My Rota'!$D$6)+3)-1))+2+11,18),INDEX('2028'!$A:$Z,(5+50*((N('My Rota'!$D$6)+3)-1))+2+11,18),INDEX('2029'!$A:$Z,(5+50*((N('My Rota'!$D$6)+3)-1))+2+11,18),INDEX('2030'!$A:$Z,(5+50*((N('My Rota'!$D$6)+3)-1))+2+11,18)))</f>
        <v/>
      </c>
      <c r="S264">
        <f>IF(OR($B264="",(N('My Rota'!$D$6)+3)&gt;53),"",""&amp;CHOOSE(IFERROR(MATCH('My Rota'!$D$5,Setup!$K$33:$K$36,0),1),INDEX('2027'!$A:$Z,(5+50*((N('My Rota'!$D$6)+3)-1))+2+11,19),INDEX('2028'!$A:$Z,(5+50*((N('My Rota'!$D$6)+3)-1))+2+11,19),INDEX('2029'!$A:$Z,(5+50*((N('My Rota'!$D$6)+3)-1))+2+11,19),INDEX('2030'!$A:$Z,(5+50*((N('My Rota'!$D$6)+3)-1))+2+11,19)))</f>
        <v/>
      </c>
      <c r="T264">
        <f>IF(OR($B264="",(N('My Rota'!$D$6)+3)&gt;53),"",""&amp;CHOOSE(IFERROR(MATCH('My Rota'!$D$5,Setup!$K$33:$K$36,0),1),INDEX('2027'!$A:$Z,(5+50*((N('My Rota'!$D$6)+3)-1))+2+11,20),INDEX('2028'!$A:$Z,(5+50*((N('My Rota'!$D$6)+3)-1))+2+11,20),INDEX('2029'!$A:$Z,(5+50*((N('My Rota'!$D$6)+3)-1))+2+11,20),INDEX('2030'!$A:$Z,(5+50*((N('My Rota'!$D$6)+3)-1))+2+11,20)))</f>
        <v/>
      </c>
      <c r="U264">
        <f>IF(OR($B264="",(N('My Rota'!$D$6)+3)&gt;53),"",""&amp;CHOOSE(IFERROR(MATCH('My Rota'!$D$5,Setup!$K$33:$K$36,0),1),INDEX('2027'!$A:$Z,(5+50*((N('My Rota'!$D$6)+3)-1))+2+11,21),INDEX('2028'!$A:$Z,(5+50*((N('My Rota'!$D$6)+3)-1))+2+11,21),INDEX('2029'!$A:$Z,(5+50*((N('My Rota'!$D$6)+3)-1))+2+11,21),INDEX('2030'!$A:$Z,(5+50*((N('My Rota'!$D$6)+3)-1))+2+11,21)))</f>
        <v/>
      </c>
      <c r="V264">
        <f>IF(OR($B264="",(N('My Rota'!$D$6)+3)&gt;53),"",""&amp;CHOOSE(IFERROR(MATCH('My Rota'!$D$5,Setup!$K$33:$K$36,0),1),INDEX('2027'!$A:$Z,(5+50*((N('My Rota'!$D$6)+3)-1))+2+11,22),INDEX('2028'!$A:$Z,(5+50*((N('My Rota'!$D$6)+3)-1))+2+11,22),INDEX('2029'!$A:$Z,(5+50*((N('My Rota'!$D$6)+3)-1))+2+11,22),INDEX('2030'!$A:$Z,(5+50*((N('My Rota'!$D$6)+3)-1))+2+11,22)))</f>
        <v/>
      </c>
      <c r="W264">
        <f>IF(OR($B264="",(N('My Rota'!$D$6)+3)&gt;53),"",""&amp;CHOOSE(IFERROR(MATCH('My Rota'!$D$5,Setup!$K$33:$K$36,0),1),INDEX('2027'!$A:$Z,(5+50*((N('My Rota'!$D$6)+3)-1))+2+11,23),INDEX('2028'!$A:$Z,(5+50*((N('My Rota'!$D$6)+3)-1))+2+11,23),INDEX('2029'!$A:$Z,(5+50*((N('My Rota'!$D$6)+3)-1))+2+11,23),INDEX('2030'!$A:$Z,(5+50*((N('My Rota'!$D$6)+3)-1))+2+11,23)))</f>
        <v/>
      </c>
      <c r="X264">
        <f>IF(OR($B264="",(N('My Rota'!$D$6)+3)&gt;53),"",""&amp;CHOOSE(IFERROR(MATCH('My Rota'!$D$5,Setup!$K$33:$K$36,0),1),INDEX('2027'!$A:$Z,(5+50*((N('My Rota'!$D$6)+3)-1))+2+11,24),INDEX('2028'!$A:$Z,(5+50*((N('My Rota'!$D$6)+3)-1))+2+11,24),INDEX('2029'!$A:$Z,(5+50*((N('My Rota'!$D$6)+3)-1))+2+11,24),INDEX('2030'!$A:$Z,(5+50*((N('My Rota'!$D$6)+3)-1))+2+11,24)))</f>
        <v/>
      </c>
      <c r="Y264">
        <f>IF(OR($B264="",(N('My Rota'!$D$6)+3)&gt;53),"",""&amp;CHOOSE(IFERROR(MATCH('My Rota'!$D$5,Setup!$K$33:$K$36,0),1),INDEX('2027'!$A:$Z,(5+50*((N('My Rota'!$D$6)+3)-1))+2+11,25),INDEX('2028'!$A:$Z,(5+50*((N('My Rota'!$D$6)+3)-1))+2+11,25),INDEX('2029'!$A:$Z,(5+50*((N('My Rota'!$D$6)+3)-1))+2+11,25),INDEX('2030'!$A:$Z,(5+50*((N('My Rota'!$D$6)+3)-1))+2+11,25)))</f>
        <v/>
      </c>
      <c r="Z264">
        <f>IF(OR($B264="",(N('My Rota'!$D$6)+3)&gt;53),"",""&amp;CHOOSE(IFERROR(MATCH('My Rota'!$D$5,Setup!$K$33:$K$36,0),1),INDEX('2027'!$A:$Z,(5+50*((N('My Rota'!$D$6)+3)-1))+2+11,26),INDEX('2028'!$A:$Z,(5+50*((N('My Rota'!$D$6)+3)-1))+2+11,26),INDEX('2029'!$A:$Z,(5+50*((N('My Rota'!$D$6)+3)-1))+2+11,26),INDEX('2030'!$A:$Z,(5+50*((N('My Rota'!$D$6)+3)-1))+2+11,26)))</f>
        <v/>
      </c>
    </row>
    <row r="265">
      <c r="A265" t="n">
        <v>4</v>
      </c>
      <c r="B265">
        <f>$B$58</f>
        <v/>
      </c>
      <c r="C265">
        <f>IF(OR($B265="",(N('My Rota'!$D$6)+3)&gt;53),"",""&amp;CHOOSE(IFERROR(MATCH('My Rota'!$D$5,Setup!$K$33:$K$36,0),1),INDEX('2027'!$A:$Z,(5+50*((N('My Rota'!$D$6)+3)-1))+2+12,3),INDEX('2028'!$A:$Z,(5+50*((N('My Rota'!$D$6)+3)-1))+2+12,3),INDEX('2029'!$A:$Z,(5+50*((N('My Rota'!$D$6)+3)-1))+2+12,3),INDEX('2030'!$A:$Z,(5+50*((N('My Rota'!$D$6)+3)-1))+2+12,3)))</f>
        <v/>
      </c>
      <c r="D265">
        <f>IF(OR($B265="",(N('My Rota'!$D$6)+3)&gt;53),"",""&amp;CHOOSE(IFERROR(MATCH('My Rota'!$D$5,Setup!$K$33:$K$36,0),1),INDEX('2027'!$A:$Z,(5+50*((N('My Rota'!$D$6)+3)-1))+2+12,4),INDEX('2028'!$A:$Z,(5+50*((N('My Rota'!$D$6)+3)-1))+2+12,4),INDEX('2029'!$A:$Z,(5+50*((N('My Rota'!$D$6)+3)-1))+2+12,4),INDEX('2030'!$A:$Z,(5+50*((N('My Rota'!$D$6)+3)-1))+2+12,4)))</f>
        <v/>
      </c>
      <c r="E265">
        <f>IF(OR($B265="",(N('My Rota'!$D$6)+3)&gt;53),"",""&amp;CHOOSE(IFERROR(MATCH('My Rota'!$D$5,Setup!$K$33:$K$36,0),1),INDEX('2027'!$A:$Z,(5+50*((N('My Rota'!$D$6)+3)-1))+2+12,5),INDEX('2028'!$A:$Z,(5+50*((N('My Rota'!$D$6)+3)-1))+2+12,5),INDEX('2029'!$A:$Z,(5+50*((N('My Rota'!$D$6)+3)-1))+2+12,5),INDEX('2030'!$A:$Z,(5+50*((N('My Rota'!$D$6)+3)-1))+2+12,5)))</f>
        <v/>
      </c>
      <c r="F265">
        <f>IF(OR($B265="",(N('My Rota'!$D$6)+3)&gt;53),"",""&amp;CHOOSE(IFERROR(MATCH('My Rota'!$D$5,Setup!$K$33:$K$36,0),1),INDEX('2027'!$A:$Z,(5+50*((N('My Rota'!$D$6)+3)-1))+2+12,6),INDEX('2028'!$A:$Z,(5+50*((N('My Rota'!$D$6)+3)-1))+2+12,6),INDEX('2029'!$A:$Z,(5+50*((N('My Rota'!$D$6)+3)-1))+2+12,6),INDEX('2030'!$A:$Z,(5+50*((N('My Rota'!$D$6)+3)-1))+2+12,6)))</f>
        <v/>
      </c>
      <c r="G265">
        <f>IF(OR($B265="",(N('My Rota'!$D$6)+3)&gt;53),"",""&amp;CHOOSE(IFERROR(MATCH('My Rota'!$D$5,Setup!$K$33:$K$36,0),1),INDEX('2027'!$A:$Z,(5+50*((N('My Rota'!$D$6)+3)-1))+2+12,7),INDEX('2028'!$A:$Z,(5+50*((N('My Rota'!$D$6)+3)-1))+2+12,7),INDEX('2029'!$A:$Z,(5+50*((N('My Rota'!$D$6)+3)-1))+2+12,7),INDEX('2030'!$A:$Z,(5+50*((N('My Rota'!$D$6)+3)-1))+2+12,7)))</f>
        <v/>
      </c>
      <c r="H265">
        <f>IF(OR($B265="",(N('My Rota'!$D$6)+3)&gt;53),"",""&amp;CHOOSE(IFERROR(MATCH('My Rota'!$D$5,Setup!$K$33:$K$36,0),1),INDEX('2027'!$A:$Z,(5+50*((N('My Rota'!$D$6)+3)-1))+2+12,8),INDEX('2028'!$A:$Z,(5+50*((N('My Rota'!$D$6)+3)-1))+2+12,8),INDEX('2029'!$A:$Z,(5+50*((N('My Rota'!$D$6)+3)-1))+2+12,8),INDEX('2030'!$A:$Z,(5+50*((N('My Rota'!$D$6)+3)-1))+2+12,8)))</f>
        <v/>
      </c>
      <c r="I265">
        <f>IF(OR($B265="",(N('My Rota'!$D$6)+3)&gt;53),"",""&amp;CHOOSE(IFERROR(MATCH('My Rota'!$D$5,Setup!$K$33:$K$36,0),1),INDEX('2027'!$A:$Z,(5+50*((N('My Rota'!$D$6)+3)-1))+2+12,9),INDEX('2028'!$A:$Z,(5+50*((N('My Rota'!$D$6)+3)-1))+2+12,9),INDEX('2029'!$A:$Z,(5+50*((N('My Rota'!$D$6)+3)-1))+2+12,9),INDEX('2030'!$A:$Z,(5+50*((N('My Rota'!$D$6)+3)-1))+2+12,9)))</f>
        <v/>
      </c>
      <c r="J265">
        <f>IF(OR($B265="",(N('My Rota'!$D$6)+3)&gt;53),"",""&amp;CHOOSE(IFERROR(MATCH('My Rota'!$D$5,Setup!$K$33:$K$36,0),1),INDEX('2027'!$A:$Z,(5+50*((N('My Rota'!$D$6)+3)-1))+2+12,10),INDEX('2028'!$A:$Z,(5+50*((N('My Rota'!$D$6)+3)-1))+2+12,10),INDEX('2029'!$A:$Z,(5+50*((N('My Rota'!$D$6)+3)-1))+2+12,10),INDEX('2030'!$A:$Z,(5+50*((N('My Rota'!$D$6)+3)-1))+2+12,10)))</f>
        <v/>
      </c>
      <c r="K265">
        <f>IF(OR($B265="",(N('My Rota'!$D$6)+3)&gt;53),"",""&amp;CHOOSE(IFERROR(MATCH('My Rota'!$D$5,Setup!$K$33:$K$36,0),1),INDEX('2027'!$A:$Z,(5+50*((N('My Rota'!$D$6)+3)-1))+2+12,11),INDEX('2028'!$A:$Z,(5+50*((N('My Rota'!$D$6)+3)-1))+2+12,11),INDEX('2029'!$A:$Z,(5+50*((N('My Rota'!$D$6)+3)-1))+2+12,11),INDEX('2030'!$A:$Z,(5+50*((N('My Rota'!$D$6)+3)-1))+2+12,11)))</f>
        <v/>
      </c>
      <c r="L265">
        <f>IF(OR($B265="",(N('My Rota'!$D$6)+3)&gt;53),"",""&amp;CHOOSE(IFERROR(MATCH('My Rota'!$D$5,Setup!$K$33:$K$36,0),1),INDEX('2027'!$A:$Z,(5+50*((N('My Rota'!$D$6)+3)-1))+2+12,12),INDEX('2028'!$A:$Z,(5+50*((N('My Rota'!$D$6)+3)-1))+2+12,12),INDEX('2029'!$A:$Z,(5+50*((N('My Rota'!$D$6)+3)-1))+2+12,12),INDEX('2030'!$A:$Z,(5+50*((N('My Rota'!$D$6)+3)-1))+2+12,12)))</f>
        <v/>
      </c>
      <c r="M265">
        <f>IF(OR($B265="",(N('My Rota'!$D$6)+3)&gt;53),"",""&amp;CHOOSE(IFERROR(MATCH('My Rota'!$D$5,Setup!$K$33:$K$36,0),1),INDEX('2027'!$A:$Z,(5+50*((N('My Rota'!$D$6)+3)-1))+2+12,13),INDEX('2028'!$A:$Z,(5+50*((N('My Rota'!$D$6)+3)-1))+2+12,13),INDEX('2029'!$A:$Z,(5+50*((N('My Rota'!$D$6)+3)-1))+2+12,13),INDEX('2030'!$A:$Z,(5+50*((N('My Rota'!$D$6)+3)-1))+2+12,13)))</f>
        <v/>
      </c>
      <c r="N265">
        <f>IF(OR($B265="",(N('My Rota'!$D$6)+3)&gt;53),"",""&amp;CHOOSE(IFERROR(MATCH('My Rota'!$D$5,Setup!$K$33:$K$36,0),1),INDEX('2027'!$A:$Z,(5+50*((N('My Rota'!$D$6)+3)-1))+2+12,14),INDEX('2028'!$A:$Z,(5+50*((N('My Rota'!$D$6)+3)-1))+2+12,14),INDEX('2029'!$A:$Z,(5+50*((N('My Rota'!$D$6)+3)-1))+2+12,14),INDEX('2030'!$A:$Z,(5+50*((N('My Rota'!$D$6)+3)-1))+2+12,14)))</f>
        <v/>
      </c>
      <c r="O265">
        <f>IF(OR($B265="",(N('My Rota'!$D$6)+3)&gt;53),"",""&amp;CHOOSE(IFERROR(MATCH('My Rota'!$D$5,Setup!$K$33:$K$36,0),1),INDEX('2027'!$A:$Z,(5+50*((N('My Rota'!$D$6)+3)-1))+2+12,15),INDEX('2028'!$A:$Z,(5+50*((N('My Rota'!$D$6)+3)-1))+2+12,15),INDEX('2029'!$A:$Z,(5+50*((N('My Rota'!$D$6)+3)-1))+2+12,15),INDEX('2030'!$A:$Z,(5+50*((N('My Rota'!$D$6)+3)-1))+2+12,15)))</f>
        <v/>
      </c>
      <c r="P265">
        <f>IF(OR($B265="",(N('My Rota'!$D$6)+3)&gt;53),"",""&amp;CHOOSE(IFERROR(MATCH('My Rota'!$D$5,Setup!$K$33:$K$36,0),1),INDEX('2027'!$A:$Z,(5+50*((N('My Rota'!$D$6)+3)-1))+2+12,16),INDEX('2028'!$A:$Z,(5+50*((N('My Rota'!$D$6)+3)-1))+2+12,16),INDEX('2029'!$A:$Z,(5+50*((N('My Rota'!$D$6)+3)-1))+2+12,16),INDEX('2030'!$A:$Z,(5+50*((N('My Rota'!$D$6)+3)-1))+2+12,16)))</f>
        <v/>
      </c>
      <c r="Q265">
        <f>IF(OR($B265="",(N('My Rota'!$D$6)+3)&gt;53),"",""&amp;CHOOSE(IFERROR(MATCH('My Rota'!$D$5,Setup!$K$33:$K$36,0),1),INDEX('2027'!$A:$Z,(5+50*((N('My Rota'!$D$6)+3)-1))+2+12,17),INDEX('2028'!$A:$Z,(5+50*((N('My Rota'!$D$6)+3)-1))+2+12,17),INDEX('2029'!$A:$Z,(5+50*((N('My Rota'!$D$6)+3)-1))+2+12,17),INDEX('2030'!$A:$Z,(5+50*((N('My Rota'!$D$6)+3)-1))+2+12,17)))</f>
        <v/>
      </c>
      <c r="R265">
        <f>IF(OR($B265="",(N('My Rota'!$D$6)+3)&gt;53),"",""&amp;CHOOSE(IFERROR(MATCH('My Rota'!$D$5,Setup!$K$33:$K$36,0),1),INDEX('2027'!$A:$Z,(5+50*((N('My Rota'!$D$6)+3)-1))+2+12,18),INDEX('2028'!$A:$Z,(5+50*((N('My Rota'!$D$6)+3)-1))+2+12,18),INDEX('2029'!$A:$Z,(5+50*((N('My Rota'!$D$6)+3)-1))+2+12,18),INDEX('2030'!$A:$Z,(5+50*((N('My Rota'!$D$6)+3)-1))+2+12,18)))</f>
        <v/>
      </c>
      <c r="S265">
        <f>IF(OR($B265="",(N('My Rota'!$D$6)+3)&gt;53),"",""&amp;CHOOSE(IFERROR(MATCH('My Rota'!$D$5,Setup!$K$33:$K$36,0),1),INDEX('2027'!$A:$Z,(5+50*((N('My Rota'!$D$6)+3)-1))+2+12,19),INDEX('2028'!$A:$Z,(5+50*((N('My Rota'!$D$6)+3)-1))+2+12,19),INDEX('2029'!$A:$Z,(5+50*((N('My Rota'!$D$6)+3)-1))+2+12,19),INDEX('2030'!$A:$Z,(5+50*((N('My Rota'!$D$6)+3)-1))+2+12,19)))</f>
        <v/>
      </c>
      <c r="T265">
        <f>IF(OR($B265="",(N('My Rota'!$D$6)+3)&gt;53),"",""&amp;CHOOSE(IFERROR(MATCH('My Rota'!$D$5,Setup!$K$33:$K$36,0),1),INDEX('2027'!$A:$Z,(5+50*((N('My Rota'!$D$6)+3)-1))+2+12,20),INDEX('2028'!$A:$Z,(5+50*((N('My Rota'!$D$6)+3)-1))+2+12,20),INDEX('2029'!$A:$Z,(5+50*((N('My Rota'!$D$6)+3)-1))+2+12,20),INDEX('2030'!$A:$Z,(5+50*((N('My Rota'!$D$6)+3)-1))+2+12,20)))</f>
        <v/>
      </c>
      <c r="U265">
        <f>IF(OR($B265="",(N('My Rota'!$D$6)+3)&gt;53),"",""&amp;CHOOSE(IFERROR(MATCH('My Rota'!$D$5,Setup!$K$33:$K$36,0),1),INDEX('2027'!$A:$Z,(5+50*((N('My Rota'!$D$6)+3)-1))+2+12,21),INDEX('2028'!$A:$Z,(5+50*((N('My Rota'!$D$6)+3)-1))+2+12,21),INDEX('2029'!$A:$Z,(5+50*((N('My Rota'!$D$6)+3)-1))+2+12,21),INDEX('2030'!$A:$Z,(5+50*((N('My Rota'!$D$6)+3)-1))+2+12,21)))</f>
        <v/>
      </c>
      <c r="V265">
        <f>IF(OR($B265="",(N('My Rota'!$D$6)+3)&gt;53),"",""&amp;CHOOSE(IFERROR(MATCH('My Rota'!$D$5,Setup!$K$33:$K$36,0),1),INDEX('2027'!$A:$Z,(5+50*((N('My Rota'!$D$6)+3)-1))+2+12,22),INDEX('2028'!$A:$Z,(5+50*((N('My Rota'!$D$6)+3)-1))+2+12,22),INDEX('2029'!$A:$Z,(5+50*((N('My Rota'!$D$6)+3)-1))+2+12,22),INDEX('2030'!$A:$Z,(5+50*((N('My Rota'!$D$6)+3)-1))+2+12,22)))</f>
        <v/>
      </c>
      <c r="W265">
        <f>IF(OR($B265="",(N('My Rota'!$D$6)+3)&gt;53),"",""&amp;CHOOSE(IFERROR(MATCH('My Rota'!$D$5,Setup!$K$33:$K$36,0),1),INDEX('2027'!$A:$Z,(5+50*((N('My Rota'!$D$6)+3)-1))+2+12,23),INDEX('2028'!$A:$Z,(5+50*((N('My Rota'!$D$6)+3)-1))+2+12,23),INDEX('2029'!$A:$Z,(5+50*((N('My Rota'!$D$6)+3)-1))+2+12,23),INDEX('2030'!$A:$Z,(5+50*((N('My Rota'!$D$6)+3)-1))+2+12,23)))</f>
        <v/>
      </c>
      <c r="X265">
        <f>IF(OR($B265="",(N('My Rota'!$D$6)+3)&gt;53),"",""&amp;CHOOSE(IFERROR(MATCH('My Rota'!$D$5,Setup!$K$33:$K$36,0),1),INDEX('2027'!$A:$Z,(5+50*((N('My Rota'!$D$6)+3)-1))+2+12,24),INDEX('2028'!$A:$Z,(5+50*((N('My Rota'!$D$6)+3)-1))+2+12,24),INDEX('2029'!$A:$Z,(5+50*((N('My Rota'!$D$6)+3)-1))+2+12,24),INDEX('2030'!$A:$Z,(5+50*((N('My Rota'!$D$6)+3)-1))+2+12,24)))</f>
        <v/>
      </c>
      <c r="Y265">
        <f>IF(OR($B265="",(N('My Rota'!$D$6)+3)&gt;53),"",""&amp;CHOOSE(IFERROR(MATCH('My Rota'!$D$5,Setup!$K$33:$K$36,0),1),INDEX('2027'!$A:$Z,(5+50*((N('My Rota'!$D$6)+3)-1))+2+12,25),INDEX('2028'!$A:$Z,(5+50*((N('My Rota'!$D$6)+3)-1))+2+12,25),INDEX('2029'!$A:$Z,(5+50*((N('My Rota'!$D$6)+3)-1))+2+12,25),INDEX('2030'!$A:$Z,(5+50*((N('My Rota'!$D$6)+3)-1))+2+12,25)))</f>
        <v/>
      </c>
      <c r="Z265">
        <f>IF(OR($B265="",(N('My Rota'!$D$6)+3)&gt;53),"",""&amp;CHOOSE(IFERROR(MATCH('My Rota'!$D$5,Setup!$K$33:$K$36,0),1),INDEX('2027'!$A:$Z,(5+50*((N('My Rota'!$D$6)+3)-1))+2+12,26),INDEX('2028'!$A:$Z,(5+50*((N('My Rota'!$D$6)+3)-1))+2+12,26),INDEX('2029'!$A:$Z,(5+50*((N('My Rota'!$D$6)+3)-1))+2+12,26),INDEX('2030'!$A:$Z,(5+50*((N('My Rota'!$D$6)+3)-1))+2+12,26)))</f>
        <v/>
      </c>
    </row>
    <row r="266">
      <c r="A266" t="n">
        <v>4</v>
      </c>
      <c r="B266">
        <f>$B$59</f>
        <v/>
      </c>
      <c r="C266">
        <f>IF(OR($B266="",(N('My Rota'!$D$6)+3)&gt;53),"",""&amp;CHOOSE(IFERROR(MATCH('My Rota'!$D$5,Setup!$K$33:$K$36,0),1),INDEX('2027'!$A:$Z,(5+50*((N('My Rota'!$D$6)+3)-1))+2+13,3),INDEX('2028'!$A:$Z,(5+50*((N('My Rota'!$D$6)+3)-1))+2+13,3),INDEX('2029'!$A:$Z,(5+50*((N('My Rota'!$D$6)+3)-1))+2+13,3),INDEX('2030'!$A:$Z,(5+50*((N('My Rota'!$D$6)+3)-1))+2+13,3)))</f>
        <v/>
      </c>
      <c r="D266">
        <f>IF(OR($B266="",(N('My Rota'!$D$6)+3)&gt;53),"",""&amp;CHOOSE(IFERROR(MATCH('My Rota'!$D$5,Setup!$K$33:$K$36,0),1),INDEX('2027'!$A:$Z,(5+50*((N('My Rota'!$D$6)+3)-1))+2+13,4),INDEX('2028'!$A:$Z,(5+50*((N('My Rota'!$D$6)+3)-1))+2+13,4),INDEX('2029'!$A:$Z,(5+50*((N('My Rota'!$D$6)+3)-1))+2+13,4),INDEX('2030'!$A:$Z,(5+50*((N('My Rota'!$D$6)+3)-1))+2+13,4)))</f>
        <v/>
      </c>
      <c r="E266">
        <f>IF(OR($B266="",(N('My Rota'!$D$6)+3)&gt;53),"",""&amp;CHOOSE(IFERROR(MATCH('My Rota'!$D$5,Setup!$K$33:$K$36,0),1),INDEX('2027'!$A:$Z,(5+50*((N('My Rota'!$D$6)+3)-1))+2+13,5),INDEX('2028'!$A:$Z,(5+50*((N('My Rota'!$D$6)+3)-1))+2+13,5),INDEX('2029'!$A:$Z,(5+50*((N('My Rota'!$D$6)+3)-1))+2+13,5),INDEX('2030'!$A:$Z,(5+50*((N('My Rota'!$D$6)+3)-1))+2+13,5)))</f>
        <v/>
      </c>
      <c r="F266">
        <f>IF(OR($B266="",(N('My Rota'!$D$6)+3)&gt;53),"",""&amp;CHOOSE(IFERROR(MATCH('My Rota'!$D$5,Setup!$K$33:$K$36,0),1),INDEX('2027'!$A:$Z,(5+50*((N('My Rota'!$D$6)+3)-1))+2+13,6),INDEX('2028'!$A:$Z,(5+50*((N('My Rota'!$D$6)+3)-1))+2+13,6),INDEX('2029'!$A:$Z,(5+50*((N('My Rota'!$D$6)+3)-1))+2+13,6),INDEX('2030'!$A:$Z,(5+50*((N('My Rota'!$D$6)+3)-1))+2+13,6)))</f>
        <v/>
      </c>
      <c r="G266">
        <f>IF(OR($B266="",(N('My Rota'!$D$6)+3)&gt;53),"",""&amp;CHOOSE(IFERROR(MATCH('My Rota'!$D$5,Setup!$K$33:$K$36,0),1),INDEX('2027'!$A:$Z,(5+50*((N('My Rota'!$D$6)+3)-1))+2+13,7),INDEX('2028'!$A:$Z,(5+50*((N('My Rota'!$D$6)+3)-1))+2+13,7),INDEX('2029'!$A:$Z,(5+50*((N('My Rota'!$D$6)+3)-1))+2+13,7),INDEX('2030'!$A:$Z,(5+50*((N('My Rota'!$D$6)+3)-1))+2+13,7)))</f>
        <v/>
      </c>
      <c r="H266">
        <f>IF(OR($B266="",(N('My Rota'!$D$6)+3)&gt;53),"",""&amp;CHOOSE(IFERROR(MATCH('My Rota'!$D$5,Setup!$K$33:$K$36,0),1),INDEX('2027'!$A:$Z,(5+50*((N('My Rota'!$D$6)+3)-1))+2+13,8),INDEX('2028'!$A:$Z,(5+50*((N('My Rota'!$D$6)+3)-1))+2+13,8),INDEX('2029'!$A:$Z,(5+50*((N('My Rota'!$D$6)+3)-1))+2+13,8),INDEX('2030'!$A:$Z,(5+50*((N('My Rota'!$D$6)+3)-1))+2+13,8)))</f>
        <v/>
      </c>
      <c r="I266">
        <f>IF(OR($B266="",(N('My Rota'!$D$6)+3)&gt;53),"",""&amp;CHOOSE(IFERROR(MATCH('My Rota'!$D$5,Setup!$K$33:$K$36,0),1),INDEX('2027'!$A:$Z,(5+50*((N('My Rota'!$D$6)+3)-1))+2+13,9),INDEX('2028'!$A:$Z,(5+50*((N('My Rota'!$D$6)+3)-1))+2+13,9),INDEX('2029'!$A:$Z,(5+50*((N('My Rota'!$D$6)+3)-1))+2+13,9),INDEX('2030'!$A:$Z,(5+50*((N('My Rota'!$D$6)+3)-1))+2+13,9)))</f>
        <v/>
      </c>
      <c r="J266">
        <f>IF(OR($B266="",(N('My Rota'!$D$6)+3)&gt;53),"",""&amp;CHOOSE(IFERROR(MATCH('My Rota'!$D$5,Setup!$K$33:$K$36,0),1),INDEX('2027'!$A:$Z,(5+50*((N('My Rota'!$D$6)+3)-1))+2+13,10),INDEX('2028'!$A:$Z,(5+50*((N('My Rota'!$D$6)+3)-1))+2+13,10),INDEX('2029'!$A:$Z,(5+50*((N('My Rota'!$D$6)+3)-1))+2+13,10),INDEX('2030'!$A:$Z,(5+50*((N('My Rota'!$D$6)+3)-1))+2+13,10)))</f>
        <v/>
      </c>
      <c r="K266">
        <f>IF(OR($B266="",(N('My Rota'!$D$6)+3)&gt;53),"",""&amp;CHOOSE(IFERROR(MATCH('My Rota'!$D$5,Setup!$K$33:$K$36,0),1),INDEX('2027'!$A:$Z,(5+50*((N('My Rota'!$D$6)+3)-1))+2+13,11),INDEX('2028'!$A:$Z,(5+50*((N('My Rota'!$D$6)+3)-1))+2+13,11),INDEX('2029'!$A:$Z,(5+50*((N('My Rota'!$D$6)+3)-1))+2+13,11),INDEX('2030'!$A:$Z,(5+50*((N('My Rota'!$D$6)+3)-1))+2+13,11)))</f>
        <v/>
      </c>
      <c r="L266">
        <f>IF(OR($B266="",(N('My Rota'!$D$6)+3)&gt;53),"",""&amp;CHOOSE(IFERROR(MATCH('My Rota'!$D$5,Setup!$K$33:$K$36,0),1),INDEX('2027'!$A:$Z,(5+50*((N('My Rota'!$D$6)+3)-1))+2+13,12),INDEX('2028'!$A:$Z,(5+50*((N('My Rota'!$D$6)+3)-1))+2+13,12),INDEX('2029'!$A:$Z,(5+50*((N('My Rota'!$D$6)+3)-1))+2+13,12),INDEX('2030'!$A:$Z,(5+50*((N('My Rota'!$D$6)+3)-1))+2+13,12)))</f>
        <v/>
      </c>
      <c r="M266">
        <f>IF(OR($B266="",(N('My Rota'!$D$6)+3)&gt;53),"",""&amp;CHOOSE(IFERROR(MATCH('My Rota'!$D$5,Setup!$K$33:$K$36,0),1),INDEX('2027'!$A:$Z,(5+50*((N('My Rota'!$D$6)+3)-1))+2+13,13),INDEX('2028'!$A:$Z,(5+50*((N('My Rota'!$D$6)+3)-1))+2+13,13),INDEX('2029'!$A:$Z,(5+50*((N('My Rota'!$D$6)+3)-1))+2+13,13),INDEX('2030'!$A:$Z,(5+50*((N('My Rota'!$D$6)+3)-1))+2+13,13)))</f>
        <v/>
      </c>
      <c r="N266">
        <f>IF(OR($B266="",(N('My Rota'!$D$6)+3)&gt;53),"",""&amp;CHOOSE(IFERROR(MATCH('My Rota'!$D$5,Setup!$K$33:$K$36,0),1),INDEX('2027'!$A:$Z,(5+50*((N('My Rota'!$D$6)+3)-1))+2+13,14),INDEX('2028'!$A:$Z,(5+50*((N('My Rota'!$D$6)+3)-1))+2+13,14),INDEX('2029'!$A:$Z,(5+50*((N('My Rota'!$D$6)+3)-1))+2+13,14),INDEX('2030'!$A:$Z,(5+50*((N('My Rota'!$D$6)+3)-1))+2+13,14)))</f>
        <v/>
      </c>
      <c r="O266">
        <f>IF(OR($B266="",(N('My Rota'!$D$6)+3)&gt;53),"",""&amp;CHOOSE(IFERROR(MATCH('My Rota'!$D$5,Setup!$K$33:$K$36,0),1),INDEX('2027'!$A:$Z,(5+50*((N('My Rota'!$D$6)+3)-1))+2+13,15),INDEX('2028'!$A:$Z,(5+50*((N('My Rota'!$D$6)+3)-1))+2+13,15),INDEX('2029'!$A:$Z,(5+50*((N('My Rota'!$D$6)+3)-1))+2+13,15),INDEX('2030'!$A:$Z,(5+50*((N('My Rota'!$D$6)+3)-1))+2+13,15)))</f>
        <v/>
      </c>
      <c r="P266">
        <f>IF(OR($B266="",(N('My Rota'!$D$6)+3)&gt;53),"",""&amp;CHOOSE(IFERROR(MATCH('My Rota'!$D$5,Setup!$K$33:$K$36,0),1),INDEX('2027'!$A:$Z,(5+50*((N('My Rota'!$D$6)+3)-1))+2+13,16),INDEX('2028'!$A:$Z,(5+50*((N('My Rota'!$D$6)+3)-1))+2+13,16),INDEX('2029'!$A:$Z,(5+50*((N('My Rota'!$D$6)+3)-1))+2+13,16),INDEX('2030'!$A:$Z,(5+50*((N('My Rota'!$D$6)+3)-1))+2+13,16)))</f>
        <v/>
      </c>
      <c r="Q266">
        <f>IF(OR($B266="",(N('My Rota'!$D$6)+3)&gt;53),"",""&amp;CHOOSE(IFERROR(MATCH('My Rota'!$D$5,Setup!$K$33:$K$36,0),1),INDEX('2027'!$A:$Z,(5+50*((N('My Rota'!$D$6)+3)-1))+2+13,17),INDEX('2028'!$A:$Z,(5+50*((N('My Rota'!$D$6)+3)-1))+2+13,17),INDEX('2029'!$A:$Z,(5+50*((N('My Rota'!$D$6)+3)-1))+2+13,17),INDEX('2030'!$A:$Z,(5+50*((N('My Rota'!$D$6)+3)-1))+2+13,17)))</f>
        <v/>
      </c>
      <c r="R266">
        <f>IF(OR($B266="",(N('My Rota'!$D$6)+3)&gt;53),"",""&amp;CHOOSE(IFERROR(MATCH('My Rota'!$D$5,Setup!$K$33:$K$36,0),1),INDEX('2027'!$A:$Z,(5+50*((N('My Rota'!$D$6)+3)-1))+2+13,18),INDEX('2028'!$A:$Z,(5+50*((N('My Rota'!$D$6)+3)-1))+2+13,18),INDEX('2029'!$A:$Z,(5+50*((N('My Rota'!$D$6)+3)-1))+2+13,18),INDEX('2030'!$A:$Z,(5+50*((N('My Rota'!$D$6)+3)-1))+2+13,18)))</f>
        <v/>
      </c>
      <c r="S266">
        <f>IF(OR($B266="",(N('My Rota'!$D$6)+3)&gt;53),"",""&amp;CHOOSE(IFERROR(MATCH('My Rota'!$D$5,Setup!$K$33:$K$36,0),1),INDEX('2027'!$A:$Z,(5+50*((N('My Rota'!$D$6)+3)-1))+2+13,19),INDEX('2028'!$A:$Z,(5+50*((N('My Rota'!$D$6)+3)-1))+2+13,19),INDEX('2029'!$A:$Z,(5+50*((N('My Rota'!$D$6)+3)-1))+2+13,19),INDEX('2030'!$A:$Z,(5+50*((N('My Rota'!$D$6)+3)-1))+2+13,19)))</f>
        <v/>
      </c>
      <c r="T266">
        <f>IF(OR($B266="",(N('My Rota'!$D$6)+3)&gt;53),"",""&amp;CHOOSE(IFERROR(MATCH('My Rota'!$D$5,Setup!$K$33:$K$36,0),1),INDEX('2027'!$A:$Z,(5+50*((N('My Rota'!$D$6)+3)-1))+2+13,20),INDEX('2028'!$A:$Z,(5+50*((N('My Rota'!$D$6)+3)-1))+2+13,20),INDEX('2029'!$A:$Z,(5+50*((N('My Rota'!$D$6)+3)-1))+2+13,20),INDEX('2030'!$A:$Z,(5+50*((N('My Rota'!$D$6)+3)-1))+2+13,20)))</f>
        <v/>
      </c>
      <c r="U266">
        <f>IF(OR($B266="",(N('My Rota'!$D$6)+3)&gt;53),"",""&amp;CHOOSE(IFERROR(MATCH('My Rota'!$D$5,Setup!$K$33:$K$36,0),1),INDEX('2027'!$A:$Z,(5+50*((N('My Rota'!$D$6)+3)-1))+2+13,21),INDEX('2028'!$A:$Z,(5+50*((N('My Rota'!$D$6)+3)-1))+2+13,21),INDEX('2029'!$A:$Z,(5+50*((N('My Rota'!$D$6)+3)-1))+2+13,21),INDEX('2030'!$A:$Z,(5+50*((N('My Rota'!$D$6)+3)-1))+2+13,21)))</f>
        <v/>
      </c>
      <c r="V266">
        <f>IF(OR($B266="",(N('My Rota'!$D$6)+3)&gt;53),"",""&amp;CHOOSE(IFERROR(MATCH('My Rota'!$D$5,Setup!$K$33:$K$36,0),1),INDEX('2027'!$A:$Z,(5+50*((N('My Rota'!$D$6)+3)-1))+2+13,22),INDEX('2028'!$A:$Z,(5+50*((N('My Rota'!$D$6)+3)-1))+2+13,22),INDEX('2029'!$A:$Z,(5+50*((N('My Rota'!$D$6)+3)-1))+2+13,22),INDEX('2030'!$A:$Z,(5+50*((N('My Rota'!$D$6)+3)-1))+2+13,22)))</f>
        <v/>
      </c>
      <c r="W266">
        <f>IF(OR($B266="",(N('My Rota'!$D$6)+3)&gt;53),"",""&amp;CHOOSE(IFERROR(MATCH('My Rota'!$D$5,Setup!$K$33:$K$36,0),1),INDEX('2027'!$A:$Z,(5+50*((N('My Rota'!$D$6)+3)-1))+2+13,23),INDEX('2028'!$A:$Z,(5+50*((N('My Rota'!$D$6)+3)-1))+2+13,23),INDEX('2029'!$A:$Z,(5+50*((N('My Rota'!$D$6)+3)-1))+2+13,23),INDEX('2030'!$A:$Z,(5+50*((N('My Rota'!$D$6)+3)-1))+2+13,23)))</f>
        <v/>
      </c>
      <c r="X266">
        <f>IF(OR($B266="",(N('My Rota'!$D$6)+3)&gt;53),"",""&amp;CHOOSE(IFERROR(MATCH('My Rota'!$D$5,Setup!$K$33:$K$36,0),1),INDEX('2027'!$A:$Z,(5+50*((N('My Rota'!$D$6)+3)-1))+2+13,24),INDEX('2028'!$A:$Z,(5+50*((N('My Rota'!$D$6)+3)-1))+2+13,24),INDEX('2029'!$A:$Z,(5+50*((N('My Rota'!$D$6)+3)-1))+2+13,24),INDEX('2030'!$A:$Z,(5+50*((N('My Rota'!$D$6)+3)-1))+2+13,24)))</f>
        <v/>
      </c>
      <c r="Y266">
        <f>IF(OR($B266="",(N('My Rota'!$D$6)+3)&gt;53),"",""&amp;CHOOSE(IFERROR(MATCH('My Rota'!$D$5,Setup!$K$33:$K$36,0),1),INDEX('2027'!$A:$Z,(5+50*((N('My Rota'!$D$6)+3)-1))+2+13,25),INDEX('2028'!$A:$Z,(5+50*((N('My Rota'!$D$6)+3)-1))+2+13,25),INDEX('2029'!$A:$Z,(5+50*((N('My Rota'!$D$6)+3)-1))+2+13,25),INDEX('2030'!$A:$Z,(5+50*((N('My Rota'!$D$6)+3)-1))+2+13,25)))</f>
        <v/>
      </c>
      <c r="Z266">
        <f>IF(OR($B266="",(N('My Rota'!$D$6)+3)&gt;53),"",""&amp;CHOOSE(IFERROR(MATCH('My Rota'!$D$5,Setup!$K$33:$K$36,0),1),INDEX('2027'!$A:$Z,(5+50*((N('My Rota'!$D$6)+3)-1))+2+13,26),INDEX('2028'!$A:$Z,(5+50*((N('My Rota'!$D$6)+3)-1))+2+13,26),INDEX('2029'!$A:$Z,(5+50*((N('My Rota'!$D$6)+3)-1))+2+13,26),INDEX('2030'!$A:$Z,(5+50*((N('My Rota'!$D$6)+3)-1))+2+13,26)))</f>
        <v/>
      </c>
    </row>
    <row r="267">
      <c r="A267" t="n">
        <v>4</v>
      </c>
      <c r="B267">
        <f>$B$60</f>
        <v/>
      </c>
      <c r="C267">
        <f>IF(OR($B267="",(N('My Rota'!$D$6)+3)&gt;53),"",""&amp;CHOOSE(IFERROR(MATCH('My Rota'!$D$5,Setup!$K$33:$K$36,0),1),INDEX('2027'!$A:$Z,(5+50*((N('My Rota'!$D$6)+3)-1))+2+14,3),INDEX('2028'!$A:$Z,(5+50*((N('My Rota'!$D$6)+3)-1))+2+14,3),INDEX('2029'!$A:$Z,(5+50*((N('My Rota'!$D$6)+3)-1))+2+14,3),INDEX('2030'!$A:$Z,(5+50*((N('My Rota'!$D$6)+3)-1))+2+14,3)))</f>
        <v/>
      </c>
      <c r="D267">
        <f>IF(OR($B267="",(N('My Rota'!$D$6)+3)&gt;53),"",""&amp;CHOOSE(IFERROR(MATCH('My Rota'!$D$5,Setup!$K$33:$K$36,0),1),INDEX('2027'!$A:$Z,(5+50*((N('My Rota'!$D$6)+3)-1))+2+14,4),INDEX('2028'!$A:$Z,(5+50*((N('My Rota'!$D$6)+3)-1))+2+14,4),INDEX('2029'!$A:$Z,(5+50*((N('My Rota'!$D$6)+3)-1))+2+14,4),INDEX('2030'!$A:$Z,(5+50*((N('My Rota'!$D$6)+3)-1))+2+14,4)))</f>
        <v/>
      </c>
      <c r="E267">
        <f>IF(OR($B267="",(N('My Rota'!$D$6)+3)&gt;53),"",""&amp;CHOOSE(IFERROR(MATCH('My Rota'!$D$5,Setup!$K$33:$K$36,0),1),INDEX('2027'!$A:$Z,(5+50*((N('My Rota'!$D$6)+3)-1))+2+14,5),INDEX('2028'!$A:$Z,(5+50*((N('My Rota'!$D$6)+3)-1))+2+14,5),INDEX('2029'!$A:$Z,(5+50*((N('My Rota'!$D$6)+3)-1))+2+14,5),INDEX('2030'!$A:$Z,(5+50*((N('My Rota'!$D$6)+3)-1))+2+14,5)))</f>
        <v/>
      </c>
      <c r="F267">
        <f>IF(OR($B267="",(N('My Rota'!$D$6)+3)&gt;53),"",""&amp;CHOOSE(IFERROR(MATCH('My Rota'!$D$5,Setup!$K$33:$K$36,0),1),INDEX('2027'!$A:$Z,(5+50*((N('My Rota'!$D$6)+3)-1))+2+14,6),INDEX('2028'!$A:$Z,(5+50*((N('My Rota'!$D$6)+3)-1))+2+14,6),INDEX('2029'!$A:$Z,(5+50*((N('My Rota'!$D$6)+3)-1))+2+14,6),INDEX('2030'!$A:$Z,(5+50*((N('My Rota'!$D$6)+3)-1))+2+14,6)))</f>
        <v/>
      </c>
      <c r="G267">
        <f>IF(OR($B267="",(N('My Rota'!$D$6)+3)&gt;53),"",""&amp;CHOOSE(IFERROR(MATCH('My Rota'!$D$5,Setup!$K$33:$K$36,0),1),INDEX('2027'!$A:$Z,(5+50*((N('My Rota'!$D$6)+3)-1))+2+14,7),INDEX('2028'!$A:$Z,(5+50*((N('My Rota'!$D$6)+3)-1))+2+14,7),INDEX('2029'!$A:$Z,(5+50*((N('My Rota'!$D$6)+3)-1))+2+14,7),INDEX('2030'!$A:$Z,(5+50*((N('My Rota'!$D$6)+3)-1))+2+14,7)))</f>
        <v/>
      </c>
      <c r="H267">
        <f>IF(OR($B267="",(N('My Rota'!$D$6)+3)&gt;53),"",""&amp;CHOOSE(IFERROR(MATCH('My Rota'!$D$5,Setup!$K$33:$K$36,0),1),INDEX('2027'!$A:$Z,(5+50*((N('My Rota'!$D$6)+3)-1))+2+14,8),INDEX('2028'!$A:$Z,(5+50*((N('My Rota'!$D$6)+3)-1))+2+14,8),INDEX('2029'!$A:$Z,(5+50*((N('My Rota'!$D$6)+3)-1))+2+14,8),INDEX('2030'!$A:$Z,(5+50*((N('My Rota'!$D$6)+3)-1))+2+14,8)))</f>
        <v/>
      </c>
      <c r="I267">
        <f>IF(OR($B267="",(N('My Rota'!$D$6)+3)&gt;53),"",""&amp;CHOOSE(IFERROR(MATCH('My Rota'!$D$5,Setup!$K$33:$K$36,0),1),INDEX('2027'!$A:$Z,(5+50*((N('My Rota'!$D$6)+3)-1))+2+14,9),INDEX('2028'!$A:$Z,(5+50*((N('My Rota'!$D$6)+3)-1))+2+14,9),INDEX('2029'!$A:$Z,(5+50*((N('My Rota'!$D$6)+3)-1))+2+14,9),INDEX('2030'!$A:$Z,(5+50*((N('My Rota'!$D$6)+3)-1))+2+14,9)))</f>
        <v/>
      </c>
      <c r="J267">
        <f>IF(OR($B267="",(N('My Rota'!$D$6)+3)&gt;53),"",""&amp;CHOOSE(IFERROR(MATCH('My Rota'!$D$5,Setup!$K$33:$K$36,0),1),INDEX('2027'!$A:$Z,(5+50*((N('My Rota'!$D$6)+3)-1))+2+14,10),INDEX('2028'!$A:$Z,(5+50*((N('My Rota'!$D$6)+3)-1))+2+14,10),INDEX('2029'!$A:$Z,(5+50*((N('My Rota'!$D$6)+3)-1))+2+14,10),INDEX('2030'!$A:$Z,(5+50*((N('My Rota'!$D$6)+3)-1))+2+14,10)))</f>
        <v/>
      </c>
      <c r="K267">
        <f>IF(OR($B267="",(N('My Rota'!$D$6)+3)&gt;53),"",""&amp;CHOOSE(IFERROR(MATCH('My Rota'!$D$5,Setup!$K$33:$K$36,0),1),INDEX('2027'!$A:$Z,(5+50*((N('My Rota'!$D$6)+3)-1))+2+14,11),INDEX('2028'!$A:$Z,(5+50*((N('My Rota'!$D$6)+3)-1))+2+14,11),INDEX('2029'!$A:$Z,(5+50*((N('My Rota'!$D$6)+3)-1))+2+14,11),INDEX('2030'!$A:$Z,(5+50*((N('My Rota'!$D$6)+3)-1))+2+14,11)))</f>
        <v/>
      </c>
      <c r="L267">
        <f>IF(OR($B267="",(N('My Rota'!$D$6)+3)&gt;53),"",""&amp;CHOOSE(IFERROR(MATCH('My Rota'!$D$5,Setup!$K$33:$K$36,0),1),INDEX('2027'!$A:$Z,(5+50*((N('My Rota'!$D$6)+3)-1))+2+14,12),INDEX('2028'!$A:$Z,(5+50*((N('My Rota'!$D$6)+3)-1))+2+14,12),INDEX('2029'!$A:$Z,(5+50*((N('My Rota'!$D$6)+3)-1))+2+14,12),INDEX('2030'!$A:$Z,(5+50*((N('My Rota'!$D$6)+3)-1))+2+14,12)))</f>
        <v/>
      </c>
      <c r="M267">
        <f>IF(OR($B267="",(N('My Rota'!$D$6)+3)&gt;53),"",""&amp;CHOOSE(IFERROR(MATCH('My Rota'!$D$5,Setup!$K$33:$K$36,0),1),INDEX('2027'!$A:$Z,(5+50*((N('My Rota'!$D$6)+3)-1))+2+14,13),INDEX('2028'!$A:$Z,(5+50*((N('My Rota'!$D$6)+3)-1))+2+14,13),INDEX('2029'!$A:$Z,(5+50*((N('My Rota'!$D$6)+3)-1))+2+14,13),INDEX('2030'!$A:$Z,(5+50*((N('My Rota'!$D$6)+3)-1))+2+14,13)))</f>
        <v/>
      </c>
      <c r="N267">
        <f>IF(OR($B267="",(N('My Rota'!$D$6)+3)&gt;53),"",""&amp;CHOOSE(IFERROR(MATCH('My Rota'!$D$5,Setup!$K$33:$K$36,0),1),INDEX('2027'!$A:$Z,(5+50*((N('My Rota'!$D$6)+3)-1))+2+14,14),INDEX('2028'!$A:$Z,(5+50*((N('My Rota'!$D$6)+3)-1))+2+14,14),INDEX('2029'!$A:$Z,(5+50*((N('My Rota'!$D$6)+3)-1))+2+14,14),INDEX('2030'!$A:$Z,(5+50*((N('My Rota'!$D$6)+3)-1))+2+14,14)))</f>
        <v/>
      </c>
      <c r="O267">
        <f>IF(OR($B267="",(N('My Rota'!$D$6)+3)&gt;53),"",""&amp;CHOOSE(IFERROR(MATCH('My Rota'!$D$5,Setup!$K$33:$K$36,0),1),INDEX('2027'!$A:$Z,(5+50*((N('My Rota'!$D$6)+3)-1))+2+14,15),INDEX('2028'!$A:$Z,(5+50*((N('My Rota'!$D$6)+3)-1))+2+14,15),INDEX('2029'!$A:$Z,(5+50*((N('My Rota'!$D$6)+3)-1))+2+14,15),INDEX('2030'!$A:$Z,(5+50*((N('My Rota'!$D$6)+3)-1))+2+14,15)))</f>
        <v/>
      </c>
      <c r="P267">
        <f>IF(OR($B267="",(N('My Rota'!$D$6)+3)&gt;53),"",""&amp;CHOOSE(IFERROR(MATCH('My Rota'!$D$5,Setup!$K$33:$K$36,0),1),INDEX('2027'!$A:$Z,(5+50*((N('My Rota'!$D$6)+3)-1))+2+14,16),INDEX('2028'!$A:$Z,(5+50*((N('My Rota'!$D$6)+3)-1))+2+14,16),INDEX('2029'!$A:$Z,(5+50*((N('My Rota'!$D$6)+3)-1))+2+14,16),INDEX('2030'!$A:$Z,(5+50*((N('My Rota'!$D$6)+3)-1))+2+14,16)))</f>
        <v/>
      </c>
      <c r="Q267">
        <f>IF(OR($B267="",(N('My Rota'!$D$6)+3)&gt;53),"",""&amp;CHOOSE(IFERROR(MATCH('My Rota'!$D$5,Setup!$K$33:$K$36,0),1),INDEX('2027'!$A:$Z,(5+50*((N('My Rota'!$D$6)+3)-1))+2+14,17),INDEX('2028'!$A:$Z,(5+50*((N('My Rota'!$D$6)+3)-1))+2+14,17),INDEX('2029'!$A:$Z,(5+50*((N('My Rota'!$D$6)+3)-1))+2+14,17),INDEX('2030'!$A:$Z,(5+50*((N('My Rota'!$D$6)+3)-1))+2+14,17)))</f>
        <v/>
      </c>
      <c r="R267">
        <f>IF(OR($B267="",(N('My Rota'!$D$6)+3)&gt;53),"",""&amp;CHOOSE(IFERROR(MATCH('My Rota'!$D$5,Setup!$K$33:$K$36,0),1),INDEX('2027'!$A:$Z,(5+50*((N('My Rota'!$D$6)+3)-1))+2+14,18),INDEX('2028'!$A:$Z,(5+50*((N('My Rota'!$D$6)+3)-1))+2+14,18),INDEX('2029'!$A:$Z,(5+50*((N('My Rota'!$D$6)+3)-1))+2+14,18),INDEX('2030'!$A:$Z,(5+50*((N('My Rota'!$D$6)+3)-1))+2+14,18)))</f>
        <v/>
      </c>
      <c r="S267">
        <f>IF(OR($B267="",(N('My Rota'!$D$6)+3)&gt;53),"",""&amp;CHOOSE(IFERROR(MATCH('My Rota'!$D$5,Setup!$K$33:$K$36,0),1),INDEX('2027'!$A:$Z,(5+50*((N('My Rota'!$D$6)+3)-1))+2+14,19),INDEX('2028'!$A:$Z,(5+50*((N('My Rota'!$D$6)+3)-1))+2+14,19),INDEX('2029'!$A:$Z,(5+50*((N('My Rota'!$D$6)+3)-1))+2+14,19),INDEX('2030'!$A:$Z,(5+50*((N('My Rota'!$D$6)+3)-1))+2+14,19)))</f>
        <v/>
      </c>
      <c r="T267">
        <f>IF(OR($B267="",(N('My Rota'!$D$6)+3)&gt;53),"",""&amp;CHOOSE(IFERROR(MATCH('My Rota'!$D$5,Setup!$K$33:$K$36,0),1),INDEX('2027'!$A:$Z,(5+50*((N('My Rota'!$D$6)+3)-1))+2+14,20),INDEX('2028'!$A:$Z,(5+50*((N('My Rota'!$D$6)+3)-1))+2+14,20),INDEX('2029'!$A:$Z,(5+50*((N('My Rota'!$D$6)+3)-1))+2+14,20),INDEX('2030'!$A:$Z,(5+50*((N('My Rota'!$D$6)+3)-1))+2+14,20)))</f>
        <v/>
      </c>
      <c r="U267">
        <f>IF(OR($B267="",(N('My Rota'!$D$6)+3)&gt;53),"",""&amp;CHOOSE(IFERROR(MATCH('My Rota'!$D$5,Setup!$K$33:$K$36,0),1),INDEX('2027'!$A:$Z,(5+50*((N('My Rota'!$D$6)+3)-1))+2+14,21),INDEX('2028'!$A:$Z,(5+50*((N('My Rota'!$D$6)+3)-1))+2+14,21),INDEX('2029'!$A:$Z,(5+50*((N('My Rota'!$D$6)+3)-1))+2+14,21),INDEX('2030'!$A:$Z,(5+50*((N('My Rota'!$D$6)+3)-1))+2+14,21)))</f>
        <v/>
      </c>
      <c r="V267">
        <f>IF(OR($B267="",(N('My Rota'!$D$6)+3)&gt;53),"",""&amp;CHOOSE(IFERROR(MATCH('My Rota'!$D$5,Setup!$K$33:$K$36,0),1),INDEX('2027'!$A:$Z,(5+50*((N('My Rota'!$D$6)+3)-1))+2+14,22),INDEX('2028'!$A:$Z,(5+50*((N('My Rota'!$D$6)+3)-1))+2+14,22),INDEX('2029'!$A:$Z,(5+50*((N('My Rota'!$D$6)+3)-1))+2+14,22),INDEX('2030'!$A:$Z,(5+50*((N('My Rota'!$D$6)+3)-1))+2+14,22)))</f>
        <v/>
      </c>
      <c r="W267">
        <f>IF(OR($B267="",(N('My Rota'!$D$6)+3)&gt;53),"",""&amp;CHOOSE(IFERROR(MATCH('My Rota'!$D$5,Setup!$K$33:$K$36,0),1),INDEX('2027'!$A:$Z,(5+50*((N('My Rota'!$D$6)+3)-1))+2+14,23),INDEX('2028'!$A:$Z,(5+50*((N('My Rota'!$D$6)+3)-1))+2+14,23),INDEX('2029'!$A:$Z,(5+50*((N('My Rota'!$D$6)+3)-1))+2+14,23),INDEX('2030'!$A:$Z,(5+50*((N('My Rota'!$D$6)+3)-1))+2+14,23)))</f>
        <v/>
      </c>
      <c r="X267">
        <f>IF(OR($B267="",(N('My Rota'!$D$6)+3)&gt;53),"",""&amp;CHOOSE(IFERROR(MATCH('My Rota'!$D$5,Setup!$K$33:$K$36,0),1),INDEX('2027'!$A:$Z,(5+50*((N('My Rota'!$D$6)+3)-1))+2+14,24),INDEX('2028'!$A:$Z,(5+50*((N('My Rota'!$D$6)+3)-1))+2+14,24),INDEX('2029'!$A:$Z,(5+50*((N('My Rota'!$D$6)+3)-1))+2+14,24),INDEX('2030'!$A:$Z,(5+50*((N('My Rota'!$D$6)+3)-1))+2+14,24)))</f>
        <v/>
      </c>
      <c r="Y267">
        <f>IF(OR($B267="",(N('My Rota'!$D$6)+3)&gt;53),"",""&amp;CHOOSE(IFERROR(MATCH('My Rota'!$D$5,Setup!$K$33:$K$36,0),1),INDEX('2027'!$A:$Z,(5+50*((N('My Rota'!$D$6)+3)-1))+2+14,25),INDEX('2028'!$A:$Z,(5+50*((N('My Rota'!$D$6)+3)-1))+2+14,25),INDEX('2029'!$A:$Z,(5+50*((N('My Rota'!$D$6)+3)-1))+2+14,25),INDEX('2030'!$A:$Z,(5+50*((N('My Rota'!$D$6)+3)-1))+2+14,25)))</f>
        <v/>
      </c>
      <c r="Z267">
        <f>IF(OR($B267="",(N('My Rota'!$D$6)+3)&gt;53),"",""&amp;CHOOSE(IFERROR(MATCH('My Rota'!$D$5,Setup!$K$33:$K$36,0),1),INDEX('2027'!$A:$Z,(5+50*((N('My Rota'!$D$6)+3)-1))+2+14,26),INDEX('2028'!$A:$Z,(5+50*((N('My Rota'!$D$6)+3)-1))+2+14,26),INDEX('2029'!$A:$Z,(5+50*((N('My Rota'!$D$6)+3)-1))+2+14,26),INDEX('2030'!$A:$Z,(5+50*((N('My Rota'!$D$6)+3)-1))+2+14,26)))</f>
        <v/>
      </c>
    </row>
    <row r="268">
      <c r="A268" t="n">
        <v>4</v>
      </c>
      <c r="B268">
        <f>$B$61</f>
        <v/>
      </c>
      <c r="C268">
        <f>IF(OR($B268="",(N('My Rota'!$D$6)+3)&gt;53),"",""&amp;CHOOSE(IFERROR(MATCH('My Rota'!$D$5,Setup!$K$33:$K$36,0),1),INDEX('2027'!$A:$Z,(5+50*((N('My Rota'!$D$6)+3)-1))+2+15,3),INDEX('2028'!$A:$Z,(5+50*((N('My Rota'!$D$6)+3)-1))+2+15,3),INDEX('2029'!$A:$Z,(5+50*((N('My Rota'!$D$6)+3)-1))+2+15,3),INDEX('2030'!$A:$Z,(5+50*((N('My Rota'!$D$6)+3)-1))+2+15,3)))</f>
        <v/>
      </c>
      <c r="D268">
        <f>IF(OR($B268="",(N('My Rota'!$D$6)+3)&gt;53),"",""&amp;CHOOSE(IFERROR(MATCH('My Rota'!$D$5,Setup!$K$33:$K$36,0),1),INDEX('2027'!$A:$Z,(5+50*((N('My Rota'!$D$6)+3)-1))+2+15,4),INDEX('2028'!$A:$Z,(5+50*((N('My Rota'!$D$6)+3)-1))+2+15,4),INDEX('2029'!$A:$Z,(5+50*((N('My Rota'!$D$6)+3)-1))+2+15,4),INDEX('2030'!$A:$Z,(5+50*((N('My Rota'!$D$6)+3)-1))+2+15,4)))</f>
        <v/>
      </c>
      <c r="E268">
        <f>IF(OR($B268="",(N('My Rota'!$D$6)+3)&gt;53),"",""&amp;CHOOSE(IFERROR(MATCH('My Rota'!$D$5,Setup!$K$33:$K$36,0),1),INDEX('2027'!$A:$Z,(5+50*((N('My Rota'!$D$6)+3)-1))+2+15,5),INDEX('2028'!$A:$Z,(5+50*((N('My Rota'!$D$6)+3)-1))+2+15,5),INDEX('2029'!$A:$Z,(5+50*((N('My Rota'!$D$6)+3)-1))+2+15,5),INDEX('2030'!$A:$Z,(5+50*((N('My Rota'!$D$6)+3)-1))+2+15,5)))</f>
        <v/>
      </c>
      <c r="F268">
        <f>IF(OR($B268="",(N('My Rota'!$D$6)+3)&gt;53),"",""&amp;CHOOSE(IFERROR(MATCH('My Rota'!$D$5,Setup!$K$33:$K$36,0),1),INDEX('2027'!$A:$Z,(5+50*((N('My Rota'!$D$6)+3)-1))+2+15,6),INDEX('2028'!$A:$Z,(5+50*((N('My Rota'!$D$6)+3)-1))+2+15,6),INDEX('2029'!$A:$Z,(5+50*((N('My Rota'!$D$6)+3)-1))+2+15,6),INDEX('2030'!$A:$Z,(5+50*((N('My Rota'!$D$6)+3)-1))+2+15,6)))</f>
        <v/>
      </c>
      <c r="G268">
        <f>IF(OR($B268="",(N('My Rota'!$D$6)+3)&gt;53),"",""&amp;CHOOSE(IFERROR(MATCH('My Rota'!$D$5,Setup!$K$33:$K$36,0),1),INDEX('2027'!$A:$Z,(5+50*((N('My Rota'!$D$6)+3)-1))+2+15,7),INDEX('2028'!$A:$Z,(5+50*((N('My Rota'!$D$6)+3)-1))+2+15,7),INDEX('2029'!$A:$Z,(5+50*((N('My Rota'!$D$6)+3)-1))+2+15,7),INDEX('2030'!$A:$Z,(5+50*((N('My Rota'!$D$6)+3)-1))+2+15,7)))</f>
        <v/>
      </c>
      <c r="H268">
        <f>IF(OR($B268="",(N('My Rota'!$D$6)+3)&gt;53),"",""&amp;CHOOSE(IFERROR(MATCH('My Rota'!$D$5,Setup!$K$33:$K$36,0),1),INDEX('2027'!$A:$Z,(5+50*((N('My Rota'!$D$6)+3)-1))+2+15,8),INDEX('2028'!$A:$Z,(5+50*((N('My Rota'!$D$6)+3)-1))+2+15,8),INDEX('2029'!$A:$Z,(5+50*((N('My Rota'!$D$6)+3)-1))+2+15,8),INDEX('2030'!$A:$Z,(5+50*((N('My Rota'!$D$6)+3)-1))+2+15,8)))</f>
        <v/>
      </c>
      <c r="I268">
        <f>IF(OR($B268="",(N('My Rota'!$D$6)+3)&gt;53),"",""&amp;CHOOSE(IFERROR(MATCH('My Rota'!$D$5,Setup!$K$33:$K$36,0),1),INDEX('2027'!$A:$Z,(5+50*((N('My Rota'!$D$6)+3)-1))+2+15,9),INDEX('2028'!$A:$Z,(5+50*((N('My Rota'!$D$6)+3)-1))+2+15,9),INDEX('2029'!$A:$Z,(5+50*((N('My Rota'!$D$6)+3)-1))+2+15,9),INDEX('2030'!$A:$Z,(5+50*((N('My Rota'!$D$6)+3)-1))+2+15,9)))</f>
        <v/>
      </c>
      <c r="J268">
        <f>IF(OR($B268="",(N('My Rota'!$D$6)+3)&gt;53),"",""&amp;CHOOSE(IFERROR(MATCH('My Rota'!$D$5,Setup!$K$33:$K$36,0),1),INDEX('2027'!$A:$Z,(5+50*((N('My Rota'!$D$6)+3)-1))+2+15,10),INDEX('2028'!$A:$Z,(5+50*((N('My Rota'!$D$6)+3)-1))+2+15,10),INDEX('2029'!$A:$Z,(5+50*((N('My Rota'!$D$6)+3)-1))+2+15,10),INDEX('2030'!$A:$Z,(5+50*((N('My Rota'!$D$6)+3)-1))+2+15,10)))</f>
        <v/>
      </c>
      <c r="K268">
        <f>IF(OR($B268="",(N('My Rota'!$D$6)+3)&gt;53),"",""&amp;CHOOSE(IFERROR(MATCH('My Rota'!$D$5,Setup!$K$33:$K$36,0),1),INDEX('2027'!$A:$Z,(5+50*((N('My Rota'!$D$6)+3)-1))+2+15,11),INDEX('2028'!$A:$Z,(5+50*((N('My Rota'!$D$6)+3)-1))+2+15,11),INDEX('2029'!$A:$Z,(5+50*((N('My Rota'!$D$6)+3)-1))+2+15,11),INDEX('2030'!$A:$Z,(5+50*((N('My Rota'!$D$6)+3)-1))+2+15,11)))</f>
        <v/>
      </c>
      <c r="L268">
        <f>IF(OR($B268="",(N('My Rota'!$D$6)+3)&gt;53),"",""&amp;CHOOSE(IFERROR(MATCH('My Rota'!$D$5,Setup!$K$33:$K$36,0),1),INDEX('2027'!$A:$Z,(5+50*((N('My Rota'!$D$6)+3)-1))+2+15,12),INDEX('2028'!$A:$Z,(5+50*((N('My Rota'!$D$6)+3)-1))+2+15,12),INDEX('2029'!$A:$Z,(5+50*((N('My Rota'!$D$6)+3)-1))+2+15,12),INDEX('2030'!$A:$Z,(5+50*((N('My Rota'!$D$6)+3)-1))+2+15,12)))</f>
        <v/>
      </c>
      <c r="M268">
        <f>IF(OR($B268="",(N('My Rota'!$D$6)+3)&gt;53),"",""&amp;CHOOSE(IFERROR(MATCH('My Rota'!$D$5,Setup!$K$33:$K$36,0),1),INDEX('2027'!$A:$Z,(5+50*((N('My Rota'!$D$6)+3)-1))+2+15,13),INDEX('2028'!$A:$Z,(5+50*((N('My Rota'!$D$6)+3)-1))+2+15,13),INDEX('2029'!$A:$Z,(5+50*((N('My Rota'!$D$6)+3)-1))+2+15,13),INDEX('2030'!$A:$Z,(5+50*((N('My Rota'!$D$6)+3)-1))+2+15,13)))</f>
        <v/>
      </c>
      <c r="N268">
        <f>IF(OR($B268="",(N('My Rota'!$D$6)+3)&gt;53),"",""&amp;CHOOSE(IFERROR(MATCH('My Rota'!$D$5,Setup!$K$33:$K$36,0),1),INDEX('2027'!$A:$Z,(5+50*((N('My Rota'!$D$6)+3)-1))+2+15,14),INDEX('2028'!$A:$Z,(5+50*((N('My Rota'!$D$6)+3)-1))+2+15,14),INDEX('2029'!$A:$Z,(5+50*((N('My Rota'!$D$6)+3)-1))+2+15,14),INDEX('2030'!$A:$Z,(5+50*((N('My Rota'!$D$6)+3)-1))+2+15,14)))</f>
        <v/>
      </c>
      <c r="O268">
        <f>IF(OR($B268="",(N('My Rota'!$D$6)+3)&gt;53),"",""&amp;CHOOSE(IFERROR(MATCH('My Rota'!$D$5,Setup!$K$33:$K$36,0),1),INDEX('2027'!$A:$Z,(5+50*((N('My Rota'!$D$6)+3)-1))+2+15,15),INDEX('2028'!$A:$Z,(5+50*((N('My Rota'!$D$6)+3)-1))+2+15,15),INDEX('2029'!$A:$Z,(5+50*((N('My Rota'!$D$6)+3)-1))+2+15,15),INDEX('2030'!$A:$Z,(5+50*((N('My Rota'!$D$6)+3)-1))+2+15,15)))</f>
        <v/>
      </c>
      <c r="P268">
        <f>IF(OR($B268="",(N('My Rota'!$D$6)+3)&gt;53),"",""&amp;CHOOSE(IFERROR(MATCH('My Rota'!$D$5,Setup!$K$33:$K$36,0),1),INDEX('2027'!$A:$Z,(5+50*((N('My Rota'!$D$6)+3)-1))+2+15,16),INDEX('2028'!$A:$Z,(5+50*((N('My Rota'!$D$6)+3)-1))+2+15,16),INDEX('2029'!$A:$Z,(5+50*((N('My Rota'!$D$6)+3)-1))+2+15,16),INDEX('2030'!$A:$Z,(5+50*((N('My Rota'!$D$6)+3)-1))+2+15,16)))</f>
        <v/>
      </c>
      <c r="Q268">
        <f>IF(OR($B268="",(N('My Rota'!$D$6)+3)&gt;53),"",""&amp;CHOOSE(IFERROR(MATCH('My Rota'!$D$5,Setup!$K$33:$K$36,0),1),INDEX('2027'!$A:$Z,(5+50*((N('My Rota'!$D$6)+3)-1))+2+15,17),INDEX('2028'!$A:$Z,(5+50*((N('My Rota'!$D$6)+3)-1))+2+15,17),INDEX('2029'!$A:$Z,(5+50*((N('My Rota'!$D$6)+3)-1))+2+15,17),INDEX('2030'!$A:$Z,(5+50*((N('My Rota'!$D$6)+3)-1))+2+15,17)))</f>
        <v/>
      </c>
      <c r="R268">
        <f>IF(OR($B268="",(N('My Rota'!$D$6)+3)&gt;53),"",""&amp;CHOOSE(IFERROR(MATCH('My Rota'!$D$5,Setup!$K$33:$K$36,0),1),INDEX('2027'!$A:$Z,(5+50*((N('My Rota'!$D$6)+3)-1))+2+15,18),INDEX('2028'!$A:$Z,(5+50*((N('My Rota'!$D$6)+3)-1))+2+15,18),INDEX('2029'!$A:$Z,(5+50*((N('My Rota'!$D$6)+3)-1))+2+15,18),INDEX('2030'!$A:$Z,(5+50*((N('My Rota'!$D$6)+3)-1))+2+15,18)))</f>
        <v/>
      </c>
      <c r="S268">
        <f>IF(OR($B268="",(N('My Rota'!$D$6)+3)&gt;53),"",""&amp;CHOOSE(IFERROR(MATCH('My Rota'!$D$5,Setup!$K$33:$K$36,0),1),INDEX('2027'!$A:$Z,(5+50*((N('My Rota'!$D$6)+3)-1))+2+15,19),INDEX('2028'!$A:$Z,(5+50*((N('My Rota'!$D$6)+3)-1))+2+15,19),INDEX('2029'!$A:$Z,(5+50*((N('My Rota'!$D$6)+3)-1))+2+15,19),INDEX('2030'!$A:$Z,(5+50*((N('My Rota'!$D$6)+3)-1))+2+15,19)))</f>
        <v/>
      </c>
      <c r="T268">
        <f>IF(OR($B268="",(N('My Rota'!$D$6)+3)&gt;53),"",""&amp;CHOOSE(IFERROR(MATCH('My Rota'!$D$5,Setup!$K$33:$K$36,0),1),INDEX('2027'!$A:$Z,(5+50*((N('My Rota'!$D$6)+3)-1))+2+15,20),INDEX('2028'!$A:$Z,(5+50*((N('My Rota'!$D$6)+3)-1))+2+15,20),INDEX('2029'!$A:$Z,(5+50*((N('My Rota'!$D$6)+3)-1))+2+15,20),INDEX('2030'!$A:$Z,(5+50*((N('My Rota'!$D$6)+3)-1))+2+15,20)))</f>
        <v/>
      </c>
      <c r="U268">
        <f>IF(OR($B268="",(N('My Rota'!$D$6)+3)&gt;53),"",""&amp;CHOOSE(IFERROR(MATCH('My Rota'!$D$5,Setup!$K$33:$K$36,0),1),INDEX('2027'!$A:$Z,(5+50*((N('My Rota'!$D$6)+3)-1))+2+15,21),INDEX('2028'!$A:$Z,(5+50*((N('My Rota'!$D$6)+3)-1))+2+15,21),INDEX('2029'!$A:$Z,(5+50*((N('My Rota'!$D$6)+3)-1))+2+15,21),INDEX('2030'!$A:$Z,(5+50*((N('My Rota'!$D$6)+3)-1))+2+15,21)))</f>
        <v/>
      </c>
      <c r="V268">
        <f>IF(OR($B268="",(N('My Rota'!$D$6)+3)&gt;53),"",""&amp;CHOOSE(IFERROR(MATCH('My Rota'!$D$5,Setup!$K$33:$K$36,0),1),INDEX('2027'!$A:$Z,(5+50*((N('My Rota'!$D$6)+3)-1))+2+15,22),INDEX('2028'!$A:$Z,(5+50*((N('My Rota'!$D$6)+3)-1))+2+15,22),INDEX('2029'!$A:$Z,(5+50*((N('My Rota'!$D$6)+3)-1))+2+15,22),INDEX('2030'!$A:$Z,(5+50*((N('My Rota'!$D$6)+3)-1))+2+15,22)))</f>
        <v/>
      </c>
      <c r="W268">
        <f>IF(OR($B268="",(N('My Rota'!$D$6)+3)&gt;53),"",""&amp;CHOOSE(IFERROR(MATCH('My Rota'!$D$5,Setup!$K$33:$K$36,0),1),INDEX('2027'!$A:$Z,(5+50*((N('My Rota'!$D$6)+3)-1))+2+15,23),INDEX('2028'!$A:$Z,(5+50*((N('My Rota'!$D$6)+3)-1))+2+15,23),INDEX('2029'!$A:$Z,(5+50*((N('My Rota'!$D$6)+3)-1))+2+15,23),INDEX('2030'!$A:$Z,(5+50*((N('My Rota'!$D$6)+3)-1))+2+15,23)))</f>
        <v/>
      </c>
      <c r="X268">
        <f>IF(OR($B268="",(N('My Rota'!$D$6)+3)&gt;53),"",""&amp;CHOOSE(IFERROR(MATCH('My Rota'!$D$5,Setup!$K$33:$K$36,0),1),INDEX('2027'!$A:$Z,(5+50*((N('My Rota'!$D$6)+3)-1))+2+15,24),INDEX('2028'!$A:$Z,(5+50*((N('My Rota'!$D$6)+3)-1))+2+15,24),INDEX('2029'!$A:$Z,(5+50*((N('My Rota'!$D$6)+3)-1))+2+15,24),INDEX('2030'!$A:$Z,(5+50*((N('My Rota'!$D$6)+3)-1))+2+15,24)))</f>
        <v/>
      </c>
      <c r="Y268">
        <f>IF(OR($B268="",(N('My Rota'!$D$6)+3)&gt;53),"",""&amp;CHOOSE(IFERROR(MATCH('My Rota'!$D$5,Setup!$K$33:$K$36,0),1),INDEX('2027'!$A:$Z,(5+50*((N('My Rota'!$D$6)+3)-1))+2+15,25),INDEX('2028'!$A:$Z,(5+50*((N('My Rota'!$D$6)+3)-1))+2+15,25),INDEX('2029'!$A:$Z,(5+50*((N('My Rota'!$D$6)+3)-1))+2+15,25),INDEX('2030'!$A:$Z,(5+50*((N('My Rota'!$D$6)+3)-1))+2+15,25)))</f>
        <v/>
      </c>
      <c r="Z268">
        <f>IF(OR($B268="",(N('My Rota'!$D$6)+3)&gt;53),"",""&amp;CHOOSE(IFERROR(MATCH('My Rota'!$D$5,Setup!$K$33:$K$36,0),1),INDEX('2027'!$A:$Z,(5+50*((N('My Rota'!$D$6)+3)-1))+2+15,26),INDEX('2028'!$A:$Z,(5+50*((N('My Rota'!$D$6)+3)-1))+2+15,26),INDEX('2029'!$A:$Z,(5+50*((N('My Rota'!$D$6)+3)-1))+2+15,26),INDEX('2030'!$A:$Z,(5+50*((N('My Rota'!$D$6)+3)-1))+2+15,26)))</f>
        <v/>
      </c>
    </row>
    <row r="269">
      <c r="A269" t="n">
        <v>4</v>
      </c>
      <c r="B269">
        <f>$B$62</f>
        <v/>
      </c>
      <c r="C269">
        <f>IF(OR($B269="",(N('My Rota'!$D$6)+3)&gt;53),"",""&amp;CHOOSE(IFERROR(MATCH('My Rota'!$D$5,Setup!$K$33:$K$36,0),1),INDEX('2027'!$A:$Z,(5+50*((N('My Rota'!$D$6)+3)-1))+2+16,3),INDEX('2028'!$A:$Z,(5+50*((N('My Rota'!$D$6)+3)-1))+2+16,3),INDEX('2029'!$A:$Z,(5+50*((N('My Rota'!$D$6)+3)-1))+2+16,3),INDEX('2030'!$A:$Z,(5+50*((N('My Rota'!$D$6)+3)-1))+2+16,3)))</f>
        <v/>
      </c>
      <c r="D269">
        <f>IF(OR($B269="",(N('My Rota'!$D$6)+3)&gt;53),"",""&amp;CHOOSE(IFERROR(MATCH('My Rota'!$D$5,Setup!$K$33:$K$36,0),1),INDEX('2027'!$A:$Z,(5+50*((N('My Rota'!$D$6)+3)-1))+2+16,4),INDEX('2028'!$A:$Z,(5+50*((N('My Rota'!$D$6)+3)-1))+2+16,4),INDEX('2029'!$A:$Z,(5+50*((N('My Rota'!$D$6)+3)-1))+2+16,4),INDEX('2030'!$A:$Z,(5+50*((N('My Rota'!$D$6)+3)-1))+2+16,4)))</f>
        <v/>
      </c>
      <c r="E269">
        <f>IF(OR($B269="",(N('My Rota'!$D$6)+3)&gt;53),"",""&amp;CHOOSE(IFERROR(MATCH('My Rota'!$D$5,Setup!$K$33:$K$36,0),1),INDEX('2027'!$A:$Z,(5+50*((N('My Rota'!$D$6)+3)-1))+2+16,5),INDEX('2028'!$A:$Z,(5+50*((N('My Rota'!$D$6)+3)-1))+2+16,5),INDEX('2029'!$A:$Z,(5+50*((N('My Rota'!$D$6)+3)-1))+2+16,5),INDEX('2030'!$A:$Z,(5+50*((N('My Rota'!$D$6)+3)-1))+2+16,5)))</f>
        <v/>
      </c>
      <c r="F269">
        <f>IF(OR($B269="",(N('My Rota'!$D$6)+3)&gt;53),"",""&amp;CHOOSE(IFERROR(MATCH('My Rota'!$D$5,Setup!$K$33:$K$36,0),1),INDEX('2027'!$A:$Z,(5+50*((N('My Rota'!$D$6)+3)-1))+2+16,6),INDEX('2028'!$A:$Z,(5+50*((N('My Rota'!$D$6)+3)-1))+2+16,6),INDEX('2029'!$A:$Z,(5+50*((N('My Rota'!$D$6)+3)-1))+2+16,6),INDEX('2030'!$A:$Z,(5+50*((N('My Rota'!$D$6)+3)-1))+2+16,6)))</f>
        <v/>
      </c>
      <c r="G269">
        <f>IF(OR($B269="",(N('My Rota'!$D$6)+3)&gt;53),"",""&amp;CHOOSE(IFERROR(MATCH('My Rota'!$D$5,Setup!$K$33:$K$36,0),1),INDEX('2027'!$A:$Z,(5+50*((N('My Rota'!$D$6)+3)-1))+2+16,7),INDEX('2028'!$A:$Z,(5+50*((N('My Rota'!$D$6)+3)-1))+2+16,7),INDEX('2029'!$A:$Z,(5+50*((N('My Rota'!$D$6)+3)-1))+2+16,7),INDEX('2030'!$A:$Z,(5+50*((N('My Rota'!$D$6)+3)-1))+2+16,7)))</f>
        <v/>
      </c>
      <c r="H269">
        <f>IF(OR($B269="",(N('My Rota'!$D$6)+3)&gt;53),"",""&amp;CHOOSE(IFERROR(MATCH('My Rota'!$D$5,Setup!$K$33:$K$36,0),1),INDEX('2027'!$A:$Z,(5+50*((N('My Rota'!$D$6)+3)-1))+2+16,8),INDEX('2028'!$A:$Z,(5+50*((N('My Rota'!$D$6)+3)-1))+2+16,8),INDEX('2029'!$A:$Z,(5+50*((N('My Rota'!$D$6)+3)-1))+2+16,8),INDEX('2030'!$A:$Z,(5+50*((N('My Rota'!$D$6)+3)-1))+2+16,8)))</f>
        <v/>
      </c>
      <c r="I269">
        <f>IF(OR($B269="",(N('My Rota'!$D$6)+3)&gt;53),"",""&amp;CHOOSE(IFERROR(MATCH('My Rota'!$D$5,Setup!$K$33:$K$36,0),1),INDEX('2027'!$A:$Z,(5+50*((N('My Rota'!$D$6)+3)-1))+2+16,9),INDEX('2028'!$A:$Z,(5+50*((N('My Rota'!$D$6)+3)-1))+2+16,9),INDEX('2029'!$A:$Z,(5+50*((N('My Rota'!$D$6)+3)-1))+2+16,9),INDEX('2030'!$A:$Z,(5+50*((N('My Rota'!$D$6)+3)-1))+2+16,9)))</f>
        <v/>
      </c>
      <c r="J269">
        <f>IF(OR($B269="",(N('My Rota'!$D$6)+3)&gt;53),"",""&amp;CHOOSE(IFERROR(MATCH('My Rota'!$D$5,Setup!$K$33:$K$36,0),1),INDEX('2027'!$A:$Z,(5+50*((N('My Rota'!$D$6)+3)-1))+2+16,10),INDEX('2028'!$A:$Z,(5+50*((N('My Rota'!$D$6)+3)-1))+2+16,10),INDEX('2029'!$A:$Z,(5+50*((N('My Rota'!$D$6)+3)-1))+2+16,10),INDEX('2030'!$A:$Z,(5+50*((N('My Rota'!$D$6)+3)-1))+2+16,10)))</f>
        <v/>
      </c>
      <c r="K269">
        <f>IF(OR($B269="",(N('My Rota'!$D$6)+3)&gt;53),"",""&amp;CHOOSE(IFERROR(MATCH('My Rota'!$D$5,Setup!$K$33:$K$36,0),1),INDEX('2027'!$A:$Z,(5+50*((N('My Rota'!$D$6)+3)-1))+2+16,11),INDEX('2028'!$A:$Z,(5+50*((N('My Rota'!$D$6)+3)-1))+2+16,11),INDEX('2029'!$A:$Z,(5+50*((N('My Rota'!$D$6)+3)-1))+2+16,11),INDEX('2030'!$A:$Z,(5+50*((N('My Rota'!$D$6)+3)-1))+2+16,11)))</f>
        <v/>
      </c>
      <c r="L269">
        <f>IF(OR($B269="",(N('My Rota'!$D$6)+3)&gt;53),"",""&amp;CHOOSE(IFERROR(MATCH('My Rota'!$D$5,Setup!$K$33:$K$36,0),1),INDEX('2027'!$A:$Z,(5+50*((N('My Rota'!$D$6)+3)-1))+2+16,12),INDEX('2028'!$A:$Z,(5+50*((N('My Rota'!$D$6)+3)-1))+2+16,12),INDEX('2029'!$A:$Z,(5+50*((N('My Rota'!$D$6)+3)-1))+2+16,12),INDEX('2030'!$A:$Z,(5+50*((N('My Rota'!$D$6)+3)-1))+2+16,12)))</f>
        <v/>
      </c>
      <c r="M269">
        <f>IF(OR($B269="",(N('My Rota'!$D$6)+3)&gt;53),"",""&amp;CHOOSE(IFERROR(MATCH('My Rota'!$D$5,Setup!$K$33:$K$36,0),1),INDEX('2027'!$A:$Z,(5+50*((N('My Rota'!$D$6)+3)-1))+2+16,13),INDEX('2028'!$A:$Z,(5+50*((N('My Rota'!$D$6)+3)-1))+2+16,13),INDEX('2029'!$A:$Z,(5+50*((N('My Rota'!$D$6)+3)-1))+2+16,13),INDEX('2030'!$A:$Z,(5+50*((N('My Rota'!$D$6)+3)-1))+2+16,13)))</f>
        <v/>
      </c>
      <c r="N269">
        <f>IF(OR($B269="",(N('My Rota'!$D$6)+3)&gt;53),"",""&amp;CHOOSE(IFERROR(MATCH('My Rota'!$D$5,Setup!$K$33:$K$36,0),1),INDEX('2027'!$A:$Z,(5+50*((N('My Rota'!$D$6)+3)-1))+2+16,14),INDEX('2028'!$A:$Z,(5+50*((N('My Rota'!$D$6)+3)-1))+2+16,14),INDEX('2029'!$A:$Z,(5+50*((N('My Rota'!$D$6)+3)-1))+2+16,14),INDEX('2030'!$A:$Z,(5+50*((N('My Rota'!$D$6)+3)-1))+2+16,14)))</f>
        <v/>
      </c>
      <c r="O269">
        <f>IF(OR($B269="",(N('My Rota'!$D$6)+3)&gt;53),"",""&amp;CHOOSE(IFERROR(MATCH('My Rota'!$D$5,Setup!$K$33:$K$36,0),1),INDEX('2027'!$A:$Z,(5+50*((N('My Rota'!$D$6)+3)-1))+2+16,15),INDEX('2028'!$A:$Z,(5+50*((N('My Rota'!$D$6)+3)-1))+2+16,15),INDEX('2029'!$A:$Z,(5+50*((N('My Rota'!$D$6)+3)-1))+2+16,15),INDEX('2030'!$A:$Z,(5+50*((N('My Rota'!$D$6)+3)-1))+2+16,15)))</f>
        <v/>
      </c>
      <c r="P269">
        <f>IF(OR($B269="",(N('My Rota'!$D$6)+3)&gt;53),"",""&amp;CHOOSE(IFERROR(MATCH('My Rota'!$D$5,Setup!$K$33:$K$36,0),1),INDEX('2027'!$A:$Z,(5+50*((N('My Rota'!$D$6)+3)-1))+2+16,16),INDEX('2028'!$A:$Z,(5+50*((N('My Rota'!$D$6)+3)-1))+2+16,16),INDEX('2029'!$A:$Z,(5+50*((N('My Rota'!$D$6)+3)-1))+2+16,16),INDEX('2030'!$A:$Z,(5+50*((N('My Rota'!$D$6)+3)-1))+2+16,16)))</f>
        <v/>
      </c>
      <c r="Q269">
        <f>IF(OR($B269="",(N('My Rota'!$D$6)+3)&gt;53),"",""&amp;CHOOSE(IFERROR(MATCH('My Rota'!$D$5,Setup!$K$33:$K$36,0),1),INDEX('2027'!$A:$Z,(5+50*((N('My Rota'!$D$6)+3)-1))+2+16,17),INDEX('2028'!$A:$Z,(5+50*((N('My Rota'!$D$6)+3)-1))+2+16,17),INDEX('2029'!$A:$Z,(5+50*((N('My Rota'!$D$6)+3)-1))+2+16,17),INDEX('2030'!$A:$Z,(5+50*((N('My Rota'!$D$6)+3)-1))+2+16,17)))</f>
        <v/>
      </c>
      <c r="R269">
        <f>IF(OR($B269="",(N('My Rota'!$D$6)+3)&gt;53),"",""&amp;CHOOSE(IFERROR(MATCH('My Rota'!$D$5,Setup!$K$33:$K$36,0),1),INDEX('2027'!$A:$Z,(5+50*((N('My Rota'!$D$6)+3)-1))+2+16,18),INDEX('2028'!$A:$Z,(5+50*((N('My Rota'!$D$6)+3)-1))+2+16,18),INDEX('2029'!$A:$Z,(5+50*((N('My Rota'!$D$6)+3)-1))+2+16,18),INDEX('2030'!$A:$Z,(5+50*((N('My Rota'!$D$6)+3)-1))+2+16,18)))</f>
        <v/>
      </c>
      <c r="S269">
        <f>IF(OR($B269="",(N('My Rota'!$D$6)+3)&gt;53),"",""&amp;CHOOSE(IFERROR(MATCH('My Rota'!$D$5,Setup!$K$33:$K$36,0),1),INDEX('2027'!$A:$Z,(5+50*((N('My Rota'!$D$6)+3)-1))+2+16,19),INDEX('2028'!$A:$Z,(5+50*((N('My Rota'!$D$6)+3)-1))+2+16,19),INDEX('2029'!$A:$Z,(5+50*((N('My Rota'!$D$6)+3)-1))+2+16,19),INDEX('2030'!$A:$Z,(5+50*((N('My Rota'!$D$6)+3)-1))+2+16,19)))</f>
        <v/>
      </c>
      <c r="T269">
        <f>IF(OR($B269="",(N('My Rota'!$D$6)+3)&gt;53),"",""&amp;CHOOSE(IFERROR(MATCH('My Rota'!$D$5,Setup!$K$33:$K$36,0),1),INDEX('2027'!$A:$Z,(5+50*((N('My Rota'!$D$6)+3)-1))+2+16,20),INDEX('2028'!$A:$Z,(5+50*((N('My Rota'!$D$6)+3)-1))+2+16,20),INDEX('2029'!$A:$Z,(5+50*((N('My Rota'!$D$6)+3)-1))+2+16,20),INDEX('2030'!$A:$Z,(5+50*((N('My Rota'!$D$6)+3)-1))+2+16,20)))</f>
        <v/>
      </c>
      <c r="U269">
        <f>IF(OR($B269="",(N('My Rota'!$D$6)+3)&gt;53),"",""&amp;CHOOSE(IFERROR(MATCH('My Rota'!$D$5,Setup!$K$33:$K$36,0),1),INDEX('2027'!$A:$Z,(5+50*((N('My Rota'!$D$6)+3)-1))+2+16,21),INDEX('2028'!$A:$Z,(5+50*((N('My Rota'!$D$6)+3)-1))+2+16,21),INDEX('2029'!$A:$Z,(5+50*((N('My Rota'!$D$6)+3)-1))+2+16,21),INDEX('2030'!$A:$Z,(5+50*((N('My Rota'!$D$6)+3)-1))+2+16,21)))</f>
        <v/>
      </c>
      <c r="V269">
        <f>IF(OR($B269="",(N('My Rota'!$D$6)+3)&gt;53),"",""&amp;CHOOSE(IFERROR(MATCH('My Rota'!$D$5,Setup!$K$33:$K$36,0),1),INDEX('2027'!$A:$Z,(5+50*((N('My Rota'!$D$6)+3)-1))+2+16,22),INDEX('2028'!$A:$Z,(5+50*((N('My Rota'!$D$6)+3)-1))+2+16,22),INDEX('2029'!$A:$Z,(5+50*((N('My Rota'!$D$6)+3)-1))+2+16,22),INDEX('2030'!$A:$Z,(5+50*((N('My Rota'!$D$6)+3)-1))+2+16,22)))</f>
        <v/>
      </c>
      <c r="W269">
        <f>IF(OR($B269="",(N('My Rota'!$D$6)+3)&gt;53),"",""&amp;CHOOSE(IFERROR(MATCH('My Rota'!$D$5,Setup!$K$33:$K$36,0),1),INDEX('2027'!$A:$Z,(5+50*((N('My Rota'!$D$6)+3)-1))+2+16,23),INDEX('2028'!$A:$Z,(5+50*((N('My Rota'!$D$6)+3)-1))+2+16,23),INDEX('2029'!$A:$Z,(5+50*((N('My Rota'!$D$6)+3)-1))+2+16,23),INDEX('2030'!$A:$Z,(5+50*((N('My Rota'!$D$6)+3)-1))+2+16,23)))</f>
        <v/>
      </c>
      <c r="X269">
        <f>IF(OR($B269="",(N('My Rota'!$D$6)+3)&gt;53),"",""&amp;CHOOSE(IFERROR(MATCH('My Rota'!$D$5,Setup!$K$33:$K$36,0),1),INDEX('2027'!$A:$Z,(5+50*((N('My Rota'!$D$6)+3)-1))+2+16,24),INDEX('2028'!$A:$Z,(5+50*((N('My Rota'!$D$6)+3)-1))+2+16,24),INDEX('2029'!$A:$Z,(5+50*((N('My Rota'!$D$6)+3)-1))+2+16,24),INDEX('2030'!$A:$Z,(5+50*((N('My Rota'!$D$6)+3)-1))+2+16,24)))</f>
        <v/>
      </c>
      <c r="Y269">
        <f>IF(OR($B269="",(N('My Rota'!$D$6)+3)&gt;53),"",""&amp;CHOOSE(IFERROR(MATCH('My Rota'!$D$5,Setup!$K$33:$K$36,0),1),INDEX('2027'!$A:$Z,(5+50*((N('My Rota'!$D$6)+3)-1))+2+16,25),INDEX('2028'!$A:$Z,(5+50*((N('My Rota'!$D$6)+3)-1))+2+16,25),INDEX('2029'!$A:$Z,(5+50*((N('My Rota'!$D$6)+3)-1))+2+16,25),INDEX('2030'!$A:$Z,(5+50*((N('My Rota'!$D$6)+3)-1))+2+16,25)))</f>
        <v/>
      </c>
      <c r="Z269">
        <f>IF(OR($B269="",(N('My Rota'!$D$6)+3)&gt;53),"",""&amp;CHOOSE(IFERROR(MATCH('My Rota'!$D$5,Setup!$K$33:$K$36,0),1),INDEX('2027'!$A:$Z,(5+50*((N('My Rota'!$D$6)+3)-1))+2+16,26),INDEX('2028'!$A:$Z,(5+50*((N('My Rota'!$D$6)+3)-1))+2+16,26),INDEX('2029'!$A:$Z,(5+50*((N('My Rota'!$D$6)+3)-1))+2+16,26),INDEX('2030'!$A:$Z,(5+50*((N('My Rota'!$D$6)+3)-1))+2+16,26)))</f>
        <v/>
      </c>
    </row>
    <row r="270">
      <c r="A270" t="n">
        <v>4</v>
      </c>
      <c r="B270">
        <f>$B$63</f>
        <v/>
      </c>
      <c r="C270">
        <f>IF(OR($B270="",(N('My Rota'!$D$6)+3)&gt;53),"",""&amp;CHOOSE(IFERROR(MATCH('My Rota'!$D$5,Setup!$K$33:$K$36,0),1),INDEX('2027'!$A:$Z,(5+50*((N('My Rota'!$D$6)+3)-1))+2+17,3),INDEX('2028'!$A:$Z,(5+50*((N('My Rota'!$D$6)+3)-1))+2+17,3),INDEX('2029'!$A:$Z,(5+50*((N('My Rota'!$D$6)+3)-1))+2+17,3),INDEX('2030'!$A:$Z,(5+50*((N('My Rota'!$D$6)+3)-1))+2+17,3)))</f>
        <v/>
      </c>
      <c r="D270">
        <f>IF(OR($B270="",(N('My Rota'!$D$6)+3)&gt;53),"",""&amp;CHOOSE(IFERROR(MATCH('My Rota'!$D$5,Setup!$K$33:$K$36,0),1),INDEX('2027'!$A:$Z,(5+50*((N('My Rota'!$D$6)+3)-1))+2+17,4),INDEX('2028'!$A:$Z,(5+50*((N('My Rota'!$D$6)+3)-1))+2+17,4),INDEX('2029'!$A:$Z,(5+50*((N('My Rota'!$D$6)+3)-1))+2+17,4),INDEX('2030'!$A:$Z,(5+50*((N('My Rota'!$D$6)+3)-1))+2+17,4)))</f>
        <v/>
      </c>
      <c r="E270">
        <f>IF(OR($B270="",(N('My Rota'!$D$6)+3)&gt;53),"",""&amp;CHOOSE(IFERROR(MATCH('My Rota'!$D$5,Setup!$K$33:$K$36,0),1),INDEX('2027'!$A:$Z,(5+50*((N('My Rota'!$D$6)+3)-1))+2+17,5),INDEX('2028'!$A:$Z,(5+50*((N('My Rota'!$D$6)+3)-1))+2+17,5),INDEX('2029'!$A:$Z,(5+50*((N('My Rota'!$D$6)+3)-1))+2+17,5),INDEX('2030'!$A:$Z,(5+50*((N('My Rota'!$D$6)+3)-1))+2+17,5)))</f>
        <v/>
      </c>
      <c r="F270">
        <f>IF(OR($B270="",(N('My Rota'!$D$6)+3)&gt;53),"",""&amp;CHOOSE(IFERROR(MATCH('My Rota'!$D$5,Setup!$K$33:$K$36,0),1),INDEX('2027'!$A:$Z,(5+50*((N('My Rota'!$D$6)+3)-1))+2+17,6),INDEX('2028'!$A:$Z,(5+50*((N('My Rota'!$D$6)+3)-1))+2+17,6),INDEX('2029'!$A:$Z,(5+50*((N('My Rota'!$D$6)+3)-1))+2+17,6),INDEX('2030'!$A:$Z,(5+50*((N('My Rota'!$D$6)+3)-1))+2+17,6)))</f>
        <v/>
      </c>
      <c r="G270">
        <f>IF(OR($B270="",(N('My Rota'!$D$6)+3)&gt;53),"",""&amp;CHOOSE(IFERROR(MATCH('My Rota'!$D$5,Setup!$K$33:$K$36,0),1),INDEX('2027'!$A:$Z,(5+50*((N('My Rota'!$D$6)+3)-1))+2+17,7),INDEX('2028'!$A:$Z,(5+50*((N('My Rota'!$D$6)+3)-1))+2+17,7),INDEX('2029'!$A:$Z,(5+50*((N('My Rota'!$D$6)+3)-1))+2+17,7),INDEX('2030'!$A:$Z,(5+50*((N('My Rota'!$D$6)+3)-1))+2+17,7)))</f>
        <v/>
      </c>
      <c r="H270">
        <f>IF(OR($B270="",(N('My Rota'!$D$6)+3)&gt;53),"",""&amp;CHOOSE(IFERROR(MATCH('My Rota'!$D$5,Setup!$K$33:$K$36,0),1),INDEX('2027'!$A:$Z,(5+50*((N('My Rota'!$D$6)+3)-1))+2+17,8),INDEX('2028'!$A:$Z,(5+50*((N('My Rota'!$D$6)+3)-1))+2+17,8),INDEX('2029'!$A:$Z,(5+50*((N('My Rota'!$D$6)+3)-1))+2+17,8),INDEX('2030'!$A:$Z,(5+50*((N('My Rota'!$D$6)+3)-1))+2+17,8)))</f>
        <v/>
      </c>
      <c r="I270">
        <f>IF(OR($B270="",(N('My Rota'!$D$6)+3)&gt;53),"",""&amp;CHOOSE(IFERROR(MATCH('My Rota'!$D$5,Setup!$K$33:$K$36,0),1),INDEX('2027'!$A:$Z,(5+50*((N('My Rota'!$D$6)+3)-1))+2+17,9),INDEX('2028'!$A:$Z,(5+50*((N('My Rota'!$D$6)+3)-1))+2+17,9),INDEX('2029'!$A:$Z,(5+50*((N('My Rota'!$D$6)+3)-1))+2+17,9),INDEX('2030'!$A:$Z,(5+50*((N('My Rota'!$D$6)+3)-1))+2+17,9)))</f>
        <v/>
      </c>
      <c r="J270">
        <f>IF(OR($B270="",(N('My Rota'!$D$6)+3)&gt;53),"",""&amp;CHOOSE(IFERROR(MATCH('My Rota'!$D$5,Setup!$K$33:$K$36,0),1),INDEX('2027'!$A:$Z,(5+50*((N('My Rota'!$D$6)+3)-1))+2+17,10),INDEX('2028'!$A:$Z,(5+50*((N('My Rota'!$D$6)+3)-1))+2+17,10),INDEX('2029'!$A:$Z,(5+50*((N('My Rota'!$D$6)+3)-1))+2+17,10),INDEX('2030'!$A:$Z,(5+50*((N('My Rota'!$D$6)+3)-1))+2+17,10)))</f>
        <v/>
      </c>
      <c r="K270">
        <f>IF(OR($B270="",(N('My Rota'!$D$6)+3)&gt;53),"",""&amp;CHOOSE(IFERROR(MATCH('My Rota'!$D$5,Setup!$K$33:$K$36,0),1),INDEX('2027'!$A:$Z,(5+50*((N('My Rota'!$D$6)+3)-1))+2+17,11),INDEX('2028'!$A:$Z,(5+50*((N('My Rota'!$D$6)+3)-1))+2+17,11),INDEX('2029'!$A:$Z,(5+50*((N('My Rota'!$D$6)+3)-1))+2+17,11),INDEX('2030'!$A:$Z,(5+50*((N('My Rota'!$D$6)+3)-1))+2+17,11)))</f>
        <v/>
      </c>
      <c r="L270">
        <f>IF(OR($B270="",(N('My Rota'!$D$6)+3)&gt;53),"",""&amp;CHOOSE(IFERROR(MATCH('My Rota'!$D$5,Setup!$K$33:$K$36,0),1),INDEX('2027'!$A:$Z,(5+50*((N('My Rota'!$D$6)+3)-1))+2+17,12),INDEX('2028'!$A:$Z,(5+50*((N('My Rota'!$D$6)+3)-1))+2+17,12),INDEX('2029'!$A:$Z,(5+50*((N('My Rota'!$D$6)+3)-1))+2+17,12),INDEX('2030'!$A:$Z,(5+50*((N('My Rota'!$D$6)+3)-1))+2+17,12)))</f>
        <v/>
      </c>
      <c r="M270">
        <f>IF(OR($B270="",(N('My Rota'!$D$6)+3)&gt;53),"",""&amp;CHOOSE(IFERROR(MATCH('My Rota'!$D$5,Setup!$K$33:$K$36,0),1),INDEX('2027'!$A:$Z,(5+50*((N('My Rota'!$D$6)+3)-1))+2+17,13),INDEX('2028'!$A:$Z,(5+50*((N('My Rota'!$D$6)+3)-1))+2+17,13),INDEX('2029'!$A:$Z,(5+50*((N('My Rota'!$D$6)+3)-1))+2+17,13),INDEX('2030'!$A:$Z,(5+50*((N('My Rota'!$D$6)+3)-1))+2+17,13)))</f>
        <v/>
      </c>
      <c r="N270">
        <f>IF(OR($B270="",(N('My Rota'!$D$6)+3)&gt;53),"",""&amp;CHOOSE(IFERROR(MATCH('My Rota'!$D$5,Setup!$K$33:$K$36,0),1),INDEX('2027'!$A:$Z,(5+50*((N('My Rota'!$D$6)+3)-1))+2+17,14),INDEX('2028'!$A:$Z,(5+50*((N('My Rota'!$D$6)+3)-1))+2+17,14),INDEX('2029'!$A:$Z,(5+50*((N('My Rota'!$D$6)+3)-1))+2+17,14),INDEX('2030'!$A:$Z,(5+50*((N('My Rota'!$D$6)+3)-1))+2+17,14)))</f>
        <v/>
      </c>
      <c r="O270">
        <f>IF(OR($B270="",(N('My Rota'!$D$6)+3)&gt;53),"",""&amp;CHOOSE(IFERROR(MATCH('My Rota'!$D$5,Setup!$K$33:$K$36,0),1),INDEX('2027'!$A:$Z,(5+50*((N('My Rota'!$D$6)+3)-1))+2+17,15),INDEX('2028'!$A:$Z,(5+50*((N('My Rota'!$D$6)+3)-1))+2+17,15),INDEX('2029'!$A:$Z,(5+50*((N('My Rota'!$D$6)+3)-1))+2+17,15),INDEX('2030'!$A:$Z,(5+50*((N('My Rota'!$D$6)+3)-1))+2+17,15)))</f>
        <v/>
      </c>
      <c r="P270">
        <f>IF(OR($B270="",(N('My Rota'!$D$6)+3)&gt;53),"",""&amp;CHOOSE(IFERROR(MATCH('My Rota'!$D$5,Setup!$K$33:$K$36,0),1),INDEX('2027'!$A:$Z,(5+50*((N('My Rota'!$D$6)+3)-1))+2+17,16),INDEX('2028'!$A:$Z,(5+50*((N('My Rota'!$D$6)+3)-1))+2+17,16),INDEX('2029'!$A:$Z,(5+50*((N('My Rota'!$D$6)+3)-1))+2+17,16),INDEX('2030'!$A:$Z,(5+50*((N('My Rota'!$D$6)+3)-1))+2+17,16)))</f>
        <v/>
      </c>
      <c r="Q270">
        <f>IF(OR($B270="",(N('My Rota'!$D$6)+3)&gt;53),"",""&amp;CHOOSE(IFERROR(MATCH('My Rota'!$D$5,Setup!$K$33:$K$36,0),1),INDEX('2027'!$A:$Z,(5+50*((N('My Rota'!$D$6)+3)-1))+2+17,17),INDEX('2028'!$A:$Z,(5+50*((N('My Rota'!$D$6)+3)-1))+2+17,17),INDEX('2029'!$A:$Z,(5+50*((N('My Rota'!$D$6)+3)-1))+2+17,17),INDEX('2030'!$A:$Z,(5+50*((N('My Rota'!$D$6)+3)-1))+2+17,17)))</f>
        <v/>
      </c>
      <c r="R270">
        <f>IF(OR($B270="",(N('My Rota'!$D$6)+3)&gt;53),"",""&amp;CHOOSE(IFERROR(MATCH('My Rota'!$D$5,Setup!$K$33:$K$36,0),1),INDEX('2027'!$A:$Z,(5+50*((N('My Rota'!$D$6)+3)-1))+2+17,18),INDEX('2028'!$A:$Z,(5+50*((N('My Rota'!$D$6)+3)-1))+2+17,18),INDEX('2029'!$A:$Z,(5+50*((N('My Rota'!$D$6)+3)-1))+2+17,18),INDEX('2030'!$A:$Z,(5+50*((N('My Rota'!$D$6)+3)-1))+2+17,18)))</f>
        <v/>
      </c>
      <c r="S270">
        <f>IF(OR($B270="",(N('My Rota'!$D$6)+3)&gt;53),"",""&amp;CHOOSE(IFERROR(MATCH('My Rota'!$D$5,Setup!$K$33:$K$36,0),1),INDEX('2027'!$A:$Z,(5+50*((N('My Rota'!$D$6)+3)-1))+2+17,19),INDEX('2028'!$A:$Z,(5+50*((N('My Rota'!$D$6)+3)-1))+2+17,19),INDEX('2029'!$A:$Z,(5+50*((N('My Rota'!$D$6)+3)-1))+2+17,19),INDEX('2030'!$A:$Z,(5+50*((N('My Rota'!$D$6)+3)-1))+2+17,19)))</f>
        <v/>
      </c>
      <c r="T270">
        <f>IF(OR($B270="",(N('My Rota'!$D$6)+3)&gt;53),"",""&amp;CHOOSE(IFERROR(MATCH('My Rota'!$D$5,Setup!$K$33:$K$36,0),1),INDEX('2027'!$A:$Z,(5+50*((N('My Rota'!$D$6)+3)-1))+2+17,20),INDEX('2028'!$A:$Z,(5+50*((N('My Rota'!$D$6)+3)-1))+2+17,20),INDEX('2029'!$A:$Z,(5+50*((N('My Rota'!$D$6)+3)-1))+2+17,20),INDEX('2030'!$A:$Z,(5+50*((N('My Rota'!$D$6)+3)-1))+2+17,20)))</f>
        <v/>
      </c>
      <c r="U270">
        <f>IF(OR($B270="",(N('My Rota'!$D$6)+3)&gt;53),"",""&amp;CHOOSE(IFERROR(MATCH('My Rota'!$D$5,Setup!$K$33:$K$36,0),1),INDEX('2027'!$A:$Z,(5+50*((N('My Rota'!$D$6)+3)-1))+2+17,21),INDEX('2028'!$A:$Z,(5+50*((N('My Rota'!$D$6)+3)-1))+2+17,21),INDEX('2029'!$A:$Z,(5+50*((N('My Rota'!$D$6)+3)-1))+2+17,21),INDEX('2030'!$A:$Z,(5+50*((N('My Rota'!$D$6)+3)-1))+2+17,21)))</f>
        <v/>
      </c>
      <c r="V270">
        <f>IF(OR($B270="",(N('My Rota'!$D$6)+3)&gt;53),"",""&amp;CHOOSE(IFERROR(MATCH('My Rota'!$D$5,Setup!$K$33:$K$36,0),1),INDEX('2027'!$A:$Z,(5+50*((N('My Rota'!$D$6)+3)-1))+2+17,22),INDEX('2028'!$A:$Z,(5+50*((N('My Rota'!$D$6)+3)-1))+2+17,22),INDEX('2029'!$A:$Z,(5+50*((N('My Rota'!$D$6)+3)-1))+2+17,22),INDEX('2030'!$A:$Z,(5+50*((N('My Rota'!$D$6)+3)-1))+2+17,22)))</f>
        <v/>
      </c>
      <c r="W270">
        <f>IF(OR($B270="",(N('My Rota'!$D$6)+3)&gt;53),"",""&amp;CHOOSE(IFERROR(MATCH('My Rota'!$D$5,Setup!$K$33:$K$36,0),1),INDEX('2027'!$A:$Z,(5+50*((N('My Rota'!$D$6)+3)-1))+2+17,23),INDEX('2028'!$A:$Z,(5+50*((N('My Rota'!$D$6)+3)-1))+2+17,23),INDEX('2029'!$A:$Z,(5+50*((N('My Rota'!$D$6)+3)-1))+2+17,23),INDEX('2030'!$A:$Z,(5+50*((N('My Rota'!$D$6)+3)-1))+2+17,23)))</f>
        <v/>
      </c>
      <c r="X270">
        <f>IF(OR($B270="",(N('My Rota'!$D$6)+3)&gt;53),"",""&amp;CHOOSE(IFERROR(MATCH('My Rota'!$D$5,Setup!$K$33:$K$36,0),1),INDEX('2027'!$A:$Z,(5+50*((N('My Rota'!$D$6)+3)-1))+2+17,24),INDEX('2028'!$A:$Z,(5+50*((N('My Rota'!$D$6)+3)-1))+2+17,24),INDEX('2029'!$A:$Z,(5+50*((N('My Rota'!$D$6)+3)-1))+2+17,24),INDEX('2030'!$A:$Z,(5+50*((N('My Rota'!$D$6)+3)-1))+2+17,24)))</f>
        <v/>
      </c>
      <c r="Y270">
        <f>IF(OR($B270="",(N('My Rota'!$D$6)+3)&gt;53),"",""&amp;CHOOSE(IFERROR(MATCH('My Rota'!$D$5,Setup!$K$33:$K$36,0),1),INDEX('2027'!$A:$Z,(5+50*((N('My Rota'!$D$6)+3)-1))+2+17,25),INDEX('2028'!$A:$Z,(5+50*((N('My Rota'!$D$6)+3)-1))+2+17,25),INDEX('2029'!$A:$Z,(5+50*((N('My Rota'!$D$6)+3)-1))+2+17,25),INDEX('2030'!$A:$Z,(5+50*((N('My Rota'!$D$6)+3)-1))+2+17,25)))</f>
        <v/>
      </c>
      <c r="Z270">
        <f>IF(OR($B270="",(N('My Rota'!$D$6)+3)&gt;53),"",""&amp;CHOOSE(IFERROR(MATCH('My Rota'!$D$5,Setup!$K$33:$K$36,0),1),INDEX('2027'!$A:$Z,(5+50*((N('My Rota'!$D$6)+3)-1))+2+17,26),INDEX('2028'!$A:$Z,(5+50*((N('My Rota'!$D$6)+3)-1))+2+17,26),INDEX('2029'!$A:$Z,(5+50*((N('My Rota'!$D$6)+3)-1))+2+17,26),INDEX('2030'!$A:$Z,(5+50*((N('My Rota'!$D$6)+3)-1))+2+17,26)))</f>
        <v/>
      </c>
    </row>
    <row r="271">
      <c r="A271" t="n">
        <v>4</v>
      </c>
      <c r="B271">
        <f>$B$64</f>
        <v/>
      </c>
      <c r="C271">
        <f>IF(OR($B271="",(N('My Rota'!$D$6)+3)&gt;53),"",""&amp;CHOOSE(IFERROR(MATCH('My Rota'!$D$5,Setup!$K$33:$K$36,0),1),INDEX('2027'!$A:$Z,(5+50*((N('My Rota'!$D$6)+3)-1))+2+18,3),INDEX('2028'!$A:$Z,(5+50*((N('My Rota'!$D$6)+3)-1))+2+18,3),INDEX('2029'!$A:$Z,(5+50*((N('My Rota'!$D$6)+3)-1))+2+18,3),INDEX('2030'!$A:$Z,(5+50*((N('My Rota'!$D$6)+3)-1))+2+18,3)))</f>
        <v/>
      </c>
      <c r="D271">
        <f>IF(OR($B271="",(N('My Rota'!$D$6)+3)&gt;53),"",""&amp;CHOOSE(IFERROR(MATCH('My Rota'!$D$5,Setup!$K$33:$K$36,0),1),INDEX('2027'!$A:$Z,(5+50*((N('My Rota'!$D$6)+3)-1))+2+18,4),INDEX('2028'!$A:$Z,(5+50*((N('My Rota'!$D$6)+3)-1))+2+18,4),INDEX('2029'!$A:$Z,(5+50*((N('My Rota'!$D$6)+3)-1))+2+18,4),INDEX('2030'!$A:$Z,(5+50*((N('My Rota'!$D$6)+3)-1))+2+18,4)))</f>
        <v/>
      </c>
      <c r="E271">
        <f>IF(OR($B271="",(N('My Rota'!$D$6)+3)&gt;53),"",""&amp;CHOOSE(IFERROR(MATCH('My Rota'!$D$5,Setup!$K$33:$K$36,0),1),INDEX('2027'!$A:$Z,(5+50*((N('My Rota'!$D$6)+3)-1))+2+18,5),INDEX('2028'!$A:$Z,(5+50*((N('My Rota'!$D$6)+3)-1))+2+18,5),INDEX('2029'!$A:$Z,(5+50*((N('My Rota'!$D$6)+3)-1))+2+18,5),INDEX('2030'!$A:$Z,(5+50*((N('My Rota'!$D$6)+3)-1))+2+18,5)))</f>
        <v/>
      </c>
      <c r="F271">
        <f>IF(OR($B271="",(N('My Rota'!$D$6)+3)&gt;53),"",""&amp;CHOOSE(IFERROR(MATCH('My Rota'!$D$5,Setup!$K$33:$K$36,0),1),INDEX('2027'!$A:$Z,(5+50*((N('My Rota'!$D$6)+3)-1))+2+18,6),INDEX('2028'!$A:$Z,(5+50*((N('My Rota'!$D$6)+3)-1))+2+18,6),INDEX('2029'!$A:$Z,(5+50*((N('My Rota'!$D$6)+3)-1))+2+18,6),INDEX('2030'!$A:$Z,(5+50*((N('My Rota'!$D$6)+3)-1))+2+18,6)))</f>
        <v/>
      </c>
      <c r="G271">
        <f>IF(OR($B271="",(N('My Rota'!$D$6)+3)&gt;53),"",""&amp;CHOOSE(IFERROR(MATCH('My Rota'!$D$5,Setup!$K$33:$K$36,0),1),INDEX('2027'!$A:$Z,(5+50*((N('My Rota'!$D$6)+3)-1))+2+18,7),INDEX('2028'!$A:$Z,(5+50*((N('My Rota'!$D$6)+3)-1))+2+18,7),INDEX('2029'!$A:$Z,(5+50*((N('My Rota'!$D$6)+3)-1))+2+18,7),INDEX('2030'!$A:$Z,(5+50*((N('My Rota'!$D$6)+3)-1))+2+18,7)))</f>
        <v/>
      </c>
      <c r="H271">
        <f>IF(OR($B271="",(N('My Rota'!$D$6)+3)&gt;53),"",""&amp;CHOOSE(IFERROR(MATCH('My Rota'!$D$5,Setup!$K$33:$K$36,0),1),INDEX('2027'!$A:$Z,(5+50*((N('My Rota'!$D$6)+3)-1))+2+18,8),INDEX('2028'!$A:$Z,(5+50*((N('My Rota'!$D$6)+3)-1))+2+18,8),INDEX('2029'!$A:$Z,(5+50*((N('My Rota'!$D$6)+3)-1))+2+18,8),INDEX('2030'!$A:$Z,(5+50*((N('My Rota'!$D$6)+3)-1))+2+18,8)))</f>
        <v/>
      </c>
      <c r="I271">
        <f>IF(OR($B271="",(N('My Rota'!$D$6)+3)&gt;53),"",""&amp;CHOOSE(IFERROR(MATCH('My Rota'!$D$5,Setup!$K$33:$K$36,0),1),INDEX('2027'!$A:$Z,(5+50*((N('My Rota'!$D$6)+3)-1))+2+18,9),INDEX('2028'!$A:$Z,(5+50*((N('My Rota'!$D$6)+3)-1))+2+18,9),INDEX('2029'!$A:$Z,(5+50*((N('My Rota'!$D$6)+3)-1))+2+18,9),INDEX('2030'!$A:$Z,(5+50*((N('My Rota'!$D$6)+3)-1))+2+18,9)))</f>
        <v/>
      </c>
      <c r="J271">
        <f>IF(OR($B271="",(N('My Rota'!$D$6)+3)&gt;53),"",""&amp;CHOOSE(IFERROR(MATCH('My Rota'!$D$5,Setup!$K$33:$K$36,0),1),INDEX('2027'!$A:$Z,(5+50*((N('My Rota'!$D$6)+3)-1))+2+18,10),INDEX('2028'!$A:$Z,(5+50*((N('My Rota'!$D$6)+3)-1))+2+18,10),INDEX('2029'!$A:$Z,(5+50*((N('My Rota'!$D$6)+3)-1))+2+18,10),INDEX('2030'!$A:$Z,(5+50*((N('My Rota'!$D$6)+3)-1))+2+18,10)))</f>
        <v/>
      </c>
      <c r="K271">
        <f>IF(OR($B271="",(N('My Rota'!$D$6)+3)&gt;53),"",""&amp;CHOOSE(IFERROR(MATCH('My Rota'!$D$5,Setup!$K$33:$K$36,0),1),INDEX('2027'!$A:$Z,(5+50*((N('My Rota'!$D$6)+3)-1))+2+18,11),INDEX('2028'!$A:$Z,(5+50*((N('My Rota'!$D$6)+3)-1))+2+18,11),INDEX('2029'!$A:$Z,(5+50*((N('My Rota'!$D$6)+3)-1))+2+18,11),INDEX('2030'!$A:$Z,(5+50*((N('My Rota'!$D$6)+3)-1))+2+18,11)))</f>
        <v/>
      </c>
      <c r="L271">
        <f>IF(OR($B271="",(N('My Rota'!$D$6)+3)&gt;53),"",""&amp;CHOOSE(IFERROR(MATCH('My Rota'!$D$5,Setup!$K$33:$K$36,0),1),INDEX('2027'!$A:$Z,(5+50*((N('My Rota'!$D$6)+3)-1))+2+18,12),INDEX('2028'!$A:$Z,(5+50*((N('My Rota'!$D$6)+3)-1))+2+18,12),INDEX('2029'!$A:$Z,(5+50*((N('My Rota'!$D$6)+3)-1))+2+18,12),INDEX('2030'!$A:$Z,(5+50*((N('My Rota'!$D$6)+3)-1))+2+18,12)))</f>
        <v/>
      </c>
      <c r="M271">
        <f>IF(OR($B271="",(N('My Rota'!$D$6)+3)&gt;53),"",""&amp;CHOOSE(IFERROR(MATCH('My Rota'!$D$5,Setup!$K$33:$K$36,0),1),INDEX('2027'!$A:$Z,(5+50*((N('My Rota'!$D$6)+3)-1))+2+18,13),INDEX('2028'!$A:$Z,(5+50*((N('My Rota'!$D$6)+3)-1))+2+18,13),INDEX('2029'!$A:$Z,(5+50*((N('My Rota'!$D$6)+3)-1))+2+18,13),INDEX('2030'!$A:$Z,(5+50*((N('My Rota'!$D$6)+3)-1))+2+18,13)))</f>
        <v/>
      </c>
      <c r="N271">
        <f>IF(OR($B271="",(N('My Rota'!$D$6)+3)&gt;53),"",""&amp;CHOOSE(IFERROR(MATCH('My Rota'!$D$5,Setup!$K$33:$K$36,0),1),INDEX('2027'!$A:$Z,(5+50*((N('My Rota'!$D$6)+3)-1))+2+18,14),INDEX('2028'!$A:$Z,(5+50*((N('My Rota'!$D$6)+3)-1))+2+18,14),INDEX('2029'!$A:$Z,(5+50*((N('My Rota'!$D$6)+3)-1))+2+18,14),INDEX('2030'!$A:$Z,(5+50*((N('My Rota'!$D$6)+3)-1))+2+18,14)))</f>
        <v/>
      </c>
      <c r="O271">
        <f>IF(OR($B271="",(N('My Rota'!$D$6)+3)&gt;53),"",""&amp;CHOOSE(IFERROR(MATCH('My Rota'!$D$5,Setup!$K$33:$K$36,0),1),INDEX('2027'!$A:$Z,(5+50*((N('My Rota'!$D$6)+3)-1))+2+18,15),INDEX('2028'!$A:$Z,(5+50*((N('My Rota'!$D$6)+3)-1))+2+18,15),INDEX('2029'!$A:$Z,(5+50*((N('My Rota'!$D$6)+3)-1))+2+18,15),INDEX('2030'!$A:$Z,(5+50*((N('My Rota'!$D$6)+3)-1))+2+18,15)))</f>
        <v/>
      </c>
      <c r="P271">
        <f>IF(OR($B271="",(N('My Rota'!$D$6)+3)&gt;53),"",""&amp;CHOOSE(IFERROR(MATCH('My Rota'!$D$5,Setup!$K$33:$K$36,0),1),INDEX('2027'!$A:$Z,(5+50*((N('My Rota'!$D$6)+3)-1))+2+18,16),INDEX('2028'!$A:$Z,(5+50*((N('My Rota'!$D$6)+3)-1))+2+18,16),INDEX('2029'!$A:$Z,(5+50*((N('My Rota'!$D$6)+3)-1))+2+18,16),INDEX('2030'!$A:$Z,(5+50*((N('My Rota'!$D$6)+3)-1))+2+18,16)))</f>
        <v/>
      </c>
      <c r="Q271">
        <f>IF(OR($B271="",(N('My Rota'!$D$6)+3)&gt;53),"",""&amp;CHOOSE(IFERROR(MATCH('My Rota'!$D$5,Setup!$K$33:$K$36,0),1),INDEX('2027'!$A:$Z,(5+50*((N('My Rota'!$D$6)+3)-1))+2+18,17),INDEX('2028'!$A:$Z,(5+50*((N('My Rota'!$D$6)+3)-1))+2+18,17),INDEX('2029'!$A:$Z,(5+50*((N('My Rota'!$D$6)+3)-1))+2+18,17),INDEX('2030'!$A:$Z,(5+50*((N('My Rota'!$D$6)+3)-1))+2+18,17)))</f>
        <v/>
      </c>
      <c r="R271">
        <f>IF(OR($B271="",(N('My Rota'!$D$6)+3)&gt;53),"",""&amp;CHOOSE(IFERROR(MATCH('My Rota'!$D$5,Setup!$K$33:$K$36,0),1),INDEX('2027'!$A:$Z,(5+50*((N('My Rota'!$D$6)+3)-1))+2+18,18),INDEX('2028'!$A:$Z,(5+50*((N('My Rota'!$D$6)+3)-1))+2+18,18),INDEX('2029'!$A:$Z,(5+50*((N('My Rota'!$D$6)+3)-1))+2+18,18),INDEX('2030'!$A:$Z,(5+50*((N('My Rota'!$D$6)+3)-1))+2+18,18)))</f>
        <v/>
      </c>
      <c r="S271">
        <f>IF(OR($B271="",(N('My Rota'!$D$6)+3)&gt;53),"",""&amp;CHOOSE(IFERROR(MATCH('My Rota'!$D$5,Setup!$K$33:$K$36,0),1),INDEX('2027'!$A:$Z,(5+50*((N('My Rota'!$D$6)+3)-1))+2+18,19),INDEX('2028'!$A:$Z,(5+50*((N('My Rota'!$D$6)+3)-1))+2+18,19),INDEX('2029'!$A:$Z,(5+50*((N('My Rota'!$D$6)+3)-1))+2+18,19),INDEX('2030'!$A:$Z,(5+50*((N('My Rota'!$D$6)+3)-1))+2+18,19)))</f>
        <v/>
      </c>
      <c r="T271">
        <f>IF(OR($B271="",(N('My Rota'!$D$6)+3)&gt;53),"",""&amp;CHOOSE(IFERROR(MATCH('My Rota'!$D$5,Setup!$K$33:$K$36,0),1),INDEX('2027'!$A:$Z,(5+50*((N('My Rota'!$D$6)+3)-1))+2+18,20),INDEX('2028'!$A:$Z,(5+50*((N('My Rota'!$D$6)+3)-1))+2+18,20),INDEX('2029'!$A:$Z,(5+50*((N('My Rota'!$D$6)+3)-1))+2+18,20),INDEX('2030'!$A:$Z,(5+50*((N('My Rota'!$D$6)+3)-1))+2+18,20)))</f>
        <v/>
      </c>
      <c r="U271">
        <f>IF(OR($B271="",(N('My Rota'!$D$6)+3)&gt;53),"",""&amp;CHOOSE(IFERROR(MATCH('My Rota'!$D$5,Setup!$K$33:$K$36,0),1),INDEX('2027'!$A:$Z,(5+50*((N('My Rota'!$D$6)+3)-1))+2+18,21),INDEX('2028'!$A:$Z,(5+50*((N('My Rota'!$D$6)+3)-1))+2+18,21),INDEX('2029'!$A:$Z,(5+50*((N('My Rota'!$D$6)+3)-1))+2+18,21),INDEX('2030'!$A:$Z,(5+50*((N('My Rota'!$D$6)+3)-1))+2+18,21)))</f>
        <v/>
      </c>
      <c r="V271">
        <f>IF(OR($B271="",(N('My Rota'!$D$6)+3)&gt;53),"",""&amp;CHOOSE(IFERROR(MATCH('My Rota'!$D$5,Setup!$K$33:$K$36,0),1),INDEX('2027'!$A:$Z,(5+50*((N('My Rota'!$D$6)+3)-1))+2+18,22),INDEX('2028'!$A:$Z,(5+50*((N('My Rota'!$D$6)+3)-1))+2+18,22),INDEX('2029'!$A:$Z,(5+50*((N('My Rota'!$D$6)+3)-1))+2+18,22),INDEX('2030'!$A:$Z,(5+50*((N('My Rota'!$D$6)+3)-1))+2+18,22)))</f>
        <v/>
      </c>
      <c r="W271">
        <f>IF(OR($B271="",(N('My Rota'!$D$6)+3)&gt;53),"",""&amp;CHOOSE(IFERROR(MATCH('My Rota'!$D$5,Setup!$K$33:$K$36,0),1),INDEX('2027'!$A:$Z,(5+50*((N('My Rota'!$D$6)+3)-1))+2+18,23),INDEX('2028'!$A:$Z,(5+50*((N('My Rota'!$D$6)+3)-1))+2+18,23),INDEX('2029'!$A:$Z,(5+50*((N('My Rota'!$D$6)+3)-1))+2+18,23),INDEX('2030'!$A:$Z,(5+50*((N('My Rota'!$D$6)+3)-1))+2+18,23)))</f>
        <v/>
      </c>
      <c r="X271">
        <f>IF(OR($B271="",(N('My Rota'!$D$6)+3)&gt;53),"",""&amp;CHOOSE(IFERROR(MATCH('My Rota'!$D$5,Setup!$K$33:$K$36,0),1),INDEX('2027'!$A:$Z,(5+50*((N('My Rota'!$D$6)+3)-1))+2+18,24),INDEX('2028'!$A:$Z,(5+50*((N('My Rota'!$D$6)+3)-1))+2+18,24),INDEX('2029'!$A:$Z,(5+50*((N('My Rota'!$D$6)+3)-1))+2+18,24),INDEX('2030'!$A:$Z,(5+50*((N('My Rota'!$D$6)+3)-1))+2+18,24)))</f>
        <v/>
      </c>
      <c r="Y271">
        <f>IF(OR($B271="",(N('My Rota'!$D$6)+3)&gt;53),"",""&amp;CHOOSE(IFERROR(MATCH('My Rota'!$D$5,Setup!$K$33:$K$36,0),1),INDEX('2027'!$A:$Z,(5+50*((N('My Rota'!$D$6)+3)-1))+2+18,25),INDEX('2028'!$A:$Z,(5+50*((N('My Rota'!$D$6)+3)-1))+2+18,25),INDEX('2029'!$A:$Z,(5+50*((N('My Rota'!$D$6)+3)-1))+2+18,25),INDEX('2030'!$A:$Z,(5+50*((N('My Rota'!$D$6)+3)-1))+2+18,25)))</f>
        <v/>
      </c>
      <c r="Z271">
        <f>IF(OR($B271="",(N('My Rota'!$D$6)+3)&gt;53),"",""&amp;CHOOSE(IFERROR(MATCH('My Rota'!$D$5,Setup!$K$33:$K$36,0),1),INDEX('2027'!$A:$Z,(5+50*((N('My Rota'!$D$6)+3)-1))+2+18,26),INDEX('2028'!$A:$Z,(5+50*((N('My Rota'!$D$6)+3)-1))+2+18,26),INDEX('2029'!$A:$Z,(5+50*((N('My Rota'!$D$6)+3)-1))+2+18,26),INDEX('2030'!$A:$Z,(5+50*((N('My Rota'!$D$6)+3)-1))+2+18,26)))</f>
        <v/>
      </c>
    </row>
    <row r="272">
      <c r="A272" t="n">
        <v>5</v>
      </c>
      <c r="B272">
        <f>$B$47</f>
        <v/>
      </c>
      <c r="C272">
        <f>IF(OR($B272="",(N('My Rota'!$D$6)+4)&gt;53),"",""&amp;CHOOSE(IFERROR(MATCH('My Rota'!$D$5,Setup!$K$33:$K$36,0),1),INDEX('2027'!$A:$Z,(5+50*((N('My Rota'!$D$6)+4)-1))+2+1,3),INDEX('2028'!$A:$Z,(5+50*((N('My Rota'!$D$6)+4)-1))+2+1,3),INDEX('2029'!$A:$Z,(5+50*((N('My Rota'!$D$6)+4)-1))+2+1,3),INDEX('2030'!$A:$Z,(5+50*((N('My Rota'!$D$6)+4)-1))+2+1,3)))</f>
        <v/>
      </c>
      <c r="D272">
        <f>IF(OR($B272="",(N('My Rota'!$D$6)+4)&gt;53),"",""&amp;CHOOSE(IFERROR(MATCH('My Rota'!$D$5,Setup!$K$33:$K$36,0),1),INDEX('2027'!$A:$Z,(5+50*((N('My Rota'!$D$6)+4)-1))+2+1,4),INDEX('2028'!$A:$Z,(5+50*((N('My Rota'!$D$6)+4)-1))+2+1,4),INDEX('2029'!$A:$Z,(5+50*((N('My Rota'!$D$6)+4)-1))+2+1,4),INDEX('2030'!$A:$Z,(5+50*((N('My Rota'!$D$6)+4)-1))+2+1,4)))</f>
        <v/>
      </c>
      <c r="E272">
        <f>IF(OR($B272="",(N('My Rota'!$D$6)+4)&gt;53),"",""&amp;CHOOSE(IFERROR(MATCH('My Rota'!$D$5,Setup!$K$33:$K$36,0),1),INDEX('2027'!$A:$Z,(5+50*((N('My Rota'!$D$6)+4)-1))+2+1,5),INDEX('2028'!$A:$Z,(5+50*((N('My Rota'!$D$6)+4)-1))+2+1,5),INDEX('2029'!$A:$Z,(5+50*((N('My Rota'!$D$6)+4)-1))+2+1,5),INDEX('2030'!$A:$Z,(5+50*((N('My Rota'!$D$6)+4)-1))+2+1,5)))</f>
        <v/>
      </c>
      <c r="F272">
        <f>IF(OR($B272="",(N('My Rota'!$D$6)+4)&gt;53),"",""&amp;CHOOSE(IFERROR(MATCH('My Rota'!$D$5,Setup!$K$33:$K$36,0),1),INDEX('2027'!$A:$Z,(5+50*((N('My Rota'!$D$6)+4)-1))+2+1,6),INDEX('2028'!$A:$Z,(5+50*((N('My Rota'!$D$6)+4)-1))+2+1,6),INDEX('2029'!$A:$Z,(5+50*((N('My Rota'!$D$6)+4)-1))+2+1,6),INDEX('2030'!$A:$Z,(5+50*((N('My Rota'!$D$6)+4)-1))+2+1,6)))</f>
        <v/>
      </c>
      <c r="G272">
        <f>IF(OR($B272="",(N('My Rota'!$D$6)+4)&gt;53),"",""&amp;CHOOSE(IFERROR(MATCH('My Rota'!$D$5,Setup!$K$33:$K$36,0),1),INDEX('2027'!$A:$Z,(5+50*((N('My Rota'!$D$6)+4)-1))+2+1,7),INDEX('2028'!$A:$Z,(5+50*((N('My Rota'!$D$6)+4)-1))+2+1,7),INDEX('2029'!$A:$Z,(5+50*((N('My Rota'!$D$6)+4)-1))+2+1,7),INDEX('2030'!$A:$Z,(5+50*((N('My Rota'!$D$6)+4)-1))+2+1,7)))</f>
        <v/>
      </c>
      <c r="H272">
        <f>IF(OR($B272="",(N('My Rota'!$D$6)+4)&gt;53),"",""&amp;CHOOSE(IFERROR(MATCH('My Rota'!$D$5,Setup!$K$33:$K$36,0),1),INDEX('2027'!$A:$Z,(5+50*((N('My Rota'!$D$6)+4)-1))+2+1,8),INDEX('2028'!$A:$Z,(5+50*((N('My Rota'!$D$6)+4)-1))+2+1,8),INDEX('2029'!$A:$Z,(5+50*((N('My Rota'!$D$6)+4)-1))+2+1,8),INDEX('2030'!$A:$Z,(5+50*((N('My Rota'!$D$6)+4)-1))+2+1,8)))</f>
        <v/>
      </c>
      <c r="I272">
        <f>IF(OR($B272="",(N('My Rota'!$D$6)+4)&gt;53),"",""&amp;CHOOSE(IFERROR(MATCH('My Rota'!$D$5,Setup!$K$33:$K$36,0),1),INDEX('2027'!$A:$Z,(5+50*((N('My Rota'!$D$6)+4)-1))+2+1,9),INDEX('2028'!$A:$Z,(5+50*((N('My Rota'!$D$6)+4)-1))+2+1,9),INDEX('2029'!$A:$Z,(5+50*((N('My Rota'!$D$6)+4)-1))+2+1,9),INDEX('2030'!$A:$Z,(5+50*((N('My Rota'!$D$6)+4)-1))+2+1,9)))</f>
        <v/>
      </c>
      <c r="J272">
        <f>IF(OR($B272="",(N('My Rota'!$D$6)+4)&gt;53),"",""&amp;CHOOSE(IFERROR(MATCH('My Rota'!$D$5,Setup!$K$33:$K$36,0),1),INDEX('2027'!$A:$Z,(5+50*((N('My Rota'!$D$6)+4)-1))+2+1,10),INDEX('2028'!$A:$Z,(5+50*((N('My Rota'!$D$6)+4)-1))+2+1,10),INDEX('2029'!$A:$Z,(5+50*((N('My Rota'!$D$6)+4)-1))+2+1,10),INDEX('2030'!$A:$Z,(5+50*((N('My Rota'!$D$6)+4)-1))+2+1,10)))</f>
        <v/>
      </c>
      <c r="K272">
        <f>IF(OR($B272="",(N('My Rota'!$D$6)+4)&gt;53),"",""&amp;CHOOSE(IFERROR(MATCH('My Rota'!$D$5,Setup!$K$33:$K$36,0),1),INDEX('2027'!$A:$Z,(5+50*((N('My Rota'!$D$6)+4)-1))+2+1,11),INDEX('2028'!$A:$Z,(5+50*((N('My Rota'!$D$6)+4)-1))+2+1,11),INDEX('2029'!$A:$Z,(5+50*((N('My Rota'!$D$6)+4)-1))+2+1,11),INDEX('2030'!$A:$Z,(5+50*((N('My Rota'!$D$6)+4)-1))+2+1,11)))</f>
        <v/>
      </c>
      <c r="L272">
        <f>IF(OR($B272="",(N('My Rota'!$D$6)+4)&gt;53),"",""&amp;CHOOSE(IFERROR(MATCH('My Rota'!$D$5,Setup!$K$33:$K$36,0),1),INDEX('2027'!$A:$Z,(5+50*((N('My Rota'!$D$6)+4)-1))+2+1,12),INDEX('2028'!$A:$Z,(5+50*((N('My Rota'!$D$6)+4)-1))+2+1,12),INDEX('2029'!$A:$Z,(5+50*((N('My Rota'!$D$6)+4)-1))+2+1,12),INDEX('2030'!$A:$Z,(5+50*((N('My Rota'!$D$6)+4)-1))+2+1,12)))</f>
        <v/>
      </c>
      <c r="M272">
        <f>IF(OR($B272="",(N('My Rota'!$D$6)+4)&gt;53),"",""&amp;CHOOSE(IFERROR(MATCH('My Rota'!$D$5,Setup!$K$33:$K$36,0),1),INDEX('2027'!$A:$Z,(5+50*((N('My Rota'!$D$6)+4)-1))+2+1,13),INDEX('2028'!$A:$Z,(5+50*((N('My Rota'!$D$6)+4)-1))+2+1,13),INDEX('2029'!$A:$Z,(5+50*((N('My Rota'!$D$6)+4)-1))+2+1,13),INDEX('2030'!$A:$Z,(5+50*((N('My Rota'!$D$6)+4)-1))+2+1,13)))</f>
        <v/>
      </c>
      <c r="N272">
        <f>IF(OR($B272="",(N('My Rota'!$D$6)+4)&gt;53),"",""&amp;CHOOSE(IFERROR(MATCH('My Rota'!$D$5,Setup!$K$33:$K$36,0),1),INDEX('2027'!$A:$Z,(5+50*((N('My Rota'!$D$6)+4)-1))+2+1,14),INDEX('2028'!$A:$Z,(5+50*((N('My Rota'!$D$6)+4)-1))+2+1,14),INDEX('2029'!$A:$Z,(5+50*((N('My Rota'!$D$6)+4)-1))+2+1,14),INDEX('2030'!$A:$Z,(5+50*((N('My Rota'!$D$6)+4)-1))+2+1,14)))</f>
        <v/>
      </c>
      <c r="O272">
        <f>IF(OR($B272="",(N('My Rota'!$D$6)+4)&gt;53),"",""&amp;CHOOSE(IFERROR(MATCH('My Rota'!$D$5,Setup!$K$33:$K$36,0),1),INDEX('2027'!$A:$Z,(5+50*((N('My Rota'!$D$6)+4)-1))+2+1,15),INDEX('2028'!$A:$Z,(5+50*((N('My Rota'!$D$6)+4)-1))+2+1,15),INDEX('2029'!$A:$Z,(5+50*((N('My Rota'!$D$6)+4)-1))+2+1,15),INDEX('2030'!$A:$Z,(5+50*((N('My Rota'!$D$6)+4)-1))+2+1,15)))</f>
        <v/>
      </c>
      <c r="P272">
        <f>IF(OR($B272="",(N('My Rota'!$D$6)+4)&gt;53),"",""&amp;CHOOSE(IFERROR(MATCH('My Rota'!$D$5,Setup!$K$33:$K$36,0),1),INDEX('2027'!$A:$Z,(5+50*((N('My Rota'!$D$6)+4)-1))+2+1,16),INDEX('2028'!$A:$Z,(5+50*((N('My Rota'!$D$6)+4)-1))+2+1,16),INDEX('2029'!$A:$Z,(5+50*((N('My Rota'!$D$6)+4)-1))+2+1,16),INDEX('2030'!$A:$Z,(5+50*((N('My Rota'!$D$6)+4)-1))+2+1,16)))</f>
        <v/>
      </c>
      <c r="Q272">
        <f>IF(OR($B272="",(N('My Rota'!$D$6)+4)&gt;53),"",""&amp;CHOOSE(IFERROR(MATCH('My Rota'!$D$5,Setup!$K$33:$K$36,0),1),INDEX('2027'!$A:$Z,(5+50*((N('My Rota'!$D$6)+4)-1))+2+1,17),INDEX('2028'!$A:$Z,(5+50*((N('My Rota'!$D$6)+4)-1))+2+1,17),INDEX('2029'!$A:$Z,(5+50*((N('My Rota'!$D$6)+4)-1))+2+1,17),INDEX('2030'!$A:$Z,(5+50*((N('My Rota'!$D$6)+4)-1))+2+1,17)))</f>
        <v/>
      </c>
      <c r="R272">
        <f>IF(OR($B272="",(N('My Rota'!$D$6)+4)&gt;53),"",""&amp;CHOOSE(IFERROR(MATCH('My Rota'!$D$5,Setup!$K$33:$K$36,0),1),INDEX('2027'!$A:$Z,(5+50*((N('My Rota'!$D$6)+4)-1))+2+1,18),INDEX('2028'!$A:$Z,(5+50*((N('My Rota'!$D$6)+4)-1))+2+1,18),INDEX('2029'!$A:$Z,(5+50*((N('My Rota'!$D$6)+4)-1))+2+1,18),INDEX('2030'!$A:$Z,(5+50*((N('My Rota'!$D$6)+4)-1))+2+1,18)))</f>
        <v/>
      </c>
      <c r="S272">
        <f>IF(OR($B272="",(N('My Rota'!$D$6)+4)&gt;53),"",""&amp;CHOOSE(IFERROR(MATCH('My Rota'!$D$5,Setup!$K$33:$K$36,0),1),INDEX('2027'!$A:$Z,(5+50*((N('My Rota'!$D$6)+4)-1))+2+1,19),INDEX('2028'!$A:$Z,(5+50*((N('My Rota'!$D$6)+4)-1))+2+1,19),INDEX('2029'!$A:$Z,(5+50*((N('My Rota'!$D$6)+4)-1))+2+1,19),INDEX('2030'!$A:$Z,(5+50*((N('My Rota'!$D$6)+4)-1))+2+1,19)))</f>
        <v/>
      </c>
      <c r="T272">
        <f>IF(OR($B272="",(N('My Rota'!$D$6)+4)&gt;53),"",""&amp;CHOOSE(IFERROR(MATCH('My Rota'!$D$5,Setup!$K$33:$K$36,0),1),INDEX('2027'!$A:$Z,(5+50*((N('My Rota'!$D$6)+4)-1))+2+1,20),INDEX('2028'!$A:$Z,(5+50*((N('My Rota'!$D$6)+4)-1))+2+1,20),INDEX('2029'!$A:$Z,(5+50*((N('My Rota'!$D$6)+4)-1))+2+1,20),INDEX('2030'!$A:$Z,(5+50*((N('My Rota'!$D$6)+4)-1))+2+1,20)))</f>
        <v/>
      </c>
      <c r="U272">
        <f>IF(OR($B272="",(N('My Rota'!$D$6)+4)&gt;53),"",""&amp;CHOOSE(IFERROR(MATCH('My Rota'!$D$5,Setup!$K$33:$K$36,0),1),INDEX('2027'!$A:$Z,(5+50*((N('My Rota'!$D$6)+4)-1))+2+1,21),INDEX('2028'!$A:$Z,(5+50*((N('My Rota'!$D$6)+4)-1))+2+1,21),INDEX('2029'!$A:$Z,(5+50*((N('My Rota'!$D$6)+4)-1))+2+1,21),INDEX('2030'!$A:$Z,(5+50*((N('My Rota'!$D$6)+4)-1))+2+1,21)))</f>
        <v/>
      </c>
      <c r="V272">
        <f>IF(OR($B272="",(N('My Rota'!$D$6)+4)&gt;53),"",""&amp;CHOOSE(IFERROR(MATCH('My Rota'!$D$5,Setup!$K$33:$K$36,0),1),INDEX('2027'!$A:$Z,(5+50*((N('My Rota'!$D$6)+4)-1))+2+1,22),INDEX('2028'!$A:$Z,(5+50*((N('My Rota'!$D$6)+4)-1))+2+1,22),INDEX('2029'!$A:$Z,(5+50*((N('My Rota'!$D$6)+4)-1))+2+1,22),INDEX('2030'!$A:$Z,(5+50*((N('My Rota'!$D$6)+4)-1))+2+1,22)))</f>
        <v/>
      </c>
      <c r="W272">
        <f>IF(OR($B272="",(N('My Rota'!$D$6)+4)&gt;53),"",""&amp;CHOOSE(IFERROR(MATCH('My Rota'!$D$5,Setup!$K$33:$K$36,0),1),INDEX('2027'!$A:$Z,(5+50*((N('My Rota'!$D$6)+4)-1))+2+1,23),INDEX('2028'!$A:$Z,(5+50*((N('My Rota'!$D$6)+4)-1))+2+1,23),INDEX('2029'!$A:$Z,(5+50*((N('My Rota'!$D$6)+4)-1))+2+1,23),INDEX('2030'!$A:$Z,(5+50*((N('My Rota'!$D$6)+4)-1))+2+1,23)))</f>
        <v/>
      </c>
      <c r="X272">
        <f>IF(OR($B272="",(N('My Rota'!$D$6)+4)&gt;53),"",""&amp;CHOOSE(IFERROR(MATCH('My Rota'!$D$5,Setup!$K$33:$K$36,0),1),INDEX('2027'!$A:$Z,(5+50*((N('My Rota'!$D$6)+4)-1))+2+1,24),INDEX('2028'!$A:$Z,(5+50*((N('My Rota'!$D$6)+4)-1))+2+1,24),INDEX('2029'!$A:$Z,(5+50*((N('My Rota'!$D$6)+4)-1))+2+1,24),INDEX('2030'!$A:$Z,(5+50*((N('My Rota'!$D$6)+4)-1))+2+1,24)))</f>
        <v/>
      </c>
      <c r="Y272">
        <f>IF(OR($B272="",(N('My Rota'!$D$6)+4)&gt;53),"",""&amp;CHOOSE(IFERROR(MATCH('My Rota'!$D$5,Setup!$K$33:$K$36,0),1),INDEX('2027'!$A:$Z,(5+50*((N('My Rota'!$D$6)+4)-1))+2+1,25),INDEX('2028'!$A:$Z,(5+50*((N('My Rota'!$D$6)+4)-1))+2+1,25),INDEX('2029'!$A:$Z,(5+50*((N('My Rota'!$D$6)+4)-1))+2+1,25),INDEX('2030'!$A:$Z,(5+50*((N('My Rota'!$D$6)+4)-1))+2+1,25)))</f>
        <v/>
      </c>
      <c r="Z272">
        <f>IF(OR($B272="",(N('My Rota'!$D$6)+4)&gt;53),"",""&amp;CHOOSE(IFERROR(MATCH('My Rota'!$D$5,Setup!$K$33:$K$36,0),1),INDEX('2027'!$A:$Z,(5+50*((N('My Rota'!$D$6)+4)-1))+2+1,26),INDEX('2028'!$A:$Z,(5+50*((N('My Rota'!$D$6)+4)-1))+2+1,26),INDEX('2029'!$A:$Z,(5+50*((N('My Rota'!$D$6)+4)-1))+2+1,26),INDEX('2030'!$A:$Z,(5+50*((N('My Rota'!$D$6)+4)-1))+2+1,26)))</f>
        <v/>
      </c>
    </row>
    <row r="273">
      <c r="A273" t="n">
        <v>5</v>
      </c>
      <c r="B273">
        <f>$B$48</f>
        <v/>
      </c>
      <c r="C273">
        <f>IF(OR($B273="",(N('My Rota'!$D$6)+4)&gt;53),"",""&amp;CHOOSE(IFERROR(MATCH('My Rota'!$D$5,Setup!$K$33:$K$36,0),1),INDEX('2027'!$A:$Z,(5+50*((N('My Rota'!$D$6)+4)-1))+2+2,3),INDEX('2028'!$A:$Z,(5+50*((N('My Rota'!$D$6)+4)-1))+2+2,3),INDEX('2029'!$A:$Z,(5+50*((N('My Rota'!$D$6)+4)-1))+2+2,3),INDEX('2030'!$A:$Z,(5+50*((N('My Rota'!$D$6)+4)-1))+2+2,3)))</f>
        <v/>
      </c>
      <c r="D273">
        <f>IF(OR($B273="",(N('My Rota'!$D$6)+4)&gt;53),"",""&amp;CHOOSE(IFERROR(MATCH('My Rota'!$D$5,Setup!$K$33:$K$36,0),1),INDEX('2027'!$A:$Z,(5+50*((N('My Rota'!$D$6)+4)-1))+2+2,4),INDEX('2028'!$A:$Z,(5+50*((N('My Rota'!$D$6)+4)-1))+2+2,4),INDEX('2029'!$A:$Z,(5+50*((N('My Rota'!$D$6)+4)-1))+2+2,4),INDEX('2030'!$A:$Z,(5+50*((N('My Rota'!$D$6)+4)-1))+2+2,4)))</f>
        <v/>
      </c>
      <c r="E273">
        <f>IF(OR($B273="",(N('My Rota'!$D$6)+4)&gt;53),"",""&amp;CHOOSE(IFERROR(MATCH('My Rota'!$D$5,Setup!$K$33:$K$36,0),1),INDEX('2027'!$A:$Z,(5+50*((N('My Rota'!$D$6)+4)-1))+2+2,5),INDEX('2028'!$A:$Z,(5+50*((N('My Rota'!$D$6)+4)-1))+2+2,5),INDEX('2029'!$A:$Z,(5+50*((N('My Rota'!$D$6)+4)-1))+2+2,5),INDEX('2030'!$A:$Z,(5+50*((N('My Rota'!$D$6)+4)-1))+2+2,5)))</f>
        <v/>
      </c>
      <c r="F273">
        <f>IF(OR($B273="",(N('My Rota'!$D$6)+4)&gt;53),"",""&amp;CHOOSE(IFERROR(MATCH('My Rota'!$D$5,Setup!$K$33:$K$36,0),1),INDEX('2027'!$A:$Z,(5+50*((N('My Rota'!$D$6)+4)-1))+2+2,6),INDEX('2028'!$A:$Z,(5+50*((N('My Rota'!$D$6)+4)-1))+2+2,6),INDEX('2029'!$A:$Z,(5+50*((N('My Rota'!$D$6)+4)-1))+2+2,6),INDEX('2030'!$A:$Z,(5+50*((N('My Rota'!$D$6)+4)-1))+2+2,6)))</f>
        <v/>
      </c>
      <c r="G273">
        <f>IF(OR($B273="",(N('My Rota'!$D$6)+4)&gt;53),"",""&amp;CHOOSE(IFERROR(MATCH('My Rota'!$D$5,Setup!$K$33:$K$36,0),1),INDEX('2027'!$A:$Z,(5+50*((N('My Rota'!$D$6)+4)-1))+2+2,7),INDEX('2028'!$A:$Z,(5+50*((N('My Rota'!$D$6)+4)-1))+2+2,7),INDEX('2029'!$A:$Z,(5+50*((N('My Rota'!$D$6)+4)-1))+2+2,7),INDEX('2030'!$A:$Z,(5+50*((N('My Rota'!$D$6)+4)-1))+2+2,7)))</f>
        <v/>
      </c>
      <c r="H273">
        <f>IF(OR($B273="",(N('My Rota'!$D$6)+4)&gt;53),"",""&amp;CHOOSE(IFERROR(MATCH('My Rota'!$D$5,Setup!$K$33:$K$36,0),1),INDEX('2027'!$A:$Z,(5+50*((N('My Rota'!$D$6)+4)-1))+2+2,8),INDEX('2028'!$A:$Z,(5+50*((N('My Rota'!$D$6)+4)-1))+2+2,8),INDEX('2029'!$A:$Z,(5+50*((N('My Rota'!$D$6)+4)-1))+2+2,8),INDEX('2030'!$A:$Z,(5+50*((N('My Rota'!$D$6)+4)-1))+2+2,8)))</f>
        <v/>
      </c>
      <c r="I273">
        <f>IF(OR($B273="",(N('My Rota'!$D$6)+4)&gt;53),"",""&amp;CHOOSE(IFERROR(MATCH('My Rota'!$D$5,Setup!$K$33:$K$36,0),1),INDEX('2027'!$A:$Z,(5+50*((N('My Rota'!$D$6)+4)-1))+2+2,9),INDEX('2028'!$A:$Z,(5+50*((N('My Rota'!$D$6)+4)-1))+2+2,9),INDEX('2029'!$A:$Z,(5+50*((N('My Rota'!$D$6)+4)-1))+2+2,9),INDEX('2030'!$A:$Z,(5+50*((N('My Rota'!$D$6)+4)-1))+2+2,9)))</f>
        <v/>
      </c>
      <c r="J273">
        <f>IF(OR($B273="",(N('My Rota'!$D$6)+4)&gt;53),"",""&amp;CHOOSE(IFERROR(MATCH('My Rota'!$D$5,Setup!$K$33:$K$36,0),1),INDEX('2027'!$A:$Z,(5+50*((N('My Rota'!$D$6)+4)-1))+2+2,10),INDEX('2028'!$A:$Z,(5+50*((N('My Rota'!$D$6)+4)-1))+2+2,10),INDEX('2029'!$A:$Z,(5+50*((N('My Rota'!$D$6)+4)-1))+2+2,10),INDEX('2030'!$A:$Z,(5+50*((N('My Rota'!$D$6)+4)-1))+2+2,10)))</f>
        <v/>
      </c>
      <c r="K273">
        <f>IF(OR($B273="",(N('My Rota'!$D$6)+4)&gt;53),"",""&amp;CHOOSE(IFERROR(MATCH('My Rota'!$D$5,Setup!$K$33:$K$36,0),1),INDEX('2027'!$A:$Z,(5+50*((N('My Rota'!$D$6)+4)-1))+2+2,11),INDEX('2028'!$A:$Z,(5+50*((N('My Rota'!$D$6)+4)-1))+2+2,11),INDEX('2029'!$A:$Z,(5+50*((N('My Rota'!$D$6)+4)-1))+2+2,11),INDEX('2030'!$A:$Z,(5+50*((N('My Rota'!$D$6)+4)-1))+2+2,11)))</f>
        <v/>
      </c>
      <c r="L273">
        <f>IF(OR($B273="",(N('My Rota'!$D$6)+4)&gt;53),"",""&amp;CHOOSE(IFERROR(MATCH('My Rota'!$D$5,Setup!$K$33:$K$36,0),1),INDEX('2027'!$A:$Z,(5+50*((N('My Rota'!$D$6)+4)-1))+2+2,12),INDEX('2028'!$A:$Z,(5+50*((N('My Rota'!$D$6)+4)-1))+2+2,12),INDEX('2029'!$A:$Z,(5+50*((N('My Rota'!$D$6)+4)-1))+2+2,12),INDEX('2030'!$A:$Z,(5+50*((N('My Rota'!$D$6)+4)-1))+2+2,12)))</f>
        <v/>
      </c>
      <c r="M273">
        <f>IF(OR($B273="",(N('My Rota'!$D$6)+4)&gt;53),"",""&amp;CHOOSE(IFERROR(MATCH('My Rota'!$D$5,Setup!$K$33:$K$36,0),1),INDEX('2027'!$A:$Z,(5+50*((N('My Rota'!$D$6)+4)-1))+2+2,13),INDEX('2028'!$A:$Z,(5+50*((N('My Rota'!$D$6)+4)-1))+2+2,13),INDEX('2029'!$A:$Z,(5+50*((N('My Rota'!$D$6)+4)-1))+2+2,13),INDEX('2030'!$A:$Z,(5+50*((N('My Rota'!$D$6)+4)-1))+2+2,13)))</f>
        <v/>
      </c>
      <c r="N273">
        <f>IF(OR($B273="",(N('My Rota'!$D$6)+4)&gt;53),"",""&amp;CHOOSE(IFERROR(MATCH('My Rota'!$D$5,Setup!$K$33:$K$36,0),1),INDEX('2027'!$A:$Z,(5+50*((N('My Rota'!$D$6)+4)-1))+2+2,14),INDEX('2028'!$A:$Z,(5+50*((N('My Rota'!$D$6)+4)-1))+2+2,14),INDEX('2029'!$A:$Z,(5+50*((N('My Rota'!$D$6)+4)-1))+2+2,14),INDEX('2030'!$A:$Z,(5+50*((N('My Rota'!$D$6)+4)-1))+2+2,14)))</f>
        <v/>
      </c>
      <c r="O273">
        <f>IF(OR($B273="",(N('My Rota'!$D$6)+4)&gt;53),"",""&amp;CHOOSE(IFERROR(MATCH('My Rota'!$D$5,Setup!$K$33:$K$36,0),1),INDEX('2027'!$A:$Z,(5+50*((N('My Rota'!$D$6)+4)-1))+2+2,15),INDEX('2028'!$A:$Z,(5+50*((N('My Rota'!$D$6)+4)-1))+2+2,15),INDEX('2029'!$A:$Z,(5+50*((N('My Rota'!$D$6)+4)-1))+2+2,15),INDEX('2030'!$A:$Z,(5+50*((N('My Rota'!$D$6)+4)-1))+2+2,15)))</f>
        <v/>
      </c>
      <c r="P273">
        <f>IF(OR($B273="",(N('My Rota'!$D$6)+4)&gt;53),"",""&amp;CHOOSE(IFERROR(MATCH('My Rota'!$D$5,Setup!$K$33:$K$36,0),1),INDEX('2027'!$A:$Z,(5+50*((N('My Rota'!$D$6)+4)-1))+2+2,16),INDEX('2028'!$A:$Z,(5+50*((N('My Rota'!$D$6)+4)-1))+2+2,16),INDEX('2029'!$A:$Z,(5+50*((N('My Rota'!$D$6)+4)-1))+2+2,16),INDEX('2030'!$A:$Z,(5+50*((N('My Rota'!$D$6)+4)-1))+2+2,16)))</f>
        <v/>
      </c>
      <c r="Q273">
        <f>IF(OR($B273="",(N('My Rota'!$D$6)+4)&gt;53),"",""&amp;CHOOSE(IFERROR(MATCH('My Rota'!$D$5,Setup!$K$33:$K$36,0),1),INDEX('2027'!$A:$Z,(5+50*((N('My Rota'!$D$6)+4)-1))+2+2,17),INDEX('2028'!$A:$Z,(5+50*((N('My Rota'!$D$6)+4)-1))+2+2,17),INDEX('2029'!$A:$Z,(5+50*((N('My Rota'!$D$6)+4)-1))+2+2,17),INDEX('2030'!$A:$Z,(5+50*((N('My Rota'!$D$6)+4)-1))+2+2,17)))</f>
        <v/>
      </c>
      <c r="R273">
        <f>IF(OR($B273="",(N('My Rota'!$D$6)+4)&gt;53),"",""&amp;CHOOSE(IFERROR(MATCH('My Rota'!$D$5,Setup!$K$33:$K$36,0),1),INDEX('2027'!$A:$Z,(5+50*((N('My Rota'!$D$6)+4)-1))+2+2,18),INDEX('2028'!$A:$Z,(5+50*((N('My Rota'!$D$6)+4)-1))+2+2,18),INDEX('2029'!$A:$Z,(5+50*((N('My Rota'!$D$6)+4)-1))+2+2,18),INDEX('2030'!$A:$Z,(5+50*((N('My Rota'!$D$6)+4)-1))+2+2,18)))</f>
        <v/>
      </c>
      <c r="S273">
        <f>IF(OR($B273="",(N('My Rota'!$D$6)+4)&gt;53),"",""&amp;CHOOSE(IFERROR(MATCH('My Rota'!$D$5,Setup!$K$33:$K$36,0),1),INDEX('2027'!$A:$Z,(5+50*((N('My Rota'!$D$6)+4)-1))+2+2,19),INDEX('2028'!$A:$Z,(5+50*((N('My Rota'!$D$6)+4)-1))+2+2,19),INDEX('2029'!$A:$Z,(5+50*((N('My Rota'!$D$6)+4)-1))+2+2,19),INDEX('2030'!$A:$Z,(5+50*((N('My Rota'!$D$6)+4)-1))+2+2,19)))</f>
        <v/>
      </c>
      <c r="T273">
        <f>IF(OR($B273="",(N('My Rota'!$D$6)+4)&gt;53),"",""&amp;CHOOSE(IFERROR(MATCH('My Rota'!$D$5,Setup!$K$33:$K$36,0),1),INDEX('2027'!$A:$Z,(5+50*((N('My Rota'!$D$6)+4)-1))+2+2,20),INDEX('2028'!$A:$Z,(5+50*((N('My Rota'!$D$6)+4)-1))+2+2,20),INDEX('2029'!$A:$Z,(5+50*((N('My Rota'!$D$6)+4)-1))+2+2,20),INDEX('2030'!$A:$Z,(5+50*((N('My Rota'!$D$6)+4)-1))+2+2,20)))</f>
        <v/>
      </c>
      <c r="U273">
        <f>IF(OR($B273="",(N('My Rota'!$D$6)+4)&gt;53),"",""&amp;CHOOSE(IFERROR(MATCH('My Rota'!$D$5,Setup!$K$33:$K$36,0),1),INDEX('2027'!$A:$Z,(5+50*((N('My Rota'!$D$6)+4)-1))+2+2,21),INDEX('2028'!$A:$Z,(5+50*((N('My Rota'!$D$6)+4)-1))+2+2,21),INDEX('2029'!$A:$Z,(5+50*((N('My Rota'!$D$6)+4)-1))+2+2,21),INDEX('2030'!$A:$Z,(5+50*((N('My Rota'!$D$6)+4)-1))+2+2,21)))</f>
        <v/>
      </c>
      <c r="V273">
        <f>IF(OR($B273="",(N('My Rota'!$D$6)+4)&gt;53),"",""&amp;CHOOSE(IFERROR(MATCH('My Rota'!$D$5,Setup!$K$33:$K$36,0),1),INDEX('2027'!$A:$Z,(5+50*((N('My Rota'!$D$6)+4)-1))+2+2,22),INDEX('2028'!$A:$Z,(5+50*((N('My Rota'!$D$6)+4)-1))+2+2,22),INDEX('2029'!$A:$Z,(5+50*((N('My Rota'!$D$6)+4)-1))+2+2,22),INDEX('2030'!$A:$Z,(5+50*((N('My Rota'!$D$6)+4)-1))+2+2,22)))</f>
        <v/>
      </c>
      <c r="W273">
        <f>IF(OR($B273="",(N('My Rota'!$D$6)+4)&gt;53),"",""&amp;CHOOSE(IFERROR(MATCH('My Rota'!$D$5,Setup!$K$33:$K$36,0),1),INDEX('2027'!$A:$Z,(5+50*((N('My Rota'!$D$6)+4)-1))+2+2,23),INDEX('2028'!$A:$Z,(5+50*((N('My Rota'!$D$6)+4)-1))+2+2,23),INDEX('2029'!$A:$Z,(5+50*((N('My Rota'!$D$6)+4)-1))+2+2,23),INDEX('2030'!$A:$Z,(5+50*((N('My Rota'!$D$6)+4)-1))+2+2,23)))</f>
        <v/>
      </c>
      <c r="X273">
        <f>IF(OR($B273="",(N('My Rota'!$D$6)+4)&gt;53),"",""&amp;CHOOSE(IFERROR(MATCH('My Rota'!$D$5,Setup!$K$33:$K$36,0),1),INDEX('2027'!$A:$Z,(5+50*((N('My Rota'!$D$6)+4)-1))+2+2,24),INDEX('2028'!$A:$Z,(5+50*((N('My Rota'!$D$6)+4)-1))+2+2,24),INDEX('2029'!$A:$Z,(5+50*((N('My Rota'!$D$6)+4)-1))+2+2,24),INDEX('2030'!$A:$Z,(5+50*((N('My Rota'!$D$6)+4)-1))+2+2,24)))</f>
        <v/>
      </c>
      <c r="Y273">
        <f>IF(OR($B273="",(N('My Rota'!$D$6)+4)&gt;53),"",""&amp;CHOOSE(IFERROR(MATCH('My Rota'!$D$5,Setup!$K$33:$K$36,0),1),INDEX('2027'!$A:$Z,(5+50*((N('My Rota'!$D$6)+4)-1))+2+2,25),INDEX('2028'!$A:$Z,(5+50*((N('My Rota'!$D$6)+4)-1))+2+2,25),INDEX('2029'!$A:$Z,(5+50*((N('My Rota'!$D$6)+4)-1))+2+2,25),INDEX('2030'!$A:$Z,(5+50*((N('My Rota'!$D$6)+4)-1))+2+2,25)))</f>
        <v/>
      </c>
      <c r="Z273">
        <f>IF(OR($B273="",(N('My Rota'!$D$6)+4)&gt;53),"",""&amp;CHOOSE(IFERROR(MATCH('My Rota'!$D$5,Setup!$K$33:$K$36,0),1),INDEX('2027'!$A:$Z,(5+50*((N('My Rota'!$D$6)+4)-1))+2+2,26),INDEX('2028'!$A:$Z,(5+50*((N('My Rota'!$D$6)+4)-1))+2+2,26),INDEX('2029'!$A:$Z,(5+50*((N('My Rota'!$D$6)+4)-1))+2+2,26),INDEX('2030'!$A:$Z,(5+50*((N('My Rota'!$D$6)+4)-1))+2+2,26)))</f>
        <v/>
      </c>
    </row>
    <row r="274">
      <c r="A274" t="n">
        <v>5</v>
      </c>
      <c r="B274">
        <f>$B$49</f>
        <v/>
      </c>
      <c r="C274">
        <f>IF(OR($B274="",(N('My Rota'!$D$6)+4)&gt;53),"",""&amp;CHOOSE(IFERROR(MATCH('My Rota'!$D$5,Setup!$K$33:$K$36,0),1),INDEX('2027'!$A:$Z,(5+50*((N('My Rota'!$D$6)+4)-1))+2+3,3),INDEX('2028'!$A:$Z,(5+50*((N('My Rota'!$D$6)+4)-1))+2+3,3),INDEX('2029'!$A:$Z,(5+50*((N('My Rota'!$D$6)+4)-1))+2+3,3),INDEX('2030'!$A:$Z,(5+50*((N('My Rota'!$D$6)+4)-1))+2+3,3)))</f>
        <v/>
      </c>
      <c r="D274">
        <f>IF(OR($B274="",(N('My Rota'!$D$6)+4)&gt;53),"",""&amp;CHOOSE(IFERROR(MATCH('My Rota'!$D$5,Setup!$K$33:$K$36,0),1),INDEX('2027'!$A:$Z,(5+50*((N('My Rota'!$D$6)+4)-1))+2+3,4),INDEX('2028'!$A:$Z,(5+50*((N('My Rota'!$D$6)+4)-1))+2+3,4),INDEX('2029'!$A:$Z,(5+50*((N('My Rota'!$D$6)+4)-1))+2+3,4),INDEX('2030'!$A:$Z,(5+50*((N('My Rota'!$D$6)+4)-1))+2+3,4)))</f>
        <v/>
      </c>
      <c r="E274">
        <f>IF(OR($B274="",(N('My Rota'!$D$6)+4)&gt;53),"",""&amp;CHOOSE(IFERROR(MATCH('My Rota'!$D$5,Setup!$K$33:$K$36,0),1),INDEX('2027'!$A:$Z,(5+50*((N('My Rota'!$D$6)+4)-1))+2+3,5),INDEX('2028'!$A:$Z,(5+50*((N('My Rota'!$D$6)+4)-1))+2+3,5),INDEX('2029'!$A:$Z,(5+50*((N('My Rota'!$D$6)+4)-1))+2+3,5),INDEX('2030'!$A:$Z,(5+50*((N('My Rota'!$D$6)+4)-1))+2+3,5)))</f>
        <v/>
      </c>
      <c r="F274">
        <f>IF(OR($B274="",(N('My Rota'!$D$6)+4)&gt;53),"",""&amp;CHOOSE(IFERROR(MATCH('My Rota'!$D$5,Setup!$K$33:$K$36,0),1),INDEX('2027'!$A:$Z,(5+50*((N('My Rota'!$D$6)+4)-1))+2+3,6),INDEX('2028'!$A:$Z,(5+50*((N('My Rota'!$D$6)+4)-1))+2+3,6),INDEX('2029'!$A:$Z,(5+50*((N('My Rota'!$D$6)+4)-1))+2+3,6),INDEX('2030'!$A:$Z,(5+50*((N('My Rota'!$D$6)+4)-1))+2+3,6)))</f>
        <v/>
      </c>
      <c r="G274">
        <f>IF(OR($B274="",(N('My Rota'!$D$6)+4)&gt;53),"",""&amp;CHOOSE(IFERROR(MATCH('My Rota'!$D$5,Setup!$K$33:$K$36,0),1),INDEX('2027'!$A:$Z,(5+50*((N('My Rota'!$D$6)+4)-1))+2+3,7),INDEX('2028'!$A:$Z,(5+50*((N('My Rota'!$D$6)+4)-1))+2+3,7),INDEX('2029'!$A:$Z,(5+50*((N('My Rota'!$D$6)+4)-1))+2+3,7),INDEX('2030'!$A:$Z,(5+50*((N('My Rota'!$D$6)+4)-1))+2+3,7)))</f>
        <v/>
      </c>
      <c r="H274">
        <f>IF(OR($B274="",(N('My Rota'!$D$6)+4)&gt;53),"",""&amp;CHOOSE(IFERROR(MATCH('My Rota'!$D$5,Setup!$K$33:$K$36,0),1),INDEX('2027'!$A:$Z,(5+50*((N('My Rota'!$D$6)+4)-1))+2+3,8),INDEX('2028'!$A:$Z,(5+50*((N('My Rota'!$D$6)+4)-1))+2+3,8),INDEX('2029'!$A:$Z,(5+50*((N('My Rota'!$D$6)+4)-1))+2+3,8),INDEX('2030'!$A:$Z,(5+50*((N('My Rota'!$D$6)+4)-1))+2+3,8)))</f>
        <v/>
      </c>
      <c r="I274">
        <f>IF(OR($B274="",(N('My Rota'!$D$6)+4)&gt;53),"",""&amp;CHOOSE(IFERROR(MATCH('My Rota'!$D$5,Setup!$K$33:$K$36,0),1),INDEX('2027'!$A:$Z,(5+50*((N('My Rota'!$D$6)+4)-1))+2+3,9),INDEX('2028'!$A:$Z,(5+50*((N('My Rota'!$D$6)+4)-1))+2+3,9),INDEX('2029'!$A:$Z,(5+50*((N('My Rota'!$D$6)+4)-1))+2+3,9),INDEX('2030'!$A:$Z,(5+50*((N('My Rota'!$D$6)+4)-1))+2+3,9)))</f>
        <v/>
      </c>
      <c r="J274">
        <f>IF(OR($B274="",(N('My Rota'!$D$6)+4)&gt;53),"",""&amp;CHOOSE(IFERROR(MATCH('My Rota'!$D$5,Setup!$K$33:$K$36,0),1),INDEX('2027'!$A:$Z,(5+50*((N('My Rota'!$D$6)+4)-1))+2+3,10),INDEX('2028'!$A:$Z,(5+50*((N('My Rota'!$D$6)+4)-1))+2+3,10),INDEX('2029'!$A:$Z,(5+50*((N('My Rota'!$D$6)+4)-1))+2+3,10),INDEX('2030'!$A:$Z,(5+50*((N('My Rota'!$D$6)+4)-1))+2+3,10)))</f>
        <v/>
      </c>
      <c r="K274">
        <f>IF(OR($B274="",(N('My Rota'!$D$6)+4)&gt;53),"",""&amp;CHOOSE(IFERROR(MATCH('My Rota'!$D$5,Setup!$K$33:$K$36,0),1),INDEX('2027'!$A:$Z,(5+50*((N('My Rota'!$D$6)+4)-1))+2+3,11),INDEX('2028'!$A:$Z,(5+50*((N('My Rota'!$D$6)+4)-1))+2+3,11),INDEX('2029'!$A:$Z,(5+50*((N('My Rota'!$D$6)+4)-1))+2+3,11),INDEX('2030'!$A:$Z,(5+50*((N('My Rota'!$D$6)+4)-1))+2+3,11)))</f>
        <v/>
      </c>
      <c r="L274">
        <f>IF(OR($B274="",(N('My Rota'!$D$6)+4)&gt;53),"",""&amp;CHOOSE(IFERROR(MATCH('My Rota'!$D$5,Setup!$K$33:$K$36,0),1),INDEX('2027'!$A:$Z,(5+50*((N('My Rota'!$D$6)+4)-1))+2+3,12),INDEX('2028'!$A:$Z,(5+50*((N('My Rota'!$D$6)+4)-1))+2+3,12),INDEX('2029'!$A:$Z,(5+50*((N('My Rota'!$D$6)+4)-1))+2+3,12),INDEX('2030'!$A:$Z,(5+50*((N('My Rota'!$D$6)+4)-1))+2+3,12)))</f>
        <v/>
      </c>
      <c r="M274">
        <f>IF(OR($B274="",(N('My Rota'!$D$6)+4)&gt;53),"",""&amp;CHOOSE(IFERROR(MATCH('My Rota'!$D$5,Setup!$K$33:$K$36,0),1),INDEX('2027'!$A:$Z,(5+50*((N('My Rota'!$D$6)+4)-1))+2+3,13),INDEX('2028'!$A:$Z,(5+50*((N('My Rota'!$D$6)+4)-1))+2+3,13),INDEX('2029'!$A:$Z,(5+50*((N('My Rota'!$D$6)+4)-1))+2+3,13),INDEX('2030'!$A:$Z,(5+50*((N('My Rota'!$D$6)+4)-1))+2+3,13)))</f>
        <v/>
      </c>
      <c r="N274">
        <f>IF(OR($B274="",(N('My Rota'!$D$6)+4)&gt;53),"",""&amp;CHOOSE(IFERROR(MATCH('My Rota'!$D$5,Setup!$K$33:$K$36,0),1),INDEX('2027'!$A:$Z,(5+50*((N('My Rota'!$D$6)+4)-1))+2+3,14),INDEX('2028'!$A:$Z,(5+50*((N('My Rota'!$D$6)+4)-1))+2+3,14),INDEX('2029'!$A:$Z,(5+50*((N('My Rota'!$D$6)+4)-1))+2+3,14),INDEX('2030'!$A:$Z,(5+50*((N('My Rota'!$D$6)+4)-1))+2+3,14)))</f>
        <v/>
      </c>
      <c r="O274">
        <f>IF(OR($B274="",(N('My Rota'!$D$6)+4)&gt;53),"",""&amp;CHOOSE(IFERROR(MATCH('My Rota'!$D$5,Setup!$K$33:$K$36,0),1),INDEX('2027'!$A:$Z,(5+50*((N('My Rota'!$D$6)+4)-1))+2+3,15),INDEX('2028'!$A:$Z,(5+50*((N('My Rota'!$D$6)+4)-1))+2+3,15),INDEX('2029'!$A:$Z,(5+50*((N('My Rota'!$D$6)+4)-1))+2+3,15),INDEX('2030'!$A:$Z,(5+50*((N('My Rota'!$D$6)+4)-1))+2+3,15)))</f>
        <v/>
      </c>
      <c r="P274">
        <f>IF(OR($B274="",(N('My Rota'!$D$6)+4)&gt;53),"",""&amp;CHOOSE(IFERROR(MATCH('My Rota'!$D$5,Setup!$K$33:$K$36,0),1),INDEX('2027'!$A:$Z,(5+50*((N('My Rota'!$D$6)+4)-1))+2+3,16),INDEX('2028'!$A:$Z,(5+50*((N('My Rota'!$D$6)+4)-1))+2+3,16),INDEX('2029'!$A:$Z,(5+50*((N('My Rota'!$D$6)+4)-1))+2+3,16),INDEX('2030'!$A:$Z,(5+50*((N('My Rota'!$D$6)+4)-1))+2+3,16)))</f>
        <v/>
      </c>
      <c r="Q274">
        <f>IF(OR($B274="",(N('My Rota'!$D$6)+4)&gt;53),"",""&amp;CHOOSE(IFERROR(MATCH('My Rota'!$D$5,Setup!$K$33:$K$36,0),1),INDEX('2027'!$A:$Z,(5+50*((N('My Rota'!$D$6)+4)-1))+2+3,17),INDEX('2028'!$A:$Z,(5+50*((N('My Rota'!$D$6)+4)-1))+2+3,17),INDEX('2029'!$A:$Z,(5+50*((N('My Rota'!$D$6)+4)-1))+2+3,17),INDEX('2030'!$A:$Z,(5+50*((N('My Rota'!$D$6)+4)-1))+2+3,17)))</f>
        <v/>
      </c>
      <c r="R274">
        <f>IF(OR($B274="",(N('My Rota'!$D$6)+4)&gt;53),"",""&amp;CHOOSE(IFERROR(MATCH('My Rota'!$D$5,Setup!$K$33:$K$36,0),1),INDEX('2027'!$A:$Z,(5+50*((N('My Rota'!$D$6)+4)-1))+2+3,18),INDEX('2028'!$A:$Z,(5+50*((N('My Rota'!$D$6)+4)-1))+2+3,18),INDEX('2029'!$A:$Z,(5+50*((N('My Rota'!$D$6)+4)-1))+2+3,18),INDEX('2030'!$A:$Z,(5+50*((N('My Rota'!$D$6)+4)-1))+2+3,18)))</f>
        <v/>
      </c>
      <c r="S274">
        <f>IF(OR($B274="",(N('My Rota'!$D$6)+4)&gt;53),"",""&amp;CHOOSE(IFERROR(MATCH('My Rota'!$D$5,Setup!$K$33:$K$36,0),1),INDEX('2027'!$A:$Z,(5+50*((N('My Rota'!$D$6)+4)-1))+2+3,19),INDEX('2028'!$A:$Z,(5+50*((N('My Rota'!$D$6)+4)-1))+2+3,19),INDEX('2029'!$A:$Z,(5+50*((N('My Rota'!$D$6)+4)-1))+2+3,19),INDEX('2030'!$A:$Z,(5+50*((N('My Rota'!$D$6)+4)-1))+2+3,19)))</f>
        <v/>
      </c>
      <c r="T274">
        <f>IF(OR($B274="",(N('My Rota'!$D$6)+4)&gt;53),"",""&amp;CHOOSE(IFERROR(MATCH('My Rota'!$D$5,Setup!$K$33:$K$36,0),1),INDEX('2027'!$A:$Z,(5+50*((N('My Rota'!$D$6)+4)-1))+2+3,20),INDEX('2028'!$A:$Z,(5+50*((N('My Rota'!$D$6)+4)-1))+2+3,20),INDEX('2029'!$A:$Z,(5+50*((N('My Rota'!$D$6)+4)-1))+2+3,20),INDEX('2030'!$A:$Z,(5+50*((N('My Rota'!$D$6)+4)-1))+2+3,20)))</f>
        <v/>
      </c>
      <c r="U274">
        <f>IF(OR($B274="",(N('My Rota'!$D$6)+4)&gt;53),"",""&amp;CHOOSE(IFERROR(MATCH('My Rota'!$D$5,Setup!$K$33:$K$36,0),1),INDEX('2027'!$A:$Z,(5+50*((N('My Rota'!$D$6)+4)-1))+2+3,21),INDEX('2028'!$A:$Z,(5+50*((N('My Rota'!$D$6)+4)-1))+2+3,21),INDEX('2029'!$A:$Z,(5+50*((N('My Rota'!$D$6)+4)-1))+2+3,21),INDEX('2030'!$A:$Z,(5+50*((N('My Rota'!$D$6)+4)-1))+2+3,21)))</f>
        <v/>
      </c>
      <c r="V274">
        <f>IF(OR($B274="",(N('My Rota'!$D$6)+4)&gt;53),"",""&amp;CHOOSE(IFERROR(MATCH('My Rota'!$D$5,Setup!$K$33:$K$36,0),1),INDEX('2027'!$A:$Z,(5+50*((N('My Rota'!$D$6)+4)-1))+2+3,22),INDEX('2028'!$A:$Z,(5+50*((N('My Rota'!$D$6)+4)-1))+2+3,22),INDEX('2029'!$A:$Z,(5+50*((N('My Rota'!$D$6)+4)-1))+2+3,22),INDEX('2030'!$A:$Z,(5+50*((N('My Rota'!$D$6)+4)-1))+2+3,22)))</f>
        <v/>
      </c>
      <c r="W274">
        <f>IF(OR($B274="",(N('My Rota'!$D$6)+4)&gt;53),"",""&amp;CHOOSE(IFERROR(MATCH('My Rota'!$D$5,Setup!$K$33:$K$36,0),1),INDEX('2027'!$A:$Z,(5+50*((N('My Rota'!$D$6)+4)-1))+2+3,23),INDEX('2028'!$A:$Z,(5+50*((N('My Rota'!$D$6)+4)-1))+2+3,23),INDEX('2029'!$A:$Z,(5+50*((N('My Rota'!$D$6)+4)-1))+2+3,23),INDEX('2030'!$A:$Z,(5+50*((N('My Rota'!$D$6)+4)-1))+2+3,23)))</f>
        <v/>
      </c>
      <c r="X274">
        <f>IF(OR($B274="",(N('My Rota'!$D$6)+4)&gt;53),"",""&amp;CHOOSE(IFERROR(MATCH('My Rota'!$D$5,Setup!$K$33:$K$36,0),1),INDEX('2027'!$A:$Z,(5+50*((N('My Rota'!$D$6)+4)-1))+2+3,24),INDEX('2028'!$A:$Z,(5+50*((N('My Rota'!$D$6)+4)-1))+2+3,24),INDEX('2029'!$A:$Z,(5+50*((N('My Rota'!$D$6)+4)-1))+2+3,24),INDEX('2030'!$A:$Z,(5+50*((N('My Rota'!$D$6)+4)-1))+2+3,24)))</f>
        <v/>
      </c>
      <c r="Y274">
        <f>IF(OR($B274="",(N('My Rota'!$D$6)+4)&gt;53),"",""&amp;CHOOSE(IFERROR(MATCH('My Rota'!$D$5,Setup!$K$33:$K$36,0),1),INDEX('2027'!$A:$Z,(5+50*((N('My Rota'!$D$6)+4)-1))+2+3,25),INDEX('2028'!$A:$Z,(5+50*((N('My Rota'!$D$6)+4)-1))+2+3,25),INDEX('2029'!$A:$Z,(5+50*((N('My Rota'!$D$6)+4)-1))+2+3,25),INDEX('2030'!$A:$Z,(5+50*((N('My Rota'!$D$6)+4)-1))+2+3,25)))</f>
        <v/>
      </c>
      <c r="Z274">
        <f>IF(OR($B274="",(N('My Rota'!$D$6)+4)&gt;53),"",""&amp;CHOOSE(IFERROR(MATCH('My Rota'!$D$5,Setup!$K$33:$K$36,0),1),INDEX('2027'!$A:$Z,(5+50*((N('My Rota'!$D$6)+4)-1))+2+3,26),INDEX('2028'!$A:$Z,(5+50*((N('My Rota'!$D$6)+4)-1))+2+3,26),INDEX('2029'!$A:$Z,(5+50*((N('My Rota'!$D$6)+4)-1))+2+3,26),INDEX('2030'!$A:$Z,(5+50*((N('My Rota'!$D$6)+4)-1))+2+3,26)))</f>
        <v/>
      </c>
    </row>
    <row r="275">
      <c r="A275" t="n">
        <v>5</v>
      </c>
      <c r="B275">
        <f>$B$50</f>
        <v/>
      </c>
      <c r="C275">
        <f>IF(OR($B275="",(N('My Rota'!$D$6)+4)&gt;53),"",""&amp;CHOOSE(IFERROR(MATCH('My Rota'!$D$5,Setup!$K$33:$K$36,0),1),INDEX('2027'!$A:$Z,(5+50*((N('My Rota'!$D$6)+4)-1))+2+4,3),INDEX('2028'!$A:$Z,(5+50*((N('My Rota'!$D$6)+4)-1))+2+4,3),INDEX('2029'!$A:$Z,(5+50*((N('My Rota'!$D$6)+4)-1))+2+4,3),INDEX('2030'!$A:$Z,(5+50*((N('My Rota'!$D$6)+4)-1))+2+4,3)))</f>
        <v/>
      </c>
      <c r="D275">
        <f>IF(OR($B275="",(N('My Rota'!$D$6)+4)&gt;53),"",""&amp;CHOOSE(IFERROR(MATCH('My Rota'!$D$5,Setup!$K$33:$K$36,0),1),INDEX('2027'!$A:$Z,(5+50*((N('My Rota'!$D$6)+4)-1))+2+4,4),INDEX('2028'!$A:$Z,(5+50*((N('My Rota'!$D$6)+4)-1))+2+4,4),INDEX('2029'!$A:$Z,(5+50*((N('My Rota'!$D$6)+4)-1))+2+4,4),INDEX('2030'!$A:$Z,(5+50*((N('My Rota'!$D$6)+4)-1))+2+4,4)))</f>
        <v/>
      </c>
      <c r="E275">
        <f>IF(OR($B275="",(N('My Rota'!$D$6)+4)&gt;53),"",""&amp;CHOOSE(IFERROR(MATCH('My Rota'!$D$5,Setup!$K$33:$K$36,0),1),INDEX('2027'!$A:$Z,(5+50*((N('My Rota'!$D$6)+4)-1))+2+4,5),INDEX('2028'!$A:$Z,(5+50*((N('My Rota'!$D$6)+4)-1))+2+4,5),INDEX('2029'!$A:$Z,(5+50*((N('My Rota'!$D$6)+4)-1))+2+4,5),INDEX('2030'!$A:$Z,(5+50*((N('My Rota'!$D$6)+4)-1))+2+4,5)))</f>
        <v/>
      </c>
      <c r="F275">
        <f>IF(OR($B275="",(N('My Rota'!$D$6)+4)&gt;53),"",""&amp;CHOOSE(IFERROR(MATCH('My Rota'!$D$5,Setup!$K$33:$K$36,0),1),INDEX('2027'!$A:$Z,(5+50*((N('My Rota'!$D$6)+4)-1))+2+4,6),INDEX('2028'!$A:$Z,(5+50*((N('My Rota'!$D$6)+4)-1))+2+4,6),INDEX('2029'!$A:$Z,(5+50*((N('My Rota'!$D$6)+4)-1))+2+4,6),INDEX('2030'!$A:$Z,(5+50*((N('My Rota'!$D$6)+4)-1))+2+4,6)))</f>
        <v/>
      </c>
      <c r="G275">
        <f>IF(OR($B275="",(N('My Rota'!$D$6)+4)&gt;53),"",""&amp;CHOOSE(IFERROR(MATCH('My Rota'!$D$5,Setup!$K$33:$K$36,0),1),INDEX('2027'!$A:$Z,(5+50*((N('My Rota'!$D$6)+4)-1))+2+4,7),INDEX('2028'!$A:$Z,(5+50*((N('My Rota'!$D$6)+4)-1))+2+4,7),INDEX('2029'!$A:$Z,(5+50*((N('My Rota'!$D$6)+4)-1))+2+4,7),INDEX('2030'!$A:$Z,(5+50*((N('My Rota'!$D$6)+4)-1))+2+4,7)))</f>
        <v/>
      </c>
      <c r="H275">
        <f>IF(OR($B275="",(N('My Rota'!$D$6)+4)&gt;53),"",""&amp;CHOOSE(IFERROR(MATCH('My Rota'!$D$5,Setup!$K$33:$K$36,0),1),INDEX('2027'!$A:$Z,(5+50*((N('My Rota'!$D$6)+4)-1))+2+4,8),INDEX('2028'!$A:$Z,(5+50*((N('My Rota'!$D$6)+4)-1))+2+4,8),INDEX('2029'!$A:$Z,(5+50*((N('My Rota'!$D$6)+4)-1))+2+4,8),INDEX('2030'!$A:$Z,(5+50*((N('My Rota'!$D$6)+4)-1))+2+4,8)))</f>
        <v/>
      </c>
      <c r="I275">
        <f>IF(OR($B275="",(N('My Rota'!$D$6)+4)&gt;53),"",""&amp;CHOOSE(IFERROR(MATCH('My Rota'!$D$5,Setup!$K$33:$K$36,0),1),INDEX('2027'!$A:$Z,(5+50*((N('My Rota'!$D$6)+4)-1))+2+4,9),INDEX('2028'!$A:$Z,(5+50*((N('My Rota'!$D$6)+4)-1))+2+4,9),INDEX('2029'!$A:$Z,(5+50*((N('My Rota'!$D$6)+4)-1))+2+4,9),INDEX('2030'!$A:$Z,(5+50*((N('My Rota'!$D$6)+4)-1))+2+4,9)))</f>
        <v/>
      </c>
      <c r="J275">
        <f>IF(OR($B275="",(N('My Rota'!$D$6)+4)&gt;53),"",""&amp;CHOOSE(IFERROR(MATCH('My Rota'!$D$5,Setup!$K$33:$K$36,0),1),INDEX('2027'!$A:$Z,(5+50*((N('My Rota'!$D$6)+4)-1))+2+4,10),INDEX('2028'!$A:$Z,(5+50*((N('My Rota'!$D$6)+4)-1))+2+4,10),INDEX('2029'!$A:$Z,(5+50*((N('My Rota'!$D$6)+4)-1))+2+4,10),INDEX('2030'!$A:$Z,(5+50*((N('My Rota'!$D$6)+4)-1))+2+4,10)))</f>
        <v/>
      </c>
      <c r="K275">
        <f>IF(OR($B275="",(N('My Rota'!$D$6)+4)&gt;53),"",""&amp;CHOOSE(IFERROR(MATCH('My Rota'!$D$5,Setup!$K$33:$K$36,0),1),INDEX('2027'!$A:$Z,(5+50*((N('My Rota'!$D$6)+4)-1))+2+4,11),INDEX('2028'!$A:$Z,(5+50*((N('My Rota'!$D$6)+4)-1))+2+4,11),INDEX('2029'!$A:$Z,(5+50*((N('My Rota'!$D$6)+4)-1))+2+4,11),INDEX('2030'!$A:$Z,(5+50*((N('My Rota'!$D$6)+4)-1))+2+4,11)))</f>
        <v/>
      </c>
      <c r="L275">
        <f>IF(OR($B275="",(N('My Rota'!$D$6)+4)&gt;53),"",""&amp;CHOOSE(IFERROR(MATCH('My Rota'!$D$5,Setup!$K$33:$K$36,0),1),INDEX('2027'!$A:$Z,(5+50*((N('My Rota'!$D$6)+4)-1))+2+4,12),INDEX('2028'!$A:$Z,(5+50*((N('My Rota'!$D$6)+4)-1))+2+4,12),INDEX('2029'!$A:$Z,(5+50*((N('My Rota'!$D$6)+4)-1))+2+4,12),INDEX('2030'!$A:$Z,(5+50*((N('My Rota'!$D$6)+4)-1))+2+4,12)))</f>
        <v/>
      </c>
      <c r="M275">
        <f>IF(OR($B275="",(N('My Rota'!$D$6)+4)&gt;53),"",""&amp;CHOOSE(IFERROR(MATCH('My Rota'!$D$5,Setup!$K$33:$K$36,0),1),INDEX('2027'!$A:$Z,(5+50*((N('My Rota'!$D$6)+4)-1))+2+4,13),INDEX('2028'!$A:$Z,(5+50*((N('My Rota'!$D$6)+4)-1))+2+4,13),INDEX('2029'!$A:$Z,(5+50*((N('My Rota'!$D$6)+4)-1))+2+4,13),INDEX('2030'!$A:$Z,(5+50*((N('My Rota'!$D$6)+4)-1))+2+4,13)))</f>
        <v/>
      </c>
      <c r="N275">
        <f>IF(OR($B275="",(N('My Rota'!$D$6)+4)&gt;53),"",""&amp;CHOOSE(IFERROR(MATCH('My Rota'!$D$5,Setup!$K$33:$K$36,0),1),INDEX('2027'!$A:$Z,(5+50*((N('My Rota'!$D$6)+4)-1))+2+4,14),INDEX('2028'!$A:$Z,(5+50*((N('My Rota'!$D$6)+4)-1))+2+4,14),INDEX('2029'!$A:$Z,(5+50*((N('My Rota'!$D$6)+4)-1))+2+4,14),INDEX('2030'!$A:$Z,(5+50*((N('My Rota'!$D$6)+4)-1))+2+4,14)))</f>
        <v/>
      </c>
      <c r="O275">
        <f>IF(OR($B275="",(N('My Rota'!$D$6)+4)&gt;53),"",""&amp;CHOOSE(IFERROR(MATCH('My Rota'!$D$5,Setup!$K$33:$K$36,0),1),INDEX('2027'!$A:$Z,(5+50*((N('My Rota'!$D$6)+4)-1))+2+4,15),INDEX('2028'!$A:$Z,(5+50*((N('My Rota'!$D$6)+4)-1))+2+4,15),INDEX('2029'!$A:$Z,(5+50*((N('My Rota'!$D$6)+4)-1))+2+4,15),INDEX('2030'!$A:$Z,(5+50*((N('My Rota'!$D$6)+4)-1))+2+4,15)))</f>
        <v/>
      </c>
      <c r="P275">
        <f>IF(OR($B275="",(N('My Rota'!$D$6)+4)&gt;53),"",""&amp;CHOOSE(IFERROR(MATCH('My Rota'!$D$5,Setup!$K$33:$K$36,0),1),INDEX('2027'!$A:$Z,(5+50*((N('My Rota'!$D$6)+4)-1))+2+4,16),INDEX('2028'!$A:$Z,(5+50*((N('My Rota'!$D$6)+4)-1))+2+4,16),INDEX('2029'!$A:$Z,(5+50*((N('My Rota'!$D$6)+4)-1))+2+4,16),INDEX('2030'!$A:$Z,(5+50*((N('My Rota'!$D$6)+4)-1))+2+4,16)))</f>
        <v/>
      </c>
      <c r="Q275">
        <f>IF(OR($B275="",(N('My Rota'!$D$6)+4)&gt;53),"",""&amp;CHOOSE(IFERROR(MATCH('My Rota'!$D$5,Setup!$K$33:$K$36,0),1),INDEX('2027'!$A:$Z,(5+50*((N('My Rota'!$D$6)+4)-1))+2+4,17),INDEX('2028'!$A:$Z,(5+50*((N('My Rota'!$D$6)+4)-1))+2+4,17),INDEX('2029'!$A:$Z,(5+50*((N('My Rota'!$D$6)+4)-1))+2+4,17),INDEX('2030'!$A:$Z,(5+50*((N('My Rota'!$D$6)+4)-1))+2+4,17)))</f>
        <v/>
      </c>
      <c r="R275">
        <f>IF(OR($B275="",(N('My Rota'!$D$6)+4)&gt;53),"",""&amp;CHOOSE(IFERROR(MATCH('My Rota'!$D$5,Setup!$K$33:$K$36,0),1),INDEX('2027'!$A:$Z,(5+50*((N('My Rota'!$D$6)+4)-1))+2+4,18),INDEX('2028'!$A:$Z,(5+50*((N('My Rota'!$D$6)+4)-1))+2+4,18),INDEX('2029'!$A:$Z,(5+50*((N('My Rota'!$D$6)+4)-1))+2+4,18),INDEX('2030'!$A:$Z,(5+50*((N('My Rota'!$D$6)+4)-1))+2+4,18)))</f>
        <v/>
      </c>
      <c r="S275">
        <f>IF(OR($B275="",(N('My Rota'!$D$6)+4)&gt;53),"",""&amp;CHOOSE(IFERROR(MATCH('My Rota'!$D$5,Setup!$K$33:$K$36,0),1),INDEX('2027'!$A:$Z,(5+50*((N('My Rota'!$D$6)+4)-1))+2+4,19),INDEX('2028'!$A:$Z,(5+50*((N('My Rota'!$D$6)+4)-1))+2+4,19),INDEX('2029'!$A:$Z,(5+50*((N('My Rota'!$D$6)+4)-1))+2+4,19),INDEX('2030'!$A:$Z,(5+50*((N('My Rota'!$D$6)+4)-1))+2+4,19)))</f>
        <v/>
      </c>
      <c r="T275">
        <f>IF(OR($B275="",(N('My Rota'!$D$6)+4)&gt;53),"",""&amp;CHOOSE(IFERROR(MATCH('My Rota'!$D$5,Setup!$K$33:$K$36,0),1),INDEX('2027'!$A:$Z,(5+50*((N('My Rota'!$D$6)+4)-1))+2+4,20),INDEX('2028'!$A:$Z,(5+50*((N('My Rota'!$D$6)+4)-1))+2+4,20),INDEX('2029'!$A:$Z,(5+50*((N('My Rota'!$D$6)+4)-1))+2+4,20),INDEX('2030'!$A:$Z,(5+50*((N('My Rota'!$D$6)+4)-1))+2+4,20)))</f>
        <v/>
      </c>
      <c r="U275">
        <f>IF(OR($B275="",(N('My Rota'!$D$6)+4)&gt;53),"",""&amp;CHOOSE(IFERROR(MATCH('My Rota'!$D$5,Setup!$K$33:$K$36,0),1),INDEX('2027'!$A:$Z,(5+50*((N('My Rota'!$D$6)+4)-1))+2+4,21),INDEX('2028'!$A:$Z,(5+50*((N('My Rota'!$D$6)+4)-1))+2+4,21),INDEX('2029'!$A:$Z,(5+50*((N('My Rota'!$D$6)+4)-1))+2+4,21),INDEX('2030'!$A:$Z,(5+50*((N('My Rota'!$D$6)+4)-1))+2+4,21)))</f>
        <v/>
      </c>
      <c r="V275">
        <f>IF(OR($B275="",(N('My Rota'!$D$6)+4)&gt;53),"",""&amp;CHOOSE(IFERROR(MATCH('My Rota'!$D$5,Setup!$K$33:$K$36,0),1),INDEX('2027'!$A:$Z,(5+50*((N('My Rota'!$D$6)+4)-1))+2+4,22),INDEX('2028'!$A:$Z,(5+50*((N('My Rota'!$D$6)+4)-1))+2+4,22),INDEX('2029'!$A:$Z,(5+50*((N('My Rota'!$D$6)+4)-1))+2+4,22),INDEX('2030'!$A:$Z,(5+50*((N('My Rota'!$D$6)+4)-1))+2+4,22)))</f>
        <v/>
      </c>
      <c r="W275">
        <f>IF(OR($B275="",(N('My Rota'!$D$6)+4)&gt;53),"",""&amp;CHOOSE(IFERROR(MATCH('My Rota'!$D$5,Setup!$K$33:$K$36,0),1),INDEX('2027'!$A:$Z,(5+50*((N('My Rota'!$D$6)+4)-1))+2+4,23),INDEX('2028'!$A:$Z,(5+50*((N('My Rota'!$D$6)+4)-1))+2+4,23),INDEX('2029'!$A:$Z,(5+50*((N('My Rota'!$D$6)+4)-1))+2+4,23),INDEX('2030'!$A:$Z,(5+50*((N('My Rota'!$D$6)+4)-1))+2+4,23)))</f>
        <v/>
      </c>
      <c r="X275">
        <f>IF(OR($B275="",(N('My Rota'!$D$6)+4)&gt;53),"",""&amp;CHOOSE(IFERROR(MATCH('My Rota'!$D$5,Setup!$K$33:$K$36,0),1),INDEX('2027'!$A:$Z,(5+50*((N('My Rota'!$D$6)+4)-1))+2+4,24),INDEX('2028'!$A:$Z,(5+50*((N('My Rota'!$D$6)+4)-1))+2+4,24),INDEX('2029'!$A:$Z,(5+50*((N('My Rota'!$D$6)+4)-1))+2+4,24),INDEX('2030'!$A:$Z,(5+50*((N('My Rota'!$D$6)+4)-1))+2+4,24)))</f>
        <v/>
      </c>
      <c r="Y275">
        <f>IF(OR($B275="",(N('My Rota'!$D$6)+4)&gt;53),"",""&amp;CHOOSE(IFERROR(MATCH('My Rota'!$D$5,Setup!$K$33:$K$36,0),1),INDEX('2027'!$A:$Z,(5+50*((N('My Rota'!$D$6)+4)-1))+2+4,25),INDEX('2028'!$A:$Z,(5+50*((N('My Rota'!$D$6)+4)-1))+2+4,25),INDEX('2029'!$A:$Z,(5+50*((N('My Rota'!$D$6)+4)-1))+2+4,25),INDEX('2030'!$A:$Z,(5+50*((N('My Rota'!$D$6)+4)-1))+2+4,25)))</f>
        <v/>
      </c>
      <c r="Z275">
        <f>IF(OR($B275="",(N('My Rota'!$D$6)+4)&gt;53),"",""&amp;CHOOSE(IFERROR(MATCH('My Rota'!$D$5,Setup!$K$33:$K$36,0),1),INDEX('2027'!$A:$Z,(5+50*((N('My Rota'!$D$6)+4)-1))+2+4,26),INDEX('2028'!$A:$Z,(5+50*((N('My Rota'!$D$6)+4)-1))+2+4,26),INDEX('2029'!$A:$Z,(5+50*((N('My Rota'!$D$6)+4)-1))+2+4,26),INDEX('2030'!$A:$Z,(5+50*((N('My Rota'!$D$6)+4)-1))+2+4,26)))</f>
        <v/>
      </c>
    </row>
    <row r="276">
      <c r="A276" t="n">
        <v>5</v>
      </c>
      <c r="B276">
        <f>$B$51</f>
        <v/>
      </c>
      <c r="C276">
        <f>IF(OR($B276="",(N('My Rota'!$D$6)+4)&gt;53),"",""&amp;CHOOSE(IFERROR(MATCH('My Rota'!$D$5,Setup!$K$33:$K$36,0),1),INDEX('2027'!$A:$Z,(5+50*((N('My Rota'!$D$6)+4)-1))+2+5,3),INDEX('2028'!$A:$Z,(5+50*((N('My Rota'!$D$6)+4)-1))+2+5,3),INDEX('2029'!$A:$Z,(5+50*((N('My Rota'!$D$6)+4)-1))+2+5,3),INDEX('2030'!$A:$Z,(5+50*((N('My Rota'!$D$6)+4)-1))+2+5,3)))</f>
        <v/>
      </c>
      <c r="D276">
        <f>IF(OR($B276="",(N('My Rota'!$D$6)+4)&gt;53),"",""&amp;CHOOSE(IFERROR(MATCH('My Rota'!$D$5,Setup!$K$33:$K$36,0),1),INDEX('2027'!$A:$Z,(5+50*((N('My Rota'!$D$6)+4)-1))+2+5,4),INDEX('2028'!$A:$Z,(5+50*((N('My Rota'!$D$6)+4)-1))+2+5,4),INDEX('2029'!$A:$Z,(5+50*((N('My Rota'!$D$6)+4)-1))+2+5,4),INDEX('2030'!$A:$Z,(5+50*((N('My Rota'!$D$6)+4)-1))+2+5,4)))</f>
        <v/>
      </c>
      <c r="E276">
        <f>IF(OR($B276="",(N('My Rota'!$D$6)+4)&gt;53),"",""&amp;CHOOSE(IFERROR(MATCH('My Rota'!$D$5,Setup!$K$33:$K$36,0),1),INDEX('2027'!$A:$Z,(5+50*((N('My Rota'!$D$6)+4)-1))+2+5,5),INDEX('2028'!$A:$Z,(5+50*((N('My Rota'!$D$6)+4)-1))+2+5,5),INDEX('2029'!$A:$Z,(5+50*((N('My Rota'!$D$6)+4)-1))+2+5,5),INDEX('2030'!$A:$Z,(5+50*((N('My Rota'!$D$6)+4)-1))+2+5,5)))</f>
        <v/>
      </c>
      <c r="F276">
        <f>IF(OR($B276="",(N('My Rota'!$D$6)+4)&gt;53),"",""&amp;CHOOSE(IFERROR(MATCH('My Rota'!$D$5,Setup!$K$33:$K$36,0),1),INDEX('2027'!$A:$Z,(5+50*((N('My Rota'!$D$6)+4)-1))+2+5,6),INDEX('2028'!$A:$Z,(5+50*((N('My Rota'!$D$6)+4)-1))+2+5,6),INDEX('2029'!$A:$Z,(5+50*((N('My Rota'!$D$6)+4)-1))+2+5,6),INDEX('2030'!$A:$Z,(5+50*((N('My Rota'!$D$6)+4)-1))+2+5,6)))</f>
        <v/>
      </c>
      <c r="G276">
        <f>IF(OR($B276="",(N('My Rota'!$D$6)+4)&gt;53),"",""&amp;CHOOSE(IFERROR(MATCH('My Rota'!$D$5,Setup!$K$33:$K$36,0),1),INDEX('2027'!$A:$Z,(5+50*((N('My Rota'!$D$6)+4)-1))+2+5,7),INDEX('2028'!$A:$Z,(5+50*((N('My Rota'!$D$6)+4)-1))+2+5,7),INDEX('2029'!$A:$Z,(5+50*((N('My Rota'!$D$6)+4)-1))+2+5,7),INDEX('2030'!$A:$Z,(5+50*((N('My Rota'!$D$6)+4)-1))+2+5,7)))</f>
        <v/>
      </c>
      <c r="H276">
        <f>IF(OR($B276="",(N('My Rota'!$D$6)+4)&gt;53),"",""&amp;CHOOSE(IFERROR(MATCH('My Rota'!$D$5,Setup!$K$33:$K$36,0),1),INDEX('2027'!$A:$Z,(5+50*((N('My Rota'!$D$6)+4)-1))+2+5,8),INDEX('2028'!$A:$Z,(5+50*((N('My Rota'!$D$6)+4)-1))+2+5,8),INDEX('2029'!$A:$Z,(5+50*((N('My Rota'!$D$6)+4)-1))+2+5,8),INDEX('2030'!$A:$Z,(5+50*((N('My Rota'!$D$6)+4)-1))+2+5,8)))</f>
        <v/>
      </c>
      <c r="I276">
        <f>IF(OR($B276="",(N('My Rota'!$D$6)+4)&gt;53),"",""&amp;CHOOSE(IFERROR(MATCH('My Rota'!$D$5,Setup!$K$33:$K$36,0),1),INDEX('2027'!$A:$Z,(5+50*((N('My Rota'!$D$6)+4)-1))+2+5,9),INDEX('2028'!$A:$Z,(5+50*((N('My Rota'!$D$6)+4)-1))+2+5,9),INDEX('2029'!$A:$Z,(5+50*((N('My Rota'!$D$6)+4)-1))+2+5,9),INDEX('2030'!$A:$Z,(5+50*((N('My Rota'!$D$6)+4)-1))+2+5,9)))</f>
        <v/>
      </c>
      <c r="J276">
        <f>IF(OR($B276="",(N('My Rota'!$D$6)+4)&gt;53),"",""&amp;CHOOSE(IFERROR(MATCH('My Rota'!$D$5,Setup!$K$33:$K$36,0),1),INDEX('2027'!$A:$Z,(5+50*((N('My Rota'!$D$6)+4)-1))+2+5,10),INDEX('2028'!$A:$Z,(5+50*((N('My Rota'!$D$6)+4)-1))+2+5,10),INDEX('2029'!$A:$Z,(5+50*((N('My Rota'!$D$6)+4)-1))+2+5,10),INDEX('2030'!$A:$Z,(5+50*((N('My Rota'!$D$6)+4)-1))+2+5,10)))</f>
        <v/>
      </c>
      <c r="K276">
        <f>IF(OR($B276="",(N('My Rota'!$D$6)+4)&gt;53),"",""&amp;CHOOSE(IFERROR(MATCH('My Rota'!$D$5,Setup!$K$33:$K$36,0),1),INDEX('2027'!$A:$Z,(5+50*((N('My Rota'!$D$6)+4)-1))+2+5,11),INDEX('2028'!$A:$Z,(5+50*((N('My Rota'!$D$6)+4)-1))+2+5,11),INDEX('2029'!$A:$Z,(5+50*((N('My Rota'!$D$6)+4)-1))+2+5,11),INDEX('2030'!$A:$Z,(5+50*((N('My Rota'!$D$6)+4)-1))+2+5,11)))</f>
        <v/>
      </c>
      <c r="L276">
        <f>IF(OR($B276="",(N('My Rota'!$D$6)+4)&gt;53),"",""&amp;CHOOSE(IFERROR(MATCH('My Rota'!$D$5,Setup!$K$33:$K$36,0),1),INDEX('2027'!$A:$Z,(5+50*((N('My Rota'!$D$6)+4)-1))+2+5,12),INDEX('2028'!$A:$Z,(5+50*((N('My Rota'!$D$6)+4)-1))+2+5,12),INDEX('2029'!$A:$Z,(5+50*((N('My Rota'!$D$6)+4)-1))+2+5,12),INDEX('2030'!$A:$Z,(5+50*((N('My Rota'!$D$6)+4)-1))+2+5,12)))</f>
        <v/>
      </c>
      <c r="M276">
        <f>IF(OR($B276="",(N('My Rota'!$D$6)+4)&gt;53),"",""&amp;CHOOSE(IFERROR(MATCH('My Rota'!$D$5,Setup!$K$33:$K$36,0),1),INDEX('2027'!$A:$Z,(5+50*((N('My Rota'!$D$6)+4)-1))+2+5,13),INDEX('2028'!$A:$Z,(5+50*((N('My Rota'!$D$6)+4)-1))+2+5,13),INDEX('2029'!$A:$Z,(5+50*((N('My Rota'!$D$6)+4)-1))+2+5,13),INDEX('2030'!$A:$Z,(5+50*((N('My Rota'!$D$6)+4)-1))+2+5,13)))</f>
        <v/>
      </c>
      <c r="N276">
        <f>IF(OR($B276="",(N('My Rota'!$D$6)+4)&gt;53),"",""&amp;CHOOSE(IFERROR(MATCH('My Rota'!$D$5,Setup!$K$33:$K$36,0),1),INDEX('2027'!$A:$Z,(5+50*((N('My Rota'!$D$6)+4)-1))+2+5,14),INDEX('2028'!$A:$Z,(5+50*((N('My Rota'!$D$6)+4)-1))+2+5,14),INDEX('2029'!$A:$Z,(5+50*((N('My Rota'!$D$6)+4)-1))+2+5,14),INDEX('2030'!$A:$Z,(5+50*((N('My Rota'!$D$6)+4)-1))+2+5,14)))</f>
        <v/>
      </c>
      <c r="O276">
        <f>IF(OR($B276="",(N('My Rota'!$D$6)+4)&gt;53),"",""&amp;CHOOSE(IFERROR(MATCH('My Rota'!$D$5,Setup!$K$33:$K$36,0),1),INDEX('2027'!$A:$Z,(5+50*((N('My Rota'!$D$6)+4)-1))+2+5,15),INDEX('2028'!$A:$Z,(5+50*((N('My Rota'!$D$6)+4)-1))+2+5,15),INDEX('2029'!$A:$Z,(5+50*((N('My Rota'!$D$6)+4)-1))+2+5,15),INDEX('2030'!$A:$Z,(5+50*((N('My Rota'!$D$6)+4)-1))+2+5,15)))</f>
        <v/>
      </c>
      <c r="P276">
        <f>IF(OR($B276="",(N('My Rota'!$D$6)+4)&gt;53),"",""&amp;CHOOSE(IFERROR(MATCH('My Rota'!$D$5,Setup!$K$33:$K$36,0),1),INDEX('2027'!$A:$Z,(5+50*((N('My Rota'!$D$6)+4)-1))+2+5,16),INDEX('2028'!$A:$Z,(5+50*((N('My Rota'!$D$6)+4)-1))+2+5,16),INDEX('2029'!$A:$Z,(5+50*((N('My Rota'!$D$6)+4)-1))+2+5,16),INDEX('2030'!$A:$Z,(5+50*((N('My Rota'!$D$6)+4)-1))+2+5,16)))</f>
        <v/>
      </c>
      <c r="Q276">
        <f>IF(OR($B276="",(N('My Rota'!$D$6)+4)&gt;53),"",""&amp;CHOOSE(IFERROR(MATCH('My Rota'!$D$5,Setup!$K$33:$K$36,0),1),INDEX('2027'!$A:$Z,(5+50*((N('My Rota'!$D$6)+4)-1))+2+5,17),INDEX('2028'!$A:$Z,(5+50*((N('My Rota'!$D$6)+4)-1))+2+5,17),INDEX('2029'!$A:$Z,(5+50*((N('My Rota'!$D$6)+4)-1))+2+5,17),INDEX('2030'!$A:$Z,(5+50*((N('My Rota'!$D$6)+4)-1))+2+5,17)))</f>
        <v/>
      </c>
      <c r="R276">
        <f>IF(OR($B276="",(N('My Rota'!$D$6)+4)&gt;53),"",""&amp;CHOOSE(IFERROR(MATCH('My Rota'!$D$5,Setup!$K$33:$K$36,0),1),INDEX('2027'!$A:$Z,(5+50*((N('My Rota'!$D$6)+4)-1))+2+5,18),INDEX('2028'!$A:$Z,(5+50*((N('My Rota'!$D$6)+4)-1))+2+5,18),INDEX('2029'!$A:$Z,(5+50*((N('My Rota'!$D$6)+4)-1))+2+5,18),INDEX('2030'!$A:$Z,(5+50*((N('My Rota'!$D$6)+4)-1))+2+5,18)))</f>
        <v/>
      </c>
      <c r="S276">
        <f>IF(OR($B276="",(N('My Rota'!$D$6)+4)&gt;53),"",""&amp;CHOOSE(IFERROR(MATCH('My Rota'!$D$5,Setup!$K$33:$K$36,0),1),INDEX('2027'!$A:$Z,(5+50*((N('My Rota'!$D$6)+4)-1))+2+5,19),INDEX('2028'!$A:$Z,(5+50*((N('My Rota'!$D$6)+4)-1))+2+5,19),INDEX('2029'!$A:$Z,(5+50*((N('My Rota'!$D$6)+4)-1))+2+5,19),INDEX('2030'!$A:$Z,(5+50*((N('My Rota'!$D$6)+4)-1))+2+5,19)))</f>
        <v/>
      </c>
      <c r="T276">
        <f>IF(OR($B276="",(N('My Rota'!$D$6)+4)&gt;53),"",""&amp;CHOOSE(IFERROR(MATCH('My Rota'!$D$5,Setup!$K$33:$K$36,0),1),INDEX('2027'!$A:$Z,(5+50*((N('My Rota'!$D$6)+4)-1))+2+5,20),INDEX('2028'!$A:$Z,(5+50*((N('My Rota'!$D$6)+4)-1))+2+5,20),INDEX('2029'!$A:$Z,(5+50*((N('My Rota'!$D$6)+4)-1))+2+5,20),INDEX('2030'!$A:$Z,(5+50*((N('My Rota'!$D$6)+4)-1))+2+5,20)))</f>
        <v/>
      </c>
      <c r="U276">
        <f>IF(OR($B276="",(N('My Rota'!$D$6)+4)&gt;53),"",""&amp;CHOOSE(IFERROR(MATCH('My Rota'!$D$5,Setup!$K$33:$K$36,0),1),INDEX('2027'!$A:$Z,(5+50*((N('My Rota'!$D$6)+4)-1))+2+5,21),INDEX('2028'!$A:$Z,(5+50*((N('My Rota'!$D$6)+4)-1))+2+5,21),INDEX('2029'!$A:$Z,(5+50*((N('My Rota'!$D$6)+4)-1))+2+5,21),INDEX('2030'!$A:$Z,(5+50*((N('My Rota'!$D$6)+4)-1))+2+5,21)))</f>
        <v/>
      </c>
      <c r="V276">
        <f>IF(OR($B276="",(N('My Rota'!$D$6)+4)&gt;53),"",""&amp;CHOOSE(IFERROR(MATCH('My Rota'!$D$5,Setup!$K$33:$K$36,0),1),INDEX('2027'!$A:$Z,(5+50*((N('My Rota'!$D$6)+4)-1))+2+5,22),INDEX('2028'!$A:$Z,(5+50*((N('My Rota'!$D$6)+4)-1))+2+5,22),INDEX('2029'!$A:$Z,(5+50*((N('My Rota'!$D$6)+4)-1))+2+5,22),INDEX('2030'!$A:$Z,(5+50*((N('My Rota'!$D$6)+4)-1))+2+5,22)))</f>
        <v/>
      </c>
      <c r="W276">
        <f>IF(OR($B276="",(N('My Rota'!$D$6)+4)&gt;53),"",""&amp;CHOOSE(IFERROR(MATCH('My Rota'!$D$5,Setup!$K$33:$K$36,0),1),INDEX('2027'!$A:$Z,(5+50*((N('My Rota'!$D$6)+4)-1))+2+5,23),INDEX('2028'!$A:$Z,(5+50*((N('My Rota'!$D$6)+4)-1))+2+5,23),INDEX('2029'!$A:$Z,(5+50*((N('My Rota'!$D$6)+4)-1))+2+5,23),INDEX('2030'!$A:$Z,(5+50*((N('My Rota'!$D$6)+4)-1))+2+5,23)))</f>
        <v/>
      </c>
      <c r="X276">
        <f>IF(OR($B276="",(N('My Rota'!$D$6)+4)&gt;53),"",""&amp;CHOOSE(IFERROR(MATCH('My Rota'!$D$5,Setup!$K$33:$K$36,0),1),INDEX('2027'!$A:$Z,(5+50*((N('My Rota'!$D$6)+4)-1))+2+5,24),INDEX('2028'!$A:$Z,(5+50*((N('My Rota'!$D$6)+4)-1))+2+5,24),INDEX('2029'!$A:$Z,(5+50*((N('My Rota'!$D$6)+4)-1))+2+5,24),INDEX('2030'!$A:$Z,(5+50*((N('My Rota'!$D$6)+4)-1))+2+5,24)))</f>
        <v/>
      </c>
      <c r="Y276">
        <f>IF(OR($B276="",(N('My Rota'!$D$6)+4)&gt;53),"",""&amp;CHOOSE(IFERROR(MATCH('My Rota'!$D$5,Setup!$K$33:$K$36,0),1),INDEX('2027'!$A:$Z,(5+50*((N('My Rota'!$D$6)+4)-1))+2+5,25),INDEX('2028'!$A:$Z,(5+50*((N('My Rota'!$D$6)+4)-1))+2+5,25),INDEX('2029'!$A:$Z,(5+50*((N('My Rota'!$D$6)+4)-1))+2+5,25),INDEX('2030'!$A:$Z,(5+50*((N('My Rota'!$D$6)+4)-1))+2+5,25)))</f>
        <v/>
      </c>
      <c r="Z276">
        <f>IF(OR($B276="",(N('My Rota'!$D$6)+4)&gt;53),"",""&amp;CHOOSE(IFERROR(MATCH('My Rota'!$D$5,Setup!$K$33:$K$36,0),1),INDEX('2027'!$A:$Z,(5+50*((N('My Rota'!$D$6)+4)-1))+2+5,26),INDEX('2028'!$A:$Z,(5+50*((N('My Rota'!$D$6)+4)-1))+2+5,26),INDEX('2029'!$A:$Z,(5+50*((N('My Rota'!$D$6)+4)-1))+2+5,26),INDEX('2030'!$A:$Z,(5+50*((N('My Rota'!$D$6)+4)-1))+2+5,26)))</f>
        <v/>
      </c>
    </row>
    <row r="277">
      <c r="A277" t="n">
        <v>5</v>
      </c>
      <c r="B277">
        <f>$B$52</f>
        <v/>
      </c>
      <c r="C277">
        <f>IF(OR($B277="",(N('My Rota'!$D$6)+4)&gt;53),"",""&amp;CHOOSE(IFERROR(MATCH('My Rota'!$D$5,Setup!$K$33:$K$36,0),1),INDEX('2027'!$A:$Z,(5+50*((N('My Rota'!$D$6)+4)-1))+2+6,3),INDEX('2028'!$A:$Z,(5+50*((N('My Rota'!$D$6)+4)-1))+2+6,3),INDEX('2029'!$A:$Z,(5+50*((N('My Rota'!$D$6)+4)-1))+2+6,3),INDEX('2030'!$A:$Z,(5+50*((N('My Rota'!$D$6)+4)-1))+2+6,3)))</f>
        <v/>
      </c>
      <c r="D277">
        <f>IF(OR($B277="",(N('My Rota'!$D$6)+4)&gt;53),"",""&amp;CHOOSE(IFERROR(MATCH('My Rota'!$D$5,Setup!$K$33:$K$36,0),1),INDEX('2027'!$A:$Z,(5+50*((N('My Rota'!$D$6)+4)-1))+2+6,4),INDEX('2028'!$A:$Z,(5+50*((N('My Rota'!$D$6)+4)-1))+2+6,4),INDEX('2029'!$A:$Z,(5+50*((N('My Rota'!$D$6)+4)-1))+2+6,4),INDEX('2030'!$A:$Z,(5+50*((N('My Rota'!$D$6)+4)-1))+2+6,4)))</f>
        <v/>
      </c>
      <c r="E277">
        <f>IF(OR($B277="",(N('My Rota'!$D$6)+4)&gt;53),"",""&amp;CHOOSE(IFERROR(MATCH('My Rota'!$D$5,Setup!$K$33:$K$36,0),1),INDEX('2027'!$A:$Z,(5+50*((N('My Rota'!$D$6)+4)-1))+2+6,5),INDEX('2028'!$A:$Z,(5+50*((N('My Rota'!$D$6)+4)-1))+2+6,5),INDEX('2029'!$A:$Z,(5+50*((N('My Rota'!$D$6)+4)-1))+2+6,5),INDEX('2030'!$A:$Z,(5+50*((N('My Rota'!$D$6)+4)-1))+2+6,5)))</f>
        <v/>
      </c>
      <c r="F277">
        <f>IF(OR($B277="",(N('My Rota'!$D$6)+4)&gt;53),"",""&amp;CHOOSE(IFERROR(MATCH('My Rota'!$D$5,Setup!$K$33:$K$36,0),1),INDEX('2027'!$A:$Z,(5+50*((N('My Rota'!$D$6)+4)-1))+2+6,6),INDEX('2028'!$A:$Z,(5+50*((N('My Rota'!$D$6)+4)-1))+2+6,6),INDEX('2029'!$A:$Z,(5+50*((N('My Rota'!$D$6)+4)-1))+2+6,6),INDEX('2030'!$A:$Z,(5+50*((N('My Rota'!$D$6)+4)-1))+2+6,6)))</f>
        <v/>
      </c>
      <c r="G277">
        <f>IF(OR($B277="",(N('My Rota'!$D$6)+4)&gt;53),"",""&amp;CHOOSE(IFERROR(MATCH('My Rota'!$D$5,Setup!$K$33:$K$36,0),1),INDEX('2027'!$A:$Z,(5+50*((N('My Rota'!$D$6)+4)-1))+2+6,7),INDEX('2028'!$A:$Z,(5+50*((N('My Rota'!$D$6)+4)-1))+2+6,7),INDEX('2029'!$A:$Z,(5+50*((N('My Rota'!$D$6)+4)-1))+2+6,7),INDEX('2030'!$A:$Z,(5+50*((N('My Rota'!$D$6)+4)-1))+2+6,7)))</f>
        <v/>
      </c>
      <c r="H277">
        <f>IF(OR($B277="",(N('My Rota'!$D$6)+4)&gt;53),"",""&amp;CHOOSE(IFERROR(MATCH('My Rota'!$D$5,Setup!$K$33:$K$36,0),1),INDEX('2027'!$A:$Z,(5+50*((N('My Rota'!$D$6)+4)-1))+2+6,8),INDEX('2028'!$A:$Z,(5+50*((N('My Rota'!$D$6)+4)-1))+2+6,8),INDEX('2029'!$A:$Z,(5+50*((N('My Rota'!$D$6)+4)-1))+2+6,8),INDEX('2030'!$A:$Z,(5+50*((N('My Rota'!$D$6)+4)-1))+2+6,8)))</f>
        <v/>
      </c>
      <c r="I277">
        <f>IF(OR($B277="",(N('My Rota'!$D$6)+4)&gt;53),"",""&amp;CHOOSE(IFERROR(MATCH('My Rota'!$D$5,Setup!$K$33:$K$36,0),1),INDEX('2027'!$A:$Z,(5+50*((N('My Rota'!$D$6)+4)-1))+2+6,9),INDEX('2028'!$A:$Z,(5+50*((N('My Rota'!$D$6)+4)-1))+2+6,9),INDEX('2029'!$A:$Z,(5+50*((N('My Rota'!$D$6)+4)-1))+2+6,9),INDEX('2030'!$A:$Z,(5+50*((N('My Rota'!$D$6)+4)-1))+2+6,9)))</f>
        <v/>
      </c>
      <c r="J277">
        <f>IF(OR($B277="",(N('My Rota'!$D$6)+4)&gt;53),"",""&amp;CHOOSE(IFERROR(MATCH('My Rota'!$D$5,Setup!$K$33:$K$36,0),1),INDEX('2027'!$A:$Z,(5+50*((N('My Rota'!$D$6)+4)-1))+2+6,10),INDEX('2028'!$A:$Z,(5+50*((N('My Rota'!$D$6)+4)-1))+2+6,10),INDEX('2029'!$A:$Z,(5+50*((N('My Rota'!$D$6)+4)-1))+2+6,10),INDEX('2030'!$A:$Z,(5+50*((N('My Rota'!$D$6)+4)-1))+2+6,10)))</f>
        <v/>
      </c>
      <c r="K277">
        <f>IF(OR($B277="",(N('My Rota'!$D$6)+4)&gt;53),"",""&amp;CHOOSE(IFERROR(MATCH('My Rota'!$D$5,Setup!$K$33:$K$36,0),1),INDEX('2027'!$A:$Z,(5+50*((N('My Rota'!$D$6)+4)-1))+2+6,11),INDEX('2028'!$A:$Z,(5+50*((N('My Rota'!$D$6)+4)-1))+2+6,11),INDEX('2029'!$A:$Z,(5+50*((N('My Rota'!$D$6)+4)-1))+2+6,11),INDEX('2030'!$A:$Z,(5+50*((N('My Rota'!$D$6)+4)-1))+2+6,11)))</f>
        <v/>
      </c>
      <c r="L277">
        <f>IF(OR($B277="",(N('My Rota'!$D$6)+4)&gt;53),"",""&amp;CHOOSE(IFERROR(MATCH('My Rota'!$D$5,Setup!$K$33:$K$36,0),1),INDEX('2027'!$A:$Z,(5+50*((N('My Rota'!$D$6)+4)-1))+2+6,12),INDEX('2028'!$A:$Z,(5+50*((N('My Rota'!$D$6)+4)-1))+2+6,12),INDEX('2029'!$A:$Z,(5+50*((N('My Rota'!$D$6)+4)-1))+2+6,12),INDEX('2030'!$A:$Z,(5+50*((N('My Rota'!$D$6)+4)-1))+2+6,12)))</f>
        <v/>
      </c>
      <c r="M277">
        <f>IF(OR($B277="",(N('My Rota'!$D$6)+4)&gt;53),"",""&amp;CHOOSE(IFERROR(MATCH('My Rota'!$D$5,Setup!$K$33:$K$36,0),1),INDEX('2027'!$A:$Z,(5+50*((N('My Rota'!$D$6)+4)-1))+2+6,13),INDEX('2028'!$A:$Z,(5+50*((N('My Rota'!$D$6)+4)-1))+2+6,13),INDEX('2029'!$A:$Z,(5+50*((N('My Rota'!$D$6)+4)-1))+2+6,13),INDEX('2030'!$A:$Z,(5+50*((N('My Rota'!$D$6)+4)-1))+2+6,13)))</f>
        <v/>
      </c>
      <c r="N277">
        <f>IF(OR($B277="",(N('My Rota'!$D$6)+4)&gt;53),"",""&amp;CHOOSE(IFERROR(MATCH('My Rota'!$D$5,Setup!$K$33:$K$36,0),1),INDEX('2027'!$A:$Z,(5+50*((N('My Rota'!$D$6)+4)-1))+2+6,14),INDEX('2028'!$A:$Z,(5+50*((N('My Rota'!$D$6)+4)-1))+2+6,14),INDEX('2029'!$A:$Z,(5+50*((N('My Rota'!$D$6)+4)-1))+2+6,14),INDEX('2030'!$A:$Z,(5+50*((N('My Rota'!$D$6)+4)-1))+2+6,14)))</f>
        <v/>
      </c>
      <c r="O277">
        <f>IF(OR($B277="",(N('My Rota'!$D$6)+4)&gt;53),"",""&amp;CHOOSE(IFERROR(MATCH('My Rota'!$D$5,Setup!$K$33:$K$36,0),1),INDEX('2027'!$A:$Z,(5+50*((N('My Rota'!$D$6)+4)-1))+2+6,15),INDEX('2028'!$A:$Z,(5+50*((N('My Rota'!$D$6)+4)-1))+2+6,15),INDEX('2029'!$A:$Z,(5+50*((N('My Rota'!$D$6)+4)-1))+2+6,15),INDEX('2030'!$A:$Z,(5+50*((N('My Rota'!$D$6)+4)-1))+2+6,15)))</f>
        <v/>
      </c>
      <c r="P277">
        <f>IF(OR($B277="",(N('My Rota'!$D$6)+4)&gt;53),"",""&amp;CHOOSE(IFERROR(MATCH('My Rota'!$D$5,Setup!$K$33:$K$36,0),1),INDEX('2027'!$A:$Z,(5+50*((N('My Rota'!$D$6)+4)-1))+2+6,16),INDEX('2028'!$A:$Z,(5+50*((N('My Rota'!$D$6)+4)-1))+2+6,16),INDEX('2029'!$A:$Z,(5+50*((N('My Rota'!$D$6)+4)-1))+2+6,16),INDEX('2030'!$A:$Z,(5+50*((N('My Rota'!$D$6)+4)-1))+2+6,16)))</f>
        <v/>
      </c>
      <c r="Q277">
        <f>IF(OR($B277="",(N('My Rota'!$D$6)+4)&gt;53),"",""&amp;CHOOSE(IFERROR(MATCH('My Rota'!$D$5,Setup!$K$33:$K$36,0),1),INDEX('2027'!$A:$Z,(5+50*((N('My Rota'!$D$6)+4)-1))+2+6,17),INDEX('2028'!$A:$Z,(5+50*((N('My Rota'!$D$6)+4)-1))+2+6,17),INDEX('2029'!$A:$Z,(5+50*((N('My Rota'!$D$6)+4)-1))+2+6,17),INDEX('2030'!$A:$Z,(5+50*((N('My Rota'!$D$6)+4)-1))+2+6,17)))</f>
        <v/>
      </c>
      <c r="R277">
        <f>IF(OR($B277="",(N('My Rota'!$D$6)+4)&gt;53),"",""&amp;CHOOSE(IFERROR(MATCH('My Rota'!$D$5,Setup!$K$33:$K$36,0),1),INDEX('2027'!$A:$Z,(5+50*((N('My Rota'!$D$6)+4)-1))+2+6,18),INDEX('2028'!$A:$Z,(5+50*((N('My Rota'!$D$6)+4)-1))+2+6,18),INDEX('2029'!$A:$Z,(5+50*((N('My Rota'!$D$6)+4)-1))+2+6,18),INDEX('2030'!$A:$Z,(5+50*((N('My Rota'!$D$6)+4)-1))+2+6,18)))</f>
        <v/>
      </c>
      <c r="S277">
        <f>IF(OR($B277="",(N('My Rota'!$D$6)+4)&gt;53),"",""&amp;CHOOSE(IFERROR(MATCH('My Rota'!$D$5,Setup!$K$33:$K$36,0),1),INDEX('2027'!$A:$Z,(5+50*((N('My Rota'!$D$6)+4)-1))+2+6,19),INDEX('2028'!$A:$Z,(5+50*((N('My Rota'!$D$6)+4)-1))+2+6,19),INDEX('2029'!$A:$Z,(5+50*((N('My Rota'!$D$6)+4)-1))+2+6,19),INDEX('2030'!$A:$Z,(5+50*((N('My Rota'!$D$6)+4)-1))+2+6,19)))</f>
        <v/>
      </c>
      <c r="T277">
        <f>IF(OR($B277="",(N('My Rota'!$D$6)+4)&gt;53),"",""&amp;CHOOSE(IFERROR(MATCH('My Rota'!$D$5,Setup!$K$33:$K$36,0),1),INDEX('2027'!$A:$Z,(5+50*((N('My Rota'!$D$6)+4)-1))+2+6,20),INDEX('2028'!$A:$Z,(5+50*((N('My Rota'!$D$6)+4)-1))+2+6,20),INDEX('2029'!$A:$Z,(5+50*((N('My Rota'!$D$6)+4)-1))+2+6,20),INDEX('2030'!$A:$Z,(5+50*((N('My Rota'!$D$6)+4)-1))+2+6,20)))</f>
        <v/>
      </c>
      <c r="U277">
        <f>IF(OR($B277="",(N('My Rota'!$D$6)+4)&gt;53),"",""&amp;CHOOSE(IFERROR(MATCH('My Rota'!$D$5,Setup!$K$33:$K$36,0),1),INDEX('2027'!$A:$Z,(5+50*((N('My Rota'!$D$6)+4)-1))+2+6,21),INDEX('2028'!$A:$Z,(5+50*((N('My Rota'!$D$6)+4)-1))+2+6,21),INDEX('2029'!$A:$Z,(5+50*((N('My Rota'!$D$6)+4)-1))+2+6,21),INDEX('2030'!$A:$Z,(5+50*((N('My Rota'!$D$6)+4)-1))+2+6,21)))</f>
        <v/>
      </c>
      <c r="V277">
        <f>IF(OR($B277="",(N('My Rota'!$D$6)+4)&gt;53),"",""&amp;CHOOSE(IFERROR(MATCH('My Rota'!$D$5,Setup!$K$33:$K$36,0),1),INDEX('2027'!$A:$Z,(5+50*((N('My Rota'!$D$6)+4)-1))+2+6,22),INDEX('2028'!$A:$Z,(5+50*((N('My Rota'!$D$6)+4)-1))+2+6,22),INDEX('2029'!$A:$Z,(5+50*((N('My Rota'!$D$6)+4)-1))+2+6,22),INDEX('2030'!$A:$Z,(5+50*((N('My Rota'!$D$6)+4)-1))+2+6,22)))</f>
        <v/>
      </c>
      <c r="W277">
        <f>IF(OR($B277="",(N('My Rota'!$D$6)+4)&gt;53),"",""&amp;CHOOSE(IFERROR(MATCH('My Rota'!$D$5,Setup!$K$33:$K$36,0),1),INDEX('2027'!$A:$Z,(5+50*((N('My Rota'!$D$6)+4)-1))+2+6,23),INDEX('2028'!$A:$Z,(5+50*((N('My Rota'!$D$6)+4)-1))+2+6,23),INDEX('2029'!$A:$Z,(5+50*((N('My Rota'!$D$6)+4)-1))+2+6,23),INDEX('2030'!$A:$Z,(5+50*((N('My Rota'!$D$6)+4)-1))+2+6,23)))</f>
        <v/>
      </c>
      <c r="X277">
        <f>IF(OR($B277="",(N('My Rota'!$D$6)+4)&gt;53),"",""&amp;CHOOSE(IFERROR(MATCH('My Rota'!$D$5,Setup!$K$33:$K$36,0),1),INDEX('2027'!$A:$Z,(5+50*((N('My Rota'!$D$6)+4)-1))+2+6,24),INDEX('2028'!$A:$Z,(5+50*((N('My Rota'!$D$6)+4)-1))+2+6,24),INDEX('2029'!$A:$Z,(5+50*((N('My Rota'!$D$6)+4)-1))+2+6,24),INDEX('2030'!$A:$Z,(5+50*((N('My Rota'!$D$6)+4)-1))+2+6,24)))</f>
        <v/>
      </c>
      <c r="Y277">
        <f>IF(OR($B277="",(N('My Rota'!$D$6)+4)&gt;53),"",""&amp;CHOOSE(IFERROR(MATCH('My Rota'!$D$5,Setup!$K$33:$K$36,0),1),INDEX('2027'!$A:$Z,(5+50*((N('My Rota'!$D$6)+4)-1))+2+6,25),INDEX('2028'!$A:$Z,(5+50*((N('My Rota'!$D$6)+4)-1))+2+6,25),INDEX('2029'!$A:$Z,(5+50*((N('My Rota'!$D$6)+4)-1))+2+6,25),INDEX('2030'!$A:$Z,(5+50*((N('My Rota'!$D$6)+4)-1))+2+6,25)))</f>
        <v/>
      </c>
      <c r="Z277">
        <f>IF(OR($B277="",(N('My Rota'!$D$6)+4)&gt;53),"",""&amp;CHOOSE(IFERROR(MATCH('My Rota'!$D$5,Setup!$K$33:$K$36,0),1),INDEX('2027'!$A:$Z,(5+50*((N('My Rota'!$D$6)+4)-1))+2+6,26),INDEX('2028'!$A:$Z,(5+50*((N('My Rota'!$D$6)+4)-1))+2+6,26),INDEX('2029'!$A:$Z,(5+50*((N('My Rota'!$D$6)+4)-1))+2+6,26),INDEX('2030'!$A:$Z,(5+50*((N('My Rota'!$D$6)+4)-1))+2+6,26)))</f>
        <v/>
      </c>
    </row>
    <row r="278">
      <c r="A278" t="n">
        <v>5</v>
      </c>
      <c r="B278">
        <f>$B$53</f>
        <v/>
      </c>
      <c r="C278">
        <f>IF(OR($B278="",(N('My Rota'!$D$6)+4)&gt;53),"",""&amp;CHOOSE(IFERROR(MATCH('My Rota'!$D$5,Setup!$K$33:$K$36,0),1),INDEX('2027'!$A:$Z,(5+50*((N('My Rota'!$D$6)+4)-1))+2+7,3),INDEX('2028'!$A:$Z,(5+50*((N('My Rota'!$D$6)+4)-1))+2+7,3),INDEX('2029'!$A:$Z,(5+50*((N('My Rota'!$D$6)+4)-1))+2+7,3),INDEX('2030'!$A:$Z,(5+50*((N('My Rota'!$D$6)+4)-1))+2+7,3)))</f>
        <v/>
      </c>
      <c r="D278">
        <f>IF(OR($B278="",(N('My Rota'!$D$6)+4)&gt;53),"",""&amp;CHOOSE(IFERROR(MATCH('My Rota'!$D$5,Setup!$K$33:$K$36,0),1),INDEX('2027'!$A:$Z,(5+50*((N('My Rota'!$D$6)+4)-1))+2+7,4),INDEX('2028'!$A:$Z,(5+50*((N('My Rota'!$D$6)+4)-1))+2+7,4),INDEX('2029'!$A:$Z,(5+50*((N('My Rota'!$D$6)+4)-1))+2+7,4),INDEX('2030'!$A:$Z,(5+50*((N('My Rota'!$D$6)+4)-1))+2+7,4)))</f>
        <v/>
      </c>
      <c r="E278">
        <f>IF(OR($B278="",(N('My Rota'!$D$6)+4)&gt;53),"",""&amp;CHOOSE(IFERROR(MATCH('My Rota'!$D$5,Setup!$K$33:$K$36,0),1),INDEX('2027'!$A:$Z,(5+50*((N('My Rota'!$D$6)+4)-1))+2+7,5),INDEX('2028'!$A:$Z,(5+50*((N('My Rota'!$D$6)+4)-1))+2+7,5),INDEX('2029'!$A:$Z,(5+50*((N('My Rota'!$D$6)+4)-1))+2+7,5),INDEX('2030'!$A:$Z,(5+50*((N('My Rota'!$D$6)+4)-1))+2+7,5)))</f>
        <v/>
      </c>
      <c r="F278">
        <f>IF(OR($B278="",(N('My Rota'!$D$6)+4)&gt;53),"",""&amp;CHOOSE(IFERROR(MATCH('My Rota'!$D$5,Setup!$K$33:$K$36,0),1),INDEX('2027'!$A:$Z,(5+50*((N('My Rota'!$D$6)+4)-1))+2+7,6),INDEX('2028'!$A:$Z,(5+50*((N('My Rota'!$D$6)+4)-1))+2+7,6),INDEX('2029'!$A:$Z,(5+50*((N('My Rota'!$D$6)+4)-1))+2+7,6),INDEX('2030'!$A:$Z,(5+50*((N('My Rota'!$D$6)+4)-1))+2+7,6)))</f>
        <v/>
      </c>
      <c r="G278">
        <f>IF(OR($B278="",(N('My Rota'!$D$6)+4)&gt;53),"",""&amp;CHOOSE(IFERROR(MATCH('My Rota'!$D$5,Setup!$K$33:$K$36,0),1),INDEX('2027'!$A:$Z,(5+50*((N('My Rota'!$D$6)+4)-1))+2+7,7),INDEX('2028'!$A:$Z,(5+50*((N('My Rota'!$D$6)+4)-1))+2+7,7),INDEX('2029'!$A:$Z,(5+50*((N('My Rota'!$D$6)+4)-1))+2+7,7),INDEX('2030'!$A:$Z,(5+50*((N('My Rota'!$D$6)+4)-1))+2+7,7)))</f>
        <v/>
      </c>
      <c r="H278">
        <f>IF(OR($B278="",(N('My Rota'!$D$6)+4)&gt;53),"",""&amp;CHOOSE(IFERROR(MATCH('My Rota'!$D$5,Setup!$K$33:$K$36,0),1),INDEX('2027'!$A:$Z,(5+50*((N('My Rota'!$D$6)+4)-1))+2+7,8),INDEX('2028'!$A:$Z,(5+50*((N('My Rota'!$D$6)+4)-1))+2+7,8),INDEX('2029'!$A:$Z,(5+50*((N('My Rota'!$D$6)+4)-1))+2+7,8),INDEX('2030'!$A:$Z,(5+50*((N('My Rota'!$D$6)+4)-1))+2+7,8)))</f>
        <v/>
      </c>
      <c r="I278">
        <f>IF(OR($B278="",(N('My Rota'!$D$6)+4)&gt;53),"",""&amp;CHOOSE(IFERROR(MATCH('My Rota'!$D$5,Setup!$K$33:$K$36,0),1),INDEX('2027'!$A:$Z,(5+50*((N('My Rota'!$D$6)+4)-1))+2+7,9),INDEX('2028'!$A:$Z,(5+50*((N('My Rota'!$D$6)+4)-1))+2+7,9),INDEX('2029'!$A:$Z,(5+50*((N('My Rota'!$D$6)+4)-1))+2+7,9),INDEX('2030'!$A:$Z,(5+50*((N('My Rota'!$D$6)+4)-1))+2+7,9)))</f>
        <v/>
      </c>
      <c r="J278">
        <f>IF(OR($B278="",(N('My Rota'!$D$6)+4)&gt;53),"",""&amp;CHOOSE(IFERROR(MATCH('My Rota'!$D$5,Setup!$K$33:$K$36,0),1),INDEX('2027'!$A:$Z,(5+50*((N('My Rota'!$D$6)+4)-1))+2+7,10),INDEX('2028'!$A:$Z,(5+50*((N('My Rota'!$D$6)+4)-1))+2+7,10),INDEX('2029'!$A:$Z,(5+50*((N('My Rota'!$D$6)+4)-1))+2+7,10),INDEX('2030'!$A:$Z,(5+50*((N('My Rota'!$D$6)+4)-1))+2+7,10)))</f>
        <v/>
      </c>
      <c r="K278">
        <f>IF(OR($B278="",(N('My Rota'!$D$6)+4)&gt;53),"",""&amp;CHOOSE(IFERROR(MATCH('My Rota'!$D$5,Setup!$K$33:$K$36,0),1),INDEX('2027'!$A:$Z,(5+50*((N('My Rota'!$D$6)+4)-1))+2+7,11),INDEX('2028'!$A:$Z,(5+50*((N('My Rota'!$D$6)+4)-1))+2+7,11),INDEX('2029'!$A:$Z,(5+50*((N('My Rota'!$D$6)+4)-1))+2+7,11),INDEX('2030'!$A:$Z,(5+50*((N('My Rota'!$D$6)+4)-1))+2+7,11)))</f>
        <v/>
      </c>
      <c r="L278">
        <f>IF(OR($B278="",(N('My Rota'!$D$6)+4)&gt;53),"",""&amp;CHOOSE(IFERROR(MATCH('My Rota'!$D$5,Setup!$K$33:$K$36,0),1),INDEX('2027'!$A:$Z,(5+50*((N('My Rota'!$D$6)+4)-1))+2+7,12),INDEX('2028'!$A:$Z,(5+50*((N('My Rota'!$D$6)+4)-1))+2+7,12),INDEX('2029'!$A:$Z,(5+50*((N('My Rota'!$D$6)+4)-1))+2+7,12),INDEX('2030'!$A:$Z,(5+50*((N('My Rota'!$D$6)+4)-1))+2+7,12)))</f>
        <v/>
      </c>
      <c r="M278">
        <f>IF(OR($B278="",(N('My Rota'!$D$6)+4)&gt;53),"",""&amp;CHOOSE(IFERROR(MATCH('My Rota'!$D$5,Setup!$K$33:$K$36,0),1),INDEX('2027'!$A:$Z,(5+50*((N('My Rota'!$D$6)+4)-1))+2+7,13),INDEX('2028'!$A:$Z,(5+50*((N('My Rota'!$D$6)+4)-1))+2+7,13),INDEX('2029'!$A:$Z,(5+50*((N('My Rota'!$D$6)+4)-1))+2+7,13),INDEX('2030'!$A:$Z,(5+50*((N('My Rota'!$D$6)+4)-1))+2+7,13)))</f>
        <v/>
      </c>
      <c r="N278">
        <f>IF(OR($B278="",(N('My Rota'!$D$6)+4)&gt;53),"",""&amp;CHOOSE(IFERROR(MATCH('My Rota'!$D$5,Setup!$K$33:$K$36,0),1),INDEX('2027'!$A:$Z,(5+50*((N('My Rota'!$D$6)+4)-1))+2+7,14),INDEX('2028'!$A:$Z,(5+50*((N('My Rota'!$D$6)+4)-1))+2+7,14),INDEX('2029'!$A:$Z,(5+50*((N('My Rota'!$D$6)+4)-1))+2+7,14),INDEX('2030'!$A:$Z,(5+50*((N('My Rota'!$D$6)+4)-1))+2+7,14)))</f>
        <v/>
      </c>
      <c r="O278">
        <f>IF(OR($B278="",(N('My Rota'!$D$6)+4)&gt;53),"",""&amp;CHOOSE(IFERROR(MATCH('My Rota'!$D$5,Setup!$K$33:$K$36,0),1),INDEX('2027'!$A:$Z,(5+50*((N('My Rota'!$D$6)+4)-1))+2+7,15),INDEX('2028'!$A:$Z,(5+50*((N('My Rota'!$D$6)+4)-1))+2+7,15),INDEX('2029'!$A:$Z,(5+50*((N('My Rota'!$D$6)+4)-1))+2+7,15),INDEX('2030'!$A:$Z,(5+50*((N('My Rota'!$D$6)+4)-1))+2+7,15)))</f>
        <v/>
      </c>
      <c r="P278">
        <f>IF(OR($B278="",(N('My Rota'!$D$6)+4)&gt;53),"",""&amp;CHOOSE(IFERROR(MATCH('My Rota'!$D$5,Setup!$K$33:$K$36,0),1),INDEX('2027'!$A:$Z,(5+50*((N('My Rota'!$D$6)+4)-1))+2+7,16),INDEX('2028'!$A:$Z,(5+50*((N('My Rota'!$D$6)+4)-1))+2+7,16),INDEX('2029'!$A:$Z,(5+50*((N('My Rota'!$D$6)+4)-1))+2+7,16),INDEX('2030'!$A:$Z,(5+50*((N('My Rota'!$D$6)+4)-1))+2+7,16)))</f>
        <v/>
      </c>
      <c r="Q278">
        <f>IF(OR($B278="",(N('My Rota'!$D$6)+4)&gt;53),"",""&amp;CHOOSE(IFERROR(MATCH('My Rota'!$D$5,Setup!$K$33:$K$36,0),1),INDEX('2027'!$A:$Z,(5+50*((N('My Rota'!$D$6)+4)-1))+2+7,17),INDEX('2028'!$A:$Z,(5+50*((N('My Rota'!$D$6)+4)-1))+2+7,17),INDEX('2029'!$A:$Z,(5+50*((N('My Rota'!$D$6)+4)-1))+2+7,17),INDEX('2030'!$A:$Z,(5+50*((N('My Rota'!$D$6)+4)-1))+2+7,17)))</f>
        <v/>
      </c>
      <c r="R278">
        <f>IF(OR($B278="",(N('My Rota'!$D$6)+4)&gt;53),"",""&amp;CHOOSE(IFERROR(MATCH('My Rota'!$D$5,Setup!$K$33:$K$36,0),1),INDEX('2027'!$A:$Z,(5+50*((N('My Rota'!$D$6)+4)-1))+2+7,18),INDEX('2028'!$A:$Z,(5+50*((N('My Rota'!$D$6)+4)-1))+2+7,18),INDEX('2029'!$A:$Z,(5+50*((N('My Rota'!$D$6)+4)-1))+2+7,18),INDEX('2030'!$A:$Z,(5+50*((N('My Rota'!$D$6)+4)-1))+2+7,18)))</f>
        <v/>
      </c>
      <c r="S278">
        <f>IF(OR($B278="",(N('My Rota'!$D$6)+4)&gt;53),"",""&amp;CHOOSE(IFERROR(MATCH('My Rota'!$D$5,Setup!$K$33:$K$36,0),1),INDEX('2027'!$A:$Z,(5+50*((N('My Rota'!$D$6)+4)-1))+2+7,19),INDEX('2028'!$A:$Z,(5+50*((N('My Rota'!$D$6)+4)-1))+2+7,19),INDEX('2029'!$A:$Z,(5+50*((N('My Rota'!$D$6)+4)-1))+2+7,19),INDEX('2030'!$A:$Z,(5+50*((N('My Rota'!$D$6)+4)-1))+2+7,19)))</f>
        <v/>
      </c>
      <c r="T278">
        <f>IF(OR($B278="",(N('My Rota'!$D$6)+4)&gt;53),"",""&amp;CHOOSE(IFERROR(MATCH('My Rota'!$D$5,Setup!$K$33:$K$36,0),1),INDEX('2027'!$A:$Z,(5+50*((N('My Rota'!$D$6)+4)-1))+2+7,20),INDEX('2028'!$A:$Z,(5+50*((N('My Rota'!$D$6)+4)-1))+2+7,20),INDEX('2029'!$A:$Z,(5+50*((N('My Rota'!$D$6)+4)-1))+2+7,20),INDEX('2030'!$A:$Z,(5+50*((N('My Rota'!$D$6)+4)-1))+2+7,20)))</f>
        <v/>
      </c>
      <c r="U278">
        <f>IF(OR($B278="",(N('My Rota'!$D$6)+4)&gt;53),"",""&amp;CHOOSE(IFERROR(MATCH('My Rota'!$D$5,Setup!$K$33:$K$36,0),1),INDEX('2027'!$A:$Z,(5+50*((N('My Rota'!$D$6)+4)-1))+2+7,21),INDEX('2028'!$A:$Z,(5+50*((N('My Rota'!$D$6)+4)-1))+2+7,21),INDEX('2029'!$A:$Z,(5+50*((N('My Rota'!$D$6)+4)-1))+2+7,21),INDEX('2030'!$A:$Z,(5+50*((N('My Rota'!$D$6)+4)-1))+2+7,21)))</f>
        <v/>
      </c>
      <c r="V278">
        <f>IF(OR($B278="",(N('My Rota'!$D$6)+4)&gt;53),"",""&amp;CHOOSE(IFERROR(MATCH('My Rota'!$D$5,Setup!$K$33:$K$36,0),1),INDEX('2027'!$A:$Z,(5+50*((N('My Rota'!$D$6)+4)-1))+2+7,22),INDEX('2028'!$A:$Z,(5+50*((N('My Rota'!$D$6)+4)-1))+2+7,22),INDEX('2029'!$A:$Z,(5+50*((N('My Rota'!$D$6)+4)-1))+2+7,22),INDEX('2030'!$A:$Z,(5+50*((N('My Rota'!$D$6)+4)-1))+2+7,22)))</f>
        <v/>
      </c>
      <c r="W278">
        <f>IF(OR($B278="",(N('My Rota'!$D$6)+4)&gt;53),"",""&amp;CHOOSE(IFERROR(MATCH('My Rota'!$D$5,Setup!$K$33:$K$36,0),1),INDEX('2027'!$A:$Z,(5+50*((N('My Rota'!$D$6)+4)-1))+2+7,23),INDEX('2028'!$A:$Z,(5+50*((N('My Rota'!$D$6)+4)-1))+2+7,23),INDEX('2029'!$A:$Z,(5+50*((N('My Rota'!$D$6)+4)-1))+2+7,23),INDEX('2030'!$A:$Z,(5+50*((N('My Rota'!$D$6)+4)-1))+2+7,23)))</f>
        <v/>
      </c>
      <c r="X278">
        <f>IF(OR($B278="",(N('My Rota'!$D$6)+4)&gt;53),"",""&amp;CHOOSE(IFERROR(MATCH('My Rota'!$D$5,Setup!$K$33:$K$36,0),1),INDEX('2027'!$A:$Z,(5+50*((N('My Rota'!$D$6)+4)-1))+2+7,24),INDEX('2028'!$A:$Z,(5+50*((N('My Rota'!$D$6)+4)-1))+2+7,24),INDEX('2029'!$A:$Z,(5+50*((N('My Rota'!$D$6)+4)-1))+2+7,24),INDEX('2030'!$A:$Z,(5+50*((N('My Rota'!$D$6)+4)-1))+2+7,24)))</f>
        <v/>
      </c>
      <c r="Y278">
        <f>IF(OR($B278="",(N('My Rota'!$D$6)+4)&gt;53),"",""&amp;CHOOSE(IFERROR(MATCH('My Rota'!$D$5,Setup!$K$33:$K$36,0),1),INDEX('2027'!$A:$Z,(5+50*((N('My Rota'!$D$6)+4)-1))+2+7,25),INDEX('2028'!$A:$Z,(5+50*((N('My Rota'!$D$6)+4)-1))+2+7,25),INDEX('2029'!$A:$Z,(5+50*((N('My Rota'!$D$6)+4)-1))+2+7,25),INDEX('2030'!$A:$Z,(5+50*((N('My Rota'!$D$6)+4)-1))+2+7,25)))</f>
        <v/>
      </c>
      <c r="Z278">
        <f>IF(OR($B278="",(N('My Rota'!$D$6)+4)&gt;53),"",""&amp;CHOOSE(IFERROR(MATCH('My Rota'!$D$5,Setup!$K$33:$K$36,0),1),INDEX('2027'!$A:$Z,(5+50*((N('My Rota'!$D$6)+4)-1))+2+7,26),INDEX('2028'!$A:$Z,(5+50*((N('My Rota'!$D$6)+4)-1))+2+7,26),INDEX('2029'!$A:$Z,(5+50*((N('My Rota'!$D$6)+4)-1))+2+7,26),INDEX('2030'!$A:$Z,(5+50*((N('My Rota'!$D$6)+4)-1))+2+7,26)))</f>
        <v/>
      </c>
    </row>
    <row r="279">
      <c r="A279" t="n">
        <v>5</v>
      </c>
      <c r="B279">
        <f>$B$54</f>
        <v/>
      </c>
      <c r="C279">
        <f>IF(OR($B279="",(N('My Rota'!$D$6)+4)&gt;53),"",""&amp;CHOOSE(IFERROR(MATCH('My Rota'!$D$5,Setup!$K$33:$K$36,0),1),INDEX('2027'!$A:$Z,(5+50*((N('My Rota'!$D$6)+4)-1))+2+8,3),INDEX('2028'!$A:$Z,(5+50*((N('My Rota'!$D$6)+4)-1))+2+8,3),INDEX('2029'!$A:$Z,(5+50*((N('My Rota'!$D$6)+4)-1))+2+8,3),INDEX('2030'!$A:$Z,(5+50*((N('My Rota'!$D$6)+4)-1))+2+8,3)))</f>
        <v/>
      </c>
      <c r="D279">
        <f>IF(OR($B279="",(N('My Rota'!$D$6)+4)&gt;53),"",""&amp;CHOOSE(IFERROR(MATCH('My Rota'!$D$5,Setup!$K$33:$K$36,0),1),INDEX('2027'!$A:$Z,(5+50*((N('My Rota'!$D$6)+4)-1))+2+8,4),INDEX('2028'!$A:$Z,(5+50*((N('My Rota'!$D$6)+4)-1))+2+8,4),INDEX('2029'!$A:$Z,(5+50*((N('My Rota'!$D$6)+4)-1))+2+8,4),INDEX('2030'!$A:$Z,(5+50*((N('My Rota'!$D$6)+4)-1))+2+8,4)))</f>
        <v/>
      </c>
      <c r="E279">
        <f>IF(OR($B279="",(N('My Rota'!$D$6)+4)&gt;53),"",""&amp;CHOOSE(IFERROR(MATCH('My Rota'!$D$5,Setup!$K$33:$K$36,0),1),INDEX('2027'!$A:$Z,(5+50*((N('My Rota'!$D$6)+4)-1))+2+8,5),INDEX('2028'!$A:$Z,(5+50*((N('My Rota'!$D$6)+4)-1))+2+8,5),INDEX('2029'!$A:$Z,(5+50*((N('My Rota'!$D$6)+4)-1))+2+8,5),INDEX('2030'!$A:$Z,(5+50*((N('My Rota'!$D$6)+4)-1))+2+8,5)))</f>
        <v/>
      </c>
      <c r="F279">
        <f>IF(OR($B279="",(N('My Rota'!$D$6)+4)&gt;53),"",""&amp;CHOOSE(IFERROR(MATCH('My Rota'!$D$5,Setup!$K$33:$K$36,0),1),INDEX('2027'!$A:$Z,(5+50*((N('My Rota'!$D$6)+4)-1))+2+8,6),INDEX('2028'!$A:$Z,(5+50*((N('My Rota'!$D$6)+4)-1))+2+8,6),INDEX('2029'!$A:$Z,(5+50*((N('My Rota'!$D$6)+4)-1))+2+8,6),INDEX('2030'!$A:$Z,(5+50*((N('My Rota'!$D$6)+4)-1))+2+8,6)))</f>
        <v/>
      </c>
      <c r="G279">
        <f>IF(OR($B279="",(N('My Rota'!$D$6)+4)&gt;53),"",""&amp;CHOOSE(IFERROR(MATCH('My Rota'!$D$5,Setup!$K$33:$K$36,0),1),INDEX('2027'!$A:$Z,(5+50*((N('My Rota'!$D$6)+4)-1))+2+8,7),INDEX('2028'!$A:$Z,(5+50*((N('My Rota'!$D$6)+4)-1))+2+8,7),INDEX('2029'!$A:$Z,(5+50*((N('My Rota'!$D$6)+4)-1))+2+8,7),INDEX('2030'!$A:$Z,(5+50*((N('My Rota'!$D$6)+4)-1))+2+8,7)))</f>
        <v/>
      </c>
      <c r="H279">
        <f>IF(OR($B279="",(N('My Rota'!$D$6)+4)&gt;53),"",""&amp;CHOOSE(IFERROR(MATCH('My Rota'!$D$5,Setup!$K$33:$K$36,0),1),INDEX('2027'!$A:$Z,(5+50*((N('My Rota'!$D$6)+4)-1))+2+8,8),INDEX('2028'!$A:$Z,(5+50*((N('My Rota'!$D$6)+4)-1))+2+8,8),INDEX('2029'!$A:$Z,(5+50*((N('My Rota'!$D$6)+4)-1))+2+8,8),INDEX('2030'!$A:$Z,(5+50*((N('My Rota'!$D$6)+4)-1))+2+8,8)))</f>
        <v/>
      </c>
      <c r="I279">
        <f>IF(OR($B279="",(N('My Rota'!$D$6)+4)&gt;53),"",""&amp;CHOOSE(IFERROR(MATCH('My Rota'!$D$5,Setup!$K$33:$K$36,0),1),INDEX('2027'!$A:$Z,(5+50*((N('My Rota'!$D$6)+4)-1))+2+8,9),INDEX('2028'!$A:$Z,(5+50*((N('My Rota'!$D$6)+4)-1))+2+8,9),INDEX('2029'!$A:$Z,(5+50*((N('My Rota'!$D$6)+4)-1))+2+8,9),INDEX('2030'!$A:$Z,(5+50*((N('My Rota'!$D$6)+4)-1))+2+8,9)))</f>
        <v/>
      </c>
      <c r="J279">
        <f>IF(OR($B279="",(N('My Rota'!$D$6)+4)&gt;53),"",""&amp;CHOOSE(IFERROR(MATCH('My Rota'!$D$5,Setup!$K$33:$K$36,0),1),INDEX('2027'!$A:$Z,(5+50*((N('My Rota'!$D$6)+4)-1))+2+8,10),INDEX('2028'!$A:$Z,(5+50*((N('My Rota'!$D$6)+4)-1))+2+8,10),INDEX('2029'!$A:$Z,(5+50*((N('My Rota'!$D$6)+4)-1))+2+8,10),INDEX('2030'!$A:$Z,(5+50*((N('My Rota'!$D$6)+4)-1))+2+8,10)))</f>
        <v/>
      </c>
      <c r="K279">
        <f>IF(OR($B279="",(N('My Rota'!$D$6)+4)&gt;53),"",""&amp;CHOOSE(IFERROR(MATCH('My Rota'!$D$5,Setup!$K$33:$K$36,0),1),INDEX('2027'!$A:$Z,(5+50*((N('My Rota'!$D$6)+4)-1))+2+8,11),INDEX('2028'!$A:$Z,(5+50*((N('My Rota'!$D$6)+4)-1))+2+8,11),INDEX('2029'!$A:$Z,(5+50*((N('My Rota'!$D$6)+4)-1))+2+8,11),INDEX('2030'!$A:$Z,(5+50*((N('My Rota'!$D$6)+4)-1))+2+8,11)))</f>
        <v/>
      </c>
      <c r="L279">
        <f>IF(OR($B279="",(N('My Rota'!$D$6)+4)&gt;53),"",""&amp;CHOOSE(IFERROR(MATCH('My Rota'!$D$5,Setup!$K$33:$K$36,0),1),INDEX('2027'!$A:$Z,(5+50*((N('My Rota'!$D$6)+4)-1))+2+8,12),INDEX('2028'!$A:$Z,(5+50*((N('My Rota'!$D$6)+4)-1))+2+8,12),INDEX('2029'!$A:$Z,(5+50*((N('My Rota'!$D$6)+4)-1))+2+8,12),INDEX('2030'!$A:$Z,(5+50*((N('My Rota'!$D$6)+4)-1))+2+8,12)))</f>
        <v/>
      </c>
      <c r="M279">
        <f>IF(OR($B279="",(N('My Rota'!$D$6)+4)&gt;53),"",""&amp;CHOOSE(IFERROR(MATCH('My Rota'!$D$5,Setup!$K$33:$K$36,0),1),INDEX('2027'!$A:$Z,(5+50*((N('My Rota'!$D$6)+4)-1))+2+8,13),INDEX('2028'!$A:$Z,(5+50*((N('My Rota'!$D$6)+4)-1))+2+8,13),INDEX('2029'!$A:$Z,(5+50*((N('My Rota'!$D$6)+4)-1))+2+8,13),INDEX('2030'!$A:$Z,(5+50*((N('My Rota'!$D$6)+4)-1))+2+8,13)))</f>
        <v/>
      </c>
      <c r="N279">
        <f>IF(OR($B279="",(N('My Rota'!$D$6)+4)&gt;53),"",""&amp;CHOOSE(IFERROR(MATCH('My Rota'!$D$5,Setup!$K$33:$K$36,0),1),INDEX('2027'!$A:$Z,(5+50*((N('My Rota'!$D$6)+4)-1))+2+8,14),INDEX('2028'!$A:$Z,(5+50*((N('My Rota'!$D$6)+4)-1))+2+8,14),INDEX('2029'!$A:$Z,(5+50*((N('My Rota'!$D$6)+4)-1))+2+8,14),INDEX('2030'!$A:$Z,(5+50*((N('My Rota'!$D$6)+4)-1))+2+8,14)))</f>
        <v/>
      </c>
      <c r="O279">
        <f>IF(OR($B279="",(N('My Rota'!$D$6)+4)&gt;53),"",""&amp;CHOOSE(IFERROR(MATCH('My Rota'!$D$5,Setup!$K$33:$K$36,0),1),INDEX('2027'!$A:$Z,(5+50*((N('My Rota'!$D$6)+4)-1))+2+8,15),INDEX('2028'!$A:$Z,(5+50*((N('My Rota'!$D$6)+4)-1))+2+8,15),INDEX('2029'!$A:$Z,(5+50*((N('My Rota'!$D$6)+4)-1))+2+8,15),INDEX('2030'!$A:$Z,(5+50*((N('My Rota'!$D$6)+4)-1))+2+8,15)))</f>
        <v/>
      </c>
      <c r="P279">
        <f>IF(OR($B279="",(N('My Rota'!$D$6)+4)&gt;53),"",""&amp;CHOOSE(IFERROR(MATCH('My Rota'!$D$5,Setup!$K$33:$K$36,0),1),INDEX('2027'!$A:$Z,(5+50*((N('My Rota'!$D$6)+4)-1))+2+8,16),INDEX('2028'!$A:$Z,(5+50*((N('My Rota'!$D$6)+4)-1))+2+8,16),INDEX('2029'!$A:$Z,(5+50*((N('My Rota'!$D$6)+4)-1))+2+8,16),INDEX('2030'!$A:$Z,(5+50*((N('My Rota'!$D$6)+4)-1))+2+8,16)))</f>
        <v/>
      </c>
      <c r="Q279">
        <f>IF(OR($B279="",(N('My Rota'!$D$6)+4)&gt;53),"",""&amp;CHOOSE(IFERROR(MATCH('My Rota'!$D$5,Setup!$K$33:$K$36,0),1),INDEX('2027'!$A:$Z,(5+50*((N('My Rota'!$D$6)+4)-1))+2+8,17),INDEX('2028'!$A:$Z,(5+50*((N('My Rota'!$D$6)+4)-1))+2+8,17),INDEX('2029'!$A:$Z,(5+50*((N('My Rota'!$D$6)+4)-1))+2+8,17),INDEX('2030'!$A:$Z,(5+50*((N('My Rota'!$D$6)+4)-1))+2+8,17)))</f>
        <v/>
      </c>
      <c r="R279">
        <f>IF(OR($B279="",(N('My Rota'!$D$6)+4)&gt;53),"",""&amp;CHOOSE(IFERROR(MATCH('My Rota'!$D$5,Setup!$K$33:$K$36,0),1),INDEX('2027'!$A:$Z,(5+50*((N('My Rota'!$D$6)+4)-1))+2+8,18),INDEX('2028'!$A:$Z,(5+50*((N('My Rota'!$D$6)+4)-1))+2+8,18),INDEX('2029'!$A:$Z,(5+50*((N('My Rota'!$D$6)+4)-1))+2+8,18),INDEX('2030'!$A:$Z,(5+50*((N('My Rota'!$D$6)+4)-1))+2+8,18)))</f>
        <v/>
      </c>
      <c r="S279">
        <f>IF(OR($B279="",(N('My Rota'!$D$6)+4)&gt;53),"",""&amp;CHOOSE(IFERROR(MATCH('My Rota'!$D$5,Setup!$K$33:$K$36,0),1),INDEX('2027'!$A:$Z,(5+50*((N('My Rota'!$D$6)+4)-1))+2+8,19),INDEX('2028'!$A:$Z,(5+50*((N('My Rota'!$D$6)+4)-1))+2+8,19),INDEX('2029'!$A:$Z,(5+50*((N('My Rota'!$D$6)+4)-1))+2+8,19),INDEX('2030'!$A:$Z,(5+50*((N('My Rota'!$D$6)+4)-1))+2+8,19)))</f>
        <v/>
      </c>
      <c r="T279">
        <f>IF(OR($B279="",(N('My Rota'!$D$6)+4)&gt;53),"",""&amp;CHOOSE(IFERROR(MATCH('My Rota'!$D$5,Setup!$K$33:$K$36,0),1),INDEX('2027'!$A:$Z,(5+50*((N('My Rota'!$D$6)+4)-1))+2+8,20),INDEX('2028'!$A:$Z,(5+50*((N('My Rota'!$D$6)+4)-1))+2+8,20),INDEX('2029'!$A:$Z,(5+50*((N('My Rota'!$D$6)+4)-1))+2+8,20),INDEX('2030'!$A:$Z,(5+50*((N('My Rota'!$D$6)+4)-1))+2+8,20)))</f>
        <v/>
      </c>
      <c r="U279">
        <f>IF(OR($B279="",(N('My Rota'!$D$6)+4)&gt;53),"",""&amp;CHOOSE(IFERROR(MATCH('My Rota'!$D$5,Setup!$K$33:$K$36,0),1),INDEX('2027'!$A:$Z,(5+50*((N('My Rota'!$D$6)+4)-1))+2+8,21),INDEX('2028'!$A:$Z,(5+50*((N('My Rota'!$D$6)+4)-1))+2+8,21),INDEX('2029'!$A:$Z,(5+50*((N('My Rota'!$D$6)+4)-1))+2+8,21),INDEX('2030'!$A:$Z,(5+50*((N('My Rota'!$D$6)+4)-1))+2+8,21)))</f>
        <v/>
      </c>
      <c r="V279">
        <f>IF(OR($B279="",(N('My Rota'!$D$6)+4)&gt;53),"",""&amp;CHOOSE(IFERROR(MATCH('My Rota'!$D$5,Setup!$K$33:$K$36,0),1),INDEX('2027'!$A:$Z,(5+50*((N('My Rota'!$D$6)+4)-1))+2+8,22),INDEX('2028'!$A:$Z,(5+50*((N('My Rota'!$D$6)+4)-1))+2+8,22),INDEX('2029'!$A:$Z,(5+50*((N('My Rota'!$D$6)+4)-1))+2+8,22),INDEX('2030'!$A:$Z,(5+50*((N('My Rota'!$D$6)+4)-1))+2+8,22)))</f>
        <v/>
      </c>
      <c r="W279">
        <f>IF(OR($B279="",(N('My Rota'!$D$6)+4)&gt;53),"",""&amp;CHOOSE(IFERROR(MATCH('My Rota'!$D$5,Setup!$K$33:$K$36,0),1),INDEX('2027'!$A:$Z,(5+50*((N('My Rota'!$D$6)+4)-1))+2+8,23),INDEX('2028'!$A:$Z,(5+50*((N('My Rota'!$D$6)+4)-1))+2+8,23),INDEX('2029'!$A:$Z,(5+50*((N('My Rota'!$D$6)+4)-1))+2+8,23),INDEX('2030'!$A:$Z,(5+50*((N('My Rota'!$D$6)+4)-1))+2+8,23)))</f>
        <v/>
      </c>
      <c r="X279">
        <f>IF(OR($B279="",(N('My Rota'!$D$6)+4)&gt;53),"",""&amp;CHOOSE(IFERROR(MATCH('My Rota'!$D$5,Setup!$K$33:$K$36,0),1),INDEX('2027'!$A:$Z,(5+50*((N('My Rota'!$D$6)+4)-1))+2+8,24),INDEX('2028'!$A:$Z,(5+50*((N('My Rota'!$D$6)+4)-1))+2+8,24),INDEX('2029'!$A:$Z,(5+50*((N('My Rota'!$D$6)+4)-1))+2+8,24),INDEX('2030'!$A:$Z,(5+50*((N('My Rota'!$D$6)+4)-1))+2+8,24)))</f>
        <v/>
      </c>
      <c r="Y279">
        <f>IF(OR($B279="",(N('My Rota'!$D$6)+4)&gt;53),"",""&amp;CHOOSE(IFERROR(MATCH('My Rota'!$D$5,Setup!$K$33:$K$36,0),1),INDEX('2027'!$A:$Z,(5+50*((N('My Rota'!$D$6)+4)-1))+2+8,25),INDEX('2028'!$A:$Z,(5+50*((N('My Rota'!$D$6)+4)-1))+2+8,25),INDEX('2029'!$A:$Z,(5+50*((N('My Rota'!$D$6)+4)-1))+2+8,25),INDEX('2030'!$A:$Z,(5+50*((N('My Rota'!$D$6)+4)-1))+2+8,25)))</f>
        <v/>
      </c>
      <c r="Z279">
        <f>IF(OR($B279="",(N('My Rota'!$D$6)+4)&gt;53),"",""&amp;CHOOSE(IFERROR(MATCH('My Rota'!$D$5,Setup!$K$33:$K$36,0),1),INDEX('2027'!$A:$Z,(5+50*((N('My Rota'!$D$6)+4)-1))+2+8,26),INDEX('2028'!$A:$Z,(5+50*((N('My Rota'!$D$6)+4)-1))+2+8,26),INDEX('2029'!$A:$Z,(5+50*((N('My Rota'!$D$6)+4)-1))+2+8,26),INDEX('2030'!$A:$Z,(5+50*((N('My Rota'!$D$6)+4)-1))+2+8,26)))</f>
        <v/>
      </c>
    </row>
    <row r="280">
      <c r="A280" t="n">
        <v>5</v>
      </c>
      <c r="B280">
        <f>$B$55</f>
        <v/>
      </c>
      <c r="C280">
        <f>IF(OR($B280="",(N('My Rota'!$D$6)+4)&gt;53),"",""&amp;CHOOSE(IFERROR(MATCH('My Rota'!$D$5,Setup!$K$33:$K$36,0),1),INDEX('2027'!$A:$Z,(5+50*((N('My Rota'!$D$6)+4)-1))+2+9,3),INDEX('2028'!$A:$Z,(5+50*((N('My Rota'!$D$6)+4)-1))+2+9,3),INDEX('2029'!$A:$Z,(5+50*((N('My Rota'!$D$6)+4)-1))+2+9,3),INDEX('2030'!$A:$Z,(5+50*((N('My Rota'!$D$6)+4)-1))+2+9,3)))</f>
        <v/>
      </c>
      <c r="D280">
        <f>IF(OR($B280="",(N('My Rota'!$D$6)+4)&gt;53),"",""&amp;CHOOSE(IFERROR(MATCH('My Rota'!$D$5,Setup!$K$33:$K$36,0),1),INDEX('2027'!$A:$Z,(5+50*((N('My Rota'!$D$6)+4)-1))+2+9,4),INDEX('2028'!$A:$Z,(5+50*((N('My Rota'!$D$6)+4)-1))+2+9,4),INDEX('2029'!$A:$Z,(5+50*((N('My Rota'!$D$6)+4)-1))+2+9,4),INDEX('2030'!$A:$Z,(5+50*((N('My Rota'!$D$6)+4)-1))+2+9,4)))</f>
        <v/>
      </c>
      <c r="E280">
        <f>IF(OR($B280="",(N('My Rota'!$D$6)+4)&gt;53),"",""&amp;CHOOSE(IFERROR(MATCH('My Rota'!$D$5,Setup!$K$33:$K$36,0),1),INDEX('2027'!$A:$Z,(5+50*((N('My Rota'!$D$6)+4)-1))+2+9,5),INDEX('2028'!$A:$Z,(5+50*((N('My Rota'!$D$6)+4)-1))+2+9,5),INDEX('2029'!$A:$Z,(5+50*((N('My Rota'!$D$6)+4)-1))+2+9,5),INDEX('2030'!$A:$Z,(5+50*((N('My Rota'!$D$6)+4)-1))+2+9,5)))</f>
        <v/>
      </c>
      <c r="F280">
        <f>IF(OR($B280="",(N('My Rota'!$D$6)+4)&gt;53),"",""&amp;CHOOSE(IFERROR(MATCH('My Rota'!$D$5,Setup!$K$33:$K$36,0),1),INDEX('2027'!$A:$Z,(5+50*((N('My Rota'!$D$6)+4)-1))+2+9,6),INDEX('2028'!$A:$Z,(5+50*((N('My Rota'!$D$6)+4)-1))+2+9,6),INDEX('2029'!$A:$Z,(5+50*((N('My Rota'!$D$6)+4)-1))+2+9,6),INDEX('2030'!$A:$Z,(5+50*((N('My Rota'!$D$6)+4)-1))+2+9,6)))</f>
        <v/>
      </c>
      <c r="G280">
        <f>IF(OR($B280="",(N('My Rota'!$D$6)+4)&gt;53),"",""&amp;CHOOSE(IFERROR(MATCH('My Rota'!$D$5,Setup!$K$33:$K$36,0),1),INDEX('2027'!$A:$Z,(5+50*((N('My Rota'!$D$6)+4)-1))+2+9,7),INDEX('2028'!$A:$Z,(5+50*((N('My Rota'!$D$6)+4)-1))+2+9,7),INDEX('2029'!$A:$Z,(5+50*((N('My Rota'!$D$6)+4)-1))+2+9,7),INDEX('2030'!$A:$Z,(5+50*((N('My Rota'!$D$6)+4)-1))+2+9,7)))</f>
        <v/>
      </c>
      <c r="H280">
        <f>IF(OR($B280="",(N('My Rota'!$D$6)+4)&gt;53),"",""&amp;CHOOSE(IFERROR(MATCH('My Rota'!$D$5,Setup!$K$33:$K$36,0),1),INDEX('2027'!$A:$Z,(5+50*((N('My Rota'!$D$6)+4)-1))+2+9,8),INDEX('2028'!$A:$Z,(5+50*((N('My Rota'!$D$6)+4)-1))+2+9,8),INDEX('2029'!$A:$Z,(5+50*((N('My Rota'!$D$6)+4)-1))+2+9,8),INDEX('2030'!$A:$Z,(5+50*((N('My Rota'!$D$6)+4)-1))+2+9,8)))</f>
        <v/>
      </c>
      <c r="I280">
        <f>IF(OR($B280="",(N('My Rota'!$D$6)+4)&gt;53),"",""&amp;CHOOSE(IFERROR(MATCH('My Rota'!$D$5,Setup!$K$33:$K$36,0),1),INDEX('2027'!$A:$Z,(5+50*((N('My Rota'!$D$6)+4)-1))+2+9,9),INDEX('2028'!$A:$Z,(5+50*((N('My Rota'!$D$6)+4)-1))+2+9,9),INDEX('2029'!$A:$Z,(5+50*((N('My Rota'!$D$6)+4)-1))+2+9,9),INDEX('2030'!$A:$Z,(5+50*((N('My Rota'!$D$6)+4)-1))+2+9,9)))</f>
        <v/>
      </c>
      <c r="J280">
        <f>IF(OR($B280="",(N('My Rota'!$D$6)+4)&gt;53),"",""&amp;CHOOSE(IFERROR(MATCH('My Rota'!$D$5,Setup!$K$33:$K$36,0),1),INDEX('2027'!$A:$Z,(5+50*((N('My Rota'!$D$6)+4)-1))+2+9,10),INDEX('2028'!$A:$Z,(5+50*((N('My Rota'!$D$6)+4)-1))+2+9,10),INDEX('2029'!$A:$Z,(5+50*((N('My Rota'!$D$6)+4)-1))+2+9,10),INDEX('2030'!$A:$Z,(5+50*((N('My Rota'!$D$6)+4)-1))+2+9,10)))</f>
        <v/>
      </c>
      <c r="K280">
        <f>IF(OR($B280="",(N('My Rota'!$D$6)+4)&gt;53),"",""&amp;CHOOSE(IFERROR(MATCH('My Rota'!$D$5,Setup!$K$33:$K$36,0),1),INDEX('2027'!$A:$Z,(5+50*((N('My Rota'!$D$6)+4)-1))+2+9,11),INDEX('2028'!$A:$Z,(5+50*((N('My Rota'!$D$6)+4)-1))+2+9,11),INDEX('2029'!$A:$Z,(5+50*((N('My Rota'!$D$6)+4)-1))+2+9,11),INDEX('2030'!$A:$Z,(5+50*((N('My Rota'!$D$6)+4)-1))+2+9,11)))</f>
        <v/>
      </c>
      <c r="L280">
        <f>IF(OR($B280="",(N('My Rota'!$D$6)+4)&gt;53),"",""&amp;CHOOSE(IFERROR(MATCH('My Rota'!$D$5,Setup!$K$33:$K$36,0),1),INDEX('2027'!$A:$Z,(5+50*((N('My Rota'!$D$6)+4)-1))+2+9,12),INDEX('2028'!$A:$Z,(5+50*((N('My Rota'!$D$6)+4)-1))+2+9,12),INDEX('2029'!$A:$Z,(5+50*((N('My Rota'!$D$6)+4)-1))+2+9,12),INDEX('2030'!$A:$Z,(5+50*((N('My Rota'!$D$6)+4)-1))+2+9,12)))</f>
        <v/>
      </c>
      <c r="M280">
        <f>IF(OR($B280="",(N('My Rota'!$D$6)+4)&gt;53),"",""&amp;CHOOSE(IFERROR(MATCH('My Rota'!$D$5,Setup!$K$33:$K$36,0),1),INDEX('2027'!$A:$Z,(5+50*((N('My Rota'!$D$6)+4)-1))+2+9,13),INDEX('2028'!$A:$Z,(5+50*((N('My Rota'!$D$6)+4)-1))+2+9,13),INDEX('2029'!$A:$Z,(5+50*((N('My Rota'!$D$6)+4)-1))+2+9,13),INDEX('2030'!$A:$Z,(5+50*((N('My Rota'!$D$6)+4)-1))+2+9,13)))</f>
        <v/>
      </c>
      <c r="N280">
        <f>IF(OR($B280="",(N('My Rota'!$D$6)+4)&gt;53),"",""&amp;CHOOSE(IFERROR(MATCH('My Rota'!$D$5,Setup!$K$33:$K$36,0),1),INDEX('2027'!$A:$Z,(5+50*((N('My Rota'!$D$6)+4)-1))+2+9,14),INDEX('2028'!$A:$Z,(5+50*((N('My Rota'!$D$6)+4)-1))+2+9,14),INDEX('2029'!$A:$Z,(5+50*((N('My Rota'!$D$6)+4)-1))+2+9,14),INDEX('2030'!$A:$Z,(5+50*((N('My Rota'!$D$6)+4)-1))+2+9,14)))</f>
        <v/>
      </c>
      <c r="O280">
        <f>IF(OR($B280="",(N('My Rota'!$D$6)+4)&gt;53),"",""&amp;CHOOSE(IFERROR(MATCH('My Rota'!$D$5,Setup!$K$33:$K$36,0),1),INDEX('2027'!$A:$Z,(5+50*((N('My Rota'!$D$6)+4)-1))+2+9,15),INDEX('2028'!$A:$Z,(5+50*((N('My Rota'!$D$6)+4)-1))+2+9,15),INDEX('2029'!$A:$Z,(5+50*((N('My Rota'!$D$6)+4)-1))+2+9,15),INDEX('2030'!$A:$Z,(5+50*((N('My Rota'!$D$6)+4)-1))+2+9,15)))</f>
        <v/>
      </c>
      <c r="P280">
        <f>IF(OR($B280="",(N('My Rota'!$D$6)+4)&gt;53),"",""&amp;CHOOSE(IFERROR(MATCH('My Rota'!$D$5,Setup!$K$33:$K$36,0),1),INDEX('2027'!$A:$Z,(5+50*((N('My Rota'!$D$6)+4)-1))+2+9,16),INDEX('2028'!$A:$Z,(5+50*((N('My Rota'!$D$6)+4)-1))+2+9,16),INDEX('2029'!$A:$Z,(5+50*((N('My Rota'!$D$6)+4)-1))+2+9,16),INDEX('2030'!$A:$Z,(5+50*((N('My Rota'!$D$6)+4)-1))+2+9,16)))</f>
        <v/>
      </c>
      <c r="Q280">
        <f>IF(OR($B280="",(N('My Rota'!$D$6)+4)&gt;53),"",""&amp;CHOOSE(IFERROR(MATCH('My Rota'!$D$5,Setup!$K$33:$K$36,0),1),INDEX('2027'!$A:$Z,(5+50*((N('My Rota'!$D$6)+4)-1))+2+9,17),INDEX('2028'!$A:$Z,(5+50*((N('My Rota'!$D$6)+4)-1))+2+9,17),INDEX('2029'!$A:$Z,(5+50*((N('My Rota'!$D$6)+4)-1))+2+9,17),INDEX('2030'!$A:$Z,(5+50*((N('My Rota'!$D$6)+4)-1))+2+9,17)))</f>
        <v/>
      </c>
      <c r="R280">
        <f>IF(OR($B280="",(N('My Rota'!$D$6)+4)&gt;53),"",""&amp;CHOOSE(IFERROR(MATCH('My Rota'!$D$5,Setup!$K$33:$K$36,0),1),INDEX('2027'!$A:$Z,(5+50*((N('My Rota'!$D$6)+4)-1))+2+9,18),INDEX('2028'!$A:$Z,(5+50*((N('My Rota'!$D$6)+4)-1))+2+9,18),INDEX('2029'!$A:$Z,(5+50*((N('My Rota'!$D$6)+4)-1))+2+9,18),INDEX('2030'!$A:$Z,(5+50*((N('My Rota'!$D$6)+4)-1))+2+9,18)))</f>
        <v/>
      </c>
      <c r="S280">
        <f>IF(OR($B280="",(N('My Rota'!$D$6)+4)&gt;53),"",""&amp;CHOOSE(IFERROR(MATCH('My Rota'!$D$5,Setup!$K$33:$K$36,0),1),INDEX('2027'!$A:$Z,(5+50*((N('My Rota'!$D$6)+4)-1))+2+9,19),INDEX('2028'!$A:$Z,(5+50*((N('My Rota'!$D$6)+4)-1))+2+9,19),INDEX('2029'!$A:$Z,(5+50*((N('My Rota'!$D$6)+4)-1))+2+9,19),INDEX('2030'!$A:$Z,(5+50*((N('My Rota'!$D$6)+4)-1))+2+9,19)))</f>
        <v/>
      </c>
      <c r="T280">
        <f>IF(OR($B280="",(N('My Rota'!$D$6)+4)&gt;53),"",""&amp;CHOOSE(IFERROR(MATCH('My Rota'!$D$5,Setup!$K$33:$K$36,0),1),INDEX('2027'!$A:$Z,(5+50*((N('My Rota'!$D$6)+4)-1))+2+9,20),INDEX('2028'!$A:$Z,(5+50*((N('My Rota'!$D$6)+4)-1))+2+9,20),INDEX('2029'!$A:$Z,(5+50*((N('My Rota'!$D$6)+4)-1))+2+9,20),INDEX('2030'!$A:$Z,(5+50*((N('My Rota'!$D$6)+4)-1))+2+9,20)))</f>
        <v/>
      </c>
      <c r="U280">
        <f>IF(OR($B280="",(N('My Rota'!$D$6)+4)&gt;53),"",""&amp;CHOOSE(IFERROR(MATCH('My Rota'!$D$5,Setup!$K$33:$K$36,0),1),INDEX('2027'!$A:$Z,(5+50*((N('My Rota'!$D$6)+4)-1))+2+9,21),INDEX('2028'!$A:$Z,(5+50*((N('My Rota'!$D$6)+4)-1))+2+9,21),INDEX('2029'!$A:$Z,(5+50*((N('My Rota'!$D$6)+4)-1))+2+9,21),INDEX('2030'!$A:$Z,(5+50*((N('My Rota'!$D$6)+4)-1))+2+9,21)))</f>
        <v/>
      </c>
      <c r="V280">
        <f>IF(OR($B280="",(N('My Rota'!$D$6)+4)&gt;53),"",""&amp;CHOOSE(IFERROR(MATCH('My Rota'!$D$5,Setup!$K$33:$K$36,0),1),INDEX('2027'!$A:$Z,(5+50*((N('My Rota'!$D$6)+4)-1))+2+9,22),INDEX('2028'!$A:$Z,(5+50*((N('My Rota'!$D$6)+4)-1))+2+9,22),INDEX('2029'!$A:$Z,(5+50*((N('My Rota'!$D$6)+4)-1))+2+9,22),INDEX('2030'!$A:$Z,(5+50*((N('My Rota'!$D$6)+4)-1))+2+9,22)))</f>
        <v/>
      </c>
      <c r="W280">
        <f>IF(OR($B280="",(N('My Rota'!$D$6)+4)&gt;53),"",""&amp;CHOOSE(IFERROR(MATCH('My Rota'!$D$5,Setup!$K$33:$K$36,0),1),INDEX('2027'!$A:$Z,(5+50*((N('My Rota'!$D$6)+4)-1))+2+9,23),INDEX('2028'!$A:$Z,(5+50*((N('My Rota'!$D$6)+4)-1))+2+9,23),INDEX('2029'!$A:$Z,(5+50*((N('My Rota'!$D$6)+4)-1))+2+9,23),INDEX('2030'!$A:$Z,(5+50*((N('My Rota'!$D$6)+4)-1))+2+9,23)))</f>
        <v/>
      </c>
      <c r="X280">
        <f>IF(OR($B280="",(N('My Rota'!$D$6)+4)&gt;53),"",""&amp;CHOOSE(IFERROR(MATCH('My Rota'!$D$5,Setup!$K$33:$K$36,0),1),INDEX('2027'!$A:$Z,(5+50*((N('My Rota'!$D$6)+4)-1))+2+9,24),INDEX('2028'!$A:$Z,(5+50*((N('My Rota'!$D$6)+4)-1))+2+9,24),INDEX('2029'!$A:$Z,(5+50*((N('My Rota'!$D$6)+4)-1))+2+9,24),INDEX('2030'!$A:$Z,(5+50*((N('My Rota'!$D$6)+4)-1))+2+9,24)))</f>
        <v/>
      </c>
      <c r="Y280">
        <f>IF(OR($B280="",(N('My Rota'!$D$6)+4)&gt;53),"",""&amp;CHOOSE(IFERROR(MATCH('My Rota'!$D$5,Setup!$K$33:$K$36,0),1),INDEX('2027'!$A:$Z,(5+50*((N('My Rota'!$D$6)+4)-1))+2+9,25),INDEX('2028'!$A:$Z,(5+50*((N('My Rota'!$D$6)+4)-1))+2+9,25),INDEX('2029'!$A:$Z,(5+50*((N('My Rota'!$D$6)+4)-1))+2+9,25),INDEX('2030'!$A:$Z,(5+50*((N('My Rota'!$D$6)+4)-1))+2+9,25)))</f>
        <v/>
      </c>
      <c r="Z280">
        <f>IF(OR($B280="",(N('My Rota'!$D$6)+4)&gt;53),"",""&amp;CHOOSE(IFERROR(MATCH('My Rota'!$D$5,Setup!$K$33:$K$36,0),1),INDEX('2027'!$A:$Z,(5+50*((N('My Rota'!$D$6)+4)-1))+2+9,26),INDEX('2028'!$A:$Z,(5+50*((N('My Rota'!$D$6)+4)-1))+2+9,26),INDEX('2029'!$A:$Z,(5+50*((N('My Rota'!$D$6)+4)-1))+2+9,26),INDEX('2030'!$A:$Z,(5+50*((N('My Rota'!$D$6)+4)-1))+2+9,26)))</f>
        <v/>
      </c>
    </row>
    <row r="281">
      <c r="A281" t="n">
        <v>5</v>
      </c>
      <c r="B281">
        <f>$B$56</f>
        <v/>
      </c>
      <c r="C281">
        <f>IF(OR($B281="",(N('My Rota'!$D$6)+4)&gt;53),"",""&amp;CHOOSE(IFERROR(MATCH('My Rota'!$D$5,Setup!$K$33:$K$36,0),1),INDEX('2027'!$A:$Z,(5+50*((N('My Rota'!$D$6)+4)-1))+2+10,3),INDEX('2028'!$A:$Z,(5+50*((N('My Rota'!$D$6)+4)-1))+2+10,3),INDEX('2029'!$A:$Z,(5+50*((N('My Rota'!$D$6)+4)-1))+2+10,3),INDEX('2030'!$A:$Z,(5+50*((N('My Rota'!$D$6)+4)-1))+2+10,3)))</f>
        <v/>
      </c>
      <c r="D281">
        <f>IF(OR($B281="",(N('My Rota'!$D$6)+4)&gt;53),"",""&amp;CHOOSE(IFERROR(MATCH('My Rota'!$D$5,Setup!$K$33:$K$36,0),1),INDEX('2027'!$A:$Z,(5+50*((N('My Rota'!$D$6)+4)-1))+2+10,4),INDEX('2028'!$A:$Z,(5+50*((N('My Rota'!$D$6)+4)-1))+2+10,4),INDEX('2029'!$A:$Z,(5+50*((N('My Rota'!$D$6)+4)-1))+2+10,4),INDEX('2030'!$A:$Z,(5+50*((N('My Rota'!$D$6)+4)-1))+2+10,4)))</f>
        <v/>
      </c>
      <c r="E281">
        <f>IF(OR($B281="",(N('My Rota'!$D$6)+4)&gt;53),"",""&amp;CHOOSE(IFERROR(MATCH('My Rota'!$D$5,Setup!$K$33:$K$36,0),1),INDEX('2027'!$A:$Z,(5+50*((N('My Rota'!$D$6)+4)-1))+2+10,5),INDEX('2028'!$A:$Z,(5+50*((N('My Rota'!$D$6)+4)-1))+2+10,5),INDEX('2029'!$A:$Z,(5+50*((N('My Rota'!$D$6)+4)-1))+2+10,5),INDEX('2030'!$A:$Z,(5+50*((N('My Rota'!$D$6)+4)-1))+2+10,5)))</f>
        <v/>
      </c>
      <c r="F281">
        <f>IF(OR($B281="",(N('My Rota'!$D$6)+4)&gt;53),"",""&amp;CHOOSE(IFERROR(MATCH('My Rota'!$D$5,Setup!$K$33:$K$36,0),1),INDEX('2027'!$A:$Z,(5+50*((N('My Rota'!$D$6)+4)-1))+2+10,6),INDEX('2028'!$A:$Z,(5+50*((N('My Rota'!$D$6)+4)-1))+2+10,6),INDEX('2029'!$A:$Z,(5+50*((N('My Rota'!$D$6)+4)-1))+2+10,6),INDEX('2030'!$A:$Z,(5+50*((N('My Rota'!$D$6)+4)-1))+2+10,6)))</f>
        <v/>
      </c>
      <c r="G281">
        <f>IF(OR($B281="",(N('My Rota'!$D$6)+4)&gt;53),"",""&amp;CHOOSE(IFERROR(MATCH('My Rota'!$D$5,Setup!$K$33:$K$36,0),1),INDEX('2027'!$A:$Z,(5+50*((N('My Rota'!$D$6)+4)-1))+2+10,7),INDEX('2028'!$A:$Z,(5+50*((N('My Rota'!$D$6)+4)-1))+2+10,7),INDEX('2029'!$A:$Z,(5+50*((N('My Rota'!$D$6)+4)-1))+2+10,7),INDEX('2030'!$A:$Z,(5+50*((N('My Rota'!$D$6)+4)-1))+2+10,7)))</f>
        <v/>
      </c>
      <c r="H281">
        <f>IF(OR($B281="",(N('My Rota'!$D$6)+4)&gt;53),"",""&amp;CHOOSE(IFERROR(MATCH('My Rota'!$D$5,Setup!$K$33:$K$36,0),1),INDEX('2027'!$A:$Z,(5+50*((N('My Rota'!$D$6)+4)-1))+2+10,8),INDEX('2028'!$A:$Z,(5+50*((N('My Rota'!$D$6)+4)-1))+2+10,8),INDEX('2029'!$A:$Z,(5+50*((N('My Rota'!$D$6)+4)-1))+2+10,8),INDEX('2030'!$A:$Z,(5+50*((N('My Rota'!$D$6)+4)-1))+2+10,8)))</f>
        <v/>
      </c>
      <c r="I281">
        <f>IF(OR($B281="",(N('My Rota'!$D$6)+4)&gt;53),"",""&amp;CHOOSE(IFERROR(MATCH('My Rota'!$D$5,Setup!$K$33:$K$36,0),1),INDEX('2027'!$A:$Z,(5+50*((N('My Rota'!$D$6)+4)-1))+2+10,9),INDEX('2028'!$A:$Z,(5+50*((N('My Rota'!$D$6)+4)-1))+2+10,9),INDEX('2029'!$A:$Z,(5+50*((N('My Rota'!$D$6)+4)-1))+2+10,9),INDEX('2030'!$A:$Z,(5+50*((N('My Rota'!$D$6)+4)-1))+2+10,9)))</f>
        <v/>
      </c>
      <c r="J281">
        <f>IF(OR($B281="",(N('My Rota'!$D$6)+4)&gt;53),"",""&amp;CHOOSE(IFERROR(MATCH('My Rota'!$D$5,Setup!$K$33:$K$36,0),1),INDEX('2027'!$A:$Z,(5+50*((N('My Rota'!$D$6)+4)-1))+2+10,10),INDEX('2028'!$A:$Z,(5+50*((N('My Rota'!$D$6)+4)-1))+2+10,10),INDEX('2029'!$A:$Z,(5+50*((N('My Rota'!$D$6)+4)-1))+2+10,10),INDEX('2030'!$A:$Z,(5+50*((N('My Rota'!$D$6)+4)-1))+2+10,10)))</f>
        <v/>
      </c>
      <c r="K281">
        <f>IF(OR($B281="",(N('My Rota'!$D$6)+4)&gt;53),"",""&amp;CHOOSE(IFERROR(MATCH('My Rota'!$D$5,Setup!$K$33:$K$36,0),1),INDEX('2027'!$A:$Z,(5+50*((N('My Rota'!$D$6)+4)-1))+2+10,11),INDEX('2028'!$A:$Z,(5+50*((N('My Rota'!$D$6)+4)-1))+2+10,11),INDEX('2029'!$A:$Z,(5+50*((N('My Rota'!$D$6)+4)-1))+2+10,11),INDEX('2030'!$A:$Z,(5+50*((N('My Rota'!$D$6)+4)-1))+2+10,11)))</f>
        <v/>
      </c>
      <c r="L281">
        <f>IF(OR($B281="",(N('My Rota'!$D$6)+4)&gt;53),"",""&amp;CHOOSE(IFERROR(MATCH('My Rota'!$D$5,Setup!$K$33:$K$36,0),1),INDEX('2027'!$A:$Z,(5+50*((N('My Rota'!$D$6)+4)-1))+2+10,12),INDEX('2028'!$A:$Z,(5+50*((N('My Rota'!$D$6)+4)-1))+2+10,12),INDEX('2029'!$A:$Z,(5+50*((N('My Rota'!$D$6)+4)-1))+2+10,12),INDEX('2030'!$A:$Z,(5+50*((N('My Rota'!$D$6)+4)-1))+2+10,12)))</f>
        <v/>
      </c>
      <c r="M281">
        <f>IF(OR($B281="",(N('My Rota'!$D$6)+4)&gt;53),"",""&amp;CHOOSE(IFERROR(MATCH('My Rota'!$D$5,Setup!$K$33:$K$36,0),1),INDEX('2027'!$A:$Z,(5+50*((N('My Rota'!$D$6)+4)-1))+2+10,13),INDEX('2028'!$A:$Z,(5+50*((N('My Rota'!$D$6)+4)-1))+2+10,13),INDEX('2029'!$A:$Z,(5+50*((N('My Rota'!$D$6)+4)-1))+2+10,13),INDEX('2030'!$A:$Z,(5+50*((N('My Rota'!$D$6)+4)-1))+2+10,13)))</f>
        <v/>
      </c>
      <c r="N281">
        <f>IF(OR($B281="",(N('My Rota'!$D$6)+4)&gt;53),"",""&amp;CHOOSE(IFERROR(MATCH('My Rota'!$D$5,Setup!$K$33:$K$36,0),1),INDEX('2027'!$A:$Z,(5+50*((N('My Rota'!$D$6)+4)-1))+2+10,14),INDEX('2028'!$A:$Z,(5+50*((N('My Rota'!$D$6)+4)-1))+2+10,14),INDEX('2029'!$A:$Z,(5+50*((N('My Rota'!$D$6)+4)-1))+2+10,14),INDEX('2030'!$A:$Z,(5+50*((N('My Rota'!$D$6)+4)-1))+2+10,14)))</f>
        <v/>
      </c>
      <c r="O281">
        <f>IF(OR($B281="",(N('My Rota'!$D$6)+4)&gt;53),"",""&amp;CHOOSE(IFERROR(MATCH('My Rota'!$D$5,Setup!$K$33:$K$36,0),1),INDEX('2027'!$A:$Z,(5+50*((N('My Rota'!$D$6)+4)-1))+2+10,15),INDEX('2028'!$A:$Z,(5+50*((N('My Rota'!$D$6)+4)-1))+2+10,15),INDEX('2029'!$A:$Z,(5+50*((N('My Rota'!$D$6)+4)-1))+2+10,15),INDEX('2030'!$A:$Z,(5+50*((N('My Rota'!$D$6)+4)-1))+2+10,15)))</f>
        <v/>
      </c>
      <c r="P281">
        <f>IF(OR($B281="",(N('My Rota'!$D$6)+4)&gt;53),"",""&amp;CHOOSE(IFERROR(MATCH('My Rota'!$D$5,Setup!$K$33:$K$36,0),1),INDEX('2027'!$A:$Z,(5+50*((N('My Rota'!$D$6)+4)-1))+2+10,16),INDEX('2028'!$A:$Z,(5+50*((N('My Rota'!$D$6)+4)-1))+2+10,16),INDEX('2029'!$A:$Z,(5+50*((N('My Rota'!$D$6)+4)-1))+2+10,16),INDEX('2030'!$A:$Z,(5+50*((N('My Rota'!$D$6)+4)-1))+2+10,16)))</f>
        <v/>
      </c>
      <c r="Q281">
        <f>IF(OR($B281="",(N('My Rota'!$D$6)+4)&gt;53),"",""&amp;CHOOSE(IFERROR(MATCH('My Rota'!$D$5,Setup!$K$33:$K$36,0),1),INDEX('2027'!$A:$Z,(5+50*((N('My Rota'!$D$6)+4)-1))+2+10,17),INDEX('2028'!$A:$Z,(5+50*((N('My Rota'!$D$6)+4)-1))+2+10,17),INDEX('2029'!$A:$Z,(5+50*((N('My Rota'!$D$6)+4)-1))+2+10,17),INDEX('2030'!$A:$Z,(5+50*((N('My Rota'!$D$6)+4)-1))+2+10,17)))</f>
        <v/>
      </c>
      <c r="R281">
        <f>IF(OR($B281="",(N('My Rota'!$D$6)+4)&gt;53),"",""&amp;CHOOSE(IFERROR(MATCH('My Rota'!$D$5,Setup!$K$33:$K$36,0),1),INDEX('2027'!$A:$Z,(5+50*((N('My Rota'!$D$6)+4)-1))+2+10,18),INDEX('2028'!$A:$Z,(5+50*((N('My Rota'!$D$6)+4)-1))+2+10,18),INDEX('2029'!$A:$Z,(5+50*((N('My Rota'!$D$6)+4)-1))+2+10,18),INDEX('2030'!$A:$Z,(5+50*((N('My Rota'!$D$6)+4)-1))+2+10,18)))</f>
        <v/>
      </c>
      <c r="S281">
        <f>IF(OR($B281="",(N('My Rota'!$D$6)+4)&gt;53),"",""&amp;CHOOSE(IFERROR(MATCH('My Rota'!$D$5,Setup!$K$33:$K$36,0),1),INDEX('2027'!$A:$Z,(5+50*((N('My Rota'!$D$6)+4)-1))+2+10,19),INDEX('2028'!$A:$Z,(5+50*((N('My Rota'!$D$6)+4)-1))+2+10,19),INDEX('2029'!$A:$Z,(5+50*((N('My Rota'!$D$6)+4)-1))+2+10,19),INDEX('2030'!$A:$Z,(5+50*((N('My Rota'!$D$6)+4)-1))+2+10,19)))</f>
        <v/>
      </c>
      <c r="T281">
        <f>IF(OR($B281="",(N('My Rota'!$D$6)+4)&gt;53),"",""&amp;CHOOSE(IFERROR(MATCH('My Rota'!$D$5,Setup!$K$33:$K$36,0),1),INDEX('2027'!$A:$Z,(5+50*((N('My Rota'!$D$6)+4)-1))+2+10,20),INDEX('2028'!$A:$Z,(5+50*((N('My Rota'!$D$6)+4)-1))+2+10,20),INDEX('2029'!$A:$Z,(5+50*((N('My Rota'!$D$6)+4)-1))+2+10,20),INDEX('2030'!$A:$Z,(5+50*((N('My Rota'!$D$6)+4)-1))+2+10,20)))</f>
        <v/>
      </c>
      <c r="U281">
        <f>IF(OR($B281="",(N('My Rota'!$D$6)+4)&gt;53),"",""&amp;CHOOSE(IFERROR(MATCH('My Rota'!$D$5,Setup!$K$33:$K$36,0),1),INDEX('2027'!$A:$Z,(5+50*((N('My Rota'!$D$6)+4)-1))+2+10,21),INDEX('2028'!$A:$Z,(5+50*((N('My Rota'!$D$6)+4)-1))+2+10,21),INDEX('2029'!$A:$Z,(5+50*((N('My Rota'!$D$6)+4)-1))+2+10,21),INDEX('2030'!$A:$Z,(5+50*((N('My Rota'!$D$6)+4)-1))+2+10,21)))</f>
        <v/>
      </c>
      <c r="V281">
        <f>IF(OR($B281="",(N('My Rota'!$D$6)+4)&gt;53),"",""&amp;CHOOSE(IFERROR(MATCH('My Rota'!$D$5,Setup!$K$33:$K$36,0),1),INDEX('2027'!$A:$Z,(5+50*((N('My Rota'!$D$6)+4)-1))+2+10,22),INDEX('2028'!$A:$Z,(5+50*((N('My Rota'!$D$6)+4)-1))+2+10,22),INDEX('2029'!$A:$Z,(5+50*((N('My Rota'!$D$6)+4)-1))+2+10,22),INDEX('2030'!$A:$Z,(5+50*((N('My Rota'!$D$6)+4)-1))+2+10,22)))</f>
        <v/>
      </c>
      <c r="W281">
        <f>IF(OR($B281="",(N('My Rota'!$D$6)+4)&gt;53),"",""&amp;CHOOSE(IFERROR(MATCH('My Rota'!$D$5,Setup!$K$33:$K$36,0),1),INDEX('2027'!$A:$Z,(5+50*((N('My Rota'!$D$6)+4)-1))+2+10,23),INDEX('2028'!$A:$Z,(5+50*((N('My Rota'!$D$6)+4)-1))+2+10,23),INDEX('2029'!$A:$Z,(5+50*((N('My Rota'!$D$6)+4)-1))+2+10,23),INDEX('2030'!$A:$Z,(5+50*((N('My Rota'!$D$6)+4)-1))+2+10,23)))</f>
        <v/>
      </c>
      <c r="X281">
        <f>IF(OR($B281="",(N('My Rota'!$D$6)+4)&gt;53),"",""&amp;CHOOSE(IFERROR(MATCH('My Rota'!$D$5,Setup!$K$33:$K$36,0),1),INDEX('2027'!$A:$Z,(5+50*((N('My Rota'!$D$6)+4)-1))+2+10,24),INDEX('2028'!$A:$Z,(5+50*((N('My Rota'!$D$6)+4)-1))+2+10,24),INDEX('2029'!$A:$Z,(5+50*((N('My Rota'!$D$6)+4)-1))+2+10,24),INDEX('2030'!$A:$Z,(5+50*((N('My Rota'!$D$6)+4)-1))+2+10,24)))</f>
        <v/>
      </c>
      <c r="Y281">
        <f>IF(OR($B281="",(N('My Rota'!$D$6)+4)&gt;53),"",""&amp;CHOOSE(IFERROR(MATCH('My Rota'!$D$5,Setup!$K$33:$K$36,0),1),INDEX('2027'!$A:$Z,(5+50*((N('My Rota'!$D$6)+4)-1))+2+10,25),INDEX('2028'!$A:$Z,(5+50*((N('My Rota'!$D$6)+4)-1))+2+10,25),INDEX('2029'!$A:$Z,(5+50*((N('My Rota'!$D$6)+4)-1))+2+10,25),INDEX('2030'!$A:$Z,(5+50*((N('My Rota'!$D$6)+4)-1))+2+10,25)))</f>
        <v/>
      </c>
      <c r="Z281">
        <f>IF(OR($B281="",(N('My Rota'!$D$6)+4)&gt;53),"",""&amp;CHOOSE(IFERROR(MATCH('My Rota'!$D$5,Setup!$K$33:$K$36,0),1),INDEX('2027'!$A:$Z,(5+50*((N('My Rota'!$D$6)+4)-1))+2+10,26),INDEX('2028'!$A:$Z,(5+50*((N('My Rota'!$D$6)+4)-1))+2+10,26),INDEX('2029'!$A:$Z,(5+50*((N('My Rota'!$D$6)+4)-1))+2+10,26),INDEX('2030'!$A:$Z,(5+50*((N('My Rota'!$D$6)+4)-1))+2+10,26)))</f>
        <v/>
      </c>
    </row>
    <row r="282">
      <c r="A282" t="n">
        <v>5</v>
      </c>
      <c r="B282">
        <f>$B$57</f>
        <v/>
      </c>
      <c r="C282">
        <f>IF(OR($B282="",(N('My Rota'!$D$6)+4)&gt;53),"",""&amp;CHOOSE(IFERROR(MATCH('My Rota'!$D$5,Setup!$K$33:$K$36,0),1),INDEX('2027'!$A:$Z,(5+50*((N('My Rota'!$D$6)+4)-1))+2+11,3),INDEX('2028'!$A:$Z,(5+50*((N('My Rota'!$D$6)+4)-1))+2+11,3),INDEX('2029'!$A:$Z,(5+50*((N('My Rota'!$D$6)+4)-1))+2+11,3),INDEX('2030'!$A:$Z,(5+50*((N('My Rota'!$D$6)+4)-1))+2+11,3)))</f>
        <v/>
      </c>
      <c r="D282">
        <f>IF(OR($B282="",(N('My Rota'!$D$6)+4)&gt;53),"",""&amp;CHOOSE(IFERROR(MATCH('My Rota'!$D$5,Setup!$K$33:$K$36,0),1),INDEX('2027'!$A:$Z,(5+50*((N('My Rota'!$D$6)+4)-1))+2+11,4),INDEX('2028'!$A:$Z,(5+50*((N('My Rota'!$D$6)+4)-1))+2+11,4),INDEX('2029'!$A:$Z,(5+50*((N('My Rota'!$D$6)+4)-1))+2+11,4),INDEX('2030'!$A:$Z,(5+50*((N('My Rota'!$D$6)+4)-1))+2+11,4)))</f>
        <v/>
      </c>
      <c r="E282">
        <f>IF(OR($B282="",(N('My Rota'!$D$6)+4)&gt;53),"",""&amp;CHOOSE(IFERROR(MATCH('My Rota'!$D$5,Setup!$K$33:$K$36,0),1),INDEX('2027'!$A:$Z,(5+50*((N('My Rota'!$D$6)+4)-1))+2+11,5),INDEX('2028'!$A:$Z,(5+50*((N('My Rota'!$D$6)+4)-1))+2+11,5),INDEX('2029'!$A:$Z,(5+50*((N('My Rota'!$D$6)+4)-1))+2+11,5),INDEX('2030'!$A:$Z,(5+50*((N('My Rota'!$D$6)+4)-1))+2+11,5)))</f>
        <v/>
      </c>
      <c r="F282">
        <f>IF(OR($B282="",(N('My Rota'!$D$6)+4)&gt;53),"",""&amp;CHOOSE(IFERROR(MATCH('My Rota'!$D$5,Setup!$K$33:$K$36,0),1),INDEX('2027'!$A:$Z,(5+50*((N('My Rota'!$D$6)+4)-1))+2+11,6),INDEX('2028'!$A:$Z,(5+50*((N('My Rota'!$D$6)+4)-1))+2+11,6),INDEX('2029'!$A:$Z,(5+50*((N('My Rota'!$D$6)+4)-1))+2+11,6),INDEX('2030'!$A:$Z,(5+50*((N('My Rota'!$D$6)+4)-1))+2+11,6)))</f>
        <v/>
      </c>
      <c r="G282">
        <f>IF(OR($B282="",(N('My Rota'!$D$6)+4)&gt;53),"",""&amp;CHOOSE(IFERROR(MATCH('My Rota'!$D$5,Setup!$K$33:$K$36,0),1),INDEX('2027'!$A:$Z,(5+50*((N('My Rota'!$D$6)+4)-1))+2+11,7),INDEX('2028'!$A:$Z,(5+50*((N('My Rota'!$D$6)+4)-1))+2+11,7),INDEX('2029'!$A:$Z,(5+50*((N('My Rota'!$D$6)+4)-1))+2+11,7),INDEX('2030'!$A:$Z,(5+50*((N('My Rota'!$D$6)+4)-1))+2+11,7)))</f>
        <v/>
      </c>
      <c r="H282">
        <f>IF(OR($B282="",(N('My Rota'!$D$6)+4)&gt;53),"",""&amp;CHOOSE(IFERROR(MATCH('My Rota'!$D$5,Setup!$K$33:$K$36,0),1),INDEX('2027'!$A:$Z,(5+50*((N('My Rota'!$D$6)+4)-1))+2+11,8),INDEX('2028'!$A:$Z,(5+50*((N('My Rota'!$D$6)+4)-1))+2+11,8),INDEX('2029'!$A:$Z,(5+50*((N('My Rota'!$D$6)+4)-1))+2+11,8),INDEX('2030'!$A:$Z,(5+50*((N('My Rota'!$D$6)+4)-1))+2+11,8)))</f>
        <v/>
      </c>
      <c r="I282">
        <f>IF(OR($B282="",(N('My Rota'!$D$6)+4)&gt;53),"",""&amp;CHOOSE(IFERROR(MATCH('My Rota'!$D$5,Setup!$K$33:$K$36,0),1),INDEX('2027'!$A:$Z,(5+50*((N('My Rota'!$D$6)+4)-1))+2+11,9),INDEX('2028'!$A:$Z,(5+50*((N('My Rota'!$D$6)+4)-1))+2+11,9),INDEX('2029'!$A:$Z,(5+50*((N('My Rota'!$D$6)+4)-1))+2+11,9),INDEX('2030'!$A:$Z,(5+50*((N('My Rota'!$D$6)+4)-1))+2+11,9)))</f>
        <v/>
      </c>
      <c r="J282">
        <f>IF(OR($B282="",(N('My Rota'!$D$6)+4)&gt;53),"",""&amp;CHOOSE(IFERROR(MATCH('My Rota'!$D$5,Setup!$K$33:$K$36,0),1),INDEX('2027'!$A:$Z,(5+50*((N('My Rota'!$D$6)+4)-1))+2+11,10),INDEX('2028'!$A:$Z,(5+50*((N('My Rota'!$D$6)+4)-1))+2+11,10),INDEX('2029'!$A:$Z,(5+50*((N('My Rota'!$D$6)+4)-1))+2+11,10),INDEX('2030'!$A:$Z,(5+50*((N('My Rota'!$D$6)+4)-1))+2+11,10)))</f>
        <v/>
      </c>
      <c r="K282">
        <f>IF(OR($B282="",(N('My Rota'!$D$6)+4)&gt;53),"",""&amp;CHOOSE(IFERROR(MATCH('My Rota'!$D$5,Setup!$K$33:$K$36,0),1),INDEX('2027'!$A:$Z,(5+50*((N('My Rota'!$D$6)+4)-1))+2+11,11),INDEX('2028'!$A:$Z,(5+50*((N('My Rota'!$D$6)+4)-1))+2+11,11),INDEX('2029'!$A:$Z,(5+50*((N('My Rota'!$D$6)+4)-1))+2+11,11),INDEX('2030'!$A:$Z,(5+50*((N('My Rota'!$D$6)+4)-1))+2+11,11)))</f>
        <v/>
      </c>
      <c r="L282">
        <f>IF(OR($B282="",(N('My Rota'!$D$6)+4)&gt;53),"",""&amp;CHOOSE(IFERROR(MATCH('My Rota'!$D$5,Setup!$K$33:$K$36,0),1),INDEX('2027'!$A:$Z,(5+50*((N('My Rota'!$D$6)+4)-1))+2+11,12),INDEX('2028'!$A:$Z,(5+50*((N('My Rota'!$D$6)+4)-1))+2+11,12),INDEX('2029'!$A:$Z,(5+50*((N('My Rota'!$D$6)+4)-1))+2+11,12),INDEX('2030'!$A:$Z,(5+50*((N('My Rota'!$D$6)+4)-1))+2+11,12)))</f>
        <v/>
      </c>
      <c r="M282">
        <f>IF(OR($B282="",(N('My Rota'!$D$6)+4)&gt;53),"",""&amp;CHOOSE(IFERROR(MATCH('My Rota'!$D$5,Setup!$K$33:$K$36,0),1),INDEX('2027'!$A:$Z,(5+50*((N('My Rota'!$D$6)+4)-1))+2+11,13),INDEX('2028'!$A:$Z,(5+50*((N('My Rota'!$D$6)+4)-1))+2+11,13),INDEX('2029'!$A:$Z,(5+50*((N('My Rota'!$D$6)+4)-1))+2+11,13),INDEX('2030'!$A:$Z,(5+50*((N('My Rota'!$D$6)+4)-1))+2+11,13)))</f>
        <v/>
      </c>
      <c r="N282">
        <f>IF(OR($B282="",(N('My Rota'!$D$6)+4)&gt;53),"",""&amp;CHOOSE(IFERROR(MATCH('My Rota'!$D$5,Setup!$K$33:$K$36,0),1),INDEX('2027'!$A:$Z,(5+50*((N('My Rota'!$D$6)+4)-1))+2+11,14),INDEX('2028'!$A:$Z,(5+50*((N('My Rota'!$D$6)+4)-1))+2+11,14),INDEX('2029'!$A:$Z,(5+50*((N('My Rota'!$D$6)+4)-1))+2+11,14),INDEX('2030'!$A:$Z,(5+50*((N('My Rota'!$D$6)+4)-1))+2+11,14)))</f>
        <v/>
      </c>
      <c r="O282">
        <f>IF(OR($B282="",(N('My Rota'!$D$6)+4)&gt;53),"",""&amp;CHOOSE(IFERROR(MATCH('My Rota'!$D$5,Setup!$K$33:$K$36,0),1),INDEX('2027'!$A:$Z,(5+50*((N('My Rota'!$D$6)+4)-1))+2+11,15),INDEX('2028'!$A:$Z,(5+50*((N('My Rota'!$D$6)+4)-1))+2+11,15),INDEX('2029'!$A:$Z,(5+50*((N('My Rota'!$D$6)+4)-1))+2+11,15),INDEX('2030'!$A:$Z,(5+50*((N('My Rota'!$D$6)+4)-1))+2+11,15)))</f>
        <v/>
      </c>
      <c r="P282">
        <f>IF(OR($B282="",(N('My Rota'!$D$6)+4)&gt;53),"",""&amp;CHOOSE(IFERROR(MATCH('My Rota'!$D$5,Setup!$K$33:$K$36,0),1),INDEX('2027'!$A:$Z,(5+50*((N('My Rota'!$D$6)+4)-1))+2+11,16),INDEX('2028'!$A:$Z,(5+50*((N('My Rota'!$D$6)+4)-1))+2+11,16),INDEX('2029'!$A:$Z,(5+50*((N('My Rota'!$D$6)+4)-1))+2+11,16),INDEX('2030'!$A:$Z,(5+50*((N('My Rota'!$D$6)+4)-1))+2+11,16)))</f>
        <v/>
      </c>
      <c r="Q282">
        <f>IF(OR($B282="",(N('My Rota'!$D$6)+4)&gt;53),"",""&amp;CHOOSE(IFERROR(MATCH('My Rota'!$D$5,Setup!$K$33:$K$36,0),1),INDEX('2027'!$A:$Z,(5+50*((N('My Rota'!$D$6)+4)-1))+2+11,17),INDEX('2028'!$A:$Z,(5+50*((N('My Rota'!$D$6)+4)-1))+2+11,17),INDEX('2029'!$A:$Z,(5+50*((N('My Rota'!$D$6)+4)-1))+2+11,17),INDEX('2030'!$A:$Z,(5+50*((N('My Rota'!$D$6)+4)-1))+2+11,17)))</f>
        <v/>
      </c>
      <c r="R282">
        <f>IF(OR($B282="",(N('My Rota'!$D$6)+4)&gt;53),"",""&amp;CHOOSE(IFERROR(MATCH('My Rota'!$D$5,Setup!$K$33:$K$36,0),1),INDEX('2027'!$A:$Z,(5+50*((N('My Rota'!$D$6)+4)-1))+2+11,18),INDEX('2028'!$A:$Z,(5+50*((N('My Rota'!$D$6)+4)-1))+2+11,18),INDEX('2029'!$A:$Z,(5+50*((N('My Rota'!$D$6)+4)-1))+2+11,18),INDEX('2030'!$A:$Z,(5+50*((N('My Rota'!$D$6)+4)-1))+2+11,18)))</f>
        <v/>
      </c>
      <c r="S282">
        <f>IF(OR($B282="",(N('My Rota'!$D$6)+4)&gt;53),"",""&amp;CHOOSE(IFERROR(MATCH('My Rota'!$D$5,Setup!$K$33:$K$36,0),1),INDEX('2027'!$A:$Z,(5+50*((N('My Rota'!$D$6)+4)-1))+2+11,19),INDEX('2028'!$A:$Z,(5+50*((N('My Rota'!$D$6)+4)-1))+2+11,19),INDEX('2029'!$A:$Z,(5+50*((N('My Rota'!$D$6)+4)-1))+2+11,19),INDEX('2030'!$A:$Z,(5+50*((N('My Rota'!$D$6)+4)-1))+2+11,19)))</f>
        <v/>
      </c>
      <c r="T282">
        <f>IF(OR($B282="",(N('My Rota'!$D$6)+4)&gt;53),"",""&amp;CHOOSE(IFERROR(MATCH('My Rota'!$D$5,Setup!$K$33:$K$36,0),1),INDEX('2027'!$A:$Z,(5+50*((N('My Rota'!$D$6)+4)-1))+2+11,20),INDEX('2028'!$A:$Z,(5+50*((N('My Rota'!$D$6)+4)-1))+2+11,20),INDEX('2029'!$A:$Z,(5+50*((N('My Rota'!$D$6)+4)-1))+2+11,20),INDEX('2030'!$A:$Z,(5+50*((N('My Rota'!$D$6)+4)-1))+2+11,20)))</f>
        <v/>
      </c>
      <c r="U282">
        <f>IF(OR($B282="",(N('My Rota'!$D$6)+4)&gt;53),"",""&amp;CHOOSE(IFERROR(MATCH('My Rota'!$D$5,Setup!$K$33:$K$36,0),1),INDEX('2027'!$A:$Z,(5+50*((N('My Rota'!$D$6)+4)-1))+2+11,21),INDEX('2028'!$A:$Z,(5+50*((N('My Rota'!$D$6)+4)-1))+2+11,21),INDEX('2029'!$A:$Z,(5+50*((N('My Rota'!$D$6)+4)-1))+2+11,21),INDEX('2030'!$A:$Z,(5+50*((N('My Rota'!$D$6)+4)-1))+2+11,21)))</f>
        <v/>
      </c>
      <c r="V282">
        <f>IF(OR($B282="",(N('My Rota'!$D$6)+4)&gt;53),"",""&amp;CHOOSE(IFERROR(MATCH('My Rota'!$D$5,Setup!$K$33:$K$36,0),1),INDEX('2027'!$A:$Z,(5+50*((N('My Rota'!$D$6)+4)-1))+2+11,22),INDEX('2028'!$A:$Z,(5+50*((N('My Rota'!$D$6)+4)-1))+2+11,22),INDEX('2029'!$A:$Z,(5+50*((N('My Rota'!$D$6)+4)-1))+2+11,22),INDEX('2030'!$A:$Z,(5+50*((N('My Rota'!$D$6)+4)-1))+2+11,22)))</f>
        <v/>
      </c>
      <c r="W282">
        <f>IF(OR($B282="",(N('My Rota'!$D$6)+4)&gt;53),"",""&amp;CHOOSE(IFERROR(MATCH('My Rota'!$D$5,Setup!$K$33:$K$36,0),1),INDEX('2027'!$A:$Z,(5+50*((N('My Rota'!$D$6)+4)-1))+2+11,23),INDEX('2028'!$A:$Z,(5+50*((N('My Rota'!$D$6)+4)-1))+2+11,23),INDEX('2029'!$A:$Z,(5+50*((N('My Rota'!$D$6)+4)-1))+2+11,23),INDEX('2030'!$A:$Z,(5+50*((N('My Rota'!$D$6)+4)-1))+2+11,23)))</f>
        <v/>
      </c>
      <c r="X282">
        <f>IF(OR($B282="",(N('My Rota'!$D$6)+4)&gt;53),"",""&amp;CHOOSE(IFERROR(MATCH('My Rota'!$D$5,Setup!$K$33:$K$36,0),1),INDEX('2027'!$A:$Z,(5+50*((N('My Rota'!$D$6)+4)-1))+2+11,24),INDEX('2028'!$A:$Z,(5+50*((N('My Rota'!$D$6)+4)-1))+2+11,24),INDEX('2029'!$A:$Z,(5+50*((N('My Rota'!$D$6)+4)-1))+2+11,24),INDEX('2030'!$A:$Z,(5+50*((N('My Rota'!$D$6)+4)-1))+2+11,24)))</f>
        <v/>
      </c>
      <c r="Y282">
        <f>IF(OR($B282="",(N('My Rota'!$D$6)+4)&gt;53),"",""&amp;CHOOSE(IFERROR(MATCH('My Rota'!$D$5,Setup!$K$33:$K$36,0),1),INDEX('2027'!$A:$Z,(5+50*((N('My Rota'!$D$6)+4)-1))+2+11,25),INDEX('2028'!$A:$Z,(5+50*((N('My Rota'!$D$6)+4)-1))+2+11,25),INDEX('2029'!$A:$Z,(5+50*((N('My Rota'!$D$6)+4)-1))+2+11,25),INDEX('2030'!$A:$Z,(5+50*((N('My Rota'!$D$6)+4)-1))+2+11,25)))</f>
        <v/>
      </c>
      <c r="Z282">
        <f>IF(OR($B282="",(N('My Rota'!$D$6)+4)&gt;53),"",""&amp;CHOOSE(IFERROR(MATCH('My Rota'!$D$5,Setup!$K$33:$K$36,0),1),INDEX('2027'!$A:$Z,(5+50*((N('My Rota'!$D$6)+4)-1))+2+11,26),INDEX('2028'!$A:$Z,(5+50*((N('My Rota'!$D$6)+4)-1))+2+11,26),INDEX('2029'!$A:$Z,(5+50*((N('My Rota'!$D$6)+4)-1))+2+11,26),INDEX('2030'!$A:$Z,(5+50*((N('My Rota'!$D$6)+4)-1))+2+11,26)))</f>
        <v/>
      </c>
    </row>
    <row r="283">
      <c r="A283" t="n">
        <v>5</v>
      </c>
      <c r="B283">
        <f>$B$58</f>
        <v/>
      </c>
      <c r="C283">
        <f>IF(OR($B283="",(N('My Rota'!$D$6)+4)&gt;53),"",""&amp;CHOOSE(IFERROR(MATCH('My Rota'!$D$5,Setup!$K$33:$K$36,0),1),INDEX('2027'!$A:$Z,(5+50*((N('My Rota'!$D$6)+4)-1))+2+12,3),INDEX('2028'!$A:$Z,(5+50*((N('My Rota'!$D$6)+4)-1))+2+12,3),INDEX('2029'!$A:$Z,(5+50*((N('My Rota'!$D$6)+4)-1))+2+12,3),INDEX('2030'!$A:$Z,(5+50*((N('My Rota'!$D$6)+4)-1))+2+12,3)))</f>
        <v/>
      </c>
      <c r="D283">
        <f>IF(OR($B283="",(N('My Rota'!$D$6)+4)&gt;53),"",""&amp;CHOOSE(IFERROR(MATCH('My Rota'!$D$5,Setup!$K$33:$K$36,0),1),INDEX('2027'!$A:$Z,(5+50*((N('My Rota'!$D$6)+4)-1))+2+12,4),INDEX('2028'!$A:$Z,(5+50*((N('My Rota'!$D$6)+4)-1))+2+12,4),INDEX('2029'!$A:$Z,(5+50*((N('My Rota'!$D$6)+4)-1))+2+12,4),INDEX('2030'!$A:$Z,(5+50*((N('My Rota'!$D$6)+4)-1))+2+12,4)))</f>
        <v/>
      </c>
      <c r="E283">
        <f>IF(OR($B283="",(N('My Rota'!$D$6)+4)&gt;53),"",""&amp;CHOOSE(IFERROR(MATCH('My Rota'!$D$5,Setup!$K$33:$K$36,0),1),INDEX('2027'!$A:$Z,(5+50*((N('My Rota'!$D$6)+4)-1))+2+12,5),INDEX('2028'!$A:$Z,(5+50*((N('My Rota'!$D$6)+4)-1))+2+12,5),INDEX('2029'!$A:$Z,(5+50*((N('My Rota'!$D$6)+4)-1))+2+12,5),INDEX('2030'!$A:$Z,(5+50*((N('My Rota'!$D$6)+4)-1))+2+12,5)))</f>
        <v/>
      </c>
      <c r="F283">
        <f>IF(OR($B283="",(N('My Rota'!$D$6)+4)&gt;53),"",""&amp;CHOOSE(IFERROR(MATCH('My Rota'!$D$5,Setup!$K$33:$K$36,0),1),INDEX('2027'!$A:$Z,(5+50*((N('My Rota'!$D$6)+4)-1))+2+12,6),INDEX('2028'!$A:$Z,(5+50*((N('My Rota'!$D$6)+4)-1))+2+12,6),INDEX('2029'!$A:$Z,(5+50*((N('My Rota'!$D$6)+4)-1))+2+12,6),INDEX('2030'!$A:$Z,(5+50*((N('My Rota'!$D$6)+4)-1))+2+12,6)))</f>
        <v/>
      </c>
      <c r="G283">
        <f>IF(OR($B283="",(N('My Rota'!$D$6)+4)&gt;53),"",""&amp;CHOOSE(IFERROR(MATCH('My Rota'!$D$5,Setup!$K$33:$K$36,0),1),INDEX('2027'!$A:$Z,(5+50*((N('My Rota'!$D$6)+4)-1))+2+12,7),INDEX('2028'!$A:$Z,(5+50*((N('My Rota'!$D$6)+4)-1))+2+12,7),INDEX('2029'!$A:$Z,(5+50*((N('My Rota'!$D$6)+4)-1))+2+12,7),INDEX('2030'!$A:$Z,(5+50*((N('My Rota'!$D$6)+4)-1))+2+12,7)))</f>
        <v/>
      </c>
      <c r="H283">
        <f>IF(OR($B283="",(N('My Rota'!$D$6)+4)&gt;53),"",""&amp;CHOOSE(IFERROR(MATCH('My Rota'!$D$5,Setup!$K$33:$K$36,0),1),INDEX('2027'!$A:$Z,(5+50*((N('My Rota'!$D$6)+4)-1))+2+12,8),INDEX('2028'!$A:$Z,(5+50*((N('My Rota'!$D$6)+4)-1))+2+12,8),INDEX('2029'!$A:$Z,(5+50*((N('My Rota'!$D$6)+4)-1))+2+12,8),INDEX('2030'!$A:$Z,(5+50*((N('My Rota'!$D$6)+4)-1))+2+12,8)))</f>
        <v/>
      </c>
      <c r="I283">
        <f>IF(OR($B283="",(N('My Rota'!$D$6)+4)&gt;53),"",""&amp;CHOOSE(IFERROR(MATCH('My Rota'!$D$5,Setup!$K$33:$K$36,0),1),INDEX('2027'!$A:$Z,(5+50*((N('My Rota'!$D$6)+4)-1))+2+12,9),INDEX('2028'!$A:$Z,(5+50*((N('My Rota'!$D$6)+4)-1))+2+12,9),INDEX('2029'!$A:$Z,(5+50*((N('My Rota'!$D$6)+4)-1))+2+12,9),INDEX('2030'!$A:$Z,(5+50*((N('My Rota'!$D$6)+4)-1))+2+12,9)))</f>
        <v/>
      </c>
      <c r="J283">
        <f>IF(OR($B283="",(N('My Rota'!$D$6)+4)&gt;53),"",""&amp;CHOOSE(IFERROR(MATCH('My Rota'!$D$5,Setup!$K$33:$K$36,0),1),INDEX('2027'!$A:$Z,(5+50*((N('My Rota'!$D$6)+4)-1))+2+12,10),INDEX('2028'!$A:$Z,(5+50*((N('My Rota'!$D$6)+4)-1))+2+12,10),INDEX('2029'!$A:$Z,(5+50*((N('My Rota'!$D$6)+4)-1))+2+12,10),INDEX('2030'!$A:$Z,(5+50*((N('My Rota'!$D$6)+4)-1))+2+12,10)))</f>
        <v/>
      </c>
      <c r="K283">
        <f>IF(OR($B283="",(N('My Rota'!$D$6)+4)&gt;53),"",""&amp;CHOOSE(IFERROR(MATCH('My Rota'!$D$5,Setup!$K$33:$K$36,0),1),INDEX('2027'!$A:$Z,(5+50*((N('My Rota'!$D$6)+4)-1))+2+12,11),INDEX('2028'!$A:$Z,(5+50*((N('My Rota'!$D$6)+4)-1))+2+12,11),INDEX('2029'!$A:$Z,(5+50*((N('My Rota'!$D$6)+4)-1))+2+12,11),INDEX('2030'!$A:$Z,(5+50*((N('My Rota'!$D$6)+4)-1))+2+12,11)))</f>
        <v/>
      </c>
      <c r="L283">
        <f>IF(OR($B283="",(N('My Rota'!$D$6)+4)&gt;53),"",""&amp;CHOOSE(IFERROR(MATCH('My Rota'!$D$5,Setup!$K$33:$K$36,0),1),INDEX('2027'!$A:$Z,(5+50*((N('My Rota'!$D$6)+4)-1))+2+12,12),INDEX('2028'!$A:$Z,(5+50*((N('My Rota'!$D$6)+4)-1))+2+12,12),INDEX('2029'!$A:$Z,(5+50*((N('My Rota'!$D$6)+4)-1))+2+12,12),INDEX('2030'!$A:$Z,(5+50*((N('My Rota'!$D$6)+4)-1))+2+12,12)))</f>
        <v/>
      </c>
      <c r="M283">
        <f>IF(OR($B283="",(N('My Rota'!$D$6)+4)&gt;53),"",""&amp;CHOOSE(IFERROR(MATCH('My Rota'!$D$5,Setup!$K$33:$K$36,0),1),INDEX('2027'!$A:$Z,(5+50*((N('My Rota'!$D$6)+4)-1))+2+12,13),INDEX('2028'!$A:$Z,(5+50*((N('My Rota'!$D$6)+4)-1))+2+12,13),INDEX('2029'!$A:$Z,(5+50*((N('My Rota'!$D$6)+4)-1))+2+12,13),INDEX('2030'!$A:$Z,(5+50*((N('My Rota'!$D$6)+4)-1))+2+12,13)))</f>
        <v/>
      </c>
      <c r="N283">
        <f>IF(OR($B283="",(N('My Rota'!$D$6)+4)&gt;53),"",""&amp;CHOOSE(IFERROR(MATCH('My Rota'!$D$5,Setup!$K$33:$K$36,0),1),INDEX('2027'!$A:$Z,(5+50*((N('My Rota'!$D$6)+4)-1))+2+12,14),INDEX('2028'!$A:$Z,(5+50*((N('My Rota'!$D$6)+4)-1))+2+12,14),INDEX('2029'!$A:$Z,(5+50*((N('My Rota'!$D$6)+4)-1))+2+12,14),INDEX('2030'!$A:$Z,(5+50*((N('My Rota'!$D$6)+4)-1))+2+12,14)))</f>
        <v/>
      </c>
      <c r="O283">
        <f>IF(OR($B283="",(N('My Rota'!$D$6)+4)&gt;53),"",""&amp;CHOOSE(IFERROR(MATCH('My Rota'!$D$5,Setup!$K$33:$K$36,0),1),INDEX('2027'!$A:$Z,(5+50*((N('My Rota'!$D$6)+4)-1))+2+12,15),INDEX('2028'!$A:$Z,(5+50*((N('My Rota'!$D$6)+4)-1))+2+12,15),INDEX('2029'!$A:$Z,(5+50*((N('My Rota'!$D$6)+4)-1))+2+12,15),INDEX('2030'!$A:$Z,(5+50*((N('My Rota'!$D$6)+4)-1))+2+12,15)))</f>
        <v/>
      </c>
      <c r="P283">
        <f>IF(OR($B283="",(N('My Rota'!$D$6)+4)&gt;53),"",""&amp;CHOOSE(IFERROR(MATCH('My Rota'!$D$5,Setup!$K$33:$K$36,0),1),INDEX('2027'!$A:$Z,(5+50*((N('My Rota'!$D$6)+4)-1))+2+12,16),INDEX('2028'!$A:$Z,(5+50*((N('My Rota'!$D$6)+4)-1))+2+12,16),INDEX('2029'!$A:$Z,(5+50*((N('My Rota'!$D$6)+4)-1))+2+12,16),INDEX('2030'!$A:$Z,(5+50*((N('My Rota'!$D$6)+4)-1))+2+12,16)))</f>
        <v/>
      </c>
      <c r="Q283">
        <f>IF(OR($B283="",(N('My Rota'!$D$6)+4)&gt;53),"",""&amp;CHOOSE(IFERROR(MATCH('My Rota'!$D$5,Setup!$K$33:$K$36,0),1),INDEX('2027'!$A:$Z,(5+50*((N('My Rota'!$D$6)+4)-1))+2+12,17),INDEX('2028'!$A:$Z,(5+50*((N('My Rota'!$D$6)+4)-1))+2+12,17),INDEX('2029'!$A:$Z,(5+50*((N('My Rota'!$D$6)+4)-1))+2+12,17),INDEX('2030'!$A:$Z,(5+50*((N('My Rota'!$D$6)+4)-1))+2+12,17)))</f>
        <v/>
      </c>
      <c r="R283">
        <f>IF(OR($B283="",(N('My Rota'!$D$6)+4)&gt;53),"",""&amp;CHOOSE(IFERROR(MATCH('My Rota'!$D$5,Setup!$K$33:$K$36,0),1),INDEX('2027'!$A:$Z,(5+50*((N('My Rota'!$D$6)+4)-1))+2+12,18),INDEX('2028'!$A:$Z,(5+50*((N('My Rota'!$D$6)+4)-1))+2+12,18),INDEX('2029'!$A:$Z,(5+50*((N('My Rota'!$D$6)+4)-1))+2+12,18),INDEX('2030'!$A:$Z,(5+50*((N('My Rota'!$D$6)+4)-1))+2+12,18)))</f>
        <v/>
      </c>
      <c r="S283">
        <f>IF(OR($B283="",(N('My Rota'!$D$6)+4)&gt;53),"",""&amp;CHOOSE(IFERROR(MATCH('My Rota'!$D$5,Setup!$K$33:$K$36,0),1),INDEX('2027'!$A:$Z,(5+50*((N('My Rota'!$D$6)+4)-1))+2+12,19),INDEX('2028'!$A:$Z,(5+50*((N('My Rota'!$D$6)+4)-1))+2+12,19),INDEX('2029'!$A:$Z,(5+50*((N('My Rota'!$D$6)+4)-1))+2+12,19),INDEX('2030'!$A:$Z,(5+50*((N('My Rota'!$D$6)+4)-1))+2+12,19)))</f>
        <v/>
      </c>
      <c r="T283">
        <f>IF(OR($B283="",(N('My Rota'!$D$6)+4)&gt;53),"",""&amp;CHOOSE(IFERROR(MATCH('My Rota'!$D$5,Setup!$K$33:$K$36,0),1),INDEX('2027'!$A:$Z,(5+50*((N('My Rota'!$D$6)+4)-1))+2+12,20),INDEX('2028'!$A:$Z,(5+50*((N('My Rota'!$D$6)+4)-1))+2+12,20),INDEX('2029'!$A:$Z,(5+50*((N('My Rota'!$D$6)+4)-1))+2+12,20),INDEX('2030'!$A:$Z,(5+50*((N('My Rota'!$D$6)+4)-1))+2+12,20)))</f>
        <v/>
      </c>
      <c r="U283">
        <f>IF(OR($B283="",(N('My Rota'!$D$6)+4)&gt;53),"",""&amp;CHOOSE(IFERROR(MATCH('My Rota'!$D$5,Setup!$K$33:$K$36,0),1),INDEX('2027'!$A:$Z,(5+50*((N('My Rota'!$D$6)+4)-1))+2+12,21),INDEX('2028'!$A:$Z,(5+50*((N('My Rota'!$D$6)+4)-1))+2+12,21),INDEX('2029'!$A:$Z,(5+50*((N('My Rota'!$D$6)+4)-1))+2+12,21),INDEX('2030'!$A:$Z,(5+50*((N('My Rota'!$D$6)+4)-1))+2+12,21)))</f>
        <v/>
      </c>
      <c r="V283">
        <f>IF(OR($B283="",(N('My Rota'!$D$6)+4)&gt;53),"",""&amp;CHOOSE(IFERROR(MATCH('My Rota'!$D$5,Setup!$K$33:$K$36,0),1),INDEX('2027'!$A:$Z,(5+50*((N('My Rota'!$D$6)+4)-1))+2+12,22),INDEX('2028'!$A:$Z,(5+50*((N('My Rota'!$D$6)+4)-1))+2+12,22),INDEX('2029'!$A:$Z,(5+50*((N('My Rota'!$D$6)+4)-1))+2+12,22),INDEX('2030'!$A:$Z,(5+50*((N('My Rota'!$D$6)+4)-1))+2+12,22)))</f>
        <v/>
      </c>
      <c r="W283">
        <f>IF(OR($B283="",(N('My Rota'!$D$6)+4)&gt;53),"",""&amp;CHOOSE(IFERROR(MATCH('My Rota'!$D$5,Setup!$K$33:$K$36,0),1),INDEX('2027'!$A:$Z,(5+50*((N('My Rota'!$D$6)+4)-1))+2+12,23),INDEX('2028'!$A:$Z,(5+50*((N('My Rota'!$D$6)+4)-1))+2+12,23),INDEX('2029'!$A:$Z,(5+50*((N('My Rota'!$D$6)+4)-1))+2+12,23),INDEX('2030'!$A:$Z,(5+50*((N('My Rota'!$D$6)+4)-1))+2+12,23)))</f>
        <v/>
      </c>
      <c r="X283">
        <f>IF(OR($B283="",(N('My Rota'!$D$6)+4)&gt;53),"",""&amp;CHOOSE(IFERROR(MATCH('My Rota'!$D$5,Setup!$K$33:$K$36,0),1),INDEX('2027'!$A:$Z,(5+50*((N('My Rota'!$D$6)+4)-1))+2+12,24),INDEX('2028'!$A:$Z,(5+50*((N('My Rota'!$D$6)+4)-1))+2+12,24),INDEX('2029'!$A:$Z,(5+50*((N('My Rota'!$D$6)+4)-1))+2+12,24),INDEX('2030'!$A:$Z,(5+50*((N('My Rota'!$D$6)+4)-1))+2+12,24)))</f>
        <v/>
      </c>
      <c r="Y283">
        <f>IF(OR($B283="",(N('My Rota'!$D$6)+4)&gt;53),"",""&amp;CHOOSE(IFERROR(MATCH('My Rota'!$D$5,Setup!$K$33:$K$36,0),1),INDEX('2027'!$A:$Z,(5+50*((N('My Rota'!$D$6)+4)-1))+2+12,25),INDEX('2028'!$A:$Z,(5+50*((N('My Rota'!$D$6)+4)-1))+2+12,25),INDEX('2029'!$A:$Z,(5+50*((N('My Rota'!$D$6)+4)-1))+2+12,25),INDEX('2030'!$A:$Z,(5+50*((N('My Rota'!$D$6)+4)-1))+2+12,25)))</f>
        <v/>
      </c>
      <c r="Z283">
        <f>IF(OR($B283="",(N('My Rota'!$D$6)+4)&gt;53),"",""&amp;CHOOSE(IFERROR(MATCH('My Rota'!$D$5,Setup!$K$33:$K$36,0),1),INDEX('2027'!$A:$Z,(5+50*((N('My Rota'!$D$6)+4)-1))+2+12,26),INDEX('2028'!$A:$Z,(5+50*((N('My Rota'!$D$6)+4)-1))+2+12,26),INDEX('2029'!$A:$Z,(5+50*((N('My Rota'!$D$6)+4)-1))+2+12,26),INDEX('2030'!$A:$Z,(5+50*((N('My Rota'!$D$6)+4)-1))+2+12,26)))</f>
        <v/>
      </c>
    </row>
    <row r="284">
      <c r="A284" t="n">
        <v>5</v>
      </c>
      <c r="B284">
        <f>$B$59</f>
        <v/>
      </c>
      <c r="C284">
        <f>IF(OR($B284="",(N('My Rota'!$D$6)+4)&gt;53),"",""&amp;CHOOSE(IFERROR(MATCH('My Rota'!$D$5,Setup!$K$33:$K$36,0),1),INDEX('2027'!$A:$Z,(5+50*((N('My Rota'!$D$6)+4)-1))+2+13,3),INDEX('2028'!$A:$Z,(5+50*((N('My Rota'!$D$6)+4)-1))+2+13,3),INDEX('2029'!$A:$Z,(5+50*((N('My Rota'!$D$6)+4)-1))+2+13,3),INDEX('2030'!$A:$Z,(5+50*((N('My Rota'!$D$6)+4)-1))+2+13,3)))</f>
        <v/>
      </c>
      <c r="D284">
        <f>IF(OR($B284="",(N('My Rota'!$D$6)+4)&gt;53),"",""&amp;CHOOSE(IFERROR(MATCH('My Rota'!$D$5,Setup!$K$33:$K$36,0),1),INDEX('2027'!$A:$Z,(5+50*((N('My Rota'!$D$6)+4)-1))+2+13,4),INDEX('2028'!$A:$Z,(5+50*((N('My Rota'!$D$6)+4)-1))+2+13,4),INDEX('2029'!$A:$Z,(5+50*((N('My Rota'!$D$6)+4)-1))+2+13,4),INDEX('2030'!$A:$Z,(5+50*((N('My Rota'!$D$6)+4)-1))+2+13,4)))</f>
        <v/>
      </c>
      <c r="E284">
        <f>IF(OR($B284="",(N('My Rota'!$D$6)+4)&gt;53),"",""&amp;CHOOSE(IFERROR(MATCH('My Rota'!$D$5,Setup!$K$33:$K$36,0),1),INDEX('2027'!$A:$Z,(5+50*((N('My Rota'!$D$6)+4)-1))+2+13,5),INDEX('2028'!$A:$Z,(5+50*((N('My Rota'!$D$6)+4)-1))+2+13,5),INDEX('2029'!$A:$Z,(5+50*((N('My Rota'!$D$6)+4)-1))+2+13,5),INDEX('2030'!$A:$Z,(5+50*((N('My Rota'!$D$6)+4)-1))+2+13,5)))</f>
        <v/>
      </c>
      <c r="F284">
        <f>IF(OR($B284="",(N('My Rota'!$D$6)+4)&gt;53),"",""&amp;CHOOSE(IFERROR(MATCH('My Rota'!$D$5,Setup!$K$33:$K$36,0),1),INDEX('2027'!$A:$Z,(5+50*((N('My Rota'!$D$6)+4)-1))+2+13,6),INDEX('2028'!$A:$Z,(5+50*((N('My Rota'!$D$6)+4)-1))+2+13,6),INDEX('2029'!$A:$Z,(5+50*((N('My Rota'!$D$6)+4)-1))+2+13,6),INDEX('2030'!$A:$Z,(5+50*((N('My Rota'!$D$6)+4)-1))+2+13,6)))</f>
        <v/>
      </c>
      <c r="G284">
        <f>IF(OR($B284="",(N('My Rota'!$D$6)+4)&gt;53),"",""&amp;CHOOSE(IFERROR(MATCH('My Rota'!$D$5,Setup!$K$33:$K$36,0),1),INDEX('2027'!$A:$Z,(5+50*((N('My Rota'!$D$6)+4)-1))+2+13,7),INDEX('2028'!$A:$Z,(5+50*((N('My Rota'!$D$6)+4)-1))+2+13,7),INDEX('2029'!$A:$Z,(5+50*((N('My Rota'!$D$6)+4)-1))+2+13,7),INDEX('2030'!$A:$Z,(5+50*((N('My Rota'!$D$6)+4)-1))+2+13,7)))</f>
        <v/>
      </c>
      <c r="H284">
        <f>IF(OR($B284="",(N('My Rota'!$D$6)+4)&gt;53),"",""&amp;CHOOSE(IFERROR(MATCH('My Rota'!$D$5,Setup!$K$33:$K$36,0),1),INDEX('2027'!$A:$Z,(5+50*((N('My Rota'!$D$6)+4)-1))+2+13,8),INDEX('2028'!$A:$Z,(5+50*((N('My Rota'!$D$6)+4)-1))+2+13,8),INDEX('2029'!$A:$Z,(5+50*((N('My Rota'!$D$6)+4)-1))+2+13,8),INDEX('2030'!$A:$Z,(5+50*((N('My Rota'!$D$6)+4)-1))+2+13,8)))</f>
        <v/>
      </c>
      <c r="I284">
        <f>IF(OR($B284="",(N('My Rota'!$D$6)+4)&gt;53),"",""&amp;CHOOSE(IFERROR(MATCH('My Rota'!$D$5,Setup!$K$33:$K$36,0),1),INDEX('2027'!$A:$Z,(5+50*((N('My Rota'!$D$6)+4)-1))+2+13,9),INDEX('2028'!$A:$Z,(5+50*((N('My Rota'!$D$6)+4)-1))+2+13,9),INDEX('2029'!$A:$Z,(5+50*((N('My Rota'!$D$6)+4)-1))+2+13,9),INDEX('2030'!$A:$Z,(5+50*((N('My Rota'!$D$6)+4)-1))+2+13,9)))</f>
        <v/>
      </c>
      <c r="J284">
        <f>IF(OR($B284="",(N('My Rota'!$D$6)+4)&gt;53),"",""&amp;CHOOSE(IFERROR(MATCH('My Rota'!$D$5,Setup!$K$33:$K$36,0),1),INDEX('2027'!$A:$Z,(5+50*((N('My Rota'!$D$6)+4)-1))+2+13,10),INDEX('2028'!$A:$Z,(5+50*((N('My Rota'!$D$6)+4)-1))+2+13,10),INDEX('2029'!$A:$Z,(5+50*((N('My Rota'!$D$6)+4)-1))+2+13,10),INDEX('2030'!$A:$Z,(5+50*((N('My Rota'!$D$6)+4)-1))+2+13,10)))</f>
        <v/>
      </c>
      <c r="K284">
        <f>IF(OR($B284="",(N('My Rota'!$D$6)+4)&gt;53),"",""&amp;CHOOSE(IFERROR(MATCH('My Rota'!$D$5,Setup!$K$33:$K$36,0),1),INDEX('2027'!$A:$Z,(5+50*((N('My Rota'!$D$6)+4)-1))+2+13,11),INDEX('2028'!$A:$Z,(5+50*((N('My Rota'!$D$6)+4)-1))+2+13,11),INDEX('2029'!$A:$Z,(5+50*((N('My Rota'!$D$6)+4)-1))+2+13,11),INDEX('2030'!$A:$Z,(5+50*((N('My Rota'!$D$6)+4)-1))+2+13,11)))</f>
        <v/>
      </c>
      <c r="L284">
        <f>IF(OR($B284="",(N('My Rota'!$D$6)+4)&gt;53),"",""&amp;CHOOSE(IFERROR(MATCH('My Rota'!$D$5,Setup!$K$33:$K$36,0),1),INDEX('2027'!$A:$Z,(5+50*((N('My Rota'!$D$6)+4)-1))+2+13,12),INDEX('2028'!$A:$Z,(5+50*((N('My Rota'!$D$6)+4)-1))+2+13,12),INDEX('2029'!$A:$Z,(5+50*((N('My Rota'!$D$6)+4)-1))+2+13,12),INDEX('2030'!$A:$Z,(5+50*((N('My Rota'!$D$6)+4)-1))+2+13,12)))</f>
        <v/>
      </c>
      <c r="M284">
        <f>IF(OR($B284="",(N('My Rota'!$D$6)+4)&gt;53),"",""&amp;CHOOSE(IFERROR(MATCH('My Rota'!$D$5,Setup!$K$33:$K$36,0),1),INDEX('2027'!$A:$Z,(5+50*((N('My Rota'!$D$6)+4)-1))+2+13,13),INDEX('2028'!$A:$Z,(5+50*((N('My Rota'!$D$6)+4)-1))+2+13,13),INDEX('2029'!$A:$Z,(5+50*((N('My Rota'!$D$6)+4)-1))+2+13,13),INDEX('2030'!$A:$Z,(5+50*((N('My Rota'!$D$6)+4)-1))+2+13,13)))</f>
        <v/>
      </c>
      <c r="N284">
        <f>IF(OR($B284="",(N('My Rota'!$D$6)+4)&gt;53),"",""&amp;CHOOSE(IFERROR(MATCH('My Rota'!$D$5,Setup!$K$33:$K$36,0),1),INDEX('2027'!$A:$Z,(5+50*((N('My Rota'!$D$6)+4)-1))+2+13,14),INDEX('2028'!$A:$Z,(5+50*((N('My Rota'!$D$6)+4)-1))+2+13,14),INDEX('2029'!$A:$Z,(5+50*((N('My Rota'!$D$6)+4)-1))+2+13,14),INDEX('2030'!$A:$Z,(5+50*((N('My Rota'!$D$6)+4)-1))+2+13,14)))</f>
        <v/>
      </c>
      <c r="O284">
        <f>IF(OR($B284="",(N('My Rota'!$D$6)+4)&gt;53),"",""&amp;CHOOSE(IFERROR(MATCH('My Rota'!$D$5,Setup!$K$33:$K$36,0),1),INDEX('2027'!$A:$Z,(5+50*((N('My Rota'!$D$6)+4)-1))+2+13,15),INDEX('2028'!$A:$Z,(5+50*((N('My Rota'!$D$6)+4)-1))+2+13,15),INDEX('2029'!$A:$Z,(5+50*((N('My Rota'!$D$6)+4)-1))+2+13,15),INDEX('2030'!$A:$Z,(5+50*((N('My Rota'!$D$6)+4)-1))+2+13,15)))</f>
        <v/>
      </c>
      <c r="P284">
        <f>IF(OR($B284="",(N('My Rota'!$D$6)+4)&gt;53),"",""&amp;CHOOSE(IFERROR(MATCH('My Rota'!$D$5,Setup!$K$33:$K$36,0),1),INDEX('2027'!$A:$Z,(5+50*((N('My Rota'!$D$6)+4)-1))+2+13,16),INDEX('2028'!$A:$Z,(5+50*((N('My Rota'!$D$6)+4)-1))+2+13,16),INDEX('2029'!$A:$Z,(5+50*((N('My Rota'!$D$6)+4)-1))+2+13,16),INDEX('2030'!$A:$Z,(5+50*((N('My Rota'!$D$6)+4)-1))+2+13,16)))</f>
        <v/>
      </c>
      <c r="Q284">
        <f>IF(OR($B284="",(N('My Rota'!$D$6)+4)&gt;53),"",""&amp;CHOOSE(IFERROR(MATCH('My Rota'!$D$5,Setup!$K$33:$K$36,0),1),INDEX('2027'!$A:$Z,(5+50*((N('My Rota'!$D$6)+4)-1))+2+13,17),INDEX('2028'!$A:$Z,(5+50*((N('My Rota'!$D$6)+4)-1))+2+13,17),INDEX('2029'!$A:$Z,(5+50*((N('My Rota'!$D$6)+4)-1))+2+13,17),INDEX('2030'!$A:$Z,(5+50*((N('My Rota'!$D$6)+4)-1))+2+13,17)))</f>
        <v/>
      </c>
      <c r="R284">
        <f>IF(OR($B284="",(N('My Rota'!$D$6)+4)&gt;53),"",""&amp;CHOOSE(IFERROR(MATCH('My Rota'!$D$5,Setup!$K$33:$K$36,0),1),INDEX('2027'!$A:$Z,(5+50*((N('My Rota'!$D$6)+4)-1))+2+13,18),INDEX('2028'!$A:$Z,(5+50*((N('My Rota'!$D$6)+4)-1))+2+13,18),INDEX('2029'!$A:$Z,(5+50*((N('My Rota'!$D$6)+4)-1))+2+13,18),INDEX('2030'!$A:$Z,(5+50*((N('My Rota'!$D$6)+4)-1))+2+13,18)))</f>
        <v/>
      </c>
      <c r="S284">
        <f>IF(OR($B284="",(N('My Rota'!$D$6)+4)&gt;53),"",""&amp;CHOOSE(IFERROR(MATCH('My Rota'!$D$5,Setup!$K$33:$K$36,0),1),INDEX('2027'!$A:$Z,(5+50*((N('My Rota'!$D$6)+4)-1))+2+13,19),INDEX('2028'!$A:$Z,(5+50*((N('My Rota'!$D$6)+4)-1))+2+13,19),INDEX('2029'!$A:$Z,(5+50*((N('My Rota'!$D$6)+4)-1))+2+13,19),INDEX('2030'!$A:$Z,(5+50*((N('My Rota'!$D$6)+4)-1))+2+13,19)))</f>
        <v/>
      </c>
      <c r="T284">
        <f>IF(OR($B284="",(N('My Rota'!$D$6)+4)&gt;53),"",""&amp;CHOOSE(IFERROR(MATCH('My Rota'!$D$5,Setup!$K$33:$K$36,0),1),INDEX('2027'!$A:$Z,(5+50*((N('My Rota'!$D$6)+4)-1))+2+13,20),INDEX('2028'!$A:$Z,(5+50*((N('My Rota'!$D$6)+4)-1))+2+13,20),INDEX('2029'!$A:$Z,(5+50*((N('My Rota'!$D$6)+4)-1))+2+13,20),INDEX('2030'!$A:$Z,(5+50*((N('My Rota'!$D$6)+4)-1))+2+13,20)))</f>
        <v/>
      </c>
      <c r="U284">
        <f>IF(OR($B284="",(N('My Rota'!$D$6)+4)&gt;53),"",""&amp;CHOOSE(IFERROR(MATCH('My Rota'!$D$5,Setup!$K$33:$K$36,0),1),INDEX('2027'!$A:$Z,(5+50*((N('My Rota'!$D$6)+4)-1))+2+13,21),INDEX('2028'!$A:$Z,(5+50*((N('My Rota'!$D$6)+4)-1))+2+13,21),INDEX('2029'!$A:$Z,(5+50*((N('My Rota'!$D$6)+4)-1))+2+13,21),INDEX('2030'!$A:$Z,(5+50*((N('My Rota'!$D$6)+4)-1))+2+13,21)))</f>
        <v/>
      </c>
      <c r="V284">
        <f>IF(OR($B284="",(N('My Rota'!$D$6)+4)&gt;53),"",""&amp;CHOOSE(IFERROR(MATCH('My Rota'!$D$5,Setup!$K$33:$K$36,0),1),INDEX('2027'!$A:$Z,(5+50*((N('My Rota'!$D$6)+4)-1))+2+13,22),INDEX('2028'!$A:$Z,(5+50*((N('My Rota'!$D$6)+4)-1))+2+13,22),INDEX('2029'!$A:$Z,(5+50*((N('My Rota'!$D$6)+4)-1))+2+13,22),INDEX('2030'!$A:$Z,(5+50*((N('My Rota'!$D$6)+4)-1))+2+13,22)))</f>
        <v/>
      </c>
      <c r="W284">
        <f>IF(OR($B284="",(N('My Rota'!$D$6)+4)&gt;53),"",""&amp;CHOOSE(IFERROR(MATCH('My Rota'!$D$5,Setup!$K$33:$K$36,0),1),INDEX('2027'!$A:$Z,(5+50*((N('My Rota'!$D$6)+4)-1))+2+13,23),INDEX('2028'!$A:$Z,(5+50*((N('My Rota'!$D$6)+4)-1))+2+13,23),INDEX('2029'!$A:$Z,(5+50*((N('My Rota'!$D$6)+4)-1))+2+13,23),INDEX('2030'!$A:$Z,(5+50*((N('My Rota'!$D$6)+4)-1))+2+13,23)))</f>
        <v/>
      </c>
      <c r="X284">
        <f>IF(OR($B284="",(N('My Rota'!$D$6)+4)&gt;53),"",""&amp;CHOOSE(IFERROR(MATCH('My Rota'!$D$5,Setup!$K$33:$K$36,0),1),INDEX('2027'!$A:$Z,(5+50*((N('My Rota'!$D$6)+4)-1))+2+13,24),INDEX('2028'!$A:$Z,(5+50*((N('My Rota'!$D$6)+4)-1))+2+13,24),INDEX('2029'!$A:$Z,(5+50*((N('My Rota'!$D$6)+4)-1))+2+13,24),INDEX('2030'!$A:$Z,(5+50*((N('My Rota'!$D$6)+4)-1))+2+13,24)))</f>
        <v/>
      </c>
      <c r="Y284">
        <f>IF(OR($B284="",(N('My Rota'!$D$6)+4)&gt;53),"",""&amp;CHOOSE(IFERROR(MATCH('My Rota'!$D$5,Setup!$K$33:$K$36,0),1),INDEX('2027'!$A:$Z,(5+50*((N('My Rota'!$D$6)+4)-1))+2+13,25),INDEX('2028'!$A:$Z,(5+50*((N('My Rota'!$D$6)+4)-1))+2+13,25),INDEX('2029'!$A:$Z,(5+50*((N('My Rota'!$D$6)+4)-1))+2+13,25),INDEX('2030'!$A:$Z,(5+50*((N('My Rota'!$D$6)+4)-1))+2+13,25)))</f>
        <v/>
      </c>
      <c r="Z284">
        <f>IF(OR($B284="",(N('My Rota'!$D$6)+4)&gt;53),"",""&amp;CHOOSE(IFERROR(MATCH('My Rota'!$D$5,Setup!$K$33:$K$36,0),1),INDEX('2027'!$A:$Z,(5+50*((N('My Rota'!$D$6)+4)-1))+2+13,26),INDEX('2028'!$A:$Z,(5+50*((N('My Rota'!$D$6)+4)-1))+2+13,26),INDEX('2029'!$A:$Z,(5+50*((N('My Rota'!$D$6)+4)-1))+2+13,26),INDEX('2030'!$A:$Z,(5+50*((N('My Rota'!$D$6)+4)-1))+2+13,26)))</f>
        <v/>
      </c>
    </row>
    <row r="285">
      <c r="A285" t="n">
        <v>5</v>
      </c>
      <c r="B285">
        <f>$B$60</f>
        <v/>
      </c>
      <c r="C285">
        <f>IF(OR($B285="",(N('My Rota'!$D$6)+4)&gt;53),"",""&amp;CHOOSE(IFERROR(MATCH('My Rota'!$D$5,Setup!$K$33:$K$36,0),1),INDEX('2027'!$A:$Z,(5+50*((N('My Rota'!$D$6)+4)-1))+2+14,3),INDEX('2028'!$A:$Z,(5+50*((N('My Rota'!$D$6)+4)-1))+2+14,3),INDEX('2029'!$A:$Z,(5+50*((N('My Rota'!$D$6)+4)-1))+2+14,3),INDEX('2030'!$A:$Z,(5+50*((N('My Rota'!$D$6)+4)-1))+2+14,3)))</f>
        <v/>
      </c>
      <c r="D285">
        <f>IF(OR($B285="",(N('My Rota'!$D$6)+4)&gt;53),"",""&amp;CHOOSE(IFERROR(MATCH('My Rota'!$D$5,Setup!$K$33:$K$36,0),1),INDEX('2027'!$A:$Z,(5+50*((N('My Rota'!$D$6)+4)-1))+2+14,4),INDEX('2028'!$A:$Z,(5+50*((N('My Rota'!$D$6)+4)-1))+2+14,4),INDEX('2029'!$A:$Z,(5+50*((N('My Rota'!$D$6)+4)-1))+2+14,4),INDEX('2030'!$A:$Z,(5+50*((N('My Rota'!$D$6)+4)-1))+2+14,4)))</f>
        <v/>
      </c>
      <c r="E285">
        <f>IF(OR($B285="",(N('My Rota'!$D$6)+4)&gt;53),"",""&amp;CHOOSE(IFERROR(MATCH('My Rota'!$D$5,Setup!$K$33:$K$36,0),1),INDEX('2027'!$A:$Z,(5+50*((N('My Rota'!$D$6)+4)-1))+2+14,5),INDEX('2028'!$A:$Z,(5+50*((N('My Rota'!$D$6)+4)-1))+2+14,5),INDEX('2029'!$A:$Z,(5+50*((N('My Rota'!$D$6)+4)-1))+2+14,5),INDEX('2030'!$A:$Z,(5+50*((N('My Rota'!$D$6)+4)-1))+2+14,5)))</f>
        <v/>
      </c>
      <c r="F285">
        <f>IF(OR($B285="",(N('My Rota'!$D$6)+4)&gt;53),"",""&amp;CHOOSE(IFERROR(MATCH('My Rota'!$D$5,Setup!$K$33:$K$36,0),1),INDEX('2027'!$A:$Z,(5+50*((N('My Rota'!$D$6)+4)-1))+2+14,6),INDEX('2028'!$A:$Z,(5+50*((N('My Rota'!$D$6)+4)-1))+2+14,6),INDEX('2029'!$A:$Z,(5+50*((N('My Rota'!$D$6)+4)-1))+2+14,6),INDEX('2030'!$A:$Z,(5+50*((N('My Rota'!$D$6)+4)-1))+2+14,6)))</f>
        <v/>
      </c>
      <c r="G285">
        <f>IF(OR($B285="",(N('My Rota'!$D$6)+4)&gt;53),"",""&amp;CHOOSE(IFERROR(MATCH('My Rota'!$D$5,Setup!$K$33:$K$36,0),1),INDEX('2027'!$A:$Z,(5+50*((N('My Rota'!$D$6)+4)-1))+2+14,7),INDEX('2028'!$A:$Z,(5+50*((N('My Rota'!$D$6)+4)-1))+2+14,7),INDEX('2029'!$A:$Z,(5+50*((N('My Rota'!$D$6)+4)-1))+2+14,7),INDEX('2030'!$A:$Z,(5+50*((N('My Rota'!$D$6)+4)-1))+2+14,7)))</f>
        <v/>
      </c>
      <c r="H285">
        <f>IF(OR($B285="",(N('My Rota'!$D$6)+4)&gt;53),"",""&amp;CHOOSE(IFERROR(MATCH('My Rota'!$D$5,Setup!$K$33:$K$36,0),1),INDEX('2027'!$A:$Z,(5+50*((N('My Rota'!$D$6)+4)-1))+2+14,8),INDEX('2028'!$A:$Z,(5+50*((N('My Rota'!$D$6)+4)-1))+2+14,8),INDEX('2029'!$A:$Z,(5+50*((N('My Rota'!$D$6)+4)-1))+2+14,8),INDEX('2030'!$A:$Z,(5+50*((N('My Rota'!$D$6)+4)-1))+2+14,8)))</f>
        <v/>
      </c>
      <c r="I285">
        <f>IF(OR($B285="",(N('My Rota'!$D$6)+4)&gt;53),"",""&amp;CHOOSE(IFERROR(MATCH('My Rota'!$D$5,Setup!$K$33:$K$36,0),1),INDEX('2027'!$A:$Z,(5+50*((N('My Rota'!$D$6)+4)-1))+2+14,9),INDEX('2028'!$A:$Z,(5+50*((N('My Rota'!$D$6)+4)-1))+2+14,9),INDEX('2029'!$A:$Z,(5+50*((N('My Rota'!$D$6)+4)-1))+2+14,9),INDEX('2030'!$A:$Z,(5+50*((N('My Rota'!$D$6)+4)-1))+2+14,9)))</f>
        <v/>
      </c>
      <c r="J285">
        <f>IF(OR($B285="",(N('My Rota'!$D$6)+4)&gt;53),"",""&amp;CHOOSE(IFERROR(MATCH('My Rota'!$D$5,Setup!$K$33:$K$36,0),1),INDEX('2027'!$A:$Z,(5+50*((N('My Rota'!$D$6)+4)-1))+2+14,10),INDEX('2028'!$A:$Z,(5+50*((N('My Rota'!$D$6)+4)-1))+2+14,10),INDEX('2029'!$A:$Z,(5+50*((N('My Rota'!$D$6)+4)-1))+2+14,10),INDEX('2030'!$A:$Z,(5+50*((N('My Rota'!$D$6)+4)-1))+2+14,10)))</f>
        <v/>
      </c>
      <c r="K285">
        <f>IF(OR($B285="",(N('My Rota'!$D$6)+4)&gt;53),"",""&amp;CHOOSE(IFERROR(MATCH('My Rota'!$D$5,Setup!$K$33:$K$36,0),1),INDEX('2027'!$A:$Z,(5+50*((N('My Rota'!$D$6)+4)-1))+2+14,11),INDEX('2028'!$A:$Z,(5+50*((N('My Rota'!$D$6)+4)-1))+2+14,11),INDEX('2029'!$A:$Z,(5+50*((N('My Rota'!$D$6)+4)-1))+2+14,11),INDEX('2030'!$A:$Z,(5+50*((N('My Rota'!$D$6)+4)-1))+2+14,11)))</f>
        <v/>
      </c>
      <c r="L285">
        <f>IF(OR($B285="",(N('My Rota'!$D$6)+4)&gt;53),"",""&amp;CHOOSE(IFERROR(MATCH('My Rota'!$D$5,Setup!$K$33:$K$36,0),1),INDEX('2027'!$A:$Z,(5+50*((N('My Rota'!$D$6)+4)-1))+2+14,12),INDEX('2028'!$A:$Z,(5+50*((N('My Rota'!$D$6)+4)-1))+2+14,12),INDEX('2029'!$A:$Z,(5+50*((N('My Rota'!$D$6)+4)-1))+2+14,12),INDEX('2030'!$A:$Z,(5+50*((N('My Rota'!$D$6)+4)-1))+2+14,12)))</f>
        <v/>
      </c>
      <c r="M285">
        <f>IF(OR($B285="",(N('My Rota'!$D$6)+4)&gt;53),"",""&amp;CHOOSE(IFERROR(MATCH('My Rota'!$D$5,Setup!$K$33:$K$36,0),1),INDEX('2027'!$A:$Z,(5+50*((N('My Rota'!$D$6)+4)-1))+2+14,13),INDEX('2028'!$A:$Z,(5+50*((N('My Rota'!$D$6)+4)-1))+2+14,13),INDEX('2029'!$A:$Z,(5+50*((N('My Rota'!$D$6)+4)-1))+2+14,13),INDEX('2030'!$A:$Z,(5+50*((N('My Rota'!$D$6)+4)-1))+2+14,13)))</f>
        <v/>
      </c>
      <c r="N285">
        <f>IF(OR($B285="",(N('My Rota'!$D$6)+4)&gt;53),"",""&amp;CHOOSE(IFERROR(MATCH('My Rota'!$D$5,Setup!$K$33:$K$36,0),1),INDEX('2027'!$A:$Z,(5+50*((N('My Rota'!$D$6)+4)-1))+2+14,14),INDEX('2028'!$A:$Z,(5+50*((N('My Rota'!$D$6)+4)-1))+2+14,14),INDEX('2029'!$A:$Z,(5+50*((N('My Rota'!$D$6)+4)-1))+2+14,14),INDEX('2030'!$A:$Z,(5+50*((N('My Rota'!$D$6)+4)-1))+2+14,14)))</f>
        <v/>
      </c>
      <c r="O285">
        <f>IF(OR($B285="",(N('My Rota'!$D$6)+4)&gt;53),"",""&amp;CHOOSE(IFERROR(MATCH('My Rota'!$D$5,Setup!$K$33:$K$36,0),1),INDEX('2027'!$A:$Z,(5+50*((N('My Rota'!$D$6)+4)-1))+2+14,15),INDEX('2028'!$A:$Z,(5+50*((N('My Rota'!$D$6)+4)-1))+2+14,15),INDEX('2029'!$A:$Z,(5+50*((N('My Rota'!$D$6)+4)-1))+2+14,15),INDEX('2030'!$A:$Z,(5+50*((N('My Rota'!$D$6)+4)-1))+2+14,15)))</f>
        <v/>
      </c>
      <c r="P285">
        <f>IF(OR($B285="",(N('My Rota'!$D$6)+4)&gt;53),"",""&amp;CHOOSE(IFERROR(MATCH('My Rota'!$D$5,Setup!$K$33:$K$36,0),1),INDEX('2027'!$A:$Z,(5+50*((N('My Rota'!$D$6)+4)-1))+2+14,16),INDEX('2028'!$A:$Z,(5+50*((N('My Rota'!$D$6)+4)-1))+2+14,16),INDEX('2029'!$A:$Z,(5+50*((N('My Rota'!$D$6)+4)-1))+2+14,16),INDEX('2030'!$A:$Z,(5+50*((N('My Rota'!$D$6)+4)-1))+2+14,16)))</f>
        <v/>
      </c>
      <c r="Q285">
        <f>IF(OR($B285="",(N('My Rota'!$D$6)+4)&gt;53),"",""&amp;CHOOSE(IFERROR(MATCH('My Rota'!$D$5,Setup!$K$33:$K$36,0),1),INDEX('2027'!$A:$Z,(5+50*((N('My Rota'!$D$6)+4)-1))+2+14,17),INDEX('2028'!$A:$Z,(5+50*((N('My Rota'!$D$6)+4)-1))+2+14,17),INDEX('2029'!$A:$Z,(5+50*((N('My Rota'!$D$6)+4)-1))+2+14,17),INDEX('2030'!$A:$Z,(5+50*((N('My Rota'!$D$6)+4)-1))+2+14,17)))</f>
        <v/>
      </c>
      <c r="R285">
        <f>IF(OR($B285="",(N('My Rota'!$D$6)+4)&gt;53),"",""&amp;CHOOSE(IFERROR(MATCH('My Rota'!$D$5,Setup!$K$33:$K$36,0),1),INDEX('2027'!$A:$Z,(5+50*((N('My Rota'!$D$6)+4)-1))+2+14,18),INDEX('2028'!$A:$Z,(5+50*((N('My Rota'!$D$6)+4)-1))+2+14,18),INDEX('2029'!$A:$Z,(5+50*((N('My Rota'!$D$6)+4)-1))+2+14,18),INDEX('2030'!$A:$Z,(5+50*((N('My Rota'!$D$6)+4)-1))+2+14,18)))</f>
        <v/>
      </c>
      <c r="S285">
        <f>IF(OR($B285="",(N('My Rota'!$D$6)+4)&gt;53),"",""&amp;CHOOSE(IFERROR(MATCH('My Rota'!$D$5,Setup!$K$33:$K$36,0),1),INDEX('2027'!$A:$Z,(5+50*((N('My Rota'!$D$6)+4)-1))+2+14,19),INDEX('2028'!$A:$Z,(5+50*((N('My Rota'!$D$6)+4)-1))+2+14,19),INDEX('2029'!$A:$Z,(5+50*((N('My Rota'!$D$6)+4)-1))+2+14,19),INDEX('2030'!$A:$Z,(5+50*((N('My Rota'!$D$6)+4)-1))+2+14,19)))</f>
        <v/>
      </c>
      <c r="T285">
        <f>IF(OR($B285="",(N('My Rota'!$D$6)+4)&gt;53),"",""&amp;CHOOSE(IFERROR(MATCH('My Rota'!$D$5,Setup!$K$33:$K$36,0),1),INDEX('2027'!$A:$Z,(5+50*((N('My Rota'!$D$6)+4)-1))+2+14,20),INDEX('2028'!$A:$Z,(5+50*((N('My Rota'!$D$6)+4)-1))+2+14,20),INDEX('2029'!$A:$Z,(5+50*((N('My Rota'!$D$6)+4)-1))+2+14,20),INDEX('2030'!$A:$Z,(5+50*((N('My Rota'!$D$6)+4)-1))+2+14,20)))</f>
        <v/>
      </c>
      <c r="U285">
        <f>IF(OR($B285="",(N('My Rota'!$D$6)+4)&gt;53),"",""&amp;CHOOSE(IFERROR(MATCH('My Rota'!$D$5,Setup!$K$33:$K$36,0),1),INDEX('2027'!$A:$Z,(5+50*((N('My Rota'!$D$6)+4)-1))+2+14,21),INDEX('2028'!$A:$Z,(5+50*((N('My Rota'!$D$6)+4)-1))+2+14,21),INDEX('2029'!$A:$Z,(5+50*((N('My Rota'!$D$6)+4)-1))+2+14,21),INDEX('2030'!$A:$Z,(5+50*((N('My Rota'!$D$6)+4)-1))+2+14,21)))</f>
        <v/>
      </c>
      <c r="V285">
        <f>IF(OR($B285="",(N('My Rota'!$D$6)+4)&gt;53),"",""&amp;CHOOSE(IFERROR(MATCH('My Rota'!$D$5,Setup!$K$33:$K$36,0),1),INDEX('2027'!$A:$Z,(5+50*((N('My Rota'!$D$6)+4)-1))+2+14,22),INDEX('2028'!$A:$Z,(5+50*((N('My Rota'!$D$6)+4)-1))+2+14,22),INDEX('2029'!$A:$Z,(5+50*((N('My Rota'!$D$6)+4)-1))+2+14,22),INDEX('2030'!$A:$Z,(5+50*((N('My Rota'!$D$6)+4)-1))+2+14,22)))</f>
        <v/>
      </c>
      <c r="W285">
        <f>IF(OR($B285="",(N('My Rota'!$D$6)+4)&gt;53),"",""&amp;CHOOSE(IFERROR(MATCH('My Rota'!$D$5,Setup!$K$33:$K$36,0),1),INDEX('2027'!$A:$Z,(5+50*((N('My Rota'!$D$6)+4)-1))+2+14,23),INDEX('2028'!$A:$Z,(5+50*((N('My Rota'!$D$6)+4)-1))+2+14,23),INDEX('2029'!$A:$Z,(5+50*((N('My Rota'!$D$6)+4)-1))+2+14,23),INDEX('2030'!$A:$Z,(5+50*((N('My Rota'!$D$6)+4)-1))+2+14,23)))</f>
        <v/>
      </c>
      <c r="X285">
        <f>IF(OR($B285="",(N('My Rota'!$D$6)+4)&gt;53),"",""&amp;CHOOSE(IFERROR(MATCH('My Rota'!$D$5,Setup!$K$33:$K$36,0),1),INDEX('2027'!$A:$Z,(5+50*((N('My Rota'!$D$6)+4)-1))+2+14,24),INDEX('2028'!$A:$Z,(5+50*((N('My Rota'!$D$6)+4)-1))+2+14,24),INDEX('2029'!$A:$Z,(5+50*((N('My Rota'!$D$6)+4)-1))+2+14,24),INDEX('2030'!$A:$Z,(5+50*((N('My Rota'!$D$6)+4)-1))+2+14,24)))</f>
        <v/>
      </c>
      <c r="Y285">
        <f>IF(OR($B285="",(N('My Rota'!$D$6)+4)&gt;53),"",""&amp;CHOOSE(IFERROR(MATCH('My Rota'!$D$5,Setup!$K$33:$K$36,0),1),INDEX('2027'!$A:$Z,(5+50*((N('My Rota'!$D$6)+4)-1))+2+14,25),INDEX('2028'!$A:$Z,(5+50*((N('My Rota'!$D$6)+4)-1))+2+14,25),INDEX('2029'!$A:$Z,(5+50*((N('My Rota'!$D$6)+4)-1))+2+14,25),INDEX('2030'!$A:$Z,(5+50*((N('My Rota'!$D$6)+4)-1))+2+14,25)))</f>
        <v/>
      </c>
      <c r="Z285">
        <f>IF(OR($B285="",(N('My Rota'!$D$6)+4)&gt;53),"",""&amp;CHOOSE(IFERROR(MATCH('My Rota'!$D$5,Setup!$K$33:$K$36,0),1),INDEX('2027'!$A:$Z,(5+50*((N('My Rota'!$D$6)+4)-1))+2+14,26),INDEX('2028'!$A:$Z,(5+50*((N('My Rota'!$D$6)+4)-1))+2+14,26),INDEX('2029'!$A:$Z,(5+50*((N('My Rota'!$D$6)+4)-1))+2+14,26),INDEX('2030'!$A:$Z,(5+50*((N('My Rota'!$D$6)+4)-1))+2+14,26)))</f>
        <v/>
      </c>
    </row>
    <row r="286">
      <c r="A286" t="n">
        <v>5</v>
      </c>
      <c r="B286">
        <f>$B$61</f>
        <v/>
      </c>
      <c r="C286">
        <f>IF(OR($B286="",(N('My Rota'!$D$6)+4)&gt;53),"",""&amp;CHOOSE(IFERROR(MATCH('My Rota'!$D$5,Setup!$K$33:$K$36,0),1),INDEX('2027'!$A:$Z,(5+50*((N('My Rota'!$D$6)+4)-1))+2+15,3),INDEX('2028'!$A:$Z,(5+50*((N('My Rota'!$D$6)+4)-1))+2+15,3),INDEX('2029'!$A:$Z,(5+50*((N('My Rota'!$D$6)+4)-1))+2+15,3),INDEX('2030'!$A:$Z,(5+50*((N('My Rota'!$D$6)+4)-1))+2+15,3)))</f>
        <v/>
      </c>
      <c r="D286">
        <f>IF(OR($B286="",(N('My Rota'!$D$6)+4)&gt;53),"",""&amp;CHOOSE(IFERROR(MATCH('My Rota'!$D$5,Setup!$K$33:$K$36,0),1),INDEX('2027'!$A:$Z,(5+50*((N('My Rota'!$D$6)+4)-1))+2+15,4),INDEX('2028'!$A:$Z,(5+50*((N('My Rota'!$D$6)+4)-1))+2+15,4),INDEX('2029'!$A:$Z,(5+50*((N('My Rota'!$D$6)+4)-1))+2+15,4),INDEX('2030'!$A:$Z,(5+50*((N('My Rota'!$D$6)+4)-1))+2+15,4)))</f>
        <v/>
      </c>
      <c r="E286">
        <f>IF(OR($B286="",(N('My Rota'!$D$6)+4)&gt;53),"",""&amp;CHOOSE(IFERROR(MATCH('My Rota'!$D$5,Setup!$K$33:$K$36,0),1),INDEX('2027'!$A:$Z,(5+50*((N('My Rota'!$D$6)+4)-1))+2+15,5),INDEX('2028'!$A:$Z,(5+50*((N('My Rota'!$D$6)+4)-1))+2+15,5),INDEX('2029'!$A:$Z,(5+50*((N('My Rota'!$D$6)+4)-1))+2+15,5),INDEX('2030'!$A:$Z,(5+50*((N('My Rota'!$D$6)+4)-1))+2+15,5)))</f>
        <v/>
      </c>
      <c r="F286">
        <f>IF(OR($B286="",(N('My Rota'!$D$6)+4)&gt;53),"",""&amp;CHOOSE(IFERROR(MATCH('My Rota'!$D$5,Setup!$K$33:$K$36,0),1),INDEX('2027'!$A:$Z,(5+50*((N('My Rota'!$D$6)+4)-1))+2+15,6),INDEX('2028'!$A:$Z,(5+50*((N('My Rota'!$D$6)+4)-1))+2+15,6),INDEX('2029'!$A:$Z,(5+50*((N('My Rota'!$D$6)+4)-1))+2+15,6),INDEX('2030'!$A:$Z,(5+50*((N('My Rota'!$D$6)+4)-1))+2+15,6)))</f>
        <v/>
      </c>
      <c r="G286">
        <f>IF(OR($B286="",(N('My Rota'!$D$6)+4)&gt;53),"",""&amp;CHOOSE(IFERROR(MATCH('My Rota'!$D$5,Setup!$K$33:$K$36,0),1),INDEX('2027'!$A:$Z,(5+50*((N('My Rota'!$D$6)+4)-1))+2+15,7),INDEX('2028'!$A:$Z,(5+50*((N('My Rota'!$D$6)+4)-1))+2+15,7),INDEX('2029'!$A:$Z,(5+50*((N('My Rota'!$D$6)+4)-1))+2+15,7),INDEX('2030'!$A:$Z,(5+50*((N('My Rota'!$D$6)+4)-1))+2+15,7)))</f>
        <v/>
      </c>
      <c r="H286">
        <f>IF(OR($B286="",(N('My Rota'!$D$6)+4)&gt;53),"",""&amp;CHOOSE(IFERROR(MATCH('My Rota'!$D$5,Setup!$K$33:$K$36,0),1),INDEX('2027'!$A:$Z,(5+50*((N('My Rota'!$D$6)+4)-1))+2+15,8),INDEX('2028'!$A:$Z,(5+50*((N('My Rota'!$D$6)+4)-1))+2+15,8),INDEX('2029'!$A:$Z,(5+50*((N('My Rota'!$D$6)+4)-1))+2+15,8),INDEX('2030'!$A:$Z,(5+50*((N('My Rota'!$D$6)+4)-1))+2+15,8)))</f>
        <v/>
      </c>
      <c r="I286">
        <f>IF(OR($B286="",(N('My Rota'!$D$6)+4)&gt;53),"",""&amp;CHOOSE(IFERROR(MATCH('My Rota'!$D$5,Setup!$K$33:$K$36,0),1),INDEX('2027'!$A:$Z,(5+50*((N('My Rota'!$D$6)+4)-1))+2+15,9),INDEX('2028'!$A:$Z,(5+50*((N('My Rota'!$D$6)+4)-1))+2+15,9),INDEX('2029'!$A:$Z,(5+50*((N('My Rota'!$D$6)+4)-1))+2+15,9),INDEX('2030'!$A:$Z,(5+50*((N('My Rota'!$D$6)+4)-1))+2+15,9)))</f>
        <v/>
      </c>
      <c r="J286">
        <f>IF(OR($B286="",(N('My Rota'!$D$6)+4)&gt;53),"",""&amp;CHOOSE(IFERROR(MATCH('My Rota'!$D$5,Setup!$K$33:$K$36,0),1),INDEX('2027'!$A:$Z,(5+50*((N('My Rota'!$D$6)+4)-1))+2+15,10),INDEX('2028'!$A:$Z,(5+50*((N('My Rota'!$D$6)+4)-1))+2+15,10),INDEX('2029'!$A:$Z,(5+50*((N('My Rota'!$D$6)+4)-1))+2+15,10),INDEX('2030'!$A:$Z,(5+50*((N('My Rota'!$D$6)+4)-1))+2+15,10)))</f>
        <v/>
      </c>
      <c r="K286">
        <f>IF(OR($B286="",(N('My Rota'!$D$6)+4)&gt;53),"",""&amp;CHOOSE(IFERROR(MATCH('My Rota'!$D$5,Setup!$K$33:$K$36,0),1),INDEX('2027'!$A:$Z,(5+50*((N('My Rota'!$D$6)+4)-1))+2+15,11),INDEX('2028'!$A:$Z,(5+50*((N('My Rota'!$D$6)+4)-1))+2+15,11),INDEX('2029'!$A:$Z,(5+50*((N('My Rota'!$D$6)+4)-1))+2+15,11),INDEX('2030'!$A:$Z,(5+50*((N('My Rota'!$D$6)+4)-1))+2+15,11)))</f>
        <v/>
      </c>
      <c r="L286">
        <f>IF(OR($B286="",(N('My Rota'!$D$6)+4)&gt;53),"",""&amp;CHOOSE(IFERROR(MATCH('My Rota'!$D$5,Setup!$K$33:$K$36,0),1),INDEX('2027'!$A:$Z,(5+50*((N('My Rota'!$D$6)+4)-1))+2+15,12),INDEX('2028'!$A:$Z,(5+50*((N('My Rota'!$D$6)+4)-1))+2+15,12),INDEX('2029'!$A:$Z,(5+50*((N('My Rota'!$D$6)+4)-1))+2+15,12),INDEX('2030'!$A:$Z,(5+50*((N('My Rota'!$D$6)+4)-1))+2+15,12)))</f>
        <v/>
      </c>
      <c r="M286">
        <f>IF(OR($B286="",(N('My Rota'!$D$6)+4)&gt;53),"",""&amp;CHOOSE(IFERROR(MATCH('My Rota'!$D$5,Setup!$K$33:$K$36,0),1),INDEX('2027'!$A:$Z,(5+50*((N('My Rota'!$D$6)+4)-1))+2+15,13),INDEX('2028'!$A:$Z,(5+50*((N('My Rota'!$D$6)+4)-1))+2+15,13),INDEX('2029'!$A:$Z,(5+50*((N('My Rota'!$D$6)+4)-1))+2+15,13),INDEX('2030'!$A:$Z,(5+50*((N('My Rota'!$D$6)+4)-1))+2+15,13)))</f>
        <v/>
      </c>
      <c r="N286">
        <f>IF(OR($B286="",(N('My Rota'!$D$6)+4)&gt;53),"",""&amp;CHOOSE(IFERROR(MATCH('My Rota'!$D$5,Setup!$K$33:$K$36,0),1),INDEX('2027'!$A:$Z,(5+50*((N('My Rota'!$D$6)+4)-1))+2+15,14),INDEX('2028'!$A:$Z,(5+50*((N('My Rota'!$D$6)+4)-1))+2+15,14),INDEX('2029'!$A:$Z,(5+50*((N('My Rota'!$D$6)+4)-1))+2+15,14),INDEX('2030'!$A:$Z,(5+50*((N('My Rota'!$D$6)+4)-1))+2+15,14)))</f>
        <v/>
      </c>
      <c r="O286">
        <f>IF(OR($B286="",(N('My Rota'!$D$6)+4)&gt;53),"",""&amp;CHOOSE(IFERROR(MATCH('My Rota'!$D$5,Setup!$K$33:$K$36,0),1),INDEX('2027'!$A:$Z,(5+50*((N('My Rota'!$D$6)+4)-1))+2+15,15),INDEX('2028'!$A:$Z,(5+50*((N('My Rota'!$D$6)+4)-1))+2+15,15),INDEX('2029'!$A:$Z,(5+50*((N('My Rota'!$D$6)+4)-1))+2+15,15),INDEX('2030'!$A:$Z,(5+50*((N('My Rota'!$D$6)+4)-1))+2+15,15)))</f>
        <v/>
      </c>
      <c r="P286">
        <f>IF(OR($B286="",(N('My Rota'!$D$6)+4)&gt;53),"",""&amp;CHOOSE(IFERROR(MATCH('My Rota'!$D$5,Setup!$K$33:$K$36,0),1),INDEX('2027'!$A:$Z,(5+50*((N('My Rota'!$D$6)+4)-1))+2+15,16),INDEX('2028'!$A:$Z,(5+50*((N('My Rota'!$D$6)+4)-1))+2+15,16),INDEX('2029'!$A:$Z,(5+50*((N('My Rota'!$D$6)+4)-1))+2+15,16),INDEX('2030'!$A:$Z,(5+50*((N('My Rota'!$D$6)+4)-1))+2+15,16)))</f>
        <v/>
      </c>
      <c r="Q286">
        <f>IF(OR($B286="",(N('My Rota'!$D$6)+4)&gt;53),"",""&amp;CHOOSE(IFERROR(MATCH('My Rota'!$D$5,Setup!$K$33:$K$36,0),1),INDEX('2027'!$A:$Z,(5+50*((N('My Rota'!$D$6)+4)-1))+2+15,17),INDEX('2028'!$A:$Z,(5+50*((N('My Rota'!$D$6)+4)-1))+2+15,17),INDEX('2029'!$A:$Z,(5+50*((N('My Rota'!$D$6)+4)-1))+2+15,17),INDEX('2030'!$A:$Z,(5+50*((N('My Rota'!$D$6)+4)-1))+2+15,17)))</f>
        <v/>
      </c>
      <c r="R286">
        <f>IF(OR($B286="",(N('My Rota'!$D$6)+4)&gt;53),"",""&amp;CHOOSE(IFERROR(MATCH('My Rota'!$D$5,Setup!$K$33:$K$36,0),1),INDEX('2027'!$A:$Z,(5+50*((N('My Rota'!$D$6)+4)-1))+2+15,18),INDEX('2028'!$A:$Z,(5+50*((N('My Rota'!$D$6)+4)-1))+2+15,18),INDEX('2029'!$A:$Z,(5+50*((N('My Rota'!$D$6)+4)-1))+2+15,18),INDEX('2030'!$A:$Z,(5+50*((N('My Rota'!$D$6)+4)-1))+2+15,18)))</f>
        <v/>
      </c>
      <c r="S286">
        <f>IF(OR($B286="",(N('My Rota'!$D$6)+4)&gt;53),"",""&amp;CHOOSE(IFERROR(MATCH('My Rota'!$D$5,Setup!$K$33:$K$36,0),1),INDEX('2027'!$A:$Z,(5+50*((N('My Rota'!$D$6)+4)-1))+2+15,19),INDEX('2028'!$A:$Z,(5+50*((N('My Rota'!$D$6)+4)-1))+2+15,19),INDEX('2029'!$A:$Z,(5+50*((N('My Rota'!$D$6)+4)-1))+2+15,19),INDEX('2030'!$A:$Z,(5+50*((N('My Rota'!$D$6)+4)-1))+2+15,19)))</f>
        <v/>
      </c>
      <c r="T286">
        <f>IF(OR($B286="",(N('My Rota'!$D$6)+4)&gt;53),"",""&amp;CHOOSE(IFERROR(MATCH('My Rota'!$D$5,Setup!$K$33:$K$36,0),1),INDEX('2027'!$A:$Z,(5+50*((N('My Rota'!$D$6)+4)-1))+2+15,20),INDEX('2028'!$A:$Z,(5+50*((N('My Rota'!$D$6)+4)-1))+2+15,20),INDEX('2029'!$A:$Z,(5+50*((N('My Rota'!$D$6)+4)-1))+2+15,20),INDEX('2030'!$A:$Z,(5+50*((N('My Rota'!$D$6)+4)-1))+2+15,20)))</f>
        <v/>
      </c>
      <c r="U286">
        <f>IF(OR($B286="",(N('My Rota'!$D$6)+4)&gt;53),"",""&amp;CHOOSE(IFERROR(MATCH('My Rota'!$D$5,Setup!$K$33:$K$36,0),1),INDEX('2027'!$A:$Z,(5+50*((N('My Rota'!$D$6)+4)-1))+2+15,21),INDEX('2028'!$A:$Z,(5+50*((N('My Rota'!$D$6)+4)-1))+2+15,21),INDEX('2029'!$A:$Z,(5+50*((N('My Rota'!$D$6)+4)-1))+2+15,21),INDEX('2030'!$A:$Z,(5+50*((N('My Rota'!$D$6)+4)-1))+2+15,21)))</f>
        <v/>
      </c>
      <c r="V286">
        <f>IF(OR($B286="",(N('My Rota'!$D$6)+4)&gt;53),"",""&amp;CHOOSE(IFERROR(MATCH('My Rota'!$D$5,Setup!$K$33:$K$36,0),1),INDEX('2027'!$A:$Z,(5+50*((N('My Rota'!$D$6)+4)-1))+2+15,22),INDEX('2028'!$A:$Z,(5+50*((N('My Rota'!$D$6)+4)-1))+2+15,22),INDEX('2029'!$A:$Z,(5+50*((N('My Rota'!$D$6)+4)-1))+2+15,22),INDEX('2030'!$A:$Z,(5+50*((N('My Rota'!$D$6)+4)-1))+2+15,22)))</f>
        <v/>
      </c>
      <c r="W286">
        <f>IF(OR($B286="",(N('My Rota'!$D$6)+4)&gt;53),"",""&amp;CHOOSE(IFERROR(MATCH('My Rota'!$D$5,Setup!$K$33:$K$36,0),1),INDEX('2027'!$A:$Z,(5+50*((N('My Rota'!$D$6)+4)-1))+2+15,23),INDEX('2028'!$A:$Z,(5+50*((N('My Rota'!$D$6)+4)-1))+2+15,23),INDEX('2029'!$A:$Z,(5+50*((N('My Rota'!$D$6)+4)-1))+2+15,23),INDEX('2030'!$A:$Z,(5+50*((N('My Rota'!$D$6)+4)-1))+2+15,23)))</f>
        <v/>
      </c>
      <c r="X286">
        <f>IF(OR($B286="",(N('My Rota'!$D$6)+4)&gt;53),"",""&amp;CHOOSE(IFERROR(MATCH('My Rota'!$D$5,Setup!$K$33:$K$36,0),1),INDEX('2027'!$A:$Z,(5+50*((N('My Rota'!$D$6)+4)-1))+2+15,24),INDEX('2028'!$A:$Z,(5+50*((N('My Rota'!$D$6)+4)-1))+2+15,24),INDEX('2029'!$A:$Z,(5+50*((N('My Rota'!$D$6)+4)-1))+2+15,24),INDEX('2030'!$A:$Z,(5+50*((N('My Rota'!$D$6)+4)-1))+2+15,24)))</f>
        <v/>
      </c>
      <c r="Y286">
        <f>IF(OR($B286="",(N('My Rota'!$D$6)+4)&gt;53),"",""&amp;CHOOSE(IFERROR(MATCH('My Rota'!$D$5,Setup!$K$33:$K$36,0),1),INDEX('2027'!$A:$Z,(5+50*((N('My Rota'!$D$6)+4)-1))+2+15,25),INDEX('2028'!$A:$Z,(5+50*((N('My Rota'!$D$6)+4)-1))+2+15,25),INDEX('2029'!$A:$Z,(5+50*((N('My Rota'!$D$6)+4)-1))+2+15,25),INDEX('2030'!$A:$Z,(5+50*((N('My Rota'!$D$6)+4)-1))+2+15,25)))</f>
        <v/>
      </c>
      <c r="Z286">
        <f>IF(OR($B286="",(N('My Rota'!$D$6)+4)&gt;53),"",""&amp;CHOOSE(IFERROR(MATCH('My Rota'!$D$5,Setup!$K$33:$K$36,0),1),INDEX('2027'!$A:$Z,(5+50*((N('My Rota'!$D$6)+4)-1))+2+15,26),INDEX('2028'!$A:$Z,(5+50*((N('My Rota'!$D$6)+4)-1))+2+15,26),INDEX('2029'!$A:$Z,(5+50*((N('My Rota'!$D$6)+4)-1))+2+15,26),INDEX('2030'!$A:$Z,(5+50*((N('My Rota'!$D$6)+4)-1))+2+15,26)))</f>
        <v/>
      </c>
    </row>
    <row r="287">
      <c r="A287" t="n">
        <v>5</v>
      </c>
      <c r="B287">
        <f>$B$62</f>
        <v/>
      </c>
      <c r="C287">
        <f>IF(OR($B287="",(N('My Rota'!$D$6)+4)&gt;53),"",""&amp;CHOOSE(IFERROR(MATCH('My Rota'!$D$5,Setup!$K$33:$K$36,0),1),INDEX('2027'!$A:$Z,(5+50*((N('My Rota'!$D$6)+4)-1))+2+16,3),INDEX('2028'!$A:$Z,(5+50*((N('My Rota'!$D$6)+4)-1))+2+16,3),INDEX('2029'!$A:$Z,(5+50*((N('My Rota'!$D$6)+4)-1))+2+16,3),INDEX('2030'!$A:$Z,(5+50*((N('My Rota'!$D$6)+4)-1))+2+16,3)))</f>
        <v/>
      </c>
      <c r="D287">
        <f>IF(OR($B287="",(N('My Rota'!$D$6)+4)&gt;53),"",""&amp;CHOOSE(IFERROR(MATCH('My Rota'!$D$5,Setup!$K$33:$K$36,0),1),INDEX('2027'!$A:$Z,(5+50*((N('My Rota'!$D$6)+4)-1))+2+16,4),INDEX('2028'!$A:$Z,(5+50*((N('My Rota'!$D$6)+4)-1))+2+16,4),INDEX('2029'!$A:$Z,(5+50*((N('My Rota'!$D$6)+4)-1))+2+16,4),INDEX('2030'!$A:$Z,(5+50*((N('My Rota'!$D$6)+4)-1))+2+16,4)))</f>
        <v/>
      </c>
      <c r="E287">
        <f>IF(OR($B287="",(N('My Rota'!$D$6)+4)&gt;53),"",""&amp;CHOOSE(IFERROR(MATCH('My Rota'!$D$5,Setup!$K$33:$K$36,0),1),INDEX('2027'!$A:$Z,(5+50*((N('My Rota'!$D$6)+4)-1))+2+16,5),INDEX('2028'!$A:$Z,(5+50*((N('My Rota'!$D$6)+4)-1))+2+16,5),INDEX('2029'!$A:$Z,(5+50*((N('My Rota'!$D$6)+4)-1))+2+16,5),INDEX('2030'!$A:$Z,(5+50*((N('My Rota'!$D$6)+4)-1))+2+16,5)))</f>
        <v/>
      </c>
      <c r="F287">
        <f>IF(OR($B287="",(N('My Rota'!$D$6)+4)&gt;53),"",""&amp;CHOOSE(IFERROR(MATCH('My Rota'!$D$5,Setup!$K$33:$K$36,0),1),INDEX('2027'!$A:$Z,(5+50*((N('My Rota'!$D$6)+4)-1))+2+16,6),INDEX('2028'!$A:$Z,(5+50*((N('My Rota'!$D$6)+4)-1))+2+16,6),INDEX('2029'!$A:$Z,(5+50*((N('My Rota'!$D$6)+4)-1))+2+16,6),INDEX('2030'!$A:$Z,(5+50*((N('My Rota'!$D$6)+4)-1))+2+16,6)))</f>
        <v/>
      </c>
      <c r="G287">
        <f>IF(OR($B287="",(N('My Rota'!$D$6)+4)&gt;53),"",""&amp;CHOOSE(IFERROR(MATCH('My Rota'!$D$5,Setup!$K$33:$K$36,0),1),INDEX('2027'!$A:$Z,(5+50*((N('My Rota'!$D$6)+4)-1))+2+16,7),INDEX('2028'!$A:$Z,(5+50*((N('My Rota'!$D$6)+4)-1))+2+16,7),INDEX('2029'!$A:$Z,(5+50*((N('My Rota'!$D$6)+4)-1))+2+16,7),INDEX('2030'!$A:$Z,(5+50*((N('My Rota'!$D$6)+4)-1))+2+16,7)))</f>
        <v/>
      </c>
      <c r="H287">
        <f>IF(OR($B287="",(N('My Rota'!$D$6)+4)&gt;53),"",""&amp;CHOOSE(IFERROR(MATCH('My Rota'!$D$5,Setup!$K$33:$K$36,0),1),INDEX('2027'!$A:$Z,(5+50*((N('My Rota'!$D$6)+4)-1))+2+16,8),INDEX('2028'!$A:$Z,(5+50*((N('My Rota'!$D$6)+4)-1))+2+16,8),INDEX('2029'!$A:$Z,(5+50*((N('My Rota'!$D$6)+4)-1))+2+16,8),INDEX('2030'!$A:$Z,(5+50*((N('My Rota'!$D$6)+4)-1))+2+16,8)))</f>
        <v/>
      </c>
      <c r="I287">
        <f>IF(OR($B287="",(N('My Rota'!$D$6)+4)&gt;53),"",""&amp;CHOOSE(IFERROR(MATCH('My Rota'!$D$5,Setup!$K$33:$K$36,0),1),INDEX('2027'!$A:$Z,(5+50*((N('My Rota'!$D$6)+4)-1))+2+16,9),INDEX('2028'!$A:$Z,(5+50*((N('My Rota'!$D$6)+4)-1))+2+16,9),INDEX('2029'!$A:$Z,(5+50*((N('My Rota'!$D$6)+4)-1))+2+16,9),INDEX('2030'!$A:$Z,(5+50*((N('My Rota'!$D$6)+4)-1))+2+16,9)))</f>
        <v/>
      </c>
      <c r="J287">
        <f>IF(OR($B287="",(N('My Rota'!$D$6)+4)&gt;53),"",""&amp;CHOOSE(IFERROR(MATCH('My Rota'!$D$5,Setup!$K$33:$K$36,0),1),INDEX('2027'!$A:$Z,(5+50*((N('My Rota'!$D$6)+4)-1))+2+16,10),INDEX('2028'!$A:$Z,(5+50*((N('My Rota'!$D$6)+4)-1))+2+16,10),INDEX('2029'!$A:$Z,(5+50*((N('My Rota'!$D$6)+4)-1))+2+16,10),INDEX('2030'!$A:$Z,(5+50*((N('My Rota'!$D$6)+4)-1))+2+16,10)))</f>
        <v/>
      </c>
      <c r="K287">
        <f>IF(OR($B287="",(N('My Rota'!$D$6)+4)&gt;53),"",""&amp;CHOOSE(IFERROR(MATCH('My Rota'!$D$5,Setup!$K$33:$K$36,0),1),INDEX('2027'!$A:$Z,(5+50*((N('My Rota'!$D$6)+4)-1))+2+16,11),INDEX('2028'!$A:$Z,(5+50*((N('My Rota'!$D$6)+4)-1))+2+16,11),INDEX('2029'!$A:$Z,(5+50*((N('My Rota'!$D$6)+4)-1))+2+16,11),INDEX('2030'!$A:$Z,(5+50*((N('My Rota'!$D$6)+4)-1))+2+16,11)))</f>
        <v/>
      </c>
      <c r="L287">
        <f>IF(OR($B287="",(N('My Rota'!$D$6)+4)&gt;53),"",""&amp;CHOOSE(IFERROR(MATCH('My Rota'!$D$5,Setup!$K$33:$K$36,0),1),INDEX('2027'!$A:$Z,(5+50*((N('My Rota'!$D$6)+4)-1))+2+16,12),INDEX('2028'!$A:$Z,(5+50*((N('My Rota'!$D$6)+4)-1))+2+16,12),INDEX('2029'!$A:$Z,(5+50*((N('My Rota'!$D$6)+4)-1))+2+16,12),INDEX('2030'!$A:$Z,(5+50*((N('My Rota'!$D$6)+4)-1))+2+16,12)))</f>
        <v/>
      </c>
      <c r="M287">
        <f>IF(OR($B287="",(N('My Rota'!$D$6)+4)&gt;53),"",""&amp;CHOOSE(IFERROR(MATCH('My Rota'!$D$5,Setup!$K$33:$K$36,0),1),INDEX('2027'!$A:$Z,(5+50*((N('My Rota'!$D$6)+4)-1))+2+16,13),INDEX('2028'!$A:$Z,(5+50*((N('My Rota'!$D$6)+4)-1))+2+16,13),INDEX('2029'!$A:$Z,(5+50*((N('My Rota'!$D$6)+4)-1))+2+16,13),INDEX('2030'!$A:$Z,(5+50*((N('My Rota'!$D$6)+4)-1))+2+16,13)))</f>
        <v/>
      </c>
      <c r="N287">
        <f>IF(OR($B287="",(N('My Rota'!$D$6)+4)&gt;53),"",""&amp;CHOOSE(IFERROR(MATCH('My Rota'!$D$5,Setup!$K$33:$K$36,0),1),INDEX('2027'!$A:$Z,(5+50*((N('My Rota'!$D$6)+4)-1))+2+16,14),INDEX('2028'!$A:$Z,(5+50*((N('My Rota'!$D$6)+4)-1))+2+16,14),INDEX('2029'!$A:$Z,(5+50*((N('My Rota'!$D$6)+4)-1))+2+16,14),INDEX('2030'!$A:$Z,(5+50*((N('My Rota'!$D$6)+4)-1))+2+16,14)))</f>
        <v/>
      </c>
      <c r="O287">
        <f>IF(OR($B287="",(N('My Rota'!$D$6)+4)&gt;53),"",""&amp;CHOOSE(IFERROR(MATCH('My Rota'!$D$5,Setup!$K$33:$K$36,0),1),INDEX('2027'!$A:$Z,(5+50*((N('My Rota'!$D$6)+4)-1))+2+16,15),INDEX('2028'!$A:$Z,(5+50*((N('My Rota'!$D$6)+4)-1))+2+16,15),INDEX('2029'!$A:$Z,(5+50*((N('My Rota'!$D$6)+4)-1))+2+16,15),INDEX('2030'!$A:$Z,(5+50*((N('My Rota'!$D$6)+4)-1))+2+16,15)))</f>
        <v/>
      </c>
      <c r="P287">
        <f>IF(OR($B287="",(N('My Rota'!$D$6)+4)&gt;53),"",""&amp;CHOOSE(IFERROR(MATCH('My Rota'!$D$5,Setup!$K$33:$K$36,0),1),INDEX('2027'!$A:$Z,(5+50*((N('My Rota'!$D$6)+4)-1))+2+16,16),INDEX('2028'!$A:$Z,(5+50*((N('My Rota'!$D$6)+4)-1))+2+16,16),INDEX('2029'!$A:$Z,(5+50*((N('My Rota'!$D$6)+4)-1))+2+16,16),INDEX('2030'!$A:$Z,(5+50*((N('My Rota'!$D$6)+4)-1))+2+16,16)))</f>
        <v/>
      </c>
      <c r="Q287">
        <f>IF(OR($B287="",(N('My Rota'!$D$6)+4)&gt;53),"",""&amp;CHOOSE(IFERROR(MATCH('My Rota'!$D$5,Setup!$K$33:$K$36,0),1),INDEX('2027'!$A:$Z,(5+50*((N('My Rota'!$D$6)+4)-1))+2+16,17),INDEX('2028'!$A:$Z,(5+50*((N('My Rota'!$D$6)+4)-1))+2+16,17),INDEX('2029'!$A:$Z,(5+50*((N('My Rota'!$D$6)+4)-1))+2+16,17),INDEX('2030'!$A:$Z,(5+50*((N('My Rota'!$D$6)+4)-1))+2+16,17)))</f>
        <v/>
      </c>
      <c r="R287">
        <f>IF(OR($B287="",(N('My Rota'!$D$6)+4)&gt;53),"",""&amp;CHOOSE(IFERROR(MATCH('My Rota'!$D$5,Setup!$K$33:$K$36,0),1),INDEX('2027'!$A:$Z,(5+50*((N('My Rota'!$D$6)+4)-1))+2+16,18),INDEX('2028'!$A:$Z,(5+50*((N('My Rota'!$D$6)+4)-1))+2+16,18),INDEX('2029'!$A:$Z,(5+50*((N('My Rota'!$D$6)+4)-1))+2+16,18),INDEX('2030'!$A:$Z,(5+50*((N('My Rota'!$D$6)+4)-1))+2+16,18)))</f>
        <v/>
      </c>
      <c r="S287">
        <f>IF(OR($B287="",(N('My Rota'!$D$6)+4)&gt;53),"",""&amp;CHOOSE(IFERROR(MATCH('My Rota'!$D$5,Setup!$K$33:$K$36,0),1),INDEX('2027'!$A:$Z,(5+50*((N('My Rota'!$D$6)+4)-1))+2+16,19),INDEX('2028'!$A:$Z,(5+50*((N('My Rota'!$D$6)+4)-1))+2+16,19),INDEX('2029'!$A:$Z,(5+50*((N('My Rota'!$D$6)+4)-1))+2+16,19),INDEX('2030'!$A:$Z,(5+50*((N('My Rota'!$D$6)+4)-1))+2+16,19)))</f>
        <v/>
      </c>
      <c r="T287">
        <f>IF(OR($B287="",(N('My Rota'!$D$6)+4)&gt;53),"",""&amp;CHOOSE(IFERROR(MATCH('My Rota'!$D$5,Setup!$K$33:$K$36,0),1),INDEX('2027'!$A:$Z,(5+50*((N('My Rota'!$D$6)+4)-1))+2+16,20),INDEX('2028'!$A:$Z,(5+50*((N('My Rota'!$D$6)+4)-1))+2+16,20),INDEX('2029'!$A:$Z,(5+50*((N('My Rota'!$D$6)+4)-1))+2+16,20),INDEX('2030'!$A:$Z,(5+50*((N('My Rota'!$D$6)+4)-1))+2+16,20)))</f>
        <v/>
      </c>
      <c r="U287">
        <f>IF(OR($B287="",(N('My Rota'!$D$6)+4)&gt;53),"",""&amp;CHOOSE(IFERROR(MATCH('My Rota'!$D$5,Setup!$K$33:$K$36,0),1),INDEX('2027'!$A:$Z,(5+50*((N('My Rota'!$D$6)+4)-1))+2+16,21),INDEX('2028'!$A:$Z,(5+50*((N('My Rota'!$D$6)+4)-1))+2+16,21),INDEX('2029'!$A:$Z,(5+50*((N('My Rota'!$D$6)+4)-1))+2+16,21),INDEX('2030'!$A:$Z,(5+50*((N('My Rota'!$D$6)+4)-1))+2+16,21)))</f>
        <v/>
      </c>
      <c r="V287">
        <f>IF(OR($B287="",(N('My Rota'!$D$6)+4)&gt;53),"",""&amp;CHOOSE(IFERROR(MATCH('My Rota'!$D$5,Setup!$K$33:$K$36,0),1),INDEX('2027'!$A:$Z,(5+50*((N('My Rota'!$D$6)+4)-1))+2+16,22),INDEX('2028'!$A:$Z,(5+50*((N('My Rota'!$D$6)+4)-1))+2+16,22),INDEX('2029'!$A:$Z,(5+50*((N('My Rota'!$D$6)+4)-1))+2+16,22),INDEX('2030'!$A:$Z,(5+50*((N('My Rota'!$D$6)+4)-1))+2+16,22)))</f>
        <v/>
      </c>
      <c r="W287">
        <f>IF(OR($B287="",(N('My Rota'!$D$6)+4)&gt;53),"",""&amp;CHOOSE(IFERROR(MATCH('My Rota'!$D$5,Setup!$K$33:$K$36,0),1),INDEX('2027'!$A:$Z,(5+50*((N('My Rota'!$D$6)+4)-1))+2+16,23),INDEX('2028'!$A:$Z,(5+50*((N('My Rota'!$D$6)+4)-1))+2+16,23),INDEX('2029'!$A:$Z,(5+50*((N('My Rota'!$D$6)+4)-1))+2+16,23),INDEX('2030'!$A:$Z,(5+50*((N('My Rota'!$D$6)+4)-1))+2+16,23)))</f>
        <v/>
      </c>
      <c r="X287">
        <f>IF(OR($B287="",(N('My Rota'!$D$6)+4)&gt;53),"",""&amp;CHOOSE(IFERROR(MATCH('My Rota'!$D$5,Setup!$K$33:$K$36,0),1),INDEX('2027'!$A:$Z,(5+50*((N('My Rota'!$D$6)+4)-1))+2+16,24),INDEX('2028'!$A:$Z,(5+50*((N('My Rota'!$D$6)+4)-1))+2+16,24),INDEX('2029'!$A:$Z,(5+50*((N('My Rota'!$D$6)+4)-1))+2+16,24),INDEX('2030'!$A:$Z,(5+50*((N('My Rota'!$D$6)+4)-1))+2+16,24)))</f>
        <v/>
      </c>
      <c r="Y287">
        <f>IF(OR($B287="",(N('My Rota'!$D$6)+4)&gt;53),"",""&amp;CHOOSE(IFERROR(MATCH('My Rota'!$D$5,Setup!$K$33:$K$36,0),1),INDEX('2027'!$A:$Z,(5+50*((N('My Rota'!$D$6)+4)-1))+2+16,25),INDEX('2028'!$A:$Z,(5+50*((N('My Rota'!$D$6)+4)-1))+2+16,25),INDEX('2029'!$A:$Z,(5+50*((N('My Rota'!$D$6)+4)-1))+2+16,25),INDEX('2030'!$A:$Z,(5+50*((N('My Rota'!$D$6)+4)-1))+2+16,25)))</f>
        <v/>
      </c>
      <c r="Z287">
        <f>IF(OR($B287="",(N('My Rota'!$D$6)+4)&gt;53),"",""&amp;CHOOSE(IFERROR(MATCH('My Rota'!$D$5,Setup!$K$33:$K$36,0),1),INDEX('2027'!$A:$Z,(5+50*((N('My Rota'!$D$6)+4)-1))+2+16,26),INDEX('2028'!$A:$Z,(5+50*((N('My Rota'!$D$6)+4)-1))+2+16,26),INDEX('2029'!$A:$Z,(5+50*((N('My Rota'!$D$6)+4)-1))+2+16,26),INDEX('2030'!$A:$Z,(5+50*((N('My Rota'!$D$6)+4)-1))+2+16,26)))</f>
        <v/>
      </c>
    </row>
    <row r="288">
      <c r="A288" t="n">
        <v>5</v>
      </c>
      <c r="B288">
        <f>$B$63</f>
        <v/>
      </c>
      <c r="C288">
        <f>IF(OR($B288="",(N('My Rota'!$D$6)+4)&gt;53),"",""&amp;CHOOSE(IFERROR(MATCH('My Rota'!$D$5,Setup!$K$33:$K$36,0),1),INDEX('2027'!$A:$Z,(5+50*((N('My Rota'!$D$6)+4)-1))+2+17,3),INDEX('2028'!$A:$Z,(5+50*((N('My Rota'!$D$6)+4)-1))+2+17,3),INDEX('2029'!$A:$Z,(5+50*((N('My Rota'!$D$6)+4)-1))+2+17,3),INDEX('2030'!$A:$Z,(5+50*((N('My Rota'!$D$6)+4)-1))+2+17,3)))</f>
        <v/>
      </c>
      <c r="D288">
        <f>IF(OR($B288="",(N('My Rota'!$D$6)+4)&gt;53),"",""&amp;CHOOSE(IFERROR(MATCH('My Rota'!$D$5,Setup!$K$33:$K$36,0),1),INDEX('2027'!$A:$Z,(5+50*((N('My Rota'!$D$6)+4)-1))+2+17,4),INDEX('2028'!$A:$Z,(5+50*((N('My Rota'!$D$6)+4)-1))+2+17,4),INDEX('2029'!$A:$Z,(5+50*((N('My Rota'!$D$6)+4)-1))+2+17,4),INDEX('2030'!$A:$Z,(5+50*((N('My Rota'!$D$6)+4)-1))+2+17,4)))</f>
        <v/>
      </c>
      <c r="E288">
        <f>IF(OR($B288="",(N('My Rota'!$D$6)+4)&gt;53),"",""&amp;CHOOSE(IFERROR(MATCH('My Rota'!$D$5,Setup!$K$33:$K$36,0),1),INDEX('2027'!$A:$Z,(5+50*((N('My Rota'!$D$6)+4)-1))+2+17,5),INDEX('2028'!$A:$Z,(5+50*((N('My Rota'!$D$6)+4)-1))+2+17,5),INDEX('2029'!$A:$Z,(5+50*((N('My Rota'!$D$6)+4)-1))+2+17,5),INDEX('2030'!$A:$Z,(5+50*((N('My Rota'!$D$6)+4)-1))+2+17,5)))</f>
        <v/>
      </c>
      <c r="F288">
        <f>IF(OR($B288="",(N('My Rota'!$D$6)+4)&gt;53),"",""&amp;CHOOSE(IFERROR(MATCH('My Rota'!$D$5,Setup!$K$33:$K$36,0),1),INDEX('2027'!$A:$Z,(5+50*((N('My Rota'!$D$6)+4)-1))+2+17,6),INDEX('2028'!$A:$Z,(5+50*((N('My Rota'!$D$6)+4)-1))+2+17,6),INDEX('2029'!$A:$Z,(5+50*((N('My Rota'!$D$6)+4)-1))+2+17,6),INDEX('2030'!$A:$Z,(5+50*((N('My Rota'!$D$6)+4)-1))+2+17,6)))</f>
        <v/>
      </c>
      <c r="G288">
        <f>IF(OR($B288="",(N('My Rota'!$D$6)+4)&gt;53),"",""&amp;CHOOSE(IFERROR(MATCH('My Rota'!$D$5,Setup!$K$33:$K$36,0),1),INDEX('2027'!$A:$Z,(5+50*((N('My Rota'!$D$6)+4)-1))+2+17,7),INDEX('2028'!$A:$Z,(5+50*((N('My Rota'!$D$6)+4)-1))+2+17,7),INDEX('2029'!$A:$Z,(5+50*((N('My Rota'!$D$6)+4)-1))+2+17,7),INDEX('2030'!$A:$Z,(5+50*((N('My Rota'!$D$6)+4)-1))+2+17,7)))</f>
        <v/>
      </c>
      <c r="H288">
        <f>IF(OR($B288="",(N('My Rota'!$D$6)+4)&gt;53),"",""&amp;CHOOSE(IFERROR(MATCH('My Rota'!$D$5,Setup!$K$33:$K$36,0),1),INDEX('2027'!$A:$Z,(5+50*((N('My Rota'!$D$6)+4)-1))+2+17,8),INDEX('2028'!$A:$Z,(5+50*((N('My Rota'!$D$6)+4)-1))+2+17,8),INDEX('2029'!$A:$Z,(5+50*((N('My Rota'!$D$6)+4)-1))+2+17,8),INDEX('2030'!$A:$Z,(5+50*((N('My Rota'!$D$6)+4)-1))+2+17,8)))</f>
        <v/>
      </c>
      <c r="I288">
        <f>IF(OR($B288="",(N('My Rota'!$D$6)+4)&gt;53),"",""&amp;CHOOSE(IFERROR(MATCH('My Rota'!$D$5,Setup!$K$33:$K$36,0),1),INDEX('2027'!$A:$Z,(5+50*((N('My Rota'!$D$6)+4)-1))+2+17,9),INDEX('2028'!$A:$Z,(5+50*((N('My Rota'!$D$6)+4)-1))+2+17,9),INDEX('2029'!$A:$Z,(5+50*((N('My Rota'!$D$6)+4)-1))+2+17,9),INDEX('2030'!$A:$Z,(5+50*((N('My Rota'!$D$6)+4)-1))+2+17,9)))</f>
        <v/>
      </c>
      <c r="J288">
        <f>IF(OR($B288="",(N('My Rota'!$D$6)+4)&gt;53),"",""&amp;CHOOSE(IFERROR(MATCH('My Rota'!$D$5,Setup!$K$33:$K$36,0),1),INDEX('2027'!$A:$Z,(5+50*((N('My Rota'!$D$6)+4)-1))+2+17,10),INDEX('2028'!$A:$Z,(5+50*((N('My Rota'!$D$6)+4)-1))+2+17,10),INDEX('2029'!$A:$Z,(5+50*((N('My Rota'!$D$6)+4)-1))+2+17,10),INDEX('2030'!$A:$Z,(5+50*((N('My Rota'!$D$6)+4)-1))+2+17,10)))</f>
        <v/>
      </c>
      <c r="K288">
        <f>IF(OR($B288="",(N('My Rota'!$D$6)+4)&gt;53),"",""&amp;CHOOSE(IFERROR(MATCH('My Rota'!$D$5,Setup!$K$33:$K$36,0),1),INDEX('2027'!$A:$Z,(5+50*((N('My Rota'!$D$6)+4)-1))+2+17,11),INDEX('2028'!$A:$Z,(5+50*((N('My Rota'!$D$6)+4)-1))+2+17,11),INDEX('2029'!$A:$Z,(5+50*((N('My Rota'!$D$6)+4)-1))+2+17,11),INDEX('2030'!$A:$Z,(5+50*((N('My Rota'!$D$6)+4)-1))+2+17,11)))</f>
        <v/>
      </c>
      <c r="L288">
        <f>IF(OR($B288="",(N('My Rota'!$D$6)+4)&gt;53),"",""&amp;CHOOSE(IFERROR(MATCH('My Rota'!$D$5,Setup!$K$33:$K$36,0),1),INDEX('2027'!$A:$Z,(5+50*((N('My Rota'!$D$6)+4)-1))+2+17,12),INDEX('2028'!$A:$Z,(5+50*((N('My Rota'!$D$6)+4)-1))+2+17,12),INDEX('2029'!$A:$Z,(5+50*((N('My Rota'!$D$6)+4)-1))+2+17,12),INDEX('2030'!$A:$Z,(5+50*((N('My Rota'!$D$6)+4)-1))+2+17,12)))</f>
        <v/>
      </c>
      <c r="M288">
        <f>IF(OR($B288="",(N('My Rota'!$D$6)+4)&gt;53),"",""&amp;CHOOSE(IFERROR(MATCH('My Rota'!$D$5,Setup!$K$33:$K$36,0),1),INDEX('2027'!$A:$Z,(5+50*((N('My Rota'!$D$6)+4)-1))+2+17,13),INDEX('2028'!$A:$Z,(5+50*((N('My Rota'!$D$6)+4)-1))+2+17,13),INDEX('2029'!$A:$Z,(5+50*((N('My Rota'!$D$6)+4)-1))+2+17,13),INDEX('2030'!$A:$Z,(5+50*((N('My Rota'!$D$6)+4)-1))+2+17,13)))</f>
        <v/>
      </c>
      <c r="N288">
        <f>IF(OR($B288="",(N('My Rota'!$D$6)+4)&gt;53),"",""&amp;CHOOSE(IFERROR(MATCH('My Rota'!$D$5,Setup!$K$33:$K$36,0),1),INDEX('2027'!$A:$Z,(5+50*((N('My Rota'!$D$6)+4)-1))+2+17,14),INDEX('2028'!$A:$Z,(5+50*((N('My Rota'!$D$6)+4)-1))+2+17,14),INDEX('2029'!$A:$Z,(5+50*((N('My Rota'!$D$6)+4)-1))+2+17,14),INDEX('2030'!$A:$Z,(5+50*((N('My Rota'!$D$6)+4)-1))+2+17,14)))</f>
        <v/>
      </c>
      <c r="O288">
        <f>IF(OR($B288="",(N('My Rota'!$D$6)+4)&gt;53),"",""&amp;CHOOSE(IFERROR(MATCH('My Rota'!$D$5,Setup!$K$33:$K$36,0),1),INDEX('2027'!$A:$Z,(5+50*((N('My Rota'!$D$6)+4)-1))+2+17,15),INDEX('2028'!$A:$Z,(5+50*((N('My Rota'!$D$6)+4)-1))+2+17,15),INDEX('2029'!$A:$Z,(5+50*((N('My Rota'!$D$6)+4)-1))+2+17,15),INDEX('2030'!$A:$Z,(5+50*((N('My Rota'!$D$6)+4)-1))+2+17,15)))</f>
        <v/>
      </c>
      <c r="P288">
        <f>IF(OR($B288="",(N('My Rota'!$D$6)+4)&gt;53),"",""&amp;CHOOSE(IFERROR(MATCH('My Rota'!$D$5,Setup!$K$33:$K$36,0),1),INDEX('2027'!$A:$Z,(5+50*((N('My Rota'!$D$6)+4)-1))+2+17,16),INDEX('2028'!$A:$Z,(5+50*((N('My Rota'!$D$6)+4)-1))+2+17,16),INDEX('2029'!$A:$Z,(5+50*((N('My Rota'!$D$6)+4)-1))+2+17,16),INDEX('2030'!$A:$Z,(5+50*((N('My Rota'!$D$6)+4)-1))+2+17,16)))</f>
        <v/>
      </c>
      <c r="Q288">
        <f>IF(OR($B288="",(N('My Rota'!$D$6)+4)&gt;53),"",""&amp;CHOOSE(IFERROR(MATCH('My Rota'!$D$5,Setup!$K$33:$K$36,0),1),INDEX('2027'!$A:$Z,(5+50*((N('My Rota'!$D$6)+4)-1))+2+17,17),INDEX('2028'!$A:$Z,(5+50*((N('My Rota'!$D$6)+4)-1))+2+17,17),INDEX('2029'!$A:$Z,(5+50*((N('My Rota'!$D$6)+4)-1))+2+17,17),INDEX('2030'!$A:$Z,(5+50*((N('My Rota'!$D$6)+4)-1))+2+17,17)))</f>
        <v/>
      </c>
      <c r="R288">
        <f>IF(OR($B288="",(N('My Rota'!$D$6)+4)&gt;53),"",""&amp;CHOOSE(IFERROR(MATCH('My Rota'!$D$5,Setup!$K$33:$K$36,0),1),INDEX('2027'!$A:$Z,(5+50*((N('My Rota'!$D$6)+4)-1))+2+17,18),INDEX('2028'!$A:$Z,(5+50*((N('My Rota'!$D$6)+4)-1))+2+17,18),INDEX('2029'!$A:$Z,(5+50*((N('My Rota'!$D$6)+4)-1))+2+17,18),INDEX('2030'!$A:$Z,(5+50*((N('My Rota'!$D$6)+4)-1))+2+17,18)))</f>
        <v/>
      </c>
      <c r="S288">
        <f>IF(OR($B288="",(N('My Rota'!$D$6)+4)&gt;53),"",""&amp;CHOOSE(IFERROR(MATCH('My Rota'!$D$5,Setup!$K$33:$K$36,0),1),INDEX('2027'!$A:$Z,(5+50*((N('My Rota'!$D$6)+4)-1))+2+17,19),INDEX('2028'!$A:$Z,(5+50*((N('My Rota'!$D$6)+4)-1))+2+17,19),INDEX('2029'!$A:$Z,(5+50*((N('My Rota'!$D$6)+4)-1))+2+17,19),INDEX('2030'!$A:$Z,(5+50*((N('My Rota'!$D$6)+4)-1))+2+17,19)))</f>
        <v/>
      </c>
      <c r="T288">
        <f>IF(OR($B288="",(N('My Rota'!$D$6)+4)&gt;53),"",""&amp;CHOOSE(IFERROR(MATCH('My Rota'!$D$5,Setup!$K$33:$K$36,0),1),INDEX('2027'!$A:$Z,(5+50*((N('My Rota'!$D$6)+4)-1))+2+17,20),INDEX('2028'!$A:$Z,(5+50*((N('My Rota'!$D$6)+4)-1))+2+17,20),INDEX('2029'!$A:$Z,(5+50*((N('My Rota'!$D$6)+4)-1))+2+17,20),INDEX('2030'!$A:$Z,(5+50*((N('My Rota'!$D$6)+4)-1))+2+17,20)))</f>
        <v/>
      </c>
      <c r="U288">
        <f>IF(OR($B288="",(N('My Rota'!$D$6)+4)&gt;53),"",""&amp;CHOOSE(IFERROR(MATCH('My Rota'!$D$5,Setup!$K$33:$K$36,0),1),INDEX('2027'!$A:$Z,(5+50*((N('My Rota'!$D$6)+4)-1))+2+17,21),INDEX('2028'!$A:$Z,(5+50*((N('My Rota'!$D$6)+4)-1))+2+17,21),INDEX('2029'!$A:$Z,(5+50*((N('My Rota'!$D$6)+4)-1))+2+17,21),INDEX('2030'!$A:$Z,(5+50*((N('My Rota'!$D$6)+4)-1))+2+17,21)))</f>
        <v/>
      </c>
      <c r="V288">
        <f>IF(OR($B288="",(N('My Rota'!$D$6)+4)&gt;53),"",""&amp;CHOOSE(IFERROR(MATCH('My Rota'!$D$5,Setup!$K$33:$K$36,0),1),INDEX('2027'!$A:$Z,(5+50*((N('My Rota'!$D$6)+4)-1))+2+17,22),INDEX('2028'!$A:$Z,(5+50*((N('My Rota'!$D$6)+4)-1))+2+17,22),INDEX('2029'!$A:$Z,(5+50*((N('My Rota'!$D$6)+4)-1))+2+17,22),INDEX('2030'!$A:$Z,(5+50*((N('My Rota'!$D$6)+4)-1))+2+17,22)))</f>
        <v/>
      </c>
      <c r="W288">
        <f>IF(OR($B288="",(N('My Rota'!$D$6)+4)&gt;53),"",""&amp;CHOOSE(IFERROR(MATCH('My Rota'!$D$5,Setup!$K$33:$K$36,0),1),INDEX('2027'!$A:$Z,(5+50*((N('My Rota'!$D$6)+4)-1))+2+17,23),INDEX('2028'!$A:$Z,(5+50*((N('My Rota'!$D$6)+4)-1))+2+17,23),INDEX('2029'!$A:$Z,(5+50*((N('My Rota'!$D$6)+4)-1))+2+17,23),INDEX('2030'!$A:$Z,(5+50*((N('My Rota'!$D$6)+4)-1))+2+17,23)))</f>
        <v/>
      </c>
      <c r="X288">
        <f>IF(OR($B288="",(N('My Rota'!$D$6)+4)&gt;53),"",""&amp;CHOOSE(IFERROR(MATCH('My Rota'!$D$5,Setup!$K$33:$K$36,0),1),INDEX('2027'!$A:$Z,(5+50*((N('My Rota'!$D$6)+4)-1))+2+17,24),INDEX('2028'!$A:$Z,(5+50*((N('My Rota'!$D$6)+4)-1))+2+17,24),INDEX('2029'!$A:$Z,(5+50*((N('My Rota'!$D$6)+4)-1))+2+17,24),INDEX('2030'!$A:$Z,(5+50*((N('My Rota'!$D$6)+4)-1))+2+17,24)))</f>
        <v/>
      </c>
      <c r="Y288">
        <f>IF(OR($B288="",(N('My Rota'!$D$6)+4)&gt;53),"",""&amp;CHOOSE(IFERROR(MATCH('My Rota'!$D$5,Setup!$K$33:$K$36,0),1),INDEX('2027'!$A:$Z,(5+50*((N('My Rota'!$D$6)+4)-1))+2+17,25),INDEX('2028'!$A:$Z,(5+50*((N('My Rota'!$D$6)+4)-1))+2+17,25),INDEX('2029'!$A:$Z,(5+50*((N('My Rota'!$D$6)+4)-1))+2+17,25),INDEX('2030'!$A:$Z,(5+50*((N('My Rota'!$D$6)+4)-1))+2+17,25)))</f>
        <v/>
      </c>
      <c r="Z288">
        <f>IF(OR($B288="",(N('My Rota'!$D$6)+4)&gt;53),"",""&amp;CHOOSE(IFERROR(MATCH('My Rota'!$D$5,Setup!$K$33:$K$36,0),1),INDEX('2027'!$A:$Z,(5+50*((N('My Rota'!$D$6)+4)-1))+2+17,26),INDEX('2028'!$A:$Z,(5+50*((N('My Rota'!$D$6)+4)-1))+2+17,26),INDEX('2029'!$A:$Z,(5+50*((N('My Rota'!$D$6)+4)-1))+2+17,26),INDEX('2030'!$A:$Z,(5+50*((N('My Rota'!$D$6)+4)-1))+2+17,26)))</f>
        <v/>
      </c>
    </row>
    <row r="289">
      <c r="A289" t="n">
        <v>5</v>
      </c>
      <c r="B289">
        <f>$B$64</f>
        <v/>
      </c>
      <c r="C289">
        <f>IF(OR($B289="",(N('My Rota'!$D$6)+4)&gt;53),"",""&amp;CHOOSE(IFERROR(MATCH('My Rota'!$D$5,Setup!$K$33:$K$36,0),1),INDEX('2027'!$A:$Z,(5+50*((N('My Rota'!$D$6)+4)-1))+2+18,3),INDEX('2028'!$A:$Z,(5+50*((N('My Rota'!$D$6)+4)-1))+2+18,3),INDEX('2029'!$A:$Z,(5+50*((N('My Rota'!$D$6)+4)-1))+2+18,3),INDEX('2030'!$A:$Z,(5+50*((N('My Rota'!$D$6)+4)-1))+2+18,3)))</f>
        <v/>
      </c>
      <c r="D289">
        <f>IF(OR($B289="",(N('My Rota'!$D$6)+4)&gt;53),"",""&amp;CHOOSE(IFERROR(MATCH('My Rota'!$D$5,Setup!$K$33:$K$36,0),1),INDEX('2027'!$A:$Z,(5+50*((N('My Rota'!$D$6)+4)-1))+2+18,4),INDEX('2028'!$A:$Z,(5+50*((N('My Rota'!$D$6)+4)-1))+2+18,4),INDEX('2029'!$A:$Z,(5+50*((N('My Rota'!$D$6)+4)-1))+2+18,4),INDEX('2030'!$A:$Z,(5+50*((N('My Rota'!$D$6)+4)-1))+2+18,4)))</f>
        <v/>
      </c>
      <c r="E289">
        <f>IF(OR($B289="",(N('My Rota'!$D$6)+4)&gt;53),"",""&amp;CHOOSE(IFERROR(MATCH('My Rota'!$D$5,Setup!$K$33:$K$36,0),1),INDEX('2027'!$A:$Z,(5+50*((N('My Rota'!$D$6)+4)-1))+2+18,5),INDEX('2028'!$A:$Z,(5+50*((N('My Rota'!$D$6)+4)-1))+2+18,5),INDEX('2029'!$A:$Z,(5+50*((N('My Rota'!$D$6)+4)-1))+2+18,5),INDEX('2030'!$A:$Z,(5+50*((N('My Rota'!$D$6)+4)-1))+2+18,5)))</f>
        <v/>
      </c>
      <c r="F289">
        <f>IF(OR($B289="",(N('My Rota'!$D$6)+4)&gt;53),"",""&amp;CHOOSE(IFERROR(MATCH('My Rota'!$D$5,Setup!$K$33:$K$36,0),1),INDEX('2027'!$A:$Z,(5+50*((N('My Rota'!$D$6)+4)-1))+2+18,6),INDEX('2028'!$A:$Z,(5+50*((N('My Rota'!$D$6)+4)-1))+2+18,6),INDEX('2029'!$A:$Z,(5+50*((N('My Rota'!$D$6)+4)-1))+2+18,6),INDEX('2030'!$A:$Z,(5+50*((N('My Rota'!$D$6)+4)-1))+2+18,6)))</f>
        <v/>
      </c>
      <c r="G289">
        <f>IF(OR($B289="",(N('My Rota'!$D$6)+4)&gt;53),"",""&amp;CHOOSE(IFERROR(MATCH('My Rota'!$D$5,Setup!$K$33:$K$36,0),1),INDEX('2027'!$A:$Z,(5+50*((N('My Rota'!$D$6)+4)-1))+2+18,7),INDEX('2028'!$A:$Z,(5+50*((N('My Rota'!$D$6)+4)-1))+2+18,7),INDEX('2029'!$A:$Z,(5+50*((N('My Rota'!$D$6)+4)-1))+2+18,7),INDEX('2030'!$A:$Z,(5+50*((N('My Rota'!$D$6)+4)-1))+2+18,7)))</f>
        <v/>
      </c>
      <c r="H289">
        <f>IF(OR($B289="",(N('My Rota'!$D$6)+4)&gt;53),"",""&amp;CHOOSE(IFERROR(MATCH('My Rota'!$D$5,Setup!$K$33:$K$36,0),1),INDEX('2027'!$A:$Z,(5+50*((N('My Rota'!$D$6)+4)-1))+2+18,8),INDEX('2028'!$A:$Z,(5+50*((N('My Rota'!$D$6)+4)-1))+2+18,8),INDEX('2029'!$A:$Z,(5+50*((N('My Rota'!$D$6)+4)-1))+2+18,8),INDEX('2030'!$A:$Z,(5+50*((N('My Rota'!$D$6)+4)-1))+2+18,8)))</f>
        <v/>
      </c>
      <c r="I289">
        <f>IF(OR($B289="",(N('My Rota'!$D$6)+4)&gt;53),"",""&amp;CHOOSE(IFERROR(MATCH('My Rota'!$D$5,Setup!$K$33:$K$36,0),1),INDEX('2027'!$A:$Z,(5+50*((N('My Rota'!$D$6)+4)-1))+2+18,9),INDEX('2028'!$A:$Z,(5+50*((N('My Rota'!$D$6)+4)-1))+2+18,9),INDEX('2029'!$A:$Z,(5+50*((N('My Rota'!$D$6)+4)-1))+2+18,9),INDEX('2030'!$A:$Z,(5+50*((N('My Rota'!$D$6)+4)-1))+2+18,9)))</f>
        <v/>
      </c>
      <c r="J289">
        <f>IF(OR($B289="",(N('My Rota'!$D$6)+4)&gt;53),"",""&amp;CHOOSE(IFERROR(MATCH('My Rota'!$D$5,Setup!$K$33:$K$36,0),1),INDEX('2027'!$A:$Z,(5+50*((N('My Rota'!$D$6)+4)-1))+2+18,10),INDEX('2028'!$A:$Z,(5+50*((N('My Rota'!$D$6)+4)-1))+2+18,10),INDEX('2029'!$A:$Z,(5+50*((N('My Rota'!$D$6)+4)-1))+2+18,10),INDEX('2030'!$A:$Z,(5+50*((N('My Rota'!$D$6)+4)-1))+2+18,10)))</f>
        <v/>
      </c>
      <c r="K289">
        <f>IF(OR($B289="",(N('My Rota'!$D$6)+4)&gt;53),"",""&amp;CHOOSE(IFERROR(MATCH('My Rota'!$D$5,Setup!$K$33:$K$36,0),1),INDEX('2027'!$A:$Z,(5+50*((N('My Rota'!$D$6)+4)-1))+2+18,11),INDEX('2028'!$A:$Z,(5+50*((N('My Rota'!$D$6)+4)-1))+2+18,11),INDEX('2029'!$A:$Z,(5+50*((N('My Rota'!$D$6)+4)-1))+2+18,11),INDEX('2030'!$A:$Z,(5+50*((N('My Rota'!$D$6)+4)-1))+2+18,11)))</f>
        <v/>
      </c>
      <c r="L289">
        <f>IF(OR($B289="",(N('My Rota'!$D$6)+4)&gt;53),"",""&amp;CHOOSE(IFERROR(MATCH('My Rota'!$D$5,Setup!$K$33:$K$36,0),1),INDEX('2027'!$A:$Z,(5+50*((N('My Rota'!$D$6)+4)-1))+2+18,12),INDEX('2028'!$A:$Z,(5+50*((N('My Rota'!$D$6)+4)-1))+2+18,12),INDEX('2029'!$A:$Z,(5+50*((N('My Rota'!$D$6)+4)-1))+2+18,12),INDEX('2030'!$A:$Z,(5+50*((N('My Rota'!$D$6)+4)-1))+2+18,12)))</f>
        <v/>
      </c>
      <c r="M289">
        <f>IF(OR($B289="",(N('My Rota'!$D$6)+4)&gt;53),"",""&amp;CHOOSE(IFERROR(MATCH('My Rota'!$D$5,Setup!$K$33:$K$36,0),1),INDEX('2027'!$A:$Z,(5+50*((N('My Rota'!$D$6)+4)-1))+2+18,13),INDEX('2028'!$A:$Z,(5+50*((N('My Rota'!$D$6)+4)-1))+2+18,13),INDEX('2029'!$A:$Z,(5+50*((N('My Rota'!$D$6)+4)-1))+2+18,13),INDEX('2030'!$A:$Z,(5+50*((N('My Rota'!$D$6)+4)-1))+2+18,13)))</f>
        <v/>
      </c>
      <c r="N289">
        <f>IF(OR($B289="",(N('My Rota'!$D$6)+4)&gt;53),"",""&amp;CHOOSE(IFERROR(MATCH('My Rota'!$D$5,Setup!$K$33:$K$36,0),1),INDEX('2027'!$A:$Z,(5+50*((N('My Rota'!$D$6)+4)-1))+2+18,14),INDEX('2028'!$A:$Z,(5+50*((N('My Rota'!$D$6)+4)-1))+2+18,14),INDEX('2029'!$A:$Z,(5+50*((N('My Rota'!$D$6)+4)-1))+2+18,14),INDEX('2030'!$A:$Z,(5+50*((N('My Rota'!$D$6)+4)-1))+2+18,14)))</f>
        <v/>
      </c>
      <c r="O289">
        <f>IF(OR($B289="",(N('My Rota'!$D$6)+4)&gt;53),"",""&amp;CHOOSE(IFERROR(MATCH('My Rota'!$D$5,Setup!$K$33:$K$36,0),1),INDEX('2027'!$A:$Z,(5+50*((N('My Rota'!$D$6)+4)-1))+2+18,15),INDEX('2028'!$A:$Z,(5+50*((N('My Rota'!$D$6)+4)-1))+2+18,15),INDEX('2029'!$A:$Z,(5+50*((N('My Rota'!$D$6)+4)-1))+2+18,15),INDEX('2030'!$A:$Z,(5+50*((N('My Rota'!$D$6)+4)-1))+2+18,15)))</f>
        <v/>
      </c>
      <c r="P289">
        <f>IF(OR($B289="",(N('My Rota'!$D$6)+4)&gt;53),"",""&amp;CHOOSE(IFERROR(MATCH('My Rota'!$D$5,Setup!$K$33:$K$36,0),1),INDEX('2027'!$A:$Z,(5+50*((N('My Rota'!$D$6)+4)-1))+2+18,16),INDEX('2028'!$A:$Z,(5+50*((N('My Rota'!$D$6)+4)-1))+2+18,16),INDEX('2029'!$A:$Z,(5+50*((N('My Rota'!$D$6)+4)-1))+2+18,16),INDEX('2030'!$A:$Z,(5+50*((N('My Rota'!$D$6)+4)-1))+2+18,16)))</f>
        <v/>
      </c>
      <c r="Q289">
        <f>IF(OR($B289="",(N('My Rota'!$D$6)+4)&gt;53),"",""&amp;CHOOSE(IFERROR(MATCH('My Rota'!$D$5,Setup!$K$33:$K$36,0),1),INDEX('2027'!$A:$Z,(5+50*((N('My Rota'!$D$6)+4)-1))+2+18,17),INDEX('2028'!$A:$Z,(5+50*((N('My Rota'!$D$6)+4)-1))+2+18,17),INDEX('2029'!$A:$Z,(5+50*((N('My Rota'!$D$6)+4)-1))+2+18,17),INDEX('2030'!$A:$Z,(5+50*((N('My Rota'!$D$6)+4)-1))+2+18,17)))</f>
        <v/>
      </c>
      <c r="R289">
        <f>IF(OR($B289="",(N('My Rota'!$D$6)+4)&gt;53),"",""&amp;CHOOSE(IFERROR(MATCH('My Rota'!$D$5,Setup!$K$33:$K$36,0),1),INDEX('2027'!$A:$Z,(5+50*((N('My Rota'!$D$6)+4)-1))+2+18,18),INDEX('2028'!$A:$Z,(5+50*((N('My Rota'!$D$6)+4)-1))+2+18,18),INDEX('2029'!$A:$Z,(5+50*((N('My Rota'!$D$6)+4)-1))+2+18,18),INDEX('2030'!$A:$Z,(5+50*((N('My Rota'!$D$6)+4)-1))+2+18,18)))</f>
        <v/>
      </c>
      <c r="S289">
        <f>IF(OR($B289="",(N('My Rota'!$D$6)+4)&gt;53),"",""&amp;CHOOSE(IFERROR(MATCH('My Rota'!$D$5,Setup!$K$33:$K$36,0),1),INDEX('2027'!$A:$Z,(5+50*((N('My Rota'!$D$6)+4)-1))+2+18,19),INDEX('2028'!$A:$Z,(5+50*((N('My Rota'!$D$6)+4)-1))+2+18,19),INDEX('2029'!$A:$Z,(5+50*((N('My Rota'!$D$6)+4)-1))+2+18,19),INDEX('2030'!$A:$Z,(5+50*((N('My Rota'!$D$6)+4)-1))+2+18,19)))</f>
        <v/>
      </c>
      <c r="T289">
        <f>IF(OR($B289="",(N('My Rota'!$D$6)+4)&gt;53),"",""&amp;CHOOSE(IFERROR(MATCH('My Rota'!$D$5,Setup!$K$33:$K$36,0),1),INDEX('2027'!$A:$Z,(5+50*((N('My Rota'!$D$6)+4)-1))+2+18,20),INDEX('2028'!$A:$Z,(5+50*((N('My Rota'!$D$6)+4)-1))+2+18,20),INDEX('2029'!$A:$Z,(5+50*((N('My Rota'!$D$6)+4)-1))+2+18,20),INDEX('2030'!$A:$Z,(5+50*((N('My Rota'!$D$6)+4)-1))+2+18,20)))</f>
        <v/>
      </c>
      <c r="U289">
        <f>IF(OR($B289="",(N('My Rota'!$D$6)+4)&gt;53),"",""&amp;CHOOSE(IFERROR(MATCH('My Rota'!$D$5,Setup!$K$33:$K$36,0),1),INDEX('2027'!$A:$Z,(5+50*((N('My Rota'!$D$6)+4)-1))+2+18,21),INDEX('2028'!$A:$Z,(5+50*((N('My Rota'!$D$6)+4)-1))+2+18,21),INDEX('2029'!$A:$Z,(5+50*((N('My Rota'!$D$6)+4)-1))+2+18,21),INDEX('2030'!$A:$Z,(5+50*((N('My Rota'!$D$6)+4)-1))+2+18,21)))</f>
        <v/>
      </c>
      <c r="V289">
        <f>IF(OR($B289="",(N('My Rota'!$D$6)+4)&gt;53),"",""&amp;CHOOSE(IFERROR(MATCH('My Rota'!$D$5,Setup!$K$33:$K$36,0),1),INDEX('2027'!$A:$Z,(5+50*((N('My Rota'!$D$6)+4)-1))+2+18,22),INDEX('2028'!$A:$Z,(5+50*((N('My Rota'!$D$6)+4)-1))+2+18,22),INDEX('2029'!$A:$Z,(5+50*((N('My Rota'!$D$6)+4)-1))+2+18,22),INDEX('2030'!$A:$Z,(5+50*((N('My Rota'!$D$6)+4)-1))+2+18,22)))</f>
        <v/>
      </c>
      <c r="W289">
        <f>IF(OR($B289="",(N('My Rota'!$D$6)+4)&gt;53),"",""&amp;CHOOSE(IFERROR(MATCH('My Rota'!$D$5,Setup!$K$33:$K$36,0),1),INDEX('2027'!$A:$Z,(5+50*((N('My Rota'!$D$6)+4)-1))+2+18,23),INDEX('2028'!$A:$Z,(5+50*((N('My Rota'!$D$6)+4)-1))+2+18,23),INDEX('2029'!$A:$Z,(5+50*((N('My Rota'!$D$6)+4)-1))+2+18,23),INDEX('2030'!$A:$Z,(5+50*((N('My Rota'!$D$6)+4)-1))+2+18,23)))</f>
        <v/>
      </c>
      <c r="X289">
        <f>IF(OR($B289="",(N('My Rota'!$D$6)+4)&gt;53),"",""&amp;CHOOSE(IFERROR(MATCH('My Rota'!$D$5,Setup!$K$33:$K$36,0),1),INDEX('2027'!$A:$Z,(5+50*((N('My Rota'!$D$6)+4)-1))+2+18,24),INDEX('2028'!$A:$Z,(5+50*((N('My Rota'!$D$6)+4)-1))+2+18,24),INDEX('2029'!$A:$Z,(5+50*((N('My Rota'!$D$6)+4)-1))+2+18,24),INDEX('2030'!$A:$Z,(5+50*((N('My Rota'!$D$6)+4)-1))+2+18,24)))</f>
        <v/>
      </c>
      <c r="Y289">
        <f>IF(OR($B289="",(N('My Rota'!$D$6)+4)&gt;53),"",""&amp;CHOOSE(IFERROR(MATCH('My Rota'!$D$5,Setup!$K$33:$K$36,0),1),INDEX('2027'!$A:$Z,(5+50*((N('My Rota'!$D$6)+4)-1))+2+18,25),INDEX('2028'!$A:$Z,(5+50*((N('My Rota'!$D$6)+4)-1))+2+18,25),INDEX('2029'!$A:$Z,(5+50*((N('My Rota'!$D$6)+4)-1))+2+18,25),INDEX('2030'!$A:$Z,(5+50*((N('My Rota'!$D$6)+4)-1))+2+18,25)))</f>
        <v/>
      </c>
      <c r="Z289">
        <f>IF(OR($B289="",(N('My Rota'!$D$6)+4)&gt;53),"",""&amp;CHOOSE(IFERROR(MATCH('My Rota'!$D$5,Setup!$K$33:$K$36,0),1),INDEX('2027'!$A:$Z,(5+50*((N('My Rota'!$D$6)+4)-1))+2+18,26),INDEX('2028'!$A:$Z,(5+50*((N('My Rota'!$D$6)+4)-1))+2+18,26),INDEX('2029'!$A:$Z,(5+50*((N('My Rota'!$D$6)+4)-1))+2+18,26),INDEX('2030'!$A:$Z,(5+50*((N('My Rota'!$D$6)+4)-1))+2+18,26)))</f>
        <v/>
      </c>
    </row>
    <row r="290">
      <c r="A290" t="n">
        <v>6</v>
      </c>
      <c r="B290">
        <f>$B$47</f>
        <v/>
      </c>
      <c r="C290">
        <f>IF(OR($B290="",(N('My Rota'!$D$6)+5)&gt;53),"",""&amp;CHOOSE(IFERROR(MATCH('My Rota'!$D$5,Setup!$K$33:$K$36,0),1),INDEX('2027'!$A:$Z,(5+50*((N('My Rota'!$D$6)+5)-1))+2+1,3),INDEX('2028'!$A:$Z,(5+50*((N('My Rota'!$D$6)+5)-1))+2+1,3),INDEX('2029'!$A:$Z,(5+50*((N('My Rota'!$D$6)+5)-1))+2+1,3),INDEX('2030'!$A:$Z,(5+50*((N('My Rota'!$D$6)+5)-1))+2+1,3)))</f>
        <v/>
      </c>
      <c r="D290">
        <f>IF(OR($B290="",(N('My Rota'!$D$6)+5)&gt;53),"",""&amp;CHOOSE(IFERROR(MATCH('My Rota'!$D$5,Setup!$K$33:$K$36,0),1),INDEX('2027'!$A:$Z,(5+50*((N('My Rota'!$D$6)+5)-1))+2+1,4),INDEX('2028'!$A:$Z,(5+50*((N('My Rota'!$D$6)+5)-1))+2+1,4),INDEX('2029'!$A:$Z,(5+50*((N('My Rota'!$D$6)+5)-1))+2+1,4),INDEX('2030'!$A:$Z,(5+50*((N('My Rota'!$D$6)+5)-1))+2+1,4)))</f>
        <v/>
      </c>
      <c r="E290">
        <f>IF(OR($B290="",(N('My Rota'!$D$6)+5)&gt;53),"",""&amp;CHOOSE(IFERROR(MATCH('My Rota'!$D$5,Setup!$K$33:$K$36,0),1),INDEX('2027'!$A:$Z,(5+50*((N('My Rota'!$D$6)+5)-1))+2+1,5),INDEX('2028'!$A:$Z,(5+50*((N('My Rota'!$D$6)+5)-1))+2+1,5),INDEX('2029'!$A:$Z,(5+50*((N('My Rota'!$D$6)+5)-1))+2+1,5),INDEX('2030'!$A:$Z,(5+50*((N('My Rota'!$D$6)+5)-1))+2+1,5)))</f>
        <v/>
      </c>
      <c r="F290">
        <f>IF(OR($B290="",(N('My Rota'!$D$6)+5)&gt;53),"",""&amp;CHOOSE(IFERROR(MATCH('My Rota'!$D$5,Setup!$K$33:$K$36,0),1),INDEX('2027'!$A:$Z,(5+50*((N('My Rota'!$D$6)+5)-1))+2+1,6),INDEX('2028'!$A:$Z,(5+50*((N('My Rota'!$D$6)+5)-1))+2+1,6),INDEX('2029'!$A:$Z,(5+50*((N('My Rota'!$D$6)+5)-1))+2+1,6),INDEX('2030'!$A:$Z,(5+50*((N('My Rota'!$D$6)+5)-1))+2+1,6)))</f>
        <v/>
      </c>
      <c r="G290">
        <f>IF(OR($B290="",(N('My Rota'!$D$6)+5)&gt;53),"",""&amp;CHOOSE(IFERROR(MATCH('My Rota'!$D$5,Setup!$K$33:$K$36,0),1),INDEX('2027'!$A:$Z,(5+50*((N('My Rota'!$D$6)+5)-1))+2+1,7),INDEX('2028'!$A:$Z,(5+50*((N('My Rota'!$D$6)+5)-1))+2+1,7),INDEX('2029'!$A:$Z,(5+50*((N('My Rota'!$D$6)+5)-1))+2+1,7),INDEX('2030'!$A:$Z,(5+50*((N('My Rota'!$D$6)+5)-1))+2+1,7)))</f>
        <v/>
      </c>
      <c r="H290">
        <f>IF(OR($B290="",(N('My Rota'!$D$6)+5)&gt;53),"",""&amp;CHOOSE(IFERROR(MATCH('My Rota'!$D$5,Setup!$K$33:$K$36,0),1),INDEX('2027'!$A:$Z,(5+50*((N('My Rota'!$D$6)+5)-1))+2+1,8),INDEX('2028'!$A:$Z,(5+50*((N('My Rota'!$D$6)+5)-1))+2+1,8),INDEX('2029'!$A:$Z,(5+50*((N('My Rota'!$D$6)+5)-1))+2+1,8),INDEX('2030'!$A:$Z,(5+50*((N('My Rota'!$D$6)+5)-1))+2+1,8)))</f>
        <v/>
      </c>
      <c r="I290">
        <f>IF(OR($B290="",(N('My Rota'!$D$6)+5)&gt;53),"",""&amp;CHOOSE(IFERROR(MATCH('My Rota'!$D$5,Setup!$K$33:$K$36,0),1),INDEX('2027'!$A:$Z,(5+50*((N('My Rota'!$D$6)+5)-1))+2+1,9),INDEX('2028'!$A:$Z,(5+50*((N('My Rota'!$D$6)+5)-1))+2+1,9),INDEX('2029'!$A:$Z,(5+50*((N('My Rota'!$D$6)+5)-1))+2+1,9),INDEX('2030'!$A:$Z,(5+50*((N('My Rota'!$D$6)+5)-1))+2+1,9)))</f>
        <v/>
      </c>
      <c r="J290">
        <f>IF(OR($B290="",(N('My Rota'!$D$6)+5)&gt;53),"",""&amp;CHOOSE(IFERROR(MATCH('My Rota'!$D$5,Setup!$K$33:$K$36,0),1),INDEX('2027'!$A:$Z,(5+50*((N('My Rota'!$D$6)+5)-1))+2+1,10),INDEX('2028'!$A:$Z,(5+50*((N('My Rota'!$D$6)+5)-1))+2+1,10),INDEX('2029'!$A:$Z,(5+50*((N('My Rota'!$D$6)+5)-1))+2+1,10),INDEX('2030'!$A:$Z,(5+50*((N('My Rota'!$D$6)+5)-1))+2+1,10)))</f>
        <v/>
      </c>
      <c r="K290">
        <f>IF(OR($B290="",(N('My Rota'!$D$6)+5)&gt;53),"",""&amp;CHOOSE(IFERROR(MATCH('My Rota'!$D$5,Setup!$K$33:$K$36,0),1),INDEX('2027'!$A:$Z,(5+50*((N('My Rota'!$D$6)+5)-1))+2+1,11),INDEX('2028'!$A:$Z,(5+50*((N('My Rota'!$D$6)+5)-1))+2+1,11),INDEX('2029'!$A:$Z,(5+50*((N('My Rota'!$D$6)+5)-1))+2+1,11),INDEX('2030'!$A:$Z,(5+50*((N('My Rota'!$D$6)+5)-1))+2+1,11)))</f>
        <v/>
      </c>
      <c r="L290">
        <f>IF(OR($B290="",(N('My Rota'!$D$6)+5)&gt;53),"",""&amp;CHOOSE(IFERROR(MATCH('My Rota'!$D$5,Setup!$K$33:$K$36,0),1),INDEX('2027'!$A:$Z,(5+50*((N('My Rota'!$D$6)+5)-1))+2+1,12),INDEX('2028'!$A:$Z,(5+50*((N('My Rota'!$D$6)+5)-1))+2+1,12),INDEX('2029'!$A:$Z,(5+50*((N('My Rota'!$D$6)+5)-1))+2+1,12),INDEX('2030'!$A:$Z,(5+50*((N('My Rota'!$D$6)+5)-1))+2+1,12)))</f>
        <v/>
      </c>
      <c r="M290">
        <f>IF(OR($B290="",(N('My Rota'!$D$6)+5)&gt;53),"",""&amp;CHOOSE(IFERROR(MATCH('My Rota'!$D$5,Setup!$K$33:$K$36,0),1),INDEX('2027'!$A:$Z,(5+50*((N('My Rota'!$D$6)+5)-1))+2+1,13),INDEX('2028'!$A:$Z,(5+50*((N('My Rota'!$D$6)+5)-1))+2+1,13),INDEX('2029'!$A:$Z,(5+50*((N('My Rota'!$D$6)+5)-1))+2+1,13),INDEX('2030'!$A:$Z,(5+50*((N('My Rota'!$D$6)+5)-1))+2+1,13)))</f>
        <v/>
      </c>
      <c r="N290">
        <f>IF(OR($B290="",(N('My Rota'!$D$6)+5)&gt;53),"",""&amp;CHOOSE(IFERROR(MATCH('My Rota'!$D$5,Setup!$K$33:$K$36,0),1),INDEX('2027'!$A:$Z,(5+50*((N('My Rota'!$D$6)+5)-1))+2+1,14),INDEX('2028'!$A:$Z,(5+50*((N('My Rota'!$D$6)+5)-1))+2+1,14),INDEX('2029'!$A:$Z,(5+50*((N('My Rota'!$D$6)+5)-1))+2+1,14),INDEX('2030'!$A:$Z,(5+50*((N('My Rota'!$D$6)+5)-1))+2+1,14)))</f>
        <v/>
      </c>
      <c r="O290">
        <f>IF(OR($B290="",(N('My Rota'!$D$6)+5)&gt;53),"",""&amp;CHOOSE(IFERROR(MATCH('My Rota'!$D$5,Setup!$K$33:$K$36,0),1),INDEX('2027'!$A:$Z,(5+50*((N('My Rota'!$D$6)+5)-1))+2+1,15),INDEX('2028'!$A:$Z,(5+50*((N('My Rota'!$D$6)+5)-1))+2+1,15),INDEX('2029'!$A:$Z,(5+50*((N('My Rota'!$D$6)+5)-1))+2+1,15),INDEX('2030'!$A:$Z,(5+50*((N('My Rota'!$D$6)+5)-1))+2+1,15)))</f>
        <v/>
      </c>
      <c r="P290">
        <f>IF(OR($B290="",(N('My Rota'!$D$6)+5)&gt;53),"",""&amp;CHOOSE(IFERROR(MATCH('My Rota'!$D$5,Setup!$K$33:$K$36,0),1),INDEX('2027'!$A:$Z,(5+50*((N('My Rota'!$D$6)+5)-1))+2+1,16),INDEX('2028'!$A:$Z,(5+50*((N('My Rota'!$D$6)+5)-1))+2+1,16),INDEX('2029'!$A:$Z,(5+50*((N('My Rota'!$D$6)+5)-1))+2+1,16),INDEX('2030'!$A:$Z,(5+50*((N('My Rota'!$D$6)+5)-1))+2+1,16)))</f>
        <v/>
      </c>
      <c r="Q290">
        <f>IF(OR($B290="",(N('My Rota'!$D$6)+5)&gt;53),"",""&amp;CHOOSE(IFERROR(MATCH('My Rota'!$D$5,Setup!$K$33:$K$36,0),1),INDEX('2027'!$A:$Z,(5+50*((N('My Rota'!$D$6)+5)-1))+2+1,17),INDEX('2028'!$A:$Z,(5+50*((N('My Rota'!$D$6)+5)-1))+2+1,17),INDEX('2029'!$A:$Z,(5+50*((N('My Rota'!$D$6)+5)-1))+2+1,17),INDEX('2030'!$A:$Z,(5+50*((N('My Rota'!$D$6)+5)-1))+2+1,17)))</f>
        <v/>
      </c>
      <c r="R290">
        <f>IF(OR($B290="",(N('My Rota'!$D$6)+5)&gt;53),"",""&amp;CHOOSE(IFERROR(MATCH('My Rota'!$D$5,Setup!$K$33:$K$36,0),1),INDEX('2027'!$A:$Z,(5+50*((N('My Rota'!$D$6)+5)-1))+2+1,18),INDEX('2028'!$A:$Z,(5+50*((N('My Rota'!$D$6)+5)-1))+2+1,18),INDEX('2029'!$A:$Z,(5+50*((N('My Rota'!$D$6)+5)-1))+2+1,18),INDEX('2030'!$A:$Z,(5+50*((N('My Rota'!$D$6)+5)-1))+2+1,18)))</f>
        <v/>
      </c>
      <c r="S290">
        <f>IF(OR($B290="",(N('My Rota'!$D$6)+5)&gt;53),"",""&amp;CHOOSE(IFERROR(MATCH('My Rota'!$D$5,Setup!$K$33:$K$36,0),1),INDEX('2027'!$A:$Z,(5+50*((N('My Rota'!$D$6)+5)-1))+2+1,19),INDEX('2028'!$A:$Z,(5+50*((N('My Rota'!$D$6)+5)-1))+2+1,19),INDEX('2029'!$A:$Z,(5+50*((N('My Rota'!$D$6)+5)-1))+2+1,19),INDEX('2030'!$A:$Z,(5+50*((N('My Rota'!$D$6)+5)-1))+2+1,19)))</f>
        <v/>
      </c>
      <c r="T290">
        <f>IF(OR($B290="",(N('My Rota'!$D$6)+5)&gt;53),"",""&amp;CHOOSE(IFERROR(MATCH('My Rota'!$D$5,Setup!$K$33:$K$36,0),1),INDEX('2027'!$A:$Z,(5+50*((N('My Rota'!$D$6)+5)-1))+2+1,20),INDEX('2028'!$A:$Z,(5+50*((N('My Rota'!$D$6)+5)-1))+2+1,20),INDEX('2029'!$A:$Z,(5+50*((N('My Rota'!$D$6)+5)-1))+2+1,20),INDEX('2030'!$A:$Z,(5+50*((N('My Rota'!$D$6)+5)-1))+2+1,20)))</f>
        <v/>
      </c>
      <c r="U290">
        <f>IF(OR($B290="",(N('My Rota'!$D$6)+5)&gt;53),"",""&amp;CHOOSE(IFERROR(MATCH('My Rota'!$D$5,Setup!$K$33:$K$36,0),1),INDEX('2027'!$A:$Z,(5+50*((N('My Rota'!$D$6)+5)-1))+2+1,21),INDEX('2028'!$A:$Z,(5+50*((N('My Rota'!$D$6)+5)-1))+2+1,21),INDEX('2029'!$A:$Z,(5+50*((N('My Rota'!$D$6)+5)-1))+2+1,21),INDEX('2030'!$A:$Z,(5+50*((N('My Rota'!$D$6)+5)-1))+2+1,21)))</f>
        <v/>
      </c>
      <c r="V290">
        <f>IF(OR($B290="",(N('My Rota'!$D$6)+5)&gt;53),"",""&amp;CHOOSE(IFERROR(MATCH('My Rota'!$D$5,Setup!$K$33:$K$36,0),1),INDEX('2027'!$A:$Z,(5+50*((N('My Rota'!$D$6)+5)-1))+2+1,22),INDEX('2028'!$A:$Z,(5+50*((N('My Rota'!$D$6)+5)-1))+2+1,22),INDEX('2029'!$A:$Z,(5+50*((N('My Rota'!$D$6)+5)-1))+2+1,22),INDEX('2030'!$A:$Z,(5+50*((N('My Rota'!$D$6)+5)-1))+2+1,22)))</f>
        <v/>
      </c>
      <c r="W290">
        <f>IF(OR($B290="",(N('My Rota'!$D$6)+5)&gt;53),"",""&amp;CHOOSE(IFERROR(MATCH('My Rota'!$D$5,Setup!$K$33:$K$36,0),1),INDEX('2027'!$A:$Z,(5+50*((N('My Rota'!$D$6)+5)-1))+2+1,23),INDEX('2028'!$A:$Z,(5+50*((N('My Rota'!$D$6)+5)-1))+2+1,23),INDEX('2029'!$A:$Z,(5+50*((N('My Rota'!$D$6)+5)-1))+2+1,23),INDEX('2030'!$A:$Z,(5+50*((N('My Rota'!$D$6)+5)-1))+2+1,23)))</f>
        <v/>
      </c>
      <c r="X290">
        <f>IF(OR($B290="",(N('My Rota'!$D$6)+5)&gt;53),"",""&amp;CHOOSE(IFERROR(MATCH('My Rota'!$D$5,Setup!$K$33:$K$36,0),1),INDEX('2027'!$A:$Z,(5+50*((N('My Rota'!$D$6)+5)-1))+2+1,24),INDEX('2028'!$A:$Z,(5+50*((N('My Rota'!$D$6)+5)-1))+2+1,24),INDEX('2029'!$A:$Z,(5+50*((N('My Rota'!$D$6)+5)-1))+2+1,24),INDEX('2030'!$A:$Z,(5+50*((N('My Rota'!$D$6)+5)-1))+2+1,24)))</f>
        <v/>
      </c>
      <c r="Y290">
        <f>IF(OR($B290="",(N('My Rota'!$D$6)+5)&gt;53),"",""&amp;CHOOSE(IFERROR(MATCH('My Rota'!$D$5,Setup!$K$33:$K$36,0),1),INDEX('2027'!$A:$Z,(5+50*((N('My Rota'!$D$6)+5)-1))+2+1,25),INDEX('2028'!$A:$Z,(5+50*((N('My Rota'!$D$6)+5)-1))+2+1,25),INDEX('2029'!$A:$Z,(5+50*((N('My Rota'!$D$6)+5)-1))+2+1,25),INDEX('2030'!$A:$Z,(5+50*((N('My Rota'!$D$6)+5)-1))+2+1,25)))</f>
        <v/>
      </c>
      <c r="Z290">
        <f>IF(OR($B290="",(N('My Rota'!$D$6)+5)&gt;53),"",""&amp;CHOOSE(IFERROR(MATCH('My Rota'!$D$5,Setup!$K$33:$K$36,0),1),INDEX('2027'!$A:$Z,(5+50*((N('My Rota'!$D$6)+5)-1))+2+1,26),INDEX('2028'!$A:$Z,(5+50*((N('My Rota'!$D$6)+5)-1))+2+1,26),INDEX('2029'!$A:$Z,(5+50*((N('My Rota'!$D$6)+5)-1))+2+1,26),INDEX('2030'!$A:$Z,(5+50*((N('My Rota'!$D$6)+5)-1))+2+1,26)))</f>
        <v/>
      </c>
    </row>
    <row r="291">
      <c r="A291" t="n">
        <v>6</v>
      </c>
      <c r="B291">
        <f>$B$48</f>
        <v/>
      </c>
      <c r="C291">
        <f>IF(OR($B291="",(N('My Rota'!$D$6)+5)&gt;53),"",""&amp;CHOOSE(IFERROR(MATCH('My Rota'!$D$5,Setup!$K$33:$K$36,0),1),INDEX('2027'!$A:$Z,(5+50*((N('My Rota'!$D$6)+5)-1))+2+2,3),INDEX('2028'!$A:$Z,(5+50*((N('My Rota'!$D$6)+5)-1))+2+2,3),INDEX('2029'!$A:$Z,(5+50*((N('My Rota'!$D$6)+5)-1))+2+2,3),INDEX('2030'!$A:$Z,(5+50*((N('My Rota'!$D$6)+5)-1))+2+2,3)))</f>
        <v/>
      </c>
      <c r="D291">
        <f>IF(OR($B291="",(N('My Rota'!$D$6)+5)&gt;53),"",""&amp;CHOOSE(IFERROR(MATCH('My Rota'!$D$5,Setup!$K$33:$K$36,0),1),INDEX('2027'!$A:$Z,(5+50*((N('My Rota'!$D$6)+5)-1))+2+2,4),INDEX('2028'!$A:$Z,(5+50*((N('My Rota'!$D$6)+5)-1))+2+2,4),INDEX('2029'!$A:$Z,(5+50*((N('My Rota'!$D$6)+5)-1))+2+2,4),INDEX('2030'!$A:$Z,(5+50*((N('My Rota'!$D$6)+5)-1))+2+2,4)))</f>
        <v/>
      </c>
      <c r="E291">
        <f>IF(OR($B291="",(N('My Rota'!$D$6)+5)&gt;53),"",""&amp;CHOOSE(IFERROR(MATCH('My Rota'!$D$5,Setup!$K$33:$K$36,0),1),INDEX('2027'!$A:$Z,(5+50*((N('My Rota'!$D$6)+5)-1))+2+2,5),INDEX('2028'!$A:$Z,(5+50*((N('My Rota'!$D$6)+5)-1))+2+2,5),INDEX('2029'!$A:$Z,(5+50*((N('My Rota'!$D$6)+5)-1))+2+2,5),INDEX('2030'!$A:$Z,(5+50*((N('My Rota'!$D$6)+5)-1))+2+2,5)))</f>
        <v/>
      </c>
      <c r="F291">
        <f>IF(OR($B291="",(N('My Rota'!$D$6)+5)&gt;53),"",""&amp;CHOOSE(IFERROR(MATCH('My Rota'!$D$5,Setup!$K$33:$K$36,0),1),INDEX('2027'!$A:$Z,(5+50*((N('My Rota'!$D$6)+5)-1))+2+2,6),INDEX('2028'!$A:$Z,(5+50*((N('My Rota'!$D$6)+5)-1))+2+2,6),INDEX('2029'!$A:$Z,(5+50*((N('My Rota'!$D$6)+5)-1))+2+2,6),INDEX('2030'!$A:$Z,(5+50*((N('My Rota'!$D$6)+5)-1))+2+2,6)))</f>
        <v/>
      </c>
      <c r="G291">
        <f>IF(OR($B291="",(N('My Rota'!$D$6)+5)&gt;53),"",""&amp;CHOOSE(IFERROR(MATCH('My Rota'!$D$5,Setup!$K$33:$K$36,0),1),INDEX('2027'!$A:$Z,(5+50*((N('My Rota'!$D$6)+5)-1))+2+2,7),INDEX('2028'!$A:$Z,(5+50*((N('My Rota'!$D$6)+5)-1))+2+2,7),INDEX('2029'!$A:$Z,(5+50*((N('My Rota'!$D$6)+5)-1))+2+2,7),INDEX('2030'!$A:$Z,(5+50*((N('My Rota'!$D$6)+5)-1))+2+2,7)))</f>
        <v/>
      </c>
      <c r="H291">
        <f>IF(OR($B291="",(N('My Rota'!$D$6)+5)&gt;53),"",""&amp;CHOOSE(IFERROR(MATCH('My Rota'!$D$5,Setup!$K$33:$K$36,0),1),INDEX('2027'!$A:$Z,(5+50*((N('My Rota'!$D$6)+5)-1))+2+2,8),INDEX('2028'!$A:$Z,(5+50*((N('My Rota'!$D$6)+5)-1))+2+2,8),INDEX('2029'!$A:$Z,(5+50*((N('My Rota'!$D$6)+5)-1))+2+2,8),INDEX('2030'!$A:$Z,(5+50*((N('My Rota'!$D$6)+5)-1))+2+2,8)))</f>
        <v/>
      </c>
      <c r="I291">
        <f>IF(OR($B291="",(N('My Rota'!$D$6)+5)&gt;53),"",""&amp;CHOOSE(IFERROR(MATCH('My Rota'!$D$5,Setup!$K$33:$K$36,0),1),INDEX('2027'!$A:$Z,(5+50*((N('My Rota'!$D$6)+5)-1))+2+2,9),INDEX('2028'!$A:$Z,(5+50*((N('My Rota'!$D$6)+5)-1))+2+2,9),INDEX('2029'!$A:$Z,(5+50*((N('My Rota'!$D$6)+5)-1))+2+2,9),INDEX('2030'!$A:$Z,(5+50*((N('My Rota'!$D$6)+5)-1))+2+2,9)))</f>
        <v/>
      </c>
      <c r="J291">
        <f>IF(OR($B291="",(N('My Rota'!$D$6)+5)&gt;53),"",""&amp;CHOOSE(IFERROR(MATCH('My Rota'!$D$5,Setup!$K$33:$K$36,0),1),INDEX('2027'!$A:$Z,(5+50*((N('My Rota'!$D$6)+5)-1))+2+2,10),INDEX('2028'!$A:$Z,(5+50*((N('My Rota'!$D$6)+5)-1))+2+2,10),INDEX('2029'!$A:$Z,(5+50*((N('My Rota'!$D$6)+5)-1))+2+2,10),INDEX('2030'!$A:$Z,(5+50*((N('My Rota'!$D$6)+5)-1))+2+2,10)))</f>
        <v/>
      </c>
      <c r="K291">
        <f>IF(OR($B291="",(N('My Rota'!$D$6)+5)&gt;53),"",""&amp;CHOOSE(IFERROR(MATCH('My Rota'!$D$5,Setup!$K$33:$K$36,0),1),INDEX('2027'!$A:$Z,(5+50*((N('My Rota'!$D$6)+5)-1))+2+2,11),INDEX('2028'!$A:$Z,(5+50*((N('My Rota'!$D$6)+5)-1))+2+2,11),INDEX('2029'!$A:$Z,(5+50*((N('My Rota'!$D$6)+5)-1))+2+2,11),INDEX('2030'!$A:$Z,(5+50*((N('My Rota'!$D$6)+5)-1))+2+2,11)))</f>
        <v/>
      </c>
      <c r="L291">
        <f>IF(OR($B291="",(N('My Rota'!$D$6)+5)&gt;53),"",""&amp;CHOOSE(IFERROR(MATCH('My Rota'!$D$5,Setup!$K$33:$K$36,0),1),INDEX('2027'!$A:$Z,(5+50*((N('My Rota'!$D$6)+5)-1))+2+2,12),INDEX('2028'!$A:$Z,(5+50*((N('My Rota'!$D$6)+5)-1))+2+2,12),INDEX('2029'!$A:$Z,(5+50*((N('My Rota'!$D$6)+5)-1))+2+2,12),INDEX('2030'!$A:$Z,(5+50*((N('My Rota'!$D$6)+5)-1))+2+2,12)))</f>
        <v/>
      </c>
      <c r="M291">
        <f>IF(OR($B291="",(N('My Rota'!$D$6)+5)&gt;53),"",""&amp;CHOOSE(IFERROR(MATCH('My Rota'!$D$5,Setup!$K$33:$K$36,0),1),INDEX('2027'!$A:$Z,(5+50*((N('My Rota'!$D$6)+5)-1))+2+2,13),INDEX('2028'!$A:$Z,(5+50*((N('My Rota'!$D$6)+5)-1))+2+2,13),INDEX('2029'!$A:$Z,(5+50*((N('My Rota'!$D$6)+5)-1))+2+2,13),INDEX('2030'!$A:$Z,(5+50*((N('My Rota'!$D$6)+5)-1))+2+2,13)))</f>
        <v/>
      </c>
      <c r="N291">
        <f>IF(OR($B291="",(N('My Rota'!$D$6)+5)&gt;53),"",""&amp;CHOOSE(IFERROR(MATCH('My Rota'!$D$5,Setup!$K$33:$K$36,0),1),INDEX('2027'!$A:$Z,(5+50*((N('My Rota'!$D$6)+5)-1))+2+2,14),INDEX('2028'!$A:$Z,(5+50*((N('My Rota'!$D$6)+5)-1))+2+2,14),INDEX('2029'!$A:$Z,(5+50*((N('My Rota'!$D$6)+5)-1))+2+2,14),INDEX('2030'!$A:$Z,(5+50*((N('My Rota'!$D$6)+5)-1))+2+2,14)))</f>
        <v/>
      </c>
      <c r="O291">
        <f>IF(OR($B291="",(N('My Rota'!$D$6)+5)&gt;53),"",""&amp;CHOOSE(IFERROR(MATCH('My Rota'!$D$5,Setup!$K$33:$K$36,0),1),INDEX('2027'!$A:$Z,(5+50*((N('My Rota'!$D$6)+5)-1))+2+2,15),INDEX('2028'!$A:$Z,(5+50*((N('My Rota'!$D$6)+5)-1))+2+2,15),INDEX('2029'!$A:$Z,(5+50*((N('My Rota'!$D$6)+5)-1))+2+2,15),INDEX('2030'!$A:$Z,(5+50*((N('My Rota'!$D$6)+5)-1))+2+2,15)))</f>
        <v/>
      </c>
      <c r="P291">
        <f>IF(OR($B291="",(N('My Rota'!$D$6)+5)&gt;53),"",""&amp;CHOOSE(IFERROR(MATCH('My Rota'!$D$5,Setup!$K$33:$K$36,0),1),INDEX('2027'!$A:$Z,(5+50*((N('My Rota'!$D$6)+5)-1))+2+2,16),INDEX('2028'!$A:$Z,(5+50*((N('My Rota'!$D$6)+5)-1))+2+2,16),INDEX('2029'!$A:$Z,(5+50*((N('My Rota'!$D$6)+5)-1))+2+2,16),INDEX('2030'!$A:$Z,(5+50*((N('My Rota'!$D$6)+5)-1))+2+2,16)))</f>
        <v/>
      </c>
      <c r="Q291">
        <f>IF(OR($B291="",(N('My Rota'!$D$6)+5)&gt;53),"",""&amp;CHOOSE(IFERROR(MATCH('My Rota'!$D$5,Setup!$K$33:$K$36,0),1),INDEX('2027'!$A:$Z,(5+50*((N('My Rota'!$D$6)+5)-1))+2+2,17),INDEX('2028'!$A:$Z,(5+50*((N('My Rota'!$D$6)+5)-1))+2+2,17),INDEX('2029'!$A:$Z,(5+50*((N('My Rota'!$D$6)+5)-1))+2+2,17),INDEX('2030'!$A:$Z,(5+50*((N('My Rota'!$D$6)+5)-1))+2+2,17)))</f>
        <v/>
      </c>
      <c r="R291">
        <f>IF(OR($B291="",(N('My Rota'!$D$6)+5)&gt;53),"",""&amp;CHOOSE(IFERROR(MATCH('My Rota'!$D$5,Setup!$K$33:$K$36,0),1),INDEX('2027'!$A:$Z,(5+50*((N('My Rota'!$D$6)+5)-1))+2+2,18),INDEX('2028'!$A:$Z,(5+50*((N('My Rota'!$D$6)+5)-1))+2+2,18),INDEX('2029'!$A:$Z,(5+50*((N('My Rota'!$D$6)+5)-1))+2+2,18),INDEX('2030'!$A:$Z,(5+50*((N('My Rota'!$D$6)+5)-1))+2+2,18)))</f>
        <v/>
      </c>
      <c r="S291">
        <f>IF(OR($B291="",(N('My Rota'!$D$6)+5)&gt;53),"",""&amp;CHOOSE(IFERROR(MATCH('My Rota'!$D$5,Setup!$K$33:$K$36,0),1),INDEX('2027'!$A:$Z,(5+50*((N('My Rota'!$D$6)+5)-1))+2+2,19),INDEX('2028'!$A:$Z,(5+50*((N('My Rota'!$D$6)+5)-1))+2+2,19),INDEX('2029'!$A:$Z,(5+50*((N('My Rota'!$D$6)+5)-1))+2+2,19),INDEX('2030'!$A:$Z,(5+50*((N('My Rota'!$D$6)+5)-1))+2+2,19)))</f>
        <v/>
      </c>
      <c r="T291">
        <f>IF(OR($B291="",(N('My Rota'!$D$6)+5)&gt;53),"",""&amp;CHOOSE(IFERROR(MATCH('My Rota'!$D$5,Setup!$K$33:$K$36,0),1),INDEX('2027'!$A:$Z,(5+50*((N('My Rota'!$D$6)+5)-1))+2+2,20),INDEX('2028'!$A:$Z,(5+50*((N('My Rota'!$D$6)+5)-1))+2+2,20),INDEX('2029'!$A:$Z,(5+50*((N('My Rota'!$D$6)+5)-1))+2+2,20),INDEX('2030'!$A:$Z,(5+50*((N('My Rota'!$D$6)+5)-1))+2+2,20)))</f>
        <v/>
      </c>
      <c r="U291">
        <f>IF(OR($B291="",(N('My Rota'!$D$6)+5)&gt;53),"",""&amp;CHOOSE(IFERROR(MATCH('My Rota'!$D$5,Setup!$K$33:$K$36,0),1),INDEX('2027'!$A:$Z,(5+50*((N('My Rota'!$D$6)+5)-1))+2+2,21),INDEX('2028'!$A:$Z,(5+50*((N('My Rota'!$D$6)+5)-1))+2+2,21),INDEX('2029'!$A:$Z,(5+50*((N('My Rota'!$D$6)+5)-1))+2+2,21),INDEX('2030'!$A:$Z,(5+50*((N('My Rota'!$D$6)+5)-1))+2+2,21)))</f>
        <v/>
      </c>
      <c r="V291">
        <f>IF(OR($B291="",(N('My Rota'!$D$6)+5)&gt;53),"",""&amp;CHOOSE(IFERROR(MATCH('My Rota'!$D$5,Setup!$K$33:$K$36,0),1),INDEX('2027'!$A:$Z,(5+50*((N('My Rota'!$D$6)+5)-1))+2+2,22),INDEX('2028'!$A:$Z,(5+50*((N('My Rota'!$D$6)+5)-1))+2+2,22),INDEX('2029'!$A:$Z,(5+50*((N('My Rota'!$D$6)+5)-1))+2+2,22),INDEX('2030'!$A:$Z,(5+50*((N('My Rota'!$D$6)+5)-1))+2+2,22)))</f>
        <v/>
      </c>
      <c r="W291">
        <f>IF(OR($B291="",(N('My Rota'!$D$6)+5)&gt;53),"",""&amp;CHOOSE(IFERROR(MATCH('My Rota'!$D$5,Setup!$K$33:$K$36,0),1),INDEX('2027'!$A:$Z,(5+50*((N('My Rota'!$D$6)+5)-1))+2+2,23),INDEX('2028'!$A:$Z,(5+50*((N('My Rota'!$D$6)+5)-1))+2+2,23),INDEX('2029'!$A:$Z,(5+50*((N('My Rota'!$D$6)+5)-1))+2+2,23),INDEX('2030'!$A:$Z,(5+50*((N('My Rota'!$D$6)+5)-1))+2+2,23)))</f>
        <v/>
      </c>
      <c r="X291">
        <f>IF(OR($B291="",(N('My Rota'!$D$6)+5)&gt;53),"",""&amp;CHOOSE(IFERROR(MATCH('My Rota'!$D$5,Setup!$K$33:$K$36,0),1),INDEX('2027'!$A:$Z,(5+50*((N('My Rota'!$D$6)+5)-1))+2+2,24),INDEX('2028'!$A:$Z,(5+50*((N('My Rota'!$D$6)+5)-1))+2+2,24),INDEX('2029'!$A:$Z,(5+50*((N('My Rota'!$D$6)+5)-1))+2+2,24),INDEX('2030'!$A:$Z,(5+50*((N('My Rota'!$D$6)+5)-1))+2+2,24)))</f>
        <v/>
      </c>
      <c r="Y291">
        <f>IF(OR($B291="",(N('My Rota'!$D$6)+5)&gt;53),"",""&amp;CHOOSE(IFERROR(MATCH('My Rota'!$D$5,Setup!$K$33:$K$36,0),1),INDEX('2027'!$A:$Z,(5+50*((N('My Rota'!$D$6)+5)-1))+2+2,25),INDEX('2028'!$A:$Z,(5+50*((N('My Rota'!$D$6)+5)-1))+2+2,25),INDEX('2029'!$A:$Z,(5+50*((N('My Rota'!$D$6)+5)-1))+2+2,25),INDEX('2030'!$A:$Z,(5+50*((N('My Rota'!$D$6)+5)-1))+2+2,25)))</f>
        <v/>
      </c>
      <c r="Z291">
        <f>IF(OR($B291="",(N('My Rota'!$D$6)+5)&gt;53),"",""&amp;CHOOSE(IFERROR(MATCH('My Rota'!$D$5,Setup!$K$33:$K$36,0),1),INDEX('2027'!$A:$Z,(5+50*((N('My Rota'!$D$6)+5)-1))+2+2,26),INDEX('2028'!$A:$Z,(5+50*((N('My Rota'!$D$6)+5)-1))+2+2,26),INDEX('2029'!$A:$Z,(5+50*((N('My Rota'!$D$6)+5)-1))+2+2,26),INDEX('2030'!$A:$Z,(5+50*((N('My Rota'!$D$6)+5)-1))+2+2,26)))</f>
        <v/>
      </c>
    </row>
    <row r="292">
      <c r="A292" t="n">
        <v>6</v>
      </c>
      <c r="B292">
        <f>$B$49</f>
        <v/>
      </c>
      <c r="C292">
        <f>IF(OR($B292="",(N('My Rota'!$D$6)+5)&gt;53),"",""&amp;CHOOSE(IFERROR(MATCH('My Rota'!$D$5,Setup!$K$33:$K$36,0),1),INDEX('2027'!$A:$Z,(5+50*((N('My Rota'!$D$6)+5)-1))+2+3,3),INDEX('2028'!$A:$Z,(5+50*((N('My Rota'!$D$6)+5)-1))+2+3,3),INDEX('2029'!$A:$Z,(5+50*((N('My Rota'!$D$6)+5)-1))+2+3,3),INDEX('2030'!$A:$Z,(5+50*((N('My Rota'!$D$6)+5)-1))+2+3,3)))</f>
        <v/>
      </c>
      <c r="D292">
        <f>IF(OR($B292="",(N('My Rota'!$D$6)+5)&gt;53),"",""&amp;CHOOSE(IFERROR(MATCH('My Rota'!$D$5,Setup!$K$33:$K$36,0),1),INDEX('2027'!$A:$Z,(5+50*((N('My Rota'!$D$6)+5)-1))+2+3,4),INDEX('2028'!$A:$Z,(5+50*((N('My Rota'!$D$6)+5)-1))+2+3,4),INDEX('2029'!$A:$Z,(5+50*((N('My Rota'!$D$6)+5)-1))+2+3,4),INDEX('2030'!$A:$Z,(5+50*((N('My Rota'!$D$6)+5)-1))+2+3,4)))</f>
        <v/>
      </c>
      <c r="E292">
        <f>IF(OR($B292="",(N('My Rota'!$D$6)+5)&gt;53),"",""&amp;CHOOSE(IFERROR(MATCH('My Rota'!$D$5,Setup!$K$33:$K$36,0),1),INDEX('2027'!$A:$Z,(5+50*((N('My Rota'!$D$6)+5)-1))+2+3,5),INDEX('2028'!$A:$Z,(5+50*((N('My Rota'!$D$6)+5)-1))+2+3,5),INDEX('2029'!$A:$Z,(5+50*((N('My Rota'!$D$6)+5)-1))+2+3,5),INDEX('2030'!$A:$Z,(5+50*((N('My Rota'!$D$6)+5)-1))+2+3,5)))</f>
        <v/>
      </c>
      <c r="F292">
        <f>IF(OR($B292="",(N('My Rota'!$D$6)+5)&gt;53),"",""&amp;CHOOSE(IFERROR(MATCH('My Rota'!$D$5,Setup!$K$33:$K$36,0),1),INDEX('2027'!$A:$Z,(5+50*((N('My Rota'!$D$6)+5)-1))+2+3,6),INDEX('2028'!$A:$Z,(5+50*((N('My Rota'!$D$6)+5)-1))+2+3,6),INDEX('2029'!$A:$Z,(5+50*((N('My Rota'!$D$6)+5)-1))+2+3,6),INDEX('2030'!$A:$Z,(5+50*((N('My Rota'!$D$6)+5)-1))+2+3,6)))</f>
        <v/>
      </c>
      <c r="G292">
        <f>IF(OR($B292="",(N('My Rota'!$D$6)+5)&gt;53),"",""&amp;CHOOSE(IFERROR(MATCH('My Rota'!$D$5,Setup!$K$33:$K$36,0),1),INDEX('2027'!$A:$Z,(5+50*((N('My Rota'!$D$6)+5)-1))+2+3,7),INDEX('2028'!$A:$Z,(5+50*((N('My Rota'!$D$6)+5)-1))+2+3,7),INDEX('2029'!$A:$Z,(5+50*((N('My Rota'!$D$6)+5)-1))+2+3,7),INDEX('2030'!$A:$Z,(5+50*((N('My Rota'!$D$6)+5)-1))+2+3,7)))</f>
        <v/>
      </c>
      <c r="H292">
        <f>IF(OR($B292="",(N('My Rota'!$D$6)+5)&gt;53),"",""&amp;CHOOSE(IFERROR(MATCH('My Rota'!$D$5,Setup!$K$33:$K$36,0),1),INDEX('2027'!$A:$Z,(5+50*((N('My Rota'!$D$6)+5)-1))+2+3,8),INDEX('2028'!$A:$Z,(5+50*((N('My Rota'!$D$6)+5)-1))+2+3,8),INDEX('2029'!$A:$Z,(5+50*((N('My Rota'!$D$6)+5)-1))+2+3,8),INDEX('2030'!$A:$Z,(5+50*((N('My Rota'!$D$6)+5)-1))+2+3,8)))</f>
        <v/>
      </c>
      <c r="I292">
        <f>IF(OR($B292="",(N('My Rota'!$D$6)+5)&gt;53),"",""&amp;CHOOSE(IFERROR(MATCH('My Rota'!$D$5,Setup!$K$33:$K$36,0),1),INDEX('2027'!$A:$Z,(5+50*((N('My Rota'!$D$6)+5)-1))+2+3,9),INDEX('2028'!$A:$Z,(5+50*((N('My Rota'!$D$6)+5)-1))+2+3,9),INDEX('2029'!$A:$Z,(5+50*((N('My Rota'!$D$6)+5)-1))+2+3,9),INDEX('2030'!$A:$Z,(5+50*((N('My Rota'!$D$6)+5)-1))+2+3,9)))</f>
        <v/>
      </c>
      <c r="J292">
        <f>IF(OR($B292="",(N('My Rota'!$D$6)+5)&gt;53),"",""&amp;CHOOSE(IFERROR(MATCH('My Rota'!$D$5,Setup!$K$33:$K$36,0),1),INDEX('2027'!$A:$Z,(5+50*((N('My Rota'!$D$6)+5)-1))+2+3,10),INDEX('2028'!$A:$Z,(5+50*((N('My Rota'!$D$6)+5)-1))+2+3,10),INDEX('2029'!$A:$Z,(5+50*((N('My Rota'!$D$6)+5)-1))+2+3,10),INDEX('2030'!$A:$Z,(5+50*((N('My Rota'!$D$6)+5)-1))+2+3,10)))</f>
        <v/>
      </c>
      <c r="K292">
        <f>IF(OR($B292="",(N('My Rota'!$D$6)+5)&gt;53),"",""&amp;CHOOSE(IFERROR(MATCH('My Rota'!$D$5,Setup!$K$33:$K$36,0),1),INDEX('2027'!$A:$Z,(5+50*((N('My Rota'!$D$6)+5)-1))+2+3,11),INDEX('2028'!$A:$Z,(5+50*((N('My Rota'!$D$6)+5)-1))+2+3,11),INDEX('2029'!$A:$Z,(5+50*((N('My Rota'!$D$6)+5)-1))+2+3,11),INDEX('2030'!$A:$Z,(5+50*((N('My Rota'!$D$6)+5)-1))+2+3,11)))</f>
        <v/>
      </c>
      <c r="L292">
        <f>IF(OR($B292="",(N('My Rota'!$D$6)+5)&gt;53),"",""&amp;CHOOSE(IFERROR(MATCH('My Rota'!$D$5,Setup!$K$33:$K$36,0),1),INDEX('2027'!$A:$Z,(5+50*((N('My Rota'!$D$6)+5)-1))+2+3,12),INDEX('2028'!$A:$Z,(5+50*((N('My Rota'!$D$6)+5)-1))+2+3,12),INDEX('2029'!$A:$Z,(5+50*((N('My Rota'!$D$6)+5)-1))+2+3,12),INDEX('2030'!$A:$Z,(5+50*((N('My Rota'!$D$6)+5)-1))+2+3,12)))</f>
        <v/>
      </c>
      <c r="M292">
        <f>IF(OR($B292="",(N('My Rota'!$D$6)+5)&gt;53),"",""&amp;CHOOSE(IFERROR(MATCH('My Rota'!$D$5,Setup!$K$33:$K$36,0),1),INDEX('2027'!$A:$Z,(5+50*((N('My Rota'!$D$6)+5)-1))+2+3,13),INDEX('2028'!$A:$Z,(5+50*((N('My Rota'!$D$6)+5)-1))+2+3,13),INDEX('2029'!$A:$Z,(5+50*((N('My Rota'!$D$6)+5)-1))+2+3,13),INDEX('2030'!$A:$Z,(5+50*((N('My Rota'!$D$6)+5)-1))+2+3,13)))</f>
        <v/>
      </c>
      <c r="N292">
        <f>IF(OR($B292="",(N('My Rota'!$D$6)+5)&gt;53),"",""&amp;CHOOSE(IFERROR(MATCH('My Rota'!$D$5,Setup!$K$33:$K$36,0),1),INDEX('2027'!$A:$Z,(5+50*((N('My Rota'!$D$6)+5)-1))+2+3,14),INDEX('2028'!$A:$Z,(5+50*((N('My Rota'!$D$6)+5)-1))+2+3,14),INDEX('2029'!$A:$Z,(5+50*((N('My Rota'!$D$6)+5)-1))+2+3,14),INDEX('2030'!$A:$Z,(5+50*((N('My Rota'!$D$6)+5)-1))+2+3,14)))</f>
        <v/>
      </c>
      <c r="O292">
        <f>IF(OR($B292="",(N('My Rota'!$D$6)+5)&gt;53),"",""&amp;CHOOSE(IFERROR(MATCH('My Rota'!$D$5,Setup!$K$33:$K$36,0),1),INDEX('2027'!$A:$Z,(5+50*((N('My Rota'!$D$6)+5)-1))+2+3,15),INDEX('2028'!$A:$Z,(5+50*((N('My Rota'!$D$6)+5)-1))+2+3,15),INDEX('2029'!$A:$Z,(5+50*((N('My Rota'!$D$6)+5)-1))+2+3,15),INDEX('2030'!$A:$Z,(5+50*((N('My Rota'!$D$6)+5)-1))+2+3,15)))</f>
        <v/>
      </c>
      <c r="P292">
        <f>IF(OR($B292="",(N('My Rota'!$D$6)+5)&gt;53),"",""&amp;CHOOSE(IFERROR(MATCH('My Rota'!$D$5,Setup!$K$33:$K$36,0),1),INDEX('2027'!$A:$Z,(5+50*((N('My Rota'!$D$6)+5)-1))+2+3,16),INDEX('2028'!$A:$Z,(5+50*((N('My Rota'!$D$6)+5)-1))+2+3,16),INDEX('2029'!$A:$Z,(5+50*((N('My Rota'!$D$6)+5)-1))+2+3,16),INDEX('2030'!$A:$Z,(5+50*((N('My Rota'!$D$6)+5)-1))+2+3,16)))</f>
        <v/>
      </c>
      <c r="Q292">
        <f>IF(OR($B292="",(N('My Rota'!$D$6)+5)&gt;53),"",""&amp;CHOOSE(IFERROR(MATCH('My Rota'!$D$5,Setup!$K$33:$K$36,0),1),INDEX('2027'!$A:$Z,(5+50*((N('My Rota'!$D$6)+5)-1))+2+3,17),INDEX('2028'!$A:$Z,(5+50*((N('My Rota'!$D$6)+5)-1))+2+3,17),INDEX('2029'!$A:$Z,(5+50*((N('My Rota'!$D$6)+5)-1))+2+3,17),INDEX('2030'!$A:$Z,(5+50*((N('My Rota'!$D$6)+5)-1))+2+3,17)))</f>
        <v/>
      </c>
      <c r="R292">
        <f>IF(OR($B292="",(N('My Rota'!$D$6)+5)&gt;53),"",""&amp;CHOOSE(IFERROR(MATCH('My Rota'!$D$5,Setup!$K$33:$K$36,0),1),INDEX('2027'!$A:$Z,(5+50*((N('My Rota'!$D$6)+5)-1))+2+3,18),INDEX('2028'!$A:$Z,(5+50*((N('My Rota'!$D$6)+5)-1))+2+3,18),INDEX('2029'!$A:$Z,(5+50*((N('My Rota'!$D$6)+5)-1))+2+3,18),INDEX('2030'!$A:$Z,(5+50*((N('My Rota'!$D$6)+5)-1))+2+3,18)))</f>
        <v/>
      </c>
      <c r="S292">
        <f>IF(OR($B292="",(N('My Rota'!$D$6)+5)&gt;53),"",""&amp;CHOOSE(IFERROR(MATCH('My Rota'!$D$5,Setup!$K$33:$K$36,0),1),INDEX('2027'!$A:$Z,(5+50*((N('My Rota'!$D$6)+5)-1))+2+3,19),INDEX('2028'!$A:$Z,(5+50*((N('My Rota'!$D$6)+5)-1))+2+3,19),INDEX('2029'!$A:$Z,(5+50*((N('My Rota'!$D$6)+5)-1))+2+3,19),INDEX('2030'!$A:$Z,(5+50*((N('My Rota'!$D$6)+5)-1))+2+3,19)))</f>
        <v/>
      </c>
      <c r="T292">
        <f>IF(OR($B292="",(N('My Rota'!$D$6)+5)&gt;53),"",""&amp;CHOOSE(IFERROR(MATCH('My Rota'!$D$5,Setup!$K$33:$K$36,0),1),INDEX('2027'!$A:$Z,(5+50*((N('My Rota'!$D$6)+5)-1))+2+3,20),INDEX('2028'!$A:$Z,(5+50*((N('My Rota'!$D$6)+5)-1))+2+3,20),INDEX('2029'!$A:$Z,(5+50*((N('My Rota'!$D$6)+5)-1))+2+3,20),INDEX('2030'!$A:$Z,(5+50*((N('My Rota'!$D$6)+5)-1))+2+3,20)))</f>
        <v/>
      </c>
      <c r="U292">
        <f>IF(OR($B292="",(N('My Rota'!$D$6)+5)&gt;53),"",""&amp;CHOOSE(IFERROR(MATCH('My Rota'!$D$5,Setup!$K$33:$K$36,0),1),INDEX('2027'!$A:$Z,(5+50*((N('My Rota'!$D$6)+5)-1))+2+3,21),INDEX('2028'!$A:$Z,(5+50*((N('My Rota'!$D$6)+5)-1))+2+3,21),INDEX('2029'!$A:$Z,(5+50*((N('My Rota'!$D$6)+5)-1))+2+3,21),INDEX('2030'!$A:$Z,(5+50*((N('My Rota'!$D$6)+5)-1))+2+3,21)))</f>
        <v/>
      </c>
      <c r="V292">
        <f>IF(OR($B292="",(N('My Rota'!$D$6)+5)&gt;53),"",""&amp;CHOOSE(IFERROR(MATCH('My Rota'!$D$5,Setup!$K$33:$K$36,0),1),INDEX('2027'!$A:$Z,(5+50*((N('My Rota'!$D$6)+5)-1))+2+3,22),INDEX('2028'!$A:$Z,(5+50*((N('My Rota'!$D$6)+5)-1))+2+3,22),INDEX('2029'!$A:$Z,(5+50*((N('My Rota'!$D$6)+5)-1))+2+3,22),INDEX('2030'!$A:$Z,(5+50*((N('My Rota'!$D$6)+5)-1))+2+3,22)))</f>
        <v/>
      </c>
      <c r="W292">
        <f>IF(OR($B292="",(N('My Rota'!$D$6)+5)&gt;53),"",""&amp;CHOOSE(IFERROR(MATCH('My Rota'!$D$5,Setup!$K$33:$K$36,0),1),INDEX('2027'!$A:$Z,(5+50*((N('My Rota'!$D$6)+5)-1))+2+3,23),INDEX('2028'!$A:$Z,(5+50*((N('My Rota'!$D$6)+5)-1))+2+3,23),INDEX('2029'!$A:$Z,(5+50*((N('My Rota'!$D$6)+5)-1))+2+3,23),INDEX('2030'!$A:$Z,(5+50*((N('My Rota'!$D$6)+5)-1))+2+3,23)))</f>
        <v/>
      </c>
      <c r="X292">
        <f>IF(OR($B292="",(N('My Rota'!$D$6)+5)&gt;53),"",""&amp;CHOOSE(IFERROR(MATCH('My Rota'!$D$5,Setup!$K$33:$K$36,0),1),INDEX('2027'!$A:$Z,(5+50*((N('My Rota'!$D$6)+5)-1))+2+3,24),INDEX('2028'!$A:$Z,(5+50*((N('My Rota'!$D$6)+5)-1))+2+3,24),INDEX('2029'!$A:$Z,(5+50*((N('My Rota'!$D$6)+5)-1))+2+3,24),INDEX('2030'!$A:$Z,(5+50*((N('My Rota'!$D$6)+5)-1))+2+3,24)))</f>
        <v/>
      </c>
      <c r="Y292">
        <f>IF(OR($B292="",(N('My Rota'!$D$6)+5)&gt;53),"",""&amp;CHOOSE(IFERROR(MATCH('My Rota'!$D$5,Setup!$K$33:$K$36,0),1),INDEX('2027'!$A:$Z,(5+50*((N('My Rota'!$D$6)+5)-1))+2+3,25),INDEX('2028'!$A:$Z,(5+50*((N('My Rota'!$D$6)+5)-1))+2+3,25),INDEX('2029'!$A:$Z,(5+50*((N('My Rota'!$D$6)+5)-1))+2+3,25),INDEX('2030'!$A:$Z,(5+50*((N('My Rota'!$D$6)+5)-1))+2+3,25)))</f>
        <v/>
      </c>
      <c r="Z292">
        <f>IF(OR($B292="",(N('My Rota'!$D$6)+5)&gt;53),"",""&amp;CHOOSE(IFERROR(MATCH('My Rota'!$D$5,Setup!$K$33:$K$36,0),1),INDEX('2027'!$A:$Z,(5+50*((N('My Rota'!$D$6)+5)-1))+2+3,26),INDEX('2028'!$A:$Z,(5+50*((N('My Rota'!$D$6)+5)-1))+2+3,26),INDEX('2029'!$A:$Z,(5+50*((N('My Rota'!$D$6)+5)-1))+2+3,26),INDEX('2030'!$A:$Z,(5+50*((N('My Rota'!$D$6)+5)-1))+2+3,26)))</f>
        <v/>
      </c>
    </row>
    <row r="293">
      <c r="A293" t="n">
        <v>6</v>
      </c>
      <c r="B293">
        <f>$B$50</f>
        <v/>
      </c>
      <c r="C293">
        <f>IF(OR($B293="",(N('My Rota'!$D$6)+5)&gt;53),"",""&amp;CHOOSE(IFERROR(MATCH('My Rota'!$D$5,Setup!$K$33:$K$36,0),1),INDEX('2027'!$A:$Z,(5+50*((N('My Rota'!$D$6)+5)-1))+2+4,3),INDEX('2028'!$A:$Z,(5+50*((N('My Rota'!$D$6)+5)-1))+2+4,3),INDEX('2029'!$A:$Z,(5+50*((N('My Rota'!$D$6)+5)-1))+2+4,3),INDEX('2030'!$A:$Z,(5+50*((N('My Rota'!$D$6)+5)-1))+2+4,3)))</f>
        <v/>
      </c>
      <c r="D293">
        <f>IF(OR($B293="",(N('My Rota'!$D$6)+5)&gt;53),"",""&amp;CHOOSE(IFERROR(MATCH('My Rota'!$D$5,Setup!$K$33:$K$36,0),1),INDEX('2027'!$A:$Z,(5+50*((N('My Rota'!$D$6)+5)-1))+2+4,4),INDEX('2028'!$A:$Z,(5+50*((N('My Rota'!$D$6)+5)-1))+2+4,4),INDEX('2029'!$A:$Z,(5+50*((N('My Rota'!$D$6)+5)-1))+2+4,4),INDEX('2030'!$A:$Z,(5+50*((N('My Rota'!$D$6)+5)-1))+2+4,4)))</f>
        <v/>
      </c>
      <c r="E293">
        <f>IF(OR($B293="",(N('My Rota'!$D$6)+5)&gt;53),"",""&amp;CHOOSE(IFERROR(MATCH('My Rota'!$D$5,Setup!$K$33:$K$36,0),1),INDEX('2027'!$A:$Z,(5+50*((N('My Rota'!$D$6)+5)-1))+2+4,5),INDEX('2028'!$A:$Z,(5+50*((N('My Rota'!$D$6)+5)-1))+2+4,5),INDEX('2029'!$A:$Z,(5+50*((N('My Rota'!$D$6)+5)-1))+2+4,5),INDEX('2030'!$A:$Z,(5+50*((N('My Rota'!$D$6)+5)-1))+2+4,5)))</f>
        <v/>
      </c>
      <c r="F293">
        <f>IF(OR($B293="",(N('My Rota'!$D$6)+5)&gt;53),"",""&amp;CHOOSE(IFERROR(MATCH('My Rota'!$D$5,Setup!$K$33:$K$36,0),1),INDEX('2027'!$A:$Z,(5+50*((N('My Rota'!$D$6)+5)-1))+2+4,6),INDEX('2028'!$A:$Z,(5+50*((N('My Rota'!$D$6)+5)-1))+2+4,6),INDEX('2029'!$A:$Z,(5+50*((N('My Rota'!$D$6)+5)-1))+2+4,6),INDEX('2030'!$A:$Z,(5+50*((N('My Rota'!$D$6)+5)-1))+2+4,6)))</f>
        <v/>
      </c>
      <c r="G293">
        <f>IF(OR($B293="",(N('My Rota'!$D$6)+5)&gt;53),"",""&amp;CHOOSE(IFERROR(MATCH('My Rota'!$D$5,Setup!$K$33:$K$36,0),1),INDEX('2027'!$A:$Z,(5+50*((N('My Rota'!$D$6)+5)-1))+2+4,7),INDEX('2028'!$A:$Z,(5+50*((N('My Rota'!$D$6)+5)-1))+2+4,7),INDEX('2029'!$A:$Z,(5+50*((N('My Rota'!$D$6)+5)-1))+2+4,7),INDEX('2030'!$A:$Z,(5+50*((N('My Rota'!$D$6)+5)-1))+2+4,7)))</f>
        <v/>
      </c>
      <c r="H293">
        <f>IF(OR($B293="",(N('My Rota'!$D$6)+5)&gt;53),"",""&amp;CHOOSE(IFERROR(MATCH('My Rota'!$D$5,Setup!$K$33:$K$36,0),1),INDEX('2027'!$A:$Z,(5+50*((N('My Rota'!$D$6)+5)-1))+2+4,8),INDEX('2028'!$A:$Z,(5+50*((N('My Rota'!$D$6)+5)-1))+2+4,8),INDEX('2029'!$A:$Z,(5+50*((N('My Rota'!$D$6)+5)-1))+2+4,8),INDEX('2030'!$A:$Z,(5+50*((N('My Rota'!$D$6)+5)-1))+2+4,8)))</f>
        <v/>
      </c>
      <c r="I293">
        <f>IF(OR($B293="",(N('My Rota'!$D$6)+5)&gt;53),"",""&amp;CHOOSE(IFERROR(MATCH('My Rota'!$D$5,Setup!$K$33:$K$36,0),1),INDEX('2027'!$A:$Z,(5+50*((N('My Rota'!$D$6)+5)-1))+2+4,9),INDEX('2028'!$A:$Z,(5+50*((N('My Rota'!$D$6)+5)-1))+2+4,9),INDEX('2029'!$A:$Z,(5+50*((N('My Rota'!$D$6)+5)-1))+2+4,9),INDEX('2030'!$A:$Z,(5+50*((N('My Rota'!$D$6)+5)-1))+2+4,9)))</f>
        <v/>
      </c>
      <c r="J293">
        <f>IF(OR($B293="",(N('My Rota'!$D$6)+5)&gt;53),"",""&amp;CHOOSE(IFERROR(MATCH('My Rota'!$D$5,Setup!$K$33:$K$36,0),1),INDEX('2027'!$A:$Z,(5+50*((N('My Rota'!$D$6)+5)-1))+2+4,10),INDEX('2028'!$A:$Z,(5+50*((N('My Rota'!$D$6)+5)-1))+2+4,10),INDEX('2029'!$A:$Z,(5+50*((N('My Rota'!$D$6)+5)-1))+2+4,10),INDEX('2030'!$A:$Z,(5+50*((N('My Rota'!$D$6)+5)-1))+2+4,10)))</f>
        <v/>
      </c>
      <c r="K293">
        <f>IF(OR($B293="",(N('My Rota'!$D$6)+5)&gt;53),"",""&amp;CHOOSE(IFERROR(MATCH('My Rota'!$D$5,Setup!$K$33:$K$36,0),1),INDEX('2027'!$A:$Z,(5+50*((N('My Rota'!$D$6)+5)-1))+2+4,11),INDEX('2028'!$A:$Z,(5+50*((N('My Rota'!$D$6)+5)-1))+2+4,11),INDEX('2029'!$A:$Z,(5+50*((N('My Rota'!$D$6)+5)-1))+2+4,11),INDEX('2030'!$A:$Z,(5+50*((N('My Rota'!$D$6)+5)-1))+2+4,11)))</f>
        <v/>
      </c>
      <c r="L293">
        <f>IF(OR($B293="",(N('My Rota'!$D$6)+5)&gt;53),"",""&amp;CHOOSE(IFERROR(MATCH('My Rota'!$D$5,Setup!$K$33:$K$36,0),1),INDEX('2027'!$A:$Z,(5+50*((N('My Rota'!$D$6)+5)-1))+2+4,12),INDEX('2028'!$A:$Z,(5+50*((N('My Rota'!$D$6)+5)-1))+2+4,12),INDEX('2029'!$A:$Z,(5+50*((N('My Rota'!$D$6)+5)-1))+2+4,12),INDEX('2030'!$A:$Z,(5+50*((N('My Rota'!$D$6)+5)-1))+2+4,12)))</f>
        <v/>
      </c>
      <c r="M293">
        <f>IF(OR($B293="",(N('My Rota'!$D$6)+5)&gt;53),"",""&amp;CHOOSE(IFERROR(MATCH('My Rota'!$D$5,Setup!$K$33:$K$36,0),1),INDEX('2027'!$A:$Z,(5+50*((N('My Rota'!$D$6)+5)-1))+2+4,13),INDEX('2028'!$A:$Z,(5+50*((N('My Rota'!$D$6)+5)-1))+2+4,13),INDEX('2029'!$A:$Z,(5+50*((N('My Rota'!$D$6)+5)-1))+2+4,13),INDEX('2030'!$A:$Z,(5+50*((N('My Rota'!$D$6)+5)-1))+2+4,13)))</f>
        <v/>
      </c>
      <c r="N293">
        <f>IF(OR($B293="",(N('My Rota'!$D$6)+5)&gt;53),"",""&amp;CHOOSE(IFERROR(MATCH('My Rota'!$D$5,Setup!$K$33:$K$36,0),1),INDEX('2027'!$A:$Z,(5+50*((N('My Rota'!$D$6)+5)-1))+2+4,14),INDEX('2028'!$A:$Z,(5+50*((N('My Rota'!$D$6)+5)-1))+2+4,14),INDEX('2029'!$A:$Z,(5+50*((N('My Rota'!$D$6)+5)-1))+2+4,14),INDEX('2030'!$A:$Z,(5+50*((N('My Rota'!$D$6)+5)-1))+2+4,14)))</f>
        <v/>
      </c>
      <c r="O293">
        <f>IF(OR($B293="",(N('My Rota'!$D$6)+5)&gt;53),"",""&amp;CHOOSE(IFERROR(MATCH('My Rota'!$D$5,Setup!$K$33:$K$36,0),1),INDEX('2027'!$A:$Z,(5+50*((N('My Rota'!$D$6)+5)-1))+2+4,15),INDEX('2028'!$A:$Z,(5+50*((N('My Rota'!$D$6)+5)-1))+2+4,15),INDEX('2029'!$A:$Z,(5+50*((N('My Rota'!$D$6)+5)-1))+2+4,15),INDEX('2030'!$A:$Z,(5+50*((N('My Rota'!$D$6)+5)-1))+2+4,15)))</f>
        <v/>
      </c>
      <c r="P293">
        <f>IF(OR($B293="",(N('My Rota'!$D$6)+5)&gt;53),"",""&amp;CHOOSE(IFERROR(MATCH('My Rota'!$D$5,Setup!$K$33:$K$36,0),1),INDEX('2027'!$A:$Z,(5+50*((N('My Rota'!$D$6)+5)-1))+2+4,16),INDEX('2028'!$A:$Z,(5+50*((N('My Rota'!$D$6)+5)-1))+2+4,16),INDEX('2029'!$A:$Z,(5+50*((N('My Rota'!$D$6)+5)-1))+2+4,16),INDEX('2030'!$A:$Z,(5+50*((N('My Rota'!$D$6)+5)-1))+2+4,16)))</f>
        <v/>
      </c>
      <c r="Q293">
        <f>IF(OR($B293="",(N('My Rota'!$D$6)+5)&gt;53),"",""&amp;CHOOSE(IFERROR(MATCH('My Rota'!$D$5,Setup!$K$33:$K$36,0),1),INDEX('2027'!$A:$Z,(5+50*((N('My Rota'!$D$6)+5)-1))+2+4,17),INDEX('2028'!$A:$Z,(5+50*((N('My Rota'!$D$6)+5)-1))+2+4,17),INDEX('2029'!$A:$Z,(5+50*((N('My Rota'!$D$6)+5)-1))+2+4,17),INDEX('2030'!$A:$Z,(5+50*((N('My Rota'!$D$6)+5)-1))+2+4,17)))</f>
        <v/>
      </c>
      <c r="R293">
        <f>IF(OR($B293="",(N('My Rota'!$D$6)+5)&gt;53),"",""&amp;CHOOSE(IFERROR(MATCH('My Rota'!$D$5,Setup!$K$33:$K$36,0),1),INDEX('2027'!$A:$Z,(5+50*((N('My Rota'!$D$6)+5)-1))+2+4,18),INDEX('2028'!$A:$Z,(5+50*((N('My Rota'!$D$6)+5)-1))+2+4,18),INDEX('2029'!$A:$Z,(5+50*((N('My Rota'!$D$6)+5)-1))+2+4,18),INDEX('2030'!$A:$Z,(5+50*((N('My Rota'!$D$6)+5)-1))+2+4,18)))</f>
        <v/>
      </c>
      <c r="S293">
        <f>IF(OR($B293="",(N('My Rota'!$D$6)+5)&gt;53),"",""&amp;CHOOSE(IFERROR(MATCH('My Rota'!$D$5,Setup!$K$33:$K$36,0),1),INDEX('2027'!$A:$Z,(5+50*((N('My Rota'!$D$6)+5)-1))+2+4,19),INDEX('2028'!$A:$Z,(5+50*((N('My Rota'!$D$6)+5)-1))+2+4,19),INDEX('2029'!$A:$Z,(5+50*((N('My Rota'!$D$6)+5)-1))+2+4,19),INDEX('2030'!$A:$Z,(5+50*((N('My Rota'!$D$6)+5)-1))+2+4,19)))</f>
        <v/>
      </c>
      <c r="T293">
        <f>IF(OR($B293="",(N('My Rota'!$D$6)+5)&gt;53),"",""&amp;CHOOSE(IFERROR(MATCH('My Rota'!$D$5,Setup!$K$33:$K$36,0),1),INDEX('2027'!$A:$Z,(5+50*((N('My Rota'!$D$6)+5)-1))+2+4,20),INDEX('2028'!$A:$Z,(5+50*((N('My Rota'!$D$6)+5)-1))+2+4,20),INDEX('2029'!$A:$Z,(5+50*((N('My Rota'!$D$6)+5)-1))+2+4,20),INDEX('2030'!$A:$Z,(5+50*((N('My Rota'!$D$6)+5)-1))+2+4,20)))</f>
        <v/>
      </c>
      <c r="U293">
        <f>IF(OR($B293="",(N('My Rota'!$D$6)+5)&gt;53),"",""&amp;CHOOSE(IFERROR(MATCH('My Rota'!$D$5,Setup!$K$33:$K$36,0),1),INDEX('2027'!$A:$Z,(5+50*((N('My Rota'!$D$6)+5)-1))+2+4,21),INDEX('2028'!$A:$Z,(5+50*((N('My Rota'!$D$6)+5)-1))+2+4,21),INDEX('2029'!$A:$Z,(5+50*((N('My Rota'!$D$6)+5)-1))+2+4,21),INDEX('2030'!$A:$Z,(5+50*((N('My Rota'!$D$6)+5)-1))+2+4,21)))</f>
        <v/>
      </c>
      <c r="V293">
        <f>IF(OR($B293="",(N('My Rota'!$D$6)+5)&gt;53),"",""&amp;CHOOSE(IFERROR(MATCH('My Rota'!$D$5,Setup!$K$33:$K$36,0),1),INDEX('2027'!$A:$Z,(5+50*((N('My Rota'!$D$6)+5)-1))+2+4,22),INDEX('2028'!$A:$Z,(5+50*((N('My Rota'!$D$6)+5)-1))+2+4,22),INDEX('2029'!$A:$Z,(5+50*((N('My Rota'!$D$6)+5)-1))+2+4,22),INDEX('2030'!$A:$Z,(5+50*((N('My Rota'!$D$6)+5)-1))+2+4,22)))</f>
        <v/>
      </c>
      <c r="W293">
        <f>IF(OR($B293="",(N('My Rota'!$D$6)+5)&gt;53),"",""&amp;CHOOSE(IFERROR(MATCH('My Rota'!$D$5,Setup!$K$33:$K$36,0),1),INDEX('2027'!$A:$Z,(5+50*((N('My Rota'!$D$6)+5)-1))+2+4,23),INDEX('2028'!$A:$Z,(5+50*((N('My Rota'!$D$6)+5)-1))+2+4,23),INDEX('2029'!$A:$Z,(5+50*((N('My Rota'!$D$6)+5)-1))+2+4,23),INDEX('2030'!$A:$Z,(5+50*((N('My Rota'!$D$6)+5)-1))+2+4,23)))</f>
        <v/>
      </c>
      <c r="X293">
        <f>IF(OR($B293="",(N('My Rota'!$D$6)+5)&gt;53),"",""&amp;CHOOSE(IFERROR(MATCH('My Rota'!$D$5,Setup!$K$33:$K$36,0),1),INDEX('2027'!$A:$Z,(5+50*((N('My Rota'!$D$6)+5)-1))+2+4,24),INDEX('2028'!$A:$Z,(5+50*((N('My Rota'!$D$6)+5)-1))+2+4,24),INDEX('2029'!$A:$Z,(5+50*((N('My Rota'!$D$6)+5)-1))+2+4,24),INDEX('2030'!$A:$Z,(5+50*((N('My Rota'!$D$6)+5)-1))+2+4,24)))</f>
        <v/>
      </c>
      <c r="Y293">
        <f>IF(OR($B293="",(N('My Rota'!$D$6)+5)&gt;53),"",""&amp;CHOOSE(IFERROR(MATCH('My Rota'!$D$5,Setup!$K$33:$K$36,0),1),INDEX('2027'!$A:$Z,(5+50*((N('My Rota'!$D$6)+5)-1))+2+4,25),INDEX('2028'!$A:$Z,(5+50*((N('My Rota'!$D$6)+5)-1))+2+4,25),INDEX('2029'!$A:$Z,(5+50*((N('My Rota'!$D$6)+5)-1))+2+4,25),INDEX('2030'!$A:$Z,(5+50*((N('My Rota'!$D$6)+5)-1))+2+4,25)))</f>
        <v/>
      </c>
      <c r="Z293">
        <f>IF(OR($B293="",(N('My Rota'!$D$6)+5)&gt;53),"",""&amp;CHOOSE(IFERROR(MATCH('My Rota'!$D$5,Setup!$K$33:$K$36,0),1),INDEX('2027'!$A:$Z,(5+50*((N('My Rota'!$D$6)+5)-1))+2+4,26),INDEX('2028'!$A:$Z,(5+50*((N('My Rota'!$D$6)+5)-1))+2+4,26),INDEX('2029'!$A:$Z,(5+50*((N('My Rota'!$D$6)+5)-1))+2+4,26),INDEX('2030'!$A:$Z,(5+50*((N('My Rota'!$D$6)+5)-1))+2+4,26)))</f>
        <v/>
      </c>
    </row>
    <row r="294">
      <c r="A294" t="n">
        <v>6</v>
      </c>
      <c r="B294">
        <f>$B$51</f>
        <v/>
      </c>
      <c r="C294">
        <f>IF(OR($B294="",(N('My Rota'!$D$6)+5)&gt;53),"",""&amp;CHOOSE(IFERROR(MATCH('My Rota'!$D$5,Setup!$K$33:$K$36,0),1),INDEX('2027'!$A:$Z,(5+50*((N('My Rota'!$D$6)+5)-1))+2+5,3),INDEX('2028'!$A:$Z,(5+50*((N('My Rota'!$D$6)+5)-1))+2+5,3),INDEX('2029'!$A:$Z,(5+50*((N('My Rota'!$D$6)+5)-1))+2+5,3),INDEX('2030'!$A:$Z,(5+50*((N('My Rota'!$D$6)+5)-1))+2+5,3)))</f>
        <v/>
      </c>
      <c r="D294">
        <f>IF(OR($B294="",(N('My Rota'!$D$6)+5)&gt;53),"",""&amp;CHOOSE(IFERROR(MATCH('My Rota'!$D$5,Setup!$K$33:$K$36,0),1),INDEX('2027'!$A:$Z,(5+50*((N('My Rota'!$D$6)+5)-1))+2+5,4),INDEX('2028'!$A:$Z,(5+50*((N('My Rota'!$D$6)+5)-1))+2+5,4),INDEX('2029'!$A:$Z,(5+50*((N('My Rota'!$D$6)+5)-1))+2+5,4),INDEX('2030'!$A:$Z,(5+50*((N('My Rota'!$D$6)+5)-1))+2+5,4)))</f>
        <v/>
      </c>
      <c r="E294">
        <f>IF(OR($B294="",(N('My Rota'!$D$6)+5)&gt;53),"",""&amp;CHOOSE(IFERROR(MATCH('My Rota'!$D$5,Setup!$K$33:$K$36,0),1),INDEX('2027'!$A:$Z,(5+50*((N('My Rota'!$D$6)+5)-1))+2+5,5),INDEX('2028'!$A:$Z,(5+50*((N('My Rota'!$D$6)+5)-1))+2+5,5),INDEX('2029'!$A:$Z,(5+50*((N('My Rota'!$D$6)+5)-1))+2+5,5),INDEX('2030'!$A:$Z,(5+50*((N('My Rota'!$D$6)+5)-1))+2+5,5)))</f>
        <v/>
      </c>
      <c r="F294">
        <f>IF(OR($B294="",(N('My Rota'!$D$6)+5)&gt;53),"",""&amp;CHOOSE(IFERROR(MATCH('My Rota'!$D$5,Setup!$K$33:$K$36,0),1),INDEX('2027'!$A:$Z,(5+50*((N('My Rota'!$D$6)+5)-1))+2+5,6),INDEX('2028'!$A:$Z,(5+50*((N('My Rota'!$D$6)+5)-1))+2+5,6),INDEX('2029'!$A:$Z,(5+50*((N('My Rota'!$D$6)+5)-1))+2+5,6),INDEX('2030'!$A:$Z,(5+50*((N('My Rota'!$D$6)+5)-1))+2+5,6)))</f>
        <v/>
      </c>
      <c r="G294">
        <f>IF(OR($B294="",(N('My Rota'!$D$6)+5)&gt;53),"",""&amp;CHOOSE(IFERROR(MATCH('My Rota'!$D$5,Setup!$K$33:$K$36,0),1),INDEX('2027'!$A:$Z,(5+50*((N('My Rota'!$D$6)+5)-1))+2+5,7),INDEX('2028'!$A:$Z,(5+50*((N('My Rota'!$D$6)+5)-1))+2+5,7),INDEX('2029'!$A:$Z,(5+50*((N('My Rota'!$D$6)+5)-1))+2+5,7),INDEX('2030'!$A:$Z,(5+50*((N('My Rota'!$D$6)+5)-1))+2+5,7)))</f>
        <v/>
      </c>
      <c r="H294">
        <f>IF(OR($B294="",(N('My Rota'!$D$6)+5)&gt;53),"",""&amp;CHOOSE(IFERROR(MATCH('My Rota'!$D$5,Setup!$K$33:$K$36,0),1),INDEX('2027'!$A:$Z,(5+50*((N('My Rota'!$D$6)+5)-1))+2+5,8),INDEX('2028'!$A:$Z,(5+50*((N('My Rota'!$D$6)+5)-1))+2+5,8),INDEX('2029'!$A:$Z,(5+50*((N('My Rota'!$D$6)+5)-1))+2+5,8),INDEX('2030'!$A:$Z,(5+50*((N('My Rota'!$D$6)+5)-1))+2+5,8)))</f>
        <v/>
      </c>
      <c r="I294">
        <f>IF(OR($B294="",(N('My Rota'!$D$6)+5)&gt;53),"",""&amp;CHOOSE(IFERROR(MATCH('My Rota'!$D$5,Setup!$K$33:$K$36,0),1),INDEX('2027'!$A:$Z,(5+50*((N('My Rota'!$D$6)+5)-1))+2+5,9),INDEX('2028'!$A:$Z,(5+50*((N('My Rota'!$D$6)+5)-1))+2+5,9),INDEX('2029'!$A:$Z,(5+50*((N('My Rota'!$D$6)+5)-1))+2+5,9),INDEX('2030'!$A:$Z,(5+50*((N('My Rota'!$D$6)+5)-1))+2+5,9)))</f>
        <v/>
      </c>
      <c r="J294">
        <f>IF(OR($B294="",(N('My Rota'!$D$6)+5)&gt;53),"",""&amp;CHOOSE(IFERROR(MATCH('My Rota'!$D$5,Setup!$K$33:$K$36,0),1),INDEX('2027'!$A:$Z,(5+50*((N('My Rota'!$D$6)+5)-1))+2+5,10),INDEX('2028'!$A:$Z,(5+50*((N('My Rota'!$D$6)+5)-1))+2+5,10),INDEX('2029'!$A:$Z,(5+50*((N('My Rota'!$D$6)+5)-1))+2+5,10),INDEX('2030'!$A:$Z,(5+50*((N('My Rota'!$D$6)+5)-1))+2+5,10)))</f>
        <v/>
      </c>
      <c r="K294">
        <f>IF(OR($B294="",(N('My Rota'!$D$6)+5)&gt;53),"",""&amp;CHOOSE(IFERROR(MATCH('My Rota'!$D$5,Setup!$K$33:$K$36,0),1),INDEX('2027'!$A:$Z,(5+50*((N('My Rota'!$D$6)+5)-1))+2+5,11),INDEX('2028'!$A:$Z,(5+50*((N('My Rota'!$D$6)+5)-1))+2+5,11),INDEX('2029'!$A:$Z,(5+50*((N('My Rota'!$D$6)+5)-1))+2+5,11),INDEX('2030'!$A:$Z,(5+50*((N('My Rota'!$D$6)+5)-1))+2+5,11)))</f>
        <v/>
      </c>
      <c r="L294">
        <f>IF(OR($B294="",(N('My Rota'!$D$6)+5)&gt;53),"",""&amp;CHOOSE(IFERROR(MATCH('My Rota'!$D$5,Setup!$K$33:$K$36,0),1),INDEX('2027'!$A:$Z,(5+50*((N('My Rota'!$D$6)+5)-1))+2+5,12),INDEX('2028'!$A:$Z,(5+50*((N('My Rota'!$D$6)+5)-1))+2+5,12),INDEX('2029'!$A:$Z,(5+50*((N('My Rota'!$D$6)+5)-1))+2+5,12),INDEX('2030'!$A:$Z,(5+50*((N('My Rota'!$D$6)+5)-1))+2+5,12)))</f>
        <v/>
      </c>
      <c r="M294">
        <f>IF(OR($B294="",(N('My Rota'!$D$6)+5)&gt;53),"",""&amp;CHOOSE(IFERROR(MATCH('My Rota'!$D$5,Setup!$K$33:$K$36,0),1),INDEX('2027'!$A:$Z,(5+50*((N('My Rota'!$D$6)+5)-1))+2+5,13),INDEX('2028'!$A:$Z,(5+50*((N('My Rota'!$D$6)+5)-1))+2+5,13),INDEX('2029'!$A:$Z,(5+50*((N('My Rota'!$D$6)+5)-1))+2+5,13),INDEX('2030'!$A:$Z,(5+50*((N('My Rota'!$D$6)+5)-1))+2+5,13)))</f>
        <v/>
      </c>
      <c r="N294">
        <f>IF(OR($B294="",(N('My Rota'!$D$6)+5)&gt;53),"",""&amp;CHOOSE(IFERROR(MATCH('My Rota'!$D$5,Setup!$K$33:$K$36,0),1),INDEX('2027'!$A:$Z,(5+50*((N('My Rota'!$D$6)+5)-1))+2+5,14),INDEX('2028'!$A:$Z,(5+50*((N('My Rota'!$D$6)+5)-1))+2+5,14),INDEX('2029'!$A:$Z,(5+50*((N('My Rota'!$D$6)+5)-1))+2+5,14),INDEX('2030'!$A:$Z,(5+50*((N('My Rota'!$D$6)+5)-1))+2+5,14)))</f>
        <v/>
      </c>
      <c r="O294">
        <f>IF(OR($B294="",(N('My Rota'!$D$6)+5)&gt;53),"",""&amp;CHOOSE(IFERROR(MATCH('My Rota'!$D$5,Setup!$K$33:$K$36,0),1),INDEX('2027'!$A:$Z,(5+50*((N('My Rota'!$D$6)+5)-1))+2+5,15),INDEX('2028'!$A:$Z,(5+50*((N('My Rota'!$D$6)+5)-1))+2+5,15),INDEX('2029'!$A:$Z,(5+50*((N('My Rota'!$D$6)+5)-1))+2+5,15),INDEX('2030'!$A:$Z,(5+50*((N('My Rota'!$D$6)+5)-1))+2+5,15)))</f>
        <v/>
      </c>
      <c r="P294">
        <f>IF(OR($B294="",(N('My Rota'!$D$6)+5)&gt;53),"",""&amp;CHOOSE(IFERROR(MATCH('My Rota'!$D$5,Setup!$K$33:$K$36,0),1),INDEX('2027'!$A:$Z,(5+50*((N('My Rota'!$D$6)+5)-1))+2+5,16),INDEX('2028'!$A:$Z,(5+50*((N('My Rota'!$D$6)+5)-1))+2+5,16),INDEX('2029'!$A:$Z,(5+50*((N('My Rota'!$D$6)+5)-1))+2+5,16),INDEX('2030'!$A:$Z,(5+50*((N('My Rota'!$D$6)+5)-1))+2+5,16)))</f>
        <v/>
      </c>
      <c r="Q294">
        <f>IF(OR($B294="",(N('My Rota'!$D$6)+5)&gt;53),"",""&amp;CHOOSE(IFERROR(MATCH('My Rota'!$D$5,Setup!$K$33:$K$36,0),1),INDEX('2027'!$A:$Z,(5+50*((N('My Rota'!$D$6)+5)-1))+2+5,17),INDEX('2028'!$A:$Z,(5+50*((N('My Rota'!$D$6)+5)-1))+2+5,17),INDEX('2029'!$A:$Z,(5+50*((N('My Rota'!$D$6)+5)-1))+2+5,17),INDEX('2030'!$A:$Z,(5+50*((N('My Rota'!$D$6)+5)-1))+2+5,17)))</f>
        <v/>
      </c>
      <c r="R294">
        <f>IF(OR($B294="",(N('My Rota'!$D$6)+5)&gt;53),"",""&amp;CHOOSE(IFERROR(MATCH('My Rota'!$D$5,Setup!$K$33:$K$36,0),1),INDEX('2027'!$A:$Z,(5+50*((N('My Rota'!$D$6)+5)-1))+2+5,18),INDEX('2028'!$A:$Z,(5+50*((N('My Rota'!$D$6)+5)-1))+2+5,18),INDEX('2029'!$A:$Z,(5+50*((N('My Rota'!$D$6)+5)-1))+2+5,18),INDEX('2030'!$A:$Z,(5+50*((N('My Rota'!$D$6)+5)-1))+2+5,18)))</f>
        <v/>
      </c>
      <c r="S294">
        <f>IF(OR($B294="",(N('My Rota'!$D$6)+5)&gt;53),"",""&amp;CHOOSE(IFERROR(MATCH('My Rota'!$D$5,Setup!$K$33:$K$36,0),1),INDEX('2027'!$A:$Z,(5+50*((N('My Rota'!$D$6)+5)-1))+2+5,19),INDEX('2028'!$A:$Z,(5+50*((N('My Rota'!$D$6)+5)-1))+2+5,19),INDEX('2029'!$A:$Z,(5+50*((N('My Rota'!$D$6)+5)-1))+2+5,19),INDEX('2030'!$A:$Z,(5+50*((N('My Rota'!$D$6)+5)-1))+2+5,19)))</f>
        <v/>
      </c>
      <c r="T294">
        <f>IF(OR($B294="",(N('My Rota'!$D$6)+5)&gt;53),"",""&amp;CHOOSE(IFERROR(MATCH('My Rota'!$D$5,Setup!$K$33:$K$36,0),1),INDEX('2027'!$A:$Z,(5+50*((N('My Rota'!$D$6)+5)-1))+2+5,20),INDEX('2028'!$A:$Z,(5+50*((N('My Rota'!$D$6)+5)-1))+2+5,20),INDEX('2029'!$A:$Z,(5+50*((N('My Rota'!$D$6)+5)-1))+2+5,20),INDEX('2030'!$A:$Z,(5+50*((N('My Rota'!$D$6)+5)-1))+2+5,20)))</f>
        <v/>
      </c>
      <c r="U294">
        <f>IF(OR($B294="",(N('My Rota'!$D$6)+5)&gt;53),"",""&amp;CHOOSE(IFERROR(MATCH('My Rota'!$D$5,Setup!$K$33:$K$36,0),1),INDEX('2027'!$A:$Z,(5+50*((N('My Rota'!$D$6)+5)-1))+2+5,21),INDEX('2028'!$A:$Z,(5+50*((N('My Rota'!$D$6)+5)-1))+2+5,21),INDEX('2029'!$A:$Z,(5+50*((N('My Rota'!$D$6)+5)-1))+2+5,21),INDEX('2030'!$A:$Z,(5+50*((N('My Rota'!$D$6)+5)-1))+2+5,21)))</f>
        <v/>
      </c>
      <c r="V294">
        <f>IF(OR($B294="",(N('My Rota'!$D$6)+5)&gt;53),"",""&amp;CHOOSE(IFERROR(MATCH('My Rota'!$D$5,Setup!$K$33:$K$36,0),1),INDEX('2027'!$A:$Z,(5+50*((N('My Rota'!$D$6)+5)-1))+2+5,22),INDEX('2028'!$A:$Z,(5+50*((N('My Rota'!$D$6)+5)-1))+2+5,22),INDEX('2029'!$A:$Z,(5+50*((N('My Rota'!$D$6)+5)-1))+2+5,22),INDEX('2030'!$A:$Z,(5+50*((N('My Rota'!$D$6)+5)-1))+2+5,22)))</f>
        <v/>
      </c>
      <c r="W294">
        <f>IF(OR($B294="",(N('My Rota'!$D$6)+5)&gt;53),"",""&amp;CHOOSE(IFERROR(MATCH('My Rota'!$D$5,Setup!$K$33:$K$36,0),1),INDEX('2027'!$A:$Z,(5+50*((N('My Rota'!$D$6)+5)-1))+2+5,23),INDEX('2028'!$A:$Z,(5+50*((N('My Rota'!$D$6)+5)-1))+2+5,23),INDEX('2029'!$A:$Z,(5+50*((N('My Rota'!$D$6)+5)-1))+2+5,23),INDEX('2030'!$A:$Z,(5+50*((N('My Rota'!$D$6)+5)-1))+2+5,23)))</f>
        <v/>
      </c>
      <c r="X294">
        <f>IF(OR($B294="",(N('My Rota'!$D$6)+5)&gt;53),"",""&amp;CHOOSE(IFERROR(MATCH('My Rota'!$D$5,Setup!$K$33:$K$36,0),1),INDEX('2027'!$A:$Z,(5+50*((N('My Rota'!$D$6)+5)-1))+2+5,24),INDEX('2028'!$A:$Z,(5+50*((N('My Rota'!$D$6)+5)-1))+2+5,24),INDEX('2029'!$A:$Z,(5+50*((N('My Rota'!$D$6)+5)-1))+2+5,24),INDEX('2030'!$A:$Z,(5+50*((N('My Rota'!$D$6)+5)-1))+2+5,24)))</f>
        <v/>
      </c>
      <c r="Y294">
        <f>IF(OR($B294="",(N('My Rota'!$D$6)+5)&gt;53),"",""&amp;CHOOSE(IFERROR(MATCH('My Rota'!$D$5,Setup!$K$33:$K$36,0),1),INDEX('2027'!$A:$Z,(5+50*((N('My Rota'!$D$6)+5)-1))+2+5,25),INDEX('2028'!$A:$Z,(5+50*((N('My Rota'!$D$6)+5)-1))+2+5,25),INDEX('2029'!$A:$Z,(5+50*((N('My Rota'!$D$6)+5)-1))+2+5,25),INDEX('2030'!$A:$Z,(5+50*((N('My Rota'!$D$6)+5)-1))+2+5,25)))</f>
        <v/>
      </c>
      <c r="Z294">
        <f>IF(OR($B294="",(N('My Rota'!$D$6)+5)&gt;53),"",""&amp;CHOOSE(IFERROR(MATCH('My Rota'!$D$5,Setup!$K$33:$K$36,0),1),INDEX('2027'!$A:$Z,(5+50*((N('My Rota'!$D$6)+5)-1))+2+5,26),INDEX('2028'!$A:$Z,(5+50*((N('My Rota'!$D$6)+5)-1))+2+5,26),INDEX('2029'!$A:$Z,(5+50*((N('My Rota'!$D$6)+5)-1))+2+5,26),INDEX('2030'!$A:$Z,(5+50*((N('My Rota'!$D$6)+5)-1))+2+5,26)))</f>
        <v/>
      </c>
    </row>
    <row r="295">
      <c r="A295" t="n">
        <v>6</v>
      </c>
      <c r="B295">
        <f>$B$52</f>
        <v/>
      </c>
      <c r="C295">
        <f>IF(OR($B295="",(N('My Rota'!$D$6)+5)&gt;53),"",""&amp;CHOOSE(IFERROR(MATCH('My Rota'!$D$5,Setup!$K$33:$K$36,0),1),INDEX('2027'!$A:$Z,(5+50*((N('My Rota'!$D$6)+5)-1))+2+6,3),INDEX('2028'!$A:$Z,(5+50*((N('My Rota'!$D$6)+5)-1))+2+6,3),INDEX('2029'!$A:$Z,(5+50*((N('My Rota'!$D$6)+5)-1))+2+6,3),INDEX('2030'!$A:$Z,(5+50*((N('My Rota'!$D$6)+5)-1))+2+6,3)))</f>
        <v/>
      </c>
      <c r="D295">
        <f>IF(OR($B295="",(N('My Rota'!$D$6)+5)&gt;53),"",""&amp;CHOOSE(IFERROR(MATCH('My Rota'!$D$5,Setup!$K$33:$K$36,0),1),INDEX('2027'!$A:$Z,(5+50*((N('My Rota'!$D$6)+5)-1))+2+6,4),INDEX('2028'!$A:$Z,(5+50*((N('My Rota'!$D$6)+5)-1))+2+6,4),INDEX('2029'!$A:$Z,(5+50*((N('My Rota'!$D$6)+5)-1))+2+6,4),INDEX('2030'!$A:$Z,(5+50*((N('My Rota'!$D$6)+5)-1))+2+6,4)))</f>
        <v/>
      </c>
      <c r="E295">
        <f>IF(OR($B295="",(N('My Rota'!$D$6)+5)&gt;53),"",""&amp;CHOOSE(IFERROR(MATCH('My Rota'!$D$5,Setup!$K$33:$K$36,0),1),INDEX('2027'!$A:$Z,(5+50*((N('My Rota'!$D$6)+5)-1))+2+6,5),INDEX('2028'!$A:$Z,(5+50*((N('My Rota'!$D$6)+5)-1))+2+6,5),INDEX('2029'!$A:$Z,(5+50*((N('My Rota'!$D$6)+5)-1))+2+6,5),INDEX('2030'!$A:$Z,(5+50*((N('My Rota'!$D$6)+5)-1))+2+6,5)))</f>
        <v/>
      </c>
      <c r="F295">
        <f>IF(OR($B295="",(N('My Rota'!$D$6)+5)&gt;53),"",""&amp;CHOOSE(IFERROR(MATCH('My Rota'!$D$5,Setup!$K$33:$K$36,0),1),INDEX('2027'!$A:$Z,(5+50*((N('My Rota'!$D$6)+5)-1))+2+6,6),INDEX('2028'!$A:$Z,(5+50*((N('My Rota'!$D$6)+5)-1))+2+6,6),INDEX('2029'!$A:$Z,(5+50*((N('My Rota'!$D$6)+5)-1))+2+6,6),INDEX('2030'!$A:$Z,(5+50*((N('My Rota'!$D$6)+5)-1))+2+6,6)))</f>
        <v/>
      </c>
      <c r="G295">
        <f>IF(OR($B295="",(N('My Rota'!$D$6)+5)&gt;53),"",""&amp;CHOOSE(IFERROR(MATCH('My Rota'!$D$5,Setup!$K$33:$K$36,0),1),INDEX('2027'!$A:$Z,(5+50*((N('My Rota'!$D$6)+5)-1))+2+6,7),INDEX('2028'!$A:$Z,(5+50*((N('My Rota'!$D$6)+5)-1))+2+6,7),INDEX('2029'!$A:$Z,(5+50*((N('My Rota'!$D$6)+5)-1))+2+6,7),INDEX('2030'!$A:$Z,(5+50*((N('My Rota'!$D$6)+5)-1))+2+6,7)))</f>
        <v/>
      </c>
      <c r="H295">
        <f>IF(OR($B295="",(N('My Rota'!$D$6)+5)&gt;53),"",""&amp;CHOOSE(IFERROR(MATCH('My Rota'!$D$5,Setup!$K$33:$K$36,0),1),INDEX('2027'!$A:$Z,(5+50*((N('My Rota'!$D$6)+5)-1))+2+6,8),INDEX('2028'!$A:$Z,(5+50*((N('My Rota'!$D$6)+5)-1))+2+6,8),INDEX('2029'!$A:$Z,(5+50*((N('My Rota'!$D$6)+5)-1))+2+6,8),INDEX('2030'!$A:$Z,(5+50*((N('My Rota'!$D$6)+5)-1))+2+6,8)))</f>
        <v/>
      </c>
      <c r="I295">
        <f>IF(OR($B295="",(N('My Rota'!$D$6)+5)&gt;53),"",""&amp;CHOOSE(IFERROR(MATCH('My Rota'!$D$5,Setup!$K$33:$K$36,0),1),INDEX('2027'!$A:$Z,(5+50*((N('My Rota'!$D$6)+5)-1))+2+6,9),INDEX('2028'!$A:$Z,(5+50*((N('My Rota'!$D$6)+5)-1))+2+6,9),INDEX('2029'!$A:$Z,(5+50*((N('My Rota'!$D$6)+5)-1))+2+6,9),INDEX('2030'!$A:$Z,(5+50*((N('My Rota'!$D$6)+5)-1))+2+6,9)))</f>
        <v/>
      </c>
      <c r="J295">
        <f>IF(OR($B295="",(N('My Rota'!$D$6)+5)&gt;53),"",""&amp;CHOOSE(IFERROR(MATCH('My Rota'!$D$5,Setup!$K$33:$K$36,0),1),INDEX('2027'!$A:$Z,(5+50*((N('My Rota'!$D$6)+5)-1))+2+6,10),INDEX('2028'!$A:$Z,(5+50*((N('My Rota'!$D$6)+5)-1))+2+6,10),INDEX('2029'!$A:$Z,(5+50*((N('My Rota'!$D$6)+5)-1))+2+6,10),INDEX('2030'!$A:$Z,(5+50*((N('My Rota'!$D$6)+5)-1))+2+6,10)))</f>
        <v/>
      </c>
      <c r="K295">
        <f>IF(OR($B295="",(N('My Rota'!$D$6)+5)&gt;53),"",""&amp;CHOOSE(IFERROR(MATCH('My Rota'!$D$5,Setup!$K$33:$K$36,0),1),INDEX('2027'!$A:$Z,(5+50*((N('My Rota'!$D$6)+5)-1))+2+6,11),INDEX('2028'!$A:$Z,(5+50*((N('My Rota'!$D$6)+5)-1))+2+6,11),INDEX('2029'!$A:$Z,(5+50*((N('My Rota'!$D$6)+5)-1))+2+6,11),INDEX('2030'!$A:$Z,(5+50*((N('My Rota'!$D$6)+5)-1))+2+6,11)))</f>
        <v/>
      </c>
      <c r="L295">
        <f>IF(OR($B295="",(N('My Rota'!$D$6)+5)&gt;53),"",""&amp;CHOOSE(IFERROR(MATCH('My Rota'!$D$5,Setup!$K$33:$K$36,0),1),INDEX('2027'!$A:$Z,(5+50*((N('My Rota'!$D$6)+5)-1))+2+6,12),INDEX('2028'!$A:$Z,(5+50*((N('My Rota'!$D$6)+5)-1))+2+6,12),INDEX('2029'!$A:$Z,(5+50*((N('My Rota'!$D$6)+5)-1))+2+6,12),INDEX('2030'!$A:$Z,(5+50*((N('My Rota'!$D$6)+5)-1))+2+6,12)))</f>
        <v/>
      </c>
      <c r="M295">
        <f>IF(OR($B295="",(N('My Rota'!$D$6)+5)&gt;53),"",""&amp;CHOOSE(IFERROR(MATCH('My Rota'!$D$5,Setup!$K$33:$K$36,0),1),INDEX('2027'!$A:$Z,(5+50*((N('My Rota'!$D$6)+5)-1))+2+6,13),INDEX('2028'!$A:$Z,(5+50*((N('My Rota'!$D$6)+5)-1))+2+6,13),INDEX('2029'!$A:$Z,(5+50*((N('My Rota'!$D$6)+5)-1))+2+6,13),INDEX('2030'!$A:$Z,(5+50*((N('My Rota'!$D$6)+5)-1))+2+6,13)))</f>
        <v/>
      </c>
      <c r="N295">
        <f>IF(OR($B295="",(N('My Rota'!$D$6)+5)&gt;53),"",""&amp;CHOOSE(IFERROR(MATCH('My Rota'!$D$5,Setup!$K$33:$K$36,0),1),INDEX('2027'!$A:$Z,(5+50*((N('My Rota'!$D$6)+5)-1))+2+6,14),INDEX('2028'!$A:$Z,(5+50*((N('My Rota'!$D$6)+5)-1))+2+6,14),INDEX('2029'!$A:$Z,(5+50*((N('My Rota'!$D$6)+5)-1))+2+6,14),INDEX('2030'!$A:$Z,(5+50*((N('My Rota'!$D$6)+5)-1))+2+6,14)))</f>
        <v/>
      </c>
      <c r="O295">
        <f>IF(OR($B295="",(N('My Rota'!$D$6)+5)&gt;53),"",""&amp;CHOOSE(IFERROR(MATCH('My Rota'!$D$5,Setup!$K$33:$K$36,0),1),INDEX('2027'!$A:$Z,(5+50*((N('My Rota'!$D$6)+5)-1))+2+6,15),INDEX('2028'!$A:$Z,(5+50*((N('My Rota'!$D$6)+5)-1))+2+6,15),INDEX('2029'!$A:$Z,(5+50*((N('My Rota'!$D$6)+5)-1))+2+6,15),INDEX('2030'!$A:$Z,(5+50*((N('My Rota'!$D$6)+5)-1))+2+6,15)))</f>
        <v/>
      </c>
      <c r="P295">
        <f>IF(OR($B295="",(N('My Rota'!$D$6)+5)&gt;53),"",""&amp;CHOOSE(IFERROR(MATCH('My Rota'!$D$5,Setup!$K$33:$K$36,0),1),INDEX('2027'!$A:$Z,(5+50*((N('My Rota'!$D$6)+5)-1))+2+6,16),INDEX('2028'!$A:$Z,(5+50*((N('My Rota'!$D$6)+5)-1))+2+6,16),INDEX('2029'!$A:$Z,(5+50*((N('My Rota'!$D$6)+5)-1))+2+6,16),INDEX('2030'!$A:$Z,(5+50*((N('My Rota'!$D$6)+5)-1))+2+6,16)))</f>
        <v/>
      </c>
      <c r="Q295">
        <f>IF(OR($B295="",(N('My Rota'!$D$6)+5)&gt;53),"",""&amp;CHOOSE(IFERROR(MATCH('My Rota'!$D$5,Setup!$K$33:$K$36,0),1),INDEX('2027'!$A:$Z,(5+50*((N('My Rota'!$D$6)+5)-1))+2+6,17),INDEX('2028'!$A:$Z,(5+50*((N('My Rota'!$D$6)+5)-1))+2+6,17),INDEX('2029'!$A:$Z,(5+50*((N('My Rota'!$D$6)+5)-1))+2+6,17),INDEX('2030'!$A:$Z,(5+50*((N('My Rota'!$D$6)+5)-1))+2+6,17)))</f>
        <v/>
      </c>
      <c r="R295">
        <f>IF(OR($B295="",(N('My Rota'!$D$6)+5)&gt;53),"",""&amp;CHOOSE(IFERROR(MATCH('My Rota'!$D$5,Setup!$K$33:$K$36,0),1),INDEX('2027'!$A:$Z,(5+50*((N('My Rota'!$D$6)+5)-1))+2+6,18),INDEX('2028'!$A:$Z,(5+50*((N('My Rota'!$D$6)+5)-1))+2+6,18),INDEX('2029'!$A:$Z,(5+50*((N('My Rota'!$D$6)+5)-1))+2+6,18),INDEX('2030'!$A:$Z,(5+50*((N('My Rota'!$D$6)+5)-1))+2+6,18)))</f>
        <v/>
      </c>
      <c r="S295">
        <f>IF(OR($B295="",(N('My Rota'!$D$6)+5)&gt;53),"",""&amp;CHOOSE(IFERROR(MATCH('My Rota'!$D$5,Setup!$K$33:$K$36,0),1),INDEX('2027'!$A:$Z,(5+50*((N('My Rota'!$D$6)+5)-1))+2+6,19),INDEX('2028'!$A:$Z,(5+50*((N('My Rota'!$D$6)+5)-1))+2+6,19),INDEX('2029'!$A:$Z,(5+50*((N('My Rota'!$D$6)+5)-1))+2+6,19),INDEX('2030'!$A:$Z,(5+50*((N('My Rota'!$D$6)+5)-1))+2+6,19)))</f>
        <v/>
      </c>
      <c r="T295">
        <f>IF(OR($B295="",(N('My Rota'!$D$6)+5)&gt;53),"",""&amp;CHOOSE(IFERROR(MATCH('My Rota'!$D$5,Setup!$K$33:$K$36,0),1),INDEX('2027'!$A:$Z,(5+50*((N('My Rota'!$D$6)+5)-1))+2+6,20),INDEX('2028'!$A:$Z,(5+50*((N('My Rota'!$D$6)+5)-1))+2+6,20),INDEX('2029'!$A:$Z,(5+50*((N('My Rota'!$D$6)+5)-1))+2+6,20),INDEX('2030'!$A:$Z,(5+50*((N('My Rota'!$D$6)+5)-1))+2+6,20)))</f>
        <v/>
      </c>
      <c r="U295">
        <f>IF(OR($B295="",(N('My Rota'!$D$6)+5)&gt;53),"",""&amp;CHOOSE(IFERROR(MATCH('My Rota'!$D$5,Setup!$K$33:$K$36,0),1),INDEX('2027'!$A:$Z,(5+50*((N('My Rota'!$D$6)+5)-1))+2+6,21),INDEX('2028'!$A:$Z,(5+50*((N('My Rota'!$D$6)+5)-1))+2+6,21),INDEX('2029'!$A:$Z,(5+50*((N('My Rota'!$D$6)+5)-1))+2+6,21),INDEX('2030'!$A:$Z,(5+50*((N('My Rota'!$D$6)+5)-1))+2+6,21)))</f>
        <v/>
      </c>
      <c r="V295">
        <f>IF(OR($B295="",(N('My Rota'!$D$6)+5)&gt;53),"",""&amp;CHOOSE(IFERROR(MATCH('My Rota'!$D$5,Setup!$K$33:$K$36,0),1),INDEX('2027'!$A:$Z,(5+50*((N('My Rota'!$D$6)+5)-1))+2+6,22),INDEX('2028'!$A:$Z,(5+50*((N('My Rota'!$D$6)+5)-1))+2+6,22),INDEX('2029'!$A:$Z,(5+50*((N('My Rota'!$D$6)+5)-1))+2+6,22),INDEX('2030'!$A:$Z,(5+50*((N('My Rota'!$D$6)+5)-1))+2+6,22)))</f>
        <v/>
      </c>
      <c r="W295">
        <f>IF(OR($B295="",(N('My Rota'!$D$6)+5)&gt;53),"",""&amp;CHOOSE(IFERROR(MATCH('My Rota'!$D$5,Setup!$K$33:$K$36,0),1),INDEX('2027'!$A:$Z,(5+50*((N('My Rota'!$D$6)+5)-1))+2+6,23),INDEX('2028'!$A:$Z,(5+50*((N('My Rota'!$D$6)+5)-1))+2+6,23),INDEX('2029'!$A:$Z,(5+50*((N('My Rota'!$D$6)+5)-1))+2+6,23),INDEX('2030'!$A:$Z,(5+50*((N('My Rota'!$D$6)+5)-1))+2+6,23)))</f>
        <v/>
      </c>
      <c r="X295">
        <f>IF(OR($B295="",(N('My Rota'!$D$6)+5)&gt;53),"",""&amp;CHOOSE(IFERROR(MATCH('My Rota'!$D$5,Setup!$K$33:$K$36,0),1),INDEX('2027'!$A:$Z,(5+50*((N('My Rota'!$D$6)+5)-1))+2+6,24),INDEX('2028'!$A:$Z,(5+50*((N('My Rota'!$D$6)+5)-1))+2+6,24),INDEX('2029'!$A:$Z,(5+50*((N('My Rota'!$D$6)+5)-1))+2+6,24),INDEX('2030'!$A:$Z,(5+50*((N('My Rota'!$D$6)+5)-1))+2+6,24)))</f>
        <v/>
      </c>
      <c r="Y295">
        <f>IF(OR($B295="",(N('My Rota'!$D$6)+5)&gt;53),"",""&amp;CHOOSE(IFERROR(MATCH('My Rota'!$D$5,Setup!$K$33:$K$36,0),1),INDEX('2027'!$A:$Z,(5+50*((N('My Rota'!$D$6)+5)-1))+2+6,25),INDEX('2028'!$A:$Z,(5+50*((N('My Rota'!$D$6)+5)-1))+2+6,25),INDEX('2029'!$A:$Z,(5+50*((N('My Rota'!$D$6)+5)-1))+2+6,25),INDEX('2030'!$A:$Z,(5+50*((N('My Rota'!$D$6)+5)-1))+2+6,25)))</f>
        <v/>
      </c>
      <c r="Z295">
        <f>IF(OR($B295="",(N('My Rota'!$D$6)+5)&gt;53),"",""&amp;CHOOSE(IFERROR(MATCH('My Rota'!$D$5,Setup!$K$33:$K$36,0),1),INDEX('2027'!$A:$Z,(5+50*((N('My Rota'!$D$6)+5)-1))+2+6,26),INDEX('2028'!$A:$Z,(5+50*((N('My Rota'!$D$6)+5)-1))+2+6,26),INDEX('2029'!$A:$Z,(5+50*((N('My Rota'!$D$6)+5)-1))+2+6,26),INDEX('2030'!$A:$Z,(5+50*((N('My Rota'!$D$6)+5)-1))+2+6,26)))</f>
        <v/>
      </c>
    </row>
    <row r="296">
      <c r="A296" t="n">
        <v>6</v>
      </c>
      <c r="B296">
        <f>$B$53</f>
        <v/>
      </c>
      <c r="C296">
        <f>IF(OR($B296="",(N('My Rota'!$D$6)+5)&gt;53),"",""&amp;CHOOSE(IFERROR(MATCH('My Rota'!$D$5,Setup!$K$33:$K$36,0),1),INDEX('2027'!$A:$Z,(5+50*((N('My Rota'!$D$6)+5)-1))+2+7,3),INDEX('2028'!$A:$Z,(5+50*((N('My Rota'!$D$6)+5)-1))+2+7,3),INDEX('2029'!$A:$Z,(5+50*((N('My Rota'!$D$6)+5)-1))+2+7,3),INDEX('2030'!$A:$Z,(5+50*((N('My Rota'!$D$6)+5)-1))+2+7,3)))</f>
        <v/>
      </c>
      <c r="D296">
        <f>IF(OR($B296="",(N('My Rota'!$D$6)+5)&gt;53),"",""&amp;CHOOSE(IFERROR(MATCH('My Rota'!$D$5,Setup!$K$33:$K$36,0),1),INDEX('2027'!$A:$Z,(5+50*((N('My Rota'!$D$6)+5)-1))+2+7,4),INDEX('2028'!$A:$Z,(5+50*((N('My Rota'!$D$6)+5)-1))+2+7,4),INDEX('2029'!$A:$Z,(5+50*((N('My Rota'!$D$6)+5)-1))+2+7,4),INDEX('2030'!$A:$Z,(5+50*((N('My Rota'!$D$6)+5)-1))+2+7,4)))</f>
        <v/>
      </c>
      <c r="E296">
        <f>IF(OR($B296="",(N('My Rota'!$D$6)+5)&gt;53),"",""&amp;CHOOSE(IFERROR(MATCH('My Rota'!$D$5,Setup!$K$33:$K$36,0),1),INDEX('2027'!$A:$Z,(5+50*((N('My Rota'!$D$6)+5)-1))+2+7,5),INDEX('2028'!$A:$Z,(5+50*((N('My Rota'!$D$6)+5)-1))+2+7,5),INDEX('2029'!$A:$Z,(5+50*((N('My Rota'!$D$6)+5)-1))+2+7,5),INDEX('2030'!$A:$Z,(5+50*((N('My Rota'!$D$6)+5)-1))+2+7,5)))</f>
        <v/>
      </c>
      <c r="F296">
        <f>IF(OR($B296="",(N('My Rota'!$D$6)+5)&gt;53),"",""&amp;CHOOSE(IFERROR(MATCH('My Rota'!$D$5,Setup!$K$33:$K$36,0),1),INDEX('2027'!$A:$Z,(5+50*((N('My Rota'!$D$6)+5)-1))+2+7,6),INDEX('2028'!$A:$Z,(5+50*((N('My Rota'!$D$6)+5)-1))+2+7,6),INDEX('2029'!$A:$Z,(5+50*((N('My Rota'!$D$6)+5)-1))+2+7,6),INDEX('2030'!$A:$Z,(5+50*((N('My Rota'!$D$6)+5)-1))+2+7,6)))</f>
        <v/>
      </c>
      <c r="G296">
        <f>IF(OR($B296="",(N('My Rota'!$D$6)+5)&gt;53),"",""&amp;CHOOSE(IFERROR(MATCH('My Rota'!$D$5,Setup!$K$33:$K$36,0),1),INDEX('2027'!$A:$Z,(5+50*((N('My Rota'!$D$6)+5)-1))+2+7,7),INDEX('2028'!$A:$Z,(5+50*((N('My Rota'!$D$6)+5)-1))+2+7,7),INDEX('2029'!$A:$Z,(5+50*((N('My Rota'!$D$6)+5)-1))+2+7,7),INDEX('2030'!$A:$Z,(5+50*((N('My Rota'!$D$6)+5)-1))+2+7,7)))</f>
        <v/>
      </c>
      <c r="H296">
        <f>IF(OR($B296="",(N('My Rota'!$D$6)+5)&gt;53),"",""&amp;CHOOSE(IFERROR(MATCH('My Rota'!$D$5,Setup!$K$33:$K$36,0),1),INDEX('2027'!$A:$Z,(5+50*((N('My Rota'!$D$6)+5)-1))+2+7,8),INDEX('2028'!$A:$Z,(5+50*((N('My Rota'!$D$6)+5)-1))+2+7,8),INDEX('2029'!$A:$Z,(5+50*((N('My Rota'!$D$6)+5)-1))+2+7,8),INDEX('2030'!$A:$Z,(5+50*((N('My Rota'!$D$6)+5)-1))+2+7,8)))</f>
        <v/>
      </c>
      <c r="I296">
        <f>IF(OR($B296="",(N('My Rota'!$D$6)+5)&gt;53),"",""&amp;CHOOSE(IFERROR(MATCH('My Rota'!$D$5,Setup!$K$33:$K$36,0),1),INDEX('2027'!$A:$Z,(5+50*((N('My Rota'!$D$6)+5)-1))+2+7,9),INDEX('2028'!$A:$Z,(5+50*((N('My Rota'!$D$6)+5)-1))+2+7,9),INDEX('2029'!$A:$Z,(5+50*((N('My Rota'!$D$6)+5)-1))+2+7,9),INDEX('2030'!$A:$Z,(5+50*((N('My Rota'!$D$6)+5)-1))+2+7,9)))</f>
        <v/>
      </c>
      <c r="J296">
        <f>IF(OR($B296="",(N('My Rota'!$D$6)+5)&gt;53),"",""&amp;CHOOSE(IFERROR(MATCH('My Rota'!$D$5,Setup!$K$33:$K$36,0),1),INDEX('2027'!$A:$Z,(5+50*((N('My Rota'!$D$6)+5)-1))+2+7,10),INDEX('2028'!$A:$Z,(5+50*((N('My Rota'!$D$6)+5)-1))+2+7,10),INDEX('2029'!$A:$Z,(5+50*((N('My Rota'!$D$6)+5)-1))+2+7,10),INDEX('2030'!$A:$Z,(5+50*((N('My Rota'!$D$6)+5)-1))+2+7,10)))</f>
        <v/>
      </c>
      <c r="K296">
        <f>IF(OR($B296="",(N('My Rota'!$D$6)+5)&gt;53),"",""&amp;CHOOSE(IFERROR(MATCH('My Rota'!$D$5,Setup!$K$33:$K$36,0),1),INDEX('2027'!$A:$Z,(5+50*((N('My Rota'!$D$6)+5)-1))+2+7,11),INDEX('2028'!$A:$Z,(5+50*((N('My Rota'!$D$6)+5)-1))+2+7,11),INDEX('2029'!$A:$Z,(5+50*((N('My Rota'!$D$6)+5)-1))+2+7,11),INDEX('2030'!$A:$Z,(5+50*((N('My Rota'!$D$6)+5)-1))+2+7,11)))</f>
        <v/>
      </c>
      <c r="L296">
        <f>IF(OR($B296="",(N('My Rota'!$D$6)+5)&gt;53),"",""&amp;CHOOSE(IFERROR(MATCH('My Rota'!$D$5,Setup!$K$33:$K$36,0),1),INDEX('2027'!$A:$Z,(5+50*((N('My Rota'!$D$6)+5)-1))+2+7,12),INDEX('2028'!$A:$Z,(5+50*((N('My Rota'!$D$6)+5)-1))+2+7,12),INDEX('2029'!$A:$Z,(5+50*((N('My Rota'!$D$6)+5)-1))+2+7,12),INDEX('2030'!$A:$Z,(5+50*((N('My Rota'!$D$6)+5)-1))+2+7,12)))</f>
        <v/>
      </c>
      <c r="M296">
        <f>IF(OR($B296="",(N('My Rota'!$D$6)+5)&gt;53),"",""&amp;CHOOSE(IFERROR(MATCH('My Rota'!$D$5,Setup!$K$33:$K$36,0),1),INDEX('2027'!$A:$Z,(5+50*((N('My Rota'!$D$6)+5)-1))+2+7,13),INDEX('2028'!$A:$Z,(5+50*((N('My Rota'!$D$6)+5)-1))+2+7,13),INDEX('2029'!$A:$Z,(5+50*((N('My Rota'!$D$6)+5)-1))+2+7,13),INDEX('2030'!$A:$Z,(5+50*((N('My Rota'!$D$6)+5)-1))+2+7,13)))</f>
        <v/>
      </c>
      <c r="N296">
        <f>IF(OR($B296="",(N('My Rota'!$D$6)+5)&gt;53),"",""&amp;CHOOSE(IFERROR(MATCH('My Rota'!$D$5,Setup!$K$33:$K$36,0),1),INDEX('2027'!$A:$Z,(5+50*((N('My Rota'!$D$6)+5)-1))+2+7,14),INDEX('2028'!$A:$Z,(5+50*((N('My Rota'!$D$6)+5)-1))+2+7,14),INDEX('2029'!$A:$Z,(5+50*((N('My Rota'!$D$6)+5)-1))+2+7,14),INDEX('2030'!$A:$Z,(5+50*((N('My Rota'!$D$6)+5)-1))+2+7,14)))</f>
        <v/>
      </c>
      <c r="O296">
        <f>IF(OR($B296="",(N('My Rota'!$D$6)+5)&gt;53),"",""&amp;CHOOSE(IFERROR(MATCH('My Rota'!$D$5,Setup!$K$33:$K$36,0),1),INDEX('2027'!$A:$Z,(5+50*((N('My Rota'!$D$6)+5)-1))+2+7,15),INDEX('2028'!$A:$Z,(5+50*((N('My Rota'!$D$6)+5)-1))+2+7,15),INDEX('2029'!$A:$Z,(5+50*((N('My Rota'!$D$6)+5)-1))+2+7,15),INDEX('2030'!$A:$Z,(5+50*((N('My Rota'!$D$6)+5)-1))+2+7,15)))</f>
        <v/>
      </c>
      <c r="P296">
        <f>IF(OR($B296="",(N('My Rota'!$D$6)+5)&gt;53),"",""&amp;CHOOSE(IFERROR(MATCH('My Rota'!$D$5,Setup!$K$33:$K$36,0),1),INDEX('2027'!$A:$Z,(5+50*((N('My Rota'!$D$6)+5)-1))+2+7,16),INDEX('2028'!$A:$Z,(5+50*((N('My Rota'!$D$6)+5)-1))+2+7,16),INDEX('2029'!$A:$Z,(5+50*((N('My Rota'!$D$6)+5)-1))+2+7,16),INDEX('2030'!$A:$Z,(5+50*((N('My Rota'!$D$6)+5)-1))+2+7,16)))</f>
        <v/>
      </c>
      <c r="Q296">
        <f>IF(OR($B296="",(N('My Rota'!$D$6)+5)&gt;53),"",""&amp;CHOOSE(IFERROR(MATCH('My Rota'!$D$5,Setup!$K$33:$K$36,0),1),INDEX('2027'!$A:$Z,(5+50*((N('My Rota'!$D$6)+5)-1))+2+7,17),INDEX('2028'!$A:$Z,(5+50*((N('My Rota'!$D$6)+5)-1))+2+7,17),INDEX('2029'!$A:$Z,(5+50*((N('My Rota'!$D$6)+5)-1))+2+7,17),INDEX('2030'!$A:$Z,(5+50*((N('My Rota'!$D$6)+5)-1))+2+7,17)))</f>
        <v/>
      </c>
      <c r="R296">
        <f>IF(OR($B296="",(N('My Rota'!$D$6)+5)&gt;53),"",""&amp;CHOOSE(IFERROR(MATCH('My Rota'!$D$5,Setup!$K$33:$K$36,0),1),INDEX('2027'!$A:$Z,(5+50*((N('My Rota'!$D$6)+5)-1))+2+7,18),INDEX('2028'!$A:$Z,(5+50*((N('My Rota'!$D$6)+5)-1))+2+7,18),INDEX('2029'!$A:$Z,(5+50*((N('My Rota'!$D$6)+5)-1))+2+7,18),INDEX('2030'!$A:$Z,(5+50*((N('My Rota'!$D$6)+5)-1))+2+7,18)))</f>
        <v/>
      </c>
      <c r="S296">
        <f>IF(OR($B296="",(N('My Rota'!$D$6)+5)&gt;53),"",""&amp;CHOOSE(IFERROR(MATCH('My Rota'!$D$5,Setup!$K$33:$K$36,0),1),INDEX('2027'!$A:$Z,(5+50*((N('My Rota'!$D$6)+5)-1))+2+7,19),INDEX('2028'!$A:$Z,(5+50*((N('My Rota'!$D$6)+5)-1))+2+7,19),INDEX('2029'!$A:$Z,(5+50*((N('My Rota'!$D$6)+5)-1))+2+7,19),INDEX('2030'!$A:$Z,(5+50*((N('My Rota'!$D$6)+5)-1))+2+7,19)))</f>
        <v/>
      </c>
      <c r="T296">
        <f>IF(OR($B296="",(N('My Rota'!$D$6)+5)&gt;53),"",""&amp;CHOOSE(IFERROR(MATCH('My Rota'!$D$5,Setup!$K$33:$K$36,0),1),INDEX('2027'!$A:$Z,(5+50*((N('My Rota'!$D$6)+5)-1))+2+7,20),INDEX('2028'!$A:$Z,(5+50*((N('My Rota'!$D$6)+5)-1))+2+7,20),INDEX('2029'!$A:$Z,(5+50*((N('My Rota'!$D$6)+5)-1))+2+7,20),INDEX('2030'!$A:$Z,(5+50*((N('My Rota'!$D$6)+5)-1))+2+7,20)))</f>
        <v/>
      </c>
      <c r="U296">
        <f>IF(OR($B296="",(N('My Rota'!$D$6)+5)&gt;53),"",""&amp;CHOOSE(IFERROR(MATCH('My Rota'!$D$5,Setup!$K$33:$K$36,0),1),INDEX('2027'!$A:$Z,(5+50*((N('My Rota'!$D$6)+5)-1))+2+7,21),INDEX('2028'!$A:$Z,(5+50*((N('My Rota'!$D$6)+5)-1))+2+7,21),INDEX('2029'!$A:$Z,(5+50*((N('My Rota'!$D$6)+5)-1))+2+7,21),INDEX('2030'!$A:$Z,(5+50*((N('My Rota'!$D$6)+5)-1))+2+7,21)))</f>
        <v/>
      </c>
      <c r="V296">
        <f>IF(OR($B296="",(N('My Rota'!$D$6)+5)&gt;53),"",""&amp;CHOOSE(IFERROR(MATCH('My Rota'!$D$5,Setup!$K$33:$K$36,0),1),INDEX('2027'!$A:$Z,(5+50*((N('My Rota'!$D$6)+5)-1))+2+7,22),INDEX('2028'!$A:$Z,(5+50*((N('My Rota'!$D$6)+5)-1))+2+7,22),INDEX('2029'!$A:$Z,(5+50*((N('My Rota'!$D$6)+5)-1))+2+7,22),INDEX('2030'!$A:$Z,(5+50*((N('My Rota'!$D$6)+5)-1))+2+7,22)))</f>
        <v/>
      </c>
      <c r="W296">
        <f>IF(OR($B296="",(N('My Rota'!$D$6)+5)&gt;53),"",""&amp;CHOOSE(IFERROR(MATCH('My Rota'!$D$5,Setup!$K$33:$K$36,0),1),INDEX('2027'!$A:$Z,(5+50*((N('My Rota'!$D$6)+5)-1))+2+7,23),INDEX('2028'!$A:$Z,(5+50*((N('My Rota'!$D$6)+5)-1))+2+7,23),INDEX('2029'!$A:$Z,(5+50*((N('My Rota'!$D$6)+5)-1))+2+7,23),INDEX('2030'!$A:$Z,(5+50*((N('My Rota'!$D$6)+5)-1))+2+7,23)))</f>
        <v/>
      </c>
      <c r="X296">
        <f>IF(OR($B296="",(N('My Rota'!$D$6)+5)&gt;53),"",""&amp;CHOOSE(IFERROR(MATCH('My Rota'!$D$5,Setup!$K$33:$K$36,0),1),INDEX('2027'!$A:$Z,(5+50*((N('My Rota'!$D$6)+5)-1))+2+7,24),INDEX('2028'!$A:$Z,(5+50*((N('My Rota'!$D$6)+5)-1))+2+7,24),INDEX('2029'!$A:$Z,(5+50*((N('My Rota'!$D$6)+5)-1))+2+7,24),INDEX('2030'!$A:$Z,(5+50*((N('My Rota'!$D$6)+5)-1))+2+7,24)))</f>
        <v/>
      </c>
      <c r="Y296">
        <f>IF(OR($B296="",(N('My Rota'!$D$6)+5)&gt;53),"",""&amp;CHOOSE(IFERROR(MATCH('My Rota'!$D$5,Setup!$K$33:$K$36,0),1),INDEX('2027'!$A:$Z,(5+50*((N('My Rota'!$D$6)+5)-1))+2+7,25),INDEX('2028'!$A:$Z,(5+50*((N('My Rota'!$D$6)+5)-1))+2+7,25),INDEX('2029'!$A:$Z,(5+50*((N('My Rota'!$D$6)+5)-1))+2+7,25),INDEX('2030'!$A:$Z,(5+50*((N('My Rota'!$D$6)+5)-1))+2+7,25)))</f>
        <v/>
      </c>
      <c r="Z296">
        <f>IF(OR($B296="",(N('My Rota'!$D$6)+5)&gt;53),"",""&amp;CHOOSE(IFERROR(MATCH('My Rota'!$D$5,Setup!$K$33:$K$36,0),1),INDEX('2027'!$A:$Z,(5+50*((N('My Rota'!$D$6)+5)-1))+2+7,26),INDEX('2028'!$A:$Z,(5+50*((N('My Rota'!$D$6)+5)-1))+2+7,26),INDEX('2029'!$A:$Z,(5+50*((N('My Rota'!$D$6)+5)-1))+2+7,26),INDEX('2030'!$A:$Z,(5+50*((N('My Rota'!$D$6)+5)-1))+2+7,26)))</f>
        <v/>
      </c>
    </row>
    <row r="297">
      <c r="A297" t="n">
        <v>6</v>
      </c>
      <c r="B297">
        <f>$B$54</f>
        <v/>
      </c>
      <c r="C297">
        <f>IF(OR($B297="",(N('My Rota'!$D$6)+5)&gt;53),"",""&amp;CHOOSE(IFERROR(MATCH('My Rota'!$D$5,Setup!$K$33:$K$36,0),1),INDEX('2027'!$A:$Z,(5+50*((N('My Rota'!$D$6)+5)-1))+2+8,3),INDEX('2028'!$A:$Z,(5+50*((N('My Rota'!$D$6)+5)-1))+2+8,3),INDEX('2029'!$A:$Z,(5+50*((N('My Rota'!$D$6)+5)-1))+2+8,3),INDEX('2030'!$A:$Z,(5+50*((N('My Rota'!$D$6)+5)-1))+2+8,3)))</f>
        <v/>
      </c>
      <c r="D297">
        <f>IF(OR($B297="",(N('My Rota'!$D$6)+5)&gt;53),"",""&amp;CHOOSE(IFERROR(MATCH('My Rota'!$D$5,Setup!$K$33:$K$36,0),1),INDEX('2027'!$A:$Z,(5+50*((N('My Rota'!$D$6)+5)-1))+2+8,4),INDEX('2028'!$A:$Z,(5+50*((N('My Rota'!$D$6)+5)-1))+2+8,4),INDEX('2029'!$A:$Z,(5+50*((N('My Rota'!$D$6)+5)-1))+2+8,4),INDEX('2030'!$A:$Z,(5+50*((N('My Rota'!$D$6)+5)-1))+2+8,4)))</f>
        <v/>
      </c>
      <c r="E297">
        <f>IF(OR($B297="",(N('My Rota'!$D$6)+5)&gt;53),"",""&amp;CHOOSE(IFERROR(MATCH('My Rota'!$D$5,Setup!$K$33:$K$36,0),1),INDEX('2027'!$A:$Z,(5+50*((N('My Rota'!$D$6)+5)-1))+2+8,5),INDEX('2028'!$A:$Z,(5+50*((N('My Rota'!$D$6)+5)-1))+2+8,5),INDEX('2029'!$A:$Z,(5+50*((N('My Rota'!$D$6)+5)-1))+2+8,5),INDEX('2030'!$A:$Z,(5+50*((N('My Rota'!$D$6)+5)-1))+2+8,5)))</f>
        <v/>
      </c>
      <c r="F297">
        <f>IF(OR($B297="",(N('My Rota'!$D$6)+5)&gt;53),"",""&amp;CHOOSE(IFERROR(MATCH('My Rota'!$D$5,Setup!$K$33:$K$36,0),1),INDEX('2027'!$A:$Z,(5+50*((N('My Rota'!$D$6)+5)-1))+2+8,6),INDEX('2028'!$A:$Z,(5+50*((N('My Rota'!$D$6)+5)-1))+2+8,6),INDEX('2029'!$A:$Z,(5+50*((N('My Rota'!$D$6)+5)-1))+2+8,6),INDEX('2030'!$A:$Z,(5+50*((N('My Rota'!$D$6)+5)-1))+2+8,6)))</f>
        <v/>
      </c>
      <c r="G297">
        <f>IF(OR($B297="",(N('My Rota'!$D$6)+5)&gt;53),"",""&amp;CHOOSE(IFERROR(MATCH('My Rota'!$D$5,Setup!$K$33:$K$36,0),1),INDEX('2027'!$A:$Z,(5+50*((N('My Rota'!$D$6)+5)-1))+2+8,7),INDEX('2028'!$A:$Z,(5+50*((N('My Rota'!$D$6)+5)-1))+2+8,7),INDEX('2029'!$A:$Z,(5+50*((N('My Rota'!$D$6)+5)-1))+2+8,7),INDEX('2030'!$A:$Z,(5+50*((N('My Rota'!$D$6)+5)-1))+2+8,7)))</f>
        <v/>
      </c>
      <c r="H297">
        <f>IF(OR($B297="",(N('My Rota'!$D$6)+5)&gt;53),"",""&amp;CHOOSE(IFERROR(MATCH('My Rota'!$D$5,Setup!$K$33:$K$36,0),1),INDEX('2027'!$A:$Z,(5+50*((N('My Rota'!$D$6)+5)-1))+2+8,8),INDEX('2028'!$A:$Z,(5+50*((N('My Rota'!$D$6)+5)-1))+2+8,8),INDEX('2029'!$A:$Z,(5+50*((N('My Rota'!$D$6)+5)-1))+2+8,8),INDEX('2030'!$A:$Z,(5+50*((N('My Rota'!$D$6)+5)-1))+2+8,8)))</f>
        <v/>
      </c>
      <c r="I297">
        <f>IF(OR($B297="",(N('My Rota'!$D$6)+5)&gt;53),"",""&amp;CHOOSE(IFERROR(MATCH('My Rota'!$D$5,Setup!$K$33:$K$36,0),1),INDEX('2027'!$A:$Z,(5+50*((N('My Rota'!$D$6)+5)-1))+2+8,9),INDEX('2028'!$A:$Z,(5+50*((N('My Rota'!$D$6)+5)-1))+2+8,9),INDEX('2029'!$A:$Z,(5+50*((N('My Rota'!$D$6)+5)-1))+2+8,9),INDEX('2030'!$A:$Z,(5+50*((N('My Rota'!$D$6)+5)-1))+2+8,9)))</f>
        <v/>
      </c>
      <c r="J297">
        <f>IF(OR($B297="",(N('My Rota'!$D$6)+5)&gt;53),"",""&amp;CHOOSE(IFERROR(MATCH('My Rota'!$D$5,Setup!$K$33:$K$36,0),1),INDEX('2027'!$A:$Z,(5+50*((N('My Rota'!$D$6)+5)-1))+2+8,10),INDEX('2028'!$A:$Z,(5+50*((N('My Rota'!$D$6)+5)-1))+2+8,10),INDEX('2029'!$A:$Z,(5+50*((N('My Rota'!$D$6)+5)-1))+2+8,10),INDEX('2030'!$A:$Z,(5+50*((N('My Rota'!$D$6)+5)-1))+2+8,10)))</f>
        <v/>
      </c>
      <c r="K297">
        <f>IF(OR($B297="",(N('My Rota'!$D$6)+5)&gt;53),"",""&amp;CHOOSE(IFERROR(MATCH('My Rota'!$D$5,Setup!$K$33:$K$36,0),1),INDEX('2027'!$A:$Z,(5+50*((N('My Rota'!$D$6)+5)-1))+2+8,11),INDEX('2028'!$A:$Z,(5+50*((N('My Rota'!$D$6)+5)-1))+2+8,11),INDEX('2029'!$A:$Z,(5+50*((N('My Rota'!$D$6)+5)-1))+2+8,11),INDEX('2030'!$A:$Z,(5+50*((N('My Rota'!$D$6)+5)-1))+2+8,11)))</f>
        <v/>
      </c>
      <c r="L297">
        <f>IF(OR($B297="",(N('My Rota'!$D$6)+5)&gt;53),"",""&amp;CHOOSE(IFERROR(MATCH('My Rota'!$D$5,Setup!$K$33:$K$36,0),1),INDEX('2027'!$A:$Z,(5+50*((N('My Rota'!$D$6)+5)-1))+2+8,12),INDEX('2028'!$A:$Z,(5+50*((N('My Rota'!$D$6)+5)-1))+2+8,12),INDEX('2029'!$A:$Z,(5+50*((N('My Rota'!$D$6)+5)-1))+2+8,12),INDEX('2030'!$A:$Z,(5+50*((N('My Rota'!$D$6)+5)-1))+2+8,12)))</f>
        <v/>
      </c>
      <c r="M297">
        <f>IF(OR($B297="",(N('My Rota'!$D$6)+5)&gt;53),"",""&amp;CHOOSE(IFERROR(MATCH('My Rota'!$D$5,Setup!$K$33:$K$36,0),1),INDEX('2027'!$A:$Z,(5+50*((N('My Rota'!$D$6)+5)-1))+2+8,13),INDEX('2028'!$A:$Z,(5+50*((N('My Rota'!$D$6)+5)-1))+2+8,13),INDEX('2029'!$A:$Z,(5+50*((N('My Rota'!$D$6)+5)-1))+2+8,13),INDEX('2030'!$A:$Z,(5+50*((N('My Rota'!$D$6)+5)-1))+2+8,13)))</f>
        <v/>
      </c>
      <c r="N297">
        <f>IF(OR($B297="",(N('My Rota'!$D$6)+5)&gt;53),"",""&amp;CHOOSE(IFERROR(MATCH('My Rota'!$D$5,Setup!$K$33:$K$36,0),1),INDEX('2027'!$A:$Z,(5+50*((N('My Rota'!$D$6)+5)-1))+2+8,14),INDEX('2028'!$A:$Z,(5+50*((N('My Rota'!$D$6)+5)-1))+2+8,14),INDEX('2029'!$A:$Z,(5+50*((N('My Rota'!$D$6)+5)-1))+2+8,14),INDEX('2030'!$A:$Z,(5+50*((N('My Rota'!$D$6)+5)-1))+2+8,14)))</f>
        <v/>
      </c>
      <c r="O297">
        <f>IF(OR($B297="",(N('My Rota'!$D$6)+5)&gt;53),"",""&amp;CHOOSE(IFERROR(MATCH('My Rota'!$D$5,Setup!$K$33:$K$36,0),1),INDEX('2027'!$A:$Z,(5+50*((N('My Rota'!$D$6)+5)-1))+2+8,15),INDEX('2028'!$A:$Z,(5+50*((N('My Rota'!$D$6)+5)-1))+2+8,15),INDEX('2029'!$A:$Z,(5+50*((N('My Rota'!$D$6)+5)-1))+2+8,15),INDEX('2030'!$A:$Z,(5+50*((N('My Rota'!$D$6)+5)-1))+2+8,15)))</f>
        <v/>
      </c>
      <c r="P297">
        <f>IF(OR($B297="",(N('My Rota'!$D$6)+5)&gt;53),"",""&amp;CHOOSE(IFERROR(MATCH('My Rota'!$D$5,Setup!$K$33:$K$36,0),1),INDEX('2027'!$A:$Z,(5+50*((N('My Rota'!$D$6)+5)-1))+2+8,16),INDEX('2028'!$A:$Z,(5+50*((N('My Rota'!$D$6)+5)-1))+2+8,16),INDEX('2029'!$A:$Z,(5+50*((N('My Rota'!$D$6)+5)-1))+2+8,16),INDEX('2030'!$A:$Z,(5+50*((N('My Rota'!$D$6)+5)-1))+2+8,16)))</f>
        <v/>
      </c>
      <c r="Q297">
        <f>IF(OR($B297="",(N('My Rota'!$D$6)+5)&gt;53),"",""&amp;CHOOSE(IFERROR(MATCH('My Rota'!$D$5,Setup!$K$33:$K$36,0),1),INDEX('2027'!$A:$Z,(5+50*((N('My Rota'!$D$6)+5)-1))+2+8,17),INDEX('2028'!$A:$Z,(5+50*((N('My Rota'!$D$6)+5)-1))+2+8,17),INDEX('2029'!$A:$Z,(5+50*((N('My Rota'!$D$6)+5)-1))+2+8,17),INDEX('2030'!$A:$Z,(5+50*((N('My Rota'!$D$6)+5)-1))+2+8,17)))</f>
        <v/>
      </c>
      <c r="R297">
        <f>IF(OR($B297="",(N('My Rota'!$D$6)+5)&gt;53),"",""&amp;CHOOSE(IFERROR(MATCH('My Rota'!$D$5,Setup!$K$33:$K$36,0),1),INDEX('2027'!$A:$Z,(5+50*((N('My Rota'!$D$6)+5)-1))+2+8,18),INDEX('2028'!$A:$Z,(5+50*((N('My Rota'!$D$6)+5)-1))+2+8,18),INDEX('2029'!$A:$Z,(5+50*((N('My Rota'!$D$6)+5)-1))+2+8,18),INDEX('2030'!$A:$Z,(5+50*((N('My Rota'!$D$6)+5)-1))+2+8,18)))</f>
        <v/>
      </c>
      <c r="S297">
        <f>IF(OR($B297="",(N('My Rota'!$D$6)+5)&gt;53),"",""&amp;CHOOSE(IFERROR(MATCH('My Rota'!$D$5,Setup!$K$33:$K$36,0),1),INDEX('2027'!$A:$Z,(5+50*((N('My Rota'!$D$6)+5)-1))+2+8,19),INDEX('2028'!$A:$Z,(5+50*((N('My Rota'!$D$6)+5)-1))+2+8,19),INDEX('2029'!$A:$Z,(5+50*((N('My Rota'!$D$6)+5)-1))+2+8,19),INDEX('2030'!$A:$Z,(5+50*((N('My Rota'!$D$6)+5)-1))+2+8,19)))</f>
        <v/>
      </c>
      <c r="T297">
        <f>IF(OR($B297="",(N('My Rota'!$D$6)+5)&gt;53),"",""&amp;CHOOSE(IFERROR(MATCH('My Rota'!$D$5,Setup!$K$33:$K$36,0),1),INDEX('2027'!$A:$Z,(5+50*((N('My Rota'!$D$6)+5)-1))+2+8,20),INDEX('2028'!$A:$Z,(5+50*((N('My Rota'!$D$6)+5)-1))+2+8,20),INDEX('2029'!$A:$Z,(5+50*((N('My Rota'!$D$6)+5)-1))+2+8,20),INDEX('2030'!$A:$Z,(5+50*((N('My Rota'!$D$6)+5)-1))+2+8,20)))</f>
        <v/>
      </c>
      <c r="U297">
        <f>IF(OR($B297="",(N('My Rota'!$D$6)+5)&gt;53),"",""&amp;CHOOSE(IFERROR(MATCH('My Rota'!$D$5,Setup!$K$33:$K$36,0),1),INDEX('2027'!$A:$Z,(5+50*((N('My Rota'!$D$6)+5)-1))+2+8,21),INDEX('2028'!$A:$Z,(5+50*((N('My Rota'!$D$6)+5)-1))+2+8,21),INDEX('2029'!$A:$Z,(5+50*((N('My Rota'!$D$6)+5)-1))+2+8,21),INDEX('2030'!$A:$Z,(5+50*((N('My Rota'!$D$6)+5)-1))+2+8,21)))</f>
        <v/>
      </c>
      <c r="V297">
        <f>IF(OR($B297="",(N('My Rota'!$D$6)+5)&gt;53),"",""&amp;CHOOSE(IFERROR(MATCH('My Rota'!$D$5,Setup!$K$33:$K$36,0),1),INDEX('2027'!$A:$Z,(5+50*((N('My Rota'!$D$6)+5)-1))+2+8,22),INDEX('2028'!$A:$Z,(5+50*((N('My Rota'!$D$6)+5)-1))+2+8,22),INDEX('2029'!$A:$Z,(5+50*((N('My Rota'!$D$6)+5)-1))+2+8,22),INDEX('2030'!$A:$Z,(5+50*((N('My Rota'!$D$6)+5)-1))+2+8,22)))</f>
        <v/>
      </c>
      <c r="W297">
        <f>IF(OR($B297="",(N('My Rota'!$D$6)+5)&gt;53),"",""&amp;CHOOSE(IFERROR(MATCH('My Rota'!$D$5,Setup!$K$33:$K$36,0),1),INDEX('2027'!$A:$Z,(5+50*((N('My Rota'!$D$6)+5)-1))+2+8,23),INDEX('2028'!$A:$Z,(5+50*((N('My Rota'!$D$6)+5)-1))+2+8,23),INDEX('2029'!$A:$Z,(5+50*((N('My Rota'!$D$6)+5)-1))+2+8,23),INDEX('2030'!$A:$Z,(5+50*((N('My Rota'!$D$6)+5)-1))+2+8,23)))</f>
        <v/>
      </c>
      <c r="X297">
        <f>IF(OR($B297="",(N('My Rota'!$D$6)+5)&gt;53),"",""&amp;CHOOSE(IFERROR(MATCH('My Rota'!$D$5,Setup!$K$33:$K$36,0),1),INDEX('2027'!$A:$Z,(5+50*((N('My Rota'!$D$6)+5)-1))+2+8,24),INDEX('2028'!$A:$Z,(5+50*((N('My Rota'!$D$6)+5)-1))+2+8,24),INDEX('2029'!$A:$Z,(5+50*((N('My Rota'!$D$6)+5)-1))+2+8,24),INDEX('2030'!$A:$Z,(5+50*((N('My Rota'!$D$6)+5)-1))+2+8,24)))</f>
        <v/>
      </c>
      <c r="Y297">
        <f>IF(OR($B297="",(N('My Rota'!$D$6)+5)&gt;53),"",""&amp;CHOOSE(IFERROR(MATCH('My Rota'!$D$5,Setup!$K$33:$K$36,0),1),INDEX('2027'!$A:$Z,(5+50*((N('My Rota'!$D$6)+5)-1))+2+8,25),INDEX('2028'!$A:$Z,(5+50*((N('My Rota'!$D$6)+5)-1))+2+8,25),INDEX('2029'!$A:$Z,(5+50*((N('My Rota'!$D$6)+5)-1))+2+8,25),INDEX('2030'!$A:$Z,(5+50*((N('My Rota'!$D$6)+5)-1))+2+8,25)))</f>
        <v/>
      </c>
      <c r="Z297">
        <f>IF(OR($B297="",(N('My Rota'!$D$6)+5)&gt;53),"",""&amp;CHOOSE(IFERROR(MATCH('My Rota'!$D$5,Setup!$K$33:$K$36,0),1),INDEX('2027'!$A:$Z,(5+50*((N('My Rota'!$D$6)+5)-1))+2+8,26),INDEX('2028'!$A:$Z,(5+50*((N('My Rota'!$D$6)+5)-1))+2+8,26),INDEX('2029'!$A:$Z,(5+50*((N('My Rota'!$D$6)+5)-1))+2+8,26),INDEX('2030'!$A:$Z,(5+50*((N('My Rota'!$D$6)+5)-1))+2+8,26)))</f>
        <v/>
      </c>
    </row>
    <row r="298">
      <c r="A298" t="n">
        <v>6</v>
      </c>
      <c r="B298">
        <f>$B$55</f>
        <v/>
      </c>
      <c r="C298">
        <f>IF(OR($B298="",(N('My Rota'!$D$6)+5)&gt;53),"",""&amp;CHOOSE(IFERROR(MATCH('My Rota'!$D$5,Setup!$K$33:$K$36,0),1),INDEX('2027'!$A:$Z,(5+50*((N('My Rota'!$D$6)+5)-1))+2+9,3),INDEX('2028'!$A:$Z,(5+50*((N('My Rota'!$D$6)+5)-1))+2+9,3),INDEX('2029'!$A:$Z,(5+50*((N('My Rota'!$D$6)+5)-1))+2+9,3),INDEX('2030'!$A:$Z,(5+50*((N('My Rota'!$D$6)+5)-1))+2+9,3)))</f>
        <v/>
      </c>
      <c r="D298">
        <f>IF(OR($B298="",(N('My Rota'!$D$6)+5)&gt;53),"",""&amp;CHOOSE(IFERROR(MATCH('My Rota'!$D$5,Setup!$K$33:$K$36,0),1),INDEX('2027'!$A:$Z,(5+50*((N('My Rota'!$D$6)+5)-1))+2+9,4),INDEX('2028'!$A:$Z,(5+50*((N('My Rota'!$D$6)+5)-1))+2+9,4),INDEX('2029'!$A:$Z,(5+50*((N('My Rota'!$D$6)+5)-1))+2+9,4),INDEX('2030'!$A:$Z,(5+50*((N('My Rota'!$D$6)+5)-1))+2+9,4)))</f>
        <v/>
      </c>
      <c r="E298">
        <f>IF(OR($B298="",(N('My Rota'!$D$6)+5)&gt;53),"",""&amp;CHOOSE(IFERROR(MATCH('My Rota'!$D$5,Setup!$K$33:$K$36,0),1),INDEX('2027'!$A:$Z,(5+50*((N('My Rota'!$D$6)+5)-1))+2+9,5),INDEX('2028'!$A:$Z,(5+50*((N('My Rota'!$D$6)+5)-1))+2+9,5),INDEX('2029'!$A:$Z,(5+50*((N('My Rota'!$D$6)+5)-1))+2+9,5),INDEX('2030'!$A:$Z,(5+50*((N('My Rota'!$D$6)+5)-1))+2+9,5)))</f>
        <v/>
      </c>
      <c r="F298">
        <f>IF(OR($B298="",(N('My Rota'!$D$6)+5)&gt;53),"",""&amp;CHOOSE(IFERROR(MATCH('My Rota'!$D$5,Setup!$K$33:$K$36,0),1),INDEX('2027'!$A:$Z,(5+50*((N('My Rota'!$D$6)+5)-1))+2+9,6),INDEX('2028'!$A:$Z,(5+50*((N('My Rota'!$D$6)+5)-1))+2+9,6),INDEX('2029'!$A:$Z,(5+50*((N('My Rota'!$D$6)+5)-1))+2+9,6),INDEX('2030'!$A:$Z,(5+50*((N('My Rota'!$D$6)+5)-1))+2+9,6)))</f>
        <v/>
      </c>
      <c r="G298">
        <f>IF(OR($B298="",(N('My Rota'!$D$6)+5)&gt;53),"",""&amp;CHOOSE(IFERROR(MATCH('My Rota'!$D$5,Setup!$K$33:$K$36,0),1),INDEX('2027'!$A:$Z,(5+50*((N('My Rota'!$D$6)+5)-1))+2+9,7),INDEX('2028'!$A:$Z,(5+50*((N('My Rota'!$D$6)+5)-1))+2+9,7),INDEX('2029'!$A:$Z,(5+50*((N('My Rota'!$D$6)+5)-1))+2+9,7),INDEX('2030'!$A:$Z,(5+50*((N('My Rota'!$D$6)+5)-1))+2+9,7)))</f>
        <v/>
      </c>
      <c r="H298">
        <f>IF(OR($B298="",(N('My Rota'!$D$6)+5)&gt;53),"",""&amp;CHOOSE(IFERROR(MATCH('My Rota'!$D$5,Setup!$K$33:$K$36,0),1),INDEX('2027'!$A:$Z,(5+50*((N('My Rota'!$D$6)+5)-1))+2+9,8),INDEX('2028'!$A:$Z,(5+50*((N('My Rota'!$D$6)+5)-1))+2+9,8),INDEX('2029'!$A:$Z,(5+50*((N('My Rota'!$D$6)+5)-1))+2+9,8),INDEX('2030'!$A:$Z,(5+50*((N('My Rota'!$D$6)+5)-1))+2+9,8)))</f>
        <v/>
      </c>
      <c r="I298">
        <f>IF(OR($B298="",(N('My Rota'!$D$6)+5)&gt;53),"",""&amp;CHOOSE(IFERROR(MATCH('My Rota'!$D$5,Setup!$K$33:$K$36,0),1),INDEX('2027'!$A:$Z,(5+50*((N('My Rota'!$D$6)+5)-1))+2+9,9),INDEX('2028'!$A:$Z,(5+50*((N('My Rota'!$D$6)+5)-1))+2+9,9),INDEX('2029'!$A:$Z,(5+50*((N('My Rota'!$D$6)+5)-1))+2+9,9),INDEX('2030'!$A:$Z,(5+50*((N('My Rota'!$D$6)+5)-1))+2+9,9)))</f>
        <v/>
      </c>
      <c r="J298">
        <f>IF(OR($B298="",(N('My Rota'!$D$6)+5)&gt;53),"",""&amp;CHOOSE(IFERROR(MATCH('My Rota'!$D$5,Setup!$K$33:$K$36,0),1),INDEX('2027'!$A:$Z,(5+50*((N('My Rota'!$D$6)+5)-1))+2+9,10),INDEX('2028'!$A:$Z,(5+50*((N('My Rota'!$D$6)+5)-1))+2+9,10),INDEX('2029'!$A:$Z,(5+50*((N('My Rota'!$D$6)+5)-1))+2+9,10),INDEX('2030'!$A:$Z,(5+50*((N('My Rota'!$D$6)+5)-1))+2+9,10)))</f>
        <v/>
      </c>
      <c r="K298">
        <f>IF(OR($B298="",(N('My Rota'!$D$6)+5)&gt;53),"",""&amp;CHOOSE(IFERROR(MATCH('My Rota'!$D$5,Setup!$K$33:$K$36,0),1),INDEX('2027'!$A:$Z,(5+50*((N('My Rota'!$D$6)+5)-1))+2+9,11),INDEX('2028'!$A:$Z,(5+50*((N('My Rota'!$D$6)+5)-1))+2+9,11),INDEX('2029'!$A:$Z,(5+50*((N('My Rota'!$D$6)+5)-1))+2+9,11),INDEX('2030'!$A:$Z,(5+50*((N('My Rota'!$D$6)+5)-1))+2+9,11)))</f>
        <v/>
      </c>
      <c r="L298">
        <f>IF(OR($B298="",(N('My Rota'!$D$6)+5)&gt;53),"",""&amp;CHOOSE(IFERROR(MATCH('My Rota'!$D$5,Setup!$K$33:$K$36,0),1),INDEX('2027'!$A:$Z,(5+50*((N('My Rota'!$D$6)+5)-1))+2+9,12),INDEX('2028'!$A:$Z,(5+50*((N('My Rota'!$D$6)+5)-1))+2+9,12),INDEX('2029'!$A:$Z,(5+50*((N('My Rota'!$D$6)+5)-1))+2+9,12),INDEX('2030'!$A:$Z,(5+50*((N('My Rota'!$D$6)+5)-1))+2+9,12)))</f>
        <v/>
      </c>
      <c r="M298">
        <f>IF(OR($B298="",(N('My Rota'!$D$6)+5)&gt;53),"",""&amp;CHOOSE(IFERROR(MATCH('My Rota'!$D$5,Setup!$K$33:$K$36,0),1),INDEX('2027'!$A:$Z,(5+50*((N('My Rota'!$D$6)+5)-1))+2+9,13),INDEX('2028'!$A:$Z,(5+50*((N('My Rota'!$D$6)+5)-1))+2+9,13),INDEX('2029'!$A:$Z,(5+50*((N('My Rota'!$D$6)+5)-1))+2+9,13),INDEX('2030'!$A:$Z,(5+50*((N('My Rota'!$D$6)+5)-1))+2+9,13)))</f>
        <v/>
      </c>
      <c r="N298">
        <f>IF(OR($B298="",(N('My Rota'!$D$6)+5)&gt;53),"",""&amp;CHOOSE(IFERROR(MATCH('My Rota'!$D$5,Setup!$K$33:$K$36,0),1),INDEX('2027'!$A:$Z,(5+50*((N('My Rota'!$D$6)+5)-1))+2+9,14),INDEX('2028'!$A:$Z,(5+50*((N('My Rota'!$D$6)+5)-1))+2+9,14),INDEX('2029'!$A:$Z,(5+50*((N('My Rota'!$D$6)+5)-1))+2+9,14),INDEX('2030'!$A:$Z,(5+50*((N('My Rota'!$D$6)+5)-1))+2+9,14)))</f>
        <v/>
      </c>
      <c r="O298">
        <f>IF(OR($B298="",(N('My Rota'!$D$6)+5)&gt;53),"",""&amp;CHOOSE(IFERROR(MATCH('My Rota'!$D$5,Setup!$K$33:$K$36,0),1),INDEX('2027'!$A:$Z,(5+50*((N('My Rota'!$D$6)+5)-1))+2+9,15),INDEX('2028'!$A:$Z,(5+50*((N('My Rota'!$D$6)+5)-1))+2+9,15),INDEX('2029'!$A:$Z,(5+50*((N('My Rota'!$D$6)+5)-1))+2+9,15),INDEX('2030'!$A:$Z,(5+50*((N('My Rota'!$D$6)+5)-1))+2+9,15)))</f>
        <v/>
      </c>
      <c r="P298">
        <f>IF(OR($B298="",(N('My Rota'!$D$6)+5)&gt;53),"",""&amp;CHOOSE(IFERROR(MATCH('My Rota'!$D$5,Setup!$K$33:$K$36,0),1),INDEX('2027'!$A:$Z,(5+50*((N('My Rota'!$D$6)+5)-1))+2+9,16),INDEX('2028'!$A:$Z,(5+50*((N('My Rota'!$D$6)+5)-1))+2+9,16),INDEX('2029'!$A:$Z,(5+50*((N('My Rota'!$D$6)+5)-1))+2+9,16),INDEX('2030'!$A:$Z,(5+50*((N('My Rota'!$D$6)+5)-1))+2+9,16)))</f>
        <v/>
      </c>
      <c r="Q298">
        <f>IF(OR($B298="",(N('My Rota'!$D$6)+5)&gt;53),"",""&amp;CHOOSE(IFERROR(MATCH('My Rota'!$D$5,Setup!$K$33:$K$36,0),1),INDEX('2027'!$A:$Z,(5+50*((N('My Rota'!$D$6)+5)-1))+2+9,17),INDEX('2028'!$A:$Z,(5+50*((N('My Rota'!$D$6)+5)-1))+2+9,17),INDEX('2029'!$A:$Z,(5+50*((N('My Rota'!$D$6)+5)-1))+2+9,17),INDEX('2030'!$A:$Z,(5+50*((N('My Rota'!$D$6)+5)-1))+2+9,17)))</f>
        <v/>
      </c>
      <c r="R298">
        <f>IF(OR($B298="",(N('My Rota'!$D$6)+5)&gt;53),"",""&amp;CHOOSE(IFERROR(MATCH('My Rota'!$D$5,Setup!$K$33:$K$36,0),1),INDEX('2027'!$A:$Z,(5+50*((N('My Rota'!$D$6)+5)-1))+2+9,18),INDEX('2028'!$A:$Z,(5+50*((N('My Rota'!$D$6)+5)-1))+2+9,18),INDEX('2029'!$A:$Z,(5+50*((N('My Rota'!$D$6)+5)-1))+2+9,18),INDEX('2030'!$A:$Z,(5+50*((N('My Rota'!$D$6)+5)-1))+2+9,18)))</f>
        <v/>
      </c>
      <c r="S298">
        <f>IF(OR($B298="",(N('My Rota'!$D$6)+5)&gt;53),"",""&amp;CHOOSE(IFERROR(MATCH('My Rota'!$D$5,Setup!$K$33:$K$36,0),1),INDEX('2027'!$A:$Z,(5+50*((N('My Rota'!$D$6)+5)-1))+2+9,19),INDEX('2028'!$A:$Z,(5+50*((N('My Rota'!$D$6)+5)-1))+2+9,19),INDEX('2029'!$A:$Z,(5+50*((N('My Rota'!$D$6)+5)-1))+2+9,19),INDEX('2030'!$A:$Z,(5+50*((N('My Rota'!$D$6)+5)-1))+2+9,19)))</f>
        <v/>
      </c>
      <c r="T298">
        <f>IF(OR($B298="",(N('My Rota'!$D$6)+5)&gt;53),"",""&amp;CHOOSE(IFERROR(MATCH('My Rota'!$D$5,Setup!$K$33:$K$36,0),1),INDEX('2027'!$A:$Z,(5+50*((N('My Rota'!$D$6)+5)-1))+2+9,20),INDEX('2028'!$A:$Z,(5+50*((N('My Rota'!$D$6)+5)-1))+2+9,20),INDEX('2029'!$A:$Z,(5+50*((N('My Rota'!$D$6)+5)-1))+2+9,20),INDEX('2030'!$A:$Z,(5+50*((N('My Rota'!$D$6)+5)-1))+2+9,20)))</f>
        <v/>
      </c>
      <c r="U298">
        <f>IF(OR($B298="",(N('My Rota'!$D$6)+5)&gt;53),"",""&amp;CHOOSE(IFERROR(MATCH('My Rota'!$D$5,Setup!$K$33:$K$36,0),1),INDEX('2027'!$A:$Z,(5+50*((N('My Rota'!$D$6)+5)-1))+2+9,21),INDEX('2028'!$A:$Z,(5+50*((N('My Rota'!$D$6)+5)-1))+2+9,21),INDEX('2029'!$A:$Z,(5+50*((N('My Rota'!$D$6)+5)-1))+2+9,21),INDEX('2030'!$A:$Z,(5+50*((N('My Rota'!$D$6)+5)-1))+2+9,21)))</f>
        <v/>
      </c>
      <c r="V298">
        <f>IF(OR($B298="",(N('My Rota'!$D$6)+5)&gt;53),"",""&amp;CHOOSE(IFERROR(MATCH('My Rota'!$D$5,Setup!$K$33:$K$36,0),1),INDEX('2027'!$A:$Z,(5+50*((N('My Rota'!$D$6)+5)-1))+2+9,22),INDEX('2028'!$A:$Z,(5+50*((N('My Rota'!$D$6)+5)-1))+2+9,22),INDEX('2029'!$A:$Z,(5+50*((N('My Rota'!$D$6)+5)-1))+2+9,22),INDEX('2030'!$A:$Z,(5+50*((N('My Rota'!$D$6)+5)-1))+2+9,22)))</f>
        <v/>
      </c>
      <c r="W298">
        <f>IF(OR($B298="",(N('My Rota'!$D$6)+5)&gt;53),"",""&amp;CHOOSE(IFERROR(MATCH('My Rota'!$D$5,Setup!$K$33:$K$36,0),1),INDEX('2027'!$A:$Z,(5+50*((N('My Rota'!$D$6)+5)-1))+2+9,23),INDEX('2028'!$A:$Z,(5+50*((N('My Rota'!$D$6)+5)-1))+2+9,23),INDEX('2029'!$A:$Z,(5+50*((N('My Rota'!$D$6)+5)-1))+2+9,23),INDEX('2030'!$A:$Z,(5+50*((N('My Rota'!$D$6)+5)-1))+2+9,23)))</f>
        <v/>
      </c>
      <c r="X298">
        <f>IF(OR($B298="",(N('My Rota'!$D$6)+5)&gt;53),"",""&amp;CHOOSE(IFERROR(MATCH('My Rota'!$D$5,Setup!$K$33:$K$36,0),1),INDEX('2027'!$A:$Z,(5+50*((N('My Rota'!$D$6)+5)-1))+2+9,24),INDEX('2028'!$A:$Z,(5+50*((N('My Rota'!$D$6)+5)-1))+2+9,24),INDEX('2029'!$A:$Z,(5+50*((N('My Rota'!$D$6)+5)-1))+2+9,24),INDEX('2030'!$A:$Z,(5+50*((N('My Rota'!$D$6)+5)-1))+2+9,24)))</f>
        <v/>
      </c>
      <c r="Y298">
        <f>IF(OR($B298="",(N('My Rota'!$D$6)+5)&gt;53),"",""&amp;CHOOSE(IFERROR(MATCH('My Rota'!$D$5,Setup!$K$33:$K$36,0),1),INDEX('2027'!$A:$Z,(5+50*((N('My Rota'!$D$6)+5)-1))+2+9,25),INDEX('2028'!$A:$Z,(5+50*((N('My Rota'!$D$6)+5)-1))+2+9,25),INDEX('2029'!$A:$Z,(5+50*((N('My Rota'!$D$6)+5)-1))+2+9,25),INDEX('2030'!$A:$Z,(5+50*((N('My Rota'!$D$6)+5)-1))+2+9,25)))</f>
        <v/>
      </c>
      <c r="Z298">
        <f>IF(OR($B298="",(N('My Rota'!$D$6)+5)&gt;53),"",""&amp;CHOOSE(IFERROR(MATCH('My Rota'!$D$5,Setup!$K$33:$K$36,0),1),INDEX('2027'!$A:$Z,(5+50*((N('My Rota'!$D$6)+5)-1))+2+9,26),INDEX('2028'!$A:$Z,(5+50*((N('My Rota'!$D$6)+5)-1))+2+9,26),INDEX('2029'!$A:$Z,(5+50*((N('My Rota'!$D$6)+5)-1))+2+9,26),INDEX('2030'!$A:$Z,(5+50*((N('My Rota'!$D$6)+5)-1))+2+9,26)))</f>
        <v/>
      </c>
    </row>
    <row r="299">
      <c r="A299" t="n">
        <v>6</v>
      </c>
      <c r="B299">
        <f>$B$56</f>
        <v/>
      </c>
      <c r="C299">
        <f>IF(OR($B299="",(N('My Rota'!$D$6)+5)&gt;53),"",""&amp;CHOOSE(IFERROR(MATCH('My Rota'!$D$5,Setup!$K$33:$K$36,0),1),INDEX('2027'!$A:$Z,(5+50*((N('My Rota'!$D$6)+5)-1))+2+10,3),INDEX('2028'!$A:$Z,(5+50*((N('My Rota'!$D$6)+5)-1))+2+10,3),INDEX('2029'!$A:$Z,(5+50*((N('My Rota'!$D$6)+5)-1))+2+10,3),INDEX('2030'!$A:$Z,(5+50*((N('My Rota'!$D$6)+5)-1))+2+10,3)))</f>
        <v/>
      </c>
      <c r="D299">
        <f>IF(OR($B299="",(N('My Rota'!$D$6)+5)&gt;53),"",""&amp;CHOOSE(IFERROR(MATCH('My Rota'!$D$5,Setup!$K$33:$K$36,0),1),INDEX('2027'!$A:$Z,(5+50*((N('My Rota'!$D$6)+5)-1))+2+10,4),INDEX('2028'!$A:$Z,(5+50*((N('My Rota'!$D$6)+5)-1))+2+10,4),INDEX('2029'!$A:$Z,(5+50*((N('My Rota'!$D$6)+5)-1))+2+10,4),INDEX('2030'!$A:$Z,(5+50*((N('My Rota'!$D$6)+5)-1))+2+10,4)))</f>
        <v/>
      </c>
      <c r="E299">
        <f>IF(OR($B299="",(N('My Rota'!$D$6)+5)&gt;53),"",""&amp;CHOOSE(IFERROR(MATCH('My Rota'!$D$5,Setup!$K$33:$K$36,0),1),INDEX('2027'!$A:$Z,(5+50*((N('My Rota'!$D$6)+5)-1))+2+10,5),INDEX('2028'!$A:$Z,(5+50*((N('My Rota'!$D$6)+5)-1))+2+10,5),INDEX('2029'!$A:$Z,(5+50*((N('My Rota'!$D$6)+5)-1))+2+10,5),INDEX('2030'!$A:$Z,(5+50*((N('My Rota'!$D$6)+5)-1))+2+10,5)))</f>
        <v/>
      </c>
      <c r="F299">
        <f>IF(OR($B299="",(N('My Rota'!$D$6)+5)&gt;53),"",""&amp;CHOOSE(IFERROR(MATCH('My Rota'!$D$5,Setup!$K$33:$K$36,0),1),INDEX('2027'!$A:$Z,(5+50*((N('My Rota'!$D$6)+5)-1))+2+10,6),INDEX('2028'!$A:$Z,(5+50*((N('My Rota'!$D$6)+5)-1))+2+10,6),INDEX('2029'!$A:$Z,(5+50*((N('My Rota'!$D$6)+5)-1))+2+10,6),INDEX('2030'!$A:$Z,(5+50*((N('My Rota'!$D$6)+5)-1))+2+10,6)))</f>
        <v/>
      </c>
      <c r="G299">
        <f>IF(OR($B299="",(N('My Rota'!$D$6)+5)&gt;53),"",""&amp;CHOOSE(IFERROR(MATCH('My Rota'!$D$5,Setup!$K$33:$K$36,0),1),INDEX('2027'!$A:$Z,(5+50*((N('My Rota'!$D$6)+5)-1))+2+10,7),INDEX('2028'!$A:$Z,(5+50*((N('My Rota'!$D$6)+5)-1))+2+10,7),INDEX('2029'!$A:$Z,(5+50*((N('My Rota'!$D$6)+5)-1))+2+10,7),INDEX('2030'!$A:$Z,(5+50*((N('My Rota'!$D$6)+5)-1))+2+10,7)))</f>
        <v/>
      </c>
      <c r="H299">
        <f>IF(OR($B299="",(N('My Rota'!$D$6)+5)&gt;53),"",""&amp;CHOOSE(IFERROR(MATCH('My Rota'!$D$5,Setup!$K$33:$K$36,0),1),INDEX('2027'!$A:$Z,(5+50*((N('My Rota'!$D$6)+5)-1))+2+10,8),INDEX('2028'!$A:$Z,(5+50*((N('My Rota'!$D$6)+5)-1))+2+10,8),INDEX('2029'!$A:$Z,(5+50*((N('My Rota'!$D$6)+5)-1))+2+10,8),INDEX('2030'!$A:$Z,(5+50*((N('My Rota'!$D$6)+5)-1))+2+10,8)))</f>
        <v/>
      </c>
      <c r="I299">
        <f>IF(OR($B299="",(N('My Rota'!$D$6)+5)&gt;53),"",""&amp;CHOOSE(IFERROR(MATCH('My Rota'!$D$5,Setup!$K$33:$K$36,0),1),INDEX('2027'!$A:$Z,(5+50*((N('My Rota'!$D$6)+5)-1))+2+10,9),INDEX('2028'!$A:$Z,(5+50*((N('My Rota'!$D$6)+5)-1))+2+10,9),INDEX('2029'!$A:$Z,(5+50*((N('My Rota'!$D$6)+5)-1))+2+10,9),INDEX('2030'!$A:$Z,(5+50*((N('My Rota'!$D$6)+5)-1))+2+10,9)))</f>
        <v/>
      </c>
      <c r="J299">
        <f>IF(OR($B299="",(N('My Rota'!$D$6)+5)&gt;53),"",""&amp;CHOOSE(IFERROR(MATCH('My Rota'!$D$5,Setup!$K$33:$K$36,0),1),INDEX('2027'!$A:$Z,(5+50*((N('My Rota'!$D$6)+5)-1))+2+10,10),INDEX('2028'!$A:$Z,(5+50*((N('My Rota'!$D$6)+5)-1))+2+10,10),INDEX('2029'!$A:$Z,(5+50*((N('My Rota'!$D$6)+5)-1))+2+10,10),INDEX('2030'!$A:$Z,(5+50*((N('My Rota'!$D$6)+5)-1))+2+10,10)))</f>
        <v/>
      </c>
      <c r="K299">
        <f>IF(OR($B299="",(N('My Rota'!$D$6)+5)&gt;53),"",""&amp;CHOOSE(IFERROR(MATCH('My Rota'!$D$5,Setup!$K$33:$K$36,0),1),INDEX('2027'!$A:$Z,(5+50*((N('My Rota'!$D$6)+5)-1))+2+10,11),INDEX('2028'!$A:$Z,(5+50*((N('My Rota'!$D$6)+5)-1))+2+10,11),INDEX('2029'!$A:$Z,(5+50*((N('My Rota'!$D$6)+5)-1))+2+10,11),INDEX('2030'!$A:$Z,(5+50*((N('My Rota'!$D$6)+5)-1))+2+10,11)))</f>
        <v/>
      </c>
      <c r="L299">
        <f>IF(OR($B299="",(N('My Rota'!$D$6)+5)&gt;53),"",""&amp;CHOOSE(IFERROR(MATCH('My Rota'!$D$5,Setup!$K$33:$K$36,0),1),INDEX('2027'!$A:$Z,(5+50*((N('My Rota'!$D$6)+5)-1))+2+10,12),INDEX('2028'!$A:$Z,(5+50*((N('My Rota'!$D$6)+5)-1))+2+10,12),INDEX('2029'!$A:$Z,(5+50*((N('My Rota'!$D$6)+5)-1))+2+10,12),INDEX('2030'!$A:$Z,(5+50*((N('My Rota'!$D$6)+5)-1))+2+10,12)))</f>
        <v/>
      </c>
      <c r="M299">
        <f>IF(OR($B299="",(N('My Rota'!$D$6)+5)&gt;53),"",""&amp;CHOOSE(IFERROR(MATCH('My Rota'!$D$5,Setup!$K$33:$K$36,0),1),INDEX('2027'!$A:$Z,(5+50*((N('My Rota'!$D$6)+5)-1))+2+10,13),INDEX('2028'!$A:$Z,(5+50*((N('My Rota'!$D$6)+5)-1))+2+10,13),INDEX('2029'!$A:$Z,(5+50*((N('My Rota'!$D$6)+5)-1))+2+10,13),INDEX('2030'!$A:$Z,(5+50*((N('My Rota'!$D$6)+5)-1))+2+10,13)))</f>
        <v/>
      </c>
      <c r="N299">
        <f>IF(OR($B299="",(N('My Rota'!$D$6)+5)&gt;53),"",""&amp;CHOOSE(IFERROR(MATCH('My Rota'!$D$5,Setup!$K$33:$K$36,0),1),INDEX('2027'!$A:$Z,(5+50*((N('My Rota'!$D$6)+5)-1))+2+10,14),INDEX('2028'!$A:$Z,(5+50*((N('My Rota'!$D$6)+5)-1))+2+10,14),INDEX('2029'!$A:$Z,(5+50*((N('My Rota'!$D$6)+5)-1))+2+10,14),INDEX('2030'!$A:$Z,(5+50*((N('My Rota'!$D$6)+5)-1))+2+10,14)))</f>
        <v/>
      </c>
      <c r="O299">
        <f>IF(OR($B299="",(N('My Rota'!$D$6)+5)&gt;53),"",""&amp;CHOOSE(IFERROR(MATCH('My Rota'!$D$5,Setup!$K$33:$K$36,0),1),INDEX('2027'!$A:$Z,(5+50*((N('My Rota'!$D$6)+5)-1))+2+10,15),INDEX('2028'!$A:$Z,(5+50*((N('My Rota'!$D$6)+5)-1))+2+10,15),INDEX('2029'!$A:$Z,(5+50*((N('My Rota'!$D$6)+5)-1))+2+10,15),INDEX('2030'!$A:$Z,(5+50*((N('My Rota'!$D$6)+5)-1))+2+10,15)))</f>
        <v/>
      </c>
      <c r="P299">
        <f>IF(OR($B299="",(N('My Rota'!$D$6)+5)&gt;53),"",""&amp;CHOOSE(IFERROR(MATCH('My Rota'!$D$5,Setup!$K$33:$K$36,0),1),INDEX('2027'!$A:$Z,(5+50*((N('My Rota'!$D$6)+5)-1))+2+10,16),INDEX('2028'!$A:$Z,(5+50*((N('My Rota'!$D$6)+5)-1))+2+10,16),INDEX('2029'!$A:$Z,(5+50*((N('My Rota'!$D$6)+5)-1))+2+10,16),INDEX('2030'!$A:$Z,(5+50*((N('My Rota'!$D$6)+5)-1))+2+10,16)))</f>
        <v/>
      </c>
      <c r="Q299">
        <f>IF(OR($B299="",(N('My Rota'!$D$6)+5)&gt;53),"",""&amp;CHOOSE(IFERROR(MATCH('My Rota'!$D$5,Setup!$K$33:$K$36,0),1),INDEX('2027'!$A:$Z,(5+50*((N('My Rota'!$D$6)+5)-1))+2+10,17),INDEX('2028'!$A:$Z,(5+50*((N('My Rota'!$D$6)+5)-1))+2+10,17),INDEX('2029'!$A:$Z,(5+50*((N('My Rota'!$D$6)+5)-1))+2+10,17),INDEX('2030'!$A:$Z,(5+50*((N('My Rota'!$D$6)+5)-1))+2+10,17)))</f>
        <v/>
      </c>
      <c r="R299">
        <f>IF(OR($B299="",(N('My Rota'!$D$6)+5)&gt;53),"",""&amp;CHOOSE(IFERROR(MATCH('My Rota'!$D$5,Setup!$K$33:$K$36,0),1),INDEX('2027'!$A:$Z,(5+50*((N('My Rota'!$D$6)+5)-1))+2+10,18),INDEX('2028'!$A:$Z,(5+50*((N('My Rota'!$D$6)+5)-1))+2+10,18),INDEX('2029'!$A:$Z,(5+50*((N('My Rota'!$D$6)+5)-1))+2+10,18),INDEX('2030'!$A:$Z,(5+50*((N('My Rota'!$D$6)+5)-1))+2+10,18)))</f>
        <v/>
      </c>
      <c r="S299">
        <f>IF(OR($B299="",(N('My Rota'!$D$6)+5)&gt;53),"",""&amp;CHOOSE(IFERROR(MATCH('My Rota'!$D$5,Setup!$K$33:$K$36,0),1),INDEX('2027'!$A:$Z,(5+50*((N('My Rota'!$D$6)+5)-1))+2+10,19),INDEX('2028'!$A:$Z,(5+50*((N('My Rota'!$D$6)+5)-1))+2+10,19),INDEX('2029'!$A:$Z,(5+50*((N('My Rota'!$D$6)+5)-1))+2+10,19),INDEX('2030'!$A:$Z,(5+50*((N('My Rota'!$D$6)+5)-1))+2+10,19)))</f>
        <v/>
      </c>
      <c r="T299">
        <f>IF(OR($B299="",(N('My Rota'!$D$6)+5)&gt;53),"",""&amp;CHOOSE(IFERROR(MATCH('My Rota'!$D$5,Setup!$K$33:$K$36,0),1),INDEX('2027'!$A:$Z,(5+50*((N('My Rota'!$D$6)+5)-1))+2+10,20),INDEX('2028'!$A:$Z,(5+50*((N('My Rota'!$D$6)+5)-1))+2+10,20),INDEX('2029'!$A:$Z,(5+50*((N('My Rota'!$D$6)+5)-1))+2+10,20),INDEX('2030'!$A:$Z,(5+50*((N('My Rota'!$D$6)+5)-1))+2+10,20)))</f>
        <v/>
      </c>
      <c r="U299">
        <f>IF(OR($B299="",(N('My Rota'!$D$6)+5)&gt;53),"",""&amp;CHOOSE(IFERROR(MATCH('My Rota'!$D$5,Setup!$K$33:$K$36,0),1),INDEX('2027'!$A:$Z,(5+50*((N('My Rota'!$D$6)+5)-1))+2+10,21),INDEX('2028'!$A:$Z,(5+50*((N('My Rota'!$D$6)+5)-1))+2+10,21),INDEX('2029'!$A:$Z,(5+50*((N('My Rota'!$D$6)+5)-1))+2+10,21),INDEX('2030'!$A:$Z,(5+50*((N('My Rota'!$D$6)+5)-1))+2+10,21)))</f>
        <v/>
      </c>
      <c r="V299">
        <f>IF(OR($B299="",(N('My Rota'!$D$6)+5)&gt;53),"",""&amp;CHOOSE(IFERROR(MATCH('My Rota'!$D$5,Setup!$K$33:$K$36,0),1),INDEX('2027'!$A:$Z,(5+50*((N('My Rota'!$D$6)+5)-1))+2+10,22),INDEX('2028'!$A:$Z,(5+50*((N('My Rota'!$D$6)+5)-1))+2+10,22),INDEX('2029'!$A:$Z,(5+50*((N('My Rota'!$D$6)+5)-1))+2+10,22),INDEX('2030'!$A:$Z,(5+50*((N('My Rota'!$D$6)+5)-1))+2+10,22)))</f>
        <v/>
      </c>
      <c r="W299">
        <f>IF(OR($B299="",(N('My Rota'!$D$6)+5)&gt;53),"",""&amp;CHOOSE(IFERROR(MATCH('My Rota'!$D$5,Setup!$K$33:$K$36,0),1),INDEX('2027'!$A:$Z,(5+50*((N('My Rota'!$D$6)+5)-1))+2+10,23),INDEX('2028'!$A:$Z,(5+50*((N('My Rota'!$D$6)+5)-1))+2+10,23),INDEX('2029'!$A:$Z,(5+50*((N('My Rota'!$D$6)+5)-1))+2+10,23),INDEX('2030'!$A:$Z,(5+50*((N('My Rota'!$D$6)+5)-1))+2+10,23)))</f>
        <v/>
      </c>
      <c r="X299">
        <f>IF(OR($B299="",(N('My Rota'!$D$6)+5)&gt;53),"",""&amp;CHOOSE(IFERROR(MATCH('My Rota'!$D$5,Setup!$K$33:$K$36,0),1),INDEX('2027'!$A:$Z,(5+50*((N('My Rota'!$D$6)+5)-1))+2+10,24),INDEX('2028'!$A:$Z,(5+50*((N('My Rota'!$D$6)+5)-1))+2+10,24),INDEX('2029'!$A:$Z,(5+50*((N('My Rota'!$D$6)+5)-1))+2+10,24),INDEX('2030'!$A:$Z,(5+50*((N('My Rota'!$D$6)+5)-1))+2+10,24)))</f>
        <v/>
      </c>
      <c r="Y299">
        <f>IF(OR($B299="",(N('My Rota'!$D$6)+5)&gt;53),"",""&amp;CHOOSE(IFERROR(MATCH('My Rota'!$D$5,Setup!$K$33:$K$36,0),1),INDEX('2027'!$A:$Z,(5+50*((N('My Rota'!$D$6)+5)-1))+2+10,25),INDEX('2028'!$A:$Z,(5+50*((N('My Rota'!$D$6)+5)-1))+2+10,25),INDEX('2029'!$A:$Z,(5+50*((N('My Rota'!$D$6)+5)-1))+2+10,25),INDEX('2030'!$A:$Z,(5+50*((N('My Rota'!$D$6)+5)-1))+2+10,25)))</f>
        <v/>
      </c>
      <c r="Z299">
        <f>IF(OR($B299="",(N('My Rota'!$D$6)+5)&gt;53),"",""&amp;CHOOSE(IFERROR(MATCH('My Rota'!$D$5,Setup!$K$33:$K$36,0),1),INDEX('2027'!$A:$Z,(5+50*((N('My Rota'!$D$6)+5)-1))+2+10,26),INDEX('2028'!$A:$Z,(5+50*((N('My Rota'!$D$6)+5)-1))+2+10,26),INDEX('2029'!$A:$Z,(5+50*((N('My Rota'!$D$6)+5)-1))+2+10,26),INDEX('2030'!$A:$Z,(5+50*((N('My Rota'!$D$6)+5)-1))+2+10,26)))</f>
        <v/>
      </c>
    </row>
    <row r="300">
      <c r="A300" t="n">
        <v>6</v>
      </c>
      <c r="B300">
        <f>$B$57</f>
        <v/>
      </c>
      <c r="C300">
        <f>IF(OR($B300="",(N('My Rota'!$D$6)+5)&gt;53),"",""&amp;CHOOSE(IFERROR(MATCH('My Rota'!$D$5,Setup!$K$33:$K$36,0),1),INDEX('2027'!$A:$Z,(5+50*((N('My Rota'!$D$6)+5)-1))+2+11,3),INDEX('2028'!$A:$Z,(5+50*((N('My Rota'!$D$6)+5)-1))+2+11,3),INDEX('2029'!$A:$Z,(5+50*((N('My Rota'!$D$6)+5)-1))+2+11,3),INDEX('2030'!$A:$Z,(5+50*((N('My Rota'!$D$6)+5)-1))+2+11,3)))</f>
        <v/>
      </c>
      <c r="D300">
        <f>IF(OR($B300="",(N('My Rota'!$D$6)+5)&gt;53),"",""&amp;CHOOSE(IFERROR(MATCH('My Rota'!$D$5,Setup!$K$33:$K$36,0),1),INDEX('2027'!$A:$Z,(5+50*((N('My Rota'!$D$6)+5)-1))+2+11,4),INDEX('2028'!$A:$Z,(5+50*((N('My Rota'!$D$6)+5)-1))+2+11,4),INDEX('2029'!$A:$Z,(5+50*((N('My Rota'!$D$6)+5)-1))+2+11,4),INDEX('2030'!$A:$Z,(5+50*((N('My Rota'!$D$6)+5)-1))+2+11,4)))</f>
        <v/>
      </c>
      <c r="E300">
        <f>IF(OR($B300="",(N('My Rota'!$D$6)+5)&gt;53),"",""&amp;CHOOSE(IFERROR(MATCH('My Rota'!$D$5,Setup!$K$33:$K$36,0),1),INDEX('2027'!$A:$Z,(5+50*((N('My Rota'!$D$6)+5)-1))+2+11,5),INDEX('2028'!$A:$Z,(5+50*((N('My Rota'!$D$6)+5)-1))+2+11,5),INDEX('2029'!$A:$Z,(5+50*((N('My Rota'!$D$6)+5)-1))+2+11,5),INDEX('2030'!$A:$Z,(5+50*((N('My Rota'!$D$6)+5)-1))+2+11,5)))</f>
        <v/>
      </c>
      <c r="F300">
        <f>IF(OR($B300="",(N('My Rota'!$D$6)+5)&gt;53),"",""&amp;CHOOSE(IFERROR(MATCH('My Rota'!$D$5,Setup!$K$33:$K$36,0),1),INDEX('2027'!$A:$Z,(5+50*((N('My Rota'!$D$6)+5)-1))+2+11,6),INDEX('2028'!$A:$Z,(5+50*((N('My Rota'!$D$6)+5)-1))+2+11,6),INDEX('2029'!$A:$Z,(5+50*((N('My Rota'!$D$6)+5)-1))+2+11,6),INDEX('2030'!$A:$Z,(5+50*((N('My Rota'!$D$6)+5)-1))+2+11,6)))</f>
        <v/>
      </c>
      <c r="G300">
        <f>IF(OR($B300="",(N('My Rota'!$D$6)+5)&gt;53),"",""&amp;CHOOSE(IFERROR(MATCH('My Rota'!$D$5,Setup!$K$33:$K$36,0),1),INDEX('2027'!$A:$Z,(5+50*((N('My Rota'!$D$6)+5)-1))+2+11,7),INDEX('2028'!$A:$Z,(5+50*((N('My Rota'!$D$6)+5)-1))+2+11,7),INDEX('2029'!$A:$Z,(5+50*((N('My Rota'!$D$6)+5)-1))+2+11,7),INDEX('2030'!$A:$Z,(5+50*((N('My Rota'!$D$6)+5)-1))+2+11,7)))</f>
        <v/>
      </c>
      <c r="H300">
        <f>IF(OR($B300="",(N('My Rota'!$D$6)+5)&gt;53),"",""&amp;CHOOSE(IFERROR(MATCH('My Rota'!$D$5,Setup!$K$33:$K$36,0),1),INDEX('2027'!$A:$Z,(5+50*((N('My Rota'!$D$6)+5)-1))+2+11,8),INDEX('2028'!$A:$Z,(5+50*((N('My Rota'!$D$6)+5)-1))+2+11,8),INDEX('2029'!$A:$Z,(5+50*((N('My Rota'!$D$6)+5)-1))+2+11,8),INDEX('2030'!$A:$Z,(5+50*((N('My Rota'!$D$6)+5)-1))+2+11,8)))</f>
        <v/>
      </c>
      <c r="I300">
        <f>IF(OR($B300="",(N('My Rota'!$D$6)+5)&gt;53),"",""&amp;CHOOSE(IFERROR(MATCH('My Rota'!$D$5,Setup!$K$33:$K$36,0),1),INDEX('2027'!$A:$Z,(5+50*((N('My Rota'!$D$6)+5)-1))+2+11,9),INDEX('2028'!$A:$Z,(5+50*((N('My Rota'!$D$6)+5)-1))+2+11,9),INDEX('2029'!$A:$Z,(5+50*((N('My Rota'!$D$6)+5)-1))+2+11,9),INDEX('2030'!$A:$Z,(5+50*((N('My Rota'!$D$6)+5)-1))+2+11,9)))</f>
        <v/>
      </c>
      <c r="J300">
        <f>IF(OR($B300="",(N('My Rota'!$D$6)+5)&gt;53),"",""&amp;CHOOSE(IFERROR(MATCH('My Rota'!$D$5,Setup!$K$33:$K$36,0),1),INDEX('2027'!$A:$Z,(5+50*((N('My Rota'!$D$6)+5)-1))+2+11,10),INDEX('2028'!$A:$Z,(5+50*((N('My Rota'!$D$6)+5)-1))+2+11,10),INDEX('2029'!$A:$Z,(5+50*((N('My Rota'!$D$6)+5)-1))+2+11,10),INDEX('2030'!$A:$Z,(5+50*((N('My Rota'!$D$6)+5)-1))+2+11,10)))</f>
        <v/>
      </c>
      <c r="K300">
        <f>IF(OR($B300="",(N('My Rota'!$D$6)+5)&gt;53),"",""&amp;CHOOSE(IFERROR(MATCH('My Rota'!$D$5,Setup!$K$33:$K$36,0),1),INDEX('2027'!$A:$Z,(5+50*((N('My Rota'!$D$6)+5)-1))+2+11,11),INDEX('2028'!$A:$Z,(5+50*((N('My Rota'!$D$6)+5)-1))+2+11,11),INDEX('2029'!$A:$Z,(5+50*((N('My Rota'!$D$6)+5)-1))+2+11,11),INDEX('2030'!$A:$Z,(5+50*((N('My Rota'!$D$6)+5)-1))+2+11,11)))</f>
        <v/>
      </c>
      <c r="L300">
        <f>IF(OR($B300="",(N('My Rota'!$D$6)+5)&gt;53),"",""&amp;CHOOSE(IFERROR(MATCH('My Rota'!$D$5,Setup!$K$33:$K$36,0),1),INDEX('2027'!$A:$Z,(5+50*((N('My Rota'!$D$6)+5)-1))+2+11,12),INDEX('2028'!$A:$Z,(5+50*((N('My Rota'!$D$6)+5)-1))+2+11,12),INDEX('2029'!$A:$Z,(5+50*((N('My Rota'!$D$6)+5)-1))+2+11,12),INDEX('2030'!$A:$Z,(5+50*((N('My Rota'!$D$6)+5)-1))+2+11,12)))</f>
        <v/>
      </c>
      <c r="M300">
        <f>IF(OR($B300="",(N('My Rota'!$D$6)+5)&gt;53),"",""&amp;CHOOSE(IFERROR(MATCH('My Rota'!$D$5,Setup!$K$33:$K$36,0),1),INDEX('2027'!$A:$Z,(5+50*((N('My Rota'!$D$6)+5)-1))+2+11,13),INDEX('2028'!$A:$Z,(5+50*((N('My Rota'!$D$6)+5)-1))+2+11,13),INDEX('2029'!$A:$Z,(5+50*((N('My Rota'!$D$6)+5)-1))+2+11,13),INDEX('2030'!$A:$Z,(5+50*((N('My Rota'!$D$6)+5)-1))+2+11,13)))</f>
        <v/>
      </c>
      <c r="N300">
        <f>IF(OR($B300="",(N('My Rota'!$D$6)+5)&gt;53),"",""&amp;CHOOSE(IFERROR(MATCH('My Rota'!$D$5,Setup!$K$33:$K$36,0),1),INDEX('2027'!$A:$Z,(5+50*((N('My Rota'!$D$6)+5)-1))+2+11,14),INDEX('2028'!$A:$Z,(5+50*((N('My Rota'!$D$6)+5)-1))+2+11,14),INDEX('2029'!$A:$Z,(5+50*((N('My Rota'!$D$6)+5)-1))+2+11,14),INDEX('2030'!$A:$Z,(5+50*((N('My Rota'!$D$6)+5)-1))+2+11,14)))</f>
        <v/>
      </c>
      <c r="O300">
        <f>IF(OR($B300="",(N('My Rota'!$D$6)+5)&gt;53),"",""&amp;CHOOSE(IFERROR(MATCH('My Rota'!$D$5,Setup!$K$33:$K$36,0),1),INDEX('2027'!$A:$Z,(5+50*((N('My Rota'!$D$6)+5)-1))+2+11,15),INDEX('2028'!$A:$Z,(5+50*((N('My Rota'!$D$6)+5)-1))+2+11,15),INDEX('2029'!$A:$Z,(5+50*((N('My Rota'!$D$6)+5)-1))+2+11,15),INDEX('2030'!$A:$Z,(5+50*((N('My Rota'!$D$6)+5)-1))+2+11,15)))</f>
        <v/>
      </c>
      <c r="P300">
        <f>IF(OR($B300="",(N('My Rota'!$D$6)+5)&gt;53),"",""&amp;CHOOSE(IFERROR(MATCH('My Rota'!$D$5,Setup!$K$33:$K$36,0),1),INDEX('2027'!$A:$Z,(5+50*((N('My Rota'!$D$6)+5)-1))+2+11,16),INDEX('2028'!$A:$Z,(5+50*((N('My Rota'!$D$6)+5)-1))+2+11,16),INDEX('2029'!$A:$Z,(5+50*((N('My Rota'!$D$6)+5)-1))+2+11,16),INDEX('2030'!$A:$Z,(5+50*((N('My Rota'!$D$6)+5)-1))+2+11,16)))</f>
        <v/>
      </c>
      <c r="Q300">
        <f>IF(OR($B300="",(N('My Rota'!$D$6)+5)&gt;53),"",""&amp;CHOOSE(IFERROR(MATCH('My Rota'!$D$5,Setup!$K$33:$K$36,0),1),INDEX('2027'!$A:$Z,(5+50*((N('My Rota'!$D$6)+5)-1))+2+11,17),INDEX('2028'!$A:$Z,(5+50*((N('My Rota'!$D$6)+5)-1))+2+11,17),INDEX('2029'!$A:$Z,(5+50*((N('My Rota'!$D$6)+5)-1))+2+11,17),INDEX('2030'!$A:$Z,(5+50*((N('My Rota'!$D$6)+5)-1))+2+11,17)))</f>
        <v/>
      </c>
      <c r="R300">
        <f>IF(OR($B300="",(N('My Rota'!$D$6)+5)&gt;53),"",""&amp;CHOOSE(IFERROR(MATCH('My Rota'!$D$5,Setup!$K$33:$K$36,0),1),INDEX('2027'!$A:$Z,(5+50*((N('My Rota'!$D$6)+5)-1))+2+11,18),INDEX('2028'!$A:$Z,(5+50*((N('My Rota'!$D$6)+5)-1))+2+11,18),INDEX('2029'!$A:$Z,(5+50*((N('My Rota'!$D$6)+5)-1))+2+11,18),INDEX('2030'!$A:$Z,(5+50*((N('My Rota'!$D$6)+5)-1))+2+11,18)))</f>
        <v/>
      </c>
      <c r="S300">
        <f>IF(OR($B300="",(N('My Rota'!$D$6)+5)&gt;53),"",""&amp;CHOOSE(IFERROR(MATCH('My Rota'!$D$5,Setup!$K$33:$K$36,0),1),INDEX('2027'!$A:$Z,(5+50*((N('My Rota'!$D$6)+5)-1))+2+11,19),INDEX('2028'!$A:$Z,(5+50*((N('My Rota'!$D$6)+5)-1))+2+11,19),INDEX('2029'!$A:$Z,(5+50*((N('My Rota'!$D$6)+5)-1))+2+11,19),INDEX('2030'!$A:$Z,(5+50*((N('My Rota'!$D$6)+5)-1))+2+11,19)))</f>
        <v/>
      </c>
      <c r="T300">
        <f>IF(OR($B300="",(N('My Rota'!$D$6)+5)&gt;53),"",""&amp;CHOOSE(IFERROR(MATCH('My Rota'!$D$5,Setup!$K$33:$K$36,0),1),INDEX('2027'!$A:$Z,(5+50*((N('My Rota'!$D$6)+5)-1))+2+11,20),INDEX('2028'!$A:$Z,(5+50*((N('My Rota'!$D$6)+5)-1))+2+11,20),INDEX('2029'!$A:$Z,(5+50*((N('My Rota'!$D$6)+5)-1))+2+11,20),INDEX('2030'!$A:$Z,(5+50*((N('My Rota'!$D$6)+5)-1))+2+11,20)))</f>
        <v/>
      </c>
      <c r="U300">
        <f>IF(OR($B300="",(N('My Rota'!$D$6)+5)&gt;53),"",""&amp;CHOOSE(IFERROR(MATCH('My Rota'!$D$5,Setup!$K$33:$K$36,0),1),INDEX('2027'!$A:$Z,(5+50*((N('My Rota'!$D$6)+5)-1))+2+11,21),INDEX('2028'!$A:$Z,(5+50*((N('My Rota'!$D$6)+5)-1))+2+11,21),INDEX('2029'!$A:$Z,(5+50*((N('My Rota'!$D$6)+5)-1))+2+11,21),INDEX('2030'!$A:$Z,(5+50*((N('My Rota'!$D$6)+5)-1))+2+11,21)))</f>
        <v/>
      </c>
      <c r="V300">
        <f>IF(OR($B300="",(N('My Rota'!$D$6)+5)&gt;53),"",""&amp;CHOOSE(IFERROR(MATCH('My Rota'!$D$5,Setup!$K$33:$K$36,0),1),INDEX('2027'!$A:$Z,(5+50*((N('My Rota'!$D$6)+5)-1))+2+11,22),INDEX('2028'!$A:$Z,(5+50*((N('My Rota'!$D$6)+5)-1))+2+11,22),INDEX('2029'!$A:$Z,(5+50*((N('My Rota'!$D$6)+5)-1))+2+11,22),INDEX('2030'!$A:$Z,(5+50*((N('My Rota'!$D$6)+5)-1))+2+11,22)))</f>
        <v/>
      </c>
      <c r="W300">
        <f>IF(OR($B300="",(N('My Rota'!$D$6)+5)&gt;53),"",""&amp;CHOOSE(IFERROR(MATCH('My Rota'!$D$5,Setup!$K$33:$K$36,0),1),INDEX('2027'!$A:$Z,(5+50*((N('My Rota'!$D$6)+5)-1))+2+11,23),INDEX('2028'!$A:$Z,(5+50*((N('My Rota'!$D$6)+5)-1))+2+11,23),INDEX('2029'!$A:$Z,(5+50*((N('My Rota'!$D$6)+5)-1))+2+11,23),INDEX('2030'!$A:$Z,(5+50*((N('My Rota'!$D$6)+5)-1))+2+11,23)))</f>
        <v/>
      </c>
      <c r="X300">
        <f>IF(OR($B300="",(N('My Rota'!$D$6)+5)&gt;53),"",""&amp;CHOOSE(IFERROR(MATCH('My Rota'!$D$5,Setup!$K$33:$K$36,0),1),INDEX('2027'!$A:$Z,(5+50*((N('My Rota'!$D$6)+5)-1))+2+11,24),INDEX('2028'!$A:$Z,(5+50*((N('My Rota'!$D$6)+5)-1))+2+11,24),INDEX('2029'!$A:$Z,(5+50*((N('My Rota'!$D$6)+5)-1))+2+11,24),INDEX('2030'!$A:$Z,(5+50*((N('My Rota'!$D$6)+5)-1))+2+11,24)))</f>
        <v/>
      </c>
      <c r="Y300">
        <f>IF(OR($B300="",(N('My Rota'!$D$6)+5)&gt;53),"",""&amp;CHOOSE(IFERROR(MATCH('My Rota'!$D$5,Setup!$K$33:$K$36,0),1),INDEX('2027'!$A:$Z,(5+50*((N('My Rota'!$D$6)+5)-1))+2+11,25),INDEX('2028'!$A:$Z,(5+50*((N('My Rota'!$D$6)+5)-1))+2+11,25),INDEX('2029'!$A:$Z,(5+50*((N('My Rota'!$D$6)+5)-1))+2+11,25),INDEX('2030'!$A:$Z,(5+50*((N('My Rota'!$D$6)+5)-1))+2+11,25)))</f>
        <v/>
      </c>
      <c r="Z300">
        <f>IF(OR($B300="",(N('My Rota'!$D$6)+5)&gt;53),"",""&amp;CHOOSE(IFERROR(MATCH('My Rota'!$D$5,Setup!$K$33:$K$36,0),1),INDEX('2027'!$A:$Z,(5+50*((N('My Rota'!$D$6)+5)-1))+2+11,26),INDEX('2028'!$A:$Z,(5+50*((N('My Rota'!$D$6)+5)-1))+2+11,26),INDEX('2029'!$A:$Z,(5+50*((N('My Rota'!$D$6)+5)-1))+2+11,26),INDEX('2030'!$A:$Z,(5+50*((N('My Rota'!$D$6)+5)-1))+2+11,26)))</f>
        <v/>
      </c>
    </row>
    <row r="301">
      <c r="A301" t="n">
        <v>6</v>
      </c>
      <c r="B301">
        <f>$B$58</f>
        <v/>
      </c>
      <c r="C301">
        <f>IF(OR($B301="",(N('My Rota'!$D$6)+5)&gt;53),"",""&amp;CHOOSE(IFERROR(MATCH('My Rota'!$D$5,Setup!$K$33:$K$36,0),1),INDEX('2027'!$A:$Z,(5+50*((N('My Rota'!$D$6)+5)-1))+2+12,3),INDEX('2028'!$A:$Z,(5+50*((N('My Rota'!$D$6)+5)-1))+2+12,3),INDEX('2029'!$A:$Z,(5+50*((N('My Rota'!$D$6)+5)-1))+2+12,3),INDEX('2030'!$A:$Z,(5+50*((N('My Rota'!$D$6)+5)-1))+2+12,3)))</f>
        <v/>
      </c>
      <c r="D301">
        <f>IF(OR($B301="",(N('My Rota'!$D$6)+5)&gt;53),"",""&amp;CHOOSE(IFERROR(MATCH('My Rota'!$D$5,Setup!$K$33:$K$36,0),1),INDEX('2027'!$A:$Z,(5+50*((N('My Rota'!$D$6)+5)-1))+2+12,4),INDEX('2028'!$A:$Z,(5+50*((N('My Rota'!$D$6)+5)-1))+2+12,4),INDEX('2029'!$A:$Z,(5+50*((N('My Rota'!$D$6)+5)-1))+2+12,4),INDEX('2030'!$A:$Z,(5+50*((N('My Rota'!$D$6)+5)-1))+2+12,4)))</f>
        <v/>
      </c>
      <c r="E301">
        <f>IF(OR($B301="",(N('My Rota'!$D$6)+5)&gt;53),"",""&amp;CHOOSE(IFERROR(MATCH('My Rota'!$D$5,Setup!$K$33:$K$36,0),1),INDEX('2027'!$A:$Z,(5+50*((N('My Rota'!$D$6)+5)-1))+2+12,5),INDEX('2028'!$A:$Z,(5+50*((N('My Rota'!$D$6)+5)-1))+2+12,5),INDEX('2029'!$A:$Z,(5+50*((N('My Rota'!$D$6)+5)-1))+2+12,5),INDEX('2030'!$A:$Z,(5+50*((N('My Rota'!$D$6)+5)-1))+2+12,5)))</f>
        <v/>
      </c>
      <c r="F301">
        <f>IF(OR($B301="",(N('My Rota'!$D$6)+5)&gt;53),"",""&amp;CHOOSE(IFERROR(MATCH('My Rota'!$D$5,Setup!$K$33:$K$36,0),1),INDEX('2027'!$A:$Z,(5+50*((N('My Rota'!$D$6)+5)-1))+2+12,6),INDEX('2028'!$A:$Z,(5+50*((N('My Rota'!$D$6)+5)-1))+2+12,6),INDEX('2029'!$A:$Z,(5+50*((N('My Rota'!$D$6)+5)-1))+2+12,6),INDEX('2030'!$A:$Z,(5+50*((N('My Rota'!$D$6)+5)-1))+2+12,6)))</f>
        <v/>
      </c>
      <c r="G301">
        <f>IF(OR($B301="",(N('My Rota'!$D$6)+5)&gt;53),"",""&amp;CHOOSE(IFERROR(MATCH('My Rota'!$D$5,Setup!$K$33:$K$36,0),1),INDEX('2027'!$A:$Z,(5+50*((N('My Rota'!$D$6)+5)-1))+2+12,7),INDEX('2028'!$A:$Z,(5+50*((N('My Rota'!$D$6)+5)-1))+2+12,7),INDEX('2029'!$A:$Z,(5+50*((N('My Rota'!$D$6)+5)-1))+2+12,7),INDEX('2030'!$A:$Z,(5+50*((N('My Rota'!$D$6)+5)-1))+2+12,7)))</f>
        <v/>
      </c>
      <c r="H301">
        <f>IF(OR($B301="",(N('My Rota'!$D$6)+5)&gt;53),"",""&amp;CHOOSE(IFERROR(MATCH('My Rota'!$D$5,Setup!$K$33:$K$36,0),1),INDEX('2027'!$A:$Z,(5+50*((N('My Rota'!$D$6)+5)-1))+2+12,8),INDEX('2028'!$A:$Z,(5+50*((N('My Rota'!$D$6)+5)-1))+2+12,8),INDEX('2029'!$A:$Z,(5+50*((N('My Rota'!$D$6)+5)-1))+2+12,8),INDEX('2030'!$A:$Z,(5+50*((N('My Rota'!$D$6)+5)-1))+2+12,8)))</f>
        <v/>
      </c>
      <c r="I301">
        <f>IF(OR($B301="",(N('My Rota'!$D$6)+5)&gt;53),"",""&amp;CHOOSE(IFERROR(MATCH('My Rota'!$D$5,Setup!$K$33:$K$36,0),1),INDEX('2027'!$A:$Z,(5+50*((N('My Rota'!$D$6)+5)-1))+2+12,9),INDEX('2028'!$A:$Z,(5+50*((N('My Rota'!$D$6)+5)-1))+2+12,9),INDEX('2029'!$A:$Z,(5+50*((N('My Rota'!$D$6)+5)-1))+2+12,9),INDEX('2030'!$A:$Z,(5+50*((N('My Rota'!$D$6)+5)-1))+2+12,9)))</f>
        <v/>
      </c>
      <c r="J301">
        <f>IF(OR($B301="",(N('My Rota'!$D$6)+5)&gt;53),"",""&amp;CHOOSE(IFERROR(MATCH('My Rota'!$D$5,Setup!$K$33:$K$36,0),1),INDEX('2027'!$A:$Z,(5+50*((N('My Rota'!$D$6)+5)-1))+2+12,10),INDEX('2028'!$A:$Z,(5+50*((N('My Rota'!$D$6)+5)-1))+2+12,10),INDEX('2029'!$A:$Z,(5+50*((N('My Rota'!$D$6)+5)-1))+2+12,10),INDEX('2030'!$A:$Z,(5+50*((N('My Rota'!$D$6)+5)-1))+2+12,10)))</f>
        <v/>
      </c>
      <c r="K301">
        <f>IF(OR($B301="",(N('My Rota'!$D$6)+5)&gt;53),"",""&amp;CHOOSE(IFERROR(MATCH('My Rota'!$D$5,Setup!$K$33:$K$36,0),1),INDEX('2027'!$A:$Z,(5+50*((N('My Rota'!$D$6)+5)-1))+2+12,11),INDEX('2028'!$A:$Z,(5+50*((N('My Rota'!$D$6)+5)-1))+2+12,11),INDEX('2029'!$A:$Z,(5+50*((N('My Rota'!$D$6)+5)-1))+2+12,11),INDEX('2030'!$A:$Z,(5+50*((N('My Rota'!$D$6)+5)-1))+2+12,11)))</f>
        <v/>
      </c>
      <c r="L301">
        <f>IF(OR($B301="",(N('My Rota'!$D$6)+5)&gt;53),"",""&amp;CHOOSE(IFERROR(MATCH('My Rota'!$D$5,Setup!$K$33:$K$36,0),1),INDEX('2027'!$A:$Z,(5+50*((N('My Rota'!$D$6)+5)-1))+2+12,12),INDEX('2028'!$A:$Z,(5+50*((N('My Rota'!$D$6)+5)-1))+2+12,12),INDEX('2029'!$A:$Z,(5+50*((N('My Rota'!$D$6)+5)-1))+2+12,12),INDEX('2030'!$A:$Z,(5+50*((N('My Rota'!$D$6)+5)-1))+2+12,12)))</f>
        <v/>
      </c>
      <c r="M301">
        <f>IF(OR($B301="",(N('My Rota'!$D$6)+5)&gt;53),"",""&amp;CHOOSE(IFERROR(MATCH('My Rota'!$D$5,Setup!$K$33:$K$36,0),1),INDEX('2027'!$A:$Z,(5+50*((N('My Rota'!$D$6)+5)-1))+2+12,13),INDEX('2028'!$A:$Z,(5+50*((N('My Rota'!$D$6)+5)-1))+2+12,13),INDEX('2029'!$A:$Z,(5+50*((N('My Rota'!$D$6)+5)-1))+2+12,13),INDEX('2030'!$A:$Z,(5+50*((N('My Rota'!$D$6)+5)-1))+2+12,13)))</f>
        <v/>
      </c>
      <c r="N301">
        <f>IF(OR($B301="",(N('My Rota'!$D$6)+5)&gt;53),"",""&amp;CHOOSE(IFERROR(MATCH('My Rota'!$D$5,Setup!$K$33:$K$36,0),1),INDEX('2027'!$A:$Z,(5+50*((N('My Rota'!$D$6)+5)-1))+2+12,14),INDEX('2028'!$A:$Z,(5+50*((N('My Rota'!$D$6)+5)-1))+2+12,14),INDEX('2029'!$A:$Z,(5+50*((N('My Rota'!$D$6)+5)-1))+2+12,14),INDEX('2030'!$A:$Z,(5+50*((N('My Rota'!$D$6)+5)-1))+2+12,14)))</f>
        <v/>
      </c>
      <c r="O301">
        <f>IF(OR($B301="",(N('My Rota'!$D$6)+5)&gt;53),"",""&amp;CHOOSE(IFERROR(MATCH('My Rota'!$D$5,Setup!$K$33:$K$36,0),1),INDEX('2027'!$A:$Z,(5+50*((N('My Rota'!$D$6)+5)-1))+2+12,15),INDEX('2028'!$A:$Z,(5+50*((N('My Rota'!$D$6)+5)-1))+2+12,15),INDEX('2029'!$A:$Z,(5+50*((N('My Rota'!$D$6)+5)-1))+2+12,15),INDEX('2030'!$A:$Z,(5+50*((N('My Rota'!$D$6)+5)-1))+2+12,15)))</f>
        <v/>
      </c>
      <c r="P301">
        <f>IF(OR($B301="",(N('My Rota'!$D$6)+5)&gt;53),"",""&amp;CHOOSE(IFERROR(MATCH('My Rota'!$D$5,Setup!$K$33:$K$36,0),1),INDEX('2027'!$A:$Z,(5+50*((N('My Rota'!$D$6)+5)-1))+2+12,16),INDEX('2028'!$A:$Z,(5+50*((N('My Rota'!$D$6)+5)-1))+2+12,16),INDEX('2029'!$A:$Z,(5+50*((N('My Rota'!$D$6)+5)-1))+2+12,16),INDEX('2030'!$A:$Z,(5+50*((N('My Rota'!$D$6)+5)-1))+2+12,16)))</f>
        <v/>
      </c>
      <c r="Q301">
        <f>IF(OR($B301="",(N('My Rota'!$D$6)+5)&gt;53),"",""&amp;CHOOSE(IFERROR(MATCH('My Rota'!$D$5,Setup!$K$33:$K$36,0),1),INDEX('2027'!$A:$Z,(5+50*((N('My Rota'!$D$6)+5)-1))+2+12,17),INDEX('2028'!$A:$Z,(5+50*((N('My Rota'!$D$6)+5)-1))+2+12,17),INDEX('2029'!$A:$Z,(5+50*((N('My Rota'!$D$6)+5)-1))+2+12,17),INDEX('2030'!$A:$Z,(5+50*((N('My Rota'!$D$6)+5)-1))+2+12,17)))</f>
        <v/>
      </c>
      <c r="R301">
        <f>IF(OR($B301="",(N('My Rota'!$D$6)+5)&gt;53),"",""&amp;CHOOSE(IFERROR(MATCH('My Rota'!$D$5,Setup!$K$33:$K$36,0),1),INDEX('2027'!$A:$Z,(5+50*((N('My Rota'!$D$6)+5)-1))+2+12,18),INDEX('2028'!$A:$Z,(5+50*((N('My Rota'!$D$6)+5)-1))+2+12,18),INDEX('2029'!$A:$Z,(5+50*((N('My Rota'!$D$6)+5)-1))+2+12,18),INDEX('2030'!$A:$Z,(5+50*((N('My Rota'!$D$6)+5)-1))+2+12,18)))</f>
        <v/>
      </c>
      <c r="S301">
        <f>IF(OR($B301="",(N('My Rota'!$D$6)+5)&gt;53),"",""&amp;CHOOSE(IFERROR(MATCH('My Rota'!$D$5,Setup!$K$33:$K$36,0),1),INDEX('2027'!$A:$Z,(5+50*((N('My Rota'!$D$6)+5)-1))+2+12,19),INDEX('2028'!$A:$Z,(5+50*((N('My Rota'!$D$6)+5)-1))+2+12,19),INDEX('2029'!$A:$Z,(5+50*((N('My Rota'!$D$6)+5)-1))+2+12,19),INDEX('2030'!$A:$Z,(5+50*((N('My Rota'!$D$6)+5)-1))+2+12,19)))</f>
        <v/>
      </c>
      <c r="T301">
        <f>IF(OR($B301="",(N('My Rota'!$D$6)+5)&gt;53),"",""&amp;CHOOSE(IFERROR(MATCH('My Rota'!$D$5,Setup!$K$33:$K$36,0),1),INDEX('2027'!$A:$Z,(5+50*((N('My Rota'!$D$6)+5)-1))+2+12,20),INDEX('2028'!$A:$Z,(5+50*((N('My Rota'!$D$6)+5)-1))+2+12,20),INDEX('2029'!$A:$Z,(5+50*((N('My Rota'!$D$6)+5)-1))+2+12,20),INDEX('2030'!$A:$Z,(5+50*((N('My Rota'!$D$6)+5)-1))+2+12,20)))</f>
        <v/>
      </c>
      <c r="U301">
        <f>IF(OR($B301="",(N('My Rota'!$D$6)+5)&gt;53),"",""&amp;CHOOSE(IFERROR(MATCH('My Rota'!$D$5,Setup!$K$33:$K$36,0),1),INDEX('2027'!$A:$Z,(5+50*((N('My Rota'!$D$6)+5)-1))+2+12,21),INDEX('2028'!$A:$Z,(5+50*((N('My Rota'!$D$6)+5)-1))+2+12,21),INDEX('2029'!$A:$Z,(5+50*((N('My Rota'!$D$6)+5)-1))+2+12,21),INDEX('2030'!$A:$Z,(5+50*((N('My Rota'!$D$6)+5)-1))+2+12,21)))</f>
        <v/>
      </c>
      <c r="V301">
        <f>IF(OR($B301="",(N('My Rota'!$D$6)+5)&gt;53),"",""&amp;CHOOSE(IFERROR(MATCH('My Rota'!$D$5,Setup!$K$33:$K$36,0),1),INDEX('2027'!$A:$Z,(5+50*((N('My Rota'!$D$6)+5)-1))+2+12,22),INDEX('2028'!$A:$Z,(5+50*((N('My Rota'!$D$6)+5)-1))+2+12,22),INDEX('2029'!$A:$Z,(5+50*((N('My Rota'!$D$6)+5)-1))+2+12,22),INDEX('2030'!$A:$Z,(5+50*((N('My Rota'!$D$6)+5)-1))+2+12,22)))</f>
        <v/>
      </c>
      <c r="W301">
        <f>IF(OR($B301="",(N('My Rota'!$D$6)+5)&gt;53),"",""&amp;CHOOSE(IFERROR(MATCH('My Rota'!$D$5,Setup!$K$33:$K$36,0),1),INDEX('2027'!$A:$Z,(5+50*((N('My Rota'!$D$6)+5)-1))+2+12,23),INDEX('2028'!$A:$Z,(5+50*((N('My Rota'!$D$6)+5)-1))+2+12,23),INDEX('2029'!$A:$Z,(5+50*((N('My Rota'!$D$6)+5)-1))+2+12,23),INDEX('2030'!$A:$Z,(5+50*((N('My Rota'!$D$6)+5)-1))+2+12,23)))</f>
        <v/>
      </c>
      <c r="X301">
        <f>IF(OR($B301="",(N('My Rota'!$D$6)+5)&gt;53),"",""&amp;CHOOSE(IFERROR(MATCH('My Rota'!$D$5,Setup!$K$33:$K$36,0),1),INDEX('2027'!$A:$Z,(5+50*((N('My Rota'!$D$6)+5)-1))+2+12,24),INDEX('2028'!$A:$Z,(5+50*((N('My Rota'!$D$6)+5)-1))+2+12,24),INDEX('2029'!$A:$Z,(5+50*((N('My Rota'!$D$6)+5)-1))+2+12,24),INDEX('2030'!$A:$Z,(5+50*((N('My Rota'!$D$6)+5)-1))+2+12,24)))</f>
        <v/>
      </c>
      <c r="Y301">
        <f>IF(OR($B301="",(N('My Rota'!$D$6)+5)&gt;53),"",""&amp;CHOOSE(IFERROR(MATCH('My Rota'!$D$5,Setup!$K$33:$K$36,0),1),INDEX('2027'!$A:$Z,(5+50*((N('My Rota'!$D$6)+5)-1))+2+12,25),INDEX('2028'!$A:$Z,(5+50*((N('My Rota'!$D$6)+5)-1))+2+12,25),INDEX('2029'!$A:$Z,(5+50*((N('My Rota'!$D$6)+5)-1))+2+12,25),INDEX('2030'!$A:$Z,(5+50*((N('My Rota'!$D$6)+5)-1))+2+12,25)))</f>
        <v/>
      </c>
      <c r="Z301">
        <f>IF(OR($B301="",(N('My Rota'!$D$6)+5)&gt;53),"",""&amp;CHOOSE(IFERROR(MATCH('My Rota'!$D$5,Setup!$K$33:$K$36,0),1),INDEX('2027'!$A:$Z,(5+50*((N('My Rota'!$D$6)+5)-1))+2+12,26),INDEX('2028'!$A:$Z,(5+50*((N('My Rota'!$D$6)+5)-1))+2+12,26),INDEX('2029'!$A:$Z,(5+50*((N('My Rota'!$D$6)+5)-1))+2+12,26),INDEX('2030'!$A:$Z,(5+50*((N('My Rota'!$D$6)+5)-1))+2+12,26)))</f>
        <v/>
      </c>
    </row>
    <row r="302">
      <c r="A302" t="n">
        <v>6</v>
      </c>
      <c r="B302">
        <f>$B$59</f>
        <v/>
      </c>
      <c r="C302">
        <f>IF(OR($B302="",(N('My Rota'!$D$6)+5)&gt;53),"",""&amp;CHOOSE(IFERROR(MATCH('My Rota'!$D$5,Setup!$K$33:$K$36,0),1),INDEX('2027'!$A:$Z,(5+50*((N('My Rota'!$D$6)+5)-1))+2+13,3),INDEX('2028'!$A:$Z,(5+50*((N('My Rota'!$D$6)+5)-1))+2+13,3),INDEX('2029'!$A:$Z,(5+50*((N('My Rota'!$D$6)+5)-1))+2+13,3),INDEX('2030'!$A:$Z,(5+50*((N('My Rota'!$D$6)+5)-1))+2+13,3)))</f>
        <v/>
      </c>
      <c r="D302">
        <f>IF(OR($B302="",(N('My Rota'!$D$6)+5)&gt;53),"",""&amp;CHOOSE(IFERROR(MATCH('My Rota'!$D$5,Setup!$K$33:$K$36,0),1),INDEX('2027'!$A:$Z,(5+50*((N('My Rota'!$D$6)+5)-1))+2+13,4),INDEX('2028'!$A:$Z,(5+50*((N('My Rota'!$D$6)+5)-1))+2+13,4),INDEX('2029'!$A:$Z,(5+50*((N('My Rota'!$D$6)+5)-1))+2+13,4),INDEX('2030'!$A:$Z,(5+50*((N('My Rota'!$D$6)+5)-1))+2+13,4)))</f>
        <v/>
      </c>
      <c r="E302">
        <f>IF(OR($B302="",(N('My Rota'!$D$6)+5)&gt;53),"",""&amp;CHOOSE(IFERROR(MATCH('My Rota'!$D$5,Setup!$K$33:$K$36,0),1),INDEX('2027'!$A:$Z,(5+50*((N('My Rota'!$D$6)+5)-1))+2+13,5),INDEX('2028'!$A:$Z,(5+50*((N('My Rota'!$D$6)+5)-1))+2+13,5),INDEX('2029'!$A:$Z,(5+50*((N('My Rota'!$D$6)+5)-1))+2+13,5),INDEX('2030'!$A:$Z,(5+50*((N('My Rota'!$D$6)+5)-1))+2+13,5)))</f>
        <v/>
      </c>
      <c r="F302">
        <f>IF(OR($B302="",(N('My Rota'!$D$6)+5)&gt;53),"",""&amp;CHOOSE(IFERROR(MATCH('My Rota'!$D$5,Setup!$K$33:$K$36,0),1),INDEX('2027'!$A:$Z,(5+50*((N('My Rota'!$D$6)+5)-1))+2+13,6),INDEX('2028'!$A:$Z,(5+50*((N('My Rota'!$D$6)+5)-1))+2+13,6),INDEX('2029'!$A:$Z,(5+50*((N('My Rota'!$D$6)+5)-1))+2+13,6),INDEX('2030'!$A:$Z,(5+50*((N('My Rota'!$D$6)+5)-1))+2+13,6)))</f>
        <v/>
      </c>
      <c r="G302">
        <f>IF(OR($B302="",(N('My Rota'!$D$6)+5)&gt;53),"",""&amp;CHOOSE(IFERROR(MATCH('My Rota'!$D$5,Setup!$K$33:$K$36,0),1),INDEX('2027'!$A:$Z,(5+50*((N('My Rota'!$D$6)+5)-1))+2+13,7),INDEX('2028'!$A:$Z,(5+50*((N('My Rota'!$D$6)+5)-1))+2+13,7),INDEX('2029'!$A:$Z,(5+50*((N('My Rota'!$D$6)+5)-1))+2+13,7),INDEX('2030'!$A:$Z,(5+50*((N('My Rota'!$D$6)+5)-1))+2+13,7)))</f>
        <v/>
      </c>
      <c r="H302">
        <f>IF(OR($B302="",(N('My Rota'!$D$6)+5)&gt;53),"",""&amp;CHOOSE(IFERROR(MATCH('My Rota'!$D$5,Setup!$K$33:$K$36,0),1),INDEX('2027'!$A:$Z,(5+50*((N('My Rota'!$D$6)+5)-1))+2+13,8),INDEX('2028'!$A:$Z,(5+50*((N('My Rota'!$D$6)+5)-1))+2+13,8),INDEX('2029'!$A:$Z,(5+50*((N('My Rota'!$D$6)+5)-1))+2+13,8),INDEX('2030'!$A:$Z,(5+50*((N('My Rota'!$D$6)+5)-1))+2+13,8)))</f>
        <v/>
      </c>
      <c r="I302">
        <f>IF(OR($B302="",(N('My Rota'!$D$6)+5)&gt;53),"",""&amp;CHOOSE(IFERROR(MATCH('My Rota'!$D$5,Setup!$K$33:$K$36,0),1),INDEX('2027'!$A:$Z,(5+50*((N('My Rota'!$D$6)+5)-1))+2+13,9),INDEX('2028'!$A:$Z,(5+50*((N('My Rota'!$D$6)+5)-1))+2+13,9),INDEX('2029'!$A:$Z,(5+50*((N('My Rota'!$D$6)+5)-1))+2+13,9),INDEX('2030'!$A:$Z,(5+50*((N('My Rota'!$D$6)+5)-1))+2+13,9)))</f>
        <v/>
      </c>
      <c r="J302">
        <f>IF(OR($B302="",(N('My Rota'!$D$6)+5)&gt;53),"",""&amp;CHOOSE(IFERROR(MATCH('My Rota'!$D$5,Setup!$K$33:$K$36,0),1),INDEX('2027'!$A:$Z,(5+50*((N('My Rota'!$D$6)+5)-1))+2+13,10),INDEX('2028'!$A:$Z,(5+50*((N('My Rota'!$D$6)+5)-1))+2+13,10),INDEX('2029'!$A:$Z,(5+50*((N('My Rota'!$D$6)+5)-1))+2+13,10),INDEX('2030'!$A:$Z,(5+50*((N('My Rota'!$D$6)+5)-1))+2+13,10)))</f>
        <v/>
      </c>
      <c r="K302">
        <f>IF(OR($B302="",(N('My Rota'!$D$6)+5)&gt;53),"",""&amp;CHOOSE(IFERROR(MATCH('My Rota'!$D$5,Setup!$K$33:$K$36,0),1),INDEX('2027'!$A:$Z,(5+50*((N('My Rota'!$D$6)+5)-1))+2+13,11),INDEX('2028'!$A:$Z,(5+50*((N('My Rota'!$D$6)+5)-1))+2+13,11),INDEX('2029'!$A:$Z,(5+50*((N('My Rota'!$D$6)+5)-1))+2+13,11),INDEX('2030'!$A:$Z,(5+50*((N('My Rota'!$D$6)+5)-1))+2+13,11)))</f>
        <v/>
      </c>
      <c r="L302">
        <f>IF(OR($B302="",(N('My Rota'!$D$6)+5)&gt;53),"",""&amp;CHOOSE(IFERROR(MATCH('My Rota'!$D$5,Setup!$K$33:$K$36,0),1),INDEX('2027'!$A:$Z,(5+50*((N('My Rota'!$D$6)+5)-1))+2+13,12),INDEX('2028'!$A:$Z,(5+50*((N('My Rota'!$D$6)+5)-1))+2+13,12),INDEX('2029'!$A:$Z,(5+50*((N('My Rota'!$D$6)+5)-1))+2+13,12),INDEX('2030'!$A:$Z,(5+50*((N('My Rota'!$D$6)+5)-1))+2+13,12)))</f>
        <v/>
      </c>
      <c r="M302">
        <f>IF(OR($B302="",(N('My Rota'!$D$6)+5)&gt;53),"",""&amp;CHOOSE(IFERROR(MATCH('My Rota'!$D$5,Setup!$K$33:$K$36,0),1),INDEX('2027'!$A:$Z,(5+50*((N('My Rota'!$D$6)+5)-1))+2+13,13),INDEX('2028'!$A:$Z,(5+50*((N('My Rota'!$D$6)+5)-1))+2+13,13),INDEX('2029'!$A:$Z,(5+50*((N('My Rota'!$D$6)+5)-1))+2+13,13),INDEX('2030'!$A:$Z,(5+50*((N('My Rota'!$D$6)+5)-1))+2+13,13)))</f>
        <v/>
      </c>
      <c r="N302">
        <f>IF(OR($B302="",(N('My Rota'!$D$6)+5)&gt;53),"",""&amp;CHOOSE(IFERROR(MATCH('My Rota'!$D$5,Setup!$K$33:$K$36,0),1),INDEX('2027'!$A:$Z,(5+50*((N('My Rota'!$D$6)+5)-1))+2+13,14),INDEX('2028'!$A:$Z,(5+50*((N('My Rota'!$D$6)+5)-1))+2+13,14),INDEX('2029'!$A:$Z,(5+50*((N('My Rota'!$D$6)+5)-1))+2+13,14),INDEX('2030'!$A:$Z,(5+50*((N('My Rota'!$D$6)+5)-1))+2+13,14)))</f>
        <v/>
      </c>
      <c r="O302">
        <f>IF(OR($B302="",(N('My Rota'!$D$6)+5)&gt;53),"",""&amp;CHOOSE(IFERROR(MATCH('My Rota'!$D$5,Setup!$K$33:$K$36,0),1),INDEX('2027'!$A:$Z,(5+50*((N('My Rota'!$D$6)+5)-1))+2+13,15),INDEX('2028'!$A:$Z,(5+50*((N('My Rota'!$D$6)+5)-1))+2+13,15),INDEX('2029'!$A:$Z,(5+50*((N('My Rota'!$D$6)+5)-1))+2+13,15),INDEX('2030'!$A:$Z,(5+50*((N('My Rota'!$D$6)+5)-1))+2+13,15)))</f>
        <v/>
      </c>
      <c r="P302">
        <f>IF(OR($B302="",(N('My Rota'!$D$6)+5)&gt;53),"",""&amp;CHOOSE(IFERROR(MATCH('My Rota'!$D$5,Setup!$K$33:$K$36,0),1),INDEX('2027'!$A:$Z,(5+50*((N('My Rota'!$D$6)+5)-1))+2+13,16),INDEX('2028'!$A:$Z,(5+50*((N('My Rota'!$D$6)+5)-1))+2+13,16),INDEX('2029'!$A:$Z,(5+50*((N('My Rota'!$D$6)+5)-1))+2+13,16),INDEX('2030'!$A:$Z,(5+50*((N('My Rota'!$D$6)+5)-1))+2+13,16)))</f>
        <v/>
      </c>
      <c r="Q302">
        <f>IF(OR($B302="",(N('My Rota'!$D$6)+5)&gt;53),"",""&amp;CHOOSE(IFERROR(MATCH('My Rota'!$D$5,Setup!$K$33:$K$36,0),1),INDEX('2027'!$A:$Z,(5+50*((N('My Rota'!$D$6)+5)-1))+2+13,17),INDEX('2028'!$A:$Z,(5+50*((N('My Rota'!$D$6)+5)-1))+2+13,17),INDEX('2029'!$A:$Z,(5+50*((N('My Rota'!$D$6)+5)-1))+2+13,17),INDEX('2030'!$A:$Z,(5+50*((N('My Rota'!$D$6)+5)-1))+2+13,17)))</f>
        <v/>
      </c>
      <c r="R302">
        <f>IF(OR($B302="",(N('My Rota'!$D$6)+5)&gt;53),"",""&amp;CHOOSE(IFERROR(MATCH('My Rota'!$D$5,Setup!$K$33:$K$36,0),1),INDEX('2027'!$A:$Z,(5+50*((N('My Rota'!$D$6)+5)-1))+2+13,18),INDEX('2028'!$A:$Z,(5+50*((N('My Rota'!$D$6)+5)-1))+2+13,18),INDEX('2029'!$A:$Z,(5+50*((N('My Rota'!$D$6)+5)-1))+2+13,18),INDEX('2030'!$A:$Z,(5+50*((N('My Rota'!$D$6)+5)-1))+2+13,18)))</f>
        <v/>
      </c>
      <c r="S302">
        <f>IF(OR($B302="",(N('My Rota'!$D$6)+5)&gt;53),"",""&amp;CHOOSE(IFERROR(MATCH('My Rota'!$D$5,Setup!$K$33:$K$36,0),1),INDEX('2027'!$A:$Z,(5+50*((N('My Rota'!$D$6)+5)-1))+2+13,19),INDEX('2028'!$A:$Z,(5+50*((N('My Rota'!$D$6)+5)-1))+2+13,19),INDEX('2029'!$A:$Z,(5+50*((N('My Rota'!$D$6)+5)-1))+2+13,19),INDEX('2030'!$A:$Z,(5+50*((N('My Rota'!$D$6)+5)-1))+2+13,19)))</f>
        <v/>
      </c>
      <c r="T302">
        <f>IF(OR($B302="",(N('My Rota'!$D$6)+5)&gt;53),"",""&amp;CHOOSE(IFERROR(MATCH('My Rota'!$D$5,Setup!$K$33:$K$36,0),1),INDEX('2027'!$A:$Z,(5+50*((N('My Rota'!$D$6)+5)-1))+2+13,20),INDEX('2028'!$A:$Z,(5+50*((N('My Rota'!$D$6)+5)-1))+2+13,20),INDEX('2029'!$A:$Z,(5+50*((N('My Rota'!$D$6)+5)-1))+2+13,20),INDEX('2030'!$A:$Z,(5+50*((N('My Rota'!$D$6)+5)-1))+2+13,20)))</f>
        <v/>
      </c>
      <c r="U302">
        <f>IF(OR($B302="",(N('My Rota'!$D$6)+5)&gt;53),"",""&amp;CHOOSE(IFERROR(MATCH('My Rota'!$D$5,Setup!$K$33:$K$36,0),1),INDEX('2027'!$A:$Z,(5+50*((N('My Rota'!$D$6)+5)-1))+2+13,21),INDEX('2028'!$A:$Z,(5+50*((N('My Rota'!$D$6)+5)-1))+2+13,21),INDEX('2029'!$A:$Z,(5+50*((N('My Rota'!$D$6)+5)-1))+2+13,21),INDEX('2030'!$A:$Z,(5+50*((N('My Rota'!$D$6)+5)-1))+2+13,21)))</f>
        <v/>
      </c>
      <c r="V302">
        <f>IF(OR($B302="",(N('My Rota'!$D$6)+5)&gt;53),"",""&amp;CHOOSE(IFERROR(MATCH('My Rota'!$D$5,Setup!$K$33:$K$36,0),1),INDEX('2027'!$A:$Z,(5+50*((N('My Rota'!$D$6)+5)-1))+2+13,22),INDEX('2028'!$A:$Z,(5+50*((N('My Rota'!$D$6)+5)-1))+2+13,22),INDEX('2029'!$A:$Z,(5+50*((N('My Rota'!$D$6)+5)-1))+2+13,22),INDEX('2030'!$A:$Z,(5+50*((N('My Rota'!$D$6)+5)-1))+2+13,22)))</f>
        <v/>
      </c>
      <c r="W302">
        <f>IF(OR($B302="",(N('My Rota'!$D$6)+5)&gt;53),"",""&amp;CHOOSE(IFERROR(MATCH('My Rota'!$D$5,Setup!$K$33:$K$36,0),1),INDEX('2027'!$A:$Z,(5+50*((N('My Rota'!$D$6)+5)-1))+2+13,23),INDEX('2028'!$A:$Z,(5+50*((N('My Rota'!$D$6)+5)-1))+2+13,23),INDEX('2029'!$A:$Z,(5+50*((N('My Rota'!$D$6)+5)-1))+2+13,23),INDEX('2030'!$A:$Z,(5+50*((N('My Rota'!$D$6)+5)-1))+2+13,23)))</f>
        <v/>
      </c>
      <c r="X302">
        <f>IF(OR($B302="",(N('My Rota'!$D$6)+5)&gt;53),"",""&amp;CHOOSE(IFERROR(MATCH('My Rota'!$D$5,Setup!$K$33:$K$36,0),1),INDEX('2027'!$A:$Z,(5+50*((N('My Rota'!$D$6)+5)-1))+2+13,24),INDEX('2028'!$A:$Z,(5+50*((N('My Rota'!$D$6)+5)-1))+2+13,24),INDEX('2029'!$A:$Z,(5+50*((N('My Rota'!$D$6)+5)-1))+2+13,24),INDEX('2030'!$A:$Z,(5+50*((N('My Rota'!$D$6)+5)-1))+2+13,24)))</f>
        <v/>
      </c>
      <c r="Y302">
        <f>IF(OR($B302="",(N('My Rota'!$D$6)+5)&gt;53),"",""&amp;CHOOSE(IFERROR(MATCH('My Rota'!$D$5,Setup!$K$33:$K$36,0),1),INDEX('2027'!$A:$Z,(5+50*((N('My Rota'!$D$6)+5)-1))+2+13,25),INDEX('2028'!$A:$Z,(5+50*((N('My Rota'!$D$6)+5)-1))+2+13,25),INDEX('2029'!$A:$Z,(5+50*((N('My Rota'!$D$6)+5)-1))+2+13,25),INDEX('2030'!$A:$Z,(5+50*((N('My Rota'!$D$6)+5)-1))+2+13,25)))</f>
        <v/>
      </c>
      <c r="Z302">
        <f>IF(OR($B302="",(N('My Rota'!$D$6)+5)&gt;53),"",""&amp;CHOOSE(IFERROR(MATCH('My Rota'!$D$5,Setup!$K$33:$K$36,0),1),INDEX('2027'!$A:$Z,(5+50*((N('My Rota'!$D$6)+5)-1))+2+13,26),INDEX('2028'!$A:$Z,(5+50*((N('My Rota'!$D$6)+5)-1))+2+13,26),INDEX('2029'!$A:$Z,(5+50*((N('My Rota'!$D$6)+5)-1))+2+13,26),INDEX('2030'!$A:$Z,(5+50*((N('My Rota'!$D$6)+5)-1))+2+13,26)))</f>
        <v/>
      </c>
    </row>
    <row r="303">
      <c r="A303" t="n">
        <v>6</v>
      </c>
      <c r="B303">
        <f>$B$60</f>
        <v/>
      </c>
      <c r="C303">
        <f>IF(OR($B303="",(N('My Rota'!$D$6)+5)&gt;53),"",""&amp;CHOOSE(IFERROR(MATCH('My Rota'!$D$5,Setup!$K$33:$K$36,0),1),INDEX('2027'!$A:$Z,(5+50*((N('My Rota'!$D$6)+5)-1))+2+14,3),INDEX('2028'!$A:$Z,(5+50*((N('My Rota'!$D$6)+5)-1))+2+14,3),INDEX('2029'!$A:$Z,(5+50*((N('My Rota'!$D$6)+5)-1))+2+14,3),INDEX('2030'!$A:$Z,(5+50*((N('My Rota'!$D$6)+5)-1))+2+14,3)))</f>
        <v/>
      </c>
      <c r="D303">
        <f>IF(OR($B303="",(N('My Rota'!$D$6)+5)&gt;53),"",""&amp;CHOOSE(IFERROR(MATCH('My Rota'!$D$5,Setup!$K$33:$K$36,0),1),INDEX('2027'!$A:$Z,(5+50*((N('My Rota'!$D$6)+5)-1))+2+14,4),INDEX('2028'!$A:$Z,(5+50*((N('My Rota'!$D$6)+5)-1))+2+14,4),INDEX('2029'!$A:$Z,(5+50*((N('My Rota'!$D$6)+5)-1))+2+14,4),INDEX('2030'!$A:$Z,(5+50*((N('My Rota'!$D$6)+5)-1))+2+14,4)))</f>
        <v/>
      </c>
      <c r="E303">
        <f>IF(OR($B303="",(N('My Rota'!$D$6)+5)&gt;53),"",""&amp;CHOOSE(IFERROR(MATCH('My Rota'!$D$5,Setup!$K$33:$K$36,0),1),INDEX('2027'!$A:$Z,(5+50*((N('My Rota'!$D$6)+5)-1))+2+14,5),INDEX('2028'!$A:$Z,(5+50*((N('My Rota'!$D$6)+5)-1))+2+14,5),INDEX('2029'!$A:$Z,(5+50*((N('My Rota'!$D$6)+5)-1))+2+14,5),INDEX('2030'!$A:$Z,(5+50*((N('My Rota'!$D$6)+5)-1))+2+14,5)))</f>
        <v/>
      </c>
      <c r="F303">
        <f>IF(OR($B303="",(N('My Rota'!$D$6)+5)&gt;53),"",""&amp;CHOOSE(IFERROR(MATCH('My Rota'!$D$5,Setup!$K$33:$K$36,0),1),INDEX('2027'!$A:$Z,(5+50*((N('My Rota'!$D$6)+5)-1))+2+14,6),INDEX('2028'!$A:$Z,(5+50*((N('My Rota'!$D$6)+5)-1))+2+14,6),INDEX('2029'!$A:$Z,(5+50*((N('My Rota'!$D$6)+5)-1))+2+14,6),INDEX('2030'!$A:$Z,(5+50*((N('My Rota'!$D$6)+5)-1))+2+14,6)))</f>
        <v/>
      </c>
      <c r="G303">
        <f>IF(OR($B303="",(N('My Rota'!$D$6)+5)&gt;53),"",""&amp;CHOOSE(IFERROR(MATCH('My Rota'!$D$5,Setup!$K$33:$K$36,0),1),INDEX('2027'!$A:$Z,(5+50*((N('My Rota'!$D$6)+5)-1))+2+14,7),INDEX('2028'!$A:$Z,(5+50*((N('My Rota'!$D$6)+5)-1))+2+14,7),INDEX('2029'!$A:$Z,(5+50*((N('My Rota'!$D$6)+5)-1))+2+14,7),INDEX('2030'!$A:$Z,(5+50*((N('My Rota'!$D$6)+5)-1))+2+14,7)))</f>
        <v/>
      </c>
      <c r="H303">
        <f>IF(OR($B303="",(N('My Rota'!$D$6)+5)&gt;53),"",""&amp;CHOOSE(IFERROR(MATCH('My Rota'!$D$5,Setup!$K$33:$K$36,0),1),INDEX('2027'!$A:$Z,(5+50*((N('My Rota'!$D$6)+5)-1))+2+14,8),INDEX('2028'!$A:$Z,(5+50*((N('My Rota'!$D$6)+5)-1))+2+14,8),INDEX('2029'!$A:$Z,(5+50*((N('My Rota'!$D$6)+5)-1))+2+14,8),INDEX('2030'!$A:$Z,(5+50*((N('My Rota'!$D$6)+5)-1))+2+14,8)))</f>
        <v/>
      </c>
      <c r="I303">
        <f>IF(OR($B303="",(N('My Rota'!$D$6)+5)&gt;53),"",""&amp;CHOOSE(IFERROR(MATCH('My Rota'!$D$5,Setup!$K$33:$K$36,0),1),INDEX('2027'!$A:$Z,(5+50*((N('My Rota'!$D$6)+5)-1))+2+14,9),INDEX('2028'!$A:$Z,(5+50*((N('My Rota'!$D$6)+5)-1))+2+14,9),INDEX('2029'!$A:$Z,(5+50*((N('My Rota'!$D$6)+5)-1))+2+14,9),INDEX('2030'!$A:$Z,(5+50*((N('My Rota'!$D$6)+5)-1))+2+14,9)))</f>
        <v/>
      </c>
      <c r="J303">
        <f>IF(OR($B303="",(N('My Rota'!$D$6)+5)&gt;53),"",""&amp;CHOOSE(IFERROR(MATCH('My Rota'!$D$5,Setup!$K$33:$K$36,0),1),INDEX('2027'!$A:$Z,(5+50*((N('My Rota'!$D$6)+5)-1))+2+14,10),INDEX('2028'!$A:$Z,(5+50*((N('My Rota'!$D$6)+5)-1))+2+14,10),INDEX('2029'!$A:$Z,(5+50*((N('My Rota'!$D$6)+5)-1))+2+14,10),INDEX('2030'!$A:$Z,(5+50*((N('My Rota'!$D$6)+5)-1))+2+14,10)))</f>
        <v/>
      </c>
      <c r="K303">
        <f>IF(OR($B303="",(N('My Rota'!$D$6)+5)&gt;53),"",""&amp;CHOOSE(IFERROR(MATCH('My Rota'!$D$5,Setup!$K$33:$K$36,0),1),INDEX('2027'!$A:$Z,(5+50*((N('My Rota'!$D$6)+5)-1))+2+14,11),INDEX('2028'!$A:$Z,(5+50*((N('My Rota'!$D$6)+5)-1))+2+14,11),INDEX('2029'!$A:$Z,(5+50*((N('My Rota'!$D$6)+5)-1))+2+14,11),INDEX('2030'!$A:$Z,(5+50*((N('My Rota'!$D$6)+5)-1))+2+14,11)))</f>
        <v/>
      </c>
      <c r="L303">
        <f>IF(OR($B303="",(N('My Rota'!$D$6)+5)&gt;53),"",""&amp;CHOOSE(IFERROR(MATCH('My Rota'!$D$5,Setup!$K$33:$K$36,0),1),INDEX('2027'!$A:$Z,(5+50*((N('My Rota'!$D$6)+5)-1))+2+14,12),INDEX('2028'!$A:$Z,(5+50*((N('My Rota'!$D$6)+5)-1))+2+14,12),INDEX('2029'!$A:$Z,(5+50*((N('My Rota'!$D$6)+5)-1))+2+14,12),INDEX('2030'!$A:$Z,(5+50*((N('My Rota'!$D$6)+5)-1))+2+14,12)))</f>
        <v/>
      </c>
      <c r="M303">
        <f>IF(OR($B303="",(N('My Rota'!$D$6)+5)&gt;53),"",""&amp;CHOOSE(IFERROR(MATCH('My Rota'!$D$5,Setup!$K$33:$K$36,0),1),INDEX('2027'!$A:$Z,(5+50*((N('My Rota'!$D$6)+5)-1))+2+14,13),INDEX('2028'!$A:$Z,(5+50*((N('My Rota'!$D$6)+5)-1))+2+14,13),INDEX('2029'!$A:$Z,(5+50*((N('My Rota'!$D$6)+5)-1))+2+14,13),INDEX('2030'!$A:$Z,(5+50*((N('My Rota'!$D$6)+5)-1))+2+14,13)))</f>
        <v/>
      </c>
      <c r="N303">
        <f>IF(OR($B303="",(N('My Rota'!$D$6)+5)&gt;53),"",""&amp;CHOOSE(IFERROR(MATCH('My Rota'!$D$5,Setup!$K$33:$K$36,0),1),INDEX('2027'!$A:$Z,(5+50*((N('My Rota'!$D$6)+5)-1))+2+14,14),INDEX('2028'!$A:$Z,(5+50*((N('My Rota'!$D$6)+5)-1))+2+14,14),INDEX('2029'!$A:$Z,(5+50*((N('My Rota'!$D$6)+5)-1))+2+14,14),INDEX('2030'!$A:$Z,(5+50*((N('My Rota'!$D$6)+5)-1))+2+14,14)))</f>
        <v/>
      </c>
      <c r="O303">
        <f>IF(OR($B303="",(N('My Rota'!$D$6)+5)&gt;53),"",""&amp;CHOOSE(IFERROR(MATCH('My Rota'!$D$5,Setup!$K$33:$K$36,0),1),INDEX('2027'!$A:$Z,(5+50*((N('My Rota'!$D$6)+5)-1))+2+14,15),INDEX('2028'!$A:$Z,(5+50*((N('My Rota'!$D$6)+5)-1))+2+14,15),INDEX('2029'!$A:$Z,(5+50*((N('My Rota'!$D$6)+5)-1))+2+14,15),INDEX('2030'!$A:$Z,(5+50*((N('My Rota'!$D$6)+5)-1))+2+14,15)))</f>
        <v/>
      </c>
      <c r="P303">
        <f>IF(OR($B303="",(N('My Rota'!$D$6)+5)&gt;53),"",""&amp;CHOOSE(IFERROR(MATCH('My Rota'!$D$5,Setup!$K$33:$K$36,0),1),INDEX('2027'!$A:$Z,(5+50*((N('My Rota'!$D$6)+5)-1))+2+14,16),INDEX('2028'!$A:$Z,(5+50*((N('My Rota'!$D$6)+5)-1))+2+14,16),INDEX('2029'!$A:$Z,(5+50*((N('My Rota'!$D$6)+5)-1))+2+14,16),INDEX('2030'!$A:$Z,(5+50*((N('My Rota'!$D$6)+5)-1))+2+14,16)))</f>
        <v/>
      </c>
      <c r="Q303">
        <f>IF(OR($B303="",(N('My Rota'!$D$6)+5)&gt;53),"",""&amp;CHOOSE(IFERROR(MATCH('My Rota'!$D$5,Setup!$K$33:$K$36,0),1),INDEX('2027'!$A:$Z,(5+50*((N('My Rota'!$D$6)+5)-1))+2+14,17),INDEX('2028'!$A:$Z,(5+50*((N('My Rota'!$D$6)+5)-1))+2+14,17),INDEX('2029'!$A:$Z,(5+50*((N('My Rota'!$D$6)+5)-1))+2+14,17),INDEX('2030'!$A:$Z,(5+50*((N('My Rota'!$D$6)+5)-1))+2+14,17)))</f>
        <v/>
      </c>
      <c r="R303">
        <f>IF(OR($B303="",(N('My Rota'!$D$6)+5)&gt;53),"",""&amp;CHOOSE(IFERROR(MATCH('My Rota'!$D$5,Setup!$K$33:$K$36,0),1),INDEX('2027'!$A:$Z,(5+50*((N('My Rota'!$D$6)+5)-1))+2+14,18),INDEX('2028'!$A:$Z,(5+50*((N('My Rota'!$D$6)+5)-1))+2+14,18),INDEX('2029'!$A:$Z,(5+50*((N('My Rota'!$D$6)+5)-1))+2+14,18),INDEX('2030'!$A:$Z,(5+50*((N('My Rota'!$D$6)+5)-1))+2+14,18)))</f>
        <v/>
      </c>
      <c r="S303">
        <f>IF(OR($B303="",(N('My Rota'!$D$6)+5)&gt;53),"",""&amp;CHOOSE(IFERROR(MATCH('My Rota'!$D$5,Setup!$K$33:$K$36,0),1),INDEX('2027'!$A:$Z,(5+50*((N('My Rota'!$D$6)+5)-1))+2+14,19),INDEX('2028'!$A:$Z,(5+50*((N('My Rota'!$D$6)+5)-1))+2+14,19),INDEX('2029'!$A:$Z,(5+50*((N('My Rota'!$D$6)+5)-1))+2+14,19),INDEX('2030'!$A:$Z,(5+50*((N('My Rota'!$D$6)+5)-1))+2+14,19)))</f>
        <v/>
      </c>
      <c r="T303">
        <f>IF(OR($B303="",(N('My Rota'!$D$6)+5)&gt;53),"",""&amp;CHOOSE(IFERROR(MATCH('My Rota'!$D$5,Setup!$K$33:$K$36,0),1),INDEX('2027'!$A:$Z,(5+50*((N('My Rota'!$D$6)+5)-1))+2+14,20),INDEX('2028'!$A:$Z,(5+50*((N('My Rota'!$D$6)+5)-1))+2+14,20),INDEX('2029'!$A:$Z,(5+50*((N('My Rota'!$D$6)+5)-1))+2+14,20),INDEX('2030'!$A:$Z,(5+50*((N('My Rota'!$D$6)+5)-1))+2+14,20)))</f>
        <v/>
      </c>
      <c r="U303">
        <f>IF(OR($B303="",(N('My Rota'!$D$6)+5)&gt;53),"",""&amp;CHOOSE(IFERROR(MATCH('My Rota'!$D$5,Setup!$K$33:$K$36,0),1),INDEX('2027'!$A:$Z,(5+50*((N('My Rota'!$D$6)+5)-1))+2+14,21),INDEX('2028'!$A:$Z,(5+50*((N('My Rota'!$D$6)+5)-1))+2+14,21),INDEX('2029'!$A:$Z,(5+50*((N('My Rota'!$D$6)+5)-1))+2+14,21),INDEX('2030'!$A:$Z,(5+50*((N('My Rota'!$D$6)+5)-1))+2+14,21)))</f>
        <v/>
      </c>
      <c r="V303">
        <f>IF(OR($B303="",(N('My Rota'!$D$6)+5)&gt;53),"",""&amp;CHOOSE(IFERROR(MATCH('My Rota'!$D$5,Setup!$K$33:$K$36,0),1),INDEX('2027'!$A:$Z,(5+50*((N('My Rota'!$D$6)+5)-1))+2+14,22),INDEX('2028'!$A:$Z,(5+50*((N('My Rota'!$D$6)+5)-1))+2+14,22),INDEX('2029'!$A:$Z,(5+50*((N('My Rota'!$D$6)+5)-1))+2+14,22),INDEX('2030'!$A:$Z,(5+50*((N('My Rota'!$D$6)+5)-1))+2+14,22)))</f>
        <v/>
      </c>
      <c r="W303">
        <f>IF(OR($B303="",(N('My Rota'!$D$6)+5)&gt;53),"",""&amp;CHOOSE(IFERROR(MATCH('My Rota'!$D$5,Setup!$K$33:$K$36,0),1),INDEX('2027'!$A:$Z,(5+50*((N('My Rota'!$D$6)+5)-1))+2+14,23),INDEX('2028'!$A:$Z,(5+50*((N('My Rota'!$D$6)+5)-1))+2+14,23),INDEX('2029'!$A:$Z,(5+50*((N('My Rota'!$D$6)+5)-1))+2+14,23),INDEX('2030'!$A:$Z,(5+50*((N('My Rota'!$D$6)+5)-1))+2+14,23)))</f>
        <v/>
      </c>
      <c r="X303">
        <f>IF(OR($B303="",(N('My Rota'!$D$6)+5)&gt;53),"",""&amp;CHOOSE(IFERROR(MATCH('My Rota'!$D$5,Setup!$K$33:$K$36,0),1),INDEX('2027'!$A:$Z,(5+50*((N('My Rota'!$D$6)+5)-1))+2+14,24),INDEX('2028'!$A:$Z,(5+50*((N('My Rota'!$D$6)+5)-1))+2+14,24),INDEX('2029'!$A:$Z,(5+50*((N('My Rota'!$D$6)+5)-1))+2+14,24),INDEX('2030'!$A:$Z,(5+50*((N('My Rota'!$D$6)+5)-1))+2+14,24)))</f>
        <v/>
      </c>
      <c r="Y303">
        <f>IF(OR($B303="",(N('My Rota'!$D$6)+5)&gt;53),"",""&amp;CHOOSE(IFERROR(MATCH('My Rota'!$D$5,Setup!$K$33:$K$36,0),1),INDEX('2027'!$A:$Z,(5+50*((N('My Rota'!$D$6)+5)-1))+2+14,25),INDEX('2028'!$A:$Z,(5+50*((N('My Rota'!$D$6)+5)-1))+2+14,25),INDEX('2029'!$A:$Z,(5+50*((N('My Rota'!$D$6)+5)-1))+2+14,25),INDEX('2030'!$A:$Z,(5+50*((N('My Rota'!$D$6)+5)-1))+2+14,25)))</f>
        <v/>
      </c>
      <c r="Z303">
        <f>IF(OR($B303="",(N('My Rota'!$D$6)+5)&gt;53),"",""&amp;CHOOSE(IFERROR(MATCH('My Rota'!$D$5,Setup!$K$33:$K$36,0),1),INDEX('2027'!$A:$Z,(5+50*((N('My Rota'!$D$6)+5)-1))+2+14,26),INDEX('2028'!$A:$Z,(5+50*((N('My Rota'!$D$6)+5)-1))+2+14,26),INDEX('2029'!$A:$Z,(5+50*((N('My Rota'!$D$6)+5)-1))+2+14,26),INDEX('2030'!$A:$Z,(5+50*((N('My Rota'!$D$6)+5)-1))+2+14,26)))</f>
        <v/>
      </c>
    </row>
    <row r="304">
      <c r="A304" t="n">
        <v>6</v>
      </c>
      <c r="B304">
        <f>$B$61</f>
        <v/>
      </c>
      <c r="C304">
        <f>IF(OR($B304="",(N('My Rota'!$D$6)+5)&gt;53),"",""&amp;CHOOSE(IFERROR(MATCH('My Rota'!$D$5,Setup!$K$33:$K$36,0),1),INDEX('2027'!$A:$Z,(5+50*((N('My Rota'!$D$6)+5)-1))+2+15,3),INDEX('2028'!$A:$Z,(5+50*((N('My Rota'!$D$6)+5)-1))+2+15,3),INDEX('2029'!$A:$Z,(5+50*((N('My Rota'!$D$6)+5)-1))+2+15,3),INDEX('2030'!$A:$Z,(5+50*((N('My Rota'!$D$6)+5)-1))+2+15,3)))</f>
        <v/>
      </c>
      <c r="D304">
        <f>IF(OR($B304="",(N('My Rota'!$D$6)+5)&gt;53),"",""&amp;CHOOSE(IFERROR(MATCH('My Rota'!$D$5,Setup!$K$33:$K$36,0),1),INDEX('2027'!$A:$Z,(5+50*((N('My Rota'!$D$6)+5)-1))+2+15,4),INDEX('2028'!$A:$Z,(5+50*((N('My Rota'!$D$6)+5)-1))+2+15,4),INDEX('2029'!$A:$Z,(5+50*((N('My Rota'!$D$6)+5)-1))+2+15,4),INDEX('2030'!$A:$Z,(5+50*((N('My Rota'!$D$6)+5)-1))+2+15,4)))</f>
        <v/>
      </c>
      <c r="E304">
        <f>IF(OR($B304="",(N('My Rota'!$D$6)+5)&gt;53),"",""&amp;CHOOSE(IFERROR(MATCH('My Rota'!$D$5,Setup!$K$33:$K$36,0),1),INDEX('2027'!$A:$Z,(5+50*((N('My Rota'!$D$6)+5)-1))+2+15,5),INDEX('2028'!$A:$Z,(5+50*((N('My Rota'!$D$6)+5)-1))+2+15,5),INDEX('2029'!$A:$Z,(5+50*((N('My Rota'!$D$6)+5)-1))+2+15,5),INDEX('2030'!$A:$Z,(5+50*((N('My Rota'!$D$6)+5)-1))+2+15,5)))</f>
        <v/>
      </c>
      <c r="F304">
        <f>IF(OR($B304="",(N('My Rota'!$D$6)+5)&gt;53),"",""&amp;CHOOSE(IFERROR(MATCH('My Rota'!$D$5,Setup!$K$33:$K$36,0),1),INDEX('2027'!$A:$Z,(5+50*((N('My Rota'!$D$6)+5)-1))+2+15,6),INDEX('2028'!$A:$Z,(5+50*((N('My Rota'!$D$6)+5)-1))+2+15,6),INDEX('2029'!$A:$Z,(5+50*((N('My Rota'!$D$6)+5)-1))+2+15,6),INDEX('2030'!$A:$Z,(5+50*((N('My Rota'!$D$6)+5)-1))+2+15,6)))</f>
        <v/>
      </c>
      <c r="G304">
        <f>IF(OR($B304="",(N('My Rota'!$D$6)+5)&gt;53),"",""&amp;CHOOSE(IFERROR(MATCH('My Rota'!$D$5,Setup!$K$33:$K$36,0),1),INDEX('2027'!$A:$Z,(5+50*((N('My Rota'!$D$6)+5)-1))+2+15,7),INDEX('2028'!$A:$Z,(5+50*((N('My Rota'!$D$6)+5)-1))+2+15,7),INDEX('2029'!$A:$Z,(5+50*((N('My Rota'!$D$6)+5)-1))+2+15,7),INDEX('2030'!$A:$Z,(5+50*((N('My Rota'!$D$6)+5)-1))+2+15,7)))</f>
        <v/>
      </c>
      <c r="H304">
        <f>IF(OR($B304="",(N('My Rota'!$D$6)+5)&gt;53),"",""&amp;CHOOSE(IFERROR(MATCH('My Rota'!$D$5,Setup!$K$33:$K$36,0),1),INDEX('2027'!$A:$Z,(5+50*((N('My Rota'!$D$6)+5)-1))+2+15,8),INDEX('2028'!$A:$Z,(5+50*((N('My Rota'!$D$6)+5)-1))+2+15,8),INDEX('2029'!$A:$Z,(5+50*((N('My Rota'!$D$6)+5)-1))+2+15,8),INDEX('2030'!$A:$Z,(5+50*((N('My Rota'!$D$6)+5)-1))+2+15,8)))</f>
        <v/>
      </c>
      <c r="I304">
        <f>IF(OR($B304="",(N('My Rota'!$D$6)+5)&gt;53),"",""&amp;CHOOSE(IFERROR(MATCH('My Rota'!$D$5,Setup!$K$33:$K$36,0),1),INDEX('2027'!$A:$Z,(5+50*((N('My Rota'!$D$6)+5)-1))+2+15,9),INDEX('2028'!$A:$Z,(5+50*((N('My Rota'!$D$6)+5)-1))+2+15,9),INDEX('2029'!$A:$Z,(5+50*((N('My Rota'!$D$6)+5)-1))+2+15,9),INDEX('2030'!$A:$Z,(5+50*((N('My Rota'!$D$6)+5)-1))+2+15,9)))</f>
        <v/>
      </c>
      <c r="J304">
        <f>IF(OR($B304="",(N('My Rota'!$D$6)+5)&gt;53),"",""&amp;CHOOSE(IFERROR(MATCH('My Rota'!$D$5,Setup!$K$33:$K$36,0),1),INDEX('2027'!$A:$Z,(5+50*((N('My Rota'!$D$6)+5)-1))+2+15,10),INDEX('2028'!$A:$Z,(5+50*((N('My Rota'!$D$6)+5)-1))+2+15,10),INDEX('2029'!$A:$Z,(5+50*((N('My Rota'!$D$6)+5)-1))+2+15,10),INDEX('2030'!$A:$Z,(5+50*((N('My Rota'!$D$6)+5)-1))+2+15,10)))</f>
        <v/>
      </c>
      <c r="K304">
        <f>IF(OR($B304="",(N('My Rota'!$D$6)+5)&gt;53),"",""&amp;CHOOSE(IFERROR(MATCH('My Rota'!$D$5,Setup!$K$33:$K$36,0),1),INDEX('2027'!$A:$Z,(5+50*((N('My Rota'!$D$6)+5)-1))+2+15,11),INDEX('2028'!$A:$Z,(5+50*((N('My Rota'!$D$6)+5)-1))+2+15,11),INDEX('2029'!$A:$Z,(5+50*((N('My Rota'!$D$6)+5)-1))+2+15,11),INDEX('2030'!$A:$Z,(5+50*((N('My Rota'!$D$6)+5)-1))+2+15,11)))</f>
        <v/>
      </c>
      <c r="L304">
        <f>IF(OR($B304="",(N('My Rota'!$D$6)+5)&gt;53),"",""&amp;CHOOSE(IFERROR(MATCH('My Rota'!$D$5,Setup!$K$33:$K$36,0),1),INDEX('2027'!$A:$Z,(5+50*((N('My Rota'!$D$6)+5)-1))+2+15,12),INDEX('2028'!$A:$Z,(5+50*((N('My Rota'!$D$6)+5)-1))+2+15,12),INDEX('2029'!$A:$Z,(5+50*((N('My Rota'!$D$6)+5)-1))+2+15,12),INDEX('2030'!$A:$Z,(5+50*((N('My Rota'!$D$6)+5)-1))+2+15,12)))</f>
        <v/>
      </c>
      <c r="M304">
        <f>IF(OR($B304="",(N('My Rota'!$D$6)+5)&gt;53),"",""&amp;CHOOSE(IFERROR(MATCH('My Rota'!$D$5,Setup!$K$33:$K$36,0),1),INDEX('2027'!$A:$Z,(5+50*((N('My Rota'!$D$6)+5)-1))+2+15,13),INDEX('2028'!$A:$Z,(5+50*((N('My Rota'!$D$6)+5)-1))+2+15,13),INDEX('2029'!$A:$Z,(5+50*((N('My Rota'!$D$6)+5)-1))+2+15,13),INDEX('2030'!$A:$Z,(5+50*((N('My Rota'!$D$6)+5)-1))+2+15,13)))</f>
        <v/>
      </c>
      <c r="N304">
        <f>IF(OR($B304="",(N('My Rota'!$D$6)+5)&gt;53),"",""&amp;CHOOSE(IFERROR(MATCH('My Rota'!$D$5,Setup!$K$33:$K$36,0),1),INDEX('2027'!$A:$Z,(5+50*((N('My Rota'!$D$6)+5)-1))+2+15,14),INDEX('2028'!$A:$Z,(5+50*((N('My Rota'!$D$6)+5)-1))+2+15,14),INDEX('2029'!$A:$Z,(5+50*((N('My Rota'!$D$6)+5)-1))+2+15,14),INDEX('2030'!$A:$Z,(5+50*((N('My Rota'!$D$6)+5)-1))+2+15,14)))</f>
        <v/>
      </c>
      <c r="O304">
        <f>IF(OR($B304="",(N('My Rota'!$D$6)+5)&gt;53),"",""&amp;CHOOSE(IFERROR(MATCH('My Rota'!$D$5,Setup!$K$33:$K$36,0),1),INDEX('2027'!$A:$Z,(5+50*((N('My Rota'!$D$6)+5)-1))+2+15,15),INDEX('2028'!$A:$Z,(5+50*((N('My Rota'!$D$6)+5)-1))+2+15,15),INDEX('2029'!$A:$Z,(5+50*((N('My Rota'!$D$6)+5)-1))+2+15,15),INDEX('2030'!$A:$Z,(5+50*((N('My Rota'!$D$6)+5)-1))+2+15,15)))</f>
        <v/>
      </c>
      <c r="P304">
        <f>IF(OR($B304="",(N('My Rota'!$D$6)+5)&gt;53),"",""&amp;CHOOSE(IFERROR(MATCH('My Rota'!$D$5,Setup!$K$33:$K$36,0),1),INDEX('2027'!$A:$Z,(5+50*((N('My Rota'!$D$6)+5)-1))+2+15,16),INDEX('2028'!$A:$Z,(5+50*((N('My Rota'!$D$6)+5)-1))+2+15,16),INDEX('2029'!$A:$Z,(5+50*((N('My Rota'!$D$6)+5)-1))+2+15,16),INDEX('2030'!$A:$Z,(5+50*((N('My Rota'!$D$6)+5)-1))+2+15,16)))</f>
        <v/>
      </c>
      <c r="Q304">
        <f>IF(OR($B304="",(N('My Rota'!$D$6)+5)&gt;53),"",""&amp;CHOOSE(IFERROR(MATCH('My Rota'!$D$5,Setup!$K$33:$K$36,0),1),INDEX('2027'!$A:$Z,(5+50*((N('My Rota'!$D$6)+5)-1))+2+15,17),INDEX('2028'!$A:$Z,(5+50*((N('My Rota'!$D$6)+5)-1))+2+15,17),INDEX('2029'!$A:$Z,(5+50*((N('My Rota'!$D$6)+5)-1))+2+15,17),INDEX('2030'!$A:$Z,(5+50*((N('My Rota'!$D$6)+5)-1))+2+15,17)))</f>
        <v/>
      </c>
      <c r="R304">
        <f>IF(OR($B304="",(N('My Rota'!$D$6)+5)&gt;53),"",""&amp;CHOOSE(IFERROR(MATCH('My Rota'!$D$5,Setup!$K$33:$K$36,0),1),INDEX('2027'!$A:$Z,(5+50*((N('My Rota'!$D$6)+5)-1))+2+15,18),INDEX('2028'!$A:$Z,(5+50*((N('My Rota'!$D$6)+5)-1))+2+15,18),INDEX('2029'!$A:$Z,(5+50*((N('My Rota'!$D$6)+5)-1))+2+15,18),INDEX('2030'!$A:$Z,(5+50*((N('My Rota'!$D$6)+5)-1))+2+15,18)))</f>
        <v/>
      </c>
      <c r="S304">
        <f>IF(OR($B304="",(N('My Rota'!$D$6)+5)&gt;53),"",""&amp;CHOOSE(IFERROR(MATCH('My Rota'!$D$5,Setup!$K$33:$K$36,0),1),INDEX('2027'!$A:$Z,(5+50*((N('My Rota'!$D$6)+5)-1))+2+15,19),INDEX('2028'!$A:$Z,(5+50*((N('My Rota'!$D$6)+5)-1))+2+15,19),INDEX('2029'!$A:$Z,(5+50*((N('My Rota'!$D$6)+5)-1))+2+15,19),INDEX('2030'!$A:$Z,(5+50*((N('My Rota'!$D$6)+5)-1))+2+15,19)))</f>
        <v/>
      </c>
      <c r="T304">
        <f>IF(OR($B304="",(N('My Rota'!$D$6)+5)&gt;53),"",""&amp;CHOOSE(IFERROR(MATCH('My Rota'!$D$5,Setup!$K$33:$K$36,0),1),INDEX('2027'!$A:$Z,(5+50*((N('My Rota'!$D$6)+5)-1))+2+15,20),INDEX('2028'!$A:$Z,(5+50*((N('My Rota'!$D$6)+5)-1))+2+15,20),INDEX('2029'!$A:$Z,(5+50*((N('My Rota'!$D$6)+5)-1))+2+15,20),INDEX('2030'!$A:$Z,(5+50*((N('My Rota'!$D$6)+5)-1))+2+15,20)))</f>
        <v/>
      </c>
      <c r="U304">
        <f>IF(OR($B304="",(N('My Rota'!$D$6)+5)&gt;53),"",""&amp;CHOOSE(IFERROR(MATCH('My Rota'!$D$5,Setup!$K$33:$K$36,0),1),INDEX('2027'!$A:$Z,(5+50*((N('My Rota'!$D$6)+5)-1))+2+15,21),INDEX('2028'!$A:$Z,(5+50*((N('My Rota'!$D$6)+5)-1))+2+15,21),INDEX('2029'!$A:$Z,(5+50*((N('My Rota'!$D$6)+5)-1))+2+15,21),INDEX('2030'!$A:$Z,(5+50*((N('My Rota'!$D$6)+5)-1))+2+15,21)))</f>
        <v/>
      </c>
      <c r="V304">
        <f>IF(OR($B304="",(N('My Rota'!$D$6)+5)&gt;53),"",""&amp;CHOOSE(IFERROR(MATCH('My Rota'!$D$5,Setup!$K$33:$K$36,0),1),INDEX('2027'!$A:$Z,(5+50*((N('My Rota'!$D$6)+5)-1))+2+15,22),INDEX('2028'!$A:$Z,(5+50*((N('My Rota'!$D$6)+5)-1))+2+15,22),INDEX('2029'!$A:$Z,(5+50*((N('My Rota'!$D$6)+5)-1))+2+15,22),INDEX('2030'!$A:$Z,(5+50*((N('My Rota'!$D$6)+5)-1))+2+15,22)))</f>
        <v/>
      </c>
      <c r="W304">
        <f>IF(OR($B304="",(N('My Rota'!$D$6)+5)&gt;53),"",""&amp;CHOOSE(IFERROR(MATCH('My Rota'!$D$5,Setup!$K$33:$K$36,0),1),INDEX('2027'!$A:$Z,(5+50*((N('My Rota'!$D$6)+5)-1))+2+15,23),INDEX('2028'!$A:$Z,(5+50*((N('My Rota'!$D$6)+5)-1))+2+15,23),INDEX('2029'!$A:$Z,(5+50*((N('My Rota'!$D$6)+5)-1))+2+15,23),INDEX('2030'!$A:$Z,(5+50*((N('My Rota'!$D$6)+5)-1))+2+15,23)))</f>
        <v/>
      </c>
      <c r="X304">
        <f>IF(OR($B304="",(N('My Rota'!$D$6)+5)&gt;53),"",""&amp;CHOOSE(IFERROR(MATCH('My Rota'!$D$5,Setup!$K$33:$K$36,0),1),INDEX('2027'!$A:$Z,(5+50*((N('My Rota'!$D$6)+5)-1))+2+15,24),INDEX('2028'!$A:$Z,(5+50*((N('My Rota'!$D$6)+5)-1))+2+15,24),INDEX('2029'!$A:$Z,(5+50*((N('My Rota'!$D$6)+5)-1))+2+15,24),INDEX('2030'!$A:$Z,(5+50*((N('My Rota'!$D$6)+5)-1))+2+15,24)))</f>
        <v/>
      </c>
      <c r="Y304">
        <f>IF(OR($B304="",(N('My Rota'!$D$6)+5)&gt;53),"",""&amp;CHOOSE(IFERROR(MATCH('My Rota'!$D$5,Setup!$K$33:$K$36,0),1),INDEX('2027'!$A:$Z,(5+50*((N('My Rota'!$D$6)+5)-1))+2+15,25),INDEX('2028'!$A:$Z,(5+50*((N('My Rota'!$D$6)+5)-1))+2+15,25),INDEX('2029'!$A:$Z,(5+50*((N('My Rota'!$D$6)+5)-1))+2+15,25),INDEX('2030'!$A:$Z,(5+50*((N('My Rota'!$D$6)+5)-1))+2+15,25)))</f>
        <v/>
      </c>
      <c r="Z304">
        <f>IF(OR($B304="",(N('My Rota'!$D$6)+5)&gt;53),"",""&amp;CHOOSE(IFERROR(MATCH('My Rota'!$D$5,Setup!$K$33:$K$36,0),1),INDEX('2027'!$A:$Z,(5+50*((N('My Rota'!$D$6)+5)-1))+2+15,26),INDEX('2028'!$A:$Z,(5+50*((N('My Rota'!$D$6)+5)-1))+2+15,26),INDEX('2029'!$A:$Z,(5+50*((N('My Rota'!$D$6)+5)-1))+2+15,26),INDEX('2030'!$A:$Z,(5+50*((N('My Rota'!$D$6)+5)-1))+2+15,26)))</f>
        <v/>
      </c>
    </row>
    <row r="305">
      <c r="A305" t="n">
        <v>6</v>
      </c>
      <c r="B305">
        <f>$B$62</f>
        <v/>
      </c>
      <c r="C305">
        <f>IF(OR($B305="",(N('My Rota'!$D$6)+5)&gt;53),"",""&amp;CHOOSE(IFERROR(MATCH('My Rota'!$D$5,Setup!$K$33:$K$36,0),1),INDEX('2027'!$A:$Z,(5+50*((N('My Rota'!$D$6)+5)-1))+2+16,3),INDEX('2028'!$A:$Z,(5+50*((N('My Rota'!$D$6)+5)-1))+2+16,3),INDEX('2029'!$A:$Z,(5+50*((N('My Rota'!$D$6)+5)-1))+2+16,3),INDEX('2030'!$A:$Z,(5+50*((N('My Rota'!$D$6)+5)-1))+2+16,3)))</f>
        <v/>
      </c>
      <c r="D305">
        <f>IF(OR($B305="",(N('My Rota'!$D$6)+5)&gt;53),"",""&amp;CHOOSE(IFERROR(MATCH('My Rota'!$D$5,Setup!$K$33:$K$36,0),1),INDEX('2027'!$A:$Z,(5+50*((N('My Rota'!$D$6)+5)-1))+2+16,4),INDEX('2028'!$A:$Z,(5+50*((N('My Rota'!$D$6)+5)-1))+2+16,4),INDEX('2029'!$A:$Z,(5+50*((N('My Rota'!$D$6)+5)-1))+2+16,4),INDEX('2030'!$A:$Z,(5+50*((N('My Rota'!$D$6)+5)-1))+2+16,4)))</f>
        <v/>
      </c>
      <c r="E305">
        <f>IF(OR($B305="",(N('My Rota'!$D$6)+5)&gt;53),"",""&amp;CHOOSE(IFERROR(MATCH('My Rota'!$D$5,Setup!$K$33:$K$36,0),1),INDEX('2027'!$A:$Z,(5+50*((N('My Rota'!$D$6)+5)-1))+2+16,5),INDEX('2028'!$A:$Z,(5+50*((N('My Rota'!$D$6)+5)-1))+2+16,5),INDEX('2029'!$A:$Z,(5+50*((N('My Rota'!$D$6)+5)-1))+2+16,5),INDEX('2030'!$A:$Z,(5+50*((N('My Rota'!$D$6)+5)-1))+2+16,5)))</f>
        <v/>
      </c>
      <c r="F305">
        <f>IF(OR($B305="",(N('My Rota'!$D$6)+5)&gt;53),"",""&amp;CHOOSE(IFERROR(MATCH('My Rota'!$D$5,Setup!$K$33:$K$36,0),1),INDEX('2027'!$A:$Z,(5+50*((N('My Rota'!$D$6)+5)-1))+2+16,6),INDEX('2028'!$A:$Z,(5+50*((N('My Rota'!$D$6)+5)-1))+2+16,6),INDEX('2029'!$A:$Z,(5+50*((N('My Rota'!$D$6)+5)-1))+2+16,6),INDEX('2030'!$A:$Z,(5+50*((N('My Rota'!$D$6)+5)-1))+2+16,6)))</f>
        <v/>
      </c>
      <c r="G305">
        <f>IF(OR($B305="",(N('My Rota'!$D$6)+5)&gt;53),"",""&amp;CHOOSE(IFERROR(MATCH('My Rota'!$D$5,Setup!$K$33:$K$36,0),1),INDEX('2027'!$A:$Z,(5+50*((N('My Rota'!$D$6)+5)-1))+2+16,7),INDEX('2028'!$A:$Z,(5+50*((N('My Rota'!$D$6)+5)-1))+2+16,7),INDEX('2029'!$A:$Z,(5+50*((N('My Rota'!$D$6)+5)-1))+2+16,7),INDEX('2030'!$A:$Z,(5+50*((N('My Rota'!$D$6)+5)-1))+2+16,7)))</f>
        <v/>
      </c>
      <c r="H305">
        <f>IF(OR($B305="",(N('My Rota'!$D$6)+5)&gt;53),"",""&amp;CHOOSE(IFERROR(MATCH('My Rota'!$D$5,Setup!$K$33:$K$36,0),1),INDEX('2027'!$A:$Z,(5+50*((N('My Rota'!$D$6)+5)-1))+2+16,8),INDEX('2028'!$A:$Z,(5+50*((N('My Rota'!$D$6)+5)-1))+2+16,8),INDEX('2029'!$A:$Z,(5+50*((N('My Rota'!$D$6)+5)-1))+2+16,8),INDEX('2030'!$A:$Z,(5+50*((N('My Rota'!$D$6)+5)-1))+2+16,8)))</f>
        <v/>
      </c>
      <c r="I305">
        <f>IF(OR($B305="",(N('My Rota'!$D$6)+5)&gt;53),"",""&amp;CHOOSE(IFERROR(MATCH('My Rota'!$D$5,Setup!$K$33:$K$36,0),1),INDEX('2027'!$A:$Z,(5+50*((N('My Rota'!$D$6)+5)-1))+2+16,9),INDEX('2028'!$A:$Z,(5+50*((N('My Rota'!$D$6)+5)-1))+2+16,9),INDEX('2029'!$A:$Z,(5+50*((N('My Rota'!$D$6)+5)-1))+2+16,9),INDEX('2030'!$A:$Z,(5+50*((N('My Rota'!$D$6)+5)-1))+2+16,9)))</f>
        <v/>
      </c>
      <c r="J305">
        <f>IF(OR($B305="",(N('My Rota'!$D$6)+5)&gt;53),"",""&amp;CHOOSE(IFERROR(MATCH('My Rota'!$D$5,Setup!$K$33:$K$36,0),1),INDEX('2027'!$A:$Z,(5+50*((N('My Rota'!$D$6)+5)-1))+2+16,10),INDEX('2028'!$A:$Z,(5+50*((N('My Rota'!$D$6)+5)-1))+2+16,10),INDEX('2029'!$A:$Z,(5+50*((N('My Rota'!$D$6)+5)-1))+2+16,10),INDEX('2030'!$A:$Z,(5+50*((N('My Rota'!$D$6)+5)-1))+2+16,10)))</f>
        <v/>
      </c>
      <c r="K305">
        <f>IF(OR($B305="",(N('My Rota'!$D$6)+5)&gt;53),"",""&amp;CHOOSE(IFERROR(MATCH('My Rota'!$D$5,Setup!$K$33:$K$36,0),1),INDEX('2027'!$A:$Z,(5+50*((N('My Rota'!$D$6)+5)-1))+2+16,11),INDEX('2028'!$A:$Z,(5+50*((N('My Rota'!$D$6)+5)-1))+2+16,11),INDEX('2029'!$A:$Z,(5+50*((N('My Rota'!$D$6)+5)-1))+2+16,11),INDEX('2030'!$A:$Z,(5+50*((N('My Rota'!$D$6)+5)-1))+2+16,11)))</f>
        <v/>
      </c>
      <c r="L305">
        <f>IF(OR($B305="",(N('My Rota'!$D$6)+5)&gt;53),"",""&amp;CHOOSE(IFERROR(MATCH('My Rota'!$D$5,Setup!$K$33:$K$36,0),1),INDEX('2027'!$A:$Z,(5+50*((N('My Rota'!$D$6)+5)-1))+2+16,12),INDEX('2028'!$A:$Z,(5+50*((N('My Rota'!$D$6)+5)-1))+2+16,12),INDEX('2029'!$A:$Z,(5+50*((N('My Rota'!$D$6)+5)-1))+2+16,12),INDEX('2030'!$A:$Z,(5+50*((N('My Rota'!$D$6)+5)-1))+2+16,12)))</f>
        <v/>
      </c>
      <c r="M305">
        <f>IF(OR($B305="",(N('My Rota'!$D$6)+5)&gt;53),"",""&amp;CHOOSE(IFERROR(MATCH('My Rota'!$D$5,Setup!$K$33:$K$36,0),1),INDEX('2027'!$A:$Z,(5+50*((N('My Rota'!$D$6)+5)-1))+2+16,13),INDEX('2028'!$A:$Z,(5+50*((N('My Rota'!$D$6)+5)-1))+2+16,13),INDEX('2029'!$A:$Z,(5+50*((N('My Rota'!$D$6)+5)-1))+2+16,13),INDEX('2030'!$A:$Z,(5+50*((N('My Rota'!$D$6)+5)-1))+2+16,13)))</f>
        <v/>
      </c>
      <c r="N305">
        <f>IF(OR($B305="",(N('My Rota'!$D$6)+5)&gt;53),"",""&amp;CHOOSE(IFERROR(MATCH('My Rota'!$D$5,Setup!$K$33:$K$36,0),1),INDEX('2027'!$A:$Z,(5+50*((N('My Rota'!$D$6)+5)-1))+2+16,14),INDEX('2028'!$A:$Z,(5+50*((N('My Rota'!$D$6)+5)-1))+2+16,14),INDEX('2029'!$A:$Z,(5+50*((N('My Rota'!$D$6)+5)-1))+2+16,14),INDEX('2030'!$A:$Z,(5+50*((N('My Rota'!$D$6)+5)-1))+2+16,14)))</f>
        <v/>
      </c>
      <c r="O305">
        <f>IF(OR($B305="",(N('My Rota'!$D$6)+5)&gt;53),"",""&amp;CHOOSE(IFERROR(MATCH('My Rota'!$D$5,Setup!$K$33:$K$36,0),1),INDEX('2027'!$A:$Z,(5+50*((N('My Rota'!$D$6)+5)-1))+2+16,15),INDEX('2028'!$A:$Z,(5+50*((N('My Rota'!$D$6)+5)-1))+2+16,15),INDEX('2029'!$A:$Z,(5+50*((N('My Rota'!$D$6)+5)-1))+2+16,15),INDEX('2030'!$A:$Z,(5+50*((N('My Rota'!$D$6)+5)-1))+2+16,15)))</f>
        <v/>
      </c>
      <c r="P305">
        <f>IF(OR($B305="",(N('My Rota'!$D$6)+5)&gt;53),"",""&amp;CHOOSE(IFERROR(MATCH('My Rota'!$D$5,Setup!$K$33:$K$36,0),1),INDEX('2027'!$A:$Z,(5+50*((N('My Rota'!$D$6)+5)-1))+2+16,16),INDEX('2028'!$A:$Z,(5+50*((N('My Rota'!$D$6)+5)-1))+2+16,16),INDEX('2029'!$A:$Z,(5+50*((N('My Rota'!$D$6)+5)-1))+2+16,16),INDEX('2030'!$A:$Z,(5+50*((N('My Rota'!$D$6)+5)-1))+2+16,16)))</f>
        <v/>
      </c>
      <c r="Q305">
        <f>IF(OR($B305="",(N('My Rota'!$D$6)+5)&gt;53),"",""&amp;CHOOSE(IFERROR(MATCH('My Rota'!$D$5,Setup!$K$33:$K$36,0),1),INDEX('2027'!$A:$Z,(5+50*((N('My Rota'!$D$6)+5)-1))+2+16,17),INDEX('2028'!$A:$Z,(5+50*((N('My Rota'!$D$6)+5)-1))+2+16,17),INDEX('2029'!$A:$Z,(5+50*((N('My Rota'!$D$6)+5)-1))+2+16,17),INDEX('2030'!$A:$Z,(5+50*((N('My Rota'!$D$6)+5)-1))+2+16,17)))</f>
        <v/>
      </c>
      <c r="R305">
        <f>IF(OR($B305="",(N('My Rota'!$D$6)+5)&gt;53),"",""&amp;CHOOSE(IFERROR(MATCH('My Rota'!$D$5,Setup!$K$33:$K$36,0),1),INDEX('2027'!$A:$Z,(5+50*((N('My Rota'!$D$6)+5)-1))+2+16,18),INDEX('2028'!$A:$Z,(5+50*((N('My Rota'!$D$6)+5)-1))+2+16,18),INDEX('2029'!$A:$Z,(5+50*((N('My Rota'!$D$6)+5)-1))+2+16,18),INDEX('2030'!$A:$Z,(5+50*((N('My Rota'!$D$6)+5)-1))+2+16,18)))</f>
        <v/>
      </c>
      <c r="S305">
        <f>IF(OR($B305="",(N('My Rota'!$D$6)+5)&gt;53),"",""&amp;CHOOSE(IFERROR(MATCH('My Rota'!$D$5,Setup!$K$33:$K$36,0),1),INDEX('2027'!$A:$Z,(5+50*((N('My Rota'!$D$6)+5)-1))+2+16,19),INDEX('2028'!$A:$Z,(5+50*((N('My Rota'!$D$6)+5)-1))+2+16,19),INDEX('2029'!$A:$Z,(5+50*((N('My Rota'!$D$6)+5)-1))+2+16,19),INDEX('2030'!$A:$Z,(5+50*((N('My Rota'!$D$6)+5)-1))+2+16,19)))</f>
        <v/>
      </c>
      <c r="T305">
        <f>IF(OR($B305="",(N('My Rota'!$D$6)+5)&gt;53),"",""&amp;CHOOSE(IFERROR(MATCH('My Rota'!$D$5,Setup!$K$33:$K$36,0),1),INDEX('2027'!$A:$Z,(5+50*((N('My Rota'!$D$6)+5)-1))+2+16,20),INDEX('2028'!$A:$Z,(5+50*((N('My Rota'!$D$6)+5)-1))+2+16,20),INDEX('2029'!$A:$Z,(5+50*((N('My Rota'!$D$6)+5)-1))+2+16,20),INDEX('2030'!$A:$Z,(5+50*((N('My Rota'!$D$6)+5)-1))+2+16,20)))</f>
        <v/>
      </c>
      <c r="U305">
        <f>IF(OR($B305="",(N('My Rota'!$D$6)+5)&gt;53),"",""&amp;CHOOSE(IFERROR(MATCH('My Rota'!$D$5,Setup!$K$33:$K$36,0),1),INDEX('2027'!$A:$Z,(5+50*((N('My Rota'!$D$6)+5)-1))+2+16,21),INDEX('2028'!$A:$Z,(5+50*((N('My Rota'!$D$6)+5)-1))+2+16,21),INDEX('2029'!$A:$Z,(5+50*((N('My Rota'!$D$6)+5)-1))+2+16,21),INDEX('2030'!$A:$Z,(5+50*((N('My Rota'!$D$6)+5)-1))+2+16,21)))</f>
        <v/>
      </c>
      <c r="V305">
        <f>IF(OR($B305="",(N('My Rota'!$D$6)+5)&gt;53),"",""&amp;CHOOSE(IFERROR(MATCH('My Rota'!$D$5,Setup!$K$33:$K$36,0),1),INDEX('2027'!$A:$Z,(5+50*((N('My Rota'!$D$6)+5)-1))+2+16,22),INDEX('2028'!$A:$Z,(5+50*((N('My Rota'!$D$6)+5)-1))+2+16,22),INDEX('2029'!$A:$Z,(5+50*((N('My Rota'!$D$6)+5)-1))+2+16,22),INDEX('2030'!$A:$Z,(5+50*((N('My Rota'!$D$6)+5)-1))+2+16,22)))</f>
        <v/>
      </c>
      <c r="W305">
        <f>IF(OR($B305="",(N('My Rota'!$D$6)+5)&gt;53),"",""&amp;CHOOSE(IFERROR(MATCH('My Rota'!$D$5,Setup!$K$33:$K$36,0),1),INDEX('2027'!$A:$Z,(5+50*((N('My Rota'!$D$6)+5)-1))+2+16,23),INDEX('2028'!$A:$Z,(5+50*((N('My Rota'!$D$6)+5)-1))+2+16,23),INDEX('2029'!$A:$Z,(5+50*((N('My Rota'!$D$6)+5)-1))+2+16,23),INDEX('2030'!$A:$Z,(5+50*((N('My Rota'!$D$6)+5)-1))+2+16,23)))</f>
        <v/>
      </c>
      <c r="X305">
        <f>IF(OR($B305="",(N('My Rota'!$D$6)+5)&gt;53),"",""&amp;CHOOSE(IFERROR(MATCH('My Rota'!$D$5,Setup!$K$33:$K$36,0),1),INDEX('2027'!$A:$Z,(5+50*((N('My Rota'!$D$6)+5)-1))+2+16,24),INDEX('2028'!$A:$Z,(5+50*((N('My Rota'!$D$6)+5)-1))+2+16,24),INDEX('2029'!$A:$Z,(5+50*((N('My Rota'!$D$6)+5)-1))+2+16,24),INDEX('2030'!$A:$Z,(5+50*((N('My Rota'!$D$6)+5)-1))+2+16,24)))</f>
        <v/>
      </c>
      <c r="Y305">
        <f>IF(OR($B305="",(N('My Rota'!$D$6)+5)&gt;53),"",""&amp;CHOOSE(IFERROR(MATCH('My Rota'!$D$5,Setup!$K$33:$K$36,0),1),INDEX('2027'!$A:$Z,(5+50*((N('My Rota'!$D$6)+5)-1))+2+16,25),INDEX('2028'!$A:$Z,(5+50*((N('My Rota'!$D$6)+5)-1))+2+16,25),INDEX('2029'!$A:$Z,(5+50*((N('My Rota'!$D$6)+5)-1))+2+16,25),INDEX('2030'!$A:$Z,(5+50*((N('My Rota'!$D$6)+5)-1))+2+16,25)))</f>
        <v/>
      </c>
      <c r="Z305">
        <f>IF(OR($B305="",(N('My Rota'!$D$6)+5)&gt;53),"",""&amp;CHOOSE(IFERROR(MATCH('My Rota'!$D$5,Setup!$K$33:$K$36,0),1),INDEX('2027'!$A:$Z,(5+50*((N('My Rota'!$D$6)+5)-1))+2+16,26),INDEX('2028'!$A:$Z,(5+50*((N('My Rota'!$D$6)+5)-1))+2+16,26),INDEX('2029'!$A:$Z,(5+50*((N('My Rota'!$D$6)+5)-1))+2+16,26),INDEX('2030'!$A:$Z,(5+50*((N('My Rota'!$D$6)+5)-1))+2+16,26)))</f>
        <v/>
      </c>
    </row>
    <row r="306">
      <c r="A306" t="n">
        <v>6</v>
      </c>
      <c r="B306">
        <f>$B$63</f>
        <v/>
      </c>
      <c r="C306">
        <f>IF(OR($B306="",(N('My Rota'!$D$6)+5)&gt;53),"",""&amp;CHOOSE(IFERROR(MATCH('My Rota'!$D$5,Setup!$K$33:$K$36,0),1),INDEX('2027'!$A:$Z,(5+50*((N('My Rota'!$D$6)+5)-1))+2+17,3),INDEX('2028'!$A:$Z,(5+50*((N('My Rota'!$D$6)+5)-1))+2+17,3),INDEX('2029'!$A:$Z,(5+50*((N('My Rota'!$D$6)+5)-1))+2+17,3),INDEX('2030'!$A:$Z,(5+50*((N('My Rota'!$D$6)+5)-1))+2+17,3)))</f>
        <v/>
      </c>
      <c r="D306">
        <f>IF(OR($B306="",(N('My Rota'!$D$6)+5)&gt;53),"",""&amp;CHOOSE(IFERROR(MATCH('My Rota'!$D$5,Setup!$K$33:$K$36,0),1),INDEX('2027'!$A:$Z,(5+50*((N('My Rota'!$D$6)+5)-1))+2+17,4),INDEX('2028'!$A:$Z,(5+50*((N('My Rota'!$D$6)+5)-1))+2+17,4),INDEX('2029'!$A:$Z,(5+50*((N('My Rota'!$D$6)+5)-1))+2+17,4),INDEX('2030'!$A:$Z,(5+50*((N('My Rota'!$D$6)+5)-1))+2+17,4)))</f>
        <v/>
      </c>
      <c r="E306">
        <f>IF(OR($B306="",(N('My Rota'!$D$6)+5)&gt;53),"",""&amp;CHOOSE(IFERROR(MATCH('My Rota'!$D$5,Setup!$K$33:$K$36,0),1),INDEX('2027'!$A:$Z,(5+50*((N('My Rota'!$D$6)+5)-1))+2+17,5),INDEX('2028'!$A:$Z,(5+50*((N('My Rota'!$D$6)+5)-1))+2+17,5),INDEX('2029'!$A:$Z,(5+50*((N('My Rota'!$D$6)+5)-1))+2+17,5),INDEX('2030'!$A:$Z,(5+50*((N('My Rota'!$D$6)+5)-1))+2+17,5)))</f>
        <v/>
      </c>
      <c r="F306">
        <f>IF(OR($B306="",(N('My Rota'!$D$6)+5)&gt;53),"",""&amp;CHOOSE(IFERROR(MATCH('My Rota'!$D$5,Setup!$K$33:$K$36,0),1),INDEX('2027'!$A:$Z,(5+50*((N('My Rota'!$D$6)+5)-1))+2+17,6),INDEX('2028'!$A:$Z,(5+50*((N('My Rota'!$D$6)+5)-1))+2+17,6),INDEX('2029'!$A:$Z,(5+50*((N('My Rota'!$D$6)+5)-1))+2+17,6),INDEX('2030'!$A:$Z,(5+50*((N('My Rota'!$D$6)+5)-1))+2+17,6)))</f>
        <v/>
      </c>
      <c r="G306">
        <f>IF(OR($B306="",(N('My Rota'!$D$6)+5)&gt;53),"",""&amp;CHOOSE(IFERROR(MATCH('My Rota'!$D$5,Setup!$K$33:$K$36,0),1),INDEX('2027'!$A:$Z,(5+50*((N('My Rota'!$D$6)+5)-1))+2+17,7),INDEX('2028'!$A:$Z,(5+50*((N('My Rota'!$D$6)+5)-1))+2+17,7),INDEX('2029'!$A:$Z,(5+50*((N('My Rota'!$D$6)+5)-1))+2+17,7),INDEX('2030'!$A:$Z,(5+50*((N('My Rota'!$D$6)+5)-1))+2+17,7)))</f>
        <v/>
      </c>
      <c r="H306">
        <f>IF(OR($B306="",(N('My Rota'!$D$6)+5)&gt;53),"",""&amp;CHOOSE(IFERROR(MATCH('My Rota'!$D$5,Setup!$K$33:$K$36,0),1),INDEX('2027'!$A:$Z,(5+50*((N('My Rota'!$D$6)+5)-1))+2+17,8),INDEX('2028'!$A:$Z,(5+50*((N('My Rota'!$D$6)+5)-1))+2+17,8),INDEX('2029'!$A:$Z,(5+50*((N('My Rota'!$D$6)+5)-1))+2+17,8),INDEX('2030'!$A:$Z,(5+50*((N('My Rota'!$D$6)+5)-1))+2+17,8)))</f>
        <v/>
      </c>
      <c r="I306">
        <f>IF(OR($B306="",(N('My Rota'!$D$6)+5)&gt;53),"",""&amp;CHOOSE(IFERROR(MATCH('My Rota'!$D$5,Setup!$K$33:$K$36,0),1),INDEX('2027'!$A:$Z,(5+50*((N('My Rota'!$D$6)+5)-1))+2+17,9),INDEX('2028'!$A:$Z,(5+50*((N('My Rota'!$D$6)+5)-1))+2+17,9),INDEX('2029'!$A:$Z,(5+50*((N('My Rota'!$D$6)+5)-1))+2+17,9),INDEX('2030'!$A:$Z,(5+50*((N('My Rota'!$D$6)+5)-1))+2+17,9)))</f>
        <v/>
      </c>
      <c r="J306">
        <f>IF(OR($B306="",(N('My Rota'!$D$6)+5)&gt;53),"",""&amp;CHOOSE(IFERROR(MATCH('My Rota'!$D$5,Setup!$K$33:$K$36,0),1),INDEX('2027'!$A:$Z,(5+50*((N('My Rota'!$D$6)+5)-1))+2+17,10),INDEX('2028'!$A:$Z,(5+50*((N('My Rota'!$D$6)+5)-1))+2+17,10),INDEX('2029'!$A:$Z,(5+50*((N('My Rota'!$D$6)+5)-1))+2+17,10),INDEX('2030'!$A:$Z,(5+50*((N('My Rota'!$D$6)+5)-1))+2+17,10)))</f>
        <v/>
      </c>
      <c r="K306">
        <f>IF(OR($B306="",(N('My Rota'!$D$6)+5)&gt;53),"",""&amp;CHOOSE(IFERROR(MATCH('My Rota'!$D$5,Setup!$K$33:$K$36,0),1),INDEX('2027'!$A:$Z,(5+50*((N('My Rota'!$D$6)+5)-1))+2+17,11),INDEX('2028'!$A:$Z,(5+50*((N('My Rota'!$D$6)+5)-1))+2+17,11),INDEX('2029'!$A:$Z,(5+50*((N('My Rota'!$D$6)+5)-1))+2+17,11),INDEX('2030'!$A:$Z,(5+50*((N('My Rota'!$D$6)+5)-1))+2+17,11)))</f>
        <v/>
      </c>
      <c r="L306">
        <f>IF(OR($B306="",(N('My Rota'!$D$6)+5)&gt;53),"",""&amp;CHOOSE(IFERROR(MATCH('My Rota'!$D$5,Setup!$K$33:$K$36,0),1),INDEX('2027'!$A:$Z,(5+50*((N('My Rota'!$D$6)+5)-1))+2+17,12),INDEX('2028'!$A:$Z,(5+50*((N('My Rota'!$D$6)+5)-1))+2+17,12),INDEX('2029'!$A:$Z,(5+50*((N('My Rota'!$D$6)+5)-1))+2+17,12),INDEX('2030'!$A:$Z,(5+50*((N('My Rota'!$D$6)+5)-1))+2+17,12)))</f>
        <v/>
      </c>
      <c r="M306">
        <f>IF(OR($B306="",(N('My Rota'!$D$6)+5)&gt;53),"",""&amp;CHOOSE(IFERROR(MATCH('My Rota'!$D$5,Setup!$K$33:$K$36,0),1),INDEX('2027'!$A:$Z,(5+50*((N('My Rota'!$D$6)+5)-1))+2+17,13),INDEX('2028'!$A:$Z,(5+50*((N('My Rota'!$D$6)+5)-1))+2+17,13),INDEX('2029'!$A:$Z,(5+50*((N('My Rota'!$D$6)+5)-1))+2+17,13),INDEX('2030'!$A:$Z,(5+50*((N('My Rota'!$D$6)+5)-1))+2+17,13)))</f>
        <v/>
      </c>
      <c r="N306">
        <f>IF(OR($B306="",(N('My Rota'!$D$6)+5)&gt;53),"",""&amp;CHOOSE(IFERROR(MATCH('My Rota'!$D$5,Setup!$K$33:$K$36,0),1),INDEX('2027'!$A:$Z,(5+50*((N('My Rota'!$D$6)+5)-1))+2+17,14),INDEX('2028'!$A:$Z,(5+50*((N('My Rota'!$D$6)+5)-1))+2+17,14),INDEX('2029'!$A:$Z,(5+50*((N('My Rota'!$D$6)+5)-1))+2+17,14),INDEX('2030'!$A:$Z,(5+50*((N('My Rota'!$D$6)+5)-1))+2+17,14)))</f>
        <v/>
      </c>
      <c r="O306">
        <f>IF(OR($B306="",(N('My Rota'!$D$6)+5)&gt;53),"",""&amp;CHOOSE(IFERROR(MATCH('My Rota'!$D$5,Setup!$K$33:$K$36,0),1),INDEX('2027'!$A:$Z,(5+50*((N('My Rota'!$D$6)+5)-1))+2+17,15),INDEX('2028'!$A:$Z,(5+50*((N('My Rota'!$D$6)+5)-1))+2+17,15),INDEX('2029'!$A:$Z,(5+50*((N('My Rota'!$D$6)+5)-1))+2+17,15),INDEX('2030'!$A:$Z,(5+50*((N('My Rota'!$D$6)+5)-1))+2+17,15)))</f>
        <v/>
      </c>
      <c r="P306">
        <f>IF(OR($B306="",(N('My Rota'!$D$6)+5)&gt;53),"",""&amp;CHOOSE(IFERROR(MATCH('My Rota'!$D$5,Setup!$K$33:$K$36,0),1),INDEX('2027'!$A:$Z,(5+50*((N('My Rota'!$D$6)+5)-1))+2+17,16),INDEX('2028'!$A:$Z,(5+50*((N('My Rota'!$D$6)+5)-1))+2+17,16),INDEX('2029'!$A:$Z,(5+50*((N('My Rota'!$D$6)+5)-1))+2+17,16),INDEX('2030'!$A:$Z,(5+50*((N('My Rota'!$D$6)+5)-1))+2+17,16)))</f>
        <v/>
      </c>
      <c r="Q306">
        <f>IF(OR($B306="",(N('My Rota'!$D$6)+5)&gt;53),"",""&amp;CHOOSE(IFERROR(MATCH('My Rota'!$D$5,Setup!$K$33:$K$36,0),1),INDEX('2027'!$A:$Z,(5+50*((N('My Rota'!$D$6)+5)-1))+2+17,17),INDEX('2028'!$A:$Z,(5+50*((N('My Rota'!$D$6)+5)-1))+2+17,17),INDEX('2029'!$A:$Z,(5+50*((N('My Rota'!$D$6)+5)-1))+2+17,17),INDEX('2030'!$A:$Z,(5+50*((N('My Rota'!$D$6)+5)-1))+2+17,17)))</f>
        <v/>
      </c>
      <c r="R306">
        <f>IF(OR($B306="",(N('My Rota'!$D$6)+5)&gt;53),"",""&amp;CHOOSE(IFERROR(MATCH('My Rota'!$D$5,Setup!$K$33:$K$36,0),1),INDEX('2027'!$A:$Z,(5+50*((N('My Rota'!$D$6)+5)-1))+2+17,18),INDEX('2028'!$A:$Z,(5+50*((N('My Rota'!$D$6)+5)-1))+2+17,18),INDEX('2029'!$A:$Z,(5+50*((N('My Rota'!$D$6)+5)-1))+2+17,18),INDEX('2030'!$A:$Z,(5+50*((N('My Rota'!$D$6)+5)-1))+2+17,18)))</f>
        <v/>
      </c>
      <c r="S306">
        <f>IF(OR($B306="",(N('My Rota'!$D$6)+5)&gt;53),"",""&amp;CHOOSE(IFERROR(MATCH('My Rota'!$D$5,Setup!$K$33:$K$36,0),1),INDEX('2027'!$A:$Z,(5+50*((N('My Rota'!$D$6)+5)-1))+2+17,19),INDEX('2028'!$A:$Z,(5+50*((N('My Rota'!$D$6)+5)-1))+2+17,19),INDEX('2029'!$A:$Z,(5+50*((N('My Rota'!$D$6)+5)-1))+2+17,19),INDEX('2030'!$A:$Z,(5+50*((N('My Rota'!$D$6)+5)-1))+2+17,19)))</f>
        <v/>
      </c>
      <c r="T306">
        <f>IF(OR($B306="",(N('My Rota'!$D$6)+5)&gt;53),"",""&amp;CHOOSE(IFERROR(MATCH('My Rota'!$D$5,Setup!$K$33:$K$36,0),1),INDEX('2027'!$A:$Z,(5+50*((N('My Rota'!$D$6)+5)-1))+2+17,20),INDEX('2028'!$A:$Z,(5+50*((N('My Rota'!$D$6)+5)-1))+2+17,20),INDEX('2029'!$A:$Z,(5+50*((N('My Rota'!$D$6)+5)-1))+2+17,20),INDEX('2030'!$A:$Z,(5+50*((N('My Rota'!$D$6)+5)-1))+2+17,20)))</f>
        <v/>
      </c>
      <c r="U306">
        <f>IF(OR($B306="",(N('My Rota'!$D$6)+5)&gt;53),"",""&amp;CHOOSE(IFERROR(MATCH('My Rota'!$D$5,Setup!$K$33:$K$36,0),1),INDEX('2027'!$A:$Z,(5+50*((N('My Rota'!$D$6)+5)-1))+2+17,21),INDEX('2028'!$A:$Z,(5+50*((N('My Rota'!$D$6)+5)-1))+2+17,21),INDEX('2029'!$A:$Z,(5+50*((N('My Rota'!$D$6)+5)-1))+2+17,21),INDEX('2030'!$A:$Z,(5+50*((N('My Rota'!$D$6)+5)-1))+2+17,21)))</f>
        <v/>
      </c>
      <c r="V306">
        <f>IF(OR($B306="",(N('My Rota'!$D$6)+5)&gt;53),"",""&amp;CHOOSE(IFERROR(MATCH('My Rota'!$D$5,Setup!$K$33:$K$36,0),1),INDEX('2027'!$A:$Z,(5+50*((N('My Rota'!$D$6)+5)-1))+2+17,22),INDEX('2028'!$A:$Z,(5+50*((N('My Rota'!$D$6)+5)-1))+2+17,22),INDEX('2029'!$A:$Z,(5+50*((N('My Rota'!$D$6)+5)-1))+2+17,22),INDEX('2030'!$A:$Z,(5+50*((N('My Rota'!$D$6)+5)-1))+2+17,22)))</f>
        <v/>
      </c>
      <c r="W306">
        <f>IF(OR($B306="",(N('My Rota'!$D$6)+5)&gt;53),"",""&amp;CHOOSE(IFERROR(MATCH('My Rota'!$D$5,Setup!$K$33:$K$36,0),1),INDEX('2027'!$A:$Z,(5+50*((N('My Rota'!$D$6)+5)-1))+2+17,23),INDEX('2028'!$A:$Z,(5+50*((N('My Rota'!$D$6)+5)-1))+2+17,23),INDEX('2029'!$A:$Z,(5+50*((N('My Rota'!$D$6)+5)-1))+2+17,23),INDEX('2030'!$A:$Z,(5+50*((N('My Rota'!$D$6)+5)-1))+2+17,23)))</f>
        <v/>
      </c>
      <c r="X306">
        <f>IF(OR($B306="",(N('My Rota'!$D$6)+5)&gt;53),"",""&amp;CHOOSE(IFERROR(MATCH('My Rota'!$D$5,Setup!$K$33:$K$36,0),1),INDEX('2027'!$A:$Z,(5+50*((N('My Rota'!$D$6)+5)-1))+2+17,24),INDEX('2028'!$A:$Z,(5+50*((N('My Rota'!$D$6)+5)-1))+2+17,24),INDEX('2029'!$A:$Z,(5+50*((N('My Rota'!$D$6)+5)-1))+2+17,24),INDEX('2030'!$A:$Z,(5+50*((N('My Rota'!$D$6)+5)-1))+2+17,24)))</f>
        <v/>
      </c>
      <c r="Y306">
        <f>IF(OR($B306="",(N('My Rota'!$D$6)+5)&gt;53),"",""&amp;CHOOSE(IFERROR(MATCH('My Rota'!$D$5,Setup!$K$33:$K$36,0),1),INDEX('2027'!$A:$Z,(5+50*((N('My Rota'!$D$6)+5)-1))+2+17,25),INDEX('2028'!$A:$Z,(5+50*((N('My Rota'!$D$6)+5)-1))+2+17,25),INDEX('2029'!$A:$Z,(5+50*((N('My Rota'!$D$6)+5)-1))+2+17,25),INDEX('2030'!$A:$Z,(5+50*((N('My Rota'!$D$6)+5)-1))+2+17,25)))</f>
        <v/>
      </c>
      <c r="Z306">
        <f>IF(OR($B306="",(N('My Rota'!$D$6)+5)&gt;53),"",""&amp;CHOOSE(IFERROR(MATCH('My Rota'!$D$5,Setup!$K$33:$K$36,0),1),INDEX('2027'!$A:$Z,(5+50*((N('My Rota'!$D$6)+5)-1))+2+17,26),INDEX('2028'!$A:$Z,(5+50*((N('My Rota'!$D$6)+5)-1))+2+17,26),INDEX('2029'!$A:$Z,(5+50*((N('My Rota'!$D$6)+5)-1))+2+17,26),INDEX('2030'!$A:$Z,(5+50*((N('My Rota'!$D$6)+5)-1))+2+17,26)))</f>
        <v/>
      </c>
    </row>
    <row r="307">
      <c r="A307" t="n">
        <v>6</v>
      </c>
      <c r="B307">
        <f>$B$64</f>
        <v/>
      </c>
      <c r="C307">
        <f>IF(OR($B307="",(N('My Rota'!$D$6)+5)&gt;53),"",""&amp;CHOOSE(IFERROR(MATCH('My Rota'!$D$5,Setup!$K$33:$K$36,0),1),INDEX('2027'!$A:$Z,(5+50*((N('My Rota'!$D$6)+5)-1))+2+18,3),INDEX('2028'!$A:$Z,(5+50*((N('My Rota'!$D$6)+5)-1))+2+18,3),INDEX('2029'!$A:$Z,(5+50*((N('My Rota'!$D$6)+5)-1))+2+18,3),INDEX('2030'!$A:$Z,(5+50*((N('My Rota'!$D$6)+5)-1))+2+18,3)))</f>
        <v/>
      </c>
      <c r="D307">
        <f>IF(OR($B307="",(N('My Rota'!$D$6)+5)&gt;53),"",""&amp;CHOOSE(IFERROR(MATCH('My Rota'!$D$5,Setup!$K$33:$K$36,0),1),INDEX('2027'!$A:$Z,(5+50*((N('My Rota'!$D$6)+5)-1))+2+18,4),INDEX('2028'!$A:$Z,(5+50*((N('My Rota'!$D$6)+5)-1))+2+18,4),INDEX('2029'!$A:$Z,(5+50*((N('My Rota'!$D$6)+5)-1))+2+18,4),INDEX('2030'!$A:$Z,(5+50*((N('My Rota'!$D$6)+5)-1))+2+18,4)))</f>
        <v/>
      </c>
      <c r="E307">
        <f>IF(OR($B307="",(N('My Rota'!$D$6)+5)&gt;53),"",""&amp;CHOOSE(IFERROR(MATCH('My Rota'!$D$5,Setup!$K$33:$K$36,0),1),INDEX('2027'!$A:$Z,(5+50*((N('My Rota'!$D$6)+5)-1))+2+18,5),INDEX('2028'!$A:$Z,(5+50*((N('My Rota'!$D$6)+5)-1))+2+18,5),INDEX('2029'!$A:$Z,(5+50*((N('My Rota'!$D$6)+5)-1))+2+18,5),INDEX('2030'!$A:$Z,(5+50*((N('My Rota'!$D$6)+5)-1))+2+18,5)))</f>
        <v/>
      </c>
      <c r="F307">
        <f>IF(OR($B307="",(N('My Rota'!$D$6)+5)&gt;53),"",""&amp;CHOOSE(IFERROR(MATCH('My Rota'!$D$5,Setup!$K$33:$K$36,0),1),INDEX('2027'!$A:$Z,(5+50*((N('My Rota'!$D$6)+5)-1))+2+18,6),INDEX('2028'!$A:$Z,(5+50*((N('My Rota'!$D$6)+5)-1))+2+18,6),INDEX('2029'!$A:$Z,(5+50*((N('My Rota'!$D$6)+5)-1))+2+18,6),INDEX('2030'!$A:$Z,(5+50*((N('My Rota'!$D$6)+5)-1))+2+18,6)))</f>
        <v/>
      </c>
      <c r="G307">
        <f>IF(OR($B307="",(N('My Rota'!$D$6)+5)&gt;53),"",""&amp;CHOOSE(IFERROR(MATCH('My Rota'!$D$5,Setup!$K$33:$K$36,0),1),INDEX('2027'!$A:$Z,(5+50*((N('My Rota'!$D$6)+5)-1))+2+18,7),INDEX('2028'!$A:$Z,(5+50*((N('My Rota'!$D$6)+5)-1))+2+18,7),INDEX('2029'!$A:$Z,(5+50*((N('My Rota'!$D$6)+5)-1))+2+18,7),INDEX('2030'!$A:$Z,(5+50*((N('My Rota'!$D$6)+5)-1))+2+18,7)))</f>
        <v/>
      </c>
      <c r="H307">
        <f>IF(OR($B307="",(N('My Rota'!$D$6)+5)&gt;53),"",""&amp;CHOOSE(IFERROR(MATCH('My Rota'!$D$5,Setup!$K$33:$K$36,0),1),INDEX('2027'!$A:$Z,(5+50*((N('My Rota'!$D$6)+5)-1))+2+18,8),INDEX('2028'!$A:$Z,(5+50*((N('My Rota'!$D$6)+5)-1))+2+18,8),INDEX('2029'!$A:$Z,(5+50*((N('My Rota'!$D$6)+5)-1))+2+18,8),INDEX('2030'!$A:$Z,(5+50*((N('My Rota'!$D$6)+5)-1))+2+18,8)))</f>
        <v/>
      </c>
      <c r="I307">
        <f>IF(OR($B307="",(N('My Rota'!$D$6)+5)&gt;53),"",""&amp;CHOOSE(IFERROR(MATCH('My Rota'!$D$5,Setup!$K$33:$K$36,0),1),INDEX('2027'!$A:$Z,(5+50*((N('My Rota'!$D$6)+5)-1))+2+18,9),INDEX('2028'!$A:$Z,(5+50*((N('My Rota'!$D$6)+5)-1))+2+18,9),INDEX('2029'!$A:$Z,(5+50*((N('My Rota'!$D$6)+5)-1))+2+18,9),INDEX('2030'!$A:$Z,(5+50*((N('My Rota'!$D$6)+5)-1))+2+18,9)))</f>
        <v/>
      </c>
      <c r="J307">
        <f>IF(OR($B307="",(N('My Rota'!$D$6)+5)&gt;53),"",""&amp;CHOOSE(IFERROR(MATCH('My Rota'!$D$5,Setup!$K$33:$K$36,0),1),INDEX('2027'!$A:$Z,(5+50*((N('My Rota'!$D$6)+5)-1))+2+18,10),INDEX('2028'!$A:$Z,(5+50*((N('My Rota'!$D$6)+5)-1))+2+18,10),INDEX('2029'!$A:$Z,(5+50*((N('My Rota'!$D$6)+5)-1))+2+18,10),INDEX('2030'!$A:$Z,(5+50*((N('My Rota'!$D$6)+5)-1))+2+18,10)))</f>
        <v/>
      </c>
      <c r="K307">
        <f>IF(OR($B307="",(N('My Rota'!$D$6)+5)&gt;53),"",""&amp;CHOOSE(IFERROR(MATCH('My Rota'!$D$5,Setup!$K$33:$K$36,0),1),INDEX('2027'!$A:$Z,(5+50*((N('My Rota'!$D$6)+5)-1))+2+18,11),INDEX('2028'!$A:$Z,(5+50*((N('My Rota'!$D$6)+5)-1))+2+18,11),INDEX('2029'!$A:$Z,(5+50*((N('My Rota'!$D$6)+5)-1))+2+18,11),INDEX('2030'!$A:$Z,(5+50*((N('My Rota'!$D$6)+5)-1))+2+18,11)))</f>
        <v/>
      </c>
      <c r="L307">
        <f>IF(OR($B307="",(N('My Rota'!$D$6)+5)&gt;53),"",""&amp;CHOOSE(IFERROR(MATCH('My Rota'!$D$5,Setup!$K$33:$K$36,0),1),INDEX('2027'!$A:$Z,(5+50*((N('My Rota'!$D$6)+5)-1))+2+18,12),INDEX('2028'!$A:$Z,(5+50*((N('My Rota'!$D$6)+5)-1))+2+18,12),INDEX('2029'!$A:$Z,(5+50*((N('My Rota'!$D$6)+5)-1))+2+18,12),INDEX('2030'!$A:$Z,(5+50*((N('My Rota'!$D$6)+5)-1))+2+18,12)))</f>
        <v/>
      </c>
      <c r="M307">
        <f>IF(OR($B307="",(N('My Rota'!$D$6)+5)&gt;53),"",""&amp;CHOOSE(IFERROR(MATCH('My Rota'!$D$5,Setup!$K$33:$K$36,0),1),INDEX('2027'!$A:$Z,(5+50*((N('My Rota'!$D$6)+5)-1))+2+18,13),INDEX('2028'!$A:$Z,(5+50*((N('My Rota'!$D$6)+5)-1))+2+18,13),INDEX('2029'!$A:$Z,(5+50*((N('My Rota'!$D$6)+5)-1))+2+18,13),INDEX('2030'!$A:$Z,(5+50*((N('My Rota'!$D$6)+5)-1))+2+18,13)))</f>
        <v/>
      </c>
      <c r="N307">
        <f>IF(OR($B307="",(N('My Rota'!$D$6)+5)&gt;53),"",""&amp;CHOOSE(IFERROR(MATCH('My Rota'!$D$5,Setup!$K$33:$K$36,0),1),INDEX('2027'!$A:$Z,(5+50*((N('My Rota'!$D$6)+5)-1))+2+18,14),INDEX('2028'!$A:$Z,(5+50*((N('My Rota'!$D$6)+5)-1))+2+18,14),INDEX('2029'!$A:$Z,(5+50*((N('My Rota'!$D$6)+5)-1))+2+18,14),INDEX('2030'!$A:$Z,(5+50*((N('My Rota'!$D$6)+5)-1))+2+18,14)))</f>
        <v/>
      </c>
      <c r="O307">
        <f>IF(OR($B307="",(N('My Rota'!$D$6)+5)&gt;53),"",""&amp;CHOOSE(IFERROR(MATCH('My Rota'!$D$5,Setup!$K$33:$K$36,0),1),INDEX('2027'!$A:$Z,(5+50*((N('My Rota'!$D$6)+5)-1))+2+18,15),INDEX('2028'!$A:$Z,(5+50*((N('My Rota'!$D$6)+5)-1))+2+18,15),INDEX('2029'!$A:$Z,(5+50*((N('My Rota'!$D$6)+5)-1))+2+18,15),INDEX('2030'!$A:$Z,(5+50*((N('My Rota'!$D$6)+5)-1))+2+18,15)))</f>
        <v/>
      </c>
      <c r="P307">
        <f>IF(OR($B307="",(N('My Rota'!$D$6)+5)&gt;53),"",""&amp;CHOOSE(IFERROR(MATCH('My Rota'!$D$5,Setup!$K$33:$K$36,0),1),INDEX('2027'!$A:$Z,(5+50*((N('My Rota'!$D$6)+5)-1))+2+18,16),INDEX('2028'!$A:$Z,(5+50*((N('My Rota'!$D$6)+5)-1))+2+18,16),INDEX('2029'!$A:$Z,(5+50*((N('My Rota'!$D$6)+5)-1))+2+18,16),INDEX('2030'!$A:$Z,(5+50*((N('My Rota'!$D$6)+5)-1))+2+18,16)))</f>
        <v/>
      </c>
      <c r="Q307">
        <f>IF(OR($B307="",(N('My Rota'!$D$6)+5)&gt;53),"",""&amp;CHOOSE(IFERROR(MATCH('My Rota'!$D$5,Setup!$K$33:$K$36,0),1),INDEX('2027'!$A:$Z,(5+50*((N('My Rota'!$D$6)+5)-1))+2+18,17),INDEX('2028'!$A:$Z,(5+50*((N('My Rota'!$D$6)+5)-1))+2+18,17),INDEX('2029'!$A:$Z,(5+50*((N('My Rota'!$D$6)+5)-1))+2+18,17),INDEX('2030'!$A:$Z,(5+50*((N('My Rota'!$D$6)+5)-1))+2+18,17)))</f>
        <v/>
      </c>
      <c r="R307">
        <f>IF(OR($B307="",(N('My Rota'!$D$6)+5)&gt;53),"",""&amp;CHOOSE(IFERROR(MATCH('My Rota'!$D$5,Setup!$K$33:$K$36,0),1),INDEX('2027'!$A:$Z,(5+50*((N('My Rota'!$D$6)+5)-1))+2+18,18),INDEX('2028'!$A:$Z,(5+50*((N('My Rota'!$D$6)+5)-1))+2+18,18),INDEX('2029'!$A:$Z,(5+50*((N('My Rota'!$D$6)+5)-1))+2+18,18),INDEX('2030'!$A:$Z,(5+50*((N('My Rota'!$D$6)+5)-1))+2+18,18)))</f>
        <v/>
      </c>
      <c r="S307">
        <f>IF(OR($B307="",(N('My Rota'!$D$6)+5)&gt;53),"",""&amp;CHOOSE(IFERROR(MATCH('My Rota'!$D$5,Setup!$K$33:$K$36,0),1),INDEX('2027'!$A:$Z,(5+50*((N('My Rota'!$D$6)+5)-1))+2+18,19),INDEX('2028'!$A:$Z,(5+50*((N('My Rota'!$D$6)+5)-1))+2+18,19),INDEX('2029'!$A:$Z,(5+50*((N('My Rota'!$D$6)+5)-1))+2+18,19),INDEX('2030'!$A:$Z,(5+50*((N('My Rota'!$D$6)+5)-1))+2+18,19)))</f>
        <v/>
      </c>
      <c r="T307">
        <f>IF(OR($B307="",(N('My Rota'!$D$6)+5)&gt;53),"",""&amp;CHOOSE(IFERROR(MATCH('My Rota'!$D$5,Setup!$K$33:$K$36,0),1),INDEX('2027'!$A:$Z,(5+50*((N('My Rota'!$D$6)+5)-1))+2+18,20),INDEX('2028'!$A:$Z,(5+50*((N('My Rota'!$D$6)+5)-1))+2+18,20),INDEX('2029'!$A:$Z,(5+50*((N('My Rota'!$D$6)+5)-1))+2+18,20),INDEX('2030'!$A:$Z,(5+50*((N('My Rota'!$D$6)+5)-1))+2+18,20)))</f>
        <v/>
      </c>
      <c r="U307">
        <f>IF(OR($B307="",(N('My Rota'!$D$6)+5)&gt;53),"",""&amp;CHOOSE(IFERROR(MATCH('My Rota'!$D$5,Setup!$K$33:$K$36,0),1),INDEX('2027'!$A:$Z,(5+50*((N('My Rota'!$D$6)+5)-1))+2+18,21),INDEX('2028'!$A:$Z,(5+50*((N('My Rota'!$D$6)+5)-1))+2+18,21),INDEX('2029'!$A:$Z,(5+50*((N('My Rota'!$D$6)+5)-1))+2+18,21),INDEX('2030'!$A:$Z,(5+50*((N('My Rota'!$D$6)+5)-1))+2+18,21)))</f>
        <v/>
      </c>
      <c r="V307">
        <f>IF(OR($B307="",(N('My Rota'!$D$6)+5)&gt;53),"",""&amp;CHOOSE(IFERROR(MATCH('My Rota'!$D$5,Setup!$K$33:$K$36,0),1),INDEX('2027'!$A:$Z,(5+50*((N('My Rota'!$D$6)+5)-1))+2+18,22),INDEX('2028'!$A:$Z,(5+50*((N('My Rota'!$D$6)+5)-1))+2+18,22),INDEX('2029'!$A:$Z,(5+50*((N('My Rota'!$D$6)+5)-1))+2+18,22),INDEX('2030'!$A:$Z,(5+50*((N('My Rota'!$D$6)+5)-1))+2+18,22)))</f>
        <v/>
      </c>
      <c r="W307">
        <f>IF(OR($B307="",(N('My Rota'!$D$6)+5)&gt;53),"",""&amp;CHOOSE(IFERROR(MATCH('My Rota'!$D$5,Setup!$K$33:$K$36,0),1),INDEX('2027'!$A:$Z,(5+50*((N('My Rota'!$D$6)+5)-1))+2+18,23),INDEX('2028'!$A:$Z,(5+50*((N('My Rota'!$D$6)+5)-1))+2+18,23),INDEX('2029'!$A:$Z,(5+50*((N('My Rota'!$D$6)+5)-1))+2+18,23),INDEX('2030'!$A:$Z,(5+50*((N('My Rota'!$D$6)+5)-1))+2+18,23)))</f>
        <v/>
      </c>
      <c r="X307">
        <f>IF(OR($B307="",(N('My Rota'!$D$6)+5)&gt;53),"",""&amp;CHOOSE(IFERROR(MATCH('My Rota'!$D$5,Setup!$K$33:$K$36,0),1),INDEX('2027'!$A:$Z,(5+50*((N('My Rota'!$D$6)+5)-1))+2+18,24),INDEX('2028'!$A:$Z,(5+50*((N('My Rota'!$D$6)+5)-1))+2+18,24),INDEX('2029'!$A:$Z,(5+50*((N('My Rota'!$D$6)+5)-1))+2+18,24),INDEX('2030'!$A:$Z,(5+50*((N('My Rota'!$D$6)+5)-1))+2+18,24)))</f>
        <v/>
      </c>
      <c r="Y307">
        <f>IF(OR($B307="",(N('My Rota'!$D$6)+5)&gt;53),"",""&amp;CHOOSE(IFERROR(MATCH('My Rota'!$D$5,Setup!$K$33:$K$36,0),1),INDEX('2027'!$A:$Z,(5+50*((N('My Rota'!$D$6)+5)-1))+2+18,25),INDEX('2028'!$A:$Z,(5+50*((N('My Rota'!$D$6)+5)-1))+2+18,25),INDEX('2029'!$A:$Z,(5+50*((N('My Rota'!$D$6)+5)-1))+2+18,25),INDEX('2030'!$A:$Z,(5+50*((N('My Rota'!$D$6)+5)-1))+2+18,25)))</f>
        <v/>
      </c>
      <c r="Z307">
        <f>IF(OR($B307="",(N('My Rota'!$D$6)+5)&gt;53),"",""&amp;CHOOSE(IFERROR(MATCH('My Rota'!$D$5,Setup!$K$33:$K$36,0),1),INDEX('2027'!$A:$Z,(5+50*((N('My Rota'!$D$6)+5)-1))+2+18,26),INDEX('2028'!$A:$Z,(5+50*((N('My Rota'!$D$6)+5)-1))+2+18,26),INDEX('2029'!$A:$Z,(5+50*((N('My Rota'!$D$6)+5)-1))+2+18,26),INDEX('2030'!$A:$Z,(5+50*((N('My Rota'!$D$6)+5)-1))+2+18,26)))</f>
        <v/>
      </c>
    </row>
    <row r="312">
      <c r="A312" t="n">
        <v>1</v>
      </c>
      <c r="B312" t="inlineStr">
        <is>
          <t>person status</t>
        </is>
      </c>
      <c r="C312" s="180">
        <f>IF((N('My Rota'!$D$6)+0)&gt;53,"",INDEX(Setup!$L$33:$L$36,IFERROR(MATCH('My Rota'!$D$5,Setup!$K$33:$K$36,0),1))+7*((N('My Rota'!$D$6)+0)-1))</f>
        <v/>
      </c>
      <c r="D312">
        <f>IF(OR('My Rota'!$D$4="",(N('My Rota'!$D$6)+0)&gt;53),"",""&amp;CHOOSE(IFERROR(MATCH('My Rota'!$D$5,Setup!$K$33:$K$36,0),1),INDEX('2027'!$A:$Z,(5+50*((N('My Rota'!$D$6)+0)-1))+21+IFERROR(MATCH('My Rota'!$D$4,Setup!$B$6:$B$29,0),1),3),INDEX('2028'!$A:$Z,(5+50*((N('My Rota'!$D$6)+0)-1))+21+IFERROR(MATCH('My Rota'!$D$4,Setup!$B$6:$B$29,0),1),3),INDEX('2029'!$A:$Z,(5+50*((N('My Rota'!$D$6)+0)-1))+21+IFERROR(MATCH('My Rota'!$D$4,Setup!$B$6:$B$29,0),1),3),INDEX('2030'!$A:$Z,(5+50*((N('My Rota'!$D$6)+0)-1))+21+IFERROR(MATCH('My Rota'!$D$4,Setup!$B$6:$B$29,0),1),3)))</f>
        <v/>
      </c>
      <c r="E312">
        <f>IF(OR('My Rota'!$D$4="",(N('My Rota'!$D$6)+0)&gt;53),"",""&amp;CHOOSE(IFERROR(MATCH('My Rota'!$D$5,Setup!$K$33:$K$36,0),1),INDEX('2027'!$A:$Z,(5+50*((N('My Rota'!$D$6)+0)-1))+21+IFERROR(MATCH('My Rota'!$D$4,Setup!$B$6:$B$29,0),1),7),INDEX('2028'!$A:$Z,(5+50*((N('My Rota'!$D$6)+0)-1))+21+IFERROR(MATCH('My Rota'!$D$4,Setup!$B$6:$B$29,0),1),7),INDEX('2029'!$A:$Z,(5+50*((N('My Rota'!$D$6)+0)-1))+21+IFERROR(MATCH('My Rota'!$D$4,Setup!$B$6:$B$29,0),1),7),INDEX('2030'!$A:$Z,(5+50*((N('My Rota'!$D$6)+0)-1))+21+IFERROR(MATCH('My Rota'!$D$4,Setup!$B$6:$B$29,0),1),7)))</f>
        <v/>
      </c>
      <c r="F312">
        <f>IF(OR('My Rota'!$D$4="",(N('My Rota'!$D$6)+0)&gt;53),"",""&amp;CHOOSE(IFERROR(MATCH('My Rota'!$D$5,Setup!$K$33:$K$36,0),1),INDEX('2027'!$A:$Z,(5+50*((N('My Rota'!$D$6)+0)-1))+21+IFERROR(MATCH('My Rota'!$D$4,Setup!$B$6:$B$29,0),1),11),INDEX('2028'!$A:$Z,(5+50*((N('My Rota'!$D$6)+0)-1))+21+IFERROR(MATCH('My Rota'!$D$4,Setup!$B$6:$B$29,0),1),11),INDEX('2029'!$A:$Z,(5+50*((N('My Rota'!$D$6)+0)-1))+21+IFERROR(MATCH('My Rota'!$D$4,Setup!$B$6:$B$29,0),1),11),INDEX('2030'!$A:$Z,(5+50*((N('My Rota'!$D$6)+0)-1))+21+IFERROR(MATCH('My Rota'!$D$4,Setup!$B$6:$B$29,0),1),11)))</f>
        <v/>
      </c>
      <c r="G312">
        <f>IF(OR('My Rota'!$D$4="",(N('My Rota'!$D$6)+0)&gt;53),"",""&amp;CHOOSE(IFERROR(MATCH('My Rota'!$D$5,Setup!$K$33:$K$36,0),1),INDEX('2027'!$A:$Z,(5+50*((N('My Rota'!$D$6)+0)-1))+21+IFERROR(MATCH('My Rota'!$D$4,Setup!$B$6:$B$29,0),1),15),INDEX('2028'!$A:$Z,(5+50*((N('My Rota'!$D$6)+0)-1))+21+IFERROR(MATCH('My Rota'!$D$4,Setup!$B$6:$B$29,0),1),15),INDEX('2029'!$A:$Z,(5+50*((N('My Rota'!$D$6)+0)-1))+21+IFERROR(MATCH('My Rota'!$D$4,Setup!$B$6:$B$29,0),1),15),INDEX('2030'!$A:$Z,(5+50*((N('My Rota'!$D$6)+0)-1))+21+IFERROR(MATCH('My Rota'!$D$4,Setup!$B$6:$B$29,0),1),15)))</f>
        <v/>
      </c>
      <c r="H312">
        <f>IF(OR('My Rota'!$D$4="",(N('My Rota'!$D$6)+0)&gt;53),"",""&amp;CHOOSE(IFERROR(MATCH('My Rota'!$D$5,Setup!$K$33:$K$36,0),1),INDEX('2027'!$A:$Z,(5+50*((N('My Rota'!$D$6)+0)-1))+21+IFERROR(MATCH('My Rota'!$D$4,Setup!$B$6:$B$29,0),1),19),INDEX('2028'!$A:$Z,(5+50*((N('My Rota'!$D$6)+0)-1))+21+IFERROR(MATCH('My Rota'!$D$4,Setup!$B$6:$B$29,0),1),19),INDEX('2029'!$A:$Z,(5+50*((N('My Rota'!$D$6)+0)-1))+21+IFERROR(MATCH('My Rota'!$D$4,Setup!$B$6:$B$29,0),1),19),INDEX('2030'!$A:$Z,(5+50*((N('My Rota'!$D$6)+0)-1))+21+IFERROR(MATCH('My Rota'!$D$4,Setup!$B$6:$B$29,0),1),19)))</f>
        <v/>
      </c>
      <c r="I312">
        <f>IF(OR('My Rota'!$D$4="",(N('My Rota'!$D$6)+0)&gt;53),"",""&amp;CHOOSE(IFERROR(MATCH('My Rota'!$D$5,Setup!$K$33:$K$36,0),1),INDEX('2027'!$A:$Z,(5+50*((N('My Rota'!$D$6)+0)-1))+21+IFERROR(MATCH('My Rota'!$D$4,Setup!$B$6:$B$29,0),1),23),INDEX('2028'!$A:$Z,(5+50*((N('My Rota'!$D$6)+0)-1))+21+IFERROR(MATCH('My Rota'!$D$4,Setup!$B$6:$B$29,0),1),23),INDEX('2029'!$A:$Z,(5+50*((N('My Rota'!$D$6)+0)-1))+21+IFERROR(MATCH('My Rota'!$D$4,Setup!$B$6:$B$29,0),1),23),INDEX('2030'!$A:$Z,(5+50*((N('My Rota'!$D$6)+0)-1))+21+IFERROR(MATCH('My Rota'!$D$4,Setup!$B$6:$B$29,0),1),23)))</f>
        <v/>
      </c>
      <c r="J312">
        <f>IF(OR('My Rota'!$D$4="",(N('My Rota'!$D$6)+0)&gt;53),"",""&amp;CHOOSE(IFERROR(MATCH('My Rota'!$D$5,Setup!$K$33:$K$36,0),1),INDEX('2027'!$A:$Z,(5+50*((N('My Rota'!$D$6)+0)-1))+21+IFERROR(MATCH('My Rota'!$D$4,Setup!$B$6:$B$29,0),1),25),INDEX('2028'!$A:$Z,(5+50*((N('My Rota'!$D$6)+0)-1))+21+IFERROR(MATCH('My Rota'!$D$4,Setup!$B$6:$B$29,0),1),25),INDEX('2029'!$A:$Z,(5+50*((N('My Rota'!$D$6)+0)-1))+21+IFERROR(MATCH('My Rota'!$D$4,Setup!$B$6:$B$29,0),1),25),INDEX('2030'!$A:$Z,(5+50*((N('My Rota'!$D$6)+0)-1))+21+IFERROR(MATCH('My Rota'!$D$4,Setup!$B$6:$B$29,0),1),25)))</f>
        <v/>
      </c>
      <c r="L312">
        <f>IF(C312="","",IF(COUNTIF($C$200:$E$200,'My Rota'!$D$4)+COUNTIF($C$200:$E$200,'My Rota'!$D$4&amp;" ~*")&gt;0,$B$200&amp;IF(COUNTIF($C$200:$E$200,'My Rota'!$D$4&amp;" ~*")&gt;0," *","")&amp;CHAR(10),"")&amp;IF(COUNTIF($C$201:$E$201,'My Rota'!$D$4)+COUNTIF($C$201:$E$201,'My Rota'!$D$4&amp;" ~*")&gt;0,$B$201&amp;IF(COUNTIF($C$201:$E$201,'My Rota'!$D$4&amp;" ~*")&gt;0," *","")&amp;CHAR(10),"")&amp;IF(COUNTIF($C$202:$E$202,'My Rota'!$D$4)+COUNTIF($C$202:$E$202,'My Rota'!$D$4&amp;" ~*")&gt;0,$B$202&amp;IF(COUNTIF($C$202:$E$202,'My Rota'!$D$4&amp;" ~*")&gt;0," *","")&amp;CHAR(10),"")&amp;IF(COUNTIF($C$203:$E$203,'My Rota'!$D$4)+COUNTIF($C$203:$E$203,'My Rota'!$D$4&amp;" ~*")&gt;0,$B$203&amp;IF(COUNTIF($C$203:$E$203,'My Rota'!$D$4&amp;" ~*")&gt;0," *","")&amp;CHAR(10),"")&amp;IF(COUNTIF($C$204:$E$204,'My Rota'!$D$4)+COUNTIF($C$204:$E$204,'My Rota'!$D$4&amp;" ~*")&gt;0,$B$204&amp;IF(COUNTIF($C$204:$E$204,'My Rota'!$D$4&amp;" ~*")&gt;0," *","")&amp;CHAR(10),"")&amp;IF(COUNTIF($C$205:$E$205,'My Rota'!$D$4)+COUNTIF($C$205:$E$205,'My Rota'!$D$4&amp;" ~*")&gt;0,$B$205&amp;IF(COUNTIF($C$205:$E$205,'My Rota'!$D$4&amp;" ~*")&gt;0," *","")&amp;CHAR(10),"")&amp;IF(COUNTIF($C$206:$E$206,'My Rota'!$D$4)+COUNTIF($C$206:$E$206,'My Rota'!$D$4&amp;" ~*")&gt;0,$B$206&amp;IF(COUNTIF($C$206:$E$206,'My Rota'!$D$4&amp;" ~*")&gt;0," *","")&amp;CHAR(10),"")&amp;IF(COUNTIF($C$207:$E$207,'My Rota'!$D$4)+COUNTIF($C$207:$E$207,'My Rota'!$D$4&amp;" ~*")&gt;0,$B$207&amp;IF(COUNTIF($C$207:$E$207,'My Rota'!$D$4&amp;" ~*")&gt;0," *","")&amp;CHAR(10),"")&amp;IF(COUNTIF($C$208:$E$208,'My Rota'!$D$4)+COUNTIF($C$208:$E$208,'My Rota'!$D$4&amp;" ~*")&gt;0,$B$208&amp;IF(COUNTIF($C$208:$E$208,'My Rota'!$D$4&amp;" ~*")&gt;0," *","")&amp;CHAR(10),"")&amp;IF(COUNTIF($C$209:$E$209,'My Rota'!$D$4)+COUNTIF($C$209:$E$209,'My Rota'!$D$4&amp;" ~*")&gt;0,$B$209&amp;IF(COUNTIF($C$209:$E$209,'My Rota'!$D$4&amp;" ~*")&gt;0," *","")&amp;CHAR(10),"")&amp;IF(COUNTIF($C$210:$E$210,'My Rota'!$D$4)+COUNTIF($C$210:$E$210,'My Rota'!$D$4&amp;" ~*")&gt;0,$B$210&amp;IF(COUNTIF($C$210:$E$210,'My Rota'!$D$4&amp;" ~*")&gt;0," *","")&amp;CHAR(10),"")&amp;IF(COUNTIF($C$211:$E$211,'My Rota'!$D$4)+COUNTIF($C$211:$E$211,'My Rota'!$D$4&amp;" ~*")&gt;0,$B$211&amp;IF(COUNTIF($C$211:$E$211,'My Rota'!$D$4&amp;" ~*")&gt;0," *","")&amp;CHAR(10),"")&amp;IF(COUNTIF($C$212:$E$212,'My Rota'!$D$4)+COUNTIF($C$212:$E$212,'My Rota'!$D$4&amp;" ~*")&gt;0,$B$212&amp;IF(COUNTIF($C$212:$E$212,'My Rota'!$D$4&amp;" ~*")&gt;0," *","")&amp;CHAR(10),"")&amp;IF(COUNTIF($C$213:$E$213,'My Rota'!$D$4)+COUNTIF($C$213:$E$213,'My Rota'!$D$4&amp;" ~*")&gt;0,$B$213&amp;IF(COUNTIF($C$213:$E$213,'My Rota'!$D$4&amp;" ~*")&gt;0," *","")&amp;CHAR(10),"")&amp;IF(COUNTIF($C$214:$E$214,'My Rota'!$D$4)+COUNTIF($C$214:$E$214,'My Rota'!$D$4&amp;" ~*")&gt;0,$B$214&amp;IF(COUNTIF($C$214:$E$214,'My Rota'!$D$4&amp;" ~*")&gt;0," *","")&amp;CHAR(10),"")&amp;IF(COUNTIF($C$215:$E$215,'My Rota'!$D$4)+COUNTIF($C$215:$E$215,'My Rota'!$D$4&amp;" ~*")&gt;0,$B$215&amp;IF(COUNTIF($C$215:$E$215,'My Rota'!$D$4&amp;" ~*")&gt;0," *","")&amp;CHAR(10),"")&amp;IF(COUNTIF($C$216:$E$216,'My Rota'!$D$4)+COUNTIF($C$216:$E$216,'My Rota'!$D$4&amp;" ~*")&gt;0,$B$216&amp;IF(COUNTIF($C$216:$E$216,'My Rota'!$D$4&amp;" ~*")&gt;0," *","")&amp;CHAR(10),"")&amp;IF(COUNTIF($C$217:$E$217,'My Rota'!$D$4)+COUNTIF($C$217:$E$217,'My Rota'!$D$4&amp;" ~*")&gt;0,$B$217&amp;IF(COUNTIF($C$217:$E$217,'My Rota'!$D$4&amp;" ~*")&gt;0," *","")&amp;CHAR(10),""))</f>
        <v/>
      </c>
      <c r="M312">
        <f>IF(C312="","",IF(COUNTIF($G$200:$I$200,'My Rota'!$D$4)+COUNTIF($G$200:$I$200,'My Rota'!$D$4&amp;" ~*")&gt;0,$B$200&amp;IF(COUNTIF($G$200:$I$200,'My Rota'!$D$4&amp;" ~*")&gt;0," *","")&amp;CHAR(10),"")&amp;IF(COUNTIF($G$201:$I$201,'My Rota'!$D$4)+COUNTIF($G$201:$I$201,'My Rota'!$D$4&amp;" ~*")&gt;0,$B$201&amp;IF(COUNTIF($G$201:$I$201,'My Rota'!$D$4&amp;" ~*")&gt;0," *","")&amp;CHAR(10),"")&amp;IF(COUNTIF($G$202:$I$202,'My Rota'!$D$4)+COUNTIF($G$202:$I$202,'My Rota'!$D$4&amp;" ~*")&gt;0,$B$202&amp;IF(COUNTIF($G$202:$I$202,'My Rota'!$D$4&amp;" ~*")&gt;0," *","")&amp;CHAR(10),"")&amp;IF(COUNTIF($G$203:$I$203,'My Rota'!$D$4)+COUNTIF($G$203:$I$203,'My Rota'!$D$4&amp;" ~*")&gt;0,$B$203&amp;IF(COUNTIF($G$203:$I$203,'My Rota'!$D$4&amp;" ~*")&gt;0," *","")&amp;CHAR(10),"")&amp;IF(COUNTIF($G$204:$I$204,'My Rota'!$D$4)+COUNTIF($G$204:$I$204,'My Rota'!$D$4&amp;" ~*")&gt;0,$B$204&amp;IF(COUNTIF($G$204:$I$204,'My Rota'!$D$4&amp;" ~*")&gt;0," *","")&amp;CHAR(10),"")&amp;IF(COUNTIF($G$205:$I$205,'My Rota'!$D$4)+COUNTIF($G$205:$I$205,'My Rota'!$D$4&amp;" ~*")&gt;0,$B$205&amp;IF(COUNTIF($G$205:$I$205,'My Rota'!$D$4&amp;" ~*")&gt;0," *","")&amp;CHAR(10),"")&amp;IF(COUNTIF($G$206:$I$206,'My Rota'!$D$4)+COUNTIF($G$206:$I$206,'My Rota'!$D$4&amp;" ~*")&gt;0,$B$206&amp;IF(COUNTIF($G$206:$I$206,'My Rota'!$D$4&amp;" ~*")&gt;0," *","")&amp;CHAR(10),"")&amp;IF(COUNTIF($G$207:$I$207,'My Rota'!$D$4)+COUNTIF($G$207:$I$207,'My Rota'!$D$4&amp;" ~*")&gt;0,$B$207&amp;IF(COUNTIF($G$207:$I$207,'My Rota'!$D$4&amp;" ~*")&gt;0," *","")&amp;CHAR(10),"")&amp;IF(COUNTIF($G$208:$I$208,'My Rota'!$D$4)+COUNTIF($G$208:$I$208,'My Rota'!$D$4&amp;" ~*")&gt;0,$B$208&amp;IF(COUNTIF($G$208:$I$208,'My Rota'!$D$4&amp;" ~*")&gt;0," *","")&amp;CHAR(10),"")&amp;IF(COUNTIF($G$209:$I$209,'My Rota'!$D$4)+COUNTIF($G$209:$I$209,'My Rota'!$D$4&amp;" ~*")&gt;0,$B$209&amp;IF(COUNTIF($G$209:$I$209,'My Rota'!$D$4&amp;" ~*")&gt;0," *","")&amp;CHAR(10),"")&amp;IF(COUNTIF($G$210:$I$210,'My Rota'!$D$4)+COUNTIF($G$210:$I$210,'My Rota'!$D$4&amp;" ~*")&gt;0,$B$210&amp;IF(COUNTIF($G$210:$I$210,'My Rota'!$D$4&amp;" ~*")&gt;0," *","")&amp;CHAR(10),"")&amp;IF(COUNTIF($G$211:$I$211,'My Rota'!$D$4)+COUNTIF($G$211:$I$211,'My Rota'!$D$4&amp;" ~*")&gt;0,$B$211&amp;IF(COUNTIF($G$211:$I$211,'My Rota'!$D$4&amp;" ~*")&gt;0," *","")&amp;CHAR(10),"")&amp;IF(COUNTIF($G$212:$I$212,'My Rota'!$D$4)+COUNTIF($G$212:$I$212,'My Rota'!$D$4&amp;" ~*")&gt;0,$B$212&amp;IF(COUNTIF($G$212:$I$212,'My Rota'!$D$4&amp;" ~*")&gt;0," *","")&amp;CHAR(10),"")&amp;IF(COUNTIF($G$213:$I$213,'My Rota'!$D$4)+COUNTIF($G$213:$I$213,'My Rota'!$D$4&amp;" ~*")&gt;0,$B$213&amp;IF(COUNTIF($G$213:$I$213,'My Rota'!$D$4&amp;" ~*")&gt;0," *","")&amp;CHAR(10),"")&amp;IF(COUNTIF($G$214:$I$214,'My Rota'!$D$4)+COUNTIF($G$214:$I$214,'My Rota'!$D$4&amp;" ~*")&gt;0,$B$214&amp;IF(COUNTIF($G$214:$I$214,'My Rota'!$D$4&amp;" ~*")&gt;0," *","")&amp;CHAR(10),"")&amp;IF(COUNTIF($G$215:$I$215,'My Rota'!$D$4)+COUNTIF($G$215:$I$215,'My Rota'!$D$4&amp;" ~*")&gt;0,$B$215&amp;IF(COUNTIF($G$215:$I$215,'My Rota'!$D$4&amp;" ~*")&gt;0," *","")&amp;CHAR(10),"")&amp;IF(COUNTIF($G$216:$I$216,'My Rota'!$D$4)+COUNTIF($G$216:$I$216,'My Rota'!$D$4&amp;" ~*")&gt;0,$B$216&amp;IF(COUNTIF($G$216:$I$216,'My Rota'!$D$4&amp;" ~*")&gt;0," *","")&amp;CHAR(10),"")&amp;IF(COUNTIF($G$217:$I$217,'My Rota'!$D$4)+COUNTIF($G$217:$I$217,'My Rota'!$D$4&amp;" ~*")&gt;0,$B$217&amp;IF(COUNTIF($G$217:$I$217,'My Rota'!$D$4&amp;" ~*")&gt;0," *","")&amp;CHAR(10),""))</f>
        <v/>
      </c>
      <c r="N312">
        <f>IF(C312="","",IF(COUNTIF($K$200:$M$200,'My Rota'!$D$4)+COUNTIF($K$200:$M$200,'My Rota'!$D$4&amp;" ~*")&gt;0,$B$200&amp;IF(COUNTIF($K$200:$M$200,'My Rota'!$D$4&amp;" ~*")&gt;0," *","")&amp;CHAR(10),"")&amp;IF(COUNTIF($K$201:$M$201,'My Rota'!$D$4)+COUNTIF($K$201:$M$201,'My Rota'!$D$4&amp;" ~*")&gt;0,$B$201&amp;IF(COUNTIF($K$201:$M$201,'My Rota'!$D$4&amp;" ~*")&gt;0," *","")&amp;CHAR(10),"")&amp;IF(COUNTIF($K$202:$M$202,'My Rota'!$D$4)+COUNTIF($K$202:$M$202,'My Rota'!$D$4&amp;" ~*")&gt;0,$B$202&amp;IF(COUNTIF($K$202:$M$202,'My Rota'!$D$4&amp;" ~*")&gt;0," *","")&amp;CHAR(10),"")&amp;IF(COUNTIF($K$203:$M$203,'My Rota'!$D$4)+COUNTIF($K$203:$M$203,'My Rota'!$D$4&amp;" ~*")&gt;0,$B$203&amp;IF(COUNTIF($K$203:$M$203,'My Rota'!$D$4&amp;" ~*")&gt;0," *","")&amp;CHAR(10),"")&amp;IF(COUNTIF($K$204:$M$204,'My Rota'!$D$4)+COUNTIF($K$204:$M$204,'My Rota'!$D$4&amp;" ~*")&gt;0,$B$204&amp;IF(COUNTIF($K$204:$M$204,'My Rota'!$D$4&amp;" ~*")&gt;0," *","")&amp;CHAR(10),"")&amp;IF(COUNTIF($K$205:$M$205,'My Rota'!$D$4)+COUNTIF($K$205:$M$205,'My Rota'!$D$4&amp;" ~*")&gt;0,$B$205&amp;IF(COUNTIF($K$205:$M$205,'My Rota'!$D$4&amp;" ~*")&gt;0," *","")&amp;CHAR(10),"")&amp;IF(COUNTIF($K$206:$M$206,'My Rota'!$D$4)+COUNTIF($K$206:$M$206,'My Rota'!$D$4&amp;" ~*")&gt;0,$B$206&amp;IF(COUNTIF($K$206:$M$206,'My Rota'!$D$4&amp;" ~*")&gt;0," *","")&amp;CHAR(10),"")&amp;IF(COUNTIF($K$207:$M$207,'My Rota'!$D$4)+COUNTIF($K$207:$M$207,'My Rota'!$D$4&amp;" ~*")&gt;0,$B$207&amp;IF(COUNTIF($K$207:$M$207,'My Rota'!$D$4&amp;" ~*")&gt;0," *","")&amp;CHAR(10),"")&amp;IF(COUNTIF($K$208:$M$208,'My Rota'!$D$4)+COUNTIF($K$208:$M$208,'My Rota'!$D$4&amp;" ~*")&gt;0,$B$208&amp;IF(COUNTIF($K$208:$M$208,'My Rota'!$D$4&amp;" ~*")&gt;0," *","")&amp;CHAR(10),"")&amp;IF(COUNTIF($K$209:$M$209,'My Rota'!$D$4)+COUNTIF($K$209:$M$209,'My Rota'!$D$4&amp;" ~*")&gt;0,$B$209&amp;IF(COUNTIF($K$209:$M$209,'My Rota'!$D$4&amp;" ~*")&gt;0," *","")&amp;CHAR(10),"")&amp;IF(COUNTIF($K$210:$M$210,'My Rota'!$D$4)+COUNTIF($K$210:$M$210,'My Rota'!$D$4&amp;" ~*")&gt;0,$B$210&amp;IF(COUNTIF($K$210:$M$210,'My Rota'!$D$4&amp;" ~*")&gt;0," *","")&amp;CHAR(10),"")&amp;IF(COUNTIF($K$211:$M$211,'My Rota'!$D$4)+COUNTIF($K$211:$M$211,'My Rota'!$D$4&amp;" ~*")&gt;0,$B$211&amp;IF(COUNTIF($K$211:$M$211,'My Rota'!$D$4&amp;" ~*")&gt;0," *","")&amp;CHAR(10),"")&amp;IF(COUNTIF($K$212:$M$212,'My Rota'!$D$4)+COUNTIF($K$212:$M$212,'My Rota'!$D$4&amp;" ~*")&gt;0,$B$212&amp;IF(COUNTIF($K$212:$M$212,'My Rota'!$D$4&amp;" ~*")&gt;0," *","")&amp;CHAR(10),"")&amp;IF(COUNTIF($K$213:$M$213,'My Rota'!$D$4)+COUNTIF($K$213:$M$213,'My Rota'!$D$4&amp;" ~*")&gt;0,$B$213&amp;IF(COUNTIF($K$213:$M$213,'My Rota'!$D$4&amp;" ~*")&gt;0," *","")&amp;CHAR(10),"")&amp;IF(COUNTIF($K$214:$M$214,'My Rota'!$D$4)+COUNTIF($K$214:$M$214,'My Rota'!$D$4&amp;" ~*")&gt;0,$B$214&amp;IF(COUNTIF($K$214:$M$214,'My Rota'!$D$4&amp;" ~*")&gt;0," *","")&amp;CHAR(10),"")&amp;IF(COUNTIF($K$215:$M$215,'My Rota'!$D$4)+COUNTIF($K$215:$M$215,'My Rota'!$D$4&amp;" ~*")&gt;0,$B$215&amp;IF(COUNTIF($K$215:$M$215,'My Rota'!$D$4&amp;" ~*")&gt;0," *","")&amp;CHAR(10),"")&amp;IF(COUNTIF($K$216:$M$216,'My Rota'!$D$4)+COUNTIF($K$216:$M$216,'My Rota'!$D$4&amp;" ~*")&gt;0,$B$216&amp;IF(COUNTIF($K$216:$M$216,'My Rota'!$D$4&amp;" ~*")&gt;0," *","")&amp;CHAR(10),"")&amp;IF(COUNTIF($K$217:$M$217,'My Rota'!$D$4)+COUNTIF($K$217:$M$217,'My Rota'!$D$4&amp;" ~*")&gt;0,$B$217&amp;IF(COUNTIF($K$217:$M$217,'My Rota'!$D$4&amp;" ~*")&gt;0," *","")&amp;CHAR(10),""))</f>
        <v/>
      </c>
      <c r="O312">
        <f>IF(C312="","",IF(COUNTIF($O$200:$Q$200,'My Rota'!$D$4)+COUNTIF($O$200:$Q$200,'My Rota'!$D$4&amp;" ~*")&gt;0,$B$200&amp;IF(COUNTIF($O$200:$Q$200,'My Rota'!$D$4&amp;" ~*")&gt;0," *","")&amp;CHAR(10),"")&amp;IF(COUNTIF($O$201:$Q$201,'My Rota'!$D$4)+COUNTIF($O$201:$Q$201,'My Rota'!$D$4&amp;" ~*")&gt;0,$B$201&amp;IF(COUNTIF($O$201:$Q$201,'My Rota'!$D$4&amp;" ~*")&gt;0," *","")&amp;CHAR(10),"")&amp;IF(COUNTIF($O$202:$Q$202,'My Rota'!$D$4)+COUNTIF($O$202:$Q$202,'My Rota'!$D$4&amp;" ~*")&gt;0,$B$202&amp;IF(COUNTIF($O$202:$Q$202,'My Rota'!$D$4&amp;" ~*")&gt;0," *","")&amp;CHAR(10),"")&amp;IF(COUNTIF($O$203:$Q$203,'My Rota'!$D$4)+COUNTIF($O$203:$Q$203,'My Rota'!$D$4&amp;" ~*")&gt;0,$B$203&amp;IF(COUNTIF($O$203:$Q$203,'My Rota'!$D$4&amp;" ~*")&gt;0," *","")&amp;CHAR(10),"")&amp;IF(COUNTIF($O$204:$Q$204,'My Rota'!$D$4)+COUNTIF($O$204:$Q$204,'My Rota'!$D$4&amp;" ~*")&gt;0,$B$204&amp;IF(COUNTIF($O$204:$Q$204,'My Rota'!$D$4&amp;" ~*")&gt;0," *","")&amp;CHAR(10),"")&amp;IF(COUNTIF($O$205:$Q$205,'My Rota'!$D$4)+COUNTIF($O$205:$Q$205,'My Rota'!$D$4&amp;" ~*")&gt;0,$B$205&amp;IF(COUNTIF($O$205:$Q$205,'My Rota'!$D$4&amp;" ~*")&gt;0," *","")&amp;CHAR(10),"")&amp;IF(COUNTIF($O$206:$Q$206,'My Rota'!$D$4)+COUNTIF($O$206:$Q$206,'My Rota'!$D$4&amp;" ~*")&gt;0,$B$206&amp;IF(COUNTIF($O$206:$Q$206,'My Rota'!$D$4&amp;" ~*")&gt;0," *","")&amp;CHAR(10),"")&amp;IF(COUNTIF($O$207:$Q$207,'My Rota'!$D$4)+COUNTIF($O$207:$Q$207,'My Rota'!$D$4&amp;" ~*")&gt;0,$B$207&amp;IF(COUNTIF($O$207:$Q$207,'My Rota'!$D$4&amp;" ~*")&gt;0," *","")&amp;CHAR(10),"")&amp;IF(COUNTIF($O$208:$Q$208,'My Rota'!$D$4)+COUNTIF($O$208:$Q$208,'My Rota'!$D$4&amp;" ~*")&gt;0,$B$208&amp;IF(COUNTIF($O$208:$Q$208,'My Rota'!$D$4&amp;" ~*")&gt;0," *","")&amp;CHAR(10),"")&amp;IF(COUNTIF($O$209:$Q$209,'My Rota'!$D$4)+COUNTIF($O$209:$Q$209,'My Rota'!$D$4&amp;" ~*")&gt;0,$B$209&amp;IF(COUNTIF($O$209:$Q$209,'My Rota'!$D$4&amp;" ~*")&gt;0," *","")&amp;CHAR(10),"")&amp;IF(COUNTIF($O$210:$Q$210,'My Rota'!$D$4)+COUNTIF($O$210:$Q$210,'My Rota'!$D$4&amp;" ~*")&gt;0,$B$210&amp;IF(COUNTIF($O$210:$Q$210,'My Rota'!$D$4&amp;" ~*")&gt;0," *","")&amp;CHAR(10),"")&amp;IF(COUNTIF($O$211:$Q$211,'My Rota'!$D$4)+COUNTIF($O$211:$Q$211,'My Rota'!$D$4&amp;" ~*")&gt;0,$B$211&amp;IF(COUNTIF($O$211:$Q$211,'My Rota'!$D$4&amp;" ~*")&gt;0," *","")&amp;CHAR(10),"")&amp;IF(COUNTIF($O$212:$Q$212,'My Rota'!$D$4)+COUNTIF($O$212:$Q$212,'My Rota'!$D$4&amp;" ~*")&gt;0,$B$212&amp;IF(COUNTIF($O$212:$Q$212,'My Rota'!$D$4&amp;" ~*")&gt;0," *","")&amp;CHAR(10),"")&amp;IF(COUNTIF($O$213:$Q$213,'My Rota'!$D$4)+COUNTIF($O$213:$Q$213,'My Rota'!$D$4&amp;" ~*")&gt;0,$B$213&amp;IF(COUNTIF($O$213:$Q$213,'My Rota'!$D$4&amp;" ~*")&gt;0," *","")&amp;CHAR(10),"")&amp;IF(COUNTIF($O$214:$Q$214,'My Rota'!$D$4)+COUNTIF($O$214:$Q$214,'My Rota'!$D$4&amp;" ~*")&gt;0,$B$214&amp;IF(COUNTIF($O$214:$Q$214,'My Rota'!$D$4&amp;" ~*")&gt;0," *","")&amp;CHAR(10),"")&amp;IF(COUNTIF($O$215:$Q$215,'My Rota'!$D$4)+COUNTIF($O$215:$Q$215,'My Rota'!$D$4&amp;" ~*")&gt;0,$B$215&amp;IF(COUNTIF($O$215:$Q$215,'My Rota'!$D$4&amp;" ~*")&gt;0," *","")&amp;CHAR(10),"")&amp;IF(COUNTIF($O$216:$Q$216,'My Rota'!$D$4)+COUNTIF($O$216:$Q$216,'My Rota'!$D$4&amp;" ~*")&gt;0,$B$216&amp;IF(COUNTIF($O$216:$Q$216,'My Rota'!$D$4&amp;" ~*")&gt;0," *","")&amp;CHAR(10),"")&amp;IF(COUNTIF($O$217:$Q$217,'My Rota'!$D$4)+COUNTIF($O$217:$Q$217,'My Rota'!$D$4&amp;" ~*")&gt;0,$B$217&amp;IF(COUNTIF($O$217:$Q$217,'My Rota'!$D$4&amp;" ~*")&gt;0," *","")&amp;CHAR(10),""))</f>
        <v/>
      </c>
      <c r="P312">
        <f>IF(C312="","",IF(COUNTIF($S$200:$U$200,'My Rota'!$D$4)+COUNTIF($S$200:$U$200,'My Rota'!$D$4&amp;" ~*")&gt;0,$B$200&amp;IF(COUNTIF($S$200:$U$200,'My Rota'!$D$4&amp;" ~*")&gt;0," *","")&amp;CHAR(10),"")&amp;IF(COUNTIF($S$201:$U$201,'My Rota'!$D$4)+COUNTIF($S$201:$U$201,'My Rota'!$D$4&amp;" ~*")&gt;0,$B$201&amp;IF(COUNTIF($S$201:$U$201,'My Rota'!$D$4&amp;" ~*")&gt;0," *","")&amp;CHAR(10),"")&amp;IF(COUNTIF($S$202:$U$202,'My Rota'!$D$4)+COUNTIF($S$202:$U$202,'My Rota'!$D$4&amp;" ~*")&gt;0,$B$202&amp;IF(COUNTIF($S$202:$U$202,'My Rota'!$D$4&amp;" ~*")&gt;0," *","")&amp;CHAR(10),"")&amp;IF(COUNTIF($S$203:$U$203,'My Rota'!$D$4)+COUNTIF($S$203:$U$203,'My Rota'!$D$4&amp;" ~*")&gt;0,$B$203&amp;IF(COUNTIF($S$203:$U$203,'My Rota'!$D$4&amp;" ~*")&gt;0," *","")&amp;CHAR(10),"")&amp;IF(COUNTIF($S$204:$U$204,'My Rota'!$D$4)+COUNTIF($S$204:$U$204,'My Rota'!$D$4&amp;" ~*")&gt;0,$B$204&amp;IF(COUNTIF($S$204:$U$204,'My Rota'!$D$4&amp;" ~*")&gt;0," *","")&amp;CHAR(10),"")&amp;IF(COUNTIF($S$205:$U$205,'My Rota'!$D$4)+COUNTIF($S$205:$U$205,'My Rota'!$D$4&amp;" ~*")&gt;0,$B$205&amp;IF(COUNTIF($S$205:$U$205,'My Rota'!$D$4&amp;" ~*")&gt;0," *","")&amp;CHAR(10),"")&amp;IF(COUNTIF($S$206:$U$206,'My Rota'!$D$4)+COUNTIF($S$206:$U$206,'My Rota'!$D$4&amp;" ~*")&gt;0,$B$206&amp;IF(COUNTIF($S$206:$U$206,'My Rota'!$D$4&amp;" ~*")&gt;0," *","")&amp;CHAR(10),"")&amp;IF(COUNTIF($S$207:$U$207,'My Rota'!$D$4)+COUNTIF($S$207:$U$207,'My Rota'!$D$4&amp;" ~*")&gt;0,$B$207&amp;IF(COUNTIF($S$207:$U$207,'My Rota'!$D$4&amp;" ~*")&gt;0," *","")&amp;CHAR(10),"")&amp;IF(COUNTIF($S$208:$U$208,'My Rota'!$D$4)+COUNTIF($S$208:$U$208,'My Rota'!$D$4&amp;" ~*")&gt;0,$B$208&amp;IF(COUNTIF($S$208:$U$208,'My Rota'!$D$4&amp;" ~*")&gt;0," *","")&amp;CHAR(10),"")&amp;IF(COUNTIF($S$209:$U$209,'My Rota'!$D$4)+COUNTIF($S$209:$U$209,'My Rota'!$D$4&amp;" ~*")&gt;0,$B$209&amp;IF(COUNTIF($S$209:$U$209,'My Rota'!$D$4&amp;" ~*")&gt;0," *","")&amp;CHAR(10),"")&amp;IF(COUNTIF($S$210:$U$210,'My Rota'!$D$4)+COUNTIF($S$210:$U$210,'My Rota'!$D$4&amp;" ~*")&gt;0,$B$210&amp;IF(COUNTIF($S$210:$U$210,'My Rota'!$D$4&amp;" ~*")&gt;0," *","")&amp;CHAR(10),"")&amp;IF(COUNTIF($S$211:$U$211,'My Rota'!$D$4)+COUNTIF($S$211:$U$211,'My Rota'!$D$4&amp;" ~*")&gt;0,$B$211&amp;IF(COUNTIF($S$211:$U$211,'My Rota'!$D$4&amp;" ~*")&gt;0," *","")&amp;CHAR(10),"")&amp;IF(COUNTIF($S$212:$U$212,'My Rota'!$D$4)+COUNTIF($S$212:$U$212,'My Rota'!$D$4&amp;" ~*")&gt;0,$B$212&amp;IF(COUNTIF($S$212:$U$212,'My Rota'!$D$4&amp;" ~*")&gt;0," *","")&amp;CHAR(10),"")&amp;IF(COUNTIF($S$213:$U$213,'My Rota'!$D$4)+COUNTIF($S$213:$U$213,'My Rota'!$D$4&amp;" ~*")&gt;0,$B$213&amp;IF(COUNTIF($S$213:$U$213,'My Rota'!$D$4&amp;" ~*")&gt;0," *","")&amp;CHAR(10),"")&amp;IF(COUNTIF($S$214:$U$214,'My Rota'!$D$4)+COUNTIF($S$214:$U$214,'My Rota'!$D$4&amp;" ~*")&gt;0,$B$214&amp;IF(COUNTIF($S$214:$U$214,'My Rota'!$D$4&amp;" ~*")&gt;0," *","")&amp;CHAR(10),"")&amp;IF(COUNTIF($S$215:$U$215,'My Rota'!$D$4)+COUNTIF($S$215:$U$215,'My Rota'!$D$4&amp;" ~*")&gt;0,$B$215&amp;IF(COUNTIF($S$215:$U$215,'My Rota'!$D$4&amp;" ~*")&gt;0," *","")&amp;CHAR(10),"")&amp;IF(COUNTIF($S$216:$U$216,'My Rota'!$D$4)+COUNTIF($S$216:$U$216,'My Rota'!$D$4&amp;" ~*")&gt;0,$B$216&amp;IF(COUNTIF($S$216:$U$216,'My Rota'!$D$4&amp;" ~*")&gt;0," *","")&amp;CHAR(10),"")&amp;IF(COUNTIF($S$217:$U$217,'My Rota'!$D$4)+COUNTIF($S$217:$U$217,'My Rota'!$D$4&amp;" ~*")&gt;0,$B$217&amp;IF(COUNTIF($S$217:$U$217,'My Rota'!$D$4&amp;" ~*")&gt;0," *","")&amp;CHAR(10),""))</f>
        <v/>
      </c>
      <c r="Q312">
        <f>IF(C312="","",IF(COUNTIF($W$200:$W$200,'My Rota'!$D$4)+COUNTIF($W$200:$W$200,'My Rota'!$D$4&amp;" ~*")&gt;0,$B$200&amp;IF(COUNTIF($W$200:$W$200,'My Rota'!$D$4&amp;" ~*")&gt;0," *","")&amp;CHAR(10),"")&amp;IF(COUNTIF($W$201:$W$201,'My Rota'!$D$4)+COUNTIF($W$201:$W$201,'My Rota'!$D$4&amp;" ~*")&gt;0,$B$201&amp;IF(COUNTIF($W$201:$W$201,'My Rota'!$D$4&amp;" ~*")&gt;0," *","")&amp;CHAR(10),"")&amp;IF(COUNTIF($W$202:$W$202,'My Rota'!$D$4)+COUNTIF($W$202:$W$202,'My Rota'!$D$4&amp;" ~*")&gt;0,$B$202&amp;IF(COUNTIF($W$202:$W$202,'My Rota'!$D$4&amp;" ~*")&gt;0," *","")&amp;CHAR(10),"")&amp;IF(COUNTIF($W$203:$W$203,'My Rota'!$D$4)+COUNTIF($W$203:$W$203,'My Rota'!$D$4&amp;" ~*")&gt;0,$B$203&amp;IF(COUNTIF($W$203:$W$203,'My Rota'!$D$4&amp;" ~*")&gt;0," *","")&amp;CHAR(10),"")&amp;IF(COUNTIF($W$204:$W$204,'My Rota'!$D$4)+COUNTIF($W$204:$W$204,'My Rota'!$D$4&amp;" ~*")&gt;0,$B$204&amp;IF(COUNTIF($W$204:$W$204,'My Rota'!$D$4&amp;" ~*")&gt;0," *","")&amp;CHAR(10),"")&amp;IF(COUNTIF($W$205:$W$205,'My Rota'!$D$4)+COUNTIF($W$205:$W$205,'My Rota'!$D$4&amp;" ~*")&gt;0,$B$205&amp;IF(COUNTIF($W$205:$W$205,'My Rota'!$D$4&amp;" ~*")&gt;0," *","")&amp;CHAR(10),"")&amp;IF(COUNTIF($W$206:$W$206,'My Rota'!$D$4)+COUNTIF($W$206:$W$206,'My Rota'!$D$4&amp;" ~*")&gt;0,$B$206&amp;IF(COUNTIF($W$206:$W$206,'My Rota'!$D$4&amp;" ~*")&gt;0," *","")&amp;CHAR(10),"")&amp;IF(COUNTIF($W$207:$W$207,'My Rota'!$D$4)+COUNTIF($W$207:$W$207,'My Rota'!$D$4&amp;" ~*")&gt;0,$B$207&amp;IF(COUNTIF($W$207:$W$207,'My Rota'!$D$4&amp;" ~*")&gt;0," *","")&amp;CHAR(10),"")&amp;IF(COUNTIF($W$208:$W$208,'My Rota'!$D$4)+COUNTIF($W$208:$W$208,'My Rota'!$D$4&amp;" ~*")&gt;0,$B$208&amp;IF(COUNTIF($W$208:$W$208,'My Rota'!$D$4&amp;" ~*")&gt;0," *","")&amp;CHAR(10),"")&amp;IF(COUNTIF($W$209:$W$209,'My Rota'!$D$4)+COUNTIF($W$209:$W$209,'My Rota'!$D$4&amp;" ~*")&gt;0,$B$209&amp;IF(COUNTIF($W$209:$W$209,'My Rota'!$D$4&amp;" ~*")&gt;0," *","")&amp;CHAR(10),"")&amp;IF(COUNTIF($W$210:$W$210,'My Rota'!$D$4)+COUNTIF($W$210:$W$210,'My Rota'!$D$4&amp;" ~*")&gt;0,$B$210&amp;IF(COUNTIF($W$210:$W$210,'My Rota'!$D$4&amp;" ~*")&gt;0," *","")&amp;CHAR(10),"")&amp;IF(COUNTIF($W$211:$W$211,'My Rota'!$D$4)+COUNTIF($W$211:$W$211,'My Rota'!$D$4&amp;" ~*")&gt;0,$B$211&amp;IF(COUNTIF($W$211:$W$211,'My Rota'!$D$4&amp;" ~*")&gt;0," *","")&amp;CHAR(10),"")&amp;IF(COUNTIF($W$212:$W$212,'My Rota'!$D$4)+COUNTIF($W$212:$W$212,'My Rota'!$D$4&amp;" ~*")&gt;0,$B$212&amp;IF(COUNTIF($W$212:$W$212,'My Rota'!$D$4&amp;" ~*")&gt;0," *","")&amp;CHAR(10),"")&amp;IF(COUNTIF($W$213:$W$213,'My Rota'!$D$4)+COUNTIF($W$213:$W$213,'My Rota'!$D$4&amp;" ~*")&gt;0,$B$213&amp;IF(COUNTIF($W$213:$W$213,'My Rota'!$D$4&amp;" ~*")&gt;0," *","")&amp;CHAR(10),"")&amp;IF(COUNTIF($W$214:$W$214,'My Rota'!$D$4)+COUNTIF($W$214:$W$214,'My Rota'!$D$4&amp;" ~*")&gt;0,$B$214&amp;IF(COUNTIF($W$214:$W$214,'My Rota'!$D$4&amp;" ~*")&gt;0," *","")&amp;CHAR(10),"")&amp;IF(COUNTIF($W$215:$W$215,'My Rota'!$D$4)+COUNTIF($W$215:$W$215,'My Rota'!$D$4&amp;" ~*")&gt;0,$B$215&amp;IF(COUNTIF($W$215:$W$215,'My Rota'!$D$4&amp;" ~*")&gt;0," *","")&amp;CHAR(10),"")&amp;IF(COUNTIF($W$216:$W$216,'My Rota'!$D$4)+COUNTIF($W$216:$W$216,'My Rota'!$D$4&amp;" ~*")&gt;0,$B$216&amp;IF(COUNTIF($W$216:$W$216,'My Rota'!$D$4&amp;" ~*")&gt;0," *","")&amp;CHAR(10),"")&amp;IF(COUNTIF($W$217:$W$217,'My Rota'!$D$4)+COUNTIF($W$217:$W$217,'My Rota'!$D$4&amp;" ~*")&gt;0,$B$217&amp;IF(COUNTIF($W$217:$W$217,'My Rota'!$D$4&amp;" ~*")&gt;0," *","")&amp;CHAR(10),""))</f>
        <v/>
      </c>
      <c r="R312">
        <f>IF(C312="","",IF(COUNTIF($Y$200:$Y$200,'My Rota'!$D$4)+COUNTIF($Y$200:$Y$200,'My Rota'!$D$4&amp;" ~*")&gt;0,$B$200&amp;IF(COUNTIF($Y$200:$Y$200,'My Rota'!$D$4&amp;" ~*")&gt;0," *","")&amp;CHAR(10),"")&amp;IF(COUNTIF($Y$201:$Y$201,'My Rota'!$D$4)+COUNTIF($Y$201:$Y$201,'My Rota'!$D$4&amp;" ~*")&gt;0,$B$201&amp;IF(COUNTIF($Y$201:$Y$201,'My Rota'!$D$4&amp;" ~*")&gt;0," *","")&amp;CHAR(10),"")&amp;IF(COUNTIF($Y$202:$Y$202,'My Rota'!$D$4)+COUNTIF($Y$202:$Y$202,'My Rota'!$D$4&amp;" ~*")&gt;0,$B$202&amp;IF(COUNTIF($Y$202:$Y$202,'My Rota'!$D$4&amp;" ~*")&gt;0," *","")&amp;CHAR(10),"")&amp;IF(COUNTIF($Y$203:$Y$203,'My Rota'!$D$4)+COUNTIF($Y$203:$Y$203,'My Rota'!$D$4&amp;" ~*")&gt;0,$B$203&amp;IF(COUNTIF($Y$203:$Y$203,'My Rota'!$D$4&amp;" ~*")&gt;0," *","")&amp;CHAR(10),"")&amp;IF(COUNTIF($Y$204:$Y$204,'My Rota'!$D$4)+COUNTIF($Y$204:$Y$204,'My Rota'!$D$4&amp;" ~*")&gt;0,$B$204&amp;IF(COUNTIF($Y$204:$Y$204,'My Rota'!$D$4&amp;" ~*")&gt;0," *","")&amp;CHAR(10),"")&amp;IF(COUNTIF($Y$205:$Y$205,'My Rota'!$D$4)+COUNTIF($Y$205:$Y$205,'My Rota'!$D$4&amp;" ~*")&gt;0,$B$205&amp;IF(COUNTIF($Y$205:$Y$205,'My Rota'!$D$4&amp;" ~*")&gt;0," *","")&amp;CHAR(10),"")&amp;IF(COUNTIF($Y$206:$Y$206,'My Rota'!$D$4)+COUNTIF($Y$206:$Y$206,'My Rota'!$D$4&amp;" ~*")&gt;0,$B$206&amp;IF(COUNTIF($Y$206:$Y$206,'My Rota'!$D$4&amp;" ~*")&gt;0," *","")&amp;CHAR(10),"")&amp;IF(COUNTIF($Y$207:$Y$207,'My Rota'!$D$4)+COUNTIF($Y$207:$Y$207,'My Rota'!$D$4&amp;" ~*")&gt;0,$B$207&amp;IF(COUNTIF($Y$207:$Y$207,'My Rota'!$D$4&amp;" ~*")&gt;0," *","")&amp;CHAR(10),"")&amp;IF(COUNTIF($Y$208:$Y$208,'My Rota'!$D$4)+COUNTIF($Y$208:$Y$208,'My Rota'!$D$4&amp;" ~*")&gt;0,$B$208&amp;IF(COUNTIF($Y$208:$Y$208,'My Rota'!$D$4&amp;" ~*")&gt;0," *","")&amp;CHAR(10),"")&amp;IF(COUNTIF($Y$209:$Y$209,'My Rota'!$D$4)+COUNTIF($Y$209:$Y$209,'My Rota'!$D$4&amp;" ~*")&gt;0,$B$209&amp;IF(COUNTIF($Y$209:$Y$209,'My Rota'!$D$4&amp;" ~*")&gt;0," *","")&amp;CHAR(10),"")&amp;IF(COUNTIF($Y$210:$Y$210,'My Rota'!$D$4)+COUNTIF($Y$210:$Y$210,'My Rota'!$D$4&amp;" ~*")&gt;0,$B$210&amp;IF(COUNTIF($Y$210:$Y$210,'My Rota'!$D$4&amp;" ~*")&gt;0," *","")&amp;CHAR(10),"")&amp;IF(COUNTIF($Y$211:$Y$211,'My Rota'!$D$4)+COUNTIF($Y$211:$Y$211,'My Rota'!$D$4&amp;" ~*")&gt;0,$B$211&amp;IF(COUNTIF($Y$211:$Y$211,'My Rota'!$D$4&amp;" ~*")&gt;0," *","")&amp;CHAR(10),"")&amp;IF(COUNTIF($Y$212:$Y$212,'My Rota'!$D$4)+COUNTIF($Y$212:$Y$212,'My Rota'!$D$4&amp;" ~*")&gt;0,$B$212&amp;IF(COUNTIF($Y$212:$Y$212,'My Rota'!$D$4&amp;" ~*")&gt;0," *","")&amp;CHAR(10),"")&amp;IF(COUNTIF($Y$213:$Y$213,'My Rota'!$D$4)+COUNTIF($Y$213:$Y$213,'My Rota'!$D$4&amp;" ~*")&gt;0,$B$213&amp;IF(COUNTIF($Y$213:$Y$213,'My Rota'!$D$4&amp;" ~*")&gt;0," *","")&amp;CHAR(10),"")&amp;IF(COUNTIF($Y$214:$Y$214,'My Rota'!$D$4)+COUNTIF($Y$214:$Y$214,'My Rota'!$D$4&amp;" ~*")&gt;0,$B$214&amp;IF(COUNTIF($Y$214:$Y$214,'My Rota'!$D$4&amp;" ~*")&gt;0," *","")&amp;CHAR(10),"")&amp;IF(COUNTIF($Y$215:$Y$215,'My Rota'!$D$4)+COUNTIF($Y$215:$Y$215,'My Rota'!$D$4&amp;" ~*")&gt;0,$B$215&amp;IF(COUNTIF($Y$215:$Y$215,'My Rota'!$D$4&amp;" ~*")&gt;0," *","")&amp;CHAR(10),"")&amp;IF(COUNTIF($Y$216:$Y$216,'My Rota'!$D$4)+COUNTIF($Y$216:$Y$216,'My Rota'!$D$4&amp;" ~*")&gt;0,$B$216&amp;IF(COUNTIF($Y$216:$Y$216,'My Rota'!$D$4&amp;" ~*")&gt;0," *","")&amp;CHAR(10),"")&amp;IF(COUNTIF($Y$217:$Y$217,'My Rota'!$D$4)+COUNTIF($Y$217:$Y$217,'My Rota'!$D$4&amp;" ~*")&gt;0,$B$217&amp;IF(COUNTIF($Y$217:$Y$217,'My Rota'!$D$4&amp;" ~*")&gt;0," *","")&amp;CHAR(10),""))</f>
        <v/>
      </c>
      <c r="T312">
        <f>IF(L312="","",LEFT(L312,LEN(L312)-1))</f>
        <v/>
      </c>
      <c r="U312">
        <f>IF(M312="","",LEFT(M312,LEN(M312)-1))</f>
        <v/>
      </c>
      <c r="V312">
        <f>IF(N312="","",LEFT(N312,LEN(N312)-1))</f>
        <v/>
      </c>
      <c r="W312">
        <f>IF(O312="","",LEFT(O312,LEN(O312)-1))</f>
        <v/>
      </c>
      <c r="X312">
        <f>IF(P312="","",LEFT(P312,LEN(P312)-1))</f>
        <v/>
      </c>
      <c r="Y312">
        <f>IF(Q312="","",LEFT(Q312,LEN(Q312)-1))</f>
        <v/>
      </c>
      <c r="Z312">
        <f>IF(R312="","",LEFT(R312,LEN(R312)-1))</f>
        <v/>
      </c>
    </row>
    <row r="313">
      <c r="A313" t="n">
        <v>2</v>
      </c>
      <c r="C313" s="180">
        <f>IF((N('My Rota'!$D$6)+1)&gt;53,"",INDEX(Setup!$L$33:$L$36,IFERROR(MATCH('My Rota'!$D$5,Setup!$K$33:$K$36,0),1))+7*((N('My Rota'!$D$6)+1)-1))</f>
        <v/>
      </c>
      <c r="D313">
        <f>IF(OR('My Rota'!$D$4="",(N('My Rota'!$D$6)+1)&gt;53),"",""&amp;CHOOSE(IFERROR(MATCH('My Rota'!$D$5,Setup!$K$33:$K$36,0),1),INDEX('2027'!$A:$Z,(5+50*((N('My Rota'!$D$6)+1)-1))+21+IFERROR(MATCH('My Rota'!$D$4,Setup!$B$6:$B$29,0),1),3),INDEX('2028'!$A:$Z,(5+50*((N('My Rota'!$D$6)+1)-1))+21+IFERROR(MATCH('My Rota'!$D$4,Setup!$B$6:$B$29,0),1),3),INDEX('2029'!$A:$Z,(5+50*((N('My Rota'!$D$6)+1)-1))+21+IFERROR(MATCH('My Rota'!$D$4,Setup!$B$6:$B$29,0),1),3),INDEX('2030'!$A:$Z,(5+50*((N('My Rota'!$D$6)+1)-1))+21+IFERROR(MATCH('My Rota'!$D$4,Setup!$B$6:$B$29,0),1),3)))</f>
        <v/>
      </c>
      <c r="E313">
        <f>IF(OR('My Rota'!$D$4="",(N('My Rota'!$D$6)+1)&gt;53),"",""&amp;CHOOSE(IFERROR(MATCH('My Rota'!$D$5,Setup!$K$33:$K$36,0),1),INDEX('2027'!$A:$Z,(5+50*((N('My Rota'!$D$6)+1)-1))+21+IFERROR(MATCH('My Rota'!$D$4,Setup!$B$6:$B$29,0),1),7),INDEX('2028'!$A:$Z,(5+50*((N('My Rota'!$D$6)+1)-1))+21+IFERROR(MATCH('My Rota'!$D$4,Setup!$B$6:$B$29,0),1),7),INDEX('2029'!$A:$Z,(5+50*((N('My Rota'!$D$6)+1)-1))+21+IFERROR(MATCH('My Rota'!$D$4,Setup!$B$6:$B$29,0),1),7),INDEX('2030'!$A:$Z,(5+50*((N('My Rota'!$D$6)+1)-1))+21+IFERROR(MATCH('My Rota'!$D$4,Setup!$B$6:$B$29,0),1),7)))</f>
        <v/>
      </c>
      <c r="F313">
        <f>IF(OR('My Rota'!$D$4="",(N('My Rota'!$D$6)+1)&gt;53),"",""&amp;CHOOSE(IFERROR(MATCH('My Rota'!$D$5,Setup!$K$33:$K$36,0),1),INDEX('2027'!$A:$Z,(5+50*((N('My Rota'!$D$6)+1)-1))+21+IFERROR(MATCH('My Rota'!$D$4,Setup!$B$6:$B$29,0),1),11),INDEX('2028'!$A:$Z,(5+50*((N('My Rota'!$D$6)+1)-1))+21+IFERROR(MATCH('My Rota'!$D$4,Setup!$B$6:$B$29,0),1),11),INDEX('2029'!$A:$Z,(5+50*((N('My Rota'!$D$6)+1)-1))+21+IFERROR(MATCH('My Rota'!$D$4,Setup!$B$6:$B$29,0),1),11),INDEX('2030'!$A:$Z,(5+50*((N('My Rota'!$D$6)+1)-1))+21+IFERROR(MATCH('My Rota'!$D$4,Setup!$B$6:$B$29,0),1),11)))</f>
        <v/>
      </c>
      <c r="G313">
        <f>IF(OR('My Rota'!$D$4="",(N('My Rota'!$D$6)+1)&gt;53),"",""&amp;CHOOSE(IFERROR(MATCH('My Rota'!$D$5,Setup!$K$33:$K$36,0),1),INDEX('2027'!$A:$Z,(5+50*((N('My Rota'!$D$6)+1)-1))+21+IFERROR(MATCH('My Rota'!$D$4,Setup!$B$6:$B$29,0),1),15),INDEX('2028'!$A:$Z,(5+50*((N('My Rota'!$D$6)+1)-1))+21+IFERROR(MATCH('My Rota'!$D$4,Setup!$B$6:$B$29,0),1),15),INDEX('2029'!$A:$Z,(5+50*((N('My Rota'!$D$6)+1)-1))+21+IFERROR(MATCH('My Rota'!$D$4,Setup!$B$6:$B$29,0),1),15),INDEX('2030'!$A:$Z,(5+50*((N('My Rota'!$D$6)+1)-1))+21+IFERROR(MATCH('My Rota'!$D$4,Setup!$B$6:$B$29,0),1),15)))</f>
        <v/>
      </c>
      <c r="H313">
        <f>IF(OR('My Rota'!$D$4="",(N('My Rota'!$D$6)+1)&gt;53),"",""&amp;CHOOSE(IFERROR(MATCH('My Rota'!$D$5,Setup!$K$33:$K$36,0),1),INDEX('2027'!$A:$Z,(5+50*((N('My Rota'!$D$6)+1)-1))+21+IFERROR(MATCH('My Rota'!$D$4,Setup!$B$6:$B$29,0),1),19),INDEX('2028'!$A:$Z,(5+50*((N('My Rota'!$D$6)+1)-1))+21+IFERROR(MATCH('My Rota'!$D$4,Setup!$B$6:$B$29,0),1),19),INDEX('2029'!$A:$Z,(5+50*((N('My Rota'!$D$6)+1)-1))+21+IFERROR(MATCH('My Rota'!$D$4,Setup!$B$6:$B$29,0),1),19),INDEX('2030'!$A:$Z,(5+50*((N('My Rota'!$D$6)+1)-1))+21+IFERROR(MATCH('My Rota'!$D$4,Setup!$B$6:$B$29,0),1),19)))</f>
        <v/>
      </c>
      <c r="I313">
        <f>IF(OR('My Rota'!$D$4="",(N('My Rota'!$D$6)+1)&gt;53),"",""&amp;CHOOSE(IFERROR(MATCH('My Rota'!$D$5,Setup!$K$33:$K$36,0),1),INDEX('2027'!$A:$Z,(5+50*((N('My Rota'!$D$6)+1)-1))+21+IFERROR(MATCH('My Rota'!$D$4,Setup!$B$6:$B$29,0),1),23),INDEX('2028'!$A:$Z,(5+50*((N('My Rota'!$D$6)+1)-1))+21+IFERROR(MATCH('My Rota'!$D$4,Setup!$B$6:$B$29,0),1),23),INDEX('2029'!$A:$Z,(5+50*((N('My Rota'!$D$6)+1)-1))+21+IFERROR(MATCH('My Rota'!$D$4,Setup!$B$6:$B$29,0),1),23),INDEX('2030'!$A:$Z,(5+50*((N('My Rota'!$D$6)+1)-1))+21+IFERROR(MATCH('My Rota'!$D$4,Setup!$B$6:$B$29,0),1),23)))</f>
        <v/>
      </c>
      <c r="J313">
        <f>IF(OR('My Rota'!$D$4="",(N('My Rota'!$D$6)+1)&gt;53),"",""&amp;CHOOSE(IFERROR(MATCH('My Rota'!$D$5,Setup!$K$33:$K$36,0),1),INDEX('2027'!$A:$Z,(5+50*((N('My Rota'!$D$6)+1)-1))+21+IFERROR(MATCH('My Rota'!$D$4,Setup!$B$6:$B$29,0),1),25),INDEX('2028'!$A:$Z,(5+50*((N('My Rota'!$D$6)+1)-1))+21+IFERROR(MATCH('My Rota'!$D$4,Setup!$B$6:$B$29,0),1),25),INDEX('2029'!$A:$Z,(5+50*((N('My Rota'!$D$6)+1)-1))+21+IFERROR(MATCH('My Rota'!$D$4,Setup!$B$6:$B$29,0),1),25),INDEX('2030'!$A:$Z,(5+50*((N('My Rota'!$D$6)+1)-1))+21+IFERROR(MATCH('My Rota'!$D$4,Setup!$B$6:$B$29,0),1),25)))</f>
        <v/>
      </c>
      <c r="L313">
        <f>IF(C313="","",IF(COUNTIF($C$218:$E$218,'My Rota'!$D$4)+COUNTIF($C$218:$E$218,'My Rota'!$D$4&amp;" ~*")&gt;0,$B$218&amp;IF(COUNTIF($C$218:$E$218,'My Rota'!$D$4&amp;" ~*")&gt;0," *","")&amp;CHAR(10),"")&amp;IF(COUNTIF($C$219:$E$219,'My Rota'!$D$4)+COUNTIF($C$219:$E$219,'My Rota'!$D$4&amp;" ~*")&gt;0,$B$219&amp;IF(COUNTIF($C$219:$E$219,'My Rota'!$D$4&amp;" ~*")&gt;0," *","")&amp;CHAR(10),"")&amp;IF(COUNTIF($C$220:$E$220,'My Rota'!$D$4)+COUNTIF($C$220:$E$220,'My Rota'!$D$4&amp;" ~*")&gt;0,$B$220&amp;IF(COUNTIF($C$220:$E$220,'My Rota'!$D$4&amp;" ~*")&gt;0," *","")&amp;CHAR(10),"")&amp;IF(COUNTIF($C$221:$E$221,'My Rota'!$D$4)+COUNTIF($C$221:$E$221,'My Rota'!$D$4&amp;" ~*")&gt;0,$B$221&amp;IF(COUNTIF($C$221:$E$221,'My Rota'!$D$4&amp;" ~*")&gt;0," *","")&amp;CHAR(10),"")&amp;IF(COUNTIF($C$222:$E$222,'My Rota'!$D$4)+COUNTIF($C$222:$E$222,'My Rota'!$D$4&amp;" ~*")&gt;0,$B$222&amp;IF(COUNTIF($C$222:$E$222,'My Rota'!$D$4&amp;" ~*")&gt;0," *","")&amp;CHAR(10),"")&amp;IF(COUNTIF($C$223:$E$223,'My Rota'!$D$4)+COUNTIF($C$223:$E$223,'My Rota'!$D$4&amp;" ~*")&gt;0,$B$223&amp;IF(COUNTIF($C$223:$E$223,'My Rota'!$D$4&amp;" ~*")&gt;0," *","")&amp;CHAR(10),"")&amp;IF(COUNTIF($C$224:$E$224,'My Rota'!$D$4)+COUNTIF($C$224:$E$224,'My Rota'!$D$4&amp;" ~*")&gt;0,$B$224&amp;IF(COUNTIF($C$224:$E$224,'My Rota'!$D$4&amp;" ~*")&gt;0," *","")&amp;CHAR(10),"")&amp;IF(COUNTIF($C$225:$E$225,'My Rota'!$D$4)+COUNTIF($C$225:$E$225,'My Rota'!$D$4&amp;" ~*")&gt;0,$B$225&amp;IF(COUNTIF($C$225:$E$225,'My Rota'!$D$4&amp;" ~*")&gt;0," *","")&amp;CHAR(10),"")&amp;IF(COUNTIF($C$226:$E$226,'My Rota'!$D$4)+COUNTIF($C$226:$E$226,'My Rota'!$D$4&amp;" ~*")&gt;0,$B$226&amp;IF(COUNTIF($C$226:$E$226,'My Rota'!$D$4&amp;" ~*")&gt;0," *","")&amp;CHAR(10),"")&amp;IF(COUNTIF($C$227:$E$227,'My Rota'!$D$4)+COUNTIF($C$227:$E$227,'My Rota'!$D$4&amp;" ~*")&gt;0,$B$227&amp;IF(COUNTIF($C$227:$E$227,'My Rota'!$D$4&amp;" ~*")&gt;0," *","")&amp;CHAR(10),"")&amp;IF(COUNTIF($C$228:$E$228,'My Rota'!$D$4)+COUNTIF($C$228:$E$228,'My Rota'!$D$4&amp;" ~*")&gt;0,$B$228&amp;IF(COUNTIF($C$228:$E$228,'My Rota'!$D$4&amp;" ~*")&gt;0," *","")&amp;CHAR(10),"")&amp;IF(COUNTIF($C$229:$E$229,'My Rota'!$D$4)+COUNTIF($C$229:$E$229,'My Rota'!$D$4&amp;" ~*")&gt;0,$B$229&amp;IF(COUNTIF($C$229:$E$229,'My Rota'!$D$4&amp;" ~*")&gt;0," *","")&amp;CHAR(10),"")&amp;IF(COUNTIF($C$230:$E$230,'My Rota'!$D$4)+COUNTIF($C$230:$E$230,'My Rota'!$D$4&amp;" ~*")&gt;0,$B$230&amp;IF(COUNTIF($C$230:$E$230,'My Rota'!$D$4&amp;" ~*")&gt;0," *","")&amp;CHAR(10),"")&amp;IF(COUNTIF($C$231:$E$231,'My Rota'!$D$4)+COUNTIF($C$231:$E$231,'My Rota'!$D$4&amp;" ~*")&gt;0,$B$231&amp;IF(COUNTIF($C$231:$E$231,'My Rota'!$D$4&amp;" ~*")&gt;0," *","")&amp;CHAR(10),"")&amp;IF(COUNTIF($C$232:$E$232,'My Rota'!$D$4)+COUNTIF($C$232:$E$232,'My Rota'!$D$4&amp;" ~*")&gt;0,$B$232&amp;IF(COUNTIF($C$232:$E$232,'My Rota'!$D$4&amp;" ~*")&gt;0," *","")&amp;CHAR(10),"")&amp;IF(COUNTIF($C$233:$E$233,'My Rota'!$D$4)+COUNTIF($C$233:$E$233,'My Rota'!$D$4&amp;" ~*")&gt;0,$B$233&amp;IF(COUNTIF($C$233:$E$233,'My Rota'!$D$4&amp;" ~*")&gt;0," *","")&amp;CHAR(10),"")&amp;IF(COUNTIF($C$234:$E$234,'My Rota'!$D$4)+COUNTIF($C$234:$E$234,'My Rota'!$D$4&amp;" ~*")&gt;0,$B$234&amp;IF(COUNTIF($C$234:$E$234,'My Rota'!$D$4&amp;" ~*")&gt;0," *","")&amp;CHAR(10),"")&amp;IF(COUNTIF($C$235:$E$235,'My Rota'!$D$4)+COUNTIF($C$235:$E$235,'My Rota'!$D$4&amp;" ~*")&gt;0,$B$235&amp;IF(COUNTIF($C$235:$E$235,'My Rota'!$D$4&amp;" ~*")&gt;0," *","")&amp;CHAR(10),""))</f>
        <v/>
      </c>
      <c r="M313">
        <f>IF(C313="","",IF(COUNTIF($G$218:$I$218,'My Rota'!$D$4)+COUNTIF($G$218:$I$218,'My Rota'!$D$4&amp;" ~*")&gt;0,$B$218&amp;IF(COUNTIF($G$218:$I$218,'My Rota'!$D$4&amp;" ~*")&gt;0," *","")&amp;CHAR(10),"")&amp;IF(COUNTIF($G$219:$I$219,'My Rota'!$D$4)+COUNTIF($G$219:$I$219,'My Rota'!$D$4&amp;" ~*")&gt;0,$B$219&amp;IF(COUNTIF($G$219:$I$219,'My Rota'!$D$4&amp;" ~*")&gt;0," *","")&amp;CHAR(10),"")&amp;IF(COUNTIF($G$220:$I$220,'My Rota'!$D$4)+COUNTIF($G$220:$I$220,'My Rota'!$D$4&amp;" ~*")&gt;0,$B$220&amp;IF(COUNTIF($G$220:$I$220,'My Rota'!$D$4&amp;" ~*")&gt;0," *","")&amp;CHAR(10),"")&amp;IF(COUNTIF($G$221:$I$221,'My Rota'!$D$4)+COUNTIF($G$221:$I$221,'My Rota'!$D$4&amp;" ~*")&gt;0,$B$221&amp;IF(COUNTIF($G$221:$I$221,'My Rota'!$D$4&amp;" ~*")&gt;0," *","")&amp;CHAR(10),"")&amp;IF(COUNTIF($G$222:$I$222,'My Rota'!$D$4)+COUNTIF($G$222:$I$222,'My Rota'!$D$4&amp;" ~*")&gt;0,$B$222&amp;IF(COUNTIF($G$222:$I$222,'My Rota'!$D$4&amp;" ~*")&gt;0," *","")&amp;CHAR(10),"")&amp;IF(COUNTIF($G$223:$I$223,'My Rota'!$D$4)+COUNTIF($G$223:$I$223,'My Rota'!$D$4&amp;" ~*")&gt;0,$B$223&amp;IF(COUNTIF($G$223:$I$223,'My Rota'!$D$4&amp;" ~*")&gt;0," *","")&amp;CHAR(10),"")&amp;IF(COUNTIF($G$224:$I$224,'My Rota'!$D$4)+COUNTIF($G$224:$I$224,'My Rota'!$D$4&amp;" ~*")&gt;0,$B$224&amp;IF(COUNTIF($G$224:$I$224,'My Rota'!$D$4&amp;" ~*")&gt;0," *","")&amp;CHAR(10),"")&amp;IF(COUNTIF($G$225:$I$225,'My Rota'!$D$4)+COUNTIF($G$225:$I$225,'My Rota'!$D$4&amp;" ~*")&gt;0,$B$225&amp;IF(COUNTIF($G$225:$I$225,'My Rota'!$D$4&amp;" ~*")&gt;0," *","")&amp;CHAR(10),"")&amp;IF(COUNTIF($G$226:$I$226,'My Rota'!$D$4)+COUNTIF($G$226:$I$226,'My Rota'!$D$4&amp;" ~*")&gt;0,$B$226&amp;IF(COUNTIF($G$226:$I$226,'My Rota'!$D$4&amp;" ~*")&gt;0," *","")&amp;CHAR(10),"")&amp;IF(COUNTIF($G$227:$I$227,'My Rota'!$D$4)+COUNTIF($G$227:$I$227,'My Rota'!$D$4&amp;" ~*")&gt;0,$B$227&amp;IF(COUNTIF($G$227:$I$227,'My Rota'!$D$4&amp;" ~*")&gt;0," *","")&amp;CHAR(10),"")&amp;IF(COUNTIF($G$228:$I$228,'My Rota'!$D$4)+COUNTIF($G$228:$I$228,'My Rota'!$D$4&amp;" ~*")&gt;0,$B$228&amp;IF(COUNTIF($G$228:$I$228,'My Rota'!$D$4&amp;" ~*")&gt;0," *","")&amp;CHAR(10),"")&amp;IF(COUNTIF($G$229:$I$229,'My Rota'!$D$4)+COUNTIF($G$229:$I$229,'My Rota'!$D$4&amp;" ~*")&gt;0,$B$229&amp;IF(COUNTIF($G$229:$I$229,'My Rota'!$D$4&amp;" ~*")&gt;0," *","")&amp;CHAR(10),"")&amp;IF(COUNTIF($G$230:$I$230,'My Rota'!$D$4)+COUNTIF($G$230:$I$230,'My Rota'!$D$4&amp;" ~*")&gt;0,$B$230&amp;IF(COUNTIF($G$230:$I$230,'My Rota'!$D$4&amp;" ~*")&gt;0," *","")&amp;CHAR(10),"")&amp;IF(COUNTIF($G$231:$I$231,'My Rota'!$D$4)+COUNTIF($G$231:$I$231,'My Rota'!$D$4&amp;" ~*")&gt;0,$B$231&amp;IF(COUNTIF($G$231:$I$231,'My Rota'!$D$4&amp;" ~*")&gt;0," *","")&amp;CHAR(10),"")&amp;IF(COUNTIF($G$232:$I$232,'My Rota'!$D$4)+COUNTIF($G$232:$I$232,'My Rota'!$D$4&amp;" ~*")&gt;0,$B$232&amp;IF(COUNTIF($G$232:$I$232,'My Rota'!$D$4&amp;" ~*")&gt;0," *","")&amp;CHAR(10),"")&amp;IF(COUNTIF($G$233:$I$233,'My Rota'!$D$4)+COUNTIF($G$233:$I$233,'My Rota'!$D$4&amp;" ~*")&gt;0,$B$233&amp;IF(COUNTIF($G$233:$I$233,'My Rota'!$D$4&amp;" ~*")&gt;0," *","")&amp;CHAR(10),"")&amp;IF(COUNTIF($G$234:$I$234,'My Rota'!$D$4)+COUNTIF($G$234:$I$234,'My Rota'!$D$4&amp;" ~*")&gt;0,$B$234&amp;IF(COUNTIF($G$234:$I$234,'My Rota'!$D$4&amp;" ~*")&gt;0," *","")&amp;CHAR(10),"")&amp;IF(COUNTIF($G$235:$I$235,'My Rota'!$D$4)+COUNTIF($G$235:$I$235,'My Rota'!$D$4&amp;" ~*")&gt;0,$B$235&amp;IF(COUNTIF($G$235:$I$235,'My Rota'!$D$4&amp;" ~*")&gt;0," *","")&amp;CHAR(10),""))</f>
        <v/>
      </c>
      <c r="N313">
        <f>IF(C313="","",IF(COUNTIF($K$218:$M$218,'My Rota'!$D$4)+COUNTIF($K$218:$M$218,'My Rota'!$D$4&amp;" ~*")&gt;0,$B$218&amp;IF(COUNTIF($K$218:$M$218,'My Rota'!$D$4&amp;" ~*")&gt;0," *","")&amp;CHAR(10),"")&amp;IF(COUNTIF($K$219:$M$219,'My Rota'!$D$4)+COUNTIF($K$219:$M$219,'My Rota'!$D$4&amp;" ~*")&gt;0,$B$219&amp;IF(COUNTIF($K$219:$M$219,'My Rota'!$D$4&amp;" ~*")&gt;0," *","")&amp;CHAR(10),"")&amp;IF(COUNTIF($K$220:$M$220,'My Rota'!$D$4)+COUNTIF($K$220:$M$220,'My Rota'!$D$4&amp;" ~*")&gt;0,$B$220&amp;IF(COUNTIF($K$220:$M$220,'My Rota'!$D$4&amp;" ~*")&gt;0," *","")&amp;CHAR(10),"")&amp;IF(COUNTIF($K$221:$M$221,'My Rota'!$D$4)+COUNTIF($K$221:$M$221,'My Rota'!$D$4&amp;" ~*")&gt;0,$B$221&amp;IF(COUNTIF($K$221:$M$221,'My Rota'!$D$4&amp;" ~*")&gt;0," *","")&amp;CHAR(10),"")&amp;IF(COUNTIF($K$222:$M$222,'My Rota'!$D$4)+COUNTIF($K$222:$M$222,'My Rota'!$D$4&amp;" ~*")&gt;0,$B$222&amp;IF(COUNTIF($K$222:$M$222,'My Rota'!$D$4&amp;" ~*")&gt;0," *","")&amp;CHAR(10),"")&amp;IF(COUNTIF($K$223:$M$223,'My Rota'!$D$4)+COUNTIF($K$223:$M$223,'My Rota'!$D$4&amp;" ~*")&gt;0,$B$223&amp;IF(COUNTIF($K$223:$M$223,'My Rota'!$D$4&amp;" ~*")&gt;0," *","")&amp;CHAR(10),"")&amp;IF(COUNTIF($K$224:$M$224,'My Rota'!$D$4)+COUNTIF($K$224:$M$224,'My Rota'!$D$4&amp;" ~*")&gt;0,$B$224&amp;IF(COUNTIF($K$224:$M$224,'My Rota'!$D$4&amp;" ~*")&gt;0," *","")&amp;CHAR(10),"")&amp;IF(COUNTIF($K$225:$M$225,'My Rota'!$D$4)+COUNTIF($K$225:$M$225,'My Rota'!$D$4&amp;" ~*")&gt;0,$B$225&amp;IF(COUNTIF($K$225:$M$225,'My Rota'!$D$4&amp;" ~*")&gt;0," *","")&amp;CHAR(10),"")&amp;IF(COUNTIF($K$226:$M$226,'My Rota'!$D$4)+COUNTIF($K$226:$M$226,'My Rota'!$D$4&amp;" ~*")&gt;0,$B$226&amp;IF(COUNTIF($K$226:$M$226,'My Rota'!$D$4&amp;" ~*")&gt;0," *","")&amp;CHAR(10),"")&amp;IF(COUNTIF($K$227:$M$227,'My Rota'!$D$4)+COUNTIF($K$227:$M$227,'My Rota'!$D$4&amp;" ~*")&gt;0,$B$227&amp;IF(COUNTIF($K$227:$M$227,'My Rota'!$D$4&amp;" ~*")&gt;0," *","")&amp;CHAR(10),"")&amp;IF(COUNTIF($K$228:$M$228,'My Rota'!$D$4)+COUNTIF($K$228:$M$228,'My Rota'!$D$4&amp;" ~*")&gt;0,$B$228&amp;IF(COUNTIF($K$228:$M$228,'My Rota'!$D$4&amp;" ~*")&gt;0," *","")&amp;CHAR(10),"")&amp;IF(COUNTIF($K$229:$M$229,'My Rota'!$D$4)+COUNTIF($K$229:$M$229,'My Rota'!$D$4&amp;" ~*")&gt;0,$B$229&amp;IF(COUNTIF($K$229:$M$229,'My Rota'!$D$4&amp;" ~*")&gt;0," *","")&amp;CHAR(10),"")&amp;IF(COUNTIF($K$230:$M$230,'My Rota'!$D$4)+COUNTIF($K$230:$M$230,'My Rota'!$D$4&amp;" ~*")&gt;0,$B$230&amp;IF(COUNTIF($K$230:$M$230,'My Rota'!$D$4&amp;" ~*")&gt;0," *","")&amp;CHAR(10),"")&amp;IF(COUNTIF($K$231:$M$231,'My Rota'!$D$4)+COUNTIF($K$231:$M$231,'My Rota'!$D$4&amp;" ~*")&gt;0,$B$231&amp;IF(COUNTIF($K$231:$M$231,'My Rota'!$D$4&amp;" ~*")&gt;0," *","")&amp;CHAR(10),"")&amp;IF(COUNTIF($K$232:$M$232,'My Rota'!$D$4)+COUNTIF($K$232:$M$232,'My Rota'!$D$4&amp;" ~*")&gt;0,$B$232&amp;IF(COUNTIF($K$232:$M$232,'My Rota'!$D$4&amp;" ~*")&gt;0," *","")&amp;CHAR(10),"")&amp;IF(COUNTIF($K$233:$M$233,'My Rota'!$D$4)+COUNTIF($K$233:$M$233,'My Rota'!$D$4&amp;" ~*")&gt;0,$B$233&amp;IF(COUNTIF($K$233:$M$233,'My Rota'!$D$4&amp;" ~*")&gt;0," *","")&amp;CHAR(10),"")&amp;IF(COUNTIF($K$234:$M$234,'My Rota'!$D$4)+COUNTIF($K$234:$M$234,'My Rota'!$D$4&amp;" ~*")&gt;0,$B$234&amp;IF(COUNTIF($K$234:$M$234,'My Rota'!$D$4&amp;" ~*")&gt;0," *","")&amp;CHAR(10),"")&amp;IF(COUNTIF($K$235:$M$235,'My Rota'!$D$4)+COUNTIF($K$235:$M$235,'My Rota'!$D$4&amp;" ~*")&gt;0,$B$235&amp;IF(COUNTIF($K$235:$M$235,'My Rota'!$D$4&amp;" ~*")&gt;0," *","")&amp;CHAR(10),""))</f>
        <v/>
      </c>
      <c r="O313">
        <f>IF(C313="","",IF(COUNTIF($O$218:$Q$218,'My Rota'!$D$4)+COUNTIF($O$218:$Q$218,'My Rota'!$D$4&amp;" ~*")&gt;0,$B$218&amp;IF(COUNTIF($O$218:$Q$218,'My Rota'!$D$4&amp;" ~*")&gt;0," *","")&amp;CHAR(10),"")&amp;IF(COUNTIF($O$219:$Q$219,'My Rota'!$D$4)+COUNTIF($O$219:$Q$219,'My Rota'!$D$4&amp;" ~*")&gt;0,$B$219&amp;IF(COUNTIF($O$219:$Q$219,'My Rota'!$D$4&amp;" ~*")&gt;0," *","")&amp;CHAR(10),"")&amp;IF(COUNTIF($O$220:$Q$220,'My Rota'!$D$4)+COUNTIF($O$220:$Q$220,'My Rota'!$D$4&amp;" ~*")&gt;0,$B$220&amp;IF(COUNTIF($O$220:$Q$220,'My Rota'!$D$4&amp;" ~*")&gt;0," *","")&amp;CHAR(10),"")&amp;IF(COUNTIF($O$221:$Q$221,'My Rota'!$D$4)+COUNTIF($O$221:$Q$221,'My Rota'!$D$4&amp;" ~*")&gt;0,$B$221&amp;IF(COUNTIF($O$221:$Q$221,'My Rota'!$D$4&amp;" ~*")&gt;0," *","")&amp;CHAR(10),"")&amp;IF(COUNTIF($O$222:$Q$222,'My Rota'!$D$4)+COUNTIF($O$222:$Q$222,'My Rota'!$D$4&amp;" ~*")&gt;0,$B$222&amp;IF(COUNTIF($O$222:$Q$222,'My Rota'!$D$4&amp;" ~*")&gt;0," *","")&amp;CHAR(10),"")&amp;IF(COUNTIF($O$223:$Q$223,'My Rota'!$D$4)+COUNTIF($O$223:$Q$223,'My Rota'!$D$4&amp;" ~*")&gt;0,$B$223&amp;IF(COUNTIF($O$223:$Q$223,'My Rota'!$D$4&amp;" ~*")&gt;0," *","")&amp;CHAR(10),"")&amp;IF(COUNTIF($O$224:$Q$224,'My Rota'!$D$4)+COUNTIF($O$224:$Q$224,'My Rota'!$D$4&amp;" ~*")&gt;0,$B$224&amp;IF(COUNTIF($O$224:$Q$224,'My Rota'!$D$4&amp;" ~*")&gt;0," *","")&amp;CHAR(10),"")&amp;IF(COUNTIF($O$225:$Q$225,'My Rota'!$D$4)+COUNTIF($O$225:$Q$225,'My Rota'!$D$4&amp;" ~*")&gt;0,$B$225&amp;IF(COUNTIF($O$225:$Q$225,'My Rota'!$D$4&amp;" ~*")&gt;0," *","")&amp;CHAR(10),"")&amp;IF(COUNTIF($O$226:$Q$226,'My Rota'!$D$4)+COUNTIF($O$226:$Q$226,'My Rota'!$D$4&amp;" ~*")&gt;0,$B$226&amp;IF(COUNTIF($O$226:$Q$226,'My Rota'!$D$4&amp;" ~*")&gt;0," *","")&amp;CHAR(10),"")&amp;IF(COUNTIF($O$227:$Q$227,'My Rota'!$D$4)+COUNTIF($O$227:$Q$227,'My Rota'!$D$4&amp;" ~*")&gt;0,$B$227&amp;IF(COUNTIF($O$227:$Q$227,'My Rota'!$D$4&amp;" ~*")&gt;0," *","")&amp;CHAR(10),"")&amp;IF(COUNTIF($O$228:$Q$228,'My Rota'!$D$4)+COUNTIF($O$228:$Q$228,'My Rota'!$D$4&amp;" ~*")&gt;0,$B$228&amp;IF(COUNTIF($O$228:$Q$228,'My Rota'!$D$4&amp;" ~*")&gt;0," *","")&amp;CHAR(10),"")&amp;IF(COUNTIF($O$229:$Q$229,'My Rota'!$D$4)+COUNTIF($O$229:$Q$229,'My Rota'!$D$4&amp;" ~*")&gt;0,$B$229&amp;IF(COUNTIF($O$229:$Q$229,'My Rota'!$D$4&amp;" ~*")&gt;0," *","")&amp;CHAR(10),"")&amp;IF(COUNTIF($O$230:$Q$230,'My Rota'!$D$4)+COUNTIF($O$230:$Q$230,'My Rota'!$D$4&amp;" ~*")&gt;0,$B$230&amp;IF(COUNTIF($O$230:$Q$230,'My Rota'!$D$4&amp;" ~*")&gt;0," *","")&amp;CHAR(10),"")&amp;IF(COUNTIF($O$231:$Q$231,'My Rota'!$D$4)+COUNTIF($O$231:$Q$231,'My Rota'!$D$4&amp;" ~*")&gt;0,$B$231&amp;IF(COUNTIF($O$231:$Q$231,'My Rota'!$D$4&amp;" ~*")&gt;0," *","")&amp;CHAR(10),"")&amp;IF(COUNTIF($O$232:$Q$232,'My Rota'!$D$4)+COUNTIF($O$232:$Q$232,'My Rota'!$D$4&amp;" ~*")&gt;0,$B$232&amp;IF(COUNTIF($O$232:$Q$232,'My Rota'!$D$4&amp;" ~*")&gt;0," *","")&amp;CHAR(10),"")&amp;IF(COUNTIF($O$233:$Q$233,'My Rota'!$D$4)+COUNTIF($O$233:$Q$233,'My Rota'!$D$4&amp;" ~*")&gt;0,$B$233&amp;IF(COUNTIF($O$233:$Q$233,'My Rota'!$D$4&amp;" ~*")&gt;0," *","")&amp;CHAR(10),"")&amp;IF(COUNTIF($O$234:$Q$234,'My Rota'!$D$4)+COUNTIF($O$234:$Q$234,'My Rota'!$D$4&amp;" ~*")&gt;0,$B$234&amp;IF(COUNTIF($O$234:$Q$234,'My Rota'!$D$4&amp;" ~*")&gt;0," *","")&amp;CHAR(10),"")&amp;IF(COUNTIF($O$235:$Q$235,'My Rota'!$D$4)+COUNTIF($O$235:$Q$235,'My Rota'!$D$4&amp;" ~*")&gt;0,$B$235&amp;IF(COUNTIF($O$235:$Q$235,'My Rota'!$D$4&amp;" ~*")&gt;0," *","")&amp;CHAR(10),""))</f>
        <v/>
      </c>
      <c r="P313">
        <f>IF(C313="","",IF(COUNTIF($S$218:$U$218,'My Rota'!$D$4)+COUNTIF($S$218:$U$218,'My Rota'!$D$4&amp;" ~*")&gt;0,$B$218&amp;IF(COUNTIF($S$218:$U$218,'My Rota'!$D$4&amp;" ~*")&gt;0," *","")&amp;CHAR(10),"")&amp;IF(COUNTIF($S$219:$U$219,'My Rota'!$D$4)+COUNTIF($S$219:$U$219,'My Rota'!$D$4&amp;" ~*")&gt;0,$B$219&amp;IF(COUNTIF($S$219:$U$219,'My Rota'!$D$4&amp;" ~*")&gt;0," *","")&amp;CHAR(10),"")&amp;IF(COUNTIF($S$220:$U$220,'My Rota'!$D$4)+COUNTIF($S$220:$U$220,'My Rota'!$D$4&amp;" ~*")&gt;0,$B$220&amp;IF(COUNTIF($S$220:$U$220,'My Rota'!$D$4&amp;" ~*")&gt;0," *","")&amp;CHAR(10),"")&amp;IF(COUNTIF($S$221:$U$221,'My Rota'!$D$4)+COUNTIF($S$221:$U$221,'My Rota'!$D$4&amp;" ~*")&gt;0,$B$221&amp;IF(COUNTIF($S$221:$U$221,'My Rota'!$D$4&amp;" ~*")&gt;0," *","")&amp;CHAR(10),"")&amp;IF(COUNTIF($S$222:$U$222,'My Rota'!$D$4)+COUNTIF($S$222:$U$222,'My Rota'!$D$4&amp;" ~*")&gt;0,$B$222&amp;IF(COUNTIF($S$222:$U$222,'My Rota'!$D$4&amp;" ~*")&gt;0," *","")&amp;CHAR(10),"")&amp;IF(COUNTIF($S$223:$U$223,'My Rota'!$D$4)+COUNTIF($S$223:$U$223,'My Rota'!$D$4&amp;" ~*")&gt;0,$B$223&amp;IF(COUNTIF($S$223:$U$223,'My Rota'!$D$4&amp;" ~*")&gt;0," *","")&amp;CHAR(10),"")&amp;IF(COUNTIF($S$224:$U$224,'My Rota'!$D$4)+COUNTIF($S$224:$U$224,'My Rota'!$D$4&amp;" ~*")&gt;0,$B$224&amp;IF(COUNTIF($S$224:$U$224,'My Rota'!$D$4&amp;" ~*")&gt;0," *","")&amp;CHAR(10),"")&amp;IF(COUNTIF($S$225:$U$225,'My Rota'!$D$4)+COUNTIF($S$225:$U$225,'My Rota'!$D$4&amp;" ~*")&gt;0,$B$225&amp;IF(COUNTIF($S$225:$U$225,'My Rota'!$D$4&amp;" ~*")&gt;0," *","")&amp;CHAR(10),"")&amp;IF(COUNTIF($S$226:$U$226,'My Rota'!$D$4)+COUNTIF($S$226:$U$226,'My Rota'!$D$4&amp;" ~*")&gt;0,$B$226&amp;IF(COUNTIF($S$226:$U$226,'My Rota'!$D$4&amp;" ~*")&gt;0," *","")&amp;CHAR(10),"")&amp;IF(COUNTIF($S$227:$U$227,'My Rota'!$D$4)+COUNTIF($S$227:$U$227,'My Rota'!$D$4&amp;" ~*")&gt;0,$B$227&amp;IF(COUNTIF($S$227:$U$227,'My Rota'!$D$4&amp;" ~*")&gt;0," *","")&amp;CHAR(10),"")&amp;IF(COUNTIF($S$228:$U$228,'My Rota'!$D$4)+COUNTIF($S$228:$U$228,'My Rota'!$D$4&amp;" ~*")&gt;0,$B$228&amp;IF(COUNTIF($S$228:$U$228,'My Rota'!$D$4&amp;" ~*")&gt;0," *","")&amp;CHAR(10),"")&amp;IF(COUNTIF($S$229:$U$229,'My Rota'!$D$4)+COUNTIF($S$229:$U$229,'My Rota'!$D$4&amp;" ~*")&gt;0,$B$229&amp;IF(COUNTIF($S$229:$U$229,'My Rota'!$D$4&amp;" ~*")&gt;0," *","")&amp;CHAR(10),"")&amp;IF(COUNTIF($S$230:$U$230,'My Rota'!$D$4)+COUNTIF($S$230:$U$230,'My Rota'!$D$4&amp;" ~*")&gt;0,$B$230&amp;IF(COUNTIF($S$230:$U$230,'My Rota'!$D$4&amp;" ~*")&gt;0," *","")&amp;CHAR(10),"")&amp;IF(COUNTIF($S$231:$U$231,'My Rota'!$D$4)+COUNTIF($S$231:$U$231,'My Rota'!$D$4&amp;" ~*")&gt;0,$B$231&amp;IF(COUNTIF($S$231:$U$231,'My Rota'!$D$4&amp;" ~*")&gt;0," *","")&amp;CHAR(10),"")&amp;IF(COUNTIF($S$232:$U$232,'My Rota'!$D$4)+COUNTIF($S$232:$U$232,'My Rota'!$D$4&amp;" ~*")&gt;0,$B$232&amp;IF(COUNTIF($S$232:$U$232,'My Rota'!$D$4&amp;" ~*")&gt;0," *","")&amp;CHAR(10),"")&amp;IF(COUNTIF($S$233:$U$233,'My Rota'!$D$4)+COUNTIF($S$233:$U$233,'My Rota'!$D$4&amp;" ~*")&gt;0,$B$233&amp;IF(COUNTIF($S$233:$U$233,'My Rota'!$D$4&amp;" ~*")&gt;0," *","")&amp;CHAR(10),"")&amp;IF(COUNTIF($S$234:$U$234,'My Rota'!$D$4)+COUNTIF($S$234:$U$234,'My Rota'!$D$4&amp;" ~*")&gt;0,$B$234&amp;IF(COUNTIF($S$234:$U$234,'My Rota'!$D$4&amp;" ~*")&gt;0," *","")&amp;CHAR(10),"")&amp;IF(COUNTIF($S$235:$U$235,'My Rota'!$D$4)+COUNTIF($S$235:$U$235,'My Rota'!$D$4&amp;" ~*")&gt;0,$B$235&amp;IF(COUNTIF($S$235:$U$235,'My Rota'!$D$4&amp;" ~*")&gt;0," *","")&amp;CHAR(10),""))</f>
        <v/>
      </c>
      <c r="Q313">
        <f>IF(C313="","",IF(COUNTIF($W$218:$W$218,'My Rota'!$D$4)+COUNTIF($W$218:$W$218,'My Rota'!$D$4&amp;" ~*")&gt;0,$B$218&amp;IF(COUNTIF($W$218:$W$218,'My Rota'!$D$4&amp;" ~*")&gt;0," *","")&amp;CHAR(10),"")&amp;IF(COUNTIF($W$219:$W$219,'My Rota'!$D$4)+COUNTIF($W$219:$W$219,'My Rota'!$D$4&amp;" ~*")&gt;0,$B$219&amp;IF(COUNTIF($W$219:$W$219,'My Rota'!$D$4&amp;" ~*")&gt;0," *","")&amp;CHAR(10),"")&amp;IF(COUNTIF($W$220:$W$220,'My Rota'!$D$4)+COUNTIF($W$220:$W$220,'My Rota'!$D$4&amp;" ~*")&gt;0,$B$220&amp;IF(COUNTIF($W$220:$W$220,'My Rota'!$D$4&amp;" ~*")&gt;0," *","")&amp;CHAR(10),"")&amp;IF(COUNTIF($W$221:$W$221,'My Rota'!$D$4)+COUNTIF($W$221:$W$221,'My Rota'!$D$4&amp;" ~*")&gt;0,$B$221&amp;IF(COUNTIF($W$221:$W$221,'My Rota'!$D$4&amp;" ~*")&gt;0," *","")&amp;CHAR(10),"")&amp;IF(COUNTIF($W$222:$W$222,'My Rota'!$D$4)+COUNTIF($W$222:$W$222,'My Rota'!$D$4&amp;" ~*")&gt;0,$B$222&amp;IF(COUNTIF($W$222:$W$222,'My Rota'!$D$4&amp;" ~*")&gt;0," *","")&amp;CHAR(10),"")&amp;IF(COUNTIF($W$223:$W$223,'My Rota'!$D$4)+COUNTIF($W$223:$W$223,'My Rota'!$D$4&amp;" ~*")&gt;0,$B$223&amp;IF(COUNTIF($W$223:$W$223,'My Rota'!$D$4&amp;" ~*")&gt;0," *","")&amp;CHAR(10),"")&amp;IF(COUNTIF($W$224:$W$224,'My Rota'!$D$4)+COUNTIF($W$224:$W$224,'My Rota'!$D$4&amp;" ~*")&gt;0,$B$224&amp;IF(COUNTIF($W$224:$W$224,'My Rota'!$D$4&amp;" ~*")&gt;0," *","")&amp;CHAR(10),"")&amp;IF(COUNTIF($W$225:$W$225,'My Rota'!$D$4)+COUNTIF($W$225:$W$225,'My Rota'!$D$4&amp;" ~*")&gt;0,$B$225&amp;IF(COUNTIF($W$225:$W$225,'My Rota'!$D$4&amp;" ~*")&gt;0," *","")&amp;CHAR(10),"")&amp;IF(COUNTIF($W$226:$W$226,'My Rota'!$D$4)+COUNTIF($W$226:$W$226,'My Rota'!$D$4&amp;" ~*")&gt;0,$B$226&amp;IF(COUNTIF($W$226:$W$226,'My Rota'!$D$4&amp;" ~*")&gt;0," *","")&amp;CHAR(10),"")&amp;IF(COUNTIF($W$227:$W$227,'My Rota'!$D$4)+COUNTIF($W$227:$W$227,'My Rota'!$D$4&amp;" ~*")&gt;0,$B$227&amp;IF(COUNTIF($W$227:$W$227,'My Rota'!$D$4&amp;" ~*")&gt;0," *","")&amp;CHAR(10),"")&amp;IF(COUNTIF($W$228:$W$228,'My Rota'!$D$4)+COUNTIF($W$228:$W$228,'My Rota'!$D$4&amp;" ~*")&gt;0,$B$228&amp;IF(COUNTIF($W$228:$W$228,'My Rota'!$D$4&amp;" ~*")&gt;0," *","")&amp;CHAR(10),"")&amp;IF(COUNTIF($W$229:$W$229,'My Rota'!$D$4)+COUNTIF($W$229:$W$229,'My Rota'!$D$4&amp;" ~*")&gt;0,$B$229&amp;IF(COUNTIF($W$229:$W$229,'My Rota'!$D$4&amp;" ~*")&gt;0," *","")&amp;CHAR(10),"")&amp;IF(COUNTIF($W$230:$W$230,'My Rota'!$D$4)+COUNTIF($W$230:$W$230,'My Rota'!$D$4&amp;" ~*")&gt;0,$B$230&amp;IF(COUNTIF($W$230:$W$230,'My Rota'!$D$4&amp;" ~*")&gt;0," *","")&amp;CHAR(10),"")&amp;IF(COUNTIF($W$231:$W$231,'My Rota'!$D$4)+COUNTIF($W$231:$W$231,'My Rota'!$D$4&amp;" ~*")&gt;0,$B$231&amp;IF(COUNTIF($W$231:$W$231,'My Rota'!$D$4&amp;" ~*")&gt;0," *","")&amp;CHAR(10),"")&amp;IF(COUNTIF($W$232:$W$232,'My Rota'!$D$4)+COUNTIF($W$232:$W$232,'My Rota'!$D$4&amp;" ~*")&gt;0,$B$232&amp;IF(COUNTIF($W$232:$W$232,'My Rota'!$D$4&amp;" ~*")&gt;0," *","")&amp;CHAR(10),"")&amp;IF(COUNTIF($W$233:$W$233,'My Rota'!$D$4)+COUNTIF($W$233:$W$233,'My Rota'!$D$4&amp;" ~*")&gt;0,$B$233&amp;IF(COUNTIF($W$233:$W$233,'My Rota'!$D$4&amp;" ~*")&gt;0," *","")&amp;CHAR(10),"")&amp;IF(COUNTIF($W$234:$W$234,'My Rota'!$D$4)+COUNTIF($W$234:$W$234,'My Rota'!$D$4&amp;" ~*")&gt;0,$B$234&amp;IF(COUNTIF($W$234:$W$234,'My Rota'!$D$4&amp;" ~*")&gt;0," *","")&amp;CHAR(10),"")&amp;IF(COUNTIF($W$235:$W$235,'My Rota'!$D$4)+COUNTIF($W$235:$W$235,'My Rota'!$D$4&amp;" ~*")&gt;0,$B$235&amp;IF(COUNTIF($W$235:$W$235,'My Rota'!$D$4&amp;" ~*")&gt;0," *","")&amp;CHAR(10),""))</f>
        <v/>
      </c>
      <c r="R313">
        <f>IF(C313="","",IF(COUNTIF($Y$218:$Y$218,'My Rota'!$D$4)+COUNTIF($Y$218:$Y$218,'My Rota'!$D$4&amp;" ~*")&gt;0,$B$218&amp;IF(COUNTIF($Y$218:$Y$218,'My Rota'!$D$4&amp;" ~*")&gt;0," *","")&amp;CHAR(10),"")&amp;IF(COUNTIF($Y$219:$Y$219,'My Rota'!$D$4)+COUNTIF($Y$219:$Y$219,'My Rota'!$D$4&amp;" ~*")&gt;0,$B$219&amp;IF(COUNTIF($Y$219:$Y$219,'My Rota'!$D$4&amp;" ~*")&gt;0," *","")&amp;CHAR(10),"")&amp;IF(COUNTIF($Y$220:$Y$220,'My Rota'!$D$4)+COUNTIF($Y$220:$Y$220,'My Rota'!$D$4&amp;" ~*")&gt;0,$B$220&amp;IF(COUNTIF($Y$220:$Y$220,'My Rota'!$D$4&amp;" ~*")&gt;0," *","")&amp;CHAR(10),"")&amp;IF(COUNTIF($Y$221:$Y$221,'My Rota'!$D$4)+COUNTIF($Y$221:$Y$221,'My Rota'!$D$4&amp;" ~*")&gt;0,$B$221&amp;IF(COUNTIF($Y$221:$Y$221,'My Rota'!$D$4&amp;" ~*")&gt;0," *","")&amp;CHAR(10),"")&amp;IF(COUNTIF($Y$222:$Y$222,'My Rota'!$D$4)+COUNTIF($Y$222:$Y$222,'My Rota'!$D$4&amp;" ~*")&gt;0,$B$222&amp;IF(COUNTIF($Y$222:$Y$222,'My Rota'!$D$4&amp;" ~*")&gt;0," *","")&amp;CHAR(10),"")&amp;IF(COUNTIF($Y$223:$Y$223,'My Rota'!$D$4)+COUNTIF($Y$223:$Y$223,'My Rota'!$D$4&amp;" ~*")&gt;0,$B$223&amp;IF(COUNTIF($Y$223:$Y$223,'My Rota'!$D$4&amp;" ~*")&gt;0," *","")&amp;CHAR(10),"")&amp;IF(COUNTIF($Y$224:$Y$224,'My Rota'!$D$4)+COUNTIF($Y$224:$Y$224,'My Rota'!$D$4&amp;" ~*")&gt;0,$B$224&amp;IF(COUNTIF($Y$224:$Y$224,'My Rota'!$D$4&amp;" ~*")&gt;0," *","")&amp;CHAR(10),"")&amp;IF(COUNTIF($Y$225:$Y$225,'My Rota'!$D$4)+COUNTIF($Y$225:$Y$225,'My Rota'!$D$4&amp;" ~*")&gt;0,$B$225&amp;IF(COUNTIF($Y$225:$Y$225,'My Rota'!$D$4&amp;" ~*")&gt;0," *","")&amp;CHAR(10),"")&amp;IF(COUNTIF($Y$226:$Y$226,'My Rota'!$D$4)+COUNTIF($Y$226:$Y$226,'My Rota'!$D$4&amp;" ~*")&gt;0,$B$226&amp;IF(COUNTIF($Y$226:$Y$226,'My Rota'!$D$4&amp;" ~*")&gt;0," *","")&amp;CHAR(10),"")&amp;IF(COUNTIF($Y$227:$Y$227,'My Rota'!$D$4)+COUNTIF($Y$227:$Y$227,'My Rota'!$D$4&amp;" ~*")&gt;0,$B$227&amp;IF(COUNTIF($Y$227:$Y$227,'My Rota'!$D$4&amp;" ~*")&gt;0," *","")&amp;CHAR(10),"")&amp;IF(COUNTIF($Y$228:$Y$228,'My Rota'!$D$4)+COUNTIF($Y$228:$Y$228,'My Rota'!$D$4&amp;" ~*")&gt;0,$B$228&amp;IF(COUNTIF($Y$228:$Y$228,'My Rota'!$D$4&amp;" ~*")&gt;0," *","")&amp;CHAR(10),"")&amp;IF(COUNTIF($Y$229:$Y$229,'My Rota'!$D$4)+COUNTIF($Y$229:$Y$229,'My Rota'!$D$4&amp;" ~*")&gt;0,$B$229&amp;IF(COUNTIF($Y$229:$Y$229,'My Rota'!$D$4&amp;" ~*")&gt;0," *","")&amp;CHAR(10),"")&amp;IF(COUNTIF($Y$230:$Y$230,'My Rota'!$D$4)+COUNTIF($Y$230:$Y$230,'My Rota'!$D$4&amp;" ~*")&gt;0,$B$230&amp;IF(COUNTIF($Y$230:$Y$230,'My Rota'!$D$4&amp;" ~*")&gt;0," *","")&amp;CHAR(10),"")&amp;IF(COUNTIF($Y$231:$Y$231,'My Rota'!$D$4)+COUNTIF($Y$231:$Y$231,'My Rota'!$D$4&amp;" ~*")&gt;0,$B$231&amp;IF(COUNTIF($Y$231:$Y$231,'My Rota'!$D$4&amp;" ~*")&gt;0," *","")&amp;CHAR(10),"")&amp;IF(COUNTIF($Y$232:$Y$232,'My Rota'!$D$4)+COUNTIF($Y$232:$Y$232,'My Rota'!$D$4&amp;" ~*")&gt;0,$B$232&amp;IF(COUNTIF($Y$232:$Y$232,'My Rota'!$D$4&amp;" ~*")&gt;0," *","")&amp;CHAR(10),"")&amp;IF(COUNTIF($Y$233:$Y$233,'My Rota'!$D$4)+COUNTIF($Y$233:$Y$233,'My Rota'!$D$4&amp;" ~*")&gt;0,$B$233&amp;IF(COUNTIF($Y$233:$Y$233,'My Rota'!$D$4&amp;" ~*")&gt;0," *","")&amp;CHAR(10),"")&amp;IF(COUNTIF($Y$234:$Y$234,'My Rota'!$D$4)+COUNTIF($Y$234:$Y$234,'My Rota'!$D$4&amp;" ~*")&gt;0,$B$234&amp;IF(COUNTIF($Y$234:$Y$234,'My Rota'!$D$4&amp;" ~*")&gt;0," *","")&amp;CHAR(10),"")&amp;IF(COUNTIF($Y$235:$Y$235,'My Rota'!$D$4)+COUNTIF($Y$235:$Y$235,'My Rota'!$D$4&amp;" ~*")&gt;0,$B$235&amp;IF(COUNTIF($Y$235:$Y$235,'My Rota'!$D$4&amp;" ~*")&gt;0," *","")&amp;CHAR(10),""))</f>
        <v/>
      </c>
      <c r="T313">
        <f>IF(L313="","",LEFT(L313,LEN(L313)-1))</f>
        <v/>
      </c>
      <c r="U313">
        <f>IF(M313="","",LEFT(M313,LEN(M313)-1))</f>
        <v/>
      </c>
      <c r="V313">
        <f>IF(N313="","",LEFT(N313,LEN(N313)-1))</f>
        <v/>
      </c>
      <c r="W313">
        <f>IF(O313="","",LEFT(O313,LEN(O313)-1))</f>
        <v/>
      </c>
      <c r="X313">
        <f>IF(P313="","",LEFT(P313,LEN(P313)-1))</f>
        <v/>
      </c>
      <c r="Y313">
        <f>IF(Q313="","",LEFT(Q313,LEN(Q313)-1))</f>
        <v/>
      </c>
      <c r="Z313">
        <f>IF(R313="","",LEFT(R313,LEN(R313)-1))</f>
        <v/>
      </c>
    </row>
    <row r="314">
      <c r="A314" t="n">
        <v>3</v>
      </c>
      <c r="C314" s="180">
        <f>IF((N('My Rota'!$D$6)+2)&gt;53,"",INDEX(Setup!$L$33:$L$36,IFERROR(MATCH('My Rota'!$D$5,Setup!$K$33:$K$36,0),1))+7*((N('My Rota'!$D$6)+2)-1))</f>
        <v/>
      </c>
      <c r="D314">
        <f>IF(OR('My Rota'!$D$4="",(N('My Rota'!$D$6)+2)&gt;53),"",""&amp;CHOOSE(IFERROR(MATCH('My Rota'!$D$5,Setup!$K$33:$K$36,0),1),INDEX('2027'!$A:$Z,(5+50*((N('My Rota'!$D$6)+2)-1))+21+IFERROR(MATCH('My Rota'!$D$4,Setup!$B$6:$B$29,0),1),3),INDEX('2028'!$A:$Z,(5+50*((N('My Rota'!$D$6)+2)-1))+21+IFERROR(MATCH('My Rota'!$D$4,Setup!$B$6:$B$29,0),1),3),INDEX('2029'!$A:$Z,(5+50*((N('My Rota'!$D$6)+2)-1))+21+IFERROR(MATCH('My Rota'!$D$4,Setup!$B$6:$B$29,0),1),3),INDEX('2030'!$A:$Z,(5+50*((N('My Rota'!$D$6)+2)-1))+21+IFERROR(MATCH('My Rota'!$D$4,Setup!$B$6:$B$29,0),1),3)))</f>
        <v/>
      </c>
      <c r="E314">
        <f>IF(OR('My Rota'!$D$4="",(N('My Rota'!$D$6)+2)&gt;53),"",""&amp;CHOOSE(IFERROR(MATCH('My Rota'!$D$5,Setup!$K$33:$K$36,0),1),INDEX('2027'!$A:$Z,(5+50*((N('My Rota'!$D$6)+2)-1))+21+IFERROR(MATCH('My Rota'!$D$4,Setup!$B$6:$B$29,0),1),7),INDEX('2028'!$A:$Z,(5+50*((N('My Rota'!$D$6)+2)-1))+21+IFERROR(MATCH('My Rota'!$D$4,Setup!$B$6:$B$29,0),1),7),INDEX('2029'!$A:$Z,(5+50*((N('My Rota'!$D$6)+2)-1))+21+IFERROR(MATCH('My Rota'!$D$4,Setup!$B$6:$B$29,0),1),7),INDEX('2030'!$A:$Z,(5+50*((N('My Rota'!$D$6)+2)-1))+21+IFERROR(MATCH('My Rota'!$D$4,Setup!$B$6:$B$29,0),1),7)))</f>
        <v/>
      </c>
      <c r="F314">
        <f>IF(OR('My Rota'!$D$4="",(N('My Rota'!$D$6)+2)&gt;53),"",""&amp;CHOOSE(IFERROR(MATCH('My Rota'!$D$5,Setup!$K$33:$K$36,0),1),INDEX('2027'!$A:$Z,(5+50*((N('My Rota'!$D$6)+2)-1))+21+IFERROR(MATCH('My Rota'!$D$4,Setup!$B$6:$B$29,0),1),11),INDEX('2028'!$A:$Z,(5+50*((N('My Rota'!$D$6)+2)-1))+21+IFERROR(MATCH('My Rota'!$D$4,Setup!$B$6:$B$29,0),1),11),INDEX('2029'!$A:$Z,(5+50*((N('My Rota'!$D$6)+2)-1))+21+IFERROR(MATCH('My Rota'!$D$4,Setup!$B$6:$B$29,0),1),11),INDEX('2030'!$A:$Z,(5+50*((N('My Rota'!$D$6)+2)-1))+21+IFERROR(MATCH('My Rota'!$D$4,Setup!$B$6:$B$29,0),1),11)))</f>
        <v/>
      </c>
      <c r="G314">
        <f>IF(OR('My Rota'!$D$4="",(N('My Rota'!$D$6)+2)&gt;53),"",""&amp;CHOOSE(IFERROR(MATCH('My Rota'!$D$5,Setup!$K$33:$K$36,0),1),INDEX('2027'!$A:$Z,(5+50*((N('My Rota'!$D$6)+2)-1))+21+IFERROR(MATCH('My Rota'!$D$4,Setup!$B$6:$B$29,0),1),15),INDEX('2028'!$A:$Z,(5+50*((N('My Rota'!$D$6)+2)-1))+21+IFERROR(MATCH('My Rota'!$D$4,Setup!$B$6:$B$29,0),1),15),INDEX('2029'!$A:$Z,(5+50*((N('My Rota'!$D$6)+2)-1))+21+IFERROR(MATCH('My Rota'!$D$4,Setup!$B$6:$B$29,0),1),15),INDEX('2030'!$A:$Z,(5+50*((N('My Rota'!$D$6)+2)-1))+21+IFERROR(MATCH('My Rota'!$D$4,Setup!$B$6:$B$29,0),1),15)))</f>
        <v/>
      </c>
      <c r="H314">
        <f>IF(OR('My Rota'!$D$4="",(N('My Rota'!$D$6)+2)&gt;53),"",""&amp;CHOOSE(IFERROR(MATCH('My Rota'!$D$5,Setup!$K$33:$K$36,0),1),INDEX('2027'!$A:$Z,(5+50*((N('My Rota'!$D$6)+2)-1))+21+IFERROR(MATCH('My Rota'!$D$4,Setup!$B$6:$B$29,0),1),19),INDEX('2028'!$A:$Z,(5+50*((N('My Rota'!$D$6)+2)-1))+21+IFERROR(MATCH('My Rota'!$D$4,Setup!$B$6:$B$29,0),1),19),INDEX('2029'!$A:$Z,(5+50*((N('My Rota'!$D$6)+2)-1))+21+IFERROR(MATCH('My Rota'!$D$4,Setup!$B$6:$B$29,0),1),19),INDEX('2030'!$A:$Z,(5+50*((N('My Rota'!$D$6)+2)-1))+21+IFERROR(MATCH('My Rota'!$D$4,Setup!$B$6:$B$29,0),1),19)))</f>
        <v/>
      </c>
      <c r="I314">
        <f>IF(OR('My Rota'!$D$4="",(N('My Rota'!$D$6)+2)&gt;53),"",""&amp;CHOOSE(IFERROR(MATCH('My Rota'!$D$5,Setup!$K$33:$K$36,0),1),INDEX('2027'!$A:$Z,(5+50*((N('My Rota'!$D$6)+2)-1))+21+IFERROR(MATCH('My Rota'!$D$4,Setup!$B$6:$B$29,0),1),23),INDEX('2028'!$A:$Z,(5+50*((N('My Rota'!$D$6)+2)-1))+21+IFERROR(MATCH('My Rota'!$D$4,Setup!$B$6:$B$29,0),1),23),INDEX('2029'!$A:$Z,(5+50*((N('My Rota'!$D$6)+2)-1))+21+IFERROR(MATCH('My Rota'!$D$4,Setup!$B$6:$B$29,0),1),23),INDEX('2030'!$A:$Z,(5+50*((N('My Rota'!$D$6)+2)-1))+21+IFERROR(MATCH('My Rota'!$D$4,Setup!$B$6:$B$29,0),1),23)))</f>
        <v/>
      </c>
      <c r="J314">
        <f>IF(OR('My Rota'!$D$4="",(N('My Rota'!$D$6)+2)&gt;53),"",""&amp;CHOOSE(IFERROR(MATCH('My Rota'!$D$5,Setup!$K$33:$K$36,0),1),INDEX('2027'!$A:$Z,(5+50*((N('My Rota'!$D$6)+2)-1))+21+IFERROR(MATCH('My Rota'!$D$4,Setup!$B$6:$B$29,0),1),25),INDEX('2028'!$A:$Z,(5+50*((N('My Rota'!$D$6)+2)-1))+21+IFERROR(MATCH('My Rota'!$D$4,Setup!$B$6:$B$29,0),1),25),INDEX('2029'!$A:$Z,(5+50*((N('My Rota'!$D$6)+2)-1))+21+IFERROR(MATCH('My Rota'!$D$4,Setup!$B$6:$B$29,0),1),25),INDEX('2030'!$A:$Z,(5+50*((N('My Rota'!$D$6)+2)-1))+21+IFERROR(MATCH('My Rota'!$D$4,Setup!$B$6:$B$29,0),1),25)))</f>
        <v/>
      </c>
      <c r="L314">
        <f>IF(C314="","",IF(COUNTIF($C$236:$E$236,'My Rota'!$D$4)+COUNTIF($C$236:$E$236,'My Rota'!$D$4&amp;" ~*")&gt;0,$B$236&amp;IF(COUNTIF($C$236:$E$236,'My Rota'!$D$4&amp;" ~*")&gt;0," *","")&amp;CHAR(10),"")&amp;IF(COUNTIF($C$237:$E$237,'My Rota'!$D$4)+COUNTIF($C$237:$E$237,'My Rota'!$D$4&amp;" ~*")&gt;0,$B$237&amp;IF(COUNTIF($C$237:$E$237,'My Rota'!$D$4&amp;" ~*")&gt;0," *","")&amp;CHAR(10),"")&amp;IF(COUNTIF($C$238:$E$238,'My Rota'!$D$4)+COUNTIF($C$238:$E$238,'My Rota'!$D$4&amp;" ~*")&gt;0,$B$238&amp;IF(COUNTIF($C$238:$E$238,'My Rota'!$D$4&amp;" ~*")&gt;0," *","")&amp;CHAR(10),"")&amp;IF(COUNTIF($C$239:$E$239,'My Rota'!$D$4)+COUNTIF($C$239:$E$239,'My Rota'!$D$4&amp;" ~*")&gt;0,$B$239&amp;IF(COUNTIF($C$239:$E$239,'My Rota'!$D$4&amp;" ~*")&gt;0," *","")&amp;CHAR(10),"")&amp;IF(COUNTIF($C$240:$E$240,'My Rota'!$D$4)+COUNTIF($C$240:$E$240,'My Rota'!$D$4&amp;" ~*")&gt;0,$B$240&amp;IF(COUNTIF($C$240:$E$240,'My Rota'!$D$4&amp;" ~*")&gt;0," *","")&amp;CHAR(10),"")&amp;IF(COUNTIF($C$241:$E$241,'My Rota'!$D$4)+COUNTIF($C$241:$E$241,'My Rota'!$D$4&amp;" ~*")&gt;0,$B$241&amp;IF(COUNTIF($C$241:$E$241,'My Rota'!$D$4&amp;" ~*")&gt;0," *","")&amp;CHAR(10),"")&amp;IF(COUNTIF($C$242:$E$242,'My Rota'!$D$4)+COUNTIF($C$242:$E$242,'My Rota'!$D$4&amp;" ~*")&gt;0,$B$242&amp;IF(COUNTIF($C$242:$E$242,'My Rota'!$D$4&amp;" ~*")&gt;0," *","")&amp;CHAR(10),"")&amp;IF(COUNTIF($C$243:$E$243,'My Rota'!$D$4)+COUNTIF($C$243:$E$243,'My Rota'!$D$4&amp;" ~*")&gt;0,$B$243&amp;IF(COUNTIF($C$243:$E$243,'My Rota'!$D$4&amp;" ~*")&gt;0," *","")&amp;CHAR(10),"")&amp;IF(COUNTIF($C$244:$E$244,'My Rota'!$D$4)+COUNTIF($C$244:$E$244,'My Rota'!$D$4&amp;" ~*")&gt;0,$B$244&amp;IF(COUNTIF($C$244:$E$244,'My Rota'!$D$4&amp;" ~*")&gt;0," *","")&amp;CHAR(10),"")&amp;IF(COUNTIF($C$245:$E$245,'My Rota'!$D$4)+COUNTIF($C$245:$E$245,'My Rota'!$D$4&amp;" ~*")&gt;0,$B$245&amp;IF(COUNTIF($C$245:$E$245,'My Rota'!$D$4&amp;" ~*")&gt;0," *","")&amp;CHAR(10),"")&amp;IF(COUNTIF($C$246:$E$246,'My Rota'!$D$4)+COUNTIF($C$246:$E$246,'My Rota'!$D$4&amp;" ~*")&gt;0,$B$246&amp;IF(COUNTIF($C$246:$E$246,'My Rota'!$D$4&amp;" ~*")&gt;0," *","")&amp;CHAR(10),"")&amp;IF(COUNTIF($C$247:$E$247,'My Rota'!$D$4)+COUNTIF($C$247:$E$247,'My Rota'!$D$4&amp;" ~*")&gt;0,$B$247&amp;IF(COUNTIF($C$247:$E$247,'My Rota'!$D$4&amp;" ~*")&gt;0," *","")&amp;CHAR(10),"")&amp;IF(COUNTIF($C$248:$E$248,'My Rota'!$D$4)+COUNTIF($C$248:$E$248,'My Rota'!$D$4&amp;" ~*")&gt;0,$B$248&amp;IF(COUNTIF($C$248:$E$248,'My Rota'!$D$4&amp;" ~*")&gt;0," *","")&amp;CHAR(10),"")&amp;IF(COUNTIF($C$249:$E$249,'My Rota'!$D$4)+COUNTIF($C$249:$E$249,'My Rota'!$D$4&amp;" ~*")&gt;0,$B$249&amp;IF(COUNTIF($C$249:$E$249,'My Rota'!$D$4&amp;" ~*")&gt;0," *","")&amp;CHAR(10),"")&amp;IF(COUNTIF($C$250:$E$250,'My Rota'!$D$4)+COUNTIF($C$250:$E$250,'My Rota'!$D$4&amp;" ~*")&gt;0,$B$250&amp;IF(COUNTIF($C$250:$E$250,'My Rota'!$D$4&amp;" ~*")&gt;0," *","")&amp;CHAR(10),"")&amp;IF(COUNTIF($C$251:$E$251,'My Rota'!$D$4)+COUNTIF($C$251:$E$251,'My Rota'!$D$4&amp;" ~*")&gt;0,$B$251&amp;IF(COUNTIF($C$251:$E$251,'My Rota'!$D$4&amp;" ~*")&gt;0," *","")&amp;CHAR(10),"")&amp;IF(COUNTIF($C$252:$E$252,'My Rota'!$D$4)+COUNTIF($C$252:$E$252,'My Rota'!$D$4&amp;" ~*")&gt;0,$B$252&amp;IF(COUNTIF($C$252:$E$252,'My Rota'!$D$4&amp;" ~*")&gt;0," *","")&amp;CHAR(10),"")&amp;IF(COUNTIF($C$253:$E$253,'My Rota'!$D$4)+COUNTIF($C$253:$E$253,'My Rota'!$D$4&amp;" ~*")&gt;0,$B$253&amp;IF(COUNTIF($C$253:$E$253,'My Rota'!$D$4&amp;" ~*")&gt;0," *","")&amp;CHAR(10),""))</f>
        <v/>
      </c>
      <c r="M314">
        <f>IF(C314="","",IF(COUNTIF($G$236:$I$236,'My Rota'!$D$4)+COUNTIF($G$236:$I$236,'My Rota'!$D$4&amp;" ~*")&gt;0,$B$236&amp;IF(COUNTIF($G$236:$I$236,'My Rota'!$D$4&amp;" ~*")&gt;0," *","")&amp;CHAR(10),"")&amp;IF(COUNTIF($G$237:$I$237,'My Rota'!$D$4)+COUNTIF($G$237:$I$237,'My Rota'!$D$4&amp;" ~*")&gt;0,$B$237&amp;IF(COUNTIF($G$237:$I$237,'My Rota'!$D$4&amp;" ~*")&gt;0," *","")&amp;CHAR(10),"")&amp;IF(COUNTIF($G$238:$I$238,'My Rota'!$D$4)+COUNTIF($G$238:$I$238,'My Rota'!$D$4&amp;" ~*")&gt;0,$B$238&amp;IF(COUNTIF($G$238:$I$238,'My Rota'!$D$4&amp;" ~*")&gt;0," *","")&amp;CHAR(10),"")&amp;IF(COUNTIF($G$239:$I$239,'My Rota'!$D$4)+COUNTIF($G$239:$I$239,'My Rota'!$D$4&amp;" ~*")&gt;0,$B$239&amp;IF(COUNTIF($G$239:$I$239,'My Rota'!$D$4&amp;" ~*")&gt;0," *","")&amp;CHAR(10),"")&amp;IF(COUNTIF($G$240:$I$240,'My Rota'!$D$4)+COUNTIF($G$240:$I$240,'My Rota'!$D$4&amp;" ~*")&gt;0,$B$240&amp;IF(COUNTIF($G$240:$I$240,'My Rota'!$D$4&amp;" ~*")&gt;0," *","")&amp;CHAR(10),"")&amp;IF(COUNTIF($G$241:$I$241,'My Rota'!$D$4)+COUNTIF($G$241:$I$241,'My Rota'!$D$4&amp;" ~*")&gt;0,$B$241&amp;IF(COUNTIF($G$241:$I$241,'My Rota'!$D$4&amp;" ~*")&gt;0," *","")&amp;CHAR(10),"")&amp;IF(COUNTIF($G$242:$I$242,'My Rota'!$D$4)+COUNTIF($G$242:$I$242,'My Rota'!$D$4&amp;" ~*")&gt;0,$B$242&amp;IF(COUNTIF($G$242:$I$242,'My Rota'!$D$4&amp;" ~*")&gt;0," *","")&amp;CHAR(10),"")&amp;IF(COUNTIF($G$243:$I$243,'My Rota'!$D$4)+COUNTIF($G$243:$I$243,'My Rota'!$D$4&amp;" ~*")&gt;0,$B$243&amp;IF(COUNTIF($G$243:$I$243,'My Rota'!$D$4&amp;" ~*")&gt;0," *","")&amp;CHAR(10),"")&amp;IF(COUNTIF($G$244:$I$244,'My Rota'!$D$4)+COUNTIF($G$244:$I$244,'My Rota'!$D$4&amp;" ~*")&gt;0,$B$244&amp;IF(COUNTIF($G$244:$I$244,'My Rota'!$D$4&amp;" ~*")&gt;0," *","")&amp;CHAR(10),"")&amp;IF(COUNTIF($G$245:$I$245,'My Rota'!$D$4)+COUNTIF($G$245:$I$245,'My Rota'!$D$4&amp;" ~*")&gt;0,$B$245&amp;IF(COUNTIF($G$245:$I$245,'My Rota'!$D$4&amp;" ~*")&gt;0," *","")&amp;CHAR(10),"")&amp;IF(COUNTIF($G$246:$I$246,'My Rota'!$D$4)+COUNTIF($G$246:$I$246,'My Rota'!$D$4&amp;" ~*")&gt;0,$B$246&amp;IF(COUNTIF($G$246:$I$246,'My Rota'!$D$4&amp;" ~*")&gt;0," *","")&amp;CHAR(10),"")&amp;IF(COUNTIF($G$247:$I$247,'My Rota'!$D$4)+COUNTIF($G$247:$I$247,'My Rota'!$D$4&amp;" ~*")&gt;0,$B$247&amp;IF(COUNTIF($G$247:$I$247,'My Rota'!$D$4&amp;" ~*")&gt;0," *","")&amp;CHAR(10),"")&amp;IF(COUNTIF($G$248:$I$248,'My Rota'!$D$4)+COUNTIF($G$248:$I$248,'My Rota'!$D$4&amp;" ~*")&gt;0,$B$248&amp;IF(COUNTIF($G$248:$I$248,'My Rota'!$D$4&amp;" ~*")&gt;0," *","")&amp;CHAR(10),"")&amp;IF(COUNTIF($G$249:$I$249,'My Rota'!$D$4)+COUNTIF($G$249:$I$249,'My Rota'!$D$4&amp;" ~*")&gt;0,$B$249&amp;IF(COUNTIF($G$249:$I$249,'My Rota'!$D$4&amp;" ~*")&gt;0," *","")&amp;CHAR(10),"")&amp;IF(COUNTIF($G$250:$I$250,'My Rota'!$D$4)+COUNTIF($G$250:$I$250,'My Rota'!$D$4&amp;" ~*")&gt;0,$B$250&amp;IF(COUNTIF($G$250:$I$250,'My Rota'!$D$4&amp;" ~*")&gt;0," *","")&amp;CHAR(10),"")&amp;IF(COUNTIF($G$251:$I$251,'My Rota'!$D$4)+COUNTIF($G$251:$I$251,'My Rota'!$D$4&amp;" ~*")&gt;0,$B$251&amp;IF(COUNTIF($G$251:$I$251,'My Rota'!$D$4&amp;" ~*")&gt;0," *","")&amp;CHAR(10),"")&amp;IF(COUNTIF($G$252:$I$252,'My Rota'!$D$4)+COUNTIF($G$252:$I$252,'My Rota'!$D$4&amp;" ~*")&gt;0,$B$252&amp;IF(COUNTIF($G$252:$I$252,'My Rota'!$D$4&amp;" ~*")&gt;0," *","")&amp;CHAR(10),"")&amp;IF(COUNTIF($G$253:$I$253,'My Rota'!$D$4)+COUNTIF($G$253:$I$253,'My Rota'!$D$4&amp;" ~*")&gt;0,$B$253&amp;IF(COUNTIF($G$253:$I$253,'My Rota'!$D$4&amp;" ~*")&gt;0," *","")&amp;CHAR(10),""))</f>
        <v/>
      </c>
      <c r="N314">
        <f>IF(C314="","",IF(COUNTIF($K$236:$M$236,'My Rota'!$D$4)+COUNTIF($K$236:$M$236,'My Rota'!$D$4&amp;" ~*")&gt;0,$B$236&amp;IF(COUNTIF($K$236:$M$236,'My Rota'!$D$4&amp;" ~*")&gt;0," *","")&amp;CHAR(10),"")&amp;IF(COUNTIF($K$237:$M$237,'My Rota'!$D$4)+COUNTIF($K$237:$M$237,'My Rota'!$D$4&amp;" ~*")&gt;0,$B$237&amp;IF(COUNTIF($K$237:$M$237,'My Rota'!$D$4&amp;" ~*")&gt;0," *","")&amp;CHAR(10),"")&amp;IF(COUNTIF($K$238:$M$238,'My Rota'!$D$4)+COUNTIF($K$238:$M$238,'My Rota'!$D$4&amp;" ~*")&gt;0,$B$238&amp;IF(COUNTIF($K$238:$M$238,'My Rota'!$D$4&amp;" ~*")&gt;0," *","")&amp;CHAR(10),"")&amp;IF(COUNTIF($K$239:$M$239,'My Rota'!$D$4)+COUNTIF($K$239:$M$239,'My Rota'!$D$4&amp;" ~*")&gt;0,$B$239&amp;IF(COUNTIF($K$239:$M$239,'My Rota'!$D$4&amp;" ~*")&gt;0," *","")&amp;CHAR(10),"")&amp;IF(COUNTIF($K$240:$M$240,'My Rota'!$D$4)+COUNTIF($K$240:$M$240,'My Rota'!$D$4&amp;" ~*")&gt;0,$B$240&amp;IF(COUNTIF($K$240:$M$240,'My Rota'!$D$4&amp;" ~*")&gt;0," *","")&amp;CHAR(10),"")&amp;IF(COUNTIF($K$241:$M$241,'My Rota'!$D$4)+COUNTIF($K$241:$M$241,'My Rota'!$D$4&amp;" ~*")&gt;0,$B$241&amp;IF(COUNTIF($K$241:$M$241,'My Rota'!$D$4&amp;" ~*")&gt;0," *","")&amp;CHAR(10),"")&amp;IF(COUNTIF($K$242:$M$242,'My Rota'!$D$4)+COUNTIF($K$242:$M$242,'My Rota'!$D$4&amp;" ~*")&gt;0,$B$242&amp;IF(COUNTIF($K$242:$M$242,'My Rota'!$D$4&amp;" ~*")&gt;0," *","")&amp;CHAR(10),"")&amp;IF(COUNTIF($K$243:$M$243,'My Rota'!$D$4)+COUNTIF($K$243:$M$243,'My Rota'!$D$4&amp;" ~*")&gt;0,$B$243&amp;IF(COUNTIF($K$243:$M$243,'My Rota'!$D$4&amp;" ~*")&gt;0," *","")&amp;CHAR(10),"")&amp;IF(COUNTIF($K$244:$M$244,'My Rota'!$D$4)+COUNTIF($K$244:$M$244,'My Rota'!$D$4&amp;" ~*")&gt;0,$B$244&amp;IF(COUNTIF($K$244:$M$244,'My Rota'!$D$4&amp;" ~*")&gt;0," *","")&amp;CHAR(10),"")&amp;IF(COUNTIF($K$245:$M$245,'My Rota'!$D$4)+COUNTIF($K$245:$M$245,'My Rota'!$D$4&amp;" ~*")&gt;0,$B$245&amp;IF(COUNTIF($K$245:$M$245,'My Rota'!$D$4&amp;" ~*")&gt;0," *","")&amp;CHAR(10),"")&amp;IF(COUNTIF($K$246:$M$246,'My Rota'!$D$4)+COUNTIF($K$246:$M$246,'My Rota'!$D$4&amp;" ~*")&gt;0,$B$246&amp;IF(COUNTIF($K$246:$M$246,'My Rota'!$D$4&amp;" ~*")&gt;0," *","")&amp;CHAR(10),"")&amp;IF(COUNTIF($K$247:$M$247,'My Rota'!$D$4)+COUNTIF($K$247:$M$247,'My Rota'!$D$4&amp;" ~*")&gt;0,$B$247&amp;IF(COUNTIF($K$247:$M$247,'My Rota'!$D$4&amp;" ~*")&gt;0," *","")&amp;CHAR(10),"")&amp;IF(COUNTIF($K$248:$M$248,'My Rota'!$D$4)+COUNTIF($K$248:$M$248,'My Rota'!$D$4&amp;" ~*")&gt;0,$B$248&amp;IF(COUNTIF($K$248:$M$248,'My Rota'!$D$4&amp;" ~*")&gt;0," *","")&amp;CHAR(10),"")&amp;IF(COUNTIF($K$249:$M$249,'My Rota'!$D$4)+COUNTIF($K$249:$M$249,'My Rota'!$D$4&amp;" ~*")&gt;0,$B$249&amp;IF(COUNTIF($K$249:$M$249,'My Rota'!$D$4&amp;" ~*")&gt;0," *","")&amp;CHAR(10),"")&amp;IF(COUNTIF($K$250:$M$250,'My Rota'!$D$4)+COUNTIF($K$250:$M$250,'My Rota'!$D$4&amp;" ~*")&gt;0,$B$250&amp;IF(COUNTIF($K$250:$M$250,'My Rota'!$D$4&amp;" ~*")&gt;0," *","")&amp;CHAR(10),"")&amp;IF(COUNTIF($K$251:$M$251,'My Rota'!$D$4)+COUNTIF($K$251:$M$251,'My Rota'!$D$4&amp;" ~*")&gt;0,$B$251&amp;IF(COUNTIF($K$251:$M$251,'My Rota'!$D$4&amp;" ~*")&gt;0," *","")&amp;CHAR(10),"")&amp;IF(COUNTIF($K$252:$M$252,'My Rota'!$D$4)+COUNTIF($K$252:$M$252,'My Rota'!$D$4&amp;" ~*")&gt;0,$B$252&amp;IF(COUNTIF($K$252:$M$252,'My Rota'!$D$4&amp;" ~*")&gt;0," *","")&amp;CHAR(10),"")&amp;IF(COUNTIF($K$253:$M$253,'My Rota'!$D$4)+COUNTIF($K$253:$M$253,'My Rota'!$D$4&amp;" ~*")&gt;0,$B$253&amp;IF(COUNTIF($K$253:$M$253,'My Rota'!$D$4&amp;" ~*")&gt;0," *","")&amp;CHAR(10),""))</f>
        <v/>
      </c>
      <c r="O314">
        <f>IF(C314="","",IF(COUNTIF($O$236:$Q$236,'My Rota'!$D$4)+COUNTIF($O$236:$Q$236,'My Rota'!$D$4&amp;" ~*")&gt;0,$B$236&amp;IF(COUNTIF($O$236:$Q$236,'My Rota'!$D$4&amp;" ~*")&gt;0," *","")&amp;CHAR(10),"")&amp;IF(COUNTIF($O$237:$Q$237,'My Rota'!$D$4)+COUNTIF($O$237:$Q$237,'My Rota'!$D$4&amp;" ~*")&gt;0,$B$237&amp;IF(COUNTIF($O$237:$Q$237,'My Rota'!$D$4&amp;" ~*")&gt;0," *","")&amp;CHAR(10),"")&amp;IF(COUNTIF($O$238:$Q$238,'My Rota'!$D$4)+COUNTIF($O$238:$Q$238,'My Rota'!$D$4&amp;" ~*")&gt;0,$B$238&amp;IF(COUNTIF($O$238:$Q$238,'My Rota'!$D$4&amp;" ~*")&gt;0," *","")&amp;CHAR(10),"")&amp;IF(COUNTIF($O$239:$Q$239,'My Rota'!$D$4)+COUNTIF($O$239:$Q$239,'My Rota'!$D$4&amp;" ~*")&gt;0,$B$239&amp;IF(COUNTIF($O$239:$Q$239,'My Rota'!$D$4&amp;" ~*")&gt;0," *","")&amp;CHAR(10),"")&amp;IF(COUNTIF($O$240:$Q$240,'My Rota'!$D$4)+COUNTIF($O$240:$Q$240,'My Rota'!$D$4&amp;" ~*")&gt;0,$B$240&amp;IF(COUNTIF($O$240:$Q$240,'My Rota'!$D$4&amp;" ~*")&gt;0," *","")&amp;CHAR(10),"")&amp;IF(COUNTIF($O$241:$Q$241,'My Rota'!$D$4)+COUNTIF($O$241:$Q$241,'My Rota'!$D$4&amp;" ~*")&gt;0,$B$241&amp;IF(COUNTIF($O$241:$Q$241,'My Rota'!$D$4&amp;" ~*")&gt;0," *","")&amp;CHAR(10),"")&amp;IF(COUNTIF($O$242:$Q$242,'My Rota'!$D$4)+COUNTIF($O$242:$Q$242,'My Rota'!$D$4&amp;" ~*")&gt;0,$B$242&amp;IF(COUNTIF($O$242:$Q$242,'My Rota'!$D$4&amp;" ~*")&gt;0," *","")&amp;CHAR(10),"")&amp;IF(COUNTIF($O$243:$Q$243,'My Rota'!$D$4)+COUNTIF($O$243:$Q$243,'My Rota'!$D$4&amp;" ~*")&gt;0,$B$243&amp;IF(COUNTIF($O$243:$Q$243,'My Rota'!$D$4&amp;" ~*")&gt;0," *","")&amp;CHAR(10),"")&amp;IF(COUNTIF($O$244:$Q$244,'My Rota'!$D$4)+COUNTIF($O$244:$Q$244,'My Rota'!$D$4&amp;" ~*")&gt;0,$B$244&amp;IF(COUNTIF($O$244:$Q$244,'My Rota'!$D$4&amp;" ~*")&gt;0," *","")&amp;CHAR(10),"")&amp;IF(COUNTIF($O$245:$Q$245,'My Rota'!$D$4)+COUNTIF($O$245:$Q$245,'My Rota'!$D$4&amp;" ~*")&gt;0,$B$245&amp;IF(COUNTIF($O$245:$Q$245,'My Rota'!$D$4&amp;" ~*")&gt;0," *","")&amp;CHAR(10),"")&amp;IF(COUNTIF($O$246:$Q$246,'My Rota'!$D$4)+COUNTIF($O$246:$Q$246,'My Rota'!$D$4&amp;" ~*")&gt;0,$B$246&amp;IF(COUNTIF($O$246:$Q$246,'My Rota'!$D$4&amp;" ~*")&gt;0," *","")&amp;CHAR(10),"")&amp;IF(COUNTIF($O$247:$Q$247,'My Rota'!$D$4)+COUNTIF($O$247:$Q$247,'My Rota'!$D$4&amp;" ~*")&gt;0,$B$247&amp;IF(COUNTIF($O$247:$Q$247,'My Rota'!$D$4&amp;" ~*")&gt;0," *","")&amp;CHAR(10),"")&amp;IF(COUNTIF($O$248:$Q$248,'My Rota'!$D$4)+COUNTIF($O$248:$Q$248,'My Rota'!$D$4&amp;" ~*")&gt;0,$B$248&amp;IF(COUNTIF($O$248:$Q$248,'My Rota'!$D$4&amp;" ~*")&gt;0," *","")&amp;CHAR(10),"")&amp;IF(COUNTIF($O$249:$Q$249,'My Rota'!$D$4)+COUNTIF($O$249:$Q$249,'My Rota'!$D$4&amp;" ~*")&gt;0,$B$249&amp;IF(COUNTIF($O$249:$Q$249,'My Rota'!$D$4&amp;" ~*")&gt;0," *","")&amp;CHAR(10),"")&amp;IF(COUNTIF($O$250:$Q$250,'My Rota'!$D$4)+COUNTIF($O$250:$Q$250,'My Rota'!$D$4&amp;" ~*")&gt;0,$B$250&amp;IF(COUNTIF($O$250:$Q$250,'My Rota'!$D$4&amp;" ~*")&gt;0," *","")&amp;CHAR(10),"")&amp;IF(COUNTIF($O$251:$Q$251,'My Rota'!$D$4)+COUNTIF($O$251:$Q$251,'My Rota'!$D$4&amp;" ~*")&gt;0,$B$251&amp;IF(COUNTIF($O$251:$Q$251,'My Rota'!$D$4&amp;" ~*")&gt;0," *","")&amp;CHAR(10),"")&amp;IF(COUNTIF($O$252:$Q$252,'My Rota'!$D$4)+COUNTIF($O$252:$Q$252,'My Rota'!$D$4&amp;" ~*")&gt;0,$B$252&amp;IF(COUNTIF($O$252:$Q$252,'My Rota'!$D$4&amp;" ~*")&gt;0," *","")&amp;CHAR(10),"")&amp;IF(COUNTIF($O$253:$Q$253,'My Rota'!$D$4)+COUNTIF($O$253:$Q$253,'My Rota'!$D$4&amp;" ~*")&gt;0,$B$253&amp;IF(COUNTIF($O$253:$Q$253,'My Rota'!$D$4&amp;" ~*")&gt;0," *","")&amp;CHAR(10),""))</f>
        <v/>
      </c>
      <c r="P314">
        <f>IF(C314="","",IF(COUNTIF($S$236:$U$236,'My Rota'!$D$4)+COUNTIF($S$236:$U$236,'My Rota'!$D$4&amp;" ~*")&gt;0,$B$236&amp;IF(COUNTIF($S$236:$U$236,'My Rota'!$D$4&amp;" ~*")&gt;0," *","")&amp;CHAR(10),"")&amp;IF(COUNTIF($S$237:$U$237,'My Rota'!$D$4)+COUNTIF($S$237:$U$237,'My Rota'!$D$4&amp;" ~*")&gt;0,$B$237&amp;IF(COUNTIF($S$237:$U$237,'My Rota'!$D$4&amp;" ~*")&gt;0," *","")&amp;CHAR(10),"")&amp;IF(COUNTIF($S$238:$U$238,'My Rota'!$D$4)+COUNTIF($S$238:$U$238,'My Rota'!$D$4&amp;" ~*")&gt;0,$B$238&amp;IF(COUNTIF($S$238:$U$238,'My Rota'!$D$4&amp;" ~*")&gt;0," *","")&amp;CHAR(10),"")&amp;IF(COUNTIF($S$239:$U$239,'My Rota'!$D$4)+COUNTIF($S$239:$U$239,'My Rota'!$D$4&amp;" ~*")&gt;0,$B$239&amp;IF(COUNTIF($S$239:$U$239,'My Rota'!$D$4&amp;" ~*")&gt;0," *","")&amp;CHAR(10),"")&amp;IF(COUNTIF($S$240:$U$240,'My Rota'!$D$4)+COUNTIF($S$240:$U$240,'My Rota'!$D$4&amp;" ~*")&gt;0,$B$240&amp;IF(COUNTIF($S$240:$U$240,'My Rota'!$D$4&amp;" ~*")&gt;0," *","")&amp;CHAR(10),"")&amp;IF(COUNTIF($S$241:$U$241,'My Rota'!$D$4)+COUNTIF($S$241:$U$241,'My Rota'!$D$4&amp;" ~*")&gt;0,$B$241&amp;IF(COUNTIF($S$241:$U$241,'My Rota'!$D$4&amp;" ~*")&gt;0," *","")&amp;CHAR(10),"")&amp;IF(COUNTIF($S$242:$U$242,'My Rota'!$D$4)+COUNTIF($S$242:$U$242,'My Rota'!$D$4&amp;" ~*")&gt;0,$B$242&amp;IF(COUNTIF($S$242:$U$242,'My Rota'!$D$4&amp;" ~*")&gt;0," *","")&amp;CHAR(10),"")&amp;IF(COUNTIF($S$243:$U$243,'My Rota'!$D$4)+COUNTIF($S$243:$U$243,'My Rota'!$D$4&amp;" ~*")&gt;0,$B$243&amp;IF(COUNTIF($S$243:$U$243,'My Rota'!$D$4&amp;" ~*")&gt;0," *","")&amp;CHAR(10),"")&amp;IF(COUNTIF($S$244:$U$244,'My Rota'!$D$4)+COUNTIF($S$244:$U$244,'My Rota'!$D$4&amp;" ~*")&gt;0,$B$244&amp;IF(COUNTIF($S$244:$U$244,'My Rota'!$D$4&amp;" ~*")&gt;0," *","")&amp;CHAR(10),"")&amp;IF(COUNTIF($S$245:$U$245,'My Rota'!$D$4)+COUNTIF($S$245:$U$245,'My Rota'!$D$4&amp;" ~*")&gt;0,$B$245&amp;IF(COUNTIF($S$245:$U$245,'My Rota'!$D$4&amp;" ~*")&gt;0," *","")&amp;CHAR(10),"")&amp;IF(COUNTIF($S$246:$U$246,'My Rota'!$D$4)+COUNTIF($S$246:$U$246,'My Rota'!$D$4&amp;" ~*")&gt;0,$B$246&amp;IF(COUNTIF($S$246:$U$246,'My Rota'!$D$4&amp;" ~*")&gt;0," *","")&amp;CHAR(10),"")&amp;IF(COUNTIF($S$247:$U$247,'My Rota'!$D$4)+COUNTIF($S$247:$U$247,'My Rota'!$D$4&amp;" ~*")&gt;0,$B$247&amp;IF(COUNTIF($S$247:$U$247,'My Rota'!$D$4&amp;" ~*")&gt;0," *","")&amp;CHAR(10),"")&amp;IF(COUNTIF($S$248:$U$248,'My Rota'!$D$4)+COUNTIF($S$248:$U$248,'My Rota'!$D$4&amp;" ~*")&gt;0,$B$248&amp;IF(COUNTIF($S$248:$U$248,'My Rota'!$D$4&amp;" ~*")&gt;0," *","")&amp;CHAR(10),"")&amp;IF(COUNTIF($S$249:$U$249,'My Rota'!$D$4)+COUNTIF($S$249:$U$249,'My Rota'!$D$4&amp;" ~*")&gt;0,$B$249&amp;IF(COUNTIF($S$249:$U$249,'My Rota'!$D$4&amp;" ~*")&gt;0," *","")&amp;CHAR(10),"")&amp;IF(COUNTIF($S$250:$U$250,'My Rota'!$D$4)+COUNTIF($S$250:$U$250,'My Rota'!$D$4&amp;" ~*")&gt;0,$B$250&amp;IF(COUNTIF($S$250:$U$250,'My Rota'!$D$4&amp;" ~*")&gt;0," *","")&amp;CHAR(10),"")&amp;IF(COUNTIF($S$251:$U$251,'My Rota'!$D$4)+COUNTIF($S$251:$U$251,'My Rota'!$D$4&amp;" ~*")&gt;0,$B$251&amp;IF(COUNTIF($S$251:$U$251,'My Rota'!$D$4&amp;" ~*")&gt;0," *","")&amp;CHAR(10),"")&amp;IF(COUNTIF($S$252:$U$252,'My Rota'!$D$4)+COUNTIF($S$252:$U$252,'My Rota'!$D$4&amp;" ~*")&gt;0,$B$252&amp;IF(COUNTIF($S$252:$U$252,'My Rota'!$D$4&amp;" ~*")&gt;0," *","")&amp;CHAR(10),"")&amp;IF(COUNTIF($S$253:$U$253,'My Rota'!$D$4)+COUNTIF($S$253:$U$253,'My Rota'!$D$4&amp;" ~*")&gt;0,$B$253&amp;IF(COUNTIF($S$253:$U$253,'My Rota'!$D$4&amp;" ~*")&gt;0," *","")&amp;CHAR(10),""))</f>
        <v/>
      </c>
      <c r="Q314">
        <f>IF(C314="","",IF(COUNTIF($W$236:$W$236,'My Rota'!$D$4)+COUNTIF($W$236:$W$236,'My Rota'!$D$4&amp;" ~*")&gt;0,$B$236&amp;IF(COUNTIF($W$236:$W$236,'My Rota'!$D$4&amp;" ~*")&gt;0," *","")&amp;CHAR(10),"")&amp;IF(COUNTIF($W$237:$W$237,'My Rota'!$D$4)+COUNTIF($W$237:$W$237,'My Rota'!$D$4&amp;" ~*")&gt;0,$B$237&amp;IF(COUNTIF($W$237:$W$237,'My Rota'!$D$4&amp;" ~*")&gt;0," *","")&amp;CHAR(10),"")&amp;IF(COUNTIF($W$238:$W$238,'My Rota'!$D$4)+COUNTIF($W$238:$W$238,'My Rota'!$D$4&amp;" ~*")&gt;0,$B$238&amp;IF(COUNTIF($W$238:$W$238,'My Rota'!$D$4&amp;" ~*")&gt;0," *","")&amp;CHAR(10),"")&amp;IF(COUNTIF($W$239:$W$239,'My Rota'!$D$4)+COUNTIF($W$239:$W$239,'My Rota'!$D$4&amp;" ~*")&gt;0,$B$239&amp;IF(COUNTIF($W$239:$W$239,'My Rota'!$D$4&amp;" ~*")&gt;0," *","")&amp;CHAR(10),"")&amp;IF(COUNTIF($W$240:$W$240,'My Rota'!$D$4)+COUNTIF($W$240:$W$240,'My Rota'!$D$4&amp;" ~*")&gt;0,$B$240&amp;IF(COUNTIF($W$240:$W$240,'My Rota'!$D$4&amp;" ~*")&gt;0," *","")&amp;CHAR(10),"")&amp;IF(COUNTIF($W$241:$W$241,'My Rota'!$D$4)+COUNTIF($W$241:$W$241,'My Rota'!$D$4&amp;" ~*")&gt;0,$B$241&amp;IF(COUNTIF($W$241:$W$241,'My Rota'!$D$4&amp;" ~*")&gt;0," *","")&amp;CHAR(10),"")&amp;IF(COUNTIF($W$242:$W$242,'My Rota'!$D$4)+COUNTIF($W$242:$W$242,'My Rota'!$D$4&amp;" ~*")&gt;0,$B$242&amp;IF(COUNTIF($W$242:$W$242,'My Rota'!$D$4&amp;" ~*")&gt;0," *","")&amp;CHAR(10),"")&amp;IF(COUNTIF($W$243:$W$243,'My Rota'!$D$4)+COUNTIF($W$243:$W$243,'My Rota'!$D$4&amp;" ~*")&gt;0,$B$243&amp;IF(COUNTIF($W$243:$W$243,'My Rota'!$D$4&amp;" ~*")&gt;0," *","")&amp;CHAR(10),"")&amp;IF(COUNTIF($W$244:$W$244,'My Rota'!$D$4)+COUNTIF($W$244:$W$244,'My Rota'!$D$4&amp;" ~*")&gt;0,$B$244&amp;IF(COUNTIF($W$244:$W$244,'My Rota'!$D$4&amp;" ~*")&gt;0," *","")&amp;CHAR(10),"")&amp;IF(COUNTIF($W$245:$W$245,'My Rota'!$D$4)+COUNTIF($W$245:$W$245,'My Rota'!$D$4&amp;" ~*")&gt;0,$B$245&amp;IF(COUNTIF($W$245:$W$245,'My Rota'!$D$4&amp;" ~*")&gt;0," *","")&amp;CHAR(10),"")&amp;IF(COUNTIF($W$246:$W$246,'My Rota'!$D$4)+COUNTIF($W$246:$W$246,'My Rota'!$D$4&amp;" ~*")&gt;0,$B$246&amp;IF(COUNTIF($W$246:$W$246,'My Rota'!$D$4&amp;" ~*")&gt;0," *","")&amp;CHAR(10),"")&amp;IF(COUNTIF($W$247:$W$247,'My Rota'!$D$4)+COUNTIF($W$247:$W$247,'My Rota'!$D$4&amp;" ~*")&gt;0,$B$247&amp;IF(COUNTIF($W$247:$W$247,'My Rota'!$D$4&amp;" ~*")&gt;0," *","")&amp;CHAR(10),"")&amp;IF(COUNTIF($W$248:$W$248,'My Rota'!$D$4)+COUNTIF($W$248:$W$248,'My Rota'!$D$4&amp;" ~*")&gt;0,$B$248&amp;IF(COUNTIF($W$248:$W$248,'My Rota'!$D$4&amp;" ~*")&gt;0," *","")&amp;CHAR(10),"")&amp;IF(COUNTIF($W$249:$W$249,'My Rota'!$D$4)+COUNTIF($W$249:$W$249,'My Rota'!$D$4&amp;" ~*")&gt;0,$B$249&amp;IF(COUNTIF($W$249:$W$249,'My Rota'!$D$4&amp;" ~*")&gt;0," *","")&amp;CHAR(10),"")&amp;IF(COUNTIF($W$250:$W$250,'My Rota'!$D$4)+COUNTIF($W$250:$W$250,'My Rota'!$D$4&amp;" ~*")&gt;0,$B$250&amp;IF(COUNTIF($W$250:$W$250,'My Rota'!$D$4&amp;" ~*")&gt;0," *","")&amp;CHAR(10),"")&amp;IF(COUNTIF($W$251:$W$251,'My Rota'!$D$4)+COUNTIF($W$251:$W$251,'My Rota'!$D$4&amp;" ~*")&gt;0,$B$251&amp;IF(COUNTIF($W$251:$W$251,'My Rota'!$D$4&amp;" ~*")&gt;0," *","")&amp;CHAR(10),"")&amp;IF(COUNTIF($W$252:$W$252,'My Rota'!$D$4)+COUNTIF($W$252:$W$252,'My Rota'!$D$4&amp;" ~*")&gt;0,$B$252&amp;IF(COUNTIF($W$252:$W$252,'My Rota'!$D$4&amp;" ~*")&gt;0," *","")&amp;CHAR(10),"")&amp;IF(COUNTIF($W$253:$W$253,'My Rota'!$D$4)+COUNTIF($W$253:$W$253,'My Rota'!$D$4&amp;" ~*")&gt;0,$B$253&amp;IF(COUNTIF($W$253:$W$253,'My Rota'!$D$4&amp;" ~*")&gt;0," *","")&amp;CHAR(10),""))</f>
        <v/>
      </c>
      <c r="R314">
        <f>IF(C314="","",IF(COUNTIF($Y$236:$Y$236,'My Rota'!$D$4)+COUNTIF($Y$236:$Y$236,'My Rota'!$D$4&amp;" ~*")&gt;0,$B$236&amp;IF(COUNTIF($Y$236:$Y$236,'My Rota'!$D$4&amp;" ~*")&gt;0," *","")&amp;CHAR(10),"")&amp;IF(COUNTIF($Y$237:$Y$237,'My Rota'!$D$4)+COUNTIF($Y$237:$Y$237,'My Rota'!$D$4&amp;" ~*")&gt;0,$B$237&amp;IF(COUNTIF($Y$237:$Y$237,'My Rota'!$D$4&amp;" ~*")&gt;0," *","")&amp;CHAR(10),"")&amp;IF(COUNTIF($Y$238:$Y$238,'My Rota'!$D$4)+COUNTIF($Y$238:$Y$238,'My Rota'!$D$4&amp;" ~*")&gt;0,$B$238&amp;IF(COUNTIF($Y$238:$Y$238,'My Rota'!$D$4&amp;" ~*")&gt;0," *","")&amp;CHAR(10),"")&amp;IF(COUNTIF($Y$239:$Y$239,'My Rota'!$D$4)+COUNTIF($Y$239:$Y$239,'My Rota'!$D$4&amp;" ~*")&gt;0,$B$239&amp;IF(COUNTIF($Y$239:$Y$239,'My Rota'!$D$4&amp;" ~*")&gt;0," *","")&amp;CHAR(10),"")&amp;IF(COUNTIF($Y$240:$Y$240,'My Rota'!$D$4)+COUNTIF($Y$240:$Y$240,'My Rota'!$D$4&amp;" ~*")&gt;0,$B$240&amp;IF(COUNTIF($Y$240:$Y$240,'My Rota'!$D$4&amp;" ~*")&gt;0," *","")&amp;CHAR(10),"")&amp;IF(COUNTIF($Y$241:$Y$241,'My Rota'!$D$4)+COUNTIF($Y$241:$Y$241,'My Rota'!$D$4&amp;" ~*")&gt;0,$B$241&amp;IF(COUNTIF($Y$241:$Y$241,'My Rota'!$D$4&amp;" ~*")&gt;0," *","")&amp;CHAR(10),"")&amp;IF(COUNTIF($Y$242:$Y$242,'My Rota'!$D$4)+COUNTIF($Y$242:$Y$242,'My Rota'!$D$4&amp;" ~*")&gt;0,$B$242&amp;IF(COUNTIF($Y$242:$Y$242,'My Rota'!$D$4&amp;" ~*")&gt;0," *","")&amp;CHAR(10),"")&amp;IF(COUNTIF($Y$243:$Y$243,'My Rota'!$D$4)+COUNTIF($Y$243:$Y$243,'My Rota'!$D$4&amp;" ~*")&gt;0,$B$243&amp;IF(COUNTIF($Y$243:$Y$243,'My Rota'!$D$4&amp;" ~*")&gt;0," *","")&amp;CHAR(10),"")&amp;IF(COUNTIF($Y$244:$Y$244,'My Rota'!$D$4)+COUNTIF($Y$244:$Y$244,'My Rota'!$D$4&amp;" ~*")&gt;0,$B$244&amp;IF(COUNTIF($Y$244:$Y$244,'My Rota'!$D$4&amp;" ~*")&gt;0," *","")&amp;CHAR(10),"")&amp;IF(COUNTIF($Y$245:$Y$245,'My Rota'!$D$4)+COUNTIF($Y$245:$Y$245,'My Rota'!$D$4&amp;" ~*")&gt;0,$B$245&amp;IF(COUNTIF($Y$245:$Y$245,'My Rota'!$D$4&amp;" ~*")&gt;0," *","")&amp;CHAR(10),"")&amp;IF(COUNTIF($Y$246:$Y$246,'My Rota'!$D$4)+COUNTIF($Y$246:$Y$246,'My Rota'!$D$4&amp;" ~*")&gt;0,$B$246&amp;IF(COUNTIF($Y$246:$Y$246,'My Rota'!$D$4&amp;" ~*")&gt;0," *","")&amp;CHAR(10),"")&amp;IF(COUNTIF($Y$247:$Y$247,'My Rota'!$D$4)+COUNTIF($Y$247:$Y$247,'My Rota'!$D$4&amp;" ~*")&gt;0,$B$247&amp;IF(COUNTIF($Y$247:$Y$247,'My Rota'!$D$4&amp;" ~*")&gt;0," *","")&amp;CHAR(10),"")&amp;IF(COUNTIF($Y$248:$Y$248,'My Rota'!$D$4)+COUNTIF($Y$248:$Y$248,'My Rota'!$D$4&amp;" ~*")&gt;0,$B$248&amp;IF(COUNTIF($Y$248:$Y$248,'My Rota'!$D$4&amp;" ~*")&gt;0," *","")&amp;CHAR(10),"")&amp;IF(COUNTIF($Y$249:$Y$249,'My Rota'!$D$4)+COUNTIF($Y$249:$Y$249,'My Rota'!$D$4&amp;" ~*")&gt;0,$B$249&amp;IF(COUNTIF($Y$249:$Y$249,'My Rota'!$D$4&amp;" ~*")&gt;0," *","")&amp;CHAR(10),"")&amp;IF(COUNTIF($Y$250:$Y$250,'My Rota'!$D$4)+COUNTIF($Y$250:$Y$250,'My Rota'!$D$4&amp;" ~*")&gt;0,$B$250&amp;IF(COUNTIF($Y$250:$Y$250,'My Rota'!$D$4&amp;" ~*")&gt;0," *","")&amp;CHAR(10),"")&amp;IF(COUNTIF($Y$251:$Y$251,'My Rota'!$D$4)+COUNTIF($Y$251:$Y$251,'My Rota'!$D$4&amp;" ~*")&gt;0,$B$251&amp;IF(COUNTIF($Y$251:$Y$251,'My Rota'!$D$4&amp;" ~*")&gt;0," *","")&amp;CHAR(10),"")&amp;IF(COUNTIF($Y$252:$Y$252,'My Rota'!$D$4)+COUNTIF($Y$252:$Y$252,'My Rota'!$D$4&amp;" ~*")&gt;0,$B$252&amp;IF(COUNTIF($Y$252:$Y$252,'My Rota'!$D$4&amp;" ~*")&gt;0," *","")&amp;CHAR(10),"")&amp;IF(COUNTIF($Y$253:$Y$253,'My Rota'!$D$4)+COUNTIF($Y$253:$Y$253,'My Rota'!$D$4&amp;" ~*")&gt;0,$B$253&amp;IF(COUNTIF($Y$253:$Y$253,'My Rota'!$D$4&amp;" ~*")&gt;0," *","")&amp;CHAR(10),""))</f>
        <v/>
      </c>
      <c r="T314">
        <f>IF(L314="","",LEFT(L314,LEN(L314)-1))</f>
        <v/>
      </c>
      <c r="U314">
        <f>IF(M314="","",LEFT(M314,LEN(M314)-1))</f>
        <v/>
      </c>
      <c r="V314">
        <f>IF(N314="","",LEFT(N314,LEN(N314)-1))</f>
        <v/>
      </c>
      <c r="W314">
        <f>IF(O314="","",LEFT(O314,LEN(O314)-1))</f>
        <v/>
      </c>
      <c r="X314">
        <f>IF(P314="","",LEFT(P314,LEN(P314)-1))</f>
        <v/>
      </c>
      <c r="Y314">
        <f>IF(Q314="","",LEFT(Q314,LEN(Q314)-1))</f>
        <v/>
      </c>
      <c r="Z314">
        <f>IF(R314="","",LEFT(R314,LEN(R314)-1))</f>
        <v/>
      </c>
    </row>
    <row r="315">
      <c r="A315" t="n">
        <v>4</v>
      </c>
      <c r="C315" s="180">
        <f>IF((N('My Rota'!$D$6)+3)&gt;53,"",INDEX(Setup!$L$33:$L$36,IFERROR(MATCH('My Rota'!$D$5,Setup!$K$33:$K$36,0),1))+7*((N('My Rota'!$D$6)+3)-1))</f>
        <v/>
      </c>
      <c r="D315">
        <f>IF(OR('My Rota'!$D$4="",(N('My Rota'!$D$6)+3)&gt;53),"",""&amp;CHOOSE(IFERROR(MATCH('My Rota'!$D$5,Setup!$K$33:$K$36,0),1),INDEX('2027'!$A:$Z,(5+50*((N('My Rota'!$D$6)+3)-1))+21+IFERROR(MATCH('My Rota'!$D$4,Setup!$B$6:$B$29,0),1),3),INDEX('2028'!$A:$Z,(5+50*((N('My Rota'!$D$6)+3)-1))+21+IFERROR(MATCH('My Rota'!$D$4,Setup!$B$6:$B$29,0),1),3),INDEX('2029'!$A:$Z,(5+50*((N('My Rota'!$D$6)+3)-1))+21+IFERROR(MATCH('My Rota'!$D$4,Setup!$B$6:$B$29,0),1),3),INDEX('2030'!$A:$Z,(5+50*((N('My Rota'!$D$6)+3)-1))+21+IFERROR(MATCH('My Rota'!$D$4,Setup!$B$6:$B$29,0),1),3)))</f>
        <v/>
      </c>
      <c r="E315">
        <f>IF(OR('My Rota'!$D$4="",(N('My Rota'!$D$6)+3)&gt;53),"",""&amp;CHOOSE(IFERROR(MATCH('My Rota'!$D$5,Setup!$K$33:$K$36,0),1),INDEX('2027'!$A:$Z,(5+50*((N('My Rota'!$D$6)+3)-1))+21+IFERROR(MATCH('My Rota'!$D$4,Setup!$B$6:$B$29,0),1),7),INDEX('2028'!$A:$Z,(5+50*((N('My Rota'!$D$6)+3)-1))+21+IFERROR(MATCH('My Rota'!$D$4,Setup!$B$6:$B$29,0),1),7),INDEX('2029'!$A:$Z,(5+50*((N('My Rota'!$D$6)+3)-1))+21+IFERROR(MATCH('My Rota'!$D$4,Setup!$B$6:$B$29,0),1),7),INDEX('2030'!$A:$Z,(5+50*((N('My Rota'!$D$6)+3)-1))+21+IFERROR(MATCH('My Rota'!$D$4,Setup!$B$6:$B$29,0),1),7)))</f>
        <v/>
      </c>
      <c r="F315">
        <f>IF(OR('My Rota'!$D$4="",(N('My Rota'!$D$6)+3)&gt;53),"",""&amp;CHOOSE(IFERROR(MATCH('My Rota'!$D$5,Setup!$K$33:$K$36,0),1),INDEX('2027'!$A:$Z,(5+50*((N('My Rota'!$D$6)+3)-1))+21+IFERROR(MATCH('My Rota'!$D$4,Setup!$B$6:$B$29,0),1),11),INDEX('2028'!$A:$Z,(5+50*((N('My Rota'!$D$6)+3)-1))+21+IFERROR(MATCH('My Rota'!$D$4,Setup!$B$6:$B$29,0),1),11),INDEX('2029'!$A:$Z,(5+50*((N('My Rota'!$D$6)+3)-1))+21+IFERROR(MATCH('My Rota'!$D$4,Setup!$B$6:$B$29,0),1),11),INDEX('2030'!$A:$Z,(5+50*((N('My Rota'!$D$6)+3)-1))+21+IFERROR(MATCH('My Rota'!$D$4,Setup!$B$6:$B$29,0),1),11)))</f>
        <v/>
      </c>
      <c r="G315">
        <f>IF(OR('My Rota'!$D$4="",(N('My Rota'!$D$6)+3)&gt;53),"",""&amp;CHOOSE(IFERROR(MATCH('My Rota'!$D$5,Setup!$K$33:$K$36,0),1),INDEX('2027'!$A:$Z,(5+50*((N('My Rota'!$D$6)+3)-1))+21+IFERROR(MATCH('My Rota'!$D$4,Setup!$B$6:$B$29,0),1),15),INDEX('2028'!$A:$Z,(5+50*((N('My Rota'!$D$6)+3)-1))+21+IFERROR(MATCH('My Rota'!$D$4,Setup!$B$6:$B$29,0),1),15),INDEX('2029'!$A:$Z,(5+50*((N('My Rota'!$D$6)+3)-1))+21+IFERROR(MATCH('My Rota'!$D$4,Setup!$B$6:$B$29,0),1),15),INDEX('2030'!$A:$Z,(5+50*((N('My Rota'!$D$6)+3)-1))+21+IFERROR(MATCH('My Rota'!$D$4,Setup!$B$6:$B$29,0),1),15)))</f>
        <v/>
      </c>
      <c r="H315">
        <f>IF(OR('My Rota'!$D$4="",(N('My Rota'!$D$6)+3)&gt;53),"",""&amp;CHOOSE(IFERROR(MATCH('My Rota'!$D$5,Setup!$K$33:$K$36,0),1),INDEX('2027'!$A:$Z,(5+50*((N('My Rota'!$D$6)+3)-1))+21+IFERROR(MATCH('My Rota'!$D$4,Setup!$B$6:$B$29,0),1),19),INDEX('2028'!$A:$Z,(5+50*((N('My Rota'!$D$6)+3)-1))+21+IFERROR(MATCH('My Rota'!$D$4,Setup!$B$6:$B$29,0),1),19),INDEX('2029'!$A:$Z,(5+50*((N('My Rota'!$D$6)+3)-1))+21+IFERROR(MATCH('My Rota'!$D$4,Setup!$B$6:$B$29,0),1),19),INDEX('2030'!$A:$Z,(5+50*((N('My Rota'!$D$6)+3)-1))+21+IFERROR(MATCH('My Rota'!$D$4,Setup!$B$6:$B$29,0),1),19)))</f>
        <v/>
      </c>
      <c r="I315">
        <f>IF(OR('My Rota'!$D$4="",(N('My Rota'!$D$6)+3)&gt;53),"",""&amp;CHOOSE(IFERROR(MATCH('My Rota'!$D$5,Setup!$K$33:$K$36,0),1),INDEX('2027'!$A:$Z,(5+50*((N('My Rota'!$D$6)+3)-1))+21+IFERROR(MATCH('My Rota'!$D$4,Setup!$B$6:$B$29,0),1),23),INDEX('2028'!$A:$Z,(5+50*((N('My Rota'!$D$6)+3)-1))+21+IFERROR(MATCH('My Rota'!$D$4,Setup!$B$6:$B$29,0),1),23),INDEX('2029'!$A:$Z,(5+50*((N('My Rota'!$D$6)+3)-1))+21+IFERROR(MATCH('My Rota'!$D$4,Setup!$B$6:$B$29,0),1),23),INDEX('2030'!$A:$Z,(5+50*((N('My Rota'!$D$6)+3)-1))+21+IFERROR(MATCH('My Rota'!$D$4,Setup!$B$6:$B$29,0),1),23)))</f>
        <v/>
      </c>
      <c r="J315">
        <f>IF(OR('My Rota'!$D$4="",(N('My Rota'!$D$6)+3)&gt;53),"",""&amp;CHOOSE(IFERROR(MATCH('My Rota'!$D$5,Setup!$K$33:$K$36,0),1),INDEX('2027'!$A:$Z,(5+50*((N('My Rota'!$D$6)+3)-1))+21+IFERROR(MATCH('My Rota'!$D$4,Setup!$B$6:$B$29,0),1),25),INDEX('2028'!$A:$Z,(5+50*((N('My Rota'!$D$6)+3)-1))+21+IFERROR(MATCH('My Rota'!$D$4,Setup!$B$6:$B$29,0),1),25),INDEX('2029'!$A:$Z,(5+50*((N('My Rota'!$D$6)+3)-1))+21+IFERROR(MATCH('My Rota'!$D$4,Setup!$B$6:$B$29,0),1),25),INDEX('2030'!$A:$Z,(5+50*((N('My Rota'!$D$6)+3)-1))+21+IFERROR(MATCH('My Rota'!$D$4,Setup!$B$6:$B$29,0),1),25)))</f>
        <v/>
      </c>
      <c r="L315">
        <f>IF(C315="","",IF(COUNTIF($C$254:$E$254,'My Rota'!$D$4)+COUNTIF($C$254:$E$254,'My Rota'!$D$4&amp;" ~*")&gt;0,$B$254&amp;IF(COUNTIF($C$254:$E$254,'My Rota'!$D$4&amp;" ~*")&gt;0," *","")&amp;CHAR(10),"")&amp;IF(COUNTIF($C$255:$E$255,'My Rota'!$D$4)+COUNTIF($C$255:$E$255,'My Rota'!$D$4&amp;" ~*")&gt;0,$B$255&amp;IF(COUNTIF($C$255:$E$255,'My Rota'!$D$4&amp;" ~*")&gt;0," *","")&amp;CHAR(10),"")&amp;IF(COUNTIF($C$256:$E$256,'My Rota'!$D$4)+COUNTIF($C$256:$E$256,'My Rota'!$D$4&amp;" ~*")&gt;0,$B$256&amp;IF(COUNTIF($C$256:$E$256,'My Rota'!$D$4&amp;" ~*")&gt;0," *","")&amp;CHAR(10),"")&amp;IF(COUNTIF($C$257:$E$257,'My Rota'!$D$4)+COUNTIF($C$257:$E$257,'My Rota'!$D$4&amp;" ~*")&gt;0,$B$257&amp;IF(COUNTIF($C$257:$E$257,'My Rota'!$D$4&amp;" ~*")&gt;0," *","")&amp;CHAR(10),"")&amp;IF(COUNTIF($C$258:$E$258,'My Rota'!$D$4)+COUNTIF($C$258:$E$258,'My Rota'!$D$4&amp;" ~*")&gt;0,$B$258&amp;IF(COUNTIF($C$258:$E$258,'My Rota'!$D$4&amp;" ~*")&gt;0," *","")&amp;CHAR(10),"")&amp;IF(COUNTIF($C$259:$E$259,'My Rota'!$D$4)+COUNTIF($C$259:$E$259,'My Rota'!$D$4&amp;" ~*")&gt;0,$B$259&amp;IF(COUNTIF($C$259:$E$259,'My Rota'!$D$4&amp;" ~*")&gt;0," *","")&amp;CHAR(10),"")&amp;IF(COUNTIF($C$260:$E$260,'My Rota'!$D$4)+COUNTIF($C$260:$E$260,'My Rota'!$D$4&amp;" ~*")&gt;0,$B$260&amp;IF(COUNTIF($C$260:$E$260,'My Rota'!$D$4&amp;" ~*")&gt;0," *","")&amp;CHAR(10),"")&amp;IF(COUNTIF($C$261:$E$261,'My Rota'!$D$4)+COUNTIF($C$261:$E$261,'My Rota'!$D$4&amp;" ~*")&gt;0,$B$261&amp;IF(COUNTIF($C$261:$E$261,'My Rota'!$D$4&amp;" ~*")&gt;0," *","")&amp;CHAR(10),"")&amp;IF(COUNTIF($C$262:$E$262,'My Rota'!$D$4)+COUNTIF($C$262:$E$262,'My Rota'!$D$4&amp;" ~*")&gt;0,$B$262&amp;IF(COUNTIF($C$262:$E$262,'My Rota'!$D$4&amp;" ~*")&gt;0," *","")&amp;CHAR(10),"")&amp;IF(COUNTIF($C$263:$E$263,'My Rota'!$D$4)+COUNTIF($C$263:$E$263,'My Rota'!$D$4&amp;" ~*")&gt;0,$B$263&amp;IF(COUNTIF($C$263:$E$263,'My Rota'!$D$4&amp;" ~*")&gt;0," *","")&amp;CHAR(10),"")&amp;IF(COUNTIF($C$264:$E$264,'My Rota'!$D$4)+COUNTIF($C$264:$E$264,'My Rota'!$D$4&amp;" ~*")&gt;0,$B$264&amp;IF(COUNTIF($C$264:$E$264,'My Rota'!$D$4&amp;" ~*")&gt;0," *","")&amp;CHAR(10),"")&amp;IF(COUNTIF($C$265:$E$265,'My Rota'!$D$4)+COUNTIF($C$265:$E$265,'My Rota'!$D$4&amp;" ~*")&gt;0,$B$265&amp;IF(COUNTIF($C$265:$E$265,'My Rota'!$D$4&amp;" ~*")&gt;0," *","")&amp;CHAR(10),"")&amp;IF(COUNTIF($C$266:$E$266,'My Rota'!$D$4)+COUNTIF($C$266:$E$266,'My Rota'!$D$4&amp;" ~*")&gt;0,$B$266&amp;IF(COUNTIF($C$266:$E$266,'My Rota'!$D$4&amp;" ~*")&gt;0," *","")&amp;CHAR(10),"")&amp;IF(COUNTIF($C$267:$E$267,'My Rota'!$D$4)+COUNTIF($C$267:$E$267,'My Rota'!$D$4&amp;" ~*")&gt;0,$B$267&amp;IF(COUNTIF($C$267:$E$267,'My Rota'!$D$4&amp;" ~*")&gt;0," *","")&amp;CHAR(10),"")&amp;IF(COUNTIF($C$268:$E$268,'My Rota'!$D$4)+COUNTIF($C$268:$E$268,'My Rota'!$D$4&amp;" ~*")&gt;0,$B$268&amp;IF(COUNTIF($C$268:$E$268,'My Rota'!$D$4&amp;" ~*")&gt;0," *","")&amp;CHAR(10),"")&amp;IF(COUNTIF($C$269:$E$269,'My Rota'!$D$4)+COUNTIF($C$269:$E$269,'My Rota'!$D$4&amp;" ~*")&gt;0,$B$269&amp;IF(COUNTIF($C$269:$E$269,'My Rota'!$D$4&amp;" ~*")&gt;0," *","")&amp;CHAR(10),"")&amp;IF(COUNTIF($C$270:$E$270,'My Rota'!$D$4)+COUNTIF($C$270:$E$270,'My Rota'!$D$4&amp;" ~*")&gt;0,$B$270&amp;IF(COUNTIF($C$270:$E$270,'My Rota'!$D$4&amp;" ~*")&gt;0," *","")&amp;CHAR(10),"")&amp;IF(COUNTIF($C$271:$E$271,'My Rota'!$D$4)+COUNTIF($C$271:$E$271,'My Rota'!$D$4&amp;" ~*")&gt;0,$B$271&amp;IF(COUNTIF($C$271:$E$271,'My Rota'!$D$4&amp;" ~*")&gt;0," *","")&amp;CHAR(10),""))</f>
        <v/>
      </c>
      <c r="M315">
        <f>IF(C315="","",IF(COUNTIF($G$254:$I$254,'My Rota'!$D$4)+COUNTIF($G$254:$I$254,'My Rota'!$D$4&amp;" ~*")&gt;0,$B$254&amp;IF(COUNTIF($G$254:$I$254,'My Rota'!$D$4&amp;" ~*")&gt;0," *","")&amp;CHAR(10),"")&amp;IF(COUNTIF($G$255:$I$255,'My Rota'!$D$4)+COUNTIF($G$255:$I$255,'My Rota'!$D$4&amp;" ~*")&gt;0,$B$255&amp;IF(COUNTIF($G$255:$I$255,'My Rota'!$D$4&amp;" ~*")&gt;0," *","")&amp;CHAR(10),"")&amp;IF(COUNTIF($G$256:$I$256,'My Rota'!$D$4)+COUNTIF($G$256:$I$256,'My Rota'!$D$4&amp;" ~*")&gt;0,$B$256&amp;IF(COUNTIF($G$256:$I$256,'My Rota'!$D$4&amp;" ~*")&gt;0," *","")&amp;CHAR(10),"")&amp;IF(COUNTIF($G$257:$I$257,'My Rota'!$D$4)+COUNTIF($G$257:$I$257,'My Rota'!$D$4&amp;" ~*")&gt;0,$B$257&amp;IF(COUNTIF($G$257:$I$257,'My Rota'!$D$4&amp;" ~*")&gt;0," *","")&amp;CHAR(10),"")&amp;IF(COUNTIF($G$258:$I$258,'My Rota'!$D$4)+COUNTIF($G$258:$I$258,'My Rota'!$D$4&amp;" ~*")&gt;0,$B$258&amp;IF(COUNTIF($G$258:$I$258,'My Rota'!$D$4&amp;" ~*")&gt;0," *","")&amp;CHAR(10),"")&amp;IF(COUNTIF($G$259:$I$259,'My Rota'!$D$4)+COUNTIF($G$259:$I$259,'My Rota'!$D$4&amp;" ~*")&gt;0,$B$259&amp;IF(COUNTIF($G$259:$I$259,'My Rota'!$D$4&amp;" ~*")&gt;0," *","")&amp;CHAR(10),"")&amp;IF(COUNTIF($G$260:$I$260,'My Rota'!$D$4)+COUNTIF($G$260:$I$260,'My Rota'!$D$4&amp;" ~*")&gt;0,$B$260&amp;IF(COUNTIF($G$260:$I$260,'My Rota'!$D$4&amp;" ~*")&gt;0," *","")&amp;CHAR(10),"")&amp;IF(COUNTIF($G$261:$I$261,'My Rota'!$D$4)+COUNTIF($G$261:$I$261,'My Rota'!$D$4&amp;" ~*")&gt;0,$B$261&amp;IF(COUNTIF($G$261:$I$261,'My Rota'!$D$4&amp;" ~*")&gt;0," *","")&amp;CHAR(10),"")&amp;IF(COUNTIF($G$262:$I$262,'My Rota'!$D$4)+COUNTIF($G$262:$I$262,'My Rota'!$D$4&amp;" ~*")&gt;0,$B$262&amp;IF(COUNTIF($G$262:$I$262,'My Rota'!$D$4&amp;" ~*")&gt;0," *","")&amp;CHAR(10),"")&amp;IF(COUNTIF($G$263:$I$263,'My Rota'!$D$4)+COUNTIF($G$263:$I$263,'My Rota'!$D$4&amp;" ~*")&gt;0,$B$263&amp;IF(COUNTIF($G$263:$I$263,'My Rota'!$D$4&amp;" ~*")&gt;0," *","")&amp;CHAR(10),"")&amp;IF(COUNTIF($G$264:$I$264,'My Rota'!$D$4)+COUNTIF($G$264:$I$264,'My Rota'!$D$4&amp;" ~*")&gt;0,$B$264&amp;IF(COUNTIF($G$264:$I$264,'My Rota'!$D$4&amp;" ~*")&gt;0," *","")&amp;CHAR(10),"")&amp;IF(COUNTIF($G$265:$I$265,'My Rota'!$D$4)+COUNTIF($G$265:$I$265,'My Rota'!$D$4&amp;" ~*")&gt;0,$B$265&amp;IF(COUNTIF($G$265:$I$265,'My Rota'!$D$4&amp;" ~*")&gt;0," *","")&amp;CHAR(10),"")&amp;IF(COUNTIF($G$266:$I$266,'My Rota'!$D$4)+COUNTIF($G$266:$I$266,'My Rota'!$D$4&amp;" ~*")&gt;0,$B$266&amp;IF(COUNTIF($G$266:$I$266,'My Rota'!$D$4&amp;" ~*")&gt;0," *","")&amp;CHAR(10),"")&amp;IF(COUNTIF($G$267:$I$267,'My Rota'!$D$4)+COUNTIF($G$267:$I$267,'My Rota'!$D$4&amp;" ~*")&gt;0,$B$267&amp;IF(COUNTIF($G$267:$I$267,'My Rota'!$D$4&amp;" ~*")&gt;0," *","")&amp;CHAR(10),"")&amp;IF(COUNTIF($G$268:$I$268,'My Rota'!$D$4)+COUNTIF($G$268:$I$268,'My Rota'!$D$4&amp;" ~*")&gt;0,$B$268&amp;IF(COUNTIF($G$268:$I$268,'My Rota'!$D$4&amp;" ~*")&gt;0," *","")&amp;CHAR(10),"")&amp;IF(COUNTIF($G$269:$I$269,'My Rota'!$D$4)+COUNTIF($G$269:$I$269,'My Rota'!$D$4&amp;" ~*")&gt;0,$B$269&amp;IF(COUNTIF($G$269:$I$269,'My Rota'!$D$4&amp;" ~*")&gt;0," *","")&amp;CHAR(10),"")&amp;IF(COUNTIF($G$270:$I$270,'My Rota'!$D$4)+COUNTIF($G$270:$I$270,'My Rota'!$D$4&amp;" ~*")&gt;0,$B$270&amp;IF(COUNTIF($G$270:$I$270,'My Rota'!$D$4&amp;" ~*")&gt;0," *","")&amp;CHAR(10),"")&amp;IF(COUNTIF($G$271:$I$271,'My Rota'!$D$4)+COUNTIF($G$271:$I$271,'My Rota'!$D$4&amp;" ~*")&gt;0,$B$271&amp;IF(COUNTIF($G$271:$I$271,'My Rota'!$D$4&amp;" ~*")&gt;0," *","")&amp;CHAR(10),""))</f>
        <v/>
      </c>
      <c r="N315">
        <f>IF(C315="","",IF(COUNTIF($K$254:$M$254,'My Rota'!$D$4)+COUNTIF($K$254:$M$254,'My Rota'!$D$4&amp;" ~*")&gt;0,$B$254&amp;IF(COUNTIF($K$254:$M$254,'My Rota'!$D$4&amp;" ~*")&gt;0," *","")&amp;CHAR(10),"")&amp;IF(COUNTIF($K$255:$M$255,'My Rota'!$D$4)+COUNTIF($K$255:$M$255,'My Rota'!$D$4&amp;" ~*")&gt;0,$B$255&amp;IF(COUNTIF($K$255:$M$255,'My Rota'!$D$4&amp;" ~*")&gt;0," *","")&amp;CHAR(10),"")&amp;IF(COUNTIF($K$256:$M$256,'My Rota'!$D$4)+COUNTIF($K$256:$M$256,'My Rota'!$D$4&amp;" ~*")&gt;0,$B$256&amp;IF(COUNTIF($K$256:$M$256,'My Rota'!$D$4&amp;" ~*")&gt;0," *","")&amp;CHAR(10),"")&amp;IF(COUNTIF($K$257:$M$257,'My Rota'!$D$4)+COUNTIF($K$257:$M$257,'My Rota'!$D$4&amp;" ~*")&gt;0,$B$257&amp;IF(COUNTIF($K$257:$M$257,'My Rota'!$D$4&amp;" ~*")&gt;0," *","")&amp;CHAR(10),"")&amp;IF(COUNTIF($K$258:$M$258,'My Rota'!$D$4)+COUNTIF($K$258:$M$258,'My Rota'!$D$4&amp;" ~*")&gt;0,$B$258&amp;IF(COUNTIF($K$258:$M$258,'My Rota'!$D$4&amp;" ~*")&gt;0," *","")&amp;CHAR(10),"")&amp;IF(COUNTIF($K$259:$M$259,'My Rota'!$D$4)+COUNTIF($K$259:$M$259,'My Rota'!$D$4&amp;" ~*")&gt;0,$B$259&amp;IF(COUNTIF($K$259:$M$259,'My Rota'!$D$4&amp;" ~*")&gt;0," *","")&amp;CHAR(10),"")&amp;IF(COUNTIF($K$260:$M$260,'My Rota'!$D$4)+COUNTIF($K$260:$M$260,'My Rota'!$D$4&amp;" ~*")&gt;0,$B$260&amp;IF(COUNTIF($K$260:$M$260,'My Rota'!$D$4&amp;" ~*")&gt;0," *","")&amp;CHAR(10),"")&amp;IF(COUNTIF($K$261:$M$261,'My Rota'!$D$4)+COUNTIF($K$261:$M$261,'My Rota'!$D$4&amp;" ~*")&gt;0,$B$261&amp;IF(COUNTIF($K$261:$M$261,'My Rota'!$D$4&amp;" ~*")&gt;0," *","")&amp;CHAR(10),"")&amp;IF(COUNTIF($K$262:$M$262,'My Rota'!$D$4)+COUNTIF($K$262:$M$262,'My Rota'!$D$4&amp;" ~*")&gt;0,$B$262&amp;IF(COUNTIF($K$262:$M$262,'My Rota'!$D$4&amp;" ~*")&gt;0," *","")&amp;CHAR(10),"")&amp;IF(COUNTIF($K$263:$M$263,'My Rota'!$D$4)+COUNTIF($K$263:$M$263,'My Rota'!$D$4&amp;" ~*")&gt;0,$B$263&amp;IF(COUNTIF($K$263:$M$263,'My Rota'!$D$4&amp;" ~*")&gt;0," *","")&amp;CHAR(10),"")&amp;IF(COUNTIF($K$264:$M$264,'My Rota'!$D$4)+COUNTIF($K$264:$M$264,'My Rota'!$D$4&amp;" ~*")&gt;0,$B$264&amp;IF(COUNTIF($K$264:$M$264,'My Rota'!$D$4&amp;" ~*")&gt;0," *","")&amp;CHAR(10),"")&amp;IF(COUNTIF($K$265:$M$265,'My Rota'!$D$4)+COUNTIF($K$265:$M$265,'My Rota'!$D$4&amp;" ~*")&gt;0,$B$265&amp;IF(COUNTIF($K$265:$M$265,'My Rota'!$D$4&amp;" ~*")&gt;0," *","")&amp;CHAR(10),"")&amp;IF(COUNTIF($K$266:$M$266,'My Rota'!$D$4)+COUNTIF($K$266:$M$266,'My Rota'!$D$4&amp;" ~*")&gt;0,$B$266&amp;IF(COUNTIF($K$266:$M$266,'My Rota'!$D$4&amp;" ~*")&gt;0," *","")&amp;CHAR(10),"")&amp;IF(COUNTIF($K$267:$M$267,'My Rota'!$D$4)+COUNTIF($K$267:$M$267,'My Rota'!$D$4&amp;" ~*")&gt;0,$B$267&amp;IF(COUNTIF($K$267:$M$267,'My Rota'!$D$4&amp;" ~*")&gt;0," *","")&amp;CHAR(10),"")&amp;IF(COUNTIF($K$268:$M$268,'My Rota'!$D$4)+COUNTIF($K$268:$M$268,'My Rota'!$D$4&amp;" ~*")&gt;0,$B$268&amp;IF(COUNTIF($K$268:$M$268,'My Rota'!$D$4&amp;" ~*")&gt;0," *","")&amp;CHAR(10),"")&amp;IF(COUNTIF($K$269:$M$269,'My Rota'!$D$4)+COUNTIF($K$269:$M$269,'My Rota'!$D$4&amp;" ~*")&gt;0,$B$269&amp;IF(COUNTIF($K$269:$M$269,'My Rota'!$D$4&amp;" ~*")&gt;0," *","")&amp;CHAR(10),"")&amp;IF(COUNTIF($K$270:$M$270,'My Rota'!$D$4)+COUNTIF($K$270:$M$270,'My Rota'!$D$4&amp;" ~*")&gt;0,$B$270&amp;IF(COUNTIF($K$270:$M$270,'My Rota'!$D$4&amp;" ~*")&gt;0," *","")&amp;CHAR(10),"")&amp;IF(COUNTIF($K$271:$M$271,'My Rota'!$D$4)+COUNTIF($K$271:$M$271,'My Rota'!$D$4&amp;" ~*")&gt;0,$B$271&amp;IF(COUNTIF($K$271:$M$271,'My Rota'!$D$4&amp;" ~*")&gt;0," *","")&amp;CHAR(10),""))</f>
        <v/>
      </c>
      <c r="O315">
        <f>IF(C315="","",IF(COUNTIF($O$254:$Q$254,'My Rota'!$D$4)+COUNTIF($O$254:$Q$254,'My Rota'!$D$4&amp;" ~*")&gt;0,$B$254&amp;IF(COUNTIF($O$254:$Q$254,'My Rota'!$D$4&amp;" ~*")&gt;0," *","")&amp;CHAR(10),"")&amp;IF(COUNTIF($O$255:$Q$255,'My Rota'!$D$4)+COUNTIF($O$255:$Q$255,'My Rota'!$D$4&amp;" ~*")&gt;0,$B$255&amp;IF(COUNTIF($O$255:$Q$255,'My Rota'!$D$4&amp;" ~*")&gt;0," *","")&amp;CHAR(10),"")&amp;IF(COUNTIF($O$256:$Q$256,'My Rota'!$D$4)+COUNTIF($O$256:$Q$256,'My Rota'!$D$4&amp;" ~*")&gt;0,$B$256&amp;IF(COUNTIF($O$256:$Q$256,'My Rota'!$D$4&amp;" ~*")&gt;0," *","")&amp;CHAR(10),"")&amp;IF(COUNTIF($O$257:$Q$257,'My Rota'!$D$4)+COUNTIF($O$257:$Q$257,'My Rota'!$D$4&amp;" ~*")&gt;0,$B$257&amp;IF(COUNTIF($O$257:$Q$257,'My Rota'!$D$4&amp;" ~*")&gt;0," *","")&amp;CHAR(10),"")&amp;IF(COUNTIF($O$258:$Q$258,'My Rota'!$D$4)+COUNTIF($O$258:$Q$258,'My Rota'!$D$4&amp;" ~*")&gt;0,$B$258&amp;IF(COUNTIF($O$258:$Q$258,'My Rota'!$D$4&amp;" ~*")&gt;0," *","")&amp;CHAR(10),"")&amp;IF(COUNTIF($O$259:$Q$259,'My Rota'!$D$4)+COUNTIF($O$259:$Q$259,'My Rota'!$D$4&amp;" ~*")&gt;0,$B$259&amp;IF(COUNTIF($O$259:$Q$259,'My Rota'!$D$4&amp;" ~*")&gt;0," *","")&amp;CHAR(10),"")&amp;IF(COUNTIF($O$260:$Q$260,'My Rota'!$D$4)+COUNTIF($O$260:$Q$260,'My Rota'!$D$4&amp;" ~*")&gt;0,$B$260&amp;IF(COUNTIF($O$260:$Q$260,'My Rota'!$D$4&amp;" ~*")&gt;0," *","")&amp;CHAR(10),"")&amp;IF(COUNTIF($O$261:$Q$261,'My Rota'!$D$4)+COUNTIF($O$261:$Q$261,'My Rota'!$D$4&amp;" ~*")&gt;0,$B$261&amp;IF(COUNTIF($O$261:$Q$261,'My Rota'!$D$4&amp;" ~*")&gt;0," *","")&amp;CHAR(10),"")&amp;IF(COUNTIF($O$262:$Q$262,'My Rota'!$D$4)+COUNTIF($O$262:$Q$262,'My Rota'!$D$4&amp;" ~*")&gt;0,$B$262&amp;IF(COUNTIF($O$262:$Q$262,'My Rota'!$D$4&amp;" ~*")&gt;0," *","")&amp;CHAR(10),"")&amp;IF(COUNTIF($O$263:$Q$263,'My Rota'!$D$4)+COUNTIF($O$263:$Q$263,'My Rota'!$D$4&amp;" ~*")&gt;0,$B$263&amp;IF(COUNTIF($O$263:$Q$263,'My Rota'!$D$4&amp;" ~*")&gt;0," *","")&amp;CHAR(10),"")&amp;IF(COUNTIF($O$264:$Q$264,'My Rota'!$D$4)+COUNTIF($O$264:$Q$264,'My Rota'!$D$4&amp;" ~*")&gt;0,$B$264&amp;IF(COUNTIF($O$264:$Q$264,'My Rota'!$D$4&amp;" ~*")&gt;0," *","")&amp;CHAR(10),"")&amp;IF(COUNTIF($O$265:$Q$265,'My Rota'!$D$4)+COUNTIF($O$265:$Q$265,'My Rota'!$D$4&amp;" ~*")&gt;0,$B$265&amp;IF(COUNTIF($O$265:$Q$265,'My Rota'!$D$4&amp;" ~*")&gt;0," *","")&amp;CHAR(10),"")&amp;IF(COUNTIF($O$266:$Q$266,'My Rota'!$D$4)+COUNTIF($O$266:$Q$266,'My Rota'!$D$4&amp;" ~*")&gt;0,$B$266&amp;IF(COUNTIF($O$266:$Q$266,'My Rota'!$D$4&amp;" ~*")&gt;0," *","")&amp;CHAR(10),"")&amp;IF(COUNTIF($O$267:$Q$267,'My Rota'!$D$4)+COUNTIF($O$267:$Q$267,'My Rota'!$D$4&amp;" ~*")&gt;0,$B$267&amp;IF(COUNTIF($O$267:$Q$267,'My Rota'!$D$4&amp;" ~*")&gt;0," *","")&amp;CHAR(10),"")&amp;IF(COUNTIF($O$268:$Q$268,'My Rota'!$D$4)+COUNTIF($O$268:$Q$268,'My Rota'!$D$4&amp;" ~*")&gt;0,$B$268&amp;IF(COUNTIF($O$268:$Q$268,'My Rota'!$D$4&amp;" ~*")&gt;0," *","")&amp;CHAR(10),"")&amp;IF(COUNTIF($O$269:$Q$269,'My Rota'!$D$4)+COUNTIF($O$269:$Q$269,'My Rota'!$D$4&amp;" ~*")&gt;0,$B$269&amp;IF(COUNTIF($O$269:$Q$269,'My Rota'!$D$4&amp;" ~*")&gt;0," *","")&amp;CHAR(10),"")&amp;IF(COUNTIF($O$270:$Q$270,'My Rota'!$D$4)+COUNTIF($O$270:$Q$270,'My Rota'!$D$4&amp;" ~*")&gt;0,$B$270&amp;IF(COUNTIF($O$270:$Q$270,'My Rota'!$D$4&amp;" ~*")&gt;0," *","")&amp;CHAR(10),"")&amp;IF(COUNTIF($O$271:$Q$271,'My Rota'!$D$4)+COUNTIF($O$271:$Q$271,'My Rota'!$D$4&amp;" ~*")&gt;0,$B$271&amp;IF(COUNTIF($O$271:$Q$271,'My Rota'!$D$4&amp;" ~*")&gt;0," *","")&amp;CHAR(10),""))</f>
        <v/>
      </c>
      <c r="P315">
        <f>IF(C315="","",IF(COUNTIF($S$254:$U$254,'My Rota'!$D$4)+COUNTIF($S$254:$U$254,'My Rota'!$D$4&amp;" ~*")&gt;0,$B$254&amp;IF(COUNTIF($S$254:$U$254,'My Rota'!$D$4&amp;" ~*")&gt;0," *","")&amp;CHAR(10),"")&amp;IF(COUNTIF($S$255:$U$255,'My Rota'!$D$4)+COUNTIF($S$255:$U$255,'My Rota'!$D$4&amp;" ~*")&gt;0,$B$255&amp;IF(COUNTIF($S$255:$U$255,'My Rota'!$D$4&amp;" ~*")&gt;0," *","")&amp;CHAR(10),"")&amp;IF(COUNTIF($S$256:$U$256,'My Rota'!$D$4)+COUNTIF($S$256:$U$256,'My Rota'!$D$4&amp;" ~*")&gt;0,$B$256&amp;IF(COUNTIF($S$256:$U$256,'My Rota'!$D$4&amp;" ~*")&gt;0," *","")&amp;CHAR(10),"")&amp;IF(COUNTIF($S$257:$U$257,'My Rota'!$D$4)+COUNTIF($S$257:$U$257,'My Rota'!$D$4&amp;" ~*")&gt;0,$B$257&amp;IF(COUNTIF($S$257:$U$257,'My Rota'!$D$4&amp;" ~*")&gt;0," *","")&amp;CHAR(10),"")&amp;IF(COUNTIF($S$258:$U$258,'My Rota'!$D$4)+COUNTIF($S$258:$U$258,'My Rota'!$D$4&amp;" ~*")&gt;0,$B$258&amp;IF(COUNTIF($S$258:$U$258,'My Rota'!$D$4&amp;" ~*")&gt;0," *","")&amp;CHAR(10),"")&amp;IF(COUNTIF($S$259:$U$259,'My Rota'!$D$4)+COUNTIF($S$259:$U$259,'My Rota'!$D$4&amp;" ~*")&gt;0,$B$259&amp;IF(COUNTIF($S$259:$U$259,'My Rota'!$D$4&amp;" ~*")&gt;0," *","")&amp;CHAR(10),"")&amp;IF(COUNTIF($S$260:$U$260,'My Rota'!$D$4)+COUNTIF($S$260:$U$260,'My Rota'!$D$4&amp;" ~*")&gt;0,$B$260&amp;IF(COUNTIF($S$260:$U$260,'My Rota'!$D$4&amp;" ~*")&gt;0," *","")&amp;CHAR(10),"")&amp;IF(COUNTIF($S$261:$U$261,'My Rota'!$D$4)+COUNTIF($S$261:$U$261,'My Rota'!$D$4&amp;" ~*")&gt;0,$B$261&amp;IF(COUNTIF($S$261:$U$261,'My Rota'!$D$4&amp;" ~*")&gt;0," *","")&amp;CHAR(10),"")&amp;IF(COUNTIF($S$262:$U$262,'My Rota'!$D$4)+COUNTIF($S$262:$U$262,'My Rota'!$D$4&amp;" ~*")&gt;0,$B$262&amp;IF(COUNTIF($S$262:$U$262,'My Rota'!$D$4&amp;" ~*")&gt;0," *","")&amp;CHAR(10),"")&amp;IF(COUNTIF($S$263:$U$263,'My Rota'!$D$4)+COUNTIF($S$263:$U$263,'My Rota'!$D$4&amp;" ~*")&gt;0,$B$263&amp;IF(COUNTIF($S$263:$U$263,'My Rota'!$D$4&amp;" ~*")&gt;0," *","")&amp;CHAR(10),"")&amp;IF(COUNTIF($S$264:$U$264,'My Rota'!$D$4)+COUNTIF($S$264:$U$264,'My Rota'!$D$4&amp;" ~*")&gt;0,$B$264&amp;IF(COUNTIF($S$264:$U$264,'My Rota'!$D$4&amp;" ~*")&gt;0," *","")&amp;CHAR(10),"")&amp;IF(COUNTIF($S$265:$U$265,'My Rota'!$D$4)+COUNTIF($S$265:$U$265,'My Rota'!$D$4&amp;" ~*")&gt;0,$B$265&amp;IF(COUNTIF($S$265:$U$265,'My Rota'!$D$4&amp;" ~*")&gt;0," *","")&amp;CHAR(10),"")&amp;IF(COUNTIF($S$266:$U$266,'My Rota'!$D$4)+COUNTIF($S$266:$U$266,'My Rota'!$D$4&amp;" ~*")&gt;0,$B$266&amp;IF(COUNTIF($S$266:$U$266,'My Rota'!$D$4&amp;" ~*")&gt;0," *","")&amp;CHAR(10),"")&amp;IF(COUNTIF($S$267:$U$267,'My Rota'!$D$4)+COUNTIF($S$267:$U$267,'My Rota'!$D$4&amp;" ~*")&gt;0,$B$267&amp;IF(COUNTIF($S$267:$U$267,'My Rota'!$D$4&amp;" ~*")&gt;0," *","")&amp;CHAR(10),"")&amp;IF(COUNTIF($S$268:$U$268,'My Rota'!$D$4)+COUNTIF($S$268:$U$268,'My Rota'!$D$4&amp;" ~*")&gt;0,$B$268&amp;IF(COUNTIF($S$268:$U$268,'My Rota'!$D$4&amp;" ~*")&gt;0," *","")&amp;CHAR(10),"")&amp;IF(COUNTIF($S$269:$U$269,'My Rota'!$D$4)+COUNTIF($S$269:$U$269,'My Rota'!$D$4&amp;" ~*")&gt;0,$B$269&amp;IF(COUNTIF($S$269:$U$269,'My Rota'!$D$4&amp;" ~*")&gt;0," *","")&amp;CHAR(10),"")&amp;IF(COUNTIF($S$270:$U$270,'My Rota'!$D$4)+COUNTIF($S$270:$U$270,'My Rota'!$D$4&amp;" ~*")&gt;0,$B$270&amp;IF(COUNTIF($S$270:$U$270,'My Rota'!$D$4&amp;" ~*")&gt;0," *","")&amp;CHAR(10),"")&amp;IF(COUNTIF($S$271:$U$271,'My Rota'!$D$4)+COUNTIF($S$271:$U$271,'My Rota'!$D$4&amp;" ~*")&gt;0,$B$271&amp;IF(COUNTIF($S$271:$U$271,'My Rota'!$D$4&amp;" ~*")&gt;0," *","")&amp;CHAR(10),""))</f>
        <v/>
      </c>
      <c r="Q315">
        <f>IF(C315="","",IF(COUNTIF($W$254:$W$254,'My Rota'!$D$4)+COUNTIF($W$254:$W$254,'My Rota'!$D$4&amp;" ~*")&gt;0,$B$254&amp;IF(COUNTIF($W$254:$W$254,'My Rota'!$D$4&amp;" ~*")&gt;0," *","")&amp;CHAR(10),"")&amp;IF(COUNTIF($W$255:$W$255,'My Rota'!$D$4)+COUNTIF($W$255:$W$255,'My Rota'!$D$4&amp;" ~*")&gt;0,$B$255&amp;IF(COUNTIF($W$255:$W$255,'My Rota'!$D$4&amp;" ~*")&gt;0," *","")&amp;CHAR(10),"")&amp;IF(COUNTIF($W$256:$W$256,'My Rota'!$D$4)+COUNTIF($W$256:$W$256,'My Rota'!$D$4&amp;" ~*")&gt;0,$B$256&amp;IF(COUNTIF($W$256:$W$256,'My Rota'!$D$4&amp;" ~*")&gt;0," *","")&amp;CHAR(10),"")&amp;IF(COUNTIF($W$257:$W$257,'My Rota'!$D$4)+COUNTIF($W$257:$W$257,'My Rota'!$D$4&amp;" ~*")&gt;0,$B$257&amp;IF(COUNTIF($W$257:$W$257,'My Rota'!$D$4&amp;" ~*")&gt;0," *","")&amp;CHAR(10),"")&amp;IF(COUNTIF($W$258:$W$258,'My Rota'!$D$4)+COUNTIF($W$258:$W$258,'My Rota'!$D$4&amp;" ~*")&gt;0,$B$258&amp;IF(COUNTIF($W$258:$W$258,'My Rota'!$D$4&amp;" ~*")&gt;0," *","")&amp;CHAR(10),"")&amp;IF(COUNTIF($W$259:$W$259,'My Rota'!$D$4)+COUNTIF($W$259:$W$259,'My Rota'!$D$4&amp;" ~*")&gt;0,$B$259&amp;IF(COUNTIF($W$259:$W$259,'My Rota'!$D$4&amp;" ~*")&gt;0," *","")&amp;CHAR(10),"")&amp;IF(COUNTIF($W$260:$W$260,'My Rota'!$D$4)+COUNTIF($W$260:$W$260,'My Rota'!$D$4&amp;" ~*")&gt;0,$B$260&amp;IF(COUNTIF($W$260:$W$260,'My Rota'!$D$4&amp;" ~*")&gt;0," *","")&amp;CHAR(10),"")&amp;IF(COUNTIF($W$261:$W$261,'My Rota'!$D$4)+COUNTIF($W$261:$W$261,'My Rota'!$D$4&amp;" ~*")&gt;0,$B$261&amp;IF(COUNTIF($W$261:$W$261,'My Rota'!$D$4&amp;" ~*")&gt;0," *","")&amp;CHAR(10),"")&amp;IF(COUNTIF($W$262:$W$262,'My Rota'!$D$4)+COUNTIF($W$262:$W$262,'My Rota'!$D$4&amp;" ~*")&gt;0,$B$262&amp;IF(COUNTIF($W$262:$W$262,'My Rota'!$D$4&amp;" ~*")&gt;0," *","")&amp;CHAR(10),"")&amp;IF(COUNTIF($W$263:$W$263,'My Rota'!$D$4)+COUNTIF($W$263:$W$263,'My Rota'!$D$4&amp;" ~*")&gt;0,$B$263&amp;IF(COUNTIF($W$263:$W$263,'My Rota'!$D$4&amp;" ~*")&gt;0," *","")&amp;CHAR(10),"")&amp;IF(COUNTIF($W$264:$W$264,'My Rota'!$D$4)+COUNTIF($W$264:$W$264,'My Rota'!$D$4&amp;" ~*")&gt;0,$B$264&amp;IF(COUNTIF($W$264:$W$264,'My Rota'!$D$4&amp;" ~*")&gt;0," *","")&amp;CHAR(10),"")&amp;IF(COUNTIF($W$265:$W$265,'My Rota'!$D$4)+COUNTIF($W$265:$W$265,'My Rota'!$D$4&amp;" ~*")&gt;0,$B$265&amp;IF(COUNTIF($W$265:$W$265,'My Rota'!$D$4&amp;" ~*")&gt;0," *","")&amp;CHAR(10),"")&amp;IF(COUNTIF($W$266:$W$266,'My Rota'!$D$4)+COUNTIF($W$266:$W$266,'My Rota'!$D$4&amp;" ~*")&gt;0,$B$266&amp;IF(COUNTIF($W$266:$W$266,'My Rota'!$D$4&amp;" ~*")&gt;0," *","")&amp;CHAR(10),"")&amp;IF(COUNTIF($W$267:$W$267,'My Rota'!$D$4)+COUNTIF($W$267:$W$267,'My Rota'!$D$4&amp;" ~*")&gt;0,$B$267&amp;IF(COUNTIF($W$267:$W$267,'My Rota'!$D$4&amp;" ~*")&gt;0," *","")&amp;CHAR(10),"")&amp;IF(COUNTIF($W$268:$W$268,'My Rota'!$D$4)+COUNTIF($W$268:$W$268,'My Rota'!$D$4&amp;" ~*")&gt;0,$B$268&amp;IF(COUNTIF($W$268:$W$268,'My Rota'!$D$4&amp;" ~*")&gt;0," *","")&amp;CHAR(10),"")&amp;IF(COUNTIF($W$269:$W$269,'My Rota'!$D$4)+COUNTIF($W$269:$W$269,'My Rota'!$D$4&amp;" ~*")&gt;0,$B$269&amp;IF(COUNTIF($W$269:$W$269,'My Rota'!$D$4&amp;" ~*")&gt;0," *","")&amp;CHAR(10),"")&amp;IF(COUNTIF($W$270:$W$270,'My Rota'!$D$4)+COUNTIF($W$270:$W$270,'My Rota'!$D$4&amp;" ~*")&gt;0,$B$270&amp;IF(COUNTIF($W$270:$W$270,'My Rota'!$D$4&amp;" ~*")&gt;0," *","")&amp;CHAR(10),"")&amp;IF(COUNTIF($W$271:$W$271,'My Rota'!$D$4)+COUNTIF($W$271:$W$271,'My Rota'!$D$4&amp;" ~*")&gt;0,$B$271&amp;IF(COUNTIF($W$271:$W$271,'My Rota'!$D$4&amp;" ~*")&gt;0," *","")&amp;CHAR(10),""))</f>
        <v/>
      </c>
      <c r="R315">
        <f>IF(C315="","",IF(COUNTIF($Y$254:$Y$254,'My Rota'!$D$4)+COUNTIF($Y$254:$Y$254,'My Rota'!$D$4&amp;" ~*")&gt;0,$B$254&amp;IF(COUNTIF($Y$254:$Y$254,'My Rota'!$D$4&amp;" ~*")&gt;0," *","")&amp;CHAR(10),"")&amp;IF(COUNTIF($Y$255:$Y$255,'My Rota'!$D$4)+COUNTIF($Y$255:$Y$255,'My Rota'!$D$4&amp;" ~*")&gt;0,$B$255&amp;IF(COUNTIF($Y$255:$Y$255,'My Rota'!$D$4&amp;" ~*")&gt;0," *","")&amp;CHAR(10),"")&amp;IF(COUNTIF($Y$256:$Y$256,'My Rota'!$D$4)+COUNTIF($Y$256:$Y$256,'My Rota'!$D$4&amp;" ~*")&gt;0,$B$256&amp;IF(COUNTIF($Y$256:$Y$256,'My Rota'!$D$4&amp;" ~*")&gt;0," *","")&amp;CHAR(10),"")&amp;IF(COUNTIF($Y$257:$Y$257,'My Rota'!$D$4)+COUNTIF($Y$257:$Y$257,'My Rota'!$D$4&amp;" ~*")&gt;0,$B$257&amp;IF(COUNTIF($Y$257:$Y$257,'My Rota'!$D$4&amp;" ~*")&gt;0," *","")&amp;CHAR(10),"")&amp;IF(COUNTIF($Y$258:$Y$258,'My Rota'!$D$4)+COUNTIF($Y$258:$Y$258,'My Rota'!$D$4&amp;" ~*")&gt;0,$B$258&amp;IF(COUNTIF($Y$258:$Y$258,'My Rota'!$D$4&amp;" ~*")&gt;0," *","")&amp;CHAR(10),"")&amp;IF(COUNTIF($Y$259:$Y$259,'My Rota'!$D$4)+COUNTIF($Y$259:$Y$259,'My Rota'!$D$4&amp;" ~*")&gt;0,$B$259&amp;IF(COUNTIF($Y$259:$Y$259,'My Rota'!$D$4&amp;" ~*")&gt;0," *","")&amp;CHAR(10),"")&amp;IF(COUNTIF($Y$260:$Y$260,'My Rota'!$D$4)+COUNTIF($Y$260:$Y$260,'My Rota'!$D$4&amp;" ~*")&gt;0,$B$260&amp;IF(COUNTIF($Y$260:$Y$260,'My Rota'!$D$4&amp;" ~*")&gt;0," *","")&amp;CHAR(10),"")&amp;IF(COUNTIF($Y$261:$Y$261,'My Rota'!$D$4)+COUNTIF($Y$261:$Y$261,'My Rota'!$D$4&amp;" ~*")&gt;0,$B$261&amp;IF(COUNTIF($Y$261:$Y$261,'My Rota'!$D$4&amp;" ~*")&gt;0," *","")&amp;CHAR(10),"")&amp;IF(COUNTIF($Y$262:$Y$262,'My Rota'!$D$4)+COUNTIF($Y$262:$Y$262,'My Rota'!$D$4&amp;" ~*")&gt;0,$B$262&amp;IF(COUNTIF($Y$262:$Y$262,'My Rota'!$D$4&amp;" ~*")&gt;0," *","")&amp;CHAR(10),"")&amp;IF(COUNTIF($Y$263:$Y$263,'My Rota'!$D$4)+COUNTIF($Y$263:$Y$263,'My Rota'!$D$4&amp;" ~*")&gt;0,$B$263&amp;IF(COUNTIF($Y$263:$Y$263,'My Rota'!$D$4&amp;" ~*")&gt;0," *","")&amp;CHAR(10),"")&amp;IF(COUNTIF($Y$264:$Y$264,'My Rota'!$D$4)+COUNTIF($Y$264:$Y$264,'My Rota'!$D$4&amp;" ~*")&gt;0,$B$264&amp;IF(COUNTIF($Y$264:$Y$264,'My Rota'!$D$4&amp;" ~*")&gt;0," *","")&amp;CHAR(10),"")&amp;IF(COUNTIF($Y$265:$Y$265,'My Rota'!$D$4)+COUNTIF($Y$265:$Y$265,'My Rota'!$D$4&amp;" ~*")&gt;0,$B$265&amp;IF(COUNTIF($Y$265:$Y$265,'My Rota'!$D$4&amp;" ~*")&gt;0," *","")&amp;CHAR(10),"")&amp;IF(COUNTIF($Y$266:$Y$266,'My Rota'!$D$4)+COUNTIF($Y$266:$Y$266,'My Rota'!$D$4&amp;" ~*")&gt;0,$B$266&amp;IF(COUNTIF($Y$266:$Y$266,'My Rota'!$D$4&amp;" ~*")&gt;0," *","")&amp;CHAR(10),"")&amp;IF(COUNTIF($Y$267:$Y$267,'My Rota'!$D$4)+COUNTIF($Y$267:$Y$267,'My Rota'!$D$4&amp;" ~*")&gt;0,$B$267&amp;IF(COUNTIF($Y$267:$Y$267,'My Rota'!$D$4&amp;" ~*")&gt;0," *","")&amp;CHAR(10),"")&amp;IF(COUNTIF($Y$268:$Y$268,'My Rota'!$D$4)+COUNTIF($Y$268:$Y$268,'My Rota'!$D$4&amp;" ~*")&gt;0,$B$268&amp;IF(COUNTIF($Y$268:$Y$268,'My Rota'!$D$4&amp;" ~*")&gt;0," *","")&amp;CHAR(10),"")&amp;IF(COUNTIF($Y$269:$Y$269,'My Rota'!$D$4)+COUNTIF($Y$269:$Y$269,'My Rota'!$D$4&amp;" ~*")&gt;0,$B$269&amp;IF(COUNTIF($Y$269:$Y$269,'My Rota'!$D$4&amp;" ~*")&gt;0," *","")&amp;CHAR(10),"")&amp;IF(COUNTIF($Y$270:$Y$270,'My Rota'!$D$4)+COUNTIF($Y$270:$Y$270,'My Rota'!$D$4&amp;" ~*")&gt;0,$B$270&amp;IF(COUNTIF($Y$270:$Y$270,'My Rota'!$D$4&amp;" ~*")&gt;0," *","")&amp;CHAR(10),"")&amp;IF(COUNTIF($Y$271:$Y$271,'My Rota'!$D$4)+COUNTIF($Y$271:$Y$271,'My Rota'!$D$4&amp;" ~*")&gt;0,$B$271&amp;IF(COUNTIF($Y$271:$Y$271,'My Rota'!$D$4&amp;" ~*")&gt;0," *","")&amp;CHAR(10),""))</f>
        <v/>
      </c>
      <c r="T315">
        <f>IF(L315="","",LEFT(L315,LEN(L315)-1))</f>
        <v/>
      </c>
      <c r="U315">
        <f>IF(M315="","",LEFT(M315,LEN(M315)-1))</f>
        <v/>
      </c>
      <c r="V315">
        <f>IF(N315="","",LEFT(N315,LEN(N315)-1))</f>
        <v/>
      </c>
      <c r="W315">
        <f>IF(O315="","",LEFT(O315,LEN(O315)-1))</f>
        <v/>
      </c>
      <c r="X315">
        <f>IF(P315="","",LEFT(P315,LEN(P315)-1))</f>
        <v/>
      </c>
      <c r="Y315">
        <f>IF(Q315="","",LEFT(Q315,LEN(Q315)-1))</f>
        <v/>
      </c>
      <c r="Z315">
        <f>IF(R315="","",LEFT(R315,LEN(R315)-1))</f>
        <v/>
      </c>
    </row>
    <row r="316">
      <c r="A316" t="n">
        <v>5</v>
      </c>
      <c r="C316" s="180">
        <f>IF((N('My Rota'!$D$6)+4)&gt;53,"",INDEX(Setup!$L$33:$L$36,IFERROR(MATCH('My Rota'!$D$5,Setup!$K$33:$K$36,0),1))+7*((N('My Rota'!$D$6)+4)-1))</f>
        <v/>
      </c>
      <c r="D316">
        <f>IF(OR('My Rota'!$D$4="",(N('My Rota'!$D$6)+4)&gt;53),"",""&amp;CHOOSE(IFERROR(MATCH('My Rota'!$D$5,Setup!$K$33:$K$36,0),1),INDEX('2027'!$A:$Z,(5+50*((N('My Rota'!$D$6)+4)-1))+21+IFERROR(MATCH('My Rota'!$D$4,Setup!$B$6:$B$29,0),1),3),INDEX('2028'!$A:$Z,(5+50*((N('My Rota'!$D$6)+4)-1))+21+IFERROR(MATCH('My Rota'!$D$4,Setup!$B$6:$B$29,0),1),3),INDEX('2029'!$A:$Z,(5+50*((N('My Rota'!$D$6)+4)-1))+21+IFERROR(MATCH('My Rota'!$D$4,Setup!$B$6:$B$29,0),1),3),INDEX('2030'!$A:$Z,(5+50*((N('My Rota'!$D$6)+4)-1))+21+IFERROR(MATCH('My Rota'!$D$4,Setup!$B$6:$B$29,0),1),3)))</f>
        <v/>
      </c>
      <c r="E316">
        <f>IF(OR('My Rota'!$D$4="",(N('My Rota'!$D$6)+4)&gt;53),"",""&amp;CHOOSE(IFERROR(MATCH('My Rota'!$D$5,Setup!$K$33:$K$36,0),1),INDEX('2027'!$A:$Z,(5+50*((N('My Rota'!$D$6)+4)-1))+21+IFERROR(MATCH('My Rota'!$D$4,Setup!$B$6:$B$29,0),1),7),INDEX('2028'!$A:$Z,(5+50*((N('My Rota'!$D$6)+4)-1))+21+IFERROR(MATCH('My Rota'!$D$4,Setup!$B$6:$B$29,0),1),7),INDEX('2029'!$A:$Z,(5+50*((N('My Rota'!$D$6)+4)-1))+21+IFERROR(MATCH('My Rota'!$D$4,Setup!$B$6:$B$29,0),1),7),INDEX('2030'!$A:$Z,(5+50*((N('My Rota'!$D$6)+4)-1))+21+IFERROR(MATCH('My Rota'!$D$4,Setup!$B$6:$B$29,0),1),7)))</f>
        <v/>
      </c>
      <c r="F316">
        <f>IF(OR('My Rota'!$D$4="",(N('My Rota'!$D$6)+4)&gt;53),"",""&amp;CHOOSE(IFERROR(MATCH('My Rota'!$D$5,Setup!$K$33:$K$36,0),1),INDEX('2027'!$A:$Z,(5+50*((N('My Rota'!$D$6)+4)-1))+21+IFERROR(MATCH('My Rota'!$D$4,Setup!$B$6:$B$29,0),1),11),INDEX('2028'!$A:$Z,(5+50*((N('My Rota'!$D$6)+4)-1))+21+IFERROR(MATCH('My Rota'!$D$4,Setup!$B$6:$B$29,0),1),11),INDEX('2029'!$A:$Z,(5+50*((N('My Rota'!$D$6)+4)-1))+21+IFERROR(MATCH('My Rota'!$D$4,Setup!$B$6:$B$29,0),1),11),INDEX('2030'!$A:$Z,(5+50*((N('My Rota'!$D$6)+4)-1))+21+IFERROR(MATCH('My Rota'!$D$4,Setup!$B$6:$B$29,0),1),11)))</f>
        <v/>
      </c>
      <c r="G316">
        <f>IF(OR('My Rota'!$D$4="",(N('My Rota'!$D$6)+4)&gt;53),"",""&amp;CHOOSE(IFERROR(MATCH('My Rota'!$D$5,Setup!$K$33:$K$36,0),1),INDEX('2027'!$A:$Z,(5+50*((N('My Rota'!$D$6)+4)-1))+21+IFERROR(MATCH('My Rota'!$D$4,Setup!$B$6:$B$29,0),1),15),INDEX('2028'!$A:$Z,(5+50*((N('My Rota'!$D$6)+4)-1))+21+IFERROR(MATCH('My Rota'!$D$4,Setup!$B$6:$B$29,0),1),15),INDEX('2029'!$A:$Z,(5+50*((N('My Rota'!$D$6)+4)-1))+21+IFERROR(MATCH('My Rota'!$D$4,Setup!$B$6:$B$29,0),1),15),INDEX('2030'!$A:$Z,(5+50*((N('My Rota'!$D$6)+4)-1))+21+IFERROR(MATCH('My Rota'!$D$4,Setup!$B$6:$B$29,0),1),15)))</f>
        <v/>
      </c>
      <c r="H316">
        <f>IF(OR('My Rota'!$D$4="",(N('My Rota'!$D$6)+4)&gt;53),"",""&amp;CHOOSE(IFERROR(MATCH('My Rota'!$D$5,Setup!$K$33:$K$36,0),1),INDEX('2027'!$A:$Z,(5+50*((N('My Rota'!$D$6)+4)-1))+21+IFERROR(MATCH('My Rota'!$D$4,Setup!$B$6:$B$29,0),1),19),INDEX('2028'!$A:$Z,(5+50*((N('My Rota'!$D$6)+4)-1))+21+IFERROR(MATCH('My Rota'!$D$4,Setup!$B$6:$B$29,0),1),19),INDEX('2029'!$A:$Z,(5+50*((N('My Rota'!$D$6)+4)-1))+21+IFERROR(MATCH('My Rota'!$D$4,Setup!$B$6:$B$29,0),1),19),INDEX('2030'!$A:$Z,(5+50*((N('My Rota'!$D$6)+4)-1))+21+IFERROR(MATCH('My Rota'!$D$4,Setup!$B$6:$B$29,0),1),19)))</f>
        <v/>
      </c>
      <c r="I316">
        <f>IF(OR('My Rota'!$D$4="",(N('My Rota'!$D$6)+4)&gt;53),"",""&amp;CHOOSE(IFERROR(MATCH('My Rota'!$D$5,Setup!$K$33:$K$36,0),1),INDEX('2027'!$A:$Z,(5+50*((N('My Rota'!$D$6)+4)-1))+21+IFERROR(MATCH('My Rota'!$D$4,Setup!$B$6:$B$29,0),1),23),INDEX('2028'!$A:$Z,(5+50*((N('My Rota'!$D$6)+4)-1))+21+IFERROR(MATCH('My Rota'!$D$4,Setup!$B$6:$B$29,0),1),23),INDEX('2029'!$A:$Z,(5+50*((N('My Rota'!$D$6)+4)-1))+21+IFERROR(MATCH('My Rota'!$D$4,Setup!$B$6:$B$29,0),1),23),INDEX('2030'!$A:$Z,(5+50*((N('My Rota'!$D$6)+4)-1))+21+IFERROR(MATCH('My Rota'!$D$4,Setup!$B$6:$B$29,0),1),23)))</f>
        <v/>
      </c>
      <c r="J316">
        <f>IF(OR('My Rota'!$D$4="",(N('My Rota'!$D$6)+4)&gt;53),"",""&amp;CHOOSE(IFERROR(MATCH('My Rota'!$D$5,Setup!$K$33:$K$36,0),1),INDEX('2027'!$A:$Z,(5+50*((N('My Rota'!$D$6)+4)-1))+21+IFERROR(MATCH('My Rota'!$D$4,Setup!$B$6:$B$29,0),1),25),INDEX('2028'!$A:$Z,(5+50*((N('My Rota'!$D$6)+4)-1))+21+IFERROR(MATCH('My Rota'!$D$4,Setup!$B$6:$B$29,0),1),25),INDEX('2029'!$A:$Z,(5+50*((N('My Rota'!$D$6)+4)-1))+21+IFERROR(MATCH('My Rota'!$D$4,Setup!$B$6:$B$29,0),1),25),INDEX('2030'!$A:$Z,(5+50*((N('My Rota'!$D$6)+4)-1))+21+IFERROR(MATCH('My Rota'!$D$4,Setup!$B$6:$B$29,0),1),25)))</f>
        <v/>
      </c>
      <c r="L316">
        <f>IF(C316="","",IF(COUNTIF($C$272:$E$272,'My Rota'!$D$4)+COUNTIF($C$272:$E$272,'My Rota'!$D$4&amp;" ~*")&gt;0,$B$272&amp;IF(COUNTIF($C$272:$E$272,'My Rota'!$D$4&amp;" ~*")&gt;0," *","")&amp;CHAR(10),"")&amp;IF(COUNTIF($C$273:$E$273,'My Rota'!$D$4)+COUNTIF($C$273:$E$273,'My Rota'!$D$4&amp;" ~*")&gt;0,$B$273&amp;IF(COUNTIF($C$273:$E$273,'My Rota'!$D$4&amp;" ~*")&gt;0," *","")&amp;CHAR(10),"")&amp;IF(COUNTIF($C$274:$E$274,'My Rota'!$D$4)+COUNTIF($C$274:$E$274,'My Rota'!$D$4&amp;" ~*")&gt;0,$B$274&amp;IF(COUNTIF($C$274:$E$274,'My Rota'!$D$4&amp;" ~*")&gt;0," *","")&amp;CHAR(10),"")&amp;IF(COUNTIF($C$275:$E$275,'My Rota'!$D$4)+COUNTIF($C$275:$E$275,'My Rota'!$D$4&amp;" ~*")&gt;0,$B$275&amp;IF(COUNTIF($C$275:$E$275,'My Rota'!$D$4&amp;" ~*")&gt;0," *","")&amp;CHAR(10),"")&amp;IF(COUNTIF($C$276:$E$276,'My Rota'!$D$4)+COUNTIF($C$276:$E$276,'My Rota'!$D$4&amp;" ~*")&gt;0,$B$276&amp;IF(COUNTIF($C$276:$E$276,'My Rota'!$D$4&amp;" ~*")&gt;0," *","")&amp;CHAR(10),"")&amp;IF(COUNTIF($C$277:$E$277,'My Rota'!$D$4)+COUNTIF($C$277:$E$277,'My Rota'!$D$4&amp;" ~*")&gt;0,$B$277&amp;IF(COUNTIF($C$277:$E$277,'My Rota'!$D$4&amp;" ~*")&gt;0," *","")&amp;CHAR(10),"")&amp;IF(COUNTIF($C$278:$E$278,'My Rota'!$D$4)+COUNTIF($C$278:$E$278,'My Rota'!$D$4&amp;" ~*")&gt;0,$B$278&amp;IF(COUNTIF($C$278:$E$278,'My Rota'!$D$4&amp;" ~*")&gt;0," *","")&amp;CHAR(10),"")&amp;IF(COUNTIF($C$279:$E$279,'My Rota'!$D$4)+COUNTIF($C$279:$E$279,'My Rota'!$D$4&amp;" ~*")&gt;0,$B$279&amp;IF(COUNTIF($C$279:$E$279,'My Rota'!$D$4&amp;" ~*")&gt;0," *","")&amp;CHAR(10),"")&amp;IF(COUNTIF($C$280:$E$280,'My Rota'!$D$4)+COUNTIF($C$280:$E$280,'My Rota'!$D$4&amp;" ~*")&gt;0,$B$280&amp;IF(COUNTIF($C$280:$E$280,'My Rota'!$D$4&amp;" ~*")&gt;0," *","")&amp;CHAR(10),"")&amp;IF(COUNTIF($C$281:$E$281,'My Rota'!$D$4)+COUNTIF($C$281:$E$281,'My Rota'!$D$4&amp;" ~*")&gt;0,$B$281&amp;IF(COUNTIF($C$281:$E$281,'My Rota'!$D$4&amp;" ~*")&gt;0," *","")&amp;CHAR(10),"")&amp;IF(COUNTIF($C$282:$E$282,'My Rota'!$D$4)+COUNTIF($C$282:$E$282,'My Rota'!$D$4&amp;" ~*")&gt;0,$B$282&amp;IF(COUNTIF($C$282:$E$282,'My Rota'!$D$4&amp;" ~*")&gt;0," *","")&amp;CHAR(10),"")&amp;IF(COUNTIF($C$283:$E$283,'My Rota'!$D$4)+COUNTIF($C$283:$E$283,'My Rota'!$D$4&amp;" ~*")&gt;0,$B$283&amp;IF(COUNTIF($C$283:$E$283,'My Rota'!$D$4&amp;" ~*")&gt;0," *","")&amp;CHAR(10),"")&amp;IF(COUNTIF($C$284:$E$284,'My Rota'!$D$4)+COUNTIF($C$284:$E$284,'My Rota'!$D$4&amp;" ~*")&gt;0,$B$284&amp;IF(COUNTIF($C$284:$E$284,'My Rota'!$D$4&amp;" ~*")&gt;0," *","")&amp;CHAR(10),"")&amp;IF(COUNTIF($C$285:$E$285,'My Rota'!$D$4)+COUNTIF($C$285:$E$285,'My Rota'!$D$4&amp;" ~*")&gt;0,$B$285&amp;IF(COUNTIF($C$285:$E$285,'My Rota'!$D$4&amp;" ~*")&gt;0," *","")&amp;CHAR(10),"")&amp;IF(COUNTIF($C$286:$E$286,'My Rota'!$D$4)+COUNTIF($C$286:$E$286,'My Rota'!$D$4&amp;" ~*")&gt;0,$B$286&amp;IF(COUNTIF($C$286:$E$286,'My Rota'!$D$4&amp;" ~*")&gt;0," *","")&amp;CHAR(10),"")&amp;IF(COUNTIF($C$287:$E$287,'My Rota'!$D$4)+COUNTIF($C$287:$E$287,'My Rota'!$D$4&amp;" ~*")&gt;0,$B$287&amp;IF(COUNTIF($C$287:$E$287,'My Rota'!$D$4&amp;" ~*")&gt;0," *","")&amp;CHAR(10),"")&amp;IF(COUNTIF($C$288:$E$288,'My Rota'!$D$4)+COUNTIF($C$288:$E$288,'My Rota'!$D$4&amp;" ~*")&gt;0,$B$288&amp;IF(COUNTIF($C$288:$E$288,'My Rota'!$D$4&amp;" ~*")&gt;0," *","")&amp;CHAR(10),"")&amp;IF(COUNTIF($C$289:$E$289,'My Rota'!$D$4)+COUNTIF($C$289:$E$289,'My Rota'!$D$4&amp;" ~*")&gt;0,$B$289&amp;IF(COUNTIF($C$289:$E$289,'My Rota'!$D$4&amp;" ~*")&gt;0," *","")&amp;CHAR(10),""))</f>
        <v/>
      </c>
      <c r="M316">
        <f>IF(C316="","",IF(COUNTIF($G$272:$I$272,'My Rota'!$D$4)+COUNTIF($G$272:$I$272,'My Rota'!$D$4&amp;" ~*")&gt;0,$B$272&amp;IF(COUNTIF($G$272:$I$272,'My Rota'!$D$4&amp;" ~*")&gt;0," *","")&amp;CHAR(10),"")&amp;IF(COUNTIF($G$273:$I$273,'My Rota'!$D$4)+COUNTIF($G$273:$I$273,'My Rota'!$D$4&amp;" ~*")&gt;0,$B$273&amp;IF(COUNTIF($G$273:$I$273,'My Rota'!$D$4&amp;" ~*")&gt;0," *","")&amp;CHAR(10),"")&amp;IF(COUNTIF($G$274:$I$274,'My Rota'!$D$4)+COUNTIF($G$274:$I$274,'My Rota'!$D$4&amp;" ~*")&gt;0,$B$274&amp;IF(COUNTIF($G$274:$I$274,'My Rota'!$D$4&amp;" ~*")&gt;0," *","")&amp;CHAR(10),"")&amp;IF(COUNTIF($G$275:$I$275,'My Rota'!$D$4)+COUNTIF($G$275:$I$275,'My Rota'!$D$4&amp;" ~*")&gt;0,$B$275&amp;IF(COUNTIF($G$275:$I$275,'My Rota'!$D$4&amp;" ~*")&gt;0," *","")&amp;CHAR(10),"")&amp;IF(COUNTIF($G$276:$I$276,'My Rota'!$D$4)+COUNTIF($G$276:$I$276,'My Rota'!$D$4&amp;" ~*")&gt;0,$B$276&amp;IF(COUNTIF($G$276:$I$276,'My Rota'!$D$4&amp;" ~*")&gt;0," *","")&amp;CHAR(10),"")&amp;IF(COUNTIF($G$277:$I$277,'My Rota'!$D$4)+COUNTIF($G$277:$I$277,'My Rota'!$D$4&amp;" ~*")&gt;0,$B$277&amp;IF(COUNTIF($G$277:$I$277,'My Rota'!$D$4&amp;" ~*")&gt;0," *","")&amp;CHAR(10),"")&amp;IF(COUNTIF($G$278:$I$278,'My Rota'!$D$4)+COUNTIF($G$278:$I$278,'My Rota'!$D$4&amp;" ~*")&gt;0,$B$278&amp;IF(COUNTIF($G$278:$I$278,'My Rota'!$D$4&amp;" ~*")&gt;0," *","")&amp;CHAR(10),"")&amp;IF(COUNTIF($G$279:$I$279,'My Rota'!$D$4)+COUNTIF($G$279:$I$279,'My Rota'!$D$4&amp;" ~*")&gt;0,$B$279&amp;IF(COUNTIF($G$279:$I$279,'My Rota'!$D$4&amp;" ~*")&gt;0," *","")&amp;CHAR(10),"")&amp;IF(COUNTIF($G$280:$I$280,'My Rota'!$D$4)+COUNTIF($G$280:$I$280,'My Rota'!$D$4&amp;" ~*")&gt;0,$B$280&amp;IF(COUNTIF($G$280:$I$280,'My Rota'!$D$4&amp;" ~*")&gt;0," *","")&amp;CHAR(10),"")&amp;IF(COUNTIF($G$281:$I$281,'My Rota'!$D$4)+COUNTIF($G$281:$I$281,'My Rota'!$D$4&amp;" ~*")&gt;0,$B$281&amp;IF(COUNTIF($G$281:$I$281,'My Rota'!$D$4&amp;" ~*")&gt;0," *","")&amp;CHAR(10),"")&amp;IF(COUNTIF($G$282:$I$282,'My Rota'!$D$4)+COUNTIF($G$282:$I$282,'My Rota'!$D$4&amp;" ~*")&gt;0,$B$282&amp;IF(COUNTIF($G$282:$I$282,'My Rota'!$D$4&amp;" ~*")&gt;0," *","")&amp;CHAR(10),"")&amp;IF(COUNTIF($G$283:$I$283,'My Rota'!$D$4)+COUNTIF($G$283:$I$283,'My Rota'!$D$4&amp;" ~*")&gt;0,$B$283&amp;IF(COUNTIF($G$283:$I$283,'My Rota'!$D$4&amp;" ~*")&gt;0," *","")&amp;CHAR(10),"")&amp;IF(COUNTIF($G$284:$I$284,'My Rota'!$D$4)+COUNTIF($G$284:$I$284,'My Rota'!$D$4&amp;" ~*")&gt;0,$B$284&amp;IF(COUNTIF($G$284:$I$284,'My Rota'!$D$4&amp;" ~*")&gt;0," *","")&amp;CHAR(10),"")&amp;IF(COUNTIF($G$285:$I$285,'My Rota'!$D$4)+COUNTIF($G$285:$I$285,'My Rota'!$D$4&amp;" ~*")&gt;0,$B$285&amp;IF(COUNTIF($G$285:$I$285,'My Rota'!$D$4&amp;" ~*")&gt;0," *","")&amp;CHAR(10),"")&amp;IF(COUNTIF($G$286:$I$286,'My Rota'!$D$4)+COUNTIF($G$286:$I$286,'My Rota'!$D$4&amp;" ~*")&gt;0,$B$286&amp;IF(COUNTIF($G$286:$I$286,'My Rota'!$D$4&amp;" ~*")&gt;0," *","")&amp;CHAR(10),"")&amp;IF(COUNTIF($G$287:$I$287,'My Rota'!$D$4)+COUNTIF($G$287:$I$287,'My Rota'!$D$4&amp;" ~*")&gt;0,$B$287&amp;IF(COUNTIF($G$287:$I$287,'My Rota'!$D$4&amp;" ~*")&gt;0," *","")&amp;CHAR(10),"")&amp;IF(COUNTIF($G$288:$I$288,'My Rota'!$D$4)+COUNTIF($G$288:$I$288,'My Rota'!$D$4&amp;" ~*")&gt;0,$B$288&amp;IF(COUNTIF($G$288:$I$288,'My Rota'!$D$4&amp;" ~*")&gt;0," *","")&amp;CHAR(10),"")&amp;IF(COUNTIF($G$289:$I$289,'My Rota'!$D$4)+COUNTIF($G$289:$I$289,'My Rota'!$D$4&amp;" ~*")&gt;0,$B$289&amp;IF(COUNTIF($G$289:$I$289,'My Rota'!$D$4&amp;" ~*")&gt;0," *","")&amp;CHAR(10),""))</f>
        <v/>
      </c>
      <c r="N316">
        <f>IF(C316="","",IF(COUNTIF($K$272:$M$272,'My Rota'!$D$4)+COUNTIF($K$272:$M$272,'My Rota'!$D$4&amp;" ~*")&gt;0,$B$272&amp;IF(COUNTIF($K$272:$M$272,'My Rota'!$D$4&amp;" ~*")&gt;0," *","")&amp;CHAR(10),"")&amp;IF(COUNTIF($K$273:$M$273,'My Rota'!$D$4)+COUNTIF($K$273:$M$273,'My Rota'!$D$4&amp;" ~*")&gt;0,$B$273&amp;IF(COUNTIF($K$273:$M$273,'My Rota'!$D$4&amp;" ~*")&gt;0," *","")&amp;CHAR(10),"")&amp;IF(COUNTIF($K$274:$M$274,'My Rota'!$D$4)+COUNTIF($K$274:$M$274,'My Rota'!$D$4&amp;" ~*")&gt;0,$B$274&amp;IF(COUNTIF($K$274:$M$274,'My Rota'!$D$4&amp;" ~*")&gt;0," *","")&amp;CHAR(10),"")&amp;IF(COUNTIF($K$275:$M$275,'My Rota'!$D$4)+COUNTIF($K$275:$M$275,'My Rota'!$D$4&amp;" ~*")&gt;0,$B$275&amp;IF(COUNTIF($K$275:$M$275,'My Rota'!$D$4&amp;" ~*")&gt;0," *","")&amp;CHAR(10),"")&amp;IF(COUNTIF($K$276:$M$276,'My Rota'!$D$4)+COUNTIF($K$276:$M$276,'My Rota'!$D$4&amp;" ~*")&gt;0,$B$276&amp;IF(COUNTIF($K$276:$M$276,'My Rota'!$D$4&amp;" ~*")&gt;0," *","")&amp;CHAR(10),"")&amp;IF(COUNTIF($K$277:$M$277,'My Rota'!$D$4)+COUNTIF($K$277:$M$277,'My Rota'!$D$4&amp;" ~*")&gt;0,$B$277&amp;IF(COUNTIF($K$277:$M$277,'My Rota'!$D$4&amp;" ~*")&gt;0," *","")&amp;CHAR(10),"")&amp;IF(COUNTIF($K$278:$M$278,'My Rota'!$D$4)+COUNTIF($K$278:$M$278,'My Rota'!$D$4&amp;" ~*")&gt;0,$B$278&amp;IF(COUNTIF($K$278:$M$278,'My Rota'!$D$4&amp;" ~*")&gt;0," *","")&amp;CHAR(10),"")&amp;IF(COUNTIF($K$279:$M$279,'My Rota'!$D$4)+COUNTIF($K$279:$M$279,'My Rota'!$D$4&amp;" ~*")&gt;0,$B$279&amp;IF(COUNTIF($K$279:$M$279,'My Rota'!$D$4&amp;" ~*")&gt;0," *","")&amp;CHAR(10),"")&amp;IF(COUNTIF($K$280:$M$280,'My Rota'!$D$4)+COUNTIF($K$280:$M$280,'My Rota'!$D$4&amp;" ~*")&gt;0,$B$280&amp;IF(COUNTIF($K$280:$M$280,'My Rota'!$D$4&amp;" ~*")&gt;0," *","")&amp;CHAR(10),"")&amp;IF(COUNTIF($K$281:$M$281,'My Rota'!$D$4)+COUNTIF($K$281:$M$281,'My Rota'!$D$4&amp;" ~*")&gt;0,$B$281&amp;IF(COUNTIF($K$281:$M$281,'My Rota'!$D$4&amp;" ~*")&gt;0," *","")&amp;CHAR(10),"")&amp;IF(COUNTIF($K$282:$M$282,'My Rota'!$D$4)+COUNTIF($K$282:$M$282,'My Rota'!$D$4&amp;" ~*")&gt;0,$B$282&amp;IF(COUNTIF($K$282:$M$282,'My Rota'!$D$4&amp;" ~*")&gt;0," *","")&amp;CHAR(10),"")&amp;IF(COUNTIF($K$283:$M$283,'My Rota'!$D$4)+COUNTIF($K$283:$M$283,'My Rota'!$D$4&amp;" ~*")&gt;0,$B$283&amp;IF(COUNTIF($K$283:$M$283,'My Rota'!$D$4&amp;" ~*")&gt;0," *","")&amp;CHAR(10),"")&amp;IF(COUNTIF($K$284:$M$284,'My Rota'!$D$4)+COUNTIF($K$284:$M$284,'My Rota'!$D$4&amp;" ~*")&gt;0,$B$284&amp;IF(COUNTIF($K$284:$M$284,'My Rota'!$D$4&amp;" ~*")&gt;0," *","")&amp;CHAR(10),"")&amp;IF(COUNTIF($K$285:$M$285,'My Rota'!$D$4)+COUNTIF($K$285:$M$285,'My Rota'!$D$4&amp;" ~*")&gt;0,$B$285&amp;IF(COUNTIF($K$285:$M$285,'My Rota'!$D$4&amp;" ~*")&gt;0," *","")&amp;CHAR(10),"")&amp;IF(COUNTIF($K$286:$M$286,'My Rota'!$D$4)+COUNTIF($K$286:$M$286,'My Rota'!$D$4&amp;" ~*")&gt;0,$B$286&amp;IF(COUNTIF($K$286:$M$286,'My Rota'!$D$4&amp;" ~*")&gt;0," *","")&amp;CHAR(10),"")&amp;IF(COUNTIF($K$287:$M$287,'My Rota'!$D$4)+COUNTIF($K$287:$M$287,'My Rota'!$D$4&amp;" ~*")&gt;0,$B$287&amp;IF(COUNTIF($K$287:$M$287,'My Rota'!$D$4&amp;" ~*")&gt;0," *","")&amp;CHAR(10),"")&amp;IF(COUNTIF($K$288:$M$288,'My Rota'!$D$4)+COUNTIF($K$288:$M$288,'My Rota'!$D$4&amp;" ~*")&gt;0,$B$288&amp;IF(COUNTIF($K$288:$M$288,'My Rota'!$D$4&amp;" ~*")&gt;0," *","")&amp;CHAR(10),"")&amp;IF(COUNTIF($K$289:$M$289,'My Rota'!$D$4)+COUNTIF($K$289:$M$289,'My Rota'!$D$4&amp;" ~*")&gt;0,$B$289&amp;IF(COUNTIF($K$289:$M$289,'My Rota'!$D$4&amp;" ~*")&gt;0," *","")&amp;CHAR(10),""))</f>
        <v/>
      </c>
      <c r="O316">
        <f>IF(C316="","",IF(COUNTIF($O$272:$Q$272,'My Rota'!$D$4)+COUNTIF($O$272:$Q$272,'My Rota'!$D$4&amp;" ~*")&gt;0,$B$272&amp;IF(COUNTIF($O$272:$Q$272,'My Rota'!$D$4&amp;" ~*")&gt;0," *","")&amp;CHAR(10),"")&amp;IF(COUNTIF($O$273:$Q$273,'My Rota'!$D$4)+COUNTIF($O$273:$Q$273,'My Rota'!$D$4&amp;" ~*")&gt;0,$B$273&amp;IF(COUNTIF($O$273:$Q$273,'My Rota'!$D$4&amp;" ~*")&gt;0," *","")&amp;CHAR(10),"")&amp;IF(COUNTIF($O$274:$Q$274,'My Rota'!$D$4)+COUNTIF($O$274:$Q$274,'My Rota'!$D$4&amp;" ~*")&gt;0,$B$274&amp;IF(COUNTIF($O$274:$Q$274,'My Rota'!$D$4&amp;" ~*")&gt;0," *","")&amp;CHAR(10),"")&amp;IF(COUNTIF($O$275:$Q$275,'My Rota'!$D$4)+COUNTIF($O$275:$Q$275,'My Rota'!$D$4&amp;" ~*")&gt;0,$B$275&amp;IF(COUNTIF($O$275:$Q$275,'My Rota'!$D$4&amp;" ~*")&gt;0," *","")&amp;CHAR(10),"")&amp;IF(COUNTIF($O$276:$Q$276,'My Rota'!$D$4)+COUNTIF($O$276:$Q$276,'My Rota'!$D$4&amp;" ~*")&gt;0,$B$276&amp;IF(COUNTIF($O$276:$Q$276,'My Rota'!$D$4&amp;" ~*")&gt;0," *","")&amp;CHAR(10),"")&amp;IF(COUNTIF($O$277:$Q$277,'My Rota'!$D$4)+COUNTIF($O$277:$Q$277,'My Rota'!$D$4&amp;" ~*")&gt;0,$B$277&amp;IF(COUNTIF($O$277:$Q$277,'My Rota'!$D$4&amp;" ~*")&gt;0," *","")&amp;CHAR(10),"")&amp;IF(COUNTIF($O$278:$Q$278,'My Rota'!$D$4)+COUNTIF($O$278:$Q$278,'My Rota'!$D$4&amp;" ~*")&gt;0,$B$278&amp;IF(COUNTIF($O$278:$Q$278,'My Rota'!$D$4&amp;" ~*")&gt;0," *","")&amp;CHAR(10),"")&amp;IF(COUNTIF($O$279:$Q$279,'My Rota'!$D$4)+COUNTIF($O$279:$Q$279,'My Rota'!$D$4&amp;" ~*")&gt;0,$B$279&amp;IF(COUNTIF($O$279:$Q$279,'My Rota'!$D$4&amp;" ~*")&gt;0," *","")&amp;CHAR(10),"")&amp;IF(COUNTIF($O$280:$Q$280,'My Rota'!$D$4)+COUNTIF($O$280:$Q$280,'My Rota'!$D$4&amp;" ~*")&gt;0,$B$280&amp;IF(COUNTIF($O$280:$Q$280,'My Rota'!$D$4&amp;" ~*")&gt;0," *","")&amp;CHAR(10),"")&amp;IF(COUNTIF($O$281:$Q$281,'My Rota'!$D$4)+COUNTIF($O$281:$Q$281,'My Rota'!$D$4&amp;" ~*")&gt;0,$B$281&amp;IF(COUNTIF($O$281:$Q$281,'My Rota'!$D$4&amp;" ~*")&gt;0," *","")&amp;CHAR(10),"")&amp;IF(COUNTIF($O$282:$Q$282,'My Rota'!$D$4)+COUNTIF($O$282:$Q$282,'My Rota'!$D$4&amp;" ~*")&gt;0,$B$282&amp;IF(COUNTIF($O$282:$Q$282,'My Rota'!$D$4&amp;" ~*")&gt;0," *","")&amp;CHAR(10),"")&amp;IF(COUNTIF($O$283:$Q$283,'My Rota'!$D$4)+COUNTIF($O$283:$Q$283,'My Rota'!$D$4&amp;" ~*")&gt;0,$B$283&amp;IF(COUNTIF($O$283:$Q$283,'My Rota'!$D$4&amp;" ~*")&gt;0," *","")&amp;CHAR(10),"")&amp;IF(COUNTIF($O$284:$Q$284,'My Rota'!$D$4)+COUNTIF($O$284:$Q$284,'My Rota'!$D$4&amp;" ~*")&gt;0,$B$284&amp;IF(COUNTIF($O$284:$Q$284,'My Rota'!$D$4&amp;" ~*")&gt;0," *","")&amp;CHAR(10),"")&amp;IF(COUNTIF($O$285:$Q$285,'My Rota'!$D$4)+COUNTIF($O$285:$Q$285,'My Rota'!$D$4&amp;" ~*")&gt;0,$B$285&amp;IF(COUNTIF($O$285:$Q$285,'My Rota'!$D$4&amp;" ~*")&gt;0," *","")&amp;CHAR(10),"")&amp;IF(COUNTIF($O$286:$Q$286,'My Rota'!$D$4)+COUNTIF($O$286:$Q$286,'My Rota'!$D$4&amp;" ~*")&gt;0,$B$286&amp;IF(COUNTIF($O$286:$Q$286,'My Rota'!$D$4&amp;" ~*")&gt;0," *","")&amp;CHAR(10),"")&amp;IF(COUNTIF($O$287:$Q$287,'My Rota'!$D$4)+COUNTIF($O$287:$Q$287,'My Rota'!$D$4&amp;" ~*")&gt;0,$B$287&amp;IF(COUNTIF($O$287:$Q$287,'My Rota'!$D$4&amp;" ~*")&gt;0," *","")&amp;CHAR(10),"")&amp;IF(COUNTIF($O$288:$Q$288,'My Rota'!$D$4)+COUNTIF($O$288:$Q$288,'My Rota'!$D$4&amp;" ~*")&gt;0,$B$288&amp;IF(COUNTIF($O$288:$Q$288,'My Rota'!$D$4&amp;" ~*")&gt;0," *","")&amp;CHAR(10),"")&amp;IF(COUNTIF($O$289:$Q$289,'My Rota'!$D$4)+COUNTIF($O$289:$Q$289,'My Rota'!$D$4&amp;" ~*")&gt;0,$B$289&amp;IF(COUNTIF($O$289:$Q$289,'My Rota'!$D$4&amp;" ~*")&gt;0," *","")&amp;CHAR(10),""))</f>
        <v/>
      </c>
      <c r="P316">
        <f>IF(C316="","",IF(COUNTIF($S$272:$U$272,'My Rota'!$D$4)+COUNTIF($S$272:$U$272,'My Rota'!$D$4&amp;" ~*")&gt;0,$B$272&amp;IF(COUNTIF($S$272:$U$272,'My Rota'!$D$4&amp;" ~*")&gt;0," *","")&amp;CHAR(10),"")&amp;IF(COUNTIF($S$273:$U$273,'My Rota'!$D$4)+COUNTIF($S$273:$U$273,'My Rota'!$D$4&amp;" ~*")&gt;0,$B$273&amp;IF(COUNTIF($S$273:$U$273,'My Rota'!$D$4&amp;" ~*")&gt;0," *","")&amp;CHAR(10),"")&amp;IF(COUNTIF($S$274:$U$274,'My Rota'!$D$4)+COUNTIF($S$274:$U$274,'My Rota'!$D$4&amp;" ~*")&gt;0,$B$274&amp;IF(COUNTIF($S$274:$U$274,'My Rota'!$D$4&amp;" ~*")&gt;0," *","")&amp;CHAR(10),"")&amp;IF(COUNTIF($S$275:$U$275,'My Rota'!$D$4)+COUNTIF($S$275:$U$275,'My Rota'!$D$4&amp;" ~*")&gt;0,$B$275&amp;IF(COUNTIF($S$275:$U$275,'My Rota'!$D$4&amp;" ~*")&gt;0," *","")&amp;CHAR(10),"")&amp;IF(COUNTIF($S$276:$U$276,'My Rota'!$D$4)+COUNTIF($S$276:$U$276,'My Rota'!$D$4&amp;" ~*")&gt;0,$B$276&amp;IF(COUNTIF($S$276:$U$276,'My Rota'!$D$4&amp;" ~*")&gt;0," *","")&amp;CHAR(10),"")&amp;IF(COUNTIF($S$277:$U$277,'My Rota'!$D$4)+COUNTIF($S$277:$U$277,'My Rota'!$D$4&amp;" ~*")&gt;0,$B$277&amp;IF(COUNTIF($S$277:$U$277,'My Rota'!$D$4&amp;" ~*")&gt;0," *","")&amp;CHAR(10),"")&amp;IF(COUNTIF($S$278:$U$278,'My Rota'!$D$4)+COUNTIF($S$278:$U$278,'My Rota'!$D$4&amp;" ~*")&gt;0,$B$278&amp;IF(COUNTIF($S$278:$U$278,'My Rota'!$D$4&amp;" ~*")&gt;0," *","")&amp;CHAR(10),"")&amp;IF(COUNTIF($S$279:$U$279,'My Rota'!$D$4)+COUNTIF($S$279:$U$279,'My Rota'!$D$4&amp;" ~*")&gt;0,$B$279&amp;IF(COUNTIF($S$279:$U$279,'My Rota'!$D$4&amp;" ~*")&gt;0," *","")&amp;CHAR(10),"")&amp;IF(COUNTIF($S$280:$U$280,'My Rota'!$D$4)+COUNTIF($S$280:$U$280,'My Rota'!$D$4&amp;" ~*")&gt;0,$B$280&amp;IF(COUNTIF($S$280:$U$280,'My Rota'!$D$4&amp;" ~*")&gt;0," *","")&amp;CHAR(10),"")&amp;IF(COUNTIF($S$281:$U$281,'My Rota'!$D$4)+COUNTIF($S$281:$U$281,'My Rota'!$D$4&amp;" ~*")&gt;0,$B$281&amp;IF(COUNTIF($S$281:$U$281,'My Rota'!$D$4&amp;" ~*")&gt;0," *","")&amp;CHAR(10),"")&amp;IF(COUNTIF($S$282:$U$282,'My Rota'!$D$4)+COUNTIF($S$282:$U$282,'My Rota'!$D$4&amp;" ~*")&gt;0,$B$282&amp;IF(COUNTIF($S$282:$U$282,'My Rota'!$D$4&amp;" ~*")&gt;0," *","")&amp;CHAR(10),"")&amp;IF(COUNTIF($S$283:$U$283,'My Rota'!$D$4)+COUNTIF($S$283:$U$283,'My Rota'!$D$4&amp;" ~*")&gt;0,$B$283&amp;IF(COUNTIF($S$283:$U$283,'My Rota'!$D$4&amp;" ~*")&gt;0," *","")&amp;CHAR(10),"")&amp;IF(COUNTIF($S$284:$U$284,'My Rota'!$D$4)+COUNTIF($S$284:$U$284,'My Rota'!$D$4&amp;" ~*")&gt;0,$B$284&amp;IF(COUNTIF($S$284:$U$284,'My Rota'!$D$4&amp;" ~*")&gt;0," *","")&amp;CHAR(10),"")&amp;IF(COUNTIF($S$285:$U$285,'My Rota'!$D$4)+COUNTIF($S$285:$U$285,'My Rota'!$D$4&amp;" ~*")&gt;0,$B$285&amp;IF(COUNTIF($S$285:$U$285,'My Rota'!$D$4&amp;" ~*")&gt;0," *","")&amp;CHAR(10),"")&amp;IF(COUNTIF($S$286:$U$286,'My Rota'!$D$4)+COUNTIF($S$286:$U$286,'My Rota'!$D$4&amp;" ~*")&gt;0,$B$286&amp;IF(COUNTIF($S$286:$U$286,'My Rota'!$D$4&amp;" ~*")&gt;0," *","")&amp;CHAR(10),"")&amp;IF(COUNTIF($S$287:$U$287,'My Rota'!$D$4)+COUNTIF($S$287:$U$287,'My Rota'!$D$4&amp;" ~*")&gt;0,$B$287&amp;IF(COUNTIF($S$287:$U$287,'My Rota'!$D$4&amp;" ~*")&gt;0," *","")&amp;CHAR(10),"")&amp;IF(COUNTIF($S$288:$U$288,'My Rota'!$D$4)+COUNTIF($S$288:$U$288,'My Rota'!$D$4&amp;" ~*")&gt;0,$B$288&amp;IF(COUNTIF($S$288:$U$288,'My Rota'!$D$4&amp;" ~*")&gt;0," *","")&amp;CHAR(10),"")&amp;IF(COUNTIF($S$289:$U$289,'My Rota'!$D$4)+COUNTIF($S$289:$U$289,'My Rota'!$D$4&amp;" ~*")&gt;0,$B$289&amp;IF(COUNTIF($S$289:$U$289,'My Rota'!$D$4&amp;" ~*")&gt;0," *","")&amp;CHAR(10),""))</f>
        <v/>
      </c>
      <c r="Q316">
        <f>IF(C316="","",IF(COUNTIF($W$272:$W$272,'My Rota'!$D$4)+COUNTIF($W$272:$W$272,'My Rota'!$D$4&amp;" ~*")&gt;0,$B$272&amp;IF(COUNTIF($W$272:$W$272,'My Rota'!$D$4&amp;" ~*")&gt;0," *","")&amp;CHAR(10),"")&amp;IF(COUNTIF($W$273:$W$273,'My Rota'!$D$4)+COUNTIF($W$273:$W$273,'My Rota'!$D$4&amp;" ~*")&gt;0,$B$273&amp;IF(COUNTIF($W$273:$W$273,'My Rota'!$D$4&amp;" ~*")&gt;0," *","")&amp;CHAR(10),"")&amp;IF(COUNTIF($W$274:$W$274,'My Rota'!$D$4)+COUNTIF($W$274:$W$274,'My Rota'!$D$4&amp;" ~*")&gt;0,$B$274&amp;IF(COUNTIF($W$274:$W$274,'My Rota'!$D$4&amp;" ~*")&gt;0," *","")&amp;CHAR(10),"")&amp;IF(COUNTIF($W$275:$W$275,'My Rota'!$D$4)+COUNTIF($W$275:$W$275,'My Rota'!$D$4&amp;" ~*")&gt;0,$B$275&amp;IF(COUNTIF($W$275:$W$275,'My Rota'!$D$4&amp;" ~*")&gt;0," *","")&amp;CHAR(10),"")&amp;IF(COUNTIF($W$276:$W$276,'My Rota'!$D$4)+COUNTIF($W$276:$W$276,'My Rota'!$D$4&amp;" ~*")&gt;0,$B$276&amp;IF(COUNTIF($W$276:$W$276,'My Rota'!$D$4&amp;" ~*")&gt;0," *","")&amp;CHAR(10),"")&amp;IF(COUNTIF($W$277:$W$277,'My Rota'!$D$4)+COUNTIF($W$277:$W$277,'My Rota'!$D$4&amp;" ~*")&gt;0,$B$277&amp;IF(COUNTIF($W$277:$W$277,'My Rota'!$D$4&amp;" ~*")&gt;0," *","")&amp;CHAR(10),"")&amp;IF(COUNTIF($W$278:$W$278,'My Rota'!$D$4)+COUNTIF($W$278:$W$278,'My Rota'!$D$4&amp;" ~*")&gt;0,$B$278&amp;IF(COUNTIF($W$278:$W$278,'My Rota'!$D$4&amp;" ~*")&gt;0," *","")&amp;CHAR(10),"")&amp;IF(COUNTIF($W$279:$W$279,'My Rota'!$D$4)+COUNTIF($W$279:$W$279,'My Rota'!$D$4&amp;" ~*")&gt;0,$B$279&amp;IF(COUNTIF($W$279:$W$279,'My Rota'!$D$4&amp;" ~*")&gt;0," *","")&amp;CHAR(10),"")&amp;IF(COUNTIF($W$280:$W$280,'My Rota'!$D$4)+COUNTIF($W$280:$W$280,'My Rota'!$D$4&amp;" ~*")&gt;0,$B$280&amp;IF(COUNTIF($W$280:$W$280,'My Rota'!$D$4&amp;" ~*")&gt;0," *","")&amp;CHAR(10),"")&amp;IF(COUNTIF($W$281:$W$281,'My Rota'!$D$4)+COUNTIF($W$281:$W$281,'My Rota'!$D$4&amp;" ~*")&gt;0,$B$281&amp;IF(COUNTIF($W$281:$W$281,'My Rota'!$D$4&amp;" ~*")&gt;0," *","")&amp;CHAR(10),"")&amp;IF(COUNTIF($W$282:$W$282,'My Rota'!$D$4)+COUNTIF($W$282:$W$282,'My Rota'!$D$4&amp;" ~*")&gt;0,$B$282&amp;IF(COUNTIF($W$282:$W$282,'My Rota'!$D$4&amp;" ~*")&gt;0," *","")&amp;CHAR(10),"")&amp;IF(COUNTIF($W$283:$W$283,'My Rota'!$D$4)+COUNTIF($W$283:$W$283,'My Rota'!$D$4&amp;" ~*")&gt;0,$B$283&amp;IF(COUNTIF($W$283:$W$283,'My Rota'!$D$4&amp;" ~*")&gt;0," *","")&amp;CHAR(10),"")&amp;IF(COUNTIF($W$284:$W$284,'My Rota'!$D$4)+COUNTIF($W$284:$W$284,'My Rota'!$D$4&amp;" ~*")&gt;0,$B$284&amp;IF(COUNTIF($W$284:$W$284,'My Rota'!$D$4&amp;" ~*")&gt;0," *","")&amp;CHAR(10),"")&amp;IF(COUNTIF($W$285:$W$285,'My Rota'!$D$4)+COUNTIF($W$285:$W$285,'My Rota'!$D$4&amp;" ~*")&gt;0,$B$285&amp;IF(COUNTIF($W$285:$W$285,'My Rota'!$D$4&amp;" ~*")&gt;0," *","")&amp;CHAR(10),"")&amp;IF(COUNTIF($W$286:$W$286,'My Rota'!$D$4)+COUNTIF($W$286:$W$286,'My Rota'!$D$4&amp;" ~*")&gt;0,$B$286&amp;IF(COUNTIF($W$286:$W$286,'My Rota'!$D$4&amp;" ~*")&gt;0," *","")&amp;CHAR(10),"")&amp;IF(COUNTIF($W$287:$W$287,'My Rota'!$D$4)+COUNTIF($W$287:$W$287,'My Rota'!$D$4&amp;" ~*")&gt;0,$B$287&amp;IF(COUNTIF($W$287:$W$287,'My Rota'!$D$4&amp;" ~*")&gt;0," *","")&amp;CHAR(10),"")&amp;IF(COUNTIF($W$288:$W$288,'My Rota'!$D$4)+COUNTIF($W$288:$W$288,'My Rota'!$D$4&amp;" ~*")&gt;0,$B$288&amp;IF(COUNTIF($W$288:$W$288,'My Rota'!$D$4&amp;" ~*")&gt;0," *","")&amp;CHAR(10),"")&amp;IF(COUNTIF($W$289:$W$289,'My Rota'!$D$4)+COUNTIF($W$289:$W$289,'My Rota'!$D$4&amp;" ~*")&gt;0,$B$289&amp;IF(COUNTIF($W$289:$W$289,'My Rota'!$D$4&amp;" ~*")&gt;0," *","")&amp;CHAR(10),""))</f>
        <v/>
      </c>
      <c r="R316">
        <f>IF(C316="","",IF(COUNTIF($Y$272:$Y$272,'My Rota'!$D$4)+COUNTIF($Y$272:$Y$272,'My Rota'!$D$4&amp;" ~*")&gt;0,$B$272&amp;IF(COUNTIF($Y$272:$Y$272,'My Rota'!$D$4&amp;" ~*")&gt;0," *","")&amp;CHAR(10),"")&amp;IF(COUNTIF($Y$273:$Y$273,'My Rota'!$D$4)+COUNTIF($Y$273:$Y$273,'My Rota'!$D$4&amp;" ~*")&gt;0,$B$273&amp;IF(COUNTIF($Y$273:$Y$273,'My Rota'!$D$4&amp;" ~*")&gt;0," *","")&amp;CHAR(10),"")&amp;IF(COUNTIF($Y$274:$Y$274,'My Rota'!$D$4)+COUNTIF($Y$274:$Y$274,'My Rota'!$D$4&amp;" ~*")&gt;0,$B$274&amp;IF(COUNTIF($Y$274:$Y$274,'My Rota'!$D$4&amp;" ~*")&gt;0," *","")&amp;CHAR(10),"")&amp;IF(COUNTIF($Y$275:$Y$275,'My Rota'!$D$4)+COUNTIF($Y$275:$Y$275,'My Rota'!$D$4&amp;" ~*")&gt;0,$B$275&amp;IF(COUNTIF($Y$275:$Y$275,'My Rota'!$D$4&amp;" ~*")&gt;0," *","")&amp;CHAR(10),"")&amp;IF(COUNTIF($Y$276:$Y$276,'My Rota'!$D$4)+COUNTIF($Y$276:$Y$276,'My Rota'!$D$4&amp;" ~*")&gt;0,$B$276&amp;IF(COUNTIF($Y$276:$Y$276,'My Rota'!$D$4&amp;" ~*")&gt;0," *","")&amp;CHAR(10),"")&amp;IF(COUNTIF($Y$277:$Y$277,'My Rota'!$D$4)+COUNTIF($Y$277:$Y$277,'My Rota'!$D$4&amp;" ~*")&gt;0,$B$277&amp;IF(COUNTIF($Y$277:$Y$277,'My Rota'!$D$4&amp;" ~*")&gt;0," *","")&amp;CHAR(10),"")&amp;IF(COUNTIF($Y$278:$Y$278,'My Rota'!$D$4)+COUNTIF($Y$278:$Y$278,'My Rota'!$D$4&amp;" ~*")&gt;0,$B$278&amp;IF(COUNTIF($Y$278:$Y$278,'My Rota'!$D$4&amp;" ~*")&gt;0," *","")&amp;CHAR(10),"")&amp;IF(COUNTIF($Y$279:$Y$279,'My Rota'!$D$4)+COUNTIF($Y$279:$Y$279,'My Rota'!$D$4&amp;" ~*")&gt;0,$B$279&amp;IF(COUNTIF($Y$279:$Y$279,'My Rota'!$D$4&amp;" ~*")&gt;0," *","")&amp;CHAR(10),"")&amp;IF(COUNTIF($Y$280:$Y$280,'My Rota'!$D$4)+COUNTIF($Y$280:$Y$280,'My Rota'!$D$4&amp;" ~*")&gt;0,$B$280&amp;IF(COUNTIF($Y$280:$Y$280,'My Rota'!$D$4&amp;" ~*")&gt;0," *","")&amp;CHAR(10),"")&amp;IF(COUNTIF($Y$281:$Y$281,'My Rota'!$D$4)+COUNTIF($Y$281:$Y$281,'My Rota'!$D$4&amp;" ~*")&gt;0,$B$281&amp;IF(COUNTIF($Y$281:$Y$281,'My Rota'!$D$4&amp;" ~*")&gt;0," *","")&amp;CHAR(10),"")&amp;IF(COUNTIF($Y$282:$Y$282,'My Rota'!$D$4)+COUNTIF($Y$282:$Y$282,'My Rota'!$D$4&amp;" ~*")&gt;0,$B$282&amp;IF(COUNTIF($Y$282:$Y$282,'My Rota'!$D$4&amp;" ~*")&gt;0," *","")&amp;CHAR(10),"")&amp;IF(COUNTIF($Y$283:$Y$283,'My Rota'!$D$4)+COUNTIF($Y$283:$Y$283,'My Rota'!$D$4&amp;" ~*")&gt;0,$B$283&amp;IF(COUNTIF($Y$283:$Y$283,'My Rota'!$D$4&amp;" ~*")&gt;0," *","")&amp;CHAR(10),"")&amp;IF(COUNTIF($Y$284:$Y$284,'My Rota'!$D$4)+COUNTIF($Y$284:$Y$284,'My Rota'!$D$4&amp;" ~*")&gt;0,$B$284&amp;IF(COUNTIF($Y$284:$Y$284,'My Rota'!$D$4&amp;" ~*")&gt;0," *","")&amp;CHAR(10),"")&amp;IF(COUNTIF($Y$285:$Y$285,'My Rota'!$D$4)+COUNTIF($Y$285:$Y$285,'My Rota'!$D$4&amp;" ~*")&gt;0,$B$285&amp;IF(COUNTIF($Y$285:$Y$285,'My Rota'!$D$4&amp;" ~*")&gt;0," *","")&amp;CHAR(10),"")&amp;IF(COUNTIF($Y$286:$Y$286,'My Rota'!$D$4)+COUNTIF($Y$286:$Y$286,'My Rota'!$D$4&amp;" ~*")&gt;0,$B$286&amp;IF(COUNTIF($Y$286:$Y$286,'My Rota'!$D$4&amp;" ~*")&gt;0," *","")&amp;CHAR(10),"")&amp;IF(COUNTIF($Y$287:$Y$287,'My Rota'!$D$4)+COUNTIF($Y$287:$Y$287,'My Rota'!$D$4&amp;" ~*")&gt;0,$B$287&amp;IF(COUNTIF($Y$287:$Y$287,'My Rota'!$D$4&amp;" ~*")&gt;0," *","")&amp;CHAR(10),"")&amp;IF(COUNTIF($Y$288:$Y$288,'My Rota'!$D$4)+COUNTIF($Y$288:$Y$288,'My Rota'!$D$4&amp;" ~*")&gt;0,$B$288&amp;IF(COUNTIF($Y$288:$Y$288,'My Rota'!$D$4&amp;" ~*")&gt;0," *","")&amp;CHAR(10),"")&amp;IF(COUNTIF($Y$289:$Y$289,'My Rota'!$D$4)+COUNTIF($Y$289:$Y$289,'My Rota'!$D$4&amp;" ~*")&gt;0,$B$289&amp;IF(COUNTIF($Y$289:$Y$289,'My Rota'!$D$4&amp;" ~*")&gt;0," *","")&amp;CHAR(10),""))</f>
        <v/>
      </c>
      <c r="T316">
        <f>IF(L316="","",LEFT(L316,LEN(L316)-1))</f>
        <v/>
      </c>
      <c r="U316">
        <f>IF(M316="","",LEFT(M316,LEN(M316)-1))</f>
        <v/>
      </c>
      <c r="V316">
        <f>IF(N316="","",LEFT(N316,LEN(N316)-1))</f>
        <v/>
      </c>
      <c r="W316">
        <f>IF(O316="","",LEFT(O316,LEN(O316)-1))</f>
        <v/>
      </c>
      <c r="X316">
        <f>IF(P316="","",LEFT(P316,LEN(P316)-1))</f>
        <v/>
      </c>
      <c r="Y316">
        <f>IF(Q316="","",LEFT(Q316,LEN(Q316)-1))</f>
        <v/>
      </c>
      <c r="Z316">
        <f>IF(R316="","",LEFT(R316,LEN(R316)-1))</f>
        <v/>
      </c>
    </row>
    <row r="317">
      <c r="A317" t="n">
        <v>6</v>
      </c>
      <c r="C317" s="180">
        <f>IF((N('My Rota'!$D$6)+5)&gt;53,"",INDEX(Setup!$L$33:$L$36,IFERROR(MATCH('My Rota'!$D$5,Setup!$K$33:$K$36,0),1))+7*((N('My Rota'!$D$6)+5)-1))</f>
        <v/>
      </c>
      <c r="D317">
        <f>IF(OR('My Rota'!$D$4="",(N('My Rota'!$D$6)+5)&gt;53),"",""&amp;CHOOSE(IFERROR(MATCH('My Rota'!$D$5,Setup!$K$33:$K$36,0),1),INDEX('2027'!$A:$Z,(5+50*((N('My Rota'!$D$6)+5)-1))+21+IFERROR(MATCH('My Rota'!$D$4,Setup!$B$6:$B$29,0),1),3),INDEX('2028'!$A:$Z,(5+50*((N('My Rota'!$D$6)+5)-1))+21+IFERROR(MATCH('My Rota'!$D$4,Setup!$B$6:$B$29,0),1),3),INDEX('2029'!$A:$Z,(5+50*((N('My Rota'!$D$6)+5)-1))+21+IFERROR(MATCH('My Rota'!$D$4,Setup!$B$6:$B$29,0),1),3),INDEX('2030'!$A:$Z,(5+50*((N('My Rota'!$D$6)+5)-1))+21+IFERROR(MATCH('My Rota'!$D$4,Setup!$B$6:$B$29,0),1),3)))</f>
        <v/>
      </c>
      <c r="E317">
        <f>IF(OR('My Rota'!$D$4="",(N('My Rota'!$D$6)+5)&gt;53),"",""&amp;CHOOSE(IFERROR(MATCH('My Rota'!$D$5,Setup!$K$33:$K$36,0),1),INDEX('2027'!$A:$Z,(5+50*((N('My Rota'!$D$6)+5)-1))+21+IFERROR(MATCH('My Rota'!$D$4,Setup!$B$6:$B$29,0),1),7),INDEX('2028'!$A:$Z,(5+50*((N('My Rota'!$D$6)+5)-1))+21+IFERROR(MATCH('My Rota'!$D$4,Setup!$B$6:$B$29,0),1),7),INDEX('2029'!$A:$Z,(5+50*((N('My Rota'!$D$6)+5)-1))+21+IFERROR(MATCH('My Rota'!$D$4,Setup!$B$6:$B$29,0),1),7),INDEX('2030'!$A:$Z,(5+50*((N('My Rota'!$D$6)+5)-1))+21+IFERROR(MATCH('My Rota'!$D$4,Setup!$B$6:$B$29,0),1),7)))</f>
        <v/>
      </c>
      <c r="F317">
        <f>IF(OR('My Rota'!$D$4="",(N('My Rota'!$D$6)+5)&gt;53),"",""&amp;CHOOSE(IFERROR(MATCH('My Rota'!$D$5,Setup!$K$33:$K$36,0),1),INDEX('2027'!$A:$Z,(5+50*((N('My Rota'!$D$6)+5)-1))+21+IFERROR(MATCH('My Rota'!$D$4,Setup!$B$6:$B$29,0),1),11),INDEX('2028'!$A:$Z,(5+50*((N('My Rota'!$D$6)+5)-1))+21+IFERROR(MATCH('My Rota'!$D$4,Setup!$B$6:$B$29,0),1),11),INDEX('2029'!$A:$Z,(5+50*((N('My Rota'!$D$6)+5)-1))+21+IFERROR(MATCH('My Rota'!$D$4,Setup!$B$6:$B$29,0),1),11),INDEX('2030'!$A:$Z,(5+50*((N('My Rota'!$D$6)+5)-1))+21+IFERROR(MATCH('My Rota'!$D$4,Setup!$B$6:$B$29,0),1),11)))</f>
        <v/>
      </c>
      <c r="G317">
        <f>IF(OR('My Rota'!$D$4="",(N('My Rota'!$D$6)+5)&gt;53),"",""&amp;CHOOSE(IFERROR(MATCH('My Rota'!$D$5,Setup!$K$33:$K$36,0),1),INDEX('2027'!$A:$Z,(5+50*((N('My Rota'!$D$6)+5)-1))+21+IFERROR(MATCH('My Rota'!$D$4,Setup!$B$6:$B$29,0),1),15),INDEX('2028'!$A:$Z,(5+50*((N('My Rota'!$D$6)+5)-1))+21+IFERROR(MATCH('My Rota'!$D$4,Setup!$B$6:$B$29,0),1),15),INDEX('2029'!$A:$Z,(5+50*((N('My Rota'!$D$6)+5)-1))+21+IFERROR(MATCH('My Rota'!$D$4,Setup!$B$6:$B$29,0),1),15),INDEX('2030'!$A:$Z,(5+50*((N('My Rota'!$D$6)+5)-1))+21+IFERROR(MATCH('My Rota'!$D$4,Setup!$B$6:$B$29,0),1),15)))</f>
        <v/>
      </c>
      <c r="H317">
        <f>IF(OR('My Rota'!$D$4="",(N('My Rota'!$D$6)+5)&gt;53),"",""&amp;CHOOSE(IFERROR(MATCH('My Rota'!$D$5,Setup!$K$33:$K$36,0),1),INDEX('2027'!$A:$Z,(5+50*((N('My Rota'!$D$6)+5)-1))+21+IFERROR(MATCH('My Rota'!$D$4,Setup!$B$6:$B$29,0),1),19),INDEX('2028'!$A:$Z,(5+50*((N('My Rota'!$D$6)+5)-1))+21+IFERROR(MATCH('My Rota'!$D$4,Setup!$B$6:$B$29,0),1),19),INDEX('2029'!$A:$Z,(5+50*((N('My Rota'!$D$6)+5)-1))+21+IFERROR(MATCH('My Rota'!$D$4,Setup!$B$6:$B$29,0),1),19),INDEX('2030'!$A:$Z,(5+50*((N('My Rota'!$D$6)+5)-1))+21+IFERROR(MATCH('My Rota'!$D$4,Setup!$B$6:$B$29,0),1),19)))</f>
        <v/>
      </c>
      <c r="I317">
        <f>IF(OR('My Rota'!$D$4="",(N('My Rota'!$D$6)+5)&gt;53),"",""&amp;CHOOSE(IFERROR(MATCH('My Rota'!$D$5,Setup!$K$33:$K$36,0),1),INDEX('2027'!$A:$Z,(5+50*((N('My Rota'!$D$6)+5)-1))+21+IFERROR(MATCH('My Rota'!$D$4,Setup!$B$6:$B$29,0),1),23),INDEX('2028'!$A:$Z,(5+50*((N('My Rota'!$D$6)+5)-1))+21+IFERROR(MATCH('My Rota'!$D$4,Setup!$B$6:$B$29,0),1),23),INDEX('2029'!$A:$Z,(5+50*((N('My Rota'!$D$6)+5)-1))+21+IFERROR(MATCH('My Rota'!$D$4,Setup!$B$6:$B$29,0),1),23),INDEX('2030'!$A:$Z,(5+50*((N('My Rota'!$D$6)+5)-1))+21+IFERROR(MATCH('My Rota'!$D$4,Setup!$B$6:$B$29,0),1),23)))</f>
        <v/>
      </c>
      <c r="J317">
        <f>IF(OR('My Rota'!$D$4="",(N('My Rota'!$D$6)+5)&gt;53),"",""&amp;CHOOSE(IFERROR(MATCH('My Rota'!$D$5,Setup!$K$33:$K$36,0),1),INDEX('2027'!$A:$Z,(5+50*((N('My Rota'!$D$6)+5)-1))+21+IFERROR(MATCH('My Rota'!$D$4,Setup!$B$6:$B$29,0),1),25),INDEX('2028'!$A:$Z,(5+50*((N('My Rota'!$D$6)+5)-1))+21+IFERROR(MATCH('My Rota'!$D$4,Setup!$B$6:$B$29,0),1),25),INDEX('2029'!$A:$Z,(5+50*((N('My Rota'!$D$6)+5)-1))+21+IFERROR(MATCH('My Rota'!$D$4,Setup!$B$6:$B$29,0),1),25),INDEX('2030'!$A:$Z,(5+50*((N('My Rota'!$D$6)+5)-1))+21+IFERROR(MATCH('My Rota'!$D$4,Setup!$B$6:$B$29,0),1),25)))</f>
        <v/>
      </c>
      <c r="L317">
        <f>IF(C317="","",IF(COUNTIF($C$290:$E$290,'My Rota'!$D$4)+COUNTIF($C$290:$E$290,'My Rota'!$D$4&amp;" ~*")&gt;0,$B$290&amp;IF(COUNTIF($C$290:$E$290,'My Rota'!$D$4&amp;" ~*")&gt;0," *","")&amp;CHAR(10),"")&amp;IF(COUNTIF($C$291:$E$291,'My Rota'!$D$4)+COUNTIF($C$291:$E$291,'My Rota'!$D$4&amp;" ~*")&gt;0,$B$291&amp;IF(COUNTIF($C$291:$E$291,'My Rota'!$D$4&amp;" ~*")&gt;0," *","")&amp;CHAR(10),"")&amp;IF(COUNTIF($C$292:$E$292,'My Rota'!$D$4)+COUNTIF($C$292:$E$292,'My Rota'!$D$4&amp;" ~*")&gt;0,$B$292&amp;IF(COUNTIF($C$292:$E$292,'My Rota'!$D$4&amp;" ~*")&gt;0," *","")&amp;CHAR(10),"")&amp;IF(COUNTIF($C$293:$E$293,'My Rota'!$D$4)+COUNTIF($C$293:$E$293,'My Rota'!$D$4&amp;" ~*")&gt;0,$B$293&amp;IF(COUNTIF($C$293:$E$293,'My Rota'!$D$4&amp;" ~*")&gt;0," *","")&amp;CHAR(10),"")&amp;IF(COUNTIF($C$294:$E$294,'My Rota'!$D$4)+COUNTIF($C$294:$E$294,'My Rota'!$D$4&amp;" ~*")&gt;0,$B$294&amp;IF(COUNTIF($C$294:$E$294,'My Rota'!$D$4&amp;" ~*")&gt;0," *","")&amp;CHAR(10),"")&amp;IF(COUNTIF($C$295:$E$295,'My Rota'!$D$4)+COUNTIF($C$295:$E$295,'My Rota'!$D$4&amp;" ~*")&gt;0,$B$295&amp;IF(COUNTIF($C$295:$E$295,'My Rota'!$D$4&amp;" ~*")&gt;0," *","")&amp;CHAR(10),"")&amp;IF(COUNTIF($C$296:$E$296,'My Rota'!$D$4)+COUNTIF($C$296:$E$296,'My Rota'!$D$4&amp;" ~*")&gt;0,$B$296&amp;IF(COUNTIF($C$296:$E$296,'My Rota'!$D$4&amp;" ~*")&gt;0," *","")&amp;CHAR(10),"")&amp;IF(COUNTIF($C$297:$E$297,'My Rota'!$D$4)+COUNTIF($C$297:$E$297,'My Rota'!$D$4&amp;" ~*")&gt;0,$B$297&amp;IF(COUNTIF($C$297:$E$297,'My Rota'!$D$4&amp;" ~*")&gt;0," *","")&amp;CHAR(10),"")&amp;IF(COUNTIF($C$298:$E$298,'My Rota'!$D$4)+COUNTIF($C$298:$E$298,'My Rota'!$D$4&amp;" ~*")&gt;0,$B$298&amp;IF(COUNTIF($C$298:$E$298,'My Rota'!$D$4&amp;" ~*")&gt;0," *","")&amp;CHAR(10),"")&amp;IF(COUNTIF($C$299:$E$299,'My Rota'!$D$4)+COUNTIF($C$299:$E$299,'My Rota'!$D$4&amp;" ~*")&gt;0,$B$299&amp;IF(COUNTIF($C$299:$E$299,'My Rota'!$D$4&amp;" ~*")&gt;0," *","")&amp;CHAR(10),"")&amp;IF(COUNTIF($C$300:$E$300,'My Rota'!$D$4)+COUNTIF($C$300:$E$300,'My Rota'!$D$4&amp;" ~*")&gt;0,$B$300&amp;IF(COUNTIF($C$300:$E$300,'My Rota'!$D$4&amp;" ~*")&gt;0," *","")&amp;CHAR(10),"")&amp;IF(COUNTIF($C$301:$E$301,'My Rota'!$D$4)+COUNTIF($C$301:$E$301,'My Rota'!$D$4&amp;" ~*")&gt;0,$B$301&amp;IF(COUNTIF($C$301:$E$301,'My Rota'!$D$4&amp;" ~*")&gt;0," *","")&amp;CHAR(10),"")&amp;IF(COUNTIF($C$302:$E$302,'My Rota'!$D$4)+COUNTIF($C$302:$E$302,'My Rota'!$D$4&amp;" ~*")&gt;0,$B$302&amp;IF(COUNTIF($C$302:$E$302,'My Rota'!$D$4&amp;" ~*")&gt;0," *","")&amp;CHAR(10),"")&amp;IF(COUNTIF($C$303:$E$303,'My Rota'!$D$4)+COUNTIF($C$303:$E$303,'My Rota'!$D$4&amp;" ~*")&gt;0,$B$303&amp;IF(COUNTIF($C$303:$E$303,'My Rota'!$D$4&amp;" ~*")&gt;0," *","")&amp;CHAR(10),"")&amp;IF(COUNTIF($C$304:$E$304,'My Rota'!$D$4)+COUNTIF($C$304:$E$304,'My Rota'!$D$4&amp;" ~*")&gt;0,$B$304&amp;IF(COUNTIF($C$304:$E$304,'My Rota'!$D$4&amp;" ~*")&gt;0," *","")&amp;CHAR(10),"")&amp;IF(COUNTIF($C$305:$E$305,'My Rota'!$D$4)+COUNTIF($C$305:$E$305,'My Rota'!$D$4&amp;" ~*")&gt;0,$B$305&amp;IF(COUNTIF($C$305:$E$305,'My Rota'!$D$4&amp;" ~*")&gt;0," *","")&amp;CHAR(10),"")&amp;IF(COUNTIF($C$306:$E$306,'My Rota'!$D$4)+COUNTIF($C$306:$E$306,'My Rota'!$D$4&amp;" ~*")&gt;0,$B$306&amp;IF(COUNTIF($C$306:$E$306,'My Rota'!$D$4&amp;" ~*")&gt;0," *","")&amp;CHAR(10),"")&amp;IF(COUNTIF($C$307:$E$307,'My Rota'!$D$4)+COUNTIF($C$307:$E$307,'My Rota'!$D$4&amp;" ~*")&gt;0,$B$307&amp;IF(COUNTIF($C$307:$E$307,'My Rota'!$D$4&amp;" ~*")&gt;0," *","")&amp;CHAR(10),""))</f>
        <v/>
      </c>
      <c r="M317">
        <f>IF(C317="","",IF(COUNTIF($G$290:$I$290,'My Rota'!$D$4)+COUNTIF($G$290:$I$290,'My Rota'!$D$4&amp;" ~*")&gt;0,$B$290&amp;IF(COUNTIF($G$290:$I$290,'My Rota'!$D$4&amp;" ~*")&gt;0," *","")&amp;CHAR(10),"")&amp;IF(COUNTIF($G$291:$I$291,'My Rota'!$D$4)+COUNTIF($G$291:$I$291,'My Rota'!$D$4&amp;" ~*")&gt;0,$B$291&amp;IF(COUNTIF($G$291:$I$291,'My Rota'!$D$4&amp;" ~*")&gt;0," *","")&amp;CHAR(10),"")&amp;IF(COUNTIF($G$292:$I$292,'My Rota'!$D$4)+COUNTIF($G$292:$I$292,'My Rota'!$D$4&amp;" ~*")&gt;0,$B$292&amp;IF(COUNTIF($G$292:$I$292,'My Rota'!$D$4&amp;" ~*")&gt;0," *","")&amp;CHAR(10),"")&amp;IF(COUNTIF($G$293:$I$293,'My Rota'!$D$4)+COUNTIF($G$293:$I$293,'My Rota'!$D$4&amp;" ~*")&gt;0,$B$293&amp;IF(COUNTIF($G$293:$I$293,'My Rota'!$D$4&amp;" ~*")&gt;0," *","")&amp;CHAR(10),"")&amp;IF(COUNTIF($G$294:$I$294,'My Rota'!$D$4)+COUNTIF($G$294:$I$294,'My Rota'!$D$4&amp;" ~*")&gt;0,$B$294&amp;IF(COUNTIF($G$294:$I$294,'My Rota'!$D$4&amp;" ~*")&gt;0," *","")&amp;CHAR(10),"")&amp;IF(COUNTIF($G$295:$I$295,'My Rota'!$D$4)+COUNTIF($G$295:$I$295,'My Rota'!$D$4&amp;" ~*")&gt;0,$B$295&amp;IF(COUNTIF($G$295:$I$295,'My Rota'!$D$4&amp;" ~*")&gt;0," *","")&amp;CHAR(10),"")&amp;IF(COUNTIF($G$296:$I$296,'My Rota'!$D$4)+COUNTIF($G$296:$I$296,'My Rota'!$D$4&amp;" ~*")&gt;0,$B$296&amp;IF(COUNTIF($G$296:$I$296,'My Rota'!$D$4&amp;" ~*")&gt;0," *","")&amp;CHAR(10),"")&amp;IF(COUNTIF($G$297:$I$297,'My Rota'!$D$4)+COUNTIF($G$297:$I$297,'My Rota'!$D$4&amp;" ~*")&gt;0,$B$297&amp;IF(COUNTIF($G$297:$I$297,'My Rota'!$D$4&amp;" ~*")&gt;0," *","")&amp;CHAR(10),"")&amp;IF(COUNTIF($G$298:$I$298,'My Rota'!$D$4)+COUNTIF($G$298:$I$298,'My Rota'!$D$4&amp;" ~*")&gt;0,$B$298&amp;IF(COUNTIF($G$298:$I$298,'My Rota'!$D$4&amp;" ~*")&gt;0," *","")&amp;CHAR(10),"")&amp;IF(COUNTIF($G$299:$I$299,'My Rota'!$D$4)+COUNTIF($G$299:$I$299,'My Rota'!$D$4&amp;" ~*")&gt;0,$B$299&amp;IF(COUNTIF($G$299:$I$299,'My Rota'!$D$4&amp;" ~*")&gt;0," *","")&amp;CHAR(10),"")&amp;IF(COUNTIF($G$300:$I$300,'My Rota'!$D$4)+COUNTIF($G$300:$I$300,'My Rota'!$D$4&amp;" ~*")&gt;0,$B$300&amp;IF(COUNTIF($G$300:$I$300,'My Rota'!$D$4&amp;" ~*")&gt;0," *","")&amp;CHAR(10),"")&amp;IF(COUNTIF($G$301:$I$301,'My Rota'!$D$4)+COUNTIF($G$301:$I$301,'My Rota'!$D$4&amp;" ~*")&gt;0,$B$301&amp;IF(COUNTIF($G$301:$I$301,'My Rota'!$D$4&amp;" ~*")&gt;0," *","")&amp;CHAR(10),"")&amp;IF(COUNTIF($G$302:$I$302,'My Rota'!$D$4)+COUNTIF($G$302:$I$302,'My Rota'!$D$4&amp;" ~*")&gt;0,$B$302&amp;IF(COUNTIF($G$302:$I$302,'My Rota'!$D$4&amp;" ~*")&gt;0," *","")&amp;CHAR(10),"")&amp;IF(COUNTIF($G$303:$I$303,'My Rota'!$D$4)+COUNTIF($G$303:$I$303,'My Rota'!$D$4&amp;" ~*")&gt;0,$B$303&amp;IF(COUNTIF($G$303:$I$303,'My Rota'!$D$4&amp;" ~*")&gt;0," *","")&amp;CHAR(10),"")&amp;IF(COUNTIF($G$304:$I$304,'My Rota'!$D$4)+COUNTIF($G$304:$I$304,'My Rota'!$D$4&amp;" ~*")&gt;0,$B$304&amp;IF(COUNTIF($G$304:$I$304,'My Rota'!$D$4&amp;" ~*")&gt;0," *","")&amp;CHAR(10),"")&amp;IF(COUNTIF($G$305:$I$305,'My Rota'!$D$4)+COUNTIF($G$305:$I$305,'My Rota'!$D$4&amp;" ~*")&gt;0,$B$305&amp;IF(COUNTIF($G$305:$I$305,'My Rota'!$D$4&amp;" ~*")&gt;0," *","")&amp;CHAR(10),"")&amp;IF(COUNTIF($G$306:$I$306,'My Rota'!$D$4)+COUNTIF($G$306:$I$306,'My Rota'!$D$4&amp;" ~*")&gt;0,$B$306&amp;IF(COUNTIF($G$306:$I$306,'My Rota'!$D$4&amp;" ~*")&gt;0," *","")&amp;CHAR(10),"")&amp;IF(COUNTIF($G$307:$I$307,'My Rota'!$D$4)+COUNTIF($G$307:$I$307,'My Rota'!$D$4&amp;" ~*")&gt;0,$B$307&amp;IF(COUNTIF($G$307:$I$307,'My Rota'!$D$4&amp;" ~*")&gt;0," *","")&amp;CHAR(10),""))</f>
        <v/>
      </c>
      <c r="N317">
        <f>IF(C317="","",IF(COUNTIF($K$290:$M$290,'My Rota'!$D$4)+COUNTIF($K$290:$M$290,'My Rota'!$D$4&amp;" ~*")&gt;0,$B$290&amp;IF(COUNTIF($K$290:$M$290,'My Rota'!$D$4&amp;" ~*")&gt;0," *","")&amp;CHAR(10),"")&amp;IF(COUNTIF($K$291:$M$291,'My Rota'!$D$4)+COUNTIF($K$291:$M$291,'My Rota'!$D$4&amp;" ~*")&gt;0,$B$291&amp;IF(COUNTIF($K$291:$M$291,'My Rota'!$D$4&amp;" ~*")&gt;0," *","")&amp;CHAR(10),"")&amp;IF(COUNTIF($K$292:$M$292,'My Rota'!$D$4)+COUNTIF($K$292:$M$292,'My Rota'!$D$4&amp;" ~*")&gt;0,$B$292&amp;IF(COUNTIF($K$292:$M$292,'My Rota'!$D$4&amp;" ~*")&gt;0," *","")&amp;CHAR(10),"")&amp;IF(COUNTIF($K$293:$M$293,'My Rota'!$D$4)+COUNTIF($K$293:$M$293,'My Rota'!$D$4&amp;" ~*")&gt;0,$B$293&amp;IF(COUNTIF($K$293:$M$293,'My Rota'!$D$4&amp;" ~*")&gt;0," *","")&amp;CHAR(10),"")&amp;IF(COUNTIF($K$294:$M$294,'My Rota'!$D$4)+COUNTIF($K$294:$M$294,'My Rota'!$D$4&amp;" ~*")&gt;0,$B$294&amp;IF(COUNTIF($K$294:$M$294,'My Rota'!$D$4&amp;" ~*")&gt;0," *","")&amp;CHAR(10),"")&amp;IF(COUNTIF($K$295:$M$295,'My Rota'!$D$4)+COUNTIF($K$295:$M$295,'My Rota'!$D$4&amp;" ~*")&gt;0,$B$295&amp;IF(COUNTIF($K$295:$M$295,'My Rota'!$D$4&amp;" ~*")&gt;0," *","")&amp;CHAR(10),"")&amp;IF(COUNTIF($K$296:$M$296,'My Rota'!$D$4)+COUNTIF($K$296:$M$296,'My Rota'!$D$4&amp;" ~*")&gt;0,$B$296&amp;IF(COUNTIF($K$296:$M$296,'My Rota'!$D$4&amp;" ~*")&gt;0," *","")&amp;CHAR(10),"")&amp;IF(COUNTIF($K$297:$M$297,'My Rota'!$D$4)+COUNTIF($K$297:$M$297,'My Rota'!$D$4&amp;" ~*")&gt;0,$B$297&amp;IF(COUNTIF($K$297:$M$297,'My Rota'!$D$4&amp;" ~*")&gt;0," *","")&amp;CHAR(10),"")&amp;IF(COUNTIF($K$298:$M$298,'My Rota'!$D$4)+COUNTIF($K$298:$M$298,'My Rota'!$D$4&amp;" ~*")&gt;0,$B$298&amp;IF(COUNTIF($K$298:$M$298,'My Rota'!$D$4&amp;" ~*")&gt;0," *","")&amp;CHAR(10),"")&amp;IF(COUNTIF($K$299:$M$299,'My Rota'!$D$4)+COUNTIF($K$299:$M$299,'My Rota'!$D$4&amp;" ~*")&gt;0,$B$299&amp;IF(COUNTIF($K$299:$M$299,'My Rota'!$D$4&amp;" ~*")&gt;0," *","")&amp;CHAR(10),"")&amp;IF(COUNTIF($K$300:$M$300,'My Rota'!$D$4)+COUNTIF($K$300:$M$300,'My Rota'!$D$4&amp;" ~*")&gt;0,$B$300&amp;IF(COUNTIF($K$300:$M$300,'My Rota'!$D$4&amp;" ~*")&gt;0," *","")&amp;CHAR(10),"")&amp;IF(COUNTIF($K$301:$M$301,'My Rota'!$D$4)+COUNTIF($K$301:$M$301,'My Rota'!$D$4&amp;" ~*")&gt;0,$B$301&amp;IF(COUNTIF($K$301:$M$301,'My Rota'!$D$4&amp;" ~*")&gt;0," *","")&amp;CHAR(10),"")&amp;IF(COUNTIF($K$302:$M$302,'My Rota'!$D$4)+COUNTIF($K$302:$M$302,'My Rota'!$D$4&amp;" ~*")&gt;0,$B$302&amp;IF(COUNTIF($K$302:$M$302,'My Rota'!$D$4&amp;" ~*")&gt;0," *","")&amp;CHAR(10),"")&amp;IF(COUNTIF($K$303:$M$303,'My Rota'!$D$4)+COUNTIF($K$303:$M$303,'My Rota'!$D$4&amp;" ~*")&gt;0,$B$303&amp;IF(COUNTIF($K$303:$M$303,'My Rota'!$D$4&amp;" ~*")&gt;0," *","")&amp;CHAR(10),"")&amp;IF(COUNTIF($K$304:$M$304,'My Rota'!$D$4)+COUNTIF($K$304:$M$304,'My Rota'!$D$4&amp;" ~*")&gt;0,$B$304&amp;IF(COUNTIF($K$304:$M$304,'My Rota'!$D$4&amp;" ~*")&gt;0," *","")&amp;CHAR(10),"")&amp;IF(COUNTIF($K$305:$M$305,'My Rota'!$D$4)+COUNTIF($K$305:$M$305,'My Rota'!$D$4&amp;" ~*")&gt;0,$B$305&amp;IF(COUNTIF($K$305:$M$305,'My Rota'!$D$4&amp;" ~*")&gt;0," *","")&amp;CHAR(10),"")&amp;IF(COUNTIF($K$306:$M$306,'My Rota'!$D$4)+COUNTIF($K$306:$M$306,'My Rota'!$D$4&amp;" ~*")&gt;0,$B$306&amp;IF(COUNTIF($K$306:$M$306,'My Rota'!$D$4&amp;" ~*")&gt;0," *","")&amp;CHAR(10),"")&amp;IF(COUNTIF($K$307:$M$307,'My Rota'!$D$4)+COUNTIF($K$307:$M$307,'My Rota'!$D$4&amp;" ~*")&gt;0,$B$307&amp;IF(COUNTIF($K$307:$M$307,'My Rota'!$D$4&amp;" ~*")&gt;0," *","")&amp;CHAR(10),""))</f>
        <v/>
      </c>
      <c r="O317">
        <f>IF(C317="","",IF(COUNTIF($O$290:$Q$290,'My Rota'!$D$4)+COUNTIF($O$290:$Q$290,'My Rota'!$D$4&amp;" ~*")&gt;0,$B$290&amp;IF(COUNTIF($O$290:$Q$290,'My Rota'!$D$4&amp;" ~*")&gt;0," *","")&amp;CHAR(10),"")&amp;IF(COUNTIF($O$291:$Q$291,'My Rota'!$D$4)+COUNTIF($O$291:$Q$291,'My Rota'!$D$4&amp;" ~*")&gt;0,$B$291&amp;IF(COUNTIF($O$291:$Q$291,'My Rota'!$D$4&amp;" ~*")&gt;0," *","")&amp;CHAR(10),"")&amp;IF(COUNTIF($O$292:$Q$292,'My Rota'!$D$4)+COUNTIF($O$292:$Q$292,'My Rota'!$D$4&amp;" ~*")&gt;0,$B$292&amp;IF(COUNTIF($O$292:$Q$292,'My Rota'!$D$4&amp;" ~*")&gt;0," *","")&amp;CHAR(10),"")&amp;IF(COUNTIF($O$293:$Q$293,'My Rota'!$D$4)+COUNTIF($O$293:$Q$293,'My Rota'!$D$4&amp;" ~*")&gt;0,$B$293&amp;IF(COUNTIF($O$293:$Q$293,'My Rota'!$D$4&amp;" ~*")&gt;0," *","")&amp;CHAR(10),"")&amp;IF(COUNTIF($O$294:$Q$294,'My Rota'!$D$4)+COUNTIF($O$294:$Q$294,'My Rota'!$D$4&amp;" ~*")&gt;0,$B$294&amp;IF(COUNTIF($O$294:$Q$294,'My Rota'!$D$4&amp;" ~*")&gt;0," *","")&amp;CHAR(10),"")&amp;IF(COUNTIF($O$295:$Q$295,'My Rota'!$D$4)+COUNTIF($O$295:$Q$295,'My Rota'!$D$4&amp;" ~*")&gt;0,$B$295&amp;IF(COUNTIF($O$295:$Q$295,'My Rota'!$D$4&amp;" ~*")&gt;0," *","")&amp;CHAR(10),"")&amp;IF(COUNTIF($O$296:$Q$296,'My Rota'!$D$4)+COUNTIF($O$296:$Q$296,'My Rota'!$D$4&amp;" ~*")&gt;0,$B$296&amp;IF(COUNTIF($O$296:$Q$296,'My Rota'!$D$4&amp;" ~*")&gt;0," *","")&amp;CHAR(10),"")&amp;IF(COUNTIF($O$297:$Q$297,'My Rota'!$D$4)+COUNTIF($O$297:$Q$297,'My Rota'!$D$4&amp;" ~*")&gt;0,$B$297&amp;IF(COUNTIF($O$297:$Q$297,'My Rota'!$D$4&amp;" ~*")&gt;0," *","")&amp;CHAR(10),"")&amp;IF(COUNTIF($O$298:$Q$298,'My Rota'!$D$4)+COUNTIF($O$298:$Q$298,'My Rota'!$D$4&amp;" ~*")&gt;0,$B$298&amp;IF(COUNTIF($O$298:$Q$298,'My Rota'!$D$4&amp;" ~*")&gt;0," *","")&amp;CHAR(10),"")&amp;IF(COUNTIF($O$299:$Q$299,'My Rota'!$D$4)+COUNTIF($O$299:$Q$299,'My Rota'!$D$4&amp;" ~*")&gt;0,$B$299&amp;IF(COUNTIF($O$299:$Q$299,'My Rota'!$D$4&amp;" ~*")&gt;0," *","")&amp;CHAR(10),"")&amp;IF(COUNTIF($O$300:$Q$300,'My Rota'!$D$4)+COUNTIF($O$300:$Q$300,'My Rota'!$D$4&amp;" ~*")&gt;0,$B$300&amp;IF(COUNTIF($O$300:$Q$300,'My Rota'!$D$4&amp;" ~*")&gt;0," *","")&amp;CHAR(10),"")&amp;IF(COUNTIF($O$301:$Q$301,'My Rota'!$D$4)+COUNTIF($O$301:$Q$301,'My Rota'!$D$4&amp;" ~*")&gt;0,$B$301&amp;IF(COUNTIF($O$301:$Q$301,'My Rota'!$D$4&amp;" ~*")&gt;0," *","")&amp;CHAR(10),"")&amp;IF(COUNTIF($O$302:$Q$302,'My Rota'!$D$4)+COUNTIF($O$302:$Q$302,'My Rota'!$D$4&amp;" ~*")&gt;0,$B$302&amp;IF(COUNTIF($O$302:$Q$302,'My Rota'!$D$4&amp;" ~*")&gt;0," *","")&amp;CHAR(10),"")&amp;IF(COUNTIF($O$303:$Q$303,'My Rota'!$D$4)+COUNTIF($O$303:$Q$303,'My Rota'!$D$4&amp;" ~*")&gt;0,$B$303&amp;IF(COUNTIF($O$303:$Q$303,'My Rota'!$D$4&amp;" ~*")&gt;0," *","")&amp;CHAR(10),"")&amp;IF(COUNTIF($O$304:$Q$304,'My Rota'!$D$4)+COUNTIF($O$304:$Q$304,'My Rota'!$D$4&amp;" ~*")&gt;0,$B$304&amp;IF(COUNTIF($O$304:$Q$304,'My Rota'!$D$4&amp;" ~*")&gt;0," *","")&amp;CHAR(10),"")&amp;IF(COUNTIF($O$305:$Q$305,'My Rota'!$D$4)+COUNTIF($O$305:$Q$305,'My Rota'!$D$4&amp;" ~*")&gt;0,$B$305&amp;IF(COUNTIF($O$305:$Q$305,'My Rota'!$D$4&amp;" ~*")&gt;0," *","")&amp;CHAR(10),"")&amp;IF(COUNTIF($O$306:$Q$306,'My Rota'!$D$4)+COUNTIF($O$306:$Q$306,'My Rota'!$D$4&amp;" ~*")&gt;0,$B$306&amp;IF(COUNTIF($O$306:$Q$306,'My Rota'!$D$4&amp;" ~*")&gt;0," *","")&amp;CHAR(10),"")&amp;IF(COUNTIF($O$307:$Q$307,'My Rota'!$D$4)+COUNTIF($O$307:$Q$307,'My Rota'!$D$4&amp;" ~*")&gt;0,$B$307&amp;IF(COUNTIF($O$307:$Q$307,'My Rota'!$D$4&amp;" ~*")&gt;0," *","")&amp;CHAR(10),""))</f>
        <v/>
      </c>
      <c r="P317">
        <f>IF(C317="","",IF(COUNTIF($S$290:$U$290,'My Rota'!$D$4)+COUNTIF($S$290:$U$290,'My Rota'!$D$4&amp;" ~*")&gt;0,$B$290&amp;IF(COUNTIF($S$290:$U$290,'My Rota'!$D$4&amp;" ~*")&gt;0," *","")&amp;CHAR(10),"")&amp;IF(COUNTIF($S$291:$U$291,'My Rota'!$D$4)+COUNTIF($S$291:$U$291,'My Rota'!$D$4&amp;" ~*")&gt;0,$B$291&amp;IF(COUNTIF($S$291:$U$291,'My Rota'!$D$4&amp;" ~*")&gt;0," *","")&amp;CHAR(10),"")&amp;IF(COUNTIF($S$292:$U$292,'My Rota'!$D$4)+COUNTIF($S$292:$U$292,'My Rota'!$D$4&amp;" ~*")&gt;0,$B$292&amp;IF(COUNTIF($S$292:$U$292,'My Rota'!$D$4&amp;" ~*")&gt;0," *","")&amp;CHAR(10),"")&amp;IF(COUNTIF($S$293:$U$293,'My Rota'!$D$4)+COUNTIF($S$293:$U$293,'My Rota'!$D$4&amp;" ~*")&gt;0,$B$293&amp;IF(COUNTIF($S$293:$U$293,'My Rota'!$D$4&amp;" ~*")&gt;0," *","")&amp;CHAR(10),"")&amp;IF(COUNTIF($S$294:$U$294,'My Rota'!$D$4)+COUNTIF($S$294:$U$294,'My Rota'!$D$4&amp;" ~*")&gt;0,$B$294&amp;IF(COUNTIF($S$294:$U$294,'My Rota'!$D$4&amp;" ~*")&gt;0," *","")&amp;CHAR(10),"")&amp;IF(COUNTIF($S$295:$U$295,'My Rota'!$D$4)+COUNTIF($S$295:$U$295,'My Rota'!$D$4&amp;" ~*")&gt;0,$B$295&amp;IF(COUNTIF($S$295:$U$295,'My Rota'!$D$4&amp;" ~*")&gt;0," *","")&amp;CHAR(10),"")&amp;IF(COUNTIF($S$296:$U$296,'My Rota'!$D$4)+COUNTIF($S$296:$U$296,'My Rota'!$D$4&amp;" ~*")&gt;0,$B$296&amp;IF(COUNTIF($S$296:$U$296,'My Rota'!$D$4&amp;" ~*")&gt;0," *","")&amp;CHAR(10),"")&amp;IF(COUNTIF($S$297:$U$297,'My Rota'!$D$4)+COUNTIF($S$297:$U$297,'My Rota'!$D$4&amp;" ~*")&gt;0,$B$297&amp;IF(COUNTIF($S$297:$U$297,'My Rota'!$D$4&amp;" ~*")&gt;0," *","")&amp;CHAR(10),"")&amp;IF(COUNTIF($S$298:$U$298,'My Rota'!$D$4)+COUNTIF($S$298:$U$298,'My Rota'!$D$4&amp;" ~*")&gt;0,$B$298&amp;IF(COUNTIF($S$298:$U$298,'My Rota'!$D$4&amp;" ~*")&gt;0," *","")&amp;CHAR(10),"")&amp;IF(COUNTIF($S$299:$U$299,'My Rota'!$D$4)+COUNTIF($S$299:$U$299,'My Rota'!$D$4&amp;" ~*")&gt;0,$B$299&amp;IF(COUNTIF($S$299:$U$299,'My Rota'!$D$4&amp;" ~*")&gt;0," *","")&amp;CHAR(10),"")&amp;IF(COUNTIF($S$300:$U$300,'My Rota'!$D$4)+COUNTIF($S$300:$U$300,'My Rota'!$D$4&amp;" ~*")&gt;0,$B$300&amp;IF(COUNTIF($S$300:$U$300,'My Rota'!$D$4&amp;" ~*")&gt;0," *","")&amp;CHAR(10),"")&amp;IF(COUNTIF($S$301:$U$301,'My Rota'!$D$4)+COUNTIF($S$301:$U$301,'My Rota'!$D$4&amp;" ~*")&gt;0,$B$301&amp;IF(COUNTIF($S$301:$U$301,'My Rota'!$D$4&amp;" ~*")&gt;0," *","")&amp;CHAR(10),"")&amp;IF(COUNTIF($S$302:$U$302,'My Rota'!$D$4)+COUNTIF($S$302:$U$302,'My Rota'!$D$4&amp;" ~*")&gt;0,$B$302&amp;IF(COUNTIF($S$302:$U$302,'My Rota'!$D$4&amp;" ~*")&gt;0," *","")&amp;CHAR(10),"")&amp;IF(COUNTIF($S$303:$U$303,'My Rota'!$D$4)+COUNTIF($S$303:$U$303,'My Rota'!$D$4&amp;" ~*")&gt;0,$B$303&amp;IF(COUNTIF($S$303:$U$303,'My Rota'!$D$4&amp;" ~*")&gt;0," *","")&amp;CHAR(10),"")&amp;IF(COUNTIF($S$304:$U$304,'My Rota'!$D$4)+COUNTIF($S$304:$U$304,'My Rota'!$D$4&amp;" ~*")&gt;0,$B$304&amp;IF(COUNTIF($S$304:$U$304,'My Rota'!$D$4&amp;" ~*")&gt;0," *","")&amp;CHAR(10),"")&amp;IF(COUNTIF($S$305:$U$305,'My Rota'!$D$4)+COUNTIF($S$305:$U$305,'My Rota'!$D$4&amp;" ~*")&gt;0,$B$305&amp;IF(COUNTIF($S$305:$U$305,'My Rota'!$D$4&amp;" ~*")&gt;0," *","")&amp;CHAR(10),"")&amp;IF(COUNTIF($S$306:$U$306,'My Rota'!$D$4)+COUNTIF($S$306:$U$306,'My Rota'!$D$4&amp;" ~*")&gt;0,$B$306&amp;IF(COUNTIF($S$306:$U$306,'My Rota'!$D$4&amp;" ~*")&gt;0," *","")&amp;CHAR(10),"")&amp;IF(COUNTIF($S$307:$U$307,'My Rota'!$D$4)+COUNTIF($S$307:$U$307,'My Rota'!$D$4&amp;" ~*")&gt;0,$B$307&amp;IF(COUNTIF($S$307:$U$307,'My Rota'!$D$4&amp;" ~*")&gt;0," *","")&amp;CHAR(10),""))</f>
        <v/>
      </c>
      <c r="Q317">
        <f>IF(C317="","",IF(COUNTIF($W$290:$W$290,'My Rota'!$D$4)+COUNTIF($W$290:$W$290,'My Rota'!$D$4&amp;" ~*")&gt;0,$B$290&amp;IF(COUNTIF($W$290:$W$290,'My Rota'!$D$4&amp;" ~*")&gt;0," *","")&amp;CHAR(10),"")&amp;IF(COUNTIF($W$291:$W$291,'My Rota'!$D$4)+COUNTIF($W$291:$W$291,'My Rota'!$D$4&amp;" ~*")&gt;0,$B$291&amp;IF(COUNTIF($W$291:$W$291,'My Rota'!$D$4&amp;" ~*")&gt;0," *","")&amp;CHAR(10),"")&amp;IF(COUNTIF($W$292:$W$292,'My Rota'!$D$4)+COUNTIF($W$292:$W$292,'My Rota'!$D$4&amp;" ~*")&gt;0,$B$292&amp;IF(COUNTIF($W$292:$W$292,'My Rota'!$D$4&amp;" ~*")&gt;0," *","")&amp;CHAR(10),"")&amp;IF(COUNTIF($W$293:$W$293,'My Rota'!$D$4)+COUNTIF($W$293:$W$293,'My Rota'!$D$4&amp;" ~*")&gt;0,$B$293&amp;IF(COUNTIF($W$293:$W$293,'My Rota'!$D$4&amp;" ~*")&gt;0," *","")&amp;CHAR(10),"")&amp;IF(COUNTIF($W$294:$W$294,'My Rota'!$D$4)+COUNTIF($W$294:$W$294,'My Rota'!$D$4&amp;" ~*")&gt;0,$B$294&amp;IF(COUNTIF($W$294:$W$294,'My Rota'!$D$4&amp;" ~*")&gt;0," *","")&amp;CHAR(10),"")&amp;IF(COUNTIF($W$295:$W$295,'My Rota'!$D$4)+COUNTIF($W$295:$W$295,'My Rota'!$D$4&amp;" ~*")&gt;0,$B$295&amp;IF(COUNTIF($W$295:$W$295,'My Rota'!$D$4&amp;" ~*")&gt;0," *","")&amp;CHAR(10),"")&amp;IF(COUNTIF($W$296:$W$296,'My Rota'!$D$4)+COUNTIF($W$296:$W$296,'My Rota'!$D$4&amp;" ~*")&gt;0,$B$296&amp;IF(COUNTIF($W$296:$W$296,'My Rota'!$D$4&amp;" ~*")&gt;0," *","")&amp;CHAR(10),"")&amp;IF(COUNTIF($W$297:$W$297,'My Rota'!$D$4)+COUNTIF($W$297:$W$297,'My Rota'!$D$4&amp;" ~*")&gt;0,$B$297&amp;IF(COUNTIF($W$297:$W$297,'My Rota'!$D$4&amp;" ~*")&gt;0," *","")&amp;CHAR(10),"")&amp;IF(COUNTIF($W$298:$W$298,'My Rota'!$D$4)+COUNTIF($W$298:$W$298,'My Rota'!$D$4&amp;" ~*")&gt;0,$B$298&amp;IF(COUNTIF($W$298:$W$298,'My Rota'!$D$4&amp;" ~*")&gt;0," *","")&amp;CHAR(10),"")&amp;IF(COUNTIF($W$299:$W$299,'My Rota'!$D$4)+COUNTIF($W$299:$W$299,'My Rota'!$D$4&amp;" ~*")&gt;0,$B$299&amp;IF(COUNTIF($W$299:$W$299,'My Rota'!$D$4&amp;" ~*")&gt;0," *","")&amp;CHAR(10),"")&amp;IF(COUNTIF($W$300:$W$300,'My Rota'!$D$4)+COUNTIF($W$300:$W$300,'My Rota'!$D$4&amp;" ~*")&gt;0,$B$300&amp;IF(COUNTIF($W$300:$W$300,'My Rota'!$D$4&amp;" ~*")&gt;0," *","")&amp;CHAR(10),"")&amp;IF(COUNTIF($W$301:$W$301,'My Rota'!$D$4)+COUNTIF($W$301:$W$301,'My Rota'!$D$4&amp;" ~*")&gt;0,$B$301&amp;IF(COUNTIF($W$301:$W$301,'My Rota'!$D$4&amp;" ~*")&gt;0," *","")&amp;CHAR(10),"")&amp;IF(COUNTIF($W$302:$W$302,'My Rota'!$D$4)+COUNTIF($W$302:$W$302,'My Rota'!$D$4&amp;" ~*")&gt;0,$B$302&amp;IF(COUNTIF($W$302:$W$302,'My Rota'!$D$4&amp;" ~*")&gt;0," *","")&amp;CHAR(10),"")&amp;IF(COUNTIF($W$303:$W$303,'My Rota'!$D$4)+COUNTIF($W$303:$W$303,'My Rota'!$D$4&amp;" ~*")&gt;0,$B$303&amp;IF(COUNTIF($W$303:$W$303,'My Rota'!$D$4&amp;" ~*")&gt;0," *","")&amp;CHAR(10),"")&amp;IF(COUNTIF($W$304:$W$304,'My Rota'!$D$4)+COUNTIF($W$304:$W$304,'My Rota'!$D$4&amp;" ~*")&gt;0,$B$304&amp;IF(COUNTIF($W$304:$W$304,'My Rota'!$D$4&amp;" ~*")&gt;0," *","")&amp;CHAR(10),"")&amp;IF(COUNTIF($W$305:$W$305,'My Rota'!$D$4)+COUNTIF($W$305:$W$305,'My Rota'!$D$4&amp;" ~*")&gt;0,$B$305&amp;IF(COUNTIF($W$305:$W$305,'My Rota'!$D$4&amp;" ~*")&gt;0," *","")&amp;CHAR(10),"")&amp;IF(COUNTIF($W$306:$W$306,'My Rota'!$D$4)+COUNTIF($W$306:$W$306,'My Rota'!$D$4&amp;" ~*")&gt;0,$B$306&amp;IF(COUNTIF($W$306:$W$306,'My Rota'!$D$4&amp;" ~*")&gt;0," *","")&amp;CHAR(10),"")&amp;IF(COUNTIF($W$307:$W$307,'My Rota'!$D$4)+COUNTIF($W$307:$W$307,'My Rota'!$D$4&amp;" ~*")&gt;0,$B$307&amp;IF(COUNTIF($W$307:$W$307,'My Rota'!$D$4&amp;" ~*")&gt;0," *","")&amp;CHAR(10),""))</f>
        <v/>
      </c>
      <c r="R317">
        <f>IF(C317="","",IF(COUNTIF($Y$290:$Y$290,'My Rota'!$D$4)+COUNTIF($Y$290:$Y$290,'My Rota'!$D$4&amp;" ~*")&gt;0,$B$290&amp;IF(COUNTIF($Y$290:$Y$290,'My Rota'!$D$4&amp;" ~*")&gt;0," *","")&amp;CHAR(10),"")&amp;IF(COUNTIF($Y$291:$Y$291,'My Rota'!$D$4)+COUNTIF($Y$291:$Y$291,'My Rota'!$D$4&amp;" ~*")&gt;0,$B$291&amp;IF(COUNTIF($Y$291:$Y$291,'My Rota'!$D$4&amp;" ~*")&gt;0," *","")&amp;CHAR(10),"")&amp;IF(COUNTIF($Y$292:$Y$292,'My Rota'!$D$4)+COUNTIF($Y$292:$Y$292,'My Rota'!$D$4&amp;" ~*")&gt;0,$B$292&amp;IF(COUNTIF($Y$292:$Y$292,'My Rota'!$D$4&amp;" ~*")&gt;0," *","")&amp;CHAR(10),"")&amp;IF(COUNTIF($Y$293:$Y$293,'My Rota'!$D$4)+COUNTIF($Y$293:$Y$293,'My Rota'!$D$4&amp;" ~*")&gt;0,$B$293&amp;IF(COUNTIF($Y$293:$Y$293,'My Rota'!$D$4&amp;" ~*")&gt;0," *","")&amp;CHAR(10),"")&amp;IF(COUNTIF($Y$294:$Y$294,'My Rota'!$D$4)+COUNTIF($Y$294:$Y$294,'My Rota'!$D$4&amp;" ~*")&gt;0,$B$294&amp;IF(COUNTIF($Y$294:$Y$294,'My Rota'!$D$4&amp;" ~*")&gt;0," *","")&amp;CHAR(10),"")&amp;IF(COUNTIF($Y$295:$Y$295,'My Rota'!$D$4)+COUNTIF($Y$295:$Y$295,'My Rota'!$D$4&amp;" ~*")&gt;0,$B$295&amp;IF(COUNTIF($Y$295:$Y$295,'My Rota'!$D$4&amp;" ~*")&gt;0," *","")&amp;CHAR(10),"")&amp;IF(COUNTIF($Y$296:$Y$296,'My Rota'!$D$4)+COUNTIF($Y$296:$Y$296,'My Rota'!$D$4&amp;" ~*")&gt;0,$B$296&amp;IF(COUNTIF($Y$296:$Y$296,'My Rota'!$D$4&amp;" ~*")&gt;0," *","")&amp;CHAR(10),"")&amp;IF(COUNTIF($Y$297:$Y$297,'My Rota'!$D$4)+COUNTIF($Y$297:$Y$297,'My Rota'!$D$4&amp;" ~*")&gt;0,$B$297&amp;IF(COUNTIF($Y$297:$Y$297,'My Rota'!$D$4&amp;" ~*")&gt;0," *","")&amp;CHAR(10),"")&amp;IF(COUNTIF($Y$298:$Y$298,'My Rota'!$D$4)+COUNTIF($Y$298:$Y$298,'My Rota'!$D$4&amp;" ~*")&gt;0,$B$298&amp;IF(COUNTIF($Y$298:$Y$298,'My Rota'!$D$4&amp;" ~*")&gt;0," *","")&amp;CHAR(10),"")&amp;IF(COUNTIF($Y$299:$Y$299,'My Rota'!$D$4)+COUNTIF($Y$299:$Y$299,'My Rota'!$D$4&amp;" ~*")&gt;0,$B$299&amp;IF(COUNTIF($Y$299:$Y$299,'My Rota'!$D$4&amp;" ~*")&gt;0," *","")&amp;CHAR(10),"")&amp;IF(COUNTIF($Y$300:$Y$300,'My Rota'!$D$4)+COUNTIF($Y$300:$Y$300,'My Rota'!$D$4&amp;" ~*")&gt;0,$B$300&amp;IF(COUNTIF($Y$300:$Y$300,'My Rota'!$D$4&amp;" ~*")&gt;0," *","")&amp;CHAR(10),"")&amp;IF(COUNTIF($Y$301:$Y$301,'My Rota'!$D$4)+COUNTIF($Y$301:$Y$301,'My Rota'!$D$4&amp;" ~*")&gt;0,$B$301&amp;IF(COUNTIF($Y$301:$Y$301,'My Rota'!$D$4&amp;" ~*")&gt;0," *","")&amp;CHAR(10),"")&amp;IF(COUNTIF($Y$302:$Y$302,'My Rota'!$D$4)+COUNTIF($Y$302:$Y$302,'My Rota'!$D$4&amp;" ~*")&gt;0,$B$302&amp;IF(COUNTIF($Y$302:$Y$302,'My Rota'!$D$4&amp;" ~*")&gt;0," *","")&amp;CHAR(10),"")&amp;IF(COUNTIF($Y$303:$Y$303,'My Rota'!$D$4)+COUNTIF($Y$303:$Y$303,'My Rota'!$D$4&amp;" ~*")&gt;0,$B$303&amp;IF(COUNTIF($Y$303:$Y$303,'My Rota'!$D$4&amp;" ~*")&gt;0," *","")&amp;CHAR(10),"")&amp;IF(COUNTIF($Y$304:$Y$304,'My Rota'!$D$4)+COUNTIF($Y$304:$Y$304,'My Rota'!$D$4&amp;" ~*")&gt;0,$B$304&amp;IF(COUNTIF($Y$304:$Y$304,'My Rota'!$D$4&amp;" ~*")&gt;0," *","")&amp;CHAR(10),"")&amp;IF(COUNTIF($Y$305:$Y$305,'My Rota'!$D$4)+COUNTIF($Y$305:$Y$305,'My Rota'!$D$4&amp;" ~*")&gt;0,$B$305&amp;IF(COUNTIF($Y$305:$Y$305,'My Rota'!$D$4&amp;" ~*")&gt;0," *","")&amp;CHAR(10),"")&amp;IF(COUNTIF($Y$306:$Y$306,'My Rota'!$D$4)+COUNTIF($Y$306:$Y$306,'My Rota'!$D$4&amp;" ~*")&gt;0,$B$306&amp;IF(COUNTIF($Y$306:$Y$306,'My Rota'!$D$4&amp;" ~*")&gt;0," *","")&amp;CHAR(10),"")&amp;IF(COUNTIF($Y$307:$Y$307,'My Rota'!$D$4)+COUNTIF($Y$307:$Y$307,'My Rota'!$D$4&amp;" ~*")&gt;0,$B$307&amp;IF(COUNTIF($Y$307:$Y$307,'My Rota'!$D$4&amp;" ~*")&gt;0," *","")&amp;CHAR(10),""))</f>
        <v/>
      </c>
      <c r="T317">
        <f>IF(L317="","",LEFT(L317,LEN(L317)-1))</f>
        <v/>
      </c>
      <c r="U317">
        <f>IF(M317="","",LEFT(M317,LEN(M317)-1))</f>
        <v/>
      </c>
      <c r="V317">
        <f>IF(N317="","",LEFT(N317,LEN(N317)-1))</f>
        <v/>
      </c>
      <c r="W317">
        <f>IF(O317="","",LEFT(O317,LEN(O317)-1))</f>
        <v/>
      </c>
      <c r="X317">
        <f>IF(P317="","",LEFT(P317,LEN(P317)-1))</f>
        <v/>
      </c>
      <c r="Y317">
        <f>IF(Q317="","",LEFT(Q317,LEN(Q317)-1))</f>
        <v/>
      </c>
      <c r="Z317">
        <f>IF(R317="","",LEFT(R317,LEN(R317)-1))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ESG</dc:creator>
  <dc:title>ESG Team Planner 2027-2030</dc:title>
  <dcterms:created xsi:type="dcterms:W3CDTF">2026-09-10T23:50:58Z</dcterms:created>
  <dcterms:modified xsi:type="dcterms:W3CDTF">2026-09-10T23:51:42Z</dcterms:modified>
</cp:coreProperties>
</file>